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1" sheetId="1" r:id="rId4"/>
    <sheet state="visible" name="Copy of Form Responses 1" sheetId="2" r:id="rId5"/>
    <sheet state="hidden" name="NVScriptsProperties" sheetId="3" r:id="rId6"/>
    <sheet state="hidden" name="DO NOT DELETE - AutoCrat Job Se" sheetId="4" r:id="rId7"/>
  </sheets>
  <definedNames>
    <definedName hidden="1" localSheetId="0" name="_xlnm._FilterDatabase">'Form Responses 1'!$B$1:$B$10553</definedName>
  </definedNames>
  <calcPr/>
</workbook>
</file>

<file path=xl/sharedStrings.xml><?xml version="1.0" encoding="utf-8"?>
<sst xmlns="http://schemas.openxmlformats.org/spreadsheetml/2006/main" count="189228" uniqueCount="64217">
  <si>
    <t>Timestamp</t>
  </si>
  <si>
    <t>PILIH LOKASI KERJA</t>
  </si>
  <si>
    <t>PILIH SATKER</t>
  </si>
  <si>
    <t>PILIH POLDA</t>
  </si>
  <si>
    <t>NAMA LENGKAP</t>
  </si>
  <si>
    <t>PANGKAT</t>
  </si>
  <si>
    <t>Email Address</t>
  </si>
  <si>
    <t>Merged Doc URL - SERTIFIKAT ONLINE</t>
  </si>
  <si>
    <t>Link to merged Doc - SERTIFIKAT ONLINE</t>
  </si>
  <si>
    <t>Document Merge Status - SERTIFIKAT ONLINE</t>
  </si>
  <si>
    <t>Merged Doc ID - SERTIFIKAT ONLINE</t>
  </si>
  <si>
    <t>Merged Doc ID - SERTIFIKAT ONLINE-2</t>
  </si>
  <si>
    <t>Merged Doc URL - SERTIFIKAT ONLINE-2</t>
  </si>
  <si>
    <t>Link to merged Doc - SERTIFIKAT ONLINE-2</t>
  </si>
  <si>
    <t>Document Merge Status - SERTIFIKAT ONLINE-2</t>
  </si>
  <si>
    <t>Merged Doc ID - SERTIFIKAT ONLINE-3</t>
  </si>
  <si>
    <t>Merged Doc URL - SERTIFIKAT ONLINE-3</t>
  </si>
  <si>
    <t>Link to merged Doc - SERTIFIKAT ONLINE-3</t>
  </si>
  <si>
    <t>Document Merge Status - SERTIFIKAT ONLINE-3</t>
  </si>
  <si>
    <t>MABES POLRI</t>
  </si>
  <si>
    <t>SSDM POLRI</t>
  </si>
  <si>
    <t>Dra. YUYUN NURLAELASARI</t>
  </si>
  <si>
    <t>PEMBINA TK. I</t>
  </si>
  <si>
    <t>yuyunnurs@gmail.com</t>
  </si>
  <si>
    <t>01</t>
  </si>
  <si>
    <t>https://drive.google.com/file/d/15jPER5BaQuBSX5VEs0hQtAx-a8mLWvGk/view?usp=drivesdk</t>
  </si>
  <si>
    <t>Document successfully created; Document successfully merged; PDF created; Emails Sent: [To: yuyunnurs@gmail.com]; Run via form trigger as ecertificate75@gmail.com; Timestamp: Aug 29 2024 8:12 PM</t>
  </si>
  <si>
    <t>15jPER5BaQuBSX5VEs0hQtAx-a8mLWvGk</t>
  </si>
  <si>
    <t>1zswP-f59-5rt6OPuxzvaiUpNLoNZjvVv</t>
  </si>
  <si>
    <t>https://drive.google.com/file/d/1zswP-f59-5rt6OPuxzvaiUpNLoNZjvVv/view?usp=drivesdk</t>
  </si>
  <si>
    <t>Document successfully created; Document successfully merged; PDF created; Emails Sent: [To: yuyunnurs@gmail.com]; Manually run by ecertificate75@gmail.com; Timestamp: Aug 30 2024 9:14 PM</t>
  </si>
  <si>
    <t>1oG_BWgv5TbnWwTsTc8afnWpWAe42mzwP</t>
  </si>
  <si>
    <t>https://drive.google.com/file/d/1oG_BWgv5TbnWwTsTc8afnWpWAe42mzwP/view?usp=drivesdk</t>
  </si>
  <si>
    <t>Document successfully created; Document successfully merged; PDF created; !!Error Sending Emails: Service invoked too many times for one day: email.; Manually run by ecertificate75@gmail.com; Timestamp: Aug 31 2024 4:32 AM</t>
  </si>
  <si>
    <t>POLDA</t>
  </si>
  <si>
    <t>POLDA JABAR</t>
  </si>
  <si>
    <t>KUSNAWIRAWAN</t>
  </si>
  <si>
    <t>PENGATUR</t>
  </si>
  <si>
    <t>kusnawirawan5@gmail.com</t>
  </si>
  <si>
    <t>02</t>
  </si>
  <si>
    <t>https://drive.google.com/file/d/1j2QV6eO1_3RlAIyOA7-tf7AELCux1abB/view?usp=drivesdk</t>
  </si>
  <si>
    <t>Document successfully created; Document successfully merged; PDF created; Emails Sent: [To: kusnawirawan5@gmail.com]; Run via form trigger as ecertificate75@gmail.com; Timestamp: Aug 29 2024 8:16 PM</t>
  </si>
  <si>
    <t>1j2QV6eO1_3RlAIyOA7-tf7AELCux1abB</t>
  </si>
  <si>
    <t>19mPXeXdEzaR7Tx-jH8OqRUK_C6or0JmF</t>
  </si>
  <si>
    <t>https://drive.google.com/file/d/19mPXeXdEzaR7Tx-jH8OqRUK_C6or0JmF/view?usp=drivesdk</t>
  </si>
  <si>
    <t>Document successfully created; Document successfully merged; PDF created; Emails Sent: [To: kusnawirawan5@gmail.com]; Manually run by ecertificate75@gmail.com; Timestamp: Aug 30 2024 9:14 PM</t>
  </si>
  <si>
    <t>1La9Ff2qGpH5KCJjCDegZPjPiK3ImNKhp</t>
  </si>
  <si>
    <t>https://drive.google.com/file/d/1La9Ff2qGpH5KCJjCDegZPjPiK3ImNKhp/view?usp=drivesdk</t>
  </si>
  <si>
    <t>AGUS KURNIAWAN</t>
  </si>
  <si>
    <t>aguskurniawan49648@gmail.com</t>
  </si>
  <si>
    <t>03</t>
  </si>
  <si>
    <t>https://drive.google.com/file/d/1E7CjfZ0aJEUgxxuhRDCL7bWpERORvwtG/view?usp=drivesdk</t>
  </si>
  <si>
    <t>Document successfully created; Document successfully merged; PDF created; Emails Sent: [To: aguskurniawan49648@gmail.com]; Run via form trigger as ecertificate75@gmail.com; Timestamp: Aug 29 2024 8:18 PM</t>
  </si>
  <si>
    <t>1E7CjfZ0aJEUgxxuhRDCL7bWpERORvwtG</t>
  </si>
  <si>
    <t>1-35NsN2EzSVjSMnZWEa1STnUrqfdKX0m</t>
  </si>
  <si>
    <t>https://drive.google.com/file/d/1-35NsN2EzSVjSMnZWEa1STnUrqfdKX0m/view?usp=drivesdk</t>
  </si>
  <si>
    <t>Document successfully created; Document successfully merged; PDF created; Emails Sent: [To: aguskurniawan49648@gmail.com]; Manually run by ecertificate75@gmail.com; Timestamp: Aug 30 2024 9:14 PM</t>
  </si>
  <si>
    <t>1jwVSOEA2eOeXTj62tXYpBRzPfyObdLiG</t>
  </si>
  <si>
    <t>https://drive.google.com/file/d/1jwVSOEA2eOeXTj62tXYpBRzPfyObdLiG/view?usp=drivesdk</t>
  </si>
  <si>
    <t>MARINO AUSTRINO, S.H.</t>
  </si>
  <si>
    <t>austrinomarino@gmail.com</t>
  </si>
  <si>
    <t>04</t>
  </si>
  <si>
    <t>https://drive.google.com/file/d/1lAvZx9E4zbzHLmf1WAd-Jy48kDIj0iDg/view?usp=drivesdk</t>
  </si>
  <si>
    <t>Document successfully created; Document successfully merged; PDF created; Emails Sent: [To: austrinomarino@gmail.com]; Run via form trigger as ecertificate75@gmail.com; Timestamp: Aug 29 2024 8:18 PM</t>
  </si>
  <si>
    <t>1lAvZx9E4zbzHLmf1WAd-Jy48kDIj0iDg</t>
  </si>
  <si>
    <t>1GbkxLhDGXPYp_EeIjITC0HA-IwovIFEu</t>
  </si>
  <si>
    <t>https://drive.google.com/file/d/1GbkxLhDGXPYp_EeIjITC0HA-IwovIFEu/view?usp=drivesdk</t>
  </si>
  <si>
    <t>Document successfully created; Document successfully merged; PDF created; Emails Sent: [To: austrinomarino@gmail.com]; Manually run by ecertificate75@gmail.com; Timestamp: Aug 30 2024 9:14 PM</t>
  </si>
  <si>
    <t>1Mbx7v0oj2tSP80aFtvcahf6NK4tcd5t4</t>
  </si>
  <si>
    <t>https://drive.google.com/file/d/1Mbx7v0oj2tSP80aFtvcahf6NK4tcd5t4/view?usp=drivesdk</t>
  </si>
  <si>
    <t>Document successfully created; Document successfully merged; PDF created; !!Error Sending Emails: Service invoked too many times for one day: email.; Manually run by ecertificate75@gmail.com; Timestamp: Aug 31 2024 4:33 AM</t>
  </si>
  <si>
    <t>DEDE SAEPUL RAHMAN</t>
  </si>
  <si>
    <t>PENATA</t>
  </si>
  <si>
    <t>dedesr87@gmail.com</t>
  </si>
  <si>
    <t>05</t>
  </si>
  <si>
    <t>https://drive.google.com/file/d/1pqPyhPt7alclYpmC6jjhk-ZvJTqVwn_f/view?usp=drivesdk</t>
  </si>
  <si>
    <t>Document successfully created; Document successfully merged; PDF created; Emails Sent: [To: dedesr87@gmail.com]; Run via form trigger as ecertificate75@gmail.com; Timestamp: Aug 29 2024 8:19 PM</t>
  </si>
  <si>
    <t>1pqPyhPt7alclYpmC6jjhk-ZvJTqVwn_f</t>
  </si>
  <si>
    <t>1QG_ez-5_sT4jWoNA2hOQDM5_T3w8gFgT</t>
  </si>
  <si>
    <t>https://drive.google.com/file/d/1QG_ez-5_sT4jWoNA2hOQDM5_T3w8gFgT/view?usp=drivesdk</t>
  </si>
  <si>
    <t>Document successfully created; Document successfully merged; PDF created; Emails Sent: [To: dedesr87@gmail.com]; Manually run by ecertificate75@gmail.com; Timestamp: Aug 30 2024 9:15 PM</t>
  </si>
  <si>
    <t>1G9UGg0unPFSqbWUhW-PRJuZk4gwVb1tN</t>
  </si>
  <si>
    <t>https://drive.google.com/file/d/1G9UGg0unPFSqbWUhW-PRJuZk4gwVb1tN/view?usp=drivesdk</t>
  </si>
  <si>
    <t>PUSLITBANG POLRI</t>
  </si>
  <si>
    <t>RIFKA SONIA SETYOWATI, S.M</t>
  </si>
  <si>
    <t>BRIGADIR</t>
  </si>
  <si>
    <t>rifkasonia.rss@gmail.com</t>
  </si>
  <si>
    <t>06</t>
  </si>
  <si>
    <t>https://drive.google.com/file/d/1yDB-diJ4di5QQD9g9LVw0uJMTsU2RTGj/view?usp=drivesdk</t>
  </si>
  <si>
    <t>Document successfully created; Document successfully merged; PDF created; Emails Sent: [To: rifkasonia.rss@gmail.com]; Run via form trigger as ecertificate75@gmail.com; Timestamp: Aug 29 2024 8:19 PM</t>
  </si>
  <si>
    <t>1yDB-diJ4di5QQD9g9LVw0uJMTsU2RTGj</t>
  </si>
  <si>
    <t>1PClGLOD30ncMHDqvC-dgXNMwlC_cUx9e</t>
  </si>
  <si>
    <t>https://drive.google.com/file/d/1PClGLOD30ncMHDqvC-dgXNMwlC_cUx9e/view?usp=drivesdk</t>
  </si>
  <si>
    <t>Document successfully created; Document successfully merged; PDF created; Emails Sent: [To: rifkasonia.rss@gmail.com]; Manually run by ecertificate75@gmail.com; Timestamp: Aug 30 2024 9:15 PM</t>
  </si>
  <si>
    <t>1fH8bFYAUrn7e2WzBBCI-eeW2oC5qzKw8</t>
  </si>
  <si>
    <t>https://drive.google.com/file/d/1fH8bFYAUrn7e2WzBBCI-eeW2oC5qzKw8/view?usp=drivesdk</t>
  </si>
  <si>
    <t>IWAN SETIAWAN</t>
  </si>
  <si>
    <t>bensat.resmjl201070@gmail.com</t>
  </si>
  <si>
    <t>07</t>
  </si>
  <si>
    <t>https://drive.google.com/file/d/1HmV49TqD0EhgeEkh6eGnrIlGdpEWVLf5/view?usp=drivesdk</t>
  </si>
  <si>
    <t>Document successfully created; Document successfully merged; PDF created; Emails Sent: [To: bensat.resmjl201070@gmail.com]; Run via form trigger as ecertificate75@gmail.com; Timestamp: Aug 29 2024 8:19 PM</t>
  </si>
  <si>
    <t>1HmV49TqD0EhgeEkh6eGnrIlGdpEWVLf5</t>
  </si>
  <si>
    <t>1EHqSaR6BpHi2QEbcEJyXvOufIaWG46LB</t>
  </si>
  <si>
    <t>https://drive.google.com/file/d/1EHqSaR6BpHi2QEbcEJyXvOufIaWG46LB/view?usp=drivesdk</t>
  </si>
  <si>
    <t>Document successfully created; Document successfully merged; PDF created; Emails Sent: [To: bensat.resmjl201070@gmail.com]; Manually run by ecertificate75@gmail.com; Timestamp: Aug 30 2024 9:15 PM</t>
  </si>
  <si>
    <t>1p2bLn6iaOTDweQYbxOHEdbFVsAHBym5Z</t>
  </si>
  <si>
    <t>https://drive.google.com/file/d/1p2bLn6iaOTDweQYbxOHEdbFVsAHBym5Z/view?usp=drivesdk</t>
  </si>
  <si>
    <t>MAELASARI, SPD SM</t>
  </si>
  <si>
    <t>PENATA MUDA TK. I</t>
  </si>
  <si>
    <t>qyoza85@gmail.com</t>
  </si>
  <si>
    <t>08</t>
  </si>
  <si>
    <t>https://drive.google.com/file/d/1DpAorMqVOW3u3Ww0aHdpvn-IOCxvmi8i/view?usp=drivesdk</t>
  </si>
  <si>
    <t>Document successfully created; Document successfully merged; PDF created; Emails Sent: [To: qyoza85@gmail.com]; Run via form trigger as ecertificate75@gmail.com; Timestamp: Aug 29 2024 8:20 PM</t>
  </si>
  <si>
    <t>1DpAorMqVOW3u3Ww0aHdpvn-IOCxvmi8i</t>
  </si>
  <si>
    <t>1myKzmolRtQI89P5lLbUvi6b7been7h99</t>
  </si>
  <si>
    <t>https://drive.google.com/file/d/1myKzmolRtQI89P5lLbUvi6b7been7h99/view?usp=drivesdk</t>
  </si>
  <si>
    <t>Document successfully created; Document successfully merged; PDF created; Emails Sent: [To: qyoza85@gmail.com]; Manually run by ecertificate75@gmail.com; Timestamp: Aug 30 2024 9:15 PM</t>
  </si>
  <si>
    <t>109kXVtHysBYIj01cna0uYPBBam6AnOWX</t>
  </si>
  <si>
    <t>https://drive.google.com/file/d/109kXVtHysBYIj01cna0uYPBBam6AnOWX/view?usp=drivesdk</t>
  </si>
  <si>
    <t>FEBBRY SUTEDJO, S.Si</t>
  </si>
  <si>
    <t>PEMBINA</t>
  </si>
  <si>
    <t>febjoe8@gmail.com</t>
  </si>
  <si>
    <t>09</t>
  </si>
  <si>
    <t>https://drive.google.com/file/d/1Nthirzo-zkIeTQ1EdDiUHoX3j4AK3RSY/view?usp=drivesdk</t>
  </si>
  <si>
    <t>Document successfully created; Document successfully merged; PDF created; Emails Sent: [To: febjoe8@gmail.com]; Run via form trigger as ecertificate75@gmail.com; Timestamp: Aug 29 2024 8:20 PM</t>
  </si>
  <si>
    <t>1Nthirzo-zkIeTQ1EdDiUHoX3j4AK3RSY</t>
  </si>
  <si>
    <t>10bD4f2ETio9CpbpZSgOOEb8wwasvPOni</t>
  </si>
  <si>
    <t>https://drive.google.com/file/d/10bD4f2ETio9CpbpZSgOOEb8wwasvPOni/view?usp=drivesdk</t>
  </si>
  <si>
    <t>Document successfully created; Document successfully merged; PDF created; Emails Sent: [To: febjoe8@gmail.com]; Manually run by ecertificate75@gmail.com; Timestamp: Aug 30 2024 9:15 PM</t>
  </si>
  <si>
    <t>1mRo39_A0u-FqCbLtk6DVMFHRhEMdPLVD</t>
  </si>
  <si>
    <t>https://drive.google.com/file/d/1mRo39_A0u-FqCbLtk6DVMFHRhEMdPLVD/view?usp=drivesdk</t>
  </si>
  <si>
    <t>ARI HAERUDDIN, S.Sos.</t>
  </si>
  <si>
    <t>ahaeruddin7@gmail.com</t>
  </si>
  <si>
    <t>10</t>
  </si>
  <si>
    <t>https://drive.google.com/file/d/1VuGwNlh9Gvp3CnwLqpuSPIiCdGmtnHbM/view?usp=drivesdk</t>
  </si>
  <si>
    <t>Document successfully created; Document successfully merged; PDF created; Emails Sent: [To: ahaeruddin7@gmail.com]; Run via form trigger as ecertificate75@gmail.com; Timestamp: Aug 29 2024 8:21 PM</t>
  </si>
  <si>
    <t>1VuGwNlh9Gvp3CnwLqpuSPIiCdGmtnHbM</t>
  </si>
  <si>
    <t>10z7CYvboVwa-Kg8u4mYFD1A56GBW5Igo</t>
  </si>
  <si>
    <t>https://drive.google.com/file/d/10z7CYvboVwa-Kg8u4mYFD1A56GBW5Igo/view?usp=drivesdk</t>
  </si>
  <si>
    <t>Document successfully created; Document successfully merged; PDF created; Emails Sent: [To: ahaeruddin7@gmail.com]; Manually run by ecertificate75@gmail.com; Timestamp: Aug 30 2024 9:15 PM</t>
  </si>
  <si>
    <t>1WyEfCQsJZq0blTyTsgkjta-gN3ErrgFh</t>
  </si>
  <si>
    <t>https://drive.google.com/file/d/1WyEfCQsJZq0blTyTsgkjta-gN3ErrgFh/view?usp=drivesdk</t>
  </si>
  <si>
    <t>Document successfully created; Document successfully merged; PDF created; !!Error Sending Emails: Service invoked too many times for one day: email.; Manually run by ecertificate75@gmail.com; Timestamp: Aug 31 2024 4:34 AM</t>
  </si>
  <si>
    <t>BETTY MONALISA SITUMORANG</t>
  </si>
  <si>
    <t>bettymonalisasitumorang@gmail.com</t>
  </si>
  <si>
    <t>11</t>
  </si>
  <si>
    <t>https://drive.google.com/file/d/17KT6k7b-xGCp3-7kagY8lrEAEBPgqhuR/view?usp=drivesdk</t>
  </si>
  <si>
    <t>Document successfully created; Document successfully merged; PDF created; Emails Sent: [To: bettymonalisasitumorang@gmail.com]; Run via form trigger as ecertificate75@gmail.com; Timestamp: Aug 29 2024 8:23 PM</t>
  </si>
  <si>
    <t>17KT6k7b-xGCp3-7kagY8lrEAEBPgqhuR</t>
  </si>
  <si>
    <t>1qcHRVHdIQaoItMqyGHirwN59xOANDlp6</t>
  </si>
  <si>
    <t>https://drive.google.com/file/d/1qcHRVHdIQaoItMqyGHirwN59xOANDlp6/view?usp=drivesdk</t>
  </si>
  <si>
    <t>Document successfully created; Document successfully merged; PDF created; Emails Sent: [To: bettymonalisasitumorang@gmail.com]; Manually run by ecertificate75@gmail.com; Timestamp: Aug 30 2024 9:16 PM</t>
  </si>
  <si>
    <t>1yzGUx96-o8HShp0GGySDO34u2bbxzMCi</t>
  </si>
  <si>
    <t>https://drive.google.com/file/d/1yzGUx96-o8HShp0GGySDO34u2bbxzMCi/view?usp=drivesdk</t>
  </si>
  <si>
    <t>IWAN JUANDA GUNADI</t>
  </si>
  <si>
    <t>iwanjuandagunadi@gmail.com</t>
  </si>
  <si>
    <t>12</t>
  </si>
  <si>
    <t>https://drive.google.com/file/d/1Ld4SMEKbpWYGG6kWXBnDUoKVgtn6RcoW/view?usp=drivesdk</t>
  </si>
  <si>
    <t>Document successfully created; Document successfully merged; PDF created; Emails Sent: [To: iwanjuandagunadi@gmail.com]; Run via form trigger as ecertificate75@gmail.com; Timestamp: Aug 29 2024 8:24 PM</t>
  </si>
  <si>
    <t>1Ld4SMEKbpWYGG6kWXBnDUoKVgtn6RcoW</t>
  </si>
  <si>
    <t>1yBz-YHkbgokWRiu6Vhl4DNpwIz2ODdh9</t>
  </si>
  <si>
    <t>https://drive.google.com/file/d/1yBz-YHkbgokWRiu6Vhl4DNpwIz2ODdh9/view?usp=drivesdk</t>
  </si>
  <si>
    <t>Document successfully created; Document successfully merged; PDF created; Emails Sent: [To: iwanjuandagunadi@gmail.com]; Manually run by ecertificate75@gmail.com; Timestamp: Aug 30 2024 9:16 PM</t>
  </si>
  <si>
    <t>1DpL7wr1qqa_03LYvHgrMzXpoQ0EJYC4R</t>
  </si>
  <si>
    <t>https://drive.google.com/file/d/1DpL7wr1qqa_03LYvHgrMzXpoQ0EJYC4R/view?usp=drivesdk</t>
  </si>
  <si>
    <t>NEITI JUWAIRIYAH, A.MD., S.TR.ADM.ARS</t>
  </si>
  <si>
    <t>neitihariono1988@gmail.com</t>
  </si>
  <si>
    <t>13</t>
  </si>
  <si>
    <t>https://drive.google.com/file/d/1Z8TLetSbHQ7rycUkdrI80RADo3FkzX6w/view?usp=drivesdk</t>
  </si>
  <si>
    <t>Document successfully created; Document successfully merged; PDF created; Emails Sent: [To: neitihariono1988@gmail.com]; Run via form trigger as ecertificate75@gmail.com; Timestamp: Aug 29 2024 8:25 PM</t>
  </si>
  <si>
    <t>1Z8TLetSbHQ7rycUkdrI80RADo3FkzX6w</t>
  </si>
  <si>
    <t>1AhPrz2P747dFI9474_H_1TF-GaRDlX3R</t>
  </si>
  <si>
    <t>https://drive.google.com/file/d/1AhPrz2P747dFI9474_H_1TF-GaRDlX3R/view?usp=drivesdk</t>
  </si>
  <si>
    <t>Document successfully created; Document successfully merged; PDF created; Emails Sent: [To: neitihariono1988@gmail.com]; Manually run by ecertificate75@gmail.com; Timestamp: Aug 30 2024 9:16 PM</t>
  </si>
  <si>
    <t>1-Tznu-hmp7V8iRHDZ6J6mpjQ_73WcZP7</t>
  </si>
  <si>
    <t>https://drive.google.com/file/d/1-Tznu-hmp7V8iRHDZ6J6mpjQ_73WcZP7/view?usp=drivesdk</t>
  </si>
  <si>
    <t>YANYAN SAKTIYANA</t>
  </si>
  <si>
    <t>110yanyans@gmail.com</t>
  </si>
  <si>
    <t>14</t>
  </si>
  <si>
    <t>https://drive.google.com/file/d/1NXQuueQUVUHknssDtdpJOHZk9i_q6oBo/view?usp=drivesdk</t>
  </si>
  <si>
    <t>Document successfully created; Document successfully merged; PDF created; Emails Sent: [To: 110yanyans@gmail.com]; Run via form trigger as ecertificate75@gmail.com; Timestamp: Aug 29 2024 8:25 PM</t>
  </si>
  <si>
    <t>1NXQuueQUVUHknssDtdpJOHZk9i_q6oBo</t>
  </si>
  <si>
    <t>1wAa-A__kcwlQdUJGj8hZ7mW4RBkqCRuw</t>
  </si>
  <si>
    <t>https://drive.google.com/file/d/1wAa-A__kcwlQdUJGj8hZ7mW4RBkqCRuw/view?usp=drivesdk</t>
  </si>
  <si>
    <t>Document successfully created; Document successfully merged; PDF created; Emails Sent: [To: 110yanyans@gmail.com]; Manually run by ecertificate75@gmail.com; Timestamp: Aug 30 2024 9:16 PM</t>
  </si>
  <si>
    <t>19xRQ-vraXE_nC_s7JRD_Yg_edMnNbj0b</t>
  </si>
  <si>
    <t>https://drive.google.com/file/d/19xRQ-vraXE_nC_s7JRD_Yg_edMnNbj0b/view?usp=drivesdk</t>
  </si>
  <si>
    <t>DESTI WISNU WARDANI, A.Md., S.Pd.</t>
  </si>
  <si>
    <t>akhtarhabibie@gmail.com</t>
  </si>
  <si>
    <t>15</t>
  </si>
  <si>
    <t>https://drive.google.com/file/d/1oo4Da621U6GkkoNzK-njwMAYfmk3U_G2/view?usp=drivesdk</t>
  </si>
  <si>
    <t>Document successfully created; Document successfully merged; PDF created; Emails Sent: [To: akhtarhabibie@gmail.com]; Run via form trigger as ecertificate75@gmail.com; Timestamp: Aug 29 2024 8:25 PM</t>
  </si>
  <si>
    <t>1oo4Da621U6GkkoNzK-njwMAYfmk3U_G2</t>
  </si>
  <si>
    <t>11IwskoPoHT6ltiCeFNaK0b4QWT3oLB9C</t>
  </si>
  <si>
    <t>https://drive.google.com/file/d/11IwskoPoHT6ltiCeFNaK0b4QWT3oLB9C/view?usp=drivesdk</t>
  </si>
  <si>
    <t>Document successfully created; Document successfully merged; PDF created; Emails Sent: [To: akhtarhabibie@gmail.com]; Manually run by ecertificate75@gmail.com; Timestamp: Aug 30 2024 9:16 PM</t>
  </si>
  <si>
    <t>1ON2MxTBr1WaGmj2jcfHpxEY77u54srYT</t>
  </si>
  <si>
    <t>https://drive.google.com/file/d/1ON2MxTBr1WaGmj2jcfHpxEY77u54srYT/view?usp=drivesdk</t>
  </si>
  <si>
    <t>YAYAN HARDYANA</t>
  </si>
  <si>
    <t>PENGATUR MUDA TK. I</t>
  </si>
  <si>
    <t>yayanhardyana@gmail.com</t>
  </si>
  <si>
    <t>16</t>
  </si>
  <si>
    <t>https://drive.google.com/file/d/1XUSKoRObrgA6pVHPIZnUiUEl0pgrG-Lx/view?usp=drivesdk</t>
  </si>
  <si>
    <t>Document successfully created; Document successfully merged; PDF created; Emails Sent: [To: yayanhardyana@gmail.com]; Run via form trigger as ecertificate75@gmail.com; Timestamp: Aug 29 2024 8:26 PM</t>
  </si>
  <si>
    <t>1XUSKoRObrgA6pVHPIZnUiUEl0pgrG-Lx</t>
  </si>
  <si>
    <t>15PhDS1w3arRjvw7kAjp7GIPxhly14Co4</t>
  </si>
  <si>
    <t>https://drive.google.com/file/d/15PhDS1w3arRjvw7kAjp7GIPxhly14Co4/view?usp=drivesdk</t>
  </si>
  <si>
    <t>Document successfully created; Document successfully merged; PDF created; Emails Sent: [To: yayanhardyana@gmail.com]; Manually run by ecertificate75@gmail.com; Timestamp: Aug 30 2024 9:16 PM</t>
  </si>
  <si>
    <t>1tryYKZJ5y68mggcH8O8sL0IP8TC4ICyK</t>
  </si>
  <si>
    <t>https://drive.google.com/file/d/1tryYKZJ5y68mggcH8O8sL0IP8TC4ICyK/view?usp=drivesdk</t>
  </si>
  <si>
    <t>Document successfully created; Document successfully merged; PDF created; !!Error Sending Emails: Service invoked too many times for one day: email.; Manually run by ecertificate75@gmail.com; Timestamp: Aug 31 2024 4:35 AM</t>
  </si>
  <si>
    <t>TETI ROHAYATI</t>
  </si>
  <si>
    <t>PENGATUR TK.I</t>
  </si>
  <si>
    <t>tetylusida@gmail.com</t>
  </si>
  <si>
    <t>17</t>
  </si>
  <si>
    <t>https://drive.google.com/file/d/1ukJKtX7UINDJ4PkkNQWTeizPMP_6gHBg/view?usp=drivesdk</t>
  </si>
  <si>
    <t>Document successfully created; Document successfully merged; PDF created; Emails Sent: [To: tetylusida@gmail.com]; Run via form trigger as ecertificate75@gmail.com; Timestamp: Aug 29 2024 8:26 PM</t>
  </si>
  <si>
    <t>1ukJKtX7UINDJ4PkkNQWTeizPMP_6gHBg</t>
  </si>
  <si>
    <t>10a448mbNqPj4h8HRMsksH3XslNG2n-8t</t>
  </si>
  <si>
    <t>https://drive.google.com/file/d/10a448mbNqPj4h8HRMsksH3XslNG2n-8t/view?usp=drivesdk</t>
  </si>
  <si>
    <t>Document successfully created; Document successfully merged; PDF created; Emails Sent: [To: tetylusida@gmail.com]; Manually run by ecertificate75@gmail.com; Timestamp: Aug 30 2024 9:17 PM</t>
  </si>
  <si>
    <t>1BjJ6cmY_b4UfM5iJtkHIQV5fwtAqzOXx</t>
  </si>
  <si>
    <t>https://drive.google.com/file/d/1BjJ6cmY_b4UfM5iJtkHIQV5fwtAqzOXx/view?usp=drivesdk</t>
  </si>
  <si>
    <t>GITA FATWA QURNIATI</t>
  </si>
  <si>
    <t>gita.fq@gmail.com</t>
  </si>
  <si>
    <t>18</t>
  </si>
  <si>
    <t>https://drive.google.com/file/d/1U5ziM6uOWgzQIlaooQw4bTxrdoCMroyI/view?usp=drivesdk</t>
  </si>
  <si>
    <t>Document successfully created; Document successfully merged; PDF created; Emails Sent: [To: gita.fq@gmail.com]; Run via form trigger as ecertificate75@gmail.com; Timestamp: Aug 29 2024 8:26 PM</t>
  </si>
  <si>
    <t>1U5ziM6uOWgzQIlaooQw4bTxrdoCMroyI</t>
  </si>
  <si>
    <t>1HeEuH20b2DgSBqy8xMt2VYzYTbImavHg</t>
  </si>
  <si>
    <t>https://drive.google.com/file/d/1HeEuH20b2DgSBqy8xMt2VYzYTbImavHg/view?usp=drivesdk</t>
  </si>
  <si>
    <t>Document successfully created; Document successfully merged; PDF created; Emails Sent: [To: gita.fq@gmail.com]; Manually run by ecertificate75@gmail.com; Timestamp: Aug 30 2024 9:17 PM</t>
  </si>
  <si>
    <t>1HzKg9KZBY1VhkqlZBDHGJcQfh1KJiVbh</t>
  </si>
  <si>
    <t>https://drive.google.com/file/d/1HzKg9KZBY1VhkqlZBDHGJcQfh1KJiVbh/view?usp=drivesdk</t>
  </si>
  <si>
    <t>YAYA KARTADINATA</t>
  </si>
  <si>
    <t>yayakartadinata25@gmail.com</t>
  </si>
  <si>
    <t>19</t>
  </si>
  <si>
    <t>https://drive.google.com/file/d/1tUgB_Ss7Xv0tDyQs7BT9fVzorzUBK8Yu/view?usp=drivesdk</t>
  </si>
  <si>
    <t>Document successfully created; Document successfully merged; PDF created; Emails Sent: [To: yayakartadinata25@gmail.com]; Run via form trigger as ecertificate75@gmail.com; Timestamp: Aug 29 2024 8:26 PM</t>
  </si>
  <si>
    <t>1tUgB_Ss7Xv0tDyQs7BT9fVzorzUBK8Yu</t>
  </si>
  <si>
    <t>1oR2-NMR5wwIu4XW8SgSFOxcHonWjYcPU</t>
  </si>
  <si>
    <t>https://drive.google.com/file/d/1oR2-NMR5wwIu4XW8SgSFOxcHonWjYcPU/view?usp=drivesdk</t>
  </si>
  <si>
    <t>Document successfully created; Document successfully merged; PDF created; Emails Sent: [To: yayakartadinata25@gmail.com]; Manually run by ecertificate75@gmail.com; Timestamp: Aug 30 2024 9:17 PM</t>
  </si>
  <si>
    <t>1xTKizLOfSTzXbiLMtrzGQx3Q36L9FNY_</t>
  </si>
  <si>
    <t>https://drive.google.com/file/d/1xTKizLOfSTzXbiLMtrzGQx3Q36L9FNY_/view?usp=drivesdk</t>
  </si>
  <si>
    <t>DIAHIKA PRASETIA</t>
  </si>
  <si>
    <t>bundazafran17510@gmail.com</t>
  </si>
  <si>
    <t>20</t>
  </si>
  <si>
    <t>https://drive.google.com/file/d/1z2-qHxKAc7XY5CEB5svbvZcg_VTgMe2J/view?usp=drivesdk</t>
  </si>
  <si>
    <t>Document successfully created; Document successfully merged; PDF created; Emails Sent: [To: bundazafran17510@gmail.com]; Run via form trigger as ecertificate75@gmail.com; Timestamp: Aug 29 2024 8:27 PM</t>
  </si>
  <si>
    <t>1z2-qHxKAc7XY5CEB5svbvZcg_VTgMe2J</t>
  </si>
  <si>
    <t>184O9VR_TLuyvP9A7WdeP-iD-vPT0r97M</t>
  </si>
  <si>
    <t>https://drive.google.com/file/d/184O9VR_TLuyvP9A7WdeP-iD-vPT0r97M/view?usp=drivesdk</t>
  </si>
  <si>
    <t>Document successfully created; Document successfully merged; PDF created; Emails Sent: [To: bundazafran17510@gmail.com]; Manually run by ecertificate75@gmail.com; Timestamp: Aug 30 2024 9:17 PM</t>
  </si>
  <si>
    <t>1VpyqTGEbxQ5DPnh5mvUgGM8Fy684vO_3</t>
  </si>
  <si>
    <t>https://drive.google.com/file/d/1VpyqTGEbxQ5DPnh5mvUgGM8Fy684vO_3/view?usp=drivesdk</t>
  </si>
  <si>
    <t xml:space="preserve">SISKA DAMAYANTI </t>
  </si>
  <si>
    <t>damayantisiska71@gmail.com</t>
  </si>
  <si>
    <t>21</t>
  </si>
  <si>
    <t>https://drive.google.com/file/d/12k9PNiHSDdCP24PEwcl5aADfNX34KLF3/view?usp=drivesdk</t>
  </si>
  <si>
    <t>Document successfully created; Document successfully merged; PDF created; Emails Sent: [To: damayantisiska71@gmail.com]; Run via form trigger as ecertificate75@gmail.com; Timestamp: Aug 29 2024 8:27 PM</t>
  </si>
  <si>
    <t>12k9PNiHSDdCP24PEwcl5aADfNX34KLF3</t>
  </si>
  <si>
    <t>1heKWdMTPlAJfG6tZO9K-aQSNdCScWlnb</t>
  </si>
  <si>
    <t>https://drive.google.com/file/d/1heKWdMTPlAJfG6tZO9K-aQSNdCScWlnb/view?usp=drivesdk</t>
  </si>
  <si>
    <t>Document successfully created; Document successfully merged; PDF created; Emails Sent: [To: damayantisiska71@gmail.com]; Manually run by ecertificate75@gmail.com; Timestamp: Aug 30 2024 9:17 PM</t>
  </si>
  <si>
    <t>16zIopBD7L5z2lJmk99GgTL0wrRIbimW5</t>
  </si>
  <si>
    <t>https://drive.google.com/file/d/16zIopBD7L5z2lJmk99GgTL0wrRIbimW5/view?usp=drivesdk</t>
  </si>
  <si>
    <t>POLDA DIY</t>
  </si>
  <si>
    <t xml:space="preserve">dr SYAMSU TATANG TRIYUWANTO </t>
  </si>
  <si>
    <t>syamsutatang.st@gmail.com</t>
  </si>
  <si>
    <t>22</t>
  </si>
  <si>
    <t>https://drive.google.com/file/d/1XfiQ1hQA7OWgPJucgN_mJWxjGdjJGFd-/view?usp=drivesdk</t>
  </si>
  <si>
    <t>Document successfully created; Document successfully merged; PDF created; Emails Sent: [To: syamsutatang.st@gmail.com]; Run via form trigger as ecertificate75@gmail.com; Timestamp: Aug 29 2024 8:27 PM</t>
  </si>
  <si>
    <t>1XfiQ1hQA7OWgPJucgN_mJWxjGdjJGFd-</t>
  </si>
  <si>
    <t>1ZLhqV2xDS6blBakSIjTu6e190gDdeH-X</t>
  </si>
  <si>
    <t>https://drive.google.com/file/d/1ZLhqV2xDS6blBakSIjTu6e190gDdeH-X/view?usp=drivesdk</t>
  </si>
  <si>
    <t>Document successfully created; Document successfully merged; PDF created; Emails Sent: [To: syamsutatang.st@gmail.com]; Manually run by ecertificate75@gmail.com; Timestamp: Aug 30 2024 9:17 PM</t>
  </si>
  <si>
    <t>1gAtUPRxwqjuSAtYW73aMuv57lw7cqVPG</t>
  </si>
  <si>
    <t>https://drive.google.com/file/d/1gAtUPRxwqjuSAtYW73aMuv57lw7cqVPG/view?usp=drivesdk</t>
  </si>
  <si>
    <t>Document successfully created; Document successfully merged; PDF created; !!Error Sending Emails: Service invoked too many times for one day: email.; Manually run by ecertificate75@gmail.com; Timestamp: Aug 31 2024 4:36 AM</t>
  </si>
  <si>
    <t>POLDA KEP. RIAU</t>
  </si>
  <si>
    <t>DIMAS ALFIATNO S.KOM</t>
  </si>
  <si>
    <t>dimas.alfiatno95@gmail.com</t>
  </si>
  <si>
    <t>23</t>
  </si>
  <si>
    <t>https://drive.google.com/file/d/1CkCAAjhLZg1LYR-uih88RnFBMEJypMD3/view?usp=drivesdk</t>
  </si>
  <si>
    <t>Document successfully created; Document successfully merged; PDF created; Emails Sent: [To: dimas.alfiatno95@gmail.com]; Run via form trigger as ecertificate75@gmail.com; Timestamp: Aug 29 2024 8:27 PM</t>
  </si>
  <si>
    <t>1CkCAAjhLZg1LYR-uih88RnFBMEJypMD3</t>
  </si>
  <si>
    <t>1yO_SXJxa4Q9MJIlmN3I3BsJIy1HINHRZ</t>
  </si>
  <si>
    <t>https://drive.google.com/file/d/1yO_SXJxa4Q9MJIlmN3I3BsJIy1HINHRZ/view?usp=drivesdk</t>
  </si>
  <si>
    <t>Document successfully created; Document successfully merged; PDF created; Emails Sent: [To: dimas.alfiatno95@gmail.com]; Manually run by ecertificate75@gmail.com; Timestamp: Aug 30 2024 9:18 PM</t>
  </si>
  <si>
    <t>1n_PDLDAMuMgLvOokit3BpECHVqnD-M-F</t>
  </si>
  <si>
    <t>https://drive.google.com/file/d/1n_PDLDAMuMgLvOokit3BpECHVqnD-M-F/view?usp=drivesdk</t>
  </si>
  <si>
    <t>LEMDIKLAT POLRI</t>
  </si>
  <si>
    <t xml:space="preserve">YUNITA DIAN ANGGRAENI, A.Md. Farm. </t>
  </si>
  <si>
    <t>dianyda@gmail.com</t>
  </si>
  <si>
    <t>24</t>
  </si>
  <si>
    <t>https://drive.google.com/file/d/1692RMHZMGzySNEKr61EXwrA1BgB7Y20p/view?usp=drivesdk</t>
  </si>
  <si>
    <t>Document successfully created; Document successfully merged; PDF created; Emails Sent: [To: dianyda@gmail.com]; Run via form trigger as ecertificate75@gmail.com; Timestamp: Aug 29 2024 8:27 PM</t>
  </si>
  <si>
    <t>1692RMHZMGzySNEKr61EXwrA1BgB7Y20p</t>
  </si>
  <si>
    <t>1TdHY27N5fsrDouw-gLYLgpmybhikRBKw</t>
  </si>
  <si>
    <t>https://drive.google.com/file/d/1TdHY27N5fsrDouw-gLYLgpmybhikRBKw/view?usp=drivesdk</t>
  </si>
  <si>
    <t>Document successfully created; Document successfully merged; PDF created; Emails Sent: [To: dianyda@gmail.com]; Manually run by ecertificate75@gmail.com; Timestamp: Aug 30 2024 9:18 PM</t>
  </si>
  <si>
    <t>13cI8LsFqA72BpJ9k2OXEjx8jPFO3eRhR</t>
  </si>
  <si>
    <t>https://drive.google.com/file/d/13cI8LsFqA72BpJ9k2OXEjx8jPFO3eRhR/view?usp=drivesdk</t>
  </si>
  <si>
    <t>ARUM HANDAYANI</t>
  </si>
  <si>
    <t>arumhafiza@gmail.com</t>
  </si>
  <si>
    <t>25</t>
  </si>
  <si>
    <t>https://drive.google.com/file/d/15TYP9oI3hA-8gaOA3k49Grmyfn3Gv6Ta/view?usp=drivesdk</t>
  </si>
  <si>
    <t>Document successfully created; Document successfully merged; PDF created; Emails Sent: [To: arumhafiza@gmail.com]; Run via form trigger as ecertificate75@gmail.com; Timestamp: Aug 29 2024 8:27 PM</t>
  </si>
  <si>
    <t>15TYP9oI3hA-8gaOA3k49Grmyfn3Gv6Ta</t>
  </si>
  <si>
    <t>1TVaS8Dj3ju1pYelXjPfxdOZQqF7JRd-u</t>
  </si>
  <si>
    <t>https://drive.google.com/file/d/1TVaS8Dj3ju1pYelXjPfxdOZQqF7JRd-u/view?usp=drivesdk</t>
  </si>
  <si>
    <t>Document successfully created; Document successfully merged; PDF created; Emails Sent: [To: arumhafiza@gmail.com]; Manually run by ecertificate75@gmail.com; Timestamp: Aug 30 2024 9:18 PM</t>
  </si>
  <si>
    <t>1cmvenbbfPlAT9F8LGMn_w_gYlLFQZRVx</t>
  </si>
  <si>
    <t>https://drive.google.com/file/d/1cmvenbbfPlAT9F8LGMn_w_gYlLFQZRVx/view?usp=drivesdk</t>
  </si>
  <si>
    <t>PUSJARAH POLRI</t>
  </si>
  <si>
    <t>HENDRA WIDIYANA, S.S.</t>
  </si>
  <si>
    <t>hendrawidiyana76@yahoo.co.id</t>
  </si>
  <si>
    <t>26</t>
  </si>
  <si>
    <t>https://drive.google.com/file/d/12oLF1zn9wqevI2bND5NQqlBRYZyxdKvY/view?usp=drivesdk</t>
  </si>
  <si>
    <t>Document successfully created; Document successfully merged; PDF created; Emails Sent: [To: hendrawidiyana76@yahoo.co.id]; Run via form trigger as ecertificate75@gmail.com; Timestamp: Aug 29 2024 8:27 PM</t>
  </si>
  <si>
    <t>12oLF1zn9wqevI2bND5NQqlBRYZyxdKvY</t>
  </si>
  <si>
    <t>1jQHLeXjhbjd0Tv8wxBoQrbVk5iz3ZdmV</t>
  </si>
  <si>
    <t>https://drive.google.com/file/d/1jQHLeXjhbjd0Tv8wxBoQrbVk5iz3ZdmV/view?usp=drivesdk</t>
  </si>
  <si>
    <t>Document successfully created; Document successfully merged; PDF created; Emails Sent: [To: hendrawidiyana76@yahoo.co.id]; Manually run by ecertificate75@gmail.com; Timestamp: Aug 30 2024 9:18 PM</t>
  </si>
  <si>
    <t>1jkkn7jx8orQ6yPieFa-IbTQ1hKRBH8ug</t>
  </si>
  <si>
    <t>https://drive.google.com/file/d/1jkkn7jx8orQ6yPieFa-IbTQ1hKRBH8ug/view?usp=drivesdk</t>
  </si>
  <si>
    <t>AGUS SETIAWAN</t>
  </si>
  <si>
    <t>PENGATUR MUDA</t>
  </si>
  <si>
    <t>agoestkafy03@gmail.com</t>
  </si>
  <si>
    <t>27</t>
  </si>
  <si>
    <t>https://drive.google.com/file/d/1K75CWyQCfOrvFD80CMRGF00oU9c7X-tT/view?usp=drivesdk</t>
  </si>
  <si>
    <t>Document successfully created; Document successfully merged; PDF created; Emails Sent: [To: agoestkafy03@gmail.com]; Run via form trigger as ecertificate75@gmail.com; Timestamp: Aug 29 2024 8:27 PM</t>
  </si>
  <si>
    <t>1K75CWyQCfOrvFD80CMRGF00oU9c7X-tT</t>
  </si>
  <si>
    <t>1AGXFpsDM-_Ih7aH1OhfYLmUTxPo7D35_</t>
  </si>
  <si>
    <t>https://drive.google.com/file/d/1AGXFpsDM-_Ih7aH1OhfYLmUTxPo7D35_/view?usp=drivesdk</t>
  </si>
  <si>
    <t>Document successfully created; Document successfully merged; PDF created; Emails Sent: [To: agoestkafy03@gmail.com]; Manually run by ecertificate75@gmail.com; Timestamp: Aug 30 2024 9:18 PM</t>
  </si>
  <si>
    <t>1co56FKu-TxCqoqfSQ6NHR7PWZPKgFZSx</t>
  </si>
  <si>
    <t>https://drive.google.com/file/d/1co56FKu-TxCqoqfSQ6NHR7PWZPKgFZSx/view?usp=drivesdk</t>
  </si>
  <si>
    <t>Document successfully created; Document successfully merged; PDF created; !!Error Sending Emails: Service invoked too many times for one day: email.; Manually run by ecertificate75@gmail.com; Timestamp: Aug 31 2024 4:37 AM</t>
  </si>
  <si>
    <t>NUR WIDYA UTAMI, A.Md.</t>
  </si>
  <si>
    <t>rasyamom@gmai.com</t>
  </si>
  <si>
    <t>28</t>
  </si>
  <si>
    <t>https://drive.google.com/file/d/1uNAQWYxMhOorC3wnDs8TB6oOK4wzZ4zt/view?usp=drivesdk</t>
  </si>
  <si>
    <t>Document successfully created; Document successfully merged; PDF created; Emails Sent: [To: rasyamom@gmai.com]; Run via form trigger as ecertificate75@gmail.com; Timestamp: Aug 29 2024 8:27 PM</t>
  </si>
  <si>
    <t>1uNAQWYxMhOorC3wnDs8TB6oOK4wzZ4zt</t>
  </si>
  <si>
    <t>1-KerM3u_NFJwR0PDT-Mv9gDGfm9afg0x</t>
  </si>
  <si>
    <t>https://drive.google.com/file/d/1-KerM3u_NFJwR0PDT-Mv9gDGfm9afg0x/view?usp=drivesdk</t>
  </si>
  <si>
    <t>Document successfully created; Document successfully merged; PDF created; Emails Sent: [To: rasyamom@gmai.com]; Manually run by ecertificate75@gmail.com; Timestamp: Aug 30 2024 9:19 PM</t>
  </si>
  <si>
    <t>1V07sEllXXO0aO3TcYQg57tTXxqzDoLYp</t>
  </si>
  <si>
    <t>https://drive.google.com/file/d/1V07sEllXXO0aO3TcYQg57tTXxqzDoLYp/view?usp=drivesdk</t>
  </si>
  <si>
    <t>SUFI HANDAYANI</t>
  </si>
  <si>
    <t>sufiaminhandayani@gmail.com</t>
  </si>
  <si>
    <t>29</t>
  </si>
  <si>
    <t>https://drive.google.com/file/d/1BfgISoE_0xd_33G17QkGrKL3dm-N6MFJ/view?usp=drivesdk</t>
  </si>
  <si>
    <t>Document successfully created; Document successfully merged; PDF created; Emails Sent: [To: sufiaminhandayani@gmail.com]; Run via form trigger as ecertificate75@gmail.com; Timestamp: Aug 29 2024 8:27 PM</t>
  </si>
  <si>
    <t>1BfgISoE_0xd_33G17QkGrKL3dm-N6MFJ</t>
  </si>
  <si>
    <t>1LrgyvP7_qS_3neqdIuF08etqe1Bx0WLx</t>
  </si>
  <si>
    <t>https://drive.google.com/file/d/1LrgyvP7_qS_3neqdIuF08etqe1Bx0WLx/view?usp=drivesdk</t>
  </si>
  <si>
    <t>Document successfully created; Document successfully merged; PDF created; Emails Sent: [To: sufiaminhandayani@gmail.com]; Manually run by ecertificate75@gmail.com; Timestamp: Aug 30 2024 9:19 PM</t>
  </si>
  <si>
    <t>1sbTnvhUraMcbp55fIVxdOtXPK2t319gT</t>
  </si>
  <si>
    <t>https://drive.google.com/file/d/1sbTnvhUraMcbp55fIVxdOtXPK2t319gT/view?usp=drivesdk</t>
  </si>
  <si>
    <t>POLDA SULBAR</t>
  </si>
  <si>
    <t>WILHELMUS MANGOPANG, SE</t>
  </si>
  <si>
    <t>willlyelmus654@gmail.com</t>
  </si>
  <si>
    <t>30</t>
  </si>
  <si>
    <t>https://drive.google.com/file/d/1Lne-ot-WaAyz2ucWnrxTf0O0GkNhd5fd/view?usp=drivesdk</t>
  </si>
  <si>
    <t>Document successfully created; Document successfully merged; PDF created; Emails Sent: [To: willlyelmus654@gmail.com]; Run via form trigger as ecertificate75@gmail.com; Timestamp: Aug 29 2024 8:28 PM</t>
  </si>
  <si>
    <t>1Lne-ot-WaAyz2ucWnrxTf0O0GkNhd5fd</t>
  </si>
  <si>
    <t>1J4-ZbqbvKUEHdLOzaH4CbNShMfvXWTN7</t>
  </si>
  <si>
    <t>https://drive.google.com/file/d/1J4-ZbqbvKUEHdLOzaH4CbNShMfvXWTN7/view?usp=drivesdk</t>
  </si>
  <si>
    <t>Document successfully created; Document successfully merged; PDF created; Emails Sent: [To: willlyelmus654@gmail.com]; Manually run by ecertificate75@gmail.com; Timestamp: Aug 30 2024 9:19 PM</t>
  </si>
  <si>
    <t>1pI0qEaWbC6cHkbmzr3VfX15_sziIDgSf</t>
  </si>
  <si>
    <t>https://drive.google.com/file/d/1pI0qEaWbC6cHkbmzr3VfX15_sziIDgSf/view?usp=drivesdk</t>
  </si>
  <si>
    <t>BUDI MUSLIM RAHMAWAN, S.Si., M.M.</t>
  </si>
  <si>
    <t>PENATA TK. I</t>
  </si>
  <si>
    <t>budimuslimrahmawan200604@gmail.com</t>
  </si>
  <si>
    <t>31</t>
  </si>
  <si>
    <t>https://drive.google.com/file/d/1GYoIWWqqSuwQUa68zmEaXqNknmLc8CWp/view?usp=drivesdk</t>
  </si>
  <si>
    <t>Document successfully created; Document successfully merged; PDF created; Emails Sent: [To: budimuslimrahmawan200604@gmail.com]; Run via form trigger as ecertificate75@gmail.com; Timestamp: Aug 29 2024 8:28 PM</t>
  </si>
  <si>
    <t>1GYoIWWqqSuwQUa68zmEaXqNknmLc8CWp</t>
  </si>
  <si>
    <t>1Ru53sB3BS1c1nreyZFzvejdqUMb5q8yw</t>
  </si>
  <si>
    <t>https://drive.google.com/file/d/1Ru53sB3BS1c1nreyZFzvejdqUMb5q8yw/view?usp=drivesdk</t>
  </si>
  <si>
    <t>Document successfully created; Document successfully merged; PDF created; Emails Sent: [To: budimuslimrahmawan200604@gmail.com]; Manually run by ecertificate75@gmail.com; Timestamp: Aug 30 2024 9:19 PM</t>
  </si>
  <si>
    <t>1fInGMuum2Zy-IO68g_ub0ryMoaD1D_KG</t>
  </si>
  <si>
    <t>https://drive.google.com/file/d/1fInGMuum2Zy-IO68g_ub0ryMoaD1D_KG/view?usp=drivesdk</t>
  </si>
  <si>
    <t>LELIN YULIANA, S.E.</t>
  </si>
  <si>
    <t>lelinyuliana@gmail.com</t>
  </si>
  <si>
    <t>32</t>
  </si>
  <si>
    <t>https://drive.google.com/file/d/1Qxba4TOdo75ICqz0IgihVGwhNOfmSwrp/view?usp=drivesdk</t>
  </si>
  <si>
    <t>Document successfully created; Document successfully merged; PDF created; Emails Sent: [To: lelinyuliana@gmail.com]; Run via form trigger as ecertificate75@gmail.com; Timestamp: Aug 29 2024 8:28 PM</t>
  </si>
  <si>
    <t>1Qxba4TOdo75ICqz0IgihVGwhNOfmSwrp</t>
  </si>
  <si>
    <t>1RI2FgvuKzUiKE7kfH_2BErdW3DReFc75</t>
  </si>
  <si>
    <t>https://drive.google.com/file/d/1RI2FgvuKzUiKE7kfH_2BErdW3DReFc75/view?usp=drivesdk</t>
  </si>
  <si>
    <t>Document successfully created; Document successfully merged; PDF created; Emails Sent: [To: lelinyuliana@gmail.com]; Manually run by ecertificate75@gmail.com; Timestamp: Aug 30 2024 9:19 PM</t>
  </si>
  <si>
    <t>1Fc8z-rf9ItSATVTWviBiqXaavcg5buIR</t>
  </si>
  <si>
    <t>https://drive.google.com/file/d/1Fc8z-rf9ItSATVTWviBiqXaavcg5buIR/view?usp=drivesdk</t>
  </si>
  <si>
    <t>Document successfully created; Document successfully merged; PDF created; !!Error Sending Emails: Service invoked too many times for one day: email.; Manually run by ecertificate75@gmail.com; Timestamp: Aug 31 2024 4:38 AM</t>
  </si>
  <si>
    <t>WINDY PUZA ARTIE SYARIP, Amd.Kep</t>
  </si>
  <si>
    <t>puzawindy@gmail.com</t>
  </si>
  <si>
    <t>33</t>
  </si>
  <si>
    <t>https://drive.google.com/file/d/1uo8yP_HigRD8KrqidPKDZDW4MLOZ0E10/view?usp=drivesdk</t>
  </si>
  <si>
    <t>Document successfully created; Document successfully merged; PDF created; Emails Sent: [To: puzawindy@gmail.com]; Run via form trigger as ecertificate75@gmail.com; Timestamp: Aug 29 2024 8:28 PM</t>
  </si>
  <si>
    <t>1uo8yP_HigRD8KrqidPKDZDW4MLOZ0E10</t>
  </si>
  <si>
    <t>1UQZRq3uEkaN2YkETrrqdPjOg5oo8OTLK</t>
  </si>
  <si>
    <t>https://drive.google.com/file/d/1UQZRq3uEkaN2YkETrrqdPjOg5oo8OTLK/view?usp=drivesdk</t>
  </si>
  <si>
    <t>Document successfully created; Document successfully merged; PDF created; Emails Sent: [To: puzawindy@gmail.com]; Manually run by ecertificate75@gmail.com; Timestamp: Aug 30 2024 9:19 PM</t>
  </si>
  <si>
    <t>107S-8tVO5LTMxiGNs7iF39oAYsEglGCY</t>
  </si>
  <si>
    <t>https://drive.google.com/file/d/107S-8tVO5LTMxiGNs7iF39oAYsEglGCY/view?usp=drivesdk</t>
  </si>
  <si>
    <t>UUN KURNAESIH</t>
  </si>
  <si>
    <t>uunkurnaesih7474@gmail.com</t>
  </si>
  <si>
    <t>34</t>
  </si>
  <si>
    <t>https://drive.google.com/file/d/1_CHoTw0_qPmT_XVHr5gFav1hq9o0f6J4/view?usp=drivesdk</t>
  </si>
  <si>
    <t>Document successfully created; Document successfully merged; PDF created; Emails Sent: [To: uunkurnaesih7474@gmail.com]; Run via form trigger as ecertificate75@gmail.com; Timestamp: Aug 29 2024 8:28 PM</t>
  </si>
  <si>
    <t>1_CHoTw0_qPmT_XVHr5gFav1hq9o0f6J4</t>
  </si>
  <si>
    <t>1uY5BrGkcOKUmF8UsvWhiLSJ3iCC8O_e1</t>
  </si>
  <si>
    <t>https://drive.google.com/file/d/1uY5BrGkcOKUmF8UsvWhiLSJ3iCC8O_e1/view?usp=drivesdk</t>
  </si>
  <si>
    <t>Document successfully created; Document successfully merged; PDF created; Emails Sent: [To: uunkurnaesih7474@gmail.com]; Manually run by ecertificate75@gmail.com; Timestamp: Aug 30 2024 9:20 PM</t>
  </si>
  <si>
    <t>1WfU10XUOSnIxB-S2lldsXTJVl0WMIJO8</t>
  </si>
  <si>
    <t>https://drive.google.com/file/d/1WfU10XUOSnIxB-S2lldsXTJVl0WMIJO8/view?usp=drivesdk</t>
  </si>
  <si>
    <t>PRINITA SWASTARINI, AMD</t>
  </si>
  <si>
    <t>swastarini1978@gmail.com</t>
  </si>
  <si>
    <t>35</t>
  </si>
  <si>
    <t>https://drive.google.com/file/d/1Po9MxcBB0lvn-FGdQy7g_yErGe9y9lPK/view?usp=drivesdk</t>
  </si>
  <si>
    <t>Document successfully created; Document successfully merged; PDF created; Emails Sent: [To: swastarini1978@gmail.com]; Run via form trigger as ecertificate75@gmail.com; Timestamp: Aug 29 2024 8:29 PM</t>
  </si>
  <si>
    <t>1Po9MxcBB0lvn-FGdQy7g_yErGe9y9lPK</t>
  </si>
  <si>
    <t>17Cm8_PzKgZ_k2qKUvQU9b-B3hzXpHkdM</t>
  </si>
  <si>
    <t>https://drive.google.com/file/d/17Cm8_PzKgZ_k2qKUvQU9b-B3hzXpHkdM/view?usp=drivesdk</t>
  </si>
  <si>
    <t>Document successfully created; Document successfully merged; PDF created; Emails Sent: [To: swastarini1978@gmail.com]; Manually run by ecertificate75@gmail.com; Timestamp: Aug 30 2024 9:20 PM</t>
  </si>
  <si>
    <t>1rGs5knj2hbSR-F0u1gApBgvkk_qjDXsO</t>
  </si>
  <si>
    <t>https://drive.google.com/file/d/1rGs5knj2hbSR-F0u1gApBgvkk_qjDXsO/view?usp=drivesdk</t>
  </si>
  <si>
    <t>SRI PURWANINGSIH, AMD</t>
  </si>
  <si>
    <t>ppurwaningsihsri@gmail.com</t>
  </si>
  <si>
    <t>36</t>
  </si>
  <si>
    <t>https://drive.google.com/file/d/16QNMwfVVTs4UnQrtfsgi_VUG6csKD4a0/view?usp=drivesdk</t>
  </si>
  <si>
    <t>Document successfully created; Document successfully merged; PDF created; Emails Sent: [To: ppurwaningsihsri@gmail.com]; Run via form trigger as ecertificate75@gmail.com; Timestamp: Aug 29 2024 8:28 PM</t>
  </si>
  <si>
    <t>16QNMwfVVTs4UnQrtfsgi_VUG6csKD4a0</t>
  </si>
  <si>
    <t>1AkKgfQ22W_z3atii867kVUSyOS_pHiRp</t>
  </si>
  <si>
    <t>https://drive.google.com/file/d/1AkKgfQ22W_z3atii867kVUSyOS_pHiRp/view?usp=drivesdk</t>
  </si>
  <si>
    <t>Document successfully created; Document successfully merged; PDF created; Emails Sent: [To: ppurwaningsihsri@gmail.com]; Manually run by ecertificate75@gmail.com; Timestamp: Aug 30 2024 9:20 PM</t>
  </si>
  <si>
    <t>1rsUdPrAFoFwv-MqHN-tkJeAYKqAZuoJ9</t>
  </si>
  <si>
    <t>https://drive.google.com/file/d/1rsUdPrAFoFwv-MqHN-tkJeAYKqAZuoJ9/view?usp=drivesdk</t>
  </si>
  <si>
    <t>BARESKRIM POLRI</t>
  </si>
  <si>
    <t xml:space="preserve">IIS SUDARYANTI </t>
  </si>
  <si>
    <t>iis.sudaryanti@gmail.com</t>
  </si>
  <si>
    <t>37</t>
  </si>
  <si>
    <t>https://drive.google.com/file/d/1yB_mMzXekebowwZx_NHbClELVQnyv7rW/view?usp=drivesdk</t>
  </si>
  <si>
    <t>Document successfully created; Document successfully merged; PDF created; Emails Sent: [To: iis.sudaryanti@gmail.com]; Run via form trigger as ecertificate75@gmail.com; Timestamp: Aug 29 2024 8:28 PM</t>
  </si>
  <si>
    <t>1yB_mMzXekebowwZx_NHbClELVQnyv7rW</t>
  </si>
  <si>
    <t>1GVB9QABrrMtQSrEvOdBJTMUviM2A3PpG</t>
  </si>
  <si>
    <t>https://drive.google.com/file/d/1GVB9QABrrMtQSrEvOdBJTMUviM2A3PpG/view?usp=drivesdk</t>
  </si>
  <si>
    <t>Document successfully created; Document successfully merged; PDF created; Emails Sent: [To: iis.sudaryanti@gmail.com]; Manually run by ecertificate75@gmail.com; Timestamp: Aug 30 2024 9:20 PM</t>
  </si>
  <si>
    <t>1GL-5KG3nh6OdexBlY0LwuDgH-c02aZzD</t>
  </si>
  <si>
    <t>https://drive.google.com/file/d/1GL-5KG3nh6OdexBlY0LwuDgH-c02aZzD/view?usp=drivesdk</t>
  </si>
  <si>
    <t>HERU NURCAHYA,SH,MH</t>
  </si>
  <si>
    <t>herunoorcahya01@gmail.com</t>
  </si>
  <si>
    <t>38</t>
  </si>
  <si>
    <t>https://drive.google.com/file/d/1tOCTLZNoHPb_JNRzLOM3W10YcYsZUqWN/view?usp=drivesdk</t>
  </si>
  <si>
    <t>Document successfully created; Document successfully merged; PDF created; Emails Sent: [To: herunoorcahya01@gmail.com]; Run via form trigger as ecertificate75@gmail.com; Timestamp: Aug 29 2024 8:28 PM</t>
  </si>
  <si>
    <t>1tOCTLZNoHPb_JNRzLOM3W10YcYsZUqWN</t>
  </si>
  <si>
    <t>10WdTRsWCLugTetPT1dxu-smYhwRzkeAP</t>
  </si>
  <si>
    <t>https://drive.google.com/file/d/10WdTRsWCLugTetPT1dxu-smYhwRzkeAP/view?usp=drivesdk</t>
  </si>
  <si>
    <t>Document successfully created; Document successfully merged; PDF created; Emails Sent: [To: herunoorcahya01@gmail.com]; Manually run by ecertificate75@gmail.com; Timestamp: Aug 30 2024 9:20 PM</t>
  </si>
  <si>
    <t>1Qs6QanfYyBh_67sc9S1nPT3_Mq7kH9fG</t>
  </si>
  <si>
    <t>https://drive.google.com/file/d/1Qs6QanfYyBh_67sc9S1nPT3_Mq7kH9fG/view?usp=drivesdk</t>
  </si>
  <si>
    <t>Document successfully created; Document successfully merged; PDF created; !!Error Sending Emails: Service invoked too many times for one day: email.; Manually run by ecertificate75@gmail.com; Timestamp: Aug 31 2024 4:39 AM</t>
  </si>
  <si>
    <t>SLOG POLRI</t>
  </si>
  <si>
    <t>ETIN ROHAETIn</t>
  </si>
  <si>
    <t>222173036@students.unsurya.ac.id</t>
  </si>
  <si>
    <t>39</t>
  </si>
  <si>
    <t>https://drive.google.com/file/d/1e1t8AuLQqIOJjojh4Dv7VtIcgCrLcEuL/view?usp=drivesdk</t>
  </si>
  <si>
    <t>Document successfully created; Document successfully merged; PDF created; Emails Sent: [To: 222173036@students.unsurya.ac.id]; Run via form trigger as ecertificate75@gmail.com; Timestamp: Aug 29 2024 8:28 PM</t>
  </si>
  <si>
    <t>1e1t8AuLQqIOJjojh4Dv7VtIcgCrLcEuL</t>
  </si>
  <si>
    <t>1q2IykwJE4OFbC7kUxIN72eu3YwtXZmw_</t>
  </si>
  <si>
    <t>https://drive.google.com/file/d/1q2IykwJE4OFbC7kUxIN72eu3YwtXZmw_/view?usp=drivesdk</t>
  </si>
  <si>
    <t>Document successfully created; Document successfully merged; PDF created; Emails Sent: [To: 222173036@students.unsurya.ac.id]; Manually run by ecertificate75@gmail.com; Timestamp: Aug 30 2024 9:20 PM</t>
  </si>
  <si>
    <t>1jW6Dm_xsx4jPprgYvBiQLPeUUCETqPHk</t>
  </si>
  <si>
    <t>https://drive.google.com/file/d/1jW6Dm_xsx4jPprgYvBiQLPeUUCETqPHk/view?usp=drivesdk</t>
  </si>
  <si>
    <t>DWI YULIANTI, S.E., M.M.</t>
  </si>
  <si>
    <t>dwi.yulianti1986@gmail.com</t>
  </si>
  <si>
    <t>40</t>
  </si>
  <si>
    <t>https://drive.google.com/file/d/1j9VxM0s2BWC2hLW39_NFiUK2LD3fsVdZ/view?usp=drivesdk</t>
  </si>
  <si>
    <t>Document successfully created; Document successfully merged; PDF created; Emails Sent: [To: dwi.yulianti1986@gmail.com]; Run via form trigger as ecertificate75@gmail.com; Timestamp: Aug 29 2024 8:29 PM</t>
  </si>
  <si>
    <t>1j9VxM0s2BWC2hLW39_NFiUK2LD3fsVdZ</t>
  </si>
  <si>
    <t>1V4ug63wN4hcajf5MXJAOvFvoD0xjIxzK</t>
  </si>
  <si>
    <t>https://drive.google.com/file/d/1V4ug63wN4hcajf5MXJAOvFvoD0xjIxzK/view?usp=drivesdk</t>
  </si>
  <si>
    <t>Document successfully created; Document successfully merged; PDF created; Emails Sent: [To: dwi.yulianti1986@gmail.com]; Manually run by ecertificate75@gmail.com; Timestamp: Aug 30 2024 9:21 PM</t>
  </si>
  <si>
    <t>17C7igu8kj2DLql_TkwVSQaqWSsTegQWE</t>
  </si>
  <si>
    <t>https://drive.google.com/file/d/17C7igu8kj2DLql_TkwVSQaqWSsTegQWE/view?usp=drivesdk</t>
  </si>
  <si>
    <t>RETNO WARDANI, S.T.</t>
  </si>
  <si>
    <t>rwardani5@gmail.com</t>
  </si>
  <si>
    <t>41</t>
  </si>
  <si>
    <t>https://drive.google.com/file/d/19ntV0gDK575WeWcl252A8nuVi3BQtWZ4/view?usp=drivesdk</t>
  </si>
  <si>
    <t>Document successfully created; Document successfully merged; PDF created; Emails Sent: [To: rwardani5@gmail.com]; Run via form trigger as ecertificate75@gmail.com; Timestamp: Aug 29 2024 8:29 PM</t>
  </si>
  <si>
    <t>19ntV0gDK575WeWcl252A8nuVi3BQtWZ4</t>
  </si>
  <si>
    <t>1rAm_b6niPc8_S4otREtbyU_yiQMWr71t</t>
  </si>
  <si>
    <t>https://drive.google.com/file/d/1rAm_b6niPc8_S4otREtbyU_yiQMWr71t/view?usp=drivesdk</t>
  </si>
  <si>
    <t>Document successfully created; Document successfully merged; PDF created; Emails Sent: [To: rwardani5@gmail.com]; Manually run by ecertificate75@gmail.com; Timestamp: Aug 30 2024 9:21 PM</t>
  </si>
  <si>
    <t>15H479_Aw1e--M-MXLR7c-3FXUYvFnRrP</t>
  </si>
  <si>
    <t>https://drive.google.com/file/d/15H479_Aw1e--M-MXLR7c-3FXUYvFnRrP/view?usp=drivesdk</t>
  </si>
  <si>
    <t>E. DIAN TRI PUSPITASARI, SST</t>
  </si>
  <si>
    <t>effifanidian@gmail.com</t>
  </si>
  <si>
    <t>42</t>
  </si>
  <si>
    <t>https://drive.google.com/file/d/1R3x_ZxkKjbd6k3bifnIc7U8b2Rwm3Pmo/view?usp=drivesdk</t>
  </si>
  <si>
    <t>Document successfully created; Document successfully merged; PDF created; Emails Sent: [To: effifanidian@gmail.com]; Run via form trigger as ecertificate75@gmail.com; Timestamp: Aug 29 2024 8:29 PM</t>
  </si>
  <si>
    <t>1R3x_ZxkKjbd6k3bifnIc7U8b2Rwm3Pmo</t>
  </si>
  <si>
    <t>1q-MRhEH5XRp68SeKo1cig9zsP7A1TNuO</t>
  </si>
  <si>
    <t>https://drive.google.com/file/d/1q-MRhEH5XRp68SeKo1cig9zsP7A1TNuO/view?usp=drivesdk</t>
  </si>
  <si>
    <t>Document successfully created; Document successfully merged; PDF created; Emails Sent: [To: effifanidian@gmail.com]; Manually run by ecertificate75@gmail.com; Timestamp: Aug 30 2024 9:21 PM</t>
  </si>
  <si>
    <t>170GvrMpGPWDQBSb_gnzrBNNHghnfRvWZ</t>
  </si>
  <si>
    <t>https://drive.google.com/file/d/170GvrMpGPWDQBSb_gnzrBNNHghnfRvWZ/view?usp=drivesdk</t>
  </si>
  <si>
    <t xml:space="preserve">HENI EVI TRIANINGSIH </t>
  </si>
  <si>
    <t>henievi70@gmail.com</t>
  </si>
  <si>
    <t>43</t>
  </si>
  <si>
    <t>https://drive.google.com/file/d/1Mk3jjmSHa-ATOe0BWhgxh8lmNzGELchL/view?usp=drivesdk</t>
  </si>
  <si>
    <t>Document successfully created; Document successfully merged; PDF created; Emails Sent: [To: henievi70@gmail.com]; Run via form trigger as ecertificate75@gmail.com; Timestamp: Aug 29 2024 8:29 PM</t>
  </si>
  <si>
    <t>1Mk3jjmSHa-ATOe0BWhgxh8lmNzGELchL</t>
  </si>
  <si>
    <t>163LVY241xoc6-PYriqcJlkNNvORw4-Oa</t>
  </si>
  <si>
    <t>https://drive.google.com/file/d/163LVY241xoc6-PYriqcJlkNNvORw4-Oa/view?usp=drivesdk</t>
  </si>
  <si>
    <t>Document successfully created; Document successfully merged; PDF created; Emails Sent: [To: henievi70@gmail.com]; Manually run by ecertificate75@gmail.com; Timestamp: Aug 30 2024 9:21 PM</t>
  </si>
  <si>
    <t>1RiZSXEt5PvFY5BRfxvg-6kSoPO2Nvv6U</t>
  </si>
  <si>
    <t>https://drive.google.com/file/d/1RiZSXEt5PvFY5BRfxvg-6kSoPO2Nvv6U/view?usp=drivesdk</t>
  </si>
  <si>
    <t>POLDA NTB</t>
  </si>
  <si>
    <t>IDA AYU MADE YUNIASIH, S.E.</t>
  </si>
  <si>
    <t>PENATA MUDA</t>
  </si>
  <si>
    <t>dayuasih8@gmail.com</t>
  </si>
  <si>
    <t>44</t>
  </si>
  <si>
    <t>https://drive.google.com/file/d/1X4hQ35hJyz3zIuAV9VK7AYXog_5VqecP/view?usp=drivesdk</t>
  </si>
  <si>
    <t>Document successfully created; Document successfully merged; PDF created; Emails Sent: [To: dayuasih8@gmail.com]; Run via form trigger as ecertificate75@gmail.com; Timestamp: Aug 29 2024 8:29 PM</t>
  </si>
  <si>
    <t>1X4hQ35hJyz3zIuAV9VK7AYXog_5VqecP</t>
  </si>
  <si>
    <t>1RdQ2mA8Tr5PKPVUBgf7saVK57QChMQyR</t>
  </si>
  <si>
    <t>https://drive.google.com/file/d/1RdQ2mA8Tr5PKPVUBgf7saVK57QChMQyR/view?usp=drivesdk</t>
  </si>
  <si>
    <t>Document successfully created; Document successfully merged; PDF created; Emails Sent: [To: dayuasih8@gmail.com]; Manually run by ecertificate75@gmail.com; Timestamp: Aug 30 2024 9:21 PM</t>
  </si>
  <si>
    <t>1S6qH7Yu16CSxiv_IPiYVl7u9p5sCHUYG</t>
  </si>
  <si>
    <t>https://drive.google.com/file/d/1S6qH7Yu16CSxiv_IPiYVl7u9p5sCHUYG/view?usp=drivesdk</t>
  </si>
  <si>
    <t>Document successfully created; Document successfully merged; PDF created; !!Error Sending Emails: Service invoked too many times for one day: email.; Manually run by ecertificate75@gmail.com; Timestamp: Aug 31 2024 4:40 AM</t>
  </si>
  <si>
    <t>FEBRIYANTO YAKIB, A.Md</t>
  </si>
  <si>
    <t>febriyantoyakib@gmail.com</t>
  </si>
  <si>
    <t>45</t>
  </si>
  <si>
    <t>https://drive.google.com/file/d/1cJ7CQgN-K30aaVWkT-Er53WS-_OsPQPy/view?usp=drivesdk</t>
  </si>
  <si>
    <t>Document successfully created; Document successfully merged; PDF created; Emails Sent: [To: febriyantoyakib@gmail.com]; Run via form trigger as ecertificate75@gmail.com; Timestamp: Aug 29 2024 8:29 PM</t>
  </si>
  <si>
    <t>1cJ7CQgN-K30aaVWkT-Er53WS-_OsPQPy</t>
  </si>
  <si>
    <t>1lQn-rnllCOasIdV_zAy8RbXplgk8Ku-o</t>
  </si>
  <si>
    <t>https://drive.google.com/file/d/1lQn-rnllCOasIdV_zAy8RbXplgk8Ku-o/view?usp=drivesdk</t>
  </si>
  <si>
    <t>Document successfully created; Document successfully merged; PDF created; Emails Sent: [To: febriyantoyakib@gmail.com]; Manually run by ecertificate75@gmail.com; Timestamp: Aug 30 2024 9:22 PM</t>
  </si>
  <si>
    <t>1nezBFzcrya-erVtCZO8EF-Ut6IJso1c0</t>
  </si>
  <si>
    <t>https://drive.google.com/file/d/1nezBFzcrya-erVtCZO8EF-Ut6IJso1c0/view?usp=drivesdk</t>
  </si>
  <si>
    <t>IMAS RAHMAWATI</t>
  </si>
  <si>
    <t>imasrahmawati1967@mail.com</t>
  </si>
  <si>
    <t>46</t>
  </si>
  <si>
    <t>https://drive.google.com/file/d/1ki-a9Cs3qt0CrIGsts77z20N6Bw_2SSr/view?usp=drivesdk</t>
  </si>
  <si>
    <t>Document successfully created; Document successfully merged; PDF created; Emails Sent: [To: imasrahmawati1967@mail.com]; Run via form trigger as ecertificate75@gmail.com; Timestamp: Aug 29 2024 8:29 PM</t>
  </si>
  <si>
    <t>1ki-a9Cs3qt0CrIGsts77z20N6Bw_2SSr</t>
  </si>
  <si>
    <t>13IxwqWJhU73JTXEwgh3MB3p0NB92KfDX</t>
  </si>
  <si>
    <t>https://drive.google.com/file/d/13IxwqWJhU73JTXEwgh3MB3p0NB92KfDX/view?usp=drivesdk</t>
  </si>
  <si>
    <t>Document successfully created; Document successfully merged; PDF created; Emails Sent: [To: imasrahmawati1967@mail.com]; Manually run by ecertificate75@gmail.com; Timestamp: Aug 30 2024 9:22 PM</t>
  </si>
  <si>
    <t>13xlrudbtnL5e15FGt_LeMuvx7jNMkWHP</t>
  </si>
  <si>
    <t>https://drive.google.com/file/d/13xlrudbtnL5e15FGt_LeMuvx7jNMkWHP/view?usp=drivesdk</t>
  </si>
  <si>
    <t>ELVAN HARDIANSYAH.,S.KOM</t>
  </si>
  <si>
    <t>elofie200308@yahoo.co.id</t>
  </si>
  <si>
    <t>47</t>
  </si>
  <si>
    <t>https://drive.google.com/file/d/1_72PSniTFtlTuWK-m-J9DdZ6q7qwA7K0/view?usp=drivesdk</t>
  </si>
  <si>
    <t>Document successfully created; Document successfully merged; PDF created; Emails Sent: [To: elofie200308@yahoo.co.id]; Run via form trigger as ecertificate75@gmail.com; Timestamp: Aug 29 2024 8:30 PM</t>
  </si>
  <si>
    <t>1_72PSniTFtlTuWK-m-J9DdZ6q7qwA7K0</t>
  </si>
  <si>
    <t>1BatxnLiNFLKmLjp-5EC6VmAumxbU5M2Q</t>
  </si>
  <si>
    <t>https://drive.google.com/file/d/1BatxnLiNFLKmLjp-5EC6VmAumxbU5M2Q/view?usp=drivesdk</t>
  </si>
  <si>
    <t>Document successfully created; Document successfully merged; PDF created; Emails Sent: [To: elofie200308@yahoo.co.id]; Manually run by ecertificate75@gmail.com; Timestamp: Aug 30 2024 9:22 PM</t>
  </si>
  <si>
    <t>1RwfyWQa5ZwoLdQDMnibqb5KgQPGx_8Lr</t>
  </si>
  <si>
    <t>https://drive.google.com/file/d/1RwfyWQa5ZwoLdQDMnibqb5KgQPGx_8Lr/view?usp=drivesdk</t>
  </si>
  <si>
    <t xml:space="preserve">DIAH PITALOKA </t>
  </si>
  <si>
    <t>aisah.kawaii5@gmail.com</t>
  </si>
  <si>
    <t>48</t>
  </si>
  <si>
    <t>https://drive.google.com/file/d/1s6sigVtCnpZKXM2ENgRQ9r7p8FF5n2-u/view?usp=drivesdk</t>
  </si>
  <si>
    <t>Document successfully created; Document successfully merged; PDF created; Emails Sent: [To: aisah.kawaii5@gmail.com]; Run via form trigger as ecertificate75@gmail.com; Timestamp: Aug 29 2024 8:30 PM</t>
  </si>
  <si>
    <t>1s6sigVtCnpZKXM2ENgRQ9r7p8FF5n2-u</t>
  </si>
  <si>
    <t>1JcD0wOiZ6i2vdcEOVvk-2zlzAROgypOd</t>
  </si>
  <si>
    <t>https://drive.google.com/file/d/1JcD0wOiZ6i2vdcEOVvk-2zlzAROgypOd/view?usp=drivesdk</t>
  </si>
  <si>
    <t>Document successfully created; Document successfully merged; PDF created; Emails Sent: [To: aisah.kawaii5@gmail.com]; Manually run by ecertificate75@gmail.com; Timestamp: Aug 30 2024 9:22 PM</t>
  </si>
  <si>
    <t>1ho2cBZ9PkaPlSKCAEAIJye-vB-RH0hsE</t>
  </si>
  <si>
    <t>https://drive.google.com/file/d/1ho2cBZ9PkaPlSKCAEAIJye-vB-RH0hsE/view?usp=drivesdk</t>
  </si>
  <si>
    <t>POLDA BALI</t>
  </si>
  <si>
    <t>APT. DEWI INDRAWATY KARTOLO, S.SI</t>
  </si>
  <si>
    <t>dewikartolo77@gmail.com</t>
  </si>
  <si>
    <t>49</t>
  </si>
  <si>
    <t>https://drive.google.com/file/d/1BxzHI88T-W9l0GUpwNKSYrv-UPj4OcJG/view?usp=drivesdk</t>
  </si>
  <si>
    <t>Document successfully created; Document successfully merged; PDF created; Emails Sent: [To: dewikartolo77@gmail.com]; Run via form trigger as ecertificate75@gmail.com; Timestamp: Aug 29 2024 8:30 PM</t>
  </si>
  <si>
    <t>1BxzHI88T-W9l0GUpwNKSYrv-UPj4OcJG</t>
  </si>
  <si>
    <t>1nhEU6Dpw2mglDNOgVSlheN6X_CE-keNJ</t>
  </si>
  <si>
    <t>https://drive.google.com/file/d/1nhEU6Dpw2mglDNOgVSlheN6X_CE-keNJ/view?usp=drivesdk</t>
  </si>
  <si>
    <t>Document successfully created; Document successfully merged; PDF created; Emails Sent: [To: dewikartolo77@gmail.com]; Manually run by ecertificate75@gmail.com; Timestamp: Aug 30 2024 9:22 PM</t>
  </si>
  <si>
    <t>1kNwT0wmSMljam06oaNI053pWHyoudaLH</t>
  </si>
  <si>
    <t>https://drive.google.com/file/d/1kNwT0wmSMljam06oaNI053pWHyoudaLH/view?usp=drivesdk</t>
  </si>
  <si>
    <t>drg.LINA HANDAYANI SpKGA.MM</t>
  </si>
  <si>
    <t>drg.linahandayani@gmail.com</t>
  </si>
  <si>
    <t>50</t>
  </si>
  <si>
    <t>https://drive.google.com/file/d/1iiePQ0_2CCX7mzjMPtTRvK8-32kkf6Wk/view?usp=drivesdk</t>
  </si>
  <si>
    <t>Document successfully created; Document successfully merged; PDF created; Emails Sent: [To: drg.linahandayani@gmail.com]; Run via form trigger as ecertificate75@gmail.com; Timestamp: Aug 29 2024 8:30 PM</t>
  </si>
  <si>
    <t>1iiePQ0_2CCX7mzjMPtTRvK8-32kkf6Wk</t>
  </si>
  <si>
    <t>16VQ0PFknYq9Uu5w1vzHsDJa8Ng--l-D3</t>
  </si>
  <si>
    <t>https://drive.google.com/file/d/16VQ0PFknYq9Uu5w1vzHsDJa8Ng--l-D3/view?usp=drivesdk</t>
  </si>
  <si>
    <t>Document successfully created; Document successfully merged; PDF created; Emails Sent: [To: drg.linahandayani@gmail.com]; Manually run by ecertificate75@gmail.com; Timestamp: Aug 30 2024 9:22 PM</t>
  </si>
  <si>
    <t>1REw-DfaL4MfhwfjfXa6zZjA28G-_Dyhx</t>
  </si>
  <si>
    <t>https://drive.google.com/file/d/1REw-DfaL4MfhwfjfXa6zZjA28G-_Dyhx/view?usp=drivesdk</t>
  </si>
  <si>
    <t>Document successfully created; Document successfully merged; PDF created; !!Error Sending Emails: Service invoked too many times for one day: email.; Manually run by ecertificate75@gmail.com; Timestamp: Aug 31 2024 4:41 AM</t>
  </si>
  <si>
    <t>POLDA PAPUA</t>
  </si>
  <si>
    <t>RAHMAD WIJAYANTO</t>
  </si>
  <si>
    <t>rahmad00692@gmail.com</t>
  </si>
  <si>
    <t>51</t>
  </si>
  <si>
    <t>https://drive.google.com/file/d/1Z9Hi592aqIzJNuyFaPxXZ2nELKdGAHp3/view?usp=drivesdk</t>
  </si>
  <si>
    <t>Document successfully created; Document successfully merged; PDF created; Emails Sent: [To: rahmad00692@gmail.com]; Run via form trigger as ecertificate75@gmail.com; Timestamp: Aug 29 2024 8:30 PM</t>
  </si>
  <si>
    <t>1Z9Hi592aqIzJNuyFaPxXZ2nELKdGAHp3</t>
  </si>
  <si>
    <t>15GJMYoT-x-ndJLhfZzaLseu_mva55jK0</t>
  </si>
  <si>
    <t>https://drive.google.com/file/d/15GJMYoT-x-ndJLhfZzaLseu_mva55jK0/view?usp=drivesdk</t>
  </si>
  <si>
    <t>Document successfully created; Document successfully merged; PDF created; Emails Sent: [To: rahmad00692@gmail.com]; Manually run by ecertificate75@gmail.com; Timestamp: Aug 30 2024 9:23 PM</t>
  </si>
  <si>
    <t>1PshVxZ7myHKtAsd8-anwxD6F3g1hivBI</t>
  </si>
  <si>
    <t>https://drive.google.com/file/d/1PshVxZ7myHKtAsd8-anwxD6F3g1hivBI/view?usp=drivesdk</t>
  </si>
  <si>
    <t>ASEP SUHERMAN</t>
  </si>
  <si>
    <t>asepsuherman6824@gmail.com</t>
  </si>
  <si>
    <t>52</t>
  </si>
  <si>
    <t>https://drive.google.com/file/d/1f9vr7fO-sWcIjS6MufZkohqsKOmH0u8Z/view?usp=drivesdk</t>
  </si>
  <si>
    <t>Document successfully created; Document successfully merged; PDF created; Emails Sent: [To: asepsuherman6824@gmail.com]; Run via form trigger as ecertificate75@gmail.com; Timestamp: Aug 29 2024 8:30 PM</t>
  </si>
  <si>
    <t>1f9vr7fO-sWcIjS6MufZkohqsKOmH0u8Z</t>
  </si>
  <si>
    <t>1b06WrChGJDQZXsNtSOAzZQqdttd8z6A7</t>
  </si>
  <si>
    <t>https://drive.google.com/file/d/1b06WrChGJDQZXsNtSOAzZQqdttd8z6A7/view?usp=drivesdk</t>
  </si>
  <si>
    <t>Document successfully created; Document successfully merged; PDF created; Emails Sent: [To: asepsuherman6824@gmail.com]; Manually run by ecertificate75@gmail.com; Timestamp: Aug 30 2024 9:23 PM</t>
  </si>
  <si>
    <t>1Onp1ijCex04TorcobTGqLTTYwCZQ4VRk</t>
  </si>
  <si>
    <t>https://drive.google.com/file/d/1Onp1ijCex04TorcobTGqLTTYwCZQ4VRk/view?usp=drivesdk</t>
  </si>
  <si>
    <t>METY SUPRIYATI, S.E.</t>
  </si>
  <si>
    <t>mety810508@gmail.com</t>
  </si>
  <si>
    <t>53</t>
  </si>
  <si>
    <t>https://drive.google.com/file/d/1q-onVtIbR1_mKUkv-3h8tlh0XXWec_MJ/view?usp=drivesdk</t>
  </si>
  <si>
    <t>Document successfully created; Document successfully merged; PDF created; Emails Sent: [To: mety810508@gmail.com]; Run via form trigger as ecertificate75@gmail.com; Timestamp: Aug 29 2024 8:30 PM</t>
  </si>
  <si>
    <t>1q-onVtIbR1_mKUkv-3h8tlh0XXWec_MJ</t>
  </si>
  <si>
    <t>16pz2EFnLHzP8yHyAGyIqNrg-zgbKh6rQ</t>
  </si>
  <si>
    <t>https://drive.google.com/file/d/16pz2EFnLHzP8yHyAGyIqNrg-zgbKh6rQ/view?usp=drivesdk</t>
  </si>
  <si>
    <t>Document successfully created; Document successfully merged; PDF created; Emails Sent: [To: mety810508@gmail.com]; Manually run by ecertificate75@gmail.com; Timestamp: Aug 30 2024 9:24 PM</t>
  </si>
  <si>
    <t>1X0UvOlklhPF6CgrEW_SvkGA1qS2E6IEg</t>
  </si>
  <si>
    <t>https://drive.google.com/file/d/1X0UvOlklhPF6CgrEW_SvkGA1qS2E6IEg/view?usp=drivesdk</t>
  </si>
  <si>
    <t>HAPRIADI HAFID</t>
  </si>
  <si>
    <t>hafriadihafdi87@gmail.com</t>
  </si>
  <si>
    <t>54</t>
  </si>
  <si>
    <t>https://drive.google.com/file/d/1Z9wigMSHJMOdaDbDD7crDXRi06Lt3LNE/view?usp=drivesdk</t>
  </si>
  <si>
    <t>Document successfully created; Document successfully merged; PDF created; Emails Sent: [To: hafriadihafdi87@gmail.com]; Run via form trigger as ecertificate75@gmail.com; Timestamp: Aug 29 2024 8:30 PM</t>
  </si>
  <si>
    <t>1Z9wigMSHJMOdaDbDD7crDXRi06Lt3LNE</t>
  </si>
  <si>
    <t>1W_CRPV3d4oG_VVVKRGN04cQ4bUNmEYi8</t>
  </si>
  <si>
    <t>https://drive.google.com/file/d/1W_CRPV3d4oG_VVVKRGN04cQ4bUNmEYi8/view?usp=drivesdk</t>
  </si>
  <si>
    <t>Document successfully created; Document successfully merged; PDF created; Emails Sent: [To: hafriadihafdi87@gmail.com]; Manually run by ecertificate75@gmail.com; Timestamp: Aug 30 2024 9:25 PM</t>
  </si>
  <si>
    <t>10ASPo0Ych_-FmkVKuZ2pU1prjgJzsZTz</t>
  </si>
  <si>
    <t>https://drive.google.com/file/d/10ASPo0Ych_-FmkVKuZ2pU1prjgJzsZTz/view?usp=drivesdk</t>
  </si>
  <si>
    <t>DIAN SULISTIANI AMd Kep</t>
  </si>
  <si>
    <t>onelvio2012@gmail.com</t>
  </si>
  <si>
    <t>55</t>
  </si>
  <si>
    <t>https://drive.google.com/file/d/1Q562loPl8eo8IrNiQrDsemb7ufBgELXb/view?usp=drivesdk</t>
  </si>
  <si>
    <t>Document successfully created; Document successfully merged; PDF created; Emails Sent: [To: onelvio2012@gmail.com]; Run via form trigger as ecertificate75@gmail.com; Timestamp: Aug 29 2024 8:30 PM</t>
  </si>
  <si>
    <t>1Q562loPl8eo8IrNiQrDsemb7ufBgELXb</t>
  </si>
  <si>
    <t>1IFpJmtb33wN6s0CM1eIJtITPAFnDf6B1</t>
  </si>
  <si>
    <t>https://drive.google.com/file/d/1IFpJmtb33wN6s0CM1eIJtITPAFnDf6B1/view?usp=drivesdk</t>
  </si>
  <si>
    <t>Document successfully created; Document successfully merged; PDF created; !!Error Sending Emails: Service invoked too many times for one day: email.; Manually run by ecertificate75@gmail.com; Timestamp: Aug 30 2024 9:25 PM</t>
  </si>
  <si>
    <t>1vZWt7PZQ-BJ6UbBfnIIcARD5iqxPPKWn</t>
  </si>
  <si>
    <t>https://drive.google.com/file/d/1vZWt7PZQ-BJ6UbBfnIIcARD5iqxPPKWn/view?usp=drivesdk</t>
  </si>
  <si>
    <t>Document successfully created; Document successfully merged; PDF created; !!Error Sending Emails: Service invoked too many times for one day: email.; Manually run by ecertificate75@gmail.com; Timestamp: Aug 31 2024 4:42 AM</t>
  </si>
  <si>
    <t>ERTINI ZAMRATINNISA, A.Md.,Kep</t>
  </si>
  <si>
    <t>ntinzamratinnisa@gmail.com</t>
  </si>
  <si>
    <t>56</t>
  </si>
  <si>
    <t>https://drive.google.com/file/d/1GRKuMe4sR3sVW9gSmPc9JX2oSQYwsUz4/view?usp=drivesdk</t>
  </si>
  <si>
    <t>Document successfully created; Document successfully merged; PDF created; Emails Sent: [To: ntinzamratinnisa@gmail.com]; Run via form trigger as ecertificate75@gmail.com; Timestamp: Aug 29 2024 8:30 PM</t>
  </si>
  <si>
    <t>1GRKuMe4sR3sVW9gSmPc9JX2oSQYwsUz4</t>
  </si>
  <si>
    <t>1l1jf7ZbRzlTuS1hpbIFN3AQ8LbeXb0tX</t>
  </si>
  <si>
    <t>https://drive.google.com/file/d/1l1jf7ZbRzlTuS1hpbIFN3AQ8LbeXb0tX/view?usp=drivesdk</t>
  </si>
  <si>
    <t>1vx7LFgy-4UPRAH0BFwHv5VmVcl5NCIfF</t>
  </si>
  <si>
    <t>https://drive.google.com/file/d/1vx7LFgy-4UPRAH0BFwHv5VmVcl5NCIfF/view?usp=drivesdk</t>
  </si>
  <si>
    <t>M ALDIN SURYANATA</t>
  </si>
  <si>
    <t>aldin.suryanata@gmail.com</t>
  </si>
  <si>
    <t>57</t>
  </si>
  <si>
    <t>https://drive.google.com/file/d/1SAPUlah8xOKlVw_LasihBh2gqphb44Ik/view?usp=drivesdk</t>
  </si>
  <si>
    <t>Document successfully created; Document successfully merged; PDF created; Emails Sent: [To: aldin.suryanata@gmail.com]; Run via form trigger as ecertificate75@gmail.com; Timestamp: Aug 29 2024 8:30 PM</t>
  </si>
  <si>
    <t>1SAPUlah8xOKlVw_LasihBh2gqphb44Ik</t>
  </si>
  <si>
    <t>1UA8mR2h6hnfnQjmtqewjJ9J-fgl8N6iu</t>
  </si>
  <si>
    <t>https://drive.google.com/file/d/1UA8mR2h6hnfnQjmtqewjJ9J-fgl8N6iu/view?usp=drivesdk</t>
  </si>
  <si>
    <t>1MT2rmV3XPQ47vyH12K1sqYOpZLAEMr6q</t>
  </si>
  <si>
    <t>https://drive.google.com/file/d/1MT2rmV3XPQ47vyH12K1sqYOpZLAEMr6q/view?usp=drivesdk</t>
  </si>
  <si>
    <t>NI MADE PANDA LESTARI, A.md.Kep</t>
  </si>
  <si>
    <t>panda_les@yahoo.com</t>
  </si>
  <si>
    <t>58</t>
  </si>
  <si>
    <t>https://drive.google.com/file/d/1g31JBWg67oopca4K7_YGrQK4DYdxJ0Oj/view?usp=drivesdk</t>
  </si>
  <si>
    <t>Document successfully created; Document successfully merged; PDF created; Emails Sent: [To: panda_les@yahoo.com]; Run via form trigger as ecertificate75@gmail.com; Timestamp: Aug 29 2024 8:30 PM</t>
  </si>
  <si>
    <t>1g31JBWg67oopca4K7_YGrQK4DYdxJ0Oj</t>
  </si>
  <si>
    <t>1n476lA8IcnElccO4t1ly2UHNK3qC-iB4</t>
  </si>
  <si>
    <t>https://drive.google.com/file/d/1n476lA8IcnElccO4t1ly2UHNK3qC-iB4/view?usp=drivesdk</t>
  </si>
  <si>
    <t>1UIkOXcM3vTsAeaRAb5yB12j1ssGX4QqP</t>
  </si>
  <si>
    <t>https://drive.google.com/file/d/1UIkOXcM3vTsAeaRAb5yB12j1ssGX4QqP/view?usp=drivesdk</t>
  </si>
  <si>
    <t>MAMI BARTINI, AKS</t>
  </si>
  <si>
    <t>mamibartini240470@gmail.com</t>
  </si>
  <si>
    <t>59</t>
  </si>
  <si>
    <t>https://drive.google.com/file/d/1_fTYL9LpMvKWe0YlRXyy9ssiyASYSsE7/view?usp=drivesdk</t>
  </si>
  <si>
    <t>Document successfully created; Document successfully merged; PDF created; Emails Sent: [To: mamibartini240470@gmail.com]; Run via form trigger as ecertificate75@gmail.com; Timestamp: Aug 29 2024 8:30 PM</t>
  </si>
  <si>
    <t>1_fTYL9LpMvKWe0YlRXyy9ssiyASYSsE7</t>
  </si>
  <si>
    <t>1ONWy0OssiUpCDSsRIu5RumE39980C2PU</t>
  </si>
  <si>
    <t>https://drive.google.com/file/d/1ONWy0OssiUpCDSsRIu5RumE39980C2PU/view?usp=drivesdk</t>
  </si>
  <si>
    <t>1dRmWfrMtUzovkfvqys05FKvn25cfjq23</t>
  </si>
  <si>
    <t>https://drive.google.com/file/d/1dRmWfrMtUzovkfvqys05FKvn25cfjq23/view?usp=drivesdk</t>
  </si>
  <si>
    <t>POLDA SUMBAR</t>
  </si>
  <si>
    <t>ASMAWATI TANDJUNG, S. Kep</t>
  </si>
  <si>
    <t>asmaw4407@gmail.com</t>
  </si>
  <si>
    <t>60</t>
  </si>
  <si>
    <t>https://drive.google.com/file/d/1Ra6lh1RvvOOfOoL269VZ6Y5ja4GV8MV_/view?usp=drivesdk</t>
  </si>
  <si>
    <t>Document successfully created; Document successfully merged; PDF created; Emails Sent: [To: asmaw4407@gmail.com]; Run via form trigger as ecertificate75@gmail.com; Timestamp: Aug 29 2024 8:30 PM</t>
  </si>
  <si>
    <t>1Ra6lh1RvvOOfOoL269VZ6Y5ja4GV8MV_</t>
  </si>
  <si>
    <t>15DPjSg_8tM2jAjmIfiNnikunXuQp1h58</t>
  </si>
  <si>
    <t>https://drive.google.com/file/d/15DPjSg_8tM2jAjmIfiNnikunXuQp1h58/view?usp=drivesdk</t>
  </si>
  <si>
    <t>Document successfully created; Document successfully merged; PDF created; !!Error Sending Emails: Service invoked too many times for one day: email.; Manually run by ecertificate75@gmail.com; Timestamp: Aug 30 2024 9:26 PM</t>
  </si>
  <si>
    <t>11KnLcd607GKFvg31FT_KEjIYO9JtJE_K</t>
  </si>
  <si>
    <t>https://drive.google.com/file/d/11KnLcd607GKFvg31FT_KEjIYO9JtJE_K/view?usp=drivesdk</t>
  </si>
  <si>
    <t>Document successfully created; Document successfully merged; PDF created; !!Error Sending Emails: Service invoked too many times for one day: email.; Manually run by ecertificate75@gmail.com; Timestamp: Aug 31 2024 4:43 AM</t>
  </si>
  <si>
    <t>ERNI FEBRIANTI,SE</t>
  </si>
  <si>
    <t>PPPK</t>
  </si>
  <si>
    <t>febriantierni25@gmail.com</t>
  </si>
  <si>
    <t>61</t>
  </si>
  <si>
    <t>https://drive.google.com/file/d/1ghplGOcNZhs3um1hJJXeEqy3cpd6M8rY/view?usp=drivesdk</t>
  </si>
  <si>
    <t>Document successfully created; Document successfully merged; PDF created; Emails Sent: [To: febriantierni25@gmail.com]; Run via form trigger as ecertificate75@gmail.com; Timestamp: Aug 29 2024 8:30 PM</t>
  </si>
  <si>
    <t>1ghplGOcNZhs3um1hJJXeEqy3cpd6M8rY</t>
  </si>
  <si>
    <t>15hLSBAnSkU9WykK0R-cn-rPRZPtAT4XR</t>
  </si>
  <si>
    <t>https://drive.google.com/file/d/15hLSBAnSkU9WykK0R-cn-rPRZPtAT4XR/view?usp=drivesdk</t>
  </si>
  <si>
    <t>1fyLjhHVU0ZmjMN6Hx22cJa3ejxl4hWKQ</t>
  </si>
  <si>
    <t>https://drive.google.com/file/d/1fyLjhHVU0ZmjMN6Hx22cJa3ejxl4hWKQ/view?usp=drivesdk</t>
  </si>
  <si>
    <t>SELFIA IKA DIANA SARI, S.E.</t>
  </si>
  <si>
    <t>selfiasupiyanto@gmail.com</t>
  </si>
  <si>
    <t>62</t>
  </si>
  <si>
    <t>https://drive.google.com/file/d/1gPhQpB2OLWR4SYV22bz6VNa0Tuw8XC_6/view?usp=drivesdk</t>
  </si>
  <si>
    <t>Document successfully created; Document successfully merged; PDF created; Emails Sent: [To: selfiasupiyanto@gmail.com]; Run via form trigger as ecertificate75@gmail.com; Timestamp: Aug 29 2024 8:30 PM</t>
  </si>
  <si>
    <t>1gPhQpB2OLWR4SYV22bz6VNa0Tuw8XC_6</t>
  </si>
  <si>
    <t>1Te99aNiodkhExG5RKC65f3RzeiFxZmvi</t>
  </si>
  <si>
    <t>https://drive.google.com/file/d/1Te99aNiodkhExG5RKC65f3RzeiFxZmvi/view?usp=drivesdk</t>
  </si>
  <si>
    <t>1XvI2MtAzaHKpABIJ_gp3T10OyIGmnbVX</t>
  </si>
  <si>
    <t>https://drive.google.com/file/d/1XvI2MtAzaHKpABIJ_gp3T10OyIGmnbVX/view?usp=drivesdk</t>
  </si>
  <si>
    <t>RIDHO AKHBAR AMKA, S.Tr.Kg, M.Kes</t>
  </si>
  <si>
    <t>ridhoakhbaramka94@yahoo.com</t>
  </si>
  <si>
    <t>63</t>
  </si>
  <si>
    <t>https://drive.google.com/file/d/17mu0my2mq4ZtJ_dxjZwh0_Rynaq8-fMT/view?usp=drivesdk</t>
  </si>
  <si>
    <t>Document successfully created; Document successfully merged; PDF created; Emails Sent: [To: ridhoakhbaramka94@yahoo.com]; Run via form trigger as ecertificate75@gmail.com; Timestamp: Aug 29 2024 8:30 PM</t>
  </si>
  <si>
    <t>17mu0my2mq4ZtJ_dxjZwh0_Rynaq8-fMT</t>
  </si>
  <si>
    <t>1ftmwvd2FUOITDBPtRzhlxStf1XevHIDw</t>
  </si>
  <si>
    <t>https://drive.google.com/file/d/1ftmwvd2FUOITDBPtRzhlxStf1XevHIDw/view?usp=drivesdk</t>
  </si>
  <si>
    <t>19nBLulfjQYET4XSAcHtiwT6jyWP0jfWh</t>
  </si>
  <si>
    <t>https://drive.google.com/file/d/19nBLulfjQYET4XSAcHtiwT6jyWP0jfWh/view?usp=drivesdk</t>
  </si>
  <si>
    <t>EKA DAMAYANTI,AMK.,SKM</t>
  </si>
  <si>
    <t>ekadamayati81@gmail.com</t>
  </si>
  <si>
    <t>64</t>
  </si>
  <si>
    <t>https://drive.google.com/file/d/1zhFzLxMqoWmL1onimjOsCoY9JZOJgXiY/view?usp=drivesdk</t>
  </si>
  <si>
    <t>Document successfully created; Document successfully merged; PDF created; Emails Sent: [To: ekadamayati81@gmail.com]; Run via form trigger as ecertificate75@gmail.com; Timestamp: Aug 29 2024 8:30 PM</t>
  </si>
  <si>
    <t>1zhFzLxMqoWmL1onimjOsCoY9JZOJgXiY</t>
  </si>
  <si>
    <t>12Gwz3uxAt2q0Cy1i05ZWaGJ9PFAvdskM</t>
  </si>
  <si>
    <t>https://drive.google.com/file/d/12Gwz3uxAt2q0Cy1i05ZWaGJ9PFAvdskM/view?usp=drivesdk</t>
  </si>
  <si>
    <t>1yVJ8wv6tf6PMucOHcEzuXH6mL3prTPtb</t>
  </si>
  <si>
    <t>https://drive.google.com/file/d/1yVJ8wv6tf6PMucOHcEzuXH6mL3prTPtb/view?usp=drivesdk</t>
  </si>
  <si>
    <t>Document successfully created; Document successfully merged; PDF created; !!Error Sending Emails: Service invoked too many times for one day: email.; Manually run by ecertificate75@gmail.com; Timestamp: Aug 31 2024 4:44 AM</t>
  </si>
  <si>
    <t>YUNI SETIAWATI NINGSIH, S.Kom., M.H.</t>
  </si>
  <si>
    <t>kinandira.yuni@gamil.com</t>
  </si>
  <si>
    <t>65</t>
  </si>
  <si>
    <t>https://drive.google.com/file/d/1k37wEgYSnpdWwKvHZkcyMxyugCTd2exn/view?usp=drivesdk</t>
  </si>
  <si>
    <t>Document successfully created; Document successfully merged; PDF created; Emails Sent: [To: kinandira.yuni@gamil.com]; Run via form trigger as ecertificate75@gmail.com; Timestamp: Aug 29 2024 8:30 PM</t>
  </si>
  <si>
    <t>1k37wEgYSnpdWwKvHZkcyMxyugCTd2exn</t>
  </si>
  <si>
    <t>1YJREIh9CKFQQe3BLu2XuL5yNj2o1h9Uj</t>
  </si>
  <si>
    <t>https://drive.google.com/file/d/1YJREIh9CKFQQe3BLu2XuL5yNj2o1h9Uj/view?usp=drivesdk</t>
  </si>
  <si>
    <t>1OnLHVAKFaHE-rnfoRVnPd_cETk6GUEt8</t>
  </si>
  <si>
    <t>https://drive.google.com/file/d/1OnLHVAKFaHE-rnfoRVnPd_cETk6GUEt8/view?usp=drivesdk</t>
  </si>
  <si>
    <t>NI LUH EKA NOVYASTUTI, S.E.</t>
  </si>
  <si>
    <t>just.2ty@gmail.com</t>
  </si>
  <si>
    <t>66</t>
  </si>
  <si>
    <t>https://drive.google.com/file/d/1MN0RZ6bm-MSRtpY3FQk5IOPRlqz2EYNw/view?usp=drivesdk</t>
  </si>
  <si>
    <t>Document successfully created; Document successfully merged; PDF created; Emails Sent: [To: just.2ty@gmail.com]; Run via form trigger as ecertificate75@gmail.com; Timestamp: Aug 29 2024 8:30 PM</t>
  </si>
  <si>
    <t>1MN0RZ6bm-MSRtpY3FQk5IOPRlqz2EYNw</t>
  </si>
  <si>
    <t>16awhK9YYFF-GETG2yXUN1ertYt1jXDc_</t>
  </si>
  <si>
    <t>https://drive.google.com/file/d/16awhK9YYFF-GETG2yXUN1ertYt1jXDc_/view?usp=drivesdk</t>
  </si>
  <si>
    <t>Document successfully created; Document successfully merged; PDF created; !!Error Sending Emails: Service invoked too many times for one day: email.; Manually run by ecertificate75@gmail.com; Timestamp: Aug 30 2024 9:27 PM</t>
  </si>
  <si>
    <t>1nbhTj7FRPmSDpk_iJMbrMBlmnm2xuwIf</t>
  </si>
  <si>
    <t>https://drive.google.com/file/d/1nbhTj7FRPmSDpk_iJMbrMBlmnm2xuwIf/view?usp=drivesdk</t>
  </si>
  <si>
    <t>AYU PUTRI SRI RAHAYUNING SUAMBA,STr.Keb</t>
  </si>
  <si>
    <t>aputri214@gmail.com</t>
  </si>
  <si>
    <t>67</t>
  </si>
  <si>
    <t>https://drive.google.com/file/d/1xipLiJ83zyLBhCdK4T2f7FYZViPPRh3T/view?usp=drivesdk</t>
  </si>
  <si>
    <t>Document successfully created; Document successfully merged; PDF created; Emails Sent: [To: aputri214@gmail.com]; Run via form trigger as ecertificate75@gmail.com; Timestamp: Aug 29 2024 8:30 PM</t>
  </si>
  <si>
    <t>1xipLiJ83zyLBhCdK4T2f7FYZViPPRh3T</t>
  </si>
  <si>
    <t>1wEO9E7GWiVd69hgkN7sV7ceBMRZJe5Zp</t>
  </si>
  <si>
    <t>https://drive.google.com/file/d/1wEO9E7GWiVd69hgkN7sV7ceBMRZJe5Zp/view?usp=drivesdk</t>
  </si>
  <si>
    <t>1jK8haqix9GjZbW35XSXpLBzp00kqdiX6</t>
  </si>
  <si>
    <t>https://drive.google.com/file/d/1jK8haqix9GjZbW35XSXpLBzp00kqdiX6/view?usp=drivesdk</t>
  </si>
  <si>
    <t>NI WAYAN AYU ADNYANI, S.E.</t>
  </si>
  <si>
    <t>aadnyani82@gmail.com</t>
  </si>
  <si>
    <t>68</t>
  </si>
  <si>
    <t>https://drive.google.com/file/d/16g8au2th1pLH7TPdGw5J1TgspHFCYU9h/view?usp=drivesdk</t>
  </si>
  <si>
    <t>Document successfully created; Document successfully merged; PDF created; Emails Sent: [To: aadnyani82@gmail.com]; Run via form trigger as ecertificate75@gmail.com; Timestamp: Aug 29 2024 8:30 PM</t>
  </si>
  <si>
    <t>16g8au2th1pLH7TPdGw5J1TgspHFCYU9h</t>
  </si>
  <si>
    <t>1Ph69_TVqpTsjf4q56HPO_btN2YpyoIhO</t>
  </si>
  <si>
    <t>https://drive.google.com/file/d/1Ph69_TVqpTsjf4q56HPO_btN2YpyoIhO/view?usp=drivesdk</t>
  </si>
  <si>
    <t>17y9HSeIzrowD8JHZn8gkM5c9W_NduWUI</t>
  </si>
  <si>
    <t>https://drive.google.com/file/d/17y9HSeIzrowD8JHZn8gkM5c9W_NduWUI/view?usp=drivesdk</t>
  </si>
  <si>
    <t>RIZA RIFENDI, S.H.</t>
  </si>
  <si>
    <t>BRIPTU</t>
  </si>
  <si>
    <t>rifendiriza@gmail.com</t>
  </si>
  <si>
    <t>69</t>
  </si>
  <si>
    <t>https://drive.google.com/file/d/1CX12wR8yh4EikGPC6ylC_dttnzdYyz6J/view?usp=drivesdk</t>
  </si>
  <si>
    <t>Document successfully created; Document successfully merged; PDF created; Emails Sent: [To: rifendiriza@gmail.com]; Run via form trigger as ecertificate75@gmail.com; Timestamp: Aug 29 2024 8:31 PM</t>
  </si>
  <si>
    <t>1CX12wR8yh4EikGPC6ylC_dttnzdYyz6J</t>
  </si>
  <si>
    <t>19q8bYchN5pwud50t0YTbHSzpaX55k6ls</t>
  </si>
  <si>
    <t>https://drive.google.com/file/d/19q8bYchN5pwud50t0YTbHSzpaX55k6ls/view?usp=drivesdk</t>
  </si>
  <si>
    <t>13Z1DxKX4letNJYfix2wyL-yqwYyZnuej</t>
  </si>
  <si>
    <t>https://drive.google.com/file/d/13Z1DxKX4letNJYfix2wyL-yqwYyZnuej/view?usp=drivesdk</t>
  </si>
  <si>
    <t>SRI NISMAYANA, A.Md.Rad,SKM</t>
  </si>
  <si>
    <t>nismayanasri@gmail.com</t>
  </si>
  <si>
    <t>70</t>
  </si>
  <si>
    <t>https://drive.google.com/file/d/1rPPBXRUoBPsNMgwrTtdcSH7oWr_RUs9Z/view?usp=drivesdk</t>
  </si>
  <si>
    <t>Document successfully created; Document successfully merged; PDF created; Emails Sent: [To: nismayanasri@gmail.com]; Run via form trigger as ecertificate75@gmail.com; Timestamp: Aug 29 2024 8:31 PM</t>
  </si>
  <si>
    <t>1rPPBXRUoBPsNMgwrTtdcSH7oWr_RUs9Z</t>
  </si>
  <si>
    <t>1sCBBy6TO8dedAeAbf-_ywn0QzgFQtx4b</t>
  </si>
  <si>
    <t>https://drive.google.com/file/d/1sCBBy6TO8dedAeAbf-_ywn0QzgFQtx4b/view?usp=drivesdk</t>
  </si>
  <si>
    <t>1uOb5e2pMA4GvUCyfmcBzKPaJ1x02YhW9</t>
  </si>
  <si>
    <t>https://drive.google.com/file/d/1uOb5e2pMA4GvUCyfmcBzKPaJ1x02YhW9/view?usp=drivesdk</t>
  </si>
  <si>
    <t>SURATMAN RATMAN</t>
  </si>
  <si>
    <t>suratmanvivo@gmail.com</t>
  </si>
  <si>
    <t>71</t>
  </si>
  <si>
    <t>https://drive.google.com/file/d/1vzedfjnKeldZosnAI8OtN5Manybz-R_I/view?usp=drivesdk</t>
  </si>
  <si>
    <t>Document successfully created; Document successfully merged; PDF created; Emails Sent: [To: suratmanvivo@gmail.com]; Run via form trigger as ecertificate75@gmail.com; Timestamp: Aug 29 2024 8:32 PM</t>
  </si>
  <si>
    <t>1vzedfjnKeldZosnAI8OtN5Manybz-R_I</t>
  </si>
  <si>
    <t>1ERNKuaKCo9glhh2OYMwaA_46lK9DSenV</t>
  </si>
  <si>
    <t>https://drive.google.com/file/d/1ERNKuaKCo9glhh2OYMwaA_46lK9DSenV/view?usp=drivesdk</t>
  </si>
  <si>
    <t>1VA4iq8F6CNX2dSlwWdOwayL8Bi2Qaixx</t>
  </si>
  <si>
    <t>https://drive.google.com/file/d/1VA4iq8F6CNX2dSlwWdOwayL8Bi2Qaixx/view?usp=drivesdk</t>
  </si>
  <si>
    <t>Document successfully created; Document successfully merged; PDF created; !!Error Sending Emails: Service invoked too many times for one day: email.; Manually run by ecertificate75@gmail.com; Timestamp: Aug 31 2024 4:45 AM</t>
  </si>
  <si>
    <t>FITRI AMALIAH, AMK.,SKM.</t>
  </si>
  <si>
    <t>fitriindrakinar@gmail.com</t>
  </si>
  <si>
    <t>72</t>
  </si>
  <si>
    <t>https://drive.google.com/file/d/1BCwXM5c-Kw3_uwbreXBf2qzKwlDtg_bn/view?usp=drivesdk</t>
  </si>
  <si>
    <t>Document successfully created; Document successfully merged; PDF created; Emails Sent: [To: fitriindrakinar@gmail.com]; Run via form trigger as ecertificate75@gmail.com; Timestamp: Aug 29 2024 8:30 PM</t>
  </si>
  <si>
    <t>1BCwXM5c-Kw3_uwbreXBf2qzKwlDtg_bn</t>
  </si>
  <si>
    <t>1NCl64CeqUkFEZvCgAGsawbESLL7Ct7qe</t>
  </si>
  <si>
    <t>https://drive.google.com/file/d/1NCl64CeqUkFEZvCgAGsawbESLL7Ct7qe/view?usp=drivesdk</t>
  </si>
  <si>
    <t>Document successfully created; Document successfully merged; PDF created; !!Error Sending Emails: Service invoked too many times for one day: email.; Manually run by ecertificate75@gmail.com; Timestamp: Aug 30 2024 9:28 PM</t>
  </si>
  <si>
    <t>1-vzy3sBKYQDAyyGa23zJGn9-6uORiA3Q</t>
  </si>
  <si>
    <t>https://drive.google.com/file/d/1-vzy3sBKYQDAyyGa23zJGn9-6uORiA3Q/view?usp=drivesdk</t>
  </si>
  <si>
    <t>I GUSTI AYU MANIK JUNIANTARI, A.Md.Keb</t>
  </si>
  <si>
    <t>gungmanik31@gmail.com</t>
  </si>
  <si>
    <t>73</t>
  </si>
  <si>
    <t>https://drive.google.com/file/d/1KNFeOBFyRFU_PTBYDy8gs7D28_Psv5Nv/view?usp=drivesdk</t>
  </si>
  <si>
    <t>Document successfully created; Document successfully merged; PDF created; Emails Sent: [To: gungmanik31@gmail.com]; Run via form trigger as ecertificate75@gmail.com; Timestamp: Aug 29 2024 8:31 PM</t>
  </si>
  <si>
    <t>1KNFeOBFyRFU_PTBYDy8gs7D28_Psv5Nv</t>
  </si>
  <si>
    <t>1IrxRcEvtw1EXu2SSVrldLldg9L83ZnXC</t>
  </si>
  <si>
    <t>https://drive.google.com/file/d/1IrxRcEvtw1EXu2SSVrldLldg9L83ZnXC/view?usp=drivesdk</t>
  </si>
  <si>
    <t>1EOlvbWivrFsRTdnftx7MWs-LBFfZb7v7</t>
  </si>
  <si>
    <t>https://drive.google.com/file/d/1EOlvbWivrFsRTdnftx7MWs-LBFfZb7v7/view?usp=drivesdk</t>
  </si>
  <si>
    <t>NI WAYAN EKA SURYA DIRGAYANI, A.Md.Kep</t>
  </si>
  <si>
    <t>keuangan651203@gmail.com</t>
  </si>
  <si>
    <t>74</t>
  </si>
  <si>
    <t>https://drive.google.com/file/d/17Bnx2gk9VPpenLXlAUUAWaAmucL2ASys/view?usp=drivesdk</t>
  </si>
  <si>
    <t>Document successfully created; Document successfully merged; PDF created; Emails Sent: [To: keuangan651203@gmail.com]; Run via form trigger as ecertificate75@gmail.com; Timestamp: Aug 29 2024 8:31 PM</t>
  </si>
  <si>
    <t>17Bnx2gk9VPpenLXlAUUAWaAmucL2ASys</t>
  </si>
  <si>
    <t>1B8GH9GRl6Cgq6oyRWM5qmTEWFj0trCh5</t>
  </si>
  <si>
    <t>https://drive.google.com/file/d/1B8GH9GRl6Cgq6oyRWM5qmTEWFj0trCh5/view?usp=drivesdk</t>
  </si>
  <si>
    <t>1AZFHYJcJ4sN18c7mi9MTuHbHVMbUmz8v</t>
  </si>
  <si>
    <t>https://drive.google.com/file/d/1AZFHYJcJ4sN18c7mi9MTuHbHVMbUmz8v/view?usp=drivesdk</t>
  </si>
  <si>
    <t>DONY ANGGIAT MARULI</t>
  </si>
  <si>
    <t>donymarboens@gmail.com</t>
  </si>
  <si>
    <t>75</t>
  </si>
  <si>
    <t>https://drive.google.com/file/d/1N6xIsM1JBd0eI49HFf8Lkg5x7R2QsPvg/view?usp=drivesdk</t>
  </si>
  <si>
    <t>Document successfully created; Document successfully merged; PDF created; Emails Sent: [To: donymarboens@gmail.com]; Run via form trigger as ecertificate75@gmail.com; Timestamp: Aug 29 2024 8:30 PM</t>
  </si>
  <si>
    <t>1N6xIsM1JBd0eI49HFf8Lkg5x7R2QsPvg</t>
  </si>
  <si>
    <t>1oXPFWM8chcckIMBBHySqoWvA4-o5MkXF</t>
  </si>
  <si>
    <t>https://drive.google.com/file/d/1oXPFWM8chcckIMBBHySqoWvA4-o5MkXF/view?usp=drivesdk</t>
  </si>
  <si>
    <t>1SrpLILZM_ykAer3cvbptnYfsRBpj-D6l</t>
  </si>
  <si>
    <t>https://drive.google.com/file/d/1SrpLILZM_ykAer3cvbptnYfsRBpj-D6l/view?usp=drivesdk</t>
  </si>
  <si>
    <t>NI GUSTI AYU RIKA DAMAYANTI</t>
  </si>
  <si>
    <t>rika200287@gmail.com</t>
  </si>
  <si>
    <t>76</t>
  </si>
  <si>
    <t>https://drive.google.com/file/d/1xJYFP8vcZUOqh92NL0tkWB977hqqNOq2/view?usp=drivesdk</t>
  </si>
  <si>
    <t>Document successfully created; Document successfully merged; PDF created; Emails Sent: [To: rika200287@gmail.com]; Run via form trigger as ecertificate75@gmail.com; Timestamp: Aug 29 2024 8:31 PM</t>
  </si>
  <si>
    <t>1xJYFP8vcZUOqh92NL0tkWB977hqqNOq2</t>
  </si>
  <si>
    <t>1IvQguKqDyP4x_HxB_n4pPOywMlf8yLUQ</t>
  </si>
  <si>
    <t>https://drive.google.com/file/d/1IvQguKqDyP4x_HxB_n4pPOywMlf8yLUQ/view?usp=drivesdk</t>
  </si>
  <si>
    <t>Document successfully created; Document successfully merged; PDF created; !!Error Sending Emails: Service invoked too many times for one day: email.; Manually run by ecertificate75@gmail.com; Timestamp: Aug 30 2024 9:29 PM</t>
  </si>
  <si>
    <t>1zxYLX9IZQJzQW1C47UXAIDX-fz8ySJI2</t>
  </si>
  <si>
    <t>https://drive.google.com/file/d/1zxYLX9IZQJzQW1C47UXAIDX-fz8ySJI2/view?usp=drivesdk</t>
  </si>
  <si>
    <t>SITI MAEMUNAH</t>
  </si>
  <si>
    <t>maesititea@gmail.com</t>
  </si>
  <si>
    <t>77</t>
  </si>
  <si>
    <t>https://drive.google.com/file/d/1gPFbzkrTB5LtIorSicm34RN7mVF5txNk/view?usp=drivesdk</t>
  </si>
  <si>
    <t>Document successfully created; Document successfully merged; PDF created; Emails Sent: [To: maesititea@gmail.com]; Run via form trigger as ecertificate75@gmail.com; Timestamp: Aug 29 2024 8:31 PM</t>
  </si>
  <si>
    <t>1gPFbzkrTB5LtIorSicm34RN7mVF5txNk</t>
  </si>
  <si>
    <t>1GAEAN36hsYUhtvnbJjpXzvhrnfDV41dT</t>
  </si>
  <si>
    <t>https://drive.google.com/file/d/1GAEAN36hsYUhtvnbJjpXzvhrnfDV41dT/view?usp=drivesdk</t>
  </si>
  <si>
    <t>13LfJQazt-pIEI4djhDA7jKxArZGey6QO</t>
  </si>
  <si>
    <t>https://drive.google.com/file/d/13LfJQazt-pIEI4djhDA7jKxArZGey6QO/view?usp=drivesdk</t>
  </si>
  <si>
    <t>Document successfully created; Document successfully merged; PDF created; !!Error Sending Emails: Service invoked too many times for one day: email.; Manually run by ecertificate75@gmail.com; Timestamp: Aug 31 2024 4:46 AM</t>
  </si>
  <si>
    <t>ERNA KURNIAWATI, S. Ak</t>
  </si>
  <si>
    <t>dipta05de@gmail.com</t>
  </si>
  <si>
    <t>78</t>
  </si>
  <si>
    <t>https://drive.google.com/file/d/1C645NeQ1VbgrmpgVebM6RVsGLDFJ-pMy/view?usp=drivesdk</t>
  </si>
  <si>
    <t>Document successfully created; Document successfully merged; PDF created; Emails Sent: [To: dipta05de@gmail.com]; Run via form trigger as ecertificate75@gmail.com; Timestamp: Aug 29 2024 8:31 PM</t>
  </si>
  <si>
    <t>1C645NeQ1VbgrmpgVebM6RVsGLDFJ-pMy</t>
  </si>
  <si>
    <t>1FjM8MhG5lUFyuj0tCS83R30RIkw3PclF</t>
  </si>
  <si>
    <t>https://drive.google.com/file/d/1FjM8MhG5lUFyuj0tCS83R30RIkw3PclF/view?usp=drivesdk</t>
  </si>
  <si>
    <t>1Cv2CEXqpuvByCuonada7s2MfPEVNSCqn</t>
  </si>
  <si>
    <t>https://drive.google.com/file/d/1Cv2CEXqpuvByCuonada7s2MfPEVNSCqn/view?usp=drivesdk</t>
  </si>
  <si>
    <t>DIDI WIJAYANTO, A.MD.KOM</t>
  </si>
  <si>
    <t>fachri.01012009@gmail.com</t>
  </si>
  <si>
    <t>79</t>
  </si>
  <si>
    <t>https://drive.google.com/file/d/1zWKh9xvCEr_0HYZkp149NYuROzWqy8q5/view?usp=drivesdk</t>
  </si>
  <si>
    <t>Document successfully created; Document successfully merged; PDF created; Emails Sent: [To: fachri.01012009@gmail.com]; Run via form trigger as ecertificate75@gmail.com; Timestamp: Aug 29 2024 8:31 PM</t>
  </si>
  <si>
    <t>1zWKh9xvCEr_0HYZkp149NYuROzWqy8q5</t>
  </si>
  <si>
    <t>1cwqzHd0VozObphpi5M6CmiyUiDqO4gy1</t>
  </si>
  <si>
    <t>https://drive.google.com/file/d/1cwqzHd0VozObphpi5M6CmiyUiDqO4gy1/view?usp=drivesdk</t>
  </si>
  <si>
    <t>132YFu8IxMuXCvBQKVNacjclYdlYbxLPA</t>
  </si>
  <si>
    <t>https://drive.google.com/file/d/132YFu8IxMuXCvBQKVNacjclYdlYbxLPA/view?usp=drivesdk</t>
  </si>
  <si>
    <t>NUR RAHMAH ASHADI, A.Md</t>
  </si>
  <si>
    <t>nurma.ashadi@gmail.com</t>
  </si>
  <si>
    <t>80</t>
  </si>
  <si>
    <t>https://drive.google.com/file/d/1a5k9Zx-nSrm2ZEPnzC3EXmOh9RD6da2F/view?usp=drivesdk</t>
  </si>
  <si>
    <t>Document successfully created; Document successfully merged; PDF created; Emails Sent: [To: nurma.ashadi@gmail.com]; Run via form trigger as ecertificate75@gmail.com; Timestamp: Aug 29 2024 8:31 PM</t>
  </si>
  <si>
    <t>1a5k9Zx-nSrm2ZEPnzC3EXmOh9RD6da2F</t>
  </si>
  <si>
    <t>1NVPnvcWhyGpcZ6KU2nZAeIBQKWnX6kN4</t>
  </si>
  <si>
    <t>https://drive.google.com/file/d/1NVPnvcWhyGpcZ6KU2nZAeIBQKWnX6kN4/view?usp=drivesdk</t>
  </si>
  <si>
    <t>1FYFUvw1y9TlCfhKXl8Y_8VQwEw2Isetx</t>
  </si>
  <si>
    <t>https://drive.google.com/file/d/1FYFUvw1y9TlCfhKXl8Y_8VQwEw2Isetx/view?usp=drivesdk</t>
  </si>
  <si>
    <t>WAHYUDDIN SYAH, S.T.</t>
  </si>
  <si>
    <t>yudijer1981@gmail.com</t>
  </si>
  <si>
    <t>81</t>
  </si>
  <si>
    <t>https://drive.google.com/file/d/18OB36DOs_214VWnwYfMy3oYPyU8HxeJ9/view?usp=drivesdk</t>
  </si>
  <si>
    <t>Document successfully created; Document successfully merged; PDF created; Emails Sent: [To: yudijer1981@gmail.com]; Run via form trigger as ecertificate75@gmail.com; Timestamp: Aug 29 2024 8:31 PM</t>
  </si>
  <si>
    <t>18OB36DOs_214VWnwYfMy3oYPyU8HxeJ9</t>
  </si>
  <si>
    <t>1Nu4lVPdHgkq_ccHM9rLA4KvwWSqEc7XI</t>
  </si>
  <si>
    <t>https://drive.google.com/file/d/1Nu4lVPdHgkq_ccHM9rLA4KvwWSqEc7XI/view?usp=drivesdk</t>
  </si>
  <si>
    <t>1pohO-kxzCPpv1MkQ6IP-MXnl35ZilPnA</t>
  </si>
  <si>
    <t>https://drive.google.com/file/d/1pohO-kxzCPpv1MkQ6IP-MXnl35ZilPnA/view?usp=drivesdk</t>
  </si>
  <si>
    <t>INDRATNO SANTOSO, S.H.</t>
  </si>
  <si>
    <t>arsyakadana@gmail.com</t>
  </si>
  <si>
    <t>82</t>
  </si>
  <si>
    <t>https://drive.google.com/file/d/1WTGQisjlciTi2xRXq7MPdDBSaqqJ5mmV/view?usp=drivesdk</t>
  </si>
  <si>
    <t>Document successfully created; Document successfully merged; PDF created; Emails Sent: [To: arsyakadana@gmail.com]; Run via form trigger as ecertificate75@gmail.com; Timestamp: Aug 29 2024 8:31 PM</t>
  </si>
  <si>
    <t>1WTGQisjlciTi2xRXq7MPdDBSaqqJ5mmV</t>
  </si>
  <si>
    <t>1lrCIkJJs0pcem5nft9M0kcLoy_IzSLKU</t>
  </si>
  <si>
    <t>https://drive.google.com/file/d/1lrCIkJJs0pcem5nft9M0kcLoy_IzSLKU/view?usp=drivesdk</t>
  </si>
  <si>
    <t>Document successfully created; Document successfully merged; PDF created; !!Error Sending Emails: Service invoked too many times for one day: email.; Manually run by ecertificate75@gmail.com; Timestamp: Aug 30 2024 9:30 PM</t>
  </si>
  <si>
    <t>1SKxXSitCMPMjrhZFDaswWZzbIaxVhx_-</t>
  </si>
  <si>
    <t>https://drive.google.com/file/d/1SKxXSitCMPMjrhZFDaswWZzbIaxVhx_-/view?usp=drivesdk</t>
  </si>
  <si>
    <t>SUHARDI MARDIYANTO, Amd.Kep.</t>
  </si>
  <si>
    <t>suhardimardiyanto@gmail.com</t>
  </si>
  <si>
    <t>83</t>
  </si>
  <si>
    <t>https://drive.google.com/file/d/1_Sovf_KX0wGoTZO80gwYign2y1du41fF/view?usp=drivesdk</t>
  </si>
  <si>
    <t>Document successfully created; Document successfully merged; PDF created; Emails Sent: [To: suhardimardiyanto@gmail.com]; Run via form trigger as ecertificate75@gmail.com; Timestamp: Aug 29 2024 8:31 PM</t>
  </si>
  <si>
    <t>1_Sovf_KX0wGoTZO80gwYign2y1du41fF</t>
  </si>
  <si>
    <t>1MVE02iOr9r4Os6_c4uHIezK_Hm31UWzc</t>
  </si>
  <si>
    <t>https://drive.google.com/file/d/1MVE02iOr9r4Os6_c4uHIezK_Hm31UWzc/view?usp=drivesdk</t>
  </si>
  <si>
    <t>Document successfully created; Document successfully merged; PDF created; !!Error Sending Emails: Service invoked too many times for one day: email.; Manually run by ecertificate75@gmail.com; Timestamp: Aug 30 2024 9:37 PM</t>
  </si>
  <si>
    <t>1K6HrZZ5xgeJl_NETyiW6EzlGRMUdzo4-</t>
  </si>
  <si>
    <t>https://drive.google.com/file/d/1K6HrZZ5xgeJl_NETyiW6EzlGRMUdzo4-/view?usp=drivesdk</t>
  </si>
  <si>
    <t>Document successfully created; Document successfully merged; PDF created; !!Error Sending Emails: Service invoked too many times for one day: email.; Manually run by ecertificate75@gmail.com; Timestamp: Aug 31 2024 4:47 AM</t>
  </si>
  <si>
    <t>HARISTIONO RAMDHANI,S.E.,M.M.</t>
  </si>
  <si>
    <t>harispapua83@gmail.com</t>
  </si>
  <si>
    <t>84</t>
  </si>
  <si>
    <t>https://drive.google.com/file/d/1qgrWzAvzfM8WD3XG8pvL5WHjK-NDRXhI/view?usp=drivesdk</t>
  </si>
  <si>
    <t>Document successfully created; Document successfully merged; PDF created; Emails Sent: [To: harispapua83@gmail.com]; Run via form trigger as ecertificate75@gmail.com; Timestamp: Aug 29 2024 8:31 PM</t>
  </si>
  <si>
    <t>1qgrWzAvzfM8WD3XG8pvL5WHjK-NDRXhI</t>
  </si>
  <si>
    <t>1uea9XbP8JAIAq4clTCeyNny2Pvjby_4a</t>
  </si>
  <si>
    <t>https://drive.google.com/file/d/1uea9XbP8JAIAq4clTCeyNny2Pvjby_4a/view?usp=drivesdk</t>
  </si>
  <si>
    <t>12v0QTJconuALn6GBcO96ojYZhPvy2-GJ</t>
  </si>
  <si>
    <t>https://drive.google.com/file/d/12v0QTJconuALn6GBcO96ojYZhPvy2-GJ/view?usp=drivesdk</t>
  </si>
  <si>
    <t>PENGATUR JUHANA</t>
  </si>
  <si>
    <t>juhanaj05@gmail.com</t>
  </si>
  <si>
    <t>85</t>
  </si>
  <si>
    <t>https://drive.google.com/file/d/1RoTwBad9-mYlDD9RwdDEuDtwB3IcT2og/view?usp=drivesdk</t>
  </si>
  <si>
    <t>Document successfully created; Document successfully merged; PDF created; Emails Sent: [To: juhanaj05@gmail.com]; Run via form trigger as ecertificate75@gmail.com; Timestamp: Aug 29 2024 8:31 PM</t>
  </si>
  <si>
    <t>1RoTwBad9-mYlDD9RwdDEuDtwB3IcT2og</t>
  </si>
  <si>
    <t>1F2m-RTnGEZGkqNrqFHsPXrubfb8XMl9C</t>
  </si>
  <si>
    <t>https://drive.google.com/file/d/1F2m-RTnGEZGkqNrqFHsPXrubfb8XMl9C/view?usp=drivesdk</t>
  </si>
  <si>
    <t>1JMeWb-n1cvok9nsE6_Y4b9G-7WRc8DC4</t>
  </si>
  <si>
    <t>https://drive.google.com/file/d/1JMeWb-n1cvok9nsE6_Y4b9G-7WRc8DC4/view?usp=drivesdk</t>
  </si>
  <si>
    <t>POLDA KALTARA</t>
  </si>
  <si>
    <t>TABITA HENOCH, A. MD. FARM.</t>
  </si>
  <si>
    <t>tabitahenoch@gmail.com</t>
  </si>
  <si>
    <t>86</t>
  </si>
  <si>
    <t>https://drive.google.com/file/d/15mKafEA-rM2cv-oXn8XOk5ZR3AMWM5Jg/view?usp=drivesdk</t>
  </si>
  <si>
    <t>Document successfully created; Document successfully merged; PDF created; Emails Sent: [To: tabitahenoch@gmail.com]; Run via form trigger as ecertificate75@gmail.com; Timestamp: Aug 29 2024 8:31 PM</t>
  </si>
  <si>
    <t>15mKafEA-rM2cv-oXn8XOk5ZR3AMWM5Jg</t>
  </si>
  <si>
    <t>1DWxjuZVOe4nDxBg9ynG4YP-OVUq-00ob</t>
  </si>
  <si>
    <t>https://drive.google.com/file/d/1DWxjuZVOe4nDxBg9ynG4YP-OVUq-00ob/view?usp=drivesdk</t>
  </si>
  <si>
    <t>1Q3qHJ140yhjgYAFj27LyaVycvraoSDa8</t>
  </si>
  <si>
    <t>https://drive.google.com/file/d/1Q3qHJ140yhjgYAFj27LyaVycvraoSDa8/view?usp=drivesdk</t>
  </si>
  <si>
    <t>MIMIN SUMINARSIH</t>
  </si>
  <si>
    <t>mimin.suminarsih73@gmail.com</t>
  </si>
  <si>
    <t>87</t>
  </si>
  <si>
    <t>https://drive.google.com/file/d/1IqDAzgHc3LjzD_E0gcnctS1vW_dXYx7L/view?usp=drivesdk</t>
  </si>
  <si>
    <t>Document successfully created; Document successfully merged; PDF created; Emails Sent: [To: mimin.suminarsih73@gmail.com]; Run via form trigger as ecertificate75@gmail.com; Timestamp: Aug 29 2024 8:31 PM</t>
  </si>
  <si>
    <t>1IqDAzgHc3LjzD_E0gcnctS1vW_dXYx7L</t>
  </si>
  <si>
    <t>1eUajCtSncNMFXRwucYQ0Ry0sCQ5ek1p2</t>
  </si>
  <si>
    <t>https://drive.google.com/file/d/1eUajCtSncNMFXRwucYQ0Ry0sCQ5ek1p2/view?usp=drivesdk</t>
  </si>
  <si>
    <t>1rqbqnXG4c_0_Sx1vVAKo5MwmyQl492GP</t>
  </si>
  <si>
    <t>https://drive.google.com/file/d/1rqbqnXG4c_0_Sx1vVAKo5MwmyQl492GP/view?usp=drivesdk</t>
  </si>
  <si>
    <t>POLDA KALSEL</t>
  </si>
  <si>
    <t>SISWANTI ARIANI, S. Sos</t>
  </si>
  <si>
    <t>siswantiariani@gmail.com</t>
  </si>
  <si>
    <t>88</t>
  </si>
  <si>
    <t>https://drive.google.com/file/d/1r-l92c9Fl6qNxWV2h4Lsjh2wLaj93Td-/view?usp=drivesdk</t>
  </si>
  <si>
    <t>Document successfully created; Document successfully merged; PDF created; Emails Sent: [To: siswantiariani@gmail.com]; Run via form trigger as ecertificate75@gmail.com; Timestamp: Aug 29 2024 8:31 PM</t>
  </si>
  <si>
    <t>1r-l92c9Fl6qNxWV2h4Lsjh2wLaj93Td-</t>
  </si>
  <si>
    <t>122rS8fPsvMGcOwQ_D_33qaBIVkvGBmJs</t>
  </si>
  <si>
    <t>https://drive.google.com/file/d/122rS8fPsvMGcOwQ_D_33qaBIVkvGBmJs/view?usp=drivesdk</t>
  </si>
  <si>
    <t>1Npcw6LKEHPxD0d5VrBGrrzOra2KseOB_</t>
  </si>
  <si>
    <t>https://drive.google.com/file/d/1Npcw6LKEHPxD0d5VrBGrrzOra2KseOB_/view?usp=drivesdk</t>
  </si>
  <si>
    <t>Document successfully created; Document successfully merged; PDF created; !!Error Sending Emails: Service invoked too many times for one day: email.; Manually run by ecertificate75@gmail.com; Timestamp: Aug 31 2024 4:48 AM</t>
  </si>
  <si>
    <t>ANING SUMIRAT, S.Pd</t>
  </si>
  <si>
    <t>aningsumirat22@gmail.com</t>
  </si>
  <si>
    <t>89</t>
  </si>
  <si>
    <t>https://drive.google.com/file/d/1vbtEt4_K85jVJ7AUTPF73VpzsVr8-A_k/view?usp=drivesdk</t>
  </si>
  <si>
    <t>Document successfully created; Document successfully merged; PDF created; Emails Sent: [To: aningsumirat22@gmail.com]; Run via form trigger as ecertificate75@gmail.com; Timestamp: Aug 29 2024 8:31 PM</t>
  </si>
  <si>
    <t>1vbtEt4_K85jVJ7AUTPF73VpzsVr8-A_k</t>
  </si>
  <si>
    <t>1Xj93FezdFHz7PAp7v9Qjv4uf7srwbne0</t>
  </si>
  <si>
    <t>https://drive.google.com/file/d/1Xj93FezdFHz7PAp7v9Qjv4uf7srwbne0/view?usp=drivesdk</t>
  </si>
  <si>
    <t>Document successfully created; Document successfully merged; PDF created; !!Error Sending Emails: Service invoked too many times for one day: email.; Manually run by ecertificate75@gmail.com; Timestamp: Aug 30 2024 9:38 PM</t>
  </si>
  <si>
    <t>1wPX4MThnsCXeMPstk2KvM_O6uJRsDP7D</t>
  </si>
  <si>
    <t>https://drive.google.com/file/d/1wPX4MThnsCXeMPstk2KvM_O6uJRsDP7D/view?usp=drivesdk</t>
  </si>
  <si>
    <t>MOHAMAD ZAINAL ARIFIN, S.KOM. MM.</t>
  </si>
  <si>
    <t>zainal.siliwangi@gmail.com</t>
  </si>
  <si>
    <t>90</t>
  </si>
  <si>
    <t>https://drive.google.com/file/d/1RD6c20sSFbjQ5q1lDHiweAxitig6QwY4/view?usp=drivesdk</t>
  </si>
  <si>
    <t>Document successfully created; Document successfully merged; PDF created; Emails Sent: [To: zainal.siliwangi@gmail.com]; Run via form trigger as ecertificate75@gmail.com; Timestamp: Aug 29 2024 8:31 PM</t>
  </si>
  <si>
    <t>1RD6c20sSFbjQ5q1lDHiweAxitig6QwY4</t>
  </si>
  <si>
    <t>1_W3hQpb1hs0kV4xgYhAT_46YUTAIdAKX</t>
  </si>
  <si>
    <t>https://drive.google.com/file/d/1_W3hQpb1hs0kV4xgYhAT_46YUTAIdAKX/view?usp=drivesdk</t>
  </si>
  <si>
    <t>1vfpjfkVIO5Z6XsabenuUElMAd485u6Wo</t>
  </si>
  <si>
    <t>https://drive.google.com/file/d/1vfpjfkVIO5Z6XsabenuUElMAd485u6Wo/view?usp=drivesdk</t>
  </si>
  <si>
    <t>AGUS WIJAYANTO</t>
  </si>
  <si>
    <t>agusweee.aw@gmail.com</t>
  </si>
  <si>
    <t>91</t>
  </si>
  <si>
    <t>https://drive.google.com/file/d/1Jb8nMy5taglEI1ai2dOnWHI9whBujkK6/view?usp=drivesdk</t>
  </si>
  <si>
    <t>Document successfully created; Document successfully merged; PDF created; Emails Sent: [To: agusweee.aw@gmail.com]; Run via form trigger as ecertificate75@gmail.com; Timestamp: Aug 29 2024 8:31 PM</t>
  </si>
  <si>
    <t>1Jb8nMy5taglEI1ai2dOnWHI9whBujkK6</t>
  </si>
  <si>
    <t>13Ni6l56_yzAwMVvzRxXMHOLZ06SPHInw</t>
  </si>
  <si>
    <t>https://drive.google.com/file/d/13Ni6l56_yzAwMVvzRxXMHOLZ06SPHInw/view?usp=drivesdk</t>
  </si>
  <si>
    <t>1mMGMhi1qDkS1GOyIkfEpgJkKkTbSC-tY</t>
  </si>
  <si>
    <t>https://drive.google.com/file/d/1mMGMhi1qDkS1GOyIkfEpgJkKkTbSC-tY/view?usp=drivesdk</t>
  </si>
  <si>
    <t>YANYAN NOERDIANSYAH</t>
  </si>
  <si>
    <t>y2htwp@gmail.com</t>
  </si>
  <si>
    <t>92</t>
  </si>
  <si>
    <t>https://drive.google.com/file/d/1bZH5j9Xun2RJBxpoF8dUohv0UL2X5ZnZ/view?usp=drivesdk</t>
  </si>
  <si>
    <t>Document successfully created; Document successfully merged; PDF created; Emails Sent: [To: y2htwp@gmail.com]; Run via form trigger as ecertificate75@gmail.com; Timestamp: Aug 29 2024 8:31 PM</t>
  </si>
  <si>
    <t>1bZH5j9Xun2RJBxpoF8dUohv0UL2X5ZnZ</t>
  </si>
  <si>
    <t>1KCajeZJgbu4b4L4MHItsE0ptpDFRPH8K</t>
  </si>
  <si>
    <t>https://drive.google.com/file/d/1KCajeZJgbu4b4L4MHItsE0ptpDFRPH8K/view?usp=drivesdk</t>
  </si>
  <si>
    <t>1kttdMpOaEmJzbScwectznzi4_sL4p4cb</t>
  </si>
  <si>
    <t>https://drive.google.com/file/d/1kttdMpOaEmJzbScwectznzi4_sL4p4cb/view?usp=drivesdk</t>
  </si>
  <si>
    <t>ARIEF BUCHARI KURNIA AJI, S.SOS</t>
  </si>
  <si>
    <t>arief261285@gmail.com</t>
  </si>
  <si>
    <t>93</t>
  </si>
  <si>
    <t>https://drive.google.com/file/d/1xBqPRydFt4JhnjZVUF0-A_vgKtS6mOeB/view?usp=drivesdk</t>
  </si>
  <si>
    <t>Document successfully created; Document successfully merged; PDF created; Emails Sent: [To: arief261285@gmail.com]; Run via form trigger as ecertificate75@gmail.com; Timestamp: Aug 29 2024 8:31 PM</t>
  </si>
  <si>
    <t>1xBqPRydFt4JhnjZVUF0-A_vgKtS6mOeB</t>
  </si>
  <si>
    <t>1-S5kgDSeHNsJ-8QssgZSOhmo7yVfnnUw</t>
  </si>
  <si>
    <t>https://drive.google.com/file/d/1-S5kgDSeHNsJ-8QssgZSOhmo7yVfnnUw/view?usp=drivesdk</t>
  </si>
  <si>
    <t>1Mzzb_SCsTDBQV9VzGuj7NQSsTOM5SIiN</t>
  </si>
  <si>
    <t>https://drive.google.com/file/d/1Mzzb_SCsTDBQV9VzGuj7NQSsTOM5SIiN/view?usp=drivesdk</t>
  </si>
  <si>
    <t>Document successfully created; Document successfully merged; PDF created; !!Error Sending Emails: Service invoked too many times for one day: email.; Manually run by ecertificate75@gmail.com; Timestamp: Aug 31 2024 4:49 AM</t>
  </si>
  <si>
    <t>RISKA OKTAFIANI, S.Ak</t>
  </si>
  <si>
    <t>riskaoktafianii@gmail.com</t>
  </si>
  <si>
    <t>94</t>
  </si>
  <si>
    <t>https://drive.google.com/file/d/1lopTfRFMpRyjE4tj_8OHHkcbhknN6Zoe/view?usp=drivesdk</t>
  </si>
  <si>
    <t>Document successfully created; Document successfully merged; PDF created; Emails Sent: [To: riskaoktafianii@gmail.com]; Run via form trigger as ecertificate75@gmail.com; Timestamp: Aug 29 2024 8:31 PM</t>
  </si>
  <si>
    <t>1lopTfRFMpRyjE4tj_8OHHkcbhknN6Zoe</t>
  </si>
  <si>
    <t>1B5Hsf_G9la9c67eLc_Qx0NaQUCBnR_ki</t>
  </si>
  <si>
    <t>https://drive.google.com/file/d/1B5Hsf_G9la9c67eLc_Qx0NaQUCBnR_ki/view?usp=drivesdk</t>
  </si>
  <si>
    <t>1rJu5e3Va88EqWecgJMIi25RQzw5DM6fL</t>
  </si>
  <si>
    <t>https://drive.google.com/file/d/1rJu5e3Va88EqWecgJMIi25RQzw5DM6fL/view?usp=drivesdk</t>
  </si>
  <si>
    <t>ANDI ALAMSYAH, S.Kom</t>
  </si>
  <si>
    <t>andi.alamsyah10@gmail.com</t>
  </si>
  <si>
    <t>95</t>
  </si>
  <si>
    <t>https://drive.google.com/file/d/1-6HwPOJdJfR-J1N0dZPLNNUjx4J7eTpt/view?usp=drivesdk</t>
  </si>
  <si>
    <t>Document successfully created; Document successfully merged; PDF created; Emails Sent: [To: andi.alamsyah10@gmail.com]; Run via form trigger as ecertificate75@gmail.com; Timestamp: Aug 29 2024 8:31 PM</t>
  </si>
  <si>
    <t>1-6HwPOJdJfR-J1N0dZPLNNUjx4J7eTpt</t>
  </si>
  <si>
    <t>1tdqdc9LTyLGbghZ0NcqQri8OmJHhfSw0</t>
  </si>
  <si>
    <t>https://drive.google.com/file/d/1tdqdc9LTyLGbghZ0NcqQri8OmJHhfSw0/view?usp=drivesdk</t>
  </si>
  <si>
    <t>1K9uWyc1EBwgbDkWo_DbklWI52_gdPl9c</t>
  </si>
  <si>
    <t>https://drive.google.com/file/d/1K9uWyc1EBwgbDkWo_DbklWI52_gdPl9c/view?usp=drivesdk</t>
  </si>
  <si>
    <t>JUNIASIH PURBOSARI, S.E.</t>
  </si>
  <si>
    <t>tikanyatika.86@gmail.com</t>
  </si>
  <si>
    <t>96</t>
  </si>
  <si>
    <t>https://drive.google.com/file/d/1kytuhnYv6_CgOfU8p0sLd5rhoZpKmP3u/view?usp=drivesdk</t>
  </si>
  <si>
    <t>Document successfully created; Document successfully merged; PDF created; Emails Sent: [To: tikanyatika.86@gmail.com]; Run via form trigger as ecertificate75@gmail.com; Timestamp: Aug 29 2024 8:31 PM</t>
  </si>
  <si>
    <t>1kytuhnYv6_CgOfU8p0sLd5rhoZpKmP3u</t>
  </si>
  <si>
    <t>1G8vCbjr7nKUFP1R6TYNOd07YLDu-qP_T</t>
  </si>
  <si>
    <t>https://drive.google.com/file/d/1G8vCbjr7nKUFP1R6TYNOd07YLDu-qP_T/view?usp=drivesdk</t>
  </si>
  <si>
    <t>Document successfully created; Document successfully merged; PDF created; !!Error Sending Emails: Service invoked too many times for one day: email.; Manually run by ecertificate75@gmail.com; Timestamp: Aug 30 2024 9:39 PM</t>
  </si>
  <si>
    <t>17qui4NkYpIIX99zZT2abF5iQcjAMR0mY</t>
  </si>
  <si>
    <t>https://drive.google.com/file/d/17qui4NkYpIIX99zZT2abF5iQcjAMR0mY/view?usp=drivesdk</t>
  </si>
  <si>
    <t>PUTU IKA SURYANDARI</t>
  </si>
  <si>
    <t>putuika.pi@gmail.com</t>
  </si>
  <si>
    <t>97</t>
  </si>
  <si>
    <t>https://drive.google.com/file/d/1Y8rXz6JODwdvB-l2ciI-rzxVH7xW1foi/view?usp=drivesdk</t>
  </si>
  <si>
    <t>Document successfully created; Document successfully merged; PDF created; Emails Sent: [To: putuika.pi@gmail.com]; Run via form trigger as ecertificate75@gmail.com; Timestamp: Aug 29 2024 8:31 PM</t>
  </si>
  <si>
    <t>1Y8rXz6JODwdvB-l2ciI-rzxVH7xW1foi</t>
  </si>
  <si>
    <t>1Ro1hf_qZh7bUWII30IOEDZlpCy7o88jH</t>
  </si>
  <si>
    <t>https://drive.google.com/file/d/1Ro1hf_qZh7bUWII30IOEDZlpCy7o88jH/view?usp=drivesdk</t>
  </si>
  <si>
    <t>1bTD6uweTjWJ5B1IZSEnwCW-Ae6i0_Bj3</t>
  </si>
  <si>
    <t>https://drive.google.com/file/d/1bTD6uweTjWJ5B1IZSEnwCW-Ae6i0_Bj3/view?usp=drivesdk</t>
  </si>
  <si>
    <t>NUDFI VIDYA LESTARI, A.Md.,Kep</t>
  </si>
  <si>
    <t>nudfivid@gmail.com</t>
  </si>
  <si>
    <t>98</t>
  </si>
  <si>
    <t>https://drive.google.com/file/d/1sTw8YwtlefSi-AgvnlfNyBbzfAqKxTqC/view?usp=drivesdk</t>
  </si>
  <si>
    <t>Document successfully created; Document successfully merged; PDF created; Emails Sent: [To: nudfivid@gmail.com]; Run via form trigger as ecertificate75@gmail.com; Timestamp: Aug 29 2024 8:31 PM</t>
  </si>
  <si>
    <t>1sTw8YwtlefSi-AgvnlfNyBbzfAqKxTqC</t>
  </si>
  <si>
    <t>1gVrrbnugcIYpK4jux3sO_yuyHVdv86he</t>
  </si>
  <si>
    <t>https://drive.google.com/file/d/1gVrrbnugcIYpK4jux3sO_yuyHVdv86he/view?usp=drivesdk</t>
  </si>
  <si>
    <t>1zDlEzTMnuN3DPLqDVdwgAHjxpWlt5Xdu</t>
  </si>
  <si>
    <t>https://drive.google.com/file/d/1zDlEzTMnuN3DPLqDVdwgAHjxpWlt5Xdu/view?usp=drivesdk</t>
  </si>
  <si>
    <t>EKO NUR WIDIYANTO</t>
  </si>
  <si>
    <t>ekonurwidiyanto@gmail.com</t>
  </si>
  <si>
    <t>99</t>
  </si>
  <si>
    <t>https://drive.google.com/file/d/1xDyeAFuDZ5IZfc50l6N4lbtsZlED6e6A/view?usp=drivesdk</t>
  </si>
  <si>
    <t>Document successfully created; Document successfully merged; PDF created; Emails Sent: [To: ekonurwidiyanto@gmail.com]; Run via form trigger as ecertificate75@gmail.com; Timestamp: Aug 29 2024 8:32 PM</t>
  </si>
  <si>
    <t>1xDyeAFuDZ5IZfc50l6N4lbtsZlED6e6A</t>
  </si>
  <si>
    <t>1Xmdo-6XoUy5eY0bOTH5njXYvcHFK8t_H</t>
  </si>
  <si>
    <t>https://drive.google.com/file/d/1Xmdo-6XoUy5eY0bOTH5njXYvcHFK8t_H/view?usp=drivesdk</t>
  </si>
  <si>
    <t>1QyU6YkJzQuoIvmmPBZU_0m4Ap5Q_suMz</t>
  </si>
  <si>
    <t>https://drive.google.com/file/d/1QyU6YkJzQuoIvmmPBZU_0m4Ap5Q_suMz/view?usp=drivesdk</t>
  </si>
  <si>
    <t>Document successfully created; Document successfully merged; PDF created; !!Error Sending Emails: Service invoked too many times for one day: email.; Manually run by ecertificate75@gmail.com; Timestamp: Aug 31 2024 4:50 AM</t>
  </si>
  <si>
    <t>ENUR NURHAYATI</t>
  </si>
  <si>
    <t>enur.nurhayati56@gmail.com</t>
  </si>
  <si>
    <t>100</t>
  </si>
  <si>
    <t>https://drive.google.com/file/d/1rw0QCDTFXPGKkVKbj6N3nNRodvheMrY4/view?usp=drivesdk</t>
  </si>
  <si>
    <t>Document successfully created; Document successfully merged; PDF created; !!Error Sending Emails: Service invoked too many times for one day: email.; Run via form trigger as ecertificate75@gmail.com; Timestamp: Aug 29 2024 8:32 PM</t>
  </si>
  <si>
    <t>1rw0QCDTFXPGKkVKbj6N3nNRodvheMrY4</t>
  </si>
  <si>
    <t>1akl9Gh726nuJt-SAsyFhxLMsiNKzRc2q</t>
  </si>
  <si>
    <t>https://drive.google.com/file/d/1akl9Gh726nuJt-SAsyFhxLMsiNKzRc2q/view?usp=drivesdk</t>
  </si>
  <si>
    <t>1XjUYOaa3UHZn5eyCaJQa10G_W4qY9NUE</t>
  </si>
  <si>
    <t>https://drive.google.com/file/d/1XjUYOaa3UHZn5eyCaJQa10G_W4qY9NUE/view?usp=drivesdk</t>
  </si>
  <si>
    <t xml:space="preserve">GAGUT ARYANTO SH </t>
  </si>
  <si>
    <t>garyanto69@gmail.com</t>
  </si>
  <si>
    <t>101</t>
  </si>
  <si>
    <t>https://drive.google.com/file/d/1pR7-hw5Jd_LIfdk1NY0gHhHEZmTdKUif/view?usp=drivesdk</t>
  </si>
  <si>
    <t>Document successfully created; Document successfully merged; PDF created; Emails Sent: [To: garyanto69@gmail.com]; Run via form trigger as ecertificate75@gmail.com; Timestamp: Aug 29 2024 8:32 PM</t>
  </si>
  <si>
    <t>1pR7-hw5Jd_LIfdk1NY0gHhHEZmTdKUif</t>
  </si>
  <si>
    <t>11usDHhGk-VEQ5c9w6B-pV1BXlAoAq15C</t>
  </si>
  <si>
    <t>https://drive.google.com/file/d/11usDHhGk-VEQ5c9w6B-pV1BXlAoAq15C/view?usp=drivesdk</t>
  </si>
  <si>
    <t>Document successfully created; Document successfully merged; PDF created; Emails Sent: [To: garyanto69@gmail.com]; Run via form trigger as ecertificate75@gmail.com; Timestamp: Aug 30 2024 9:14 PM</t>
  </si>
  <si>
    <t>16IsET_4ico4RY1kIokcNSZpfAXiuhVi5</t>
  </si>
  <si>
    <t>https://drive.google.com/file/d/16IsET_4ico4RY1kIokcNSZpfAXiuhVi5/view?usp=drivesdk</t>
  </si>
  <si>
    <t>HADIJATUS RAHMANIAH</t>
  </si>
  <si>
    <t>hadijatusr@gmail.com</t>
  </si>
  <si>
    <t>102</t>
  </si>
  <si>
    <t>https://drive.google.com/file/d/1PBsH9r5ZAxoVOg0e1oE1Jjsv6rMOQQG7/view?usp=drivesdk</t>
  </si>
  <si>
    <t>1PBsH9r5ZAxoVOg0e1oE1Jjsv6rMOQQG7</t>
  </si>
  <si>
    <t>1OcBxjJv4wjqVecyUTKIeoPzZUinlD1w-</t>
  </si>
  <si>
    <t>https://drive.google.com/file/d/1OcBxjJv4wjqVecyUTKIeoPzZUinlD1w-/view?usp=drivesdk</t>
  </si>
  <si>
    <t>Document successfully created; Document successfully merged; PDF created; Emails Sent: [To: hadijatusr@gmail.com]; Run via form trigger as ecertificate75@gmail.com; Timestamp: Aug 30 2024 9:15 PM</t>
  </si>
  <si>
    <t>1AU4uE07YeXnL98646rZbgLNjw42i9pmr</t>
  </si>
  <si>
    <t>https://drive.google.com/file/d/1AU4uE07YeXnL98646rZbgLNjw42i9pmr/view?usp=drivesdk</t>
  </si>
  <si>
    <t>I GUSTI AYU WIRATI,A.Md.KG</t>
  </si>
  <si>
    <t>ayuwirati95@gmail.com</t>
  </si>
  <si>
    <t>103</t>
  </si>
  <si>
    <t>https://drive.google.com/file/d/1NdwcYVuXdViG7R4GR6_T5Ya4hFAXYQ6i/view?usp=drivesdk</t>
  </si>
  <si>
    <t>1NdwcYVuXdViG7R4GR6_T5Ya4hFAXYQ6i</t>
  </si>
  <si>
    <t>1gklM2WB_LWVQcM0_BLLDOnok1BNV2r6P</t>
  </si>
  <si>
    <t>https://drive.google.com/file/d/1gklM2WB_LWVQcM0_BLLDOnok1BNV2r6P/view?usp=drivesdk</t>
  </si>
  <si>
    <t>Document successfully created; Document successfully merged; PDF created; Emails Sent: [To: ayuwirati95@gmail.com]; Run via form trigger as ecertificate75@gmail.com; Timestamp: Aug 30 2024 9:15 PM</t>
  </si>
  <si>
    <t>1QWIRBajTcuL_nfyfxHu_5O4RcT6kLiw2</t>
  </si>
  <si>
    <t>https://drive.google.com/file/d/1QWIRBajTcuL_nfyfxHu_5O4RcT6kLiw2/view?usp=drivesdk</t>
  </si>
  <si>
    <t>DEDEN PRAMIADI, AMd.Kep</t>
  </si>
  <si>
    <t>dedenpramiadi@gmail.com</t>
  </si>
  <si>
    <t>104</t>
  </si>
  <si>
    <t>https://drive.google.com/file/d/1_7JZz3d1m9NPMGH6OZAn2hZ1F4M7lyil/view?usp=drivesdk</t>
  </si>
  <si>
    <t>Document successfully created; Document successfully merged; PDF created; Emails Sent: [To: dedenpramiadi@gmail.com]; Run via form trigger as ecertificate75@gmail.com; Timestamp: Aug 29 2024 8:32 PM</t>
  </si>
  <si>
    <t>1_7JZz3d1m9NPMGH6OZAn2hZ1F4M7lyil</t>
  </si>
  <si>
    <t>1z_JZbhCgRemg7c6PzjarJ8CVBmHwiTyS</t>
  </si>
  <si>
    <t>https://drive.google.com/file/d/1z_JZbhCgRemg7c6PzjarJ8CVBmHwiTyS/view?usp=drivesdk</t>
  </si>
  <si>
    <t>Document successfully created; Document successfully merged; PDF created; Emails Sent: [To: dedenpramiadi@gmail.com]; Run via form trigger as ecertificate75@gmail.com; Timestamp: Aug 30 2024 9:15 PM</t>
  </si>
  <si>
    <t>1AfNLACI1CMyMYtRL_rmf-2QX9VPwTbW_</t>
  </si>
  <si>
    <t>https://drive.google.com/file/d/1AfNLACI1CMyMYtRL_rmf-2QX9VPwTbW_/view?usp=drivesdk</t>
  </si>
  <si>
    <t>RIKA SARASWATI, S.E</t>
  </si>
  <si>
    <t>rikasarawati@gmail.com</t>
  </si>
  <si>
    <t>105</t>
  </si>
  <si>
    <t>https://drive.google.com/file/d/17-_76pUTFDo_6n0GsNk_JUynyEroH9Rk/view?usp=drivesdk</t>
  </si>
  <si>
    <t>17-_76pUTFDo_6n0GsNk_JUynyEroH9Rk</t>
  </si>
  <si>
    <t>1xec3mWSV1hM_ZynG85o1XRP5h7xybWfh</t>
  </si>
  <si>
    <t>https://drive.google.com/file/d/1xec3mWSV1hM_ZynG85o1XRP5h7xybWfh/view?usp=drivesdk</t>
  </si>
  <si>
    <t>Document successfully created; Document successfully merged; PDF created; Emails Sent: [To: rikasarawati@gmail.com]; Run via form trigger as ecertificate75@gmail.com; Timestamp: Aug 30 2024 9:15 PM</t>
  </si>
  <si>
    <t>1YUCuJqDqODfHP5SSUj9IazKGUF9nCEym</t>
  </si>
  <si>
    <t>https://drive.google.com/file/d/1YUCuJqDqODfHP5SSUj9IazKGUF9nCEym/view?usp=drivesdk</t>
  </si>
  <si>
    <t>YOGIE ESTININGSIH,S.Kep.,M.M.</t>
  </si>
  <si>
    <t>yogieestiningsih@gmail.com</t>
  </si>
  <si>
    <t>106</t>
  </si>
  <si>
    <t>https://drive.google.com/file/d/1Ov5iBRaS1i7N6Dk7WYEV9TctXkNxZUcN/view?usp=drivesdk</t>
  </si>
  <si>
    <t>1Ov5iBRaS1i7N6Dk7WYEV9TctXkNxZUcN</t>
  </si>
  <si>
    <t>1wyUh70pVjH-6NRfOqvzMdSJatMlqOvNQ</t>
  </si>
  <si>
    <t>https://drive.google.com/file/d/1wyUh70pVjH-6NRfOqvzMdSJatMlqOvNQ/view?usp=drivesdk</t>
  </si>
  <si>
    <t>Document successfully created; Document successfully merged; PDF created; Emails Sent: [To: yogieestiningsih@gmail.com]; Run via form trigger as ecertificate75@gmail.com; Timestamp: Aug 30 2024 9:15 PM</t>
  </si>
  <si>
    <t>1pTV5zGkT5-EQYKq2tC4P0kbthSsjXuKK</t>
  </si>
  <si>
    <t>https://drive.google.com/file/d/1pTV5zGkT5-EQYKq2tC4P0kbthSsjXuKK/view?usp=drivesdk</t>
  </si>
  <si>
    <t>Document successfully created; Document successfully merged; PDF created; !!Error Sending Emails: Service invoked too many times for one day: email.; Manually run by ecertificate75@gmail.com; Timestamp: Aug 31 2024 4:51 AM</t>
  </si>
  <si>
    <t>HENRI DARMADI AMD</t>
  </si>
  <si>
    <t>henridarmadi74@gmail.com</t>
  </si>
  <si>
    <t>107</t>
  </si>
  <si>
    <t>https://drive.google.com/file/d/13EBesa-FK_Fb0JCXljUvLjUCjiBADvF5/view?usp=drivesdk</t>
  </si>
  <si>
    <t>Document successfully created; Document successfully merged; PDF created; Emails Sent: [To: henridarmadi74@gmail.com]; Run via form trigger as ecertificate75@gmail.com; Timestamp: Aug 29 2024 8:32 PM</t>
  </si>
  <si>
    <t>13EBesa-FK_Fb0JCXljUvLjUCjiBADvF5</t>
  </si>
  <si>
    <t>14kqv1IlsDkiThk-zdZRHkmV-ejuWSpBh</t>
  </si>
  <si>
    <t>https://drive.google.com/file/d/14kqv1IlsDkiThk-zdZRHkmV-ejuWSpBh/view?usp=drivesdk</t>
  </si>
  <si>
    <t>Document successfully created; Document successfully merged; PDF created; Emails Sent: [To: henridarmadi74@gmail.com]; Run via form trigger as ecertificate75@gmail.com; Timestamp: Aug 30 2024 9:15 PM</t>
  </si>
  <si>
    <t>1dk0VjxRlhEw6azfLxz6S9iVfz5l2PgCN</t>
  </si>
  <si>
    <t>https://drive.google.com/file/d/1dk0VjxRlhEw6azfLxz6S9iVfz5l2PgCN/view?usp=drivesdk</t>
  </si>
  <si>
    <t>POLDA JATIM</t>
  </si>
  <si>
    <t>ARY BUDI KUSUMA, A.Md.</t>
  </si>
  <si>
    <t>budine.arie@gmail.com</t>
  </si>
  <si>
    <t>108</t>
  </si>
  <si>
    <t>https://drive.google.com/file/d/1w7Q_yqkObPHbcsnotqh5K23tI0Wq7Uee/view?usp=drivesdk</t>
  </si>
  <si>
    <t>1w7Q_yqkObPHbcsnotqh5K23tI0Wq7Uee</t>
  </si>
  <si>
    <t>1qrdOi1NZGx4y1JcKJOqAVPX_QWiYRGQ8</t>
  </si>
  <si>
    <t>https://drive.google.com/file/d/1qrdOi1NZGx4y1JcKJOqAVPX_QWiYRGQ8/view?usp=drivesdk</t>
  </si>
  <si>
    <t>Document successfully created; Document successfully merged; PDF created; Emails Sent: [To: budine.arie@gmail.com]; Run via form trigger as ecertificate75@gmail.com; Timestamp: Aug 30 2024 9:16 PM</t>
  </si>
  <si>
    <t>1AaqflwzALZx4uu6Ky1YttLmz2gQLoqNy</t>
  </si>
  <si>
    <t>https://drive.google.com/file/d/1AaqflwzALZx4uu6Ky1YttLmz2gQLoqNy/view?usp=drivesdk</t>
  </si>
  <si>
    <t>RIKA MARLINA SARI</t>
  </si>
  <si>
    <t>rikamarlinasari965@gmail.com</t>
  </si>
  <si>
    <t>109</t>
  </si>
  <si>
    <t>https://drive.google.com/file/d/1l-U5lmU2W2zoDw3oU4XJg9vPjs2C1Qpl/view?usp=drivesdk</t>
  </si>
  <si>
    <t>Document successfully created; Document successfully merged; PDF created; Emails Sent: [To: rikamarlinasari965@gmail.com]; Run via form trigger as ecertificate75@gmail.com; Timestamp: Aug 29 2024 8:32 PM</t>
  </si>
  <si>
    <t>1l-U5lmU2W2zoDw3oU4XJg9vPjs2C1Qpl</t>
  </si>
  <si>
    <t>1clm3t47e_S3OcNyoZJJbiQuJeaMoUy6t</t>
  </si>
  <si>
    <t>https://drive.google.com/file/d/1clm3t47e_S3OcNyoZJJbiQuJeaMoUy6t/view?usp=drivesdk</t>
  </si>
  <si>
    <t>Document successfully created; Document successfully merged; PDF created; Emails Sent: [To: rikamarlinasari965@gmail.com]; Run via form trigger as ecertificate75@gmail.com; Timestamp: Aug 30 2024 9:16 PM</t>
  </si>
  <si>
    <t>1yFzkQ5pW_67HOS-YETqaMZ79GnuvVaCb</t>
  </si>
  <si>
    <t>https://drive.google.com/file/d/1yFzkQ5pW_67HOS-YETqaMZ79GnuvVaCb/view?usp=drivesdk</t>
  </si>
  <si>
    <t>FITRI SAEFULINA</t>
  </si>
  <si>
    <t>fitrisaefulina@gmail.com</t>
  </si>
  <si>
    <t>110</t>
  </si>
  <si>
    <t>https://drive.google.com/file/d/1Qc5PXw7rwWb9MTMnNW8-qUl7XgO2k1o-/view?usp=drivesdk</t>
  </si>
  <si>
    <t>1Qc5PXw7rwWb9MTMnNW8-qUl7XgO2k1o-</t>
  </si>
  <si>
    <t>1R4rTrQi79H94vIuj4ZE3GlfGN7V3rN6z</t>
  </si>
  <si>
    <t>https://drive.google.com/file/d/1R4rTrQi79H94vIuj4ZE3GlfGN7V3rN6z/view?usp=drivesdk</t>
  </si>
  <si>
    <t>Document successfully created; Document successfully merged; PDF created; Emails Sent: [To: fitrisaefulina@gmail.com]; Run via form trigger as ecertificate75@gmail.com; Timestamp: Aug 30 2024 9:16 PM</t>
  </si>
  <si>
    <t>1LQ3ak7QmxppDWU76cFHIkPirAwo7E0Rf</t>
  </si>
  <si>
    <t>https://drive.google.com/file/d/1LQ3ak7QmxppDWU76cFHIkPirAwo7E0Rf/view?usp=drivesdk</t>
  </si>
  <si>
    <t>ESIH RUKMINAH, S.Pd</t>
  </si>
  <si>
    <t>esihrukminah69@gmail.com</t>
  </si>
  <si>
    <t>111</t>
  </si>
  <si>
    <t>https://drive.google.com/file/d/1xibdt-DlmcRVhLvOsKajduWM7bWRv1-S/view?usp=drivesdk</t>
  </si>
  <si>
    <t>1xibdt-DlmcRVhLvOsKajduWM7bWRv1-S</t>
  </si>
  <si>
    <t>1Rao3DMQk9GCfBJf8WdjQRtGG--X8V3KU</t>
  </si>
  <si>
    <t>https://drive.google.com/file/d/1Rao3DMQk9GCfBJf8WdjQRtGG--X8V3KU/view?usp=drivesdk</t>
  </si>
  <si>
    <t>Document successfully created; Document successfully merged; PDF created; Emails Sent: [To: esihrukminah69@gmail.com]; Run via form trigger as ecertificate75@gmail.com; Timestamp: Aug 30 2024 9:16 PM</t>
  </si>
  <si>
    <t>1ucp8o7x3bxkt9qb4TgFBodVF94DfirtV</t>
  </si>
  <si>
    <t>https://drive.google.com/file/d/1ucp8o7x3bxkt9qb4TgFBodVF94DfirtV/view?usp=drivesdk</t>
  </si>
  <si>
    <t>ELIZABETH NOVRITA SMLG, S.E</t>
  </si>
  <si>
    <t>marbun.elizabeth@gmail.com</t>
  </si>
  <si>
    <t>112</t>
  </si>
  <si>
    <t>https://drive.google.com/file/d/15l4k8MsVUNnEzNdfS0VCkEEl4DAj9fYc/view?usp=drivesdk</t>
  </si>
  <si>
    <t>15l4k8MsVUNnEzNdfS0VCkEEl4DAj9fYc</t>
  </si>
  <si>
    <t>1tzINUp4v5BQ_x7uFkiVRuOsec58IVfai</t>
  </si>
  <si>
    <t>https://drive.google.com/file/d/1tzINUp4v5BQ_x7uFkiVRuOsec58IVfai/view?usp=drivesdk</t>
  </si>
  <si>
    <t>Document successfully created; Document successfully merged; PDF created; Emails Sent: [To: marbun.elizabeth@gmail.com]; Run via form trigger as ecertificate75@gmail.com; Timestamp: Aug 30 2024 9:16 PM</t>
  </si>
  <si>
    <t>1oncFJFtZr_lMch_4eYxUkT6Zec1-pWp9</t>
  </si>
  <si>
    <t>https://drive.google.com/file/d/1oncFJFtZr_lMch_4eYxUkT6Zec1-pWp9/view?usp=drivesdk</t>
  </si>
  <si>
    <t>Document successfully created; Document successfully merged; PDF created; !!Error Sending Emails: Service invoked too many times for one day: email.; Manually run by ecertificate75@gmail.com; Timestamp: Aug 31 2024 4:52 AM</t>
  </si>
  <si>
    <t>SYAIDA FAKHRIANTI, S.H.</t>
  </si>
  <si>
    <t>syaida012@gmail.com</t>
  </si>
  <si>
    <t>113</t>
  </si>
  <si>
    <t>https://drive.google.com/file/d/1CpEzLXX3CNk2xccpErw-Af3pqGfnCO2M/view?usp=drivesdk</t>
  </si>
  <si>
    <t>1CpEzLXX3CNk2xccpErw-Af3pqGfnCO2M</t>
  </si>
  <si>
    <t>1dHXVYkJwShhZy9JHZLPNh7mCs_kZGUOj</t>
  </si>
  <si>
    <t>https://drive.google.com/file/d/1dHXVYkJwShhZy9JHZLPNh7mCs_kZGUOj/view?usp=drivesdk</t>
  </si>
  <si>
    <t>Document successfully created; Document successfully merged; PDF created; Emails Sent: [To: syaida012@gmail.com]; Run via form trigger as ecertificate75@gmail.com; Timestamp: Aug 30 2024 9:16 PM</t>
  </si>
  <si>
    <t>1j0PSJqx9yPa5J2VSU8E3SriCooYicPZu</t>
  </si>
  <si>
    <t>https://drive.google.com/file/d/1j0PSJqx9yPa5J2VSU8E3SriCooYicPZu/view?usp=drivesdk</t>
  </si>
  <si>
    <t>MERI ENGDRIANI, A.MD</t>
  </si>
  <si>
    <t>merisanrima@gmail.com</t>
  </si>
  <si>
    <t>114</t>
  </si>
  <si>
    <t>https://drive.google.com/file/d/1fcHjezWWESTPHXYbCw4CzY0ayxRF4iWZ/view?usp=drivesdk</t>
  </si>
  <si>
    <t>Document successfully created; Document successfully merged; PDF created; Emails Sent: [To: merisanrima@gmail.com]; Run via form trigger as ecertificate75@gmail.com; Timestamp: Aug 29 2024 8:32 PM</t>
  </si>
  <si>
    <t>1fcHjezWWESTPHXYbCw4CzY0ayxRF4iWZ</t>
  </si>
  <si>
    <t>1XHGJKZhCWJ-sD271ZJQ7mu7gWoGZ2Teo</t>
  </si>
  <si>
    <t>https://drive.google.com/file/d/1XHGJKZhCWJ-sD271ZJQ7mu7gWoGZ2Teo/view?usp=drivesdk</t>
  </si>
  <si>
    <t>Document successfully created; Document successfully merged; PDF created; Emails Sent: [To: merisanrima@gmail.com]; Run via form trigger as ecertificate75@gmail.com; Timestamp: Aug 30 2024 9:17 PM</t>
  </si>
  <si>
    <t>1lyej5ir_b4Q2iCapOTUBEtHCSVGAsHlj</t>
  </si>
  <si>
    <t>https://drive.google.com/file/d/1lyej5ir_b4Q2iCapOTUBEtHCSVGAsHlj/view?usp=drivesdk</t>
  </si>
  <si>
    <t>DR GEDE ERI SUPARMAWIJAYA</t>
  </si>
  <si>
    <t>gedeeri@gmail.com</t>
  </si>
  <si>
    <t>115</t>
  </si>
  <si>
    <t>https://drive.google.com/file/d/1_mXB-QVp1U3Pfx71sFeJpkGPpdKblixT/view?usp=drivesdk</t>
  </si>
  <si>
    <t>1_mXB-QVp1U3Pfx71sFeJpkGPpdKblixT</t>
  </si>
  <si>
    <t>1jbBX8LYqTLWiGtXaUbIBqqarRs13Ohrj</t>
  </si>
  <si>
    <t>https://drive.google.com/file/d/1jbBX8LYqTLWiGtXaUbIBqqarRs13Ohrj/view?usp=drivesdk</t>
  </si>
  <si>
    <t>Document successfully created; Document successfully merged; PDF created; Emails Sent: [To: gedeeri@gmail.com]; Run via form trigger as ecertificate75@gmail.com; Timestamp: Aug 30 2024 9:17 PM</t>
  </si>
  <si>
    <t>1SfhEWI24URDX_SsTN1y_TzDVcn03R7AH</t>
  </si>
  <si>
    <t>https://drive.google.com/file/d/1SfhEWI24URDX_SsTN1y_TzDVcn03R7AH/view?usp=drivesdk</t>
  </si>
  <si>
    <t>SUCI ENDAH PURWOLESTARI, AMd.AK.,S.Si.</t>
  </si>
  <si>
    <t>suciendahpurwo.lestari@gmail.com</t>
  </si>
  <si>
    <t>116</t>
  </si>
  <si>
    <t>https://drive.google.com/file/d/1ybSKJHP0wApkQzJdcC7MelZOr77jMmaC/view?usp=drivesdk</t>
  </si>
  <si>
    <t>1ybSKJHP0wApkQzJdcC7MelZOr77jMmaC</t>
  </si>
  <si>
    <t>1PC0VJnBNlLFhKUjKiJTZzwnUVhXY0gf0</t>
  </si>
  <si>
    <t>https://drive.google.com/file/d/1PC0VJnBNlLFhKUjKiJTZzwnUVhXY0gf0/view?usp=drivesdk</t>
  </si>
  <si>
    <t>Document successfully created; Document successfully merged; PDF created; Emails Sent: [To: suciendahpurwo.lestari@gmail.com]; Run via form trigger as ecertificate75@gmail.com; Timestamp: Aug 30 2024 9:17 PM</t>
  </si>
  <si>
    <t>1Fbmf-zZaKs_QGxEnvaZbfNRXDNAvaA7a</t>
  </si>
  <si>
    <t>https://drive.google.com/file/d/1Fbmf-zZaKs_QGxEnvaZbfNRXDNAvaA7a/view?usp=drivesdk</t>
  </si>
  <si>
    <t>AGUS HIDAYAT, S.IP</t>
  </si>
  <si>
    <t>agushdt82@gmail.com</t>
  </si>
  <si>
    <t>117</t>
  </si>
  <si>
    <t>https://drive.google.com/file/d/18MoM34g1snEpfxRyID8iWmJd6FdKDLvc/view?usp=drivesdk</t>
  </si>
  <si>
    <t>Document successfully created; Document successfully merged; PDF created; Emails Sent: [To: agushdt82@gmail.com]; Run via form trigger as ecertificate75@gmail.com; Timestamp: Aug 29 2024 8:32 PM</t>
  </si>
  <si>
    <t>18MoM34g1snEpfxRyID8iWmJd6FdKDLvc</t>
  </si>
  <si>
    <t>1FfUjzYWZ2xufVl-dJxOf6acC3lJQ5T_2</t>
  </si>
  <si>
    <t>https://drive.google.com/file/d/1FfUjzYWZ2xufVl-dJxOf6acC3lJQ5T_2/view?usp=drivesdk</t>
  </si>
  <si>
    <t>Document successfully created; Document successfully merged; PDF created; Emails Sent: [To: agushdt82@gmail.com]; Run via form trigger as ecertificate75@gmail.com; Timestamp: Aug 30 2024 9:17 PM</t>
  </si>
  <si>
    <t>1CjP8rRL93dvRsA9HWl_eyLVayiQgykPp</t>
  </si>
  <si>
    <t>https://drive.google.com/file/d/1CjP8rRL93dvRsA9HWl_eyLVayiQgykPp/view?usp=drivesdk</t>
  </si>
  <si>
    <t>Document successfully created; Document successfully merged; PDF created; !!Error Sending Emails: Service invoked too many times for one day: email.; Manually run by ecertificate75@gmail.com; Timestamp: Aug 31 2024 4:53 AM</t>
  </si>
  <si>
    <t>INE DEWI KANIA, S.Psi, Psi, MM</t>
  </si>
  <si>
    <t>inegca49@gmail.com</t>
  </si>
  <si>
    <t>118</t>
  </si>
  <si>
    <t>https://drive.google.com/file/d/1o0fTIMqUPBPLxK1zrNwAvpSs-_dkGnb2/view?usp=drivesdk</t>
  </si>
  <si>
    <t>Document successfully created; Document successfully merged; PDF created; Emails Sent: [To: inegca49@gmail.com]; Run via form trigger as ecertificate75@gmail.com; Timestamp: Aug 29 2024 8:32 PM</t>
  </si>
  <si>
    <t>1o0fTIMqUPBPLxK1zrNwAvpSs-_dkGnb2</t>
  </si>
  <si>
    <t>1YS1GvFScgTaQNgTDnsUuLXDc23o9V_cW</t>
  </si>
  <si>
    <t>https://drive.google.com/file/d/1YS1GvFScgTaQNgTDnsUuLXDc23o9V_cW/view?usp=drivesdk</t>
  </si>
  <si>
    <t>Document successfully created; Document successfully merged; PDF created; Emails Sent: [To: inegca49@gmail.com]; Run via form trigger as ecertificate75@gmail.com; Timestamp: Aug 30 2024 9:17 PM</t>
  </si>
  <si>
    <t>14Fp_qshrMs8zerDvx-JzloUEUtBedP4a</t>
  </si>
  <si>
    <t>https://drive.google.com/file/d/14Fp_qshrMs8zerDvx-JzloUEUtBedP4a/view?usp=drivesdk</t>
  </si>
  <si>
    <t>PENGATUR LALU YULIADI</t>
  </si>
  <si>
    <t>zoel_sasak@yahoo.co.id</t>
  </si>
  <si>
    <t>119</t>
  </si>
  <si>
    <t>https://drive.google.com/file/d/1GldeYnFP7laCA7g-Oa-BgB3dAawo0lI4/view?usp=drivesdk</t>
  </si>
  <si>
    <t>1GldeYnFP7laCA7g-Oa-BgB3dAawo0lI4</t>
  </si>
  <si>
    <t>1NzBD0Ve7LOSluIuXjYNS4BfXu054qATL</t>
  </si>
  <si>
    <t>https://drive.google.com/file/d/1NzBD0Ve7LOSluIuXjYNS4BfXu054qATL/view?usp=drivesdk</t>
  </si>
  <si>
    <t>Document successfully created; Document successfully merged; PDF created; Emails Sent: [To: zoel_sasak@yahoo.co.id]; Run via form trigger as ecertificate75@gmail.com; Timestamp: Aug 30 2024 9:17 PM</t>
  </si>
  <si>
    <t>13kFqy2vc2NXOZn5Nvm-CIEG-kPSVyoBq</t>
  </si>
  <si>
    <t>https://drive.google.com/file/d/13kFqy2vc2NXOZn5Nvm-CIEG-kPSVyoBq/view?usp=drivesdk</t>
  </si>
  <si>
    <t>DEWI PUJI ASTUTI</t>
  </si>
  <si>
    <t>123dewipuji@gmail.com</t>
  </si>
  <si>
    <t>120</t>
  </si>
  <si>
    <t>https://drive.google.com/file/d/162inUAtQkXWiFsH7735gHdCqTzwS6W19/view?usp=drivesdk</t>
  </si>
  <si>
    <t>162inUAtQkXWiFsH7735gHdCqTzwS6W19</t>
  </si>
  <si>
    <t>1b_-g0SOm_XYLFnSutfG7znEECjEWu6Mp</t>
  </si>
  <si>
    <t>https://drive.google.com/file/d/1b_-g0SOm_XYLFnSutfG7znEECjEWu6Mp/view?usp=drivesdk</t>
  </si>
  <si>
    <t>Document successfully created; Document successfully merged; PDF created; Emails Sent: [To: 123dewipuji@gmail.com]; Run via form trigger as ecertificate75@gmail.com; Timestamp: Aug 30 2024 9:18 PM</t>
  </si>
  <si>
    <t>15n81f4yQEhmOF0mptxbmE5KY19odgZyR</t>
  </si>
  <si>
    <t>https://drive.google.com/file/d/15n81f4yQEhmOF0mptxbmE5KY19odgZyR/view?usp=drivesdk</t>
  </si>
  <si>
    <t>TETTY KARUNIAWATI,A.Md</t>
  </si>
  <si>
    <t>tetty.nia@gmail.com</t>
  </si>
  <si>
    <t>121</t>
  </si>
  <si>
    <t>https://drive.google.com/file/d/1C_9PeNhE5XoWWfW11vdv9jMO_rQSyr15/view?usp=drivesdk</t>
  </si>
  <si>
    <t>Document successfully created; Document successfully merged; PDF created; !!Error Sending Emails: Service invoked too many times for one day: email.; Run via form trigger as ecertificate75@gmail.com; Timestamp: Aug 29 2024 8:33 PM</t>
  </si>
  <si>
    <t>1C_9PeNhE5XoWWfW11vdv9jMO_rQSyr15</t>
  </si>
  <si>
    <t>1Sx8y11uT7T-LYPW4KCTMGonpB6cvxQMX</t>
  </si>
  <si>
    <t>https://drive.google.com/file/d/1Sx8y11uT7T-LYPW4KCTMGonpB6cvxQMX/view?usp=drivesdk</t>
  </si>
  <si>
    <t>Document successfully created; Document successfully merged; PDF created; Emails Sent: [To: tetty.nia@gmail.com]; Run via form trigger as ecertificate75@gmail.com; Timestamp: Aug 30 2024 9:18 PM</t>
  </si>
  <si>
    <t>12m6rJimDKEf0h7JT70Wu-fxj5aD9Ba-4</t>
  </si>
  <si>
    <t>https://drive.google.com/file/d/12m6rJimDKEf0h7JT70Wu-fxj5aD9Ba-4/view?usp=drivesdk</t>
  </si>
  <si>
    <t>Document successfully created; Document successfully merged; PDF created; !!Error Sending Emails: Service invoked too many times for one day: email.; Manually run by ecertificate75@gmail.com; Timestamp: Aug 31 2024 4:54 AM</t>
  </si>
  <si>
    <t>UCI PURNAMA SARI, A.Md.Keb</t>
  </si>
  <si>
    <t>ucipurnamasari150192@gmail.com</t>
  </si>
  <si>
    <t>122</t>
  </si>
  <si>
    <t>https://drive.google.com/file/d/1OdDhwdA7yDA8zf14ZRgkEw5kMYJxHMtF/view?usp=drivesdk</t>
  </si>
  <si>
    <t>1OdDhwdA7yDA8zf14ZRgkEw5kMYJxHMtF</t>
  </si>
  <si>
    <t>1zapTn2hCkMzdpg_U7xzLzK_NC9bmauEd</t>
  </si>
  <si>
    <t>https://drive.google.com/file/d/1zapTn2hCkMzdpg_U7xzLzK_NC9bmauEd/view?usp=drivesdk</t>
  </si>
  <si>
    <t>Document successfully created; Document successfully merged; PDF created; Emails Sent: [To: ucipurnamasari150192@gmail.com]; Run via form trigger as ecertificate75@gmail.com; Timestamp: Aug 30 2024 9:18 PM</t>
  </si>
  <si>
    <t>1AKqxx0AWkGkJ2EwYchAEGcH2_sYk2Q4P</t>
  </si>
  <si>
    <t>https://drive.google.com/file/d/1AKqxx0AWkGkJ2EwYchAEGcH2_sYk2Q4P/view?usp=drivesdk</t>
  </si>
  <si>
    <t>RD HANA KURAESIN</t>
  </si>
  <si>
    <t>hana_kuraesin@yahoo.com</t>
  </si>
  <si>
    <t>123</t>
  </si>
  <si>
    <t>https://drive.google.com/file/d/1SqAk68uMt5BD0bnAIVs2-p4kuNhUtmAA/view?usp=drivesdk</t>
  </si>
  <si>
    <t>1SqAk68uMt5BD0bnAIVs2-p4kuNhUtmAA</t>
  </si>
  <si>
    <t>10DeDcctaHM6fCAnXZt0nmwyXcBC5ymBd</t>
  </si>
  <si>
    <t>https://drive.google.com/file/d/10DeDcctaHM6fCAnXZt0nmwyXcBC5ymBd/view?usp=drivesdk</t>
  </si>
  <si>
    <t>Document successfully created; Document successfully merged; PDF created; Emails Sent: [To: hana_kuraesin@yahoo.com]; Run via form trigger as ecertificate75@gmail.com; Timestamp: Aug 30 2024 9:18 PM</t>
  </si>
  <si>
    <t>1_IkZgdjK6zhuvUTrDKgjAAa6q2Te_lpH</t>
  </si>
  <si>
    <t>https://drive.google.com/file/d/1_IkZgdjK6zhuvUTrDKgjAAa6q2Te_lpH/view?usp=drivesdk</t>
  </si>
  <si>
    <t>TJOKORDA ISTRI AGUNG RAY MAHA ADNYANI, A.Md.Kep</t>
  </si>
  <si>
    <t>tjokagungray@gmail.com</t>
  </si>
  <si>
    <t>124</t>
  </si>
  <si>
    <t>https://drive.google.com/file/d/1qb7T1yL6Jqq6-X2SwqE6wDlGh8NAv-ci/view?usp=drivesdk</t>
  </si>
  <si>
    <t>1qb7T1yL6Jqq6-X2SwqE6wDlGh8NAv-ci</t>
  </si>
  <si>
    <t>1BYPUPLo2SLLFDd3rlc_pjtO3NQJPHNRf</t>
  </si>
  <si>
    <t>https://drive.google.com/file/d/1BYPUPLo2SLLFDd3rlc_pjtO3NQJPHNRf/view?usp=drivesdk</t>
  </si>
  <si>
    <t>Document successfully created; Document successfully merged; PDF created; Emails Sent: [To: tjokagungray@gmail.com]; Run via form trigger as ecertificate75@gmail.com; Timestamp: Aug 30 2024 9:18 PM</t>
  </si>
  <si>
    <t>11fzeS6qyI2bUegYQgiSDhn8ZFVxbg9od</t>
  </si>
  <si>
    <t>https://drive.google.com/file/d/11fzeS6qyI2bUegYQgiSDhn8ZFVxbg9od/view?usp=drivesdk</t>
  </si>
  <si>
    <t>NI LUH MADE BUNCING KARYAWATI</t>
  </si>
  <si>
    <t>buncing4321@gmail.com</t>
  </si>
  <si>
    <t>125</t>
  </si>
  <si>
    <t>https://drive.google.com/file/d/1F9IHLcrG0NPuCflniZXhE_m2Xu-k4Y-e/view?usp=drivesdk</t>
  </si>
  <si>
    <t>1F9IHLcrG0NPuCflniZXhE_m2Xu-k4Y-e</t>
  </si>
  <si>
    <t>1wQevcrCyHA55CA5MyCpB7bGBNJsEVn4W</t>
  </si>
  <si>
    <t>https://drive.google.com/file/d/1wQevcrCyHA55CA5MyCpB7bGBNJsEVn4W/view?usp=drivesdk</t>
  </si>
  <si>
    <t>Document successfully created; Document successfully merged; PDF created; Emails Sent: [To: buncing4321@gmail.com]; Run via form trigger as ecertificate75@gmail.com; Timestamp: Aug 30 2024 9:18 PM</t>
  </si>
  <si>
    <t>1kOCX82NGSopDSJwzk8YnCDR0GRvPh49h</t>
  </si>
  <si>
    <t>https://drive.google.com/file/d/1kOCX82NGSopDSJwzk8YnCDR0GRvPh49h/view?usp=drivesdk</t>
  </si>
  <si>
    <t>NI KETUT SUPADMAWATI</t>
  </si>
  <si>
    <t>ketutsupadmawati67@gmail.com</t>
  </si>
  <si>
    <t>126</t>
  </si>
  <si>
    <t>https://drive.google.com/file/d/1SvTBqDLXpW278t0T1kDOIPXs2lnMyhGS/view?usp=drivesdk</t>
  </si>
  <si>
    <t>1SvTBqDLXpW278t0T1kDOIPXs2lnMyhGS</t>
  </si>
  <si>
    <t>1x4-1xbjEYY5-Y7IqqjY13Imflm9XOp3S</t>
  </si>
  <si>
    <t>https://drive.google.com/file/d/1x4-1xbjEYY5-Y7IqqjY13Imflm9XOp3S/view?usp=drivesdk</t>
  </si>
  <si>
    <t>Document successfully created; Document successfully merged; PDF created; Emails Sent: [To: ketutsupadmawati67@gmail.com]; Run via form trigger as ecertificate75@gmail.com; Timestamp: Aug 30 2024 9:19 PM</t>
  </si>
  <si>
    <t>1Jkyseuz6GG9-Ggvz2rPpgZ2CVik1wFSx</t>
  </si>
  <si>
    <t>https://drive.google.com/file/d/1Jkyseuz6GG9-Ggvz2rPpgZ2CVik1wFSx/view?usp=drivesdk</t>
  </si>
  <si>
    <t>SRI NIZAR ANNAS, SH</t>
  </si>
  <si>
    <t>srinizar86@gmail.com</t>
  </si>
  <si>
    <t>127</t>
  </si>
  <si>
    <t>https://drive.google.com/file/d/1Ffi2fVx0PTkPk_bBrcLtR5reycqZZNpB/view?usp=drivesdk</t>
  </si>
  <si>
    <t>1Ffi2fVx0PTkPk_bBrcLtR5reycqZZNpB</t>
  </si>
  <si>
    <t>1fvYpJ6nrfmgUqdniSk8vxwb6jxkFdTkZ</t>
  </si>
  <si>
    <t>https://drive.google.com/file/d/1fvYpJ6nrfmgUqdniSk8vxwb6jxkFdTkZ/view?usp=drivesdk</t>
  </si>
  <si>
    <t>Document successfully created; Document successfully merged; PDF created; Emails Sent: [To: srinizar86@gmail.com]; Run via form trigger as ecertificate75@gmail.com; Timestamp: Aug 30 2024 9:19 PM</t>
  </si>
  <si>
    <t>1WxswzaUOsWe9j58nQK-M0QgnK7Pp4hqC</t>
  </si>
  <si>
    <t>https://drive.google.com/file/d/1WxswzaUOsWe9j58nQK-M0QgnK7Pp4hqC/view?usp=drivesdk</t>
  </si>
  <si>
    <t>Document successfully created; Document successfully merged; PDF created; !!Error Sending Emails: Service invoked too many times for one day: email.; Manually run by ecertificate75@gmail.com; Timestamp: Aug 31 2024 4:55 AM</t>
  </si>
  <si>
    <t>ENDAH NURYANTI, SH.SE</t>
  </si>
  <si>
    <t>enmetania@gmail.com</t>
  </si>
  <si>
    <t>128</t>
  </si>
  <si>
    <t>https://drive.google.com/file/d/1hX4oC_m2SB54aH7Gt3yU8JQuhJESP2Mu/view?usp=drivesdk</t>
  </si>
  <si>
    <t>1hX4oC_m2SB54aH7Gt3yU8JQuhJESP2Mu</t>
  </si>
  <si>
    <t>16isa4y3PBuXXwa81tomSrCyjo46lTwdM</t>
  </si>
  <si>
    <t>https://drive.google.com/file/d/16isa4y3PBuXXwa81tomSrCyjo46lTwdM/view?usp=drivesdk</t>
  </si>
  <si>
    <t>1nnjFxWGzgvTUvEyb6VfDqF_bdq_1-MIC</t>
  </si>
  <si>
    <t>https://drive.google.com/file/d/1nnjFxWGzgvTUvEyb6VfDqF_bdq_1-MIC/view?usp=drivesdk</t>
  </si>
  <si>
    <t>PUTU IRMA YUNITA, A.Md.Keb</t>
  </si>
  <si>
    <t>putuirmayunita3101@gmail.com</t>
  </si>
  <si>
    <t>129</t>
  </si>
  <si>
    <t>https://drive.google.com/file/d/1UWxUFNzIznAMy6oOl1jGoBWaWSW3_QDY/view?usp=drivesdk</t>
  </si>
  <si>
    <t>1UWxUFNzIznAMy6oOl1jGoBWaWSW3_QDY</t>
  </si>
  <si>
    <t>1u1pplioDhPHtTs15LAK8-Tr9O99tigAy</t>
  </si>
  <si>
    <t>https://drive.google.com/file/d/1u1pplioDhPHtTs15LAK8-Tr9O99tigAy/view?usp=drivesdk</t>
  </si>
  <si>
    <t>Document successfully created; Document successfully merged; PDF created; Emails Sent: [To: putuirmayunita3101@gmail.com]; Run via form trigger as ecertificate75@gmail.com; Timestamp: Aug 30 2024 9:19 PM</t>
  </si>
  <si>
    <t>1kI3BX0QrjaDKAERvnHHMg5mgiU6LEYx2</t>
  </si>
  <si>
    <t>https://drive.google.com/file/d/1kI3BX0QrjaDKAERvnHHMg5mgiU6LEYx2/view?usp=drivesdk</t>
  </si>
  <si>
    <t>ENDAH WAHYUNI AMD</t>
  </si>
  <si>
    <t>endahwhyni81@gmail.com</t>
  </si>
  <si>
    <t>130</t>
  </si>
  <si>
    <t>https://drive.google.com/file/d/1nUrxKyNr6MWxphSI-GxuzBt_85mGzhen/view?usp=drivesdk</t>
  </si>
  <si>
    <t>1nUrxKyNr6MWxphSI-GxuzBt_85mGzhen</t>
  </si>
  <si>
    <t>1UAHRsRSkB-Oa87KRJxIDD-fpKOSOBLRA</t>
  </si>
  <si>
    <t>https://drive.google.com/file/d/1UAHRsRSkB-Oa87KRJxIDD-fpKOSOBLRA/view?usp=drivesdk</t>
  </si>
  <si>
    <t>Document successfully created; Document successfully merged; PDF created; Emails Sent: [To: endahwhyni81@gmail.com]; Run via form trigger as ecertificate75@gmail.com; Timestamp: Aug 30 2024 9:19 PM</t>
  </si>
  <si>
    <t>1dyRrpnz08PP7L6Sk3A0lmBsUIrMRvKVH</t>
  </si>
  <si>
    <t>https://drive.google.com/file/d/1dyRrpnz08PP7L6Sk3A0lmBsUIrMRvKVH/view?usp=drivesdk</t>
  </si>
  <si>
    <t>RINA YULIANINGSIH, SE.MM.</t>
  </si>
  <si>
    <t>subbagrenminsus.ntb@gmail.com</t>
  </si>
  <si>
    <t>131</t>
  </si>
  <si>
    <t>https://drive.google.com/file/d/1_b77EptwWaCHcodDGHP0BNhbocJ8wr0x/view?usp=drivesdk</t>
  </si>
  <si>
    <t>Document successfully created; Document successfully merged; PDF created; Emails Sent: [To: subbagrenminsus.ntb@gmail.com]; Run via form trigger as ecertificate75@gmail.com; Timestamp: Aug 29 2024 8:32 PM</t>
  </si>
  <si>
    <t>1_b77EptwWaCHcodDGHP0BNhbocJ8wr0x</t>
  </si>
  <si>
    <t>1wW0cPCrK--UEFoj0B63jkTjvnSv1XdHS</t>
  </si>
  <si>
    <t>https://drive.google.com/file/d/1wW0cPCrK--UEFoj0B63jkTjvnSv1XdHS/view?usp=drivesdk</t>
  </si>
  <si>
    <t>Document successfully created; Document successfully merged; PDF created; Emails Sent: [To: subbagrenminsus.ntb@gmail.com]; Run via form trigger as ecertificate75@gmail.com; Timestamp: Aug 30 2024 9:22 PM</t>
  </si>
  <si>
    <t>11A_lC39xjkBk8ltrjixvtn85m1p0p8IV</t>
  </si>
  <si>
    <t>https://drive.google.com/file/d/11A_lC39xjkBk8ltrjixvtn85m1p0p8IV/view?usp=drivesdk</t>
  </si>
  <si>
    <t>POLDA LAMPUNG</t>
  </si>
  <si>
    <t xml:space="preserve">TATOK SULISTIYAWAN </t>
  </si>
  <si>
    <t>tatoksulistiyawan@gmail.com</t>
  </si>
  <si>
    <t>132</t>
  </si>
  <si>
    <t>https://drive.google.com/file/d/1oyW9yfflZBVTrWqrPt64yRQ1cPH4JVLh/view?usp=drivesdk</t>
  </si>
  <si>
    <t>1oyW9yfflZBVTrWqrPt64yRQ1cPH4JVLh</t>
  </si>
  <si>
    <t>1MgeA8gqrFVnqI9PJyh_Mvgh8zeicQphf</t>
  </si>
  <si>
    <t>https://drive.google.com/file/d/1MgeA8gqrFVnqI9PJyh_Mvgh8zeicQphf/view?usp=drivesdk</t>
  </si>
  <si>
    <t>Document successfully created; Document successfully merged; PDF created; Emails Sent: [To: tatoksulistiyawan@gmail.com]; Run via form trigger as ecertificate75@gmail.com; Timestamp: Aug 30 2024 9:23 PM</t>
  </si>
  <si>
    <t>11JdB6m33KGTVeLwMV07Sv6BMMir-ufhs</t>
  </si>
  <si>
    <t>https://drive.google.com/file/d/11JdB6m33KGTVeLwMV07Sv6BMMir-ufhs/view?usp=drivesdk</t>
  </si>
  <si>
    <t>NI MADE TRISNAWATI</t>
  </si>
  <si>
    <t>madetrisnawati183@gmail.com</t>
  </si>
  <si>
    <t>133</t>
  </si>
  <si>
    <t>https://drive.google.com/file/d/18yFpvvsV-OYpFpKbWSsAW9QOtewvy7Ox/view?usp=drivesdk</t>
  </si>
  <si>
    <t>18yFpvvsV-OYpFpKbWSsAW9QOtewvy7Ox</t>
  </si>
  <si>
    <t>1jpaDy7S-p3kksPmxEDrYC0CJthsoZXW-</t>
  </si>
  <si>
    <t>https://drive.google.com/file/d/1jpaDy7S-p3kksPmxEDrYC0CJthsoZXW-/view?usp=drivesdk</t>
  </si>
  <si>
    <t>Document successfully created; Document successfully merged; PDF created; Emails Sent: [To: madetrisnawati183@gmail.com]; Run via form trigger as ecertificate75@gmail.com; Timestamp: Aug 30 2024 9:23 PM</t>
  </si>
  <si>
    <t>1_rh1OvThmj9hlgTuIZCwhyzFx5trzPkr</t>
  </si>
  <si>
    <t>https://drive.google.com/file/d/1_rh1OvThmj9hlgTuIZCwhyzFx5trzPkr/view?usp=drivesdk</t>
  </si>
  <si>
    <t>Document successfully created; Document successfully merged; PDF created; !!Error Sending Emails: Service invoked too many times for one day: email.; Manually run by ecertificate75@gmail.com; Timestamp: Aug 31 2024 4:56 AM</t>
  </si>
  <si>
    <t xml:space="preserve">LALU BUSTANUL ATHFAL </t>
  </si>
  <si>
    <t>lalubustanul305@gmail.com</t>
  </si>
  <si>
    <t>134</t>
  </si>
  <si>
    <t>https://drive.google.com/file/d/1MOhvoeL1LWpTVGY1QeIo7lz0D49POIqD/view?usp=drivesdk</t>
  </si>
  <si>
    <t>1MOhvoeL1LWpTVGY1QeIo7lz0D49POIqD</t>
  </si>
  <si>
    <t>1TzLbzv8x5d749_MKNLmjrokHSykTMImI</t>
  </si>
  <si>
    <t>https://drive.google.com/file/d/1TzLbzv8x5d749_MKNLmjrokHSykTMImI/view?usp=drivesdk</t>
  </si>
  <si>
    <t>Document successfully created; Document successfully merged; PDF created; Emails Sent: [To: lalubustanul305@gmail.com]; Run via form trigger as ecertificate75@gmail.com; Timestamp: Aug 30 2024 9:23 PM</t>
  </si>
  <si>
    <t>1Egb15Kt19wDlxz7Xkyo8wPw8r6Bm_7TA</t>
  </si>
  <si>
    <t>https://drive.google.com/file/d/1Egb15Kt19wDlxz7Xkyo8wPw8r6Bm_7TA/view?usp=drivesdk</t>
  </si>
  <si>
    <t>GAMA DWI LINGGA. A, Md</t>
  </si>
  <si>
    <t>gamadwi18@gmail.com</t>
  </si>
  <si>
    <t>135</t>
  </si>
  <si>
    <t>https://drive.google.com/file/d/184t0RnoelMiIAnHi95k2pczszY1U5wll/view?usp=drivesdk</t>
  </si>
  <si>
    <t>184t0RnoelMiIAnHi95k2pczszY1U5wll</t>
  </si>
  <si>
    <t>11-IQpdFsENSafeZ66kFkJNtJT6cHE7TR</t>
  </si>
  <si>
    <t>https://drive.google.com/file/d/11-IQpdFsENSafeZ66kFkJNtJT6cHE7TR/view?usp=drivesdk</t>
  </si>
  <si>
    <t>Document successfully created; Document successfully merged; PDF created; Emails Sent: [To: gamadwi18@gmail.com]; Run via form trigger as ecertificate75@gmail.com; Timestamp: Aug 30 2024 9:23 PM</t>
  </si>
  <si>
    <t>1O5XYF_LzLpkC4X2ve8D_SgFXyrYOQkUm</t>
  </si>
  <si>
    <t>https://drive.google.com/file/d/1O5XYF_LzLpkC4X2ve8D_SgFXyrYOQkUm/view?usp=drivesdk</t>
  </si>
  <si>
    <t>SPRIPIM POLRI</t>
  </si>
  <si>
    <t>WAHYU TANDRIYANTO, S.E</t>
  </si>
  <si>
    <t>wahyutandriyanto@gmail.com</t>
  </si>
  <si>
    <t>136</t>
  </si>
  <si>
    <t>https://drive.google.com/file/d/1cX9WIldZPP1YTAcf4UhMvOcJIlil_E6k/view?usp=drivesdk</t>
  </si>
  <si>
    <t>1cX9WIldZPP1YTAcf4UhMvOcJIlil_E6k</t>
  </si>
  <si>
    <t>1FCFBpL60UZGTA2CZqEHVYSoSEmxJuuE1</t>
  </si>
  <si>
    <t>https://drive.google.com/file/d/1FCFBpL60UZGTA2CZqEHVYSoSEmxJuuE1/view?usp=drivesdk</t>
  </si>
  <si>
    <t>Document successfully created; Document successfully merged; PDF created; Emails Sent: [To: wahyutandriyanto@gmail.com]; Run via form trigger as ecertificate75@gmail.com; Timestamp: Aug 30 2024 9:24 PM</t>
  </si>
  <si>
    <t>1RELTTwBu_gbZMN_3XtgTqb_JULnswg1H</t>
  </si>
  <si>
    <t>https://drive.google.com/file/d/1RELTTwBu_gbZMN_3XtgTqb_JULnswg1H/view?usp=drivesdk</t>
  </si>
  <si>
    <t>DEDY HARYUDI, S.KOM</t>
  </si>
  <si>
    <t>dharyudi@gmail.com</t>
  </si>
  <si>
    <t>137</t>
  </si>
  <si>
    <t>https://drive.google.com/file/d/1p7fkGVt8f7z4hyepQqsPy0bjCBwTCqGT/view?usp=drivesdk</t>
  </si>
  <si>
    <t>1p7fkGVt8f7z4hyepQqsPy0bjCBwTCqGT</t>
  </si>
  <si>
    <t>14YsFHVXfaOsWFE1leyaxSyhCK_74_qlB</t>
  </si>
  <si>
    <t>https://drive.google.com/file/d/14YsFHVXfaOsWFE1leyaxSyhCK_74_qlB/view?usp=drivesdk</t>
  </si>
  <si>
    <t>Document successfully created; Document successfully merged; PDF created; Emails Sent: [To: dharyudi@gmail.com]; Run via form trigger as ecertificate75@gmail.com; Timestamp: Aug 30 2024 9:25 PM</t>
  </si>
  <si>
    <t>1I8riloXy3jiZHgyZQSrkTUy4SUTCsNeT</t>
  </si>
  <si>
    <t>https://drive.google.com/file/d/1I8riloXy3jiZHgyZQSrkTUy4SUTCsNeT/view?usp=drivesdk</t>
  </si>
  <si>
    <t>MADE SRI WAHYUNI, A.md</t>
  </si>
  <si>
    <t>adexw820530@gmail.com</t>
  </si>
  <si>
    <t>138</t>
  </si>
  <si>
    <t>https://drive.google.com/file/d/1xQSu1rbZvSNIXkk6RW6L83D9zVAaUfha/view?usp=drivesdk</t>
  </si>
  <si>
    <t>1xQSu1rbZvSNIXkk6RW6L83D9zVAaUfha</t>
  </si>
  <si>
    <t>1RrWbC-E49RbWd8DQpqhmN9Hd67zilgiJ</t>
  </si>
  <si>
    <t>https://drive.google.com/file/d/1RrWbC-E49RbWd8DQpqhmN9Hd67zilgiJ/view?usp=drivesdk</t>
  </si>
  <si>
    <t>Document successfully created; Document successfully merged; PDF created; Emails Sent: [To: adexw820530@gmail.com]; Run via form trigger as ecertificate75@gmail.com; Timestamp: Aug 30 2024 9:25 PM</t>
  </si>
  <si>
    <t>1OsHyOx3NqTPZMiawymXxIrQfTNTKBYhe</t>
  </si>
  <si>
    <t>https://drive.google.com/file/d/1OsHyOx3NqTPZMiawymXxIrQfTNTKBYhe/view?usp=drivesdk</t>
  </si>
  <si>
    <t>dr. DWITYO RAHMAT SETIAWAN</t>
  </si>
  <si>
    <t>dwityorsetiawan@gmail.com</t>
  </si>
  <si>
    <t>139</t>
  </si>
  <si>
    <t>https://drive.google.com/file/d/1jL24LtjFvD1wahpMsDDiHBNzCZ6jN-r5/view?usp=drivesdk</t>
  </si>
  <si>
    <t>1jL24LtjFvD1wahpMsDDiHBNzCZ6jN-r5</t>
  </si>
  <si>
    <t>1Ao10P8WaPsg2EijhLj3ikUMm8K9aNdeH</t>
  </si>
  <si>
    <t>https://drive.google.com/file/d/1Ao10P8WaPsg2EijhLj3ikUMm8K9aNdeH/view?usp=drivesdk</t>
  </si>
  <si>
    <t>Document successfully created; Document successfully merged; PDF created; !!Error Sending Emails: Service invoked too many times for one day: email.; Run via form trigger as ecertificate75@gmail.com; Timestamp: Aug 30 2024 9:25 PM</t>
  </si>
  <si>
    <t>1T5WzydGQS9OGVS1yp1PWpfTfTHx_f4xe</t>
  </si>
  <si>
    <t>https://drive.google.com/file/d/1T5WzydGQS9OGVS1yp1PWpfTfTHx_f4xe/view?usp=drivesdk</t>
  </si>
  <si>
    <t>Document successfully created; Document successfully merged; PDF created; !!Error Sending Emails: Service invoked too many times for one day: email.; Manually run by ecertificate75@gmail.com; Timestamp: Aug 31 2024 4:57 AM</t>
  </si>
  <si>
    <t>RINI JULAINI, S.E</t>
  </si>
  <si>
    <t>rini.julaini@gmail.com</t>
  </si>
  <si>
    <t>140</t>
  </si>
  <si>
    <t>https://drive.google.com/file/d/18sNs52-icVQ7tjF5R0zuP-lqlGjny6aV/view?usp=drivesdk</t>
  </si>
  <si>
    <t>18sNs52-icVQ7tjF5R0zuP-lqlGjny6aV</t>
  </si>
  <si>
    <t>1yIrVE4KoOJK9LTnfI9wI1814IS8Fo-gJ</t>
  </si>
  <si>
    <t>https://drive.google.com/file/d/1yIrVE4KoOJK9LTnfI9wI1814IS8Fo-gJ/view?usp=drivesdk</t>
  </si>
  <si>
    <t>177C1w21a-cALLKM3JdiQ77Ui1KNr05do</t>
  </si>
  <si>
    <t>https://drive.google.com/file/d/177C1w21a-cALLKM3JdiQ77Ui1KNr05do/view?usp=drivesdk</t>
  </si>
  <si>
    <t>YUDHI SISWANTO ,S.E.</t>
  </si>
  <si>
    <t>invent.yudhi@gmail.com</t>
  </si>
  <si>
    <t>141</t>
  </si>
  <si>
    <t>https://drive.google.com/file/d/1KMiMIZmX3w7NFucXHqN3aANxvaDoBmEV/view?usp=drivesdk</t>
  </si>
  <si>
    <t>1KMiMIZmX3w7NFucXHqN3aANxvaDoBmEV</t>
  </si>
  <si>
    <t>1eNk8OqPnOfdVttcXmNeWwKiAFSTZuBku</t>
  </si>
  <si>
    <t>https://drive.google.com/file/d/1eNk8OqPnOfdVttcXmNeWwKiAFSTZuBku/view?usp=drivesdk</t>
  </si>
  <si>
    <t>1R_eQnST9euG6PR4P8pF4fo9k4kNc5fYl</t>
  </si>
  <si>
    <t>https://drive.google.com/file/d/1R_eQnST9euG6PR4P8pF4fo9k4kNc5fYl/view?usp=drivesdk</t>
  </si>
  <si>
    <t>POLDA METRO JAYA</t>
  </si>
  <si>
    <t>MEULYTA MEGA DEVI APSARI, A.Md</t>
  </si>
  <si>
    <t>kyasha453@gmail.com</t>
  </si>
  <si>
    <t>142</t>
  </si>
  <si>
    <t>https://drive.google.com/file/d/1u6-p9X7iFFtYg9qQ3z6cLLXuE5H8b-PA/view?usp=drivesdk</t>
  </si>
  <si>
    <t>1u6-p9X7iFFtYg9qQ3z6cLLXuE5H8b-PA</t>
  </si>
  <si>
    <t>1i7PbdlV273jSon8A-7ll2aeBqBQPTOek</t>
  </si>
  <si>
    <t>https://drive.google.com/file/d/1i7PbdlV273jSon8A-7ll2aeBqBQPTOek/view?usp=drivesdk</t>
  </si>
  <si>
    <t>1czhTR3Y7ohIHq8P9XtZ0yEwAMbFk9AqA</t>
  </si>
  <si>
    <t>https://drive.google.com/file/d/1czhTR3Y7ohIHq8P9XtZ0yEwAMbFk9AqA/view?usp=drivesdk</t>
  </si>
  <si>
    <t>PENGATUR TK.I SAFRI</t>
  </si>
  <si>
    <t>samoelkebonlelang@gmail.com</t>
  </si>
  <si>
    <t>143</t>
  </si>
  <si>
    <t>https://drive.google.com/file/d/1Agdtr2or4Tm0VK1qDrHNnny2x0oLur1-/view?usp=drivesdk</t>
  </si>
  <si>
    <t>1Agdtr2or4Tm0VK1qDrHNnny2x0oLur1-</t>
  </si>
  <si>
    <t>1jGUwGXT3zEOqC7oGscrhwfAYuMcLmCWp</t>
  </si>
  <si>
    <t>https://drive.google.com/file/d/1jGUwGXT3zEOqC7oGscrhwfAYuMcLmCWp/view?usp=drivesdk</t>
  </si>
  <si>
    <t>11trmPR0CdltdaVmmhzGDjAnAVSNGp_CU</t>
  </si>
  <si>
    <t>https://drive.google.com/file/d/11trmPR0CdltdaVmmhzGDjAnAVSNGp_CU/view?usp=drivesdk</t>
  </si>
  <si>
    <t>dr. ANNISA R ALKATIRY</t>
  </si>
  <si>
    <t>nisaalkatiry@gmail.com</t>
  </si>
  <si>
    <t>144</t>
  </si>
  <si>
    <t>https://drive.google.com/file/d/1UeIFDraBc4i7mLWB2eHN-1VvNqZp1yrj/view?usp=drivesdk</t>
  </si>
  <si>
    <t>1UeIFDraBc4i7mLWB2eHN-1VvNqZp1yrj</t>
  </si>
  <si>
    <t>1z6FhNSgZG4IrqDlkbzwOIkOfmf4YAA09</t>
  </si>
  <si>
    <t>https://drive.google.com/file/d/1z6FhNSgZG4IrqDlkbzwOIkOfmf4YAA09/view?usp=drivesdk</t>
  </si>
  <si>
    <t>Document successfully created; Document successfully merged; PDF created; !!Error Sending Emails: Service invoked too many times for one day: email.; Run via form trigger as ecertificate75@gmail.com; Timestamp: Aug 30 2024 9:26 PM</t>
  </si>
  <si>
    <t>1jMqKuwA--tjFzaOip_Mx9C5PTBydNJej</t>
  </si>
  <si>
    <t>https://drive.google.com/file/d/1jMqKuwA--tjFzaOip_Mx9C5PTBydNJej/view?usp=drivesdk</t>
  </si>
  <si>
    <t>Document successfully created; Document successfully merged; PDF created; !!Error Sending Emails: Service invoked too many times for one day: email.; Manually run by ecertificate75@gmail.com; Timestamp: Aug 31 2024 4:58 AM</t>
  </si>
  <si>
    <t>ARIS YULIYANTO, S.Kom., M.M.</t>
  </si>
  <si>
    <t>mezzotamia80@gmail.com</t>
  </si>
  <si>
    <t>145</t>
  </si>
  <si>
    <t>https://drive.google.com/file/d/1cucldBBAvVluI1HYuiGsz_VRBrRVIfYc/view?usp=drivesdk</t>
  </si>
  <si>
    <t>1cucldBBAvVluI1HYuiGsz_VRBrRVIfYc</t>
  </si>
  <si>
    <t>1ojZ0TwYtUGZV6PdvPDFiFJCur-jbcOas</t>
  </si>
  <si>
    <t>https://drive.google.com/file/d/1ojZ0TwYtUGZV6PdvPDFiFJCur-jbcOas/view?usp=drivesdk</t>
  </si>
  <si>
    <t>1M53mwL0sQzoIGWhQiVdyosOdZa3n4lpr</t>
  </si>
  <si>
    <t>https://drive.google.com/file/d/1M53mwL0sQzoIGWhQiVdyosOdZa3n4lpr/view?usp=drivesdk</t>
  </si>
  <si>
    <t>RAHMAWATI YUNI ASTUTI</t>
  </si>
  <si>
    <t>rahmawatiherdyan@gmail.com</t>
  </si>
  <si>
    <t>146</t>
  </si>
  <si>
    <t>https://drive.google.com/file/d/1Sn0mbuul5gML1aNXKsL-ILmc3kgndPkp/view?usp=drivesdk</t>
  </si>
  <si>
    <t>1Sn0mbuul5gML1aNXKsL-ILmc3kgndPkp</t>
  </si>
  <si>
    <t>1jrQIC1i7fO092b36m0zqIMylbfTKxAZW</t>
  </si>
  <si>
    <t>https://drive.google.com/file/d/1jrQIC1i7fO092b36m0zqIMylbfTKxAZW/view?usp=drivesdk</t>
  </si>
  <si>
    <t>1y-98OC0CiF9EdiD7AVvsVSsrv2QuL0ip</t>
  </si>
  <si>
    <t>https://drive.google.com/file/d/1y-98OC0CiF9EdiD7AVvsVSsrv2QuL0ip/view?usp=drivesdk</t>
  </si>
  <si>
    <t>SOPS POLRI</t>
  </si>
  <si>
    <t>NINING NURNANINGSIH, S.E.</t>
  </si>
  <si>
    <t>nining.nia67@yahoo.co.id</t>
  </si>
  <si>
    <t>147</t>
  </si>
  <si>
    <t>https://drive.google.com/file/d/102gfRy2DX28pb69ky27ipeR9BHSxlz4i/view?usp=drivesdk</t>
  </si>
  <si>
    <t>102gfRy2DX28pb69ky27ipeR9BHSxlz4i</t>
  </si>
  <si>
    <t>14HDKN7LCzPaGIuYgP9A0l0mQ9qKJgfr1</t>
  </si>
  <si>
    <t>https://drive.google.com/file/d/14HDKN7LCzPaGIuYgP9A0l0mQ9qKJgfr1/view?usp=drivesdk</t>
  </si>
  <si>
    <t>1q2ruh0bbn9Xt4NKXNyu5Q8vfzdeXK81J</t>
  </si>
  <si>
    <t>https://drive.google.com/file/d/1q2ruh0bbn9Xt4NKXNyu5Q8vfzdeXK81J/view?usp=drivesdk</t>
  </si>
  <si>
    <t>PENATA NOVI SRI MANTINI. S.KOM</t>
  </si>
  <si>
    <t>novisririvai@gmail.com</t>
  </si>
  <si>
    <t>148</t>
  </si>
  <si>
    <t>https://drive.google.com/file/d/1T67Zom4EkSxrFPQ-NcKvrfl8qLT9w-VR/view?usp=drivesdk</t>
  </si>
  <si>
    <t>1T67Zom4EkSxrFPQ-NcKvrfl8qLT9w-VR</t>
  </si>
  <si>
    <t>1Gp4LbHXiM0yW51vLpC7U4lfvJqfgnP3E</t>
  </si>
  <si>
    <t>https://drive.google.com/file/d/1Gp4LbHXiM0yW51vLpC7U4lfvJqfgnP3E/view?usp=drivesdk</t>
  </si>
  <si>
    <t>1L3UBWkYOJW8LV0gWxvALZsxxhlZr5vSv</t>
  </si>
  <si>
    <t>https://drive.google.com/file/d/1L3UBWkYOJW8LV0gWxvALZsxxhlZr5vSv/view?usp=drivesdk</t>
  </si>
  <si>
    <t>RIKKY SAEPUDIN AMDR. RAD</t>
  </si>
  <si>
    <t>lpgrikkybogor@gmail.com</t>
  </si>
  <si>
    <t>149</t>
  </si>
  <si>
    <t>https://drive.google.com/file/d/15sOIl5sqW5GLl6KGMcjFopWv-GPv7T85/view?usp=drivesdk</t>
  </si>
  <si>
    <t>15sOIl5sqW5GLl6KGMcjFopWv-GPv7T85</t>
  </si>
  <si>
    <t>1VKkObWFrKrpIvUoTiEvCq-msCbAldCmA</t>
  </si>
  <si>
    <t>https://drive.google.com/file/d/1VKkObWFrKrpIvUoTiEvCq-msCbAldCmA/view?usp=drivesdk</t>
  </si>
  <si>
    <t>1A4lsb49p5jSAt6T9UfyFdt071nhKTkhe</t>
  </si>
  <si>
    <t>https://drive.google.com/file/d/1A4lsb49p5jSAt6T9UfyFdt071nhKTkhe/view?usp=drivesdk</t>
  </si>
  <si>
    <t>Document successfully created; Document successfully merged; PDF created; !!Error Sending Emails: Service invoked too many times for one day: email.; Manually run by ecertificate75@gmail.com; Timestamp: Aug 31 2024 4:59 AM</t>
  </si>
  <si>
    <t>RATIH SUTIYA PRATIWI, SM</t>
  </si>
  <si>
    <t>ratihsutiya@mail.com</t>
  </si>
  <si>
    <t>150</t>
  </si>
  <si>
    <t>https://drive.google.com/file/d/1m_6_ZiKbSpVDPu9bOJ7JHNsSk6gzyyq8/view?usp=drivesdk</t>
  </si>
  <si>
    <t>1m_6_ZiKbSpVDPu9bOJ7JHNsSk6gzyyq8</t>
  </si>
  <si>
    <t>1IcY0xnVq6gbt4hoYNxvptTPGth5-766E</t>
  </si>
  <si>
    <t>https://drive.google.com/file/d/1IcY0xnVq6gbt4hoYNxvptTPGth5-766E/view?usp=drivesdk</t>
  </si>
  <si>
    <t>1sTT6FnXcN_W6KHyc13ikUdIFvQ7JK19f</t>
  </si>
  <si>
    <t>https://drive.google.com/file/d/1sTT6FnXcN_W6KHyc13ikUdIFvQ7JK19f/view?usp=drivesdk</t>
  </si>
  <si>
    <t>ROHMAT AGUNG SURANTO</t>
  </si>
  <si>
    <t>ragungsuranto@gmail.com</t>
  </si>
  <si>
    <t>151</t>
  </si>
  <si>
    <t>https://drive.google.com/file/d/1tOqEFAXqgMW6u5tSOIKKT2RNdqv5TSgs/view?usp=drivesdk</t>
  </si>
  <si>
    <t>1tOqEFAXqgMW6u5tSOIKKT2RNdqv5TSgs</t>
  </si>
  <si>
    <t>1inp_Y-Gsa_ddtiW2inQFC0M1DevD9Jyy</t>
  </si>
  <si>
    <t>https://drive.google.com/file/d/1inp_Y-Gsa_ddtiW2inQFC0M1DevD9Jyy/view?usp=drivesdk</t>
  </si>
  <si>
    <t>Document successfully created; Document successfully merged; PDF created; !!Error Sending Emails: Service invoked too many times for one day: email.; Run via form trigger as ecertificate75@gmail.com; Timestamp: Aug 30 2024 9:27 PM</t>
  </si>
  <si>
    <t>1MAOqaZDWFybb2Ad3pnvLtChbgjVw9jTk</t>
  </si>
  <si>
    <t>https://drive.google.com/file/d/1MAOqaZDWFybb2Ad3pnvLtChbgjVw9jTk/view?usp=drivesdk</t>
  </si>
  <si>
    <t>YANTI ROSEVA SIPAHUTAR ,AMD.KEB</t>
  </si>
  <si>
    <t>yantiroseva76@gmail.com</t>
  </si>
  <si>
    <t>152</t>
  </si>
  <si>
    <t>https://drive.google.com/file/d/1SivD4ylkZHuETUYi3SjObFgZ869swKOX/view?usp=drivesdk</t>
  </si>
  <si>
    <t>1SivD4ylkZHuETUYi3SjObFgZ869swKOX</t>
  </si>
  <si>
    <t>1OrLC-IRckzq705foFooyXT6JMPajy7B6</t>
  </si>
  <si>
    <t>https://drive.google.com/file/d/1OrLC-IRckzq705foFooyXT6JMPajy7B6/view?usp=drivesdk</t>
  </si>
  <si>
    <t>16RY77NOFIqZ0qR3hGOc6uPp14lJUCSBW</t>
  </si>
  <si>
    <t>https://drive.google.com/file/d/16RY77NOFIqZ0qR3hGOc6uPp14lJUCSBW/view?usp=drivesdk</t>
  </si>
  <si>
    <t>POLDA PAPUA BARAT</t>
  </si>
  <si>
    <t>dr. NOVELINA IRIANTI DAMANIK</t>
  </si>
  <si>
    <t>novelina.damanik@gmail.com</t>
  </si>
  <si>
    <t>153</t>
  </si>
  <si>
    <t>https://drive.google.com/file/d/1VC97V5XB9O8CqdOChmaH7JyYjKlMm9KV/view?usp=drivesdk</t>
  </si>
  <si>
    <t>1VC97V5XB9O8CqdOChmaH7JyYjKlMm9KV</t>
  </si>
  <si>
    <t>1apMBlCYM__WgIqAIGwRljTBGAAFAr1J1</t>
  </si>
  <si>
    <t>https://drive.google.com/file/d/1apMBlCYM__WgIqAIGwRljTBGAAFAr1J1/view?usp=drivesdk</t>
  </si>
  <si>
    <t>1g3uzpgXET1cLrMl1ezItCS1z5YMeoWru</t>
  </si>
  <si>
    <t>https://drive.google.com/file/d/1g3uzpgXET1cLrMl1ezItCS1z5YMeoWru/view?usp=drivesdk</t>
  </si>
  <si>
    <t>DIDIN SAEPUDIN, A.Md</t>
  </si>
  <si>
    <t>dienz.lurz@gmail.com</t>
  </si>
  <si>
    <t>154</t>
  </si>
  <si>
    <t>https://drive.google.com/file/d/19474jNRMXBV90N9w6uHucO6lc20pSdr9/view?usp=drivesdk</t>
  </si>
  <si>
    <t>19474jNRMXBV90N9w6uHucO6lc20pSdr9</t>
  </si>
  <si>
    <t>1wDiKHTZKxiglScbmMCtcWMJcUWkcaqAz</t>
  </si>
  <si>
    <t>https://drive.google.com/file/d/1wDiKHTZKxiglScbmMCtcWMJcUWkcaqAz/view?usp=drivesdk</t>
  </si>
  <si>
    <t>10mtwbTe6umWJgQ7ldcWw4y0-BTfR6GE8</t>
  </si>
  <si>
    <t>https://drive.google.com/file/d/10mtwbTe6umWJgQ7ldcWw4y0-BTfR6GE8/view?usp=drivesdk</t>
  </si>
  <si>
    <t>Document successfully created; Document successfully merged; PDF created; !!Error Sending Emails: Service invoked too many times for one day: email.; Manually run by ecertificate75@gmail.com; Timestamp: Aug 31 2024 5:00 AM</t>
  </si>
  <si>
    <t>NENI NURAENY, S.AP</t>
  </si>
  <si>
    <t>neninur2020@gmail.com</t>
  </si>
  <si>
    <t>155</t>
  </si>
  <si>
    <t>https://drive.google.com/file/d/1XjgLsouqoPU8I8tbJeoCjhP9ow5WPKxC/view?usp=drivesdk</t>
  </si>
  <si>
    <t>1XjgLsouqoPU8I8tbJeoCjhP9ow5WPKxC</t>
  </si>
  <si>
    <t>1QNQLn8G05-ypJl2aBK-TR4XNKJTW-T0o</t>
  </si>
  <si>
    <t>https://drive.google.com/file/d/1QNQLn8G05-ypJl2aBK-TR4XNKJTW-T0o/view?usp=drivesdk</t>
  </si>
  <si>
    <t>1K81AO_EeSFz9YNEKSDtcxpzQJrSP3Ms9</t>
  </si>
  <si>
    <t>https://drive.google.com/file/d/1K81AO_EeSFz9YNEKSDtcxpzQJrSP3Ms9/view?usp=drivesdk</t>
  </si>
  <si>
    <t>POLDA MALUKU</t>
  </si>
  <si>
    <t xml:space="preserve">MAX RUDOLF R MANUSIWA, SH </t>
  </si>
  <si>
    <t>angienjimanusiwa@gmail.com</t>
  </si>
  <si>
    <t>156</t>
  </si>
  <si>
    <t>https://drive.google.com/file/d/139MPdYJsUkYvOEmzz-y6ZY-0EyEcSLhf/view?usp=drivesdk</t>
  </si>
  <si>
    <t>139MPdYJsUkYvOEmzz-y6ZY-0EyEcSLhf</t>
  </si>
  <si>
    <t>1rF-Qxdb0-9jHVshv5YHeuss5kmvtZtnZ</t>
  </si>
  <si>
    <t>https://drive.google.com/file/d/1rF-Qxdb0-9jHVshv5YHeuss5kmvtZtnZ/view?usp=drivesdk</t>
  </si>
  <si>
    <t>Document successfully created; Document successfully merged; PDF created; !!Error Sending Emails: Service invoked too many times for one day: email.; Manually run by ecertificate75@gmail.com; Timestamp: Aug 30 2024 9:31 PM</t>
  </si>
  <si>
    <t>1JtAyTiROaUiKMGNNR2ohqcIHx2pcrSDp</t>
  </si>
  <si>
    <t>https://drive.google.com/file/d/1JtAyTiROaUiKMGNNR2ohqcIHx2pcrSDp/view?usp=drivesdk</t>
  </si>
  <si>
    <t>M. ERHAN DWITYA SANRIMA, A.Md., S.E.</t>
  </si>
  <si>
    <t>erhansanrima@gmail.com</t>
  </si>
  <si>
    <t>157</t>
  </si>
  <si>
    <t>https://drive.google.com/file/d/1Jy8FxGSqaij4r-EzptyHZ0BdDM1Xzcf2/view?usp=drivesdk</t>
  </si>
  <si>
    <t>1Jy8FxGSqaij4r-EzptyHZ0BdDM1Xzcf2</t>
  </si>
  <si>
    <t>1mjv8jLVf_Sm0ORAnCRAaEAHAYALMSbO_</t>
  </si>
  <si>
    <t>https://drive.google.com/file/d/1mjv8jLVf_Sm0ORAnCRAaEAHAYALMSbO_/view?usp=drivesdk</t>
  </si>
  <si>
    <t>1ioROUf9kMr5IuCMpF6svT-cszC2pySta</t>
  </si>
  <si>
    <t>https://drive.google.com/file/d/1ioROUf9kMr5IuCMpF6svT-cszC2pySta/view?usp=drivesdk</t>
  </si>
  <si>
    <t>LINA ARDIANI, Amd.Keb</t>
  </si>
  <si>
    <t>linaardiani10@gmail.com</t>
  </si>
  <si>
    <t>158</t>
  </si>
  <si>
    <t>https://drive.google.com/file/d/1L1DZZotScp8H-VjI_udp1aB1hf_D7rLp/view?usp=drivesdk</t>
  </si>
  <si>
    <t>1L1DZZotScp8H-VjI_udp1aB1hf_D7rLp</t>
  </si>
  <si>
    <t>1k6Flc8gKXyWSmMSPmxySy5mLLyBnzp-0</t>
  </si>
  <si>
    <t>https://drive.google.com/file/d/1k6Flc8gKXyWSmMSPmxySy5mLLyBnzp-0/view?usp=drivesdk</t>
  </si>
  <si>
    <t>14XHhGkFGBrJKhyoU5-jhGk58BdzZp6A7</t>
  </si>
  <si>
    <t>https://drive.google.com/file/d/14XHhGkFGBrJKhyoU5-jhGk58BdzZp6A7/view?usp=drivesdk</t>
  </si>
  <si>
    <t>I DEWA GDE MGURAH MAHARDHIKA, S.E.</t>
  </si>
  <si>
    <t>dewamahardhika79@gmail.com</t>
  </si>
  <si>
    <t>159</t>
  </si>
  <si>
    <t>https://drive.google.com/file/d/1vvDNy8VJvaairg4QLFrvEXh_a8WpCwgb/view?usp=drivesdk</t>
  </si>
  <si>
    <t>1vvDNy8VJvaairg4QLFrvEXh_a8WpCwgb</t>
  </si>
  <si>
    <t>1TTGjFPkidcWv6lNJCV8fOR5BKdHKSy7b</t>
  </si>
  <si>
    <t>https://drive.google.com/file/d/1TTGjFPkidcWv6lNJCV8fOR5BKdHKSy7b/view?usp=drivesdk</t>
  </si>
  <si>
    <t>Document successfully created; Document successfully merged; PDF created; !!Error Sending Emails: Service invoked too many times for one day: email.; Manually run by ecertificate75@gmail.com; Timestamp: Aug 30 2024 9:32 PM</t>
  </si>
  <si>
    <t>1gOMdu-Ty4JKnnKpPsNT6aZEIH7hu06Sr</t>
  </si>
  <si>
    <t>https://drive.google.com/file/d/1gOMdu-Ty4JKnnKpPsNT6aZEIH7hu06Sr/view?usp=drivesdk</t>
  </si>
  <si>
    <t>EPI SUPYATMAN</t>
  </si>
  <si>
    <t>vsupyatman@gmail.com</t>
  </si>
  <si>
    <t>160</t>
  </si>
  <si>
    <t>https://drive.google.com/file/d/188fH39q8v2UT3Za-I9le-LzR-f4bIkY0/view?usp=drivesdk</t>
  </si>
  <si>
    <t>188fH39q8v2UT3Za-I9le-LzR-f4bIkY0</t>
  </si>
  <si>
    <t>1cdSR8n5tNE0x7X4V0b9zNpNZZViql4VF</t>
  </si>
  <si>
    <t>https://drive.google.com/file/d/1cdSR8n5tNE0x7X4V0b9zNpNZZViql4VF/view?usp=drivesdk</t>
  </si>
  <si>
    <t>1yr_E653b176_yGbQ316Favax4BlrkwL9</t>
  </si>
  <si>
    <t>https://drive.google.com/file/d/1yr_E653b176_yGbQ316Favax4BlrkwL9/view?usp=drivesdk</t>
  </si>
  <si>
    <t>Document successfully created; Document successfully merged; PDF created; !!Error Sending Emails: Service invoked too many times for one day: email.; Manually run by ecertificate75@gmail.com; Timestamp: Aug 31 2024 5:01 AM</t>
  </si>
  <si>
    <t>PENGATUR SOLIHIN</t>
  </si>
  <si>
    <t>karasolihin@gmail.com</t>
  </si>
  <si>
    <t>161</t>
  </si>
  <si>
    <t>https://drive.google.com/file/d/15DZ1_kuk7rzpbDuMPgzb92phW_h2YXba/view?usp=drivesdk</t>
  </si>
  <si>
    <t>15DZ1_kuk7rzpbDuMPgzb92phW_h2YXba</t>
  </si>
  <si>
    <t>1VpRUBx1NT_tnANiOa2Mwlzpqexp7_9my</t>
  </si>
  <si>
    <t>https://drive.google.com/file/d/1VpRUBx1NT_tnANiOa2Mwlzpqexp7_9my/view?usp=drivesdk</t>
  </si>
  <si>
    <t>1ivcRzKuOY6SGXzIme5uuAGNecbjgf4Xp</t>
  </si>
  <si>
    <t>https://drive.google.com/file/d/1ivcRzKuOY6SGXzIme5uuAGNecbjgf4Xp/view?usp=drivesdk</t>
  </si>
  <si>
    <t>PENGATUR SUKARNI</t>
  </si>
  <si>
    <t>Sukarnik1984@gmail.com</t>
  </si>
  <si>
    <t>162</t>
  </si>
  <si>
    <t>https://drive.google.com/file/d/1FyxABdG3mfrRGHmRBiXIXkhMBp72-z4p/view?usp=drivesdk</t>
  </si>
  <si>
    <t>1FyxABdG3mfrRGHmRBiXIXkhMBp72-z4p</t>
  </si>
  <si>
    <t>1EwKCqi6HhGDz3pPKE2J9cdVppCDEGZre</t>
  </si>
  <si>
    <t>https://drive.google.com/file/d/1EwKCqi6HhGDz3pPKE2J9cdVppCDEGZre/view?usp=drivesdk</t>
  </si>
  <si>
    <t>13A-qPz-9Uw4OOhhhYIQ_oINvB4wu1ZiW</t>
  </si>
  <si>
    <t>https://drive.google.com/file/d/13A-qPz-9Uw4OOhhhYIQ_oINvB4wu1ZiW/view?usp=drivesdk</t>
  </si>
  <si>
    <t>ENDANG SUHANDI, S.H.</t>
  </si>
  <si>
    <t>endangsuhandi70@gmail.com</t>
  </si>
  <si>
    <t>163</t>
  </si>
  <si>
    <t>https://drive.google.com/file/d/1MQoGlAeZXQCOZvM3inC_qW_mlbvNJG_w/view?usp=drivesdk</t>
  </si>
  <si>
    <t>1MQoGlAeZXQCOZvM3inC_qW_mlbvNJG_w</t>
  </si>
  <si>
    <t>1m0R0QnYDkuJxMstGG1vaQq4Ya0ohnuTh</t>
  </si>
  <si>
    <t>https://drive.google.com/file/d/1m0R0QnYDkuJxMstGG1vaQq4Ya0ohnuTh/view?usp=drivesdk</t>
  </si>
  <si>
    <t>1U0u_ZsR54mMpHdM0kyEJAdXhWcXKS1Mw</t>
  </si>
  <si>
    <t>https://drive.google.com/file/d/1U0u_ZsR54mMpHdM0kyEJAdXhWcXKS1Mw/view?usp=drivesdk</t>
  </si>
  <si>
    <t>POLDA KALTIM</t>
  </si>
  <si>
    <t>NI PUTU PENTY ARIANI, S.H.</t>
  </si>
  <si>
    <t>putupentyariani@gmail.com</t>
  </si>
  <si>
    <t>164</t>
  </si>
  <si>
    <t>https://drive.google.com/file/d/1thnAfODnwHAynXF1khzRKkd-Epdr_fbY/view?usp=drivesdk</t>
  </si>
  <si>
    <t>Document successfully created; Document successfully merged; PDF created; !!Error Sending Emails: Service invoked too many times for one day: email.; Run via form trigger as ecertificate75@gmail.com; Timestamp: Aug 29 2024 8:34 PM</t>
  </si>
  <si>
    <t>1thnAfODnwHAynXF1khzRKkd-Epdr_fbY</t>
  </si>
  <si>
    <t>1Ff3lOts0tWrGgaYqv-a0oozUPjtg_cEt</t>
  </si>
  <si>
    <t>https://drive.google.com/file/d/1Ff3lOts0tWrGgaYqv-a0oozUPjtg_cEt/view?usp=drivesdk</t>
  </si>
  <si>
    <t>1HM1qFq4IqYrmNT121cV4ibYv2dl_V9-e</t>
  </si>
  <si>
    <t>https://drive.google.com/file/d/1HM1qFq4IqYrmNT121cV4ibYv2dl_V9-e/view?usp=drivesdk</t>
  </si>
  <si>
    <t>SEPTA MAULANA, S.IP., M.Si.</t>
  </si>
  <si>
    <t>septa.maulana@yahoo.com</t>
  </si>
  <si>
    <t>165</t>
  </si>
  <si>
    <t>https://drive.google.com/file/d/19EtYct1WItyvFT6KDS5t1GjICu4vPgdb/view?usp=drivesdk</t>
  </si>
  <si>
    <t>19EtYct1WItyvFT6KDS5t1GjICu4vPgdb</t>
  </si>
  <si>
    <t>15W2O8NoDoXy05UOmZFg6PwkrATfSbQow</t>
  </si>
  <si>
    <t>https://drive.google.com/file/d/15W2O8NoDoXy05UOmZFg6PwkrATfSbQow/view?usp=drivesdk</t>
  </si>
  <si>
    <t>Document successfully created; Document successfully merged; PDF created; !!Error Sending Emails: Service invoked too many times for one day: email.; Manually run by ecertificate75@gmail.com; Timestamp: Aug 30 2024 9:33 PM</t>
  </si>
  <si>
    <t>1EYeQ-IQNPtneQEqfF9mCbNC4mqM5ecx2</t>
  </si>
  <si>
    <t>https://drive.google.com/file/d/1EYeQ-IQNPtneQEqfF9mCbNC4mqM5ecx2/view?usp=drivesdk</t>
  </si>
  <si>
    <t>EROS ROSIDAH S.pd</t>
  </si>
  <si>
    <t>rosidaheros193@gmail.com</t>
  </si>
  <si>
    <t>166</t>
  </si>
  <si>
    <t>https://drive.google.com/file/d/13yG86gDbCoBzLQyOMqd0vOnUWNn_WSGJ/view?usp=drivesdk</t>
  </si>
  <si>
    <t>13yG86gDbCoBzLQyOMqd0vOnUWNn_WSGJ</t>
  </si>
  <si>
    <t>1RFOWHFScfll2rHVaBsXJ4T4NtdYsYW2a</t>
  </si>
  <si>
    <t>https://drive.google.com/file/d/1RFOWHFScfll2rHVaBsXJ4T4NtdYsYW2a/view?usp=drivesdk</t>
  </si>
  <si>
    <t>1Palv4N7W12MdOSgxyQ5ABwDKx0K51H-F</t>
  </si>
  <si>
    <t>https://drive.google.com/file/d/1Palv4N7W12MdOSgxyQ5ABwDKx0K51H-F/view?usp=drivesdk</t>
  </si>
  <si>
    <t>ARMAN JARDIANTO, S.Si.</t>
  </si>
  <si>
    <t>arman.bandung@gmail.com</t>
  </si>
  <si>
    <t>167</t>
  </si>
  <si>
    <t>https://drive.google.com/file/d/1dwquueAHET6s2BNn8z53IHIxj5BiEY_c/view?usp=drivesdk</t>
  </si>
  <si>
    <t>1dwquueAHET6s2BNn8z53IHIxj5BiEY_c</t>
  </si>
  <si>
    <t>1R4eN8Us-uPRlcvlDjFXFVIT0ymn8H3sJ</t>
  </si>
  <si>
    <t>https://drive.google.com/file/d/1R4eN8Us-uPRlcvlDjFXFVIT0ymn8H3sJ/view?usp=drivesdk</t>
  </si>
  <si>
    <t>1j5HLqNvPL51mpbzs40QDbCDPE9biszAK</t>
  </si>
  <si>
    <t>https://drive.google.com/file/d/1j5HLqNvPL51mpbzs40QDbCDPE9biszAK/view?usp=drivesdk</t>
  </si>
  <si>
    <t>Document successfully created; Document successfully merged; PDF created; !!Error Sending Emails: Service invoked too many times for one day: email.; Manually run by ecertificate75@gmail.com; Timestamp: Aug 31 2024 5:02 AM</t>
  </si>
  <si>
    <t>PRIMA NIENDYA SUKMA DHEWANI, S.T.</t>
  </si>
  <si>
    <t>nindya.dbc@gmail.com</t>
  </si>
  <si>
    <t>168</t>
  </si>
  <si>
    <t>https://drive.google.com/file/d/1ZUZx9x56NAx48fmZgvM26oTR7nzK3k0O/view?usp=drivesdk</t>
  </si>
  <si>
    <t>1ZUZx9x56NAx48fmZgvM26oTR7nzK3k0O</t>
  </si>
  <si>
    <t>1hTfTuktSS8HYOpRLp9xVkghmOE0pG0tl</t>
  </si>
  <si>
    <t>https://drive.google.com/file/d/1hTfTuktSS8HYOpRLp9xVkghmOE0pG0tl/view?usp=drivesdk</t>
  </si>
  <si>
    <t>1WgWXKnH0cEfVmsymam08TlAWhLcXnNOS</t>
  </si>
  <si>
    <t>https://drive.google.com/file/d/1WgWXKnH0cEfVmsymam08TlAWhLcXnNOS/view?usp=drivesdk</t>
  </si>
  <si>
    <t>I GUSTI AGUNG AYU SUGIASIH</t>
  </si>
  <si>
    <t>ayusugi71@gmail.com</t>
  </si>
  <si>
    <t>169</t>
  </si>
  <si>
    <t>https://drive.google.com/file/d/11ndDDzfMbvdoBRqwtD9lk9CC4OLHH4Qf/view?usp=drivesdk</t>
  </si>
  <si>
    <t>11ndDDzfMbvdoBRqwtD9lk9CC4OLHH4Qf</t>
  </si>
  <si>
    <t>1NOAotPeuCaRmnhPB5psdK0tD5SSRuh4w</t>
  </si>
  <si>
    <t>https://drive.google.com/file/d/1NOAotPeuCaRmnhPB5psdK0tD5SSRuh4w/view?usp=drivesdk</t>
  </si>
  <si>
    <t>1WOdw1jA6-omBTmQ5CXXsiHiNoVt7T2X-</t>
  </si>
  <si>
    <t>https://drive.google.com/file/d/1WOdw1jA6-omBTmQ5CXXsiHiNoVt7T2X-/view?usp=drivesdk</t>
  </si>
  <si>
    <t>NI PUTU JULIARI EKA JAYANTINI</t>
  </si>
  <si>
    <t>Youthjegeg@yahoo.com</t>
  </si>
  <si>
    <t>170</t>
  </si>
  <si>
    <t>https://drive.google.com/file/d/1R5YggenJ0-eILwFlVSLW907gFG89g5Lq/view?usp=drivesdk</t>
  </si>
  <si>
    <t>1R5YggenJ0-eILwFlVSLW907gFG89g5Lq</t>
  </si>
  <si>
    <t>1BeBqKQAL9M9j42kNL8KBJXv-6eQciR5D</t>
  </si>
  <si>
    <t>https://drive.google.com/file/d/1BeBqKQAL9M9j42kNL8KBJXv-6eQciR5D/view?usp=drivesdk</t>
  </si>
  <si>
    <t>1nLHCbzTFwxqdjW-7ev--i0XgJrPcFUVa</t>
  </si>
  <si>
    <t>https://drive.google.com/file/d/1nLHCbzTFwxqdjW-7ev--i0XgJrPcFUVa/view?usp=drivesdk</t>
  </si>
  <si>
    <t>HERIYANI, A.MD.FARM</t>
  </si>
  <si>
    <t>heriyanipalleco77@gmail.com</t>
  </si>
  <si>
    <t>171</t>
  </si>
  <si>
    <t>https://drive.google.com/file/d/1OHoF6MwNChb1D8B02g2wudt54SKil8QO/view?usp=drivesdk</t>
  </si>
  <si>
    <t>1OHoF6MwNChb1D8B02g2wudt54SKil8QO</t>
  </si>
  <si>
    <t>1ZbjNwy52u9RgqBVtRFEZGPGC7esuz-Kl</t>
  </si>
  <si>
    <t>https://drive.google.com/file/d/1ZbjNwy52u9RgqBVtRFEZGPGC7esuz-Kl/view?usp=drivesdk</t>
  </si>
  <si>
    <t>Document successfully created; Document successfully merged; PDF created; !!Error Sending Emails: Service invoked too many times for one day: email.; Manually run by ecertificate75@gmail.com; Timestamp: Aug 30 2024 9:34 PM</t>
  </si>
  <si>
    <t>1a9i5jwe_4hLidbUz5Tc8CgxInIqnEvXI</t>
  </si>
  <si>
    <t>https://drive.google.com/file/d/1a9i5jwe_4hLidbUz5Tc8CgxInIqnEvXI/view?usp=drivesdk</t>
  </si>
  <si>
    <t>TUTI SITI NURYAMAH</t>
  </si>
  <si>
    <t>tuti124tsn@gmail.com</t>
  </si>
  <si>
    <t>172</t>
  </si>
  <si>
    <t>https://drive.google.com/file/d/1nx9Ssadd8dw-EMXe2-6ewCNsQVXBqykZ/view?usp=drivesdk</t>
  </si>
  <si>
    <t>1nx9Ssadd8dw-EMXe2-6ewCNsQVXBqykZ</t>
  </si>
  <si>
    <t>1tdN15aEv4n_EOz-PisQa9iHrAqAh9IOU</t>
  </si>
  <si>
    <t>https://drive.google.com/file/d/1tdN15aEv4n_EOz-PisQa9iHrAqAh9IOU/view?usp=drivesdk</t>
  </si>
  <si>
    <t>1k3XSwIq356dLtXjbb5WZbthRKQhj9EYm</t>
  </si>
  <si>
    <t>https://drive.google.com/file/d/1k3XSwIq356dLtXjbb5WZbthRKQhj9EYm/view?usp=drivesdk</t>
  </si>
  <si>
    <t>IKA PURNAMA SARI</t>
  </si>
  <si>
    <t>Ikapurnama05@gmail.com</t>
  </si>
  <si>
    <t>173</t>
  </si>
  <si>
    <t>https://drive.google.com/file/d/1fZiJ2aVY6ZMyAbAZdQ4igjrjC3MeTRrQ/view?usp=drivesdk</t>
  </si>
  <si>
    <t>1fZiJ2aVY6ZMyAbAZdQ4igjrjC3MeTRrQ</t>
  </si>
  <si>
    <t>1r9YmAsCbLn23oYiNmNZNYCR6Knda67Zg</t>
  </si>
  <si>
    <t>https://drive.google.com/file/d/1r9YmAsCbLn23oYiNmNZNYCR6Knda67Zg/view?usp=drivesdk</t>
  </si>
  <si>
    <t>16cJi_u8BmFiTaqFXDfj05lYVGtdW4yZ9</t>
  </si>
  <si>
    <t>https://drive.google.com/file/d/16cJi_u8BmFiTaqFXDfj05lYVGtdW4yZ9/view?usp=drivesdk</t>
  </si>
  <si>
    <t>Document successfully created; Document successfully merged; PDF created; !!Error Sending Emails: Service invoked too many times for one day: email.; Manually run by ecertificate75@gmail.com; Timestamp: Aug 31 2024 5:03 AM</t>
  </si>
  <si>
    <t>SRI MEI DWIJANTI, S.Pd</t>
  </si>
  <si>
    <t>srimeidwiyanti9175@gmail.com</t>
  </si>
  <si>
    <t>174</t>
  </si>
  <si>
    <t>https://drive.google.com/file/d/1_0uJ80LsoKYeKc7sRG7tHo0RZ0qhj8Ot/view?usp=drivesdk</t>
  </si>
  <si>
    <t>1_0uJ80LsoKYeKc7sRG7tHo0RZ0qhj8Ot</t>
  </si>
  <si>
    <t>1I8lnDvDAs2URF0PwnLHHzXyhhOuaBEag</t>
  </si>
  <si>
    <t>https://drive.google.com/file/d/1I8lnDvDAs2URF0PwnLHHzXyhhOuaBEag/view?usp=drivesdk</t>
  </si>
  <si>
    <t>1UoAlodwohY-dA0JBGfRYSo8Cev4ZXIcA</t>
  </si>
  <si>
    <t>https://drive.google.com/file/d/1UoAlodwohY-dA0JBGfRYSo8Cev4ZXIcA/view?usp=drivesdk</t>
  </si>
  <si>
    <t>NI YOMAN YASMINI Amd. kes</t>
  </si>
  <si>
    <t>ninyomanyasmini09@gmail.com</t>
  </si>
  <si>
    <t>175</t>
  </si>
  <si>
    <t>https://drive.google.com/file/d/1Dhkehh3zHXq3A5lAjgdW36ES6DAOpYtL/view?usp=drivesdk</t>
  </si>
  <si>
    <t>1Dhkehh3zHXq3A5lAjgdW36ES6DAOpYtL</t>
  </si>
  <si>
    <t>1OeciS_kdUixwC9ws6T5jhxG4Vj0RdDIT</t>
  </si>
  <si>
    <t>https://drive.google.com/file/d/1OeciS_kdUixwC9ws6T5jhxG4Vj0RdDIT/view?usp=drivesdk</t>
  </si>
  <si>
    <t>13lYgU0VvNSpXt69xqJdqHGgdHNC0IRwC</t>
  </si>
  <si>
    <t>https://drive.google.com/file/d/13lYgU0VvNSpXt69xqJdqHGgdHNC0IRwC/view?usp=drivesdk</t>
  </si>
  <si>
    <t>NI LUH KETUT MARIANI, S.E.</t>
  </si>
  <si>
    <t>niloehketut44@gmail.com</t>
  </si>
  <si>
    <t>176</t>
  </si>
  <si>
    <t>https://drive.google.com/file/d/1pGKXPd-u1zfIMBA0dQBKXCYOfVdX_lK3/view?usp=drivesdk</t>
  </si>
  <si>
    <t>1pGKXPd-u1zfIMBA0dQBKXCYOfVdX_lK3</t>
  </si>
  <si>
    <t>1fRTwarcATz3F0YwrEYYVOI9m0Bp9S0VJ</t>
  </si>
  <si>
    <t>https://drive.google.com/file/d/1fRTwarcATz3F0YwrEYYVOI9m0Bp9S0VJ/view?usp=drivesdk</t>
  </si>
  <si>
    <t>1M10EXvZHI43dHQmkcMRKd8LnSRwstnIC</t>
  </si>
  <si>
    <t>https://drive.google.com/file/d/1M10EXvZHI43dHQmkcMRKd8LnSRwstnIC/view?usp=drivesdk</t>
  </si>
  <si>
    <t>MEILYNA UNTARI DEWI, S.H.</t>
  </si>
  <si>
    <t>meilyna2006@gmail.com</t>
  </si>
  <si>
    <t>177</t>
  </si>
  <si>
    <t>https://drive.google.com/file/d/1ZDQrYVgNiqBiQa7SYQ2OlINd1p-4XcN6/view?usp=drivesdk</t>
  </si>
  <si>
    <t>1ZDQrYVgNiqBiQa7SYQ2OlINd1p-4XcN6</t>
  </si>
  <si>
    <t>1ci7DA6jvTgs3Y13emp8EDzUmrS5qIgbg</t>
  </si>
  <si>
    <t>https://drive.google.com/file/d/1ci7DA6jvTgs3Y13emp8EDzUmrS5qIgbg/view?usp=drivesdk</t>
  </si>
  <si>
    <t>Document successfully created; Document successfully merged; PDF created; !!Error Sending Emails: Service invoked too many times for one day: email.; Manually run by ecertificate75@gmail.com; Timestamp: Aug 30 2024 9:35 PM</t>
  </si>
  <si>
    <t>1YDSZ7sW7r_RnqbQq2MA15B62_WKtuRI2</t>
  </si>
  <si>
    <t>https://drive.google.com/file/d/1YDSZ7sW7r_RnqbQq2MA15B62_WKtuRI2/view?usp=drivesdk</t>
  </si>
  <si>
    <t xml:space="preserve">USHI APRIANI ZAQIAH </t>
  </si>
  <si>
    <t>ushiapriani@gmail.com</t>
  </si>
  <si>
    <t>178</t>
  </si>
  <si>
    <t>https://drive.google.com/file/d/1X7l9OwwRZyCdcsQKlDiqdKjoT-1Mt4Vu/view?usp=drivesdk</t>
  </si>
  <si>
    <t>1X7l9OwwRZyCdcsQKlDiqdKjoT-1Mt4Vu</t>
  </si>
  <si>
    <t>1591wUs1QEq2H7NJt6iX6-A5EzqUDBzHm</t>
  </si>
  <si>
    <t>https://drive.google.com/file/d/1591wUs1QEq2H7NJt6iX6-A5EzqUDBzHm/view?usp=drivesdk</t>
  </si>
  <si>
    <t>1O4E1SS-fJ5mFxcsKl7mPXM_mUcgDX8HD</t>
  </si>
  <si>
    <t>https://drive.google.com/file/d/1O4E1SS-fJ5mFxcsKl7mPXM_mUcgDX8HD/view?usp=drivesdk</t>
  </si>
  <si>
    <t>Document successfully created; Document successfully merged; PDF created; !!Error Sending Emails: Service invoked too many times for one day: email.; Manually run by ecertificate75@gmail.com; Timestamp: Aug 31 2024 5:04 AM</t>
  </si>
  <si>
    <t>YENI LISAWATI</t>
  </si>
  <si>
    <t>yenilisawati@gmail.com</t>
  </si>
  <si>
    <t>179</t>
  </si>
  <si>
    <t>https://drive.google.com/file/d/1L5X21hadCnODsrGXWzX-1D9RPeraPABU/view?usp=drivesdk</t>
  </si>
  <si>
    <t>1L5X21hadCnODsrGXWzX-1D9RPeraPABU</t>
  </si>
  <si>
    <t>1nEMCMRdU-hj6e16rIm-40SGN0tQvjmyx</t>
  </si>
  <si>
    <t>https://drive.google.com/file/d/1nEMCMRdU-hj6e16rIm-40SGN0tQvjmyx/view?usp=drivesdk</t>
  </si>
  <si>
    <t>1LGP0BCt1TScyCQQ9id3wdujUSwciXgCc</t>
  </si>
  <si>
    <t>https://drive.google.com/file/d/1LGP0BCt1TScyCQQ9id3wdujUSwciXgCc/view?usp=drivesdk</t>
  </si>
  <si>
    <t>NEVI FITRIYAH SUTAMTO, S.T.</t>
  </si>
  <si>
    <t>quvita86@gmail.com</t>
  </si>
  <si>
    <t>180</t>
  </si>
  <si>
    <t>https://drive.google.com/file/d/14wL6c96MskOU-0N39fKIOOXQVKK_m2wO/view?usp=drivesdk</t>
  </si>
  <si>
    <t>14wL6c96MskOU-0N39fKIOOXQVKK_m2wO</t>
  </si>
  <si>
    <t>1Qu5ToQsQXFdQXS2mnr-aeorZO_j_nNVW</t>
  </si>
  <si>
    <t>https://drive.google.com/file/d/1Qu5ToQsQXFdQXS2mnr-aeorZO_j_nNVW/view?usp=drivesdk</t>
  </si>
  <si>
    <t>1PLXtKPCMBJpeZ2p5M3RKoO6yS9Vw7cPD</t>
  </si>
  <si>
    <t>https://drive.google.com/file/d/1PLXtKPCMBJpeZ2p5M3RKoO6yS9Vw7cPD/view?usp=drivesdk</t>
  </si>
  <si>
    <t>MUHAMAD SALIM</t>
  </si>
  <si>
    <t>allayms70@gmail.com</t>
  </si>
  <si>
    <t>181</t>
  </si>
  <si>
    <t>https://drive.google.com/file/d/1e0TuaP9TOqyk7TZpxDXih4cpvo6xJhxQ/view?usp=drivesdk</t>
  </si>
  <si>
    <t>1e0TuaP9TOqyk7TZpxDXih4cpvo6xJhxQ</t>
  </si>
  <si>
    <t>1gIzqBHEG8XmBj1g-DcZepiP_RCiWuA0V</t>
  </si>
  <si>
    <t>https://drive.google.com/file/d/1gIzqBHEG8XmBj1g-DcZepiP_RCiWuA0V/view?usp=drivesdk</t>
  </si>
  <si>
    <t>1aGHJhXX48mJvnil8F3qfeCO5OAkinXfO</t>
  </si>
  <si>
    <t>https://drive.google.com/file/d/1aGHJhXX48mJvnil8F3qfeCO5OAkinXfO/view?usp=drivesdk</t>
  </si>
  <si>
    <t>RIZKY FEBRIANA, A.Md.</t>
  </si>
  <si>
    <t>rizkyfebriana95@gmail.com</t>
  </si>
  <si>
    <t>182</t>
  </si>
  <si>
    <t>https://drive.google.com/file/d/1DTFaMaEPBOpHkM0r-wQdnilN1b_MVoL3/view?usp=drivesdk</t>
  </si>
  <si>
    <t>1DTFaMaEPBOpHkM0r-wQdnilN1b_MVoL3</t>
  </si>
  <si>
    <t>1iTwGEIlzAzhbZqljPZ7ky8UqhlGGYaLc</t>
  </si>
  <si>
    <t>https://drive.google.com/file/d/1iTwGEIlzAzhbZqljPZ7ky8UqhlGGYaLc/view?usp=drivesdk</t>
  </si>
  <si>
    <t>Document successfully created; Document successfully merged; PDF created; !!Error Sending Emails: Service invoked too many times for one day: email.; Manually run by ecertificate75@gmail.com; Timestamp: Aug 30 2024 9:36 PM</t>
  </si>
  <si>
    <t>1e7YZHXQ3cFit3G5fsP4JmI-pZ9c5gBlT</t>
  </si>
  <si>
    <t>https://drive.google.com/file/d/1e7YZHXQ3cFit3G5fsP4JmI-pZ9c5gBlT/view?usp=drivesdk</t>
  </si>
  <si>
    <t>Document successfully created; Document successfully merged; PDF created; !!Error Sending Emails: Service invoked too many times for one day: email.; Manually run by ecertificate75@gmail.com; Timestamp: Aug 31 2024 5:05 AM</t>
  </si>
  <si>
    <t>LUKMAN FATONI ASMARA K.</t>
  </si>
  <si>
    <t>fatoni.asmara@gmail.com</t>
  </si>
  <si>
    <t>183</t>
  </si>
  <si>
    <t>https://drive.google.com/file/d/1p9c6T2-8t-DFN3TDmvqaLEpUwbbH1vq1/view?usp=drivesdk</t>
  </si>
  <si>
    <t>1p9c6T2-8t-DFN3TDmvqaLEpUwbbH1vq1</t>
  </si>
  <si>
    <t>1JoqxGfY1AV73RBVMf34iZDNgkQIEP6t9</t>
  </si>
  <si>
    <t>https://drive.google.com/file/d/1JoqxGfY1AV73RBVMf34iZDNgkQIEP6t9/view?usp=drivesdk</t>
  </si>
  <si>
    <t>1jhvf9uHfaiIZlRFiBSnKjHaPiEUQy4X5</t>
  </si>
  <si>
    <t>https://drive.google.com/file/d/1jhvf9uHfaiIZlRFiBSnKjHaPiEUQy4X5/view?usp=drivesdk</t>
  </si>
  <si>
    <t>GUSTI AYU MADE ARTINI</t>
  </si>
  <si>
    <t>subbagpns.bali@gmail.com</t>
  </si>
  <si>
    <t>184</t>
  </si>
  <si>
    <t>https://drive.google.com/file/d/1l9xk8O_fy6TNA7KxjOg005B8PqmosYN8/view?usp=drivesdk</t>
  </si>
  <si>
    <t>1l9xk8O_fy6TNA7KxjOg005B8PqmosYN8</t>
  </si>
  <si>
    <t>1L3VbS7sYoOcjllqy9Z_kgsCb175wr0J6</t>
  </si>
  <si>
    <t>https://drive.google.com/file/d/1L3VbS7sYoOcjllqy9Z_kgsCb175wr0J6/view?usp=drivesdk</t>
  </si>
  <si>
    <t>1usZz74ae-6lWQ_fCC4sLzCLaNMbhFIdG</t>
  </si>
  <si>
    <t>https://drive.google.com/file/d/1usZz74ae-6lWQ_fCC4sLzCLaNMbhFIdG/view?usp=drivesdk</t>
  </si>
  <si>
    <t>IKA RODIAWATI</t>
  </si>
  <si>
    <t>ikarodiawati5@gmail.com</t>
  </si>
  <si>
    <t>185</t>
  </si>
  <si>
    <t>https://drive.google.com/file/d/1Tb5T-Kzb00MwgEcgTPC6OqXlKeND55Fh/view?usp=drivesdk</t>
  </si>
  <si>
    <t>1Tb5T-Kzb00MwgEcgTPC6OqXlKeND55Fh</t>
  </si>
  <si>
    <t>1p0Lu7xqmMvDqdzkxEIJWt6dLE836X41p</t>
  </si>
  <si>
    <t>https://drive.google.com/file/d/1p0Lu7xqmMvDqdzkxEIJWt6dLE836X41p/view?usp=drivesdk</t>
  </si>
  <si>
    <t>1y51WnjmtpfrjnOZKFmzn1tR20Loyogod</t>
  </si>
  <si>
    <t>https://drive.google.com/file/d/1y51WnjmtpfrjnOZKFmzn1tR20Loyogod/view?usp=drivesdk</t>
  </si>
  <si>
    <t xml:space="preserve">HERI HERYANTO </t>
  </si>
  <si>
    <t>plupa480@gmail.com</t>
  </si>
  <si>
    <t>186</t>
  </si>
  <si>
    <t>https://drive.google.com/file/d/1tpOas9cMZTFyIzAHy-EwyBxYSwhDgm9p/view?usp=drivesdk</t>
  </si>
  <si>
    <t>1tpOas9cMZTFyIzAHy-EwyBxYSwhDgm9p</t>
  </si>
  <si>
    <t>1dVqaCWqIvwXbi4GT2--N731lsA7ei1YY</t>
  </si>
  <si>
    <t>https://drive.google.com/file/d/1dVqaCWqIvwXbi4GT2--N731lsA7ei1YY/view?usp=drivesdk</t>
  </si>
  <si>
    <t>Document successfully created; Document successfully merged; PDF created; !!Error Sending Emails: Service invoked too many times for one day: email.; Manually run by ecertificate75@gmail.com; Timestamp: Aug 30 2024 9:40 PM</t>
  </si>
  <si>
    <t>1468tvbYxwlkiUqHghR6x9x0gyI1C3zNe</t>
  </si>
  <si>
    <t>https://drive.google.com/file/d/1468tvbYxwlkiUqHghR6x9x0gyI1C3zNe/view?usp=drivesdk</t>
  </si>
  <si>
    <t>RIFQIATUL UMAM, S.KOM</t>
  </si>
  <si>
    <t>lardey8@gmail.com</t>
  </si>
  <si>
    <t>187</t>
  </si>
  <si>
    <t>https://drive.google.com/file/d/1rap3NUtKrfNtoK0N7BAlDkBgMK7btSN_/view?usp=drivesdk</t>
  </si>
  <si>
    <t>1rap3NUtKrfNtoK0N7BAlDkBgMK7btSN_</t>
  </si>
  <si>
    <t>1teef1kKgR1R2g6N3SRGiS9M2zVxFoycN</t>
  </si>
  <si>
    <t>https://drive.google.com/file/d/1teef1kKgR1R2g6N3SRGiS9M2zVxFoycN/view?usp=drivesdk</t>
  </si>
  <si>
    <t>1TDzXKrLvAafObhll8_CCyH0j7gPmpUre</t>
  </si>
  <si>
    <t>https://drive.google.com/file/d/1TDzXKrLvAafObhll8_CCyH0j7gPmpUre/view?usp=drivesdk</t>
  </si>
  <si>
    <t>AGUS CAHYANTO</t>
  </si>
  <si>
    <t>aguscahyanto.c@gmail.com</t>
  </si>
  <si>
    <t>188</t>
  </si>
  <si>
    <t>https://drive.google.com/file/d/13CjzLWq0HMRpv87-8e4RYoZfsgkfu-iT/view?usp=drivesdk</t>
  </si>
  <si>
    <t>Document successfully created; Document successfully merged; PDF created; !!Error Sending Emails: Service invoked too many times for one day: email.; Run via form trigger as ecertificate75@gmail.com; Timestamp: Aug 29 2024 8:35 PM</t>
  </si>
  <si>
    <t>13CjzLWq0HMRpv87-8e4RYoZfsgkfu-iT</t>
  </si>
  <si>
    <t>1AocAudrwOAV-2g42YvmVWxwzf9Gxz5gx</t>
  </si>
  <si>
    <t>https://drive.google.com/file/d/1AocAudrwOAV-2g42YvmVWxwzf9Gxz5gx/view?usp=drivesdk</t>
  </si>
  <si>
    <t>1OeFyUZFXVOwtsi5huVNFlv4AayuKsyRc</t>
  </si>
  <si>
    <t>https://drive.google.com/file/d/1OeFyUZFXVOwtsi5huVNFlv4AayuKsyRc/view?usp=drivesdk</t>
  </si>
  <si>
    <t>Document successfully created; Document successfully merged; PDF created; !!Error Sending Emails: Service invoked too many times for one day: email.; Manually run by ecertificate75@gmail.com; Timestamp: Aug 31 2024 5:06 AM</t>
  </si>
  <si>
    <t>NENG LENY SUNARYA</t>
  </si>
  <si>
    <t>leany.spears79@gmail.com</t>
  </si>
  <si>
    <t>189</t>
  </si>
  <si>
    <t>https://drive.google.com/file/d/1mqWU4DT8MmtfVIM7TiDAFSBiPH8blF0G/view?usp=drivesdk</t>
  </si>
  <si>
    <t>1mqWU4DT8MmtfVIM7TiDAFSBiPH8blF0G</t>
  </si>
  <si>
    <t>1eMpoIPHnv0ICO4bMm4Zl1QEkRrrxgX2i</t>
  </si>
  <si>
    <t>https://drive.google.com/file/d/1eMpoIPHnv0ICO4bMm4Zl1QEkRrrxgX2i/view?usp=drivesdk</t>
  </si>
  <si>
    <t>1ku-4GfFTCiruXbcarf9cTFMT6MrXNFQH</t>
  </si>
  <si>
    <t>https://drive.google.com/file/d/1ku-4GfFTCiruXbcarf9cTFMT6MrXNFQH/view?usp=drivesdk</t>
  </si>
  <si>
    <t>EKA NOVIYANTI</t>
  </si>
  <si>
    <t>ovy.yudha22@gmail.com</t>
  </si>
  <si>
    <t>190</t>
  </si>
  <si>
    <t>https://drive.google.com/file/d/16ZLYZK57MjexrNQdraLOTgdNbrwK_pDt/view?usp=drivesdk</t>
  </si>
  <si>
    <t>16ZLYZK57MjexrNQdraLOTgdNbrwK_pDt</t>
  </si>
  <si>
    <t>1DPY6S0VvPRdRYcOo2Jk1FKPMTaU-9AKm</t>
  </si>
  <si>
    <t>https://drive.google.com/file/d/1DPY6S0VvPRdRYcOo2Jk1FKPMTaU-9AKm/view?usp=drivesdk</t>
  </si>
  <si>
    <t>1mpeyA3m6iAgF66IeuAtheb2FY83ndcFn</t>
  </si>
  <si>
    <t>https://drive.google.com/file/d/1mpeyA3m6iAgF66IeuAtheb2FY83ndcFn/view?usp=drivesdk</t>
  </si>
  <si>
    <t>LUH PUTU SUMARTINI, S. Pd</t>
  </si>
  <si>
    <t>sumartiniluhtu8@gmail.com</t>
  </si>
  <si>
    <t>191</t>
  </si>
  <si>
    <t>https://drive.google.com/file/d/1ihC2ktFj48zebxDg4wX6LyVCe6OK616Z/view?usp=drivesdk</t>
  </si>
  <si>
    <t>1ihC2ktFj48zebxDg4wX6LyVCe6OK616Z</t>
  </si>
  <si>
    <t>1RPR5yg2LrUfs8vJWn4tHHYQV6S4L4HBq</t>
  </si>
  <si>
    <t>https://drive.google.com/file/d/1RPR5yg2LrUfs8vJWn4tHHYQV6S4L4HBq/view?usp=drivesdk</t>
  </si>
  <si>
    <t>Document successfully created; Document successfully merged; PDF created; !!Error Sending Emails: Service invoked too many times for one day: email.; Manually run by ecertificate75@gmail.com; Timestamp: Aug 30 2024 9:41 PM</t>
  </si>
  <si>
    <t>196jiAda6fmLJ0yq20sn9Dvy93MZ-Yf5a</t>
  </si>
  <si>
    <t>https://drive.google.com/file/d/196jiAda6fmLJ0yq20sn9Dvy93MZ-Yf5a/view?usp=drivesdk</t>
  </si>
  <si>
    <t>HELMI SATRIANI,S.AP</t>
  </si>
  <si>
    <t>satrianihelmi608@gmail.com</t>
  </si>
  <si>
    <t>192</t>
  </si>
  <si>
    <t>https://drive.google.com/file/d/1xyPTGdEMZMLoVjorKtuqqAuzLTKikquA/view?usp=drivesdk</t>
  </si>
  <si>
    <t>1xyPTGdEMZMLoVjorKtuqqAuzLTKikquA</t>
  </si>
  <si>
    <t>1orWHGh_7MLiS4-fCG5dJJmLXY0X_PRoC</t>
  </si>
  <si>
    <t>https://drive.google.com/file/d/1orWHGh_7MLiS4-fCG5dJJmLXY0X_PRoC/view?usp=drivesdk</t>
  </si>
  <si>
    <t>1G5Y9IJEcFD2w1LrTvkACllQt1_4SM9HH</t>
  </si>
  <si>
    <t>https://drive.google.com/file/d/1G5Y9IJEcFD2w1LrTvkACllQt1_4SM9HH/view?usp=drivesdk</t>
  </si>
  <si>
    <t>IKA PUSPITASARI, A.Md</t>
  </si>
  <si>
    <t>ikapuspitasari965@gmail.com</t>
  </si>
  <si>
    <t>193</t>
  </si>
  <si>
    <t>https://drive.google.com/file/d/1DxJuiI0q1mMnaE3cZcbs4KV8aErU26Ze/view?usp=drivesdk</t>
  </si>
  <si>
    <t>1DxJuiI0q1mMnaE3cZcbs4KV8aErU26Ze</t>
  </si>
  <si>
    <t>13jBwfI9VlmQLi_mpB3S72jEZkKK8ioIh</t>
  </si>
  <si>
    <t>https://drive.google.com/file/d/13jBwfI9VlmQLi_mpB3S72jEZkKK8ioIh/view?usp=drivesdk</t>
  </si>
  <si>
    <t>16g6Xh9HbJBPmIl-sbcw_rN7GV-PXz0XH</t>
  </si>
  <si>
    <t>https://drive.google.com/file/d/16g6Xh9HbJBPmIl-sbcw_rN7GV-PXz0XH/view?usp=drivesdk</t>
  </si>
  <si>
    <t xml:space="preserve">SITI AENI NURLAMRIAH </t>
  </si>
  <si>
    <t>sitiaeninurlamriah59@gmail.com</t>
  </si>
  <si>
    <t>194</t>
  </si>
  <si>
    <t>https://drive.google.com/file/d/1NWCWz-UYq_kEJ5jVgR9IuMD4f17mM1ck/view?usp=drivesdk</t>
  </si>
  <si>
    <t>Document successfully created; Document successfully merged; PDF created; Emails Sent: [To: sitiaeninurlamriah59@gmail.com]; Run via form trigger as ecertificate75@gmail.com; Timestamp: Aug 29 2024 8:34 PM</t>
  </si>
  <si>
    <t>1NWCWz-UYq_kEJ5jVgR9IuMD4f17mM1ck</t>
  </si>
  <si>
    <t>17ADyFUYB6tNzN_jfzaQOFawFAon9aZZF</t>
  </si>
  <si>
    <t>https://drive.google.com/file/d/17ADyFUYB6tNzN_jfzaQOFawFAon9aZZF/view?usp=drivesdk</t>
  </si>
  <si>
    <t>1zcImTz--f7R2xAcBkoDrV4apqhy-WUzJ</t>
  </si>
  <si>
    <t>https://drive.google.com/file/d/1zcImTz--f7R2xAcBkoDrV4apqhy-WUzJ/view?usp=drivesdk</t>
  </si>
  <si>
    <t>Document successfully created; Document successfully merged; PDF created; !!Error Sending Emails: Service invoked too many times for one day: email.; Manually run by ecertificate75@gmail.com; Timestamp: Aug 31 2024 5:07 AM</t>
  </si>
  <si>
    <t>SITI BAENUR FITRY S.E., M.M</t>
  </si>
  <si>
    <t>baenurfitry81@gmail.com</t>
  </si>
  <si>
    <t>195</t>
  </si>
  <si>
    <t>https://drive.google.com/file/d/1c7guYdWd2zJAB_zuI3QTSnvJVCYl8bZk/view?usp=drivesdk</t>
  </si>
  <si>
    <t>1c7guYdWd2zJAB_zuI3QTSnvJVCYl8bZk</t>
  </si>
  <si>
    <t>1zYILqAHJz3BHoD3ig01-T4T-DGH42xdW</t>
  </si>
  <si>
    <t>https://drive.google.com/file/d/1zYILqAHJz3BHoD3ig01-T4T-DGH42xdW/view?usp=drivesdk</t>
  </si>
  <si>
    <t>1rEap2MDcX_TxWfgq7KERfWkQHG5eRs4R</t>
  </si>
  <si>
    <t>https://drive.google.com/file/d/1rEap2MDcX_TxWfgq7KERfWkQHG5eRs4R/view?usp=drivesdk</t>
  </si>
  <si>
    <t>EKA WAHYU WIJAYANTI, A.MD</t>
  </si>
  <si>
    <t>ekawahyu1325@gmail.com</t>
  </si>
  <si>
    <t>196</t>
  </si>
  <si>
    <t>https://drive.google.com/file/d/1pRBfVpVOIXSN4xbledIH2KPmONGQLtDg/view?usp=drivesdk</t>
  </si>
  <si>
    <t>1pRBfVpVOIXSN4xbledIH2KPmONGQLtDg</t>
  </si>
  <si>
    <t>1svZWISE59PlFsjTj5EslE76i-giixEVX</t>
  </si>
  <si>
    <t>https://drive.google.com/file/d/1svZWISE59PlFsjTj5EslE76i-giixEVX/view?usp=drivesdk</t>
  </si>
  <si>
    <t>Document successfully created; Document successfully merged; PDF created; !!Error Sending Emails: Service invoked too many times for one day: email.; Manually run by ecertificate75@gmail.com; Timestamp: Aug 30 2024 9:42 PM</t>
  </si>
  <si>
    <t>1chxpHTiIwb9AU_Hu_6YEJpTbygVHcKSd</t>
  </si>
  <si>
    <t>https://drive.google.com/file/d/1chxpHTiIwb9AU_Hu_6YEJpTbygVHcKSd/view?usp=drivesdk</t>
  </si>
  <si>
    <t>ARINARAMDHANUARI, A.Md.Farm</t>
  </si>
  <si>
    <t>arinaramdhanuari03@gmail.com</t>
  </si>
  <si>
    <t>197</t>
  </si>
  <si>
    <t>https://drive.google.com/file/d/1wwyBrAxW7s_Oyc-CYPX8cUCe60ov_0Yt/view?usp=drivesdk</t>
  </si>
  <si>
    <t>1wwyBrAxW7s_Oyc-CYPX8cUCe60ov_0Yt</t>
  </si>
  <si>
    <t>1CdIs_BJDX58wPIOmobKDTpqckis9RgvU</t>
  </si>
  <si>
    <t>https://drive.google.com/file/d/1CdIs_BJDX58wPIOmobKDTpqckis9RgvU/view?usp=drivesdk</t>
  </si>
  <si>
    <t>1B39htzlU6-_BMaqQIUxxlrYuzgpeg2Vq</t>
  </si>
  <si>
    <t>https://drive.google.com/file/d/1B39htzlU6-_BMaqQIUxxlrYuzgpeg2Vq/view?usp=drivesdk</t>
  </si>
  <si>
    <t xml:space="preserve">SITI MARKAMAH </t>
  </si>
  <si>
    <t>markamahbatola@gmail.com</t>
  </si>
  <si>
    <t>198</t>
  </si>
  <si>
    <t>https://drive.google.com/file/d/1qZL51--OvB0hgz1D0HArNYqWsF30nnQF/view?usp=drivesdk</t>
  </si>
  <si>
    <t>1qZL51--OvB0hgz1D0HArNYqWsF30nnQF</t>
  </si>
  <si>
    <t>1QJlw_oM4oZ7SzQXINyCKySwKV8-RA35L</t>
  </si>
  <si>
    <t>https://drive.google.com/file/d/1QJlw_oM4oZ7SzQXINyCKySwKV8-RA35L/view?usp=drivesdk</t>
  </si>
  <si>
    <t>1ZGe2fz7JP12er3e4UJQpkqIkJfmfvKCh</t>
  </si>
  <si>
    <t>https://drive.google.com/file/d/1ZGe2fz7JP12er3e4UJQpkqIkJfmfvKCh/view?usp=drivesdk</t>
  </si>
  <si>
    <t>SIGIT DWIARSO, A.Md</t>
  </si>
  <si>
    <t>sigit.dwiarso@gmail.com</t>
  </si>
  <si>
    <t>199</t>
  </si>
  <si>
    <t>https://drive.google.com/file/d/1lAjOLPvHfCXcWdCy71dbcE1WJF_Z5xje/view?usp=drivesdk</t>
  </si>
  <si>
    <t>1lAjOLPvHfCXcWdCy71dbcE1WJF_Z5xje</t>
  </si>
  <si>
    <t>1BhelETrG9DLoySqWhSwO7NdGqYd-T-9r</t>
  </si>
  <si>
    <t>https://drive.google.com/file/d/1BhelETrG9DLoySqWhSwO7NdGqYd-T-9r/view?usp=drivesdk</t>
  </si>
  <si>
    <t>1qR9ki5AyLXWsuNHhwkyYCZOEYbrZ3-lO</t>
  </si>
  <si>
    <t>https://drive.google.com/file/d/1qR9ki5AyLXWsuNHhwkyYCZOEYbrZ3-lO/view?usp=drivesdk</t>
  </si>
  <si>
    <t>LUH PUTU PRATIWI WULANSARI</t>
  </si>
  <si>
    <t>pratiwiwulansari01@gmail.com</t>
  </si>
  <si>
    <t>200</t>
  </si>
  <si>
    <t>https://drive.google.com/file/d/1sVxUzl4ygU1huJ42sdrXQxVAyaKjTyN8/view?usp=drivesdk</t>
  </si>
  <si>
    <t>1sVxUzl4ygU1huJ42sdrXQxVAyaKjTyN8</t>
  </si>
  <si>
    <t>1i4GMz8iHFNBtssJ8UMd_xlLGPNAr1IEC</t>
  </si>
  <si>
    <t>https://drive.google.com/file/d/1i4GMz8iHFNBtssJ8UMd_xlLGPNAr1IEC/view?usp=drivesdk</t>
  </si>
  <si>
    <t>16s-iYU8JywLFrCbFXXZT3QPZQMdQpSb2</t>
  </si>
  <si>
    <t>https://drive.google.com/file/d/16s-iYU8JywLFrCbFXXZT3QPZQMdQpSb2/view?usp=drivesdk</t>
  </si>
  <si>
    <t>Document successfully created; Document successfully merged; PDF created; !!Error Sending Emails: Service invoked too many times for one day: email.; Manually run by ecertificate75@gmail.com; Timestamp: Aug 31 2024 5:08 AM</t>
  </si>
  <si>
    <t>ANNE AGUSTINA</t>
  </si>
  <si>
    <t>anneagustina19@gmail.com</t>
  </si>
  <si>
    <t>201</t>
  </si>
  <si>
    <t>https://drive.google.com/file/d/1KBn_3DsvWTtXGcPaYk_0n1ZMYCp126jl/view?usp=drivesdk</t>
  </si>
  <si>
    <t>1KBn_3DsvWTtXGcPaYk_0n1ZMYCp126jl</t>
  </si>
  <si>
    <t>1t6xCnlr-SStMrtoDFruDcNrtfCo7cxTp</t>
  </si>
  <si>
    <t>https://drive.google.com/file/d/1t6xCnlr-SStMrtoDFruDcNrtfCo7cxTp/view?usp=drivesdk</t>
  </si>
  <si>
    <t>Document successfully created; Document successfully merged; PDF created; !!Error Sending Emails: Service invoked too many times for one day: email.; Manually run by ecertificate75@gmail.com; Timestamp: Aug 30 2024 9:43 PM</t>
  </si>
  <si>
    <t>1dl-5qNPwqza4rc-soWDJ4l9saaC2QwRz</t>
  </si>
  <si>
    <t>https://drive.google.com/file/d/1dl-5qNPwqza4rc-soWDJ4l9saaC2QwRz/view?usp=drivesdk</t>
  </si>
  <si>
    <t>SITI AMINAH HADIYANTI, A.Md.Per.</t>
  </si>
  <si>
    <t>aminah920316@gmail.com</t>
  </si>
  <si>
    <t>202</t>
  </si>
  <si>
    <t>https://drive.google.com/file/d/1hBtsmjCy-DGRUG2Mo4QcOtS1LAd6-0CD/view?usp=drivesdk</t>
  </si>
  <si>
    <t>1hBtsmjCy-DGRUG2Mo4QcOtS1LAd6-0CD</t>
  </si>
  <si>
    <t>1BA8_KmwUC_eI1GRloiycYLJWA8XaTTCs</t>
  </si>
  <si>
    <t>https://drive.google.com/file/d/1BA8_KmwUC_eI1GRloiycYLJWA8XaTTCs/view?usp=drivesdk</t>
  </si>
  <si>
    <t>1kpxQQXbRKiQtCXn_o4180mJSR38yyOuK</t>
  </si>
  <si>
    <t>https://drive.google.com/file/d/1kpxQQXbRKiQtCXn_o4180mJSR38yyOuK/view?usp=drivesdk</t>
  </si>
  <si>
    <t>ENDAH SUGIHANDANi PUTRI</t>
  </si>
  <si>
    <t>endahputri200@gmail.com</t>
  </si>
  <si>
    <t>203</t>
  </si>
  <si>
    <t>https://drive.google.com/file/d/1IR7lAI45-zX-vv7fh5rRtmz_5WkRBw0a/view?usp=drivesdk</t>
  </si>
  <si>
    <t>1IR7lAI45-zX-vv7fh5rRtmz_5WkRBw0a</t>
  </si>
  <si>
    <t>1tK6acEBWjxfPjp9JMwg0LsLZmJ9Se2Pt</t>
  </si>
  <si>
    <t>https://drive.google.com/file/d/1tK6acEBWjxfPjp9JMwg0LsLZmJ9Se2Pt/view?usp=drivesdk</t>
  </si>
  <si>
    <t>1NCiCDcseGEYJhhISAK3j68mHH4w-Reho</t>
  </si>
  <si>
    <t>https://drive.google.com/file/d/1NCiCDcseGEYJhhISAK3j68mHH4w-Reho/view?usp=drivesdk</t>
  </si>
  <si>
    <t>RAME HUTAGAOL</t>
  </si>
  <si>
    <t>hutagaolrame@mail.com</t>
  </si>
  <si>
    <t>204</t>
  </si>
  <si>
    <t>https://drive.google.com/file/d/1TlILU_WTT4W_RCXYx_cYmwzPOuNFv0u8/view?usp=drivesdk</t>
  </si>
  <si>
    <t>1TlILU_WTT4W_RCXYx_cYmwzPOuNFv0u8</t>
  </si>
  <si>
    <t>1valH_d2l2fVfXTubiolIksjBQDpMI1AY</t>
  </si>
  <si>
    <t>https://drive.google.com/file/d/1valH_d2l2fVfXTubiolIksjBQDpMI1AY/view?usp=drivesdk</t>
  </si>
  <si>
    <t>1pPqe00do0PNhJXCP5OecY3c5kyyfYaX9</t>
  </si>
  <si>
    <t>https://drive.google.com/file/d/1pPqe00do0PNhJXCP5OecY3c5kyyfYaX9/view?usp=drivesdk</t>
  </si>
  <si>
    <t>NI WAYAN SUKAMIATI</t>
  </si>
  <si>
    <t>wayansukamiati1972@gmail.com</t>
  </si>
  <si>
    <t>205</t>
  </si>
  <si>
    <t>https://drive.google.com/file/d/182tWZTjSXrJ3kXkAZBK68ZWLyyzOOBTB/view?usp=drivesdk</t>
  </si>
  <si>
    <t>182tWZTjSXrJ3kXkAZBK68ZWLyyzOOBTB</t>
  </si>
  <si>
    <t>1pJVlO_hX2_PFcZDQMXgU2-gWg4ehu_xh</t>
  </si>
  <si>
    <t>https://drive.google.com/file/d/1pJVlO_hX2_PFcZDQMXgU2-gWg4ehu_xh/view?usp=drivesdk</t>
  </si>
  <si>
    <t>1avIRgsVcAX3fh6iROvBFCN12Ba2GHZLA</t>
  </si>
  <si>
    <t>https://drive.google.com/file/d/1avIRgsVcAX3fh6iROvBFCN12Ba2GHZLA/view?usp=drivesdk</t>
  </si>
  <si>
    <t>Document successfully created; Document successfully merged; PDF created; !!Error Sending Emails: Service invoked too many times for one day: email.; Manually run by ecertificate75@gmail.com; Timestamp: Aug 31 2024 5:09 AM</t>
  </si>
  <si>
    <t>NUSA INDRA MUKTHI WIBAWA</t>
  </si>
  <si>
    <t>nusaindra19@gmail.com</t>
  </si>
  <si>
    <t>206</t>
  </si>
  <si>
    <t>https://drive.google.com/file/d/1HaHalE_MdnuIIBFP1IU2msSYbJiixaFM/view?usp=drivesdk</t>
  </si>
  <si>
    <t>1HaHalE_MdnuIIBFP1IU2msSYbJiixaFM</t>
  </si>
  <si>
    <t>13I990ve3cMs-f0z5fUa0katqmmIdRFCW</t>
  </si>
  <si>
    <t>https://drive.google.com/file/d/13I990ve3cMs-f0z5fUa0katqmmIdRFCW/view?usp=drivesdk</t>
  </si>
  <si>
    <t>1LqXtiHiPfjZoKI9MjvDZ-JFhtjJmQYTt</t>
  </si>
  <si>
    <t>https://drive.google.com/file/d/1LqXtiHiPfjZoKI9MjvDZ-JFhtjJmQYTt/view?usp=drivesdk</t>
  </si>
  <si>
    <t>ATING HERNAWATI</t>
  </si>
  <si>
    <t>atink.cheva@gmail.com</t>
  </si>
  <si>
    <t>207</t>
  </si>
  <si>
    <t>https://drive.google.com/file/d/1tZbxzTO4rVp8gunSahSG5aXC_rGAHuRW/view?usp=drivesdk</t>
  </si>
  <si>
    <t>1tZbxzTO4rVp8gunSahSG5aXC_rGAHuRW</t>
  </si>
  <si>
    <t>1QtXTs92-xSn0ndb5Qd8ezQvJiiAhz_1f</t>
  </si>
  <si>
    <t>https://drive.google.com/file/d/1QtXTs92-xSn0ndb5Qd8ezQvJiiAhz_1f/view?usp=drivesdk</t>
  </si>
  <si>
    <t>Document successfully created; Document successfully merged; PDF created; !!Error Sending Emails: Service invoked too many times for one day: email.; Manually run by ecertificate75@gmail.com; Timestamp: Aug 30 2024 9:44 PM</t>
  </si>
  <si>
    <t>1kW9uB8B0ZEbfqUgYfSwFU97ZsPjAEv2T</t>
  </si>
  <si>
    <t>https://drive.google.com/file/d/1kW9uB8B0ZEbfqUgYfSwFU97ZsPjAEv2T/view?usp=drivesdk</t>
  </si>
  <si>
    <t>DEDI SOEKENDAR</t>
  </si>
  <si>
    <t>goyang.dedi@gmail.com</t>
  </si>
  <si>
    <t>208</t>
  </si>
  <si>
    <t>https://drive.google.com/file/d/1c70KpjSgSib1ZKrETll80yHthNicT54t/view?usp=drivesdk</t>
  </si>
  <si>
    <t>1c70KpjSgSib1ZKrETll80yHthNicT54t</t>
  </si>
  <si>
    <t>1iIZGD_f4Lto4JOGeANBJdNIDhHObBUx-</t>
  </si>
  <si>
    <t>https://drive.google.com/file/d/1iIZGD_f4Lto4JOGeANBJdNIDhHObBUx-/view?usp=drivesdk</t>
  </si>
  <si>
    <t>1kWSApWe0BAELlD3qFx5nfkfTGfF4pT03</t>
  </si>
  <si>
    <t>https://drive.google.com/file/d/1kWSApWe0BAELlD3qFx5nfkfTGfF4pT03/view?usp=drivesdk</t>
  </si>
  <si>
    <t>FITRIA ROZA ANDITA, A.Md.Gz</t>
  </si>
  <si>
    <t>owjha27@gmail.com</t>
  </si>
  <si>
    <t>209</t>
  </si>
  <si>
    <t>https://drive.google.com/file/d/1vzbSvQvxkt33GqbyJmJyzrsnEGeZe7wF/view?usp=drivesdk</t>
  </si>
  <si>
    <t>1vzbSvQvxkt33GqbyJmJyzrsnEGeZe7wF</t>
  </si>
  <si>
    <t>1HbDcO1gTjkF56ubqqTErM9B6ePC8hOaZ</t>
  </si>
  <si>
    <t>https://drive.google.com/file/d/1HbDcO1gTjkF56ubqqTErM9B6ePC8hOaZ/view?usp=drivesdk</t>
  </si>
  <si>
    <t>1jE6y5WHCiTqaLSLY2ISohP9l6jPHZo92</t>
  </si>
  <si>
    <t>https://drive.google.com/file/d/1jE6y5WHCiTqaLSLY2ISohP9l6jPHZo92/view?usp=drivesdk</t>
  </si>
  <si>
    <t>ERIK RESMANA SPD</t>
  </si>
  <si>
    <t>resmanaerik@gmail.com</t>
  </si>
  <si>
    <t>210</t>
  </si>
  <si>
    <t>https://drive.google.com/file/d/1DS2paSp2nMfaedruPxDVo09gnqZT6pQO/view?usp=drivesdk</t>
  </si>
  <si>
    <t>1DS2paSp2nMfaedruPxDVo09gnqZT6pQO</t>
  </si>
  <si>
    <t>1zQgYbVsLwjqyhwPAvusKcqP_ro7epyog</t>
  </si>
  <si>
    <t>https://drive.google.com/file/d/1zQgYbVsLwjqyhwPAvusKcqP_ro7epyog/view?usp=drivesdk</t>
  </si>
  <si>
    <t>1dUclqEfpD9Oo45rVBVUIsGS0TYa7bCfd</t>
  </si>
  <si>
    <t>https://drive.google.com/file/d/1dUclqEfpD9Oo45rVBVUIsGS0TYa7bCfd/view?usp=drivesdk</t>
  </si>
  <si>
    <t>CUCU WIDIANINGSIH</t>
  </si>
  <si>
    <t>cucuwidianingsih15@gmail.com</t>
  </si>
  <si>
    <t>211</t>
  </si>
  <si>
    <t>https://drive.google.com/file/d/1F0i0KY65opG9MvRktXj9sx3i7oqZ-GMu/view?usp=drivesdk</t>
  </si>
  <si>
    <t>1F0i0KY65opG9MvRktXj9sx3i7oqZ-GMu</t>
  </si>
  <si>
    <t>1_mBoJ9GSOUts4Is_3CEMnPp6_htza-8T</t>
  </si>
  <si>
    <t>https://drive.google.com/file/d/1_mBoJ9GSOUts4Is_3CEMnPp6_htza-8T/view?usp=drivesdk</t>
  </si>
  <si>
    <t>1dZTCWnCk4TlWDVLGx-FEKx6QA3iT8MaP</t>
  </si>
  <si>
    <t>https://drive.google.com/file/d/1dZTCWnCk4TlWDVLGx-FEKx6QA3iT8MaP/view?usp=drivesdk</t>
  </si>
  <si>
    <t>Document successfully created; Document successfully merged; PDF created; !!Error Sending Emails: Service invoked too many times for one day: email.; Manually run by ecertificate75@gmail.com; Timestamp: Aug 31 2024 5:10 AM</t>
  </si>
  <si>
    <t>RENI SEPTRONELA, S.E.</t>
  </si>
  <si>
    <t>septronela@gmail.com</t>
  </si>
  <si>
    <t>212</t>
  </si>
  <si>
    <t>https://drive.google.com/file/d/13FcovMVM8W3eBFSynHxcWEgHKxN6QEXw/view?usp=drivesdk</t>
  </si>
  <si>
    <t>13FcovMVM8W3eBFSynHxcWEgHKxN6QEXw</t>
  </si>
  <si>
    <t>1vvdkQU5BiO8b7OpMwkNLn1vT2lejvX9a</t>
  </si>
  <si>
    <t>https://drive.google.com/file/d/1vvdkQU5BiO8b7OpMwkNLn1vT2lejvX9a/view?usp=drivesdk</t>
  </si>
  <si>
    <t>1gn7Z0xQdiqHHRQJj9eNl44SdN5qJZc6T</t>
  </si>
  <si>
    <t>https://drive.google.com/file/d/1gn7Z0xQdiqHHRQJj9eNl44SdN5qJZc6T/view?usp=drivesdk</t>
  </si>
  <si>
    <t>LETTI KUSMAYANTI</t>
  </si>
  <si>
    <t>lettikusmayanti153@gmail.com</t>
  </si>
  <si>
    <t>213</t>
  </si>
  <si>
    <t>https://drive.google.com/file/d/1o6olAjPmgTdhQceX--x_BYQAva3C_BSI/view?usp=drivesdk</t>
  </si>
  <si>
    <t>1o6olAjPmgTdhQceX--x_BYQAva3C_BSI</t>
  </si>
  <si>
    <t>1B45uT530vX7gTFZ6Fh5GUBngFe5NPQLc</t>
  </si>
  <si>
    <t>https://drive.google.com/file/d/1B45uT530vX7gTFZ6Fh5GUBngFe5NPQLc/view?usp=drivesdk</t>
  </si>
  <si>
    <t>10AL2UDbU3xXWCTnaw73CDWXRTobsGPV6</t>
  </si>
  <si>
    <t>https://drive.google.com/file/d/10AL2UDbU3xXWCTnaw73CDWXRTobsGPV6/view?usp=drivesdk</t>
  </si>
  <si>
    <t>NANI HARYANI SALIP, SH</t>
  </si>
  <si>
    <t>haryanisalip@gmail.com</t>
  </si>
  <si>
    <t>214</t>
  </si>
  <si>
    <t>https://drive.google.com/file/d/1crxx6f1Twmz20XkFkfBdbn1WS0GWsoT-/view?usp=drivesdk</t>
  </si>
  <si>
    <t>Document successfully created; Document successfully merged; PDF created; !!Error Sending Emails: Service invoked too many times for one day: email.; Run via form trigger as ecertificate75@gmail.com; Timestamp: Aug 29 2024 8:36 PM</t>
  </si>
  <si>
    <t>1crxx6f1Twmz20XkFkfBdbn1WS0GWsoT-</t>
  </si>
  <si>
    <t>1LZ-epEqL3mKMZA2lKiU1ucOI8PM2PCgA</t>
  </si>
  <si>
    <t>https://drive.google.com/file/d/1LZ-epEqL3mKMZA2lKiU1ucOI8PM2PCgA/view?usp=drivesdk</t>
  </si>
  <si>
    <t>Document successfully created; Document successfully merged; PDF created; !!Error Sending Emails: Service invoked too many times for one day: email.; Manually run by ecertificate75@gmail.com; Timestamp: Aug 30 2024 9:45 PM</t>
  </si>
  <si>
    <t>1HE7bCkGbBnWvlAzcnIWAzgjP7TNqr3bq</t>
  </si>
  <si>
    <t>https://drive.google.com/file/d/1HE7bCkGbBnWvlAzcnIWAzgjP7TNqr3bq/view?usp=drivesdk</t>
  </si>
  <si>
    <t>ARI FIRMANSYAH, S.Kom</t>
  </si>
  <si>
    <t>firmansyah.ari79@gmail.com</t>
  </si>
  <si>
    <t>215</t>
  </si>
  <si>
    <t>https://drive.google.com/file/d/1mu8AdNQbMctiOKgODmjL9JmQdDFcIEZs/view?usp=drivesdk</t>
  </si>
  <si>
    <t>1mu8AdNQbMctiOKgODmjL9JmQdDFcIEZs</t>
  </si>
  <si>
    <t>12sr2hROVVfnrkPm2xmMts1NgxDr0GTVa</t>
  </si>
  <si>
    <t>https://drive.google.com/file/d/12sr2hROVVfnrkPm2xmMts1NgxDr0GTVa/view?usp=drivesdk</t>
  </si>
  <si>
    <t>1Cdska1Ko-Glow1oa2LaUAhp8QlK0WYET</t>
  </si>
  <si>
    <t>https://drive.google.com/file/d/1Cdska1Ko-Glow1oa2LaUAhp8QlK0WYET/view?usp=drivesdk</t>
  </si>
  <si>
    <t xml:space="preserve">SRI HANDAYANI </t>
  </si>
  <si>
    <t>sridivya1401@gmail.com</t>
  </si>
  <si>
    <t>216</t>
  </si>
  <si>
    <t>https://drive.google.com/file/d/1RREGR_pDLFljEMN-XgDeMj0OoUGrISZ_/view?usp=drivesdk</t>
  </si>
  <si>
    <t>1RREGR_pDLFljEMN-XgDeMj0OoUGrISZ_</t>
  </si>
  <si>
    <t>13veE9PYMRGZ-1W7jz1HMgEnoytqQ1SAi</t>
  </si>
  <si>
    <t>https://drive.google.com/file/d/13veE9PYMRGZ-1W7jz1HMgEnoytqQ1SAi/view?usp=drivesdk</t>
  </si>
  <si>
    <t>1PIacgC5--Uu7bQxZ7q3jjNyOjXGUmlAA</t>
  </si>
  <si>
    <t>https://drive.google.com/file/d/1PIacgC5--Uu7bQxZ7q3jjNyOjXGUmlAA/view?usp=drivesdk</t>
  </si>
  <si>
    <t>Document successfully created; Document successfully merged; PDF created; !!Error Sending Emails: Service invoked too many times for one day: email.; Manually run by ecertificate75@gmail.com; Timestamp: Aug 31 2024 5:11 AM</t>
  </si>
  <si>
    <t>AULIA SAFITRI, A.Md.Kep</t>
  </si>
  <si>
    <t>asafitri44235@gmail.com</t>
  </si>
  <si>
    <t>217</t>
  </si>
  <si>
    <t>https://drive.google.com/file/d/1c6lMMKEl7amzBkBezVyHDm4wmcjr8BRF/view?usp=drivesdk</t>
  </si>
  <si>
    <t>1c6lMMKEl7amzBkBezVyHDm4wmcjr8BRF</t>
  </si>
  <si>
    <t>1CaDYi8jOtDQ8BkpWvLthzumNJvCjv9tj</t>
  </si>
  <si>
    <t>https://drive.google.com/file/d/1CaDYi8jOtDQ8BkpWvLthzumNJvCjv9tj/view?usp=drivesdk</t>
  </si>
  <si>
    <t>1KOFP4HbTU4hPXMAS3-MLaJ8OSOKNypOZ</t>
  </si>
  <si>
    <t>https://drive.google.com/file/d/1KOFP4HbTU4hPXMAS3-MLaJ8OSOKNypOZ/view?usp=drivesdk</t>
  </si>
  <si>
    <t>YULIA SUSIANI SH</t>
  </si>
  <si>
    <t>yuliasusiani01@gmail.com</t>
  </si>
  <si>
    <t>218</t>
  </si>
  <si>
    <t>https://drive.google.com/file/d/1dyPlbohU2Eeg6WiY-rsR0ov1SPC99irL/view?usp=drivesdk</t>
  </si>
  <si>
    <t>1dyPlbohU2Eeg6WiY-rsR0ov1SPC99irL</t>
  </si>
  <si>
    <t>1PL61rA9dj9iSNcMD16JMg3kaNnpAcWZ-</t>
  </si>
  <si>
    <t>https://drive.google.com/file/d/1PL61rA9dj9iSNcMD16JMg3kaNnpAcWZ-/view?usp=drivesdk</t>
  </si>
  <si>
    <t>1rv-_AQbIdxsskMwdAq2sjpOq_s8Q8GUz</t>
  </si>
  <si>
    <t>https://drive.google.com/file/d/1rv-_AQbIdxsskMwdAq2sjpOq_s8Q8GUz/view?usp=drivesdk</t>
  </si>
  <si>
    <t xml:space="preserve">REPELITA BR SITEPU </t>
  </si>
  <si>
    <t>reprlita.sitepu@gmail.com</t>
  </si>
  <si>
    <t>219</t>
  </si>
  <si>
    <t>https://drive.google.com/file/d/15yQjJWIhRBZksm2MmvM2MmawwCuGVKuM/view?usp=drivesdk</t>
  </si>
  <si>
    <t>15yQjJWIhRBZksm2MmvM2MmawwCuGVKuM</t>
  </si>
  <si>
    <t>1RM7cQSy5dQf6QXt_bMcZe9vmS7-TYMYL</t>
  </si>
  <si>
    <t>https://drive.google.com/file/d/1RM7cQSy5dQf6QXt_bMcZe9vmS7-TYMYL/view?usp=drivesdk</t>
  </si>
  <si>
    <t>Document successfully created; Document successfully merged; PDF created; !!Error Sending Emails: Service invoked too many times for one day: email.; Manually run by ecertificate75@gmail.com; Timestamp: Aug 30 2024 9:46 PM</t>
  </si>
  <si>
    <t>1UaaT_0nkqm02MBbOdKty1eE5JISpA6u8</t>
  </si>
  <si>
    <t>https://drive.google.com/file/d/1UaaT_0nkqm02MBbOdKty1eE5JISpA6u8/view?usp=drivesdk</t>
  </si>
  <si>
    <t>RINA RISTANTI HIDAYAT</t>
  </si>
  <si>
    <t>rinaristanti72@gmail.com</t>
  </si>
  <si>
    <t>220</t>
  </si>
  <si>
    <t>https://drive.google.com/file/d/1D5USBlelSONvKVTtk-toxY4uO56Zfs_n/view?usp=drivesdk</t>
  </si>
  <si>
    <t>1D5USBlelSONvKVTtk-toxY4uO56Zfs_n</t>
  </si>
  <si>
    <t>1lTF6NLMRsC3kjeD5ZF8wylgCcmR7j4NR</t>
  </si>
  <si>
    <t>https://drive.google.com/file/d/1lTF6NLMRsC3kjeD5ZF8wylgCcmR7j4NR/view?usp=drivesdk</t>
  </si>
  <si>
    <t>1kxZ51lut3g2xC1bSamhnUujuKF33yumG</t>
  </si>
  <si>
    <t>https://drive.google.com/file/d/1kxZ51lut3g2xC1bSamhnUujuKF33yumG/view?usp=drivesdk</t>
  </si>
  <si>
    <t>ANJELLA EKAWATI POHAN</t>
  </si>
  <si>
    <t>ekhapohan85@gmail.com</t>
  </si>
  <si>
    <t>221</t>
  </si>
  <si>
    <t>https://drive.google.com/file/d/1LT91osLSNGhNTSjx21-NO6TYdl-y6aRU/view?usp=drivesdk</t>
  </si>
  <si>
    <t>1LT91osLSNGhNTSjx21-NO6TYdl-y6aRU</t>
  </si>
  <si>
    <t>1NcJb33uF-vIRnS4ReCAz2vC7Flhl9lpZ</t>
  </si>
  <si>
    <t>https://drive.google.com/file/d/1NcJb33uF-vIRnS4ReCAz2vC7Flhl9lpZ/view?usp=drivesdk</t>
  </si>
  <si>
    <t>1fXHmJMu90cjdMlHaCjL0lplEd9pf3MBS</t>
  </si>
  <si>
    <t>https://drive.google.com/file/d/1fXHmJMu90cjdMlHaCjL0lplEd9pf3MBS/view?usp=drivesdk</t>
  </si>
  <si>
    <t>ASEP FITRIADI, S.M.</t>
  </si>
  <si>
    <t>fitriadi078@gmail.com</t>
  </si>
  <si>
    <t>222</t>
  </si>
  <si>
    <t>https://drive.google.com/file/d/1TPpJh6vUZoKXWVdn2U3PgO3lWbDy1Sqs/view?usp=drivesdk</t>
  </si>
  <si>
    <t>1TPpJh6vUZoKXWVdn2U3PgO3lWbDy1Sqs</t>
  </si>
  <si>
    <t>15KUyHCHTCG0SRE9xL-JJMV3UNGKj3hP9</t>
  </si>
  <si>
    <t>https://drive.google.com/file/d/15KUyHCHTCG0SRE9xL-JJMV3UNGKj3hP9/view?usp=drivesdk</t>
  </si>
  <si>
    <t>1qCiBrF7gE6acgLV48T3xd42Gd3JnycI_</t>
  </si>
  <si>
    <t>https://drive.google.com/file/d/1qCiBrF7gE6acgLV48T3xd42Gd3JnycI_/view?usp=drivesdk</t>
  </si>
  <si>
    <t>Document successfully created; Document successfully merged; PDF created; !!Error Sending Emails: Service invoked too many times for one day: email.; Manually run by ecertificate75@gmail.com; Timestamp: Aug 31 2024 5:12 AM</t>
  </si>
  <si>
    <t xml:space="preserve">NUNUK YULIANTI </t>
  </si>
  <si>
    <t>nunukyulianti2579@gmail.com</t>
  </si>
  <si>
    <t>223</t>
  </si>
  <si>
    <t>https://drive.google.com/file/d/1-I40Oe1fxUAtJh3_rhefZCeyp2VJnAmm/view?usp=drivesdk</t>
  </si>
  <si>
    <t>1-I40Oe1fxUAtJh3_rhefZCeyp2VJnAmm</t>
  </si>
  <si>
    <t>1s2UiBIBUDumYi3G9Gbbrgl48RPrnGJ_j</t>
  </si>
  <si>
    <t>https://drive.google.com/file/d/1s2UiBIBUDumYi3G9Gbbrgl48RPrnGJ_j/view?usp=drivesdk</t>
  </si>
  <si>
    <t>1dGTHNT7quTKWCTT-1368rf1qvbRMP4We</t>
  </si>
  <si>
    <t>https://drive.google.com/file/d/1dGTHNT7quTKWCTT-1368rf1qvbRMP4We/view?usp=drivesdk</t>
  </si>
  <si>
    <t>LIS SUDANARSIH</t>
  </si>
  <si>
    <t>bagsumdapolrespasuruankota@gmail.com</t>
  </si>
  <si>
    <t>224</t>
  </si>
  <si>
    <t>https://drive.google.com/file/d/1mB4Z-z8kGgZyUZhZQoGvHyqktMJwMM2w/view?usp=drivesdk</t>
  </si>
  <si>
    <t>1mB4Z-z8kGgZyUZhZQoGvHyqktMJwMM2w</t>
  </si>
  <si>
    <t>1BA-MOt30fh0cPq095iSfRRqwIxZagzJJ</t>
  </si>
  <si>
    <t>https://drive.google.com/file/d/1BA-MOt30fh0cPq095iSfRRqwIxZagzJJ/view?usp=drivesdk</t>
  </si>
  <si>
    <t>Document successfully created; Document successfully merged; PDF created; !!Error Sending Emails: Service invoked too many times for one day: email.; Manually run by ecertificate75@gmail.com; Timestamp: Aug 30 2024 9:47 PM</t>
  </si>
  <si>
    <t>1qgTf5Q3Hpun2Vq6uJdFNm4fm9VFymO9l</t>
  </si>
  <si>
    <t>https://drive.google.com/file/d/1qgTf5Q3Hpun2Vq6uJdFNm4fm9VFymO9l/view?usp=drivesdk</t>
  </si>
  <si>
    <t>KADEK OVA SUSIANI</t>
  </si>
  <si>
    <t>ovasusiani1978@gmail.com</t>
  </si>
  <si>
    <t>225</t>
  </si>
  <si>
    <t>https://drive.google.com/file/d/1mcaUIoXEUhOYZXCvZqpLhG0Kw732FqKM/view?usp=drivesdk</t>
  </si>
  <si>
    <t>1mcaUIoXEUhOYZXCvZqpLhG0Kw732FqKM</t>
  </si>
  <si>
    <t>1xS78pIDYxvKsR2dLbGHwZotfvoF302-s</t>
  </si>
  <si>
    <t>https://drive.google.com/file/d/1xS78pIDYxvKsR2dLbGHwZotfvoF302-s/view?usp=drivesdk</t>
  </si>
  <si>
    <t>10ekC7guaM1A277yHDu2XxcbsnYgIPMfm</t>
  </si>
  <si>
    <t>https://drive.google.com/file/d/10ekC7guaM1A277yHDu2XxcbsnYgIPMfm/view?usp=drivesdk</t>
  </si>
  <si>
    <t>MUFLIKHUDIN, S.E.</t>
  </si>
  <si>
    <t>mufliudin@gmail.com</t>
  </si>
  <si>
    <t>226</t>
  </si>
  <si>
    <t>https://drive.google.com/file/d/11wVMJ4KkbwMRZi08UK1fIoM-BRPvdOd3/view?usp=drivesdk</t>
  </si>
  <si>
    <t>Document successfully created; Document successfully merged; PDF created; !!Error Sending Emails: Service invoked too many times for one day: email.; Run via form trigger as ecertificate75@gmail.com; Timestamp: Aug 29 2024 8:37 PM</t>
  </si>
  <si>
    <t>11wVMJ4KkbwMRZi08UK1fIoM-BRPvdOd3</t>
  </si>
  <si>
    <t>1KkiXuFIZwDY0am2y0UY0v4Va2D0Sdeef</t>
  </si>
  <si>
    <t>https://drive.google.com/file/d/1KkiXuFIZwDY0am2y0UY0v4Va2D0Sdeef/view?usp=drivesdk</t>
  </si>
  <si>
    <t>1hi49t2KvdhbTy_X1EWmF94Qgpz40aZua</t>
  </si>
  <si>
    <t>https://drive.google.com/file/d/1hi49t2KvdhbTy_X1EWmF94Qgpz40aZua/view?usp=drivesdk</t>
  </si>
  <si>
    <t>NI PUTU PURWANINGSIH, S. H</t>
  </si>
  <si>
    <t>putu19.purwaningsih85@gmail.com</t>
  </si>
  <si>
    <t>227</t>
  </si>
  <si>
    <t>https://drive.google.com/file/d/1B4nsWjURmjYpKbQjHj5kZIxXc2F9G5gi/view?usp=drivesdk</t>
  </si>
  <si>
    <t>1B4nsWjURmjYpKbQjHj5kZIxXc2F9G5gi</t>
  </si>
  <si>
    <t>1jtNrGslOAqsfdlCs0AlqaFWcHFVTkTJx</t>
  </si>
  <si>
    <t>https://drive.google.com/file/d/1jtNrGslOAqsfdlCs0AlqaFWcHFVTkTJx/view?usp=drivesdk</t>
  </si>
  <si>
    <t>13W7aDuK9myoqrIqhYQy5W3mF7mRMP8_A</t>
  </si>
  <si>
    <t>https://drive.google.com/file/d/13W7aDuK9myoqrIqhYQy5W3mF7mRMP8_A/view?usp=drivesdk</t>
  </si>
  <si>
    <t xml:space="preserve">VINCENTIA WAHYU CANDRA DEWI </t>
  </si>
  <si>
    <t>vincentiadewi8@gmail.com</t>
  </si>
  <si>
    <t>228</t>
  </si>
  <si>
    <t>https://drive.google.com/file/d/1gex8rbMePdp8S0XBh7Rxdsxz6k0NAOvm/view?usp=drivesdk</t>
  </si>
  <si>
    <t>1gex8rbMePdp8S0XBh7Rxdsxz6k0NAOvm</t>
  </si>
  <si>
    <t>1eJ0rWYD8NzPOzFdo2Yf8m5pffYib0HO5</t>
  </si>
  <si>
    <t>https://drive.google.com/file/d/1eJ0rWYD8NzPOzFdo2Yf8m5pffYib0HO5/view?usp=drivesdk</t>
  </si>
  <si>
    <t>Document successfully created; Document successfully merged; PDF created; !!Error Sending Emails: Service invoked too many times for one day: email.; Manually run by ecertificate75@gmail.com; Timestamp: Aug 30 2024 9:50 PM</t>
  </si>
  <si>
    <t>1GIweh1Jfljcr5V26ykkCGniDje-Ag2dm</t>
  </si>
  <si>
    <t>https://drive.google.com/file/d/1GIweh1Jfljcr5V26ykkCGniDje-Ag2dm/view?usp=drivesdk</t>
  </si>
  <si>
    <t>Document successfully created; Document successfully merged; PDF created; !!Error Sending Emails: Service invoked too many times for one day: email.; Manually run by ecertificate75@gmail.com; Timestamp: Aug 31 2024 5:13 AM</t>
  </si>
  <si>
    <t>CHUSNUL CHOTIMAH</t>
  </si>
  <si>
    <t>chusnulchotimah58@gmail.com</t>
  </si>
  <si>
    <t>229</t>
  </si>
  <si>
    <t>https://drive.google.com/file/d/1cB8gb4DPGdu4BH-7x4Lshu_CwoYtRDeK/view?usp=drivesdk</t>
  </si>
  <si>
    <t>1cB8gb4DPGdu4BH-7x4Lshu_CwoYtRDeK</t>
  </si>
  <si>
    <t>1EQSrJ1x9cuKQS6HIrSrRRPwsOD2zV9C2</t>
  </si>
  <si>
    <t>https://drive.google.com/file/d/1EQSrJ1x9cuKQS6HIrSrRRPwsOD2zV9C2/view?usp=drivesdk</t>
  </si>
  <si>
    <t>16UIKu2GrbOm8hFG72F3uA0Qr9H8HceCn</t>
  </si>
  <si>
    <t>https://drive.google.com/file/d/16UIKu2GrbOm8hFG72F3uA0Qr9H8HceCn/view?usp=drivesdk</t>
  </si>
  <si>
    <t>PENGATUR MIRA WYDIA POLRES TABALONG</t>
  </si>
  <si>
    <t>mirawydia@gmail.com</t>
  </si>
  <si>
    <t>230</t>
  </si>
  <si>
    <t>https://drive.google.com/file/d/1ZfUHQUzBYT0bik5kOB3gvGEWCPRfOJEA/view?usp=drivesdk</t>
  </si>
  <si>
    <t>1ZfUHQUzBYT0bik5kOB3gvGEWCPRfOJEA</t>
  </si>
  <si>
    <t>1vHVdPm18ogeIBKTWrw5a26PPd1cTprVa</t>
  </si>
  <si>
    <t>https://drive.google.com/file/d/1vHVdPm18ogeIBKTWrw5a26PPd1cTprVa/view?usp=drivesdk</t>
  </si>
  <si>
    <t>Document successfully created; Document successfully merged; PDF created; !!Error Sending Emails: Service invoked too many times for one day: email.; Manually run by ecertificate75@gmail.com; Timestamp: Aug 30 2024 9:51 PM</t>
  </si>
  <si>
    <t>1YiAyYxrMGTQWy42bNnI3V_t_EeeeWeHX</t>
  </si>
  <si>
    <t>https://drive.google.com/file/d/1YiAyYxrMGTQWy42bNnI3V_t_EeeeWeHX/view?usp=drivesdk</t>
  </si>
  <si>
    <t>SITI MARYATUN</t>
  </si>
  <si>
    <t>rsbhayangkarajayapura04@gmail.com</t>
  </si>
  <si>
    <t>231</t>
  </si>
  <si>
    <t>https://drive.google.com/file/d/1VlMHL6zwSQ603sPhlAQsarU04f9lMys4/view?usp=drivesdk</t>
  </si>
  <si>
    <t>1VlMHL6zwSQ603sPhlAQsarU04f9lMys4</t>
  </si>
  <si>
    <t>1OoKAtU7yzyJLKKIT4oWuN9XC3r7rBjnB</t>
  </si>
  <si>
    <t>https://drive.google.com/file/d/1OoKAtU7yzyJLKKIT4oWuN9XC3r7rBjnB/view?usp=drivesdk</t>
  </si>
  <si>
    <t>Document successfully created; Document successfully merged; PDF created; Emails Sent: [To: rsbhayangkarajayapura04@gmail.com]; Manually run by ecertificate75@gmail.com; Timestamp: Aug 30 2024 9:25 PM</t>
  </si>
  <si>
    <t>19SBOPJR13Y5guhEltTQ514ttFOxvZvvC</t>
  </si>
  <si>
    <t>https://drive.google.com/file/d/19SBOPJR13Y5guhEltTQ514ttFOxvZvvC/view?usp=drivesdk</t>
  </si>
  <si>
    <t>OFIK TAUFIKUROCHMAN</t>
  </si>
  <si>
    <t>tyazdafina@gmail.com</t>
  </si>
  <si>
    <t>232</t>
  </si>
  <si>
    <t>https://drive.google.com/file/d/1GdUjUMOADDsLYiTaWbvODs9QLNNZqpZH/view?usp=drivesdk</t>
  </si>
  <si>
    <t>1GdUjUMOADDsLYiTaWbvODs9QLNNZqpZH</t>
  </si>
  <si>
    <t>1HgmgUUX3Of5jfOxpUscGHNtE8rNX8_Er</t>
  </si>
  <si>
    <t>https://drive.google.com/file/d/1HgmgUUX3Of5jfOxpUscGHNtE8rNX8_Er/view?usp=drivesdk</t>
  </si>
  <si>
    <t>1BHhAHNZBsH1vA-Ahmno5x9FibyTjYSPC</t>
  </si>
  <si>
    <t>https://drive.google.com/file/d/1BHhAHNZBsH1vA-Ahmno5x9FibyTjYSPC/view?usp=drivesdk</t>
  </si>
  <si>
    <t>AGUS SUTANTO, S.H</t>
  </si>
  <si>
    <t>aguszeed@gmail.com</t>
  </si>
  <si>
    <t>233</t>
  </si>
  <si>
    <t>https://drive.google.com/file/d/1tS8MTUQBlUQ9EJYkTxMlrRHnyCaoHSPP/view?usp=drivesdk</t>
  </si>
  <si>
    <t>1tS8MTUQBlUQ9EJYkTxMlrRHnyCaoHSPP</t>
  </si>
  <si>
    <t>10aT--vR6Rq5RA1AXC-H9altPARkB4zzm</t>
  </si>
  <si>
    <t>https://drive.google.com/file/d/10aT--vR6Rq5RA1AXC-H9altPARkB4zzm/view?usp=drivesdk</t>
  </si>
  <si>
    <t>1fkT8wLBmL-gZgV34O5WwSrhjaoaadfn-</t>
  </si>
  <si>
    <t>https://drive.google.com/file/d/1fkT8wLBmL-gZgV34O5WwSrhjaoaadfn-/view?usp=drivesdk</t>
  </si>
  <si>
    <t>Document successfully created; Document successfully merged; PDF created; !!Error Sending Emails: Service invoked too many times for one day: email.; Manually run by ecertificate75@gmail.com; Timestamp: Aug 31 2024 5:14 AM</t>
  </si>
  <si>
    <t>SITI HINDAYANI</t>
  </si>
  <si>
    <t>hindayanisiti@gmail.com</t>
  </si>
  <si>
    <t>234</t>
  </si>
  <si>
    <t>https://drive.google.com/file/d/1zz5BVvlQKPJ8AXSM_i4Q5j02jpTOfkR6/view?usp=drivesdk</t>
  </si>
  <si>
    <t>1zz5BVvlQKPJ8AXSM_i4Q5j02jpTOfkR6</t>
  </si>
  <si>
    <t>1tYhxu5uXcfxRqwL1bLvP0p6d0Q69KQfT</t>
  </si>
  <si>
    <t>https://drive.google.com/file/d/1tYhxu5uXcfxRqwL1bLvP0p6d0Q69KQfT/view?usp=drivesdk</t>
  </si>
  <si>
    <t>1jkwATaXYngoTomdgmbhcLRl0xUwic5ra</t>
  </si>
  <si>
    <t>https://drive.google.com/file/d/1jkwATaXYngoTomdgmbhcLRl0xUwic5ra/view?usp=drivesdk</t>
  </si>
  <si>
    <t>HARNIS RIZKA PRATIWI</t>
  </si>
  <si>
    <t>harnisrizka@gmail.com</t>
  </si>
  <si>
    <t>235</t>
  </si>
  <si>
    <t>https://drive.google.com/file/d/1zLwGL1NDhTgm4-Qj_-sxtn7xI3azuElg/view?usp=drivesdk</t>
  </si>
  <si>
    <t>1zLwGL1NDhTgm4-Qj_-sxtn7xI3azuElg</t>
  </si>
  <si>
    <t>1Toma5wrrh7xjkhIikEBgLOMOy-xObtq8</t>
  </si>
  <si>
    <t>https://drive.google.com/file/d/1Toma5wrrh7xjkhIikEBgLOMOy-xObtq8/view?usp=drivesdk</t>
  </si>
  <si>
    <t>1BGbdAZKgwhyPoqBsndFKu2k_OvivIjcz</t>
  </si>
  <si>
    <t>https://drive.google.com/file/d/1BGbdAZKgwhyPoqBsndFKu2k_OvivIjcz/view?usp=drivesdk</t>
  </si>
  <si>
    <t>DARU KURNIAWAN</t>
  </si>
  <si>
    <t>roeosing@gmail.com</t>
  </si>
  <si>
    <t>236</t>
  </si>
  <si>
    <t>https://drive.google.com/file/d/10P_TUyiWsrBnMBXvC__SovKQSO6OJmpj/view?usp=drivesdk</t>
  </si>
  <si>
    <t>10P_TUyiWsrBnMBXvC__SovKQSO6OJmpj</t>
  </si>
  <si>
    <t>1MI1Xi9EAPNvTc3DfzRJs6CQUSEFzEL5p</t>
  </si>
  <si>
    <t>https://drive.google.com/file/d/1MI1Xi9EAPNvTc3DfzRJs6CQUSEFzEL5p/view?usp=drivesdk</t>
  </si>
  <si>
    <t>1OgzQIxGD4rvly2tmmMFe-3Cv38TyWink</t>
  </si>
  <si>
    <t>https://drive.google.com/file/d/1OgzQIxGD4rvly2tmmMFe-3Cv38TyWink/view?usp=drivesdk</t>
  </si>
  <si>
    <t>HENI HARYANISWATI</t>
  </si>
  <si>
    <t>hharyaniswati@gmail.com</t>
  </si>
  <si>
    <t>237</t>
  </si>
  <si>
    <t>https://drive.google.com/file/d/1WJ3J4SxY-aZ_oUga5dHQCxu4mct0GAFv/view?usp=drivesdk</t>
  </si>
  <si>
    <t>1WJ3J4SxY-aZ_oUga5dHQCxu4mct0GAFv</t>
  </si>
  <si>
    <t>12PsBKKD7aSap3lSwtcf3NDpaSV-tI5w4</t>
  </si>
  <si>
    <t>https://drive.google.com/file/d/12PsBKKD7aSap3lSwtcf3NDpaSV-tI5w4/view?usp=drivesdk</t>
  </si>
  <si>
    <t>1_Pzq21OuvbPrZN4rw8qLv_CNELhF34R3</t>
  </si>
  <si>
    <t>https://drive.google.com/file/d/1_Pzq21OuvbPrZN4rw8qLv_CNELhF34R3/view?usp=drivesdk</t>
  </si>
  <si>
    <t>apt. ELSHA WIGUNA SUMANTI, S. Farm</t>
  </si>
  <si>
    <t>elshawiguna@gmail.com</t>
  </si>
  <si>
    <t>238</t>
  </si>
  <si>
    <t>https://drive.google.com/file/d/1TFF1AATfl5x7Du62DWXJAMELEf2c-vWe/view?usp=drivesdk</t>
  </si>
  <si>
    <t>1TFF1AATfl5x7Du62DWXJAMELEf2c-vWe</t>
  </si>
  <si>
    <t>1rxgj4Hn832-WsgBDIEX_tkc_QZwBzKUn</t>
  </si>
  <si>
    <t>https://drive.google.com/file/d/1rxgj4Hn832-WsgBDIEX_tkc_QZwBzKUn/view?usp=drivesdk</t>
  </si>
  <si>
    <t>1EAlp_6fk2Yk8din3MSOE_tDfhKN2YmGr</t>
  </si>
  <si>
    <t>https://drive.google.com/file/d/1EAlp_6fk2Yk8din3MSOE_tDfhKN2YmGr/view?usp=drivesdk</t>
  </si>
  <si>
    <t>Document successfully created; Document successfully merged; PDF created; !!Error Sending Emails: Service invoked too many times for one day: email.; Manually run by ecertificate75@gmail.com; Timestamp: Aug 31 2024 5:15 AM</t>
  </si>
  <si>
    <t>RATNA KUSDINAR</t>
  </si>
  <si>
    <t>ratnakusdinar4@gmail.com</t>
  </si>
  <si>
    <t>239</t>
  </si>
  <si>
    <t>https://drive.google.com/file/d/1LGshiyePEMt3ZG2IoAaTsXlZsXaz1oVx/view?usp=drivesdk</t>
  </si>
  <si>
    <t>1LGshiyePEMt3ZG2IoAaTsXlZsXaz1oVx</t>
  </si>
  <si>
    <t>1VObOaXGZDh7lYh9advNpDjFNHzsXD_9i</t>
  </si>
  <si>
    <t>https://drive.google.com/file/d/1VObOaXGZDh7lYh9advNpDjFNHzsXD_9i/view?usp=drivesdk</t>
  </si>
  <si>
    <t>12SxshVfGd-W2FJ54_Fid-VLQiDiPJITh</t>
  </si>
  <si>
    <t>https://drive.google.com/file/d/12SxshVfGd-W2FJ54_Fid-VLQiDiPJITh/view?usp=drivesdk</t>
  </si>
  <si>
    <t>PENDA LALU MUHAMMAD ARIES KURNIAWAN</t>
  </si>
  <si>
    <t>laluariesk.79@gmail.com</t>
  </si>
  <si>
    <t>240</t>
  </si>
  <si>
    <t>https://drive.google.com/file/d/1O6hFjnhdyl2y2WHM-yBTfqmCBIacGE5X/view?usp=drivesdk</t>
  </si>
  <si>
    <t>1O6hFjnhdyl2y2WHM-yBTfqmCBIacGE5X</t>
  </si>
  <si>
    <t>1Iyj-edYbz38dIknF0LoPcisjj35AGkRd</t>
  </si>
  <si>
    <t>https://drive.google.com/file/d/1Iyj-edYbz38dIknF0LoPcisjj35AGkRd/view?usp=drivesdk</t>
  </si>
  <si>
    <t>1gKnwlWHB2VckarusH-j0PAIGH-1t_TsO</t>
  </si>
  <si>
    <t>https://drive.google.com/file/d/1gKnwlWHB2VckarusH-j0PAIGH-1t_TsO/view?usp=drivesdk</t>
  </si>
  <si>
    <t xml:space="preserve">ANOM UTAMI KURNIA ASIH </t>
  </si>
  <si>
    <t>anomutami81@gmail.com</t>
  </si>
  <si>
    <t>241</t>
  </si>
  <si>
    <t>https://drive.google.com/file/d/175l1cjQodxHxECuberBXQTISebGFzJHu/view?usp=drivesdk</t>
  </si>
  <si>
    <t>175l1cjQodxHxECuberBXQTISebGFzJHu</t>
  </si>
  <si>
    <t>1KlhYonz1Dh31wi9k8CJYz9LO6CNFeM6j</t>
  </si>
  <si>
    <t>https://drive.google.com/file/d/1KlhYonz1Dh31wi9k8CJYz9LO6CNFeM6j/view?usp=drivesdk</t>
  </si>
  <si>
    <t>11G0MZpenmrm2UfDOuuDCCg8yfxc5X-IH</t>
  </si>
  <si>
    <t>https://drive.google.com/file/d/11G0MZpenmrm2UfDOuuDCCg8yfxc5X-IH/view?usp=drivesdk</t>
  </si>
  <si>
    <t xml:space="preserve">KADEK JULI ASTUTI </t>
  </si>
  <si>
    <t>felixadnyana@gmail.com</t>
  </si>
  <si>
    <t>242</t>
  </si>
  <si>
    <t>https://drive.google.com/file/d/1ivX9aJ-4UlvAsXUEQbba4CzcZ_58O3ka/view?usp=drivesdk</t>
  </si>
  <si>
    <t>1ivX9aJ-4UlvAsXUEQbba4CzcZ_58O3ka</t>
  </si>
  <si>
    <t>1asfmLzpglC__vWaNFoq8HT9gwt5WFNGR</t>
  </si>
  <si>
    <t>https://drive.google.com/file/d/1asfmLzpglC__vWaNFoq8HT9gwt5WFNGR/view?usp=drivesdk</t>
  </si>
  <si>
    <t>1WGviuvKC6y3_sJS3fIZk3eGUGVaduXdJ</t>
  </si>
  <si>
    <t>https://drive.google.com/file/d/1WGviuvKC6y3_sJS3fIZk3eGUGVaduXdJ/view?usp=drivesdk</t>
  </si>
  <si>
    <t>AGUS SULEMAN, S. KEP. NS</t>
  </si>
  <si>
    <t>agussulemandokpol@gmail.com</t>
  </si>
  <si>
    <t>243</t>
  </si>
  <si>
    <t>https://drive.google.com/file/d/1QaLx8pxsaFBTl_MS6Ynshj9N5poKG2pW/view?usp=drivesdk</t>
  </si>
  <si>
    <t>1QaLx8pxsaFBTl_MS6Ynshj9N5poKG2pW</t>
  </si>
  <si>
    <t>1IfSw9pkgI_9GdbCS5hB6NtxLbqgSGdjw</t>
  </si>
  <si>
    <t>https://drive.google.com/file/d/1IfSw9pkgI_9GdbCS5hB6NtxLbqgSGdjw/view?usp=drivesdk</t>
  </si>
  <si>
    <t>1bbnyU7kr7qUJUROcA0jsvvobSK6YsuHB</t>
  </si>
  <si>
    <t>https://drive.google.com/file/d/1bbnyU7kr7qUJUROcA0jsvvobSK6YsuHB/view?usp=drivesdk</t>
  </si>
  <si>
    <t>Document successfully created; Document successfully merged; PDF created; !!Error Sending Emails: Service invoked too many times for one day: email.; Manually run by ecertificate75@gmail.com; Timestamp: Aug 31 2024 5:16 AM</t>
  </si>
  <si>
    <t>MAIKEL JANES TETELEPTA</t>
  </si>
  <si>
    <t>thothon.tetelepta@gmail.com</t>
  </si>
  <si>
    <t>244</t>
  </si>
  <si>
    <t>https://drive.google.com/file/d/1aNac1ZPzZ4V7wuvCXqd6_pzpdAhIUvRA/view?usp=drivesdk</t>
  </si>
  <si>
    <t>1aNac1ZPzZ4V7wuvCXqd6_pzpdAhIUvRA</t>
  </si>
  <si>
    <t>1ZbdJYedJT_ZHu4dfM3pRJv2PzRrCii4o</t>
  </si>
  <si>
    <t>https://drive.google.com/file/d/1ZbdJYedJT_ZHu4dfM3pRJv2PzRrCii4o/view?usp=drivesdk</t>
  </si>
  <si>
    <t>1M7QzXEVsXq1szNYRseLFRNu7y2d-HWvi</t>
  </si>
  <si>
    <t>https://drive.google.com/file/d/1M7QzXEVsXq1szNYRseLFRNu7y2d-HWvi/view?usp=drivesdk</t>
  </si>
  <si>
    <t>STANLLY ZEPNAT AIPASSA</t>
  </si>
  <si>
    <t>stanllyaipassa11@gmail.com</t>
  </si>
  <si>
    <t>245</t>
  </si>
  <si>
    <t>https://drive.google.com/file/d/1dod84rnnRq0C6gK2jkfjALwLA1Jhjj3q/view?usp=drivesdk</t>
  </si>
  <si>
    <t>1dod84rnnRq0C6gK2jkfjALwLA1Jhjj3q</t>
  </si>
  <si>
    <t>138xq0-GprMeWnZvRO1PG8uKyjCA1wJuc</t>
  </si>
  <si>
    <t>https://drive.google.com/file/d/138xq0-GprMeWnZvRO1PG8uKyjCA1wJuc/view?usp=drivesdk</t>
  </si>
  <si>
    <t>1ZWGyOSeOMwgcAy-SlgkK4fI_yTPpCLGe</t>
  </si>
  <si>
    <t>https://drive.google.com/file/d/1ZWGyOSeOMwgcAy-SlgkK4fI_yTPpCLGe/view?usp=drivesdk</t>
  </si>
  <si>
    <t>DENI WAHYUDIN, S. KOM</t>
  </si>
  <si>
    <t>dhenee78@gmail.com</t>
  </si>
  <si>
    <t>246</t>
  </si>
  <si>
    <t>https://drive.google.com/file/d/1ITDE1bMjHDvuFpwqKuuBdWSh2xxfUa-V/view?usp=drivesdk</t>
  </si>
  <si>
    <t>1ITDE1bMjHDvuFpwqKuuBdWSh2xxfUa-V</t>
  </si>
  <si>
    <t>1s1C6A8mVMkjkMZpVs1xFROY4gRBCHBDs</t>
  </si>
  <si>
    <t>https://drive.google.com/file/d/1s1C6A8mVMkjkMZpVs1xFROY4gRBCHBDs/view?usp=drivesdk</t>
  </si>
  <si>
    <t>1SbFZH4vl6YvJX5Pcoo6ETshEjoxfl-Ui</t>
  </si>
  <si>
    <t>https://drive.google.com/file/d/1SbFZH4vl6YvJX5Pcoo6ETshEjoxfl-Ui/view?usp=drivesdk</t>
  </si>
  <si>
    <t>IDA AYU MADE ARININGSIH, A.Md.Kep</t>
  </si>
  <si>
    <t>dayuari80@gmail.com</t>
  </si>
  <si>
    <t>247</t>
  </si>
  <si>
    <t>https://drive.google.com/file/d/1dyBvkV_hcW99b6vYHtnzELfYgtHOaBfX/view?usp=drivesdk</t>
  </si>
  <si>
    <t>1dyBvkV_hcW99b6vYHtnzELfYgtHOaBfX</t>
  </si>
  <si>
    <t>1EKNOG3yv_ecjpNFg0vukgT4n0JSyg5yx</t>
  </si>
  <si>
    <t>https://drive.google.com/file/d/1EKNOG3yv_ecjpNFg0vukgT4n0JSyg5yx/view?usp=drivesdk</t>
  </si>
  <si>
    <t>1JjbvWKg-09GLNlPwXrAY6joWM7rYbll_</t>
  </si>
  <si>
    <t>https://drive.google.com/file/d/1JjbvWKg-09GLNlPwXrAY6joWM7rYbll_/view?usp=drivesdk</t>
  </si>
  <si>
    <t>ISABELLA THERESIANA ASBANU, S.P.</t>
  </si>
  <si>
    <t>theresianaasbanu0108@gmail.com</t>
  </si>
  <si>
    <t>248</t>
  </si>
  <si>
    <t>https://drive.google.com/file/d/1WNThO5kD7TbTJaLBs4r98K0jM0q7p0fy/view?usp=drivesdk</t>
  </si>
  <si>
    <t>1WNThO5kD7TbTJaLBs4r98K0jM0q7p0fy</t>
  </si>
  <si>
    <t>1C-oyyHZsNIHu2eSnxrFHU7FTY6nY2_6f</t>
  </si>
  <si>
    <t>https://drive.google.com/file/d/1C-oyyHZsNIHu2eSnxrFHU7FTY6nY2_6f/view?usp=drivesdk</t>
  </si>
  <si>
    <t>1xcUFZ5ViwM7V7IK9WrTlUg43Uy7p_mdq</t>
  </si>
  <si>
    <t>https://drive.google.com/file/d/1xcUFZ5ViwM7V7IK9WrTlUg43Uy7p_mdq/view?usp=drivesdk</t>
  </si>
  <si>
    <t>INA AGUSTINA, SE</t>
  </si>
  <si>
    <t>agustinaina475@gmail.com</t>
  </si>
  <si>
    <t>249</t>
  </si>
  <si>
    <t>https://drive.google.com/file/d/1l9SMikWFE-fAKwbQSHDxvPZb0Rdrrmy7/view?usp=drivesdk</t>
  </si>
  <si>
    <t>1l9SMikWFE-fAKwbQSHDxvPZb0Rdrrmy7</t>
  </si>
  <si>
    <t>1VuAVcWkAbktYZdS0363lP-pf6pfoSxMa</t>
  </si>
  <si>
    <t>https://drive.google.com/file/d/1VuAVcWkAbktYZdS0363lP-pf6pfoSxMa/view?usp=drivesdk</t>
  </si>
  <si>
    <t>1xZK5Ofg4vmeVSN3kN1fWcEQfu0w9M1TH</t>
  </si>
  <si>
    <t>https://drive.google.com/file/d/1xZK5Ofg4vmeVSN3kN1fWcEQfu0w9M1TH/view?usp=drivesdk</t>
  </si>
  <si>
    <t>Document successfully created; Document successfully merged; PDF created; !!Error Sending Emails: Service invoked too many times for one day: email.; Manually run by ecertificate75@gmail.com; Timestamp: Aug 31 2024 5:17 AM</t>
  </si>
  <si>
    <t>PENGTU NUNUNG ATIKAH</t>
  </si>
  <si>
    <t>atikahnunung6@gmail.com</t>
  </si>
  <si>
    <t>250</t>
  </si>
  <si>
    <t>https://drive.google.com/file/d/1YEmxJcG4X3bypw3lell1PcgrZ0l1tZ34/view?usp=drivesdk</t>
  </si>
  <si>
    <t>1YEmxJcG4X3bypw3lell1PcgrZ0l1tZ34</t>
  </si>
  <si>
    <t>1Hv2xMUqekfRu_DLtJXktP44puuIinogX</t>
  </si>
  <si>
    <t>https://drive.google.com/file/d/1Hv2xMUqekfRu_DLtJXktP44puuIinogX/view?usp=drivesdk</t>
  </si>
  <si>
    <t>1iHIgp5HMvQL8ghBiB2KuysExKJ3Q0bxT</t>
  </si>
  <si>
    <t>https://drive.google.com/file/d/1iHIgp5HMvQL8ghBiB2KuysExKJ3Q0bxT/view?usp=drivesdk</t>
  </si>
  <si>
    <t>RIDWAN HERMAWAN SUKANDAR S.KEP</t>
  </si>
  <si>
    <t>ismiridwan7@gmail.com</t>
  </si>
  <si>
    <t>251</t>
  </si>
  <si>
    <t>https://drive.google.com/file/d/1OaMlnX4acmIXK9oWXG-vQZ4-ax6aHBso/view?usp=drivesdk</t>
  </si>
  <si>
    <t>1OaMlnX4acmIXK9oWXG-vQZ4-ax6aHBso</t>
  </si>
  <si>
    <t>1uiRuKRkbszZbjgz1xAnv7KuOmBAPWEBD</t>
  </si>
  <si>
    <t>https://drive.google.com/file/d/1uiRuKRkbszZbjgz1xAnv7KuOmBAPWEBD/view?usp=drivesdk</t>
  </si>
  <si>
    <t>1uhSB1TSo_3JQfOstLmQNOIMelw54_nFp</t>
  </si>
  <si>
    <t>https://drive.google.com/file/d/1uhSB1TSo_3JQfOstLmQNOIMelw54_nFp/view?usp=drivesdk</t>
  </si>
  <si>
    <t>UDIN MAULUDIN</t>
  </si>
  <si>
    <t>mauludinudin76@gmail.com</t>
  </si>
  <si>
    <t>252</t>
  </si>
  <si>
    <t>https://drive.google.com/file/d/1q79gCfKTd6MA2An9Bh6FuKQBub2rRNZq/view?usp=drivesdk</t>
  </si>
  <si>
    <t>1q79gCfKTd6MA2An9Bh6FuKQBub2rRNZq</t>
  </si>
  <si>
    <t>1m7uLFe7xCwM8hxBLWJaV5d0iGwEBXAw4</t>
  </si>
  <si>
    <t>https://drive.google.com/file/d/1m7uLFe7xCwM8hxBLWJaV5d0iGwEBXAw4/view?usp=drivesdk</t>
  </si>
  <si>
    <t>1OrXG52IX87eOPzhUtxN3sPHemtM4cEEU</t>
  </si>
  <si>
    <t>https://drive.google.com/file/d/1OrXG52IX87eOPzhUtxN3sPHemtM4cEEU/view?usp=drivesdk</t>
  </si>
  <si>
    <t>ANDRI SETIAWAN.,S.PD.I.,CPHR.,CHRA.</t>
  </si>
  <si>
    <t>setiawanandri443@yahoo.co.id</t>
  </si>
  <si>
    <t>253</t>
  </si>
  <si>
    <t>https://drive.google.com/file/d/14f6tyId9mikOYFuPsHzzl36wuVUgTWZx/view?usp=drivesdk</t>
  </si>
  <si>
    <t>14f6tyId9mikOYFuPsHzzl36wuVUgTWZx</t>
  </si>
  <si>
    <t>1zaeI4En_TVXk6FONzpJNSbSKoGroSp4B</t>
  </si>
  <si>
    <t>https://drive.google.com/file/d/1zaeI4En_TVXk6FONzpJNSbSKoGroSp4B/view?usp=drivesdk</t>
  </si>
  <si>
    <t>13DliNSPXsHEUFVagmUlz15LOSEx-7J8k</t>
  </si>
  <si>
    <t>https://drive.google.com/file/d/13DliNSPXsHEUFVagmUlz15LOSEx-7J8k/view?usp=drivesdk</t>
  </si>
  <si>
    <t>IIN SUWARTIIIII</t>
  </si>
  <si>
    <t>cewemisterius2809@gmail.com</t>
  </si>
  <si>
    <t>254</t>
  </si>
  <si>
    <t>https://drive.google.com/file/d/1bYgSu8WES6Puw21eUnlxKQtRmTJf2NGb/view?usp=drivesdk</t>
  </si>
  <si>
    <t>1bYgSu8WES6Puw21eUnlxKQtRmTJf2NGb</t>
  </si>
  <si>
    <t>1cvEt8Ou3Rw8KBmgktW2fKlr48TGaXrWw</t>
  </si>
  <si>
    <t>https://drive.google.com/file/d/1cvEt8Ou3Rw8KBmgktW2fKlr48TGaXrWw/view?usp=drivesdk</t>
  </si>
  <si>
    <t>1WU759MDb36KJHy5sKLZSSwSCIPe9xs5w</t>
  </si>
  <si>
    <t>https://drive.google.com/file/d/1WU759MDb36KJHy5sKLZSSwSCIPe9xs5w/view?usp=drivesdk</t>
  </si>
  <si>
    <t>DEWI TRIYANA, A.Md.Keb</t>
  </si>
  <si>
    <t>triyanadewi86@gmail.com</t>
  </si>
  <si>
    <t>255</t>
  </si>
  <si>
    <t>https://drive.google.com/file/d/1TVLHzm2AwCUxDhiiWH56_9dZ-QoccrzN/view?usp=drivesdk</t>
  </si>
  <si>
    <t>1TVLHzm2AwCUxDhiiWH56_9dZ-QoccrzN</t>
  </si>
  <si>
    <t>1Sk4-ExFLsRWkspyfDBOaGAu1qsK2H-kI</t>
  </si>
  <si>
    <t>https://drive.google.com/file/d/1Sk4-ExFLsRWkspyfDBOaGAu1qsK2H-kI/view?usp=drivesdk</t>
  </si>
  <si>
    <t>13APWEW4kk3V7b34KO3HQKyiYUw3cQlh2</t>
  </si>
  <si>
    <t>https://drive.google.com/file/d/13APWEW4kk3V7b34KO3HQKyiYUw3cQlh2/view?usp=drivesdk</t>
  </si>
  <si>
    <t>ANITA WURI HANDAYANI, S.E., M.M.</t>
  </si>
  <si>
    <t>anitawuhan.awh@gmail.com</t>
  </si>
  <si>
    <t>256</t>
  </si>
  <si>
    <t>https://drive.google.com/file/d/1ddQxMcb1oIgXPnk1k_fddZ_s-HqL-bF6/view?usp=drivesdk</t>
  </si>
  <si>
    <t>1ddQxMcb1oIgXPnk1k_fddZ_s-HqL-bF6</t>
  </si>
  <si>
    <t>1Xq83ZE3YnK55Amx8RrSC_Qq6xeJn5KXS</t>
  </si>
  <si>
    <t>https://drive.google.com/file/d/1Xq83ZE3YnK55Amx8RrSC_Qq6xeJn5KXS/view?usp=drivesdk</t>
  </si>
  <si>
    <t>1GCHh_Jv2zfaLL-FOuSjfspTXrA12pTCo</t>
  </si>
  <si>
    <t>https://drive.google.com/file/d/1GCHh_Jv2zfaLL-FOuSjfspTXrA12pTCo/view?usp=drivesdk</t>
  </si>
  <si>
    <t>Document successfully created; Document successfully merged; PDF created; !!Error Sending Emails: Service invoked too many times for one day: email.; Manually run by ecertificate75@gmail.com; Timestamp: Aug 31 2024 5:18 AM</t>
  </si>
  <si>
    <t>SEPTINA FITRIYA</t>
  </si>
  <si>
    <t>Septinafitriya03@gmail.com</t>
  </si>
  <si>
    <t>257</t>
  </si>
  <si>
    <t>https://drive.google.com/file/d/1t2ZCPpZJh3rN3RDs5GP31nqHEQKM-vbN/view?usp=drivesdk</t>
  </si>
  <si>
    <t>1t2ZCPpZJh3rN3RDs5GP31nqHEQKM-vbN</t>
  </si>
  <si>
    <t>19V3tjQUSxVL2ivGW93iaYzxc-3WW1KtW</t>
  </si>
  <si>
    <t>https://drive.google.com/file/d/19V3tjQUSxVL2ivGW93iaYzxc-3WW1KtW/view?usp=drivesdk</t>
  </si>
  <si>
    <t>1bJJ5SAwAYtq25baq-1votoxWAFsUYFOa</t>
  </si>
  <si>
    <t>https://drive.google.com/file/d/1bJJ5SAwAYtq25baq-1votoxWAFsUYFOa/view?usp=drivesdk</t>
  </si>
  <si>
    <t>ROI HADI HAMDANI,A.Md.Kep.</t>
  </si>
  <si>
    <t>roihadihamdani@gmail.com</t>
  </si>
  <si>
    <t>258</t>
  </si>
  <si>
    <t>https://drive.google.com/file/d/14tgErcSy2Kp19Y9HPhHQ68-2gvI39zlw/view?usp=drivesdk</t>
  </si>
  <si>
    <t>14tgErcSy2Kp19Y9HPhHQ68-2gvI39zlw</t>
  </si>
  <si>
    <t>1_3EGG8_CkOeK_80q9D6sZfSUesxM4QMs</t>
  </si>
  <si>
    <t>https://drive.google.com/file/d/1_3EGG8_CkOeK_80q9D6sZfSUesxM4QMs/view?usp=drivesdk</t>
  </si>
  <si>
    <t>1CeOVE0dMRIzAbE-V5j1eTOG3zu_NVpTD</t>
  </si>
  <si>
    <t>https://drive.google.com/file/d/1CeOVE0dMRIzAbE-V5j1eTOG3zu_NVpTD/view?usp=drivesdk</t>
  </si>
  <si>
    <t>HERLINA EFENDI.A.M.D</t>
  </si>
  <si>
    <t>linaaiwan123@gmail.com</t>
  </si>
  <si>
    <t>259</t>
  </si>
  <si>
    <t>https://drive.google.com/file/d/1xoP-Zw0jFRrmNsH1XJShPmLzxO701Epb/view?usp=drivesdk</t>
  </si>
  <si>
    <t>1xoP-Zw0jFRrmNsH1XJShPmLzxO701Epb</t>
  </si>
  <si>
    <t>19caDpYDw9P5L-t8yKGi7t8N515RZzvNW</t>
  </si>
  <si>
    <t>https://drive.google.com/file/d/19caDpYDw9P5L-t8yKGi7t8N515RZzvNW/view?usp=drivesdk</t>
  </si>
  <si>
    <t>1JxowHn4y2xMo8fh9w7HcZSAftTUoUY4y</t>
  </si>
  <si>
    <t>https://drive.google.com/file/d/1JxowHn4y2xMo8fh9w7HcZSAftTUoUY4y/view?usp=drivesdk</t>
  </si>
  <si>
    <t>DEASY RAHMA WATI</t>
  </si>
  <si>
    <t>deasyrahmawati9@gmail.com</t>
  </si>
  <si>
    <t>260</t>
  </si>
  <si>
    <t>https://drive.google.com/file/d/1I2RPjowRAlMT9jdvfxCIMJCwfBoC06zH/view?usp=drivesdk</t>
  </si>
  <si>
    <t>1I2RPjowRAlMT9jdvfxCIMJCwfBoC06zH</t>
  </si>
  <si>
    <t>1h8x8-3PSQj9jH0EmbRMbfFn_VIAz3APH</t>
  </si>
  <si>
    <t>https://drive.google.com/file/d/1h8x8-3PSQj9jH0EmbRMbfFn_VIAz3APH/view?usp=drivesdk</t>
  </si>
  <si>
    <t>1BzcJg8CGTDe9r1gqNvmkTfA_Y2X8f-9_</t>
  </si>
  <si>
    <t>https://drive.google.com/file/d/1BzcJg8CGTDe9r1gqNvmkTfA_Y2X8f-9_/view?usp=drivesdk</t>
  </si>
  <si>
    <t>ATEP SAEPUL ANWAR</t>
  </si>
  <si>
    <t>atepsaepulanwar@gmail.com</t>
  </si>
  <si>
    <t>261</t>
  </si>
  <si>
    <t>https://drive.google.com/file/d/1lUAhBoExJmIfysHTe_YHi_txk-sJDmcj/view?usp=drivesdk</t>
  </si>
  <si>
    <t>1lUAhBoExJmIfysHTe_YHi_txk-sJDmcj</t>
  </si>
  <si>
    <t>1YK0XOQwTYh2WN1qos7Mv29dP5hL8PqwX</t>
  </si>
  <si>
    <t>https://drive.google.com/file/d/1YK0XOQwTYh2WN1qos7Mv29dP5hL8PqwX/view?usp=drivesdk</t>
  </si>
  <si>
    <t>1QH4MhZcCkOmX7E44XDYlQIsIyxztDI8L</t>
  </si>
  <si>
    <t>https://drive.google.com/file/d/1QH4MhZcCkOmX7E44XDYlQIsIyxztDI8L/view?usp=drivesdk</t>
  </si>
  <si>
    <t>Document successfully created; Document successfully merged; PDF created; !!Error Sending Emails: Service invoked too many times for one day: email.; Manually run by ecertificate75@gmail.com; Timestamp: Aug 31 2024 5:19 AM</t>
  </si>
  <si>
    <t>MISLANI ROHIMAWATI</t>
  </si>
  <si>
    <t>imamislan86@gmail.com</t>
  </si>
  <si>
    <t>262</t>
  </si>
  <si>
    <t>https://drive.google.com/file/d/1RNMJAbdBxjOm6VPIyaMNqBgOMW0kG9Tr/view?usp=drivesdk</t>
  </si>
  <si>
    <t>1RNMJAbdBxjOm6VPIyaMNqBgOMW0kG9Tr</t>
  </si>
  <si>
    <t>1yiqdjsowCqT6pNlUXeV7LXAFCF5hE425</t>
  </si>
  <si>
    <t>https://drive.google.com/file/d/1yiqdjsowCqT6pNlUXeV7LXAFCF5hE425/view?usp=drivesdk</t>
  </si>
  <si>
    <t>1OGI-cEQ8xwSXu41TsUJVyYrgtzHVIES1</t>
  </si>
  <si>
    <t>https://drive.google.com/file/d/1OGI-cEQ8xwSXu41TsUJVyYrgtzHVIES1/view?usp=drivesdk</t>
  </si>
  <si>
    <t>ERLINA HENDRIASTUTI</t>
  </si>
  <si>
    <t>hendriastuti81@gmail.com</t>
  </si>
  <si>
    <t>263</t>
  </si>
  <si>
    <t>https://drive.google.com/file/d/1nAEkqOKHz3XA_aWPWKWUqqWoi2H_WOd6/view?usp=drivesdk</t>
  </si>
  <si>
    <t>1nAEkqOKHz3XA_aWPWKWUqqWoi2H_WOd6</t>
  </si>
  <si>
    <t>1TFvK5atqUaA50nXDilN4ivizsh1sfS6X</t>
  </si>
  <si>
    <t>https://drive.google.com/file/d/1TFvK5atqUaA50nXDilN4ivizsh1sfS6X/view?usp=drivesdk</t>
  </si>
  <si>
    <t>1RYwbJ5stno88YuFWDgjj7TXxeHvuiLrP</t>
  </si>
  <si>
    <t>https://drive.google.com/file/d/1RYwbJ5stno88YuFWDgjj7TXxeHvuiLrP/view?usp=drivesdk</t>
  </si>
  <si>
    <t>DWI NOVI ANDRIYANTO,S. Kep. Ners</t>
  </si>
  <si>
    <t>dwinoviandriyanto@gmail.com</t>
  </si>
  <si>
    <t>264</t>
  </si>
  <si>
    <t>https://drive.google.com/file/d/14rzJ3XL7i1w2-0OEFI0r1mXnnN-4zYhj/view?usp=drivesdk</t>
  </si>
  <si>
    <t>14rzJ3XL7i1w2-0OEFI0r1mXnnN-4zYhj</t>
  </si>
  <si>
    <t>1gFT5hQ5GZ4NQNHQ2bq32dg4MeCdGeHFx</t>
  </si>
  <si>
    <t>https://drive.google.com/file/d/1gFT5hQ5GZ4NQNHQ2bq32dg4MeCdGeHFx/view?usp=drivesdk</t>
  </si>
  <si>
    <t>1fCftjvs5bgt50Xnl6itetm1DdvshBpCC</t>
  </si>
  <si>
    <t>https://drive.google.com/file/d/1fCftjvs5bgt50Xnl6itetm1DdvshBpCC/view?usp=drivesdk</t>
  </si>
  <si>
    <t>DIAN RETNO HANDAYANI, S.H.</t>
  </si>
  <si>
    <t>dretnoyamto@gmail.com</t>
  </si>
  <si>
    <t>265</t>
  </si>
  <si>
    <t>https://drive.google.com/file/d/1UyW5gA8I1egPlewK9Nd6r7GfTY3K7YhX/view?usp=drivesdk</t>
  </si>
  <si>
    <t>1UyW5gA8I1egPlewK9Nd6r7GfTY3K7YhX</t>
  </si>
  <si>
    <t>1aMPMrAWAjeg4ySjqynGnr6RaohJ8PjlI</t>
  </si>
  <si>
    <t>https://drive.google.com/file/d/1aMPMrAWAjeg4ySjqynGnr6RaohJ8PjlI/view?usp=drivesdk</t>
  </si>
  <si>
    <t>1qeQRGla8E_sHJ3afzH6s7ElGul5h7Wgh</t>
  </si>
  <si>
    <t>https://drive.google.com/file/d/1qeQRGla8E_sHJ3afzH6s7ElGul5h7Wgh/view?usp=drivesdk</t>
  </si>
  <si>
    <t xml:space="preserve">EKO NOPRIANSYAH </t>
  </si>
  <si>
    <t>ekorara82@gmail.com</t>
  </si>
  <si>
    <t>266</t>
  </si>
  <si>
    <t>https://drive.google.com/file/d/1sRIkwl76uf_C9wpQ17RIWYqBm3a_s1S9/view?usp=drivesdk</t>
  </si>
  <si>
    <t>1sRIkwl76uf_C9wpQ17RIWYqBm3a_s1S9</t>
  </si>
  <si>
    <t>1cl_V3W026KKMme9XKt_S-Et7wfZz3jTT</t>
  </si>
  <si>
    <t>https://drive.google.com/file/d/1cl_V3W026KKMme9XKt_S-Et7wfZz3jTT/view?usp=drivesdk</t>
  </si>
  <si>
    <t>1mNg9E_Wiq1s7yhRkl6bHlSKQxn1wHhXN</t>
  </si>
  <si>
    <t>https://drive.google.com/file/d/1mNg9E_Wiq1s7yhRkl6bHlSKQxn1wHhXN/view?usp=drivesdk</t>
  </si>
  <si>
    <t>Document successfully created; Document successfully merged; PDF created; !!Error Sending Emails: Service invoked too many times for one day: email.; Manually run by ecertificate75@gmail.com; Timestamp: Aug 31 2024 5:20 AM</t>
  </si>
  <si>
    <t>ALIN NURHAFINI MAULANI</t>
  </si>
  <si>
    <t>alin.nm26@gmail.com</t>
  </si>
  <si>
    <t>267</t>
  </si>
  <si>
    <t>https://drive.google.com/file/d/1UsjuXoxsRSOEFdDyl2-qsuNnwAoxCbwi/view?usp=drivesdk</t>
  </si>
  <si>
    <t>1UsjuXoxsRSOEFdDyl2-qsuNnwAoxCbwi</t>
  </si>
  <si>
    <t>1VRl9D_a6eaEkiq_EgpNySyqM6tVTVUQv</t>
  </si>
  <si>
    <t>https://drive.google.com/file/d/1VRl9D_a6eaEkiq_EgpNySyqM6tVTVUQv/view?usp=drivesdk</t>
  </si>
  <si>
    <t>Document successfully created; Document successfully merged; PDF created; !!Error Sending Emails: Service invoked too many times for one day: email.; Manually run by ecertificate75@gmail.com; Timestamp: Aug 30 2024 9:52 PM</t>
  </si>
  <si>
    <t>1lEX0bObsZg7rhNJGPeXY0k499HeLWOrX</t>
  </si>
  <si>
    <t>https://drive.google.com/file/d/1lEX0bObsZg7rhNJGPeXY0k499HeLWOrX/view?usp=drivesdk</t>
  </si>
  <si>
    <t>PUTU WIWIK ASNAWATI. S.Ag., M.M.</t>
  </si>
  <si>
    <t>putuwiwik78@gmail.com</t>
  </si>
  <si>
    <t>268</t>
  </si>
  <si>
    <t>https://drive.google.com/file/d/1Y1JID9_F-zpO5UnmHUp91CNVBYoo6Cus/view?usp=drivesdk</t>
  </si>
  <si>
    <t>1Y1JID9_F-zpO5UnmHUp91CNVBYoo6Cus</t>
  </si>
  <si>
    <t>1kjRyu-DBBXYPGbfF3KHmhuqgMOEIBQMl</t>
  </si>
  <si>
    <t>https://drive.google.com/file/d/1kjRyu-DBBXYPGbfF3KHmhuqgMOEIBQMl/view?usp=drivesdk</t>
  </si>
  <si>
    <t>1F5UiG7oDtLkzvY7qUwD1ZdiLjm9Bxzi5</t>
  </si>
  <si>
    <t>https://drive.google.com/file/d/1F5UiG7oDtLkzvY7qUwD1ZdiLjm9Bxzi5/view?usp=drivesdk</t>
  </si>
  <si>
    <t>ASRIANI TODINGAN, AMK</t>
  </si>
  <si>
    <t>wirialdan82@gmail.com</t>
  </si>
  <si>
    <t>269</t>
  </si>
  <si>
    <t>https://drive.google.com/file/d/13yJkFMOfYyCdseA0QK8bOwTGvHzW7m1s/view?usp=drivesdk</t>
  </si>
  <si>
    <t>13yJkFMOfYyCdseA0QK8bOwTGvHzW7m1s</t>
  </si>
  <si>
    <t>1hJmQcAxxXlEqHhkGHt1uddf2jlaCCUGw</t>
  </si>
  <si>
    <t>https://drive.google.com/file/d/1hJmQcAxxXlEqHhkGHt1uddf2jlaCCUGw/view?usp=drivesdk</t>
  </si>
  <si>
    <t>1DeR1r45fe4dkigYzJwfSMIJLtAH9Mb1t</t>
  </si>
  <si>
    <t>https://drive.google.com/file/d/1DeR1r45fe4dkigYzJwfSMIJLtAH9Mb1t/view?usp=drivesdk</t>
  </si>
  <si>
    <t>AAI ALIT NANDYA EVAIRA, S.Psi</t>
  </si>
  <si>
    <t>nandyaevaira@gmail.com</t>
  </si>
  <si>
    <t>270</t>
  </si>
  <si>
    <t>https://drive.google.com/file/d/1BR9OUAwsYtVxJqdZr7e9HnYHXHr3mjtW/view?usp=drivesdk</t>
  </si>
  <si>
    <t>1BR9OUAwsYtVxJqdZr7e9HnYHXHr3mjtW</t>
  </si>
  <si>
    <t>1Ft0mHEcu3H0H49AsJYpOWfk10JjSxu-N</t>
  </si>
  <si>
    <t>https://drive.google.com/file/d/1Ft0mHEcu3H0H49AsJYpOWfk10JjSxu-N/view?usp=drivesdk</t>
  </si>
  <si>
    <t>15OhZp8fux2vXGpkHhhzw1IyEUdTzkkqm</t>
  </si>
  <si>
    <t>https://drive.google.com/file/d/15OhZp8fux2vXGpkHhhzw1IyEUdTzkkqm/view?usp=drivesdk</t>
  </si>
  <si>
    <t>ARYANTO ARIBOWO, S.T., M.MT.</t>
  </si>
  <si>
    <t>aryanto.aribowo@polri.go.id</t>
  </si>
  <si>
    <t>271</t>
  </si>
  <si>
    <t>https://drive.google.com/file/d/1e8u1W0KTc5_OLqfVE-fS6Ch6UN-VGMf0/view?usp=drivesdk</t>
  </si>
  <si>
    <t>1e8u1W0KTc5_OLqfVE-fS6Ch6UN-VGMf0</t>
  </si>
  <si>
    <t>13pwPh-6cW7XeqSwZphb-6tX_kYcauESg</t>
  </si>
  <si>
    <t>https://drive.google.com/file/d/13pwPh-6cW7XeqSwZphb-6tX_kYcauESg/view?usp=drivesdk</t>
  </si>
  <si>
    <t>14A0OT4fxRvS-horh80VdMEmkC5qs46So</t>
  </si>
  <si>
    <t>https://drive.google.com/file/d/14A0OT4fxRvS-horh80VdMEmkC5qs46So/view?usp=drivesdk</t>
  </si>
  <si>
    <t>Document successfully created; Document successfully merged; PDF created; !!Error Sending Emails: Service invoked too many times for one day: email.; Manually run by ecertificate75@gmail.com; Timestamp: Aug 31 2024 5:21 AM</t>
  </si>
  <si>
    <t>ELPIDAWATI SIREGAR</t>
  </si>
  <si>
    <t>elpidawatitravel@gmail.com</t>
  </si>
  <si>
    <t>272</t>
  </si>
  <si>
    <t>https://drive.google.com/file/d/1gKduw8UpdXiFn3llVU58Wl1rUTHSdMTf/view?usp=drivesdk</t>
  </si>
  <si>
    <t>1gKduw8UpdXiFn3llVU58Wl1rUTHSdMTf</t>
  </si>
  <si>
    <t>1ya6zhKD67LqM7jEpYxkDAxm-wUlfArLn</t>
  </si>
  <si>
    <t>https://drive.google.com/file/d/1ya6zhKD67LqM7jEpYxkDAxm-wUlfArLn/view?usp=drivesdk</t>
  </si>
  <si>
    <t>1GSeA5zbvBx_iJDqvoYmYAtVK21rpcozf</t>
  </si>
  <si>
    <t>https://drive.google.com/file/d/1GSeA5zbvBx_iJDqvoYmYAtVK21rpcozf/view?usp=drivesdk</t>
  </si>
  <si>
    <t>NANI SUHARTINI</t>
  </si>
  <si>
    <t>nursemay83@yahoo.com</t>
  </si>
  <si>
    <t>273</t>
  </si>
  <si>
    <t>https://drive.google.com/file/d/1-VGCD3Z0eZZqHcQBDUhaRVxN7TPaeBL2/view?usp=drivesdk</t>
  </si>
  <si>
    <t>1-VGCD3Z0eZZqHcQBDUhaRVxN7TPaeBL2</t>
  </si>
  <si>
    <t>1ZAdi1GAVWIzw92SXNg3Q5em-m0A7Lu95</t>
  </si>
  <si>
    <t>https://drive.google.com/file/d/1ZAdi1GAVWIzw92SXNg3Q5em-m0A7Lu95/view?usp=drivesdk</t>
  </si>
  <si>
    <t>Document successfully created; Document successfully merged; PDF created; !!Error Sending Emails: Service invoked too many times for one day: email.; Manually run by ecertificate75@gmail.com; Timestamp: Aug 30 2024 9:53 PM</t>
  </si>
  <si>
    <t>12Nd6-WF2ugbdG_NWQgFxjllH2ym_E6P_</t>
  </si>
  <si>
    <t>https://drive.google.com/file/d/12Nd6-WF2ugbdG_NWQgFxjllH2ym_E6P_/view?usp=drivesdk</t>
  </si>
  <si>
    <t>WINDA LESTARI, A.Md.Keb</t>
  </si>
  <si>
    <t>winda.rakhaputra1122@gmail.com</t>
  </si>
  <si>
    <t>274</t>
  </si>
  <si>
    <t>https://drive.google.com/file/d/1RmZrod5_So-DIyjm0njyD9TIyY24Oo_e/view?usp=drivesdk</t>
  </si>
  <si>
    <t>1RmZrod5_So-DIyjm0njyD9TIyY24Oo_e</t>
  </si>
  <si>
    <t>10JRhgTiUfQCjzUhZBiAIupIdsUKtGob5</t>
  </si>
  <si>
    <t>https://drive.google.com/file/d/10JRhgTiUfQCjzUhZBiAIupIdsUKtGob5/view?usp=drivesdk</t>
  </si>
  <si>
    <t>1A-E8IdMyXUVo2wwVlRw5jhOB37VVMef3</t>
  </si>
  <si>
    <t>https://drive.google.com/file/d/1A-E8IdMyXUVo2wwVlRw5jhOB37VVMef3/view?usp=drivesdk</t>
  </si>
  <si>
    <t>PENGATUR TK. I TETI SUHERTI</t>
  </si>
  <si>
    <t>tsuherti4@gmail.com</t>
  </si>
  <si>
    <t>275</t>
  </si>
  <si>
    <t>https://drive.google.com/file/d/1h3PflVtOtZCe2z4_ioh6MKeFqeEYk24Y/view?usp=drivesdk</t>
  </si>
  <si>
    <t>1h3PflVtOtZCe2z4_ioh6MKeFqeEYk24Y</t>
  </si>
  <si>
    <t>1RXPHrgHGLTlS7VCphFIep-pWQexJj1wB</t>
  </si>
  <si>
    <t>https://drive.google.com/file/d/1RXPHrgHGLTlS7VCphFIep-pWQexJj1wB/view?usp=drivesdk</t>
  </si>
  <si>
    <t>1WOBdCj__lPBxfzndvWYDjFc6pc3m-ifA</t>
  </si>
  <si>
    <t>https://drive.google.com/file/d/1WOBdCj__lPBxfzndvWYDjFc6pc3m-ifA/view?usp=drivesdk</t>
  </si>
  <si>
    <t>PENATA LAILA MURAD</t>
  </si>
  <si>
    <t>laila.faskon@gmail.com</t>
  </si>
  <si>
    <t>276</t>
  </si>
  <si>
    <t>https://drive.google.com/file/d/1BWvnV9G-43fF7u-v-2RbFwxcpHcaLd2-/view?usp=drivesdk</t>
  </si>
  <si>
    <t>1BWvnV9G-43fF7u-v-2RbFwxcpHcaLd2-</t>
  </si>
  <si>
    <t>1mnqiOU3UVZj2Q00-dhY9p_iQT3M4AOEY</t>
  </si>
  <si>
    <t>https://drive.google.com/file/d/1mnqiOU3UVZj2Q00-dhY9p_iQT3M4AOEY/view?usp=drivesdk</t>
  </si>
  <si>
    <t>1TZw3zMkk--28o1Ez1kZpKAi6ZgNq4jsa</t>
  </si>
  <si>
    <t>https://drive.google.com/file/d/1TZw3zMkk--28o1Ez1kZpKAi6ZgNq4jsa/view?usp=drivesdk</t>
  </si>
  <si>
    <t>dr. KRISTANTI ANDARINI</t>
  </si>
  <si>
    <t>dr.thanty@yahoo.com</t>
  </si>
  <si>
    <t>277</t>
  </si>
  <si>
    <t>https://drive.google.com/file/d/1bPAeuzG0lDL7XF71AjeWxnf_yyd1OUvl/view?usp=drivesdk</t>
  </si>
  <si>
    <t>1bPAeuzG0lDL7XF71AjeWxnf_yyd1OUvl</t>
  </si>
  <si>
    <t>1BjIEDkWej-V_ExRCKvcypTyFfEYLPcp2</t>
  </si>
  <si>
    <t>https://drive.google.com/file/d/1BjIEDkWej-V_ExRCKvcypTyFfEYLPcp2/view?usp=drivesdk</t>
  </si>
  <si>
    <t>1a6YAw5ZnS_qEOEv8uQ28UftPArnkxL54</t>
  </si>
  <si>
    <t>https://drive.google.com/file/d/1a6YAw5ZnS_qEOEv8uQ28UftPArnkxL54/view?usp=drivesdk</t>
  </si>
  <si>
    <t>Document successfully created; Document successfully merged; PDF created; !!Error Sending Emails: Service invoked too many times for one day: email.; Manually run by ecertificate75@gmail.com; Timestamp: Aug 31 2024 5:22 AM</t>
  </si>
  <si>
    <t>TJUTJU KOMALAWATI</t>
  </si>
  <si>
    <t>tjurju.komalawatu@gmai.com</t>
  </si>
  <si>
    <t>278</t>
  </si>
  <si>
    <t>https://drive.google.com/file/d/1sseu6azWRvPqysk7HlGAJaX5ow5GO4sF/view?usp=drivesdk</t>
  </si>
  <si>
    <t>1sseu6azWRvPqysk7HlGAJaX5ow5GO4sF</t>
  </si>
  <si>
    <t>1XFm6E8dL_PUMlWhsMvaqjcdZK92IfIMs</t>
  </si>
  <si>
    <t>https://drive.google.com/file/d/1XFm6E8dL_PUMlWhsMvaqjcdZK92IfIMs/view?usp=drivesdk</t>
  </si>
  <si>
    <t>17gSR2aynisT3bOnHFcjBMB1qHAVT4_Wk</t>
  </si>
  <si>
    <t>https://drive.google.com/file/d/17gSR2aynisT3bOnHFcjBMB1qHAVT4_Wk/view?usp=drivesdk</t>
  </si>
  <si>
    <t>IIN ASTRI WAKANG,S.E.</t>
  </si>
  <si>
    <t>astribackoffice@gmail.com</t>
  </si>
  <si>
    <t>279</t>
  </si>
  <si>
    <t>https://drive.google.com/file/d/1j0cEKTY28KJPav0yX6uc2S3pxqZ6Uzgv/view?usp=drivesdk</t>
  </si>
  <si>
    <t>1j0cEKTY28KJPav0yX6uc2S3pxqZ6Uzgv</t>
  </si>
  <si>
    <t>17kioKYkH286gZnoeRKUEvCrOZwdt3djP</t>
  </si>
  <si>
    <t>https://drive.google.com/file/d/17kioKYkH286gZnoeRKUEvCrOZwdt3djP/view?usp=drivesdk</t>
  </si>
  <si>
    <t>1Aa12nDQb0s9i0VlPD9nCiarOCRq3qGoa</t>
  </si>
  <si>
    <t>https://drive.google.com/file/d/1Aa12nDQb0s9i0VlPD9nCiarOCRq3qGoa/view?usp=drivesdk</t>
  </si>
  <si>
    <t>NI MADE RATIH PURWANTINI,A.Md.Kep</t>
  </si>
  <si>
    <t>nimaderatih@gmail.com</t>
  </si>
  <si>
    <t>280</t>
  </si>
  <si>
    <t>https://drive.google.com/file/d/1uTK7ijK36hgYhTQ0MAha7NfMWhFDLhTt/view?usp=drivesdk</t>
  </si>
  <si>
    <t>1uTK7ijK36hgYhTQ0MAha7NfMWhFDLhTt</t>
  </si>
  <si>
    <t>1FCRmHb06Twh11vmYH54tsf55hhnTmd_V</t>
  </si>
  <si>
    <t>https://drive.google.com/file/d/1FCRmHb06Twh11vmYH54tsf55hhnTmd_V/view?usp=drivesdk</t>
  </si>
  <si>
    <t>Document successfully created; Document successfully merged; PDF created; !!Error Sending Emails: Service invoked too many times for one day: email.; Manually run by ecertificate75@gmail.com; Timestamp: Aug 30 2024 9:54 PM</t>
  </si>
  <si>
    <t>1s11AhZybElVahcHoZH-RxtGgbOYxOR-3</t>
  </si>
  <si>
    <t>https://drive.google.com/file/d/1s11AhZybElVahcHoZH-RxtGgbOYxOR-3/view?usp=drivesdk</t>
  </si>
  <si>
    <t>NI LUH PINA FARIDA, A. Md. Keb</t>
  </si>
  <si>
    <t>pinafarida90@gmail.com</t>
  </si>
  <si>
    <t>281</t>
  </si>
  <si>
    <t>https://drive.google.com/file/d/1BT8-yq2z5B91VeVyXCLqDd8APx_0MPTR/view?usp=drivesdk</t>
  </si>
  <si>
    <t>1BT8-yq2z5B91VeVyXCLqDd8APx_0MPTR</t>
  </si>
  <si>
    <t>1oX5DaUhGPqx7kukGxNcAgz1lsjfv2ata</t>
  </si>
  <si>
    <t>https://drive.google.com/file/d/1oX5DaUhGPqx7kukGxNcAgz1lsjfv2ata/view?usp=drivesdk</t>
  </si>
  <si>
    <t>17Nesmyp8DRKpUTTej0OpQBk4AoM8d4uv</t>
  </si>
  <si>
    <t>https://drive.google.com/file/d/17Nesmyp8DRKpUTTej0OpQBk4AoM8d4uv/view?usp=drivesdk</t>
  </si>
  <si>
    <t>MUHAMMAD HARMEN ALKAHFI, S.KOM</t>
  </si>
  <si>
    <t>harmenalkahfi88@gmail.com</t>
  </si>
  <si>
    <t>282</t>
  </si>
  <si>
    <t>https://drive.google.com/file/d/1MjhGgLTxmpI6UOCFmtlhbhfVFOG3IMND/view?usp=drivesdk</t>
  </si>
  <si>
    <t>1MjhGgLTxmpI6UOCFmtlhbhfVFOG3IMND</t>
  </si>
  <si>
    <t>1ku66smXhzus6nCgw5ajf2LjRlvEKrgHG</t>
  </si>
  <si>
    <t>https://drive.google.com/file/d/1ku66smXhzus6nCgw5ajf2LjRlvEKrgHG/view?usp=drivesdk</t>
  </si>
  <si>
    <t>1sple4OJC-TKzze9q4KvP7m5HrJZVucmG</t>
  </si>
  <si>
    <t>https://drive.google.com/file/d/1sple4OJC-TKzze9q4KvP7m5HrJZVucmG/view?usp=drivesdk</t>
  </si>
  <si>
    <t>Document successfully created; Document successfully merged; PDF created; !!Error Sending Emails: Service invoked too many times for one day: email.; Manually run by ecertificate75@gmail.com; Timestamp: Aug 31 2024 5:23 AM</t>
  </si>
  <si>
    <t>MUHAMAD RISAL</t>
  </si>
  <si>
    <t>risalrsb@gmail.com</t>
  </si>
  <si>
    <t>283</t>
  </si>
  <si>
    <t>https://drive.google.com/file/d/1Sqsq2--rDUa9uZwj69TEezOmLx-fguh7/view?usp=drivesdk</t>
  </si>
  <si>
    <t>1Sqsq2--rDUa9uZwj69TEezOmLx-fguh7</t>
  </si>
  <si>
    <t>1dwCc-IEWldjyFBwYtHkqZMg7VXPNvpcj</t>
  </si>
  <si>
    <t>https://drive.google.com/file/d/1dwCc-IEWldjyFBwYtHkqZMg7VXPNvpcj/view?usp=drivesdk</t>
  </si>
  <si>
    <t>1nOouBWzwK77yetiins6jP2LGcNfT8njI</t>
  </si>
  <si>
    <t>https://drive.google.com/file/d/1nOouBWzwK77yetiins6jP2LGcNfT8njI/view?usp=drivesdk</t>
  </si>
  <si>
    <t>NI PUTU RETNA RAHAYU</t>
  </si>
  <si>
    <t>retnarahayu1977@gmail.com</t>
  </si>
  <si>
    <t>284</t>
  </si>
  <si>
    <t>https://drive.google.com/file/d/1szFSQbVJLa_3nCrvwGA4RVKHw2_wfvf_/view?usp=drivesdk</t>
  </si>
  <si>
    <t>1szFSQbVJLa_3nCrvwGA4RVKHw2_wfvf_</t>
  </si>
  <si>
    <t>1kEwQnBt4MziL26Z3PfEt-K7uHIa5Feg9</t>
  </si>
  <si>
    <t>https://drive.google.com/file/d/1kEwQnBt4MziL26Z3PfEt-K7uHIa5Feg9/view?usp=drivesdk</t>
  </si>
  <si>
    <t>1kj5M3u69Y2VdXq9F-F_-WQqwv0ZqCRmL</t>
  </si>
  <si>
    <t>https://drive.google.com/file/d/1kj5M3u69Y2VdXq9F-F_-WQqwv0ZqCRmL/view?usp=drivesdk</t>
  </si>
  <si>
    <t>POLDA BENGKULU</t>
  </si>
  <si>
    <t>EVI NURHIDAYATI</t>
  </si>
  <si>
    <t>evi.indra060903@gmail.com</t>
  </si>
  <si>
    <t>285</t>
  </si>
  <si>
    <t>https://drive.google.com/file/d/12D8-m-dWMjTasa6PoE4miqrs_fsS1hCz/view?usp=drivesdk</t>
  </si>
  <si>
    <t>12D8-m-dWMjTasa6PoE4miqrs_fsS1hCz</t>
  </si>
  <si>
    <t>1TIySWwLc6GVEatviihDJPuM8uKtnDpk_</t>
  </si>
  <si>
    <t>https://drive.google.com/file/d/1TIySWwLc6GVEatviihDJPuM8uKtnDpk_/view?usp=drivesdk</t>
  </si>
  <si>
    <t>Document successfully created; Document successfully merged; PDF created; !!Error Sending Emails: Service invoked too many times for one day: email.; Manually run by ecertificate75@gmail.com; Timestamp: Aug 30 2024 9:55 PM</t>
  </si>
  <si>
    <t>1ePht3iTD4lAbUDQRuDsm1sFk35xlrVH6</t>
  </si>
  <si>
    <t>https://drive.google.com/file/d/1ePht3iTD4lAbUDQRuDsm1sFk35xlrVH6/view?usp=drivesdk</t>
  </si>
  <si>
    <t>PENGATUR SUHERMANTO</t>
  </si>
  <si>
    <t>suhermanto.giwu@gmail.com</t>
  </si>
  <si>
    <t>286</t>
  </si>
  <si>
    <t>https://drive.google.com/file/d/1Ytv7VXFoO9-pf-he2GJO-YPL9SiCHIzz/view?usp=drivesdk</t>
  </si>
  <si>
    <t>1Ytv7VXFoO9-pf-he2GJO-YPL9SiCHIzz</t>
  </si>
  <si>
    <t>1NKDokhMhtivR0ULgbxhcyiyJv898dLlW</t>
  </si>
  <si>
    <t>https://drive.google.com/file/d/1NKDokhMhtivR0ULgbxhcyiyJv898dLlW/view?usp=drivesdk</t>
  </si>
  <si>
    <t>1e4Nkg2gGW9Ep49cZh5nUK2dVDNNNwXEv</t>
  </si>
  <si>
    <t>https://drive.google.com/file/d/1e4Nkg2gGW9Ep49cZh5nUK2dVDNNNwXEv/view?usp=drivesdk</t>
  </si>
  <si>
    <t>LALU SIRHU ATMA, A.Md</t>
  </si>
  <si>
    <t>staratma@gmail.com</t>
  </si>
  <si>
    <t>287</t>
  </si>
  <si>
    <t>Starting at Thu Aug 29 2024 20:36:54 GMT-0400 (EDT)</t>
  </si>
  <si>
    <t>1c1BRo8cy_yTwgb2Ui0MGWYZBOIW2C-oG</t>
  </si>
  <si>
    <t>https://drive.google.com/file/d/1c1BRo8cy_yTwgb2Ui0MGWYZBOIW2C-oG/view?usp=drivesdk</t>
  </si>
  <si>
    <t>1rKJe4YVoKJnycng8lTPdZygJIAyM4RmT</t>
  </si>
  <si>
    <t>https://drive.google.com/file/d/1rKJe4YVoKJnycng8lTPdZygJIAyM4RmT/view?usp=drivesdk</t>
  </si>
  <si>
    <t xml:space="preserve">ATIH GUSTIANA </t>
  </si>
  <si>
    <t>atihciko@gmail.com</t>
  </si>
  <si>
    <t>288</t>
  </si>
  <si>
    <t>1WXNM49IXMlPWYJZs5CmQU8huDnHqVFnW</t>
  </si>
  <si>
    <t>https://drive.google.com/file/d/1WXNM49IXMlPWYJZs5CmQU8huDnHqVFnW/view?usp=drivesdk</t>
  </si>
  <si>
    <t>13iaN-2BagqxO6RITq7ANQ-O5BHsymjU8</t>
  </si>
  <si>
    <t>https://drive.google.com/file/d/13iaN-2BagqxO6RITq7ANQ-O5BHsymjU8/view?usp=drivesdk</t>
  </si>
  <si>
    <t>TRI HANDAYANI</t>
  </si>
  <si>
    <t>tri.handayani690@gmail.com</t>
  </si>
  <si>
    <t>289</t>
  </si>
  <si>
    <t>https://drive.google.com/file/d/1QIr3OhIaLz0qXPdB3lBnKHWfFelsqXCn/view?usp=drivesdk</t>
  </si>
  <si>
    <t>1QIr3OhIaLz0qXPdB3lBnKHWfFelsqXCn</t>
  </si>
  <si>
    <t>1Jq1MTedcJhYfJaY-6NeWn3EynV8pmmW9</t>
  </si>
  <si>
    <t>https://drive.google.com/file/d/1Jq1MTedcJhYfJaY-6NeWn3EynV8pmmW9/view?usp=drivesdk</t>
  </si>
  <si>
    <t>1v8YtNYrky1d222ZaFnAv7RV1TGZY3nRJ</t>
  </si>
  <si>
    <t>https://drive.google.com/file/d/1v8YtNYrky1d222ZaFnAv7RV1TGZY3nRJ/view?usp=drivesdk</t>
  </si>
  <si>
    <t>Document successfully created; Document successfully merged; PDF created; !!Error Sending Emails: Service invoked too many times for one day: email.; Manually run by ecertificate75@gmail.com; Timestamp: Aug 31 2024 5:24 AM</t>
  </si>
  <si>
    <t>FIRMAN PERDANA PUTRA, ST</t>
  </si>
  <si>
    <t>firmanperdanaputra@gmail.com</t>
  </si>
  <si>
    <t>290</t>
  </si>
  <si>
    <t>https://drive.google.com/file/d/1aBmcAY5EPzKRwcLCtlj71aU_uoMuqea1/view?usp=drivesdk</t>
  </si>
  <si>
    <t>1aBmcAY5EPzKRwcLCtlj71aU_uoMuqea1</t>
  </si>
  <si>
    <t>1-jYnd8-jN0C1GdG-mkU3vXn0J1qiVX5-</t>
  </si>
  <si>
    <t>https://drive.google.com/file/d/1-jYnd8-jN0C1GdG-mkU3vXn0J1qiVX5-/view?usp=drivesdk</t>
  </si>
  <si>
    <t>Document successfully created; Document successfully merged; PDF created; !!Error Sending Emails: Service invoked too many times for one day: email.; Manually run by ecertificate75@gmail.com; Timestamp: Aug 30 2024 9:56 PM</t>
  </si>
  <si>
    <t>10yZspCBTCjVujB1_OzajJYAtfOdCOXDt</t>
  </si>
  <si>
    <t>https://drive.google.com/file/d/10yZspCBTCjVujB1_OzajJYAtfOdCOXDt/view?usp=drivesdk</t>
  </si>
  <si>
    <t>PENGATUR TARSONO, S.KOM</t>
  </si>
  <si>
    <t>anotharsono.at@gmail.com</t>
  </si>
  <si>
    <t>291</t>
  </si>
  <si>
    <t>https://drive.google.com/file/d/1M10mqrvHIxJsOrjLwH5PQcHsdVY7rEkL/view?usp=drivesdk</t>
  </si>
  <si>
    <t>1M10mqrvHIxJsOrjLwH5PQcHsdVY7rEkL</t>
  </si>
  <si>
    <t>13aDLMPG52PRCBNkGVbnNfxJsVNxUN35I</t>
  </si>
  <si>
    <t>https://drive.google.com/file/d/13aDLMPG52PRCBNkGVbnNfxJsVNxUN35I/view?usp=drivesdk</t>
  </si>
  <si>
    <t>12-7jID-xVGMvFgmquB3Ar9DGFnqh2MCL</t>
  </si>
  <si>
    <t>https://drive.google.com/file/d/12-7jID-xVGMvFgmquB3Ar9DGFnqh2MCL/view?usp=drivesdk</t>
  </si>
  <si>
    <t xml:space="preserve">ENDANG PRIYATNA </t>
  </si>
  <si>
    <t>priyatna1971@gmail.com</t>
  </si>
  <si>
    <t>292</t>
  </si>
  <si>
    <t>https://drive.google.com/file/d/18aOB3x0L8p-52TmfdYSCyOMIdl5xoQY9/view?usp=drivesdk</t>
  </si>
  <si>
    <t>18aOB3x0L8p-52TmfdYSCyOMIdl5xoQY9</t>
  </si>
  <si>
    <t>1hkmqHwfnT2laMuDwAph2NjlVkNYOUD94</t>
  </si>
  <si>
    <t>https://drive.google.com/file/d/1hkmqHwfnT2laMuDwAph2NjlVkNYOUD94/view?usp=drivesdk</t>
  </si>
  <si>
    <t>1e8speoED2XKkeHqN1gO81N7YylBlwZJu</t>
  </si>
  <si>
    <t>https://drive.google.com/file/d/1e8speoED2XKkeHqN1gO81N7YylBlwZJu/view?usp=drivesdk</t>
  </si>
  <si>
    <t xml:space="preserve">ENY PRATIMURDIYANTI </t>
  </si>
  <si>
    <t>eny.dian.39@gmail.com</t>
  </si>
  <si>
    <t>293</t>
  </si>
  <si>
    <t>https://drive.google.com/file/d/1jA2SSWA8GpqG-B3uLeIweu9uxD6ROfsy/view?usp=drivesdk</t>
  </si>
  <si>
    <t>1jA2SSWA8GpqG-B3uLeIweu9uxD6ROfsy</t>
  </si>
  <si>
    <t>1T3xxQJG5wMfJaXqZo8r4XrsLnyqFmPEc</t>
  </si>
  <si>
    <t>https://drive.google.com/file/d/1T3xxQJG5wMfJaXqZo8r4XrsLnyqFmPEc/view?usp=drivesdk</t>
  </si>
  <si>
    <t>1RNu6Uhbc7o-nLGhZ3x5mWutdJCg94fpM</t>
  </si>
  <si>
    <t>https://drive.google.com/file/d/1RNu6Uhbc7o-nLGhZ3x5mWutdJCg94fpM/view?usp=drivesdk</t>
  </si>
  <si>
    <t>VISTA VIONI JAYANTI</t>
  </si>
  <si>
    <t>vistavioni@gmail.com</t>
  </si>
  <si>
    <t>294</t>
  </si>
  <si>
    <t>https://drive.google.com/file/d/1rHUd00pgd4dy4xO9opskdirM-ESWgee6/view?usp=drivesdk</t>
  </si>
  <si>
    <t>1rHUd00pgd4dy4xO9opskdirM-ESWgee6</t>
  </si>
  <si>
    <t>13SuL-LrOcMRKXucHAd1wds5iGpP0fT4K</t>
  </si>
  <si>
    <t>https://drive.google.com/file/d/13SuL-LrOcMRKXucHAd1wds5iGpP0fT4K/view?usp=drivesdk</t>
  </si>
  <si>
    <t>1lLREUaV9kkh8dCZJcCOtuNhWOoM1yjXN</t>
  </si>
  <si>
    <t>https://drive.google.com/file/d/1lLREUaV9kkh8dCZJcCOtuNhWOoM1yjXN/view?usp=drivesdk</t>
  </si>
  <si>
    <t>Document successfully created; Document successfully merged; PDF created; !!Error Sending Emails: Service invoked too many times for one day: email.; Manually run by ecertificate75@gmail.com; Timestamp: Aug 31 2024 5:25 AM</t>
  </si>
  <si>
    <t xml:space="preserve">JAMES LUNMISAY </t>
  </si>
  <si>
    <t>lunmisayjames@gmail.com</t>
  </si>
  <si>
    <t>295</t>
  </si>
  <si>
    <t>https://drive.google.com/file/d/1-bGQqJn72j4FLWCg--NupMHU22NvdRzc/view?usp=drivesdk</t>
  </si>
  <si>
    <t>1-bGQqJn72j4FLWCg--NupMHU22NvdRzc</t>
  </si>
  <si>
    <t>1U22uMqOIo_jaw5B-jyGfwk5bg0SZrOXc</t>
  </si>
  <si>
    <t>https://drive.google.com/file/d/1U22uMqOIo_jaw5B-jyGfwk5bg0SZrOXc/view?usp=drivesdk</t>
  </si>
  <si>
    <t>176rBd4F1-dU2YFfceuP04V9mvTQLFb4l</t>
  </si>
  <si>
    <t>https://drive.google.com/file/d/176rBd4F1-dU2YFfceuP04V9mvTQLFb4l/view?usp=drivesdk</t>
  </si>
  <si>
    <t>HINDUN TRI ASTUTIK</t>
  </si>
  <si>
    <t>hinduntriastutik1967@gmail.com</t>
  </si>
  <si>
    <t>296</t>
  </si>
  <si>
    <t>https://drive.google.com/file/d/1ubZ1godZIWJVRY9rNVbxQ_NY494HYpRw/view?usp=drivesdk</t>
  </si>
  <si>
    <t>1ubZ1godZIWJVRY9rNVbxQ_NY494HYpRw</t>
  </si>
  <si>
    <t>1oxsNw0OY_T-egGhLp0zUUXXYwfi6r9Tv</t>
  </si>
  <si>
    <t>https://drive.google.com/file/d/1oxsNw0OY_T-egGhLp0zUUXXYwfi6r9Tv/view?usp=drivesdk</t>
  </si>
  <si>
    <t>Document successfully created; Document successfully merged; PDF created; !!Error Sending Emails: Service invoked too many times for one day: email.; Manually run by ecertificate75@gmail.com; Timestamp: Aug 30 2024 9:57 PM</t>
  </si>
  <si>
    <t>16GoMjLwTZc3EXqzww2-BIJ3Jub1lbuFh</t>
  </si>
  <si>
    <t>https://drive.google.com/file/d/16GoMjLwTZc3EXqzww2-BIJ3Jub1lbuFh/view?usp=drivesdk</t>
  </si>
  <si>
    <t>SUCI SULASIAH,S.E</t>
  </si>
  <si>
    <t>sucizulasiah@gmail.com</t>
  </si>
  <si>
    <t>297</t>
  </si>
  <si>
    <t>https://drive.google.com/file/d/1zidFshMzNP-9e40IzAGi0UNl_rEz6_qF/view?usp=drivesdk</t>
  </si>
  <si>
    <t>1zidFshMzNP-9e40IzAGi0UNl_rEz6_qF</t>
  </si>
  <si>
    <t>1Zs2yHKMV58Uq40B-xRk8a2xZXZ6qMrNu</t>
  </si>
  <si>
    <t>https://drive.google.com/file/d/1Zs2yHKMV58Uq40B-xRk8a2xZXZ6qMrNu/view?usp=drivesdk</t>
  </si>
  <si>
    <t>1HhMOyPwbXO-_i0VzrstfSHCMjVBWm3YL</t>
  </si>
  <si>
    <t>https://drive.google.com/file/d/1HhMOyPwbXO-_i0VzrstfSHCMjVBWm3YL/view?usp=drivesdk</t>
  </si>
  <si>
    <t>PENGATUR TK I SIHMIATI</t>
  </si>
  <si>
    <t>sihmiatibpkb1980@gmail.com</t>
  </si>
  <si>
    <t>298</t>
  </si>
  <si>
    <t>https://drive.google.com/file/d/1Q81FS8ZK12MMhuaARXfDcG8f-ydTCCGN/view?usp=drivesdk</t>
  </si>
  <si>
    <t>1Q81FS8ZK12MMhuaARXfDcG8f-ydTCCGN</t>
  </si>
  <si>
    <t>1NF0cWCpnFsj_hgvswLAnVQk6PJdTvtki</t>
  </si>
  <si>
    <t>https://drive.google.com/file/d/1NF0cWCpnFsj_hgvswLAnVQk6PJdTvtki/view?usp=drivesdk</t>
  </si>
  <si>
    <t>1SRwG9PHYjoC_zPZ8tNEQQB_aet7PCXi7</t>
  </si>
  <si>
    <t>https://drive.google.com/file/d/1SRwG9PHYjoC_zPZ8tNEQQB_aet7PCXi7/view?usp=drivesdk</t>
  </si>
  <si>
    <t>HAYATUN NISA, AMD. KEB, SKM</t>
  </si>
  <si>
    <t>hayatunnisa80@gmail.com</t>
  </si>
  <si>
    <t>299</t>
  </si>
  <si>
    <t>https://drive.google.com/file/d/1Kz9jaDKZ2VRspFpgYGYWKaKbKRUy3Vej/view?usp=drivesdk</t>
  </si>
  <si>
    <t>1Kz9jaDKZ2VRspFpgYGYWKaKbKRUy3Vej</t>
  </si>
  <si>
    <t>1yxd6tE0-2AgeBXl_tLdtHMAsJj3gnI20</t>
  </si>
  <si>
    <t>https://drive.google.com/file/d/1yxd6tE0-2AgeBXl_tLdtHMAsJj3gnI20/view?usp=drivesdk</t>
  </si>
  <si>
    <t>1hCMevyrkpSHRT6eVARXjlViOPqYOio3m</t>
  </si>
  <si>
    <t>https://drive.google.com/file/d/1hCMevyrkpSHRT6eVARXjlViOPqYOio3m/view?usp=drivesdk</t>
  </si>
  <si>
    <t>Document successfully created; Document successfully merged; PDF created; !!Error Sending Emails: Service invoked too many times for one day: email.; Manually run by ecertificate75@gmail.com; Timestamp: Aug 31 2024 5:26 AM</t>
  </si>
  <si>
    <t>SITI NUR KHOLIFAH Amd. Kes</t>
  </si>
  <si>
    <t>nurolive25@gmail.com</t>
  </si>
  <si>
    <t>300</t>
  </si>
  <si>
    <t>https://drive.google.com/file/d/1e_bxdgJm3u64eIbNzX9GPz0t263rhGBn/view?usp=drivesdk</t>
  </si>
  <si>
    <t>1e_bxdgJm3u64eIbNzX9GPz0t263rhGBn</t>
  </si>
  <si>
    <t>1Eu9bGYpoBXR55FrHGykRKJEYSDqcvx8x</t>
  </si>
  <si>
    <t>https://drive.google.com/file/d/1Eu9bGYpoBXR55FrHGykRKJEYSDqcvx8x/view?usp=drivesdk</t>
  </si>
  <si>
    <t>1dmED8WFvcF6cAsKqTZPWSfg_Xzi0KSib</t>
  </si>
  <si>
    <t>https://drive.google.com/file/d/1dmED8WFvcF6cAsKqTZPWSfg_Xzi0KSib/view?usp=drivesdk</t>
  </si>
  <si>
    <t>JEJE SITI ZENAB</t>
  </si>
  <si>
    <t>danilasep199@gmail.com</t>
  </si>
  <si>
    <t>301</t>
  </si>
  <si>
    <t>https://drive.google.com/file/d/1eH_W7AsXGlLqFoatH1tEK1ffbuBTtT3r/view?usp=drivesdk</t>
  </si>
  <si>
    <t>Document successfully created; Document successfully merged; PDF created; !!Error Sending Emails: Service invoked too many times for one day: email.; Run via form trigger as ecertificate75@gmail.com; Timestamp: Aug 29 2024 8:38 PM</t>
  </si>
  <si>
    <t>1eH_W7AsXGlLqFoatH1tEK1ffbuBTtT3r</t>
  </si>
  <si>
    <t>1eZ_tkNb5r26huCMQI8opdlafkYPRcITU</t>
  </si>
  <si>
    <t>https://drive.google.com/file/d/1eZ_tkNb5r26huCMQI8opdlafkYPRcITU/view?usp=drivesdk</t>
  </si>
  <si>
    <t>1PgyBa_bRGigZ2p1UKmmi0l0lUi2VGhMD</t>
  </si>
  <si>
    <t>https://drive.google.com/file/d/1PgyBa_bRGigZ2p1UKmmi0l0lUi2VGhMD/view?usp=drivesdk</t>
  </si>
  <si>
    <t>KOMANG PEBRIANI DELIYANA, S.E., M.M.</t>
  </si>
  <si>
    <t>pebrianideliyana81@gmail.com</t>
  </si>
  <si>
    <t>302</t>
  </si>
  <si>
    <t>https://drive.google.com/file/d/1wVt7B-wrtxHPajID-IN2vcIAzlXy8XOm/view?usp=drivesdk</t>
  </si>
  <si>
    <t>1wVt7B-wrtxHPajID-IN2vcIAzlXy8XOm</t>
  </si>
  <si>
    <t>11HIsbKrZf311qtgb0FmC_vyoDidAkBKJ</t>
  </si>
  <si>
    <t>https://drive.google.com/file/d/11HIsbKrZf311qtgb0FmC_vyoDidAkBKJ/view?usp=drivesdk</t>
  </si>
  <si>
    <t>Document successfully created; Document successfully merged; PDF created; !!Error Sending Emails: Service invoked too many times for one day: email.; Manually run by ecertificate75@gmail.com; Timestamp: Aug 30 2024 9:58 PM</t>
  </si>
  <si>
    <t>1Phnhd7AG85xfQb9Rmpb73kzHAUuKR1Wu</t>
  </si>
  <si>
    <t>https://drive.google.com/file/d/1Phnhd7AG85xfQb9Rmpb73kzHAUuKR1Wu/view?usp=drivesdk</t>
  </si>
  <si>
    <t>SITI MUNAWROH,A.Md.Kep</t>
  </si>
  <si>
    <t>Munawarohsiti655@gmail.com</t>
  </si>
  <si>
    <t>303</t>
  </si>
  <si>
    <t>https://drive.google.com/file/d/1yCpRDoZayP2VYOSBpkkmIan3tCdvtFNs/view?usp=drivesdk</t>
  </si>
  <si>
    <t>1yCpRDoZayP2VYOSBpkkmIan3tCdvtFNs</t>
  </si>
  <si>
    <t>1c9EQphtgqRuJkSq1A2ZXgxv1obyUaOTA</t>
  </si>
  <si>
    <t>https://drive.google.com/file/d/1c9EQphtgqRuJkSq1A2ZXgxv1obyUaOTA/view?usp=drivesdk</t>
  </si>
  <si>
    <t>1DD4nb8Q2OrtpF9vhy2JBfeh6oyLtDaG5</t>
  </si>
  <si>
    <t>https://drive.google.com/file/d/1DD4nb8Q2OrtpF9vhy2JBfeh6oyLtDaG5/view?usp=drivesdk</t>
  </si>
  <si>
    <t>IRSAN HAFIZ MANDILING</t>
  </si>
  <si>
    <t>irsanhafizz@gmail.com</t>
  </si>
  <si>
    <t>304</t>
  </si>
  <si>
    <t>https://drive.google.com/file/d/1MrPhrIPe1Xf1SDzxA8y1ICQieI50d73C/view?usp=drivesdk</t>
  </si>
  <si>
    <t>1MrPhrIPe1Xf1SDzxA8y1ICQieI50d73C</t>
  </si>
  <si>
    <t>1hPTcGO-9yBTh1WySdbitc85pP9HyKbF3</t>
  </si>
  <si>
    <t>https://drive.google.com/file/d/1hPTcGO-9yBTh1WySdbitc85pP9HyKbF3/view?usp=drivesdk</t>
  </si>
  <si>
    <t>1mwhzZSTD4HavsUPStcj5N5C7y0py3sRP</t>
  </si>
  <si>
    <t>https://drive.google.com/file/d/1mwhzZSTD4HavsUPStcj5N5C7y0py3sRP/view?usp=drivesdk</t>
  </si>
  <si>
    <t>Document successfully created; Document successfully merged; PDF created; !!Error Sending Emails: Service invoked too many times for one day: email.; Manually run by ecertificate75@gmail.com; Timestamp: Aug 31 2024 5:27 AM</t>
  </si>
  <si>
    <t>BAIQ.MAHDAROH FINETERI.A.Md.Gz</t>
  </si>
  <si>
    <t>baiqfina1987@gmail.com</t>
  </si>
  <si>
    <t>305</t>
  </si>
  <si>
    <t>https://drive.google.com/file/d/167908nrvd79UwH7Izh0PLX14l3toqz7S/view?usp=drivesdk</t>
  </si>
  <si>
    <t>167908nrvd79UwH7Izh0PLX14l3toqz7S</t>
  </si>
  <si>
    <t>1kwwTQy7HHkvzc3do3mM2s210K1htGZGa</t>
  </si>
  <si>
    <t>https://drive.google.com/file/d/1kwwTQy7HHkvzc3do3mM2s210K1htGZGa/view?usp=drivesdk</t>
  </si>
  <si>
    <t>1VahRz7kS49ZCG9cIxgLNeV9fWVS1oJbl</t>
  </si>
  <si>
    <t>https://drive.google.com/file/d/1VahRz7kS49ZCG9cIxgLNeV9fWVS1oJbl/view?usp=drivesdk</t>
  </si>
  <si>
    <t>BEATRIX GOMIES</t>
  </si>
  <si>
    <t>beatrix.gomies12@gmail.com</t>
  </si>
  <si>
    <t>306</t>
  </si>
  <si>
    <t>https://drive.google.com/file/d/16OyGjRwYGcqkTgeaXAVPVTU6Q0tePfSv/view?usp=drivesdk</t>
  </si>
  <si>
    <t>16OyGjRwYGcqkTgeaXAVPVTU6Q0tePfSv</t>
  </si>
  <si>
    <t>1RFyczm53mXdcmYvxnwCFrlBDhFukh-ff</t>
  </si>
  <si>
    <t>https://drive.google.com/file/d/1RFyczm53mXdcmYvxnwCFrlBDhFukh-ff/view?usp=drivesdk</t>
  </si>
  <si>
    <t>1Uq19ggzC-uoznE46_vUmJERgIvwwxuXO</t>
  </si>
  <si>
    <t>https://drive.google.com/file/d/1Uq19ggzC-uoznE46_vUmJERgIvwwxuXO/view?usp=drivesdk</t>
  </si>
  <si>
    <t>M.ALI MUNIF, SAG, MM</t>
  </si>
  <si>
    <t>alleghar83@gmail.com</t>
  </si>
  <si>
    <t>307</t>
  </si>
  <si>
    <t>https://drive.google.com/file/d/1GbvLKpVc2ONYgTZZNqZCDnHCwQuSVDER/view?usp=drivesdk</t>
  </si>
  <si>
    <t>1GbvLKpVc2ONYgTZZNqZCDnHCwQuSVDER</t>
  </si>
  <si>
    <t>1pyriaoVWp9P2IizbKe3bfbK48l3LHHPr</t>
  </si>
  <si>
    <t>https://drive.google.com/file/d/1pyriaoVWp9P2IizbKe3bfbK48l3LHHPr/view?usp=drivesdk</t>
  </si>
  <si>
    <t>11R8gWmJuwc8kJlk6nsRFRK-kn8_Eflfs</t>
  </si>
  <si>
    <t>https://drive.google.com/file/d/11R8gWmJuwc8kJlk6nsRFRK-kn8_Eflfs/view?usp=drivesdk</t>
  </si>
  <si>
    <t>YURIS APOLO DHERMAWAN, SH</t>
  </si>
  <si>
    <t>joerish.kurus@gmail.com</t>
  </si>
  <si>
    <t>308</t>
  </si>
  <si>
    <t>https://drive.google.com/file/d/1_mrjO3jv4qF5n4LTUjOaRLxvCzTsF4X_/view?usp=drivesdk</t>
  </si>
  <si>
    <t>1_mrjO3jv4qF5n4LTUjOaRLxvCzTsF4X_</t>
  </si>
  <si>
    <t>1mw9vlWQDncdP1Fr8HoeIVWrTTD3SakuM</t>
  </si>
  <si>
    <t>https://drive.google.com/file/d/1mw9vlWQDncdP1Fr8HoeIVWrTTD3SakuM/view?usp=drivesdk</t>
  </si>
  <si>
    <t>1HAidXskx8gzlzHnrDsUtawEcYMB9vQd0</t>
  </si>
  <si>
    <t>https://drive.google.com/file/d/1HAidXskx8gzlzHnrDsUtawEcYMB9vQd0/view?usp=drivesdk</t>
  </si>
  <si>
    <t>OKTANIA PURNAMA SARI, A.Md. Farm.</t>
  </si>
  <si>
    <t>oktaniapurnamasari@gmail.com</t>
  </si>
  <si>
    <t>309</t>
  </si>
  <si>
    <t>https://drive.google.com/file/d/1AJ1qsByFKtV7wTDQarj9gE0Bwasz0U93/view?usp=drivesdk</t>
  </si>
  <si>
    <t>1AJ1qsByFKtV7wTDQarj9gE0Bwasz0U93</t>
  </si>
  <si>
    <t>1qsdS87AabSbwY1yQhb9vBzBfyhH5IIti</t>
  </si>
  <si>
    <t>https://drive.google.com/file/d/1qsdS87AabSbwY1yQhb9vBzBfyhH5IIti/view?usp=drivesdk</t>
  </si>
  <si>
    <t>Document successfully created; Document successfully merged; PDF created; !!Error Sending Emails: Service invoked too many times for one day: email.; Manually run by ecertificate75@gmail.com; Timestamp: Aug 30 2024 9:59 PM</t>
  </si>
  <si>
    <t>1A-LIoD_cgCld8MCWT9iAObLC6yfrai8D</t>
  </si>
  <si>
    <t>https://drive.google.com/file/d/1A-LIoD_cgCld8MCWT9iAObLC6yfrai8D/view?usp=drivesdk</t>
  </si>
  <si>
    <t>INDAH NURMALASARI, A.Md.Kep.</t>
  </si>
  <si>
    <t>nurmalasari.indah88@gmail.com</t>
  </si>
  <si>
    <t>310</t>
  </si>
  <si>
    <t>https://drive.google.com/file/d/1K3zQ0Ks9LlaDKMI5nMyM9D1UrfGIErz2/view?usp=drivesdk</t>
  </si>
  <si>
    <t>1K3zQ0Ks9LlaDKMI5nMyM9D1UrfGIErz2</t>
  </si>
  <si>
    <t>1mleUVdNgNmAmttfYRC95k_HSxnqoz4Cm</t>
  </si>
  <si>
    <t>https://drive.google.com/file/d/1mleUVdNgNmAmttfYRC95k_HSxnqoz4Cm/view?usp=drivesdk</t>
  </si>
  <si>
    <t>1OSYNxDkA7lJlQM-k4RGVpohDUG-3X-O5</t>
  </si>
  <si>
    <t>https://drive.google.com/file/d/1OSYNxDkA7lJlQM-k4RGVpohDUG-3X-O5/view?usp=drivesdk</t>
  </si>
  <si>
    <t>Document successfully created; Document successfully merged; PDF created; !!Error Sending Emails: Service invoked too many times for one day: email.; Manually run by ecertificate75@gmail.com; Timestamp: Aug 31 2024 5:28 AM</t>
  </si>
  <si>
    <t>DWI PUJI SUSILAWATI,S.Kep</t>
  </si>
  <si>
    <t>susilawatipuji55@gmail.com</t>
  </si>
  <si>
    <t>311</t>
  </si>
  <si>
    <t>https://drive.google.com/file/d/1t-l-yi7slaWuJttjsuMXXjCgh4bJJ7fs/view?usp=drivesdk</t>
  </si>
  <si>
    <t>1t-l-yi7slaWuJttjsuMXXjCgh4bJJ7fs</t>
  </si>
  <si>
    <t>107sO2icZZQ13PgJwA02oKAeh7Yj4a7PV</t>
  </si>
  <si>
    <t>https://drive.google.com/file/d/107sO2icZZQ13PgJwA02oKAeh7Yj4a7PV/view?usp=drivesdk</t>
  </si>
  <si>
    <t>1jyejhHAoJZHZ8BLJW34_szuqVr-YPJPg</t>
  </si>
  <si>
    <t>https://drive.google.com/file/d/1jyejhHAoJZHZ8BLJW34_szuqVr-YPJPg/view?usp=drivesdk</t>
  </si>
  <si>
    <t>KURNIA WIDIANI,A.Md.Kes.</t>
  </si>
  <si>
    <t>kurniawidiani97@gmail.com</t>
  </si>
  <si>
    <t>312</t>
  </si>
  <si>
    <t>https://drive.google.com/file/d/1BwJ1WxCO1M_XtECTkVvwMrdIvXtXQk3d/view?usp=drivesdk</t>
  </si>
  <si>
    <t>1BwJ1WxCO1M_XtECTkVvwMrdIvXtXQk3d</t>
  </si>
  <si>
    <t>1vBdccNoqcMrr0jn0uKKNXkr9eUyc9MGq</t>
  </si>
  <si>
    <t>https://drive.google.com/file/d/1vBdccNoqcMrr0jn0uKKNXkr9eUyc9MGq/view?usp=drivesdk</t>
  </si>
  <si>
    <t>1cY57meBmCOb88GsryCD48IFZmiHH7Jem</t>
  </si>
  <si>
    <t>https://drive.google.com/file/d/1cY57meBmCOb88GsryCD48IFZmiHH7Jem/view?usp=drivesdk</t>
  </si>
  <si>
    <t>YULI KARYANTO</t>
  </si>
  <si>
    <t>yulikaryanto71@gmail.com</t>
  </si>
  <si>
    <t>313</t>
  </si>
  <si>
    <t>https://drive.google.com/file/d/1F6lwaGehF5Yao4ecvFsAl3qqMn18IoY_/view?usp=drivesdk</t>
  </si>
  <si>
    <t>1F6lwaGehF5Yao4ecvFsAl3qqMn18IoY_</t>
  </si>
  <si>
    <t>18Thf69gUWPLPoE0ZEc_bKOOtqPUSS7-u</t>
  </si>
  <si>
    <t>https://drive.google.com/file/d/18Thf69gUWPLPoE0ZEc_bKOOtqPUSS7-u/view?usp=drivesdk</t>
  </si>
  <si>
    <t>1jEz7gXmkKR1Ps7do2bcZrz4j6sjKGOz_</t>
  </si>
  <si>
    <t>https://drive.google.com/file/d/1jEz7gXmkKR1Ps7do2bcZrz4j6sjKGOz_/view?usp=drivesdk</t>
  </si>
  <si>
    <t>PENGATUR NI NYOMAN ARTINI</t>
  </si>
  <si>
    <t>redminotesaprime025@gmail.com</t>
  </si>
  <si>
    <t>314</t>
  </si>
  <si>
    <t>https://drive.google.com/file/d/1iNKMUfgsTm6-h3GaSRQBrNtxum1fAV3a/view?usp=drivesdk</t>
  </si>
  <si>
    <t>1iNKMUfgsTm6-h3GaSRQBrNtxum1fAV3a</t>
  </si>
  <si>
    <t>12ANE8Wd41kGQ_HfQMicvzW3Yq-o73IRC</t>
  </si>
  <si>
    <t>https://drive.google.com/file/d/12ANE8Wd41kGQ_HfQMicvzW3Yq-o73IRC/view?usp=drivesdk</t>
  </si>
  <si>
    <t>Document successfully created; Document successfully merged; PDF created; !!Error Sending Emails: Service invoked too many times for one day: email.; Manually run by ecertificate75@gmail.com; Timestamp: Aug 30 2024 10:00 PM</t>
  </si>
  <si>
    <t>1Oj65bTaJzVnaVZD1eci6OJjwqxR-aLdd</t>
  </si>
  <si>
    <t>https://drive.google.com/file/d/1Oj65bTaJzVnaVZD1eci6OJjwqxR-aLdd/view?usp=drivesdk</t>
  </si>
  <si>
    <t>dr. DITA APERTAWA</t>
  </si>
  <si>
    <t>ditaapertawa@gmail.com</t>
  </si>
  <si>
    <t>315</t>
  </si>
  <si>
    <t>https://drive.google.com/file/d/1vHKLQXgMClug7apc4hjXOf_wLekxHSLq/view?usp=drivesdk</t>
  </si>
  <si>
    <t>1vHKLQXgMClug7apc4hjXOf_wLekxHSLq</t>
  </si>
  <si>
    <t>1jM4F0BEUzsC-oZvsfhAXWS1YEUT5XAl_</t>
  </si>
  <si>
    <t>https://drive.google.com/file/d/1jM4F0BEUzsC-oZvsfhAXWS1YEUT5XAl_/view?usp=drivesdk</t>
  </si>
  <si>
    <t>1cBUbC2OpWbC825WibvT6fsLkzTrEudVo</t>
  </si>
  <si>
    <t>https://drive.google.com/file/d/1cBUbC2OpWbC825WibvT6fsLkzTrEudVo/view?usp=drivesdk</t>
  </si>
  <si>
    <t>DITA MARYA SANJAYA, A. Md. Keb.</t>
  </si>
  <si>
    <t>sanjayadita@gmail.com</t>
  </si>
  <si>
    <t>316</t>
  </si>
  <si>
    <t>https://drive.google.com/file/d/1cCuLAPDDbuxawYgX0oDg5thr7tcTaKNN/view?usp=drivesdk</t>
  </si>
  <si>
    <t>1cCuLAPDDbuxawYgX0oDg5thr7tcTaKNN</t>
  </si>
  <si>
    <t>1-ryBt8UaD3IAU9LbEDmHUmfcH6UJUiWf</t>
  </si>
  <si>
    <t>https://drive.google.com/file/d/1-ryBt8UaD3IAU9LbEDmHUmfcH6UJUiWf/view?usp=drivesdk</t>
  </si>
  <si>
    <t>1cjuWkTJ3Tx1mxfFiFdK-WrmyQldo6PrJ</t>
  </si>
  <si>
    <t>https://drive.google.com/file/d/1cjuWkTJ3Tx1mxfFiFdK-WrmyQldo6PrJ/view?usp=drivesdk</t>
  </si>
  <si>
    <t>Document successfully created; Document successfully merged; PDF created; !!Error Sending Emails: Service invoked too many times for one day: email.; Manually run by ecertificate75@gmail.com; Timestamp: Aug 31 2024 5:29 AM</t>
  </si>
  <si>
    <t>EMPUD SARIPUDIN</t>
  </si>
  <si>
    <t>empud.saripudin66@gmail.com</t>
  </si>
  <si>
    <t>317</t>
  </si>
  <si>
    <t>https://drive.google.com/file/d/1SdVho11cgZKJwIlFpgFsrnDEFvDl30uR/view?usp=drivesdk</t>
  </si>
  <si>
    <t>1SdVho11cgZKJwIlFpgFsrnDEFvDl30uR</t>
  </si>
  <si>
    <t>1gvHki0AGBeoWwPgIzl9o0mTXC47nJaSk</t>
  </si>
  <si>
    <t>https://drive.google.com/file/d/1gvHki0AGBeoWwPgIzl9o0mTXC47nJaSk/view?usp=drivesdk</t>
  </si>
  <si>
    <t>1AnJ2XLAf-nFlS-w0iAolp2kgH5XVp3o3</t>
  </si>
  <si>
    <t>https://drive.google.com/file/d/1AnJ2XLAf-nFlS-w0iAolp2kgH5XVp3o3/view?usp=drivesdk</t>
  </si>
  <si>
    <t>LUKITA PERMANASARI,S.I.P.</t>
  </si>
  <si>
    <t>lukita.pajak@gmail.com</t>
  </si>
  <si>
    <t>318</t>
  </si>
  <si>
    <t>Starting at Thu Aug 29 2024 20:37:45 GMT-0400 (EDT)</t>
  </si>
  <si>
    <t>1wGQdi5BzG8oabMrmr5yannwc2Qz4bDxT</t>
  </si>
  <si>
    <t>https://drive.google.com/file/d/1wGQdi5BzG8oabMrmr5yannwc2Qz4bDxT/view?usp=drivesdk</t>
  </si>
  <si>
    <t>1qcNVYuBll5zVxbBRm04S5M-pR-JhG_TJ</t>
  </si>
  <si>
    <t>https://drive.google.com/file/d/1qcNVYuBll5zVxbBRm04S5M-pR-JhG_TJ/view?usp=drivesdk</t>
  </si>
  <si>
    <t>SRI SULISTYOWATI H</t>
  </si>
  <si>
    <t>sulis.sarprasjatim01@gmail.com</t>
  </si>
  <si>
    <t>319</t>
  </si>
  <si>
    <t>1mx4VHScMwBJeeQ6q2TQBYWyJlCUFt70f</t>
  </si>
  <si>
    <t>https://drive.google.com/file/d/1mx4VHScMwBJeeQ6q2TQBYWyJlCUFt70f/view?usp=drivesdk</t>
  </si>
  <si>
    <t>Document successfully created; Document successfully merged; PDF created; !!Error Sending Emails: Service invoked too many times for one day: email.; Manually run by ecertificate75@gmail.com; Timestamp: Aug 30 2024 10:01 PM</t>
  </si>
  <si>
    <t>1bvHoKMPOdylwaA6FegHInxUgrSmfuBTQ</t>
  </si>
  <si>
    <t>https://drive.google.com/file/d/1bvHoKMPOdylwaA6FegHInxUgrSmfuBTQ/view?usp=drivesdk</t>
  </si>
  <si>
    <t>I GUSTI AYU YULI DIANASARI</t>
  </si>
  <si>
    <t>ayuyuli3175@gmail.com</t>
  </si>
  <si>
    <t>320</t>
  </si>
  <si>
    <t>1VeOD0wcXQr3ge2FD6TRyB9j7swUHofVH</t>
  </si>
  <si>
    <t>https://drive.google.com/file/d/1VeOD0wcXQr3ge2FD6TRyB9j7swUHofVH/view?usp=drivesdk</t>
  </si>
  <si>
    <t>1Eyo1jrPNdXppGV9L20bGT_s-KOj5B5ON</t>
  </si>
  <si>
    <t>https://drive.google.com/file/d/1Eyo1jrPNdXppGV9L20bGT_s-KOj5B5ON/view?usp=drivesdk</t>
  </si>
  <si>
    <t>DWI HERMIYANTI</t>
  </si>
  <si>
    <t>dwihermiyanti@gmail.com</t>
  </si>
  <si>
    <t>321</t>
  </si>
  <si>
    <t>https://drive.google.com/file/d/1NBBBLbv0mOgPWI2nn0VXqS8sMRbLt1lC/view?usp=drivesdk</t>
  </si>
  <si>
    <t>1NBBBLbv0mOgPWI2nn0VXqS8sMRbLt1lC</t>
  </si>
  <si>
    <t>1BD1K_jyVyg_fkVUXt8pfsk0hMILyYP1t</t>
  </si>
  <si>
    <t>https://drive.google.com/file/d/1BD1K_jyVyg_fkVUXt8pfsk0hMILyYP1t/view?usp=drivesdk</t>
  </si>
  <si>
    <t>1QljJfG27Xz__Wda8CzsE2iO3MjYjBpqL</t>
  </si>
  <si>
    <t>https://drive.google.com/file/d/1QljJfG27Xz__Wda8CzsE2iO3MjYjBpqL/view?usp=drivesdk</t>
  </si>
  <si>
    <t>AAIDO BENARDO PARDAMEAN</t>
  </si>
  <si>
    <t>asido.bp@gmail.com</t>
  </si>
  <si>
    <t>322</t>
  </si>
  <si>
    <t>https://drive.google.com/file/d/1Fy1UruuJsaWhv_l_J3UbgmBGkKQf4x4B/view?usp=drivesdk</t>
  </si>
  <si>
    <t>1Fy1UruuJsaWhv_l_J3UbgmBGkKQf4x4B</t>
  </si>
  <si>
    <t>1WiC51Cy8EwHrpKeyMYgh3KffR0Z8CuFz</t>
  </si>
  <si>
    <t>https://drive.google.com/file/d/1WiC51Cy8EwHrpKeyMYgh3KffR0Z8CuFz/view?usp=drivesdk</t>
  </si>
  <si>
    <t>1IhL9mBY0-z5Y4Pt9AKaCSN4S0KGPq3R-</t>
  </si>
  <si>
    <t>https://drive.google.com/file/d/1IhL9mBY0-z5Y4Pt9AKaCSN4S0KGPq3R-/view?usp=drivesdk</t>
  </si>
  <si>
    <t>Document successfully created; Document successfully merged; PDF created; !!Error Sending Emails: Service invoked too many times for one day: email.; Manually run by ecertificate75@gmail.com; Timestamp: Aug 31 2024 5:30 AM</t>
  </si>
  <si>
    <t>dr. FERDINAN HERSON MAPANAWANG</t>
  </si>
  <si>
    <t>dinan7herson@gmail.com</t>
  </si>
  <si>
    <t>323</t>
  </si>
  <si>
    <t>https://drive.google.com/file/d/1cUL4zeZADZGl3cNNYatBlK3rZs2rxoPw/view?usp=drivesdk</t>
  </si>
  <si>
    <t>Document successfully created; Document successfully merged; PDF created; !!Error Sending Emails: Service invoked too many times for one day: email.; Run via form trigger as ecertificate75@gmail.com; Timestamp: Aug 29 2024 8:39 PM</t>
  </si>
  <si>
    <t>1cUL4zeZADZGl3cNNYatBlK3rZs2rxoPw</t>
  </si>
  <si>
    <t>1VvdL2336-tmWiOKPg2KDMrNYVP8lGfV1</t>
  </si>
  <si>
    <t>https://drive.google.com/file/d/1VvdL2336-tmWiOKPg2KDMrNYVP8lGfV1/view?usp=drivesdk</t>
  </si>
  <si>
    <t>161mXZYBXPBrm1mzv2DNumaZUe5j0w1Kk</t>
  </si>
  <si>
    <t>https://drive.google.com/file/d/161mXZYBXPBrm1mzv2DNumaZUe5j0w1Kk/view?usp=drivesdk</t>
  </si>
  <si>
    <t xml:space="preserve">TATANG SUTARMAN </t>
  </si>
  <si>
    <t>tta94444@gmail.com</t>
  </si>
  <si>
    <t>324</t>
  </si>
  <si>
    <t>https://drive.google.com/file/d/1yc71fyGyTLyU25vOwvJafnjE43navuzH/view?usp=drivesdk</t>
  </si>
  <si>
    <t>1yc71fyGyTLyU25vOwvJafnjE43navuzH</t>
  </si>
  <si>
    <t>1q2HhkJEBLqGjQc-UEnOBcKT-XnF4RMVl</t>
  </si>
  <si>
    <t>https://drive.google.com/file/d/1q2HhkJEBLqGjQc-UEnOBcKT-XnF4RMVl/view?usp=drivesdk</t>
  </si>
  <si>
    <t>Document successfully created; Document successfully merged; PDF created; !!Error Sending Emails: Service invoked too many times for one day: email.; Manually run by ecertificate75@gmail.com; Timestamp: Aug 30 2024 10:02 PM</t>
  </si>
  <si>
    <t>1da3JshW3582ul8jNQl9HId0tQe7TksZp</t>
  </si>
  <si>
    <t>https://drive.google.com/file/d/1da3JshW3582ul8jNQl9HId0tQe7TksZp/view?usp=drivesdk</t>
  </si>
  <si>
    <t>ERMA ZULHAIDA HERMAN</t>
  </si>
  <si>
    <t>ermazulhaida@gmail.com</t>
  </si>
  <si>
    <t>325</t>
  </si>
  <si>
    <t>https://drive.google.com/file/d/1OL9Ur7_gKnK609gTTPgoajtpZ-wI4Fie/view?usp=drivesdk</t>
  </si>
  <si>
    <t>1OL9Ur7_gKnK609gTTPgoajtpZ-wI4Fie</t>
  </si>
  <si>
    <t>1zGuy2pHk2qXkWBesZta4rCWgA6pwT7A1</t>
  </si>
  <si>
    <t>https://drive.google.com/file/d/1zGuy2pHk2qXkWBesZta4rCWgA6pwT7A1/view?usp=drivesdk</t>
  </si>
  <si>
    <t>1JHsDO5HeuHgeM8WMpunMm09rOKEgkWG3</t>
  </si>
  <si>
    <t>https://drive.google.com/file/d/1JHsDO5HeuHgeM8WMpunMm09rOKEgkWG3/view?usp=drivesdk</t>
  </si>
  <si>
    <t>DIDI JUNAEDI SE</t>
  </si>
  <si>
    <t>di2junaedy@gmail.com</t>
  </si>
  <si>
    <t>326</t>
  </si>
  <si>
    <t>https://drive.google.com/file/d/1kk3e8v0qsx0IobJ43OIOp42gSSVx28rI/view?usp=drivesdk</t>
  </si>
  <si>
    <t>1kk3e8v0qsx0IobJ43OIOp42gSSVx28rI</t>
  </si>
  <si>
    <t>1uZGU59Ezn-8zoXVwZIvHB7xMIuL8wI11</t>
  </si>
  <si>
    <t>https://drive.google.com/file/d/1uZGU59Ezn-8zoXVwZIvHB7xMIuL8wI11/view?usp=drivesdk</t>
  </si>
  <si>
    <t>1HFqlxtBHtTcJY7IrQzjEKAg9dKCb8hpm</t>
  </si>
  <si>
    <t>https://drive.google.com/file/d/1HFqlxtBHtTcJY7IrQzjEKAg9dKCb8hpm/view?usp=drivesdk</t>
  </si>
  <si>
    <t>RIANTY MARIA ELVIRA, A.MD</t>
  </si>
  <si>
    <t>rmetumboimbela.rmet@gmail.com</t>
  </si>
  <si>
    <t>327</t>
  </si>
  <si>
    <t>https://drive.google.com/file/d/1akEGn4_MGyJu8oyS5hrdaDhpd-a69x5C/view?usp=drivesdk</t>
  </si>
  <si>
    <t>1akEGn4_MGyJu8oyS5hrdaDhpd-a69x5C</t>
  </si>
  <si>
    <t>1rsONLcm1g2-c1Fxozmc-L-fQ9B4z9NWR</t>
  </si>
  <si>
    <t>https://drive.google.com/file/d/1rsONLcm1g2-c1Fxozmc-L-fQ9B4z9NWR/view?usp=drivesdk</t>
  </si>
  <si>
    <t>1L4kpdPxHTzPzvwFnH97b_j6aH8V9STKi</t>
  </si>
  <si>
    <t>https://drive.google.com/file/d/1L4kpdPxHTzPzvwFnH97b_j6aH8V9STKi/view?usp=drivesdk</t>
  </si>
  <si>
    <t>Document successfully created; Document successfully merged; PDF created; !!Error Sending Emails: Service invoked too many times for one day: email.; Manually run by ecertificate75@gmail.com; Timestamp: Aug 31 2024 5:31 AM</t>
  </si>
  <si>
    <t>PUSDOKKES POLRI</t>
  </si>
  <si>
    <t>FERRY INDRA SEJATI, Amd.Keb, S.KM, M.KM</t>
  </si>
  <si>
    <t>ferrysejati124@gmail.com</t>
  </si>
  <si>
    <t>328</t>
  </si>
  <si>
    <t>https://drive.google.com/file/d/1PUdswe9-fqLytxo9Ky84-Sx7U4VYPH4k/view?usp=drivesdk</t>
  </si>
  <si>
    <t>1PUdswe9-fqLytxo9Ky84-Sx7U4VYPH4k</t>
  </si>
  <si>
    <t>1YfCi5qAsfozcQ4roFEgm3UO2BDI5GInw</t>
  </si>
  <si>
    <t>https://drive.google.com/file/d/1YfCi5qAsfozcQ4roFEgm3UO2BDI5GInw/view?usp=drivesdk</t>
  </si>
  <si>
    <t>1HP15wWRa9BwncVqTvDYztlTVg6lsj4-T</t>
  </si>
  <si>
    <t>https://drive.google.com/file/d/1HP15wWRa9BwncVqTvDYztlTVg6lsj4-T/view?usp=drivesdk</t>
  </si>
  <si>
    <t>NASEP KUSNADI AMd Kep</t>
  </si>
  <si>
    <t>nasepkusnadicjr@gmail.com</t>
  </si>
  <si>
    <t>329</t>
  </si>
  <si>
    <t>https://drive.google.com/file/d/1UcuUEOeeVa9tAx3PA9GLOm04YelLJnJc/view?usp=drivesdk</t>
  </si>
  <si>
    <t>1UcuUEOeeVa9tAx3PA9GLOm04YelLJnJc</t>
  </si>
  <si>
    <t>14P66ep4sk8f8Mvn7LWiy98lob6mkQbSE</t>
  </si>
  <si>
    <t>https://drive.google.com/file/d/14P66ep4sk8f8Mvn7LWiy98lob6mkQbSE/view?usp=drivesdk</t>
  </si>
  <si>
    <t>1bvkT6nKASRkOC9B13tNWEQiKWn2FWD42</t>
  </si>
  <si>
    <t>https://drive.google.com/file/d/1bvkT6nKASRkOC9B13tNWEQiKWn2FWD42/view?usp=drivesdk</t>
  </si>
  <si>
    <t>EGI LUCKY LEGIAN</t>
  </si>
  <si>
    <t>egilucky2011@gmail.com</t>
  </si>
  <si>
    <t>330</t>
  </si>
  <si>
    <t>https://drive.google.com/file/d/1XRHm_URgZkWvShvyfxQcqg10ZafmIa7M/view?usp=drivesdk</t>
  </si>
  <si>
    <t>1XRHm_URgZkWvShvyfxQcqg10ZafmIa7M</t>
  </si>
  <si>
    <t>11ZD3qJO_sF2SxNqVRv7rPsFoRMgwxr3z</t>
  </si>
  <si>
    <t>https://drive.google.com/file/d/11ZD3qJO_sF2SxNqVRv7rPsFoRMgwxr3z/view?usp=drivesdk</t>
  </si>
  <si>
    <t>1K2O8kaDj7aIyRQqZVxIl8h7Z8q5EDZZ3</t>
  </si>
  <si>
    <t>https://drive.google.com/file/d/1K2O8kaDj7aIyRQqZVxIl8h7Z8q5EDZZ3/view?usp=drivesdk</t>
  </si>
  <si>
    <t>MISWARININGSIH</t>
  </si>
  <si>
    <t>miswariningsih1975@gmail.com</t>
  </si>
  <si>
    <t>331</t>
  </si>
  <si>
    <t>https://drive.google.com/file/d/151qEhwuq_ewwE-_pE9-gdTIl79_uV2ph/view?usp=drivesdk</t>
  </si>
  <si>
    <t>151qEhwuq_ewwE-_pE9-gdTIl79_uV2ph</t>
  </si>
  <si>
    <t>1H2azsoYcp-akyxxC9b_iOkmmBiDkcsBH</t>
  </si>
  <si>
    <t>https://drive.google.com/file/d/1H2azsoYcp-akyxxC9b_iOkmmBiDkcsBH/view?usp=drivesdk</t>
  </si>
  <si>
    <t>1NoRqN5WoqZT_D8uUXjOr1yK3jyWJdN0d</t>
  </si>
  <si>
    <t>https://drive.google.com/file/d/1NoRqN5WoqZT_D8uUXjOr1yK3jyWJdN0d/view?usp=drivesdk</t>
  </si>
  <si>
    <t>Document successfully created; Document successfully merged; PDF created; !!Error Sending Emails: Service invoked too many times for one day: email.; Manually run by ecertificate75@gmail.com; Timestamp: Aug 31 2024 5:32 AM</t>
  </si>
  <si>
    <t>ROSMIATI MANNAN</t>
  </si>
  <si>
    <t>miamannan080@gmail.com</t>
  </si>
  <si>
    <t>332</t>
  </si>
  <si>
    <t>https://drive.google.com/file/d/1bKoF6EiQb6R89HugJX0N22xLYgFxSAq3/view?usp=drivesdk</t>
  </si>
  <si>
    <t>1bKoF6EiQb6R89HugJX0N22xLYgFxSAq3</t>
  </si>
  <si>
    <t>1inOrC5Sj0Vh_cYLwF00LWMjWvKVqWFuC</t>
  </si>
  <si>
    <t>https://drive.google.com/file/d/1inOrC5Sj0Vh_cYLwF00LWMjWvKVqWFuC/view?usp=drivesdk</t>
  </si>
  <si>
    <t>1Z-pkuPosU5V_eopUphLWtwuf4UhZpTDN</t>
  </si>
  <si>
    <t>https://drive.google.com/file/d/1Z-pkuPosU5V_eopUphLWtwuf4UhZpTDN/view?usp=drivesdk</t>
  </si>
  <si>
    <t>RINA FATMAWATI., SH</t>
  </si>
  <si>
    <t>ansyarsyahbana@gmail.com</t>
  </si>
  <si>
    <t>333</t>
  </si>
  <si>
    <t>https://drive.google.com/file/d/1RMf7e01_1GsyXKrSqNx9vV9X9MvdzeEN/view?usp=drivesdk</t>
  </si>
  <si>
    <t>1RMf7e01_1GsyXKrSqNx9vV9X9MvdzeEN</t>
  </si>
  <si>
    <t>1HtCioMuCFjBUGlbBwaX4T9Ci5zymzi8M</t>
  </si>
  <si>
    <t>https://drive.google.com/file/d/1HtCioMuCFjBUGlbBwaX4T9Ci5zymzi8M/view?usp=drivesdk</t>
  </si>
  <si>
    <t>Document successfully created; Document successfully merged; PDF created; !!Error Sending Emails: Service invoked too many times for one day: email.; Run via form trigger as ecertificate75@gmail.com; Timestamp: Aug 30 2024 9:28 PM</t>
  </si>
  <si>
    <t>1V9l9R8VaLqAO18AOj8Ki68QFhvWVlfPu</t>
  </si>
  <si>
    <t>https://drive.google.com/file/d/1V9l9R8VaLqAO18AOj8Ki68QFhvWVlfPu/view?usp=drivesdk</t>
  </si>
  <si>
    <t>DEDE FAUZIAH, A.Md</t>
  </si>
  <si>
    <t>defa88.fauziah@gmail.com</t>
  </si>
  <si>
    <t>334</t>
  </si>
  <si>
    <t>https://drive.google.com/file/d/17EkNjJ3XUeo7CBsn7CcyWfkTI9_jXicI/view?usp=drivesdk</t>
  </si>
  <si>
    <t>17EkNjJ3XUeo7CBsn7CcyWfkTI9_jXicI</t>
  </si>
  <si>
    <t>18x_l3hhgWujXZ45wIpBf3Ur-TywIoK8W</t>
  </si>
  <si>
    <t>https://drive.google.com/file/d/18x_l3hhgWujXZ45wIpBf3Ur-TywIoK8W/view?usp=drivesdk</t>
  </si>
  <si>
    <t>1oXSNaSTwk5GOuOkWlX_Qt_PxovqWyXzX</t>
  </si>
  <si>
    <t>https://drive.google.com/file/d/1oXSNaSTwk5GOuOkWlX_Qt_PxovqWyXzX/view?usp=drivesdk</t>
  </si>
  <si>
    <t>IMANUEL FAKNIK, S.E.</t>
  </si>
  <si>
    <t>faknikimanuel3@gmail.com</t>
  </si>
  <si>
    <t>335</t>
  </si>
  <si>
    <t>https://drive.google.com/file/d/1W_f_JIAb5qmhG7QoGl92aQ3yoJ-js2PR/view?usp=drivesdk</t>
  </si>
  <si>
    <t>1W_f_JIAb5qmhG7QoGl92aQ3yoJ-js2PR</t>
  </si>
  <si>
    <t>1EA1AnCtIYFgCchLdneob9xWql1mKhIkA</t>
  </si>
  <si>
    <t>https://drive.google.com/file/d/1EA1AnCtIYFgCchLdneob9xWql1mKhIkA/view?usp=drivesdk</t>
  </si>
  <si>
    <t>15BSVPlx3Iwqgg6ntAHSbEa0ePFWgxTld</t>
  </si>
  <si>
    <t>https://drive.google.com/file/d/15BSVPlx3Iwqgg6ntAHSbEa0ePFWgxTld/view?usp=drivesdk</t>
  </si>
  <si>
    <t>FITRI TRISWANTI</t>
  </si>
  <si>
    <t>fitritriswanti0080@gmail.com</t>
  </si>
  <si>
    <t>336</t>
  </si>
  <si>
    <t>https://drive.google.com/file/d/1MeeIiQ9-kBX0BuczFW802WNJSXFCa33s/view?usp=drivesdk</t>
  </si>
  <si>
    <t>1MeeIiQ9-kBX0BuczFW802WNJSXFCa33s</t>
  </si>
  <si>
    <t>1dH08uIR7axRV936fVksn1RL3AkCKDFzZ</t>
  </si>
  <si>
    <t>https://drive.google.com/file/d/1dH08uIR7axRV936fVksn1RL3AkCKDFzZ/view?usp=drivesdk</t>
  </si>
  <si>
    <t>1GMjcPfC64wgEB6xbF-3tVqL1nIJ1y7sc</t>
  </si>
  <si>
    <t>https://drive.google.com/file/d/1GMjcPfC64wgEB6xbF-3tVqL1nIJ1y7sc/view?usp=drivesdk</t>
  </si>
  <si>
    <t>ANGGUN MUJI HARTINI, A. Md. Keb</t>
  </si>
  <si>
    <t>anggun246.amh@gmail.com</t>
  </si>
  <si>
    <t>337</t>
  </si>
  <si>
    <t>https://drive.google.com/file/d/1gLfxe_8RVYgSMK6xXL58hwIcvgHRC5iK/view?usp=drivesdk</t>
  </si>
  <si>
    <t>1gLfxe_8RVYgSMK6xXL58hwIcvgHRC5iK</t>
  </si>
  <si>
    <t>1LaultkRyMgXmowtvkBwZkAGQgVQEViYG</t>
  </si>
  <si>
    <t>https://drive.google.com/file/d/1LaultkRyMgXmowtvkBwZkAGQgVQEViYG/view?usp=drivesdk</t>
  </si>
  <si>
    <t>1qwwUgq3HeWxKKTAYWbkHEcz6BukR5V7n</t>
  </si>
  <si>
    <t>https://drive.google.com/file/d/1qwwUgq3HeWxKKTAYWbkHEcz6BukR5V7n/view?usp=drivesdk</t>
  </si>
  <si>
    <t>APT. HUMAIRAH, S.FARM</t>
  </si>
  <si>
    <t>hhumairah147@gmail.com</t>
  </si>
  <si>
    <t>338</t>
  </si>
  <si>
    <t>https://drive.google.com/file/d/1mYEFOrTJlEVVkSZ7UOM9BLg8yREqDeiP/view?usp=drivesdk</t>
  </si>
  <si>
    <t>1mYEFOrTJlEVVkSZ7UOM9BLg8yREqDeiP</t>
  </si>
  <si>
    <t>1HmeGoRKkMoN-qyfpD48qN06s_mPP1gWY</t>
  </si>
  <si>
    <t>https://drive.google.com/file/d/1HmeGoRKkMoN-qyfpD48qN06s_mPP1gWY/view?usp=drivesdk</t>
  </si>
  <si>
    <t>Document successfully created; Document successfully merged; PDF created; !!Error Sending Emails: Service invoked too many times for one day: email.; Run via form trigger as ecertificate75@gmail.com; Timestamp: Aug 30 2024 9:29 PM</t>
  </si>
  <si>
    <t>1PD4ZVKDEnQz2q_O9ww75ZIuRv1aMztcz</t>
  </si>
  <si>
    <t>https://drive.google.com/file/d/1PD4ZVKDEnQz2q_O9ww75ZIuRv1aMztcz/view?usp=drivesdk</t>
  </si>
  <si>
    <t>Document successfully created; Document successfully merged; PDF created; !!Error Sending Emails: Service invoked too many times for one day: email.; Manually run by ecertificate75@gmail.com; Timestamp: Aug 31 2024 5:33 AM</t>
  </si>
  <si>
    <t>RATIH SULISTYOWATI, S.S., M.Pd</t>
  </si>
  <si>
    <t>ratihsulis272@gmail.com</t>
  </si>
  <si>
    <t>339</t>
  </si>
  <si>
    <t>https://drive.google.com/file/d/14vKTHNDO5MjfAWR_Wo9BuDXtPS5eUM_Y/view?usp=drivesdk</t>
  </si>
  <si>
    <t>14vKTHNDO5MjfAWR_Wo9BuDXtPS5eUM_Y</t>
  </si>
  <si>
    <t>1Tjh6wl5-LDVtuEKdYrAh0dFJvDdMqcft</t>
  </si>
  <si>
    <t>https://drive.google.com/file/d/1Tjh6wl5-LDVtuEKdYrAh0dFJvDdMqcft/view?usp=drivesdk</t>
  </si>
  <si>
    <t>1SCuCJ4n_k7RuuUqIebji3ncz5Pxp05mB</t>
  </si>
  <si>
    <t>https://drive.google.com/file/d/1SCuCJ4n_k7RuuUqIebji3ncz5Pxp05mB/view?usp=drivesdk</t>
  </si>
  <si>
    <t>NURUL MAHMUDAH, S.Sos.</t>
  </si>
  <si>
    <t>mahmudahn03@gmail.com</t>
  </si>
  <si>
    <t>340</t>
  </si>
  <si>
    <t>https://drive.google.com/file/d/1EqzjKr02H2Fo94HAE5arl7Kvu74zBMUq/view?usp=drivesdk</t>
  </si>
  <si>
    <t>1EqzjKr02H2Fo94HAE5arl7Kvu74zBMUq</t>
  </si>
  <si>
    <t>1WrG3tovcl_QqVEJvk6OgwqI2KY6O1MEc</t>
  </si>
  <si>
    <t>https://drive.google.com/file/d/1WrG3tovcl_QqVEJvk6OgwqI2KY6O1MEc/view?usp=drivesdk</t>
  </si>
  <si>
    <t>13kNjHy3byMkDWFL3-g1SD4zMgkC0D-zj</t>
  </si>
  <si>
    <t>https://drive.google.com/file/d/13kNjHy3byMkDWFL3-g1SD4zMgkC0D-zj/view?usp=drivesdk</t>
  </si>
  <si>
    <t>IIN SUWANDINI, S.E.</t>
  </si>
  <si>
    <t>iinsuwandini100780@gmail.com</t>
  </si>
  <si>
    <t>341</t>
  </si>
  <si>
    <t>https://drive.google.com/file/d/1vgAchmpO4VUBG9Hp1IAyv_HCN-U_LSwP/view?usp=drivesdk</t>
  </si>
  <si>
    <t>1vgAchmpO4VUBG9Hp1IAyv_HCN-U_LSwP</t>
  </si>
  <si>
    <t>1Kx993hFgBeGj3UymlYaOqIJmhw5Tz3VK</t>
  </si>
  <si>
    <t>https://drive.google.com/file/d/1Kx993hFgBeGj3UymlYaOqIJmhw5Tz3VK/view?usp=drivesdk</t>
  </si>
  <si>
    <t>1wqHlfKpcYjoLCcrVOtLfSNlmtnxZLhIG</t>
  </si>
  <si>
    <t>https://drive.google.com/file/d/1wqHlfKpcYjoLCcrVOtLfSNlmtnxZLhIG/view?usp=drivesdk</t>
  </si>
  <si>
    <t>POLDA MALUT</t>
  </si>
  <si>
    <t>ANIK INDRIANAWATI</t>
  </si>
  <si>
    <t>anikindrianawatianik@gmail.com</t>
  </si>
  <si>
    <t>342</t>
  </si>
  <si>
    <t>https://drive.google.com/file/d/1pm-ql1gd-tvA8URUo7b1Ame41I5QghF0/view?usp=drivesdk</t>
  </si>
  <si>
    <t>1pm-ql1gd-tvA8URUo7b1Ame41I5QghF0</t>
  </si>
  <si>
    <t>1OiEDTnKlKXK-TwKGqKcMVlGQyaGI4dFd</t>
  </si>
  <si>
    <t>https://drive.google.com/file/d/1OiEDTnKlKXK-TwKGqKcMVlGQyaGI4dFd/view?usp=drivesdk</t>
  </si>
  <si>
    <t>1baAaFEp6tR_zQp7ggVM4Fi8EagtdSM7H</t>
  </si>
  <si>
    <t>https://drive.google.com/file/d/1baAaFEp6tR_zQp7ggVM4Fi8EagtdSM7H/view?usp=drivesdk</t>
  </si>
  <si>
    <t>AGUS WIYONO, S.KEP.NERS</t>
  </si>
  <si>
    <t>aguswiyonodokpol@gmail.com</t>
  </si>
  <si>
    <t>343</t>
  </si>
  <si>
    <t>https://drive.google.com/file/d/1_SJq9qWjzFtHNu4rkGFXzhkNyocrIaz-/view?usp=drivesdk</t>
  </si>
  <si>
    <t>1_SJq9qWjzFtHNu4rkGFXzhkNyocrIaz-</t>
  </si>
  <si>
    <t>1Pvlx3CfNlYT2LJFTAEPYVcNR5ADyrIjU</t>
  </si>
  <si>
    <t>https://drive.google.com/file/d/1Pvlx3CfNlYT2LJFTAEPYVcNR5ADyrIjU/view?usp=drivesdk</t>
  </si>
  <si>
    <t>Document successfully created; Document successfully merged; PDF created; !!Error Sending Emails: Service invoked too many times for one day: email.; Run via form trigger as ecertificate75@gmail.com; Timestamp: Aug 30 2024 9:30 PM</t>
  </si>
  <si>
    <t>1DoeMtKrxiNU4tyn4LVVDoLDw3l3Usi57</t>
  </si>
  <si>
    <t>https://drive.google.com/file/d/1DoeMtKrxiNU4tyn4LVVDoLDw3l3Usi57/view?usp=drivesdk</t>
  </si>
  <si>
    <t>LINDA JUNNE TOUMAHUW,S.KM.M.KM</t>
  </si>
  <si>
    <t>junettoumahuw03@gmail.com</t>
  </si>
  <si>
    <t>344</t>
  </si>
  <si>
    <t>https://drive.google.com/file/d/1XkaUqE7mpBBYc8a_2lkMlDUPhfIaphYc/view?usp=drivesdk</t>
  </si>
  <si>
    <t>1XkaUqE7mpBBYc8a_2lkMlDUPhfIaphYc</t>
  </si>
  <si>
    <t>1Jv-RERidjwpYN_ATESiBBnFlulK9KP9b</t>
  </si>
  <si>
    <t>https://drive.google.com/file/d/1Jv-RERidjwpYN_ATESiBBnFlulK9KP9b/view?usp=drivesdk</t>
  </si>
  <si>
    <t>1ZAfyVvTeNwv_6auLgtbiuDtkEVTV3R_u</t>
  </si>
  <si>
    <t>https://drive.google.com/file/d/1ZAfyVvTeNwv_6auLgtbiuDtkEVTV3R_u/view?usp=drivesdk</t>
  </si>
  <si>
    <t>Document successfully created; Document successfully merged; PDF created; !!Error Sending Emails: Service invoked too many times for one day: email.; Manually run by ecertificate75@gmail.com; Timestamp: Aug 31 2024 5:34 AM</t>
  </si>
  <si>
    <t>NOVI WIJAYANTI</t>
  </si>
  <si>
    <t>noviwijayanti386@gmail.com</t>
  </si>
  <si>
    <t>345</t>
  </si>
  <si>
    <t>https://drive.google.com/file/d/1WFhmrlV4BJ3Ilhi2-5YDBLu2N7KrmrBz/view?usp=drivesdk</t>
  </si>
  <si>
    <t>1WFhmrlV4BJ3Ilhi2-5YDBLu2N7KrmrBz</t>
  </si>
  <si>
    <t>10TkcGtyArBvQCXpd0sGoy2Tvc-axGO3o</t>
  </si>
  <si>
    <t>https://drive.google.com/file/d/10TkcGtyArBvQCXpd0sGoy2Tvc-axGO3o/view?usp=drivesdk</t>
  </si>
  <si>
    <t>1Iuy2n0l5sJ05xrS_1UqOztloiqS_FLkR</t>
  </si>
  <si>
    <t>https://drive.google.com/file/d/1Iuy2n0l5sJ05xrS_1UqOztloiqS_FLkR/view?usp=drivesdk</t>
  </si>
  <si>
    <t>SRENA POLRI</t>
  </si>
  <si>
    <t>SENO AJI,S.KOM,M.M.</t>
  </si>
  <si>
    <t>senoaji1976@gmail.com</t>
  </si>
  <si>
    <t>346</t>
  </si>
  <si>
    <t>https://drive.google.com/file/d/1-hkKTBwc7KB0NFBWejaV_ymZjOTch38N/view?usp=drivesdk</t>
  </si>
  <si>
    <t>1-hkKTBwc7KB0NFBWejaV_ymZjOTch38N</t>
  </si>
  <si>
    <t>1qX98KYzx9AI6i21CYoPeYhwMbs_u6JIs</t>
  </si>
  <si>
    <t>https://drive.google.com/file/d/1qX98KYzx9AI6i21CYoPeYhwMbs_u6JIs/view?usp=drivesdk</t>
  </si>
  <si>
    <t>1T_rplXrOrKUI56siHkIPDiHuChbyrjZ0</t>
  </si>
  <si>
    <t>https://drive.google.com/file/d/1T_rplXrOrKUI56siHkIPDiHuChbyrjZ0/view?usp=drivesdk</t>
  </si>
  <si>
    <t>IDA AYU GEDE MILA CAHYANTHY, A.Md.Kep., S.H.</t>
  </si>
  <si>
    <t>dayuila538@gmail.com</t>
  </si>
  <si>
    <t>347</t>
  </si>
  <si>
    <t>https://drive.google.com/file/d/19LYQ-ySdo_6quo3e7WqPEXGUck53AfIx/view?usp=drivesdk</t>
  </si>
  <si>
    <t>19LYQ-ySdo_6quo3e7WqPEXGUck53AfIx</t>
  </si>
  <si>
    <t>1M7a4ou-iX9ZU9eRLcXRNsfgv9ehdme5h</t>
  </si>
  <si>
    <t>https://drive.google.com/file/d/1M7a4ou-iX9ZU9eRLcXRNsfgv9ehdme5h/view?usp=drivesdk</t>
  </si>
  <si>
    <t>Document successfully created; Document successfully merged; PDF created; !!Error Sending Emails: Service invoked too many times for one day: email.; Run via form trigger as ecertificate75@gmail.com; Timestamp: Aug 30 2024 9:31 PM</t>
  </si>
  <si>
    <t>1weQ3wU4XAws3gP7JssEeaEVi0skT69QX</t>
  </si>
  <si>
    <t>https://drive.google.com/file/d/1weQ3wU4XAws3gP7JssEeaEVi0skT69QX/view?usp=drivesdk</t>
  </si>
  <si>
    <t>IMAS KARWATI, S.KEP.,NERS</t>
  </si>
  <si>
    <t>imaskarwati88@gmail.com</t>
  </si>
  <si>
    <t>348</t>
  </si>
  <si>
    <t>https://drive.google.com/file/d/1NDN5DkIRZL6bS86x2D4zKZaIe1dM42ta/view?usp=drivesdk</t>
  </si>
  <si>
    <t>1NDN5DkIRZL6bS86x2D4zKZaIe1dM42ta</t>
  </si>
  <si>
    <t>1npjD21uzOuVLDLsGR-q2iy-AW-tW-3pQ</t>
  </si>
  <si>
    <t>https://drive.google.com/file/d/1npjD21uzOuVLDLsGR-q2iy-AW-tW-3pQ/view?usp=drivesdk</t>
  </si>
  <si>
    <t>1jbO5bLNPiCUYVAYQkwZE_AoFgwaiTef3</t>
  </si>
  <si>
    <t>https://drive.google.com/file/d/1jbO5bLNPiCUYVAYQkwZE_AoFgwaiTef3/view?usp=drivesdk</t>
  </si>
  <si>
    <t>RENI MURNIATI, S.AP</t>
  </si>
  <si>
    <t>renimurniati02@gmail.com</t>
  </si>
  <si>
    <t>349</t>
  </si>
  <si>
    <t>https://drive.google.com/file/d/1nTLOgele5Dr3dYMlKTpVxMseY7v_vmJH/view?usp=drivesdk</t>
  </si>
  <si>
    <t>1nTLOgele5Dr3dYMlKTpVxMseY7v_vmJH</t>
  </si>
  <si>
    <t>14TJm14vSP4MGeq_c2cBAq8PyJY9oJXTr</t>
  </si>
  <si>
    <t>https://drive.google.com/file/d/14TJm14vSP4MGeq_c2cBAq8PyJY9oJXTr/view?usp=drivesdk</t>
  </si>
  <si>
    <t>1jzncqYiVsaS1V6i6p8w9elV4D9bXFCim</t>
  </si>
  <si>
    <t>https://drive.google.com/file/d/1jzncqYiVsaS1V6i6p8w9elV4D9bXFCim/view?usp=drivesdk</t>
  </si>
  <si>
    <t>DARSIH SRI REJEKI</t>
  </si>
  <si>
    <t>darsihsrirejeki969@gmail.com</t>
  </si>
  <si>
    <t>350</t>
  </si>
  <si>
    <t>https://drive.google.com/file/d/1jLxvq6GdjkhSwHzm0t7g5JVqQK-ZbKJ-/view?usp=drivesdk</t>
  </si>
  <si>
    <t>1jLxvq6GdjkhSwHzm0t7g5JVqQK-ZbKJ-</t>
  </si>
  <si>
    <t>1YTrE5lCsdgkmd-39miJPB3RDazJv-bCg</t>
  </si>
  <si>
    <t>https://drive.google.com/file/d/1YTrE5lCsdgkmd-39miJPB3RDazJv-bCg/view?usp=drivesdk</t>
  </si>
  <si>
    <t>18lrc6s1ZWxFg_mU9UiQ22aOz0Lnhlda3</t>
  </si>
  <si>
    <t>https://drive.google.com/file/d/18lrc6s1ZWxFg_mU9UiQ22aOz0Lnhlda3/view?usp=drivesdk</t>
  </si>
  <si>
    <t>Document successfully created; Document successfully merged; PDF created; !!Error Sending Emails: Service invoked too many times for one day: email.; Manually run by ecertificate75@gmail.com; Timestamp: Aug 31 2024 5:35 AM</t>
  </si>
  <si>
    <t>NUR SUPRIYANTI, S.T., M.M.</t>
  </si>
  <si>
    <t>priaprie@ymail.com</t>
  </si>
  <si>
    <t>351</t>
  </si>
  <si>
    <t>https://drive.google.com/file/d/1_XG1r08hFCmDJGuiuiPvsp_uOQl9_cuY/view?usp=drivesdk</t>
  </si>
  <si>
    <t>1_XG1r08hFCmDJGuiuiPvsp_uOQl9_cuY</t>
  </si>
  <si>
    <t>1EvAniVOV38iBg7icaE7KaW5wzkCAN_vX</t>
  </si>
  <si>
    <t>https://drive.google.com/file/d/1EvAniVOV38iBg7icaE7KaW5wzkCAN_vX/view?usp=drivesdk</t>
  </si>
  <si>
    <t>1-gOJNLN5U-YhizUTS3waalqSMvjVqsiS</t>
  </si>
  <si>
    <t>https://drive.google.com/file/d/1-gOJNLN5U-YhizUTS3waalqSMvjVqsiS/view?usp=drivesdk</t>
  </si>
  <si>
    <t>SRI ENDAH SARI</t>
  </si>
  <si>
    <t>endahsari472@gmail.com</t>
  </si>
  <si>
    <t>352</t>
  </si>
  <si>
    <t>https://drive.google.com/file/d/1sk6mAWq5VSZHUeLhizRh6LNnjZGqcBk3/view?usp=drivesdk</t>
  </si>
  <si>
    <t>1sk6mAWq5VSZHUeLhizRh6LNnjZGqcBk3</t>
  </si>
  <si>
    <t>1kr6gyKAgMEteJQnpJo0PiucGHyBLxDev</t>
  </si>
  <si>
    <t>https://drive.google.com/file/d/1kr6gyKAgMEteJQnpJo0PiucGHyBLxDev/view?usp=drivesdk</t>
  </si>
  <si>
    <t>Document successfully created; Document successfully merged; PDF created; !!Error Sending Emails: Service invoked too many times for one day: email.; Run via form trigger as ecertificate75@gmail.com; Timestamp: Aug 30 2024 9:32 PM</t>
  </si>
  <si>
    <t>1ZOC6791uRXvktm1LgB4CblVeqfk3DIir</t>
  </si>
  <si>
    <t>https://drive.google.com/file/d/1ZOC6791uRXvktm1LgB4CblVeqfk3DIir/view?usp=drivesdk</t>
  </si>
  <si>
    <t>INEKE YULIA WIDIASTUTI.S.Kep.Ners</t>
  </si>
  <si>
    <t>inekeyulia123@gmail.com</t>
  </si>
  <si>
    <t>353</t>
  </si>
  <si>
    <t>https://drive.google.com/file/d/1_1RWe1f6WrpcKrbZPnvkV-EGstKLtuxN/view?usp=drivesdk</t>
  </si>
  <si>
    <t>1_1RWe1f6WrpcKrbZPnvkV-EGstKLtuxN</t>
  </si>
  <si>
    <t>1Juf-9X1XzM3HmwdR3Anatx4x3Tuaz1Wn</t>
  </si>
  <si>
    <t>https://drive.google.com/file/d/1Juf-9X1XzM3HmwdR3Anatx4x3Tuaz1Wn/view?usp=drivesdk</t>
  </si>
  <si>
    <t>1KnPufbYJVZleJDG76j5kUuxXbfAk80m8</t>
  </si>
  <si>
    <t>https://drive.google.com/file/d/1KnPufbYJVZleJDG76j5kUuxXbfAk80m8/view?usp=drivesdk</t>
  </si>
  <si>
    <t xml:space="preserve">PURNAMA SARI, Sos. </t>
  </si>
  <si>
    <t>purnama2711@gmail.com</t>
  </si>
  <si>
    <t>354</t>
  </si>
  <si>
    <t>https://drive.google.com/file/d/1lHAIU2TuB0SBiKei6ZudEveai0PW2YMq/view?usp=drivesdk</t>
  </si>
  <si>
    <t>1lHAIU2TuB0SBiKei6ZudEveai0PW2YMq</t>
  </si>
  <si>
    <t>1GDUkx7jRSxz-MrTtaOEYXCupKbBdSV0I</t>
  </si>
  <si>
    <t>https://drive.google.com/file/d/1GDUkx7jRSxz-MrTtaOEYXCupKbBdSV0I/view?usp=drivesdk</t>
  </si>
  <si>
    <t>1ubu18pUB-dv9_g_UNHIJM3gO_VI9hKHS</t>
  </si>
  <si>
    <t>https://drive.google.com/file/d/1ubu18pUB-dv9_g_UNHIJM3gO_VI9hKHS/view?usp=drivesdk</t>
  </si>
  <si>
    <t>EMA DAMAYANTI, S.E</t>
  </si>
  <si>
    <t>emalolak@gmail.com</t>
  </si>
  <si>
    <t>355</t>
  </si>
  <si>
    <t>https://drive.google.com/file/d/1dwUk40VE8maiI_W6dTAM_Dmvdmn0Ku51/view?usp=drivesdk</t>
  </si>
  <si>
    <t>1dwUk40VE8maiI_W6dTAM_Dmvdmn0Ku51</t>
  </si>
  <si>
    <t>1Wkj4hjtDkdXAuUotsO-5wCvaPt0B9CFo</t>
  </si>
  <si>
    <t>https://drive.google.com/file/d/1Wkj4hjtDkdXAuUotsO-5wCvaPt0B9CFo/view?usp=drivesdk</t>
  </si>
  <si>
    <t>Document successfully created; Document successfully merged; PDF created; !!Error Sending Emails: Service invoked too many times for one day: email.; Run via form trigger as ecertificate75@gmail.com; Timestamp: Aug 30 2024 9:36 PM</t>
  </si>
  <si>
    <t>1wSsShROkSIRL8Mm9gAuySgw6JoC6Hjf9</t>
  </si>
  <si>
    <t>https://drive.google.com/file/d/1wSsShROkSIRL8Mm9gAuySgw6JoC6Hjf9/view?usp=drivesdk</t>
  </si>
  <si>
    <t>IIS DWI RAHMAWATI</t>
  </si>
  <si>
    <t>iscello82@gmail.com</t>
  </si>
  <si>
    <t>356</t>
  </si>
  <si>
    <t>https://drive.google.com/file/d/1c6Fb5Zxs6JUzkKxbvGMb9ZyuHcKD6CyL/view?usp=drivesdk</t>
  </si>
  <si>
    <t>1c6Fb5Zxs6JUzkKxbvGMb9ZyuHcKD6CyL</t>
  </si>
  <si>
    <t>1yd1zRCcIvh3prHZkh2KLmD_mhyRlRztj</t>
  </si>
  <si>
    <t>https://drive.google.com/file/d/1yd1zRCcIvh3prHZkh2KLmD_mhyRlRztj/view?usp=drivesdk</t>
  </si>
  <si>
    <t>19eGjn2-SQ0khm50_pvDAcEuXq6pNgHfr</t>
  </si>
  <si>
    <t>https://drive.google.com/file/d/19eGjn2-SQ0khm50_pvDAcEuXq6pNgHfr/view?usp=drivesdk</t>
  </si>
  <si>
    <t>Document successfully created; Document successfully merged; PDF created; !!Error Sending Emails: Service invoked too many times for one day: email.; Manually run by ecertificate75@gmail.com; Timestamp: Aug 31 2024 5:36 AM</t>
  </si>
  <si>
    <t>Dr. WAHDAN SANUR TARIHORAN, S. Sos. I, M. M</t>
  </si>
  <si>
    <t>wahdanstarihoran@gmail.com</t>
  </si>
  <si>
    <t>357</t>
  </si>
  <si>
    <t>https://drive.google.com/file/d/1Ks3W0cIn_R2UTBxmBlWw-u5sxhW_p7ZC/view?usp=drivesdk</t>
  </si>
  <si>
    <t>1Ks3W0cIn_R2UTBxmBlWw-u5sxhW_p7ZC</t>
  </si>
  <si>
    <t>1TSGBr5txgf9MFqrvi7vH5J7-oDc2bdJM</t>
  </si>
  <si>
    <t>https://drive.google.com/file/d/1TSGBr5txgf9MFqrvi7vH5J7-oDc2bdJM/view?usp=drivesdk</t>
  </si>
  <si>
    <t>1hkx_jRhX9oj3f4KEh0Xjo6JVXW7s4lF8</t>
  </si>
  <si>
    <t>https://drive.google.com/file/d/1hkx_jRhX9oj3f4KEh0Xjo6JVXW7s4lF8/view?usp=drivesdk</t>
  </si>
  <si>
    <t>ALVIA PRADIPTA PUTRI, M.Psi., Psikolog</t>
  </si>
  <si>
    <t>psycho.putri@gmail.com</t>
  </si>
  <si>
    <t>358</t>
  </si>
  <si>
    <t>https://drive.google.com/file/d/1bEwKOoCYdpofIGmx3QY3NX4fPe51BYYZ/view?usp=drivesdk</t>
  </si>
  <si>
    <t>1bEwKOoCYdpofIGmx3QY3NX4fPe51BYYZ</t>
  </si>
  <si>
    <t>1O-6yRp26qK5dDVLcIy5nB40pBx10o8ll</t>
  </si>
  <si>
    <t>https://drive.google.com/file/d/1O-6yRp26qK5dDVLcIy5nB40pBx10o8ll/view?usp=drivesdk</t>
  </si>
  <si>
    <t>Document successfully created; Document successfully merged; PDF created; !!Error Sending Emails: Service invoked too many times for one day: email.; Run via form trigger as ecertificate75@gmail.com; Timestamp: Aug 30 2024 9:37 PM</t>
  </si>
  <si>
    <t>104jrvXS_2hUVfnT1SssH8I9vaF3wFVFP</t>
  </si>
  <si>
    <t>https://drive.google.com/file/d/104jrvXS_2hUVfnT1SssH8I9vaF3wFVFP/view?usp=drivesdk</t>
  </si>
  <si>
    <t>DEWI RULIYANTI ANDI RUSDIN NURUDDIN, A.MD, S.AKUN.</t>
  </si>
  <si>
    <t>andidewirusdin78@gmail.com</t>
  </si>
  <si>
    <t>359</t>
  </si>
  <si>
    <t>https://drive.google.com/file/d/1neDhVu7oQyfMFVbtBOqP3KBf2ptj44z6/view?usp=drivesdk</t>
  </si>
  <si>
    <t>1neDhVu7oQyfMFVbtBOqP3KBf2ptj44z6</t>
  </si>
  <si>
    <t>12wPVra8hnKFeHQTEz6Koof-3m-l9Dc57</t>
  </si>
  <si>
    <t>https://drive.google.com/file/d/12wPVra8hnKFeHQTEz6Koof-3m-l9Dc57/view?usp=drivesdk</t>
  </si>
  <si>
    <t>10LnupzDvDJH7TVlvT4VwiTS9z3Ee-tkE</t>
  </si>
  <si>
    <t>https://drive.google.com/file/d/10LnupzDvDJH7TVlvT4VwiTS9z3Ee-tkE/view?usp=drivesdk</t>
  </si>
  <si>
    <t xml:space="preserve">Drg RETNO WIDAYANTI, SpBM. </t>
  </si>
  <si>
    <t>retnowidayanti99@yahoo.co.id</t>
  </si>
  <si>
    <t>360</t>
  </si>
  <si>
    <t>https://drive.google.com/file/d/1KB8F2LVX-TxFFQ8JpAy6oAhXsXfSzj40/view?usp=drivesdk</t>
  </si>
  <si>
    <t>1KB8F2LVX-TxFFQ8JpAy6oAhXsXfSzj40</t>
  </si>
  <si>
    <t>1aAQGcOPQgBRazWBdTcvYoj2bbkrBdBPB</t>
  </si>
  <si>
    <t>https://drive.google.com/file/d/1aAQGcOPQgBRazWBdTcvYoj2bbkrBdBPB/view?usp=drivesdk</t>
  </si>
  <si>
    <t>1PGcJlYuhJ8sxDS7JlFfplhBdnmciHdcL</t>
  </si>
  <si>
    <t>https://drive.google.com/file/d/1PGcJlYuhJ8sxDS7JlFfplhBdnmciHdcL/view?usp=drivesdk</t>
  </si>
  <si>
    <t>YAYAT SUPRIATNA</t>
  </si>
  <si>
    <t>yayat.azka@yahoo.co.id</t>
  </si>
  <si>
    <t>361</t>
  </si>
  <si>
    <t>https://drive.google.com/file/d/1m_ruydDXXFi58NQ2N8BT5R_fCa_9nLgB/view?usp=drivesdk</t>
  </si>
  <si>
    <t>1m_ruydDXXFi58NQ2N8BT5R_fCa_9nLgB</t>
  </si>
  <si>
    <t>1wXdnOFqlfg7Q9hi9f1vO9xd9VMPB4USR</t>
  </si>
  <si>
    <t>https://drive.google.com/file/d/1wXdnOFqlfg7Q9hi9f1vO9xd9VMPB4USR/view?usp=drivesdk</t>
  </si>
  <si>
    <t>1VWtqEQQ9u5Lz2lQlLARSk0NNok40u-eM</t>
  </si>
  <si>
    <t>https://drive.google.com/file/d/1VWtqEQQ9u5Lz2lQlLARSk0NNok40u-eM/view?usp=drivesdk</t>
  </si>
  <si>
    <t>Document successfully created; Document successfully merged; PDF created; !!Error Sending Emails: Service invoked too many times for one day: email.; Manually run by ecertificate75@gmail.com; Timestamp: Aug 31 2024 5:37 AM</t>
  </si>
  <si>
    <t>WIGIT DONO PRANOTO</t>
  </si>
  <si>
    <t>wigitdpranoto@gmail.com</t>
  </si>
  <si>
    <t>362</t>
  </si>
  <si>
    <t>https://drive.google.com/file/d/1mXV-dB73N2n6EeK86lEG-r9J4JSbLceg/view?usp=drivesdk</t>
  </si>
  <si>
    <t>1mXV-dB73N2n6EeK86lEG-r9J4JSbLceg</t>
  </si>
  <si>
    <t>1Sl2G3pdGx4TyNijtLvR5FuQxKJ3zARAJ</t>
  </si>
  <si>
    <t>https://drive.google.com/file/d/1Sl2G3pdGx4TyNijtLvR5FuQxKJ3zARAJ/view?usp=drivesdk</t>
  </si>
  <si>
    <t>1zhXhHrDYA7CRFWep0mAX-DOvRJEh6m41</t>
  </si>
  <si>
    <t>https://drive.google.com/file/d/1zhXhHrDYA7CRFWep0mAX-DOvRJEh6m41/view?usp=drivesdk</t>
  </si>
  <si>
    <t>Document successfully created; Document successfully merged; PDF created; !!Error Sending Emails: Service invoked too many times for one day: email.; Manually run by ecertificate75@gmail.com; Timestamp: Aug 31 2024 7:04 AM</t>
  </si>
  <si>
    <t>NI NYOMAN SRI AYU SUSENI</t>
  </si>
  <si>
    <t>ayususeni17@gmail.com</t>
  </si>
  <si>
    <t>363</t>
  </si>
  <si>
    <t>https://drive.google.com/file/d/1gFnvafx_umECPB5K8---OtCxzRQKLz0x/view?usp=drivesdk</t>
  </si>
  <si>
    <t>1gFnvafx_umECPB5K8---OtCxzRQKLz0x</t>
  </si>
  <si>
    <t>1F8YcXT23Q8MwgomYPvTqP8hVEkZ9En4T</t>
  </si>
  <si>
    <t>https://drive.google.com/file/d/1F8YcXT23Q8MwgomYPvTqP8hVEkZ9En4T/view?usp=drivesdk</t>
  </si>
  <si>
    <t>1ei-g6U6rObuRr_XzGj0tJ1qkr6A5zgZw</t>
  </si>
  <si>
    <t>https://drive.google.com/file/d/1ei-g6U6rObuRr_XzGj0tJ1qkr6A5zgZw/view?usp=drivesdk</t>
  </si>
  <si>
    <t>ARI YULIANTO, S.H.</t>
  </si>
  <si>
    <t>ari.nadine4238@gmail.com</t>
  </si>
  <si>
    <t>364</t>
  </si>
  <si>
    <t>https://drive.google.com/file/d/1GZVmWhgMcHfYQE1_cbBG8IL-UPD6D_t-/view?usp=drivesdk</t>
  </si>
  <si>
    <t>1GZVmWhgMcHfYQE1_cbBG8IL-UPD6D_t-</t>
  </si>
  <si>
    <t>1d1-Cu84QEPqcb-KsG2GYiFtB5Yj0E0An</t>
  </si>
  <si>
    <t>https://drive.google.com/file/d/1d1-Cu84QEPqcb-KsG2GYiFtB5Yj0E0An/view?usp=drivesdk</t>
  </si>
  <si>
    <t>Document successfully created; Document successfully merged; PDF created; !!Error Sending Emails: Service invoked too many times for one day: email.; Run via form trigger as ecertificate75@gmail.com; Timestamp: Aug 30 2024 9:38 PM</t>
  </si>
  <si>
    <t>1fi1FnKSEGXudmsbV2PgaGs3wLV0mCVLJ</t>
  </si>
  <si>
    <t>https://drive.google.com/file/d/1fi1FnKSEGXudmsbV2PgaGs3wLV0mCVLJ/view?usp=drivesdk</t>
  </si>
  <si>
    <t xml:space="preserve">WINARNI SETYANINGTYAS, S. Kom. </t>
  </si>
  <si>
    <t>tyasajah81@gmail.com</t>
  </si>
  <si>
    <t>365</t>
  </si>
  <si>
    <t>https://drive.google.com/file/d/1Gn5omi77oVIVbV6t9rL81pueO_jMitcF/view?usp=drivesdk</t>
  </si>
  <si>
    <t>1Gn5omi77oVIVbV6t9rL81pueO_jMitcF</t>
  </si>
  <si>
    <t>1wTdJk-abR92gtuj1CABszJEuHrSozQV3</t>
  </si>
  <si>
    <t>https://drive.google.com/file/d/1wTdJk-abR92gtuj1CABszJEuHrSozQV3/view?usp=drivesdk</t>
  </si>
  <si>
    <t>1y1tv4tWtQvdjInOVX5pTN4nXWFGH80A4</t>
  </si>
  <si>
    <t>https://drive.google.com/file/d/1y1tv4tWtQvdjInOVX5pTN4nXWFGH80A4/view?usp=drivesdk</t>
  </si>
  <si>
    <t>NI NENGAH PURNIWATI</t>
  </si>
  <si>
    <t>nengahpurniwati@gmail.com</t>
  </si>
  <si>
    <t>366</t>
  </si>
  <si>
    <t>https://drive.google.com/file/d/1l_eWPbeX_4Y9I1PBKsna48d6PNahnBLY/view?usp=drivesdk</t>
  </si>
  <si>
    <t>1l_eWPbeX_4Y9I1PBKsna48d6PNahnBLY</t>
  </si>
  <si>
    <t>1UXkVD8Lt6WE2FuazEpDeYzMaeHpub3kM</t>
  </si>
  <si>
    <t>https://drive.google.com/file/d/1UXkVD8Lt6WE2FuazEpDeYzMaeHpub3kM/view?usp=drivesdk</t>
  </si>
  <si>
    <t>1Fq0y6sgcuG3XMTw23vBOmClO2L-V_0Ua</t>
  </si>
  <si>
    <t>https://drive.google.com/file/d/1Fq0y6sgcuG3XMTw23vBOmClO2L-V_0Ua/view?usp=drivesdk</t>
  </si>
  <si>
    <t>IDA AYU NYOMAN WAHYUDARI, A. Md. Keb</t>
  </si>
  <si>
    <t>cikung.mi@gmail.com</t>
  </si>
  <si>
    <t>367</t>
  </si>
  <si>
    <t>https://drive.google.com/file/d/10zNEbR_NQ3MJYpgABlR4GY6VhTRFXNc-/view?usp=drivesdk</t>
  </si>
  <si>
    <t>10zNEbR_NQ3MJYpgABlR4GY6VhTRFXNc-</t>
  </si>
  <si>
    <t>1f3z_uGNXmd8DY53scb4Ks2kgBEmJdnx9</t>
  </si>
  <si>
    <t>https://drive.google.com/file/d/1f3z_uGNXmd8DY53scb4Ks2kgBEmJdnx9/view?usp=drivesdk</t>
  </si>
  <si>
    <t>1lv-SO6t2dSMKSatARJpt6UlBaOq5RtGU</t>
  </si>
  <si>
    <t>https://drive.google.com/file/d/1lv-SO6t2dSMKSatARJpt6UlBaOq5RtGU/view?usp=drivesdk</t>
  </si>
  <si>
    <t>Document successfully created; Document successfully merged; PDF created; !!Error Sending Emails: Service invoked too many times for one day: email.; Manually run by ecertificate75@gmail.com; Timestamp: Aug 31 2024 7:05 AM</t>
  </si>
  <si>
    <t>ANDY PURWANDI</t>
  </si>
  <si>
    <t>andy.purwandi77@gmail.com</t>
  </si>
  <si>
    <t>368</t>
  </si>
  <si>
    <t>https://drive.google.com/file/d/1yxkorhqE77EuYKIaakO7sq5lYUHL15D6/view?usp=drivesdk</t>
  </si>
  <si>
    <t>1yxkorhqE77EuYKIaakO7sq5lYUHL15D6</t>
  </si>
  <si>
    <t>1717gS7ddFC5Ji2QKvgSbDj1HNxjaJF5y</t>
  </si>
  <si>
    <t>https://drive.google.com/file/d/1717gS7ddFC5Ji2QKvgSbDj1HNxjaJF5y/view?usp=drivesdk</t>
  </si>
  <si>
    <t>1jH7tv4-YU99t91m7aA2iG4Begq3P4s7k</t>
  </si>
  <si>
    <t>https://drive.google.com/file/d/1jH7tv4-YU99t91m7aA2iG4Begq3P4s7k/view?usp=drivesdk</t>
  </si>
  <si>
    <t>M. HIRNAWAN SAPUTRA. A.Md.Kep</t>
  </si>
  <si>
    <t>hirnawan02@gmail.com</t>
  </si>
  <si>
    <t>369</t>
  </si>
  <si>
    <t>https://drive.google.com/file/d/1H-2x6krFVPei_eder_wLDLv0KJvK821x/view?usp=drivesdk</t>
  </si>
  <si>
    <t>1H-2x6krFVPei_eder_wLDLv0KJvK821x</t>
  </si>
  <si>
    <t>1CtEMIhg6wS2WjKJqkgOqWkGx6pZ79AvA</t>
  </si>
  <si>
    <t>https://drive.google.com/file/d/1CtEMIhg6wS2WjKJqkgOqWkGx6pZ79AvA/view?usp=drivesdk</t>
  </si>
  <si>
    <t>1Cuzm_y05bmMKQNe7_GSIOD5cYeVNF2Ck</t>
  </si>
  <si>
    <t>https://drive.google.com/file/d/1Cuzm_y05bmMKQNe7_GSIOD5cYeVNF2Ck/view?usp=drivesdk</t>
  </si>
  <si>
    <t>YANTI LYDIA NOBELINA SITUMORANG SRINGORINGO, A.Md</t>
  </si>
  <si>
    <t>yantilydiajait@gmail.com</t>
  </si>
  <si>
    <t>370</t>
  </si>
  <si>
    <t>https://drive.google.com/file/d/1bt8c2QBkhIDCGaIgtwTrM3w4-0xTKS5s/view?usp=drivesdk</t>
  </si>
  <si>
    <t>1bt8c2QBkhIDCGaIgtwTrM3w4-0xTKS5s</t>
  </si>
  <si>
    <t>1_4s7e81vmW074rYvmoGzWqKUATbmilUS</t>
  </si>
  <si>
    <t>https://drive.google.com/file/d/1_4s7e81vmW074rYvmoGzWqKUATbmilUS/view?usp=drivesdk</t>
  </si>
  <si>
    <t>Document successfully created; Document successfully merged; PDF created; !!Error Sending Emails: Service invoked too many times for one day: email.; Run via form trigger as ecertificate75@gmail.com; Timestamp: Aug 30 2024 9:39 PM</t>
  </si>
  <si>
    <t>1JtUSBsa_R9gHGyTt_N87U5gXnwylcay2</t>
  </si>
  <si>
    <t>https://drive.google.com/file/d/1JtUSBsa_R9gHGyTt_N87U5gXnwylcay2/view?usp=drivesdk</t>
  </si>
  <si>
    <t>LUH PUTU SUARNI PUWI</t>
  </si>
  <si>
    <t>luhputu993@gmail.com</t>
  </si>
  <si>
    <t>371</t>
  </si>
  <si>
    <t>https://drive.google.com/file/d/1jJQFMOPaQd1-T65QncHGyT2O4cUwcEBI/view?usp=drivesdk</t>
  </si>
  <si>
    <t>1jJQFMOPaQd1-T65QncHGyT2O4cUwcEBI</t>
  </si>
  <si>
    <t>1JqvfsjaXgIU3qdSQRU6AqzQmyo6Y6Z1C</t>
  </si>
  <si>
    <t>https://drive.google.com/file/d/1JqvfsjaXgIU3qdSQRU6AqzQmyo6Y6Z1C/view?usp=drivesdk</t>
  </si>
  <si>
    <t>18LHYKFOJooHZ5OlKQZtbLDQMbu3Ujy2u</t>
  </si>
  <si>
    <t>https://drive.google.com/file/d/18LHYKFOJooHZ5OlKQZtbLDQMbu3Ujy2u/view?usp=drivesdk</t>
  </si>
  <si>
    <t>PURNOMO TEDY SETYAWAN</t>
  </si>
  <si>
    <t>tedypaliyan@gmail.com</t>
  </si>
  <si>
    <t>372</t>
  </si>
  <si>
    <t>https://drive.google.com/file/d/16gs9zOJVCYzl_xj4RxynZ23KgY7-AnS9/view?usp=drivesdk</t>
  </si>
  <si>
    <t>16gs9zOJVCYzl_xj4RxynZ23KgY7-AnS9</t>
  </si>
  <si>
    <t>18_CIM9-_AT2H5d3xsdFhcAqzmP7RDu9k</t>
  </si>
  <si>
    <t>https://drive.google.com/file/d/18_CIM9-_AT2H5d3xsdFhcAqzmP7RDu9k/view?usp=drivesdk</t>
  </si>
  <si>
    <t>1ac0sXlXxZe23TqkN9H_qK5gkQG0Jdvth</t>
  </si>
  <si>
    <t>https://drive.google.com/file/d/1ac0sXlXxZe23TqkN9H_qK5gkQG0Jdvth/view?usp=drivesdk</t>
  </si>
  <si>
    <t>MALIK SYAIFUDDIN</t>
  </si>
  <si>
    <t>maliksyaifuddin@gmail.com</t>
  </si>
  <si>
    <t>373</t>
  </si>
  <si>
    <t>https://drive.google.com/file/d/1flJW20odiEt-PkB6JmvlN6qAGshtdsLs/view?usp=drivesdk</t>
  </si>
  <si>
    <t>1flJW20odiEt-PkB6JmvlN6qAGshtdsLs</t>
  </si>
  <si>
    <t>1amT6AS24MlXJdeT_vUFGmXK0lbMpDmi3</t>
  </si>
  <si>
    <t>https://drive.google.com/file/d/1amT6AS24MlXJdeT_vUFGmXK0lbMpDmi3/view?usp=drivesdk</t>
  </si>
  <si>
    <t>1UVoF7qncKbTSbA07oked8s9ISPqO93Vh</t>
  </si>
  <si>
    <t>https://drive.google.com/file/d/1UVoF7qncKbTSbA07oked8s9ISPqO93Vh/view?usp=drivesdk</t>
  </si>
  <si>
    <t>Document successfully created; Document successfully merged; PDF created; !!Error Sending Emails: Service invoked too many times for one day: email.; Manually run by ecertificate75@gmail.com; Timestamp: Aug 31 2024 7:06 AM</t>
  </si>
  <si>
    <t>HERU SURYANTO</t>
  </si>
  <si>
    <t>herusuryanto989@gmail.com</t>
  </si>
  <si>
    <t>374</t>
  </si>
  <si>
    <t>https://drive.google.com/file/d/1sXPPFmiX_MZmME0fcq3r9DNCUvMSRtkR/view?usp=drivesdk</t>
  </si>
  <si>
    <t>1sXPPFmiX_MZmME0fcq3r9DNCUvMSRtkR</t>
  </si>
  <si>
    <t>1zp9gpMP0FnH3ooszFWVGmchfCtYaAQhY</t>
  </si>
  <si>
    <t>https://drive.google.com/file/d/1zp9gpMP0FnH3ooszFWVGmchfCtYaAQhY/view?usp=drivesdk</t>
  </si>
  <si>
    <t>1yCjPLxPmnI709WNxuDRY_wjt0h-pKnVv</t>
  </si>
  <si>
    <t>https://drive.google.com/file/d/1yCjPLxPmnI709WNxuDRY_wjt0h-pKnVv/view?usp=drivesdk</t>
  </si>
  <si>
    <t>Ns. NYOMAN SANTINI DEWI,S.Kep</t>
  </si>
  <si>
    <t>santinidewi84@yahoo.com</t>
  </si>
  <si>
    <t>375</t>
  </si>
  <si>
    <t>https://drive.google.com/file/d/1FGU19pBQ0GDZm335prhI-y5oC0J6h-O1/view?usp=drivesdk</t>
  </si>
  <si>
    <t>1FGU19pBQ0GDZm335prhI-y5oC0J6h-O1</t>
  </si>
  <si>
    <t>1T_rdHbQL2U3R_LBJ4HxP_QOmQUcJNPXj</t>
  </si>
  <si>
    <t>https://drive.google.com/file/d/1T_rdHbQL2U3R_LBJ4HxP_QOmQUcJNPXj/view?usp=drivesdk</t>
  </si>
  <si>
    <t>1AFlsY8pfkMPJvOSqLNQjOP1CQMlkOj3f</t>
  </si>
  <si>
    <t>https://drive.google.com/file/d/1AFlsY8pfkMPJvOSqLNQjOP1CQMlkOj3f/view?usp=drivesdk</t>
  </si>
  <si>
    <t>LILIS ELGAWATI</t>
  </si>
  <si>
    <t>liliselgawati69@gmail.com</t>
  </si>
  <si>
    <t>376</t>
  </si>
  <si>
    <t>https://drive.google.com/file/d/1AW3qju-K40HimJ59xXbw-ET2ADhgxYk4/view?usp=drivesdk</t>
  </si>
  <si>
    <t>Document successfully created; Document successfully merged; PDF created; !!Error Sending Emails: Service invoked too many times for one day: email.; Run via form trigger as ecertificate75@gmail.com; Timestamp: Aug 29 2024 8:40 PM</t>
  </si>
  <si>
    <t>1AW3qju-K40HimJ59xXbw-ET2ADhgxYk4</t>
  </si>
  <si>
    <t>1OIda0Nujy79-CVjSlCIIWmuoqhfITip9</t>
  </si>
  <si>
    <t>https://drive.google.com/file/d/1OIda0Nujy79-CVjSlCIIWmuoqhfITip9/view?usp=drivesdk</t>
  </si>
  <si>
    <t>Document successfully created; Document successfully merged; PDF created; !!Error Sending Emails: Service invoked too many times for one day: email.; Run via form trigger as ecertificate75@gmail.com; Timestamp: Aug 30 2024 9:40 PM</t>
  </si>
  <si>
    <t>1A_Js9p_a6JDwt0XSx-gjNMMolJOu98zm</t>
  </si>
  <si>
    <t>https://drive.google.com/file/d/1A_Js9p_a6JDwt0XSx-gjNMMolJOu98zm/view?usp=drivesdk</t>
  </si>
  <si>
    <t>SUHARTINI SUHARTINI</t>
  </si>
  <si>
    <t>demang915@gmail.com</t>
  </si>
  <si>
    <t>377</t>
  </si>
  <si>
    <t>https://drive.google.com/file/d/1IDkLG9tw8sQAS3gAm9C_d4vjYIMyrO4X/view?usp=drivesdk</t>
  </si>
  <si>
    <t>1IDkLG9tw8sQAS3gAm9C_d4vjYIMyrO4X</t>
  </si>
  <si>
    <t>1ZPkW8uODtgotKighR56z99DHcp9fvZz_</t>
  </si>
  <si>
    <t>https://drive.google.com/file/d/1ZPkW8uODtgotKighR56z99DHcp9fvZz_/view?usp=drivesdk</t>
  </si>
  <si>
    <t>1tS8A_Etus3ldi-ZpXEkl9SXUhSDyqQ67</t>
  </si>
  <si>
    <t>https://drive.google.com/file/d/1tS8A_Etus3ldi-ZpXEkl9SXUhSDyqQ67/view?usp=drivesdk</t>
  </si>
  <si>
    <t>SENGGO SAGALA , AHLI MADYA AKUPUNKTUR</t>
  </si>
  <si>
    <t>senggosagaladokes@gmail.com</t>
  </si>
  <si>
    <t>378</t>
  </si>
  <si>
    <t>https://drive.google.com/file/d/1gqlrNnTKkORK0gmL8wt2PArEqqJP2uES/view?usp=drivesdk</t>
  </si>
  <si>
    <t>1gqlrNnTKkORK0gmL8wt2PArEqqJP2uES</t>
  </si>
  <si>
    <t>1YsECUSpvPWOuqZ3FkQW4EC1HpGrhdHSc</t>
  </si>
  <si>
    <t>https://drive.google.com/file/d/1YsECUSpvPWOuqZ3FkQW4EC1HpGrhdHSc/view?usp=drivesdk</t>
  </si>
  <si>
    <t>1boDeisekV4LXyvYovvHVKYXJS4I-427B</t>
  </si>
  <si>
    <t>https://drive.google.com/file/d/1boDeisekV4LXyvYovvHVKYXJS4I-427B/view?usp=drivesdk</t>
  </si>
  <si>
    <t>IKA SETYAWATI, S.Psi</t>
  </si>
  <si>
    <t>ichaseta75@gmail.com</t>
  </si>
  <si>
    <t>379</t>
  </si>
  <si>
    <t>https://drive.google.com/file/d/1KCYaTjjaazmjyh0fTgkOmDCnFg5TgFUU/view?usp=drivesdk</t>
  </si>
  <si>
    <t>1KCYaTjjaazmjyh0fTgkOmDCnFg5TgFUU</t>
  </si>
  <si>
    <t>1SClKlDWOtzraU3wRaNQio7962RB1nF01</t>
  </si>
  <si>
    <t>https://drive.google.com/file/d/1SClKlDWOtzraU3wRaNQio7962RB1nF01/view?usp=drivesdk</t>
  </si>
  <si>
    <t>1uI7D5ejozus-1Un_qmDcGhOIvZonS8Fp</t>
  </si>
  <si>
    <t>https://drive.google.com/file/d/1uI7D5ejozus-1Un_qmDcGhOIvZonS8Fp/view?usp=drivesdk</t>
  </si>
  <si>
    <t>WIRAWAN I KETUT</t>
  </si>
  <si>
    <t>iketutwirawan1980@gmail.com</t>
  </si>
  <si>
    <t>380</t>
  </si>
  <si>
    <t>https://drive.google.com/file/d/1HoV6dcyoltsck7rO6NpNILfo_EAtacF0/view?usp=drivesdk</t>
  </si>
  <si>
    <t>1HoV6dcyoltsck7rO6NpNILfo_EAtacF0</t>
  </si>
  <si>
    <t>1fS3mHTvrhRHMzUgPrJJvdudI5Ova-ztz</t>
  </si>
  <si>
    <t>https://drive.google.com/file/d/1fS3mHTvrhRHMzUgPrJJvdudI5Ova-ztz/view?usp=drivesdk</t>
  </si>
  <si>
    <t>10QBckAxhvgCO5jhtOAs_g1KTnPDYi9TB</t>
  </si>
  <si>
    <t>https://drive.google.com/file/d/10QBckAxhvgCO5jhtOAs_g1KTnPDYi9TB/view?usp=drivesdk</t>
  </si>
  <si>
    <t>Document successfully created; Document successfully merged; PDF created; !!Error Sending Emails: Service invoked too many times for one day: email.; Manually run by ecertificate75@gmail.com; Timestamp: Aug 31 2024 7:07 AM</t>
  </si>
  <si>
    <t>NI WAYAN SERIYATI,A.Md.Keb</t>
  </si>
  <si>
    <t>seriyatiwayan6@gmail.com</t>
  </si>
  <si>
    <t>381</t>
  </si>
  <si>
    <t>https://drive.google.com/file/d/1ysfhiYr_TeX_yt5T8_nXfVn94euNddvf/view?usp=drivesdk</t>
  </si>
  <si>
    <t>1ysfhiYr_TeX_yt5T8_nXfVn94euNddvf</t>
  </si>
  <si>
    <t>1vLl0BFfksoNR3r2AjyleodvNn8L88GOL</t>
  </si>
  <si>
    <t>https://drive.google.com/file/d/1vLl0BFfksoNR3r2AjyleodvNn8L88GOL/view?usp=drivesdk</t>
  </si>
  <si>
    <t>Document successfully created; Document successfully merged; PDF created; !!Error Sending Emails: Service invoked too many times for one day: email.; Run via form trigger as ecertificate75@gmail.com; Timestamp: Aug 30 2024 9:41 PM</t>
  </si>
  <si>
    <t>1n3KdVnw4-_WeCqr_HAf8jZf-F2n1TRPx</t>
  </si>
  <si>
    <t>https://drive.google.com/file/d/1n3KdVnw4-_WeCqr_HAf8jZf-F2n1TRPx/view?usp=drivesdk</t>
  </si>
  <si>
    <t>MIRA RATNA YUNIAR</t>
  </si>
  <si>
    <t>miraratnayuniar2@gmail.com</t>
  </si>
  <si>
    <t>382</t>
  </si>
  <si>
    <t>https://drive.google.com/file/d/1Mq-uHe7wlx8zSL9kz7bhmAY30X2vlPo_/view?usp=drivesdk</t>
  </si>
  <si>
    <t>1Mq-uHe7wlx8zSL9kz7bhmAY30X2vlPo_</t>
  </si>
  <si>
    <t>1DF1nw5I1PBFWoACM1L-glR-lp8LtHfwY</t>
  </si>
  <si>
    <t>https://drive.google.com/file/d/1DF1nw5I1PBFWoACM1L-glR-lp8LtHfwY/view?usp=drivesdk</t>
  </si>
  <si>
    <t>1G4W_8EYs-3r9C9mRFzG-YvRYG7Mblg9I</t>
  </si>
  <si>
    <t>https://drive.google.com/file/d/1G4W_8EYs-3r9C9mRFzG-YvRYG7Mblg9I/view?usp=drivesdk</t>
  </si>
  <si>
    <t>SEPTIANA SHANDY PERTIWI, S.ST.</t>
  </si>
  <si>
    <t>septiana.shandy@gmail.com</t>
  </si>
  <si>
    <t>383</t>
  </si>
  <si>
    <t>https://drive.google.com/file/d/1674nnarGRz8Lz4sVrN9eLnVWTsn4iS5f/view?usp=drivesdk</t>
  </si>
  <si>
    <t>1674nnarGRz8Lz4sVrN9eLnVWTsn4iS5f</t>
  </si>
  <si>
    <t>1NI5Ahgy4UjwAeLJXqx7GufIcZcuL-AVZ</t>
  </si>
  <si>
    <t>https://drive.google.com/file/d/1NI5Ahgy4UjwAeLJXqx7GufIcZcuL-AVZ/view?usp=drivesdk</t>
  </si>
  <si>
    <t>1FKlfRvOqgUxkbz00w_da8OTfD8Cf-uBe</t>
  </si>
  <si>
    <t>https://drive.google.com/file/d/1FKlfRvOqgUxkbz00w_da8OTfD8Cf-uBe/view?usp=drivesdk</t>
  </si>
  <si>
    <t>ANING KHOIRIYAH</t>
  </si>
  <si>
    <t>aningkhoiriyah234@gmail.com</t>
  </si>
  <si>
    <t>384</t>
  </si>
  <si>
    <t>https://drive.google.com/file/d/126xZG_h-A93US5jqJWdxrgUULkkjbHfU/view?usp=drivesdk</t>
  </si>
  <si>
    <t>126xZG_h-A93US5jqJWdxrgUULkkjbHfU</t>
  </si>
  <si>
    <t>11mmc6P-CNWYMnFyQVFmKmTrwkIJke-fT</t>
  </si>
  <si>
    <t>https://drive.google.com/file/d/11mmc6P-CNWYMnFyQVFmKmTrwkIJke-fT/view?usp=drivesdk</t>
  </si>
  <si>
    <t>16BKyC0gRC8gVvrdsGiM0_gAoxirZT5iP</t>
  </si>
  <si>
    <t>https://drive.google.com/file/d/16BKyC0gRC8gVvrdsGiM0_gAoxirZT5iP/view?usp=drivesdk</t>
  </si>
  <si>
    <t xml:space="preserve">NOOR IRFAN CHRISTANTO </t>
  </si>
  <si>
    <t>nichvanvan2@gmail.com</t>
  </si>
  <si>
    <t>385</t>
  </si>
  <si>
    <t>https://drive.google.com/file/d/1hTKSwnI_8Kh6AT0jUSm5AIEPYP5TaV1j/view?usp=drivesdk</t>
  </si>
  <si>
    <t>1hTKSwnI_8Kh6AT0jUSm5AIEPYP5TaV1j</t>
  </si>
  <si>
    <t>12Y07bl8ZdegD2Xv15e2-p8W9GDpCtnQ4</t>
  </si>
  <si>
    <t>https://drive.google.com/file/d/12Y07bl8ZdegD2Xv15e2-p8W9GDpCtnQ4/view?usp=drivesdk</t>
  </si>
  <si>
    <t>1TPnbl8710mGQznaJN4fVQZyrbQwv-iK-</t>
  </si>
  <si>
    <t>https://drive.google.com/file/d/1TPnbl8710mGQznaJN4fVQZyrbQwv-iK-/view?usp=drivesdk</t>
  </si>
  <si>
    <t>Document successfully created; Document successfully merged; PDF created; !!Error Sending Emails: Service invoked too many times for one day: email.; Manually run by ecertificate75@gmail.com; Timestamp: Aug 31 2024 7:08 AM</t>
  </si>
  <si>
    <t>POLDA KEP. BABEL</t>
  </si>
  <si>
    <t xml:space="preserve">ANA PRATIWININGSIH </t>
  </si>
  <si>
    <t>anapratiwiningsih@gmail.com</t>
  </si>
  <si>
    <t>386</t>
  </si>
  <si>
    <t>https://drive.google.com/file/d/19UutyXD4PTMRv5eqCdEwD-kbeTtZJj8E/view?usp=drivesdk</t>
  </si>
  <si>
    <t>19UutyXD4PTMRv5eqCdEwD-kbeTtZJj8E</t>
  </si>
  <si>
    <t>1JaK4HSLJ3oKTAHiYixrL-Cj_hTCgEu7M</t>
  </si>
  <si>
    <t>https://drive.google.com/file/d/1JaK4HSLJ3oKTAHiYixrL-Cj_hTCgEu7M/view?usp=drivesdk</t>
  </si>
  <si>
    <t>1FnFlmjF9r8leSZa5SMc8HqtanpOjAnJD</t>
  </si>
  <si>
    <t>https://drive.google.com/file/d/1FnFlmjF9r8leSZa5SMc8HqtanpOjAnJD/view?usp=drivesdk</t>
  </si>
  <si>
    <t>MUHAMMAD RIDUANSYAH</t>
  </si>
  <si>
    <t>riduansyah.mi@gmail.com</t>
  </si>
  <si>
    <t>387</t>
  </si>
  <si>
    <t>https://drive.google.com/file/d/1Hbxi8fVWji2OuVDsLnn3nRs6uy4GXyQO/view?usp=drivesdk</t>
  </si>
  <si>
    <t>1Hbxi8fVWji2OuVDsLnn3nRs6uy4GXyQO</t>
  </si>
  <si>
    <t>12Wmkif791Myhl2Tg1rnhLnu-lCp6MgtG</t>
  </si>
  <si>
    <t>https://drive.google.com/file/d/12Wmkif791Myhl2Tg1rnhLnu-lCp6MgtG/view?usp=drivesdk</t>
  </si>
  <si>
    <t>1N4_JAnMNNA3G6oNHCEtGklpFdBxvOenU</t>
  </si>
  <si>
    <t>https://drive.google.com/file/d/1N4_JAnMNNA3G6oNHCEtGklpFdBxvOenU/view?usp=drivesdk</t>
  </si>
  <si>
    <t>MUFROTUL FAIDAH</t>
  </si>
  <si>
    <t>faidahtul0@gmail.com</t>
  </si>
  <si>
    <t>388</t>
  </si>
  <si>
    <t>https://drive.google.com/file/d/1LWES7yT4J_xnVTmKUY4LdClEjpnTbzmd/view?usp=drivesdk</t>
  </si>
  <si>
    <t>1LWES7yT4J_xnVTmKUY4LdClEjpnTbzmd</t>
  </si>
  <si>
    <t>1LJZKiVr7xRmIf-Bhu-hsSIGt1UKE_afM</t>
  </si>
  <si>
    <t>https://drive.google.com/file/d/1LJZKiVr7xRmIf-Bhu-hsSIGt1UKE_afM/view?usp=drivesdk</t>
  </si>
  <si>
    <t>1lHPy2GI_feFQCwGM7iTx8OzDpivhhHga</t>
  </si>
  <si>
    <t>https://drive.google.com/file/d/1lHPy2GI_feFQCwGM7iTx8OzDpivhhHga/view?usp=drivesdk</t>
  </si>
  <si>
    <t xml:space="preserve">DARA FIRDANIANTY </t>
  </si>
  <si>
    <t>darafirdanianty93@gmail.com</t>
  </si>
  <si>
    <t>389</t>
  </si>
  <si>
    <t>https://drive.google.com/file/d/1bJoR0xFKNPmYNuMoIbDbnASQ-EFlk4bG/view?usp=drivesdk</t>
  </si>
  <si>
    <t>1bJoR0xFKNPmYNuMoIbDbnASQ-EFlk4bG</t>
  </si>
  <si>
    <t>1hPUOdtQ9ACz09uVMlCdltn9zhWZPtDSY</t>
  </si>
  <si>
    <t>https://drive.google.com/file/d/1hPUOdtQ9ACz09uVMlCdltn9zhWZPtDSY/view?usp=drivesdk</t>
  </si>
  <si>
    <t>18xmBaORL0lnuJDLT1F9NyAhcxuH_qKRx</t>
  </si>
  <si>
    <t>https://drive.google.com/file/d/18xmBaORL0lnuJDLT1F9NyAhcxuH_qKRx/view?usp=drivesdk</t>
  </si>
  <si>
    <t>DR SRI PUSPA HANDAYANI, SpKN</t>
  </si>
  <si>
    <t>drspk24@gmai.com</t>
  </si>
  <si>
    <t>390</t>
  </si>
  <si>
    <t>https://drive.google.com/file/d/1FELKYU1k5ZcVuCP2kGJDme8Ou85l84w4/view?usp=drivesdk</t>
  </si>
  <si>
    <t>1FELKYU1k5ZcVuCP2kGJDme8Ou85l84w4</t>
  </si>
  <si>
    <t>1qga5u5ZtCggdlua8epgqhJTddoxtNqI8</t>
  </si>
  <si>
    <t>https://drive.google.com/file/d/1qga5u5ZtCggdlua8epgqhJTddoxtNqI8/view?usp=drivesdk</t>
  </si>
  <si>
    <t>14A5AD-ez6Eiw--KjHY6G5bSA7GvFRlHX</t>
  </si>
  <si>
    <t>https://drive.google.com/file/d/14A5AD-ez6Eiw--KjHY6G5bSA7GvFRlHX/view?usp=drivesdk</t>
  </si>
  <si>
    <t>Document successfully created; Document successfully merged; PDF created; !!Error Sending Emails: Service invoked too many times for one day: email.; Manually run by ecertificate75@gmail.com; Timestamp: Aug 31 2024 7:09 AM</t>
  </si>
  <si>
    <t>AGUSTINA SUSANTI</t>
  </si>
  <si>
    <t>agustinasusan460@gmail.com</t>
  </si>
  <si>
    <t>391</t>
  </si>
  <si>
    <t>https://drive.google.com/file/d/1sJHb3-ZxNIjOUp7vOZLkNjLH5gvQwQ0w/view?usp=drivesdk</t>
  </si>
  <si>
    <t>Document successfully created; Document successfully merged; PDF created; !!Error Sending Emails: Service invoked too many times for one day: email.; Run via form trigger as ecertificate75@gmail.com; Timestamp: Aug 29 2024 8:41 PM</t>
  </si>
  <si>
    <t>1sJHb3-ZxNIjOUp7vOZLkNjLH5gvQwQ0w</t>
  </si>
  <si>
    <t>12dn1UJtqyttHqSOwtPt9RAk4wc9HvCXo</t>
  </si>
  <si>
    <t>https://drive.google.com/file/d/12dn1UJtqyttHqSOwtPt9RAk4wc9HvCXo/view?usp=drivesdk</t>
  </si>
  <si>
    <t>1UY3C2LK98slxO24ETS4zVnWdFWgy_Ar0</t>
  </si>
  <si>
    <t>https://drive.google.com/file/d/1UY3C2LK98slxO24ETS4zVnWdFWgy_Ar0/view?usp=drivesdk</t>
  </si>
  <si>
    <t>HANI NUR ASYIAH</t>
  </si>
  <si>
    <t>hnurasyiag@gmail.com</t>
  </si>
  <si>
    <t>392</t>
  </si>
  <si>
    <t>https://drive.google.com/file/d/1a26Q0r6CkTJfjDKyiVdtngCi1ZPror3m/view?usp=drivesdk</t>
  </si>
  <si>
    <t>1a26Q0r6CkTJfjDKyiVdtngCi1ZPror3m</t>
  </si>
  <si>
    <t>1Fuc1lUIuFau0nqkNAzIyoiPuR4W2v_ZS</t>
  </si>
  <si>
    <t>https://drive.google.com/file/d/1Fuc1lUIuFau0nqkNAzIyoiPuR4W2v_ZS/view?usp=drivesdk</t>
  </si>
  <si>
    <t>1kmgdCjZ28ndLsk8ud10xwCp--9DRLnMB</t>
  </si>
  <si>
    <t>https://drive.google.com/file/d/1kmgdCjZ28ndLsk8ud10xwCp--9DRLnMB/view?usp=drivesdk</t>
  </si>
  <si>
    <t>SANDRA AYU SUKMAYANTI, S.E.</t>
  </si>
  <si>
    <t>aghafnp.71213@gmail.com</t>
  </si>
  <si>
    <t>393</t>
  </si>
  <si>
    <t>https://drive.google.com/file/d/1ey-iM6W2wrRtfoyPxmZPZcouZFIy7Jx4/view?usp=drivesdk</t>
  </si>
  <si>
    <t>1ey-iM6W2wrRtfoyPxmZPZcouZFIy7Jx4</t>
  </si>
  <si>
    <t>1GqCyaK5N5tQLUXKblVwmbu2wgPhKvOHw</t>
  </si>
  <si>
    <t>https://drive.google.com/file/d/1GqCyaK5N5tQLUXKblVwmbu2wgPhKvOHw/view?usp=drivesdk</t>
  </si>
  <si>
    <t>1OiC7hi329cGIxoMlwsAfRFlbgvmcfmBd</t>
  </si>
  <si>
    <t>https://drive.google.com/file/d/1OiC7hi329cGIxoMlwsAfRFlbgvmcfmBd/view?usp=drivesdk</t>
  </si>
  <si>
    <t>NURUL HIDAYATI, S.I.P</t>
  </si>
  <si>
    <t>nh3052877@gmail.com</t>
  </si>
  <si>
    <t>394</t>
  </si>
  <si>
    <t>https://drive.google.com/file/d/1lN4U3auv3caWlS9opzh2i7TSS9M30ONH/view?usp=drivesdk</t>
  </si>
  <si>
    <t>1lN4U3auv3caWlS9opzh2i7TSS9M30ONH</t>
  </si>
  <si>
    <t>1AVAgpGnRnsyvoDtJIc76ntodipNTyNrf</t>
  </si>
  <si>
    <t>https://drive.google.com/file/d/1AVAgpGnRnsyvoDtJIc76ntodipNTyNrf/view?usp=drivesdk</t>
  </si>
  <si>
    <t>11xrZ4odH6_KN6Rq37djBeIMca40TKl7b</t>
  </si>
  <si>
    <t>https://drive.google.com/file/d/11xrZ4odH6_KN6Rq37djBeIMca40TKl7b/view?usp=drivesdk</t>
  </si>
  <si>
    <t>Document successfully created; Document successfully merged; PDF created; !!Error Sending Emails: Service invoked too many times for one day: email.; Manually run by ecertificate75@gmail.com; Timestamp: Aug 31 2024 7:10 AM</t>
  </si>
  <si>
    <t>PENDATU dr. NI KOMANG DHANA GITAISWARI</t>
  </si>
  <si>
    <t>dhanagita@yahoo.co.id</t>
  </si>
  <si>
    <t>395</t>
  </si>
  <si>
    <t>https://drive.google.com/file/d/1YBea0bDGx50fosVgyuqGdjDyAlJq6ME0/view?usp=drivesdk</t>
  </si>
  <si>
    <t>1YBea0bDGx50fosVgyuqGdjDyAlJq6ME0</t>
  </si>
  <si>
    <t>1_DpCIFsbpcGZSaZNJ96evODhpim21n4W</t>
  </si>
  <si>
    <t>https://drive.google.com/file/d/1_DpCIFsbpcGZSaZNJ96evODhpim21n4W/view?usp=drivesdk</t>
  </si>
  <si>
    <t>14Svb850t9SXRfogDOS4CCArSHnbitYfd</t>
  </si>
  <si>
    <t>https://drive.google.com/file/d/14Svb850t9SXRfogDOS4CCArSHnbitYfd/view?usp=drivesdk</t>
  </si>
  <si>
    <t>AFRIZAL KANIMORO, S.H.</t>
  </si>
  <si>
    <t>kanimoroff@gmail.com</t>
  </si>
  <si>
    <t>396</t>
  </si>
  <si>
    <t>https://drive.google.com/file/d/1Bih0RaTYDzfQqDJ54ONZLBK1WhkH2eb3/view?usp=drivesdk</t>
  </si>
  <si>
    <t>1Bih0RaTYDzfQqDJ54ONZLBK1WhkH2eb3</t>
  </si>
  <si>
    <t>1NDs6N8_zzBM6DVeOXfZrebtETn3gkR03</t>
  </si>
  <si>
    <t>https://drive.google.com/file/d/1NDs6N8_zzBM6DVeOXfZrebtETn3gkR03/view?usp=drivesdk</t>
  </si>
  <si>
    <t>1lfgspVI_KXdbIPZInD6AeZqJNutZtD5c</t>
  </si>
  <si>
    <t>https://drive.google.com/file/d/1lfgspVI_KXdbIPZInD6AeZqJNutZtD5c/view?usp=drivesdk</t>
  </si>
  <si>
    <t>JAHESKIEL SIRAIT, A.Md.</t>
  </si>
  <si>
    <t>jaheskiel.si@gmail.com</t>
  </si>
  <si>
    <t>397</t>
  </si>
  <si>
    <t>https://drive.google.com/file/d/1J9IB1jgB_vN4JuMDegnNz4s3M5fwKKo8/view?usp=drivesdk</t>
  </si>
  <si>
    <t>1J9IB1jgB_vN4JuMDegnNz4s3M5fwKKo8</t>
  </si>
  <si>
    <t>1KEjeV9oe714JE0KKyMPA3O5xdhcFyZSn</t>
  </si>
  <si>
    <t>https://drive.google.com/file/d/1KEjeV9oe714JE0KKyMPA3O5xdhcFyZSn/view?usp=drivesdk</t>
  </si>
  <si>
    <t>1vPwwI6e5YS7vomRoL_5_B5MpejWaNgSV</t>
  </si>
  <si>
    <t>https://drive.google.com/file/d/1vPwwI6e5YS7vomRoL_5_B5MpejWaNgSV/view?usp=drivesdk</t>
  </si>
  <si>
    <t xml:space="preserve">MILA SARI TAMBURAKA </t>
  </si>
  <si>
    <t>milasaritamburaka77@gmail.com</t>
  </si>
  <si>
    <t>398</t>
  </si>
  <si>
    <t>https://drive.google.com/file/d/1RC_fC5y4rsUQrKr2U3gu91nG-tgVDIIg/view?usp=drivesdk</t>
  </si>
  <si>
    <t>1RC_fC5y4rsUQrKr2U3gu91nG-tgVDIIg</t>
  </si>
  <si>
    <t>1TCmocybf1CK2Cu-L8fAntX0dS47XWv8_</t>
  </si>
  <si>
    <t>https://drive.google.com/file/d/1TCmocybf1CK2Cu-L8fAntX0dS47XWv8_/view?usp=drivesdk</t>
  </si>
  <si>
    <t>1fm_r-AQE3jmVrXQs5tE8Ji0bmXCAOp9L</t>
  </si>
  <si>
    <t>https://drive.google.com/file/d/1fm_r-AQE3jmVrXQs5tE8Ji0bmXCAOp9L/view?usp=drivesdk</t>
  </si>
  <si>
    <t>ANDI REZKY AFNILLAH SAPUTRI, A.Md.Keb</t>
  </si>
  <si>
    <t>andirezkyafnillah0277@gmail.com</t>
  </si>
  <si>
    <t>399</t>
  </si>
  <si>
    <t>https://drive.google.com/file/d/1ypV4VOgKpQ5mp5--9uxbrv0HGTjRtuCm/view?usp=drivesdk</t>
  </si>
  <si>
    <t>1ypV4VOgKpQ5mp5--9uxbrv0HGTjRtuCm</t>
  </si>
  <si>
    <t>1qETPMsLRzMcDZgdKsiW9cTUcSUD4J485</t>
  </si>
  <si>
    <t>https://drive.google.com/file/d/1qETPMsLRzMcDZgdKsiW9cTUcSUD4J485/view?usp=drivesdk</t>
  </si>
  <si>
    <t>Document successfully created; Document successfully merged; PDF created; !!Error Sending Emails: Service invoked too many times for one day: email.; Manually run by ecertificate75@gmail.com; Timestamp: Aug 30 2024 9:48 PM</t>
  </si>
  <si>
    <t>1gGwLaw-aNjcvfzN_FnG2kdCI-osEfcom</t>
  </si>
  <si>
    <t>https://drive.google.com/file/d/1gGwLaw-aNjcvfzN_FnG2kdCI-osEfcom/view?usp=drivesdk</t>
  </si>
  <si>
    <t>NOVY NURMAWATI, S.Pd.</t>
  </si>
  <si>
    <t>novynurmawaty1978@gmail.com</t>
  </si>
  <si>
    <t>400</t>
  </si>
  <si>
    <t>https://drive.google.com/file/d/1nqlUf5U2GVJzI-bNx57GBK_rIW9LLNNT/view?usp=drivesdk</t>
  </si>
  <si>
    <t>1nqlUf5U2GVJzI-bNx57GBK_rIW9LLNNT</t>
  </si>
  <si>
    <t>16d2J5NF3mmZDKM4Frd83k0tmKJIknimc</t>
  </si>
  <si>
    <t>https://drive.google.com/file/d/16d2J5NF3mmZDKM4Frd83k0tmKJIknimc/view?usp=drivesdk</t>
  </si>
  <si>
    <t>1IcsGz-ozcWa7hyHOWHk6VkvjMIIbI3pN</t>
  </si>
  <si>
    <t>https://drive.google.com/file/d/1IcsGz-ozcWa7hyHOWHk6VkvjMIIbI3pN/view?usp=drivesdk</t>
  </si>
  <si>
    <t>Document successfully created; Document successfully merged; PDF created; !!Error Sending Emails: Service invoked too many times for one day: email.; Manually run by ecertificate75@gmail.com; Timestamp: Aug 31 2024 7:11 AM</t>
  </si>
  <si>
    <t>MUHAMMAD TAHIR</t>
  </si>
  <si>
    <t>muhammadtohir079@gmail.com</t>
  </si>
  <si>
    <t>401</t>
  </si>
  <si>
    <t>https://drive.google.com/file/d/1vFtJcmvVvuxnglGNuhvK6H0iMcsMihxd/view?usp=drivesdk</t>
  </si>
  <si>
    <t>1vFtJcmvVvuxnglGNuhvK6H0iMcsMihxd</t>
  </si>
  <si>
    <t>1yINF0-QFORPo3XCEZrsomQ3hYFSXfhzc</t>
  </si>
  <si>
    <t>https://drive.google.com/file/d/1yINF0-QFORPo3XCEZrsomQ3hYFSXfhzc/view?usp=drivesdk</t>
  </si>
  <si>
    <t>1xnheJ99nOA0XBMRWuEi0tK_U1p9grpB0</t>
  </si>
  <si>
    <t>https://drive.google.com/file/d/1xnheJ99nOA0XBMRWuEi0tK_U1p9grpB0/view?usp=drivesdk</t>
  </si>
  <si>
    <t>CLIEFF ARTHUR PATTIKAWA</t>
  </si>
  <si>
    <t>arthurpattikawa64@gmail.com</t>
  </si>
  <si>
    <t>402</t>
  </si>
  <si>
    <t>https://drive.google.com/file/d/1kQcEgqtAGZ-yZ2zywU-KgSVJgHJjzZST/view?usp=drivesdk</t>
  </si>
  <si>
    <t>1kQcEgqtAGZ-yZ2zywU-KgSVJgHJjzZST</t>
  </si>
  <si>
    <t>1kbo9uFEyC3fK10pAfzqPDEyZ03vlrwey</t>
  </si>
  <si>
    <t>https://drive.google.com/file/d/1kbo9uFEyC3fK10pAfzqPDEyZ03vlrwey/view?usp=drivesdk</t>
  </si>
  <si>
    <t>1gXpXFAWKJCLy1OdoV-yhSx5XZZwlDu2q</t>
  </si>
  <si>
    <t>https://drive.google.com/file/d/1gXpXFAWKJCLy1OdoV-yhSx5XZZwlDu2q/view?usp=drivesdk</t>
  </si>
  <si>
    <t>SRI RAHAYU AGUSTINI</t>
  </si>
  <si>
    <t>srirahayuagustini29@gmail.com</t>
  </si>
  <si>
    <t>403</t>
  </si>
  <si>
    <t>https://drive.google.com/file/d/14sUTvjMHknMgR59flLxUCz2TzwHF1tN8/view?usp=drivesdk</t>
  </si>
  <si>
    <t>14sUTvjMHknMgR59flLxUCz2TzwHF1tN8</t>
  </si>
  <si>
    <t>1ipSjkIinjRpxX5GAfU0HehhrTLYrbW98</t>
  </si>
  <si>
    <t>https://drive.google.com/file/d/1ipSjkIinjRpxX5GAfU0HehhrTLYrbW98/view?usp=drivesdk</t>
  </si>
  <si>
    <t>1_WjsH0ytk1H96L_8PuECfOWpiOCi8f4i</t>
  </si>
  <si>
    <t>https://drive.google.com/file/d/1_WjsH0ytk1H96L_8PuECfOWpiOCi8f4i/view?usp=drivesdk</t>
  </si>
  <si>
    <t>YENIK KURNIAWATI</t>
  </si>
  <si>
    <t>yenikkurniawati83@gmail.com</t>
  </si>
  <si>
    <t>404</t>
  </si>
  <si>
    <t>https://drive.google.com/file/d/1QtiWgJaTkhx0-gClj9J3wbN9ZLaA_lrP/view?usp=drivesdk</t>
  </si>
  <si>
    <t>1QtiWgJaTkhx0-gClj9J3wbN9ZLaA_lrP</t>
  </si>
  <si>
    <t>1lYZuFUGCPziD1m2oAjDQpyFUWX9-krsE</t>
  </si>
  <si>
    <t>https://drive.google.com/file/d/1lYZuFUGCPziD1m2oAjDQpyFUWX9-krsE/view?usp=drivesdk</t>
  </si>
  <si>
    <t>1qSLLwwfAFx5BqWqf4T_RnmkR5U-_L2Av</t>
  </si>
  <si>
    <t>https://drive.google.com/file/d/1qSLLwwfAFx5BqWqf4T_RnmkR5U-_L2Av/view?usp=drivesdk</t>
  </si>
  <si>
    <t>YULIANA SARI, A. Md</t>
  </si>
  <si>
    <t>yulianarachmad80@gmail.com</t>
  </si>
  <si>
    <t>405</t>
  </si>
  <si>
    <t>https://drive.google.com/file/d/1ewi6Wp2Qs29Qbhkpdt2cVTl1CD2mfusw/view?usp=drivesdk</t>
  </si>
  <si>
    <t>1ewi6Wp2Qs29Qbhkpdt2cVTl1CD2mfusw</t>
  </si>
  <si>
    <t>1F2kQCpY6srS2xrZ4Y5rAhkJiHMhaUIEm</t>
  </si>
  <si>
    <t>https://drive.google.com/file/d/1F2kQCpY6srS2xrZ4Y5rAhkJiHMhaUIEm/view?usp=drivesdk</t>
  </si>
  <si>
    <t>Document successfully created; Document successfully merged; PDF created; !!Error Sending Emails: Service invoked too many times for one day: email.; Manually run by ecertificate75@gmail.com; Timestamp: Aug 30 2024 9:49 PM</t>
  </si>
  <si>
    <t>1t0LNu6NQbfJAxiarhnBCTIdCMoslUh5a</t>
  </si>
  <si>
    <t>https://drive.google.com/file/d/1t0LNu6NQbfJAxiarhnBCTIdCMoslUh5a/view?usp=drivesdk</t>
  </si>
  <si>
    <t xml:space="preserve">PENATA RINAWATI </t>
  </si>
  <si>
    <t>rinawatisarpras@gmail.com</t>
  </si>
  <si>
    <t>406</t>
  </si>
  <si>
    <t>https://drive.google.com/file/d/14bJhd7fhvwaNwxvVSRxviHIGVVadq1xd/view?usp=drivesdk</t>
  </si>
  <si>
    <t>14bJhd7fhvwaNwxvVSRxviHIGVVadq1xd</t>
  </si>
  <si>
    <t>1qLnshUvm6RpXi_3_jUAHI1T3HKUBKeKI</t>
  </si>
  <si>
    <t>https://drive.google.com/file/d/1qLnshUvm6RpXi_3_jUAHI1T3HKUBKeKI/view?usp=drivesdk</t>
  </si>
  <si>
    <t>1L_g70rRpH1J6YpIkcl-mISomoHT1Uv43</t>
  </si>
  <si>
    <t>https://drive.google.com/file/d/1L_g70rRpH1J6YpIkcl-mISomoHT1Uv43/view?usp=drivesdk</t>
  </si>
  <si>
    <t>Document successfully created; Document successfully merged; PDF created; !!Error Sending Emails: Service invoked too many times for one day: email.; Manually run by ecertificate75@gmail.com; Timestamp: Aug 31 2024 7:12 AM</t>
  </si>
  <si>
    <t>YUSUP SUPRIATNA</t>
  </si>
  <si>
    <t>ysupriatna183@gmail.com</t>
  </si>
  <si>
    <t>407</t>
  </si>
  <si>
    <t>https://drive.google.com/file/d/1pPVNGdlMBox6npIPdVoFTCbXe_WO7ki4/view?usp=drivesdk</t>
  </si>
  <si>
    <t>1pPVNGdlMBox6npIPdVoFTCbXe_WO7ki4</t>
  </si>
  <si>
    <t>12_oWnverkZUY2nfr1GMQuCCCBgSfA76x</t>
  </si>
  <si>
    <t>https://drive.google.com/file/d/12_oWnverkZUY2nfr1GMQuCCCBgSfA76x/view?usp=drivesdk</t>
  </si>
  <si>
    <t>1eCjZwTt409y35Dam6AXD1DTlHKBUuvsW</t>
  </si>
  <si>
    <t>https://drive.google.com/file/d/1eCjZwTt409y35Dam6AXD1DTlHKBUuvsW/view?usp=drivesdk</t>
  </si>
  <si>
    <t>SYLVIA INDAH DJAYA, S.Ak., M.Ak.</t>
  </si>
  <si>
    <t>sindahdjaya@gmail.com</t>
  </si>
  <si>
    <t>408</t>
  </si>
  <si>
    <t>https://drive.google.com/file/d/1RZ50yTfKaXvDaipcSW2eGdvJIKfmGTQd/view?usp=drivesdk</t>
  </si>
  <si>
    <t>1RZ50yTfKaXvDaipcSW2eGdvJIKfmGTQd</t>
  </si>
  <si>
    <t>1m3YJOB577JUL_QNDVQLLycB-VcTN-FOW</t>
  </si>
  <si>
    <t>https://drive.google.com/file/d/1m3YJOB577JUL_QNDVQLLycB-VcTN-FOW/view?usp=drivesdk</t>
  </si>
  <si>
    <t>1F2Qmhunp890TnlkNp7qhCo0fmokn91Nd</t>
  </si>
  <si>
    <t>https://drive.google.com/file/d/1F2Qmhunp890TnlkNp7qhCo0fmokn91Nd/view?usp=drivesdk</t>
  </si>
  <si>
    <t>RISNAWATI TUNNY, S. KM</t>
  </si>
  <si>
    <t>arierhizna9@gmail.com</t>
  </si>
  <si>
    <t>409</t>
  </si>
  <si>
    <t>https://drive.google.com/file/d/1gPrS89_YNLo_pJ1wgxGV8HoErGISypSj/view?usp=drivesdk</t>
  </si>
  <si>
    <t>1gPrS89_YNLo_pJ1wgxGV8HoErGISypSj</t>
  </si>
  <si>
    <t>1qV_ervw9CAJbQCJM6gQU6osY5CelJra3</t>
  </si>
  <si>
    <t>https://drive.google.com/file/d/1qV_ervw9CAJbQCJM6gQU6osY5CelJra3/view?usp=drivesdk</t>
  </si>
  <si>
    <t>1ZxnKTS1vpKJt9sYuwx2IK_AAVHgoP3AC</t>
  </si>
  <si>
    <t>https://drive.google.com/file/d/1ZxnKTS1vpKJt9sYuwx2IK_AAVHgoP3AC/view?usp=drivesdk</t>
  </si>
  <si>
    <t>ARIN WINARSIH</t>
  </si>
  <si>
    <t>arinwinarsih74@gmail.com</t>
  </si>
  <si>
    <t>410</t>
  </si>
  <si>
    <t>https://drive.google.com/file/d/1hl67WMvR5doJb-H2XTSsnGd6eh2Gt8-V/view?usp=drivesdk</t>
  </si>
  <si>
    <t>1hl67WMvR5doJb-H2XTSsnGd6eh2Gt8-V</t>
  </si>
  <si>
    <t>1X82UAVCgg0gCLxXuyEpbD2RKz32K4vlZ</t>
  </si>
  <si>
    <t>https://drive.google.com/file/d/1X82UAVCgg0gCLxXuyEpbD2RKz32K4vlZ/view?usp=drivesdk</t>
  </si>
  <si>
    <t>1GqL4qKw9UAaVsz0OW7r6v2BVd9kOfGbK</t>
  </si>
  <si>
    <t>https://drive.google.com/file/d/1GqL4qKw9UAaVsz0OW7r6v2BVd9kOfGbK/view?usp=drivesdk</t>
  </si>
  <si>
    <t>YULIAWAN KRISTIONO, S.Pd. M.M.</t>
  </si>
  <si>
    <t>yuliawankristiono@gmail.com</t>
  </si>
  <si>
    <t>411</t>
  </si>
  <si>
    <t>https://drive.google.com/file/d/1SqXQ4rmUsWdQS7HdxC29A4BIp7ptTXCc/view?usp=drivesdk</t>
  </si>
  <si>
    <t>1SqXQ4rmUsWdQS7HdxC29A4BIp7ptTXCc</t>
  </si>
  <si>
    <t>1p9huPUEnxjksI0lf3NWPZdcBKUrrVU8h</t>
  </si>
  <si>
    <t>https://drive.google.com/file/d/1p9huPUEnxjksI0lf3NWPZdcBKUrrVU8h/view?usp=drivesdk</t>
  </si>
  <si>
    <t>1BUBTa2hVs85wsWPqTcoZ6suUKVE92gmq</t>
  </si>
  <si>
    <t>https://drive.google.com/file/d/1BUBTa2hVs85wsWPqTcoZ6suUKVE92gmq/view?usp=drivesdk</t>
  </si>
  <si>
    <t>MUHAMAD LUTFI</t>
  </si>
  <si>
    <t>muhamadlutfi35@gmail.com</t>
  </si>
  <si>
    <t>412</t>
  </si>
  <si>
    <t>https://drive.google.com/file/d/1TolZQZbMEG3d_Vt_58k_k8D4whYD4v01/view?usp=drivesdk</t>
  </si>
  <si>
    <t>1TolZQZbMEG3d_Vt_58k_k8D4whYD4v01</t>
  </si>
  <si>
    <t>1piW0UgYn72YRf3xmKmi2frByFQPi7sxG</t>
  </si>
  <si>
    <t>https://drive.google.com/file/d/1piW0UgYn72YRf3xmKmi2frByFQPi7sxG/view?usp=drivesdk</t>
  </si>
  <si>
    <t>1sw7BFuP-zYJwAqNPb0l1PnoNgw8SGJkf</t>
  </si>
  <si>
    <t>https://drive.google.com/file/d/1sw7BFuP-zYJwAqNPb0l1PnoNgw8SGJkf/view?usp=drivesdk</t>
  </si>
  <si>
    <t>Document successfully created; Document successfully merged; PDF created; !!Error Sending Emails: Service invoked too many times for one day: email.; Manually run by ecertificate75@gmail.com; Timestamp: Aug 31 2024 7:13 AM</t>
  </si>
  <si>
    <t>MARSYANA TIUR NOVITA SAGALA</t>
  </si>
  <si>
    <t>marsyana77@gmail.com</t>
  </si>
  <si>
    <t>413</t>
  </si>
  <si>
    <t>https://drive.google.com/file/d/1K103-5PjBXOCnAOLzXpab4ONeYcjFqbI/view?usp=drivesdk</t>
  </si>
  <si>
    <t>1K103-5PjBXOCnAOLzXpab4ONeYcjFqbI</t>
  </si>
  <si>
    <t>1MAgMv6hxeE0WgpCxUlqDGyQJ09jtUmQx</t>
  </si>
  <si>
    <t>https://drive.google.com/file/d/1MAgMv6hxeE0WgpCxUlqDGyQJ09jtUmQx/view?usp=drivesdk</t>
  </si>
  <si>
    <t>Document successfully created; Document successfully merged; PDF created; !!Error Sending Emails: Service invoked too many times for one day: email.; Manually run by ecertificate75@gmail.com; Timestamp: Aug 30 2024 10:03 PM</t>
  </si>
  <si>
    <t>1h-ttQ4HuDEEoYg_yWLAadmXXG4KBwNQt</t>
  </si>
  <si>
    <t>https://drive.google.com/file/d/1h-ttQ4HuDEEoYg_yWLAadmXXG4KBwNQt/view?usp=drivesdk</t>
  </si>
  <si>
    <t>MADE DWIANA PRADNYA YUSTIKA, A.Md.Keb</t>
  </si>
  <si>
    <t>pradnyayustika@gmail.com</t>
  </si>
  <si>
    <t>414</t>
  </si>
  <si>
    <t>https://drive.google.com/file/d/16vaN9X0Au5eImBMdYuAX77rX8GUYBaXF/view?usp=drivesdk</t>
  </si>
  <si>
    <t>16vaN9X0Au5eImBMdYuAX77rX8GUYBaXF</t>
  </si>
  <si>
    <t>1W1_nrGCzXIqhuZvnjU9UUminiPAUHNt7</t>
  </si>
  <si>
    <t>https://drive.google.com/file/d/1W1_nrGCzXIqhuZvnjU9UUminiPAUHNt7/view?usp=drivesdk</t>
  </si>
  <si>
    <t>1ecVREBtfQcMsXPXJ22hZVL25YU8fUZl4</t>
  </si>
  <si>
    <t>https://drive.google.com/file/d/1ecVREBtfQcMsXPXJ22hZVL25YU8fUZl4/view?usp=drivesdk</t>
  </si>
  <si>
    <t xml:space="preserve">GESANGPRIBADI </t>
  </si>
  <si>
    <t>gesangpribadi2020@gmail.com</t>
  </si>
  <si>
    <t>415</t>
  </si>
  <si>
    <t>https://drive.google.com/file/d/1na22c6JSdqFQY8rejp4J0rnwoguhZ0pM/view?usp=drivesdk</t>
  </si>
  <si>
    <t>1na22c6JSdqFQY8rejp4J0rnwoguhZ0pM</t>
  </si>
  <si>
    <t>1l5BZVDfRoQgSJAnxy1qEXp9kJYs2qHt1</t>
  </si>
  <si>
    <t>https://drive.google.com/file/d/1l5BZVDfRoQgSJAnxy1qEXp9kJYs2qHt1/view?usp=drivesdk</t>
  </si>
  <si>
    <t>1lzIaHosFd7TIN5dU37MfVpnBsJ6mmBuJ</t>
  </si>
  <si>
    <t>https://drive.google.com/file/d/1lzIaHosFd7TIN5dU37MfVpnBsJ6mmBuJ/view?usp=drivesdk</t>
  </si>
  <si>
    <t>SUGIYANTO PENGDA</t>
  </si>
  <si>
    <t>sugiyantobhylmj@gmail.com</t>
  </si>
  <si>
    <t>416</t>
  </si>
  <si>
    <t>https://drive.google.com/file/d/1fm8yZwHzCGtzIZxYdJwoLqr8O-PNyshf/view?usp=drivesdk</t>
  </si>
  <si>
    <t>1fm8yZwHzCGtzIZxYdJwoLqr8O-PNyshf</t>
  </si>
  <si>
    <t>1KdhBQI7P_pv2S2tHdSi2ScUNrvlA0eCu</t>
  </si>
  <si>
    <t>https://drive.google.com/file/d/1KdhBQI7P_pv2S2tHdSi2ScUNrvlA0eCu/view?usp=drivesdk</t>
  </si>
  <si>
    <t>1F8pdPtYZuHfS_Vz0HTqMq1A2Uu17lbv_</t>
  </si>
  <si>
    <t>https://drive.google.com/file/d/1F8pdPtYZuHfS_Vz0HTqMq1A2Uu17lbv_/view?usp=drivesdk</t>
  </si>
  <si>
    <t>MARIANI RANTE SANDU,A.MD.KEP</t>
  </si>
  <si>
    <t>marianirantesandu@gmail.com</t>
  </si>
  <si>
    <t>417</t>
  </si>
  <si>
    <t>https://drive.google.com/file/d/1u_Xcy_Q-A4yR4HzFHKgI-O9qMeRgVn2C/view?usp=drivesdk</t>
  </si>
  <si>
    <t>1u_Xcy_Q-A4yR4HzFHKgI-O9qMeRgVn2C</t>
  </si>
  <si>
    <t>12iySQnnbj3EtITQzfwCCkbDHETgZi_ny</t>
  </si>
  <si>
    <t>https://drive.google.com/file/d/12iySQnnbj3EtITQzfwCCkbDHETgZi_ny/view?usp=drivesdk</t>
  </si>
  <si>
    <t>19whBulW666j1y0VCh33-SaQ-1a4dNn7V</t>
  </si>
  <si>
    <t>https://drive.google.com/file/d/19whBulW666j1y0VCh33-SaQ-1a4dNn7V/view?usp=drivesdk</t>
  </si>
  <si>
    <t>Document successfully created; Document successfully merged; PDF created; !!Error Sending Emails: Service invoked too many times for one day: email.; Manually run by ecertificate75@gmail.com; Timestamp: Aug 31 2024 7:14 AM</t>
  </si>
  <si>
    <t>SITI MARLINA YULIANA,AMD.KEP.</t>
  </si>
  <si>
    <t>marlinasyuliana809@gmail.com</t>
  </si>
  <si>
    <t>418</t>
  </si>
  <si>
    <t>https://drive.google.com/file/d/1r3KqSvfVGR_26Lx1EeyiPbzMyqC6uccC/view?usp=drivesdk</t>
  </si>
  <si>
    <t>1r3KqSvfVGR_26Lx1EeyiPbzMyqC6uccC</t>
  </si>
  <si>
    <t>19LyH7P6JE5MSYvrYQd-yFjkQpIf72JK7</t>
  </si>
  <si>
    <t>https://drive.google.com/file/d/19LyH7P6JE5MSYvrYQd-yFjkQpIf72JK7/view?usp=drivesdk</t>
  </si>
  <si>
    <t>1ZWpvj6Ljt9zeQuUxmj8r5shPNXvgme3g</t>
  </si>
  <si>
    <t>https://drive.google.com/file/d/1ZWpvj6Ljt9zeQuUxmj8r5shPNXvgme3g/view?usp=drivesdk</t>
  </si>
  <si>
    <t>VATIM DWI CAHYANI, A.Md. AK</t>
  </si>
  <si>
    <t>cahyavd@gmail.com</t>
  </si>
  <si>
    <t>419</t>
  </si>
  <si>
    <t>https://drive.google.com/file/d/1pn8r__-ODh3DqJGICz90cijiBK3rd-6V/view?usp=drivesdk</t>
  </si>
  <si>
    <t>1pn8r__-ODh3DqJGICz90cijiBK3rd-6V</t>
  </si>
  <si>
    <t>1YZjRbuvA79GXQ7mUVySBQCj3DMgxX6R8</t>
  </si>
  <si>
    <t>https://drive.google.com/file/d/1YZjRbuvA79GXQ7mUVySBQCj3DMgxX6R8/view?usp=drivesdk</t>
  </si>
  <si>
    <t>Document successfully created; Document successfully merged; PDF created; !!Error Sending Emails: Service invoked too many times for one day: email.; Manually run by ecertificate75@gmail.com; Timestamp: Aug 30 2024 10:04 PM</t>
  </si>
  <si>
    <t>1oScLHCJrmURRMSFcV-LtNQpc8aJ7hvDd</t>
  </si>
  <si>
    <t>https://drive.google.com/file/d/1oScLHCJrmURRMSFcV-LtNQpc8aJ7hvDd/view?usp=drivesdk</t>
  </si>
  <si>
    <t xml:space="preserve">VIQIEH HANDAYANTI </t>
  </si>
  <si>
    <t>viqieh1981@gmail.com</t>
  </si>
  <si>
    <t>420</t>
  </si>
  <si>
    <t>https://drive.google.com/file/d/1ocrkPSBbSJ16P2jIWjkCRgltBpu5kqhY/view?usp=drivesdk</t>
  </si>
  <si>
    <t>1ocrkPSBbSJ16P2jIWjkCRgltBpu5kqhY</t>
  </si>
  <si>
    <t>1vKbdzuUl9wpmG0wKebCOb2QxwhTzEoQD</t>
  </si>
  <si>
    <t>https://drive.google.com/file/d/1vKbdzuUl9wpmG0wKebCOb2QxwhTzEoQD/view?usp=drivesdk</t>
  </si>
  <si>
    <t>13Q9B0d6Ey5JaSAZggaN3YSlad4uLZmd_</t>
  </si>
  <si>
    <t>https://drive.google.com/file/d/13Q9B0d6Ey5JaSAZggaN3YSlad4uLZmd_/view?usp=drivesdk</t>
  </si>
  <si>
    <t>JAJANG RISNANDAR</t>
  </si>
  <si>
    <t>risnandarjajang76@gmail.com</t>
  </si>
  <si>
    <t>421</t>
  </si>
  <si>
    <t>https://drive.google.com/file/d/1IHZL52MeldtjzYzO1nJ3-hYbCLOfUe-0/view?usp=drivesdk</t>
  </si>
  <si>
    <t>1IHZL52MeldtjzYzO1nJ3-hYbCLOfUe-0</t>
  </si>
  <si>
    <t>1JQWfXNTfv-9t_I7UU6rd8XbOLlUapnOt</t>
  </si>
  <si>
    <t>https://drive.google.com/file/d/1JQWfXNTfv-9t_I7UU6rd8XbOLlUapnOt/view?usp=drivesdk</t>
  </si>
  <si>
    <t>1HzuZ38ndWOXCnGfQF44u0j__MF9DdC3_</t>
  </si>
  <si>
    <t>https://drive.google.com/file/d/1HzuZ38ndWOXCnGfQF44u0j__MF9DdC3_/view?usp=drivesdk</t>
  </si>
  <si>
    <t>Document successfully created; Document successfully merged; PDF created; !!Error Sending Emails: Service invoked too many times for one day: email.; Manually run by ecertificate75@gmail.com; Timestamp: Aug 31 2024 7:15 AM</t>
  </si>
  <si>
    <t>AGUS SUPRIYADI</t>
  </si>
  <si>
    <t>asupriyadi926@gmail.com</t>
  </si>
  <si>
    <t>422</t>
  </si>
  <si>
    <t>https://drive.google.com/file/d/10QkLZ4uLfghS3TOwOFRnqg3sM_Wy2aHS/view?usp=drivesdk</t>
  </si>
  <si>
    <t>10QkLZ4uLfghS3TOwOFRnqg3sM_Wy2aHS</t>
  </si>
  <si>
    <t>10bK-mH60nSa5k7JSVkTRYdde2je0ZxHl</t>
  </si>
  <si>
    <t>https://drive.google.com/file/d/10bK-mH60nSa5k7JSVkTRYdde2je0ZxHl/view?usp=drivesdk</t>
  </si>
  <si>
    <t>1EKeY6bzRzZ7uKpFtiknDOZSIlMr-IISB</t>
  </si>
  <si>
    <t>https://drive.google.com/file/d/1EKeY6bzRzZ7uKpFtiknDOZSIlMr-IISB/view?usp=drivesdk</t>
  </si>
  <si>
    <t xml:space="preserve">NI KETUT MUNI KARTIKA SARI, S. Adm. </t>
  </si>
  <si>
    <t>munikartikasari@gmail.com</t>
  </si>
  <si>
    <t>423</t>
  </si>
  <si>
    <t>https://drive.google.com/file/d/1P81vOIL4g_dI_Ah9tkRjKwygelmQ52d-/view?usp=drivesdk</t>
  </si>
  <si>
    <t>1P81vOIL4g_dI_Ah9tkRjKwygelmQ52d-</t>
  </si>
  <si>
    <t>1JYvqbuDpdxXtAHKY2NLeDaWp9Iup-mP0</t>
  </si>
  <si>
    <t>https://drive.google.com/file/d/1JYvqbuDpdxXtAHKY2NLeDaWp9Iup-mP0/view?usp=drivesdk</t>
  </si>
  <si>
    <t>1PF9PZyZAvlzkN0Zh7eg1QHiCfxjrvUXa</t>
  </si>
  <si>
    <t>https://drive.google.com/file/d/1PF9PZyZAvlzkN0Zh7eg1QHiCfxjrvUXa/view?usp=drivesdk</t>
  </si>
  <si>
    <t>MOHAMMAD SUBAIDI ROSADI</t>
  </si>
  <si>
    <t>subaidiident01@gmail.com</t>
  </si>
  <si>
    <t>424</t>
  </si>
  <si>
    <t>https://drive.google.com/file/d/1lPQiM2xmcFDJrxtQIA1cG9Sn1J_6N4pU/view?usp=drivesdk</t>
  </si>
  <si>
    <t>1lPQiM2xmcFDJrxtQIA1cG9Sn1J_6N4pU</t>
  </si>
  <si>
    <t>18DlSg_D4WwQmN3Ik0oB0Tye2fHuGXnDA</t>
  </si>
  <si>
    <t>https://drive.google.com/file/d/18DlSg_D4WwQmN3Ik0oB0Tye2fHuGXnDA/view?usp=drivesdk</t>
  </si>
  <si>
    <t>Document successfully created; Document successfully merged; PDF created; !!Error Sending Emails: Service invoked too many times for one day: email.; Manually run by ecertificate75@gmail.com; Timestamp: Aug 30 2024 10:05 PM</t>
  </si>
  <si>
    <t>1ALoyM3as2AFL71NPf7kAXaN7pr-HLcta</t>
  </si>
  <si>
    <t>https://drive.google.com/file/d/1ALoyM3as2AFL71NPf7kAXaN7pr-HLcta/view?usp=drivesdk</t>
  </si>
  <si>
    <t xml:space="preserve">LALU YUSUF SYAHRONI Amd. Kep. </t>
  </si>
  <si>
    <t>aronsyusuf07@gmail.com</t>
  </si>
  <si>
    <t>425</t>
  </si>
  <si>
    <t>https://drive.google.com/file/d/1w6UyX5FavI7fUSiwk57RJrmUZT2TJCs2/view?usp=drivesdk</t>
  </si>
  <si>
    <t>Document successfully created; Document successfully merged; PDF created; !!Error Sending Emails: Service invoked too many times for one day: email.; Run via form trigger as ecertificate75@gmail.com; Timestamp: Aug 29 2024 8:42 PM</t>
  </si>
  <si>
    <t>1w6UyX5FavI7fUSiwk57RJrmUZT2TJCs2</t>
  </si>
  <si>
    <t>1DNMkG2gP1IJxP1eHSKgeJ9j0UVb6ZsQ6</t>
  </si>
  <si>
    <t>https://drive.google.com/file/d/1DNMkG2gP1IJxP1eHSKgeJ9j0UVb6ZsQ6/view?usp=drivesdk</t>
  </si>
  <si>
    <t>17xVB8xtdTO654c0BTuNK3HoN7aGfMXC3</t>
  </si>
  <si>
    <t>https://drive.google.com/file/d/17xVB8xtdTO654c0BTuNK3HoN7aGfMXC3/view?usp=drivesdk</t>
  </si>
  <si>
    <t>LASMAULI BINTARI ANGELIA MANIHURUK, AMd</t>
  </si>
  <si>
    <t>angeliamanihuruk84@gmail.com</t>
  </si>
  <si>
    <t>426</t>
  </si>
  <si>
    <t>https://drive.google.com/file/d/19dnghOCFt5UZLr1tQLjLbyAKn2iAkIVJ/view?usp=drivesdk</t>
  </si>
  <si>
    <t>19dnghOCFt5UZLr1tQLjLbyAKn2iAkIVJ</t>
  </si>
  <si>
    <t>12sg_OMvZUZUXWRIVRkSfBgx_LvPkbiNZ</t>
  </si>
  <si>
    <t>https://drive.google.com/file/d/12sg_OMvZUZUXWRIVRkSfBgx_LvPkbiNZ/view?usp=drivesdk</t>
  </si>
  <si>
    <t>1JSNObDoj9T0BbqYlExSasFj_aIxfo3K_</t>
  </si>
  <si>
    <t>https://drive.google.com/file/d/1JSNObDoj9T0BbqYlExSasFj_aIxfo3K_/view?usp=drivesdk</t>
  </si>
  <si>
    <t>Document successfully created; Document successfully merged; PDF created; !!Error Sending Emails: Service invoked too many times for one day: email.; Manually run by ecertificate75@gmail.com; Timestamp: Aug 31 2024 7:16 AM</t>
  </si>
  <si>
    <t>YEREMIAS EMI,AMAK</t>
  </si>
  <si>
    <t>yeremiasemi8686@gmail.com</t>
  </si>
  <si>
    <t>427</t>
  </si>
  <si>
    <t>https://drive.google.com/file/d/15cNf4oJjeDAKGriguOeo7qg2kaq8Fra7/view?usp=drivesdk</t>
  </si>
  <si>
    <t>15cNf4oJjeDAKGriguOeo7qg2kaq8Fra7</t>
  </si>
  <si>
    <t>1ppUiNW_rNV6xflKaz-ZHhjTFDiM__Lqb</t>
  </si>
  <si>
    <t>https://drive.google.com/file/d/1ppUiNW_rNV6xflKaz-ZHhjTFDiM__Lqb/view?usp=drivesdk</t>
  </si>
  <si>
    <t>1Eklq9JUn6my5a_e7ha_uq7gaP8jQwqrK</t>
  </si>
  <si>
    <t>https://drive.google.com/file/d/1Eklq9JUn6my5a_e7ha_uq7gaP8jQwqrK/view?usp=drivesdk</t>
  </si>
  <si>
    <t>MUHAMAD HAFID ASFAHANI</t>
  </si>
  <si>
    <t>hafidasfahani88@gmail.com</t>
  </si>
  <si>
    <t>428</t>
  </si>
  <si>
    <t>https://drive.google.com/file/d/1JRkQiGfvkQG_L794TQNu-fs0UdBiYnQX/view?usp=drivesdk</t>
  </si>
  <si>
    <t>1JRkQiGfvkQG_L794TQNu-fs0UdBiYnQX</t>
  </si>
  <si>
    <t>1pOwjoVzv76IsOCiNLOuNVuewApSlolNM</t>
  </si>
  <si>
    <t>https://drive.google.com/file/d/1pOwjoVzv76IsOCiNLOuNVuewApSlolNM/view?usp=drivesdk</t>
  </si>
  <si>
    <t>1i-zk3qkiXG3lms3vDpLHeO6AYHXvJUsR</t>
  </si>
  <si>
    <t>https://drive.google.com/file/d/1i-zk3qkiXG3lms3vDpLHeO6AYHXvJUsR/view?usp=drivesdk</t>
  </si>
  <si>
    <t>OSCAR PRAWIRA, A.Md.Kom</t>
  </si>
  <si>
    <t>oscarprawira2@gmail.com</t>
  </si>
  <si>
    <t>429</t>
  </si>
  <si>
    <t>https://drive.google.com/file/d/1iIAqGAvwI1xGWf3H_VUp8fTAjArQEN8t/view?usp=drivesdk</t>
  </si>
  <si>
    <t>1iIAqGAvwI1xGWf3H_VUp8fTAjArQEN8t</t>
  </si>
  <si>
    <t>1vW9UNmrzxxwOHxn6wtqH7lqdTvre7Sr3</t>
  </si>
  <si>
    <t>https://drive.google.com/file/d/1vW9UNmrzxxwOHxn6wtqH7lqdTvre7Sr3/view?usp=drivesdk</t>
  </si>
  <si>
    <t>1Ia1hEFR6FHxyNIHvT4LJALedugp5vZLo</t>
  </si>
  <si>
    <t>https://drive.google.com/file/d/1Ia1hEFR6FHxyNIHvT4LJALedugp5vZLo/view?usp=drivesdk</t>
  </si>
  <si>
    <t>SRI SAMDHANI UTAMI, S.H.</t>
  </si>
  <si>
    <t>srisamdhaniutami@gmail.com</t>
  </si>
  <si>
    <t>430</t>
  </si>
  <si>
    <t>https://drive.google.com/file/d/1cVxyNPivNPyGWRNBMDVQkMP5X1j0FDtq/view?usp=drivesdk</t>
  </si>
  <si>
    <t>1cVxyNPivNPyGWRNBMDVQkMP5X1j0FDtq</t>
  </si>
  <si>
    <t>12lPtTM01IHJ-o2kFxfNO-DDU0IE3uaKi</t>
  </si>
  <si>
    <t>https://drive.google.com/file/d/12lPtTM01IHJ-o2kFxfNO-DDU0IE3uaKi/view?usp=drivesdk</t>
  </si>
  <si>
    <t>Document successfully created; Document successfully merged; PDF created; !!Error Sending Emails: Service invoked too many times for one day: email.; Manually run by ecertificate75@gmail.com; Timestamp: Aug 30 2024 10:06 PM</t>
  </si>
  <si>
    <t>1gfw-dmzMy5mnV2rdgBfPad7QT4lP5JdF</t>
  </si>
  <si>
    <t>https://drive.google.com/file/d/1gfw-dmzMy5mnV2rdgBfPad7QT4lP5JdF/view?usp=drivesdk</t>
  </si>
  <si>
    <t>ARI WIDIA RETNO</t>
  </si>
  <si>
    <t>ariwidia9@gmail.com</t>
  </si>
  <si>
    <t>431</t>
  </si>
  <si>
    <t>https://drive.google.com/file/d/1nTD8G6btnT4br_jHpZ9oC3jovCQA9p0b/view?usp=drivesdk</t>
  </si>
  <si>
    <t>1nTD8G6btnT4br_jHpZ9oC3jovCQA9p0b</t>
  </si>
  <si>
    <t>1DpFEJqieLXb3d_Ztsl9wQ9cCYE0r2BTJ</t>
  </si>
  <si>
    <t>https://drive.google.com/file/d/1DpFEJqieLXb3d_Ztsl9wQ9cCYE0r2BTJ/view?usp=drivesdk</t>
  </si>
  <si>
    <t>16F0U9TOnt9i_GDOreiRMmxu4yB3QRHgi</t>
  </si>
  <si>
    <t>https://drive.google.com/file/d/16F0U9TOnt9i_GDOreiRMmxu4yB3QRHgi/view?usp=drivesdk</t>
  </si>
  <si>
    <t>Document successfully created; Document successfully merged; PDF created; !!Error Sending Emails: Service invoked too many times for one day: email.; Manually run by ecertificate75@gmail.com; Timestamp: Aug 31 2024 6:58 AM</t>
  </si>
  <si>
    <t>DIAN MEFIANA, S.E.</t>
  </si>
  <si>
    <t>mevyditaurus@gmail.com</t>
  </si>
  <si>
    <t>432</t>
  </si>
  <si>
    <t>https://drive.google.com/file/d/1z8L1k3j5C_4pqA2SIKLzTtrhRPr6vekY/view?usp=drivesdk</t>
  </si>
  <si>
    <t>1z8L1k3j5C_4pqA2SIKLzTtrhRPr6vekY</t>
  </si>
  <si>
    <t>1ZVhyOQwkcmDrNW7u2_ofJfRFy_rlv61b</t>
  </si>
  <si>
    <t>https://drive.google.com/file/d/1ZVhyOQwkcmDrNW7u2_ofJfRFy_rlv61b/view?usp=drivesdk</t>
  </si>
  <si>
    <t>16R6KMRwcifEC2uopKWs6x9UGuNcMOMsn</t>
  </si>
  <si>
    <t>https://drive.google.com/file/d/16R6KMRwcifEC2uopKWs6x9UGuNcMOMsn/view?usp=drivesdk</t>
  </si>
  <si>
    <t>Document successfully created; Document successfully merged; PDF created; !!Error Sending Emails: Service invoked too many times for one day: email.; Manually run by ecertificate75@gmail.com; Timestamp: Aug 31 2024 6:59 AM</t>
  </si>
  <si>
    <t>I WAYAN DIVA DANANJAYA, Amd.Kom.</t>
  </si>
  <si>
    <t>dananjayadiva@gmail.com</t>
  </si>
  <si>
    <t>433</t>
  </si>
  <si>
    <t>https://drive.google.com/file/d/1Tsm3LXLimRv3rD4lxrWpTwLWfzdB-Zuy/view?usp=drivesdk</t>
  </si>
  <si>
    <t>1Tsm3LXLimRv3rD4lxrWpTwLWfzdB-Zuy</t>
  </si>
  <si>
    <t>1A-je5Dwr_4TsPFrhPU3H6shIGf4s4xbq</t>
  </si>
  <si>
    <t>https://drive.google.com/file/d/1A-je5Dwr_4TsPFrhPU3H6shIGf4s4xbq/view?usp=drivesdk</t>
  </si>
  <si>
    <t>1rMbhlL8NoqPDfXn9iRTuHPJGSj-ZO_Nt</t>
  </si>
  <si>
    <t>https://drive.google.com/file/d/1rMbhlL8NoqPDfXn9iRTuHPJGSj-ZO_Nt/view?usp=drivesdk</t>
  </si>
  <si>
    <t>FAHNI AULIA SIDIK, A.Md.Kep</t>
  </si>
  <si>
    <t>fahniaulia@gmail.com</t>
  </si>
  <si>
    <t>434</t>
  </si>
  <si>
    <t>https://drive.google.com/file/d/1NA7Q0ReCLHSx0Ge3m842GbvgSvXa2uiB/view?usp=drivesdk</t>
  </si>
  <si>
    <t>1NA7Q0ReCLHSx0Ge3m842GbvgSvXa2uiB</t>
  </si>
  <si>
    <t>1Tt_Nt2ION3-wE7Wm35Q0gec538_uSjge</t>
  </si>
  <si>
    <t>https://drive.google.com/file/d/1Tt_Nt2ION3-wE7Wm35Q0gec538_uSjge/view?usp=drivesdk</t>
  </si>
  <si>
    <t>Document successfully created; Document successfully merged; PDF created; !!Error Sending Emails: Service invoked too many times for one day: email.; Manually run by ecertificate75@gmail.com; Timestamp: Aug 30 2024 10:07 PM</t>
  </si>
  <si>
    <t>1NZV4aHg9ZO-yX6UucDshB_a3BL8s70EZ</t>
  </si>
  <si>
    <t>https://drive.google.com/file/d/1NZV4aHg9ZO-yX6UucDshB_a3BL8s70EZ/view?usp=drivesdk</t>
  </si>
  <si>
    <t>GLORIA HERAWATI</t>
  </si>
  <si>
    <t>herawatigloria@gmail.com</t>
  </si>
  <si>
    <t>435</t>
  </si>
  <si>
    <t>https://drive.google.com/file/d/1prddupUKE3mA60A6PZ2f5Vq8ARRn99SL/view?usp=drivesdk</t>
  </si>
  <si>
    <t>1prddupUKE3mA60A6PZ2f5Vq8ARRn99SL</t>
  </si>
  <si>
    <t>1JO90hwEpBuMqDUsFxDmHaLtNzbsLiVIC</t>
  </si>
  <si>
    <t>https://drive.google.com/file/d/1JO90hwEpBuMqDUsFxDmHaLtNzbsLiVIC/view?usp=drivesdk</t>
  </si>
  <si>
    <t>1SZ5Rr02vc_mE8nGHnSLhTUifxNVfIWw1</t>
  </si>
  <si>
    <t>https://drive.google.com/file/d/1SZ5Rr02vc_mE8nGHnSLhTUifxNVfIWw1/view?usp=drivesdk</t>
  </si>
  <si>
    <t xml:space="preserve">RINA APRILIAN YUSTITIA </t>
  </si>
  <si>
    <t>rinakei.85@gmail.com</t>
  </si>
  <si>
    <t>436</t>
  </si>
  <si>
    <t>https://drive.google.com/file/d/13L6HzJNdkD484hnDkCd7VOCJ_IafeVL3/view?usp=drivesdk</t>
  </si>
  <si>
    <t>13L6HzJNdkD484hnDkCd7VOCJ_IafeVL3</t>
  </si>
  <si>
    <t>11SOTLQy3n2ViDov7Tcdcl2RuEg3CL3vy</t>
  </si>
  <si>
    <t>https://drive.google.com/file/d/11SOTLQy3n2ViDov7Tcdcl2RuEg3CL3vy/view?usp=drivesdk</t>
  </si>
  <si>
    <t>1tvA3ecixk5cjZSY2wPZZiFMvq_uzdrGW</t>
  </si>
  <si>
    <t>https://drive.google.com/file/d/1tvA3ecixk5cjZSY2wPZZiFMvq_uzdrGW/view?usp=drivesdk</t>
  </si>
  <si>
    <t xml:space="preserve">HENNY FITRIANI </t>
  </si>
  <si>
    <t>hennyfitriani86ff@gmail.com</t>
  </si>
  <si>
    <t>437</t>
  </si>
  <si>
    <t>https://drive.google.com/file/d/1QJtxFP2YiUC_TEzERo4-oPbp_hVffLzd/view?usp=drivesdk</t>
  </si>
  <si>
    <t>1QJtxFP2YiUC_TEzERo4-oPbp_hVffLzd</t>
  </si>
  <si>
    <t>1oFAAvD1riEBmAjm0qP1D2Ve1hgEhsFeK</t>
  </si>
  <si>
    <t>https://drive.google.com/file/d/1oFAAvD1riEBmAjm0qP1D2Ve1hgEhsFeK/view?usp=drivesdk</t>
  </si>
  <si>
    <t>1JUvzaSCAZuEQ2rpJGknFYXe27bROdUcU</t>
  </si>
  <si>
    <t>https://drive.google.com/file/d/1JUvzaSCAZuEQ2rpJGknFYXe27bROdUcU/view?usp=drivesdk</t>
  </si>
  <si>
    <t>Document successfully created; Document successfully merged; PDF created; !!Error Sending Emails: Service invoked too many times for one day: email.; Manually run by ecertificate75@gmail.com; Timestamp: Aug 31 2024 7:00 AM</t>
  </si>
  <si>
    <t>AMRINA ROSYADA, A.Md.Keb.</t>
  </si>
  <si>
    <t>ocha1912@gmail.com</t>
  </si>
  <si>
    <t>438</t>
  </si>
  <si>
    <t>https://drive.google.com/file/d/111N-vh9qzMfld7WdGi9qfICHeqefucNa/view?usp=drivesdk</t>
  </si>
  <si>
    <t>111N-vh9qzMfld7WdGi9qfICHeqefucNa</t>
  </si>
  <si>
    <t>1yj6plvrb3o0cDuqMweqK9iL7jNqJDQ7Q</t>
  </si>
  <si>
    <t>https://drive.google.com/file/d/1yj6plvrb3o0cDuqMweqK9iL7jNqJDQ7Q/view?usp=drivesdk</t>
  </si>
  <si>
    <t>1bLiGBtozr9hBNOak717boTuTTvtAQSHb</t>
  </si>
  <si>
    <t>https://drive.google.com/file/d/1bLiGBtozr9hBNOak717boTuTTvtAQSHb/view?usp=drivesdk</t>
  </si>
  <si>
    <t>MEILINDA SUSANTI</t>
  </si>
  <si>
    <t>meilindasusanti23@gmail.com</t>
  </si>
  <si>
    <t>439</t>
  </si>
  <si>
    <t>https://drive.google.com/file/d/12n1rBgCEW6StruncqRVzku9iDC1ftDKh/view?usp=drivesdk</t>
  </si>
  <si>
    <t>12n1rBgCEW6StruncqRVzku9iDC1ftDKh</t>
  </si>
  <si>
    <t>1uvHMS2cU-zlO7OlV2awiiZ8ddvIgXbOR</t>
  </si>
  <si>
    <t>https://drive.google.com/file/d/1uvHMS2cU-zlO7OlV2awiiZ8ddvIgXbOR/view?usp=drivesdk</t>
  </si>
  <si>
    <t>1e8EcXKWBScaeoZ3s6vNFeRD2AdeaYiej</t>
  </si>
  <si>
    <t>https://drive.google.com/file/d/1e8EcXKWBScaeoZ3s6vNFeRD2AdeaYiej/view?usp=drivesdk</t>
  </si>
  <si>
    <t>YULIA HARYANI, S.IP</t>
  </si>
  <si>
    <t>yulia.haryani82@gmail.com</t>
  </si>
  <si>
    <t>440</t>
  </si>
  <si>
    <t>https://drive.google.com/file/d/14ADirn9i_bg27_WCse-E3SefOaoaKg10/view?usp=drivesdk</t>
  </si>
  <si>
    <t>14ADirn9i_bg27_WCse-E3SefOaoaKg10</t>
  </si>
  <si>
    <t>1pb5U1ewjFUlXtRcZa-TmwwVWqp3hJQt4</t>
  </si>
  <si>
    <t>https://drive.google.com/file/d/1pb5U1ewjFUlXtRcZa-TmwwVWqp3hJQt4/view?usp=drivesdk</t>
  </si>
  <si>
    <t>Document successfully created; Document successfully merged; PDF created; !!Error Sending Emails: Service invoked too many times for one day: email.; Manually run by ecertificate75@gmail.com; Timestamp: Aug 30 2024 10:08 PM</t>
  </si>
  <si>
    <t>1FVw1b0XwuB9Vma8EPJi6LV70sPCDS04O</t>
  </si>
  <si>
    <t>https://drive.google.com/file/d/1FVw1b0XwuB9Vma8EPJi6LV70sPCDS04O/view?usp=drivesdk</t>
  </si>
  <si>
    <t>DIAN RESDIANA,AMTE</t>
  </si>
  <si>
    <t>dianresdiana234@gmail.com</t>
  </si>
  <si>
    <t>441</t>
  </si>
  <si>
    <t>https://drive.google.com/file/d/1UxRMIouP1ew2zbQ8Y4QVO1jzmE2OMhST/view?usp=drivesdk</t>
  </si>
  <si>
    <t>1UxRMIouP1ew2zbQ8Y4QVO1jzmE2OMhST</t>
  </si>
  <si>
    <t>1XSzM9-x6-tniiGzX4d1uThfcmbhZqXVO</t>
  </si>
  <si>
    <t>https://drive.google.com/file/d/1XSzM9-x6-tniiGzX4d1uThfcmbhZqXVO/view?usp=drivesdk</t>
  </si>
  <si>
    <t>1MtF-zS5NqZiVI23MSDohVYg5-BLLv96o</t>
  </si>
  <si>
    <t>https://drive.google.com/file/d/1MtF-zS5NqZiVI23MSDohVYg5-BLLv96o/view?usp=drivesdk</t>
  </si>
  <si>
    <t>adeseptianinur809@gmail.com</t>
  </si>
  <si>
    <t>442</t>
  </si>
  <si>
    <t>https://drive.google.com/file/d/1EbEXuug61QOws52R748dTFwhLFrISjuF/view?usp=drivesdk</t>
  </si>
  <si>
    <t>1EbEXuug61QOws52R748dTFwhLFrISjuF</t>
  </si>
  <si>
    <t>1d-glFs2M3TWv9H4PGYU5pI_xgC9yL0qI</t>
  </si>
  <si>
    <t>https://drive.google.com/file/d/1d-glFs2M3TWv9H4PGYU5pI_xgC9yL0qI/view?usp=drivesdk</t>
  </si>
  <si>
    <t>1r2xZsPhKoFAcoaHs_UC3xrrEvdHs244y</t>
  </si>
  <si>
    <t>https://drive.google.com/file/d/1r2xZsPhKoFAcoaHs_UC3xrrEvdHs244y/view?usp=drivesdk</t>
  </si>
  <si>
    <t>FILIA INDRI DADARI, S.Si</t>
  </si>
  <si>
    <t>filiaindri79@gmail.com</t>
  </si>
  <si>
    <t>443</t>
  </si>
  <si>
    <t>https://drive.google.com/file/d/1Tngt2Y8KmvgXhWu8Ee67VX5HcQl4Za_o/view?usp=drivesdk</t>
  </si>
  <si>
    <t>1Tngt2Y8KmvgXhWu8Ee67VX5HcQl4Za_o</t>
  </si>
  <si>
    <t>1okdRV6bN09hYbZrD9sjEY0WHyFYpst-Z</t>
  </si>
  <si>
    <t>https://drive.google.com/file/d/1okdRV6bN09hYbZrD9sjEY0WHyFYpst-Z/view?usp=drivesdk</t>
  </si>
  <si>
    <t>1W09p717x20wGeUdVxIFKQA6jnUkv3E_T</t>
  </si>
  <si>
    <t>https://drive.google.com/file/d/1W09p717x20wGeUdVxIFKQA6jnUkv3E_T/view?usp=drivesdk</t>
  </si>
  <si>
    <t>Document successfully created; Document successfully merged; PDF created; !!Error Sending Emails: Service invoked too many times for one day: email.; Manually run by ecertificate75@gmail.com; Timestamp: Aug 31 2024 7:01 AM</t>
  </si>
  <si>
    <t xml:space="preserve">LILIS KONARIAH </t>
  </si>
  <si>
    <t>lilisbogor1989@gmail.com</t>
  </si>
  <si>
    <t>444</t>
  </si>
  <si>
    <t>https://drive.google.com/file/d/1s59ox_nFnYummaWqrpK2VZHkTwvg9FFU/view?usp=drivesdk</t>
  </si>
  <si>
    <t>1s59ox_nFnYummaWqrpK2VZHkTwvg9FFU</t>
  </si>
  <si>
    <t>1RDQ0gQm7Q1CTV1d_ICpNn8a2-kG76DDS</t>
  </si>
  <si>
    <t>https://drive.google.com/file/d/1RDQ0gQm7Q1CTV1d_ICpNn8a2-kG76DDS/view?usp=drivesdk</t>
  </si>
  <si>
    <t>11sBLrrwyWp0LCqqmI6hArnB5z3GrncRo</t>
  </si>
  <si>
    <t>https://drive.google.com/file/d/11sBLrrwyWp0LCqqmI6hArnB5z3GrncRo/view?usp=drivesdk</t>
  </si>
  <si>
    <t>PURWANTI OKTAVINA</t>
  </si>
  <si>
    <t>purwantioktavina@gmail.com</t>
  </si>
  <si>
    <t>445</t>
  </si>
  <si>
    <t>https://drive.google.com/file/d/1W3whfkZulYOlONQ9bNpdcLzf6--npYYf/view?usp=drivesdk</t>
  </si>
  <si>
    <t>1W3whfkZulYOlONQ9bNpdcLzf6--npYYf</t>
  </si>
  <si>
    <t>1LBMXVzeMJaKQhgPkw-zIDq8wd3hdbZr9</t>
  </si>
  <si>
    <t>https://drive.google.com/file/d/1LBMXVzeMJaKQhgPkw-zIDq8wd3hdbZr9/view?usp=drivesdk</t>
  </si>
  <si>
    <t>1YFiJZE1K1s9v6r7MEFIhDTW9ixWnUIsC</t>
  </si>
  <si>
    <t>https://drive.google.com/file/d/1YFiJZE1K1s9v6r7MEFIhDTW9ixWnUIsC/view?usp=drivesdk</t>
  </si>
  <si>
    <t>ANTONIUS MULYANTO, S. M</t>
  </si>
  <si>
    <t>antomulyanto70@gmail.com</t>
  </si>
  <si>
    <t>446</t>
  </si>
  <si>
    <t>https://drive.google.com/file/d/1Ix1BjJGn0li4r73f3FdGzcHaATHvuL-f/view?usp=drivesdk</t>
  </si>
  <si>
    <t>1Ix1BjJGn0li4r73f3FdGzcHaATHvuL-f</t>
  </si>
  <si>
    <t>14VM89NvBXf6e7C-GN0NDcpUUnMbmRUMf</t>
  </si>
  <si>
    <t>https://drive.google.com/file/d/14VM89NvBXf6e7C-GN0NDcpUUnMbmRUMf/view?usp=drivesdk</t>
  </si>
  <si>
    <t>Document successfully created; Document successfully merged; PDF created; !!Error Sending Emails: Service invoked too many times for one day: email.; Manually run by ecertificate75@gmail.com; Timestamp: Aug 30 2024 10:09 PM</t>
  </si>
  <si>
    <t>1qk_RFqAJIPZJUFYiWtx-Ko7Go3XfpIjm</t>
  </si>
  <si>
    <t>https://drive.google.com/file/d/1qk_RFqAJIPZJUFYiWtx-Ko7Go3XfpIjm/view?usp=drivesdk</t>
  </si>
  <si>
    <t>MATILLA PAKPAHAN</t>
  </si>
  <si>
    <t>pakpahanmatilla005@gmail.com</t>
  </si>
  <si>
    <t>447</t>
  </si>
  <si>
    <t>https://drive.google.com/file/d/1pQBY9aKynvpySZzXg3uOQCoPOYMY4Oyk/view?usp=drivesdk</t>
  </si>
  <si>
    <t>1pQBY9aKynvpySZzXg3uOQCoPOYMY4Oyk</t>
  </si>
  <si>
    <t>1Yy9iu0WK6J1FkJP7JAPrzcdZYRW_2YM9</t>
  </si>
  <si>
    <t>https://drive.google.com/file/d/1Yy9iu0WK6J1FkJP7JAPrzcdZYRW_2YM9/view?usp=drivesdk</t>
  </si>
  <si>
    <t>1JK56gC92K7gFdX3QhNNbZIe58QqYc2_0</t>
  </si>
  <si>
    <t>https://drive.google.com/file/d/1JK56gC92K7gFdX3QhNNbZIe58QqYc2_0/view?usp=drivesdk</t>
  </si>
  <si>
    <t>REZANDI EKA PRATAMA,AMD</t>
  </si>
  <si>
    <t>24gendel@gmail.com</t>
  </si>
  <si>
    <t>448</t>
  </si>
  <si>
    <t>https://drive.google.com/file/d/1FIV_5ws2Qpd0selMAW680uEFzRQ1OvR6/view?usp=drivesdk</t>
  </si>
  <si>
    <t>1FIV_5ws2Qpd0selMAW680uEFzRQ1OvR6</t>
  </si>
  <si>
    <t>1C1gSb4Mq5tnmIps1Wq1vRqNhLB-d6643</t>
  </si>
  <si>
    <t>https://drive.google.com/file/d/1C1gSb4Mq5tnmIps1Wq1vRqNhLB-d6643/view?usp=drivesdk</t>
  </si>
  <si>
    <t>1zAahtEb6l8T3wEApFwlwm-OVZQhuPegv</t>
  </si>
  <si>
    <t>https://drive.google.com/file/d/1zAahtEb6l8T3wEApFwlwm-OVZQhuPegv/view?usp=drivesdk</t>
  </si>
  <si>
    <t>Document successfully created; Document successfully merged; PDF created; !!Error Sending Emails: Service invoked too many times for one day: email.; Manually run by ecertificate75@gmail.com; Timestamp: Aug 31 2024 7:02 AM</t>
  </si>
  <si>
    <t>NINUK DEWI AMBARWATI, S.I.P.</t>
  </si>
  <si>
    <t>ninukda@gmail.com</t>
  </si>
  <si>
    <t>449</t>
  </si>
  <si>
    <t>https://drive.google.com/file/d/1G-r2dSFc9zC9rWAdIBiT24nw2no1JgyY/view?usp=drivesdk</t>
  </si>
  <si>
    <t>1G-r2dSFc9zC9rWAdIBiT24nw2no1JgyY</t>
  </si>
  <si>
    <t>17dVstnN6wIA8Bzvc9hvWEkFo_Mvuyrvl</t>
  </si>
  <si>
    <t>https://drive.google.com/file/d/17dVstnN6wIA8Bzvc9hvWEkFo_Mvuyrvl/view?usp=drivesdk</t>
  </si>
  <si>
    <t>1l2rawtviUpyMtOzC-fJz_4KpWbAAx1ZQ</t>
  </si>
  <si>
    <t>https://drive.google.com/file/d/1l2rawtviUpyMtOzC-fJz_4KpWbAAx1ZQ/view?usp=drivesdk</t>
  </si>
  <si>
    <t>USWATUL HASANAH</t>
  </si>
  <si>
    <t>huswatul037@gmail.com</t>
  </si>
  <si>
    <t>450</t>
  </si>
  <si>
    <t>https://drive.google.com/file/d/1CwKYAu264Cakoct_-C1Y1O_36CGVhgLE/view?usp=drivesdk</t>
  </si>
  <si>
    <t>1CwKYAu264Cakoct_-C1Y1O_36CGVhgLE</t>
  </si>
  <si>
    <t>1JTOvJMnrV1GF4uaqOUoqhFYrMMiwzMPr</t>
  </si>
  <si>
    <t>https://drive.google.com/file/d/1JTOvJMnrV1GF4uaqOUoqhFYrMMiwzMPr/view?usp=drivesdk</t>
  </si>
  <si>
    <t>1H_CMq8hO5JL0lfAAGyLAmkRk5N20BtN-</t>
  </si>
  <si>
    <t>https://drive.google.com/file/d/1H_CMq8hO5JL0lfAAGyLAmkRk5N20BtN-/view?usp=drivesdk</t>
  </si>
  <si>
    <t>ZULFADLI DAULAY</t>
  </si>
  <si>
    <t>zulfadli2006@gmail.com</t>
  </si>
  <si>
    <t>451</t>
  </si>
  <si>
    <t>https://drive.google.com/file/d/1-aTg1nKts1EENtKkD0XuIyzYbLk9bS7x/view?usp=drivesdk</t>
  </si>
  <si>
    <t>1-aTg1nKts1EENtKkD0XuIyzYbLk9bS7x</t>
  </si>
  <si>
    <t>1wlT9yB5z4rmd-BlYi0TCbf3dreybmDM7</t>
  </si>
  <si>
    <t>https://drive.google.com/file/d/1wlT9yB5z4rmd-BlYi0TCbf3dreybmDM7/view?usp=drivesdk</t>
  </si>
  <si>
    <t>1LGEk9ecGPBs6EUACKbfJfqkd96_eGfdj</t>
  </si>
  <si>
    <t>https://drive.google.com/file/d/1LGEk9ecGPBs6EUACKbfJfqkd96_eGfdj/view?usp=drivesdk</t>
  </si>
  <si>
    <t>SEVNA SYOLEARI, S.E.</t>
  </si>
  <si>
    <t>sevnasyoleari1983@gmail.com</t>
  </si>
  <si>
    <t>452</t>
  </si>
  <si>
    <t>https://drive.google.com/file/d/1F2Bs_9OhezFxLNR930A9S6oVAf8_jS__/view?usp=drivesdk</t>
  </si>
  <si>
    <t>1F2Bs_9OhezFxLNR930A9S6oVAf8_jS__</t>
  </si>
  <si>
    <t>1o9MmrThv54Xf1ByAIE7mY3IAgf3jHpD3</t>
  </si>
  <si>
    <t>https://drive.google.com/file/d/1o9MmrThv54Xf1ByAIE7mY3IAgf3jHpD3/view?usp=drivesdk</t>
  </si>
  <si>
    <t>Document successfully created; Document successfully merged; PDF created; !!Error Sending Emails: Service invoked too many times for one day: email.; Manually run by ecertificate75@gmail.com; Timestamp: Aug 30 2024 10:10 PM</t>
  </si>
  <si>
    <t>1JVbPz1HRgM1kJ8oUu7ucxETQb2S-oHpJ</t>
  </si>
  <si>
    <t>https://drive.google.com/file/d/1JVbPz1HRgM1kJ8oUu7ucxETQb2S-oHpJ/view?usp=drivesdk</t>
  </si>
  <si>
    <t>DEWANTI DWI ANGGRAINI</t>
  </si>
  <si>
    <t>renianggraini890@gmail.com</t>
  </si>
  <si>
    <t>453</t>
  </si>
  <si>
    <t>https://drive.google.com/file/d/1ba_biI2XtOKkraFdgloEIL4VmaRUqAMb/view?usp=drivesdk</t>
  </si>
  <si>
    <t>1ba_biI2XtOKkraFdgloEIL4VmaRUqAMb</t>
  </si>
  <si>
    <t>1c4yvpVGjmDqQtRMhm6-6I9bjfssZQIC8</t>
  </si>
  <si>
    <t>https://drive.google.com/file/d/1c4yvpVGjmDqQtRMhm6-6I9bjfssZQIC8/view?usp=drivesdk</t>
  </si>
  <si>
    <t>15TmqMmBsLfexH0pL7JqPRQjVqU9DxoVi</t>
  </si>
  <si>
    <t>https://drive.google.com/file/d/15TmqMmBsLfexH0pL7JqPRQjVqU9DxoVi/view?usp=drivesdk</t>
  </si>
  <si>
    <t>Document successfully created; Document successfully merged; PDF created; !!Error Sending Emails: Service invoked too many times for one day: email.; Manually run by ecertificate75@gmail.com; Timestamp: Aug 31 2024 7:03 AM</t>
  </si>
  <si>
    <t>PENGATUR AGUS SUWANTO</t>
  </si>
  <si>
    <t>gssuwanto@gmail.com</t>
  </si>
  <si>
    <t>454</t>
  </si>
  <si>
    <t>https://drive.google.com/file/d/1hNXxqZIhHjR1dnSSSAJl_Hrp8XiKXc6h/view?usp=drivesdk</t>
  </si>
  <si>
    <t>1hNXxqZIhHjR1dnSSSAJl_Hrp8XiKXc6h</t>
  </si>
  <si>
    <t>1dES-ij-6T3pwIzoTTfISJwgCkMIET_5y</t>
  </si>
  <si>
    <t>https://drive.google.com/file/d/1dES-ij-6T3pwIzoTTfISJwgCkMIET_5y/view?usp=drivesdk</t>
  </si>
  <si>
    <t>1f385dhBzwqSvkH800V1mxOq4gocaDkqC</t>
  </si>
  <si>
    <t>https://drive.google.com/file/d/1f385dhBzwqSvkH800V1mxOq4gocaDkqC/view?usp=drivesdk</t>
  </si>
  <si>
    <t>ARY KUNCAHYANI AMD.KEP</t>
  </si>
  <si>
    <t>arykuncahyani6@gmail.com</t>
  </si>
  <si>
    <t>455</t>
  </si>
  <si>
    <t>https://drive.google.com/file/d/1RnlfhCVvKkEikqsb_duk9X1TQbKtBO0K/view?usp=drivesdk</t>
  </si>
  <si>
    <t>1RnlfhCVvKkEikqsb_duk9X1TQbKtBO0K</t>
  </si>
  <si>
    <t>1-xOdcU6CAa3RB8Ih2i2xwUNp9wwXMfZ3</t>
  </si>
  <si>
    <t>https://drive.google.com/file/d/1-xOdcU6CAa3RB8Ih2i2xwUNp9wwXMfZ3/view?usp=drivesdk</t>
  </si>
  <si>
    <t>1N28432BeM-kRpkdz0znUzjNyjeYQXD2c</t>
  </si>
  <si>
    <t>https://drive.google.com/file/d/1N28432BeM-kRpkdz0znUzjNyjeYQXD2c/view?usp=drivesdk</t>
  </si>
  <si>
    <t>NELY WIDIASTUTI</t>
  </si>
  <si>
    <t>nelywidiastuti0@gmail.com</t>
  </si>
  <si>
    <t>456</t>
  </si>
  <si>
    <t>https://drive.google.com/file/d/1D7gnildjiLUmQOdyRDfgvnBA1uD_NfNs/view?usp=drivesdk</t>
  </si>
  <si>
    <t>1D7gnildjiLUmQOdyRDfgvnBA1uD_NfNs</t>
  </si>
  <si>
    <t>17WTkOWU5fttJjmi3JGMABPXDHJ7n-HCk</t>
  </si>
  <si>
    <t>https://drive.google.com/file/d/17WTkOWU5fttJjmi3JGMABPXDHJ7n-HCk/view?usp=drivesdk</t>
  </si>
  <si>
    <t>1vhT1Zqt-rWizxrpEZnaQL1Sr6YwY7_9q</t>
  </si>
  <si>
    <t>https://drive.google.com/file/d/1vhT1Zqt-rWizxrpEZnaQL1Sr6YwY7_9q/view?usp=drivesdk</t>
  </si>
  <si>
    <t>NANIN INDRIANA</t>
  </si>
  <si>
    <t>nanin.indriana75@gmail.com</t>
  </si>
  <si>
    <t>457</t>
  </si>
  <si>
    <t>https://drive.google.com/file/d/1cKkR3GeZTzh3TzraL-aobyEOQ2pXU9uf/view?usp=drivesdk</t>
  </si>
  <si>
    <t>1cKkR3GeZTzh3TzraL-aobyEOQ2pXU9uf</t>
  </si>
  <si>
    <t>18uNJSNZfDT5VDdXmnSrkMwChsOY7PDKI</t>
  </si>
  <si>
    <t>https://drive.google.com/file/d/18uNJSNZfDT5VDdXmnSrkMwChsOY7PDKI/view?usp=drivesdk</t>
  </si>
  <si>
    <t>13TOUzaJ9ZpckTKFmBQzHj16T47wOOxb3</t>
  </si>
  <si>
    <t>https://drive.google.com/file/d/13TOUzaJ9ZpckTKFmBQzHj16T47wOOxb3/view?usp=drivesdk</t>
  </si>
  <si>
    <t>NURUL KHOTIMAH, SAP.</t>
  </si>
  <si>
    <t>nuruloke7507@gmail.com</t>
  </si>
  <si>
    <t>458</t>
  </si>
  <si>
    <t>https://drive.google.com/file/d/120ss0j9KMizN9SXPD8-bo_7nyMWxNWLI/view?usp=drivesdk</t>
  </si>
  <si>
    <t>120ss0j9KMizN9SXPD8-bo_7nyMWxNWLI</t>
  </si>
  <si>
    <t>14fMN9c1m74OXZ8fyHFLv0qrmOCr4eojh</t>
  </si>
  <si>
    <t>https://drive.google.com/file/d/14fMN9c1m74OXZ8fyHFLv0qrmOCr4eojh/view?usp=drivesdk</t>
  </si>
  <si>
    <t>Document successfully created; Document successfully merged; PDF created; !!Error Sending Emails: Service invoked too many times for one day: email.; Manually run by ecertificate75@gmail.com; Timestamp: Aug 30 2024 10:11 PM</t>
  </si>
  <si>
    <t>1EW4fV3mI7c8KiKUQA4Y3Bacua1UtZ8by</t>
  </si>
  <si>
    <t>https://drive.google.com/file/d/1EW4fV3mI7c8KiKUQA4Y3Bacua1UtZ8by/view?usp=drivesdk</t>
  </si>
  <si>
    <t>VERA KARTIANA APRILIA, S.E., M.AP.</t>
  </si>
  <si>
    <t>verakartiana@gmail.com</t>
  </si>
  <si>
    <t>459</t>
  </si>
  <si>
    <t>https://drive.google.com/file/d/1cMxwW9xxzF7kFou5bpma2szlNw1X9hod/view?usp=drivesdk</t>
  </si>
  <si>
    <t>1cMxwW9xxzF7kFou5bpma2szlNw1X9hod</t>
  </si>
  <si>
    <t>1ANJzaAk5ZFP0mgfxx6ivsCOWBP-B6lbr</t>
  </si>
  <si>
    <t>https://drive.google.com/file/d/1ANJzaAk5ZFP0mgfxx6ivsCOWBP-B6lbr/view?usp=drivesdk</t>
  </si>
  <si>
    <t>1KtVh1lYmMEawaHzVSjUv75y3V2W6UaqP</t>
  </si>
  <si>
    <t>https://drive.google.com/file/d/1KtVh1lYmMEawaHzVSjUv75y3V2W6UaqP/view?usp=drivesdk</t>
  </si>
  <si>
    <t>Document successfully created; Document successfully merged; PDF created; !!Error Sending Emails: Service invoked too many times for one day: email.; Manually run by ecertificate75@gmail.com; Timestamp: Aug 31 2024 7:17 AM</t>
  </si>
  <si>
    <t>IMAS MULYANI, S.M.</t>
  </si>
  <si>
    <t>imasmulyani02@gmail.com</t>
  </si>
  <si>
    <t>460</t>
  </si>
  <si>
    <t>https://drive.google.com/file/d/15k6kwD7Bwj1q4-nukg-kjn7C9jiCjFRZ/view?usp=drivesdk</t>
  </si>
  <si>
    <t>15k6kwD7Bwj1q4-nukg-kjn7C9jiCjFRZ</t>
  </si>
  <si>
    <t>1krSVX0jg4whWopxfbeC_YLpopg0zFoxy</t>
  </si>
  <si>
    <t>https://drive.google.com/file/d/1krSVX0jg4whWopxfbeC_YLpopg0zFoxy/view?usp=drivesdk</t>
  </si>
  <si>
    <t>1Gyo7x2ycvMBmpaZVoaS0qCdUIKjpaqPn</t>
  </si>
  <si>
    <t>https://drive.google.com/file/d/1Gyo7x2ycvMBmpaZVoaS0qCdUIKjpaqPn/view?usp=drivesdk</t>
  </si>
  <si>
    <t>ASIH PRIYATMI, S.SOS</t>
  </si>
  <si>
    <t>asihind4h@gmail.com</t>
  </si>
  <si>
    <t>461</t>
  </si>
  <si>
    <t>https://drive.google.com/file/d/164baYnjyrwzXoYW9iWUGe0vq9dD85EW5/view?usp=drivesdk</t>
  </si>
  <si>
    <t>164baYnjyrwzXoYW9iWUGe0vq9dD85EW5</t>
  </si>
  <si>
    <t>1_RCP2tZdMzblo45s-wy2rYpdjQKbl3xN</t>
  </si>
  <si>
    <t>https://drive.google.com/file/d/1_RCP2tZdMzblo45s-wy2rYpdjQKbl3xN/view?usp=drivesdk</t>
  </si>
  <si>
    <t>1lJUipUuN82pwRXlnCNPD7wE4-lsxpI0w</t>
  </si>
  <si>
    <t>https://drive.google.com/file/d/1lJUipUuN82pwRXlnCNPD7wE4-lsxpI0w/view?usp=drivesdk</t>
  </si>
  <si>
    <t>KANDIDUS TARAS NIKODEMUS, S.Kom.</t>
  </si>
  <si>
    <t>kozuke70@gmail.com</t>
  </si>
  <si>
    <t>462</t>
  </si>
  <si>
    <t>https://drive.google.com/file/d/1ehtId5DUmngpxwSdx5k0MSJJW1AbNVeT/view?usp=drivesdk</t>
  </si>
  <si>
    <t>1ehtId5DUmngpxwSdx5k0MSJJW1AbNVeT</t>
  </si>
  <si>
    <t>1zzLYIrLY8ZI7d-XIGqbCyqBc7CoYYzl6</t>
  </si>
  <si>
    <t>https://drive.google.com/file/d/1zzLYIrLY8ZI7d-XIGqbCyqBc7CoYYzl6/view?usp=drivesdk</t>
  </si>
  <si>
    <t>1ucUfCHlMfXjbYAyei28jDGcMqG8Op9Mf</t>
  </si>
  <si>
    <t>https://drive.google.com/file/d/1ucUfCHlMfXjbYAyei28jDGcMqG8Op9Mf/view?usp=drivesdk</t>
  </si>
  <si>
    <t>RORY KARTIKASARI, S.E.</t>
  </si>
  <si>
    <t>kartikarory@gmail.com</t>
  </si>
  <si>
    <t>463</t>
  </si>
  <si>
    <t>https://drive.google.com/file/d/1d9KnkjYzRUHoAvEHrmZVlx6Yh252qnJQ/view?usp=drivesdk</t>
  </si>
  <si>
    <t>1d9KnkjYzRUHoAvEHrmZVlx6Yh252qnJQ</t>
  </si>
  <si>
    <t>1-NYFhd1tgZgc5O3yVCxrt2_hOZ0AWPcA</t>
  </si>
  <si>
    <t>https://drive.google.com/file/d/1-NYFhd1tgZgc5O3yVCxrt2_hOZ0AWPcA/view?usp=drivesdk</t>
  </si>
  <si>
    <t>Document successfully created; Document successfully merged; PDF created; !!Error Sending Emails: Service invoked too many times for one day: email.; Manually run by ecertificate75@gmail.com; Timestamp: Aug 30 2024 10:12 PM</t>
  </si>
  <si>
    <t>1LVSx32mdzWN8kgvHWYzAilefhI-t8zKl</t>
  </si>
  <si>
    <t>https://drive.google.com/file/d/1LVSx32mdzWN8kgvHWYzAilefhI-t8zKl/view?usp=drivesdk</t>
  </si>
  <si>
    <t>ANDRIE ADI DARMAN</t>
  </si>
  <si>
    <t>adidarma535@gmail.com</t>
  </si>
  <si>
    <t>464</t>
  </si>
  <si>
    <t>https://drive.google.com/file/d/1xj4kOOc2V96bIvWKaoOKYl8LrPKLn8Vb/view?usp=drivesdk</t>
  </si>
  <si>
    <t>1xj4kOOc2V96bIvWKaoOKYl8LrPKLn8Vb</t>
  </si>
  <si>
    <t>1yYDWb6a3k1CgITqDgyJeilQU29fEBnxJ</t>
  </si>
  <si>
    <t>https://drive.google.com/file/d/1yYDWb6a3k1CgITqDgyJeilQU29fEBnxJ/view?usp=drivesdk</t>
  </si>
  <si>
    <t>1DHH9zkNhgHTrhKrQeaaa5zumOLoC0iEZ</t>
  </si>
  <si>
    <t>https://drive.google.com/file/d/1DHH9zkNhgHTrhKrQeaaa5zumOLoC0iEZ/view?usp=drivesdk</t>
  </si>
  <si>
    <t>BASKORO WIDIARSO</t>
  </si>
  <si>
    <t>ibasharjuna@gmail.com</t>
  </si>
  <si>
    <t>465</t>
  </si>
  <si>
    <t>https://drive.google.com/file/d/1dUMAJncer-uqF8hq9RS-rRMhXJ-PRZ0I/view?usp=drivesdk</t>
  </si>
  <si>
    <t>1dUMAJncer-uqF8hq9RS-rRMhXJ-PRZ0I</t>
  </si>
  <si>
    <t>1PZk2l23RWWKn_8Qm4kQYX9u5OAdfVs9p</t>
  </si>
  <si>
    <t>https://drive.google.com/file/d/1PZk2l23RWWKn_8Qm4kQYX9u5OAdfVs9p/view?usp=drivesdk</t>
  </si>
  <si>
    <t>15Tr1EXZZZsAnoiBsJxLbKnoUK5QtN5if</t>
  </si>
  <si>
    <t>https://drive.google.com/file/d/15Tr1EXZZZsAnoiBsJxLbKnoUK5QtN5if/view?usp=drivesdk</t>
  </si>
  <si>
    <t>Document successfully created; Document successfully merged; PDF created; !!Error Sending Emails: Service invoked too many times for one day: email.; Manually run by ecertificate75@gmail.com; Timestamp: Aug 31 2024 7:18 AM</t>
  </si>
  <si>
    <t>NOVELLIAZAZA</t>
  </si>
  <si>
    <t>novelliajupe@gmail.com</t>
  </si>
  <si>
    <t>466</t>
  </si>
  <si>
    <t>https://drive.google.com/file/d/1AniQiZh9hPk4BZv12o2Hc_sU1P48V5C_/view?usp=drivesdk</t>
  </si>
  <si>
    <t>1AniQiZh9hPk4BZv12o2Hc_sU1P48V5C_</t>
  </si>
  <si>
    <t>1-hbSQfR59qm2_JR8ej-iKqjOkHq6qEUB</t>
  </si>
  <si>
    <t>https://drive.google.com/file/d/1-hbSQfR59qm2_JR8ej-iKqjOkHq6qEUB/view?usp=drivesdk</t>
  </si>
  <si>
    <t>1e1C7hiU2qfjafOSe5-MO9-xNuKIPuaoc</t>
  </si>
  <si>
    <t>https://drive.google.com/file/d/1e1C7hiU2qfjafOSe5-MO9-xNuKIPuaoc/view?usp=drivesdk</t>
  </si>
  <si>
    <t>ARDIANSYAH, S.KOM, M.M.</t>
  </si>
  <si>
    <t>ocha.wepers@gmail.com</t>
  </si>
  <si>
    <t>467</t>
  </si>
  <si>
    <t>https://drive.google.com/file/d/1Nz3IMunOGeD-5SRn4pFBjZU9voV41a0F/view?usp=drivesdk</t>
  </si>
  <si>
    <t>1Nz3IMunOGeD-5SRn4pFBjZU9voV41a0F</t>
  </si>
  <si>
    <t>1JiN5zqV6EwPSKbhecGD01tZ2vDyEieAG</t>
  </si>
  <si>
    <t>https://drive.google.com/file/d/1JiN5zqV6EwPSKbhecGD01tZ2vDyEieAG/view?usp=drivesdk</t>
  </si>
  <si>
    <t>1HACaVAMLVRXJI1vfRBW5JmccSWwddaBR</t>
  </si>
  <si>
    <t>https://drive.google.com/file/d/1HACaVAMLVRXJI1vfRBW5JmccSWwddaBR/view?usp=drivesdk</t>
  </si>
  <si>
    <t>DWI RAHAYU ARIEF SAPUTRI, S.T.</t>
  </si>
  <si>
    <t>d.rahayu79@gmail.com</t>
  </si>
  <si>
    <t>468</t>
  </si>
  <si>
    <t>https://drive.google.com/file/d/1IZLUapSXb2TeMJ3-h7eg8Ht5dXzhhh4j/view?usp=drivesdk</t>
  </si>
  <si>
    <t>1IZLUapSXb2TeMJ3-h7eg8Ht5dXzhhh4j</t>
  </si>
  <si>
    <t>11i4tl0YN0glXgCdPptU96yGWJMFbyhUE</t>
  </si>
  <si>
    <t>https://drive.google.com/file/d/11i4tl0YN0glXgCdPptU96yGWJMFbyhUE/view?usp=drivesdk</t>
  </si>
  <si>
    <t>Document successfully created; Document successfully merged; PDF created; !!Error Sending Emails: Service invoked too many times for one day: email.; Manually run by ecertificate75@gmail.com; Timestamp: Aug 30 2024 10:13 PM</t>
  </si>
  <si>
    <t>1-MF1p-9q1TS74rUG_E_v10qTalh2v-TR</t>
  </si>
  <si>
    <t>https://drive.google.com/file/d/1-MF1p-9q1TS74rUG_E_v10qTalh2v-TR/view?usp=drivesdk</t>
  </si>
  <si>
    <t>VICTOR NOIYAAMK</t>
  </si>
  <si>
    <t>victornoiya@gmail.com</t>
  </si>
  <si>
    <t>469</t>
  </si>
  <si>
    <t>https://drive.google.com/file/d/1cQK2272Q7jF6H6Rn7fSkvmaoudYXiPgx/view?usp=drivesdk</t>
  </si>
  <si>
    <t>1cQK2272Q7jF6H6Rn7fSkvmaoudYXiPgx</t>
  </si>
  <si>
    <t>1p1wb6X3tQ9bmrOKF_v_Pw3Rv-1r6PpoC</t>
  </si>
  <si>
    <t>https://drive.google.com/file/d/1p1wb6X3tQ9bmrOKF_v_Pw3Rv-1r6PpoC/view?usp=drivesdk</t>
  </si>
  <si>
    <t>1pQi60ynlqKuLrVX-TAZUaqvsJbh0neqe</t>
  </si>
  <si>
    <t>https://drive.google.com/file/d/1pQi60ynlqKuLrVX-TAZUaqvsJbh0neqe/view?usp=drivesdk</t>
  </si>
  <si>
    <t>DINAN TASBIYAN, S. Farm</t>
  </si>
  <si>
    <t>dikafa99@gmail.com</t>
  </si>
  <si>
    <t>470</t>
  </si>
  <si>
    <t>https://drive.google.com/file/d/1O2HWrMNfBTEi4qHz2_QCAltoyKTI_BwB/view?usp=drivesdk</t>
  </si>
  <si>
    <t>1O2HWrMNfBTEi4qHz2_QCAltoyKTI_BwB</t>
  </si>
  <si>
    <t>1jvSoliluqg1m4PngW358NdBclkXb4UWl</t>
  </si>
  <si>
    <t>https://drive.google.com/file/d/1jvSoliluqg1m4PngW358NdBclkXb4UWl/view?usp=drivesdk</t>
  </si>
  <si>
    <t>1c6fTDsarqQLB-efXIuxPtKPjtsfp1yQx</t>
  </si>
  <si>
    <t>https://drive.google.com/file/d/1c6fTDsarqQLB-efXIuxPtKPjtsfp1yQx/view?usp=drivesdk</t>
  </si>
  <si>
    <t>RIZKYWATI ASMARA, S.H.</t>
  </si>
  <si>
    <t>qky.alfarisi.siahaan@gmail.com</t>
  </si>
  <si>
    <t>471</t>
  </si>
  <si>
    <t>https://drive.google.com/file/d/1CbvgfV-ATSDmeZmkjx3KbZgGf0qWrGw7/view?usp=drivesdk</t>
  </si>
  <si>
    <t>1CbvgfV-ATSDmeZmkjx3KbZgGf0qWrGw7</t>
  </si>
  <si>
    <t>19nOZ0wuJolozGgUDQ0ekbrXEOMcConIf</t>
  </si>
  <si>
    <t>https://drive.google.com/file/d/19nOZ0wuJolozGgUDQ0ekbrXEOMcConIf/view?usp=drivesdk</t>
  </si>
  <si>
    <t>1Yu-NWJY0jzJjzUNBCdvGOpYu85saS3gn</t>
  </si>
  <si>
    <t>https://drive.google.com/file/d/1Yu-NWJY0jzJjzUNBCdvGOpYu85saS3gn/view?usp=drivesdk</t>
  </si>
  <si>
    <t>Document successfully created; Document successfully merged; PDF created; !!Error Sending Emails: Service invoked too many times for one day: email.; Manually run by ecertificate75@gmail.com; Timestamp: Aug 31 2024 7:19 AM</t>
  </si>
  <si>
    <t>HERI SUPRAPTO, S.E., M.A.</t>
  </si>
  <si>
    <t>suprapto.heri@gmail.com</t>
  </si>
  <si>
    <t>472</t>
  </si>
  <si>
    <t>https://drive.google.com/file/d/1iZQ-nSgX-9cDMzOAV4vwCaG2zp8348yz/view?usp=drivesdk</t>
  </si>
  <si>
    <t>1iZQ-nSgX-9cDMzOAV4vwCaG2zp8348yz</t>
  </si>
  <si>
    <t>1pl9g3O_dgv0dD74G3nG48mTT_rYq10cX</t>
  </si>
  <si>
    <t>https://drive.google.com/file/d/1pl9g3O_dgv0dD74G3nG48mTT_rYq10cX/view?usp=drivesdk</t>
  </si>
  <si>
    <t>1nsyhY0SEPrmC5gNMClZbnqe1bo3nvkY8</t>
  </si>
  <si>
    <t>https://drive.google.com/file/d/1nsyhY0SEPrmC5gNMClZbnqe1bo3nvkY8/view?usp=drivesdk</t>
  </si>
  <si>
    <t>PENGATUR TK. I AGUS SUPENA</t>
  </si>
  <si>
    <t>kangchitonk@gmail.com</t>
  </si>
  <si>
    <t>473</t>
  </si>
  <si>
    <t>https://drive.google.com/file/d/1aVnGc7MjjadXw0XvwjWmQvlo3ofWY42Z/view?usp=drivesdk</t>
  </si>
  <si>
    <t>1aVnGc7MjjadXw0XvwjWmQvlo3ofWY42Z</t>
  </si>
  <si>
    <t>1KCOLDlKK48Odsodub6id6Zb3lk36mDoB</t>
  </si>
  <si>
    <t>https://drive.google.com/file/d/1KCOLDlKK48Odsodub6id6Zb3lk36mDoB/view?usp=drivesdk</t>
  </si>
  <si>
    <t>17zT2Ic-4IfZUF81wgtLbHGKUMdChfR_B</t>
  </si>
  <si>
    <t>https://drive.google.com/file/d/17zT2Ic-4IfZUF81wgtLbHGKUMdChfR_B/view?usp=drivesdk</t>
  </si>
  <si>
    <t>DRG. SAFRIANI SITOMPUL</t>
  </si>
  <si>
    <t>safrianisitompul@gmail.com</t>
  </si>
  <si>
    <t>474</t>
  </si>
  <si>
    <t>https://drive.google.com/file/d/1K1NG9B2-uKpW2VCUo6LqyxPjv3rawQdH/view?usp=drivesdk</t>
  </si>
  <si>
    <t>1K1NG9B2-uKpW2VCUo6LqyxPjv3rawQdH</t>
  </si>
  <si>
    <t>14MqYJCSv8DS2DxejfC-wF5wMvKe_foHx</t>
  </si>
  <si>
    <t>https://drive.google.com/file/d/14MqYJCSv8DS2DxejfC-wF5wMvKe_foHx/view?usp=drivesdk</t>
  </si>
  <si>
    <t>1eTEDSZNLxUOQgxy2_IfverxRhaTReYaF</t>
  </si>
  <si>
    <t>https://drive.google.com/file/d/1eTEDSZNLxUOQgxy2_IfverxRhaTReYaF/view?usp=drivesdk</t>
  </si>
  <si>
    <t>MUHAMMAD SUKARDONO, S.E., M.M.</t>
  </si>
  <si>
    <t>sukardono@gmail.com</t>
  </si>
  <si>
    <t>475</t>
  </si>
  <si>
    <t>https://drive.google.com/file/d/1-yI90IhR0dbHHppsdrT6gBWmK6lc3JPC/view?usp=drivesdk</t>
  </si>
  <si>
    <t>1-yI90IhR0dbHHppsdrT6gBWmK6lc3JPC</t>
  </si>
  <si>
    <t>1nglpipck_OxpNzdON3yFVng0Qushlq7x</t>
  </si>
  <si>
    <t>https://drive.google.com/file/d/1nglpipck_OxpNzdON3yFVng0Qushlq7x/view?usp=drivesdk</t>
  </si>
  <si>
    <t>Document successfully created; Document successfully merged; PDF created; !!Error Sending Emails: Service invoked too many times for one day: email.; Manually run by ecertificate75@gmail.com; Timestamp: Aug 30 2024 10:14 PM</t>
  </si>
  <si>
    <t>1RLHoSqTaNJHLNvl3vAo80H5_PlvGuFR_</t>
  </si>
  <si>
    <t>https://drive.google.com/file/d/1RLHoSqTaNJHLNvl3vAo80H5_PlvGuFR_/view?usp=drivesdk</t>
  </si>
  <si>
    <t>DWI SUHERMI KUSUMA NINGRUM,SM</t>
  </si>
  <si>
    <t>dwisuhermi73@gmail.com</t>
  </si>
  <si>
    <t>476</t>
  </si>
  <si>
    <t>https://drive.google.com/file/d/1_QaQ-15x6NoXrpa_mAZ37PukwAQQDZ3-/view?usp=drivesdk</t>
  </si>
  <si>
    <t>1_QaQ-15x6NoXrpa_mAZ37PukwAQQDZ3-</t>
  </si>
  <si>
    <t>1JSXES1T2e0fIvJEgCkj8s7a9XiUKqgoe</t>
  </si>
  <si>
    <t>https://drive.google.com/file/d/1JSXES1T2e0fIvJEgCkj8s7a9XiUKqgoe/view?usp=drivesdk</t>
  </si>
  <si>
    <t>1HcYLMqNlxiha70TjYfo-N87phzCX7OiC</t>
  </si>
  <si>
    <t>https://drive.google.com/file/d/1HcYLMqNlxiha70TjYfo-N87phzCX7OiC/view?usp=drivesdk</t>
  </si>
  <si>
    <t>Document successfully created; Document successfully merged; PDF created; !!Error Sending Emails: Service invoked too many times for one day: email.; Manually run by ecertificate75@gmail.com; Timestamp: Aug 31 2024 7:20 AM</t>
  </si>
  <si>
    <t>GILANG ABIMANYU, A.MD</t>
  </si>
  <si>
    <t>gabimanyu7@gmail.com</t>
  </si>
  <si>
    <t>477</t>
  </si>
  <si>
    <t>https://drive.google.com/file/d/1lxFMQ6d9EjR7OQEArU-8NQEkypYOs_a4/view?usp=drivesdk</t>
  </si>
  <si>
    <t>1lxFMQ6d9EjR7OQEArU-8NQEkypYOs_a4</t>
  </si>
  <si>
    <t>1S8ZEyJ9yhnfIfs-1hixmqDHnuG21-tKP</t>
  </si>
  <si>
    <t>https://drive.google.com/file/d/1S8ZEyJ9yhnfIfs-1hixmqDHnuG21-tKP/view?usp=drivesdk</t>
  </si>
  <si>
    <t>1LFvMKOX3I1WHQ7Ze0nums_tQjSFqgXB_</t>
  </si>
  <si>
    <t>https://drive.google.com/file/d/1LFvMKOX3I1WHQ7Ze0nums_tQjSFqgXB_/view?usp=drivesdk</t>
  </si>
  <si>
    <t>PENGATUR TK I HARIANTO</t>
  </si>
  <si>
    <t>hariantosium1971@gmail.com</t>
  </si>
  <si>
    <t>478</t>
  </si>
  <si>
    <t>https://drive.google.com/file/d/1xj9eiwAMtrGVMG_8LNUq1_2lAT8JOxMm/view?usp=drivesdk</t>
  </si>
  <si>
    <t>1xj9eiwAMtrGVMG_8LNUq1_2lAT8JOxMm</t>
  </si>
  <si>
    <t>1KKgYL8WLsIKoQ2wzs1V5vBTJzSSb008t</t>
  </si>
  <si>
    <t>https://drive.google.com/file/d/1KKgYL8WLsIKoQ2wzs1V5vBTJzSSb008t/view?usp=drivesdk</t>
  </si>
  <si>
    <t>1vmE1HmcpilwEMd0l-FQ76x5bjiIErDjI</t>
  </si>
  <si>
    <t>https://drive.google.com/file/d/1vmE1HmcpilwEMd0l-FQ76x5bjiIErDjI/view?usp=drivesdk</t>
  </si>
  <si>
    <t>ELSA AFRIANI, A.Md.Kom</t>
  </si>
  <si>
    <t>elsa.renminhumas22@gmail.com</t>
  </si>
  <si>
    <t>479</t>
  </si>
  <si>
    <t>https://drive.google.com/file/d/1AlB5nvnS_bX-08wbQRNPnWvGpTshHMsQ/view?usp=drivesdk</t>
  </si>
  <si>
    <t>1AlB5nvnS_bX-08wbQRNPnWvGpTshHMsQ</t>
  </si>
  <si>
    <t>1bFKShDErO26yi6xVLB6w4A_cEtGjnxDf</t>
  </si>
  <si>
    <t>https://drive.google.com/file/d/1bFKShDErO26yi6xVLB6w4A_cEtGjnxDf/view?usp=drivesdk</t>
  </si>
  <si>
    <t>1XwtlvrsW967nQDe2xnzWXkTsTvfdndOf</t>
  </si>
  <si>
    <t>https://drive.google.com/file/d/1XwtlvrsW967nQDe2xnzWXkTsTvfdndOf/view?usp=drivesdk</t>
  </si>
  <si>
    <t>PENGATUR DEDI JUANDI</t>
  </si>
  <si>
    <t>dedijuandi31@gmail.com</t>
  </si>
  <si>
    <t>480</t>
  </si>
  <si>
    <t>https://drive.google.com/file/d/1pYCWg2sfXVlFQZittWNncYCe2uMWOIkQ/view?usp=drivesdk</t>
  </si>
  <si>
    <t>1pYCWg2sfXVlFQZittWNncYCe2uMWOIkQ</t>
  </si>
  <si>
    <t>1uFVs5VIAhqdGBvSxn1Ut5fUbD_nQ9TQq</t>
  </si>
  <si>
    <t>https://drive.google.com/file/d/1uFVs5VIAhqdGBvSxn1Ut5fUbD_nQ9TQq/view?usp=drivesdk</t>
  </si>
  <si>
    <t>1NJiPl1DSxHvdqU7Ss94EfKJvZgDfinR2</t>
  </si>
  <si>
    <t>https://drive.google.com/file/d/1NJiPl1DSxHvdqU7Ss94EfKJvZgDfinR2/view?usp=drivesdk</t>
  </si>
  <si>
    <t>DESMI YETRI AMD FARM SE</t>
  </si>
  <si>
    <t>ummifaiqrifki@gmail.com</t>
  </si>
  <si>
    <t>481</t>
  </si>
  <si>
    <t>https://drive.google.com/file/d/1OA6Hm_clAA3Wu-RuJ0t9EKMhLCNjWA1G/view?usp=drivesdk</t>
  </si>
  <si>
    <t>1OA6Hm_clAA3Wu-RuJ0t9EKMhLCNjWA1G</t>
  </si>
  <si>
    <t>1nsdOtbHF_Lat7YrsMLApG7k9F9uL81Jc</t>
  </si>
  <si>
    <t>https://drive.google.com/file/d/1nsdOtbHF_Lat7YrsMLApG7k9F9uL81Jc/view?usp=drivesdk</t>
  </si>
  <si>
    <t>1OKbju8ohknmDKix7rmvWNIZFErw0SjWe</t>
  </si>
  <si>
    <t>https://drive.google.com/file/d/1OKbju8ohknmDKix7rmvWNIZFErw0SjWe/view?usp=drivesdk</t>
  </si>
  <si>
    <t>Document successfully created; Document successfully merged; PDF created; !!Error Sending Emails: Service invoked too many times for one day: email.; Manually run by ecertificate75@gmail.com; Timestamp: Aug 31 2024 7:21 AM</t>
  </si>
  <si>
    <t>DENiS TRISNI LESTARI</t>
  </si>
  <si>
    <t>denaherdena@gmail.com</t>
  </si>
  <si>
    <t>482</t>
  </si>
  <si>
    <t>https://drive.google.com/file/d/1OU69EcuP-VSgyBajE2xTWnI__xD3zZMt/view?usp=drivesdk</t>
  </si>
  <si>
    <t>1OU69EcuP-VSgyBajE2xTWnI__xD3zZMt</t>
  </si>
  <si>
    <t>1eASRsqN5qjG1X2h1mQeVicErurAoOBQE</t>
  </si>
  <si>
    <t>https://drive.google.com/file/d/1eASRsqN5qjG1X2h1mQeVicErurAoOBQE/view?usp=drivesdk</t>
  </si>
  <si>
    <t>1Fu4RwDhhM9fONIesPJFvgxB9FBK19N_x</t>
  </si>
  <si>
    <t>https://drive.google.com/file/d/1Fu4RwDhhM9fONIesPJFvgxB9FBK19N_x/view?usp=drivesdk</t>
  </si>
  <si>
    <t xml:space="preserve">TRESNORAHAYU </t>
  </si>
  <si>
    <t>rahayutresno69@gmail.com</t>
  </si>
  <si>
    <t>483</t>
  </si>
  <si>
    <t>https://drive.google.com/file/d/1jchk1t1MUB2HoskGUeAPk_Rl2U8RDHim/view?usp=drivesdk</t>
  </si>
  <si>
    <t>1jchk1t1MUB2HoskGUeAPk_Rl2U8RDHim</t>
  </si>
  <si>
    <t>1azHu2ZHkAKRu1cxoDPSZSHivrxLsccS7</t>
  </si>
  <si>
    <t>https://drive.google.com/file/d/1azHu2ZHkAKRu1cxoDPSZSHivrxLsccS7/view?usp=drivesdk</t>
  </si>
  <si>
    <t>1im0zkBhppFnufuXbEZu_6XTVbSucG6p8</t>
  </si>
  <si>
    <t>https://drive.google.com/file/d/1im0zkBhppFnufuXbEZu_6XTVbSucG6p8/view?usp=drivesdk</t>
  </si>
  <si>
    <t>EUIS RATNAMULYA</t>
  </si>
  <si>
    <t>euisratnamulya123@gmail.com</t>
  </si>
  <si>
    <t>484</t>
  </si>
  <si>
    <t>https://drive.google.com/file/d/1-28taPWKjEDcRhTzqMs7DByeC_HUYOp1/view?usp=drivesdk</t>
  </si>
  <si>
    <t>1-28taPWKjEDcRhTzqMs7DByeC_HUYOp1</t>
  </si>
  <si>
    <t>1CRFfDHJidWL-8mIRH6Pa3nV4f_2U-zWW</t>
  </si>
  <si>
    <t>https://drive.google.com/file/d/1CRFfDHJidWL-8mIRH6Pa3nV4f_2U-zWW/view?usp=drivesdk</t>
  </si>
  <si>
    <t>1FMPOzNTsxp3HYSyzUY0dFIG4tMw9IfuM</t>
  </si>
  <si>
    <t>https://drive.google.com/file/d/1FMPOzNTsxp3HYSyzUY0dFIG4tMw9IfuM/view?usp=drivesdk</t>
  </si>
  <si>
    <t>POLDA JATENG</t>
  </si>
  <si>
    <t>WIDODO DWI ATMOJO, A.Md.</t>
  </si>
  <si>
    <t>dwiatmojo128@gmail.com</t>
  </si>
  <si>
    <t>485</t>
  </si>
  <si>
    <t>https://drive.google.com/file/d/1yXuNRqKIn1nK5tEaIc8OY9WaG2AwIt3t/view?usp=drivesdk</t>
  </si>
  <si>
    <t>1yXuNRqKIn1nK5tEaIc8OY9WaG2AwIt3t</t>
  </si>
  <si>
    <t>1cOycetZzw--nSENWbLfL3lRy5oBcy1AI</t>
  </si>
  <si>
    <t>https://drive.google.com/file/d/1cOycetZzw--nSENWbLfL3lRy5oBcy1AI/view?usp=drivesdk</t>
  </si>
  <si>
    <t>1EpnIJRRxWtdJQT-s8K3JaLWBPFGwA6F4</t>
  </si>
  <si>
    <t>https://drive.google.com/file/d/1EpnIJRRxWtdJQT-s8K3JaLWBPFGwA6F4/view?usp=drivesdk</t>
  </si>
  <si>
    <t>apt. FITRIA CHAIRUNNISA, S. Farm.</t>
  </si>
  <si>
    <t>chairunnisafitria@yahoo.com</t>
  </si>
  <si>
    <t>486</t>
  </si>
  <si>
    <t>https://drive.google.com/file/d/133Azy0q0nzQqx_Q2PzW38cRvhvDWdt1V/view?usp=drivesdk</t>
  </si>
  <si>
    <t>133Azy0q0nzQqx_Q2PzW38cRvhvDWdt1V</t>
  </si>
  <si>
    <t>1yT0db5kBd3N55yjVhZ9oSylkR2PLeO3l</t>
  </si>
  <si>
    <t>https://drive.google.com/file/d/1yT0db5kBd3N55yjVhZ9oSylkR2PLeO3l/view?usp=drivesdk</t>
  </si>
  <si>
    <t>1hf_kZpYMQdp3XUYjZcaSDj1uJQM_RfXR</t>
  </si>
  <si>
    <t>https://drive.google.com/file/d/1hf_kZpYMQdp3XUYjZcaSDj1uJQM_RfXR/view?usp=drivesdk</t>
  </si>
  <si>
    <t>dr.SONY NOVRIANDI</t>
  </si>
  <si>
    <t>sonysusilo@gmail.com</t>
  </si>
  <si>
    <t>487</t>
  </si>
  <si>
    <t>https://drive.google.com/file/d/1vLIOuVW6H2ayqdQ3WvFnWHgWnnuYSiWI/view?usp=drivesdk</t>
  </si>
  <si>
    <t>1vLIOuVW6H2ayqdQ3WvFnWHgWnnuYSiWI</t>
  </si>
  <si>
    <t>1MrT_SGaUHrx--kCItmW1pl9UhJNDNP2E</t>
  </si>
  <si>
    <t>https://drive.google.com/file/d/1MrT_SGaUHrx--kCItmW1pl9UhJNDNP2E/view?usp=drivesdk</t>
  </si>
  <si>
    <t>1SU5ffD-pLu3xGzy8Iuk8zoikh6totvjN</t>
  </si>
  <si>
    <t>https://drive.google.com/file/d/1SU5ffD-pLu3xGzy8Iuk8zoikh6totvjN/view?usp=drivesdk</t>
  </si>
  <si>
    <t>Document successfully created; Document successfully merged; PDF created; !!Error Sending Emails: Service invoked too many times for one day: email.; Manually run by ecertificate75@gmail.com; Timestamp: Aug 31 2024 7:22 AM</t>
  </si>
  <si>
    <t>NURUL FEBIANI IBRAHIM, SKM., M.A</t>
  </si>
  <si>
    <t>febimbie@gmail.com</t>
  </si>
  <si>
    <t>488</t>
  </si>
  <si>
    <t>https://drive.google.com/file/d/1YuwSmeEj1EO6qF609liaB0KuK9HGblsL/view?usp=drivesdk</t>
  </si>
  <si>
    <t>1YuwSmeEj1EO6qF609liaB0KuK9HGblsL</t>
  </si>
  <si>
    <t>1etaBrzO0vduOZ57R-EQx6M2kopaLate3</t>
  </si>
  <si>
    <t>https://drive.google.com/file/d/1etaBrzO0vduOZ57R-EQx6M2kopaLate3/view?usp=drivesdk</t>
  </si>
  <si>
    <t>1GmBLLf_4IH5byFdP66gPCKtPzRtTSUhu</t>
  </si>
  <si>
    <t>https://drive.google.com/file/d/1GmBLLf_4IH5byFdP66gPCKtPzRtTSUhu/view?usp=drivesdk</t>
  </si>
  <si>
    <t xml:space="preserve">ADAWIAH UMASUGI, Skep </t>
  </si>
  <si>
    <t>adawiahumasugi@gmail.com</t>
  </si>
  <si>
    <t>489</t>
  </si>
  <si>
    <t>https://drive.google.com/file/d/1YAaZ_GSvbiVWeFyFKV359UZd1DKbnNlL/view?usp=drivesdk</t>
  </si>
  <si>
    <t>1YAaZ_GSvbiVWeFyFKV359UZd1DKbnNlL</t>
  </si>
  <si>
    <t>1NjzFf_s96VotIGwmHxUNXGpges7U4G5x</t>
  </si>
  <si>
    <t>https://drive.google.com/file/d/1NjzFf_s96VotIGwmHxUNXGpges7U4G5x/view?usp=drivesdk</t>
  </si>
  <si>
    <t>1BezrslIqZ2fmhM2N03xnucspzRBjwiLq</t>
  </si>
  <si>
    <t>https://drive.google.com/file/d/1BezrslIqZ2fmhM2N03xnucspzRBjwiLq/view?usp=drivesdk</t>
  </si>
  <si>
    <t>AGUSSSSSSSSSSS</t>
  </si>
  <si>
    <t>agustahungkul@gmail.com</t>
  </si>
  <si>
    <t>490</t>
  </si>
  <si>
    <t>https://drive.google.com/file/d/1gAa9yvmr1asjHST3OtSYSDhpfAxpvJgx/view?usp=drivesdk</t>
  </si>
  <si>
    <t>1gAa9yvmr1asjHST3OtSYSDhpfAxpvJgx</t>
  </si>
  <si>
    <t>1v5QSKv_1eQOh2IQQdVWrjgK0yMrVE-P1</t>
  </si>
  <si>
    <t>https://drive.google.com/file/d/1v5QSKv_1eQOh2IQQdVWrjgK0yMrVE-P1/view?usp=drivesdk</t>
  </si>
  <si>
    <t>1KCjh-9m1aAEfBoczxNJPy2bKANL02AWp</t>
  </si>
  <si>
    <t>https://drive.google.com/file/d/1KCjh-9m1aAEfBoczxNJPy2bKANL02AWp/view?usp=drivesdk</t>
  </si>
  <si>
    <t>ANJAR DWI NURWIYANTI SAMSAH, A.Md.Kep</t>
  </si>
  <si>
    <t>anjarsamsah94@gmail.com</t>
  </si>
  <si>
    <t>491</t>
  </si>
  <si>
    <t>https://drive.google.com/file/d/1u5SVhr_-yBJt__Kril0u1mgikzDD1C0W/view?usp=drivesdk</t>
  </si>
  <si>
    <t>1u5SVhr_-yBJt__Kril0u1mgikzDD1C0W</t>
  </si>
  <si>
    <t>1LgnRYks0YWpHKhUkmqTe07T54AfpULmO</t>
  </si>
  <si>
    <t>https://drive.google.com/file/d/1LgnRYks0YWpHKhUkmqTe07T54AfpULmO/view?usp=drivesdk</t>
  </si>
  <si>
    <t>1pK22q2rvfYEwN0aECi6FIaV5zqUJ6l2d</t>
  </si>
  <si>
    <t>https://drive.google.com/file/d/1pK22q2rvfYEwN0aECi6FIaV5zqUJ6l2d/view?usp=drivesdk</t>
  </si>
  <si>
    <t>IYAN SOPIAN S.IKOM</t>
  </si>
  <si>
    <t>ryans.priangan@gmail.com</t>
  </si>
  <si>
    <t>492</t>
  </si>
  <si>
    <t>https://drive.google.com/file/d/1fLaZMbX3NnOVHUzt6PyvGri4mo20rJiG/view?usp=drivesdk</t>
  </si>
  <si>
    <t>1fLaZMbX3NnOVHUzt6PyvGri4mo20rJiG</t>
  </si>
  <si>
    <t>133vfyWdECCLzOGH3r87gH-BJYmjZGit-</t>
  </si>
  <si>
    <t>https://drive.google.com/file/d/133vfyWdECCLzOGH3r87gH-BJYmjZGit-/view?usp=drivesdk</t>
  </si>
  <si>
    <t>1IpIVO30lOih9WRyedm9kl9vDtDg1i61p</t>
  </si>
  <si>
    <t>https://drive.google.com/file/d/1IpIVO30lOih9WRyedm9kl9vDtDg1i61p/view?usp=drivesdk</t>
  </si>
  <si>
    <t>BAMBANG SUPRAYITNO</t>
  </si>
  <si>
    <t>bambang.suprayitno.ut@gmail.com</t>
  </si>
  <si>
    <t>493</t>
  </si>
  <si>
    <t>https://drive.google.com/file/d/1c1iEqpefbjNibn8bjDBk3VXfMJP3yXJj/view?usp=drivesdk</t>
  </si>
  <si>
    <t>1c1iEqpefbjNibn8bjDBk3VXfMJP3yXJj</t>
  </si>
  <si>
    <t>1Xv8eypMo-XUFgc3gHQaNHOPXxvGYkG-q</t>
  </si>
  <si>
    <t>https://drive.google.com/file/d/1Xv8eypMo-XUFgc3gHQaNHOPXxvGYkG-q/view?usp=drivesdk</t>
  </si>
  <si>
    <t>1pCCGt13ms8xshqIjcigBUaGkqc2KD_Ad</t>
  </si>
  <si>
    <t>https://drive.google.com/file/d/1pCCGt13ms8xshqIjcigBUaGkqc2KD_Ad/view?usp=drivesdk</t>
  </si>
  <si>
    <t>Document successfully created; Document successfully merged; PDF created; !!Error Sending Emails: Service invoked too many times for one day: email.; Manually run by ecertificate75@gmail.com; Timestamp: Aug 31 2024 7:23 AM</t>
  </si>
  <si>
    <t>RATNA DEWI NUVITASARI, A.Md</t>
  </si>
  <si>
    <t>ratna.dew1n77@gmail.com</t>
  </si>
  <si>
    <t>494</t>
  </si>
  <si>
    <t>https://drive.google.com/file/d/1NzL4IZLMlVqIUuXYHv4hilt8hp3tMxkZ/view?usp=drivesdk</t>
  </si>
  <si>
    <t>1NzL4IZLMlVqIUuXYHv4hilt8hp3tMxkZ</t>
  </si>
  <si>
    <t>18lXhnUsGBqCfOezG-sq6GUzz2zVJeyAi</t>
  </si>
  <si>
    <t>https://drive.google.com/file/d/18lXhnUsGBqCfOezG-sq6GUzz2zVJeyAi/view?usp=drivesdk</t>
  </si>
  <si>
    <t>1Nwev9Cdp55gmNkjkdrEkGnBMFK9BtC8F</t>
  </si>
  <si>
    <t>https://drive.google.com/file/d/1Nwev9Cdp55gmNkjkdrEkGnBMFK9BtC8F/view?usp=drivesdk</t>
  </si>
  <si>
    <t>UNTORO ARI WIBOWO, S.E.</t>
  </si>
  <si>
    <t>untoro.arie@gmail.com</t>
  </si>
  <si>
    <t>495</t>
  </si>
  <si>
    <t>https://drive.google.com/file/d/1mDnF9qRQ33T4NZrkmKa6nCGvqraNGcpI/view?usp=drivesdk</t>
  </si>
  <si>
    <t>Document successfully created; Document successfully merged; PDF created; !!Error Sending Emails: Service invoked too many times for one day: email.; Run via form trigger as ecertificate75@gmail.com; Timestamp: Aug 29 2024 8:43 PM</t>
  </si>
  <si>
    <t>1mDnF9qRQ33T4NZrkmKa6nCGvqraNGcpI</t>
  </si>
  <si>
    <t>1Ia4MhgGROW8LoUWhqs0WsfSBdcZ51vo-</t>
  </si>
  <si>
    <t>https://drive.google.com/file/d/1Ia4MhgGROW8LoUWhqs0WsfSBdcZ51vo-/view?usp=drivesdk</t>
  </si>
  <si>
    <t>1RDX6M6XtfRwQh8k-RE7m7DJEBy8M_EGB</t>
  </si>
  <si>
    <t>https://drive.google.com/file/d/1RDX6M6XtfRwQh8k-RE7m7DJEBy8M_EGB/view?usp=drivesdk</t>
  </si>
  <si>
    <t>PUJI ASTUTIK ERNAWATI</t>
  </si>
  <si>
    <t>ernajmbr@gmail.com</t>
  </si>
  <si>
    <t>496</t>
  </si>
  <si>
    <t>https://drive.google.com/file/d/1u3VYt3kMQqqkeTh2C9rkAsHpX47zU5Ax/view?usp=drivesdk</t>
  </si>
  <si>
    <t>1u3VYt3kMQqqkeTh2C9rkAsHpX47zU5Ax</t>
  </si>
  <si>
    <t>17C7LON6xKlrDGgPDxHsHkH-PIlg1SyGP</t>
  </si>
  <si>
    <t>https://drive.google.com/file/d/17C7LON6xKlrDGgPDxHsHkH-PIlg1SyGP/view?usp=drivesdk</t>
  </si>
  <si>
    <t>1klhdX6LPXb2_SG5vLbWcAVDTJ0AEOgLv</t>
  </si>
  <si>
    <t>https://drive.google.com/file/d/1klhdX6LPXb2_SG5vLbWcAVDTJ0AEOgLv/view?usp=drivesdk</t>
  </si>
  <si>
    <t>DEISY LEIHITU, S.Kep.Ns</t>
  </si>
  <si>
    <t>leihitu1979@gmail.com</t>
  </si>
  <si>
    <t>497</t>
  </si>
  <si>
    <t>https://drive.google.com/file/d/14quRNwy6RW_sEvyMtqhAPoW0p1elBT3K/view?usp=drivesdk</t>
  </si>
  <si>
    <t>14quRNwy6RW_sEvyMtqhAPoW0p1elBT3K</t>
  </si>
  <si>
    <t>17jaVaToz6W5BgTSM6diHTbfBLjmgBIo0</t>
  </si>
  <si>
    <t>https://drive.google.com/file/d/17jaVaToz6W5BgTSM6diHTbfBLjmgBIo0/view?usp=drivesdk</t>
  </si>
  <si>
    <t>1WyVih8zTpdK3En_rylnYMj8QvZtVj8IK</t>
  </si>
  <si>
    <t>https://drive.google.com/file/d/1WyVih8zTpdK3En_rylnYMj8QvZtVj8IK/view?usp=drivesdk</t>
  </si>
  <si>
    <t>IDA SUSILOWATI</t>
  </si>
  <si>
    <t>susilowati.ida24@gmail.com</t>
  </si>
  <si>
    <t>498</t>
  </si>
  <si>
    <t>https://drive.google.com/file/d/1z5_YxyFahagaONZDjK_6ojVoirLDgorc/view?usp=drivesdk</t>
  </si>
  <si>
    <t>1z5_YxyFahagaONZDjK_6ojVoirLDgorc</t>
  </si>
  <si>
    <t>1ewXLIWcrsEh8ysiJLeQgkQIYPkOR72oo</t>
  </si>
  <si>
    <t>https://drive.google.com/file/d/1ewXLIWcrsEh8ysiJLeQgkQIYPkOR72oo/view?usp=drivesdk</t>
  </si>
  <si>
    <t>1qI12CgAW2HU-C1cYTXDFRJ7WYpR5kXVm</t>
  </si>
  <si>
    <t>https://drive.google.com/file/d/1qI12CgAW2HU-C1cYTXDFRJ7WYpR5kXVm/view?usp=drivesdk</t>
  </si>
  <si>
    <t>PENGATUR TK I ANTON SUDARYONO</t>
  </si>
  <si>
    <t>antonsudaryono10@gmail.com</t>
  </si>
  <si>
    <t>499</t>
  </si>
  <si>
    <t>https://drive.google.com/file/d/1-0ktq5ACFd6cODsEsDp8TxCErEMTWOAv/view?usp=drivesdk</t>
  </si>
  <si>
    <t>1-0ktq5ACFd6cODsEsDp8TxCErEMTWOAv</t>
  </si>
  <si>
    <t>1-6rP3ZHRvtaBTYltC9U4NGxnpc7DzSVY</t>
  </si>
  <si>
    <t>https://drive.google.com/file/d/1-6rP3ZHRvtaBTYltC9U4NGxnpc7DzSVY/view?usp=drivesdk</t>
  </si>
  <si>
    <t>1bopqSCE0_4CQWNJ8vUI2cPiizS8e7tit</t>
  </si>
  <si>
    <t>https://drive.google.com/file/d/1bopqSCE0_4CQWNJ8vUI2cPiizS8e7tit/view?usp=drivesdk</t>
  </si>
  <si>
    <t>Document successfully created; Document successfully merged; PDF created; !!Error Sending Emails: Service invoked too many times for one day: email.; Manually run by ecertificate75@gmail.com; Timestamp: Aug 31 2024 7:24 AM</t>
  </si>
  <si>
    <t>EKO ARIYANTO WIBOWO</t>
  </si>
  <si>
    <t>echoari2014@gmail.com</t>
  </si>
  <si>
    <t>500</t>
  </si>
  <si>
    <t>https://drive.google.com/file/d/1IfN-7sNxiSN-qqjKj2cX4jD8teNdtZvY/view?usp=drivesdk</t>
  </si>
  <si>
    <t>1IfN-7sNxiSN-qqjKj2cX4jD8teNdtZvY</t>
  </si>
  <si>
    <t>1hx1mkAq4Rpf3o-8LKvmfrkCxIq_uYKru</t>
  </si>
  <si>
    <t>https://drive.google.com/file/d/1hx1mkAq4Rpf3o-8LKvmfrkCxIq_uYKru/view?usp=drivesdk</t>
  </si>
  <si>
    <t>1cKTZar2iVTP-I99x9aJ2BbPYc6cWj1uQ</t>
  </si>
  <si>
    <t>https://drive.google.com/file/d/1cKTZar2iVTP-I99x9aJ2BbPYc6cWj1uQ/view?usp=drivesdk</t>
  </si>
  <si>
    <t>SITI NURJANAH, S.T.</t>
  </si>
  <si>
    <t>ezagrm@yahoo.co.id</t>
  </si>
  <si>
    <t>501</t>
  </si>
  <si>
    <t>https://drive.google.com/file/d/19FQrqTFZWxTsO00dxWMHSsnW6y_AwpRo/view?usp=drivesdk</t>
  </si>
  <si>
    <t>19FQrqTFZWxTsO00dxWMHSsnW6y_AwpRo</t>
  </si>
  <si>
    <t>1mxgOheAUg_sjFjL2XHUEipEGJXGcf9fi</t>
  </si>
  <si>
    <t>https://drive.google.com/file/d/1mxgOheAUg_sjFjL2XHUEipEGJXGcf9fi/view?usp=drivesdk</t>
  </si>
  <si>
    <t>19Do65pSrF5PevrVwD2u1iblP8-tA1CmF</t>
  </si>
  <si>
    <t>https://drive.google.com/file/d/19Do65pSrF5PevrVwD2u1iblP8-tA1CmF/view?usp=drivesdk</t>
  </si>
  <si>
    <t>RULLY IRMA DAMAYANTI, S. Kep</t>
  </si>
  <si>
    <t>bhaim25@gmail.com</t>
  </si>
  <si>
    <t>502</t>
  </si>
  <si>
    <t>https://drive.google.com/file/d/10K8PUcsyiO2PRnBZhGxtb_1JIJID5_VI/view?usp=drivesdk</t>
  </si>
  <si>
    <t>10K8PUcsyiO2PRnBZhGxtb_1JIJID5_VI</t>
  </si>
  <si>
    <t>1TKU2FHTALoy1Vp4qv0yuC7toe-H4Nw1h</t>
  </si>
  <si>
    <t>https://drive.google.com/file/d/1TKU2FHTALoy1Vp4qv0yuC7toe-H4Nw1h/view?usp=drivesdk</t>
  </si>
  <si>
    <t>11uv0c8UhC9BTSRtWBO0ii_1otUYpFfiO</t>
  </si>
  <si>
    <t>https://drive.google.com/file/d/11uv0c8UhC9BTSRtWBO0ii_1otUYpFfiO/view?usp=drivesdk</t>
  </si>
  <si>
    <t>NI PUTU WIDHI ASTUTI SE</t>
  </si>
  <si>
    <t>putu11.11.11@gmail.com</t>
  </si>
  <si>
    <t>503</t>
  </si>
  <si>
    <t>https://drive.google.com/file/d/1NkUzlHRmYzdcTvgZ8G1VecrD_zFigTYd/view?usp=drivesdk</t>
  </si>
  <si>
    <t>1NkUzlHRmYzdcTvgZ8G1VecrD_zFigTYd</t>
  </si>
  <si>
    <t>1YlYffcI0AFmnPpUU_e7g2Q3JqT6tbw-V</t>
  </si>
  <si>
    <t>https://drive.google.com/file/d/1YlYffcI0AFmnPpUU_e7g2Q3JqT6tbw-V/view?usp=drivesdk</t>
  </si>
  <si>
    <t>1oZ0SoF7l7Nx27xBqTRa83VaKF4sxF6_B</t>
  </si>
  <si>
    <t>https://drive.google.com/file/d/1oZ0SoF7l7Nx27xBqTRa83VaKF4sxF6_B/view?usp=drivesdk</t>
  </si>
  <si>
    <t>SRI SULASTRI, SH</t>
  </si>
  <si>
    <t>inong.1991@yahoo.co.id</t>
  </si>
  <si>
    <t>504</t>
  </si>
  <si>
    <t>https://drive.google.com/file/d/1489yrY2VhsOHXIZs83sqCui2iAFwsqOF/view?usp=drivesdk</t>
  </si>
  <si>
    <t>1489yrY2VhsOHXIZs83sqCui2iAFwsqOF</t>
  </si>
  <si>
    <t>1XklPfaf5psTK-EmuUgtgdtWYF1SVhXBr</t>
  </si>
  <si>
    <t>https://drive.google.com/file/d/1XklPfaf5psTK-EmuUgtgdtWYF1SVhXBr/view?usp=drivesdk</t>
  </si>
  <si>
    <t>1JQUd6mul-o--CIjJ1UxdFbE1WDhsvTfI</t>
  </si>
  <si>
    <t>https://drive.google.com/file/d/1JQUd6mul-o--CIjJ1UxdFbE1WDhsvTfI/view?usp=drivesdk</t>
  </si>
  <si>
    <t>Document successfully created; Document successfully merged; PDF created; !!Error Sending Emails: Service invoked too many times for one day: email.; Manually run by ecertificate75@gmail.com; Timestamp: Aug 31 2024 7:25 AM</t>
  </si>
  <si>
    <t>apt. FEBI ISHFAHANI</t>
  </si>
  <si>
    <t>ishfahani.febi@gmail.com</t>
  </si>
  <si>
    <t>505</t>
  </si>
  <si>
    <t>https://drive.google.com/file/d/1gvjz-h5WBR4lyDhZeI-yQxGQHO_VnDvI/view?usp=drivesdk</t>
  </si>
  <si>
    <t>1gvjz-h5WBR4lyDhZeI-yQxGQHO_VnDvI</t>
  </si>
  <si>
    <t>1NmYBbKdpZe899gYhhqubYlI4RU7ArjKQ</t>
  </si>
  <si>
    <t>https://drive.google.com/file/d/1NmYBbKdpZe899gYhhqubYlI4RU7ArjKQ/view?usp=drivesdk</t>
  </si>
  <si>
    <t>1moe_SOMhWda0UEj2FrTynSyJjcM5jhn5</t>
  </si>
  <si>
    <t>https://drive.google.com/file/d/1moe_SOMhWda0UEj2FrTynSyJjcM5jhn5/view?usp=drivesdk</t>
  </si>
  <si>
    <t>NANDAR SUTIAWAN</t>
  </si>
  <si>
    <t>nandar.sut@gmail.com</t>
  </si>
  <si>
    <t>506</t>
  </si>
  <si>
    <t>https://drive.google.com/file/d/18EshwL26-6BxHO18nCp5Z-QS4k4L6V4i/view?usp=drivesdk</t>
  </si>
  <si>
    <t>18EshwL26-6BxHO18nCp5Z-QS4k4L6V4i</t>
  </si>
  <si>
    <t>13eQZIZepVh5w368p3xY51PmiKLOqhDNB</t>
  </si>
  <si>
    <t>https://drive.google.com/file/d/13eQZIZepVh5w368p3xY51PmiKLOqhDNB/view?usp=drivesdk</t>
  </si>
  <si>
    <t>1gA9FYEYKoyn4-WI7B3V_nuG0Harb7Udm</t>
  </si>
  <si>
    <t>https://drive.google.com/file/d/1gA9FYEYKoyn4-WI7B3V_nuG0Harb7Udm/view?usp=drivesdk</t>
  </si>
  <si>
    <t>FITRIA NURUL BUDIATI</t>
  </si>
  <si>
    <t>fitrya18@gmail.com</t>
  </si>
  <si>
    <t>507</t>
  </si>
  <si>
    <t>https://drive.google.com/file/d/1muHRKI6a7GxpOQBpU5TJmt35Ozd_UPA1/view?usp=drivesdk</t>
  </si>
  <si>
    <t>1muHRKI6a7GxpOQBpU5TJmt35Ozd_UPA1</t>
  </si>
  <si>
    <t>1EpJV7ctQFD28_G5CpUiwrqFWUDj8-1P1</t>
  </si>
  <si>
    <t>https://drive.google.com/file/d/1EpJV7ctQFD28_G5CpUiwrqFWUDj8-1P1/view?usp=drivesdk</t>
  </si>
  <si>
    <t>1vbUBXnXXlkLTM97_OoOZmUtbFYdmJAo_</t>
  </si>
  <si>
    <t>https://drive.google.com/file/d/1vbUBXnXXlkLTM97_OoOZmUtbFYdmJAo_/view?usp=drivesdk</t>
  </si>
  <si>
    <t xml:space="preserve">EMY MARTIYANA </t>
  </si>
  <si>
    <t>emymartiyana11@gmail.com</t>
  </si>
  <si>
    <t>508</t>
  </si>
  <si>
    <t>https://drive.google.com/file/d/1q99aWK8wHESOiqD_cnwk8z6LlUSoECpI/view?usp=drivesdk</t>
  </si>
  <si>
    <t>1q99aWK8wHESOiqD_cnwk8z6LlUSoECpI</t>
  </si>
  <si>
    <t>196o6cnfm7PvoEkwCOC73VscFffg-ls3j</t>
  </si>
  <si>
    <t>https://drive.google.com/file/d/196o6cnfm7PvoEkwCOC73VscFffg-ls3j/view?usp=drivesdk</t>
  </si>
  <si>
    <t>1ATNFnzvXJdVBNHEms9oe1BqssBVboUn_</t>
  </si>
  <si>
    <t>https://drive.google.com/file/d/1ATNFnzvXJdVBNHEms9oe1BqssBVboUn_/view?usp=drivesdk</t>
  </si>
  <si>
    <t>Document successfully created; Document successfully merged; PDF created; !!Error Sending Emails: Service invoked too many times for one day: email.; Manually run by ecertificate75@gmail.com; Timestamp: Aug 31 2024 7:26 AM</t>
  </si>
  <si>
    <t>ARTINIS NUR HAZIZAH, S.T., M.Si.</t>
  </si>
  <si>
    <t>artinisasmady@gmail.com</t>
  </si>
  <si>
    <t>509</t>
  </si>
  <si>
    <t>https://drive.google.com/file/d/140SgabY-MzkPyyP8NXLulqSFbVJnp1gi/view?usp=drivesdk</t>
  </si>
  <si>
    <t>140SgabY-MzkPyyP8NXLulqSFbVJnp1gi</t>
  </si>
  <si>
    <t>1HmZw6oNJO1mG5COmXibhj70WfG1Jie6-</t>
  </si>
  <si>
    <t>https://drive.google.com/file/d/1HmZw6oNJO1mG5COmXibhj70WfG1Jie6-/view?usp=drivesdk</t>
  </si>
  <si>
    <t>1Dd6cygHnavvXekDjCPsz-9eJbrOEQhqh</t>
  </si>
  <si>
    <t>https://drive.google.com/file/d/1Dd6cygHnavvXekDjCPsz-9eJbrOEQhqh/view?usp=drivesdk</t>
  </si>
  <si>
    <t>KRISNA SETIAWAN, A.Md.Kom.</t>
  </si>
  <si>
    <t>krisnasetiawan46@gmail.com</t>
  </si>
  <si>
    <t>510</t>
  </si>
  <si>
    <t>https://drive.google.com/file/d/1Np4ds6N9IEZE-T0qJGw94WI9a0neJMDP/view?usp=drivesdk</t>
  </si>
  <si>
    <t>1Np4ds6N9IEZE-T0qJGw94WI9a0neJMDP</t>
  </si>
  <si>
    <t>1DCUKRDG9-9S-6QQQk3rgxSTGA3bqh82X</t>
  </si>
  <si>
    <t>https://drive.google.com/file/d/1DCUKRDG9-9S-6QQQk3rgxSTGA3bqh82X/view?usp=drivesdk</t>
  </si>
  <si>
    <t>1GSwGMhYDjoNSbXcxAeOlzFTT74kREnih</t>
  </si>
  <si>
    <t>https://drive.google.com/file/d/1GSwGMhYDjoNSbXcxAeOlzFTT74kREnih/view?usp=drivesdk</t>
  </si>
  <si>
    <t>MELLA RAITIES, S.E.</t>
  </si>
  <si>
    <t>m3raities@gmail.com</t>
  </si>
  <si>
    <t>511</t>
  </si>
  <si>
    <t>https://drive.google.com/file/d/1cmbjn3i7Z86KnFTXJLet13KgP9MLdTA2/view?usp=drivesdk</t>
  </si>
  <si>
    <t>1cmbjn3i7Z86KnFTXJLet13KgP9MLdTA2</t>
  </si>
  <si>
    <t>1BKxlLTOBVnqI46ZKMaVmZIOCiFqoXR78</t>
  </si>
  <si>
    <t>https://drive.google.com/file/d/1BKxlLTOBVnqI46ZKMaVmZIOCiFqoXR78/view?usp=drivesdk</t>
  </si>
  <si>
    <t>Document successfully created; Document successfully merged; PDF created; !!Error Sending Emails: Service invoked too many times for one day: email.; Manually run by ecertificate75@gmail.com; Timestamp: Aug 30 2024 10:15 PM</t>
  </si>
  <si>
    <t>1Fe4p3bW8aePGZqLhJBEcz6mvNjMP2mKF</t>
  </si>
  <si>
    <t>https://drive.google.com/file/d/1Fe4p3bW8aePGZqLhJBEcz6mvNjMP2mKF/view?usp=drivesdk</t>
  </si>
  <si>
    <t>YULI HARYANTO</t>
  </si>
  <si>
    <t>yuliharyanto77@gmail.com</t>
  </si>
  <si>
    <t>512</t>
  </si>
  <si>
    <t>Starting at Thu Aug 29 2024 20:42:44 GMT-0400 (EDT)</t>
  </si>
  <si>
    <t>1WRq4PyKppgRoiZjb-nHBv94h0t6j_Ykm</t>
  </si>
  <si>
    <t>https://drive.google.com/file/d/1WRq4PyKppgRoiZjb-nHBv94h0t6j_Ykm/view?usp=drivesdk</t>
  </si>
  <si>
    <t>1bosOaOl6nKbGfKdtxLTQl3GOaJAS0Aex</t>
  </si>
  <si>
    <t>https://drive.google.com/file/d/1bosOaOl6nKbGfKdtxLTQl3GOaJAS0Aex/view?usp=drivesdk</t>
  </si>
  <si>
    <t>EKA LISDA OKTA SAPUTRI, S.Kep</t>
  </si>
  <si>
    <t>ekalisda79@gmail.com</t>
  </si>
  <si>
    <t>513</t>
  </si>
  <si>
    <t>1U81oebKBs1VJ1XhCMi1bMJ2S73r9OHMi</t>
  </si>
  <si>
    <t>https://drive.google.com/file/d/1U81oebKBs1VJ1XhCMi1bMJ2S73r9OHMi/view?usp=drivesdk</t>
  </si>
  <si>
    <t>18j2BAQW7wofAZ-Gy7V8Q9OIkro5nPe4l</t>
  </si>
  <si>
    <t>https://drive.google.com/file/d/18j2BAQW7wofAZ-Gy7V8Q9OIkro5nPe4l/view?usp=drivesdk</t>
  </si>
  <si>
    <t>VICTOR MATHEOS, S.KOM</t>
  </si>
  <si>
    <t>victormatheos0480@gmail.com</t>
  </si>
  <si>
    <t>514</t>
  </si>
  <si>
    <t>10ogxOS93NFgaJtK4UNgM1yehd_ZnyGnB</t>
  </si>
  <si>
    <t>https://drive.google.com/file/d/10ogxOS93NFgaJtK4UNgM1yehd_ZnyGnB/view?usp=drivesdk</t>
  </si>
  <si>
    <t>1JMi7lQ8t0DaxU7-__FIfRKGoKRcf_ty0</t>
  </si>
  <si>
    <t>https://drive.google.com/file/d/1JMi7lQ8t0DaxU7-__FIfRKGoKRcf_ty0/view?usp=drivesdk</t>
  </si>
  <si>
    <t>Document successfully created; Document successfully merged; PDF created; !!Error Sending Emails: Service invoked too many times for one day: email.; Manually run by ecertificate75@gmail.com; Timestamp: Aug 31 2024 7:27 AM</t>
  </si>
  <si>
    <t>SITI NURHAYATI, S.Si</t>
  </si>
  <si>
    <t>nengsiti0707@gmail.com</t>
  </si>
  <si>
    <t>515</t>
  </si>
  <si>
    <t>https://drive.google.com/file/d/1IqqSql7fmae4_SlixO4JDpKzUqaa7TcO/view?usp=drivesdk</t>
  </si>
  <si>
    <t>1IqqSql7fmae4_SlixO4JDpKzUqaa7TcO</t>
  </si>
  <si>
    <t>1vJSlAlRjEzo43T53whlkL49NcdOYU2aX</t>
  </si>
  <si>
    <t>https://drive.google.com/file/d/1vJSlAlRjEzo43T53whlkL49NcdOYU2aX/view?usp=drivesdk</t>
  </si>
  <si>
    <t>1wac10jgw3RIZjOIgy3ZCzPxV_lcu5T9r</t>
  </si>
  <si>
    <t>https://drive.google.com/file/d/1wac10jgw3RIZjOIgy3ZCzPxV_lcu5T9r/view?usp=drivesdk</t>
  </si>
  <si>
    <t>PUSKEU POLRI</t>
  </si>
  <si>
    <t>AYU RATNA SARI, S.Ak</t>
  </si>
  <si>
    <t>ayu.ratna.sr@gmail.com</t>
  </si>
  <si>
    <t>516</t>
  </si>
  <si>
    <t>https://drive.google.com/file/d/1EFOVwJDISR4rJCE-krpzUmxaSVzM36-K/view?usp=drivesdk</t>
  </si>
  <si>
    <t>1EFOVwJDISR4rJCE-krpzUmxaSVzM36-K</t>
  </si>
  <si>
    <t>1NL0p6eK6QhQe79nj6zu-iP8cRsYA-pai</t>
  </si>
  <si>
    <t>https://drive.google.com/file/d/1NL0p6eK6QhQe79nj6zu-iP8cRsYA-pai/view?usp=drivesdk</t>
  </si>
  <si>
    <t>1gHv9r7zZiizhfXsiCf08snNYk56tpiHh</t>
  </si>
  <si>
    <t>https://drive.google.com/file/d/1gHv9r7zZiizhfXsiCf08snNYk56tpiHh/view?usp=drivesdk</t>
  </si>
  <si>
    <t>INDAH OKTAVIA SARI,S.Ak</t>
  </si>
  <si>
    <t>indahoktavia009@gmail.com</t>
  </si>
  <si>
    <t>517</t>
  </si>
  <si>
    <t>https://drive.google.com/file/d/1QX2PGZLT0YIFvqu5eB9JlfvDDzV7CF9g/view?usp=drivesdk</t>
  </si>
  <si>
    <t>1QX2PGZLT0YIFvqu5eB9JlfvDDzV7CF9g</t>
  </si>
  <si>
    <t>1m0PMEmzmYcLcbSsqFrGcRY2acqdLALHV</t>
  </si>
  <si>
    <t>https://drive.google.com/file/d/1m0PMEmzmYcLcbSsqFrGcRY2acqdLALHV/view?usp=drivesdk</t>
  </si>
  <si>
    <t>Document successfully created; Document successfully merged; PDF created; !!Error Sending Emails: Service invoked too many times for one day: email.; Manually run by ecertificate75@gmail.com; Timestamp: Aug 30 2024 10:16 PM</t>
  </si>
  <si>
    <t>1SG_Cc9hzKq4euhWlPA2kB1OrSjwWRwy3</t>
  </si>
  <si>
    <t>https://drive.google.com/file/d/1SG_Cc9hzKq4euhWlPA2kB1OrSjwWRwy3/view?usp=drivesdk</t>
  </si>
  <si>
    <t>SUPARDI ISMAWIJAYA</t>
  </si>
  <si>
    <t>supardiismawijaya8@gmail.com</t>
  </si>
  <si>
    <t>518</t>
  </si>
  <si>
    <t>https://drive.google.com/file/d/1lq3YK4UY-XvmOH4p_vskVLLsasLk3kV7/view?usp=drivesdk</t>
  </si>
  <si>
    <t>1lq3YK4UY-XvmOH4p_vskVLLsasLk3kV7</t>
  </si>
  <si>
    <t>115-x2gWcLqwPTZNP1xCKdbvrReyTpUud</t>
  </si>
  <si>
    <t>https://drive.google.com/file/d/115-x2gWcLqwPTZNP1xCKdbvrReyTpUud/view?usp=drivesdk</t>
  </si>
  <si>
    <t>1RwKIImLZS3c5gH5TsbzAER-0hF2KVtf_</t>
  </si>
  <si>
    <t>https://drive.google.com/file/d/1RwKIImLZS3c5gH5TsbzAER-0hF2KVtf_/view?usp=drivesdk</t>
  </si>
  <si>
    <t>RAHMAT MULYADIN, A.Md</t>
  </si>
  <si>
    <t>rahmat082341862606@gmail.com</t>
  </si>
  <si>
    <t>519</t>
  </si>
  <si>
    <t>https://drive.google.com/file/d/1dP6yoXAd4EvNv-tBbaTdzJz2mnT7GUMa/view?usp=drivesdk</t>
  </si>
  <si>
    <t>1dP6yoXAd4EvNv-tBbaTdzJz2mnT7GUMa</t>
  </si>
  <si>
    <t>1ImxVKyqky2-HC-5TbPDq1E0aYOqZEFt7</t>
  </si>
  <si>
    <t>https://drive.google.com/file/d/1ImxVKyqky2-HC-5TbPDq1E0aYOqZEFt7/view?usp=drivesdk</t>
  </si>
  <si>
    <t>16cb0RX9yJCw80T36e8MtXZTJiiF-Z_YN</t>
  </si>
  <si>
    <t>https://drive.google.com/file/d/16cb0RX9yJCw80T36e8MtXZTJiiF-Z_YN/view?usp=drivesdk</t>
  </si>
  <si>
    <t>NUR FAJAR HAYATI Amd.RO</t>
  </si>
  <si>
    <t>fajarsetia71@gmail.com</t>
  </si>
  <si>
    <t>520</t>
  </si>
  <si>
    <t>https://drive.google.com/file/d/19Iqc38HPQOf6mJi9-gvLCy2EW3Abb6gi/view?usp=drivesdk</t>
  </si>
  <si>
    <t>19Iqc38HPQOf6mJi9-gvLCy2EW3Abb6gi</t>
  </si>
  <si>
    <t>1qntZBG2VJgkCDArHXV1pXXYb9XCU4W6m</t>
  </si>
  <si>
    <t>https://drive.google.com/file/d/1qntZBG2VJgkCDArHXV1pXXYb9XCU4W6m/view?usp=drivesdk</t>
  </si>
  <si>
    <t>1RlBrZSfSVMLw-RwRT5vGOO_H7Yw46mVN</t>
  </si>
  <si>
    <t>https://drive.google.com/file/d/1RlBrZSfSVMLw-RwRT5vGOO_H7Yw46mVN/view?usp=drivesdk</t>
  </si>
  <si>
    <t>Document successfully created; Document successfully merged; PDF created; !!Error Sending Emails: Service invoked too many times for one day: email.; Manually run by ecertificate75@gmail.com; Timestamp: Aug 31 2024 7:28 AM</t>
  </si>
  <si>
    <t>MAYANG NUGRAHENI, S.Tr.Kes.</t>
  </si>
  <si>
    <t>mayangnugraheni@gmail.com</t>
  </si>
  <si>
    <t>521</t>
  </si>
  <si>
    <t>https://drive.google.com/file/d/1NH66vTkWYiXjzMk4vzUjFNXmxkSVpYsx/view?usp=drivesdk</t>
  </si>
  <si>
    <t>1NH66vTkWYiXjzMk4vzUjFNXmxkSVpYsx</t>
  </si>
  <si>
    <t>1T9fgERusPcinklcOxU9FWBj2twjbPzQ7</t>
  </si>
  <si>
    <t>https://drive.google.com/file/d/1T9fgERusPcinklcOxU9FWBj2twjbPzQ7/view?usp=drivesdk</t>
  </si>
  <si>
    <t>16nNWL7df74DG7kmLlb5ivOskxUj5zK77</t>
  </si>
  <si>
    <t>https://drive.google.com/file/d/16nNWL7df74DG7kmLlb5ivOskxUj5zK77/view?usp=drivesdk</t>
  </si>
  <si>
    <t>ABDI FARHANUDDIN</t>
  </si>
  <si>
    <t>raihanfikrimadani610@gmail.com</t>
  </si>
  <si>
    <t>522</t>
  </si>
  <si>
    <t>https://drive.google.com/file/d/1-gc1B9CFOYo6JvwC_INbf9bS1kDbwMsQ/view?usp=drivesdk</t>
  </si>
  <si>
    <t>1-gc1B9CFOYo6JvwC_INbf9bS1kDbwMsQ</t>
  </si>
  <si>
    <t>1bxeU6sIwwjjqb1v-ujrbWbmQB8UVytBw</t>
  </si>
  <si>
    <t>https://drive.google.com/file/d/1bxeU6sIwwjjqb1v-ujrbWbmQB8UVytBw/view?usp=drivesdk</t>
  </si>
  <si>
    <t>Document successfully created; Document successfully merged; PDF created; !!Error Sending Emails: Service invoked too many times for one day: email.; Manually run by ecertificate75@gmail.com; Timestamp: Aug 30 2024 10:17 PM</t>
  </si>
  <si>
    <t>11olXGtHsatDVViVPjor0FnvWqgfY7rvw</t>
  </si>
  <si>
    <t>https://drive.google.com/file/d/11olXGtHsatDVViVPjor0FnvWqgfY7rvw/view?usp=drivesdk</t>
  </si>
  <si>
    <t>NI PUTU MULIATI, S.Adm</t>
  </si>
  <si>
    <t>muliatiputu69@gmail.com</t>
  </si>
  <si>
    <t>523</t>
  </si>
  <si>
    <t>https://drive.google.com/file/d/1VmiDVJNS9epMXmItAG9y30HqzX2UKc21/view?usp=drivesdk</t>
  </si>
  <si>
    <t>1VmiDVJNS9epMXmItAG9y30HqzX2UKc21</t>
  </si>
  <si>
    <t>1Rh6ikPzPJZ9h64ll02CEjyZOOGuA1eJd</t>
  </si>
  <si>
    <t>https://drive.google.com/file/d/1Rh6ikPzPJZ9h64ll02CEjyZOOGuA1eJd/view?usp=drivesdk</t>
  </si>
  <si>
    <t>12lnDTcEDMvDYGLNlimlE4dfm34IT-CVW</t>
  </si>
  <si>
    <t>https://drive.google.com/file/d/12lnDTcEDMvDYGLNlimlE4dfm34IT-CVW/view?usp=drivesdk</t>
  </si>
  <si>
    <t>PENATA MUDA TK. I ISMAIL</t>
  </si>
  <si>
    <t>ijoko76@gmail.com</t>
  </si>
  <si>
    <t>524</t>
  </si>
  <si>
    <t>https://drive.google.com/file/d/1qKjL0hhiPhQt_r8zwYXTgQ5fwk4d0RZt/view?usp=drivesdk</t>
  </si>
  <si>
    <t>1qKjL0hhiPhQt_r8zwYXTgQ5fwk4d0RZt</t>
  </si>
  <si>
    <t>1cbt9Ib7T9ctdwNfHXw6Jh1OCNaD_bAHe</t>
  </si>
  <si>
    <t>https://drive.google.com/file/d/1cbt9Ib7T9ctdwNfHXw6Jh1OCNaD_bAHe/view?usp=drivesdk</t>
  </si>
  <si>
    <t>16IXiFv_fG-_g8eFAuLsyQMX1Q7HctmR5</t>
  </si>
  <si>
    <t>https://drive.google.com/file/d/16IXiFv_fG-_g8eFAuLsyQMX1Q7HctmR5/view?usp=drivesdk</t>
  </si>
  <si>
    <t>RINI FATMASARI</t>
  </si>
  <si>
    <t>rifat82rf@gmail.com</t>
  </si>
  <si>
    <t>525</t>
  </si>
  <si>
    <t>https://drive.google.com/file/d/1HzoG3KVoAKrIWgvPScJ0nHG2x0qB4OOO/view?usp=drivesdk</t>
  </si>
  <si>
    <t>1HzoG3KVoAKrIWgvPScJ0nHG2x0qB4OOO</t>
  </si>
  <si>
    <t>1AaRl4po3EfgoSTm-aVwcBBFyaF6ilrHA</t>
  </si>
  <si>
    <t>https://drive.google.com/file/d/1AaRl4po3EfgoSTm-aVwcBBFyaF6ilrHA/view?usp=drivesdk</t>
  </si>
  <si>
    <t>15GkUM6bt64wgLfT7SXSfpmIKbjUAgpJE</t>
  </si>
  <si>
    <t>https://drive.google.com/file/d/15GkUM6bt64wgLfT7SXSfpmIKbjUAgpJE/view?usp=drivesdk</t>
  </si>
  <si>
    <t>DITA PRIHADINA PERTIWI, A.Md, Keb</t>
  </si>
  <si>
    <t>ditadepe03@gmail.com</t>
  </si>
  <si>
    <t>526</t>
  </si>
  <si>
    <t>https://drive.google.com/file/d/1Hf4Cksi20_TE6dxk3rObAzTg48IwUmVg/view?usp=drivesdk</t>
  </si>
  <si>
    <t>Document successfully created; Document successfully merged; PDF created; !!Error Sending Emails: Service invoked too many times for one day: email.; Run via form trigger as ecertificate75@gmail.com; Timestamp: Aug 29 2024 8:44 PM</t>
  </si>
  <si>
    <t>1Hf4Cksi20_TE6dxk3rObAzTg48IwUmVg</t>
  </si>
  <si>
    <t>1LWkFMYNtdNX5t35LKFyIedxvjVAK6eYI</t>
  </si>
  <si>
    <t>https://drive.google.com/file/d/1LWkFMYNtdNX5t35LKFyIedxvjVAK6eYI/view?usp=drivesdk</t>
  </si>
  <si>
    <t>1seQ7-b1hSi4IpTvnAc-qSo7DCmrlrWpA</t>
  </si>
  <si>
    <t>https://drive.google.com/file/d/1seQ7-b1hSi4IpTvnAc-qSo7DCmrlrWpA/view?usp=drivesdk</t>
  </si>
  <si>
    <t>Document successfully created; Document successfully merged; PDF created; !!Error Sending Emails: Service invoked too many times for one day: email.; Manually run by ecertificate75@gmail.com; Timestamp: Aug 31 2024 7:29 AM</t>
  </si>
  <si>
    <t xml:space="preserve">YULIASTUTIK HERMININGSIH </t>
  </si>
  <si>
    <t>yuliastuti22.vp@gmail.com</t>
  </si>
  <si>
    <t>527</t>
  </si>
  <si>
    <t>https://drive.google.com/file/d/1-uDn57n1Yok6g4SGYNU6eo3Qy9ftC77u/view?usp=drivesdk</t>
  </si>
  <si>
    <t>1-uDn57n1Yok6g4SGYNU6eo3Qy9ftC77u</t>
  </si>
  <si>
    <t>1egXi0qIpdvfoHbYzUtHPsPx3iE_cfeHw</t>
  </si>
  <si>
    <t>https://drive.google.com/file/d/1egXi0qIpdvfoHbYzUtHPsPx3iE_cfeHw/view?usp=drivesdk</t>
  </si>
  <si>
    <t>Document successfully created; Document successfully merged; PDF created; !!Error Sending Emails: Service invoked too many times for one day: email.; Manually run by ecertificate75@gmail.com; Timestamp: Aug 30 2024 10:18 PM</t>
  </si>
  <si>
    <t>1M7q-VSAA1Vx9ddeGh2yhRNzSOmaaNHUk</t>
  </si>
  <si>
    <t>https://drive.google.com/file/d/1M7q-VSAA1Vx9ddeGh2yhRNzSOmaaNHUk/view?usp=drivesdk</t>
  </si>
  <si>
    <t>GUNGUN RIFKI ALMANSHUR</t>
  </si>
  <si>
    <t>rifki.almanshur@gamil.com</t>
  </si>
  <si>
    <t>528</t>
  </si>
  <si>
    <t>https://drive.google.com/file/d/1XxzaOHkQ6CSFVJnkRuWE6O4lMRfs4JBI/view?usp=drivesdk</t>
  </si>
  <si>
    <t>1XxzaOHkQ6CSFVJnkRuWE6O4lMRfs4JBI</t>
  </si>
  <si>
    <t>1aVhSKnaAHDfmuoj4i5ucOh5W9h0hrDiu</t>
  </si>
  <si>
    <t>https://drive.google.com/file/d/1aVhSKnaAHDfmuoj4i5ucOh5W9h0hrDiu/view?usp=drivesdk</t>
  </si>
  <si>
    <t>1zaNmHuB2aqdF3DAXpNT7hgmFWf9IYJmR</t>
  </si>
  <si>
    <t>https://drive.google.com/file/d/1zaNmHuB2aqdF3DAXpNT7hgmFWf9IYJmR/view?usp=drivesdk</t>
  </si>
  <si>
    <t>INDAH RIA SALEAN, S.E.</t>
  </si>
  <si>
    <t>riasalean2908@gmail.com</t>
  </si>
  <si>
    <t>529</t>
  </si>
  <si>
    <t>https://drive.google.com/file/d/14WwvG-e2eIS2UXdbAM3_l9l3IJWvYrSC/view?usp=drivesdk</t>
  </si>
  <si>
    <t>14WwvG-e2eIS2UXdbAM3_l9l3IJWvYrSC</t>
  </si>
  <si>
    <t>1iuZMrY7zLZCJr1RqsM2GNzIigbchinhP</t>
  </si>
  <si>
    <t>https://drive.google.com/file/d/1iuZMrY7zLZCJr1RqsM2GNzIigbchinhP/view?usp=drivesdk</t>
  </si>
  <si>
    <t>1XC9qnwagFMrDwXOVHffRwxzZVqWHbMqz</t>
  </si>
  <si>
    <t>https://drive.google.com/file/d/1XC9qnwagFMrDwXOVHffRwxzZVqWHbMqz/view?usp=drivesdk</t>
  </si>
  <si>
    <t>HERY SUSIANTO</t>
  </si>
  <si>
    <t>heryresbel@gmail.com</t>
  </si>
  <si>
    <t>530</t>
  </si>
  <si>
    <t>https://drive.google.com/file/d/1dmW8oeeljhr2Fd6PTwQ76PYFP0tB7tIQ/view?usp=drivesdk</t>
  </si>
  <si>
    <t>1dmW8oeeljhr2Fd6PTwQ76PYFP0tB7tIQ</t>
  </si>
  <si>
    <t>1Uqp0jWjyM8pWfAU6Iawrs0JOSVNFQxes</t>
  </si>
  <si>
    <t>https://drive.google.com/file/d/1Uqp0jWjyM8pWfAU6Iawrs0JOSVNFQxes/view?usp=drivesdk</t>
  </si>
  <si>
    <t>1PvzIPyiaSdx4uuStI9aKbPpYzYSTE5sR</t>
  </si>
  <si>
    <t>https://drive.google.com/file/d/1PvzIPyiaSdx4uuStI9aKbPpYzYSTE5sR/view?usp=drivesdk</t>
  </si>
  <si>
    <t>FERILINA MIRTA RATRI, A. Md.</t>
  </si>
  <si>
    <t>ferilinamirta@gmail.com</t>
  </si>
  <si>
    <t>531</t>
  </si>
  <si>
    <t>https://drive.google.com/file/d/1NoZfumuisuj4_Np2YrkyKtKfc9hwcxR6/view?usp=drivesdk</t>
  </si>
  <si>
    <t>1NoZfumuisuj4_Np2YrkyKtKfc9hwcxR6</t>
  </si>
  <si>
    <t>1pCzmDJnC1f72iONdhU0beRcOO-mnKA7L</t>
  </si>
  <si>
    <t>https://drive.google.com/file/d/1pCzmDJnC1f72iONdhU0beRcOO-mnKA7L/view?usp=drivesdk</t>
  </si>
  <si>
    <t>1hHB7jRddusHGSFzbIzcty2qDfYWPMVsJ</t>
  </si>
  <si>
    <t>https://drive.google.com/file/d/1hHB7jRddusHGSFzbIzcty2qDfYWPMVsJ/view?usp=drivesdk</t>
  </si>
  <si>
    <t>DR PAULA LIHAWA, MFORSC</t>
  </si>
  <si>
    <t>paulalihawa@yahoo.com</t>
  </si>
  <si>
    <t>532</t>
  </si>
  <si>
    <t>https://drive.google.com/file/d/1SuGpwWSz6vULHuyqunM1FfAG2agUSCO4/view?usp=drivesdk</t>
  </si>
  <si>
    <t>1SuGpwWSz6vULHuyqunM1FfAG2agUSCO4</t>
  </si>
  <si>
    <t>1ceEfj4oergK7S1ajTDWeeFEbsqZt_v1J</t>
  </si>
  <si>
    <t>https://drive.google.com/file/d/1ceEfj4oergK7S1ajTDWeeFEbsqZt_v1J/view?usp=drivesdk</t>
  </si>
  <si>
    <t>1WM6XNhfuDKHkqsZSP7Gz_YOtUAgQzf6L</t>
  </si>
  <si>
    <t>https://drive.google.com/file/d/1WM6XNhfuDKHkqsZSP7Gz_YOtUAgQzf6L/view?usp=drivesdk</t>
  </si>
  <si>
    <t>Document successfully created; Document successfully merged; PDF created; !!Error Sending Emails: Service invoked too many times for one day: email.; Manually run by ecertificate75@gmail.com; Timestamp: Aug 31 2024 7:30 AM</t>
  </si>
  <si>
    <t>AGUS MULYANA, S.Pd</t>
  </si>
  <si>
    <t>gusss1973@gmail.com</t>
  </si>
  <si>
    <t>533</t>
  </si>
  <si>
    <t>https://drive.google.com/file/d/1DnuZXyCN1BX7wrZk8BzmphsHKUgdV3iJ/view?usp=drivesdk</t>
  </si>
  <si>
    <t>1DnuZXyCN1BX7wrZk8BzmphsHKUgdV3iJ</t>
  </si>
  <si>
    <t>1zJhVNcFrd9m9Fd01LDzfsq4vjU5oHBHM</t>
  </si>
  <si>
    <t>https://drive.google.com/file/d/1zJhVNcFrd9m9Fd01LDzfsq4vjU5oHBHM/view?usp=drivesdk</t>
  </si>
  <si>
    <t>Document successfully created; Document successfully merged; PDF created; !!Error Sending Emails: Service invoked too many times for one day: email.; Manually run by ecertificate75@gmail.com; Timestamp: Aug 30 2024 10:19 PM</t>
  </si>
  <si>
    <t>1mPo-s_Tuui6vMuzzWMmahwocF2PrsZ4D</t>
  </si>
  <si>
    <t>https://drive.google.com/file/d/1mPo-s_Tuui6vMuzzWMmahwocF2PrsZ4D/view?usp=drivesdk</t>
  </si>
  <si>
    <t>NANI KARMILA, SKM, M.Kes</t>
  </si>
  <si>
    <t>nanni.miladd@gmail.com</t>
  </si>
  <si>
    <t>534</t>
  </si>
  <si>
    <t>Starting at Thu Aug 29 2024 20:43:18 GMT-0400 (EDT)</t>
  </si>
  <si>
    <t>1uds_YnSGzHiuG-RC_T0JAaZqrXIj85Fn</t>
  </si>
  <si>
    <t>https://drive.google.com/file/d/1uds_YnSGzHiuG-RC_T0JAaZqrXIj85Fn/view?usp=drivesdk</t>
  </si>
  <si>
    <t>1dwSgPZ36d7fueQaJLS-Omu2CoqdZfaWj</t>
  </si>
  <si>
    <t>https://drive.google.com/file/d/1dwSgPZ36d7fueQaJLS-Omu2CoqdZfaWj/view?usp=drivesdk</t>
  </si>
  <si>
    <t>EKA RACHMAWSTI, A.MD</t>
  </si>
  <si>
    <t>pondowiguna@gmail.com</t>
  </si>
  <si>
    <t>535</t>
  </si>
  <si>
    <t>1HefsNkhUtWs9aaPVnllwk97QAD5VfLHN</t>
  </si>
  <si>
    <t>https://drive.google.com/file/d/1HefsNkhUtWs9aaPVnllwk97QAD5VfLHN/view?usp=drivesdk</t>
  </si>
  <si>
    <t>12XPqHTDoR1hC-k9XylRJVsXoELvX5uyZ</t>
  </si>
  <si>
    <t>https://drive.google.com/file/d/12XPqHTDoR1hC-k9XylRJVsXoELvX5uyZ/view?usp=drivesdk</t>
  </si>
  <si>
    <t>SUBUR WINARSIH, S.H.</t>
  </si>
  <si>
    <t>suburwinarsih8@gmail.com</t>
  </si>
  <si>
    <t>536</t>
  </si>
  <si>
    <t>1QbCyVSbdwLRn913N4CptMQHUSkXhYs7G</t>
  </si>
  <si>
    <t>https://drive.google.com/file/d/1QbCyVSbdwLRn913N4CptMQHUSkXhYs7G/view?usp=drivesdk</t>
  </si>
  <si>
    <t>1aThB4YbQoDs-e2IKlLlzDN6zvzYvqKeg</t>
  </si>
  <si>
    <t>https://drive.google.com/file/d/1aThB4YbQoDs-e2IKlLlzDN6zvzYvqKeg/view?usp=drivesdk</t>
  </si>
  <si>
    <t>FERRY YULISTIANA AMD</t>
  </si>
  <si>
    <t>ferryy200775@gmail.com</t>
  </si>
  <si>
    <t>537</t>
  </si>
  <si>
    <t>1VyJcc_Ki_KVZMgbFB0VG-1KvLuDREnY8</t>
  </si>
  <si>
    <t>https://drive.google.com/file/d/1VyJcc_Ki_KVZMgbFB0VG-1KvLuDREnY8/view?usp=drivesdk</t>
  </si>
  <si>
    <t>18EsEhtCmAkPLXuDyXTXZk5Ng6rvxsv2O</t>
  </si>
  <si>
    <t>https://drive.google.com/file/d/18EsEhtCmAkPLXuDyXTXZk5Ng6rvxsv2O/view?usp=drivesdk</t>
  </si>
  <si>
    <t>Document successfully created; Document successfully merged; PDF created; !!Error Sending Emails: Service invoked too many times for one day: email.; Manually run by ecertificate75@gmail.com; Timestamp: Aug 31 2024 7:31 AM</t>
  </si>
  <si>
    <t>DWI YUNI ASIH, A.Md., S.Pd.</t>
  </si>
  <si>
    <t>dwi_mgr@yahoo.co.id</t>
  </si>
  <si>
    <t>538</t>
  </si>
  <si>
    <t>1h_Cfy5mYxCzS59GrUISZNkMPgRi9QZFd</t>
  </si>
  <si>
    <t>https://drive.google.com/file/d/1h_Cfy5mYxCzS59GrUISZNkMPgRi9QZFd/view?usp=drivesdk</t>
  </si>
  <si>
    <t>1zIyn--ie-F2UEXoWFbKxepQpSphIwhyj</t>
  </si>
  <si>
    <t>https://drive.google.com/file/d/1zIyn--ie-F2UEXoWFbKxepQpSphIwhyj/view?usp=drivesdk</t>
  </si>
  <si>
    <t>MIFTAHUL FARID, A. Md</t>
  </si>
  <si>
    <t>b36yra@gmail.com</t>
  </si>
  <si>
    <t>539</t>
  </si>
  <si>
    <t>https://drive.google.com/file/d/1b8zuvHuW1BO8bwl0BMWPfhebreiPmXiC/view?usp=drivesdk</t>
  </si>
  <si>
    <t>1b8zuvHuW1BO8bwl0BMWPfhebreiPmXiC</t>
  </si>
  <si>
    <t>1DqgIApARSXSk996MMf6ToTnDGxxZC5lm</t>
  </si>
  <si>
    <t>https://drive.google.com/file/d/1DqgIApARSXSk996MMf6ToTnDGxxZC5lm/view?usp=drivesdk</t>
  </si>
  <si>
    <t>Document successfully created; Document successfully merged; PDF created; !!Error Sending Emails: Service invoked too many times for one day: email.; Manually run by ecertificate75@gmail.com; Timestamp: Aug 30 2024 10:20 PM</t>
  </si>
  <si>
    <t>1-F1fBppFybkdoQ-A0NI0-urUsXGOxlJc</t>
  </si>
  <si>
    <t>https://drive.google.com/file/d/1-F1fBppFybkdoQ-A0NI0-urUsXGOxlJc/view?usp=drivesdk</t>
  </si>
  <si>
    <t>MUHAMAD TOPIK, SH</t>
  </si>
  <si>
    <t>opaydoangah@gmail.com</t>
  </si>
  <si>
    <t>540</t>
  </si>
  <si>
    <t>https://drive.google.com/file/d/1_HX2cJtTrQPc294zOG-57KCOQtOVdqqI/view?usp=drivesdk</t>
  </si>
  <si>
    <t>1_HX2cJtTrQPc294zOG-57KCOQtOVdqqI</t>
  </si>
  <si>
    <t>17zG_zzSisG-hZ0YMv985XKM6Db8ELkJ6</t>
  </si>
  <si>
    <t>https://drive.google.com/file/d/17zG_zzSisG-hZ0YMv985XKM6Db8ELkJ6/view?usp=drivesdk</t>
  </si>
  <si>
    <t>1vP9uj43Ivq3eSeltzEBlm_hQTq9Ys7hs</t>
  </si>
  <si>
    <t>https://drive.google.com/file/d/1vP9uj43Ivq3eSeltzEBlm_hQTq9Ys7hs/view?usp=drivesdk</t>
  </si>
  <si>
    <t>WIWIN WINARSIH,Amd.Kep</t>
  </si>
  <si>
    <t>wiwinwinarsih2552@gmail.com</t>
  </si>
  <si>
    <t>541</t>
  </si>
  <si>
    <t>https://drive.google.com/file/d/1B7f2JxZNxr3lLEd7aZxdF6QbkUPbBE1r/view?usp=drivesdk</t>
  </si>
  <si>
    <t>1B7f2JxZNxr3lLEd7aZxdF6QbkUPbBE1r</t>
  </si>
  <si>
    <t>1hAVsZuDz9qH0aKitjuCqe4-00mmdDsA0</t>
  </si>
  <si>
    <t>https://drive.google.com/file/d/1hAVsZuDz9qH0aKitjuCqe4-00mmdDsA0/view?usp=drivesdk</t>
  </si>
  <si>
    <t>15v8NsP-6bJBLlwPTdZoh_luui8BsE4c5</t>
  </si>
  <si>
    <t>https://drive.google.com/file/d/15v8NsP-6bJBLlwPTdZoh_luui8BsE4c5/view?usp=drivesdk</t>
  </si>
  <si>
    <t>JAHARUDDIN SIREGAR</t>
  </si>
  <si>
    <t>jahars53@gmail.com</t>
  </si>
  <si>
    <t>542</t>
  </si>
  <si>
    <t>https://drive.google.com/file/d/155bDAR04n9MJo3jCK9uG2RvfStYyOlNQ/view?usp=drivesdk</t>
  </si>
  <si>
    <t>155bDAR04n9MJo3jCK9uG2RvfStYyOlNQ</t>
  </si>
  <si>
    <t>1yXC-yPswAO2N-GSrmJ8lr8fznRZW5rSW</t>
  </si>
  <si>
    <t>https://drive.google.com/file/d/1yXC-yPswAO2N-GSrmJ8lr8fznRZW5rSW/view?usp=drivesdk</t>
  </si>
  <si>
    <t>12dYUHx718sUtSeCXhXHKEAnSQFUwvQES</t>
  </si>
  <si>
    <t>https://drive.google.com/file/d/12dYUHx718sUtSeCXhXHKEAnSQFUwvQES/view?usp=drivesdk</t>
  </si>
  <si>
    <t>Document successfully created; Document successfully merged; PDF created; !!Error Sending Emails: Service invoked too many times for one day: email.; Manually run by ecertificate75@gmail.com; Timestamp: Aug 31 2024 7:32 AM</t>
  </si>
  <si>
    <t xml:space="preserve">NANIK SIMOLANG </t>
  </si>
  <si>
    <t>simolangnanik@gmail.com</t>
  </si>
  <si>
    <t>543</t>
  </si>
  <si>
    <t>https://drive.google.com/file/d/1J9_xQzoVpVNgL8zhS_DIpja6-9tikxST/view?usp=drivesdk</t>
  </si>
  <si>
    <t>1J9_xQzoVpVNgL8zhS_DIpja6-9tikxST</t>
  </si>
  <si>
    <t>1qc-AvkYHry7FZ_u0YCadjRlAgVvqmvtO</t>
  </si>
  <si>
    <t>https://drive.google.com/file/d/1qc-AvkYHry7FZ_u0YCadjRlAgVvqmvtO/view?usp=drivesdk</t>
  </si>
  <si>
    <t>1ri1dQcHH28OgnLIjamJzMxBNqrn4dqXA</t>
  </si>
  <si>
    <t>https://drive.google.com/file/d/1ri1dQcHH28OgnLIjamJzMxBNqrn4dqXA/view?usp=drivesdk</t>
  </si>
  <si>
    <t>ADI DAYA PUTRA, AMD. KEP</t>
  </si>
  <si>
    <t>adiputra180118@gmail.com</t>
  </si>
  <si>
    <t>544</t>
  </si>
  <si>
    <t>https://drive.google.com/file/d/1pMmA3H93Nl1B0fQh6JY9xc5-BhkmIkhR/view?usp=drivesdk</t>
  </si>
  <si>
    <t>1pMmA3H93Nl1B0fQh6JY9xc5-BhkmIkhR</t>
  </si>
  <si>
    <t>1YRDLv2RgvndkIcLqv7dLYk7qTJolh7Cx</t>
  </si>
  <si>
    <t>https://drive.google.com/file/d/1YRDLv2RgvndkIcLqv7dLYk7qTJolh7Cx/view?usp=drivesdk</t>
  </si>
  <si>
    <t>1w-Mb1HkdkbA25ao7FplFSav0sscMVG76</t>
  </si>
  <si>
    <t>https://drive.google.com/file/d/1w-Mb1HkdkbA25ao7FplFSav0sscMVG76/view?usp=drivesdk</t>
  </si>
  <si>
    <t>NYOMAN ASRIMINI</t>
  </si>
  <si>
    <t>nyomanasrimini@gmail.com</t>
  </si>
  <si>
    <t>545</t>
  </si>
  <si>
    <t>https://drive.google.com/file/d/1yRM7PMjJmp9V2dth5_R4EYPWrfFH18v6/view?usp=drivesdk</t>
  </si>
  <si>
    <t>1yRM7PMjJmp9V2dth5_R4EYPWrfFH18v6</t>
  </si>
  <si>
    <t>1RDRVw54pUc5K54lU8hiW4Ah2cy1eMSMW</t>
  </si>
  <si>
    <t>https://drive.google.com/file/d/1RDRVw54pUc5K54lU8hiW4Ah2cy1eMSMW/view?usp=drivesdk</t>
  </si>
  <si>
    <t>Document successfully created; Document successfully merged; PDF created; !!Error Sending Emails: Service invoked too many times for one day: email.; Manually run by ecertificate75@gmail.com; Timestamp: Aug 30 2024 10:21 PM</t>
  </si>
  <si>
    <t>1mx0u0nsWLnUm99fBGQY2JThfb-O6TixR</t>
  </si>
  <si>
    <t>https://drive.google.com/file/d/1mx0u0nsWLnUm99fBGQY2JThfb-O6TixR/view?usp=drivesdk</t>
  </si>
  <si>
    <t>KARTIKAYANTI</t>
  </si>
  <si>
    <t>kartikavivoy51@gmail.com</t>
  </si>
  <si>
    <t>546</t>
  </si>
  <si>
    <t>https://drive.google.com/file/d/1pT_iO7SI6HjXN_dhGzK1lj9TBZ_XeSlZ/view?usp=drivesdk</t>
  </si>
  <si>
    <t>1pT_iO7SI6HjXN_dhGzK1lj9TBZ_XeSlZ</t>
  </si>
  <si>
    <t>1I3Z9-XLQQP--d23yX8jnSYySruOaWYrP</t>
  </si>
  <si>
    <t>https://drive.google.com/file/d/1I3Z9-XLQQP--d23yX8jnSYySruOaWYrP/view?usp=drivesdk</t>
  </si>
  <si>
    <t>10SNlTbYlMVlcIqFPNhLOBCKtZ5sKlus1</t>
  </si>
  <si>
    <t>https://drive.google.com/file/d/10SNlTbYlMVlcIqFPNhLOBCKtZ5sKlus1/view?usp=drivesdk</t>
  </si>
  <si>
    <t>yanitri814@gmail.com</t>
  </si>
  <si>
    <t>547</t>
  </si>
  <si>
    <t>https://drive.google.com/file/d/1hZfrKGRTe27qDXQfRsEhKzmlHcIi7ZbK/view?usp=drivesdk</t>
  </si>
  <si>
    <t>1hZfrKGRTe27qDXQfRsEhKzmlHcIi7ZbK</t>
  </si>
  <si>
    <t>1C_KUe24p7813wm2-yncV_LGYLsODXEvr</t>
  </si>
  <si>
    <t>https://drive.google.com/file/d/1C_KUe24p7813wm2-yncV_LGYLsODXEvr/view?usp=drivesdk</t>
  </si>
  <si>
    <t>1_CXk66GPfZtV8nr0LFBQkPtjGHUUtDoe</t>
  </si>
  <si>
    <t>https://drive.google.com/file/d/1_CXk66GPfZtV8nr0LFBQkPtjGHUUtDoe/view?usp=drivesdk</t>
  </si>
  <si>
    <t>CAHYUTI HENDRANINGSIH, A.Md.Kep</t>
  </si>
  <si>
    <t>cahyuti.h@gmail.com</t>
  </si>
  <si>
    <t>548</t>
  </si>
  <si>
    <t>https://drive.google.com/file/d/1u_aaqLOznwGDjS-0vEEg7V2ZscJVliwT/view?usp=drivesdk</t>
  </si>
  <si>
    <t>1u_aaqLOznwGDjS-0vEEg7V2ZscJVliwT</t>
  </si>
  <si>
    <t>1sR9sOUuxdZahuPND_XNip7eMd5qMWQsb</t>
  </si>
  <si>
    <t>https://drive.google.com/file/d/1sR9sOUuxdZahuPND_XNip7eMd5qMWQsb/view?usp=drivesdk</t>
  </si>
  <si>
    <t>1NfM4lQXAes4Aj4twfD5HhBP6F1WSjRZ_</t>
  </si>
  <si>
    <t>https://drive.google.com/file/d/1NfM4lQXAes4Aj4twfD5HhBP6F1WSjRZ_/view?usp=drivesdk</t>
  </si>
  <si>
    <t xml:space="preserve">AVIV ACHMAD ROZAQ </t>
  </si>
  <si>
    <t>avivrozaq77@gmail.com</t>
  </si>
  <si>
    <t>549</t>
  </si>
  <si>
    <t>https://drive.google.com/file/d/19GyUUvLBaQzkXUMMbjuAT3JBtG9ya3qm/view?usp=drivesdk</t>
  </si>
  <si>
    <t>19GyUUvLBaQzkXUMMbjuAT3JBtG9ya3qm</t>
  </si>
  <si>
    <t>1iZD0PkdGigYLQW0ZhTLeJGR5X7SELV3Q</t>
  </si>
  <si>
    <t>https://drive.google.com/file/d/1iZD0PkdGigYLQW0ZhTLeJGR5X7SELV3Q/view?usp=drivesdk</t>
  </si>
  <si>
    <t>1ET6UW8OdnhXzReWA66md_fei2FXRI6X7</t>
  </si>
  <si>
    <t>https://drive.google.com/file/d/1ET6UW8OdnhXzReWA66md_fei2FXRI6X7/view?usp=drivesdk</t>
  </si>
  <si>
    <t>Document successfully created; Document successfully merged; PDF created; !!Error Sending Emails: Service invoked too many times for one day: email.; Manually run by ecertificate75@gmail.com; Timestamp: Aug 31 2024 7:33 AM</t>
  </si>
  <si>
    <t>ELVA PRATIWI, A.Md.Kep.</t>
  </si>
  <si>
    <t>elvapratiwi23@gmail.com</t>
  </si>
  <si>
    <t>550</t>
  </si>
  <si>
    <t>https://drive.google.com/file/d/165rTPMRkT3QB1ZDQWQE7IeXk4YTUYhnJ/view?usp=drivesdk</t>
  </si>
  <si>
    <t>165rTPMRkT3QB1ZDQWQE7IeXk4YTUYhnJ</t>
  </si>
  <si>
    <t>1mWKr0dAT1W2q6mRuefSDPNgSO4GS8iTB</t>
  </si>
  <si>
    <t>https://drive.google.com/file/d/1mWKr0dAT1W2q6mRuefSDPNgSO4GS8iTB/view?usp=drivesdk</t>
  </si>
  <si>
    <t>1bf3-tVFLMVJgMz-YGsFIFGCAjGqLxQCj</t>
  </si>
  <si>
    <t>https://drive.google.com/file/d/1bf3-tVFLMVJgMz-YGsFIFGCAjGqLxQCj/view?usp=drivesdk</t>
  </si>
  <si>
    <t>HERRYPURNOMO</t>
  </si>
  <si>
    <t>herrypoer8@gmail.com</t>
  </si>
  <si>
    <t>551</t>
  </si>
  <si>
    <t>https://drive.google.com/file/d/1xBriVpNBXgBSLUlZHzsy1imuxsn6UeC6/view?usp=drivesdk</t>
  </si>
  <si>
    <t>1xBriVpNBXgBSLUlZHzsy1imuxsn6UeC6</t>
  </si>
  <si>
    <t>1OkCa0GARIehI0K7GaPwuuXW6xNo-91Cf</t>
  </si>
  <si>
    <t>https://drive.google.com/file/d/1OkCa0GARIehI0K7GaPwuuXW6xNo-91Cf/view?usp=drivesdk</t>
  </si>
  <si>
    <t>Document successfully created; Document successfully merged; PDF created; !!Error Sending Emails: Service invoked too many times for one day: email.; Manually run by ecertificate75@gmail.com; Timestamp: Aug 30 2024 10:22 PM</t>
  </si>
  <si>
    <t>1z4biIZ3BGercGxAAWGp-0nXvXeV_Hknu</t>
  </si>
  <si>
    <t>https://drive.google.com/file/d/1z4biIZ3BGercGxAAWGp-0nXvXeV_Hknu/view?usp=drivesdk</t>
  </si>
  <si>
    <t>LODIA LIENCE BARAGAIN</t>
  </si>
  <si>
    <t>lodialbaragain@gmail.com</t>
  </si>
  <si>
    <t>552</t>
  </si>
  <si>
    <t>https://drive.google.com/file/d/1De4heUCNZrBHtK_HwtWxFg5ojku0LET9/view?usp=drivesdk</t>
  </si>
  <si>
    <t>1De4heUCNZrBHtK_HwtWxFg5ojku0LET9</t>
  </si>
  <si>
    <t>16VWlb5j8WuKIv_B1qXmg_XDxYDufSASr</t>
  </si>
  <si>
    <t>https://drive.google.com/file/d/16VWlb5j8WuKIv_B1qXmg_XDxYDufSASr/view?usp=drivesdk</t>
  </si>
  <si>
    <t>1w0cfVpG7w47HOCq_ZozpOxEX_mfRbS5k</t>
  </si>
  <si>
    <t>https://drive.google.com/file/d/1w0cfVpG7w47HOCq_ZozpOxEX_mfRbS5k/view?usp=drivesdk</t>
  </si>
  <si>
    <t>SITI MUSAROFAH</t>
  </si>
  <si>
    <t>musarofah2012@gmail.com</t>
  </si>
  <si>
    <t>553</t>
  </si>
  <si>
    <t>https://drive.google.com/file/d/1fzcckGQbCI4yv9AMsG1yrq_GMGJsMMuT/view?usp=drivesdk</t>
  </si>
  <si>
    <t>1fzcckGQbCI4yv9AMsG1yrq_GMGJsMMuT</t>
  </si>
  <si>
    <t>1o69v7_91OIRNR8VMvO37fsxZK3myMADd</t>
  </si>
  <si>
    <t>https://drive.google.com/file/d/1o69v7_91OIRNR8VMvO37fsxZK3myMADd/view?usp=drivesdk</t>
  </si>
  <si>
    <t>1gYxTg3nOg13Pv56aeRF60i_jxFy8lI4N</t>
  </si>
  <si>
    <t>https://drive.google.com/file/d/1gYxTg3nOg13Pv56aeRF60i_jxFy8lI4N/view?usp=drivesdk</t>
  </si>
  <si>
    <t>SINDI ANDIKA PUTRI,S.Kep</t>
  </si>
  <si>
    <t>sindiandikaputri@gmail.com</t>
  </si>
  <si>
    <t>554</t>
  </si>
  <si>
    <t>https://drive.google.com/file/d/12ZkSjvodCaHuIADZAEfGnekozn4yHDTv/view?usp=drivesdk</t>
  </si>
  <si>
    <t>12ZkSjvodCaHuIADZAEfGnekozn4yHDTv</t>
  </si>
  <si>
    <t>1dl0w4l8tbcuf2uNBNQlm5Y1X027kIkLA</t>
  </si>
  <si>
    <t>https://drive.google.com/file/d/1dl0w4l8tbcuf2uNBNQlm5Y1X027kIkLA/view?usp=drivesdk</t>
  </si>
  <si>
    <t>1TRRMPAbQNhy6n7P5GjhZCjQc0lZYNRk0</t>
  </si>
  <si>
    <t>https://drive.google.com/file/d/1TRRMPAbQNhy6n7P5GjhZCjQc0lZYNRk0/view?usp=drivesdk</t>
  </si>
  <si>
    <t>Document successfully created; Document successfully merged; PDF created; !!Error Sending Emails: Service invoked too many times for one day: email.; Manually run by ecertificate75@gmail.com; Timestamp: Aug 31 2024 7:34 AM</t>
  </si>
  <si>
    <t>ARTIASIH SEPTIANI Amd. Kep</t>
  </si>
  <si>
    <t>septiani.artiasih@yahoo.com</t>
  </si>
  <si>
    <t>555</t>
  </si>
  <si>
    <t>https://drive.google.com/file/d/1_to9cSqjdRhbyGVov9DMmetVxchVuTMC/view?usp=drivesdk</t>
  </si>
  <si>
    <t>1_to9cSqjdRhbyGVov9DMmetVxchVuTMC</t>
  </si>
  <si>
    <t>1LGZA4CKA2bN_S9fmcS4-MfEwMMpERZe7</t>
  </si>
  <si>
    <t>https://drive.google.com/file/d/1LGZA4CKA2bN_S9fmcS4-MfEwMMpERZe7/view?usp=drivesdk</t>
  </si>
  <si>
    <t>1lGQDoIQsn0eFT3GO0t8E0-EqHhor_SX3</t>
  </si>
  <si>
    <t>https://drive.google.com/file/d/1lGQDoIQsn0eFT3GO0t8E0-EqHhor_SX3/view?usp=drivesdk</t>
  </si>
  <si>
    <t xml:space="preserve">R MOH SYAMSUL ARIFIN </t>
  </si>
  <si>
    <t>soels1976@gmail.com</t>
  </si>
  <si>
    <t>556</t>
  </si>
  <si>
    <t>https://drive.google.com/file/d/1OJhhJGVHReLLvLNmHeUJkdEk-Jowuves/view?usp=drivesdk</t>
  </si>
  <si>
    <t>1OJhhJGVHReLLvLNmHeUJkdEk-Jowuves</t>
  </si>
  <si>
    <t>1eFwRtbV6LxJukAsoj7u0_QKkjtMbZDcx</t>
  </si>
  <si>
    <t>https://drive.google.com/file/d/1eFwRtbV6LxJukAsoj7u0_QKkjtMbZDcx/view?usp=drivesdk</t>
  </si>
  <si>
    <t>Document successfully created; Document successfully merged; PDF created; !!Error Sending Emails: Service invoked too many times for one day: email.; Manually run by ecertificate75@gmail.com; Timestamp: Aug 30 2024 10:23 PM</t>
  </si>
  <si>
    <t>1Ux_TpzU15h6q-8UWGqaqAzdVlkSDj2JF</t>
  </si>
  <si>
    <t>https://drive.google.com/file/d/1Ux_TpzU15h6q-8UWGqaqAzdVlkSDj2JF/view?usp=drivesdk</t>
  </si>
  <si>
    <t>DRG. HELNI RAHMA YULIA</t>
  </si>
  <si>
    <t>helnirahmayulia.hry@gmail.com</t>
  </si>
  <si>
    <t>557</t>
  </si>
  <si>
    <t>https://drive.google.com/file/d/1cahxtE-ekwMfNY-e9DSwxDnKEHkfbpoI/view?usp=drivesdk</t>
  </si>
  <si>
    <t>1cahxtE-ekwMfNY-e9DSwxDnKEHkfbpoI</t>
  </si>
  <si>
    <t>1G1g_OY3X4gr0amEh6uy_gMvX1vbgAROr</t>
  </si>
  <si>
    <t>https://drive.google.com/file/d/1G1g_OY3X4gr0amEh6uy_gMvX1vbgAROr/view?usp=drivesdk</t>
  </si>
  <si>
    <t>1rDDECTJnp53IVaJ4qppCs0CVlAf8ydDG</t>
  </si>
  <si>
    <t>https://drive.google.com/file/d/1rDDECTJnp53IVaJ4qppCs0CVlAf8ydDG/view?usp=drivesdk</t>
  </si>
  <si>
    <t>RAE RIDHA ZULFIQOR</t>
  </si>
  <si>
    <t>rae.r.zulfiqor@fmail.com</t>
  </si>
  <si>
    <t>558</t>
  </si>
  <si>
    <t>https://drive.google.com/file/d/1zNCJ60FQI0VQDk5SmAR29hUJAz1e8Zi2/view?usp=drivesdk</t>
  </si>
  <si>
    <t>1zNCJ60FQI0VQDk5SmAR29hUJAz1e8Zi2</t>
  </si>
  <si>
    <t>1poR0rpJSepZgrQ7VNjcVIBHWVSF28o69</t>
  </si>
  <si>
    <t>https://drive.google.com/file/d/1poR0rpJSepZgrQ7VNjcVIBHWVSF28o69/view?usp=drivesdk</t>
  </si>
  <si>
    <t>1WaqqalPaSxbee2AwHpZ_WsROqM9iWUBa</t>
  </si>
  <si>
    <t>https://drive.google.com/file/d/1WaqqalPaSxbee2AwHpZ_WsROqM9iWUBa/view?usp=drivesdk</t>
  </si>
  <si>
    <t>JANTI SUSANA JESAJAS</t>
  </si>
  <si>
    <t>susyjesayas03@gmail.com</t>
  </si>
  <si>
    <t>559</t>
  </si>
  <si>
    <t>https://drive.google.com/file/d/1fvlYNkPFQXlGOe7iKupkuIqjJyeyafoE/view?usp=drivesdk</t>
  </si>
  <si>
    <t>1fvlYNkPFQXlGOe7iKupkuIqjJyeyafoE</t>
  </si>
  <si>
    <t>1dSwLno7X4vo92HXRPNOu6b_1QXtXrMiE</t>
  </si>
  <si>
    <t>https://drive.google.com/file/d/1dSwLno7X4vo92HXRPNOu6b_1QXtXrMiE/view?usp=drivesdk</t>
  </si>
  <si>
    <t>1EOFSGCaG8Im0wmE5y-x9O1mW0VYe8Nf9</t>
  </si>
  <si>
    <t>https://drive.google.com/file/d/1EOFSGCaG8Im0wmE5y-x9O1mW0VYe8Nf9/view?usp=drivesdk</t>
  </si>
  <si>
    <t>JIMMI CANDRA PARNINGOTAN RUMAHORBO, S.Kom</t>
  </si>
  <si>
    <t>jimmi_cp@yahoo.com</t>
  </si>
  <si>
    <t>560</t>
  </si>
  <si>
    <t>https://drive.google.com/file/d/1uBD4AB4TL0jfv0TOZtE5vs4J3AI36v-p/view?usp=drivesdk</t>
  </si>
  <si>
    <t>1uBD4AB4TL0jfv0TOZtE5vs4J3AI36v-p</t>
  </si>
  <si>
    <t>1RnC8Cwi9z5_28NPkZ9mnHS1Xz7sJD1CW</t>
  </si>
  <si>
    <t>https://drive.google.com/file/d/1RnC8Cwi9z5_28NPkZ9mnHS1Xz7sJD1CW/view?usp=drivesdk</t>
  </si>
  <si>
    <t>1kgH9Q0pAuGEleVewaR-mELpfbh_BFRkT</t>
  </si>
  <si>
    <t>https://drive.google.com/file/d/1kgH9Q0pAuGEleVewaR-mELpfbh_BFRkT/view?usp=drivesdk</t>
  </si>
  <si>
    <t>Document successfully created; Document successfully merged; PDF created; !!Error Sending Emails: Service invoked too many times for one day: email.; Manually run by ecertificate75@gmail.com; Timestamp: Aug 31 2024 7:35 AM</t>
  </si>
  <si>
    <t>TOTO HERMANTO</t>
  </si>
  <si>
    <t>hermantototo49@gmail.com</t>
  </si>
  <si>
    <t>561</t>
  </si>
  <si>
    <t>Starting at Thu Aug 29 2024 20:44:03 GMT-0400 (EDT)</t>
  </si>
  <si>
    <t>1QAsqpO3vrq8ifV7G1ROiQYdI6l4impJP</t>
  </si>
  <si>
    <t>https://drive.google.com/file/d/1QAsqpO3vrq8ifV7G1ROiQYdI6l4impJP/view?usp=drivesdk</t>
  </si>
  <si>
    <t>Document successfully created; Document successfully merged; PDF created; !!Error Sending Emails: Service invoked too many times for one day: email.; Manually run by ecertificate75@gmail.com; Timestamp: Aug 30 2024 10:24 PM</t>
  </si>
  <si>
    <t>1NRpo5WIdAybaremoRKmUc6pNLZl9uXNY</t>
  </si>
  <si>
    <t>https://drive.google.com/file/d/1NRpo5WIdAybaremoRKmUc6pNLZl9uXNY/view?usp=drivesdk</t>
  </si>
  <si>
    <t>KOERNIA INDRASTOETI, S.E.</t>
  </si>
  <si>
    <t>kurniaindrastuti@mail.com</t>
  </si>
  <si>
    <t>562</t>
  </si>
  <si>
    <t>https://drive.google.com/file/d/1tqPHuGU3YJjQUh6UaHCHuXbh3jSOHWal/view?usp=drivesdk</t>
  </si>
  <si>
    <t>1tqPHuGU3YJjQUh6UaHCHuXbh3jSOHWal</t>
  </si>
  <si>
    <t>19uw41-tOxROUlA75abKWCu4mgBjc1ePE</t>
  </si>
  <si>
    <t>https://drive.google.com/file/d/19uw41-tOxROUlA75abKWCu4mgBjc1ePE/view?usp=drivesdk</t>
  </si>
  <si>
    <t>1ozj8EFMq8utyD0s0M2cihUa6yNw2SA67</t>
  </si>
  <si>
    <t>https://drive.google.com/file/d/1ozj8EFMq8utyD0s0M2cihUa6yNw2SA67/view?usp=drivesdk</t>
  </si>
  <si>
    <t>CHRISTIAN BAMBANG TRIWAHYUJATI, S.E</t>
  </si>
  <si>
    <t>christiantriwahyujati@gmail.com</t>
  </si>
  <si>
    <t>563</t>
  </si>
  <si>
    <t>https://drive.google.com/file/d/10UHXEd7p7fz6Tba2RYCd2YiRfXcvmsTi/view?usp=drivesdk</t>
  </si>
  <si>
    <t>10UHXEd7p7fz6Tba2RYCd2YiRfXcvmsTi</t>
  </si>
  <si>
    <t>1qZvdHTHW2LVq1f4M68kMDX3sCCEZ5jmB</t>
  </si>
  <si>
    <t>https://drive.google.com/file/d/1qZvdHTHW2LVq1f4M68kMDX3sCCEZ5jmB/view?usp=drivesdk</t>
  </si>
  <si>
    <t>13CIhv4nrSPWn3TTg2i_-JUbmTl38zYal</t>
  </si>
  <si>
    <t>https://drive.google.com/file/d/13CIhv4nrSPWn3TTg2i_-JUbmTl38zYal/view?usp=drivesdk</t>
  </si>
  <si>
    <t>SULISTYOWATI</t>
  </si>
  <si>
    <t>sulis160283@gmail.com</t>
  </si>
  <si>
    <t>564</t>
  </si>
  <si>
    <t>https://drive.google.com/file/d/1JU278w8ekGDAKQ3gWS0BtLjluanK5o4U/view?usp=drivesdk</t>
  </si>
  <si>
    <t>1JU278w8ekGDAKQ3gWS0BtLjluanK5o4U</t>
  </si>
  <si>
    <t>1NUPmHnyhBx1v5b_YDMh1HcN2SfEX738G</t>
  </si>
  <si>
    <t>https://drive.google.com/file/d/1NUPmHnyhBx1v5b_YDMh1HcN2SfEX738G/view?usp=drivesdk</t>
  </si>
  <si>
    <t>1PTMpgPBJ2RbApI7YT93WSb7paZumU3XS</t>
  </si>
  <si>
    <t>https://drive.google.com/file/d/1PTMpgPBJ2RbApI7YT93WSb7paZumU3XS/view?usp=drivesdk</t>
  </si>
  <si>
    <t>YULIA TUTUS ANGGRAINI, A.Md.</t>
  </si>
  <si>
    <t>sdmreformasi@gmail.com</t>
  </si>
  <si>
    <t>565</t>
  </si>
  <si>
    <t>https://drive.google.com/file/d/1pgcBjt64hp9UGMLn_d601KoqdsO0Um1J/view?usp=drivesdk</t>
  </si>
  <si>
    <t>1pgcBjt64hp9UGMLn_d601KoqdsO0Um1J</t>
  </si>
  <si>
    <t>18LZmlNg9flDydqLEgDEzw1PoPu0paFH-</t>
  </si>
  <si>
    <t>https://drive.google.com/file/d/18LZmlNg9flDydqLEgDEzw1PoPu0paFH-/view?usp=drivesdk</t>
  </si>
  <si>
    <t>1PgXv9nxo_5JsF4ul7MDH1cpele2C78De</t>
  </si>
  <si>
    <t>https://drive.google.com/file/d/1PgXv9nxo_5JsF4ul7MDH1cpele2C78De/view?usp=drivesdk</t>
  </si>
  <si>
    <t>Document successfully created; Document successfully merged; PDF created; !!Error Sending Emails: Service invoked too many times for one day: email.; Manually run by ecertificate75@gmail.com; Timestamp: Aug 31 2024 7:36 AM</t>
  </si>
  <si>
    <t>SALMA TUHULELE S.Kep</t>
  </si>
  <si>
    <t>chama.tuhulele@gmail.com</t>
  </si>
  <si>
    <t>566</t>
  </si>
  <si>
    <t>https://drive.google.com/file/d/19upEl06vDge-tnc3zWFR72raTR5C8xTS/view?usp=drivesdk</t>
  </si>
  <si>
    <t>19upEl06vDge-tnc3zWFR72raTR5C8xTS</t>
  </si>
  <si>
    <t>1uCTE1bnIvzDmhwv9S2fN3S9tFmzg7Lqb</t>
  </si>
  <si>
    <t>https://drive.google.com/file/d/1uCTE1bnIvzDmhwv9S2fN3S9tFmzg7Lqb/view?usp=drivesdk</t>
  </si>
  <si>
    <t>1JbPx16UkOC9Al5Xm1lrdUJYXTN1XzHuV</t>
  </si>
  <si>
    <t>https://drive.google.com/file/d/1JbPx16UkOC9Al5Xm1lrdUJYXTN1XzHuV/view?usp=drivesdk</t>
  </si>
  <si>
    <t>PENGATUR ST MUANIPAH</t>
  </si>
  <si>
    <t>stmuanipah@gmail.com</t>
  </si>
  <si>
    <t>567</t>
  </si>
  <si>
    <t>https://drive.google.com/file/d/1AGYncXyLJlKBcjOzjm_IlHZFpe60e1Ig/view?usp=drivesdk</t>
  </si>
  <si>
    <t>1AGYncXyLJlKBcjOzjm_IlHZFpe60e1Ig</t>
  </si>
  <si>
    <t>1TNkCsK-m7P09bwxF4pb-MNejd766XkVw</t>
  </si>
  <si>
    <t>https://drive.google.com/file/d/1TNkCsK-m7P09bwxF4pb-MNejd766XkVw/view?usp=drivesdk</t>
  </si>
  <si>
    <t>Document successfully created; Document successfully merged; PDF created; !!Error Sending Emails: Service invoked too many times for one day: email.; Manually run by ecertificate75@gmail.com; Timestamp: Aug 30 2024 10:25 PM</t>
  </si>
  <si>
    <t>1sG289E6bMwfOheS1mYqK32ggIMdCy3bP</t>
  </si>
  <si>
    <t>https://drive.google.com/file/d/1sG289E6bMwfOheS1mYqK32ggIMdCy3bP/view?usp=drivesdk</t>
  </si>
  <si>
    <t>YUNIAR EKA WAHYUNINGTYAS, AMd.Keb.</t>
  </si>
  <si>
    <t>niar.eka@gmail.com</t>
  </si>
  <si>
    <t>568</t>
  </si>
  <si>
    <t>https://drive.google.com/file/d/1XYFAU9ME7DcSvtQKB86cLfpX_qR_mI3O/view?usp=drivesdk</t>
  </si>
  <si>
    <t>1XYFAU9ME7DcSvtQKB86cLfpX_qR_mI3O</t>
  </si>
  <si>
    <t>17jcIEr20WakXNPQS5OcVNJ5AK4ibiw_K</t>
  </si>
  <si>
    <t>https://drive.google.com/file/d/17jcIEr20WakXNPQS5OcVNJ5AK4ibiw_K/view?usp=drivesdk</t>
  </si>
  <si>
    <t>13mNQ1273w_Mn8xQ4b9DN-Y4PGMvFjzy3</t>
  </si>
  <si>
    <t>https://drive.google.com/file/d/13mNQ1273w_Mn8xQ4b9DN-Y4PGMvFjzy3/view?usp=drivesdk</t>
  </si>
  <si>
    <t>RINA SRI WIDIYANTI, S.E.</t>
  </si>
  <si>
    <t>rinadetama13@gmail.com</t>
  </si>
  <si>
    <t>569</t>
  </si>
  <si>
    <t>https://drive.google.com/file/d/17eaFKTO321IyL9LciICKK2EDoCUhBNKt/view?usp=drivesdk</t>
  </si>
  <si>
    <t>17eaFKTO321IyL9LciICKK2EDoCUhBNKt</t>
  </si>
  <si>
    <t>1Az7Gf32artmyq6WTbWeXrRhrkCdwrRw9</t>
  </si>
  <si>
    <t>https://drive.google.com/file/d/1Az7Gf32artmyq6WTbWeXrRhrkCdwrRw9/view?usp=drivesdk</t>
  </si>
  <si>
    <t>1tyD7xJ4E_Se17l2CELyA57VUDZcVRAPg</t>
  </si>
  <si>
    <t>https://drive.google.com/file/d/1tyD7xJ4E_Se17l2CELyA57VUDZcVRAPg/view?usp=drivesdk</t>
  </si>
  <si>
    <t>NIKEN SURYAWATI</t>
  </si>
  <si>
    <t>nick3n83@gmail.com</t>
  </si>
  <si>
    <t>570</t>
  </si>
  <si>
    <t>https://drive.google.com/file/d/1_L7rGAb4LT77g7GBK7GzddX2lmFVab8x/view?usp=drivesdk</t>
  </si>
  <si>
    <t>1_L7rGAb4LT77g7GBK7GzddX2lmFVab8x</t>
  </si>
  <si>
    <t>1XnAWNQgi6QlM1YbrWCEu1-apYvO2CygW</t>
  </si>
  <si>
    <t>https://drive.google.com/file/d/1XnAWNQgi6QlM1YbrWCEu1-apYvO2CygW/view?usp=drivesdk</t>
  </si>
  <si>
    <t>1Sba_Nkl0ZobeCLqFd8yaq0dBSZzH3yHZ</t>
  </si>
  <si>
    <t>https://drive.google.com/file/d/1Sba_Nkl0ZobeCLqFd8yaq0dBSZzH3yHZ/view?usp=drivesdk</t>
  </si>
  <si>
    <t>Document successfully created; Document successfully merged; PDF created; !!Error Sending Emails: Service invoked too many times for one day: email.; Manually run by ecertificate75@gmail.com; Timestamp: Aug 31 2024 7:37 AM</t>
  </si>
  <si>
    <t>BAHARKAM POLRI</t>
  </si>
  <si>
    <t>AZALIKA NINDYA ADHIGANA</t>
  </si>
  <si>
    <t>BRIPDA</t>
  </si>
  <si>
    <t>Azalikanindya44@gmail.com</t>
  </si>
  <si>
    <t>571</t>
  </si>
  <si>
    <t>https://drive.google.com/file/d/103IW8csSFsTyKx67X6piIx_pgpZp7Y4a/view?usp=drivesdk</t>
  </si>
  <si>
    <t>103IW8csSFsTyKx67X6piIx_pgpZp7Y4a</t>
  </si>
  <si>
    <t>1RLX7MrUK77ajtzIvZDRUtPPNDPSOpm_5</t>
  </si>
  <si>
    <t>https://drive.google.com/file/d/1RLX7MrUK77ajtzIvZDRUtPPNDPSOpm_5/view?usp=drivesdk</t>
  </si>
  <si>
    <t>1Nk-U8IlpYU5Vc8l1t4ySwa9JFchgP9G9</t>
  </si>
  <si>
    <t>https://drive.google.com/file/d/1Nk-U8IlpYU5Vc8l1t4ySwa9JFchgP9G9/view?usp=drivesdk</t>
  </si>
  <si>
    <t>TITO HENDRA WIJAYA</t>
  </si>
  <si>
    <t>wijaya24387@gmail.com</t>
  </si>
  <si>
    <t>572</t>
  </si>
  <si>
    <t>https://drive.google.com/file/d/1KmE4CB9E5X--bxRWYB27l_fWUYWTyAcI/view?usp=drivesdk</t>
  </si>
  <si>
    <t>1KmE4CB9E5X--bxRWYB27l_fWUYWTyAcI</t>
  </si>
  <si>
    <t>1uGS6F680r5EbaqCRzMrgcI-ZodgC9N-T</t>
  </si>
  <si>
    <t>https://drive.google.com/file/d/1uGS6F680r5EbaqCRzMrgcI-ZodgC9N-T/view?usp=drivesdk</t>
  </si>
  <si>
    <t>1kO1ZwDiwVR5NAspYJ-R2Q_aOjZzDhk3i</t>
  </si>
  <si>
    <t>https://drive.google.com/file/d/1kO1ZwDiwVR5NAspYJ-R2Q_aOjZzDhk3i/view?usp=drivesdk</t>
  </si>
  <si>
    <t>ASTRID MURTININGSIH</t>
  </si>
  <si>
    <t>IPDA</t>
  </si>
  <si>
    <t>murtiningsih.astrid@gmail.com</t>
  </si>
  <si>
    <t>573</t>
  </si>
  <si>
    <t>https://drive.google.com/file/d/1Tr_yqHSXRAoWUwDloP2BeUFk_vOeRhmJ/view?usp=drivesdk</t>
  </si>
  <si>
    <t>1Tr_yqHSXRAoWUwDloP2BeUFk_vOeRhmJ</t>
  </si>
  <si>
    <t>1HQNJZEvzhVg6-2gWWc8FdsspQXA5A4K1</t>
  </si>
  <si>
    <t>https://drive.google.com/file/d/1HQNJZEvzhVg6-2gWWc8FdsspQXA5A4K1/view?usp=drivesdk</t>
  </si>
  <si>
    <t>1yjG91eslITedn29Hi-zDjCQlA_uKmV0N</t>
  </si>
  <si>
    <t>https://drive.google.com/file/d/1yjG91eslITedn29Hi-zDjCQlA_uKmV0N/view?usp=drivesdk</t>
  </si>
  <si>
    <t>FITRIYA YULIHARTANTI</t>
  </si>
  <si>
    <t>fitriyayulihartanti80@gmail.com</t>
  </si>
  <si>
    <t>574</t>
  </si>
  <si>
    <t>https://drive.google.com/file/d/14jrXYY594Ad2WZufs1YVZQmYx8Q-riHS/view?usp=drivesdk</t>
  </si>
  <si>
    <t>Document successfully created; Document successfully merged; PDF created; !!Error Sending Emails: Service invoked too many times for one day: email.; Run via form trigger as ecertificate75@gmail.com; Timestamp: Aug 29 2024 8:45 PM</t>
  </si>
  <si>
    <t>14jrXYY594Ad2WZufs1YVZQmYx8Q-riHS</t>
  </si>
  <si>
    <t>1TnKWuDwmA5hq_3osuty2rXQ6WZ7L_JdS</t>
  </si>
  <si>
    <t>https://drive.google.com/file/d/1TnKWuDwmA5hq_3osuty2rXQ6WZ7L_JdS/view?usp=drivesdk</t>
  </si>
  <si>
    <t>Document successfully created; Document successfully merged; PDF created; !!Error Sending Emails: Service invoked too many times for one day: email.; Manually run by ecertificate75@gmail.com; Timestamp: Aug 30 2024 10:26 PM</t>
  </si>
  <si>
    <t>1yvvV71UVwgNFsevXPIBvpXAq5uW5fnCk</t>
  </si>
  <si>
    <t>https://drive.google.com/file/d/1yvvV71UVwgNFsevXPIBvpXAq5uW5fnCk/view?usp=drivesdk</t>
  </si>
  <si>
    <t>IMRONZAELANI</t>
  </si>
  <si>
    <t>imron070883@gmail.com</t>
  </si>
  <si>
    <t>575</t>
  </si>
  <si>
    <t>https://drive.google.com/file/d/1djWYuzxFM22sf7u8thkIhluyESl7dWOa/view?usp=drivesdk</t>
  </si>
  <si>
    <t>1djWYuzxFM22sf7u8thkIhluyESl7dWOa</t>
  </si>
  <si>
    <t>1JSwKDX3wUwzBkiR1OsCnum9IotIPbK97</t>
  </si>
  <si>
    <t>https://drive.google.com/file/d/1JSwKDX3wUwzBkiR1OsCnum9IotIPbK97/view?usp=drivesdk</t>
  </si>
  <si>
    <t>1F1rUrt0H9LOwmuRehV5QSUaZMvAionNH</t>
  </si>
  <si>
    <t>https://drive.google.com/file/d/1F1rUrt0H9LOwmuRehV5QSUaZMvAionNH/view?usp=drivesdk</t>
  </si>
  <si>
    <t>Document successfully created; Document successfully merged; PDF created; !!Error Sending Emails: Service invoked too many times for one day: email.; Manually run by ecertificate75@gmail.com; Timestamp: Aug 31 2024 7:38 AM</t>
  </si>
  <si>
    <t>HJ SUHANA WIHANINGSIH, S.Ap</t>
  </si>
  <si>
    <t>wihaningsih92@gmail.com</t>
  </si>
  <si>
    <t>576</t>
  </si>
  <si>
    <t>https://drive.google.com/file/d/1fDygZL0jXP13klcOuoDgCY60avw__Yuu/view?usp=drivesdk</t>
  </si>
  <si>
    <t>1fDygZL0jXP13klcOuoDgCY60avw__Yuu</t>
  </si>
  <si>
    <t>1t4c7tICtT04eXx18j6u7K_-Vvmb0IU_6</t>
  </si>
  <si>
    <t>https://drive.google.com/file/d/1t4c7tICtT04eXx18j6u7K_-Vvmb0IU_6/view?usp=drivesdk</t>
  </si>
  <si>
    <t>1nqfXzwUxz2e1N7GMqrmGeanTW1YP8Llq</t>
  </si>
  <si>
    <t>https://drive.google.com/file/d/1nqfXzwUxz2e1N7GMqrmGeanTW1YP8Llq/view?usp=drivesdk</t>
  </si>
  <si>
    <t>I NYOMAN P. WAHYUNA, S.E.</t>
  </si>
  <si>
    <t>wahyoe.nyoman@gmail.com</t>
  </si>
  <si>
    <t>577</t>
  </si>
  <si>
    <t>https://drive.google.com/file/d/1oowD38OVr-FBHu8no979hvDo7SwRbmhj/view?usp=drivesdk</t>
  </si>
  <si>
    <t>1oowD38OVr-FBHu8no979hvDo7SwRbmhj</t>
  </si>
  <si>
    <t>1YPCqUVnFgzz2eJx887CZ-O8fLEYa0fn7</t>
  </si>
  <si>
    <t>https://drive.google.com/file/d/1YPCqUVnFgzz2eJx887CZ-O8fLEYa0fn7/view?usp=drivesdk</t>
  </si>
  <si>
    <t>1YwpyAqA47dWbhq29O4_gZ5Baeq6oHU0A</t>
  </si>
  <si>
    <t>https://drive.google.com/file/d/1YwpyAqA47dWbhq29O4_gZ5Baeq6oHU0A/view?usp=drivesdk</t>
  </si>
  <si>
    <t>TETI ERMIATI, S.H.</t>
  </si>
  <si>
    <t>tetiermiati19@gmail.com</t>
  </si>
  <si>
    <t>578</t>
  </si>
  <si>
    <t>https://drive.google.com/file/d/1tbNets7nP4LbgNjrukHozmkF9HfJpYFK/view?usp=drivesdk</t>
  </si>
  <si>
    <t>1tbNets7nP4LbgNjrukHozmkF9HfJpYFK</t>
  </si>
  <si>
    <t>1hVTvjaxSxZoTlZAHzNR246Ew9xziVKBj</t>
  </si>
  <si>
    <t>https://drive.google.com/file/d/1hVTvjaxSxZoTlZAHzNR246Ew9xziVKBj/view?usp=drivesdk</t>
  </si>
  <si>
    <t>1cbOQiH2o1G_Xx8hMGyWLGTq4LElhXFjs</t>
  </si>
  <si>
    <t>https://drive.google.com/file/d/1cbOQiH2o1G_Xx8hMGyWLGTq4LElhXFjs/view?usp=drivesdk</t>
  </si>
  <si>
    <t>MAGDALENA COMALASARI POETY, S.E.</t>
  </si>
  <si>
    <t>lia.poety84@gmail.com</t>
  </si>
  <si>
    <t>579</t>
  </si>
  <si>
    <t>https://drive.google.com/file/d/16c95SWc4WwqtNyUA601EfMLxZwnsXTs9/view?usp=drivesdk</t>
  </si>
  <si>
    <t>16c95SWc4WwqtNyUA601EfMLxZwnsXTs9</t>
  </si>
  <si>
    <t>1g0NZlzNCNMko2Koe8T8MfN3Fz-mFNLph</t>
  </si>
  <si>
    <t>https://drive.google.com/file/d/1g0NZlzNCNMko2Koe8T8MfN3Fz-mFNLph/view?usp=drivesdk</t>
  </si>
  <si>
    <t>Document successfully created; Document successfully merged; PDF created; !!Error Sending Emails: Service invoked too many times for one day: email.; Manually run by ecertificate75@gmail.com; Timestamp: Aug 30 2024 10:27 PM</t>
  </si>
  <si>
    <t>10IZRBGuqAFbyqZEbDnTM5mZ7ZBJ97B7h</t>
  </si>
  <si>
    <t>https://drive.google.com/file/d/10IZRBGuqAFbyqZEbDnTM5mZ7ZBJ97B7h/view?usp=drivesdk</t>
  </si>
  <si>
    <t>HADIYATOLLAH</t>
  </si>
  <si>
    <t>emailhadiyatollah@gmail.com</t>
  </si>
  <si>
    <t>580</t>
  </si>
  <si>
    <t>https://drive.google.com/file/d/1cHbU-yYnXP5qUK3-oCIAsCrHoG4RuOSX/view?usp=drivesdk</t>
  </si>
  <si>
    <t>1cHbU-yYnXP5qUK3-oCIAsCrHoG4RuOSX</t>
  </si>
  <si>
    <t>1MH8qV0tOfoxRAPlSkXos_9sd1DjvdxWq</t>
  </si>
  <si>
    <t>https://drive.google.com/file/d/1MH8qV0tOfoxRAPlSkXos_9sd1DjvdxWq/view?usp=drivesdk</t>
  </si>
  <si>
    <t>1YTtZ7MOYROL-wQzGbtrfvkSjk0hbVpCf</t>
  </si>
  <si>
    <t>https://drive.google.com/file/d/1YTtZ7MOYROL-wQzGbtrfvkSjk0hbVpCf/view?usp=drivesdk</t>
  </si>
  <si>
    <t>H. BAMBANG MEDIANTO, SE</t>
  </si>
  <si>
    <t>bambangmedianto1971@gmail.com</t>
  </si>
  <si>
    <t>581</t>
  </si>
  <si>
    <t>https://drive.google.com/file/d/1XQ9yaZzMq07WBM0uZTBeoTtCvXgkILi1/view?usp=drivesdk</t>
  </si>
  <si>
    <t>1XQ9yaZzMq07WBM0uZTBeoTtCvXgkILi1</t>
  </si>
  <si>
    <t>1sElWDWDH4X2eG0GMwqBipXqu_yAPBYWE</t>
  </si>
  <si>
    <t>https://drive.google.com/file/d/1sElWDWDH4X2eG0GMwqBipXqu_yAPBYWE/view?usp=drivesdk</t>
  </si>
  <si>
    <t>1pWw_EpBg-CkTOG6uKg__qd6jYRNBNUb3</t>
  </si>
  <si>
    <t>https://drive.google.com/file/d/1pWw_EpBg-CkTOG6uKg__qd6jYRNBNUb3/view?usp=drivesdk</t>
  </si>
  <si>
    <t>Document successfully created; Document successfully merged; PDF created; !!Error Sending Emails: Service invoked too many times for one day: email.; Manually run by ecertificate75@gmail.com; Timestamp: Aug 31 2024 7:39 AM</t>
  </si>
  <si>
    <t>HERLINA PANGKI N</t>
  </si>
  <si>
    <t>herlinapangki17@gmail.com</t>
  </si>
  <si>
    <t>582</t>
  </si>
  <si>
    <t>https://drive.google.com/file/d/1Qt2oOT3C-lsiLtUgI_3Y3V7qm-wUN8ix/view?usp=drivesdk</t>
  </si>
  <si>
    <t>1Qt2oOT3C-lsiLtUgI_3Y3V7qm-wUN8ix</t>
  </si>
  <si>
    <t>1YxqaflK2MPa1AiouWYSi-M0qGI7jLXO3</t>
  </si>
  <si>
    <t>https://drive.google.com/file/d/1YxqaflK2MPa1AiouWYSi-M0qGI7jLXO3/view?usp=drivesdk</t>
  </si>
  <si>
    <t>10Q0pb87fazvRVzTMrtEvtqgquPjeJ74a</t>
  </si>
  <si>
    <t>https://drive.google.com/file/d/10Q0pb87fazvRVzTMrtEvtqgquPjeJ74a/view?usp=drivesdk</t>
  </si>
  <si>
    <t>DANU SULISTYA</t>
  </si>
  <si>
    <t>sulistyadanu2008@gmail.com</t>
  </si>
  <si>
    <t>583</t>
  </si>
  <si>
    <t>https://drive.google.com/file/d/1KzuHJSNk6CC6fMLr_vqkjV_jjZh48VIE/view?usp=drivesdk</t>
  </si>
  <si>
    <t>1KzuHJSNk6CC6fMLr_vqkjV_jjZh48VIE</t>
  </si>
  <si>
    <t>1eCpvdwt5D7lTK6YIy0G21d6eNAVwHAyh</t>
  </si>
  <si>
    <t>https://drive.google.com/file/d/1eCpvdwt5D7lTK6YIy0G21d6eNAVwHAyh/view?usp=drivesdk</t>
  </si>
  <si>
    <t>1e67p82poZEPqPy1ag8boy0rHA3uAzpTt</t>
  </si>
  <si>
    <t>https://drive.google.com/file/d/1e67p82poZEPqPy1ag8boy0rHA3uAzpTt/view?usp=drivesdk</t>
  </si>
  <si>
    <t>DEWI PURNAMA SARI,SE</t>
  </si>
  <si>
    <t>dewiw2312@gmail.com</t>
  </si>
  <si>
    <t>584</t>
  </si>
  <si>
    <t>https://drive.google.com/file/d/1nU4G-IsGNkUmlftYMc8-6o-jqZyDDRez/view?usp=drivesdk</t>
  </si>
  <si>
    <t>1nU4G-IsGNkUmlftYMc8-6o-jqZyDDRez</t>
  </si>
  <si>
    <t>1vjYOOVQB08a_m_C-YgLI6a2gsHGs7F40</t>
  </si>
  <si>
    <t>https://drive.google.com/file/d/1vjYOOVQB08a_m_C-YgLI6a2gsHGs7F40/view?usp=drivesdk</t>
  </si>
  <si>
    <t>Document successfully created; Document successfully merged; PDF created; !!Error Sending Emails: Service invoked too many times for one day: email.; Manually run by ecertificate75@gmail.com; Timestamp: Aug 30 2024 10:28 PM</t>
  </si>
  <si>
    <t>1kmqHS2_ePCOfpQlthTQhgRTGCjFNMhPe</t>
  </si>
  <si>
    <t>https://drive.google.com/file/d/1kmqHS2_ePCOfpQlthTQhgRTGCjFNMhPe/view?usp=drivesdk</t>
  </si>
  <si>
    <t xml:space="preserve">NUR CAHYANTI, S. AP. </t>
  </si>
  <si>
    <t>nurcahyantie86@gmail.com</t>
  </si>
  <si>
    <t>585</t>
  </si>
  <si>
    <t>https://drive.google.com/file/d/1k_sHiuhiWOK08j4tWiLM0y9Du0sMXSxL/view?usp=drivesdk</t>
  </si>
  <si>
    <t>1k_sHiuhiWOK08j4tWiLM0y9Du0sMXSxL</t>
  </si>
  <si>
    <t>1cIFP5J4vlYa87WFVhMmif-NI-Nz1MY8U</t>
  </si>
  <si>
    <t>https://drive.google.com/file/d/1cIFP5J4vlYa87WFVhMmif-NI-Nz1MY8U/view?usp=drivesdk</t>
  </si>
  <si>
    <t>16Ff1QBRPaQKqQ1RfcIgpJEnZ1TPPwgMG</t>
  </si>
  <si>
    <t>https://drive.google.com/file/d/16Ff1QBRPaQKqQ1RfcIgpJEnZ1TPPwgMG/view?usp=drivesdk</t>
  </si>
  <si>
    <t>MAHENDRA BAGUS PURNAMA, A.Md.,Far</t>
  </si>
  <si>
    <t>mahendrapurnama8@gmail.com</t>
  </si>
  <si>
    <t>586</t>
  </si>
  <si>
    <t>https://drive.google.com/file/d/1P98HKIpx2-yGJFwEPUEFKEUuFz1zpFw6/view?usp=drivesdk</t>
  </si>
  <si>
    <t>1P98HKIpx2-yGJFwEPUEFKEUuFz1zpFw6</t>
  </si>
  <si>
    <t>1kafVyHC6DDLkjRkCvrttYzYpqlvbTioq</t>
  </si>
  <si>
    <t>https://drive.google.com/file/d/1kafVyHC6DDLkjRkCvrttYzYpqlvbTioq/view?usp=drivesdk</t>
  </si>
  <si>
    <t>1bsDh8DhsXG9VlfDXbanj8x7nqKxQM2LY</t>
  </si>
  <si>
    <t>https://drive.google.com/file/d/1bsDh8DhsXG9VlfDXbanj8x7nqKxQM2LY/view?usp=drivesdk</t>
  </si>
  <si>
    <t>HENDI HERNADI S.H</t>
  </si>
  <si>
    <t>hhernadi11@yahoo.com</t>
  </si>
  <si>
    <t>587</t>
  </si>
  <si>
    <t>https://drive.google.com/file/d/1AKe-dphaHaBH6faGmqQRYfC-hj9UgoBS/view?usp=drivesdk</t>
  </si>
  <si>
    <t>1AKe-dphaHaBH6faGmqQRYfC-hj9UgoBS</t>
  </si>
  <si>
    <t>1WYj7pZsTfbMIoc-aZX5uiYaYXMj_M8JG</t>
  </si>
  <si>
    <t>https://drive.google.com/file/d/1WYj7pZsTfbMIoc-aZX5uiYaYXMj_M8JG/view?usp=drivesdk</t>
  </si>
  <si>
    <t>1A50a3MKd8OHA6QOWjQJfEGsH4jd1fI6U</t>
  </si>
  <si>
    <t>https://drive.google.com/file/d/1A50a3MKd8OHA6QOWjQJfEGsH4jd1fI6U/view?usp=drivesdk</t>
  </si>
  <si>
    <t>Document successfully created; Document successfully merged; PDF created; !!Error Sending Emails: Service invoked too many times for one day: email.; Manually run by ecertificate75@gmail.com; Timestamp: Aug 31 2024 7:40 AM</t>
  </si>
  <si>
    <t>HERI SYUHAERI</t>
  </si>
  <si>
    <t>herisyuhaeri@gmail.com</t>
  </si>
  <si>
    <t>588</t>
  </si>
  <si>
    <t>https://drive.google.com/file/d/1ktRtL-9zFlOkGyyooAl9iaR1rJDd0Jfi/view?usp=drivesdk</t>
  </si>
  <si>
    <t>1ktRtL-9zFlOkGyyooAl9iaR1rJDd0Jfi</t>
  </si>
  <si>
    <t>1qxhWWiCJLmKxkleOs7mRhkagwuN4UGs3</t>
  </si>
  <si>
    <t>https://drive.google.com/file/d/1qxhWWiCJLmKxkleOs7mRhkagwuN4UGs3/view?usp=drivesdk</t>
  </si>
  <si>
    <t>1RNKPIzaezLXYcwi7RXlBuFf_k_T2Vep1</t>
  </si>
  <si>
    <t>https://drive.google.com/file/d/1RNKPIzaezLXYcwi7RXlBuFf_k_T2Vep1/view?usp=drivesdk</t>
  </si>
  <si>
    <t>UJANG SAEPULOH,SPd</t>
  </si>
  <si>
    <t>ujangsaepulohsmi787@gmail.com</t>
  </si>
  <si>
    <t>589</t>
  </si>
  <si>
    <t>https://drive.google.com/file/d/1apQ9VW9YQQP2knN0BfHL2yP3gHo8h-mM/view?usp=drivesdk</t>
  </si>
  <si>
    <t>1apQ9VW9YQQP2knN0BfHL2yP3gHo8h-mM</t>
  </si>
  <si>
    <t>1hjJIv36jgg8DcA9x1iEtqSrFHSIuzuTc</t>
  </si>
  <si>
    <t>https://drive.google.com/file/d/1hjJIv36jgg8DcA9x1iEtqSrFHSIuzuTc/view?usp=drivesdk</t>
  </si>
  <si>
    <t>Document successfully created; Document successfully merged; PDF created; !!Error Sending Emails: Service invoked too many times for one day: email.; Manually run by ecertificate75@gmail.com; Timestamp: Aug 30 2024 10:29 PM</t>
  </si>
  <si>
    <t>1You_aSCymLe_LWYritz1sQE6MCA07iNU</t>
  </si>
  <si>
    <t>https://drive.google.com/file/d/1You_aSCymLe_LWYritz1sQE6MCA07iNU/view?usp=drivesdk</t>
  </si>
  <si>
    <t>IRA YUNIARTI,SP.d.</t>
  </si>
  <si>
    <t>yuniarti.ira79@gmail.com</t>
  </si>
  <si>
    <t>590</t>
  </si>
  <si>
    <t>https://drive.google.com/file/d/1DWFsS8NuJG28dB1zFrEGeDQXRh65RPiB/view?usp=drivesdk</t>
  </si>
  <si>
    <t>1DWFsS8NuJG28dB1zFrEGeDQXRh65RPiB</t>
  </si>
  <si>
    <t>1skVbmfQTVW3WLbxr5J8AJajmLQzU-jub</t>
  </si>
  <si>
    <t>https://drive.google.com/file/d/1skVbmfQTVW3WLbxr5J8AJajmLQzU-jub/view?usp=drivesdk</t>
  </si>
  <si>
    <t>1GRwABoIUn2cz1zJ82pGxYvWhGDMGk1z9</t>
  </si>
  <si>
    <t>https://drive.google.com/file/d/1GRwABoIUn2cz1zJ82pGxYvWhGDMGk1z9/view?usp=drivesdk</t>
  </si>
  <si>
    <t>MUSANTO SANTO</t>
  </si>
  <si>
    <t>musanta123@gmail.com</t>
  </si>
  <si>
    <t>591</t>
  </si>
  <si>
    <t>https://drive.google.com/file/d/1ZvXKqcNSkF-Rat-kFw2RkHaPQgva-Igv/view?usp=drivesdk</t>
  </si>
  <si>
    <t>1ZvXKqcNSkF-Rat-kFw2RkHaPQgva-Igv</t>
  </si>
  <si>
    <t>19CfRkQ9g79YCR7V42PN7wo53KJK2EeuI</t>
  </si>
  <si>
    <t>https://drive.google.com/file/d/19CfRkQ9g79YCR7V42PN7wo53KJK2EeuI/view?usp=drivesdk</t>
  </si>
  <si>
    <t>1YL-ac2OXEcztC19n5Mm8UhSvL4c5lwBG</t>
  </si>
  <si>
    <t>https://drive.google.com/file/d/1YL-ac2OXEcztC19n5Mm8UhSvL4c5lwBG/view?usp=drivesdk</t>
  </si>
  <si>
    <t>FERRY FARMONO, SE</t>
  </si>
  <si>
    <t>farmono.se@gmail.com</t>
  </si>
  <si>
    <t>592</t>
  </si>
  <si>
    <t>https://drive.google.com/file/d/1n0Q0ZCQbF-vVm2BzrZFA2UZDtBVSXowS/view?usp=drivesdk</t>
  </si>
  <si>
    <t>1n0Q0ZCQbF-vVm2BzrZFA2UZDtBVSXowS</t>
  </si>
  <si>
    <t>1xV5ya-B1MlcTIBXIRGA2e_vnvnu0sSMu</t>
  </si>
  <si>
    <t>https://drive.google.com/file/d/1xV5ya-B1MlcTIBXIRGA2e_vnvnu0sSMu/view?usp=drivesdk</t>
  </si>
  <si>
    <t>1BV8gEPy5uXfUi_BtThWXQdWNESq_E8jk</t>
  </si>
  <si>
    <t>https://drive.google.com/file/d/1BV8gEPy5uXfUi_BtThWXQdWNESq_E8jk/view?usp=drivesdk</t>
  </si>
  <si>
    <t>PRITA ROSSANI, A.Md.</t>
  </si>
  <si>
    <t>aylakiva15@gmail.com</t>
  </si>
  <si>
    <t>593</t>
  </si>
  <si>
    <t>https://drive.google.com/file/d/1TnhYMlF3VrgFLFznrblPMWpsb6uTeMY3/view?usp=drivesdk</t>
  </si>
  <si>
    <t>1TnhYMlF3VrgFLFznrblPMWpsb6uTeMY3</t>
  </si>
  <si>
    <t>1nFo98cT3zSOBx3OV1iQNQKaPMJOHhofm</t>
  </si>
  <si>
    <t>https://drive.google.com/file/d/1nFo98cT3zSOBx3OV1iQNQKaPMJOHhofm/view?usp=drivesdk</t>
  </si>
  <si>
    <t>1xpV7-Y34klvoIRHum8vrla8vUDpEw2HW</t>
  </si>
  <si>
    <t>https://drive.google.com/file/d/1xpV7-Y34klvoIRHum8vrla8vUDpEw2HW/view?usp=drivesdk</t>
  </si>
  <si>
    <t>Document successfully created; Document successfully merged; PDF created; !!Error Sending Emails: Service invoked too many times for one day: email.; Manually run by ecertificate75@gmail.com; Timestamp: Aug 31 2024 7:41 AM</t>
  </si>
  <si>
    <t>NONI ADUNG DAMSIK</t>
  </si>
  <si>
    <t>nonidamsiki@gmail.com</t>
  </si>
  <si>
    <t>594</t>
  </si>
  <si>
    <t>https://drive.google.com/file/d/1U8FH59X8bct0lOfh_vAmRve64TmXleqf/view?usp=drivesdk</t>
  </si>
  <si>
    <t>1U8FH59X8bct0lOfh_vAmRve64TmXleqf</t>
  </si>
  <si>
    <t>1MaFMyNa_Zc4nxFlCLSvRroKLYwmNl-KK</t>
  </si>
  <si>
    <t>https://drive.google.com/file/d/1MaFMyNa_Zc4nxFlCLSvRroKLYwmNl-KK/view?usp=drivesdk</t>
  </si>
  <si>
    <t>1kbdSlDQQykp2PKTDDHWdXBg3LcVnCkIx</t>
  </si>
  <si>
    <t>https://drive.google.com/file/d/1kbdSlDQQykp2PKTDDHWdXBg3LcVnCkIx/view?usp=drivesdk</t>
  </si>
  <si>
    <t>HENDRAWIJAYA</t>
  </si>
  <si>
    <t>hw720969@gmail.com</t>
  </si>
  <si>
    <t>595</t>
  </si>
  <si>
    <t>https://drive.google.com/file/d/1_Bb65MjlkkSOXiN1pDnqQS2f8kwFoDl8/view?usp=drivesdk</t>
  </si>
  <si>
    <t>1_Bb65MjlkkSOXiN1pDnqQS2f8kwFoDl8</t>
  </si>
  <si>
    <t>1dy2lGFbRLxqrr6ktLzKpQZZU4Zy3B5pZ</t>
  </si>
  <si>
    <t>https://drive.google.com/file/d/1dy2lGFbRLxqrr6ktLzKpQZZU4Zy3B5pZ/view?usp=drivesdk</t>
  </si>
  <si>
    <t>Document successfully created; Document successfully merged; PDF created; !!Error Sending Emails: Service invoked too many times for one day: email.; Manually run by ecertificate75@gmail.com; Timestamp: Aug 30 2024 10:30 PM</t>
  </si>
  <si>
    <t>1QQWcnxug3qItKmaUKPp_a5L3DoV_wsDO</t>
  </si>
  <si>
    <t>https://drive.google.com/file/d/1QQWcnxug3qItKmaUKPp_a5L3DoV_wsDO/view?usp=drivesdk</t>
  </si>
  <si>
    <t xml:space="preserve">RONALD HADINATA </t>
  </si>
  <si>
    <t>hadinataronald@gmail.com</t>
  </si>
  <si>
    <t>596</t>
  </si>
  <si>
    <t>https://drive.google.com/file/d/11c1WbyQ6jYX51g2R3gvZVj2J9JXO5iAt/view?usp=drivesdk</t>
  </si>
  <si>
    <t>11c1WbyQ6jYX51g2R3gvZVj2J9JXO5iAt</t>
  </si>
  <si>
    <t>1PRcmqr5hDdujS2O3GKoJpL0vhlLP76Ox</t>
  </si>
  <si>
    <t>https://drive.google.com/file/d/1PRcmqr5hDdujS2O3GKoJpL0vhlLP76Ox/view?usp=drivesdk</t>
  </si>
  <si>
    <t>12yYeXilARkexKI5gkM4QAGDCOa3RhiAi</t>
  </si>
  <si>
    <t>https://drive.google.com/file/d/12yYeXilARkexKI5gkM4QAGDCOa3RhiAi/view?usp=drivesdk</t>
  </si>
  <si>
    <t>SRI YULIANA RAHAYU, A.Md.Kep.</t>
  </si>
  <si>
    <t>sriyulianarahayu31@gmail.com</t>
  </si>
  <si>
    <t>597</t>
  </si>
  <si>
    <t>https://drive.google.com/file/d/1iAJLgUnfhsDATKJqhky4Y4ITPTxYBzrR/view?usp=drivesdk</t>
  </si>
  <si>
    <t>1iAJLgUnfhsDATKJqhky4Y4ITPTxYBzrR</t>
  </si>
  <si>
    <t>1OhfmfMIxwhZO2_RvYbimaI-iTK4lx3E5</t>
  </si>
  <si>
    <t>https://drive.google.com/file/d/1OhfmfMIxwhZO2_RvYbimaI-iTK4lx3E5/view?usp=drivesdk</t>
  </si>
  <si>
    <t>1sV_TOq5FboS-L9_UjvuahVaMcPnCvhZ7</t>
  </si>
  <si>
    <t>https://drive.google.com/file/d/1sV_TOq5FboS-L9_UjvuahVaMcPnCvhZ7/view?usp=drivesdk</t>
  </si>
  <si>
    <t>Document successfully created; Document successfully merged; PDF created; !!Error Sending Emails: Service invoked too many times for one day: email.; Manually run by ecertificate75@gmail.com; Timestamp: Aug 31 2024 7:42 AM</t>
  </si>
  <si>
    <t>PUTU EKAWATI, SKM</t>
  </si>
  <si>
    <t>phantomeka@gmail.com</t>
  </si>
  <si>
    <t>598</t>
  </si>
  <si>
    <t>https://drive.google.com/file/d/1lMJWBbOtOtUFjAfmKWFa4OfRFnH-3WU9/view?usp=drivesdk</t>
  </si>
  <si>
    <t>1lMJWBbOtOtUFjAfmKWFa4OfRFnH-3WU9</t>
  </si>
  <si>
    <t>1FC6rCBE-frvaenNMQovneJQPcG5ekAVg</t>
  </si>
  <si>
    <t>https://drive.google.com/file/d/1FC6rCBE-frvaenNMQovneJQPcG5ekAVg/view?usp=drivesdk</t>
  </si>
  <si>
    <t>1aAQECJ2TB7t5pxSruxEMvsAEfIBBGzfh</t>
  </si>
  <si>
    <t>https://drive.google.com/file/d/1aAQECJ2TB7t5pxSruxEMvsAEfIBBGzfh/view?usp=drivesdk</t>
  </si>
  <si>
    <t>NI PUTU SUMIARTINI</t>
  </si>
  <si>
    <t>emmypropam@gmail.com</t>
  </si>
  <si>
    <t>599</t>
  </si>
  <si>
    <t>https://drive.google.com/file/d/1RfrH1qM0kBVaDaDw0VBctKjgBWZwEPxW/view?usp=drivesdk</t>
  </si>
  <si>
    <t>1RfrH1qM0kBVaDaDw0VBctKjgBWZwEPxW</t>
  </si>
  <si>
    <t>1vbZATjIy6Pzkrc6UuEyK-DMA2RsWOVLf</t>
  </si>
  <si>
    <t>https://drive.google.com/file/d/1vbZATjIy6Pzkrc6UuEyK-DMA2RsWOVLf/view?usp=drivesdk</t>
  </si>
  <si>
    <t>1rSJwntwj3NoZZQ6jFVWr9WO7DPDt1BkC</t>
  </si>
  <si>
    <t>https://drive.google.com/file/d/1rSJwntwj3NoZZQ6jFVWr9WO7DPDt1BkC/view?usp=drivesdk</t>
  </si>
  <si>
    <t>NI MADE HARTUTININGSIH</t>
  </si>
  <si>
    <t>nimadehartuti@gmail.com</t>
  </si>
  <si>
    <t>600</t>
  </si>
  <si>
    <t>https://drive.google.com/file/d/1MIfG-fG4GYrE4HrSvBxB0TrCgCnMbrfy/view?usp=drivesdk</t>
  </si>
  <si>
    <t>1MIfG-fG4GYrE4HrSvBxB0TrCgCnMbrfy</t>
  </si>
  <si>
    <t>1h1oBGSYdYNc1rjjtLS-CPoa_azYLTUwM</t>
  </si>
  <si>
    <t>https://drive.google.com/file/d/1h1oBGSYdYNc1rjjtLS-CPoa_azYLTUwM/view?usp=drivesdk</t>
  </si>
  <si>
    <t>1Ua1gt99PXK_aGCoEKUjmnxMXIhdxuH0U</t>
  </si>
  <si>
    <t>https://drive.google.com/file/d/1Ua1gt99PXK_aGCoEKUjmnxMXIhdxuH0U/view?usp=drivesdk</t>
  </si>
  <si>
    <t>DWI PURWANTI SE</t>
  </si>
  <si>
    <t>dwi_purwanti10@yahoo.com</t>
  </si>
  <si>
    <t>601</t>
  </si>
  <si>
    <t>https://drive.google.com/file/d/1yXwjbfmpbVx78RJJi4V9ypi-jaKirBrh/view?usp=drivesdk</t>
  </si>
  <si>
    <t>1yXwjbfmpbVx78RJJi4V9ypi-jaKirBrh</t>
  </si>
  <si>
    <t>12ZSTxw_nUVFGyHXZZ2ba0huc_PGWm3gt</t>
  </si>
  <si>
    <t>https://drive.google.com/file/d/12ZSTxw_nUVFGyHXZZ2ba0huc_PGWm3gt/view?usp=drivesdk</t>
  </si>
  <si>
    <t>Document successfully created; Document successfully merged; PDF created; !!Error Sending Emails: Service invoked too many times for one day: email.; Manually run by ecertificate75@gmail.com; Timestamp: Aug 30 2024 10:31 PM</t>
  </si>
  <si>
    <t>1eDTRWHfXVeWfBYKFvQ6ScHxXipo_0efZ</t>
  </si>
  <si>
    <t>https://drive.google.com/file/d/1eDTRWHfXVeWfBYKFvQ6ScHxXipo_0efZ/view?usp=drivesdk</t>
  </si>
  <si>
    <t>SYARIFAH FATIN HANANA</t>
  </si>
  <si>
    <t>JURU</t>
  </si>
  <si>
    <t>fatinhanana71@gmail.com</t>
  </si>
  <si>
    <t>602</t>
  </si>
  <si>
    <t>https://drive.google.com/file/d/1troeoCcC0yG4TTyn86t9Ag3GPVXK7hp4/view?usp=drivesdk</t>
  </si>
  <si>
    <t>1troeoCcC0yG4TTyn86t9Ag3GPVXK7hp4</t>
  </si>
  <si>
    <t>1bS4bkQSRVnbiy1sSB4FGbgve1x1slNud</t>
  </si>
  <si>
    <t>https://drive.google.com/file/d/1bS4bkQSRVnbiy1sSB4FGbgve1x1slNud/view?usp=drivesdk</t>
  </si>
  <si>
    <t>1yGJSdf5d1P4K8AD1YHnR4xydsbD-acyD</t>
  </si>
  <si>
    <t>https://drive.google.com/file/d/1yGJSdf5d1P4K8AD1YHnR4xydsbD-acyD/view?usp=drivesdk</t>
  </si>
  <si>
    <t>FITROH DIKA PRADANA</t>
  </si>
  <si>
    <t>fitrohdika@gmail.com</t>
  </si>
  <si>
    <t>603</t>
  </si>
  <si>
    <t>https://drive.google.com/file/d/1_USUZ8aIa8XtzvXOArHbF80LdUtyuu0k/view?usp=drivesdk</t>
  </si>
  <si>
    <t>1_USUZ8aIa8XtzvXOArHbF80LdUtyuu0k</t>
  </si>
  <si>
    <t>1J2mvCLUxsxmzNJz2zI2Qf-dzJZTEoZr8</t>
  </si>
  <si>
    <t>https://drive.google.com/file/d/1J2mvCLUxsxmzNJz2zI2Qf-dzJZTEoZr8/view?usp=drivesdk</t>
  </si>
  <si>
    <t>19JvTkz1yfpIN4NlrJCNxPxgM7uujAseh</t>
  </si>
  <si>
    <t>https://drive.google.com/file/d/19JvTkz1yfpIN4NlrJCNxPxgM7uujAseh/view?usp=drivesdk</t>
  </si>
  <si>
    <t>Document successfully created; Document successfully merged; PDF created; !!Error Sending Emails: Service invoked too many times for one day: email.; Manually run by ecertificate75@gmail.com; Timestamp: Aug 31 2024 7:43 AM</t>
  </si>
  <si>
    <t>DITA INDAH SEPTIARIN</t>
  </si>
  <si>
    <t>ditaindahseptiarin@gmail.com</t>
  </si>
  <si>
    <t>604</t>
  </si>
  <si>
    <t>https://drive.google.com/file/d/1P_l_LHgvj6UgFNXiRhnLFoLXX2Ejq9Uv/view?usp=drivesdk</t>
  </si>
  <si>
    <t>1P_l_LHgvj6UgFNXiRhnLFoLXX2Ejq9Uv</t>
  </si>
  <si>
    <t>1vhrWktU8TLR9Nw9ETXQA8xMOjK5_tn7F</t>
  </si>
  <si>
    <t>https://drive.google.com/file/d/1vhrWktU8TLR9Nw9ETXQA8xMOjK5_tn7F/view?usp=drivesdk</t>
  </si>
  <si>
    <t>118bBd0H-kSPPm-Z90w9bdZMlS_Fy04LR</t>
  </si>
  <si>
    <t>https://drive.google.com/file/d/118bBd0H-kSPPm-Z90w9bdZMlS_Fy04LR/view?usp=drivesdk</t>
  </si>
  <si>
    <t>TASWIRA AGUSTINE,S.KKK</t>
  </si>
  <si>
    <t>agustine.taswira@gmail.com</t>
  </si>
  <si>
    <t>605</t>
  </si>
  <si>
    <t>https://drive.google.com/file/d/1YX_31m-xc5VFKMAyNtqb0VP14Xm5fwFv/view?usp=drivesdk</t>
  </si>
  <si>
    <t>1YX_31m-xc5VFKMAyNtqb0VP14Xm5fwFv</t>
  </si>
  <si>
    <t>1HwU-7jX4_KWJtaiMwx5RSKenVu-27RlM</t>
  </si>
  <si>
    <t>https://drive.google.com/file/d/1HwU-7jX4_KWJtaiMwx5RSKenVu-27RlM/view?usp=drivesdk</t>
  </si>
  <si>
    <t>1pOkX8IOiaEkjGwy023MwBtiFDTUByp6O</t>
  </si>
  <si>
    <t>https://drive.google.com/file/d/1pOkX8IOiaEkjGwy023MwBtiFDTUByp6O/view?usp=drivesdk</t>
  </si>
  <si>
    <t>NURMANHUSADA</t>
  </si>
  <si>
    <t>mandabandoeng@gmail.com</t>
  </si>
  <si>
    <t>606</t>
  </si>
  <si>
    <t>https://drive.google.com/file/d/1lLjx_Rrm3ZTOJE4XndRvlK03Y5JuWx28/view?usp=drivesdk</t>
  </si>
  <si>
    <t>1lLjx_Rrm3ZTOJE4XndRvlK03Y5JuWx28</t>
  </si>
  <si>
    <t>1asn31dlIK4d5-cHoPhmmqJqc4qdTckx1</t>
  </si>
  <si>
    <t>https://drive.google.com/file/d/1asn31dlIK4d5-cHoPhmmqJqc4qdTckx1/view?usp=drivesdk</t>
  </si>
  <si>
    <t>1_zCFO8Zcjen6-nsCZE2ZFqzc0i7Pr8U6</t>
  </si>
  <si>
    <t>https://drive.google.com/file/d/1_zCFO8Zcjen6-nsCZE2ZFqzc0i7Pr8U6/view?usp=drivesdk</t>
  </si>
  <si>
    <t>RIKA ANDRIANY, SE</t>
  </si>
  <si>
    <t>rika.andryani51@gmail.com</t>
  </si>
  <si>
    <t>607</t>
  </si>
  <si>
    <t>https://drive.google.com/file/d/1i4G4KoC1WkK9bUXnzqCrON11Cc0_WvPs/view?usp=drivesdk</t>
  </si>
  <si>
    <t>1i4G4KoC1WkK9bUXnzqCrON11Cc0_WvPs</t>
  </si>
  <si>
    <t>1skamrKTHfenC6KEndfaYynG2UzTioqtu</t>
  </si>
  <si>
    <t>https://drive.google.com/file/d/1skamrKTHfenC6KEndfaYynG2UzTioqtu/view?usp=drivesdk</t>
  </si>
  <si>
    <t>Document successfully created; Document successfully merged; PDF created; !!Error Sending Emails: Service invoked too many times for one day: email.; Manually run by ecertificate75@gmail.com; Timestamp: Aug 30 2024 10:32 PM</t>
  </si>
  <si>
    <t>1nuV4JbVmEiYCcOo2YtnZ8gJR-yezd8Sk</t>
  </si>
  <si>
    <t>https://drive.google.com/file/d/1nuV4JbVmEiYCcOo2YtnZ8gJR-yezd8Sk/view?usp=drivesdk</t>
  </si>
  <si>
    <t>MIRNA PUJAWATI, S.H.</t>
  </si>
  <si>
    <t>m.pujawati@gmail.com</t>
  </si>
  <si>
    <t>608</t>
  </si>
  <si>
    <t>https://drive.google.com/file/d/14IMcw-NnjpqaYQIYMTZrqeOSImrryejb/view?usp=drivesdk</t>
  </si>
  <si>
    <t>14IMcw-NnjpqaYQIYMTZrqeOSImrryejb</t>
  </si>
  <si>
    <t>1GsCLXoddUeAXjnONZB4t7YClMfKFihGM</t>
  </si>
  <si>
    <t>https://drive.google.com/file/d/1GsCLXoddUeAXjnONZB4t7YClMfKFihGM/view?usp=drivesdk</t>
  </si>
  <si>
    <t>18FW6IVRzoFixS_SpstxiNrRlKsFzdz2f</t>
  </si>
  <si>
    <t>https://drive.google.com/file/d/18FW6IVRzoFixS_SpstxiNrRlKsFzdz2f/view?usp=drivesdk</t>
  </si>
  <si>
    <t>ENUR NURWATI, S. Ak</t>
  </si>
  <si>
    <t>enurwati@gmail.com</t>
  </si>
  <si>
    <t>609</t>
  </si>
  <si>
    <t>https://drive.google.com/file/d/1V0SFpvTE0PTbtzHPNfI-ekGjdSYsleuN/view?usp=drivesdk</t>
  </si>
  <si>
    <t>1V0SFpvTE0PTbtzHPNfI-ekGjdSYsleuN</t>
  </si>
  <si>
    <t>1hUg-nAibwoZKwm2dGhvpxs6ypBH6rlol</t>
  </si>
  <si>
    <t>https://drive.google.com/file/d/1hUg-nAibwoZKwm2dGhvpxs6ypBH6rlol/view?usp=drivesdk</t>
  </si>
  <si>
    <t>1aSbgB2fS31USpdXWtYs8K53jPy9pWmfQ</t>
  </si>
  <si>
    <t>https://drive.google.com/file/d/1aSbgB2fS31USpdXWtYs8K53jPy9pWmfQ/view?usp=drivesdk</t>
  </si>
  <si>
    <t>Document successfully created; Document successfully merged; PDF created; !!Error Sending Emails: Service invoked too many times for one day: email.; Manually run by ecertificate75@gmail.com; Timestamp: Aug 31 2024 7:44 AM</t>
  </si>
  <si>
    <t>AGNESTASIA SAPUTRI BALAWELING,S.KEP</t>
  </si>
  <si>
    <t>agnestasyabalaweling@gmail.com</t>
  </si>
  <si>
    <t>610</t>
  </si>
  <si>
    <t>https://drive.google.com/file/d/156Kqy-nyVO4kF8HKuCsDVeHDRIqd9fv1/view?usp=drivesdk</t>
  </si>
  <si>
    <t>156Kqy-nyVO4kF8HKuCsDVeHDRIqd9fv1</t>
  </si>
  <si>
    <t>1KdsLqm7PzYOkQo3uuvIyoNpVoaNMcIjA</t>
  </si>
  <si>
    <t>https://drive.google.com/file/d/1KdsLqm7PzYOkQo3uuvIyoNpVoaNMcIjA/view?usp=drivesdk</t>
  </si>
  <si>
    <t>14-kt1qshb4uWvMjNx-_RBjjwtOIsMtEm</t>
  </si>
  <si>
    <t>https://drive.google.com/file/d/14-kt1qshb4uWvMjNx-_RBjjwtOIsMtEm/view?usp=drivesdk</t>
  </si>
  <si>
    <t>AZHARI YOGAS SAPUTRA, A.Md.</t>
  </si>
  <si>
    <t>azhariyogas@gmail.com</t>
  </si>
  <si>
    <t>611</t>
  </si>
  <si>
    <t>https://drive.google.com/file/d/1KAg8W1zwe6CW1lvDrVp5NXnZYSiH3-Cw/view?usp=drivesdk</t>
  </si>
  <si>
    <t>1KAg8W1zwe6CW1lvDrVp5NXnZYSiH3-Cw</t>
  </si>
  <si>
    <t>1TiGUAzDssvMypfZwYB7AN4mdWhkahIzf</t>
  </si>
  <si>
    <t>https://drive.google.com/file/d/1TiGUAzDssvMypfZwYB7AN4mdWhkahIzf/view?usp=drivesdk</t>
  </si>
  <si>
    <t>1FuBQuk_jnIfWoKhJ_zlK0t5Z2WXxsiwV</t>
  </si>
  <si>
    <t>https://drive.google.com/file/d/1FuBQuk_jnIfWoKhJ_zlK0t5Z2WXxsiwV/view?usp=drivesdk</t>
  </si>
  <si>
    <t>HESTY KOMALA SARI, AMK</t>
  </si>
  <si>
    <t>Hestyadamelvian@gmail.com</t>
  </si>
  <si>
    <t>612</t>
  </si>
  <si>
    <t>https://drive.google.com/file/d/1e2jvKXbag1dETDHvj6KhJU0dp_AukS-Y/view?usp=drivesdk</t>
  </si>
  <si>
    <t>1e2jvKXbag1dETDHvj6KhJU0dp_AukS-Y</t>
  </si>
  <si>
    <t>1f4_esS8HxSOiPJohWMHecNNc8VMmf_Yy</t>
  </si>
  <si>
    <t>https://drive.google.com/file/d/1f4_esS8HxSOiPJohWMHecNNc8VMmf_Yy/view?usp=drivesdk</t>
  </si>
  <si>
    <t>Document successfully created; Document successfully merged; PDF created; !!Error Sending Emails: Service invoked too many times for one day: email.; Manually run by ecertificate75@gmail.com; Timestamp: Aug 30 2024 10:33 PM</t>
  </si>
  <si>
    <t>1n_8N9A1g7EIWqMQnVm_V5ZX9ywzjsLWi</t>
  </si>
  <si>
    <t>https://drive.google.com/file/d/1n_8N9A1g7EIWqMQnVm_V5ZX9ywzjsLWi/view?usp=drivesdk</t>
  </si>
  <si>
    <t>SRII EKAWATII</t>
  </si>
  <si>
    <t>sriekawati613@gmail.com</t>
  </si>
  <si>
    <t>613</t>
  </si>
  <si>
    <t>https://drive.google.com/file/d/1ktqWD_xluvwqEQMzJ_Q5VEvF2cMnB4tr/view?usp=drivesdk</t>
  </si>
  <si>
    <t>1ktqWD_xluvwqEQMzJ_Q5VEvF2cMnB4tr</t>
  </si>
  <si>
    <t>1JNLkzTeTUIjr07a0ZRajq5pxDdXaa3gD</t>
  </si>
  <si>
    <t>https://drive.google.com/file/d/1JNLkzTeTUIjr07a0ZRajq5pxDdXaa3gD/view?usp=drivesdk</t>
  </si>
  <si>
    <t>1MpUdD-OAresJ2v6bFAPaLKso60yqgH7Q</t>
  </si>
  <si>
    <t>https://drive.google.com/file/d/1MpUdD-OAresJ2v6bFAPaLKso60yqgH7Q/view?usp=drivesdk</t>
  </si>
  <si>
    <t>ICHTIAR LESTARI</t>
  </si>
  <si>
    <t>ichtiar.lestari68@gmail.com</t>
  </si>
  <si>
    <t>614</t>
  </si>
  <si>
    <t>https://drive.google.com/file/d/1Fmd2STo0Jlp0BXvnytCPM2a4laUVfrub/view?usp=drivesdk</t>
  </si>
  <si>
    <t>1Fmd2STo0Jlp0BXvnytCPM2a4laUVfrub</t>
  </si>
  <si>
    <t>1roSDrp28tN3LY3s-ctSgQWKUJG_CbJNq</t>
  </si>
  <si>
    <t>https://drive.google.com/file/d/1roSDrp28tN3LY3s-ctSgQWKUJG_CbJNq/view?usp=drivesdk</t>
  </si>
  <si>
    <t>1VUEkVJnC5JKENRpvwjXeqnwUf7l8rggl</t>
  </si>
  <si>
    <t>https://drive.google.com/file/d/1VUEkVJnC5JKENRpvwjXeqnwUf7l8rggl/view?usp=drivesdk</t>
  </si>
  <si>
    <t>MUHAMMAD IRSANDY, A.MD.AK</t>
  </si>
  <si>
    <t>irsandymuhammad@gmail.com</t>
  </si>
  <si>
    <t>615</t>
  </si>
  <si>
    <t>https://drive.google.com/file/d/1SsyFP0P3RVz0Y-WbWSB0Tg2R-ReLUyPB/view?usp=drivesdk</t>
  </si>
  <si>
    <t>1SsyFP0P3RVz0Y-WbWSB0Tg2R-ReLUyPB</t>
  </si>
  <si>
    <t>1VAcATXUUVA-K6-tLYjDkRTPoBbg3RnQI</t>
  </si>
  <si>
    <t>https://drive.google.com/file/d/1VAcATXUUVA-K6-tLYjDkRTPoBbg3RnQI/view?usp=drivesdk</t>
  </si>
  <si>
    <t>1ofwVvMPD745Ub5MX7yixKDoYfEku-m6v</t>
  </si>
  <si>
    <t>https://drive.google.com/file/d/1ofwVvMPD745Ub5MX7yixKDoYfEku-m6v/view?usp=drivesdk</t>
  </si>
  <si>
    <t>Document successfully created; Document successfully merged; PDF created; !!Error Sending Emails: Service invoked too many times for one day: email.; Manually run by ecertificate75@gmail.com; Timestamp: Aug 31 2024 7:45 AM</t>
  </si>
  <si>
    <t>DEDY KURNIAWAN</t>
  </si>
  <si>
    <t>dedy.kurniawan5577@gmail.com</t>
  </si>
  <si>
    <t>616</t>
  </si>
  <si>
    <t>https://drive.google.com/file/d/1khBqEyxEqj5Qyzc7lAbJlqq8nQNas6go/view?usp=drivesdk</t>
  </si>
  <si>
    <t>1khBqEyxEqj5Qyzc7lAbJlqq8nQNas6go</t>
  </si>
  <si>
    <t>1XnMaAzddaiSGEN73wfKp99pojgIJr6tg</t>
  </si>
  <si>
    <t>https://drive.google.com/file/d/1XnMaAzddaiSGEN73wfKp99pojgIJr6tg/view?usp=drivesdk</t>
  </si>
  <si>
    <t>Document successfully created; Document successfully merged; PDF created; !!Error Sending Emails: Service invoked too many times for one day: email.; Manually run by ecertificate75@gmail.com; Timestamp: Aug 30 2024 10:34 PM</t>
  </si>
  <si>
    <t>1Zq73ns0GgRcXZAVgxJSjfF-KIvoDqmC5</t>
  </si>
  <si>
    <t>https://drive.google.com/file/d/1Zq73ns0GgRcXZAVgxJSjfF-KIvoDqmC5/view?usp=drivesdk</t>
  </si>
  <si>
    <t>GALUH HARSWATI,SE</t>
  </si>
  <si>
    <t>galuh28sby@gmail.com</t>
  </si>
  <si>
    <t>617</t>
  </si>
  <si>
    <t>https://drive.google.com/file/d/15KcuvpsAdMnqSodMcZL5JQEeSacN8DHe/view?usp=drivesdk</t>
  </si>
  <si>
    <t>Document successfully created; Document successfully merged; PDF created; !!Error Sending Emails: Service invoked too many times for one day: email.; Run via form trigger as ecertificate75@gmail.com; Timestamp: Aug 29 2024 8:46 PM</t>
  </si>
  <si>
    <t>15KcuvpsAdMnqSodMcZL5JQEeSacN8DHe</t>
  </si>
  <si>
    <t>1Q997_akqYO2mt3NFPajXOPOU_S60XLwl</t>
  </si>
  <si>
    <t>https://drive.google.com/file/d/1Q997_akqYO2mt3NFPajXOPOU_S60XLwl/view?usp=drivesdk</t>
  </si>
  <si>
    <t>1jE7MEqH0tvZmbbxxctlVfYVv8_JCw_v6</t>
  </si>
  <si>
    <t>https://drive.google.com/file/d/1jE7MEqH0tvZmbbxxctlVfYVv8_JCw_v6/view?usp=drivesdk</t>
  </si>
  <si>
    <t>KIMOM HN NASUTION, S.T</t>
  </si>
  <si>
    <t>kimomnst@gmail.com</t>
  </si>
  <si>
    <t>618</t>
  </si>
  <si>
    <t>https://drive.google.com/file/d/1r4VpRnjcnojbElqr5xq7xq3mhUuxHRGt/view?usp=drivesdk</t>
  </si>
  <si>
    <t>1r4VpRnjcnojbElqr5xq7xq3mhUuxHRGt</t>
  </si>
  <si>
    <t>1AnGC_bjS1RUwFLM4-d7ouD4JvSnCnoqR</t>
  </si>
  <si>
    <t>https://drive.google.com/file/d/1AnGC_bjS1RUwFLM4-d7ouD4JvSnCnoqR/view?usp=drivesdk</t>
  </si>
  <si>
    <t>1RRf6wwoK7WBC3eNQCerDURgVYGF77Yqg</t>
  </si>
  <si>
    <t>https://drive.google.com/file/d/1RRf6wwoK7WBC3eNQCerDURgVYGF77Yqg/view?usp=drivesdk</t>
  </si>
  <si>
    <t>DWI APRIANI PUSPARINI</t>
  </si>
  <si>
    <t>dwiaprianipusparini@gmail.com</t>
  </si>
  <si>
    <t>619</t>
  </si>
  <si>
    <t>https://drive.google.com/file/d/1FjyPMSbFCv3forc3Pr7c5fiZFJkvr5dW/view?usp=drivesdk</t>
  </si>
  <si>
    <t>1FjyPMSbFCv3forc3Pr7c5fiZFJkvr5dW</t>
  </si>
  <si>
    <t>19dU2HPZ-Yp6aJuECqt6Uqk4Z4QNtEIK-</t>
  </si>
  <si>
    <t>https://drive.google.com/file/d/19dU2HPZ-Yp6aJuECqt6Uqk4Z4QNtEIK-/view?usp=drivesdk</t>
  </si>
  <si>
    <t>1C0GxHNAtrX194_bqRDmgUEGBs085OIGm</t>
  </si>
  <si>
    <t>https://drive.google.com/file/d/1C0GxHNAtrX194_bqRDmgUEGBs085OIGm/view?usp=drivesdk</t>
  </si>
  <si>
    <t>HERI MUJOHAR m</t>
  </si>
  <si>
    <t>heri.mujohar@gmail.com</t>
  </si>
  <si>
    <t>620</t>
  </si>
  <si>
    <t>https://drive.google.com/file/d/1n95zwil3VhL00VQbDJICJtGz84TadRQo/view?usp=drivesdk</t>
  </si>
  <si>
    <t>1n95zwil3VhL00VQbDJICJtGz84TadRQo</t>
  </si>
  <si>
    <t>1y0m13DXq74lFzoM4TSzB-k9CNej5YeGu</t>
  </si>
  <si>
    <t>https://drive.google.com/file/d/1y0m13DXq74lFzoM4TSzB-k9CNej5YeGu/view?usp=drivesdk</t>
  </si>
  <si>
    <t>1ZvacoJe1wBmZ30_UZfoeJ6xdFq3ghR2v</t>
  </si>
  <si>
    <t>https://drive.google.com/file/d/1ZvacoJe1wBmZ30_UZfoeJ6xdFq3ghR2v/view?usp=drivesdk</t>
  </si>
  <si>
    <t>BAYU ADI WIGUNA</t>
  </si>
  <si>
    <t>urminditikjatim@gmail.com</t>
  </si>
  <si>
    <t>621</t>
  </si>
  <si>
    <t>https://drive.google.com/file/d/1IPUoHLwOvewYCWDY1-INK1CIpshUHKOY/view?usp=drivesdk</t>
  </si>
  <si>
    <t>1IPUoHLwOvewYCWDY1-INK1CIpshUHKOY</t>
  </si>
  <si>
    <t>1gzLTLd7RM12cK0yvTjrplxVTT4yCT5bM</t>
  </si>
  <si>
    <t>https://drive.google.com/file/d/1gzLTLd7RM12cK0yvTjrplxVTT4yCT5bM/view?usp=drivesdk</t>
  </si>
  <si>
    <t>1pFABZzCnWuSC0FxglDvDW_9wnTsc-Hoz</t>
  </si>
  <si>
    <t>https://drive.google.com/file/d/1pFABZzCnWuSC0FxglDvDW_9wnTsc-Hoz/view?usp=drivesdk</t>
  </si>
  <si>
    <t>Document successfully created; Document successfully merged; PDF created; !!Error Sending Emails: Service invoked too many times for one day: email.; Manually run by ecertificate75@gmail.com; Timestamp: Aug 31 2024 7:46 AM</t>
  </si>
  <si>
    <t>WAHYU TYAS PRASETYANINGSIH, SE</t>
  </si>
  <si>
    <t>wahyutyas1104@gmail.com</t>
  </si>
  <si>
    <t>622</t>
  </si>
  <si>
    <t>https://drive.google.com/file/d/1lpLWzD9zuk-jBOHyTY5zpl6ow-4AstNV/view?usp=drivesdk</t>
  </si>
  <si>
    <t>1lpLWzD9zuk-jBOHyTY5zpl6ow-4AstNV</t>
  </si>
  <si>
    <t>1nVgkBDALftJC-iF92da_wsiRBVaQhnhr</t>
  </si>
  <si>
    <t>https://drive.google.com/file/d/1nVgkBDALftJC-iF92da_wsiRBVaQhnhr/view?usp=drivesdk</t>
  </si>
  <si>
    <t>Document successfully created; Document successfully merged; PDF created; !!Error Sending Emails: Service invoked too many times for one day: email.; Manually run by ecertificate75@gmail.com; Timestamp: Aug 30 2024 10:35 PM</t>
  </si>
  <si>
    <t>1xSbX2fQg0Ri6TBuTPUXx71X_C_H3Ko-q</t>
  </si>
  <si>
    <t>https://drive.google.com/file/d/1xSbX2fQg0Ri6TBuTPUXx71X_C_H3Ko-q/view?usp=drivesdk</t>
  </si>
  <si>
    <t>MELDAANTIKA, A.Md.Kep</t>
  </si>
  <si>
    <t>meldaantika70049@gmail.com</t>
  </si>
  <si>
    <t>623</t>
  </si>
  <si>
    <t>https://drive.google.com/file/d/1lxaaYTIhyr0maS9Mb4aX5_WBjt9xr9vK/view?usp=drivesdk</t>
  </si>
  <si>
    <t>1lxaaYTIhyr0maS9Mb4aX5_WBjt9xr9vK</t>
  </si>
  <si>
    <t>1ltFZnaPWOSIk9w0fgFGIdLD4oj--4GZv</t>
  </si>
  <si>
    <t>https://drive.google.com/file/d/1ltFZnaPWOSIk9w0fgFGIdLD4oj--4GZv/view?usp=drivesdk</t>
  </si>
  <si>
    <t>1a8AbG68EX6VXJfAsJawUlpEhSKzASS31</t>
  </si>
  <si>
    <t>https://drive.google.com/file/d/1a8AbG68EX6VXJfAsJawUlpEhSKzASS31/view?usp=drivesdk</t>
  </si>
  <si>
    <t>NONI HEVIANTI, S.Psi.</t>
  </si>
  <si>
    <t>nonihevianti19@gmail.com</t>
  </si>
  <si>
    <t>624</t>
  </si>
  <si>
    <t>https://drive.google.com/file/d/1Dpu95BXVzq6T9L2dTfLl9zq4GI4B0QXl/view?usp=drivesdk</t>
  </si>
  <si>
    <t>1Dpu95BXVzq6T9L2dTfLl9zq4GI4B0QXl</t>
  </si>
  <si>
    <t>1vxR1p9nENaOjQry3o0dkW3grBQkmdSce</t>
  </si>
  <si>
    <t>https://drive.google.com/file/d/1vxR1p9nENaOjQry3o0dkW3grBQkmdSce/view?usp=drivesdk</t>
  </si>
  <si>
    <t>1IxuLdlN4jtTdhQKG0JxLjPagzcpStwIH</t>
  </si>
  <si>
    <t>https://drive.google.com/file/d/1IxuLdlN4jtTdhQKG0JxLjPagzcpStwIH/view?usp=drivesdk</t>
  </si>
  <si>
    <t>CHRISTINNE D. de FRETES</t>
  </si>
  <si>
    <t>chistinedefretes@gmail.com</t>
  </si>
  <si>
    <t>625</t>
  </si>
  <si>
    <t>https://drive.google.com/file/d/1PO8RVC_2QkjMabpVf_cfZNelP2PZU8BN/view?usp=drivesdk</t>
  </si>
  <si>
    <t>1PO8RVC_2QkjMabpVf_cfZNelP2PZU8BN</t>
  </si>
  <si>
    <t>16VFXFvOib_A5raPNEeBMqodgXa6feaa4</t>
  </si>
  <si>
    <t>https://drive.google.com/file/d/16VFXFvOib_A5raPNEeBMqodgXa6feaa4/view?usp=drivesdk</t>
  </si>
  <si>
    <t>1q89gBspopEpalR2xGgy-on11VP_RWgQ6</t>
  </si>
  <si>
    <t>https://drive.google.com/file/d/1q89gBspopEpalR2xGgy-on11VP_RWgQ6/view?usp=drivesdk</t>
  </si>
  <si>
    <t>FARIDA INGANTA GINTING</t>
  </si>
  <si>
    <t>faridaingantaginting@gmail.com</t>
  </si>
  <si>
    <t>626</t>
  </si>
  <si>
    <t>https://drive.google.com/file/d/1Ck1myzVerHb5xsfY65XUnpf_D5QF4I25/view?usp=drivesdk</t>
  </si>
  <si>
    <t>1Ck1myzVerHb5xsfY65XUnpf_D5QF4I25</t>
  </si>
  <si>
    <t>1OhFAasOEyC5Dx_RJifaxp8JQu0-CrJMY</t>
  </si>
  <si>
    <t>https://drive.google.com/file/d/1OhFAasOEyC5Dx_RJifaxp8JQu0-CrJMY/view?usp=drivesdk</t>
  </si>
  <si>
    <t>14ilaExEWYQgMa2wnw2MzEIEgaiSWYxP-</t>
  </si>
  <si>
    <t>https://drive.google.com/file/d/14ilaExEWYQgMa2wnw2MzEIEgaiSWYxP-/view?usp=drivesdk</t>
  </si>
  <si>
    <t>Document successfully created; Document successfully merged; PDF created; !!Error Sending Emails: Service invoked too many times for one day: email.; Manually run by ecertificate75@gmail.com; Timestamp: Aug 31 2024 7:47 AM</t>
  </si>
  <si>
    <t>KELI SUSANTO, S.E.</t>
  </si>
  <si>
    <t>kelisusanto8080@gmail.com</t>
  </si>
  <si>
    <t>627</t>
  </si>
  <si>
    <t>https://drive.google.com/file/d/1By7qaqrZf5mEKE1Ylsi1Z-6-48_aw6OI/view?usp=drivesdk</t>
  </si>
  <si>
    <t>1By7qaqrZf5mEKE1Ylsi1Z-6-48_aw6OI</t>
  </si>
  <si>
    <t>1WqOo_GqLNvgaFVyjFGkXGEnSvNSQaPVb</t>
  </si>
  <si>
    <t>https://drive.google.com/file/d/1WqOo_GqLNvgaFVyjFGkXGEnSvNSQaPVb/view?usp=drivesdk</t>
  </si>
  <si>
    <t>1Qf1ZMMq8Ge8whGFB4hmhjQS3RYgZKqh4</t>
  </si>
  <si>
    <t>https://drive.google.com/file/d/1Qf1ZMMq8Ge8whGFB4hmhjQS3RYgZKqh4/view?usp=drivesdk</t>
  </si>
  <si>
    <t xml:space="preserve">LUSIANA SEMBIRING.S.KEP </t>
  </si>
  <si>
    <t>deparilusyana09@gmail.com</t>
  </si>
  <si>
    <t>628</t>
  </si>
  <si>
    <t>https://drive.google.com/file/d/10dcd193nAKQ0BhQU5qHiCAPbKa7rXvCR/view?usp=drivesdk</t>
  </si>
  <si>
    <t>10dcd193nAKQ0BhQU5qHiCAPbKa7rXvCR</t>
  </si>
  <si>
    <t>19MBeen8ImbdQuK0K85wyas0ucot00bKt</t>
  </si>
  <si>
    <t>https://drive.google.com/file/d/19MBeen8ImbdQuK0K85wyas0ucot00bKt/view?usp=drivesdk</t>
  </si>
  <si>
    <t>1dVKLoIcP4eXnwZyHFLPeQ1kmo7u3GRid</t>
  </si>
  <si>
    <t>https://drive.google.com/file/d/1dVKLoIcP4eXnwZyHFLPeQ1kmo7u3GRid/view?usp=drivesdk</t>
  </si>
  <si>
    <t>Drg.ASTITI HANDAYANI, GDFO, SP.OF</t>
  </si>
  <si>
    <t>drg.astiti@gmail.com</t>
  </si>
  <si>
    <t>629</t>
  </si>
  <si>
    <t>https://drive.google.com/file/d/1ns0lQZLj-wTitipkj3hAQ4me3a_1swCC/view?usp=drivesdk</t>
  </si>
  <si>
    <t>1ns0lQZLj-wTitipkj3hAQ4me3a_1swCC</t>
  </si>
  <si>
    <t>1I8PJUUs8lWcM0Yw9N0qpuyfeWgbbDMlT</t>
  </si>
  <si>
    <t>https://drive.google.com/file/d/1I8PJUUs8lWcM0Yw9N0qpuyfeWgbbDMlT/view?usp=drivesdk</t>
  </si>
  <si>
    <t>Document successfully created; Document successfully merged; PDF created; !!Error Sending Emails: Service invoked too many times for one day: email.; Manually run by ecertificate75@gmail.com; Timestamp: Aug 30 2024 10:36 PM</t>
  </si>
  <si>
    <t>1t6-ga70QElljxO7uhz0J-uiboRozfeWH</t>
  </si>
  <si>
    <t>https://drive.google.com/file/d/1t6-ga70QElljxO7uhz0J-uiboRozfeWH/view?usp=drivesdk</t>
  </si>
  <si>
    <t>Document successfully created; Document successfully merged; PDF created; !!Error Sending Emails: Service invoked too many times for one day: email.; Manually run by ecertificate75@gmail.com; Timestamp: Aug 31 2024 7:48 AM</t>
  </si>
  <si>
    <t>RIBKA LIKUN SAPAN</t>
  </si>
  <si>
    <t>ribkalikun08@gmail.com</t>
  </si>
  <si>
    <t>630</t>
  </si>
  <si>
    <t>https://drive.google.com/file/d/1Lz3GzFz4OZup7MGDhyzMaWSvC-wlZrPT/view?usp=drivesdk</t>
  </si>
  <si>
    <t>1Lz3GzFz4OZup7MGDhyzMaWSvC-wlZrPT</t>
  </si>
  <si>
    <t>1MwpR0MlfO048QKrWo2Qqxg3qacUI7cmh</t>
  </si>
  <si>
    <t>https://drive.google.com/file/d/1MwpR0MlfO048QKrWo2Qqxg3qacUI7cmh/view?usp=drivesdk</t>
  </si>
  <si>
    <t>1F8JcX0FW5qWW7xvq-67uq3g6mZ3EXstK</t>
  </si>
  <si>
    <t>https://drive.google.com/file/d/1F8JcX0FW5qWW7xvq-67uq3g6mZ3EXstK/view?usp=drivesdk</t>
  </si>
  <si>
    <t>EHRI MUL YANTO</t>
  </si>
  <si>
    <t>ehrimulyanto@gmail.com</t>
  </si>
  <si>
    <t>631</t>
  </si>
  <si>
    <t>https://drive.google.com/file/d/1ylAjTuzMQx9abqxk8Nwezz7JalFcfTN2/view?usp=drivesdk</t>
  </si>
  <si>
    <t>1ylAjTuzMQx9abqxk8Nwezz7JalFcfTN2</t>
  </si>
  <si>
    <t>1xh3UK8q_yYBQZfEt6yvGPiVgK2yEh7eV</t>
  </si>
  <si>
    <t>https://drive.google.com/file/d/1xh3UK8q_yYBQZfEt6yvGPiVgK2yEh7eV/view?usp=drivesdk</t>
  </si>
  <si>
    <t>1aPNSpXduxKHC2Mj686MEbJlNPvtmAuXe</t>
  </si>
  <si>
    <t>https://drive.google.com/file/d/1aPNSpXduxKHC2Mj686MEbJlNPvtmAuXe/view?usp=drivesdk</t>
  </si>
  <si>
    <t xml:space="preserve">ASRI KAUSAHA, S. H. </t>
  </si>
  <si>
    <t>asherdjonk@gmail.com</t>
  </si>
  <si>
    <t>632</t>
  </si>
  <si>
    <t>https://drive.google.com/file/d/1fNK38DJjWrWcTwrEJNXyVh_sE0OvWoUl/view?usp=drivesdk</t>
  </si>
  <si>
    <t>1fNK38DJjWrWcTwrEJNXyVh_sE0OvWoUl</t>
  </si>
  <si>
    <t>1LstOZgP04zBtP_W1OPZBUw-8wXLYHj-V</t>
  </si>
  <si>
    <t>https://drive.google.com/file/d/1LstOZgP04zBtP_W1OPZBUw-8wXLYHj-V/view?usp=drivesdk</t>
  </si>
  <si>
    <t>1uNmbt6UNIR_k59EeoQffsFxb97uKB3Nm</t>
  </si>
  <si>
    <t>https://drive.google.com/file/d/1uNmbt6UNIR_k59EeoQffsFxb97uKB3Nm/view?usp=drivesdk</t>
  </si>
  <si>
    <t>NUR SEPTIANUDIN, S.E.</t>
  </si>
  <si>
    <t>nurseptianudin499@gmail.com</t>
  </si>
  <si>
    <t>633</t>
  </si>
  <si>
    <t>https://drive.google.com/file/d/1tDbDgG7UznSmUofUBrZoGbWCOGsvkB89/view?usp=drivesdk</t>
  </si>
  <si>
    <t>1tDbDgG7UznSmUofUBrZoGbWCOGsvkB89</t>
  </si>
  <si>
    <t>1lxIjNqIPDi_7vx5PDEc8Ld2xmfPct9NA</t>
  </si>
  <si>
    <t>https://drive.google.com/file/d/1lxIjNqIPDi_7vx5PDEc8Ld2xmfPct9NA/view?usp=drivesdk</t>
  </si>
  <si>
    <t>1p_5Di0Gg124zyyklcSSkRvQFzu5iSQcI</t>
  </si>
  <si>
    <t>https://drive.google.com/file/d/1p_5Di0Gg124zyyklcSSkRvQFzu5iSQcI/view?usp=drivesdk</t>
  </si>
  <si>
    <t>EKATRIDIANA, A.Md. Kep</t>
  </si>
  <si>
    <t>ekatridiana1997@gmail.com</t>
  </si>
  <si>
    <t>634</t>
  </si>
  <si>
    <t>Starting at Thu Aug 29 2024 20:46:05 GMT-0400 (EDT)</t>
  </si>
  <si>
    <t>1KTqct3Iq5e9Zc1lGvCFVw0xYuWjDYcO1</t>
  </si>
  <si>
    <t>https://drive.google.com/file/d/1KTqct3Iq5e9Zc1lGvCFVw0xYuWjDYcO1/view?usp=drivesdk</t>
  </si>
  <si>
    <t>1veiQ8uedIN3P3wOinMvzSnlPI2h0ujpu</t>
  </si>
  <si>
    <t>https://drive.google.com/file/d/1veiQ8uedIN3P3wOinMvzSnlPI2h0ujpu/view?usp=drivesdk</t>
  </si>
  <si>
    <t>BAMBANG HARIANTO</t>
  </si>
  <si>
    <t>bambangharianto1979@gmail.com</t>
  </si>
  <si>
    <t>635</t>
  </si>
  <si>
    <t>113h1-uW0Q2Ok3585fTvP10fq4YpMXqut</t>
  </si>
  <si>
    <t>https://drive.google.com/file/d/113h1-uW0Q2Ok3585fTvP10fq4YpMXqut/view?usp=drivesdk</t>
  </si>
  <si>
    <t>Document successfully created; Document successfully merged; PDF created; !!Error Sending Emails: Service invoked too many times for one day: email.; Manually run by ecertificate75@gmail.com; Timestamp: Aug 30 2024 10:37 PM</t>
  </si>
  <si>
    <t>1na7kEXRhUjhe_DxDtmGzAosXBXQltRIl</t>
  </si>
  <si>
    <t>https://drive.google.com/file/d/1na7kEXRhUjhe_DxDtmGzAosXBXQltRIl/view?usp=drivesdk</t>
  </si>
  <si>
    <t>TRI MEDY YANTI</t>
  </si>
  <si>
    <t>medyazzam@gmail.com</t>
  </si>
  <si>
    <t>636</t>
  </si>
  <si>
    <t>https://drive.google.com/file/d/1rFke1DfyMfCSXz4TmquK_68ShINpCIoM/view?usp=drivesdk</t>
  </si>
  <si>
    <t>1rFke1DfyMfCSXz4TmquK_68ShINpCIoM</t>
  </si>
  <si>
    <t>1NWrQNTdZ-Qb-tBW5-OCOjPofef4-QfAi</t>
  </si>
  <si>
    <t>https://drive.google.com/file/d/1NWrQNTdZ-Qb-tBW5-OCOjPofef4-QfAi/view?usp=drivesdk</t>
  </si>
  <si>
    <t>1VtIXLd6hpTvRLOIsgWXFUz1qWj22acni</t>
  </si>
  <si>
    <t>https://drive.google.com/file/d/1VtIXLd6hpTvRLOIsgWXFUz1qWj22acni/view?usp=drivesdk</t>
  </si>
  <si>
    <t>Document successfully created; Document successfully merged; PDF created; !!Error Sending Emails: Service invoked too many times for one day: email.; Manually run by ecertificate75@gmail.com; Timestamp: Aug 31 2024 7:49 AM</t>
  </si>
  <si>
    <t>FRANSISKA YUDIAWATI</t>
  </si>
  <si>
    <t>yudiawati1968@gmail.com</t>
  </si>
  <si>
    <t>637</t>
  </si>
  <si>
    <t>https://drive.google.com/file/d/1JOqJBe7ew2tJElHtQbGNPw-imC9Qapb5/view?usp=drivesdk</t>
  </si>
  <si>
    <t>1JOqJBe7ew2tJElHtQbGNPw-imC9Qapb5</t>
  </si>
  <si>
    <t>1XYtSOkrcluuXUWVv2qjbcWQwScpw-iW8</t>
  </si>
  <si>
    <t>https://drive.google.com/file/d/1XYtSOkrcluuXUWVv2qjbcWQwScpw-iW8/view?usp=drivesdk</t>
  </si>
  <si>
    <t>1Mw-tsX10oAkD7rApQWk6k55uYpqNY1tL</t>
  </si>
  <si>
    <t>https://drive.google.com/file/d/1Mw-tsX10oAkD7rApQWk6k55uYpqNY1tL/view?usp=drivesdk</t>
  </si>
  <si>
    <t>HENI DWI ASTUTI, S. KOM</t>
  </si>
  <si>
    <t>henidwi7@gmail.com</t>
  </si>
  <si>
    <t>638</t>
  </si>
  <si>
    <t>https://drive.google.com/file/d/18UVlSm8wHBIz9bbtVTyuUARqCgRlYg-Q/view?usp=drivesdk</t>
  </si>
  <si>
    <t>Document successfully created; Document successfully merged; PDF created; !!Error Sending Emails: Service invoked too many times for one day: email.; Run via form trigger as ecertificate75@gmail.com; Timestamp: Aug 29 2024 8:47 PM</t>
  </si>
  <si>
    <t>18UVlSm8wHBIz9bbtVTyuUARqCgRlYg-Q</t>
  </si>
  <si>
    <t>1DlmySM8EVEljf942KLxipZOsrRT30Kgv</t>
  </si>
  <si>
    <t>https://drive.google.com/file/d/1DlmySM8EVEljf942KLxipZOsrRT30Kgv/view?usp=drivesdk</t>
  </si>
  <si>
    <t>1Kr5aZ7ouD8oOaq5NMxWxtIr1zmHuxSX7</t>
  </si>
  <si>
    <t>https://drive.google.com/file/d/1Kr5aZ7ouD8oOaq5NMxWxtIr1zmHuxSX7/view?usp=drivesdk</t>
  </si>
  <si>
    <t>drg.FELISIA ANDRIANI, Sp.KG</t>
  </si>
  <si>
    <t>felisiaandriani@gmail.com</t>
  </si>
  <si>
    <t>639</t>
  </si>
  <si>
    <t>https://drive.google.com/file/d/1chaXcRw3zao2NyWCTR2MKok_9XhjnEOk/view?usp=drivesdk</t>
  </si>
  <si>
    <t>1chaXcRw3zao2NyWCTR2MKok_9XhjnEOk</t>
  </si>
  <si>
    <t>11pA-ombipaJzskcEbjAF3-S1BReyJCyc</t>
  </si>
  <si>
    <t>https://drive.google.com/file/d/11pA-ombipaJzskcEbjAF3-S1BReyJCyc/view?usp=drivesdk</t>
  </si>
  <si>
    <t>1R1y4Q_TJ03GiDh3uoN646RdB5_iMtECf</t>
  </si>
  <si>
    <t>https://drive.google.com/file/d/1R1y4Q_TJ03GiDh3uoN646RdB5_iMtECf/view?usp=drivesdk</t>
  </si>
  <si>
    <t>TRI KURNIALIN RUSLIANA,S.Keb</t>
  </si>
  <si>
    <t>trikurnialin@gmail.com</t>
  </si>
  <si>
    <t>640</t>
  </si>
  <si>
    <t>https://drive.google.com/file/d/1OQweyzE7u9xUmLXk0mKW3rVeR_09dcbe/view?usp=drivesdk</t>
  </si>
  <si>
    <t>1OQweyzE7u9xUmLXk0mKW3rVeR_09dcbe</t>
  </si>
  <si>
    <t>1uayC5sBajQa_8VTOIZk2yszv4x8tPa-J</t>
  </si>
  <si>
    <t>https://drive.google.com/file/d/1uayC5sBajQa_8VTOIZk2yszv4x8tPa-J/view?usp=drivesdk</t>
  </si>
  <si>
    <t>Document successfully created; Document successfully merged; PDF created; !!Error Sending Emails: Service invoked too many times for one day: email.; Manually run by ecertificate75@gmail.com; Timestamp: Aug 30 2024 10:38 PM</t>
  </si>
  <si>
    <t>1QA86F23Bp0ItgHHU7cH0l6ZxVOJyfSC9</t>
  </si>
  <si>
    <t>https://drive.google.com/file/d/1QA86F23Bp0ItgHHU7cH0l6ZxVOJyfSC9/view?usp=drivesdk</t>
  </si>
  <si>
    <t>LALU DENDY SATRIA WIBAWA, A.Md.Kep</t>
  </si>
  <si>
    <t>dendy.satria08@gmail.com</t>
  </si>
  <si>
    <t>641</t>
  </si>
  <si>
    <t>https://drive.google.com/file/d/1sqiUuxLVaLWOFcA0RCDZKQbgpjJgmzkj/view?usp=drivesdk</t>
  </si>
  <si>
    <t>1sqiUuxLVaLWOFcA0RCDZKQbgpjJgmzkj</t>
  </si>
  <si>
    <t>1X1jIAijrMGZXYp78GUMkqQLN9SyxcqEG</t>
  </si>
  <si>
    <t>https://drive.google.com/file/d/1X1jIAijrMGZXYp78GUMkqQLN9SyxcqEG/view?usp=drivesdk</t>
  </si>
  <si>
    <t>17EdyZhMVNYqD93uFakopVn-NFl4uPGOn</t>
  </si>
  <si>
    <t>https://drive.google.com/file/d/17EdyZhMVNYqD93uFakopVn-NFl4uPGOn/view?usp=drivesdk</t>
  </si>
  <si>
    <t>POLDA JAMBI</t>
  </si>
  <si>
    <t>FERRY HARYONO S KOM</t>
  </si>
  <si>
    <t>ferryharyono78@gmail.com</t>
  </si>
  <si>
    <t>642</t>
  </si>
  <si>
    <t>https://drive.google.com/file/d/1f5uUhCNxwnsswSE8AKEgAYI_ZJNakgSC/view?usp=drivesdk</t>
  </si>
  <si>
    <t>Document successfully created; Document successfully merged; PDF created; !!Error Sending Emails: Service invoked too many times for one day: email.; Run via form trigger as ecertificate75@gmail.com; Timestamp: Aug 29 2024 8:48 PM</t>
  </si>
  <si>
    <t>1f5uUhCNxwnsswSE8AKEgAYI_ZJNakgSC</t>
  </si>
  <si>
    <t>1uWzFG9azEkVx8vwH0LrZjcGHinRZUCjQ</t>
  </si>
  <si>
    <t>https://drive.google.com/file/d/1uWzFG9azEkVx8vwH0LrZjcGHinRZUCjQ/view?usp=drivesdk</t>
  </si>
  <si>
    <t>1ujCBDuOijZOSmHw6fwf-JGf9a3QH2Pwt</t>
  </si>
  <si>
    <t>https://drive.google.com/file/d/1ujCBDuOijZOSmHw6fwf-JGf9a3QH2Pwt/view?usp=drivesdk</t>
  </si>
  <si>
    <t>Document successfully created; Document successfully merged; PDF created; !!Error Sending Emails: Service invoked too many times for one day: email.; Manually run by ecertificate75@gmail.com; Timestamp: Aug 31 2024 7:50 AM</t>
  </si>
  <si>
    <t>ZAKI ABDILLAH, S.E.</t>
  </si>
  <si>
    <t>zaki.abdillah0284@gmail.com</t>
  </si>
  <si>
    <t>643</t>
  </si>
  <si>
    <t>https://drive.google.com/file/d/1iK9Z5sSgXBbKleNx11yJ8_Wsrlloz-V6/view?usp=drivesdk</t>
  </si>
  <si>
    <t>Document successfully created; Document successfully merged; PDF created; !!Error Sending Emails: Service invoked too many times for one day: email.; Run via form trigger as ecertificate75@gmail.com; Timestamp: Aug 29 2024 8:49 PM</t>
  </si>
  <si>
    <t>1iK9Z5sSgXBbKleNx11yJ8_Wsrlloz-V6</t>
  </si>
  <si>
    <t>15uGLT4-IQ9n5lFrFZ061U30TrwwmIGtP</t>
  </si>
  <si>
    <t>https://drive.google.com/file/d/15uGLT4-IQ9n5lFrFZ061U30TrwwmIGtP/view?usp=drivesdk</t>
  </si>
  <si>
    <t>1DOBPhuzkYulAinZQXO1sPd_DzS0yZlZj</t>
  </si>
  <si>
    <t>https://drive.google.com/file/d/1DOBPhuzkYulAinZQXO1sPd_DzS0yZlZj/view?usp=drivesdk</t>
  </si>
  <si>
    <t>MUNICHA OKTAFIA ARSANTI</t>
  </si>
  <si>
    <t>monica.oktafia@gmail.com</t>
  </si>
  <si>
    <t>644</t>
  </si>
  <si>
    <t>https://drive.google.com/file/d/1h7oVGlgpXs3E_SIm6giw5uQBFtznCUVt/view?usp=drivesdk</t>
  </si>
  <si>
    <t>Document successfully created; Document successfully merged; PDF created; !!Error Sending Emails: Service invoked too many times for one day: email.; Run via form trigger as ecertificate75@gmail.com; Timestamp: Aug 29 2024 8:50 PM</t>
  </si>
  <si>
    <t>1h7oVGlgpXs3E_SIm6giw5uQBFtznCUVt</t>
  </si>
  <si>
    <t>1ww7-lYmhJjikYN-ci2jI4_lOQdIXhbeu</t>
  </si>
  <si>
    <t>https://drive.google.com/file/d/1ww7-lYmhJjikYN-ci2jI4_lOQdIXhbeu/view?usp=drivesdk</t>
  </si>
  <si>
    <t>1R_IJAuegZSpF_kdvNrRLE21I0j3c8PIn</t>
  </si>
  <si>
    <t>https://drive.google.com/file/d/1R_IJAuegZSpF_kdvNrRLE21I0j3c8PIn/view?usp=drivesdk</t>
  </si>
  <si>
    <t>RINI SUPRIATIN</t>
  </si>
  <si>
    <t>azkyehan@gmail.com</t>
  </si>
  <si>
    <t>645</t>
  </si>
  <si>
    <t>https://drive.google.com/file/d/1KMOQHIcaD64aK1zZtwdtj02BPNZGNPDD/view?usp=drivesdk</t>
  </si>
  <si>
    <t>1KMOQHIcaD64aK1zZtwdtj02BPNZGNPDD</t>
  </si>
  <si>
    <t>1Yv2jabyYsGVb7Fc4WdBmfjjtHr007EoV</t>
  </si>
  <si>
    <t>https://drive.google.com/file/d/1Yv2jabyYsGVb7Fc4WdBmfjjtHr007EoV/view?usp=drivesdk</t>
  </si>
  <si>
    <t>Document successfully created; Document successfully merged; PDF created; !!Error Sending Emails: Service invoked too many times for one day: email.; Manually run by ecertificate75@gmail.com; Timestamp: Aug 30 2024 10:39 PM</t>
  </si>
  <si>
    <t>1kxg8WuadcEkJvtoCKQPZsWw16PGs7iN_</t>
  </si>
  <si>
    <t>https://drive.google.com/file/d/1kxg8WuadcEkJvtoCKQPZsWw16PGs7iN_/view?usp=drivesdk</t>
  </si>
  <si>
    <t>WIWIN ERNAWATI</t>
  </si>
  <si>
    <t>wiwinpers@gmail.com</t>
  </si>
  <si>
    <t>646</t>
  </si>
  <si>
    <t>https://drive.google.com/file/d/1ESmd_pv550uW_eKSkGIjVv0nb7PtA_v6/view?usp=drivesdk</t>
  </si>
  <si>
    <t>1ESmd_pv550uW_eKSkGIjVv0nb7PtA_v6</t>
  </si>
  <si>
    <t>1voW5WeRIlPbICVIAPK8bZl9bLEz2bbtY</t>
  </si>
  <si>
    <t>https://drive.google.com/file/d/1voW5WeRIlPbICVIAPK8bZl9bLEz2bbtY/view?usp=drivesdk</t>
  </si>
  <si>
    <t>1rIRm31xOyflzFktA3Fbq1jc_TLGnWoE3</t>
  </si>
  <si>
    <t>https://drive.google.com/file/d/1rIRm31xOyflzFktA3Fbq1jc_TLGnWoE3/view?usp=drivesdk</t>
  </si>
  <si>
    <t>IDA SOPIAH SILAEN, S.H.</t>
  </si>
  <si>
    <t>sopiah76en@gmail.com</t>
  </si>
  <si>
    <t>647</t>
  </si>
  <si>
    <t>https://drive.google.com/file/d/15uOD0JkTvITOhaooMHTCAWeBmIu7BM7k/view?usp=drivesdk</t>
  </si>
  <si>
    <t>15uOD0JkTvITOhaooMHTCAWeBmIu7BM7k</t>
  </si>
  <si>
    <t>1upphpo3YVs7nftzxP2NOoM7OaHf_5RLD</t>
  </si>
  <si>
    <t>https://drive.google.com/file/d/1upphpo3YVs7nftzxP2NOoM7OaHf_5RLD/view?usp=drivesdk</t>
  </si>
  <si>
    <t>16AHrqlBDgKfotJgoIJXgrqfcz8PdzOFt</t>
  </si>
  <si>
    <t>https://drive.google.com/file/d/16AHrqlBDgKfotJgoIJXgrqfcz8PdzOFt/view?usp=drivesdk</t>
  </si>
  <si>
    <t xml:space="preserve">NILA WULANDARI </t>
  </si>
  <si>
    <t>nilawulandari263@gmail.com</t>
  </si>
  <si>
    <t>648</t>
  </si>
  <si>
    <t>https://drive.google.com/file/d/1qIwZao1Ao746ruQtpfMOgAS8urrG4jXq/view?usp=drivesdk</t>
  </si>
  <si>
    <t>Document successfully created; Document successfully merged; PDF created; !!Error Sending Emails: Service invoked too many times for one day: email.; Run via form trigger as ecertificate75@gmail.com; Timestamp: Aug 29 2024 8:51 PM</t>
  </si>
  <si>
    <t>1qIwZao1Ao746ruQtpfMOgAS8urrG4jXq</t>
  </si>
  <si>
    <t>1rsexHo7qXQSFzRfQT5slYpoRTdTgAVjp</t>
  </si>
  <si>
    <t>https://drive.google.com/file/d/1rsexHo7qXQSFzRfQT5slYpoRTdTgAVjp/view?usp=drivesdk</t>
  </si>
  <si>
    <t>1d4qO5ga6lM9y8hatbCL9N23WKunJfy0L</t>
  </si>
  <si>
    <t>https://drive.google.com/file/d/1d4qO5ga6lM9y8hatbCL9N23WKunJfy0L/view?usp=drivesdk</t>
  </si>
  <si>
    <t>Document successfully created; Document successfully merged; PDF created; !!Error Sending Emails: Service invoked too many times for one day: email.; Manually run by ecertificate75@gmail.com; Timestamp: Aug 31 2024 7:51 AM</t>
  </si>
  <si>
    <t>CHENDI ABDUL KAFI, S.Kep</t>
  </si>
  <si>
    <t>chen.alxavi@gmail.com</t>
  </si>
  <si>
    <t>649</t>
  </si>
  <si>
    <t>https://drive.google.com/file/d/12NDmF5KFYkn5gFv3EUWhdxPTZaPp_vj5/view?usp=drivesdk</t>
  </si>
  <si>
    <t>12NDmF5KFYkn5gFv3EUWhdxPTZaPp_vj5</t>
  </si>
  <si>
    <t>1C74HBOt-Q83mWzpl_wJPEnk9BwNRSiqy</t>
  </si>
  <si>
    <t>https://drive.google.com/file/d/1C74HBOt-Q83mWzpl_wJPEnk9BwNRSiqy/view?usp=drivesdk</t>
  </si>
  <si>
    <t>1RQh8HQm0c3MfBeOEfDbeeu0xdIqnWM5L</t>
  </si>
  <si>
    <t>https://drive.google.com/file/d/1RQh8HQm0c3MfBeOEfDbeeu0xdIqnWM5L/view?usp=drivesdk</t>
  </si>
  <si>
    <t>ADITYA AGUNG WIJAYA, S. Kom</t>
  </si>
  <si>
    <t>aditagungwijaya@gmail.com</t>
  </si>
  <si>
    <t>650</t>
  </si>
  <si>
    <t>https://drive.google.com/file/d/1n0RtGy5TKhYjYFHU850Awjde3KIQv6di/view?usp=drivesdk</t>
  </si>
  <si>
    <t>1n0RtGy5TKhYjYFHU850Awjde3KIQv6di</t>
  </si>
  <si>
    <t>1SCJmCrgwz2YlCjN7yLJhMAuAIM-rN-ZB</t>
  </si>
  <si>
    <t>https://drive.google.com/file/d/1SCJmCrgwz2YlCjN7yLJhMAuAIM-rN-ZB/view?usp=drivesdk</t>
  </si>
  <si>
    <t>Document successfully created; Document successfully merged; PDF created; !!Error Sending Emails: Service invoked too many times for one day: email.; Manually run by ecertificate75@gmail.com; Timestamp: Aug 30 2024 10:40 PM</t>
  </si>
  <si>
    <t>1nsKGLeVaQgKrmf0rv3mTD4l8cg7Q2JEm</t>
  </si>
  <si>
    <t>https://drive.google.com/file/d/1nsKGLeVaQgKrmf0rv3mTD4l8cg7Q2JEm/view?usp=drivesdk</t>
  </si>
  <si>
    <t>WITA WITDYININGSIH</t>
  </si>
  <si>
    <t>witawitdyiningsih@gmail.com</t>
  </si>
  <si>
    <t>651</t>
  </si>
  <si>
    <t>https://drive.google.com/file/d/1exgd3Ox7ppgocdxx2NwPaFqhoeCDVNty/view?usp=drivesdk</t>
  </si>
  <si>
    <t>1exgd3Ox7ppgocdxx2NwPaFqhoeCDVNty</t>
  </si>
  <si>
    <t>1vndDQCy5HvrdO1afzAQNe54C3EMgiqsX</t>
  </si>
  <si>
    <t>https://drive.google.com/file/d/1vndDQCy5HvrdO1afzAQNe54C3EMgiqsX/view?usp=drivesdk</t>
  </si>
  <si>
    <t>1SLbZjNBpCc-iuUUj8-Dbh-M1w3YmExn6</t>
  </si>
  <si>
    <t>https://drive.google.com/file/d/1SLbZjNBpCc-iuUUj8-Dbh-M1w3YmExn6/view?usp=drivesdk</t>
  </si>
  <si>
    <t>NOVA ARIANTI, A.Md., S.E.</t>
  </si>
  <si>
    <t>nova.arianti2008@gmail.com</t>
  </si>
  <si>
    <t>652</t>
  </si>
  <si>
    <t>https://drive.google.com/file/d/1WuZopXyAUgBrIe3D54y2nZw6Sn5cuS2z/view?usp=drivesdk</t>
  </si>
  <si>
    <t>Document successfully created; Document successfully merged; PDF created; !!Error Sending Emails: Service invoked too many times for one day: email.; Run via form trigger as ecertificate75@gmail.com; Timestamp: Aug 29 2024 8:52 PM</t>
  </si>
  <si>
    <t>1WuZopXyAUgBrIe3D54y2nZw6Sn5cuS2z</t>
  </si>
  <si>
    <t>18ZbF4LQUIhucfb8Iz5RYqfm8AS796qOJ</t>
  </si>
  <si>
    <t>https://drive.google.com/file/d/18ZbF4LQUIhucfb8Iz5RYqfm8AS796qOJ/view?usp=drivesdk</t>
  </si>
  <si>
    <t>1TUuoDHA0y8Av8V0wEMma3mVcqHkj8KMs</t>
  </si>
  <si>
    <t>https://drive.google.com/file/d/1TUuoDHA0y8Av8V0wEMma3mVcqHkj8KMs/view?usp=drivesdk</t>
  </si>
  <si>
    <t>AGUS SUBARIYANTO</t>
  </si>
  <si>
    <t>agussubariyanto75@gmail.com</t>
  </si>
  <si>
    <t>653</t>
  </si>
  <si>
    <t>https://drive.google.com/file/d/115Y9_0jGMZdzeh9ZO3pAYZh9AbgKCwbM/view?usp=drivesdk</t>
  </si>
  <si>
    <t>115Y9_0jGMZdzeh9ZO3pAYZh9AbgKCwbM</t>
  </si>
  <si>
    <t>1K4Sr53qJPM2pfjCkTtnLIjd7aEZKEZDb</t>
  </si>
  <si>
    <t>https://drive.google.com/file/d/1K4Sr53qJPM2pfjCkTtnLIjd7aEZKEZDb/view?usp=drivesdk</t>
  </si>
  <si>
    <t>1l9pr7cB686ewNVMWAX57prOudeJGp0PC</t>
  </si>
  <si>
    <t>https://drive.google.com/file/d/1l9pr7cB686ewNVMWAX57prOudeJGp0PC/view?usp=drivesdk</t>
  </si>
  <si>
    <t>Document successfully created; Document successfully merged; PDF created; !!Error Sending Emails: Service invoked too many times for one day: email.; Manually run by ecertificate75@gmail.com; Timestamp: Aug 31 2024 7:52 AM</t>
  </si>
  <si>
    <t>TITYN HERDINA, S.E.</t>
  </si>
  <si>
    <t>titynherdina999@gmail.com</t>
  </si>
  <si>
    <t>654</t>
  </si>
  <si>
    <t>https://drive.google.com/file/d/1XX1vGto0VGCkZGl_jpbUl8ixTkqymRuh/view?usp=drivesdk</t>
  </si>
  <si>
    <t>1XX1vGto0VGCkZGl_jpbUl8ixTkqymRuh</t>
  </si>
  <si>
    <t>1TFoXNxqda90rUBg-MqxJwEc_8NWu-1VD</t>
  </si>
  <si>
    <t>https://drive.google.com/file/d/1TFoXNxqda90rUBg-MqxJwEc_8NWu-1VD/view?usp=drivesdk</t>
  </si>
  <si>
    <t>1xpq3VhYHXxFApGT_Wdpkd1PJTg6ulLx8</t>
  </si>
  <si>
    <t>https://drive.google.com/file/d/1xpq3VhYHXxFApGT_Wdpkd1PJTg6ulLx8/view?usp=drivesdk</t>
  </si>
  <si>
    <t>KUKUH PUJI HARIYADI</t>
  </si>
  <si>
    <t>kukuhpeha@gmail.com</t>
  </si>
  <si>
    <t>655</t>
  </si>
  <si>
    <t>https://drive.google.com/file/d/1PpXz_QJkF6n2B-s9Dxtolg1H4ZPQcKWY/view?usp=drivesdk</t>
  </si>
  <si>
    <t>1PpXz_QJkF6n2B-s9Dxtolg1H4ZPQcKWY</t>
  </si>
  <si>
    <t>15u4B74u5Tt3WYT4ZB3IwuS8KeKXNWFfL</t>
  </si>
  <si>
    <t>https://drive.google.com/file/d/15u4B74u5Tt3WYT4ZB3IwuS8KeKXNWFfL/view?usp=drivesdk</t>
  </si>
  <si>
    <t>1_ZkJtmOmC4icM12KNoTZES_3ZLZxiujZ</t>
  </si>
  <si>
    <t>https://drive.google.com/file/d/1_ZkJtmOmC4icM12KNoTZES_3ZLZxiujZ/view?usp=drivesdk</t>
  </si>
  <si>
    <t xml:space="preserve">DWI YUNITA BUDIARTI, S.E. </t>
  </si>
  <si>
    <t>dyb7681@gmail.com</t>
  </si>
  <si>
    <t>656</t>
  </si>
  <si>
    <t>https://drive.google.com/file/d/1_qNEv7FW_jLZ1dGgNl-uONE9cbt_M-y2/view?usp=drivesdk</t>
  </si>
  <si>
    <t>Document successfully created; Document successfully merged; PDF created; !!Error Sending Emails: Service invoked too many times for one day: email.; Run via form trigger as ecertificate75@gmail.com; Timestamp: Aug 29 2024 8:53 PM</t>
  </si>
  <si>
    <t>1_qNEv7FW_jLZ1dGgNl-uONE9cbt_M-y2</t>
  </si>
  <si>
    <t>1ld1E8BoPK9on4uxbm0F8s2FzAwbePt8L</t>
  </si>
  <si>
    <t>https://drive.google.com/file/d/1ld1E8BoPK9on4uxbm0F8s2FzAwbePt8L/view?usp=drivesdk</t>
  </si>
  <si>
    <t>Document successfully created; Document successfully merged; PDF created; !!Error Sending Emails: Service invoked too many times for one day: email.; Manually run by ecertificate75@gmail.com; Timestamp: Aug 30 2024 10:41 PM</t>
  </si>
  <si>
    <t>1BtF7HQmGTPNYhret_n7G_BnMRW-NslV5</t>
  </si>
  <si>
    <t>https://drive.google.com/file/d/1BtF7HQmGTPNYhret_n7G_BnMRW-NslV5/view?usp=drivesdk</t>
  </si>
  <si>
    <t>TUTIK JUNIFAH S.H.</t>
  </si>
  <si>
    <t>sarpras.pusinafis1@gmail.com</t>
  </si>
  <si>
    <t>657</t>
  </si>
  <si>
    <t>https://drive.google.com/file/d/1g_qC_PNq78Jt6TuNNW5RHhlPo0UWKEcp/view?usp=drivesdk</t>
  </si>
  <si>
    <t>1g_qC_PNq78Jt6TuNNW5RHhlPo0UWKEcp</t>
  </si>
  <si>
    <t>1qR8FqCiNf6a1y6i1ZV1C0sEAqbDLJe10</t>
  </si>
  <si>
    <t>https://drive.google.com/file/d/1qR8FqCiNf6a1y6i1ZV1C0sEAqbDLJe10/view?usp=drivesdk</t>
  </si>
  <si>
    <t>Starting at Sat Aug 31 2024 07:47:22 GMT-0400 (EDT)</t>
  </si>
  <si>
    <t>YULI NUGRAENI</t>
  </si>
  <si>
    <t>yulinugraheni31@gmail.com</t>
  </si>
  <si>
    <t>658</t>
  </si>
  <si>
    <t>https://drive.google.com/file/d/1MqhoXC7-XP17462JT5AsbVDEHaa7pBOl/view?usp=drivesdk</t>
  </si>
  <si>
    <t>1MqhoXC7-XP17462JT5AsbVDEHaa7pBOl</t>
  </si>
  <si>
    <t>1ILzoQxV2fdDVleVODJhLCWlO9A8JrjEF</t>
  </si>
  <si>
    <t>https://drive.google.com/file/d/1ILzoQxV2fdDVleVODJhLCWlO9A8JrjEF/view?usp=drivesdk</t>
  </si>
  <si>
    <t>ERRYDA JANUARTI</t>
  </si>
  <si>
    <t>nonianev72@gmail.com</t>
  </si>
  <si>
    <t>659</t>
  </si>
  <si>
    <t>https://drive.google.com/file/d/1K-sV-1RfEzhxC85E8e6dKrKIZfBqyDdy/view?usp=drivesdk</t>
  </si>
  <si>
    <t>1K-sV-1RfEzhxC85E8e6dKrKIZfBqyDdy</t>
  </si>
  <si>
    <t>1vh3YxmG2y0d_9jSBnjRw6ED8W8a5gU6S</t>
  </si>
  <si>
    <t>https://drive.google.com/file/d/1vh3YxmG2y0d_9jSBnjRw6ED8W8a5gU6S/view?usp=drivesdk</t>
  </si>
  <si>
    <t>GITA GENTANIA, S.T., M.M.</t>
  </si>
  <si>
    <t>gitaghe80@gmail.com</t>
  </si>
  <si>
    <t>660</t>
  </si>
  <si>
    <t>https://drive.google.com/file/d/1dvsvWZbSJ1qS_0ual50VPu_jjHxUwp5d/view?usp=drivesdk</t>
  </si>
  <si>
    <t>1dvsvWZbSJ1qS_0ual50VPu_jjHxUwp5d</t>
  </si>
  <si>
    <t>1GMvDsjG3UqyjhZgoRxFMIDNgsyFKfSBj</t>
  </si>
  <si>
    <t>https://drive.google.com/file/d/1GMvDsjG3UqyjhZgoRxFMIDNgsyFKfSBj/view?usp=drivesdk</t>
  </si>
  <si>
    <t>EKA BUDI SANTOSA S.Pd</t>
  </si>
  <si>
    <t>sekabudi73@gmail.com</t>
  </si>
  <si>
    <t>661</t>
  </si>
  <si>
    <t>https://drive.google.com/file/d/1b2MqVEm3eRM9BZiTJdX25EozZWBsgjJs/view?usp=drivesdk</t>
  </si>
  <si>
    <t>1b2MqVEm3eRM9BZiTJdX25EozZWBsgjJs</t>
  </si>
  <si>
    <t>1jk70OscvQ8VGsi_hOl9hKxNKRXvwECEh</t>
  </si>
  <si>
    <t>https://drive.google.com/file/d/1jk70OscvQ8VGsi_hOl9hKxNKRXvwECEh/view?usp=drivesdk</t>
  </si>
  <si>
    <t>SOFAN OKTANTO, A.MD.</t>
  </si>
  <si>
    <t>SOFAN.OKTANTO@GMAIL.COM</t>
  </si>
  <si>
    <t>662</t>
  </si>
  <si>
    <t>https://drive.google.com/file/d/1OVzX4GqH8tG0T0YosXAHXy-xCIebkn19/view?usp=drivesdk</t>
  </si>
  <si>
    <t>1OVzX4GqH8tG0T0YosXAHXy-xCIebkn19</t>
  </si>
  <si>
    <t>1p7M58vo1NMDobCVtJ2GsvUqUY6zsFuk6</t>
  </si>
  <si>
    <t>https://drive.google.com/file/d/1p7M58vo1NMDobCVtJ2GsvUqUY6zsFuk6/view?usp=drivesdk</t>
  </si>
  <si>
    <t>Document successfully created; Document successfully merged; PDF created; !!Error Sending Emails: Service invoked too many times for one day: email.; Manually run by ecertificate75@gmail.com; Timestamp: Aug 30 2024 10:42 PM</t>
  </si>
  <si>
    <t>SURYANI KATRI WIDHIANINGRUM</t>
  </si>
  <si>
    <t>suryanikatri@gmail.com</t>
  </si>
  <si>
    <t>663</t>
  </si>
  <si>
    <t>https://drive.google.com/file/d/1tb979E7j-cAny7pqAsEno-lcZfkI8DDR/view?usp=drivesdk</t>
  </si>
  <si>
    <t>1tb979E7j-cAny7pqAsEno-lcZfkI8DDR</t>
  </si>
  <si>
    <t>1M9PH18B38OPQjBnzNyDrvq4L4G4By3og</t>
  </si>
  <si>
    <t>https://drive.google.com/file/d/1M9PH18B38OPQjBnzNyDrvq4L4G4By3og/view?usp=drivesdk</t>
  </si>
  <si>
    <t>RABIWTUL LAILA SKM</t>
  </si>
  <si>
    <t>rabiatullaila464@gmail.com</t>
  </si>
  <si>
    <t>664</t>
  </si>
  <si>
    <t>https://drive.google.com/file/d/1QMUBMgfJ12qbTViv7Mjh5kveBaMgmB2i/view?usp=drivesdk</t>
  </si>
  <si>
    <t>1QMUBMgfJ12qbTViv7Mjh5kveBaMgmB2i</t>
  </si>
  <si>
    <t>1IKxPfD9CMPEiTEu8wXld6s58xWrdEuui</t>
  </si>
  <si>
    <t>https://drive.google.com/file/d/1IKxPfD9CMPEiTEu8wXld6s58xWrdEuui/view?usp=drivesdk</t>
  </si>
  <si>
    <t>KORNELIUS S KAMBA, SE.,MM</t>
  </si>
  <si>
    <t>korneliuskamba430@gmail.com</t>
  </si>
  <si>
    <t>665</t>
  </si>
  <si>
    <t>https://drive.google.com/file/d/17kbJEkBwvcMox9eGeAaNCGWz2UjSBev6/view?usp=drivesdk</t>
  </si>
  <si>
    <t>17kbJEkBwvcMox9eGeAaNCGWz2UjSBev6</t>
  </si>
  <si>
    <t>1akCsGAQ8YjJ54dsGNCEOn27Af3aahsUx</t>
  </si>
  <si>
    <t>https://drive.google.com/file/d/1akCsGAQ8YjJ54dsGNCEOn27Af3aahsUx/view?usp=drivesdk</t>
  </si>
  <si>
    <t>ARI DJUNAEDI, AMD</t>
  </si>
  <si>
    <t>aribarca80@gmail.com</t>
  </si>
  <si>
    <t>666</t>
  </si>
  <si>
    <t>https://drive.google.com/file/d/1Gs5V7aTwJ2RoqJ2bxYfFXju6_TgiKLRs/view?usp=drivesdk</t>
  </si>
  <si>
    <t>1Gs5V7aTwJ2RoqJ2bxYfFXju6_TgiKLRs</t>
  </si>
  <si>
    <t>1U3-hZyd2SPUljnTM-gBmL6fteP6dO0Hv</t>
  </si>
  <si>
    <t>https://drive.google.com/file/d/1U3-hZyd2SPUljnTM-gBmL6fteP6dO0Hv/view?usp=drivesdk</t>
  </si>
  <si>
    <t>VITHA ANASTIWI</t>
  </si>
  <si>
    <t>vita.tiwie@gmail.com</t>
  </si>
  <si>
    <t>667</t>
  </si>
  <si>
    <t>https://drive.google.com/file/d/1U40HeNBCje99qjsQhwd5IpBU0KVpKgfy/view?usp=drivesdk</t>
  </si>
  <si>
    <t>1U40HeNBCje99qjsQhwd5IpBU0KVpKgfy</t>
  </si>
  <si>
    <t>1otGuBQIz04e1bhVEWhOvyhqTMEW6AnOT</t>
  </si>
  <si>
    <t>https://drive.google.com/file/d/1otGuBQIz04e1bhVEWhOvyhqTMEW6AnOT/view?usp=drivesdk</t>
  </si>
  <si>
    <t>Document successfully created; Document successfully merged; PDF created; !!Error Sending Emails: Service invoked too many times for one day: email.; Manually run by ecertificate75@gmail.com; Timestamp: Aug 30 2024 10:43 PM</t>
  </si>
  <si>
    <t>ANANG WAHYU DWI PRASETYO, S.Pd.</t>
  </si>
  <si>
    <t>anang.wdp@gmail.com</t>
  </si>
  <si>
    <t>668</t>
  </si>
  <si>
    <t>https://drive.google.com/file/d/1mxgFQdv2lbfAbogoQNwygwWjuLO7R8Yc/view?usp=drivesdk</t>
  </si>
  <si>
    <t>1mxgFQdv2lbfAbogoQNwygwWjuLO7R8Yc</t>
  </si>
  <si>
    <t>1CloSywrhEPp7cNAgyAfXIaVWNwkRG9B8</t>
  </si>
  <si>
    <t>https://drive.google.com/file/d/1CloSywrhEPp7cNAgyAfXIaVWNwkRG9B8/view?usp=drivesdk</t>
  </si>
  <si>
    <t>DESTIANA TARIGAN, AMD KEP</t>
  </si>
  <si>
    <t>destianatarigan8@gmail.com</t>
  </si>
  <si>
    <t>669</t>
  </si>
  <si>
    <t>https://drive.google.com/file/d/11ENOBDizlvuxnNWJan9xcjIF2SLyeSot/view?usp=drivesdk</t>
  </si>
  <si>
    <t>11ENOBDizlvuxnNWJan9xcjIF2SLyeSot</t>
  </si>
  <si>
    <t>1vwsxru5tgTKgQXL8GoVZfOZKS33DP1MG</t>
  </si>
  <si>
    <t>https://drive.google.com/file/d/1vwsxru5tgTKgQXL8GoVZfOZKS33DP1MG/view?usp=drivesdk</t>
  </si>
  <si>
    <t>MUHAMAD SANUSI</t>
  </si>
  <si>
    <t>muhammad.sanusie84@gmail.com</t>
  </si>
  <si>
    <t>670</t>
  </si>
  <si>
    <t>https://drive.google.com/file/d/1Zyp_UGp8QEPkXp0KEDloK9vXVNqEvRIl/view?usp=drivesdk</t>
  </si>
  <si>
    <t>1Zyp_UGp8QEPkXp0KEDloK9vXVNqEvRIl</t>
  </si>
  <si>
    <t>1V3RZxmHRSqU2LWSIGNlQqHtFuJHtVj60</t>
  </si>
  <si>
    <t>https://drive.google.com/file/d/1V3RZxmHRSqU2LWSIGNlQqHtFuJHtVj60/view?usp=drivesdk</t>
  </si>
  <si>
    <t>EKO SUPRIYANTO, SIP</t>
  </si>
  <si>
    <t>supriyantoeko1971@gmail.comm</t>
  </si>
  <si>
    <t>671</t>
  </si>
  <si>
    <t>https://drive.google.com/file/d/1PCrEKMQ-ry0X8-yVPb2qVnlxvnSk5h6r/view?usp=drivesdk</t>
  </si>
  <si>
    <t>1PCrEKMQ-ry0X8-yVPb2qVnlxvnSk5h6r</t>
  </si>
  <si>
    <t>153sR0HaJgeoeHItSpGxyZQVhEIL7Sn8E</t>
  </si>
  <si>
    <t>https://drive.google.com/file/d/153sR0HaJgeoeHItSpGxyZQVhEIL7Sn8E/view?usp=drivesdk</t>
  </si>
  <si>
    <t>HERRY SUPRAYITNO</t>
  </si>
  <si>
    <t>herrysuprayitno12@gmail.com</t>
  </si>
  <si>
    <t>672</t>
  </si>
  <si>
    <t>https://drive.google.com/file/d/1asIt1mzaZl6Y9ysdZf79UG-sivCCLLs9/view?usp=drivesdk</t>
  </si>
  <si>
    <t>1asIt1mzaZl6Y9ysdZf79UG-sivCCLLs9</t>
  </si>
  <si>
    <t>1IbIEN0I9EKE5cs_3b610JC5Q8YN_H_gV</t>
  </si>
  <si>
    <t>https://drive.google.com/file/d/1IbIEN0I9EKE5cs_3b610JC5Q8YN_H_gV/view?usp=drivesdk</t>
  </si>
  <si>
    <t>Document successfully created; Document successfully merged; PDF created; !!Error Sending Emails: Service invoked too many times for one day: email.; Manually run by ecertificate75@gmail.com; Timestamp: Aug 30 2024 10:44 PM</t>
  </si>
  <si>
    <t>SANTI DIANA KARINI, SH</t>
  </si>
  <si>
    <t>shantydiana4@gmail.com</t>
  </si>
  <si>
    <t>673</t>
  </si>
  <si>
    <t>https://drive.google.com/file/d/1x1sIae-LZDhd-sA8BGZWIoEVhGYlRDu5/view?usp=drivesdk</t>
  </si>
  <si>
    <t>1x1sIae-LZDhd-sA8BGZWIoEVhGYlRDu5</t>
  </si>
  <si>
    <t>150b0JsPbd9AeOn1xkSt4_ZtlnKhyFRT0</t>
  </si>
  <si>
    <t>https://drive.google.com/file/d/150b0JsPbd9AeOn1xkSt4_ZtlnKhyFRT0/view?usp=drivesdk</t>
  </si>
  <si>
    <t>FERNANDO TIMOTEUS PARDEDE, S.E., M.M.</t>
  </si>
  <si>
    <t>timoteusfernando@gmail.com</t>
  </si>
  <si>
    <t>674</t>
  </si>
  <si>
    <t>https://drive.google.com/file/d/1sEAWwlzrMk0ps9_BvHlNFxTuG5_V51QQ/view?usp=drivesdk</t>
  </si>
  <si>
    <t>1sEAWwlzrMk0ps9_BvHlNFxTuG5_V51QQ</t>
  </si>
  <si>
    <t>1r-0P_Ohba23zuHR47s70TUhj-FYS-Nrl</t>
  </si>
  <si>
    <t>https://drive.google.com/file/d/1r-0P_Ohba23zuHR47s70TUhj-FYS-Nrl/view?usp=drivesdk</t>
  </si>
  <si>
    <t>RAKA A. SWASTIKA, S.Si., M.Sc</t>
  </si>
  <si>
    <t>aagrakaas@gmail.com</t>
  </si>
  <si>
    <t>675</t>
  </si>
  <si>
    <t>Starting at Thu Aug 29 2024 20:47:04 GMT-0400 (EDT)</t>
  </si>
  <si>
    <t>1twelyVUSI1r98SpNnx3rhBFnatqXK87a</t>
  </si>
  <si>
    <t>https://drive.google.com/file/d/1twelyVUSI1r98SpNnx3rhBFnatqXK87a/view?usp=drivesdk</t>
  </si>
  <si>
    <t>A. HAMIDI YANSYAH, AM.KEP</t>
  </si>
  <si>
    <t>hamidhy@gmail.com</t>
  </si>
  <si>
    <t>676</t>
  </si>
  <si>
    <t>https://drive.google.com/file/d/1SdOdf87Ru6mYs6MHVlVVJH40p4bBKtwO/view?usp=drivesdk</t>
  </si>
  <si>
    <t>1SdOdf87Ru6mYs6MHVlVVJH40p4bBKtwO</t>
  </si>
  <si>
    <t>1m7_60YN_dF0iCba0D-UgjhsvNnGBQRCh</t>
  </si>
  <si>
    <t>https://drive.google.com/file/d/1m7_60YN_dF0iCba0D-UgjhsvNnGBQRCh/view?usp=drivesdk</t>
  </si>
  <si>
    <t>DEDEH HENDARSIH, S.E.</t>
  </si>
  <si>
    <t>hendarsihdedeh@gmail.com</t>
  </si>
  <si>
    <t>677</t>
  </si>
  <si>
    <t>https://drive.google.com/file/d/17VYVsKSRlRpyTOWBo5aEyjtX8vPjegEC/view?usp=drivesdk</t>
  </si>
  <si>
    <t>17VYVsKSRlRpyTOWBo5aEyjtX8vPjegEC</t>
  </si>
  <si>
    <t>1EYr2Z-63Vt9TA6X2em3NguPbOH55LMOE</t>
  </si>
  <si>
    <t>https://drive.google.com/file/d/1EYr2Z-63Vt9TA6X2em3NguPbOH55LMOE/view?usp=drivesdk</t>
  </si>
  <si>
    <t>Document successfully created; Document successfully merged; PDF created; !!Error Sending Emails: Service invoked too many times for one day: email.; Manually run by ecertificate75@gmail.com; Timestamp: Aug 30 2024 10:45 PM</t>
  </si>
  <si>
    <t>ESTI LESTARI, S.Si</t>
  </si>
  <si>
    <t>ierfany30@gmail.com</t>
  </si>
  <si>
    <t>678</t>
  </si>
  <si>
    <t>https://drive.google.com/file/d/188LrCeKQCaNfBhFHKMcav-Xv6GcKvXZR/view?usp=drivesdk</t>
  </si>
  <si>
    <t>188LrCeKQCaNfBhFHKMcav-Xv6GcKvXZR</t>
  </si>
  <si>
    <t>1_qFNnPz0zk4qYun0xDL1h7Rmomsj_xqp</t>
  </si>
  <si>
    <t>https://drive.google.com/file/d/1_qFNnPz0zk4qYun0xDL1h7Rmomsj_xqp/view?usp=drivesdk</t>
  </si>
  <si>
    <t>UMI EKA WAHYUNI, S.H.</t>
  </si>
  <si>
    <t>umiekawahyuni99@gmail.com</t>
  </si>
  <si>
    <t>679</t>
  </si>
  <si>
    <t>https://drive.google.com/file/d/1j35XC1pJrWQhIk76c8cfqDslt-LC0Xyf/view?usp=drivesdk</t>
  </si>
  <si>
    <t>1j35XC1pJrWQhIk76c8cfqDslt-LC0Xyf</t>
  </si>
  <si>
    <t>1yYeclKFcAg2goUZPqXhTjKay_UFxfnIn</t>
  </si>
  <si>
    <t>https://drive.google.com/file/d/1yYeclKFcAg2goUZPqXhTjKay_UFxfnIn/view?usp=drivesdk</t>
  </si>
  <si>
    <t xml:space="preserve">ITA FATMAWATI </t>
  </si>
  <si>
    <t>marsyaluvi47@gmail.com</t>
  </si>
  <si>
    <t>680</t>
  </si>
  <si>
    <t>https://drive.google.com/file/d/11RGRsCTWw43j6-QwFuSX16_3aXn9SW19/view?usp=drivesdk</t>
  </si>
  <si>
    <t>11RGRsCTWw43j6-QwFuSX16_3aXn9SW19</t>
  </si>
  <si>
    <t>1mBS763UjSOgZ-7U7Zv7C0lG3obJMBaqh</t>
  </si>
  <si>
    <t>https://drive.google.com/file/d/1mBS763UjSOgZ-7U7Zv7C0lG3obJMBaqh/view?usp=drivesdk</t>
  </si>
  <si>
    <t>ERWIN TASMAWINATA</t>
  </si>
  <si>
    <t>erwintasmawinata17@gmail.com</t>
  </si>
  <si>
    <t>681</t>
  </si>
  <si>
    <t>https://drive.google.com/file/d/1p5HjzYxdxyqbdauTSNA_m7fRfkg41XCt/view?usp=drivesdk</t>
  </si>
  <si>
    <t>1p5HjzYxdxyqbdauTSNA_m7fRfkg41XCt</t>
  </si>
  <si>
    <t>108oE51xsGRpJWdCNwPlStOeRGrLE54RM</t>
  </si>
  <si>
    <t>https://drive.google.com/file/d/108oE51xsGRpJWdCNwPlStOeRGrLE54RM/view?usp=drivesdk</t>
  </si>
  <si>
    <t>V. HARYO DHANENDRO, S.H., M.H.</t>
  </si>
  <si>
    <t>dhandhoet@gmail.com</t>
  </si>
  <si>
    <t>682</t>
  </si>
  <si>
    <t>https://drive.google.com/file/d/1BZPrftkKnB894x5jdf-0QidXx9qz_gaQ/view?usp=drivesdk</t>
  </si>
  <si>
    <t>1BZPrftkKnB894x5jdf-0QidXx9qz_gaQ</t>
  </si>
  <si>
    <t>1eSh6P47XvasXvPeu7dB6XxGV_botmsKe</t>
  </si>
  <si>
    <t>https://drive.google.com/file/d/1eSh6P47XvasXvPeu7dB6XxGV_botmsKe/view?usp=drivesdk</t>
  </si>
  <si>
    <t>RATNA ANASTASIA TRIWIDIASTUTI, A.Md</t>
  </si>
  <si>
    <t>kautsar.astanayodha@gmail.com</t>
  </si>
  <si>
    <t>683</t>
  </si>
  <si>
    <t>https://drive.google.com/file/d/1p6GbwYnCuH0cHScTd0c4Q2Q1lpCl-0Xi/view?usp=drivesdk</t>
  </si>
  <si>
    <t>1p6GbwYnCuH0cHScTd0c4Q2Q1lpCl-0Xi</t>
  </si>
  <si>
    <t>1EeA3rGl7BzjJt86J1cjtSVu7jHrDhUNu</t>
  </si>
  <si>
    <t>https://drive.google.com/file/d/1EeA3rGl7BzjJt86J1cjtSVu7jHrDhUNu/view?usp=drivesdk</t>
  </si>
  <si>
    <t>Document successfully created; Document successfully merged; PDF created; !!Error Sending Emails: Service invoked too many times for one day: email.; Manually run by ecertificate75@gmail.com; Timestamp: Aug 30 2024 10:46 PM</t>
  </si>
  <si>
    <t>LITA NUR AMBAEWATI, S.Kep, Ners</t>
  </si>
  <si>
    <t>litanurambarwati@gmail.com</t>
  </si>
  <si>
    <t>684</t>
  </si>
  <si>
    <t>https://drive.google.com/file/d/1wx4KCE9Rv01RBY6HKioQMWExjyqNJSNQ/view?usp=drivesdk</t>
  </si>
  <si>
    <t>1wx4KCE9Rv01RBY6HKioQMWExjyqNJSNQ</t>
  </si>
  <si>
    <t>1IsFGXUoIlcaIl5zZqIkykZrOzuoEXA8e</t>
  </si>
  <si>
    <t>https://drive.google.com/file/d/1IsFGXUoIlcaIl5zZqIkykZrOzuoEXA8e/view?usp=drivesdk</t>
  </si>
  <si>
    <t>IDAM NURSUHANTO</t>
  </si>
  <si>
    <t>idamnursuhanto@gmail.com</t>
  </si>
  <si>
    <t>685</t>
  </si>
  <si>
    <t>https://drive.google.com/file/d/1AlVyVa3RWUsGf6jlKdXsN_6q0ozPb2-r/view?usp=drivesdk</t>
  </si>
  <si>
    <t>1AlVyVa3RWUsGf6jlKdXsN_6q0ozPb2-r</t>
  </si>
  <si>
    <t>1XcPtnwAhRgAe0ukLf9Rgggb8id9vsL0_</t>
  </si>
  <si>
    <t>https://drive.google.com/file/d/1XcPtnwAhRgAe0ukLf9Rgggb8id9vsL0_/view?usp=drivesdk</t>
  </si>
  <si>
    <t>NOPI SUSILOWATI</t>
  </si>
  <si>
    <t>nopidokkes@gmail.com</t>
  </si>
  <si>
    <t>686</t>
  </si>
  <si>
    <t>https://drive.google.com/file/d/1fw55wyBFflciy7a6G46MFrMw0efUsbb6/view?usp=drivesdk</t>
  </si>
  <si>
    <t>1fw55wyBFflciy7a6G46MFrMw0efUsbb6</t>
  </si>
  <si>
    <t>1UYmJxNO41I1rd729Ofbc9EXdf6Z7Y8AZ</t>
  </si>
  <si>
    <t>https://drive.google.com/file/d/1UYmJxNO41I1rd729Ofbc9EXdf6Z7Y8AZ/view?usp=drivesdk</t>
  </si>
  <si>
    <t xml:space="preserve">ETIKA HUSNIATI </t>
  </si>
  <si>
    <t>etikahusniati@gmail.com</t>
  </si>
  <si>
    <t>687</t>
  </si>
  <si>
    <t>https://drive.google.com/file/d/16tYReHYqj62vr9smCOl-Vg_KLVA7f7rb/view?usp=drivesdk</t>
  </si>
  <si>
    <t>16tYReHYqj62vr9smCOl-Vg_KLVA7f7rb</t>
  </si>
  <si>
    <t>1NGpFqUnJwHr6XXlYt_ihZoYPRbPFQ90q</t>
  </si>
  <si>
    <t>https://drive.google.com/file/d/1NGpFqUnJwHr6XXlYt_ihZoYPRbPFQ90q/view?usp=drivesdk</t>
  </si>
  <si>
    <t>LAILATUL ISLAMIAH</t>
  </si>
  <si>
    <t>mikaylaazahra227@gmail.com</t>
  </si>
  <si>
    <t>688</t>
  </si>
  <si>
    <t>https://drive.google.com/file/d/1Eblqfp4ueHcKDT1zoRxVnsSPR1ppmnHb/view?usp=drivesdk</t>
  </si>
  <si>
    <t>1Eblqfp4ueHcKDT1zoRxVnsSPR1ppmnHb</t>
  </si>
  <si>
    <t>1DjRwmf98j6hTjn8qQ9GPzA_TMydFodxj</t>
  </si>
  <si>
    <t>https://drive.google.com/file/d/1DjRwmf98j6hTjn8qQ9GPzA_TMydFodxj/view?usp=drivesdk</t>
  </si>
  <si>
    <t>NOVIANA LISDIYANTI</t>
  </si>
  <si>
    <t>novianalisdiyanti123@gmail.com</t>
  </si>
  <si>
    <t>689</t>
  </si>
  <si>
    <t>https://drive.google.com/file/d/1EvU8r3hf1Z1gyULkyabnxsPa3V7sYfac/view?usp=drivesdk</t>
  </si>
  <si>
    <t>1EvU8r3hf1Z1gyULkyabnxsPa3V7sYfac</t>
  </si>
  <si>
    <t>1GE7KYhiJ2v5F0lwVK7BqxP2pilyw95YD</t>
  </si>
  <si>
    <t>https://drive.google.com/file/d/1GE7KYhiJ2v5F0lwVK7BqxP2pilyw95YD/view?usp=drivesdk</t>
  </si>
  <si>
    <t>DARU SETYO WAHYONO, S.E., M.M.</t>
  </si>
  <si>
    <t>poldajatengbidlabfor@gmail.com</t>
  </si>
  <si>
    <t>690</t>
  </si>
  <si>
    <t>https://drive.google.com/file/d/15ru3laM8-jF7a9vl4AvvW8ZT-07L7ari/view?usp=drivesdk</t>
  </si>
  <si>
    <t>15ru3laM8-jF7a9vl4AvvW8ZT-07L7ari</t>
  </si>
  <si>
    <t>15lDEwEV9unV-LEH6iqIZcRyBFCTdeyPP</t>
  </si>
  <si>
    <t>https://drive.google.com/file/d/15lDEwEV9unV-LEH6iqIZcRyBFCTdeyPP/view?usp=drivesdk</t>
  </si>
  <si>
    <t>Document successfully created; Document successfully merged; PDF created; !!Error Sending Emails: Service invoked too many times for one day: email.; Manually run by ecertificate75@gmail.com; Timestamp: Aug 30 2024 10:47 PM</t>
  </si>
  <si>
    <t>RIZKA HIMAWATY</t>
  </si>
  <si>
    <t>KOMPOL</t>
  </si>
  <si>
    <t>rizka.h.unissula@gmail.com</t>
  </si>
  <si>
    <t>691</t>
  </si>
  <si>
    <t>https://drive.google.com/file/d/11BpdYZcHuigvt3dGiwtyg83_m_I3LYj6/view?usp=drivesdk</t>
  </si>
  <si>
    <t>11BpdYZcHuigvt3dGiwtyg83_m_I3LYj6</t>
  </si>
  <si>
    <t>1_urTIXbsrcpmRcrSTdW548w-OQJLjEXx</t>
  </si>
  <si>
    <t>https://drive.google.com/file/d/1_urTIXbsrcpmRcrSTdW548w-OQJLjEXx/view?usp=drivesdk</t>
  </si>
  <si>
    <t>HINDANSYAH S.KEP.,NERS</t>
  </si>
  <si>
    <t>hindansyah615@gmail.com</t>
  </si>
  <si>
    <t>692</t>
  </si>
  <si>
    <t>https://drive.google.com/file/d/1bFD02uh5rOh5s7b9nWinr6G7Awh_go6y/view?usp=drivesdk</t>
  </si>
  <si>
    <t>1bFD02uh5rOh5s7b9nWinr6G7Awh_go6y</t>
  </si>
  <si>
    <t>1bky6pJHIgKe8xRNQTP6zROSxTZDaXddU</t>
  </si>
  <si>
    <t>https://drive.google.com/file/d/1bky6pJHIgKe8xRNQTP6zROSxTZDaXddU/view?usp=drivesdk</t>
  </si>
  <si>
    <t>MOHAMMAD HASIM</t>
  </si>
  <si>
    <t>mohhasim1968@gmail.com</t>
  </si>
  <si>
    <t>693</t>
  </si>
  <si>
    <t>https://drive.google.com/file/d/1nayvfqseQmrY3YyxmrWO7R6V1oNVM0B3/view?usp=drivesdk</t>
  </si>
  <si>
    <t>1nayvfqseQmrY3YyxmrWO7R6V1oNVM0B3</t>
  </si>
  <si>
    <t>1VW64PKx67yYkTpPfg3TdzmGkZWE3qBvp</t>
  </si>
  <si>
    <t>https://drive.google.com/file/d/1VW64PKx67yYkTpPfg3TdzmGkZWE3qBvp/view?usp=drivesdk</t>
  </si>
  <si>
    <t>PENATA PURWANTI, SM</t>
  </si>
  <si>
    <t>pwanti2401@gmail.com</t>
  </si>
  <si>
    <t>694</t>
  </si>
  <si>
    <t>https://drive.google.com/file/d/1cCh5EOrYkZ_mGtZQ26LMMx7QSST4-fBB/view?usp=drivesdk</t>
  </si>
  <si>
    <t>1cCh5EOrYkZ_mGtZQ26LMMx7QSST4-fBB</t>
  </si>
  <si>
    <t>1LHhQNJqSIIFIk6pdLxGSDPCwv-1ldNpZ</t>
  </si>
  <si>
    <t>https://drive.google.com/file/d/1LHhQNJqSIIFIk6pdLxGSDPCwv-1ldNpZ/view?usp=drivesdk</t>
  </si>
  <si>
    <t>RIEZKY RIANA ANGGRAINI</t>
  </si>
  <si>
    <t>rianaanggrainiriezky@yahoo.com</t>
  </si>
  <si>
    <t>695</t>
  </si>
  <si>
    <t>https://drive.google.com/file/d/1ORXb0LGHy6cMlpWAxog4QNHf3ezpFe5J/view?usp=drivesdk</t>
  </si>
  <si>
    <t>1ORXb0LGHy6cMlpWAxog4QNHf3ezpFe5J</t>
  </si>
  <si>
    <t>1mthUAHCxfVUALwlD8z2Vyg_TqYO6yEV3</t>
  </si>
  <si>
    <t>https://drive.google.com/file/d/1mthUAHCxfVUALwlD8z2Vyg_TqYO6yEV3/view?usp=drivesdk</t>
  </si>
  <si>
    <t>GALIH OKTAVIANO, A.Md.Kep</t>
  </si>
  <si>
    <t>galih17oktav@gmail.com</t>
  </si>
  <si>
    <t>696</t>
  </si>
  <si>
    <t>https://drive.google.com/file/d/1te7Q1Stj8wt9NiPWJ17XboxJb6t0E757/view?usp=drivesdk</t>
  </si>
  <si>
    <t>1te7Q1Stj8wt9NiPWJ17XboxJb6t0E757</t>
  </si>
  <si>
    <t>1B_NESIE8OB0NF0Wv956HPiJWXjRx1MBX</t>
  </si>
  <si>
    <t>https://drive.google.com/file/d/1B_NESIE8OB0NF0Wv956HPiJWXjRx1MBX/view?usp=drivesdk</t>
  </si>
  <si>
    <t>Document successfully created; Document successfully merged; PDF created; !!Error Sending Emails: Service invoked too many times for one day: email.; Manually run by ecertificate75@gmail.com; Timestamp: Aug 30 2024 10:48 PM</t>
  </si>
  <si>
    <t>SHINTA ANDROMEDA, S.T.</t>
  </si>
  <si>
    <t>sintaandromeda78@gmail.com</t>
  </si>
  <si>
    <t>697</t>
  </si>
  <si>
    <t>https://drive.google.com/file/d/1HxvExIkpDscNC4gnQVSscwYvAAnNo-uQ/view?usp=drivesdk</t>
  </si>
  <si>
    <t>1HxvExIkpDscNC4gnQVSscwYvAAnNo-uQ</t>
  </si>
  <si>
    <t>1rmllSW-mdf944Sz2bFh-kNoc1Dk06jB-</t>
  </si>
  <si>
    <t>https://drive.google.com/file/d/1rmllSW-mdf944Sz2bFh-kNoc1Dk06jB-/view?usp=drivesdk</t>
  </si>
  <si>
    <t>ARDITA SETIAWAN</t>
  </si>
  <si>
    <t>setiawanardita@gmail.com</t>
  </si>
  <si>
    <t>698</t>
  </si>
  <si>
    <t>https://drive.google.com/file/d/1mOf5EOUx30u0vz231Sg-Xpgn-ExGs9v6/view?usp=drivesdk</t>
  </si>
  <si>
    <t>1mOf5EOUx30u0vz231Sg-Xpgn-ExGs9v6</t>
  </si>
  <si>
    <t>1OA3D1OP6U9q_Xl3SBaRnXH6MghYoURrR</t>
  </si>
  <si>
    <t>https://drive.google.com/file/d/1OA3D1OP6U9q_Xl3SBaRnXH6MghYoURrR/view?usp=drivesdk</t>
  </si>
  <si>
    <t>RENNY GUSNELLY</t>
  </si>
  <si>
    <t>rennygusnelly@gmail.com</t>
  </si>
  <si>
    <t>699</t>
  </si>
  <si>
    <t>https://drive.google.com/file/d/15kwAiAd5atAUWzpvXCUAJMhhYHI2G_BM/view?usp=drivesdk</t>
  </si>
  <si>
    <t>15kwAiAd5atAUWzpvXCUAJMhhYHI2G_BM</t>
  </si>
  <si>
    <t>16ooKmrVUWEqzjBfP3ftiv-84wH3gXr2c</t>
  </si>
  <si>
    <t>https://drive.google.com/file/d/16ooKmrVUWEqzjBfP3ftiv-84wH3gXr2c/view?usp=drivesdk</t>
  </si>
  <si>
    <t>YULI HARTATI, Amd. Kep</t>
  </si>
  <si>
    <t>yulibpp123@gmail.com</t>
  </si>
  <si>
    <t>700</t>
  </si>
  <si>
    <t>https://drive.google.com/file/d/1R8uajOg0HcxoQEuM7AQeMh-VmjqcZkXq/view?usp=drivesdk</t>
  </si>
  <si>
    <t>1R8uajOg0HcxoQEuM7AQeMh-VmjqcZkXq</t>
  </si>
  <si>
    <t>1njpRkkd7K2G9Sx5OMv6ZPHwxC38H0tBG</t>
  </si>
  <si>
    <t>https://drive.google.com/file/d/1njpRkkd7K2G9Sx5OMv6ZPHwxC38H0tBG/view?usp=drivesdk</t>
  </si>
  <si>
    <t>ELSA MARDIAN, S.Si</t>
  </si>
  <si>
    <t>elsalenny@gmail.com</t>
  </si>
  <si>
    <t>701</t>
  </si>
  <si>
    <t>https://drive.google.com/file/d/1IlRqlao7qTjq2s1-6sEp1RKOiRjoHmsj/view?usp=drivesdk</t>
  </si>
  <si>
    <t>1IlRqlao7qTjq2s1-6sEp1RKOiRjoHmsj</t>
  </si>
  <si>
    <t>1XUwYSomd4vzCQ0ffexBIu9A49VEctUXi</t>
  </si>
  <si>
    <t>https://drive.google.com/file/d/1XUwYSomd4vzCQ0ffexBIu9A49VEctUXi/view?usp=drivesdk</t>
  </si>
  <si>
    <t>Document successfully created; Document successfully merged; PDF created; !!Error Sending Emails: Service invoked too many times for one day: email.; Manually run by ecertificate75@gmail.com; Timestamp: Aug 30 2024 10:49 PM</t>
  </si>
  <si>
    <t>LELY PUSPITA SARI,AMK</t>
  </si>
  <si>
    <t>lely.puspita.dksjbr@gmail.com</t>
  </si>
  <si>
    <t>702</t>
  </si>
  <si>
    <t>https://drive.google.com/file/d/1oFyTrvUsXYzUbq38i9yOJDQAE58u64Lq/view?usp=drivesdk</t>
  </si>
  <si>
    <t>1oFyTrvUsXYzUbq38i9yOJDQAE58u64Lq</t>
  </si>
  <si>
    <t>1saGthpZ61bpK__65B36c0MMhGFOKkza5</t>
  </si>
  <si>
    <t>https://drive.google.com/file/d/1saGthpZ61bpK__65B36c0MMhGFOKkza5/view?usp=drivesdk</t>
  </si>
  <si>
    <t>RIA REVIANA AMD KEB</t>
  </si>
  <si>
    <t>riareviana@gmail.com</t>
  </si>
  <si>
    <t>703</t>
  </si>
  <si>
    <t>https://drive.google.com/file/d/1Nw-kCUy98cjT8BQU8SVzllUta-Gslcci/view?usp=drivesdk</t>
  </si>
  <si>
    <t>1Nw-kCUy98cjT8BQU8SVzllUta-Gslcci</t>
  </si>
  <si>
    <t>11w_FwR8uAci-bSTUnjafJje2n2Xc2dAN</t>
  </si>
  <si>
    <t>https://drive.google.com/file/d/11w_FwR8uAci-bSTUnjafJje2n2Xc2dAN/view?usp=drivesdk</t>
  </si>
  <si>
    <t xml:space="preserve">MOH SAIFUL ULUM </t>
  </si>
  <si>
    <t>saiful6148@gmail.com</t>
  </si>
  <si>
    <t>704</t>
  </si>
  <si>
    <t>https://drive.google.com/file/d/1NSeH_henH08nUpxnEQG7TXTaE3v4juCz/view?usp=drivesdk</t>
  </si>
  <si>
    <t>1NSeH_henH08nUpxnEQG7TXTaE3v4juCz</t>
  </si>
  <si>
    <t>1iuDwOtK49MmbM0s8X2C1b0eTYP7irSVi</t>
  </si>
  <si>
    <t>https://drive.google.com/file/d/1iuDwOtK49MmbM0s8X2C1b0eTYP7irSVi/view?usp=drivesdk</t>
  </si>
  <si>
    <t>TRIKA PUJI ASTUTI</t>
  </si>
  <si>
    <t>trikapujiastuti@gmail.com</t>
  </si>
  <si>
    <t>705</t>
  </si>
  <si>
    <t>https://drive.google.com/file/d/1vEfTUxLwSu3_qorAkr223A7bIOuGlQEY/view?usp=drivesdk</t>
  </si>
  <si>
    <t>1vEfTUxLwSu3_qorAkr223A7bIOuGlQEY</t>
  </si>
  <si>
    <t>1prMXLVsKlTpaI7nO98Qv7K-goMYN6pe1</t>
  </si>
  <si>
    <t>https://drive.google.com/file/d/1prMXLVsKlTpaI7nO98Qv7K-goMYN6pe1/view?usp=drivesdk</t>
  </si>
  <si>
    <t>JULIANA MULOKO</t>
  </si>
  <si>
    <t>julianamuloko71@gmail.com</t>
  </si>
  <si>
    <t>706</t>
  </si>
  <si>
    <t>https://drive.google.com/file/d/17Hj8gEG82041RVPeZz-uNxEvTmjQsIhQ/view?usp=drivesdk</t>
  </si>
  <si>
    <t>17Hj8gEG82041RVPeZz-uNxEvTmjQsIhQ</t>
  </si>
  <si>
    <t>1GTCx_N-p_sarhpd4pH_y2YSjWtm0aLJ8</t>
  </si>
  <si>
    <t>https://drive.google.com/file/d/1GTCx_N-p_sarhpd4pH_y2YSjWtm0aLJ8/view?usp=drivesdk</t>
  </si>
  <si>
    <t>Document successfully created; Document successfully merged; PDF created; !!Error Sending Emails: Service invoked too many times for one day: email.; Manually run by ecertificate75@gmail.com; Timestamp: Aug 30 2024 10:50 PM</t>
  </si>
  <si>
    <t>YUDI ISMAWAN, Amd</t>
  </si>
  <si>
    <t>yudi.ismawan@gmail.com</t>
  </si>
  <si>
    <t>707</t>
  </si>
  <si>
    <t>https://drive.google.com/file/d/16-XOpGgVCULls5UYelGEAOIG90MSfUnX/view?usp=drivesdk</t>
  </si>
  <si>
    <t>16-XOpGgVCULls5UYelGEAOIG90MSfUnX</t>
  </si>
  <si>
    <t>1JaFXp3hQ_pRs8koq5dlpo4yMw2NdqqRL</t>
  </si>
  <si>
    <t>https://drive.google.com/file/d/1JaFXp3hQ_pRs8koq5dlpo4yMw2NdqqRL/view?usp=drivesdk</t>
  </si>
  <si>
    <t>YULI FITRI HANDRIYANI</t>
  </si>
  <si>
    <t>yulifitrihandriyani@gmail.com</t>
  </si>
  <si>
    <t>708</t>
  </si>
  <si>
    <t>https://drive.google.com/file/d/10cypDqkcaeVlTQ-jFWUlXHM6Bj6qf5Mx/view?usp=drivesdk</t>
  </si>
  <si>
    <t>10cypDqkcaeVlTQ-jFWUlXHM6Bj6qf5Mx</t>
  </si>
  <si>
    <t>1gUwy3fBK5qlFZWTEY6Sr6QPr-702Z96F</t>
  </si>
  <si>
    <t>https://drive.google.com/file/d/1gUwy3fBK5qlFZWTEY6Sr6QPr-702Z96F/view?usp=drivesdk</t>
  </si>
  <si>
    <t>YULI FATMAWATI</t>
  </si>
  <si>
    <t>ylfatmawati@gmail.com</t>
  </si>
  <si>
    <t>709</t>
  </si>
  <si>
    <t>https://drive.google.com/file/d/1-r0LnxQhjZ6pw1RbGMvpK0KrWdxhQQ7l/view?usp=drivesdk</t>
  </si>
  <si>
    <t>1-r0LnxQhjZ6pw1RbGMvpK0KrWdxhQQ7l</t>
  </si>
  <si>
    <t>1K85wI5zB8MzKCTixBZxfO6bF-JmxaxB5</t>
  </si>
  <si>
    <t>https://drive.google.com/file/d/1K85wI5zB8MzKCTixBZxfO6bF-JmxaxB5/view?usp=drivesdk</t>
  </si>
  <si>
    <t>RAHAYU KURNIAWATI, S. Kom.</t>
  </si>
  <si>
    <t>rkurniawati12121988@gmail.com</t>
  </si>
  <si>
    <t>710</t>
  </si>
  <si>
    <t>https://drive.google.com/file/d/1qmYBgSP3Zz4aGzD1icv8JJDjSDICg6Y7/view?usp=drivesdk</t>
  </si>
  <si>
    <t>1qmYBgSP3Zz4aGzD1icv8JJDjSDICg6Y7</t>
  </si>
  <si>
    <t>1OzJY5bbq2mRmDdXPo4m0J5N75WfcL1uO</t>
  </si>
  <si>
    <t>https://drive.google.com/file/d/1OzJY5bbq2mRmDdXPo4m0J5N75WfcL1uO/view?usp=drivesdk</t>
  </si>
  <si>
    <t>SISTHA WIDURI SUZAN, S.Si</t>
  </si>
  <si>
    <t>sistha.widuri@gmail.com</t>
  </si>
  <si>
    <t>711</t>
  </si>
  <si>
    <t>https://drive.google.com/file/d/1p9LY_vuf0Ihr5xYDIIO3I4ZdGNvvQsgJ/view?usp=drivesdk</t>
  </si>
  <si>
    <t>1p9LY_vuf0Ihr5xYDIIO3I4ZdGNvvQsgJ</t>
  </si>
  <si>
    <t>12ZRZMYNOLhAcpMzwwHoTcopXmXXBoK-x</t>
  </si>
  <si>
    <t>https://drive.google.com/file/d/12ZRZMYNOLhAcpMzwwHoTcopXmXXBoK-x/view?usp=drivesdk</t>
  </si>
  <si>
    <t>EKO BUDI RISWANTO</t>
  </si>
  <si>
    <t>JURU TK. I</t>
  </si>
  <si>
    <t>ekor0041@gmail.com</t>
  </si>
  <si>
    <t>712</t>
  </si>
  <si>
    <t>https://drive.google.com/file/d/1L8RtUAvuAB5DKWa1ohZV6QIc092pYspN/view?usp=drivesdk</t>
  </si>
  <si>
    <t>1L8RtUAvuAB5DKWa1ohZV6QIc092pYspN</t>
  </si>
  <si>
    <t>1vAIgsPlc_tlYUn4dwzr9DoPUcX4jlypJ</t>
  </si>
  <si>
    <t>https://drive.google.com/file/d/1vAIgsPlc_tlYUn4dwzr9DoPUcX4jlypJ/view?usp=drivesdk</t>
  </si>
  <si>
    <t>Document successfully created; Document successfully merged; PDF created; !!Error Sending Emails: Service invoked too many times for one day: email.; Manually run by ecertificate75@gmail.com; Timestamp: Aug 30 2024 10:51 PM</t>
  </si>
  <si>
    <t>MILDA FATHURRIZKIYAH GISMA, A.MD</t>
  </si>
  <si>
    <t>mildagisma@gmail.com</t>
  </si>
  <si>
    <t>713</t>
  </si>
  <si>
    <t>https://drive.google.com/file/d/1KIs5oStktzuFGbtDpnuWXUUdZACr2vQ8/view?usp=drivesdk</t>
  </si>
  <si>
    <t>1KIs5oStktzuFGbtDpnuWXUUdZACr2vQ8</t>
  </si>
  <si>
    <t>1lwWU_DCyllRMjI5rGSvxdyjpiVMPF2RJ</t>
  </si>
  <si>
    <t>https://drive.google.com/file/d/1lwWU_DCyllRMjI5rGSvxdyjpiVMPF2RJ/view?usp=drivesdk</t>
  </si>
  <si>
    <t>DITA MIANINGSARI</t>
  </si>
  <si>
    <t>ditamianingsari@gmail.com</t>
  </si>
  <si>
    <t>714</t>
  </si>
  <si>
    <t>https://drive.google.com/file/d/1khZt7uYUAjNiEYHi8kmgo0qS-Uh1XtH2/view?usp=drivesdk</t>
  </si>
  <si>
    <t>1khZt7uYUAjNiEYHi8kmgo0qS-Uh1XtH2</t>
  </si>
  <si>
    <t>1fVydC041sF9LKlQWEcIoPw3j5R6wOZxs</t>
  </si>
  <si>
    <t>https://drive.google.com/file/d/1fVydC041sF9LKlQWEcIoPw3j5R6wOZxs/view?usp=drivesdk</t>
  </si>
  <si>
    <t>NI WAYAN LARASATI</t>
  </si>
  <si>
    <t>niwayanlarasati038@gmail.com</t>
  </si>
  <si>
    <t>715</t>
  </si>
  <si>
    <t>https://drive.google.com/file/d/1ePt073qEIY0ksS5LXlpiX_xlrdRY8P2t/view?usp=drivesdk</t>
  </si>
  <si>
    <t>1ePt073qEIY0ksS5LXlpiX_xlrdRY8P2t</t>
  </si>
  <si>
    <t>1Ca9bQsP1ISiupxtQ8DYYvC7mZP9kjuKb</t>
  </si>
  <si>
    <t>https://drive.google.com/file/d/1Ca9bQsP1ISiupxtQ8DYYvC7mZP9kjuKb/view?usp=drivesdk</t>
  </si>
  <si>
    <t>SAFITRI EKA SARI</t>
  </si>
  <si>
    <t>ekasarisafitri1@gmail.com</t>
  </si>
  <si>
    <t>716</t>
  </si>
  <si>
    <t>https://drive.google.com/file/d/1YCthsXqyBKWD3jqPxcmzvwyh0JKrqt05/view?usp=drivesdk</t>
  </si>
  <si>
    <t>1YCthsXqyBKWD3jqPxcmzvwyh0JKrqt05</t>
  </si>
  <si>
    <t>1SqpD6M7iQmyjwxG2ZyvruNctwM6Lojaw</t>
  </si>
  <si>
    <t>https://drive.google.com/file/d/1SqpD6M7iQmyjwxG2ZyvruNctwM6Lojaw/view?usp=drivesdk</t>
  </si>
  <si>
    <t>SRI MULYA NINGSIH</t>
  </si>
  <si>
    <t>srimulyaningsih2680@gmail.com</t>
  </si>
  <si>
    <t>717</t>
  </si>
  <si>
    <t>https://drive.google.com/file/d/1EGfsIxdJc9hP5ffxwKQQzxfPFcCEmOdM/view?usp=drivesdk</t>
  </si>
  <si>
    <t>1EGfsIxdJc9hP5ffxwKQQzxfPFcCEmOdM</t>
  </si>
  <si>
    <t>17JOkNQZLU2RUkrzS-Q43Apx4yIB79wfq</t>
  </si>
  <si>
    <t>https://drive.google.com/file/d/17JOkNQZLU2RUkrzS-Q43Apx4yIB79wfq/view?usp=drivesdk</t>
  </si>
  <si>
    <t>DEWI ASTUTI, SKEP</t>
  </si>
  <si>
    <t>dewi.astuti181979@gmail.com</t>
  </si>
  <si>
    <t>718</t>
  </si>
  <si>
    <t>https://drive.google.com/file/d/1quTDtOhek596_39htomocEUuFgpl5qb9/view?usp=drivesdk</t>
  </si>
  <si>
    <t>1quTDtOhek596_39htomocEUuFgpl5qb9</t>
  </si>
  <si>
    <t>1VGyUQYZB1Xftuocfrxjydnicqcg7Ye-4</t>
  </si>
  <si>
    <t>https://drive.google.com/file/d/1VGyUQYZB1Xftuocfrxjydnicqcg7Ye-4/view?usp=drivesdk</t>
  </si>
  <si>
    <t>Document successfully created; Document successfully merged; PDF created; !!Error Sending Emails: Service invoked too many times for one day: email.; Manually run by ecertificate75@gmail.com; Timestamp: Aug 30 2024 10:52 PM</t>
  </si>
  <si>
    <t>YENNI ROSMAWATI,S.KM</t>
  </si>
  <si>
    <t>andriyenni277@gmail.com</t>
  </si>
  <si>
    <t>719</t>
  </si>
  <si>
    <t>https://drive.google.com/file/d/1JDdldS1O2slAnPoQjvuC3-qskdUG0AMH/view?usp=drivesdk</t>
  </si>
  <si>
    <t>1JDdldS1O2slAnPoQjvuC3-qskdUG0AMH</t>
  </si>
  <si>
    <t>1x-DBmmZEtExqR8JRMrqld4LFlAVfE_DN</t>
  </si>
  <si>
    <t>https://drive.google.com/file/d/1x-DBmmZEtExqR8JRMrqld4LFlAVfE_DN/view?usp=drivesdk</t>
  </si>
  <si>
    <t>PECKY JEAN TAMAROLA, A.md.Kep</t>
  </si>
  <si>
    <t>peckyjean25@gmail.com</t>
  </si>
  <si>
    <t>720</t>
  </si>
  <si>
    <t>https://drive.google.com/file/d/1yPD3eiRmoClOfysynX56IMXM2iLaAL05/view?usp=drivesdk</t>
  </si>
  <si>
    <t>1yPD3eiRmoClOfysynX56IMXM2iLaAL05</t>
  </si>
  <si>
    <t>1TI06ihW9FYsNHmiiwk1e-XHVR1JmZYTj</t>
  </si>
  <si>
    <t>https://drive.google.com/file/d/1TI06ihW9FYsNHmiiwk1e-XHVR1JmZYTj/view?usp=drivesdk</t>
  </si>
  <si>
    <t>DRH. PUTU MULIARTA</t>
  </si>
  <si>
    <t>putumuliarta73@gmail.com</t>
  </si>
  <si>
    <t>721</t>
  </si>
  <si>
    <t>https://drive.google.com/file/d/1dqDdmzq-mVApLrAYug7DVO5gznO4yC5X/view?usp=drivesdk</t>
  </si>
  <si>
    <t>1dqDdmzq-mVApLrAYug7DVO5gznO4yC5X</t>
  </si>
  <si>
    <t>1MO8b8M7O8qpT9ZJqF5NXtV5LAReBit0s</t>
  </si>
  <si>
    <t>https://drive.google.com/file/d/1MO8b8M7O8qpT9ZJqF5NXtV5LAReBit0s/view?usp=drivesdk</t>
  </si>
  <si>
    <t>MOCH NURFIKIH</t>
  </si>
  <si>
    <t>mochnurfikih@gmail.com</t>
  </si>
  <si>
    <t>722</t>
  </si>
  <si>
    <t>https://drive.google.com/file/d/1ZI3WUapRAuyaziBJJnNAWS9dkeBsb0X8/view?usp=drivesdk</t>
  </si>
  <si>
    <t>1ZI3WUapRAuyaziBJJnNAWS9dkeBsb0X8</t>
  </si>
  <si>
    <t>1W4TWRWcF-lT2lX_R8fNgmVX1jd42lkit</t>
  </si>
  <si>
    <t>https://drive.google.com/file/d/1W4TWRWcF-lT2lX_R8fNgmVX1jd42lkit/view?usp=drivesdk</t>
  </si>
  <si>
    <t>YANA MULYANA, S.Kom</t>
  </si>
  <si>
    <t>yana.x3620@gmail.com</t>
  </si>
  <si>
    <t>723</t>
  </si>
  <si>
    <t>https://drive.google.com/file/d/1VHKMRnMfj26gOZHmwqDl5gNqqe-KCm_o/view?usp=drivesdk</t>
  </si>
  <si>
    <t>1VHKMRnMfj26gOZHmwqDl5gNqqe-KCm_o</t>
  </si>
  <si>
    <t>1WlpK_aT-RSaut6gCWVOw34r6xG1C9co8</t>
  </si>
  <si>
    <t>https://drive.google.com/file/d/1WlpK_aT-RSaut6gCWVOw34r6xG1C9co8/view?usp=drivesdk</t>
  </si>
  <si>
    <t>AHSANUL FITRI</t>
  </si>
  <si>
    <t>ahsanulfitri03@gmail.com</t>
  </si>
  <si>
    <t>724</t>
  </si>
  <si>
    <t>https://drive.google.com/file/d/1RtYmO98M20Pa1kZTF-V587SWUmlQgVDv/view?usp=drivesdk</t>
  </si>
  <si>
    <t>1RtYmO98M20Pa1kZTF-V587SWUmlQgVDv</t>
  </si>
  <si>
    <t>1Pc7fXp3svUbYm5Y66AKmKaka21ZA_Gys</t>
  </si>
  <si>
    <t>https://drive.google.com/file/d/1Pc7fXp3svUbYm5Y66AKmKaka21ZA_Gys/view?usp=drivesdk</t>
  </si>
  <si>
    <t>Document successfully created; Document successfully merged; PDF created; !!Error Sending Emails: Service invoked too many times for one day: email.; Manually run by ecertificate75@gmail.com; Timestamp: Aug 30 2024 10:53 PM</t>
  </si>
  <si>
    <t>EMI ZULKARNAIN, S.E., M.M</t>
  </si>
  <si>
    <t>jamesbob3033@gmail.com</t>
  </si>
  <si>
    <t>725</t>
  </si>
  <si>
    <t>https://drive.google.com/file/d/1p7s70Np8Qu-DCI0sI2RPjo5tr-_P1tRm/view?usp=drivesdk</t>
  </si>
  <si>
    <t>1p7s70Np8Qu-DCI0sI2RPjo5tr-_P1tRm</t>
  </si>
  <si>
    <t>1QYIvc6RoMFpeeCmoBhpi_3fs84V1adYT</t>
  </si>
  <si>
    <t>https://drive.google.com/file/d/1QYIvc6RoMFpeeCmoBhpi_3fs84V1adYT/view?usp=drivesdk</t>
  </si>
  <si>
    <t>SITI YULIYANTI, AM.d</t>
  </si>
  <si>
    <t>syuliyanti79@gmail.com</t>
  </si>
  <si>
    <t>726</t>
  </si>
  <si>
    <t>Starting at Thu Aug 29 2024 20:48:14 GMT-0400 (EDT)</t>
  </si>
  <si>
    <t>1K0OuCC12jFJ3q-n6goVkvD2Rnx0Yn2vU</t>
  </si>
  <si>
    <t>https://drive.google.com/file/d/1K0OuCC12jFJ3q-n6goVkvD2Rnx0Yn2vU/view?usp=drivesdk</t>
  </si>
  <si>
    <t xml:space="preserve">KHOIRUN NISAK </t>
  </si>
  <si>
    <t>anisnisak681@gmail.com</t>
  </si>
  <si>
    <t>727</t>
  </si>
  <si>
    <t>https://drive.google.com/file/d/1oVV9kIXtIPio6kFHUxAo6QeHZB1VlTYD/view?usp=drivesdk</t>
  </si>
  <si>
    <t>1oVV9kIXtIPio6kFHUxAo6QeHZB1VlTYD</t>
  </si>
  <si>
    <t>1OUrueWeWT0COLNRDRW4TVx4xh9noZMM_</t>
  </si>
  <si>
    <t>https://drive.google.com/file/d/1OUrueWeWT0COLNRDRW4TVx4xh9noZMM_/view?usp=drivesdk</t>
  </si>
  <si>
    <t>1j1QpiOgdsT-0jdkLDkBAWWwhbqS01Ob_</t>
  </si>
  <si>
    <t>https://drive.google.com/file/d/1j1QpiOgdsT-0jdkLDkBAWWwhbqS01Ob_/view?usp=drivesdk</t>
  </si>
  <si>
    <t>Document successfully created; Document successfully merged; PDF created; !!Error Sending Emails: Service invoked too many times for one day: email.; Manually run by ecertificate75@gmail.com; Timestamp: Aug 31 2024 1:04 PM</t>
  </si>
  <si>
    <t>NANIK SULISTIYANI</t>
  </si>
  <si>
    <t>naniksukardi70@gmail.com</t>
  </si>
  <si>
    <t>728</t>
  </si>
  <si>
    <t>https://drive.google.com/file/d/1wUdRPAmatAn-5OXuAgbI7lgdPHwVHaI2/view?usp=drivesdk</t>
  </si>
  <si>
    <t>1wUdRPAmatAn-5OXuAgbI7lgdPHwVHaI2</t>
  </si>
  <si>
    <t>1ABGssTWwt2542uSvp4EnKuI2RuN4HHxF</t>
  </si>
  <si>
    <t>https://drive.google.com/file/d/1ABGssTWwt2542uSvp4EnKuI2RuN4HHxF/view?usp=drivesdk</t>
  </si>
  <si>
    <t>1aoOE-pIbMxV6dtHEFWHCO9wgXO9W8yx9</t>
  </si>
  <si>
    <t>https://drive.google.com/file/d/1aoOE-pIbMxV6dtHEFWHCO9wgXO9W8yx9/view?usp=drivesdk</t>
  </si>
  <si>
    <t>Document successfully created; Document successfully merged; PDF created; !!Error Sending Emails: Service invoked too many times for one day: email.; Manually run by ecertificate75@gmail.com; Timestamp: Aug 31 2024 1:05 PM</t>
  </si>
  <si>
    <t>INTAN YULIYATI, S.Psi.,M.Si</t>
  </si>
  <si>
    <t>intanhiryanto79@gmail.com</t>
  </si>
  <si>
    <t>729</t>
  </si>
  <si>
    <t>https://drive.google.com/file/d/1J9mG70Rk2cfSUqs_JGR6NpxysDibsBKk/view?usp=drivesdk</t>
  </si>
  <si>
    <t>1J9mG70Rk2cfSUqs_JGR6NpxysDibsBKk</t>
  </si>
  <si>
    <t>1J1of75S8PCOZxGYzEDeGijM3GsStFYkm</t>
  </si>
  <si>
    <t>https://drive.google.com/file/d/1J1of75S8PCOZxGYzEDeGijM3GsStFYkm/view?usp=drivesdk</t>
  </si>
  <si>
    <t>1Ooff0EXMllO-dyDrIIpuW689VclQMXS7</t>
  </si>
  <si>
    <t>https://drive.google.com/file/d/1Ooff0EXMllO-dyDrIIpuW689VclQMXS7/view?usp=drivesdk</t>
  </si>
  <si>
    <t>NI PUTU ARY PARMINI, S.KM</t>
  </si>
  <si>
    <t>tuari1972@gmail.com</t>
  </si>
  <si>
    <t>730</t>
  </si>
  <si>
    <t>https://drive.google.com/file/d/1fHKDmg1MtbOwElSSfMvxDuBYR9hbxb9f/view?usp=drivesdk</t>
  </si>
  <si>
    <t>1fHKDmg1MtbOwElSSfMvxDuBYR9hbxb9f</t>
  </si>
  <si>
    <t>1muCT8S8LHc36eYS8dcBsQ8a3gx5HmUM6</t>
  </si>
  <si>
    <t>https://drive.google.com/file/d/1muCT8S8LHc36eYS8dcBsQ8a3gx5HmUM6/view?usp=drivesdk</t>
  </si>
  <si>
    <t>Document successfully created; Document successfully merged; PDF created; !!Error Sending Emails: Service invoked too many times for one day: email.; Manually run by ecertificate75@gmail.com; Timestamp: Aug 30 2024 10:54 PM</t>
  </si>
  <si>
    <t>12y-lntUlctvPjCsEDysNzA2_b3uTcmy9</t>
  </si>
  <si>
    <t>https://drive.google.com/file/d/12y-lntUlctvPjCsEDysNzA2_b3uTcmy9/view?usp=drivesdk</t>
  </si>
  <si>
    <t>ALPANSANYOTO</t>
  </si>
  <si>
    <t>alpansanyoto@gmail.com</t>
  </si>
  <si>
    <t>731</t>
  </si>
  <si>
    <t>https://drive.google.com/file/d/1EmRqMwG72iRmWYFdRas47mjxpAfTc01H/view?usp=drivesdk</t>
  </si>
  <si>
    <t>1EmRqMwG72iRmWYFdRas47mjxpAfTc01H</t>
  </si>
  <si>
    <t>1LZhRdNQeA0hvBqzLJLUEO_EM7NaR22Pf</t>
  </si>
  <si>
    <t>https://drive.google.com/file/d/1LZhRdNQeA0hvBqzLJLUEO_EM7NaR22Pf/view?usp=drivesdk</t>
  </si>
  <si>
    <t>1Tm-8SwH-du_wWluu6vIcSmb__BXcDOYN</t>
  </si>
  <si>
    <t>https://drive.google.com/file/d/1Tm-8SwH-du_wWluu6vIcSmb__BXcDOYN/view?usp=drivesdk</t>
  </si>
  <si>
    <t>WAHYUNINGSIH</t>
  </si>
  <si>
    <t>noladanang@gmail.com</t>
  </si>
  <si>
    <t>732</t>
  </si>
  <si>
    <t>Starting at Thu Aug 29 2024 20:48:23 GMT-0400 (EDT)</t>
  </si>
  <si>
    <t>1fEiCTLj9kNiz8SyL6Bbtufdg7UwfC6Dm</t>
  </si>
  <si>
    <t>https://drive.google.com/file/d/1fEiCTLj9kNiz8SyL6Bbtufdg7UwfC6Dm/view?usp=drivesdk</t>
  </si>
  <si>
    <t>1bt3RSwx7vT17u4OCFWNz5004cM8cgz7n</t>
  </si>
  <si>
    <t>https://drive.google.com/file/d/1bt3RSwx7vT17u4OCFWNz5004cM8cgz7n/view?usp=drivesdk</t>
  </si>
  <si>
    <t>MOKHAMAD SHOLEH, S.Pd.I., M.M.</t>
  </si>
  <si>
    <t>mbaholeh@gmail.com</t>
  </si>
  <si>
    <t>733</t>
  </si>
  <si>
    <t>https://drive.google.com/file/d/12DWAx7eUrxfsn36axdai4fJc5QDKhb5T/view?usp=drivesdk</t>
  </si>
  <si>
    <t>12DWAx7eUrxfsn36axdai4fJc5QDKhb5T</t>
  </si>
  <si>
    <t>1hJJgmsiUmMpb02IDIuhyrXAMGn1auuYa</t>
  </si>
  <si>
    <t>https://drive.google.com/file/d/1hJJgmsiUmMpb02IDIuhyrXAMGn1auuYa/view?usp=drivesdk</t>
  </si>
  <si>
    <t>1pw2gMafQfTO6n4rIze7pqIOFje-y88S_</t>
  </si>
  <si>
    <t>https://drive.google.com/file/d/1pw2gMafQfTO6n4rIze7pqIOFje-y88S_/view?usp=drivesdk</t>
  </si>
  <si>
    <t>Document successfully created; Document successfully merged; PDF created; !!Error Sending Emails: Service invoked too many times for one day: email.; Manually run by ecertificate75@gmail.com; Timestamp: Aug 31 2024 1:06 PM</t>
  </si>
  <si>
    <t>NI KETUT NATALIA WULANSARI, ST</t>
  </si>
  <si>
    <t>mendanan09@gmail.com</t>
  </si>
  <si>
    <t>734</t>
  </si>
  <si>
    <t>https://drive.google.com/file/d/1P2LqEAFyfUlxT5RbHNyiHT9wNMRTrqVD/view?usp=drivesdk</t>
  </si>
  <si>
    <t>1P2LqEAFyfUlxT5RbHNyiHT9wNMRTrqVD</t>
  </si>
  <si>
    <t>1-6ft2gfxsyBCzIOw03EMRv3jwLTAyzX-</t>
  </si>
  <si>
    <t>https://drive.google.com/file/d/1-6ft2gfxsyBCzIOw03EMRv3jwLTAyzX-/view?usp=drivesdk</t>
  </si>
  <si>
    <t>15hI274TnObgH1oq8HEpnbfF5bJy3VM4v</t>
  </si>
  <si>
    <t>https://drive.google.com/file/d/15hI274TnObgH1oq8HEpnbfF5bJy3VM4v/view?usp=drivesdk</t>
  </si>
  <si>
    <t>M PANDU FARHATUNAWAN</t>
  </si>
  <si>
    <t>farhatunawan1@gmail.com</t>
  </si>
  <si>
    <t>735</t>
  </si>
  <si>
    <t>https://drive.google.com/file/d/1mV132d8juEbaBX6wJCNMKrK8k40NeczA/view?usp=drivesdk</t>
  </si>
  <si>
    <t>1mV132d8juEbaBX6wJCNMKrK8k40NeczA</t>
  </si>
  <si>
    <t>1nR9uu63o0nj5lOMltMbaj1TrFGx7CwmT</t>
  </si>
  <si>
    <t>https://drive.google.com/file/d/1nR9uu63o0nj5lOMltMbaj1TrFGx7CwmT/view?usp=drivesdk</t>
  </si>
  <si>
    <t>Document successfully created; Document successfully merged; PDF created; !!Error Sending Emails: Service invoked too many times for one day: email.; Manually run by ecertificate75@gmail.com; Timestamp: Aug 30 2024 10:55 PM</t>
  </si>
  <si>
    <t>1e8tY2iofpl-d8SFl4hRSNrjRHOs8kyxo</t>
  </si>
  <si>
    <t>https://drive.google.com/file/d/1e8tY2iofpl-d8SFl4hRSNrjRHOs8kyxo/view?usp=drivesdk</t>
  </si>
  <si>
    <t>PUSPITANINGSIH, S. Tr. Kom</t>
  </si>
  <si>
    <t>Puspitaningsihpolreskbm@gmail.com</t>
  </si>
  <si>
    <t>736</t>
  </si>
  <si>
    <t>https://drive.google.com/file/d/1LpZIdNDfMUTKT7iMnvtZZlLvWIcStYBs/view?usp=drivesdk</t>
  </si>
  <si>
    <t>1LpZIdNDfMUTKT7iMnvtZZlLvWIcStYBs</t>
  </si>
  <si>
    <t>15ZpvS9r3hJifcGP6vW93cAJXjnq2Urjn</t>
  </si>
  <si>
    <t>https://drive.google.com/file/d/15ZpvS9r3hJifcGP6vW93cAJXjnq2Urjn/view?usp=drivesdk</t>
  </si>
  <si>
    <t>1QPiA5gGyPzEgor6wEKVAyFCOFIZQThdO</t>
  </si>
  <si>
    <t>https://drive.google.com/file/d/1QPiA5gGyPzEgor6wEKVAyFCOFIZQThdO/view?usp=drivesdk</t>
  </si>
  <si>
    <t>ERLIKA LUMBANTUNGKUP Amd.Kep</t>
  </si>
  <si>
    <t>erlikanainggolan@gmail.com</t>
  </si>
  <si>
    <t>737</t>
  </si>
  <si>
    <t>https://drive.google.com/file/d/1XKL91bMYiwbJ8QruvrHIodHGeI3GD74Z/view?usp=drivesdk</t>
  </si>
  <si>
    <t>1XKL91bMYiwbJ8QruvrHIodHGeI3GD74Z</t>
  </si>
  <si>
    <t>1MGVy7OW50OKlM8qkPIysQkIsorMlMb8U</t>
  </si>
  <si>
    <t>https://drive.google.com/file/d/1MGVy7OW50OKlM8qkPIysQkIsorMlMb8U/view?usp=drivesdk</t>
  </si>
  <si>
    <t>1EJog4Ta0UGIHmEgPVv4MI7a6kj9tWlAz</t>
  </si>
  <si>
    <t>https://drive.google.com/file/d/1EJog4Ta0UGIHmEgPVv4MI7a6kj9tWlAz/view?usp=drivesdk</t>
  </si>
  <si>
    <t>SONYA NATALIA, A.Md.Kep</t>
  </si>
  <si>
    <t>sonyanatalia5@gmail.com</t>
  </si>
  <si>
    <t>738</t>
  </si>
  <si>
    <t>https://drive.google.com/file/d/1fDqUg8ngmgOEK73gj5sizxD2pXRzXzLj/view?usp=drivesdk</t>
  </si>
  <si>
    <t>1fDqUg8ngmgOEK73gj5sizxD2pXRzXzLj</t>
  </si>
  <si>
    <t>1HF7s804KDNd6lw3e8uzBJWVDj9QRWj4v</t>
  </si>
  <si>
    <t>https://drive.google.com/file/d/1HF7s804KDNd6lw3e8uzBJWVDj9QRWj4v/view?usp=drivesdk</t>
  </si>
  <si>
    <t>1EpRx-74k8WKKtDOz5YoPBhe6CQU2Y4g1</t>
  </si>
  <si>
    <t>https://drive.google.com/file/d/1EpRx-74k8WKKtDOz5YoPBhe6CQU2Y4g1/view?usp=drivesdk</t>
  </si>
  <si>
    <t>IKA PUJI RAHAYU, A. Md. AK</t>
  </si>
  <si>
    <t>ikautomo3916@gmail.com</t>
  </si>
  <si>
    <t>739</t>
  </si>
  <si>
    <t>https://drive.google.com/file/d/1kjh7PK0Ox-qGpEMXz_UUeQNURMNYBKqt/view?usp=drivesdk</t>
  </si>
  <si>
    <t>1kjh7PK0Ox-qGpEMXz_UUeQNURMNYBKqt</t>
  </si>
  <si>
    <t>14LMsTGSU3czPMjr7_ekiL7NxOjHWNBnV</t>
  </si>
  <si>
    <t>https://drive.google.com/file/d/14LMsTGSU3czPMjr7_ekiL7NxOjHWNBnV/view?usp=drivesdk</t>
  </si>
  <si>
    <t>1EF2NEoLJbVuVdi8TXarEMNPu5CCKiRVP</t>
  </si>
  <si>
    <t>https://drive.google.com/file/d/1EF2NEoLJbVuVdi8TXarEMNPu5CCKiRVP/view?usp=drivesdk</t>
  </si>
  <si>
    <t>Document successfully created; Document successfully merged; PDF created; !!Error Sending Emails: Service invoked too many times for one day: email.; Manually run by ecertificate75@gmail.com; Timestamp: Aug 31 2024 1:07 PM</t>
  </si>
  <si>
    <t>KUSDIYANTOO,Amd.Kep</t>
  </si>
  <si>
    <t>kusdiyanto79.ky@gmail.com</t>
  </si>
  <si>
    <t>740</t>
  </si>
  <si>
    <t>https://drive.google.com/file/d/1s5CZVyZPlWfxPe_BCx9wQZhiTfSxSVyR/view?usp=drivesdk</t>
  </si>
  <si>
    <t>1s5CZVyZPlWfxPe_BCx9wQZhiTfSxSVyR</t>
  </si>
  <si>
    <t>1RBRrwye6yQqaUjMfFtWYAK4c2ZX6bPCk</t>
  </si>
  <si>
    <t>https://drive.google.com/file/d/1RBRrwye6yQqaUjMfFtWYAK4c2ZX6bPCk/view?usp=drivesdk</t>
  </si>
  <si>
    <t>Document successfully created; Document successfully merged; PDF created; !!Error Sending Emails: Service invoked too many times for one day: email.; Manually run by ecertificate75@gmail.com; Timestamp: Aug 30 2024 10:56 PM</t>
  </si>
  <si>
    <t>1l0akJkVWXuNiep-f77Yx5IgWCxc0dReq</t>
  </si>
  <si>
    <t>https://drive.google.com/file/d/1l0akJkVWXuNiep-f77Yx5IgWCxc0dReq/view?usp=drivesdk</t>
  </si>
  <si>
    <t>Ns.CHORRY BELLARIA OKTAVIA,S.Kep</t>
  </si>
  <si>
    <t>chorrybellaria2876@gmail.com</t>
  </si>
  <si>
    <t>741</t>
  </si>
  <si>
    <t>https://drive.google.com/file/d/1QfRiU62z9FYVvEOScw50GLKYZz4HeLVA/view?usp=drivesdk</t>
  </si>
  <si>
    <t>1QfRiU62z9FYVvEOScw50GLKYZz4HeLVA</t>
  </si>
  <si>
    <t>1tqEIlOGMaEN2Wp5GXR2cBpht3h5NKLQw</t>
  </si>
  <si>
    <t>https://drive.google.com/file/d/1tqEIlOGMaEN2Wp5GXR2cBpht3h5NKLQw/view?usp=drivesdk</t>
  </si>
  <si>
    <t>1eB8_PrrrxGdznU5mzKZryYiRfJK0Suw-</t>
  </si>
  <si>
    <t>https://drive.google.com/file/d/1eB8_PrrrxGdznU5mzKZryYiRfJK0Suw-/view?usp=drivesdk</t>
  </si>
  <si>
    <t>DIANA SRI NUGROHO. SKM</t>
  </si>
  <si>
    <t>diandiana161@gmail.com</t>
  </si>
  <si>
    <t>742</t>
  </si>
  <si>
    <t>https://drive.google.com/file/d/1ZrV4xXWKEFTl6fKJFLvK63fadi2XhHDi/view?usp=drivesdk</t>
  </si>
  <si>
    <t>1ZrV4xXWKEFTl6fKJFLvK63fadi2XhHDi</t>
  </si>
  <si>
    <t>1PZ-BGDT9fl__ZDIRnYb61qRcP8PGyi9P</t>
  </si>
  <si>
    <t>https://drive.google.com/file/d/1PZ-BGDT9fl__ZDIRnYb61qRcP8PGyi9P/view?usp=drivesdk</t>
  </si>
  <si>
    <t>1E-nTlo-gUe-Dfjx-6ZkmKI4dmQWMrW2h</t>
  </si>
  <si>
    <t>https://drive.google.com/file/d/1E-nTlo-gUe-Dfjx-6ZkmKI4dmQWMrW2h/view?usp=drivesdk</t>
  </si>
  <si>
    <t>NI WAYAN SUCIATI,A.Md.Keb</t>
  </si>
  <si>
    <t>wayan.suciati69@gmail.com</t>
  </si>
  <si>
    <t>743</t>
  </si>
  <si>
    <t>https://drive.google.com/file/d/10Tj8_Xyle9eiIdyJI2JcbDFy2w1ZnGAu/view?usp=drivesdk</t>
  </si>
  <si>
    <t>10Tj8_Xyle9eiIdyJI2JcbDFy2w1ZnGAu</t>
  </si>
  <si>
    <t>1_huDmFMAAB4ENseHGvGYE69D6b4ZTA1w</t>
  </si>
  <si>
    <t>https://drive.google.com/file/d/1_huDmFMAAB4ENseHGvGYE69D6b4ZTA1w/view?usp=drivesdk</t>
  </si>
  <si>
    <t>1t3SDFaFZ0P_DATugCURIdJaIErp6CdSl</t>
  </si>
  <si>
    <t>https://drive.google.com/file/d/1t3SDFaFZ0P_DATugCURIdJaIErp6CdSl/view?usp=drivesdk</t>
  </si>
  <si>
    <t>ELISABETH LELAPARY</t>
  </si>
  <si>
    <t>elislelapary@gmail.com</t>
  </si>
  <si>
    <t>744</t>
  </si>
  <si>
    <t>https://drive.google.com/file/d/154gRv0hfGqijWm_paMhGF0CG-V9afnmi/view?usp=drivesdk</t>
  </si>
  <si>
    <t>154gRv0hfGqijWm_paMhGF0CG-V9afnmi</t>
  </si>
  <si>
    <t>1Oqcv28tcD53bFZg2h2XehvXfZPJxZ1hV</t>
  </si>
  <si>
    <t>https://drive.google.com/file/d/1Oqcv28tcD53bFZg2h2XehvXfZPJxZ1hV/view?usp=drivesdk</t>
  </si>
  <si>
    <t>1ZSo0zUZDUaNXtMZUQQKX2QjD3AGHUFUr</t>
  </si>
  <si>
    <t>https://drive.google.com/file/d/1ZSo0zUZDUaNXtMZUQQKX2QjD3AGHUFUr/view?usp=drivesdk</t>
  </si>
  <si>
    <t xml:space="preserve">RUBIYANTO RUBIYANTO </t>
  </si>
  <si>
    <t>rubiyantobengkel@gmail.com</t>
  </si>
  <si>
    <t>745</t>
  </si>
  <si>
    <t>https://drive.google.com/file/d/1HK6W_AYlF8xF8_p3fgGF6vafL75d4uSy/view?usp=drivesdk</t>
  </si>
  <si>
    <t>1HK6W_AYlF8xF8_p3fgGF6vafL75d4uSy</t>
  </si>
  <si>
    <t>1-gd7tqPoh1Y5_qIZbGVJJl-wu7EySyi-</t>
  </si>
  <si>
    <t>https://drive.google.com/file/d/1-gd7tqPoh1Y5_qIZbGVJJl-wu7EySyi-/view?usp=drivesdk</t>
  </si>
  <si>
    <t>Document successfully created; Document successfully merged; PDF created; !!Error Sending Emails: Service invoked too many times for one day: email.; Run via form trigger as ecertificate75@gmail.com; Timestamp: Aug 30 2024 10:41 PM</t>
  </si>
  <si>
    <t>1qV2YMwtU-jTX-oH0AO8PccVlzmzTSH9S</t>
  </si>
  <si>
    <t>https://drive.google.com/file/d/1qV2YMwtU-jTX-oH0AO8PccVlzmzTSH9S/view?usp=drivesdk</t>
  </si>
  <si>
    <t>Document successfully created; Document successfully merged; PDF created; !!Error Sending Emails: Service invoked too many times for one day: email.; Manually run by ecertificate75@gmail.com; Timestamp: Aug 31 2024 1:08 PM</t>
  </si>
  <si>
    <t>ROSIANA ROSIANA</t>
  </si>
  <si>
    <t>Rosiana325@gmai.com</t>
  </si>
  <si>
    <t>746</t>
  </si>
  <si>
    <t>https://drive.google.com/file/d/1neLC_n_0FwW3fVerXyYKX6xIMFRNF2vT/view?usp=drivesdk</t>
  </si>
  <si>
    <t>1neLC_n_0FwW3fVerXyYKX6xIMFRNF2vT</t>
  </si>
  <si>
    <t>1X7sC1_Ujd3My5G-nG1Dr8oDFxU8L0XDQ</t>
  </si>
  <si>
    <t>https://drive.google.com/file/d/1X7sC1_Ujd3My5G-nG1Dr8oDFxU8L0XDQ/view?usp=drivesdk</t>
  </si>
  <si>
    <t>1Z90NbSw90fvXeFROVqe-0r10DiGMppKw</t>
  </si>
  <si>
    <t>https://drive.google.com/file/d/1Z90NbSw90fvXeFROVqe-0r10DiGMppKw/view?usp=drivesdk</t>
  </si>
  <si>
    <t>YUYUNSUGANDA</t>
  </si>
  <si>
    <t>yuyunsuganda70@gmail.com</t>
  </si>
  <si>
    <t>747</t>
  </si>
  <si>
    <t>https://drive.google.com/file/d/1IVVOHxnAxsKXLNsc36cZWvTMsfrbtSE9/view?usp=drivesdk</t>
  </si>
  <si>
    <t>1IVVOHxnAxsKXLNsc36cZWvTMsfrbtSE9</t>
  </si>
  <si>
    <t>1R7aZAsU2xi31zzJrvghj3__oo58iAtSP</t>
  </si>
  <si>
    <t>https://drive.google.com/file/d/1R7aZAsU2xi31zzJrvghj3__oo58iAtSP/view?usp=drivesdk</t>
  </si>
  <si>
    <t>Document successfully created; Document successfully merged; PDF created; !!Error Sending Emails: Service invoked too many times for one day: email.; Run via form trigger as ecertificate75@gmail.com; Timestamp: Aug 30 2024 10:42 PM</t>
  </si>
  <si>
    <t>1kGTlOrQL7h-9o7eCWlI5nw26vWc-X7k0</t>
  </si>
  <si>
    <t>https://drive.google.com/file/d/1kGTlOrQL7h-9o7eCWlI5nw26vWc-X7k0/view?usp=drivesdk</t>
  </si>
  <si>
    <t>AIDA FITRI ARDIYANI</t>
  </si>
  <si>
    <t>aidajasril82@gmail.com</t>
  </si>
  <si>
    <t>748</t>
  </si>
  <si>
    <t>https://drive.google.com/file/d/1_-lIeW9hC9bP3sYIXN3OtdQ_zIyeBxCS/view?usp=drivesdk</t>
  </si>
  <si>
    <t>1_-lIeW9hC9bP3sYIXN3OtdQ_zIyeBxCS</t>
  </si>
  <si>
    <t>1nz6Kus9cHljR46FV7CVmgvM3HqT_0qWt</t>
  </si>
  <si>
    <t>https://drive.google.com/file/d/1nz6Kus9cHljR46FV7CVmgvM3HqT_0qWt/view?usp=drivesdk</t>
  </si>
  <si>
    <t>1bRctuHIaFsYocXAm8qNdAhokjNkokxmB</t>
  </si>
  <si>
    <t>https://drive.google.com/file/d/1bRctuHIaFsYocXAm8qNdAhokjNkokxmB/view?usp=drivesdk</t>
  </si>
  <si>
    <t>DYAH PUSPITASARI, A.Md.Keb</t>
  </si>
  <si>
    <t>bidandyahpuspitasari@gmail.com</t>
  </si>
  <si>
    <t>749</t>
  </si>
  <si>
    <t>https://drive.google.com/file/d/13v5KbERPDWmrsjVE1F3ImyTu_G2Tet6m/view?usp=drivesdk</t>
  </si>
  <si>
    <t>13v5KbERPDWmrsjVE1F3ImyTu_G2Tet6m</t>
  </si>
  <si>
    <t>1AkNw3E4T8_J2tNzqWVDNiI83hZR1VW7g</t>
  </si>
  <si>
    <t>https://drive.google.com/file/d/1AkNw3E4T8_J2tNzqWVDNiI83hZR1VW7g/view?usp=drivesdk</t>
  </si>
  <si>
    <t>1YDJBBYMCBjWY_kMPjoJYL_es22McyRkN</t>
  </si>
  <si>
    <t>https://drive.google.com/file/d/1YDJBBYMCBjWY_kMPjoJYL_es22McyRkN/view?usp=drivesdk</t>
  </si>
  <si>
    <t xml:space="preserve">NITA OKTAVIANI HERMAWATI </t>
  </si>
  <si>
    <t>orokbee@gmail.com</t>
  </si>
  <si>
    <t>750</t>
  </si>
  <si>
    <t>https://drive.google.com/file/d/1o1Ye0Z8AXa0sJ1GaFBFQv_90Yya-Fqdo/view?usp=drivesdk</t>
  </si>
  <si>
    <t>1o1Ye0Z8AXa0sJ1GaFBFQv_90Yya-Fqdo</t>
  </si>
  <si>
    <t>1Mxh19_e4MHb-Nw7MqqML4gyxGyF9zERH</t>
  </si>
  <si>
    <t>https://drive.google.com/file/d/1Mxh19_e4MHb-Nw7MqqML4gyxGyF9zERH/view?usp=drivesdk</t>
  </si>
  <si>
    <t>Document successfully created; Document successfully merged; PDF created; !!Error Sending Emails: Service invoked too many times for one day: email.; Run via form trigger as ecertificate75@gmail.com; Timestamp: Aug 30 2024 10:43 PM</t>
  </si>
  <si>
    <t>1y7dJ8lPJeaDR5_QJMQsrN3SB0IHoLPPY</t>
  </si>
  <si>
    <t>https://drive.google.com/file/d/1y7dJ8lPJeaDR5_QJMQsrN3SB0IHoLPPY/view?usp=drivesdk</t>
  </si>
  <si>
    <t>Document successfully created; Document successfully merged; PDF created; !!Error Sending Emails: Service invoked too many times for one day: email.; Manually run by ecertificate75@gmail.com; Timestamp: Aug 31 2024 1:09 PM</t>
  </si>
  <si>
    <t xml:space="preserve">NANA TRI KURNIA SARI </t>
  </si>
  <si>
    <t>berylcoarvin482@gmail.com</t>
  </si>
  <si>
    <t>751</t>
  </si>
  <si>
    <t>https://drive.google.com/file/d/1twaohFr9UeCKtVdT6jti1aEj9bi4_GSI/view?usp=drivesdk</t>
  </si>
  <si>
    <t>1twaohFr9UeCKtVdT6jti1aEj9bi4_GSI</t>
  </si>
  <si>
    <t>1h-WFP3UMADFY-7RFOIi_y-J32Qhd-fr7</t>
  </si>
  <si>
    <t>https://drive.google.com/file/d/1h-WFP3UMADFY-7RFOIi_y-J32Qhd-fr7/view?usp=drivesdk</t>
  </si>
  <si>
    <t>1ynuMblf0QfVDtQQx8gp-KB0jiF7d46L2</t>
  </si>
  <si>
    <t>https://drive.google.com/file/d/1ynuMblf0QfVDtQQx8gp-KB0jiF7d46L2/view?usp=drivesdk</t>
  </si>
  <si>
    <t>JUMIATI MISBAH</t>
  </si>
  <si>
    <t>jumiatimisbah3666@gmail.com</t>
  </si>
  <si>
    <t>752</t>
  </si>
  <si>
    <t>https://drive.google.com/file/d/1bDVRXQUDVsy0DQBW3sC0TexcxkLWnBQ5/view?usp=drivesdk</t>
  </si>
  <si>
    <t>1bDVRXQUDVsy0DQBW3sC0TexcxkLWnBQ5</t>
  </si>
  <si>
    <t>1mJLxtlyC0MUxdINL0vCWnK0oEFs_WoOm</t>
  </si>
  <si>
    <t>https://drive.google.com/file/d/1mJLxtlyC0MUxdINL0vCWnK0oEFs_WoOm/view?usp=drivesdk</t>
  </si>
  <si>
    <t>1CTaodXXznLyglQt_QM5JyUETrfsNuPKn</t>
  </si>
  <si>
    <t>https://drive.google.com/file/d/1CTaodXXznLyglQt_QM5JyUETrfsNuPKn/view?usp=drivesdk</t>
  </si>
  <si>
    <t>INDAH HANDAYANI, S.T.</t>
  </si>
  <si>
    <t>indah17032014@gmail.com</t>
  </si>
  <si>
    <t>753</t>
  </si>
  <si>
    <t>https://drive.google.com/file/d/1FPcBqfMQVYjPjIz60W-_vqphZKXJLgQD/view?usp=drivesdk</t>
  </si>
  <si>
    <t>1FPcBqfMQVYjPjIz60W-_vqphZKXJLgQD</t>
  </si>
  <si>
    <t>1EqB2HOmLGAClYktWgpqut_gpxLfWSoe0</t>
  </si>
  <si>
    <t>https://drive.google.com/file/d/1EqB2HOmLGAClYktWgpqut_gpxLfWSoe0/view?usp=drivesdk</t>
  </si>
  <si>
    <t>1fS8JqkFlT6jYiBng66SNOqbWI6vuHxQm</t>
  </si>
  <si>
    <t>https://drive.google.com/file/d/1fS8JqkFlT6jYiBng66SNOqbWI6vuHxQm/view?usp=drivesdk</t>
  </si>
  <si>
    <t>WASIS MARSUDI A.Md</t>
  </si>
  <si>
    <t>oasis.mrsd77@gmail.com</t>
  </si>
  <si>
    <t>754</t>
  </si>
  <si>
    <t>https://drive.google.com/file/d/1r-66mAALOhNVOcSamMt93SFZpRs0PPQ5/view?usp=drivesdk</t>
  </si>
  <si>
    <t>1r-66mAALOhNVOcSamMt93SFZpRs0PPQ5</t>
  </si>
  <si>
    <t>1cTb0TiCVeiiTHxwDS90ds0PrWDR5fWxI</t>
  </si>
  <si>
    <t>https://drive.google.com/file/d/1cTb0TiCVeiiTHxwDS90ds0PrWDR5fWxI/view?usp=drivesdk</t>
  </si>
  <si>
    <t>Starting at Sat Aug 31 2024 13:04:40 GMT-0400 (EDT)</t>
  </si>
  <si>
    <t>APINAR LENI LIZAR</t>
  </si>
  <si>
    <t>Apinarleni@gamil.id.com</t>
  </si>
  <si>
    <t>755</t>
  </si>
  <si>
    <t>https://drive.google.com/file/d/1M-VDbNunDxe0SIX-ofkWWyEyTjRIriuH/view?usp=drivesdk</t>
  </si>
  <si>
    <t>1M-VDbNunDxe0SIX-ofkWWyEyTjRIriuH</t>
  </si>
  <si>
    <t>1O2P33mb4DGWmgq0fEw9RO83nrwm3NSov</t>
  </si>
  <si>
    <t>https://drive.google.com/file/d/1O2P33mb4DGWmgq0fEw9RO83nrwm3NSov/view?usp=drivesdk</t>
  </si>
  <si>
    <t>Document successfully created; Document successfully merged; PDF created; !!Error Sending Emails: Service invoked too many times for one day: email.; Run via form trigger as ecertificate75@gmail.com; Timestamp: Aug 30 2024 10:44 PM</t>
  </si>
  <si>
    <t>MUHAMMAD RIFA'I, S.AP</t>
  </si>
  <si>
    <t>rifai.rifalia@gmail.com</t>
  </si>
  <si>
    <t>756</t>
  </si>
  <si>
    <t>https://drive.google.com/file/d/12HZu3Njomr_fL0-m77frrSvR1jL_RzHz/view?usp=drivesdk</t>
  </si>
  <si>
    <t>12HZu3Njomr_fL0-m77frrSvR1jL_RzHz</t>
  </si>
  <si>
    <t>1tCyx2LLHK7K7xJ71P49JEYu4eEFYx_Fa</t>
  </si>
  <si>
    <t>https://drive.google.com/file/d/1tCyx2LLHK7K7xJ71P49JEYu4eEFYx_Fa/view?usp=drivesdk</t>
  </si>
  <si>
    <t>HENI PURWATI, AMD KEB</t>
  </si>
  <si>
    <t>henipurwati81@gmail.com</t>
  </si>
  <si>
    <t>757</t>
  </si>
  <si>
    <t>https://drive.google.com/file/d/196aQUfapuW3rd2k9wWiz7AsqqqQNRdmg/view?usp=drivesdk</t>
  </si>
  <si>
    <t>196aQUfapuW3rd2k9wWiz7AsqqqQNRdmg</t>
  </si>
  <si>
    <t>1VvdAbn9hd92YopBBp0bUiIOeqdeZHgyk</t>
  </si>
  <si>
    <t>https://drive.google.com/file/d/1VvdAbn9hd92YopBBp0bUiIOeqdeZHgyk/view?usp=drivesdk</t>
  </si>
  <si>
    <t xml:space="preserve">SITI NURLAELA </t>
  </si>
  <si>
    <t>nurlaella0894@gmail.com</t>
  </si>
  <si>
    <t>758</t>
  </si>
  <si>
    <t>https://drive.google.com/file/d/1sEXNG2guvIeVTC5ub6xQltrB3cL9OxkW/view?usp=drivesdk</t>
  </si>
  <si>
    <t>1sEXNG2guvIeVTC5ub6xQltrB3cL9OxkW</t>
  </si>
  <si>
    <t>1kPFMhvfhJzdmeaM9D60LJpSiRZRUxUfo</t>
  </si>
  <si>
    <t>https://drive.google.com/file/d/1kPFMhvfhJzdmeaM9D60LJpSiRZRUxUfo/view?usp=drivesdk</t>
  </si>
  <si>
    <t>TOMI ANGGORO PUTRO</t>
  </si>
  <si>
    <t>tomianggoro85@gmail.com</t>
  </si>
  <si>
    <t>759</t>
  </si>
  <si>
    <t>https://drive.google.com/file/d/1kBlW3244WVj5jG7NLzrLNHv1UbK8pLTe/view?usp=drivesdk</t>
  </si>
  <si>
    <t>1kBlW3244WVj5jG7NLzrLNHv1UbK8pLTe</t>
  </si>
  <si>
    <t>1Ns3EHQGXNj9tyooTloEkxczHwhUznH1v</t>
  </si>
  <si>
    <t>https://drive.google.com/file/d/1Ns3EHQGXNj9tyooTloEkxczHwhUznH1v/view?usp=drivesdk</t>
  </si>
  <si>
    <t>Document successfully created; Document successfully merged; PDF created; !!Error Sending Emails: Service invoked too many times for one day: email.; Run via form trigger as ecertificate75@gmail.com; Timestamp: Aug 30 2024 10:45 PM</t>
  </si>
  <si>
    <t>MUHAMAD SEPTIAJI</t>
  </si>
  <si>
    <t>septiaji1479@gmail.com</t>
  </si>
  <si>
    <t>760</t>
  </si>
  <si>
    <t>https://drive.google.com/file/d/1EXdRCKLGGOoAc3ao3aUV30oC83_lHySv/view?usp=drivesdk</t>
  </si>
  <si>
    <t>1EXdRCKLGGOoAc3ao3aUV30oC83_lHySv</t>
  </si>
  <si>
    <t>1nJ2w2ulMgst2lj-UTv6cvlqJY3UY4NWc</t>
  </si>
  <si>
    <t>https://drive.google.com/file/d/1nJ2w2ulMgst2lj-UTv6cvlqJY3UY4NWc/view?usp=drivesdk</t>
  </si>
  <si>
    <t>RIAN DIBYANTI, SE</t>
  </si>
  <si>
    <t>rianwidhi22@gmail.com</t>
  </si>
  <si>
    <t>761</t>
  </si>
  <si>
    <t>https://drive.google.com/file/d/1hkiVUvAwIt_BdN7I7OF5amtcBrGWmm9Z/view?usp=drivesdk</t>
  </si>
  <si>
    <t>1hkiVUvAwIt_BdN7I7OF5amtcBrGWmm9Z</t>
  </si>
  <si>
    <t>1tms_PTeE_aBQvLEHVcWqj0Uo98nbGOg4</t>
  </si>
  <si>
    <t>https://drive.google.com/file/d/1tms_PTeE_aBQvLEHVcWqj0Uo98nbGOg4/view?usp=drivesdk</t>
  </si>
  <si>
    <t>dr. PUTU PRIDA PURNAMASARI, S.Ked</t>
  </si>
  <si>
    <t>pridapurnamasari@ymail.com</t>
  </si>
  <si>
    <t>762</t>
  </si>
  <si>
    <t>https://drive.google.com/file/d/1CMUxyLixwh6Uo2LtNiyek0qTuqGFQUy1/view?usp=drivesdk</t>
  </si>
  <si>
    <t>1CMUxyLixwh6Uo2LtNiyek0qTuqGFQUy1</t>
  </si>
  <si>
    <t>1oHucwxv5aIBNAx60ksIKzLjpm9SR16zZ</t>
  </si>
  <si>
    <t>https://drive.google.com/file/d/1oHucwxv5aIBNAx60ksIKzLjpm9SR16zZ/view?usp=drivesdk</t>
  </si>
  <si>
    <t>Dr. RINI AFRIANTI, M.K.K.</t>
  </si>
  <si>
    <t>rinidanish264@gmail.com</t>
  </si>
  <si>
    <t>763</t>
  </si>
  <si>
    <t>https://drive.google.com/file/d/16PR7a6IuID9gCa_ABGRM9Klw0enh0vWV/view?usp=drivesdk</t>
  </si>
  <si>
    <t>16PR7a6IuID9gCa_ABGRM9Klw0enh0vWV</t>
  </si>
  <si>
    <t>1krKBdJ5_eSYHQcG1QuvgGH9d9pY2nPJs</t>
  </si>
  <si>
    <t>https://drive.google.com/file/d/1krKBdJ5_eSYHQcG1QuvgGH9d9pY2nPJs/view?usp=drivesdk</t>
  </si>
  <si>
    <t>Document successfully created; Document successfully merged; PDF created; !!Error Sending Emails: Service invoked too many times for one day: email.; Run via form trigger as ecertificate75@gmail.com; Timestamp: Aug 30 2024 10:46 PM</t>
  </si>
  <si>
    <t>RAHAYU RIFANECHA, SKM</t>
  </si>
  <si>
    <t>ayu.rifanecha@gmail.com</t>
  </si>
  <si>
    <t>764</t>
  </si>
  <si>
    <t>https://drive.google.com/file/d/19k9Yq-Z2xnQxqBPY-ibrjyViozOCEYUS/view?usp=drivesdk</t>
  </si>
  <si>
    <t>19k9Yq-Z2xnQxqBPY-ibrjyViozOCEYUS</t>
  </si>
  <si>
    <t>1nuDykLLIT19ff9wP970U2YqCkpgq5riY</t>
  </si>
  <si>
    <t>https://drive.google.com/file/d/1nuDykLLIT19ff9wP970U2YqCkpgq5riY/view?usp=drivesdk</t>
  </si>
  <si>
    <t>LILIK SUSILOWATI</t>
  </si>
  <si>
    <t>liliksusilowati1969@gmail.com</t>
  </si>
  <si>
    <t>765</t>
  </si>
  <si>
    <t>https://drive.google.com/file/d/1WDnTnusdML0SRJxLl7sn_nwT37_QZcSd/view?usp=drivesdk</t>
  </si>
  <si>
    <t>1WDnTnusdML0SRJxLl7sn_nwT37_QZcSd</t>
  </si>
  <si>
    <t>14M8Z9H4gHK-UeJnhetsUugMVqZrZkyft</t>
  </si>
  <si>
    <t>https://drive.google.com/file/d/14M8Z9H4gHK-UeJnhetsUugMVqZrZkyft/view?usp=drivesdk</t>
  </si>
  <si>
    <t>Document successfully created; Document successfully merged; PDF created; !!Error Sending Emails: Service invoked too many times for one day: email.; Manually run by ecertificate75@gmail.com; Timestamp: Aug 30 2024 10:57 PM</t>
  </si>
  <si>
    <t>DESAK KETUT MAYUNI</t>
  </si>
  <si>
    <t>mayunidesak1234@gmail.com</t>
  </si>
  <si>
    <t>766</t>
  </si>
  <si>
    <t>https://drive.google.com/file/d/123ANjbPOKiNv4VQ2tafaAHfdfycEO33D/view?usp=drivesdk</t>
  </si>
  <si>
    <t>123ANjbPOKiNv4VQ2tafaAHfdfycEO33D</t>
  </si>
  <si>
    <t>1XEIkPofVKk6xfHN5tbTo-Xo2EN-t1WMt</t>
  </si>
  <si>
    <t>https://drive.google.com/file/d/1XEIkPofVKk6xfHN5tbTo-Xo2EN-t1WMt/view?usp=drivesdk</t>
  </si>
  <si>
    <t>HERMALINA NONIA WUARLELA</t>
  </si>
  <si>
    <t>lenywuarlela@gmail.com</t>
  </si>
  <si>
    <t>767</t>
  </si>
  <si>
    <t>https://drive.google.com/file/d/1_maac-jO_vH6GAD9ydX4Wyg6DLfaAY1i/view?usp=drivesdk</t>
  </si>
  <si>
    <t>1_maac-jO_vH6GAD9ydX4Wyg6DLfaAY1i</t>
  </si>
  <si>
    <t>1YIz4_jTlhz5n9gK9BeYLitFZfIeQ_2Td</t>
  </si>
  <si>
    <t>https://drive.google.com/file/d/1YIz4_jTlhz5n9gK9BeYLitFZfIeQ_2Td/view?usp=drivesdk</t>
  </si>
  <si>
    <t>NINNA NURUL ISMA</t>
  </si>
  <si>
    <t>ninnaisma25@gmail.com</t>
  </si>
  <si>
    <t>768</t>
  </si>
  <si>
    <t>https://drive.google.com/file/d/1EsBTkbs9luiK-YgXfFKYkEopJU6Dbe4F/view?usp=drivesdk</t>
  </si>
  <si>
    <t>1EsBTkbs9luiK-YgXfFKYkEopJU6Dbe4F</t>
  </si>
  <si>
    <t>1_O3q6NiFncWeAwg21Y_-9QR9HgXYUas9</t>
  </si>
  <si>
    <t>https://drive.google.com/file/d/1_O3q6NiFncWeAwg21Y_-9QR9HgXYUas9/view?usp=drivesdk</t>
  </si>
  <si>
    <t>NS. QORI FITRIA NUR ASHRIYAH, S.KEP</t>
  </si>
  <si>
    <t>qorifitria_94@yahoo.co.id</t>
  </si>
  <si>
    <t>769</t>
  </si>
  <si>
    <t>https://drive.google.com/file/d/1cdkSv8BAiUJSlo8x2ZPFo1s2QXDsE_zq/view?usp=drivesdk</t>
  </si>
  <si>
    <t>1cdkSv8BAiUJSlo8x2ZPFo1s2QXDsE_zq</t>
  </si>
  <si>
    <t>1q8fQXPx6ngsJkL3uSWfsJCKXhl4MwykP</t>
  </si>
  <si>
    <t>https://drive.google.com/file/d/1q8fQXPx6ngsJkL3uSWfsJCKXhl4MwykP/view?usp=drivesdk</t>
  </si>
  <si>
    <t>SINGGIH PURBO LESMONO</t>
  </si>
  <si>
    <t>Singgihpurbolesmono@gmail.com</t>
  </si>
  <si>
    <t>770</t>
  </si>
  <si>
    <t>https://drive.google.com/file/d/1TggK5bPL_CbwzAuw7JK5_7mzndqC6LRb/view?usp=drivesdk</t>
  </si>
  <si>
    <t>1TggK5bPL_CbwzAuw7JK5_7mzndqC6LRb</t>
  </si>
  <si>
    <t>1qqo3VbZiMsDCwk8HHq2HM_mbSz7OFSE-</t>
  </si>
  <si>
    <t>https://drive.google.com/file/d/1qqo3VbZiMsDCwk8HHq2HM_mbSz7OFSE-/view?usp=drivesdk</t>
  </si>
  <si>
    <t>MAULUDI HARTOYO</t>
  </si>
  <si>
    <t>mauludihartoyo01@gmail.com</t>
  </si>
  <si>
    <t>771</t>
  </si>
  <si>
    <t>https://drive.google.com/file/d/1I9-7Rt_8G6Ob_H7kJKnsbfRXphI8xM0I/view?usp=drivesdk</t>
  </si>
  <si>
    <t>1I9-7Rt_8G6Ob_H7kJKnsbfRXphI8xM0I</t>
  </si>
  <si>
    <t>1Lt7QYJ2d0_dji0x_wJ4RULcTx4AItuJh</t>
  </si>
  <si>
    <t>https://drive.google.com/file/d/1Lt7QYJ2d0_dji0x_wJ4RULcTx4AItuJh/view?usp=drivesdk</t>
  </si>
  <si>
    <t>Document successfully created; Document successfully merged; PDF created; !!Error Sending Emails: Service invoked too many times for one day: email.; Manually run by ecertificate75@gmail.com; Timestamp: Aug 30 2024 10:58 PM</t>
  </si>
  <si>
    <t>SRI ANDRIANI, S.Psi</t>
  </si>
  <si>
    <t>sriandriani.1717@gmail.com</t>
  </si>
  <si>
    <t>772</t>
  </si>
  <si>
    <t>https://drive.google.com/file/d/1elJ-1VnOY1yhHpaLL53mqcxZChoq7c9Y/view?usp=drivesdk</t>
  </si>
  <si>
    <t>1elJ-1VnOY1yhHpaLL53mqcxZChoq7c9Y</t>
  </si>
  <si>
    <t>18m9fzl6YcTO4A4N0G6WD2AWutFkBFgJf</t>
  </si>
  <si>
    <t>https://drive.google.com/file/d/18m9fzl6YcTO4A4N0G6WD2AWutFkBFgJf/view?usp=drivesdk</t>
  </si>
  <si>
    <t>WAHYU ARTININGSIH</t>
  </si>
  <si>
    <t>wahyuartiningsih48@gmail.com</t>
  </si>
  <si>
    <t>773</t>
  </si>
  <si>
    <t>https://drive.google.com/file/d/1k2ytf4pBcVrBZfHEZSAiFjQVE4q2kuMo/view?usp=drivesdk</t>
  </si>
  <si>
    <t>1k2ytf4pBcVrBZfHEZSAiFjQVE4q2kuMo</t>
  </si>
  <si>
    <t>1NSVbfrov6cpHVlpt1GpvwP3xiF4y0HCY</t>
  </si>
  <si>
    <t>https://drive.google.com/file/d/1NSVbfrov6cpHVlpt1GpvwP3xiF4y0HCY/view?usp=drivesdk</t>
  </si>
  <si>
    <t xml:space="preserve">MUHAMMAD AGUNG WIBOWO </t>
  </si>
  <si>
    <t>agoenkdeewae@gmail.com</t>
  </si>
  <si>
    <t>774</t>
  </si>
  <si>
    <t>Starting at Thu Aug 29 2024 20:49:20 GMT-0400 (EDT)</t>
  </si>
  <si>
    <t>1zq2aUcFPnPc3Cznj8R0VHKtPAsxkUBXD</t>
  </si>
  <si>
    <t>https://drive.google.com/file/d/1zq2aUcFPnPc3Cznj8R0VHKtPAsxkUBXD/view?usp=drivesdk</t>
  </si>
  <si>
    <t>RIFA SUSILAWATI</t>
  </si>
  <si>
    <t>rifasusilawati33@gmail.com</t>
  </si>
  <si>
    <t>775</t>
  </si>
  <si>
    <t>1wUIWwfG6_rHwwDzKsXhhXpieH8SMz4si</t>
  </si>
  <si>
    <t>https://drive.google.com/file/d/1wUIWwfG6_rHwwDzKsXhhXpieH8SMz4si/view?usp=drivesdk</t>
  </si>
  <si>
    <t>YULI DIAN FATMAWATI</t>
  </si>
  <si>
    <t>diqn.alfarizee@gmail.com</t>
  </si>
  <si>
    <t>776</t>
  </si>
  <si>
    <t>https://drive.google.com/file/d/1XS5bNMvCtzfaVTjdzAO5hh3qGbQ7TXqk/view?usp=drivesdk</t>
  </si>
  <si>
    <t>1XS5bNMvCtzfaVTjdzAO5hh3qGbQ7TXqk</t>
  </si>
  <si>
    <t>1NWxjlQjmLtrXnHBSvehBzDvGz3ZI5h7q</t>
  </si>
  <si>
    <t>https://drive.google.com/file/d/1NWxjlQjmLtrXnHBSvehBzDvGz3ZI5h7q/view?usp=drivesdk</t>
  </si>
  <si>
    <t>Document successfully created; Document successfully merged; PDF created; !!Error Sending Emails: Service invoked too many times for one day: email.; Manually run by ecertificate75@gmail.com; Timestamp: Aug 30 2024 10:59 PM</t>
  </si>
  <si>
    <t>ENDAH PUJIHASTUTI, A.Md.Gz</t>
  </si>
  <si>
    <t>endahpujih.72@gmail.com</t>
  </si>
  <si>
    <t>777</t>
  </si>
  <si>
    <t>https://drive.google.com/file/d/1yXcHfpEBxoXh7_Cg-mwlBjL3EP2pC2Dn/view?usp=drivesdk</t>
  </si>
  <si>
    <t>1yXcHfpEBxoXh7_Cg-mwlBjL3EP2pC2Dn</t>
  </si>
  <si>
    <t>1RdVx5Mbpmd_J-5L98xfQXXCa4MyMSdMm</t>
  </si>
  <si>
    <t>https://drive.google.com/file/d/1RdVx5Mbpmd_J-5L98xfQXXCa4MyMSdMm/view?usp=drivesdk</t>
  </si>
  <si>
    <t>DIDIK ARDIYANTO. A.Md</t>
  </si>
  <si>
    <t>didikardiyanto7@gmail.com</t>
  </si>
  <si>
    <t>778</t>
  </si>
  <si>
    <t>https://drive.google.com/file/d/1JJxt-PHKFpureeEwTJhlGBuviGt-a1Q5/view?usp=drivesdk</t>
  </si>
  <si>
    <t>1JJxt-PHKFpureeEwTJhlGBuviGt-a1Q5</t>
  </si>
  <si>
    <t>1_WtjdY-MEl8NHDhB-nm3wXcvm2CnxfLP</t>
  </si>
  <si>
    <t>https://drive.google.com/file/d/1_WtjdY-MEl8NHDhB-nm3wXcvm2CnxfLP/view?usp=drivesdk</t>
  </si>
  <si>
    <t>I NYOMAN SUKAYASA</t>
  </si>
  <si>
    <t>madeyuni2018@gmail.com</t>
  </si>
  <si>
    <t>779</t>
  </si>
  <si>
    <t>https://drive.google.com/file/d/1GfHoFrdZgWzFy-R5BV6KwdNPgWoAP_Y9/view?usp=drivesdk</t>
  </si>
  <si>
    <t>1GfHoFrdZgWzFy-R5BV6KwdNPgWoAP_Y9</t>
  </si>
  <si>
    <t>1bwsGPJm_wkRq2emi84Bzo1_CNS-_cLdE</t>
  </si>
  <si>
    <t>https://drive.google.com/file/d/1bwsGPJm_wkRq2emi84Bzo1_CNS-_cLdE/view?usp=drivesdk</t>
  </si>
  <si>
    <t>EKO PURWANTO ,SPd.I</t>
  </si>
  <si>
    <t>kempungsugama@gmail.com</t>
  </si>
  <si>
    <t>780</t>
  </si>
  <si>
    <t>https://drive.google.com/file/d/1KTr_w1FGXVLT8MzfCox0ZL80TmnbnQsk/view?usp=drivesdk</t>
  </si>
  <si>
    <t>1KTr_w1FGXVLT8MzfCox0ZL80TmnbnQsk</t>
  </si>
  <si>
    <t>1a1rPMpyihruju63rx3CY6qK_WmCpUVMZ</t>
  </si>
  <si>
    <t>https://drive.google.com/file/d/1a1rPMpyihruju63rx3CY6qK_WmCpUVMZ/view?usp=drivesdk</t>
  </si>
  <si>
    <t>IGOR IRZANTO, AMd</t>
  </si>
  <si>
    <t>irzantoigor@gmail.com</t>
  </si>
  <si>
    <t>781</t>
  </si>
  <si>
    <t>https://drive.google.com/file/d/1-GvIRjoiNxQa6xturaYTIL9DpJn9lygT/view?usp=drivesdk</t>
  </si>
  <si>
    <t>1-GvIRjoiNxQa6xturaYTIL9DpJn9lygT</t>
  </si>
  <si>
    <t>1PDtfZJjZ3GfkEMsr6HdKJYXXBSlWD7g1</t>
  </si>
  <si>
    <t>https://drive.google.com/file/d/1PDtfZJjZ3GfkEMsr6HdKJYXXBSlWD7g1/view?usp=drivesdk</t>
  </si>
  <si>
    <t>Document successfully created; Document successfully merged; PDF created; !!Error Sending Emails: Service invoked too many times for one day: email.; Manually run by ecertificate75@gmail.com; Timestamp: Aug 30 2024 11:00 PM</t>
  </si>
  <si>
    <t>YUYUN YUNINGSIH, S.T.</t>
  </si>
  <si>
    <t>yyuningsih75@gmail.com</t>
  </si>
  <si>
    <t>782</t>
  </si>
  <si>
    <t>https://drive.google.com/file/d/1JdPe1EOfZZSig4WhokLLINgRq2UWE23Q/view?usp=drivesdk</t>
  </si>
  <si>
    <t>1JdPe1EOfZZSig4WhokLLINgRq2UWE23Q</t>
  </si>
  <si>
    <t>1-EGtsUHj2LqfPkF7QBCPcqux16duty4j</t>
  </si>
  <si>
    <t>https://drive.google.com/file/d/1-EGtsUHj2LqfPkF7QBCPcqux16duty4j/view?usp=drivesdk</t>
  </si>
  <si>
    <t>MIRDAWATI MUSTAFA S.H</t>
  </si>
  <si>
    <t>mirdawatimustafa26@gmail.com</t>
  </si>
  <si>
    <t>783</t>
  </si>
  <si>
    <t>https://drive.google.com/file/d/1UqCpvfmrI5V7nlWnv0gboxTHXB_NRz4j/view?usp=drivesdk</t>
  </si>
  <si>
    <t>1UqCpvfmrI5V7nlWnv0gboxTHXB_NRz4j</t>
  </si>
  <si>
    <t>14d8UFqbYoDIcAG5nu4-hBtRMef_JjWBD</t>
  </si>
  <si>
    <t>https://drive.google.com/file/d/14d8UFqbYoDIcAG5nu4-hBtRMef_JjWBD/view?usp=drivesdk</t>
  </si>
  <si>
    <t>IMAS MULHIDAH AMK</t>
  </si>
  <si>
    <t>imasmulhidah0@gmail.com</t>
  </si>
  <si>
    <t>784</t>
  </si>
  <si>
    <t>https://drive.google.com/file/d/10FXuDKnklMJPsxID7-OYNywJCh9YohRM/view?usp=drivesdk</t>
  </si>
  <si>
    <t>10FXuDKnklMJPsxID7-OYNywJCh9YohRM</t>
  </si>
  <si>
    <t>146CM9zYehw0HoU5mkx-Nc6oT5rCa2xWz</t>
  </si>
  <si>
    <t>https://drive.google.com/file/d/146CM9zYehw0HoU5mkx-Nc6oT5rCa2xWz/view?usp=drivesdk</t>
  </si>
  <si>
    <t>ADI SUROSO SUROSO</t>
  </si>
  <si>
    <t>adi.suroso94@gmail.com</t>
  </si>
  <si>
    <t>785</t>
  </si>
  <si>
    <t>https://drive.google.com/file/d/1Gbgb5MvPaAcbRrKIWa-GdkKj6ZywjT5J/view?usp=drivesdk</t>
  </si>
  <si>
    <t>1Gbgb5MvPaAcbRrKIWa-GdkKj6ZywjT5J</t>
  </si>
  <si>
    <t>1q0FvDrscSDhGWYXPeYPdVl6oqSysx9R2</t>
  </si>
  <si>
    <t>https://drive.google.com/file/d/1q0FvDrscSDhGWYXPeYPdVl6oqSysx9R2/view?usp=drivesdk</t>
  </si>
  <si>
    <t>VICTOR OKTOVIANUS TAIHUTTU, S.KM</t>
  </si>
  <si>
    <t>v1c7012.7@gmail.com</t>
  </si>
  <si>
    <t>786</t>
  </si>
  <si>
    <t>https://drive.google.com/file/d/1JqxZleQGSD2jUuRyvmX3cBRruUXFXZTR/view?usp=drivesdk</t>
  </si>
  <si>
    <t>1JqxZleQGSD2jUuRyvmX3cBRruUXFXZTR</t>
  </si>
  <si>
    <t>1fI8p9yaALvEG6Hbf1OvU-AotZduM0Bg4</t>
  </si>
  <si>
    <t>https://drive.google.com/file/d/1fI8p9yaALvEG6Hbf1OvU-AotZduM0Bg4/view?usp=drivesdk</t>
  </si>
  <si>
    <t>Document successfully created; Document successfully merged; PDF created; !!Error Sending Emails: Service invoked too many times for one day: email.; Manually run by ecertificate75@gmail.com; Timestamp: Aug 30 2024 11:01 PM</t>
  </si>
  <si>
    <t>TRI AGUSTININGSIH</t>
  </si>
  <si>
    <t>triagustiningsih73@gmail.com</t>
  </si>
  <si>
    <t>787</t>
  </si>
  <si>
    <t>https://drive.google.com/file/d/1h1eM3Ezl3N9tML8YfkwP06Q64UhyANjH/view?usp=drivesdk</t>
  </si>
  <si>
    <t>1h1eM3Ezl3N9tML8YfkwP06Q64UhyANjH</t>
  </si>
  <si>
    <t>1sL7l-BUTSp0gTLhRHFJMIHMERNAmS6fb</t>
  </si>
  <si>
    <t>https://drive.google.com/file/d/1sL7l-BUTSp0gTLhRHFJMIHMERNAmS6fb/view?usp=drivesdk</t>
  </si>
  <si>
    <t>AGUS WANDOYO, S.Kom.</t>
  </si>
  <si>
    <t>46us.ipip@gmail.com</t>
  </si>
  <si>
    <t>788</t>
  </si>
  <si>
    <t>https://drive.google.com/file/d/11Vfz-9JbU981Fu0EbrVWLhSWVjgJ6c4p/view?usp=drivesdk</t>
  </si>
  <si>
    <t>11Vfz-9JbU981Fu0EbrVWLhSWVjgJ6c4p</t>
  </si>
  <si>
    <t>1L330U_bl8mTM37tBD5Lk1z8WVvwZW3zC</t>
  </si>
  <si>
    <t>https://drive.google.com/file/d/1L330U_bl8mTM37tBD5Lk1z8WVvwZW3zC/view?usp=drivesdk</t>
  </si>
  <si>
    <t>KHAIRUL NAWAR</t>
  </si>
  <si>
    <t>khairulnawar283@gmail.com</t>
  </si>
  <si>
    <t>789</t>
  </si>
  <si>
    <t>https://drive.google.com/file/d/17-8oLWxIh0fWYXgrOGe68GSGm5czX5Wm/view?usp=drivesdk</t>
  </si>
  <si>
    <t>17-8oLWxIh0fWYXgrOGe68GSGm5czX5Wm</t>
  </si>
  <si>
    <t>1E0YL80AVWQ_G-UfAEvSoN7zHrvMIi5wH</t>
  </si>
  <si>
    <t>https://drive.google.com/file/d/1E0YL80AVWQ_G-UfAEvSoN7zHrvMIi5wH/view?usp=drivesdk</t>
  </si>
  <si>
    <t>SETYA PRAMBUDI</t>
  </si>
  <si>
    <t>setyaprambudi1980@gmail.com</t>
  </si>
  <si>
    <t>790</t>
  </si>
  <si>
    <t>https://drive.google.com/file/d/1ACQivQYLQom7zGntIDsY7zDfVTt9u3uK/view?usp=drivesdk</t>
  </si>
  <si>
    <t>1ACQivQYLQom7zGntIDsY7zDfVTt9u3uK</t>
  </si>
  <si>
    <t>15iqwmVCovJgOIk6tG320Hlc7kmyEHe_6</t>
  </si>
  <si>
    <t>https://drive.google.com/file/d/15iqwmVCovJgOIk6tG320Hlc7kmyEHe_6/view?usp=drivesdk</t>
  </si>
  <si>
    <t>MARHENI WIDYA CAHYANI, S.E.</t>
  </si>
  <si>
    <t>marheni.widya1403@gmail.com</t>
  </si>
  <si>
    <t>791</t>
  </si>
  <si>
    <t>https://drive.google.com/file/d/1C2ZiAwOT8mm0dkpX7Cctt9-ZjusmH3GQ/view?usp=drivesdk</t>
  </si>
  <si>
    <t>1C2ZiAwOT8mm0dkpX7Cctt9-ZjusmH3GQ</t>
  </si>
  <si>
    <t>1f4iI1ZQYdvCcuEhAchnvHen4T3N2o9ku</t>
  </si>
  <si>
    <t>https://drive.google.com/file/d/1f4iI1ZQYdvCcuEhAchnvHen4T3N2o9ku/view?usp=drivesdk</t>
  </si>
  <si>
    <t>TIFANY LISA TAIHUTTU, Amd.Kep</t>
  </si>
  <si>
    <t>fanytaihuttu@gmail.com</t>
  </si>
  <si>
    <t>792</t>
  </si>
  <si>
    <t>https://drive.google.com/file/d/1rO3VQ2nXKek5GhGELokzv5rJv4NdxszI/view?usp=drivesdk</t>
  </si>
  <si>
    <t>1rO3VQ2nXKek5GhGELokzv5rJv4NdxszI</t>
  </si>
  <si>
    <t>195-X0n3WkitgqtWCG5RTNv8mfL4fNMHe</t>
  </si>
  <si>
    <t>https://drive.google.com/file/d/195-X0n3WkitgqtWCG5RTNv8mfL4fNMHe/view?usp=drivesdk</t>
  </si>
  <si>
    <t>Document successfully created; Document successfully merged; PDF created; !!Error Sending Emails: Service invoked too many times for one day: email.; Manually run by ecertificate75@gmail.com; Timestamp: Aug 30 2024 11:02 PM</t>
  </si>
  <si>
    <t>DJONY SOESANTO</t>
  </si>
  <si>
    <t>soesantodjony@gmail.com</t>
  </si>
  <si>
    <t>793</t>
  </si>
  <si>
    <t>https://drive.google.com/file/d/1Nlv9R79up6p7iA-I3fy2Xnv72sYLnp2n/view?usp=drivesdk</t>
  </si>
  <si>
    <t>1Nlv9R79up6p7iA-I3fy2Xnv72sYLnp2n</t>
  </si>
  <si>
    <t>1zYGXy7kpoKxfvoCE-dOmJuzRTFjKLDpD</t>
  </si>
  <si>
    <t>https://drive.google.com/file/d/1zYGXy7kpoKxfvoCE-dOmJuzRTFjKLDpD/view?usp=drivesdk</t>
  </si>
  <si>
    <t>dr.ENI INDRAWATI</t>
  </si>
  <si>
    <t>indrawati.eni@gmail.com</t>
  </si>
  <si>
    <t>794</t>
  </si>
  <si>
    <t>Starting at Thu Aug 29 2024 20:49:49 GMT-0400 (EDT)</t>
  </si>
  <si>
    <t>1bh2cDThW4Cpxik43MVCqu8M2LT-KZSsY</t>
  </si>
  <si>
    <t>https://drive.google.com/file/d/1bh2cDThW4Cpxik43MVCqu8M2LT-KZSsY/view?usp=drivesdk</t>
  </si>
  <si>
    <t>ABDUL RACHMAN SALEH,SE</t>
  </si>
  <si>
    <t>rachmanfadhil89@gmail.com</t>
  </si>
  <si>
    <t>795</t>
  </si>
  <si>
    <t>1rHRCiTghvINthinzUdqMnBpzvtXpnZ-Z</t>
  </si>
  <si>
    <t>https://drive.google.com/file/d/1rHRCiTghvINthinzUdqMnBpzvtXpnZ-Z/view?usp=drivesdk</t>
  </si>
  <si>
    <t>TITIK KISWANTI,AMD.Kep</t>
  </si>
  <si>
    <t>gatot1072@gmail.com</t>
  </si>
  <si>
    <t>796</t>
  </si>
  <si>
    <t>1ZYAHErVYCJWudiO07YBerRIsQ1TGkt9b</t>
  </si>
  <si>
    <t>https://drive.google.com/file/d/1ZYAHErVYCJWudiO07YBerRIsQ1TGkt9b/view?usp=drivesdk</t>
  </si>
  <si>
    <t>ANGGI DWI CAHYA A.M.Keb</t>
  </si>
  <si>
    <t>giedwicahya@gmail.com</t>
  </si>
  <si>
    <t>797</t>
  </si>
  <si>
    <t>1PyFUVY1eS-Q0ZrJx1j0c2FTz5QuNOUxe</t>
  </si>
  <si>
    <t>https://drive.google.com/file/d/1PyFUVY1eS-Q0ZrJx1j0c2FTz5QuNOUxe/view?usp=drivesdk</t>
  </si>
  <si>
    <t>SANG MADE SUARTAMA,SH</t>
  </si>
  <si>
    <t>sangsuartama1978@gmail.com</t>
  </si>
  <si>
    <t>798</t>
  </si>
  <si>
    <t>1UUxnFTZaAsl2w6FMDft7EGolQAAglYqT</t>
  </si>
  <si>
    <t>https://drive.google.com/file/d/1UUxnFTZaAsl2w6FMDft7EGolQAAglYqT/view?usp=drivesdk</t>
  </si>
  <si>
    <t>agusspdd@gmail.com</t>
  </si>
  <si>
    <t>799</t>
  </si>
  <si>
    <t>https://drive.google.com/file/d/1w9TH0FNG5MNAy_h3m3Y8TVQLyuqt0WE8/view?usp=drivesdk</t>
  </si>
  <si>
    <t>1w9TH0FNG5MNAy_h3m3Y8TVQLyuqt0WE8</t>
  </si>
  <si>
    <t>1Pf31uPHoUMA8CWehY7Gp-25cKQIMgH1V</t>
  </si>
  <si>
    <t>https://drive.google.com/file/d/1Pf31uPHoUMA8CWehY7Gp-25cKQIMgH1V/view?usp=drivesdk</t>
  </si>
  <si>
    <t>Document successfully created; Document successfully merged; PDF created; !!Error Sending Emails: Service invoked too many times for one day: email.; Manually run by ecertificate75@gmail.com; Timestamp: Aug 30 2024 11:03 PM</t>
  </si>
  <si>
    <t>DARMANI IKA SUSANTI</t>
  </si>
  <si>
    <t>darmaniikasusanti@gemail.com</t>
  </si>
  <si>
    <t>800</t>
  </si>
  <si>
    <t>https://drive.google.com/file/d/1gECqfaOZXnbo_j-MxC66AkaKCGEGVAhq/view?usp=drivesdk</t>
  </si>
  <si>
    <t>1gECqfaOZXnbo_j-MxC66AkaKCGEGVAhq</t>
  </si>
  <si>
    <t>1EgVI-T3fJrf9vevkbN2ToSmgduAaNkyg</t>
  </si>
  <si>
    <t>https://drive.google.com/file/d/1EgVI-T3fJrf9vevkbN2ToSmgduAaNkyg/view?usp=drivesdk</t>
  </si>
  <si>
    <t>ENDANG YULIYATI</t>
  </si>
  <si>
    <t>yuliatiendang739@gmail.com</t>
  </si>
  <si>
    <t>801</t>
  </si>
  <si>
    <t>https://drive.google.com/file/d/1JKQ1BQ0GdT_DYBEfe0I5XGupaWc1rrRE/view?usp=drivesdk</t>
  </si>
  <si>
    <t>1JKQ1BQ0GdT_DYBEfe0I5XGupaWc1rrRE</t>
  </si>
  <si>
    <t>1XsvVD4Xf6AOmq8glI3xINBbPMh8NuKXc</t>
  </si>
  <si>
    <t>https://drive.google.com/file/d/1XsvVD4Xf6AOmq8glI3xINBbPMh8NuKXc/view?usp=drivesdk</t>
  </si>
  <si>
    <t>WAHYU AGUNG BINTORO</t>
  </si>
  <si>
    <t>agwahyubin75@gmail.com</t>
  </si>
  <si>
    <t>802</t>
  </si>
  <si>
    <t>https://drive.google.com/file/d/1DGrYvO2iNXe6SP-UCfUrJR3fnR3rYCWi/view?usp=drivesdk</t>
  </si>
  <si>
    <t>1DGrYvO2iNXe6SP-UCfUrJR3fnR3rYCWi</t>
  </si>
  <si>
    <t>1FIWWZQmRLe6wwFlOWD0C3IOakLS1Zhou</t>
  </si>
  <si>
    <t>https://drive.google.com/file/d/1FIWWZQmRLe6wwFlOWD0C3IOakLS1Zhou/view?usp=drivesdk</t>
  </si>
  <si>
    <t>NATAL FRANSISKUS SIHOTANG</t>
  </si>
  <si>
    <t>natalfransiskus26@gmail.com</t>
  </si>
  <si>
    <t>803</t>
  </si>
  <si>
    <t>https://drive.google.com/file/d/1JmTny-588LBvh0qK4ETO4_ay6ovXsnYI/view?usp=drivesdk</t>
  </si>
  <si>
    <t>1JmTny-588LBvh0qK4ETO4_ay6ovXsnYI</t>
  </si>
  <si>
    <t>1sGuW7eI_MK8ustndsYQQ5TCcTrGNTTot</t>
  </si>
  <si>
    <t>https://drive.google.com/file/d/1sGuW7eI_MK8ustndsYQQ5TCcTrGNTTot/view?usp=drivesdk</t>
  </si>
  <si>
    <t>NURWIDAYATI  PRATIWI, AMK</t>
  </si>
  <si>
    <t>nurwid320@gmail.com</t>
  </si>
  <si>
    <t>804</t>
  </si>
  <si>
    <t>https://drive.google.com/file/d/1QOB3e7o_m6Lt6UaIvTqu8R6DpNpH7GsT/view?usp=drivesdk</t>
  </si>
  <si>
    <t>1QOB3e7o_m6Lt6UaIvTqu8R6DpNpH7GsT</t>
  </si>
  <si>
    <t>1YTBPjM46cWWU1qwTDxO8J8gEKnWZ2_lz</t>
  </si>
  <si>
    <t>https://drive.google.com/file/d/1YTBPjM46cWWU1qwTDxO8J8gEKnWZ2_lz/view?usp=drivesdk</t>
  </si>
  <si>
    <t>MURTI DHAMAYANTI</t>
  </si>
  <si>
    <t>murtidhamayanti.tabessmg@gmail.com</t>
  </si>
  <si>
    <t>805</t>
  </si>
  <si>
    <t>https://drive.google.com/file/d/1JSll60vGJnEZDPurhqhV8wG8Nz_pz_sF/view?usp=drivesdk</t>
  </si>
  <si>
    <t>1JSll60vGJnEZDPurhqhV8wG8Nz_pz_sF</t>
  </si>
  <si>
    <t>1ubiZkHYA7yv-49d9L2UayeiUrX3qJQZl</t>
  </si>
  <si>
    <t>https://drive.google.com/file/d/1ubiZkHYA7yv-49d9L2UayeiUrX3qJQZl/view?usp=drivesdk</t>
  </si>
  <si>
    <t>Document successfully created; Document successfully merged; PDF created; !!Error Sending Emails: Service invoked too many times for one day: email.; Manually run by ecertificate75@gmail.com; Timestamp: Aug 30 2024 11:04 PM</t>
  </si>
  <si>
    <t>MOHAMAD SMAIL</t>
  </si>
  <si>
    <t>muhamadismailismail137@gmail.com</t>
  </si>
  <si>
    <t>806</t>
  </si>
  <si>
    <t>https://drive.google.com/file/d/149L19eJpey4VJtXrEnoiPId-XKjQj44_/view?usp=drivesdk</t>
  </si>
  <si>
    <t>149L19eJpey4VJtXrEnoiPId-XKjQj44_</t>
  </si>
  <si>
    <t>19RqLK8bHyT5zXnD_iNxvDRGXJVr8hrSE</t>
  </si>
  <si>
    <t>https://drive.google.com/file/d/19RqLK8bHyT5zXnD_iNxvDRGXJVr8hrSE/view?usp=drivesdk</t>
  </si>
  <si>
    <t>AGUSTINUS RUDDY HARTONO</t>
  </si>
  <si>
    <t>Agustinusruddyhartono@gmail.com</t>
  </si>
  <si>
    <t>807</t>
  </si>
  <si>
    <t>https://drive.google.com/file/d/1Fk4Z3jcgVeeJsXaPLYEcZ9ZeKBOUk1j3/view?usp=drivesdk</t>
  </si>
  <si>
    <t>1Fk4Z3jcgVeeJsXaPLYEcZ9ZeKBOUk1j3</t>
  </si>
  <si>
    <t>1ailEUuaQccP2WXadsgPMOxQOJwaF_AC0</t>
  </si>
  <si>
    <t>https://drive.google.com/file/d/1ailEUuaQccP2WXadsgPMOxQOJwaF_AC0/view?usp=drivesdk</t>
  </si>
  <si>
    <t>ANDIANSYAHS, S.M.</t>
  </si>
  <si>
    <t>andiansyah7290@gmail.com</t>
  </si>
  <si>
    <t>808</t>
  </si>
  <si>
    <t>https://drive.google.com/file/d/1TwWwpJV7WkGqLukHq90qA4J6IfRC5i6c/view?usp=drivesdk</t>
  </si>
  <si>
    <t>1TwWwpJV7WkGqLukHq90qA4J6IfRC5i6c</t>
  </si>
  <si>
    <t>1fNznagGGzg0q8bTovhjgE00k5Uda2ViG</t>
  </si>
  <si>
    <t>https://drive.google.com/file/d/1fNznagGGzg0q8bTovhjgE00k5Uda2ViG/view?usp=drivesdk</t>
  </si>
  <si>
    <t>SRI SUWARTINI</t>
  </si>
  <si>
    <t>Suwartini.dira@gmail.com</t>
  </si>
  <si>
    <t>809</t>
  </si>
  <si>
    <t>https://drive.google.com/file/d/1u2WERi9J38iDr6IfHpnr88JL_Wd9yifx/view?usp=drivesdk</t>
  </si>
  <si>
    <t>1u2WERi9J38iDr6IfHpnr88JL_Wd9yifx</t>
  </si>
  <si>
    <t>1owBLjZGO5git8V83q-f_cSdmyOfEoC7o</t>
  </si>
  <si>
    <t>https://drive.google.com/file/d/1owBLjZGO5git8V83q-f_cSdmyOfEoC7o/view?usp=drivesdk</t>
  </si>
  <si>
    <t>AFTADI YULIANSYAH, A.Md.Farm</t>
  </si>
  <si>
    <t>aftadiyuliansyah08@gmail.com</t>
  </si>
  <si>
    <t>810</t>
  </si>
  <si>
    <t>https://drive.google.com/file/d/1hKEGvMIv7DJJPSnWxJgLNpNMZv3AOlqU/view?usp=drivesdk</t>
  </si>
  <si>
    <t>1hKEGvMIv7DJJPSnWxJgLNpNMZv3AOlqU</t>
  </si>
  <si>
    <t>1Z7xUcq3Iqqh1mlo0fwFmckD3D4x1CESo</t>
  </si>
  <si>
    <t>https://drive.google.com/file/d/1Z7xUcq3Iqqh1mlo0fwFmckD3D4x1CESo/view?usp=drivesdk</t>
  </si>
  <si>
    <t>Document successfully created; Document successfully merged; PDF created; !!Error Sending Emails: Service invoked too many times for one day: email.; Manually run by ecertificate75@gmail.com; Timestamp: Aug 30 2024 11:05 PM</t>
  </si>
  <si>
    <t>DINA MUJI RAHAYU</t>
  </si>
  <si>
    <t>dinarahayu041278@gmail.com</t>
  </si>
  <si>
    <t>811</t>
  </si>
  <si>
    <t>https://drive.google.com/file/d/17_4rLObgYeGx47WoFJofU7RuvjxmjlQr/view?usp=drivesdk</t>
  </si>
  <si>
    <t>17_4rLObgYeGx47WoFJofU7RuvjxmjlQr</t>
  </si>
  <si>
    <t>1Ouo196U2VDtyxIuwxc_Gq6bwhN5Uh1r_</t>
  </si>
  <si>
    <t>https://drive.google.com/file/d/1Ouo196U2VDtyxIuwxc_Gq6bwhN5Uh1r_/view?usp=drivesdk</t>
  </si>
  <si>
    <t>DODI SUHANDI, S.E.</t>
  </si>
  <si>
    <t>kang.saprolize@gmail.com</t>
  </si>
  <si>
    <t>812</t>
  </si>
  <si>
    <t>https://drive.google.com/file/d/1bG0Jw8-BToWF_W8qtj4bcOy4GeMOPorw/view?usp=drivesdk</t>
  </si>
  <si>
    <t>1bG0Jw8-BToWF_W8qtj4bcOy4GeMOPorw</t>
  </si>
  <si>
    <t>14mnYB2ZHwkG8aZy8fRqken8a9p2NqtNE</t>
  </si>
  <si>
    <t>https://drive.google.com/file/d/14mnYB2ZHwkG8aZy8fRqken8a9p2NqtNE/view?usp=drivesdk</t>
  </si>
  <si>
    <t>PENGATUR SUHARTOYO</t>
  </si>
  <si>
    <t>yayak.airud@gmail.com</t>
  </si>
  <si>
    <t>813</t>
  </si>
  <si>
    <t>https://drive.google.com/file/d/1l72uOIVdb919diFBn7yVv9EnMaelyY3H/view?usp=drivesdk</t>
  </si>
  <si>
    <t>1l72uOIVdb919diFBn7yVv9EnMaelyY3H</t>
  </si>
  <si>
    <t>1dZCX51DoYoF-WLh5JET490UF59OnfqPN</t>
  </si>
  <si>
    <t>https://drive.google.com/file/d/1dZCX51DoYoF-WLh5JET490UF59OnfqPN/view?usp=drivesdk</t>
  </si>
  <si>
    <t>IROM MUHAROM, S.KOM.</t>
  </si>
  <si>
    <t>casev1979@gmail.com</t>
  </si>
  <si>
    <t>814</t>
  </si>
  <si>
    <t>https://drive.google.com/file/d/1AswNDqpqEeEmlcY83mllDe9Q3-5zYTOu/view?usp=drivesdk</t>
  </si>
  <si>
    <t>1AswNDqpqEeEmlcY83mllDe9Q3-5zYTOu</t>
  </si>
  <si>
    <t>1MmyglXg2KaxLLLWVMB45M2r1FDrIVKM5</t>
  </si>
  <si>
    <t>https://drive.google.com/file/d/1MmyglXg2KaxLLLWVMB45M2r1FDrIVKM5/view?usp=drivesdk</t>
  </si>
  <si>
    <t xml:space="preserve">EKO YUDHI PURWANTO </t>
  </si>
  <si>
    <t>ekoyudhipurwanto@gmail.com</t>
  </si>
  <si>
    <t>815</t>
  </si>
  <si>
    <t>https://drive.google.com/file/d/1eqixNfcxAQTKtujRVW-woemnjoBcZj3q/view?usp=drivesdk</t>
  </si>
  <si>
    <t>1eqixNfcxAQTKtujRVW-woemnjoBcZj3q</t>
  </si>
  <si>
    <t>1OOULa44HZmXyipI9GZ_AF3VbHpJouImY</t>
  </si>
  <si>
    <t>https://drive.google.com/file/d/1OOULa44HZmXyipI9GZ_AF3VbHpJouImY/view?usp=drivesdk</t>
  </si>
  <si>
    <t>Document successfully created; Document successfully merged; PDF created; !!Error Sending Emails: Service invoked too many times for one day: email.; Manually run by ecertificate75@gmail.com; Timestamp: Aug 30 2024 11:06 PM</t>
  </si>
  <si>
    <t xml:space="preserve">KHAIRUL IRFAN </t>
  </si>
  <si>
    <t>khairul.irfan70@gmail.com</t>
  </si>
  <si>
    <t>816</t>
  </si>
  <si>
    <t>https://drive.google.com/file/d/1J4aZQgkx-qXjhJjLwtnoK6aizz6PN5EW/view?usp=drivesdk</t>
  </si>
  <si>
    <t>1J4aZQgkx-qXjhJjLwtnoK6aizz6PN5EW</t>
  </si>
  <si>
    <t>1yLv5YeEo6XS-npXdE0gkN4EcWudwpa41</t>
  </si>
  <si>
    <t>https://drive.google.com/file/d/1yLv5YeEo6XS-npXdE0gkN4EcWudwpa41/view?usp=drivesdk</t>
  </si>
  <si>
    <t xml:space="preserve">ARNY MARHAINY ZAINUL ASIKIN, S.H., </t>
  </si>
  <si>
    <t>arnymarhainy@gmail.com</t>
  </si>
  <si>
    <t>817</t>
  </si>
  <si>
    <t>https://drive.google.com/file/d/1jFXCLihBV0Aw6yYTkWg9kvrszHELzhCn/view?usp=drivesdk</t>
  </si>
  <si>
    <t>1jFXCLihBV0Aw6yYTkWg9kvrszHELzhCn</t>
  </si>
  <si>
    <t>1ZI8xjnsGK0vUA5KIviS6yQ0ez0-XSGTg</t>
  </si>
  <si>
    <t>https://drive.google.com/file/d/1ZI8xjnsGK0vUA5KIviS6yQ0ez0-XSGTg/view?usp=drivesdk</t>
  </si>
  <si>
    <t>NISA JUWITA RAHMAWATI, A.Md.AK</t>
  </si>
  <si>
    <t>nisajuwita20@gmail.com</t>
  </si>
  <si>
    <t>818</t>
  </si>
  <si>
    <t>https://drive.google.com/file/d/12thLKjT4P1hpgYWH1Z-toDJWty4tByxh/view?usp=drivesdk</t>
  </si>
  <si>
    <t>12thLKjT4P1hpgYWH1Z-toDJWty4tByxh</t>
  </si>
  <si>
    <t>1HKsOe1yE9lJJrtrIrRo5wF2wsuQZyEfV</t>
  </si>
  <si>
    <t>https://drive.google.com/file/d/1HKsOe1yE9lJJrtrIrRo5wF2wsuQZyEfV/view?usp=drivesdk</t>
  </si>
  <si>
    <t>TANTI ARIESTIANA, S. H</t>
  </si>
  <si>
    <t>tantirestiana@gmail.com</t>
  </si>
  <si>
    <t>819</t>
  </si>
  <si>
    <t>https://drive.google.com/file/d/1yaZGp5q3MfI8a-RWuyOhab45fk0g6rwM/view?usp=drivesdk</t>
  </si>
  <si>
    <t>1yaZGp5q3MfI8a-RWuyOhab45fk0g6rwM</t>
  </si>
  <si>
    <t>1kf7qpADQEXVXmFL9c8Wb2rmRpnJ_ko1A</t>
  </si>
  <si>
    <t>https://drive.google.com/file/d/1kf7qpADQEXVXmFL9c8Wb2rmRpnJ_ko1A/view?usp=drivesdk</t>
  </si>
  <si>
    <t xml:space="preserve">SAIDAH WAHYU MULARTI </t>
  </si>
  <si>
    <t>saidahwahyu70@gmail.com</t>
  </si>
  <si>
    <t>820</t>
  </si>
  <si>
    <t>https://drive.google.com/file/d/1Ik7m8DaFz48u0nAyOL0-vPC2QtGCfTcZ/view?usp=drivesdk</t>
  </si>
  <si>
    <t>1Ik7m8DaFz48u0nAyOL0-vPC2QtGCfTcZ</t>
  </si>
  <si>
    <t>1fpUHNwB-nUiAKScUIvoCwBe92NSFfE8o</t>
  </si>
  <si>
    <t>https://drive.google.com/file/d/1fpUHNwB-nUiAKScUIvoCwBe92NSFfE8o/view?usp=drivesdk</t>
  </si>
  <si>
    <t>Document successfully created; Document successfully merged; PDF created; !!Error Sending Emails: Service invoked too many times for one day: email.; Manually run by ecertificate75@gmail.com; Timestamp: Aug 30 2024 11:07 PM</t>
  </si>
  <si>
    <t>EDY WAHYU WIJAYANTO, SH</t>
  </si>
  <si>
    <t>edywahyuwijayanto@gmail.com</t>
  </si>
  <si>
    <t>821</t>
  </si>
  <si>
    <t>https://drive.google.com/file/d/153r8-j8RbperTS9CXUH1SHJ5pheM_xOB/view?usp=drivesdk</t>
  </si>
  <si>
    <t>153r8-j8RbperTS9CXUH1SHJ5pheM_xOB</t>
  </si>
  <si>
    <t>1X_BzjyoimPr53jOGaOGsYrwln6NpLmid</t>
  </si>
  <si>
    <t>https://drive.google.com/file/d/1X_BzjyoimPr53jOGaOGsYrwln6NpLmid/view?usp=drivesdk</t>
  </si>
  <si>
    <t>I NYOMAN JANU ARIMBAWA</t>
  </si>
  <si>
    <t>omanjanu10@gmail.com</t>
  </si>
  <si>
    <t>822</t>
  </si>
  <si>
    <t>https://drive.google.com/file/d/1SSvcRY34nTmsAVYp2VHgLgygAwtSZn0y/view?usp=drivesdk</t>
  </si>
  <si>
    <t>1SSvcRY34nTmsAVYp2VHgLgygAwtSZn0y</t>
  </si>
  <si>
    <t>1Q4pdThD3hMH6bbK3W-sU6rcbAogl0mpP</t>
  </si>
  <si>
    <t>https://drive.google.com/file/d/1Q4pdThD3hMH6bbK3W-sU6rcbAogl0mpP/view?usp=drivesdk</t>
  </si>
  <si>
    <t>AAN AHMAD SHOLIKIN. A. Md</t>
  </si>
  <si>
    <t>a2n.coklat@gmail.com</t>
  </si>
  <si>
    <t>823</t>
  </si>
  <si>
    <t>https://drive.google.com/file/d/1kbyTei5BmyOcp94fbMXcuhu_vR4WkcAD/view?usp=drivesdk</t>
  </si>
  <si>
    <t>1kbyTei5BmyOcp94fbMXcuhu_vR4WkcAD</t>
  </si>
  <si>
    <t>1gTFINVHyXR0MMQNYfQLWGyLFqL8F1QrH</t>
  </si>
  <si>
    <t>https://drive.google.com/file/d/1gTFINVHyXR0MMQNYfQLWGyLFqL8F1QrH/view?usp=drivesdk</t>
  </si>
  <si>
    <t>YUNI SUPRIATIN, S.E.</t>
  </si>
  <si>
    <t>yunisupriatin.lmj30@gmail.com</t>
  </si>
  <si>
    <t>824</t>
  </si>
  <si>
    <t>https://drive.google.com/file/d/1mkGFfpaw-061iQYVrs56SpLCh_2df5k_/view?usp=drivesdk</t>
  </si>
  <si>
    <t>1mkGFfpaw-061iQYVrs56SpLCh_2df5k_</t>
  </si>
  <si>
    <t>1uoCfynS8j-NaCvO0Pp5KugV9wZfv8K6R</t>
  </si>
  <si>
    <t>https://drive.google.com/file/d/1uoCfynS8j-NaCvO0Pp5KugV9wZfv8K6R/view?usp=drivesdk</t>
  </si>
  <si>
    <t>HERI NOVIYANTO</t>
  </si>
  <si>
    <t>alviyo.07@gmail.com</t>
  </si>
  <si>
    <t>825</t>
  </si>
  <si>
    <t>https://drive.google.com/file/d/1YXKly1P-7ZY6bFj1uNDDO2Ux_UB0TNio/view?usp=drivesdk</t>
  </si>
  <si>
    <t>1YXKly1P-7ZY6bFj1uNDDO2Ux_UB0TNio</t>
  </si>
  <si>
    <t>1HRe9ilIOd8jvpth5BwMrKJVIKzuzjh0W</t>
  </si>
  <si>
    <t>https://drive.google.com/file/d/1HRe9ilIOd8jvpth5BwMrKJVIKzuzjh0W/view?usp=drivesdk</t>
  </si>
  <si>
    <t xml:space="preserve">ENDRI MUSTIKANINGSIH, S. Kom. </t>
  </si>
  <si>
    <t>endri.mustika@gmail.com</t>
  </si>
  <si>
    <t>826</t>
  </si>
  <si>
    <t>https://drive.google.com/file/d/1zRd-tnkhTyPbAq_53-V0sAf8NVzzE5-6/view?usp=drivesdk</t>
  </si>
  <si>
    <t>1zRd-tnkhTyPbAq_53-V0sAf8NVzzE5-6</t>
  </si>
  <si>
    <t>1BvRylgQov-tm8XNViqrZHSJVrAGy3fZ4</t>
  </si>
  <si>
    <t>https://drive.google.com/file/d/1BvRylgQov-tm8XNViqrZHSJVrAGy3fZ4/view?usp=drivesdk</t>
  </si>
  <si>
    <t>Document successfully created; Document successfully merged; PDF created; !!Error Sending Emails: Service invoked too many times for one day: email.; Manually run by ecertificate75@gmail.com; Timestamp: Aug 30 2024 11:08 PM</t>
  </si>
  <si>
    <t>ERWANTO, S.SOS, M.M.</t>
  </si>
  <si>
    <t>erwanto1974@gmail.com</t>
  </si>
  <si>
    <t>827</t>
  </si>
  <si>
    <t>https://drive.google.com/file/d/13UjMj1wx9KKIdPLOrpgfjhjA6VgozROD/view?usp=drivesdk</t>
  </si>
  <si>
    <t>13UjMj1wx9KKIdPLOrpgfjhjA6VgozROD</t>
  </si>
  <si>
    <t>1_wkzvL-JjhSkoWyXn05scXOlKDecupEf</t>
  </si>
  <si>
    <t>https://drive.google.com/file/d/1_wkzvL-JjhSkoWyXn05scXOlKDecupEf/view?usp=drivesdk</t>
  </si>
  <si>
    <t>ESTI KURNIASIH</t>
  </si>
  <si>
    <t>esti.k204@gmail.com</t>
  </si>
  <si>
    <t>828</t>
  </si>
  <si>
    <t>https://drive.google.com/file/d/1HN7u00RKaiA1jywwtJJLZcJOW_SuDUvR/view?usp=drivesdk</t>
  </si>
  <si>
    <t>1HN7u00RKaiA1jywwtJJLZcJOW_SuDUvR</t>
  </si>
  <si>
    <t>1TGq5c1jdkg1-jIbIEkllZjotgM7Cr6YB</t>
  </si>
  <si>
    <t>https://drive.google.com/file/d/1TGq5c1jdkg1-jIbIEkllZjotgM7Cr6YB/view?usp=drivesdk</t>
  </si>
  <si>
    <t>APT. SHAFIRA WIDYANTI.,S.FARM</t>
  </si>
  <si>
    <t>shafirawidyanti99@gmail.com</t>
  </si>
  <si>
    <t>829</t>
  </si>
  <si>
    <t>https://drive.google.com/file/d/1J05ROsZ3VBq8I_nQpvwihMTWKeZK6u59/view?usp=drivesdk</t>
  </si>
  <si>
    <t>1J05ROsZ3VBq8I_nQpvwihMTWKeZK6u59</t>
  </si>
  <si>
    <t>1v5drvmY-MC8VluEGm2N28eQnitvIqISV</t>
  </si>
  <si>
    <t>https://drive.google.com/file/d/1v5drvmY-MC8VluEGm2N28eQnitvIqISV/view?usp=drivesdk</t>
  </si>
  <si>
    <t>WAWAN SETIAWAN, S.Kom</t>
  </si>
  <si>
    <t>oaoan2009@gmail.com</t>
  </si>
  <si>
    <t>830</t>
  </si>
  <si>
    <t>Starting at Thu Aug 29 2024 20:50:38 GMT-0400 (EDT)</t>
  </si>
  <si>
    <t>1ygtzc2ilJrRpdXuai0gLYs4hv88_xISn</t>
  </si>
  <si>
    <t>https://drive.google.com/file/d/1ygtzc2ilJrRpdXuai0gLYs4hv88_xISn/view?usp=drivesdk</t>
  </si>
  <si>
    <t>ENI TRISNAWATI  S.E.M.Si</t>
  </si>
  <si>
    <t>enitrisnawati7882@gmail.com</t>
  </si>
  <si>
    <t>831</t>
  </si>
  <si>
    <t>https://drive.google.com/file/d/1r7KUpAdziAYXhLGD9uM7VmGCnwOv5yec/view?usp=drivesdk</t>
  </si>
  <si>
    <t>1r7KUpAdziAYXhLGD9uM7VmGCnwOv5yec</t>
  </si>
  <si>
    <t>1B9nbdojQ78l1kVpxtdayjB1ZQxIua28O</t>
  </si>
  <si>
    <t>https://drive.google.com/file/d/1B9nbdojQ78l1kVpxtdayjB1ZQxIua28O/view?usp=drivesdk</t>
  </si>
  <si>
    <t>DANIEL SUGIANTO, S.M.</t>
  </si>
  <si>
    <t>danielveniciaferrari@gmail.com</t>
  </si>
  <si>
    <t>832</t>
  </si>
  <si>
    <t>https://drive.google.com/file/d/1nMtkCnVgUDIDEiiFFxoyJogjUhO3LrNa/view?usp=drivesdk</t>
  </si>
  <si>
    <t>1nMtkCnVgUDIDEiiFFxoyJogjUhO3LrNa</t>
  </si>
  <si>
    <t>1HO0Z2es5QNZa5q1Au-xLma34KGtkKxWV</t>
  </si>
  <si>
    <t>https://drive.google.com/file/d/1HO0Z2es5QNZa5q1Au-xLma34KGtkKxWV/view?usp=drivesdk</t>
  </si>
  <si>
    <t>Document successfully created; Document successfully merged; PDF created; !!Error Sending Emails: Service invoked too many times for one day: email.; Manually run by ecertificate75@gmail.com; Timestamp: Aug 30 2024 11:09 PM</t>
  </si>
  <si>
    <t>ELFRIDA ANISYAH</t>
  </si>
  <si>
    <t>elfridasamudji@gmail.com</t>
  </si>
  <si>
    <t>833</t>
  </si>
  <si>
    <t>https://drive.google.com/file/d/1nKWYV0Z5RnF0j9vArryJx2-D8rDl-V4b/view?usp=drivesdk</t>
  </si>
  <si>
    <t>1nKWYV0Z5RnF0j9vArryJx2-D8rDl-V4b</t>
  </si>
  <si>
    <t>1FscyAA0oZ5bpnQoCIL3NoSwBHJSByhTt</t>
  </si>
  <si>
    <t>https://drive.google.com/file/d/1FscyAA0oZ5bpnQoCIL3NoSwBHJSByhTt/view?usp=drivesdk</t>
  </si>
  <si>
    <t>WINDY PERMATA SARI, S.Kep</t>
  </si>
  <si>
    <t>mamavioletha@gmail.com</t>
  </si>
  <si>
    <t>834</t>
  </si>
  <si>
    <t>https://drive.google.com/file/d/1TyeyeaBny5Cequ1I5XJs6rdjDIOw4sl7/view?usp=drivesdk</t>
  </si>
  <si>
    <t>1TyeyeaBny5Cequ1I5XJs6rdjDIOw4sl7</t>
  </si>
  <si>
    <t>140ZjDjMTFLQLSVtIiX2l-GzIHFCLRyCN</t>
  </si>
  <si>
    <t>https://drive.google.com/file/d/140ZjDjMTFLQLSVtIiX2l-GzIHFCLRyCN/view?usp=drivesdk</t>
  </si>
  <si>
    <t>YUNI EKA SETYANINGSIH,S.E.</t>
  </si>
  <si>
    <t>yuniekasetyaningsih1@gmail.com</t>
  </si>
  <si>
    <t>835</t>
  </si>
  <si>
    <t>https://drive.google.com/file/d/1ff2Tl8ycKhUIrH3XYLuJIZWhrMH7XBrd/view?usp=drivesdk</t>
  </si>
  <si>
    <t>1ff2Tl8ycKhUIrH3XYLuJIZWhrMH7XBrd</t>
  </si>
  <si>
    <t>14kjtbbXouPWBXnqsH1TVLQu5-tJyLAb8</t>
  </si>
  <si>
    <t>https://drive.google.com/file/d/14kjtbbXouPWBXnqsH1TVLQu5-tJyLAb8/view?usp=drivesdk</t>
  </si>
  <si>
    <t>ENDANG SRI RAHAYU</t>
  </si>
  <si>
    <t>endang272527@gmail.com</t>
  </si>
  <si>
    <t>836</t>
  </si>
  <si>
    <t>https://drive.google.com/file/d/1I6lVH4H3HI51n12YTI3u5tww9GaebxUb/view?usp=drivesdk</t>
  </si>
  <si>
    <t>1I6lVH4H3HI51n12YTI3u5tww9GaebxUb</t>
  </si>
  <si>
    <t>1ktbnlF6HeOQHnguY4rYevuHwAVHfpsAZ</t>
  </si>
  <si>
    <t>https://drive.google.com/file/d/1ktbnlF6HeOQHnguY4rYevuHwAVHfpsAZ/view?usp=drivesdk</t>
  </si>
  <si>
    <t>MOCHAMAD SODIK</t>
  </si>
  <si>
    <t>mochsodik266@gmail.com</t>
  </si>
  <si>
    <t>837</t>
  </si>
  <si>
    <t>https://drive.google.com/file/d/11aEQZkv50KQsRqQ9qy3X1gt1bV_sBCS5/view?usp=drivesdk</t>
  </si>
  <si>
    <t>11aEQZkv50KQsRqQ9qy3X1gt1bV_sBCS5</t>
  </si>
  <si>
    <t>1uV791ctuWmvQFdsiOovnvYHCr4qw0MRs</t>
  </si>
  <si>
    <t>https://drive.google.com/file/d/1uV791ctuWmvQFdsiOovnvYHCr4qw0MRs/view?usp=drivesdk</t>
  </si>
  <si>
    <t>DR. OKSEN PARIANGAN, MKKK</t>
  </si>
  <si>
    <t>opariangan@yahoo.co.id</t>
  </si>
  <si>
    <t>838</t>
  </si>
  <si>
    <t>https://drive.google.com/file/d/1WqEW2ibiSOFiPNWGkQMwnlcL-_FQrVti/view?usp=drivesdk</t>
  </si>
  <si>
    <t>1WqEW2ibiSOFiPNWGkQMwnlcL-_FQrVti</t>
  </si>
  <si>
    <t>19DA5o9iWS-dyDGqEzWT-Iy9d2iUjOI4M</t>
  </si>
  <si>
    <t>https://drive.google.com/file/d/19DA5o9iWS-dyDGqEzWT-Iy9d2iUjOI4M/view?usp=drivesdk</t>
  </si>
  <si>
    <t>Document successfully created; Document successfully merged; PDF created; !!Error Sending Emails: Service invoked too many times for one day: email.; Manually run by ecertificate75@gmail.com; Timestamp: Aug 30 2024 11:10 PM</t>
  </si>
  <si>
    <t>SANDRA ANDRIANSYAH</t>
  </si>
  <si>
    <t>sandraandriansyah190182@gmail.com</t>
  </si>
  <si>
    <t>839</t>
  </si>
  <si>
    <t>https://drive.google.com/file/d/1CjAT6YKxng1tcx11DvcoE1D3Wbsxoijf/view?usp=drivesdk</t>
  </si>
  <si>
    <t>1CjAT6YKxng1tcx11DvcoE1D3Wbsxoijf</t>
  </si>
  <si>
    <t>1Ml70kIJ1BFgtmxp4wKZGBb-PNWKD8PT2</t>
  </si>
  <si>
    <t>https://drive.google.com/file/d/1Ml70kIJ1BFgtmxp4wKZGBb-PNWKD8PT2/view?usp=drivesdk</t>
  </si>
  <si>
    <t>NURAVIANI SRI RAHAYU, A.Md.Lib</t>
  </si>
  <si>
    <t>nuravianirahayu@gmail.com</t>
  </si>
  <si>
    <t>840</t>
  </si>
  <si>
    <t>https://drive.google.com/file/d/1bjVSwaIxk4YvWUq78di4lSnWrx4HnZfL/view?usp=drivesdk</t>
  </si>
  <si>
    <t>1bjVSwaIxk4YvWUq78di4lSnWrx4HnZfL</t>
  </si>
  <si>
    <t>1ikhcDUymCMcefauyqm2Wz0c8JAq-QIDU</t>
  </si>
  <si>
    <t>https://drive.google.com/file/d/1ikhcDUymCMcefauyqm2Wz0c8JAq-QIDU/view?usp=drivesdk</t>
  </si>
  <si>
    <t>HABIBI SONTASWARA, Amd.Kep</t>
  </si>
  <si>
    <t>sontaswara@gmail.com</t>
  </si>
  <si>
    <t>841</t>
  </si>
  <si>
    <t>https://drive.google.com/file/d/1xs--hUr7I2WdRBZbDhXz627-1NMgppaO/view?usp=drivesdk</t>
  </si>
  <si>
    <t>1xs--hUr7I2WdRBZbDhXz627-1NMgppaO</t>
  </si>
  <si>
    <t>1b2R4GeaFOJgh_vo7QB9TbfEBk9abttTI</t>
  </si>
  <si>
    <t>https://drive.google.com/file/d/1b2R4GeaFOJgh_vo7QB9TbfEBk9abttTI/view?usp=drivesdk</t>
  </si>
  <si>
    <t>YUSLIM SUGI IRWANTO</t>
  </si>
  <si>
    <t>yuslimirwanto@gmail.com</t>
  </si>
  <si>
    <t>842</t>
  </si>
  <si>
    <t>https://drive.google.com/file/d/1B0bA9n5xvdboHEPIjDln1RtGzqf_S60H/view?usp=drivesdk</t>
  </si>
  <si>
    <t>1B0bA9n5xvdboHEPIjDln1RtGzqf_S60H</t>
  </si>
  <si>
    <t>1sngsyKz6Sns3Ir2B3vv8N81KUbkqVYZO</t>
  </si>
  <si>
    <t>https://drive.google.com/file/d/1sngsyKz6Sns3Ir2B3vv8N81KUbkqVYZO/view?usp=drivesdk</t>
  </si>
  <si>
    <t>YENI KUSUMAWATI</t>
  </si>
  <si>
    <t>Kusumawatiyeni0401@gmail.com</t>
  </si>
  <si>
    <t>843</t>
  </si>
  <si>
    <t>https://drive.google.com/file/d/1Nzycd1yIKmoMyXzq2HFYwzvUX9KI2o5V/view?usp=drivesdk</t>
  </si>
  <si>
    <t>1Nzycd1yIKmoMyXzq2HFYwzvUX9KI2o5V</t>
  </si>
  <si>
    <t>1u5pqR_zHAGrwfXFpIn_Civa259N6K8Cb</t>
  </si>
  <si>
    <t>https://drive.google.com/file/d/1u5pqR_zHAGrwfXFpIn_Civa259N6K8Cb/view?usp=drivesdk</t>
  </si>
  <si>
    <t>Document successfully created; Document successfully merged; PDF created; !!Error Sending Emails: Service invoked too many times for one day: email.; Manually run by ecertificate75@gmail.com; Timestamp: Aug 30 2024 11:11 PM</t>
  </si>
  <si>
    <t>CIPTA KURNIAWAN S.KOM. M.M.</t>
  </si>
  <si>
    <t>wawanjagoan@gmail.com</t>
  </si>
  <si>
    <t>844</t>
  </si>
  <si>
    <t>https://drive.google.com/file/d/1wZ-yp5SzHYJuf1iCCflzdWPjq0osKEs_/view?usp=drivesdk</t>
  </si>
  <si>
    <t>1wZ-yp5SzHYJuf1iCCflzdWPjq0osKEs_</t>
  </si>
  <si>
    <t>1JmoGpWrHa_X9i7KXobwjggNVhA7pmwHu</t>
  </si>
  <si>
    <t>https://drive.google.com/file/d/1JmoGpWrHa_X9i7KXobwjggNVhA7pmwHu/view?usp=drivesdk</t>
  </si>
  <si>
    <t>ADE NURLAELA, SH</t>
  </si>
  <si>
    <t>adex.pru2015@gmail.com</t>
  </si>
  <si>
    <t>845</t>
  </si>
  <si>
    <t>https://drive.google.com/file/d/1mrGiymaVKlMseGpa4CFw_B9AJTjnt9HY/view?usp=drivesdk</t>
  </si>
  <si>
    <t>1mrGiymaVKlMseGpa4CFw_B9AJTjnt9HY</t>
  </si>
  <si>
    <t>1dS-7APrQleqh_FBPC_Gfh3IaM2-1n4As</t>
  </si>
  <si>
    <t>https://drive.google.com/file/d/1dS-7APrQleqh_FBPC_Gfh3IaM2-1n4As/view?usp=drivesdk</t>
  </si>
  <si>
    <t>ETTY MUDHIHANDARI, S.Kom</t>
  </si>
  <si>
    <t>ettym1974@gmail.com</t>
  </si>
  <si>
    <t>846</t>
  </si>
  <si>
    <t>https://drive.google.com/file/d/195S5yCgO3ET94USivVXmUjGYjk9yUkrC/view?usp=drivesdk</t>
  </si>
  <si>
    <t>195S5yCgO3ET94USivVXmUjGYjk9yUkrC</t>
  </si>
  <si>
    <t>1JbQyGbqVoPrmkFq1RR6uIsz2pfGpc_R3</t>
  </si>
  <si>
    <t>https://drive.google.com/file/d/1JbQyGbqVoPrmkFq1RR6uIsz2pfGpc_R3/view?usp=drivesdk</t>
  </si>
  <si>
    <t>PENGATUR TK I LASIMUN</t>
  </si>
  <si>
    <t>lasimun1069@gmail.com</t>
  </si>
  <si>
    <t>847</t>
  </si>
  <si>
    <t>https://drive.google.com/file/d/1CKp2y1xBIXAKprh6jllW6WPKbVzFVPYI/view?usp=drivesdk</t>
  </si>
  <si>
    <t>1CKp2y1xBIXAKprh6jllW6WPKbVzFVPYI</t>
  </si>
  <si>
    <t>11cuq4pJAbGGrvtzqR4Jgd0zc5haNWaT-</t>
  </si>
  <si>
    <t>https://drive.google.com/file/d/11cuq4pJAbGGrvtzqR4Jgd0zc5haNWaT-/view?usp=drivesdk</t>
  </si>
  <si>
    <t>I GUSTI AYU SRI EKAWATI, S.E</t>
  </si>
  <si>
    <t>eka.sumda.tbn@gmail.com</t>
  </si>
  <si>
    <t>848</t>
  </si>
  <si>
    <t>https://drive.google.com/file/d/1WhvU9e8kqpVjx163KdLl7COhefUpfBMv/view?usp=drivesdk</t>
  </si>
  <si>
    <t>1WhvU9e8kqpVjx163KdLl7COhefUpfBMv</t>
  </si>
  <si>
    <t>14anv85QmLQfJ1u7vfzZOQ0b4Ch8LzNSV</t>
  </si>
  <si>
    <t>https://drive.google.com/file/d/14anv85QmLQfJ1u7vfzZOQ0b4Ch8LzNSV/view?usp=drivesdk</t>
  </si>
  <si>
    <t>Document successfully created; Document successfully merged; PDF created; !!Error Sending Emails: Service invoked too many times for one day: email.; Manually run by ecertificate75@gmail.com; Timestamp: Aug 30 2024 11:12 PM</t>
  </si>
  <si>
    <t>MARETA SILVANY, S.E.</t>
  </si>
  <si>
    <t>silvanytheo@gmail.com</t>
  </si>
  <si>
    <t>849</t>
  </si>
  <si>
    <t>https://drive.google.com/file/d/1czyAgPyRUzBkT4Lqj3WF8ocYNAnumADl/view?usp=drivesdk</t>
  </si>
  <si>
    <t>1czyAgPyRUzBkT4Lqj3WF8ocYNAnumADl</t>
  </si>
  <si>
    <t>1bV4fWiMpm9qUlAAcpajs_bfIJddNECNU</t>
  </si>
  <si>
    <t>https://drive.google.com/file/d/1bV4fWiMpm9qUlAAcpajs_bfIJddNECNU/view?usp=drivesdk</t>
  </si>
  <si>
    <t>VIVI PURWANTI ARIYANI,SH.</t>
  </si>
  <si>
    <t>vivipurwanti1981@gmail.com</t>
  </si>
  <si>
    <t>850</t>
  </si>
  <si>
    <t>https://drive.google.com/file/d/1uATrtvKiytBH4kJrp51Fw3qn43B6wqzh/view?usp=drivesdk</t>
  </si>
  <si>
    <t>1uATrtvKiytBH4kJrp51Fw3qn43B6wqzh</t>
  </si>
  <si>
    <t>1uIFgeLqf4cHTX2w-77vZQvPrbLFCLDcB</t>
  </si>
  <si>
    <t>https://drive.google.com/file/d/1uIFgeLqf4cHTX2w-77vZQvPrbLFCLDcB/view?usp=drivesdk</t>
  </si>
  <si>
    <t>RUDI HENDRA SETIAWAN</t>
  </si>
  <si>
    <t>hendrarudi58@gmail.com</t>
  </si>
  <si>
    <t>851</t>
  </si>
  <si>
    <t>https://drive.google.com/file/d/1BceTp01LEnVxCHWrV6a06t2UHpEpEiS9/view?usp=drivesdk</t>
  </si>
  <si>
    <t>1BceTp01LEnVxCHWrV6a06t2UHpEpEiS9</t>
  </si>
  <si>
    <t>1r3WquhdbLJx_OZvLKBfhK-NYYTLGIXQ-</t>
  </si>
  <si>
    <t>https://drive.google.com/file/d/1r3WquhdbLJx_OZvLKBfhK-NYYTLGIXQ-/view?usp=drivesdk</t>
  </si>
  <si>
    <t>LILI MARIANA, SH</t>
  </si>
  <si>
    <t>lilimariana0402@gmail.com</t>
  </si>
  <si>
    <t>852</t>
  </si>
  <si>
    <t>https://drive.google.com/file/d/1Sj7k0coyUKZlFixzLmCAP6LgXwuZWejY/view?usp=drivesdk</t>
  </si>
  <si>
    <t>1Sj7k0coyUKZlFixzLmCAP6LgXwuZWejY</t>
  </si>
  <si>
    <t>1xMATptBlFSLIcOIgTLYKomnxi0lOZ0wo</t>
  </si>
  <si>
    <t>https://drive.google.com/file/d/1xMATptBlFSLIcOIgTLYKomnxi0lOZ0wo/view?usp=drivesdk</t>
  </si>
  <si>
    <t>IMELDA TIURMAULINA</t>
  </si>
  <si>
    <t>imeldatiur139@gmail.com</t>
  </si>
  <si>
    <t>853</t>
  </si>
  <si>
    <t>https://drive.google.com/file/d/1vB57cHTihtqcfWhGfsUAE8xv4ADR4Xnn/view?usp=drivesdk</t>
  </si>
  <si>
    <t>1vB57cHTihtqcfWhGfsUAE8xv4ADR4Xnn</t>
  </si>
  <si>
    <t>1kpJk1y1fYnoETLIfNyt4cObZ9oQIysen</t>
  </si>
  <si>
    <t>https://drive.google.com/file/d/1kpJk1y1fYnoETLIfNyt4cObZ9oQIysen/view?usp=drivesdk</t>
  </si>
  <si>
    <t>Ns. ADHELIA LESTARI, S.Kep</t>
  </si>
  <si>
    <t>adhelialestari09@gmail.com</t>
  </si>
  <si>
    <t>854</t>
  </si>
  <si>
    <t>https://drive.google.com/file/d/16p3NOhtonhqaN1NV8nvLEihjWWaQIyBx/view?usp=drivesdk</t>
  </si>
  <si>
    <t>16p3NOhtonhqaN1NV8nvLEihjWWaQIyBx</t>
  </si>
  <si>
    <t>17HJQcS5qI3Cb-0ZS-9uqOZEtGQfBYLhk</t>
  </si>
  <si>
    <t>https://drive.google.com/file/d/17HJQcS5qI3Cb-0ZS-9uqOZEtGQfBYLhk/view?usp=drivesdk</t>
  </si>
  <si>
    <t>Document successfully created; Document successfully merged; PDF created; !!Error Sending Emails: Service invoked too many times for one day: email.; Manually run by ecertificate75@gmail.com; Timestamp: Aug 30 2024 11:13 PM</t>
  </si>
  <si>
    <t>DIAN PUSPITA SARI</t>
  </si>
  <si>
    <t>dianpuspitasari1982@gmail.com</t>
  </si>
  <si>
    <t>855</t>
  </si>
  <si>
    <t>https://drive.google.com/file/d/1AP6t8lb2x0-EqiWeIid4-fgqt4sparNi/view?usp=drivesdk</t>
  </si>
  <si>
    <t>1AP6t8lb2x0-EqiWeIid4-fgqt4sparNi</t>
  </si>
  <si>
    <t>1356x059hOIvjsZtsHLoYy5XB73X7-J1k</t>
  </si>
  <si>
    <t>https://drive.google.com/file/d/1356x059hOIvjsZtsHLoYy5XB73X7-J1k/view?usp=drivesdk</t>
  </si>
  <si>
    <t>POLDA BANTEN</t>
  </si>
  <si>
    <t>EKA TRISNOWATI</t>
  </si>
  <si>
    <t>ekatrisnowati@gmail.com</t>
  </si>
  <si>
    <t>856</t>
  </si>
  <si>
    <t>https://drive.google.com/file/d/1bUgy38ehoeS-FyDNRiJm3cnNxLf6l_u1/view?usp=drivesdk</t>
  </si>
  <si>
    <t>1bUgy38ehoeS-FyDNRiJm3cnNxLf6l_u1</t>
  </si>
  <si>
    <t>10hRfAwRgBnLvC0oeiOvEHJk-6SujKGIl</t>
  </si>
  <si>
    <t>https://drive.google.com/file/d/10hRfAwRgBnLvC0oeiOvEHJk-6SujKGIl/view?usp=drivesdk</t>
  </si>
  <si>
    <t>RETNO WULANDARI,S.H.,M.H.</t>
  </si>
  <si>
    <t>ulandariretno12@gmail.com</t>
  </si>
  <si>
    <t>857</t>
  </si>
  <si>
    <t>https://drive.google.com/file/d/1pj9Dp3XC9ILUY2u7wqm0T2mqjQ4x3JiP/view?usp=drivesdk</t>
  </si>
  <si>
    <t>1pj9Dp3XC9ILUY2u7wqm0T2mqjQ4x3JiP</t>
  </si>
  <si>
    <t>1xDIM6wVIUbfltrKs5cnhHKOurDhkZSev</t>
  </si>
  <si>
    <t>https://drive.google.com/file/d/1xDIM6wVIUbfltrKs5cnhHKOurDhkZSev/view?usp=drivesdk</t>
  </si>
  <si>
    <t xml:space="preserve">AGUS TRIONO BASUKI </t>
  </si>
  <si>
    <t>kamilasifa10@gmail.com</t>
  </si>
  <si>
    <t>858</t>
  </si>
  <si>
    <t>https://drive.google.com/file/d/1it7d1Xn5ydZxzjW3HIK19IfxlA1s6FNw/view?usp=drivesdk</t>
  </si>
  <si>
    <t>1it7d1Xn5ydZxzjW3HIK19IfxlA1s6FNw</t>
  </si>
  <si>
    <t>11_AOBv0PgPIt1uZydq3B5pGUKuOLoVIv</t>
  </si>
  <si>
    <t>https://drive.google.com/file/d/11_AOBv0PgPIt1uZydq3B5pGUKuOLoVIv/view?usp=drivesdk</t>
  </si>
  <si>
    <t>RINA YULIANTI</t>
  </si>
  <si>
    <t>apkbia77polda@gmail.com</t>
  </si>
  <si>
    <t>859</t>
  </si>
  <si>
    <t>https://drive.google.com/file/d/1YBCIkdUvhFw9LSaDLwJnxH8WN1fsJMzS/view?usp=drivesdk</t>
  </si>
  <si>
    <t>1YBCIkdUvhFw9LSaDLwJnxH8WN1fsJMzS</t>
  </si>
  <si>
    <t>1hIEuUMzXONVr_lHqIDxKTGK5nTzldAKd</t>
  </si>
  <si>
    <t>https://drive.google.com/file/d/1hIEuUMzXONVr_lHqIDxKTGK5nTzldAKd/view?usp=drivesdk</t>
  </si>
  <si>
    <t>Document successfully created; Document successfully merged; PDF created; !!Error Sending Emails: Service invoked too many times for one day: email.; Manually run by ecertificate75@gmail.com; Timestamp: Aug 30 2024 11:14 PM</t>
  </si>
  <si>
    <t>SUHARTI  YANMA</t>
  </si>
  <si>
    <t>devinaputri2002@gmail.com</t>
  </si>
  <si>
    <t>860</t>
  </si>
  <si>
    <t>https://drive.google.com/file/d/1VV4E-tRxmX2fWdJACwx3jfMs44mUMWRY/view?usp=drivesdk</t>
  </si>
  <si>
    <t>1VV4E-tRxmX2fWdJACwx3jfMs44mUMWRY</t>
  </si>
  <si>
    <t>1QLGqVLBa_bAiDoMse8KFFnS-T6BmtkNN</t>
  </si>
  <si>
    <t>https://drive.google.com/file/d/1QLGqVLBa_bAiDoMse8KFFnS-T6BmtkNN/view?usp=drivesdk</t>
  </si>
  <si>
    <t>ANDRIAH WANTINI</t>
  </si>
  <si>
    <t>andri.cipinang@gmail.com</t>
  </si>
  <si>
    <t>861</t>
  </si>
  <si>
    <t>https://drive.google.com/file/d/1pP0EfFeRUmN1iIqiraTOTUzbb3Ty3YMk/view?usp=drivesdk</t>
  </si>
  <si>
    <t>1pP0EfFeRUmN1iIqiraTOTUzbb3Ty3YMk</t>
  </si>
  <si>
    <t>1IIAC5GG2U-po3mq6rNcPeW5w1axd_s1I</t>
  </si>
  <si>
    <t>https://drive.google.com/file/d/1IIAC5GG2U-po3mq6rNcPeW5w1axd_s1I/view?usp=drivesdk</t>
  </si>
  <si>
    <t>dr. ENJULDELA M. ROHROHMANA</t>
  </si>
  <si>
    <t>rohrohmanaenjuldela@gmail.com</t>
  </si>
  <si>
    <t>862</t>
  </si>
  <si>
    <t>https://drive.google.com/file/d/1nlACUkfQ2qU4u3bAMGaohiLwwSnUn3Qv/view?usp=drivesdk</t>
  </si>
  <si>
    <t>1nlACUkfQ2qU4u3bAMGaohiLwwSnUn3Qv</t>
  </si>
  <si>
    <t>18t5J50_7M6gVhW4HmnBf3b8c4llZQ7UE</t>
  </si>
  <si>
    <t>https://drive.google.com/file/d/18t5J50_7M6gVhW4HmnBf3b8c4llZQ7UE/view?usp=drivesdk</t>
  </si>
  <si>
    <t>EKA FEBRU RUSYANTO</t>
  </si>
  <si>
    <t>ekafebru80@gmail.com</t>
  </si>
  <si>
    <t>863</t>
  </si>
  <si>
    <t>Starting at Thu Aug 29 2024 20:51:20 GMT-0400 (EDT)</t>
  </si>
  <si>
    <t>1dsWF6LiajO1WfbvJKoWBhEbjiGLJkdua</t>
  </si>
  <si>
    <t>https://drive.google.com/file/d/1dsWF6LiajO1WfbvJKoWBhEbjiGLJkdua/view?usp=drivesdk</t>
  </si>
  <si>
    <t>ROSMAWATI BR TARIGAN</t>
  </si>
  <si>
    <t>rostybbz3@gmail.com</t>
  </si>
  <si>
    <t>864</t>
  </si>
  <si>
    <t>1ksglrSxMqvyTtvHGsn1w2Sg1Yp_PDNJm</t>
  </si>
  <si>
    <t>https://drive.google.com/file/d/1ksglrSxMqvyTtvHGsn1w2Sg1Yp_PDNJm/view?usp=drivesdk</t>
  </si>
  <si>
    <t>SRI MARYATIII</t>
  </si>
  <si>
    <t>sri.maryati382@gmail.com</t>
  </si>
  <si>
    <t>865</t>
  </si>
  <si>
    <t>1r0iG0OVOsc2R8CS9ZZ4btMBz_L1gn8th</t>
  </si>
  <si>
    <t>https://drive.google.com/file/d/1r0iG0OVOsc2R8CS9ZZ4btMBz_L1gn8th/view?usp=drivesdk</t>
  </si>
  <si>
    <t>Document successfully created; Document successfully merged; PDF created; !!Error Sending Emails: Service invoked too many times for one day: email.; Manually run by ecertificate75@gmail.com; Timestamp: Aug 30 2024 11:15 PM</t>
  </si>
  <si>
    <t>AHMAD JAKA IRAWAN</t>
  </si>
  <si>
    <t>jakaahmad15@gmail.com</t>
  </si>
  <si>
    <t>866</t>
  </si>
  <si>
    <t>1t4sJIcyVbxFWLc9lu0B_LdDKsBv1nHrq</t>
  </si>
  <si>
    <t>https://drive.google.com/file/d/1t4sJIcyVbxFWLc9lu0B_LdDKsBv1nHrq/view?usp=drivesdk</t>
  </si>
  <si>
    <t>NANING SUGIARTI</t>
  </si>
  <si>
    <t>naningsugiarti25@gmail.com</t>
  </si>
  <si>
    <t>867</t>
  </si>
  <si>
    <t>1axR9NXdtYCV8xg13KcsgTcskCeZ3YInv</t>
  </si>
  <si>
    <t>https://drive.google.com/file/d/1axR9NXdtYCV8xg13KcsgTcskCeZ3YInv/view?usp=drivesdk</t>
  </si>
  <si>
    <t>SRI SOEMARTIYANI</t>
  </si>
  <si>
    <t>titi29515@gmail.com</t>
  </si>
  <si>
    <t>868</t>
  </si>
  <si>
    <t>https://drive.google.com/file/d/1VbnjNeNXnrB0Kc5EkIYQN7JhwZPX1oG9/view?usp=drivesdk</t>
  </si>
  <si>
    <t>1VbnjNeNXnrB0Kc5EkIYQN7JhwZPX1oG9</t>
  </si>
  <si>
    <t>1GKCQzF_nQwV7Jb8cTHHDdJb15Irk7w40</t>
  </si>
  <si>
    <t>https://drive.google.com/file/d/1GKCQzF_nQwV7Jb8cTHHDdJb15Irk7w40/view?usp=drivesdk</t>
  </si>
  <si>
    <t>DYAH RARASATI, S.E.</t>
  </si>
  <si>
    <t>dyah.rarasati20@gmail.com</t>
  </si>
  <si>
    <t>869</t>
  </si>
  <si>
    <t>https://drive.google.com/file/d/1fAbeq8P2y-SN7P2NGLH4jPGf4Em8Z46W/view?usp=drivesdk</t>
  </si>
  <si>
    <t>1fAbeq8P2y-SN7P2NGLH4jPGf4Em8Z46W</t>
  </si>
  <si>
    <t>1DwlUI7VVo46rxf_AxJ0t2aDzY-8Aukvs</t>
  </si>
  <si>
    <t>https://drive.google.com/file/d/1DwlUI7VVo46rxf_AxJ0t2aDzY-8Aukvs/view?usp=drivesdk</t>
  </si>
  <si>
    <t>TRI YULIARTI, S.E.</t>
  </si>
  <si>
    <t>triyuliarti26@gmail.com</t>
  </si>
  <si>
    <t>870</t>
  </si>
  <si>
    <t>https://drive.google.com/file/d/16EO8abaG_hfhfwnwhWitQ_jN8QMahgww/view?usp=drivesdk</t>
  </si>
  <si>
    <t>16EO8abaG_hfhfwnwhWitQ_jN8QMahgww</t>
  </si>
  <si>
    <t>1kYVNGvDpfoFNrtOuvhcPvR83E_9ycYQj</t>
  </si>
  <si>
    <t>https://drive.google.com/file/d/1kYVNGvDpfoFNrtOuvhcPvR83E_9ycYQj/view?usp=drivesdk</t>
  </si>
  <si>
    <t>USUP KENSUPIADI. SE</t>
  </si>
  <si>
    <t>usupken@gmail.com</t>
  </si>
  <si>
    <t>871</t>
  </si>
  <si>
    <t>https://drive.google.com/file/d/15vLsAwkijPWhX63YyjuK52QvXREDokYE/view?usp=drivesdk</t>
  </si>
  <si>
    <t>15vLsAwkijPWhX63YyjuK52QvXREDokYE</t>
  </si>
  <si>
    <t>17u76lTvLaY28kb1zPVMkMPcWU57drJUe</t>
  </si>
  <si>
    <t>https://drive.google.com/file/d/17u76lTvLaY28kb1zPVMkMPcWU57drJUe/view?usp=drivesdk</t>
  </si>
  <si>
    <t>Document successfully created; Document successfully merged; PDF created; !!Error Sending Emails: Service invoked too many times for one day: email.; Manually run by ecertificate75@gmail.com; Timestamp: Aug 30 2024 11:16 PM</t>
  </si>
  <si>
    <t>DEDY KRISNAMURTI, S.E.</t>
  </si>
  <si>
    <t>dedykrisnamurti@gmail.com</t>
  </si>
  <si>
    <t>872</t>
  </si>
  <si>
    <t>https://drive.google.com/file/d/1mQn9UkaOoYrcH_fejBmi9oTQMihcR65j/view?usp=drivesdk</t>
  </si>
  <si>
    <t>1mQn9UkaOoYrcH_fejBmi9oTQMihcR65j</t>
  </si>
  <si>
    <t>1YP38AGUiy9lid04eGZsCNdxTkbE2D3Ub</t>
  </si>
  <si>
    <t>https://drive.google.com/file/d/1YP38AGUiy9lid04eGZsCNdxTkbE2D3Ub/view?usp=drivesdk</t>
  </si>
  <si>
    <t>DEWA AYU SRI PRAMESTI, A. Md. Kep</t>
  </si>
  <si>
    <t>gexpramesti82@gmail.com</t>
  </si>
  <si>
    <t>873</t>
  </si>
  <si>
    <t>Starting at Thu Aug 29 2024 20:51:36 GMT-0400 (EDT)</t>
  </si>
  <si>
    <t>1AAAu9LDzKCWDQOileondlSG41y801iKD</t>
  </si>
  <si>
    <t>https://drive.google.com/file/d/1AAAu9LDzKCWDQOileondlSG41y801iKD/view?usp=drivesdk</t>
  </si>
  <si>
    <t>DEDI RHOMANZAH</t>
  </si>
  <si>
    <t>dedirhoman@gmail.com</t>
  </si>
  <si>
    <t>874</t>
  </si>
  <si>
    <t>1TXq-cLiQ5Pi_e06Y7TGcOl9PcUj6AnvN</t>
  </si>
  <si>
    <t>https://drive.google.com/file/d/1TXq-cLiQ5Pi_e06Y7TGcOl9PcUj6AnvN/view?usp=drivesdk</t>
  </si>
  <si>
    <t>AGUS OBET PRAMILO,AMa pd</t>
  </si>
  <si>
    <t>obetpramilo@gmail.com</t>
  </si>
  <si>
    <t>875</t>
  </si>
  <si>
    <t>1i9jh5Dnf519xAcKwxJbBzpD7oRabryay</t>
  </si>
  <si>
    <t>https://drive.google.com/file/d/1i9jh5Dnf519xAcKwxJbBzpD7oRabryay/view?usp=drivesdk</t>
  </si>
  <si>
    <t>SITI MUSTAQIMAH</t>
  </si>
  <si>
    <t>sitimustaqimah1@gmail.com</t>
  </si>
  <si>
    <t>876</t>
  </si>
  <si>
    <t>1dpFBLB4323RgI5rJRvFTKgYlc9FmF2Mt</t>
  </si>
  <si>
    <t>https://drive.google.com/file/d/1dpFBLB4323RgI5rJRvFTKgYlc9FmF2Mt/view?usp=drivesdk</t>
  </si>
  <si>
    <t>Document successfully created; Document successfully merged; PDF created; !!Error Sending Emails: Service invoked too many times for one day: email.; Manually run by ecertificate75@gmail.com; Timestamp: Aug 30 2024 11:17 PM</t>
  </si>
  <si>
    <t>KATHARINA ROMAULI LUMBANRAJA, S.E.</t>
  </si>
  <si>
    <t>rina.lumbanraja@gmail.com</t>
  </si>
  <si>
    <t>877</t>
  </si>
  <si>
    <t>1hus7WZ77wwai0AleVsLm5CesNhPL621i</t>
  </si>
  <si>
    <t>https://drive.google.com/file/d/1hus7WZ77wwai0AleVsLm5CesNhPL621i/view?usp=drivesdk</t>
  </si>
  <si>
    <t>DEVI KHANTHI DWI BHAKTI, A.Md.T.</t>
  </si>
  <si>
    <t>devi.dwibhakti@gmail.com</t>
  </si>
  <si>
    <t>878</t>
  </si>
  <si>
    <t>1nFAILz7ZILdVB9xDrHYvEXnCst08ZHUc</t>
  </si>
  <si>
    <t>https://drive.google.com/file/d/1nFAILz7ZILdVB9xDrHYvEXnCst08ZHUc/view?usp=drivesdk</t>
  </si>
  <si>
    <t>RIKA ENDRIYANI,S.E.,M.H.</t>
  </si>
  <si>
    <t>endriyanirika08@gmail.com</t>
  </si>
  <si>
    <t>879</t>
  </si>
  <si>
    <t>1_dCxiE2dr9m3Y5NSXB1GUhAj72sH1pgv</t>
  </si>
  <si>
    <t>https://drive.google.com/file/d/1_dCxiE2dr9m3Y5NSXB1GUhAj72sH1pgv/view?usp=drivesdk</t>
  </si>
  <si>
    <t>E. DIDIH SUDHIEANA, S.H., M.H.</t>
  </si>
  <si>
    <t>sudhienateddy@gmail.com</t>
  </si>
  <si>
    <t>880</t>
  </si>
  <si>
    <t>https://drive.google.com/file/d/1l1OhxdLF4twGmnOpMHucNEzRhjFm1oO6/view?usp=drivesdk</t>
  </si>
  <si>
    <t>1l1OhxdLF4twGmnOpMHucNEzRhjFm1oO6</t>
  </si>
  <si>
    <t>1MZ8XsGJ9lMacATK3lk_xO-Xd8m1IMCFx</t>
  </si>
  <si>
    <t>https://drive.google.com/file/d/1MZ8XsGJ9lMacATK3lk_xO-Xd8m1IMCFx/view?usp=drivesdk</t>
  </si>
  <si>
    <t>NI LUH YENNI PUSPITASARI, Amd.Kep</t>
  </si>
  <si>
    <t>yepusa.yps266@gmail.com</t>
  </si>
  <si>
    <t>881</t>
  </si>
  <si>
    <t>https://drive.google.com/file/d/1LrdO44zX4kX1og7hYJ118I6WcTbVFhJL/view?usp=drivesdk</t>
  </si>
  <si>
    <t>1LrdO44zX4kX1og7hYJ118I6WcTbVFhJL</t>
  </si>
  <si>
    <t>1azSIx8LH6StEEN7LRzXA0h7cKCLAWVmq</t>
  </si>
  <si>
    <t>https://drive.google.com/file/d/1azSIx8LH6StEEN7LRzXA0h7cKCLAWVmq/view?usp=drivesdk</t>
  </si>
  <si>
    <t>HENRICK LEDY CHRISTIAN</t>
  </si>
  <si>
    <t>henrick.tian82@gmail.com</t>
  </si>
  <si>
    <t>882</t>
  </si>
  <si>
    <t>https://drive.google.com/file/d/1VbhpwNohD9c0UhPP94CFwHxI1J94cEQr/view?usp=drivesdk</t>
  </si>
  <si>
    <t>1VbhpwNohD9c0UhPP94CFwHxI1J94cEQr</t>
  </si>
  <si>
    <t>1Kwwqpd1XbyiWjSCY_pIDIJbOkjN1U0eN</t>
  </si>
  <si>
    <t>https://drive.google.com/file/d/1Kwwqpd1XbyiWjSCY_pIDIJbOkjN1U0eN/view?usp=drivesdk</t>
  </si>
  <si>
    <t>Document successfully created; Document successfully merged; PDF created; !!Error Sending Emails: Service invoked too many times for one day: email.; Manually run by ecertificate75@gmail.com; Timestamp: Aug 30 2024 11:18 PM</t>
  </si>
  <si>
    <t>MUSTIKE SUMARLIN, S Sos</t>
  </si>
  <si>
    <t>mustikesumarlin@gmail.com</t>
  </si>
  <si>
    <t>883</t>
  </si>
  <si>
    <t>https://drive.google.com/file/d/1JXP8J4_7cZJBB1XUW1PeS67l2WK0Y3YE/view?usp=drivesdk</t>
  </si>
  <si>
    <t>1JXP8J4_7cZJBB1XUW1PeS67l2WK0Y3YE</t>
  </si>
  <si>
    <t>1F3l96TASRaf4eixym7EqBhG6QMtAyRHN</t>
  </si>
  <si>
    <t>https://drive.google.com/file/d/1F3l96TASRaf4eixym7EqBhG6QMtAyRHN/view?usp=drivesdk</t>
  </si>
  <si>
    <t>DINA MUNFA'ATIKA, S.E., M.M.</t>
  </si>
  <si>
    <t>dina.munfaatika@gmail.com</t>
  </si>
  <si>
    <t>884</t>
  </si>
  <si>
    <t>https://drive.google.com/file/d/1KxtabYVKqNVf6xgF76MHDa4zXq6BpJTq/view?usp=drivesdk</t>
  </si>
  <si>
    <t>1KxtabYVKqNVf6xgF76MHDa4zXq6BpJTq</t>
  </si>
  <si>
    <t>1BcZyil9-5R5wGvE0abyNfyiDY6qtihJ6</t>
  </si>
  <si>
    <t>https://drive.google.com/file/d/1BcZyil9-5R5wGvE0abyNfyiDY6qtihJ6/view?usp=drivesdk</t>
  </si>
  <si>
    <t>NANI ERNANINGSIH</t>
  </si>
  <si>
    <t>nanierna308@gmail.com</t>
  </si>
  <si>
    <t>885</t>
  </si>
  <si>
    <t>https://drive.google.com/file/d/1MJW8ctBxt4elnOOP_azOuotVIE2gjsAv/view?usp=drivesdk</t>
  </si>
  <si>
    <t>1MJW8ctBxt4elnOOP_azOuotVIE2gjsAv</t>
  </si>
  <si>
    <t>1tEMVpj37KrS0Ys4N1cNDwJhm4AfWaXJd</t>
  </si>
  <si>
    <t>https://drive.google.com/file/d/1tEMVpj37KrS0Ys4N1cNDwJhm4AfWaXJd/view?usp=drivesdk</t>
  </si>
  <si>
    <t>DYAH LIS APRIYANI, S.T, M.M</t>
  </si>
  <si>
    <t>pengamat83@gmail.com</t>
  </si>
  <si>
    <t>886</t>
  </si>
  <si>
    <t>https://drive.google.com/file/d/1V7gIsaPaQkV_TW_4SE28nTYO6qTyUgZG/view?usp=drivesdk</t>
  </si>
  <si>
    <t>1V7gIsaPaQkV_TW_4SE28nTYO6qTyUgZG</t>
  </si>
  <si>
    <t>1x-BT94cWfCRwIv570jc3uGORRF9mZ2Cs</t>
  </si>
  <si>
    <t>https://drive.google.com/file/d/1x-BT94cWfCRwIv570jc3uGORRF9mZ2Cs/view?usp=drivesdk</t>
  </si>
  <si>
    <t>PENGATUR TK.I ETI SRIMUKTI</t>
  </si>
  <si>
    <t>etisrimukti6@gmail.com</t>
  </si>
  <si>
    <t>887</t>
  </si>
  <si>
    <t>https://drive.google.com/file/d/10a5-Zzd6v3x5XVr9_ngLuJZtPpfcos7r/view?usp=drivesdk</t>
  </si>
  <si>
    <t>10a5-Zzd6v3x5XVr9_ngLuJZtPpfcos7r</t>
  </si>
  <si>
    <t>1meLUhaFELw_CXahjzcA5X-UcDQuRrE7l</t>
  </si>
  <si>
    <t>https://drive.google.com/file/d/1meLUhaFELw_CXahjzcA5X-UcDQuRrE7l/view?usp=drivesdk</t>
  </si>
  <si>
    <t>yuningsih.yuyun1980@gmail.com</t>
  </si>
  <si>
    <t>888</t>
  </si>
  <si>
    <t>https://drive.google.com/file/d/1RuP8Tn-qDbmMN5-MED_cY2y30owK7f4L/view?usp=drivesdk</t>
  </si>
  <si>
    <t>1RuP8Tn-qDbmMN5-MED_cY2y30owK7f4L</t>
  </si>
  <si>
    <t>1XpgwURN4SlbIVWRFUFv2b5rE6EJs_w7a</t>
  </si>
  <si>
    <t>https://drive.google.com/file/d/1XpgwURN4SlbIVWRFUFv2b5rE6EJs_w7a/view?usp=drivesdk</t>
  </si>
  <si>
    <t>Document successfully created; Document successfully merged; PDF created; !!Error Sending Emails: Service invoked too many times for one day: email.; Manually run by ecertificate75@gmail.com; Timestamp: Aug 30 2024 11:19 PM</t>
  </si>
  <si>
    <t>MUHAMMAD FAKHRORUZI,S.H</t>
  </si>
  <si>
    <t>mfakhroruzi@gmail.com</t>
  </si>
  <si>
    <t>889</t>
  </si>
  <si>
    <t>https://drive.google.com/file/d/1-0Vo7uONIg5c6WFhp6QpQ-Tomhf2J0Em/view?usp=drivesdk</t>
  </si>
  <si>
    <t>1-0Vo7uONIg5c6WFhp6QpQ-Tomhf2J0Em</t>
  </si>
  <si>
    <t>1k7N6udATZ5JNg4aCg43KUZ_pk4tLpM8U</t>
  </si>
  <si>
    <t>https://drive.google.com/file/d/1k7N6udATZ5JNg4aCg43KUZ_pk4tLpM8U/view?usp=drivesdk</t>
  </si>
  <si>
    <t>MOHAMMAD MA'FUD FAUZI</t>
  </si>
  <si>
    <t>fauzimafud@gmail.com</t>
  </si>
  <si>
    <t>890</t>
  </si>
  <si>
    <t>https://drive.google.com/file/d/1dPfBpTW2KjMmADBYIZuJncS7BdkOg0Ut/view?usp=drivesdk</t>
  </si>
  <si>
    <t>1dPfBpTW2KjMmADBYIZuJncS7BdkOg0Ut</t>
  </si>
  <si>
    <t>1Xtz14YbHnh13zFH1KbomRqjxmahaHiVT</t>
  </si>
  <si>
    <t>https://drive.google.com/file/d/1Xtz14YbHnh13zFH1KbomRqjxmahaHiVT/view?usp=drivesdk</t>
  </si>
  <si>
    <t>NI MADE PURNAMAWATI,Amd.Keb</t>
  </si>
  <si>
    <t>depur2478@gmail.com</t>
  </si>
  <si>
    <t>891</t>
  </si>
  <si>
    <t>https://drive.google.com/file/d/1iW69reiD83aHbKYiLP88riRu3eoOAuDb/view?usp=drivesdk</t>
  </si>
  <si>
    <t>1iW69reiD83aHbKYiLP88riRu3eoOAuDb</t>
  </si>
  <si>
    <t>1r7Bo-Jwu7JBXFw2iM4NZgvh7gA8VIAb_</t>
  </si>
  <si>
    <t>https://drive.google.com/file/d/1r7Bo-Jwu7JBXFw2iM4NZgvh7gA8VIAb_/view?usp=drivesdk</t>
  </si>
  <si>
    <t>GALIH PRIA ESA, A.Md.Kep</t>
  </si>
  <si>
    <t>galihesa@gmail.com</t>
  </si>
  <si>
    <t>892</t>
  </si>
  <si>
    <t>https://drive.google.com/file/d/1pQfehGRtFjrj8FxHVdMgNiVTx0FK8JnW/view?usp=drivesdk</t>
  </si>
  <si>
    <t>1pQfehGRtFjrj8FxHVdMgNiVTx0FK8JnW</t>
  </si>
  <si>
    <t>1XRG2kme24jmKe-50Kk9Rg0YcqFfe4X-v</t>
  </si>
  <si>
    <t>https://drive.google.com/file/d/1XRG2kme24jmKe-50Kk9Rg0YcqFfe4X-v/view?usp=drivesdk</t>
  </si>
  <si>
    <t>ERDIAN YUSWANTO</t>
  </si>
  <si>
    <t>erdianresnganjuk@gmail.com</t>
  </si>
  <si>
    <t>893</t>
  </si>
  <si>
    <t>https://drive.google.com/file/d/1IkBpn6yws0zPhg-KmyMuFjWuUBGW-On7/view?usp=drivesdk</t>
  </si>
  <si>
    <t>1IkBpn6yws0zPhg-KmyMuFjWuUBGW-On7</t>
  </si>
  <si>
    <t>1LU5ZAFy0VCikYCDAo8cpcX4haKmwPvLM</t>
  </si>
  <si>
    <t>https://drive.google.com/file/d/1LU5ZAFy0VCikYCDAo8cpcX4haKmwPvLM/view?usp=drivesdk</t>
  </si>
  <si>
    <t>ELVI SUSANTI S. Kep</t>
  </si>
  <si>
    <t>Susanti2013@yahoo.co.id</t>
  </si>
  <si>
    <t>894</t>
  </si>
  <si>
    <t>https://drive.google.com/file/d/1bTj38pl9uApiInr_UU2UPKIE8XdmwcKv/view?usp=drivesdk</t>
  </si>
  <si>
    <t>1bTj38pl9uApiInr_UU2UPKIE8XdmwcKv</t>
  </si>
  <si>
    <t>14R4rZjtcgt5jqYEbckpIkKdlILLI_I9d</t>
  </si>
  <si>
    <t>https://drive.google.com/file/d/14R4rZjtcgt5jqYEbckpIkKdlILLI_I9d/view?usp=drivesdk</t>
  </si>
  <si>
    <t xml:space="preserve">HARI SETIAWAN </t>
  </si>
  <si>
    <t>setiawanhari240@gmail.com</t>
  </si>
  <si>
    <t>895</t>
  </si>
  <si>
    <t>https://drive.google.com/file/d/10KZaFg8zdmR8lpXMLyfOdE9uaeLLYPG8/view?usp=drivesdk</t>
  </si>
  <si>
    <t>10KZaFg8zdmR8lpXMLyfOdE9uaeLLYPG8</t>
  </si>
  <si>
    <t>1icH8f8qzXxBZgQn34xtIZuh1HCXavxQ0</t>
  </si>
  <si>
    <t>https://drive.google.com/file/d/1icH8f8qzXxBZgQn34xtIZuh1HCXavxQ0/view?usp=drivesdk</t>
  </si>
  <si>
    <t>Document successfully created; Document successfully merged; PDF created; !!Error Sending Emails: Service invoked too many times for one day: email.; Manually run by ecertificate75@gmail.com; Timestamp: Aug 30 2024 11:20 PM</t>
  </si>
  <si>
    <t>WANDI PRIATNA, A.Md.</t>
  </si>
  <si>
    <t>wandipriatna@gmail.com</t>
  </si>
  <si>
    <t>896</t>
  </si>
  <si>
    <t>https://drive.google.com/file/d/1KmnJKe_l4Tmd-4uOmY-8Yc-keStE2roH/view?usp=drivesdk</t>
  </si>
  <si>
    <t>1KmnJKe_l4Tmd-4uOmY-8Yc-keStE2roH</t>
  </si>
  <si>
    <t>1e1p36v_N7pmuqXA6ZvZ1fW38Ely2GjlT</t>
  </si>
  <si>
    <t>https://drive.google.com/file/d/1e1p36v_N7pmuqXA6ZvZ1fW38Ely2GjlT/view?usp=drivesdk</t>
  </si>
  <si>
    <t>RETNO KUSWIDANARTI</t>
  </si>
  <si>
    <t>retnowida68@gmail.com</t>
  </si>
  <si>
    <t>897</t>
  </si>
  <si>
    <t>https://drive.google.com/file/d/1yZltpQRvVGgoBepYbG-Z3CdYhJItx1NH/view?usp=drivesdk</t>
  </si>
  <si>
    <t>1yZltpQRvVGgoBepYbG-Z3CdYhJItx1NH</t>
  </si>
  <si>
    <t>1kXQDVdtu4Fb3rt_ca0dfJyrqGLT03JRF</t>
  </si>
  <si>
    <t>https://drive.google.com/file/d/1kXQDVdtu4Fb3rt_ca0dfJyrqGLT03JRF/view?usp=drivesdk</t>
  </si>
  <si>
    <t>YUNI WIDIYANTI</t>
  </si>
  <si>
    <t>yuni.widiyanti75@gmail.com</t>
  </si>
  <si>
    <t>898</t>
  </si>
  <si>
    <t>https://drive.google.com/file/d/1QXnWwqrUphDV1qEgHWlfZbHJAQtep9jv/view?usp=drivesdk</t>
  </si>
  <si>
    <t>1QXnWwqrUphDV1qEgHWlfZbHJAQtep9jv</t>
  </si>
  <si>
    <t>1L3IY8_GW78A6p8sZ2KHhrpX6Jp-J-fiV</t>
  </si>
  <si>
    <t>https://drive.google.com/file/d/1L3IY8_GW78A6p8sZ2KHhrpX6Jp-J-fiV/view?usp=drivesdk</t>
  </si>
  <si>
    <t>BONITA SYAFITRI, S.Psi</t>
  </si>
  <si>
    <t>bntasyftr@gmail.com</t>
  </si>
  <si>
    <t>899</t>
  </si>
  <si>
    <t>https://drive.google.com/file/d/1QRcz0J7lRcGvDpxA775xvxd5PtlEbp8q/view?usp=drivesdk</t>
  </si>
  <si>
    <t>1QRcz0J7lRcGvDpxA775xvxd5PtlEbp8q</t>
  </si>
  <si>
    <t>1rMocAf0fz9axKn-3Hu_qxDUOgqrT_EQ7</t>
  </si>
  <si>
    <t>https://drive.google.com/file/d/1rMocAf0fz9axKn-3Hu_qxDUOgqrT_EQ7/view?usp=drivesdk</t>
  </si>
  <si>
    <t>LOISA FARIDA HERNAWATY GULTOM, S.KOM, M.M.</t>
  </si>
  <si>
    <t>loisagultom26@gmail.com</t>
  </si>
  <si>
    <t>900</t>
  </si>
  <si>
    <t>https://drive.google.com/file/d/1qrfP5r2n4xE-N2_ZDHFVN519Sd0mmzaw/view?usp=drivesdk</t>
  </si>
  <si>
    <t>1qrfP5r2n4xE-N2_ZDHFVN519Sd0mmzaw</t>
  </si>
  <si>
    <t>1T6ijPwsVkMeuyNCWJ4JIQNBEasSW0Q7I</t>
  </si>
  <si>
    <t>https://drive.google.com/file/d/1T6ijPwsVkMeuyNCWJ4JIQNBEasSW0Q7I/view?usp=drivesdk</t>
  </si>
  <si>
    <t>Document successfully created; Document successfully merged; PDF created; !!Error Sending Emails: Service invoked too many times for one day: email.; Manually run by ecertificate75@gmail.com; Timestamp: Aug 30 2024 11:21 PM</t>
  </si>
  <si>
    <t>dr. VICTORINA TABITHA LARWUY</t>
  </si>
  <si>
    <t>viltalarwuy30@gmail.com</t>
  </si>
  <si>
    <t>901</t>
  </si>
  <si>
    <t>https://drive.google.com/file/d/1HXFFBv_T5_TavMjrnrKq8SrZsPQyZj3S/view?usp=drivesdk</t>
  </si>
  <si>
    <t>1HXFFBv_T5_TavMjrnrKq8SrZsPQyZj3S</t>
  </si>
  <si>
    <t>1RkvNsezDUKjTsIQgEZwH9Z_wLeLizBry</t>
  </si>
  <si>
    <t>https://drive.google.com/file/d/1RkvNsezDUKjTsIQgEZwH9Z_wLeLizBry/view?usp=drivesdk</t>
  </si>
  <si>
    <t>RIKA RAHMA SARI</t>
  </si>
  <si>
    <t>rikarahmasari8484@gmail.com</t>
  </si>
  <si>
    <t>902</t>
  </si>
  <si>
    <t>https://drive.google.com/file/d/1vXoQUl_ghurKDk691l1Xr8uKjb58K8DY/view?usp=drivesdk</t>
  </si>
  <si>
    <t>1vXoQUl_ghurKDk691l1Xr8uKjb58K8DY</t>
  </si>
  <si>
    <t>1WYOEsNvMcdila_GqDigpHdN7egC41MtY</t>
  </si>
  <si>
    <t>https://drive.google.com/file/d/1WYOEsNvMcdila_GqDigpHdN7egC41MtY/view?usp=drivesdk</t>
  </si>
  <si>
    <t>ANDY MOCHAMAD KURNIA</t>
  </si>
  <si>
    <t>andymkurnia@gmail.com</t>
  </si>
  <si>
    <t>903</t>
  </si>
  <si>
    <t>https://drive.google.com/file/d/14CSfhxEgbAGK7Q3S8FeXOYoVrBUK0gpW/view?usp=drivesdk</t>
  </si>
  <si>
    <t>14CSfhxEgbAGK7Q3S8FeXOYoVrBUK0gpW</t>
  </si>
  <si>
    <t>1J9EmSt4JxN-vaodsNVKBro0K6IVF3TGP</t>
  </si>
  <si>
    <t>https://drive.google.com/file/d/1J9EmSt4JxN-vaodsNVKBro0K6IVF3TGP/view?usp=drivesdk</t>
  </si>
  <si>
    <t>UMMI MAISAROH</t>
  </si>
  <si>
    <t>ummimaisaroh1970@gmail.com</t>
  </si>
  <si>
    <t>904</t>
  </si>
  <si>
    <t>https://drive.google.com/file/d/1UvlQsu3TpclGnG2_J4lLUYJKPxl6hu32/view?usp=drivesdk</t>
  </si>
  <si>
    <t>1UvlQsu3TpclGnG2_J4lLUYJKPxl6hu32</t>
  </si>
  <si>
    <t>1JjKSY9oK_-Mwq4vEQZ97Ed1SeBWqpiE2</t>
  </si>
  <si>
    <t>https://drive.google.com/file/d/1JjKSY9oK_-Mwq4vEQZ97Ed1SeBWqpiE2/view?usp=drivesdk</t>
  </si>
  <si>
    <t>PUSPITA SARI, S.H.</t>
  </si>
  <si>
    <t>puspe2015@gmail.com</t>
  </si>
  <si>
    <t>905</t>
  </si>
  <si>
    <t>https://drive.google.com/file/d/1f1wCBTvP7Ifvn3C9D-VCiadiwoHWTSny/view?usp=drivesdk</t>
  </si>
  <si>
    <t>1f1wCBTvP7Ifvn3C9D-VCiadiwoHWTSny</t>
  </si>
  <si>
    <t>1RDOjWlqnSA54xyBORpUot6T0xkFaa1dk</t>
  </si>
  <si>
    <t>https://drive.google.com/file/d/1RDOjWlqnSA54xyBORpUot6T0xkFaa1dk/view?usp=drivesdk</t>
  </si>
  <si>
    <t>Document successfully created; Document successfully merged; PDF created; !!Error Sending Emails: Service invoked too many times for one day: email.; Manually run by ecertificate75@gmail.com; Timestamp: Aug 30 2024 11:22 PM</t>
  </si>
  <si>
    <t>MOHAMMAD RAMDHAN</t>
  </si>
  <si>
    <t>Aderamdhan@gmail.com</t>
  </si>
  <si>
    <t>906</t>
  </si>
  <si>
    <t>https://drive.google.com/file/d/1U9VHuEpU-yeIHsoqA-CWyZaAw3LnWatX/view?usp=drivesdk</t>
  </si>
  <si>
    <t>1U9VHuEpU-yeIHsoqA-CWyZaAw3LnWatX</t>
  </si>
  <si>
    <t>14vE-yoqB9rXN5xEbHfqOfmCFXI10iNKn</t>
  </si>
  <si>
    <t>https://drive.google.com/file/d/14vE-yoqB9rXN5xEbHfqOfmCFXI10iNKn/view?usp=drivesdk</t>
  </si>
  <si>
    <t>DEWI INDAH MAYASARI, S.H.</t>
  </si>
  <si>
    <t>dewisari840108@gmail.com</t>
  </si>
  <si>
    <t>907</t>
  </si>
  <si>
    <t>https://drive.google.com/file/d/1mvBKJOnNkjRGIOweynJp3Vtj-ZuVbt8O/view?usp=drivesdk</t>
  </si>
  <si>
    <t>1mvBKJOnNkjRGIOweynJp3Vtj-ZuVbt8O</t>
  </si>
  <si>
    <t>1D8wIuLL10FsPrY7CJxQvO9OGIEBr9RcQ</t>
  </si>
  <si>
    <t>https://drive.google.com/file/d/1D8wIuLL10FsPrY7CJxQvO9OGIEBr9RcQ/view?usp=drivesdk</t>
  </si>
  <si>
    <t xml:space="preserve">ANAK AGUNG ISTRI ANOM SUTARMINI </t>
  </si>
  <si>
    <t>agungsutarmini@gmail.com</t>
  </si>
  <si>
    <t>908</t>
  </si>
  <si>
    <t>https://drive.google.com/file/d/1tPvjTNTfbNz6Ikk0q2yag4EB7esdjxfb/view?usp=drivesdk</t>
  </si>
  <si>
    <t>1tPvjTNTfbNz6Ikk0q2yag4EB7esdjxfb</t>
  </si>
  <si>
    <t>18wtl8OFjkjT20Mn3fJpraE6jA63DtnHf</t>
  </si>
  <si>
    <t>https://drive.google.com/file/d/18wtl8OFjkjT20Mn3fJpraE6jA63DtnHf/view?usp=drivesdk</t>
  </si>
  <si>
    <t>WIWOEK INDRA ANDRIANI</t>
  </si>
  <si>
    <t>wiwoekindraandriani@gmail.com</t>
  </si>
  <si>
    <t>909</t>
  </si>
  <si>
    <t>https://drive.google.com/file/d/13LaS53eBAYKNuArTFyp-qLBncql3LmnL/view?usp=drivesdk</t>
  </si>
  <si>
    <t>13LaS53eBAYKNuArTFyp-qLBncql3LmnL</t>
  </si>
  <si>
    <t>11lRIozfQpvZ4ACXKX4iU8Gr9vrihJCEa</t>
  </si>
  <si>
    <t>https://drive.google.com/file/d/11lRIozfQpvZ4ACXKX4iU8Gr9vrihJCEa/view?usp=drivesdk</t>
  </si>
  <si>
    <t xml:space="preserve">IPA KUSTININGSIH </t>
  </si>
  <si>
    <t>ifakustiningsih1972@gmail.com</t>
  </si>
  <si>
    <t>910</t>
  </si>
  <si>
    <t>Starting at Thu Aug 29 2024 20:51:59 GMT-0400 (EDT)</t>
  </si>
  <si>
    <t>1pttu4Tw8Fw8VBbrswbP3V_3ttJiBvUSV</t>
  </si>
  <si>
    <t>https://drive.google.com/file/d/1pttu4Tw8Fw8VBbrswbP3V_3ttJiBvUSV/view?usp=drivesdk</t>
  </si>
  <si>
    <t>Document successfully created; Document successfully merged; PDF created; !!Error Sending Emails: Service invoked too many times for one day: email.; Manually run by ecertificate75@gmail.com; Timestamp: Aug 30 2024 11:23 PM</t>
  </si>
  <si>
    <t>DIAN FITRIANISARI,S.E.</t>
  </si>
  <si>
    <t>denoxsari@gmail.com</t>
  </si>
  <si>
    <t>911</t>
  </si>
  <si>
    <t>1kY-yfWItIAeAldQ9vSLR5o7saew5nJfC</t>
  </si>
  <si>
    <t>https://drive.google.com/file/d/1kY-yfWItIAeAldQ9vSLR5o7saew5nJfC/view?usp=drivesdk</t>
  </si>
  <si>
    <t xml:space="preserve">SEPTIMIA AMBARWATI, SH </t>
  </si>
  <si>
    <t>syailendraathalah@gmail.com</t>
  </si>
  <si>
    <t>912</t>
  </si>
  <si>
    <t>https://drive.google.com/file/d/1C3lRVs_Zzqf05VPT1PyMobPSPBoaM1tv/view?usp=drivesdk</t>
  </si>
  <si>
    <t>1C3lRVs_Zzqf05VPT1PyMobPSPBoaM1tv</t>
  </si>
  <si>
    <t>1eO87Ii-rD0C7fWHlPOh9lrhLOTHoTUHl</t>
  </si>
  <si>
    <t>https://drive.google.com/file/d/1eO87Ii-rD0C7fWHlPOh9lrhLOTHoTUHl/view?usp=drivesdk</t>
  </si>
  <si>
    <t>RETNO AMBARSARI</t>
  </si>
  <si>
    <t>retnodemak536@gmail.com</t>
  </si>
  <si>
    <t>913</t>
  </si>
  <si>
    <t>https://drive.google.com/file/d/1ToE2PqQedJeC_697uTaN1nEHY_HBFo3L/view?usp=drivesdk</t>
  </si>
  <si>
    <t>1ToE2PqQedJeC_697uTaN1nEHY_HBFo3L</t>
  </si>
  <si>
    <t>1m-crwriJghgDIBLYGB0V8bEWaYIQYwE8</t>
  </si>
  <si>
    <t>https://drive.google.com/file/d/1m-crwriJghgDIBLYGB0V8bEWaYIQYwE8/view?usp=drivesdk</t>
  </si>
  <si>
    <t>HUSNI THAMRIN,S,SOS</t>
  </si>
  <si>
    <t>husnithamrin887@gmail.com</t>
  </si>
  <si>
    <t>914</t>
  </si>
  <si>
    <t>https://drive.google.com/file/d/1iktXEPhM0bhnl1DYSOZio1wBnVHUCUe6/view?usp=drivesdk</t>
  </si>
  <si>
    <t>1iktXEPhM0bhnl1DYSOZio1wBnVHUCUe6</t>
  </si>
  <si>
    <t>1oDSWzy_r2tulSDi0rGX4TZQozVQNyjk9</t>
  </si>
  <si>
    <t>https://drive.google.com/file/d/1oDSWzy_r2tulSDi0rGX4TZQozVQNyjk9/view?usp=drivesdk</t>
  </si>
  <si>
    <t>R.TRIWIDA MARLINAWATI</t>
  </si>
  <si>
    <t>lilinbelitung@gmail.com</t>
  </si>
  <si>
    <t>915</t>
  </si>
  <si>
    <t>https://drive.google.com/file/d/1i9abN036BZ9rLG-4N2UK5Dp8Qh-gh1Fs/view?usp=drivesdk</t>
  </si>
  <si>
    <t>1i9abN036BZ9rLG-4N2UK5Dp8Qh-gh1Fs</t>
  </si>
  <si>
    <t>1BhmCgXS6iU7NuB0431XhiEhNS0eKFnn2</t>
  </si>
  <si>
    <t>https://drive.google.com/file/d/1BhmCgXS6iU7NuB0431XhiEhNS0eKFnn2/view?usp=drivesdk</t>
  </si>
  <si>
    <t>MERRY ANGGRAINI AMIN</t>
  </si>
  <si>
    <t>merryanggraini86@gmail.com</t>
  </si>
  <si>
    <t>916</t>
  </si>
  <si>
    <t>https://drive.google.com/file/d/17aJx93VZ3pFVIB6UXcwuWY9sSq7FdHRS/view?usp=drivesdk</t>
  </si>
  <si>
    <t>17aJx93VZ3pFVIB6UXcwuWY9sSq7FdHRS</t>
  </si>
  <si>
    <t>1Ip8OvjcDrHmqI2NYhvhPX1Rs_sx5gEaM</t>
  </si>
  <si>
    <t>https://drive.google.com/file/d/1Ip8OvjcDrHmqI2NYhvhPX1Rs_sx5gEaM/view?usp=drivesdk</t>
  </si>
  <si>
    <t>Document successfully created; Document successfully merged; PDF created; !!Error Sending Emails: Service invoked too many times for one day: email.; Run via form trigger as ecertificate75@gmail.com; Timestamp: Aug 30 2024 11:10 PM</t>
  </si>
  <si>
    <t>NURSRILESTARI</t>
  </si>
  <si>
    <t>lestarinursri7@gmail.com</t>
  </si>
  <si>
    <t>917</t>
  </si>
  <si>
    <t>https://drive.google.com/file/d/1OKq6W7RGo5SLNbZ2vSgU-Oq5AQyflllG/view?usp=drivesdk</t>
  </si>
  <si>
    <t>1OKq6W7RGo5SLNbZ2vSgU-Oq5AQyflllG</t>
  </si>
  <si>
    <t>1H1bhA6pRgrSGB9tAFgcmtWg3YVZcsnAd</t>
  </si>
  <si>
    <t>https://drive.google.com/file/d/1H1bhA6pRgrSGB9tAFgcmtWg3YVZcsnAd/view?usp=drivesdk</t>
  </si>
  <si>
    <t>DIAN OKTARIA RESTIANI</t>
  </si>
  <si>
    <t>dianoktariarestiani@gmail.com</t>
  </si>
  <si>
    <t>918</t>
  </si>
  <si>
    <t>https://drive.google.com/file/d/1i8_WBC6-BrG0XtnFgFJu65L0PuQG69TV/view?usp=drivesdk</t>
  </si>
  <si>
    <t>1i8_WBC6-BrG0XtnFgFJu65L0PuQG69TV</t>
  </si>
  <si>
    <t>12A7E4JtHpTkZaUAtmsWnTlUik3IzmCjl</t>
  </si>
  <si>
    <t>https://drive.google.com/file/d/12A7E4JtHpTkZaUAtmsWnTlUik3IzmCjl/view?usp=drivesdk</t>
  </si>
  <si>
    <t>SUSI HANDAYANI</t>
  </si>
  <si>
    <t>susi.handa02@gmail.com</t>
  </si>
  <si>
    <t>919</t>
  </si>
  <si>
    <t>https://drive.google.com/file/d/1s3jh1mzYSHVYtRuFFN1YeivuIvrL_jNe/view?usp=drivesdk</t>
  </si>
  <si>
    <t>1s3jh1mzYSHVYtRuFFN1YeivuIvrL_jNe</t>
  </si>
  <si>
    <t>1bVhRkVR3GSZbhQ5xPfPVfrHPjWW9dcFw</t>
  </si>
  <si>
    <t>https://drive.google.com/file/d/1bVhRkVR3GSZbhQ5xPfPVfrHPjWW9dcFw/view?usp=drivesdk</t>
  </si>
  <si>
    <t>SUISMI WIDIYANTINI, S.I.Kom</t>
  </si>
  <si>
    <t>ahidadin@gmail.com</t>
  </si>
  <si>
    <t>920</t>
  </si>
  <si>
    <t>https://drive.google.com/file/d/11Pow2mkJyMpq9yEwsDySSdfoQyApl8wR/view?usp=drivesdk</t>
  </si>
  <si>
    <t>11Pow2mkJyMpq9yEwsDySSdfoQyApl8wR</t>
  </si>
  <si>
    <t>1XC-uujyJfq3LEKGtYLxlU_gffbE3-306</t>
  </si>
  <si>
    <t>https://drive.google.com/file/d/1XC-uujyJfq3LEKGtYLxlU_gffbE3-306/view?usp=drivesdk</t>
  </si>
  <si>
    <t>MUHAMAD SHOLEH</t>
  </si>
  <si>
    <t>muhammadnurshakil@gamil.com</t>
  </si>
  <si>
    <t>921</t>
  </si>
  <si>
    <t>https://drive.google.com/file/d/1CKZVRIdmJHjWwzlod6y-4XXEPxtyELWT/view?usp=drivesdk</t>
  </si>
  <si>
    <t>1CKZVRIdmJHjWwzlod6y-4XXEPxtyELWT</t>
  </si>
  <si>
    <t>1Klr2jsmfYdP35IDZmDhZP6UFoLenNOld</t>
  </si>
  <si>
    <t>https://drive.google.com/file/d/1Klr2jsmfYdP35IDZmDhZP6UFoLenNOld/view?usp=drivesdk</t>
  </si>
  <si>
    <t>ARY KUSUMAWARDHANI, SE</t>
  </si>
  <si>
    <t>wardhaniary81@gmail.com</t>
  </si>
  <si>
    <t>922</t>
  </si>
  <si>
    <t>https://drive.google.com/file/d/1BPfTzI0ti40KLK-OTZ26WRkMs7lCq96t/view?usp=drivesdk</t>
  </si>
  <si>
    <t>1BPfTzI0ti40KLK-OTZ26WRkMs7lCq96t</t>
  </si>
  <si>
    <t>141MiuL_77koY8tiu1X7mI6MZm1xa0LFN</t>
  </si>
  <si>
    <t>https://drive.google.com/file/d/141MiuL_77koY8tiu1X7mI6MZm1xa0LFN/view?usp=drivesdk</t>
  </si>
  <si>
    <t>Document successfully created; Document successfully merged; PDF created; !!Error Sending Emails: Service invoked too many times for one day: email.; Run via form trigger as ecertificate75@gmail.com; Timestamp: Aug 30 2024 11:11 PM</t>
  </si>
  <si>
    <t>IRAWATISUMITRA</t>
  </si>
  <si>
    <t>irawatiasumitra@gmail.com</t>
  </si>
  <si>
    <t>923</t>
  </si>
  <si>
    <t>https://drive.google.com/file/d/1JBUlqHOxaqh9O_xETSCvFyzsO7jaCV1Q/view?usp=drivesdk</t>
  </si>
  <si>
    <t>1JBUlqHOxaqh9O_xETSCvFyzsO7jaCV1Q</t>
  </si>
  <si>
    <t>19PYpCS8zqqIo7DeT3WrsWAQ4nWg-zcp2</t>
  </si>
  <si>
    <t>https://drive.google.com/file/d/19PYpCS8zqqIo7DeT3WrsWAQ4nWg-zcp2/view?usp=drivesdk</t>
  </si>
  <si>
    <t>DANANG PURWO WIBOWO</t>
  </si>
  <si>
    <t>dngpw10lamasia@gmail.com</t>
  </si>
  <si>
    <t>924</t>
  </si>
  <si>
    <t>https://drive.google.com/file/d/1Ex-H53RSnQ_b_vqNmGVm22q6h9EYO_3i/view?usp=drivesdk</t>
  </si>
  <si>
    <t>1Ex-H53RSnQ_b_vqNmGVm22q6h9EYO_3i</t>
  </si>
  <si>
    <t>1ozknowEjQDyLbpihtziFO51r2ro_tezN</t>
  </si>
  <si>
    <t>https://drive.google.com/file/d/1ozknowEjQDyLbpihtziFO51r2ro_tezN/view?usp=drivesdk</t>
  </si>
  <si>
    <t>AGNES PUSPITA SARI</t>
  </si>
  <si>
    <t>agnessarisari28@gmail.com</t>
  </si>
  <si>
    <t>925</t>
  </si>
  <si>
    <t>https://drive.google.com/file/d/110F2shx7gdZ8ypIbH1fBL-zBtv9vmX5h/view?usp=drivesdk</t>
  </si>
  <si>
    <t>110F2shx7gdZ8ypIbH1fBL-zBtv9vmX5h</t>
  </si>
  <si>
    <t>1BMnNgmNERx391njtAOBzjedR3FlhAzPr</t>
  </si>
  <si>
    <t>https://drive.google.com/file/d/1BMnNgmNERx391njtAOBzjedR3FlhAzPr/view?usp=drivesdk</t>
  </si>
  <si>
    <t>DINA SARI TRI RAHAYU, S.E.</t>
  </si>
  <si>
    <t>dhiena.ndutz@gmail.com</t>
  </si>
  <si>
    <t>926</t>
  </si>
  <si>
    <t>https://drive.google.com/file/d/1oSfHzB0Ks5xnT9U1HIEd2Cgj-2GIm74t/view?usp=drivesdk</t>
  </si>
  <si>
    <t>1oSfHzB0Ks5xnT9U1HIEd2Cgj-2GIm74t</t>
  </si>
  <si>
    <t>1YnVC8gyz22h_VoxhNHrjTjOY69wmh1kM</t>
  </si>
  <si>
    <t>https://drive.google.com/file/d/1YnVC8gyz22h_VoxhNHrjTjOY69wmh1kM/view?usp=drivesdk</t>
  </si>
  <si>
    <t>Document successfully created; Document successfully merged; PDF created; !!Error Sending Emails: Service invoked too many times for one day: email.; Manually run by ecertificate75@gmail.com; Timestamp: Aug 30 2024 11:24 PM</t>
  </si>
  <si>
    <t>SUSI MIGAWATI</t>
  </si>
  <si>
    <t>migawatisusi@gmail.com</t>
  </si>
  <si>
    <t>927</t>
  </si>
  <si>
    <t>https://drive.google.com/file/d/1O43HjaoL56ePlt0WTROFRkpn1wrsjNpL/view?usp=drivesdk</t>
  </si>
  <si>
    <t>1O43HjaoL56ePlt0WTROFRkpn1wrsjNpL</t>
  </si>
  <si>
    <t>1X1NuhVx5yR_a9HR46wk1KkHqNQeCirQB</t>
  </si>
  <si>
    <t>https://drive.google.com/file/d/1X1NuhVx5yR_a9HR46wk1KkHqNQeCirQB/view?usp=drivesdk</t>
  </si>
  <si>
    <t>I MADE SUARDIKA,S.H.</t>
  </si>
  <si>
    <t>suadikaimade121@gmail.com</t>
  </si>
  <si>
    <t>928</t>
  </si>
  <si>
    <t>Starting at Thu Aug 29 2024 20:52:33 GMT-0400 (EDT)</t>
  </si>
  <si>
    <t>10orlGIRtMQKS3IB0KOXf7xBrxSsVVT53</t>
  </si>
  <si>
    <t>https://drive.google.com/file/d/10orlGIRtMQKS3IB0KOXf7xBrxSsVVT53/view?usp=drivesdk</t>
  </si>
  <si>
    <t>SUGANDIICHSAN</t>
  </si>
  <si>
    <t>gandhikalfario1972@gmail.com</t>
  </si>
  <si>
    <t>929</t>
  </si>
  <si>
    <t>1S4oq88ni8LPeHHy5wJsgqUl9zKHsKYg0</t>
  </si>
  <si>
    <t>https://drive.google.com/file/d/1S4oq88ni8LPeHHy5wJsgqUl9zKHsKYg0/view?usp=drivesdk</t>
  </si>
  <si>
    <t>Document successfully created; Document successfully merged; PDF created; !!Error Sending Emails: Service invoked too many times for one day: email.; Run via form trigger as ecertificate75@gmail.com; Timestamp: Aug 30 2024 11:12 PM</t>
  </si>
  <si>
    <t>DWI INDAH LESTARI, S.M.</t>
  </si>
  <si>
    <t>dekdil88@gmail.con</t>
  </si>
  <si>
    <t>930</t>
  </si>
  <si>
    <t>1L7C_4WVPH6uzss4reb24_xeY2pQFAbXf</t>
  </si>
  <si>
    <t>https://drive.google.com/file/d/1L7C_4WVPH6uzss4reb24_xeY2pQFAbXf/view?usp=drivesdk</t>
  </si>
  <si>
    <t>NUR WIJAYANTO</t>
  </si>
  <si>
    <t>noerabid83@gmail.com</t>
  </si>
  <si>
    <t>931</t>
  </si>
  <si>
    <t>1GVyeAe4RL6MWkxiXISrce12nSFBzNzDt</t>
  </si>
  <si>
    <t>https://drive.google.com/file/d/1GVyeAe4RL6MWkxiXISrce12nSFBzNzDt/view?usp=drivesdk</t>
  </si>
  <si>
    <t xml:space="preserve">TITIK FEBRIANTI DWI SETYOWATI </t>
  </si>
  <si>
    <t>febrianti.bpkb@gmail.com</t>
  </si>
  <si>
    <t>932</t>
  </si>
  <si>
    <t>1b_c7pfJYdq6GPs3dDDVbnMr0aqRv4czi</t>
  </si>
  <si>
    <t>https://drive.google.com/file/d/1b_c7pfJYdq6GPs3dDDVbnMr0aqRv4czi/view?usp=drivesdk</t>
  </si>
  <si>
    <t>NENDEN NURTANZILLAH, AMK</t>
  </si>
  <si>
    <t>nurtanzillah@gmail.com</t>
  </si>
  <si>
    <t>933</t>
  </si>
  <si>
    <t>10IbIEq7sSGEbUgTP2odntHJM8evs-uGn</t>
  </si>
  <si>
    <t>https://drive.google.com/file/d/10IbIEq7sSGEbUgTP2odntHJM8evs-uGn/view?usp=drivesdk</t>
  </si>
  <si>
    <t>RIRIN HERNIANTI</t>
  </si>
  <si>
    <t>ririn.hernianti1988@yahoo.com</t>
  </si>
  <si>
    <t>934</t>
  </si>
  <si>
    <t>1jAaUkTNLmluL6NL5foXZm5NSCEkxjLFH</t>
  </si>
  <si>
    <t>https://drive.google.com/file/d/1jAaUkTNLmluL6NL5foXZm5NSCEkxjLFH/view?usp=drivesdk</t>
  </si>
  <si>
    <t>ANNA ANITA KUSUMA</t>
  </si>
  <si>
    <t>itawijanarko@gmail.com</t>
  </si>
  <si>
    <t>935</t>
  </si>
  <si>
    <t>1b6zJtv7ZT0fm3xFWoD4ZCf71E3U1C3wu</t>
  </si>
  <si>
    <t>https://drive.google.com/file/d/1b6zJtv7ZT0fm3xFWoD4ZCf71E3U1C3wu/view?usp=drivesdk</t>
  </si>
  <si>
    <t>Document successfully created; Document successfully merged; PDF created; !!Error Sending Emails: Service invoked too many times for one day: email.; Run via form trigger as ecertificate75@gmail.com; Timestamp: Aug 30 2024 11:13 PM</t>
  </si>
  <si>
    <t>DWI ANGGRAINI, S.E.</t>
  </si>
  <si>
    <t>dwianggrainii.da@gmail.com</t>
  </si>
  <si>
    <t>936</t>
  </si>
  <si>
    <t>1JXGw_aULavry0Q9PAe-DGRGnCSVK9uWE</t>
  </si>
  <si>
    <t>https://drive.google.com/file/d/1JXGw_aULavry0Q9PAe-DGRGnCSVK9uWE/view?usp=drivesdk</t>
  </si>
  <si>
    <t>FATHAN AMIEN MA'RUF, S.I.Kom.</t>
  </si>
  <si>
    <t>fathanster@gmail.com</t>
  </si>
  <si>
    <t>937</t>
  </si>
  <si>
    <t>1I80_boCQOiPU1PLZwWZ_TwM0nP6Tb0Gf</t>
  </si>
  <si>
    <t>https://drive.google.com/file/d/1I80_boCQOiPU1PLZwWZ_TwM0nP6Tb0Gf/view?usp=drivesdk</t>
  </si>
  <si>
    <t xml:space="preserve">ASN ENGKUS KUSNADI </t>
  </si>
  <si>
    <t>engkuskusnadi387@gmail.com</t>
  </si>
  <si>
    <t>938</t>
  </si>
  <si>
    <t>1yvTrbpz8zjV9ve-8FbeIW6VVh8oXL4sy</t>
  </si>
  <si>
    <t>https://drive.google.com/file/d/1yvTrbpz8zjV9ve-8FbeIW6VVh8oXL4sy/view?usp=drivesdk</t>
  </si>
  <si>
    <t>ADHISTY PRIMASARI,SH</t>
  </si>
  <si>
    <t>istumora@gmail.com</t>
  </si>
  <si>
    <t>939</t>
  </si>
  <si>
    <t>https://drive.google.com/file/d/1lP18j1x48chnBVHSUEPKBsM95Q_34Pmb/view?usp=drivesdk</t>
  </si>
  <si>
    <t>1lP18j1x48chnBVHSUEPKBsM95Q_34Pmb</t>
  </si>
  <si>
    <t>13UzHuslFkJaWnkuw3HmGlQti0-33Bpdt</t>
  </si>
  <si>
    <t>https://drive.google.com/file/d/13UzHuslFkJaWnkuw3HmGlQti0-33Bpdt/view?usp=drivesdk</t>
  </si>
  <si>
    <t>NS. TRIULAN AGUSTINA SIDABUTAR, S.KEP</t>
  </si>
  <si>
    <t>triulan.agustina@gmail.com</t>
  </si>
  <si>
    <t>940</t>
  </si>
  <si>
    <t>https://drive.google.com/file/d/1vd8A025-1kxh1kpGA8U8PGnFieYAaj1O/view?usp=drivesdk</t>
  </si>
  <si>
    <t>1vd8A025-1kxh1kpGA8U8PGnFieYAaj1O</t>
  </si>
  <si>
    <t>1dv3RPV-xbtgVhGOwsv0BfxtUqEsaLSEt</t>
  </si>
  <si>
    <t>https://drive.google.com/file/d/1dv3RPV-xbtgVhGOwsv0BfxtUqEsaLSEt/view?usp=drivesdk</t>
  </si>
  <si>
    <t xml:space="preserve">FAJAR SETIYOWATI, S. Ak. </t>
  </si>
  <si>
    <t>alfajr232@gmail.com</t>
  </si>
  <si>
    <t>941</t>
  </si>
  <si>
    <t>https://drive.google.com/file/d/1M0qfRsOHQBNGSanH_zAvmJEZj9h6Dkd5/view?usp=drivesdk</t>
  </si>
  <si>
    <t>1M0qfRsOHQBNGSanH_zAvmJEZj9h6Dkd5</t>
  </si>
  <si>
    <t>1j9XcLG2ifEsoQzh3I6sb-_983Teu0U_D</t>
  </si>
  <si>
    <t>https://drive.google.com/file/d/1j9XcLG2ifEsoQzh3I6sb-_983Teu0U_D/view?usp=drivesdk</t>
  </si>
  <si>
    <t>Document successfully created; Document successfully merged; PDF created; !!Error Sending Emails: Service invoked too many times for one day: email.; Run via form trigger as ecertificate75@gmail.com; Timestamp: Aug 30 2024 11:14 PM</t>
  </si>
  <si>
    <t>RACHMAD HARDADI, S.H., M.H.</t>
  </si>
  <si>
    <t>rachmadhardadi3@gmail.com</t>
  </si>
  <si>
    <t>942</t>
  </si>
  <si>
    <t>https://drive.google.com/file/d/1WTx1SSf8_oZxVGtVZyF_36xcDbOY-kOz/view?usp=drivesdk</t>
  </si>
  <si>
    <t>1WTx1SSf8_oZxVGtVZyF_36xcDbOY-kOz</t>
  </si>
  <si>
    <t>1pHLZbhn_F1q5dwX9P8W2zmkHoVuH3ugR</t>
  </si>
  <si>
    <t>https://drive.google.com/file/d/1pHLZbhn_F1q5dwX9P8W2zmkHoVuH3ugR/view?usp=drivesdk</t>
  </si>
  <si>
    <t xml:space="preserve">ARIS SULISTIYONO </t>
  </si>
  <si>
    <t>liestya22@gmail.com</t>
  </si>
  <si>
    <t>943</t>
  </si>
  <si>
    <t>https://drive.google.com/file/d/1qkb7o_Pv5ufs5mvvSBZqwvkDggBku2e-/view?usp=drivesdk</t>
  </si>
  <si>
    <t>1qkb7o_Pv5ufs5mvvSBZqwvkDggBku2e-</t>
  </si>
  <si>
    <t>1ieHsBz2gkojYEvOE9zHu_uMq831umKpx</t>
  </si>
  <si>
    <t>https://drive.google.com/file/d/1ieHsBz2gkojYEvOE9zHu_uMq831umKpx/view?usp=drivesdk</t>
  </si>
  <si>
    <t>PENGATUR ASHADI PURNOMO</t>
  </si>
  <si>
    <t>ashdyie@gmail.com</t>
  </si>
  <si>
    <t>944</t>
  </si>
  <si>
    <t>Starting at Thu Aug 29 2024 20:52:40 GMT-0400 (EDT)</t>
  </si>
  <si>
    <t>1dpKcoSPRTwIKUWpbSf9oEzTfmC2ekmGD</t>
  </si>
  <si>
    <t>https://drive.google.com/file/d/1dpKcoSPRTwIKUWpbSf9oEzTfmC2ekmGD/view?usp=drivesdk</t>
  </si>
  <si>
    <t>NINOY SANTI KRESNORINI, S.E.</t>
  </si>
  <si>
    <t>ninoy.kresnorini@gmail.com</t>
  </si>
  <si>
    <t>945</t>
  </si>
  <si>
    <t>https://drive.google.com/file/d/1a45PhG1bbACi262wlF6MyHg-CN138fmt/view?usp=drivesdk</t>
  </si>
  <si>
    <t>1a45PhG1bbACi262wlF6MyHg-CN138fmt</t>
  </si>
  <si>
    <t>1SzcLCosPOd6TClSEZF9TraBGCOpHRWVp</t>
  </si>
  <si>
    <t>https://drive.google.com/file/d/1SzcLCosPOd6TClSEZF9TraBGCOpHRWVp/view?usp=drivesdk</t>
  </si>
  <si>
    <t>DANY APRIASTUTI, SE</t>
  </si>
  <si>
    <t>danynark@gmail.com</t>
  </si>
  <si>
    <t>946</t>
  </si>
  <si>
    <t>https://drive.google.com/file/d/1JPdP4e8V_7x45SznZh0NXI5TJ2amWa3s/view?usp=drivesdk</t>
  </si>
  <si>
    <t>1JPdP4e8V_7x45SznZh0NXI5TJ2amWa3s</t>
  </si>
  <si>
    <t>1Ti0aqmRilKUA_mmmSDZvRl93xOeAzZYz</t>
  </si>
  <si>
    <t>https://drive.google.com/file/d/1Ti0aqmRilKUA_mmmSDZvRl93xOeAzZYz/view?usp=drivesdk</t>
  </si>
  <si>
    <t>Document successfully created; Document successfully merged; PDF created; !!Error Sending Emails: Service invoked too many times for one day: email.; Run via form trigger as ecertificate75@gmail.com; Timestamp: Aug 30 2024 11:15 PM</t>
  </si>
  <si>
    <t>YANA SURYANA, SE</t>
  </si>
  <si>
    <t>yana_bdg78@yahoo.co.id</t>
  </si>
  <si>
    <t>947</t>
  </si>
  <si>
    <t>https://drive.google.com/file/d/1vPs-M_wP_MPVmal0YvkQumNG_PoHZVIs/view?usp=drivesdk</t>
  </si>
  <si>
    <t>1vPs-M_wP_MPVmal0YvkQumNG_PoHZVIs</t>
  </si>
  <si>
    <t>1czIZSEZ5lkI0dd1jjgDd3Fu8WLtYPwKj</t>
  </si>
  <si>
    <t>https://drive.google.com/file/d/1czIZSEZ5lkI0dd1jjgDd3Fu8WLtYPwKj/view?usp=drivesdk</t>
  </si>
  <si>
    <t>sitimaryatun.rsb@gmail.com</t>
  </si>
  <si>
    <t>948</t>
  </si>
  <si>
    <t>https://drive.google.com/file/d/1MHXWdYc9an7JJC7zDXtaisKFabLt3Lsy/view?usp=drivesdk</t>
  </si>
  <si>
    <t>1MHXWdYc9an7JJC7zDXtaisKFabLt3Lsy</t>
  </si>
  <si>
    <t>1A9Jh1JxIPP0ABmYKw4lfrjDN4s0Pc3mH</t>
  </si>
  <si>
    <t>https://drive.google.com/file/d/1A9Jh1JxIPP0ABmYKw4lfrjDN4s0Pc3mH/view?usp=drivesdk</t>
  </si>
  <si>
    <t xml:space="preserve">BUDI SUPRAYITNO </t>
  </si>
  <si>
    <t>bud72his@gmail.com</t>
  </si>
  <si>
    <t>949</t>
  </si>
  <si>
    <t>https://drive.google.com/file/d/14ExBbm-nkxHk5t1EyH02hAl9xwVK7mNq/view?usp=drivesdk</t>
  </si>
  <si>
    <t>14ExBbm-nkxHk5t1EyH02hAl9xwVK7mNq</t>
  </si>
  <si>
    <t>1Oqh-YH7FxzTxgU8jkf6RtJEQ4aSYmy3p</t>
  </si>
  <si>
    <t>https://drive.google.com/file/d/1Oqh-YH7FxzTxgU8jkf6RtJEQ4aSYmy3p/view?usp=drivesdk</t>
  </si>
  <si>
    <t>WEDAR ARI PRASTI</t>
  </si>
  <si>
    <t>cesavas.wedar@gmail.com</t>
  </si>
  <si>
    <t>950</t>
  </si>
  <si>
    <t>https://drive.google.com/file/d/1XT82pBBxamyZTNAOjlM1Ay7D0yMBKTNj/view?usp=drivesdk</t>
  </si>
  <si>
    <t>1XT82pBBxamyZTNAOjlM1Ay7D0yMBKTNj</t>
  </si>
  <si>
    <t>1Xq5tmpbD0Zjvv7qnEdn4xsrT_hcavzkt</t>
  </si>
  <si>
    <t>https://drive.google.com/file/d/1Xq5tmpbD0Zjvv7qnEdn4xsrT_hcavzkt/view?usp=drivesdk</t>
  </si>
  <si>
    <t>JOKO SUTARNO SH</t>
  </si>
  <si>
    <t>jokosutarnosh@gmail.com</t>
  </si>
  <si>
    <t>951</t>
  </si>
  <si>
    <t>https://drive.google.com/file/d/1WSDF5YzqLfpx_peJTBaFSa6Q6lMmA1gM/view?usp=drivesdk</t>
  </si>
  <si>
    <t>1WSDF5YzqLfpx_peJTBaFSa6Q6lMmA1gM</t>
  </si>
  <si>
    <t>10lebPVbGSFeVnx6sYyFEGWXsCpA7oTfE</t>
  </si>
  <si>
    <t>https://drive.google.com/file/d/10lebPVbGSFeVnx6sYyFEGWXsCpA7oTfE/view?usp=drivesdk</t>
  </si>
  <si>
    <t xml:space="preserve">DIAH AYU TETI PERMANASARI </t>
  </si>
  <si>
    <t>diahayuteti@gmail.com</t>
  </si>
  <si>
    <t>952</t>
  </si>
  <si>
    <t>https://drive.google.com/file/d/1UIvRip8sb8DnJ5wmho2fyTZ7Ep3doXkM/view?usp=drivesdk</t>
  </si>
  <si>
    <t>1UIvRip8sb8DnJ5wmho2fyTZ7Ep3doXkM</t>
  </si>
  <si>
    <t>1Hv1SfYyfdV-_qM5VqZYx0M4XLUI7d-mI</t>
  </si>
  <si>
    <t>https://drive.google.com/file/d/1Hv1SfYyfdV-_qM5VqZYx0M4XLUI7d-mI/view?usp=drivesdk</t>
  </si>
  <si>
    <t>Document successfully created; Document successfully merged; PDF created; !!Error Sending Emails: Service invoked too many times for one day: email.; Manually run by ecertificate75@gmail.com; Timestamp: Aug 30 2024 11:25 PM</t>
  </si>
  <si>
    <t>NUNI WAHYUNINGSIH</t>
  </si>
  <si>
    <t>nuni150970@gmail.com</t>
  </si>
  <si>
    <t>953</t>
  </si>
  <si>
    <t>https://drive.google.com/file/d/1WjCzyykqPyQ-khmTEmeJsUV-HoNaxl3u/view?usp=drivesdk</t>
  </si>
  <si>
    <t>1WjCzyykqPyQ-khmTEmeJsUV-HoNaxl3u</t>
  </si>
  <si>
    <t>1nnVU3kigTNlCUDjzyCx9KWNiSEkU2Fre</t>
  </si>
  <si>
    <t>https://drive.google.com/file/d/1nnVU3kigTNlCUDjzyCx9KWNiSEkU2Fre/view?usp=drivesdk</t>
  </si>
  <si>
    <t>NANIK HERNANINGSIH</t>
  </si>
  <si>
    <t>nanikhernaningsih101@gmail.com</t>
  </si>
  <si>
    <t>954</t>
  </si>
  <si>
    <t>https://drive.google.com/file/d/1gns5b5fyZboZ7mLgEOD7zhYAranGY-9A/view?usp=drivesdk</t>
  </si>
  <si>
    <t>1gns5b5fyZboZ7mLgEOD7zhYAranGY-9A</t>
  </si>
  <si>
    <t>1xf1j0yHGG0rEPJ1DB3WancpVKmOeJ1z1</t>
  </si>
  <si>
    <t>https://drive.google.com/file/d/1xf1j0yHGG0rEPJ1DB3WancpVKmOeJ1z1/view?usp=drivesdk</t>
  </si>
  <si>
    <t xml:space="preserve">RINGGO KARYAWATI </t>
  </si>
  <si>
    <t>karyawatiringgo23@gmail.com</t>
  </si>
  <si>
    <t>955</t>
  </si>
  <si>
    <t>https://drive.google.com/file/d/1VD6tBdIKuBYAf4IevSTxEv_2rwfJ7Sct/view?usp=drivesdk</t>
  </si>
  <si>
    <t>1VD6tBdIKuBYAf4IevSTxEv_2rwfJ7Sct</t>
  </si>
  <si>
    <t>1kKT4Ms5bvMbK4sP6RyULxsaWlwXb6JOE</t>
  </si>
  <si>
    <t>https://drive.google.com/file/d/1kKT4Ms5bvMbK4sP6RyULxsaWlwXb6JOE/view?usp=drivesdk</t>
  </si>
  <si>
    <t>TRI MULYANIII</t>
  </si>
  <si>
    <t>trim26930@gmail.com</t>
  </si>
  <si>
    <t>956</t>
  </si>
  <si>
    <t>https://drive.google.com/file/d/1kb__GRcM4KkXkc0dHUet4GkH4SigadfB/view?usp=drivesdk</t>
  </si>
  <si>
    <t>1kb__GRcM4KkXkc0dHUet4GkH4SigadfB</t>
  </si>
  <si>
    <t>1-SyaxFnqKRu20IpnF5zyS96pfz5QlAbr</t>
  </si>
  <si>
    <t>https://drive.google.com/file/d/1-SyaxFnqKRu20IpnF5zyS96pfz5QlAbr/view?usp=drivesdk</t>
  </si>
  <si>
    <t>ASEP HERMAWAN</t>
  </si>
  <si>
    <t>ahermawan130978@gmail.com</t>
  </si>
  <si>
    <t>957</t>
  </si>
  <si>
    <t>https://drive.google.com/file/d/16KL_NHuT819Sz1xwkvRCHNg-cyoArvje/view?usp=drivesdk</t>
  </si>
  <si>
    <t>16KL_NHuT819Sz1xwkvRCHNg-cyoArvje</t>
  </si>
  <si>
    <t>1vTnzDhj6LGBTpKAvv5gLQCi0zyH6QZTq</t>
  </si>
  <si>
    <t>https://drive.google.com/file/d/1vTnzDhj6LGBTpKAvv5gLQCi0zyH6QZTq/view?usp=drivesdk</t>
  </si>
  <si>
    <t>PUTU YUNI WULANDARI A.MD.KEB</t>
  </si>
  <si>
    <t>akasawulan@gmail.com</t>
  </si>
  <si>
    <t>958</t>
  </si>
  <si>
    <t>https://drive.google.com/file/d/1irp4oIfq2eTx0lc67g1sKu6t-lDu3XSU/view?usp=drivesdk</t>
  </si>
  <si>
    <t>1irp4oIfq2eTx0lc67g1sKu6t-lDu3XSU</t>
  </si>
  <si>
    <t>1wAYCkj1zKL1dLuHYOdUNAPvN4VkExexF</t>
  </si>
  <si>
    <t>https://drive.google.com/file/d/1wAYCkj1zKL1dLuHYOdUNAPvN4VkExexF/view?usp=drivesdk</t>
  </si>
  <si>
    <t>Document successfully created; Document successfully merged; PDF created; !!Error Sending Emails: Service invoked too many times for one day: email.; Manually run by ecertificate75@gmail.com; Timestamp: Aug 30 2024 11:26 PM</t>
  </si>
  <si>
    <t>NINIK SUPRIYANTI</t>
  </si>
  <si>
    <t>pnsninik@gmail.com</t>
  </si>
  <si>
    <t>959</t>
  </si>
  <si>
    <t>https://drive.google.com/file/d/1KSJO3D63sD6a4D0O2YyiBU5aPAoh4f98/view?usp=drivesdk</t>
  </si>
  <si>
    <t>1KSJO3D63sD6a4D0O2YyiBU5aPAoh4f98</t>
  </si>
  <si>
    <t>1ULu6B9CtRigUdid8hhifHuTG9kPmGNUN</t>
  </si>
  <si>
    <t>https://drive.google.com/file/d/1ULu6B9CtRigUdid8hhifHuTG9kPmGNUN/view?usp=drivesdk</t>
  </si>
  <si>
    <t>RIKY FIRMANSYAH</t>
  </si>
  <si>
    <t>jackriky74@gmail.com</t>
  </si>
  <si>
    <t>960</t>
  </si>
  <si>
    <t>https://drive.google.com/file/d/1gPR6A84pveBa4Gx5k1hitr0rCY4VR6Sb/view?usp=drivesdk</t>
  </si>
  <si>
    <t>1gPR6A84pveBa4Gx5k1hitr0rCY4VR6Sb</t>
  </si>
  <si>
    <t>1PH1H2tqEeVYl8gXDoFMPeBJmeIeNdaZx</t>
  </si>
  <si>
    <t>https://drive.google.com/file/d/1PH1H2tqEeVYl8gXDoFMPeBJmeIeNdaZx/view?usp=drivesdk</t>
  </si>
  <si>
    <t>NINUK WIDYA IRAWATI</t>
  </si>
  <si>
    <t>ninuk29179@gmail.com</t>
  </si>
  <si>
    <t>961</t>
  </si>
  <si>
    <t>https://drive.google.com/file/d/1kj6k713F1nGWK8JqHobMbcq2CrERARFd/view?usp=drivesdk</t>
  </si>
  <si>
    <t>1kj6k713F1nGWK8JqHobMbcq2CrERARFd</t>
  </si>
  <si>
    <t>19K0aCpAPDdNa1UESG8H0Pzqf9XQkxoer</t>
  </si>
  <si>
    <t>https://drive.google.com/file/d/19K0aCpAPDdNa1UESG8H0Pzqf9XQkxoer/view?usp=drivesdk</t>
  </si>
  <si>
    <t>I WAYAN DARNA S SOS MAP</t>
  </si>
  <si>
    <t>darnadvijottama@gmail.com</t>
  </si>
  <si>
    <t>962</t>
  </si>
  <si>
    <t>https://drive.google.com/file/d/1ySJeU_S_rX0itoqGGAPlyzjKQP0sQ_Ig/view?usp=drivesdk</t>
  </si>
  <si>
    <t>1ySJeU_S_rX0itoqGGAPlyzjKQP0sQ_Ig</t>
  </si>
  <si>
    <t>14C0O8w6VIAuRrSNtD62ps0p948PXoR62</t>
  </si>
  <si>
    <t>https://drive.google.com/file/d/14C0O8w6VIAuRrSNtD62ps0p948PXoR62/view?usp=drivesdk</t>
  </si>
  <si>
    <t>SUDARSONO, SKOM</t>
  </si>
  <si>
    <t>s.dars@yahoo.co.id</t>
  </si>
  <si>
    <t>963</t>
  </si>
  <si>
    <t>https://drive.google.com/file/d/1DY43vP-BxbwPJo8D9cr9Ev6L1pwEtq1i/view?usp=drivesdk</t>
  </si>
  <si>
    <t>1DY43vP-BxbwPJo8D9cr9Ev6L1pwEtq1i</t>
  </si>
  <si>
    <t>1YeXlRdOBwm2NfOXBgmmbUW83UhamvRqZ</t>
  </si>
  <si>
    <t>https://drive.google.com/file/d/1YeXlRdOBwm2NfOXBgmmbUW83UhamvRqZ/view?usp=drivesdk</t>
  </si>
  <si>
    <t>TRIANA DIANTARI</t>
  </si>
  <si>
    <t>triana20873@gmail.com</t>
  </si>
  <si>
    <t>964</t>
  </si>
  <si>
    <t>https://drive.google.com/file/d/1tVotXpT7uQgJyOIettGEi-NilSYmCPw7/view?usp=drivesdk</t>
  </si>
  <si>
    <t>1tVotXpT7uQgJyOIettGEi-NilSYmCPw7</t>
  </si>
  <si>
    <t>1m3CvtX6OZ2OPW7RAmY2H2lIifr8v2Y-_</t>
  </si>
  <si>
    <t>https://drive.google.com/file/d/1m3CvtX6OZ2OPW7RAmY2H2lIifr8v2Y-_/view?usp=drivesdk</t>
  </si>
  <si>
    <t>Document successfully created; Document successfully merged; PDF created; !!Error Sending Emails: Service invoked too many times for one day: email.; Manually run by ecertificate75@gmail.com; Timestamp: Aug 30 2024 11:27 PM</t>
  </si>
  <si>
    <t>SUNDARI DARJO</t>
  </si>
  <si>
    <t>sundaridabo68@gmail.com</t>
  </si>
  <si>
    <t>965</t>
  </si>
  <si>
    <t>https://drive.google.com/file/d/1hDw41mUiHEOya0gJYNwTvtixYu2bcoiq/view?usp=drivesdk</t>
  </si>
  <si>
    <t>1hDw41mUiHEOya0gJYNwTvtixYu2bcoiq</t>
  </si>
  <si>
    <t>1degR3cHZDpd8ngEYxwcKCsDBJHJfr5E1</t>
  </si>
  <si>
    <t>https://drive.google.com/file/d/1degR3cHZDpd8ngEYxwcKCsDBJHJfr5E1/view?usp=drivesdk</t>
  </si>
  <si>
    <t>IWID YULIANI, SE</t>
  </si>
  <si>
    <t>iwid.yuliani@gmail.com</t>
  </si>
  <si>
    <t>966</t>
  </si>
  <si>
    <t>https://drive.google.com/file/d/1a1csyMTwnWrHAJQ_KmNMZDJynKiCxhRG/view?usp=drivesdk</t>
  </si>
  <si>
    <t>1a1csyMTwnWrHAJQ_KmNMZDJynKiCxhRG</t>
  </si>
  <si>
    <t>11fCkFJEtVXzB_EeDnzc0TyzPVfVUoePY</t>
  </si>
  <si>
    <t>https://drive.google.com/file/d/11fCkFJEtVXzB_EeDnzc0TyzPVfVUoePY/view?usp=drivesdk</t>
  </si>
  <si>
    <t>ENY WAHYUNINGSIH, Amd. Kep</t>
  </si>
  <si>
    <t>wahyuningsihe186@gmail.com</t>
  </si>
  <si>
    <t>967</t>
  </si>
  <si>
    <t>https://drive.google.com/file/d/1RIpLFLD-MVOtBNpVNEhHWGszgmzW9KpG/view?usp=drivesdk</t>
  </si>
  <si>
    <t>1RIpLFLD-MVOtBNpVNEhHWGszgmzW9KpG</t>
  </si>
  <si>
    <t>1j7-BWWU-nBXJ6YkaI98vbWC3myrjujys</t>
  </si>
  <si>
    <t>https://drive.google.com/file/d/1j7-BWWU-nBXJ6YkaI98vbWC3myrjujys/view?usp=drivesdk</t>
  </si>
  <si>
    <t>NI KOMANG SRI ANGGRENI, SH</t>
  </si>
  <si>
    <t>anggreni.marsh@gmail.com</t>
  </si>
  <si>
    <t>968</t>
  </si>
  <si>
    <t>https://drive.google.com/file/d/1a0uPatNQZTXSxDctyEyzLXn_Ojg-BlNV/view?usp=drivesdk</t>
  </si>
  <si>
    <t>1a0uPatNQZTXSxDctyEyzLXn_Ojg-BlNV</t>
  </si>
  <si>
    <t>1Bhp7f2dDvEw2v1LygTvBrsD3VbzcSsf-</t>
  </si>
  <si>
    <t>https://drive.google.com/file/d/1Bhp7f2dDvEw2v1LygTvBrsD3VbzcSsf-/view?usp=drivesdk</t>
  </si>
  <si>
    <t>Document successfully created; Document successfully merged; PDF created; !!Error Sending Emails: Service invoked too many times for one day: email.; Manually run by ecertificate75@gmail.com; Timestamp: Aug 30 2024 11:28 PM</t>
  </si>
  <si>
    <t>NURVIN LILIYANTI, SKM</t>
  </si>
  <si>
    <t>liliyantinurvin@gmail.com</t>
  </si>
  <si>
    <t>969</t>
  </si>
  <si>
    <t>https://drive.google.com/file/d/1fJ02bN-tipDZF9FMPzbHwkACy25mGh4h/view?usp=drivesdk</t>
  </si>
  <si>
    <t>1fJ02bN-tipDZF9FMPzbHwkACy25mGh4h</t>
  </si>
  <si>
    <t>13T9_j5bBDPt7g27bIFrn_kUTdNXiTSk3</t>
  </si>
  <si>
    <t>https://drive.google.com/file/d/13T9_j5bBDPt7g27bIFrn_kUTdNXiTSk3/view?usp=drivesdk</t>
  </si>
  <si>
    <t>TUTUSSARASTI</t>
  </si>
  <si>
    <t>tutussarasti411@gmail.com</t>
  </si>
  <si>
    <t>970</t>
  </si>
  <si>
    <t>https://drive.google.com/file/d/13WSwtbYv5sgUruHNrqECQpCeI66YkE0q/view?usp=drivesdk</t>
  </si>
  <si>
    <t>13WSwtbYv5sgUruHNrqECQpCeI66YkE0q</t>
  </si>
  <si>
    <t>1Ex_rDEhtX2Rbu44CCo26AgXYmzRmJP3c</t>
  </si>
  <si>
    <t>https://drive.google.com/file/d/1Ex_rDEhtX2Rbu44CCo26AgXYmzRmJP3c/view?usp=drivesdk</t>
  </si>
  <si>
    <t>SITI RACHMAWATI SH</t>
  </si>
  <si>
    <t>srachma.2018@gmail.com</t>
  </si>
  <si>
    <t>971</t>
  </si>
  <si>
    <t>https://drive.google.com/file/d/1JbqE1l0IczSwRtVNbLMOALcdoAqZSJnS/view?usp=drivesdk</t>
  </si>
  <si>
    <t>1JbqE1l0IczSwRtVNbLMOALcdoAqZSJnS</t>
  </si>
  <si>
    <t>18g_bZR08WXACP6CpEMvdkpXXoGFPwcRc</t>
  </si>
  <si>
    <t>https://drive.google.com/file/d/18g_bZR08WXACP6CpEMvdkpXXoGFPwcRc/view?usp=drivesdk</t>
  </si>
  <si>
    <t>AUNUR ROSYIDAH</t>
  </si>
  <si>
    <t>aunur.rosyidah@gmail.com</t>
  </si>
  <si>
    <t>972</t>
  </si>
  <si>
    <t>https://drive.google.com/file/d/1kFWPXdJmsa81tJwX4y3pR_8C9W5azDcc/view?usp=drivesdk</t>
  </si>
  <si>
    <t>Document successfully created; Document successfully merged; PDF created; !!Error Sending Emails: Service invoked too many times for one day: email.; Run via form trigger as ecertificate75@gmail.com; Timestamp: Aug 29 2024 8:54 PM</t>
  </si>
  <si>
    <t>1kFWPXdJmsa81tJwX4y3pR_8C9W5azDcc</t>
  </si>
  <si>
    <t>16yfw9XD80_DgzMVNCDqpLeg8q9lUoWwn</t>
  </si>
  <si>
    <t>https://drive.google.com/file/d/16yfw9XD80_DgzMVNCDqpLeg8q9lUoWwn/view?usp=drivesdk</t>
  </si>
  <si>
    <t>NI KADEK PUSPA SARI YANDHI MERTI PUTRI</t>
  </si>
  <si>
    <t>puspaymp@gmail.com</t>
  </si>
  <si>
    <t>973</t>
  </si>
  <si>
    <t>https://drive.google.com/file/d/1LkaVIA6paOE-Eqs4FiHSLGImfH5kn9uh/view?usp=drivesdk</t>
  </si>
  <si>
    <t>1LkaVIA6paOE-Eqs4FiHSLGImfH5kn9uh</t>
  </si>
  <si>
    <t>1kR7Sz0M7aOnPzpszvEChq0i7nKtoJHYm</t>
  </si>
  <si>
    <t>https://drive.google.com/file/d/1kR7Sz0M7aOnPzpszvEChq0i7nKtoJHYm/view?usp=drivesdk</t>
  </si>
  <si>
    <t>DESI INDRIANA PUSPITAWATI, A.Md.Kep</t>
  </si>
  <si>
    <t>desiindriana49789@gmail.com</t>
  </si>
  <si>
    <t>974</t>
  </si>
  <si>
    <t>https://drive.google.com/file/d/1gq2BvBnrfVCNirjWdiyVtDY3TUiDxzfo/view?usp=drivesdk</t>
  </si>
  <si>
    <t>1gq2BvBnrfVCNirjWdiyVtDY3TUiDxzfo</t>
  </si>
  <si>
    <t>1WnnbxI9AsA3aXenm3EYrsNHNoU38WxxJ</t>
  </si>
  <si>
    <t>https://drive.google.com/file/d/1WnnbxI9AsA3aXenm3EYrsNHNoU38WxxJ/view?usp=drivesdk</t>
  </si>
  <si>
    <t>Document successfully created; Document successfully merged; PDF created; !!Error Sending Emails: Service invoked too many times for one day: email.; Manually run by ecertificate75@gmail.com; Timestamp: Aug 30 2024 11:29 PM</t>
  </si>
  <si>
    <t>SETUM POLRI</t>
  </si>
  <si>
    <t xml:space="preserve">PIPIT INDRAWATI </t>
  </si>
  <si>
    <t>pipitindrawati3@gmail.com</t>
  </si>
  <si>
    <t>975</t>
  </si>
  <si>
    <t>https://drive.google.com/file/d/1NV1Mdn-Zt9-7u1Oa7u4QmkdF0-_wEqYJ/view?usp=drivesdk</t>
  </si>
  <si>
    <t>1NV1Mdn-Zt9-7u1Oa7u4QmkdF0-_wEqYJ</t>
  </si>
  <si>
    <t>1pQ4USsC1WbC-u8OvZOOrMS8wQvfTHlib</t>
  </si>
  <si>
    <t>https://drive.google.com/file/d/1pQ4USsC1WbC-u8OvZOOrMS8wQvfTHlib/view?usp=drivesdk</t>
  </si>
  <si>
    <t>dr DONY ASPRIADI S,Kediaman, M.M.</t>
  </si>
  <si>
    <t>dony.aspriadi@gmail.com</t>
  </si>
  <si>
    <t>976</t>
  </si>
  <si>
    <t>https://drive.google.com/file/d/1TA9mujcpEdbeU-R1l8j_3laoIxJ4Qz87/view?usp=drivesdk</t>
  </si>
  <si>
    <t>1TA9mujcpEdbeU-R1l8j_3laoIxJ4Qz87</t>
  </si>
  <si>
    <t>1E9xneMXty7bYvWrroiXO7Sd2QqdBTRLu</t>
  </si>
  <si>
    <t>https://drive.google.com/file/d/1E9xneMXty7bYvWrroiXO7Sd2QqdBTRLu/view?usp=drivesdk</t>
  </si>
  <si>
    <t>UNA NAVALINA, A.Md.AK</t>
  </si>
  <si>
    <t>unanavalina@gmail.com</t>
  </si>
  <si>
    <t>977</t>
  </si>
  <si>
    <t>https://drive.google.com/file/d/1fJ847BBLmDvIZkj6015rL9WnEcTFXG7O/view?usp=drivesdk</t>
  </si>
  <si>
    <t>Document successfully created; Document successfully merged; PDF created; !!Error Sending Emails: Service invoked too many times for one day: email.; Run via form trigger as ecertificate75@gmail.com; Timestamp: Aug 29 2024 8:55 PM</t>
  </si>
  <si>
    <t>1fJ847BBLmDvIZkj6015rL9WnEcTFXG7O</t>
  </si>
  <si>
    <t>1YI-VJj-zZulAB4G9bhf3U757hzJFBUhd</t>
  </si>
  <si>
    <t>https://drive.google.com/file/d/1YI-VJj-zZulAB4G9bhf3U757hzJFBUhd/view?usp=drivesdk</t>
  </si>
  <si>
    <t>KOESHERIANTO</t>
  </si>
  <si>
    <t>koesherianto3@gmail.com</t>
  </si>
  <si>
    <t>978</t>
  </si>
  <si>
    <t>https://drive.google.com/file/d/1NYkqZTvb8iNQl35_1K5ugLqL6gmjpbAI/view?usp=drivesdk</t>
  </si>
  <si>
    <t>1NYkqZTvb8iNQl35_1K5ugLqL6gmjpbAI</t>
  </si>
  <si>
    <t>13z8vilbVgFvmdrSKdoG6t2P7yTGJOSrS</t>
  </si>
  <si>
    <t>https://drive.google.com/file/d/13z8vilbVgFvmdrSKdoG6t2P7yTGJOSrS/view?usp=drivesdk</t>
  </si>
  <si>
    <t>NI WAYAN RASMINI, S.E</t>
  </si>
  <si>
    <t>niwayan.rasmini70@gmail.com</t>
  </si>
  <si>
    <t>979</t>
  </si>
  <si>
    <t>https://drive.google.com/file/d/1yA7BtlWYdCOSuFyWbxuj3fVJ7iP46Ilk/view?usp=drivesdk</t>
  </si>
  <si>
    <t>1yA7BtlWYdCOSuFyWbxuj3fVJ7iP46Ilk</t>
  </si>
  <si>
    <t>1QspekesunY-ot6SV6z2NMhrLKTNGEqfG</t>
  </si>
  <si>
    <t>https://drive.google.com/file/d/1QspekesunY-ot6SV6z2NMhrLKTNGEqfG/view?usp=drivesdk</t>
  </si>
  <si>
    <t>SAEPULLOH BAHRI,S.IP</t>
  </si>
  <si>
    <t>sb9058700@gmail.com</t>
  </si>
  <si>
    <t>980</t>
  </si>
  <si>
    <t>https://drive.google.com/file/d/17hj-SAjK6z7ZyDX4cdwa2BKyA19xFG48/view?usp=drivesdk</t>
  </si>
  <si>
    <t>17hj-SAjK6z7ZyDX4cdwa2BKyA19xFG48</t>
  </si>
  <si>
    <t>1XwoydxUNqQ6QteJhyaNVGQfCyOBq-CTJ</t>
  </si>
  <si>
    <t>https://drive.google.com/file/d/1XwoydxUNqQ6QteJhyaNVGQfCyOBq-CTJ/view?usp=drivesdk</t>
  </si>
  <si>
    <t>DEWI MUSTIKA, SE</t>
  </si>
  <si>
    <t>sekelimus6@gmail.com</t>
  </si>
  <si>
    <t>981</t>
  </si>
  <si>
    <t>https://drive.google.com/file/d/16YwwfN2ZDxpnK1wJmFZQxYXqJF9Hbqo3/view?usp=drivesdk</t>
  </si>
  <si>
    <t>16YwwfN2ZDxpnK1wJmFZQxYXqJF9Hbqo3</t>
  </si>
  <si>
    <t>1NkBiQug-YnvO3F1MkVfIYEF3ytsgntPp</t>
  </si>
  <si>
    <t>https://drive.google.com/file/d/1NkBiQug-YnvO3F1MkVfIYEF3ytsgntPp/view?usp=drivesdk</t>
  </si>
  <si>
    <t>Document successfully created; Document successfully merged; PDF created; !!Error Sending Emails: Service invoked too many times for one day: email.; Manually run by ecertificate75@gmail.com; Timestamp: Aug 30 2024 11:30 PM</t>
  </si>
  <si>
    <t>HERI ZULPANDRA, S.E.,M.S.Ak.</t>
  </si>
  <si>
    <t>herizulpandra@gmail.com</t>
  </si>
  <si>
    <t>982</t>
  </si>
  <si>
    <t>https://drive.google.com/file/d/1Ocs55OzIG1hq43-mtAij469fkp39IHYG/view?usp=drivesdk</t>
  </si>
  <si>
    <t>1Ocs55OzIG1hq43-mtAij469fkp39IHYG</t>
  </si>
  <si>
    <t>1UmcGV53ZZ12cK_Jk8_gJ8oH_jxHAMQY8</t>
  </si>
  <si>
    <t>https://drive.google.com/file/d/1UmcGV53ZZ12cK_Jk8_gJ8oH_jxHAMQY8/view?usp=drivesdk</t>
  </si>
  <si>
    <t>YUYU YULIAWATI</t>
  </si>
  <si>
    <t>yuyuy1671@gmail.com</t>
  </si>
  <si>
    <t>983</t>
  </si>
  <si>
    <t>https://drive.google.com/file/d/12WGpcQ44lltbq0_JN7Cbj6piJnja-Pvw/view?usp=drivesdk</t>
  </si>
  <si>
    <t>12WGpcQ44lltbq0_JN7Cbj6piJnja-Pvw</t>
  </si>
  <si>
    <t>1V2FeDICfwzm9_DcAP5kOZ7QEHTMgUTro</t>
  </si>
  <si>
    <t>https://drive.google.com/file/d/1V2FeDICfwzm9_DcAP5kOZ7QEHTMgUTro/view?usp=drivesdk</t>
  </si>
  <si>
    <t>WIJI LILANIATI</t>
  </si>
  <si>
    <t>wijililaniati67@gmail.com</t>
  </si>
  <si>
    <t>984</t>
  </si>
  <si>
    <t>Starting at Thu Aug 29 2024 20:53:22 GMT-0400 (EDT)</t>
  </si>
  <si>
    <t>1GDLL_2zAN_PNAW5hzljOUUVNq6iPtOY1</t>
  </si>
  <si>
    <t>https://drive.google.com/file/d/1GDLL_2zAN_PNAW5hzljOUUVNq6iPtOY1/view?usp=drivesdk</t>
  </si>
  <si>
    <t>DEVI AGUSTIN ENDRIANA</t>
  </si>
  <si>
    <t>deviagustin2009@gmail.com</t>
  </si>
  <si>
    <t>985</t>
  </si>
  <si>
    <t>https://drive.google.com/file/d/1SDWhTzjosOwGxBZjD2TNnEsCpruyd-Cf/view?usp=drivesdk</t>
  </si>
  <si>
    <t>1SDWhTzjosOwGxBZjD2TNnEsCpruyd-Cf</t>
  </si>
  <si>
    <t>1u3DRvvoNZN8lYOwGmDcgGqxQnrFlxD29</t>
  </si>
  <si>
    <t>https://drive.google.com/file/d/1u3DRvvoNZN8lYOwGmDcgGqxQnrFlxD29/view?usp=drivesdk</t>
  </si>
  <si>
    <t>CHANDRA WIYONO</t>
  </si>
  <si>
    <t>chandrawiyono69@gmail.com</t>
  </si>
  <si>
    <t>986</t>
  </si>
  <si>
    <t>https://drive.google.com/file/d/1kDdkAtd2SvTjurAZErks1Bej_ghhX-C0/view?usp=drivesdk</t>
  </si>
  <si>
    <t>1kDdkAtd2SvTjurAZErks1Bej_ghhX-C0</t>
  </si>
  <si>
    <t>1xwHrRelXqBNjbciTiC0OM36US_NOsfmJ</t>
  </si>
  <si>
    <t>https://drive.google.com/file/d/1xwHrRelXqBNjbciTiC0OM36US_NOsfmJ/view?usp=drivesdk</t>
  </si>
  <si>
    <t>RIZA HERMAYA PUTRI, AMD.KEB</t>
  </si>
  <si>
    <t>rizahermayaputri2018@gmail.com</t>
  </si>
  <si>
    <t>987</t>
  </si>
  <si>
    <t>https://drive.google.com/file/d/1BU2MPdWubYzbHqQVfpWcvEqAsrJS5BX5/view?usp=drivesdk</t>
  </si>
  <si>
    <t>1BU2MPdWubYzbHqQVfpWcvEqAsrJS5BX5</t>
  </si>
  <si>
    <t>1hqcvQd3JdLH8M4zex1qs4tHlF6XmXpPh</t>
  </si>
  <si>
    <t>https://drive.google.com/file/d/1hqcvQd3JdLH8M4zex1qs4tHlF6XmXpPh/view?usp=drivesdk</t>
  </si>
  <si>
    <t>Document successfully created; Document successfully merged; PDF created; !!Error Sending Emails: Service invoked too many times for one day: email.; Manually run by ecertificate75@gmail.com; Timestamp: Aug 30 2024 11:31 PM</t>
  </si>
  <si>
    <t xml:space="preserve">IWAN ADI PRIYONO </t>
  </si>
  <si>
    <t>iwanbms73@gmail.com</t>
  </si>
  <si>
    <t>988</t>
  </si>
  <si>
    <t>https://drive.google.com/file/d/1BjDob5h0JpwfTfRw0_zyAA-bnF39fySu/view?usp=drivesdk</t>
  </si>
  <si>
    <t>1BjDob5h0JpwfTfRw0_zyAA-bnF39fySu</t>
  </si>
  <si>
    <t>1tOxX4YC4czEZFaNJdfjjraT3p7pL8UdU</t>
  </si>
  <si>
    <t>https://drive.google.com/file/d/1tOxX4YC4czEZFaNJdfjjraT3p7pL8UdU/view?usp=drivesdk</t>
  </si>
  <si>
    <t>GUNTUR PRIYO JATMIKO, S.E., M.M.</t>
  </si>
  <si>
    <t>gunturjatmiko25@gmail.com</t>
  </si>
  <si>
    <t>989</t>
  </si>
  <si>
    <t>https://drive.google.com/file/d/1u7gpCLt-A2c8bKf7WTWIrw4DSTnmqhcz/view?usp=drivesdk</t>
  </si>
  <si>
    <t>1u7gpCLt-A2c8bKf7WTWIrw4DSTnmqhcz</t>
  </si>
  <si>
    <t>1B48ht8shW3Oul0NlX7nirOD8D7_veOUp</t>
  </si>
  <si>
    <t>https://drive.google.com/file/d/1B48ht8shW3Oul0NlX7nirOD8D7_veOUp/view?usp=drivesdk</t>
  </si>
  <si>
    <t>LIA ALAWIYAH, A.Md.Gz</t>
  </si>
  <si>
    <t>liaalawiyah24@gmail.com</t>
  </si>
  <si>
    <t>990</t>
  </si>
  <si>
    <t>https://drive.google.com/file/d/17S2m69BSGfA7boLQwTFh6w7NryRS8-5w/view?usp=drivesdk</t>
  </si>
  <si>
    <t>17S2m69BSGfA7boLQwTFh6w7NryRS8-5w</t>
  </si>
  <si>
    <t>1VQ6jJutnaW3LvZ2Vav7Ve3734gWYpx7c</t>
  </si>
  <si>
    <t>https://drive.google.com/file/d/1VQ6jJutnaW3LvZ2Vav7Ve3734gWYpx7c/view?usp=drivesdk</t>
  </si>
  <si>
    <t>SRI PUJI NURYANINGSIH</t>
  </si>
  <si>
    <t>sripuji28371@gmail.com</t>
  </si>
  <si>
    <t>991</t>
  </si>
  <si>
    <t>https://drive.google.com/file/d/156u0Qj99f8sqRmjVmXQ_PkMdf4q-CS2S/view?usp=drivesdk</t>
  </si>
  <si>
    <t>156u0Qj99f8sqRmjVmXQ_PkMdf4q-CS2S</t>
  </si>
  <si>
    <t>1Kgbi5zGJjzh3F0iVXwqOamKpVzfglSA4</t>
  </si>
  <si>
    <t>https://drive.google.com/file/d/1Kgbi5zGJjzh3F0iVXwqOamKpVzfglSA4/view?usp=drivesdk</t>
  </si>
  <si>
    <t xml:space="preserve">BUDI HENDRIYANTO </t>
  </si>
  <si>
    <t>cepboim@gmail.com</t>
  </si>
  <si>
    <t>992</t>
  </si>
  <si>
    <t>https://drive.google.com/file/d/1DCwluSRWKYi9aHthWXJiRvXNFwnLIHzg/view?usp=drivesdk</t>
  </si>
  <si>
    <t>1DCwluSRWKYi9aHthWXJiRvXNFwnLIHzg</t>
  </si>
  <si>
    <t>1cvHlzzuZ5e09_7d1Ud--PvCHgL9DbBR3</t>
  </si>
  <si>
    <t>https://drive.google.com/file/d/1cvHlzzuZ5e09_7d1Ud--PvCHgL9DbBR3/view?usp=drivesdk</t>
  </si>
  <si>
    <t xml:space="preserve">REKA APRIALIANTI </t>
  </si>
  <si>
    <t>rekaaprialianti@gmail.com</t>
  </si>
  <si>
    <t>993</t>
  </si>
  <si>
    <t>https://drive.google.com/file/d/1BjvIJGwZT1sivG__vwZ45LX8usrTyFOy/view?usp=drivesdk</t>
  </si>
  <si>
    <t>1BjvIJGwZT1sivG__vwZ45LX8usrTyFOy</t>
  </si>
  <si>
    <t>1FQ9HxsgcAHtw0P0kQdZAA_0qFQ9RpPXp</t>
  </si>
  <si>
    <t>https://drive.google.com/file/d/1FQ9HxsgcAHtw0P0kQdZAA_0qFQ9RpPXp/view?usp=drivesdk</t>
  </si>
  <si>
    <t>Document successfully created; Document successfully merged; PDF created; !!Error Sending Emails: Service invoked too many times for one day: email.; Manually run by ecertificate75@gmail.com; Timestamp: Aug 30 2024 11:32 PM</t>
  </si>
  <si>
    <t>WIDIYANTI CESILYA DIN PATTY, AMd</t>
  </si>
  <si>
    <t>wcesilia@gmail.com</t>
  </si>
  <si>
    <t>994</t>
  </si>
  <si>
    <t>https://drive.google.com/file/d/1nCdBfKqwJDtDlH4ZXjoe-Zi_KmwK7Vj-/view?usp=drivesdk</t>
  </si>
  <si>
    <t>1nCdBfKqwJDtDlH4ZXjoe-Zi_KmwK7Vj-</t>
  </si>
  <si>
    <t>1F8sVE672ytPkKIIUiuiib9SKgsMS0Ha3</t>
  </si>
  <si>
    <t>https://drive.google.com/file/d/1F8sVE672ytPkKIIUiuiib9SKgsMS0Ha3/view?usp=drivesdk</t>
  </si>
  <si>
    <t>ERNI SETYAWATI</t>
  </si>
  <si>
    <t>ernisetyawati2@gmail.com</t>
  </si>
  <si>
    <t>995</t>
  </si>
  <si>
    <t>https://drive.google.com/file/d/17mAmo0Iy1F9k11TxS8_NwkP_YxHLR3dT/view?usp=drivesdk</t>
  </si>
  <si>
    <t>17mAmo0Iy1F9k11TxS8_NwkP_YxHLR3dT</t>
  </si>
  <si>
    <t>17__yzE1pvNdrrUAe8YTomjPnnVfnPu5g</t>
  </si>
  <si>
    <t>https://drive.google.com/file/d/17__yzE1pvNdrrUAe8YTomjPnnVfnPu5g/view?usp=drivesdk</t>
  </si>
  <si>
    <t>ROMI MEILANADA</t>
  </si>
  <si>
    <t>blackyromeo@gmail.com</t>
  </si>
  <si>
    <t>996</t>
  </si>
  <si>
    <t>https://drive.google.com/file/d/1cnP4saNdGt667_52_1X6hE_S_lybVp1E/view?usp=drivesdk</t>
  </si>
  <si>
    <t>1cnP4saNdGt667_52_1X6hE_S_lybVp1E</t>
  </si>
  <si>
    <t>1b4gI321duj9VbL9ERbFYjZ1b7cMAsH8f</t>
  </si>
  <si>
    <t>https://drive.google.com/file/d/1b4gI321duj9VbL9ERbFYjZ1b7cMAsH8f/view?usp=drivesdk</t>
  </si>
  <si>
    <t>MIKE INDRIATI RUSITA</t>
  </si>
  <si>
    <t>mikeindriyati6768@gmail.com</t>
  </si>
  <si>
    <t>997</t>
  </si>
  <si>
    <t>https://drive.google.com/file/d/1pnCUMaVMR0u7sHz57d0-rJKDlA5t3hqr/view?usp=drivesdk</t>
  </si>
  <si>
    <t>1pnCUMaVMR0u7sHz57d0-rJKDlA5t3hqr</t>
  </si>
  <si>
    <t>1rc4RLX6oh9upXzFpSdy2B9CYkOHPs0lT</t>
  </si>
  <si>
    <t>https://drive.google.com/file/d/1rc4RLX6oh9upXzFpSdy2B9CYkOHPs0lT/view?usp=drivesdk</t>
  </si>
  <si>
    <t>SISKA ARIESTYAWATI, S.KOM, M.M.</t>
  </si>
  <si>
    <t>sizca.ariestya@gmail.com</t>
  </si>
  <si>
    <t>998</t>
  </si>
  <si>
    <t>https://drive.google.com/file/d/1BiJ15BdNd9JW6R9CYpasHllXzCn-kL0V/view?usp=drivesdk</t>
  </si>
  <si>
    <t>1BiJ15BdNd9JW6R9CYpasHllXzCn-kL0V</t>
  </si>
  <si>
    <t>1xHnMuDhQTHNEbeJkOhEfBYHTcj0_HQJF</t>
  </si>
  <si>
    <t>https://drive.google.com/file/d/1xHnMuDhQTHNEbeJkOhEfBYHTcj0_HQJF/view?usp=drivesdk</t>
  </si>
  <si>
    <t>Document successfully created; Document successfully merged; PDF created; !!Error Sending Emails: Service invoked too many times for one day: email.; Manually run by ecertificate75@gmail.com; Timestamp: Aug 30 2024 11:33 PM</t>
  </si>
  <si>
    <t>KADEK SRI PARWATI,S.K.M.,M.Ikom</t>
  </si>
  <si>
    <t>kadekparwati4@gmail.com</t>
  </si>
  <si>
    <t>999</t>
  </si>
  <si>
    <t>https://drive.google.com/file/d/1bGw8LskpLZxj96TuTcRtEdfLhzfp1f_Z/view?usp=drivesdk</t>
  </si>
  <si>
    <t>1bGw8LskpLZxj96TuTcRtEdfLhzfp1f_Z</t>
  </si>
  <si>
    <t>15TIYAvVgE8wLlM7lXPd7UEIKpL0kVdcN</t>
  </si>
  <si>
    <t>https://drive.google.com/file/d/15TIYAvVgE8wLlM7lXPd7UEIKpL0kVdcN/view?usp=drivesdk</t>
  </si>
  <si>
    <t>RAHAYU WINANTI, SH</t>
  </si>
  <si>
    <t>r.winanti@gmail.com</t>
  </si>
  <si>
    <t>1000</t>
  </si>
  <si>
    <t>https://drive.google.com/file/d/1bkkVATQQ2iy73u_UDgDDbRbe7bepNsmY/view?usp=drivesdk</t>
  </si>
  <si>
    <t>1bkkVATQQ2iy73u_UDgDDbRbe7bepNsmY</t>
  </si>
  <si>
    <t>1WETmgJwucQZmZDCPu90lMsbmxKw_l7R3</t>
  </si>
  <si>
    <t>https://drive.google.com/file/d/1WETmgJwucQZmZDCPu90lMsbmxKw_l7R3/view?usp=drivesdk</t>
  </si>
  <si>
    <t xml:space="preserve">DENIK OKTANINGRUM </t>
  </si>
  <si>
    <t>nickroem27@gmail.com</t>
  </si>
  <si>
    <t>1001</t>
  </si>
  <si>
    <t>https://drive.google.com/file/d/1z2qV-NGDxg9B-Q-qTaQK6SusDoyUnjQn/view?usp=drivesdk</t>
  </si>
  <si>
    <t>1z2qV-NGDxg9B-Q-qTaQK6SusDoyUnjQn</t>
  </si>
  <si>
    <t>1-ScCTwcZyY2fDARZcxL7cXJl_purbwFu</t>
  </si>
  <si>
    <t>https://drive.google.com/file/d/1-ScCTwcZyY2fDARZcxL7cXJl_purbwFu/view?usp=drivesdk</t>
  </si>
  <si>
    <t>SRI ANDARWATI</t>
  </si>
  <si>
    <t>sriandarwati087@gmail.com</t>
  </si>
  <si>
    <t>1002</t>
  </si>
  <si>
    <t>https://drive.google.com/file/d/1dVqmzsngb2oH_tAcX9R_FyfMgvzK9Z2k/view?usp=drivesdk</t>
  </si>
  <si>
    <t>1dVqmzsngb2oH_tAcX9R_FyfMgvzK9Z2k</t>
  </si>
  <si>
    <t>1r91Fyf8os3DhTluzunxKrNifBHU-VI_g</t>
  </si>
  <si>
    <t>https://drive.google.com/file/d/1r91Fyf8os3DhTluzunxKrNifBHU-VI_g/view?usp=drivesdk</t>
  </si>
  <si>
    <t>RIBUT SRIWAHYUNI</t>
  </si>
  <si>
    <t>noizwy@gmail.com</t>
  </si>
  <si>
    <t>1003</t>
  </si>
  <si>
    <t>https://drive.google.com/file/d/1tk4K7QaGlJjneo7azb8rd__0xhMMe5__/view?usp=drivesdk</t>
  </si>
  <si>
    <t>1tk4K7QaGlJjneo7azb8rd__0xhMMe5__</t>
  </si>
  <si>
    <t>1Id6SprTzJ4IBUZm3CBXZYROJqq0iVsis</t>
  </si>
  <si>
    <t>https://drive.google.com/file/d/1Id6SprTzJ4IBUZm3CBXZYROJqq0iVsis/view?usp=drivesdk</t>
  </si>
  <si>
    <t>Document successfully created; Document successfully merged; PDF created; !!Error Sending Emails: Service invoked too many times for one day: email.; Manually run by ecertificate75@gmail.com; Timestamp: Aug 30 2024 11:34 PM</t>
  </si>
  <si>
    <t>RITA SURYOWATI</t>
  </si>
  <si>
    <t>ritasuryowati@gmail.com</t>
  </si>
  <si>
    <t>1004</t>
  </si>
  <si>
    <t>Starting at Thu Aug 29 2024 20:53:37 GMT-0400 (EDT)</t>
  </si>
  <si>
    <t>1sINkFMDhT62K1gGExQv54IJkwxUW3r0T</t>
  </si>
  <si>
    <t>https://drive.google.com/file/d/1sINkFMDhT62K1gGExQv54IJkwxUW3r0T/view?usp=drivesdk</t>
  </si>
  <si>
    <t>HARI PUJI ASTUTIK</t>
  </si>
  <si>
    <t>fathiyatantik@gmail.con</t>
  </si>
  <si>
    <t>1005</t>
  </si>
  <si>
    <t>11eGUF5LgJ1_G_ISb5OWG_P66qKYwYc4Q</t>
  </si>
  <si>
    <t>https://drive.google.com/file/d/11eGUF5LgJ1_G_ISb5OWG_P66qKYwYc4Q/view?usp=drivesdk</t>
  </si>
  <si>
    <t>FANNY GUSTANTI</t>
  </si>
  <si>
    <t>fanny.gustanti14@gmail.com</t>
  </si>
  <si>
    <t>1006</t>
  </si>
  <si>
    <t>1ODwp-t0c2xwqbiNCcbkpCewj_a-_Gb9S</t>
  </si>
  <si>
    <t>https://drive.google.com/file/d/1ODwp-t0c2xwqbiNCcbkpCewj_a-_Gb9S/view?usp=drivesdk</t>
  </si>
  <si>
    <t>SITO RUKMI PRATIWI,SE</t>
  </si>
  <si>
    <t>sitorukmipratiwi.srp@gmail.com</t>
  </si>
  <si>
    <t>1007</t>
  </si>
  <si>
    <t>1ovIYe8raWdO5u__eV_EAyCU-VIf9qpMs</t>
  </si>
  <si>
    <t>https://drive.google.com/file/d/1ovIYe8raWdO5u__eV_EAyCU-VIf9qpMs/view?usp=drivesdk</t>
  </si>
  <si>
    <t>DAVID RIO SAPUTRA, AMK</t>
  </si>
  <si>
    <t>davidsaputra180215@gmail.com</t>
  </si>
  <si>
    <t>1008</t>
  </si>
  <si>
    <t>1HIfvj4Pr_TaS-Yb6uTLGyNfLr35UBa7e</t>
  </si>
  <si>
    <t>https://drive.google.com/file/d/1HIfvj4Pr_TaS-Yb6uTLGyNfLr35UBa7e/view?usp=drivesdk</t>
  </si>
  <si>
    <t>TUTIK HANDAYANI</t>
  </si>
  <si>
    <t>tutikhandayani152@gmail.com</t>
  </si>
  <si>
    <t>1009</t>
  </si>
  <si>
    <t>https://drive.google.com/file/d/1QNLnH8j1mckhnf8-d-3aHCcf9I7kVNMu/view?usp=drivesdk</t>
  </si>
  <si>
    <t>1QNLnH8j1mckhnf8-d-3aHCcf9I7kVNMu</t>
  </si>
  <si>
    <t>10BY9bpfINXHreIwSLgT2RVFBI7uAKiKV</t>
  </si>
  <si>
    <t>https://drive.google.com/file/d/10BY9bpfINXHreIwSLgT2RVFBI7uAKiKV/view?usp=drivesdk</t>
  </si>
  <si>
    <t>Document successfully created; Document successfully merged; PDF created; !!Error Sending Emails: Service invoked too many times for one day: email.; Manually run by ecertificate75@gmail.com; Timestamp: Aug 30 2024 11:35 PM</t>
  </si>
  <si>
    <t>YAYUK DAMAYANTI</t>
  </si>
  <si>
    <t>nurainisyua@gmail.com</t>
  </si>
  <si>
    <t>1010</t>
  </si>
  <si>
    <t>https://drive.google.com/file/d/15jj9w1eFVQHHJk_ANqpgZ_1cTFjUljeE/view?usp=drivesdk</t>
  </si>
  <si>
    <t>15jj9w1eFVQHHJk_ANqpgZ_1cTFjUljeE</t>
  </si>
  <si>
    <t>137E09a3aE3uZhk6ly6_FsDpnhpmyJJFX</t>
  </si>
  <si>
    <t>https://drive.google.com/file/d/137E09a3aE3uZhk6ly6_FsDpnhpmyJJFX/view?usp=drivesdk</t>
  </si>
  <si>
    <t>WAHYUDI DWI PURWANTO</t>
  </si>
  <si>
    <t>yudhitanjung73@gmail.com</t>
  </si>
  <si>
    <t>1011</t>
  </si>
  <si>
    <t>https://drive.google.com/file/d/1FW1EHbfe5yD8ZdTOlU2viUhrC8t0W6NI/view?usp=drivesdk</t>
  </si>
  <si>
    <t>1FW1EHbfe5yD8ZdTOlU2viUhrC8t0W6NI</t>
  </si>
  <si>
    <t>1VWQSqjmtJzJsLSFvCZnMJwnViYZzOiIy</t>
  </si>
  <si>
    <t>https://drive.google.com/file/d/1VWQSqjmtJzJsLSFvCZnMJwnViYZzOiIy/view?usp=drivesdk</t>
  </si>
  <si>
    <t>YANI SURYANI,Amd.Kep</t>
  </si>
  <si>
    <t>ysuryani0522@gmail.com</t>
  </si>
  <si>
    <t>1012</t>
  </si>
  <si>
    <t>https://drive.google.com/file/d/19UIaCf59I1VQveD2GkjcaXfoL6AjMk74/view?usp=drivesdk</t>
  </si>
  <si>
    <t>19UIaCf59I1VQveD2GkjcaXfoL6AjMk74</t>
  </si>
  <si>
    <t>1RPNnSnQeCDeKRxgPOlJLf59IzqyUVFUc</t>
  </si>
  <si>
    <t>https://drive.google.com/file/d/1RPNnSnQeCDeKRxgPOlJLf59IzqyUVFUc/view?usp=drivesdk</t>
  </si>
  <si>
    <t>DEWA AYU PUTU DEWI SUMANTRI, A.Md.Kep</t>
  </si>
  <si>
    <t>gek.sumantri@gmail.com</t>
  </si>
  <si>
    <t>1013</t>
  </si>
  <si>
    <t>https://drive.google.com/file/d/1Nwm0qhvQ6bZXeO0_m5fxKH5Enu42KLzJ/view?usp=drivesdk</t>
  </si>
  <si>
    <t>1Nwm0qhvQ6bZXeO0_m5fxKH5Enu42KLzJ</t>
  </si>
  <si>
    <t>1ufKjWO6kOwjJKZY8B7Bp9zSjtIxpHBBS</t>
  </si>
  <si>
    <t>https://drive.google.com/file/d/1ufKjWO6kOwjJKZY8B7Bp9zSjtIxpHBBS/view?usp=drivesdk</t>
  </si>
  <si>
    <t>YULLY IDAYANTI HIDAYAT,SKM., M.Si.</t>
  </si>
  <si>
    <t>yully17.yh@gmail.com</t>
  </si>
  <si>
    <t>1014</t>
  </si>
  <si>
    <t>https://drive.google.com/file/d/15afSriXXaJXkSM2ssYUkEeLaOura0lKr/view?usp=drivesdk</t>
  </si>
  <si>
    <t>15afSriXXaJXkSM2ssYUkEeLaOura0lKr</t>
  </si>
  <si>
    <t>1LSdxH3HRnJF4Ax_Y0qofQH1m7s0--8sG</t>
  </si>
  <si>
    <t>https://drive.google.com/file/d/1LSdxH3HRnJF4Ax_Y0qofQH1m7s0--8sG/view?usp=drivesdk</t>
  </si>
  <si>
    <t>BAMBANG TRIONO</t>
  </si>
  <si>
    <t>bambangtriono1970@gmail.com</t>
  </si>
  <si>
    <t>1015</t>
  </si>
  <si>
    <t>https://drive.google.com/file/d/1p8bWbTKCinW9R74AAyvQd9pk9-PNG_PZ/view?usp=drivesdk</t>
  </si>
  <si>
    <t>1p8bWbTKCinW9R74AAyvQd9pk9-PNG_PZ</t>
  </si>
  <si>
    <t>1afH4OgbFUN1aSdTo0wVYb5v95VTDEgSq</t>
  </si>
  <si>
    <t>https://drive.google.com/file/d/1afH4OgbFUN1aSdTo0wVYb5v95VTDEgSq/view?usp=drivesdk</t>
  </si>
  <si>
    <t>Document successfully created; Document successfully merged; PDF created; !!Error Sending Emails: Service invoked too many times for one day: email.; Manually run by ecertificate75@gmail.com; Timestamp: Aug 30 2024 11:36 PM</t>
  </si>
  <si>
    <t>WAHYU SOLAEKA, S.T., M.M.</t>
  </si>
  <si>
    <t>perencanaanpacitan@gmail.com</t>
  </si>
  <si>
    <t>1016</t>
  </si>
  <si>
    <t>https://drive.google.com/file/d/12Tu-s3XPNW1O4RGYuvo7Rf3lfjvPZNDX/view?usp=drivesdk</t>
  </si>
  <si>
    <t>12Tu-s3XPNW1O4RGYuvo7Rf3lfjvPZNDX</t>
  </si>
  <si>
    <t>1Lg0x-7wgnl05h-ZW1OYgmbOEDKcAmbJu</t>
  </si>
  <si>
    <t>https://drive.google.com/file/d/1Lg0x-7wgnl05h-ZW1OYgmbOEDKcAmbJu/view?usp=drivesdk</t>
  </si>
  <si>
    <t>LUCIA PUTRIAWANI, A.MD., FAR</t>
  </si>
  <si>
    <t>luciaputriawani91@gmail.com</t>
  </si>
  <si>
    <t>1017</t>
  </si>
  <si>
    <t>https://drive.google.com/file/d/107fX4lc3GPPVWwaDsOYdoSuXsbStdQvs/view?usp=drivesdk</t>
  </si>
  <si>
    <t>107fX4lc3GPPVWwaDsOYdoSuXsbStdQvs</t>
  </si>
  <si>
    <t>1o7bVXHFCafXg0mu1yko2Z-wa6yfK6_Gi</t>
  </si>
  <si>
    <t>https://drive.google.com/file/d/1o7bVXHFCafXg0mu1yko2Z-wa6yfK6_Gi/view?usp=drivesdk</t>
  </si>
  <si>
    <t>AGUNG TRIADI PRABOWO</t>
  </si>
  <si>
    <t>agungtriadiyanma@gmail.com</t>
  </si>
  <si>
    <t>1018</t>
  </si>
  <si>
    <t>https://drive.google.com/file/d/1-sOjD__Ckwf4glr6wsXbrRqtG-d1FcqK/view?usp=drivesdk</t>
  </si>
  <si>
    <t>1-sOjD__Ckwf4glr6wsXbrRqtG-d1FcqK</t>
  </si>
  <si>
    <t>1kTTxFQURlSSp_5yDZqiKTQWCpsnhGk7L</t>
  </si>
  <si>
    <t>https://drive.google.com/file/d/1kTTxFQURlSSp_5yDZqiKTQWCpsnhGk7L/view?usp=drivesdk</t>
  </si>
  <si>
    <t>NURHAYATIIIIII</t>
  </si>
  <si>
    <t>khanza.annisa2@gmail.com</t>
  </si>
  <si>
    <t>1019</t>
  </si>
  <si>
    <t>https://drive.google.com/file/d/1Twu1EmVYMqqNumUBCYFYEFqPbNCkInb2/view?usp=drivesdk</t>
  </si>
  <si>
    <t>1Twu1EmVYMqqNumUBCYFYEFqPbNCkInb2</t>
  </si>
  <si>
    <t>1SilTYJ5wxzb4smg9YmRseYMmjgp3pUM_</t>
  </si>
  <si>
    <t>https://drive.google.com/file/d/1SilTYJ5wxzb4smg9YmRseYMmjgp3pUM_/view?usp=drivesdk</t>
  </si>
  <si>
    <t>PRATIWI PURWANTO, A.MD.KES</t>
  </si>
  <si>
    <t>0125pratiwipp@gmail.com</t>
  </si>
  <si>
    <t>1020</t>
  </si>
  <si>
    <t>https://drive.google.com/file/d/1a4YGBRDkxpiLbSyCsS9kJgjdQIvjfji9/view?usp=drivesdk</t>
  </si>
  <si>
    <t>1a4YGBRDkxpiLbSyCsS9kJgjdQIvjfji9</t>
  </si>
  <si>
    <t>1-hU0LDhAALwpREvXI2Ctrk59pNkPPen1</t>
  </si>
  <si>
    <t>https://drive.google.com/file/d/1-hU0LDhAALwpREvXI2Ctrk59pNkPPen1/view?usp=drivesdk</t>
  </si>
  <si>
    <t>PENDA TK. I SRI ANDAYANI</t>
  </si>
  <si>
    <t>sriandayaniditlantaskaltim@gmail.com</t>
  </si>
  <si>
    <t>1021</t>
  </si>
  <si>
    <t>https://drive.google.com/file/d/1DkToMCmmx0FLT-fAC0vuwa-Tnjpl4rWu/view?usp=drivesdk</t>
  </si>
  <si>
    <t>1DkToMCmmx0FLT-fAC0vuwa-Tnjpl4rWu</t>
  </si>
  <si>
    <t>1j96UzAENcJB5xvJBES_uQxgkIA0Yu8zK</t>
  </si>
  <si>
    <t>https://drive.google.com/file/d/1j96UzAENcJB5xvJBES_uQxgkIA0Yu8zK/view?usp=drivesdk</t>
  </si>
  <si>
    <t>Document successfully created; Document successfully merged; PDF created; !!Error Sending Emails: Service invoked too many times for one day: email.; Manually run by ecertificate75@gmail.com; Timestamp: Aug 30 2024 11:37 PM</t>
  </si>
  <si>
    <t>ABDULRIAJIN AMD.KEP</t>
  </si>
  <si>
    <t>abdulriajin@gmail.com</t>
  </si>
  <si>
    <t>1022</t>
  </si>
  <si>
    <t>Starting at Thu Aug 29 2024 20:53:50 GMT-0400 (EDT)</t>
  </si>
  <si>
    <t>1y6OQlJLszUtkEWSJwVJHol1z_UYA11tT</t>
  </si>
  <si>
    <t>https://drive.google.com/file/d/1y6OQlJLszUtkEWSJwVJHol1z_UYA11tT/view?usp=drivesdk</t>
  </si>
  <si>
    <t>SANIRAH DIPLOMA III</t>
  </si>
  <si>
    <t>sanirahspn@gmail.com</t>
  </si>
  <si>
    <t>1023</t>
  </si>
  <si>
    <t>1ZfqN9sTPk5cV1p0Rur08b-nn9m8JUQII</t>
  </si>
  <si>
    <t>https://drive.google.com/file/d/1ZfqN9sTPk5cV1p0Rur08b-nn9m8JUQII/view?usp=drivesdk</t>
  </si>
  <si>
    <t>INDRI HAFSARY, A.Md.Kep</t>
  </si>
  <si>
    <t>indri.hafsary@gmail.com</t>
  </si>
  <si>
    <t>1024</t>
  </si>
  <si>
    <t>https://drive.google.com/file/d/1FEQRqgZnnf0G5Yy5r0YANh8CKLyFntxz/view?usp=drivesdk</t>
  </si>
  <si>
    <t>1FEQRqgZnnf0G5Yy5r0YANh8CKLyFntxz</t>
  </si>
  <si>
    <t>1n6md4d6hb0sivP-fuBnsRHMEIyVx5YiU</t>
  </si>
  <si>
    <t>https://drive.google.com/file/d/1n6md4d6hb0sivP-fuBnsRHMEIyVx5YiU/view?usp=drivesdk</t>
  </si>
  <si>
    <t>PERTIWI SISWANDARI</t>
  </si>
  <si>
    <t>tinuk1970@gmail.com</t>
  </si>
  <si>
    <t>1025</t>
  </si>
  <si>
    <t>https://drive.google.com/file/d/148xbkxH2sBItRecW7Asu7DT7CLSt91Ls/view?usp=drivesdk</t>
  </si>
  <si>
    <t>148xbkxH2sBItRecW7Asu7DT7CLSt91Ls</t>
  </si>
  <si>
    <t>1Q3cIzQfTQICBBhzsoAseMpWU4yMozSlL</t>
  </si>
  <si>
    <t>https://drive.google.com/file/d/1Q3cIzQfTQICBBhzsoAseMpWU4yMozSlL/view?usp=drivesdk</t>
  </si>
  <si>
    <t>POLDA SUMUT</t>
  </si>
  <si>
    <t>MARIA GORETTY SIGALINGGING</t>
  </si>
  <si>
    <t>davina84.dm@gmail.com</t>
  </si>
  <si>
    <t>1026</t>
  </si>
  <si>
    <t>https://drive.google.com/file/d/1vG4aOG704YQIe50usdtjzWs1_G5jKb6A/view?usp=drivesdk</t>
  </si>
  <si>
    <t>1vG4aOG704YQIe50usdtjzWs1_G5jKb6A</t>
  </si>
  <si>
    <t>1FVj6no-Qa4pZphPDvYqXnMbKjx_OWiKh</t>
  </si>
  <si>
    <t>https://drive.google.com/file/d/1FVj6no-Qa4pZphPDvYqXnMbKjx_OWiKh/view?usp=drivesdk</t>
  </si>
  <si>
    <t>PENDA IDA WAHYUNI</t>
  </si>
  <si>
    <t>ida220275@gmail.com</t>
  </si>
  <si>
    <t>1027</t>
  </si>
  <si>
    <t>https://drive.google.com/file/d/128PSveUjMUwvuiRXxIcEdjOnOmsHjU1O/view?usp=drivesdk</t>
  </si>
  <si>
    <t>128PSveUjMUwvuiRXxIcEdjOnOmsHjU1O</t>
  </si>
  <si>
    <t>1-anORtBVcQf0DsaM4oOgBMCt1mtDpSG6</t>
  </si>
  <si>
    <t>https://drive.google.com/file/d/1-anORtBVcQf0DsaM4oOgBMCt1mtDpSG6/view?usp=drivesdk</t>
  </si>
  <si>
    <t>Document successfully created; Document successfully merged; PDF created; !!Error Sending Emails: Service invoked too many times for one day: email.; Manually run by ecertificate75@gmail.com; Timestamp: Aug 30 2024 11:38 PM</t>
  </si>
  <si>
    <t>AGUSTINA NAHAR</t>
  </si>
  <si>
    <t>agustina190305@gmail.id.com</t>
  </si>
  <si>
    <t>1028</t>
  </si>
  <si>
    <t>https://drive.google.com/file/d/1wCmyewTuvO9CUP46LZ0pWg173aY8mZoZ/view?usp=drivesdk</t>
  </si>
  <si>
    <t>1wCmyewTuvO9CUP46LZ0pWg173aY8mZoZ</t>
  </si>
  <si>
    <t>1X5NwbYMNjEfUz82n3OrOpZedS5slmkia</t>
  </si>
  <si>
    <t>https://drive.google.com/file/d/1X5NwbYMNjEfUz82n3OrOpZedS5slmkia/view?usp=drivesdk</t>
  </si>
  <si>
    <t>MUHAMMAD TIKO NOVIAN, S.H., M.M.</t>
  </si>
  <si>
    <t>AIPDA</t>
  </si>
  <si>
    <t>mtikkoe83@gmail.com</t>
  </si>
  <si>
    <t>1029</t>
  </si>
  <si>
    <t>https://drive.google.com/file/d/1QP9_w7C46oE8uMTxDgV2nBqbV3jFHaW4/view?usp=drivesdk</t>
  </si>
  <si>
    <t>1QP9_w7C46oE8uMTxDgV2nBqbV3jFHaW4</t>
  </si>
  <si>
    <t>1lFzQ26MdX87dFNf9YU0qwS6kMsvhcqBD</t>
  </si>
  <si>
    <t>https://drive.google.com/file/d/1lFzQ26MdX87dFNf9YU0qwS6kMsvhcqBD/view?usp=drivesdk</t>
  </si>
  <si>
    <t>HENY SETYANINGSIH</t>
  </si>
  <si>
    <t>neynoeysantosa@gmail.com</t>
  </si>
  <si>
    <t>1030</t>
  </si>
  <si>
    <t>https://drive.google.com/file/d/11X51ubC9aBm1VCXvtK0aUl42-o4F1vpd/view?usp=drivesdk</t>
  </si>
  <si>
    <t>11X51ubC9aBm1VCXvtK0aUl42-o4F1vpd</t>
  </si>
  <si>
    <t>17OSCI6XzXdQK1CLHVG1CmSxhtbqFPq4V</t>
  </si>
  <si>
    <t>https://drive.google.com/file/d/17OSCI6XzXdQK1CLHVG1CmSxhtbqFPq4V/view?usp=drivesdk</t>
  </si>
  <si>
    <t>MOH ARIF RAHMAN</t>
  </si>
  <si>
    <t>ariefjt@gmail.com</t>
  </si>
  <si>
    <t>1031</t>
  </si>
  <si>
    <t>https://drive.google.com/file/d/139oik3hPx_APmNJuZ3FfVSuT-YwZ2LHy/view?usp=drivesdk</t>
  </si>
  <si>
    <t>139oik3hPx_APmNJuZ3FfVSuT-YwZ2LHy</t>
  </si>
  <si>
    <t>1AH1SfwE8Cmp6wtcJQ68v0FwP3ff-ej7q</t>
  </si>
  <si>
    <t>https://drive.google.com/file/d/1AH1SfwE8Cmp6wtcJQ68v0FwP3ff-ej7q/view?usp=drivesdk</t>
  </si>
  <si>
    <t>Document successfully created; Document successfully merged; PDF created; !!Error Sending Emails: Service invoked too many times for one day: email.; Manually run by ecertificate75@gmail.com; Timestamp: Aug 30 2024 11:39 PM</t>
  </si>
  <si>
    <t>endangsrirahayu2804@gmail.com</t>
  </si>
  <si>
    <t>1032</t>
  </si>
  <si>
    <t>https://drive.google.com/file/d/1H_wS9QW8i65U06Zpz07cufW-tbj0t8xI/view?usp=drivesdk</t>
  </si>
  <si>
    <t>1H_wS9QW8i65U06Zpz07cufW-tbj0t8xI</t>
  </si>
  <si>
    <t>1GzVJpIA8ey-oBEZKgVvajT3JCVLaNZjf</t>
  </si>
  <si>
    <t>https://drive.google.com/file/d/1GzVJpIA8ey-oBEZKgVvajT3JCVLaNZjf/view?usp=drivesdk</t>
  </si>
  <si>
    <t>TAOPIK HIDAYAT, AMK</t>
  </si>
  <si>
    <t>taopik661@gmail.com</t>
  </si>
  <si>
    <t>1033</t>
  </si>
  <si>
    <t>https://drive.google.com/file/d/1d5ex8bVD4zzgDJlC6IY5-Bf4FC6avzKC/view?usp=drivesdk</t>
  </si>
  <si>
    <t>1d5ex8bVD4zzgDJlC6IY5-Bf4FC6avzKC</t>
  </si>
  <si>
    <t>1s5uly59nEskb4r7URgJ1rVqViy9ceseZ</t>
  </si>
  <si>
    <t>https://drive.google.com/file/d/1s5uly59nEskb4r7URgJ1rVqViy9ceseZ/view?usp=drivesdk</t>
  </si>
  <si>
    <t>YOHANES AGUNG PRIHATMOKO</t>
  </si>
  <si>
    <t>kecukyohanes@gmail.com</t>
  </si>
  <si>
    <t>1034</t>
  </si>
  <si>
    <t>https://drive.google.com/file/d/1WK3pHAHGuvXR0DjsRxtmCL-gRtPoRbWH/view?usp=drivesdk</t>
  </si>
  <si>
    <t>1WK3pHAHGuvXR0DjsRxtmCL-gRtPoRbWH</t>
  </si>
  <si>
    <t>16TcDZV6z6GMBtKj0xJh0BUYFHKHDnk6H</t>
  </si>
  <si>
    <t>https://drive.google.com/file/d/16TcDZV6z6GMBtKj0xJh0BUYFHKHDnk6H/view?usp=drivesdk</t>
  </si>
  <si>
    <t>RIZZCHI WIDIJATMOKO, S.E.</t>
  </si>
  <si>
    <t>rizzchi@gmail.com</t>
  </si>
  <si>
    <t>1035</t>
  </si>
  <si>
    <t>https://drive.google.com/file/d/1F3F9ljpl23qrYj004dJjYd2c0JjBzoZs/view?usp=drivesdk</t>
  </si>
  <si>
    <t>1F3F9ljpl23qrYj004dJjYd2c0JjBzoZs</t>
  </si>
  <si>
    <t>1FDComEIbL5fRXJ95I9qpEil1TclwyKfq</t>
  </si>
  <si>
    <t>https://drive.google.com/file/d/1FDComEIbL5fRXJ95I9qpEil1TclwyKfq/view?usp=drivesdk</t>
  </si>
  <si>
    <t xml:space="preserve">ERY WAHYUNI PUSPITASARI </t>
  </si>
  <si>
    <t>shofeaaysilahusna@gmail.com</t>
  </si>
  <si>
    <t>1036</t>
  </si>
  <si>
    <t>https://drive.google.com/file/d/1a8UxkaRxeges74faltkjoo1jlcUmMDH4/view?usp=drivesdk</t>
  </si>
  <si>
    <t>1a8UxkaRxeges74faltkjoo1jlcUmMDH4</t>
  </si>
  <si>
    <t>19npQ39JAnpR8GDOOcEoFZwr9fSikk16K</t>
  </si>
  <si>
    <t>https://drive.google.com/file/d/19npQ39JAnpR8GDOOcEoFZwr9fSikk16K/view?usp=drivesdk</t>
  </si>
  <si>
    <t>TINI YUNIARTI</t>
  </si>
  <si>
    <t>tini.yuniarti72@gmail.com</t>
  </si>
  <si>
    <t>1037</t>
  </si>
  <si>
    <t>https://drive.google.com/file/d/11r9NHaKAjD4ELjmJ8DZ2Cmk4JkHZYwcu/view?usp=drivesdk</t>
  </si>
  <si>
    <t>11r9NHaKAjD4ELjmJ8DZ2Cmk4JkHZYwcu</t>
  </si>
  <si>
    <t>1p3teYhF9UGDmYRCbZKw0BisDjAXHR0PA</t>
  </si>
  <si>
    <t>https://drive.google.com/file/d/1p3teYhF9UGDmYRCbZKw0BisDjAXHR0PA/view?usp=drivesdk</t>
  </si>
  <si>
    <t>Document successfully created; Document successfully merged; PDF created; !!Error Sending Emails: Service invoked too many times for one day: email.; Run via form trigger as ecertificate75@gmail.com; Timestamp: Aug 30 2024 11:28 PM</t>
  </si>
  <si>
    <t>EMIL DARIANA NAHAR</t>
  </si>
  <si>
    <t>emildapeni1999@gmail.com</t>
  </si>
  <si>
    <t>1038</t>
  </si>
  <si>
    <t>https://drive.google.com/file/d/1QwvDUIwP8k8_tceiw8gs5O67-ecZ9v02/view?usp=drivesdk</t>
  </si>
  <si>
    <t>1QwvDUIwP8k8_tceiw8gs5O67-ecZ9v02</t>
  </si>
  <si>
    <t>19VVdSaYc87OtqVZ6o-JvQvDIG7raT5Hz</t>
  </si>
  <si>
    <t>https://drive.google.com/file/d/19VVdSaYc87OtqVZ6o-JvQvDIG7raT5Hz/view?usp=drivesdk</t>
  </si>
  <si>
    <t>AGUNG SURADYANTO, S.E.</t>
  </si>
  <si>
    <t>agungnila76@gmail.com</t>
  </si>
  <si>
    <t>1039</t>
  </si>
  <si>
    <t>https://drive.google.com/file/d/1tv_jJQje9pLBn9Frq36nWV-6VguIaq1q/view?usp=drivesdk</t>
  </si>
  <si>
    <t>1tv_jJQje9pLBn9Frq36nWV-6VguIaq1q</t>
  </si>
  <si>
    <t>1UdDt_63-mYJVO6RugKLO3B2xRJkkbspG</t>
  </si>
  <si>
    <t>https://drive.google.com/file/d/1UdDt_63-mYJVO6RugKLO3B2xRJkkbspG/view?usp=drivesdk</t>
  </si>
  <si>
    <t>HADI APRI SUYANTO</t>
  </si>
  <si>
    <t>sapilondo.81@gmail.com</t>
  </si>
  <si>
    <t>1040</t>
  </si>
  <si>
    <t>https://drive.google.com/file/d/18sEi9HzB6fn0_6VVTA7c4xbH9nTV718o/view?usp=drivesdk</t>
  </si>
  <si>
    <t>18sEi9HzB6fn0_6VVTA7c4xbH9nTV718o</t>
  </si>
  <si>
    <t>1x0t0ifhaYt94jqAn_i3dN24qRa2KhN_6</t>
  </si>
  <si>
    <t>https://drive.google.com/file/d/1x0t0ifhaYt94jqAn_i3dN24qRa2KhN_6/view?usp=drivesdk</t>
  </si>
  <si>
    <t xml:space="preserve">YENI KISMAWATI </t>
  </si>
  <si>
    <t>yenikismawati4@gmail.com</t>
  </si>
  <si>
    <t>1041</t>
  </si>
  <si>
    <t>https://drive.google.com/file/d/1sD4NVJ0-UmrcsnqEJkCE4TrFefuFPvOh/view?usp=drivesdk</t>
  </si>
  <si>
    <t>1sD4NVJ0-UmrcsnqEJkCE4TrFefuFPvOh</t>
  </si>
  <si>
    <t>1lKStS89w8zr1uMucRrwL8vxkLoGiHLun</t>
  </si>
  <si>
    <t>https://drive.google.com/file/d/1lKStS89w8zr1uMucRrwL8vxkLoGiHLun/view?usp=drivesdk</t>
  </si>
  <si>
    <t>Document successfully created; Document successfully merged; PDF created; !!Error Sending Emails: Service invoked too many times for one day: email.; Run via form trigger as ecertificate75@gmail.com; Timestamp: Aug 30 2024 11:29 PM</t>
  </si>
  <si>
    <t>AWDIA SUCIETY, S.E</t>
  </si>
  <si>
    <t>awdiasuciety01@gmail.com</t>
  </si>
  <si>
    <t>1042</t>
  </si>
  <si>
    <t>https://drive.google.com/file/d/1gpNwModp0cmn0jMxVh7cxJLBQpecrCxd/view?usp=drivesdk</t>
  </si>
  <si>
    <t>1gpNwModp0cmn0jMxVh7cxJLBQpecrCxd</t>
  </si>
  <si>
    <t>1sUo02oMEqFTl_ZvOewe4Lq3voEOJzr_N</t>
  </si>
  <si>
    <t>https://drive.google.com/file/d/1sUo02oMEqFTl_ZvOewe4Lq3voEOJzr_N/view?usp=drivesdk</t>
  </si>
  <si>
    <t>MUHAMMAD AL GHAZALI NUHUYANANA, A.MD. KEP</t>
  </si>
  <si>
    <t>ghazalinuhu@gmail.com</t>
  </si>
  <si>
    <t>1043</t>
  </si>
  <si>
    <t>https://drive.google.com/file/d/1wdyVp9NOUPMwhUEdcoCA31mWA29jdJJK/view?usp=drivesdk</t>
  </si>
  <si>
    <t>1wdyVp9NOUPMwhUEdcoCA31mWA29jdJJK</t>
  </si>
  <si>
    <t>1FaxWdkv3IwplLjsZGLhmVPE22w6ZboSy</t>
  </si>
  <si>
    <t>https://drive.google.com/file/d/1FaxWdkv3IwplLjsZGLhmVPE22w6ZboSy/view?usp=drivesdk</t>
  </si>
  <si>
    <t>ALIEN KHAIRUNNISA</t>
  </si>
  <si>
    <t>alienkhairunnisa25@gmail.com</t>
  </si>
  <si>
    <t>1044</t>
  </si>
  <si>
    <t>https://drive.google.com/file/d/1DV0cWia07ug0It1iy1G8cZ1b46ZZWmae/view?usp=drivesdk</t>
  </si>
  <si>
    <t>1DV0cWia07ug0It1iy1G8cZ1b46ZZWmae</t>
  </si>
  <si>
    <t>11Vo2UPL5uIhP9NVq6qeas77RysOZF5mA</t>
  </si>
  <si>
    <t>https://drive.google.com/file/d/11Vo2UPL5uIhP9NVq6qeas77RysOZF5mA/view?usp=drivesdk</t>
  </si>
  <si>
    <t xml:space="preserve">DEWI SEPTIYANTI TJAN,A.MD </t>
  </si>
  <si>
    <t>tjandewi5@gmail.com</t>
  </si>
  <si>
    <t>1045</t>
  </si>
  <si>
    <t>https://drive.google.com/file/d/1QgVXd0Sj1rgPwnrtooe3dS-EHMJ8KEhM/view?usp=drivesdk</t>
  </si>
  <si>
    <t>1QgVXd0Sj1rgPwnrtooe3dS-EHMJ8KEhM</t>
  </si>
  <si>
    <t>1vgGnJE9yFnKnBmJKUSskgvzGyIKquTO3</t>
  </si>
  <si>
    <t>https://drive.google.com/file/d/1vgGnJE9yFnKnBmJKUSskgvzGyIKquTO3/view?usp=drivesdk</t>
  </si>
  <si>
    <t>JOKO RAHARJO, S.T.</t>
  </si>
  <si>
    <t>Sijokz1976@gmail.com</t>
  </si>
  <si>
    <t>1046</t>
  </si>
  <si>
    <t>https://drive.google.com/file/d/12w8vRT5UQwJN2yRC4QCw6nldTCgBk9_A/view?usp=drivesdk</t>
  </si>
  <si>
    <t>12w8vRT5UQwJN2yRC4QCw6nldTCgBk9_A</t>
  </si>
  <si>
    <t>1r7orGWC6fBmUj1_9wAf1KwNq86W0fgfe</t>
  </si>
  <si>
    <t>https://drive.google.com/file/d/1r7orGWC6fBmUj1_9wAf1KwNq86W0fgfe/view?usp=drivesdk</t>
  </si>
  <si>
    <t>Document successfully created; Document successfully merged; PDF created; !!Error Sending Emails: Service invoked too many times for one day: email.; Run via form trigger as ecertificate75@gmail.com; Timestamp: Aug 30 2024 11:30 PM</t>
  </si>
  <si>
    <t>TAUFIK SAPRUDIN</t>
  </si>
  <si>
    <t>topiksumda@gmail.com</t>
  </si>
  <si>
    <t>1047</t>
  </si>
  <si>
    <t>https://drive.google.com/file/d/1TCX5VU-9UXHBGu4bY1cSTAyXq7S5pQb3/view?usp=drivesdk</t>
  </si>
  <si>
    <t>1TCX5VU-9UXHBGu4bY1cSTAyXq7S5pQb3</t>
  </si>
  <si>
    <t>1P0Ly35SUDX0y-foOa2TypX6UBAzI-xYl</t>
  </si>
  <si>
    <t>https://drive.google.com/file/d/1P0Ly35SUDX0y-foOa2TypX6UBAzI-xYl/view?usp=drivesdk</t>
  </si>
  <si>
    <t>JUNI SETIAWAN</t>
  </si>
  <si>
    <t>junisetiawan2000@gmail.com</t>
  </si>
  <si>
    <t>1048</t>
  </si>
  <si>
    <t>https://drive.google.com/file/d/1MoLdLCiu1z3sm9FVoYFDvllWiLzWw4Tm/view?usp=drivesdk</t>
  </si>
  <si>
    <t>1MoLdLCiu1z3sm9FVoYFDvllWiLzWw4Tm</t>
  </si>
  <si>
    <t>1f5qhT6tlFgwj5fIZsSnK5tViCsowphoP</t>
  </si>
  <si>
    <t>https://drive.google.com/file/d/1f5qhT6tlFgwj5fIZsSnK5tViCsowphoP/view?usp=drivesdk</t>
  </si>
  <si>
    <t>MURWANI WAHYU ASMORO,SKM</t>
  </si>
  <si>
    <t>oktaviansa28@gmail.com</t>
  </si>
  <si>
    <t>1049</t>
  </si>
  <si>
    <t>Starting at Thu Aug 29 2024 20:54:27 GMT-0400 (EDT)</t>
  </si>
  <si>
    <t>11z8UY6ED98UBXsTV0lGYox7h_zA9uCdT</t>
  </si>
  <si>
    <t>https://drive.google.com/file/d/11z8UY6ED98UBXsTV0lGYox7h_zA9uCdT/view?usp=drivesdk</t>
  </si>
  <si>
    <t>Document successfully created; Document successfully merged; PDF created; !!Error Sending Emails: Service invoked too many times for one day: email.; Run via form trigger as ecertificate75@gmail.com; Timestamp: Aug 30 2024 11:31 PM</t>
  </si>
  <si>
    <t>AHMAD DAMANHURI</t>
  </si>
  <si>
    <t>damanhuriahmad2@gmail.com</t>
  </si>
  <si>
    <t>1050</t>
  </si>
  <si>
    <t>1ocaACcEb79MG3-bikqG48SMlnKO5S1pC</t>
  </si>
  <si>
    <t>https://drive.google.com/file/d/1ocaACcEb79MG3-bikqG48SMlnKO5S1pC/view?usp=drivesdk</t>
  </si>
  <si>
    <t>SITI MAEMUNAH, SH</t>
  </si>
  <si>
    <t>maymunahsiti39@gmail.com</t>
  </si>
  <si>
    <t>1051</t>
  </si>
  <si>
    <t>1y9R-fZK347OYdUpFcgHh0d_JoSaQVV8w</t>
  </si>
  <si>
    <t>https://drive.google.com/file/d/1y9R-fZK347OYdUpFcgHh0d_JoSaQVV8w/view?usp=drivesdk</t>
  </si>
  <si>
    <t>RINI ADANINGGAR, A.Akun</t>
  </si>
  <si>
    <t>rini.andani88@gmail.com</t>
  </si>
  <si>
    <t>1052</t>
  </si>
  <si>
    <t>1u9_E64qywb4LS_NQCTh3avhQEpBTksT7</t>
  </si>
  <si>
    <t>https://drive.google.com/file/d/1u9_E64qywb4LS_NQCTh3avhQEpBTksT7/view?usp=drivesdk</t>
  </si>
  <si>
    <t>DWI SETYOWATI</t>
  </si>
  <si>
    <t>dwisetyowati03@gmail.com</t>
  </si>
  <si>
    <t>1053</t>
  </si>
  <si>
    <t>1GBLiksPewj-WMx3Sn8JW7vH9ZOyPKjjG</t>
  </si>
  <si>
    <t>https://drive.google.com/file/d/1GBLiksPewj-WMx3Sn8JW7vH9ZOyPKjjG/view?usp=drivesdk</t>
  </si>
  <si>
    <t>PENATA PURWANTI, S.M.</t>
  </si>
  <si>
    <t>poerdennisdio@gmail.com</t>
  </si>
  <si>
    <t>1054</t>
  </si>
  <si>
    <t>1LzEwPfaxmOlOHy1oebrDyE9Cn2ryQfKc</t>
  </si>
  <si>
    <t>https://drive.google.com/file/d/1LzEwPfaxmOlOHy1oebrDyE9Cn2ryQfKc/view?usp=drivesdk</t>
  </si>
  <si>
    <t>Document successfully created; Document successfully merged; PDF created; !!Error Sending Emails: Service invoked too many times for one day: email.; Run via form trigger as ecertificate75@gmail.com; Timestamp: Aug 30 2024 11:32 PM</t>
  </si>
  <si>
    <t>NI MADE SUCI LASTARI,AMK</t>
  </si>
  <si>
    <t>madesuci88@gmail.com</t>
  </si>
  <si>
    <t>1055</t>
  </si>
  <si>
    <t>19n-vvK_DpOWO50ZFKvRvDgC3U1nA9t9b</t>
  </si>
  <si>
    <t>https://drive.google.com/file/d/19n-vvK_DpOWO50ZFKvRvDgC3U1nA9t9b/view?usp=drivesdk</t>
  </si>
  <si>
    <t xml:space="preserve">NINING MURDYANINGSIH SE </t>
  </si>
  <si>
    <t>niningmurdyaningsih@gmail.com</t>
  </si>
  <si>
    <t>1056</t>
  </si>
  <si>
    <t>https://drive.google.com/file/d/1tkU_vnz7LNh4TopDqIZ0vlQGDZ6Mgjd2/view?usp=drivesdk</t>
  </si>
  <si>
    <t>1tkU_vnz7LNh4TopDqIZ0vlQGDZ6Mgjd2</t>
  </si>
  <si>
    <t>1TsgfMjC29IhtcZHR7fIEH3bu7Le1kPYe</t>
  </si>
  <si>
    <t>https://drive.google.com/file/d/1TsgfMjC29IhtcZHR7fIEH3bu7Le1kPYe/view?usp=drivesdk</t>
  </si>
  <si>
    <t>MEITA HANDAYANI INDRATNO, SH</t>
  </si>
  <si>
    <t>meitagabry@gmail.com</t>
  </si>
  <si>
    <t>1057</t>
  </si>
  <si>
    <t>Starting at Thu Aug 29 2024 20:54:29 GMT-0400 (EDT)</t>
  </si>
  <si>
    <t>13aZ3GuZgOKwNWhaYUlfNEAPIheGrldzY</t>
  </si>
  <si>
    <t>https://drive.google.com/file/d/13aZ3GuZgOKwNWhaYUlfNEAPIheGrldzY/view?usp=drivesdk</t>
  </si>
  <si>
    <t>APT NI PUTU EKARYATHI WIRYANATHA, S.Si.</t>
  </si>
  <si>
    <t>ekaryathiw@gmail.com</t>
  </si>
  <si>
    <t>1058</t>
  </si>
  <si>
    <t>1L8IfumKnqdT3sMCUkr7_N-8-A0jQ5ael</t>
  </si>
  <si>
    <t>https://drive.google.com/file/d/1L8IfumKnqdT3sMCUkr7_N-8-A0jQ5ael/view?usp=drivesdk</t>
  </si>
  <si>
    <t>Document successfully created; Document successfully merged; PDF created; !!Error Sending Emails: Service invoked too many times for one day: email.; Manually run by ecertificate75@gmail.com; Timestamp: Aug 30 2024 11:40 PM</t>
  </si>
  <si>
    <t>NENI HARIYANTI, SH</t>
  </si>
  <si>
    <t>nenyneny13@gmail.com</t>
  </si>
  <si>
    <t>1059</t>
  </si>
  <si>
    <t>1z4AyPp5vaAaDJ8OY0qFMS7mbtZHAoLO3</t>
  </si>
  <si>
    <t>https://drive.google.com/file/d/1z4AyPp5vaAaDJ8OY0qFMS7mbtZHAoLO3/view?usp=drivesdk</t>
  </si>
  <si>
    <t xml:space="preserve">DEDY SUGIANTO </t>
  </si>
  <si>
    <t>dedysugianto080177@gmail.com</t>
  </si>
  <si>
    <t>1060</t>
  </si>
  <si>
    <t>https://drive.google.com/file/d/1f5zC94vGs0QDeP9FdNoAU5D_K6anCmzm/view?usp=drivesdk</t>
  </si>
  <si>
    <t>1f5zC94vGs0QDeP9FdNoAU5D_K6anCmzm</t>
  </si>
  <si>
    <t>1rJ8TFoh3vPn2Tma97uuLdGZgSDAgGUC2</t>
  </si>
  <si>
    <t>https://drive.google.com/file/d/1rJ8TFoh3vPn2Tma97uuLdGZgSDAgGUC2/view?usp=drivesdk</t>
  </si>
  <si>
    <t>NOFITA ANGGRAENI</t>
  </si>
  <si>
    <t>a_nofita84@ymail.com</t>
  </si>
  <si>
    <t>1061</t>
  </si>
  <si>
    <t>Starting at Thu Aug 29 2024 20:54:32 GMT-0400 (EDT)</t>
  </si>
  <si>
    <t>1R3nE_OTSHgt-lacIz7U56fCk5FY6IwGS</t>
  </si>
  <si>
    <t>https://drive.google.com/file/d/1R3nE_OTSHgt-lacIz7U56fCk5FY6IwGS/view?usp=drivesdk</t>
  </si>
  <si>
    <t>AGUS RIYANTO, A.MD.</t>
  </si>
  <si>
    <t>agusriyantobrebes.ar@gmail.com</t>
  </si>
  <si>
    <t>1062</t>
  </si>
  <si>
    <t>1FVDixOmEf13GzPVn3KIHijzyMCqgrWOt</t>
  </si>
  <si>
    <t>https://drive.google.com/file/d/1FVDixOmEf13GzPVn3KIHijzyMCqgrWOt/view?usp=drivesdk</t>
  </si>
  <si>
    <t>INDRIANINGSIH</t>
  </si>
  <si>
    <t>indriaardi18@gmail.com</t>
  </si>
  <si>
    <t>1063</t>
  </si>
  <si>
    <t>1fBkMsyz72B-4cgAffkUtVSx7sNIBFaaF</t>
  </si>
  <si>
    <t>https://drive.google.com/file/d/1fBkMsyz72B-4cgAffkUtVSx7sNIBFaaF/view?usp=drivesdk</t>
  </si>
  <si>
    <t>KELANA AKILA TANJUNG.Amd.Kep</t>
  </si>
  <si>
    <t>kelanaakhila@gmail.com</t>
  </si>
  <si>
    <t>1064</t>
  </si>
  <si>
    <t>1gMOJJEavoRIZYXYp79v0SAc4ujLbGhuF</t>
  </si>
  <si>
    <t>https://drive.google.com/file/d/1gMOJJEavoRIZYXYp79v0SAc4ujLbGhuF/view?usp=drivesdk</t>
  </si>
  <si>
    <t>RELLY RAKHMANI PANE, S.H., M.H.</t>
  </si>
  <si>
    <t>rellypane2017@gmail.com</t>
  </si>
  <si>
    <t>1065</t>
  </si>
  <si>
    <t>https://drive.google.com/file/d/18SjKBluhRUanMj9OcLWWr0kOuT9Q9iB2/view?usp=drivesdk</t>
  </si>
  <si>
    <t>18SjKBluhRUanMj9OcLWWr0kOuT9Q9iB2</t>
  </si>
  <si>
    <t>1NNjppW9tUgtt5rekoTMw-iGEtn9NdDlT</t>
  </si>
  <si>
    <t>https://drive.google.com/file/d/1NNjppW9tUgtt5rekoTMw-iGEtn9NdDlT/view?usp=drivesdk</t>
  </si>
  <si>
    <t>Document successfully created; Document successfully merged; PDF created; !!Error Sending Emails: Service invoked too many times for one day: email.; Manually run by ecertificate75@gmail.com; Timestamp: Aug 30 2024 11:41 PM</t>
  </si>
  <si>
    <t>HUDA HASAN, S.KOM, MM</t>
  </si>
  <si>
    <t>xeniaredmaroon@gmail.com</t>
  </si>
  <si>
    <t>1066</t>
  </si>
  <si>
    <t>Starting at Thu Aug 29 2024 20:54:42 GMT-0400 (EDT)</t>
  </si>
  <si>
    <t>1IMY04gGuGFh202_DGWV_PrRYjTqYBMro</t>
  </si>
  <si>
    <t>https://drive.google.com/file/d/1IMY04gGuGFh202_DGWV_PrRYjTqYBMro/view?usp=drivesdk</t>
  </si>
  <si>
    <t>LUH GITA INDRIYANI, A.Md.Kep.</t>
  </si>
  <si>
    <t>gita.indriyani1982@gmail.com</t>
  </si>
  <si>
    <t>1067</t>
  </si>
  <si>
    <t>1eD7quUyVj2kR3URhu4nUIl4YWmbdm9ue</t>
  </si>
  <si>
    <t>https://drive.google.com/file/d/1eD7quUyVj2kR3URhu4nUIl4YWmbdm9ue/view?usp=drivesdk</t>
  </si>
  <si>
    <t xml:space="preserve">THEODORA SULISTYORINI </t>
  </si>
  <si>
    <t>theodorasulistyorini45@gmail.com</t>
  </si>
  <si>
    <t>1068</t>
  </si>
  <si>
    <t>11sEUYVqBhNczKwcFUVCEFsD70mRWamKa</t>
  </si>
  <si>
    <t>https://drive.google.com/file/d/11sEUYVqBhNczKwcFUVCEFsD70mRWamKa/view?usp=drivesdk</t>
  </si>
  <si>
    <t>RIYA DINAYANTI</t>
  </si>
  <si>
    <t>riyadinayanti@gmail.com</t>
  </si>
  <si>
    <t>1069</t>
  </si>
  <si>
    <t>1zcrymMX7aNZDXzNQUHDqekBYPhzlEmSA</t>
  </si>
  <si>
    <t>https://drive.google.com/file/d/1zcrymMX7aNZDXzNQUHDqekBYPhzlEmSA/view?usp=drivesdk</t>
  </si>
  <si>
    <t>GANJAR GUMILAR, S.T</t>
  </si>
  <si>
    <t>ganjargmlr@gmail.com</t>
  </si>
  <si>
    <t>1070</t>
  </si>
  <si>
    <t>1bYdtpMVAYkLSgElY7EQAemK09U_KjKTg</t>
  </si>
  <si>
    <t>https://drive.google.com/file/d/1bYdtpMVAYkLSgElY7EQAemK09U_KjKTg/view?usp=drivesdk</t>
  </si>
  <si>
    <t>SUNANDAR  SUNAN</t>
  </si>
  <si>
    <t>ssunandar196@gmail.com</t>
  </si>
  <si>
    <t>1071</t>
  </si>
  <si>
    <t>1gYu3fmphuqw3NHwOacCZeVTCLlZBUp0X</t>
  </si>
  <si>
    <t>https://drive.google.com/file/d/1gYu3fmphuqw3NHwOacCZeVTCLlZBUp0X/view?usp=drivesdk</t>
  </si>
  <si>
    <t>Document successfully created; Document successfully merged; PDF created; !!Error Sending Emails: Service invoked too many times for one day: email.; Manually run by ecertificate75@gmail.com; Timestamp: Aug 30 2024 11:42 PM</t>
  </si>
  <si>
    <t>NI KADEK SRI ASTARI A,Md Kes</t>
  </si>
  <si>
    <t>sriastari68@gmail.com</t>
  </si>
  <si>
    <t>1072</t>
  </si>
  <si>
    <t>1TG3Snh7bFjfyJHbuL8yM_mumxChu5-sx</t>
  </si>
  <si>
    <t>https://drive.google.com/file/d/1TG3Snh7bFjfyJHbuL8yM_mumxChu5-sx/view?usp=drivesdk</t>
  </si>
  <si>
    <t>BAMBANG MARJONO</t>
  </si>
  <si>
    <t>bambang.marjono17@gmail.com</t>
  </si>
  <si>
    <t>1073</t>
  </si>
  <si>
    <t>https://drive.google.com/file/d/19vQGM4oGo638lXAXmLiQfnwTVAYGNhwB/view?usp=drivesdk</t>
  </si>
  <si>
    <t>19vQGM4oGo638lXAXmLiQfnwTVAYGNhwB</t>
  </si>
  <si>
    <t>1lpjSuimvsUhA0yrTGHxhjia63pyS7_o8</t>
  </si>
  <si>
    <t>https://drive.google.com/file/d/1lpjSuimvsUhA0yrTGHxhjia63pyS7_o8/view?usp=drivesdk</t>
  </si>
  <si>
    <t>NI MADE SUSANTI S.ADM</t>
  </si>
  <si>
    <t>Madesusanti93@gmail.com</t>
  </si>
  <si>
    <t>1074</t>
  </si>
  <si>
    <t>https://drive.google.com/file/d/1NRauB1H0d6BhY7nJDhwRCfF314McURRl/view?usp=drivesdk</t>
  </si>
  <si>
    <t>1NRauB1H0d6BhY7nJDhwRCfF314McURRl</t>
  </si>
  <si>
    <t>1NPVDPf2iPBTyHcyomnVgUeX7kZuVvYq9</t>
  </si>
  <si>
    <t>https://drive.google.com/file/d/1NPVDPf2iPBTyHcyomnVgUeX7kZuVvYq9/view?usp=drivesdk</t>
  </si>
  <si>
    <t>NINIS INDRAWATI</t>
  </si>
  <si>
    <t>ninisindrawati9@gmail.com</t>
  </si>
  <si>
    <t>1075</t>
  </si>
  <si>
    <t>https://drive.google.com/file/d/1nB7V5E6KoD-50xQ5MMDXYp4QCVSSvHfv/view?usp=drivesdk</t>
  </si>
  <si>
    <t>1nB7V5E6KoD-50xQ5MMDXYp4QCVSSvHfv</t>
  </si>
  <si>
    <t>1aKHoHQJf_BhDadipIi8tpulYM0zKp9XF</t>
  </si>
  <si>
    <t>https://drive.google.com/file/d/1aKHoHQJf_BhDadipIi8tpulYM0zKp9XF/view?usp=drivesdk</t>
  </si>
  <si>
    <t>EMANG SULAEMAN SH</t>
  </si>
  <si>
    <t>emansulaeman767676@gmail.com</t>
  </si>
  <si>
    <t>1076</t>
  </si>
  <si>
    <t>https://drive.google.com/file/d/1POtqmwATkN6XtNjArYaVIN8APRMfalcb/view?usp=drivesdk</t>
  </si>
  <si>
    <t>1POtqmwATkN6XtNjArYaVIN8APRMfalcb</t>
  </si>
  <si>
    <t>11mnGfgYpBKYWlQ42RPdHgsJEq_DpK-Vi</t>
  </si>
  <si>
    <t>https://drive.google.com/file/d/11mnGfgYpBKYWlQ42RPdHgsJEq_DpK-Vi/view?usp=drivesdk</t>
  </si>
  <si>
    <t>Document successfully created; Document successfully merged; PDF created; !!Error Sending Emails: Service invoked too many times for one day: email.; Manually run by ecertificate75@gmail.com; Timestamp: Aug 30 2024 11:43 PM</t>
  </si>
  <si>
    <t>MOHAMAD ISKHAK, S.E.</t>
  </si>
  <si>
    <t>mamats1967@gmail.com</t>
  </si>
  <si>
    <t>1077</t>
  </si>
  <si>
    <t>https://drive.google.com/file/d/1SX8gU9dEgD1u1ZVB0Mid9ClQ35uWY42Q/view?usp=drivesdk</t>
  </si>
  <si>
    <t>1SX8gU9dEgD1u1ZVB0Mid9ClQ35uWY42Q</t>
  </si>
  <si>
    <t>16N5mYP8pk-ZXZX0fF1w5U7yEgYtTxiGx</t>
  </si>
  <si>
    <t>https://drive.google.com/file/d/16N5mYP8pk-ZXZX0fF1w5U7yEgYtTxiGx/view?usp=drivesdk</t>
  </si>
  <si>
    <t>DIAN FADHILA SETIANI, S.KOM., M.M.</t>
  </si>
  <si>
    <t>urmintubirosdm@gmail.com</t>
  </si>
  <si>
    <t>1078</t>
  </si>
  <si>
    <t>https://drive.google.com/file/d/1xrzGHmujnc1IA_-XUws4cqUiyr1unKjn/view?usp=drivesdk</t>
  </si>
  <si>
    <t>1xrzGHmujnc1IA_-XUws4cqUiyr1unKjn</t>
  </si>
  <si>
    <t>1eUn4xCye17pbKi1azy65Gpzq65xuE2it</t>
  </si>
  <si>
    <t>https://drive.google.com/file/d/1eUn4xCye17pbKi1azy65Gpzq65xuE2it/view?usp=drivesdk</t>
  </si>
  <si>
    <t>UNIK DEWI RAHAYU.S.Kep.Ns.M.H</t>
  </si>
  <si>
    <t>unikdewirahayu@gmail.com</t>
  </si>
  <si>
    <t>1079</t>
  </si>
  <si>
    <t>https://drive.google.com/file/d/1cKjoV_FQkFvav435M52IABkczjWCMID4/view?usp=drivesdk</t>
  </si>
  <si>
    <t>1cKjoV_FQkFvav435M52IABkczjWCMID4</t>
  </si>
  <si>
    <t>192vwTz3eMXT2ZKyT7MYxMFrQSHUxOrR3</t>
  </si>
  <si>
    <t>https://drive.google.com/file/d/192vwTz3eMXT2ZKyT7MYxMFrQSHUxOrR3/view?usp=drivesdk</t>
  </si>
  <si>
    <t>ELI SUNARWATI</t>
  </si>
  <si>
    <t>elisunarwati43@gmail.com</t>
  </si>
  <si>
    <t>1080</t>
  </si>
  <si>
    <t>https://drive.google.com/file/d/11PX1Y6FdwVBgMAkMtR_MhaoTjspxEx94/view?usp=drivesdk</t>
  </si>
  <si>
    <t>11PX1Y6FdwVBgMAkMtR_MhaoTjspxEx94</t>
  </si>
  <si>
    <t>1jlfdUinguppEL2aa4dc0el3iiYo3Xu2y</t>
  </si>
  <si>
    <t>https://drive.google.com/file/d/1jlfdUinguppEL2aa4dc0el3iiYo3Xu2y/view?usp=drivesdk</t>
  </si>
  <si>
    <t>Document successfully created; Document successfully merged; PDF created; !!Error Sending Emails: Service invoked too many times for one day: email.; Manually run by ecertificate75@gmail.com; Timestamp: Aug 30 2024 11:44 PM</t>
  </si>
  <si>
    <t xml:space="preserve">MOHAMMAD LUTFI </t>
  </si>
  <si>
    <t>lutfi19831217@gmail.com</t>
  </si>
  <si>
    <t>1081</t>
  </si>
  <si>
    <t>https://drive.google.com/file/d/1qiWg1KdutMoGtB3TCcYe1_p_FZbPl1cX/view?usp=drivesdk</t>
  </si>
  <si>
    <t>1qiWg1KdutMoGtB3TCcYe1_p_FZbPl1cX</t>
  </si>
  <si>
    <t>1B-Nr0SayA1IOPEaUfmwcIIqtsVShcQ-e</t>
  </si>
  <si>
    <t>https://drive.google.com/file/d/1B-Nr0SayA1IOPEaUfmwcIIqtsVShcQ-e/view?usp=drivesdk</t>
  </si>
  <si>
    <t>BADRUSSALAM, S.KOM</t>
  </si>
  <si>
    <t>badrussalam.017@gmail.com</t>
  </si>
  <si>
    <t>1082</t>
  </si>
  <si>
    <t>https://drive.google.com/file/d/1SrEd2L4p488R0H2LD0eoC53KJ2lFgJJW/view?usp=drivesdk</t>
  </si>
  <si>
    <t>1SrEd2L4p488R0H2LD0eoC53KJ2lFgJJW</t>
  </si>
  <si>
    <t>1P6MhbgyDSkrHASN90NjV29k2_Z5ZfgbW</t>
  </si>
  <si>
    <t>https://drive.google.com/file/d/1P6MhbgyDSkrHASN90NjV29k2_Z5ZfgbW/view?usp=drivesdk</t>
  </si>
  <si>
    <t>POLDA RIAU</t>
  </si>
  <si>
    <t>ARISTA RENNY APRILYA, S.E.</t>
  </si>
  <si>
    <t>aprilyairwansyah@gmail.com</t>
  </si>
  <si>
    <t>1083</t>
  </si>
  <si>
    <t>https://drive.google.com/file/d/1RFb3bYsQ6MkiaV-IHpKxCQAWw-bztp4N/view?usp=drivesdk</t>
  </si>
  <si>
    <t>1RFb3bYsQ6MkiaV-IHpKxCQAWw-bztp4N</t>
  </si>
  <si>
    <t>1wJXSVXQO8Ojrw2ZMSNztbBrpHutwIVSo</t>
  </si>
  <si>
    <t>https://drive.google.com/file/d/1wJXSVXQO8Ojrw2ZMSNztbBrpHutwIVSo/view?usp=drivesdk</t>
  </si>
  <si>
    <t>NELA NOERITA, SE</t>
  </si>
  <si>
    <t>nela810110@gmail.com</t>
  </si>
  <si>
    <t>1084</t>
  </si>
  <si>
    <t>https://drive.google.com/file/d/1xw5cgj3HSl345J0F3XipGBrvfP8t_bR6/view?usp=drivesdk</t>
  </si>
  <si>
    <t>1xw5cgj3HSl345J0F3XipGBrvfP8t_bR6</t>
  </si>
  <si>
    <t>1VtXccdseCpp9wcKY9TluyUq1t9vDkecq</t>
  </si>
  <si>
    <t>https://drive.google.com/file/d/1VtXccdseCpp9wcKY9TluyUq1t9vDkecq/view?usp=drivesdk</t>
  </si>
  <si>
    <t xml:space="preserve">RITA EVINA PURBA, S. T. </t>
  </si>
  <si>
    <t>ritaeviana82@gmail.com</t>
  </si>
  <si>
    <t>1085</t>
  </si>
  <si>
    <t>https://drive.google.com/file/d/1p6sdr8lSTK_sUjvJzsMOk_v4OIiTlzja/view?usp=drivesdk</t>
  </si>
  <si>
    <t>1p6sdr8lSTK_sUjvJzsMOk_v4OIiTlzja</t>
  </si>
  <si>
    <t>12rtjZhQV98fyEJaCj-RvPB2xm3qJaFT7</t>
  </si>
  <si>
    <t>https://drive.google.com/file/d/12rtjZhQV98fyEJaCj-RvPB2xm3qJaFT7/view?usp=drivesdk</t>
  </si>
  <si>
    <t>SHINTA PUSPITASARI</t>
  </si>
  <si>
    <t>shintasugito75@gmail.com</t>
  </si>
  <si>
    <t>1086</t>
  </si>
  <si>
    <t>https://drive.google.com/file/d/1KcfJnine8yRREabCFCyHnSRH2wG3LjSu/view?usp=drivesdk</t>
  </si>
  <si>
    <t>1KcfJnine8yRREabCFCyHnSRH2wG3LjSu</t>
  </si>
  <si>
    <t>15RYmGez_OVdHl-U3XU6LudZEAAKR_KGt</t>
  </si>
  <si>
    <t>https://drive.google.com/file/d/15RYmGez_OVdHl-U3XU6LudZEAAKR_KGt/view?usp=drivesdk</t>
  </si>
  <si>
    <t>Document successfully created; Document successfully merged; PDF created; !!Error Sending Emails: Service invoked too many times for one day: email.; Manually run by ecertificate75@gmail.com; Timestamp: Aug 30 2024 11:45 PM</t>
  </si>
  <si>
    <t>SRI ENDANG HARTININGSIH, A. Md. Kep</t>
  </si>
  <si>
    <t>sriendanghartiningsih93@gmail.com</t>
  </si>
  <si>
    <t>1087</t>
  </si>
  <si>
    <t>https://drive.google.com/file/d/1sHaJbbxqarEiA6VrZE2nUksHx1qTf9BV/view?usp=drivesdk</t>
  </si>
  <si>
    <t>1sHaJbbxqarEiA6VrZE2nUksHx1qTf9BV</t>
  </si>
  <si>
    <t>1M5Zvn8WU6a8nDu3JuwVr--eW11IAL8A3</t>
  </si>
  <si>
    <t>https://drive.google.com/file/d/1M5Zvn8WU6a8nDu3JuwVr--eW11IAL8A3/view?usp=drivesdk</t>
  </si>
  <si>
    <t>NILAWARNI,SKM,MKM</t>
  </si>
  <si>
    <t>nilawarnims@gmail.com</t>
  </si>
  <si>
    <t>1088</t>
  </si>
  <si>
    <t>https://drive.google.com/file/d/1tdtqgP5RS3VijDHqumD9gu8zLQ13xm83/view?usp=drivesdk</t>
  </si>
  <si>
    <t>1tdtqgP5RS3VijDHqumD9gu8zLQ13xm83</t>
  </si>
  <si>
    <t>1qcQxiqQDWJKs7Kv1hoU_cLkGok4I0wvD</t>
  </si>
  <si>
    <t>https://drive.google.com/file/d/1qcQxiqQDWJKs7Kv1hoU_cLkGok4I0wvD/view?usp=drivesdk</t>
  </si>
  <si>
    <t>JONI SUKMAWAN</t>
  </si>
  <si>
    <t>jonisukmawan01@gmail.com</t>
  </si>
  <si>
    <t>1089</t>
  </si>
  <si>
    <t>https://drive.google.com/file/d/10hDviPC5GRBda1pMICNUG4bHW9DmYRwy/view?usp=drivesdk</t>
  </si>
  <si>
    <t>10hDviPC5GRBda1pMICNUG4bHW9DmYRwy</t>
  </si>
  <si>
    <t>1GtwoHtRpuLlmfl19QyUilfcjCMAvSCyq</t>
  </si>
  <si>
    <t>https://drive.google.com/file/d/1GtwoHtRpuLlmfl19QyUilfcjCMAvSCyq/view?usp=drivesdk</t>
  </si>
  <si>
    <t>NOVA RAMADHAN</t>
  </si>
  <si>
    <t>novaramadhan406@gmail.com</t>
  </si>
  <si>
    <t>1090</t>
  </si>
  <si>
    <t>https://drive.google.com/file/d/1xVV9Lb8y7-OhDrIETl2Wx5DAo3xnbyut/view?usp=drivesdk</t>
  </si>
  <si>
    <t>1xVV9Lb8y7-OhDrIETl2Wx5DAo3xnbyut</t>
  </si>
  <si>
    <t>1R7axKR9X6nmg-kyDCTuMSKRdVKE761M8</t>
  </si>
  <si>
    <t>https://drive.google.com/file/d/1R7axKR9X6nmg-kyDCTuMSKRdVKE761M8/view?usp=drivesdk</t>
  </si>
  <si>
    <t>RISA MARLINA BINTI SULAIMAN</t>
  </si>
  <si>
    <t>Risandyka74@gmail.com</t>
  </si>
  <si>
    <t>1091</t>
  </si>
  <si>
    <t>https://drive.google.com/file/d/1JZVN3WHB9t-BzjfpXswvWX8XB98fmyti/view?usp=drivesdk</t>
  </si>
  <si>
    <t>1JZVN3WHB9t-BzjfpXswvWX8XB98fmyti</t>
  </si>
  <si>
    <t>12RHGOegiYczhyLyooqcxOpN_tAQpQVI3</t>
  </si>
  <si>
    <t>https://drive.google.com/file/d/12RHGOegiYczhyLyooqcxOpN_tAQpQVI3/view?usp=drivesdk</t>
  </si>
  <si>
    <t>ESI INDRAYANI</t>
  </si>
  <si>
    <t>es1.bpp72@gmail.com</t>
  </si>
  <si>
    <t>1092</t>
  </si>
  <si>
    <t>https://drive.google.com/file/d/1fqt7s4c8KF5Er3xPQsqFs4ZOAt5dJXDF/view?usp=drivesdk</t>
  </si>
  <si>
    <t>1fqt7s4c8KF5Er3xPQsqFs4ZOAt5dJXDF</t>
  </si>
  <si>
    <t>1-GPYNj17tAkFgZWQdFFOrdcJy3lLLlWS</t>
  </si>
  <si>
    <t>https://drive.google.com/file/d/1-GPYNj17tAkFgZWQdFFOrdcJy3lLLlWS/view?usp=drivesdk</t>
  </si>
  <si>
    <t xml:space="preserve">MULIYANI MULIYANI </t>
  </si>
  <si>
    <t>muliyani.nazwa84@gmail.com</t>
  </si>
  <si>
    <t>1093</t>
  </si>
  <si>
    <t>https://drive.google.com/file/d/1kf4zjEJOW9Y7lIQiEtWpZ_XkMP_bjz8k/view?usp=drivesdk</t>
  </si>
  <si>
    <t>1kf4zjEJOW9Y7lIQiEtWpZ_XkMP_bjz8k</t>
  </si>
  <si>
    <t>1SfqS3xkEliTj2zelHWeCQwyKrT9-EiFp</t>
  </si>
  <si>
    <t>https://drive.google.com/file/d/1SfqS3xkEliTj2zelHWeCQwyKrT9-EiFp/view?usp=drivesdk</t>
  </si>
  <si>
    <t>Document successfully created; Document successfully merged; PDF created; !!Error Sending Emails: Service invoked too many times for one day: email.; Manually run by ecertificate75@gmail.com; Timestamp: Aug 30 2024 11:46 PM</t>
  </si>
  <si>
    <t>AGUS KRISTIYANTO.S.H</t>
  </si>
  <si>
    <t>agus.tristiyanto123@gmail.com</t>
  </si>
  <si>
    <t>1094</t>
  </si>
  <si>
    <t>https://drive.google.com/file/d/1Ih2s4LNmIxfCecub5zpLwL-jXFvX9IS6/view?usp=drivesdk</t>
  </si>
  <si>
    <t>1Ih2s4LNmIxfCecub5zpLwL-jXFvX9IS6</t>
  </si>
  <si>
    <t>174Q0jOnDffxphOGCBUgrq4xIhL8hDss5</t>
  </si>
  <si>
    <t>https://drive.google.com/file/d/174Q0jOnDffxphOGCBUgrq4xIhL8hDss5/view?usp=drivesdk</t>
  </si>
  <si>
    <t>WAHYU PRABAWANI, S.M.</t>
  </si>
  <si>
    <t>ninikwp70@gmail.com</t>
  </si>
  <si>
    <t>1095</t>
  </si>
  <si>
    <t>https://drive.google.com/file/d/1UPuYfiWHoo5bqt9rAdvWyseWXA64Ny5F/view?usp=drivesdk</t>
  </si>
  <si>
    <t>1UPuYfiWHoo5bqt9rAdvWyseWXA64Ny5F</t>
  </si>
  <si>
    <t>1kLlqGqdKoZ4PBunBZy1hspKletxY9fHW</t>
  </si>
  <si>
    <t>https://drive.google.com/file/d/1kLlqGqdKoZ4PBunBZy1hspKletxY9fHW/view?usp=drivesdk</t>
  </si>
  <si>
    <t>SRI CASMIATI, S.H.</t>
  </si>
  <si>
    <t>sri.casmiaty@gmail.com</t>
  </si>
  <si>
    <t>1096</t>
  </si>
  <si>
    <t>https://drive.google.com/file/d/1tKSX_2O-Mo-y6lgyyWHQZ5n7lmK3wLrT/view?usp=drivesdk</t>
  </si>
  <si>
    <t>1tKSX_2O-Mo-y6lgyyWHQZ5n7lmK3wLrT</t>
  </si>
  <si>
    <t>1de2D0a9qO7Ux1_bKJ4pyYIkQx_y_PCzb</t>
  </si>
  <si>
    <t>https://drive.google.com/file/d/1de2D0a9qO7Ux1_bKJ4pyYIkQx_y_PCzb/view?usp=drivesdk</t>
  </si>
  <si>
    <t>LUH PUTu DYAH WREDIASTITI</t>
  </si>
  <si>
    <t>diahwrediastiti63@gmail.com</t>
  </si>
  <si>
    <t>1097</t>
  </si>
  <si>
    <t>https://drive.google.com/file/d/1K0DDh3mG9sOcLAQDc532s7ZqD6Zf91Og/view?usp=drivesdk</t>
  </si>
  <si>
    <t>1K0DDh3mG9sOcLAQDc532s7ZqD6Zf91Og</t>
  </si>
  <si>
    <t>1bj8Pje4HGZibgRVStMJBRlDyJUSbQ579</t>
  </si>
  <si>
    <t>https://drive.google.com/file/d/1bj8Pje4HGZibgRVStMJBRlDyJUSbQ579/view?usp=drivesdk</t>
  </si>
  <si>
    <t>EKA SULISTIYANA WIJAYANTI</t>
  </si>
  <si>
    <t>ekasw1980@gmail.com</t>
  </si>
  <si>
    <t>1098</t>
  </si>
  <si>
    <t>https://drive.google.com/file/d/1BSUacUHS9xFMTZ17304yZzAIsIkg4u1-/view?usp=drivesdk</t>
  </si>
  <si>
    <t>1BSUacUHS9xFMTZ17304yZzAIsIkg4u1-</t>
  </si>
  <si>
    <t>1qVHnSbA0N_vOZRGN26eAhq2MdVOVJvNt</t>
  </si>
  <si>
    <t>https://drive.google.com/file/d/1qVHnSbA0N_vOZRGN26eAhq2MdVOVJvNt/view?usp=drivesdk</t>
  </si>
  <si>
    <t>HENRY HERMAWAN</t>
  </si>
  <si>
    <t>henryawan.poldaidy@gmail.com</t>
  </si>
  <si>
    <t>1099</t>
  </si>
  <si>
    <t>https://drive.google.com/file/d/1MMqKP4QBTFdbMjJEda2Ay7yM0oG0vFlR/view?usp=drivesdk</t>
  </si>
  <si>
    <t>1MMqKP4QBTFdbMjJEda2Ay7yM0oG0vFlR</t>
  </si>
  <si>
    <t>1WJ3jxCT4G9KEJw8cri90Ra9M2gnJB3el</t>
  </si>
  <si>
    <t>https://drive.google.com/file/d/1WJ3jxCT4G9KEJw8cri90Ra9M2gnJB3el/view?usp=drivesdk</t>
  </si>
  <si>
    <t>Document successfully created; Document successfully merged; PDF created; !!Error Sending Emails: Service invoked too many times for one day: email.; Manually run by ecertificate75@gmail.com; Timestamp: Aug 30 2024 11:47 PM</t>
  </si>
  <si>
    <t xml:space="preserve">AGUS PRIYANTO </t>
  </si>
  <si>
    <t>priyantoagus.st@gmail.com</t>
  </si>
  <si>
    <t>1100</t>
  </si>
  <si>
    <t>https://drive.google.com/file/d/1eXxq0wXW0d-1zwuCLBBbC9zDpjuctO1I/view?usp=drivesdk</t>
  </si>
  <si>
    <t>1eXxq0wXW0d-1zwuCLBBbC9zDpjuctO1I</t>
  </si>
  <si>
    <t>1aLbuPXBhISpwZ9GeyGUZKM9QoZ1Jefov</t>
  </si>
  <si>
    <t>https://drive.google.com/file/d/1aLbuPXBhISpwZ9GeyGUZKM9QoZ1Jefov/view?usp=drivesdk</t>
  </si>
  <si>
    <t>I GUSTI NGURAH KOMANG PARMADI</t>
  </si>
  <si>
    <t>igustingurahparmadi@gmail.com</t>
  </si>
  <si>
    <t>1101</t>
  </si>
  <si>
    <t>https://drive.google.com/file/d/1BI4bPLesq96C02l5uSuiNKeOsSmPXA_v/view?usp=drivesdk</t>
  </si>
  <si>
    <t>Document successfully created; Document successfully merged; PDF created; !!Error Sending Emails: Service invoked too many times for one day: email.; Run via form trigger as ecertificate75@gmail.com; Timestamp: Aug 29 2024 8:56 PM</t>
  </si>
  <si>
    <t>1BI4bPLesq96C02l5uSuiNKeOsSmPXA_v</t>
  </si>
  <si>
    <t>1FSvHXEtHjj9gMXq3ILx7zTq-oONf1Blo</t>
  </si>
  <si>
    <t>https://drive.google.com/file/d/1FSvHXEtHjj9gMXq3ILx7zTq-oONf1Blo/view?usp=drivesdk</t>
  </si>
  <si>
    <t>MISERY DESIANA, A.MD</t>
  </si>
  <si>
    <t>desieci1987@gmail.com</t>
  </si>
  <si>
    <t>1102</t>
  </si>
  <si>
    <t>https://drive.google.com/file/d/10QHlaf8EtpkpOhKdOGFiDryjdwBSwVV-/view?usp=drivesdk</t>
  </si>
  <si>
    <t>10QHlaf8EtpkpOhKdOGFiDryjdwBSwVV-</t>
  </si>
  <si>
    <t>1StKb0PWmI2l0vB-mSkIkNLOWsx4WFWmT</t>
  </si>
  <si>
    <t>https://drive.google.com/file/d/1StKb0PWmI2l0vB-mSkIkNLOWsx4WFWmT/view?usp=drivesdk</t>
  </si>
  <si>
    <t>AGUS ISTIAWAN</t>
  </si>
  <si>
    <t>Ionenity@gmail.com</t>
  </si>
  <si>
    <t>1103</t>
  </si>
  <si>
    <t>https://drive.google.com/file/d/1o3kAo82jlN4wVzFWbwLczZsChGJcy5bA/view?usp=drivesdk</t>
  </si>
  <si>
    <t>1o3kAo82jlN4wVzFWbwLczZsChGJcy5bA</t>
  </si>
  <si>
    <t>1aRRx3-gdKfeNIYJVLgPCIqg-VJgtGf42</t>
  </si>
  <si>
    <t>https://drive.google.com/file/d/1aRRx3-gdKfeNIYJVLgPCIqg-VJgtGf42/view?usp=drivesdk</t>
  </si>
  <si>
    <t>ENDANG LISTYAWATI</t>
  </si>
  <si>
    <t>endanglistyawati2@gmail.com</t>
  </si>
  <si>
    <t>1104</t>
  </si>
  <si>
    <t>https://drive.google.com/file/d/1JccJjxQODI9rNnrvE-YO9zC04j19sOm0/view?usp=drivesdk</t>
  </si>
  <si>
    <t>1JccJjxQODI9rNnrvE-YO9zC04j19sOm0</t>
  </si>
  <si>
    <t>1FSBzoDv4QR0VHDud1ozuihKvJLSxTuj9</t>
  </si>
  <si>
    <t>https://drive.google.com/file/d/1FSBzoDv4QR0VHDud1ozuihKvJLSxTuj9/view?usp=drivesdk</t>
  </si>
  <si>
    <t>ADE HARIANTY BINTI KADENI SA'IAN</t>
  </si>
  <si>
    <t>pertiwiwaliaqsha@gmail.com</t>
  </si>
  <si>
    <t>1105</t>
  </si>
  <si>
    <t>https://drive.google.com/file/d/1hsn_N1a3U4t61h6SbrkPViIRce4ulh0y/view?usp=drivesdk</t>
  </si>
  <si>
    <t>1hsn_N1a3U4t61h6SbrkPViIRce4ulh0y</t>
  </si>
  <si>
    <t>15pzxWvcCBQNGGG1rkO_tmKk4iiwc7VG6</t>
  </si>
  <si>
    <t>https://drive.google.com/file/d/15pzxWvcCBQNGGG1rkO_tmKk4iiwc7VG6/view?usp=drivesdk</t>
  </si>
  <si>
    <t>Document successfully created; Document successfully merged; PDF created; !!Error Sending Emails: Service invoked too many times for one day: email.; Manually run by ecertificate75@gmail.com; Timestamp: Aug 30 2024 11:48 PM</t>
  </si>
  <si>
    <t>MUHAMMAD PRAYOGI SUNDOYO</t>
  </si>
  <si>
    <t>muhammadprayogi440@gmail.com</t>
  </si>
  <si>
    <t>1106</t>
  </si>
  <si>
    <t>https://drive.google.com/file/d/1ed9ujS8pSh7jc77VLpmniANDH_zYQGnt/view?usp=drivesdk</t>
  </si>
  <si>
    <t>Document successfully created; Document successfully merged; PDF created; !!Error Sending Emails: Service invoked too many times for one day: email.; Run via form trigger as ecertificate75@gmail.com; Timestamp: Aug 29 2024 8:57 PM</t>
  </si>
  <si>
    <t>1ed9ujS8pSh7jc77VLpmniANDH_zYQGnt</t>
  </si>
  <si>
    <t>17PjslcdT9WUaChAPDg9HqkXKS6yMJNbT</t>
  </si>
  <si>
    <t>https://drive.google.com/file/d/17PjslcdT9WUaChAPDg9HqkXKS6yMJNbT/view?usp=drivesdk</t>
  </si>
  <si>
    <t>LASMIIZAINII</t>
  </si>
  <si>
    <t>lasmizaini@gmail.com</t>
  </si>
  <si>
    <t>1107</t>
  </si>
  <si>
    <t>https://drive.google.com/file/d/1MSN_4ztDo6XO-1VzoqbK1cHH9Bwh7GJb/view?usp=drivesdk</t>
  </si>
  <si>
    <t>1MSN_4ztDo6XO-1VzoqbK1cHH9Bwh7GJb</t>
  </si>
  <si>
    <t>1yshlWYY4psaneJQqShm5PAxrXfHtS439</t>
  </si>
  <si>
    <t>https://drive.google.com/file/d/1yshlWYY4psaneJQqShm5PAxrXfHtS439/view?usp=drivesdk</t>
  </si>
  <si>
    <t>ARISTO BASTIAN SIANIPAR, S.E., M.Ak</t>
  </si>
  <si>
    <t>aristobastian@gmail.com</t>
  </si>
  <si>
    <t>1108</t>
  </si>
  <si>
    <t>https://drive.google.com/file/d/1WMUciPuhFJ1Am1cVRrpKXvYqnlxn75G5/view?usp=drivesdk</t>
  </si>
  <si>
    <t>1WMUciPuhFJ1Am1cVRrpKXvYqnlxn75G5</t>
  </si>
  <si>
    <t>1qqOrhWNNbPBdXkOpfHMBeo_M2_GIR0df</t>
  </si>
  <si>
    <t>https://drive.google.com/file/d/1qqOrhWNNbPBdXkOpfHMBeo_M2_GIR0df/view?usp=drivesdk</t>
  </si>
  <si>
    <t>BUDIMANTORO,AMK</t>
  </si>
  <si>
    <t>budimantoro69@gmail.com</t>
  </si>
  <si>
    <t>1109</t>
  </si>
  <si>
    <t>https://drive.google.com/file/d/1AUBgcoJQs6nKAM26Xi2bwTlRsiFUH9k8/view?usp=drivesdk</t>
  </si>
  <si>
    <t>1AUBgcoJQs6nKAM26Xi2bwTlRsiFUH9k8</t>
  </si>
  <si>
    <t>1x_TaG-XwBiQ6UGC-PDkZHqFEtgmcpGdK</t>
  </si>
  <si>
    <t>https://drive.google.com/file/d/1x_TaG-XwBiQ6UGC-PDkZHqFEtgmcpGdK/view?usp=drivesdk</t>
  </si>
  <si>
    <t>RATNA KUSUMADEWI, S.Kom.</t>
  </si>
  <si>
    <t>raragit@gmail.com</t>
  </si>
  <si>
    <t>1110</t>
  </si>
  <si>
    <t>https://drive.google.com/file/d/1z0EuBnWALLylKp9LAWbcUJgkj4J4tTIW/view?usp=drivesdk</t>
  </si>
  <si>
    <t>1z0EuBnWALLylKp9LAWbcUJgkj4J4tTIW</t>
  </si>
  <si>
    <t>1Ha_I0maFuzmapHt6w5QZS6p7O4XwxmE4</t>
  </si>
  <si>
    <t>https://drive.google.com/file/d/1Ha_I0maFuzmapHt6w5QZS6p7O4XwxmE4/view?usp=drivesdk</t>
  </si>
  <si>
    <t>Document successfully created; Document successfully merged; PDF created; !!Error Sending Emails: Service invoked too many times for one day: email.; Manually run by ecertificate75@gmail.com; Timestamp: Aug 30 2024 11:49 PM</t>
  </si>
  <si>
    <t>NURHANA AFRIDA NASUTION</t>
  </si>
  <si>
    <t>nurhana.afrida@gmail.com</t>
  </si>
  <si>
    <t>1111</t>
  </si>
  <si>
    <t>https://drive.google.com/file/d/1c2ODBBiJXVOEbRBbsT4road5eCtm-qlB/view?usp=drivesdk</t>
  </si>
  <si>
    <t>1c2ODBBiJXVOEbRBbsT4road5eCtm-qlB</t>
  </si>
  <si>
    <t>1yNNtnb65ChF2N1IdZ_LwFqT5apS6ktoA</t>
  </si>
  <si>
    <t>https://drive.google.com/file/d/1yNNtnb65ChF2N1IdZ_LwFqT5apS6ktoA/view?usp=drivesdk</t>
  </si>
  <si>
    <t>DWI MULYATI RAHAYU NINGSIH</t>
  </si>
  <si>
    <t>mulyatidwi13@gmail.com</t>
  </si>
  <si>
    <t>1112</t>
  </si>
  <si>
    <t>https://drive.google.com/file/d/1mGrZFdNYIu-_miqOHqt3ogR1AywDnIF2/view?usp=drivesdk</t>
  </si>
  <si>
    <t>1mGrZFdNYIu-_miqOHqt3ogR1AywDnIF2</t>
  </si>
  <si>
    <t>1aPLd31YbCbmA2pzP1DLyNEyHhRyXvtEP</t>
  </si>
  <si>
    <t>https://drive.google.com/file/d/1aPLd31YbCbmA2pzP1DLyNEyHhRyXvtEP/view?usp=drivesdk</t>
  </si>
  <si>
    <t xml:space="preserve">ITA TIKTIYANA </t>
  </si>
  <si>
    <t>itayana37@gmail.com</t>
  </si>
  <si>
    <t>1113</t>
  </si>
  <si>
    <t>https://drive.google.com/file/d/1zNwGAHvInk9Jz7uyzbtdfljvlh-JNmhL/view?usp=drivesdk</t>
  </si>
  <si>
    <t>1zNwGAHvInk9Jz7uyzbtdfljvlh-JNmhL</t>
  </si>
  <si>
    <t>1OD23QR_9WFns4VXpd2dYvAqpTtM6xVbd</t>
  </si>
  <si>
    <t>https://drive.google.com/file/d/1OD23QR_9WFns4VXpd2dYvAqpTtM6xVbd/view?usp=drivesdk</t>
  </si>
  <si>
    <t>DINI ABHARINA, S.H.</t>
  </si>
  <si>
    <t>diniabharina71@gmail.com</t>
  </si>
  <si>
    <t>1114</t>
  </si>
  <si>
    <t>https://drive.google.com/file/d/1mgGtbu8I7G9mTu7ihR7tBDcn3j4cke0K/view?usp=drivesdk</t>
  </si>
  <si>
    <t>1mgGtbu8I7G9mTu7ihR7tBDcn3j4cke0K</t>
  </si>
  <si>
    <t>1vJmwh3sLXGLzw2QRE_98Wmed8Zp6rDki</t>
  </si>
  <si>
    <t>https://drive.google.com/file/d/1vJmwh3sLXGLzw2QRE_98Wmed8Zp6rDki/view?usp=drivesdk</t>
  </si>
  <si>
    <t>ADI SISWANTO, A.MD.</t>
  </si>
  <si>
    <t>sisadiesee@gmail.com</t>
  </si>
  <si>
    <t>1115</t>
  </si>
  <si>
    <t>https://drive.google.com/file/d/1MUlq77UagGa7Gs2k330huPfK1A1uG0gF/view?usp=drivesdk</t>
  </si>
  <si>
    <t>1MUlq77UagGa7Gs2k330huPfK1A1uG0gF</t>
  </si>
  <si>
    <t>1ZGZrvntVVyq9UlaVJCuZZu4Owf-dNmUQ</t>
  </si>
  <si>
    <t>https://drive.google.com/file/d/1ZGZrvntVVyq9UlaVJCuZZu4Owf-dNmUQ/view?usp=drivesdk</t>
  </si>
  <si>
    <t>Document successfully created; Document successfully merged; PDF created; !!Error Sending Emails: Service invoked too many times for one day: email.; Manually run by ecertificate75@gmail.com; Timestamp: Aug 30 2024 11:50 PM</t>
  </si>
  <si>
    <t>MUHAMMAD ABU SUHARJO</t>
  </si>
  <si>
    <t>abusuharjo70@gmail.com</t>
  </si>
  <si>
    <t>1116</t>
  </si>
  <si>
    <t>https://drive.google.com/file/d/1GRi06V3Cc8FtUyngWPuf6IJcrduQnOY4/view?usp=drivesdk</t>
  </si>
  <si>
    <t>1GRi06V3Cc8FtUyngWPuf6IJcrduQnOY4</t>
  </si>
  <si>
    <t>1C7D9mPeHNzSAiKIELnrMK1k4rMb1_-vq</t>
  </si>
  <si>
    <t>https://drive.google.com/file/d/1C7D9mPeHNzSAiKIELnrMK1k4rMb1_-vq/view?usp=drivesdk</t>
  </si>
  <si>
    <t xml:space="preserve">DRG EMMA FRYDA DESYANNA PAKPAHAN </t>
  </si>
  <si>
    <t>qielcute@gmail.com</t>
  </si>
  <si>
    <t>1117</t>
  </si>
  <si>
    <t>https://drive.google.com/file/d/1E0s1ESOEvVdVjaQPyPP95ywoM-L28zee/view?usp=drivesdk</t>
  </si>
  <si>
    <t>1E0s1ESOEvVdVjaQPyPP95ywoM-L28zee</t>
  </si>
  <si>
    <t>1d-GR0XHi8UWlKNCQH1IJhcRSgyrLp8pi</t>
  </si>
  <si>
    <t>https://drive.google.com/file/d/1d-GR0XHi8UWlKNCQH1IJhcRSgyrLp8pi/view?usp=drivesdk</t>
  </si>
  <si>
    <t>MEGA WIRAKASIH</t>
  </si>
  <si>
    <t>megawirakasih@gmail.com</t>
  </si>
  <si>
    <t>1118</t>
  </si>
  <si>
    <t>https://drive.google.com/file/d/1xinKxLHB4brxVZd0m_53rb15FbcIcvrV/view?usp=drivesdk</t>
  </si>
  <si>
    <t>1xinKxLHB4brxVZd0m_53rb15FbcIcvrV</t>
  </si>
  <si>
    <t>1iDuCXWPY9sNetjUUnnsftIwFtSKr6Fv9</t>
  </si>
  <si>
    <t>https://drive.google.com/file/d/1iDuCXWPY9sNetjUUnnsftIwFtSKr6Fv9/view?usp=drivesdk</t>
  </si>
  <si>
    <t>LELY WAHYU HARDIYANINGSIH, SAP</t>
  </si>
  <si>
    <t>Lelywahyu70@gmail.com</t>
  </si>
  <si>
    <t>1119</t>
  </si>
  <si>
    <t>Starting at Thu Aug 29 2024 20:55:21 GMT-0400 (EDT)</t>
  </si>
  <si>
    <t>1VNYVsrOIsZ7rdyvZHaR3VdiLRm6vy-sD</t>
  </si>
  <si>
    <t>https://drive.google.com/file/d/1VNYVsrOIsZ7rdyvZHaR3VdiLRm6vy-sD/view?usp=drivesdk</t>
  </si>
  <si>
    <t>RINI SUKARSI, S. Kom</t>
  </si>
  <si>
    <t>rssanken@gmail.com</t>
  </si>
  <si>
    <t>1120</t>
  </si>
  <si>
    <t>https://drive.google.com/file/d/1lrjCb2C90JKybenAYF9YteCRCfkDYLJ9/view?usp=drivesdk</t>
  </si>
  <si>
    <t>1lrjCb2C90JKybenAYF9YteCRCfkDYLJ9</t>
  </si>
  <si>
    <t>1479TvMpFoXPu8Twp2dscDDQ3hGYYWm9T</t>
  </si>
  <si>
    <t>https://drive.google.com/file/d/1479TvMpFoXPu8Twp2dscDDQ3hGYYWm9T/view?usp=drivesdk</t>
  </si>
  <si>
    <t>AMIRUL WIELUDAN SURYANTO, S.KOM., S.E., M.M.</t>
  </si>
  <si>
    <t>amirulws@gmail.com</t>
  </si>
  <si>
    <t>1121</t>
  </si>
  <si>
    <t>https://drive.google.com/file/d/1QBwoDocyFPyAv8vrr0SDB0zdriBfY5Gm/view?usp=drivesdk</t>
  </si>
  <si>
    <t>1QBwoDocyFPyAv8vrr0SDB0zdriBfY5Gm</t>
  </si>
  <si>
    <t>162vguYsdbMVJqr18QDcOAMMC6GxJAO-M</t>
  </si>
  <si>
    <t>https://drive.google.com/file/d/162vguYsdbMVJqr18QDcOAMMC6GxJAO-M/view?usp=drivesdk</t>
  </si>
  <si>
    <t>SYAMSI RIZKI GULKIANKEDI KUBANGUN</t>
  </si>
  <si>
    <t>syamsi.kubangun@gmail.com</t>
  </si>
  <si>
    <t>1122</t>
  </si>
  <si>
    <t>https://drive.google.com/file/d/10Dk7YqEiIW91nyHnvVaKIa6LscXu5RNt/view?usp=drivesdk</t>
  </si>
  <si>
    <t>10Dk7YqEiIW91nyHnvVaKIa6LscXu5RNt</t>
  </si>
  <si>
    <t>1K6U7M_gQLdeBZXH0HrCYemuFA7ud1uPa</t>
  </si>
  <si>
    <t>https://drive.google.com/file/d/1K6U7M_gQLdeBZXH0HrCYemuFA7ud1uPa/view?usp=drivesdk</t>
  </si>
  <si>
    <t>Document successfully created; Document successfully merged; PDF created; !!Error Sending Emails: Service invoked too many times for one day: email.; Manually run by ecertificate75@gmail.com; Timestamp: Aug 30 2024 11:51 PM</t>
  </si>
  <si>
    <t>indriaarkhanaffanardi@gmail.com</t>
  </si>
  <si>
    <t>1123</t>
  </si>
  <si>
    <t>https://drive.google.com/file/d/1lRM37qj36VvVLam1KF2NoN_GcKvFghAQ/view?usp=drivesdk</t>
  </si>
  <si>
    <t>1lRM37qj36VvVLam1KF2NoN_GcKvFghAQ</t>
  </si>
  <si>
    <t>12Hau6HZJYmuoDCsDtsl_AKpxerKKXbAM</t>
  </si>
  <si>
    <t>https://drive.google.com/file/d/12Hau6HZJYmuoDCsDtsl_AKpxerKKXbAM/view?usp=drivesdk</t>
  </si>
  <si>
    <t>AMALIA ROSINTA DEWI</t>
  </si>
  <si>
    <t>himawari.st3@gmail.com</t>
  </si>
  <si>
    <t>1124</t>
  </si>
  <si>
    <t>https://drive.google.com/file/d/1ked0961skiSPtCfzpCQ0faSU3We-8LfT/view?usp=drivesdk</t>
  </si>
  <si>
    <t>1ked0961skiSPtCfzpCQ0faSU3We-8LfT</t>
  </si>
  <si>
    <t>18JZM1Ia5jXd_ZaR00z5Me9sCb4Acd-RM</t>
  </si>
  <si>
    <t>https://drive.google.com/file/d/18JZM1Ia5jXd_ZaR00z5Me9sCb4Acd-RM/view?usp=drivesdk</t>
  </si>
  <si>
    <t>EDI SAPUTERA WIDJAYA</t>
  </si>
  <si>
    <t>edisaputrabidkeu@gmail.com</t>
  </si>
  <si>
    <t>1125</t>
  </si>
  <si>
    <t>https://drive.google.com/file/d/15WYwQd_n2nY_yctBp8D5VQVYK6OaeAXU/view?usp=drivesdk</t>
  </si>
  <si>
    <t>15WYwQd_n2nY_yctBp8D5VQVYK6OaeAXU</t>
  </si>
  <si>
    <t>141Fj4gI8jjEd2mRdAHV6Zln_aceNNeMF</t>
  </si>
  <si>
    <t>https://drive.google.com/file/d/141Fj4gI8jjEd2mRdAHV6Zln_aceNNeMF/view?usp=drivesdk</t>
  </si>
  <si>
    <t>TRISNAWATI AMAMEHI</t>
  </si>
  <si>
    <t>amamehitris1@gmail.com</t>
  </si>
  <si>
    <t>1126</t>
  </si>
  <si>
    <t>https://drive.google.com/file/d/1qoekwrOZaRLTzZDLA8by6fWIpcWzkWEe/view?usp=drivesdk</t>
  </si>
  <si>
    <t>1qoekwrOZaRLTzZDLA8by6fWIpcWzkWEe</t>
  </si>
  <si>
    <t>12hy3OHZfuxqDJCvgUTQ9qOnIdqjDjqrQ</t>
  </si>
  <si>
    <t>https://drive.google.com/file/d/12hy3OHZfuxqDJCvgUTQ9qOnIdqjDjqrQ/view?usp=drivesdk</t>
  </si>
  <si>
    <t xml:space="preserve">LODIA MARTHA LATUHARHARY </t>
  </si>
  <si>
    <t>lodialatuharhary@gmail.com</t>
  </si>
  <si>
    <t>1127</t>
  </si>
  <si>
    <t>https://drive.google.com/file/d/1QMEvgN6tWba6u6SHl9cK_Qi1_1tTtGto/view?usp=drivesdk</t>
  </si>
  <si>
    <t>1QMEvgN6tWba6u6SHl9cK_Qi1_1tTtGto</t>
  </si>
  <si>
    <t>1KCt08Ql0rPtyUMSQokXnVJ8mNtKXyRkU</t>
  </si>
  <si>
    <t>https://drive.google.com/file/d/1KCt08Ql0rPtyUMSQokXnVJ8mNtKXyRkU/view?usp=drivesdk</t>
  </si>
  <si>
    <t>IDA SETIYOWATI,S.Kep,Ns</t>
  </si>
  <si>
    <t>idasetyowati23978@gmail.com</t>
  </si>
  <si>
    <t>1128</t>
  </si>
  <si>
    <t>https://drive.google.com/file/d/19cAL8B29JiAFwWkmB2HOiN3_qrPKHU_5/view?usp=drivesdk</t>
  </si>
  <si>
    <t>19cAL8B29JiAFwWkmB2HOiN3_qrPKHU_5</t>
  </si>
  <si>
    <t>1V6uiq4El1D50WL4qPcEyXi0O8XowhZu9</t>
  </si>
  <si>
    <t>https://drive.google.com/file/d/1V6uiq4El1D50WL4qPcEyXi0O8XowhZu9/view?usp=drivesdk</t>
  </si>
  <si>
    <t>Document successfully created; Document successfully merged; PDF created; !!Error Sending Emails: Service invoked too many times for one day: email.; Manually run by ecertificate75@gmail.com; Timestamp: Aug 30 2024 11:52 PM</t>
  </si>
  <si>
    <t>NENENG KARMILAH</t>
  </si>
  <si>
    <t>nenkmila75@gmail.com</t>
  </si>
  <si>
    <t>1129</t>
  </si>
  <si>
    <t>https://drive.google.com/file/d/1nYNCTng-XHb5UUYq08v9707zmz7u1fnG/view?usp=drivesdk</t>
  </si>
  <si>
    <t>1nYNCTng-XHb5UUYq08v9707zmz7u1fnG</t>
  </si>
  <si>
    <t>1Zvdqgg2EtYq4BR8xcZsYbxaCKvrdq4f-</t>
  </si>
  <si>
    <t>https://drive.google.com/file/d/1Zvdqgg2EtYq4BR8xcZsYbxaCKvrdq4f-/view?usp=drivesdk</t>
  </si>
  <si>
    <t xml:space="preserve">KURNIAWAN PAMBUDI </t>
  </si>
  <si>
    <t>kpambudi@gmail.com</t>
  </si>
  <si>
    <t>1130</t>
  </si>
  <si>
    <t>https://drive.google.com/file/d/11hMOjyLL_DB05W15SvTP8iXkAJlskgSn/view?usp=drivesdk</t>
  </si>
  <si>
    <t>11hMOjyLL_DB05W15SvTP8iXkAJlskgSn</t>
  </si>
  <si>
    <t>1cZKwW_2u_-dL7EQvz6CPOShsafOzJFzm</t>
  </si>
  <si>
    <t>https://drive.google.com/file/d/1cZKwW_2u_-dL7EQvz6CPOShsafOzJFzm/view?usp=drivesdk</t>
  </si>
  <si>
    <t>MOHAMMAD ARIEF ARYO W, S.Kep</t>
  </si>
  <si>
    <t>aryowibisono4982@gmail.com</t>
  </si>
  <si>
    <t>1131</t>
  </si>
  <si>
    <t>Starting at Thu Aug 29 2024 20:55:38 GMT-0400 (EDT)</t>
  </si>
  <si>
    <t>1eaOTON0957rGyttAqa4JJApJAcyTcqve</t>
  </si>
  <si>
    <t>https://drive.google.com/file/d/1eaOTON0957rGyttAqa4JJApJAcyTcqve/view?usp=drivesdk</t>
  </si>
  <si>
    <t>DEA RISCA APRILLIANI</t>
  </si>
  <si>
    <t>dearisca.aprilliani66@gmail.com</t>
  </si>
  <si>
    <t>1132</t>
  </si>
  <si>
    <t>1cGSsU9dMqLUZqj327bA-sG5v00be-fLf</t>
  </si>
  <si>
    <t>https://drive.google.com/file/d/1cGSsU9dMqLUZqj327bA-sG5v00be-fLf/view?usp=drivesdk</t>
  </si>
  <si>
    <t>SRI SARIASIH, S.E.</t>
  </si>
  <si>
    <t>srisariasih2747@gmail.com</t>
  </si>
  <si>
    <t>1133</t>
  </si>
  <si>
    <t>1frDYpqdhfdsNpmnhZ5av6d6XljYyQZCO</t>
  </si>
  <si>
    <t>https://drive.google.com/file/d/1frDYpqdhfdsNpmnhZ5av6d6XljYyQZCO/view?usp=drivesdk</t>
  </si>
  <si>
    <t>SIGIT PURWANTO, S.Pd.</t>
  </si>
  <si>
    <t>sigitpurwanto14@gmail.com</t>
  </si>
  <si>
    <t>1134</t>
  </si>
  <si>
    <t>1hwAkdI0HRzAg7NlfcGspOg0sFOTmZIIM</t>
  </si>
  <si>
    <t>https://drive.google.com/file/d/1hwAkdI0HRzAg7NlfcGspOg0sFOTmZIIM/view?usp=drivesdk</t>
  </si>
  <si>
    <t>Document successfully created; Document successfully merged; PDF created; !!Error Sending Emails: Service invoked too many times for one day: email.; Manually run by ecertificate75@gmail.com; Timestamp: Aug 30 2024 11:53 PM</t>
  </si>
  <si>
    <t>ARIEF BUDIMAN, S.Pd.SD</t>
  </si>
  <si>
    <t>arief82budiman@gmail.com</t>
  </si>
  <si>
    <t>1135</t>
  </si>
  <si>
    <t>1Sfudl8bPsZ2jXJ5iIqVTCTKD7plblCcE</t>
  </si>
  <si>
    <t>https://drive.google.com/file/d/1Sfudl8bPsZ2jXJ5iIqVTCTKD7plblCcE/view?usp=drivesdk</t>
  </si>
  <si>
    <t>LOLASARI NOVELLY HUTABARAT, M.M</t>
  </si>
  <si>
    <t>sarilola71@gmail.com</t>
  </si>
  <si>
    <t>1136</t>
  </si>
  <si>
    <t>18p137JiTG2olyVVOWwUMyjySpES65hW5</t>
  </si>
  <si>
    <t>https://drive.google.com/file/d/18p137JiTG2olyVVOWwUMyjySpES65hW5/view?usp=drivesdk</t>
  </si>
  <si>
    <t>JOHN MAX HAKIM, Amd.Kep</t>
  </si>
  <si>
    <t>johnmaxhakim@gmail.com</t>
  </si>
  <si>
    <t>1137</t>
  </si>
  <si>
    <t>https://drive.google.com/file/d/1jYzFdlTqE9V4T313L--zJqRQ0qvrVZn_/view?usp=drivesdk</t>
  </si>
  <si>
    <t>1jYzFdlTqE9V4T313L--zJqRQ0qvrVZn_</t>
  </si>
  <si>
    <t>1Yd0CNtYrKd1nB_nEr6thTe1yxMAm34nb</t>
  </si>
  <si>
    <t>https://drive.google.com/file/d/1Yd0CNtYrKd1nB_nEr6thTe1yxMAm34nb/view?usp=drivesdk</t>
  </si>
  <si>
    <t xml:space="preserve">MAMAT HENDRAWAN </t>
  </si>
  <si>
    <t>hendrawanmamat@gmail.com</t>
  </si>
  <si>
    <t>1138</t>
  </si>
  <si>
    <t>https://drive.google.com/file/d/17-anN9SX5zIqm9GO5bH_aMo5lg-l-YTh/view?usp=drivesdk</t>
  </si>
  <si>
    <t>17-anN9SX5zIqm9GO5bH_aMo5lg-l-YTh</t>
  </si>
  <si>
    <t>1BRYN0a0OicVDisPHN_CgbbkRNnsDKlf6</t>
  </si>
  <si>
    <t>https://drive.google.com/file/d/1BRYN0a0OicVDisPHN_CgbbkRNnsDKlf6/view?usp=drivesdk</t>
  </si>
  <si>
    <t>VIVI OKTRIANA</t>
  </si>
  <si>
    <t>vivi_tambunan@yahoo.com</t>
  </si>
  <si>
    <t>1139</t>
  </si>
  <si>
    <t>https://drive.google.com/file/d/1dZ0QzSbwgL9oaqZRlIEiEtW8Xv76uGg1/view?usp=drivesdk</t>
  </si>
  <si>
    <t>1dZ0QzSbwgL9oaqZRlIEiEtW8Xv76uGg1</t>
  </si>
  <si>
    <t>1bXac-lStQGhcaFf1M-K4RQQTCBtpye4X</t>
  </si>
  <si>
    <t>https://drive.google.com/file/d/1bXac-lStQGhcaFf1M-K4RQQTCBtpye4X/view?usp=drivesdk</t>
  </si>
  <si>
    <t>Document successfully created; Document successfully merged; PDF created; !!Error Sending Emails: Service invoked too many times for one day: email.; Manually run by ecertificate75@gmail.com; Timestamp: Aug 30 2024 11:54 PM</t>
  </si>
  <si>
    <t>IKE FEBRIWATI SUPRAYITNO</t>
  </si>
  <si>
    <t>ikefebriwati@gmail.com</t>
  </si>
  <si>
    <t>1140</t>
  </si>
  <si>
    <t>https://drive.google.com/file/d/1jv4aP7ipvk6mgnM0r06ZKiT0EbVp_wAu/view?usp=drivesdk</t>
  </si>
  <si>
    <t>1jv4aP7ipvk6mgnM0r06ZKiT0EbVp_wAu</t>
  </si>
  <si>
    <t>1Q3y5CbMp1lswGyNUdknRQJTF7q8TwvIX</t>
  </si>
  <si>
    <t>https://drive.google.com/file/d/1Q3y5CbMp1lswGyNUdknRQJTF7q8TwvIX/view?usp=drivesdk</t>
  </si>
  <si>
    <t xml:space="preserve">KUNARSIH KUNARSIH </t>
  </si>
  <si>
    <t>narsih2003@gmail.com</t>
  </si>
  <si>
    <t>1141</t>
  </si>
  <si>
    <t>https://drive.google.com/file/d/1cvU66b98db_UBcioiPnCtm9lT8e95KTd/view?usp=drivesdk</t>
  </si>
  <si>
    <t>1cvU66b98db_UBcioiPnCtm9lT8e95KTd</t>
  </si>
  <si>
    <t>1YA6pqso1UlubUAs5kbsvm1_iUluDg258</t>
  </si>
  <si>
    <t>https://drive.google.com/file/d/1YA6pqso1UlubUAs5kbsvm1_iUluDg258/view?usp=drivesdk</t>
  </si>
  <si>
    <t>YUDIPURWONO,S</t>
  </si>
  <si>
    <t>zivaniazka@gmail.com</t>
  </si>
  <si>
    <t>1142</t>
  </si>
  <si>
    <t>https://drive.google.com/file/d/1qi1Pe5uX7dEfR_UIoPZDbRfVessN1BO8/view?usp=drivesdk</t>
  </si>
  <si>
    <t>1qi1Pe5uX7dEfR_UIoPZDbRfVessN1BO8</t>
  </si>
  <si>
    <t>1tqRxj6Rd1B7ZeX6SDGhAgiwaL_KFhxwf</t>
  </si>
  <si>
    <t>https://drive.google.com/file/d/1tqRxj6Rd1B7ZeX6SDGhAgiwaL_KFhxwf/view?usp=drivesdk</t>
  </si>
  <si>
    <t>HENI INDAWATI,S.Pd</t>
  </si>
  <si>
    <t>heniindawati01@gmail.com</t>
  </si>
  <si>
    <t>1143</t>
  </si>
  <si>
    <t>https://drive.google.com/file/d/1_t2OsWssvBwE8SBBMasWA-PaoaHcF3M2/view?usp=drivesdk</t>
  </si>
  <si>
    <t>1_t2OsWssvBwE8SBBMasWA-PaoaHcF3M2</t>
  </si>
  <si>
    <t>1nV46hH58yW2EswCLuYjs6YgcxEkcwvNW</t>
  </si>
  <si>
    <t>https://drive.google.com/file/d/1nV46hH58yW2EswCLuYjs6YgcxEkcwvNW/view?usp=drivesdk</t>
  </si>
  <si>
    <t>Document successfully created; Document successfully merged; PDF created; !!Error Sending Emails: Service invoked too many times for one day: email.; Manually run by ecertificate75@gmail.com; Timestamp: Aug 30 2024 11:55 PM</t>
  </si>
  <si>
    <t>BUDI WAHYUNING ASTUTI</t>
  </si>
  <si>
    <t>budiw4520@gmail.com</t>
  </si>
  <si>
    <t>1144</t>
  </si>
  <si>
    <t>https://drive.google.com/file/d/1C2jJPVp3umfnhwnalP4dkB7GNr_mb5ZR/view?usp=drivesdk</t>
  </si>
  <si>
    <t>1C2jJPVp3umfnhwnalP4dkB7GNr_mb5ZR</t>
  </si>
  <si>
    <t>1EWFWKrp3kyLIfUlINSYLGR02J_R50kQJ</t>
  </si>
  <si>
    <t>https://drive.google.com/file/d/1EWFWKrp3kyLIfUlINSYLGR02J_R50kQJ/view?usp=drivesdk</t>
  </si>
  <si>
    <t xml:space="preserve">ARIS BUDI HASTUTI </t>
  </si>
  <si>
    <t>tuti.khunaedi@gmail.com</t>
  </si>
  <si>
    <t>1145</t>
  </si>
  <si>
    <t>https://drive.google.com/file/d/1C-3zs8slzSGb4DL18d-WwJFSExfQzoUT/view?usp=drivesdk</t>
  </si>
  <si>
    <t>1C-3zs8slzSGb4DL18d-WwJFSExfQzoUT</t>
  </si>
  <si>
    <t>1sNUL0VqE2p8lu69bTEJ8jDVhAiAKgVBg</t>
  </si>
  <si>
    <t>https://drive.google.com/file/d/1sNUL0VqE2p8lu69bTEJ8jDVhAiAKgVBg/view?usp=drivesdk</t>
  </si>
  <si>
    <t>DYAH PUTRI WIDYAWATI, SE</t>
  </si>
  <si>
    <t>dyahputri612@gmail.com</t>
  </si>
  <si>
    <t>1146</t>
  </si>
  <si>
    <t>https://drive.google.com/file/d/1xZBaq2OL5y8GRZeXPzF63Mk8XIeXtM6s/view?usp=drivesdk</t>
  </si>
  <si>
    <t>1xZBaq2OL5y8GRZeXPzF63Mk8XIeXtM6s</t>
  </si>
  <si>
    <t>1QEXXWChH-jw5VwNba9cmdX2VTdXfKyHf</t>
  </si>
  <si>
    <t>https://drive.google.com/file/d/1QEXXWChH-jw5VwNba9cmdX2VTdXfKyHf/view?usp=drivesdk</t>
  </si>
  <si>
    <t>RACHMAN NUGRAHARIYADIYANTO</t>
  </si>
  <si>
    <t>abahrachman9@gmail.com</t>
  </si>
  <si>
    <t>1147</t>
  </si>
  <si>
    <t>https://drive.google.com/file/d/1W-0EL5mQL_HHQOixplVL--1yj3ZHqFJ8/view?usp=drivesdk</t>
  </si>
  <si>
    <t>1W-0EL5mQL_HHQOixplVL--1yj3ZHqFJ8</t>
  </si>
  <si>
    <t>1vlhYCfS3A1BAMgTh3zxFUwKE7X3RUO__</t>
  </si>
  <si>
    <t>https://drive.google.com/file/d/1vlhYCfS3A1BAMgTh3zxFUwKE7X3RUO__/view?usp=drivesdk</t>
  </si>
  <si>
    <t>CHUSNUL CHOTIMAH,A.MD</t>
  </si>
  <si>
    <t>chusnulchotimah447@gmail.com</t>
  </si>
  <si>
    <t>1148</t>
  </si>
  <si>
    <t>https://drive.google.com/file/d/1kLdyVbp7vYOpjtoG2MopyNNCMnY-WoZ7/view?usp=drivesdk</t>
  </si>
  <si>
    <t>1kLdyVbp7vYOpjtoG2MopyNNCMnY-WoZ7</t>
  </si>
  <si>
    <t>1dAU8WRM5TFuBjVTKmtrtxvVuMFGKKJpp</t>
  </si>
  <si>
    <t>https://drive.google.com/file/d/1dAU8WRM5TFuBjVTKmtrtxvVuMFGKKJpp/view?usp=drivesdk</t>
  </si>
  <si>
    <t>MIDUK SITUMORANG</t>
  </si>
  <si>
    <t>miduksifour@gmail.com</t>
  </si>
  <si>
    <t>1149</t>
  </si>
  <si>
    <t>Starting at Thu Aug 29 2024 20:55:50 GMT-0400 (EDT)</t>
  </si>
  <si>
    <t>135fHnHSMop2o2Y9iOUqdDwEjeuNMkTaB</t>
  </si>
  <si>
    <t>https://drive.google.com/file/d/135fHnHSMop2o2Y9iOUqdDwEjeuNMkTaB/view?usp=drivesdk</t>
  </si>
  <si>
    <t>Document successfully created; Document successfully merged; PDF created; !!Error Sending Emails: Service invoked too many times for one day: email.; Manually run by ecertificate75@gmail.com; Timestamp: Aug 30 2024 11:56 PM</t>
  </si>
  <si>
    <t>LILIANTI USMAN</t>
  </si>
  <si>
    <t>liliantimuhlis72@gmail.com</t>
  </si>
  <si>
    <t>1150</t>
  </si>
  <si>
    <t>https://drive.google.com/file/d/1aZgO3CGE9jXjWYVmLbgOO0IALbcfQjge/view?usp=drivesdk</t>
  </si>
  <si>
    <t>1aZgO3CGE9jXjWYVmLbgOO0IALbcfQjge</t>
  </si>
  <si>
    <t>1eua7dWyDrg1YE6mr-vkuVpTYxppK-DY_</t>
  </si>
  <si>
    <t>https://drive.google.com/file/d/1eua7dWyDrg1YE6mr-vkuVpTYxppK-DY_/view?usp=drivesdk</t>
  </si>
  <si>
    <t>IRA ARDIYANI, SE</t>
  </si>
  <si>
    <t>irabinmas@gmail.com</t>
  </si>
  <si>
    <t>1151</t>
  </si>
  <si>
    <t>https://drive.google.com/file/d/1TYGc1qvyqPMgluiM0nEad2UKSUNsk_uP/view?usp=drivesdk</t>
  </si>
  <si>
    <t>1TYGc1qvyqPMgluiM0nEad2UKSUNsk_uP</t>
  </si>
  <si>
    <t>1LHC2K1RjQ8FtXR3glMOMNAxI7SFP8ReW</t>
  </si>
  <si>
    <t>https://drive.google.com/file/d/1LHC2K1RjQ8FtXR3glMOMNAxI7SFP8ReW/view?usp=drivesdk</t>
  </si>
  <si>
    <t>NI MADE SUARNI SULISTYANINGSIH</t>
  </si>
  <si>
    <t>madesuarni1986@gmail.com</t>
  </si>
  <si>
    <t>1152</t>
  </si>
  <si>
    <t>https://drive.google.com/file/d/1s9iigHfsRsu8EXBqlSgPoGD8rH2U3Yxf/view?usp=drivesdk</t>
  </si>
  <si>
    <t>1s9iigHfsRsu8EXBqlSgPoGD8rH2U3Yxf</t>
  </si>
  <si>
    <t>15qUSEFm-ntiF5po8yycMxyYL4gqct71k</t>
  </si>
  <si>
    <t>https://drive.google.com/file/d/15qUSEFm-ntiF5po8yycMxyYL4gqct71k/view?usp=drivesdk</t>
  </si>
  <si>
    <t>NOVA MARTILA,AMD.KEB</t>
  </si>
  <si>
    <t>novamartila2@gmail.com</t>
  </si>
  <si>
    <t>1153</t>
  </si>
  <si>
    <t>https://drive.google.com/file/d/1ClpeTt70O0A8tiecdAZpFE4vpLo7Ql9A/view?usp=drivesdk</t>
  </si>
  <si>
    <t>1ClpeTt70O0A8tiecdAZpFE4vpLo7Ql9A</t>
  </si>
  <si>
    <t>1oxjL1b86cv1tXDNfQurkMLxfuv1NNo6K</t>
  </si>
  <si>
    <t>https://drive.google.com/file/d/1oxjL1b86cv1tXDNfQurkMLxfuv1NNo6K/view?usp=drivesdk</t>
  </si>
  <si>
    <t>TRI HERLINDA AYUNINGDYAH KUSUMA DEWI, A. Md</t>
  </si>
  <si>
    <t>herlindacum@gmail.com</t>
  </si>
  <si>
    <t>1154</t>
  </si>
  <si>
    <t>Starting at Thu Aug 29 2024 20:55:58 GMT-0400 (EDT)</t>
  </si>
  <si>
    <t>1sOiZ41zzCyHgitOd66wYQ5bhTB0zioUn</t>
  </si>
  <si>
    <t>https://drive.google.com/file/d/1sOiZ41zzCyHgitOd66wYQ5bhTB0zioUn/view?usp=drivesdk</t>
  </si>
  <si>
    <t>MARDI PRIYATNO</t>
  </si>
  <si>
    <t>mardispn@gmail.com</t>
  </si>
  <si>
    <t>1155</t>
  </si>
  <si>
    <t>https://drive.google.com/file/d/18BxEefZFi9D5eOJFIk5LNKruIjKPDtWk/view?usp=drivesdk</t>
  </si>
  <si>
    <t>18BxEefZFi9D5eOJFIk5LNKruIjKPDtWk</t>
  </si>
  <si>
    <t>1EJEllPkaFm0uWenSqoXUDkvaKBaSDpUv</t>
  </si>
  <si>
    <t>https://drive.google.com/file/d/1EJEllPkaFm0uWenSqoXUDkvaKBaSDpUv/view?usp=drivesdk</t>
  </si>
  <si>
    <t>Document successfully created; Document successfully merged; PDF created; !!Error Sending Emails: Service invoked too many times for one day: email.; Manually run by ecertificate75@gmail.com; Timestamp: Aug 30 2024 11:57 PM</t>
  </si>
  <si>
    <t>MUHAMMAD IQBAL TIANOTAK</t>
  </si>
  <si>
    <t>iqbalari2814@gmail.com</t>
  </si>
  <si>
    <t>1156</t>
  </si>
  <si>
    <t>https://drive.google.com/file/d/11HHU3h921skyszUcK25idiIk_sEOzx0J/view?usp=drivesdk</t>
  </si>
  <si>
    <t>11HHU3h921skyszUcK25idiIk_sEOzx0J</t>
  </si>
  <si>
    <t>17ptcqQ2H-DiyTjpHCpmsomqF1Uy2sC4e</t>
  </si>
  <si>
    <t>https://drive.google.com/file/d/17ptcqQ2H-DiyTjpHCpmsomqF1Uy2sC4e/view?usp=drivesdk</t>
  </si>
  <si>
    <t>RIKA PUSPITASARI</t>
  </si>
  <si>
    <t>rikas9002@gmail.com</t>
  </si>
  <si>
    <t>1157</t>
  </si>
  <si>
    <t>https://drive.google.com/file/d/1Mrxln-IV07brVuQ88IQX91tHfB0oKkM8/view?usp=drivesdk</t>
  </si>
  <si>
    <t>1Mrxln-IV07brVuQ88IQX91tHfB0oKkM8</t>
  </si>
  <si>
    <t>1YavUGeyTvzcJGwykuaf5X_blKZW7eB-S</t>
  </si>
  <si>
    <t>https://drive.google.com/file/d/1YavUGeyTvzcJGwykuaf5X_blKZW7eB-S/view?usp=drivesdk</t>
  </si>
  <si>
    <t>MARISA APRIDONA</t>
  </si>
  <si>
    <t>deridonaraishakhalif@gmail.com</t>
  </si>
  <si>
    <t>1158</t>
  </si>
  <si>
    <t>Starting at Thu Aug 29 2024 20:56:05 GMT-0400 (EDT)</t>
  </si>
  <si>
    <t>1IMkEZ3YCOzFlFAGV0R3CvVs4OFyrSww9</t>
  </si>
  <si>
    <t>https://drive.google.com/file/d/1IMkEZ3YCOzFlFAGV0R3CvVs4OFyrSww9/view?usp=drivesdk</t>
  </si>
  <si>
    <t>ZULHIJRIANTI IRWANI, S.KOM</t>
  </si>
  <si>
    <t>ririnaja04@gmail.com</t>
  </si>
  <si>
    <t>1159</t>
  </si>
  <si>
    <t>https://drive.google.com/file/d/1ssqrgGMWwRydWfyOiIoCc-PjnGcPIahg/view?usp=drivesdk</t>
  </si>
  <si>
    <t>1ssqrgGMWwRydWfyOiIoCc-PjnGcPIahg</t>
  </si>
  <si>
    <t>1ftt5G0-TIMDJHHvB3IetfrTaoTZ00fhY</t>
  </si>
  <si>
    <t>https://drive.google.com/file/d/1ftt5G0-TIMDJHHvB3IetfrTaoTZ00fhY/view?usp=drivesdk</t>
  </si>
  <si>
    <t>NOORPAH DIYANTI Amd. Kep</t>
  </si>
  <si>
    <t>noorpahd@gmail.com</t>
  </si>
  <si>
    <t>1160</t>
  </si>
  <si>
    <t>https://drive.google.com/file/d/1Vl1Ks0O36nv4yg4-_BiqgF8LGXFM29iH/view?usp=drivesdk</t>
  </si>
  <si>
    <t>1Vl1Ks0O36nv4yg4-_BiqgF8LGXFM29iH</t>
  </si>
  <si>
    <t>1qav8jl1qKQs-88gK93jm2VruyQQrze0f</t>
  </si>
  <si>
    <t>https://drive.google.com/file/d/1qav8jl1qKQs-88gK93jm2VruyQQrze0f/view?usp=drivesdk</t>
  </si>
  <si>
    <t>METTY IKA KURNIASARI, S.Kom.</t>
  </si>
  <si>
    <t>hemonsayang@gmail.com</t>
  </si>
  <si>
    <t>1161</t>
  </si>
  <si>
    <t>Starting at Thu Aug 29 2024 20:56:10 GMT-0400 (EDT)</t>
  </si>
  <si>
    <t>1GNleYV6toL2SJV71cEcxoX02g--KB2Zy</t>
  </si>
  <si>
    <t>https://drive.google.com/file/d/1GNleYV6toL2SJV71cEcxoX02g--KB2Zy/view?usp=drivesdk</t>
  </si>
  <si>
    <t>Document successfully created; Document successfully merged; PDF created; !!Error Sending Emails: Service invoked too many times for one day: email.; Manually run by ecertificate75@gmail.com; Timestamp: Aug 30 2024 11:58 PM</t>
  </si>
  <si>
    <t>ERNI YUSNITA I</t>
  </si>
  <si>
    <t>erniyusnita1970@gmail.com</t>
  </si>
  <si>
    <t>1162</t>
  </si>
  <si>
    <t>https://drive.google.com/file/d/1HTPxra0YYzr5HUY4rW2FVV1zES9nLeyh/view?usp=drivesdk</t>
  </si>
  <si>
    <t>1HTPxra0YYzr5HUY4rW2FVV1zES9nLeyh</t>
  </si>
  <si>
    <t>12Tl8ZzdGpyDljV0URlPvx6wBdmzz4RTd</t>
  </si>
  <si>
    <t>https://drive.google.com/file/d/12Tl8ZzdGpyDljV0URlPvx6wBdmzz4RTd/view?usp=drivesdk</t>
  </si>
  <si>
    <t>JEFRI DOLFINUS WARIKAR, A.Md.Kep</t>
  </si>
  <si>
    <t>jefri.mkw1992@mail.com</t>
  </si>
  <si>
    <t>1163</t>
  </si>
  <si>
    <t>https://drive.google.com/file/d/108WpmXiThglWV8Ymobwsg8EvOp2czVhE/view?usp=drivesdk</t>
  </si>
  <si>
    <t>108WpmXiThglWV8Ymobwsg8EvOp2czVhE</t>
  </si>
  <si>
    <t>1cyN2aDiBYxulUKsD72_z-NKeWKXFbifR</t>
  </si>
  <si>
    <t>https://drive.google.com/file/d/1cyN2aDiBYxulUKsD72_z-NKeWKXFbifR/view?usp=drivesdk</t>
  </si>
  <si>
    <t>M. ZULFIKAR MANGILE</t>
  </si>
  <si>
    <t>muhammadzulfikarmangile@gmail.com</t>
  </si>
  <si>
    <t>1164</t>
  </si>
  <si>
    <t>https://drive.google.com/file/d/1hcGYapwKMUYvtXPc2oZlSmcgWOBWk0kN/view?usp=drivesdk</t>
  </si>
  <si>
    <t>1hcGYapwKMUYvtXPc2oZlSmcgWOBWk0kN</t>
  </si>
  <si>
    <t>1fSMDdZAHwvKwf6znptbyUksyPRd695bv</t>
  </si>
  <si>
    <t>https://drive.google.com/file/d/1fSMDdZAHwvKwf6znptbyUksyPRd695bv/view?usp=drivesdk</t>
  </si>
  <si>
    <t>YOPPY WAHYU KRISTANTONO</t>
  </si>
  <si>
    <t>wahyuyoppy@gmail.com</t>
  </si>
  <si>
    <t>1165</t>
  </si>
  <si>
    <t>https://drive.google.com/file/d/1ynzkQetzoykeoUxcgw6WGgE-kgAOnOut/view?usp=drivesdk</t>
  </si>
  <si>
    <t>1ynzkQetzoykeoUxcgw6WGgE-kgAOnOut</t>
  </si>
  <si>
    <t>1U0G7Ui3RXgXwpedlGgrI9qjSMU02FqEW</t>
  </si>
  <si>
    <t>https://drive.google.com/file/d/1U0G7Ui3RXgXwpedlGgrI9qjSMU02FqEW/view?usp=drivesdk</t>
  </si>
  <si>
    <t>ANANG YUTANTO SH</t>
  </si>
  <si>
    <t>anangyutanto@gmail.com</t>
  </si>
  <si>
    <t>1166</t>
  </si>
  <si>
    <t>https://drive.google.com/file/d/1UDKa-cXLBin2YT4sQXehPuPth2Zu9yks/view?usp=drivesdk</t>
  </si>
  <si>
    <t>1UDKa-cXLBin2YT4sQXehPuPth2Zu9yks</t>
  </si>
  <si>
    <t>17xr6gZIXr05PG8uIzKCiu6KEoYxNIAMo</t>
  </si>
  <si>
    <t>https://drive.google.com/file/d/17xr6gZIXr05PG8uIzKCiu6KEoYxNIAMo/view?usp=drivesdk</t>
  </si>
  <si>
    <t>SRI PURWANTI, SPD</t>
  </si>
  <si>
    <t>Sripurwant7090@gmail.com</t>
  </si>
  <si>
    <t>1167</t>
  </si>
  <si>
    <t>https://drive.google.com/file/d/1_Ah4AOEJqKzBlr5DczjOQj9yU5gZz-dZ/view?usp=drivesdk</t>
  </si>
  <si>
    <t>1_Ah4AOEJqKzBlr5DczjOQj9yU5gZz-dZ</t>
  </si>
  <si>
    <t>1RXyqsDzmVddPuMyZ4qLzmCLuRZrsmPg2</t>
  </si>
  <si>
    <t>https://drive.google.com/file/d/1RXyqsDzmVddPuMyZ4qLzmCLuRZrsmPg2/view?usp=drivesdk</t>
  </si>
  <si>
    <t>Document successfully created; Document successfully merged; PDF created; !!Error Sending Emails: Service invoked too many times for one day: email.; Manually run by ecertificate75@gmail.com; Timestamp: Aug 30 2024 11:59 PM</t>
  </si>
  <si>
    <t>dr. ANITA RAHMAWATI</t>
  </si>
  <si>
    <t>dokteranita78@gmail.com</t>
  </si>
  <si>
    <t>1168</t>
  </si>
  <si>
    <t>https://drive.google.com/file/d/1i8LXKf3rhgiytgXniez_NM8P7LMUCEIe/view?usp=drivesdk</t>
  </si>
  <si>
    <t>1i8LXKf3rhgiytgXniez_NM8P7LMUCEIe</t>
  </si>
  <si>
    <t>1OOOswlelX0VcS-zkRZFGMEyb4lbZDuQJ</t>
  </si>
  <si>
    <t>https://drive.google.com/file/d/1OOOswlelX0VcS-zkRZFGMEyb4lbZDuQJ/view?usp=drivesdk</t>
  </si>
  <si>
    <t>PENGATUR TK. I ROSMIYATI</t>
  </si>
  <si>
    <t>miyatiros55@gmail.com</t>
  </si>
  <si>
    <t>1169</t>
  </si>
  <si>
    <t>https://drive.google.com/file/d/1W4uWQSkNXaI-Z6OpmFmfl531cjc0jjO6/view?usp=drivesdk</t>
  </si>
  <si>
    <t>1W4uWQSkNXaI-Z6OpmFmfl531cjc0jjO6</t>
  </si>
  <si>
    <t>1ZZjzUiNWrsRofNf1DAg2_mw7KzCpmam2</t>
  </si>
  <si>
    <t>https://drive.google.com/file/d/1ZZjzUiNWrsRofNf1DAg2_mw7KzCpmam2/view?usp=drivesdk</t>
  </si>
  <si>
    <t>NANIK DWI RAHAYU, S.Kep., M.H.</t>
  </si>
  <si>
    <t>nanikdwi77@gmail.com</t>
  </si>
  <si>
    <t>1170</t>
  </si>
  <si>
    <t>https://drive.google.com/file/d/12K4MtfTltENRg6WVSOeR2yh433z3zeaR/view?usp=drivesdk</t>
  </si>
  <si>
    <t>12K4MtfTltENRg6WVSOeR2yh433z3zeaR</t>
  </si>
  <si>
    <t>14COKjjWfc0-y-1GggihnbkUr5K6lRRdz</t>
  </si>
  <si>
    <t>https://drive.google.com/file/d/14COKjjWfc0-y-1GggihnbkUr5K6lRRdz/view?usp=drivesdk</t>
  </si>
  <si>
    <t>IRWAN SUNDORO ST</t>
  </si>
  <si>
    <t>sundoroirwan06@gmail.com</t>
  </si>
  <si>
    <t>1171</t>
  </si>
  <si>
    <t>https://drive.google.com/file/d/1QZ9q1Kp0iHizd5PjFm-hGs625IMQHjZC/view?usp=drivesdk</t>
  </si>
  <si>
    <t>1QZ9q1Kp0iHizd5PjFm-hGs625IMQHjZC</t>
  </si>
  <si>
    <t>1Q82iAS4By6vsRBKhGJTxDyukVxqTADIG</t>
  </si>
  <si>
    <t>https://drive.google.com/file/d/1Q82iAS4By6vsRBKhGJTxDyukVxqTADIG/view?usp=drivesdk</t>
  </si>
  <si>
    <t>FITRI LINA AMK AMK</t>
  </si>
  <si>
    <t>fl3484@gmail.com</t>
  </si>
  <si>
    <t>1172</t>
  </si>
  <si>
    <t>https://drive.google.com/file/d/1YuRRj1ECMhAibrjtV5Q0ed-o69j7FG5-/view?usp=drivesdk</t>
  </si>
  <si>
    <t>1YuRRj1ECMhAibrjtV5Q0ed-o69j7FG5-</t>
  </si>
  <si>
    <t>1KRl12UZwLpERjk6u2gaYNG4rshjPLOFA</t>
  </si>
  <si>
    <t>https://drive.google.com/file/d/1KRl12UZwLpERjk6u2gaYNG4rshjPLOFA/view?usp=drivesdk</t>
  </si>
  <si>
    <t>Document successfully created; Document successfully merged; PDF created; !!Error Sending Emails: Service invoked too many times for one day: email.; Manually run by ecertificate75@gmail.com; Timestamp: Aug 31 2024 12:00 AM</t>
  </si>
  <si>
    <t>SYAIFUL AGUNG PRAMONO, A.Md</t>
  </si>
  <si>
    <t>syaiful.jateng@gmail.com</t>
  </si>
  <si>
    <t>1173</t>
  </si>
  <si>
    <t>https://drive.google.com/file/d/10R8rmbQwHMmHAHBpmb0aet90PpXzymbk/view?usp=drivesdk</t>
  </si>
  <si>
    <t>10R8rmbQwHMmHAHBpmb0aet90PpXzymbk</t>
  </si>
  <si>
    <t>1mnuYoTTSgLKlEngP8krkpLvGr00UYLFY</t>
  </si>
  <si>
    <t>https://drive.google.com/file/d/1mnuYoTTSgLKlEngP8krkpLvGr00UYLFY/view?usp=drivesdk</t>
  </si>
  <si>
    <t>SRI YULIANTI SAMANI</t>
  </si>
  <si>
    <t>myaufaqu@gmail.com</t>
  </si>
  <si>
    <t>1174</t>
  </si>
  <si>
    <t>https://drive.google.com/file/d/1k8ezbLzygF9NyMco7pDL9z0fqtmHqb1k/view?usp=drivesdk</t>
  </si>
  <si>
    <t>1k8ezbLzygF9NyMco7pDL9z0fqtmHqb1k</t>
  </si>
  <si>
    <t>1B-OM_jWPQdIF6NptZRRAiz9C8373xQkP</t>
  </si>
  <si>
    <t>https://drive.google.com/file/d/1B-OM_jWPQdIF6NptZRRAiz9C8373xQkP/view?usp=drivesdk</t>
  </si>
  <si>
    <t>SERI JAENADI SERI</t>
  </si>
  <si>
    <t>serijaenadihumas@gmail.com</t>
  </si>
  <si>
    <t>1175</t>
  </si>
  <si>
    <t>https://drive.google.com/file/d/17gCjGAjn5IIE-VP9fJ7TfgAbABK84cIE/view?usp=drivesdk</t>
  </si>
  <si>
    <t>17gCjGAjn5IIE-VP9fJ7TfgAbABK84cIE</t>
  </si>
  <si>
    <t>1tXr1z1qA6wJofkNw0FUH8KoqDInjy6N_</t>
  </si>
  <si>
    <t>https://drive.google.com/file/d/1tXr1z1qA6wJofkNw0FUH8KoqDInjy6N_/view?usp=drivesdk</t>
  </si>
  <si>
    <t>NOGA KURNIAWAN, S.H.</t>
  </si>
  <si>
    <t>noga.kurniawan@gmail.com</t>
  </si>
  <si>
    <t>1176</t>
  </si>
  <si>
    <t>https://drive.google.com/file/d/1QkkIwU7L8jQcCI3EGQ-i3Ab4FrzkRnE_/view?usp=drivesdk</t>
  </si>
  <si>
    <t>1QkkIwU7L8jQcCI3EGQ-i3Ab4FrzkRnE_</t>
  </si>
  <si>
    <t>1iYwSpoM8EU5gELjoY7k2Ni6jCmmXFSyu</t>
  </si>
  <si>
    <t>https://drive.google.com/file/d/1iYwSpoM8EU5gELjoY7k2Ni6jCmmXFSyu/view?usp=drivesdk</t>
  </si>
  <si>
    <t>MOCHAMMAD ASNAWI</t>
  </si>
  <si>
    <t>Asnawicolombo@gmail.com</t>
  </si>
  <si>
    <t>1177</t>
  </si>
  <si>
    <t>https://drive.google.com/file/d/1h01oXJf4mYasL3kw28tIieuv8aZohEeg/view?usp=drivesdk</t>
  </si>
  <si>
    <t>1h01oXJf4mYasL3kw28tIieuv8aZohEeg</t>
  </si>
  <si>
    <t>1Qj-FeQeHof2bUAkjC063xiBEauBbnfg8</t>
  </si>
  <si>
    <t>https://drive.google.com/file/d/1Qj-FeQeHof2bUAkjC063xiBEauBbnfg8/view?usp=drivesdk</t>
  </si>
  <si>
    <t>Document successfully created; Document successfully merged; PDF created; !!Error Sending Emails: Service invoked too many times for one day: email.; Manually run by ecertificate75@gmail.com; Timestamp: Aug 31 2024 12:01 AM</t>
  </si>
  <si>
    <t>MINTA BERLINA,S.E</t>
  </si>
  <si>
    <t>mintolpaunh@gmail.com</t>
  </si>
  <si>
    <t>1178</t>
  </si>
  <si>
    <t>https://drive.google.com/file/d/12rH7mvjhAGu9XV-K0V91s00Jd0s4-m2n/view?usp=drivesdk</t>
  </si>
  <si>
    <t>12rH7mvjhAGu9XV-K0V91s00Jd0s4-m2n</t>
  </si>
  <si>
    <t>1L0SHCaP4f2oRhAQuLWdNT7FYNlXbjXTj</t>
  </si>
  <si>
    <t>https://drive.google.com/file/d/1L0SHCaP4f2oRhAQuLWdNT7FYNlXbjXTj/view?usp=drivesdk</t>
  </si>
  <si>
    <t>ENDAH SUSILAWATI</t>
  </si>
  <si>
    <t>endahsusilawati67@gmail.com</t>
  </si>
  <si>
    <t>1179</t>
  </si>
  <si>
    <t>https://drive.google.com/file/d/1vqXgUhUthRyXGr6lrFPfi1LhudiUMbyj/view?usp=drivesdk</t>
  </si>
  <si>
    <t>1vqXgUhUthRyXGr6lrFPfi1LhudiUMbyj</t>
  </si>
  <si>
    <t>1bt37AEUyK_9CHm6qHo2S_g_8ykAC4Qj9</t>
  </si>
  <si>
    <t>https://drive.google.com/file/d/1bt37AEUyK_9CHm6qHo2S_g_8ykAC4Qj9/view?usp=drivesdk</t>
  </si>
  <si>
    <t>RONY FAISAL TANJUNG, A.Md.Rad</t>
  </si>
  <si>
    <t>ronyfaisal22@gmail.com</t>
  </si>
  <si>
    <t>1180</t>
  </si>
  <si>
    <t>https://drive.google.com/file/d/15dXlW8fQOFCFKmFPH189vkYpPBfALjRA/view?usp=drivesdk</t>
  </si>
  <si>
    <t>15dXlW8fQOFCFKmFPH189vkYpPBfALjRA</t>
  </si>
  <si>
    <t>1gdmisxQquDpu5RahKhZ1bJ3MC3CFc7Ki</t>
  </si>
  <si>
    <t>https://drive.google.com/file/d/1gdmisxQquDpu5RahKhZ1bJ3MC3CFc7Ki/view?usp=drivesdk</t>
  </si>
  <si>
    <t xml:space="preserve">DAMAR ASIH MAHASTUTI </t>
  </si>
  <si>
    <t>damarashm15@gmail.com</t>
  </si>
  <si>
    <t>1181</t>
  </si>
  <si>
    <t>Starting at Thu Aug 29 2024 20:56:34 GMT-0400 (EDT)</t>
  </si>
  <si>
    <t>1Me-u3P0Q5Qmaxpk4asYPW05hAJQ1pd1p</t>
  </si>
  <si>
    <t>https://drive.google.com/file/d/1Me-u3P0Q5Qmaxpk4asYPW05hAJQ1pd1p/view?usp=drivesdk</t>
  </si>
  <si>
    <t>YOSSI ERLINA SAPUTRI,Amd.Kep</t>
  </si>
  <si>
    <t>yossi_erlina@yahoo.co.id</t>
  </si>
  <si>
    <t>1182</t>
  </si>
  <si>
    <t>1lN-GYfBBs16k4rpxCoZe6qJf-8YA1AWe</t>
  </si>
  <si>
    <t>https://drive.google.com/file/d/1lN-GYfBBs16k4rpxCoZe6qJf-8YA1AWe/view?usp=drivesdk</t>
  </si>
  <si>
    <t xml:space="preserve">GUNADI BOWO SANTOSO </t>
  </si>
  <si>
    <t>gunadiwibowosantoso@gmail.com</t>
  </si>
  <si>
    <t>1183</t>
  </si>
  <si>
    <t>1GP_9IaBShnqCsXW4ISFATXG39CxQably</t>
  </si>
  <si>
    <t>https://drive.google.com/file/d/1GP_9IaBShnqCsXW4ISFATXG39CxQably/view?usp=drivesdk</t>
  </si>
  <si>
    <t>Document successfully created; Document successfully merged; PDF created; !!Error Sending Emails: Service invoked too many times for one day: email.; Manually run by ecertificate75@gmail.com; Timestamp: Aug 31 2024 12:02 AM</t>
  </si>
  <si>
    <t>JOKO SOELISTIJONO. SH</t>
  </si>
  <si>
    <t>jokosulistijono@gmail.com</t>
  </si>
  <si>
    <t>1184</t>
  </si>
  <si>
    <t>1z_qbcde26BvpadfArGmo4ytLHd868nS-</t>
  </si>
  <si>
    <t>https://drive.google.com/file/d/1z_qbcde26BvpadfArGmo4ytLHd868nS-/view?usp=drivesdk</t>
  </si>
  <si>
    <t xml:space="preserve">DWI HARI BUDI SAKTIAWAN </t>
  </si>
  <si>
    <t>jejakhari@gmail.com</t>
  </si>
  <si>
    <t>1185</t>
  </si>
  <si>
    <t>1VINrcM-Wy0-l5hsPJaHaE6A0GckTWTyg</t>
  </si>
  <si>
    <t>https://drive.google.com/file/d/1VINrcM-Wy0-l5hsPJaHaE6A0GckTWTyg/view?usp=drivesdk</t>
  </si>
  <si>
    <t>AINAL MARDIAH, S.E.</t>
  </si>
  <si>
    <t>ainalmardiahse@gmail.com</t>
  </si>
  <si>
    <t>1186</t>
  </si>
  <si>
    <t>1rlIVHVmYnYdx-IK2zJCEy5__mIjeNHAy</t>
  </si>
  <si>
    <t>https://drive.google.com/file/d/1rlIVHVmYnYdx-IK2zJCEy5__mIjeNHAy/view?usp=drivesdk</t>
  </si>
  <si>
    <t>SRI WIDYAWATI, A.Md</t>
  </si>
  <si>
    <t>sriwidyati.3103@gmail.com</t>
  </si>
  <si>
    <t>1187</t>
  </si>
  <si>
    <t>1CDIoikrYuluEJtUgRFmDeYKxOYYBhdaM</t>
  </si>
  <si>
    <t>https://drive.google.com/file/d/1CDIoikrYuluEJtUgRFmDeYKxOYYBhdaM/view?usp=drivesdk</t>
  </si>
  <si>
    <t>ENNY MARTLIDO NABABAN, S.K.M.</t>
  </si>
  <si>
    <t>ennynababan16@gmail.com</t>
  </si>
  <si>
    <t>1188</t>
  </si>
  <si>
    <t>1S-mmtrwQN65XZ61Bn9u9bpvQZSfyH_pD</t>
  </si>
  <si>
    <t>https://drive.google.com/file/d/1S-mmtrwQN65XZ61Bn9u9bpvQZSfyH_pD/view?usp=drivesdk</t>
  </si>
  <si>
    <t>Document successfully created; Document successfully merged; PDF created; !!Error Sending Emails: Service invoked too many times for one day: email.; Manually run by ecertificate75@gmail.com; Timestamp: Aug 31 2024 12:03 AM</t>
  </si>
  <si>
    <t>AYI SUPRIATNA</t>
  </si>
  <si>
    <t>ayisupri813@gmail.com</t>
  </si>
  <si>
    <t>1189</t>
  </si>
  <si>
    <t>https://drive.google.com/file/d/1-it44g-YQ7gLWl8zCM6E3vZad9e5rYGU/view?usp=drivesdk</t>
  </si>
  <si>
    <t>1-it44g-YQ7gLWl8zCM6E3vZad9e5rYGU</t>
  </si>
  <si>
    <t>1vPGnVhUU2xmyPD73LcKngJ8ay5PQ_6V2</t>
  </si>
  <si>
    <t>https://drive.google.com/file/d/1vPGnVhUU2xmyPD73LcKngJ8ay5PQ_6V2/view?usp=drivesdk</t>
  </si>
  <si>
    <t>JAYANTIE PRIMASARI ISKABUL, S.Kom</t>
  </si>
  <si>
    <t>japriska@gmail.com</t>
  </si>
  <si>
    <t>1190</t>
  </si>
  <si>
    <t>https://drive.google.com/file/d/1zhAKJvrNRhnzzY7gvLAFTfyaGbA_1LWI/view?usp=drivesdk</t>
  </si>
  <si>
    <t>1zhAKJvrNRhnzzY7gvLAFTfyaGbA_1LWI</t>
  </si>
  <si>
    <t>1UuVkDM5oR-sl0RfFslFn2xlqIKg7mQEv</t>
  </si>
  <si>
    <t>https://drive.google.com/file/d/1UuVkDM5oR-sl0RfFslFn2xlqIKg7mQEv/view?usp=drivesdk</t>
  </si>
  <si>
    <t>GERITJE KANAITANG</t>
  </si>
  <si>
    <t>itjekanaitang850@gmail.com</t>
  </si>
  <si>
    <t>1191</t>
  </si>
  <si>
    <t>https://drive.google.com/file/d/11tcYemhI_QlBnp9KRm3yh-H4t2S0J9Zl/view?usp=drivesdk</t>
  </si>
  <si>
    <t>11tcYemhI_QlBnp9KRm3yh-H4t2S0J9Zl</t>
  </si>
  <si>
    <t>15-HHvlRZqzRnwzMvHBo3MWu1ILmQ934F</t>
  </si>
  <si>
    <t>https://drive.google.com/file/d/15-HHvlRZqzRnwzMvHBo3MWu1ILmQ934F/view?usp=drivesdk</t>
  </si>
  <si>
    <t>HASAN ASHARI AMD KEP</t>
  </si>
  <si>
    <t>adkanhalfatih@gmail.com</t>
  </si>
  <si>
    <t>1192</t>
  </si>
  <si>
    <t>Starting at Thu Aug 29 2024 20:56:37 GMT-0400 (EDT)</t>
  </si>
  <si>
    <t>1Tdj1Uujt3fE600H5BqlrlFRAvio-nZAm</t>
  </si>
  <si>
    <t>https://drive.google.com/file/d/1Tdj1Uujt3fE600H5BqlrlFRAvio-nZAm/view?usp=drivesdk</t>
  </si>
  <si>
    <t>WINDA YUNITASARI</t>
  </si>
  <si>
    <t>windayunitasari90@gmail.com</t>
  </si>
  <si>
    <t>1193</t>
  </si>
  <si>
    <t>https://drive.google.com/file/d/16sYkRJUy9oIDO-HcLACmT9p_K2-Yo-bu/view?usp=drivesdk</t>
  </si>
  <si>
    <t>16sYkRJUy9oIDO-HcLACmT9p_K2-Yo-bu</t>
  </si>
  <si>
    <t>1fa6jrEFuEHVjgY1-zInAYwV0NW0kjNWo</t>
  </si>
  <si>
    <t>https://drive.google.com/file/d/1fa6jrEFuEHVjgY1-zInAYwV0NW0kjNWo/view?usp=drivesdk</t>
  </si>
  <si>
    <t>Document successfully created; Document successfully merged; PDF created; !!Error Sending Emails: Service invoked too many times for one day: email.; Manually run by ecertificate75@gmail.com; Timestamp: Aug 31 2024 12:04 AM</t>
  </si>
  <si>
    <t>DADANG FREDY SOEBHIAKTO</t>
  </si>
  <si>
    <t>ddngfrd@gmail.com</t>
  </si>
  <si>
    <t>1194</t>
  </si>
  <si>
    <t>https://drive.google.com/file/d/1gKW3l3ZoLtnFc6Ft_XCRxOXKpkfeQYeu/view?usp=drivesdk</t>
  </si>
  <si>
    <t>1gKW3l3ZoLtnFc6Ft_XCRxOXKpkfeQYeu</t>
  </si>
  <si>
    <t>1YQ7hL0Z_LwBpt6OR1s4bHtsmV1hOfZqv</t>
  </si>
  <si>
    <t>https://drive.google.com/file/d/1YQ7hL0Z_LwBpt6OR1s4bHtsmV1hOfZqv/view?usp=drivesdk</t>
  </si>
  <si>
    <t>DODIK HERU SUSANTO</t>
  </si>
  <si>
    <t>dodiksarpras@gmail.com</t>
  </si>
  <si>
    <t>1195</t>
  </si>
  <si>
    <t>https://drive.google.com/file/d/1b-kwhyuGOlHZU_yaJTctW3AIMM_8wGzV/view?usp=drivesdk</t>
  </si>
  <si>
    <t>1b-kwhyuGOlHZU_yaJTctW3AIMM_8wGzV</t>
  </si>
  <si>
    <t>1h29ey2AmucuMSoD2ReRQKfL0sTEsmbcz</t>
  </si>
  <si>
    <t>https://drive.google.com/file/d/1h29ey2AmucuMSoD2ReRQKfL0sTEsmbcz/view?usp=drivesdk</t>
  </si>
  <si>
    <t>RISMA OKTARINA</t>
  </si>
  <si>
    <t>risma.oktarina77@gmail.com</t>
  </si>
  <si>
    <t>1196</t>
  </si>
  <si>
    <t>https://drive.google.com/file/d/1mc6MwpYWDvZ9J9XeLZt7WD8cnT6pEvuq/view?usp=drivesdk</t>
  </si>
  <si>
    <t>1mc6MwpYWDvZ9J9XeLZt7WD8cnT6pEvuq</t>
  </si>
  <si>
    <t>1qH5Q3Q150Z-iWfIiWsmS_MY9k8ulo0lT</t>
  </si>
  <si>
    <t>https://drive.google.com/file/d/1qH5Q3Q150Z-iWfIiWsmS_MY9k8ulo0lT/view?usp=drivesdk</t>
  </si>
  <si>
    <t>MINTARIA S.KOM, M.S.I</t>
  </si>
  <si>
    <t>pendatumintaria@gmail.com</t>
  </si>
  <si>
    <t>1197</t>
  </si>
  <si>
    <t>https://drive.google.com/file/d/1zXD_ikRtODljVHiQIo15FBusCPI-aMxc/view?usp=drivesdk</t>
  </si>
  <si>
    <t>1zXD_ikRtODljVHiQIo15FBusCPI-aMxc</t>
  </si>
  <si>
    <t>12e4acMLm_49O6h2R4kC-RxkH4niGjee3</t>
  </si>
  <si>
    <t>https://drive.google.com/file/d/12e4acMLm_49O6h2R4kC-RxkH4niGjee3/view?usp=drivesdk</t>
  </si>
  <si>
    <t>NOVERI HARTATI,SE</t>
  </si>
  <si>
    <t>noverihartati1968@gmail.com</t>
  </si>
  <si>
    <t>1198</t>
  </si>
  <si>
    <t>https://drive.google.com/file/d/1JnYi7K6oqIOjIXsgvbJkaYPElQ_3IHFB/view?usp=drivesdk</t>
  </si>
  <si>
    <t>1JnYi7K6oqIOjIXsgvbJkaYPElQ_3IHFB</t>
  </si>
  <si>
    <t>1Ls2k_tVWrBep8jAyWeCBusc5-U3Xs8MY</t>
  </si>
  <si>
    <t>https://drive.google.com/file/d/1Ls2k_tVWrBep8jAyWeCBusc5-U3Xs8MY/view?usp=drivesdk</t>
  </si>
  <si>
    <t>Document successfully created; Document successfully merged; PDF created; !!Error Sending Emails: Service invoked too many times for one day: email.; Manually run by ecertificate75@gmail.com; Timestamp: Aug 31 2024 12:05 AM</t>
  </si>
  <si>
    <t xml:space="preserve">INDAH MUSTIKASARI, S. E. </t>
  </si>
  <si>
    <t>indahmustika16374@gmail.com</t>
  </si>
  <si>
    <t>1199</t>
  </si>
  <si>
    <t>https://drive.google.com/file/d/14KmeVBlA6EcSTctJ_QeZhC-egTty0W5M/view?usp=drivesdk</t>
  </si>
  <si>
    <t>14KmeVBlA6EcSTctJ_QeZhC-egTty0W5M</t>
  </si>
  <si>
    <t>1It5EUu6yENHi6GPUtJN8F4M72FEuti6C</t>
  </si>
  <si>
    <t>https://drive.google.com/file/d/1It5EUu6yENHi6GPUtJN8F4M72FEuti6C/view?usp=drivesdk</t>
  </si>
  <si>
    <t>WAHYU RUS DWIYANTO</t>
  </si>
  <si>
    <t>wahyurusdwiyanto@gmail.com</t>
  </si>
  <si>
    <t>1200</t>
  </si>
  <si>
    <t>https://drive.google.com/file/d/11XqjKrxkk-DUvy_cI2gPpvePi-kHMCP4/view?usp=drivesdk</t>
  </si>
  <si>
    <t>11XqjKrxkk-DUvy_cI2gPpvePi-kHMCP4</t>
  </si>
  <si>
    <t>1FXGAmwup3EQMRkO9bJO0vL53Iiu2Dm2-</t>
  </si>
  <si>
    <t>https://drive.google.com/file/d/1FXGAmwup3EQMRkO9bJO0vL53Iiu2Dm2-/view?usp=drivesdk</t>
  </si>
  <si>
    <t>YUNI NURHAYATI,Amk</t>
  </si>
  <si>
    <t>yunihadayan35@gmai.com</t>
  </si>
  <si>
    <t>1201</t>
  </si>
  <si>
    <t>https://drive.google.com/file/d/1XoKf3_TuXqE64HguyPbNBKq-dMTQzt4-/view?usp=drivesdk</t>
  </si>
  <si>
    <t>1XoKf3_TuXqE64HguyPbNBKq-dMTQzt4-</t>
  </si>
  <si>
    <t>1wa0gASvzv-M9gfx03vAviTmcC7Ck7wMk</t>
  </si>
  <si>
    <t>https://drive.google.com/file/d/1wa0gASvzv-M9gfx03vAviTmcC7Ck7wMk/view?usp=drivesdk</t>
  </si>
  <si>
    <t>NISAH SARI WAHYUNI</t>
  </si>
  <si>
    <t>4rya5ufi@gmail.com</t>
  </si>
  <si>
    <t>1202</t>
  </si>
  <si>
    <t>https://drive.google.com/file/d/1YvDNFF-TbZ1nicrF5mjhkYEZ-rC1Pz9_/view?usp=drivesdk</t>
  </si>
  <si>
    <t>1YvDNFF-TbZ1nicrF5mjhkYEZ-rC1Pz9_</t>
  </si>
  <si>
    <t>1T6gGZVVA-Ns459RunvKc-HYn8twyvarP</t>
  </si>
  <si>
    <t>https://drive.google.com/file/d/1T6gGZVVA-Ns459RunvKc-HYn8twyvarP/view?usp=drivesdk</t>
  </si>
  <si>
    <t>SAHAT CHRISTY SIRINGO RINGO, Amd.Kom</t>
  </si>
  <si>
    <t>sahatchristy@gmail.com</t>
  </si>
  <si>
    <t>1203</t>
  </si>
  <si>
    <t>Starting at Thu Aug 29 2024 20:56:51 GMT-0400 (EDT)</t>
  </si>
  <si>
    <t>1uHgL3A1G3zrPd3JOpzqWSw1h9O_GMc2c</t>
  </si>
  <si>
    <t>https://drive.google.com/file/d/1uHgL3A1G3zrPd3JOpzqWSw1h9O_GMc2c/view?usp=drivesdk</t>
  </si>
  <si>
    <t>Document successfully created; Document successfully merged; PDF created; !!Error Sending Emails: Service invoked too many times for one day: email.; Manually run by ecertificate75@gmail.com; Timestamp: Aug 31 2024 12:06 AM</t>
  </si>
  <si>
    <t>NURANI DAMAWATI</t>
  </si>
  <si>
    <t>damawatinurani@gmail.com</t>
  </si>
  <si>
    <t>1204</t>
  </si>
  <si>
    <t>1gX9Dd6955ty4ukU4BwA5cgZNXF_LjAa4</t>
  </si>
  <si>
    <t>https://drive.google.com/file/d/1gX9Dd6955ty4ukU4BwA5cgZNXF_LjAa4/view?usp=drivesdk</t>
  </si>
  <si>
    <t>JAJANG MULYANA, SKM</t>
  </si>
  <si>
    <t>jajangpribadi2608@gmail.com</t>
  </si>
  <si>
    <t>1205</t>
  </si>
  <si>
    <t>1L5xZTjg0k2zjCAfWbH0DfmU5zhODBG3U</t>
  </si>
  <si>
    <t>https://drive.google.com/file/d/1L5xZTjg0k2zjCAfWbH0DfmU5zhODBG3U/view?usp=drivesdk</t>
  </si>
  <si>
    <t>TITOHKUSTIAH</t>
  </si>
  <si>
    <t>maulanamuhamadrizki916@gmail.com</t>
  </si>
  <si>
    <t>1206</t>
  </si>
  <si>
    <t>1MoDgL2G28zP3LyrYKbVrNvqxwHB_DFpL</t>
  </si>
  <si>
    <t>https://drive.google.com/file/d/1MoDgL2G28zP3LyrYKbVrNvqxwHB_DFpL/view?usp=drivesdk</t>
  </si>
  <si>
    <t>PENDA WAN SYADRI</t>
  </si>
  <si>
    <t>wansyadri@gmail.com</t>
  </si>
  <si>
    <t>1207</t>
  </si>
  <si>
    <t>https://drive.google.com/file/d/1mCv6LJIF3tYa5OjnSqrLY9YFKSOizrjJ/view?usp=drivesdk</t>
  </si>
  <si>
    <t>1mCv6LJIF3tYa5OjnSqrLY9YFKSOizrjJ</t>
  </si>
  <si>
    <t>1fa-P4B0UDWnPpnb2bHY4zhvnp_7NlKHd</t>
  </si>
  <si>
    <t>https://drive.google.com/file/d/1fa-P4B0UDWnPpnb2bHY4zhvnp_7NlKHd/view?usp=drivesdk</t>
  </si>
  <si>
    <t>SETYO SUBROTO M, SH</t>
  </si>
  <si>
    <t>subrotosetyo@gmail.com</t>
  </si>
  <si>
    <t>1208</t>
  </si>
  <si>
    <t>https://drive.google.com/file/d/12BZ_slDxrZYfn2WE0jegyItE9f_3Dlec/view?usp=drivesdk</t>
  </si>
  <si>
    <t>12BZ_slDxrZYfn2WE0jegyItE9f_3Dlec</t>
  </si>
  <si>
    <t>1y6b2X_PQFE3eK2Pw1rP9EFiLsHjO-JrW</t>
  </si>
  <si>
    <t>https://drive.google.com/file/d/1y6b2X_PQFE3eK2Pw1rP9EFiLsHjO-JrW/view?usp=drivesdk</t>
  </si>
  <si>
    <t>ADI IRHANDI HIDAYAT, A.Md. T</t>
  </si>
  <si>
    <t>Adiirhandi.2015@gmail.com</t>
  </si>
  <si>
    <t>1209</t>
  </si>
  <si>
    <t>Starting at Thu Aug 29 2024 20:56:53 GMT-0400 (EDT)</t>
  </si>
  <si>
    <t>16xptAcu0RZYqqWMXeQDBpLock6NshKam</t>
  </si>
  <si>
    <t>https://drive.google.com/file/d/16xptAcu0RZYqqWMXeQDBpLock6NshKam/view?usp=drivesdk</t>
  </si>
  <si>
    <t>Document successfully created; Document successfully merged; PDF created; !!Error Sending Emails: Service invoked too many times for one day: email.; Manually run by ecertificate75@gmail.com; Timestamp: Aug 31 2024 12:07 AM</t>
  </si>
  <si>
    <t>MEIRY CORRY MARPAUNG, A.Md.</t>
  </si>
  <si>
    <t>meiry.marpaung@gmail.com</t>
  </si>
  <si>
    <t>1210</t>
  </si>
  <si>
    <t>1W9VOUU5rh4vLXNA01wIJj944IoGGuuMT</t>
  </si>
  <si>
    <t>https://drive.google.com/file/d/1W9VOUU5rh4vLXNA01wIJj944IoGGuuMT/view?usp=drivesdk</t>
  </si>
  <si>
    <t>DEDY NUR ISWARA, A.Md.</t>
  </si>
  <si>
    <t>dedynuriswara1977@gmail.com</t>
  </si>
  <si>
    <t>1211</t>
  </si>
  <si>
    <t>1mel4vhoNGJqtSR23MDc-v1E1BIoC8CVE</t>
  </si>
  <si>
    <t>https://drive.google.com/file/d/1mel4vhoNGJqtSR23MDc-v1E1BIoC8CVE/view?usp=drivesdk</t>
  </si>
  <si>
    <t xml:space="preserve">IVANA CHRISTIANI </t>
  </si>
  <si>
    <t>ivanachristiani940@gmail.com</t>
  </si>
  <si>
    <t>1212</t>
  </si>
  <si>
    <t>1RZX2PGEVzn8oFZPOxi2U5OCHBFoz94DP</t>
  </si>
  <si>
    <t>https://drive.google.com/file/d/1RZX2PGEVzn8oFZPOxi2U5OCHBFoz94DP/view?usp=drivesdk</t>
  </si>
  <si>
    <t xml:space="preserve">MUHAMMAD SUKISMAN, S.SOS.I., MSI. </t>
  </si>
  <si>
    <t>msukisman76@gmail.com</t>
  </si>
  <si>
    <t>1213</t>
  </si>
  <si>
    <t>https://drive.google.com/file/d/1A2s0s5twtYOMG0i9Vw6STvbL-A2QMdTX/view?usp=drivesdk</t>
  </si>
  <si>
    <t>1A2s0s5twtYOMG0i9Vw6STvbL-A2QMdTX</t>
  </si>
  <si>
    <t>142z_loEOk5hyFoqk1yuQ9wJtQMFHx-xA</t>
  </si>
  <si>
    <t>https://drive.google.com/file/d/142z_loEOk5hyFoqk1yuQ9wJtQMFHx-xA/view?usp=drivesdk</t>
  </si>
  <si>
    <t xml:space="preserve">ADINDA RIZKI PURNAMA SARI </t>
  </si>
  <si>
    <t>diendapurnama30@gmail.com</t>
  </si>
  <si>
    <t>1214</t>
  </si>
  <si>
    <t>https://drive.google.com/file/d/1tvMyousjWUZvu2PAtmLsV-lJdCPfUO6T/view?usp=drivesdk</t>
  </si>
  <si>
    <t>1tvMyousjWUZvu2PAtmLsV-lJdCPfUO6T</t>
  </si>
  <si>
    <t>1NbwXHguiLyjTFyHTiF1mS8Gm2loj4obo</t>
  </si>
  <si>
    <t>https://drive.google.com/file/d/1NbwXHguiLyjTFyHTiF1mS8Gm2loj4obo/view?usp=drivesdk</t>
  </si>
  <si>
    <t>POLDA SULTRA</t>
  </si>
  <si>
    <t>HAERANI HASAN</t>
  </si>
  <si>
    <t>keukrimsussultra@gmail.com</t>
  </si>
  <si>
    <t>1215</t>
  </si>
  <si>
    <t>https://drive.google.com/file/d/1_ChzoeYdzU4Cvn2FSCNYoh-aBYSIv-ih/view?usp=drivesdk</t>
  </si>
  <si>
    <t>1_ChzoeYdzU4Cvn2FSCNYoh-aBYSIv-ih</t>
  </si>
  <si>
    <t>1dyERSoJDMLzmCD2nXbktotrjFgG4aulx</t>
  </si>
  <si>
    <t>https://drive.google.com/file/d/1dyERSoJDMLzmCD2nXbktotrjFgG4aulx/view?usp=drivesdk</t>
  </si>
  <si>
    <t>Document successfully created; Document successfully merged; PDF created; !!Error Sending Emails: Service invoked too many times for one day: email.; Manually run by ecertificate75@gmail.com; Timestamp: Aug 31 2024 12:08 AM</t>
  </si>
  <si>
    <t>NINIS WULANDARI</t>
  </si>
  <si>
    <t>ninisninis210@gmail.com</t>
  </si>
  <si>
    <t>1216</t>
  </si>
  <si>
    <t>https://drive.google.com/file/d/1ToPbcE5qQK_ohmAcge9alEPZq3hIC9xM/view?usp=drivesdk</t>
  </si>
  <si>
    <t>1ToPbcE5qQK_ohmAcge9alEPZq3hIC9xM</t>
  </si>
  <si>
    <t>15SOh-HyBjKV5GmLmJe5FCzs9f258TkRv</t>
  </si>
  <si>
    <t>https://drive.google.com/file/d/15SOh-HyBjKV5GmLmJe5FCzs9f258TkRv/view?usp=drivesdk</t>
  </si>
  <si>
    <t>RACHMADALENA</t>
  </si>
  <si>
    <t>Rachma75lena@gmail.com</t>
  </si>
  <si>
    <t>1217</t>
  </si>
  <si>
    <t>https://drive.google.com/file/d/1IOJUpufs0R0fCR14RMerbM-o_HWQB-gX/view?usp=drivesdk</t>
  </si>
  <si>
    <t>1IOJUpufs0R0fCR14RMerbM-o_HWQB-gX</t>
  </si>
  <si>
    <t>1f_waqw25T_jQF_OtbcFv8N98NGUZ6xrQ</t>
  </si>
  <si>
    <t>https://drive.google.com/file/d/1f_waqw25T_jQF_OtbcFv8N98NGUZ6xrQ/view?usp=drivesdk</t>
  </si>
  <si>
    <t>SIGIT HARYANTO</t>
  </si>
  <si>
    <t>yanmapoldajabar@gmail.com</t>
  </si>
  <si>
    <t>1218</t>
  </si>
  <si>
    <t>Starting at Thu Aug 29 2024 20:57:02 GMT-0400 (EDT)</t>
  </si>
  <si>
    <t>1XFyRSDcOZV_pNCtpJg954ewjVy95HJfU</t>
  </si>
  <si>
    <t>https://drive.google.com/file/d/1XFyRSDcOZV_pNCtpJg954ewjVy95HJfU/view?usp=drivesdk</t>
  </si>
  <si>
    <t>ROHANA MARNATALINA SIAHAAN S.Kep.Ns</t>
  </si>
  <si>
    <t>rohanasiahaan09@gmail.com</t>
  </si>
  <si>
    <t>1219</t>
  </si>
  <si>
    <t>1gVb--Z6VfQFo4IkKvZsWvhi8wePiJqdq</t>
  </si>
  <si>
    <t>https://drive.google.com/file/d/1gVb--Z6VfQFo4IkKvZsWvhi8wePiJqdq/view?usp=drivesdk</t>
  </si>
  <si>
    <t>I MADE SUBIANTARA</t>
  </si>
  <si>
    <t>subiantara78@gmail.com</t>
  </si>
  <si>
    <t>1220</t>
  </si>
  <si>
    <t>1dExFJcchAXlvAe-yZ7uwdHc3QXL63qGA</t>
  </si>
  <si>
    <t>https://drive.google.com/file/d/1dExFJcchAXlvAe-yZ7uwdHc3QXL63qGA/view?usp=drivesdk</t>
  </si>
  <si>
    <t>JUHRIANA IKHWANUDDIN YUSUF</t>
  </si>
  <si>
    <t>yusuf.jiy@gmail.com</t>
  </si>
  <si>
    <t>1221</t>
  </si>
  <si>
    <t>1K8C1YhQcXVAgk1mbQiDbIZUO6-72tJTp</t>
  </si>
  <si>
    <t>https://drive.google.com/file/d/1K8C1YhQcXVAgk1mbQiDbIZUO6-72tJTp/view?usp=drivesdk</t>
  </si>
  <si>
    <t>Document successfully created; Document successfully merged; PDF created; !!Error Sending Emails: Service invoked too many times for one day: email.; Manually run by ecertificate75@gmail.com; Timestamp: Aug 31 2024 12:09 AM</t>
  </si>
  <si>
    <t>ETTI MULTIARI BR PURBA</t>
  </si>
  <si>
    <t>ettimultiari77@gmail.com</t>
  </si>
  <si>
    <t>1222</t>
  </si>
  <si>
    <t>1YD-yMsNTQHT0Jgn-X7_bHNCQds3yWa-F</t>
  </si>
  <si>
    <t>https://drive.google.com/file/d/1YD-yMsNTQHT0Jgn-X7_bHNCQds3yWa-F/view?usp=drivesdk</t>
  </si>
  <si>
    <t>ASTUTIK ASTUTIK</t>
  </si>
  <si>
    <t>tutiksarpras@gmail.com</t>
  </si>
  <si>
    <t>1223</t>
  </si>
  <si>
    <t>1avGG4M2a0eCHCJBcp8p_6IHS-zD0XxfI</t>
  </si>
  <si>
    <t>https://drive.google.com/file/d/1avGG4M2a0eCHCJBcp8p_6IHS-zD0XxfI/view?usp=drivesdk</t>
  </si>
  <si>
    <t>AMBARRIYANTO</t>
  </si>
  <si>
    <t>4mb4rriy4nto@gmail.com</t>
  </si>
  <si>
    <t>1224</t>
  </si>
  <si>
    <t>1IES_oVjklW-asyUr5yL4SBl0y_mMbzfR</t>
  </si>
  <si>
    <t>https://drive.google.com/file/d/1IES_oVjklW-asyUr5yL4SBl0y_mMbzfR/view?usp=drivesdk</t>
  </si>
  <si>
    <t>APRI DWI MULATO, SE</t>
  </si>
  <si>
    <t>sium.reswi2@gmail.com</t>
  </si>
  <si>
    <t>1225</t>
  </si>
  <si>
    <t>https://drive.google.com/file/d/1hTOCaq_RO7bINRKW8fjS6ab1Vxa6VkNp/view?usp=drivesdk</t>
  </si>
  <si>
    <t>1hTOCaq_RO7bINRKW8fjS6ab1Vxa6VkNp</t>
  </si>
  <si>
    <t>1un_l6gqSkCJ0QTZCfBXDaHnDSEmIxL35</t>
  </si>
  <si>
    <t>https://drive.google.com/file/d/1un_l6gqSkCJ0QTZCfBXDaHnDSEmIxL35/view?usp=drivesdk</t>
  </si>
  <si>
    <t xml:space="preserve">ARIS SANTIKO, S. E. </t>
  </si>
  <si>
    <t>arissantiko2022@gmail.com</t>
  </si>
  <si>
    <t>1226</t>
  </si>
  <si>
    <t>https://drive.google.com/file/d/1xbEPY4HfqT_N7iN32qReEHhqfylp_7ws/view?usp=drivesdk</t>
  </si>
  <si>
    <t>1xbEPY4HfqT_N7iN32qReEHhqfylp_7ws</t>
  </si>
  <si>
    <t>1yo8UJW3xA5pz6EJhDbgocitFBz6m92lt</t>
  </si>
  <si>
    <t>https://drive.google.com/file/d/1yo8UJW3xA5pz6EJhDbgocitFBz6m92lt/view?usp=drivesdk</t>
  </si>
  <si>
    <t>SULISTIYOWATI</t>
  </si>
  <si>
    <t>sulistiyo.wati815@gmail.com</t>
  </si>
  <si>
    <t>1227</t>
  </si>
  <si>
    <t>https://drive.google.com/file/d/1CX5YU7AL_wWSkTBoo1VzRcFshrcxHWKn/view?usp=drivesdk</t>
  </si>
  <si>
    <t>1CX5YU7AL_wWSkTBoo1VzRcFshrcxHWKn</t>
  </si>
  <si>
    <t>1FUxrWx0K8nb0j07y1zxhvfLsg-K0B3DU</t>
  </si>
  <si>
    <t>https://drive.google.com/file/d/1FUxrWx0K8nb0j07y1zxhvfLsg-K0B3DU/view?usp=drivesdk</t>
  </si>
  <si>
    <t>Document successfully created; Document successfully merged; PDF created; !!Error Sending Emails: Service invoked too many times for one day: email.; Manually run by ecertificate75@gmail.com; Timestamp: Aug 31 2024 12:10 AM</t>
  </si>
  <si>
    <t>ENTIS SUTISNA, S. Kep</t>
  </si>
  <si>
    <t>angkotnolsembilan@gmail.com</t>
  </si>
  <si>
    <t>1228</t>
  </si>
  <si>
    <t>Starting at Thu Aug 29 2024 20:57:22 GMT-0400 (EDT)</t>
  </si>
  <si>
    <t>1ITqJE0vp9Ifm0O3AZp7sVJxWSRk6HrV_</t>
  </si>
  <si>
    <t>https://drive.google.com/file/d/1ITqJE0vp9Ifm0O3AZp7sVJxWSRk6HrV_/view?usp=drivesdk</t>
  </si>
  <si>
    <t>UNTUNG INDRA WARDHANA</t>
  </si>
  <si>
    <t>untungindraw@gmail.com</t>
  </si>
  <si>
    <t>1229</t>
  </si>
  <si>
    <t>1N2hrjs80RlPGrFZE3Ne_1ak5a5sYPMRf</t>
  </si>
  <si>
    <t>https://drive.google.com/file/d/1N2hrjs80RlPGrFZE3Ne_1ak5a5sYPMRf/view?usp=drivesdk</t>
  </si>
  <si>
    <t>PENNY YUSTININGSIH, S.E.</t>
  </si>
  <si>
    <t>pennyyustiningsih@gmail.com</t>
  </si>
  <si>
    <t>1230</t>
  </si>
  <si>
    <t>1n6ifkNReb_udA_fcPZYVT8fMpsL1mJWy</t>
  </si>
  <si>
    <t>https://drive.google.com/file/d/1n6ifkNReb_udA_fcPZYVT8fMpsL1mJWy/view?usp=drivesdk</t>
  </si>
  <si>
    <t xml:space="preserve">ALFI KRISMONETERIA, A. Md. Ak. </t>
  </si>
  <si>
    <t>alfikrismon31@gmail.com</t>
  </si>
  <si>
    <t>1231</t>
  </si>
  <si>
    <t>1yJVZC43xsklj_X9nrQ0NuLI3rc2YaQot</t>
  </si>
  <si>
    <t>https://drive.google.com/file/d/1yJVZC43xsklj_X9nrQ0NuLI3rc2YaQot/view?usp=drivesdk</t>
  </si>
  <si>
    <t>SRI HANDAYANI, S.E.</t>
  </si>
  <si>
    <t>shandayani2276@gmail.com</t>
  </si>
  <si>
    <t>1232</t>
  </si>
  <si>
    <t>1qVWCf6_uVCuXJbpooSi2UEyyAI42qy07</t>
  </si>
  <si>
    <t>https://drive.google.com/file/d/1qVWCf6_uVCuXJbpooSi2UEyyAI42qy07/view?usp=drivesdk</t>
  </si>
  <si>
    <t>Document successfully created; Document successfully merged; PDF created; !!Error Sending Emails: Service invoked too many times for one day: email.; Manually run by ecertificate75@gmail.com; Timestamp: Aug 31 2024 12:11 AM</t>
  </si>
  <si>
    <t xml:space="preserve">RIKA INDAH PRASUTYASTUTI </t>
  </si>
  <si>
    <t>rika.haryadi@gmail.com</t>
  </si>
  <si>
    <t>1233</t>
  </si>
  <si>
    <t>1FurYFTsfJCSY7d6ZIPrYtjDq3XBnMysj</t>
  </si>
  <si>
    <t>https://drive.google.com/file/d/1FurYFTsfJCSY7d6ZIPrYtjDq3XBnMysj/view?usp=drivesdk</t>
  </si>
  <si>
    <t>Document successfully created; Document successfully merged; PDF created; !!Error Sending Emails: Service invoked too many times for one day: email.; Manually run by ecertificate75@gmail.com; Timestamp: Aug 31 2024 12:32 AM</t>
  </si>
  <si>
    <t>DWI SULISTYOWATI</t>
  </si>
  <si>
    <t>sulistyawinata101@gmail.com</t>
  </si>
  <si>
    <t>1234</t>
  </si>
  <si>
    <t>1owHG7BKlLoKQQCgvOpzGVPbOLRtyVbvb</t>
  </si>
  <si>
    <t>https://drive.google.com/file/d/1owHG7BKlLoKQQCgvOpzGVPbOLRtyVbvb/view?usp=drivesdk</t>
  </si>
  <si>
    <t>Document successfully created; Document successfully merged; PDF created; !!Error Sending Emails: Service invoked too many times for one day: email.; Manually run by ecertificate75@gmail.com; Timestamp: Aug 31 2024 12:33 AM</t>
  </si>
  <si>
    <t>ITWASUM POLRI</t>
  </si>
  <si>
    <t>WIWIT ARI SETYANINGSIH, SE</t>
  </si>
  <si>
    <t>wiwit.ari80@gmail.com</t>
  </si>
  <si>
    <t>1235</t>
  </si>
  <si>
    <t>11ISWMzPPDPYIvOTI2LlaCMORd7DyHUHL</t>
  </si>
  <si>
    <t>https://drive.google.com/file/d/11ISWMzPPDPYIvOTI2LlaCMORd7DyHUHL/view?usp=drivesdk</t>
  </si>
  <si>
    <t>EPI PIBRIANTI</t>
  </si>
  <si>
    <t>epipebrianti@gmail.com</t>
  </si>
  <si>
    <t>1236</t>
  </si>
  <si>
    <t>1MvMj56--eH1Cf20k-S7oC0ofUSuidMmn</t>
  </si>
  <si>
    <t>https://drive.google.com/file/d/1MvMj56--eH1Cf20k-S7oC0ofUSuidMmn/view?usp=drivesdk</t>
  </si>
  <si>
    <t>ANDRI YULIANTO</t>
  </si>
  <si>
    <t>yulianto140773@gmail.com</t>
  </si>
  <si>
    <t>1237</t>
  </si>
  <si>
    <t>https://drive.google.com/file/d/1kypLBlj1LphGfnarDBgyJgFDee29BCKc/view?usp=drivesdk</t>
  </si>
  <si>
    <t>1kypLBlj1LphGfnarDBgyJgFDee29BCKc</t>
  </si>
  <si>
    <t>1l-Q8F5FQrUknMrbRXbwOUcbx1-eaTlZ1</t>
  </si>
  <si>
    <t>https://drive.google.com/file/d/1l-Q8F5FQrUknMrbRXbwOUcbx1-eaTlZ1/view?usp=drivesdk</t>
  </si>
  <si>
    <t>JUNILA AFRIANTI</t>
  </si>
  <si>
    <t>junilaafrianti2212@gmail.com</t>
  </si>
  <si>
    <t>1238</t>
  </si>
  <si>
    <t>https://drive.google.com/file/d/10YyjfkcY55US6LM16sBP-erJ0dUxehWO/view?usp=drivesdk</t>
  </si>
  <si>
    <t>Document successfully created; Document successfully merged; PDF created; !!Error Sending Emails: Service invoked too many times for one day: email.; Run via form trigger as ecertificate75@gmail.com; Timestamp: Aug 29 2024 8:58 PM</t>
  </si>
  <si>
    <t>10YyjfkcY55US6LM16sBP-erJ0dUxehWO</t>
  </si>
  <si>
    <t>1jmjJBUALEgZh9XUndqDrp8mDUeoJSi3x</t>
  </si>
  <si>
    <t>https://drive.google.com/file/d/1jmjJBUALEgZh9XUndqDrp8mDUeoJSi3x/view?usp=drivesdk</t>
  </si>
  <si>
    <t>POLDA KALBAR</t>
  </si>
  <si>
    <t>SUSI INDRASARI</t>
  </si>
  <si>
    <t>soeshe28.si@gmail.com</t>
  </si>
  <si>
    <t>1239</t>
  </si>
  <si>
    <t>https://drive.google.com/file/d/1LsIbLJKyQjbz33BpbfqanXGRnG_rRloH/view?usp=drivesdk</t>
  </si>
  <si>
    <t>1LsIbLJKyQjbz33BpbfqanXGRnG_rRloH</t>
  </si>
  <si>
    <t>1VkKcGBpCtAfeqrJ6yO9FNeaLWSsQxtRV</t>
  </si>
  <si>
    <t>https://drive.google.com/file/d/1VkKcGBpCtAfeqrJ6yO9FNeaLWSsQxtRV/view?usp=drivesdk</t>
  </si>
  <si>
    <t>Document successfully created; Document successfully merged; PDF created; !!Error Sending Emails: Service invoked too many times for one day: email.; Manually run by ecertificate75@gmail.com; Timestamp: Aug 31 2024 12:34 AM</t>
  </si>
  <si>
    <t>ETTI KURNIATI</t>
  </si>
  <si>
    <t>ettikurniati.2014@gmail.com</t>
  </si>
  <si>
    <t>1240</t>
  </si>
  <si>
    <t>https://drive.google.com/file/d/1ORzj0J65ZHLJevfs8XG44ZVjNLolGNwI/view?usp=drivesdk</t>
  </si>
  <si>
    <t>1ORzj0J65ZHLJevfs8XG44ZVjNLolGNwI</t>
  </si>
  <si>
    <t>1hDP55KnBSTXJx64KstWjBCSwSeAPiRRb</t>
  </si>
  <si>
    <t>https://drive.google.com/file/d/1hDP55KnBSTXJx64KstWjBCSwSeAPiRRb/view?usp=drivesdk</t>
  </si>
  <si>
    <t>YULIUS CAHYO ARIESTIAWAN, S.KOM, MM</t>
  </si>
  <si>
    <t>ariezbeby@gmail.com</t>
  </si>
  <si>
    <t>1241</t>
  </si>
  <si>
    <t>https://drive.google.com/file/d/1bC5g2F3Uv7I5cx27tPE55B4HCDwh_Rr8/view?usp=drivesdk</t>
  </si>
  <si>
    <t>Document successfully created; Document successfully merged; PDF created; !!Error Sending Emails: Service invoked too many times for one day: email.; Run via form trigger as ecertificate75@gmail.com; Timestamp: Aug 29 2024 8:59 PM</t>
  </si>
  <si>
    <t>1bC5g2F3Uv7I5cx27tPE55B4HCDwh_Rr8</t>
  </si>
  <si>
    <t>1WSRInwshXwxVlnF2qeQTGODmsaeRt_Sv</t>
  </si>
  <si>
    <t>https://drive.google.com/file/d/1WSRInwshXwxVlnF2qeQTGODmsaeRt_Sv/view?usp=drivesdk</t>
  </si>
  <si>
    <t>EKO FERY PRASETYO ,S.Si</t>
  </si>
  <si>
    <t>ekolabforsmg@gmail.com</t>
  </si>
  <si>
    <t>1242</t>
  </si>
  <si>
    <t>https://drive.google.com/file/d/1-OcpNQbcy_d7ZJdX1ao55sgWTwuvSQvM/view?usp=drivesdk</t>
  </si>
  <si>
    <t>1-OcpNQbcy_d7ZJdX1ao55sgWTwuvSQvM</t>
  </si>
  <si>
    <t>1FGqeOO7a8mMO094kj9imU2PdOb_-U1XG</t>
  </si>
  <si>
    <t>https://drive.google.com/file/d/1FGqeOO7a8mMO094kj9imU2PdOb_-U1XG/view?usp=drivesdk</t>
  </si>
  <si>
    <t>SUNDARI ANITYASARI</t>
  </si>
  <si>
    <t>sundarianityasari@gmail.com</t>
  </si>
  <si>
    <t>1243</t>
  </si>
  <si>
    <t>https://drive.google.com/file/d/1XoS2pCuFhasHYK7UE05TViaRlzo-SJPh/view?usp=drivesdk</t>
  </si>
  <si>
    <t>1XoS2pCuFhasHYK7UE05TViaRlzo-SJPh</t>
  </si>
  <si>
    <t>11C_Yj6mfhy5JlM7JhmPmIu0Ar-vOhm8w</t>
  </si>
  <si>
    <t>https://drive.google.com/file/d/11C_Yj6mfhy5JlM7JhmPmIu0Ar-vOhm8w/view?usp=drivesdk</t>
  </si>
  <si>
    <t>URKES UJANG KHOLIK SAG</t>
  </si>
  <si>
    <t>Ujangkholik3@gmail.com</t>
  </si>
  <si>
    <t>1244</t>
  </si>
  <si>
    <t>https://drive.google.com/file/d/1Rqo5arnhaqekea9PBXcPtAedz2tMHOZL/view?usp=drivesdk</t>
  </si>
  <si>
    <t>Document successfully created; Document successfully merged; PDF created; !!Error Sending Emails: Service invoked too many times for one day: email.; Run via form trigger as ecertificate75@gmail.com; Timestamp: Aug 29 2024 9:00 PM</t>
  </si>
  <si>
    <t>1Rqo5arnhaqekea9PBXcPtAedz2tMHOZL</t>
  </si>
  <si>
    <t>1pwh4lZpImibsjvl-UJvtvbJNFn1CZH-W</t>
  </si>
  <si>
    <t>https://drive.google.com/file/d/1pwh4lZpImibsjvl-UJvtvbJNFn1CZH-W/view?usp=drivesdk</t>
  </si>
  <si>
    <t>ROSI NOVIANA, SE</t>
  </si>
  <si>
    <t>rosinoviana081180@gmail.com</t>
  </si>
  <si>
    <t>1245</t>
  </si>
  <si>
    <t>Starting at Thu Aug 29 2024 20:59:44 GMT-0400 (EDT)</t>
  </si>
  <si>
    <t>1GfGGauipAg0vP7lx7-G9cWzwMDKbypGw</t>
  </si>
  <si>
    <t>https://drive.google.com/file/d/1GfGGauipAg0vP7lx7-G9cWzwMDKbypGw/view?usp=drivesdk</t>
  </si>
  <si>
    <t>Document successfully created; Document successfully merged; PDF created; !!Error Sending Emails: Service invoked too many times for one day: email.; Manually run by ecertificate75@gmail.com; Timestamp: Aug 31 2024 12:35 AM</t>
  </si>
  <si>
    <t>IMAMUDDIN SUNARJO, S.E.</t>
  </si>
  <si>
    <t>imam_atl@yahoo.com</t>
  </si>
  <si>
    <t>1246</t>
  </si>
  <si>
    <t>1tPcjnAlztC5iN_f2dl8YqFR5Qs3mQ-jv</t>
  </si>
  <si>
    <t>https://drive.google.com/file/d/1tPcjnAlztC5iN_f2dl8YqFR5Qs3mQ-jv/view?usp=drivesdk</t>
  </si>
  <si>
    <t>TINA MARLINDA S.KOM.,M.KOM</t>
  </si>
  <si>
    <t>tinamarlinda.14@gmail.com</t>
  </si>
  <si>
    <t>1247</t>
  </si>
  <si>
    <t>Starting at Thu Aug 29 2024 20:57:37 GMT-0400 (EDT)</t>
  </si>
  <si>
    <t>1K1e3hxAXLSlm12tChaGK73XlJmFkLIZ-</t>
  </si>
  <si>
    <t>https://drive.google.com/file/d/1K1e3hxAXLSlm12tChaGK73XlJmFkLIZ-/view?usp=drivesdk</t>
  </si>
  <si>
    <t>BOBI PRANATA, Amd. Kep</t>
  </si>
  <si>
    <t>bobi.pranata93@gmail.com</t>
  </si>
  <si>
    <t>1248</t>
  </si>
  <si>
    <t>17iLKttfk6Sm8zGgPxIXdGzaat4auJ8II</t>
  </si>
  <si>
    <t>https://drive.google.com/file/d/17iLKttfk6Sm8zGgPxIXdGzaat4auJ8II/view?usp=drivesdk</t>
  </si>
  <si>
    <t>R ERNA NAWANG WULAN, SE</t>
  </si>
  <si>
    <t>ernanawangw@gmail.com</t>
  </si>
  <si>
    <t>1249</t>
  </si>
  <si>
    <t>1iocnevj5wq6-6OPBbCmCEcwwvc7qZ55W</t>
  </si>
  <si>
    <t>https://drive.google.com/file/d/1iocnevj5wq6-6OPBbCmCEcwwvc7qZ55W/view?usp=drivesdk</t>
  </si>
  <si>
    <t>SRI LESTARI YANMA</t>
  </si>
  <si>
    <t>srilestariyanma@gmail.com</t>
  </si>
  <si>
    <t>1250</t>
  </si>
  <si>
    <t>19-Jnvxu1BPWmc4xMdbZomdh37yNPYguq</t>
  </si>
  <si>
    <t>https://drive.google.com/file/d/19-Jnvxu1BPWmc4xMdbZomdh37yNPYguq/view?usp=drivesdk</t>
  </si>
  <si>
    <t>HARRY HERMAWAN</t>
  </si>
  <si>
    <t>harry.eyza.shaqueel@gmail.com</t>
  </si>
  <si>
    <t>1251</t>
  </si>
  <si>
    <t>1260pkMW82tcD2XoSBSDpoa0TbvuL4cck</t>
  </si>
  <si>
    <t>https://drive.google.com/file/d/1260pkMW82tcD2XoSBSDpoa0TbvuL4cck/view?usp=drivesdk</t>
  </si>
  <si>
    <t>Document successfully created; Document successfully merged; PDF created; !!Error Sending Emails: Service invoked too many times for one day: email.; Manually run by ecertificate75@gmail.com; Timestamp: Aug 31 2024 12:36 AM</t>
  </si>
  <si>
    <t>ENI PRIANTINI</t>
  </si>
  <si>
    <t>priantinieni063@gmail.com</t>
  </si>
  <si>
    <t>1252</t>
  </si>
  <si>
    <t>1kS1Rl-UL3R5ZrKi-qvkJ746tUqm1bYcf</t>
  </si>
  <si>
    <t>https://drive.google.com/file/d/1kS1Rl-UL3R5ZrKi-qvkJ746tUqm1bYcf/view?usp=drivesdk</t>
  </si>
  <si>
    <t>YUDI RAHMAT RIYADI</t>
  </si>
  <si>
    <t>yudirieyadi@gmail.com</t>
  </si>
  <si>
    <t>1253</t>
  </si>
  <si>
    <t>1NPb-e4iEcvwEEPBarOmjbMB5ZiYk_Tpm</t>
  </si>
  <si>
    <t>https://drive.google.com/file/d/1NPb-e4iEcvwEEPBarOmjbMB5ZiYk_Tpm/view?usp=drivesdk</t>
  </si>
  <si>
    <t xml:space="preserve">IDA NURNGIMANENI </t>
  </si>
  <si>
    <t>ida.ssarpras@gmail.com</t>
  </si>
  <si>
    <t>1254</t>
  </si>
  <si>
    <t>1ePIJYtT9Fw3pIveS-ecAi91Nlw2hjUrd</t>
  </si>
  <si>
    <t>https://drive.google.com/file/d/1ePIJYtT9Fw3pIveS-ecAi91Nlw2hjUrd/view?usp=drivesdk</t>
  </si>
  <si>
    <t>PENATA ALINURSIH, S.I.P</t>
  </si>
  <si>
    <t>alinursih@gmail.com</t>
  </si>
  <si>
    <t>1255</t>
  </si>
  <si>
    <t>1AupACqzLi0TzWByndIWlpJ4Eb279BlL8</t>
  </si>
  <si>
    <t>https://drive.google.com/file/d/1AupACqzLi0TzWByndIWlpJ4Eb279BlL8/view?usp=drivesdk</t>
  </si>
  <si>
    <t>MUCKHAMAD MASHURY</t>
  </si>
  <si>
    <t>muckhamadmashury@gmail.com</t>
  </si>
  <si>
    <t>1256</t>
  </si>
  <si>
    <t>1HAhyoLgY9QnHfYZCxxGgrEhWR-CGSZB4</t>
  </si>
  <si>
    <t>https://drive.google.com/file/d/1HAhyoLgY9QnHfYZCxxGgrEhWR-CGSZB4/view?usp=drivesdk</t>
  </si>
  <si>
    <t>Document successfully created; Document successfully merged; PDF created; !!Error Sending Emails: Service invoked too many times for one day: email.; Manually run by ecertificate75@gmail.com; Timestamp: Aug 31 2024 12:37 AM</t>
  </si>
  <si>
    <t>SUPRIYANA, SIKom</t>
  </si>
  <si>
    <t>s03pr4x@gmail.com</t>
  </si>
  <si>
    <t>1257</t>
  </si>
  <si>
    <t>1hJcPk45m7d98DV8DmGg2_WfEjt_tlx5f</t>
  </si>
  <si>
    <t>https://drive.google.com/file/d/1hJcPk45m7d98DV8DmGg2_WfEjt_tlx5f/view?usp=drivesdk</t>
  </si>
  <si>
    <t>AJAT SUDRAJAT</t>
  </si>
  <si>
    <t>ajatsudrajat05sep@gmail.com</t>
  </si>
  <si>
    <t>1258</t>
  </si>
  <si>
    <t>1OGbbPufqtGWppZOoF4ytICmZhP-nedn4</t>
  </si>
  <si>
    <t>https://drive.google.com/file/d/1OGbbPufqtGWppZOoF4ytICmZhP-nedn4/view?usp=drivesdk</t>
  </si>
  <si>
    <t>ARIS PURWANTO</t>
  </si>
  <si>
    <t>arispurwanto155@gmail.com</t>
  </si>
  <si>
    <t>1259</t>
  </si>
  <si>
    <t>1tVturjfRRj3NeoEa4NpSa0aoKLAx_sKo</t>
  </si>
  <si>
    <t>https://drive.google.com/file/d/1tVturjfRRj3NeoEa4NpSa0aoKLAx_sKo/view?usp=drivesdk</t>
  </si>
  <si>
    <t>ENY PUJI UTAMI</t>
  </si>
  <si>
    <t>enypujiutami3@gmail.com</t>
  </si>
  <si>
    <t>1260</t>
  </si>
  <si>
    <t>1pmyhFnRFmVJoY4lgArXik7mBHxHRSykd</t>
  </si>
  <si>
    <t>https://drive.google.com/file/d/1pmyhFnRFmVJoY4lgArXik7mBHxHRSykd/view?usp=drivesdk</t>
  </si>
  <si>
    <t>ANAH HASANAH S.PD</t>
  </si>
  <si>
    <t>hasanahanah12@gmail.con</t>
  </si>
  <si>
    <t>1261</t>
  </si>
  <si>
    <t>1yruEWP1mza_yRdoWxXj_HOJMUpbVClT4</t>
  </si>
  <si>
    <t>https://drive.google.com/file/d/1yruEWP1mza_yRdoWxXj_HOJMUpbVClT4/view?usp=drivesdk</t>
  </si>
  <si>
    <t>Document successfully created; Document successfully merged; PDF created; !!Error Sending Emails: Service invoked too many times for one day: email.; Manually run by ecertificate75@gmail.com; Timestamp: Aug 31 2024 12:38 AM</t>
  </si>
  <si>
    <t>ARDATH P SETYAN, SKOM  MT</t>
  </si>
  <si>
    <t>ardath.telematika@gmail.com</t>
  </si>
  <si>
    <t>1262</t>
  </si>
  <si>
    <t>Starting at Thu Aug 29 2024 20:57:38 GMT-0400 (EDT)</t>
  </si>
  <si>
    <t>1niWbakrG8ts25CH7_1tIpe-Pa83k1q56</t>
  </si>
  <si>
    <t>https://drive.google.com/file/d/1niWbakrG8ts25CH7_1tIpe-Pa83k1q56/view?usp=drivesdk</t>
  </si>
  <si>
    <t>HARIS PRAJARTO</t>
  </si>
  <si>
    <t>harisprajarto@gmail.com</t>
  </si>
  <si>
    <t>1263</t>
  </si>
  <si>
    <t>Starting at Thu Aug 29 2024 20:57:39 GMT-0400 (EDT)</t>
  </si>
  <si>
    <t>1BQP5srnZN0TWSfGxrXN0VjCJcnLngsoP</t>
  </si>
  <si>
    <t>https://drive.google.com/file/d/1BQP5srnZN0TWSfGxrXN0VjCJcnLngsoP/view?usp=drivesdk</t>
  </si>
  <si>
    <t>NI NYOMAN WAHYUNINGSIH</t>
  </si>
  <si>
    <t>nymwahyu94@gmail.com</t>
  </si>
  <si>
    <t>1264</t>
  </si>
  <si>
    <t>https://drive.google.com/file/d/1qaX2cBcJoAnzQmZYtbF0fCZC21PRhaoJ/view?usp=drivesdk</t>
  </si>
  <si>
    <t>1qaX2cBcJoAnzQmZYtbF0fCZC21PRhaoJ</t>
  </si>
  <si>
    <t>1MCIzzkpcAD2Zgi0M2LqbNx6FuRKHfJZB</t>
  </si>
  <si>
    <t>https://drive.google.com/file/d/1MCIzzkpcAD2Zgi0M2LqbNx6FuRKHfJZB/view?usp=drivesdk</t>
  </si>
  <si>
    <t>WAHIDIN MALAU</t>
  </si>
  <si>
    <t>wahidinmalau14@gmail.com</t>
  </si>
  <si>
    <t>1265</t>
  </si>
  <si>
    <t>https://drive.google.com/file/d/15U_1Yzc9_h2y9JGv_fhTUYxSmHfi1MZ7/view?usp=drivesdk</t>
  </si>
  <si>
    <t>15U_1Yzc9_h2y9JGv_fhTUYxSmHfi1MZ7</t>
  </si>
  <si>
    <t>1ChsQoVJnV_UA5hgQqTgQ5XKvO5ZV_gVZ</t>
  </si>
  <si>
    <t>https://drive.google.com/file/d/1ChsQoVJnV_UA5hgQqTgQ5XKvO5ZV_gVZ/view?usp=drivesdk</t>
  </si>
  <si>
    <t>WIWIK SUNARNI,S.H</t>
  </si>
  <si>
    <t>Wiwiksunarninew@gmail.com</t>
  </si>
  <si>
    <t>1266</t>
  </si>
  <si>
    <t>https://drive.google.com/file/d/1jBsHtG5DaKcmgJ9roCZiyJQTR4lsTe2V/view?usp=drivesdk</t>
  </si>
  <si>
    <t>1jBsHtG5DaKcmgJ9roCZiyJQTR4lsTe2V</t>
  </si>
  <si>
    <t>16KAnAtY6ch3wWWmn5V0LUrMfal0TQFA6</t>
  </si>
  <si>
    <t>https://drive.google.com/file/d/16KAnAtY6ch3wWWmn5V0LUrMfal0TQFA6/view?usp=drivesdk</t>
  </si>
  <si>
    <t>Document successfully created; Document successfully merged; PDF created; !!Error Sending Emails: Service invoked too many times for one day: email.; Manually run by ecertificate75@gmail.com; Timestamp: Aug 31 2024 12:39 AM</t>
  </si>
  <si>
    <t>LINDA DIANOVITA SH MH</t>
  </si>
  <si>
    <t>lindadianovita23@gmail.com</t>
  </si>
  <si>
    <t>1267</t>
  </si>
  <si>
    <t>https://drive.google.com/file/d/16rfsZYJ2XulPBQYroGN6XbORvg3fPm7h/view?usp=drivesdk</t>
  </si>
  <si>
    <t>16rfsZYJ2XulPBQYroGN6XbORvg3fPm7h</t>
  </si>
  <si>
    <t>1prZJkKPGckZEKWpJ1pNOtZbYCJOT1Ms-</t>
  </si>
  <si>
    <t>https://drive.google.com/file/d/1prZJkKPGckZEKWpJ1pNOtZbYCJOT1Ms-/view?usp=drivesdk</t>
  </si>
  <si>
    <t>NATALIA FITRIANA WAHYU SEJATI</t>
  </si>
  <si>
    <t>fitriananatalia3@gmail.com</t>
  </si>
  <si>
    <t>1268</t>
  </si>
  <si>
    <t>https://drive.google.com/file/d/1yOOZgPfuL7oJSSqKf7DUD-x-n3fJjkEr/view?usp=drivesdk</t>
  </si>
  <si>
    <t>1yOOZgPfuL7oJSSqKf7DUD-x-n3fJjkEr</t>
  </si>
  <si>
    <t>1v9bsVRu90p6ralaOR6OlbiIzjcGx8erL</t>
  </si>
  <si>
    <t>https://drive.google.com/file/d/1v9bsVRu90p6ralaOR6OlbiIzjcGx8erL/view?usp=drivesdk</t>
  </si>
  <si>
    <t>ARSHINTA KRISNA KEMALA</t>
  </si>
  <si>
    <t>sintakemala01@gmail.com</t>
  </si>
  <si>
    <t>1269</t>
  </si>
  <si>
    <t>https://drive.google.com/file/d/19gBeFxYKWBNzFLzK1H0LmX1-W-5AVpS4/view?usp=drivesdk</t>
  </si>
  <si>
    <t>19gBeFxYKWBNzFLzK1H0LmX1-W-5AVpS4</t>
  </si>
  <si>
    <t>1uJImhyYhjCEUwI4LjjDo0kfsX_LRscS9</t>
  </si>
  <si>
    <t>https://drive.google.com/file/d/1uJImhyYhjCEUwI4LjjDo0kfsX_LRscS9/view?usp=drivesdk</t>
  </si>
  <si>
    <t>SISWANTO AHLI MADYA</t>
  </si>
  <si>
    <t>bintangausy78@gmail.com</t>
  </si>
  <si>
    <t>1270</t>
  </si>
  <si>
    <t>https://drive.google.com/file/d/1nMi10gADhybKRe0ZU-NCvKKl5-6lxnmy/view?usp=drivesdk</t>
  </si>
  <si>
    <t>1nMi10gADhybKRe0ZU-NCvKKl5-6lxnmy</t>
  </si>
  <si>
    <t>1p_4AwzfN9299weqNVuqYlee3s4-31rsT</t>
  </si>
  <si>
    <t>https://drive.google.com/file/d/1p_4AwzfN9299weqNVuqYlee3s4-31rsT/view?usp=drivesdk</t>
  </si>
  <si>
    <t>PENGATUR URI DING</t>
  </si>
  <si>
    <t>oyiqaja27@gmail.com</t>
  </si>
  <si>
    <t>1271</t>
  </si>
  <si>
    <t>https://drive.google.com/file/d/1XK-4BlvgVRDiPhH_jbvtyomBy7Vhtqz4/view?usp=drivesdk</t>
  </si>
  <si>
    <t>1XK-4BlvgVRDiPhH_jbvtyomBy7Vhtqz4</t>
  </si>
  <si>
    <t>1Ecgh-VfpyOzws5FA9GxobkKMwwNY3k0q</t>
  </si>
  <si>
    <t>https://drive.google.com/file/d/1Ecgh-VfpyOzws5FA9GxobkKMwwNY3k0q/view?usp=drivesdk</t>
  </si>
  <si>
    <t>ANITA BR SEMBIRING, S.KOM</t>
  </si>
  <si>
    <t>anitasembiringdepari@gmail.com</t>
  </si>
  <si>
    <t>1272</t>
  </si>
  <si>
    <t>https://drive.google.com/file/d/1EqJKVUFkQf028AcmBh6hYUcHFjTaOn6d/view?usp=drivesdk</t>
  </si>
  <si>
    <t>1EqJKVUFkQf028AcmBh6hYUcHFjTaOn6d</t>
  </si>
  <si>
    <t>1wS2ul5pIRUkJLxRO8Mr9ueNuZ4q5gEzB</t>
  </si>
  <si>
    <t>https://drive.google.com/file/d/1wS2ul5pIRUkJLxRO8Mr9ueNuZ4q5gEzB/view?usp=drivesdk</t>
  </si>
  <si>
    <t>Document successfully created; Document successfully merged; PDF created; !!Error Sending Emails: Service invoked too many times for one day: email.; Manually run by ecertificate75@gmail.com; Timestamp: Aug 31 2024 12:40 AM</t>
  </si>
  <si>
    <t>ELLY PRASTIMI S.Sos.,M.Si</t>
  </si>
  <si>
    <t>elly.prastimii@gmail.com</t>
  </si>
  <si>
    <t>1273</t>
  </si>
  <si>
    <t>https://drive.google.com/file/d/1xzgWMUOsiVgv4H6x8QfL7H5tCBdWRRDZ/view?usp=drivesdk</t>
  </si>
  <si>
    <t>1xzgWMUOsiVgv4H6x8QfL7H5tCBdWRRDZ</t>
  </si>
  <si>
    <t>1a6muvENkx-AlFZAlJz5BZ1KuJqiMtNRJ</t>
  </si>
  <si>
    <t>https://drive.google.com/file/d/1a6muvENkx-AlFZAlJz5BZ1KuJqiMtNRJ/view?usp=drivesdk</t>
  </si>
  <si>
    <t>PENGATUR I SUPATMI</t>
  </si>
  <si>
    <t>patmi081278@gmail.com</t>
  </si>
  <si>
    <t>1274</t>
  </si>
  <si>
    <t>https://drive.google.com/file/d/1tgjqZfTPqzpmkcnG1V2SEAXVFDrF5wBe/view?usp=drivesdk</t>
  </si>
  <si>
    <t>1tgjqZfTPqzpmkcnG1V2SEAXVFDrF5wBe</t>
  </si>
  <si>
    <t>1hpiU1SD-fwXy7-IlO4SI9A1nyx4AZcvI</t>
  </si>
  <si>
    <t>https://drive.google.com/file/d/1hpiU1SD-fwXy7-IlO4SI9A1nyx4AZcvI/view?usp=drivesdk</t>
  </si>
  <si>
    <t>OLANI HARIANJA, S.E.</t>
  </si>
  <si>
    <t>olaniharianja@gmail.com</t>
  </si>
  <si>
    <t>1275</t>
  </si>
  <si>
    <t>https://drive.google.com/file/d/1AhMOp5YirgUU67oTyep1IX8lp99PhUKZ/view?usp=drivesdk</t>
  </si>
  <si>
    <t>1AhMOp5YirgUU67oTyep1IX8lp99PhUKZ</t>
  </si>
  <si>
    <t>1CfpW-swv5s3-khS_MKZmnitTdrNMFV1F</t>
  </si>
  <si>
    <t>https://drive.google.com/file/d/1CfpW-swv5s3-khS_MKZmnitTdrNMFV1F/view?usp=drivesdk</t>
  </si>
  <si>
    <t>AINAL MARDIAH,S.E.</t>
  </si>
  <si>
    <t>ainalmardiah1234@gmail.com</t>
  </si>
  <si>
    <t>1276</t>
  </si>
  <si>
    <t>https://drive.google.com/file/d/1REjId97O7_Rvx6DhBC-D08VtFPYJ5AZr/view?usp=drivesdk</t>
  </si>
  <si>
    <t>1REjId97O7_Rvx6DhBC-D08VtFPYJ5AZr</t>
  </si>
  <si>
    <t>1OKsQ6xcdTPZ8QYIGruH1o_FTiKfHQEbQ</t>
  </si>
  <si>
    <t>https://drive.google.com/file/d/1OKsQ6xcdTPZ8QYIGruH1o_FTiKfHQEbQ/view?usp=drivesdk</t>
  </si>
  <si>
    <t xml:space="preserve">SITTI HALIFAH, S. H. </t>
  </si>
  <si>
    <t>sittihalifah121271@gmail.com</t>
  </si>
  <si>
    <t>1277</t>
  </si>
  <si>
    <t>https://drive.google.com/file/d/1vF13La2OpUeuvrz63mURjtst-Ax2mGoc/view?usp=drivesdk</t>
  </si>
  <si>
    <t>1vF13La2OpUeuvrz63mURjtst-Ax2mGoc</t>
  </si>
  <si>
    <t>16_yhlUAxMUTIZhmFpiaQGtHl5ALFn2Xq</t>
  </si>
  <si>
    <t>https://drive.google.com/file/d/16_yhlUAxMUTIZhmFpiaQGtHl5ALFn2Xq/view?usp=drivesdk</t>
  </si>
  <si>
    <t>Document successfully created; Document successfully merged; PDF created; !!Error Sending Emails: Service invoked too many times for one day: email.; Manually run by ecertificate75@gmail.com; Timestamp: Aug 31 2024 12:41 AM</t>
  </si>
  <si>
    <t>NENENG JUNENGSIH</t>
  </si>
  <si>
    <t>ndakuwu@gmail.com</t>
  </si>
  <si>
    <t>1278</t>
  </si>
  <si>
    <t>https://drive.google.com/file/d/1KjlPxnz_ALpYWANCg_nUxkM6zDskeTJ0/view?usp=drivesdk</t>
  </si>
  <si>
    <t>1KjlPxnz_ALpYWANCg_nUxkM6zDskeTJ0</t>
  </si>
  <si>
    <t>1CXvy0GeW8ipFMJLccpOPq08LU5-yrHjG</t>
  </si>
  <si>
    <t>https://drive.google.com/file/d/1CXvy0GeW8ipFMJLccpOPq08LU5-yrHjG/view?usp=drivesdk</t>
  </si>
  <si>
    <t>ANI SUPRIANINGSIH, ST</t>
  </si>
  <si>
    <t>ani.suprianingsih2010@gmail.com</t>
  </si>
  <si>
    <t>1279</t>
  </si>
  <si>
    <t>https://drive.google.com/file/d/1D5MqWCM_C5_7mjl_mqQC7e4JtNDKFsdx/view?usp=drivesdk</t>
  </si>
  <si>
    <t>1D5MqWCM_C5_7mjl_mqQC7e4JtNDKFsdx</t>
  </si>
  <si>
    <t>1TRpldqHi-MjuOby5U8tVvEsS_mMn9T3m</t>
  </si>
  <si>
    <t>https://drive.google.com/file/d/1TRpldqHi-MjuOby5U8tVvEsS_mMn9T3m/view?usp=drivesdk</t>
  </si>
  <si>
    <t>IRAWAN BUDI PRASETYO</t>
  </si>
  <si>
    <t>putune.saridin99@gmail.com</t>
  </si>
  <si>
    <t>1280</t>
  </si>
  <si>
    <t>https://drive.google.com/file/d/1dZ5Hz0ecxtVXQZoplJ_z4Hf_ffQm-FvK/view?usp=drivesdk</t>
  </si>
  <si>
    <t>1dZ5Hz0ecxtVXQZoplJ_z4Hf_ffQm-FvK</t>
  </si>
  <si>
    <t>1NkTMeDyLa-PDRqg35tR0BrJI5WlzXROv</t>
  </si>
  <si>
    <t>https://drive.google.com/file/d/1NkTMeDyLa-PDRqg35tR0BrJI5WlzXROv/view?usp=drivesdk</t>
  </si>
  <si>
    <t xml:space="preserve">ANIL KISTIAWAN </t>
  </si>
  <si>
    <t>gajahmungkur2@gmail.com</t>
  </si>
  <si>
    <t>1281</t>
  </si>
  <si>
    <t>https://drive.google.com/file/d/1kq7VZhJ6rvYB7fUUWNjaf8VWmJwtTCrA/view?usp=drivesdk</t>
  </si>
  <si>
    <t>1kq7VZhJ6rvYB7fUUWNjaf8VWmJwtTCrA</t>
  </si>
  <si>
    <t>1ig9_FaeAU5cYqovjx6MbRaFGHFE3xi5b</t>
  </si>
  <si>
    <t>https://drive.google.com/file/d/1ig9_FaeAU5cYqovjx6MbRaFGHFE3xi5b/view?usp=drivesdk</t>
  </si>
  <si>
    <t>EKA FAJAR ANGGRAINI,ST</t>
  </si>
  <si>
    <t>ekafajaranggraini71@gmail.com</t>
  </si>
  <si>
    <t>1282</t>
  </si>
  <si>
    <t>https://drive.google.com/file/d/1YkxciKx1IOLggdllLXYThnMKjlN26lhc/view?usp=drivesdk</t>
  </si>
  <si>
    <t>1YkxciKx1IOLggdllLXYThnMKjlN26lhc</t>
  </si>
  <si>
    <t>1CMoY3L37SBeupvrZz0p1Y9byOE2qGbHQ</t>
  </si>
  <si>
    <t>https://drive.google.com/file/d/1CMoY3L37SBeupvrZz0p1Y9byOE2qGbHQ/view?usp=drivesdk</t>
  </si>
  <si>
    <t>ABU HASAN, SAG MH</t>
  </si>
  <si>
    <t>akiuregar@gmail.com</t>
  </si>
  <si>
    <t>1283</t>
  </si>
  <si>
    <t>https://drive.google.com/file/d/1ELmFtwAp-CO71Y1HWxdTwgbvaG3vGaoS/view?usp=drivesdk</t>
  </si>
  <si>
    <t>1ELmFtwAp-CO71Y1HWxdTwgbvaG3vGaoS</t>
  </si>
  <si>
    <t>1tqN1-BaNVeySFC91Hi_WjlXcfn8f9Ylh</t>
  </si>
  <si>
    <t>https://drive.google.com/file/d/1tqN1-BaNVeySFC91Hi_WjlXcfn8f9Ylh/view?usp=drivesdk</t>
  </si>
  <si>
    <t>Document successfully created; Document successfully merged; PDF created; !!Error Sending Emails: Service invoked too many times for one day: email.; Manually run by ecertificate75@gmail.com; Timestamp: Aug 31 2024 12:42 AM</t>
  </si>
  <si>
    <t>FITRI KUSUMADEWI. S.E. M.M.</t>
  </si>
  <si>
    <t>fitrikusuma81@gmail.com</t>
  </si>
  <si>
    <t>1284</t>
  </si>
  <si>
    <t>https://drive.google.com/file/d/1nJxGxHr0I-LoBR95Jc-ly9etSH0z3BpB/view?usp=drivesdk</t>
  </si>
  <si>
    <t>1nJxGxHr0I-LoBR95Jc-ly9etSH0z3BpB</t>
  </si>
  <si>
    <t>1BNGGlr0ZV074iqlY560DtaLK7jBHFKiP</t>
  </si>
  <si>
    <t>https://drive.google.com/file/d/1BNGGlr0ZV074iqlY560DtaLK7jBHFKiP/view?usp=drivesdk</t>
  </si>
  <si>
    <t>RANTY SUDHARWANTY</t>
  </si>
  <si>
    <t>rantysudharwanty@gmail.com</t>
  </si>
  <si>
    <t>1285</t>
  </si>
  <si>
    <t>https://drive.google.com/file/d/1iJ00Y-ucuPMudiL0B4IpaltTY3us0jF-/view?usp=drivesdk</t>
  </si>
  <si>
    <t>1iJ00Y-ucuPMudiL0B4IpaltTY3us0jF-</t>
  </si>
  <si>
    <t>1uP3BA9WP3AOxLhuhgjihBs_Pi9FXdcol</t>
  </si>
  <si>
    <t>https://drive.google.com/file/d/1uP3BA9WP3AOxLhuhgjihBs_Pi9FXdcol/view?usp=drivesdk</t>
  </si>
  <si>
    <t>PENATA MUDA SUNARDI, S.H.</t>
  </si>
  <si>
    <t>73sunardi@gmail.com</t>
  </si>
  <si>
    <t>1286</t>
  </si>
  <si>
    <t>https://drive.google.com/file/d/1IhBqqXsUWd_LZyRl9L8QCgsPnvpPreKV/view?usp=drivesdk</t>
  </si>
  <si>
    <t>1IhBqqXsUWd_LZyRl9L8QCgsPnvpPreKV</t>
  </si>
  <si>
    <t>16joffHkyQdOephnuYHJ6iq5lQ1OFpuGn</t>
  </si>
  <si>
    <t>https://drive.google.com/file/d/16joffHkyQdOephnuYHJ6iq5lQ1OFpuGn/view?usp=drivesdk</t>
  </si>
  <si>
    <t>PENGATUR IDA SUSANTI</t>
  </si>
  <si>
    <t>idapekanbaru74@gmail.vom</t>
  </si>
  <si>
    <t>1287</t>
  </si>
  <si>
    <t>https://drive.google.com/file/d/1pN6mlG_z7rrzK5X02kfALhB4xhWhv9Sf/view?usp=drivesdk</t>
  </si>
  <si>
    <t>1pN6mlG_z7rrzK5X02kfALhB4xhWhv9Sf</t>
  </si>
  <si>
    <t>1-O3vy5_Gc1MfXiDDuga7IWwGF4XwVOHD</t>
  </si>
  <si>
    <t>https://drive.google.com/file/d/1-O3vy5_Gc1MfXiDDuga7IWwGF4XwVOHD/view?usp=drivesdk</t>
  </si>
  <si>
    <t>Document successfully created; Document successfully merged; PDF created; !!Error Sending Emails: Service invoked too many times for one day: email.; Manually run by ecertificate75@gmail.com; Timestamp: Aug 31 2024 12:43 AM</t>
  </si>
  <si>
    <t>RINI INDRAWATI</t>
  </si>
  <si>
    <t>riniindrawati967@gmail.com</t>
  </si>
  <si>
    <t>1288</t>
  </si>
  <si>
    <t>https://drive.google.com/file/d/1Ub1HXo1I27sjgf16cz99QfgvomeJWC97/view?usp=drivesdk</t>
  </si>
  <si>
    <t>1Ub1HXo1I27sjgf16cz99QfgvomeJWC97</t>
  </si>
  <si>
    <t>1EzWBcuzOplZUXU38xFKuURfxln8ufg5_</t>
  </si>
  <si>
    <t>https://drive.google.com/file/d/1EzWBcuzOplZUXU38xFKuURfxln8ufg5_/view?usp=drivesdk</t>
  </si>
  <si>
    <t xml:space="preserve">KIPTIYAH ARIYANI </t>
  </si>
  <si>
    <t>kiptiyah.ariyani65@gmail.com</t>
  </si>
  <si>
    <t>1289</t>
  </si>
  <si>
    <t>https://drive.google.com/file/d/1t3ZT1BTl-Wma1JGzb3b04695OBPL4_td/view?usp=drivesdk</t>
  </si>
  <si>
    <t>1t3ZT1BTl-Wma1JGzb3b04695OBPL4_td</t>
  </si>
  <si>
    <t>1_XWROOqw8wQ9BXOmWLugZadfI9mfK1ho</t>
  </si>
  <si>
    <t>https://drive.google.com/file/d/1_XWROOqw8wQ9BXOmWLugZadfI9mfK1ho/view?usp=drivesdk</t>
  </si>
  <si>
    <t>BEJO SUMANTRI, S.E.</t>
  </si>
  <si>
    <t>sibey9494@gmail.com</t>
  </si>
  <si>
    <t>1290</t>
  </si>
  <si>
    <t>https://drive.google.com/file/d/1zq6wOYfDO1g--oA4nGl2q1aTOo6PRlmP/view?usp=drivesdk</t>
  </si>
  <si>
    <t>1zq6wOYfDO1g--oA4nGl2q1aTOo6PRlmP</t>
  </si>
  <si>
    <t>1plyK1Znp8J-SqUcU32Ij4xV9ieJ3KtNo</t>
  </si>
  <si>
    <t>https://drive.google.com/file/d/1plyK1Znp8J-SqUcU32Ij4xV9ieJ3KtNo/view?usp=drivesdk</t>
  </si>
  <si>
    <t xml:space="preserve">TETTY YUNIAWATI </t>
  </si>
  <si>
    <t>tettyyuniawati@gmail.com</t>
  </si>
  <si>
    <t>1291</t>
  </si>
  <si>
    <t>https://drive.google.com/file/d/1YX1GUYlsxaqWQEjw8pW47iyM0zwnCDln/view?usp=drivesdk</t>
  </si>
  <si>
    <t>1YX1GUYlsxaqWQEjw8pW47iyM0zwnCDln</t>
  </si>
  <si>
    <t>11dN4v5cGMe5KXoGnNYTUSwh4TqNVKdiT</t>
  </si>
  <si>
    <t>https://drive.google.com/file/d/11dN4v5cGMe5KXoGnNYTUSwh4TqNVKdiT/view?usp=drivesdk</t>
  </si>
  <si>
    <t>IKA WULAN BRURIANI</t>
  </si>
  <si>
    <t>Ika_wulan80@yahoo.com</t>
  </si>
  <si>
    <t>1292</t>
  </si>
  <si>
    <t>https://drive.google.com/file/d/1AFMspwo97KQIZJCalA0pwlHyn6K3V71g/view?usp=drivesdk</t>
  </si>
  <si>
    <t>1AFMspwo97KQIZJCalA0pwlHyn6K3V71g</t>
  </si>
  <si>
    <t>1KVv1vZIABlAvScELQlo2iqJdiEEo1MDd</t>
  </si>
  <si>
    <t>https://drive.google.com/file/d/1KVv1vZIABlAvScELQlo2iqJdiEEo1MDd/view?usp=drivesdk</t>
  </si>
  <si>
    <t>Document successfully created; Document successfully merged; PDF created; !!Error Sending Emails: Service invoked too many times for one day: email.; Manually run by ecertificate75@gmail.com; Timestamp: Aug 31 2024 12:44 AM</t>
  </si>
  <si>
    <t>MUHAMMAD JASRUN</t>
  </si>
  <si>
    <t>muhammad.jasrun@gmail.com</t>
  </si>
  <si>
    <t>1293</t>
  </si>
  <si>
    <t>https://drive.google.com/file/d/1wlCXoTEdd1z81vpkwRpQ9jeNolm3hDyz/view?usp=drivesdk</t>
  </si>
  <si>
    <t>1wlCXoTEdd1z81vpkwRpQ9jeNolm3hDyz</t>
  </si>
  <si>
    <t>1hDj4b0QsotdcyQNj-SRWVBOsrlpxqcxB</t>
  </si>
  <si>
    <t>https://drive.google.com/file/d/1hDj4b0QsotdcyQNj-SRWVBOsrlpxqcxB/view?usp=drivesdk</t>
  </si>
  <si>
    <t>TITA CHOIRUNISA, A.Md</t>
  </si>
  <si>
    <t>titachoirunisa@gmail.com</t>
  </si>
  <si>
    <t>1294</t>
  </si>
  <si>
    <t>https://drive.google.com/file/d/1Cxl0-m34LEx0gr40OIsua3kFjxIvNOgs/view?usp=drivesdk</t>
  </si>
  <si>
    <t>1Cxl0-m34LEx0gr40OIsua3kFjxIvNOgs</t>
  </si>
  <si>
    <t>1cVGAAXngBiBclehgZ7WSsVOJQbqdXpyP</t>
  </si>
  <si>
    <t>https://drive.google.com/file/d/1cVGAAXngBiBclehgZ7WSsVOJQbqdXpyP/view?usp=drivesdk</t>
  </si>
  <si>
    <t>SURYO INDRATNO RAMADHANI, SE</t>
  </si>
  <si>
    <t>suryoindratnoabcd@gmail.com</t>
  </si>
  <si>
    <t>1295</t>
  </si>
  <si>
    <t>https://drive.google.com/file/d/1w5CikUnhwfCAtMRVg3ZbCEKd9jGE_SeV/view?usp=drivesdk</t>
  </si>
  <si>
    <t>1w5CikUnhwfCAtMRVg3ZbCEKd9jGE_SeV</t>
  </si>
  <si>
    <t>1OvWBSGC_FCrA9533qEwcgIgmvh1fXYcG</t>
  </si>
  <si>
    <t>https://drive.google.com/file/d/1OvWBSGC_FCrA9533qEwcgIgmvh1fXYcG/view?usp=drivesdk</t>
  </si>
  <si>
    <t>KRIS SUGIARTI</t>
  </si>
  <si>
    <t>al.14021984@gmqil.com</t>
  </si>
  <si>
    <t>1296</t>
  </si>
  <si>
    <t>https://drive.google.com/file/d/1ZsRJbrFqiGVtJkshhujuRyxVUOmVaSfB/view?usp=drivesdk</t>
  </si>
  <si>
    <t>1ZsRJbrFqiGVtJkshhujuRyxVUOmVaSfB</t>
  </si>
  <si>
    <t>1i0CpqcU8gwTAvA730qaS3a4z2cSluASw</t>
  </si>
  <si>
    <t>https://drive.google.com/file/d/1i0CpqcU8gwTAvA730qaS3a4z2cSluASw/view?usp=drivesdk</t>
  </si>
  <si>
    <t>ELSI PIPIANTI S.Kep</t>
  </si>
  <si>
    <t>elsipipi@gmail.com</t>
  </si>
  <si>
    <t>1297</t>
  </si>
  <si>
    <t>Starting at Thu Aug 29 2024 20:58:12 GMT-0400 (EDT)</t>
  </si>
  <si>
    <t>1DY0eoE7n40JH57YAWGi8ULw-25oao_66</t>
  </si>
  <si>
    <t>https://drive.google.com/file/d/1DY0eoE7n40JH57YAWGi8ULw-25oao_66/view?usp=drivesdk</t>
  </si>
  <si>
    <t xml:space="preserve">EKA SRI JUNIARTI </t>
  </si>
  <si>
    <t>esri718@gmail.com</t>
  </si>
  <si>
    <t>1298</t>
  </si>
  <si>
    <t>1U5zVAxrkq7OAQTbbldYL08NvCFjU7z66</t>
  </si>
  <si>
    <t>https://drive.google.com/file/d/1U5zVAxrkq7OAQTbbldYL08NvCFjU7z66/view?usp=drivesdk</t>
  </si>
  <si>
    <t>Document successfully created; Document successfully merged; PDF created; !!Error Sending Emails: Service invoked too many times for one day: email.; Manually run by ecertificate75@gmail.com; Timestamp: Aug 31 2024 12:45 AM</t>
  </si>
  <si>
    <t>NI NYOMAN SUSI YUNIATI S.SOS</t>
  </si>
  <si>
    <t>susiyuniati73@gmail.com</t>
  </si>
  <si>
    <t>1299</t>
  </si>
  <si>
    <t>https://drive.google.com/file/d/1mItPx_kKdX3Ab46tx0DWYqoqH-q7kXbD/view?usp=drivesdk</t>
  </si>
  <si>
    <t>1mItPx_kKdX3Ab46tx0DWYqoqH-q7kXbD</t>
  </si>
  <si>
    <t>1A1nyahEyWbT09MsWxJWQD8v9kyjc5IMF</t>
  </si>
  <si>
    <t>https://drive.google.com/file/d/1A1nyahEyWbT09MsWxJWQD8v9kyjc5IMF/view?usp=drivesdk</t>
  </si>
  <si>
    <t>SITI AISIYAH, S.H</t>
  </si>
  <si>
    <t>sitiaisiyah68@gmail.com</t>
  </si>
  <si>
    <t>1300</t>
  </si>
  <si>
    <t>https://drive.google.com/file/d/1_u4c2l5TKJnkjHXQ40pC52phceFJtpmy/view?usp=drivesdk</t>
  </si>
  <si>
    <t>1_u4c2l5TKJnkjHXQ40pC52phceFJtpmy</t>
  </si>
  <si>
    <t>1d9OXA3rbCVGhhnA-9hrTXyf9w17DpR0k</t>
  </si>
  <si>
    <t>https://drive.google.com/file/d/1d9OXA3rbCVGhhnA-9hrTXyf9w17DpR0k/view?usp=drivesdk</t>
  </si>
  <si>
    <t>HENDRI GUNAWAN, A.MD</t>
  </si>
  <si>
    <t>adhygun4@gmail.com</t>
  </si>
  <si>
    <t>1301</t>
  </si>
  <si>
    <t>https://drive.google.com/file/d/1myefv-Drwm_a_-NVqktNmpm6y-QCOg8_/view?usp=drivesdk</t>
  </si>
  <si>
    <t>1myefv-Drwm_a_-NVqktNmpm6y-QCOg8_</t>
  </si>
  <si>
    <t>1O5sw4tGMfXqC3QTQisMAl_dNbTs5ABtG</t>
  </si>
  <si>
    <t>https://drive.google.com/file/d/1O5sw4tGMfXqC3QTQisMAl_dNbTs5ABtG/view?usp=drivesdk</t>
  </si>
  <si>
    <t>MEIRONI PESTA LASMA SARTI RAJAGUKGUK, S.E, M.M</t>
  </si>
  <si>
    <t>meironirajagukguk@gmail.com</t>
  </si>
  <si>
    <t>1302</t>
  </si>
  <si>
    <t>https://drive.google.com/file/d/1ej0hSnG6z0KRF0nMrtvGvfrliwhsjc4t/view?usp=drivesdk</t>
  </si>
  <si>
    <t>1ej0hSnG6z0KRF0nMrtvGvfrliwhsjc4t</t>
  </si>
  <si>
    <t>1QYUQGp4s8m73RJu_rbixGljbliaNhHXy</t>
  </si>
  <si>
    <t>https://drive.google.com/file/d/1QYUQGp4s8m73RJu_rbixGljbliaNhHXy/view?usp=drivesdk</t>
  </si>
  <si>
    <t>Document successfully created; Document successfully merged; PDF created; !!Error Sending Emails: Service invoked too many times for one day: email.; Run via form trigger as ecertificate75@gmail.com; Timestamp: Aug 31 2024 12:07 AM</t>
  </si>
  <si>
    <t>RIDHAANANDA,AMK</t>
  </si>
  <si>
    <t>ridhataraqaike24@gmail.com</t>
  </si>
  <si>
    <t>1303</t>
  </si>
  <si>
    <t>https://drive.google.com/file/d/1VWVyGeB40lv7TLKDPps94s5vsosqWVKl/view?usp=drivesdk</t>
  </si>
  <si>
    <t>1VWVyGeB40lv7TLKDPps94s5vsosqWVKl</t>
  </si>
  <si>
    <t>1Jy6fryqSVjGjCRL4gRtz9uXA2nYYX-w6</t>
  </si>
  <si>
    <t>https://drive.google.com/file/d/1Jy6fryqSVjGjCRL4gRtz9uXA2nYYX-w6/view?usp=drivesdk</t>
  </si>
  <si>
    <t>Document successfully created; Document successfully merged; PDF created; !!Error Sending Emails: Service invoked too many times for one day: email.; Run via form trigger as ecertificate75@gmail.com; Timestamp: Aug 31 2024 12:08 AM</t>
  </si>
  <si>
    <t>APRIL WINARIJANTO, S.Pd., M.M.</t>
  </si>
  <si>
    <t>rorena61@gmail.com</t>
  </si>
  <si>
    <t>1304</t>
  </si>
  <si>
    <t>https://drive.google.com/file/d/1CWch3UYlQ628SbFo1ZmzB5fcOzzvSujf/view?usp=drivesdk</t>
  </si>
  <si>
    <t>1CWch3UYlQ628SbFo1ZmzB5fcOzzvSujf</t>
  </si>
  <si>
    <t>1k3-c5meJvCzZcaMKSJ0eUvcrG_ezV1h2</t>
  </si>
  <si>
    <t>https://drive.google.com/file/d/1k3-c5meJvCzZcaMKSJ0eUvcrG_ezV1h2/view?usp=drivesdk</t>
  </si>
  <si>
    <t>ENDIRO PITOYONK</t>
  </si>
  <si>
    <t>najwapatinaya@yahoo.com</t>
  </si>
  <si>
    <t>1305</t>
  </si>
  <si>
    <t>https://drive.google.com/file/d/1OaOYuJ-IGoIQQkbzMri1cUt5FIH9ZAnk/view?usp=drivesdk</t>
  </si>
  <si>
    <t>1OaOYuJ-IGoIQQkbzMri1cUt5FIH9ZAnk</t>
  </si>
  <si>
    <t>148ddHJ26Xu3m5H6d8PDeRrBAwQ2x77Zb</t>
  </si>
  <si>
    <t>https://drive.google.com/file/d/148ddHJ26Xu3m5H6d8PDeRrBAwQ2x77Zb/view?usp=drivesdk</t>
  </si>
  <si>
    <t>ROSARI PURWANINGRUM</t>
  </si>
  <si>
    <t>rosaripurwaningrum@gmail.com</t>
  </si>
  <si>
    <t>1306</t>
  </si>
  <si>
    <t>https://drive.google.com/file/d/1gy5G6XTQAGkVoJHxz4ovKcRkvhLdK0YD/view?usp=drivesdk</t>
  </si>
  <si>
    <t>1gy5G6XTQAGkVoJHxz4ovKcRkvhLdK0YD</t>
  </si>
  <si>
    <t>1CYdTsh7hOLIYFV63C1xLvTP03pTz6Lzf</t>
  </si>
  <si>
    <t>https://drive.google.com/file/d/1CYdTsh7hOLIYFV63C1xLvTP03pTz6Lzf/view?usp=drivesdk</t>
  </si>
  <si>
    <t>LAMBERTHINE R.KERMITE</t>
  </si>
  <si>
    <t>kermiteine@gmail.com</t>
  </si>
  <si>
    <t>1307</t>
  </si>
  <si>
    <t>Starting at Thu Aug 29 2024 20:58:24 GMT-0400 (EDT)</t>
  </si>
  <si>
    <t>1ui7wAVMaDd0tbvdCzG7GQq4p5CcP7otH</t>
  </si>
  <si>
    <t>https://drive.google.com/file/d/1ui7wAVMaDd0tbvdCzG7GQq4p5CcP7otH/view?usp=drivesdk</t>
  </si>
  <si>
    <t>Document successfully created; Document successfully merged; PDF created; !!Error Sending Emails: Service invoked too many times for one day: email.; Run via form trigger as ecertificate75@gmail.com; Timestamp: Aug 31 2024 12:09 AM</t>
  </si>
  <si>
    <t>PENGATUR MARWAN</t>
  </si>
  <si>
    <t>mrleuds77@gmail.com</t>
  </si>
  <si>
    <t>1308</t>
  </si>
  <si>
    <t>1bD3Q_s0xSCpgZ19UqH19ai18vqYnbiPS</t>
  </si>
  <si>
    <t>https://drive.google.com/file/d/1bD3Q_s0xSCpgZ19UqH19ai18vqYnbiPS/view?usp=drivesdk</t>
  </si>
  <si>
    <t>SABRINASARI, S.Tr.Keb</t>
  </si>
  <si>
    <t>sabrinasariwira@gmail.com</t>
  </si>
  <si>
    <t>1309</t>
  </si>
  <si>
    <t>1Znj-hxaNctYKhmED_tUSiljtScK40MlF</t>
  </si>
  <si>
    <t>https://drive.google.com/file/d/1Znj-hxaNctYKhmED_tUSiljtScK40MlF/view?usp=drivesdk</t>
  </si>
  <si>
    <t xml:space="preserve">NANIS NINDRAWATI </t>
  </si>
  <si>
    <t>nanistempeh70@gmail.com</t>
  </si>
  <si>
    <t>1310</t>
  </si>
  <si>
    <t>1Y8zSzFidiUASWlHoPd3WpBdhxSLsYraI</t>
  </si>
  <si>
    <t>https://drive.google.com/file/d/1Y8zSzFidiUASWlHoPd3WpBdhxSLsYraI/view?usp=drivesdk</t>
  </si>
  <si>
    <t>DENI ADRIANSYAH, S.P.</t>
  </si>
  <si>
    <t>deniadriansyah76@gmail.com</t>
  </si>
  <si>
    <t>1311</t>
  </si>
  <si>
    <t>1ICSf3hPhxWqvH1q9v3ZYY078ZLJIIZEW</t>
  </si>
  <si>
    <t>https://drive.google.com/file/d/1ICSf3hPhxWqvH1q9v3ZYY078ZLJIIZEW/view?usp=drivesdk</t>
  </si>
  <si>
    <t xml:space="preserve">WAHYUNINGSIH </t>
  </si>
  <si>
    <t>niningningsih220@gmail.com</t>
  </si>
  <si>
    <t>1312</t>
  </si>
  <si>
    <t>1ZjnEqY5V03v7h7R8PSkZSkLmyQFqEs8u</t>
  </si>
  <si>
    <t>https://drive.google.com/file/d/1ZjnEqY5V03v7h7R8PSkZSkLmyQFqEs8u/view?usp=drivesdk</t>
  </si>
  <si>
    <t>Document successfully created; Document successfully merged; PDF created; !!Error Sending Emails: Service invoked too many times for one day: email.; Run via form trigger as ecertificate75@gmail.com; Timestamp: Aug 31 2024 12:10 AM</t>
  </si>
  <si>
    <t>BANGGAWAK SOEDIHARTONO</t>
  </si>
  <si>
    <t>banggawaksoedihartono@gmail.com</t>
  </si>
  <si>
    <t>1313</t>
  </si>
  <si>
    <t>https://drive.google.com/file/d/1iRuFvwT_LizfqULEBcEefSeUn99Rrej_/view?usp=drivesdk</t>
  </si>
  <si>
    <t>1iRuFvwT_LizfqULEBcEefSeUn99Rrej_</t>
  </si>
  <si>
    <t>1auypU-cG6ewpRRCqmtzNYxbDcmZfE4m2</t>
  </si>
  <si>
    <t>https://drive.google.com/file/d/1auypU-cG6ewpRRCqmtzNYxbDcmZfE4m2/view?usp=drivesdk</t>
  </si>
  <si>
    <t>RUSDIANA SIRINGO RINGO</t>
  </si>
  <si>
    <t>72rusdiana05@gmail.com</t>
  </si>
  <si>
    <t>1314</t>
  </si>
  <si>
    <t>https://drive.google.com/file/d/1Q1bxasCliScZ702kV_KrjRt8QS8EI6kS/view?usp=drivesdk</t>
  </si>
  <si>
    <t>1Q1bxasCliScZ702kV_KrjRt8QS8EI6kS</t>
  </si>
  <si>
    <t>1lPQT2HmgfMt4nhXQPLWfuYuURwrosyot</t>
  </si>
  <si>
    <t>https://drive.google.com/file/d/1lPQT2HmgfMt4nhXQPLWfuYuURwrosyot/view?usp=drivesdk</t>
  </si>
  <si>
    <t>FATHURACHMAN WIRATAMA, S.H</t>
  </si>
  <si>
    <t>wiratamafathur@gmail.com</t>
  </si>
  <si>
    <t>1315</t>
  </si>
  <si>
    <t>https://drive.google.com/file/d/1RvHZTGkNEPoNpxPWPKGMYlPy7-AUgilQ/view?usp=drivesdk</t>
  </si>
  <si>
    <t>1RvHZTGkNEPoNpxPWPKGMYlPy7-AUgilQ</t>
  </si>
  <si>
    <t>1DBiXKj_s4h0mvGx_To0zHY_Y65X3jUtq</t>
  </si>
  <si>
    <t>https://drive.google.com/file/d/1DBiXKj_s4h0mvGx_To0zHY_Y65X3jUtq/view?usp=drivesdk</t>
  </si>
  <si>
    <t xml:space="preserve">SULISTIJOWATI, SE </t>
  </si>
  <si>
    <t>sulistijowato01@gmail.com</t>
  </si>
  <si>
    <t>1316</t>
  </si>
  <si>
    <t>https://drive.google.com/file/d/1YX-b4PzPM3OJ8puEjwYa9vIbCyQXz4v0/view?usp=drivesdk</t>
  </si>
  <si>
    <t>1YX-b4PzPM3OJ8puEjwYa9vIbCyQXz4v0</t>
  </si>
  <si>
    <t>1ixMoXGJSwUhPIKeCi44oum4SlAOqwJYr</t>
  </si>
  <si>
    <t>https://drive.google.com/file/d/1ixMoXGJSwUhPIKeCi44oum4SlAOqwJYr/view?usp=drivesdk</t>
  </si>
  <si>
    <t xml:space="preserve">RATUMAS ASMARITA </t>
  </si>
  <si>
    <t>asmarita.rts@gmail.com</t>
  </si>
  <si>
    <t>1317</t>
  </si>
  <si>
    <t>https://drive.google.com/file/d/1WeDd4iGw62tnzuLmngXtJVABZ2O8c2RF/view?usp=drivesdk</t>
  </si>
  <si>
    <t>1WeDd4iGw62tnzuLmngXtJVABZ2O8c2RF</t>
  </si>
  <si>
    <t>1sVa59y7wz7WqmIWigi5FUGQdiW20H7Be</t>
  </si>
  <si>
    <t>https://drive.google.com/file/d/1sVa59y7wz7WqmIWigi5FUGQdiW20H7Be/view?usp=drivesdk</t>
  </si>
  <si>
    <t>Document successfully created; Document successfully merged; PDF created; !!Error Sending Emails: Service invoked too many times for one day: email.; Run via form trigger as ecertificate75@gmail.com; Timestamp: Aug 31 2024 12:11 AM</t>
  </si>
  <si>
    <t>BOWO SUMARTOYO, S.E., M.M.</t>
  </si>
  <si>
    <t>bowosumartoyo@gmail.com</t>
  </si>
  <si>
    <t>1318</t>
  </si>
  <si>
    <t>Starting at Thu Aug 29 2024 20:58:29 GMT-0400 (EDT)</t>
  </si>
  <si>
    <t>1gUOsbA60V-VSjlufKcWwIA2bjo3ntrPp</t>
  </si>
  <si>
    <t>https://drive.google.com/file/d/1gUOsbA60V-VSjlufKcWwIA2bjo3ntrPp/view?usp=drivesdk</t>
  </si>
  <si>
    <t>ISRAWATI ISHAK</t>
  </si>
  <si>
    <t>wisra646@gmail.com</t>
  </si>
  <si>
    <t>1319</t>
  </si>
  <si>
    <t>https://drive.google.com/file/d/1R6hwKRePMOHkkFAQRDyJ8G0nPPsOPZZL/view?usp=drivesdk</t>
  </si>
  <si>
    <t>1R6hwKRePMOHkkFAQRDyJ8G0nPPsOPZZL</t>
  </si>
  <si>
    <t>1aCKXOsioMKMsmBGfoIZK7vu1yhLESzUa</t>
  </si>
  <si>
    <t>https://drive.google.com/file/d/1aCKXOsioMKMsmBGfoIZK7vu1yhLESzUa/view?usp=drivesdk</t>
  </si>
  <si>
    <t>KARSIDI BIN YOREDJO</t>
  </si>
  <si>
    <t>karsidi163@gmail.com</t>
  </si>
  <si>
    <t>1320</t>
  </si>
  <si>
    <t>https://drive.google.com/file/d/1Yh7YdJKZWoTRC2Oq-wS0xoRGm1RspDUr/view?usp=drivesdk</t>
  </si>
  <si>
    <t>1Yh7YdJKZWoTRC2Oq-wS0xoRGm1RspDUr</t>
  </si>
  <si>
    <t>1I6Lz8LKYkdwcuSGhAWoTX9yCjlRa2uHu</t>
  </si>
  <si>
    <t>https://drive.google.com/file/d/1I6Lz8LKYkdwcuSGhAWoTX9yCjlRa2uHu/view?usp=drivesdk</t>
  </si>
  <si>
    <t>Document successfully created; Document successfully merged; PDF created; !!Error Sending Emails: Service invoked too many times for one day: email.; Run via form trigger as ecertificate75@gmail.com; Timestamp: Aug 31 2024 12:12 AM</t>
  </si>
  <si>
    <t>MUHAMMAD ZAENAL BAHRI</t>
  </si>
  <si>
    <t>muhamzaenal8@gmail.com</t>
  </si>
  <si>
    <t>1321</t>
  </si>
  <si>
    <t>https://drive.google.com/file/d/1_3c9-e3zRwG9fDhs5EgCEEvxVWdvB8Re/view?usp=drivesdk</t>
  </si>
  <si>
    <t>1_3c9-e3zRwG9fDhs5EgCEEvxVWdvB8Re</t>
  </si>
  <si>
    <t>1L1LFULuBG-aPXh_Rpbwa_kuMdc6m8nj_</t>
  </si>
  <si>
    <t>https://drive.google.com/file/d/1L1LFULuBG-aPXh_Rpbwa_kuMdc6m8nj_/view?usp=drivesdk</t>
  </si>
  <si>
    <t>ROSALINA ARIANTI, S.E.</t>
  </si>
  <si>
    <t>davayanti005@gmail.com</t>
  </si>
  <si>
    <t>1322</t>
  </si>
  <si>
    <t>https://drive.google.com/file/d/15dNE2kNVY9_3H7SII4lRN4FayotOTnnq/view?usp=drivesdk</t>
  </si>
  <si>
    <t>15dNE2kNVY9_3H7SII4lRN4FayotOTnnq</t>
  </si>
  <si>
    <t>1aJwTrpyUSG3vCro6ZOC-dRLA1wFMpgLH</t>
  </si>
  <si>
    <t>https://drive.google.com/file/d/1aJwTrpyUSG3vCro6ZOC-dRLA1wFMpgLH/view?usp=drivesdk</t>
  </si>
  <si>
    <t>IBNU SALEH AMD RAD</t>
  </si>
  <si>
    <t>ibnu.saleh12@gmail.com</t>
  </si>
  <si>
    <t>1323</t>
  </si>
  <si>
    <t>https://drive.google.com/file/d/10c8BnQ9YA9i70Culy6h_egwaiLp6ITcj/view?usp=drivesdk</t>
  </si>
  <si>
    <t>10c8BnQ9YA9i70Culy6h_egwaiLp6ITcj</t>
  </si>
  <si>
    <t>1XyJZ2CQhHOBs2TALCFcBTdcS9UpEJa8h</t>
  </si>
  <si>
    <t>https://drive.google.com/file/d/1XyJZ2CQhHOBs2TALCFcBTdcS9UpEJa8h/view?usp=drivesdk</t>
  </si>
  <si>
    <t>dr. DARA NOVEA HUTAGALUNG</t>
  </si>
  <si>
    <t>daranhtg@gmail.com</t>
  </si>
  <si>
    <t>1324</t>
  </si>
  <si>
    <t>https://drive.google.com/file/d/1aGyD7_PO0oHWi92HVce5hpaivRkJh2c5/view?usp=drivesdk</t>
  </si>
  <si>
    <t>1aGyD7_PO0oHWi92HVce5hpaivRkJh2c5</t>
  </si>
  <si>
    <t>1xdin_8Ac-Zsstgj1kET-cJuCstla85wF</t>
  </si>
  <si>
    <t>https://drive.google.com/file/d/1xdin_8Ac-Zsstgj1kET-cJuCstla85wF/view?usp=drivesdk</t>
  </si>
  <si>
    <t>Document successfully created; Document successfully merged; PDF created; Emails Sent: [To: daranhtg@gmail.com]; Manually run by ecertificate75@gmail.com; Timestamp: Aug 31 2024 12:23 AM</t>
  </si>
  <si>
    <t>ARIES FERDHITA HARIAWAN, S.Kom</t>
  </si>
  <si>
    <t>aries.jatim@polri.go.id</t>
  </si>
  <si>
    <t>1325</t>
  </si>
  <si>
    <t>https://drive.google.com/file/d/1OMS2oj1ZxaGGcMn4n4YyAIjL7aixtjN_/view?usp=drivesdk</t>
  </si>
  <si>
    <t>1OMS2oj1ZxaGGcMn4n4YyAIjL7aixtjN_</t>
  </si>
  <si>
    <t>1M5Wx-YxjGK7sN47s894Y5P1dfwnz1mj6</t>
  </si>
  <si>
    <t>https://drive.google.com/file/d/1M5Wx-YxjGK7sN47s894Y5P1dfwnz1mj6/view?usp=drivesdk</t>
  </si>
  <si>
    <t xml:space="preserve">WAHYU TEGUH HENDARTO </t>
  </si>
  <si>
    <t>wahyuteguhyanma@gmail.com</t>
  </si>
  <si>
    <t>1326</t>
  </si>
  <si>
    <t>https://drive.google.com/file/d/1ZOM1un8uEk3WZbk5CfCz7tiPNTfx8ezG/view?usp=drivesdk</t>
  </si>
  <si>
    <t>1ZOM1un8uEk3WZbk5CfCz7tiPNTfx8ezG</t>
  </si>
  <si>
    <t>15Ehu2TVyd0cBCnOQ6eekuF4ChQ2witqA</t>
  </si>
  <si>
    <t>https://drive.google.com/file/d/15Ehu2TVyd0cBCnOQ6eekuF4ChQ2witqA/view?usp=drivesdk</t>
  </si>
  <si>
    <t>AHMAT IRWAN ZUHRI, A. Md. Kep</t>
  </si>
  <si>
    <t>ahmadirwanzuhri3@gmail.com</t>
  </si>
  <si>
    <t>1327</t>
  </si>
  <si>
    <t>https://drive.google.com/file/d/19Q9YUS7-3wm-kTwNPbbZMqKScZJ3FKXD/view?usp=drivesdk</t>
  </si>
  <si>
    <t>19Q9YUS7-3wm-kTwNPbbZMqKScZJ3FKXD</t>
  </si>
  <si>
    <t>1Im2xN5hZsVGWYiU5lQU_nl-t8TKCcOGs</t>
  </si>
  <si>
    <t>https://drive.google.com/file/d/1Im2xN5hZsVGWYiU5lQU_nl-t8TKCcOGs/view?usp=drivesdk</t>
  </si>
  <si>
    <t>Document successfully created; Document successfully merged; PDF created; !!Error Sending Emails: Service invoked too many times for one day: email.; Manually run by ecertificate75@gmail.com; Timestamp: Aug 31 2024 12:46 AM</t>
  </si>
  <si>
    <t>DIAN SUTIARA WAHYUNI, A. Md. Keb.</t>
  </si>
  <si>
    <t>lutfiamar20@gmail.com</t>
  </si>
  <si>
    <t>1328</t>
  </si>
  <si>
    <t>https://drive.google.com/file/d/1UuOZ8I6csio6e55ZOLKFyOp1s8C8BeyR/view?usp=drivesdk</t>
  </si>
  <si>
    <t>1UuOZ8I6csio6e55ZOLKFyOp1s8C8BeyR</t>
  </si>
  <si>
    <t>1imdcAyVhGpNKRirI60h0YIW4UgrsMFMu</t>
  </si>
  <si>
    <t>https://drive.google.com/file/d/1imdcAyVhGpNKRirI60h0YIW4UgrsMFMu/view?usp=drivesdk</t>
  </si>
  <si>
    <t>INAH HADIANAH</t>
  </si>
  <si>
    <t>devaniaputri05@gmail.com</t>
  </si>
  <si>
    <t>1329</t>
  </si>
  <si>
    <t>https://drive.google.com/file/d/1ppyobx_va1dBBPUwrcsDCdq87IkmNO3z/view?usp=drivesdk</t>
  </si>
  <si>
    <t>1ppyobx_va1dBBPUwrcsDCdq87IkmNO3z</t>
  </si>
  <si>
    <t>1K935Ct-5Y9OsAex_N0lsWTjWzT0Qg73W</t>
  </si>
  <si>
    <t>https://drive.google.com/file/d/1K935Ct-5Y9OsAex_N0lsWTjWzT0Qg73W/view?usp=drivesdk</t>
  </si>
  <si>
    <t>JOKO KUSTONO, ASN</t>
  </si>
  <si>
    <t>jokokustono3@gmail.com</t>
  </si>
  <si>
    <t>1330</t>
  </si>
  <si>
    <t>Starting at Thu Aug 29 2024 20:58:37 GMT-0400 (EDT)</t>
  </si>
  <si>
    <t>18Y2n94o5-QuMJq8QqHi1norRgdpc_qlA</t>
  </si>
  <si>
    <t>https://drive.google.com/file/d/18Y2n94o5-QuMJq8QqHi1norRgdpc_qlA/view?usp=drivesdk</t>
  </si>
  <si>
    <t>HESTHI RAHMAWATI AMKG</t>
  </si>
  <si>
    <t>Hesthirahmawati@gmail.com</t>
  </si>
  <si>
    <t>1331</t>
  </si>
  <si>
    <t>1oq0ldDLUpNvqKFTpD8X553fLTJMPOV31</t>
  </si>
  <si>
    <t>https://drive.google.com/file/d/1oq0ldDLUpNvqKFTpD8X553fLTJMPOV31/view?usp=drivesdk</t>
  </si>
  <si>
    <t>DEWI ASPARITA</t>
  </si>
  <si>
    <t>asparitad@gmail.com</t>
  </si>
  <si>
    <t>1332</t>
  </si>
  <si>
    <t>1QN-9N5W0mqTBe16OXVpu1AyO2A0I_qh6</t>
  </si>
  <si>
    <t>https://drive.google.com/file/d/1QN-9N5W0mqTBe16OXVpu1AyO2A0I_qh6/view?usp=drivesdk</t>
  </si>
  <si>
    <t>Document successfully created; Document successfully merged; PDF created; !!Error Sending Emails: Service invoked too many times for one day: email.; Manually run by ecertificate75@gmail.com; Timestamp: Aug 31 2024 12:47 AM</t>
  </si>
  <si>
    <t>SON HANGGA WIJI FATIH, AMD</t>
  </si>
  <si>
    <t>hanggafatih29@gmail.com</t>
  </si>
  <si>
    <t>1333</t>
  </si>
  <si>
    <t>1qdZXjCTCxqAoQaaZXZ0xkYkSb5KxwdVI</t>
  </si>
  <si>
    <t>https://drive.google.com/file/d/1qdZXjCTCxqAoQaaZXZ0xkYkSb5KxwdVI/view?usp=drivesdk</t>
  </si>
  <si>
    <t>SRI MUSTIKA, A.MD.FARM</t>
  </si>
  <si>
    <t>sri81tika@gmail.com</t>
  </si>
  <si>
    <t>1334</t>
  </si>
  <si>
    <t>12M5GK78ObmrSEzCBKdZVGHgbyHeJar3s</t>
  </si>
  <si>
    <t>https://drive.google.com/file/d/12M5GK78ObmrSEzCBKdZVGHgbyHeJar3s/view?usp=drivesdk</t>
  </si>
  <si>
    <t>M. TJATUR PRASTYANTO</t>
  </si>
  <si>
    <t>prastyan1968@gmail.com</t>
  </si>
  <si>
    <t>1335</t>
  </si>
  <si>
    <t>1NbVd4KmSRbJxxqKWdjimywoZoyD-extS</t>
  </si>
  <si>
    <t>https://drive.google.com/file/d/1NbVd4KmSRbJxxqKWdjimywoZoyD-extS/view?usp=drivesdk</t>
  </si>
  <si>
    <t>PENDA RIKA SUGIHARTI.S.Kep.,Ners.</t>
  </si>
  <si>
    <t>rikasugiharti.rsbi@gmail.com</t>
  </si>
  <si>
    <t>1336</t>
  </si>
  <si>
    <t>1AvjlV4kXxn7_AZXuW858cwstnzVOwz5J</t>
  </si>
  <si>
    <t>https://drive.google.com/file/d/1AvjlV4kXxn7_AZXuW858cwstnzVOwz5J/view?usp=drivesdk</t>
  </si>
  <si>
    <t>ANNISA FRANKY WAHYUNINGDYAH</t>
  </si>
  <si>
    <t>nezza.nessa@gmail.com</t>
  </si>
  <si>
    <t>1337</t>
  </si>
  <si>
    <t>15s6aetxiXeK9ZlhydeJVayJJF0NbCAWU</t>
  </si>
  <si>
    <t>https://drive.google.com/file/d/15s6aetxiXeK9ZlhydeJVayJJF0NbCAWU/view?usp=drivesdk</t>
  </si>
  <si>
    <t>Document successfully created; Document successfully merged; PDF created; !!Error Sending Emails: Service invoked too many times for one day: email.; Manually run by ecertificate75@gmail.com; Timestamp: Aug 31 2024 12:48 AM</t>
  </si>
  <si>
    <t>MOKHAMAD ARIFIN</t>
  </si>
  <si>
    <t>arifinmuh3333@gmail.com</t>
  </si>
  <si>
    <t>1338</t>
  </si>
  <si>
    <t>1OiO_j3CSP_L3mGMNFrf6xCbKr_G1ZfrK</t>
  </si>
  <si>
    <t>https://drive.google.com/file/d/1OiO_j3CSP_L3mGMNFrf6xCbKr_G1ZfrK/view?usp=drivesdk</t>
  </si>
  <si>
    <t>RUKRUK RUKMINI, S.Pd., M.M.</t>
  </si>
  <si>
    <t>bellaaeryllin24@gmail.com</t>
  </si>
  <si>
    <t>1339</t>
  </si>
  <si>
    <t>https://drive.google.com/file/d/1kcjBBRzspgzPyno6C_WijCjuIapdU7p9/view?usp=drivesdk</t>
  </si>
  <si>
    <t>1kcjBBRzspgzPyno6C_WijCjuIapdU7p9</t>
  </si>
  <si>
    <t>1rRr-2m8KdVVbisPRgr42IerCkKg56CV9</t>
  </si>
  <si>
    <t>https://drive.google.com/file/d/1rRr-2m8KdVVbisPRgr42IerCkKg56CV9/view?usp=drivesdk</t>
  </si>
  <si>
    <t>RICKI RIYANTO, AMD</t>
  </si>
  <si>
    <t>sukamtiselalu@gmail.com</t>
  </si>
  <si>
    <t>1340</t>
  </si>
  <si>
    <t>https://drive.google.com/file/d/1AMPXdFszZyRM8R2q_Ym9P55SHWQjb7Zp/view?usp=drivesdk</t>
  </si>
  <si>
    <t>1AMPXdFszZyRM8R2q_Ym9P55SHWQjb7Zp</t>
  </si>
  <si>
    <t>1Zo0WRLgdiy_TmjHxSYtlUVtz-nZDhL8X</t>
  </si>
  <si>
    <t>https://drive.google.com/file/d/1Zo0WRLgdiy_TmjHxSYtlUVtz-nZDhL8X/view?usp=drivesdk</t>
  </si>
  <si>
    <t>DIAN EKAWATI, S.H.</t>
  </si>
  <si>
    <t>kasubbagrenmin.birologistik@gmail.com</t>
  </si>
  <si>
    <t>1341</t>
  </si>
  <si>
    <t>https://drive.google.com/file/d/13-zk6-zCfTYPjMWCj-5waTlXDsEM-ch0/view?usp=drivesdk</t>
  </si>
  <si>
    <t>13-zk6-zCfTYPjMWCj-5waTlXDsEM-ch0</t>
  </si>
  <si>
    <t>1qzQ1RFMKUKvgAO5dIVnyyPwIgYHuMwDr</t>
  </si>
  <si>
    <t>https://drive.google.com/file/d/1qzQ1RFMKUKvgAO5dIVnyyPwIgYHuMwDr/view?usp=drivesdk</t>
  </si>
  <si>
    <t>NUTSYAWALINDA SIREGAR</t>
  </si>
  <si>
    <t>linfarega70@gmail.com</t>
  </si>
  <si>
    <t>1342</t>
  </si>
  <si>
    <t>https://drive.google.com/file/d/1Zy59YDtx7--vjmUQrcMB_A42atXHoGrs/view?usp=drivesdk</t>
  </si>
  <si>
    <t>1Zy59YDtx7--vjmUQrcMB_A42atXHoGrs</t>
  </si>
  <si>
    <t>1240m0AfNnbTdhd3aTWd834pd_9KA_zCk</t>
  </si>
  <si>
    <t>https://drive.google.com/file/d/1240m0AfNnbTdhd3aTWd834pd_9KA_zCk/view?usp=drivesdk</t>
  </si>
  <si>
    <t>Document successfully created; Document successfully merged; PDF created; !!Error Sending Emails: Service invoked too many times for one day: email.; Manually run by ecertificate75@gmail.com; Timestamp: Aug 31 2024 12:49 AM</t>
  </si>
  <si>
    <t>EDY SUSIANTOO</t>
  </si>
  <si>
    <t>edysusianto1612@gmail.com</t>
  </si>
  <si>
    <t>1343</t>
  </si>
  <si>
    <t>https://drive.google.com/file/d/1IFpRHp4dIZlbv1psoGLzT6V32Fbj1Waa/view?usp=drivesdk</t>
  </si>
  <si>
    <t>1IFpRHp4dIZlbv1psoGLzT6V32Fbj1Waa</t>
  </si>
  <si>
    <t>1jIt-WBbCiBVbZ61VTQ05086OK1X2ke0N</t>
  </si>
  <si>
    <t>https://drive.google.com/file/d/1jIt-WBbCiBVbZ61VTQ05086OK1X2ke0N/view?usp=drivesdk</t>
  </si>
  <si>
    <t>YUSTINA SUDARMI</t>
  </si>
  <si>
    <t>yustinasudarmi@gmail.com</t>
  </si>
  <si>
    <t>1344</t>
  </si>
  <si>
    <t>https://drive.google.com/file/d/1YOWr0nkWNNA7-DpDqRS08B5bG01b2e7a/view?usp=drivesdk</t>
  </si>
  <si>
    <t>1YOWr0nkWNNA7-DpDqRS08B5bG01b2e7a</t>
  </si>
  <si>
    <t>1iFoTcc8ZdC0eU1c7h9hRPhRvtMWVV7NG</t>
  </si>
  <si>
    <t>https://drive.google.com/file/d/1iFoTcc8ZdC0eU1c7h9hRPhRvtMWVV7NG/view?usp=drivesdk</t>
  </si>
  <si>
    <t>HASTOKO SUKMO WIDODO</t>
  </si>
  <si>
    <t>hastokoswidodo@gmail.com</t>
  </si>
  <si>
    <t>1345</t>
  </si>
  <si>
    <t>https://drive.google.com/file/d/1uO54HqUVnPk08nTkfyluXEc5oljjGr06/view?usp=drivesdk</t>
  </si>
  <si>
    <t>1uO54HqUVnPk08nTkfyluXEc5oljjGr06</t>
  </si>
  <si>
    <t>15X8Ovh7tVoR82p-ZvmV29tQeRnZ2VG-D</t>
  </si>
  <si>
    <t>https://drive.google.com/file/d/15X8Ovh7tVoR82p-ZvmV29tQeRnZ2VG-D/view?usp=drivesdk</t>
  </si>
  <si>
    <t>MUHAMMAD MUNDIR</t>
  </si>
  <si>
    <t>mmundzir99@gmai.com</t>
  </si>
  <si>
    <t>1346</t>
  </si>
  <si>
    <t>https://drive.google.com/file/d/1oR8JukP_Bvk8k-xfnx9KbvSuLKVtf7GG/view?usp=drivesdk</t>
  </si>
  <si>
    <t>1oR8JukP_Bvk8k-xfnx9KbvSuLKVtf7GG</t>
  </si>
  <si>
    <t>1RivRItA_VylbgphtXBzagUIRxbI8e42i</t>
  </si>
  <si>
    <t>https://drive.google.com/file/d/1RivRItA_VylbgphtXBzagUIRxbI8e42i/view?usp=drivesdk</t>
  </si>
  <si>
    <t>YUNISOKHI MENDROFA</t>
  </si>
  <si>
    <t>yenmen0206@gmail.com</t>
  </si>
  <si>
    <t>1347</t>
  </si>
  <si>
    <t>https://drive.google.com/file/d/1yUZReyfXdkQhBupnbstaQVcptW_1hKTp/view?usp=drivesdk</t>
  </si>
  <si>
    <t>1yUZReyfXdkQhBupnbstaQVcptW_1hKTp</t>
  </si>
  <si>
    <t>1fcp7F9hqMit7F_xJUZu_oaQtRqNvamyw</t>
  </si>
  <si>
    <t>https://drive.google.com/file/d/1fcp7F9hqMit7F_xJUZu_oaQtRqNvamyw/view?usp=drivesdk</t>
  </si>
  <si>
    <t>EDI RIYANTO, S.KOM, M.Si</t>
  </si>
  <si>
    <t>edyroyantoklaten@gmail.com</t>
  </si>
  <si>
    <t>1348</t>
  </si>
  <si>
    <t>https://drive.google.com/file/d/14_gFT8npch741m8PNBVSqcMWUxo35BS_/view?usp=drivesdk</t>
  </si>
  <si>
    <t>14_gFT8npch741m8PNBVSqcMWUxo35BS_</t>
  </si>
  <si>
    <t>1DOAQlioT3-lrHBOKgweu6lsGJyVhQRuz</t>
  </si>
  <si>
    <t>https://drive.google.com/file/d/1DOAQlioT3-lrHBOKgweu6lsGJyVhQRuz/view?usp=drivesdk</t>
  </si>
  <si>
    <t>Document successfully created; Document successfully merged; PDF created; !!Error Sending Emails: Service invoked too many times for one day: email.; Manually run by ecertificate75@gmail.com; Timestamp: Aug 31 2024 12:50 AM</t>
  </si>
  <si>
    <t>NANANG SUPRIATNA. S.KOM</t>
  </si>
  <si>
    <t>nanang.s1978@gmail.com</t>
  </si>
  <si>
    <t>1349</t>
  </si>
  <si>
    <t>https://drive.google.com/file/d/1u_IwjQSs8lzKeX4p_4wGUvLJ-7pKILWv/view?usp=drivesdk</t>
  </si>
  <si>
    <t>1u_IwjQSs8lzKeX4p_4wGUvLJ-7pKILWv</t>
  </si>
  <si>
    <t>1hjXJeRDQsjqhkLVMJJzFiHc6N1FsAXbl</t>
  </si>
  <si>
    <t>https://drive.google.com/file/d/1hjXJeRDQsjqhkLVMJJzFiHc6N1FsAXbl/view?usp=drivesdk</t>
  </si>
  <si>
    <t>DEDE SYAEFUL ROHMAN</t>
  </si>
  <si>
    <t>dedesyafulrohman@gmail.com</t>
  </si>
  <si>
    <t>1350</t>
  </si>
  <si>
    <t>https://drive.google.com/file/d/11boDsGLkqmrn1WS_W0IgEJ6GCmmf_Ru1/view?usp=drivesdk</t>
  </si>
  <si>
    <t>11boDsGLkqmrn1WS_W0IgEJ6GCmmf_Ru1</t>
  </si>
  <si>
    <t>1m52UIoqQsiNN52oAMrtEKbqVjdfUtdyE</t>
  </si>
  <si>
    <t>https://drive.google.com/file/d/1m52UIoqQsiNN52oAMrtEKbqVjdfUtdyE/view?usp=drivesdk</t>
  </si>
  <si>
    <t>RENY PUSPITA SARI,AMD.FARM</t>
  </si>
  <si>
    <t>jabbaraksi@gmail.com</t>
  </si>
  <si>
    <t>1351</t>
  </si>
  <si>
    <t>https://drive.google.com/file/d/1bCksTun7Ino0Rpe_0OMnYiMyZomxVU6O/view?usp=drivesdk</t>
  </si>
  <si>
    <t>1bCksTun7Ino0Rpe_0OMnYiMyZomxVU6O</t>
  </si>
  <si>
    <t>1O_KQila3GkyAe2UC4a77b7bQG0HSntzx</t>
  </si>
  <si>
    <t>https://drive.google.com/file/d/1O_KQila3GkyAe2UC4a77b7bQG0HSntzx/view?usp=drivesdk</t>
  </si>
  <si>
    <t>PUJI HASTUTININGSIH, Amd. Keb</t>
  </si>
  <si>
    <t>fauzanbahar@gmail.com</t>
  </si>
  <si>
    <t>1352</t>
  </si>
  <si>
    <t>https://drive.google.com/file/d/1AQ4-R0HMJmjV26-S__SeWnQYp3MY7al6/view?usp=drivesdk</t>
  </si>
  <si>
    <t>1AQ4-R0HMJmjV26-S__SeWnQYp3MY7al6</t>
  </si>
  <si>
    <t>1mv0oyQ1DPC_Zp5aqI1F5iNKj44n-BI35</t>
  </si>
  <si>
    <t>https://drive.google.com/file/d/1mv0oyQ1DPC_Zp5aqI1F5iNKj44n-BI35/view?usp=drivesdk</t>
  </si>
  <si>
    <t>HERLI MURTIKA WATI, S.PD.</t>
  </si>
  <si>
    <t>herlimurtika@gmail.com</t>
  </si>
  <si>
    <t>1353</t>
  </si>
  <si>
    <t>https://drive.google.com/file/d/1z-bKrom3VBicPPHg05IcSHI7Ytz4gll7/view?usp=drivesdk</t>
  </si>
  <si>
    <t>1z-bKrom3VBicPPHg05IcSHI7Ytz4gll7</t>
  </si>
  <si>
    <t>1KSh2IBcIrq8irzbmGOTqn8Ng3cW9-iCB</t>
  </si>
  <si>
    <t>https://drive.google.com/file/d/1KSh2IBcIrq8irzbmGOTqn8Ng3cW9-iCB/view?usp=drivesdk</t>
  </si>
  <si>
    <t>Document successfully created; Document successfully merged; PDF created; !!Error Sending Emails: Service invoked too many times for one day: email.; Manually run by ecertificate75@gmail.com; Timestamp: Aug 31 2024 12:51 AM</t>
  </si>
  <si>
    <t>SITI MUCHAYAROH</t>
  </si>
  <si>
    <t>sitimucha88@gmail.com</t>
  </si>
  <si>
    <t>1354</t>
  </si>
  <si>
    <t>Starting at Thu Aug 29 2024 20:58:56 GMT-0400 (EDT)</t>
  </si>
  <si>
    <t>1SFTfCjXlJwsyZLqgG9AWHH0a1CqZHqsg</t>
  </si>
  <si>
    <t>https://drive.google.com/file/d/1SFTfCjXlJwsyZLqgG9AWHH0a1CqZHqsg/view?usp=drivesdk</t>
  </si>
  <si>
    <t>HARI NOVIANTO, SE</t>
  </si>
  <si>
    <t>hari.novianto74@gmail.com</t>
  </si>
  <si>
    <t>1355</t>
  </si>
  <si>
    <t>13iakT3ASpFAYzAqU5aePjrERy3SKazFd</t>
  </si>
  <si>
    <t>https://drive.google.com/file/d/13iakT3ASpFAYzAqU5aePjrERy3SKazFd/view?usp=drivesdk</t>
  </si>
  <si>
    <t>RENI MAYA PUSPITASARI,S.Kep.,Ners</t>
  </si>
  <si>
    <t>renimaya9@gmail.com</t>
  </si>
  <si>
    <t>1356</t>
  </si>
  <si>
    <t>17_BKAwdJxVefhqdD7vSsBgEUL4UYa56z</t>
  </si>
  <si>
    <t>https://drive.google.com/file/d/17_BKAwdJxVefhqdD7vSsBgEUL4UYa56z/view?usp=drivesdk</t>
  </si>
  <si>
    <t>ESTHI WIDHI UJI UNTARI</t>
  </si>
  <si>
    <t>esthiahya@gmial.com</t>
  </si>
  <si>
    <t>1357</t>
  </si>
  <si>
    <t>1e7NEcAqUAqPQkpJODV1VCHpNioMmOufN</t>
  </si>
  <si>
    <t>https://drive.google.com/file/d/1e7NEcAqUAqPQkpJODV1VCHpNioMmOufN/view?usp=drivesdk</t>
  </si>
  <si>
    <t>NURUL HIDAYATI, S.Sos</t>
  </si>
  <si>
    <t>nurululil75@gmail.com</t>
  </si>
  <si>
    <t>1358</t>
  </si>
  <si>
    <t>1sWmtmMZEh84nsu8jKKeSk0t-L1KJcivX</t>
  </si>
  <si>
    <t>https://drive.google.com/file/d/1sWmtmMZEh84nsu8jKKeSk0t-L1KJcivX/view?usp=drivesdk</t>
  </si>
  <si>
    <t>AEP SAEPUDIN, S.H., M.H.</t>
  </si>
  <si>
    <t>aep7483@gmail.com</t>
  </si>
  <si>
    <t>1359</t>
  </si>
  <si>
    <t>https://drive.google.com/file/d/1vXoX4eg3obVyiqHKFmKn1FS6eRSkx4TI/view?usp=drivesdk</t>
  </si>
  <si>
    <t>1vXoX4eg3obVyiqHKFmKn1FS6eRSkx4TI</t>
  </si>
  <si>
    <t>1whI4QD6pZuXBiHrAx9X6_wc0t0KMB0Br</t>
  </si>
  <si>
    <t>https://drive.google.com/file/d/1whI4QD6pZuXBiHrAx9X6_wc0t0KMB0Br/view?usp=drivesdk</t>
  </si>
  <si>
    <t>Document successfully created; Document successfully merged; PDF created; !!Error Sending Emails: Service invoked too many times for one day: email.; Manually run by ecertificate75@gmail.com; Timestamp: Aug 31 2024 12:52 AM</t>
  </si>
  <si>
    <t>AYU PUSPITA SARI, A. Md. Farm</t>
  </si>
  <si>
    <t>ayupuspitasari249@gmail.com</t>
  </si>
  <si>
    <t>1360</t>
  </si>
  <si>
    <t>https://drive.google.com/file/d/1PaBvpy8KGVfqVu8xTt_kYV5eEmH2zhLo/view?usp=drivesdk</t>
  </si>
  <si>
    <t>1PaBvpy8KGVfqVu8xTt_kYV5eEmH2zhLo</t>
  </si>
  <si>
    <t>1SZDB3u7GBGIMc_K1i7-Rva39vTOPHxb4</t>
  </si>
  <si>
    <t>https://drive.google.com/file/d/1SZDB3u7GBGIMc_K1i7-Rva39vTOPHxb4/view?usp=drivesdk</t>
  </si>
  <si>
    <t xml:space="preserve">LILIK KARDINIYATI </t>
  </si>
  <si>
    <t>lilikkardiniyati@gmail.com</t>
  </si>
  <si>
    <t>1361</t>
  </si>
  <si>
    <t>https://drive.google.com/file/d/1RYEaaE5wdMMc2hpqdOOT2I2XXYGYIfzI/view?usp=drivesdk</t>
  </si>
  <si>
    <t>1RYEaaE5wdMMc2hpqdOOT2I2XXYGYIfzI</t>
  </si>
  <si>
    <t>1phoqYBmjHE8nGaQ8gy9w0G8sbFDoOput</t>
  </si>
  <si>
    <t>https://drive.google.com/file/d/1phoqYBmjHE8nGaQ8gy9w0G8sbFDoOput/view?usp=drivesdk</t>
  </si>
  <si>
    <t>CUCUM SUMARTINI</t>
  </si>
  <si>
    <t>dcucum@gmail.com</t>
  </si>
  <si>
    <t>1362</t>
  </si>
  <si>
    <t>Starting at Thu Aug 29 2024 20:59:08 GMT-0400 (EDT)</t>
  </si>
  <si>
    <t>1N9jC9DeHQ-i959SY4xE8a4Tac-YkURaX</t>
  </si>
  <si>
    <t>https://drive.google.com/file/d/1N9jC9DeHQ-i959SY4xE8a4Tac-YkURaX/view?usp=drivesdk</t>
  </si>
  <si>
    <t>SUGITO POLRES BLORA</t>
  </si>
  <si>
    <t>sugitoblora123456@gmail.com</t>
  </si>
  <si>
    <t>1363</t>
  </si>
  <si>
    <t>1VlefGhgXTb-mwLzHnuBRoud1WXGcftge</t>
  </si>
  <si>
    <t>https://drive.google.com/file/d/1VlefGhgXTb-mwLzHnuBRoud1WXGcftge/view?usp=drivesdk</t>
  </si>
  <si>
    <t>ARDI PURWANTO</t>
  </si>
  <si>
    <t>arditho81@gmail.com</t>
  </si>
  <si>
    <t>1364</t>
  </si>
  <si>
    <t>132yzSQha4qS4sHTVWpU6W5wNxaBRz-6S</t>
  </si>
  <si>
    <t>https://drive.google.com/file/d/132yzSQha4qS4sHTVWpU6W5wNxaBRz-6S/view?usp=drivesdk</t>
  </si>
  <si>
    <t>Document successfully created; Document successfully merged; PDF created; !!Error Sending Emails: Service invoked too many times for one day: email.; Manually run by ecertificate75@gmail.com; Timestamp: Aug 31 2024 12:53 AM</t>
  </si>
  <si>
    <t>IGNASIUS RICKY PATRIA REVANDIAN</t>
  </si>
  <si>
    <t>riickyrollonthefloor@gmail.com</t>
  </si>
  <si>
    <t>1365</t>
  </si>
  <si>
    <t>https://drive.google.com/file/d/1RdiAkIuJQZEJAAMuog0k1awxHzvY39aT/view?usp=drivesdk</t>
  </si>
  <si>
    <t>1RdiAkIuJQZEJAAMuog0k1awxHzvY39aT</t>
  </si>
  <si>
    <t>1thDjxLWIHqy1nOrXDb-iaMKHi6G8ESM1</t>
  </si>
  <si>
    <t>https://drive.google.com/file/d/1thDjxLWIHqy1nOrXDb-iaMKHi6G8ESM1/view?usp=drivesdk</t>
  </si>
  <si>
    <t>RISKA FITRI ANDINI</t>
  </si>
  <si>
    <t>riskafitriandini811@gmail.com</t>
  </si>
  <si>
    <t>1366</t>
  </si>
  <si>
    <t>Starting at Thu Aug 29 2024 20:59:11 GMT-0400 (EDT)</t>
  </si>
  <si>
    <t>1vaJ3NKFNxrCqznnfEUHVxGPT7wl3WWc1</t>
  </si>
  <si>
    <t>https://drive.google.com/file/d/1vaJ3NKFNxrCqznnfEUHVxGPT7wl3WWc1/view?usp=drivesdk</t>
  </si>
  <si>
    <t>TIOURI NAINGGOLAN, S.E.</t>
  </si>
  <si>
    <t>tiourinainggolan48@gmail.com</t>
  </si>
  <si>
    <t>1367</t>
  </si>
  <si>
    <t>1iJTLHqBzzExXiSsOuFGDDyndktXhJm53</t>
  </si>
  <si>
    <t>https://drive.google.com/file/d/1iJTLHqBzzExXiSsOuFGDDyndktXhJm53/view?usp=drivesdk</t>
  </si>
  <si>
    <t>TINA SILVIANA ISYANI, S.E.</t>
  </si>
  <si>
    <t>silviana.prabowo07@gmail.com</t>
  </si>
  <si>
    <t>1368</t>
  </si>
  <si>
    <t>1iJifuSI91FFK_YeoVOcF2vw3sYehivxA</t>
  </si>
  <si>
    <t>https://drive.google.com/file/d/1iJifuSI91FFK_YeoVOcF2vw3sYehivxA/view?usp=drivesdk</t>
  </si>
  <si>
    <t>AGUS WIJAYA PENGATUR</t>
  </si>
  <si>
    <t>aguswijaya0508@gmail.com</t>
  </si>
  <si>
    <t>1369</t>
  </si>
  <si>
    <t>1ykSKQAj94LnnfCbVXlOzJSoXwXav6n8d</t>
  </si>
  <si>
    <t>https://drive.google.com/file/d/1ykSKQAj94LnnfCbVXlOzJSoXwXav6n8d/view?usp=drivesdk</t>
  </si>
  <si>
    <t>Document successfully created; Document successfully merged; PDF created; !!Error Sending Emails: Service invoked too many times for one day: email.; Manually run by ecertificate75@gmail.com; Timestamp: Aug 31 2024 12:54 AM</t>
  </si>
  <si>
    <t>RUSTAM EFENDI BIN BOHORI</t>
  </si>
  <si>
    <t>rusdytata268@mail.com</t>
  </si>
  <si>
    <t>1370</t>
  </si>
  <si>
    <t>https://drive.google.com/file/d/1vabzJ9PRspVWGtdtUtQRMawZG9iX8XrU/view?usp=drivesdk</t>
  </si>
  <si>
    <t>1vabzJ9PRspVWGtdtUtQRMawZG9iX8XrU</t>
  </si>
  <si>
    <t>1HM1IQNa3zroiko2OQ-HuSpOOjdQMwIAC</t>
  </si>
  <si>
    <t>https://drive.google.com/file/d/1HM1IQNa3zroiko2OQ-HuSpOOjdQMwIAC/view?usp=drivesdk</t>
  </si>
  <si>
    <t>VERONIKA PASOMBA, Amd.Kep</t>
  </si>
  <si>
    <t>veronikapasomba3@gmail.com</t>
  </si>
  <si>
    <t>1371</t>
  </si>
  <si>
    <t>Starting at Thu Aug 29 2024 20:59:18 GMT-0400 (EDT)</t>
  </si>
  <si>
    <t>1G4aSvq6rwKgx1IPNIrFb9F10c93EUOH7</t>
  </si>
  <si>
    <t>https://drive.google.com/file/d/1G4aSvq6rwKgx1IPNIrFb9F10c93EUOH7/view?usp=drivesdk</t>
  </si>
  <si>
    <t>PENGATUR TK I SUGINO</t>
  </si>
  <si>
    <t>suginopusdik@gmail.com</t>
  </si>
  <si>
    <t>1372</t>
  </si>
  <si>
    <t>1EgfY5ZcdhAkrzacHbGQsou0nKQKmbDvc</t>
  </si>
  <si>
    <t>https://drive.google.com/file/d/1EgfY5ZcdhAkrzacHbGQsou0nKQKmbDvc/view?usp=drivesdk</t>
  </si>
  <si>
    <t>SULIATI,S.H YANMA</t>
  </si>
  <si>
    <t>Suliatish@gmai.com</t>
  </si>
  <si>
    <t>1373</t>
  </si>
  <si>
    <t>1JQUcYR4KV1WnWVxZuvQS9BBmhJyQ8jt9</t>
  </si>
  <si>
    <t>https://drive.google.com/file/d/1JQUcYR4KV1WnWVxZuvQS9BBmhJyQ8jt9/view?usp=drivesdk</t>
  </si>
  <si>
    <t>ARIS SUBIYANTO</t>
  </si>
  <si>
    <t>198510072008121001@polri.go.id</t>
  </si>
  <si>
    <t>1374</t>
  </si>
  <si>
    <t>1phg8Q0DenpUhISHZ4Kq3-5DlYFlGbVyC</t>
  </si>
  <si>
    <t>https://drive.google.com/file/d/1phg8Q0DenpUhISHZ4Kq3-5DlYFlGbVyC/view?usp=drivesdk</t>
  </si>
  <si>
    <t>Document successfully created; Document successfully merged; PDF created; !!Error Sending Emails: Service invoked too many times for one day: email.; Manually run by ecertificate75@gmail.com; Timestamp: Aug 31 2024 12:55 AM</t>
  </si>
  <si>
    <t>UMMY KHATIJAH</t>
  </si>
  <si>
    <t>ummykhatijah82@gmail.com</t>
  </si>
  <si>
    <t>1375</t>
  </si>
  <si>
    <t>1dlV56_QyM_hF2mgqZ8IRQQwSp4n5BTN6</t>
  </si>
  <si>
    <t>https://drive.google.com/file/d/1dlV56_QyM_hF2mgqZ8IRQQwSp4n5BTN6/view?usp=drivesdk</t>
  </si>
  <si>
    <t>RAHMAWATY FAUJI</t>
  </si>
  <si>
    <t>rahmafauji@gmail.com</t>
  </si>
  <si>
    <t>1376</t>
  </si>
  <si>
    <t>1gJp4ikRZQWCzteaAmPCx6CszDrrlimyu</t>
  </si>
  <si>
    <t>https://drive.google.com/file/d/1gJp4ikRZQWCzteaAmPCx6CszDrrlimyu/view?usp=drivesdk</t>
  </si>
  <si>
    <t>LULUT SETYOWATI,S.Kep,Ns</t>
  </si>
  <si>
    <t>chilut.zafri@gmail.com</t>
  </si>
  <si>
    <t>1377</t>
  </si>
  <si>
    <t>1zt3RJ6jKlCfs7xNbFXIeYbbzoUsCyhty</t>
  </si>
  <si>
    <t>https://drive.google.com/file/d/1zt3RJ6jKlCfs7xNbFXIeYbbzoUsCyhty/view?usp=drivesdk</t>
  </si>
  <si>
    <t>TANDA SEPTIAWAN HUTAJULU</t>
  </si>
  <si>
    <t>tandaseptiawanhutajulu@gmail.com</t>
  </si>
  <si>
    <t>1378</t>
  </si>
  <si>
    <t>1uHgdkh6qPOvddpxaY3hk85idyrNjL2LS</t>
  </si>
  <si>
    <t>https://drive.google.com/file/d/1uHgdkh6qPOvddpxaY3hk85idyrNjL2LS/view?usp=drivesdk</t>
  </si>
  <si>
    <t>NINIK PUSPITANINGSIH</t>
  </si>
  <si>
    <t>ninikpuspitaningsih.rsbbwo@gmail.com</t>
  </si>
  <si>
    <t>1379</t>
  </si>
  <si>
    <t>1qq2mhR2xbQsZ5GjC4CQnglj4zzoQRXci</t>
  </si>
  <si>
    <t>https://drive.google.com/file/d/1qq2mhR2xbQsZ5GjC4CQnglj4zzoQRXci/view?usp=drivesdk</t>
  </si>
  <si>
    <t>RENI MERDEKAWATI</t>
  </si>
  <si>
    <t>renimerdekawati@gmail.com</t>
  </si>
  <si>
    <t>1380</t>
  </si>
  <si>
    <t>11Yp1EAwhubecdK_SN0ccuOHspchfI0QA</t>
  </si>
  <si>
    <t>https://drive.google.com/file/d/11Yp1EAwhubecdK_SN0ccuOHspchfI0QA/view?usp=drivesdk</t>
  </si>
  <si>
    <t>Document successfully created; Document successfully merged; PDF created; !!Error Sending Emails: Service invoked too many times for one day: email.; Manually run by ecertificate75@gmail.com; Timestamp: Aug 31 2024 12:56 AM</t>
  </si>
  <si>
    <t>RATNA WIDIYAWATI</t>
  </si>
  <si>
    <t>ratnaquueen@gmail.com</t>
  </si>
  <si>
    <t>1381</t>
  </si>
  <si>
    <t>https://drive.google.com/file/d/1Z4Cm34wGZDr2XrQ7F0b5rZaGIjGWmybb/view?usp=drivesdk</t>
  </si>
  <si>
    <t>1Z4Cm34wGZDr2XrQ7F0b5rZaGIjGWmybb</t>
  </si>
  <si>
    <t>1kI3hkRB70fBSCuOabB_a6c5Xnq9B_Hqp</t>
  </si>
  <si>
    <t>https://drive.google.com/file/d/1kI3hkRB70fBSCuOabB_a6c5Xnq9B_Hqp/view?usp=drivesdk</t>
  </si>
  <si>
    <t xml:space="preserve">AGUS SURATMAN </t>
  </si>
  <si>
    <t>agussuratman125@gmail.com</t>
  </si>
  <si>
    <t>1382</t>
  </si>
  <si>
    <t>Starting at Thu Aug 29 2024 20:59:26 GMT-0400 (EDT)</t>
  </si>
  <si>
    <t>10fC0F03unU8YTcX628gESRjGULQpRjvg</t>
  </si>
  <si>
    <t>https://drive.google.com/file/d/10fC0F03unU8YTcX628gESRjGULQpRjvg/view?usp=drivesdk</t>
  </si>
  <si>
    <t>SUDARMI YANMA</t>
  </si>
  <si>
    <t>sudarmiyanma@mail.com</t>
  </si>
  <si>
    <t>1383</t>
  </si>
  <si>
    <t>1jJqL0NgWXj2Ewzhn82JYxyovOEsWJ0vQ</t>
  </si>
  <si>
    <t>https://drive.google.com/file/d/1jJqL0NgWXj2Ewzhn82JYxyovOEsWJ0vQ/view?usp=drivesdk</t>
  </si>
  <si>
    <t>SUYANTO BLORA</t>
  </si>
  <si>
    <t>suyantokunduran@gmail.com</t>
  </si>
  <si>
    <t>1384</t>
  </si>
  <si>
    <t>Starting at Thu Aug 29 2024 20:59:28 GMT-0400 (EDT)</t>
  </si>
  <si>
    <t>1iywNObKImNHRkkMBFhs55PJB0itI3UTN</t>
  </si>
  <si>
    <t>https://drive.google.com/file/d/1iywNObKImNHRkkMBFhs55PJB0itI3UTN/view?usp=drivesdk</t>
  </si>
  <si>
    <t xml:space="preserve">DADANG FIRMANSYAH </t>
  </si>
  <si>
    <t>dadangf824@gmail.com</t>
  </si>
  <si>
    <t>1385</t>
  </si>
  <si>
    <t>1uaUNrJOPmxB5XDOR9lD-lxR1i--6fdtC</t>
  </si>
  <si>
    <t>https://drive.google.com/file/d/1uaUNrJOPmxB5XDOR9lD-lxR1i--6fdtC/view?usp=drivesdk</t>
  </si>
  <si>
    <t>dr. SATRIA PERWIRA, M.Si, SpFM</t>
  </si>
  <si>
    <t>satria.perwira@polri.go.id</t>
  </si>
  <si>
    <t>1386</t>
  </si>
  <si>
    <t>1IzTun7cXxU0MoUTMMsW_OT43Zu3ZGihp</t>
  </si>
  <si>
    <t>https://drive.google.com/file/d/1IzTun7cXxU0MoUTMMsW_OT43Zu3ZGihp/view?usp=drivesdk</t>
  </si>
  <si>
    <t>Document successfully created; Document successfully merged; PDF created; !!Error Sending Emails: Service invoked too many times for one day: email.; Manually run by ecertificate75@gmail.com; Timestamp: Aug 31 2024 12:57 AM</t>
  </si>
  <si>
    <t>AGUS INDRATNO SURYO SAPUTRO, SH</t>
  </si>
  <si>
    <t>agusindratno177@gmail.com</t>
  </si>
  <si>
    <t>1387</t>
  </si>
  <si>
    <t>1xcfhYxZ8zHYYreLG325y9xY8lwi2XGhs</t>
  </si>
  <si>
    <t>https://drive.google.com/file/d/1xcfhYxZ8zHYYreLG325y9xY8lwi2XGhs/view?usp=drivesdk</t>
  </si>
  <si>
    <t>DESY ARIYANTI</t>
  </si>
  <si>
    <t>desyariyanti08@gmail.com</t>
  </si>
  <si>
    <t>1388</t>
  </si>
  <si>
    <t>Starting at Thu Aug 29 2024 20:59:34 GMT-0400 (EDT)</t>
  </si>
  <si>
    <t>1X3ZcN6TsVLK2bC79iH4D3bxSztd8PXn6</t>
  </si>
  <si>
    <t>https://drive.google.com/file/d/1X3ZcN6TsVLK2bC79iH4D3bxSztd8PXn6/view?usp=drivesdk</t>
  </si>
  <si>
    <t>ISMIYATI A RAHIM S E</t>
  </si>
  <si>
    <t>ismihusen81@gmail.com</t>
  </si>
  <si>
    <t>1389</t>
  </si>
  <si>
    <t>1wD_D_sEepW_0zmP1bTkR7u1YK3JM4mR8</t>
  </si>
  <si>
    <t>https://drive.google.com/file/d/1wD_D_sEepW_0zmP1bTkR7u1YK3JM4mR8/view?usp=drivesdk</t>
  </si>
  <si>
    <t xml:space="preserve">ANDRI SISWANTO </t>
  </si>
  <si>
    <t>andrisiswantoblokr@gmail.com</t>
  </si>
  <si>
    <t>1390</t>
  </si>
  <si>
    <t>1pDFi5Uc9ENuIR_wC2VEudYur5rgxzXq8</t>
  </si>
  <si>
    <t>https://drive.google.com/file/d/1pDFi5Uc9ENuIR_wC2VEudYur5rgxzXq8/view?usp=drivesdk</t>
  </si>
  <si>
    <t xml:space="preserve">SRI REJEKI IVANA </t>
  </si>
  <si>
    <t>ivanajulia80@gmail.com</t>
  </si>
  <si>
    <t>1391</t>
  </si>
  <si>
    <t>18YOfoS2_E-KOM84cN9WXHuEw2BpgVxOK</t>
  </si>
  <si>
    <t>https://drive.google.com/file/d/18YOfoS2_E-KOM84cN9WXHuEw2BpgVxOK/view?usp=drivesdk</t>
  </si>
  <si>
    <t>Document successfully created; Document successfully merged; PDF created; !!Error Sending Emails: Service invoked too many times for one day: email.; Manually run by ecertificate75@gmail.com; Timestamp: Aug 31 2024 12:58 AM</t>
  </si>
  <si>
    <t>THEO ESAU THEEDENS</t>
  </si>
  <si>
    <t>prasbharaesau@gmail.com</t>
  </si>
  <si>
    <t>1392</t>
  </si>
  <si>
    <t>1Zd0a8TyxsK7wwUIBzUA8cBoPgov8qiXH</t>
  </si>
  <si>
    <t>https://drive.google.com/file/d/1Zd0a8TyxsK7wwUIBzUA8cBoPgov8qiXH/view?usp=drivesdk</t>
  </si>
  <si>
    <t>SUNARDI SUNARDI</t>
  </si>
  <si>
    <t>bodhet81@gmail.com</t>
  </si>
  <si>
    <t>1393</t>
  </si>
  <si>
    <t>Starting at Thu Aug 29 2024 20:59:35 GMT-0400 (EDT)</t>
  </si>
  <si>
    <t>1G74rDXw5m5HftY6UzRv-udshUa2mnR-p</t>
  </si>
  <si>
    <t>https://drive.google.com/file/d/1G74rDXw5m5HftY6UzRv-udshUa2mnR-p/view?usp=drivesdk</t>
  </si>
  <si>
    <t xml:space="preserve">DENNY CAHYO WIBOWO </t>
  </si>
  <si>
    <t>bengkeldesign@gmail.com</t>
  </si>
  <si>
    <t>1394</t>
  </si>
  <si>
    <t>1NXRfAN_c0V-T1cs_wsfXT-HstmwkCNMd</t>
  </si>
  <si>
    <t>https://drive.google.com/file/d/1NXRfAN_c0V-T1cs_wsfXT-HstmwkCNMd/view?usp=drivesdk</t>
  </si>
  <si>
    <t>ASRITA WIDURI LUBIS</t>
  </si>
  <si>
    <t>asritalubis@gmail.com</t>
  </si>
  <si>
    <t>1395</t>
  </si>
  <si>
    <t>Starting at Thu Aug 29 2024 20:59:38 GMT-0400 (EDT)</t>
  </si>
  <si>
    <t>1ivpDArZf-aQnpIxwVrXHx_B1PVaZjjt6</t>
  </si>
  <si>
    <t>https://drive.google.com/file/d/1ivpDArZf-aQnpIxwVrXHx_B1PVaZjjt6/view?usp=drivesdk</t>
  </si>
  <si>
    <t>SRI LESTARI POLSEK BATU AJI</t>
  </si>
  <si>
    <t>srilestary1983@gmail.com</t>
  </si>
  <si>
    <t>1396</t>
  </si>
  <si>
    <t>1JR1rxnkYWPipGbBZz2_W1pX-bE8sVpRX</t>
  </si>
  <si>
    <t>https://drive.google.com/file/d/1JR1rxnkYWPipGbBZz2_W1pX-bE8sVpRX/view?usp=drivesdk</t>
  </si>
  <si>
    <t>Document successfully created; Document successfully merged; PDF created; !!Error Sending Emails: Service invoked too many times for one day: email.; Manually run by ecertificate75@gmail.com; Timestamp: Aug 31 2024 12:59 AM</t>
  </si>
  <si>
    <t xml:space="preserve">NIHAYATUS SA'ADAH </t>
  </si>
  <si>
    <t>nihaya.saadah@gmail.com</t>
  </si>
  <si>
    <t>1397</t>
  </si>
  <si>
    <t>1XMpGQ46ePk8GIn7kdt6SInleSdePMWWe</t>
  </si>
  <si>
    <t>https://drive.google.com/file/d/1XMpGQ46ePk8GIn7kdt6SInleSdePMWWe/view?usp=drivesdk</t>
  </si>
  <si>
    <t xml:space="preserve">MASPERIATI TARIGAN </t>
  </si>
  <si>
    <t>azmifarrelbakti@gmail.com</t>
  </si>
  <si>
    <t>1398</t>
  </si>
  <si>
    <t>19kXFFgMOYB8N7rWQZl5XUNNC3ZVMH6uX</t>
  </si>
  <si>
    <t>https://drive.google.com/file/d/19kXFFgMOYB8N7rWQZl5XUNNC3ZVMH6uX/view?usp=drivesdk</t>
  </si>
  <si>
    <t>ENDAH SETIO RINI</t>
  </si>
  <si>
    <t>endahanfanita@gmail.co</t>
  </si>
  <si>
    <t>1399</t>
  </si>
  <si>
    <t>19IczgYdlIhaWPUM8AazU0k3DD3EDf_pf</t>
  </si>
  <si>
    <t>https://drive.google.com/file/d/19IczgYdlIhaWPUM8AazU0k3DD3EDf_pf/view?usp=drivesdk</t>
  </si>
  <si>
    <t>AYU PUSPITASARI</t>
  </si>
  <si>
    <t>ayupuspitasariwonocolo@gmail.com</t>
  </si>
  <si>
    <t>1400</t>
  </si>
  <si>
    <t>184wDYPb6hw_GhbZOFEE6cqvCQGAa45ia</t>
  </si>
  <si>
    <t>https://drive.google.com/file/d/184wDYPb6hw_GhbZOFEE6cqvCQGAa45ia/view?usp=drivesdk</t>
  </si>
  <si>
    <t>ARKAS MARSIDAH AGUSTINI, S.Tr.Keb</t>
  </si>
  <si>
    <t>arkasmarsidah88@gmail.com</t>
  </si>
  <si>
    <t>1401</t>
  </si>
  <si>
    <t>1foEwzPp5OBMTMxX1Ol9V2yzHOvtwmTU8</t>
  </si>
  <si>
    <t>https://drive.google.com/file/d/1foEwzPp5OBMTMxX1Ol9V2yzHOvtwmTU8/view?usp=drivesdk</t>
  </si>
  <si>
    <t>Document successfully created; Document successfully merged; PDF created; !!Error Sending Emails: Service invoked too many times for one day: email.; Manually run by ecertificate75@gmail.com; Timestamp: Aug 31 2024 1:00 AM</t>
  </si>
  <si>
    <t>RIRIN SULISTIYANI, S.E.</t>
  </si>
  <si>
    <t>ririnsulistiyani6@gmail.com</t>
  </si>
  <si>
    <t>1402</t>
  </si>
  <si>
    <t>1eG9i_PJOcrdN29CcE6gpA8ecX7P6oPpV</t>
  </si>
  <si>
    <t>https://drive.google.com/file/d/1eG9i_PJOcrdN29CcE6gpA8ecX7P6oPpV/view?usp=drivesdk</t>
  </si>
  <si>
    <t>SITI HASANAH,AMD.KEB</t>
  </si>
  <si>
    <t>Siti.hasanah.amal@gmail.com</t>
  </si>
  <si>
    <t>1403</t>
  </si>
  <si>
    <t>1TiYSZVJJpAQC7wxNUWjJfs-PRpi4n4ug</t>
  </si>
  <si>
    <t>https://drive.google.com/file/d/1TiYSZVJJpAQC7wxNUWjJfs-PRpi4n4ug/view?usp=drivesdk</t>
  </si>
  <si>
    <t>SRI SUDYANINGSIH</t>
  </si>
  <si>
    <t>srisudyaningsih541@gmail.com</t>
  </si>
  <si>
    <t>1404</t>
  </si>
  <si>
    <t>https://drive.google.com/file/d/1LTxDiD3TDYtizJBbGCF6IoSsIfG1SfiC/view?usp=drivesdk</t>
  </si>
  <si>
    <t>1LTxDiD3TDYtizJBbGCF6IoSsIfG1SfiC</t>
  </si>
  <si>
    <t>1DIuF91UjIMkdW2Q8FOw6BKfq4oQGbG_f</t>
  </si>
  <si>
    <t>https://drive.google.com/file/d/1DIuF91UjIMkdW2Q8FOw6BKfq4oQGbG_f/view?usp=drivesdk</t>
  </si>
  <si>
    <t>ANDINA AZRIANTI,AMd.,Farm.SKM</t>
  </si>
  <si>
    <t>andinaazrianti1982@gmail.com</t>
  </si>
  <si>
    <t>1405</t>
  </si>
  <si>
    <t>https://drive.google.com/file/d/1yrlTxU1-5lWkl4OXKQK7UWC7epmi53SE/view?usp=drivesdk</t>
  </si>
  <si>
    <t>1yrlTxU1-5lWkl4OXKQK7UWC7epmi53SE</t>
  </si>
  <si>
    <t>18c3F9Nl3USw9ex8trWEoc4UlLpirO9an</t>
  </si>
  <si>
    <t>https://drive.google.com/file/d/18c3F9Nl3USw9ex8trWEoc4UlLpirO9an/view?usp=drivesdk</t>
  </si>
  <si>
    <t>NI LUH PUTU SUMARIYATI, S.E.</t>
  </si>
  <si>
    <t>niluhputusumariyati3423@gmail.com</t>
  </si>
  <si>
    <t>1406</t>
  </si>
  <si>
    <t>https://drive.google.com/file/d/11ESDCuN6o6ATxbHa25-VtQiea8uNTvFv/view?usp=drivesdk</t>
  </si>
  <si>
    <t>11ESDCuN6o6ATxbHa25-VtQiea8uNTvFv</t>
  </si>
  <si>
    <t>1I1MvP5YzFdYs6tVCGGG7Ei5jyUelAwma</t>
  </si>
  <si>
    <t>https://drive.google.com/file/d/1I1MvP5YzFdYs6tVCGGG7Ei5jyUelAwma/view?usp=drivesdk</t>
  </si>
  <si>
    <t>Document successfully created; Document successfully merged; PDF created; !!Error Sending Emails: Service invoked too many times for one day: email.; Manually run by ecertificate75@gmail.com; Timestamp: Aug 31 2024 1:01 AM</t>
  </si>
  <si>
    <t>SITI KHAMIDAH</t>
  </si>
  <si>
    <t>midah2877@gmail.com</t>
  </si>
  <si>
    <t>1407</t>
  </si>
  <si>
    <t>https://drive.google.com/file/d/102xhk2Uumw-KnhmR56D-LHTHBunm-hMF/view?usp=drivesdk</t>
  </si>
  <si>
    <t>102xhk2Uumw-KnhmR56D-LHTHBunm-hMF</t>
  </si>
  <si>
    <t>18Q9Xe3QuX315oYOPRBCka5n_nmnQtQZc</t>
  </si>
  <si>
    <t>https://drive.google.com/file/d/18Q9Xe3QuX315oYOPRBCka5n_nmnQtQZc/view?usp=drivesdk</t>
  </si>
  <si>
    <t>RIMA RAKHMAWATI</t>
  </si>
  <si>
    <t>rima.rakhmawati1971@gmail.com</t>
  </si>
  <si>
    <t>1408</t>
  </si>
  <si>
    <t>https://drive.google.com/file/d/1sW-ywNTjVw0byhM79hl29sOINaq6nglj/view?usp=drivesdk</t>
  </si>
  <si>
    <t>1sW-ywNTjVw0byhM79hl29sOINaq6nglj</t>
  </si>
  <si>
    <t>15vFz8tr7hCGULMZ9KhrATF0f4YZ9rmiY</t>
  </si>
  <si>
    <t>https://drive.google.com/file/d/15vFz8tr7hCGULMZ9KhrATF0f4YZ9rmiY/view?usp=drivesdk</t>
  </si>
  <si>
    <t>POLDA SULUT</t>
  </si>
  <si>
    <t>ARNOL STEVEN ANIS</t>
  </si>
  <si>
    <t>anonganis@gmail.com</t>
  </si>
  <si>
    <t>1409</t>
  </si>
  <si>
    <t>https://drive.google.com/file/d/1dbgbPBH1d2L9Xkma4_r770mtSgso4plX/view?usp=drivesdk</t>
  </si>
  <si>
    <t>1dbgbPBH1d2L9Xkma4_r770mtSgso4plX</t>
  </si>
  <si>
    <t>1oIe_0xzuPdMW8eawFv_HiPXS4EJ7yeO4</t>
  </si>
  <si>
    <t>https://drive.google.com/file/d/1oIe_0xzuPdMW8eawFv_HiPXS4EJ7yeO4/view?usp=drivesdk</t>
  </si>
  <si>
    <t>NUNUNG NURHAENENGSIH</t>
  </si>
  <si>
    <t>nunungnurhaenengsih@gmail.com</t>
  </si>
  <si>
    <t>1410</t>
  </si>
  <si>
    <t>https://drive.google.com/file/d/1H_-A5AwKrpnYJPcsqKlBFbDB8z0euiZ_/view?usp=drivesdk</t>
  </si>
  <si>
    <t>1H_-A5AwKrpnYJPcsqKlBFbDB8z0euiZ_</t>
  </si>
  <si>
    <t>1Mn1wLdzivCIGfsdvhkBFovPPQd9rXjbT</t>
  </si>
  <si>
    <t>https://drive.google.com/file/d/1Mn1wLdzivCIGfsdvhkBFovPPQd9rXjbT/view?usp=drivesdk</t>
  </si>
  <si>
    <t>IDA DUMA ANNIEKE S.H.</t>
  </si>
  <si>
    <t>anniekeuli@gmail.com</t>
  </si>
  <si>
    <t>1411</t>
  </si>
  <si>
    <t>https://drive.google.com/file/d/1ISv-YENqMhly8BcBIxL_E0uysKSftnxS/view?usp=drivesdk</t>
  </si>
  <si>
    <t>1ISv-YENqMhly8BcBIxL_E0uysKSftnxS</t>
  </si>
  <si>
    <t>1Wd_bg1gtCASEMcxrZchF7QW1oaioSxUr</t>
  </si>
  <si>
    <t>https://drive.google.com/file/d/1Wd_bg1gtCASEMcxrZchF7QW1oaioSxUr/view?usp=drivesdk</t>
  </si>
  <si>
    <t>AMBAR PRATIWI KARINO, S.E.</t>
  </si>
  <si>
    <t>ambarpratiwi75@yahoo.co.id</t>
  </si>
  <si>
    <t>1412</t>
  </si>
  <si>
    <t>https://drive.google.com/file/d/1aQrzrLQYMfCU50DcYUagouK6k97y-kau/view?usp=drivesdk</t>
  </si>
  <si>
    <t>1aQrzrLQYMfCU50DcYUagouK6k97y-kau</t>
  </si>
  <si>
    <t>12S1iWUlqCgMSugRG6Z8vCB3h8xVuTzkD</t>
  </si>
  <si>
    <t>https://drive.google.com/file/d/12S1iWUlqCgMSugRG6Z8vCB3h8xVuTzkD/view?usp=drivesdk</t>
  </si>
  <si>
    <t>Document successfully created; Document successfully merged; PDF created; !!Error Sending Emails: Service invoked too many times for one day: email.; Manually run by ecertificate75@gmail.com; Timestamp: Aug 31 2024 1:02 AM</t>
  </si>
  <si>
    <t>SINGGIH SUPANTO</t>
  </si>
  <si>
    <t>singgihitusinggih@gmail.com</t>
  </si>
  <si>
    <t>1413</t>
  </si>
  <si>
    <t>https://drive.google.com/file/d/1H1LFPRmLBvjO7Dh8-K-IGOeedrifcRhK/view?usp=drivesdk</t>
  </si>
  <si>
    <t>1H1LFPRmLBvjO7Dh8-K-IGOeedrifcRhK</t>
  </si>
  <si>
    <t>1wIOSu4CTihp_CjB8FBvB6Q4M9vv6G3_L</t>
  </si>
  <si>
    <t>https://drive.google.com/file/d/1wIOSu4CTihp_CjB8FBvB6Q4M9vv6G3_L/view?usp=drivesdk</t>
  </si>
  <si>
    <t>BAMBANG JOKO PURWANTO</t>
  </si>
  <si>
    <t>bambangjokopurwanto@gmail.com</t>
  </si>
  <si>
    <t>1414</t>
  </si>
  <si>
    <t>https://drive.google.com/file/d/1mrTX-EW8z9TtJL9M4_BynB_9L2xYXf7e/view?usp=drivesdk</t>
  </si>
  <si>
    <t>1mrTX-EW8z9TtJL9M4_BynB_9L2xYXf7e</t>
  </si>
  <si>
    <t>1AfdQEeZz9sgTAinkKVUM89SFVro7oodP</t>
  </si>
  <si>
    <t>https://drive.google.com/file/d/1AfdQEeZz9sgTAinkKVUM89SFVro7oodP/view?usp=drivesdk</t>
  </si>
  <si>
    <t>CHAINUN PRIHATINI</t>
  </si>
  <si>
    <t>chainunp@gmail.com</t>
  </si>
  <si>
    <t>1415</t>
  </si>
  <si>
    <t>https://drive.google.com/file/d/1yeQW99nM-TjqIRP78OUA-m3XbANm2e58/view?usp=drivesdk</t>
  </si>
  <si>
    <t>1yeQW99nM-TjqIRP78OUA-m3XbANm2e58</t>
  </si>
  <si>
    <t>1K3mRCOS_sqKt7JZFeOYQzzwWqsLDsV_4</t>
  </si>
  <si>
    <t>https://drive.google.com/file/d/1K3mRCOS_sqKt7JZFeOYQzzwWqsLDsV_4/view?usp=drivesdk</t>
  </si>
  <si>
    <t xml:space="preserve">AFNI SURAHMAN </t>
  </si>
  <si>
    <t>surahmanafni180@gmail.com</t>
  </si>
  <si>
    <t>1416</t>
  </si>
  <si>
    <t>https://drive.google.com/file/d/14qMwgNqbTBJcYY1DZBH8YhsBKpE2NlI9/view?usp=drivesdk</t>
  </si>
  <si>
    <t>14qMwgNqbTBJcYY1DZBH8YhsBKpE2NlI9</t>
  </si>
  <si>
    <t>17_Ld7Z2VztmX6b4q2NCsDTox_qidV4k4</t>
  </si>
  <si>
    <t>https://drive.google.com/file/d/17_Ld7Z2VztmX6b4q2NCsDTox_qidV4k4/view?usp=drivesdk</t>
  </si>
  <si>
    <t>SUGIARTIYUSROTUN</t>
  </si>
  <si>
    <t>sugiartisouharsono@gmail.com</t>
  </si>
  <si>
    <t>1417</t>
  </si>
  <si>
    <t>https://drive.google.com/file/d/1Bm_75_2j8oSHh2N-pq_DrnaOidt-yaDS/view?usp=drivesdk</t>
  </si>
  <si>
    <t>1Bm_75_2j8oSHh2N-pq_DrnaOidt-yaDS</t>
  </si>
  <si>
    <t>1nc4gx0Z3FFvjxJhMRajP0ybHcx8Q2M5a</t>
  </si>
  <si>
    <t>https://drive.google.com/file/d/1nc4gx0Z3FFvjxJhMRajP0ybHcx8Q2M5a/view?usp=drivesdk</t>
  </si>
  <si>
    <t>Document successfully created; Document successfully merged; PDF created; !!Error Sending Emails: Service invoked too many times for one day: email.; Manually run by ecertificate75@gmail.com; Timestamp: Aug 31 2024 1:03 AM</t>
  </si>
  <si>
    <t>KORBRIMOB POLRI</t>
  </si>
  <si>
    <t>HADI BUDIYANTO, S.SOS</t>
  </si>
  <si>
    <t>hadi.qthink12@gmail.com</t>
  </si>
  <si>
    <t>1418</t>
  </si>
  <si>
    <t>https://drive.google.com/file/d/1DcXLL62kEHXx_7gAgsg5HXs3UPoExkoK/view?usp=drivesdk</t>
  </si>
  <si>
    <t>1DcXLL62kEHXx_7gAgsg5HXs3UPoExkoK</t>
  </si>
  <si>
    <t>1b1hKudplxjEj1TG2veP_CcFKU3c0NJf9</t>
  </si>
  <si>
    <t>https://drive.google.com/file/d/1b1hKudplxjEj1TG2veP_CcFKU3c0NJf9/view?usp=drivesdk</t>
  </si>
  <si>
    <t>CARRY SIMANJUNTAK, S.H.</t>
  </si>
  <si>
    <t>carrysimanjuntak1@gmail.com</t>
  </si>
  <si>
    <t>1419</t>
  </si>
  <si>
    <t>https://drive.google.com/file/d/1T6OwVV3Wo4FBTJBYOIp1JjCHaGGj5g_a/view?usp=drivesdk</t>
  </si>
  <si>
    <t>1T6OwVV3Wo4FBTJBYOIp1JjCHaGGj5g_a</t>
  </si>
  <si>
    <t>1l4xM6Azct-OCvZRRZq0vWCBDLQMwCard</t>
  </si>
  <si>
    <t>https://drive.google.com/file/d/1l4xM6Azct-OCvZRRZq0vWCBDLQMwCard/view?usp=drivesdk</t>
  </si>
  <si>
    <t>GIRI GUNAWAN, S.H.</t>
  </si>
  <si>
    <t>girigunawan69@gmail.com</t>
  </si>
  <si>
    <t>1420</t>
  </si>
  <si>
    <t>https://drive.google.com/file/d/1SXp8Ys8QGTkKwph0j23QXHyCvRQ7UEEz/view?usp=drivesdk</t>
  </si>
  <si>
    <t>1SXp8Ys8QGTkKwph0j23QXHyCvRQ7UEEz</t>
  </si>
  <si>
    <t>1iYwkd-z-XGEFJeM-HYpuE3eKXih862HY</t>
  </si>
  <si>
    <t>https://drive.google.com/file/d/1iYwkd-z-XGEFJeM-HYpuE3eKXih862HY/view?usp=drivesdk</t>
  </si>
  <si>
    <t>SUHARTINI NINGSIH</t>
  </si>
  <si>
    <t>ning28aja@gmail.com</t>
  </si>
  <si>
    <t>1421</t>
  </si>
  <si>
    <t>https://drive.google.com/file/d/1_6gu2W_mFkoKvoqyn0EuNayg7E14i8Jc/view?usp=drivesdk</t>
  </si>
  <si>
    <t>1_6gu2W_mFkoKvoqyn0EuNayg7E14i8Jc</t>
  </si>
  <si>
    <t>1E_w5EHybD3B9B4qtq7CTBC_9wlVwitYG</t>
  </si>
  <si>
    <t>https://drive.google.com/file/d/1E_w5EHybD3B9B4qtq7CTBC_9wlVwitYG/view?usp=drivesdk</t>
  </si>
  <si>
    <t>MUHAMAD SAHLAN</t>
  </si>
  <si>
    <t>muhsahlan29@gmail.com</t>
  </si>
  <si>
    <t>1422</t>
  </si>
  <si>
    <t>https://drive.google.com/file/d/1Ydl8wPreP9L2IeBuI8d249sZiewh8j0K/view?usp=drivesdk</t>
  </si>
  <si>
    <t>1Ydl8wPreP9L2IeBuI8d249sZiewh8j0K</t>
  </si>
  <si>
    <t>13I7v08OemCD2rhSbiSQTC7PZ-F5tUZKq</t>
  </si>
  <si>
    <t>https://drive.google.com/file/d/13I7v08OemCD2rhSbiSQTC7PZ-F5tUZKq/view?usp=drivesdk</t>
  </si>
  <si>
    <t>MUSLIMAH IMAH</t>
  </si>
  <si>
    <t>imaimo40@gmail.com</t>
  </si>
  <si>
    <t>1423</t>
  </si>
  <si>
    <t>https://drive.google.com/file/d/15F9cGHBcXv3sXBYpQdUBD_zsyxqZUBhG/view?usp=drivesdk</t>
  </si>
  <si>
    <t>15F9cGHBcXv3sXBYpQdUBD_zsyxqZUBhG</t>
  </si>
  <si>
    <t>1fwZxIAxe2H9J6WZNFIl3VNFLnWWfWQPW</t>
  </si>
  <si>
    <t>https://drive.google.com/file/d/1fwZxIAxe2H9J6WZNFIl3VNFLnWWfWQPW/view?usp=drivesdk</t>
  </si>
  <si>
    <t>Document successfully created; Document successfully merged; PDF created; !!Error Sending Emails: Service invoked too many times for one day: email.; Manually run by ecertificate75@gmail.com; Timestamp: Aug 31 2024 1:04 AM</t>
  </si>
  <si>
    <t>SUCI RAHMADONA, S.H.</t>
  </si>
  <si>
    <t>sucirahmadona45@gmail.com</t>
  </si>
  <si>
    <t>1424</t>
  </si>
  <si>
    <t>https://drive.google.com/file/d/1fZCLRtGzM5YofmXVqtUjOa3ypx3x_8Sw/view?usp=drivesdk</t>
  </si>
  <si>
    <t>1fZCLRtGzM5YofmXVqtUjOa3ypx3x_8Sw</t>
  </si>
  <si>
    <t>1Uok0P4xTS2YUEDtk8uk10WlIVNEuxzEZ</t>
  </si>
  <si>
    <t>https://drive.google.com/file/d/1Uok0P4xTS2YUEDtk8uk10WlIVNEuxzEZ/view?usp=drivesdk</t>
  </si>
  <si>
    <t>Document successfully created; Document successfully merged; PDF created; !!Error Sending Emails: Service invoked too many times for one day: email.; Run via form trigger as ecertificate75@gmail.com; Timestamp: Aug 31 2024 12:24 AM</t>
  </si>
  <si>
    <t>OCTAVIA MALTA, AMd.RM</t>
  </si>
  <si>
    <t>octaviamalta77@gmail.com</t>
  </si>
  <si>
    <t>1425</t>
  </si>
  <si>
    <t>https://drive.google.com/file/d/1YirzyMT7NhHe0yLfOvI4Mf4BInuRSz_T/view?usp=drivesdk</t>
  </si>
  <si>
    <t>1YirzyMT7NhHe0yLfOvI4Mf4BInuRSz_T</t>
  </si>
  <si>
    <t>1XsyyPTDYwlQbqsmjvZNbRPf9ZV7EhlET</t>
  </si>
  <si>
    <t>https://drive.google.com/file/d/1XsyyPTDYwlQbqsmjvZNbRPf9ZV7EhlET/view?usp=drivesdk</t>
  </si>
  <si>
    <t>Document successfully created; Document successfully merged; PDF created; !!Error Sending Emails: Service invoked too many times for one day: email.; Run via form trigger as ecertificate75@gmail.com; Timestamp: Aug 31 2024 12:25 AM</t>
  </si>
  <si>
    <t xml:space="preserve">WIRA HANDAYANI </t>
  </si>
  <si>
    <t>ciiemot@gmail.com</t>
  </si>
  <si>
    <t>1426</t>
  </si>
  <si>
    <t>https://drive.google.com/file/d/1bUn6s6YkTByTpp0qsMyzAjF9bzs7RaOm/view?usp=drivesdk</t>
  </si>
  <si>
    <t>1bUn6s6YkTByTpp0qsMyzAjF9bzs7RaOm</t>
  </si>
  <si>
    <t>1719hSYIkhyZ00m4jWa-YigyJ3soZGnky</t>
  </si>
  <si>
    <t>https://drive.google.com/file/d/1719hSYIkhyZ00m4jWa-YigyJ3soZGnky/view?usp=drivesdk</t>
  </si>
  <si>
    <t>TITIS S JUWANDAR</t>
  </si>
  <si>
    <t>pangeran.kalingga.jaya.tj@gmail.com</t>
  </si>
  <si>
    <t>1427</t>
  </si>
  <si>
    <t>https://drive.google.com/file/d/1loQZjX577qk75rLZHBo0j6B2EywE4b3g/view?usp=drivesdk</t>
  </si>
  <si>
    <t>Document successfully created; Document successfully merged; PDF created; !!Error Sending Emails: Service invoked too many times for one day: email.; Run via form trigger as ecertificate75@gmail.com; Timestamp: Aug 29 2024 9:01 PM</t>
  </si>
  <si>
    <t>1loQZjX577qk75rLZHBo0j6B2EywE4b3g</t>
  </si>
  <si>
    <t>1npfIKcEuIkVePhRbUIKL0eR9z9E_ld0b</t>
  </si>
  <si>
    <t>https://drive.google.com/file/d/1npfIKcEuIkVePhRbUIKL0eR9z9E_ld0b/view?usp=drivesdk</t>
  </si>
  <si>
    <t>ISWANTOPOLDADIY</t>
  </si>
  <si>
    <t>iswanto.pasha@gmail.com</t>
  </si>
  <si>
    <t>1428</t>
  </si>
  <si>
    <t>https://drive.google.com/file/d/1TAxllkFVk4hl9EIXIiFdCBD14hod-RaT/view?usp=drivesdk</t>
  </si>
  <si>
    <t>1TAxllkFVk4hl9EIXIiFdCBD14hod-RaT</t>
  </si>
  <si>
    <t>17dbgmtpGahy6ttELeskPeA5UcgqPBBDg</t>
  </si>
  <si>
    <t>https://drive.google.com/file/d/17dbgmtpGahy6ttELeskPeA5UcgqPBBDg/view?usp=drivesdk</t>
  </si>
  <si>
    <t>I GUSTI AYU MIRAH WULANDARI, S.H.</t>
  </si>
  <si>
    <t>mirahwulandari.iga@gmail.com</t>
  </si>
  <si>
    <t>1429</t>
  </si>
  <si>
    <t>https://drive.google.com/file/d/1iezo-_RPWzhTW8rqaowd2I8adTZhcsur/view?usp=drivesdk</t>
  </si>
  <si>
    <t>1iezo-_RPWzhTW8rqaowd2I8adTZhcsur</t>
  </si>
  <si>
    <t>13N4M7iquUQsP3pL7K1K9KNVCljtIepxf</t>
  </si>
  <si>
    <t>https://drive.google.com/file/d/13N4M7iquUQsP3pL7K1K9KNVCljtIepxf/view?usp=drivesdk</t>
  </si>
  <si>
    <t>HERDIN RIZKI WIBOWO, A.Md.Kep</t>
  </si>
  <si>
    <t>herdin.rizki.0479@gmail.com</t>
  </si>
  <si>
    <t>1430</t>
  </si>
  <si>
    <t>https://drive.google.com/file/d/18zcNIylGzr8QoWh-cYh28FLV0oBvf9y7/view?usp=drivesdk</t>
  </si>
  <si>
    <t>18zcNIylGzr8QoWh-cYh28FLV0oBvf9y7</t>
  </si>
  <si>
    <t>1i6tUI6lFhIa85Ttc0AqBBFqA3EfsBK9E</t>
  </si>
  <si>
    <t>https://drive.google.com/file/d/1i6tUI6lFhIa85Ttc0AqBBFqA3EfsBK9E/view?usp=drivesdk</t>
  </si>
  <si>
    <t>ITA HAULIAN MATONDANG, S.E.</t>
  </si>
  <si>
    <t>itahaulianmatondang@gmail.com</t>
  </si>
  <si>
    <t>1431</t>
  </si>
  <si>
    <t>https://drive.google.com/file/d/1OCnd_2u7Ltoqa2R2RmWbrooVXqoY2vSx/view?usp=drivesdk</t>
  </si>
  <si>
    <t>1OCnd_2u7Ltoqa2R2RmWbrooVXqoY2vSx</t>
  </si>
  <si>
    <t>1odqwmic74IBCNL1AOTrHzU_l9_q5s3s4</t>
  </si>
  <si>
    <t>https://drive.google.com/file/d/1odqwmic74IBCNL1AOTrHzU_l9_q5s3s4/view?usp=drivesdk</t>
  </si>
  <si>
    <t>Document successfully created; Document successfully merged; PDF created; !!Error Sending Emails: Service invoked too many times for one day: email.; Run via form trigger as ecertificate75@gmail.com; Timestamp: Aug 31 2024 12:26 AM</t>
  </si>
  <si>
    <t>Ns. KOMANG ANITA SUSIANA DEWI, S.Kep</t>
  </si>
  <si>
    <t>ithasusiana@gmail.com</t>
  </si>
  <si>
    <t>1432</t>
  </si>
  <si>
    <t>https://drive.google.com/file/d/11gc7W2wwCuTdjoUUm5VYqyWYWZlkqozz/view?usp=drivesdk</t>
  </si>
  <si>
    <t>11gc7W2wwCuTdjoUUm5VYqyWYWZlkqozz</t>
  </si>
  <si>
    <t>1pFbrqzFIsHACc4YCWEGVOCioK5vW_WDA</t>
  </si>
  <si>
    <t>https://drive.google.com/file/d/1pFbrqzFIsHACc4YCWEGVOCioK5vW_WDA/view?usp=drivesdk</t>
  </si>
  <si>
    <t>EKOPUTRO MOCHTI YAKTAWIDARDO</t>
  </si>
  <si>
    <t>3k0putr0m0cht1@gmail.com</t>
  </si>
  <si>
    <t>1433</t>
  </si>
  <si>
    <t>https://drive.google.com/file/d/1qQvzC44WAhuL4xWF50-vtYXivXvq0_-j/view?usp=drivesdk</t>
  </si>
  <si>
    <t>1qQvzC44WAhuL4xWF50-vtYXivXvq0_-j</t>
  </si>
  <si>
    <t>1QyhtcNbFseNcdhvM-BcWYtUSUkrGTfuK</t>
  </si>
  <si>
    <t>https://drive.google.com/file/d/1QyhtcNbFseNcdhvM-BcWYtUSUkrGTfuK/view?usp=drivesdk</t>
  </si>
  <si>
    <t>NAULY HIDA SAHRIANI</t>
  </si>
  <si>
    <t>arwanaarwana676@gmail.com</t>
  </si>
  <si>
    <t>1434</t>
  </si>
  <si>
    <t>https://drive.google.com/file/d/1NkaQrXvk1_tKjhDeg1IJJ4dcJtXUdJsq/view?usp=drivesdk</t>
  </si>
  <si>
    <t>1NkaQrXvk1_tKjhDeg1IJJ4dcJtXUdJsq</t>
  </si>
  <si>
    <t>10MSCFH-xUTcNKs-NbKKGxxlw67R05tqH</t>
  </si>
  <si>
    <t>https://drive.google.com/file/d/10MSCFH-xUTcNKs-NbKKGxxlw67R05tqH/view?usp=drivesdk</t>
  </si>
  <si>
    <t>MUHAJIR HABRI, S.HI.</t>
  </si>
  <si>
    <t>muhajirhabri1977@gmail.com</t>
  </si>
  <si>
    <t>1435</t>
  </si>
  <si>
    <t>https://drive.google.com/file/d/1aiJoWzUJ3ONla1d2A_2JtKOlxruagMNg/view?usp=drivesdk</t>
  </si>
  <si>
    <t>1aiJoWzUJ3ONla1d2A_2JtKOlxruagMNg</t>
  </si>
  <si>
    <t>1iXVuxM4pLGOKWiP86Hnkv_Hnd9rGWe0S</t>
  </si>
  <si>
    <t>https://drive.google.com/file/d/1iXVuxM4pLGOKWiP86Hnkv_Hnd9rGWe0S/view?usp=drivesdk</t>
  </si>
  <si>
    <t>SATRIOWIBOWO</t>
  </si>
  <si>
    <t>satrio.w5896@gmail.com</t>
  </si>
  <si>
    <t>1436</t>
  </si>
  <si>
    <t>https://drive.google.com/file/d/1V7ZYUJU0oUu7do8Gf5ehm3ChNkru0pfl/view?usp=drivesdk</t>
  </si>
  <si>
    <t>1V7ZYUJU0oUu7do8Gf5ehm3ChNkru0pfl</t>
  </si>
  <si>
    <t>1_Pkef_MGqo-dBQB34Vh2t3d608bC5yU5</t>
  </si>
  <si>
    <t>https://drive.google.com/file/d/1_Pkef_MGqo-dBQB34Vh2t3d608bC5yU5/view?usp=drivesdk</t>
  </si>
  <si>
    <t>Document successfully created; Document successfully merged; PDF created; !!Error Sending Emails: Service invoked too many times for one day: email.; Run via form trigger as ecertificate75@gmail.com; Timestamp: Aug 31 2024 12:27 AM</t>
  </si>
  <si>
    <t>QURROTUL AINI</t>
  </si>
  <si>
    <t>mamadaffa621@gmail.com</t>
  </si>
  <si>
    <t>1437</t>
  </si>
  <si>
    <t>https://drive.google.com/file/d/1doZxOmOqgEnyLt-bvQx6s2sH3TMKgxyN/view?usp=drivesdk</t>
  </si>
  <si>
    <t>1doZxOmOqgEnyLt-bvQx6s2sH3TMKgxyN</t>
  </si>
  <si>
    <t>1nM4d9AHbXC4YGcXUCxkh54j2xiLy1ADD</t>
  </si>
  <si>
    <t>https://drive.google.com/file/d/1nM4d9AHbXC4YGcXUCxkh54j2xiLy1ADD/view?usp=drivesdk</t>
  </si>
  <si>
    <t>MUHAMMAD AGUNG UCHROWI</t>
  </si>
  <si>
    <t>agunguchrowi@gmail.com</t>
  </si>
  <si>
    <t>1438</t>
  </si>
  <si>
    <t>https://drive.google.com/file/d/1lrLlCQxUwxv7WSuCyVsM6nzoBvLrnMul/view?usp=drivesdk</t>
  </si>
  <si>
    <t>1lrLlCQxUwxv7WSuCyVsM6nzoBvLrnMul</t>
  </si>
  <si>
    <t>1JwsbVoqyIAbgN1rM8GLe3sPnIIeDrD7P</t>
  </si>
  <si>
    <t>https://drive.google.com/file/d/1JwsbVoqyIAbgN1rM8GLe3sPnIIeDrD7P/view?usp=drivesdk</t>
  </si>
  <si>
    <t>TITIN ERNAWATI. S.Farm.,Apt.</t>
  </si>
  <si>
    <t>Titinernawati30@gmail.com</t>
  </si>
  <si>
    <t>1439</t>
  </si>
  <si>
    <t>Starting at Thu Aug 29 2024 21:00:11 GMT-0400 (EDT)</t>
  </si>
  <si>
    <t>1VbNu22PE9AGJhxulMTnYilgW59tea0AI</t>
  </si>
  <si>
    <t>https://drive.google.com/file/d/1VbNu22PE9AGJhxulMTnYilgW59tea0AI/view?usp=drivesdk</t>
  </si>
  <si>
    <t>DHANNI MEDIYANTO, A.Md</t>
  </si>
  <si>
    <t>saijin.kyoshiro@gmail.com</t>
  </si>
  <si>
    <t>1440</t>
  </si>
  <si>
    <t>https://drive.google.com/file/d/1QrNvIdiieULKDfqIJ2yVFKOzOjMh3_NG/view?usp=drivesdk</t>
  </si>
  <si>
    <t>1QrNvIdiieULKDfqIJ2yVFKOzOjMh3_NG</t>
  </si>
  <si>
    <t>1iB9ZjssGQJC-iw9lbfz6eHx1S9tNU0A0</t>
  </si>
  <si>
    <t>https://drive.google.com/file/d/1iB9ZjssGQJC-iw9lbfz6eHx1S9tNU0A0/view?usp=drivesdk</t>
  </si>
  <si>
    <t>NININ FRANCINARTI</t>
  </si>
  <si>
    <t>nininfrancinarti@gmail.com</t>
  </si>
  <si>
    <t>1441</t>
  </si>
  <si>
    <t>https://drive.google.com/file/d/1Uyz0G2UfhOEWU6zD6Qmx1Zf2iKRHvvTU/view?usp=drivesdk</t>
  </si>
  <si>
    <t>1Uyz0G2UfhOEWU6zD6Qmx1Zf2iKRHvvTU</t>
  </si>
  <si>
    <t>15Q605AFwfh0-vfQyVTQiie_IwyVUM5rq</t>
  </si>
  <si>
    <t>https://drive.google.com/file/d/15Q605AFwfh0-vfQyVTQiie_IwyVUM5rq/view?usp=drivesdk</t>
  </si>
  <si>
    <t>Document successfully created; Document successfully merged; PDF created; !!Error Sending Emails: Service invoked too many times for one day: email.; Run via form trigger as ecertificate75@gmail.com; Timestamp: Aug 31 2024 12:28 AM</t>
  </si>
  <si>
    <t>SRI HANDAYANI</t>
  </si>
  <si>
    <t>srihandayani16021979@gmail.com</t>
  </si>
  <si>
    <t>1442</t>
  </si>
  <si>
    <t>Starting at Thu Aug 29 2024 21:00:16 GMT-0400 (EDT)</t>
  </si>
  <si>
    <t>1a-xWWCOkUSPG8hWUT9XMaDXoThvAowgy</t>
  </si>
  <si>
    <t>https://drive.google.com/file/d/1a-xWWCOkUSPG8hWUT9XMaDXoThvAowgy/view?usp=drivesdk</t>
  </si>
  <si>
    <t>HENYRISTOWATI</t>
  </si>
  <si>
    <t>IPTU</t>
  </si>
  <si>
    <t>henyrist1982@gmail.com</t>
  </si>
  <si>
    <t>1443</t>
  </si>
  <si>
    <t>https://drive.google.com/file/d/1eN5MMFtMyRt3b0bqw5EPIp3NY-xjQuNd/view?usp=drivesdk</t>
  </si>
  <si>
    <t>1eN5MMFtMyRt3b0bqw5EPIp3NY-xjQuNd</t>
  </si>
  <si>
    <t>1qLcuLGjXRDBJeJASAtVyhmOSdL1U25ie</t>
  </si>
  <si>
    <t>https://drive.google.com/file/d/1qLcuLGjXRDBJeJASAtVyhmOSdL1U25ie/view?usp=drivesdk</t>
  </si>
  <si>
    <t>MARCIA RUKMINI SAYEKTI</t>
  </si>
  <si>
    <t>marcia.rukmini@gmail.com</t>
  </si>
  <si>
    <t>1444</t>
  </si>
  <si>
    <t>https://drive.google.com/file/d/19Umn2gSqrwj9gx6QOwr8O8fwK6S0m549/view?usp=drivesdk</t>
  </si>
  <si>
    <t>19Umn2gSqrwj9gx6QOwr8O8fwK6S0m549</t>
  </si>
  <si>
    <t>1O3xVin9ic3IVeM4Q7JUVKJyNPxBXL3CM</t>
  </si>
  <si>
    <t>https://drive.google.com/file/d/1O3xVin9ic3IVeM4Q7JUVKJyNPxBXL3CM/view?usp=drivesdk</t>
  </si>
  <si>
    <t>NESHIA FRISENNIA S.Farm.,Apt</t>
  </si>
  <si>
    <t>neshiafrisennia060788@gmail.com</t>
  </si>
  <si>
    <t>1445</t>
  </si>
  <si>
    <t>https://drive.google.com/file/d/1dXa8kWMDW8DwjMv70SE0lCILD3krmzTS/view?usp=drivesdk</t>
  </si>
  <si>
    <t>1dXa8kWMDW8DwjMv70SE0lCILD3krmzTS</t>
  </si>
  <si>
    <t>1sRkv8F6MhiD_EOaGDIGUMiY5HFWeMs7b</t>
  </si>
  <si>
    <t>https://drive.google.com/file/d/1sRkv8F6MhiD_EOaGDIGUMiY5HFWeMs7b/view?usp=drivesdk</t>
  </si>
  <si>
    <t>LOUPIGA KISSE DERI PASLA</t>
  </si>
  <si>
    <t>deripaslaginting05@gmail.com</t>
  </si>
  <si>
    <t>1446</t>
  </si>
  <si>
    <t>https://drive.google.com/file/d/1KT_Eu2MXsNiCXbPVlzR-weIpwJXs50P9/view?usp=drivesdk</t>
  </si>
  <si>
    <t>1KT_Eu2MXsNiCXbPVlzR-weIpwJXs50P9</t>
  </si>
  <si>
    <t>1mQyFmmEIGd64aY8xmd8z4wLJsS3J8Tsv</t>
  </si>
  <si>
    <t>https://drive.google.com/file/d/1mQyFmmEIGd64aY8xmd8z4wLJsS3J8Tsv/view?usp=drivesdk</t>
  </si>
  <si>
    <t>Document successfully created; Document successfully merged; PDF created; !!Error Sending Emails: Service invoked too many times for one day: email.; Run via form trigger as ecertificate75@gmail.com; Timestamp: Aug 31 2024 12:29 AM</t>
  </si>
  <si>
    <t>KIKI PRATIWI , SE</t>
  </si>
  <si>
    <t>pratiwi2109@gmail.com</t>
  </si>
  <si>
    <t>1447</t>
  </si>
  <si>
    <t>https://drive.google.com/file/d/1lRUF81RZ14-nDH9Jiv1k2piq6mkDzoHZ/view?usp=drivesdk</t>
  </si>
  <si>
    <t>1lRUF81RZ14-nDH9Jiv1k2piq6mkDzoHZ</t>
  </si>
  <si>
    <t>1IDePA6KCdVXgG12aZD1_QtdhrbXZNizE</t>
  </si>
  <si>
    <t>https://drive.google.com/file/d/1IDePA6KCdVXgG12aZD1_QtdhrbXZNizE/view?usp=drivesdk</t>
  </si>
  <si>
    <t>TEJO PURNOMO, SE, M.M</t>
  </si>
  <si>
    <t>purnomo.dmk@gmail.com</t>
  </si>
  <si>
    <t>1448</t>
  </si>
  <si>
    <t>https://drive.google.com/file/d/1bMVos1IyrwyDpqlIZAi2YAni3G98dxuD/view?usp=drivesdk</t>
  </si>
  <si>
    <t>1bMVos1IyrwyDpqlIZAi2YAni3G98dxuD</t>
  </si>
  <si>
    <t>1ANwW5-oNdi2YKuYwg9hFN24fQbJxBEKQ</t>
  </si>
  <si>
    <t>https://drive.google.com/file/d/1ANwW5-oNdi2YKuYwg9hFN24fQbJxBEKQ/view?usp=drivesdk</t>
  </si>
  <si>
    <t>MIFTAHUL JANNAH.Amd.Farm</t>
  </si>
  <si>
    <t>miftahul1280@gmail.com</t>
  </si>
  <si>
    <t>1449</t>
  </si>
  <si>
    <t>https://drive.google.com/file/d/1YH7AHN6q4jS4Oo6VvZqLxmO7lWTbt7b5/view?usp=drivesdk</t>
  </si>
  <si>
    <t>1YH7AHN6q4jS4Oo6VvZqLxmO7lWTbt7b5</t>
  </si>
  <si>
    <t>147xCQfnAmEtNr_aLCi99TrSgGlbLpinJ</t>
  </si>
  <si>
    <t>https://drive.google.com/file/d/147xCQfnAmEtNr_aLCi99TrSgGlbLpinJ/view?usp=drivesdk</t>
  </si>
  <si>
    <t>Rr. HAPPY IKA WULANDARI, A.Md.</t>
  </si>
  <si>
    <t>happyika.w@gmail.com</t>
  </si>
  <si>
    <t>1450</t>
  </si>
  <si>
    <t>Starting at Thu Aug 29 2024 21:00:25 GMT-0400 (EDT)</t>
  </si>
  <si>
    <t>1Fa3JYLQtY7juVtExGkyhe0Km-ymOnx6P</t>
  </si>
  <si>
    <t>https://drive.google.com/file/d/1Fa3JYLQtY7juVtExGkyhe0Km-ymOnx6P/view?usp=drivesdk</t>
  </si>
  <si>
    <t>APRILIA ARUM WINDASARI, S.E., M.M</t>
  </si>
  <si>
    <t>apriliaarum1985@gmail.com</t>
  </si>
  <si>
    <t>1451</t>
  </si>
  <si>
    <t>https://drive.google.com/file/d/15P1y02S5FzUib7jwjWSjcGntwbpQU-ow/view?usp=drivesdk</t>
  </si>
  <si>
    <t>15P1y02S5FzUib7jwjWSjcGntwbpQU-ow</t>
  </si>
  <si>
    <t>1Ga_tWr3W0Oixc0Qd_BsNbRxkLU3KMVkJ</t>
  </si>
  <si>
    <t>https://drive.google.com/file/d/1Ga_tWr3W0Oixc0Qd_BsNbRxkLU3KMVkJ/view?usp=drivesdk</t>
  </si>
  <si>
    <t>ILHAM DENOVAN,S.E</t>
  </si>
  <si>
    <t>ilhamdenovan@gmail.com</t>
  </si>
  <si>
    <t>1452</t>
  </si>
  <si>
    <t>Starting at Thu Aug 29 2024 21:00:30 GMT-0400 (EDT)</t>
  </si>
  <si>
    <t>1MnA1pFzkuk7qJoH6AVy5zqiOpZ72RtS0</t>
  </si>
  <si>
    <t>https://drive.google.com/file/d/1MnA1pFzkuk7qJoH6AVy5zqiOpZ72RtS0/view?usp=drivesdk</t>
  </si>
  <si>
    <t>Document successfully created; Document successfully merged; PDF created; !!Error Sending Emails: Service invoked too many times for one day: email.; Manually run by ecertificate75@gmail.com; Timestamp: Aug 31 2024 1:21 AM</t>
  </si>
  <si>
    <t>FITRYA DEASY PUSPITASARI,AMAJ,S.Si</t>
  </si>
  <si>
    <t>fitryadeasy1403@gmail.com</t>
  </si>
  <si>
    <t>1453</t>
  </si>
  <si>
    <t>1bmdUeoRXgIY6xLxv2B7iH-12lC5xwMIi</t>
  </si>
  <si>
    <t>https://drive.google.com/file/d/1bmdUeoRXgIY6xLxv2B7iH-12lC5xwMIi/view?usp=drivesdk</t>
  </si>
  <si>
    <t>MARCIAYUNIATI</t>
  </si>
  <si>
    <t>myunikayu69@gmail.com</t>
  </si>
  <si>
    <t>1454</t>
  </si>
  <si>
    <t>1Qyqig_Rw8SpD5h65bPfb4GW-VL_0RZge</t>
  </si>
  <si>
    <t>https://drive.google.com/file/d/1Qyqig_Rw8SpD5h65bPfb4GW-VL_0RZge/view?usp=drivesdk</t>
  </si>
  <si>
    <t>RUDY HARTANTO</t>
  </si>
  <si>
    <t>rudyhartanto5682@gmail.com</t>
  </si>
  <si>
    <t>1455</t>
  </si>
  <si>
    <t>1mJt78HErm0kQT3CZWNmFWXP2nLrIwQLM</t>
  </si>
  <si>
    <t>https://drive.google.com/file/d/1mJt78HErm0kQT3CZWNmFWXP2nLrIwQLM/view?usp=drivesdk</t>
  </si>
  <si>
    <t>Document successfully created; Document successfully merged; PDF created; !!Error Sending Emails: Service invoked too many times for one day: email.; Manually run by ecertificate75@gmail.com; Timestamp: Aug 31 2024 1:22 AM</t>
  </si>
  <si>
    <t>NANI JUNIANTI, AMd.Rad</t>
  </si>
  <si>
    <t>nanijunianti@gmail.com</t>
  </si>
  <si>
    <t>1456</t>
  </si>
  <si>
    <t>1jNQo-EqDx7uyajTBioGCH9J1mQp5Ro9x</t>
  </si>
  <si>
    <t>https://drive.google.com/file/d/1jNQo-EqDx7uyajTBioGCH9J1mQp5Ro9x/view?usp=drivesdk</t>
  </si>
  <si>
    <t>DAHNIA AFDOLINA ZAMZAMI, S.H.</t>
  </si>
  <si>
    <t>dahniaafdolina86@gmail.com</t>
  </si>
  <si>
    <t>1457</t>
  </si>
  <si>
    <t>https://drive.google.com/file/d/13vaGglYH0t8hSTAk7NOLroDTVv__anCL/view?usp=drivesdk</t>
  </si>
  <si>
    <t>13vaGglYH0t8hSTAk7NOLroDTVv__anCL</t>
  </si>
  <si>
    <t>1k-XVhSaKAz2lUyQKNIfs5LEWB63hvvRj</t>
  </si>
  <si>
    <t>https://drive.google.com/file/d/1k-XVhSaKAz2lUyQKNIfs5LEWB63hvvRj/view?usp=drivesdk</t>
  </si>
  <si>
    <t>PENGATUR ADE GUNAWAN</t>
  </si>
  <si>
    <t>adegunawan1762@gmail.com</t>
  </si>
  <si>
    <t>1458</t>
  </si>
  <si>
    <t>https://drive.google.com/file/d/1queA4WLms3g5JrzlshXtKW5W-hQLL_Q_/view?usp=drivesdk</t>
  </si>
  <si>
    <t>1queA4WLms3g5JrzlshXtKW5W-hQLL_Q_</t>
  </si>
  <si>
    <t>1XX7vaM2JWpy1U07RHoslAuyOHFS0gOPE</t>
  </si>
  <si>
    <t>https://drive.google.com/file/d/1XX7vaM2JWpy1U07RHoslAuyOHFS0gOPE/view?usp=drivesdk</t>
  </si>
  <si>
    <t>I WAYAN PUTU AGUS SETIAWAN</t>
  </si>
  <si>
    <t>iwayanputuagussetiawan@gmail.com</t>
  </si>
  <si>
    <t>1459</t>
  </si>
  <si>
    <t>Starting at Thu Aug 29 2024 21:00:34 GMT-0400 (EDT)</t>
  </si>
  <si>
    <t>1Qye-k2WMTOk23nbX7sTm86O75NQV6yXo</t>
  </si>
  <si>
    <t>https://drive.google.com/file/d/1Qye-k2WMTOk23nbX7sTm86O75NQV6yXo/view?usp=drivesdk</t>
  </si>
  <si>
    <t>NEVI ARLIANA, S.Ak</t>
  </si>
  <si>
    <t>nevijiwono@gmail.com</t>
  </si>
  <si>
    <t>1460</t>
  </si>
  <si>
    <t>1Nbbx3xtMVu7t_I7tTFDgsHfSXmovD4ua</t>
  </si>
  <si>
    <t>https://drive.google.com/file/d/1Nbbx3xtMVu7t_I7tTFDgsHfSXmovD4ua/view?usp=drivesdk</t>
  </si>
  <si>
    <t>IWAN KURNIAWAN</t>
  </si>
  <si>
    <t>kiwan2252@gmail.com</t>
  </si>
  <si>
    <t>1461</t>
  </si>
  <si>
    <t>https://drive.google.com/file/d/15hSYctNlX05X7TGbz6YY6lrWFuM_Jub9/view?usp=drivesdk</t>
  </si>
  <si>
    <t>15hSYctNlX05X7TGbz6YY6lrWFuM_Jub9</t>
  </si>
  <si>
    <t>1G-KQHbai_Xrzz9p-acP7S7GjFzE50RKQ</t>
  </si>
  <si>
    <t>https://drive.google.com/file/d/1G-KQHbai_Xrzz9p-acP7S7GjFzE50RKQ/view?usp=drivesdk</t>
  </si>
  <si>
    <t>ABDULKARIEM S. Pd</t>
  </si>
  <si>
    <t>abdulkariem9993@gmail.com</t>
  </si>
  <si>
    <t>1462</t>
  </si>
  <si>
    <t>https://drive.google.com/file/d/1l9mydYYcE7NakxS6I3SFU8_5-LUvtLbD/view?usp=drivesdk</t>
  </si>
  <si>
    <t>1l9mydYYcE7NakxS6I3SFU8_5-LUvtLbD</t>
  </si>
  <si>
    <t>15x1Hhw4xJtxJCcqvxRxA37jvqtzCspTN</t>
  </si>
  <si>
    <t>https://drive.google.com/file/d/15x1Hhw4xJtxJCcqvxRxA37jvqtzCspTN/view?usp=drivesdk</t>
  </si>
  <si>
    <t>Document successfully created; Document successfully merged; PDF created; !!Error Sending Emails: Service invoked too many times for one day: email.; Manually run by ecertificate75@gmail.com; Timestamp: Aug 31 2024 1:23 AM</t>
  </si>
  <si>
    <t>RINI SULISTIYOWATI</t>
  </si>
  <si>
    <t>rinisulis4869@gmail.com</t>
  </si>
  <si>
    <t>1463</t>
  </si>
  <si>
    <t>https://drive.google.com/file/d/1ANN-lIT7h9xVYMCiJKTM8oq_giohIcZm/view?usp=drivesdk</t>
  </si>
  <si>
    <t>1ANN-lIT7h9xVYMCiJKTM8oq_giohIcZm</t>
  </si>
  <si>
    <t>1N7yiAAQZaP5yCkwUPZdJ1UorXkvP5fh7</t>
  </si>
  <si>
    <t>https://drive.google.com/file/d/1N7yiAAQZaP5yCkwUPZdJ1UorXkvP5fh7/view?usp=drivesdk</t>
  </si>
  <si>
    <t>POLDA NTT</t>
  </si>
  <si>
    <t>DEWI FATIMAH AMABI</t>
  </si>
  <si>
    <t>dewiamabi@gmail.com</t>
  </si>
  <si>
    <t>1464</t>
  </si>
  <si>
    <t>https://drive.google.com/file/d/1uby1xMb8dnNqG3-Qzm7MqW8IeaUK15tV/view?usp=drivesdk</t>
  </si>
  <si>
    <t>1uby1xMb8dnNqG3-Qzm7MqW8IeaUK15tV</t>
  </si>
  <si>
    <t>1Hf6boVVhyGrolXGJ0IieSSu-6eDoTsac</t>
  </si>
  <si>
    <t>https://drive.google.com/file/d/1Hf6boVVhyGrolXGJ0IieSSu-6eDoTsac/view?usp=drivesdk</t>
  </si>
  <si>
    <t>MOHAMAD SULAIMAN</t>
  </si>
  <si>
    <t>sulaimanaja666@gmail.com</t>
  </si>
  <si>
    <t>1465</t>
  </si>
  <si>
    <t>https://drive.google.com/file/d/13SN_0I_EEV0cV2rI5vJq60SznA9boAv4/view?usp=drivesdk</t>
  </si>
  <si>
    <t>13SN_0I_EEV0cV2rI5vJq60SznA9boAv4</t>
  </si>
  <si>
    <t>1LNY4ls7F7BPoPS9YeuM-v_eZ49Vad9nD</t>
  </si>
  <si>
    <t>https://drive.google.com/file/d/1LNY4ls7F7BPoPS9YeuM-v_eZ49Vad9nD/view?usp=drivesdk</t>
  </si>
  <si>
    <t>PENATA SUHARDADI. SH</t>
  </si>
  <si>
    <t>suhardadi69@gmail.com</t>
  </si>
  <si>
    <t>1466</t>
  </si>
  <si>
    <t>https://drive.google.com/file/d/1nlLYcktKaMpfLQE3HeYfs9ItRkNUzBK-/view?usp=drivesdk</t>
  </si>
  <si>
    <t>1nlLYcktKaMpfLQE3HeYfs9ItRkNUzBK-</t>
  </si>
  <si>
    <t>19whHbCrtxAmY8vAVujuelLycOj3nRBYa</t>
  </si>
  <si>
    <t>https://drive.google.com/file/d/19whHbCrtxAmY8vAVujuelLycOj3nRBYa/view?usp=drivesdk</t>
  </si>
  <si>
    <t>dr. BRIGITTA WIDHAYU WIRADI, M.M</t>
  </si>
  <si>
    <t>brigittawiradi@gmail.com</t>
  </si>
  <si>
    <t>1467</t>
  </si>
  <si>
    <t>https://drive.google.com/file/d/1woTXscfiKBNSI1-5rM658w48LaG0S_9B/view?usp=drivesdk</t>
  </si>
  <si>
    <t>1woTXscfiKBNSI1-5rM658w48LaG0S_9B</t>
  </si>
  <si>
    <t>1z3mQhR5TGC38k_rrfAVybqQauPLp5p1z</t>
  </si>
  <si>
    <t>https://drive.google.com/file/d/1z3mQhR5TGC38k_rrfAVybqQauPLp5p1z/view?usp=drivesdk</t>
  </si>
  <si>
    <t>Document successfully created; Document successfully merged; PDF created; !!Error Sending Emails: Service invoked too many times for one day: email.; Manually run by ecertificate75@gmail.com; Timestamp: Aug 31 2024 1:24 AM</t>
  </si>
  <si>
    <t>TARMAN TARMEDI, S.PD</t>
  </si>
  <si>
    <t>tarmantarmedi1967@gmail.com</t>
  </si>
  <si>
    <t>1468</t>
  </si>
  <si>
    <t>https://drive.google.com/file/d/1ZE0vCgqrSzVwS81UFU8zLQU781xs23WO/view?usp=drivesdk</t>
  </si>
  <si>
    <t>1ZE0vCgqrSzVwS81UFU8zLQU781xs23WO</t>
  </si>
  <si>
    <t>1DaHWviihqmitTmrqcEAmPTtVGhc09K7t</t>
  </si>
  <si>
    <t>https://drive.google.com/file/d/1DaHWviihqmitTmrqcEAmPTtVGhc09K7t/view?usp=drivesdk</t>
  </si>
  <si>
    <t xml:space="preserve">CAHYO TRI WIBOWO </t>
  </si>
  <si>
    <t>urdokkes.ntn@gmail.com</t>
  </si>
  <si>
    <t>1469</t>
  </si>
  <si>
    <t>https://drive.google.com/file/d/1_xQs7y5Xb7yTCfhRTbZkLbPcbYx3-aVC/view?usp=drivesdk</t>
  </si>
  <si>
    <t>Document successfully created; Document successfully merged; PDF created; !!Error Sending Emails: Service invoked too many times for one day: email.; Run via form trigger as ecertificate75@gmail.com; Timestamp: Aug 29 2024 9:02 PM</t>
  </si>
  <si>
    <t>1_xQs7y5Xb7yTCfhRTbZkLbPcbYx3-aVC</t>
  </si>
  <si>
    <t>1xYk7jeLa_LpLOEbWAhKEw6TNYh5JImLT</t>
  </si>
  <si>
    <t>https://drive.google.com/file/d/1xYk7jeLa_LpLOEbWAhKEw6TNYh5JImLT/view?usp=drivesdk</t>
  </si>
  <si>
    <t>DEWI NURYANI, AMD</t>
  </si>
  <si>
    <t>ewinuryani@gmail.com</t>
  </si>
  <si>
    <t>1470</t>
  </si>
  <si>
    <t>https://drive.google.com/file/d/1fQGicwkbNJ1VChwoo9teYai0SRtHmTSO/view?usp=drivesdk</t>
  </si>
  <si>
    <t>1fQGicwkbNJ1VChwoo9teYai0SRtHmTSO</t>
  </si>
  <si>
    <t>1mir0dMBed2LvxlGjZFACc9SOyeUOOSyp</t>
  </si>
  <si>
    <t>https://drive.google.com/file/d/1mir0dMBed2LvxlGjZFACc9SOyeUOOSyp/view?usp=drivesdk</t>
  </si>
  <si>
    <t>DRG.AFIFATUL WIDAD</t>
  </si>
  <si>
    <t>drg.afifa@gmail.com</t>
  </si>
  <si>
    <t>1471</t>
  </si>
  <si>
    <t>Starting at Thu Aug 29 2024 21:00:49 GMT-0400 (EDT)</t>
  </si>
  <si>
    <t>1LNI5MZ8ppcJtpd5a0QdCZ1IPcYLiWcX6</t>
  </si>
  <si>
    <t>https://drive.google.com/file/d/1LNI5MZ8ppcJtpd5a0QdCZ1IPcYLiWcX6/view?usp=drivesdk</t>
  </si>
  <si>
    <t>BAMBANG SUPRIANTA, A.Md.</t>
  </si>
  <si>
    <t>spbambang70@gmail.com</t>
  </si>
  <si>
    <t>1472</t>
  </si>
  <si>
    <t>1lpra20gLv9jVscFIRNsepqNrb5XnqgEa</t>
  </si>
  <si>
    <t>https://drive.google.com/file/d/1lpra20gLv9jVscFIRNsepqNrb5XnqgEa/view?usp=drivesdk</t>
  </si>
  <si>
    <t>YULI PILIHANINGSIH</t>
  </si>
  <si>
    <t>yulipilihaningsih1971@gmail.com</t>
  </si>
  <si>
    <t>1473</t>
  </si>
  <si>
    <t>1mJ27xkS3f62nVkoyOOu_WVwnyegotpAx</t>
  </si>
  <si>
    <t>https://drive.google.com/file/d/1mJ27xkS3f62nVkoyOOu_WVwnyegotpAx/view?usp=drivesdk</t>
  </si>
  <si>
    <t>Document successfully created; Document successfully merged; PDF created; !!Error Sending Emails: Service invoked too many times for one day: email.; Manually run by ecertificate75@gmail.com; Timestamp: Aug 31 2024 1:25 AM</t>
  </si>
  <si>
    <t>YUYUN SINDA ERINIKA, S.E.</t>
  </si>
  <si>
    <t>yuyunsinda@gmail.com</t>
  </si>
  <si>
    <t>1474</t>
  </si>
  <si>
    <t>https://drive.google.com/file/d/1uQAzW_M02rkwxlXmtVozTMq3jvuRVSVl/view?usp=drivesdk</t>
  </si>
  <si>
    <t>1uQAzW_M02rkwxlXmtVozTMq3jvuRVSVl</t>
  </si>
  <si>
    <t>1etDyI_tcgw0otVekl7SIAfCDnL8vbT6t</t>
  </si>
  <si>
    <t>https://drive.google.com/file/d/1etDyI_tcgw0otVekl7SIAfCDnL8vbT6t/view?usp=drivesdk</t>
  </si>
  <si>
    <t>GIRA PRATIWI, A.Md.Kom</t>
  </si>
  <si>
    <t>girapratiwi999@gmail.com</t>
  </si>
  <si>
    <t>1475</t>
  </si>
  <si>
    <t>https://drive.google.com/file/d/17ZEkIWJOInbD_ZXERrY9X5ONuOp4Ivoe/view?usp=drivesdk</t>
  </si>
  <si>
    <t>17ZEkIWJOInbD_ZXERrY9X5ONuOp4Ivoe</t>
  </si>
  <si>
    <t>1Hk4owyZiReUhwguE9Udt9-PArUnYCZCI</t>
  </si>
  <si>
    <t>https://drive.google.com/file/d/1Hk4owyZiReUhwguE9Udt9-PArUnYCZCI/view?usp=drivesdk</t>
  </si>
  <si>
    <t>NOFA ITAWARNI</t>
  </si>
  <si>
    <t>nofaitawarni20@gmail.com</t>
  </si>
  <si>
    <t>1476</t>
  </si>
  <si>
    <t>https://drive.google.com/file/d/1vTt7NNckQMKyncGYgixt-maoBB1v0mPb/view?usp=drivesdk</t>
  </si>
  <si>
    <t>1vTt7NNckQMKyncGYgixt-maoBB1v0mPb</t>
  </si>
  <si>
    <t>10FoZj9T57UlfpzrQU978OOFLHYFCp4Gw</t>
  </si>
  <si>
    <t>https://drive.google.com/file/d/10FoZj9T57UlfpzrQU978OOFLHYFCp4Gw/view?usp=drivesdk</t>
  </si>
  <si>
    <t>LINDA EKA KURNIAWATI</t>
  </si>
  <si>
    <t>lidaeka050280@gmail.com</t>
  </si>
  <si>
    <t>1477</t>
  </si>
  <si>
    <t>https://drive.google.com/file/d/1kpC_7KgnT7GrdlfEPhLn1v3MZdOfECqQ/view?usp=drivesdk</t>
  </si>
  <si>
    <t>1kpC_7KgnT7GrdlfEPhLn1v3MZdOfECqQ</t>
  </si>
  <si>
    <t>1QiluRRNj3RYQ_XpF9tr-joR338jqaT5Y</t>
  </si>
  <si>
    <t>https://drive.google.com/file/d/1QiluRRNj3RYQ_XpF9tr-joR338jqaT5Y/view?usp=drivesdk</t>
  </si>
  <si>
    <t>POLDA GORONTALO</t>
  </si>
  <si>
    <t>DEWI SAFITRI, S.E.</t>
  </si>
  <si>
    <t>dewi31safitri@gmail.com</t>
  </si>
  <si>
    <t>1478</t>
  </si>
  <si>
    <t>https://drive.google.com/file/d/1rIqhSY0OqFvyS0g1vVMjmGnCxJViPwiW/view?usp=drivesdk</t>
  </si>
  <si>
    <t>Document successfully created; Document successfully merged; PDF created; !!Error Sending Emails: Service invoked too many times for one day: email.; Run via form trigger as ecertificate75@gmail.com; Timestamp: Aug 29 2024 9:03 PM</t>
  </si>
  <si>
    <t>1rIqhSY0OqFvyS0g1vVMjmGnCxJViPwiW</t>
  </si>
  <si>
    <t>1BtZi8INRpbuF1chfRwK-y-xKSOOyxcgf</t>
  </si>
  <si>
    <t>https://drive.google.com/file/d/1BtZi8INRpbuF1chfRwK-y-xKSOOyxcgf/view?usp=drivesdk</t>
  </si>
  <si>
    <t>KHUMAIRI MAIRI</t>
  </si>
  <si>
    <t>khumairi77@gmail.com</t>
  </si>
  <si>
    <t>1479</t>
  </si>
  <si>
    <t>Starting at Thu Aug 29 2024 21:01:03 GMT-0400 (EDT)</t>
  </si>
  <si>
    <t>1CRd8kJjX-e_30FXyMrRVd5JkgVrtZrWI</t>
  </si>
  <si>
    <t>https://drive.google.com/file/d/1CRd8kJjX-e_30FXyMrRVd5JkgVrtZrWI/view?usp=drivesdk</t>
  </si>
  <si>
    <t>Document successfully created; Document successfully merged; PDF created; !!Error Sending Emails: Service invoked too many times for one day: email.; Manually run by ecertificate75@gmail.com; Timestamp: Aug 31 2024 1:26 AM</t>
  </si>
  <si>
    <t>POLDA KALTENG</t>
  </si>
  <si>
    <t>NINNA ASTRIA DAMAYANTI, A.MD</t>
  </si>
  <si>
    <t>ninnaastria@gmail.com</t>
  </si>
  <si>
    <t>1480</t>
  </si>
  <si>
    <t>https://drive.google.com/file/d/1cdQdGJyt_lBE4aStOVYQP1CZNMYyVxcE/view?usp=drivesdk</t>
  </si>
  <si>
    <t>1cdQdGJyt_lBE4aStOVYQP1CZNMYyVxcE</t>
  </si>
  <si>
    <t>1A1JJXe_1DNNaWmHOjn04M5Zq6QpIEOX7</t>
  </si>
  <si>
    <t>https://drive.google.com/file/d/1A1JJXe_1DNNaWmHOjn04M5Zq6QpIEOX7/view?usp=drivesdk</t>
  </si>
  <si>
    <t>YENI YULIANI, A.Md.</t>
  </si>
  <si>
    <t>yeniyuliani_79@yahoo.co.id</t>
  </si>
  <si>
    <t>1481</t>
  </si>
  <si>
    <t>https://drive.google.com/file/d/1Q09XB4v_YM3fNtnr5QU57FdNb2h8MqCV/view?usp=drivesdk</t>
  </si>
  <si>
    <t>1Q09XB4v_YM3fNtnr5QU57FdNb2h8MqCV</t>
  </si>
  <si>
    <t>1ZRMl0t7dtR7S06mypQIWHM-mOWiR62jp</t>
  </si>
  <si>
    <t>https://drive.google.com/file/d/1ZRMl0t7dtR7S06mypQIWHM-mOWiR62jp/view?usp=drivesdk</t>
  </si>
  <si>
    <t>PENGATUR SUPARDI</t>
  </si>
  <si>
    <t>supardimrenges@gmail.com</t>
  </si>
  <si>
    <t>1482</t>
  </si>
  <si>
    <t>https://drive.google.com/file/d/1P_GqcGx4vx117arr3uCFltjaV1PZrD_5/view?usp=drivesdk</t>
  </si>
  <si>
    <t>1P_GqcGx4vx117arr3uCFltjaV1PZrD_5</t>
  </si>
  <si>
    <t>1ARoZ4gcML0_Wkn5KIYAWSCEXKPEQ22pr</t>
  </si>
  <si>
    <t>https://drive.google.com/file/d/1ARoZ4gcML0_Wkn5KIYAWSCEXKPEQ22pr/view?usp=drivesdk</t>
  </si>
  <si>
    <t xml:space="preserve">MAHSUM ABUANDI, S. E. </t>
  </si>
  <si>
    <t>mahsumabuandi91@gmail.com</t>
  </si>
  <si>
    <t>1483</t>
  </si>
  <si>
    <t>https://drive.google.com/file/d/1qehv0JWsHC7Fp_G5QBWHffVCI9c6nGy5/view?usp=drivesdk</t>
  </si>
  <si>
    <t>1qehv0JWsHC7Fp_G5QBWHffVCI9c6nGy5</t>
  </si>
  <si>
    <t>1nVKZ9voUfntEFDursH_ckXT0Ulfv_4nT</t>
  </si>
  <si>
    <t>https://drive.google.com/file/d/1nVKZ9voUfntEFDursH_ckXT0Ulfv_4nT/view?usp=drivesdk</t>
  </si>
  <si>
    <t>Document successfully created; Document successfully merged; PDF created; !!Error Sending Emails: Service invoked too many times for one day: email.; Manually run by ecertificate75@gmail.com; Timestamp: Aug 31 2024 1:27 AM</t>
  </si>
  <si>
    <t>BOWO SUPRIYONO, S.E.</t>
  </si>
  <si>
    <t>bowosupriyono68@gmail.com</t>
  </si>
  <si>
    <t>1484</t>
  </si>
  <si>
    <t>https://drive.google.com/file/d/1JPkrqwX0JHesB_9wfH60BwLKXDQTNoA9/view?usp=drivesdk</t>
  </si>
  <si>
    <t>1JPkrqwX0JHesB_9wfH60BwLKXDQTNoA9</t>
  </si>
  <si>
    <t>1GYqupcolr3L6mOXBOIXoI2CFIhqJ4wk9</t>
  </si>
  <si>
    <t>https://drive.google.com/file/d/1GYqupcolr3L6mOXBOIXoI2CFIhqJ4wk9/view?usp=drivesdk</t>
  </si>
  <si>
    <t>SIGIT HARDIANTO</t>
  </si>
  <si>
    <t>sigithardianto919@gmail.com</t>
  </si>
  <si>
    <t>1485</t>
  </si>
  <si>
    <t>https://drive.google.com/file/d/1-LnHDUppf7bD0ZirYuOf_Bco1BGpMKF1/view?usp=drivesdk</t>
  </si>
  <si>
    <t>1-LnHDUppf7bD0ZirYuOf_Bco1BGpMKF1</t>
  </si>
  <si>
    <t>1BGFR0RDYefWirQUbFN22mGtCqLYB5LD6</t>
  </si>
  <si>
    <t>https://drive.google.com/file/d/1BGFR0RDYefWirQUbFN22mGtCqLYB5LD6/view?usp=drivesdk</t>
  </si>
  <si>
    <t>PENGATUR TK I SUMIATI</t>
  </si>
  <si>
    <t>sumiati4681@gmail.com</t>
  </si>
  <si>
    <t>1486</t>
  </si>
  <si>
    <t>https://drive.google.com/file/d/1no4rpeGSCfArLZbUSFLbTHVTXiG5ZVBp/view?usp=drivesdk</t>
  </si>
  <si>
    <t>1no4rpeGSCfArLZbUSFLbTHVTXiG5ZVBp</t>
  </si>
  <si>
    <t>1z4DKCqajJtyEQ3OlocwVDCFxHDgvxOVh</t>
  </si>
  <si>
    <t>https://drive.google.com/file/d/1z4DKCqajJtyEQ3OlocwVDCFxHDgvxOVh/view?usp=drivesdk</t>
  </si>
  <si>
    <t>ANISWATI ROFIAH, A.Md.</t>
  </si>
  <si>
    <t>anis.rofiah75@gmail.com</t>
  </si>
  <si>
    <t>1487</t>
  </si>
  <si>
    <t>https://drive.google.com/file/d/1sJstk9PdEGYSKpT2_f0a9PpD7ejHwq1l/view?usp=drivesdk</t>
  </si>
  <si>
    <t>1sJstk9PdEGYSKpT2_f0a9PpD7ejHwq1l</t>
  </si>
  <si>
    <t>1OWhg-F-uyaDNGQhAy_QqQm_svV7jioIH</t>
  </si>
  <si>
    <t>https://drive.google.com/file/d/1OWhg-F-uyaDNGQhAy_QqQm_svV7jioIH/view?usp=drivesdk</t>
  </si>
  <si>
    <t>NORMA WIDIYANINGRUM</t>
  </si>
  <si>
    <t>normawidiyaningrum@gmail.com</t>
  </si>
  <si>
    <t>1488</t>
  </si>
  <si>
    <t>https://drive.google.com/file/d/1LVclwvdJUl_kfO9FCwGAf-0f-gnlkrRJ/view?usp=drivesdk</t>
  </si>
  <si>
    <t>1LVclwvdJUl_kfO9FCwGAf-0f-gnlkrRJ</t>
  </si>
  <si>
    <t>1eGq2fjiZHB5HGDm_cH2QzNlmlrdLaoyE</t>
  </si>
  <si>
    <t>https://drive.google.com/file/d/1eGq2fjiZHB5HGDm_cH2QzNlmlrdLaoyE/view?usp=drivesdk</t>
  </si>
  <si>
    <t>SRI PURWANINGSIH</t>
  </si>
  <si>
    <t>arfiansri97@gmail.com</t>
  </si>
  <si>
    <t>1489</t>
  </si>
  <si>
    <t>https://drive.google.com/file/d/1X_rxKO5a6dcYxhU1RXRV0JWy0tSRKzsM/view?usp=drivesdk</t>
  </si>
  <si>
    <t>1X_rxKO5a6dcYxhU1RXRV0JWy0tSRKzsM</t>
  </si>
  <si>
    <t>1mE9Qt5ZFcLpuvFQN0AqNIz0wznfxNnn5</t>
  </si>
  <si>
    <t>https://drive.google.com/file/d/1mE9Qt5ZFcLpuvFQN0AqNIz0wznfxNnn5/view?usp=drivesdk</t>
  </si>
  <si>
    <t>Document successfully created; Document successfully merged; PDF created; !!Error Sending Emails: Service invoked too many times for one day: email.; Manually run by ecertificate75@gmail.com; Timestamp: Aug 31 2024 1:28 AM</t>
  </si>
  <si>
    <t>HARI MARHENDRO, S.H.</t>
  </si>
  <si>
    <t>genepsukendro@gmail.com</t>
  </si>
  <si>
    <t>1490</t>
  </si>
  <si>
    <t>https://drive.google.com/file/d/198BHXTfpH2lZkXxKHIIAmw2jqF6JvVGw/view?usp=drivesdk</t>
  </si>
  <si>
    <t>198BHXTfpH2lZkXxKHIIAmw2jqF6JvVGw</t>
  </si>
  <si>
    <t>1oWOkCclIdPxdqNF5fIsvDBuzw-bjVOtX</t>
  </si>
  <si>
    <t>https://drive.google.com/file/d/1oWOkCclIdPxdqNF5fIsvDBuzw-bjVOtX/view?usp=drivesdk</t>
  </si>
  <si>
    <t>MOHAMMAD SALEH</t>
  </si>
  <si>
    <t>denpanden68@gmail.com</t>
  </si>
  <si>
    <t>1491</t>
  </si>
  <si>
    <t>Starting at Thu Aug 29 2024 21:01:10 GMT-0400 (EDT)</t>
  </si>
  <si>
    <t>1QMp64TcAp8ib1jnxlKn0xghnf43oAyDj</t>
  </si>
  <si>
    <t>https://drive.google.com/file/d/1QMp64TcAp8ib1jnxlKn0xghnf43oAyDj/view?usp=drivesdk</t>
  </si>
  <si>
    <t>YULIYANA YUSUF</t>
  </si>
  <si>
    <t>yuliyanayusuf01@gmail.com</t>
  </si>
  <si>
    <t>1492</t>
  </si>
  <si>
    <t>1EgfNRM_eYDU9vlgRXO6EfKOHbeiUOJoV</t>
  </si>
  <si>
    <t>https://drive.google.com/file/d/1EgfNRM_eYDU9vlgRXO6EfKOHbeiUOJoV/view?usp=drivesdk</t>
  </si>
  <si>
    <t>YENI ADI SULISTYANINGSIH</t>
  </si>
  <si>
    <t>y3ni.a5@gmail.com</t>
  </si>
  <si>
    <t>1493</t>
  </si>
  <si>
    <t>1BJ2QPhM14-VwwAB4rXonumxC9b-DPza2</t>
  </si>
  <si>
    <t>https://drive.google.com/file/d/1BJ2QPhM14-VwwAB4rXonumxC9b-DPza2/view?usp=drivesdk</t>
  </si>
  <si>
    <t>SITI SHOPIYATUN</t>
  </si>
  <si>
    <t>sitishopiyatun68@gmail.com</t>
  </si>
  <si>
    <t>1494</t>
  </si>
  <si>
    <t>https://drive.google.com/file/d/1t_ezM0Zicd7mqqKsYEX26iwCImdk3IVe/view?usp=drivesdk</t>
  </si>
  <si>
    <t>1t_ezM0Zicd7mqqKsYEX26iwCImdk3IVe</t>
  </si>
  <si>
    <t>1AaGQqzblU1u-ElgUBMgVA4-u88mYtjQS</t>
  </si>
  <si>
    <t>https://drive.google.com/file/d/1AaGQqzblU1u-ElgUBMgVA4-u88mYtjQS/view?usp=drivesdk</t>
  </si>
  <si>
    <t xml:space="preserve">DARU CAHYO RAHARJO </t>
  </si>
  <si>
    <t>darucahyoraharjo@gmail.com</t>
  </si>
  <si>
    <t>1495</t>
  </si>
  <si>
    <t>Starting at Thu Aug 29 2024 21:01:16 GMT-0400 (EDT)</t>
  </si>
  <si>
    <t>1PGAsivRYfzt5aVl9VJNWy2ptnn4zaS4m</t>
  </si>
  <si>
    <t>https://drive.google.com/file/d/1PGAsivRYfzt5aVl9VJNWy2ptnn4zaS4m/view?usp=drivesdk</t>
  </si>
  <si>
    <t>Document successfully created; Document successfully merged; PDF created; !!Error Sending Emails: Service invoked too many times for one day: email.; Manually run by ecertificate75@gmail.com; Timestamp: Aug 31 2024 1:29 AM</t>
  </si>
  <si>
    <t>HERRY YULIYANTO, S.E.</t>
  </si>
  <si>
    <t>duffyduck888@yahoo.com</t>
  </si>
  <si>
    <t>1496</t>
  </si>
  <si>
    <t>1dFnuJ1fmrZoqTu8XLoo2rnwd9ZlP7_hZ</t>
  </si>
  <si>
    <t>https://drive.google.com/file/d/1dFnuJ1fmrZoqTu8XLoo2rnwd9ZlP7_hZ/view?usp=drivesdk</t>
  </si>
  <si>
    <t>PENGATUR I DWI ARIANI</t>
  </si>
  <si>
    <t>ariani.dwi73@gmail.com</t>
  </si>
  <si>
    <t>1497</t>
  </si>
  <si>
    <t>1g2o9mhkh5qtqlA-yAlC7tyBQB3rngNdS</t>
  </si>
  <si>
    <t>https://drive.google.com/file/d/1g2o9mhkh5qtqlA-yAlC7tyBQB3rngNdS/view?usp=drivesdk</t>
  </si>
  <si>
    <t>EKO SUGIARTO, SM</t>
  </si>
  <si>
    <t>ekotekkombmjtg@gmail.com</t>
  </si>
  <si>
    <t>1498</t>
  </si>
  <si>
    <t>1zbk7lxESDpznyocBBffCG6u_c3BYh5zN</t>
  </si>
  <si>
    <t>https://drive.google.com/file/d/1zbk7lxESDpznyocBBffCG6u_c3BYh5zN/view?usp=drivesdk</t>
  </si>
  <si>
    <t xml:space="preserve">FRAYOGI YULIANTORO RUSDI </t>
  </si>
  <si>
    <t>yogipolrestajambi@gmail.com</t>
  </si>
  <si>
    <t>1499</t>
  </si>
  <si>
    <t>1nWiYB0hBsqhYL0LSlypN0dZA-CkcH6-h</t>
  </si>
  <si>
    <t>https://drive.google.com/file/d/1nWiYB0hBsqhYL0LSlypN0dZA-CkcH6-h/view?usp=drivesdk</t>
  </si>
  <si>
    <t>ADAR HERMAWAN</t>
  </si>
  <si>
    <t>iwan.her79@gmail.com</t>
  </si>
  <si>
    <t>1500</t>
  </si>
  <si>
    <t>1_FFztcT_t9ZLrwj7rtpwP6T9HO6z-cig</t>
  </si>
  <si>
    <t>https://drive.google.com/file/d/1_FFztcT_t9ZLrwj7rtpwP6T9HO6z-cig/view?usp=drivesdk</t>
  </si>
  <si>
    <t>NOVIASRINI KEMALA NINGRUM</t>
  </si>
  <si>
    <t>noviaskemala@gmail.com</t>
  </si>
  <si>
    <t>1501</t>
  </si>
  <si>
    <t>1_DCiTehxujQUXZLr_nScNqImBNBGeIGe</t>
  </si>
  <si>
    <t>https://drive.google.com/file/d/1_DCiTehxujQUXZLr_nScNqImBNBGeIGe/view?usp=drivesdk</t>
  </si>
  <si>
    <t>Document successfully created; Document successfully merged; PDF created; !!Error Sending Emails: Service invoked too many times for one day: email.; Manually run by ecertificate75@gmail.com; Timestamp: Aug 31 2024 1:30 AM</t>
  </si>
  <si>
    <t>dr. ATMITA MEI RIATNA GULTOM</t>
  </si>
  <si>
    <t>atmitameiriatna@yahoo.com</t>
  </si>
  <si>
    <t>1502</t>
  </si>
  <si>
    <t>https://drive.google.com/file/d/1K-HH6YF1XcvZvCtPs42xeADAR8gr-0hC/view?usp=drivesdk</t>
  </si>
  <si>
    <t>1K-HH6YF1XcvZvCtPs42xeADAR8gr-0hC</t>
  </si>
  <si>
    <t>1eR7Je5W-HfIW9prBWnqKvat6xTn6m4FE</t>
  </si>
  <si>
    <t>https://drive.google.com/file/d/1eR7Je5W-HfIW9prBWnqKvat6xTn6m4FE/view?usp=drivesdk</t>
  </si>
  <si>
    <t>NORA FITRIANI,SKM</t>
  </si>
  <si>
    <t>faizah.humairoh27@gmail.com</t>
  </si>
  <si>
    <t>1503</t>
  </si>
  <si>
    <t>https://drive.google.com/file/d/19itxLnKTw-PRiQ2TH1U2QAy1KUZJY5ig/view?usp=drivesdk</t>
  </si>
  <si>
    <t>19itxLnKTw-PRiQ2TH1U2QAy1KUZJY5ig</t>
  </si>
  <si>
    <t>10pHVt48cahuUeyGUIys3FVBorW60dMJ9</t>
  </si>
  <si>
    <t>https://drive.google.com/file/d/10pHVt48cahuUeyGUIys3FVBorW60dMJ9/view?usp=drivesdk</t>
  </si>
  <si>
    <t>ELIZABETH DEWI KARTINI SIBURIAN, Am.Kep</t>
  </si>
  <si>
    <t>elizabethdewi27@gmail.com</t>
  </si>
  <si>
    <t>1504</t>
  </si>
  <si>
    <t>https://drive.google.com/file/d/1J4j5XXMXHBLbRhVLG6sRyMcHY81gBS1j/view?usp=drivesdk</t>
  </si>
  <si>
    <t>1J4j5XXMXHBLbRhVLG6sRyMcHY81gBS1j</t>
  </si>
  <si>
    <t>1f3JDIWCtd_Fc6jYAWl2JYcmkhPBem_3q</t>
  </si>
  <si>
    <t>https://drive.google.com/file/d/1f3JDIWCtd_Fc6jYAWl2JYcmkhPBem_3q/view?usp=drivesdk</t>
  </si>
  <si>
    <t>NS DINA SYARIF SKEP</t>
  </si>
  <si>
    <t>dinasyarif.hs@gmail.com</t>
  </si>
  <si>
    <t>1505</t>
  </si>
  <si>
    <t>https://drive.google.com/file/d/1PrURppqq6sCTgsyqtf9gdobsU9vT5VaZ/view?usp=drivesdk</t>
  </si>
  <si>
    <t>1PrURppqq6sCTgsyqtf9gdobsU9vT5VaZ</t>
  </si>
  <si>
    <t>1CP0d40o8sWOY4slrP5ksdzkoxkQZS9Lq</t>
  </si>
  <si>
    <t>https://drive.google.com/file/d/1CP0d40o8sWOY4slrP5ksdzkoxkQZS9Lq/view?usp=drivesdk</t>
  </si>
  <si>
    <t xml:space="preserve">MUHAMAD PARMINTO </t>
  </si>
  <si>
    <t>parmintob@gmail.com</t>
  </si>
  <si>
    <t>1506</t>
  </si>
  <si>
    <t>https://drive.google.com/file/d/1F3HwiKVQ519V92uihbNKwUTmlL6ao6yr/view?usp=drivesdk</t>
  </si>
  <si>
    <t>1F3HwiKVQ519V92uihbNKwUTmlL6ao6yr</t>
  </si>
  <si>
    <t>1KrXbVXn5bkUUzR-bOOZgQIkv6MPFATDP</t>
  </si>
  <si>
    <t>https://drive.google.com/file/d/1KrXbVXn5bkUUzR-bOOZgQIkv6MPFATDP/view?usp=drivesdk</t>
  </si>
  <si>
    <t>Document successfully created; Document successfully merged; PDF created; !!Error Sending Emails: Service invoked too many times for one day: email.; Manually run by ecertificate75@gmail.com; Timestamp: Aug 31 2024 1:31 AM</t>
  </si>
  <si>
    <t>WIRDA NENGSIH, S.H</t>
  </si>
  <si>
    <t>Wirdaningsih061@gmail.com</t>
  </si>
  <si>
    <t>1507</t>
  </si>
  <si>
    <t>https://drive.google.com/file/d/1bzeblq7_oGiYNnFr5CNSQ2xxMapEX2zs/view?usp=drivesdk</t>
  </si>
  <si>
    <t>1bzeblq7_oGiYNnFr5CNSQ2xxMapEX2zs</t>
  </si>
  <si>
    <t>1z4rQuMEHRUvVEqdDQ-hqSyc-0HKGT1Zi</t>
  </si>
  <si>
    <t>https://drive.google.com/file/d/1z4rQuMEHRUvVEqdDQ-hqSyc-0HKGT1Zi/view?usp=drivesdk</t>
  </si>
  <si>
    <t>PRADITYA AGUS NUGRAHA, AMD</t>
  </si>
  <si>
    <t>andraste24@gmail.com</t>
  </si>
  <si>
    <t>1508</t>
  </si>
  <si>
    <t>https://drive.google.com/file/d/16oF6r-2r8iChrP33I8DY3wMOLzFFP3Wk/view?usp=drivesdk</t>
  </si>
  <si>
    <t>16oF6r-2r8iChrP33I8DY3wMOLzFFP3Wk</t>
  </si>
  <si>
    <t>18BPXGcv8bSKeq9mNiZ_KaBtpcTSqZEdx</t>
  </si>
  <si>
    <t>https://drive.google.com/file/d/18BPXGcv8bSKeq9mNiZ_KaBtpcTSqZEdx/view?usp=drivesdk</t>
  </si>
  <si>
    <t>HADI APRIANTO</t>
  </si>
  <si>
    <t>adipolda99@gmail.com</t>
  </si>
  <si>
    <t>1509</t>
  </si>
  <si>
    <t>https://drive.google.com/file/d/1TwLpbRKXEdmNGK3CExX7KI3hL_Ko31e0/view?usp=drivesdk</t>
  </si>
  <si>
    <t>1TwLpbRKXEdmNGK3CExX7KI3hL_Ko31e0</t>
  </si>
  <si>
    <t>14akefDxs3ZPTnYTWISrNQFY8UlDy68QF</t>
  </si>
  <si>
    <t>https://drive.google.com/file/d/14akefDxs3ZPTnYTWISrNQFY8UlDy68QF/view?usp=drivesdk</t>
  </si>
  <si>
    <t>DESY KURNIASIH</t>
  </si>
  <si>
    <t>kurniasihdesi08@gmail.com</t>
  </si>
  <si>
    <t>1510</t>
  </si>
  <si>
    <t>Starting at Thu Aug 29 2024 21:01:19 GMT-0400 (EDT)</t>
  </si>
  <si>
    <t>1Qdgmi3CG1RBFBP4oQa0KUiDgN2T5svGw</t>
  </si>
  <si>
    <t>https://drive.google.com/file/d/1Qdgmi3CG1RBFBP4oQa0KUiDgN2T5svGw/view?usp=drivesdk</t>
  </si>
  <si>
    <t>ENDANG PUJI LESTARI</t>
  </si>
  <si>
    <t>lestariendang444@gmail.com</t>
  </si>
  <si>
    <t>1511</t>
  </si>
  <si>
    <t>1M1DOacwh1xlb7ges--JWBDwdKraNGRZH</t>
  </si>
  <si>
    <t>https://drive.google.com/file/d/1M1DOacwh1xlb7ges--JWBDwdKraNGRZH/view?usp=drivesdk</t>
  </si>
  <si>
    <t>Document successfully created; Document successfully merged; PDF created; !!Error Sending Emails: Service invoked too many times for one day: email.; Manually run by ecertificate75@gmail.com; Timestamp: Aug 31 2024 1:32 AM</t>
  </si>
  <si>
    <t xml:space="preserve">PENDA SRI LESTARI </t>
  </si>
  <si>
    <t>srilestari0507@gmail.com</t>
  </si>
  <si>
    <t>1512</t>
  </si>
  <si>
    <t>https://drive.google.com/file/d/1wQRfmCqb754d6e5SIk-Khfod14R3ZjdI/view?usp=drivesdk</t>
  </si>
  <si>
    <t>1wQRfmCqb754d6e5SIk-Khfod14R3ZjdI</t>
  </si>
  <si>
    <t>1pfgWpR52qlAUio5HEUND6wkLkG9s0ctR</t>
  </si>
  <si>
    <t>https://drive.google.com/file/d/1pfgWpR52qlAUio5HEUND6wkLkG9s0ctR/view?usp=drivesdk</t>
  </si>
  <si>
    <t>ZAINURHIDAYANTI, AMD.FARM</t>
  </si>
  <si>
    <t>zainurhidayanti.ap@gmail.com</t>
  </si>
  <si>
    <t>1513</t>
  </si>
  <si>
    <t>https://drive.google.com/file/d/1EpHz6JqJu7jMQXwICCn4FxLi8CCpDOt3/view?usp=drivesdk</t>
  </si>
  <si>
    <t>1EpHz6JqJu7jMQXwICCn4FxLi8CCpDOt3</t>
  </si>
  <si>
    <t>1LxfPwSlFRGHOMJlfSWrt30WrlJ2Bx56a</t>
  </si>
  <si>
    <t>https://drive.google.com/file/d/1LxfPwSlFRGHOMJlfSWrt30WrlJ2Bx56a/view?usp=drivesdk</t>
  </si>
  <si>
    <t xml:space="preserve">SITI MARIFATUN, AMK </t>
  </si>
  <si>
    <t>ipehrifahfaisol@gmail.com</t>
  </si>
  <si>
    <t>1514</t>
  </si>
  <si>
    <t>https://drive.google.com/file/d/1kLuN6MA-S8HHBFxH1xJ2rwgfphCEFp3e/view?usp=drivesdk</t>
  </si>
  <si>
    <t>1kLuN6MA-S8HHBFxH1xJ2rwgfphCEFp3e</t>
  </si>
  <si>
    <t>1v996ak2PXPpTRIpTqM8zOhwKiAvW4YMa</t>
  </si>
  <si>
    <t>https://drive.google.com/file/d/1v996ak2PXPpTRIpTqM8zOhwKiAvW4YMa/view?usp=drivesdk</t>
  </si>
  <si>
    <t>MUHAMMAD FAHAD, A.Md.Kom.</t>
  </si>
  <si>
    <t>muhammadfahadmadani@gmail.com</t>
  </si>
  <si>
    <t>1515</t>
  </si>
  <si>
    <t>https://drive.google.com/file/d/1P_TF2d75YOhPzOqeuU1kMoNddj6eeRFG/view?usp=drivesdk</t>
  </si>
  <si>
    <t>1P_TF2d75YOhPzOqeuU1kMoNddj6eeRFG</t>
  </si>
  <si>
    <t>1saLX3GAqbP_bEkeehz9e27dJWVLA0k-n</t>
  </si>
  <si>
    <t>https://drive.google.com/file/d/1saLX3GAqbP_bEkeehz9e27dJWVLA0k-n/view?usp=drivesdk</t>
  </si>
  <si>
    <t>KURNIATI PUJI MASTITI</t>
  </si>
  <si>
    <t>kurniati.puji@gmail.com</t>
  </si>
  <si>
    <t>1516</t>
  </si>
  <si>
    <t>https://drive.google.com/file/d/1PEVW99kOrHF8eEqXD4yVSp8_45dflhib/view?usp=drivesdk</t>
  </si>
  <si>
    <t>1PEVW99kOrHF8eEqXD4yVSp8_45dflhib</t>
  </si>
  <si>
    <t>1yoF7f4tTgcpVvpW6V14viWkiKJ84zHNQ</t>
  </si>
  <si>
    <t>https://drive.google.com/file/d/1yoF7f4tTgcpVvpW6V14viWkiKJ84zHNQ/view?usp=drivesdk</t>
  </si>
  <si>
    <t xml:space="preserve">PENGATUR ITK I MIMIN </t>
  </si>
  <si>
    <t>mynynead@gmail.com</t>
  </si>
  <si>
    <t>1517</t>
  </si>
  <si>
    <t>https://drive.google.com/file/d/1Jz51Dhqi110mtIzWNRk79dQzH7V2iuLK/view?usp=drivesdk</t>
  </si>
  <si>
    <t>1Jz51Dhqi110mtIzWNRk79dQzH7V2iuLK</t>
  </si>
  <si>
    <t>1AzK8sQYGmqlJMI-NyzlDxgER2AwySJ9d</t>
  </si>
  <si>
    <t>https://drive.google.com/file/d/1AzK8sQYGmqlJMI-NyzlDxgER2AwySJ9d/view?usp=drivesdk</t>
  </si>
  <si>
    <t>Document successfully created; Document successfully merged; PDF created; !!Error Sending Emails: Service invoked too many times for one day: email.; Manually run by ecertificate75@gmail.com; Timestamp: Aug 31 2024 1:33 AM</t>
  </si>
  <si>
    <t>PENGATUR TK I ENI KOMARIAH</t>
  </si>
  <si>
    <t>komariaheni76@gmail.com</t>
  </si>
  <si>
    <t>1518</t>
  </si>
  <si>
    <t>https://drive.google.com/file/d/1XpT4hhH_j7C854z8iW8REac9IccJEllJ/view?usp=drivesdk</t>
  </si>
  <si>
    <t>1XpT4hhH_j7C854z8iW8REac9IccJEllJ</t>
  </si>
  <si>
    <t>12injADvKZz4Mog_8d0D651VWBG0NGpxO</t>
  </si>
  <si>
    <t>https://drive.google.com/file/d/12injADvKZz4Mog_8d0D651VWBG0NGpxO/view?usp=drivesdk</t>
  </si>
  <si>
    <t>WHINDA PRAMITA, AMD</t>
  </si>
  <si>
    <t>whindapramita@gmail.com</t>
  </si>
  <si>
    <t>1519</t>
  </si>
  <si>
    <t>https://drive.google.com/file/d/1F8Y22Xi5YqmbpAU7wjoykWJpV8R4TGNh/view?usp=drivesdk</t>
  </si>
  <si>
    <t>1F8Y22Xi5YqmbpAU7wjoykWJpV8R4TGNh</t>
  </si>
  <si>
    <t>1N94mBZybamvv77f5cPxedgS-Bd7oedxh</t>
  </si>
  <si>
    <t>https://drive.google.com/file/d/1N94mBZybamvv77f5cPxedgS-Bd7oedxh/view?usp=drivesdk</t>
  </si>
  <si>
    <t>ANGGUN MAULIDIA</t>
  </si>
  <si>
    <t>anggunmaulidiaa@gmail.com</t>
  </si>
  <si>
    <t>1520</t>
  </si>
  <si>
    <t>https://drive.google.com/file/d/1qWv4FcdLzcp9OTz3YC6Dd3mz5AlU10PR/view?usp=drivesdk</t>
  </si>
  <si>
    <t>1qWv4FcdLzcp9OTz3YC6Dd3mz5AlU10PR</t>
  </si>
  <si>
    <t>1FExKMMVtGAQNuXqE0nTKfDcWtFAm8_Yn</t>
  </si>
  <si>
    <t>https://drive.google.com/file/d/1FExKMMVtGAQNuXqE0nTKfDcWtFAm8_Yn/view?usp=drivesdk</t>
  </si>
  <si>
    <t>AMIRULSIDIQ, SE</t>
  </si>
  <si>
    <t>axelleherjuna@gmail.com</t>
  </si>
  <si>
    <t>1521</t>
  </si>
  <si>
    <t>https://drive.google.com/file/d/1tEVWPQ1IFd1lZgugsNEgIW7p0B7SGx3H/view?usp=drivesdk</t>
  </si>
  <si>
    <t>1tEVWPQ1IFd1lZgugsNEgIW7p0B7SGx3H</t>
  </si>
  <si>
    <t>1iCqnk7kCohbFNwUYTvzpEsyBLXB0Cyf3</t>
  </si>
  <si>
    <t>https://drive.google.com/file/d/1iCqnk7kCohbFNwUYTvzpEsyBLXB0Cyf3/view?usp=drivesdk</t>
  </si>
  <si>
    <t>EKO SUPRIADI, S.T.</t>
  </si>
  <si>
    <t>eko.pim4@gmail.com</t>
  </si>
  <si>
    <t>1522</t>
  </si>
  <si>
    <t>https://drive.google.com/file/d/1E3TOFnHZaIFONEstGvunGbNouh0USkeA/view?usp=drivesdk</t>
  </si>
  <si>
    <t>1E3TOFnHZaIFONEstGvunGbNouh0USkeA</t>
  </si>
  <si>
    <t>1STDIcmBl_mmopGSobncpZDS3T2YBzBP8</t>
  </si>
  <si>
    <t>https://drive.google.com/file/d/1STDIcmBl_mmopGSobncpZDS3T2YBzBP8/view?usp=drivesdk</t>
  </si>
  <si>
    <t>RENATA DEASYLIA HERPRATIWI, S.A.P.</t>
  </si>
  <si>
    <t>redeasylia1111@gmail.com</t>
  </si>
  <si>
    <t>1523</t>
  </si>
  <si>
    <t>Starting at Thu Aug 29 2024 21:01:40 GMT-0400 (EDT)</t>
  </si>
  <si>
    <t>1OkyvuXJM2xYgYOEyhdYk2iN9oadV1K3d</t>
  </si>
  <si>
    <t>https://drive.google.com/file/d/1OkyvuXJM2xYgYOEyhdYk2iN9oadV1K3d/view?usp=drivesdk</t>
  </si>
  <si>
    <t>SRI WAHYUNINGSIH,AMD.Kep</t>
  </si>
  <si>
    <t>wahyuningsihsri4899@gmail.com</t>
  </si>
  <si>
    <t>1524</t>
  </si>
  <si>
    <t>14yuJX4bjx6LGeae5puO4137Hu2v2Ttk7</t>
  </si>
  <si>
    <t>https://drive.google.com/file/d/14yuJX4bjx6LGeae5puO4137Hu2v2Ttk7/view?usp=drivesdk</t>
  </si>
  <si>
    <t>Document successfully created; Document successfully merged; PDF created; !!Error Sending Emails: Service invoked too many times for one day: email.; Manually run by ecertificate75@gmail.com; Timestamp: Aug 31 2024 12:27 AM</t>
  </si>
  <si>
    <t>ANTONIUS ARI WIBOWO</t>
  </si>
  <si>
    <t>indahcell730@gmail.com</t>
  </si>
  <si>
    <t>1525</t>
  </si>
  <si>
    <t>19GddTmCmXXw2RX1HQRQwvZqp18Io1-5H</t>
  </si>
  <si>
    <t>https://drive.google.com/file/d/19GddTmCmXXw2RX1HQRQwvZqp18Io1-5H/view?usp=drivesdk</t>
  </si>
  <si>
    <t>FETRI EDY SYAHPUTRA SIREGAR, S.IP</t>
  </si>
  <si>
    <t>eddysiregar77@gmail.com</t>
  </si>
  <si>
    <t>1526</t>
  </si>
  <si>
    <t>Starting at Thu Aug 29 2024 21:01:41 GMT-0400 (EDT)</t>
  </si>
  <si>
    <t>1zBcOllfH79gREfeq51U46cffUbO16kFl</t>
  </si>
  <si>
    <t>https://drive.google.com/file/d/1zBcOllfH79gREfeq51U46cffUbO16kFl/view?usp=drivesdk</t>
  </si>
  <si>
    <t>INDA PAJARINI, S.Kom</t>
  </si>
  <si>
    <t>indacute66@gmail.com</t>
  </si>
  <si>
    <t>1527</t>
  </si>
  <si>
    <t>1cenSnjlT9nZoo1aHo7uN9qQqY4shegec</t>
  </si>
  <si>
    <t>https://drive.google.com/file/d/1cenSnjlT9nZoo1aHo7uN9qQqY4shegec/view?usp=drivesdk</t>
  </si>
  <si>
    <t>Document successfully created; Document successfully merged; PDF created; !!Error Sending Emails: Service invoked too many times for one day: email.; Manually run by ecertificate75@gmail.com; Timestamp: Aug 31 2024 12:28 AM</t>
  </si>
  <si>
    <t>EKO BUDI YULISETIOWATI</t>
  </si>
  <si>
    <t>watitatik225@gmail.com</t>
  </si>
  <si>
    <t>1528</t>
  </si>
  <si>
    <t>https://drive.google.com/file/d/15XyaGrdGB7fgIT7stt9oZW8QnY0_K1Pt/view?usp=drivesdk</t>
  </si>
  <si>
    <t>15XyaGrdGB7fgIT7stt9oZW8QnY0_K1Pt</t>
  </si>
  <si>
    <t>1Gyg8ywQjK_P0nGG7hNgQ0vzmuIcb0jlC</t>
  </si>
  <si>
    <t>https://drive.google.com/file/d/1Gyg8ywQjK_P0nGG7hNgQ0vzmuIcb0jlC/view?usp=drivesdk</t>
  </si>
  <si>
    <t>MADA RIZKI TANTOWI JHONNATA</t>
  </si>
  <si>
    <t>madarizki619@gmail.com</t>
  </si>
  <si>
    <t>1529</t>
  </si>
  <si>
    <t>https://drive.google.com/file/d/1j-PmQZ6_EPTvKTB4VIOnyi2SyQQpxQsW/view?usp=drivesdk</t>
  </si>
  <si>
    <t>1j-PmQZ6_EPTvKTB4VIOnyi2SyQQpxQsW</t>
  </si>
  <si>
    <t>13NWLG1T9lMXS7TWFUee1owm2DatH_uyi</t>
  </si>
  <si>
    <t>https://drive.google.com/file/d/13NWLG1T9lMXS7TWFUee1owm2DatH_uyi/view?usp=drivesdk</t>
  </si>
  <si>
    <t xml:space="preserve">ADE IMAN WIWIN KURNIYA RACHMADHONI </t>
  </si>
  <si>
    <t>ade001987@gmail.com</t>
  </si>
  <si>
    <t>1530</t>
  </si>
  <si>
    <t>https://drive.google.com/file/d/1WK9mli7zxf9vGfYyH0f7cht9SgWgHj_s/view?usp=drivesdk</t>
  </si>
  <si>
    <t>1WK9mli7zxf9vGfYyH0f7cht9SgWgHj_s</t>
  </si>
  <si>
    <t>1Nlz73yAvKlh8C0DXOqklGZdTcfEwF2H0</t>
  </si>
  <si>
    <t>https://drive.google.com/file/d/1Nlz73yAvKlh8C0DXOqklGZdTcfEwF2H0/view?usp=drivesdk</t>
  </si>
  <si>
    <t>NOVITAEKASARI</t>
  </si>
  <si>
    <t>sarinovita36352@gmail.com</t>
  </si>
  <si>
    <t>1531</t>
  </si>
  <si>
    <t>https://drive.google.com/file/d/1V226XkISYQS631elHRp7aiX6RzrQHubk/view?usp=drivesdk</t>
  </si>
  <si>
    <t>1V226XkISYQS631elHRp7aiX6RzrQHubk</t>
  </si>
  <si>
    <t>1LumnEwANYpvxC5D5cQVlxFvME3MTCiaQ</t>
  </si>
  <si>
    <t>https://drive.google.com/file/d/1LumnEwANYpvxC5D5cQVlxFvME3MTCiaQ/view?usp=drivesdk</t>
  </si>
  <si>
    <t>EVA SAPRINA BR PERANGIN ANGIN, A. Md, S. Akun</t>
  </si>
  <si>
    <t>evasaprina75@gmail.com</t>
  </si>
  <si>
    <t>1532</t>
  </si>
  <si>
    <t>https://drive.google.com/file/d/1ev9r2GAzwjJq6s87VmNZzTzlVzzLOStc/view?usp=drivesdk</t>
  </si>
  <si>
    <t>1ev9r2GAzwjJq6s87VmNZzTzlVzzLOStc</t>
  </si>
  <si>
    <t>14uxgoM8oMJMXRcxXQt0GR7Lgxbc2K3It</t>
  </si>
  <si>
    <t>https://drive.google.com/file/d/14uxgoM8oMJMXRcxXQt0GR7Lgxbc2K3It/view?usp=drivesdk</t>
  </si>
  <si>
    <t>Document successfully created; Document successfully merged; PDF created; !!Error Sending Emails: Service invoked too many times for one day: email.; Manually run by ecertificate75@gmail.com; Timestamp: Aug 31 2024 12:29 AM</t>
  </si>
  <si>
    <t>DINDA NAWANGSARI</t>
  </si>
  <si>
    <t>dindanwngsr@gmail.com</t>
  </si>
  <si>
    <t>1533</t>
  </si>
  <si>
    <t>https://drive.google.com/file/d/1tBASsGz6sywvBgbsROnT43lql7eCXj1N/view?usp=drivesdk</t>
  </si>
  <si>
    <t>1tBASsGz6sywvBgbsROnT43lql7eCXj1N</t>
  </si>
  <si>
    <t>1Wj8nqGXOPwWgdI5kUD6yWEqKY0mkhNE5</t>
  </si>
  <si>
    <t>https://drive.google.com/file/d/1Wj8nqGXOPwWgdI5kUD6yWEqKY0mkhNE5/view?usp=drivesdk</t>
  </si>
  <si>
    <t>ROTUA BHARAMAFRIWATY SARAGIH</t>
  </si>
  <si>
    <t>bharama1977@gmail.com</t>
  </si>
  <si>
    <t>1534</t>
  </si>
  <si>
    <t>https://drive.google.com/file/d/1NvlESz-leSh6CH66SapgD_N29XuPWd_s/view?usp=drivesdk</t>
  </si>
  <si>
    <t>1NvlESz-leSh6CH66SapgD_N29XuPWd_s</t>
  </si>
  <si>
    <t>1ZUVOYcBr2UHWDHwCCUpe5LuZPR06VMS7</t>
  </si>
  <si>
    <t>https://drive.google.com/file/d/1ZUVOYcBr2UHWDHwCCUpe5LuZPR06VMS7/view?usp=drivesdk</t>
  </si>
  <si>
    <t>WIWIK INDARSIH</t>
  </si>
  <si>
    <t>wiwi567897@gmail.com</t>
  </si>
  <si>
    <t>1535</t>
  </si>
  <si>
    <t>Starting at Thu Aug 29 2024 21:01:49 GMT-0400 (EDT)</t>
  </si>
  <si>
    <t>1RlXk1fOC6CFOagzimrrsp-b5nf7Sj8n5</t>
  </si>
  <si>
    <t>https://drive.google.com/file/d/1RlXk1fOC6CFOagzimrrsp-b5nf7Sj8n5/view?usp=drivesdk</t>
  </si>
  <si>
    <t xml:space="preserve">PANDJI SUBAGIJO </t>
  </si>
  <si>
    <t>pandji.subagijo45@gmail.com</t>
  </si>
  <si>
    <t>1536</t>
  </si>
  <si>
    <t>1Jy_xHmxxXT8Oecicq-IjqTw2ufaL7mO7</t>
  </si>
  <si>
    <t>https://drive.google.com/file/d/1Jy_xHmxxXT8Oecicq-IjqTw2ufaL7mO7/view?usp=drivesdk</t>
  </si>
  <si>
    <t>HARLIS SYAH PUTRA</t>
  </si>
  <si>
    <t>harlis.sp@gmail.com</t>
  </si>
  <si>
    <t>1537</t>
  </si>
  <si>
    <t>1QfV23HH9zgOColBUm6fTf_yEaeYbMVOl</t>
  </si>
  <si>
    <t>https://drive.google.com/file/d/1QfV23HH9zgOColBUm6fTf_yEaeYbMVOl/view?usp=drivesdk</t>
  </si>
  <si>
    <t>TITIK INDARYATI</t>
  </si>
  <si>
    <t>indaryatititik72@gmail.com</t>
  </si>
  <si>
    <t>1538</t>
  </si>
  <si>
    <t>1Uv8C7rbArdtlJriRLWBsPUZpBT82uTf3</t>
  </si>
  <si>
    <t>https://drive.google.com/file/d/1Uv8C7rbArdtlJriRLWBsPUZpBT82uTf3/view?usp=drivesdk</t>
  </si>
  <si>
    <t>Document successfully created; Document successfully merged; PDF created; !!Error Sending Emails: Service invoked too many times for one day: email.; Manually run by ecertificate75@gmail.com; Timestamp: Aug 31 2024 12:30 AM</t>
  </si>
  <si>
    <t>TEGUH IRWAN SUNANDAR, A.MD., S.KOM</t>
  </si>
  <si>
    <t>andarsteam@gmail.com</t>
  </si>
  <si>
    <t>1539</t>
  </si>
  <si>
    <t>1Pzo2LQS9NSMhMIdKWbwsCt-gTKmVpbKx</t>
  </si>
  <si>
    <t>https://drive.google.com/file/d/1Pzo2LQS9NSMhMIdKWbwsCt-gTKmVpbKx/view?usp=drivesdk</t>
  </si>
  <si>
    <t>IWAN MARYANTO</t>
  </si>
  <si>
    <t>iwanmaryanto1980@gmail.com</t>
  </si>
  <si>
    <t>1540</t>
  </si>
  <si>
    <t>https://drive.google.com/file/d/12c2G5neHYgyzRwXP8yyIrGnhAyIpsbT_/view?usp=drivesdk</t>
  </si>
  <si>
    <t>12c2G5neHYgyzRwXP8yyIrGnhAyIpsbT_</t>
  </si>
  <si>
    <t>1G8uxW0LYKeMIdm4U9NqwZ1gAYLXabQvL</t>
  </si>
  <si>
    <t>https://drive.google.com/file/d/1G8uxW0LYKeMIdm4U9NqwZ1gAYLXabQvL/view?usp=drivesdk</t>
  </si>
  <si>
    <t>YOGA ADIE PRADANA, A.Md.Kep.</t>
  </si>
  <si>
    <t>yogapradana082@gmail.com</t>
  </si>
  <si>
    <t>1541</t>
  </si>
  <si>
    <t>https://drive.google.com/file/d/1X4XUo6Eyq235pjv0tehGvZc4Hwik53sj/view?usp=drivesdk</t>
  </si>
  <si>
    <t>1X4XUo6Eyq235pjv0tehGvZc4Hwik53sj</t>
  </si>
  <si>
    <t>1nQ7Yd4taLHPsng2g9UD51SqzwqIAc863</t>
  </si>
  <si>
    <t>https://drive.google.com/file/d/1nQ7Yd4taLHPsng2g9UD51SqzwqIAc863/view?usp=drivesdk</t>
  </si>
  <si>
    <t xml:space="preserve">NOVIE SULASTRI </t>
  </si>
  <si>
    <t>queenvhe84@gmail.com</t>
  </si>
  <si>
    <t>1542</t>
  </si>
  <si>
    <t>https://drive.google.com/file/d/1UN68peFhV-E37E2ea_TOUXq_kJPKFZj2/view?usp=drivesdk</t>
  </si>
  <si>
    <t>1UN68peFhV-E37E2ea_TOUXq_kJPKFZj2</t>
  </si>
  <si>
    <t>1U8YG6joJSDvxwUaApvYyFsR3pZqns0BH</t>
  </si>
  <si>
    <t>https://drive.google.com/file/d/1U8YG6joJSDvxwUaApvYyFsR3pZqns0BH/view?usp=drivesdk</t>
  </si>
  <si>
    <t>NUR SALMY AMD KEB</t>
  </si>
  <si>
    <t>nursalmy27@gmail.com</t>
  </si>
  <si>
    <t>1543</t>
  </si>
  <si>
    <t>Starting at Thu Aug 29 2024 21:01:54 GMT-0400 (EDT)</t>
  </si>
  <si>
    <t>1surn4YZmf0QSCtZGCtQQNmTsht5Fr5VX</t>
  </si>
  <si>
    <t>https://drive.google.com/file/d/1surn4YZmf0QSCtZGCtQQNmTsht5Fr5VX/view?usp=drivesdk</t>
  </si>
  <si>
    <t>Document successfully created; Document successfully merged; PDF created; !!Error Sending Emails: Service invoked too many times for one day: email.; Manually run by ecertificate75@gmail.com; Timestamp: Aug 31 2024 12:31 AM</t>
  </si>
  <si>
    <t>Ns. LESTARI HERMININGSIH.,S.Kep</t>
  </si>
  <si>
    <t>lestariherminingsih900@gmail.com</t>
  </si>
  <si>
    <t>1544</t>
  </si>
  <si>
    <t>1OdGMOYZA_z3Wipc_oxEDWjZd-w7HsweR</t>
  </si>
  <si>
    <t>https://drive.google.com/file/d/1OdGMOYZA_z3Wipc_oxEDWjZd-w7HsweR/view?usp=drivesdk</t>
  </si>
  <si>
    <t>WAWAN VIDY PRASETYO, S. Ak</t>
  </si>
  <si>
    <t>wawanvidy1@gmail.com</t>
  </si>
  <si>
    <t>1545</t>
  </si>
  <si>
    <t>https://drive.google.com/file/d/1L7g2v8S6M-lQKKLUm6VMA9EEZaR8Dg7c/view?usp=drivesdk</t>
  </si>
  <si>
    <t>1L7g2v8S6M-lQKKLUm6VMA9EEZaR8Dg7c</t>
  </si>
  <si>
    <t>1Z8WM8HrKJtpDwBi5LaNocoom6cOVQ06b</t>
  </si>
  <si>
    <t>https://drive.google.com/file/d/1Z8WM8HrKJtpDwBi5LaNocoom6cOVQ06b/view?usp=drivesdk</t>
  </si>
  <si>
    <t xml:space="preserve">DEDDY ISKANDAR </t>
  </si>
  <si>
    <t>deddyiskandar1706@gmail.com</t>
  </si>
  <si>
    <t>1546</t>
  </si>
  <si>
    <t>https://drive.google.com/file/d/1cDCriqXNJiMW5S9aZ-GKbVyG4ocL5cg3/view?usp=drivesdk</t>
  </si>
  <si>
    <t>1cDCriqXNJiMW5S9aZ-GKbVyG4ocL5cg3</t>
  </si>
  <si>
    <t>1f_ZzRJV2bOEeG2E0C-G_7hFkOsHnQLC8</t>
  </si>
  <si>
    <t>https://drive.google.com/file/d/1f_ZzRJV2bOEeG2E0C-G_7hFkOsHnQLC8/view?usp=drivesdk</t>
  </si>
  <si>
    <t>DIAN SRI HIDAYAH</t>
  </si>
  <si>
    <t>diansrihidayah87@gmail.com</t>
  </si>
  <si>
    <t>1547</t>
  </si>
  <si>
    <t>Starting at Thu Aug 29 2024 21:01:58 GMT-0400 (EDT)</t>
  </si>
  <si>
    <t>11ud2uaJ6U76a7WaY8QSDzMEygBi7kF4L</t>
  </si>
  <si>
    <t>https://drive.google.com/file/d/11ud2uaJ6U76a7WaY8QSDzMEygBi7kF4L/view?usp=drivesdk</t>
  </si>
  <si>
    <t>apt. OKTRIAN RIZKY ROSA, S.Farm</t>
  </si>
  <si>
    <t>nairtkorosa@gmail.com</t>
  </si>
  <si>
    <t>1548</t>
  </si>
  <si>
    <t>1ZVRKSlRYXi10L33tfyM_ofoeN-TtD84k</t>
  </si>
  <si>
    <t>https://drive.google.com/file/d/1ZVRKSlRYXi10L33tfyM_ofoeN-TtD84k/view?usp=drivesdk</t>
  </si>
  <si>
    <t>ERIKA ORIESA PAKPAHAN</t>
  </si>
  <si>
    <t>erikaoriesa@gmail.com</t>
  </si>
  <si>
    <t>1549</t>
  </si>
  <si>
    <t>14PwEx7kaktCZwoyN_IEbXP6ZpdYZmzcE</t>
  </si>
  <si>
    <t>https://drive.google.com/file/d/14PwEx7kaktCZwoyN_IEbXP6ZpdYZmzcE/view?usp=drivesdk</t>
  </si>
  <si>
    <t>DEWI MARITO TAMPUBOLON, AM.Keb</t>
  </si>
  <si>
    <t>dematampubolon@gmail.com</t>
  </si>
  <si>
    <t>1550</t>
  </si>
  <si>
    <t>1FsVegf6L15X1zCbyRjUlkuUtpcEvst_1</t>
  </si>
  <si>
    <t>https://drive.google.com/file/d/1FsVegf6L15X1zCbyRjUlkuUtpcEvst_1/view?usp=drivesdk</t>
  </si>
  <si>
    <t>ERNOWO PRASETYO Amk</t>
  </si>
  <si>
    <t>ynadhif@gmail.com</t>
  </si>
  <si>
    <t>1551</t>
  </si>
  <si>
    <t>1G2dBkEXJ6ikoKDkhiTqK8AznQDAun7QW</t>
  </si>
  <si>
    <t>https://drive.google.com/file/d/1G2dBkEXJ6ikoKDkhiTqK8AznQDAun7QW/view?usp=drivesdk</t>
  </si>
  <si>
    <t>Document successfully created; Document successfully merged; PDF created; !!Error Sending Emails: Service invoked too many times for one day: email.; Manually run by ecertificate75@gmail.com; Timestamp: Aug 31 2024 1:34 AM</t>
  </si>
  <si>
    <t>IIN DARYANTI, SE</t>
  </si>
  <si>
    <t>iin.daryanti26@gmail.com</t>
  </si>
  <si>
    <t>1552</t>
  </si>
  <si>
    <t>https://drive.google.com/file/d/1y11gp9sPC7pWj3dOJoKUu0yeiMiSj6mA/view?usp=drivesdk</t>
  </si>
  <si>
    <t>1y11gp9sPC7pWj3dOJoKUu0yeiMiSj6mA</t>
  </si>
  <si>
    <t>1uaqeedIT1oav20x7f1z0mfsfDemQq-4C</t>
  </si>
  <si>
    <t>https://drive.google.com/file/d/1uaqeedIT1oav20x7f1z0mfsfDemQq-4C/view?usp=drivesdk</t>
  </si>
  <si>
    <t>ANGGI DWI FAUZI, A.Md</t>
  </si>
  <si>
    <t>anggidf17@gmail.com</t>
  </si>
  <si>
    <t>1553</t>
  </si>
  <si>
    <t>https://drive.google.com/file/d/1GREzU7X_CV7pbTboxrW5tJtI8xzq0fHy/view?usp=drivesdk</t>
  </si>
  <si>
    <t>1GREzU7X_CV7pbTboxrW5tJtI8xzq0fHy</t>
  </si>
  <si>
    <t>1MPnGzOCC0_9hCk1gxSL8Ka2f5BvlkCBG</t>
  </si>
  <si>
    <t>https://drive.google.com/file/d/1MPnGzOCC0_9hCk1gxSL8Ka2f5BvlkCBG/view?usp=drivesdk</t>
  </si>
  <si>
    <t>MUFLIHATUL HUSNA, A.Md.Keb</t>
  </si>
  <si>
    <t>muflihatulhusna@gmail.com</t>
  </si>
  <si>
    <t>1554</t>
  </si>
  <si>
    <t>Starting at Thu Aug 29 2024 21:02:02 GMT-0400 (EDT)</t>
  </si>
  <si>
    <t>1QmlnE7YljfRhLJ9l1Q078T5Sqeo_T3pR</t>
  </si>
  <si>
    <t>https://drive.google.com/file/d/1QmlnE7YljfRhLJ9l1Q078T5Sqeo_T3pR/view?usp=drivesdk</t>
  </si>
  <si>
    <t xml:space="preserve">WIEWIEK YUNIARTI </t>
  </si>
  <si>
    <t>wiewiek.yuniarti@gmail.com</t>
  </si>
  <si>
    <t>1555</t>
  </si>
  <si>
    <t>196nvA_xDKVWR2sslWJMRTtg3q7mDPQm-</t>
  </si>
  <si>
    <t>https://drive.google.com/file/d/196nvA_xDKVWR2sslWJMRTtg3q7mDPQm-/view?usp=drivesdk</t>
  </si>
  <si>
    <t>PATWI ATMAYANI</t>
  </si>
  <si>
    <t>patwi.atmayani@gmail.com</t>
  </si>
  <si>
    <t>1556</t>
  </si>
  <si>
    <t>1EZ9JpTqx04I6wkieufx5UZW2UN1yZ8Gg</t>
  </si>
  <si>
    <t>https://drive.google.com/file/d/1EZ9JpTqx04I6wkieufx5UZW2UN1yZ8Gg/view?usp=drivesdk</t>
  </si>
  <si>
    <t xml:space="preserve">JUNI R SIMATUPANG </t>
  </si>
  <si>
    <t>junisimatupang94@gmail.com</t>
  </si>
  <si>
    <t>1557</t>
  </si>
  <si>
    <t>https://drive.google.com/file/d/1AliOa2tVz6ySN0OvWipjphzlYkYx5wb3/view?usp=drivesdk</t>
  </si>
  <si>
    <t>1AliOa2tVz6ySN0OvWipjphzlYkYx5wb3</t>
  </si>
  <si>
    <t>18yNc82wCa7ASS8Ee6V7ACgaojLztGIX2</t>
  </si>
  <si>
    <t>https://drive.google.com/file/d/18yNc82wCa7ASS8Ee6V7ACgaojLztGIX2/view?usp=drivesdk</t>
  </si>
  <si>
    <t>Document successfully created; Document successfully merged; PDF created; !!Error Sending Emails: Service invoked too many times for one day: email.; Manually run by ecertificate75@gmail.com; Timestamp: Aug 31 2024 1:35 AM</t>
  </si>
  <si>
    <t>ERNI SUHAENI, S.H., M.M</t>
  </si>
  <si>
    <t>ernisuhaeni1468@gmail.com</t>
  </si>
  <si>
    <t>1558</t>
  </si>
  <si>
    <t>https://drive.google.com/file/d/11pPkkADJ9V-CPvr1xOcRHMuwDbMbuGrP/view?usp=drivesdk</t>
  </si>
  <si>
    <t>11pPkkADJ9V-CPvr1xOcRHMuwDbMbuGrP</t>
  </si>
  <si>
    <t>17hA8B9RHF8_WKMvT0qkFA7Bzm-8SH3eV</t>
  </si>
  <si>
    <t>https://drive.google.com/file/d/17hA8B9RHF8_WKMvT0qkFA7Bzm-8SH3eV/view?usp=drivesdk</t>
  </si>
  <si>
    <t>DOSTI SIMANJUNTAK</t>
  </si>
  <si>
    <t>dosti.simanjuntak@gmail.com</t>
  </si>
  <si>
    <t>1559</t>
  </si>
  <si>
    <t>https://drive.google.com/file/d/1jwuqdr4c8Wd388fmEWFOt70KjzdCsCkP/view?usp=drivesdk</t>
  </si>
  <si>
    <t>1jwuqdr4c8Wd388fmEWFOt70KjzdCsCkP</t>
  </si>
  <si>
    <t>1Lu9JXKrB-zcNclVAikD1fNZXzvfj-Xj8</t>
  </si>
  <si>
    <t>https://drive.google.com/file/d/1Lu9JXKrB-zcNclVAikD1fNZXzvfj-Xj8/view?usp=drivesdk</t>
  </si>
  <si>
    <t>RICKA ALFIAN NINGSI, S.E.</t>
  </si>
  <si>
    <t>rikaaja00555@gmail.com</t>
  </si>
  <si>
    <t>1560</t>
  </si>
  <si>
    <t>Starting at Thu Aug 29 2024 21:02:07 GMT-0400 (EDT)</t>
  </si>
  <si>
    <t>1qPIHMBg45J0JggwUZkmtEsBSYxiWIkRo</t>
  </si>
  <si>
    <t>https://drive.google.com/file/d/1qPIHMBg45J0JggwUZkmtEsBSYxiWIkRo/view?usp=drivesdk</t>
  </si>
  <si>
    <t>YULIZAR AGUNG NUGROHO, S.P., M.M.</t>
  </si>
  <si>
    <t>yulizaragung@gmail.com</t>
  </si>
  <si>
    <t>1561</t>
  </si>
  <si>
    <t>1j9UPHdYvLuigobrDpOsk-9h5w5-NKI0d</t>
  </si>
  <si>
    <t>https://drive.google.com/file/d/1j9UPHdYvLuigobrDpOsk-9h5w5-NKI0d/view?usp=drivesdk</t>
  </si>
  <si>
    <t>NIKOMANGARIANTI</t>
  </si>
  <si>
    <t>komangari778@gmail.com</t>
  </si>
  <si>
    <t>1562</t>
  </si>
  <si>
    <t>1anFscE2UPj8xc8mHGXI6vRnOWzKB3WgU</t>
  </si>
  <si>
    <t>https://drive.google.com/file/d/1anFscE2UPj8xc8mHGXI6vRnOWzKB3WgU/view?usp=drivesdk</t>
  </si>
  <si>
    <t>Document successfully created; Document successfully merged; PDF created; !!Error Sending Emails: Service invoked too many times for one day: email.; Manually run by ecertificate75@gmail.com; Timestamp: Aug 31 2024 1:36 AM</t>
  </si>
  <si>
    <t>MILZAM DWI KIRANA SETIAJATI</t>
  </si>
  <si>
    <t>milzamdk@gmail.com</t>
  </si>
  <si>
    <t>1563</t>
  </si>
  <si>
    <t>1ZdskhjW9o_H8yR0VajPdd0M7LnMN9KF8</t>
  </si>
  <si>
    <t>https://drive.google.com/file/d/1ZdskhjW9o_H8yR0VajPdd0M7LnMN9KF8/view?usp=drivesdk</t>
  </si>
  <si>
    <t>SIUMSRIMULYATI</t>
  </si>
  <si>
    <t>smulyati68@gmail.com</t>
  </si>
  <si>
    <t>1564</t>
  </si>
  <si>
    <t>1DcJLpz3pFkJxhiJSl4bDgQOYdPsuGak0</t>
  </si>
  <si>
    <t>https://drive.google.com/file/d/1DcJLpz3pFkJxhiJSl4bDgQOYdPsuGak0/view?usp=drivesdk</t>
  </si>
  <si>
    <t>PUTRI ARGIANTI, AMD.KEB</t>
  </si>
  <si>
    <t>argiantiputri@gmail.com</t>
  </si>
  <si>
    <t>1565</t>
  </si>
  <si>
    <t>1tBlcUlvtJXKyoLiHS5azPVI8Hvr3b53d</t>
  </si>
  <si>
    <t>https://drive.google.com/file/d/1tBlcUlvtJXKyoLiHS5azPVI8Hvr3b53d/view?usp=drivesdk</t>
  </si>
  <si>
    <t xml:space="preserve">SULISTYOWATI </t>
  </si>
  <si>
    <t>karenditoabimanyu@gmail.com</t>
  </si>
  <si>
    <t>1566</t>
  </si>
  <si>
    <t>https://drive.google.com/file/d/1tWGt6sdtPtPgNfTiOogcLKggkWr-6G1z/view?usp=drivesdk</t>
  </si>
  <si>
    <t>1tWGt6sdtPtPgNfTiOogcLKggkWr-6G1z</t>
  </si>
  <si>
    <t>1JHRyFf7Dy-shU-aYAv-vuM_tsXv2-xIa</t>
  </si>
  <si>
    <t>https://drive.google.com/file/d/1JHRyFf7Dy-shU-aYAv-vuM_tsXv2-xIa/view?usp=drivesdk</t>
  </si>
  <si>
    <t>ERNA YULIATIN</t>
  </si>
  <si>
    <t>ernalita83@gmail.com</t>
  </si>
  <si>
    <t>1567</t>
  </si>
  <si>
    <t>Starting at Thu Aug 29 2024 21:02:11 GMT-0400 (EDT)</t>
  </si>
  <si>
    <t>1kdJ4QJ9dQ1ta9_yiDrGj1xS-jk-1lIku</t>
  </si>
  <si>
    <t>https://drive.google.com/file/d/1kdJ4QJ9dQ1ta9_yiDrGj1xS-jk-1lIku/view?usp=drivesdk</t>
  </si>
  <si>
    <t>Document successfully created; Document successfully merged; PDF created; !!Error Sending Emails: Service invoked too many times for one day: email.; Manually run by ecertificate75@gmail.com; Timestamp: Aug 31 2024 1:37 AM</t>
  </si>
  <si>
    <t>BAMBANG SUHERMANTO</t>
  </si>
  <si>
    <t>bambangsuhermanto1973@gmail.com</t>
  </si>
  <si>
    <t>1568</t>
  </si>
  <si>
    <t>Starting at Thu Aug 29 2024 21:02:15 GMT-0400 (EDT)</t>
  </si>
  <si>
    <t>1NnclJWjd3NXQYsPwUcc0ITbRqjRDXEsE</t>
  </si>
  <si>
    <t>https://drive.google.com/file/d/1NnclJWjd3NXQYsPwUcc0ITbRqjRDXEsE/view?usp=drivesdk</t>
  </si>
  <si>
    <t>PATUAN NATORAS SUANGKUPON NASUTION, S.T.</t>
  </si>
  <si>
    <t>pastuan74@gmail.com</t>
  </si>
  <si>
    <t>1569</t>
  </si>
  <si>
    <t>1sYOkjCQv0R_BCOA_JZGPLV2Lxxjk5pHy</t>
  </si>
  <si>
    <t>https://drive.google.com/file/d/1sYOkjCQv0R_BCOA_JZGPLV2Lxxjk5pHy/view?usp=drivesdk</t>
  </si>
  <si>
    <t>ERIKE FERLIYANI</t>
  </si>
  <si>
    <t>erikeferliyani12@gmail.com</t>
  </si>
  <si>
    <t>1570</t>
  </si>
  <si>
    <t>1tmZFwnid93O0I354iG3JLQKHR8lqv-PZ</t>
  </si>
  <si>
    <t>https://drive.google.com/file/d/1tmZFwnid93O0I354iG3JLQKHR8lqv-PZ/view?usp=drivesdk</t>
  </si>
  <si>
    <t>Document successfully created; Document successfully merged; PDF created; !!Error Sending Emails: Service invoked too many times for one day: email.; Manually run by ecertificate75@gmail.com; Timestamp: Aug 31 2024 1:54 AM</t>
  </si>
  <si>
    <t>MUHAMAD SOBARI.S.AG</t>
  </si>
  <si>
    <t>sobariagus25@gmail.com</t>
  </si>
  <si>
    <t>1571</t>
  </si>
  <si>
    <t>Starting at Thu Aug 29 2024 21:02:19 GMT-0400 (EDT)</t>
  </si>
  <si>
    <t>1i5naHdiACX_XRATHyFvgkCWgVIc4Mikq</t>
  </si>
  <si>
    <t>https://drive.google.com/file/d/1i5naHdiACX_XRATHyFvgkCWgVIc4Mikq/view?usp=drivesdk</t>
  </si>
  <si>
    <t>SRI WINDIA HIDAYAT</t>
  </si>
  <si>
    <t>sriwindiasusanti2577@gmail.com</t>
  </si>
  <si>
    <t>1572</t>
  </si>
  <si>
    <t>10iZlurYwbWMd7oB3Uh7u-oB-RGrB-719</t>
  </si>
  <si>
    <t>https://drive.google.com/file/d/10iZlurYwbWMd7oB3Uh7u-oB-RGrB-719/view?usp=drivesdk</t>
  </si>
  <si>
    <t>NETTY SIAGIAN, S.SOS.</t>
  </si>
  <si>
    <t>akhsindjarot@gmail.com</t>
  </si>
  <si>
    <t>1573</t>
  </si>
  <si>
    <t>1wtn_OeczsyoP8VCmxu6HDZZ5rop7t8LW</t>
  </si>
  <si>
    <t>https://drive.google.com/file/d/1wtn_OeczsyoP8VCmxu6HDZZ5rop7t8LW/view?usp=drivesdk</t>
  </si>
  <si>
    <t>Document successfully created; Document successfully merged; PDF created; !!Error Sending Emails: Service invoked too many times for one day: email.; Manually run by ecertificate75@gmail.com; Timestamp: Aug 31 2024 1:55 AM</t>
  </si>
  <si>
    <t>YULI CAHYANINGSIH, A.Md.Kep</t>
  </si>
  <si>
    <t>yulicahyaningsih474@gmail.com</t>
  </si>
  <si>
    <t>1574</t>
  </si>
  <si>
    <t>1reWItnwkib_rvOTmpnrsK9S78o2fPaG6</t>
  </si>
  <si>
    <t>https://drive.google.com/file/d/1reWItnwkib_rvOTmpnrsK9S78o2fPaG6/view?usp=drivesdk</t>
  </si>
  <si>
    <t>RINI NOVIATI, S.E.</t>
  </si>
  <si>
    <t>rini.novi73@gmail.com</t>
  </si>
  <si>
    <t>1575</t>
  </si>
  <si>
    <t>1G7O1owto-xLwHLXEnRdetziXEdADtvmq</t>
  </si>
  <si>
    <t>https://drive.google.com/file/d/1G7O1owto-xLwHLXEnRdetziXEdADtvmq/view?usp=drivesdk</t>
  </si>
  <si>
    <t xml:space="preserve">FATKHUROHMAN, S. E. </t>
  </si>
  <si>
    <t>faturohnan1976@gmail.com</t>
  </si>
  <si>
    <t>1576</t>
  </si>
  <si>
    <t>1B5TvDVki3Mm2tfkzeJUimZRVTrYYFIN4</t>
  </si>
  <si>
    <t>https://drive.google.com/file/d/1B5TvDVki3Mm2tfkzeJUimZRVTrYYFIN4/view?usp=drivesdk</t>
  </si>
  <si>
    <t>GRETI NIRMANINDJATI</t>
  </si>
  <si>
    <t>gretinirmaningdjati@gmail.com</t>
  </si>
  <si>
    <t>1577</t>
  </si>
  <si>
    <t>1cSxmVSowdQud5_LpyfcPJQTPVfZNzBkU</t>
  </si>
  <si>
    <t>https://drive.google.com/file/d/1cSxmVSowdQud5_LpyfcPJQTPVfZNzBkU/view?usp=drivesdk</t>
  </si>
  <si>
    <t>AZRA WINANDA PUTRA, S.Kom.</t>
  </si>
  <si>
    <t>azragenshin1@gmail.com</t>
  </si>
  <si>
    <t>1578</t>
  </si>
  <si>
    <t>1GRP5zAc1pm3itISYr3-8-QKD6pomRMM6</t>
  </si>
  <si>
    <t>https://drive.google.com/file/d/1GRP5zAc1pm3itISYr3-8-QKD6pomRMM6/view?usp=drivesdk</t>
  </si>
  <si>
    <t>TOFAN SETIAWAN</t>
  </si>
  <si>
    <t>tofan.fari@gmail.com</t>
  </si>
  <si>
    <t>1579</t>
  </si>
  <si>
    <t>Starting at Thu Aug 29 2024 21:02:20 GMT-0400 (EDT)</t>
  </si>
  <si>
    <t>1Luwi5Mvdsnac4PIHdbsCBwMSJ3Nt93H_</t>
  </si>
  <si>
    <t>https://drive.google.com/file/d/1Luwi5Mvdsnac4PIHdbsCBwMSJ3Nt93H_/view?usp=drivesdk</t>
  </si>
  <si>
    <t>Document successfully created; Document successfully merged; PDF created; !!Error Sending Emails: Service invoked too many times for one day: email.; Manually run by ecertificate75@gmail.com; Timestamp: Aug 31 2024 1:56 AM</t>
  </si>
  <si>
    <t>NOVITA ROSE MARISI PARDEDE</t>
  </si>
  <si>
    <t>novitarosemp@gmail.com</t>
  </si>
  <si>
    <t>1580</t>
  </si>
  <si>
    <t>1pHCF44fujfusQ7ABfx8IU62bn_ZfK3cH</t>
  </si>
  <si>
    <t>https://drive.google.com/file/d/1pHCF44fujfusQ7ABfx8IU62bn_ZfK3cH/view?usp=drivesdk</t>
  </si>
  <si>
    <t>RULLY SAPUTRA, A.Md.Kep.</t>
  </si>
  <si>
    <t>rully494@gmail.com</t>
  </si>
  <si>
    <t>1581</t>
  </si>
  <si>
    <t>Starting at Thu Aug 29 2024 21:02:22 GMT-0400 (EDT)</t>
  </si>
  <si>
    <t>1FeXGasPAD3ifwVqTTAZqwRWt9q5X_rYb</t>
  </si>
  <si>
    <t>https://drive.google.com/file/d/1FeXGasPAD3ifwVqTTAZqwRWt9q5X_rYb/view?usp=drivesdk</t>
  </si>
  <si>
    <t>NUNUNG MARTANTI</t>
  </si>
  <si>
    <t>nunungmartanti67@gmail.com</t>
  </si>
  <si>
    <t>1582</t>
  </si>
  <si>
    <t>1KU1yBliJpZwStGzP1kV18BkaBvsVkrDr</t>
  </si>
  <si>
    <t>https://drive.google.com/file/d/1KU1yBliJpZwStGzP1kV18BkaBvsVkrDr/view?usp=drivesdk</t>
  </si>
  <si>
    <t xml:space="preserve">GALIH AFRIANTO, S.E. </t>
  </si>
  <si>
    <t>galih.afri@gmail.com</t>
  </si>
  <si>
    <t>1583</t>
  </si>
  <si>
    <t>1BSpQoD7QGIrCDt49HlsPVDZf0mS9t2fp</t>
  </si>
  <si>
    <t>https://drive.google.com/file/d/1BSpQoD7QGIrCDt49HlsPVDZf0mS9t2fp/view?usp=drivesdk</t>
  </si>
  <si>
    <t>JOKO PURWANTO</t>
  </si>
  <si>
    <t>jokorijal77@gmail.com</t>
  </si>
  <si>
    <t>1584</t>
  </si>
  <si>
    <t>Starting at Thu Aug 29 2024 21:02:30 GMT-0400 (EDT)</t>
  </si>
  <si>
    <t>1ZOtcTGRzhzD6yv4c7D50bM7S5i8PREUp</t>
  </si>
  <si>
    <t>https://drive.google.com/file/d/1ZOtcTGRzhzD6yv4c7D50bM7S5i8PREUp/view?usp=drivesdk</t>
  </si>
  <si>
    <t>SUGIYONO SI DOKKES</t>
  </si>
  <si>
    <t>sukarjosragen@gmail.com</t>
  </si>
  <si>
    <t>1585</t>
  </si>
  <si>
    <t>1GQxKxOecjZ08ouZVNlv4i5sj3xXFF620</t>
  </si>
  <si>
    <t>https://drive.google.com/file/d/1GQxKxOecjZ08ouZVNlv4i5sj3xXFF620/view?usp=drivesdk</t>
  </si>
  <si>
    <t>Document successfully created; Document successfully merged; PDF created; !!Error Sending Emails: Service invoked too many times for one day: email.; Manually run by ecertificate75@gmail.com; Timestamp: Aug 31 2024 1:57 AM</t>
  </si>
  <si>
    <t>PENGATUR I SUMARSONO</t>
  </si>
  <si>
    <t>sumarsonopnspolresnganjuk@gmail.com</t>
  </si>
  <si>
    <t>1586</t>
  </si>
  <si>
    <t>1spUWK5qgvTWDZD1euUWeXdHzSaRv4MD1</t>
  </si>
  <si>
    <t>https://drive.google.com/file/d/1spUWK5qgvTWDZD1euUWeXdHzSaRv4MD1/view?usp=drivesdk</t>
  </si>
  <si>
    <t>DRA. YANI DEWI YANI</t>
  </si>
  <si>
    <t>Yaniarifin09@gmail.com</t>
  </si>
  <si>
    <t>1587</t>
  </si>
  <si>
    <t>Starting at Thu Aug 29 2024 21:02:36 GMT-0400 (EDT)</t>
  </si>
  <si>
    <t>1FwTyPs7kmnwbLSktcqSA1My5eXY1dlAR</t>
  </si>
  <si>
    <t>https://drive.google.com/file/d/1FwTyPs7kmnwbLSktcqSA1My5eXY1dlAR/view?usp=drivesdk</t>
  </si>
  <si>
    <t>FLORIDA SIMANGUNSONG</t>
  </si>
  <si>
    <t>flosmsg@gmail.com</t>
  </si>
  <si>
    <t>1588</t>
  </si>
  <si>
    <t>1WECNkNWQeJGxHz41SzUTAt5DLEByCtL1</t>
  </si>
  <si>
    <t>https://drive.google.com/file/d/1WECNkNWQeJGxHz41SzUTAt5DLEByCtL1/view?usp=drivesdk</t>
  </si>
  <si>
    <t>IIS PUSPASARI, S.Kep</t>
  </si>
  <si>
    <t>iispuspasari27@gmail.com</t>
  </si>
  <si>
    <t>1589</t>
  </si>
  <si>
    <t>1d7o85zBacS9Z1JXzk8NT22HOVDtGdOz3</t>
  </si>
  <si>
    <t>https://drive.google.com/file/d/1d7o85zBacS9Z1JXzk8NT22HOVDtGdOz3/view?usp=drivesdk</t>
  </si>
  <si>
    <t>PENATA TK I HASTUTI, S.SOS</t>
  </si>
  <si>
    <t>hastuti.baim@gmail.com</t>
  </si>
  <si>
    <t>1590</t>
  </si>
  <si>
    <t>1lSwdQjVjEmGHjfeP5ZHYZHxsKYU10vMz</t>
  </si>
  <si>
    <t>https://drive.google.com/file/d/1lSwdQjVjEmGHjfeP5ZHYZHxsKYU10vMz/view?usp=drivesdk</t>
  </si>
  <si>
    <t>SRI PANGESTUTI</t>
  </si>
  <si>
    <t>sripnestuti1968@gmail.com</t>
  </si>
  <si>
    <t>1591</t>
  </si>
  <si>
    <t>1qJTS1e0LYxhm-4SDm20hkNlRyN_-u4bi</t>
  </si>
  <si>
    <t>https://drive.google.com/file/d/1qJTS1e0LYxhm-4SDm20hkNlRyN_-u4bi/view?usp=drivesdk</t>
  </si>
  <si>
    <t>Document successfully created; Document successfully merged; PDF created; !!Error Sending Emails: Service invoked too many times for one day: email.; Manually run by ecertificate75@gmail.com; Timestamp: Aug 31 2024 1:58 AM</t>
  </si>
  <si>
    <t>DR. EMMA AGESTINA</t>
  </si>
  <si>
    <t>emma.silitonga@gmail.com</t>
  </si>
  <si>
    <t>1592</t>
  </si>
  <si>
    <t>14Mw52qnGaSJ7_NoepEhrLOjYssPoxayj</t>
  </si>
  <si>
    <t>https://drive.google.com/file/d/14Mw52qnGaSJ7_NoepEhrLOjYssPoxayj/view?usp=drivesdk</t>
  </si>
  <si>
    <t>GUSTI AYU MADE RATNI,S.Pd.H</t>
  </si>
  <si>
    <t>ayuratni24@gmail.com</t>
  </si>
  <si>
    <t>1593</t>
  </si>
  <si>
    <t>1v_CkrYOjOvtB2_7e9kPIJ8Ivc3T6VS53</t>
  </si>
  <si>
    <t>https://drive.google.com/file/d/1v_CkrYOjOvtB2_7e9kPIJ8Ivc3T6VS53/view?usp=drivesdk</t>
  </si>
  <si>
    <t>ERNANI YUNINGSIH A.Md Kep</t>
  </si>
  <si>
    <t>ernani_y@yahoo.com</t>
  </si>
  <si>
    <t>1594</t>
  </si>
  <si>
    <t>1RQGvbYGpyYh-SmC5UO9ju4vlIarKvHcc</t>
  </si>
  <si>
    <t>https://drive.google.com/file/d/1RQGvbYGpyYh-SmC5UO9ju4vlIarKvHcc/view?usp=drivesdk</t>
  </si>
  <si>
    <t>YUDI HIDAYAT A.Md</t>
  </si>
  <si>
    <t>yayatyudi1978@gmail.com</t>
  </si>
  <si>
    <t>1595</t>
  </si>
  <si>
    <t>1x4g1Sy_BaIborISFgZ3VIsD1dHbplBhA</t>
  </si>
  <si>
    <t>https://drive.google.com/file/d/1x4g1Sy_BaIborISFgZ3VIsD1dHbplBhA/view?usp=drivesdk</t>
  </si>
  <si>
    <t>SUNY FAHREZA, S.E.</t>
  </si>
  <si>
    <t>rezameipahlevi86@gmail.com</t>
  </si>
  <si>
    <t>1596</t>
  </si>
  <si>
    <t>1k0L3Tyd40ClGQFlArxZRc2xNN_qOy1nU</t>
  </si>
  <si>
    <t>https://drive.google.com/file/d/1k0L3Tyd40ClGQFlArxZRc2xNN_qOy1nU/view?usp=drivesdk</t>
  </si>
  <si>
    <t>Document successfully created; Document successfully merged; PDF created; !!Error Sending Emails: Service invoked too many times for one day: email.; Manually run by ecertificate75@gmail.com; Timestamp: Aug 31 2024 1:59 AM</t>
  </si>
  <si>
    <t>HARIS MULYADI SIHOMBING, S.Sos, ST, M. Si</t>
  </si>
  <si>
    <t>mulyadiharis82@yahoo.co.id</t>
  </si>
  <si>
    <t>1597</t>
  </si>
  <si>
    <t>1qY_6mRv4hHuKJpT9vBwCdTw-oyQrZ0t8</t>
  </si>
  <si>
    <t>https://drive.google.com/file/d/1qY_6mRv4hHuKJpT9vBwCdTw-oyQrZ0t8/view?usp=drivesdk</t>
  </si>
  <si>
    <t>WULANDARI PUSPASARI, SH</t>
  </si>
  <si>
    <t>wulandaritaufani83@gmail.com</t>
  </si>
  <si>
    <t>1598</t>
  </si>
  <si>
    <t>1fdOMpXhCet738GfB47vyvd12PRTYUJHF</t>
  </si>
  <si>
    <t>https://drive.google.com/file/d/1fdOMpXhCet738GfB47vyvd12PRTYUJHF/view?usp=drivesdk</t>
  </si>
  <si>
    <t>ZENAL MUSTOPA, SPD.</t>
  </si>
  <si>
    <t>zenal.mstp@gmail.com</t>
  </si>
  <si>
    <t>1599</t>
  </si>
  <si>
    <t>1p8QyNDt8-ii-xVzoLuUtJ6QoQqaVb2qT</t>
  </si>
  <si>
    <t>https://drive.google.com/file/d/1p8QyNDt8-ii-xVzoLuUtJ6QoQqaVb2qT/view?usp=drivesdk</t>
  </si>
  <si>
    <t>NUNUNGIMRAATI</t>
  </si>
  <si>
    <t>nununggenul@gmail.com</t>
  </si>
  <si>
    <t>1600</t>
  </si>
  <si>
    <t>https://drive.google.com/file/d/19O1-M7W3SXe9kf179CRBCdX784Cr5tyF/view?usp=drivesdk</t>
  </si>
  <si>
    <t>19O1-M7W3SXe9kf179CRBCdX784Cr5tyF</t>
  </si>
  <si>
    <t>1qEkJInT9Tw6u9qHYjLTfvIIq_LxRFmVn</t>
  </si>
  <si>
    <t>https://drive.google.com/file/d/1qEkJInT9Tw6u9qHYjLTfvIIq_LxRFmVn/view?usp=drivesdk</t>
  </si>
  <si>
    <t>Document successfully created; Document successfully merged; PDF created; !!Error Sending Emails: Service invoked too many times for one day: email.; Manually run by ecertificate75@gmail.com; Timestamp: Aug 31 2024 2:00 AM</t>
  </si>
  <si>
    <t>RANTO TODING ALLO, S.T.</t>
  </si>
  <si>
    <t>rta25061993@gmail.com</t>
  </si>
  <si>
    <t>1601</t>
  </si>
  <si>
    <t>Starting at Thu Aug 29 2024 21:02:38 GMT-0400 (EDT)</t>
  </si>
  <si>
    <t>1pdzsjnREfI7MsZZq7gidPqJzcOrQPg07</t>
  </si>
  <si>
    <t>https://drive.google.com/file/d/1pdzsjnREfI7MsZZq7gidPqJzcOrQPg07/view?usp=drivesdk</t>
  </si>
  <si>
    <t>DEDI RUSWANDI</t>
  </si>
  <si>
    <t>dediruswandi5271@gmail.com</t>
  </si>
  <si>
    <t>1602</t>
  </si>
  <si>
    <t>1RfltJ2vOPYVm1labEEB2gXdL4yyx6IqT</t>
  </si>
  <si>
    <t>https://drive.google.com/file/d/1RfltJ2vOPYVm1labEEB2gXdL4yyx6IqT/view?usp=drivesdk</t>
  </si>
  <si>
    <t xml:space="preserve">AINUN DHIYA'A NABILLAH, AMD.KOM </t>
  </si>
  <si>
    <t>ainunbila184@gmail.com</t>
  </si>
  <si>
    <t>1603</t>
  </si>
  <si>
    <t>1c6OuwOD1gSdcDWFm9Cf5961AkKTvA77C</t>
  </si>
  <si>
    <t>https://drive.google.com/file/d/1c6OuwOD1gSdcDWFm9Cf5961AkKTvA77C/view?usp=drivesdk</t>
  </si>
  <si>
    <t>NOVIANTI ASKAR</t>
  </si>
  <si>
    <t>likaptk169@gmail.com</t>
  </si>
  <si>
    <t>1604</t>
  </si>
  <si>
    <t>https://drive.google.com/file/d/1VAPOwAjSGTReSbzODI-sUsCcYQFpj3qR/view?usp=drivesdk</t>
  </si>
  <si>
    <t>1VAPOwAjSGTReSbzODI-sUsCcYQFpj3qR</t>
  </si>
  <si>
    <t>1iBNMWm2itAbYWzwANQZzFjGCi15hR8kK</t>
  </si>
  <si>
    <t>https://drive.google.com/file/d/1iBNMWm2itAbYWzwANQZzFjGCi15hR8kK/view?usp=drivesdk</t>
  </si>
  <si>
    <t>MEYDIE FERDINAND KUKUS, S.M.</t>
  </si>
  <si>
    <t>meydiekukus@gmail.com</t>
  </si>
  <si>
    <t>1605</t>
  </si>
  <si>
    <t>https://drive.google.com/file/d/1w0Un2Pif4K8X3AwjPQQhpA1uRJox2wRr/view?usp=drivesdk</t>
  </si>
  <si>
    <t>1w0Un2Pif4K8X3AwjPQQhpA1uRJox2wRr</t>
  </si>
  <si>
    <t>1X5SO7Uv9Pinf4YxczeWcO1FjDwV0fovX</t>
  </si>
  <si>
    <t>https://drive.google.com/file/d/1X5SO7Uv9Pinf4YxczeWcO1FjDwV0fovX/view?usp=drivesdk</t>
  </si>
  <si>
    <t>SITI ASMIYATI</t>
  </si>
  <si>
    <t>Siti.asmiyati@gmail.com</t>
  </si>
  <si>
    <t>1606</t>
  </si>
  <si>
    <t>https://drive.google.com/file/d/10Lq9F4Ac9n8RMj7iSCSglDPef6R-MkwS/view?usp=drivesdk</t>
  </si>
  <si>
    <t>10Lq9F4Ac9n8RMj7iSCSglDPef6R-MkwS</t>
  </si>
  <si>
    <t>1ZHzNZEQlOnJFBjuhgVX91dgJYqLBfOyD</t>
  </si>
  <si>
    <t>https://drive.google.com/file/d/1ZHzNZEQlOnJFBjuhgVX91dgJYqLBfOyD/view?usp=drivesdk</t>
  </si>
  <si>
    <t>IRAWAN SULISTYO</t>
  </si>
  <si>
    <t>irawannn@rocketmail.com</t>
  </si>
  <si>
    <t>1607</t>
  </si>
  <si>
    <t>https://drive.google.com/file/d/1c1jagKKUqicGeN1b3gtCXFlf3YJwJrYD/view?usp=drivesdk</t>
  </si>
  <si>
    <t>1c1jagKKUqicGeN1b3gtCXFlf3YJwJrYD</t>
  </si>
  <si>
    <t>1AglrqXTpRQ7INqnpquXOXBO9itauMfbV</t>
  </si>
  <si>
    <t>https://drive.google.com/file/d/1AglrqXTpRQ7INqnpquXOXBO9itauMfbV/view?usp=drivesdk</t>
  </si>
  <si>
    <t>Document successfully created; Document successfully merged; PDF created; !!Error Sending Emails: Service invoked too many times for one day: email.; Manually run by ecertificate75@gmail.com; Timestamp: Aug 31 2024 2:01 AM</t>
  </si>
  <si>
    <t>NAHRIAH MARJUKI</t>
  </si>
  <si>
    <t>nahriah.renmin@gmail.com</t>
  </si>
  <si>
    <t>1608</t>
  </si>
  <si>
    <t>https://drive.google.com/file/d/1zA0-bUrqbZrgv1FzzmizOKJHK6eHhvie/view?usp=drivesdk</t>
  </si>
  <si>
    <t>1zA0-bUrqbZrgv1FzzmizOKJHK6eHhvie</t>
  </si>
  <si>
    <t>1nTH0QRKzVLRF5nVfPdN84YLe4KK3rDr8</t>
  </si>
  <si>
    <t>https://drive.google.com/file/d/1nTH0QRKzVLRF5nVfPdN84YLe4KK3rDr8/view?usp=drivesdk</t>
  </si>
  <si>
    <t>TRIONAL SITUMEANG</t>
  </si>
  <si>
    <t>ronalsimatupang20523@gmail.com</t>
  </si>
  <si>
    <t>1609</t>
  </si>
  <si>
    <t>https://drive.google.com/file/d/1EPttYQFRRqCMwiDUZHlDV5VvhL8vGUHJ/view?usp=drivesdk</t>
  </si>
  <si>
    <t>1EPttYQFRRqCMwiDUZHlDV5VvhL8vGUHJ</t>
  </si>
  <si>
    <t>1ca3faWZZVxf9bvTwPTTFlxMBXHKeubCX</t>
  </si>
  <si>
    <t>https://drive.google.com/file/d/1ca3faWZZVxf9bvTwPTTFlxMBXHKeubCX/view?usp=drivesdk</t>
  </si>
  <si>
    <t>EDY SUDARMANTO</t>
  </si>
  <si>
    <t>sudarmantoedy7@gmail.com</t>
  </si>
  <si>
    <t>1610</t>
  </si>
  <si>
    <t>https://drive.google.com/file/d/11Xnfur9r8NwCr3c0z2MKkNq7O_RHCQZs/view?usp=drivesdk</t>
  </si>
  <si>
    <t>11Xnfur9r8NwCr3c0z2MKkNq7O_RHCQZs</t>
  </si>
  <si>
    <t>1CEdlZ25wxRJZxVUK6c10rfOm3R_kP40f</t>
  </si>
  <si>
    <t>https://drive.google.com/file/d/1CEdlZ25wxRJZxVUK6c10rfOm3R_kP40f/view?usp=drivesdk</t>
  </si>
  <si>
    <t>RENI NOFIARNI, S. Sos</t>
  </si>
  <si>
    <t>nofiarnir@gmail.com</t>
  </si>
  <si>
    <t>1611</t>
  </si>
  <si>
    <t>https://drive.google.com/file/d/1EJdJTocPNvTe8uIrfZBnrp8ULVtKtuXd/view?usp=drivesdk</t>
  </si>
  <si>
    <t>1EJdJTocPNvTe8uIrfZBnrp8ULVtKtuXd</t>
  </si>
  <si>
    <t>1JSxEa9VZaib0gmdGaxQRV0HrtcpMkBGL</t>
  </si>
  <si>
    <t>https://drive.google.com/file/d/1JSxEa9VZaib0gmdGaxQRV0HrtcpMkBGL/view?usp=drivesdk</t>
  </si>
  <si>
    <t>ZASTRA WIRAHATI</t>
  </si>
  <si>
    <t>zastrawirahati@gmail.com</t>
  </si>
  <si>
    <t>1612</t>
  </si>
  <si>
    <t>https://drive.google.com/file/d/1-kPj6k_N1ad-Mxo4SXJURrb5hCkJLGuF/view?usp=drivesdk</t>
  </si>
  <si>
    <t>1-kPj6k_N1ad-Mxo4SXJURrb5hCkJLGuF</t>
  </si>
  <si>
    <t>16LkRFwDFdwaaQbktV0Yzk30FjWSSiLGU</t>
  </si>
  <si>
    <t>https://drive.google.com/file/d/16LkRFwDFdwaaQbktV0Yzk30FjWSSiLGU/view?usp=drivesdk</t>
  </si>
  <si>
    <t xml:space="preserve">R TITIS SUDIRO WIDJAJA </t>
  </si>
  <si>
    <t>tswijaya74@gmail.com</t>
  </si>
  <si>
    <t>1613</t>
  </si>
  <si>
    <t>https://drive.google.com/file/d/1CTzNi1UPl-AvzRjuNQ8Cq5Sab6un0gok/view?usp=drivesdk</t>
  </si>
  <si>
    <t>1CTzNi1UPl-AvzRjuNQ8Cq5Sab6un0gok</t>
  </si>
  <si>
    <t>1UadW12f5qu4QYjVPtSSaYx0RqSsdE4Uj</t>
  </si>
  <si>
    <t>https://drive.google.com/file/d/1UadW12f5qu4QYjVPtSSaYx0RqSsdE4Uj/view?usp=drivesdk</t>
  </si>
  <si>
    <t>Document successfully created; Document successfully merged; PDF created; !!Error Sending Emails: Service invoked too many times for one day: email.; Manually run by ecertificate75@gmail.com; Timestamp: Aug 31 2024 2:02 AM</t>
  </si>
  <si>
    <t>FEBRIYANTI.TAMPUBOLON</t>
  </si>
  <si>
    <t>zionathan110422@gmail.com</t>
  </si>
  <si>
    <t>1614</t>
  </si>
  <si>
    <t>https://drive.google.com/file/d/16Z2K0SllPd0QF8KRLCwuwSYBjViIEfqy/view?usp=drivesdk</t>
  </si>
  <si>
    <t>16Z2K0SllPd0QF8KRLCwuwSYBjViIEfqy</t>
  </si>
  <si>
    <t>1sxdl5XKPFoAyncOscfJDdMvflVsDQnuI</t>
  </si>
  <si>
    <t>https://drive.google.com/file/d/1sxdl5XKPFoAyncOscfJDdMvflVsDQnuI/view?usp=drivesdk</t>
  </si>
  <si>
    <t xml:space="preserve">SRI SIS PURWANTI </t>
  </si>
  <si>
    <t>ciepurwanti@gmail.com</t>
  </si>
  <si>
    <t>1615</t>
  </si>
  <si>
    <t>https://drive.google.com/file/d/1PQs4s-2JWAmMzO3zlQn0ufq2bYAYA2gW/view?usp=drivesdk</t>
  </si>
  <si>
    <t>1PQs4s-2JWAmMzO3zlQn0ufq2bYAYA2gW</t>
  </si>
  <si>
    <t>1xf4u6UEA538iKkdYXauXmimyWTRbTjC7</t>
  </si>
  <si>
    <t>https://drive.google.com/file/d/1xf4u6UEA538iKkdYXauXmimyWTRbTjC7/view?usp=drivesdk</t>
  </si>
  <si>
    <t>HADI WACHYUDI</t>
  </si>
  <si>
    <t>hdwhydi@gmail.com</t>
  </si>
  <si>
    <t>1616</t>
  </si>
  <si>
    <t>https://drive.google.com/file/d/1z0SDUYAboO7zpyjX1EKzml_gLuA_1nAU/view?usp=drivesdk</t>
  </si>
  <si>
    <t>1z0SDUYAboO7zpyjX1EKzml_gLuA_1nAU</t>
  </si>
  <si>
    <t>1w0D5G9m1-TVGyaUyP_adyCU_0Y7tnw7d</t>
  </si>
  <si>
    <t>https://drive.google.com/file/d/1w0D5G9m1-TVGyaUyP_adyCU_0Y7tnw7d/view?usp=drivesdk</t>
  </si>
  <si>
    <t>BAMBANG PRASETIONO</t>
  </si>
  <si>
    <t>bambangprasetiono73@gmail.com</t>
  </si>
  <si>
    <t>1617</t>
  </si>
  <si>
    <t>https://drive.google.com/file/d/16F8-gsF4Cw8DLOCHMyjWhHB0wooK6Y7Q/view?usp=drivesdk</t>
  </si>
  <si>
    <t>16F8-gsF4Cw8DLOCHMyjWhHB0wooK6Y7Q</t>
  </si>
  <si>
    <t>1Exas0mc5jLBhz-lakgUVW7x_6yjq6xY5</t>
  </si>
  <si>
    <t>https://drive.google.com/file/d/1Exas0mc5jLBhz-lakgUVW7x_6yjq6xY5/view?usp=drivesdk</t>
  </si>
  <si>
    <t>ASTA KUSUMANINGRUM</t>
  </si>
  <si>
    <t>astakususmaningrum79@gmail.com</t>
  </si>
  <si>
    <t>1618</t>
  </si>
  <si>
    <t>https://drive.google.com/file/d/1njFlT47NdSbJvtwDgb4te8KzrTjxWPIE/view?usp=drivesdk</t>
  </si>
  <si>
    <t>1njFlT47NdSbJvtwDgb4te8KzrTjxWPIE</t>
  </si>
  <si>
    <t>1P5eUHE1Vq1jbGtGXOD3rFdAPhefsVmGe</t>
  </si>
  <si>
    <t>https://drive.google.com/file/d/1P5eUHE1Vq1jbGtGXOD3rFdAPhefsVmGe/view?usp=drivesdk</t>
  </si>
  <si>
    <t>SRI ARINI INDIYAH,AMD.KEP</t>
  </si>
  <si>
    <t>indiyahsriarini@gmail.com</t>
  </si>
  <si>
    <t>1619</t>
  </si>
  <si>
    <t>https://drive.google.com/file/d/1Pz49QtywYQKFNJoKAji8R-Y0gDTQUxDH/view?usp=drivesdk</t>
  </si>
  <si>
    <t>1Pz49QtywYQKFNJoKAji8R-Y0gDTQUxDH</t>
  </si>
  <si>
    <t>135MtSk8lYjEZ9hrVuNw4UCsnJS1e08LF</t>
  </si>
  <si>
    <t>https://drive.google.com/file/d/135MtSk8lYjEZ9hrVuNw4UCsnJS1e08LF/view?usp=drivesdk</t>
  </si>
  <si>
    <t>Document successfully created; Document successfully merged; PDF created; !!Error Sending Emails: Service invoked too many times for one day: email.; Manually run by ecertificate75@gmail.com; Timestamp: Aug 31 2024 2:03 AM</t>
  </si>
  <si>
    <t>SITI NURLAELIYAH, A.Md.</t>
  </si>
  <si>
    <t>liasnlkl73@gmail.com</t>
  </si>
  <si>
    <t>1620</t>
  </si>
  <si>
    <t>https://drive.google.com/file/d/1LWejys6-VevmA4vqQuNv-2OU10wg9pj1/view?usp=drivesdk</t>
  </si>
  <si>
    <t>1LWejys6-VevmA4vqQuNv-2OU10wg9pj1</t>
  </si>
  <si>
    <t>1uDMGqKfZK668HRx25EPGuYt2_d6ElJ1G</t>
  </si>
  <si>
    <t>https://drive.google.com/file/d/1uDMGqKfZK668HRx25EPGuYt2_d6ElJ1G/view?usp=drivesdk</t>
  </si>
  <si>
    <t>MUHAMMAD ROZALI, M.Pd</t>
  </si>
  <si>
    <t>mrozali1002@gmail.com</t>
  </si>
  <si>
    <t>1621</t>
  </si>
  <si>
    <t>https://drive.google.com/file/d/1dnE5dNiolFkUvFVJnQCBwoxRdHOUNfYd/view?usp=drivesdk</t>
  </si>
  <si>
    <t>1dnE5dNiolFkUvFVJnQCBwoxRdHOUNfYd</t>
  </si>
  <si>
    <t>1Md_eXQnciRc-uw5LtZe8ZfXrl9Kwh1ET</t>
  </si>
  <si>
    <t>https://drive.google.com/file/d/1Md_eXQnciRc-uw5LtZe8ZfXrl9Kwh1ET/view?usp=drivesdk</t>
  </si>
  <si>
    <t>WIWIN TUMIRA WALIULU. S.Kep</t>
  </si>
  <si>
    <t>winda220300@gmail.com</t>
  </si>
  <si>
    <t>1622</t>
  </si>
  <si>
    <t>https://drive.google.com/file/d/1oUcNKhz7HOeHRCVn6eL91m9z4ez02yo9/view?usp=drivesdk</t>
  </si>
  <si>
    <t>1oUcNKhz7HOeHRCVn6eL91m9z4ez02yo9</t>
  </si>
  <si>
    <t>1FXNr6AoyhFqL82e6Fe_eZl8GmVa6_ORd</t>
  </si>
  <si>
    <t>https://drive.google.com/file/d/1FXNr6AoyhFqL82e6Fe_eZl8GmVa6_ORd/view?usp=drivesdk</t>
  </si>
  <si>
    <t>QUENZI ALFMY PATTISELANNO</t>
  </si>
  <si>
    <t>alfmyquen@gmail.com</t>
  </si>
  <si>
    <t>1623</t>
  </si>
  <si>
    <t>Starting at Thu Aug 29 2024 21:02:55 GMT-0400 (EDT)</t>
  </si>
  <si>
    <t>1u02jGJhhTJ2tTkeqTW1kUuX9Vub6eLBa</t>
  </si>
  <si>
    <t>https://drive.google.com/file/d/1u02jGJhhTJ2tTkeqTW1kUuX9Vub6eLBa/view?usp=drivesdk</t>
  </si>
  <si>
    <t xml:space="preserve">apt. HARI ZULFAHNUR RIZAN </t>
  </si>
  <si>
    <t>harizrizan@gmail.com</t>
  </si>
  <si>
    <t>1624</t>
  </si>
  <si>
    <t>https://drive.google.com/file/d/15m-g3Yvp2I2Bb7PYjWUz1-iPK60YqbCg/view?usp=drivesdk</t>
  </si>
  <si>
    <t>15m-g3Yvp2I2Bb7PYjWUz1-iPK60YqbCg</t>
  </si>
  <si>
    <t>1skLXkKKgCGDFuMYhyFSx619EKdg5pka9</t>
  </si>
  <si>
    <t>https://drive.google.com/file/d/1skLXkKKgCGDFuMYhyFSx619EKdg5pka9/view?usp=drivesdk</t>
  </si>
  <si>
    <t>RISKA WIDIASTUTI, S.E.</t>
  </si>
  <si>
    <t>riska.w84@gmail.com</t>
  </si>
  <si>
    <t>1625</t>
  </si>
  <si>
    <t>https://drive.google.com/file/d/1pIfQPSgWnBfnGDQf_uK_jz2W0x2iN8-k/view?usp=drivesdk</t>
  </si>
  <si>
    <t>1pIfQPSgWnBfnGDQf_uK_jz2W0x2iN8-k</t>
  </si>
  <si>
    <t>1-Z_ppvSqIF4z_ict1Xb5KrGSIbLEXs_S</t>
  </si>
  <si>
    <t>https://drive.google.com/file/d/1-Z_ppvSqIF4z_ict1Xb5KrGSIbLEXs_S/view?usp=drivesdk</t>
  </si>
  <si>
    <t>DIAN WIDYASARI, S.E.</t>
  </si>
  <si>
    <t>dianwidy13@gmail.com</t>
  </si>
  <si>
    <t>1626</t>
  </si>
  <si>
    <t>https://drive.google.com/file/d/1DUDZ8UV0YesnhdXcRUKBbrML6Q87LIgo/view?usp=drivesdk</t>
  </si>
  <si>
    <t>1DUDZ8UV0YesnhdXcRUKBbrML6Q87LIgo</t>
  </si>
  <si>
    <t>1IB7jNy3-5BgCC_XlCsp0XMwoXVe8yD3k</t>
  </si>
  <si>
    <t>https://drive.google.com/file/d/1IB7jNy3-5BgCC_XlCsp0XMwoXVe8yD3k/view?usp=drivesdk</t>
  </si>
  <si>
    <t>MEGAWATI KRISTINA PASARIBU</t>
  </si>
  <si>
    <t>megapasaribu1972@gmail.com</t>
  </si>
  <si>
    <t>1627</t>
  </si>
  <si>
    <t>https://drive.google.com/file/d/1CSIoqZjUxugWaT_wQhd9LWWFYZ1PvFme/view?usp=drivesdk</t>
  </si>
  <si>
    <t>1CSIoqZjUxugWaT_wQhd9LWWFYZ1PvFme</t>
  </si>
  <si>
    <t>10Y4E7GXzD1XAFxTLyOWbLRPRGRNBNc4T</t>
  </si>
  <si>
    <t>https://drive.google.com/file/d/10Y4E7GXzD1XAFxTLyOWbLRPRGRNBNc4T/view?usp=drivesdk</t>
  </si>
  <si>
    <t>HANESTA FEBRINA AQUARINA, SSI</t>
  </si>
  <si>
    <t>nesta_aqua@yahoo.com</t>
  </si>
  <si>
    <t>1628</t>
  </si>
  <si>
    <t>https://drive.google.com/file/d/1uzkRIR_pV6eE2vRWj0n3Adi5_FfL_EgN/view?usp=drivesdk</t>
  </si>
  <si>
    <t>1uzkRIR_pV6eE2vRWj0n3Adi5_FfL_EgN</t>
  </si>
  <si>
    <t>1uULFJvwePK5L_1y-Kz9OHCEcQcdvsLbm</t>
  </si>
  <si>
    <t>https://drive.google.com/file/d/1uULFJvwePK5L_1y-Kz9OHCEcQcdvsLbm/view?usp=drivesdk</t>
  </si>
  <si>
    <t>I WAYAN SUARA ASMARA</t>
  </si>
  <si>
    <t>wayansuarasuara@gmail.com</t>
  </si>
  <si>
    <t>1629</t>
  </si>
  <si>
    <t>Starting at Thu Aug 29 2024 21:03:01 GMT-0400 (EDT)</t>
  </si>
  <si>
    <t>1jL5RTQ_8jKqVxxBK0AQ_QUr65VoasLaW</t>
  </si>
  <si>
    <t>https://drive.google.com/file/d/1jL5RTQ_8jKqVxxBK0AQ_QUr65VoasLaW/view?usp=drivesdk</t>
  </si>
  <si>
    <t>SUKAISI SUKAISI,S.H.</t>
  </si>
  <si>
    <t>keasy.2014@gmail.com</t>
  </si>
  <si>
    <t>1630</t>
  </si>
  <si>
    <t>https://drive.google.com/file/d/1BYuwsR4fotmj3ygVWwITb45AWJrdQ4Ze/view?usp=drivesdk</t>
  </si>
  <si>
    <t>1BYuwsR4fotmj3ygVWwITb45AWJrdQ4Ze</t>
  </si>
  <si>
    <t>1w2SexuDGjdHNiZGEJMdjsJLxW_ZQObn3</t>
  </si>
  <si>
    <t>https://drive.google.com/file/d/1w2SexuDGjdHNiZGEJMdjsJLxW_ZQObn3/view?usp=drivesdk</t>
  </si>
  <si>
    <t>POLDA SUMSEL</t>
  </si>
  <si>
    <t>DEWI MAULINASARI. AF</t>
  </si>
  <si>
    <t>dewibagas2727@gmail.com</t>
  </si>
  <si>
    <t>1631</t>
  </si>
  <si>
    <t>https://drive.google.com/file/d/1wf5QvaLEm9QVy54RSiLIs_ocMnWBy9Jy/view?usp=drivesdk</t>
  </si>
  <si>
    <t>1wf5QvaLEm9QVy54RSiLIs_ocMnWBy9Jy</t>
  </si>
  <si>
    <t>1K9A9URY6eHsE2IKww38sVJ2S-W0a-f5Y</t>
  </si>
  <si>
    <t>https://drive.google.com/file/d/1K9A9URY6eHsE2IKww38sVJ2S-W0a-f5Y/view?usp=drivesdk</t>
  </si>
  <si>
    <t xml:space="preserve">JOKO ZADDIADI </t>
  </si>
  <si>
    <t>jokozadiadisim@gmail.com</t>
  </si>
  <si>
    <t>1632</t>
  </si>
  <si>
    <t>https://drive.google.com/file/d/1cKWHFHFzKx6Bcnq7FQvoLit3pWIFesvr/view?usp=drivesdk</t>
  </si>
  <si>
    <t>1cKWHFHFzKx6Bcnq7FQvoLit3pWIFesvr</t>
  </si>
  <si>
    <t>1n0Kv7Q9xe9jPJyQqKjp_4wdwAjtUkuDp</t>
  </si>
  <si>
    <t>https://drive.google.com/file/d/1n0Kv7Q9xe9jPJyQqKjp_4wdwAjtUkuDp/view?usp=drivesdk</t>
  </si>
  <si>
    <t>Apt. FATIMAH S HI LA HASAN, S.Farm</t>
  </si>
  <si>
    <t>lahasanfatimah@gmail.com</t>
  </si>
  <si>
    <t>1633</t>
  </si>
  <si>
    <t>https://drive.google.com/file/d/1Jmg9V9YRGZR_o9V6I2-fg1xO9DtdV_jA/view?usp=drivesdk</t>
  </si>
  <si>
    <t>1Jmg9V9YRGZR_o9V6I2-fg1xO9DtdV_jA</t>
  </si>
  <si>
    <t>1KoIu_b_7jNASvN96RXUNjuvrL5b6rSpk</t>
  </si>
  <si>
    <t>https://drive.google.com/file/d/1KoIu_b_7jNASvN96RXUNjuvrL5b6rSpk/view?usp=drivesdk</t>
  </si>
  <si>
    <t>SYARIFAH DESSY ALKADRIE, AMD</t>
  </si>
  <si>
    <t>dessyalqadrie@gmail.com</t>
  </si>
  <si>
    <t>1634</t>
  </si>
  <si>
    <t>https://drive.google.com/file/d/1w8r0APmuT9mphKRFNCRW9zLNCOBHTjSp/view?usp=drivesdk</t>
  </si>
  <si>
    <t>1w8r0APmuT9mphKRFNCRW9zLNCOBHTjSp</t>
  </si>
  <si>
    <t>1YLVef8IyppDW8NcYF6IKHPv5LDh57Tzn</t>
  </si>
  <si>
    <t>https://drive.google.com/file/d/1YLVef8IyppDW8NcYF6IKHPv5LDh57Tzn/view?usp=drivesdk</t>
  </si>
  <si>
    <t>Document successfully created; Document successfully merged; PDF created; !!Error Sending Emails: Service invoked too many times for one day: email.; Run via form trigger as ecertificate75@gmail.com; Timestamp: Aug 31 2024 12:30 AM</t>
  </si>
  <si>
    <t>RANTY PATMADORI,SE</t>
  </si>
  <si>
    <t>rpatmadori@gmail.com</t>
  </si>
  <si>
    <t>1635</t>
  </si>
  <si>
    <t>Starting at Thu Aug 29 2024 21:03:07 GMT-0400 (EDT)</t>
  </si>
  <si>
    <t>1smVELzWRG7MLa3wfBa5O_QET9bJQckw0</t>
  </si>
  <si>
    <t>https://drive.google.com/file/d/1smVELzWRG7MLa3wfBa5O_QET9bJQckw0/view?usp=drivesdk</t>
  </si>
  <si>
    <t>RISTAULI SIANTURI</t>
  </si>
  <si>
    <t>sianturirista999@gmail.com</t>
  </si>
  <si>
    <t>1636</t>
  </si>
  <si>
    <t>1HY-50bR_BbRe-Ljlq00KvmJLajHTiUh3</t>
  </si>
  <si>
    <t>https://drive.google.com/file/d/1HY-50bR_BbRe-Ljlq00KvmJLajHTiUh3/view?usp=drivesdk</t>
  </si>
  <si>
    <t>AGUS SARJITO, A.Md.</t>
  </si>
  <si>
    <t>agussrjt@gmail.com</t>
  </si>
  <si>
    <t>1637</t>
  </si>
  <si>
    <t>1NFnqDZvihel1V-F9fXq8une_tHVUMFjB</t>
  </si>
  <si>
    <t>https://drive.google.com/file/d/1NFnqDZvihel1V-F9fXq8une_tHVUMFjB/view?usp=drivesdk</t>
  </si>
  <si>
    <t>I GUSTI BAGUS NGURAH KRISHNADINATHA</t>
  </si>
  <si>
    <t>ngurahkrishna092@gmail.com</t>
  </si>
  <si>
    <t>1638</t>
  </si>
  <si>
    <t>https://drive.google.com/file/d/1lIhwNEkG-WQHjWIDCeonNOqona68aZTO/view?usp=drivesdk</t>
  </si>
  <si>
    <t>1lIhwNEkG-WQHjWIDCeonNOqona68aZTO</t>
  </si>
  <si>
    <t>1Xe9SV5yM4l1Ps-0hl20vUwtxrlibl_Kq</t>
  </si>
  <si>
    <t>https://drive.google.com/file/d/1Xe9SV5yM4l1Ps-0hl20vUwtxrlibl_Kq/view?usp=drivesdk</t>
  </si>
  <si>
    <t>PUSVARIKA SEPTERIANI, S.Si., M.M.</t>
  </si>
  <si>
    <t>pusvarika.septeriani@gmail.com</t>
  </si>
  <si>
    <t>1639</t>
  </si>
  <si>
    <t>https://drive.google.com/file/d/1U0nrpTiwhzPDoHWeyuyfQix2atshFukJ/view?usp=drivesdk</t>
  </si>
  <si>
    <t>1U0nrpTiwhzPDoHWeyuyfQix2atshFukJ</t>
  </si>
  <si>
    <t>1LWLeLjPfp4XEBhM4vkLCK5pE7cXC3IfQ</t>
  </si>
  <si>
    <t>https://drive.google.com/file/d/1LWLeLjPfp4XEBhM4vkLCK5pE7cXC3IfQ/view?usp=drivesdk</t>
  </si>
  <si>
    <t>Document successfully created; Document successfully merged; PDF created; !!Error Sending Emails: Service invoked too many times for one day: email.; Run via form trigger as ecertificate75@gmail.com; Timestamp: Aug 31 2024 12:31 AM</t>
  </si>
  <si>
    <t>IDA BAGUS MADE WEDA ARSA, A.MD.AK</t>
  </si>
  <si>
    <t>gusweda4254@gmail.com</t>
  </si>
  <si>
    <t>1640</t>
  </si>
  <si>
    <t>https://drive.google.com/file/d/1HjYOvKQ-zLCvIw4mw-BR8FWsjNbI_jky/view?usp=drivesdk</t>
  </si>
  <si>
    <t>1HjYOvKQ-zLCvIw4mw-BR8FWsjNbI_jky</t>
  </si>
  <si>
    <t>1YvMxPq3FI-CrGhwtpu4jCx4WWO5xbzB8</t>
  </si>
  <si>
    <t>https://drive.google.com/file/d/1YvMxPq3FI-CrGhwtpu4jCx4WWO5xbzB8/view?usp=drivesdk</t>
  </si>
  <si>
    <t>NYAYU MONANDA METHA, Am.Kep</t>
  </si>
  <si>
    <t>nyayumonandhametha@yahoo.com</t>
  </si>
  <si>
    <t>1641</t>
  </si>
  <si>
    <t>https://drive.google.com/file/d/1uT6DVGJ7YBm5wADSPQKzgR6udyfQgcGB/view?usp=drivesdk</t>
  </si>
  <si>
    <t>Document successfully created; Document successfully merged; PDF created; !!Error Sending Emails: Service invoked too many times for one day: email.; Run via form trigger as ecertificate75@gmail.com; Timestamp: Aug 29 2024 9:05 PM</t>
  </si>
  <si>
    <t>1uT6DVGJ7YBm5wADSPQKzgR6udyfQgcGB</t>
  </si>
  <si>
    <t>1vYK5AV91e-D-9hNEyCJjaVRL21Ut36S5</t>
  </si>
  <si>
    <t>https://drive.google.com/file/d/1vYK5AV91e-D-9hNEyCJjaVRL21Ut36S5/view?usp=drivesdk</t>
  </si>
  <si>
    <t>MUHAMMAD ZEN SH</t>
  </si>
  <si>
    <t>mhd.zeinmedan@gmail.com</t>
  </si>
  <si>
    <t>1642</t>
  </si>
  <si>
    <t>https://drive.google.com/file/d/1576RCwwHCJSSEloRTDRFkvorn73awEJx/view?usp=drivesdk</t>
  </si>
  <si>
    <t>1576RCwwHCJSSEloRTDRFkvorn73awEJx</t>
  </si>
  <si>
    <t>19wmYMjJ23EJAzpTnVov6-qJCadA2LVwC</t>
  </si>
  <si>
    <t>https://drive.google.com/file/d/19wmYMjJ23EJAzpTnVov6-qJCadA2LVwC/view?usp=drivesdk</t>
  </si>
  <si>
    <t>LUH PUTU SEPTIANDARI</t>
  </si>
  <si>
    <t>emikochan3514@gmail.com</t>
  </si>
  <si>
    <t>1643</t>
  </si>
  <si>
    <t>https://drive.google.com/file/d/1Wzg2OaOA2ERnbwlC1KzYECgSxVrKtFag/view?usp=drivesdk</t>
  </si>
  <si>
    <t>1Wzg2OaOA2ERnbwlC1KzYECgSxVrKtFag</t>
  </si>
  <si>
    <t>1mlCPQnexDU8IaWqHw8lrB4tdua_4gPHD</t>
  </si>
  <si>
    <t>https://drive.google.com/file/d/1mlCPQnexDU8IaWqHw8lrB4tdua_4gPHD/view?usp=drivesdk</t>
  </si>
  <si>
    <t>LISMAWATY SARAGIH, SH</t>
  </si>
  <si>
    <t>saragihlisma110@gmail.com</t>
  </si>
  <si>
    <t>1644</t>
  </si>
  <si>
    <t>https://drive.google.com/file/d/10W8upAzoJs-vcPsIhEONzgOyizXUxIkb/view?usp=drivesdk</t>
  </si>
  <si>
    <t>10W8upAzoJs-vcPsIhEONzgOyizXUxIkb</t>
  </si>
  <si>
    <t>1YF3ltRChy_i5Dl-pGedpn5EFvlczKc2F</t>
  </si>
  <si>
    <t>https://drive.google.com/file/d/1YF3ltRChy_i5Dl-pGedpn5EFvlczKc2F/view?usp=drivesdk</t>
  </si>
  <si>
    <t>Document successfully created; Document successfully merged; PDF created; !!Error Sending Emails: Service invoked too many times for one day: email.; Run via form trigger as ecertificate75@gmail.com; Timestamp: Aug 31 2024 12:32 AM</t>
  </si>
  <si>
    <t>MARGARETHA LIESTYORINI,S.T., M.M.</t>
  </si>
  <si>
    <t>margarethaliestyorini@gmail.com</t>
  </si>
  <si>
    <t>1645</t>
  </si>
  <si>
    <t>https://drive.google.com/file/d/1AYyaErRe9lJQd2dKQDWWF3MDgHUqKYYF/view?usp=drivesdk</t>
  </si>
  <si>
    <t>Document successfully created; Document successfully merged; PDF created; !!Error Sending Emails: Service invoked too many times for one day: email.; Run via form trigger as ecertificate75@gmail.com; Timestamp: Aug 29 2024 9:04 PM</t>
  </si>
  <si>
    <t>1AYyaErRe9lJQd2dKQDWWF3MDgHUqKYYF</t>
  </si>
  <si>
    <t>1HnjNbdu4SinRusxX_x8AnjRx5TZNyqae</t>
  </si>
  <si>
    <t>https://drive.google.com/file/d/1HnjNbdu4SinRusxX_x8AnjRx5TZNyqae/view?usp=drivesdk</t>
  </si>
  <si>
    <t xml:space="preserve">MIEKE KILMANUN </t>
  </si>
  <si>
    <t>mieke.kilmanun@gmail.com</t>
  </si>
  <si>
    <t>1646</t>
  </si>
  <si>
    <t>https://drive.google.com/file/d/1o4Nq1wzHalkdFK52GGhUGaRRItIlrJU9/view?usp=drivesdk</t>
  </si>
  <si>
    <t>1o4Nq1wzHalkdFK52GGhUGaRRItIlrJU9</t>
  </si>
  <si>
    <t>19cwX5_h2lEf5Qs02FmzBU01yYGB0Kzww</t>
  </si>
  <si>
    <t>https://drive.google.com/file/d/19cwX5_h2lEf5Qs02FmzBU01yYGB0Kzww/view?usp=drivesdk</t>
  </si>
  <si>
    <t>ADRIANI ZUBAIDAH M. KAMAL</t>
  </si>
  <si>
    <t>adrianikamal@gmail.com</t>
  </si>
  <si>
    <t>1647</t>
  </si>
  <si>
    <t>https://drive.google.com/file/d/1dPQwULSgyAzc78jRUJohDWKz68rzV0Cr/view?usp=drivesdk</t>
  </si>
  <si>
    <t>1dPQwULSgyAzc78jRUJohDWKz68rzV0Cr</t>
  </si>
  <si>
    <t>1TRWfpfPCPAsiFSgNddPWIlRpwn4I1LbI</t>
  </si>
  <si>
    <t>https://drive.google.com/file/d/1TRWfpfPCPAsiFSgNddPWIlRpwn4I1LbI/view?usp=drivesdk</t>
  </si>
  <si>
    <t>RINO SETIYADI,S.E.</t>
  </si>
  <si>
    <t>rinosetiyadi90@gmail.com</t>
  </si>
  <si>
    <t>1648</t>
  </si>
  <si>
    <t>https://drive.google.com/file/d/1eU9PRrlyi_Gp6qF_kCbyK1ijRC90Sh9Q/view?usp=drivesdk</t>
  </si>
  <si>
    <t>1eU9PRrlyi_Gp6qF_kCbyK1ijRC90Sh9Q</t>
  </si>
  <si>
    <t>1lGokWPJVeMXUQZsgfhzF6XAABp9o5zsm</t>
  </si>
  <si>
    <t>https://drive.google.com/file/d/1lGokWPJVeMXUQZsgfhzF6XAABp9o5zsm/view?usp=drivesdk</t>
  </si>
  <si>
    <t>Document successfully created; Document successfully merged; PDF created; !!Error Sending Emails: Service invoked too many times for one day: email.; Run via form trigger as ecertificate75@gmail.com; Timestamp: Aug 31 2024 12:33 AM</t>
  </si>
  <si>
    <t>MUHAMMAD IRWAN WAHYUDI</t>
  </si>
  <si>
    <t>mirwan19690625@gmail.com</t>
  </si>
  <si>
    <t>1649</t>
  </si>
  <si>
    <t>https://drive.google.com/file/d/1PpYkM0nA_CQt20TaVMzNTU41gyCnVAaZ/view?usp=drivesdk</t>
  </si>
  <si>
    <t>1PpYkM0nA_CQt20TaVMzNTU41gyCnVAaZ</t>
  </si>
  <si>
    <t>1wOy2WT5D8RFMfpcUXFwNoTL_3sQyoEGQ</t>
  </si>
  <si>
    <t>https://drive.google.com/file/d/1wOy2WT5D8RFMfpcUXFwNoTL_3sQyoEGQ/view?usp=drivesdk</t>
  </si>
  <si>
    <t>Document successfully created; Document successfully merged; PDF created; !!Error Sending Emails: Service invoked too many times for one day: email.; Run via form trigger as ecertificate75@gmail.com; Timestamp: Aug 31 2024 1:14 AM</t>
  </si>
  <si>
    <t>BAMBANG EDI PURWANTO</t>
  </si>
  <si>
    <t>b.edi.purwanto@gmail.com</t>
  </si>
  <si>
    <t>1650</t>
  </si>
  <si>
    <t>https://drive.google.com/file/d/1cU6h6GSMOfz8AVYbGna0oMNt5yDTGEpp/view?usp=drivesdk</t>
  </si>
  <si>
    <t>1cU6h6GSMOfz8AVYbGna0oMNt5yDTGEpp</t>
  </si>
  <si>
    <t>1mSuNECvalTS6hf2aLAGKPP665Ln-nNt6</t>
  </si>
  <si>
    <t>https://drive.google.com/file/d/1mSuNECvalTS6hf2aLAGKPP665Ln-nNt6/view?usp=drivesdk</t>
  </si>
  <si>
    <t>Document successfully created; Document successfully merged; PDF created; !!Error Sending Emails: Service invoked too many times for one day: email.; Run via form trigger as ecertificate75@gmail.com; Timestamp: Aug 31 2024 1:15 AM</t>
  </si>
  <si>
    <t>DRG RETNO AMBARSARI, M.K.M</t>
  </si>
  <si>
    <t>wrongmed@yahoo.com</t>
  </si>
  <si>
    <t>1651</t>
  </si>
  <si>
    <t>Starting at Thu Aug 29 2024 21:03:22 GMT-0400 (EDT)</t>
  </si>
  <si>
    <t>1JthhKf86UnNudYhtLqra3cE5QaDib6FV</t>
  </si>
  <si>
    <t>https://drive.google.com/file/d/1JthhKf86UnNudYhtLqra3cE5QaDib6FV/view?usp=drivesdk</t>
  </si>
  <si>
    <t>N NANI N NANI NANI</t>
  </si>
  <si>
    <t>nanireskuningan@gmail.com</t>
  </si>
  <si>
    <t>1652</t>
  </si>
  <si>
    <t>1MRdyNMUFwWlzagu8m-7tbsjgmA51if_M</t>
  </si>
  <si>
    <t>https://drive.google.com/file/d/1MRdyNMUFwWlzagu8m-7tbsjgmA51if_M/view?usp=drivesdk</t>
  </si>
  <si>
    <t>SITI KHOWIYAH</t>
  </si>
  <si>
    <t>sitikhowiyah@gmail.com</t>
  </si>
  <si>
    <t>1653</t>
  </si>
  <si>
    <t>1xoejlEj263Zb0OlVyURIG5Vz69vvYD4d</t>
  </si>
  <si>
    <t>https://drive.google.com/file/d/1xoejlEj263Zb0OlVyURIG5Vz69vvYD4d/view?usp=drivesdk</t>
  </si>
  <si>
    <t>KHOIRUNNISAK</t>
  </si>
  <si>
    <t>khoirunanis56@gmail.com</t>
  </si>
  <si>
    <t>1654</t>
  </si>
  <si>
    <t>1KxNAqPv_1-enA6Hw_NoqagMXN42n91C-</t>
  </si>
  <si>
    <t>https://drive.google.com/file/d/1KxNAqPv_1-enA6Hw_NoqagMXN42n91C-/view?usp=drivesdk</t>
  </si>
  <si>
    <t>WIDIYASTUTI,SE</t>
  </si>
  <si>
    <t>widiyastutise@gmail.com</t>
  </si>
  <si>
    <t>1655</t>
  </si>
  <si>
    <t>1pL7GQ460xUS7Dz6l7ea3MA4mzm-QSUM4</t>
  </si>
  <si>
    <t>https://drive.google.com/file/d/1pL7GQ460xUS7Dz6l7ea3MA4mzm-QSUM4/view?usp=drivesdk</t>
  </si>
  <si>
    <t>IKA KUSWANDARI,AMAK,S.Si</t>
  </si>
  <si>
    <t>ika.kuswandari@yahoo.com</t>
  </si>
  <si>
    <t>1656</t>
  </si>
  <si>
    <t>https://drive.google.com/file/d/1mT2pZxetroTTeOZd2MzentycpAbiwIgT/view?usp=drivesdk</t>
  </si>
  <si>
    <t>1mT2pZxetroTTeOZd2MzentycpAbiwIgT</t>
  </si>
  <si>
    <t>1KZ8dkoRk5rWKLkqyJ_lpSVGee_Y_Q9KR</t>
  </si>
  <si>
    <t>https://drive.google.com/file/d/1KZ8dkoRk5rWKLkqyJ_lpSVGee_Y_Q9KR/view?usp=drivesdk</t>
  </si>
  <si>
    <t>Document successfully created; Document successfully merged; PDF created; !!Error Sending Emails: Service invoked too many times for one day: email.; Run via form trigger as ecertificate75@gmail.com; Timestamp: Aug 31 2024 1:16 AM</t>
  </si>
  <si>
    <t xml:space="preserve">SUPARNO PENGATUR </t>
  </si>
  <si>
    <t>suparnoaws@gmail.com</t>
  </si>
  <si>
    <t>1657</t>
  </si>
  <si>
    <t>https://drive.google.com/file/d/1JAmt9IeJCe6N6wjlCgumjqPR71rLiclV/view?usp=drivesdk</t>
  </si>
  <si>
    <t>1JAmt9IeJCe6N6wjlCgumjqPR71rLiclV</t>
  </si>
  <si>
    <t>1VE96prJ68WAuLaRNSWf-NT9a7rza0A3w</t>
  </si>
  <si>
    <t>https://drive.google.com/file/d/1VE96prJ68WAuLaRNSWf-NT9a7rza0A3w/view?usp=drivesdk</t>
  </si>
  <si>
    <t>SUPRIIYANTO, S.ST., M.M.</t>
  </si>
  <si>
    <t>soepri0637@gmail.com</t>
  </si>
  <si>
    <t>1658</t>
  </si>
  <si>
    <t>https://drive.google.com/file/d/1OAvj-dg9GHqOf2-8NqIOBtTPkazHi1LP/view?usp=drivesdk</t>
  </si>
  <si>
    <t>1OAvj-dg9GHqOf2-8NqIOBtTPkazHi1LP</t>
  </si>
  <si>
    <t>1FhTm9ySLoz95hS6f5wAY_ut91QglBbRj</t>
  </si>
  <si>
    <t>https://drive.google.com/file/d/1FhTm9ySLoz95hS6f5wAY_ut91QglBbRj/view?usp=drivesdk</t>
  </si>
  <si>
    <t>ARYANI SINTA WIDYASTUTI, A.MD</t>
  </si>
  <si>
    <t>aryani.sw@gmail.com</t>
  </si>
  <si>
    <t>1659</t>
  </si>
  <si>
    <t>https://drive.google.com/file/d/14uu-r-3QMqiJ6FHSaqMFPUXNHOXukaQ8/view?usp=drivesdk</t>
  </si>
  <si>
    <t>14uu-r-3QMqiJ6FHSaqMFPUXNHOXukaQ8</t>
  </si>
  <si>
    <t>1-K7YHdo3bB66VsaPVptn-fhWhiXlilgy</t>
  </si>
  <si>
    <t>https://drive.google.com/file/d/1-K7YHdo3bB66VsaPVptn-fhWhiXlilgy/view?usp=drivesdk</t>
  </si>
  <si>
    <t>SACHA SURYANINGRAT</t>
  </si>
  <si>
    <t>sachasuryaningrat@gmail.com</t>
  </si>
  <si>
    <t>1660</t>
  </si>
  <si>
    <t>https://drive.google.com/file/d/1Xa5m9AAwnoUeB9MQDdxVwf7b0jcrrmCe/view?usp=drivesdk</t>
  </si>
  <si>
    <t>1Xa5m9AAwnoUeB9MQDdxVwf7b0jcrrmCe</t>
  </si>
  <si>
    <t>1TMln15gLmt4C7s37Nwu7P4YuzeXoZXd_</t>
  </si>
  <si>
    <t>https://drive.google.com/file/d/1TMln15gLmt4C7s37Nwu7P4YuzeXoZXd_/view?usp=drivesdk</t>
  </si>
  <si>
    <t>IDA SOFIYATI, S.E., M.M.</t>
  </si>
  <si>
    <t>idasofiyati11@gmail.com</t>
  </si>
  <si>
    <t>1661</t>
  </si>
  <si>
    <t>https://drive.google.com/file/d/1FWfWhJ01k97jTNuRWx6d08XIy7vhqTan/view?usp=drivesdk</t>
  </si>
  <si>
    <t>1FWfWhJ01k97jTNuRWx6d08XIy7vhqTan</t>
  </si>
  <si>
    <t>1b6KqOBZrfwqIKovUWhDhBsgrLrNzEmXW</t>
  </si>
  <si>
    <t>https://drive.google.com/file/d/1b6KqOBZrfwqIKovUWhDhBsgrLrNzEmXW/view?usp=drivesdk</t>
  </si>
  <si>
    <t>Document successfully created; Document successfully merged; PDF created; !!Error Sending Emails: Service invoked too many times for one day: email.; Run via form trigger as ecertificate75@gmail.com; Timestamp: Aug 31 2024 1:17 AM</t>
  </si>
  <si>
    <t>NI NYOMAN AYU IRIANI, A.Md.Kom</t>
  </si>
  <si>
    <t>nyomanayuiriani@gmail.com</t>
  </si>
  <si>
    <t>1662</t>
  </si>
  <si>
    <t>https://drive.google.com/file/d/1GUihyERxovEDMXJXCNUB5mVNHySakUEu/view?usp=drivesdk</t>
  </si>
  <si>
    <t>1GUihyERxovEDMXJXCNUB5mVNHySakUEu</t>
  </si>
  <si>
    <t>1mUWtqudlM3l_ry9ObKkVUeEAh4eu_ZcG</t>
  </si>
  <si>
    <t>https://drive.google.com/file/d/1mUWtqudlM3l_ry9ObKkVUeEAh4eu_ZcG/view?usp=drivesdk</t>
  </si>
  <si>
    <t>CATUR PUNGKASTO, A.Md., S.M.</t>
  </si>
  <si>
    <t>cpungkas85@gmail.com</t>
  </si>
  <si>
    <t>1663</t>
  </si>
  <si>
    <t>https://drive.google.com/file/d/1xlNO4ADxgqZYbFzJwkXjU9oxHlhb6183/view?usp=drivesdk</t>
  </si>
  <si>
    <t>1xlNO4ADxgqZYbFzJwkXjU9oxHlhb6183</t>
  </si>
  <si>
    <t>1AnztLBm5_NSKaT5W4AokQarkYa3WEx1-</t>
  </si>
  <si>
    <t>https://drive.google.com/file/d/1AnztLBm5_NSKaT5W4AokQarkYa3WEx1-/view?usp=drivesdk</t>
  </si>
  <si>
    <t>SRI WULAN LABADJO</t>
  </si>
  <si>
    <t>wulanlabadjo@gmail.com</t>
  </si>
  <si>
    <t>1664</t>
  </si>
  <si>
    <t>https://drive.google.com/file/d/1H5LLwQGUjUVkUpUxlO-5u54reRkKOPZL/view?usp=drivesdk</t>
  </si>
  <si>
    <t>1H5LLwQGUjUVkUpUxlO-5u54reRkKOPZL</t>
  </si>
  <si>
    <t>1EGazFG8TEz10JUJlDj9exr-N13aONCj0</t>
  </si>
  <si>
    <t>https://drive.google.com/file/d/1EGazFG8TEz10JUJlDj9exr-N13aONCj0/view?usp=drivesdk</t>
  </si>
  <si>
    <t xml:space="preserve">DEFI NOFRIADI </t>
  </si>
  <si>
    <t>adienofri@gmail.com</t>
  </si>
  <si>
    <t>1665</t>
  </si>
  <si>
    <t>https://drive.google.com/file/d/16xo2YQEh319txfG-waB5gmSnn9jC8Df3/view?usp=drivesdk</t>
  </si>
  <si>
    <t>16xo2YQEh319txfG-waB5gmSnn9jC8Df3</t>
  </si>
  <si>
    <t>15L0fCzd1LicME86Q3VFfXRk7Bg43bhRA</t>
  </si>
  <si>
    <t>https://drive.google.com/file/d/15L0fCzd1LicME86Q3VFfXRk7Bg43bhRA/view?usp=drivesdk</t>
  </si>
  <si>
    <t>MUHAMMAD KAHFI,A.Md.Kep</t>
  </si>
  <si>
    <t>kahfimuhammad45@gmail.com</t>
  </si>
  <si>
    <t>1666</t>
  </si>
  <si>
    <t>https://drive.google.com/file/d/1HbwiWPXcvD6TSZH2TE2BoAXJQ0QvezMk/view?usp=drivesdk</t>
  </si>
  <si>
    <t>1HbwiWPXcvD6TSZH2TE2BoAXJQ0QvezMk</t>
  </si>
  <si>
    <t>1LYGJtNeMBrUK999SrY550XuQRAnfoKyL</t>
  </si>
  <si>
    <t>https://drive.google.com/file/d/1LYGJtNeMBrUK999SrY550XuQRAnfoKyL/view?usp=drivesdk</t>
  </si>
  <si>
    <t>Document successfully created; Document successfully merged; PDF created; !!Error Sending Emails: Service invoked too many times for one day: email.; Run via form trigger as ecertificate75@gmail.com; Timestamp: Aug 31 2024 1:18 AM</t>
  </si>
  <si>
    <t>INDRI MEILIZA FITRI, A. MD. FARM</t>
  </si>
  <si>
    <t>missindri7514@gmail.com</t>
  </si>
  <si>
    <t>1667</t>
  </si>
  <si>
    <t>Starting at Thu Aug 29 2024 21:03:36 GMT-0400 (EDT)</t>
  </si>
  <si>
    <t>1NvQ9JIqExUIAo_IvqddaxvLAECHE-HDR</t>
  </si>
  <si>
    <t>https://drive.google.com/file/d/1NvQ9JIqExUIAo_IvqddaxvLAECHE-HDR/view?usp=drivesdk</t>
  </si>
  <si>
    <t>RATNA SRI DEWI, A.Md</t>
  </si>
  <si>
    <t>d.hindisty@gmail.com</t>
  </si>
  <si>
    <t>1668</t>
  </si>
  <si>
    <t>1AcyQTLV4uL5f52UaU2vorlT0_js9zzbt</t>
  </si>
  <si>
    <t>https://drive.google.com/file/d/1AcyQTLV4uL5f52UaU2vorlT0_js9zzbt/view?usp=drivesdk</t>
  </si>
  <si>
    <t>ROSIKA ANGGRAINI</t>
  </si>
  <si>
    <t>anggrainirosika@gmail.com</t>
  </si>
  <si>
    <t>1669</t>
  </si>
  <si>
    <t>12tVnM196fi7UuORrNdFVC8d3W0xH1NDw</t>
  </si>
  <si>
    <t>https://drive.google.com/file/d/12tVnM196fi7UuORrNdFVC8d3W0xH1NDw/view?usp=drivesdk</t>
  </si>
  <si>
    <t>LILA FITRIAWATI AGISTINA, S.H</t>
  </si>
  <si>
    <t>lilafitria15@gmail.com</t>
  </si>
  <si>
    <t>1670</t>
  </si>
  <si>
    <t>10rvS7TLW2NzG4pEKKBrBPqUoYk3q4OFk</t>
  </si>
  <si>
    <t>https://drive.google.com/file/d/10rvS7TLW2NzG4pEKKBrBPqUoYk3q4OFk/view?usp=drivesdk</t>
  </si>
  <si>
    <t xml:space="preserve">SURYANI TJAN DUNGGIO </t>
  </si>
  <si>
    <t>suryani.dunggio@gmail.com</t>
  </si>
  <si>
    <t>1671</t>
  </si>
  <si>
    <t>1sw1eviu4_PGYi61Nnw9mzUDPhkS0ERRt</t>
  </si>
  <si>
    <t>https://drive.google.com/file/d/1sw1eviu4_PGYi61Nnw9mzUDPhkS0ERRt/view?usp=drivesdk</t>
  </si>
  <si>
    <t>Document successfully created; Document successfully merged; PDF created; !!Error Sending Emails: Service invoked too many times for one day: email.; Run via form trigger as ecertificate75@gmail.com; Timestamp: Aug 31 2024 1:19 AM</t>
  </si>
  <si>
    <t>ENNY YULIASTUTI</t>
  </si>
  <si>
    <t>ennyyuliastuti.69@gmail.com</t>
  </si>
  <si>
    <t>1672</t>
  </si>
  <si>
    <t>Starting at Thu Aug 29 2024 21:03:38 GMT-0400 (EDT)</t>
  </si>
  <si>
    <t>1BBiVcHeMUUNNoOnZzMfCXcHD_kpRmsg1</t>
  </si>
  <si>
    <t>https://drive.google.com/file/d/1BBiVcHeMUUNNoOnZzMfCXcHD_kpRmsg1/view?usp=drivesdk</t>
  </si>
  <si>
    <t>VERA LUSIANA, S.E.</t>
  </si>
  <si>
    <t>lusinavera82@gmail.com</t>
  </si>
  <si>
    <t>1673</t>
  </si>
  <si>
    <t>1t-vc1C0pawb6UwNRzIBz-pbkckvsmqEA</t>
  </si>
  <si>
    <t>https://drive.google.com/file/d/1t-vc1C0pawb6UwNRzIBz-pbkckvsmqEA/view?usp=drivesdk</t>
  </si>
  <si>
    <t>Document successfully created; Document successfully merged; PDF created; !!Error Sending Emails: Service invoked too many times for one day: email.; Manually run by ecertificate75@gmail.com; Timestamp: Aug 31 2024 2:04 AM</t>
  </si>
  <si>
    <t>HERU BUDI SULISTYANTO, S.Kom., M.M.</t>
  </si>
  <si>
    <t>ren.bidlabforjtg@gmail.com</t>
  </si>
  <si>
    <t>1674</t>
  </si>
  <si>
    <t>13L-kSsxFO4w8yrNBkaB0fMCLAEVTSrGZ</t>
  </si>
  <si>
    <t>https://drive.google.com/file/d/13L-kSsxFO4w8yrNBkaB0fMCLAEVTSrGZ/view?usp=drivesdk</t>
  </si>
  <si>
    <t>MINAHAZAHRAA</t>
  </si>
  <si>
    <t>minahse91@gmail.com</t>
  </si>
  <si>
    <t>1675</t>
  </si>
  <si>
    <t>Starting at Thu Aug 29 2024 21:03:40 GMT-0400 (EDT)</t>
  </si>
  <si>
    <t>1YCgR1c25H5vpGASNWoydhw6Ev7xIOlYE</t>
  </si>
  <si>
    <t>https://drive.google.com/file/d/1YCgR1c25H5vpGASNWoydhw6Ev7xIOlYE/view?usp=drivesdk</t>
  </si>
  <si>
    <t>AHMAD AMIRULLAH, A.Md.Kep</t>
  </si>
  <si>
    <t>ahmadamirullah11@gmail.com</t>
  </si>
  <si>
    <t>1676</t>
  </si>
  <si>
    <t>1CUWvs-_e6hu0pzxl1EYTbCvoiNnDO7Bw</t>
  </si>
  <si>
    <t>https://drive.google.com/file/d/1CUWvs-_e6hu0pzxl1EYTbCvoiNnDO7Bw/view?usp=drivesdk</t>
  </si>
  <si>
    <t>SRI BUDI HASTI,SH</t>
  </si>
  <si>
    <t>sribudihasti@gmail.com</t>
  </si>
  <si>
    <t>1677</t>
  </si>
  <si>
    <t>https://drive.google.com/file/d/1yiKtODBua6G7qO6vUUuLYWJX6z9oX3hn/view?usp=drivesdk</t>
  </si>
  <si>
    <t>1yiKtODBua6G7qO6vUUuLYWJX6z9oX3hn</t>
  </si>
  <si>
    <t>14_ebJ7DZ41eI38SIAtrRlpppapCv9HwR</t>
  </si>
  <si>
    <t>https://drive.google.com/file/d/14_ebJ7DZ41eI38SIAtrRlpppapCv9HwR/view?usp=drivesdk</t>
  </si>
  <si>
    <t>APT. MELLY HASRINA, S. FARM</t>
  </si>
  <si>
    <t>hasrinamelly0205@gmail.com</t>
  </si>
  <si>
    <t>1678</t>
  </si>
  <si>
    <t>https://drive.google.com/file/d/1FkK5e-hBrL701rZKwFQJqSU3IUNcH1Ur/view?usp=drivesdk</t>
  </si>
  <si>
    <t>1FkK5e-hBrL701rZKwFQJqSU3IUNcH1Ur</t>
  </si>
  <si>
    <t>1gnagRcvWn40gQnJ3BXe9ZE23uciebnV5</t>
  </si>
  <si>
    <t>https://drive.google.com/file/d/1gnagRcvWn40gQnJ3BXe9ZE23uciebnV5/view?usp=drivesdk</t>
  </si>
  <si>
    <t>TAGEN NUGRAHA PRATAMA</t>
  </si>
  <si>
    <t>tagenpratama002@gmail.com</t>
  </si>
  <si>
    <t>1679</t>
  </si>
  <si>
    <t>https://drive.google.com/file/d/1U-yfy_NzgqEUP0TxJizY3UIcZbH6xJYd/view?usp=drivesdk</t>
  </si>
  <si>
    <t>1U-yfy_NzgqEUP0TxJizY3UIcZbH6xJYd</t>
  </si>
  <si>
    <t>1R-vWWysPzez9RjDP5ZvBe7Eke8R-Aqfj</t>
  </si>
  <si>
    <t>https://drive.google.com/file/d/1R-vWWysPzez9RjDP5ZvBe7Eke8R-Aqfj/view?usp=drivesdk</t>
  </si>
  <si>
    <t>Document successfully created; Document successfully merged; PDF created; !!Error Sending Emails: Service invoked too many times for one day: email.; Manually run by ecertificate75@gmail.com; Timestamp: Aug 31 2024 2:05 AM</t>
  </si>
  <si>
    <t>SITI FATIMAH, AMd.Kep</t>
  </si>
  <si>
    <t>fatimahst02@gmail.com</t>
  </si>
  <si>
    <t>1680</t>
  </si>
  <si>
    <t>https://drive.google.com/file/d/1XB9TO5Px1tVOne9JhaktzoBIr8Ne8aI3/view?usp=drivesdk</t>
  </si>
  <si>
    <t>1XB9TO5Px1tVOne9JhaktzoBIr8Ne8aI3</t>
  </si>
  <si>
    <t>1Bunu91l4p7dmKMsnTcV_2gQGCQ3JEGIy</t>
  </si>
  <si>
    <t>https://drive.google.com/file/d/1Bunu91l4p7dmKMsnTcV_2gQGCQ3JEGIy/view?usp=drivesdk</t>
  </si>
  <si>
    <t>NOPRI OKTA DIANSYAH</t>
  </si>
  <si>
    <t>nopri.oktadiansyah29@gmail.com</t>
  </si>
  <si>
    <t>1681</t>
  </si>
  <si>
    <t>https://drive.google.com/file/d/1Qvqhy0xT2D1JV2765VLu2E-j-TxAruc5/view?usp=drivesdk</t>
  </si>
  <si>
    <t>1Qvqhy0xT2D1JV2765VLu2E-j-TxAruc5</t>
  </si>
  <si>
    <t>18YGQ7c2E8-0URExE-OrqQ78fRt8-9m_R</t>
  </si>
  <si>
    <t>https://drive.google.com/file/d/18YGQ7c2E8-0URExE-OrqQ78fRt8-9m_R/view?usp=drivesdk</t>
  </si>
  <si>
    <t xml:space="preserve">EKO SUCAHYONO </t>
  </si>
  <si>
    <t>ekosucahyono1@gmail.com</t>
  </si>
  <si>
    <t>1682</t>
  </si>
  <si>
    <t>https://drive.google.com/file/d/1RewPwLsPtc-3pRQL5f9kmRYC1-r1NMhB/view?usp=drivesdk</t>
  </si>
  <si>
    <t>1RewPwLsPtc-3pRQL5f9kmRYC1-r1NMhB</t>
  </si>
  <si>
    <t>1Vlqf3Gq-RTs7E1qjY5dj57YJjHckqDTc</t>
  </si>
  <si>
    <t>https://drive.google.com/file/d/1Vlqf3Gq-RTs7E1qjY5dj57YJjHckqDTc/view?usp=drivesdk</t>
  </si>
  <si>
    <t>MARIANA HASNI HARAHAP, S.S.</t>
  </si>
  <si>
    <t>marianahasniharahap@gmail.com</t>
  </si>
  <si>
    <t>1683</t>
  </si>
  <si>
    <t>https://drive.google.com/file/d/1tsOOURRsKbt0ePCEJYfqH22vzcFERJ9b/view?usp=drivesdk</t>
  </si>
  <si>
    <t>1tsOOURRsKbt0ePCEJYfqH22vzcFERJ9b</t>
  </si>
  <si>
    <t>1DLEu-PUbCkSXXVeZ17b_A-p1N-uFPXWt</t>
  </si>
  <si>
    <t>https://drive.google.com/file/d/1DLEu-PUbCkSXXVeZ17b_A-p1N-uFPXWt/view?usp=drivesdk</t>
  </si>
  <si>
    <t>PENDA PUJIARTI</t>
  </si>
  <si>
    <t>pujiartipusdik@gmail.com</t>
  </si>
  <si>
    <t>1684</t>
  </si>
  <si>
    <t>https://drive.google.com/file/d/13iuPPv12q_l_FkkeERcvrFhYJW0rUs9k/view?usp=drivesdk</t>
  </si>
  <si>
    <t>13iuPPv12q_l_FkkeERcvrFhYJW0rUs9k</t>
  </si>
  <si>
    <t>1UZcppe2x8VMPB0di4tAaDgQlgG8xC48-</t>
  </si>
  <si>
    <t>https://drive.google.com/file/d/1UZcppe2x8VMPB0di4tAaDgQlgG8xC48-/view?usp=drivesdk</t>
  </si>
  <si>
    <t>Document successfully created; Document successfully merged; PDF created; !!Error Sending Emails: Service invoked too many times for one day: email.; Manually run by ecertificate75@gmail.com; Timestamp: Aug 31 2024 2:06 AM</t>
  </si>
  <si>
    <t>RIYADI TIRTA SAPUTRA</t>
  </si>
  <si>
    <t>riyadihsu@gmail.com</t>
  </si>
  <si>
    <t>1685</t>
  </si>
  <si>
    <t>https://drive.google.com/file/d/1KBmopwtN1IWKkXs21_MDVTAi0B7_xCzt/view?usp=drivesdk</t>
  </si>
  <si>
    <t>1KBmopwtN1IWKkXs21_MDVTAi0B7_xCzt</t>
  </si>
  <si>
    <t>1SdIjnDj8_rQAOTi_TanAa8wAHXh0tHRL</t>
  </si>
  <si>
    <t>https://drive.google.com/file/d/1SdIjnDj8_rQAOTi_TanAa8wAHXh0tHRL/view?usp=drivesdk</t>
  </si>
  <si>
    <t>EVA ROSALINA DAMANIK, S.E.</t>
  </si>
  <si>
    <t>evarosalina714@gmail.com</t>
  </si>
  <si>
    <t>1686</t>
  </si>
  <si>
    <t>https://drive.google.com/file/d/1ZLSmhV2Ume-MtNDtMPq7gR-pP3vktLL_/view?usp=drivesdk</t>
  </si>
  <si>
    <t>1ZLSmhV2Ume-MtNDtMPq7gR-pP3vktLL_</t>
  </si>
  <si>
    <t>1knij5z1L2WllhoOKtnu6RmvrKplmONPn</t>
  </si>
  <si>
    <t>https://drive.google.com/file/d/1knij5z1L2WllhoOKtnu6RmvrKplmONPn/view?usp=drivesdk</t>
  </si>
  <si>
    <t xml:space="preserve">WIWIN WIDAYATI </t>
  </si>
  <si>
    <t>widayatiwiwin11@mail.com</t>
  </si>
  <si>
    <t>1687</t>
  </si>
  <si>
    <t>https://drive.google.com/file/d/1VbmTFIlCzs2nxC1qBhJod-tta_AbSvJH/view?usp=drivesdk</t>
  </si>
  <si>
    <t>1VbmTFIlCzs2nxC1qBhJod-tta_AbSvJH</t>
  </si>
  <si>
    <t>1P5Woo5WVMU_a7cZcnfDd_NIHed7IMvWb</t>
  </si>
  <si>
    <t>https://drive.google.com/file/d/1P5Woo5WVMU_a7cZcnfDd_NIHed7IMvWb/view?usp=drivesdk</t>
  </si>
  <si>
    <t>ADIL FRED HASIHOLAN</t>
  </si>
  <si>
    <t>adil.fhps@gmail.com</t>
  </si>
  <si>
    <t>1688</t>
  </si>
  <si>
    <t>https://drive.google.com/file/d/1cWf3z-qMbb_ve_1I_m0AoulQNHnIhdWo/view?usp=drivesdk</t>
  </si>
  <si>
    <t>1cWf3z-qMbb_ve_1I_m0AoulQNHnIhdWo</t>
  </si>
  <si>
    <t>1C9Fe4ERBucXx3kTFUCNDoCiMAK8vjsbk</t>
  </si>
  <si>
    <t>https://drive.google.com/file/d/1C9Fe4ERBucXx3kTFUCNDoCiMAK8vjsbk/view?usp=drivesdk</t>
  </si>
  <si>
    <t>Document successfully created; Document successfully merged; PDF created; !!Error Sending Emails: Service invoked too many times for one day: email.; Manually run by ecertificate75@gmail.com; Timestamp: Aug 31 2024 1:49 AM</t>
  </si>
  <si>
    <t>ROVI HAPSARI, S.E., M.M.</t>
  </si>
  <si>
    <t>rovibayu@gmail.com</t>
  </si>
  <si>
    <t>1689</t>
  </si>
  <si>
    <t>https://drive.google.com/file/d/128K_m2h9hZYFP-Qp_pQTe7FOaYwNYKr2/view?usp=drivesdk</t>
  </si>
  <si>
    <t>128K_m2h9hZYFP-Qp_pQTe7FOaYwNYKr2</t>
  </si>
  <si>
    <t>1HwXkuMzOxdKoSxYXIZIQLgZAJan5Mh1v</t>
  </si>
  <si>
    <t>https://drive.google.com/file/d/1HwXkuMzOxdKoSxYXIZIQLgZAJan5Mh1v/view?usp=drivesdk</t>
  </si>
  <si>
    <t>IKA RAHMAWATI, S.E.</t>
  </si>
  <si>
    <t>rahmawati191983@gmail.com</t>
  </si>
  <si>
    <t>1690</t>
  </si>
  <si>
    <t>https://drive.google.com/file/d/1tFxYRO5onjDkoW-03FfKKQDR7ps4wO0r/view?usp=drivesdk</t>
  </si>
  <si>
    <t>1tFxYRO5onjDkoW-03FfKKQDR7ps4wO0r</t>
  </si>
  <si>
    <t>1HDeu72zXN6m7tWI_KbvXgHmLxzPPIdxn</t>
  </si>
  <si>
    <t>https://drive.google.com/file/d/1HDeu72zXN6m7tWI_KbvXgHmLxzPPIdxn/view?usp=drivesdk</t>
  </si>
  <si>
    <t>ZURMIDAWATI NOVITA, S. Sos.</t>
  </si>
  <si>
    <t>zienovita@gmail.com</t>
  </si>
  <si>
    <t>1691</t>
  </si>
  <si>
    <t>https://drive.google.com/file/d/1fr_FQ05kZH0eQjcx7D5j2o7a8ZHyAVbJ/view?usp=drivesdk</t>
  </si>
  <si>
    <t>1fr_FQ05kZH0eQjcx7D5j2o7a8ZHyAVbJ</t>
  </si>
  <si>
    <t>1axpqhdNh0E1w8u0jWCdJHBYvhaN2hcbX</t>
  </si>
  <si>
    <t>https://drive.google.com/file/d/1axpqhdNh0E1w8u0jWCdJHBYvhaN2hcbX/view?usp=drivesdk</t>
  </si>
  <si>
    <t>RINI SYARIFAH PANGGABEAN, S.H.</t>
  </si>
  <si>
    <t>rinisyarifah17@gmail.com</t>
  </si>
  <si>
    <t>1692</t>
  </si>
  <si>
    <t>https://drive.google.com/file/d/1XWWE-crQ8OY0J_TWZizL7dzNxm9NKMFS/view?usp=drivesdk</t>
  </si>
  <si>
    <t>1XWWE-crQ8OY0J_TWZizL7dzNxm9NKMFS</t>
  </si>
  <si>
    <t>1l4-8l2KDERlTXzNZduLM3QpblLyzttcG</t>
  </si>
  <si>
    <t>https://drive.google.com/file/d/1l4-8l2KDERlTXzNZduLM3QpblLyzttcG/view?usp=drivesdk</t>
  </si>
  <si>
    <t>DR LAELI ANDITA SPKJ MKES</t>
  </si>
  <si>
    <t>laeliandita@gmail.com</t>
  </si>
  <si>
    <t>1693</t>
  </si>
  <si>
    <t>https://drive.google.com/file/d/14SCgUYL19KBG5N2xB6DTLGCMmJHtEYtn/view?usp=drivesdk</t>
  </si>
  <si>
    <t>14SCgUYL19KBG5N2xB6DTLGCMmJHtEYtn</t>
  </si>
  <si>
    <t>1m6LB9mMjh_Q9TDC_vW2TgnHb6IM1s5rR</t>
  </si>
  <si>
    <t>https://drive.google.com/file/d/1m6LB9mMjh_Q9TDC_vW2TgnHb6IM1s5rR/view?usp=drivesdk</t>
  </si>
  <si>
    <t>RISNA SEPTIANA</t>
  </si>
  <si>
    <t>septianarisna92@gmail.com</t>
  </si>
  <si>
    <t>1694</t>
  </si>
  <si>
    <t>https://drive.google.com/file/d/1ygyqBRCjcVCfxUsC8_93akKmUsSB_O40/view?usp=drivesdk</t>
  </si>
  <si>
    <t>1ygyqBRCjcVCfxUsC8_93akKmUsSB_O40</t>
  </si>
  <si>
    <t>12QBrXNj4M1bB4SA93V8Nr_C1HfVyVqA4</t>
  </si>
  <si>
    <t>https://drive.google.com/file/d/12QBrXNj4M1bB4SA93V8Nr_C1HfVyVqA4/view?usp=drivesdk</t>
  </si>
  <si>
    <t>Document successfully created; Document successfully merged; PDF created; !!Error Sending Emails: Service invoked too many times for one day: email.; Manually run by ecertificate75@gmail.com; Timestamp: Aug 31 2024 1:50 AM</t>
  </si>
  <si>
    <t>dr. WAN LIANA DEWI SYAHRA BAROS</t>
  </si>
  <si>
    <t>bellarizki1904@gmail.com</t>
  </si>
  <si>
    <t>1695</t>
  </si>
  <si>
    <t>Starting at Thu Aug 29 2024 21:04:01 GMT-0400 (EDT)</t>
  </si>
  <si>
    <t>16CufTC8AWjWaiYEWTeBUL9lHeWhMgrJh</t>
  </si>
  <si>
    <t>https://drive.google.com/file/d/16CufTC8AWjWaiYEWTeBUL9lHeWhMgrJh/view?usp=drivesdk</t>
  </si>
  <si>
    <t>ALIF LAINI, SPD SD</t>
  </si>
  <si>
    <t>Aliflaini16@gmail.com</t>
  </si>
  <si>
    <t>1696</t>
  </si>
  <si>
    <t>1Rhr4IfODwoK3Tx2SkvwojQtGkpZunG9n</t>
  </si>
  <si>
    <t>https://drive.google.com/file/d/1Rhr4IfODwoK3Tx2SkvwojQtGkpZunG9n/view?usp=drivesdk</t>
  </si>
  <si>
    <t>BOBY HENDRA POLTAK SIMANJUNTAK</t>
  </si>
  <si>
    <t>bobyhendra82@gmail.com</t>
  </si>
  <si>
    <t>1697</t>
  </si>
  <si>
    <t>1JaXvhTeRrMEYTOaDfZXmn4KsvUiVWbDR</t>
  </si>
  <si>
    <t>https://drive.google.com/file/d/1JaXvhTeRrMEYTOaDfZXmn4KsvUiVWbDR/view?usp=drivesdk</t>
  </si>
  <si>
    <t>NURLAILI,AMD KEB</t>
  </si>
  <si>
    <t>valeriooke@gmail.com</t>
  </si>
  <si>
    <t>1698</t>
  </si>
  <si>
    <t>1X6UJ8-hWcz_riJ8Vdi7v5ya6DD5SGy1P</t>
  </si>
  <si>
    <t>https://drive.google.com/file/d/1X6UJ8-hWcz_riJ8Vdi7v5ya6DD5SGy1P/view?usp=drivesdk</t>
  </si>
  <si>
    <t>SURIATI GANDARIA PARDEDE</t>
  </si>
  <si>
    <t>riapardede1976@gmail.com</t>
  </si>
  <si>
    <t>1699</t>
  </si>
  <si>
    <t>https://drive.google.com/file/d/1mg-0plRVGuJlIWvzwW_gg_3r8794Ynsl/view?usp=drivesdk</t>
  </si>
  <si>
    <t>1mg-0plRVGuJlIWvzwW_gg_3r8794Ynsl</t>
  </si>
  <si>
    <t>1-GzxPatjDGRQmk-oRyD_eV5JAGN_RizL</t>
  </si>
  <si>
    <t>https://drive.google.com/file/d/1-GzxPatjDGRQmk-oRyD_eV5JAGN_RizL/view?usp=drivesdk</t>
  </si>
  <si>
    <t>Drg HAMIDES YUNITA</t>
  </si>
  <si>
    <t>hamidesbkl17@gmail.com</t>
  </si>
  <si>
    <t>1700</t>
  </si>
  <si>
    <t>https://drive.google.com/file/d/1TREqMFYFlkDQ5Z5CCFjW5p6W9limt2vh/view?usp=drivesdk</t>
  </si>
  <si>
    <t>1TREqMFYFlkDQ5Z5CCFjW5p6W9limt2vh</t>
  </si>
  <si>
    <t>1iji8QZCYTsz3abFM_S_B89Z4ElLREtZV</t>
  </si>
  <si>
    <t>https://drive.google.com/file/d/1iji8QZCYTsz3abFM_S_B89Z4ElLREtZV/view?usp=drivesdk</t>
  </si>
  <si>
    <t>Document successfully created; Document successfully merged; PDF created; !!Error Sending Emails: Service invoked too many times for one day: email.; Manually run by ecertificate75@gmail.com; Timestamp: Aug 31 2024 1:51 AM</t>
  </si>
  <si>
    <t>DHITA PRICILIA PATILA, S.E</t>
  </si>
  <si>
    <t>dhitpricilia@gmail.com</t>
  </si>
  <si>
    <t>1701</t>
  </si>
  <si>
    <t>https://drive.google.com/file/d/1fS7WbvHpmHVVo3ZSRCv22hL0N-tygQmb/view?usp=drivesdk</t>
  </si>
  <si>
    <t>1fS7WbvHpmHVVo3ZSRCv22hL0N-tygQmb</t>
  </si>
  <si>
    <t>1VwSio6pnLOBzSO3J_0dqDYC-i9RT16F-</t>
  </si>
  <si>
    <t>https://drive.google.com/file/d/1VwSio6pnLOBzSO3J_0dqDYC-i9RT16F-/view?usp=drivesdk</t>
  </si>
  <si>
    <t>ABDUL HARIS BUMULO</t>
  </si>
  <si>
    <t>bumuloabdulharis@gmail.com</t>
  </si>
  <si>
    <t>1702</t>
  </si>
  <si>
    <t>Starting at Thu Aug 29 2024 21:04:06 GMT-0400 (EDT)</t>
  </si>
  <si>
    <t>1rTTsLGn4jh_LCvMQdDEt20co-XYDFmVJ</t>
  </si>
  <si>
    <t>https://drive.google.com/file/d/1rTTsLGn4jh_LCvMQdDEt20co-XYDFmVJ/view?usp=drivesdk</t>
  </si>
  <si>
    <t xml:space="preserve">NI WAYAN SRI ROSMAENI, S. KM., M. M. </t>
  </si>
  <si>
    <t>rose.kieran17@gmail.com</t>
  </si>
  <si>
    <t>1703</t>
  </si>
  <si>
    <t>1R6yKvz6qmVmFx2N0xExaQ-7TBZvEMkS1</t>
  </si>
  <si>
    <t>https://drive.google.com/file/d/1R6yKvz6qmVmFx2N0xExaQ-7TBZvEMkS1/view?usp=drivesdk</t>
  </si>
  <si>
    <t>WACHYU PURWANOM SANTOSO, AMd.Kep.</t>
  </si>
  <si>
    <t>wachyupurwanom1979@gmail.com</t>
  </si>
  <si>
    <t>1704</t>
  </si>
  <si>
    <t>1lelefOVJfmqkYoEDgK-Mu0JMeo6pFxBm</t>
  </si>
  <si>
    <t>https://drive.google.com/file/d/1lelefOVJfmqkYoEDgK-Mu0JMeo6pFxBm/view?usp=drivesdk</t>
  </si>
  <si>
    <t>YULIANA RISKY, A.MD, KOM</t>
  </si>
  <si>
    <t>atikakiki29@gmail.com</t>
  </si>
  <si>
    <t>1705</t>
  </si>
  <si>
    <t>https://drive.google.com/file/d/1TLJFtSAT3QPcR2uLLMb1QsU1EOmAwVcB/view?usp=drivesdk</t>
  </si>
  <si>
    <t>1TLJFtSAT3QPcR2uLLMb1QsU1EOmAwVcB</t>
  </si>
  <si>
    <t>10GZFYlofSbpNLjs1rIiM_D3smOopqQh-</t>
  </si>
  <si>
    <t>https://drive.google.com/file/d/10GZFYlofSbpNLjs1rIiM_D3smOopqQh-/view?usp=drivesdk</t>
  </si>
  <si>
    <t>SIUM POLRESTA BOGOR KOTA YULHAZRI, AMD</t>
  </si>
  <si>
    <t>yulhazriaji5@gmail.com</t>
  </si>
  <si>
    <t>1706</t>
  </si>
  <si>
    <t>https://drive.google.com/file/d/14EJSbwAPrKSN-cI5B54qO1EbYPoPVGzm/view?usp=drivesdk</t>
  </si>
  <si>
    <t>14EJSbwAPrKSN-cI5B54qO1EbYPoPVGzm</t>
  </si>
  <si>
    <t>1dSHJMunzeVUJvrTFm_mXjxEl6lnw4tcx</t>
  </si>
  <si>
    <t>https://drive.google.com/file/d/1dSHJMunzeVUJvrTFm_mXjxEl6lnw4tcx/view?usp=drivesdk</t>
  </si>
  <si>
    <t>Document successfully created; Document successfully merged; PDF created; !!Error Sending Emails: Service invoked too many times for one day: email.; Manually run by ecertificate75@gmail.com; Timestamp: Aug 31 2024 1:52 AM</t>
  </si>
  <si>
    <t>PENDATU SYAHRIL</t>
  </si>
  <si>
    <t>syahriel.1969@gmail.com</t>
  </si>
  <si>
    <t>1707</t>
  </si>
  <si>
    <t>https://drive.google.com/file/d/1xI4GBDq6naCD_iRVv1KSMeRwqKs-35hx/view?usp=drivesdk</t>
  </si>
  <si>
    <t>1xI4GBDq6naCD_iRVv1KSMeRwqKs-35hx</t>
  </si>
  <si>
    <t>1-iYTcBns2uD3b36gResIMZzBVvvVVXM8</t>
  </si>
  <si>
    <t>https://drive.google.com/file/d/1-iYTcBns2uD3b36gResIMZzBVvvVVXM8/view?usp=drivesdk</t>
  </si>
  <si>
    <t>BAPAK JURU JUARI</t>
  </si>
  <si>
    <t>labforjuari@gmail.com</t>
  </si>
  <si>
    <t>1708</t>
  </si>
  <si>
    <t>Starting at Thu Aug 29 2024 21:04:10 GMT-0400 (EDT)</t>
  </si>
  <si>
    <t>1mqIx359uVuvjVcuhDZa42nm3mBl6tokN</t>
  </si>
  <si>
    <t>https://drive.google.com/file/d/1mqIx359uVuvjVcuhDZa42nm3mBl6tokN/view?usp=drivesdk</t>
  </si>
  <si>
    <t>YAYUK HARTININGSIH</t>
  </si>
  <si>
    <t>yayuksragen9@gmail.com</t>
  </si>
  <si>
    <t>1709</t>
  </si>
  <si>
    <t>1mKtSFlz5u0XjcjnnsvxIiBrMKDBghvvu</t>
  </si>
  <si>
    <t>https://drive.google.com/file/d/1mKtSFlz5u0XjcjnnsvxIiBrMKDBghvvu/view?usp=drivesdk</t>
  </si>
  <si>
    <t>LINDA SARI PURBA</t>
  </si>
  <si>
    <t>lindasaripurba930@gmail.com</t>
  </si>
  <si>
    <t>1710</t>
  </si>
  <si>
    <t>https://drive.google.com/file/d/1yhy3dacsk1RixhJ-57Np5GRfDQCmcRFP/view?usp=drivesdk</t>
  </si>
  <si>
    <t>1yhy3dacsk1RixhJ-57Np5GRfDQCmcRFP</t>
  </si>
  <si>
    <t>1lDD8_uRvBJncfWAGSGWP5FzuIjr5Bjqp</t>
  </si>
  <si>
    <t>https://drive.google.com/file/d/1lDD8_uRvBJncfWAGSGWP5FzuIjr5Bjqp/view?usp=drivesdk</t>
  </si>
  <si>
    <t>ELIN NURHAYATI S.Kep.,Ners</t>
  </si>
  <si>
    <t>elnurhayati23@gmail.com</t>
  </si>
  <si>
    <t>1711</t>
  </si>
  <si>
    <t>https://drive.google.com/file/d/1d_8W9yCPWB7BydSLy-4vlHR3nYc80YWv/view?usp=drivesdk</t>
  </si>
  <si>
    <t>1d_8W9yCPWB7BydSLy-4vlHR3nYc80YWv</t>
  </si>
  <si>
    <t>1aFDbas1jx_BVkIQvES2rUhmb4U_5SAOx</t>
  </si>
  <si>
    <t>https://drive.google.com/file/d/1aFDbas1jx_BVkIQvES2rUhmb4U_5SAOx/view?usp=drivesdk</t>
  </si>
  <si>
    <t>RELLYA OKTOVIANNA</t>
  </si>
  <si>
    <t>rellya.122@gmail.com</t>
  </si>
  <si>
    <t>1712</t>
  </si>
  <si>
    <t>https://drive.google.com/file/d/1CcDjr-1YrmH-KqaPdAxQhLE5m_mzkpok/view?usp=drivesdk</t>
  </si>
  <si>
    <t>1CcDjr-1YrmH-KqaPdAxQhLE5m_mzkpok</t>
  </si>
  <si>
    <t>12uVnMBjm-4op6Dh1kiZ8CnKfKOE7UsCS</t>
  </si>
  <si>
    <t>https://drive.google.com/file/d/12uVnMBjm-4op6Dh1kiZ8CnKfKOE7UsCS/view?usp=drivesdk</t>
  </si>
  <si>
    <t>Document successfully created; Document successfully merged; PDF created; !!Error Sending Emails: Service invoked too many times for one day: email.; Manually run by ecertificate75@gmail.com; Timestamp: Aug 31 2024 1:53 AM</t>
  </si>
  <si>
    <t xml:space="preserve">H. SRI WAFAMUNIARTY </t>
  </si>
  <si>
    <t>wafamuniarty.bariz@gmail.com</t>
  </si>
  <si>
    <t>1713</t>
  </si>
  <si>
    <t>https://drive.google.com/file/d/1U-0Bx9yYxXEQtPZpVldgsbD0CqS5466x/view?usp=drivesdk</t>
  </si>
  <si>
    <t>1U-0Bx9yYxXEQtPZpVldgsbD0CqS5466x</t>
  </si>
  <si>
    <t>1MhWjjIqUqgs2JfhII53koYf3z-aw4m-l</t>
  </si>
  <si>
    <t>https://drive.google.com/file/d/1MhWjjIqUqgs2JfhII53koYf3z-aw4m-l/view?usp=drivesdk</t>
  </si>
  <si>
    <t>dr. FENNY SESTRIANI</t>
  </si>
  <si>
    <t>sestriani.fenny@gmail.com</t>
  </si>
  <si>
    <t>1714</t>
  </si>
  <si>
    <t>https://drive.google.com/file/d/1QS1tFLJhCdW4YfochJMxTn-y7YY7HfZL/view?usp=drivesdk</t>
  </si>
  <si>
    <t>1QS1tFLJhCdW4YfochJMxTn-y7YY7HfZL</t>
  </si>
  <si>
    <t>1UW05_et_BpgVZrqkL8K66qpFJABmi_MN</t>
  </si>
  <si>
    <t>https://drive.google.com/file/d/1UW05_et_BpgVZrqkL8K66qpFJABmi_MN/view?usp=drivesdk</t>
  </si>
  <si>
    <t>FIRDAUS JUMADI</t>
  </si>
  <si>
    <t>adijumadi60@gmail.com</t>
  </si>
  <si>
    <t>1715</t>
  </si>
  <si>
    <t>https://drive.google.com/file/d/1YCTmjFTfDr3AGFZkMTj-8eBWb-RVdoKN/view?usp=drivesdk</t>
  </si>
  <si>
    <t>1YCTmjFTfDr3AGFZkMTj-8eBWb-RVdoKN</t>
  </si>
  <si>
    <t>142NMjSzJ3rI6qDysvfvlvfpTiE75FC0t</t>
  </si>
  <si>
    <t>https://drive.google.com/file/d/142NMjSzJ3rI6qDysvfvlvfpTiE75FC0t/view?usp=drivesdk</t>
  </si>
  <si>
    <t>Dra. SRI MULIYANI, M. M.</t>
  </si>
  <si>
    <t>muliyanisri186@gmail.com</t>
  </si>
  <si>
    <t>1716</t>
  </si>
  <si>
    <t>https://drive.google.com/file/d/1Ek4JWE4lQmQ4P010TRbGmk-HLdC3FAkC/view?usp=drivesdk</t>
  </si>
  <si>
    <t>1Ek4JWE4lQmQ4P010TRbGmk-HLdC3FAkC</t>
  </si>
  <si>
    <t>14S-hsOU34z9kmshBNx7Mj69UgCG1-yYt</t>
  </si>
  <si>
    <t>https://drive.google.com/file/d/14S-hsOU34z9kmshBNx7Mj69UgCG1-yYt/view?usp=drivesdk</t>
  </si>
  <si>
    <t xml:space="preserve">ANDRISUSANTO </t>
  </si>
  <si>
    <t>andrisusanto1978@gmail.com</t>
  </si>
  <si>
    <t>1717</t>
  </si>
  <si>
    <t>https://drive.google.com/file/d/1iXZh44b0cXplzayXkvGKHs-nitSgxzu1/view?usp=drivesdk</t>
  </si>
  <si>
    <t>1iXZh44b0cXplzayXkvGKHs-nitSgxzu1</t>
  </si>
  <si>
    <t>1pV4ha5zu8R-LEOG6enJDyTagb-EoH_Am</t>
  </si>
  <si>
    <t>https://drive.google.com/file/d/1pV4ha5zu8R-LEOG6enJDyTagb-EoH_Am/view?usp=drivesdk</t>
  </si>
  <si>
    <t>FAHRENI HAPSARI, SE</t>
  </si>
  <si>
    <t>fahrenihapsari@gmail.com</t>
  </si>
  <si>
    <t>1718</t>
  </si>
  <si>
    <t>https://drive.google.com/file/d/1uacJojUKTUBq976G54hyqHS8lih7lBWr/view?usp=drivesdk</t>
  </si>
  <si>
    <t>1uacJojUKTUBq976G54hyqHS8lih7lBWr</t>
  </si>
  <si>
    <t>1rx3gEUBwhzxgSDmyZbSASzNWBQRObIpE</t>
  </si>
  <si>
    <t>https://drive.google.com/file/d/1rx3gEUBwhzxgSDmyZbSASzNWBQRObIpE/view?usp=drivesdk</t>
  </si>
  <si>
    <t>dr. YULIA DWI NASTITI</t>
  </si>
  <si>
    <t>nastitiyulia@gmail.com</t>
  </si>
  <si>
    <t>1719</t>
  </si>
  <si>
    <t>Starting at Thu Aug 29 2024 21:04:21 GMT-0400 (EDT)</t>
  </si>
  <si>
    <t>14lVkHnQ0AqA9nHjxl5hk5SK58hiEB12s</t>
  </si>
  <si>
    <t>https://drive.google.com/file/d/14lVkHnQ0AqA9nHjxl5hk5SK58hiEB12s/view?usp=drivesdk</t>
  </si>
  <si>
    <t>GATOT SUPRATIKNO, SE</t>
  </si>
  <si>
    <t>bintidewi@gmail.com</t>
  </si>
  <si>
    <t>1720</t>
  </si>
  <si>
    <t>1s1wqMGzw9MhEzqo6_EVRJwu9NpO4rfMF</t>
  </si>
  <si>
    <t>https://drive.google.com/file/d/1s1wqMGzw9MhEzqo6_EVRJwu9NpO4rfMF/view?usp=drivesdk</t>
  </si>
  <si>
    <t>Document successfully created; Document successfully merged; PDF created; !!Error Sending Emails: Service invoked too many times for one day: email.; Manually run by ecertificate75@gmail.com; Timestamp: Aug 31 2024 2:07 AM</t>
  </si>
  <si>
    <t xml:space="preserve">EKO RETNONINGSIH </t>
  </si>
  <si>
    <t>enoadra80@gmail.com</t>
  </si>
  <si>
    <t>1721</t>
  </si>
  <si>
    <t>https://drive.google.com/file/d/1xfyl--GKTYOWaBh0-guC15Nbpj5zMAqP/view?usp=drivesdk</t>
  </si>
  <si>
    <t>1xfyl--GKTYOWaBh0-guC15Nbpj5zMAqP</t>
  </si>
  <si>
    <t>11t8lBckO65dIBxiPcfODaI7azMCZLPqT</t>
  </si>
  <si>
    <t>https://drive.google.com/file/d/11t8lBckO65dIBxiPcfODaI7azMCZLPqT/view?usp=drivesdk</t>
  </si>
  <si>
    <t>TITIN MARTANTI, S.KOM</t>
  </si>
  <si>
    <t>titinmartanti12@gmail.com</t>
  </si>
  <si>
    <t>1722</t>
  </si>
  <si>
    <t>https://drive.google.com/file/d/1tTzW-FoGD4oGvy7KcNQ_SFyGpLn7Bo6Y/view?usp=drivesdk</t>
  </si>
  <si>
    <t>1tTzW-FoGD4oGvy7KcNQ_SFyGpLn7Bo6Y</t>
  </si>
  <si>
    <t>1jUHn4rO322e_0bIMi9mXDsm4F_HTFwMa</t>
  </si>
  <si>
    <t>https://drive.google.com/file/d/1jUHn4rO322e_0bIMi9mXDsm4F_HTFwMa/view?usp=drivesdk</t>
  </si>
  <si>
    <t>UPI SITI APIAH</t>
  </si>
  <si>
    <t>upisiti67@gmail.com</t>
  </si>
  <si>
    <t>1723</t>
  </si>
  <si>
    <t>Starting at Thu Aug 29 2024 21:04:24 GMT-0400 (EDT)</t>
  </si>
  <si>
    <t>1W9ggUUb7KmFAsZ__EqCvVTeta4V-8jPK</t>
  </si>
  <si>
    <t>https://drive.google.com/file/d/1W9ggUUb7KmFAsZ__EqCvVTeta4V-8jPK/view?usp=drivesdk</t>
  </si>
  <si>
    <t>SALLY NURSANTI</t>
  </si>
  <si>
    <t>sallynursanti@gmail.com</t>
  </si>
  <si>
    <t>1724</t>
  </si>
  <si>
    <t>1m3jiYuzkB7fzyZnrQFUkbVesePJnhP2u</t>
  </si>
  <si>
    <t>https://drive.google.com/file/d/1m3jiYuzkB7fzyZnrQFUkbVesePJnhP2u/view?usp=drivesdk</t>
  </si>
  <si>
    <t>YENI ISNAWATI, AMd.Keb</t>
  </si>
  <si>
    <t>yeniisnawati58@gmail.com</t>
  </si>
  <si>
    <t>1725</t>
  </si>
  <si>
    <t>https://drive.google.com/file/d/1ySmA49v5DkTW4YiPrxQcWs6fybkUPxpq/view?usp=drivesdk</t>
  </si>
  <si>
    <t>1ySmA49v5DkTW4YiPrxQcWs6fybkUPxpq</t>
  </si>
  <si>
    <t>1VI9sH0y641xKaM6hBTkSRdg8QaKSz4Uv</t>
  </si>
  <si>
    <t>https://drive.google.com/file/d/1VI9sH0y641xKaM6hBTkSRdg8QaKSz4Uv/view?usp=drivesdk</t>
  </si>
  <si>
    <t>FRANIKE SEPTA YUDHIANI</t>
  </si>
  <si>
    <t>rafisqyf@gmail.com</t>
  </si>
  <si>
    <t>1726</t>
  </si>
  <si>
    <t>https://drive.google.com/file/d/1579ou2R16DEIOfFC7rXUpZPODlX9_C0P/view?usp=drivesdk</t>
  </si>
  <si>
    <t>1579ou2R16DEIOfFC7rXUpZPODlX9_C0P</t>
  </si>
  <si>
    <t>1xVYOQQ1VVMT5M3atc041B7WvvCcGFhED</t>
  </si>
  <si>
    <t>https://drive.google.com/file/d/1xVYOQQ1VVMT5M3atc041B7WvvCcGFhED/view?usp=drivesdk</t>
  </si>
  <si>
    <t>ADISSA DAYINTA RAMADINA, A.Md.Kep.</t>
  </si>
  <si>
    <t>adissadayinta@gmail.com</t>
  </si>
  <si>
    <t>1727</t>
  </si>
  <si>
    <t>https://drive.google.com/file/d/181BajdxLmcCLGy9mQ7Xx1gLVEFfGK1nw/view?usp=drivesdk</t>
  </si>
  <si>
    <t>181BajdxLmcCLGy9mQ7Xx1gLVEFfGK1nw</t>
  </si>
  <si>
    <t>1SXpgMWDwnm0IVzu6t_SEMA5AiXtgMb2z</t>
  </si>
  <si>
    <t>https://drive.google.com/file/d/1SXpgMWDwnm0IVzu6t_SEMA5AiXtgMb2z/view?usp=drivesdk</t>
  </si>
  <si>
    <t>Document successfully created; Document successfully merged; PDF created; !!Error Sending Emails: Service invoked too many times for one day: email.; Manually run by ecertificate75@gmail.com; Timestamp: Aug 31 2024 2:08 AM</t>
  </si>
  <si>
    <t>LILIK ERNAWATIE, S.E.</t>
  </si>
  <si>
    <t>lilikernawatie@gmail.com</t>
  </si>
  <si>
    <t>1728</t>
  </si>
  <si>
    <t>Starting at Thu Aug 29 2024 21:04:31 GMT-0400 (EDT)</t>
  </si>
  <si>
    <t>1zNiaoycwS08JhoSZo_dJHzKiWBwKvqs2</t>
  </si>
  <si>
    <t>https://drive.google.com/file/d/1zNiaoycwS08JhoSZo_dJHzKiWBwKvqs2/view?usp=drivesdk</t>
  </si>
  <si>
    <t>RAHMANIAH, A.Md. FARM</t>
  </si>
  <si>
    <t>rahmaniahzr@gmail.com</t>
  </si>
  <si>
    <t>1729</t>
  </si>
  <si>
    <t>1HlZe6ggEgHPhh6Q-GXxoepIa5dlIpEPv</t>
  </si>
  <si>
    <t>https://drive.google.com/file/d/1HlZe6ggEgHPhh6Q-GXxoepIa5dlIpEPv/view?usp=drivesdk</t>
  </si>
  <si>
    <t xml:space="preserve">IRMA NADYA ANDRIANI </t>
  </si>
  <si>
    <t>irmanadya79@gmail.com</t>
  </si>
  <si>
    <t>1730</t>
  </si>
  <si>
    <t>1Pu0nBlkEDijtvuYDbYyffJQ4UhsTEfLs</t>
  </si>
  <si>
    <t>https://drive.google.com/file/d/1Pu0nBlkEDijtvuYDbYyffJQ4UhsTEfLs/view?usp=drivesdk</t>
  </si>
  <si>
    <t>ENDRO LESMANA, A.Md.KG</t>
  </si>
  <si>
    <t>endrolesmana@gmail.com</t>
  </si>
  <si>
    <t>1731</t>
  </si>
  <si>
    <t>1cUdLCsMzsBIuUJuHDbZjm-ClsqH8RRXk</t>
  </si>
  <si>
    <t>https://drive.google.com/file/d/1cUdLCsMzsBIuUJuHDbZjm-ClsqH8RRXk/view?usp=drivesdk</t>
  </si>
  <si>
    <t>NI PUTU INDRI SISMAYANTI, A.Md.Kep.</t>
  </si>
  <si>
    <t>indrisismay@gmail.com</t>
  </si>
  <si>
    <t>1732</t>
  </si>
  <si>
    <t>Starting at Thu Aug 29 2024 21:04:33 GMT-0400 (EDT)</t>
  </si>
  <si>
    <t>1o6nqRWqt95VGGkvuJRpW2k96IXHgN3kc</t>
  </si>
  <si>
    <t>https://drive.google.com/file/d/1o6nqRWqt95VGGkvuJRpW2k96IXHgN3kc/view?usp=drivesdk</t>
  </si>
  <si>
    <t>Document successfully created; Document successfully merged; PDF created; !!Error Sending Emails: Service invoked too many times for one day: email.; Manually run by ecertificate75@gmail.com; Timestamp: Aug 31 2024 2:09 AM</t>
  </si>
  <si>
    <t>MOYANA MODESTA GINTING</t>
  </si>
  <si>
    <t>moyanamodesta457@gmail.com</t>
  </si>
  <si>
    <t>1733</t>
  </si>
  <si>
    <t>Starting at Thu Aug 29 2024 21:04:34 GMT-0400 (EDT)</t>
  </si>
  <si>
    <t>1ighY6xFaNv10R45lhtNSP_EKTwE-A2T8</t>
  </si>
  <si>
    <t>https://drive.google.com/file/d/1ighY6xFaNv10R45lhtNSP_EKTwE-A2T8/view?usp=drivesdk</t>
  </si>
  <si>
    <t>IVA NUR IMANAH SARJANA PSIKOLOGI</t>
  </si>
  <si>
    <t>ivanurimanah@gmail.com</t>
  </si>
  <si>
    <t>1734</t>
  </si>
  <si>
    <t>Starting at Thu Aug 29 2024 21:04:36 GMT-0400 (EDT)</t>
  </si>
  <si>
    <t>1VJHAJYdP_82l-_pHTgtskhpVGRTmiHvz</t>
  </si>
  <si>
    <t>https://drive.google.com/file/d/1VJHAJYdP_82l-_pHTgtskhpVGRTmiHvz/view?usp=drivesdk</t>
  </si>
  <si>
    <t>Dr. ROZA MILASARI Z., S.Kom., M.S.I., CPHR.</t>
  </si>
  <si>
    <t>rozmilzain@gmail.com</t>
  </si>
  <si>
    <t>1735</t>
  </si>
  <si>
    <t>https://drive.google.com/file/d/1EgM0pc0pYsBEkVz_bOeAYTbTAc85Fc-T/view?usp=drivesdk</t>
  </si>
  <si>
    <t>1EgM0pc0pYsBEkVz_bOeAYTbTAc85Fc-T</t>
  </si>
  <si>
    <t>10FwBmclFf8ShYjHW0pMk_84-69V36D_h</t>
  </si>
  <si>
    <t>https://drive.google.com/file/d/10FwBmclFf8ShYjHW0pMk_84-69V36D_h/view?usp=drivesdk</t>
  </si>
  <si>
    <t>ISTINAROH AMD KES</t>
  </si>
  <si>
    <t>istinaroh81@gmail.com</t>
  </si>
  <si>
    <t>1736</t>
  </si>
  <si>
    <t>https://drive.google.com/file/d/18DnjQAdiejkaVfrWuHGcMZUn-WCvtUld/view?usp=drivesdk</t>
  </si>
  <si>
    <t>18DnjQAdiejkaVfrWuHGcMZUn-WCvtUld</t>
  </si>
  <si>
    <t>18uifzX5SrZlJt9nJeF9C0u1nPb7r5kuP</t>
  </si>
  <si>
    <t>https://drive.google.com/file/d/18uifzX5SrZlJt9nJeF9C0u1nPb7r5kuP/view?usp=drivesdk</t>
  </si>
  <si>
    <t>DIANA PAPILAYA, S.Tr.Kes</t>
  </si>
  <si>
    <t>dianarochmat@gmail.com</t>
  </si>
  <si>
    <t>1737</t>
  </si>
  <si>
    <t>https://drive.google.com/file/d/1K3K7uP0ZfyVDZkWnC2QauCXuoFUI70cc/view?usp=drivesdk</t>
  </si>
  <si>
    <t>1K3K7uP0ZfyVDZkWnC2QauCXuoFUI70cc</t>
  </si>
  <si>
    <t>1-TiBKDPpKpQAkOhP_pbulc0GYfIgztzd</t>
  </si>
  <si>
    <t>https://drive.google.com/file/d/1-TiBKDPpKpQAkOhP_pbulc0GYfIgztzd/view?usp=drivesdk</t>
  </si>
  <si>
    <t>Document successfully created; Document successfully merged; PDF created; !!Error Sending Emails: Service invoked too many times for one day: email.; Manually run by ecertificate75@gmail.com; Timestamp: Aug 31 2024 2:10 AM</t>
  </si>
  <si>
    <t>MAYA SETIA NINGRUM</t>
  </si>
  <si>
    <t>setianingrummaya54@gmail.com</t>
  </si>
  <si>
    <t>1738</t>
  </si>
  <si>
    <t>https://drive.google.com/file/d/1TRb9zndTmjoD5XQXCUQ-0k98bcldU9xw/view?usp=drivesdk</t>
  </si>
  <si>
    <t>1TRb9zndTmjoD5XQXCUQ-0k98bcldU9xw</t>
  </si>
  <si>
    <t>1ZV_xsu_geHh1UAp0ziaABDScgxhRnzia</t>
  </si>
  <si>
    <t>https://drive.google.com/file/d/1ZV_xsu_geHh1UAp0ziaABDScgxhRnzia/view?usp=drivesdk</t>
  </si>
  <si>
    <t>SANROIDA SAGALA, S.S</t>
  </si>
  <si>
    <t>sandra_ayu_79@yahoo.com</t>
  </si>
  <si>
    <t>1739</t>
  </si>
  <si>
    <t>https://drive.google.com/file/d/1WielJi8mu7EI_ZRjAj18N2Ud_FUgew_A/view?usp=drivesdk</t>
  </si>
  <si>
    <t>1WielJi8mu7EI_ZRjAj18N2Ud_FUgew_A</t>
  </si>
  <si>
    <t>1LwpzeZ92U1PM0e85vVMXu9EgZQGbv2t0</t>
  </si>
  <si>
    <t>https://drive.google.com/file/d/1LwpzeZ92U1PM0e85vVMXu9EgZQGbv2t0/view?usp=drivesdk</t>
  </si>
  <si>
    <t>DOMINGGUS DELLAWA RAPA', A.Md.Kom.</t>
  </si>
  <si>
    <t>dominggusdrapa@gmail.com</t>
  </si>
  <si>
    <t>1740</t>
  </si>
  <si>
    <t>https://drive.google.com/file/d/1KmO_XFopI00b29lqIyfxTRrF6cUsDE3T/view?usp=drivesdk</t>
  </si>
  <si>
    <t>1KmO_XFopI00b29lqIyfxTRrF6cUsDE3T</t>
  </si>
  <si>
    <t>1ivRo2-4XyswBnEol19iWylPXhIShJ4ta</t>
  </si>
  <si>
    <t>https://drive.google.com/file/d/1ivRo2-4XyswBnEol19iWylPXhIShJ4ta/view?usp=drivesdk</t>
  </si>
  <si>
    <t>FATMAWATY POLILI, AMD.KEP</t>
  </si>
  <si>
    <t>fatmawatypolili05@gmail.com</t>
  </si>
  <si>
    <t>1741</t>
  </si>
  <si>
    <t>https://drive.google.com/file/d/1KKsvWOLTzbp9jFeobmZdaLprIcWjXXS5/view?usp=drivesdk</t>
  </si>
  <si>
    <t>1KKsvWOLTzbp9jFeobmZdaLprIcWjXXS5</t>
  </si>
  <si>
    <t>18txo2_e9YMFGQgqNcT_JyJQ3r-rVnARf</t>
  </si>
  <si>
    <t>https://drive.google.com/file/d/18txo2_e9YMFGQgqNcT_JyJQ3r-rVnARf/view?usp=drivesdk</t>
  </si>
  <si>
    <t>NUR ANISAH SIREGAR, S.E.</t>
  </si>
  <si>
    <t>nuranisahsiregar@gmail.com</t>
  </si>
  <si>
    <t>1742</t>
  </si>
  <si>
    <t>https://drive.google.com/file/d/1fdNdTIOY-svvPK6oF-7A2XW1TPJDfrS7/view?usp=drivesdk</t>
  </si>
  <si>
    <t>1fdNdTIOY-svvPK6oF-7A2XW1TPJDfrS7</t>
  </si>
  <si>
    <t>1xYul2JxA0vjOpTLtQaIIHQ2xFQZrPsfu</t>
  </si>
  <si>
    <t>https://drive.google.com/file/d/1xYul2JxA0vjOpTLtQaIIHQ2xFQZrPsfu/view?usp=drivesdk</t>
  </si>
  <si>
    <t>Document successfully created; Document successfully merged; PDF created; !!Error Sending Emails: Service invoked too many times for one day: email.; Manually run by ecertificate75@gmail.com; Timestamp: Aug 31 2024 2:11 AM</t>
  </si>
  <si>
    <t>VIVI SUMANTI,SKM</t>
  </si>
  <si>
    <t>vivivinza4@gmail.com</t>
  </si>
  <si>
    <t>1743</t>
  </si>
  <si>
    <t>https://drive.google.com/file/d/1ZcKfoInad7fY2Esb04MAtPM7RzEqLox_/view?usp=drivesdk</t>
  </si>
  <si>
    <t>1ZcKfoInad7fY2Esb04MAtPM7RzEqLox_</t>
  </si>
  <si>
    <t>1d7hTAhVS7GfnSNwrAddgtEcCqSkYqr-Y</t>
  </si>
  <si>
    <t>https://drive.google.com/file/d/1d7hTAhVS7GfnSNwrAddgtEcCqSkYqr-Y/view?usp=drivesdk</t>
  </si>
  <si>
    <t>SUHARTIHARTI</t>
  </si>
  <si>
    <t>hartinew78@gmail.com</t>
  </si>
  <si>
    <t>1744</t>
  </si>
  <si>
    <t>https://drive.google.com/file/d/10FcdjyvcbjIlOJsJnKAK5BNN0ZxjrUp_/view?usp=drivesdk</t>
  </si>
  <si>
    <t>10FcdjyvcbjIlOJsJnKAK5BNN0ZxjrUp_</t>
  </si>
  <si>
    <t>1pTQHRxsq1vxCDqKoB6Ozy7sme9DPsgBf</t>
  </si>
  <si>
    <t>https://drive.google.com/file/d/1pTQHRxsq1vxCDqKoB6Ozy7sme9DPsgBf/view?usp=drivesdk</t>
  </si>
  <si>
    <t>YENI DIAH MIRANTI</t>
  </si>
  <si>
    <t>yenidiahmiranti2009@gmail.com</t>
  </si>
  <si>
    <t>1745</t>
  </si>
  <si>
    <t>https://drive.google.com/file/d/1o5jTx2MpYrWzp2XpjU13REUIvZhLkRai/view?usp=drivesdk</t>
  </si>
  <si>
    <t>1o5jTx2MpYrWzp2XpjU13REUIvZhLkRai</t>
  </si>
  <si>
    <t>1kkhPrEwHLYtjrREmoZUeMYk3MGlk6eF4</t>
  </si>
  <si>
    <t>https://drive.google.com/file/d/1kkhPrEwHLYtjrREmoZUeMYk3MGlk6eF4/view?usp=drivesdk</t>
  </si>
  <si>
    <t>KASIH HARTIWI, S.Sos.</t>
  </si>
  <si>
    <t>kasihtiwi76@gmail.com</t>
  </si>
  <si>
    <t>1746</t>
  </si>
  <si>
    <t>https://drive.google.com/file/d/1PIqiTxmIAqNPWZU_9dFeim6aymYPmuFZ/view?usp=drivesdk</t>
  </si>
  <si>
    <t>1PIqiTxmIAqNPWZU_9dFeim6aymYPmuFZ</t>
  </si>
  <si>
    <t>1hMDdQzNwR4WqMn0i23XXClkjzY1dJwqn</t>
  </si>
  <si>
    <t>https://drive.google.com/file/d/1hMDdQzNwR4WqMn0i23XXClkjzY1dJwqn/view?usp=drivesdk</t>
  </si>
  <si>
    <t>PENGATUR TK I HASNAH</t>
  </si>
  <si>
    <t>hasnahmedan30@gmail.com</t>
  </si>
  <si>
    <t>1747</t>
  </si>
  <si>
    <t>https://drive.google.com/file/d/1REdvLw6DZFlaPJeUzr5MiBUAT6XZZRC-/view?usp=drivesdk</t>
  </si>
  <si>
    <t>1REdvLw6DZFlaPJeUzr5MiBUAT6XZZRC-</t>
  </si>
  <si>
    <t>1e24Dh5lirqTwaHFboepMorVvG6JIFjWi</t>
  </si>
  <si>
    <t>https://drive.google.com/file/d/1e24Dh5lirqTwaHFboepMorVvG6JIFjWi/view?usp=drivesdk</t>
  </si>
  <si>
    <t>HARLY MARWANSYAH</t>
  </si>
  <si>
    <t>bidkeukaltara@gmail.com</t>
  </si>
  <si>
    <t>1748</t>
  </si>
  <si>
    <t>https://drive.google.com/file/d/1w3VFYtYJX6Y-DsttZLQX59JiPSj5Q33m/view?usp=drivesdk</t>
  </si>
  <si>
    <t>1w3VFYtYJX6Y-DsttZLQX59JiPSj5Q33m</t>
  </si>
  <si>
    <t>1VxXToThLW5k86zag5TBdx7ujTsu3rfrn</t>
  </si>
  <si>
    <t>https://drive.google.com/file/d/1VxXToThLW5k86zag5TBdx7ujTsu3rfrn/view?usp=drivesdk</t>
  </si>
  <si>
    <t>SISMALIA AMKEB</t>
  </si>
  <si>
    <t>sisglowdamour@gmail.com</t>
  </si>
  <si>
    <t>1749</t>
  </si>
  <si>
    <t>https://drive.google.com/file/d/1vAiaZxc420KJwwDSRrPHWEEOo5IX0Bje/view?usp=drivesdk</t>
  </si>
  <si>
    <t>1vAiaZxc420KJwwDSRrPHWEEOo5IX0Bje</t>
  </si>
  <si>
    <t>1kVKteFMERDyI7dm2FcMoryhDBiYu1o05</t>
  </si>
  <si>
    <t>https://drive.google.com/file/d/1kVKteFMERDyI7dm2FcMoryhDBiYu1o05/view?usp=drivesdk</t>
  </si>
  <si>
    <t>Document successfully created; Document successfully merged; PDF created; !!Error Sending Emails: Service invoked too many times for one day: email.; Manually run by ecertificate75@gmail.com; Timestamp: Aug 31 2024 1:16 AM</t>
  </si>
  <si>
    <t>DIYAH SAKTI PUSPANDARI</t>
  </si>
  <si>
    <t>diyahsakti01@gmail.com</t>
  </si>
  <si>
    <t>1750</t>
  </si>
  <si>
    <t>https://drive.google.com/file/d/12NjXqfioOnoJMa7YVNpM2DFAR8avsA6o/view?usp=drivesdk</t>
  </si>
  <si>
    <t>12NjXqfioOnoJMa7YVNpM2DFAR8avsA6o</t>
  </si>
  <si>
    <t>1Rdn5AKOJe3pTtvNogvzulLsdLWtgxbdJ</t>
  </si>
  <si>
    <t>https://drive.google.com/file/d/1Rdn5AKOJe3pTtvNogvzulLsdLWtgxbdJ/view?usp=drivesdk</t>
  </si>
  <si>
    <t>ILA AULIA APRILIA</t>
  </si>
  <si>
    <t>ilaaulia820@gmail.com</t>
  </si>
  <si>
    <t>1751</t>
  </si>
  <si>
    <t>https://drive.google.com/file/d/1gZbbMRUpUCy0J5Va5q-FZfGjJqJf3rQZ/view?usp=drivesdk</t>
  </si>
  <si>
    <t>1gZbbMRUpUCy0J5Va5q-FZfGjJqJf3rQZ</t>
  </si>
  <si>
    <t>1bp5uT0vr4ysd1-i4_RPJTEjWZUudBoUI</t>
  </si>
  <si>
    <t>https://drive.google.com/file/d/1bp5uT0vr4ysd1-i4_RPJTEjWZUudBoUI/view?usp=drivesdk</t>
  </si>
  <si>
    <t>RAMJANI ANDATU ST.</t>
  </si>
  <si>
    <t>ramjani14andatu@gmail.com</t>
  </si>
  <si>
    <t>1752</t>
  </si>
  <si>
    <t>https://drive.google.com/file/d/11dpqTQGro1AJOHP0rvLA5BLri9ZCXZGT/view?usp=drivesdk</t>
  </si>
  <si>
    <t>11dpqTQGro1AJOHP0rvLA5BLri9ZCXZGT</t>
  </si>
  <si>
    <t>1ykd7UYreWO6V6J6UuDApdRglzNGc2j4Q</t>
  </si>
  <si>
    <t>https://drive.google.com/file/d/1ykd7UYreWO6V6J6UuDApdRglzNGc2j4Q/view?usp=drivesdk</t>
  </si>
  <si>
    <t>RIDHO MANGARA SITORUS, S.KOM., M.A.P.</t>
  </si>
  <si>
    <t>ridho2186@gmail.com</t>
  </si>
  <si>
    <t>1753</t>
  </si>
  <si>
    <t>Starting at Thu Aug 29 2024 21:04:53 GMT-0400 (EDT)</t>
  </si>
  <si>
    <t>1QGTVRxLZBQfEAqmWFlgvhHYIbiZF7l6P</t>
  </si>
  <si>
    <t>https://drive.google.com/file/d/1QGTVRxLZBQfEAqmWFlgvhHYIbiZF7l6P/view?usp=drivesdk</t>
  </si>
  <si>
    <t>Document successfully created; Document successfully merged; PDF created; !!Error Sending Emails: Service invoked too many times for one day: email.; Manually run by ecertificate75@gmail.com; Timestamp: Aug 31 2024 1:17 AM</t>
  </si>
  <si>
    <t>NOVIA SRI WULANDARI, A. Md.Kep</t>
  </si>
  <si>
    <t>noviasriwulandari04@gmail.com</t>
  </si>
  <si>
    <t>1754</t>
  </si>
  <si>
    <t>https://drive.google.com/file/d/1fEMJruxxuHlSE99uo6u5laEZNYTCTPuI/view?usp=drivesdk</t>
  </si>
  <si>
    <t>1fEMJruxxuHlSE99uo6u5laEZNYTCTPuI</t>
  </si>
  <si>
    <t>11b0Q6sliYGCpZCTcewFcYfSqwq9TBjcf</t>
  </si>
  <si>
    <t>https://drive.google.com/file/d/11b0Q6sliYGCpZCTcewFcYfSqwq9TBjcf/view?usp=drivesdk</t>
  </si>
  <si>
    <t>YAHYA SUKARNO PRATAMA, A.Md.Kep., S.Kep</t>
  </si>
  <si>
    <t>yahya.sp39@gmail.com</t>
  </si>
  <si>
    <t>1755</t>
  </si>
  <si>
    <t>https://drive.google.com/file/d/1If5EfNni2dMkrWvzQGre7ziLkb1mnMB_/view?usp=drivesdk</t>
  </si>
  <si>
    <t>1If5EfNni2dMkrWvzQGre7ziLkb1mnMB_</t>
  </si>
  <si>
    <t>1uftH3SoXD9chN0urr_cTJdbqsOBX_pNz</t>
  </si>
  <si>
    <t>https://drive.google.com/file/d/1uftH3SoXD9chN0urr_cTJdbqsOBX_pNz/view?usp=drivesdk</t>
  </si>
  <si>
    <t>AHMAD BONNY ZAMRONI</t>
  </si>
  <si>
    <t>roni3571@gmail.com</t>
  </si>
  <si>
    <t>1756</t>
  </si>
  <si>
    <t>https://drive.google.com/file/d/1mTt5ID8MSP4Xfhf4pvm8W-YMsi1_PqQ4/view?usp=drivesdk</t>
  </si>
  <si>
    <t>1mTt5ID8MSP4Xfhf4pvm8W-YMsi1_PqQ4</t>
  </si>
  <si>
    <t>1gglSVIU0H6bN0G7_X0D-NiYl2FVgqxwC</t>
  </si>
  <si>
    <t>https://drive.google.com/file/d/1gglSVIU0H6bN0G7_X0D-NiYl2FVgqxwC/view?usp=drivesdk</t>
  </si>
  <si>
    <t>IDHAM HALID, AMD KEP</t>
  </si>
  <si>
    <t>idhamhalid95@gmail.com</t>
  </si>
  <si>
    <t>1757</t>
  </si>
  <si>
    <t>https://drive.google.com/file/d/15KO3IFGYdoc-EdqtTwtEr021DHvQPUyj/view?usp=drivesdk</t>
  </si>
  <si>
    <t>15KO3IFGYdoc-EdqtTwtEr021DHvQPUyj</t>
  </si>
  <si>
    <t>1jZCkc6BR2BCNww73fEMxPkV2aUz_ZiKO</t>
  </si>
  <si>
    <t>https://drive.google.com/file/d/1jZCkc6BR2BCNww73fEMxPkV2aUz_ZiKO/view?usp=drivesdk</t>
  </si>
  <si>
    <t>MARTHA SEVIANI SILALAHI, S.H</t>
  </si>
  <si>
    <t>sevianimartha72@gmail.com</t>
  </si>
  <si>
    <t>1758</t>
  </si>
  <si>
    <t>https://drive.google.com/file/d/1YPl9OsTqIp14lAoQ2H6v7w2wVkfGLQeF/view?usp=drivesdk</t>
  </si>
  <si>
    <t>1YPl9OsTqIp14lAoQ2H6v7w2wVkfGLQeF</t>
  </si>
  <si>
    <t>1V-OtIob5zmLNzM2SiTNO1kpsHebKyA9f</t>
  </si>
  <si>
    <t>https://drive.google.com/file/d/1V-OtIob5zmLNzM2SiTNO1kpsHebKyA9f/view?usp=drivesdk</t>
  </si>
  <si>
    <t>INDAH IKA SARININGRUM</t>
  </si>
  <si>
    <t>indahningrun354@gmail.com</t>
  </si>
  <si>
    <t>1759</t>
  </si>
  <si>
    <t>https://drive.google.com/file/d/1Wp_UW2fq2x6z02axFLlvcpp7_0YRT7Gm/view?usp=drivesdk</t>
  </si>
  <si>
    <t>1Wp_UW2fq2x6z02axFLlvcpp7_0YRT7Gm</t>
  </si>
  <si>
    <t>1O3O50DPzzCKtYjHg6FPuiskpzTGZNND9</t>
  </si>
  <si>
    <t>https://drive.google.com/file/d/1O3O50DPzzCKtYjHg6FPuiskpzTGZNND9/view?usp=drivesdk</t>
  </si>
  <si>
    <t>DESMAN RAHMAT INSANI GIAWA</t>
  </si>
  <si>
    <t>giawa63@gmail.com</t>
  </si>
  <si>
    <t>1760</t>
  </si>
  <si>
    <t>Starting at Thu Aug 29 2024 21:04:58 GMT-0400 (EDT)</t>
  </si>
  <si>
    <t>1mRcOXtCnjCvumRDv3ZCWPZdNsTDwiBNt</t>
  </si>
  <si>
    <t>https://drive.google.com/file/d/1mRcOXtCnjCvumRDv3ZCWPZdNsTDwiBNt/view?usp=drivesdk</t>
  </si>
  <si>
    <t>Document successfully created; Document successfully merged; PDF created; !!Error Sending Emails: Service invoked too many times for one day: email.; Manually run by ecertificate75@gmail.com; Timestamp: Aug 31 2024 1:18 AM</t>
  </si>
  <si>
    <t xml:space="preserve">WAHYU ESI DILIYANTI </t>
  </si>
  <si>
    <t>wahyuesidiliyanti@gmail.com</t>
  </si>
  <si>
    <t>1761</t>
  </si>
  <si>
    <t>1W4BijnAnpl7cGWkQ5ISZTRCTiGw-pUGJ</t>
  </si>
  <si>
    <t>https://drive.google.com/file/d/1W4BijnAnpl7cGWkQ5ISZTRCTiGw-pUGJ/view?usp=drivesdk</t>
  </si>
  <si>
    <t>SARIFAH MUHDIYATI, M.Tr.Ap</t>
  </si>
  <si>
    <t>sarifahmuhdiyati@gmail.com</t>
  </si>
  <si>
    <t>1762</t>
  </si>
  <si>
    <t>https://drive.google.com/file/d/1wiDpbQco1OVbYSLvbuZrUEknJiIIgUfH/view?usp=drivesdk</t>
  </si>
  <si>
    <t>1wiDpbQco1OVbYSLvbuZrUEknJiIIgUfH</t>
  </si>
  <si>
    <t>11SKngUIvG_lmZ9as5XE7Z09YDXRrgytN</t>
  </si>
  <si>
    <t>https://drive.google.com/file/d/11SKngUIvG_lmZ9as5XE7Z09YDXRrgytN/view?usp=drivesdk</t>
  </si>
  <si>
    <t>ATIK KUSUMANINGRUM</t>
  </si>
  <si>
    <t>atikkusumaningrum5@gmail.com</t>
  </si>
  <si>
    <t>1763</t>
  </si>
  <si>
    <t>https://drive.google.com/file/d/1krTjnfDjZ6wEcHJZOaZvBbgcPWIZOyhI/view?usp=drivesdk</t>
  </si>
  <si>
    <t>1krTjnfDjZ6wEcHJZOaZvBbgcPWIZOyhI</t>
  </si>
  <si>
    <t>1AqDC8TZnGVqXe3iyykR998Vsu_JUCsCA</t>
  </si>
  <si>
    <t>https://drive.google.com/file/d/1AqDC8TZnGVqXe3iyykR998Vsu_JUCsCA/view?usp=drivesdk</t>
  </si>
  <si>
    <t>UNI AGUS WIRATNA</t>
  </si>
  <si>
    <t>uniwiratna@gmail.com</t>
  </si>
  <si>
    <t>1764</t>
  </si>
  <si>
    <t>https://drive.google.com/file/d/1RIYD8oluKcrSLnzI4NHokuR3ocNzdg-P/view?usp=drivesdk</t>
  </si>
  <si>
    <t>1RIYD8oluKcrSLnzI4NHokuR3ocNzdg-P</t>
  </si>
  <si>
    <t>1-24y7wOUaWQpWss8npwQ5OnykM6NNZ_a</t>
  </si>
  <si>
    <t>https://drive.google.com/file/d/1-24y7wOUaWQpWss8npwQ5OnykM6NNZ_a/view?usp=drivesdk</t>
  </si>
  <si>
    <t>MUHAMMAD IQBAL,AM.Rad</t>
  </si>
  <si>
    <t>iqbalmuhammad718@gmail.com</t>
  </si>
  <si>
    <t>1765</t>
  </si>
  <si>
    <t>https://drive.google.com/file/d/1JJBacU-LVrsoXx6g_FZPqcvGwB9_6FZP/view?usp=drivesdk</t>
  </si>
  <si>
    <t>1JJBacU-LVrsoXx6g_FZPqcvGwB9_6FZP</t>
  </si>
  <si>
    <t>1JbVRDrb7GtuAXpZQNJqhcp-VH3zIM33a</t>
  </si>
  <si>
    <t>https://drive.google.com/file/d/1JbVRDrb7GtuAXpZQNJqhcp-VH3zIM33a/view?usp=drivesdk</t>
  </si>
  <si>
    <t>YUNI EKO STIAWATI, A.MD</t>
  </si>
  <si>
    <t>yuniekostiawati@gmail.com</t>
  </si>
  <si>
    <t>1766</t>
  </si>
  <si>
    <t>https://drive.google.com/file/d/16T8b1BDFW-OK3bZ30UGOIihS2OYTPDNU/view?usp=drivesdk</t>
  </si>
  <si>
    <t>16T8b1BDFW-OK3bZ30UGOIihS2OYTPDNU</t>
  </si>
  <si>
    <t>1nno6wltujV6WCc45t2LgGKDUpT8qQy6P</t>
  </si>
  <si>
    <t>https://drive.google.com/file/d/1nno6wltujV6WCc45t2LgGKDUpT8qQy6P/view?usp=drivesdk</t>
  </si>
  <si>
    <t>Document successfully created; Document successfully merged; PDF created; !!Error Sending Emails: Service invoked too many times for one day: email.; Manually run by ecertificate75@gmail.com; Timestamp: Aug 31 2024 1:19 AM</t>
  </si>
  <si>
    <t>WIWIN WINDU WULAN</t>
  </si>
  <si>
    <t>Winduwinmi@gmail.com</t>
  </si>
  <si>
    <t>1767</t>
  </si>
  <si>
    <t>Starting at Thu Aug 29 2024 21:05:07 GMT-0400 (EDT)</t>
  </si>
  <si>
    <t>1U5WIR2J1-Rypos-gXptQ9VBLDHqAzqzC</t>
  </si>
  <si>
    <t>https://drive.google.com/file/d/1U5WIR2J1-Rypos-gXptQ9VBLDHqAzqzC/view?usp=drivesdk</t>
  </si>
  <si>
    <t>RIMA ANGGRIANI,A.Md.Kep</t>
  </si>
  <si>
    <t>rima.anggriani94@gmail.com</t>
  </si>
  <si>
    <t>1768</t>
  </si>
  <si>
    <t>1ZI5iEOtaL2cGoyR1ZW1T1rlgtihrGL7b</t>
  </si>
  <si>
    <t>https://drive.google.com/file/d/1ZI5iEOtaL2cGoyR1ZW1T1rlgtihrGL7b/view?usp=drivesdk</t>
  </si>
  <si>
    <t xml:space="preserve">MUHAMMAD YAMIN </t>
  </si>
  <si>
    <t>yaminmuhammad097@gmail.com</t>
  </si>
  <si>
    <t>1769</t>
  </si>
  <si>
    <t>1A4kOLOC1lLkE-ibmqOQQW88Pkxv54yzr</t>
  </si>
  <si>
    <t>https://drive.google.com/file/d/1A4kOLOC1lLkE-ibmqOQQW88Pkxv54yzr/view?usp=drivesdk</t>
  </si>
  <si>
    <t>DELIA FUTRI AMD KEP</t>
  </si>
  <si>
    <t>deliafutri16@gmail.com</t>
  </si>
  <si>
    <t>1770</t>
  </si>
  <si>
    <t>https://drive.google.com/file/d/1whNcV51DJ2zS1GLIuJL1g64uc0HQapsN/view?usp=drivesdk</t>
  </si>
  <si>
    <t>1whNcV51DJ2zS1GLIuJL1g64uc0HQapsN</t>
  </si>
  <si>
    <t>1JSthrtSAlsa-P8aZZNgdap9bVUczRt_M</t>
  </si>
  <si>
    <t>https://drive.google.com/file/d/1JSthrtSAlsa-P8aZZNgdap9bVUczRt_M/view?usp=drivesdk</t>
  </si>
  <si>
    <t>JOKO MUSTOPO, S.KOM</t>
  </si>
  <si>
    <t>jokomustopo1410@gmail.com</t>
  </si>
  <si>
    <t>1771</t>
  </si>
  <si>
    <t>https://drive.google.com/file/d/1K79Liu_0lKeVW-deh4XAS7AgS8ulDjkq/view?usp=drivesdk</t>
  </si>
  <si>
    <t>1K79Liu_0lKeVW-deh4XAS7AgS8ulDjkq</t>
  </si>
  <si>
    <t>19MEvjWVVT4Q9lxaJV4wnG3Sh3Ag3tRr5</t>
  </si>
  <si>
    <t>https://drive.google.com/file/d/19MEvjWVVT4Q9lxaJV4wnG3Sh3Ag3tRr5/view?usp=drivesdk</t>
  </si>
  <si>
    <t>Document successfully created; Document successfully merged; PDF created; !!Error Sending Emails: Service invoked too many times for one day: email.; Manually run by ecertificate75@gmail.com; Timestamp: Aug 31 2024 1:20 AM</t>
  </si>
  <si>
    <t>NOVI MAULIDA, S.AK</t>
  </si>
  <si>
    <t>novimaulida69@gmail.com</t>
  </si>
  <si>
    <t>1772</t>
  </si>
  <si>
    <t>Starting at Thu Aug 29 2024 21:05:10 GMT-0400 (EDT)</t>
  </si>
  <si>
    <t>1mEjd-jLtqHQl8wV3yAcaSKgE9dYk07QP</t>
  </si>
  <si>
    <t>https://drive.google.com/file/d/1mEjd-jLtqHQl8wV3yAcaSKgE9dYk07QP/view?usp=drivesdk</t>
  </si>
  <si>
    <t>MURNIANUR AMDKEB</t>
  </si>
  <si>
    <t>murnianuratz150913@gmail.com</t>
  </si>
  <si>
    <t>1773</t>
  </si>
  <si>
    <t>https://drive.google.com/file/d/1q6PhMLB4dPNAC896q8FwgcFeLm4D_Dpz/view?usp=drivesdk</t>
  </si>
  <si>
    <t>1q6PhMLB4dPNAC896q8FwgcFeLm4D_Dpz</t>
  </si>
  <si>
    <t>1Oee7dpGfY0aRW4owBEgYK95465bHZ1Dl</t>
  </si>
  <si>
    <t>https://drive.google.com/file/d/1Oee7dpGfY0aRW4owBEgYK95465bHZ1Dl/view?usp=drivesdk</t>
  </si>
  <si>
    <t>CECEP ASEP SAEPUDIN SE</t>
  </si>
  <si>
    <t>ascecep1972@gmail.com</t>
  </si>
  <si>
    <t>1774</t>
  </si>
  <si>
    <t>https://drive.google.com/file/d/1nC-81TAetsEspUwRGCnqdL_CZyoj0FOt/view?usp=drivesdk</t>
  </si>
  <si>
    <t>1nC-81TAetsEspUwRGCnqdL_CZyoj0FOt</t>
  </si>
  <si>
    <t>1H4FNXYQX1PDkdjlTFS9Rc-wkxH7IIWPO</t>
  </si>
  <si>
    <t>https://drive.google.com/file/d/1H4FNXYQX1PDkdjlTFS9Rc-wkxH7IIWPO/view?usp=drivesdk</t>
  </si>
  <si>
    <t xml:space="preserve">HAJI SAPRI HIDAYAT </t>
  </si>
  <si>
    <t>sapri.hidayat68@gmail.com</t>
  </si>
  <si>
    <t>1775</t>
  </si>
  <si>
    <t>Starting at Thu Aug 29 2024 21:05:14 GMT-0400 (EDT)</t>
  </si>
  <si>
    <t>1N_j_6zYT6H-VNNXLjFNq05kgmITwxcrV</t>
  </si>
  <si>
    <t>https://drive.google.com/file/d/1N_j_6zYT6H-VNNXLjFNq05kgmITwxcrV/view?usp=drivesdk</t>
  </si>
  <si>
    <t xml:space="preserve">TAUFIQ HIDAYATTULLOH </t>
  </si>
  <si>
    <t>hidayattullohtaufiq@gmail.com</t>
  </si>
  <si>
    <t>1776</t>
  </si>
  <si>
    <t>1Ncd-N13pqNlGxFoymVHdJ-KjUXTGNAYX</t>
  </si>
  <si>
    <t>https://drive.google.com/file/d/1Ncd-N13pqNlGxFoymVHdJ-KjUXTGNAYX/view?usp=drivesdk</t>
  </si>
  <si>
    <t>TANTOWI LILIK WIJAYANTO, A.MD</t>
  </si>
  <si>
    <t>tantowililik.tl@gmail.com</t>
  </si>
  <si>
    <t>1777</t>
  </si>
  <si>
    <t>1s2hlIKQi2brIezk0J8ySPm60SLrDN-Ju</t>
  </si>
  <si>
    <t>https://drive.google.com/file/d/1s2hlIKQi2brIezk0J8ySPm60SLrDN-Ju/view?usp=drivesdk</t>
  </si>
  <si>
    <t>ANITA NUR AMALIYAH</t>
  </si>
  <si>
    <t>anitanur1983@gmail.com</t>
  </si>
  <si>
    <t>1778</t>
  </si>
  <si>
    <t>https://drive.google.com/file/d/1lOL5-AGkmLJJJ5GUQaiFN0UMDjsQiuMZ/view?usp=drivesdk</t>
  </si>
  <si>
    <t>1lOL5-AGkmLJJJ5GUQaiFN0UMDjsQiuMZ</t>
  </si>
  <si>
    <t>1DiZZX7AEzsK2iKUpzXkvMUJUMN0qMkqI</t>
  </si>
  <si>
    <t>https://drive.google.com/file/d/1DiZZX7AEzsK2iKUpzXkvMUJUMN0qMkqI/view?usp=drivesdk</t>
  </si>
  <si>
    <t>Document successfully created; Document successfully merged; PDF created; !!Error Sending Emails: Service invoked too many times for one day: email.; Manually run by ecertificate75@gmail.com; Timestamp: Aug 31 2024 2:12 AM</t>
  </si>
  <si>
    <t>IRMA AGUSVIANI, SE</t>
  </si>
  <si>
    <t>irmasampurna@gmail.com</t>
  </si>
  <si>
    <t>1779</t>
  </si>
  <si>
    <t>Starting at Thu Aug 29 2024 21:05:17 GMT-0400 (EDT)</t>
  </si>
  <si>
    <t>1T-gX2gF3fsVy9M6SANU6X2frMKIxEVeT</t>
  </si>
  <si>
    <t>https://drive.google.com/file/d/1T-gX2gF3fsVy9M6SANU6X2frMKIxEVeT/view?usp=drivesdk</t>
  </si>
  <si>
    <t>RUT ESRA SOFIA SIRAIT</t>
  </si>
  <si>
    <t>rutesrasofiasirait@gnail.com</t>
  </si>
  <si>
    <t>1780</t>
  </si>
  <si>
    <t>17Sum6ODFIwXa6I4nVonZBrEplfJmkzr3</t>
  </si>
  <si>
    <t>https://drive.google.com/file/d/17Sum6ODFIwXa6I4nVonZBrEplfJmkzr3/view?usp=drivesdk</t>
  </si>
  <si>
    <t>ENI WAHYUNUGRAYATI, S.H., M.H.</t>
  </si>
  <si>
    <t>nugrayati174@gmail.com</t>
  </si>
  <si>
    <t>1781</t>
  </si>
  <si>
    <t>https://drive.google.com/file/d/12maLUwnbL_Zf_1vRBlzsQeoSMmGNDXCy/view?usp=drivesdk</t>
  </si>
  <si>
    <t>12maLUwnbL_Zf_1vRBlzsQeoSMmGNDXCy</t>
  </si>
  <si>
    <t>1cBwjg0kWAVYcFxVgL-y7TpDRA4JV6i4M</t>
  </si>
  <si>
    <t>https://drive.google.com/file/d/1cBwjg0kWAVYcFxVgL-y7TpDRA4JV6i4M/view?usp=drivesdk</t>
  </si>
  <si>
    <t>MEI SUCI WULANDARI, A.Md.</t>
  </si>
  <si>
    <t>meisuciwulandari16@gmail.com</t>
  </si>
  <si>
    <t>1782</t>
  </si>
  <si>
    <t>https://drive.google.com/file/d/1K4FQGWyvgtEEfjNccm-PEwjhAYRvkrfW/view?usp=drivesdk</t>
  </si>
  <si>
    <t>1K4FQGWyvgtEEfjNccm-PEwjhAYRvkrfW</t>
  </si>
  <si>
    <t>1fLASb9EMQgK3pALX4JybTBjOLpxsJhaQ</t>
  </si>
  <si>
    <t>https://drive.google.com/file/d/1fLASb9EMQgK3pALX4JybTBjOLpxsJhaQ/view?usp=drivesdk</t>
  </si>
  <si>
    <t>NADILA PUTRIWATI LAMANTA,S.Kep.Ns</t>
  </si>
  <si>
    <t>laraslamanta123@gmail.com</t>
  </si>
  <si>
    <t>1783</t>
  </si>
  <si>
    <t>Starting at Thu Aug 29 2024 21:05:21 GMT-0400 (EDT)</t>
  </si>
  <si>
    <t>1pv6Fg2o0xjq9AvWFmYQVMIwsS27MvEkd</t>
  </si>
  <si>
    <t>https://drive.google.com/file/d/1pv6Fg2o0xjq9AvWFmYQVMIwsS27MvEkd/view?usp=drivesdk</t>
  </si>
  <si>
    <t>YANMA POLRI</t>
  </si>
  <si>
    <t>ELA NOVITA SARI, A.Md.Ak.</t>
  </si>
  <si>
    <t>ini.elanovitasari@gmail.com</t>
  </si>
  <si>
    <t>1784</t>
  </si>
  <si>
    <t>1Ll4wjfWBgeh2wij-aEpKM1wuV6e6jpmk</t>
  </si>
  <si>
    <t>https://drive.google.com/file/d/1Ll4wjfWBgeh2wij-aEpKM1wuV6e6jpmk/view?usp=drivesdk</t>
  </si>
  <si>
    <t>Document successfully created; Document successfully merged; PDF created; !!Error Sending Emails: Service invoked too many times for one day: email.; Manually run by ecertificate75@gmail.com; Timestamp: Aug 31 2024 2:13 AM</t>
  </si>
  <si>
    <t>dwienuc@gmail.com</t>
  </si>
  <si>
    <t>1785</t>
  </si>
  <si>
    <t>https://drive.google.com/file/d/1bxgscf0tjhJxdWiWBzosNPIdQ6-UKE7Z/view?usp=drivesdk</t>
  </si>
  <si>
    <t>1bxgscf0tjhJxdWiWBzosNPIdQ6-UKE7Z</t>
  </si>
  <si>
    <t>1nA4nwiuA6luhJ98DQPns5L_CT8Cr2Fkw</t>
  </si>
  <si>
    <t>https://drive.google.com/file/d/1nA4nwiuA6luhJ98DQPns5L_CT8Cr2Fkw/view?usp=drivesdk</t>
  </si>
  <si>
    <t>DWI PUTRI INDAH ROSYAWATI</t>
  </si>
  <si>
    <t>ezzelmyprince270311@gmail.com</t>
  </si>
  <si>
    <t>1786</t>
  </si>
  <si>
    <t>https://drive.google.com/file/d/1-9WhgO8QxP3ULDWzIGDhH-kb3IMnzRmB/view?usp=drivesdk</t>
  </si>
  <si>
    <t>1-9WhgO8QxP3ULDWzIGDhH-kb3IMnzRmB</t>
  </si>
  <si>
    <t>1o2O8UBYznnMPbolXe04xjDYSJtemwA0E</t>
  </si>
  <si>
    <t>https://drive.google.com/file/d/1o2O8UBYznnMPbolXe04xjDYSJtemwA0E/view?usp=drivesdk</t>
  </si>
  <si>
    <t>SATUKI HADISUSANTO</t>
  </si>
  <si>
    <t>satukihadisusanto@gmail.com</t>
  </si>
  <si>
    <t>1787</t>
  </si>
  <si>
    <t>Starting at Thu Aug 29 2024 21:05:24 GMT-0400 (EDT)</t>
  </si>
  <si>
    <t>14oMUV12dBnXiZeaacIxHcOnjWBUf2nzM</t>
  </si>
  <si>
    <t>https://drive.google.com/file/d/14oMUV12dBnXiZeaacIxHcOnjWBUf2nzM/view?usp=drivesdk</t>
  </si>
  <si>
    <t>HENDRINA LAKBUR LAWAL</t>
  </si>
  <si>
    <t>hendrinalakburlawal01@gmail.com</t>
  </si>
  <si>
    <t>1788</t>
  </si>
  <si>
    <t>1WAulABygH-ElHbqGYkvSLHPre6ZfGE6R</t>
  </si>
  <si>
    <t>https://drive.google.com/file/d/1WAulABygH-ElHbqGYkvSLHPre6ZfGE6R/view?usp=drivesdk</t>
  </si>
  <si>
    <t>INDAH SURYANI, A</t>
  </si>
  <si>
    <t>Indahiney01@yahoo.con</t>
  </si>
  <si>
    <t>1789</t>
  </si>
  <si>
    <t>Starting at Thu Aug 29 2024 21:05:25 GMT-0400 (EDT)</t>
  </si>
  <si>
    <t>1Bxt94yD_Nj9Y8HxajfzV1bfD86fdGfCh</t>
  </si>
  <si>
    <t>https://drive.google.com/file/d/1Bxt94yD_Nj9Y8HxajfzV1bfD86fdGfCh/view?usp=drivesdk</t>
  </si>
  <si>
    <t>Document successfully created; Document successfully merged; PDF created; !!Error Sending Emails: Service invoked too many times for one day: email.; Manually run by ecertificate75@gmail.com; Timestamp: Aug 31 2024 2:14 AM</t>
  </si>
  <si>
    <t>DIAN MAYA SARI POHAN,SKM</t>
  </si>
  <si>
    <t>pohan59@gmail.com</t>
  </si>
  <si>
    <t>1790</t>
  </si>
  <si>
    <t>https://drive.google.com/file/d/1-XH78EL7sP44gYsyTDy6WCMn7IzRCnR3/view?usp=drivesdk</t>
  </si>
  <si>
    <t>Document successfully created; Document successfully merged; PDF created; !!Error Sending Emails: Service invoked too many times for one day: email.; Run via form trigger as ecertificate75@gmail.com; Timestamp: Aug 29 2024 9:06 PM</t>
  </si>
  <si>
    <t>1-XH78EL7sP44gYsyTDy6WCMn7IzRCnR3</t>
  </si>
  <si>
    <t>1q2buc9nBbiFj6XhI6pJSmPcG_WV4NfGu</t>
  </si>
  <si>
    <t>https://drive.google.com/file/d/1q2buc9nBbiFj6XhI6pJSmPcG_WV4NfGu/view?usp=drivesdk</t>
  </si>
  <si>
    <t>AGUS AGUS AGUS</t>
  </si>
  <si>
    <t>aguswastama02@gmail.com</t>
  </si>
  <si>
    <t>1791</t>
  </si>
  <si>
    <t>https://drive.google.com/file/d/1UqN-lh_X-iI2U0S9xuob6xTK_r9zcF2s/view?usp=drivesdk</t>
  </si>
  <si>
    <t>1UqN-lh_X-iI2U0S9xuob6xTK_r9zcF2s</t>
  </si>
  <si>
    <t>1JOuu5n_9KsnjJ1GroZtRFeg_j5moBj9g</t>
  </si>
  <si>
    <t>https://drive.google.com/file/d/1JOuu5n_9KsnjJ1GroZtRFeg_j5moBj9g/view?usp=drivesdk</t>
  </si>
  <si>
    <t>ILHAM ADITIA CHANDRA</t>
  </si>
  <si>
    <t>aditiailham71@gmail.com</t>
  </si>
  <si>
    <t>1792</t>
  </si>
  <si>
    <t>https://drive.google.com/file/d/1WAxi65R2xR2sE2yrV__-W8MZ1RkBfVCS/view?usp=drivesdk</t>
  </si>
  <si>
    <t>1WAxi65R2xR2sE2yrV__-W8MZ1RkBfVCS</t>
  </si>
  <si>
    <t>1QmN-YbL1wPy0zCRdiLX4BCfVrEW643QA</t>
  </si>
  <si>
    <t>https://drive.google.com/file/d/1QmN-YbL1wPy0zCRdiLX4BCfVrEW643QA/view?usp=drivesdk</t>
  </si>
  <si>
    <t>ICIH KARSAH BIN SUPARJA</t>
  </si>
  <si>
    <t>icihkarsah67@gmail.com</t>
  </si>
  <si>
    <t>1793</t>
  </si>
  <si>
    <t>https://drive.google.com/file/d/1EvYpkJ-8ofVzp4QhZjz0xGchWaOLxb-Z/view?usp=drivesdk</t>
  </si>
  <si>
    <t>1EvYpkJ-8ofVzp4QhZjz0xGchWaOLxb-Z</t>
  </si>
  <si>
    <t>1B7Dx7xhqrv5KwjRVWYf5DY56AT7rQJTn</t>
  </si>
  <si>
    <t>https://drive.google.com/file/d/1B7Dx7xhqrv5KwjRVWYf5DY56AT7rQJTn/view?usp=drivesdk</t>
  </si>
  <si>
    <t>NETI APRIYATI, S.E, M.M.</t>
  </si>
  <si>
    <t>netirasyid71@gmail.com</t>
  </si>
  <si>
    <t>1794</t>
  </si>
  <si>
    <t>https://drive.google.com/file/d/1magmrN3jNXKJTZUhf3iHV6ByQ_cCDk98/view?usp=drivesdk</t>
  </si>
  <si>
    <t>Document successfully created; Document successfully merged; PDF created; !!Error Sending Emails: Service invoked too many times for one day: email.; Run via form trigger as ecertificate75@gmail.com; Timestamp: Aug 29 2024 9:07 PM</t>
  </si>
  <si>
    <t>1magmrN3jNXKJTZUhf3iHV6ByQ_cCDk98</t>
  </si>
  <si>
    <t>1vW2H303kXCHuEq2DDJ0BCnYNtYRPVZZf</t>
  </si>
  <si>
    <t>https://drive.google.com/file/d/1vW2H303kXCHuEq2DDJ0BCnYNtYRPVZZf/view?usp=drivesdk</t>
  </si>
  <si>
    <t>Document successfully created; Document successfully merged; PDF created; !!Error Sending Emails: Service invoked too many times for one day: email.; Manually run by ecertificate75@gmail.com; Timestamp: Aug 31 2024 2:15 AM</t>
  </si>
  <si>
    <t>wahyuningsihw816@gmail.com</t>
  </si>
  <si>
    <t>1795</t>
  </si>
  <si>
    <t>https://drive.google.com/file/d/1WwjOpq4sGC-Naw2VRDT-slFYsl2vu4CU/view?usp=drivesdk</t>
  </si>
  <si>
    <t>1WwjOpq4sGC-Naw2VRDT-slFYsl2vu4CU</t>
  </si>
  <si>
    <t>1ZTGdEvcVnvPqhaC1O7EZX3KxEHOjX_MO</t>
  </si>
  <si>
    <t>https://drive.google.com/file/d/1ZTGdEvcVnvPqhaC1O7EZX3KxEHOjX_MO/view?usp=drivesdk</t>
  </si>
  <si>
    <t>CHUT RENNY WULANSARI</t>
  </si>
  <si>
    <t>homm.galery@gmail.com</t>
  </si>
  <si>
    <t>1796</t>
  </si>
  <si>
    <t>https://drive.google.com/file/d/105HfO6TG3EDe3U3RSU3vvjHTiN3VOS17/view?usp=drivesdk</t>
  </si>
  <si>
    <t>105HfO6TG3EDe3U3RSU3vvjHTiN3VOS17</t>
  </si>
  <si>
    <t>1JJkclV5l5dAxI_W_H4Gp4DkHD7ihaRaj</t>
  </si>
  <si>
    <t>https://drive.google.com/file/d/1JJkclV5l5dAxI_W_H4Gp4DkHD7ihaRaj/view?usp=drivesdk</t>
  </si>
  <si>
    <t>SRI SUGIYANTI</t>
  </si>
  <si>
    <t>yanti.pudji@yahoo.co.id</t>
  </si>
  <si>
    <t>1797</t>
  </si>
  <si>
    <t>https://drive.google.com/file/d/1RkdvAhYex9MIpFdlCFyYhqgFAjQByw7n/view?usp=drivesdk</t>
  </si>
  <si>
    <t>Document successfully created; Document successfully merged; PDF created; !!Error Sending Emails: Service invoked too many times for one day: email.; Run via form trigger as ecertificate75@gmail.com; Timestamp: Aug 29 2024 9:08 PM</t>
  </si>
  <si>
    <t>1RkdvAhYex9MIpFdlCFyYhqgFAjQByw7n</t>
  </si>
  <si>
    <t>1QPn5xi1VWUee9SS82vrhC3qMdwkwZZny</t>
  </si>
  <si>
    <t>https://drive.google.com/file/d/1QPn5xi1VWUee9SS82vrhC3qMdwkwZZny/view?usp=drivesdk</t>
  </si>
  <si>
    <t>WINDI ANDINI PUSPITASARI, S.M.</t>
  </si>
  <si>
    <t>ndypuspita82@gmail.com</t>
  </si>
  <si>
    <t>1798</t>
  </si>
  <si>
    <t>https://drive.google.com/file/d/1LWIJemmQazAhGlbaP1dckJ4IUgcpoxSR/view?usp=drivesdk</t>
  </si>
  <si>
    <t>1LWIJemmQazAhGlbaP1dckJ4IUgcpoxSR</t>
  </si>
  <si>
    <t>1p0W7mMM39A5ZZsT3_EZ0BwCtwflwFcMd</t>
  </si>
  <si>
    <t>https://drive.google.com/file/d/1p0W7mMM39A5ZZsT3_EZ0BwCtwflwFcMd/view?usp=drivesdk</t>
  </si>
  <si>
    <t>DEWI SEPRIANI, AMK</t>
  </si>
  <si>
    <t>dewi.anggista@gmail.com</t>
  </si>
  <si>
    <t>1799</t>
  </si>
  <si>
    <t>https://drive.google.com/file/d/19Sj_Qjd4NtQ4HJ4lDM-XVriDMDJjNeF4/view?usp=drivesdk</t>
  </si>
  <si>
    <t>19Sj_Qjd4NtQ4HJ4lDM-XVriDMDJjNeF4</t>
  </si>
  <si>
    <t>1MnbVvQ92VXQxsoY5OOnBYrXLFPmRP0QH</t>
  </si>
  <si>
    <t>https://drive.google.com/file/d/1MnbVvQ92VXQxsoY5OOnBYrXLFPmRP0QH/view?usp=drivesdk</t>
  </si>
  <si>
    <t>Document successfully created; Document successfully merged; PDF created; !!Error Sending Emails: Service invoked too many times for one day: email.; Manually run by ecertificate75@gmail.com; Timestamp: Aug 31 2024 2:16 AM</t>
  </si>
  <si>
    <t>HERU SANTOSO SE</t>
  </si>
  <si>
    <t>herusand1971@gmail.com</t>
  </si>
  <si>
    <t>1800</t>
  </si>
  <si>
    <t>https://drive.google.com/file/d/1vDP6AEsi53GpOSdnWsjDyry4QTqvbBUp/view?usp=drivesdk</t>
  </si>
  <si>
    <t>Document successfully created; Document successfully merged; PDF created; !!Error Sending Emails: Service invoked too many times for one day: email.; Run via form trigger as ecertificate75@gmail.com; Timestamp: Aug 29 2024 9:09 PM</t>
  </si>
  <si>
    <t>1vDP6AEsi53GpOSdnWsjDyry4QTqvbBUp</t>
  </si>
  <si>
    <t>1dmux3Pgx62VJNDV8zmmAk_LDLAmm5YiT</t>
  </si>
  <si>
    <t>https://drive.google.com/file/d/1dmux3Pgx62VJNDV8zmmAk_LDLAmm5YiT/view?usp=drivesdk</t>
  </si>
  <si>
    <t>MONANG SANTO SIBARANI, S.E.</t>
  </si>
  <si>
    <t>sibrave83@gmail.com</t>
  </si>
  <si>
    <t>1801</t>
  </si>
  <si>
    <t>https://drive.google.com/file/d/148V_i44FYLo_w8ZhjIKuCFoXg7Kkhf78/view?usp=drivesdk</t>
  </si>
  <si>
    <t>148V_i44FYLo_w8ZhjIKuCFoXg7Kkhf78</t>
  </si>
  <si>
    <t>1sWWp315efUm7d8I1x7NTVDo1g1sJ2Ru9</t>
  </si>
  <si>
    <t>https://drive.google.com/file/d/1sWWp315efUm7d8I1x7NTVDo1g1sJ2Ru9/view?usp=drivesdk</t>
  </si>
  <si>
    <t>JUMAN JUMAN JUMAN</t>
  </si>
  <si>
    <t>komandanjuman@gmail.com</t>
  </si>
  <si>
    <t>1802</t>
  </si>
  <si>
    <t>https://drive.google.com/file/d/1S8ohR7Ja_cYFZTUtOb2F45ORdW5BBbm1/view?usp=drivesdk</t>
  </si>
  <si>
    <t>1S8ohR7Ja_cYFZTUtOb2F45ORdW5BBbm1</t>
  </si>
  <si>
    <t>1dpBJ28r9-cdbpTvaS2tHlQvyFuAfdAL0</t>
  </si>
  <si>
    <t>https://drive.google.com/file/d/1dpBJ28r9-cdbpTvaS2tHlQvyFuAfdAL0/view?usp=drivesdk</t>
  </si>
  <si>
    <t>DIAN AYU SEPTIANA SIMORANGKIR</t>
  </si>
  <si>
    <t>dianseptiana510@gmail.com</t>
  </si>
  <si>
    <t>1803</t>
  </si>
  <si>
    <t>https://drive.google.com/file/d/1KYotS8THPWyU0gi8Dq5VnlF2Qm9s0IVB/view?usp=drivesdk</t>
  </si>
  <si>
    <t>1KYotS8THPWyU0gi8Dq5VnlF2Qm9s0IVB</t>
  </si>
  <si>
    <t>1aw6tUb4l9eaZhprgPmQJLeOpgPqfHvyV</t>
  </si>
  <si>
    <t>https://drive.google.com/file/d/1aw6tUb4l9eaZhprgPmQJLeOpgPqfHvyV/view?usp=drivesdk</t>
  </si>
  <si>
    <t>PENGATUR TAJERIANI</t>
  </si>
  <si>
    <t>tajeriani@gmail.com</t>
  </si>
  <si>
    <t>1804</t>
  </si>
  <si>
    <t>https://drive.google.com/file/d/1g-1-49_KPKAQt8dhshqXqMsizj61qv_V/view?usp=drivesdk</t>
  </si>
  <si>
    <t>1g-1-49_KPKAQt8dhshqXqMsizj61qv_V</t>
  </si>
  <si>
    <t>1iRpQHgJQhEJQnWVlJjpdZaXJwNbC82gG</t>
  </si>
  <si>
    <t>https://drive.google.com/file/d/1iRpQHgJQhEJQnWVlJjpdZaXJwNbC82gG/view?usp=drivesdk</t>
  </si>
  <si>
    <t>Document successfully created; Document successfully merged; PDF created; !!Error Sending Emails: Service invoked too many times for one day: email.; Manually run by ecertificate75@gmail.com; Timestamp: Aug 31 2024 2:17 AM</t>
  </si>
  <si>
    <t>IMAM NURYANTO</t>
  </si>
  <si>
    <t>Imamnizar2019@gmail.com</t>
  </si>
  <si>
    <t>1805</t>
  </si>
  <si>
    <t>https://drive.google.com/file/d/11rk0W9FOgJwcEmN8ZJDaq__wmuZpoDYH/view?usp=drivesdk</t>
  </si>
  <si>
    <t>11rk0W9FOgJwcEmN8ZJDaq__wmuZpoDYH</t>
  </si>
  <si>
    <t>1t-rnWCP8fmLO_d6T51Jjuf_iGQocsjsB</t>
  </si>
  <si>
    <t>https://drive.google.com/file/d/1t-rnWCP8fmLO_d6T51Jjuf_iGQocsjsB/view?usp=drivesdk</t>
  </si>
  <si>
    <t>FITRI DEWI KURNIA, A.Md. Kep</t>
  </si>
  <si>
    <t>fitridewikurniaa@gmail.com</t>
  </si>
  <si>
    <t>1806</t>
  </si>
  <si>
    <t>https://drive.google.com/file/d/17iX2oFueLA8RwFYhGrzZrSh6y6-EEEPf/view?usp=drivesdk</t>
  </si>
  <si>
    <t>17iX2oFueLA8RwFYhGrzZrSh6y6-EEEPf</t>
  </si>
  <si>
    <t>1u4j2EkvEJKxgSvotGghpeiTfonxOES2u</t>
  </si>
  <si>
    <t>https://drive.google.com/file/d/1u4j2EkvEJKxgSvotGghpeiTfonxOES2u/view?usp=drivesdk</t>
  </si>
  <si>
    <t>SINTA KHARISMA DEWI</t>
  </si>
  <si>
    <t>sintakharismadewi.sk@gmail.com</t>
  </si>
  <si>
    <t>1807</t>
  </si>
  <si>
    <t>https://drive.google.com/file/d/10dMzESJVreq5quJtPGQklDRDzt2ZuN-N/view?usp=drivesdk</t>
  </si>
  <si>
    <t>10dMzESJVreq5quJtPGQklDRDzt2ZuN-N</t>
  </si>
  <si>
    <t>1Phz0nnhB1dffpxWoWCaK4Y9K6VcQM5Oe</t>
  </si>
  <si>
    <t>https://drive.google.com/file/d/1Phz0nnhB1dffpxWoWCaK4Y9K6VcQM5Oe/view?usp=drivesdk</t>
  </si>
  <si>
    <t>Ns. BETNY SUSANTI, S.Kep</t>
  </si>
  <si>
    <t>betnysusanti1978@gmail.com</t>
  </si>
  <si>
    <t>1808</t>
  </si>
  <si>
    <t>https://drive.google.com/file/d/1Ktd0P2RVcA7UUtGZn7KYGkrkZbRoqRYF/view?usp=drivesdk</t>
  </si>
  <si>
    <t>1Ktd0P2RVcA7UUtGZn7KYGkrkZbRoqRYF</t>
  </si>
  <si>
    <t>1JojFQDRCsvp0iFSlLVW0FOwuyf5s-_EP</t>
  </si>
  <si>
    <t>https://drive.google.com/file/d/1JojFQDRCsvp0iFSlLVW0FOwuyf5s-_EP/view?usp=drivesdk</t>
  </si>
  <si>
    <t xml:space="preserve">AEP SAEPUDIN, AMK </t>
  </si>
  <si>
    <t>kangaepsaepudin2012@gmail.com</t>
  </si>
  <si>
    <t>1809</t>
  </si>
  <si>
    <t>https://drive.google.com/file/d/1d9cO9u4Lr1XOwyyrw7DU2uoj67dg2_oS/view?usp=drivesdk</t>
  </si>
  <si>
    <t>1d9cO9u4Lr1XOwyyrw7DU2uoj67dg2_oS</t>
  </si>
  <si>
    <t>1xxDRRYck60PVoW3aOy-poeLLEJcIrINe</t>
  </si>
  <si>
    <t>https://drive.google.com/file/d/1xxDRRYck60PVoW3aOy-poeLLEJcIrINe/view?usp=drivesdk</t>
  </si>
  <si>
    <t>mohsaleh282@gmail.com</t>
  </si>
  <si>
    <t>1810</t>
  </si>
  <si>
    <t>https://drive.google.com/file/d/1KHP6Dn32Le_Y71ZRKeJCP4RttrIq8X_n/view?usp=drivesdk</t>
  </si>
  <si>
    <t>1KHP6Dn32Le_Y71ZRKeJCP4RttrIq8X_n</t>
  </si>
  <si>
    <t>1_CFVbXBwq102lhj9-2fJAEFf80RvQyvM</t>
  </si>
  <si>
    <t>https://drive.google.com/file/d/1_CFVbXBwq102lhj9-2fJAEFf80RvQyvM/view?usp=drivesdk</t>
  </si>
  <si>
    <t>Document successfully created; Document successfully merged; PDF created; !!Error Sending Emails: Service invoked too many times for one day: email.; Manually run by ecertificate75@gmail.com; Timestamp: Aug 31 2024 2:18 AM</t>
  </si>
  <si>
    <t>EKA ASNITA SIHOMBING, SE</t>
  </si>
  <si>
    <t>ekhaasnita2@gmail.com</t>
  </si>
  <si>
    <t>1811</t>
  </si>
  <si>
    <t>https://drive.google.com/file/d/1ysswZmBkyJzHr8iwf8k0W-ghLxp0k_eD/view?usp=drivesdk</t>
  </si>
  <si>
    <t>1ysswZmBkyJzHr8iwf8k0W-ghLxp0k_eD</t>
  </si>
  <si>
    <t>1vHzbUQZE02cRblVlkckBF9amMUBY-yIs</t>
  </si>
  <si>
    <t>https://drive.google.com/file/d/1vHzbUQZE02cRblVlkckBF9amMUBY-yIs/view?usp=drivesdk</t>
  </si>
  <si>
    <t>PEBRIYENAPUTRI</t>
  </si>
  <si>
    <t>pebrymery@gmail.com</t>
  </si>
  <si>
    <t>1812</t>
  </si>
  <si>
    <t>https://drive.google.com/file/d/1VuniJKUxrio-hJrCwiJz-ADHQZqBdgvi/view?usp=drivesdk</t>
  </si>
  <si>
    <t>1VuniJKUxrio-hJrCwiJz-ADHQZqBdgvi</t>
  </si>
  <si>
    <t>130sB9wydOlqZL7CqqBk-dxvZf-n4VOv2</t>
  </si>
  <si>
    <t>https://drive.google.com/file/d/130sB9wydOlqZL7CqqBk-dxvZf-n4VOv2/view?usp=drivesdk</t>
  </si>
  <si>
    <t>I KETUT JAYA MARNIKA, S.Kom</t>
  </si>
  <si>
    <t>angkasapratama2016@gmail.com</t>
  </si>
  <si>
    <t>1813</t>
  </si>
  <si>
    <t>https://drive.google.com/file/d/11br8Pp4rHqqN06n46mQGtYLXSDnajIwW/view?usp=drivesdk</t>
  </si>
  <si>
    <t>11br8Pp4rHqqN06n46mQGtYLXSDnajIwW</t>
  </si>
  <si>
    <t>1Ck_1Qj4_qZ8Qn60_ARjgba0Gq3nMgxBN</t>
  </si>
  <si>
    <t>https://drive.google.com/file/d/1Ck_1Qj4_qZ8Qn60_ARjgba0Gq3nMgxBN/view?usp=drivesdk</t>
  </si>
  <si>
    <t xml:space="preserve">SITI SYUFRIYAH </t>
  </si>
  <si>
    <t>syufriyah@gmail.com</t>
  </si>
  <si>
    <t>1814</t>
  </si>
  <si>
    <t>https://drive.google.com/file/d/1GacSAzAJ4thE6HD2gDpyKSM9D8kRNMWP/view?usp=drivesdk</t>
  </si>
  <si>
    <t>1GacSAzAJ4thE6HD2gDpyKSM9D8kRNMWP</t>
  </si>
  <si>
    <t>1b-8IdCPqq2niDVTDwjQ6ICkksgQDrnEZ</t>
  </si>
  <si>
    <t>https://drive.google.com/file/d/1b-8IdCPqq2niDVTDwjQ6ICkksgQDrnEZ/view?usp=drivesdk</t>
  </si>
  <si>
    <t>dr MARYATUL AINI</t>
  </si>
  <si>
    <t>aini_fd@ymail.com</t>
  </si>
  <si>
    <t>1815</t>
  </si>
  <si>
    <t>https://drive.google.com/file/d/1gPody9QITivkztSYuF1nmqbSAZ0C463s/view?usp=drivesdk</t>
  </si>
  <si>
    <t>1gPody9QITivkztSYuF1nmqbSAZ0C463s</t>
  </si>
  <si>
    <t>1kkB1OL_nh4T4w3qp7dW7YvxoSlcm_Eo6</t>
  </si>
  <si>
    <t>https://drive.google.com/file/d/1kkB1OL_nh4T4w3qp7dW7YvxoSlcm_Eo6/view?usp=drivesdk</t>
  </si>
  <si>
    <t>YANTI SISWANTI,S.ST,Bd</t>
  </si>
  <si>
    <t>yantisiswanti66@gmail.com</t>
  </si>
  <si>
    <t>1816</t>
  </si>
  <si>
    <t>https://drive.google.com/file/d/1IiOmM0iCKY1ELhuz4XBHPej2lf6K-nmY/view?usp=drivesdk</t>
  </si>
  <si>
    <t>1IiOmM0iCKY1ELhuz4XBHPej2lf6K-nmY</t>
  </si>
  <si>
    <t>1UA765pNMcz2ExPnnCvs7CRxG4PZ14kdj</t>
  </si>
  <si>
    <t>https://drive.google.com/file/d/1UA765pNMcz2ExPnnCvs7CRxG4PZ14kdj/view?usp=drivesdk</t>
  </si>
  <si>
    <t>Document successfully created; Document successfully merged; PDF created; !!Error Sending Emails: Service invoked too many times for one day: email.; Manually run by ecertificate75@gmail.com; Timestamp: Aug 31 2024 2:19 AM</t>
  </si>
  <si>
    <t xml:space="preserve">NURFITRI HARDHIANTY, S.E. </t>
  </si>
  <si>
    <t>nf3h80@gmail.com</t>
  </si>
  <si>
    <t>1817</t>
  </si>
  <si>
    <t>https://drive.google.com/file/d/1exLPGguGzIBHOEoRXyghtzTqQsXD_aKP/view?usp=drivesdk</t>
  </si>
  <si>
    <t>1exLPGguGzIBHOEoRXyghtzTqQsXD_aKP</t>
  </si>
  <si>
    <t>1fCquWD8h7LX70gxG-BGqzkzT_5laSLMx</t>
  </si>
  <si>
    <t>https://drive.google.com/file/d/1fCquWD8h7LX70gxG-BGqzkzT_5laSLMx/view?usp=drivesdk</t>
  </si>
  <si>
    <t>RAMA NOVIANTI</t>
  </si>
  <si>
    <t>ramanovianti.rm11@gmail.com</t>
  </si>
  <si>
    <t>1818</t>
  </si>
  <si>
    <t>https://drive.google.com/file/d/14LMXoNXMAd_T6y9wWAKGkUpJ53b0oDvz/view?usp=drivesdk</t>
  </si>
  <si>
    <t>14LMXoNXMAd_T6y9wWAKGkUpJ53b0oDvz</t>
  </si>
  <si>
    <t>1_hlX_iY1HUkvF6QIlPUNtvJIOPj9E3pm</t>
  </si>
  <si>
    <t>https://drive.google.com/file/d/1_hlX_iY1HUkvF6QIlPUNtvJIOPj9E3pm/view?usp=drivesdk</t>
  </si>
  <si>
    <t>ARRUM SETIA NINGRUM, A.MD.,FARM</t>
  </si>
  <si>
    <t>arrumsetianingrum@gmail.com</t>
  </si>
  <si>
    <t>1819</t>
  </si>
  <si>
    <t>https://drive.google.com/file/d/1d7GciCrGGnjouA5bSUTamtRSW4aVdsYj/view?usp=drivesdk</t>
  </si>
  <si>
    <t>1d7GciCrGGnjouA5bSUTamtRSW4aVdsYj</t>
  </si>
  <si>
    <t>1I_ppeu_uA5pMeR74xusNLggF2LbrRyB0</t>
  </si>
  <si>
    <t>https://drive.google.com/file/d/1I_ppeu_uA5pMeR74xusNLggF2LbrRyB0/view?usp=drivesdk</t>
  </si>
  <si>
    <t>Rr. WIWIT SRI SURATIWI INDRA SUBEKTI, A.Md</t>
  </si>
  <si>
    <t>tiwiindra6@gmail.com</t>
  </si>
  <si>
    <t>1820</t>
  </si>
  <si>
    <t>https://drive.google.com/file/d/1mSLuw6ViCu52jgSCRPZHywgQtZ9sUDZA/view?usp=drivesdk</t>
  </si>
  <si>
    <t>1mSLuw6ViCu52jgSCRPZHywgQtZ9sUDZA</t>
  </si>
  <si>
    <t>1QCH8xlv0wZ2V2xgxArZkvR8hjtBVqG26</t>
  </si>
  <si>
    <t>https://drive.google.com/file/d/1QCH8xlv0wZ2V2xgxArZkvR8hjtBVqG26/view?usp=drivesdk</t>
  </si>
  <si>
    <t>URIP ANDIKA PUSPITANINGSIH</t>
  </si>
  <si>
    <t>puspitaningsih14n@gmail.com</t>
  </si>
  <si>
    <t>1821</t>
  </si>
  <si>
    <t>https://drive.google.com/file/d/1mqwzGTmKDunUqgHq2FLWNyi_0unbfNHY/view?usp=drivesdk</t>
  </si>
  <si>
    <t>1mqwzGTmKDunUqgHq2FLWNyi_0unbfNHY</t>
  </si>
  <si>
    <t>1qjzQD2qs8IW4rYw-Kb6tsO3owK69U1u1</t>
  </si>
  <si>
    <t>https://drive.google.com/file/d/1qjzQD2qs8IW4rYw-Kb6tsO3owK69U1u1/view?usp=drivesdk</t>
  </si>
  <si>
    <t>SEPTI HARMIYATY, S.H.</t>
  </si>
  <si>
    <t>septizeren@gmail.com</t>
  </si>
  <si>
    <t>1822</t>
  </si>
  <si>
    <t>https://drive.google.com/file/d/1JXoHjyaO3PlQ0rMLVPVAJenEbzQLLGN_/view?usp=drivesdk</t>
  </si>
  <si>
    <t>1JXoHjyaO3PlQ0rMLVPVAJenEbzQLLGN_</t>
  </si>
  <si>
    <t>16t37wt5NGEe3eDFS2PiurQeoRdJUVitO</t>
  </si>
  <si>
    <t>https://drive.google.com/file/d/16t37wt5NGEe3eDFS2PiurQeoRdJUVitO/view?usp=drivesdk</t>
  </si>
  <si>
    <t>Document successfully created; Document successfully merged; PDF created; !!Error Sending Emails: Service invoked too many times for one day: email.; Manually run by ecertificate75@gmail.com; Timestamp: Aug 31 2024 2:20 AM</t>
  </si>
  <si>
    <t>BUHAERA KASIM</t>
  </si>
  <si>
    <t>buhaerakasim66@gmail.com</t>
  </si>
  <si>
    <t>1823</t>
  </si>
  <si>
    <t>https://drive.google.com/file/d/1AD1HPbf7sBnK2FKo3QbNyz3DaOVbXe4m/view?usp=drivesdk</t>
  </si>
  <si>
    <t>1AD1HPbf7sBnK2FKo3QbNyz3DaOVbXe4m</t>
  </si>
  <si>
    <t>1N8oLO-rAU_iApiUhkBbGoQ7QlYcqMPDN</t>
  </si>
  <si>
    <t>https://drive.google.com/file/d/1N8oLO-rAU_iApiUhkBbGoQ7QlYcqMPDN/view?usp=drivesdk</t>
  </si>
  <si>
    <t>WINARTIN LIVIANA</t>
  </si>
  <si>
    <t>winaliviana@gmail.com</t>
  </si>
  <si>
    <t>1824</t>
  </si>
  <si>
    <t>https://drive.google.com/file/d/1k0GhNjCOOWfUGoi5Fyb33beuQ7obfo9d/view?usp=drivesdk</t>
  </si>
  <si>
    <t>1k0GhNjCOOWfUGoi5Fyb33beuQ7obfo9d</t>
  </si>
  <si>
    <t>1k8X6pV0irviDW85MmzRudSLGSdpAKZvo</t>
  </si>
  <si>
    <t>https://drive.google.com/file/d/1k8X6pV0irviDW85MmzRudSLGSdpAKZvo/view?usp=drivesdk</t>
  </si>
  <si>
    <t>SERITA BR SEBAYANG</t>
  </si>
  <si>
    <t>muhammadrisqy998@gmail.com</t>
  </si>
  <si>
    <t>1825</t>
  </si>
  <si>
    <t>https://drive.google.com/file/d/12vz9QNOE1WptkycT825D9CrSz0CS_p9n/view?usp=drivesdk</t>
  </si>
  <si>
    <t>12vz9QNOE1WptkycT825D9CrSz0CS_p9n</t>
  </si>
  <si>
    <t>1JqvQzZc2yAVpJOhRaJTO_ubgZSdFE73B</t>
  </si>
  <si>
    <t>https://drive.google.com/file/d/1JqvQzZc2yAVpJOhRaJTO_ubgZSdFE73B/view?usp=drivesdk</t>
  </si>
  <si>
    <t>DRG. NOVELYA, M.BIOMED</t>
  </si>
  <si>
    <t>novelyaaaa@gmail.com</t>
  </si>
  <si>
    <t>1826</t>
  </si>
  <si>
    <t>https://drive.google.com/file/d/1911wItE34FDGOiKEgvVJ3yQBbxXYz-bP/view?usp=drivesdk</t>
  </si>
  <si>
    <t>1911wItE34FDGOiKEgvVJ3yQBbxXYz-bP</t>
  </si>
  <si>
    <t>1bZWv_0zmI6mdopn7MkLsrdvlkYXFt3LR</t>
  </si>
  <si>
    <t>https://drive.google.com/file/d/1bZWv_0zmI6mdopn7MkLsrdvlkYXFt3LR/view?usp=drivesdk</t>
  </si>
  <si>
    <t>SIS UNTARI WERDINI</t>
  </si>
  <si>
    <t>sis.untari68@gmail.com</t>
  </si>
  <si>
    <t>1827</t>
  </si>
  <si>
    <t>https://drive.google.com/file/d/1EBbnI6AGjPojDcTNz0-e1Xf-n1za88AO/view?usp=drivesdk</t>
  </si>
  <si>
    <t>1EBbnI6AGjPojDcTNz0-e1Xf-n1za88AO</t>
  </si>
  <si>
    <t>17E8TifiE9h-0E9EE1O_BO1BoC91fde38</t>
  </si>
  <si>
    <t>https://drive.google.com/file/d/17E8TifiE9h-0E9EE1O_BO1BoC91fde38/view?usp=drivesdk</t>
  </si>
  <si>
    <t>Document successfully created; Document successfully merged; PDF created; !!Error Sending Emails: Service invoked too many times for one day: email.; Manually run by ecertificate75@gmail.com; Timestamp: Aug 31 2024 2:21 AM</t>
  </si>
  <si>
    <t>POLDA SULSEL</t>
  </si>
  <si>
    <t>SATRIANA MEILIANI M, A.Md.Kep</t>
  </si>
  <si>
    <t>satrianam1991@gmail.com</t>
  </si>
  <si>
    <t>1828</t>
  </si>
  <si>
    <t>https://drive.google.com/file/d/1oa3af1i9h8-63Bc4HIuuPwHZoECTIQb0/view?usp=drivesdk</t>
  </si>
  <si>
    <t>1oa3af1i9h8-63Bc4HIuuPwHZoECTIQb0</t>
  </si>
  <si>
    <t>13udnbec6byISGA5U44ah5dPSQ2ynJhWy</t>
  </si>
  <si>
    <t>https://drive.google.com/file/d/13udnbec6byISGA5U44ah5dPSQ2ynJhWy/view?usp=drivesdk</t>
  </si>
  <si>
    <t>CHINDI VAN ARISTA, Am.Kep</t>
  </si>
  <si>
    <t>chindivanarista0405@gmail.com</t>
  </si>
  <si>
    <t>1829</t>
  </si>
  <si>
    <t>https://drive.google.com/file/d/1hpeTvhSWiAZp1ZrX_hyeXQlhcPsDqYhP/view?usp=drivesdk</t>
  </si>
  <si>
    <t>1hpeTvhSWiAZp1ZrX_hyeXQlhcPsDqYhP</t>
  </si>
  <si>
    <t>10QQbX6b103j7h-YAnKUakcicfPz1n0hM</t>
  </si>
  <si>
    <t>https://drive.google.com/file/d/10QQbX6b103j7h-YAnKUakcicfPz1n0hM/view?usp=drivesdk</t>
  </si>
  <si>
    <t>EKO YULIANTO AMd Kep</t>
  </si>
  <si>
    <t>ekoyuliantodokesbms1@gmail.com</t>
  </si>
  <si>
    <t>1830</t>
  </si>
  <si>
    <t>Starting at Thu Aug 29 2024 21:06:11 GMT-0400 (EDT)</t>
  </si>
  <si>
    <t>12Se6QLSSUvShmXuSajB4YNAvbE7eq7Kd</t>
  </si>
  <si>
    <t>https://drive.google.com/file/d/12Se6QLSSUvShmXuSajB4YNAvbE7eq7Kd/view?usp=drivesdk</t>
  </si>
  <si>
    <t>SYAHRUL NASUHI</t>
  </si>
  <si>
    <t>syahrulnasuhi280@gmail.com</t>
  </si>
  <si>
    <t>1831</t>
  </si>
  <si>
    <t>147czLpV9XyeQ_8ZS5bFDTlQMY17lankh</t>
  </si>
  <si>
    <t>https://drive.google.com/file/d/147czLpV9XyeQ_8ZS5bFDTlQMY17lankh/view?usp=drivesdk</t>
  </si>
  <si>
    <t xml:space="preserve">NURHIDAYAH GUCI </t>
  </si>
  <si>
    <t>nurhidayahguci@gmail.com</t>
  </si>
  <si>
    <t>1832</t>
  </si>
  <si>
    <t>1ivGBv982TtWFh7WQUc_5ylIkA7c1jhOn</t>
  </si>
  <si>
    <t>https://drive.google.com/file/d/1ivGBv982TtWFh7WQUc_5ylIkA7c1jhOn/view?usp=drivesdk</t>
  </si>
  <si>
    <t>Document successfully created; Document successfully merged; PDF created; !!Error Sending Emails: Service invoked too many times for one day: email.; Manually run by ecertificate75@gmail.com; Timestamp: Aug 31 2024 2:22 AM</t>
  </si>
  <si>
    <t>DINI SURYATI TJIPTANINGDIYAH</t>
  </si>
  <si>
    <t>Tjiptaningdiyah@gmail.com</t>
  </si>
  <si>
    <t>1833</t>
  </si>
  <si>
    <t>16hhTU1oNapIHZ1dsIl5sV6FGGUzD76S1</t>
  </si>
  <si>
    <t>https://drive.google.com/file/d/16hhTU1oNapIHZ1dsIl5sV6FGGUzD76S1/view?usp=drivesdk</t>
  </si>
  <si>
    <t>SILFIA ARMI AMD KEP</t>
  </si>
  <si>
    <t>silfiaarmi3@gmail.com</t>
  </si>
  <si>
    <t>1834</t>
  </si>
  <si>
    <t>1y5RR-6pWWv3p5uYWf64QyHoIWIU1I7-X</t>
  </si>
  <si>
    <t>https://drive.google.com/file/d/1y5RR-6pWWv3p5uYWf64QyHoIWIU1I7-X/view?usp=drivesdk</t>
  </si>
  <si>
    <t>PUTU SRIKANTI, S.TP.,M.Si</t>
  </si>
  <si>
    <t>katiewijaya201099@gmail.com</t>
  </si>
  <si>
    <t>1835</t>
  </si>
  <si>
    <t>1A6u6i_pLC-9idFsNTwkAvbf2mT1WA9sf</t>
  </si>
  <si>
    <t>https://drive.google.com/file/d/1A6u6i_pLC-9idFsNTwkAvbf2mT1WA9sf/view?usp=drivesdk</t>
  </si>
  <si>
    <t>NELDA YANTI ZAINAL</t>
  </si>
  <si>
    <t>urkeuyanmapoldajambi@gmail.com</t>
  </si>
  <si>
    <t>1836</t>
  </si>
  <si>
    <t>13Eh-bf0RvFthZfrk5gOd-iDFiN6wMWRw</t>
  </si>
  <si>
    <t>https://drive.google.com/file/d/13Eh-bf0RvFthZfrk5gOd-iDFiN6wMWRw/view?usp=drivesdk</t>
  </si>
  <si>
    <t>AZWAR EFFENDI, S.E, M.M</t>
  </si>
  <si>
    <t>azwareffendise@gmail.com</t>
  </si>
  <si>
    <t>1837</t>
  </si>
  <si>
    <t>1QX0VOTBlaKR9pIeBspPoXskAV7s6S5_D</t>
  </si>
  <si>
    <t>https://drive.google.com/file/d/1QX0VOTBlaKR9pIeBspPoXskAV7s6S5_D/view?usp=drivesdk</t>
  </si>
  <si>
    <t>SUGINA HARUM</t>
  </si>
  <si>
    <t>suginaharum200384@gmail.com</t>
  </si>
  <si>
    <t>1838</t>
  </si>
  <si>
    <t>1315-rRv1y1xPfZWxOPBxKuf6rVW-m_6R</t>
  </si>
  <si>
    <t>https://drive.google.com/file/d/1315-rRv1y1xPfZWxOPBxKuf6rVW-m_6R/view?usp=drivesdk</t>
  </si>
  <si>
    <t>Document successfully created; Document successfully merged; PDF created; !!Error Sending Emails: Service invoked too many times for one day: email.; Manually run by ecertificate75@gmail.com; Timestamp: Aug 31 2024 2:23 AM</t>
  </si>
  <si>
    <t>DINI LAXMIARY, A.Md.Keb</t>
  </si>
  <si>
    <t>dinilaxmiary@gmail.com</t>
  </si>
  <si>
    <t>1839</t>
  </si>
  <si>
    <t>https://drive.google.com/file/d/14AjeMg5yUdYZeD0lVlQY-1NCrCFYZjqU/view?usp=drivesdk</t>
  </si>
  <si>
    <t>14AjeMg5yUdYZeD0lVlQY-1NCrCFYZjqU</t>
  </si>
  <si>
    <t>1rP1AebtRwaUv9gkEaLiFBmIwGUg-hPG6</t>
  </si>
  <si>
    <t>https://drive.google.com/file/d/1rP1AebtRwaUv9gkEaLiFBmIwGUg-hPG6/view?usp=drivesdk</t>
  </si>
  <si>
    <t>PUDJI TYAS RAHAYU</t>
  </si>
  <si>
    <t>pudji.tyas.rahayu@gmail.com</t>
  </si>
  <si>
    <t>1840</t>
  </si>
  <si>
    <t>https://drive.google.com/file/d/1AyZFdsdQ4vJM_8WVvbGlO7EFr-x2tKBS/view?usp=drivesdk</t>
  </si>
  <si>
    <t>1AyZFdsdQ4vJM_8WVvbGlO7EFr-x2tKBS</t>
  </si>
  <si>
    <t>1buKy18rFA-JrcCIDU647eBFAoatVfuRL</t>
  </si>
  <si>
    <t>https://drive.google.com/file/d/1buKy18rFA-JrcCIDU647eBFAoatVfuRL/view?usp=drivesdk</t>
  </si>
  <si>
    <t>NUNIK SRIMULYANI, S.E.</t>
  </si>
  <si>
    <t>nuniksrimulyani@gmail.com</t>
  </si>
  <si>
    <t>1841</t>
  </si>
  <si>
    <t>https://drive.google.com/file/d/1cvNej4F74MM-JniRnWr1JFF_CykymEYj/view?usp=drivesdk</t>
  </si>
  <si>
    <t>1cvNej4F74MM-JniRnWr1JFF_CykymEYj</t>
  </si>
  <si>
    <t>1cbCWKm1m9wTypebrGMM9q6Z3vnDaC8Zf</t>
  </si>
  <si>
    <t>https://drive.google.com/file/d/1cbCWKm1m9wTypebrGMM9q6Z3vnDaC8Zf/view?usp=drivesdk</t>
  </si>
  <si>
    <t>DWI ROCHANI</t>
  </si>
  <si>
    <t>dwirochany80@gmail.com</t>
  </si>
  <si>
    <t>1842</t>
  </si>
  <si>
    <t>https://drive.google.com/file/d/1qR4eeCtvhnoHfn1JtNiAytcgO_5-ZbEW/view?usp=drivesdk</t>
  </si>
  <si>
    <t>1qR4eeCtvhnoHfn1JtNiAytcgO_5-ZbEW</t>
  </si>
  <si>
    <t>1GHTfZhnnuVknFkI-pm9A0RpMU096iSca</t>
  </si>
  <si>
    <t>https://drive.google.com/file/d/1GHTfZhnnuVknFkI-pm9A0RpMU096iSca/view?usp=drivesdk</t>
  </si>
  <si>
    <t>1843</t>
  </si>
  <si>
    <t>https://drive.google.com/file/d/1-0hJ_cZsOE6V336SSeXKPjYLsTUzVVPX/view?usp=drivesdk</t>
  </si>
  <si>
    <t>1-0hJ_cZsOE6V336SSeXKPjYLsTUzVVPX</t>
  </si>
  <si>
    <t>1jt3eavhOP2_hJilRPOPAvY-GQm8NN0ht</t>
  </si>
  <si>
    <t>https://drive.google.com/file/d/1jt3eavhOP2_hJilRPOPAvY-GQm8NN0ht/view?usp=drivesdk</t>
  </si>
  <si>
    <t>DEDY SURYADI</t>
  </si>
  <si>
    <t>dedys3678@gmail.com</t>
  </si>
  <si>
    <t>1844</t>
  </si>
  <si>
    <t>https://drive.google.com/file/d/10098JtnyLvFzV0-sVq1pj7hp9VwbWGAc/view?usp=drivesdk</t>
  </si>
  <si>
    <t>10098JtnyLvFzV0-sVq1pj7hp9VwbWGAc</t>
  </si>
  <si>
    <t>11o79iX_s8SOcPk5YnbraY4QKYOW7OFY0</t>
  </si>
  <si>
    <t>https://drive.google.com/file/d/11o79iX_s8SOcPk5YnbraY4QKYOW7OFY0/view?usp=drivesdk</t>
  </si>
  <si>
    <t>Document successfully created; Document successfully merged; PDF created; !!Error Sending Emails: Service invoked too many times for one day: email.; Manually run by ecertificate75@gmail.com; Timestamp: Aug 31 2024 2:24 AM</t>
  </si>
  <si>
    <t>LUTHFIA HANIMUNIFAH</t>
  </si>
  <si>
    <t>aifhtul.aryo@gmail.com</t>
  </si>
  <si>
    <t>1845</t>
  </si>
  <si>
    <t>https://drive.google.com/file/d/1jnGnK5GLnSMOROUDkied4YdsnfuvP2Jg/view?usp=drivesdk</t>
  </si>
  <si>
    <t>1jnGnK5GLnSMOROUDkied4YdsnfuvP2Jg</t>
  </si>
  <si>
    <t>1bGpLHIS-k_JJ_L3joqMoD3-011FieY5p</t>
  </si>
  <si>
    <t>https://drive.google.com/file/d/1bGpLHIS-k_JJ_L3joqMoD3-011FieY5p/view?usp=drivesdk</t>
  </si>
  <si>
    <t>POLDA ACEH</t>
  </si>
  <si>
    <t>YUNITA SAFITRI,A.Md.Farm</t>
  </si>
  <si>
    <t>yuni.yunitasafitri@gmail.com</t>
  </si>
  <si>
    <t>1846</t>
  </si>
  <si>
    <t>https://drive.google.com/file/d/1yrGM347u2lW78fX-dsh_1OlQlE1N_UxG/view?usp=drivesdk</t>
  </si>
  <si>
    <t>1yrGM347u2lW78fX-dsh_1OlQlE1N_UxG</t>
  </si>
  <si>
    <t>1CTs6gMP3Pr3wqmQNQnnlx19G3N3hLB5d</t>
  </si>
  <si>
    <t>https://drive.google.com/file/d/1CTs6gMP3Pr3wqmQNQnnlx19G3N3hLB5d/view?usp=drivesdk</t>
  </si>
  <si>
    <t>SRI AGUSTIN</t>
  </si>
  <si>
    <t>agustinzsri@gmail.com</t>
  </si>
  <si>
    <t>1847</t>
  </si>
  <si>
    <t>https://drive.google.com/file/d/1CuRf7bHuD2FtuF4aXKXrChT4IMPfSLJ7/view?usp=drivesdk</t>
  </si>
  <si>
    <t>1CuRf7bHuD2FtuF4aXKXrChT4IMPfSLJ7</t>
  </si>
  <si>
    <t>1MmjtFibsDV80GGRzUr_53-P0O7ebTBVY</t>
  </si>
  <si>
    <t>https://drive.google.com/file/d/1MmjtFibsDV80GGRzUr_53-P0O7ebTBVY/view?usp=drivesdk</t>
  </si>
  <si>
    <t xml:space="preserve">YADI HANIFAH </t>
  </si>
  <si>
    <t>yadihanifahsamsat@gmail.com</t>
  </si>
  <si>
    <t>1848</t>
  </si>
  <si>
    <t>https://drive.google.com/file/d/1NDFb-VpgDU2S6bHftP7AjEJG_WZ6DaW6/view?usp=drivesdk</t>
  </si>
  <si>
    <t>1NDFb-VpgDU2S6bHftP7AjEJG_WZ6DaW6</t>
  </si>
  <si>
    <t>18WgV9H6xjzgIHJ5fqssaT8ik3mEca29y</t>
  </si>
  <si>
    <t>https://drive.google.com/file/d/18WgV9H6xjzgIHJ5fqssaT8ik3mEca29y/view?usp=drivesdk</t>
  </si>
  <si>
    <t>YAYAN HERYANA</t>
  </si>
  <si>
    <t>yayanheryana235@gmail.com</t>
  </si>
  <si>
    <t>1849</t>
  </si>
  <si>
    <t>https://drive.google.com/file/d/1pAEusEjXw0kUyRVK47xftjxcsJi_nwmr/view?usp=drivesdk</t>
  </si>
  <si>
    <t>1pAEusEjXw0kUyRVK47xftjxcsJi_nwmr</t>
  </si>
  <si>
    <t>1eqfUcIz70ImO0-ILAw9txEglvFF_k7-G</t>
  </si>
  <si>
    <t>https://drive.google.com/file/d/1eqfUcIz70ImO0-ILAw9txEglvFF_k7-G/view?usp=drivesdk</t>
  </si>
  <si>
    <t>DADAN GINANJAR, S.E., M.M.</t>
  </si>
  <si>
    <t>dgibrig350@gmail.com</t>
  </si>
  <si>
    <t>1850</t>
  </si>
  <si>
    <t>https://drive.google.com/file/d/1N0xZEcujAGk8GiXTrXqKZIZlbP-yqC3j/view?usp=drivesdk</t>
  </si>
  <si>
    <t>1N0xZEcujAGk8GiXTrXqKZIZlbP-yqC3j</t>
  </si>
  <si>
    <t>1P2NjymPTNlNKqD_HToW6_KJuXRe6YxG6</t>
  </si>
  <si>
    <t>https://drive.google.com/file/d/1P2NjymPTNlNKqD_HToW6_KJuXRe6YxG6/view?usp=drivesdk</t>
  </si>
  <si>
    <t>Document successfully created; Document successfully merged; PDF created; !!Error Sending Emails: Service invoked too many times for one day: email.; Manually run by ecertificate75@gmail.com; Timestamp: Aug 31 2024 2:25 AM</t>
  </si>
  <si>
    <t xml:space="preserve">SURYADI ERNANDO </t>
  </si>
  <si>
    <t>suryadiernando220286@gmail.com</t>
  </si>
  <si>
    <t>1851</t>
  </si>
  <si>
    <t>https://drive.google.com/file/d/1LYb4VthSef8WeXDE2hJ9tm9VH3C9K7qA/view?usp=drivesdk</t>
  </si>
  <si>
    <t>1LYb4VthSef8WeXDE2hJ9tm9VH3C9K7qA</t>
  </si>
  <si>
    <t>1Q8jSMSwjiT6RX7gBOwkUjMbF99qzDbbe</t>
  </si>
  <si>
    <t>https://drive.google.com/file/d/1Q8jSMSwjiT6RX7gBOwkUjMbF99qzDbbe/view?usp=drivesdk</t>
  </si>
  <si>
    <t>INDAH RATMA WARDANI, A.Md.Kep</t>
  </si>
  <si>
    <t>indah.rw1992@gmail.com</t>
  </si>
  <si>
    <t>1852</t>
  </si>
  <si>
    <t>https://drive.google.com/file/d/1rZWpwnsh4y3OdKm0cHooWPeLRgFUEp-O/view?usp=drivesdk</t>
  </si>
  <si>
    <t>1rZWpwnsh4y3OdKm0cHooWPeLRgFUEp-O</t>
  </si>
  <si>
    <t>13iLlvcwbTX3yvdJ1X5VHWE_f4gu2TbUS</t>
  </si>
  <si>
    <t>https://drive.google.com/file/d/13iLlvcwbTX3yvdJ1X5VHWE_f4gu2TbUS/view?usp=drivesdk</t>
  </si>
  <si>
    <t>SITI HERLINAWATI, Am.Kep</t>
  </si>
  <si>
    <t>sitiherlinawati28@gmail.com</t>
  </si>
  <si>
    <t>1853</t>
  </si>
  <si>
    <t>https://drive.google.com/file/d/1Lm9bw785AkbB1v9_6etnWAJyrqU7lWMJ/view?usp=drivesdk</t>
  </si>
  <si>
    <t>1Lm9bw785AkbB1v9_6etnWAJyrqU7lWMJ</t>
  </si>
  <si>
    <t>1LzvxTTiiV4UEtWjBspKFyb6YpFo_kKdb</t>
  </si>
  <si>
    <t>https://drive.google.com/file/d/1LzvxTTiiV4UEtWjBspKFyb6YpFo_kKdb/view?usp=drivesdk</t>
  </si>
  <si>
    <t>HENDRI A MD</t>
  </si>
  <si>
    <t>hendri11031995@gmail.com</t>
  </si>
  <si>
    <t>1854</t>
  </si>
  <si>
    <t>https://drive.google.com/file/d/1VHYuNtwMXe22hFzUwCc9L2oT1_QokrR3/view?usp=drivesdk</t>
  </si>
  <si>
    <t>1VHYuNtwMXe22hFzUwCc9L2oT1_QokrR3</t>
  </si>
  <si>
    <t>15vtToXtWKVpkc64nviyM9udaAkrj3jAh</t>
  </si>
  <si>
    <t>https://drive.google.com/file/d/15vtToXtWKVpkc64nviyM9udaAkrj3jAh/view?usp=drivesdk</t>
  </si>
  <si>
    <t>HUZWANDI S.M.</t>
  </si>
  <si>
    <t>wandisatria93@gmail.com</t>
  </si>
  <si>
    <t>1855</t>
  </si>
  <si>
    <t>Starting at Thu Aug 29 2024 21:08:22 GMT-0400 (EDT)</t>
  </si>
  <si>
    <t>1UwYpcr4OodiMSOLVWTonRvfGHeAG7-kU</t>
  </si>
  <si>
    <t>https://drive.google.com/file/d/1UwYpcr4OodiMSOLVWTonRvfGHeAG7-kU/view?usp=drivesdk</t>
  </si>
  <si>
    <t xml:space="preserve">ASEP BAHAGIA </t>
  </si>
  <si>
    <t>asep20464@gmail.com</t>
  </si>
  <si>
    <t>1856</t>
  </si>
  <si>
    <t>1LAVRzkkfusivhmu7nkJDzjXpVLQgkIOy</t>
  </si>
  <si>
    <t>https://drive.google.com/file/d/1LAVRzkkfusivhmu7nkJDzjXpVLQgkIOy/view?usp=drivesdk</t>
  </si>
  <si>
    <t>Document successfully created; Document successfully merged; PDF created; !!Error Sending Emails: Service invoked too many times for one day: email.; Manually run by ecertificate75@gmail.com; Timestamp: Aug 31 2024 2:26 AM</t>
  </si>
  <si>
    <t>HENDRA TRIYANTO, S.E.</t>
  </si>
  <si>
    <t>hendrasamsung@gmail.com</t>
  </si>
  <si>
    <t>1857</t>
  </si>
  <si>
    <t>1J0Qe6bxhgk-cFGHrUAKRJFI1igaVdD5c</t>
  </si>
  <si>
    <t>https://drive.google.com/file/d/1J0Qe6bxhgk-cFGHrUAKRJFI1igaVdD5c/view?usp=drivesdk</t>
  </si>
  <si>
    <t>TOTO MARTONO, S.IP.</t>
  </si>
  <si>
    <t>martmarvie79@gmail.com</t>
  </si>
  <si>
    <t>1858</t>
  </si>
  <si>
    <t>1s6Xvut2fzKjpE2M1FNs4C3nxz23O1xEs</t>
  </si>
  <si>
    <t>https://drive.google.com/file/d/1s6Xvut2fzKjpE2M1FNs4C3nxz23O1xEs/view?usp=drivesdk</t>
  </si>
  <si>
    <t xml:space="preserve">KRISNA WULAN MACHMUD </t>
  </si>
  <si>
    <t>krisna_lan@yahoo.co.id</t>
  </si>
  <si>
    <t>1859</t>
  </si>
  <si>
    <t>11Ztr5ZKChYr-O-8AHIMbQE_CKpBeXUZH</t>
  </si>
  <si>
    <t>https://drive.google.com/file/d/11Ztr5ZKChYr-O-8AHIMbQE_CKpBeXUZH/view?usp=drivesdk</t>
  </si>
  <si>
    <t>S MUCHAMAD DJAZULI</t>
  </si>
  <si>
    <t>muchamaddjazuli0@gmail.com</t>
  </si>
  <si>
    <t>1860</t>
  </si>
  <si>
    <t>10Cdkt7PXBRiVJKxoUzsg_ygXat6uD9bH</t>
  </si>
  <si>
    <t>https://drive.google.com/file/d/10Cdkt7PXBRiVJKxoUzsg_ygXat6uD9bH/view?usp=drivesdk</t>
  </si>
  <si>
    <t>KHOTIJAH</t>
  </si>
  <si>
    <t>risdiandiannoor@gmail.com</t>
  </si>
  <si>
    <t>1861</t>
  </si>
  <si>
    <t>Starting at Thu Aug 29 2024 21:08:35 GMT-0400 (EDT)</t>
  </si>
  <si>
    <t>1xAtzc5U4Jbiy5yqyEVSc3SP_W2-9rPw2</t>
  </si>
  <si>
    <t>https://drive.google.com/file/d/1xAtzc5U4Jbiy5yqyEVSc3SP_W2-9rPw2/view?usp=drivesdk</t>
  </si>
  <si>
    <t>Document successfully created; Document successfully merged; PDF created; !!Error Sending Emails: Service invoked too many times for one day: email.; Manually run by ecertificate75@gmail.com; Timestamp: Aug 31 2024 2:27 AM</t>
  </si>
  <si>
    <t>TETY RACHMAWATY, SKM</t>
  </si>
  <si>
    <t>tetybrenz@gmail.com</t>
  </si>
  <si>
    <t>1862</t>
  </si>
  <si>
    <t>1-hhHKJFFOLiwWhno3I1HYokoDBAkT2jr</t>
  </si>
  <si>
    <t>https://drive.google.com/file/d/1-hhHKJFFOLiwWhno3I1HYokoDBAkT2jr/view?usp=drivesdk</t>
  </si>
  <si>
    <t>NURASIAH, SE</t>
  </si>
  <si>
    <t>nurasiah606@gmail.com</t>
  </si>
  <si>
    <t>1863</t>
  </si>
  <si>
    <t>13adDydDwQmTGnLKSlnMKLM7PJTuPx1D1</t>
  </si>
  <si>
    <t>https://drive.google.com/file/d/13adDydDwQmTGnLKSlnMKLM7PJTuPx1D1/view?usp=drivesdk</t>
  </si>
  <si>
    <t xml:space="preserve">NIKETUT SRINADI </t>
  </si>
  <si>
    <t>niketutsrinadi6@gmail.com</t>
  </si>
  <si>
    <t>1864</t>
  </si>
  <si>
    <t>1Gmefb4uoM2ijdFbONpPjpompHOo1j4xz</t>
  </si>
  <si>
    <t>https://drive.google.com/file/d/1Gmefb4uoM2ijdFbONpPjpompHOo1j4xz/view?usp=drivesdk</t>
  </si>
  <si>
    <t>NURDIN ABDILAH S. Sos</t>
  </si>
  <si>
    <t>abdilahnurdin33@gmail.com</t>
  </si>
  <si>
    <t>1865</t>
  </si>
  <si>
    <t>1SX9K4XCGj_G28uUcCSRdz17Ru_b41GJ6</t>
  </si>
  <si>
    <t>https://drive.google.com/file/d/1SX9K4XCGj_G28uUcCSRdz17Ru_b41GJ6/view?usp=drivesdk</t>
  </si>
  <si>
    <t>iwan71904@gmail.com</t>
  </si>
  <si>
    <t>1866</t>
  </si>
  <si>
    <t>1JG5eroJ6HBryRvpkkjGpLs_4jHtBFkG-</t>
  </si>
  <si>
    <t>https://drive.google.com/file/d/1JG5eroJ6HBryRvpkkjGpLs_4jHtBFkG-/view?usp=drivesdk</t>
  </si>
  <si>
    <t>Document successfully created; Document successfully merged; PDF created; !!Error Sending Emails: Service invoked too many times for one day: email.; Manually run by ecertificate75@gmail.com; Timestamp: Aug 31 2024 2:28 AM</t>
  </si>
  <si>
    <t>IGEDE SUDAMA</t>
  </si>
  <si>
    <t>igedesudama.bhayakara@gmail.com</t>
  </si>
  <si>
    <t>1867</t>
  </si>
  <si>
    <t>1lyzmHozT7WtYRKNjKa2ULbB31W_sD0aL</t>
  </si>
  <si>
    <t>https://drive.google.com/file/d/1lyzmHozT7WtYRKNjKa2ULbB31W_sD0aL/view?usp=drivesdk</t>
  </si>
  <si>
    <t>YAYAH SUYATMI</t>
  </si>
  <si>
    <t>yayahsuyatmi123@gmail.com</t>
  </si>
  <si>
    <t>1868</t>
  </si>
  <si>
    <t>1dUdEc3EWLpD3HK6JK9hZX2ZC685aWagB</t>
  </si>
  <si>
    <t>https://drive.google.com/file/d/1dUdEc3EWLpD3HK6JK9hZX2ZC685aWagB/view?usp=drivesdk</t>
  </si>
  <si>
    <t>ARIEF PRIBADI S.KOM</t>
  </si>
  <si>
    <t>ariefp.50@gmail.com</t>
  </si>
  <si>
    <t>1869</t>
  </si>
  <si>
    <t>12OYsF3WMvLOk_gFeVjUF2X0aD2OYn_kF</t>
  </si>
  <si>
    <t>https://drive.google.com/file/d/12OYsF3WMvLOk_gFeVjUF2X0aD2OYn_kF/view?usp=drivesdk</t>
  </si>
  <si>
    <t>SUHARTINI</t>
  </si>
  <si>
    <t>hartiniputrijogja@gmail.com</t>
  </si>
  <si>
    <t>1870</t>
  </si>
  <si>
    <t>Starting at Thu Aug 29 2024 21:06:30 GMT-0400 (EDT)</t>
  </si>
  <si>
    <t>1TBfr2NRKLTP2LZ1t8hfJ5AgxLHEr_MLQ</t>
  </si>
  <si>
    <t>https://drive.google.com/file/d/1TBfr2NRKLTP2LZ1t8hfJ5AgxLHEr_MLQ/view?usp=drivesdk</t>
  </si>
  <si>
    <t>NI WAYAN SUDARMI</t>
  </si>
  <si>
    <t>wynsudarmi.ws@gmail.com</t>
  </si>
  <si>
    <t>1871</t>
  </si>
  <si>
    <t>1ayV6LB3awTFOlA5Dl8YmatheceYpWJfc</t>
  </si>
  <si>
    <t>https://drive.google.com/file/d/1ayV6LB3awTFOlA5Dl8YmatheceYpWJfc/view?usp=drivesdk</t>
  </si>
  <si>
    <t>SUHARDIONO, S.KOM</t>
  </si>
  <si>
    <t>aredee360@gmail.com</t>
  </si>
  <si>
    <t>1872</t>
  </si>
  <si>
    <t>1cHL2E755obL95bepse9EA2cjlr6lMC38</t>
  </si>
  <si>
    <t>https://drive.google.com/file/d/1cHL2E755obL95bepse9EA2cjlr6lMC38/view?usp=drivesdk</t>
  </si>
  <si>
    <t>YUNITA HIZWARA, S. SOS</t>
  </si>
  <si>
    <t>yunitahizwara76@gmail.com</t>
  </si>
  <si>
    <t>1873</t>
  </si>
  <si>
    <t>https://drive.google.com/file/d/1pxhaGpqChZJzJE3x11EVlsKvutvPy3dx/view?usp=drivesdk</t>
  </si>
  <si>
    <t>1pxhaGpqChZJzJE3x11EVlsKvutvPy3dx</t>
  </si>
  <si>
    <t>1GT_GspheWvmV1sIrqUJJs742VLapao6V</t>
  </si>
  <si>
    <t>https://drive.google.com/file/d/1GT_GspheWvmV1sIrqUJJs742VLapao6V/view?usp=drivesdk</t>
  </si>
  <si>
    <t>Document successfully created; Document successfully merged; PDF created; !!Error Sending Emails: Service invoked too many times for one day: email.; Manually run by ecertificate75@gmail.com; Timestamp: Aug 31 2024 2:29 AM</t>
  </si>
  <si>
    <t>AY AY NURHIDAYAH, SE</t>
  </si>
  <si>
    <t>aynurhidayah18@gamail.com</t>
  </si>
  <si>
    <t>1874</t>
  </si>
  <si>
    <t>https://drive.google.com/file/d/1p_85hmWlIop40wnZEPL_WlJLzbsCY0xV/view?usp=drivesdk</t>
  </si>
  <si>
    <t>1p_85hmWlIop40wnZEPL_WlJLzbsCY0xV</t>
  </si>
  <si>
    <t>1yxk0Z8c69ebHKBj3iWEHFCncOgpsTYKJ</t>
  </si>
  <si>
    <t>https://drive.google.com/file/d/1yxk0Z8c69ebHKBj3iWEHFCncOgpsTYKJ/view?usp=drivesdk</t>
  </si>
  <si>
    <t>PENGATUR TK I TIAS UTAMI</t>
  </si>
  <si>
    <t>tiasutami01@gmail.com</t>
  </si>
  <si>
    <t>1875</t>
  </si>
  <si>
    <t>https://drive.google.com/file/d/18ESaDufHgSZGJhHcmQ_rEDnJftaceWde/view?usp=drivesdk</t>
  </si>
  <si>
    <t>18ESaDufHgSZGJhHcmQ_rEDnJftaceWde</t>
  </si>
  <si>
    <t>1dwn1EV8zMyTW640tMOARsBb8mSziXIXm</t>
  </si>
  <si>
    <t>https://drive.google.com/file/d/1dwn1EV8zMyTW640tMOARsBb8mSziXIXm/view?usp=drivesdk</t>
  </si>
  <si>
    <t>SUTARTO BAPAK</t>
  </si>
  <si>
    <t>tartosiumgiriwoyo@gmail.com</t>
  </si>
  <si>
    <t>1876</t>
  </si>
  <si>
    <t>https://drive.google.com/file/d/1AAqOP7-jwwaLim4kYDIfJNy0j1mc_IAS/view?usp=drivesdk</t>
  </si>
  <si>
    <t>1AAqOP7-jwwaLim4kYDIfJNy0j1mc_IAS</t>
  </si>
  <si>
    <t>1kamygunbGDRxj6PvHSgPAZYHUNRAYSbd</t>
  </si>
  <si>
    <t>https://drive.google.com/file/d/1kamygunbGDRxj6PvHSgPAZYHUNRAYSbd/view?usp=drivesdk</t>
  </si>
  <si>
    <t>SRI WAHYUNI, SH</t>
  </si>
  <si>
    <t>sw8642895@gmail.com</t>
  </si>
  <si>
    <t>1877</t>
  </si>
  <si>
    <t>https://drive.google.com/file/d/1JRVg2gpoKPyDHvcK_go6CVjJhGg9v0hS/view?usp=drivesdk</t>
  </si>
  <si>
    <t>1JRVg2gpoKPyDHvcK_go6CVjJhGg9v0hS</t>
  </si>
  <si>
    <t>1lt-wGcZIC4zuVgUXoUWEKl3VVlkS5Z5K</t>
  </si>
  <si>
    <t>https://drive.google.com/file/d/1lt-wGcZIC4zuVgUXoUWEKl3VVlkS5Z5K/view?usp=drivesdk</t>
  </si>
  <si>
    <t>WARTINI</t>
  </si>
  <si>
    <t>wartini100972@gmail.com</t>
  </si>
  <si>
    <t>1878</t>
  </si>
  <si>
    <t>https://drive.google.com/file/d/1Sxxl_FAFh9MmwF9dOsp2JxfMykLI14Lo/view?usp=drivesdk</t>
  </si>
  <si>
    <t>1Sxxl_FAFh9MmwF9dOsp2JxfMykLI14Lo</t>
  </si>
  <si>
    <t>1MYRFupe2q2cIcfG7BCXPLZtNM3fQM40e</t>
  </si>
  <si>
    <t>https://drive.google.com/file/d/1MYRFupe2q2cIcfG7BCXPLZtNM3fQM40e/view?usp=drivesdk</t>
  </si>
  <si>
    <t>PUJIASTUTI PRIHATININGSIH, A.Md</t>
  </si>
  <si>
    <t>pujiastutip76@gmail.com</t>
  </si>
  <si>
    <t>1879</t>
  </si>
  <si>
    <t>https://drive.google.com/file/d/1Ilr61WpoikcSJTYrRRT96r_48UqtjsuY/view?usp=drivesdk</t>
  </si>
  <si>
    <t>1Ilr61WpoikcSJTYrRRT96r_48UqtjsuY</t>
  </si>
  <si>
    <t>1rVvAjenG0JxKMLdbv6YtGze94XLRID7Z</t>
  </si>
  <si>
    <t>https://drive.google.com/file/d/1rVvAjenG0JxKMLdbv6YtGze94XLRID7Z/view?usp=drivesdk</t>
  </si>
  <si>
    <t>Document successfully created; Document successfully merged; PDF created; !!Error Sending Emails: Service invoked too many times for one day: email.; Manually run by ecertificate75@gmail.com; Timestamp: Aug 31 2024 2:30 AM</t>
  </si>
  <si>
    <t>WAHYU HANDAYANI, Amd</t>
  </si>
  <si>
    <t>wahyuhandayani06@gmail.com</t>
  </si>
  <si>
    <t>1880</t>
  </si>
  <si>
    <t>https://drive.google.com/file/d/16oklyLtdobzJRK0cDePEKoiE09J7SbAb/view?usp=drivesdk</t>
  </si>
  <si>
    <t>16oklyLtdobzJRK0cDePEKoiE09J7SbAb</t>
  </si>
  <si>
    <t>1uYZQOSQsIFDXMb_jHVnz8cIq7PjqU3O6</t>
  </si>
  <si>
    <t>https://drive.google.com/file/d/1uYZQOSQsIFDXMb_jHVnz8cIq7PjqU3O6/view?usp=drivesdk</t>
  </si>
  <si>
    <t>RTS. LISA AMINI, Am.Kep</t>
  </si>
  <si>
    <t>aminilisa5@gmail.com</t>
  </si>
  <si>
    <t>1881</t>
  </si>
  <si>
    <t>1x4GNtypJCu0YVIaYgJaJWWyw0IWqRdce</t>
  </si>
  <si>
    <t>https://drive.google.com/file/d/1x4GNtypJCu0YVIaYgJaJWWyw0IWqRdce/view?usp=drivesdk</t>
  </si>
  <si>
    <t>SYAMSUL KAMAL SH</t>
  </si>
  <si>
    <t>syamsulkamal93@gmail.com</t>
  </si>
  <si>
    <t>1882</t>
  </si>
  <si>
    <t>1g1kxyf5bxfZfcbwUqiDzNOxOA_7UxtEt</t>
  </si>
  <si>
    <t>https://drive.google.com/file/d/1g1kxyf5bxfZfcbwUqiDzNOxOA_7UxtEt/view?usp=drivesdk</t>
  </si>
  <si>
    <t>NADIA FATIA ZAHRA</t>
  </si>
  <si>
    <t>nadiafatiyazahra22@gmail.com</t>
  </si>
  <si>
    <t>1883</t>
  </si>
  <si>
    <t>1Jxmjm_GeofULP4LLjsjZiPQ6CSJmZksj</t>
  </si>
  <si>
    <t>https://drive.google.com/file/d/1Jxmjm_GeofULP4LLjsjZiPQ6CSJmZksj/view?usp=drivesdk</t>
  </si>
  <si>
    <t>RUTH PAAIS</t>
  </si>
  <si>
    <t>186702242014122001@polri.go.id</t>
  </si>
  <si>
    <t>1884</t>
  </si>
  <si>
    <t>1vP0EU0iA1LT1-e4yApprXjaAhfXQhB50</t>
  </si>
  <si>
    <t>https://drive.google.com/file/d/1vP0EU0iA1LT1-e4yApprXjaAhfXQhB50/view?usp=drivesdk</t>
  </si>
  <si>
    <t>Document successfully created; Document successfully merged; PDF created; !!Error Sending Emails: Service invoked too many times for one day: email.; Manually run by ecertificate75@gmail.com; Timestamp: Aug 31 2024 2:31 AM</t>
  </si>
  <si>
    <t xml:space="preserve">HENY LISMAWATI </t>
  </si>
  <si>
    <t>henylisnawati02@gmail.com</t>
  </si>
  <si>
    <t>1885</t>
  </si>
  <si>
    <t>1h1VROpLk1CnMqySniCfM1jQDGDcvufIX</t>
  </si>
  <si>
    <t>https://drive.google.com/file/d/1h1VROpLk1CnMqySniCfM1jQDGDcvufIX/view?usp=drivesdk</t>
  </si>
  <si>
    <t>DEDYK MULYO AFRIANTO</t>
  </si>
  <si>
    <t>dedykmulyo@gmail.com</t>
  </si>
  <si>
    <t>1886</t>
  </si>
  <si>
    <t>1CE6-wHCsmAOmDpctmzK3oANyEwCQKdJH</t>
  </si>
  <si>
    <t>https://drive.google.com/file/d/1CE6-wHCsmAOmDpctmzK3oANyEwCQKdJH/view?usp=drivesdk</t>
  </si>
  <si>
    <t>NURSYAFNI, S.KOM</t>
  </si>
  <si>
    <t>nennybundaalkha04@gmail.com</t>
  </si>
  <si>
    <t>1887</t>
  </si>
  <si>
    <t>1Z_r0hJvJB24BIVHy7mXpjRj_MrWsSmsx</t>
  </si>
  <si>
    <t>https://drive.google.com/file/d/1Z_r0hJvJB24BIVHy7mXpjRj_MrWsSmsx/view?usp=drivesdk</t>
  </si>
  <si>
    <t>Document successfully created; Document successfully merged; PDF created; !!Error Sending Emails: Service invoked too many times for one day: email.; Manually run by ecertificate75@gmail.com; Timestamp: Aug 31 2024 2:32 AM</t>
  </si>
  <si>
    <t>WULAN FITRIANI, SE.MM</t>
  </si>
  <si>
    <t>wulanarvie82@gmail.com</t>
  </si>
  <si>
    <t>1888</t>
  </si>
  <si>
    <t>1M4FRrsHvTuEg4PZY_3R6E0iGSVt_tL1u</t>
  </si>
  <si>
    <t>https://drive.google.com/file/d/1M4FRrsHvTuEg4PZY_3R6E0iGSVt_tL1u/view?usp=drivesdk</t>
  </si>
  <si>
    <t>DEDY ASWAR, A.M.K</t>
  </si>
  <si>
    <t>dedyaswar91@gmail.com</t>
  </si>
  <si>
    <t>1889</t>
  </si>
  <si>
    <t>1ErcUxM6t5eKsINpcu35a2-q6viYshdx9</t>
  </si>
  <si>
    <t>https://drive.google.com/file/d/1ErcUxM6t5eKsINpcu35a2-q6viYshdx9/view?usp=drivesdk</t>
  </si>
  <si>
    <t>YURNI AIDA</t>
  </si>
  <si>
    <t>yurniaida1@gmail.com</t>
  </si>
  <si>
    <t>1890</t>
  </si>
  <si>
    <t>1Y48DslRYAQ1pGXmBtGAfxYaxDOaPe4uW</t>
  </si>
  <si>
    <t>https://drive.google.com/file/d/1Y48DslRYAQ1pGXmBtGAfxYaxDOaPe4uW/view?usp=drivesdk</t>
  </si>
  <si>
    <t>MAHDALENA</t>
  </si>
  <si>
    <t>lenamahdalena1203@gmail.com</t>
  </si>
  <si>
    <t>1891</t>
  </si>
  <si>
    <t>1BpM8CMjoyiR-n5yb6AH3xt-qrV5FUaFl</t>
  </si>
  <si>
    <t>https://drive.google.com/file/d/1BpM8CMjoyiR-n5yb6AH3xt-qrV5FUaFl/view?usp=drivesdk</t>
  </si>
  <si>
    <t>JUARIIIIIIIIII</t>
  </si>
  <si>
    <t>jjuari377@gmaik.com</t>
  </si>
  <si>
    <t>1892</t>
  </si>
  <si>
    <t>1UMnuCuwYpNtIzXTstsBd-ZZWt00q0X0Q</t>
  </si>
  <si>
    <t>https://drive.google.com/file/d/1UMnuCuwYpNtIzXTstsBd-ZZWt00q0X0Q/view?usp=drivesdk</t>
  </si>
  <si>
    <t>Document successfully created; Document successfully merged; PDF created; !!Error Sending Emails: Service invoked too many times for one day: email.; Manually run by ecertificate75@gmail.com; Timestamp: Aug 31 2024 2:33 AM</t>
  </si>
  <si>
    <t xml:space="preserve">YUNITA SARIDEWI </t>
  </si>
  <si>
    <t>yunitasaridewimuchdani@gmail.com</t>
  </si>
  <si>
    <t>1893</t>
  </si>
  <si>
    <t>1QTgQX1-w3WbPH7amRs4D5m0nwltuRavI</t>
  </si>
  <si>
    <t>https://drive.google.com/file/d/1QTgQX1-w3WbPH7amRs4D5m0nwltuRavI/view?usp=drivesdk</t>
  </si>
  <si>
    <t xml:space="preserve">SLAMET WIDODO </t>
  </si>
  <si>
    <t>sw820520@gmail.com</t>
  </si>
  <si>
    <t>1894</t>
  </si>
  <si>
    <t>1JMQwPb0oAvdTXNmVbdYjV8Sxg228fTC-</t>
  </si>
  <si>
    <t>https://drive.google.com/file/d/1JMQwPb0oAvdTXNmVbdYjV8Sxg228fTC-/view?usp=drivesdk</t>
  </si>
  <si>
    <t>EDO RIYADI</t>
  </si>
  <si>
    <t>papaedo1181@gmail.com</t>
  </si>
  <si>
    <t>1895</t>
  </si>
  <si>
    <t>1Bd1ILc_5wTdpeBH8OW6ySqHE3YAIwQG3</t>
  </si>
  <si>
    <t>https://drive.google.com/file/d/1Bd1ILc_5wTdpeBH8OW6ySqHE3YAIwQG3/view?usp=drivesdk</t>
  </si>
  <si>
    <t>ENDANG SUMINTA</t>
  </si>
  <si>
    <t>endangsuminta97@gmail.com</t>
  </si>
  <si>
    <t>1896</t>
  </si>
  <si>
    <t>1wPY7KyhQWpy912NHCzt7Cdv67MO2WKuv</t>
  </si>
  <si>
    <t>https://drive.google.com/file/d/1wPY7KyhQWpy912NHCzt7Cdv67MO2WKuv/view?usp=drivesdk</t>
  </si>
  <si>
    <t>HALIMAH, S.E.</t>
  </si>
  <si>
    <t>halimaaaah120775@gmail.com</t>
  </si>
  <si>
    <t>1897</t>
  </si>
  <si>
    <t>16yg1hfbdHsuE4pOW2lLGENPG1_ME9-wa</t>
  </si>
  <si>
    <t>https://drive.google.com/file/d/16yg1hfbdHsuE4pOW2lLGENPG1_ME9-wa/view?usp=drivesdk</t>
  </si>
  <si>
    <t>PENGATUR TIWI ASWINI</t>
  </si>
  <si>
    <t>tiwiaswini1982@gma.com</t>
  </si>
  <si>
    <t>1898</t>
  </si>
  <si>
    <t>1CvA7E8yRfTKw-PICbf5LO-Dx0BrlQRWT</t>
  </si>
  <si>
    <t>https://drive.google.com/file/d/1CvA7E8yRfTKw-PICbf5LO-Dx0BrlQRWT/view?usp=drivesdk</t>
  </si>
  <si>
    <t>Document successfully created; Document successfully merged; PDF created; !!Error Sending Emails: Service invoked too many times for one day: email.; Manually run by ecertificate75@gmail.com; Timestamp: Aug 31 2024 2:34 AM</t>
  </si>
  <si>
    <t>RINAWATI</t>
  </si>
  <si>
    <t>rinawatirinawati945@gmail.com</t>
  </si>
  <si>
    <t>1899</t>
  </si>
  <si>
    <t>1uh5DpxMKRaPCXBDsop8qnnMfSU30SeX7</t>
  </si>
  <si>
    <t>https://drive.google.com/file/d/1uh5DpxMKRaPCXBDsop8qnnMfSU30SeX7/view?usp=drivesdk</t>
  </si>
  <si>
    <t>MAHARANI</t>
  </si>
  <si>
    <t>ranirani8119@gmail.com</t>
  </si>
  <si>
    <t>1900</t>
  </si>
  <si>
    <t>1hCS03LOYDwdsFYrmP_TeKLZOvIgpt2HC</t>
  </si>
  <si>
    <t>https://drive.google.com/file/d/1hCS03LOYDwdsFYrmP_TeKLZOvIgpt2HC/view?usp=drivesdk</t>
  </si>
  <si>
    <t>SUFRIYATI, SE</t>
  </si>
  <si>
    <t>mynovrain77@gmail.com</t>
  </si>
  <si>
    <t>1901</t>
  </si>
  <si>
    <t>1GlzwxCWATRVeSxivXiWwyWkkTxayLjHC</t>
  </si>
  <si>
    <t>https://drive.google.com/file/d/1GlzwxCWATRVeSxivXiWwyWkkTxayLjHC/view?usp=drivesdk</t>
  </si>
  <si>
    <t>SURIANTI</t>
  </si>
  <si>
    <t>busurianti@gmail.com</t>
  </si>
  <si>
    <t>1902</t>
  </si>
  <si>
    <t>1PsgY4uuNZfgRj9Tm3q4tSQOMeMQ8XVkt</t>
  </si>
  <si>
    <t>https://drive.google.com/file/d/1PsgY4uuNZfgRj9Tm3q4tSQOMeMQ8XVkt/view?usp=drivesdk</t>
  </si>
  <si>
    <t>YUYUN KADIR</t>
  </si>
  <si>
    <t>yuyun.kadir01@gmail.com</t>
  </si>
  <si>
    <t>1903</t>
  </si>
  <si>
    <t>1JZkztFShZiRwblrGHO4V7YRvyTSwIbBU</t>
  </si>
  <si>
    <t>https://drive.google.com/file/d/1JZkztFShZiRwblrGHO4V7YRvyTSwIbBU/view?usp=drivesdk</t>
  </si>
  <si>
    <t>REMIKA ARIYANTI, S. A. P</t>
  </si>
  <si>
    <t>remikaariyanti123@gmail.com</t>
  </si>
  <si>
    <t>1904</t>
  </si>
  <si>
    <t>1hGzwdMFQe3RW09Mg3FcAQ4Cxo5IBR28P</t>
  </si>
  <si>
    <t>https://drive.google.com/file/d/1hGzwdMFQe3RW09Mg3FcAQ4Cxo5IBR28P/view?usp=drivesdk</t>
  </si>
  <si>
    <t>Document successfully created; Document successfully merged; PDF created; !!Error Sending Emails: Service invoked too many times for one day: email.; Manually run by ecertificate75@gmail.com; Timestamp: Aug 31 2024 2:35 AM</t>
  </si>
  <si>
    <t xml:space="preserve">ARIS YENI SUSANTI </t>
  </si>
  <si>
    <t>mutiarayeni700@yahoo.com</t>
  </si>
  <si>
    <t>1905</t>
  </si>
  <si>
    <t>1tb9LExIhsnfldM3nqOJ3-2cQLiAeWVTe</t>
  </si>
  <si>
    <t>https://drive.google.com/file/d/1tb9LExIhsnfldM3nqOJ3-2cQLiAeWVTe/view?usp=drivesdk</t>
  </si>
  <si>
    <t xml:space="preserve">DHORA RIENSIANA </t>
  </si>
  <si>
    <t>dhorariensiana@gmail.com</t>
  </si>
  <si>
    <t>1906</t>
  </si>
  <si>
    <t>16JiMxoShFkEmsd5HOncYTqgbKeUHTTWT</t>
  </si>
  <si>
    <t>https://drive.google.com/file/d/16JiMxoShFkEmsd5HOncYTqgbKeUHTTWT/view?usp=drivesdk</t>
  </si>
  <si>
    <t>SULASTRI MARIA SIREGAR, AMd</t>
  </si>
  <si>
    <t>mariasrg85@gmail.com</t>
  </si>
  <si>
    <t>1907</t>
  </si>
  <si>
    <t>1dqb1oXV8DL690K1dLSWCRM8YlJZt1PG_</t>
  </si>
  <si>
    <t>https://drive.google.com/file/d/1dqb1oXV8DL690K1dLSWCRM8YlJZt1PG_/view?usp=drivesdk</t>
  </si>
  <si>
    <t>DR DRG RIKE RAYANTI, S.K.G., Sp.Perio</t>
  </si>
  <si>
    <t>PEMBINA UTAMA MUDA</t>
  </si>
  <si>
    <t>rikerayanti@yahoo.com</t>
  </si>
  <si>
    <t>1908</t>
  </si>
  <si>
    <t>18oNOr4lpvevtnT6FjkQx6n7chHNZSzAk</t>
  </si>
  <si>
    <t>https://drive.google.com/file/d/18oNOr4lpvevtnT6FjkQx6n7chHNZSzAk/view?usp=drivesdk</t>
  </si>
  <si>
    <t>SRI MULYATI</t>
  </si>
  <si>
    <t>mulyatiyaik31@gmail.com</t>
  </si>
  <si>
    <t>1909</t>
  </si>
  <si>
    <t>1e16HBPy4jxeMjAwio-ROHwskQxpKKaqc</t>
  </si>
  <si>
    <t>https://drive.google.com/file/d/1e16HBPy4jxeMjAwio-ROHwskQxpKKaqc/view?usp=drivesdk</t>
  </si>
  <si>
    <t xml:space="preserve">Isna Widia Astuti </t>
  </si>
  <si>
    <t>isnibkl93@gmail.com</t>
  </si>
  <si>
    <t>1910</t>
  </si>
  <si>
    <t>10B2gkz-syhajUwqLdCoRaEayw_rDnIhk</t>
  </si>
  <si>
    <t>https://drive.google.com/file/d/10B2gkz-syhajUwqLdCoRaEayw_rDnIhk/view?usp=drivesdk</t>
  </si>
  <si>
    <t>Document successfully created; Document successfully merged; PDF created; !!Error Sending Emails: Service invoked too many times for one day: email.; Manually run by ecertificate75@gmail.com; Timestamp: Aug 31 2024 2:36 AM</t>
  </si>
  <si>
    <t>ZAINUL ARIFIN</t>
  </si>
  <si>
    <t>zainuk1968arifin@gmail.com</t>
  </si>
  <si>
    <t>1911</t>
  </si>
  <si>
    <t>1wpjpydo5CQp-ePwgjk6YisNwMfzrsEXI</t>
  </si>
  <si>
    <t>https://drive.google.com/file/d/1wpjpydo5CQp-ePwgjk6YisNwMfzrsEXI/view?usp=drivesdk</t>
  </si>
  <si>
    <t xml:space="preserve">ABDUL HOLIK </t>
  </si>
  <si>
    <t>abdulholikholik00324@gmail.com</t>
  </si>
  <si>
    <t>1912</t>
  </si>
  <si>
    <t>19-kze__wECSVyW9xx7WWxff7KmeCAGOP</t>
  </si>
  <si>
    <t>https://drive.google.com/file/d/19-kze__wECSVyW9xx7WWxff7KmeCAGOP/view?usp=drivesdk</t>
  </si>
  <si>
    <t>SUPERIATI</t>
  </si>
  <si>
    <t>superiati12345@gmail.com</t>
  </si>
  <si>
    <t>1913</t>
  </si>
  <si>
    <t>1gZuuI55X7Bg3KWoDCTVuyRzPkPTkArLH</t>
  </si>
  <si>
    <t>https://drive.google.com/file/d/1gZuuI55X7Bg3KWoDCTVuyRzPkPTkArLH/view?usp=drivesdk</t>
  </si>
  <si>
    <t>ROSLANIAR AMIR</t>
  </si>
  <si>
    <t>roesamir80@gmail.com</t>
  </si>
  <si>
    <t>1914</t>
  </si>
  <si>
    <t>11adbwKxZDJNLXISGiF_UHtX_9bBkRT94</t>
  </si>
  <si>
    <t>https://drive.google.com/file/d/11adbwKxZDJNLXISGiF_UHtX_9bBkRT94/view?usp=drivesdk</t>
  </si>
  <si>
    <t>UCCA CAHYA AZURA, A. Md. Keb</t>
  </si>
  <si>
    <t>uccaalzara2016@gmail.com</t>
  </si>
  <si>
    <t>1915</t>
  </si>
  <si>
    <t>1zzvqwIA-iB64gHnG-sy5HpIXfHMYAJcc</t>
  </si>
  <si>
    <t>https://drive.google.com/file/d/1zzvqwIA-iB64gHnG-sy5HpIXfHMYAJcc/view?usp=drivesdk</t>
  </si>
  <si>
    <t>Document successfully created; Document successfully merged; PDF created; !!Error Sending Emails: Service invoked too many times for one day: email.; Manually run by ecertificate75@gmail.com; Timestamp: Aug 31 2024 2:37 AM</t>
  </si>
  <si>
    <t xml:space="preserve">AGUS GUSTIANA WAHYU </t>
  </si>
  <si>
    <t>tagaratus@gmail.com</t>
  </si>
  <si>
    <t>1916</t>
  </si>
  <si>
    <t>1WNPn8WKKs9soY9UJCGaIhtSbqUgiCOWG</t>
  </si>
  <si>
    <t>https://drive.google.com/file/d/1WNPn8WKKs9soY9UJCGaIhtSbqUgiCOWG/view?usp=drivesdk</t>
  </si>
  <si>
    <t>SITI SAADAH, A Md Kep</t>
  </si>
  <si>
    <t>saadahsitiali@gmail.com</t>
  </si>
  <si>
    <t>1917</t>
  </si>
  <si>
    <t>1nHDbjL-uIVceh5eXeptgGOaTQYgei4Gr</t>
  </si>
  <si>
    <t>https://drive.google.com/file/d/1nHDbjL-uIVceh5eXeptgGOaTQYgei4Gr/view?usp=drivesdk</t>
  </si>
  <si>
    <t>SETIAJI</t>
  </si>
  <si>
    <t>setiajiaji35@gmail.com</t>
  </si>
  <si>
    <t>1918</t>
  </si>
  <si>
    <t>1vhvtxYxrhar_w3La5azN17hOGuq9Ysmd</t>
  </si>
  <si>
    <t>https://drive.google.com/file/d/1vhvtxYxrhar_w3La5azN17hOGuq9Ysmd/view?usp=drivesdk</t>
  </si>
  <si>
    <t>PENGATUR TK.I KHALIDI</t>
  </si>
  <si>
    <t>khalidi.idun@gmail.com</t>
  </si>
  <si>
    <t>1919</t>
  </si>
  <si>
    <t>120imO2CU5iSF26YxWMDkx4g-X-LjsaVU</t>
  </si>
  <si>
    <t>https://drive.google.com/file/d/120imO2CU5iSF26YxWMDkx4g-X-LjsaVU/view?usp=drivesdk</t>
  </si>
  <si>
    <t>Document successfully created; Document successfully merged; PDF created; !!Error Sending Emails: Service invoked too many times for one day: email.; Manually run by ecertificate75@gmail.com; Timestamp: Aug 31 2024 2:38 AM</t>
  </si>
  <si>
    <t>RIA FITRIA, A.MD.KEB</t>
  </si>
  <si>
    <t>yha.ia1989@gmail.com</t>
  </si>
  <si>
    <t>1920</t>
  </si>
  <si>
    <t>https://drive.google.com/file/d/17L8hh6CkKhDBQx2mzE5kYAk1ezFpOaV0/view?usp=drivesdk</t>
  </si>
  <si>
    <t>17L8hh6CkKhDBQx2mzE5kYAk1ezFpOaV0</t>
  </si>
  <si>
    <t>1eQ-_vjfKohzomKbPXJs3neM3y0WOwv-p</t>
  </si>
  <si>
    <t>https://drive.google.com/file/d/1eQ-_vjfKohzomKbPXJs3neM3y0WOwv-p/view?usp=drivesdk</t>
  </si>
  <si>
    <t>SURIATI</t>
  </si>
  <si>
    <t>suriatisalam8@gmail.com</t>
  </si>
  <si>
    <t>1921</t>
  </si>
  <si>
    <t>Starting at Thu Aug 29 2024 21:06:50 GMT-0400 (EDT)</t>
  </si>
  <si>
    <t>1rxPgBEMDTNVLV98x8glKAafuFJnpCGLI</t>
  </si>
  <si>
    <t>https://drive.google.com/file/d/1rxPgBEMDTNVLV98x8glKAafuFJnpCGLI/view?usp=drivesdk</t>
  </si>
  <si>
    <t>SITI KOMSATI</t>
  </si>
  <si>
    <t>sitikomsatimgl@gmail.com</t>
  </si>
  <si>
    <t>1922</t>
  </si>
  <si>
    <t>https://drive.google.com/file/d/1vZUZvgrI1_a5FRPgvuu5PfnE1gb1P6H5/view?usp=drivesdk</t>
  </si>
  <si>
    <t>1vZUZvgrI1_a5FRPgvuu5PfnE1gb1P6H5</t>
  </si>
  <si>
    <t>1DGQnDWDMeDPaAWVGCWSbV8smj1_Klg8S</t>
  </si>
  <si>
    <t>https://drive.google.com/file/d/1DGQnDWDMeDPaAWVGCWSbV8smj1_Klg8S/view?usp=drivesdk</t>
  </si>
  <si>
    <t>ADHI FAHMI FARDHIYANSYAH</t>
  </si>
  <si>
    <t>dhitalilu80@gmail.com</t>
  </si>
  <si>
    <t>1923</t>
  </si>
  <si>
    <t>https://drive.google.com/file/d/1E7ry2EUMWbKLP-wPwAsEsxc3GAYhQqR6/view?usp=drivesdk</t>
  </si>
  <si>
    <t>1E7ry2EUMWbKLP-wPwAsEsxc3GAYhQqR6</t>
  </si>
  <si>
    <t>1XdTNeFIgyvT56voMjJiBOSedhVsHw0Pk</t>
  </si>
  <si>
    <t>https://drive.google.com/file/d/1XdTNeFIgyvT56voMjJiBOSedhVsHw0Pk/view?usp=drivesdk</t>
  </si>
  <si>
    <t>DWI INDARTI</t>
  </si>
  <si>
    <t>dwiindarti1980@gmail.com</t>
  </si>
  <si>
    <t>1924</t>
  </si>
  <si>
    <t>https://drive.google.com/file/d/1bS4OgcUd9mv1KwmF7F9YRodrE-rN8zj_/view?usp=drivesdk</t>
  </si>
  <si>
    <t>1bS4OgcUd9mv1KwmF7F9YRodrE-rN8zj_</t>
  </si>
  <si>
    <t>1FSr0AgdTdiIqKhthiYx-wb7djewx6O9U</t>
  </si>
  <si>
    <t>https://drive.google.com/file/d/1FSr0AgdTdiIqKhthiYx-wb7djewx6O9U/view?usp=drivesdk</t>
  </si>
  <si>
    <t>NURSALIMA, S.H</t>
  </si>
  <si>
    <t>nursalima79@gmail.com</t>
  </si>
  <si>
    <t>1925</t>
  </si>
  <si>
    <t>https://drive.google.com/file/d/1vuOuCZMY9zR7YrRHmYaxUTDM1ViXispn/view?usp=drivesdk</t>
  </si>
  <si>
    <t>1vuOuCZMY9zR7YrRHmYaxUTDM1ViXispn</t>
  </si>
  <si>
    <t>1WwJAOZj5bnBPi8IlekzjWsNjrzWoofrH</t>
  </si>
  <si>
    <t>https://drive.google.com/file/d/1WwJAOZj5bnBPi8IlekzjWsNjrzWoofrH/view?usp=drivesdk</t>
  </si>
  <si>
    <t>NANIEK SUDIAR</t>
  </si>
  <si>
    <t>Sintang3112@gmail.com</t>
  </si>
  <si>
    <t>1926</t>
  </si>
  <si>
    <t>https://drive.google.com/file/d/1UriDVyOskrHL2O4AYi38RkqtaHLCtAna/view?usp=drivesdk</t>
  </si>
  <si>
    <t>1UriDVyOskrHL2O4AYi38RkqtaHLCtAna</t>
  </si>
  <si>
    <t>1vuM4jsd59JuHHXi1qLa3EBuN0vpSuEWT</t>
  </si>
  <si>
    <t>https://drive.google.com/file/d/1vuM4jsd59JuHHXi1qLa3EBuN0vpSuEWT/view?usp=drivesdk</t>
  </si>
  <si>
    <t>Document successfully created; Document successfully merged; PDF created; !!Error Sending Emails: Service invoked too many times for one day: email.; Manually run by ecertificate75@gmail.com; Timestamp: Aug 31 2024 2:39 AM</t>
  </si>
  <si>
    <t>MAHADI</t>
  </si>
  <si>
    <t>mahadibaru63@gmail.com</t>
  </si>
  <si>
    <t>1927</t>
  </si>
  <si>
    <t>https://drive.google.com/file/d/1d8VUFsGZvxI243hwr-YAC79hQ4gNDeHD/view?usp=drivesdk</t>
  </si>
  <si>
    <t>1d8VUFsGZvxI243hwr-YAC79hQ4gNDeHD</t>
  </si>
  <si>
    <t>1dRS8xvhHpC1-gj2yawWQGCwisSm0SOLF</t>
  </si>
  <si>
    <t>https://drive.google.com/file/d/1dRS8xvhHpC1-gj2yawWQGCwisSm0SOLF/view?usp=drivesdk</t>
  </si>
  <si>
    <t>BALMER VICTOR PANGARIBUAN,SE</t>
  </si>
  <si>
    <t>balmervictorpangaribuan@gmail.com</t>
  </si>
  <si>
    <t>1928</t>
  </si>
  <si>
    <t>https://drive.google.com/file/d/1OBtMXfGi8-91K_Pb9u4PcmrTrS_KeEsv/view?usp=drivesdk</t>
  </si>
  <si>
    <t>1OBtMXfGi8-91K_Pb9u4PcmrTrS_KeEsv</t>
  </si>
  <si>
    <t>1Kd0z2sC-ZXxvDGkPE9STbIVIaQvf_XSg</t>
  </si>
  <si>
    <t>https://drive.google.com/file/d/1Kd0z2sC-ZXxvDGkPE9STbIVIaQvf_XSg/view?usp=drivesdk</t>
  </si>
  <si>
    <t>dr. WESTHA DEGA SASRIYA</t>
  </si>
  <si>
    <t>westhadega@gmail.com</t>
  </si>
  <si>
    <t>1929</t>
  </si>
  <si>
    <t>https://drive.google.com/file/d/1jEQveVQEELFVlkuzbJsB4qLC-PNPtBM-/view?usp=drivesdk</t>
  </si>
  <si>
    <t>Document successfully created; Document successfully merged; PDF created; !!Error Sending Emails: Service invoked too many times for one day: email.; Run via form trigger as ecertificate75@gmail.com; Timestamp: Aug 29 2024 9:10 PM</t>
  </si>
  <si>
    <t>1jEQveVQEELFVlkuzbJsB4qLC-PNPtBM-</t>
  </si>
  <si>
    <t>1eazzihxKUgFi4t9tAnmxEBrIOUjFZXqH</t>
  </si>
  <si>
    <t>https://drive.google.com/file/d/1eazzihxKUgFi4t9tAnmxEBrIOUjFZXqH/view?usp=drivesdk</t>
  </si>
  <si>
    <t xml:space="preserve">RISIONO </t>
  </si>
  <si>
    <t>ariespujakusuma35@gmail.com</t>
  </si>
  <si>
    <t>1930</t>
  </si>
  <si>
    <t>https://drive.google.com/file/d/1Q-iOUfBCjvUnm-_mnz0KZXRDhqysHhbU/view?usp=drivesdk</t>
  </si>
  <si>
    <t>1Q-iOUfBCjvUnm-_mnz0KZXRDhqysHhbU</t>
  </si>
  <si>
    <t>1-93yiwJhDFaRg3nn9hjtgNpCvZvkJ7IL</t>
  </si>
  <si>
    <t>https://drive.google.com/file/d/1-93yiwJhDFaRg3nn9hjtgNpCvZvkJ7IL/view?usp=drivesdk</t>
  </si>
  <si>
    <t>Document successfully created; Document successfully merged; PDF created; !!Error Sending Emails: Service invoked too many times for one day: email.; Run via form trigger as ecertificate75@gmail.com; Timestamp: Aug 31 2024 2:21 AM</t>
  </si>
  <si>
    <t>SARNO, S.E.</t>
  </si>
  <si>
    <t>rudiyantomasno@gmail.com</t>
  </si>
  <si>
    <t>1931</t>
  </si>
  <si>
    <t>https://drive.google.com/file/d/1s-4Ftb08ku32dZCd7s-aWJfhJsZZsQ5P/view?usp=drivesdk</t>
  </si>
  <si>
    <t>Document successfully created; Document successfully merged; PDF created; !!Error Sending Emails: Service invoked too many times for one day: email.; Run via form trigger as ecertificate75@gmail.com; Timestamp: Aug 29 2024 9:11 PM</t>
  </si>
  <si>
    <t>1s-4Ftb08ku32dZCd7s-aWJfhJsZZsQ5P</t>
  </si>
  <si>
    <t>1FlnLwE3cF961PErcFqY5WJ4x7gN6l8t0</t>
  </si>
  <si>
    <t>https://drive.google.com/file/d/1FlnLwE3cF961PErcFqY5WJ4x7gN6l8t0/view?usp=drivesdk</t>
  </si>
  <si>
    <t>Document successfully created; Document successfully merged; PDF created; !!Error Sending Emails: Service invoked too many times for one day: email.; Run via form trigger as ecertificate75@gmail.com; Timestamp: Aug 31 2024 2:22 AM</t>
  </si>
  <si>
    <t>KUSWORINI</t>
  </si>
  <si>
    <t>kusworini66@gmail.com</t>
  </si>
  <si>
    <t>1932</t>
  </si>
  <si>
    <t>https://drive.google.com/file/d/1AADjFCYbQtAfpGAmu6eGPoFLnWGiEPCr/view?usp=drivesdk</t>
  </si>
  <si>
    <t>1AADjFCYbQtAfpGAmu6eGPoFLnWGiEPCr</t>
  </si>
  <si>
    <t>1BW7ysoJLgGA7eDRQpMCxxlk4OVvcdie9</t>
  </si>
  <si>
    <t>https://drive.google.com/file/d/1BW7ysoJLgGA7eDRQpMCxxlk4OVvcdie9/view?usp=drivesdk</t>
  </si>
  <si>
    <t>JARWOTO</t>
  </si>
  <si>
    <t>jarwoto752@gmail.com</t>
  </si>
  <si>
    <t>1933</t>
  </si>
  <si>
    <t>Starting at Thu Aug 29 2024 21:10:44 GMT-0400 (EDT)</t>
  </si>
  <si>
    <t>1y9in-M1EhBc_shqiHgTWBYa1sNrAVGsm</t>
  </si>
  <si>
    <t>https://drive.google.com/file/d/1y9in-M1EhBc_shqiHgTWBYa1sNrAVGsm/view?usp=drivesdk</t>
  </si>
  <si>
    <t>MARTINAH</t>
  </si>
  <si>
    <t>martinahmarcel@gmail.com</t>
  </si>
  <si>
    <t>1934</t>
  </si>
  <si>
    <t>1JCvD3X6WNT5FaXlZLyk2vMBFNVozyKlF</t>
  </si>
  <si>
    <t>https://drive.google.com/file/d/1JCvD3X6WNT5FaXlZLyk2vMBFNVozyKlF/view?usp=drivesdk</t>
  </si>
  <si>
    <t>CAHYANI INDAR P AMD SE</t>
  </si>
  <si>
    <t>cahyanireskuningan@gmail.com</t>
  </si>
  <si>
    <t>1935</t>
  </si>
  <si>
    <t>1uy-PYi7PaeIyFRBR5Os3p7fleCrkjIrh</t>
  </si>
  <si>
    <t>https://drive.google.com/file/d/1uy-PYi7PaeIyFRBR5Os3p7fleCrkjIrh/view?usp=drivesdk</t>
  </si>
  <si>
    <t>RAFIKAH. SE</t>
  </si>
  <si>
    <t>fikarayyan79@gmail.com</t>
  </si>
  <si>
    <t>1936</t>
  </si>
  <si>
    <t>1OXjH3tMBGts1-FRHlBXd_H7KVI-Ix0lg</t>
  </si>
  <si>
    <t>https://drive.google.com/file/d/1OXjH3tMBGts1-FRHlBXd_H7KVI-Ix0lg/view?usp=drivesdk</t>
  </si>
  <si>
    <t>NOVITASARI TAMPUBOLON, AMD. AK</t>
  </si>
  <si>
    <t>novitasaritampubolon18@gmail.com</t>
  </si>
  <si>
    <t>1937</t>
  </si>
  <si>
    <t>1CA3G-pL4ZQZB7xFBhbC0N_6YfuRxUNDr</t>
  </si>
  <si>
    <t>https://drive.google.com/file/d/1CA3G-pL4ZQZB7xFBhbC0N_6YfuRxUNDr/view?usp=drivesdk</t>
  </si>
  <si>
    <t>Document successfully created; Document successfully merged; PDF created; !!Error Sending Emails: Service invoked too many times for one day: email.; Run via form trigger as ecertificate75@gmail.com; Timestamp: Aug 31 2024 2:23 AM</t>
  </si>
  <si>
    <t>YUDI LUKMAN</t>
  </si>
  <si>
    <t>dipeluknyaman@gmail.com</t>
  </si>
  <si>
    <t>1938</t>
  </si>
  <si>
    <t>10htjdMRQj5_AXWS2JFbgLc4Duq-js0kw</t>
  </si>
  <si>
    <t>https://drive.google.com/file/d/10htjdMRQj5_AXWS2JFbgLc4Duq-js0kw/view?usp=drivesdk</t>
  </si>
  <si>
    <t>NEDA SUSANTY</t>
  </si>
  <si>
    <t>nedaneda136@gmail.com</t>
  </si>
  <si>
    <t>1939</t>
  </si>
  <si>
    <t>1mM9gi84aCIfT5n-2B3tDuAPDESLBLDrU</t>
  </si>
  <si>
    <t>https://drive.google.com/file/d/1mM9gi84aCIfT5n-2B3tDuAPDESLBLDrU/view?usp=drivesdk</t>
  </si>
  <si>
    <t>EXWAN VERI JEKSON</t>
  </si>
  <si>
    <t>exwanveribravo70@gmail.com</t>
  </si>
  <si>
    <t>1940</t>
  </si>
  <si>
    <t>1ZWFIkFAFiqnsCw8x3IAG3jyW1JF-mhvN</t>
  </si>
  <si>
    <t>https://drive.google.com/file/d/1ZWFIkFAFiqnsCw8x3IAG3jyW1JF-mhvN/view?usp=drivesdk</t>
  </si>
  <si>
    <t>RAMIDA</t>
  </si>
  <si>
    <t>midaacin@gmail.com</t>
  </si>
  <si>
    <t>1941</t>
  </si>
  <si>
    <t>1siGoF6Q3HEe7TbNJSF9NwjtkuUUteZ0J</t>
  </si>
  <si>
    <t>https://drive.google.com/file/d/1siGoF6Q3HEe7TbNJSF9NwjtkuUUteZ0J/view?usp=drivesdk</t>
  </si>
  <si>
    <t>CHRISTINA JULIANA, S. KOM</t>
  </si>
  <si>
    <t>julianachristina840@gmail.com</t>
  </si>
  <si>
    <t>1942</t>
  </si>
  <si>
    <t>https://drive.google.com/file/d/1ayWywmB98QZ1g1qgMABtrbtqzoWnaoOx/view?usp=drivesdk</t>
  </si>
  <si>
    <t>1ayWywmB98QZ1g1qgMABtrbtqzoWnaoOx</t>
  </si>
  <si>
    <t>1xV-ezith0JqTyrzvzwjlhpaVcCcW2yQ1</t>
  </si>
  <si>
    <t>https://drive.google.com/file/d/1xV-ezith0JqTyrzvzwjlhpaVcCcW2yQ1/view?usp=drivesdk</t>
  </si>
  <si>
    <t>AMINUN HARAHAP</t>
  </si>
  <si>
    <t>aminunharahap@gmail.com</t>
  </si>
  <si>
    <t>1943</t>
  </si>
  <si>
    <t>https://drive.google.com/file/d/1R2Ud-rC5hVzIheu0q5fMfKEegk0VkMXP/view?usp=drivesdk</t>
  </si>
  <si>
    <t>1R2Ud-rC5hVzIheu0q5fMfKEegk0VkMXP</t>
  </si>
  <si>
    <t>1TmqD-gDyVSfqRR2-SZI39o533DIAMa7q</t>
  </si>
  <si>
    <t>https://drive.google.com/file/d/1TmqD-gDyVSfqRR2-SZI39o533DIAMa7q/view?usp=drivesdk</t>
  </si>
  <si>
    <t>IBROHIM SH</t>
  </si>
  <si>
    <t>ibrohim1981@gmail.com</t>
  </si>
  <si>
    <t>1944</t>
  </si>
  <si>
    <t>https://drive.google.com/file/d/1jaXkjFUOb9d72aamSy9reAYRHIeVqKZ_/view?usp=drivesdk</t>
  </si>
  <si>
    <t>1jaXkjFUOb9d72aamSy9reAYRHIeVqKZ_</t>
  </si>
  <si>
    <t>1JItZ1a_KhyIMN8AI3GhEEOMALhdNtYSR</t>
  </si>
  <si>
    <t>https://drive.google.com/file/d/1JItZ1a_KhyIMN8AI3GhEEOMALhdNtYSR/view?usp=drivesdk</t>
  </si>
  <si>
    <t>Document successfully created; Document successfully merged; PDF created; !!Error Sending Emails: Service invoked too many times for one day: email.; Run via form trigger as ecertificate75@gmail.com; Timestamp: Aug 31 2024 2:24 AM</t>
  </si>
  <si>
    <t xml:space="preserve">YULIANA SRI ISYANTI </t>
  </si>
  <si>
    <t>yulianasri1973@gmail.com</t>
  </si>
  <si>
    <t>1945</t>
  </si>
  <si>
    <t>https://drive.google.com/file/d/1-5ApuCuyzPllZ2stbf7c9P-EScyBzO_e/view?usp=drivesdk</t>
  </si>
  <si>
    <t>1-5ApuCuyzPllZ2stbf7c9P-EScyBzO_e</t>
  </si>
  <si>
    <t>1ap_a5ejLy0Iko1jS4WI4pGJdQP9mi95t</t>
  </si>
  <si>
    <t>https://drive.google.com/file/d/1ap_a5ejLy0Iko1jS4WI4pGJdQP9mi95t/view?usp=drivesdk</t>
  </si>
  <si>
    <t xml:space="preserve">SUMIYATI </t>
  </si>
  <si>
    <t>Syatiwb81@gmail.com</t>
  </si>
  <si>
    <t>1946</t>
  </si>
  <si>
    <t>https://drive.google.com/file/d/1W5nJiGB3eAM3tGJrQjAY8RHs9h0nq69-/view?usp=drivesdk</t>
  </si>
  <si>
    <t>1W5nJiGB3eAM3tGJrQjAY8RHs9h0nq69-</t>
  </si>
  <si>
    <t>1gzIybEBwTZxqy7qp36EY_G7fRP-OJMmX</t>
  </si>
  <si>
    <t>https://drive.google.com/file/d/1gzIybEBwTZxqy7qp36EY_G7fRP-OJMmX/view?usp=drivesdk</t>
  </si>
  <si>
    <t>RANU ASMORO, S.T.</t>
  </si>
  <si>
    <t>ranuasmoro1975@gmail.com</t>
  </si>
  <si>
    <t>1947</t>
  </si>
  <si>
    <t>https://drive.google.com/file/d/1pTTzjk5L6LHKb4_-j-BCzS7WFEK7WGFN/view?usp=drivesdk</t>
  </si>
  <si>
    <t>1pTTzjk5L6LHKb4_-j-BCzS7WFEK7WGFN</t>
  </si>
  <si>
    <t>16ay9r0KW20c0GhYZLju3L9iuN50gv59_</t>
  </si>
  <si>
    <t>https://drive.google.com/file/d/16ay9r0KW20c0GhYZLju3L9iuN50gv59_/view?usp=drivesdk</t>
  </si>
  <si>
    <t>LUH PUTU SRI UTAMI, S.E.</t>
  </si>
  <si>
    <t>luhputu.sriutami11@gmail.com</t>
  </si>
  <si>
    <t>1948</t>
  </si>
  <si>
    <t>https://drive.google.com/file/d/1ENQLnDGdCo7r50c4zes9DF7W72cjOh8p/view?usp=drivesdk</t>
  </si>
  <si>
    <t>1ENQLnDGdCo7r50c4zes9DF7W72cjOh8p</t>
  </si>
  <si>
    <t>1API4hsAxOOKbmMLo_qwUyM9XXg6wJwrN</t>
  </si>
  <si>
    <t>https://drive.google.com/file/d/1API4hsAxOOKbmMLo_qwUyM9XXg6wJwrN/view?usp=drivesdk</t>
  </si>
  <si>
    <t>Petrosina Josina Thely Taihuttu</t>
  </si>
  <si>
    <t>thellytaihuttu@gmail.com</t>
  </si>
  <si>
    <t>1949</t>
  </si>
  <si>
    <t>https://drive.google.com/file/d/1O_wTT21ukgSul1M6WLgPMJa5PomoSchW/view?usp=drivesdk</t>
  </si>
  <si>
    <t>1O_wTT21ukgSul1M6WLgPMJa5PomoSchW</t>
  </si>
  <si>
    <t>1IM5_TAuYYyDBaOxepZ4Vart2zGRbYb2Y</t>
  </si>
  <si>
    <t>https://drive.google.com/file/d/1IM5_TAuYYyDBaOxepZ4Vart2zGRbYb2Y/view?usp=drivesdk</t>
  </si>
  <si>
    <t>DRA SAURMA BUTARBUTAR</t>
  </si>
  <si>
    <t>butarbutarsaurma@gmail.com</t>
  </si>
  <si>
    <t>1950</t>
  </si>
  <si>
    <t>https://drive.google.com/file/d/1DKauUGDlw2zkL-K8ljdd3aUfpIA9v9r4/view?usp=drivesdk</t>
  </si>
  <si>
    <t>1DKauUGDlw2zkL-K8ljdd3aUfpIA9v9r4</t>
  </si>
  <si>
    <t>1M-T4mC6w2VSghOIhB3Ad4YnnhZV-9aQU</t>
  </si>
  <si>
    <t>https://drive.google.com/file/d/1M-T4mC6w2VSghOIhB3Ad4YnnhZV-9aQU/view?usp=drivesdk</t>
  </si>
  <si>
    <t>Document successfully created; Document successfully merged; PDF created; !!Error Sending Emails: Service invoked too many times for one day: email.; Run via form trigger as ecertificate75@gmail.com; Timestamp: Aug 31 2024 2:25 AM</t>
  </si>
  <si>
    <t xml:space="preserve">RR.HENI ARIATI </t>
  </si>
  <si>
    <t>rrheniariatimgl@gmail.com</t>
  </si>
  <si>
    <t>1951</t>
  </si>
  <si>
    <t>https://drive.google.com/file/d/1bwEiOI6K-ancnCm2G_Ci7cFsIswVpJbr/view?usp=drivesdk</t>
  </si>
  <si>
    <t>1bwEiOI6K-ancnCm2G_Ci7cFsIswVpJbr</t>
  </si>
  <si>
    <t>1o7352wAVHC0b4Xw99ULgQwbCNI1FEJfA</t>
  </si>
  <si>
    <t>https://drive.google.com/file/d/1o7352wAVHC0b4Xw99ULgQwbCNI1FEJfA/view?usp=drivesdk</t>
  </si>
  <si>
    <t>WANGSIT BAPAK</t>
  </si>
  <si>
    <t>wangsit1962@gmail.com</t>
  </si>
  <si>
    <t>1952</t>
  </si>
  <si>
    <t>https://drive.google.com/file/d/1_f-OoL3tFFodxzw3iHgrny7wd0xaejGG/view?usp=drivesdk</t>
  </si>
  <si>
    <t>1_f-OoL3tFFodxzw3iHgrny7wd0xaejGG</t>
  </si>
  <si>
    <t>18kcRGE3R-SryC1KmW1x1gqRoCvp4efeQ</t>
  </si>
  <si>
    <t>https://drive.google.com/file/d/18kcRGE3R-SryC1KmW1x1gqRoCvp4efeQ/view?usp=drivesdk</t>
  </si>
  <si>
    <t xml:space="preserve">TUTUT EVIVA </t>
  </si>
  <si>
    <t>tututeviva123@gmail.com</t>
  </si>
  <si>
    <t>1953</t>
  </si>
  <si>
    <t>https://drive.google.com/file/d/1u7ZSqswhi4FuiHQhaIeIqcBUnyR9J1o_/view?usp=drivesdk</t>
  </si>
  <si>
    <t>1u7ZSqswhi4FuiHQhaIeIqcBUnyR9J1o_</t>
  </si>
  <si>
    <t>1sUJLH13jFgJHra9gAR1lrs1ESa5ctPzc</t>
  </si>
  <si>
    <t>https://drive.google.com/file/d/1sUJLH13jFgJHra9gAR1lrs1ESa5ctPzc/view?usp=drivesdk</t>
  </si>
  <si>
    <t>IRA LESTARI, S.E, M.M</t>
  </si>
  <si>
    <t>irakhairan@gmail.com</t>
  </si>
  <si>
    <t>1954</t>
  </si>
  <si>
    <t>https://drive.google.com/file/d/1YP00iFZMQPGf3rbdkGs9lStUonLdgoJ-/view?usp=drivesdk</t>
  </si>
  <si>
    <t>1YP00iFZMQPGf3rbdkGs9lStUonLdgoJ-</t>
  </si>
  <si>
    <t>1NCZXtvUkeKU9pp0cCkT-HHmDdjVNuDPV</t>
  </si>
  <si>
    <t>https://drive.google.com/file/d/1NCZXtvUkeKU9pp0cCkT-HHmDdjVNuDPV/view?usp=drivesdk</t>
  </si>
  <si>
    <t>ANI INDRATI  A.Md.Kep</t>
  </si>
  <si>
    <t>ani.indrati46@gmail.com</t>
  </si>
  <si>
    <t>1955</t>
  </si>
  <si>
    <t>1qTGHJ8z3FwYpXPovGk6F0n9c0QzLw5rN</t>
  </si>
  <si>
    <t>https://drive.google.com/file/d/1qTGHJ8z3FwYpXPovGk6F0n9c0QzLw5rN/view?usp=drivesdk</t>
  </si>
  <si>
    <t>Document successfully created; Document successfully merged; PDF created; !!Error Sending Emails: Service invoked too many times for one day: email.; Run via form trigger as ecertificate75@gmail.com; Timestamp: Aug 31 2024 2:26 AM</t>
  </si>
  <si>
    <t>FENDIK DWI APRIANTO</t>
  </si>
  <si>
    <t>fendikdwiaja@gmail.com</t>
  </si>
  <si>
    <t>1956</t>
  </si>
  <si>
    <t>1kZjyVD9Bzbo6Ps_rhM32ukSugbyKweSf</t>
  </si>
  <si>
    <t>https://drive.google.com/file/d/1kZjyVD9Bzbo6Ps_rhM32ukSugbyKweSf/view?usp=drivesdk</t>
  </si>
  <si>
    <t>ROSTIANA</t>
  </si>
  <si>
    <t>rostianabpn@gmail.com</t>
  </si>
  <si>
    <t>1957</t>
  </si>
  <si>
    <t>1dypOKqujGOsksQ6TVbRc0gfq1ahXj8ry</t>
  </si>
  <si>
    <t>https://drive.google.com/file/d/1dypOKqujGOsksQ6TVbRc0gfq1ahXj8ry/view?usp=drivesdk</t>
  </si>
  <si>
    <t>FARID MA'RUF</t>
  </si>
  <si>
    <t>faridmetro76@gmail.com</t>
  </si>
  <si>
    <t>1958</t>
  </si>
  <si>
    <t>1lVrhTaeG86qQGqOYt5rdp1pR47advxbF</t>
  </si>
  <si>
    <t>https://drive.google.com/file/d/1lVrhTaeG86qQGqOYt5rdp1pR47advxbF/view?usp=drivesdk</t>
  </si>
  <si>
    <t>MARIMAN.</t>
  </si>
  <si>
    <t>marimanyanma@gmail.com</t>
  </si>
  <si>
    <t>1959</t>
  </si>
  <si>
    <t>https://drive.google.com/file/d/1dIqpRReRrD3U13hyde1RS3UKtZqDp-6i/view?usp=drivesdk</t>
  </si>
  <si>
    <t>1dIqpRReRrD3U13hyde1RS3UKtZqDp-6i</t>
  </si>
  <si>
    <t>1fKkh6jI-IyE-PTmjLJqcv7y6qyJpIizV</t>
  </si>
  <si>
    <t>https://drive.google.com/file/d/1fKkh6jI-IyE-PTmjLJqcv7y6qyJpIizV/view?usp=drivesdk</t>
  </si>
  <si>
    <t>AFRIYANTI RAMBE</t>
  </si>
  <si>
    <t>afriyantirambe11@gmail.com</t>
  </si>
  <si>
    <t>1960</t>
  </si>
  <si>
    <t>https://drive.google.com/file/d/1_SmkBVNdAfNQAyX3sj4lGiIO31O7XQPz/view?usp=drivesdk</t>
  </si>
  <si>
    <t>1_SmkBVNdAfNQAyX3sj4lGiIO31O7XQPz</t>
  </si>
  <si>
    <t>1TSTIewsciBmeEnYg9dDel-K5uf4pv-vW</t>
  </si>
  <si>
    <t>https://drive.google.com/file/d/1TSTIewsciBmeEnYg9dDel-K5uf4pv-vW/view?usp=drivesdk</t>
  </si>
  <si>
    <t>YUSTINAE CORE VALUE</t>
  </si>
  <si>
    <t>yustintina55498@gmail.com</t>
  </si>
  <si>
    <t>1961</t>
  </si>
  <si>
    <t>https://drive.google.com/file/d/1-BiicOMAj1chFWlgvzltVllBEaZHLBIQ/view?usp=drivesdk</t>
  </si>
  <si>
    <t>1-BiicOMAj1chFWlgvzltVllBEaZHLBIQ</t>
  </si>
  <si>
    <t>19CZEwAoumYnulipYr6TJ6M_n3J5vwTAO</t>
  </si>
  <si>
    <t>https://drive.google.com/file/d/19CZEwAoumYnulipYr6TJ6M_n3J5vwTAO/view?usp=drivesdk</t>
  </si>
  <si>
    <t>Document successfully created; Document successfully merged; PDF created; !!Error Sending Emails: Service invoked too many times for one day: email.; Manually run by ecertificate75@gmail.com; Timestamp: Aug 31 2024 2:40 AM</t>
  </si>
  <si>
    <t>DESI DWIYANA, A.MD.KEP</t>
  </si>
  <si>
    <t>desidwiyana9@gmail.com</t>
  </si>
  <si>
    <t>1962</t>
  </si>
  <si>
    <t>https://drive.google.com/file/d/1sYOQPrf1NfgvoNMfJzTOiIA-BRfDPQq1/view?usp=drivesdk</t>
  </si>
  <si>
    <t>1sYOQPrf1NfgvoNMfJzTOiIA-BRfDPQq1</t>
  </si>
  <si>
    <t>1kjwtiRFZfceRqdTUOAvu6foP700WnyzN</t>
  </si>
  <si>
    <t>https://drive.google.com/file/d/1kjwtiRFZfceRqdTUOAvu6foP700WnyzN/view?usp=drivesdk</t>
  </si>
  <si>
    <t>BUDIONO</t>
  </si>
  <si>
    <t>budionoalghazi@gmail.com</t>
  </si>
  <si>
    <t>1963</t>
  </si>
  <si>
    <t>https://drive.google.com/file/d/1-V0VKfr2iN4knEmOhS6Sb7p8FUfkBcMb/view?usp=drivesdk</t>
  </si>
  <si>
    <t>1-V0VKfr2iN4knEmOhS6Sb7p8FUfkBcMb</t>
  </si>
  <si>
    <t>1JNes-ye_wovdVQu9j4sj6bbgNTtnQ92i</t>
  </si>
  <si>
    <t>https://drive.google.com/file/d/1JNes-ye_wovdVQu9j4sj6bbgNTtnQ92i/view?usp=drivesdk</t>
  </si>
  <si>
    <t xml:space="preserve">TITUK SRI HARTATI, S. Pd. </t>
  </si>
  <si>
    <t>tituk1974@gmail.com</t>
  </si>
  <si>
    <t>1964</t>
  </si>
  <si>
    <t>https://drive.google.com/file/d/17BVJQ1CkeqswOevZ3QPVQNhmeUM5EEwj/view?usp=drivesdk</t>
  </si>
  <si>
    <t>17BVJQ1CkeqswOevZ3QPVQNhmeUM5EEwj</t>
  </si>
  <si>
    <t>1h6qcuDFACIEZ0fBS6ZlBI6gyOYWUSZ1Y</t>
  </si>
  <si>
    <t>https://drive.google.com/file/d/1h6qcuDFACIEZ0fBS6ZlBI6gyOYWUSZ1Y/view?usp=drivesdk</t>
  </si>
  <si>
    <t>HARIYANI</t>
  </si>
  <si>
    <t>hariyani.yani0510@gmail.com</t>
  </si>
  <si>
    <t>1965</t>
  </si>
  <si>
    <t>https://drive.google.com/file/d/1sLzLsupGpFOheycXmxTETC30bGludMWz/view?usp=drivesdk</t>
  </si>
  <si>
    <t>1sLzLsupGpFOheycXmxTETC30bGludMWz</t>
  </si>
  <si>
    <t>1GxyHYG8jkuwdJj4BrxLCeI1ytz8mKj5C</t>
  </si>
  <si>
    <t>https://drive.google.com/file/d/1GxyHYG8jkuwdJj4BrxLCeI1ytz8mKj5C/view?usp=drivesdk</t>
  </si>
  <si>
    <t>PUTU SAYANG SARIYATI, A.Md.Kes</t>
  </si>
  <si>
    <t>sayangsariyati@gmail.com</t>
  </si>
  <si>
    <t>1966</t>
  </si>
  <si>
    <t>https://drive.google.com/file/d/1QXt8t-UIubJrHo-7Zqn-5NfAfY16-Tgf/view?usp=drivesdk</t>
  </si>
  <si>
    <t>1QXt8t-UIubJrHo-7Zqn-5NfAfY16-Tgf</t>
  </si>
  <si>
    <t>1oYklfRTEz5Nhx55c9pTq5yxt26PWF8dP</t>
  </si>
  <si>
    <t>https://drive.google.com/file/d/1oYklfRTEz5Nhx55c9pTq5yxt26PWF8dP/view?usp=drivesdk</t>
  </si>
  <si>
    <t>TRI SANTOSO, S.Pd</t>
  </si>
  <si>
    <t>trisantoso8889@gmail.com</t>
  </si>
  <si>
    <t>1967</t>
  </si>
  <si>
    <t>https://drive.google.com/file/d/1Dd4AwfsnZ1MOLmclR6gGHK_U73FglBWu/view?usp=drivesdk</t>
  </si>
  <si>
    <t>1Dd4AwfsnZ1MOLmclR6gGHK_U73FglBWu</t>
  </si>
  <si>
    <t>1vV4U7NvUsv7p2FhDIrSFA1n6LiTRaORC</t>
  </si>
  <si>
    <t>https://drive.google.com/file/d/1vV4U7NvUsv7p2FhDIrSFA1n6LiTRaORC/view?usp=drivesdk</t>
  </si>
  <si>
    <t>Document successfully created; Document successfully merged; PDF created; !!Error Sending Emails: Service invoked too many times for one day: email.; Manually run by ecertificate75@gmail.com; Timestamp: Aug 31 2024 2:41 AM</t>
  </si>
  <si>
    <t>IMRON MADHARI</t>
  </si>
  <si>
    <t>imronmadharari@gmail.com</t>
  </si>
  <si>
    <t>1968</t>
  </si>
  <si>
    <t>https://drive.google.com/file/d/1xaqbv_42___t9S4tPYKkI85KRvZ_da9W/view?usp=drivesdk</t>
  </si>
  <si>
    <t>1xaqbv_42___t9S4tPYKkI85KRvZ_da9W</t>
  </si>
  <si>
    <t>1znQhyg5SIjKLjDx7t26gvjwLYUJc9xl7</t>
  </si>
  <si>
    <t>https://drive.google.com/file/d/1znQhyg5SIjKLjDx7t26gvjwLYUJc9xl7/view?usp=drivesdk</t>
  </si>
  <si>
    <t>AGUNG WIJAYA</t>
  </si>
  <si>
    <t>agungwijaya29@gmail.com</t>
  </si>
  <si>
    <t>1969</t>
  </si>
  <si>
    <t>https://drive.google.com/file/d/1WUJCWC9uhuQso_tc5phimIWqcGLixY1u/view?usp=drivesdk</t>
  </si>
  <si>
    <t>1WUJCWC9uhuQso_tc5phimIWqcGLixY1u</t>
  </si>
  <si>
    <t>1vK_0Lecx_bRgi3otcXAN_ZElN-cI4d5y</t>
  </si>
  <si>
    <t>https://drive.google.com/file/d/1vK_0Lecx_bRgi3otcXAN_ZElN-cI4d5y/view?usp=drivesdk</t>
  </si>
  <si>
    <t>WELLY SAMBIYONO</t>
  </si>
  <si>
    <t>wellysambiyono1971@gmail.com</t>
  </si>
  <si>
    <t>1970</t>
  </si>
  <si>
    <t>1liGrBbA4rKzI-eo2tHQBs4VLk85g0zkr</t>
  </si>
  <si>
    <t>https://drive.google.com/file/d/1liGrBbA4rKzI-eo2tHQBs4VLk85g0zkr/view?usp=drivesdk</t>
  </si>
  <si>
    <t>ANDIK PRASTIO</t>
  </si>
  <si>
    <t>andikprastio256@gmail.com</t>
  </si>
  <si>
    <t>1971</t>
  </si>
  <si>
    <t>1F2KyqGy_I15T0OG3mjDOffv4KW6ELwfJ</t>
  </si>
  <si>
    <t>https://drive.google.com/file/d/1F2KyqGy_I15T0OG3mjDOffv4KW6ELwfJ/view?usp=drivesdk</t>
  </si>
  <si>
    <t>SUSMIYATUN</t>
  </si>
  <si>
    <t>Susmiyatun79@gmail.com</t>
  </si>
  <si>
    <t>1972</t>
  </si>
  <si>
    <t>1EBxmDZr_sEk7_yfBDx8wJjq4A2x82uL6</t>
  </si>
  <si>
    <t>https://drive.google.com/file/d/1EBxmDZr_sEk7_yfBDx8wJjq4A2x82uL6/view?usp=drivesdk</t>
  </si>
  <si>
    <t>Document successfully created; Document successfully merged; PDF created; !!Error Sending Emails: Service invoked too many times for one day: email.; Manually run by ecertificate75@gmail.com; Timestamp: Aug 31 2024 2:42 AM</t>
  </si>
  <si>
    <t>ELVI MARLIZA</t>
  </si>
  <si>
    <t>elvi.marliza80@gmail.com</t>
  </si>
  <si>
    <t>1973</t>
  </si>
  <si>
    <t>1MMvRr99ZGXsy2VM_RVysrdmY_GgSXJUI</t>
  </si>
  <si>
    <t>https://drive.google.com/file/d/1MMvRr99ZGXsy2VM_RVysrdmY_GgSXJUI/view?usp=drivesdk</t>
  </si>
  <si>
    <t>SUWARTO, S.E.</t>
  </si>
  <si>
    <t>suwarto.pupns@gmail.com</t>
  </si>
  <si>
    <t>1974</t>
  </si>
  <si>
    <t>1qVxJcSEtoVOtLsv06glYnxvPUQBBu9hN</t>
  </si>
  <si>
    <t>https://drive.google.com/file/d/1qVxJcSEtoVOtLsv06glYnxvPUQBBu9hN/view?usp=drivesdk</t>
  </si>
  <si>
    <t>PEBGATUR RAHMIATI</t>
  </si>
  <si>
    <t>rahmisukardi17@gmail.com</t>
  </si>
  <si>
    <t>1975</t>
  </si>
  <si>
    <t>1Pa5rjE6T8SLleGBOt5kJ4kdv-D_n7mH4</t>
  </si>
  <si>
    <t>https://drive.google.com/file/d/1Pa5rjE6T8SLleGBOt5kJ4kdv-D_n7mH4/view?usp=drivesdk</t>
  </si>
  <si>
    <t>ROSMALA DEWI DAWANGGI</t>
  </si>
  <si>
    <t>dewidawanggi@gmail.com</t>
  </si>
  <si>
    <t>1976</t>
  </si>
  <si>
    <t>1-uhM5tEwnE-l8hG4tkdbTnejDnqH0WRZ</t>
  </si>
  <si>
    <t>https://drive.google.com/file/d/1-uhM5tEwnE-l8hG4tkdbTnejDnqH0WRZ/view?usp=drivesdk</t>
  </si>
  <si>
    <t>SRI HARTATI</t>
  </si>
  <si>
    <t>sri.hrtk@gmail.com</t>
  </si>
  <si>
    <t>1977</t>
  </si>
  <si>
    <t>1ssBJ7IU3V82e80KP_h84zc4KsCNF2_e1</t>
  </si>
  <si>
    <t>https://drive.google.com/file/d/1ssBJ7IU3V82e80KP_h84zc4KsCNF2_e1/view?usp=drivesdk</t>
  </si>
  <si>
    <t>Document successfully created; Document successfully merged; PDF created; !!Error Sending Emails: Service invoked too many times for one day: email.; Manually run by ecertificate75@gmail.com; Timestamp: Aug 31 2024 2:43 AM</t>
  </si>
  <si>
    <t>LINA RIA SIAHAAN</t>
  </si>
  <si>
    <t>linaria.lmj@gmail.com</t>
  </si>
  <si>
    <t>1978</t>
  </si>
  <si>
    <t>1EOJ6FOIpz2rKE4aGj3W8G-7kUCdvFy5P</t>
  </si>
  <si>
    <t>https://drive.google.com/file/d/1EOJ6FOIpz2rKE4aGj3W8G-7kUCdvFy5P/view?usp=drivesdk</t>
  </si>
  <si>
    <t>SITI BUDI LESTARI,S.H.</t>
  </si>
  <si>
    <t>budilestari705@gmail.com</t>
  </si>
  <si>
    <t>1979</t>
  </si>
  <si>
    <t>1BjzK_TFsqmkuL9GG8HFhJYzvQns0t7D4</t>
  </si>
  <si>
    <t>https://drive.google.com/file/d/1BjzK_TFsqmkuL9GG8HFhJYzvQns0t7D4/view?usp=drivesdk</t>
  </si>
  <si>
    <t>NANI SURANI</t>
  </si>
  <si>
    <t>nanisurani78@gmail.com</t>
  </si>
  <si>
    <t>1980</t>
  </si>
  <si>
    <t>1I2WE98u32p029G2pQYePzYhKAFmwOiwJ</t>
  </si>
  <si>
    <t>https://drive.google.com/file/d/1I2WE98u32p029G2pQYePzYhKAFmwOiwJ/view?usp=drivesdk</t>
  </si>
  <si>
    <t xml:space="preserve">SITI FATIMAH </t>
  </si>
  <si>
    <t>sitifatimahmurad84@gmail.com</t>
  </si>
  <si>
    <t>1981</t>
  </si>
  <si>
    <t>1NWCbPFVPy-IbvbjJN0MGigUiHAAFmfXF</t>
  </si>
  <si>
    <t>https://drive.google.com/file/d/1NWCbPFVPy-IbvbjJN0MGigUiHAAFmfXF/view?usp=drivesdk</t>
  </si>
  <si>
    <t>EDI WARSITO</t>
  </si>
  <si>
    <t>ediwarsito541@gmail.com</t>
  </si>
  <si>
    <t>1982</t>
  </si>
  <si>
    <t>1KdUZ6XU1cCaewwJjWUQrKWLW6JDW4uBJ</t>
  </si>
  <si>
    <t>https://drive.google.com/file/d/1KdUZ6XU1cCaewwJjWUQrKWLW6JDW4uBJ/view?usp=drivesdk</t>
  </si>
  <si>
    <t>Document successfully created; Document successfully merged; PDF created; !!Error Sending Emails: Service invoked too many times for one day: email.; Manually run by ecertificate75@gmail.com; Timestamp: Aug 31 2024 2:44 AM</t>
  </si>
  <si>
    <t>FARAH AURELA, A.Md.Kom</t>
  </si>
  <si>
    <t>farahaurela25@gmail.com</t>
  </si>
  <si>
    <t>1983</t>
  </si>
  <si>
    <t>1cU6me1ErH4ahUl7yyEPXQK3i3QPZEdKQ</t>
  </si>
  <si>
    <t>https://drive.google.com/file/d/1cU6me1ErH4ahUl7yyEPXQK3i3QPZEdKQ/view?usp=drivesdk</t>
  </si>
  <si>
    <t>HEKSA WANTO SIHALOHO AMD.AK</t>
  </si>
  <si>
    <t>hkswnt@gmail.com</t>
  </si>
  <si>
    <t>1984</t>
  </si>
  <si>
    <t>1Fa-597pjVEztvowZvu9Btf3rxUHbESok</t>
  </si>
  <si>
    <t>https://drive.google.com/file/d/1Fa-597pjVEztvowZvu9Btf3rxUHbESok/view?usp=drivesdk</t>
  </si>
  <si>
    <t>SARWOTO, S.H.</t>
  </si>
  <si>
    <t>sarwotonabil@gmail.com</t>
  </si>
  <si>
    <t>1985</t>
  </si>
  <si>
    <t>1s7Vx-wcarOn7OjPUn8BGDgsZBY0Ujoe2</t>
  </si>
  <si>
    <t>https://drive.google.com/file/d/1s7Vx-wcarOn7OjPUn8BGDgsZBY0Ujoe2/view?usp=drivesdk</t>
  </si>
  <si>
    <t>JUNIHASTUTI</t>
  </si>
  <si>
    <t>altafkusuma14@gmail.com</t>
  </si>
  <si>
    <t>1986</t>
  </si>
  <si>
    <t>https://drive.google.com/file/d/1PlEcZJIG81Etrg1Vv2OvWTO8VhBmN4On/view?usp=drivesdk</t>
  </si>
  <si>
    <t>1PlEcZJIG81Etrg1Vv2OvWTO8VhBmN4On</t>
  </si>
  <si>
    <t>1OVN1FlaQhZYXVsfzPSfS4F3BQsBdGcMt</t>
  </si>
  <si>
    <t>https://drive.google.com/file/d/1OVN1FlaQhZYXVsfzPSfS4F3BQsBdGcMt/view?usp=drivesdk</t>
  </si>
  <si>
    <t>BUDI PURNOMO, AMF</t>
  </si>
  <si>
    <t>bpurnomo699@gmail.com</t>
  </si>
  <si>
    <t>1987</t>
  </si>
  <si>
    <t>https://drive.google.com/file/d/1G2X1Q9UUQuG498q1rc1VF-Ct-C88Huqg/view?usp=drivesdk</t>
  </si>
  <si>
    <t>1G2X1Q9UUQuG498q1rc1VF-Ct-C88Huqg</t>
  </si>
  <si>
    <t>1mpV5We3z9qRnFKP7iBezAL3GVoEwpzci</t>
  </si>
  <si>
    <t>https://drive.google.com/file/d/1mpV5We3z9qRnFKP7iBezAL3GVoEwpzci/view?usp=drivesdk</t>
  </si>
  <si>
    <t>IKRIMAH</t>
  </si>
  <si>
    <t>ikrimah.12072014@gmail.com</t>
  </si>
  <si>
    <t>1988</t>
  </si>
  <si>
    <t>https://drive.google.com/file/d/1kfnVrx0-xSmXPOM1mhhlx-wl9x92t8Dc/view?usp=drivesdk</t>
  </si>
  <si>
    <t>1kfnVrx0-xSmXPOM1mhhlx-wl9x92t8Dc</t>
  </si>
  <si>
    <t>1Yerrw43mIJL32-9LRxBJOZftM1kjSiZO</t>
  </si>
  <si>
    <t>https://drive.google.com/file/d/1Yerrw43mIJL32-9LRxBJOZftM1kjSiZO/view?usp=drivesdk</t>
  </si>
  <si>
    <t>Document successfully created; Document successfully merged; PDF created; !!Error Sending Emails: Service invoked too many times for one day: email.; Manually run by ecertificate75@gmail.com; Timestamp: Aug 31 2024 2:45 AM</t>
  </si>
  <si>
    <t>SRI WINARNI</t>
  </si>
  <si>
    <t>sriwinarnijayapura@gmail.com</t>
  </si>
  <si>
    <t>1989</t>
  </si>
  <si>
    <t>https://drive.google.com/file/d/1CGMcN1XyIQRA1b4gDPq1Sdy3BZ1RJulI/view?usp=drivesdk</t>
  </si>
  <si>
    <t>1CGMcN1XyIQRA1b4gDPq1Sdy3BZ1RJulI</t>
  </si>
  <si>
    <t>1r_ziuavU7wHC6TKrA4iw2xVLXPzD-Bq5</t>
  </si>
  <si>
    <t>https://drive.google.com/file/d/1r_ziuavU7wHC6TKrA4iw2xVLXPzD-Bq5/view?usp=drivesdk</t>
  </si>
  <si>
    <t>Ns. FAISAL JAYA, S.Kep</t>
  </si>
  <si>
    <t>faisal.jaya32@gmail.com</t>
  </si>
  <si>
    <t>1990</t>
  </si>
  <si>
    <t>https://drive.google.com/file/d/1GyOI-i4OaOcw4SHXA043M7M2U_ikggAZ/view?usp=drivesdk</t>
  </si>
  <si>
    <t>1GyOI-i4OaOcw4SHXA043M7M2U_ikggAZ</t>
  </si>
  <si>
    <t>1KqgiZxZwVAzfQ6tz6OfqeKpSmrNwbp48</t>
  </si>
  <si>
    <t>https://drive.google.com/file/d/1KqgiZxZwVAzfQ6tz6OfqeKpSmrNwbp48/view?usp=drivesdk</t>
  </si>
  <si>
    <t>ESTER IMELDA MUNTE</t>
  </si>
  <si>
    <t>estermunte05@gmail.com</t>
  </si>
  <si>
    <t>1991</t>
  </si>
  <si>
    <t>1yj8dmaZEW82uqe8Cg5nMg9fTXX_5hjw0</t>
  </si>
  <si>
    <t>https://drive.google.com/file/d/1yj8dmaZEW82uqe8Cg5nMg9fTXX_5hjw0/view?usp=drivesdk</t>
  </si>
  <si>
    <t>DIMAS WIRAWAN</t>
  </si>
  <si>
    <t>dimasseliagati89@gmail.com</t>
  </si>
  <si>
    <t>1992</t>
  </si>
  <si>
    <t>1m1fCiTXo4F_Y2JVa-z0uzHDu_VdQSPL2</t>
  </si>
  <si>
    <t>https://drive.google.com/file/d/1m1fCiTXo4F_Y2JVa-z0uzHDu_VdQSPL2/view?usp=drivesdk</t>
  </si>
  <si>
    <t xml:space="preserve">WAKIMAN PENDA </t>
  </si>
  <si>
    <t>wakiman18879@gmail.com</t>
  </si>
  <si>
    <t>1993</t>
  </si>
  <si>
    <t>1HdKEKzOMwwzIsvABZC1rBt-7pZVy8v0v</t>
  </si>
  <si>
    <t>https://drive.google.com/file/d/1HdKEKzOMwwzIsvABZC1rBt-7pZVy8v0v/view?usp=drivesdk</t>
  </si>
  <si>
    <t xml:space="preserve">AGUS SETIYO UTOMO </t>
  </si>
  <si>
    <t>agussetiyo1982@gmail.com</t>
  </si>
  <si>
    <t>1994</t>
  </si>
  <si>
    <t>1B6xzFh8N3WmkyjoqpX-M_noYXfgiHDZk</t>
  </si>
  <si>
    <t>https://drive.google.com/file/d/1B6xzFh8N3WmkyjoqpX-M_noYXfgiHDZk/view?usp=drivesdk</t>
  </si>
  <si>
    <t>Document successfully created; Document successfully merged; PDF created; !!Error Sending Emails: Service invoked too many times for one day: email.; Manually run by ecertificate75@gmail.com; Timestamp: Aug 31 2024 2:46 AM</t>
  </si>
  <si>
    <t>WINDA FITRI ASTUTI, A.md</t>
  </si>
  <si>
    <t>windafitriastuti4@gmail.com</t>
  </si>
  <si>
    <t>1995</t>
  </si>
  <si>
    <t>1yHEaqJ0hL74EFjddh7sVEcnqwU4oukdV</t>
  </si>
  <si>
    <t>https://drive.google.com/file/d/1yHEaqJ0hL74EFjddh7sVEcnqwU4oukdV/view?usp=drivesdk</t>
  </si>
  <si>
    <t>WIBI ASTUTI</t>
  </si>
  <si>
    <t>wibiastuti5770@gmail.com</t>
  </si>
  <si>
    <t>1996</t>
  </si>
  <si>
    <t>1CXa2eh7Y2ptNazvw-fuyRMX0zscNuREq</t>
  </si>
  <si>
    <t>https://drive.google.com/file/d/1CXa2eh7Y2ptNazvw-fuyRMX0zscNuREq/view?usp=drivesdk</t>
  </si>
  <si>
    <t xml:space="preserve">MARICE RUMBINO </t>
  </si>
  <si>
    <t>icemarice87@gmail.com</t>
  </si>
  <si>
    <t>1997</t>
  </si>
  <si>
    <t>1gV8Rivn1H1TcGCmXceng4o67RVqvI_RT</t>
  </si>
  <si>
    <t>https://drive.google.com/file/d/1gV8Rivn1H1TcGCmXceng4o67RVqvI_RT/view?usp=drivesdk</t>
  </si>
  <si>
    <t>ALI RIAD, S.Kom</t>
  </si>
  <si>
    <t>riadali95@gmail.com</t>
  </si>
  <si>
    <t>1998</t>
  </si>
  <si>
    <t>1zBKjMPzwQFnMV9sNMovFT5AwIs5AtYzc</t>
  </si>
  <si>
    <t>https://drive.google.com/file/d/1zBKjMPzwQFnMV9sNMovFT5AwIs5AtYzc/view?usp=drivesdk</t>
  </si>
  <si>
    <t>Wiwik Purwanti, S.Sos</t>
  </si>
  <si>
    <t>wiwikp333@gmail.com</t>
  </si>
  <si>
    <t>1999</t>
  </si>
  <si>
    <t>10-TdrA5sZmFSlaQD2cytRGPdzHGa2hwG</t>
  </si>
  <si>
    <t>https://drive.google.com/file/d/10-TdrA5sZmFSlaQD2cytRGPdzHGa2hwG/view?usp=drivesdk</t>
  </si>
  <si>
    <t>SUMIARNI</t>
  </si>
  <si>
    <t>sumiarni43@gmail.com</t>
  </si>
  <si>
    <t>2000</t>
  </si>
  <si>
    <t>1lvdGy9TJ0uOq44UQAfZn3afh8Gvr-Ssc</t>
  </si>
  <si>
    <t>https://drive.google.com/file/d/1lvdGy9TJ0uOq44UQAfZn3afh8Gvr-Ssc/view?usp=drivesdk</t>
  </si>
  <si>
    <t>Document successfully created; Document successfully merged; PDF created; !!Error Sending Emails: Service invoked too many times for one day: email.; Manually run by ecertificate75@gmail.com; Timestamp: Aug 31 2024 2:47 AM</t>
  </si>
  <si>
    <t xml:space="preserve">Hamsah Hindrat Jaya </t>
  </si>
  <si>
    <t>hamsahyuseran2510@gmail.com</t>
  </si>
  <si>
    <t>2001</t>
  </si>
  <si>
    <t>https://drive.google.com/file/d/1rZ7jw3lpXw4LSJ7uzu44jw1_T-piIxur/view?usp=drivesdk</t>
  </si>
  <si>
    <t>1rZ7jw3lpXw4LSJ7uzu44jw1_T-piIxur</t>
  </si>
  <si>
    <t>1t8cJDHozXFfHNOavgFtamwu0J_fs3gjq</t>
  </si>
  <si>
    <t>https://drive.google.com/file/d/1t8cJDHozXFfHNOavgFtamwu0J_fs3gjq/view?usp=drivesdk</t>
  </si>
  <si>
    <t>ZANAENAH.S.pd.I</t>
  </si>
  <si>
    <t>zanaenah.20@gmail.com</t>
  </si>
  <si>
    <t>2002</t>
  </si>
  <si>
    <t>https://drive.google.com/file/d/1GCYkGlvZa6mm3579DdEE578nbFJal-JO/view?usp=drivesdk</t>
  </si>
  <si>
    <t>1GCYkGlvZa6mm3579DdEE578nbFJal-JO</t>
  </si>
  <si>
    <t>17kouMTSv91tA43xMu4tZ6GKTcbVjH3UC</t>
  </si>
  <si>
    <t>https://drive.google.com/file/d/17kouMTSv91tA43xMu4tZ6GKTcbVjH3UC/view?usp=drivesdk</t>
  </si>
  <si>
    <t>WIWI HERAWATI Am.Keb,SKM</t>
  </si>
  <si>
    <t>wiwiherawati28@gmail.com</t>
  </si>
  <si>
    <t>2003</t>
  </si>
  <si>
    <t>https://drive.google.com/file/d/1cLACHBCRHgudQm-_az_3Vrnstl_Exlkp/view?usp=drivesdk</t>
  </si>
  <si>
    <t>1cLACHBCRHgudQm-_az_3Vrnstl_Exlkp</t>
  </si>
  <si>
    <t>1S7jhj-DGmQDXzJ5rLq9yAcExCPw2OgrO</t>
  </si>
  <si>
    <t>https://drive.google.com/file/d/1S7jhj-DGmQDXzJ5rLq9yAcExCPw2OgrO/view?usp=drivesdk</t>
  </si>
  <si>
    <t>PURNANTO</t>
  </si>
  <si>
    <t>purnantodr@gmail.com</t>
  </si>
  <si>
    <t>2004</t>
  </si>
  <si>
    <t>Starting at Thu Aug 29 2024 21:09:21 GMT-0400 (EDT)</t>
  </si>
  <si>
    <t>1vRxnwM5UeOKFhrL_X1BmaV0ZyNYh1N_4</t>
  </si>
  <si>
    <t>https://drive.google.com/file/d/1vRxnwM5UeOKFhrL_X1BmaV0ZyNYh1N_4/view?usp=drivesdk</t>
  </si>
  <si>
    <t>DODI MARTONO</t>
  </si>
  <si>
    <t>dodi.m1973@gmail.com</t>
  </si>
  <si>
    <t>2005</t>
  </si>
  <si>
    <t>1TydXzdO-BiQrzbyO8h8pka_QgkiyjGZb</t>
  </si>
  <si>
    <t>https://drive.google.com/file/d/1TydXzdO-BiQrzbyO8h8pka_QgkiyjGZb/view?usp=drivesdk</t>
  </si>
  <si>
    <t>Document successfully created; Document successfully merged; PDF created; !!Error Sending Emails: Service invoked too many times for one day: email.; Manually run by ecertificate75@gmail.com; Timestamp: Aug 31 2024 2:48 AM</t>
  </si>
  <si>
    <t>MOH BISRI</t>
  </si>
  <si>
    <t>JURU MUDA TK. I</t>
  </si>
  <si>
    <t>mohbisrirsbhy@gmail.com</t>
  </si>
  <si>
    <t>2006</t>
  </si>
  <si>
    <t>1fYVjf8Zr-Dg-y_B6Da3Mu3VO0xN9wcPt</t>
  </si>
  <si>
    <t>https://drive.google.com/file/d/1fYVjf8Zr-Dg-y_B6Da3Mu3VO0xN9wcPt/view?usp=drivesdk</t>
  </si>
  <si>
    <t>AGUS TARMUJI</t>
  </si>
  <si>
    <t>agustarmuji76@gmail.com</t>
  </si>
  <si>
    <t>2007</t>
  </si>
  <si>
    <t>1jJWNI66bKmC6E47eSFqeD62M9T1mVhGo</t>
  </si>
  <si>
    <t>https://drive.google.com/file/d/1jJWNI66bKmC6E47eSFqeD62M9T1mVhGo/view?usp=drivesdk</t>
  </si>
  <si>
    <t>KUSNADI,SH</t>
  </si>
  <si>
    <t>kusnadis321@gmail.com</t>
  </si>
  <si>
    <t>2008</t>
  </si>
  <si>
    <t>1uJWFhCFN2os75L314IaGrEpcsmXOYafc</t>
  </si>
  <si>
    <t>https://drive.google.com/file/d/1uJWFhCFN2os75L314IaGrEpcsmXOYafc/view?usp=drivesdk</t>
  </si>
  <si>
    <t>POLDA SULTENG</t>
  </si>
  <si>
    <t>ETA, S.Pd</t>
  </si>
  <si>
    <t>etalakabo@gmail.com</t>
  </si>
  <si>
    <t>2009</t>
  </si>
  <si>
    <t>1EPinZL6KNQRFhW3DT0U24I-e9hv3ZaPq</t>
  </si>
  <si>
    <t>https://drive.google.com/file/d/1EPinZL6KNQRFhW3DT0U24I-e9hv3ZaPq/view?usp=drivesdk</t>
  </si>
  <si>
    <t>ISANA CAHYANI, A.Md.Kom.</t>
  </si>
  <si>
    <t>yepyepi629@gmail.com</t>
  </si>
  <si>
    <t>2010</t>
  </si>
  <si>
    <t>1hL0a3UEhSbjfs0xE9xiVYb-TgFkl9RU4</t>
  </si>
  <si>
    <t>https://drive.google.com/file/d/1hL0a3UEhSbjfs0xE9xiVYb-TgFkl9RU4/view?usp=drivesdk</t>
  </si>
  <si>
    <t>Document successfully created; Document successfully merged; PDF created; !!Error Sending Emails: Service invoked too many times for one day: email.; Manually run by ecertificate75@gmail.com; Timestamp: Aug 31 2024 2:49 AM</t>
  </si>
  <si>
    <t>dr. FITRIE WIDYASTUTI</t>
  </si>
  <si>
    <t>fitrie6789@gmail.com</t>
  </si>
  <si>
    <t>2011</t>
  </si>
  <si>
    <t>1stMc1T0DUz_TszwWBX9i1AJ8uiE-cdPS</t>
  </si>
  <si>
    <t>https://drive.google.com/file/d/1stMc1T0DUz_TszwWBX9i1AJ8uiE-cdPS/view?usp=drivesdk</t>
  </si>
  <si>
    <t xml:space="preserve">ROSLIANA </t>
  </si>
  <si>
    <t>roslianaandro@gmail.com</t>
  </si>
  <si>
    <t>2012</t>
  </si>
  <si>
    <t>1dRD7m-521-Jm66BtlX4BJ-zSwyZCgON4</t>
  </si>
  <si>
    <t>https://drive.google.com/file/d/1dRD7m-521-Jm66BtlX4BJ-zSwyZCgON4/view?usp=drivesdk</t>
  </si>
  <si>
    <t xml:space="preserve">ARDIAN JUNIANTO </t>
  </si>
  <si>
    <t>ardian.junianto@yahoo.com</t>
  </si>
  <si>
    <t>2013</t>
  </si>
  <si>
    <t>1_yEVErjDR7GeJuCHVE_UthORzCmtob_T</t>
  </si>
  <si>
    <t>https://drive.google.com/file/d/1_yEVErjDR7GeJuCHVE_UthORzCmtob_T/view?usp=drivesdk</t>
  </si>
  <si>
    <t>SUTRISNO</t>
  </si>
  <si>
    <t>st19750509@gmail.com</t>
  </si>
  <si>
    <t>2014</t>
  </si>
  <si>
    <t>1SgHYgPltTwo6IEEv0lZXD4Y56oy5YUnI</t>
  </si>
  <si>
    <t>https://drive.google.com/file/d/1SgHYgPltTwo6IEEv0lZXD4Y56oy5YUnI/view?usp=drivesdk</t>
  </si>
  <si>
    <t>PIPIT SANDRA</t>
  </si>
  <si>
    <t>pipitsandra84@gmail.com</t>
  </si>
  <si>
    <t>2015</t>
  </si>
  <si>
    <t>1nccEdY6l1cg-730_KSbD86WJat92_KY_</t>
  </si>
  <si>
    <t>https://drive.google.com/file/d/1nccEdY6l1cg-730_KSbD86WJat92_KY_/view?usp=drivesdk</t>
  </si>
  <si>
    <t>SUBANDRI</t>
  </si>
  <si>
    <t>badri@gmail.com</t>
  </si>
  <si>
    <t>2016</t>
  </si>
  <si>
    <t>1ZMdDtljhaMjGvaCv0FsXb_D3rL4Dri2Q</t>
  </si>
  <si>
    <t>https://drive.google.com/file/d/1ZMdDtljhaMjGvaCv0FsXb_D3rL4Dri2Q/view?usp=drivesdk</t>
  </si>
  <si>
    <t>Document successfully created; Document successfully merged; PDF created; !!Error Sending Emails: Service invoked too many times for one day: email.; Manually run by ecertificate75@gmail.com; Timestamp: Aug 31 2024 2:50 AM</t>
  </si>
  <si>
    <t>HJ.SARI</t>
  </si>
  <si>
    <t>hajjahsari3@gmail.com</t>
  </si>
  <si>
    <t>2017</t>
  </si>
  <si>
    <t>1nQhPWYc5RZ4jO-AFvBIjRj68mU-vS7aj</t>
  </si>
  <si>
    <t>https://drive.google.com/file/d/1nQhPWYc5RZ4jO-AFvBIjRj68mU-vS7aj/view?usp=drivesdk</t>
  </si>
  <si>
    <t>Document successfully created; Document successfully merged; PDF created; !!Error Sending Emails: Service invoked too many times for one day: email.; Run via form trigger as ecertificate75@gmail.com; Timestamp: Aug 31 2024 2:37 AM</t>
  </si>
  <si>
    <t>ERVINNAH,S.K.M</t>
  </si>
  <si>
    <t>evimarcell45@gmail.com</t>
  </si>
  <si>
    <t>2018</t>
  </si>
  <si>
    <t>1yCiLTwm3m4CKcwa31E4GWxFsm3tMogKV</t>
  </si>
  <si>
    <t>https://drive.google.com/file/d/1yCiLTwm3m4CKcwa31E4GWxFsm3tMogKV/view?usp=drivesdk</t>
  </si>
  <si>
    <t>HOLIFAH, A.MD.</t>
  </si>
  <si>
    <t>holifahsyarif05@gmail.com</t>
  </si>
  <si>
    <t>2019</t>
  </si>
  <si>
    <t>15Jkhu61pBbsfv1uSY5axfSmrCGHwG8fu</t>
  </si>
  <si>
    <t>https://drive.google.com/file/d/15Jkhu61pBbsfv1uSY5axfSmrCGHwG8fu/view?usp=drivesdk</t>
  </si>
  <si>
    <t>MIKO HARDIAN, A.MD., S.KOM.</t>
  </si>
  <si>
    <t>mikohardian4@gmail.com</t>
  </si>
  <si>
    <t>2020</t>
  </si>
  <si>
    <t>19BQ77Rrwd9gGyxgycMlSYwioYNM-NH6W</t>
  </si>
  <si>
    <t>https://drive.google.com/file/d/19BQ77Rrwd9gGyxgycMlSYwioYNM-NH6W/view?usp=drivesdk</t>
  </si>
  <si>
    <t>Document successfully created; Document successfully merged; PDF created; !!Error Sending Emails: Service invoked too many times for one day: email.; Run via form trigger as ecertificate75@gmail.com; Timestamp: Aug 31 2024 2:38 AM</t>
  </si>
  <si>
    <t>AGUNG SAPUTRO</t>
  </si>
  <si>
    <t>agungsaputro2015@gmail.com</t>
  </si>
  <si>
    <t>2021</t>
  </si>
  <si>
    <t>1BKZ12O9H7idalwTtP__aMVxDjbyTTVlS</t>
  </si>
  <si>
    <t>https://drive.google.com/file/d/1BKZ12O9H7idalwTtP__aMVxDjbyTTVlS/view?usp=drivesdk</t>
  </si>
  <si>
    <t xml:space="preserve">ANDHRY DHARMA SAMUDRA </t>
  </si>
  <si>
    <t>andhrydharma@gmail.com</t>
  </si>
  <si>
    <t>2022</t>
  </si>
  <si>
    <t>1xWii42JPHrlKs2Iky1C0yLsU_S0VwVVz</t>
  </si>
  <si>
    <t>https://drive.google.com/file/d/1xWii42JPHrlKs2Iky1C0yLsU_S0VwVVz/view?usp=drivesdk</t>
  </si>
  <si>
    <t>BINTARI.Amd.Kep</t>
  </si>
  <si>
    <t>queenzafahima@gmail.com</t>
  </si>
  <si>
    <t>2023</t>
  </si>
  <si>
    <t>1ZUAzWH8Kz2SHL5zAb8EHUwDOeUfetvyx</t>
  </si>
  <si>
    <t>https://drive.google.com/file/d/1ZUAzWH8Kz2SHL5zAb8EHUwDOeUfetvyx/view?usp=drivesdk</t>
  </si>
  <si>
    <t>DR.YUDI CANDRA</t>
  </si>
  <si>
    <t>candrayudi278@yahoo.co.id</t>
  </si>
  <si>
    <t>2024</t>
  </si>
  <si>
    <t>1A341rgEjp9W6CRYmn6J-V1zhu4_st2Je</t>
  </si>
  <si>
    <t>https://drive.google.com/file/d/1A341rgEjp9W6CRYmn6J-V1zhu4_st2Je/view?usp=drivesdk</t>
  </si>
  <si>
    <t>Document successfully created; Document successfully merged; PDF created; !!Error Sending Emails: Service invoked too many times for one day: email.; Run via form trigger as ecertificate75@gmail.com; Timestamp: Aug 31 2024 2:39 AM</t>
  </si>
  <si>
    <t>YULI SAPTARI</t>
  </si>
  <si>
    <t>yulisaptari84@gmail.com</t>
  </si>
  <si>
    <t>2025</t>
  </si>
  <si>
    <t>1z65UZkvSxAJW3tbXpK_8VHXMOlM2kOLK</t>
  </si>
  <si>
    <t>https://drive.google.com/file/d/1z65UZkvSxAJW3tbXpK_8VHXMOlM2kOLK/view?usp=drivesdk</t>
  </si>
  <si>
    <t>LUKMAN HARIES, Amd., S.IP</t>
  </si>
  <si>
    <t>harieslukman76@gmail.com</t>
  </si>
  <si>
    <t>2026</t>
  </si>
  <si>
    <t>17tDadOkkO17D5hF5xml_IPShNMp4spua</t>
  </si>
  <si>
    <t>https://drive.google.com/file/d/17tDadOkkO17D5hF5xml_IPShNMp4spua/view?usp=drivesdk</t>
  </si>
  <si>
    <t>IPUNG PURMIATI, A.Md</t>
  </si>
  <si>
    <t>ipungpurmiati@gmail.com</t>
  </si>
  <si>
    <t>2027</t>
  </si>
  <si>
    <t>12wOSOv84bdzWhYFDih-ilU88kw0u18ss</t>
  </si>
  <si>
    <t>https://drive.google.com/file/d/12wOSOv84bdzWhYFDih-ilU88kw0u18ss/view?usp=drivesdk</t>
  </si>
  <si>
    <t>PENDA MULYADI, A.Md</t>
  </si>
  <si>
    <t>mulyadispri@gmail.com</t>
  </si>
  <si>
    <t>2028</t>
  </si>
  <si>
    <t>1vJymLDc-xurywwzNnsZdJAltSblw0Dxz</t>
  </si>
  <si>
    <t>https://drive.google.com/file/d/1vJymLDc-xurywwzNnsZdJAltSblw0Dxz/view?usp=drivesdk</t>
  </si>
  <si>
    <t>Document successfully created; Document successfully merged; PDF created; !!Error Sending Emails: Service invoked too many times for one day: email.; Run via form trigger as ecertificate75@gmail.com; Timestamp: Aug 31 2024 2:40 AM</t>
  </si>
  <si>
    <t>DESI RIMBA FARIYANI S kep ns</t>
  </si>
  <si>
    <t>desirimbafariani@gmail.com</t>
  </si>
  <si>
    <t>2029</t>
  </si>
  <si>
    <t>1lgIIpy0O6rAw281yqJLVhZGPGYokxtDX</t>
  </si>
  <si>
    <t>https://drive.google.com/file/d/1lgIIpy0O6rAw281yqJLVhZGPGYokxtDX/view?usp=drivesdk</t>
  </si>
  <si>
    <t>DIAN NOVITA</t>
  </si>
  <si>
    <t>diannovitamuis@gmail.com</t>
  </si>
  <si>
    <t>2030</t>
  </si>
  <si>
    <t>1XDY73PMO4XgmHH-JmIsbxSe0mVn9gl3o</t>
  </si>
  <si>
    <t>https://drive.google.com/file/d/1XDY73PMO4XgmHH-JmIsbxSe0mVn9gl3o/view?usp=drivesdk</t>
  </si>
  <si>
    <t>DELLASARI WIDYAMASTUTI</t>
  </si>
  <si>
    <t>dellasariwidyamastuti@gmail.com</t>
  </si>
  <si>
    <t>2031</t>
  </si>
  <si>
    <t>18GWWVVTwXVFdpD17_HnSYCrI_C4Pg4Hs</t>
  </si>
  <si>
    <t>https://drive.google.com/file/d/18GWWVVTwXVFdpD17_HnSYCrI_C4Pg4Hs/view?usp=drivesdk</t>
  </si>
  <si>
    <t xml:space="preserve">DIANA LUSFIANA, AMK. </t>
  </si>
  <si>
    <t>dianalusfiana@gmail.com</t>
  </si>
  <si>
    <t>2032</t>
  </si>
  <si>
    <t>13pqlHjT8VVfb6_53GeTm0b4QFda7m5TX</t>
  </si>
  <si>
    <t>https://drive.google.com/file/d/13pqlHjT8VVfb6_53GeTm0b4QFda7m5TX/view?usp=drivesdk</t>
  </si>
  <si>
    <t>ACEP KODARUSMAN, S.Kom., M.M.</t>
  </si>
  <si>
    <t>kodarusman16@gmail.com</t>
  </si>
  <si>
    <t>2033</t>
  </si>
  <si>
    <t>1rAWIiXqQE43OoYnQNnKxjTIg2KRCxjdS</t>
  </si>
  <si>
    <t>https://drive.google.com/file/d/1rAWIiXqQE43OoYnQNnKxjTIg2KRCxjdS/view?usp=drivesdk</t>
  </si>
  <si>
    <t>Document successfully created; Document successfully merged; PDF created; !!Error Sending Emails: Service invoked too many times for one day: email.; Run via form trigger as ecertificate75@gmail.com; Timestamp: Aug 31 2024 2:41 AM</t>
  </si>
  <si>
    <t>SUMIYATI, S.E.</t>
  </si>
  <si>
    <t>sumiyatiar2@gmail.com</t>
  </si>
  <si>
    <t>2034</t>
  </si>
  <si>
    <t>192zYZBd4hbW-c1RldDDxkEoac008jX8P</t>
  </si>
  <si>
    <t>https://drive.google.com/file/d/192zYZBd4hbW-c1RldDDxkEoac008jX8P/view?usp=drivesdk</t>
  </si>
  <si>
    <t>YULIANA, SKM</t>
  </si>
  <si>
    <t>yuliana09112@gmail.com</t>
  </si>
  <si>
    <t>2035</t>
  </si>
  <si>
    <t>1jsrajtJzk-maiJaC4_EOx8i0881M7TBc</t>
  </si>
  <si>
    <t>https://drive.google.com/file/d/1jsrajtJzk-maiJaC4_EOx8i0881M7TBc/view?usp=drivesdk</t>
  </si>
  <si>
    <t>MUHAMAD IQBAL, S.Kom., S.H.</t>
  </si>
  <si>
    <t>bhabalz.liverpudlian@gmail.com</t>
  </si>
  <si>
    <t>2036</t>
  </si>
  <si>
    <t>1759vj5PmwTehNvglnBInzWCHiTiWBRS8</t>
  </si>
  <si>
    <t>https://drive.google.com/file/d/1759vj5PmwTehNvglnBInzWCHiTiWBRS8/view?usp=drivesdk</t>
  </si>
  <si>
    <t>IRMAWATI AMD</t>
  </si>
  <si>
    <t>irnawatimbs@gmail.com</t>
  </si>
  <si>
    <t>2037</t>
  </si>
  <si>
    <t>1MiB1ne68raQCf2d1EI7oIZIJfH1VUidn</t>
  </si>
  <si>
    <t>https://drive.google.com/file/d/1MiB1ne68raQCf2d1EI7oIZIJfH1VUidn/view?usp=drivesdk</t>
  </si>
  <si>
    <t>RAMDHA LAADI</t>
  </si>
  <si>
    <t>ramdhalaadi@gmail.com</t>
  </si>
  <si>
    <t>2038</t>
  </si>
  <si>
    <t>16yqekJN6o0577iMkZO9IyjRGJEWNvdD4</t>
  </si>
  <si>
    <t>https://drive.google.com/file/d/16yqekJN6o0577iMkZO9IyjRGJEWNvdD4/view?usp=drivesdk</t>
  </si>
  <si>
    <t>ABU HASAN, S.Ag.,M.H.</t>
  </si>
  <si>
    <t>azkabitexglobal@gmail.com</t>
  </si>
  <si>
    <t>2039</t>
  </si>
  <si>
    <t>1Y_z9TE9qin_uT_D3J-zMUb4Qv08d10A2</t>
  </si>
  <si>
    <t>https://drive.google.com/file/d/1Y_z9TE9qin_uT_D3J-zMUb4Qv08d10A2/view?usp=drivesdk</t>
  </si>
  <si>
    <t>LUSIANA, S.E</t>
  </si>
  <si>
    <t>lusianaa496@gmail.com</t>
  </si>
  <si>
    <t>2040</t>
  </si>
  <si>
    <t>18YtNZ5rYnHm-Qt9rXhT8PI6WSrsbeo9D</t>
  </si>
  <si>
    <t>https://drive.google.com/file/d/18YtNZ5rYnHm-Qt9rXhT8PI6WSrsbeo9D/view?usp=drivesdk</t>
  </si>
  <si>
    <t>DEMIRSA</t>
  </si>
  <si>
    <t>mirzapratiza@ymail.com</t>
  </si>
  <si>
    <t>2041</t>
  </si>
  <si>
    <t>1lg4xHVpzl0FMGyWHdhsdcbOmgGBJrD63</t>
  </si>
  <si>
    <t>https://drive.google.com/file/d/1lg4xHVpzl0FMGyWHdhsdcbOmgGBJrD63/view?usp=drivesdk</t>
  </si>
  <si>
    <t>DEWI ASRI, Amd</t>
  </si>
  <si>
    <t>dewiasri97oska@gmail.com</t>
  </si>
  <si>
    <t>2042</t>
  </si>
  <si>
    <t>1DZ8l04bHU4xN0nIWL0hnMNGgaW4Ix9fP</t>
  </si>
  <si>
    <t>https://drive.google.com/file/d/1DZ8l04bHU4xN0nIWL0hnMNGgaW4Ix9fP/view?usp=drivesdk</t>
  </si>
  <si>
    <t>Dr MAWAR m</t>
  </si>
  <si>
    <t>mawarsyifa10@yahoo.com</t>
  </si>
  <si>
    <t>2043</t>
  </si>
  <si>
    <t>1gULxCHlpxMxw53CO4QPSJ4bPfixsfoAA</t>
  </si>
  <si>
    <t>https://drive.google.com/file/d/1gULxCHlpxMxw53CO4QPSJ4bPfixsfoAA/view?usp=drivesdk</t>
  </si>
  <si>
    <t>Document successfully created; Document successfully merged; PDF created; !!Error Sending Emails: Service invoked too many times for one day: email.; Manually run by ecertificate75@gmail.com; Timestamp: Aug 31 2024 2:51 AM</t>
  </si>
  <si>
    <t>ISWAHONO</t>
  </si>
  <si>
    <t>iswahonoyono02@gmail.com</t>
  </si>
  <si>
    <t>2044</t>
  </si>
  <si>
    <t>Starting at Thu Aug 29 2024 21:07:39 GMT-0400 (EDT)</t>
  </si>
  <si>
    <t>1aRspUQn3JP7nDZ0aryS3WTbotoemiTJw</t>
  </si>
  <si>
    <t>https://drive.google.com/file/d/1aRspUQn3JP7nDZ0aryS3WTbotoemiTJw/view?usp=drivesdk</t>
  </si>
  <si>
    <t>NURHIDAYAH, S.IP.</t>
  </si>
  <si>
    <t>nurhidayahummi@gmail.com</t>
  </si>
  <si>
    <t>2045</t>
  </si>
  <si>
    <t>1VRrYny_PTb0HM63cqwYpsFsx4s78RBiL</t>
  </si>
  <si>
    <t>https://drive.google.com/file/d/1VRrYny_PTb0HM63cqwYpsFsx4s78RBiL/view?usp=drivesdk</t>
  </si>
  <si>
    <t>MELLYANA, S. E., M. Tr. A. P</t>
  </si>
  <si>
    <t>mellyanazola@gmail.com</t>
  </si>
  <si>
    <t>2046</t>
  </si>
  <si>
    <t>1gcicP8xrCFHCv_Km2JyBhRi-ekNKRmOd</t>
  </si>
  <si>
    <t>https://drive.google.com/file/d/1gcicP8xrCFHCv_Km2JyBhRi-ekNKRmOd/view?usp=drivesdk</t>
  </si>
  <si>
    <t xml:space="preserve">SURATMIYATI </t>
  </si>
  <si>
    <t>suratmibekum@gmail.com</t>
  </si>
  <si>
    <t>2047</t>
  </si>
  <si>
    <t>1L-LTlvYKWEm-Uxo0StQj6NHaJIcOD5Y6</t>
  </si>
  <si>
    <t>https://drive.google.com/file/d/1L-LTlvYKWEm-Uxo0StQj6NHaJIcOD5Y6/view?usp=drivesdk</t>
  </si>
  <si>
    <t>SUGIARTI</t>
  </si>
  <si>
    <t>suuugiarti@gmail.com</t>
  </si>
  <si>
    <t>2048</t>
  </si>
  <si>
    <t>https://drive.google.com/file/d/19H58X9o28E-jfBXRElaacQK4-nIFk0ph/view?usp=drivesdk</t>
  </si>
  <si>
    <t>19H58X9o28E-jfBXRElaacQK4-nIFk0ph</t>
  </si>
  <si>
    <t>1KTh8FFjQgr6mmBxZ5MAemJUKoArNavR4</t>
  </si>
  <si>
    <t>https://drive.google.com/file/d/1KTh8FFjQgr6mmBxZ5MAemJUKoArNavR4/view?usp=drivesdk</t>
  </si>
  <si>
    <t>ARNISA NADDYA</t>
  </si>
  <si>
    <t>arnisanaddya@gmail.com</t>
  </si>
  <si>
    <t>2049</t>
  </si>
  <si>
    <t>https://drive.google.com/file/d/1072cdkhpK4EMxaAEimEWTcIOWEUqglUV/view?usp=drivesdk</t>
  </si>
  <si>
    <t>1072cdkhpK4EMxaAEimEWTcIOWEUqglUV</t>
  </si>
  <si>
    <t>1CVF86mBt5gZw4Wj8-zv5D3rwRdQ8ItpX</t>
  </si>
  <si>
    <t>https://drive.google.com/file/d/1CVF86mBt5gZw4Wj8-zv5D3rwRdQ8ItpX/view?usp=drivesdk</t>
  </si>
  <si>
    <t>Document successfully created; Document successfully merged; PDF created; !!Error Sending Emails: Service invoked too many times for one day: email.; Manually run by ecertificate75@gmail.com; Timestamp: Aug 31 2024 2:52 AM</t>
  </si>
  <si>
    <t>AAN WIANA</t>
  </si>
  <si>
    <t>aanwiana73@gmail.com</t>
  </si>
  <si>
    <t>2050</t>
  </si>
  <si>
    <t>https://drive.google.com/file/d/12-vsgTQb9MC7x9Cv1fAodjlY6eQkjSJT/view?usp=drivesdk</t>
  </si>
  <si>
    <t>12-vsgTQb9MC7x9Cv1fAodjlY6eQkjSJT</t>
  </si>
  <si>
    <t>1eY5AvRBBYVeWDO0H77GuZeLNLV3fXaM3</t>
  </si>
  <si>
    <t>https://drive.google.com/file/d/1eY5AvRBBYVeWDO0H77GuZeLNLV3fXaM3/view?usp=drivesdk</t>
  </si>
  <si>
    <t>NURAINI</t>
  </si>
  <si>
    <t>nurainilausman@gmail.com</t>
  </si>
  <si>
    <t>2051</t>
  </si>
  <si>
    <t>https://drive.google.com/file/d/1uUfOz88pjNC5JZlhdDcvpsIVOXWDMv5I/view?usp=drivesdk</t>
  </si>
  <si>
    <t>1uUfOz88pjNC5JZlhdDcvpsIVOXWDMv5I</t>
  </si>
  <si>
    <t>1_OF3fmYeA9kCASP4H5gK9A9VhnAB0-y-</t>
  </si>
  <si>
    <t>https://drive.google.com/file/d/1_OF3fmYeA9kCASP4H5gK9A9VhnAB0-y-/view?usp=drivesdk</t>
  </si>
  <si>
    <t xml:space="preserve">HERNANTO EKA PIPITARDI </t>
  </si>
  <si>
    <t>akuncampurbaur@gmail.com</t>
  </si>
  <si>
    <t>2052</t>
  </si>
  <si>
    <t>https://drive.google.com/file/d/19g0QTx5lQlJEXpqiBiLFBsYFKOLYES1s/view?usp=drivesdk</t>
  </si>
  <si>
    <t>19g0QTx5lQlJEXpqiBiLFBsYFKOLYES1s</t>
  </si>
  <si>
    <t>1jSmySOub0NYrDFRWew7a3KvTDDJnKAmB</t>
  </si>
  <si>
    <t>https://drive.google.com/file/d/1jSmySOub0NYrDFRWew7a3KvTDDJnKAmB/view?usp=drivesdk</t>
  </si>
  <si>
    <t>VIRRY HASANATAL MILA, A.Md.AK</t>
  </si>
  <si>
    <t>virryhasanatal@gmail.com</t>
  </si>
  <si>
    <t>2053</t>
  </si>
  <si>
    <t>https://drive.google.com/file/d/1uZiszDK7EpIGzq-BQlE9klhP2LC7JXfg/view?usp=drivesdk</t>
  </si>
  <si>
    <t>1uZiszDK7EpIGzq-BQlE9klhP2LC7JXfg</t>
  </si>
  <si>
    <t>18XLEYfBcRZxjO1_rSC16-JVziXXXrs3i</t>
  </si>
  <si>
    <t>https://drive.google.com/file/d/18XLEYfBcRZxjO1_rSC16-JVziXXXrs3i/view?usp=drivesdk</t>
  </si>
  <si>
    <t>SITI NGAISAH, S.AP.</t>
  </si>
  <si>
    <t>sitingaisah1979@gmail.com</t>
  </si>
  <si>
    <t>2054</t>
  </si>
  <si>
    <t>Starting at Thu Aug 29 2024 21:09:35 GMT-0400 (EDT)</t>
  </si>
  <si>
    <t>1-5VUYXVdIZk2AeFyLrq2ewDOB7W_YN4Y</t>
  </si>
  <si>
    <t>https://drive.google.com/file/d/1-5VUYXVdIZk2AeFyLrq2ewDOB7W_YN4Y/view?usp=drivesdk</t>
  </si>
  <si>
    <t>Document successfully created; Document successfully merged; PDF created; !!Error Sending Emails: Service invoked too many times for one day: email.; Manually run by ecertificate75@gmail.com; Timestamp: Aug 31 2024 2:53 AM</t>
  </si>
  <si>
    <t xml:space="preserve">NINA SATRIYANA, S. Ak. </t>
  </si>
  <si>
    <t>ninasatriyana@gmail.com</t>
  </si>
  <si>
    <t>2055</t>
  </si>
  <si>
    <t>1h-GJ643QK0CI4T0tjHLHddjp8KY5dbwR</t>
  </si>
  <si>
    <t>https://drive.google.com/file/d/1h-GJ643QK0CI4T0tjHLHddjp8KY5dbwR/view?usp=drivesdk</t>
  </si>
  <si>
    <t>HERMAN SUSILO</t>
  </si>
  <si>
    <t>omherman344@gmail.com</t>
  </si>
  <si>
    <t>2056</t>
  </si>
  <si>
    <t>1XJRaeeSVFZHAESuUL6JA7RY_Kfu0BWmf</t>
  </si>
  <si>
    <t>https://drive.google.com/file/d/1XJRaeeSVFZHAESuUL6JA7RY_Kfu0BWmf/view?usp=drivesdk</t>
  </si>
  <si>
    <t>YATI SUMARYATI</t>
  </si>
  <si>
    <t>yatisumaryati25@gmail.com</t>
  </si>
  <si>
    <t>2057</t>
  </si>
  <si>
    <t>15cXwPtiBUv3aIouZ6cViBEPG5NC2JbZb</t>
  </si>
  <si>
    <t>https://drive.google.com/file/d/15cXwPtiBUv3aIouZ6cViBEPG5NC2JbZb/view?usp=drivesdk</t>
  </si>
  <si>
    <t>IRAWATI</t>
  </si>
  <si>
    <t>irawatihartono14@gmail.com</t>
  </si>
  <si>
    <t>2058</t>
  </si>
  <si>
    <t>1x7zsmOuON--Euu0SLdtllzdeJkoZmfdK</t>
  </si>
  <si>
    <t>https://drive.google.com/file/d/1x7zsmOuON--Euu0SLdtllzdeJkoZmfdK/view?usp=drivesdk</t>
  </si>
  <si>
    <t>SRI MASRUROH</t>
  </si>
  <si>
    <t>masruroh4481@gmail.com</t>
  </si>
  <si>
    <t>2059</t>
  </si>
  <si>
    <t>1AGBRGnJiedYNqQOmRjJM2MaDbCUlE9og</t>
  </si>
  <si>
    <t>https://drive.google.com/file/d/1AGBRGnJiedYNqQOmRjJM2MaDbCUlE9og/view?usp=drivesdk</t>
  </si>
  <si>
    <t>Document successfully created; Document successfully merged; PDF created; !!Error Sending Emails: Service invoked too many times for one day: email.; Manually run by ecertificate75@gmail.com; Timestamp: Aug 31 2024 2:54 AM</t>
  </si>
  <si>
    <t>KUSNADI BIN MISDA</t>
  </si>
  <si>
    <t>nadikus99@gmail.com</t>
  </si>
  <si>
    <t>2060</t>
  </si>
  <si>
    <t>1z5JKUsnxhenuHkegQ-3cs8zAJv52wOrw</t>
  </si>
  <si>
    <t>https://drive.google.com/file/d/1z5JKUsnxhenuHkegQ-3cs8zAJv52wOrw/view?usp=drivesdk</t>
  </si>
  <si>
    <t>NENI ELYA PUSPA</t>
  </si>
  <si>
    <t>nenielyapuspa999@gmail.com</t>
  </si>
  <si>
    <t>2061</t>
  </si>
  <si>
    <t>1jme4w357ZWAOw2Xfc8rJ8jckmVNb4pCo</t>
  </si>
  <si>
    <t>https://drive.google.com/file/d/1jme4w357ZWAOw2Xfc8rJ8jckmVNb4pCo/view?usp=drivesdk</t>
  </si>
  <si>
    <t>ZULKIFLI S.H. M.H.</t>
  </si>
  <si>
    <t>ZULKIFLIKILI@YAHOO.CO.ID</t>
  </si>
  <si>
    <t>2062</t>
  </si>
  <si>
    <t>15keRIdFNVsqe5A9pxNhCmBGS6W8j-1Ne</t>
  </si>
  <si>
    <t>https://drive.google.com/file/d/15keRIdFNVsqe5A9pxNhCmBGS6W8j-1Ne/view?usp=drivesdk</t>
  </si>
  <si>
    <t>MULYONO</t>
  </si>
  <si>
    <t>mulyonoinsiyah@gmail.com</t>
  </si>
  <si>
    <t>2063</t>
  </si>
  <si>
    <t>1J69V140LGvSxl2PxNCu_nHLDwlG3AZ2t</t>
  </si>
  <si>
    <t>https://drive.google.com/file/d/1J69V140LGvSxl2PxNCu_nHLDwlG3AZ2t/view?usp=drivesdk</t>
  </si>
  <si>
    <t xml:space="preserve">Yullia Aditya Novitta </t>
  </si>
  <si>
    <t>yulliaaditya86@gmail.com</t>
  </si>
  <si>
    <t>2064</t>
  </si>
  <si>
    <t>1xypdQEylzYhs_9lGmAkMU1jkirbmVFbs</t>
  </si>
  <si>
    <t>https://drive.google.com/file/d/1xypdQEylzYhs_9lGmAkMU1jkirbmVFbs/view?usp=drivesdk</t>
  </si>
  <si>
    <t>DENY TARUNAJAYA</t>
  </si>
  <si>
    <t>denri_08@yahoo.com</t>
  </si>
  <si>
    <t>2065</t>
  </si>
  <si>
    <t>1eTgw10QcLWZa0X3DObMFIEjUDJ5WYRET</t>
  </si>
  <si>
    <t>https://drive.google.com/file/d/1eTgw10QcLWZa0X3DObMFIEjUDJ5WYRET/view?usp=drivesdk</t>
  </si>
  <si>
    <t>Document successfully created; Document successfully merged; PDF created; !!Error Sending Emails: Service invoked too many times for one day: email.; Manually run by ecertificate75@gmail.com; Timestamp: Aug 31 2024 2:55 AM</t>
  </si>
  <si>
    <t>DIAN SINTO ARINI S,PD</t>
  </si>
  <si>
    <t>sintoarinidian@gmail.com</t>
  </si>
  <si>
    <t>2066</t>
  </si>
  <si>
    <t>1WLKdyQiqIKR4UBpGw7hA8lnaBnfr0-hC</t>
  </si>
  <si>
    <t>https://drive.google.com/file/d/1WLKdyQiqIKR4UBpGw7hA8lnaBnfr0-hC/view?usp=drivesdk</t>
  </si>
  <si>
    <t>Risti Wahyu Budiwati, S.E.</t>
  </si>
  <si>
    <t>tiewul.legi@gmail.com</t>
  </si>
  <si>
    <t>2067</t>
  </si>
  <si>
    <t>https://drive.google.com/file/d/1aPFriSUk7R2Uoa0SQMmF1OJCI6zClly5/view?usp=drivesdk</t>
  </si>
  <si>
    <t>1aPFriSUk7R2Uoa0SQMmF1OJCI6zClly5</t>
  </si>
  <si>
    <t>1UP3Vie7ekx33Urg2lNzLzZL671nMILwM</t>
  </si>
  <si>
    <t>https://drive.google.com/file/d/1UP3Vie7ekx33Urg2lNzLzZL671nMILwM/view?usp=drivesdk</t>
  </si>
  <si>
    <t>NURSRIANI</t>
  </si>
  <si>
    <t>noer.syani@gmail.com</t>
  </si>
  <si>
    <t>2068</t>
  </si>
  <si>
    <t>https://drive.google.com/file/d/1731jla51oPbHt-kULTcT3uYCJRB15K57/view?usp=drivesdk</t>
  </si>
  <si>
    <t>1731jla51oPbHt-kULTcT3uYCJRB15K57</t>
  </si>
  <si>
    <t>1ygOJnKqvhsoMJDLoLNWIoPYlZFQiYfxA</t>
  </si>
  <si>
    <t>https://drive.google.com/file/d/1ygOJnKqvhsoMJDLoLNWIoPYlZFQiYfxA/view?usp=drivesdk</t>
  </si>
  <si>
    <t>NURMALINDA SIAGIAN</t>
  </si>
  <si>
    <t>lindasiagiannn@gmail.com</t>
  </si>
  <si>
    <t>2069</t>
  </si>
  <si>
    <t>https://drive.google.com/file/d/1sCKz0txvb1ZrWajbeev6KCgf0te5TD_q/view?usp=drivesdk</t>
  </si>
  <si>
    <t>1sCKz0txvb1ZrWajbeev6KCgf0te5TD_q</t>
  </si>
  <si>
    <t>19gBNzzh95_OKJBFki0xfZGjhl5onCLzW</t>
  </si>
  <si>
    <t>https://drive.google.com/file/d/19gBNzzh95_OKJBFki0xfZGjhl5onCLzW/view?usp=drivesdk</t>
  </si>
  <si>
    <t>ADE KUSNADI</t>
  </si>
  <si>
    <t>kusnadiade060@gmail.com</t>
  </si>
  <si>
    <t>2070</t>
  </si>
  <si>
    <t>https://drive.google.com/file/d/1QhaiAqFPUXvQGvu9K2QvrqWxBO2tkhDF/view?usp=drivesdk</t>
  </si>
  <si>
    <t>1QhaiAqFPUXvQGvu9K2QvrqWxBO2tkhDF</t>
  </si>
  <si>
    <t>1HL873-ekWj52qsFI5OOQ2uhswbA70C-T</t>
  </si>
  <si>
    <t>https://drive.google.com/file/d/1HL873-ekWj52qsFI5OOQ2uhswbA70C-T/view?usp=drivesdk</t>
  </si>
  <si>
    <t>MUCHLIS SAPALI, S.E</t>
  </si>
  <si>
    <t>sapalimuchlis@gmail.com</t>
  </si>
  <si>
    <t>2071</t>
  </si>
  <si>
    <t>https://drive.google.com/file/d/16Ppem68b0OylfPMWzpFaEBAv2J9p5Dpr/view?usp=drivesdk</t>
  </si>
  <si>
    <t>16Ppem68b0OylfPMWzpFaEBAv2J9p5Dpr</t>
  </si>
  <si>
    <t>1gCXHj7CA0qEysRaK0ySH37cYGnsotliy</t>
  </si>
  <si>
    <t>https://drive.google.com/file/d/1gCXHj7CA0qEysRaK0ySH37cYGnsotliy/view?usp=drivesdk</t>
  </si>
  <si>
    <t>SRI HARYANTO</t>
  </si>
  <si>
    <t>harikoko79@gmail.com</t>
  </si>
  <si>
    <t>2072</t>
  </si>
  <si>
    <t>https://drive.google.com/file/d/1k5mU_vtXXp4RyZFwqWNQzRKL0pKjoa6B/view?usp=drivesdk</t>
  </si>
  <si>
    <t>1k5mU_vtXXp4RyZFwqWNQzRKL0pKjoa6B</t>
  </si>
  <si>
    <t>1jbC-Taq8OcpvRRSYmJ2gL9lRHLwa4Lfs</t>
  </si>
  <si>
    <t>https://drive.google.com/file/d/1jbC-Taq8OcpvRRSYmJ2gL9lRHLwa4Lfs/view?usp=drivesdk</t>
  </si>
  <si>
    <t>Document successfully created; Document successfully merged; PDF created; !!Error Sending Emails: Service invoked too many times for one day: email.; Manually run by ecertificate75@gmail.com; Timestamp: Aug 31 2024 2:56 AM</t>
  </si>
  <si>
    <t>ELA SUMARNI</t>
  </si>
  <si>
    <t>elasumarni724@gmail.com</t>
  </si>
  <si>
    <t>2073</t>
  </si>
  <si>
    <t>https://drive.google.com/file/d/1yNrdpt7u1SvalSAXDN2Wu6s3PKc0T9A-/view?usp=drivesdk</t>
  </si>
  <si>
    <t>1yNrdpt7u1SvalSAXDN2Wu6s3PKc0T9A-</t>
  </si>
  <si>
    <t>14zHsNekpHgVGlPbrlGoTN7lzpGb4MzVo</t>
  </si>
  <si>
    <t>https://drive.google.com/file/d/14zHsNekpHgVGlPbrlGoTN7lzpGb4MzVo/view?usp=drivesdk</t>
  </si>
  <si>
    <t>NESTRI NIDA, A.MD</t>
  </si>
  <si>
    <t>nestri.nida@gmail.com</t>
  </si>
  <si>
    <t>2074</t>
  </si>
  <si>
    <t>https://drive.google.com/file/d/1cziMiP-oOFD4bIrOMy9BatAgLbXVkmBF/view?usp=drivesdk</t>
  </si>
  <si>
    <t>1cziMiP-oOFD4bIrOMy9BatAgLbXVkmBF</t>
  </si>
  <si>
    <t>1SwhUARwej7zuml2zABh-8SQkIQNE7b4T</t>
  </si>
  <si>
    <t>https://drive.google.com/file/d/1SwhUARwej7zuml2zABh-8SQkIQNE7b4T/view?usp=drivesdk</t>
  </si>
  <si>
    <t>ERIKA.Amd.Farm</t>
  </si>
  <si>
    <t>erikadeycan@gmail.com</t>
  </si>
  <si>
    <t>2075</t>
  </si>
  <si>
    <t>https://drive.google.com/file/d/1C2zWqhS_Yr16RS4JEXhUXiYop5w3ywKP/view?usp=drivesdk</t>
  </si>
  <si>
    <t>1C2zWqhS_Yr16RS4JEXhUXiYop5w3ywKP</t>
  </si>
  <si>
    <t>1igy16IbrRAbskV733xNFjc2ZETP-WlJn</t>
  </si>
  <si>
    <t>https://drive.google.com/file/d/1igy16IbrRAbskV733xNFjc2ZETP-WlJn/view?usp=drivesdk</t>
  </si>
  <si>
    <t>ZAUYAH</t>
  </si>
  <si>
    <t>zauyah7@gmail.com</t>
  </si>
  <si>
    <t>2076</t>
  </si>
  <si>
    <t>https://drive.google.com/file/d/1xL5uIz8Q4TJJL-N95ch8kOB9nP_lGJP2/view?usp=drivesdk</t>
  </si>
  <si>
    <t>1xL5uIz8Q4TJJL-N95ch8kOB9nP_lGJP2</t>
  </si>
  <si>
    <t>1o0DjfOZeG3ZBTqqC2MWqMW8sMr9n688a</t>
  </si>
  <si>
    <t>https://drive.google.com/file/d/1o0DjfOZeG3ZBTqqC2MWqMW8sMr9n688a/view?usp=drivesdk</t>
  </si>
  <si>
    <t>MINDAESIH</t>
  </si>
  <si>
    <t>mindaesih001@gmail.com</t>
  </si>
  <si>
    <t>2077</t>
  </si>
  <si>
    <t>https://drive.google.com/file/d/1dTH-srSayfLWwTzQEF-MBhNLHWihOv4H/view?usp=drivesdk</t>
  </si>
  <si>
    <t>1dTH-srSayfLWwTzQEF-MBhNLHWihOv4H</t>
  </si>
  <si>
    <t>13shStcdSxZ5J7JMcwuicOZOtJg5mmgbC</t>
  </si>
  <si>
    <t>https://drive.google.com/file/d/13shStcdSxZ5J7JMcwuicOZOtJg5mmgbC/view?usp=drivesdk</t>
  </si>
  <si>
    <t>R SASMITA EFENDI</t>
  </si>
  <si>
    <t>sasmitaefendi210@gmail.com</t>
  </si>
  <si>
    <t>2078</t>
  </si>
  <si>
    <t>https://drive.google.com/file/d/1r6HaBEpRj8u0Q8HxkVank_Ax27-BEpXx/view?usp=drivesdk</t>
  </si>
  <si>
    <t>1r6HaBEpRj8u0Q8HxkVank_Ax27-BEpXx</t>
  </si>
  <si>
    <t>1JQV07MkEJi0RfokOJyvFqpkJfzu-UK3l</t>
  </si>
  <si>
    <t>https://drive.google.com/file/d/1JQV07MkEJi0RfokOJyvFqpkJfzu-UK3l/view?usp=drivesdk</t>
  </si>
  <si>
    <t>Document successfully created; Document successfully merged; PDF created; !!Error Sending Emails: Service invoked too many times for one day: email.; Manually run by ecertificate75@gmail.com; Timestamp: Aug 31 2024 2:57 AM</t>
  </si>
  <si>
    <t xml:space="preserve">RATNASARI </t>
  </si>
  <si>
    <t>ratna2151@gmail.com</t>
  </si>
  <si>
    <t>2079</t>
  </si>
  <si>
    <t>Starting at Thu Aug 29 2024 21:10:06 GMT-0400 (EDT)</t>
  </si>
  <si>
    <t>1EUStuBLU05I2xiFf247yoHowuxDgB-ED</t>
  </si>
  <si>
    <t>https://drive.google.com/file/d/1EUStuBLU05I2xiFf247yoHowuxDgB-ED/view?usp=drivesdk</t>
  </si>
  <si>
    <t>CASILA</t>
  </si>
  <si>
    <t>farahedeeva26@gmail.com</t>
  </si>
  <si>
    <t>2080</t>
  </si>
  <si>
    <t>1q9UiY4v8kBro-JmB1oxVWMMHez_T6EPE</t>
  </si>
  <si>
    <t>https://drive.google.com/file/d/1q9UiY4v8kBro-JmB1oxVWMMHez_T6EPE/view?usp=drivesdk</t>
  </si>
  <si>
    <t>AIDA PUSPITASARI, A.Md.Kes.</t>
  </si>
  <si>
    <t>aidapuspitasari55@gmail.com</t>
  </si>
  <si>
    <t>2081</t>
  </si>
  <si>
    <t>1_zWXPRtGS4LUCAwYrTklfU_j1k829Z_8</t>
  </si>
  <si>
    <t>https://drive.google.com/file/d/1_zWXPRtGS4LUCAwYrTklfU_j1k829Z_8/view?usp=drivesdk</t>
  </si>
  <si>
    <t>SURAJI</t>
  </si>
  <si>
    <t>surajisuraj78@gmail.com</t>
  </si>
  <si>
    <t>2082</t>
  </si>
  <si>
    <t>115yabMqP4DkjklHGAe6W5EWyPGwhtoMT</t>
  </si>
  <si>
    <t>https://drive.google.com/file/d/115yabMqP4DkjklHGAe6W5EWyPGwhtoMT/view?usp=drivesdk</t>
  </si>
  <si>
    <t>SOELISTYANINGRUM,SE</t>
  </si>
  <si>
    <t>Soelistyaningrum01@gmail.com</t>
  </si>
  <si>
    <t>2083</t>
  </si>
  <si>
    <t>1GJ4lok0kBVKGRbqvocku3cb9WE8OxczE</t>
  </si>
  <si>
    <t>https://drive.google.com/file/d/1GJ4lok0kBVKGRbqvocku3cb9WE8OxczE/view?usp=drivesdk</t>
  </si>
  <si>
    <t>Document successfully created; Document successfully merged; PDF created; !!Error Sending Emails: Service invoked too many times for one day: email.; Manually run by ecertificate75@gmail.com; Timestamp: Aug 31 2024 2:58 AM</t>
  </si>
  <si>
    <t>NUR AENI, A.MD</t>
  </si>
  <si>
    <t>n.nee.tea@gmail.com</t>
  </si>
  <si>
    <t>2084</t>
  </si>
  <si>
    <t>1RhxP9aFmo0uqsZ1GTVajTYD6J3cS6O4r</t>
  </si>
  <si>
    <t>https://drive.google.com/file/d/1RhxP9aFmo0uqsZ1GTVajTYD6J3cS6O4r/view?usp=drivesdk</t>
  </si>
  <si>
    <t>NOLDI BATITI</t>
  </si>
  <si>
    <t>noldibatiti@gmail.com</t>
  </si>
  <si>
    <t>2085</t>
  </si>
  <si>
    <t>1yNFhb3LrvJQiJ5grjYbOimepMo8_W2u5</t>
  </si>
  <si>
    <t>https://drive.google.com/file/d/1yNFhb3LrvJQiJ5grjYbOimepMo8_W2u5/view?usp=drivesdk</t>
  </si>
  <si>
    <t>YONAS GALING MAHARDIKA.AMD.KEP</t>
  </si>
  <si>
    <t>yonasgalingmahardika@gmail.com</t>
  </si>
  <si>
    <t>2086</t>
  </si>
  <si>
    <t>1K-a8RBIWXKOPAKEImZ7LoTkJzgPjywfs</t>
  </si>
  <si>
    <t>https://drive.google.com/file/d/1K-a8RBIWXKOPAKEImZ7LoTkJzgPjywfs/view?usp=drivesdk</t>
  </si>
  <si>
    <t>WATI HERMAWATI</t>
  </si>
  <si>
    <t>watihermawati68@gmail.com</t>
  </si>
  <si>
    <t>2087</t>
  </si>
  <si>
    <t>1GnbMo2An-j-6x5cb_gDGl-3wVkGllU_o</t>
  </si>
  <si>
    <t>https://drive.google.com/file/d/1GnbMo2An-j-6x5cb_gDGl-3wVkGllU_o/view?usp=drivesdk</t>
  </si>
  <si>
    <t>ENI KUSMIATI</t>
  </si>
  <si>
    <t>enitok80@gmail.com</t>
  </si>
  <si>
    <t>2088</t>
  </si>
  <si>
    <t>1MzXrSbzEi5u6WVRkgv6E6hGV1c7zYp8J</t>
  </si>
  <si>
    <t>https://drive.google.com/file/d/1MzXrSbzEi5u6WVRkgv6E6hGV1c7zYp8J/view?usp=drivesdk</t>
  </si>
  <si>
    <t>Document successfully created; Document successfully merged; PDF created; !!Error Sending Emails: Service invoked too many times for one day: email.; Manually run by ecertificate75@gmail.com; Timestamp: Aug 31 2024 2:59 AM</t>
  </si>
  <si>
    <t>T. TAREKH KAMAL</t>
  </si>
  <si>
    <t>tengkutkamal@gmai.com</t>
  </si>
  <si>
    <t>2089</t>
  </si>
  <si>
    <t>1V5Svz9TwNBXsK_kibDufY-hrgUEeHuP7</t>
  </si>
  <si>
    <t>https://drive.google.com/file/d/1V5Svz9TwNBXsK_kibDufY-hrgUEeHuP7/view?usp=drivesdk</t>
  </si>
  <si>
    <t>SETIAWATI</t>
  </si>
  <si>
    <t>tyasetiawaty82@gmail.com</t>
  </si>
  <si>
    <t>2090</t>
  </si>
  <si>
    <t>1IrIhf2_M_BLA6saWw7riWTQiUc728HS2</t>
  </si>
  <si>
    <t>https://drive.google.com/file/d/1IrIhf2_M_BLA6saWw7riWTQiUc728HS2/view?usp=drivesdk</t>
  </si>
  <si>
    <t>ANJAS ASMARA, AMD. KEP</t>
  </si>
  <si>
    <t>anjasasmara011978@gmail.com</t>
  </si>
  <si>
    <t>2091</t>
  </si>
  <si>
    <t>1S2uD5t2MqHsnAiU1K2Z10tSnel7c0d_0</t>
  </si>
  <si>
    <t>https://drive.google.com/file/d/1S2uD5t2MqHsnAiU1K2Z10tSnel7c0d_0/view?usp=drivesdk</t>
  </si>
  <si>
    <t>SITI SUGIHASTUTI</t>
  </si>
  <si>
    <t>sugihastuti0@gmail.com</t>
  </si>
  <si>
    <t>2092</t>
  </si>
  <si>
    <t>1RUf80oclt7IxcVZWMgwUEQcEfvXzdLPj</t>
  </si>
  <si>
    <t>https://drive.google.com/file/d/1RUf80oclt7IxcVZWMgwUEQcEfvXzdLPj/view?usp=drivesdk</t>
  </si>
  <si>
    <t>SAFARI,Spd</t>
  </si>
  <si>
    <t>sapari.pekalongan@gmail.com</t>
  </si>
  <si>
    <t>2093</t>
  </si>
  <si>
    <t>1F4Mt0SwRuz3LEv3KFK50UPQj_O5mo_yn</t>
  </si>
  <si>
    <t>https://drive.google.com/file/d/1F4Mt0SwRuz3LEv3KFK50UPQj_O5mo_yn/view?usp=drivesdk</t>
  </si>
  <si>
    <t>NINAWATI,S.S</t>
  </si>
  <si>
    <t>Ninawati2015@gmail.com</t>
  </si>
  <si>
    <t>2094</t>
  </si>
  <si>
    <t>1BXgaVb4JRton4bUYiYRhE0JUsIhEgBW4</t>
  </si>
  <si>
    <t>https://drive.google.com/file/d/1BXgaVb4JRton4bUYiYRhE0JUsIhEgBW4/view?usp=drivesdk</t>
  </si>
  <si>
    <t>Document successfully created; Document successfully merged; PDF created; !!Error Sending Emails: Service invoked too many times for one day: email.; Manually run by ecertificate75@gmail.com; Timestamp: Aug 31 2024 3:00 AM</t>
  </si>
  <si>
    <t>WASIKIN</t>
  </si>
  <si>
    <t>wasikinmojokerto94@gmail.com</t>
  </si>
  <si>
    <t>2095</t>
  </si>
  <si>
    <t>https://drive.google.com/file/d/1UmjlSQA5JwPiC8L51hg0prWxmzBnt-so/view?usp=drivesdk</t>
  </si>
  <si>
    <t>1UmjlSQA5JwPiC8L51hg0prWxmzBnt-so</t>
  </si>
  <si>
    <t>1Bc9iZitI9yyT2Xn5b4SzjCUVsQaPZapM</t>
  </si>
  <si>
    <t>https://drive.google.com/file/d/1Bc9iZitI9yyT2Xn5b4SzjCUVsQaPZapM/view?usp=drivesdk</t>
  </si>
  <si>
    <t>PUJO SUSILO</t>
  </si>
  <si>
    <t>YD2GSV@GMAIL.COM</t>
  </si>
  <si>
    <t>2096</t>
  </si>
  <si>
    <t>https://drive.google.com/file/d/1eU2DNTyXnR84Yd3LnlzdN0FXfTS74-s_/view?usp=drivesdk</t>
  </si>
  <si>
    <t>1eU2DNTyXnR84Yd3LnlzdN0FXfTS74-s_</t>
  </si>
  <si>
    <t>1vK4vxwBkzphIYU-TnJjFDsxUiVVvoHll</t>
  </si>
  <si>
    <t>https://drive.google.com/file/d/1vK4vxwBkzphIYU-TnJjFDsxUiVVvoHll/view?usp=drivesdk</t>
  </si>
  <si>
    <t>INDRI HASTUTI SE</t>
  </si>
  <si>
    <t>sweetyndy83@gmail.com</t>
  </si>
  <si>
    <t>2097</t>
  </si>
  <si>
    <t>https://drive.google.com/file/d/1qMKIN7kFnXiu5zf62B1TKdwUpWmyCSgV/view?usp=drivesdk</t>
  </si>
  <si>
    <t>1qMKIN7kFnXiu5zf62B1TKdwUpWmyCSgV</t>
  </si>
  <si>
    <t>1JvKblcuPSowrmTlZwr7QP0MXGHNPgLtM</t>
  </si>
  <si>
    <t>https://drive.google.com/file/d/1JvKblcuPSowrmTlZwr7QP0MXGHNPgLtM/view?usp=drivesdk</t>
  </si>
  <si>
    <t>BENNY FERYANTO</t>
  </si>
  <si>
    <t>bennyferyanto1979@gmail.com</t>
  </si>
  <si>
    <t>2098</t>
  </si>
  <si>
    <t>https://drive.google.com/file/d/1BryUD8TV4fKXoznx4WBP6_2d0sa8csj0/view?usp=drivesdk</t>
  </si>
  <si>
    <t>1BryUD8TV4fKXoznx4WBP6_2d0sa8csj0</t>
  </si>
  <si>
    <t>1_S_nOVtHpqn0ZyxE4FsLY6wanJI2XklK</t>
  </si>
  <si>
    <t>https://drive.google.com/file/d/1_S_nOVtHpqn0ZyxE4FsLY6wanJI2XklK/view?usp=drivesdk</t>
  </si>
  <si>
    <t xml:space="preserve">HERMAN WAHYONO </t>
  </si>
  <si>
    <t>hermanwahyono0@gmail.com</t>
  </si>
  <si>
    <t>2099</t>
  </si>
  <si>
    <t>https://drive.google.com/file/d/1nca90YEJLcBxvbFB-ALKmiS7efFDAng2/view?usp=drivesdk</t>
  </si>
  <si>
    <t>1nca90YEJLcBxvbFB-ALKmiS7efFDAng2</t>
  </si>
  <si>
    <t>177BXMrTZAyrWNDW8TVBpjHpfhbC90Y36</t>
  </si>
  <si>
    <t>https://drive.google.com/file/d/177BXMrTZAyrWNDW8TVBpjHpfhbC90Y36/view?usp=drivesdk</t>
  </si>
  <si>
    <t>AVILA HENNY KUNCORO, A.MD KEB</t>
  </si>
  <si>
    <t>avila.aurellia@gmail.com</t>
  </si>
  <si>
    <t>2100</t>
  </si>
  <si>
    <t>https://drive.google.com/file/d/10rcERrfxcmVw8nJlHtgf1laLxrXc9Ehk/view?usp=drivesdk</t>
  </si>
  <si>
    <t>10rcERrfxcmVw8nJlHtgf1laLxrXc9Ehk</t>
  </si>
  <si>
    <t>1LEXPzGBW_zv8P6WVd1zufbcrSh3Rglp_</t>
  </si>
  <si>
    <t>https://drive.google.com/file/d/1LEXPzGBW_zv8P6WVd1zufbcrSh3Rglp_/view?usp=drivesdk</t>
  </si>
  <si>
    <t>Document successfully created; Document successfully merged; PDF created; !!Error Sending Emails: Service invoked too many times for one day: email.; Manually run by ecertificate75@gmail.com; Timestamp: Aug 31 2024 3:01 AM</t>
  </si>
  <si>
    <t>SUHARTI</t>
  </si>
  <si>
    <t>suharti271075@gmail.com</t>
  </si>
  <si>
    <t>2101</t>
  </si>
  <si>
    <t>https://drive.google.com/file/d/16BFraqTwTG7_QhT-yZH8grTZ8QK2o6Ap/view?usp=drivesdk</t>
  </si>
  <si>
    <t>16BFraqTwTG7_QhT-yZH8grTZ8QK2o6Ap</t>
  </si>
  <si>
    <t>1ZS4qGb3UoGmUNviKG_XN9rYw5xIwLPwj</t>
  </si>
  <si>
    <t>https://drive.google.com/file/d/1ZS4qGb3UoGmUNviKG_XN9rYw5xIwLPwj/view?usp=drivesdk</t>
  </si>
  <si>
    <t>WARSIYAH, A.Md., S.Ak.</t>
  </si>
  <si>
    <t>warsiyahfaaig1@gmail.com</t>
  </si>
  <si>
    <t>2102</t>
  </si>
  <si>
    <t>https://drive.google.com/file/d/1wHF_csqmgMBUt_8dn3kPeCOyFqj_1iIo/view?usp=drivesdk</t>
  </si>
  <si>
    <t>1wHF_csqmgMBUt_8dn3kPeCOyFqj_1iIo</t>
  </si>
  <si>
    <t>1SyYuXkR6bdRkNluprs-Cc0WunGxYbn1m</t>
  </si>
  <si>
    <t>https://drive.google.com/file/d/1SyYuXkR6bdRkNluprs-Cc0WunGxYbn1m/view?usp=drivesdk</t>
  </si>
  <si>
    <t>MOH YASIN</t>
  </si>
  <si>
    <t>yasinyeni5519@gmail.com</t>
  </si>
  <si>
    <t>2103</t>
  </si>
  <si>
    <t>https://drive.google.com/file/d/1KO79wvootnn7mX0IEoTXeXZZnd5CsO0x/view?usp=drivesdk</t>
  </si>
  <si>
    <t>1KO79wvootnn7mX0IEoTXeXZZnd5CsO0x</t>
  </si>
  <si>
    <t>1bY5Fx2_lr6ga0Uah6gvlcRuuaUAsbpxD</t>
  </si>
  <si>
    <t>https://drive.google.com/file/d/1bY5Fx2_lr6ga0Uah6gvlcRuuaUAsbpxD/view?usp=drivesdk</t>
  </si>
  <si>
    <t>LINA HERLINA, AM. SE</t>
  </si>
  <si>
    <t>herlina.am77@gmail.com</t>
  </si>
  <si>
    <t>2104</t>
  </si>
  <si>
    <t>Starting at Thu Aug 29 2024 21:09:46 GMT-0400 (EDT)</t>
  </si>
  <si>
    <t>1mbPFYgfER97TgRLcVojPP3N2XMfRSG5e</t>
  </si>
  <si>
    <t>https://drive.google.com/file/d/1mbPFYgfER97TgRLcVojPP3N2XMfRSG5e/view?usp=drivesdk</t>
  </si>
  <si>
    <t>SAMSURI</t>
  </si>
  <si>
    <t>samsuria916@gmail.com</t>
  </si>
  <si>
    <t>2105</t>
  </si>
  <si>
    <t>1a4RYDSDIxeSDKK4IK-SCShjKp9X60DHl</t>
  </si>
  <si>
    <t>https://drive.google.com/file/d/1a4RYDSDIxeSDKK4IK-SCShjKp9X60DHl/view?usp=drivesdk</t>
  </si>
  <si>
    <t>Document successfully created; Document successfully merged; PDF created; !!Error Sending Emails: Service invoked too many times for one day: email.; Manually run by ecertificate75@gmail.com; Timestamp: Aug 31 2024 3:02 AM</t>
  </si>
  <si>
    <t>ANIS SA'DIYAH</t>
  </si>
  <si>
    <t>anisdiyah4@gmail.com</t>
  </si>
  <si>
    <t>2106</t>
  </si>
  <si>
    <t>1kpX25UahuIEI7kQ8k1pJOa9v1n2sdb4l</t>
  </si>
  <si>
    <t>https://drive.google.com/file/d/1kpX25UahuIEI7kQ8k1pJOa9v1n2sdb4l/view?usp=drivesdk</t>
  </si>
  <si>
    <t>AHMAD WILDAN</t>
  </si>
  <si>
    <t>ahmadwildan1975@gmail.com</t>
  </si>
  <si>
    <t>2107</t>
  </si>
  <si>
    <t>1fsTeokBIPAoOgqvIZyop9WF-MFS1rp-c</t>
  </si>
  <si>
    <t>https://drive.google.com/file/d/1fsTeokBIPAoOgqvIZyop9WF-MFS1rp-c/view?usp=drivesdk</t>
  </si>
  <si>
    <t>AGUSTIAN FIRLANSYAH</t>
  </si>
  <si>
    <t>agustianfirlansyah@gmail.com</t>
  </si>
  <si>
    <t>2108</t>
  </si>
  <si>
    <t>1n5m0FMI_ux39vzW4FUFtcMB8uhHcUz_4</t>
  </si>
  <si>
    <t>https://drive.google.com/file/d/1n5m0FMI_ux39vzW4FUFtcMB8uhHcUz_4/view?usp=drivesdk</t>
  </si>
  <si>
    <t>TOLAK HARNOTO</t>
  </si>
  <si>
    <t>semarlonggo3@gmail.com</t>
  </si>
  <si>
    <t>2109</t>
  </si>
  <si>
    <t>1o4WaR9KUCpsmqhhfxakQ2fAQ0Lyay0t5</t>
  </si>
  <si>
    <t>https://drive.google.com/file/d/1o4WaR9KUCpsmqhhfxakQ2fAQ0Lyay0t5/view?usp=drivesdk</t>
  </si>
  <si>
    <t>SANTOSO, SE,MM.</t>
  </si>
  <si>
    <t>obvitbensat65@gmail.com</t>
  </si>
  <si>
    <t>2110</t>
  </si>
  <si>
    <t>1Sa5vzsR6AU9ypUgy05xdx3Vj_bsTHzTL</t>
  </si>
  <si>
    <t>https://drive.google.com/file/d/1Sa5vzsR6AU9ypUgy05xdx3Vj_bsTHzTL/view?usp=drivesdk</t>
  </si>
  <si>
    <t xml:space="preserve">ERNI YULISTYOWATI </t>
  </si>
  <si>
    <t>erniyulistyowatipr@gmail.com</t>
  </si>
  <si>
    <t>2111</t>
  </si>
  <si>
    <t>Starting at Thu Aug 29 2024 21:08:09 GMT-0400 (EDT)</t>
  </si>
  <si>
    <t>1xU_KFv4HADqKQ76CJR5I239Jj_ROmvrT</t>
  </si>
  <si>
    <t>https://drive.google.com/file/d/1xU_KFv4HADqKQ76CJR5I239Jj_ROmvrT/view?usp=drivesdk</t>
  </si>
  <si>
    <t>Document successfully created; Document successfully merged; PDF created; !!Error Sending Emails: Service invoked too many times for one day: email.; Manually run by ecertificate75@gmail.com; Timestamp: Aug 31 2024 3:03 AM</t>
  </si>
  <si>
    <t>WAGIYO</t>
  </si>
  <si>
    <t>wagiyo123@yahoo.com</t>
  </si>
  <si>
    <t>2112</t>
  </si>
  <si>
    <t>15qtwKmC45MjGiMK0vOSwjMiuYvUYElJP</t>
  </si>
  <si>
    <t>https://drive.google.com/file/d/15qtwKmC45MjGiMK0vOSwjMiuYvUYElJP/view?usp=drivesdk</t>
  </si>
  <si>
    <t>MELI YANTI, S.T.</t>
  </si>
  <si>
    <t>serbaserba577@gmail.com</t>
  </si>
  <si>
    <t>2113</t>
  </si>
  <si>
    <t>1qEOn91uiM3Z1spwGaKoc191chf-ZXZ3z</t>
  </si>
  <si>
    <t>https://drive.google.com/file/d/1qEOn91uiM3Z1spwGaKoc191chf-ZXZ3z/view?usp=drivesdk</t>
  </si>
  <si>
    <t>SRI SURYANTI</t>
  </si>
  <si>
    <t>srisuryanti302@gmail.com</t>
  </si>
  <si>
    <t>2114</t>
  </si>
  <si>
    <t>1zM-_PaAaWbrxAi1TKku-ff6n3VjYT7c9</t>
  </si>
  <si>
    <t>https://drive.google.com/file/d/1zM-_PaAaWbrxAi1TKku-ff6n3VjYT7c9/view?usp=drivesdk</t>
  </si>
  <si>
    <t>Fauzi Anwar, A.Md.</t>
  </si>
  <si>
    <t>fauzianwar10@gmail.com</t>
  </si>
  <si>
    <t>2115</t>
  </si>
  <si>
    <t>1twG6SG_d9UXOp9XqT-Ch3t0SLuJ5LmFX</t>
  </si>
  <si>
    <t>https://drive.google.com/file/d/1twG6SG_d9UXOp9XqT-Ch3t0SLuJ5LmFX/view?usp=drivesdk</t>
  </si>
  <si>
    <t xml:space="preserve">YESY KARTIKA SARI </t>
  </si>
  <si>
    <t>yesy23otosy@gmail.com</t>
  </si>
  <si>
    <t>2116</t>
  </si>
  <si>
    <t>1Cl55CnGE6b4dKJMQzj5cHGXWamOFBkrz</t>
  </si>
  <si>
    <t>https://drive.google.com/file/d/1Cl55CnGE6b4dKJMQzj5cHGXWamOFBkrz/view?usp=drivesdk</t>
  </si>
  <si>
    <t>Document successfully created; Document successfully merged; PDF created; !!Error Sending Emails: Service invoked too many times for one day: email.; Manually run by ecertificate75@gmail.com; Timestamp: Aug 31 2024 3:04 AM</t>
  </si>
  <si>
    <t>HARTANTO</t>
  </si>
  <si>
    <t>hartanto2006@gmail.com</t>
  </si>
  <si>
    <t>2117</t>
  </si>
  <si>
    <t>1I8rGXIm7XBr7gJ6NrBkR3AbiV2tUjciO</t>
  </si>
  <si>
    <t>https://drive.google.com/file/d/1I8rGXIm7XBr7gJ6NrBkR3AbiV2tUjciO/view?usp=drivesdk</t>
  </si>
  <si>
    <t>OMAH SIUM</t>
  </si>
  <si>
    <t>oomomah0@gmail.com</t>
  </si>
  <si>
    <t>2118</t>
  </si>
  <si>
    <t>1duBkvrzOXVsWjqZTGaiOvfDDWT4h9aDO</t>
  </si>
  <si>
    <t>https://drive.google.com/file/d/1duBkvrzOXVsWjqZTGaiOvfDDWT4h9aDO/view?usp=drivesdk</t>
  </si>
  <si>
    <t>SARBANA</t>
  </si>
  <si>
    <t>sarbana67@gmail.com</t>
  </si>
  <si>
    <t>2119</t>
  </si>
  <si>
    <t>1n7BTUclCK33-4NUUydrJk3xU97OQsZ0A</t>
  </si>
  <si>
    <t>https://drive.google.com/file/d/1n7BTUclCK33-4NUUydrJk3xU97OQsZ0A/view?usp=drivesdk</t>
  </si>
  <si>
    <t>AHMAD MUZAMMIL ROHIM</t>
  </si>
  <si>
    <t>lusi.dilla86@gmail.com</t>
  </si>
  <si>
    <t>2120</t>
  </si>
  <si>
    <t>1Ol5u4zPfWQYQarBR6W5nAVSVFnuYr3Qt</t>
  </si>
  <si>
    <t>https://drive.google.com/file/d/1Ol5u4zPfWQYQarBR6W5nAVSVFnuYr3Qt/view?usp=drivesdk</t>
  </si>
  <si>
    <t>Document successfully created; Document successfully merged; PDF created; !!Error Sending Emails: Service invoked too many times for one day: email.; Manually run by ecertificate75@gmail.com; Timestamp: Aug 31 2024 3:05 AM</t>
  </si>
  <si>
    <t>PUJIANTO</t>
  </si>
  <si>
    <t>pandjiasmoropujianto@gmail.com</t>
  </si>
  <si>
    <t>2121</t>
  </si>
  <si>
    <t>1otmaKvuUrMYjhA0NfNedac-gcbA_oXFY</t>
  </si>
  <si>
    <t>https://drive.google.com/file/d/1otmaKvuUrMYjhA0NfNedac-gcbA_oXFY/view?usp=drivesdk</t>
  </si>
  <si>
    <t>JARKANI</t>
  </si>
  <si>
    <t>jarkani1969@gmail.com</t>
  </si>
  <si>
    <t>2122</t>
  </si>
  <si>
    <t>15F2pm2ISmsntwtnwbOaXXDmlLO2Rwrsp</t>
  </si>
  <si>
    <t>https://drive.google.com/file/d/15F2pm2ISmsntwtnwbOaXXDmlLO2Rwrsp/view?usp=drivesdk</t>
  </si>
  <si>
    <t>SANDRA IKA YULI ASTUTI</t>
  </si>
  <si>
    <t>sandra.ika23@gmail.com</t>
  </si>
  <si>
    <t>2123</t>
  </si>
  <si>
    <t>1vTmpwZoLYanEvW31VUqZZ733qwpkuxTj</t>
  </si>
  <si>
    <t>https://drive.google.com/file/d/1vTmpwZoLYanEvW31VUqZZ733qwpkuxTj/view?usp=drivesdk</t>
  </si>
  <si>
    <t>BARDIES HANIF PUJIAN PUTRI,A.Md.Keb</t>
  </si>
  <si>
    <t>bardishanif@yahoo.co.id</t>
  </si>
  <si>
    <t>2124</t>
  </si>
  <si>
    <t>1srTQvUHmYB66qMScEPsFaL3-zGpt13TD</t>
  </si>
  <si>
    <t>https://drive.google.com/file/d/1srTQvUHmYB66qMScEPsFaL3-zGpt13TD/view?usp=drivesdk</t>
  </si>
  <si>
    <t>HELDAWATI</t>
  </si>
  <si>
    <t>heldawati6425@gmail.com</t>
  </si>
  <si>
    <t>2125</t>
  </si>
  <si>
    <t>1Gl9qmiTjSi50o9prMMEZFbgtv7aC6_Tj</t>
  </si>
  <si>
    <t>https://drive.google.com/file/d/1Gl9qmiTjSi50o9prMMEZFbgtv7aC6_Tj/view?usp=drivesdk</t>
  </si>
  <si>
    <t>EDWARD PANJAITAN, AMdRad</t>
  </si>
  <si>
    <t>edoedopanjaitan@gmail.com</t>
  </si>
  <si>
    <t>2126</t>
  </si>
  <si>
    <t>1n3lKGrfXCRIOBBGkX5gXzHyY_i83KjBl</t>
  </si>
  <si>
    <t>https://drive.google.com/file/d/1n3lKGrfXCRIOBBGkX5gXzHyY_i83KjBl/view?usp=drivesdk</t>
  </si>
  <si>
    <t>Document successfully created; Document successfully merged; PDF created; !!Error Sending Emails: Service invoked too many times for one day: email.; Manually run by ecertificate75@gmail.com; Timestamp: Aug 31 2024 3:06 AM</t>
  </si>
  <si>
    <t xml:space="preserve">RATNA SURYA </t>
  </si>
  <si>
    <t>ratna.surya0609@gmail.com</t>
  </si>
  <si>
    <t>2127</t>
  </si>
  <si>
    <t>1Wg1sGdnEOi4d8j4LFfnOkgZKDN0vg1BL</t>
  </si>
  <si>
    <t>https://drive.google.com/file/d/1Wg1sGdnEOi4d8j4LFfnOkgZKDN0vg1BL/view?usp=drivesdk</t>
  </si>
  <si>
    <t>RETNO WIDYAWATI, S.SOS</t>
  </si>
  <si>
    <t>retnowidyawati77@gmail.com</t>
  </si>
  <si>
    <t>2128</t>
  </si>
  <si>
    <t>14JDqGDr7V2K5bdef1k3RgTU60-LJ6lbD</t>
  </si>
  <si>
    <t>https://drive.google.com/file/d/14JDqGDr7V2K5bdef1k3RgTU60-LJ6lbD/view?usp=drivesdk</t>
  </si>
  <si>
    <t>ERNIWATI</t>
  </si>
  <si>
    <t>erniwati0000@gmail.com</t>
  </si>
  <si>
    <t>2129</t>
  </si>
  <si>
    <t>1Ob9hbJ1dqG6UwsxJTj-acyKPLyr9JdsU</t>
  </si>
  <si>
    <t>https://drive.google.com/file/d/1Ob9hbJ1dqG6UwsxJTj-acyKPLyr9JdsU/view?usp=drivesdk</t>
  </si>
  <si>
    <t>DEWI ASBIANTI</t>
  </si>
  <si>
    <t>asbianti9@gmail.com</t>
  </si>
  <si>
    <t>2130</t>
  </si>
  <si>
    <t>1Y1jdwnfgT8slWeWbui6hdotblyaauDNa</t>
  </si>
  <si>
    <t>https://drive.google.com/file/d/1Y1jdwnfgT8slWeWbui6hdotblyaauDNa/view?usp=drivesdk</t>
  </si>
  <si>
    <t>SUMADJI ISNU</t>
  </si>
  <si>
    <t>sumadjiisnu@gmail.com</t>
  </si>
  <si>
    <t>2131</t>
  </si>
  <si>
    <t>11wRneZFmIRicM4Aw7oRo1oXgkXZwscez</t>
  </si>
  <si>
    <t>https://drive.google.com/file/d/11wRneZFmIRicM4Aw7oRo1oXgkXZwscez/view?usp=drivesdk</t>
  </si>
  <si>
    <t xml:space="preserve">SUMARTONO </t>
  </si>
  <si>
    <t>7sumartono@gmail.com</t>
  </si>
  <si>
    <t>2132</t>
  </si>
  <si>
    <t>1fcsFfOPJKf-n-VPyVYq9oBJ61gO8lrCN</t>
  </si>
  <si>
    <t>https://drive.google.com/file/d/1fcsFfOPJKf-n-VPyVYq9oBJ61gO8lrCN/view?usp=drivesdk</t>
  </si>
  <si>
    <t>Document successfully created; Document successfully merged; PDF created; !!Error Sending Emails: Service invoked too many times for one day: email.; Manually run by ecertificate75@gmail.com; Timestamp: Aug 31 2024 3:07 AM</t>
  </si>
  <si>
    <t>MELLY RUSWIDA</t>
  </si>
  <si>
    <t>mellyruswida1234@gmail.com</t>
  </si>
  <si>
    <t>2133</t>
  </si>
  <si>
    <t>1Waom8xTzvV7z0oHrwQMlUtLaRmeiK9_3</t>
  </si>
  <si>
    <t>https://drive.google.com/file/d/1Waom8xTzvV7z0oHrwQMlUtLaRmeiK9_3/view?usp=drivesdk</t>
  </si>
  <si>
    <t>ISKANDAR</t>
  </si>
  <si>
    <t>kandariskan12345@gmail.com</t>
  </si>
  <si>
    <t>2134</t>
  </si>
  <si>
    <t>1l_EOhjBK40ub6-xHQ_VNhU8dJDpulLHC</t>
  </si>
  <si>
    <t>https://drive.google.com/file/d/1l_EOhjBK40ub6-xHQ_VNhU8dJDpulLHC/view?usp=drivesdk</t>
  </si>
  <si>
    <t>HANDOKO SETIAWAN, S.H.</t>
  </si>
  <si>
    <t>handokob18@gmail.com</t>
  </si>
  <si>
    <t>2135</t>
  </si>
  <si>
    <t>1nWrfnXGq-AiWiULO7mHAYiKoTJR2sRkF</t>
  </si>
  <si>
    <t>https://drive.google.com/file/d/1nWrfnXGq-AiWiULO7mHAYiKoTJR2sRkF/view?usp=drivesdk</t>
  </si>
  <si>
    <t>RESTU AYU ADYESTI, S.T.</t>
  </si>
  <si>
    <t>restu.ayuad@gmail.com</t>
  </si>
  <si>
    <t>2136</t>
  </si>
  <si>
    <t>1lDtIVTb-hoABgCOFxcafYKyK8c2dT6zH</t>
  </si>
  <si>
    <t>https://drive.google.com/file/d/1lDtIVTb-hoABgCOFxcafYKyK8c2dT6zH/view?usp=drivesdk</t>
  </si>
  <si>
    <t>HERAWATI, SM</t>
  </si>
  <si>
    <t>herawati151170@gmail.com</t>
  </si>
  <si>
    <t>2137</t>
  </si>
  <si>
    <t>1Fi0Gs1saZISrOm4bg3ge_EXUmj545EOG</t>
  </si>
  <si>
    <t>https://drive.google.com/file/d/1Fi0Gs1saZISrOm4bg3ge_EXUmj545EOG/view?usp=drivesdk</t>
  </si>
  <si>
    <t>MELANI WIDI ANESWARI, S.PSI., M.PSI</t>
  </si>
  <si>
    <t>melaniwidianeswari@gmail.com</t>
  </si>
  <si>
    <t>2138</t>
  </si>
  <si>
    <t>1Xi66mktaBekKKR9oVHXArD5k4fcGRebJ</t>
  </si>
  <si>
    <t>https://drive.google.com/file/d/1Xi66mktaBekKKR9oVHXArD5k4fcGRebJ/view?usp=drivesdk</t>
  </si>
  <si>
    <t>Document successfully created; Document successfully merged; PDF created; !!Error Sending Emails: Service invoked too many times for one day: email.; Manually run by ecertificate75@gmail.com; Timestamp: Aug 31 2024 3:08 AM</t>
  </si>
  <si>
    <t>FATIMAH SORAYA, S.E., M.M</t>
  </si>
  <si>
    <t>fatimahsoraya86@gmail.com</t>
  </si>
  <si>
    <t>2139</t>
  </si>
  <si>
    <t>1gavbI88Oz_NOiTu1nr9e4IFCmUrkkpO2</t>
  </si>
  <si>
    <t>https://drive.google.com/file/d/1gavbI88Oz_NOiTu1nr9e4IFCmUrkkpO2/view?usp=drivesdk</t>
  </si>
  <si>
    <t>NINIK IRNAWATI</t>
  </si>
  <si>
    <t>ninik.irna@gmail.com</t>
  </si>
  <si>
    <t>2140</t>
  </si>
  <si>
    <t>1GAArHxRn3egmJKGX7j-rXEPZhdQyGFXV</t>
  </si>
  <si>
    <t>https://drive.google.com/file/d/1GAArHxRn3egmJKGX7j-rXEPZhdQyGFXV/view?usp=drivesdk</t>
  </si>
  <si>
    <t>ADNANI</t>
  </si>
  <si>
    <t>adnanidesfa46@gmail.com</t>
  </si>
  <si>
    <t>2141</t>
  </si>
  <si>
    <t>1z4t0i0lJxiw9n2em6lDKXIuJRB1SX3E9</t>
  </si>
  <si>
    <t>https://drive.google.com/file/d/1z4t0i0lJxiw9n2em6lDKXIuJRB1SX3E9/view?usp=drivesdk</t>
  </si>
  <si>
    <t>ABDULKIFLI</t>
  </si>
  <si>
    <t>kifliabdul780@gmail.com</t>
  </si>
  <si>
    <t>2142</t>
  </si>
  <si>
    <t>1s2ZcX-RHLeglXdmW-fsD8WIFot9s-dfK</t>
  </si>
  <si>
    <t>https://drive.google.com/file/d/1s2ZcX-RHLeglXdmW-fsD8WIFot9s-dfK/view?usp=drivesdk</t>
  </si>
  <si>
    <t>TAOFAN SELATANI SRIBAGUS</t>
  </si>
  <si>
    <t>taofansribagus26@gmail.com</t>
  </si>
  <si>
    <t>2143</t>
  </si>
  <si>
    <t>1MEW0mwCKctsbYT-go1X_f9P9aotaNXdY</t>
  </si>
  <si>
    <t>https://drive.google.com/file/d/1MEW0mwCKctsbYT-go1X_f9P9aotaNXdY/view?usp=drivesdk</t>
  </si>
  <si>
    <t>Document successfully created; Document successfully merged; PDF created; !!Error Sending Emails: Service invoked too many times for one day: email.; Manually run by ecertificate75@gmail.com; Timestamp: Aug 31 2024 3:09 AM</t>
  </si>
  <si>
    <t>RINA PUSPITA</t>
  </si>
  <si>
    <t>rinapuspita1985@gmail.com</t>
  </si>
  <si>
    <t>2144</t>
  </si>
  <si>
    <t>1U9XFPxnwyIHP1uvNUfvpMV7GNouu6ppP</t>
  </si>
  <si>
    <t>https://drive.google.com/file/d/1U9XFPxnwyIHP1uvNUfvpMV7GNouu6ppP/view?usp=drivesdk</t>
  </si>
  <si>
    <t xml:space="preserve">SUPIANSYAH </t>
  </si>
  <si>
    <t>supiansyahditlantas2015@gmail.com</t>
  </si>
  <si>
    <t>2145</t>
  </si>
  <si>
    <t>1zb907fsCvbwR19Crh4oQu9bK7ydEvpRU</t>
  </si>
  <si>
    <t>https://drive.google.com/file/d/1zb907fsCvbwR19Crh4oQu9bK7ydEvpRU/view?usp=drivesdk</t>
  </si>
  <si>
    <t>NURUL ROSIDAH, S.E.</t>
  </si>
  <si>
    <t>nurulrosidah39@gmail.com</t>
  </si>
  <si>
    <t>2146</t>
  </si>
  <si>
    <t>1SOt6-b1XFG0mtVbp5AM4jIIUsfRYyXhP</t>
  </si>
  <si>
    <t>https://drive.google.com/file/d/1SOt6-b1XFG0mtVbp5AM4jIIUsfRYyXhP/view?usp=drivesdk</t>
  </si>
  <si>
    <t>NURWITRI</t>
  </si>
  <si>
    <t>wwdressmg@gmail.com</t>
  </si>
  <si>
    <t>2147</t>
  </si>
  <si>
    <t>1DC56LkxVbhFs_WSOVkuKBtCO49oVbW9i</t>
  </si>
  <si>
    <t>https://drive.google.com/file/d/1DC56LkxVbhFs_WSOVkuKBtCO49oVbW9i/view?usp=drivesdk</t>
  </si>
  <si>
    <t>PARTINEM</t>
  </si>
  <si>
    <t>partinem.ident@gmail.com</t>
  </si>
  <si>
    <t>2148</t>
  </si>
  <si>
    <t>1MdgCzcuGU_wW36aFxYqY-P5X2MCO9J5i</t>
  </si>
  <si>
    <t>https://drive.google.com/file/d/1MdgCzcuGU_wW36aFxYqY-P5X2MCO9J5i/view?usp=drivesdk</t>
  </si>
  <si>
    <t>Document successfully created; Document successfully merged; PDF created; !!Error Sending Emails: Service invoked too many times for one day: email.; Manually run by ecertificate75@gmail.com; Timestamp: Aug 31 2024 3:10 AM</t>
  </si>
  <si>
    <t>EKO SANTOSO</t>
  </si>
  <si>
    <t>ekos95416@gmail.com</t>
  </si>
  <si>
    <t>2149</t>
  </si>
  <si>
    <t>1Uj-SCFjl4sbCe0NUw_IpgO7GJPIIYDBi</t>
  </si>
  <si>
    <t>https://drive.google.com/file/d/1Uj-SCFjl4sbCe0NUw_IpgO7GJPIIYDBi/view?usp=drivesdk</t>
  </si>
  <si>
    <t>JUMIATI</t>
  </si>
  <si>
    <t>Jumiatipoludara79@gmail.com</t>
  </si>
  <si>
    <t>2150</t>
  </si>
  <si>
    <t>1L5PAl1moyDiOgMxWp_R2RX8XFbyJrWd7</t>
  </si>
  <si>
    <t>https://drive.google.com/file/d/1L5PAl1moyDiOgMxWp_R2RX8XFbyJrWd7/view?usp=drivesdk</t>
  </si>
  <si>
    <t xml:space="preserve">MIRZA WIDIASTUTI </t>
  </si>
  <si>
    <t>mirza.widiastuti@gmail.com</t>
  </si>
  <si>
    <t>2151</t>
  </si>
  <si>
    <t>1h6m1vg1F4AkpCSOv_AjsGajt5jgqXvmj</t>
  </si>
  <si>
    <t>https://drive.google.com/file/d/1h6m1vg1F4AkpCSOv_AjsGajt5jgqXvmj/view?usp=drivesdk</t>
  </si>
  <si>
    <t>ADESLINA</t>
  </si>
  <si>
    <t>ades.chaniago@gmail.com</t>
  </si>
  <si>
    <t>2152</t>
  </si>
  <si>
    <t>1bG-unD432xIEv_4r36CpQ1ZOP6HucwS_</t>
  </si>
  <si>
    <t>https://drive.google.com/file/d/1bG-unD432xIEv_4r36CpQ1ZOP6HucwS_/view?usp=drivesdk</t>
  </si>
  <si>
    <t>SUYOTO</t>
  </si>
  <si>
    <t>bapaksuyoto68@gmail.com</t>
  </si>
  <si>
    <t>2153</t>
  </si>
  <si>
    <t>14TcRddEQ5dguZCe5aBcZWibrNlBu0tLE</t>
  </si>
  <si>
    <t>https://drive.google.com/file/d/14TcRddEQ5dguZCe5aBcZWibrNlBu0tLE/view?usp=drivesdk</t>
  </si>
  <si>
    <t>TRI INDAH BUDIARSIH</t>
  </si>
  <si>
    <t>indahbudiarsih@gmail.com</t>
  </si>
  <si>
    <t>2154</t>
  </si>
  <si>
    <t>1WC0YUquFY1N0GI_yy_vRPi1mxWFcAhTg</t>
  </si>
  <si>
    <t>https://drive.google.com/file/d/1WC0YUquFY1N0GI_yy_vRPi1mxWFcAhTg/view?usp=drivesdk</t>
  </si>
  <si>
    <t>Document successfully created; Document successfully merged; PDF created; !!Error Sending Emails: Service invoked too many times for one day: email.; Manually run by ecertificate75@gmail.com; Timestamp: Aug 31 2024 3:11 AM</t>
  </si>
  <si>
    <t>RITA DIANA</t>
  </si>
  <si>
    <t>rita32328@gmail.com</t>
  </si>
  <si>
    <t>2155</t>
  </si>
  <si>
    <t>19pJYdhtEuVvpwHlG_wKiGV7YQnS7g2LG</t>
  </si>
  <si>
    <t>https://drive.google.com/file/d/19pJYdhtEuVvpwHlG_wKiGV7YQnS7g2LG/view?usp=drivesdk</t>
  </si>
  <si>
    <t>M. SATIMIN</t>
  </si>
  <si>
    <t>m.satimin68@gmail.com</t>
  </si>
  <si>
    <t>2156</t>
  </si>
  <si>
    <t>1zbRz_pu9WK6lI5wkVRMCXq32SuKOWWpd</t>
  </si>
  <si>
    <t>https://drive.google.com/file/d/1zbRz_pu9WK6lI5wkVRMCXq32SuKOWWpd/view?usp=drivesdk</t>
  </si>
  <si>
    <t xml:space="preserve">WAWAN AWALUDIN </t>
  </si>
  <si>
    <t>wawanawaludin1975@gmail.com</t>
  </si>
  <si>
    <t>2157</t>
  </si>
  <si>
    <t>1yEzhlqX6-DuGh0RIa-qeswyfilYdZA1B</t>
  </si>
  <si>
    <t>https://drive.google.com/file/d/1yEzhlqX6-DuGh0RIa-qeswyfilYdZA1B/view?usp=drivesdk</t>
  </si>
  <si>
    <t>YULIANA</t>
  </si>
  <si>
    <t>yulijambi501@gmail.com</t>
  </si>
  <si>
    <t>2158</t>
  </si>
  <si>
    <t>1YX-BEYdFnkqa2Ikf9P2WMJPxs1eS_onr</t>
  </si>
  <si>
    <t>https://drive.google.com/file/d/1YX-BEYdFnkqa2Ikf9P2WMJPxs1eS_onr/view?usp=drivesdk</t>
  </si>
  <si>
    <t>Ns. RIRIN ESTUNINGSIH, S.Kep.</t>
  </si>
  <si>
    <t>ririnestuningsih78@gmail.com</t>
  </si>
  <si>
    <t>2159</t>
  </si>
  <si>
    <t>1XKWy4FW6AgBftsPuF9Bgn5bwuxqtZsUu</t>
  </si>
  <si>
    <t>https://drive.google.com/file/d/1XKWy4FW6AgBftsPuF9Bgn5bwuxqtZsUu/view?usp=drivesdk</t>
  </si>
  <si>
    <t>ELOK IRAWATI</t>
  </si>
  <si>
    <t>eloksetiyobudi@gmail.com</t>
  </si>
  <si>
    <t>2160</t>
  </si>
  <si>
    <t>1IU6VvbeYK5DRl4inwbkB7MpaZuZ1EMwa</t>
  </si>
  <si>
    <t>https://drive.google.com/file/d/1IU6VvbeYK5DRl4inwbkB7MpaZuZ1EMwa/view?usp=drivesdk</t>
  </si>
  <si>
    <t>Document successfully created; Document successfully merged; PDF created; !!Error Sending Emails: Service invoked too many times for one day: email.; Manually run by ecertificate75@gmail.com; Timestamp: Aug 31 2024 3:12 AM</t>
  </si>
  <si>
    <t>OGI PRAYOGO, S.H.</t>
  </si>
  <si>
    <t>ogiprayogo1978@gmail.com</t>
  </si>
  <si>
    <t>2161</t>
  </si>
  <si>
    <t>1jUTGGObZoddQY20shCNAYeLJZdz8u_q_</t>
  </si>
  <si>
    <t>https://drive.google.com/file/d/1jUTGGObZoddQY20shCNAYeLJZdz8u_q_/view?usp=drivesdk</t>
  </si>
  <si>
    <t>SRI MURNI NURATI,SE</t>
  </si>
  <si>
    <t>srimurninurati1109@gmail.com</t>
  </si>
  <si>
    <t>2162</t>
  </si>
  <si>
    <t>1Tza8uPJoqQwUlhDWjuy2MXYAu09W2Fn_</t>
  </si>
  <si>
    <t>https://drive.google.com/file/d/1Tza8uPJoqQwUlhDWjuy2MXYAu09W2Fn_/view?usp=drivesdk</t>
  </si>
  <si>
    <t>KAMARIAH</t>
  </si>
  <si>
    <t>kamariahkom50@gmail.com</t>
  </si>
  <si>
    <t>2163</t>
  </si>
  <si>
    <t>1PoFxx1B0REntuuIEFr_gIn1Sgdl6XvgN</t>
  </si>
  <si>
    <t>https://drive.google.com/file/d/1PoFxx1B0REntuuIEFr_gIn1Sgdl6XvgN/view?usp=drivesdk</t>
  </si>
  <si>
    <t xml:space="preserve">YOYOH ROKAYAH </t>
  </si>
  <si>
    <t>yoyohrotas@gmail.com</t>
  </si>
  <si>
    <t>2164</t>
  </si>
  <si>
    <t>1-mHxq3-DyUi8lYg-YZi_Jliz5h9j9yyx</t>
  </si>
  <si>
    <t>https://drive.google.com/file/d/1-mHxq3-DyUi8lYg-YZi_Jliz5h9j9yyx/view?usp=drivesdk</t>
  </si>
  <si>
    <t>KUAT GINTING</t>
  </si>
  <si>
    <t>Kuatginting1968@gmail.co.com</t>
  </si>
  <si>
    <t>2165</t>
  </si>
  <si>
    <t>1Gm-oMNhKZH6QYad5tL38t3_-8UHsq8RK</t>
  </si>
  <si>
    <t>https://drive.google.com/file/d/1Gm-oMNhKZH6QYad5tL38t3_-8UHsq8RK/view?usp=drivesdk</t>
  </si>
  <si>
    <t>SYAFRUDDIN</t>
  </si>
  <si>
    <t>syafrudin2020.pkl@gmail.com</t>
  </si>
  <si>
    <t>2166</t>
  </si>
  <si>
    <t>1Or1r_t3cuwpqccki20aeaSsO2luq0O8T</t>
  </si>
  <si>
    <t>https://drive.google.com/file/d/1Or1r_t3cuwpqccki20aeaSsO2luq0O8T/view?usp=drivesdk</t>
  </si>
  <si>
    <t>Document successfully created; Document successfully merged; PDF created; !!Error Sending Emails: Service invoked too many times for one day: email.; Manually run by ecertificate75@gmail.com; Timestamp: Aug 31 2024 3:13 AM</t>
  </si>
  <si>
    <t>HENNY MIS PANCA WAHYUNI A. Md</t>
  </si>
  <si>
    <t>hennywahyuni94@gmail.com</t>
  </si>
  <si>
    <t>2167</t>
  </si>
  <si>
    <t>1dW3POUiM1vIbL3c_8gPVhmLYZC1FF_LI</t>
  </si>
  <si>
    <t>https://drive.google.com/file/d/1dW3POUiM1vIbL3c_8gPVhmLYZC1FF_LI/view?usp=drivesdk</t>
  </si>
  <si>
    <t>HENDRA</t>
  </si>
  <si>
    <t>hhendra1973@gmail.com</t>
  </si>
  <si>
    <t>2168</t>
  </si>
  <si>
    <t>1mcqZ06uLbKKyOEmKQwF0hPEWjMpS6yGG</t>
  </si>
  <si>
    <t>https://drive.google.com/file/d/1mcqZ06uLbKKyOEmKQwF0hPEWjMpS6yGG/view?usp=drivesdk</t>
  </si>
  <si>
    <t>HAFIZAH, S.H.</t>
  </si>
  <si>
    <t>fizhalghifary@gmail.com</t>
  </si>
  <si>
    <t>2169</t>
  </si>
  <si>
    <t>1emBSUD3SbxpfMCIqyLzjvwiKzchgvUXh</t>
  </si>
  <si>
    <t>https://drive.google.com/file/d/1emBSUD3SbxpfMCIqyLzjvwiKzchgvUXh/view?usp=drivesdk</t>
  </si>
  <si>
    <t xml:space="preserve">RITA NANI </t>
  </si>
  <si>
    <t>r174_vicha@yahoo.co.id</t>
  </si>
  <si>
    <t>2170</t>
  </si>
  <si>
    <t>1mWL8SM4TU19wm8I7MJyigTzu8c74uBXP</t>
  </si>
  <si>
    <t>https://drive.google.com/file/d/1mWL8SM4TU19wm8I7MJyigTzu8c74uBXP/view?usp=drivesdk</t>
  </si>
  <si>
    <t>MURYANIF</t>
  </si>
  <si>
    <t>muryanif1982@gmail.com</t>
  </si>
  <si>
    <t>2171</t>
  </si>
  <si>
    <t>1DyXXY1yavi-DkA39HP50WIkY1pfCoLR8</t>
  </si>
  <si>
    <t>https://drive.google.com/file/d/1DyXXY1yavi-DkA39HP50WIkY1pfCoLR8/view?usp=drivesdk</t>
  </si>
  <si>
    <t>Document successfully created; Document successfully merged; PDF created; !!Error Sending Emails: Service invoked too many times for one day: email.; Manually run by ecertificate75@gmail.com; Timestamp: Aug 31 2024 3:14 AM</t>
  </si>
  <si>
    <t>PENATA TK I DEWI WULANSARI,SE</t>
  </si>
  <si>
    <t>asyfa1001@gmail.com</t>
  </si>
  <si>
    <t>2172</t>
  </si>
  <si>
    <t>16H4u1XddxTmBtWG0FWzt-U9Ke-xKaOZG</t>
  </si>
  <si>
    <t>https://drive.google.com/file/d/16H4u1XddxTmBtWG0FWzt-U9Ke-xKaOZG/view?usp=drivesdk</t>
  </si>
  <si>
    <t>SUCIWARDANI,AMd.Kep</t>
  </si>
  <si>
    <t>suciwardani89@gmail.com</t>
  </si>
  <si>
    <t>2173</t>
  </si>
  <si>
    <t>1TEOpFjVfOVtoLDriGbc3zeDXbgeRpuAv</t>
  </si>
  <si>
    <t>https://drive.google.com/file/d/1TEOpFjVfOVtoLDriGbc3zeDXbgeRpuAv/view?usp=drivesdk</t>
  </si>
  <si>
    <t>ISHAK ISHAK</t>
  </si>
  <si>
    <t>iishak924@gmail.com</t>
  </si>
  <si>
    <t>2174</t>
  </si>
  <si>
    <t>12fmLEROWIU_0qOAgw1WIGDlPUEq5OP4a</t>
  </si>
  <si>
    <t>https://drive.google.com/file/d/12fmLEROWIU_0qOAgw1WIGDlPUEq5OP4a/view?usp=drivesdk</t>
  </si>
  <si>
    <t>SUKMAWATI.S,Sos</t>
  </si>
  <si>
    <t>wsukmawati564@gmail.com</t>
  </si>
  <si>
    <t>2175</t>
  </si>
  <si>
    <t>1t-X-EIOrFfahXZPrEBU6hUfTNw9xTLOV</t>
  </si>
  <si>
    <t>https://drive.google.com/file/d/1t-X-EIOrFfahXZPrEBU6hUfTNw9xTLOV/view?usp=drivesdk</t>
  </si>
  <si>
    <t>LAMINI</t>
  </si>
  <si>
    <t>lamini.untiarti@gmail.com</t>
  </si>
  <si>
    <t>2176</t>
  </si>
  <si>
    <t>1ne8jFdn5NiI11VCrF3tgZBZ5JErB8OdQ</t>
  </si>
  <si>
    <t>https://drive.google.com/file/d/1ne8jFdn5NiI11VCrF3tgZBZ5JErB8OdQ/view?usp=drivesdk</t>
  </si>
  <si>
    <t>Document successfully created; Document successfully merged; PDF created; !!Error Sending Emails: Service invoked too many times for one day: email.; Manually run by ecertificate75@gmail.com; Timestamp: Aug 31 2024 3:15 AM</t>
  </si>
  <si>
    <t>FITRI REZEKI</t>
  </si>
  <si>
    <t>fitrirezeki01@gmail.com</t>
  </si>
  <si>
    <t>2177</t>
  </si>
  <si>
    <t>1Z0GekAMQa_6Xds4zR5Op-vWkA3I8fwGX</t>
  </si>
  <si>
    <t>https://drive.google.com/file/d/1Z0GekAMQa_6Xds4zR5Op-vWkA3I8fwGX/view?usp=drivesdk</t>
  </si>
  <si>
    <t>SULASIH</t>
  </si>
  <si>
    <t>sulasih101970@gmail.com</t>
  </si>
  <si>
    <t>2178</t>
  </si>
  <si>
    <t>1qT6X2-KztNsL25Z_D8KvNX45pUBp7ozV</t>
  </si>
  <si>
    <t>https://drive.google.com/file/d/1qT6X2-KztNsL25Z_D8KvNX45pUBp7ozV/view?usp=drivesdk</t>
  </si>
  <si>
    <t>RINDHI ANTIKA KONO, S.E.</t>
  </si>
  <si>
    <t>rindhiantikacute@gmail.com</t>
  </si>
  <si>
    <t>2179</t>
  </si>
  <si>
    <t>1Rol9hcxV8BdCEQhIKzKFpe-iL71Za1-x</t>
  </si>
  <si>
    <t>https://drive.google.com/file/d/1Rol9hcxV8BdCEQhIKzKFpe-iL71Za1-x/view?usp=drivesdk</t>
  </si>
  <si>
    <t xml:space="preserve">SRI LESTARI </t>
  </si>
  <si>
    <t>srilestaridemak24@gmail.com</t>
  </si>
  <si>
    <t>2180</t>
  </si>
  <si>
    <t>1rqenjpf0sSbgg26Ozce0kOR6VJCdUiSh</t>
  </si>
  <si>
    <t>https://drive.google.com/file/d/1rqenjpf0sSbgg26Ozce0kOR6VJCdUiSh/view?usp=drivesdk</t>
  </si>
  <si>
    <t>C KRISTIATI</t>
  </si>
  <si>
    <t>kristiati24101968@gmail.com</t>
  </si>
  <si>
    <t>2181</t>
  </si>
  <si>
    <t>1phYL-iNzONtVY2ApIOcc_mQ1BCLSDtmW</t>
  </si>
  <si>
    <t>https://drive.google.com/file/d/1phYL-iNzONtVY2ApIOcc_mQ1BCLSDtmW/view?usp=drivesdk</t>
  </si>
  <si>
    <t>Document successfully created; Document successfully merged; PDF created; !!Error Sending Emails: Service invoked too many times for one day: email.; Manually run by ecertificate75@gmail.com; Timestamp: Aug 31 2024 3:16 AM</t>
  </si>
  <si>
    <t>HARTOTO</t>
  </si>
  <si>
    <t>HARTTOTO2@q.mail.com</t>
  </si>
  <si>
    <t>2182</t>
  </si>
  <si>
    <t>1SjugwNnNgor7Olf0T6yCWj1Gwpt36E9k</t>
  </si>
  <si>
    <t>https://drive.google.com/file/d/1SjugwNnNgor7Olf0T6yCWj1Gwpt36E9k/view?usp=drivesdk</t>
  </si>
  <si>
    <t>RINA SHINTAWATY, S.M.</t>
  </si>
  <si>
    <t>rinashintawati7@gmail.com</t>
  </si>
  <si>
    <t>2183</t>
  </si>
  <si>
    <t>1iJnbDoMAlwBKnbndolrnIphLhqmJB6jo</t>
  </si>
  <si>
    <t>https://drive.google.com/file/d/1iJnbDoMAlwBKnbndolrnIphLhqmJB6jo/view?usp=drivesdk</t>
  </si>
  <si>
    <t>DARMIYANI</t>
  </si>
  <si>
    <t>bundadyani93@gmail.com</t>
  </si>
  <si>
    <t>2184</t>
  </si>
  <si>
    <t>1Npj07ZxwTERbKtCTvgOJgKCCjR74jeMP</t>
  </si>
  <si>
    <t>https://drive.google.com/file/d/1Npj07ZxwTERbKtCTvgOJgKCCjR74jeMP/view?usp=drivesdk</t>
  </si>
  <si>
    <t>ERNI HERLINAWATI,ST</t>
  </si>
  <si>
    <t>erniherlinawati2015@gmail.com</t>
  </si>
  <si>
    <t>2185</t>
  </si>
  <si>
    <t>17-J0nR85v06aPP5L8g7nF-cnmDhNN5lH</t>
  </si>
  <si>
    <t>https://drive.google.com/file/d/17-J0nR85v06aPP5L8g7nF-cnmDhNN5lH/view?usp=drivesdk</t>
  </si>
  <si>
    <t>MUHAMMAD, SH, MH</t>
  </si>
  <si>
    <t>muh4mmad.bidkum@gmail.com</t>
  </si>
  <si>
    <t>2186</t>
  </si>
  <si>
    <t>1qvnYkSdlk5b21xfj0QtBmV0psMaaBSlW</t>
  </si>
  <si>
    <t>https://drive.google.com/file/d/1qvnYkSdlk5b21xfj0QtBmV0psMaaBSlW/view?usp=drivesdk</t>
  </si>
  <si>
    <t>DAYEN SARI, S.A.B</t>
  </si>
  <si>
    <t>dayensari83@gmail.com</t>
  </si>
  <si>
    <t>2187</t>
  </si>
  <si>
    <t>18QYtvt_yIcnn5VGewNmqGfXXbIro8ivO</t>
  </si>
  <si>
    <t>https://drive.google.com/file/d/18QYtvt_yIcnn5VGewNmqGfXXbIro8ivO/view?usp=drivesdk</t>
  </si>
  <si>
    <t>Document successfully created; Document successfully merged; PDF created; !!Error Sending Emails: Service invoked too many times for one day: email.; Manually run by ecertificate75@gmail.com; Timestamp: Aug 31 2024 3:17 AM</t>
  </si>
  <si>
    <t>SITI YANTI HULU</t>
  </si>
  <si>
    <t>sitiyantihulu67@gmail.com</t>
  </si>
  <si>
    <t>2188</t>
  </si>
  <si>
    <t>19sDzAfSBoyGw7xcLMf-czk0hohvOQov4</t>
  </si>
  <si>
    <t>https://drive.google.com/file/d/19sDzAfSBoyGw7xcLMf-czk0hohvOQov4/view?usp=drivesdk</t>
  </si>
  <si>
    <t>HERY SETYOKO</t>
  </si>
  <si>
    <t>herrysuheryy@gmail.com</t>
  </si>
  <si>
    <t>2189</t>
  </si>
  <si>
    <t>1Itah3dD1fEdY64Z9Z0eb9Ai724F3vpFk</t>
  </si>
  <si>
    <t>https://drive.google.com/file/d/1Itah3dD1fEdY64Z9Z0eb9Ai724F3vpFk/view?usp=drivesdk</t>
  </si>
  <si>
    <t>ISMALINDA</t>
  </si>
  <si>
    <t>ismalinda2175@gmail.com</t>
  </si>
  <si>
    <t>2190</t>
  </si>
  <si>
    <t>1pnwVczjvrADATVzQttUGaMr0p-2uvzEO</t>
  </si>
  <si>
    <t>https://drive.google.com/file/d/1pnwVczjvrADATVzQttUGaMr0p-2uvzEO/view?usp=drivesdk</t>
  </si>
  <si>
    <t xml:space="preserve">Junita Lisbet Sihotang </t>
  </si>
  <si>
    <t>junitalisbetsihotang@gmail.com</t>
  </si>
  <si>
    <t>2191</t>
  </si>
  <si>
    <t>1xlBr5Ghd3-xH1X2iMIw40w1y-b8oseT0</t>
  </si>
  <si>
    <t>https://drive.google.com/file/d/1xlBr5Ghd3-xH1X2iMIw40w1y-b8oseT0/view?usp=drivesdk</t>
  </si>
  <si>
    <t>SUTIKNO</t>
  </si>
  <si>
    <t>tiknow86@gmail.com</t>
  </si>
  <si>
    <t>2192</t>
  </si>
  <si>
    <t>1GIKuThejXsHVRfDFkdgbNXFB3Z6sYzIm</t>
  </si>
  <si>
    <t>https://drive.google.com/file/d/1GIKuThejXsHVRfDFkdgbNXFB3Z6sYzIm/view?usp=drivesdk</t>
  </si>
  <si>
    <t>MURPITA</t>
  </si>
  <si>
    <t>mmurpita@gmail.com</t>
  </si>
  <si>
    <t>2193</t>
  </si>
  <si>
    <t>1OVzbqCLUPhx668X1JEGKABCZrOACprSY</t>
  </si>
  <si>
    <t>https://drive.google.com/file/d/1OVzbqCLUPhx668X1JEGKABCZrOACprSY/view?usp=drivesdk</t>
  </si>
  <si>
    <t>Document successfully created; Document successfully merged; PDF created; !!Error Sending Emails: Service invoked too many times for one day: email.; Manually run by ecertificate75@gmail.com; Timestamp: Aug 31 2024 3:18 AM</t>
  </si>
  <si>
    <t>YULIANTO, S.I.P</t>
  </si>
  <si>
    <t>yulianto.elly@gmail.com</t>
  </si>
  <si>
    <t>2194</t>
  </si>
  <si>
    <t>19eH6foMHo_owSnor2K-UmSRr_GiMN5E2</t>
  </si>
  <si>
    <t>https://drive.google.com/file/d/19eH6foMHo_owSnor2K-UmSRr_GiMN5E2/view?usp=drivesdk</t>
  </si>
  <si>
    <t>CARMUN</t>
  </si>
  <si>
    <t>carmun7472@gmail.com</t>
  </si>
  <si>
    <t>2195</t>
  </si>
  <si>
    <t>1kkWYn3lxbPZx0VJZT-ZPIbFIzvWgTdQZ</t>
  </si>
  <si>
    <t>https://drive.google.com/file/d/1kkWYn3lxbPZx0VJZT-ZPIbFIzvWgTdQZ/view?usp=drivesdk</t>
  </si>
  <si>
    <t>SUGIATI</t>
  </si>
  <si>
    <t>sugiatisugiati445@gmail.com</t>
  </si>
  <si>
    <t>2196</t>
  </si>
  <si>
    <t>12Yz0zLPEtZPT-bwrl_mZv3Zt-bHlX4Bo</t>
  </si>
  <si>
    <t>https://drive.google.com/file/d/12Yz0zLPEtZPT-bwrl_mZv3Zt-bHlX4Bo/view?usp=drivesdk</t>
  </si>
  <si>
    <t>KUSDIYANTO</t>
  </si>
  <si>
    <t>kusdiyanto96@yahoo.com</t>
  </si>
  <si>
    <t>2197</t>
  </si>
  <si>
    <t>1qd28MTxbE7ASwqkvXgujW0shyc-pnos5</t>
  </si>
  <si>
    <t>https://drive.google.com/file/d/1qd28MTxbE7ASwqkvXgujW0shyc-pnos5/view?usp=drivesdk</t>
  </si>
  <si>
    <t>SUMINI</t>
  </si>
  <si>
    <t>suminimario@gmail.com</t>
  </si>
  <si>
    <t>2198</t>
  </si>
  <si>
    <t>Starting at Thu Aug 29 2024 21:08:49 GMT-0400 (EDT)</t>
  </si>
  <si>
    <t>15_vM7dWRVjWrr5KhSAMOeeLrJMuRn7tz</t>
  </si>
  <si>
    <t>https://drive.google.com/file/d/15_vM7dWRVjWrr5KhSAMOeeLrJMuRn7tz/view?usp=drivesdk</t>
  </si>
  <si>
    <t>SULASTRI, AMD</t>
  </si>
  <si>
    <t>sulastri197405@gmail.com</t>
  </si>
  <si>
    <t>2199</t>
  </si>
  <si>
    <t>1E9N1nv0K2_O-B3KyN1EciYtF4CFm4_PK</t>
  </si>
  <si>
    <t>https://drive.google.com/file/d/1E9N1nv0K2_O-B3KyN1EciYtF4CFm4_PK/view?usp=drivesdk</t>
  </si>
  <si>
    <t>Document successfully created; Document successfully merged; PDF created; !!Error Sending Emails: Service invoked too many times for one day: email.; Manually run by ecertificate75@gmail.com; Timestamp: Aug 31 2024 3:19 AM</t>
  </si>
  <si>
    <t>SRI RAHAYU</t>
  </si>
  <si>
    <t>srirahayuchan@gmail.com</t>
  </si>
  <si>
    <t>2200</t>
  </si>
  <si>
    <t>1WTkF-wGrqOSikC6Zbg-aIAETGk5nBgZK</t>
  </si>
  <si>
    <t>https://drive.google.com/file/d/1WTkF-wGrqOSikC6Zbg-aIAETGk5nBgZK/view?usp=drivesdk</t>
  </si>
  <si>
    <t>LYPPMAN DEDY BUTARBUTAR, S. KOM</t>
  </si>
  <si>
    <t>lyppmandb@gmail.com</t>
  </si>
  <si>
    <t>2201</t>
  </si>
  <si>
    <t>1QTaHAGL2so6b7rgEuRW5HqOIjj6h19RM</t>
  </si>
  <si>
    <t>https://drive.google.com/file/d/1QTaHAGL2so6b7rgEuRW5HqOIjj6h19RM/view?usp=drivesdk</t>
  </si>
  <si>
    <t>KARTINI, S.M</t>
  </si>
  <si>
    <t>tyntyn1978@gmail.com</t>
  </si>
  <si>
    <t>2202</t>
  </si>
  <si>
    <t>1auDIwkChJ8B2-Hh2RkW_ny_EtnDfyrmo</t>
  </si>
  <si>
    <t>https://drive.google.com/file/d/1auDIwkChJ8B2-Hh2RkW_ny_EtnDfyrmo/view?usp=drivesdk</t>
  </si>
  <si>
    <t>DEWI PRIHASTUTI, AMK</t>
  </si>
  <si>
    <t>dewiazhari31@gmail.com</t>
  </si>
  <si>
    <t>2203</t>
  </si>
  <si>
    <t>1FDC4gZlq6LGcSH-xwGyGbYl4qtEzb1AU</t>
  </si>
  <si>
    <t>https://drive.google.com/file/d/1FDC4gZlq6LGcSH-xwGyGbYl4qtEzb1AU/view?usp=drivesdk</t>
  </si>
  <si>
    <t xml:space="preserve">SUPRIHANI </t>
  </si>
  <si>
    <t>suprihani83@gmail.com</t>
  </si>
  <si>
    <t>2204</t>
  </si>
  <si>
    <t>1qmQ3CyxFGEShNXOYQpumagLcbFkUe6Mz</t>
  </si>
  <si>
    <t>https://drive.google.com/file/d/1qmQ3CyxFGEShNXOYQpumagLcbFkUe6Mz/view?usp=drivesdk</t>
  </si>
  <si>
    <t>Document successfully created; Document successfully merged; PDF created; !!Error Sending Emails: Service invoked too many times for one day: email.; Manually run by ecertificate75@gmail.com; Timestamp: Aug 31 2024 3:20 AM</t>
  </si>
  <si>
    <t>EDI WIBOWO, S.H.</t>
  </si>
  <si>
    <t>ediwib77@gmail.com</t>
  </si>
  <si>
    <t>2205</t>
  </si>
  <si>
    <t>1a14n_5LiPsF9UA9CH77MSf0cuG5pjqs4</t>
  </si>
  <si>
    <t>https://drive.google.com/file/d/1a14n_5LiPsF9UA9CH77MSf0cuG5pjqs4/view?usp=drivesdk</t>
  </si>
  <si>
    <t>MARTINUS WAHYU ANDRIANTO, SE.</t>
  </si>
  <si>
    <t>cules061013@gmail.com</t>
  </si>
  <si>
    <t>2206</t>
  </si>
  <si>
    <t>1vf1d-Z8r3HVGCHAEDdFoC4-OK5MPY4rv</t>
  </si>
  <si>
    <t>https://drive.google.com/file/d/1vf1d-Z8r3HVGCHAEDdFoC4-OK5MPY4rv/view?usp=drivesdk</t>
  </si>
  <si>
    <t>CARSAD</t>
  </si>
  <si>
    <t>carsad99@gmail.com</t>
  </si>
  <si>
    <t>2207</t>
  </si>
  <si>
    <t>1HR_4y76AHi_q8GGvzvGoRpuvYP6Oa7y3</t>
  </si>
  <si>
    <t>https://drive.google.com/file/d/1HR_4y76AHi_q8GGvzvGoRpuvYP6Oa7y3/view?usp=drivesdk</t>
  </si>
  <si>
    <t xml:space="preserve">TRIYONO, SPD </t>
  </si>
  <si>
    <t>triyonoakpol@gmail.com</t>
  </si>
  <si>
    <t>2208</t>
  </si>
  <si>
    <t>1HBefhpXIR5PC1W1BKP8DdVJdlreecghL</t>
  </si>
  <si>
    <t>https://drive.google.com/file/d/1HBefhpXIR5PC1W1BKP8DdVJdlreecghL/view?usp=drivesdk</t>
  </si>
  <si>
    <t>SITI HINDUN, S.SOS</t>
  </si>
  <si>
    <t>hindunbaglogrestala@gmail.com</t>
  </si>
  <si>
    <t>2209</t>
  </si>
  <si>
    <t>1eDZaqo-ncXyJe8yZiUbM0mbk19AZXizK</t>
  </si>
  <si>
    <t>https://drive.google.com/file/d/1eDZaqo-ncXyJe8yZiUbM0mbk19AZXizK/view?usp=drivesdk</t>
  </si>
  <si>
    <t>Document successfully created; Document successfully merged; PDF created; !!Error Sending Emails: Service invoked too many times for one day: email.; Manually run by ecertificate75@gmail.com; Timestamp: Aug 31 2024 3:21 AM</t>
  </si>
  <si>
    <t>EKA RAHAYU</t>
  </si>
  <si>
    <t>rahayueka213@gmail.com</t>
  </si>
  <si>
    <t>2210</t>
  </si>
  <si>
    <t>1k8jpYdCQALe6H6rHGbYHyWDNG9aRgR6u</t>
  </si>
  <si>
    <t>https://drive.google.com/file/d/1k8jpYdCQALe6H6rHGbYHyWDNG9aRgR6u/view?usp=drivesdk</t>
  </si>
  <si>
    <t>DALIMO</t>
  </si>
  <si>
    <t>dalimoahmadi@gmail.com</t>
  </si>
  <si>
    <t>2211</t>
  </si>
  <si>
    <t>1y5I51quSnJfdWGu0r2xGN8C5UHgRtdxe</t>
  </si>
  <si>
    <t>https://drive.google.com/file/d/1y5I51quSnJfdWGu0r2xGN8C5UHgRtdxe/view?usp=drivesdk</t>
  </si>
  <si>
    <t xml:space="preserve">AFAN GUNAWAN </t>
  </si>
  <si>
    <t>afangunawan1982@gmail.com</t>
  </si>
  <si>
    <t>2212</t>
  </si>
  <si>
    <t>1JoO-o7KKlsrRYuvMRBrPxnW1bAeuXTSY</t>
  </si>
  <si>
    <t>https://drive.google.com/file/d/1JoO-o7KKlsrRYuvMRBrPxnW1bAeuXTSY/view?usp=drivesdk</t>
  </si>
  <si>
    <t>MIKRAT, SH</t>
  </si>
  <si>
    <t>rsbhayangkara94@gmail.com</t>
  </si>
  <si>
    <t>2213</t>
  </si>
  <si>
    <t>1mXw6vvYzTyiIWMBvfRFf1rD2wQIkiQ73</t>
  </si>
  <si>
    <t>https://drive.google.com/file/d/1mXw6vvYzTyiIWMBvfRFf1rD2wQIkiQ73/view?usp=drivesdk</t>
  </si>
  <si>
    <t xml:space="preserve">RINI SRI SUHARTININGSIH </t>
  </si>
  <si>
    <t>ririn1170@gmail.com</t>
  </si>
  <si>
    <t>2214</t>
  </si>
  <si>
    <t>1KrejfMrs4rdAQfEnbEGQCGLzeQzH-3Ig</t>
  </si>
  <si>
    <t>https://drive.google.com/file/d/1KrejfMrs4rdAQfEnbEGQCGLzeQzH-3Ig/view?usp=drivesdk</t>
  </si>
  <si>
    <t>ROBY ABDURACHIM</t>
  </si>
  <si>
    <t>robyabdurachim8497@gmail.com</t>
  </si>
  <si>
    <t>2215</t>
  </si>
  <si>
    <t>1-py59Gc1mtu8ZtK-TgfDrJX0lSaPqTu9</t>
  </si>
  <si>
    <t>https://drive.google.com/file/d/1-py59Gc1mtu8ZtK-TgfDrJX0lSaPqTu9/view?usp=drivesdk</t>
  </si>
  <si>
    <t>Document successfully created; Document successfully merged; PDF created; !!Error Sending Emails: Service invoked too many times for one day: email.; Manually run by ecertificate75@gmail.com; Timestamp: Aug 31 2024 3:22 AM</t>
  </si>
  <si>
    <t>ALI MURSALIN</t>
  </si>
  <si>
    <t>alibetawie71@gmail.com</t>
  </si>
  <si>
    <t>2216</t>
  </si>
  <si>
    <t>1x8MkXC41s_b7dq1lpI1y9Ji56wIDuGht</t>
  </si>
  <si>
    <t>https://drive.google.com/file/d/1x8MkXC41s_b7dq1lpI1y9Ji56wIDuGht/view?usp=drivesdk</t>
  </si>
  <si>
    <t>CONDRO</t>
  </si>
  <si>
    <t>condroa51@gmail.com</t>
  </si>
  <si>
    <t>2217</t>
  </si>
  <si>
    <t>1QqZbqPj_i9NKdqMa2xwOCN7HWmYtveir</t>
  </si>
  <si>
    <t>https://drive.google.com/file/d/1QqZbqPj_i9NKdqMa2xwOCN7HWmYtveir/view?usp=drivesdk</t>
  </si>
  <si>
    <t>ELDARISTA PURBA</t>
  </si>
  <si>
    <t>eldarista3@gmail.com</t>
  </si>
  <si>
    <t>2218</t>
  </si>
  <si>
    <t>1tlyp_L3Iv1nBgAfpe79Rd684F6bGx8V5</t>
  </si>
  <si>
    <t>https://drive.google.com/file/d/1tlyp_L3Iv1nBgAfpe79Rd684F6bGx8V5/view?usp=drivesdk</t>
  </si>
  <si>
    <t>ILI YANTI</t>
  </si>
  <si>
    <t>iliyanti536@gmail.com</t>
  </si>
  <si>
    <t>2219</t>
  </si>
  <si>
    <t>1Ra2wGpwtG02sAubMBPHYV7dO9fwXuWCl</t>
  </si>
  <si>
    <t>https://drive.google.com/file/d/1Ra2wGpwtG02sAubMBPHYV7dO9fwXuWCl/view?usp=drivesdk</t>
  </si>
  <si>
    <t>ROCHIM, S.Psi</t>
  </si>
  <si>
    <t>rochim260674@gmail.com</t>
  </si>
  <si>
    <t>2220</t>
  </si>
  <si>
    <t>1nYPuTmSMrdeyRJofoxDWkkH6-cwNMi09</t>
  </si>
  <si>
    <t>https://drive.google.com/file/d/1nYPuTmSMrdeyRJofoxDWkkH6-cwNMi09/view?usp=drivesdk</t>
  </si>
  <si>
    <t xml:space="preserve">RUSMIYATI </t>
  </si>
  <si>
    <t>rusmiyati.spn@gmail.com</t>
  </si>
  <si>
    <t>2221</t>
  </si>
  <si>
    <t>15JMAu5yzyGIXxbGmJblacHocyaJ-tEXb</t>
  </si>
  <si>
    <t>https://drive.google.com/file/d/15JMAu5yzyGIXxbGmJblacHocyaJ-tEXb/view?usp=drivesdk</t>
  </si>
  <si>
    <t>Document successfully created; Document successfully merged; PDF created; !!Error Sending Emails: Service invoked too many times for one day: email.; Manually run by ecertificate75@gmail.com; Timestamp: Aug 31 2024 3:23 AM</t>
  </si>
  <si>
    <t>SUWANDO,</t>
  </si>
  <si>
    <t>suwondo792@gmail.com</t>
  </si>
  <si>
    <t>2222</t>
  </si>
  <si>
    <t>1DcWlxPb1KkqLW6mXaPIi8tch-Rr0s4ky</t>
  </si>
  <si>
    <t>https://drive.google.com/file/d/1DcWlxPb1KkqLW6mXaPIi8tch-Rr0s4ky/view?usp=drivesdk</t>
  </si>
  <si>
    <t>RAHMAWATI</t>
  </si>
  <si>
    <t>rahmawatilatandu@gmail.com</t>
  </si>
  <si>
    <t>2223</t>
  </si>
  <si>
    <t>140xrHerGwY_zbttPoy_CQ_qqky3ukOub</t>
  </si>
  <si>
    <t>https://drive.google.com/file/d/140xrHerGwY_zbttPoy_CQ_qqky3ukOub/view?usp=drivesdk</t>
  </si>
  <si>
    <t>HANI NURCAHYA. A.MD. KEP</t>
  </si>
  <si>
    <t>haninurcahya@gmail.com</t>
  </si>
  <si>
    <t>2224</t>
  </si>
  <si>
    <t>1ixQWjlzz0_H1ZE0Dm2KsT8vrLSFLKFhi</t>
  </si>
  <si>
    <t>https://drive.google.com/file/d/1ixQWjlzz0_H1ZE0Dm2KsT8vrLSFLKFhi/view?usp=drivesdk</t>
  </si>
  <si>
    <t>LINDA PUSPITA</t>
  </si>
  <si>
    <t>lindapuspita0910@gmail.com</t>
  </si>
  <si>
    <t>2225</t>
  </si>
  <si>
    <t>1uS8aDQMN65gbB7si1x_FJh_4MK1_Vk6k</t>
  </si>
  <si>
    <t>https://drive.google.com/file/d/1uS8aDQMN65gbB7si1x_FJh_4MK1_Vk6k/view?usp=drivesdk</t>
  </si>
  <si>
    <t xml:space="preserve">PUJI WINARNI </t>
  </si>
  <si>
    <t>winarnipuji99@gmail.com</t>
  </si>
  <si>
    <t>2226</t>
  </si>
  <si>
    <t>1CVK6OLgkBY7SJ66S4psNPuf_Dqwz5TJY</t>
  </si>
  <si>
    <t>https://drive.google.com/file/d/1CVK6OLgkBY7SJ66S4psNPuf_Dqwz5TJY/view?usp=drivesdk</t>
  </si>
  <si>
    <t>Document successfully created; Document successfully merged; PDF created; !!Error Sending Emails: Service invoked too many times for one day: email.; Manually run by ecertificate75@gmail.com; Timestamp: Aug 31 2024 3:24 AM</t>
  </si>
  <si>
    <t>TAMRIN</t>
  </si>
  <si>
    <t>tamrintemo160378@gmail.com</t>
  </si>
  <si>
    <t>2227</t>
  </si>
  <si>
    <t>1vii2IBSE9tnTfRApka1xE2lZ6M0SB73_</t>
  </si>
  <si>
    <t>https://drive.google.com/file/d/1vii2IBSE9tnTfRApka1xE2lZ6M0SB73_/view?usp=drivesdk</t>
  </si>
  <si>
    <t>ARIF ARFIANI, S.KOM</t>
  </si>
  <si>
    <t>arifarfiani12@gmail.com</t>
  </si>
  <si>
    <t>2228</t>
  </si>
  <si>
    <t>1pNBcRiXUaXunDHqq6h1pLJZltzROtwVk</t>
  </si>
  <si>
    <t>https://drive.google.com/file/d/1pNBcRiXUaXunDHqq6h1pLJZltzROtwVk/view?usp=drivesdk</t>
  </si>
  <si>
    <t>ZUNAN ARFIAN</t>
  </si>
  <si>
    <t>arfianzunan@gmail.com</t>
  </si>
  <si>
    <t>2229</t>
  </si>
  <si>
    <t>1rC1Gwld_7Gi2W3drE28g056i4_pI7Etl</t>
  </si>
  <si>
    <t>https://drive.google.com/file/d/1rC1Gwld_7Gi2W3drE28g056i4_pI7Etl/view?usp=drivesdk</t>
  </si>
  <si>
    <t>SAEFULOH</t>
  </si>
  <si>
    <t>urkeulogistik@gmail.com</t>
  </si>
  <si>
    <t>2230</t>
  </si>
  <si>
    <t>12joTwXhLAFtIzgz_kG-emuDj3nBan5B-</t>
  </si>
  <si>
    <t>https://drive.google.com/file/d/12joTwXhLAFtIzgz_kG-emuDj3nBan5B-/view?usp=drivesdk</t>
  </si>
  <si>
    <t>PUTRI EKA LESTARI, S. SOS</t>
  </si>
  <si>
    <t>putriekalestari2015@gmail.com</t>
  </si>
  <si>
    <t>2231</t>
  </si>
  <si>
    <t>1a6Nx9hmxhSMtUilXVPDqG-iO-NmtIK8M</t>
  </si>
  <si>
    <t>https://drive.google.com/file/d/1a6Nx9hmxhSMtUilXVPDqG-iO-NmtIK8M/view?usp=drivesdk</t>
  </si>
  <si>
    <t>Document successfully created; Document successfully merged; PDF created; !!Error Sending Emails: Service invoked too many times for one day: email.; Manually run by ecertificate75@gmail.com; Timestamp: Aug 31 2024 3:25 AM</t>
  </si>
  <si>
    <t>RINA PUSPITASARI</t>
  </si>
  <si>
    <t>rina160979@gnail.com</t>
  </si>
  <si>
    <t>2232</t>
  </si>
  <si>
    <t>1X-X7EdP8obUjliqetJsNX9jAT6shr6-R</t>
  </si>
  <si>
    <t>https://drive.google.com/file/d/1X-X7EdP8obUjliqetJsNX9jAT6shr6-R/view?usp=drivesdk</t>
  </si>
  <si>
    <t>MURNI.MURNI</t>
  </si>
  <si>
    <t>murnispnmojokerto@gmail.com</t>
  </si>
  <si>
    <t>2233</t>
  </si>
  <si>
    <t>1BKKnRK2N86axmDIn91bitAVNOT3HzWFm</t>
  </si>
  <si>
    <t>https://drive.google.com/file/d/1BKKnRK2N86axmDIn91bitAVNOT3HzWFm/view?usp=drivesdk</t>
  </si>
  <si>
    <t>NURLAELA.S</t>
  </si>
  <si>
    <t>lelasalam75@gmail.com</t>
  </si>
  <si>
    <t>2234</t>
  </si>
  <si>
    <t>1H4PYrVDBXyf06uNvxmWysj37oCJWpD8X</t>
  </si>
  <si>
    <t>https://drive.google.com/file/d/1H4PYrVDBXyf06uNvxmWysj37oCJWpD8X/view?usp=drivesdk</t>
  </si>
  <si>
    <t>SUTIMAN</t>
  </si>
  <si>
    <t>sutiman141170@gmail.com</t>
  </si>
  <si>
    <t>2235</t>
  </si>
  <si>
    <t>1ARZ9j-V_jyBB_ikS9tK9aU2JljIlwgpq</t>
  </si>
  <si>
    <t>https://drive.google.com/file/d/1ARZ9j-V_jyBB_ikS9tK9aU2JljIlwgpq/view?usp=drivesdk</t>
  </si>
  <si>
    <t>Document successfully created; Document successfully merged; PDF created; !!Error Sending Emails: Service invoked too many times for one day: email.; Manually run by ecertificate75@gmail.com; Timestamp: Aug 31 2024 3:26 AM</t>
  </si>
  <si>
    <t xml:space="preserve">HARTONO, S. H. </t>
  </si>
  <si>
    <t>hartonospn@gmail.com</t>
  </si>
  <si>
    <t>2236</t>
  </si>
  <si>
    <t>1PqWAAIUvitN9lHDMzpjga3Tywv3QhnXv</t>
  </si>
  <si>
    <t>https://drive.google.com/file/d/1PqWAAIUvitN9lHDMzpjga3Tywv3QhnXv/view?usp=drivesdk</t>
  </si>
  <si>
    <t>SARMIYATI, S. KOM</t>
  </si>
  <si>
    <t>fawzifebri10@gmail.com</t>
  </si>
  <si>
    <t>2237</t>
  </si>
  <si>
    <t>1fsiVGv3vj34EIWWk7EGa-nC_6Cw5sPel</t>
  </si>
  <si>
    <t>https://drive.google.com/file/d/1fsiVGv3vj34EIWWk7EGa-nC_6Cw5sPel/view?usp=drivesdk</t>
  </si>
  <si>
    <t>DENI YARTI S KEP</t>
  </si>
  <si>
    <t>deniyarti090@gmail.com</t>
  </si>
  <si>
    <t>2238</t>
  </si>
  <si>
    <t>17Z8IUWYXOuZLWrovsYz1dIpQm_Hudwr4</t>
  </si>
  <si>
    <t>https://drive.google.com/file/d/17Z8IUWYXOuZLWrovsYz1dIpQm_Hudwr4/view?usp=drivesdk</t>
  </si>
  <si>
    <t>Ode Rosidi,SH</t>
  </si>
  <si>
    <t>oderosidi@gmail.com</t>
  </si>
  <si>
    <t>2239</t>
  </si>
  <si>
    <t>1_vH6HgoFqhVdxYuZZSpCN723XpCIkYQK</t>
  </si>
  <si>
    <t>https://drive.google.com/file/d/1_vH6HgoFqhVdxYuZZSpCN723XpCIkYQK/view?usp=drivesdk</t>
  </si>
  <si>
    <t>SUTRIYAH</t>
  </si>
  <si>
    <t>sutriyah.1974@gmail.com</t>
  </si>
  <si>
    <t>2240</t>
  </si>
  <si>
    <t>1EfYadN1x4hvqzTOnL6FhwffU2LZLYnfh</t>
  </si>
  <si>
    <t>https://drive.google.com/file/d/1EfYadN1x4hvqzTOnL6FhwffU2LZLYnfh/view?usp=drivesdk</t>
  </si>
  <si>
    <t>FREE VHEGA VARUHA, A.Md.S.I</t>
  </si>
  <si>
    <t>vhega008@gmail.com</t>
  </si>
  <si>
    <t>2241</t>
  </si>
  <si>
    <t>1BJjaj7FDf1_KfJzGNBDCdD4eW5yCm9fz</t>
  </si>
  <si>
    <t>https://drive.google.com/file/d/1BJjaj7FDf1_KfJzGNBDCdD4eW5yCm9fz/view?usp=drivesdk</t>
  </si>
  <si>
    <t>RUKMINI SH MSI</t>
  </si>
  <si>
    <t>miensrukmini29@gmail.com</t>
  </si>
  <si>
    <t>2242</t>
  </si>
  <si>
    <t>1msRdPYkDypKvtienooxRqnxogF1TWVqE</t>
  </si>
  <si>
    <t>https://drive.google.com/file/d/1msRdPYkDypKvtienooxRqnxogF1TWVqE/view?usp=drivesdk</t>
  </si>
  <si>
    <t>Document successfully created; Document successfully merged; PDF created; !!Error Sending Emails: Service invoked too many times for one day: email.; Manually run by ecertificate75@gmail.com; Timestamp: Aug 31 2024 3:27 AM</t>
  </si>
  <si>
    <t>DELLI WATI,S.E., M.Si.</t>
  </si>
  <si>
    <t>delliwati@gmail.com</t>
  </si>
  <si>
    <t>2243</t>
  </si>
  <si>
    <t>1534eqqvGTdk04pOB4sL9jeweP-EEq7la</t>
  </si>
  <si>
    <t>https://drive.google.com/file/d/1534eqqvGTdk04pOB4sL9jeweP-EEq7la/view?usp=drivesdk</t>
  </si>
  <si>
    <t>SUMARGONO</t>
  </si>
  <si>
    <t>sumargono172@gmail.com</t>
  </si>
  <si>
    <t>2244</t>
  </si>
  <si>
    <t>1MmhdhXiAHmVetEaWMli0LSRwuZYShomd</t>
  </si>
  <si>
    <t>https://drive.google.com/file/d/1MmhdhXiAHmVetEaWMli0LSRwuZYShomd/view?usp=drivesdk</t>
  </si>
  <si>
    <t>SURYATI SE</t>
  </si>
  <si>
    <t>suryatiyati110@gmail.com</t>
  </si>
  <si>
    <t>2245</t>
  </si>
  <si>
    <t>1uRybAi73QFtd0kQ1w_78VRT6Yqgladu7</t>
  </si>
  <si>
    <t>https://drive.google.com/file/d/1uRybAi73QFtd0kQ1w_78VRT6Yqgladu7/view?usp=drivesdk</t>
  </si>
  <si>
    <t>ROKY AZHARI</t>
  </si>
  <si>
    <t>rokyazhari18@gmail.com</t>
  </si>
  <si>
    <t>2246</t>
  </si>
  <si>
    <t>1OnaMAs5ZxBCQsBR3tByVwwEJ70fZS0d5</t>
  </si>
  <si>
    <t>https://drive.google.com/file/d/1OnaMAs5ZxBCQsBR3tByVwwEJ70fZS0d5/view?usp=drivesdk</t>
  </si>
  <si>
    <t>Document successfully created; Document successfully merged; PDF created; !!Error Sending Emails: Service invoked too many times for one day: email.; Manually run by ecertificate75@gmail.com; Timestamp: Aug 31 2024 3:28 AM</t>
  </si>
  <si>
    <t>SUPARMANTO</t>
  </si>
  <si>
    <t>suparmantoh59@gmail.com</t>
  </si>
  <si>
    <t>2247</t>
  </si>
  <si>
    <t>1IRM_DY0JDGaiqlwUHYqnG9mWf4fZgi21</t>
  </si>
  <si>
    <t>https://drive.google.com/file/d/1IRM_DY0JDGaiqlwUHYqnG9mWf4fZgi21/view?usp=drivesdk</t>
  </si>
  <si>
    <t xml:space="preserve">SUYANTI </t>
  </si>
  <si>
    <t>suyantisuyanti1972@gmail.com</t>
  </si>
  <si>
    <t>2248</t>
  </si>
  <si>
    <t>1NFjLvI3sjdGoTqcCuZnCQ0s8yggCP6DG</t>
  </si>
  <si>
    <t>https://drive.google.com/file/d/1NFjLvI3sjdGoTqcCuZnCQ0s8yggCP6DG/view?usp=drivesdk</t>
  </si>
  <si>
    <t>ENI HELIYANA</t>
  </si>
  <si>
    <t>heliyanaeni@gmail.com</t>
  </si>
  <si>
    <t>2249</t>
  </si>
  <si>
    <t>1aK61uehAhpi-x7arJOnqqi7YrZ8mI7jp</t>
  </si>
  <si>
    <t>https://drive.google.com/file/d/1aK61uehAhpi-x7arJOnqqi7YrZ8mI7jp/view?usp=drivesdk</t>
  </si>
  <si>
    <t>MUHAMMAD RAFI PRATIKA</t>
  </si>
  <si>
    <t>rafi.pratika@gmail.com</t>
  </si>
  <si>
    <t>2250</t>
  </si>
  <si>
    <t>1-8F1AnhgeHDUre1lJiPw7_lasaThkGXl</t>
  </si>
  <si>
    <t>https://drive.google.com/file/d/1-8F1AnhgeHDUre1lJiPw7_lasaThkGXl/view?usp=drivesdk</t>
  </si>
  <si>
    <t>SAEFUDIN, S.E.</t>
  </si>
  <si>
    <t>usaefudin52@gmail.com</t>
  </si>
  <si>
    <t>2251</t>
  </si>
  <si>
    <t>1O_ui23Us1mdLfC5zIsDo6n5d6N9PSfNr</t>
  </si>
  <si>
    <t>https://drive.google.com/file/d/1O_ui23Us1mdLfC5zIsDo6n5d6N9PSfNr/view?usp=drivesdk</t>
  </si>
  <si>
    <t>EKO FERRY HERMANTO</t>
  </si>
  <si>
    <t>eyiyanti@gmail.com</t>
  </si>
  <si>
    <t>2252</t>
  </si>
  <si>
    <t>143V-UGhVLjK8HSWR8nL08fttclaL7KoD</t>
  </si>
  <si>
    <t>https://drive.google.com/file/d/143V-UGhVLjK8HSWR8nL08fttclaL7KoD/view?usp=drivesdk</t>
  </si>
  <si>
    <t>Document successfully created; Document successfully merged; PDF created; !!Error Sending Emails: Service invoked too many times for one day: email.; Manually run by ecertificate75@gmail.com; Timestamp: Aug 31 2024 3:29 AM</t>
  </si>
  <si>
    <t>IKA SUSANTI</t>
  </si>
  <si>
    <t>ikasusanti1180@gmail.com</t>
  </si>
  <si>
    <t>2253</t>
  </si>
  <si>
    <t>1Nsihiz3GJVy3dKoO3dHekHroHDwFZo8J</t>
  </si>
  <si>
    <t>https://drive.google.com/file/d/1Nsihiz3GJVy3dKoO3dHekHroHDwFZo8J/view?usp=drivesdk</t>
  </si>
  <si>
    <t>TRISNAWATI, SARJANA ADMINISTRASI PUBLIK</t>
  </si>
  <si>
    <t>trisna84_rara@yahoo.com</t>
  </si>
  <si>
    <t>2254</t>
  </si>
  <si>
    <t>123K2UZPSCsqJ4gqLPt7_-XBd6NpkwcIL</t>
  </si>
  <si>
    <t>https://drive.google.com/file/d/123K2UZPSCsqJ4gqLPt7_-XBd6NpkwcIL/view?usp=drivesdk</t>
  </si>
  <si>
    <t>DAHNIAR</t>
  </si>
  <si>
    <t>dahniarse@gmail.com</t>
  </si>
  <si>
    <t>2255</t>
  </si>
  <si>
    <t>1mZaNxZMvS9SbbD7Ts-mFSqGPBVy_l0g7</t>
  </si>
  <si>
    <t>https://drive.google.com/file/d/1mZaNxZMvS9SbbD7Ts-mFSqGPBVy_l0g7/view?usp=drivesdk</t>
  </si>
  <si>
    <t>MARIA ULFA</t>
  </si>
  <si>
    <t>mariaulfaspn23@gmail.com</t>
  </si>
  <si>
    <t>2256</t>
  </si>
  <si>
    <t>1zR2CK_NhVK1BR_HM7L7poIHdYJInYo96</t>
  </si>
  <si>
    <t>https://drive.google.com/file/d/1zR2CK_NhVK1BR_HM7L7poIHdYJInYo96/view?usp=drivesdk</t>
  </si>
  <si>
    <t>Rina Kusuma Wardani</t>
  </si>
  <si>
    <t>rinakusumawardani313@gmail.com</t>
  </si>
  <si>
    <t>2257</t>
  </si>
  <si>
    <t>1PqRKCG0fJiCzXv4cv3egb6sHyr7jSUNf</t>
  </si>
  <si>
    <t>https://drive.google.com/file/d/1PqRKCG0fJiCzXv4cv3egb6sHyr7jSUNf/view?usp=drivesdk</t>
  </si>
  <si>
    <t>Document successfully created; Document successfully merged; PDF created; !!Error Sending Emails: Service invoked too many times for one day: email.; Manually run by ecertificate75@gmail.com; Timestamp: Aug 31 2024 3:30 AM</t>
  </si>
  <si>
    <t>ERMA SUTI NASUTION</t>
  </si>
  <si>
    <t>ermasutinasution26@gmail.com</t>
  </si>
  <si>
    <t>2258</t>
  </si>
  <si>
    <t>1EcIJ3afbrnkG4tTcbupASn6xCJ4IS_qJ</t>
  </si>
  <si>
    <t>https://drive.google.com/file/d/1EcIJ3afbrnkG4tTcbupASn6xCJ4IS_qJ/view?usp=drivesdk</t>
  </si>
  <si>
    <t xml:space="preserve">SUSANTI </t>
  </si>
  <si>
    <t>nayra.saputri23@gmail.com</t>
  </si>
  <si>
    <t>2259</t>
  </si>
  <si>
    <t>1uhMGo01XleDMVYpd2kpD8jNEVM0Rzzvl</t>
  </si>
  <si>
    <t>https://drive.google.com/file/d/1uhMGo01XleDMVYpd2kpD8jNEVM0Rzzvl/view?usp=drivesdk</t>
  </si>
  <si>
    <t>MOCH JUHARIYADI</t>
  </si>
  <si>
    <t>mochjuhariyadi@gmail.com</t>
  </si>
  <si>
    <t>2260</t>
  </si>
  <si>
    <t>1XlLOO6Z6dKS5qSAevH9WVDMRo3S8IauL</t>
  </si>
  <si>
    <t>https://drive.google.com/file/d/1XlLOO6Z6dKS5qSAevH9WVDMRo3S8IauL/view?usp=drivesdk</t>
  </si>
  <si>
    <t>YASINIARTI, A.MD.KG</t>
  </si>
  <si>
    <t>yasiniarti@gmail.com</t>
  </si>
  <si>
    <t>2261</t>
  </si>
  <si>
    <t>https://drive.google.com/file/d/1xiTEwxxzrY_Wh6iXpkpIVv9iR6x6ULTk/view?usp=drivesdk</t>
  </si>
  <si>
    <t>1xiTEwxxzrY_Wh6iXpkpIVv9iR6x6ULTk</t>
  </si>
  <si>
    <t>13pl-RwtYM8ABJAXMXxz6A3c1qCNAZqhm</t>
  </si>
  <si>
    <t>https://drive.google.com/file/d/13pl-RwtYM8ABJAXMXxz6A3c1qCNAZqhm/view?usp=drivesdk</t>
  </si>
  <si>
    <t>NURSEHAN</t>
  </si>
  <si>
    <t>Nursehann01@gmail.com</t>
  </si>
  <si>
    <t>2262</t>
  </si>
  <si>
    <t>https://drive.google.com/file/d/1lzHQoYCgWq9jKbqao1IEcSMpglB458DC/view?usp=drivesdk</t>
  </si>
  <si>
    <t>1lzHQoYCgWq9jKbqao1IEcSMpglB458DC</t>
  </si>
  <si>
    <t>1V8GEZDNf0a-wlTTGX2X8ZvpoqPVWHtkv</t>
  </si>
  <si>
    <t>https://drive.google.com/file/d/1V8GEZDNf0a-wlTTGX2X8ZvpoqPVWHtkv/view?usp=drivesdk</t>
  </si>
  <si>
    <t>Document successfully created; Document successfully merged; PDF created; !!Error Sending Emails: Service invoked too many times for one day: email.; Manually run by ecertificate75@gmail.com; Timestamp: Aug 31 2024 3:31 AM</t>
  </si>
  <si>
    <t>SAFRI,S.KOM.,M.M</t>
  </si>
  <si>
    <t>fachrulsafri12@gmail.com</t>
  </si>
  <si>
    <t>2263</t>
  </si>
  <si>
    <t>https://drive.google.com/file/d/1FIc5PR0ZIEjt4JO_KjfwBGT71Of1Z3AP/view?usp=drivesdk</t>
  </si>
  <si>
    <t>1FIc5PR0ZIEjt4JO_KjfwBGT71Of1Z3AP</t>
  </si>
  <si>
    <t>1HbJJOv8jJCetCaZqWS9QXF2AbxJU0-u6</t>
  </si>
  <si>
    <t>https://drive.google.com/file/d/1HbJJOv8jJCetCaZqWS9QXF2AbxJU0-u6/view?usp=drivesdk</t>
  </si>
  <si>
    <t>FITRATUL HAYATI</t>
  </si>
  <si>
    <t>fitratulhayati05@gmail.com</t>
  </si>
  <si>
    <t>2264</t>
  </si>
  <si>
    <t>https://drive.google.com/file/d/1PLCyHyL8lnapy2f3RQ6A3bJLtkeXZYD8/view?usp=drivesdk</t>
  </si>
  <si>
    <t>1PLCyHyL8lnapy2f3RQ6A3bJLtkeXZYD8</t>
  </si>
  <si>
    <t>1xwMgmbTTP2bV-AaR10baIOchXNHNpLbC</t>
  </si>
  <si>
    <t>https://drive.google.com/file/d/1xwMgmbTTP2bV-AaR10baIOchXNHNpLbC/view?usp=drivesdk</t>
  </si>
  <si>
    <t>KEMAL IDRIS,S.T.</t>
  </si>
  <si>
    <t>mahardhika1409@gmail.com</t>
  </si>
  <si>
    <t>2265</t>
  </si>
  <si>
    <t>Starting at Thu Aug 29 2024 21:10:47 GMT-0400 (EDT)</t>
  </si>
  <si>
    <t>1RPT6Z7MTDr31pWb_RhMSRNNEcGC7D_c-</t>
  </si>
  <si>
    <t>https://drive.google.com/file/d/1RPT6Z7MTDr31pWb_RhMSRNNEcGC7D_c-/view?usp=drivesdk</t>
  </si>
  <si>
    <t>MAYA SOPA, S.E.</t>
  </si>
  <si>
    <t>mayasofa063@gmail.com</t>
  </si>
  <si>
    <t>2266</t>
  </si>
  <si>
    <t>11wpAS1cyF2IBlzd8ETsU4dkcBK5tijiZ</t>
  </si>
  <si>
    <t>https://drive.google.com/file/d/11wpAS1cyF2IBlzd8ETsU4dkcBK5tijiZ/view?usp=drivesdk</t>
  </si>
  <si>
    <t>NURHASANAH</t>
  </si>
  <si>
    <t>nurhasanahfirdausi@gmail.com</t>
  </si>
  <si>
    <t>2267</t>
  </si>
  <si>
    <t>1pETO05Rx6zPnNjiz8kq9OK6IlBV0YnVa</t>
  </si>
  <si>
    <t>https://drive.google.com/file/d/1pETO05Rx6zPnNjiz8kq9OK6IlBV0YnVa/view?usp=drivesdk</t>
  </si>
  <si>
    <t>Document successfully created; Document successfully merged; PDF created; !!Error Sending Emails: Service invoked too many times for one day: email.; Manually run by ecertificate75@gmail.com; Timestamp: Aug 31 2024 3:32 AM</t>
  </si>
  <si>
    <t>SOPIYAN</t>
  </si>
  <si>
    <t>sopiyansbg@gmail.com</t>
  </si>
  <si>
    <t>2268</t>
  </si>
  <si>
    <t>1EirQPj1AB2yUdGiU9KLw4udhktrH__H2</t>
  </si>
  <si>
    <t>https://drive.google.com/file/d/1EirQPj1AB2yUdGiU9KLw4udhktrH__H2/view?usp=drivesdk</t>
  </si>
  <si>
    <t>IIS JUBAEDAH</t>
  </si>
  <si>
    <t>iisdj66@gmail.com</t>
  </si>
  <si>
    <t>2269</t>
  </si>
  <si>
    <t>https://drive.google.com/file/d/1P8of4Y2sMsQnWjgl5JvxkpXtjAm27Zzp/view?usp=drivesdk</t>
  </si>
  <si>
    <t>1P8of4Y2sMsQnWjgl5JvxkpXtjAm27Zzp</t>
  </si>
  <si>
    <t>1t_GnJHnO0qOh3VsCRtqokk-9opMq5lKv</t>
  </si>
  <si>
    <t>https://drive.google.com/file/d/1t_GnJHnO0qOh3VsCRtqokk-9opMq5lKv/view?usp=drivesdk</t>
  </si>
  <si>
    <t>aMRIN KHARIRI</t>
  </si>
  <si>
    <t>amrinkhariri@yahoo.com</t>
  </si>
  <si>
    <t>2270</t>
  </si>
  <si>
    <t>https://drive.google.com/file/d/1nblvLIpO9IY3A6WtIbYz7HyLMJb2w9SA/view?usp=drivesdk</t>
  </si>
  <si>
    <t>1nblvLIpO9IY3A6WtIbYz7HyLMJb2w9SA</t>
  </si>
  <si>
    <t>1CKm2wz7721jTFJvexdkkOQkPVobMIzFE</t>
  </si>
  <si>
    <t>https://drive.google.com/file/d/1CKm2wz7721jTFJvexdkkOQkPVobMIzFE/view?usp=drivesdk</t>
  </si>
  <si>
    <t>SUSI SUKMAWATI, A.Md.</t>
  </si>
  <si>
    <t>siesie1110@gmail.com</t>
  </si>
  <si>
    <t>2271</t>
  </si>
  <si>
    <t>https://drive.google.com/file/d/1G1byewpBt4fto3FcXb27pAazr72Kvznd/view?usp=drivesdk</t>
  </si>
  <si>
    <t>1G1byewpBt4fto3FcXb27pAazr72Kvznd</t>
  </si>
  <si>
    <t>1tjmX35-GzZ9sCdFMIFThFnF3dvZTAA8Z</t>
  </si>
  <si>
    <t>https://drive.google.com/file/d/1tjmX35-GzZ9sCdFMIFThFnF3dvZTAA8Z/view?usp=drivesdk</t>
  </si>
  <si>
    <t>INDRA RAHADIYAN, ST</t>
  </si>
  <si>
    <t>indrarahadiyan@gmail.com</t>
  </si>
  <si>
    <t>2272</t>
  </si>
  <si>
    <t>https://drive.google.com/file/d/1jWe098vdkZFlSv93Hn0t6CUGlVXdBEok/view?usp=drivesdk</t>
  </si>
  <si>
    <t>1jWe098vdkZFlSv93Hn0t6CUGlVXdBEok</t>
  </si>
  <si>
    <t>1bUq1BSMSntBKfpSAg5n-rri0V9eAmJjR</t>
  </si>
  <si>
    <t>https://drive.google.com/file/d/1bUq1BSMSntBKfpSAg5n-rri0V9eAmJjR/view?usp=drivesdk</t>
  </si>
  <si>
    <t>RISDAYANTI</t>
  </si>
  <si>
    <t>rizdchaca@gmail.com</t>
  </si>
  <si>
    <t>2273</t>
  </si>
  <si>
    <t>https://drive.google.com/file/d/152EpaaYfLuXiwwZbPmCJT_N6-59ln9TB/view?usp=drivesdk</t>
  </si>
  <si>
    <t>152EpaaYfLuXiwwZbPmCJT_N6-59ln9TB</t>
  </si>
  <si>
    <t>14I3ZkoJ_ziRco0n1DGGjtB5JM6Est9KL</t>
  </si>
  <si>
    <t>https://drive.google.com/file/d/14I3ZkoJ_ziRco0n1DGGjtB5JM6Est9KL/view?usp=drivesdk</t>
  </si>
  <si>
    <t>Document successfully created; Document successfully merged; PDF created; !!Error Sending Emails: Service invoked too many times for one day: email.; Manually run by ecertificate75@gmail.com; Timestamp: Aug 31 2024 3:33 AM</t>
  </si>
  <si>
    <t>NUNIK KARYATI,S.Sos</t>
  </si>
  <si>
    <t>nunik.karyati@gmail.com</t>
  </si>
  <si>
    <t>2274</t>
  </si>
  <si>
    <t>https://drive.google.com/file/d/1QDh0JnO5iSsSqIjwBw4h6DrHObu-Qkp6/view?usp=drivesdk</t>
  </si>
  <si>
    <t>1QDh0JnO5iSsSqIjwBw4h6DrHObu-Qkp6</t>
  </si>
  <si>
    <t>1m1zTq4Y1qXzzJNayjzrUf_q4Mj_1HP1Y</t>
  </si>
  <si>
    <t>https://drive.google.com/file/d/1m1zTq4Y1qXzzJNayjzrUf_q4Mj_1HP1Y/view?usp=drivesdk</t>
  </si>
  <si>
    <t>PUTRI SAKINA NUR AWALIYAH</t>
  </si>
  <si>
    <t>psakina22@gmail.com</t>
  </si>
  <si>
    <t>2275</t>
  </si>
  <si>
    <t>1pq9IrmpQy7qFojw-AvOtk3EeBukAI0FH</t>
  </si>
  <si>
    <t>https://drive.google.com/file/d/1pq9IrmpQy7qFojw-AvOtk3EeBukAI0FH/view?usp=drivesdk</t>
  </si>
  <si>
    <t>PARTINI IFA, S.E.</t>
  </si>
  <si>
    <t>ifajokowi@gmail.com</t>
  </si>
  <si>
    <t>2276</t>
  </si>
  <si>
    <t>1BK9gQxbCEWTnsTx3XZ2iypjkAbl3uaKQ</t>
  </si>
  <si>
    <t>https://drive.google.com/file/d/1BK9gQxbCEWTnsTx3XZ2iypjkAbl3uaKQ/view?usp=drivesdk</t>
  </si>
  <si>
    <t>SUPRAPTI</t>
  </si>
  <si>
    <t>prapticandi@gmail.com</t>
  </si>
  <si>
    <t>2277</t>
  </si>
  <si>
    <t>1DZbprExEnEoCTYDAidSN_eyXU7lGK5XG</t>
  </si>
  <si>
    <t>https://drive.google.com/file/d/1DZbprExEnEoCTYDAidSN_eyXU7lGK5XG/view?usp=drivesdk</t>
  </si>
  <si>
    <t>SLAMET</t>
  </si>
  <si>
    <t>slametraharjo151@gmail.com</t>
  </si>
  <si>
    <t>2278</t>
  </si>
  <si>
    <t>1mQFcVqeEJ_Dxji9SqS_mT5CRFEvcD_Gm</t>
  </si>
  <si>
    <t>https://drive.google.com/file/d/1mQFcVqeEJ_Dxji9SqS_mT5CRFEvcD_Gm/view?usp=drivesdk</t>
  </si>
  <si>
    <t>Document successfully created; Document successfully merged; PDF created; !!Error Sending Emails: Service invoked too many times for one day: email.; Manually run by ecertificate75@gmail.com; Timestamp: Aug 31 2024 3:34 AM</t>
  </si>
  <si>
    <t>SUPRIYADI</t>
  </si>
  <si>
    <t>supri3616@gmail.com</t>
  </si>
  <si>
    <t>2279</t>
  </si>
  <si>
    <t>1dMw5dRotKNy645bhy7iSCXifMUdfMTVf</t>
  </si>
  <si>
    <t>https://drive.google.com/file/d/1dMw5dRotKNy645bhy7iSCXifMUdfMTVf/view?usp=drivesdk</t>
  </si>
  <si>
    <t>Sri Rahayu Yuniarti</t>
  </si>
  <si>
    <t>rsrirahayu562@gmail.com</t>
  </si>
  <si>
    <t>2280</t>
  </si>
  <si>
    <t>13MdwG-IsD7MAjI0RRUP9pOJPPhjoW_pn</t>
  </si>
  <si>
    <t>https://drive.google.com/file/d/13MdwG-IsD7MAjI0RRUP9pOJPPhjoW_pn/view?usp=drivesdk</t>
  </si>
  <si>
    <t>SUWARTONO</t>
  </si>
  <si>
    <t>suwartonos59@gmail.com</t>
  </si>
  <si>
    <t>2281</t>
  </si>
  <si>
    <t>1AE9LIRCYDkIpaABN8cdaA8HYUxeI33qS</t>
  </si>
  <si>
    <t>https://drive.google.com/file/d/1AE9LIRCYDkIpaABN8cdaA8HYUxeI33qS/view?usp=drivesdk</t>
  </si>
  <si>
    <t>SELVIANI,S.AP</t>
  </si>
  <si>
    <t>selviani0186@gmail.com</t>
  </si>
  <si>
    <t>2282</t>
  </si>
  <si>
    <t>1fY0_Qc-r1-367iNlTZZJOHhFHIq2-E5q</t>
  </si>
  <si>
    <t>https://drive.google.com/file/d/1fY0_Qc-r1-367iNlTZZJOHhFHIq2-E5q/view?usp=drivesdk</t>
  </si>
  <si>
    <t>YUHERLIS</t>
  </si>
  <si>
    <t>2283</t>
  </si>
  <si>
    <t>1ttKpRD7dyN7Aed3pFH9X5IAydEgSQeXi</t>
  </si>
  <si>
    <t>https://drive.google.com/file/d/1ttKpRD7dyN7Aed3pFH9X5IAydEgSQeXi/view?usp=drivesdk</t>
  </si>
  <si>
    <t>Document successfully created; Document successfully merged; PDF created; !!Error Sending Emails: Service invoked too many times for one day: email.; Manually run by ecertificate75@gmail.com; Timestamp: Aug 31 2024 3:35 AM</t>
  </si>
  <si>
    <t>HUBERTUS PURWANTO</t>
  </si>
  <si>
    <t>hubertus.purwanto1966@gmail.com</t>
  </si>
  <si>
    <t>2284</t>
  </si>
  <si>
    <t>14PBMpnyzsYbhhoVKXiHZzWTOoabl44DB</t>
  </si>
  <si>
    <t>https://drive.google.com/file/d/14PBMpnyzsYbhhoVKXiHZzWTOoabl44DB/view?usp=drivesdk</t>
  </si>
  <si>
    <t>DODIK SUWANTO</t>
  </si>
  <si>
    <t>pengdadodik@gmail.com</t>
  </si>
  <si>
    <t>2285</t>
  </si>
  <si>
    <t>10cIjsG7tRSkK7BWf-nNB_CyylrWQXa-I</t>
  </si>
  <si>
    <t>https://drive.google.com/file/d/10cIjsG7tRSkK7BWf-nNB_CyylrWQXa-I/view?usp=drivesdk</t>
  </si>
  <si>
    <t>HORI SUPRIADI</t>
  </si>
  <si>
    <t>horisupriadi1@yahoo.com</t>
  </si>
  <si>
    <t>2286</t>
  </si>
  <si>
    <t>1odyJ1q5qr_etIQ5LS5Fm7o6H_9BLrB-_</t>
  </si>
  <si>
    <t>https://drive.google.com/file/d/1odyJ1q5qr_etIQ5LS5Fm7o6H_9BLrB-_/view?usp=drivesdk</t>
  </si>
  <si>
    <t>dr. SAFNIZAL</t>
  </si>
  <si>
    <t>isalsafnizal@yahoo.com</t>
  </si>
  <si>
    <t>2287</t>
  </si>
  <si>
    <t>1qRrbcZ5B0Xdibz36DNiNR5LiStjKmuhy</t>
  </si>
  <si>
    <t>https://drive.google.com/file/d/1qRrbcZ5B0Xdibz36DNiNR5LiStjKmuhy/view?usp=drivesdk</t>
  </si>
  <si>
    <t>NANANG PRAMONO</t>
  </si>
  <si>
    <t>nanangpramono16@gmail.com</t>
  </si>
  <si>
    <t>2288</t>
  </si>
  <si>
    <t>1ZUNADiMLra2mYaorXKXTuzLogSqPoNz0</t>
  </si>
  <si>
    <t>https://drive.google.com/file/d/1ZUNADiMLra2mYaorXKXTuzLogSqPoNz0/view?usp=drivesdk</t>
  </si>
  <si>
    <t>Document successfully created; Document successfully merged; PDF created; !!Error Sending Emails: Service invoked too many times for one day: email.; Manually run by ecertificate75@gmail.com; Timestamp: Aug 31 2024 3:36 AM</t>
  </si>
  <si>
    <t>AGUSG UNAWAN</t>
  </si>
  <si>
    <t>gopeagus77@gmai.com</t>
  </si>
  <si>
    <t>2289</t>
  </si>
  <si>
    <t>1kLKMBiTyYHU45pdJ7hKpBtBbSLjugwka</t>
  </si>
  <si>
    <t>https://drive.google.com/file/d/1kLKMBiTyYHU45pdJ7hKpBtBbSLjugwka/view?usp=drivesdk</t>
  </si>
  <si>
    <t>DIAN HENDRAWATI</t>
  </si>
  <si>
    <t>dianhendrawati1@gmail.com</t>
  </si>
  <si>
    <t>2290</t>
  </si>
  <si>
    <t>1ttb8MlNSHIiWX_1cYju38sRkwGR8YTEa</t>
  </si>
  <si>
    <t>https://drive.google.com/file/d/1ttb8MlNSHIiWX_1cYju38sRkwGR8YTEa/view?usp=drivesdk</t>
  </si>
  <si>
    <t>FEBRI INKA MANDASARI, S.Psi</t>
  </si>
  <si>
    <t>febriinkamandasari@gmail.com</t>
  </si>
  <si>
    <t>2291</t>
  </si>
  <si>
    <t>1hWKThC0ySiAjmnZp6GhVIFXFSWX28Nx9</t>
  </si>
  <si>
    <t>https://drive.google.com/file/d/1hWKThC0ySiAjmnZp6GhVIFXFSWX28Nx9/view?usp=drivesdk</t>
  </si>
  <si>
    <t>ISTRI WULANDARI</t>
  </si>
  <si>
    <t>istriwulandari@students.unnes.ac.id</t>
  </si>
  <si>
    <t>2292</t>
  </si>
  <si>
    <t>1o7Rv414CkiaOP5Gnk7GJuV-yscwuD45A</t>
  </si>
  <si>
    <t>https://drive.google.com/file/d/1o7Rv414CkiaOP5Gnk7GJuV-yscwuD45A/view?usp=drivesdk</t>
  </si>
  <si>
    <t>tiniwartini68@gmail.com</t>
  </si>
  <si>
    <t>2293</t>
  </si>
  <si>
    <t>1o4KVKGo98tDjpUc0X-k8wMuT7eVbnODh</t>
  </si>
  <si>
    <t>https://drive.google.com/file/d/1o4KVKGo98tDjpUc0X-k8wMuT7eVbnODh/view?usp=drivesdk</t>
  </si>
  <si>
    <t>Document successfully created; Document successfully merged; PDF created; !!Error Sending Emails: Service invoked too many times for one day: email.; Manually run by ecertificate75@gmail.com; Timestamp: Aug 31 2024 3:37 AM</t>
  </si>
  <si>
    <t>PANGESTUTI</t>
  </si>
  <si>
    <t>pangestutiestu@gmail.com</t>
  </si>
  <si>
    <t>2294</t>
  </si>
  <si>
    <t>https://drive.google.com/file/d/1y4bEtdQTLO9JUXYDBYK_q6xgIaaGSnbQ/view?usp=drivesdk</t>
  </si>
  <si>
    <t>1y4bEtdQTLO9JUXYDBYK_q6xgIaaGSnbQ</t>
  </si>
  <si>
    <t>19ERV01SmHFrrVweP-x5dC3SIlKeYqADM</t>
  </si>
  <si>
    <t>https://drive.google.com/file/d/19ERV01SmHFrrVweP-x5dC3SIlKeYqADM/view?usp=drivesdk</t>
  </si>
  <si>
    <t xml:space="preserve">ENDANG SUMIATI </t>
  </si>
  <si>
    <t>sumiatiendang27@gmail.com</t>
  </si>
  <si>
    <t>2295</t>
  </si>
  <si>
    <t>https://drive.google.com/file/d/1WE0x45DMBbtaPHSyUtvvozWis3uoWLHA/view?usp=drivesdk</t>
  </si>
  <si>
    <t>1WE0x45DMBbtaPHSyUtvvozWis3uoWLHA</t>
  </si>
  <si>
    <t>116gOdFaQ8u2hqaAKMh88-Qsf7xvPceOb</t>
  </si>
  <si>
    <t>https://drive.google.com/file/d/116gOdFaQ8u2hqaAKMh88-Qsf7xvPceOb/view?usp=drivesdk</t>
  </si>
  <si>
    <t>MIFTACHUL MA'ARIF Amd Kep</t>
  </si>
  <si>
    <t>miftahbiker@gmail.com</t>
  </si>
  <si>
    <t>2296</t>
  </si>
  <si>
    <t>https://drive.google.com/file/d/1hI8jEtH17yaqj-KRED1w_KOO6XcW4LVa/view?usp=drivesdk</t>
  </si>
  <si>
    <t>1hI8jEtH17yaqj-KRED1w_KOO6XcW4LVa</t>
  </si>
  <si>
    <t>1TQQa9kPt0483B0zeeHmB9LpOu3lEKrlp</t>
  </si>
  <si>
    <t>https://drive.google.com/file/d/1TQQa9kPt0483B0zeeHmB9LpOu3lEKrlp/view?usp=drivesdk</t>
  </si>
  <si>
    <t>FUADI NOOR</t>
  </si>
  <si>
    <t>fuadinoor58@gmail.com</t>
  </si>
  <si>
    <t>2297</t>
  </si>
  <si>
    <t>https://drive.google.com/file/d/1h9ITuv5RmLxX5jyXgRFuNFEC33yBi8s0/view?usp=drivesdk</t>
  </si>
  <si>
    <t>1h9ITuv5RmLxX5jyXgRFuNFEC33yBi8s0</t>
  </si>
  <si>
    <t>1KnN4jIkPMLSiQ6a_4_NCAbSNcLXg8S4s</t>
  </si>
  <si>
    <t>https://drive.google.com/file/d/1KnN4jIkPMLSiQ6a_4_NCAbSNcLXg8S4s/view?usp=drivesdk</t>
  </si>
  <si>
    <t>EVI NOPIYANTI</t>
  </si>
  <si>
    <t>nopiyantievi2@gmail.com</t>
  </si>
  <si>
    <t>2298</t>
  </si>
  <si>
    <t>https://drive.google.com/file/d/1IOvn2-1GboAl-s0Xq_AOwyJ6g6pwnj__/view?usp=drivesdk</t>
  </si>
  <si>
    <t>1IOvn2-1GboAl-s0Xq_AOwyJ6g6pwnj__</t>
  </si>
  <si>
    <t>1IHL04mLfAL6tvDB-je4CVxy_RRNqcfBm</t>
  </si>
  <si>
    <t>https://drive.google.com/file/d/1IHL04mLfAL6tvDB-je4CVxy_RRNqcfBm/view?usp=drivesdk</t>
  </si>
  <si>
    <t>BAYU ARDHI PUTRA, S.Kom.</t>
  </si>
  <si>
    <t>bubye.poetra85@gmail.com</t>
  </si>
  <si>
    <t>2299</t>
  </si>
  <si>
    <t>https://drive.google.com/file/d/1d98CKOM3ALEPLoYhMIObdgFZY_khA5ze/view?usp=drivesdk</t>
  </si>
  <si>
    <t>1d98CKOM3ALEPLoYhMIObdgFZY_khA5ze</t>
  </si>
  <si>
    <t>1yEiXq7XWMTArwArRpy3ipeX5MCi4RI1v</t>
  </si>
  <si>
    <t>https://drive.google.com/file/d/1yEiXq7XWMTArwArRpy3ipeX5MCi4RI1v/view?usp=drivesdk</t>
  </si>
  <si>
    <t>Document successfully created; Document successfully merged; PDF created; !!Error Sending Emails: Service invoked too many times for one day: email.; Manually run by ecertificate75@gmail.com; Timestamp: Aug 31 2024 3:38 AM</t>
  </si>
  <si>
    <t>SYLVIA ELOK WIDARI, S.KEP</t>
  </si>
  <si>
    <t>sylviaelok1982@gmail.com</t>
  </si>
  <si>
    <t>2300</t>
  </si>
  <si>
    <t>Starting at Thu Aug 29 2024 21:09:15 GMT-0400 (EDT)</t>
  </si>
  <si>
    <t>1WDCiNZg_GLnfwa9rfHzcNdF3ayB5rASL</t>
  </si>
  <si>
    <t>https://drive.google.com/file/d/1WDCiNZg_GLnfwa9rfHzcNdF3ayB5rASL/view?usp=drivesdk</t>
  </si>
  <si>
    <t>YENI ASTUTI</t>
  </si>
  <si>
    <t>yeniastutilogistik@gmail.com</t>
  </si>
  <si>
    <t>2301</t>
  </si>
  <si>
    <t>1BuiT18i9RhegPYxbK2eX005wXPatpZpA</t>
  </si>
  <si>
    <t>https://drive.google.com/file/d/1BuiT18i9RhegPYxbK2eX005wXPatpZpA/view?usp=drivesdk</t>
  </si>
  <si>
    <t>HARTATY PEBRIYANTI LUMBAN TOBING</t>
  </si>
  <si>
    <t>hartatyronisimanjuntak36@gmail.com</t>
  </si>
  <si>
    <t>2302</t>
  </si>
  <si>
    <t>1MFYo05iCMaxOE16MXM2hKN8t-rVic0Yb</t>
  </si>
  <si>
    <t>https://drive.google.com/file/d/1MFYo05iCMaxOE16MXM2hKN8t-rVic0Yb/view?usp=drivesdk</t>
  </si>
  <si>
    <t>LIA MARINI, S.P., M.H.</t>
  </si>
  <si>
    <t>riniburhanchinaga@gmail.com</t>
  </si>
  <si>
    <t>2303</t>
  </si>
  <si>
    <t>1guhBykh8Q9PCB1X6n0Vb5uHHYKnE5iD0</t>
  </si>
  <si>
    <t>https://drive.google.com/file/d/1guhBykh8Q9PCB1X6n0Vb5uHHYKnE5iD0/view?usp=drivesdk</t>
  </si>
  <si>
    <t>HESTI DIARMIN</t>
  </si>
  <si>
    <t>hessty48@gmail.com</t>
  </si>
  <si>
    <t>2304</t>
  </si>
  <si>
    <t>1FcL561641TTQ_PjZUFY7MaR06Obpy4TH</t>
  </si>
  <si>
    <t>https://drive.google.com/file/d/1FcL561641TTQ_PjZUFY7MaR06Obpy4TH/view?usp=drivesdk</t>
  </si>
  <si>
    <t>dr. UMMI FADILAH</t>
  </si>
  <si>
    <t>fadilahummi@yahoo.com</t>
  </si>
  <si>
    <t>2305</t>
  </si>
  <si>
    <t>1zB1Zx9c5GtqEWWhigG75xyS7v7vT5GZk</t>
  </si>
  <si>
    <t>https://drive.google.com/file/d/1zB1Zx9c5GtqEWWhigG75xyS7v7vT5GZk/view?usp=drivesdk</t>
  </si>
  <si>
    <t>Document successfully created; Document successfully merged; PDF created; !!Error Sending Emails: Service invoked too many times for one day: email.; Manually run by ecertificate75@gmail.com; Timestamp: Aug 31 2024 3:39 AM</t>
  </si>
  <si>
    <t>DR. DEVONA AZARIA MARDATILLA</t>
  </si>
  <si>
    <t>vonaazaria@yahoo.com</t>
  </si>
  <si>
    <t>2306</t>
  </si>
  <si>
    <t>1vispCiQNP8IIwC1fU38AIeVMvvmmNO6o</t>
  </si>
  <si>
    <t>https://drive.google.com/file/d/1vispCiQNP8IIwC1fU38AIeVMvvmmNO6o/view?usp=drivesdk</t>
  </si>
  <si>
    <t>ZENI PARYATUN</t>
  </si>
  <si>
    <t>zeni78paryatun@gmail.com</t>
  </si>
  <si>
    <t>2307</t>
  </si>
  <si>
    <t>1wNNNZye3LRYIHs2sUSe_pLjpJf5XDlYb</t>
  </si>
  <si>
    <t>https://drive.google.com/file/d/1wNNNZye3LRYIHs2sUSe_pLjpJf5XDlYb/view?usp=drivesdk</t>
  </si>
  <si>
    <t>NGATMO</t>
  </si>
  <si>
    <t>ngatmoyanma@gmail.com</t>
  </si>
  <si>
    <t>2308</t>
  </si>
  <si>
    <t>1ksEwOewF8vit28PmgGDrQUC0BXSh9Nx2</t>
  </si>
  <si>
    <t>https://drive.google.com/file/d/1ksEwOewF8vit28PmgGDrQUC0BXSh9Nx2/view?usp=drivesdk</t>
  </si>
  <si>
    <t>ACHMAD YADI</t>
  </si>
  <si>
    <t>masachmadyadi@gmail.com</t>
  </si>
  <si>
    <t>2309</t>
  </si>
  <si>
    <t>1D6fwgOJIwXjab4pLB_eibIGun3BnSRMj</t>
  </si>
  <si>
    <t>https://drive.google.com/file/d/1D6fwgOJIwXjab4pLB_eibIGun3BnSRMj/view?usp=drivesdk</t>
  </si>
  <si>
    <t>RINI SUMARTINI</t>
  </si>
  <si>
    <t>rinisumartinid61@gmail.com</t>
  </si>
  <si>
    <t>2310</t>
  </si>
  <si>
    <t>1YPk-VtI2MKvjEm0ehYaYKxbK16cWwUR_</t>
  </si>
  <si>
    <t>https://drive.google.com/file/d/1YPk-VtI2MKvjEm0ehYaYKxbK16cWwUR_/view?usp=drivesdk</t>
  </si>
  <si>
    <t>FITRI YANTI</t>
  </si>
  <si>
    <t>fitrizifi86@gmail.com</t>
  </si>
  <si>
    <t>2311</t>
  </si>
  <si>
    <t>17YI0nNiEHjGemBrf2RE76LFJtD3VbZhL</t>
  </si>
  <si>
    <t>https://drive.google.com/file/d/17YI0nNiEHjGemBrf2RE76LFJtD3VbZhL/view?usp=drivesdk</t>
  </si>
  <si>
    <t>Document successfully created; Document successfully merged; PDF created; !!Error Sending Emails: Service invoked too many times for one day: email.; Manually run by ecertificate75@gmail.com; Timestamp: Aug 31 2024 3:40 AM</t>
  </si>
  <si>
    <t>RISMA ARDANI, S.KOM</t>
  </si>
  <si>
    <t>risma.ardani56@gmail.com</t>
  </si>
  <si>
    <t>2312</t>
  </si>
  <si>
    <t>1tRPhTTUWtEwJCBSjplMPg52mmk-kLuWA</t>
  </si>
  <si>
    <t>https://drive.google.com/file/d/1tRPhTTUWtEwJCBSjplMPg52mmk-kLuWA/view?usp=drivesdk</t>
  </si>
  <si>
    <t>ANISA RACHMAYANI, A. Md. Farm</t>
  </si>
  <si>
    <t>anisarachmayani23@gmail.com</t>
  </si>
  <si>
    <t>2313</t>
  </si>
  <si>
    <t>1WPliZ9UW_D7SmyuLXsjczqo66rKH-V8P</t>
  </si>
  <si>
    <t>https://drive.google.com/file/d/1WPliZ9UW_D7SmyuLXsjczqo66rKH-V8P/view?usp=drivesdk</t>
  </si>
  <si>
    <t>BUDI ACHYADI</t>
  </si>
  <si>
    <t>budiyadi1976@gmail.com</t>
  </si>
  <si>
    <t>2314</t>
  </si>
  <si>
    <t>167PVjL1b-uZS5No4ycUBXGPY5z6zP7FH</t>
  </si>
  <si>
    <t>https://drive.google.com/file/d/167PVjL1b-uZS5No4ycUBXGPY5z6zP7FH/view?usp=drivesdk</t>
  </si>
  <si>
    <t>BURHANUDIN, S.E.</t>
  </si>
  <si>
    <t>burhanudinuhan@gmail.com</t>
  </si>
  <si>
    <t>2315</t>
  </si>
  <si>
    <t>1MKKCc9wP9sxGbhjtBrKJfCLeMZ4f124H</t>
  </si>
  <si>
    <t>https://drive.google.com/file/d/1MKKCc9wP9sxGbhjtBrKJfCLeMZ4f124H/view?usp=drivesdk</t>
  </si>
  <si>
    <t>RUMYATI</t>
  </si>
  <si>
    <t>rumyatipices@gmail.com</t>
  </si>
  <si>
    <t>2316</t>
  </si>
  <si>
    <t>1t4F05f3SGUMm22QVQDHuQssUcdafstUO</t>
  </si>
  <si>
    <t>https://drive.google.com/file/d/1t4F05f3SGUMm22QVQDHuQssUcdafstUO/view?usp=drivesdk</t>
  </si>
  <si>
    <t>Document successfully created; Document successfully merged; PDF created; !!Error Sending Emails: Service invoked too many times for one day: email.; Manually run by ecertificate75@gmail.com; Timestamp: Aug 31 2024 3:41 AM</t>
  </si>
  <si>
    <t>MELIA SANDRA, S.Pd</t>
  </si>
  <si>
    <t>imey019@gmail.com</t>
  </si>
  <si>
    <t>2317</t>
  </si>
  <si>
    <t>1PH-T5YQ4kFwBgf6Zs2PnG_y1AefKEAnb</t>
  </si>
  <si>
    <t>https://drive.google.com/file/d/1PH-T5YQ4kFwBgf6Zs2PnG_y1AefKEAnb/view?usp=drivesdk</t>
  </si>
  <si>
    <t>FERNALIA, A.Md.</t>
  </si>
  <si>
    <t>fernalia.h@gmail.com</t>
  </si>
  <si>
    <t>2318</t>
  </si>
  <si>
    <t>1d-PmmkBqyqXXXnsPiSTH5IZzz3IBKa0O</t>
  </si>
  <si>
    <t>https://drive.google.com/file/d/1d-PmmkBqyqXXXnsPiSTH5IZzz3IBKa0O/view?usp=drivesdk</t>
  </si>
  <si>
    <t>SUHATIMA SH</t>
  </si>
  <si>
    <t>imajny@gmail.com</t>
  </si>
  <si>
    <t>2319</t>
  </si>
  <si>
    <t>1W57gHItEzwq8GQmgXAFrwcaetLWHIAZ6</t>
  </si>
  <si>
    <t>https://drive.google.com/file/d/1W57gHItEzwq8GQmgXAFrwcaetLWHIAZ6/view?usp=drivesdk</t>
  </si>
  <si>
    <t>PRANOTO</t>
  </si>
  <si>
    <t>pranoto.kamali@gmail.com</t>
  </si>
  <si>
    <t>2320</t>
  </si>
  <si>
    <t>1socd8_VFs3Jjfm8zsb67J_t79h2msiMN</t>
  </si>
  <si>
    <t>https://drive.google.com/file/d/1socd8_VFs3Jjfm8zsb67J_t79h2msiMN/view?usp=drivesdk</t>
  </si>
  <si>
    <t>SURYA DHARMA</t>
  </si>
  <si>
    <t>suryadharma133442@gmail.com</t>
  </si>
  <si>
    <t>2321</t>
  </si>
  <si>
    <t>1Zblh700tozoh9TotWsHA_HtV1bkYZLxt</t>
  </si>
  <si>
    <t>https://drive.google.com/file/d/1Zblh700tozoh9TotWsHA_HtV1bkYZLxt/view?usp=drivesdk</t>
  </si>
  <si>
    <t>Document successfully created; Document successfully merged; PDF created; !!Error Sending Emails: Service invoked too many times for one day: email.; Manually run by ecertificate75@gmail.com; Timestamp: Aug 31 2024 3:42 AM</t>
  </si>
  <si>
    <t xml:space="preserve">YUSNIARTI </t>
  </si>
  <si>
    <t>yusniartirita8@gmail.com</t>
  </si>
  <si>
    <t>2322</t>
  </si>
  <si>
    <t>1WnbVFwJnAzYzT5BWrsmw5zVN3HUsnQYx</t>
  </si>
  <si>
    <t>https://drive.google.com/file/d/1WnbVFwJnAzYzT5BWrsmw5zVN3HUsnQYx/view?usp=drivesdk</t>
  </si>
  <si>
    <t>JUNAEDI</t>
  </si>
  <si>
    <t>jaypribadie6@gmail.com</t>
  </si>
  <si>
    <t>2323</t>
  </si>
  <si>
    <t>1L3aZHfjRISzaSvpJCzSQ1pjy869dOumV</t>
  </si>
  <si>
    <t>https://drive.google.com/file/d/1L3aZHfjRISzaSvpJCzSQ1pjy869dOumV/view?usp=drivesdk</t>
  </si>
  <si>
    <t>IKA NOFIANTIS.Sos</t>
  </si>
  <si>
    <t>nofiantiika@gmail.com</t>
  </si>
  <si>
    <t>2324</t>
  </si>
  <si>
    <t>1UwEd1iQx9pAI5MBfThGPwE2r5k3Rzmre</t>
  </si>
  <si>
    <t>https://drive.google.com/file/d/1UwEd1iQx9pAI5MBfThGPwE2r5k3Rzmre/view?usp=drivesdk</t>
  </si>
  <si>
    <t>PIPIAN PRILLA ANDRIANI</t>
  </si>
  <si>
    <t>vivian75@gmail.com</t>
  </si>
  <si>
    <t>2325</t>
  </si>
  <si>
    <t>1dbRpF8J0-W64eB7bv2TYd4XCHiF7dA4V</t>
  </si>
  <si>
    <t>https://drive.google.com/file/d/1dbRpF8J0-W64eB7bv2TYd4XCHiF7dA4V/view?usp=drivesdk</t>
  </si>
  <si>
    <t>ASMADI</t>
  </si>
  <si>
    <t>asmadi.nayla@gmail.com</t>
  </si>
  <si>
    <t>2326</t>
  </si>
  <si>
    <t>1XXjj-TghVbLRTnwlGf6I2boPVCZm93YL</t>
  </si>
  <si>
    <t>https://drive.google.com/file/d/1XXjj-TghVbLRTnwlGf6I2boPVCZm93YL/view?usp=drivesdk</t>
  </si>
  <si>
    <t>RUHANA, S.E.</t>
  </si>
  <si>
    <t>ruhanaspncisarua@gmail.com</t>
  </si>
  <si>
    <t>2327</t>
  </si>
  <si>
    <t>14HaD4o4ZtnHz3SdwM-P2HGV1KWWk3vI7</t>
  </si>
  <si>
    <t>https://drive.google.com/file/d/14HaD4o4ZtnHz3SdwM-P2HGV1KWWk3vI7/view?usp=drivesdk</t>
  </si>
  <si>
    <t>Document successfully created; Document successfully merged; PDF created; !!Error Sending Emails: Service invoked too many times for one day: email.; Manually run by ecertificate75@gmail.com; Timestamp: Aug 31 2024 3:43 AM</t>
  </si>
  <si>
    <t>SRI LESTARI</t>
  </si>
  <si>
    <t>srilestari8540@gmail.com</t>
  </si>
  <si>
    <t>2328</t>
  </si>
  <si>
    <t>1O4Im6LR6EbLT2UrjjKqw4bevG47wlgT7</t>
  </si>
  <si>
    <t>https://drive.google.com/file/d/1O4Im6LR6EbLT2UrjjKqw4bevG47wlgT7/view?usp=drivesdk</t>
  </si>
  <si>
    <t xml:space="preserve">AGUS TRIARTONO </t>
  </si>
  <si>
    <t>tria39262@gmail.com</t>
  </si>
  <si>
    <t>2329</t>
  </si>
  <si>
    <t>1hb7JNLszSlZzueX0Pn9N6eGrzR3BjOhV</t>
  </si>
  <si>
    <t>https://drive.google.com/file/d/1hb7JNLszSlZzueX0Pn9N6eGrzR3BjOhV/view?usp=drivesdk</t>
  </si>
  <si>
    <t>SUHERMAN</t>
  </si>
  <si>
    <t>hermansugrab@gmail.com</t>
  </si>
  <si>
    <t>2330</t>
  </si>
  <si>
    <t>Starting at Thu Aug 29 2024 21:09:28 GMT-0400 (EDT)</t>
  </si>
  <si>
    <t>1APseEFw07pPY9q60i2P8kEpJt0UGmR8w</t>
  </si>
  <si>
    <t>https://drive.google.com/file/d/1APseEFw07pPY9q60i2P8kEpJt0UGmR8w/view?usp=drivesdk</t>
  </si>
  <si>
    <t>RIDWAN</t>
  </si>
  <si>
    <t>wa2n_resmura@yahoo.co.id</t>
  </si>
  <si>
    <t>2331</t>
  </si>
  <si>
    <t>1Iqw26XstN18mCuzHIIwSSm3NyOm_gvbo</t>
  </si>
  <si>
    <t>https://drive.google.com/file/d/1Iqw26XstN18mCuzHIIwSSm3NyOm_gvbo/view?usp=drivesdk</t>
  </si>
  <si>
    <t>SOBIRIN</t>
  </si>
  <si>
    <t>sobirintriana123@gmail.com</t>
  </si>
  <si>
    <t>2332</t>
  </si>
  <si>
    <t>1FCs3umWOOet1ot_Zyi1dWvL-0Qds-_pP</t>
  </si>
  <si>
    <t>https://drive.google.com/file/d/1FCs3umWOOet1ot_Zyi1dWvL-0Qds-_pP/view?usp=drivesdk</t>
  </si>
  <si>
    <t>TRI WAHYUNI</t>
  </si>
  <si>
    <t>070385wahyuni@gmail.com</t>
  </si>
  <si>
    <t>2333</t>
  </si>
  <si>
    <t>1J4TZWL-_ZBluVAN_f1pBIvRSmavU9kf6</t>
  </si>
  <si>
    <t>https://drive.google.com/file/d/1J4TZWL-_ZBluVAN_f1pBIvRSmavU9kf6/view?usp=drivesdk</t>
  </si>
  <si>
    <t>DR DESSY</t>
  </si>
  <si>
    <t>dr.dessy85@gmail.com</t>
  </si>
  <si>
    <t>2334</t>
  </si>
  <si>
    <t>1wOqw1ucTA1xwnRndhCC0cw7FMtyUkCLU</t>
  </si>
  <si>
    <t>https://drive.google.com/file/d/1wOqw1ucTA1xwnRndhCC0cw7FMtyUkCLU/view?usp=drivesdk</t>
  </si>
  <si>
    <t>Document successfully created; Document successfully merged; PDF created; !!Error Sending Emails: Service invoked too many times for one day: email.; Manually run by ecertificate75@gmail.com; Timestamp: Aug 31 2024 3:44 AM</t>
  </si>
  <si>
    <t>SUPARDI</t>
  </si>
  <si>
    <t>pardi335@gmail.c.com</t>
  </si>
  <si>
    <t>2335</t>
  </si>
  <si>
    <t>1T05jGxlDv368ZOwoYfvrAgF3Womly8aV</t>
  </si>
  <si>
    <t>https://drive.google.com/file/d/1T05jGxlDv368ZOwoYfvrAgF3Womly8aV/view?usp=drivesdk</t>
  </si>
  <si>
    <t xml:space="preserve">INDAH SURYANINGTYAS </t>
  </si>
  <si>
    <t>indahsuryaningtyas81@gmail.com</t>
  </si>
  <si>
    <t>2336</t>
  </si>
  <si>
    <t>1iBleBj_KIF0q8BPaVfyQg_L5F_ZGh9k8</t>
  </si>
  <si>
    <t>https://drive.google.com/file/d/1iBleBj_KIF0q8BPaVfyQg_L5F_ZGh9k8/view?usp=drivesdk</t>
  </si>
  <si>
    <t>AGNES DWI EMI SUDJARWI, SST</t>
  </si>
  <si>
    <t>dwiemisudjarwi@gmail.com</t>
  </si>
  <si>
    <t>2337</t>
  </si>
  <si>
    <t>1_g5gUZtXwNKEmC09FT735lYFVFDgByta</t>
  </si>
  <si>
    <t>https://drive.google.com/file/d/1_g5gUZtXwNKEmC09FT735lYFVFDgByta/view?usp=drivesdk</t>
  </si>
  <si>
    <t xml:space="preserve">SITI SAHLAH </t>
  </si>
  <si>
    <t>sitisahla999@gmail.com</t>
  </si>
  <si>
    <t>2338</t>
  </si>
  <si>
    <t>1hbDMfCgELpSmAhjQpg4F0pJ6bjXI-iH4</t>
  </si>
  <si>
    <t>https://drive.google.com/file/d/1hbDMfCgELpSmAhjQpg4F0pJ6bjXI-iH4/view?usp=drivesdk</t>
  </si>
  <si>
    <t>MUHAMMAD SYARIFUDIN BACHRI</t>
  </si>
  <si>
    <t>buzharief@gmail.com</t>
  </si>
  <si>
    <t>2339</t>
  </si>
  <si>
    <t>1A8o9gY4n8CPoXmIrJZsFOpYmNFXorwpU</t>
  </si>
  <si>
    <t>https://drive.google.com/file/d/1A8o9gY4n8CPoXmIrJZsFOpYmNFXorwpU/view?usp=drivesdk</t>
  </si>
  <si>
    <t>KUSWANTO</t>
  </si>
  <si>
    <t>kuswanto748@gmail.com</t>
  </si>
  <si>
    <t>2340</t>
  </si>
  <si>
    <t>1ioqDy9J38U4kuoL-Sh1pkJXIB5O_kI6o</t>
  </si>
  <si>
    <t>https://drive.google.com/file/d/1ioqDy9J38U4kuoL-Sh1pkJXIB5O_kI6o/view?usp=drivesdk</t>
  </si>
  <si>
    <t>Document successfully created; Document successfully merged; PDF created; !!Error Sending Emails: Service invoked too many times for one day: email.; Manually run by ecertificate75@gmail.com; Timestamp: Aug 31 2024 3:45 AM</t>
  </si>
  <si>
    <t>SRI YANTI</t>
  </si>
  <si>
    <t>ysri28782@gmail.com</t>
  </si>
  <si>
    <t>2341</t>
  </si>
  <si>
    <t>1Js-0FfdrqH4poPB2FNtgmxPOkpEySzo4</t>
  </si>
  <si>
    <t>https://drive.google.com/file/d/1Js-0FfdrqH4poPB2FNtgmxPOkpEySzo4/view?usp=drivesdk</t>
  </si>
  <si>
    <t>YULIA, S.E</t>
  </si>
  <si>
    <t>yulia.zahrah7504@gmail.com</t>
  </si>
  <si>
    <t>2342</t>
  </si>
  <si>
    <t>1k-IVy-10WT0lT2aop-Vg5PKNYeXqSMTv</t>
  </si>
  <si>
    <t>https://drive.google.com/file/d/1k-IVy-10WT0lT2aop-Vg5PKNYeXqSMTv/view?usp=drivesdk</t>
  </si>
  <si>
    <t>ROHAETI</t>
  </si>
  <si>
    <t>rohaetii1969@gmail.com</t>
  </si>
  <si>
    <t>2343</t>
  </si>
  <si>
    <t>1LIX7K9FOx10lA9lbMyuCwKdpfqdCe-oS</t>
  </si>
  <si>
    <t>https://drive.google.com/file/d/1LIX7K9FOx10lA9lbMyuCwKdpfqdCe-oS/view?usp=drivesdk</t>
  </si>
  <si>
    <t>YULI SETIO HARTATI, AMD.KEP</t>
  </si>
  <si>
    <t>yulisetiio712@gmail.com</t>
  </si>
  <si>
    <t>2344</t>
  </si>
  <si>
    <t>17QHEDXupVrT6XE3vE5w_angNF2RLY1PR</t>
  </si>
  <si>
    <t>https://drive.google.com/file/d/17QHEDXupVrT6XE3vE5w_angNF2RLY1PR/view?usp=drivesdk</t>
  </si>
  <si>
    <t>SARINAH</t>
  </si>
  <si>
    <t>sarinah1802@gmail.com</t>
  </si>
  <si>
    <t>2345</t>
  </si>
  <si>
    <t>1H57DRTSLEo89PuLCAFM9JaGqCtGZeEzq</t>
  </si>
  <si>
    <t>https://drive.google.com/file/d/1H57DRTSLEo89PuLCAFM9JaGqCtGZeEzq/view?usp=drivesdk</t>
  </si>
  <si>
    <t>SUYITNO</t>
  </si>
  <si>
    <t>suyitno.oye02@gmail.com</t>
  </si>
  <si>
    <t>2346</t>
  </si>
  <si>
    <t>110YFBnpGXRlIKnYF-Fw8nnD1UHsTb7_6</t>
  </si>
  <si>
    <t>https://drive.google.com/file/d/110YFBnpGXRlIKnYF-Fw8nnD1UHsTb7_6/view?usp=drivesdk</t>
  </si>
  <si>
    <t>Document successfully created; Document successfully merged; PDF created; !!Error Sending Emails: Service invoked too many times for one day: email.; Manually run by ecertificate75@gmail.com; Timestamp: Aug 31 2024 3:46 AM</t>
  </si>
  <si>
    <t>DIAH UNTARI, S.KOM</t>
  </si>
  <si>
    <t>untari.diah77@gmail.com</t>
  </si>
  <si>
    <t>2347</t>
  </si>
  <si>
    <t>1iad6IO2wjBOi284_6B1KJIv-ziMZQqLc</t>
  </si>
  <si>
    <t>https://drive.google.com/file/d/1iad6IO2wjBOi284_6B1KJIv-ziMZQqLc/view?usp=drivesdk</t>
  </si>
  <si>
    <t>BOEDI RAHAYOE, S.E., M.M.</t>
  </si>
  <si>
    <t>boedirahayoe95@gmail.com</t>
  </si>
  <si>
    <t>2348</t>
  </si>
  <si>
    <t>1ySTG9lBZtnEkjc4Ku-1hRUFkaXGgcQmV</t>
  </si>
  <si>
    <t>https://drive.google.com/file/d/1ySTG9lBZtnEkjc4Ku-1hRUFkaXGgcQmV/view?usp=drivesdk</t>
  </si>
  <si>
    <t>SURYADI, S.E</t>
  </si>
  <si>
    <t>suryadi427@gmail.com</t>
  </si>
  <si>
    <t>2349</t>
  </si>
  <si>
    <t>1_L5x8BRkllq4E20vO2mIhSHD-sM9kXw9</t>
  </si>
  <si>
    <t>https://drive.google.com/file/d/1_L5x8BRkllq4E20vO2mIhSHD-sM9kXw9/view?usp=drivesdk</t>
  </si>
  <si>
    <t>NIKEN MAYA PUSPITANINGSARI, S.Kom.</t>
  </si>
  <si>
    <t>niken1934@gmail.com</t>
  </si>
  <si>
    <t>2350</t>
  </si>
  <si>
    <t>15hp0J-OEaslLVeaxHAa5w-AnrCTJUBLF</t>
  </si>
  <si>
    <t>https://drive.google.com/file/d/15hp0J-OEaslLVeaxHAa5w-AnrCTJUBLF/view?usp=drivesdk</t>
  </si>
  <si>
    <t>YAYAH MARIAH</t>
  </si>
  <si>
    <t>yayahmariah72@gmail.com</t>
  </si>
  <si>
    <t>2351</t>
  </si>
  <si>
    <t>Starting at Thu Aug 29 2024 21:09:32 GMT-0400 (EDT)</t>
  </si>
  <si>
    <t>1DiLvTNxV68FYgDiN-qN6V_lrrEIfpmlJ</t>
  </si>
  <si>
    <t>https://drive.google.com/file/d/1DiLvTNxV68FYgDiN-qN6V_lrrEIfpmlJ/view?usp=drivesdk</t>
  </si>
  <si>
    <t>Document successfully created; Document successfully merged; PDF created; !!Error Sending Emails: Service invoked too many times for one day: email.; Manually run by ecertificate75@gmail.com; Timestamp: Aug 31 2024 3:47 AM</t>
  </si>
  <si>
    <t>JUHANA, ST</t>
  </si>
  <si>
    <t>juhana.st@gmail.com</t>
  </si>
  <si>
    <t>2352</t>
  </si>
  <si>
    <t>16GOCVcfeEqx3lFPQwZlMPZUrbGFHtW7i</t>
  </si>
  <si>
    <t>https://drive.google.com/file/d/16GOCVcfeEqx3lFPQwZlMPZUrbGFHtW7i/view?usp=drivesdk</t>
  </si>
  <si>
    <t>SUYONO, SH</t>
  </si>
  <si>
    <t>suyonosh67@gmail.com</t>
  </si>
  <si>
    <t>2353</t>
  </si>
  <si>
    <t>1eZF-bUe1WS8WeUu4AztPmUIH_ZT6C356</t>
  </si>
  <si>
    <t>https://drive.google.com/file/d/1eZF-bUe1WS8WeUu4AztPmUIH_ZT6C356/view?usp=drivesdk</t>
  </si>
  <si>
    <t>MULYADI</t>
  </si>
  <si>
    <t>muhammadmulyadi2966@gmail.com</t>
  </si>
  <si>
    <t>2354</t>
  </si>
  <si>
    <t>1p5S4vq6Tea_dpMId6EBzLWgQ0foXFO3H</t>
  </si>
  <si>
    <t>https://drive.google.com/file/d/1p5S4vq6Tea_dpMId6EBzLWgQ0foXFO3H/view?usp=drivesdk</t>
  </si>
  <si>
    <t>BAMBANG MOH PURJONO</t>
  </si>
  <si>
    <t>bambangpurjono71@gmail.com</t>
  </si>
  <si>
    <t>2355</t>
  </si>
  <si>
    <t>1UtDDf8roaAZrcNN2O5730N4QChsHADhU</t>
  </si>
  <si>
    <t>https://drive.google.com/file/d/1UtDDf8roaAZrcNN2O5730N4QChsHADhU/view?usp=drivesdk</t>
  </si>
  <si>
    <t xml:space="preserve">DIAN AMBAR KUSUMA </t>
  </si>
  <si>
    <t>dian.ambar1612@gmail.com</t>
  </si>
  <si>
    <t>2356</t>
  </si>
  <si>
    <t>1ijuEK5sig6aV3tG7bXYtCKyuFFxWE-Ej</t>
  </si>
  <si>
    <t>https://drive.google.com/file/d/1ijuEK5sig6aV3tG7bXYtCKyuFFxWE-Ej/view?usp=drivesdk</t>
  </si>
  <si>
    <t>Document successfully created; Document successfully merged; PDF created; !!Error Sending Emails: Service invoked too many times for one day: email.; Manually run by ecertificate75@gmail.com; Timestamp: Aug 31 2024 3:48 AM</t>
  </si>
  <si>
    <t>MARIATI, AMD</t>
  </si>
  <si>
    <t>Mariatyaja86@gmail.com</t>
  </si>
  <si>
    <t>2357</t>
  </si>
  <si>
    <t>18H8wjdm_rsq6g9paa8v5hHwQ8xvDhNcL</t>
  </si>
  <si>
    <t>https://drive.google.com/file/d/18H8wjdm_rsq6g9paa8v5hHwQ8xvDhNcL/view?usp=drivesdk</t>
  </si>
  <si>
    <t>EFI RAPIAH</t>
  </si>
  <si>
    <t>efirapiah@gmail.com</t>
  </si>
  <si>
    <t>2358</t>
  </si>
  <si>
    <t>1SzHmBHaCnAK_39rTovJ4MnUwT_McqqfV</t>
  </si>
  <si>
    <t>https://drive.google.com/file/d/1SzHmBHaCnAK_39rTovJ4MnUwT_McqqfV/view?usp=drivesdk</t>
  </si>
  <si>
    <t>HANIK ELYANA A.MD</t>
  </si>
  <si>
    <t>hanikslb@gmail.com</t>
  </si>
  <si>
    <t>2359</t>
  </si>
  <si>
    <t>1-8WIiOE7f2cnqeBTjRqdR_F9mqlRDDKI</t>
  </si>
  <si>
    <t>https://drive.google.com/file/d/1-8WIiOE7f2cnqeBTjRqdR_F9mqlRDDKI/view?usp=drivesdk</t>
  </si>
  <si>
    <t>HERNIATI.S.SOS</t>
  </si>
  <si>
    <t>herniati24041976@gmail.com</t>
  </si>
  <si>
    <t>2360</t>
  </si>
  <si>
    <t>1IUPUi6dh9k3xhY0enB2r5_xxpmf7Q7uu</t>
  </si>
  <si>
    <t>https://drive.google.com/file/d/1IUPUi6dh9k3xhY0enB2r5_xxpmf7Q7uu/view?usp=drivesdk</t>
  </si>
  <si>
    <t>ROHAINI, SE</t>
  </si>
  <si>
    <t>hennyoppoa83@gmail.com</t>
  </si>
  <si>
    <t>2361</t>
  </si>
  <si>
    <t>1HHRheGgSzzv8RSPopOtn90EkhW2r9xOu</t>
  </si>
  <si>
    <t>https://drive.google.com/file/d/1HHRheGgSzzv8RSPopOtn90EkhW2r9xOu/view?usp=drivesdk</t>
  </si>
  <si>
    <t>SUPIATI</t>
  </si>
  <si>
    <t>atisupi26@gmail.com</t>
  </si>
  <si>
    <t>2362</t>
  </si>
  <si>
    <t>1BiR0HfoRgpZaCRVoEhzZ_YN0mofiuw-i</t>
  </si>
  <si>
    <t>https://drive.google.com/file/d/1BiR0HfoRgpZaCRVoEhzZ_YN0mofiuw-i/view?usp=drivesdk</t>
  </si>
  <si>
    <t>Document successfully created; Document successfully merged; PDF created; !!Error Sending Emails: Service invoked too many times for one day: email.; Manually run by ecertificate75@gmail.com; Timestamp: Aug 31 2024 3:49 AM</t>
  </si>
  <si>
    <t>NUR WAHYUNI</t>
  </si>
  <si>
    <t>emailquinsha@gmail.com</t>
  </si>
  <si>
    <t>2363</t>
  </si>
  <si>
    <t>https://drive.google.com/file/d/1W2MsuyRpUnj2PX8znNooVJkIpUdXyoIm/view?usp=drivesdk</t>
  </si>
  <si>
    <t>1W2MsuyRpUnj2PX8znNooVJkIpUdXyoIm</t>
  </si>
  <si>
    <t>1mHZNN1xaiSbuPPmRqlhy2uc12IBKHXcP</t>
  </si>
  <si>
    <t>https://drive.google.com/file/d/1mHZNN1xaiSbuPPmRqlhy2uc12IBKHXcP/view?usp=drivesdk</t>
  </si>
  <si>
    <t xml:space="preserve">DWI ENDAH AGUSTINA </t>
  </si>
  <si>
    <t>indahdwi96@gmail.com</t>
  </si>
  <si>
    <t>2364</t>
  </si>
  <si>
    <t>https://drive.google.com/file/d/1besq3kXp5mPW3lLnkGi-q3n_bSioAsER/view?usp=drivesdk</t>
  </si>
  <si>
    <t>1besq3kXp5mPW3lLnkGi-q3n_bSioAsER</t>
  </si>
  <si>
    <t>1VhmJKt8RB9pf4myBD8m6qIMI4zSb3BmP</t>
  </si>
  <si>
    <t>https://drive.google.com/file/d/1VhmJKt8RB9pf4myBD8m6qIMI4zSb3BmP/view?usp=drivesdk</t>
  </si>
  <si>
    <t>IBNU PRANOTO</t>
  </si>
  <si>
    <t>ibpran315@gmail.com</t>
  </si>
  <si>
    <t>2365</t>
  </si>
  <si>
    <t>Starting at Thu Aug 29 2024 21:09:39 GMT-0400 (EDT)</t>
  </si>
  <si>
    <t>1KF2tq0dVurWzoMO0RQ-jh6AJy86m5V5o</t>
  </si>
  <si>
    <t>https://drive.google.com/file/d/1KF2tq0dVurWzoMO0RQ-jh6AJy86m5V5o/view?usp=drivesdk</t>
  </si>
  <si>
    <t>EDSON JANIS, S.E</t>
  </si>
  <si>
    <t>edson.janis73@gmail.com</t>
  </si>
  <si>
    <t>2366</t>
  </si>
  <si>
    <t>1EVBClIEcBCK6Q0aldUq4WFhQNk5eA2tM</t>
  </si>
  <si>
    <t>https://drive.google.com/file/d/1EVBClIEcBCK6Q0aldUq4WFhQNk5eA2tM/view?usp=drivesdk</t>
  </si>
  <si>
    <t>DIDIEN KURNIAWAN, S.H.</t>
  </si>
  <si>
    <t>kurniawandidien@gmail.com</t>
  </si>
  <si>
    <t>2367</t>
  </si>
  <si>
    <t>1iXZtyBR6FnaqxUh8wGJzVZf8bEQwCSL2</t>
  </si>
  <si>
    <t>https://drive.google.com/file/d/1iXZtyBR6FnaqxUh8wGJzVZf8bEQwCSL2/view?usp=drivesdk</t>
  </si>
  <si>
    <t>RIEZKA CAHYANI RAMADIAN A.Md.Kep.</t>
  </si>
  <si>
    <t>ramadianriezka949@gmail.com</t>
  </si>
  <si>
    <t>2368</t>
  </si>
  <si>
    <t>1q4HC8AfqbfrFDGjPx4G1atuPp1Y3PoJB</t>
  </si>
  <si>
    <t>https://drive.google.com/file/d/1q4HC8AfqbfrFDGjPx4G1atuPp1Y3PoJB/view?usp=drivesdk</t>
  </si>
  <si>
    <t>Document successfully created; Document successfully merged; PDF created; !!Error Sending Emails: Service invoked too many times for one day: email.; Manually run by ecertificate75@gmail.com; Timestamp: Aug 31 2024 3:50 AM</t>
  </si>
  <si>
    <t>MUSLIMIN, S.H.</t>
  </si>
  <si>
    <t>muslimin76.ml58@gmail.com</t>
  </si>
  <si>
    <t>2369</t>
  </si>
  <si>
    <t>Starting at Thu Aug 29 2024 21:09:38 GMT-0400 (EDT)</t>
  </si>
  <si>
    <t>1uprfgFV3YbNr9pbA9LuQO63VdC1Qaw8n</t>
  </si>
  <si>
    <t>https://drive.google.com/file/d/1uprfgFV3YbNr9pbA9LuQO63VdC1Qaw8n/view?usp=drivesdk</t>
  </si>
  <si>
    <t>TRI SUSRINI</t>
  </si>
  <si>
    <t>susrini70@gmail.com</t>
  </si>
  <si>
    <t>2370</t>
  </si>
  <si>
    <t>1wzAvNNZP23fUqbg9sYHOxhgzCs1ns008</t>
  </si>
  <si>
    <t>https://drive.google.com/file/d/1wzAvNNZP23fUqbg9sYHOxhgzCs1ns008/view?usp=drivesdk</t>
  </si>
  <si>
    <t>SRI RAHAYU WIYONO. SH</t>
  </si>
  <si>
    <t>iyonvespa@gmail.com</t>
  </si>
  <si>
    <t>2371</t>
  </si>
  <si>
    <t>1DNed4-1u-R6XEAl-1Uwydx6nQqLiQRjm</t>
  </si>
  <si>
    <t>https://drive.google.com/file/d/1DNed4-1u-R6XEAl-1Uwydx6nQqLiQRjm/view?usp=drivesdk</t>
  </si>
  <si>
    <t>ASUROK</t>
  </si>
  <si>
    <t>syurok19@gmail.com</t>
  </si>
  <si>
    <t>2372</t>
  </si>
  <si>
    <t>1yRTfLjnvB6ww1DIaA6nc-VR1frZbjelL</t>
  </si>
  <si>
    <t>https://drive.google.com/file/d/1yRTfLjnvB6ww1DIaA6nc-VR1frZbjelL/view?usp=drivesdk</t>
  </si>
  <si>
    <t>NAIMA SARASWATI</t>
  </si>
  <si>
    <t>naimasaras@gmail.com</t>
  </si>
  <si>
    <t>2373</t>
  </si>
  <si>
    <t>1beHX8l7FJ5wQXQMELXR3tyji9QtIdHXo</t>
  </si>
  <si>
    <t>https://drive.google.com/file/d/1beHX8l7FJ5wQXQMELXR3tyji9QtIdHXo/view?usp=drivesdk</t>
  </si>
  <si>
    <t>SYARTINI</t>
  </si>
  <si>
    <t>syartini055@gmail.com</t>
  </si>
  <si>
    <t>2374</t>
  </si>
  <si>
    <t>11zhXURi-Xxos7iIUrzB4Lkj60swAseiu</t>
  </si>
  <si>
    <t>https://drive.google.com/file/d/11zhXURi-Xxos7iIUrzB4Lkj60swAseiu/view?usp=drivesdk</t>
  </si>
  <si>
    <t>Document successfully created; Document successfully merged; PDF created; !!Error Sending Emails: Service invoked too many times for one day: email.; Manually run by ecertificate75@gmail.com; Timestamp: Aug 31 2024 3:51 AM</t>
  </si>
  <si>
    <t>RIDUANSYAH</t>
  </si>
  <si>
    <t>riduansyah.4284@yahoo.co.id</t>
  </si>
  <si>
    <t>2375</t>
  </si>
  <si>
    <t>1r6EulHIbmO3xgWNPcfg6MeBf3Rwiy1qC</t>
  </si>
  <si>
    <t>https://drive.google.com/file/d/1r6EulHIbmO3xgWNPcfg6MeBf3Rwiy1qC/view?usp=drivesdk</t>
  </si>
  <si>
    <t>MARIA SUMARSIH</t>
  </si>
  <si>
    <t>mariasumarsih70@gmail.com</t>
  </si>
  <si>
    <t>2376</t>
  </si>
  <si>
    <t>1QWP1gj5GiRfKxFjwVjt6_SdzTUPV8ThA</t>
  </si>
  <si>
    <t>https://drive.google.com/file/d/1QWP1gj5GiRfKxFjwVjt6_SdzTUPV8ThA/view?usp=drivesdk</t>
  </si>
  <si>
    <t>dr. TOMMY RIVELINO, Sp.B</t>
  </si>
  <si>
    <t>tommy.rivelino@gmail.com</t>
  </si>
  <si>
    <t>2377</t>
  </si>
  <si>
    <t>1ke0yYIC_2TyGNFX89h7b8C5icPhjmhn_</t>
  </si>
  <si>
    <t>https://drive.google.com/file/d/1ke0yYIC_2TyGNFX89h7b8C5icPhjmhn_/view?usp=drivesdk</t>
  </si>
  <si>
    <t>EDI SUPARDI</t>
  </si>
  <si>
    <t>apihedis@gmail.com</t>
  </si>
  <si>
    <t>2378</t>
  </si>
  <si>
    <t>12B4o5JzyrH5xIgd5yskVHUKlkO68AxD2</t>
  </si>
  <si>
    <t>https://drive.google.com/file/d/12B4o5JzyrH5xIgd5yskVHUKlkO68AxD2/view?usp=drivesdk</t>
  </si>
  <si>
    <t>PUTRI AZKA, Am.Keb</t>
  </si>
  <si>
    <t>rafizka04@gmail.com</t>
  </si>
  <si>
    <t>2379</t>
  </si>
  <si>
    <t>1nIr0_5nbhmHbW3X2aE9OGNexObkYFgDi</t>
  </si>
  <si>
    <t>https://drive.google.com/file/d/1nIr0_5nbhmHbW3X2aE9OGNexObkYFgDi/view?usp=drivesdk</t>
  </si>
  <si>
    <t>SULISTYANI,S.A.P</t>
  </si>
  <si>
    <t>anisulistya020@gmail.com</t>
  </si>
  <si>
    <t>2380</t>
  </si>
  <si>
    <t>11sE8DZypPzZt5m1s6bRixR5e7CWlBnT8</t>
  </si>
  <si>
    <t>https://drive.google.com/file/d/11sE8DZypPzZt5m1s6bRixR5e7CWlBnT8/view?usp=drivesdk</t>
  </si>
  <si>
    <t>Document successfully created; Document successfully merged; PDF created; !!Error Sending Emails: Service invoked too many times for one day: email.; Manually run by ecertificate75@gmail.com; Timestamp: Aug 31 2024 3:52 AM</t>
  </si>
  <si>
    <t>RIBUT WIDODO, SE</t>
  </si>
  <si>
    <t>rbdodo1974@gmail.vom</t>
  </si>
  <si>
    <t>2381</t>
  </si>
  <si>
    <t>1KOc0ihHv6nlqPqvhABGDf8hrpDxQtO7z</t>
  </si>
  <si>
    <t>https://drive.google.com/file/d/1KOc0ihHv6nlqPqvhABGDf8hrpDxQtO7z/view?usp=drivesdk</t>
  </si>
  <si>
    <t>PENDA I DANIS ALFARO</t>
  </si>
  <si>
    <t>danisalvaro2323@gmail.com</t>
  </si>
  <si>
    <t>2382</t>
  </si>
  <si>
    <t>1kXD5DBBxfatlLFdLftiyCiakGHjp99Kn</t>
  </si>
  <si>
    <t>https://drive.google.com/file/d/1kXD5DBBxfatlLFdLftiyCiakGHjp99Kn/view?usp=drivesdk</t>
  </si>
  <si>
    <t>LENA, SE</t>
  </si>
  <si>
    <t>lenadaudani@gmail.com</t>
  </si>
  <si>
    <t>2383</t>
  </si>
  <si>
    <t>1Rq5VYanBDzSfHxl5zJz0J0Av1zLe1HoQ</t>
  </si>
  <si>
    <t>https://drive.google.com/file/d/1Rq5VYanBDzSfHxl5zJz0J0Av1zLe1HoQ/view?usp=drivesdk</t>
  </si>
  <si>
    <t>WINARTI</t>
  </si>
  <si>
    <t>winarti2681@gmail.com</t>
  </si>
  <si>
    <t>2384</t>
  </si>
  <si>
    <t>1v1hwQoZKF-G4NgcWBxC2ZR_pyK3NtT83</t>
  </si>
  <si>
    <t>https://drive.google.com/file/d/1v1hwQoZKF-G4NgcWBxC2ZR_pyK3NtT83/view?usp=drivesdk</t>
  </si>
  <si>
    <t>Document successfully created; Document successfully merged; PDF created; !!Error Sending Emails: Service invoked too many times for one day: email.; Manually run by ecertificate75@gmail.com; Timestamp: Aug 31 2024 3:53 AM</t>
  </si>
  <si>
    <t>AHMAD RAFIE,A.MD.KOM</t>
  </si>
  <si>
    <t>ahmadrafie123@gmail.com</t>
  </si>
  <si>
    <t>2385</t>
  </si>
  <si>
    <t>1WZk66daBDFPHeKcSoN8FTQkVSPz7o5iY</t>
  </si>
  <si>
    <t>https://drive.google.com/file/d/1WZk66daBDFPHeKcSoN8FTQkVSPz7o5iY/view?usp=drivesdk</t>
  </si>
  <si>
    <t xml:space="preserve">SANADI </t>
  </si>
  <si>
    <t>sanadi2910@gmail.com</t>
  </si>
  <si>
    <t>2386</t>
  </si>
  <si>
    <t>1UmQYqc3TlW-6VT7nglUoN3Z0nsut90Et</t>
  </si>
  <si>
    <t>https://drive.google.com/file/d/1UmQYqc3TlW-6VT7nglUoN3Z0nsut90Et/view?usp=drivesdk</t>
  </si>
  <si>
    <t>JULIANI</t>
  </si>
  <si>
    <t>julianibelawan@gmail.com</t>
  </si>
  <si>
    <t>2387</t>
  </si>
  <si>
    <t>1wfyVwLOAe6NcNEUMjvFeAywCY8AYyBSS</t>
  </si>
  <si>
    <t>https://drive.google.com/file/d/1wfyVwLOAe6NcNEUMjvFeAywCY8AYyBSS/view?usp=drivesdk</t>
  </si>
  <si>
    <t>SRIDARTI</t>
  </si>
  <si>
    <t>sridarti77@gmail.com</t>
  </si>
  <si>
    <t>2388</t>
  </si>
  <si>
    <t>1hX279QVPXk2yIkvM0-kxEqB6PqrOdMrd</t>
  </si>
  <si>
    <t>https://drive.google.com/file/d/1hX279QVPXk2yIkvM0-kxEqB6PqrOdMrd/view?usp=drivesdk</t>
  </si>
  <si>
    <t>DEDI GUNAWAN</t>
  </si>
  <si>
    <t>dedigunawan@gmail.com</t>
  </si>
  <si>
    <t>2389</t>
  </si>
  <si>
    <t>1OHL-M4HjsfSLCAvfUuv74bx9Dtc2meU2</t>
  </si>
  <si>
    <t>https://drive.google.com/file/d/1OHL-M4HjsfSLCAvfUuv74bx9Dtc2meU2/view?usp=drivesdk</t>
  </si>
  <si>
    <t xml:space="preserve">YANI ROSTIKAWATI </t>
  </si>
  <si>
    <t>rostikawati1979@gmail.com</t>
  </si>
  <si>
    <t>2390</t>
  </si>
  <si>
    <t>1SzfHEXy3skSEsD2WqRQklI5paBJDCLIu</t>
  </si>
  <si>
    <t>https://drive.google.com/file/d/1SzfHEXy3skSEsD2WqRQklI5paBJDCLIu/view?usp=drivesdk</t>
  </si>
  <si>
    <t>Document successfully created; Document successfully merged; PDF created; !!Error Sending Emails: Service invoked too many times for one day: email.; Manually run by ecertificate75@gmail.com; Timestamp: Aug 31 2024 3:54 AM</t>
  </si>
  <si>
    <t>VENTY DWI LESTARI, S.E.</t>
  </si>
  <si>
    <t>venty1987@gmail.com</t>
  </si>
  <si>
    <t>2391</t>
  </si>
  <si>
    <t>1O8Ra1676nYQy1ot-jrv0h4RTDDxa86WV</t>
  </si>
  <si>
    <t>https://drive.google.com/file/d/1O8Ra1676nYQy1ot-jrv0h4RTDDxa86WV/view?usp=drivesdk</t>
  </si>
  <si>
    <t>JUWARI</t>
  </si>
  <si>
    <t>juwari510@gmail.com</t>
  </si>
  <si>
    <t>2392</t>
  </si>
  <si>
    <t>1CncPhhI1fWN_QujrubHQ_UCDwDxj5u-l</t>
  </si>
  <si>
    <t>https://drive.google.com/file/d/1CncPhhI1fWN_QujrubHQ_UCDwDxj5u-l/view?usp=drivesdk</t>
  </si>
  <si>
    <t>NOORAINAH</t>
  </si>
  <si>
    <t>noorainah173@gmail.com</t>
  </si>
  <si>
    <t>2393</t>
  </si>
  <si>
    <t>1fz9iMnAI4n7zihTgearQTS9Py5y90WqF</t>
  </si>
  <si>
    <t>https://drive.google.com/file/d/1fz9iMnAI4n7zihTgearQTS9Py5y90WqF/view?usp=drivesdk</t>
  </si>
  <si>
    <t>ZULI YUSUF.A.md.Kep</t>
  </si>
  <si>
    <t>zuliysf80@gmail.com</t>
  </si>
  <si>
    <t>2394</t>
  </si>
  <si>
    <t>1FkFlu4htndIxDjnLXkja0WfCM8nCit7J</t>
  </si>
  <si>
    <t>https://drive.google.com/file/d/1FkFlu4htndIxDjnLXkja0WfCM8nCit7J/view?usp=drivesdk</t>
  </si>
  <si>
    <t xml:space="preserve">SRI WINDARTI </t>
  </si>
  <si>
    <t>windartisri42@gmail.com</t>
  </si>
  <si>
    <t>2395</t>
  </si>
  <si>
    <t>1ukKlhfGS4548vcwDPp-tn9UFQd8eByHN</t>
  </si>
  <si>
    <t>https://drive.google.com/file/d/1ukKlhfGS4548vcwDPp-tn9UFQd8eByHN/view?usp=drivesdk</t>
  </si>
  <si>
    <t>EKA KARMILA, A. Md. Kep</t>
  </si>
  <si>
    <t>ekakarmilaedn@gmail.com</t>
  </si>
  <si>
    <t>2396</t>
  </si>
  <si>
    <t>1eXayKyT_RzOwJlqzi3ojR1IfnuS9Ej5P</t>
  </si>
  <si>
    <t>https://drive.google.com/file/d/1eXayKyT_RzOwJlqzi3ojR1IfnuS9Ej5P/view?usp=drivesdk</t>
  </si>
  <si>
    <t>Document successfully created; Document successfully merged; PDF created; !!Error Sending Emails: Service invoked too many times for one day: email.; Manually run by ecertificate75@gmail.com; Timestamp: Aug 31 2024 3:55 AM</t>
  </si>
  <si>
    <t>JAMILAH</t>
  </si>
  <si>
    <t>jamila.jm1331@gmail.com</t>
  </si>
  <si>
    <t>2397</t>
  </si>
  <si>
    <t>https://drive.google.com/file/d/1FeqVxcf1HKM7vdryHQkcbU9rseIq1nmU/view?usp=drivesdk</t>
  </si>
  <si>
    <t>1FeqVxcf1HKM7vdryHQkcbU9rseIq1nmU</t>
  </si>
  <si>
    <t>12MoBv9VcKjHT-5h46YIThPt2dgrzS8CF</t>
  </si>
  <si>
    <t>https://drive.google.com/file/d/12MoBv9VcKjHT-5h46YIThPt2dgrzS8CF/view?usp=drivesdk</t>
  </si>
  <si>
    <t>SITI ASIYAH</t>
  </si>
  <si>
    <t>sitiasiyah8811@gmail.com</t>
  </si>
  <si>
    <t>2398</t>
  </si>
  <si>
    <t>https://drive.google.com/file/d/1zUJb3MPNJB8l0lrJkbwzGSHBiVHCGJPa/view?usp=drivesdk</t>
  </si>
  <si>
    <t>1zUJb3MPNJB8l0lrJkbwzGSHBiVHCGJPa</t>
  </si>
  <si>
    <t>1ygamCtnjA9C49pby1B16lk0_Pc6lrlIe</t>
  </si>
  <si>
    <t>https://drive.google.com/file/d/1ygamCtnjA9C49pby1B16lk0_Pc6lrlIe/view?usp=drivesdk</t>
  </si>
  <si>
    <t>MUH. AMIN SYAIFULLAH</t>
  </si>
  <si>
    <t>aminsyarief72@gmail.com</t>
  </si>
  <si>
    <t>2399</t>
  </si>
  <si>
    <t>Starting at Thu Aug 29 2024 21:09:53 GMT-0400 (EDT)</t>
  </si>
  <si>
    <t>1_2LnT59X2dD2Qrl-q-oW1PPcLhrokMZP</t>
  </si>
  <si>
    <t>https://drive.google.com/file/d/1_2LnT59X2dD2Qrl-q-oW1PPcLhrokMZP/view?usp=drivesdk</t>
  </si>
  <si>
    <t>RISNAWATI</t>
  </si>
  <si>
    <t>oppoa78kdg65@gmail.com</t>
  </si>
  <si>
    <t>2400</t>
  </si>
  <si>
    <t>1skiHyxGf5iLO2VOfVQQlaUWBiUcQHNnj</t>
  </si>
  <si>
    <t>https://drive.google.com/file/d/1skiHyxGf5iLO2VOfVQQlaUWBiUcQHNnj/view?usp=drivesdk</t>
  </si>
  <si>
    <t>SUPRIYATI</t>
  </si>
  <si>
    <t>violentaeka14@gmail.com</t>
  </si>
  <si>
    <t>2401</t>
  </si>
  <si>
    <t>14G6jFlC6cSieqCzgWx--Vq44duGwvo6M</t>
  </si>
  <si>
    <t>https://drive.google.com/file/d/14G6jFlC6cSieqCzgWx--Vq44duGwvo6M/view?usp=drivesdk</t>
  </si>
  <si>
    <t>ADANG KARWITA</t>
  </si>
  <si>
    <t>adangkarwita1967@gmail.com</t>
  </si>
  <si>
    <t>2402</t>
  </si>
  <si>
    <t>1o8LfsSFA6i8J6vLBmuekQaNMnjjy7nJW</t>
  </si>
  <si>
    <t>https://drive.google.com/file/d/1o8LfsSFA6i8J6vLBmuekQaNMnjjy7nJW/view?usp=drivesdk</t>
  </si>
  <si>
    <t>Document successfully created; Document successfully merged; PDF created; !!Error Sending Emails: Service invoked too many times for one day: email.; Manually run by ecertificate75@gmail.com; Timestamp: Aug 31 2024 3:56 AM</t>
  </si>
  <si>
    <t xml:space="preserve">LINA UMARA </t>
  </si>
  <si>
    <t>linaumara81@gmail.com</t>
  </si>
  <si>
    <t>2403</t>
  </si>
  <si>
    <t>14nan5yQi76K0IXFRk6Ynd5Wp_KTvoE8P</t>
  </si>
  <si>
    <t>https://drive.google.com/file/d/14nan5yQi76K0IXFRk6Ynd5Wp_KTvoE8P/view?usp=drivesdk</t>
  </si>
  <si>
    <t>ALAMSYAH, SH</t>
  </si>
  <si>
    <t>alamsyahhcute@gmail.com</t>
  </si>
  <si>
    <t>2404</t>
  </si>
  <si>
    <t>1vb-tPyCZMIbctCbT8CkJ4NQys69UAGzU</t>
  </si>
  <si>
    <t>https://drive.google.com/file/d/1vb-tPyCZMIbctCbT8CkJ4NQys69UAGzU/view?usp=drivesdk</t>
  </si>
  <si>
    <t>SUKARDI</t>
  </si>
  <si>
    <t>sukardi6868@gmail.com</t>
  </si>
  <si>
    <t>2405</t>
  </si>
  <si>
    <t>19_GEehgsTdOvSnZK_LuWQMmza9W1FiG-</t>
  </si>
  <si>
    <t>https://drive.google.com/file/d/19_GEehgsTdOvSnZK_LuWQMmza9W1FiG-/view?usp=drivesdk</t>
  </si>
  <si>
    <t>ZEVI OKTAVIANTO</t>
  </si>
  <si>
    <t>zevioktaf@gmail.com</t>
  </si>
  <si>
    <t>2406</t>
  </si>
  <si>
    <t>1pJLdep8IQzgu4aUB1pLnks9CKRW37Aql</t>
  </si>
  <si>
    <t>https://drive.google.com/file/d/1pJLdep8IQzgu4aUB1pLnks9CKRW37Aql/view?usp=drivesdk</t>
  </si>
  <si>
    <t>HUDA AGUSTIN</t>
  </si>
  <si>
    <t>hudaagustin85@gmail.com</t>
  </si>
  <si>
    <t>2407</t>
  </si>
  <si>
    <t>1T89wZk49W4WytWULwLcGlBHYkmaaiIaO</t>
  </si>
  <si>
    <t>https://drive.google.com/file/d/1T89wZk49W4WytWULwLcGlBHYkmaaiIaO/view?usp=drivesdk</t>
  </si>
  <si>
    <t>WARNALI</t>
  </si>
  <si>
    <t>Warnalibae123@gmail.com</t>
  </si>
  <si>
    <t>2408</t>
  </si>
  <si>
    <t>1yh14fTi4hVZrs9DFXs6AzqqjfEWDhfiN</t>
  </si>
  <si>
    <t>https://drive.google.com/file/d/1yh14fTi4hVZrs9DFXs6AzqqjfEWDhfiN/view?usp=drivesdk</t>
  </si>
  <si>
    <t>Document successfully created; Document successfully merged; PDF created; !!Error Sending Emails: Service invoked too many times for one day: email.; Manually run by ecertificate75@gmail.com; Timestamp: Aug 31 2024 3:57 AM</t>
  </si>
  <si>
    <t>IFANA KOMARIA</t>
  </si>
  <si>
    <t>ifa.ifana81@gmail.com</t>
  </si>
  <si>
    <t>2409</t>
  </si>
  <si>
    <t>1RyS9M81HZtFLIIsF9M5vyxic5PVQYqu_</t>
  </si>
  <si>
    <t>https://drive.google.com/file/d/1RyS9M81HZtFLIIsF9M5vyxic5PVQYqu_/view?usp=drivesdk</t>
  </si>
  <si>
    <t>EVITA ROSANTI</t>
  </si>
  <si>
    <t>evitarosanti30@gmail.com</t>
  </si>
  <si>
    <t>2410</t>
  </si>
  <si>
    <t>1lZc2SkzbDVsv__hoZee4LIO5c7SR9LhH</t>
  </si>
  <si>
    <t>https://drive.google.com/file/d/1lZc2SkzbDVsv__hoZee4LIO5c7SR9LhH/view?usp=drivesdk</t>
  </si>
  <si>
    <t>HAURIA LAKORO</t>
  </si>
  <si>
    <t>haurialakoro23@gmail.com</t>
  </si>
  <si>
    <t>2411</t>
  </si>
  <si>
    <t>1ScndPefjKoXsJXjTi2cYLgsLscK-y1_W</t>
  </si>
  <si>
    <t>https://drive.google.com/file/d/1ScndPefjKoXsJXjTi2cYLgsLscK-y1_W/view?usp=drivesdk</t>
  </si>
  <si>
    <t>WALUYO , SE</t>
  </si>
  <si>
    <t>waluyo@gmail.com</t>
  </si>
  <si>
    <t>2412</t>
  </si>
  <si>
    <t>15G0LOz7yWDHphe_mzw6TkI_fgd4xS8V4</t>
  </si>
  <si>
    <t>https://drive.google.com/file/d/15G0LOz7yWDHphe_mzw6TkI_fgd4xS8V4/view?usp=drivesdk</t>
  </si>
  <si>
    <t xml:space="preserve">HARYANTI </t>
  </si>
  <si>
    <t>haryanti.wiyono@gmail.com</t>
  </si>
  <si>
    <t>2413</t>
  </si>
  <si>
    <t>1JSYX7Vxx9kphUOSnHOjdymWPJFzKZmma</t>
  </si>
  <si>
    <t>https://drive.google.com/file/d/1JSYX7Vxx9kphUOSnHOjdymWPJFzKZmma/view?usp=drivesdk</t>
  </si>
  <si>
    <t>Document successfully created; Document successfully merged; PDF created; !!Error Sending Emails: Service invoked too many times for one day: email.; Manually run by ecertificate75@gmail.com; Timestamp: Aug 31 2024 3:58 AM</t>
  </si>
  <si>
    <t>A V N I N A W A T I</t>
  </si>
  <si>
    <t>diazlovenina@gmail.con</t>
  </si>
  <si>
    <t>2414</t>
  </si>
  <si>
    <t>19bIJHkzvkpuecKXCJ3s1nIclBrGZeT6s</t>
  </si>
  <si>
    <t>https://drive.google.com/file/d/19bIJHkzvkpuecKXCJ3s1nIclBrGZeT6s/view?usp=drivesdk</t>
  </si>
  <si>
    <t>DENSI FEBRIANI, S.E</t>
  </si>
  <si>
    <t>densifebtiani14@gmail.com</t>
  </si>
  <si>
    <t>2415</t>
  </si>
  <si>
    <t>1B-0xB6yd2yOYJBOdl0FudpYOFea6bpBs</t>
  </si>
  <si>
    <t>https://drive.google.com/file/d/1B-0xB6yd2yOYJBOdl0FudpYOFea6bpBs/view?usp=drivesdk</t>
  </si>
  <si>
    <t>DRG ANGGY ANGGARINI, Sp.K.G</t>
  </si>
  <si>
    <t>anggy.anggarini1979@gmail.com</t>
  </si>
  <si>
    <t>2416</t>
  </si>
  <si>
    <t>1AQMnYD_V9V-b_gNtjZg5moRysIILMGBr</t>
  </si>
  <si>
    <t>https://drive.google.com/file/d/1AQMnYD_V9V-b_gNtjZg5moRysIILMGBr/view?usp=drivesdk</t>
  </si>
  <si>
    <t>LESI WULANDARI, AMD. GIZI</t>
  </si>
  <si>
    <t>lesiwulandari3@gmail.com</t>
  </si>
  <si>
    <t>2417</t>
  </si>
  <si>
    <t>1SW7KMX5g2k2YuYdKqP3R8v5glsiCsXhS</t>
  </si>
  <si>
    <t>https://drive.google.com/file/d/1SW7KMX5g2k2YuYdKqP3R8v5glsiCsXhS/view?usp=drivesdk</t>
  </si>
  <si>
    <t>TARYA,SH</t>
  </si>
  <si>
    <t>taryatarya68@gmail.com</t>
  </si>
  <si>
    <t>2418</t>
  </si>
  <si>
    <t>1tYngv7k6zseO3YlWC3GIFnUKUkfdAz8-</t>
  </si>
  <si>
    <t>https://drive.google.com/file/d/1tYngv7k6zseO3YlWC3GIFnUKUkfdAz8-/view?usp=drivesdk</t>
  </si>
  <si>
    <t>Document successfully created; Document successfully merged; PDF created; !!Error Sending Emails: Service invoked too many times for one day: email.; Manually run by ecertificate75@gmail.com; Timestamp: Aug 31 2024 3:59 AM</t>
  </si>
  <si>
    <t xml:space="preserve">MUSLIKAH </t>
  </si>
  <si>
    <t>musmuslikah30@gmail.com</t>
  </si>
  <si>
    <t>2419</t>
  </si>
  <si>
    <t>1AvZPllh2bQIoeOPXHiynOluAr7YQiSWI</t>
  </si>
  <si>
    <t>https://drive.google.com/file/d/1AvZPllh2bQIoeOPXHiynOluAr7YQiSWI/view?usp=drivesdk</t>
  </si>
  <si>
    <t>holifahsyukur@gmail.com</t>
  </si>
  <si>
    <t>2420</t>
  </si>
  <si>
    <t>1NoVlJAByo2qa2Hygr7zE9N73e8_YdBGR</t>
  </si>
  <si>
    <t>https://drive.google.com/file/d/1NoVlJAByo2qa2Hygr7zE9N73e8_YdBGR/view?usp=drivesdk</t>
  </si>
  <si>
    <t>Bagus Komang Corry Agung Suarsananda, A.Md.Kep</t>
  </si>
  <si>
    <t>corryagung1994@gmail.com</t>
  </si>
  <si>
    <t>2421</t>
  </si>
  <si>
    <t>1kl7YFmsrn2nIlu91etrq-SwZj52-uSC-</t>
  </si>
  <si>
    <t>https://drive.google.com/file/d/1kl7YFmsrn2nIlu91etrq-SwZj52-uSC-/view?usp=drivesdk</t>
  </si>
  <si>
    <t>UMI KALSUM AMD</t>
  </si>
  <si>
    <t>umikalsum7606@gmail.com</t>
  </si>
  <si>
    <t>2422</t>
  </si>
  <si>
    <t>14kI2dFxqNEmclel69jLD0Lu-oQJydsW-</t>
  </si>
  <si>
    <t>https://drive.google.com/file/d/14kI2dFxqNEmclel69jLD0Lu-oQJydsW-/view?usp=drivesdk</t>
  </si>
  <si>
    <t>FARIDA  JUMULA</t>
  </si>
  <si>
    <t>faridajumula1512@gmail.com</t>
  </si>
  <si>
    <t>2423</t>
  </si>
  <si>
    <t>1gpU6pKltYnmsQyRJJFEcxehunhk_OuwU</t>
  </si>
  <si>
    <t>https://drive.google.com/file/d/1gpU6pKltYnmsQyRJJFEcxehunhk_OuwU/view?usp=drivesdk</t>
  </si>
  <si>
    <t xml:space="preserve">MARWIYAH </t>
  </si>
  <si>
    <t>marwiyahrivai2015@gmail.com</t>
  </si>
  <si>
    <t>2424</t>
  </si>
  <si>
    <t>1NBbB5aKI9XJQNsg9N4wvfV94s4Cmjt4a</t>
  </si>
  <si>
    <t>https://drive.google.com/file/d/1NBbB5aKI9XJQNsg9N4wvfV94s4Cmjt4a/view?usp=drivesdk</t>
  </si>
  <si>
    <t>ZAHRIAH, S.E.</t>
  </si>
  <si>
    <t>zahriahzee@gmail.com</t>
  </si>
  <si>
    <t>2425</t>
  </si>
  <si>
    <t>1zeqaZXqZU58W4qqGIh4jaiHi1H4Bw2A3</t>
  </si>
  <si>
    <t>https://drive.google.com/file/d/1zeqaZXqZU58W4qqGIh4jaiHi1H4Bw2A3/view?usp=drivesdk</t>
  </si>
  <si>
    <t>Document successfully created; Document successfully merged; PDF created; !!Error Sending Emails: Service invoked too many times for one day: email.; Manually run by ecertificate75@gmail.com; Timestamp: Aug 31 2024 4:00 AM</t>
  </si>
  <si>
    <t>RIYANTI DWI</t>
  </si>
  <si>
    <t>yanthe43@gmail.com</t>
  </si>
  <si>
    <t>2426</t>
  </si>
  <si>
    <t>10KS7WzIvXbpb5nYK-jQ016qHlgQl2auq</t>
  </si>
  <si>
    <t>https://drive.google.com/file/d/10KS7WzIvXbpb5nYK-jQ016qHlgQl2auq/view?usp=drivesdk</t>
  </si>
  <si>
    <t>ENDI RUSDIYANTO</t>
  </si>
  <si>
    <t>endipwt@gmail.com</t>
  </si>
  <si>
    <t>2427</t>
  </si>
  <si>
    <t>1yN1cT_u6NV3RMFewtDMn9kneCx46IPX2</t>
  </si>
  <si>
    <t>https://drive.google.com/file/d/1yN1cT_u6NV3RMFewtDMn9kneCx46IPX2/view?usp=drivesdk</t>
  </si>
  <si>
    <t>SRI SUPRIANTI</t>
  </si>
  <si>
    <t>cytamanesya@gmail.com</t>
  </si>
  <si>
    <t>2428</t>
  </si>
  <si>
    <t>15FnCnot5SF1n8-ptOyo3AWOb-LBqD82c</t>
  </si>
  <si>
    <t>https://drive.google.com/file/d/15FnCnot5SF1n8-ptOyo3AWOb-LBqD82c/view?usp=drivesdk</t>
  </si>
  <si>
    <t>HERMIN SETIYAWATI</t>
  </si>
  <si>
    <t>hermin.wati12@gmail.com</t>
  </si>
  <si>
    <t>2429</t>
  </si>
  <si>
    <t>1NiBMdTXioePyYMZfXkCjYwCCTid176l4</t>
  </si>
  <si>
    <t>https://drive.google.com/file/d/1NiBMdTXioePyYMZfXkCjYwCCTid176l4/view?usp=drivesdk</t>
  </si>
  <si>
    <t>STEPANUS GUNARDI</t>
  </si>
  <si>
    <t>ardiphysical92@gmail.com</t>
  </si>
  <si>
    <t>2430</t>
  </si>
  <si>
    <t>1v7EQsaGWh6ZDjsFCVaxoq8tUZD5cDgka</t>
  </si>
  <si>
    <t>https://drive.google.com/file/d/1v7EQsaGWh6ZDjsFCVaxoq8tUZD5cDgka/view?usp=drivesdk</t>
  </si>
  <si>
    <t xml:space="preserve">SAMSUL FITRI </t>
  </si>
  <si>
    <t>samsulhnf@gmail.com</t>
  </si>
  <si>
    <t>2431</t>
  </si>
  <si>
    <t>1BbCffoUNYXTWhKYzhJsy3ARvUJyx0uFf</t>
  </si>
  <si>
    <t>https://drive.google.com/file/d/1BbCffoUNYXTWhKYzhJsy3ARvUJyx0uFf/view?usp=drivesdk</t>
  </si>
  <si>
    <t>Document successfully created; Document successfully merged; PDF created; !!Error Sending Emails: Service invoked too many times for one day: email.; Manually run by ecertificate75@gmail.com; Timestamp: Aug 31 2024 4:01 AM</t>
  </si>
  <si>
    <t>SUGESTI BAYU ASIH, Amd.Kep</t>
  </si>
  <si>
    <t>sugestibayuasihlmj@gmail.com</t>
  </si>
  <si>
    <t>2432</t>
  </si>
  <si>
    <t>1qK8iawa-RlxkAid_KjP2GjLjS-tb8hCd</t>
  </si>
  <si>
    <t>https://drive.google.com/file/d/1qK8iawa-RlxkAid_KjP2GjLjS-tb8hCd/view?usp=drivesdk</t>
  </si>
  <si>
    <t>ABDUL KHALIK, A.MD.</t>
  </si>
  <si>
    <t>ambon.kulup@gmail.com</t>
  </si>
  <si>
    <t>2433</t>
  </si>
  <si>
    <t>1g3jb2xxC4VZaN0tISCeSZtjFy_1-doin</t>
  </si>
  <si>
    <t>https://drive.google.com/file/d/1g3jb2xxC4VZaN0tISCeSZtjFy_1-doin/view?usp=drivesdk</t>
  </si>
  <si>
    <t>NANI ANGGRAENI, A.Md.Kep</t>
  </si>
  <si>
    <t>naniianggraenii@gmail.com</t>
  </si>
  <si>
    <t>2434</t>
  </si>
  <si>
    <t>1bVvMjMsACDPaw3d5SRJn6pq8MgXwApLU</t>
  </si>
  <si>
    <t>https://drive.google.com/file/d/1bVvMjMsACDPaw3d5SRJn6pq8MgXwApLU/view?usp=drivesdk</t>
  </si>
  <si>
    <t>IZON PERMANA FITRA, S. Farm</t>
  </si>
  <si>
    <t>izonpermana@gmail.com</t>
  </si>
  <si>
    <t>2435</t>
  </si>
  <si>
    <t>1p494i3wWqsZMViBBEPaZKWEwMeE015Sb</t>
  </si>
  <si>
    <t>https://drive.google.com/file/d/1p494i3wWqsZMViBBEPaZKWEwMeE015Sb/view?usp=drivesdk</t>
  </si>
  <si>
    <t>Ns.Radiya,S.Kep</t>
  </si>
  <si>
    <t>radiyalisman@gmail.com</t>
  </si>
  <si>
    <t>2436</t>
  </si>
  <si>
    <t>1cxY5FJ8YQFC6XkY8SjvIaUNUGNcvOXg7</t>
  </si>
  <si>
    <t>https://drive.google.com/file/d/1cxY5FJ8YQFC6XkY8SjvIaUNUGNcvOXg7/view?usp=drivesdk</t>
  </si>
  <si>
    <t>Document successfully created; Document successfully merged; PDF created; !!Error Sending Emails: Service invoked too many times for one day: email.; Manually run by ecertificate75@gmail.com; Timestamp: Aug 31 2024 4:02 AM</t>
  </si>
  <si>
    <t>SOENOKO</t>
  </si>
  <si>
    <t>soenokoaja@gmail.com</t>
  </si>
  <si>
    <t>2437</t>
  </si>
  <si>
    <t>1j-_exSpEAYhGg2avLUz73wzZm1I9c7AB</t>
  </si>
  <si>
    <t>https://drive.google.com/file/d/1j-_exSpEAYhGg2avLUz73wzZm1I9c7AB/view?usp=drivesdk</t>
  </si>
  <si>
    <t>TARBIAT</t>
  </si>
  <si>
    <t>tarbiyat489@gmail.com</t>
  </si>
  <si>
    <t>2438</t>
  </si>
  <si>
    <t>1ajHciVJR3gsD137sFXfne3irqZbW0L93</t>
  </si>
  <si>
    <t>https://drive.google.com/file/d/1ajHciVJR3gsD137sFXfne3irqZbW0L93/view?usp=drivesdk</t>
  </si>
  <si>
    <t>HENDRA KOMARA, S.IP</t>
  </si>
  <si>
    <t>hkagokil@gmail.com</t>
  </si>
  <si>
    <t>2439</t>
  </si>
  <si>
    <t>10GVQjK30Uadwsr0sVOtSNCDt9RWZj0pl</t>
  </si>
  <si>
    <t>https://drive.google.com/file/d/10GVQjK30Uadwsr0sVOtSNCDt9RWZj0pl/view?usp=drivesdk</t>
  </si>
  <si>
    <t>AGUS PRIYONO</t>
  </si>
  <si>
    <t>agusp6698@gmail.com</t>
  </si>
  <si>
    <t>2440</t>
  </si>
  <si>
    <t>1ugsexKG9nvouQizZCHO_N1O7f5rVvmyX</t>
  </si>
  <si>
    <t>https://drive.google.com/file/d/1ugsexKG9nvouQizZCHO_N1O7f5rVvmyX/view?usp=drivesdk</t>
  </si>
  <si>
    <t>NURALVIONITA H.,A.Md.Kep</t>
  </si>
  <si>
    <t>hanuralvionita@gmail.com</t>
  </si>
  <si>
    <t>2441</t>
  </si>
  <si>
    <t>1SEAOwmIvp51iJ9oXOlq_SmUB-bOXM9tx</t>
  </si>
  <si>
    <t>https://drive.google.com/file/d/1SEAOwmIvp51iJ9oXOlq_SmUB-bOXM9tx/view?usp=drivesdk</t>
  </si>
  <si>
    <t>Document successfully created; Document successfully merged; PDF created; !!Error Sending Emails: Service invoked too many times for one day: email.; Manually run by ecertificate75@gmail.com; Timestamp: Aug 31 2024 4:03 AM</t>
  </si>
  <si>
    <t>Desi Natalia Tambunan</t>
  </si>
  <si>
    <t>desitambunan79@gmail.com</t>
  </si>
  <si>
    <t>2442</t>
  </si>
  <si>
    <t>1olDlYhGIRCW10--Fnobq0gYpxSO1lt0W</t>
  </si>
  <si>
    <t>https://drive.google.com/file/d/1olDlYhGIRCW10--Fnobq0gYpxSO1lt0W/view?usp=drivesdk</t>
  </si>
  <si>
    <t>DRA HALIZA</t>
  </si>
  <si>
    <t>lizasafiqah7@gmail.com</t>
  </si>
  <si>
    <t>2443</t>
  </si>
  <si>
    <t>1yuMzd3EVPe66s9ZHXdYymkouO1unvxN0</t>
  </si>
  <si>
    <t>https://drive.google.com/file/d/1yuMzd3EVPe66s9ZHXdYymkouO1unvxN0/view?usp=drivesdk</t>
  </si>
  <si>
    <t>YULIAN</t>
  </si>
  <si>
    <t>missyoeliands@gmail.com</t>
  </si>
  <si>
    <t>2444</t>
  </si>
  <si>
    <t>19C6biCsXCT_Beoyu2VB3yIMG69uiUCvo</t>
  </si>
  <si>
    <t>https://drive.google.com/file/d/19C6biCsXCT_Beoyu2VB3yIMG69uiUCvo/view?usp=drivesdk</t>
  </si>
  <si>
    <t>MAWARDI</t>
  </si>
  <si>
    <t>mwardi384@gmail.com</t>
  </si>
  <si>
    <t>2445</t>
  </si>
  <si>
    <t>1Na9W45n3Y2z9RKOUgNt_cbt4ydRaJJsB</t>
  </si>
  <si>
    <t>https://drive.google.com/file/d/1Na9W45n3Y2z9RKOUgNt_cbt4ydRaJJsB/view?usp=drivesdk</t>
  </si>
  <si>
    <t xml:space="preserve">ANWARUDIN </t>
  </si>
  <si>
    <t>cirebonanwar46@gmail.com</t>
  </si>
  <si>
    <t>2446</t>
  </si>
  <si>
    <t>1hKd-5IoZoDnmyDE-QgEI8fOXjSiK9loY</t>
  </si>
  <si>
    <t>https://drive.google.com/file/d/1hKd-5IoZoDnmyDE-QgEI8fOXjSiK9loY/view?usp=drivesdk</t>
  </si>
  <si>
    <t>Document successfully created; Document successfully merged; PDF created; !!Error Sending Emails: Service invoked too many times for one day: email.; Manually run by ecertificate75@gmail.com; Timestamp: Aug 31 2024 4:04 AM</t>
  </si>
  <si>
    <t>SUKAISI S.H</t>
  </si>
  <si>
    <t>2447</t>
  </si>
  <si>
    <t>1rhj6HDJsxCSDWV0ODhRPQXQOSaeN_Rm9</t>
  </si>
  <si>
    <t>https://drive.google.com/file/d/1rhj6HDJsxCSDWV0ODhRPQXQOSaeN_Rm9/view?usp=drivesdk</t>
  </si>
  <si>
    <t>UMIROH,S.E</t>
  </si>
  <si>
    <t>umirohkop@gmail.com</t>
  </si>
  <si>
    <t>2448</t>
  </si>
  <si>
    <t>1JGzWlt_IR4Koh6QK0-EgbrVP-DadU4wH</t>
  </si>
  <si>
    <t>https://drive.google.com/file/d/1JGzWlt_IR4Koh6QK0-EgbrVP-DadU4wH/view?usp=drivesdk</t>
  </si>
  <si>
    <t>SULISTYANINGSIH</t>
  </si>
  <si>
    <t>tyaningsih.sulis24@gmail.com</t>
  </si>
  <si>
    <t>2449</t>
  </si>
  <si>
    <t>1we1fcf6FQRRtZBrHljd2ZKuGg-BwE_yw</t>
  </si>
  <si>
    <t>https://drive.google.com/file/d/1we1fcf6FQRRtZBrHljd2ZKuGg-BwE_yw/view?usp=drivesdk</t>
  </si>
  <si>
    <t>EKO CAHYO BAYU PRIHANTO</t>
  </si>
  <si>
    <t>ekocahyo565@gmail.com</t>
  </si>
  <si>
    <t>2450</t>
  </si>
  <si>
    <t>1w6DYmzqo8mJUlHgjOngHvVpQUnd8DRss</t>
  </si>
  <si>
    <t>https://drive.google.com/file/d/1w6DYmzqo8mJUlHgjOngHvVpQUnd8DRss/view?usp=drivesdk</t>
  </si>
  <si>
    <t>ILAH RATNA KOMALA, S.Pd</t>
  </si>
  <si>
    <t>ratnakomala077@gmail.com</t>
  </si>
  <si>
    <t>2451</t>
  </si>
  <si>
    <t>1hX7-_lclG80G-sQWU8wGFGjeFABiJ7Qc</t>
  </si>
  <si>
    <t>https://drive.google.com/file/d/1hX7-_lclG80G-sQWU8wGFGjeFABiJ7Qc/view?usp=drivesdk</t>
  </si>
  <si>
    <t>MUHAMAD HARUN SAPARJI</t>
  </si>
  <si>
    <t>harunsapar8@gmail.com</t>
  </si>
  <si>
    <t>2452</t>
  </si>
  <si>
    <t>1Ub59b2Hy8FpICS41LXIUe3zOhKREm68b</t>
  </si>
  <si>
    <t>https://drive.google.com/file/d/1Ub59b2Hy8FpICS41LXIUe3zOhKREm68b/view?usp=drivesdk</t>
  </si>
  <si>
    <t>RINI EKA SARI, S.Si.</t>
  </si>
  <si>
    <t>riniekasari375@gmail.com</t>
  </si>
  <si>
    <t>2453</t>
  </si>
  <si>
    <t>17q3wiDqL6GTvE9-_moX4paI1WyxKWu07</t>
  </si>
  <si>
    <t>https://drive.google.com/file/d/17q3wiDqL6GTvE9-_moX4paI1WyxKWu07/view?usp=drivesdk</t>
  </si>
  <si>
    <t>Document successfully created; Document successfully merged; PDF created; !!Error Sending Emails: Service invoked too many times for one day: email.; Manually run by ecertificate75@gmail.com; Timestamp: Aug 31 2024 4:05 AM</t>
  </si>
  <si>
    <t xml:space="preserve">DEDI ZAIN </t>
  </si>
  <si>
    <t>dedideza82@gmail.com</t>
  </si>
  <si>
    <t>2454</t>
  </si>
  <si>
    <t>16ck_qG80dmkKW4bVU3vsi8M1ircaTbb_</t>
  </si>
  <si>
    <t>https://drive.google.com/file/d/16ck_qG80dmkKW4bVU3vsi8M1ircaTbb_/view?usp=drivesdk</t>
  </si>
  <si>
    <t>YANTI, SE.</t>
  </si>
  <si>
    <t>propamyanti@gmail.com</t>
  </si>
  <si>
    <t>2455</t>
  </si>
  <si>
    <t>1uL9VgyM-tMzd6loTf9GFaNQlhaJy9arA</t>
  </si>
  <si>
    <t>https://drive.google.com/file/d/1uL9VgyM-tMzd6loTf9GFaNQlhaJy9arA/view?usp=drivesdk</t>
  </si>
  <si>
    <t>sulissukandar99@gmail.com</t>
  </si>
  <si>
    <t>2456</t>
  </si>
  <si>
    <t>1D5PfCaybyrGveh6AuFj6iGvzUhVA_p3k</t>
  </si>
  <si>
    <t>https://drive.google.com/file/d/1D5PfCaybyrGveh6AuFj6iGvzUhVA_p3k/view?usp=drivesdk</t>
  </si>
  <si>
    <t>YAYAH ERMIKA SAPUTRI, A.Md.</t>
  </si>
  <si>
    <t>yayahermika@gmail.com</t>
  </si>
  <si>
    <t>2457</t>
  </si>
  <si>
    <t>1kYi32JCfPo4eqpY5ZFb1-WFA157etPye</t>
  </si>
  <si>
    <t>https://drive.google.com/file/d/1kYi32JCfPo4eqpY5ZFb1-WFA157etPye/view?usp=drivesdk</t>
  </si>
  <si>
    <t>IDA KOMARIA</t>
  </si>
  <si>
    <t>idanaurah10199@gmai.com</t>
  </si>
  <si>
    <t>2458</t>
  </si>
  <si>
    <t>1q7zGWmzjSsX3Fhy6gzJAD99ha5sdfM1-</t>
  </si>
  <si>
    <t>https://drive.google.com/file/d/1q7zGWmzjSsX3Fhy6gzJAD99ha5sdfM1-/view?usp=drivesdk</t>
  </si>
  <si>
    <t xml:space="preserve">MUHLIS </t>
  </si>
  <si>
    <t>muhlisir71@gmail.com</t>
  </si>
  <si>
    <t>2459</t>
  </si>
  <si>
    <t>1om664ws1SAidqgRTxxFAudTmj6CVV0u6</t>
  </si>
  <si>
    <t>https://drive.google.com/file/d/1om664ws1SAidqgRTxxFAudTmj6CVV0u6/view?usp=drivesdk</t>
  </si>
  <si>
    <t>Document successfully created; Document successfully merged; PDF created; !!Error Sending Emails: Service invoked too many times for one day: email.; Manually run by ecertificate75@gmail.com; Timestamp: Aug 31 2024 4:06 AM</t>
  </si>
  <si>
    <t>I NYOMAN SUARDIKA</t>
  </si>
  <si>
    <t>nyoman.ecilop@gmail.com</t>
  </si>
  <si>
    <t>2460</t>
  </si>
  <si>
    <t>1XaQRYolL5SkE3EB8CLuXYSwUGYB_R51U</t>
  </si>
  <si>
    <t>https://drive.google.com/file/d/1XaQRYolL5SkE3EB8CLuXYSwUGYB_R51U/view?usp=drivesdk</t>
  </si>
  <si>
    <t>ASEP FIRDAN A.M KEP</t>
  </si>
  <si>
    <t>firdanchicarito@gmail.com</t>
  </si>
  <si>
    <t>2461</t>
  </si>
  <si>
    <t>1RABQcTAXGfmGZurToYDSlkFh7cmbagQn</t>
  </si>
  <si>
    <t>https://drive.google.com/file/d/1RABQcTAXGfmGZurToYDSlkFh7cmbagQn/view?usp=drivesdk</t>
  </si>
  <si>
    <t>ACHMAD ARIFIN</t>
  </si>
  <si>
    <t>achmad.arifin858@gmail.com</t>
  </si>
  <si>
    <t>2462</t>
  </si>
  <si>
    <t>1E41RvjeOrGigvIAbg-Px6smdKCOztOUm</t>
  </si>
  <si>
    <t>https://drive.google.com/file/d/1E41RvjeOrGigvIAbg-Px6smdKCOztOUm/view?usp=drivesdk</t>
  </si>
  <si>
    <t>HERLINA</t>
  </si>
  <si>
    <t>herina0976@gmail.com</t>
  </si>
  <si>
    <t>2463</t>
  </si>
  <si>
    <t>1nWJMBqScAdlHEiKgPd4o5X6nLOcxGncJ</t>
  </si>
  <si>
    <t>https://drive.google.com/file/d/1nWJMBqScAdlHEiKgPd4o5X6nLOcxGncJ/view?usp=drivesdk</t>
  </si>
  <si>
    <t xml:space="preserve">DEWI RATNAWATI </t>
  </si>
  <si>
    <t>eddy.kusmianti@gmail.com</t>
  </si>
  <si>
    <t>2464</t>
  </si>
  <si>
    <t>18DcNJTrzXloUurWmcgXPwwEGczM1apZX</t>
  </si>
  <si>
    <t>https://drive.google.com/file/d/18DcNJTrzXloUurWmcgXPwwEGczM1apZX/view?usp=drivesdk</t>
  </si>
  <si>
    <t>ERY KURNIAWAN, A.Md.</t>
  </si>
  <si>
    <t>3rynita.kurniawan@gmail.com</t>
  </si>
  <si>
    <t>2465</t>
  </si>
  <si>
    <t>1HRNHsHG5sZhfvjpVtyI65rb4QQOfsZDW</t>
  </si>
  <si>
    <t>https://drive.google.com/file/d/1HRNHsHG5sZhfvjpVtyI65rb4QQOfsZDW/view?usp=drivesdk</t>
  </si>
  <si>
    <t>Document successfully created; Document successfully merged; PDF created; !!Error Sending Emails: Service invoked too many times for one day: email.; Manually run by ecertificate75@gmail.com; Timestamp: Aug 31 2024 4:07 AM</t>
  </si>
  <si>
    <t>SESMITA</t>
  </si>
  <si>
    <t>sesmita27@gmail.com</t>
  </si>
  <si>
    <t>2466</t>
  </si>
  <si>
    <t>1Qot-aWGMedFxgFDhXBslSJymnfQOr9CY</t>
  </si>
  <si>
    <t>https://drive.google.com/file/d/1Qot-aWGMedFxgFDhXBslSJymnfQOr9CY/view?usp=drivesdk</t>
  </si>
  <si>
    <t>SRI DEWI</t>
  </si>
  <si>
    <t>sd4881048@gmail.com</t>
  </si>
  <si>
    <t>2467</t>
  </si>
  <si>
    <t>1h9KljfXoDVWqoHCB-fodmy162pYwHSAn</t>
  </si>
  <si>
    <t>https://drive.google.com/file/d/1h9KljfXoDVWqoHCB-fodmy162pYwHSAn/view?usp=drivesdk</t>
  </si>
  <si>
    <t>SITI IMAROH</t>
  </si>
  <si>
    <t>imarohspnpoldajatim@gmail.com</t>
  </si>
  <si>
    <t>2468</t>
  </si>
  <si>
    <t>1wKl2Y8e8mUebjKJGP7Lji7zqBnxXJRBH</t>
  </si>
  <si>
    <t>https://drive.google.com/file/d/1wKl2Y8e8mUebjKJGP7Lji7zqBnxXJRBH/view?usp=drivesdk</t>
  </si>
  <si>
    <t>BUNDA KASMI</t>
  </si>
  <si>
    <t>bundakasmi85@gmail.com</t>
  </si>
  <si>
    <t>2469</t>
  </si>
  <si>
    <t>1FIoYnj9G81TrZd4GWOm4bS3ULVG8GqNh</t>
  </si>
  <si>
    <t>https://drive.google.com/file/d/1FIoYnj9G81TrZd4GWOm4bS3ULVG8GqNh/view?usp=drivesdk</t>
  </si>
  <si>
    <t>Document successfully created; Document successfully merged; PDF created; !!Error Sending Emails: Service invoked too many times for one day: email.; Manually run by ecertificate75@gmail.com; Timestamp: Aug 31 2024 4:08 AM</t>
  </si>
  <si>
    <t xml:space="preserve">ASIH DIAN ASMORO, S. A. P. </t>
  </si>
  <si>
    <t>dhianasmoro@gmail.com</t>
  </si>
  <si>
    <t>2470</t>
  </si>
  <si>
    <t>1dt3pvUkQQZMnJsTZr2jflmtInz39oica</t>
  </si>
  <si>
    <t>https://drive.google.com/file/d/1dt3pvUkQQZMnJsTZr2jflmtInz39oica/view?usp=drivesdk</t>
  </si>
  <si>
    <t xml:space="preserve">CITRA DEWI </t>
  </si>
  <si>
    <t>citradewidewi973@gmail.com</t>
  </si>
  <si>
    <t>2471</t>
  </si>
  <si>
    <t>1a-ZPFSid64L12uzHVRhOEYBCc1MUXLot</t>
  </si>
  <si>
    <t>https://drive.google.com/file/d/1a-ZPFSid64L12uzHVRhOEYBCc1MUXLot/view?usp=drivesdk</t>
  </si>
  <si>
    <t>AHMAD SUSANTO, S.H.</t>
  </si>
  <si>
    <t>ss5254124@gmail.com</t>
  </si>
  <si>
    <t>2472</t>
  </si>
  <si>
    <t>1ycnD8dYZzbjyGJE0I3n4OaDQVaCQB4Mr</t>
  </si>
  <si>
    <t>https://drive.google.com/file/d/1ycnD8dYZzbjyGJE0I3n4OaDQVaCQB4Mr/view?usp=drivesdk</t>
  </si>
  <si>
    <t>RIYANTONO.,S.H.</t>
  </si>
  <si>
    <t>riyantonosh@gmail.com</t>
  </si>
  <si>
    <t>2473</t>
  </si>
  <si>
    <t>1-jZeIIVrCR_eqe5LUgZdE_Ex9dvc1SqR</t>
  </si>
  <si>
    <t>https://drive.google.com/file/d/1-jZeIIVrCR_eqe5LUgZdE_Ex9dvc1SqR/view?usp=drivesdk</t>
  </si>
  <si>
    <t xml:space="preserve">DUWIK SANTOSO </t>
  </si>
  <si>
    <t>duwiksan83@gmail.com</t>
  </si>
  <si>
    <t>2474</t>
  </si>
  <si>
    <t>1E2ZItHIril2y2FnkLPb4NVXU_FEEz_6h</t>
  </si>
  <si>
    <t>https://drive.google.com/file/d/1E2ZItHIril2y2FnkLPb4NVXU_FEEz_6h/view?usp=drivesdk</t>
  </si>
  <si>
    <t>Document successfully created; Document successfully merged; PDF created; !!Error Sending Emails: Service invoked too many times for one day: email.; Manually run by ecertificate75@gmail.com; Timestamp: Aug 31 2024 4:09 AM</t>
  </si>
  <si>
    <t>NANIK SULISTYAWATI</t>
  </si>
  <si>
    <t>naniksulistyawati.1967@gmail.com</t>
  </si>
  <si>
    <t>2475</t>
  </si>
  <si>
    <t>12z4SCoVgT7h1zdd22Az9TMG1p_cbZVld</t>
  </si>
  <si>
    <t>https://drive.google.com/file/d/12z4SCoVgT7h1zdd22Az9TMG1p_cbZVld/view?usp=drivesdk</t>
  </si>
  <si>
    <t>HETTY MARINI  S kEP</t>
  </si>
  <si>
    <t>hettymarinidodo79@gmail.com</t>
  </si>
  <si>
    <t>2476</t>
  </si>
  <si>
    <t>10Es6_7aD6qJDM4392pZW-kqZEzRBBNcY</t>
  </si>
  <si>
    <t>https://drive.google.com/file/d/10Es6_7aD6qJDM4392pZW-kqZEzRBBNcY/view?usp=drivesdk</t>
  </si>
  <si>
    <t>ROY EFFENDY, A.MD</t>
  </si>
  <si>
    <t>subbagpnsjambi@gmail.com</t>
  </si>
  <si>
    <t>2477</t>
  </si>
  <si>
    <t>1sl6Z0OwTNHsY89AkZxT02C7U-Dyhmx5H</t>
  </si>
  <si>
    <t>https://drive.google.com/file/d/1sl6Z0OwTNHsY89AkZxT02C7U-Dyhmx5H/view?usp=drivesdk</t>
  </si>
  <si>
    <t>KADINA</t>
  </si>
  <si>
    <t>blesak1973@gmail.com</t>
  </si>
  <si>
    <t>2478</t>
  </si>
  <si>
    <t>12vkWV1km-zmT2ruNvHH7L9p_RWiaUVKS</t>
  </si>
  <si>
    <t>https://drive.google.com/file/d/12vkWV1km-zmT2ruNvHH7L9p_RWiaUVKS/view?usp=drivesdk</t>
  </si>
  <si>
    <t>HAKIM ATA ATTATURK, S.T.</t>
  </si>
  <si>
    <t>kimtaturk21@gmail.com</t>
  </si>
  <si>
    <t>2479</t>
  </si>
  <si>
    <t>1RTZWHWga26q5cgxpVjeiuKOqq41RzPFy</t>
  </si>
  <si>
    <t>https://drive.google.com/file/d/1RTZWHWga26q5cgxpVjeiuKOqq41RzPFy/view?usp=drivesdk</t>
  </si>
  <si>
    <t>Document successfully created; Document successfully merged; PDF created; !!Error Sending Emails: Service invoked too many times for one day: email.; Manually run by ecertificate75@gmail.com; Timestamp: Aug 31 2024 4:10 AM</t>
  </si>
  <si>
    <t>SRI SUGIARTI, A.MD</t>
  </si>
  <si>
    <t>sriisugiartiii10@gmail.com</t>
  </si>
  <si>
    <t>2480</t>
  </si>
  <si>
    <t>18LbEKQlImdFwFrngwxeCWrfkgxwTlaHT</t>
  </si>
  <si>
    <t>https://drive.google.com/file/d/18LbEKQlImdFwFrngwxeCWrfkgxwTlaHT/view?usp=drivesdk</t>
  </si>
  <si>
    <t>DR. AMALIA ANITA HAWAS, M.SC.</t>
  </si>
  <si>
    <t>amaliahawas712@gmail.com</t>
  </si>
  <si>
    <t>2481</t>
  </si>
  <si>
    <t>10Pte2XvEeH3uKxtoobz-aCiuNuuGBVfc</t>
  </si>
  <si>
    <t>https://drive.google.com/file/d/10Pte2XvEeH3uKxtoobz-aCiuNuuGBVfc/view?usp=drivesdk</t>
  </si>
  <si>
    <t>BARIYEM</t>
  </si>
  <si>
    <t>bariyemiyem625@gmail.com</t>
  </si>
  <si>
    <t>2482</t>
  </si>
  <si>
    <t>1V8hUn_IFFtgFm5oHfjgCR1e14sgQQXjT</t>
  </si>
  <si>
    <t>https://drive.google.com/file/d/1V8hUn_IFFtgFm5oHfjgCR1e14sgQQXjT/view?usp=drivesdk</t>
  </si>
  <si>
    <t>SITI JUARIAH</t>
  </si>
  <si>
    <t>sjuariah6807@gmail.com</t>
  </si>
  <si>
    <t>2483</t>
  </si>
  <si>
    <t>1oVudrp-zZw1PRtAQCMyHVco1b2U2utKP</t>
  </si>
  <si>
    <t>https://drive.google.com/file/d/1oVudrp-zZw1PRtAQCMyHVco1b2U2utKP/view?usp=drivesdk</t>
  </si>
  <si>
    <t>HASAN BISRI, SAG</t>
  </si>
  <si>
    <t>hasa.crbn90@gmail.com</t>
  </si>
  <si>
    <t>2484</t>
  </si>
  <si>
    <t>1Q2MxnNtTtmeq6igy-dUGoz3SCn0-XdWo</t>
  </si>
  <si>
    <t>https://drive.google.com/file/d/1Q2MxnNtTtmeq6igy-dUGoz3SCn0-XdWo/view?usp=drivesdk</t>
  </si>
  <si>
    <t>Document successfully created; Document successfully merged; PDF created; !!Error Sending Emails: Service invoked too many times for one day: email.; Run via form trigger as ecertificate75@gmail.com; Timestamp: Aug 31 2024 3:56 AM</t>
  </si>
  <si>
    <t>HELDANITA</t>
  </si>
  <si>
    <t>heldanita67@gmail.com</t>
  </si>
  <si>
    <t>2485</t>
  </si>
  <si>
    <t>1VsAHkl_tWImDjj1z33q4rD56CHS6-S6-</t>
  </si>
  <si>
    <t>https://drive.google.com/file/d/1VsAHkl_tWImDjj1z33q4rD56CHS6-S6-/view?usp=drivesdk</t>
  </si>
  <si>
    <t>Muhammad Alwi A.Md.Com</t>
  </si>
  <si>
    <t>muhammadalwi090175@gmail.com</t>
  </si>
  <si>
    <t>2486</t>
  </si>
  <si>
    <t>1FHwGgyw6Z-rSmz8UIslPJdXhUh4c38Qa</t>
  </si>
  <si>
    <t>https://drive.google.com/file/d/1FHwGgyw6Z-rSmz8UIslPJdXhUh4c38Qa/view?usp=drivesdk</t>
  </si>
  <si>
    <t>SUPRIYADI, AMK</t>
  </si>
  <si>
    <t>supriyadidahsyat123@gmail.com</t>
  </si>
  <si>
    <t>2487</t>
  </si>
  <si>
    <t>1wF2GMF-O3C9XrJcEQfsWvCGYPBpqmKKE</t>
  </si>
  <si>
    <t>https://drive.google.com/file/d/1wF2GMF-O3C9XrJcEQfsWvCGYPBpqmKKE/view?usp=drivesdk</t>
  </si>
  <si>
    <t>SRINATUN</t>
  </si>
  <si>
    <t>srinatun38@gmail.com</t>
  </si>
  <si>
    <t>2488</t>
  </si>
  <si>
    <t>163hA2GUPb4_Gp1vCrSs7Z7NOQLF1bUEr</t>
  </si>
  <si>
    <t>https://drive.google.com/file/d/163hA2GUPb4_Gp1vCrSs7Z7NOQLF1bUEr/view?usp=drivesdk</t>
  </si>
  <si>
    <t>Document successfully created; Document successfully merged; PDF created; !!Error Sending Emails: Service invoked too many times for one day: email.; Run via form trigger as ecertificate75@gmail.com; Timestamp: Aug 31 2024 3:57 AM</t>
  </si>
  <si>
    <t>ENI MULYANI</t>
  </si>
  <si>
    <t>enimulyani2008@gmail.com</t>
  </si>
  <si>
    <t>2489</t>
  </si>
  <si>
    <t>1DB_zPmg0bvOO_F38fv2-6zlZRUCG7bLo</t>
  </si>
  <si>
    <t>https://drive.google.com/file/d/1DB_zPmg0bvOO_F38fv2-6zlZRUCG7bLo/view?usp=drivesdk</t>
  </si>
  <si>
    <t>MULYATMI,S.Pd.</t>
  </si>
  <si>
    <t>mulyatmi1970@gmail.com</t>
  </si>
  <si>
    <t>2490</t>
  </si>
  <si>
    <t>1AAcRBnvOzvqXq-qo48VfzdtMTrSIVjf9</t>
  </si>
  <si>
    <t>https://drive.google.com/file/d/1AAcRBnvOzvqXq-qo48VfzdtMTrSIVjf9/view?usp=drivesdk</t>
  </si>
  <si>
    <t>SUWARGIYATI, S.H</t>
  </si>
  <si>
    <t>yatiardifa73@gmail.com</t>
  </si>
  <si>
    <t>2491</t>
  </si>
  <si>
    <t>1k3_SWGj1RPf9tpqDyoC_1JjhWu3KUy3x</t>
  </si>
  <si>
    <t>https://drive.google.com/file/d/1k3_SWGj1RPf9tpqDyoC_1JjhWu3KUy3x/view?usp=drivesdk</t>
  </si>
  <si>
    <t>YANCE ABRAT</t>
  </si>
  <si>
    <t>yance.abrar1982@gmail.com</t>
  </si>
  <si>
    <t>2492</t>
  </si>
  <si>
    <t>1EehQFLl3jXh38Aifpwzgb45uO_lRGm76</t>
  </si>
  <si>
    <t>https://drive.google.com/file/d/1EehQFLl3jXh38Aifpwzgb45uO_lRGm76/view?usp=drivesdk</t>
  </si>
  <si>
    <t>Document successfully created; Document successfully merged; PDF created; !!Error Sending Emails: Service invoked too many times for one day: email.; Run via form trigger as ecertificate75@gmail.com; Timestamp: Aug 31 2024 3:58 AM</t>
  </si>
  <si>
    <t>AGUS AFANDI</t>
  </si>
  <si>
    <t>4gus4fandi@gmail.com</t>
  </si>
  <si>
    <t>2493</t>
  </si>
  <si>
    <t>1CZvwWEopGxVo1eq7JEvAxBX5fYgYcRkT</t>
  </si>
  <si>
    <t>https://drive.google.com/file/d/1CZvwWEopGxVo1eq7JEvAxBX5fYgYcRkT/view?usp=drivesdk</t>
  </si>
  <si>
    <t>Hety Kusmiaty, S.Pd</t>
  </si>
  <si>
    <t>hetykusmiaty09@gmail.com</t>
  </si>
  <si>
    <t>2494</t>
  </si>
  <si>
    <t>11QfYX6wzw1QyFtEFiR8jtYyNCrBpFjxV</t>
  </si>
  <si>
    <t>https://drive.google.com/file/d/11QfYX6wzw1QyFtEFiR8jtYyNCrBpFjxV/view?usp=drivesdk</t>
  </si>
  <si>
    <t>ASLINA BR SEMBIRING S E</t>
  </si>
  <si>
    <t>linadepari123@g.mail</t>
  </si>
  <si>
    <t>2495</t>
  </si>
  <si>
    <t>1rEoPabWo1A827Zpx-6nxmEPdXt0kEdvU</t>
  </si>
  <si>
    <t>https://drive.google.com/file/d/1rEoPabWo1A827Zpx-6nxmEPdXt0kEdvU/view?usp=drivesdk</t>
  </si>
  <si>
    <t>FAISALAMDFARM</t>
  </si>
  <si>
    <t>faizalfelon2@gmail.com</t>
  </si>
  <si>
    <t>2496</t>
  </si>
  <si>
    <t>1CYHzkjtFpfoDbQLQS23HGfB_lj-KW7Kq</t>
  </si>
  <si>
    <t>https://drive.google.com/file/d/1CYHzkjtFpfoDbQLQS23HGfB_lj-KW7Kq/view?usp=drivesdk</t>
  </si>
  <si>
    <t>EVI MULYANI A.MD.KEB</t>
  </si>
  <si>
    <t>3333vi@gmail.com</t>
  </si>
  <si>
    <t>2497</t>
  </si>
  <si>
    <t>1_h4933vLxXAOwDRB1lM-LSw0TE0f9ojf</t>
  </si>
  <si>
    <t>https://drive.google.com/file/d/1_h4933vLxXAOwDRB1lM-LSw0TE0f9ojf/view?usp=drivesdk</t>
  </si>
  <si>
    <t>Document successfully created; Document successfully merged; PDF created; !!Error Sending Emails: Service invoked too many times for one day: email.; Run via form trigger as ecertificate75@gmail.com; Timestamp: Aug 31 2024 3:59 AM</t>
  </si>
  <si>
    <t>MARDIANA, S.SOS</t>
  </si>
  <si>
    <t>mardiana02091970@gmail.com</t>
  </si>
  <si>
    <t>2498</t>
  </si>
  <si>
    <t>1n9Jq9UypjnGAhc3vFu4rlm2f_ldfXopH</t>
  </si>
  <si>
    <t>https://drive.google.com/file/d/1n9Jq9UypjnGAhc3vFu4rlm2f_ldfXopH/view?usp=drivesdk</t>
  </si>
  <si>
    <t>HERMAN PETRIK</t>
  </si>
  <si>
    <t>hermanpetrik@ymail.com</t>
  </si>
  <si>
    <t>2499</t>
  </si>
  <si>
    <t>1ETzNMsTw4bnuGvUQGp7PlU8wtWgLQmFQ</t>
  </si>
  <si>
    <t>https://drive.google.com/file/d/1ETzNMsTw4bnuGvUQGp7PlU8wtWgLQmFQ/view?usp=drivesdk</t>
  </si>
  <si>
    <t>Eva Lidya Bangun,S.Keb</t>
  </si>
  <si>
    <t>evalidyabangun20@gmail.com</t>
  </si>
  <si>
    <t>2500</t>
  </si>
  <si>
    <t>1Q0yWJmuYmGzLPeiKR8lrvh4A-vHz1JuR</t>
  </si>
  <si>
    <t>https://drive.google.com/file/d/1Q0yWJmuYmGzLPeiKR8lrvh4A-vHz1JuR/view?usp=drivesdk</t>
  </si>
  <si>
    <t>ANTON BAHARUDDIN PURBA</t>
  </si>
  <si>
    <t>anton.purba99@gmail.com</t>
  </si>
  <si>
    <t>2501</t>
  </si>
  <si>
    <t>1mGN3i0RUrNm_iIoD0L9qNTsdglocmmWk</t>
  </si>
  <si>
    <t>https://drive.google.com/file/d/1mGN3i0RUrNm_iIoD0L9qNTsdglocmmWk/view?usp=drivesdk</t>
  </si>
  <si>
    <t>AJENG YUNITA WULANDARI, A.Md.Kep</t>
  </si>
  <si>
    <t>ajengyunita94@gmail.com</t>
  </si>
  <si>
    <t>2502</t>
  </si>
  <si>
    <t>1Je7skEU7VhpvNRPa5DrfapeH5NkrEuVr</t>
  </si>
  <si>
    <t>https://drive.google.com/file/d/1Je7skEU7VhpvNRPa5DrfapeH5NkrEuVr/view?usp=drivesdk</t>
  </si>
  <si>
    <t>Document successfully created; Document successfully merged; PDF created; !!Error Sending Emails: Service invoked too many times for one day: email.; Run via form trigger as ecertificate75@gmail.com; Timestamp: Aug 31 2024 4:00 AM</t>
  </si>
  <si>
    <t>Ni Ketut Sri suhartini</t>
  </si>
  <si>
    <t>suhartini10111977@gmail.com</t>
  </si>
  <si>
    <t>2503</t>
  </si>
  <si>
    <t>1PMPqN8JqwUXB2i8pmJyT_DvF_mKlyNBn</t>
  </si>
  <si>
    <t>https://drive.google.com/file/d/1PMPqN8JqwUXB2i8pmJyT_DvF_mKlyNBn/view?usp=drivesdk</t>
  </si>
  <si>
    <t>SUPINA ZURIYATI</t>
  </si>
  <si>
    <t>supinazuriyati73@gmail.com</t>
  </si>
  <si>
    <t>2504</t>
  </si>
  <si>
    <t>1aZaeZuBoUpCtenHD8SSJTZltAqv9EBrE</t>
  </si>
  <si>
    <t>https://drive.google.com/file/d/1aZaeZuBoUpCtenHD8SSJTZltAqv9EBrE/view?usp=drivesdk</t>
  </si>
  <si>
    <t xml:space="preserve">ELVIANTI </t>
  </si>
  <si>
    <t>elvianti75@gmail.com</t>
  </si>
  <si>
    <t>2505</t>
  </si>
  <si>
    <t>1ntHkwMdavaBk5Pgo3fzRXRINdzkbVPLp</t>
  </si>
  <si>
    <t>https://drive.google.com/file/d/1ntHkwMdavaBk5Pgo3fzRXRINdzkbVPLp/view?usp=drivesdk</t>
  </si>
  <si>
    <t>GUSTI DENI CHALENDRA</t>
  </si>
  <si>
    <t>gustidece27@gmail.com</t>
  </si>
  <si>
    <t>2506</t>
  </si>
  <si>
    <t>1K-1sXkaCUPfxLEqfEqTEg13sCB2mKXor</t>
  </si>
  <si>
    <t>https://drive.google.com/file/d/1K-1sXkaCUPfxLEqfEqTEg13sCB2mKXor/view?usp=drivesdk</t>
  </si>
  <si>
    <t>SUMINAH</t>
  </si>
  <si>
    <t>suminah20121974@gmail.com</t>
  </si>
  <si>
    <t>2507</t>
  </si>
  <si>
    <t>1SaVoAEtKmh1e9Tr7-w35NYgJeaE_7407</t>
  </si>
  <si>
    <t>https://drive.google.com/file/d/1SaVoAEtKmh1e9Tr7-w35NYgJeaE_7407/view?usp=drivesdk</t>
  </si>
  <si>
    <t xml:space="preserve">NOVITASARI </t>
  </si>
  <si>
    <t>zhafirazhafira577@gmail.com</t>
  </si>
  <si>
    <t>2508</t>
  </si>
  <si>
    <t>1Su1dHqwCvObll70rkhY6Z2Fp6fmdRbaT</t>
  </si>
  <si>
    <t>https://drive.google.com/file/d/1Su1dHqwCvObll70rkhY6Z2Fp6fmdRbaT/view?usp=drivesdk</t>
  </si>
  <si>
    <t>Document successfully created; Document successfully merged; PDF created; !!Error Sending Emails: Service invoked too many times for one day: email.; Manually run by ecertificate75@gmail.com; Timestamp: Aug 31 2024 4:11 AM</t>
  </si>
  <si>
    <t>JUHEN HENDRY, A.Md</t>
  </si>
  <si>
    <t>juhen.hendry@gmail.com</t>
  </si>
  <si>
    <t>2509</t>
  </si>
  <si>
    <t>1AYMauI2kf-zUaj2y5Ar6s90PANEgso35</t>
  </si>
  <si>
    <t>https://drive.google.com/file/d/1AYMauI2kf-zUaj2y5Ar6s90PANEgso35/view?usp=drivesdk</t>
  </si>
  <si>
    <t>REFMA ZULINA S.E</t>
  </si>
  <si>
    <t>refmazulina02@gmail.com</t>
  </si>
  <si>
    <t>2510</t>
  </si>
  <si>
    <t>1vFfdH4CDVtV9KLF2d9uvbTgV4gx9LCGN</t>
  </si>
  <si>
    <t>https://drive.google.com/file/d/1vFfdH4CDVtV9KLF2d9uvbTgV4gx9LCGN/view?usp=drivesdk</t>
  </si>
  <si>
    <t>FAIZAH</t>
  </si>
  <si>
    <t>faiz.wijanarko.fw@gmail.com</t>
  </si>
  <si>
    <t>2511</t>
  </si>
  <si>
    <t>1bi0WFHa51jx34BiaYrHB58D0oK-BTXRO</t>
  </si>
  <si>
    <t>https://drive.google.com/file/d/1bi0WFHa51jx34BiaYrHB58D0oK-BTXRO/view?usp=drivesdk</t>
  </si>
  <si>
    <t>RUWI,AMD,KEP</t>
  </si>
  <si>
    <t>ruwi150874@gmail.com</t>
  </si>
  <si>
    <t>2512</t>
  </si>
  <si>
    <t>1u32NE0L5ethpWgXWuJoZe_PgWEtnTWZP</t>
  </si>
  <si>
    <t>https://drive.google.com/file/d/1u32NE0L5ethpWgXWuJoZe_PgWEtnTWZP/view?usp=drivesdk</t>
  </si>
  <si>
    <t>ROSTINI SUHERMAN</t>
  </si>
  <si>
    <t>rostini.sekprg23@gmail.com</t>
  </si>
  <si>
    <t>2513</t>
  </si>
  <si>
    <t>1qYxSLXms4k9tbd5SujZJEEg66IMBBLbv</t>
  </si>
  <si>
    <t>https://drive.google.com/file/d/1qYxSLXms4k9tbd5SujZJEEg66IMBBLbv/view?usp=drivesdk</t>
  </si>
  <si>
    <t>MEMET SLAMET</t>
  </si>
  <si>
    <t>memetslamet88@gmail.com</t>
  </si>
  <si>
    <t>2514</t>
  </si>
  <si>
    <t>1qYo_csXAtp9O0RiulcH-4_-qwh9qA8fz</t>
  </si>
  <si>
    <t>https://drive.google.com/file/d/1qYo_csXAtp9O0RiulcH-4_-qwh9qA8fz/view?usp=drivesdk</t>
  </si>
  <si>
    <t>Document successfully created; Document successfully merged; PDF created; !!Error Sending Emails: Service invoked too many times for one day: email.; Manually run by ecertificate75@gmail.com; Timestamp: Aug 31 2024 4:12 AM</t>
  </si>
  <si>
    <t>ISTI YULIANI</t>
  </si>
  <si>
    <t>istiy630@gmail.com</t>
  </si>
  <si>
    <t>2515</t>
  </si>
  <si>
    <t>1Qhc2_EvQJnachdpIg5KPzncEWmoho9to</t>
  </si>
  <si>
    <t>https://drive.google.com/file/d/1Qhc2_EvQJnachdpIg5KPzncEWmoho9to/view?usp=drivesdk</t>
  </si>
  <si>
    <t>HAPPYN RIYONO, S.T, M.T.</t>
  </si>
  <si>
    <t>gagah7915@gmail.com</t>
  </si>
  <si>
    <t>2516</t>
  </si>
  <si>
    <t>1m-39W0siPW9t-dHdvxDyi2KxABb2AD73</t>
  </si>
  <si>
    <t>https://drive.google.com/file/d/1m-39W0siPW9t-dHdvxDyi2KxABb2AD73/view?usp=drivesdk</t>
  </si>
  <si>
    <t>RUWIYAH</t>
  </si>
  <si>
    <t>iburuwiyah123@gmail.com</t>
  </si>
  <si>
    <t>2517</t>
  </si>
  <si>
    <t>1o83nOz6_QNYHRFH0LZwuX5PlCvJo5LEr</t>
  </si>
  <si>
    <t>https://drive.google.com/file/d/1o83nOz6_QNYHRFH0LZwuX5PlCvJo5LEr/view?usp=drivesdk</t>
  </si>
  <si>
    <t>RITA RATNASARI</t>
  </si>
  <si>
    <t>ratnasaririta330@mail.com</t>
  </si>
  <si>
    <t>2518</t>
  </si>
  <si>
    <t>1LawkOIeftuh31vucl7xoU5MCZ7fEelHB</t>
  </si>
  <si>
    <t>https://drive.google.com/file/d/1LawkOIeftuh31vucl7xoU5MCZ7fEelHB/view?usp=drivesdk</t>
  </si>
  <si>
    <t>INDAH AGUSTIN AM.d. Kep</t>
  </si>
  <si>
    <t>indahagustin4546@gmail.com</t>
  </si>
  <si>
    <t>2519</t>
  </si>
  <si>
    <t>1pbh-4ZVDtakJk5q7X4Hm1BUKazkT-DXx</t>
  </si>
  <si>
    <t>https://drive.google.com/file/d/1pbh-4ZVDtakJk5q7X4Hm1BUKazkT-DXx/view?usp=drivesdk</t>
  </si>
  <si>
    <t>Document successfully created; Document successfully merged; PDF created; !!Error Sending Emails: Service invoked too many times for one day: email.; Manually run by ecertificate75@gmail.com; Timestamp: Aug 31 2024 4:13 AM</t>
  </si>
  <si>
    <t>TARSIKUN</t>
  </si>
  <si>
    <t>ikuntarsikun@gmail.com</t>
  </si>
  <si>
    <t>2520</t>
  </si>
  <si>
    <t>1QwmLQr1r5zoTk9q_HN5KUPKTQyG0zTrM</t>
  </si>
  <si>
    <t>https://drive.google.com/file/d/1QwmLQr1r5zoTk9q_HN5KUPKTQyG0zTrM/view?usp=drivesdk</t>
  </si>
  <si>
    <t>NUR HANDAYANI</t>
  </si>
  <si>
    <t>nurhandayanismg40@gmail.com</t>
  </si>
  <si>
    <t>2521</t>
  </si>
  <si>
    <t>1Lu5_DZ7JUr-_ec7Zk2QTKgwdi4YjZKtA</t>
  </si>
  <si>
    <t>https://drive.google.com/file/d/1Lu5_DZ7JUr-_ec7Zk2QTKgwdi4YjZKtA/view?usp=drivesdk</t>
  </si>
  <si>
    <t>ANITA TRIANA, SE.</t>
  </si>
  <si>
    <t>tata_ayyu75@yahoo.com</t>
  </si>
  <si>
    <t>2522</t>
  </si>
  <si>
    <t>1tIs8jmo4z6KkEcrFkAYxl2eF71Rd79Ae</t>
  </si>
  <si>
    <t>https://drive.google.com/file/d/1tIs8jmo4z6KkEcrFkAYxl2eF71Rd79Ae/view?usp=drivesdk</t>
  </si>
  <si>
    <t xml:space="preserve">UNDI ASTUTI </t>
  </si>
  <si>
    <t>astutiundi@gmail.com</t>
  </si>
  <si>
    <t>2523</t>
  </si>
  <si>
    <t>1KE1F4xNYqb-QrQMmYbXYekzXJkClh2yo</t>
  </si>
  <si>
    <t>https://drive.google.com/file/d/1KE1F4xNYqb-QrQMmYbXYekzXJkClh2yo/view?usp=drivesdk</t>
  </si>
  <si>
    <t xml:space="preserve">I KETUT TRISNA AMBARA </t>
  </si>
  <si>
    <t>cikal.lombok@gmail.com</t>
  </si>
  <si>
    <t>2524</t>
  </si>
  <si>
    <t>1m5PqBa-NNqArMpHLZj_5lu4eZNilVVRU</t>
  </si>
  <si>
    <t>https://drive.google.com/file/d/1m5PqBa-NNqArMpHLZj_5lu4eZNilVVRU/view?usp=drivesdk</t>
  </si>
  <si>
    <t>Document successfully created; Document successfully merged; PDF created; !!Error Sending Emails: Service invoked too many times for one day: email.; Manually run by ecertificate75@gmail.com; Timestamp: Aug 31 2024 4:14 AM</t>
  </si>
  <si>
    <t>ROELLY YUNIARTI,S.KOM</t>
  </si>
  <si>
    <t>roelly.wi@gmail.com</t>
  </si>
  <si>
    <t>2525</t>
  </si>
  <si>
    <t>1pcmxb6uWe17-jzfxDRMWkQX-QU08V3sO</t>
  </si>
  <si>
    <t>https://drive.google.com/file/d/1pcmxb6uWe17-jzfxDRMWkQX-QU08V3sO/view?usp=drivesdk</t>
  </si>
  <si>
    <t>DEDI KUSNADI</t>
  </si>
  <si>
    <t>kusnadi.dedi72@gmail.com</t>
  </si>
  <si>
    <t>2526</t>
  </si>
  <si>
    <t>1Uxnw2rHaNyAnURYFJq8OS792NJT35vyb</t>
  </si>
  <si>
    <t>https://drive.google.com/file/d/1Uxnw2rHaNyAnURYFJq8OS792NJT35vyb/view?usp=drivesdk</t>
  </si>
  <si>
    <t>SRI NURULAENI</t>
  </si>
  <si>
    <t>aefzuhri120869@gmail.com</t>
  </si>
  <si>
    <t>2527</t>
  </si>
  <si>
    <t>1GSO_DNrSziAWN5ltwNC7Z7-XVv9v6qvS</t>
  </si>
  <si>
    <t>https://drive.google.com/file/d/1GSO_DNrSziAWN5ltwNC7Z7-XVv9v6qvS/view?usp=drivesdk</t>
  </si>
  <si>
    <t>SUSILORINI SH</t>
  </si>
  <si>
    <t>susilorini84@gmail.com</t>
  </si>
  <si>
    <t>2528</t>
  </si>
  <si>
    <t>1ZX7jhLaLQON5lmN5gv6xX5CqsiaTXnGB</t>
  </si>
  <si>
    <t>https://drive.google.com/file/d/1ZX7jhLaLQON5lmN5gv6xX5CqsiaTXnGB/view?usp=drivesdk</t>
  </si>
  <si>
    <t>YAHUDI, S.Kep., Ns</t>
  </si>
  <si>
    <t>yahudiiduhay@gmail.com</t>
  </si>
  <si>
    <t>2529</t>
  </si>
  <si>
    <t>10jGhXWgJOmpilqbDbOfnTNad-U8hiS7_</t>
  </si>
  <si>
    <t>https://drive.google.com/file/d/10jGhXWgJOmpilqbDbOfnTNad-U8hiS7_/view?usp=drivesdk</t>
  </si>
  <si>
    <t>Document successfully created; Document successfully merged; PDF created; !!Error Sending Emails: Service invoked too many times for one day: email.; Manually run by ecertificate75@gmail.com; Timestamp: Aug 31 2024 4:15 AM</t>
  </si>
  <si>
    <t>NURIAH</t>
  </si>
  <si>
    <t>cahayanuriah@gmail.com</t>
  </si>
  <si>
    <t>2530</t>
  </si>
  <si>
    <t>1_Y99VU9nXcmgJC-YvM1IiIJSZWAzmfvM</t>
  </si>
  <si>
    <t>https://drive.google.com/file/d/1_Y99VU9nXcmgJC-YvM1IiIJSZWAzmfvM/view?usp=drivesdk</t>
  </si>
  <si>
    <t xml:space="preserve">SUPANTI </t>
  </si>
  <si>
    <t>panti.aja@gmail.com</t>
  </si>
  <si>
    <t>2531</t>
  </si>
  <si>
    <t>11CylSntgx7uo_0CJkZPjcz5Fzk0eQpKz</t>
  </si>
  <si>
    <t>https://drive.google.com/file/d/11CylSntgx7uo_0CJkZPjcz5Fzk0eQpKz/view?usp=drivesdk</t>
  </si>
  <si>
    <t>ANJAR PERMANA</t>
  </si>
  <si>
    <t>ebod980@gmail.com</t>
  </si>
  <si>
    <t>2532</t>
  </si>
  <si>
    <t>14vcpkfSFL6umUeaO5JJz5IbuKnH8M9GC</t>
  </si>
  <si>
    <t>https://drive.google.com/file/d/14vcpkfSFL6umUeaO5JJz5IbuKnH8M9GC/view?usp=drivesdk</t>
  </si>
  <si>
    <t>UNARWAN</t>
  </si>
  <si>
    <t>unarwanwan@gmail.com</t>
  </si>
  <si>
    <t>2533</t>
  </si>
  <si>
    <t>1BvXksaZhCTcu3mM-BIXAGU2rIFU1hFPv</t>
  </si>
  <si>
    <t>https://drive.google.com/file/d/1BvXksaZhCTcu3mM-BIXAGU2rIFU1hFPv/view?usp=drivesdk</t>
  </si>
  <si>
    <t>ENDEN HARTINI</t>
  </si>
  <si>
    <t>andenadv12@gmail.com</t>
  </si>
  <si>
    <t>2534</t>
  </si>
  <si>
    <t>1IbeJPYq_t9d60opbsJvWyckh5SPmp8ku</t>
  </si>
  <si>
    <t>https://drive.google.com/file/d/1IbeJPYq_t9d60opbsJvWyckh5SPmp8ku/view?usp=drivesdk</t>
  </si>
  <si>
    <t xml:space="preserve">RIRIN OKTARINA </t>
  </si>
  <si>
    <t>ririnoktarina156@gmail.com</t>
  </si>
  <si>
    <t>2535</t>
  </si>
  <si>
    <t>1aYdHDV86J2f0DP__57Jsmvo38UoubUJm</t>
  </si>
  <si>
    <t>https://drive.google.com/file/d/1aYdHDV86J2f0DP__57Jsmvo38UoubUJm/view?usp=drivesdk</t>
  </si>
  <si>
    <t>Document successfully created; Document successfully merged; PDF created; !!Error Sending Emails: Service invoked too many times for one day: email.; Manually run by ecertificate75@gmail.com; Timestamp: Aug 31 2024 4:16 AM</t>
  </si>
  <si>
    <t>BETSAIDA SITUMORANG</t>
  </si>
  <si>
    <t>betsaidasitumorang1973@gmail.com</t>
  </si>
  <si>
    <t>2536</t>
  </si>
  <si>
    <t>https://drive.google.com/file/d/1Osu7mwUpZGddueAh8pmSTANPQj7XVlNr/view?usp=drivesdk</t>
  </si>
  <si>
    <t>1Osu7mwUpZGddueAh8pmSTANPQj7XVlNr</t>
  </si>
  <si>
    <t>1Tn9rBCG3d0Z5fhXXB_IsHHHoZTW_XG81</t>
  </si>
  <si>
    <t>https://drive.google.com/file/d/1Tn9rBCG3d0Z5fhXXB_IsHHHoZTW_XG81/view?usp=drivesdk</t>
  </si>
  <si>
    <t>ANISA YULIANTARI</t>
  </si>
  <si>
    <t>anisayuliantari30@gmail.com</t>
  </si>
  <si>
    <t>2537</t>
  </si>
  <si>
    <t>https://drive.google.com/file/d/1zgxKdtRp1TxXG5rQt7l-g47H7CGCFRn2/view?usp=drivesdk</t>
  </si>
  <si>
    <t>1zgxKdtRp1TxXG5rQt7l-g47H7CGCFRn2</t>
  </si>
  <si>
    <t>126NfqH4HaKUdMMZ4ebHfT57N_DkjV6Xd</t>
  </si>
  <si>
    <t>https://drive.google.com/file/d/126NfqH4HaKUdMMZ4ebHfT57N_DkjV6Xd/view?usp=drivesdk</t>
  </si>
  <si>
    <t xml:space="preserve">SRI SOFIYATI </t>
  </si>
  <si>
    <t>srisofiyati123@gmail.com</t>
  </si>
  <si>
    <t>2538</t>
  </si>
  <si>
    <t>Starting at Thu Aug 29 2024 21:10:50 GMT-0400 (EDT)</t>
  </si>
  <si>
    <t>1_JsngcF76tV7D5doFy2hE0UVfUsDVkPH</t>
  </si>
  <si>
    <t>https://drive.google.com/file/d/1_JsngcF76tV7D5doFy2hE0UVfUsDVkPH/view?usp=drivesdk</t>
  </si>
  <si>
    <t>TRIANA DAMAYANTI, AMd</t>
  </si>
  <si>
    <t>trianadamayanti01@gmail.com</t>
  </si>
  <si>
    <t>2539</t>
  </si>
  <si>
    <t>1qdVsNLs1CLBe6gfpu7iuHQ1Q3ARZQ3_j</t>
  </si>
  <si>
    <t>https://drive.google.com/file/d/1qdVsNLs1CLBe6gfpu7iuHQ1Q3ARZQ3_j/view?usp=drivesdk</t>
  </si>
  <si>
    <t xml:space="preserve">Arum Setiara Putri </t>
  </si>
  <si>
    <t>arumsetiara07@gmail.com</t>
  </si>
  <si>
    <t>2540</t>
  </si>
  <si>
    <t>1ZO42EzCg3RvtHg0NBpEV13-3d4dzoLXo</t>
  </si>
  <si>
    <t>https://drive.google.com/file/d/1ZO42EzCg3RvtHg0NBpEV13-3d4dzoLXo/view?usp=drivesdk</t>
  </si>
  <si>
    <t>NUR ANNISYA</t>
  </si>
  <si>
    <t>nurannisya1@gmail.com</t>
  </si>
  <si>
    <t>2541</t>
  </si>
  <si>
    <t>1eFBE7uwgaKR35si9Qd95OAvk3NFFZmDU</t>
  </si>
  <si>
    <t>https://drive.google.com/file/d/1eFBE7uwgaKR35si9Qd95OAvk3NFFZmDU/view?usp=drivesdk</t>
  </si>
  <si>
    <t>YUDI SANTOSO</t>
  </si>
  <si>
    <t>yudisantoso@gmail.com</t>
  </si>
  <si>
    <t>2542</t>
  </si>
  <si>
    <t>1k5c1Yw1SSnX1PxdZk-XoxJK7tEOZ5TbW</t>
  </si>
  <si>
    <t>https://drive.google.com/file/d/1k5c1Yw1SSnX1PxdZk-XoxJK7tEOZ5TbW/view?usp=drivesdk</t>
  </si>
  <si>
    <t>Document successfully created; Document successfully merged; PDF created; !!Error Sending Emails: Service invoked too many times for one day: email.; Manually run by ecertificate75@gmail.com; Timestamp: Aug 31 2024 4:17 AM</t>
  </si>
  <si>
    <t>FAHMI, S.H.</t>
  </si>
  <si>
    <t>fahmi101977@gmail.com</t>
  </si>
  <si>
    <t>2543</t>
  </si>
  <si>
    <t>1UfB-R5HMvanlHGicT6kNOBFJi7EZnxHi</t>
  </si>
  <si>
    <t>https://drive.google.com/file/d/1UfB-R5HMvanlHGicT6kNOBFJi7EZnxHi/view?usp=drivesdk</t>
  </si>
  <si>
    <t>SUKAMTO</t>
  </si>
  <si>
    <t>sukamto.anisa@gmail.com</t>
  </si>
  <si>
    <t>2544</t>
  </si>
  <si>
    <t>1ZS8Cj7jEjHN2MV2kQ0siewtMXzkFiBLQ</t>
  </si>
  <si>
    <t>https://drive.google.com/file/d/1ZS8Cj7jEjHN2MV2kQ0siewtMXzkFiBLQ/view?usp=drivesdk</t>
  </si>
  <si>
    <t xml:space="preserve">SUPATMIATUN </t>
  </si>
  <si>
    <t>supatmiatun0101@gmail.com</t>
  </si>
  <si>
    <t>2545</t>
  </si>
  <si>
    <t>1xW_D4aQ0ltqF1wgBh7zI3Ztqt57BjIRt</t>
  </si>
  <si>
    <t>https://drive.google.com/file/d/1xW_D4aQ0ltqF1wgBh7zI3Ztqt57BjIRt/view?usp=drivesdk</t>
  </si>
  <si>
    <t>SUSILAWATI,AMD.KEP</t>
  </si>
  <si>
    <t>2574susilawati@gmail.com</t>
  </si>
  <si>
    <t>2546</t>
  </si>
  <si>
    <t>1wgci7sZJGMFq9pNrPFm4VTaFekaQnBud</t>
  </si>
  <si>
    <t>https://drive.google.com/file/d/1wgci7sZJGMFq9pNrPFm4VTaFekaQnBud/view?usp=drivesdk</t>
  </si>
  <si>
    <t>YULI MULYANI</t>
  </si>
  <si>
    <t>yulim706@gmail.com</t>
  </si>
  <si>
    <t>2547</t>
  </si>
  <si>
    <t>1hdqeOnfOmE4VVTNPvI0IR4AVOZdoHAoL</t>
  </si>
  <si>
    <t>https://drive.google.com/file/d/1hdqeOnfOmE4VVTNPvI0IR4AVOZdoHAoL/view?usp=drivesdk</t>
  </si>
  <si>
    <t>INDRAWATI</t>
  </si>
  <si>
    <t>indrawatiiin231@gmail.com</t>
  </si>
  <si>
    <t>2548</t>
  </si>
  <si>
    <t>1mMEIRXXW7nci3USKhyc3JXFHI6f_Ddjx</t>
  </si>
  <si>
    <t>https://drive.google.com/file/d/1mMEIRXXW7nci3USKhyc3JXFHI6f_Ddjx/view?usp=drivesdk</t>
  </si>
  <si>
    <t>Document successfully created; Document successfully merged; PDF created; !!Error Sending Emails: Service invoked too many times for one day: email.; Manually run by ecertificate75@gmail.com; Timestamp: Aug 31 2024 4:18 AM</t>
  </si>
  <si>
    <t>YUSUF PRAMUJITO</t>
  </si>
  <si>
    <t>yusufpramujito1@gmail.com</t>
  </si>
  <si>
    <t>2549</t>
  </si>
  <si>
    <t>1yHedFheBbrKoNtdmR1_XNEghD6r6BjQk</t>
  </si>
  <si>
    <t>https://drive.google.com/file/d/1yHedFheBbrKoNtdmR1_XNEghD6r6BjQk/view?usp=drivesdk</t>
  </si>
  <si>
    <t xml:space="preserve">NORAIDA </t>
  </si>
  <si>
    <t>idamisrani123@gmail.com</t>
  </si>
  <si>
    <t>2550</t>
  </si>
  <si>
    <t>1HFUYJmriDf0rQTmX_-yJdOjDvu7mONSp</t>
  </si>
  <si>
    <t>https://drive.google.com/file/d/1HFUYJmriDf0rQTmX_-yJdOjDvu7mONSp/view?usp=drivesdk</t>
  </si>
  <si>
    <t>KURNI ARIANTO</t>
  </si>
  <si>
    <t>setumntb@gmail.com</t>
  </si>
  <si>
    <t>2551</t>
  </si>
  <si>
    <t>1orA8oNKVt07z-rKpf8Uqwto52-GvRpEX</t>
  </si>
  <si>
    <t>https://drive.google.com/file/d/1orA8oNKVt07z-rKpf8Uqwto52-GvRpEX/view?usp=drivesdk</t>
  </si>
  <si>
    <t>KESSANADYA ASHIFA RATIH, A.Md.Keb</t>
  </si>
  <si>
    <t>ashifaratih07@gmail.com</t>
  </si>
  <si>
    <t>2552</t>
  </si>
  <si>
    <t>1jNZE-ckw1pw9UP1oa6qCstV29is-FXs4</t>
  </si>
  <si>
    <t>https://drive.google.com/file/d/1jNZE-ckw1pw9UP1oa6qCstV29is-FXs4/view?usp=drivesdk</t>
  </si>
  <si>
    <t>ARFANDI SYAHPUTRA, A. Md. Kep</t>
  </si>
  <si>
    <t>arfandisyahputra18@gmail.com</t>
  </si>
  <si>
    <t>2553</t>
  </si>
  <si>
    <t>1W1SSiAtW8GjkCmBtpy1uBEXn84j42Zca</t>
  </si>
  <si>
    <t>https://drive.google.com/file/d/1W1SSiAtW8GjkCmBtpy1uBEXn84j42Zca/view?usp=drivesdk</t>
  </si>
  <si>
    <t>Document successfully created; Document successfully merged; PDF created; !!Error Sending Emails: Service invoked too many times for one day: email.; Manually run by ecertificate75@gmail.com; Timestamp: Aug 31 2024 4:19 AM</t>
  </si>
  <si>
    <t xml:space="preserve">NELI APRIANTI </t>
  </si>
  <si>
    <t>neliaprianti42@gmail.com</t>
  </si>
  <si>
    <t>2554</t>
  </si>
  <si>
    <t>1eUJgZVXyEtASS4dQhPzWrqvBDwpybid5</t>
  </si>
  <si>
    <t>https://drive.google.com/file/d/1eUJgZVXyEtASS4dQhPzWrqvBDwpybid5/view?usp=drivesdk</t>
  </si>
  <si>
    <t>RISMA RIA</t>
  </si>
  <si>
    <t>rismaria79@gmail.com</t>
  </si>
  <si>
    <t>2555</t>
  </si>
  <si>
    <t>11PRe6RgIvDnQMlP7rPma7e3imhBqv4bM</t>
  </si>
  <si>
    <t>https://drive.google.com/file/d/11PRe6RgIvDnQMlP7rPma7e3imhBqv4bM/view?usp=drivesdk</t>
  </si>
  <si>
    <t>YAMYURI, A.Md.</t>
  </si>
  <si>
    <t>newcreatife@gmail.com</t>
  </si>
  <si>
    <t>2556</t>
  </si>
  <si>
    <t>18OBVKguE1xxT7t961rQQAn5iz7miJb_C</t>
  </si>
  <si>
    <t>https://drive.google.com/file/d/18OBVKguE1xxT7t961rQQAn5iz7miJb_C/view?usp=drivesdk</t>
  </si>
  <si>
    <t>TOTO TARSONO</t>
  </si>
  <si>
    <t>tototarsono1@gmail.com</t>
  </si>
  <si>
    <t>2557</t>
  </si>
  <si>
    <t>12L7-TTa862r1Hsl5KGlZMbhYTH8h_A0K</t>
  </si>
  <si>
    <t>https://drive.google.com/file/d/12L7-TTa862r1Hsl5KGlZMbhYTH8h_A0K/view?usp=drivesdk</t>
  </si>
  <si>
    <t>Document successfully created; Document successfully merged; PDF created; !!Error Sending Emails: Service invoked too many times for one day: email.; Manually run by ecertificate75@gmail.com; Timestamp: Sep 1 2024 11:41 PM</t>
  </si>
  <si>
    <t>ASNIATI YUSUF S.E</t>
  </si>
  <si>
    <t>asni.yusuf@gmail.com</t>
  </si>
  <si>
    <t>2558</t>
  </si>
  <si>
    <t>1igMrSgTxswnvhF4WxYCZ-MpLQwjhBGPz</t>
  </si>
  <si>
    <t>https://drive.google.com/file/d/1igMrSgTxswnvhF4WxYCZ-MpLQwjhBGPz/view?usp=drivesdk</t>
  </si>
  <si>
    <t>NI MADE KARUNI</t>
  </si>
  <si>
    <t>nimadekaruni@gmail.com</t>
  </si>
  <si>
    <t>2559</t>
  </si>
  <si>
    <t>1G92ErvvT-cs20o3PIgMpZE1jjhKhfFCD</t>
  </si>
  <si>
    <t>https://drive.google.com/file/d/1G92ErvvT-cs20o3PIgMpZE1jjhKhfFCD/view?usp=drivesdk</t>
  </si>
  <si>
    <t>Document successfully created; Document successfully merged; PDF created; !!Error Sending Emails: Service invoked too many times for one day: email.; Manually run by ecertificate75@gmail.com; Timestamp: Sep 1 2024 11:42 PM</t>
  </si>
  <si>
    <t>JUNEDI</t>
  </si>
  <si>
    <t>junedi.lantas@gmail.com</t>
  </si>
  <si>
    <t>2560</t>
  </si>
  <si>
    <t>17r7FePq01tGw_R3PyQBRofjHYezRl2gq</t>
  </si>
  <si>
    <t>https://drive.google.com/file/d/17r7FePq01tGw_R3PyQBRofjHYezRl2gq/view?usp=drivesdk</t>
  </si>
  <si>
    <t>MARDIANA, S.A.P</t>
  </si>
  <si>
    <t>mardianasji@gmail.com</t>
  </si>
  <si>
    <t>2561</t>
  </si>
  <si>
    <t>1df8qaNLXahqIoWfNahQMNWH6x-epihd-</t>
  </si>
  <si>
    <t>https://drive.google.com/file/d/1df8qaNLXahqIoWfNahQMNWH6x-epihd-/view?usp=drivesdk</t>
  </si>
  <si>
    <t xml:space="preserve">HESTI NATANAEL </t>
  </si>
  <si>
    <t>hestilahat72@gmail.com</t>
  </si>
  <si>
    <t>2562</t>
  </si>
  <si>
    <t>1pQVVnbikky7hirlW-7OrlJI8P_jmjtz-</t>
  </si>
  <si>
    <t>https://drive.google.com/file/d/1pQVVnbikky7hirlW-7OrlJI8P_jmjtz-/view?usp=drivesdk</t>
  </si>
  <si>
    <t>AGUSTINA RURU,Amd.Keb</t>
  </si>
  <si>
    <t>agustina.rsb@gmail.com</t>
  </si>
  <si>
    <t>2563</t>
  </si>
  <si>
    <t>1c5yZvSK6MpEq0Uy4j4x5uq6rKGGKFnUb</t>
  </si>
  <si>
    <t>https://drive.google.com/file/d/1c5yZvSK6MpEq0Uy4j4x5uq6rKGGKFnUb/view?usp=drivesdk</t>
  </si>
  <si>
    <t>Document successfully created; Document successfully merged; PDF created; !!Error Sending Emails: Service invoked too many times for one day: email.; Manually run by ecertificate75@gmail.com; Timestamp: Sep 1 2024 11:43 PM</t>
  </si>
  <si>
    <t>JULAINA</t>
  </si>
  <si>
    <t>10juli.ana72@gmail.com</t>
  </si>
  <si>
    <t>2564</t>
  </si>
  <si>
    <t>18pMBI6LaRI4w7FAGXlsHodPbHgYgXnDn</t>
  </si>
  <si>
    <t>https://drive.google.com/file/d/18pMBI6LaRI4w7FAGXlsHodPbHgYgXnDn/view?usp=drivesdk</t>
  </si>
  <si>
    <t xml:space="preserve">LIDYA NAZAR ST </t>
  </si>
  <si>
    <t>bundanava69@gmail.com</t>
  </si>
  <si>
    <t>2565</t>
  </si>
  <si>
    <t>1krMJkekQzUdnGeURsoroi4d3ZWNjxyHG</t>
  </si>
  <si>
    <t>https://drive.google.com/file/d/1krMJkekQzUdnGeURsoroi4d3ZWNjxyHG/view?usp=drivesdk</t>
  </si>
  <si>
    <t>WIWIK INDARTI</t>
  </si>
  <si>
    <t>indartiwiwik21@gmail.com</t>
  </si>
  <si>
    <t>2566</t>
  </si>
  <si>
    <t>1j9R_8IgYi1oxQZsJ7LmoFPXiJCclEcSE</t>
  </si>
  <si>
    <t>https://drive.google.com/file/d/1j9R_8IgYi1oxQZsJ7LmoFPXiJCclEcSE/view?usp=drivesdk</t>
  </si>
  <si>
    <t xml:space="preserve">TITIN SISMIARTI SKM </t>
  </si>
  <si>
    <t>titinsismiarti@gmail.com</t>
  </si>
  <si>
    <t>2567</t>
  </si>
  <si>
    <t>1RhJb-d7DNTZctkckwnVohIf0Mcohm8Hf</t>
  </si>
  <si>
    <t>https://drive.google.com/file/d/1RhJb-d7DNTZctkckwnVohIf0Mcohm8Hf/view?usp=drivesdk</t>
  </si>
  <si>
    <t>Document successfully created; Document successfully merged; PDF created; !!Error Sending Emails: Service invoked too many times for one day: email.; Manually run by ecertificate75@gmail.com; Timestamp: Sep 1 2024 11:44 PM</t>
  </si>
  <si>
    <t>HERLINA, SE</t>
  </si>
  <si>
    <t>nabil34firmansyah@gmail.com</t>
  </si>
  <si>
    <t>2568</t>
  </si>
  <si>
    <t>1ipi8y_Tb97RlGXxkkNsLwj6_XtrMKOEy</t>
  </si>
  <si>
    <t>https://drive.google.com/file/d/1ipi8y_Tb97RlGXxkkNsLwj6_XtrMKOEy/view?usp=drivesdk</t>
  </si>
  <si>
    <t>Chaton Dimas Syahputra</t>
  </si>
  <si>
    <t>dimas.comunity@gmail.com</t>
  </si>
  <si>
    <t>2569</t>
  </si>
  <si>
    <t>19hvpDuJp1Bt7UHF42EES7pJY3N5cmt00</t>
  </si>
  <si>
    <t>https://drive.google.com/file/d/19hvpDuJp1Bt7UHF42EES7pJY3N5cmt00/view?usp=drivesdk</t>
  </si>
  <si>
    <t>SUMARNI</t>
  </si>
  <si>
    <t>sumarni.spkt@gmail.com</t>
  </si>
  <si>
    <t>2570</t>
  </si>
  <si>
    <t>1n0OoxP6wxpOsjcanuOJNC7-797R-v1fd</t>
  </si>
  <si>
    <t>https://drive.google.com/file/d/1n0OoxP6wxpOsjcanuOJNC7-797R-v1fd/view?usp=drivesdk</t>
  </si>
  <si>
    <t xml:space="preserve">Ni Ketut Murdi </t>
  </si>
  <si>
    <t>Ketutmurdi69@gmaul.com</t>
  </si>
  <si>
    <t>2571</t>
  </si>
  <si>
    <t>1ocHfn49B0rcAAcAdzsKSTqCzL6fpMTuz</t>
  </si>
  <si>
    <t>https://drive.google.com/file/d/1ocHfn49B0rcAAcAdzsKSTqCzL6fpMTuz/view?usp=drivesdk</t>
  </si>
  <si>
    <t>Document successfully created; Document successfully merged; PDF created; !!Error Sending Emails: Service invoked too many times for one day: email.; Manually run by ecertificate75@gmail.com; Timestamp: Sep 1 2024 11:45 PM</t>
  </si>
  <si>
    <t>SRI WAHYUNI</t>
  </si>
  <si>
    <t>sriwahyuni.ayu68@gmail.com</t>
  </si>
  <si>
    <t>2572</t>
  </si>
  <si>
    <t>1TWt5or10axBNkX79wjakUwockRe9PwvS</t>
  </si>
  <si>
    <t>https://drive.google.com/file/d/1TWt5or10axBNkX79wjakUwockRe9PwvS/view?usp=drivesdk</t>
  </si>
  <si>
    <t>GILANG TAUFIQ AKBAR</t>
  </si>
  <si>
    <t>kipliupluk86@gmail.com</t>
  </si>
  <si>
    <t>2573</t>
  </si>
  <si>
    <t>1bn0ACVSAl5DUarmz5U8aJc7uFpkpFLXG</t>
  </si>
  <si>
    <t>https://drive.google.com/file/d/1bn0ACVSAl5DUarmz5U8aJc7uFpkpFLXG/view?usp=drivesdk</t>
  </si>
  <si>
    <t>SONI GONDO SUTRISNO</t>
  </si>
  <si>
    <t>Sonigondo.urkes@gmail.com</t>
  </si>
  <si>
    <t>2574</t>
  </si>
  <si>
    <t>1eOmwdye8wHucfcfnanfmaJcp0rL4bP5E</t>
  </si>
  <si>
    <t>https://drive.google.com/file/d/1eOmwdye8wHucfcfnanfmaJcp0rL4bP5E/view?usp=drivesdk</t>
  </si>
  <si>
    <t>SUMIATI</t>
  </si>
  <si>
    <t>sumiati.surabaya2014@gmail.com</t>
  </si>
  <si>
    <t>2575</t>
  </si>
  <si>
    <t>1fNs8WtNhAqbBEep78JoF51VDoxLmF8VX</t>
  </si>
  <si>
    <t>https://drive.google.com/file/d/1fNs8WtNhAqbBEep78JoF51VDoxLmF8VX/view?usp=drivesdk</t>
  </si>
  <si>
    <t>Document successfully created; Document successfully merged; PDF created; !!Error Sending Emails: Service invoked too many times for one day: email.; Manually run by ecertificate75@gmail.com; Timestamp: Sep 1 2024 11:46 PM</t>
  </si>
  <si>
    <t>TITA JULITA PURBA</t>
  </si>
  <si>
    <t>titajulitapurba@gmail.com</t>
  </si>
  <si>
    <t>2576</t>
  </si>
  <si>
    <t>1ANZ9jVa5rhfq2-Ja3gxfYHbqf7jaevQb</t>
  </si>
  <si>
    <t>https://drive.google.com/file/d/1ANZ9jVa5rhfq2-Ja3gxfYHbqf7jaevQb/view?usp=drivesdk</t>
  </si>
  <si>
    <t>SAIFUL SALAM</t>
  </si>
  <si>
    <t>saifulsalam1982@gmail.com</t>
  </si>
  <si>
    <t>2577</t>
  </si>
  <si>
    <t>1lJ_5EYH0C9VUjCITRn1CPWivOyRQzUT4</t>
  </si>
  <si>
    <t>https://drive.google.com/file/d/1lJ_5EYH0C9VUjCITRn1CPWivOyRQzUT4/view?usp=drivesdk</t>
  </si>
  <si>
    <t>HENI PURWOWIKANTI, S.Pd</t>
  </si>
  <si>
    <t>sektumpang@gmail.com</t>
  </si>
  <si>
    <t>2578</t>
  </si>
  <si>
    <t>1pvJawm-uuStWWd-viHuEaW46F_0aq7jw</t>
  </si>
  <si>
    <t>https://drive.google.com/file/d/1pvJawm-uuStWWd-viHuEaW46F_0aq7jw/view?usp=drivesdk</t>
  </si>
  <si>
    <t>MUSTAMAL, A.MD.KOM</t>
  </si>
  <si>
    <t>mustamalg@gmail.com</t>
  </si>
  <si>
    <t>2579</t>
  </si>
  <si>
    <t>1yj3ipE8FVzLAGsf-tZTjTZa6rwtnXUTs</t>
  </si>
  <si>
    <t>https://drive.google.com/file/d/1yj3ipE8FVzLAGsf-tZTjTZa6rwtnXUTs/view?usp=drivesdk</t>
  </si>
  <si>
    <t>Document successfully created; Document successfully merged; PDF created; !!Error Sending Emails: Service invoked too many times for one day: email.; Manually run by ecertificate75@gmail.com; Timestamp: Sep 1 2024 11:47 PM</t>
  </si>
  <si>
    <t>SUPARTONO</t>
  </si>
  <si>
    <t>budisantoso7780@gmail.com</t>
  </si>
  <si>
    <t>2580</t>
  </si>
  <si>
    <t>1XebpIPKNnf2j8H3JTj3aHtGtsSDjIkUe</t>
  </si>
  <si>
    <t>https://drive.google.com/file/d/1XebpIPKNnf2j8H3JTj3aHtGtsSDjIkUe/view?usp=drivesdk</t>
  </si>
  <si>
    <t xml:space="preserve">ANIK KARTINI </t>
  </si>
  <si>
    <t>anikais120518@gmail.com</t>
  </si>
  <si>
    <t>2581</t>
  </si>
  <si>
    <t>1pwTHyLxttfW8O-d-mTfNA6EXM9OdkYBo</t>
  </si>
  <si>
    <t>https://drive.google.com/file/d/1pwTHyLxttfW8O-d-mTfNA6EXM9OdkYBo/view?usp=drivesdk</t>
  </si>
  <si>
    <t>YANA.KADIR AMD.KEP</t>
  </si>
  <si>
    <t>yanakadir2@gmail.com</t>
  </si>
  <si>
    <t>2582</t>
  </si>
  <si>
    <t>1WIizJU-5JCMPoupUDBjuVMJxSYvswUx-</t>
  </si>
  <si>
    <t>https://drive.google.com/file/d/1WIizJU-5JCMPoupUDBjuVMJxSYvswUx-/view?usp=drivesdk</t>
  </si>
  <si>
    <t>WARIJAN</t>
  </si>
  <si>
    <t>ijanwarijan11@gmail.com</t>
  </si>
  <si>
    <t>2583</t>
  </si>
  <si>
    <t>1XkPXKHWe1NcD68RM-TT6_cwkaF9wLVXX</t>
  </si>
  <si>
    <t>https://drive.google.com/file/d/1XkPXKHWe1NcD68RM-TT6_cwkaF9wLVXX/view?usp=drivesdk</t>
  </si>
  <si>
    <t>Document successfully created; Document successfully merged; PDF created; !!Error Sending Emails: Service invoked too many times for one day: email.; Manually run by ecertificate75@gmail.com; Timestamp: Sep 1 2024 11:48 PM</t>
  </si>
  <si>
    <t>GUNADI</t>
  </si>
  <si>
    <t>gunadirika@gmail.com</t>
  </si>
  <si>
    <t>2584</t>
  </si>
  <si>
    <t>1TqVJrdMJs6F74gr93rjgpHsWFbIvqQJv</t>
  </si>
  <si>
    <t>https://drive.google.com/file/d/1TqVJrdMJs6F74gr93rjgpHsWFbIvqQJv/view?usp=drivesdk</t>
  </si>
  <si>
    <t>RINI EKOWATI</t>
  </si>
  <si>
    <t>rinikara1981@gmail.com</t>
  </si>
  <si>
    <t>2585</t>
  </si>
  <si>
    <t>1DtuLuugiR9l7ErgU9WGtgcKIEYCk47Dx</t>
  </si>
  <si>
    <t>https://drive.google.com/file/d/1DtuLuugiR9l7ErgU9WGtgcKIEYCk47Dx/view?usp=drivesdk</t>
  </si>
  <si>
    <t>ESTHER C. SIAGIAN, SE</t>
  </si>
  <si>
    <t>bontorsirait38@gmail.com</t>
  </si>
  <si>
    <t>2586</t>
  </si>
  <si>
    <t>1Iz9cvXiQVylj8BQ_VQ_Vp4EbuLPAMy3H</t>
  </si>
  <si>
    <t>https://drive.google.com/file/d/1Iz9cvXiQVylj8BQ_VQ_Vp4EbuLPAMy3H/view?usp=drivesdk</t>
  </si>
  <si>
    <t>ARI RUSNADI</t>
  </si>
  <si>
    <t>arusna13@gmail.com</t>
  </si>
  <si>
    <t>2587</t>
  </si>
  <si>
    <t>1NHbhOM6Pu6TW2-EoE68bhn0XPQs6BeH9</t>
  </si>
  <si>
    <t>https://drive.google.com/file/d/1NHbhOM6Pu6TW2-EoE68bhn0XPQs6BeH9/view?usp=drivesdk</t>
  </si>
  <si>
    <t>Document successfully created; Document successfully merged; PDF created; !!Error Sending Emails: Service invoked too many times for one day: email.; Manually run by ecertificate75@gmail.com; Timestamp: Sep 1 2024 11:49 PM</t>
  </si>
  <si>
    <t>SUHARTATIK</t>
  </si>
  <si>
    <t>pnssuhartatik@gmail.com</t>
  </si>
  <si>
    <t>2588</t>
  </si>
  <si>
    <t>1dhfZdZ_87XFfR2xw-yhdP8RIv2QBEHjn</t>
  </si>
  <si>
    <t>https://drive.google.com/file/d/1dhfZdZ_87XFfR2xw-yhdP8RIv2QBEHjn/view?usp=drivesdk</t>
  </si>
  <si>
    <t>SIYAMI,M.PD</t>
  </si>
  <si>
    <t>siyami.mpd@gmail.com</t>
  </si>
  <si>
    <t>2589</t>
  </si>
  <si>
    <t>1gDLNyWhJGfYoU94vpXepVc1c-aWgDkEU</t>
  </si>
  <si>
    <t>https://drive.google.com/file/d/1gDLNyWhJGfYoU94vpXepVc1c-aWgDkEU/view?usp=drivesdk</t>
  </si>
  <si>
    <t>KHAFIDHOH</t>
  </si>
  <si>
    <t>kfdkudus@gmail.com</t>
  </si>
  <si>
    <t>2590</t>
  </si>
  <si>
    <t>1Xj0P5MoulT5rZrrN53xPkYZNpe1mmGCo</t>
  </si>
  <si>
    <t>https://drive.google.com/file/d/1Xj0P5MoulT5rZrrN53xPkYZNpe1mmGCo/view?usp=drivesdk</t>
  </si>
  <si>
    <t>LINDA SUSILAWATI</t>
  </si>
  <si>
    <t>linda.susilawati74@gmail.com</t>
  </si>
  <si>
    <t>2591</t>
  </si>
  <si>
    <t>1FW4Rju4lpxpjI7aCnV5PRTyWpmOA1SW0</t>
  </si>
  <si>
    <t>https://drive.google.com/file/d/1FW4Rju4lpxpjI7aCnV5PRTyWpmOA1SW0/view?usp=drivesdk</t>
  </si>
  <si>
    <t>Document successfully created; Document successfully merged; PDF created; !!Error Sending Emails: Service invoked too many times for one day: email.; Manually run by ecertificate75@gmail.com; Timestamp: Sep 1 2024 11:50 PM</t>
  </si>
  <si>
    <t>AGUNG WIBOWO A.MD</t>
  </si>
  <si>
    <t>raihanendra@gmail.com</t>
  </si>
  <si>
    <t>2592</t>
  </si>
  <si>
    <t>1mrU-NglBDm3AYW5xRIBcMNiR4SvUX4Td</t>
  </si>
  <si>
    <t>https://drive.google.com/file/d/1mrU-NglBDm3AYW5xRIBcMNiR4SvUX4Td/view?usp=drivesdk</t>
  </si>
  <si>
    <t>INDAH LESMANA SAFITRI</t>
  </si>
  <si>
    <t>indahls728@gmail.com</t>
  </si>
  <si>
    <t>2593</t>
  </si>
  <si>
    <t>16GtI82LxrP0Vzok5ru5Q2KELR56Q3ZCy</t>
  </si>
  <si>
    <t>https://drive.google.com/file/d/16GtI82LxrP0Vzok5ru5Q2KELR56Q3ZCy/view?usp=drivesdk</t>
  </si>
  <si>
    <t xml:space="preserve">SUPRAPTO </t>
  </si>
  <si>
    <t>82suprapto@gmail.com</t>
  </si>
  <si>
    <t>2594</t>
  </si>
  <si>
    <t>16l4e7b0d5QrWed1gYit5Wid7f6jcz3Gk</t>
  </si>
  <si>
    <t>https://drive.google.com/file/d/16l4e7b0d5QrWed1gYit5Wid7f6jcz3Gk/view?usp=drivesdk</t>
  </si>
  <si>
    <t xml:space="preserve">ERAM SULISWATI </t>
  </si>
  <si>
    <t>erambagus@gmail.com</t>
  </si>
  <si>
    <t>2595</t>
  </si>
  <si>
    <t>1CvBm2bTzOq27UTmeF7d0vvEHrW2LyFLh</t>
  </si>
  <si>
    <t>https://drive.google.com/file/d/1CvBm2bTzOq27UTmeF7d0vvEHrW2LyFLh/view?usp=drivesdk</t>
  </si>
  <si>
    <t xml:space="preserve">H. NURAIDI </t>
  </si>
  <si>
    <t>konghajinuraidi@gmail.com</t>
  </si>
  <si>
    <t>2596</t>
  </si>
  <si>
    <t>11uxhF8SS-LZ49oqMnmRNIUdZHaquZZjJ</t>
  </si>
  <si>
    <t>https://drive.google.com/file/d/11uxhF8SS-LZ49oqMnmRNIUdZHaquZZjJ/view?usp=drivesdk</t>
  </si>
  <si>
    <t>Document successfully created; Document successfully merged; PDF created; !!Error Sending Emails: Service invoked too many times for one day: email.; Manually run by ecertificate75@gmail.com; Timestamp: Sep 1 2024 11:51 PM</t>
  </si>
  <si>
    <t>NUR ADHA</t>
  </si>
  <si>
    <t>nuradha.stiebima22@gmail.com</t>
  </si>
  <si>
    <t>2597</t>
  </si>
  <si>
    <t>1LAM-F1GXnlCOWODbrhoMiN_LNHCo9IQn</t>
  </si>
  <si>
    <t>https://drive.google.com/file/d/1LAM-F1GXnlCOWODbrhoMiN_LNHCo9IQn/view?usp=drivesdk</t>
  </si>
  <si>
    <t>HERWITA, A.Md.Kep.</t>
  </si>
  <si>
    <t>herwita25@gmail.com</t>
  </si>
  <si>
    <t>2598</t>
  </si>
  <si>
    <t>1lZz9e-iXCgGGl44tTwSaJNqbsBRaYA9l</t>
  </si>
  <si>
    <t>https://drive.google.com/file/d/1lZz9e-iXCgGGl44tTwSaJNqbsBRaYA9l/view?usp=drivesdk</t>
  </si>
  <si>
    <t>H.MUHAMMADKHAIRUL AMRI SPD</t>
  </si>
  <si>
    <t>amrids80@gnail.com</t>
  </si>
  <si>
    <t>2599</t>
  </si>
  <si>
    <t>12RZwHZNKWKnoc1vCM4Iv9pJbToYF-6Cr</t>
  </si>
  <si>
    <t>https://drive.google.com/file/d/12RZwHZNKWKnoc1vCM4Iv9pJbToYF-6Cr/view?usp=drivesdk</t>
  </si>
  <si>
    <t>NUR LUQMAN</t>
  </si>
  <si>
    <t>nurluqman2@gmail.com</t>
  </si>
  <si>
    <t>2600</t>
  </si>
  <si>
    <t>1YPUeVBowCEKtxmgsfa_j4mXg7GMJyw_e</t>
  </si>
  <si>
    <t>https://drive.google.com/file/d/1YPUeVBowCEKtxmgsfa_j4mXg7GMJyw_e/view?usp=drivesdk</t>
  </si>
  <si>
    <t>Document successfully created; Document successfully merged; PDF created; !!Error Sending Emails: Service invoked too many times for one day: email.; Manually run by ecertificate75@gmail.com; Timestamp: Sep 1 2024 11:52 PM</t>
  </si>
  <si>
    <t>dr. MARLISSA</t>
  </si>
  <si>
    <t>marlissa.md10@gmail.com</t>
  </si>
  <si>
    <t>2601</t>
  </si>
  <si>
    <t>1fHYpmzY6Tk7FSAoJPULye975wM4HXKvA</t>
  </si>
  <si>
    <t>https://drive.google.com/file/d/1fHYpmzY6Tk7FSAoJPULye975wM4HXKvA/view?usp=drivesdk</t>
  </si>
  <si>
    <t>AAY SUWARDI</t>
  </si>
  <si>
    <t>aay.suwardi@gmail.com</t>
  </si>
  <si>
    <t>2602</t>
  </si>
  <si>
    <t>1roJAjTZDlV_9iiF2FWxvxveXc3dPvbep</t>
  </si>
  <si>
    <t>https://drive.google.com/file/d/1roJAjTZDlV_9iiF2FWxvxveXc3dPvbep/view?usp=drivesdk</t>
  </si>
  <si>
    <t>Document successfully created; Document successfully merged; PDF created; !!Error Sending Emails: Service invoked too many times for one day: email.; Manually run by ecertificate75@gmail.com; Timestamp: Sep 1 2024 11:53 PM</t>
  </si>
  <si>
    <t>AGUS JAKARIA</t>
  </si>
  <si>
    <t>Agusjakaria67@gmail.com</t>
  </si>
  <si>
    <t>2603</t>
  </si>
  <si>
    <t>1vIcrslmgYgKY9e_MwMpd028XEaqdNbZn</t>
  </si>
  <si>
    <t>https://drive.google.com/file/d/1vIcrslmgYgKY9e_MwMpd028XEaqdNbZn/view?usp=drivesdk</t>
  </si>
  <si>
    <t xml:space="preserve">NUR CAHYANI </t>
  </si>
  <si>
    <t>nurcahyani623@gmail.com</t>
  </si>
  <si>
    <t>2604</t>
  </si>
  <si>
    <t>14A5xLozX4MRWJ1jdCkDi-vP-uMmT0fNK</t>
  </si>
  <si>
    <t>https://drive.google.com/file/d/14A5xLozX4MRWJ1jdCkDi-vP-uMmT0fNK/view?usp=drivesdk</t>
  </si>
  <si>
    <t>MARTHA SOUISA S.Th</t>
  </si>
  <si>
    <t>nonasouissa@gmail.com</t>
  </si>
  <si>
    <t>2605</t>
  </si>
  <si>
    <t>1WxkemLKQVqxLmGG3m9TAY74ymX_CVCBJ</t>
  </si>
  <si>
    <t>https://drive.google.com/file/d/1WxkemLKQVqxLmGG3m9TAY74ymX_CVCBJ/view?usp=drivesdk</t>
  </si>
  <si>
    <t xml:space="preserve">SRI ANGRAINI </t>
  </si>
  <si>
    <t>sriaanggraini@gmail.com</t>
  </si>
  <si>
    <t>2606</t>
  </si>
  <si>
    <t>14djRa4CWTSKwP6vLX2DSzcWOSXLPtk6Y</t>
  </si>
  <si>
    <t>https://drive.google.com/file/d/14djRa4CWTSKwP6vLX2DSzcWOSXLPtk6Y/view?usp=drivesdk</t>
  </si>
  <si>
    <t>ASEP SUHANA.A.MD.KEP</t>
  </si>
  <si>
    <t>asepsuhana2017@gmail.com</t>
  </si>
  <si>
    <t>2607</t>
  </si>
  <si>
    <t>1epxVwmbY4fPmr_e11VxfHOg0ifMQbxc2</t>
  </si>
  <si>
    <t>https://drive.google.com/file/d/1epxVwmbY4fPmr_e11VxfHOg0ifMQbxc2/view?usp=drivesdk</t>
  </si>
  <si>
    <t>Document successfully created; Document successfully merged; PDF created; !!Error Sending Emails: Service invoked too many times for one day: email.; Manually run by ecertificate75@gmail.com; Timestamp: Sep 1 2024 11:54 PM</t>
  </si>
  <si>
    <t>HARTI WIGATI</t>
  </si>
  <si>
    <t>hwigati67@gmail.com</t>
  </si>
  <si>
    <t>2608</t>
  </si>
  <si>
    <t>1YPJTkAUbd8Wo9lwqHSttvvfqxZOT5Vkv</t>
  </si>
  <si>
    <t>https://drive.google.com/file/d/1YPJTkAUbd8Wo9lwqHSttvvfqxZOT5Vkv/view?usp=drivesdk</t>
  </si>
  <si>
    <t xml:space="preserve">PUJIYATI </t>
  </si>
  <si>
    <t>pujiyatigema@gmail.com</t>
  </si>
  <si>
    <t>2609</t>
  </si>
  <si>
    <t>1hopjgteK1EBP1RzzH1FigKRWKfyan1ig</t>
  </si>
  <si>
    <t>https://drive.google.com/file/d/1hopjgteK1EBP1RzzH1FigKRWKfyan1ig/view?usp=drivesdk</t>
  </si>
  <si>
    <t>sri1969yanti@gmail.com</t>
  </si>
  <si>
    <t>2610</t>
  </si>
  <si>
    <t>https://drive.google.com/file/d/1vD8yFNqjkQuhF4vQqhmFLmuMZPIyoz8K/view?usp=drivesdk</t>
  </si>
  <si>
    <t>1vD8yFNqjkQuhF4vQqhmFLmuMZPIyoz8K</t>
  </si>
  <si>
    <t>11vsPnzSzaC0HlenAR3aNHLCE2n5NqvbD</t>
  </si>
  <si>
    <t>https://drive.google.com/file/d/11vsPnzSzaC0HlenAR3aNHLCE2n5NqvbD/view?usp=drivesdk</t>
  </si>
  <si>
    <t>YUNI SETIYOWATI</t>
  </si>
  <si>
    <t>yuniset4@gmail.com</t>
  </si>
  <si>
    <t>2611</t>
  </si>
  <si>
    <t>https://drive.google.com/file/d/1ewNBY4Zxl80YM8KmLRPuhk067TidkgMG/view?usp=drivesdk</t>
  </si>
  <si>
    <t>1ewNBY4Zxl80YM8KmLRPuhk067TidkgMG</t>
  </si>
  <si>
    <t>1cnlXq-c_FLOxm0rblQtaYwJxRtlcNfcx</t>
  </si>
  <si>
    <t>https://drive.google.com/file/d/1cnlXq-c_FLOxm0rblQtaYwJxRtlcNfcx/view?usp=drivesdk</t>
  </si>
  <si>
    <t>Document successfully created; Document successfully merged; PDF created; !!Error Sending Emails: Service invoked too many times for one day: email.; Manually run by ecertificate75@gmail.com; Timestamp: Sep 1 2024 11:55 PM</t>
  </si>
  <si>
    <t>SUWARSO</t>
  </si>
  <si>
    <t>suwarsodanu@gmail.com</t>
  </si>
  <si>
    <t>2612</t>
  </si>
  <si>
    <t>https://drive.google.com/file/d/1IW_r0f-4nyGCcyHQy3dSc4Dp_Y8L0SJ8/view?usp=drivesdk</t>
  </si>
  <si>
    <t>1IW_r0f-4nyGCcyHQy3dSc4Dp_Y8L0SJ8</t>
  </si>
  <si>
    <t>18IW94X8f3kStpS90bF4MhJzEstUH-R6h</t>
  </si>
  <si>
    <t>https://drive.google.com/file/d/18IW94X8f3kStpS90bF4MhJzEstUH-R6h/view?usp=drivesdk</t>
  </si>
  <si>
    <t>TATI SUDARWATI</t>
  </si>
  <si>
    <t>tatisudarwati@yahoo.co.id</t>
  </si>
  <si>
    <t>2613</t>
  </si>
  <si>
    <t>https://drive.google.com/file/d/1Sc5tAbuiW2S1LgCiha0QSzSlg670gKtQ/view?usp=drivesdk</t>
  </si>
  <si>
    <t>Document successfully created; Document successfully merged; PDF created; !!Error Sending Emails: Service invoked too many times for one day: email.; Run via form trigger as ecertificate75@gmail.com; Timestamp: Aug 29 2024 9:12 PM</t>
  </si>
  <si>
    <t>1Sc5tAbuiW2S1LgCiha0QSzSlg670gKtQ</t>
  </si>
  <si>
    <t>1LOD-jHwwacqXz0hSHQGu2xTYLpuU1Wdi</t>
  </si>
  <si>
    <t>https://drive.google.com/file/d/1LOD-jHwwacqXz0hSHQGu2xTYLpuU1Wdi/view?usp=drivesdk</t>
  </si>
  <si>
    <t>WAHID NOR HUDA</t>
  </si>
  <si>
    <t>polikspnpoldapapua@gmail.com</t>
  </si>
  <si>
    <t>2614</t>
  </si>
  <si>
    <t>https://drive.google.com/file/d/174iqAIEz3S0DnlkRWqUTK1bJVVaniQ0u/view?usp=drivesdk</t>
  </si>
  <si>
    <t>174iqAIEz3S0DnlkRWqUTK1bJVVaniQ0u</t>
  </si>
  <si>
    <t>17YPT5kvVHzjuTh4wLF3qHc87bSYFrywP</t>
  </si>
  <si>
    <t>https://drive.google.com/file/d/17YPT5kvVHzjuTh4wLF3qHc87bSYFrywP/view?usp=drivesdk</t>
  </si>
  <si>
    <t>ANDRIANTO</t>
  </si>
  <si>
    <t>Andriantoansyah@gmail.com</t>
  </si>
  <si>
    <t>2615</t>
  </si>
  <si>
    <t>https://drive.google.com/file/d/1OQUW1q8Xahpf5wMj7wkigEgfnzAgekay/view?usp=drivesdk</t>
  </si>
  <si>
    <t>1OQUW1q8Xahpf5wMj7wkigEgfnzAgekay</t>
  </si>
  <si>
    <t>17TmjqeffmRaj2_PplDv6NzZ2nIQf2QMq</t>
  </si>
  <si>
    <t>https://drive.google.com/file/d/17TmjqeffmRaj2_PplDv6NzZ2nIQf2QMq/view?usp=drivesdk</t>
  </si>
  <si>
    <t>Document successfully created; Document successfully merged; PDF created; !!Error Sending Emails: Service invoked too many times for one day: email.; Manually run by ecertificate75@gmail.com; Timestamp: Sep 1 2024 11:56 PM</t>
  </si>
  <si>
    <t xml:space="preserve">HERI PAMUJI WIBOWO, S.E. </t>
  </si>
  <si>
    <t>bidkeu.apk.papua@gmail.com</t>
  </si>
  <si>
    <t>2616</t>
  </si>
  <si>
    <t>https://drive.google.com/file/d/1Y8a6DC8xKFxjfE_vSnVO_gI_CoDVSLOJ/view?usp=drivesdk</t>
  </si>
  <si>
    <t>1Y8a6DC8xKFxjfE_vSnVO_gI_CoDVSLOJ</t>
  </si>
  <si>
    <t>1E_T-SbOGPxtCJ-TJeO1KT76aZmgXYgIe</t>
  </si>
  <si>
    <t>https://drive.google.com/file/d/1E_T-SbOGPxtCJ-TJeO1KT76aZmgXYgIe/view?usp=drivesdk</t>
  </si>
  <si>
    <t>JULI ANDAYANI</t>
  </si>
  <si>
    <t>juliburhannudin@gmail.com</t>
  </si>
  <si>
    <t>2617</t>
  </si>
  <si>
    <t>https://drive.google.com/file/d/1PkOGcpulVLPQAvthHbW561v8qnmUwEnx/view?usp=drivesdk</t>
  </si>
  <si>
    <t>1PkOGcpulVLPQAvthHbW561v8qnmUwEnx</t>
  </si>
  <si>
    <t>1WOnmvpIwgzjqm46aByfRrzTWZSL2WXTG</t>
  </si>
  <si>
    <t>https://drive.google.com/file/d/1WOnmvpIwgzjqm46aByfRrzTWZSL2WXTG/view?usp=drivesdk</t>
  </si>
  <si>
    <t>EPA AFRIANI</t>
  </si>
  <si>
    <t>epa.afriani1976@gmail.com</t>
  </si>
  <si>
    <t>2618</t>
  </si>
  <si>
    <t>https://drive.google.com/file/d/1rtGdTKmDWG6bpRymC9NPu3cgOKHNXzCG/view?usp=drivesdk</t>
  </si>
  <si>
    <t>Document successfully created; Document successfully merged; PDF created; !!Error Sending Emails: Service invoked too many times for one day: email.; Run via form trigger as ecertificate75@gmail.com; Timestamp: Aug 29 2024 9:13 PM</t>
  </si>
  <si>
    <t>1rtGdTKmDWG6bpRymC9NPu3cgOKHNXzCG</t>
  </si>
  <si>
    <t>1AAcZmqqB-cnCthg4RzvYuu0B5sCztS0-</t>
  </si>
  <si>
    <t>https://drive.google.com/file/d/1AAcZmqqB-cnCthg4RzvYuu0B5sCztS0-/view?usp=drivesdk</t>
  </si>
  <si>
    <t>DEWI SARTIKA</t>
  </si>
  <si>
    <t>dewiafkar11@gmail.com</t>
  </si>
  <si>
    <t>2619</t>
  </si>
  <si>
    <t>https://drive.google.com/file/d/18fdSeRZjMf4Xu906nFp8ccN7L3EkvBYy/view?usp=drivesdk</t>
  </si>
  <si>
    <t>18fdSeRZjMf4Xu906nFp8ccN7L3EkvBYy</t>
  </si>
  <si>
    <t>1XXZtvUQ-ehU_4eyKYf91H8lyyHXF-xa0</t>
  </si>
  <si>
    <t>https://drive.google.com/file/d/1XXZtvUQ-ehU_4eyKYf91H8lyyHXF-xa0/view?usp=drivesdk</t>
  </si>
  <si>
    <t>Document successfully created; Document successfully merged; PDF created; !!Error Sending Emails: Service invoked too many times for one day: email.; Manually run by ecertificate75@gmail.com; Timestamp: Sep 1 2024 11:57 PM</t>
  </si>
  <si>
    <t>YANI PRASETYA FAJARWATI, SE</t>
  </si>
  <si>
    <t>yaniprasetyafajarwati2@gmail.com</t>
  </si>
  <si>
    <t>2620</t>
  </si>
  <si>
    <t>https://drive.google.com/file/d/11TpN1DfNkKhMmBzV-S7D1BxVT1ST_1u7/view?usp=drivesdk</t>
  </si>
  <si>
    <t>11TpN1DfNkKhMmBzV-S7D1BxVT1ST_1u7</t>
  </si>
  <si>
    <t>1M5GqGK3CxNSFpQ1VJfU-n9AiTeEtth_y</t>
  </si>
  <si>
    <t>https://drive.google.com/file/d/1M5GqGK3CxNSFpQ1VJfU-n9AiTeEtth_y/view?usp=drivesdk</t>
  </si>
  <si>
    <t>WAHYUDI</t>
  </si>
  <si>
    <t>wahyudi.yanma@gmail.com</t>
  </si>
  <si>
    <t>2621</t>
  </si>
  <si>
    <t>Starting at Thu Aug 29 2024 21:12:21 GMT-0400 (EDT)</t>
  </si>
  <si>
    <t>1UE4fbT9eJPTJVSKnsWB2Oq3XPkIb5wDr</t>
  </si>
  <si>
    <t>https://drive.google.com/file/d/1UE4fbT9eJPTJVSKnsWB2Oq3XPkIb5wDr/view?usp=drivesdk</t>
  </si>
  <si>
    <t>DR. ASRARUDIN</t>
  </si>
  <si>
    <t>asrarudin03@gmail.com</t>
  </si>
  <si>
    <t>2622</t>
  </si>
  <si>
    <t>1y9ZNUKfP2I5CWbN3FkWeNbZdsFZKqR1q</t>
  </si>
  <si>
    <t>https://drive.google.com/file/d/1y9ZNUKfP2I5CWbN3FkWeNbZdsFZKqR1q/view?usp=drivesdk</t>
  </si>
  <si>
    <t>SUMINAH BR SITEPU</t>
  </si>
  <si>
    <t>suminahbrsitepu@gmail.com</t>
  </si>
  <si>
    <t>2623</t>
  </si>
  <si>
    <t>1MVMwvC3eQA78sxyJNqNnsaFjQfB255Sq</t>
  </si>
  <si>
    <t>https://drive.google.com/file/d/1MVMwvC3eQA78sxyJNqNnsaFjQfB255Sq/view?usp=drivesdk</t>
  </si>
  <si>
    <t>Document successfully created; Document successfully merged; PDF created; !!Error Sending Emails: Service invoked too many times for one day: email.; Manually run by ecertificate75@gmail.com; Timestamp: Sep 1 2024 11:58 PM</t>
  </si>
  <si>
    <t>TATI KURNIATI AMD.KEP</t>
  </si>
  <si>
    <t>tatieka25@mail.com</t>
  </si>
  <si>
    <t>2624</t>
  </si>
  <si>
    <t>1II0sk4m5Og31rb9dwom09Oy_gWPQHU_p</t>
  </si>
  <si>
    <t>https://drive.google.com/file/d/1II0sk4m5Og31rb9dwom09Oy_gWPQHU_p/view?usp=drivesdk</t>
  </si>
  <si>
    <t>SUDARMANTA</t>
  </si>
  <si>
    <t>dharmaanta17@gmail.com</t>
  </si>
  <si>
    <t>2625</t>
  </si>
  <si>
    <t>1V1tLZFHV2w42gMIDNrXD7qKAxYBJZVVm</t>
  </si>
  <si>
    <t>https://drive.google.com/file/d/1V1tLZFHV2w42gMIDNrXD7qKAxYBJZVVm/view?usp=drivesdk</t>
  </si>
  <si>
    <t>MARIA R INDAH</t>
  </si>
  <si>
    <t>arinmaria207@gmail.com</t>
  </si>
  <si>
    <t>2626</t>
  </si>
  <si>
    <t>1tN_yZNzffAwg1h1DNU1N9LehbGHAvXHh</t>
  </si>
  <si>
    <t>https://drive.google.com/file/d/1tN_yZNzffAwg1h1DNU1N9LehbGHAvXHh/view?usp=drivesdk</t>
  </si>
  <si>
    <t>METTA HERIYANI</t>
  </si>
  <si>
    <t>mettalahat1977@gmail.com</t>
  </si>
  <si>
    <t>2627</t>
  </si>
  <si>
    <t>12pKDbtvcnnu_QHQ6o9LcMaHYr3qnzo2e</t>
  </si>
  <si>
    <t>https://drive.google.com/file/d/12pKDbtvcnnu_QHQ6o9LcMaHYr3qnzo2e/view?usp=drivesdk</t>
  </si>
  <si>
    <t>Document successfully created; Document successfully merged; PDF created; !!Error Sending Emails: Service invoked too many times for one day: email.; Manually run by ecertificate75@gmail.com; Timestamp: Aug 31 2024 4:23 AM</t>
  </si>
  <si>
    <t>AGUSTIN NINGSIH</t>
  </si>
  <si>
    <t>mreza9197@gmail.com</t>
  </si>
  <si>
    <t>2628</t>
  </si>
  <si>
    <t>1SqJkMYcS8PpBlMAUHqP01eXpxMm_Khzu</t>
  </si>
  <si>
    <t>https://drive.google.com/file/d/1SqJkMYcS8PpBlMAUHqP01eXpxMm_Khzu/view?usp=drivesdk</t>
  </si>
  <si>
    <t>Document successfully created; Document successfully merged; PDF created; !!Error Sending Emails: Service invoked too many times for one day: email.; Manually run by ecertificate75@gmail.com; Timestamp: Aug 31 2024 4:24 AM</t>
  </si>
  <si>
    <t>SUSMIANANH</t>
  </si>
  <si>
    <t>susmianah.junedi@gmail.com</t>
  </si>
  <si>
    <t>2629</t>
  </si>
  <si>
    <t>1IW1PzLdIciGKa0OVDtxgRJ90camSYFrP</t>
  </si>
  <si>
    <t>https://drive.google.com/file/d/1IW1PzLdIciGKa0OVDtxgRJ90camSYFrP/view?usp=drivesdk</t>
  </si>
  <si>
    <t>KOMARUDIN</t>
  </si>
  <si>
    <t>komarbkl78@gmail.com</t>
  </si>
  <si>
    <t>2630</t>
  </si>
  <si>
    <t>1bD6c6d46ZRH7I6m3guENzV38wXVmpUl-</t>
  </si>
  <si>
    <t>https://drive.google.com/file/d/1bD6c6d46ZRH7I6m3guENzV38wXVmpUl-/view?usp=drivesdk</t>
  </si>
  <si>
    <t>SRI MURTINI, S.E.</t>
  </si>
  <si>
    <t>sri.murtini781121@gmail.com</t>
  </si>
  <si>
    <t>2631</t>
  </si>
  <si>
    <t>1w2M1RBoyYrzbsJYs6OG8kPufqqUnGRm2</t>
  </si>
  <si>
    <t>https://drive.google.com/file/d/1w2M1RBoyYrzbsJYs6OG8kPufqqUnGRm2/view?usp=drivesdk</t>
  </si>
  <si>
    <t>ANGGRIANI,AMDGz</t>
  </si>
  <si>
    <t>bebianggriani7@gmail.com</t>
  </si>
  <si>
    <t>2632</t>
  </si>
  <si>
    <t>1ctCCZBj9oi8Hc9tvOJBdRHre6zjJuDQX</t>
  </si>
  <si>
    <t>https://drive.google.com/file/d/1ctCCZBj9oi8Hc9tvOJBdRHre6zjJuDQX/view?usp=drivesdk</t>
  </si>
  <si>
    <t>DIDIK RUSTAM</t>
  </si>
  <si>
    <t>didikrustam123@gmail.com</t>
  </si>
  <si>
    <t>2633</t>
  </si>
  <si>
    <t>1WhXHfrsDFRT6tWzh0Kz2cCyVkXW4342e</t>
  </si>
  <si>
    <t>https://drive.google.com/file/d/1WhXHfrsDFRT6tWzh0Kz2cCyVkXW4342e/view?usp=drivesdk</t>
  </si>
  <si>
    <t>LUSIANA ERNAWATI, A. Md.</t>
  </si>
  <si>
    <t>lusiana.obvit@gmail.com</t>
  </si>
  <si>
    <t>2634</t>
  </si>
  <si>
    <t>Starting at Thu Aug 29 2024 21:11:22 GMT-0400 (EDT)</t>
  </si>
  <si>
    <t>1OSXLfNzFKRcGx1kYFQW1bU5Cg3PHX50B</t>
  </si>
  <si>
    <t>https://drive.google.com/file/d/1OSXLfNzFKRcGx1kYFQW1bU5Cg3PHX50B/view?usp=drivesdk</t>
  </si>
  <si>
    <t>Document successfully created; Document successfully merged; PDF created; !!Error Sending Emails: Service invoked too many times for one day: email.; Manually run by ecertificate75@gmail.com; Timestamp: Aug 31 2024 4:25 AM</t>
  </si>
  <si>
    <t>RINALDY</t>
  </si>
  <si>
    <t>andirinaldy469@gmail.com</t>
  </si>
  <si>
    <t>2635</t>
  </si>
  <si>
    <t>1bJvNPfwvQ6G_J7RuIrL8AeiQ-C3xuCmw</t>
  </si>
  <si>
    <t>https://drive.google.com/file/d/1bJvNPfwvQ6G_J7RuIrL8AeiQ-C3xuCmw/view?usp=drivesdk</t>
  </si>
  <si>
    <t>WIJI WIJI</t>
  </si>
  <si>
    <t>iiiwii21@gmail.com</t>
  </si>
  <si>
    <t>2636</t>
  </si>
  <si>
    <t>1346rV60P3zLWO9Lsg4BpONaIaXmoNu4w</t>
  </si>
  <si>
    <t>https://drive.google.com/file/d/1346rV60P3zLWO9Lsg4BpONaIaXmoNu4w/view?usp=drivesdk</t>
  </si>
  <si>
    <t>SITI BARIYAH</t>
  </si>
  <si>
    <t>sitibariyaah@gmail.com</t>
  </si>
  <si>
    <t>2637</t>
  </si>
  <si>
    <t>1MPiW63ND55hG2eJWtsZ1uy7Q1nGGTdwd</t>
  </si>
  <si>
    <t>https://drive.google.com/file/d/1MPiW63ND55hG2eJWtsZ1uy7Q1nGGTdwd/view?usp=drivesdk</t>
  </si>
  <si>
    <t>DIAN MILHAN YASSIR</t>
  </si>
  <si>
    <t>demilhan77@gmail.com</t>
  </si>
  <si>
    <t>2638</t>
  </si>
  <si>
    <t>1gu2WMo8w5HLuoWuPSCL5t-pXs5EHtjAL</t>
  </si>
  <si>
    <t>https://drive.google.com/file/d/1gu2WMo8w5HLuoWuPSCL5t-pXs5EHtjAL/view?usp=drivesdk</t>
  </si>
  <si>
    <t xml:space="preserve">DINA YULIANA </t>
  </si>
  <si>
    <t>dinayuliana1919@gmail.com</t>
  </si>
  <si>
    <t>2639</t>
  </si>
  <si>
    <t>10-X1kCin5gg6PBDE5R08Ikqv1q2WTSo3</t>
  </si>
  <si>
    <t>https://drive.google.com/file/d/10-X1kCin5gg6PBDE5R08Ikqv1q2WTSo3/view?usp=drivesdk</t>
  </si>
  <si>
    <t>MAI SHANDRA SWARA, A. MD. FAR</t>
  </si>
  <si>
    <t>shandraswara.mss@gmail.com</t>
  </si>
  <si>
    <t>2640</t>
  </si>
  <si>
    <t>1fvcuv4ZCHa6WTonN3pLUi5So6CUBPn5e</t>
  </si>
  <si>
    <t>https://drive.google.com/file/d/1fvcuv4ZCHa6WTonN3pLUi5So6CUBPn5e/view?usp=drivesdk</t>
  </si>
  <si>
    <t>Document successfully created; Document successfully merged; PDF created; !!Error Sending Emails: Service invoked too many times for one day: email.; Manually run by ecertificate75@gmail.com; Timestamp: Aug 31 2024 4:26 AM</t>
  </si>
  <si>
    <t xml:space="preserve">AGUS SANTOSO, S. H. </t>
  </si>
  <si>
    <t>agussantosopnspolresnganjuk@gmail.com</t>
  </si>
  <si>
    <t>2641</t>
  </si>
  <si>
    <t>1If476K-WjATZyopWTEBsnBpAIwNX4jXh</t>
  </si>
  <si>
    <t>https://drive.google.com/file/d/1If476K-WjATZyopWTEBsnBpAIwNX4jXh/view?usp=drivesdk</t>
  </si>
  <si>
    <t>WIDJIUTAMI</t>
  </si>
  <si>
    <t>widjiutami75@gmail.com</t>
  </si>
  <si>
    <t>2642</t>
  </si>
  <si>
    <t>1RcXC848XPMHeiIHypVHAfCQ58a3ecn5X</t>
  </si>
  <si>
    <t>https://drive.google.com/file/d/1RcXC848XPMHeiIHypVHAfCQ58a3ecn5X/view?usp=drivesdk</t>
  </si>
  <si>
    <t>SISWANTO, Amd.Kep.</t>
  </si>
  <si>
    <t>sisook01@gmail.com</t>
  </si>
  <si>
    <t>2643</t>
  </si>
  <si>
    <t>1XQ-w5c2MxvmmCn4KqIyaA_6MA8C4Yrl-</t>
  </si>
  <si>
    <t>https://drive.google.com/file/d/1XQ-w5c2MxvmmCn4KqIyaA_6MA8C4Yrl-/view?usp=drivesdk</t>
  </si>
  <si>
    <t>NOOR HIKMAH</t>
  </si>
  <si>
    <t>noor75.hikmah@gmail.com</t>
  </si>
  <si>
    <t>2644</t>
  </si>
  <si>
    <t>1vKc0dqmGXowP0v8SBNXHhnmiylG0aJ4V</t>
  </si>
  <si>
    <t>https://drive.google.com/file/d/1vKc0dqmGXowP0v8SBNXHhnmiylG0aJ4V/view?usp=drivesdk</t>
  </si>
  <si>
    <t>WALDI HARIYADI</t>
  </si>
  <si>
    <t>waldiboras1989@gmail.com</t>
  </si>
  <si>
    <t>2645</t>
  </si>
  <si>
    <t>1SLVgUgZsVXKmm3x_hhaZsGe7Bxf8LVpD</t>
  </si>
  <si>
    <t>https://drive.google.com/file/d/1SLVgUgZsVXKmm3x_hhaZsGe7Bxf8LVpD/view?usp=drivesdk</t>
  </si>
  <si>
    <t>ANISSA DEWI AMIYATI, S.Pd</t>
  </si>
  <si>
    <t>ami.anissadewi@gmail.com</t>
  </si>
  <si>
    <t>2646</t>
  </si>
  <si>
    <t>1fVTdyRTV0bpWjp6A3prbjnutPp7QCcUD</t>
  </si>
  <si>
    <t>https://drive.google.com/file/d/1fVTdyRTV0bpWjp6A3prbjnutPp7QCcUD/view?usp=drivesdk</t>
  </si>
  <si>
    <t>Document successfully created; Document successfully merged; PDF created; !!Error Sending Emails: Service invoked too many times for one day: email.; Manually run by ecertificate75@gmail.com; Timestamp: Aug 31 2024 4:27 AM</t>
  </si>
  <si>
    <t>WARJITA,S.Pd</t>
  </si>
  <si>
    <t>zahranpamungkas123@gmakl.com</t>
  </si>
  <si>
    <t>2647</t>
  </si>
  <si>
    <t>1GCZFS16tSKq6ivUFUufoyppzpOd4RPoF</t>
  </si>
  <si>
    <t>https://drive.google.com/file/d/1GCZFS16tSKq6ivUFUufoyppzpOd4RPoF/view?usp=drivesdk</t>
  </si>
  <si>
    <t>NI WAYAN MUDARNI</t>
  </si>
  <si>
    <t>wayan.mudarni@gmail.com</t>
  </si>
  <si>
    <t>2648</t>
  </si>
  <si>
    <t>1QHqgGAB9J7iU4ZkjvqjN_dTDhSragTpD</t>
  </si>
  <si>
    <t>https://drive.google.com/file/d/1QHqgGAB9J7iU4ZkjvqjN_dTDhSragTpD/view?usp=drivesdk</t>
  </si>
  <si>
    <t>MEIYANTI SIBORO</t>
  </si>
  <si>
    <t>meiyantisiboro@gmail.com</t>
  </si>
  <si>
    <t>2649</t>
  </si>
  <si>
    <t>1YgvPf5jB6HR1Z3EkOhbSojAOPncHXChr</t>
  </si>
  <si>
    <t>https://drive.google.com/file/d/1YgvPf5jB6HR1Z3EkOhbSojAOPncHXChr/view?usp=drivesdk</t>
  </si>
  <si>
    <t>AHMAD HAIRUL ANAM</t>
  </si>
  <si>
    <t>ahmadhairulanam.pnssampang@gmail.com</t>
  </si>
  <si>
    <t>2650</t>
  </si>
  <si>
    <t>1Rtjb9ZHCBMvPXWS9TcPC7WTMu_ElqZIJ</t>
  </si>
  <si>
    <t>https://drive.google.com/file/d/1Rtjb9ZHCBMvPXWS9TcPC7WTMu_ElqZIJ/view?usp=drivesdk</t>
  </si>
  <si>
    <t>EDWIN TAMPUBOLON, S.E., M.M.</t>
  </si>
  <si>
    <t>edwinmuel@gmail.com</t>
  </si>
  <si>
    <t>2651</t>
  </si>
  <si>
    <t>1i6Q1anCUYlzdel358MsdtZw0qQN3-p7n</t>
  </si>
  <si>
    <t>https://drive.google.com/file/d/1i6Q1anCUYlzdel358MsdtZw0qQN3-p7n/view?usp=drivesdk</t>
  </si>
  <si>
    <t>Document successfully created; Document successfully merged; PDF created; !!Error Sending Emails: Service invoked too many times for one day: email.; Manually run by ecertificate75@gmail.com; Timestamp: Aug 31 2024 4:28 AM</t>
  </si>
  <si>
    <t>SUHARTINI, SM</t>
  </si>
  <si>
    <t>AIPTU</t>
  </si>
  <si>
    <t>prilyamutiara0102@gmail.com</t>
  </si>
  <si>
    <t>2652</t>
  </si>
  <si>
    <t>1LBC1JNr0uoEDm8cMRPeDu4o4gn7PPtra</t>
  </si>
  <si>
    <t>https://drive.google.com/file/d/1LBC1JNr0uoEDm8cMRPeDu4o4gn7PPtra/view?usp=drivesdk</t>
  </si>
  <si>
    <t>LA SARMIN</t>
  </si>
  <si>
    <t>sarminlasarmin@gmail.com</t>
  </si>
  <si>
    <t>2653</t>
  </si>
  <si>
    <t>1c_C8E0DExtrTOPn6AmZvN4v5islmhtic</t>
  </si>
  <si>
    <t>https://drive.google.com/file/d/1c_C8E0DExtrTOPn6AmZvN4v5islmhtic/view?usp=drivesdk</t>
  </si>
  <si>
    <t xml:space="preserve">MARYATUN </t>
  </si>
  <si>
    <t>1977maryatun@gmail.com</t>
  </si>
  <si>
    <t>2654</t>
  </si>
  <si>
    <t>15zXMydwWV_0-oEDEM0UZL3rZ3hrW62Oo</t>
  </si>
  <si>
    <t>https://drive.google.com/file/d/15zXMydwWV_0-oEDEM0UZL3rZ3hrW62Oo/view?usp=drivesdk</t>
  </si>
  <si>
    <t>DEDY NURALAM</t>
  </si>
  <si>
    <t>7analam@gmail.com</t>
  </si>
  <si>
    <t>2655</t>
  </si>
  <si>
    <t>1Z44QGD0UZ6muy-w-3kwxMQUKbXIBCT_i</t>
  </si>
  <si>
    <t>https://drive.google.com/file/d/1Z44QGD0UZ6muy-w-3kwxMQUKbXIBCT_i/view?usp=drivesdk</t>
  </si>
  <si>
    <t>LILI SUSIANTI</t>
  </si>
  <si>
    <t>lilisusianti21@gmail.com</t>
  </si>
  <si>
    <t>2656</t>
  </si>
  <si>
    <t>1pfG3LnvO19gd-VGSKyNo08WCEcB4oc62</t>
  </si>
  <si>
    <t>https://drive.google.com/file/d/1pfG3LnvO19gd-VGSKyNo08WCEcB4oc62/view?usp=drivesdk</t>
  </si>
  <si>
    <t>Document successfully created; Document successfully merged; PDF created; !!Error Sending Emails: Service invoked too many times for one day: email.; Manually run by ecertificate75@gmail.com; Timestamp: Aug 31 2024 4:29 AM</t>
  </si>
  <si>
    <t xml:space="preserve">UJANG SARIPUDIN </t>
  </si>
  <si>
    <t>ujangsarif789@gmail.com</t>
  </si>
  <si>
    <t>2657</t>
  </si>
  <si>
    <t>1g8i5scL2pPKAhxzd_ZDt5znDkoQ4ofhs</t>
  </si>
  <si>
    <t>https://drive.google.com/file/d/1g8i5scL2pPKAhxzd_ZDt5znDkoQ4ofhs/view?usp=drivesdk</t>
  </si>
  <si>
    <t>Document successfully created; Document successfully merged; PDF created; !!Error Sending Emails: Service invoked too many times for one day: email.; Manually run by ecertificate75@gmail.com; Timestamp: Sep 1 2024 11:59 PM</t>
  </si>
  <si>
    <t>SUROYOBAPAK</t>
  </si>
  <si>
    <t>suroyoginuk@gmail.com</t>
  </si>
  <si>
    <t>2658</t>
  </si>
  <si>
    <t>1nGtAQ1NShg248tFycSU987ld8tUlALcs</t>
  </si>
  <si>
    <t>https://drive.google.com/file/d/1nGtAQ1NShg248tFycSU987ld8tUlALcs/view?usp=drivesdk</t>
  </si>
  <si>
    <t>ZULKIFLI, S.Hum.</t>
  </si>
  <si>
    <t>zulkifli1793@gmail.com</t>
  </si>
  <si>
    <t>2659</t>
  </si>
  <si>
    <t>14QTpPWQdfgZPTCA-ktGGgHVIMj75E92h</t>
  </si>
  <si>
    <t>https://drive.google.com/file/d/14QTpPWQdfgZPTCA-ktGGgHVIMj75E92h/view?usp=drivesdk</t>
  </si>
  <si>
    <t>SUKINAH</t>
  </si>
  <si>
    <t>sukinah.kinah71@gmail.com</t>
  </si>
  <si>
    <t>2660</t>
  </si>
  <si>
    <t>1G0QDzhICCygVO06gLREJdQ784VBp6jmk</t>
  </si>
  <si>
    <t>https://drive.google.com/file/d/1G0QDzhICCygVO06gLREJdQ784VBp6jmk/view?usp=drivesdk</t>
  </si>
  <si>
    <t>ZULKIFLI</t>
  </si>
  <si>
    <t>zulkiflisie@gmail.com</t>
  </si>
  <si>
    <t>2661</t>
  </si>
  <si>
    <t>1RbuoTAN3p3rZcr_DG7eiCgVhr1Fkn4-6</t>
  </si>
  <si>
    <t>https://drive.google.com/file/d/1RbuoTAN3p3rZcr_DG7eiCgVhr1Fkn4-6/view?usp=drivesdk</t>
  </si>
  <si>
    <t>Document successfully created; Document successfully merged; PDF created; !!Error Sending Emails: Service invoked too many times for one day: email.; Manually run by ecertificate75@gmail.com; Timestamp: Sep 2 2024 12:00 AM</t>
  </si>
  <si>
    <t>Drs. Wawan Setiawan</t>
  </si>
  <si>
    <t>wansetia1068@gmail.com</t>
  </si>
  <si>
    <t>2662</t>
  </si>
  <si>
    <t>1CzgbbrZzFx5B_wnVcmSXumR3zpj36xKv</t>
  </si>
  <si>
    <t>https://drive.google.com/file/d/1CzgbbrZzFx5B_wnVcmSXumR3zpj36xKv/view?usp=drivesdk</t>
  </si>
  <si>
    <t>apt. Rika Sepriyana, S.Si</t>
  </si>
  <si>
    <t>sepriyanarika@gmail.com</t>
  </si>
  <si>
    <t>2663</t>
  </si>
  <si>
    <t>1qS5zXrZS_Ws3zlt82EEAwYkfFY8lecEh</t>
  </si>
  <si>
    <t>https://drive.google.com/file/d/1qS5zXrZS_Ws3zlt82EEAwYkfFY8lecEh/view?usp=drivesdk</t>
  </si>
  <si>
    <t>FATMAWATI</t>
  </si>
  <si>
    <t>fatmawati.bidkum@gmail.com</t>
  </si>
  <si>
    <t>2664</t>
  </si>
  <si>
    <t>1uwswSwvWyTty3OSVg_b-Op1UaCS0xkPF</t>
  </si>
  <si>
    <t>https://drive.google.com/file/d/1uwswSwvWyTty3OSVg_b-Op1UaCS0xkPF/view?usp=drivesdk</t>
  </si>
  <si>
    <t>SUTISNO</t>
  </si>
  <si>
    <t>sutisno.ressit@gmail.com</t>
  </si>
  <si>
    <t>2665</t>
  </si>
  <si>
    <t>1bHoG5VidR1PE_epe8VuIdZPrZpnUXwTd</t>
  </si>
  <si>
    <t>https://drive.google.com/file/d/1bHoG5VidR1PE_epe8VuIdZPrZpnUXwTd/view?usp=drivesdk</t>
  </si>
  <si>
    <t xml:space="preserve">SENI APRIANI </t>
  </si>
  <si>
    <t>seniapriani25@gmail.com</t>
  </si>
  <si>
    <t>2666</t>
  </si>
  <si>
    <t>1bwobxXYL_TRSePcwA0w5Lzu9l6Z7E3EY</t>
  </si>
  <si>
    <t>https://drive.google.com/file/d/1bwobxXYL_TRSePcwA0w5Lzu9l6Z7E3EY/view?usp=drivesdk</t>
  </si>
  <si>
    <t>Document successfully created; Document successfully merged; PDF created; !!Error Sending Emails: Service invoked too many times for one day: email.; Manually run by ecertificate75@gmail.com; Timestamp: Sep 2 2024 12:01 AM</t>
  </si>
  <si>
    <t>ARIS NUGROHO S. Kep. Ns</t>
  </si>
  <si>
    <t>arisnugrobhylmj@gmail.com</t>
  </si>
  <si>
    <t>2667</t>
  </si>
  <si>
    <t>1WBpmWPzsDsyXhZl_4BP8pfqlaMUn_IyO</t>
  </si>
  <si>
    <t>https://drive.google.com/file/d/1WBpmWPzsDsyXhZl_4BP8pfqlaMUn_IyO/view?usp=drivesdk</t>
  </si>
  <si>
    <t>irawatibiddokes@gmail.com</t>
  </si>
  <si>
    <t>2668</t>
  </si>
  <si>
    <t>1oKp4cOcThgwYG_1Cckm3GYEuGKdRnT5F</t>
  </si>
  <si>
    <t>https://drive.google.com/file/d/1oKp4cOcThgwYG_1Cckm3GYEuGKdRnT5F/view?usp=drivesdk</t>
  </si>
  <si>
    <t>JUMERI</t>
  </si>
  <si>
    <t>jumeri102010@gmail.com</t>
  </si>
  <si>
    <t>2669</t>
  </si>
  <si>
    <t>1S6Xp3V0vf_O5YnYP0-53qNoaaPPlA-p-</t>
  </si>
  <si>
    <t>https://drive.google.com/file/d/1S6Xp3V0vf_O5YnYP0-53qNoaaPPlA-p-/view?usp=drivesdk</t>
  </si>
  <si>
    <t>Document successfully created; Document successfully merged; PDF created; !!Error Sending Emails: Service invoked too many times for one day: email.; Manually run by ecertificate75@gmail.com; Timestamp: Sep 2 2024 12:02 AM</t>
  </si>
  <si>
    <t>IRWAN FAISAL</t>
  </si>
  <si>
    <t>irwanfaisaal123@gmail.com</t>
  </si>
  <si>
    <t>2670</t>
  </si>
  <si>
    <t>1b4cDvPQb6QJtVpiEA7TAGn74QxtntjAw</t>
  </si>
  <si>
    <t>https://drive.google.com/file/d/1b4cDvPQb6QJtVpiEA7TAGn74QxtntjAw/view?usp=drivesdk</t>
  </si>
  <si>
    <t>KARTIK KARYANINGSIH</t>
  </si>
  <si>
    <t>kartik.karyaningsih@gmail.com</t>
  </si>
  <si>
    <t>2671</t>
  </si>
  <si>
    <t>1YdzZxsJgHFqZIhQMGPYGM7L901Px1mTn</t>
  </si>
  <si>
    <t>https://drive.google.com/file/d/1YdzZxsJgHFqZIhQMGPYGM7L901Px1mTn/view?usp=drivesdk</t>
  </si>
  <si>
    <t>OMAN MUHTAR</t>
  </si>
  <si>
    <t>zanganom320@gmail.com</t>
  </si>
  <si>
    <t>2672</t>
  </si>
  <si>
    <t>1qAKeWo5yr0_mVj-moeSiD0Mn5e_lW0Ol</t>
  </si>
  <si>
    <t>https://drive.google.com/file/d/1qAKeWo5yr0_mVj-moeSiD0Mn5e_lW0Ol/view?usp=drivesdk</t>
  </si>
  <si>
    <t>VINCENTIA VIVI SUSILOWATI, S.E.</t>
  </si>
  <si>
    <t>vincentiavivi5@gmail.com</t>
  </si>
  <si>
    <t>2673</t>
  </si>
  <si>
    <t>1Dz-ONfUbtLvUHR7HzkhAYXDymqu2DFKb</t>
  </si>
  <si>
    <t>https://drive.google.com/file/d/1Dz-ONfUbtLvUHR7HzkhAYXDymqu2DFKb/view?usp=drivesdk</t>
  </si>
  <si>
    <t>YUSYUS NATALUDDIN</t>
  </si>
  <si>
    <t>yus2nataluddin@gmail.com</t>
  </si>
  <si>
    <t>2674</t>
  </si>
  <si>
    <t>1UfnFKmFxrJ3-rL-mPWfyOZW0P7EGHwNw</t>
  </si>
  <si>
    <t>https://drive.google.com/file/d/1UfnFKmFxrJ3-rL-mPWfyOZW0P7EGHwNw/view?usp=drivesdk</t>
  </si>
  <si>
    <t>Document successfully created; Document successfully merged; PDF created; !!Error Sending Emails: Service invoked too many times for one day: email.; Manually run by ecertificate75@gmail.com; Timestamp: Sep 2 2024 12:03 AM</t>
  </si>
  <si>
    <t>TRI WURYANI, S.IP</t>
  </si>
  <si>
    <t>triwuryani1107@gmail.com</t>
  </si>
  <si>
    <t>2675</t>
  </si>
  <si>
    <t>18nqT7hARh2on-8_X4I2A5r4PoJ9ud916</t>
  </si>
  <si>
    <t>https://drive.google.com/file/d/18nqT7hARh2on-8_X4I2A5r4PoJ9ud916/view?usp=drivesdk</t>
  </si>
  <si>
    <t>RESTI SUPARMONO, A. Md. Kep</t>
  </si>
  <si>
    <t>rresti1006@gmail.com</t>
  </si>
  <si>
    <t>2676</t>
  </si>
  <si>
    <t>1-n4wxbnlHGaV4QbGKf3poLxGVw-LGock</t>
  </si>
  <si>
    <t>https://drive.google.com/file/d/1-n4wxbnlHGaV4QbGKf3poLxGVw-LGock/view?usp=drivesdk</t>
  </si>
  <si>
    <t>EVA DESWATi</t>
  </si>
  <si>
    <t>dwati9268@gmail.com</t>
  </si>
  <si>
    <t>2677</t>
  </si>
  <si>
    <t>191zqSTU_GgZjYsOC3dPJlxghxWdC2aCn</t>
  </si>
  <si>
    <t>https://drive.google.com/file/d/191zqSTU_GgZjYsOC3dPJlxghxWdC2aCn/view?usp=drivesdk</t>
  </si>
  <si>
    <t>Document successfully created; Document successfully merged; PDF created; !!Error Sending Emails: Service invoked too many times for one day: email.; Manually run by ecertificate75@gmail.com; Timestamp: Sep 2 2024 12:04 AM</t>
  </si>
  <si>
    <t>FARA ANANDYA, S.E.</t>
  </si>
  <si>
    <t>faraanandya1995@gmail.com</t>
  </si>
  <si>
    <t>2678</t>
  </si>
  <si>
    <t>1NgKsog6dW19BL5GcdFmOV8nqOXOvlrwH</t>
  </si>
  <si>
    <t>https://drive.google.com/file/d/1NgKsog6dW19BL5GcdFmOV8nqOXOvlrwH/view?usp=drivesdk</t>
  </si>
  <si>
    <t>SUBAGYO</t>
  </si>
  <si>
    <t>subagyokipli@gmail.com</t>
  </si>
  <si>
    <t>2679</t>
  </si>
  <si>
    <t>1qJaM2FlJa9VPeTuRM_orEvEEN-rrETKi</t>
  </si>
  <si>
    <t>https://drive.google.com/file/d/1qJaM2FlJa9VPeTuRM_orEvEEN-rrETKi/view?usp=drivesdk</t>
  </si>
  <si>
    <t>HAMDANAH,S.Sos.</t>
  </si>
  <si>
    <t>hamdanah.ahmad@gmail.com</t>
  </si>
  <si>
    <t>2680</t>
  </si>
  <si>
    <t>Starting at Thu Aug 29 2024 21:11:30 GMT-0400 (EDT)</t>
  </si>
  <si>
    <t>1Zwo4pxnAe61UhjKHcDgGnuwr-S1U2ZEC</t>
  </si>
  <si>
    <t>https://drive.google.com/file/d/1Zwo4pxnAe61UhjKHcDgGnuwr-S1U2ZEC/view?usp=drivesdk</t>
  </si>
  <si>
    <t>NUR EKO SURTIYANTI</t>
  </si>
  <si>
    <t>nureko252@gmail.com</t>
  </si>
  <si>
    <t>2681</t>
  </si>
  <si>
    <t>1dqorvoOuat62HMw7h_hud6yZytF_w6wG</t>
  </si>
  <si>
    <t>https://drive.google.com/file/d/1dqorvoOuat62HMw7h_hud6yZytF_w6wG/view?usp=drivesdk</t>
  </si>
  <si>
    <t>Document successfully created; Document successfully merged; PDF created; !!Error Sending Emails: Service invoked too many times for one day: email.; Manually run by ecertificate75@gmail.com; Timestamp: Sep 2 2024 12:05 AM</t>
  </si>
  <si>
    <t>APID HERYADI</t>
  </si>
  <si>
    <t>apidheryadi68@gmail.com</t>
  </si>
  <si>
    <t>2682</t>
  </si>
  <si>
    <t>1h3ePOVxAW7uNxOQtITs50nPQChPCGq9g</t>
  </si>
  <si>
    <t>https://drive.google.com/file/d/1h3ePOVxAW7uNxOQtITs50nPQChPCGq9g/view?usp=drivesdk</t>
  </si>
  <si>
    <t xml:space="preserve">ERLAMBANG </t>
  </si>
  <si>
    <t>erlambang181@gmail.com</t>
  </si>
  <si>
    <t>2683</t>
  </si>
  <si>
    <t>16YqhXKa2Enw7SSLw-J9j3UVTsNsyOC4d</t>
  </si>
  <si>
    <t>https://drive.google.com/file/d/16YqhXKa2Enw7SSLw-J9j3UVTsNsyOC4d/view?usp=drivesdk</t>
  </si>
  <si>
    <t>dr. PUPUT PUTRI SETYAWATI</t>
  </si>
  <si>
    <t>putripuputdr@gmail.con</t>
  </si>
  <si>
    <t>2684</t>
  </si>
  <si>
    <t>https://drive.google.com/file/d/1XImIbwWnxo2M-Cz-kJRQJiEtxF7othdp/view?usp=drivesdk</t>
  </si>
  <si>
    <t>1XImIbwWnxo2M-Cz-kJRQJiEtxF7othdp</t>
  </si>
  <si>
    <t>1wxXU803cTKN_6H-td8Ld8S60FmEzm71S</t>
  </si>
  <si>
    <t>https://drive.google.com/file/d/1wxXU803cTKN_6H-td8Ld8S60FmEzm71S/view?usp=drivesdk</t>
  </si>
  <si>
    <t>MUNANDAR</t>
  </si>
  <si>
    <t>nanda8916@gmail.com</t>
  </si>
  <si>
    <t>2685</t>
  </si>
  <si>
    <t>Starting at Thu Aug 29 2024 21:11:44 GMT-0400 (EDT)</t>
  </si>
  <si>
    <t>1-jgUZnkuVmgncYicbxhouzxtSe1egzip</t>
  </si>
  <si>
    <t>https://drive.google.com/file/d/1-jgUZnkuVmgncYicbxhouzxtSe1egzip/view?usp=drivesdk</t>
  </si>
  <si>
    <t>Document successfully created; Document successfully merged; PDF created; !!Error Sending Emails: Service invoked too many times for one day: email.; Manually run by ecertificate75@gmail.com; Timestamp: Sep 2 2024 12:06 AM</t>
  </si>
  <si>
    <t>IRFAN, A.MD</t>
  </si>
  <si>
    <t>ipandaaf@gmail.com</t>
  </si>
  <si>
    <t>2686</t>
  </si>
  <si>
    <t>1T6CCXmzdf1zU1Bu72YGbgLNlbsAeio-h</t>
  </si>
  <si>
    <t>https://drive.google.com/file/d/1T6CCXmzdf1zU1Bu72YGbgLNlbsAeio-h/view?usp=drivesdk</t>
  </si>
  <si>
    <t>RATNA IKA RAHAYUNINGSIH</t>
  </si>
  <si>
    <t>ratnaika156@gmail.com</t>
  </si>
  <si>
    <t>2687</t>
  </si>
  <si>
    <t>1Qr2pwfIB4F0n_tOvhIbMbzs3WS3gwxv3</t>
  </si>
  <si>
    <t>https://drive.google.com/file/d/1Qr2pwfIB4F0n_tOvhIbMbzs3WS3gwxv3/view?usp=drivesdk</t>
  </si>
  <si>
    <t>UUS HUSAERI</t>
  </si>
  <si>
    <t>uushusaeri@gmail.com</t>
  </si>
  <si>
    <t>2688</t>
  </si>
  <si>
    <t>1q8PR1A_tlYRW0P655IyYQTs7G7OQEpIs</t>
  </si>
  <si>
    <t>https://drive.google.com/file/d/1q8PR1A_tlYRW0P655IyYQTs7G7OQEpIs/view?usp=drivesdk</t>
  </si>
  <si>
    <t>ABDUL WAHIB</t>
  </si>
  <si>
    <t>polseksinggahan177@gmail.com</t>
  </si>
  <si>
    <t>2689</t>
  </si>
  <si>
    <t>1FZL1Z4ju6nZ4DHojsDz7s6cnN-JOVNo4</t>
  </si>
  <si>
    <t>https://drive.google.com/file/d/1FZL1Z4ju6nZ4DHojsDz7s6cnN-JOVNo4/view?usp=drivesdk</t>
  </si>
  <si>
    <t>Document successfully created; Document successfully merged; PDF created; !!Error Sending Emails: Service invoked too many times for one day: email.; Manually run by ecertificate75@gmail.com; Timestamp: Sep 2 2024 12:07 AM</t>
  </si>
  <si>
    <t>Alfah Ratna Wati</t>
  </si>
  <si>
    <t>alfah.ratnawati@gmail.com</t>
  </si>
  <si>
    <t>2690</t>
  </si>
  <si>
    <t>1r0kXjBCfuUWgGzQFaSLivYgV3og2lprs</t>
  </si>
  <si>
    <t>https://drive.google.com/file/d/1r0kXjBCfuUWgGzQFaSLivYgV3og2lprs/view?usp=drivesdk</t>
  </si>
  <si>
    <t>MUHARITA AMSILA, S.T</t>
  </si>
  <si>
    <t>muharitaamsila@gmail.com</t>
  </si>
  <si>
    <t>2691</t>
  </si>
  <si>
    <t>1G7Ue8Jn9wBBPCCAziBd8Nv4bnFCGS33T</t>
  </si>
  <si>
    <t>https://drive.google.com/file/d/1G7Ue8Jn9wBBPCCAziBd8Nv4bnFCGS33T/view?usp=drivesdk</t>
  </si>
  <si>
    <t>WAWAN SH</t>
  </si>
  <si>
    <t>wawan6906@gmail.com</t>
  </si>
  <si>
    <t>2692</t>
  </si>
  <si>
    <t>1CVTPdHCb9mFLdeWa8UvFy2-x32XcaUNX</t>
  </si>
  <si>
    <t>https://drive.google.com/file/d/1CVTPdHCb9mFLdeWa8UvFy2-x32XcaUNX/view?usp=drivesdk</t>
  </si>
  <si>
    <t>agussetiawan270882@gmail.com</t>
  </si>
  <si>
    <t>2693</t>
  </si>
  <si>
    <t>1wWcDzOwoGPYCuT8U20nhn4zMgJkgrp0r</t>
  </si>
  <si>
    <t>https://drive.google.com/file/d/1wWcDzOwoGPYCuT8U20nhn4zMgJkgrp0r/view?usp=drivesdk</t>
  </si>
  <si>
    <t>Document successfully created; Document successfully merged; PDF created; !!Error Sending Emails: Service invoked too many times for one day: email.; Manually run by ecertificate75@gmail.com; Timestamp: Sep 2 2024 12:08 AM</t>
  </si>
  <si>
    <t>NURNAWATI BUDININGSIH. Amk</t>
  </si>
  <si>
    <t>budiningsihnurnawati@gmail.com</t>
  </si>
  <si>
    <t>2694</t>
  </si>
  <si>
    <t>1ln8MaGlG17M-nZKf1PT_1pr1dUphDm7s</t>
  </si>
  <si>
    <t>https://drive.google.com/file/d/1ln8MaGlG17M-nZKf1PT_1pr1dUphDm7s/view?usp=drivesdk</t>
  </si>
  <si>
    <t>Ns I.MADE SUTANAYA,S.Kep</t>
  </si>
  <si>
    <t>desuta79@gmail.com</t>
  </si>
  <si>
    <t>2695</t>
  </si>
  <si>
    <t>1gwdj81PnGBDKmguF5vrZ6t5v2JYgrRKI</t>
  </si>
  <si>
    <t>https://drive.google.com/file/d/1gwdj81PnGBDKmguF5vrZ6t5v2JYgrRKI/view?usp=drivesdk</t>
  </si>
  <si>
    <t xml:space="preserve">HERAYENI </t>
  </si>
  <si>
    <t>herayeni18@gmail.com</t>
  </si>
  <si>
    <t>2696</t>
  </si>
  <si>
    <t>1DD1f5Bl3N1yKiNoTEzaQqpLWeI-jKIEa</t>
  </si>
  <si>
    <t>https://drive.google.com/file/d/1DD1f5Bl3N1yKiNoTEzaQqpLWeI-jKIEa/view?usp=drivesdk</t>
  </si>
  <si>
    <t>HENI INDRAWATI, S.H.</t>
  </si>
  <si>
    <t>hendrawati430@gmail.com</t>
  </si>
  <si>
    <t>2697</t>
  </si>
  <si>
    <t>1Cqz5EvAyJvav2QXmyCXRQdSDlz_I1ZTT</t>
  </si>
  <si>
    <t>https://drive.google.com/file/d/1Cqz5EvAyJvav2QXmyCXRQdSDlz_I1ZTT/view?usp=drivesdk</t>
  </si>
  <si>
    <t>Document successfully created; Document successfully merged; PDF created; !!Error Sending Emails: Service invoked too many times for one day: email.; Manually run by ecertificate75@gmail.com; Timestamp: Sep 2 2024 12:09 AM</t>
  </si>
  <si>
    <t>ENDANG ERLITNA</t>
  </si>
  <si>
    <t>endangerlitna123@gmail.com</t>
  </si>
  <si>
    <t>2698</t>
  </si>
  <si>
    <t>1cqjlfeqJM-N8pdonuFexupg3erSBlrtM</t>
  </si>
  <si>
    <t>https://drive.google.com/file/d/1cqjlfeqJM-N8pdonuFexupg3erSBlrtM/view?usp=drivesdk</t>
  </si>
  <si>
    <t xml:space="preserve">WAHYU APRIYANTI, S. AP. </t>
  </si>
  <si>
    <t>wahyuapriyanti78@gmail.com</t>
  </si>
  <si>
    <t>2699</t>
  </si>
  <si>
    <t>1QWDM9J-7a6Y2fkaz-58qAVBAVfHCetA_</t>
  </si>
  <si>
    <t>https://drive.google.com/file/d/1QWDM9J-7a6Y2fkaz-58qAVBAVfHCetA_/view?usp=drivesdk</t>
  </si>
  <si>
    <t>Document successfully created; Document successfully merged; PDF created; !!Error Sending Emails: Service invoked too many times for one day: email.; Manually run by ecertificate75@gmail.com; Timestamp: Sep 2 2024 12:10 AM</t>
  </si>
  <si>
    <t>RINI TRI WINASIH</t>
  </si>
  <si>
    <t>rinitriwinasih31@gmail.com</t>
  </si>
  <si>
    <t>2700</t>
  </si>
  <si>
    <t>1DyYjevQp78sN9kb0afSYlhraFNsgIubc</t>
  </si>
  <si>
    <t>https://drive.google.com/file/d/1DyYjevQp78sN9kb0afSYlhraFNsgIubc/view?usp=drivesdk</t>
  </si>
  <si>
    <t>dr. FESY MIRANTI</t>
  </si>
  <si>
    <t>fesymiranti@gmail.com</t>
  </si>
  <si>
    <t>2701</t>
  </si>
  <si>
    <t>14RUkjWkwiEt_UwOrkMCLn3PIzJ0K0isl</t>
  </si>
  <si>
    <t>https://drive.google.com/file/d/14RUkjWkwiEt_UwOrkMCLn3PIzJ0K0isl/view?usp=drivesdk</t>
  </si>
  <si>
    <t>WALSINEM</t>
  </si>
  <si>
    <t>walsinem1972@gmail.com</t>
  </si>
  <si>
    <t>2702</t>
  </si>
  <si>
    <t>https://drive.google.com/file/d/1LKSLga7lCuEUz19RZ893xSmBJyFmxDRt/view?usp=drivesdk</t>
  </si>
  <si>
    <t>1LKSLga7lCuEUz19RZ893xSmBJyFmxDRt</t>
  </si>
  <si>
    <t>1COnuubMXIY7nT4tUUwhgqjdU1XsHtV3o</t>
  </si>
  <si>
    <t>https://drive.google.com/file/d/1COnuubMXIY7nT4tUUwhgqjdU1XsHtV3o/view?usp=drivesdk</t>
  </si>
  <si>
    <t>NABILA AMELIA, A.Md. Kep</t>
  </si>
  <si>
    <t>nabilaamelia678@gmail.com</t>
  </si>
  <si>
    <t>2703</t>
  </si>
  <si>
    <t>https://drive.google.com/file/d/14acEu0rV33LJspPPMSEg_1XetnKFigKs/view?usp=drivesdk</t>
  </si>
  <si>
    <t>14acEu0rV33LJspPPMSEg_1XetnKFigKs</t>
  </si>
  <si>
    <t>1KAuxbzeeK_WpJMkJTprYFl4tLnWCam2d</t>
  </si>
  <si>
    <t>https://drive.google.com/file/d/1KAuxbzeeK_WpJMkJTprYFl4tLnWCam2d/view?usp=drivesdk</t>
  </si>
  <si>
    <t>Document successfully created; Document successfully merged; PDF created; !!Error Sending Emails: Service invoked too many times for one day: email.; Manually run by ecertificate75@gmail.com; Timestamp: Sep 2 2024 12:11 AM</t>
  </si>
  <si>
    <t>MEI ANGGRAINI</t>
  </si>
  <si>
    <t>meianggtaini.1976@hmail.com</t>
  </si>
  <si>
    <t>2704</t>
  </si>
  <si>
    <t>https://drive.google.com/file/d/1h3si2tj3nxfPri8tLHzsKYSL5ZO7VrMr/view?usp=drivesdk</t>
  </si>
  <si>
    <t>1h3si2tj3nxfPri8tLHzsKYSL5ZO7VrMr</t>
  </si>
  <si>
    <t>1ZHKpe3dqEtLkNZxvgUZ7AZZrrZ595D2S</t>
  </si>
  <si>
    <t>https://drive.google.com/file/d/1ZHKpe3dqEtLkNZxvgUZ7AZZrrZ595D2S/view?usp=drivesdk</t>
  </si>
  <si>
    <t>DZIKRI SHALAHUDIN SYABANI, A.Md.Farm.</t>
  </si>
  <si>
    <t>dzikri.shalahudins@gmail.com</t>
  </si>
  <si>
    <t>2705</t>
  </si>
  <si>
    <t>https://drive.google.com/file/d/1oI_htmIgRZaXvu0JIC-kBXArFKxNwnqK/view?usp=drivesdk</t>
  </si>
  <si>
    <t>1oI_htmIgRZaXvu0JIC-kBXArFKxNwnqK</t>
  </si>
  <si>
    <t>1pqABssLsNVkiUedqhjENsbWeEwzPBYbO</t>
  </si>
  <si>
    <t>https://drive.google.com/file/d/1pqABssLsNVkiUedqhjENsbWeEwzPBYbO/view?usp=drivesdk</t>
  </si>
  <si>
    <t>KOMALA SARI, SH</t>
  </si>
  <si>
    <t>sarikomala21@gmail.com</t>
  </si>
  <si>
    <t>2706</t>
  </si>
  <si>
    <t>https://drive.google.com/file/d/1HGt39hBphCaUbFClisroLUKxD65sw4M7/view?usp=drivesdk</t>
  </si>
  <si>
    <t>1HGt39hBphCaUbFClisroLUKxD65sw4M7</t>
  </si>
  <si>
    <t>1rEe2hqHyduMSkEYRq248A7SOI4uYZHFN</t>
  </si>
  <si>
    <t>https://drive.google.com/file/d/1rEe2hqHyduMSkEYRq248A7SOI4uYZHFN/view?usp=drivesdk</t>
  </si>
  <si>
    <t>TITIK APRIYANTI S.PSI., M.SI</t>
  </si>
  <si>
    <t>titikapriyanti13@gmail.com</t>
  </si>
  <si>
    <t>2707</t>
  </si>
  <si>
    <t>https://drive.google.com/file/d/1G2-FCiS0Zv4uirQTMmSCQKcsl2FVYjN5/view?usp=drivesdk</t>
  </si>
  <si>
    <t>1G2-FCiS0Zv4uirQTMmSCQKcsl2FVYjN5</t>
  </si>
  <si>
    <t>1EDR2KBfi_5eF0C24ln1Nn69l-kCuZgWa</t>
  </si>
  <si>
    <t>https://drive.google.com/file/d/1EDR2KBfi_5eF0C24ln1Nn69l-kCuZgWa/view?usp=drivesdk</t>
  </si>
  <si>
    <t>TRI  ANDRIANI</t>
  </si>
  <si>
    <t>triandriani1975@gmail.com</t>
  </si>
  <si>
    <t>2708</t>
  </si>
  <si>
    <t>https://drive.google.com/file/d/17cwTaSXWpJotWSvOzrB-svLje6fNmPbV/view?usp=drivesdk</t>
  </si>
  <si>
    <t>17cwTaSXWpJotWSvOzrB-svLje6fNmPbV</t>
  </si>
  <si>
    <t>1K2f4yZNM5EmGcjMrP74EmyIXR979gPO1</t>
  </si>
  <si>
    <t>https://drive.google.com/file/d/1K2f4yZNM5EmGcjMrP74EmyIXR979gPO1/view?usp=drivesdk</t>
  </si>
  <si>
    <t>Document successfully created; Document successfully merged; PDF created; !!Error Sending Emails: Service invoked too many times for one day: email.; Manually run by ecertificate75@gmail.com; Timestamp: Sep 2 2024 12:12 AM</t>
  </si>
  <si>
    <t>SRI WAHYUNI RACHMAWATY, S.T.</t>
  </si>
  <si>
    <t>serajune123@gmail.com</t>
  </si>
  <si>
    <t>2709</t>
  </si>
  <si>
    <t>https://drive.google.com/file/d/1mhqnf5XYIndN6bIeiotpCEZsX7YKCAWl/view?usp=drivesdk</t>
  </si>
  <si>
    <t>1mhqnf5XYIndN6bIeiotpCEZsX7YKCAWl</t>
  </si>
  <si>
    <t>1uTQb1DPwpHzwYRdlHoHCdONw1xw7iNiC</t>
  </si>
  <si>
    <t>https://drive.google.com/file/d/1uTQb1DPwpHzwYRdlHoHCdONw1xw7iNiC/view?usp=drivesdk</t>
  </si>
  <si>
    <t>ENDANG IVA INDARTI</t>
  </si>
  <si>
    <t>endangivaindarti@gmail.com</t>
  </si>
  <si>
    <t>2710</t>
  </si>
  <si>
    <t>Starting at Thu Aug 29 2024 21:12:49 GMT-0400 (EDT)</t>
  </si>
  <si>
    <t>11unUIS9pErvqHvVdsJm70m1td45XsfrF</t>
  </si>
  <si>
    <t>https://drive.google.com/file/d/11unUIS9pErvqHvVdsJm70m1td45XsfrF/view?usp=drivesdk</t>
  </si>
  <si>
    <t>RUSMIN</t>
  </si>
  <si>
    <t>romirusmin01@gmail.com</t>
  </si>
  <si>
    <t>2711</t>
  </si>
  <si>
    <t>Starting at Thu Aug 29 2024 21:11:45 GMT-0400 (EDT)</t>
  </si>
  <si>
    <t>1aM1OgRuIx3wQEezv6ehwvw4OgMwskM3V</t>
  </si>
  <si>
    <t>https://drive.google.com/file/d/1aM1OgRuIx3wQEezv6ehwvw4OgMwskM3V/view?usp=drivesdk</t>
  </si>
  <si>
    <t>PENATA DEDI SUPRIYADI, SE</t>
  </si>
  <si>
    <t>dedisupriyadi0806@gmail.com</t>
  </si>
  <si>
    <t>2712</t>
  </si>
  <si>
    <t>1TsmRRzRXcC21vmikSG8uGkjF_J_DCqcR</t>
  </si>
  <si>
    <t>https://drive.google.com/file/d/1TsmRRzRXcC21vmikSG8uGkjF_J_DCqcR/view?usp=drivesdk</t>
  </si>
  <si>
    <t>ABDUL RAIS</t>
  </si>
  <si>
    <t>traderngawur@gmail.com</t>
  </si>
  <si>
    <t>2713</t>
  </si>
  <si>
    <t>1YURJpm7vUntbFzafhN2TZoJxtebFqtqk</t>
  </si>
  <si>
    <t>https://drive.google.com/file/d/1YURJpm7vUntbFzafhN2TZoJxtebFqtqk/view?usp=drivesdk</t>
  </si>
  <si>
    <t>Document successfully created; Document successfully merged; PDF created; !!Error Sending Emails: Service invoked too many times for one day: email.; Manually run by ecertificate75@gmail.com; Timestamp: Sep 2 2024 12:13 AM</t>
  </si>
  <si>
    <t>HENI PUTRIYANTI</t>
  </si>
  <si>
    <t>heniputriyanti74@gmail.com</t>
  </si>
  <si>
    <t>2714</t>
  </si>
  <si>
    <t>14eXB76iuff8HxmDM3oB5wVoLaWOZJvnS</t>
  </si>
  <si>
    <t>https://drive.google.com/file/d/14eXB76iuff8HxmDM3oB5wVoLaWOZJvnS/view?usp=drivesdk</t>
  </si>
  <si>
    <t>Document successfully created; Document successfully merged; PDF created; Emails Sent: [To: heniputriyanti74@gmail.com]; Manually run by ecertificate75@gmail.com; Timestamp: Sep 2 2024 2:43 AM</t>
  </si>
  <si>
    <t>SATRIA ANUGERAH, S.Kom.</t>
  </si>
  <si>
    <t>satria.anugerah27@gmail.com</t>
  </si>
  <si>
    <t>2715</t>
  </si>
  <si>
    <t>17qSEJcoj-keb6VREW9EP2c0RLO-Hjwho</t>
  </si>
  <si>
    <t>https://drive.google.com/file/d/17qSEJcoj-keb6VREW9EP2c0RLO-Hjwho/view?usp=drivesdk</t>
  </si>
  <si>
    <t>Document successfully created; Document successfully merged; PDF created; Emails Sent: [To: satria.anugerah27@gmail.com]; Manually run by ecertificate75@gmail.com; Timestamp: Sep 2 2024 2:43 AM</t>
  </si>
  <si>
    <t>WIWIK RAHAYU</t>
  </si>
  <si>
    <t>abelwindria@gmail.com</t>
  </si>
  <si>
    <t>2716</t>
  </si>
  <si>
    <t>1fYzxHrQBA-WIVKH0rdWFFNZ2ZrvZzRu9</t>
  </si>
  <si>
    <t>https://drive.google.com/file/d/1fYzxHrQBA-WIVKH0rdWFFNZ2ZrvZzRu9/view?usp=drivesdk</t>
  </si>
  <si>
    <t>Document successfully created; Document successfully merged; PDF created; Emails Sent: [To: abelwindria@gmail.com]; Manually run by ecertificate75@gmail.com; Timestamp: Sep 2 2024 2:43 AM</t>
  </si>
  <si>
    <t>MIMIN AMINAH</t>
  </si>
  <si>
    <t>mimin.aminah260680@gmail.com</t>
  </si>
  <si>
    <t>2717</t>
  </si>
  <si>
    <t>1q8SYuAdgTFkQ7ojy81mHcZtP0-VRmB7w</t>
  </si>
  <si>
    <t>https://drive.google.com/file/d/1q8SYuAdgTFkQ7ojy81mHcZtP0-VRmB7w/view?usp=drivesdk</t>
  </si>
  <si>
    <t>Document successfully created; Document successfully merged; PDF created; Emails Sent: [To: mimin.aminah260680@gmail.com]; Manually run by ecertificate75@gmail.com; Timestamp: Sep 2 2024 2:44 AM</t>
  </si>
  <si>
    <t>SYARIFAH YULIANA, A.Md.Far.</t>
  </si>
  <si>
    <t>fattan.fawwaz@gmail.com</t>
  </si>
  <si>
    <t>2718</t>
  </si>
  <si>
    <t>13yGiCocWFjCk-80rM1Z2awgemQDh7glM</t>
  </si>
  <si>
    <t>https://drive.google.com/file/d/13yGiCocWFjCk-80rM1Z2awgemQDh7glM/view?usp=drivesdk</t>
  </si>
  <si>
    <t>Document successfully created; Document successfully merged; PDF created; Emails Sent: [To: fattan.fawwaz@gmail.com]; Manually run by ecertificate75@gmail.com; Timestamp: Sep 2 2024 2:44 AM</t>
  </si>
  <si>
    <t>HENDARWANTI, S.Sos</t>
  </si>
  <si>
    <t>wanti.mrk34@gmail.com</t>
  </si>
  <si>
    <t>2719</t>
  </si>
  <si>
    <t>1upwjJFMQMamCVFSWx0uCJ3COeKKdvxna</t>
  </si>
  <si>
    <t>https://drive.google.com/file/d/1upwjJFMQMamCVFSWx0uCJ3COeKKdvxna/view?usp=drivesdk</t>
  </si>
  <si>
    <t>Document successfully created; Document successfully merged; PDF created; Emails Sent: [To: wanti.mrk34@gmail.com]; Manually run by ecertificate75@gmail.com; Timestamp: Sep 2 2024 2:44 AM</t>
  </si>
  <si>
    <t>RENI PURNAMA SARI, AMKEP</t>
  </si>
  <si>
    <t>renipurnamasarii83@gmail.com</t>
  </si>
  <si>
    <t>2720</t>
  </si>
  <si>
    <t>1TL-5cjYWhVud1-eza5Jv79LhRL5GK1es</t>
  </si>
  <si>
    <t>https://drive.google.com/file/d/1TL-5cjYWhVud1-eza5Jv79LhRL5GK1es/view?usp=drivesdk</t>
  </si>
  <si>
    <t>Document successfully created; Document successfully merged; PDF created; Emails Sent: [To: renipurnamasarii83@gmail.com]; Manually run by ecertificate75@gmail.com; Timestamp: Sep 2 2024 2:45 AM</t>
  </si>
  <si>
    <t>HERNALIA MULYANIASIH, S.E.</t>
  </si>
  <si>
    <t>erikadiahhanafe@gmail.com</t>
  </si>
  <si>
    <t>2721</t>
  </si>
  <si>
    <t>1ar1m0ejhYGou3C8Zc_3Aq5cjGmkQyGiN</t>
  </si>
  <si>
    <t>https://drive.google.com/file/d/1ar1m0ejhYGou3C8Zc_3Aq5cjGmkQyGiN/view?usp=drivesdk</t>
  </si>
  <si>
    <t>Document successfully created; Document successfully merged; PDF created; Emails Sent: [To: erikadiahhanafe@gmail.com]; Manually run by ecertificate75@gmail.com; Timestamp: Sep 2 2024 2:45 AM</t>
  </si>
  <si>
    <t>FATONI, S.H.</t>
  </si>
  <si>
    <t>tonispri8@gmail.com</t>
  </si>
  <si>
    <t>2722</t>
  </si>
  <si>
    <t>1OpJgE3gJJTWZqjV2w-e6CsHjp_bNk9Oh</t>
  </si>
  <si>
    <t>https://drive.google.com/file/d/1OpJgE3gJJTWZqjV2w-e6CsHjp_bNk9Oh/view?usp=drivesdk</t>
  </si>
  <si>
    <t>Document successfully created; Document successfully merged; PDF created; Emails Sent: [To: tonispri8@gmail.com]; Manually run by ecertificate75@gmail.com; Timestamp: Sep 2 2024 2:45 AM</t>
  </si>
  <si>
    <t xml:space="preserve">BASUNJAYA DIPUTRA </t>
  </si>
  <si>
    <t>jayputrabanten@gmail.com</t>
  </si>
  <si>
    <t>2723</t>
  </si>
  <si>
    <t>1GGRnprRoEvy9l5EnODeJVw4TDNBPiucG</t>
  </si>
  <si>
    <t>https://drive.google.com/file/d/1GGRnprRoEvy9l5EnODeJVw4TDNBPiucG/view?usp=drivesdk</t>
  </si>
  <si>
    <t>Document successfully created; Document successfully merged; PDF created; Emails Sent: [To: jayputrabanten@gmail.com]; Manually run by ecertificate75@gmail.com; Timestamp: Sep 2 2024 2:45 AM</t>
  </si>
  <si>
    <t>I NENGAH WIDYARINI</t>
  </si>
  <si>
    <t>widyarinihangen.id123@gmail.com</t>
  </si>
  <si>
    <t>2724</t>
  </si>
  <si>
    <t>1auAfVgH5IEbgmXr36zWdYkbwY_-Pxf4D</t>
  </si>
  <si>
    <t>https://drive.google.com/file/d/1auAfVgH5IEbgmXr36zWdYkbwY_-Pxf4D/view?usp=drivesdk</t>
  </si>
  <si>
    <t>Document successfully created; Document successfully merged; PDF created; Emails Sent: [To: widyarinihangen.id123@gmail.com]; Manually run by ecertificate75@gmail.com; Timestamp: Sep 2 2024 2:46 AM</t>
  </si>
  <si>
    <t>DJUMAIN, S.M.</t>
  </si>
  <si>
    <t>duaputra77@gmail.com</t>
  </si>
  <si>
    <t>2725</t>
  </si>
  <si>
    <t>1SjZ2KHnQIqrzNXTCxH8K2Uho05WK1v__</t>
  </si>
  <si>
    <t>https://drive.google.com/file/d/1SjZ2KHnQIqrzNXTCxH8K2Uho05WK1v__/view?usp=drivesdk</t>
  </si>
  <si>
    <t>Document successfully created; Document successfully merged; PDF created; Emails Sent: [To: duaputra77@gmail.com]; Manually run by ecertificate75@gmail.com; Timestamp: Sep 2 2024 2:46 AM</t>
  </si>
  <si>
    <t>dr. WIDYA FEBRIANI</t>
  </si>
  <si>
    <t>widyafebriani.wf@gmail.com</t>
  </si>
  <si>
    <t>2726</t>
  </si>
  <si>
    <t>1kG_tpG2KYwUwKW0iQP4x599o7D438fV-</t>
  </si>
  <si>
    <t>https://drive.google.com/file/d/1kG_tpG2KYwUwKW0iQP4x599o7D438fV-/view?usp=drivesdk</t>
  </si>
  <si>
    <t>Document successfully created; Document successfully merged; PDF created; Emails Sent: [To: widyafebriani.wf@gmail.com]; Manually run by ecertificate75@gmail.com; Timestamp: Sep 2 2024 2:46 AM</t>
  </si>
  <si>
    <t>ERFAN SETIANTORO</t>
  </si>
  <si>
    <t>erfansetiantoro1977@gmail.com</t>
  </si>
  <si>
    <t>2727</t>
  </si>
  <si>
    <t>1n_-5YBOCtlU-iqaruWnZdDxaJyCG7FJm</t>
  </si>
  <si>
    <t>https://drive.google.com/file/d/1n_-5YBOCtlU-iqaruWnZdDxaJyCG7FJm/view?usp=drivesdk</t>
  </si>
  <si>
    <t>Document successfully created; Document successfully merged; PDF created; !!Error Sending Emails: Service invoked too many times for one day: email.; Run via form trigger as ecertificate75@gmail.com; Timestamp: Aug 31 2024 4:57 AM</t>
  </si>
  <si>
    <t>AGUS KAMAL</t>
  </si>
  <si>
    <t>ajaagus073@gmail.com</t>
  </si>
  <si>
    <t>2728</t>
  </si>
  <si>
    <t>1dvbT12epOiPVAhXHu3u28Bxjq93ECFfr</t>
  </si>
  <si>
    <t>https://drive.google.com/file/d/1dvbT12epOiPVAhXHu3u28Bxjq93ECFfr/view?usp=drivesdk</t>
  </si>
  <si>
    <t>NI MADE DEWI ANGGERENI,A.MD.KEB</t>
  </si>
  <si>
    <t>dewiqanggereny@gmail.com</t>
  </si>
  <si>
    <t>2729</t>
  </si>
  <si>
    <t>1r7GU80O-UoGfHQq9FWp7Q7PYB1kQxcQ5</t>
  </si>
  <si>
    <t>https://drive.google.com/file/d/1r7GU80O-UoGfHQq9FWp7Q7PYB1kQxcQ5/view?usp=drivesdk</t>
  </si>
  <si>
    <t>Document successfully created; Document successfully merged; PDF created; !!Error Sending Emails: Service invoked too many times for one day: email.; Run via form trigger as ecertificate75@gmail.com; Timestamp: Aug 31 2024 4:58 AM</t>
  </si>
  <si>
    <t xml:space="preserve">drh ANDHIKO BHARA MAHMUDANUR </t>
  </si>
  <si>
    <t>dikobhara77@gmail.com</t>
  </si>
  <si>
    <t>2730</t>
  </si>
  <si>
    <t>1w1VGj85mwxuGP7iRwGdoinBqcYph9C_H</t>
  </si>
  <si>
    <t>https://drive.google.com/file/d/1w1VGj85mwxuGP7iRwGdoinBqcYph9C_H/view?usp=drivesdk</t>
  </si>
  <si>
    <t>SUPIK BIN SUPIK</t>
  </si>
  <si>
    <t>Supiek68@gmail.com</t>
  </si>
  <si>
    <t>2731</t>
  </si>
  <si>
    <t>1xQOsL3bFvsaK2Ya6dYNcH0WZ25rVqhcI</t>
  </si>
  <si>
    <t>https://drive.google.com/file/d/1xQOsL3bFvsaK2Ya6dYNcH0WZ25rVqhcI/view?usp=drivesdk</t>
  </si>
  <si>
    <t xml:space="preserve">KRISTINA HARDINI </t>
  </si>
  <si>
    <t>kristinhardini10@gmail.com</t>
  </si>
  <si>
    <t>2732</t>
  </si>
  <si>
    <t>1d7iCHAglg-2BCms4cXiT7cP2l3EoKJQy</t>
  </si>
  <si>
    <t>https://drive.google.com/file/d/1d7iCHAglg-2BCms4cXiT7cP2l3EoKJQy/view?usp=drivesdk</t>
  </si>
  <si>
    <t xml:space="preserve">Ni Nyoman Suhartini </t>
  </si>
  <si>
    <t>SuhartiniSingaraja@gmail.com</t>
  </si>
  <si>
    <t>2733</t>
  </si>
  <si>
    <t>1KicLuh57ZZBTJDGm4e7-2DQ5AIOsDDrZ</t>
  </si>
  <si>
    <t>https://drive.google.com/file/d/1KicLuh57ZZBTJDGm4e7-2DQ5AIOsDDrZ/view?usp=drivesdk</t>
  </si>
  <si>
    <t>ITA IZZAKAH, S.H., M.H.</t>
  </si>
  <si>
    <t>iethaizzakah@gmail.com</t>
  </si>
  <si>
    <t>2734</t>
  </si>
  <si>
    <t>https://drive.google.com/file/d/1KnTBvQbfdIxIEmonAkcBOXFSV7PSlfi1/view?usp=drivesdk</t>
  </si>
  <si>
    <t>1KnTBvQbfdIxIEmonAkcBOXFSV7PSlfi1</t>
  </si>
  <si>
    <t>16tayA54f8F4fWqTn1XsX9lZhR8n39i3o</t>
  </si>
  <si>
    <t>https://drive.google.com/file/d/16tayA54f8F4fWqTn1XsX9lZhR8n39i3o/view?usp=drivesdk</t>
  </si>
  <si>
    <t>Document successfully created; Document successfully merged; PDF created; !!Error Sending Emails: Service invoked too many times for one day: email.; Run via form trigger as ecertificate75@gmail.com; Timestamp: Aug 31 2024 4:59 AM</t>
  </si>
  <si>
    <t>HADI SUTRISNO</t>
  </si>
  <si>
    <t>hadi.sutris78@gmail.com</t>
  </si>
  <si>
    <t>2735</t>
  </si>
  <si>
    <t>Starting at Thu Aug 29 2024 21:11:50 GMT-0400 (EDT)</t>
  </si>
  <si>
    <t>1trgxVZD-UY3YOGiMU3aFMbWZvQKhzRFl</t>
  </si>
  <si>
    <t>https://drive.google.com/file/d/1trgxVZD-UY3YOGiMU3aFMbWZvQKhzRFl/view?usp=drivesdk</t>
  </si>
  <si>
    <t>NURLELASARI</t>
  </si>
  <si>
    <t>nurlelasaris0208@gmail.com</t>
  </si>
  <si>
    <t>2736</t>
  </si>
  <si>
    <t>12lZhb-cITDKbQuaA1JVBwf_N7OpS1sfN</t>
  </si>
  <si>
    <t>https://drive.google.com/file/d/12lZhb-cITDKbQuaA1JVBwf_N7OpS1sfN/view?usp=drivesdk</t>
  </si>
  <si>
    <t>BUDIMAN AMD</t>
  </si>
  <si>
    <t>sangkuriang310@gmail.com</t>
  </si>
  <si>
    <t>2737</t>
  </si>
  <si>
    <t>17ARrQmH7IKUW2AZAP25l0QO3Bro9UMzm</t>
  </si>
  <si>
    <t>https://drive.google.com/file/d/17ARrQmH7IKUW2AZAP25l0QO3Bro9UMzm/view?usp=drivesdk</t>
  </si>
  <si>
    <t>Eka Iyus Suptandar, S.H.</t>
  </si>
  <si>
    <t>ekaiyus18@gmail.com</t>
  </si>
  <si>
    <t>2738</t>
  </si>
  <si>
    <t>1ULCqvHn1sqHNYoUtDtMx4Ql7e5zFhMfi</t>
  </si>
  <si>
    <t>https://drive.google.com/file/d/1ULCqvHn1sqHNYoUtDtMx4Ql7e5zFhMfi/view?usp=drivesdk</t>
  </si>
  <si>
    <t>Document successfully created; Document successfully merged; PDF created; !!Error Sending Emails: Service invoked too many times for one day: email.; Run via form trigger as ecertificate75@gmail.com; Timestamp: Aug 31 2024 5:00 AM</t>
  </si>
  <si>
    <t>RATNA JUWITA</t>
  </si>
  <si>
    <t>jratna025@gmail.com</t>
  </si>
  <si>
    <t>2739</t>
  </si>
  <si>
    <t>1I1zuebI5DlVtZytFZPzv0pTge2oAihRY</t>
  </si>
  <si>
    <t>https://drive.google.com/file/d/1I1zuebI5DlVtZytFZPzv0pTge2oAihRY/view?usp=drivesdk</t>
  </si>
  <si>
    <t>FAIRY PURWANDARI</t>
  </si>
  <si>
    <t>fairypurwandari@gmail.com</t>
  </si>
  <si>
    <t>2740</t>
  </si>
  <si>
    <t>1hPw29SXQAhrFQs5vd1_lTpid_1qkvNuk</t>
  </si>
  <si>
    <t>https://drive.google.com/file/d/1hPw29SXQAhrFQs5vd1_lTpid_1qkvNuk/view?usp=drivesdk</t>
  </si>
  <si>
    <t>SANIASA, S.E</t>
  </si>
  <si>
    <t>saniasalau21@gmail.com</t>
  </si>
  <si>
    <t>2741</t>
  </si>
  <si>
    <t>1wbL-1NHzBFpfWmjZY8jCzFD1oAWklGHv</t>
  </si>
  <si>
    <t>https://drive.google.com/file/d/1wbL-1NHzBFpfWmjZY8jCzFD1oAWklGHv/view?usp=drivesdk</t>
  </si>
  <si>
    <t>SAWIYANTO</t>
  </si>
  <si>
    <t>iyan.ressit@gmail.com</t>
  </si>
  <si>
    <t>2742</t>
  </si>
  <si>
    <t>14c80lc0Y09MohP7s9jVEU1RymInHofkp</t>
  </si>
  <si>
    <t>https://drive.google.com/file/d/14c80lc0Y09MohP7s9jVEU1RymInHofkp/view?usp=drivesdk</t>
  </si>
  <si>
    <t>Document successfully created; Document successfully merged; PDF created; !!Error Sending Emails: Service invoked too many times for one day: email.; Run via form trigger as ecertificate75@gmail.com; Timestamp: Aug 31 2024 5:01 AM</t>
  </si>
  <si>
    <t>LENDREA AMD.KEP</t>
  </si>
  <si>
    <t>lendreadhea@gmail.com</t>
  </si>
  <si>
    <t>2743</t>
  </si>
  <si>
    <t>1IKBzfPJMt15_UCISsM-0YUPB_0IDikpa</t>
  </si>
  <si>
    <t>https://drive.google.com/file/d/1IKBzfPJMt15_UCISsM-0YUPB_0IDikpa/view?usp=drivesdk</t>
  </si>
  <si>
    <t xml:space="preserve">RUBIYAH </t>
  </si>
  <si>
    <t>rubiyah1808@gmail.com</t>
  </si>
  <si>
    <t>2744</t>
  </si>
  <si>
    <t>1lgkZvew9omUF1ObmviX3jEDhQHNzsIC-</t>
  </si>
  <si>
    <t>https://drive.google.com/file/d/1lgkZvew9omUF1ObmviX3jEDhQHNzsIC-/view?usp=drivesdk</t>
  </si>
  <si>
    <t>dr. MULIA TAHIR</t>
  </si>
  <si>
    <t>muliatahir89@yahoo.co.id</t>
  </si>
  <si>
    <t>2745</t>
  </si>
  <si>
    <t>1KaYhqd5SXHXeFajriCjSeaRaBywvvKqW</t>
  </si>
  <si>
    <t>https://drive.google.com/file/d/1KaYhqd5SXHXeFajriCjSeaRaBywvvKqW/view?usp=drivesdk</t>
  </si>
  <si>
    <t>IVON DJAFAR, A.MD</t>
  </si>
  <si>
    <t>alanabouta@gmail.com</t>
  </si>
  <si>
    <t>2746</t>
  </si>
  <si>
    <t>1qsUhIra17UticZrqR0Ipnty5CzNXlDgS</t>
  </si>
  <si>
    <t>https://drive.google.com/file/d/1qsUhIra17UticZrqR0Ipnty5CzNXlDgS/view?usp=drivesdk</t>
  </si>
  <si>
    <t>Document successfully created; Document successfully merged; PDF created; !!Error Sending Emails: Service invoked too many times for one day: email.; Run via form trigger as ecertificate75@gmail.com; Timestamp: Aug 31 2024 5:02 AM</t>
  </si>
  <si>
    <t>MURNI BR SAING</t>
  </si>
  <si>
    <t>murnibrsaing@gmail.com</t>
  </si>
  <si>
    <t>2747</t>
  </si>
  <si>
    <t>1Wncy-dG2tGrPRXL4sorqPgtUff847TLU</t>
  </si>
  <si>
    <t>https://drive.google.com/file/d/1Wncy-dG2tGrPRXL4sorqPgtUff847TLU/view?usp=drivesdk</t>
  </si>
  <si>
    <t>Document successfully created; Document successfully merged; PDF created; !!Error Sending Emails: Service invoked too many times for one day: email.; Run via form trigger as ecertificate75@gmail.com; Timestamp: Aug 31 2024 5:09 AM</t>
  </si>
  <si>
    <t>DARMADI</t>
  </si>
  <si>
    <t>muhammadgalihgalih2@gmail.com</t>
  </si>
  <si>
    <t>2748</t>
  </si>
  <si>
    <t>1vk_9dwoxRTLetckGUVY7-4p8GlcckOUB</t>
  </si>
  <si>
    <t>https://drive.google.com/file/d/1vk_9dwoxRTLetckGUVY7-4p8GlcckOUB/view?usp=drivesdk</t>
  </si>
  <si>
    <t>M SURIKAN</t>
  </si>
  <si>
    <t>muhammadsurikan40599@gmail.com</t>
  </si>
  <si>
    <t>2749</t>
  </si>
  <si>
    <t>1TZGyBGBIM6IiU1xPpAobETodyLkf-2uJ</t>
  </si>
  <si>
    <t>https://drive.google.com/file/d/1TZGyBGBIM6IiU1xPpAobETodyLkf-2uJ/view?usp=drivesdk</t>
  </si>
  <si>
    <t xml:space="preserve">EEN ROHYANI </t>
  </si>
  <si>
    <t>eenrohyani03@gmail.com</t>
  </si>
  <si>
    <t>2750</t>
  </si>
  <si>
    <t>1R3sHoFMeKfw_krCaKYg4j8oZUYolh2Tr</t>
  </si>
  <si>
    <t>https://drive.google.com/file/d/1R3sHoFMeKfw_krCaKYg4j8oZUYolh2Tr/view?usp=drivesdk</t>
  </si>
  <si>
    <t xml:space="preserve">RIELLA FARINA </t>
  </si>
  <si>
    <t>riellafarina@gmail.com</t>
  </si>
  <si>
    <t>2751</t>
  </si>
  <si>
    <t>16f2xjMuAf6kImgRr31WM6u-b0OCgjFdX</t>
  </si>
  <si>
    <t>https://drive.google.com/file/d/16f2xjMuAf6kImgRr31WM6u-b0OCgjFdX/view?usp=drivesdk</t>
  </si>
  <si>
    <t>SUMARLAH</t>
  </si>
  <si>
    <t>sumarlah595@gmail.com</t>
  </si>
  <si>
    <t>2752</t>
  </si>
  <si>
    <t>11ZCSAbhf3ZuTJBRHqTKc4rh_DBpYNRVk</t>
  </si>
  <si>
    <t>https://drive.google.com/file/d/11ZCSAbhf3ZuTJBRHqTKc4rh_DBpYNRVk/view?usp=drivesdk</t>
  </si>
  <si>
    <t>Document successfully created; Document successfully merged; PDF created; !!Error Sending Emails: Service invoked too many times for one day: email.; Run via form trigger as ecertificate75@gmail.com; Timestamp: Aug 31 2024 5:10 AM</t>
  </si>
  <si>
    <t>Danang Dwi Kurniawan, S.Pd</t>
  </si>
  <si>
    <t>danangspn@gmail.com</t>
  </si>
  <si>
    <t>2753</t>
  </si>
  <si>
    <t>1-6qOtj7xWzK6eOBycBascZK9MMYyK_XW</t>
  </si>
  <si>
    <t>https://drive.google.com/file/d/1-6qOtj7xWzK6eOBycBascZK9MMYyK_XW/view?usp=drivesdk</t>
  </si>
  <si>
    <t>SALFITRI SIREGAR S.H.</t>
  </si>
  <si>
    <t>kotam1350@gmail.com</t>
  </si>
  <si>
    <t>2754</t>
  </si>
  <si>
    <t>12BxuWjjp-WJDlgegUjQgAqKRCyULizlT</t>
  </si>
  <si>
    <t>https://drive.google.com/file/d/12BxuWjjp-WJDlgegUjQgAqKRCyULizlT/view?usp=drivesdk</t>
  </si>
  <si>
    <t>ATNAWATY</t>
  </si>
  <si>
    <t>atnawaty.satpolair@gmail.com</t>
  </si>
  <si>
    <t>2755</t>
  </si>
  <si>
    <t>1RLsOA0_x6hS7Di_PvUY3hrOd-1P6CPTp</t>
  </si>
  <si>
    <t>https://drive.google.com/file/d/1RLsOA0_x6hS7Di_PvUY3hrOd-1P6CPTp/view?usp=drivesdk</t>
  </si>
  <si>
    <t>UMI ZAHROH</t>
  </si>
  <si>
    <t>umizahroh77@gmail.com</t>
  </si>
  <si>
    <t>2756</t>
  </si>
  <si>
    <t>1dqqquPUMIgnHxWts4PdDQqGmZjP0M45T</t>
  </si>
  <si>
    <t>https://drive.google.com/file/d/1dqqquPUMIgnHxWts4PdDQqGmZjP0M45T/view?usp=drivesdk</t>
  </si>
  <si>
    <t>Document successfully created; Document successfully merged; PDF created; !!Error Sending Emails: Service invoked too many times for one day: email.; Run via form trigger as ecertificate75@gmail.com; Timestamp: Aug 31 2024 5:11 AM</t>
  </si>
  <si>
    <t>LIA AGUSTINA</t>
  </si>
  <si>
    <t>Axelhawari2012@gmail.com</t>
  </si>
  <si>
    <t>2757</t>
  </si>
  <si>
    <t>13Wn2MUvP9u1KQMpthxewPVfxuguuyvvz</t>
  </si>
  <si>
    <t>https://drive.google.com/file/d/13Wn2MUvP9u1KQMpthxewPVfxuguuyvvz/view?usp=drivesdk</t>
  </si>
  <si>
    <t>RUNTIAH, AM.KEB</t>
  </si>
  <si>
    <t>nisaazizpwt@gmail.com</t>
  </si>
  <si>
    <t>2758</t>
  </si>
  <si>
    <t>1h_qTde4IJL_qE33HfV5hn3Gbba_eup9C</t>
  </si>
  <si>
    <t>https://drive.google.com/file/d/1h_qTde4IJL_qE33HfV5hn3Gbba_eup9C/view?usp=drivesdk</t>
  </si>
  <si>
    <t>LUKMAN NAING, S.H</t>
  </si>
  <si>
    <t>lukmannaing.wsasip50@gmail.com</t>
  </si>
  <si>
    <t>2759</t>
  </si>
  <si>
    <t>1LNfFKtuiDvcL-0n1EexIqLZ6FgGvreoE</t>
  </si>
  <si>
    <t>https://drive.google.com/file/d/1LNfFKtuiDvcL-0n1EexIqLZ6FgGvreoE/view?usp=drivesdk</t>
  </si>
  <si>
    <t>KAROMAH SPD</t>
  </si>
  <si>
    <t>karomahbinti@gmail.com</t>
  </si>
  <si>
    <t>2760</t>
  </si>
  <si>
    <t>18aH-Y_IuxLaG6Nf4ibBxUZHJXGNBK9BV</t>
  </si>
  <si>
    <t>https://drive.google.com/file/d/18aH-Y_IuxLaG6Nf4ibBxUZHJXGNBK9BV/view?usp=drivesdk</t>
  </si>
  <si>
    <t>Document successfully created; Document successfully merged; PDF created; !!Error Sending Emails: Service invoked too many times for one day: email.; Run via form trigger as ecertificate75@gmail.com; Timestamp: Aug 31 2024 5:12 AM</t>
  </si>
  <si>
    <t>NELLI JULIANA</t>
  </si>
  <si>
    <t>nellij979@gmail.com</t>
  </si>
  <si>
    <t>2761</t>
  </si>
  <si>
    <t>1_jszj1p1wGIo93Xt7KKCvvwGvL-Nn0ME</t>
  </si>
  <si>
    <t>https://drive.google.com/file/d/1_jszj1p1wGIo93Xt7KKCvvwGvL-Nn0ME/view?usp=drivesdk</t>
  </si>
  <si>
    <t>MUTMAINNAH BINTI ABDUL KOWI</t>
  </si>
  <si>
    <t>iin84262@gmail.com</t>
  </si>
  <si>
    <t>2762</t>
  </si>
  <si>
    <t>1ibIwMTqllj5dNeuePV4-jCRDUZP6lQAQ</t>
  </si>
  <si>
    <t>https://drive.google.com/file/d/1ibIwMTqllj5dNeuePV4-jCRDUZP6lQAQ/view?usp=drivesdk</t>
  </si>
  <si>
    <t xml:space="preserve">IMAM SUMANTRI, S. E. </t>
  </si>
  <si>
    <t>Imamsumantri21774@gmail.com</t>
  </si>
  <si>
    <t>2763</t>
  </si>
  <si>
    <t>1GqngVJXjWlIu3PR9l_AdnqeGRW0E7XzZ</t>
  </si>
  <si>
    <t>https://drive.google.com/file/d/1GqngVJXjWlIu3PR9l_AdnqeGRW0E7XzZ/view?usp=drivesdk</t>
  </si>
  <si>
    <t>FITRI PRAMUDYA NINGSIH Amd Kep</t>
  </si>
  <si>
    <t>pramudya.fitri@gmail.com</t>
  </si>
  <si>
    <t>2764</t>
  </si>
  <si>
    <t>1RWH9MmzkxOeFqs6UWiOyz4YjkDxdVj_D</t>
  </si>
  <si>
    <t>https://drive.google.com/file/d/1RWH9MmzkxOeFqs6UWiOyz4YjkDxdVj_D/view?usp=drivesdk</t>
  </si>
  <si>
    <t>NURUL AMIRAH</t>
  </si>
  <si>
    <t>nurul.ceyyal@gmail.com</t>
  </si>
  <si>
    <t>2765</t>
  </si>
  <si>
    <t>1pjTKzUUS1MONtLR_JWdFEQmxdcVRFKKZ</t>
  </si>
  <si>
    <t>https://drive.google.com/file/d/1pjTKzUUS1MONtLR_JWdFEQmxdcVRFKKZ/view?usp=drivesdk</t>
  </si>
  <si>
    <t>Document successfully created; Document successfully merged; PDF created; !!Error Sending Emails: Service invoked too many times for one day: email.; Run via form trigger as ecertificate75@gmail.com; Timestamp: Aug 31 2024 5:13 AM</t>
  </si>
  <si>
    <t xml:space="preserve">SOLIKIN </t>
  </si>
  <si>
    <t>solikinlmjres@gmail.com</t>
  </si>
  <si>
    <t>2766</t>
  </si>
  <si>
    <t>1OnJ9qYDYEKfSBcxGVYNQE8BKROFiIgZP</t>
  </si>
  <si>
    <t>https://drive.google.com/file/d/1OnJ9qYDYEKfSBcxGVYNQE8BKROFiIgZP/view?usp=drivesdk</t>
  </si>
  <si>
    <t>LISWARNY</t>
  </si>
  <si>
    <t>Liswarni504@gmail.com</t>
  </si>
  <si>
    <t>2767</t>
  </si>
  <si>
    <t>https://drive.google.com/file/d/1D1qIVaJXAb6hEtkETfRuJyZkVmdalvSB/view?usp=drivesdk</t>
  </si>
  <si>
    <t>1D1qIVaJXAb6hEtkETfRuJyZkVmdalvSB</t>
  </si>
  <si>
    <t>10j1bYK9aSW2Wl7RtrfDqhWP9tosWr-SV</t>
  </si>
  <si>
    <t>https://drive.google.com/file/d/10j1bYK9aSW2Wl7RtrfDqhWP9tosWr-SV/view?usp=drivesdk</t>
  </si>
  <si>
    <t xml:space="preserve">RESSI YANTI </t>
  </si>
  <si>
    <t>adamudi69@gmail.com</t>
  </si>
  <si>
    <t>2768</t>
  </si>
  <si>
    <t>https://drive.google.com/file/d/136-Xmio8IgN936wqeJDmpKYbUF6sk1J9/view?usp=drivesdk</t>
  </si>
  <si>
    <t>136-Xmio8IgN936wqeJDmpKYbUF6sk1J9</t>
  </si>
  <si>
    <t>1FZMibS8jav004pZtPyBV5O8Tw1wRMYnc</t>
  </si>
  <si>
    <t>https://drive.google.com/file/d/1FZMibS8jav004pZtPyBV5O8Tw1wRMYnc/view?usp=drivesdk</t>
  </si>
  <si>
    <t>JUNARTI, SP.d</t>
  </si>
  <si>
    <t>junartituban@gmail.com</t>
  </si>
  <si>
    <t>2769</t>
  </si>
  <si>
    <t>https://drive.google.com/file/d/1ixoKDJvsMce3YH3d6YqPAxmU8w__GK_e/view?usp=drivesdk</t>
  </si>
  <si>
    <t>1ixoKDJvsMce3YH3d6YqPAxmU8w__GK_e</t>
  </si>
  <si>
    <t>19DLHzcqJbt1fPJF1JY4DlNFSERNxij5l</t>
  </si>
  <si>
    <t>https://drive.google.com/file/d/19DLHzcqJbt1fPJF1JY4DlNFSERNxij5l/view?usp=drivesdk</t>
  </si>
  <si>
    <t>AHMAD BETA</t>
  </si>
  <si>
    <t>abeta8742@gmail.com</t>
  </si>
  <si>
    <t>2770</t>
  </si>
  <si>
    <t>https://drive.google.com/file/d/1zYo3iOLlHEI9IvcrVFdDbcW4n2llIIOQ/view?usp=drivesdk</t>
  </si>
  <si>
    <t>1zYo3iOLlHEI9IvcrVFdDbcW4n2llIIOQ</t>
  </si>
  <si>
    <t>1hYGqTuTq7TiepmD9MeAHAKuCXpMNibkl</t>
  </si>
  <si>
    <t>https://drive.google.com/file/d/1hYGqTuTq7TiepmD9MeAHAKuCXpMNibkl/view?usp=drivesdk</t>
  </si>
  <si>
    <t>Document successfully created; Document successfully merged; PDF created; !!Error Sending Emails: Service invoked too many times for one day: email.; Run via form trigger as ecertificate75@gmail.com; Timestamp: Aug 31 2024 5:14 AM</t>
  </si>
  <si>
    <t xml:space="preserve">SRI YANTIN </t>
  </si>
  <si>
    <t>yantin.tea@gmail.com</t>
  </si>
  <si>
    <t>2771</t>
  </si>
  <si>
    <t>https://drive.google.com/file/d/1T67XzK1lZZNgeFh6fH723SCk169SgD9V/view?usp=drivesdk</t>
  </si>
  <si>
    <t>1T67XzK1lZZNgeFh6fH723SCk169SgD9V</t>
  </si>
  <si>
    <t>1eU-QD_QxGgNdtIrrXNatshwyKBvHQzRe</t>
  </si>
  <si>
    <t>https://drive.google.com/file/d/1eU-QD_QxGgNdtIrrXNatshwyKBvHQzRe/view?usp=drivesdk</t>
  </si>
  <si>
    <t>Document successfully created; Document successfully merged; PDF created; !!Error Sending Emails: Service invoked too many times for one day: email.; Run via form trigger as ecertificate75@gmail.com; Timestamp: Aug 31 2024 8:37 AM</t>
  </si>
  <si>
    <t>SARI NURMAYA</t>
  </si>
  <si>
    <t>sarah.maya96@gmail.com</t>
  </si>
  <si>
    <t>2772</t>
  </si>
  <si>
    <t>https://drive.google.com/file/d/1V9xaCN3D5ch0xifKsF7ItMsewvqg59oE/view?usp=drivesdk</t>
  </si>
  <si>
    <t>1V9xaCN3D5ch0xifKsF7ItMsewvqg59oE</t>
  </si>
  <si>
    <t>1eDBK-sA0fW_C0w2Dd5XVPQuazWWeO63d</t>
  </si>
  <si>
    <t>https://drive.google.com/file/d/1eDBK-sA0fW_C0w2Dd5XVPQuazWWeO63d/view?usp=drivesdk</t>
  </si>
  <si>
    <t>NUR APRILLAH,Amd.Kep</t>
  </si>
  <si>
    <t>aprillah.hilal@gmail.com</t>
  </si>
  <si>
    <t>2773</t>
  </si>
  <si>
    <t>https://drive.google.com/file/d/1Zyb80k4bPFlscDzsSG6IOXG7DXjLPYxs/view?usp=drivesdk</t>
  </si>
  <si>
    <t>1Zyb80k4bPFlscDzsSG6IOXG7DXjLPYxs</t>
  </si>
  <si>
    <t>1YUtumM4ggNL8C8ZrbbqAvMAgXA_hWhrX</t>
  </si>
  <si>
    <t>https://drive.google.com/file/d/1YUtumM4ggNL8C8ZrbbqAvMAgXA_hWhrX/view?usp=drivesdk</t>
  </si>
  <si>
    <t>HARTINI</t>
  </si>
  <si>
    <t>hartiniska8@gmail.com</t>
  </si>
  <si>
    <t>2774</t>
  </si>
  <si>
    <t>https://drive.google.com/file/d/1lxmLw6jqJVfYrnSiJU0m0w_jVa1bFeEK/view?usp=drivesdk</t>
  </si>
  <si>
    <t>1lxmLw6jqJVfYrnSiJU0m0w_jVa1bFeEK</t>
  </si>
  <si>
    <t>1C-5aivQxNFhzDN5BvWr4N8Nwf6oEQUcd</t>
  </si>
  <si>
    <t>https://drive.google.com/file/d/1C-5aivQxNFhzDN5BvWr4N8Nwf6oEQUcd/view?usp=drivesdk</t>
  </si>
  <si>
    <t>fatmablwn1@gmail.com</t>
  </si>
  <si>
    <t>2775</t>
  </si>
  <si>
    <t>Starting at Thu Aug 29 2024 21:11:54 GMT-0400 (EDT)</t>
  </si>
  <si>
    <t>1uveVAFTEdl6-AqA8rl6nYWw-xz-32NXR</t>
  </si>
  <si>
    <t>https://drive.google.com/file/d/1uveVAFTEdl6-AqA8rl6nYWw-xz-32NXR/view?usp=drivesdk</t>
  </si>
  <si>
    <t>Document successfully created; Document successfully merged; PDF created; !!Error Sending Emails: Service invoked too many times for one day: email.; Run via form trigger as ecertificate75@gmail.com; Timestamp: Aug 31 2024 8:38 AM</t>
  </si>
  <si>
    <t>REYMESTA AMBARITA, S.KOM</t>
  </si>
  <si>
    <t>mesthaambarita@gmail.com</t>
  </si>
  <si>
    <t>2776</t>
  </si>
  <si>
    <t>18o5YciRc3XwGBMsT23zmAtL066lJLmY4</t>
  </si>
  <si>
    <t>https://drive.google.com/file/d/18o5YciRc3XwGBMsT23zmAtL066lJLmY4/view?usp=drivesdk</t>
  </si>
  <si>
    <t xml:space="preserve">WIDYA PRATIWI, AMK </t>
  </si>
  <si>
    <t>pratiwi.widya990@gmail.com</t>
  </si>
  <si>
    <t>2777</t>
  </si>
  <si>
    <t>184EFy1uClwG3Crn-kkbDE7PoMo7udvBE</t>
  </si>
  <si>
    <t>https://drive.google.com/file/d/184EFy1uClwG3Crn-kkbDE7PoMo7udvBE/view?usp=drivesdk</t>
  </si>
  <si>
    <t>ENDANG NURYANI</t>
  </si>
  <si>
    <t>endangnyr39@gmail.com</t>
  </si>
  <si>
    <t>2778</t>
  </si>
  <si>
    <t>1k5-C5cCfhC2Ej9qtYUZzZMnP8jNnJFiF</t>
  </si>
  <si>
    <t>https://drive.google.com/file/d/1k5-C5cCfhC2Ej9qtYUZzZMnP8jNnJFiF/view?usp=drivesdk</t>
  </si>
  <si>
    <t xml:space="preserve">TEGUH TRIYONO </t>
  </si>
  <si>
    <t>yoyonteguhtriyono@gmail.com</t>
  </si>
  <si>
    <t>2779</t>
  </si>
  <si>
    <t>1jPA3b8zCqxy4LcGZnujpaY3bE-ukoxDG</t>
  </si>
  <si>
    <t>https://drive.google.com/file/d/1jPA3b8zCqxy4LcGZnujpaY3bE-ukoxDG/view?usp=drivesdk</t>
  </si>
  <si>
    <t>Document successfully created; Document successfully merged; PDF created; !!Error Sending Emails: Service invoked too many times for one day: email.; Run via form trigger as ecertificate75@gmail.com; Timestamp: Aug 31 2024 8:39 AM</t>
  </si>
  <si>
    <t>Endah Lasmawati, A.Md.Kep</t>
  </si>
  <si>
    <t>endahlasmawati@gmail.com</t>
  </si>
  <si>
    <t>2780</t>
  </si>
  <si>
    <t>1aGrkjEkqdlnjd5g7sdafrIXrVDFk3NHA</t>
  </si>
  <si>
    <t>https://drive.google.com/file/d/1aGrkjEkqdlnjd5g7sdafrIXrVDFk3NHA/view?usp=drivesdk</t>
  </si>
  <si>
    <t>ERNAWATI</t>
  </si>
  <si>
    <t>yuliernawati66@gmail.com</t>
  </si>
  <si>
    <t>2781</t>
  </si>
  <si>
    <t>1JR5oht_RSD17vEIgZ_toj2ARIg7iYJHo</t>
  </si>
  <si>
    <t>https://drive.google.com/file/d/1JR5oht_RSD17vEIgZ_toj2ARIg7iYJHo/view?usp=drivesdk</t>
  </si>
  <si>
    <t>LILIK YULIANI</t>
  </si>
  <si>
    <t>liliky74@gmail.com</t>
  </si>
  <si>
    <t>2782</t>
  </si>
  <si>
    <t>19xnZKiVzNyICALxvRyUDC0ZN5hO3qJS-</t>
  </si>
  <si>
    <t>https://drive.google.com/file/d/19xnZKiVzNyICALxvRyUDC0ZN5hO3qJS-/view?usp=drivesdk</t>
  </si>
  <si>
    <t>LAMUSIAH.SE</t>
  </si>
  <si>
    <t>lamusiah12121974@gmail.com</t>
  </si>
  <si>
    <t>2783</t>
  </si>
  <si>
    <t>1-lPCLD5raVXt0QTEBJNKJN9LmVOOvwon</t>
  </si>
  <si>
    <t>https://drive.google.com/file/d/1-lPCLD5raVXt0QTEBJNKJN9LmVOOvwon/view?usp=drivesdk</t>
  </si>
  <si>
    <t>AKHMAD NAZILI</t>
  </si>
  <si>
    <t>akhmadnazili73@gmail.com</t>
  </si>
  <si>
    <t>2784</t>
  </si>
  <si>
    <t>1aKQYvsb6ZkwF7KRgjALzX2PGGIULQ8pr</t>
  </si>
  <si>
    <t>https://drive.google.com/file/d/1aKQYvsb6ZkwF7KRgjALzX2PGGIULQ8pr/view?usp=drivesdk</t>
  </si>
  <si>
    <t>Document successfully created; Document successfully merged; PDF created; !!Error Sending Emails: Service invoked too many times for one day: email.; Run via form trigger as ecertificate75@gmail.com; Timestamp: Aug 31 2024 8:40 AM</t>
  </si>
  <si>
    <t>ROMDONI, S.E.</t>
  </si>
  <si>
    <t>romdoniku85@gmail.com</t>
  </si>
  <si>
    <t>2785</t>
  </si>
  <si>
    <t>1-8boB9y0wkLZp5yQyN_UmBOImeaREbba</t>
  </si>
  <si>
    <t>https://drive.google.com/file/d/1-8boB9y0wkLZp5yQyN_UmBOImeaREbba/view?usp=drivesdk</t>
  </si>
  <si>
    <t xml:space="preserve">ROHANI </t>
  </si>
  <si>
    <t>rohaniren19@gmail.com</t>
  </si>
  <si>
    <t>2786</t>
  </si>
  <si>
    <t>1gN3j5I6XKEeDa4L07-CK5JhQzcbPL6Lc</t>
  </si>
  <si>
    <t>https://drive.google.com/file/d/1gN3j5I6XKEeDa4L07-CK5JhQzcbPL6Lc/view?usp=drivesdk</t>
  </si>
  <si>
    <t>RAKIMAN</t>
  </si>
  <si>
    <t>rakiman.rungkut1973@gmail.com</t>
  </si>
  <si>
    <t>2787</t>
  </si>
  <si>
    <t>1S5adaQto_4UJdcNQaui9tL9OgfvQqX2A</t>
  </si>
  <si>
    <t>https://drive.google.com/file/d/1S5adaQto_4UJdcNQaui9tL9OgfvQqX2A/view?usp=drivesdk</t>
  </si>
  <si>
    <t>ASTI NINGSIH LA TAUTE, A.Md.Kep</t>
  </si>
  <si>
    <t>astiiningsihh@gmail.com</t>
  </si>
  <si>
    <t>2788</t>
  </si>
  <si>
    <t>1iEEZzu7PzD08ADx2SUcyYeaTqaRmviuA</t>
  </si>
  <si>
    <t>https://drive.google.com/file/d/1iEEZzu7PzD08ADx2SUcyYeaTqaRmviuA/view?usp=drivesdk</t>
  </si>
  <si>
    <t>Document successfully created; Document successfully merged; PDF created; !!Error Sending Emails: Service invoked too many times for one day: email.; Run via form trigger as ecertificate75@gmail.com; Timestamp: Aug 31 2024 8:41 AM</t>
  </si>
  <si>
    <t>KARTIKA AYU AFRIANI</t>
  </si>
  <si>
    <t>tikha.afriani@gmail.com</t>
  </si>
  <si>
    <t>2789</t>
  </si>
  <si>
    <t>1ODOamkHmqZVagCVqlL-w85BC5eF1h1h0</t>
  </si>
  <si>
    <t>https://drive.google.com/file/d/1ODOamkHmqZVagCVqlL-w85BC5eF1h1h0/view?usp=drivesdk</t>
  </si>
  <si>
    <t>EDY RIYANTO</t>
  </si>
  <si>
    <t>edyrianto1807@gmail.com</t>
  </si>
  <si>
    <t>2790</t>
  </si>
  <si>
    <t>1zom7JDbHfjW4xWOlo25I2ykqaS6KPAcX</t>
  </si>
  <si>
    <t>https://drive.google.com/file/d/1zom7JDbHfjW4xWOlo25I2ykqaS6KPAcX/view?usp=drivesdk</t>
  </si>
  <si>
    <t>SUSILOWATI, S.E., M.Si</t>
  </si>
  <si>
    <t>susiuyut33@gmail.com</t>
  </si>
  <si>
    <t>2791</t>
  </si>
  <si>
    <t>1VkxWDeLC1h_U9ZwDCK80ffdeoiZ8djIK</t>
  </si>
  <si>
    <t>https://drive.google.com/file/d/1VkxWDeLC1h_U9ZwDCK80ffdeoiZ8djIK/view?usp=drivesdk</t>
  </si>
  <si>
    <t>Document successfully created; Document successfully merged; PDF created; !!Error Sending Emails: Service invoked too many times for one day: email.; Run via form trigger as ecertificate75@gmail.com; Timestamp: Aug 31 2024 10:10 AM</t>
  </si>
  <si>
    <t>CIPTANTI FITRI MARGIHASTUTI</t>
  </si>
  <si>
    <t>ciptantifitri@gmail.com</t>
  </si>
  <si>
    <t>2792</t>
  </si>
  <si>
    <t>1sd6z3Y3JH8UA-1GMnU3jvTR1KEGOKf1d</t>
  </si>
  <si>
    <t>https://drive.google.com/file/d/1sd6z3Y3JH8UA-1GMnU3jvTR1KEGOKf1d/view?usp=drivesdk</t>
  </si>
  <si>
    <t>Dr. BAHARUDDIN, M.Pd</t>
  </si>
  <si>
    <t>rudibahar03@gmail.com</t>
  </si>
  <si>
    <t>2793</t>
  </si>
  <si>
    <t>1EHmMEmaszH1Usv2dhI4dnimA1MN6QeWD</t>
  </si>
  <si>
    <t>https://drive.google.com/file/d/1EHmMEmaszH1Usv2dhI4dnimA1MN6QeWD/view?usp=drivesdk</t>
  </si>
  <si>
    <t>SULASTUTIK.SH</t>
  </si>
  <si>
    <t>tutik.bdk@gmail.com</t>
  </si>
  <si>
    <t>2794</t>
  </si>
  <si>
    <t>https://drive.google.com/file/d/1u7XKnzosx8IxV7TmC_biTVqXaNSDshmx/view?usp=drivesdk</t>
  </si>
  <si>
    <t>1u7XKnzosx8IxV7TmC_biTVqXaNSDshmx</t>
  </si>
  <si>
    <t>1WbixEzxozBldZ8gKiBhbt0JU-dYT9BG5</t>
  </si>
  <si>
    <t>https://drive.google.com/file/d/1WbixEzxozBldZ8gKiBhbt0JU-dYT9BG5/view?usp=drivesdk</t>
  </si>
  <si>
    <t>Document successfully created; Document successfully merged; PDF created; !!Error Sending Emails: Service invoked too many times for one day: email.; Run via form trigger as ecertificate75@gmail.com; Timestamp: Aug 31 2024 10:11 AM</t>
  </si>
  <si>
    <t xml:space="preserve">NANIK YULIASTUTI </t>
  </si>
  <si>
    <t>Nanikyuli1967@gmail.com</t>
  </si>
  <si>
    <t>2795</t>
  </si>
  <si>
    <t>https://drive.google.com/file/d/1eiE71FXh1wM2UsZdHpw3H6JrowzGmly-/view?usp=drivesdk</t>
  </si>
  <si>
    <t>1eiE71FXh1wM2UsZdHpw3H6JrowzGmly-</t>
  </si>
  <si>
    <t>1zF6_9Bx6Tk5QmOD_sWMVUz8iV5dWnzsl</t>
  </si>
  <si>
    <t>https://drive.google.com/file/d/1zF6_9Bx6Tk5QmOD_sWMVUz8iV5dWnzsl/view?usp=drivesdk</t>
  </si>
  <si>
    <t>ALIDA  LJ SILALAHI, SE</t>
  </si>
  <si>
    <t>alidasilalahi2020@gmail.com</t>
  </si>
  <si>
    <t>2796</t>
  </si>
  <si>
    <t>https://drive.google.com/file/d/11kNzuzlQMBvuLqB40PUjqSC7h4o3zCDW/view?usp=drivesdk</t>
  </si>
  <si>
    <t>11kNzuzlQMBvuLqB40PUjqSC7h4o3zCDW</t>
  </si>
  <si>
    <t>1-Lc27FarIO6Eo8_OXEXex1Zn2-IIgwRS</t>
  </si>
  <si>
    <t>https://drive.google.com/file/d/1-Lc27FarIO6Eo8_OXEXex1Zn2-IIgwRS/view?usp=drivesdk</t>
  </si>
  <si>
    <t>EKO PRIYANTO</t>
  </si>
  <si>
    <t>palupi2palupi@gmail.com</t>
  </si>
  <si>
    <t>2797</t>
  </si>
  <si>
    <t>https://drive.google.com/file/d/179yJqbC0nAY0lIE0Reo6-Hj80sCAB31p/view?usp=drivesdk</t>
  </si>
  <si>
    <t>179yJqbC0nAY0lIE0Reo6-Hj80sCAB31p</t>
  </si>
  <si>
    <t>13RjYgKMPokX8oZCoeVRS1b_zEugjOJrz</t>
  </si>
  <si>
    <t>https://drive.google.com/file/d/13RjYgKMPokX8oZCoeVRS1b_zEugjOJrz/view?usp=drivesdk</t>
  </si>
  <si>
    <t>MUHAMAD SANI</t>
  </si>
  <si>
    <t>muhamadsani0571@gmail.com</t>
  </si>
  <si>
    <t>2798</t>
  </si>
  <si>
    <t>https://drive.google.com/file/d/1xOixOUDEYpOXBEr2cGsrBu9XU5fzn0KJ/view?usp=drivesdk</t>
  </si>
  <si>
    <t>1xOixOUDEYpOXBEr2cGsrBu9XU5fzn0KJ</t>
  </si>
  <si>
    <t>11CFiHkh4aea2rhA6hMNJZIbVbVSHOlD9</t>
  </si>
  <si>
    <t>https://drive.google.com/file/d/11CFiHkh4aea2rhA6hMNJZIbVbVSHOlD9/view?usp=drivesdk</t>
  </si>
  <si>
    <t>Document successfully created; Document successfully merged; PDF created; !!Error Sending Emails: Service invoked too many times for one day: email.; Run via form trigger as ecertificate75@gmail.com; Timestamp: Aug 31 2024 10:12 AM</t>
  </si>
  <si>
    <t>SITI MURTINI</t>
  </si>
  <si>
    <t>sitimurtini@yahoo.co.id</t>
  </si>
  <si>
    <t>2799</t>
  </si>
  <si>
    <t>https://drive.google.com/file/d/12r3GUvf9o5B0hri1lG86KeX-qCewnfth/view?usp=drivesdk</t>
  </si>
  <si>
    <t>12r3GUvf9o5B0hri1lG86KeX-qCewnfth</t>
  </si>
  <si>
    <t>1oSeoogHvt8Ei2Tn6BZnTwGSWk8WBH2dI</t>
  </si>
  <si>
    <t>https://drive.google.com/file/d/1oSeoogHvt8Ei2Tn6BZnTwGSWk8WBH2dI/view?usp=drivesdk</t>
  </si>
  <si>
    <t>MISNAYO</t>
  </si>
  <si>
    <t>misnayo719@gmail.com</t>
  </si>
  <si>
    <t>2800</t>
  </si>
  <si>
    <t>https://drive.google.com/file/d/1XqoYxOnl2K8p-91VBEu-CfzuNJ9eowHQ/view?usp=drivesdk</t>
  </si>
  <si>
    <t>1XqoYxOnl2K8p-91VBEu-CfzuNJ9eowHQ</t>
  </si>
  <si>
    <t>1sFzlH_yiY6fiDzGGfdTENgHsRrolpdUb</t>
  </si>
  <si>
    <t>https://drive.google.com/file/d/1sFzlH_yiY6fiDzGGfdTENgHsRrolpdUb/view?usp=drivesdk</t>
  </si>
  <si>
    <t>SUPARMAN</t>
  </si>
  <si>
    <t>riodjnairo71@gmail.com</t>
  </si>
  <si>
    <t>2801</t>
  </si>
  <si>
    <t>https://drive.google.com/file/d/1ESZNXOv75MNLbAkB3-Icz_6RgeW6h3F5/view?usp=drivesdk</t>
  </si>
  <si>
    <t>1ESZNXOv75MNLbAkB3-Icz_6RgeW6h3F5</t>
  </si>
  <si>
    <t>1-JVgk2BYr5QpzZqocUUuK92U3LfmjCER</t>
  </si>
  <si>
    <t>https://drive.google.com/file/d/1-JVgk2BYr5QpzZqocUUuK92U3LfmjCER/view?usp=drivesdk</t>
  </si>
  <si>
    <t>Tusiyah,SST.FT</t>
  </si>
  <si>
    <t>tushiahjawa@gmail.com</t>
  </si>
  <si>
    <t>2802</t>
  </si>
  <si>
    <t>https://drive.google.com/file/d/1H4B8lDhuGrPHu1wPFWuI4SgK04zvxy5g/view?usp=drivesdk</t>
  </si>
  <si>
    <t>1H4B8lDhuGrPHu1wPFWuI4SgK04zvxy5g</t>
  </si>
  <si>
    <t>1-seji-T_AbXYoT0YrbojJPCKkxs5AzMw</t>
  </si>
  <si>
    <t>https://drive.google.com/file/d/1-seji-T_AbXYoT0YrbojJPCKkxs5AzMw/view?usp=drivesdk</t>
  </si>
  <si>
    <t>Document successfully created; Document successfully merged; PDF created; !!Error Sending Emails: Service invoked too many times for one day: email.; Run via form trigger as ecertificate75@gmail.com; Timestamp: Aug 31 2024 10:13 AM</t>
  </si>
  <si>
    <t xml:space="preserve">TUSYAL RIYANI </t>
  </si>
  <si>
    <t>tusialriyani72@gmail.com</t>
  </si>
  <si>
    <t>2803</t>
  </si>
  <si>
    <t>https://drive.google.com/file/d/15Fwtzw7sBZloAPQ1yxrCnG64U2JQ1pxl/view?usp=drivesdk</t>
  </si>
  <si>
    <t>15Fwtzw7sBZloAPQ1yxrCnG64U2JQ1pxl</t>
  </si>
  <si>
    <t>1WNuI3dj6zR1Ebg52SSsNPfTqOSixTwZ4</t>
  </si>
  <si>
    <t>https://drive.google.com/file/d/1WNuI3dj6zR1Ebg52SSsNPfTqOSixTwZ4/view?usp=drivesdk</t>
  </si>
  <si>
    <t>SISWANTO</t>
  </si>
  <si>
    <t>spnsiswanto@gmail.com</t>
  </si>
  <si>
    <t>2804</t>
  </si>
  <si>
    <t>Starting at Thu Aug 29 2024 21:12:03 GMT-0400 (EDT)</t>
  </si>
  <si>
    <t>16GCZPdrqQeZTiv4K8M0X8vOgS1zyfbL7</t>
  </si>
  <si>
    <t>https://drive.google.com/file/d/16GCZPdrqQeZTiv4K8M0X8vOgS1zyfbL7/view?usp=drivesdk</t>
  </si>
  <si>
    <t xml:space="preserve">ROSSANA EKO SULISTYO WIDOWATI </t>
  </si>
  <si>
    <t>rossana3sw@gmail.com</t>
  </si>
  <si>
    <t>2805</t>
  </si>
  <si>
    <t>1YCOXG6a1sklFP0Dc7gQfNY7TqAySOBBr</t>
  </si>
  <si>
    <t>https://drive.google.com/file/d/1YCOXG6a1sklFP0Dc7gQfNY7TqAySOBBr/view?usp=drivesdk</t>
  </si>
  <si>
    <t>ROSIKAH</t>
  </si>
  <si>
    <t>rosikah174@gmail.com</t>
  </si>
  <si>
    <t>2806</t>
  </si>
  <si>
    <t>1Bovgn1DMaN-WGNVscqibX9K4K7BECIPg</t>
  </si>
  <si>
    <t>https://drive.google.com/file/d/1Bovgn1DMaN-WGNVscqibX9K4K7BECIPg/view?usp=drivesdk</t>
  </si>
  <si>
    <t>Document successfully created; Document successfully merged; PDF created; !!Error Sending Emails: Service invoked too many times for one day: email.; Run via form trigger as ecertificate75@gmail.com; Timestamp: Aug 31 2024 10:14 AM</t>
  </si>
  <si>
    <t>ANDRI KUSUMA, S.H.</t>
  </si>
  <si>
    <t>andrikusuma161@gmail.com</t>
  </si>
  <si>
    <t>2807</t>
  </si>
  <si>
    <t>1GjrRrdkBdDYCq-IqdSPA6zH1TQGMzWA8</t>
  </si>
  <si>
    <t>https://drive.google.com/file/d/1GjrRrdkBdDYCq-IqdSPA6zH1TQGMzWA8/view?usp=drivesdk</t>
  </si>
  <si>
    <t>DIMAS ZAINI SPD MAP</t>
  </si>
  <si>
    <t>dimaszaini12@gmail.com</t>
  </si>
  <si>
    <t>2808</t>
  </si>
  <si>
    <t>1FYxvfFCv_wiiolz4QDRky9BmAIBQ8-Xy</t>
  </si>
  <si>
    <t>https://drive.google.com/file/d/1FYxvfFCv_wiiolz4QDRky9BmAIBQ8-Xy/view?usp=drivesdk</t>
  </si>
  <si>
    <t>Drg.Sinta Ning Utami</t>
  </si>
  <si>
    <t>sintaning2020@gmail.com</t>
  </si>
  <si>
    <t>2809</t>
  </si>
  <si>
    <t>18M8MVNfCESpBqR-hwoj2lPUk_bgEGPXS</t>
  </si>
  <si>
    <t>https://drive.google.com/file/d/18M8MVNfCESpBqR-hwoj2lPUk_bgEGPXS/view?usp=drivesdk</t>
  </si>
  <si>
    <t>Mirnawati maradabessy,A.Md.Kep</t>
  </si>
  <si>
    <t>mirnawatimarasabessy@gmail.com</t>
  </si>
  <si>
    <t>2810</t>
  </si>
  <si>
    <t>1oVLQl98DMHQuHOsQPSPjuXmDza5zzfGY</t>
  </si>
  <si>
    <t>https://drive.google.com/file/d/1oVLQl98DMHQuHOsQPSPjuXmDza5zzfGY/view?usp=drivesdk</t>
  </si>
  <si>
    <t>Dwi Iwan Dadang Prabowo</t>
  </si>
  <si>
    <t>dwi.iwan37@gmail.com</t>
  </si>
  <si>
    <t>2811</t>
  </si>
  <si>
    <t>1cyOYO5DZNxCtkNnuxgrZBKOUCiCSx7f_</t>
  </si>
  <si>
    <t>https://drive.google.com/file/d/1cyOYO5DZNxCtkNnuxgrZBKOUCiCSx7f_/view?usp=drivesdk</t>
  </si>
  <si>
    <t>Document successfully created; Document successfully merged; PDF created; !!Error Sending Emails: Service invoked too many times for one day: email.; Run via form trigger as ecertificate75@gmail.com; Timestamp: Aug 31 2024 8:07 PM</t>
  </si>
  <si>
    <t>ADENG WISNU WARDANA, S.Sos</t>
  </si>
  <si>
    <t>adengwisnu50@gmail.com</t>
  </si>
  <si>
    <t>2812</t>
  </si>
  <si>
    <t>https://drive.google.com/file/d/1T4DtVzDEC-huQrA8kyk1st7P8v5UsnZg/view?usp=drivesdk</t>
  </si>
  <si>
    <t>1T4DtVzDEC-huQrA8kyk1st7P8v5UsnZg</t>
  </si>
  <si>
    <t>113ZixYBJOIJG5A0EhhNgTzMUSwwWozUK</t>
  </si>
  <si>
    <t>https://drive.google.com/file/d/113ZixYBJOIJG5A0EhhNgTzMUSwwWozUK/view?usp=drivesdk</t>
  </si>
  <si>
    <t>RUDY MARYONO</t>
  </si>
  <si>
    <t>rudymk1976@gmail.com</t>
  </si>
  <si>
    <t>2813</t>
  </si>
  <si>
    <t>https://drive.google.com/file/d/1EMPifs_iDtUB-veGS55nKEJsLQ7UwJr1/view?usp=drivesdk</t>
  </si>
  <si>
    <t>1EMPifs_iDtUB-veGS55nKEJsLQ7UwJr1</t>
  </si>
  <si>
    <t>1KHCh8lBdrZ6dxSlIGO7uyzluL7anXCWm</t>
  </si>
  <si>
    <t>https://drive.google.com/file/d/1KHCh8lBdrZ6dxSlIGO7uyzluL7anXCWm/view?usp=drivesdk</t>
  </si>
  <si>
    <t>Document successfully created; Document successfully merged; PDF created; !!Error Sending Emails: Service invoked too many times for one day: email.; Run via form trigger as ecertificate75@gmail.com; Timestamp: Aug 31 2024 8:09 PM</t>
  </si>
  <si>
    <t>ERYANI, AM.D</t>
  </si>
  <si>
    <t>eryani1981@gmail.com</t>
  </si>
  <si>
    <t>2814</t>
  </si>
  <si>
    <t>https://drive.google.com/file/d/1MQ8-ByV0n8ZJIXsrEgyyKlem9gxAHB_w/view?usp=drivesdk</t>
  </si>
  <si>
    <t>1MQ8-ByV0n8ZJIXsrEgyyKlem9gxAHB_w</t>
  </si>
  <si>
    <t>1aTaHXzIhP38J8T--fDRSLwVZuTldszPT</t>
  </si>
  <si>
    <t>https://drive.google.com/file/d/1aTaHXzIhP38J8T--fDRSLwVZuTldszPT/view?usp=drivesdk</t>
  </si>
  <si>
    <t xml:space="preserve">AGI SAPUTRA KURNIA UTAMA </t>
  </si>
  <si>
    <t>agisaputra2210@gmail.com</t>
  </si>
  <si>
    <t>2815</t>
  </si>
  <si>
    <t>https://drive.google.com/file/d/1v-x06coa_6kz0E2CyZX8TMMnyFicibKY/view?usp=drivesdk</t>
  </si>
  <si>
    <t>1v-x06coa_6kz0E2CyZX8TMMnyFicibKY</t>
  </si>
  <si>
    <t>1yMXulkzK6GVokBVweOq9_nOwMGgKnIRN</t>
  </si>
  <si>
    <t>https://drive.google.com/file/d/1yMXulkzK6GVokBVweOq9_nOwMGgKnIRN/view?usp=drivesdk</t>
  </si>
  <si>
    <t>Document successfully created; Document successfully merged; PDF created; !!Error Sending Emails: Service invoked too many times for one day: email.; Run via form trigger as ecertificate75@gmail.com; Timestamp: Aug 31 2024 8:10 PM</t>
  </si>
  <si>
    <t>DUMIATUN RAHAYUNINGSIH, SE</t>
  </si>
  <si>
    <t>dumiatun24@gmail.com</t>
  </si>
  <si>
    <t>2816</t>
  </si>
  <si>
    <t>https://drive.google.com/file/d/1OH73lgNet_VV7qrUKuGbkXYNzaSdHgRO/view?usp=drivesdk</t>
  </si>
  <si>
    <t>1OH73lgNet_VV7qrUKuGbkXYNzaSdHgRO</t>
  </si>
  <si>
    <t>1SV6kxyuYrdRovX6E46T7SAHjTLIlxOnn</t>
  </si>
  <si>
    <t>https://drive.google.com/file/d/1SV6kxyuYrdRovX6E46T7SAHjTLIlxOnn/view?usp=drivesdk</t>
  </si>
  <si>
    <t xml:space="preserve">TRI KUWATNO </t>
  </si>
  <si>
    <t>trikuwatno82@gmail.com</t>
  </si>
  <si>
    <t>2817</t>
  </si>
  <si>
    <t>https://drive.google.com/file/d/1mth5qoSGzuN0nA0kFTCLPFEy4lsxJiiS/view?usp=drivesdk</t>
  </si>
  <si>
    <t>1mth5qoSGzuN0nA0kFTCLPFEy4lsxJiiS</t>
  </si>
  <si>
    <t>1IJiAF4z8HNuSDuX8ox6QT1CyxAv_EQ4X</t>
  </si>
  <si>
    <t>https://drive.google.com/file/d/1IJiAF4z8HNuSDuX8ox6QT1CyxAv_EQ4X/view?usp=drivesdk</t>
  </si>
  <si>
    <t>SITI PATIMA.S.Kom.M.M</t>
  </si>
  <si>
    <t>siti.patima05@gmail.com</t>
  </si>
  <si>
    <t>2818</t>
  </si>
  <si>
    <t>https://drive.google.com/file/d/1iBkdJhhrq96JF7_jyEZkTm8z8DHc34gf/view?usp=drivesdk</t>
  </si>
  <si>
    <t>1iBkdJhhrq96JF7_jyEZkTm8z8DHc34gf</t>
  </si>
  <si>
    <t>13Coy0Km3LVrZRG7pXGNOuTHnecCn2gMM</t>
  </si>
  <si>
    <t>https://drive.google.com/file/d/13Coy0Km3LVrZRG7pXGNOuTHnecCn2gMM/view?usp=drivesdk</t>
  </si>
  <si>
    <t>Document successfully created; Document successfully merged; PDF created; !!Error Sending Emails: Service invoked too many times for one day: email.; Run via form trigger as ecertificate75@gmail.com; Timestamp: Aug 31 2024 8:11 PM</t>
  </si>
  <si>
    <t>KASMA LAADI</t>
  </si>
  <si>
    <t>casy.kasma@gmail.com</t>
  </si>
  <si>
    <t>2819</t>
  </si>
  <si>
    <t>https://drive.google.com/file/d/1y346h8RHjcrgwCnKhhl6c-yeYjrdSfin/view?usp=drivesdk</t>
  </si>
  <si>
    <t>1y346h8RHjcrgwCnKhhl6c-yeYjrdSfin</t>
  </si>
  <si>
    <t>17l-c99qtv-JVBmbyL-lj93eCVQOhk7Yl</t>
  </si>
  <si>
    <t>https://drive.google.com/file/d/17l-c99qtv-JVBmbyL-lj93eCVQOhk7Yl/view?usp=drivesdk</t>
  </si>
  <si>
    <t>SUSILO</t>
  </si>
  <si>
    <t>susilosabhara08@gmail.com</t>
  </si>
  <si>
    <t>2820</t>
  </si>
  <si>
    <t>Starting at Thu Aug 29 2024 21:13:30 GMT-0400 (EDT)</t>
  </si>
  <si>
    <t>1AZIQSzCG8LeFMzkzCSnpEf1D6LY8dJVL</t>
  </si>
  <si>
    <t>https://drive.google.com/file/d/1AZIQSzCG8LeFMzkzCSnpEf1D6LY8dJVL/view?usp=drivesdk</t>
  </si>
  <si>
    <t>MISJADI</t>
  </si>
  <si>
    <t>misjadijadi@gmail.com</t>
  </si>
  <si>
    <t>2821</t>
  </si>
  <si>
    <t>https://drive.google.com/file/d/15lf0kwKAbkoq343nix_DdVHpG60tqh9a/view?usp=drivesdk</t>
  </si>
  <si>
    <t>15lf0kwKAbkoq343nix_DdVHpG60tqh9a</t>
  </si>
  <si>
    <t>1vvIHJIzHUKXwgG8HQ8gNZgU68IO_KkUb</t>
  </si>
  <si>
    <t>https://drive.google.com/file/d/1vvIHJIzHUKXwgG8HQ8gNZgU68IO_KkUb/view?usp=drivesdk</t>
  </si>
  <si>
    <t>Document successfully created; Document successfully merged; PDF created; Emails Sent: [To: misjadijadi@gmail.com]; Run via form trigger as ecertificate75@gmail.com; Timestamp: Sep 1 2024 1:56 AM</t>
  </si>
  <si>
    <t xml:space="preserve">HELIS MULYANINGSIH </t>
  </si>
  <si>
    <t>liesdeden@gmail.com</t>
  </si>
  <si>
    <t>2822</t>
  </si>
  <si>
    <t>https://drive.google.com/file/d/1_qNQl25SUblu5sthjPJ75-j_RcO1J8ea/view?usp=drivesdk</t>
  </si>
  <si>
    <t>1_qNQl25SUblu5sthjPJ75-j_RcO1J8ea</t>
  </si>
  <si>
    <t>1EkMdzbDDfGnJJbjvwqxsCW5OHlogY2sG</t>
  </si>
  <si>
    <t>https://drive.google.com/file/d/1EkMdzbDDfGnJJbjvwqxsCW5OHlogY2sG/view?usp=drivesdk</t>
  </si>
  <si>
    <t>Document successfully created; Document successfully merged; PDF created; Emails Sent: [To: liesdeden@gmail.com]; Run via form trigger as ecertificate75@gmail.com; Timestamp: Sep 1 2024 1:56 AM</t>
  </si>
  <si>
    <t>SARTONO PRIADI, SE</t>
  </si>
  <si>
    <t>adiagilagi@gmail.com</t>
  </si>
  <si>
    <t>2823</t>
  </si>
  <si>
    <t>https://drive.google.com/file/d/14hxEP0dFwe3xkxqJfVPzyyYE4n49PpDv/view?usp=drivesdk</t>
  </si>
  <si>
    <t>14hxEP0dFwe3xkxqJfVPzyyYE4n49PpDv</t>
  </si>
  <si>
    <t>1-ubWvoQ-xQN_0ses5y3jZjZJ9i3MNQ_e</t>
  </si>
  <si>
    <t>https://drive.google.com/file/d/1-ubWvoQ-xQN_0ses5y3jZjZJ9i3MNQ_e/view?usp=drivesdk</t>
  </si>
  <si>
    <t>Document successfully created; Document successfully merged; PDF created; Emails Sent: [To: adiagilagi@gmail.com]; Run via form trigger as ecertificate75@gmail.com; Timestamp: Sep 1 2024 1:57 AM</t>
  </si>
  <si>
    <t>BENNY FIRMANSYAH</t>
  </si>
  <si>
    <t>bennyfirmansyah2018@gmail.com</t>
  </si>
  <si>
    <t>2824</t>
  </si>
  <si>
    <t>https://drive.google.com/file/d/1yTE_4OXL2riwD0jrwA-wQJePeYouDsoI/view?usp=drivesdk</t>
  </si>
  <si>
    <t>1yTE_4OXL2riwD0jrwA-wQJePeYouDsoI</t>
  </si>
  <si>
    <t>1u3sPTe9iyQSai2-79A3mZQZuGb5HO4B3</t>
  </si>
  <si>
    <t>https://drive.google.com/file/d/1u3sPTe9iyQSai2-79A3mZQZuGb5HO4B3/view?usp=drivesdk</t>
  </si>
  <si>
    <t>Document successfully created; Document successfully merged; PDF created; Emails Sent: [To: bennyfirmansyah2018@gmail.com]; Run via form trigger as ecertificate75@gmail.com; Timestamp: Sep 1 2024 1:57 AM</t>
  </si>
  <si>
    <t>RAFLI PATMEL</t>
  </si>
  <si>
    <t>rpatmel@gmail.com</t>
  </si>
  <si>
    <t>2825</t>
  </si>
  <si>
    <t>https://drive.google.com/file/d/1QFsvmRkfmi9aT85xacKTePhZ4PsqBCuk/view?usp=drivesdk</t>
  </si>
  <si>
    <t>1QFsvmRkfmi9aT85xacKTePhZ4PsqBCuk</t>
  </si>
  <si>
    <t>1zjaE1JZXR2TqaGTf7gP3_a_Q4WrPcVI7</t>
  </si>
  <si>
    <t>https://drive.google.com/file/d/1zjaE1JZXR2TqaGTf7gP3_a_Q4WrPcVI7/view?usp=drivesdk</t>
  </si>
  <si>
    <t>Document successfully created; Document successfully merged; PDF created; Emails Sent: [To: rpatmel@gmail.com]; Run via form trigger as ecertificate75@gmail.com; Timestamp: Sep 1 2024 1:57 AM</t>
  </si>
  <si>
    <t>SITI ROKHIMAH, A.Md</t>
  </si>
  <si>
    <t>imabagren21@gmail.com</t>
  </si>
  <si>
    <t>2826</t>
  </si>
  <si>
    <t>https://drive.google.com/file/d/1Q27jJHLnqxoMQh4jOebAG-gRbUTMCyko/view?usp=drivesdk</t>
  </si>
  <si>
    <t>1Q27jJHLnqxoMQh4jOebAG-gRbUTMCyko</t>
  </si>
  <si>
    <t>1KHdcvBMnWw4w-FjhBL8Rg-HQGq1RJW8h</t>
  </si>
  <si>
    <t>https://drive.google.com/file/d/1KHdcvBMnWw4w-FjhBL8Rg-HQGq1RJW8h/view?usp=drivesdk</t>
  </si>
  <si>
    <t>Document successfully created; Document successfully merged; PDF created; Emails Sent: [To: imabagren21@gmail.com]; Run via form trigger as ecertificate75@gmail.com; Timestamp: Sep 1 2024 1:57 AM</t>
  </si>
  <si>
    <t>Ning Maya Prahasti</t>
  </si>
  <si>
    <t>Ningmaya.Prahasti@gmail.com</t>
  </si>
  <si>
    <t>2827</t>
  </si>
  <si>
    <t>https://drive.google.com/file/d/16aVqHR_2QwHLTW8gIdej1m91oLzjNpWW/view?usp=drivesdk</t>
  </si>
  <si>
    <t>16aVqHR_2QwHLTW8gIdej1m91oLzjNpWW</t>
  </si>
  <si>
    <t>1veHs3gjTsJj3N8YmJPz-yPDZNh-qMivq</t>
  </si>
  <si>
    <t>https://drive.google.com/file/d/1veHs3gjTsJj3N8YmJPz-yPDZNh-qMivq/view?usp=drivesdk</t>
  </si>
  <si>
    <t>Document successfully created; Document successfully merged; PDF created; Emails Sent: [To: Ningmaya.Prahasti@gmail.com]; Run via form trigger as ecertificate75@gmail.com; Timestamp: Sep 1 2024 1:58 AM</t>
  </si>
  <si>
    <t>ANITA RAMAYANTI TURNIP</t>
  </si>
  <si>
    <t>anitaturnip324@gmail.com</t>
  </si>
  <si>
    <t>2828</t>
  </si>
  <si>
    <t>https://drive.google.com/file/d/1BFCv5WoQxlpJ6jyN4XggNRhAhbPxgi5G/view?usp=drivesdk</t>
  </si>
  <si>
    <t>1BFCv5WoQxlpJ6jyN4XggNRhAhbPxgi5G</t>
  </si>
  <si>
    <t>13nc9Pc5txUY0yLVNJnUvswYENMML3z3Y</t>
  </si>
  <si>
    <t>https://drive.google.com/file/d/13nc9Pc5txUY0yLVNJnUvswYENMML3z3Y/view?usp=drivesdk</t>
  </si>
  <si>
    <t>Document successfully created; Document successfully merged; PDF created; Emails Sent: [To: anitaturnip324@gmail.com]; Run via form trigger as ecertificate75@gmail.com; Timestamp: Sep 1 2024 1:58 AM</t>
  </si>
  <si>
    <t>MARLIA, S. Sos</t>
  </si>
  <si>
    <t>marliadjaafar71@gmail.com</t>
  </si>
  <si>
    <t>2829</t>
  </si>
  <si>
    <t>https://drive.google.com/file/d/1O8O0kUomY3nnXEng7f03ZlsI3_ynruM0/view?usp=drivesdk</t>
  </si>
  <si>
    <t>1O8O0kUomY3nnXEng7f03ZlsI3_ynruM0</t>
  </si>
  <si>
    <t>1gq73A3my1ZUpTKqCw7YJE0m2_cd7H3uZ</t>
  </si>
  <si>
    <t>https://drive.google.com/file/d/1gq73A3my1ZUpTKqCw7YJE0m2_cd7H3uZ/view?usp=drivesdk</t>
  </si>
  <si>
    <t>Document successfully created; Document successfully merged; PDF created; Emails Sent: [To: marliadjaafar71@gmail.com]; Run via form trigger as ecertificate75@gmail.com; Timestamp: Sep 1 2024 1:58 AM</t>
  </si>
  <si>
    <t>MUTIAH</t>
  </si>
  <si>
    <t>mutiahlmut8@gmail.com</t>
  </si>
  <si>
    <t>2830</t>
  </si>
  <si>
    <t>https://drive.google.com/file/d/1Cj1e_DCMf2mTtWmKTMgSfr_WgFH-p7Mj/view?usp=drivesdk</t>
  </si>
  <si>
    <t>1Cj1e_DCMf2mTtWmKTMgSfr_WgFH-p7Mj</t>
  </si>
  <si>
    <t>13pUoRUGMjCqx-cION4fZulDEj4E3u00l</t>
  </si>
  <si>
    <t>https://drive.google.com/file/d/13pUoRUGMjCqx-cION4fZulDEj4E3u00l/view?usp=drivesdk</t>
  </si>
  <si>
    <t>Document successfully created; Document successfully merged; PDF created; Emails Sent: [To: mutiahlmut8@gmail.com]; Run via form trigger as ecertificate75@gmail.com; Timestamp: Sep 1 2024 1:58 AM</t>
  </si>
  <si>
    <t>ALAM NASRO</t>
  </si>
  <si>
    <t>anasspripim84@gmail.com</t>
  </si>
  <si>
    <t>2831</t>
  </si>
  <si>
    <t>https://drive.google.com/file/d/1xm7oXilNmIRCQPAziXwf47KoOnB-alwz/view?usp=drivesdk</t>
  </si>
  <si>
    <t>1xm7oXilNmIRCQPAziXwf47KoOnB-alwz</t>
  </si>
  <si>
    <t>1WQ24mJIJezhnCtmxeUnZ2Zgw1_oFZxL6</t>
  </si>
  <si>
    <t>https://drive.google.com/file/d/1WQ24mJIJezhnCtmxeUnZ2Zgw1_oFZxL6/view?usp=drivesdk</t>
  </si>
  <si>
    <t>Document successfully created; Document successfully merged; PDF created; Emails Sent: [To: anasspripim84@gmail.com]; Run via form trigger as ecertificate75@gmail.com; Timestamp: Sep 1 2024 1:59 AM</t>
  </si>
  <si>
    <t>NUNUNGTARSIH</t>
  </si>
  <si>
    <t>nunungtarsih8@gmai.com</t>
  </si>
  <si>
    <t>2832</t>
  </si>
  <si>
    <t>Starting at Thu Aug 29 2024 21:12:13 GMT-0400 (EDT)</t>
  </si>
  <si>
    <t>1y4m9UEvuly3XckNWPgmYiGhQ8HT-mG45</t>
  </si>
  <si>
    <t>https://drive.google.com/file/d/1y4m9UEvuly3XckNWPgmYiGhQ8HT-mG45/view?usp=drivesdk</t>
  </si>
  <si>
    <t>Document successfully created; Document successfully merged; PDF created; Emails Sent: [To: nunungtarsih8@gmai.com]; Run via form trigger as ecertificate75@gmail.com; Timestamp: Sep 1 2024 1:59 AM</t>
  </si>
  <si>
    <t>NURYANTO, S.E., M.M.</t>
  </si>
  <si>
    <t>cahthemark@gmail.com</t>
  </si>
  <si>
    <t>2833</t>
  </si>
  <si>
    <t>101_kPkjRIHfc2o3Y6PAFEhKq8AUCSmsU</t>
  </si>
  <si>
    <t>https://drive.google.com/file/d/101_kPkjRIHfc2o3Y6PAFEhKq8AUCSmsU/view?usp=drivesdk</t>
  </si>
  <si>
    <t>Document successfully created; Document successfully merged; PDF created; Emails Sent: [To: cahthemark@gmail.com]; Run via form trigger as ecertificate75@gmail.com; Timestamp: Sep 1 2024 1:59 AM</t>
  </si>
  <si>
    <t>ABDUL SALAM. S.I.KOM</t>
  </si>
  <si>
    <t>al4msyah1771@gmail.com</t>
  </si>
  <si>
    <t>2834</t>
  </si>
  <si>
    <t>1LP5wm9CL9AG13oKULYZ5jyKe3wn1UFwF</t>
  </si>
  <si>
    <t>https://drive.google.com/file/d/1LP5wm9CL9AG13oKULYZ5jyKe3wn1UFwF/view?usp=drivesdk</t>
  </si>
  <si>
    <t>Document successfully created; Document successfully merged; PDF created; Emails Sent: [To: al4msyah1771@gmail.com]; Run via form trigger as ecertificate75@gmail.com; Timestamp: Sep 1 2024 2:00 AM</t>
  </si>
  <si>
    <t>PURWANTINI H.S.H, S.Pd</t>
  </si>
  <si>
    <t>ninayanggraini@gmail.com</t>
  </si>
  <si>
    <t>2835</t>
  </si>
  <si>
    <t>1vLF5bw8iGGGLkmC_bgEXIqjJHUegmXFV</t>
  </si>
  <si>
    <t>https://drive.google.com/file/d/1vLF5bw8iGGGLkmC_bgEXIqjJHUegmXFV/view?usp=drivesdk</t>
  </si>
  <si>
    <t>Document successfully created; Document successfully merged; PDF created; Emails Sent: [To: ninayanggraini@gmail.com]; Run via form trigger as ecertificate75@gmail.com; Timestamp: Sep 1 2024 2:00 AM</t>
  </si>
  <si>
    <t>ARIY RAKHMAWATI, S.Kep., Ns</t>
  </si>
  <si>
    <t>ariynurmawan@gmail.com</t>
  </si>
  <si>
    <t>2836</t>
  </si>
  <si>
    <t>1Tizvfu-jImZOkKjwE81ZAyYk0M6beOzf</t>
  </si>
  <si>
    <t>https://drive.google.com/file/d/1Tizvfu-jImZOkKjwE81ZAyYk0M6beOzf/view?usp=drivesdk</t>
  </si>
  <si>
    <t>Document successfully created; Document successfully merged; PDF created; Emails Sent: [To: ariynurmawan@gmail.com]; Run via form trigger as ecertificate75@gmail.com; Timestamp: Sep 1 2024 2:00 AM</t>
  </si>
  <si>
    <t>BAHTANSAR</t>
  </si>
  <si>
    <t>bahtansara@gmail.com</t>
  </si>
  <si>
    <t>2837</t>
  </si>
  <si>
    <t>1fsxY1IiUPaPgGGa0NquwKMejWkEdcQ3R</t>
  </si>
  <si>
    <t>https://drive.google.com/file/d/1fsxY1IiUPaPgGGa0NquwKMejWkEdcQ3R/view?usp=drivesdk</t>
  </si>
  <si>
    <t>Document successfully created; Document successfully merged; PDF created; Emails Sent: [To: bahtansara@gmail.com]; Run via form trigger as ecertificate75@gmail.com; Timestamp: Sep 1 2024 2:00 AM</t>
  </si>
  <si>
    <t>RUMIATI</t>
  </si>
  <si>
    <t>rumiatibklu@gmail.com</t>
  </si>
  <si>
    <t>2838</t>
  </si>
  <si>
    <t>1HW4ZI10Vz-lK2kmiI2uuHJUo8Iv8eB54</t>
  </si>
  <si>
    <t>https://drive.google.com/file/d/1HW4ZI10Vz-lK2kmiI2uuHJUo8Iv8eB54/view?usp=drivesdk</t>
  </si>
  <si>
    <t>Document successfully created; Document successfully merged; PDF created; Emails Sent: [To: rumiatibklu@gmail.com]; Run via form trigger as ecertificate75@gmail.com; Timestamp: Sep 1 2024 2:00 AM</t>
  </si>
  <si>
    <t>BAROYO UTOMO, S.E.</t>
  </si>
  <si>
    <t>baroyoutomo.68@gmail.com</t>
  </si>
  <si>
    <t>2839</t>
  </si>
  <si>
    <t>1d7i2nvl67kkVBsuFj6f7T50ELTqGgUuu</t>
  </si>
  <si>
    <t>https://drive.google.com/file/d/1d7i2nvl67kkVBsuFj6f7T50ELTqGgUuu/view?usp=drivesdk</t>
  </si>
  <si>
    <t>Document successfully created; Document successfully merged; PDF created; Emails Sent: [To: baroyoutomo.68@gmail.com]; Run via form trigger as ecertificate75@gmail.com; Timestamp: Sep 1 2024 2:01 AM</t>
  </si>
  <si>
    <t xml:space="preserve">TRI WIDAYANTI </t>
  </si>
  <si>
    <t>widaprasetya@gmail.com</t>
  </si>
  <si>
    <t>2840</t>
  </si>
  <si>
    <t>https://drive.google.com/file/d/1aW9o-dE3uftf1sDAliLGmyFkZYouQA4Z/view?usp=drivesdk</t>
  </si>
  <si>
    <t>1aW9o-dE3uftf1sDAliLGmyFkZYouQA4Z</t>
  </si>
  <si>
    <t>1Hpyd8E_MqSHEkc1vyZpRCmwYW_7vQ4rG</t>
  </si>
  <si>
    <t>https://drive.google.com/file/d/1Hpyd8E_MqSHEkc1vyZpRCmwYW_7vQ4rG/view?usp=drivesdk</t>
  </si>
  <si>
    <t>Document successfully created; Document successfully merged; PDF created; Emails Sent: [To: widaprasetya@gmail.com]; Run via form trigger as ecertificate75@gmail.com; Timestamp: Sep 1 2024 2:01 AM</t>
  </si>
  <si>
    <t>EHA JULAEHA</t>
  </si>
  <si>
    <t>ehajulha@gmail.com</t>
  </si>
  <si>
    <t>2841</t>
  </si>
  <si>
    <t>https://drive.google.com/file/d/1mNcBMevpLjMLVb0Nc-qvoMULTx81FU7u/view?usp=drivesdk</t>
  </si>
  <si>
    <t>1mNcBMevpLjMLVb0Nc-qvoMULTx81FU7u</t>
  </si>
  <si>
    <t>1uuxa17HIvvEA9urGLLx2VWk5lzE_sB7M</t>
  </si>
  <si>
    <t>https://drive.google.com/file/d/1uuxa17HIvvEA9urGLLx2VWk5lzE_sB7M/view?usp=drivesdk</t>
  </si>
  <si>
    <t>Document successfully created; Document successfully merged; PDF created; Emails Sent: [To: ehajulha@gmail.com]; Run via form trigger as ecertificate75@gmail.com; Timestamp: Sep 1 2024 2:39 AM</t>
  </si>
  <si>
    <t>KRISNAWATI INDRASARI, S.H., M.H.</t>
  </si>
  <si>
    <t>krisnawati.haryo@gmail.com</t>
  </si>
  <si>
    <t>2842</t>
  </si>
  <si>
    <t>https://drive.google.com/file/d/17LKz8TUgePdeCe4DizKbskGMY2t2xN9y/view?usp=drivesdk</t>
  </si>
  <si>
    <t>17LKz8TUgePdeCe4DizKbskGMY2t2xN9y</t>
  </si>
  <si>
    <t>1bN5_9k1OLbeCQWmBDui7fg_gLb-sm594</t>
  </si>
  <si>
    <t>https://drive.google.com/file/d/1bN5_9k1OLbeCQWmBDui7fg_gLb-sm594/view?usp=drivesdk</t>
  </si>
  <si>
    <t>Document successfully created; Document successfully merged; PDF created; Emails Sent: [To: krisnawati.haryo@gmail.com]; Run via form trigger as ecertificate75@gmail.com; Timestamp: Sep 1 2024 2:39 AM</t>
  </si>
  <si>
    <t>RIA WIDHIANARTI, S.Kep, Ns</t>
  </si>
  <si>
    <t>rianindhiva@gmail.com</t>
  </si>
  <si>
    <t>2843</t>
  </si>
  <si>
    <t>https://drive.google.com/file/d/1j87hyEI26JOZ-HmFuuhvDY7jKP1QcRTF/view?usp=drivesdk</t>
  </si>
  <si>
    <t>1j87hyEI26JOZ-HmFuuhvDY7jKP1QcRTF</t>
  </si>
  <si>
    <t>1itjmQGdO8Xh1QRvE4EUIHRZg2sdWQVdR</t>
  </si>
  <si>
    <t>https://drive.google.com/file/d/1itjmQGdO8Xh1QRvE4EUIHRZg2sdWQVdR/view?usp=drivesdk</t>
  </si>
  <si>
    <t>Document successfully created; Document successfully merged; PDF created; Emails Sent: [To: rianindhiva@gmail.com]; Run via form trigger as ecertificate75@gmail.com; Timestamp: Sep 1 2024 2:40 AM</t>
  </si>
  <si>
    <t>BUDI BUDIMAN</t>
  </si>
  <si>
    <t>budiman.sespimpolri1974@gmail.com</t>
  </si>
  <si>
    <t>2844</t>
  </si>
  <si>
    <t>Starting at Thu Aug 29 2024 21:12:18 GMT-0400 (EDT)</t>
  </si>
  <si>
    <t>1CnmSHTEeeTZu1IowpTQJrB2hJo0P0VhO</t>
  </si>
  <si>
    <t>https://drive.google.com/file/d/1CnmSHTEeeTZu1IowpTQJrB2hJo0P0VhO/view?usp=drivesdk</t>
  </si>
  <si>
    <t>Document successfully created; Document successfully merged; PDF created; Emails Sent: [To: budiman.sespimpolri1974@gmail.com]; Run via form trigger as ecertificate75@gmail.com; Timestamp: Sep 1 2024 2:40 AM</t>
  </si>
  <si>
    <t xml:space="preserve">SUKIMAN </t>
  </si>
  <si>
    <t>sukiman81spn@gmail.com</t>
  </si>
  <si>
    <t>2845</t>
  </si>
  <si>
    <t>1BMk_RM0APqu9zjW3ocZNJDkbV130xDV6</t>
  </si>
  <si>
    <t>https://drive.google.com/file/d/1BMk_RM0APqu9zjW3ocZNJDkbV130xDV6/view?usp=drivesdk</t>
  </si>
  <si>
    <t>Document successfully created; Document successfully merged; PDF created; Emails Sent: [To: sukiman81spn@gmail.com]; Run via form trigger as ecertificate75@gmail.com; Timestamp: Sep 1 2024 2:40 AM</t>
  </si>
  <si>
    <t>LUTHFI FEBRIANSYAH</t>
  </si>
  <si>
    <t>luthfi.200812@gmail.com</t>
  </si>
  <si>
    <t>2846</t>
  </si>
  <si>
    <t>1pkl4Vzt7KuNIW0Mr0-a158znH9ft2-cV</t>
  </si>
  <si>
    <t>https://drive.google.com/file/d/1pkl4Vzt7KuNIW0Mr0-a158znH9ft2-cV/view?usp=drivesdk</t>
  </si>
  <si>
    <t>Document successfully created; Document successfully merged; PDF created; Emails Sent: [To: luthfi.200812@gmail.com]; Run via form trigger as ecertificate75@gmail.com; Timestamp: Sep 1 2024 2:40 AM</t>
  </si>
  <si>
    <t>NOERTEDJO</t>
  </si>
  <si>
    <t>noertedjo71@yahoo.co.id</t>
  </si>
  <si>
    <t>2847</t>
  </si>
  <si>
    <t>1evFGzkP83XbC6nmLAXU_1AdBgiWTxmM-</t>
  </si>
  <si>
    <t>https://drive.google.com/file/d/1evFGzkP83XbC6nmLAXU_1AdBgiWTxmM-/view?usp=drivesdk</t>
  </si>
  <si>
    <t>Document successfully created; Document successfully merged; PDF created; Emails Sent: [To: noertedjo71@yahoo.co.id]; Run via form trigger as ecertificate75@gmail.com; Timestamp: Sep 1 2024 2:41 AM</t>
  </si>
  <si>
    <t>MADYANING RINI</t>
  </si>
  <si>
    <t>rmadyaning@gmail.com</t>
  </si>
  <si>
    <t>2848</t>
  </si>
  <si>
    <t>1aJxTTUvtWzgdcMopqko0NOhktqpc6wvW</t>
  </si>
  <si>
    <t>https://drive.google.com/file/d/1aJxTTUvtWzgdcMopqko0NOhktqpc6wvW/view?usp=drivesdk</t>
  </si>
  <si>
    <t>Document successfully created; Document successfully merged; PDF created; Emails Sent: [To: rmadyaning@gmail.com]; Run via form trigger as ecertificate75@gmail.com; Timestamp: Sep 1 2024 2:41 AM</t>
  </si>
  <si>
    <t xml:space="preserve">AHMAD MURTADHO </t>
  </si>
  <si>
    <t>ahmad.murtadho258@gmail.com</t>
  </si>
  <si>
    <t>2849</t>
  </si>
  <si>
    <t>19n-NcOTUo9ZBa2yOslD986yhoIHdpujb</t>
  </si>
  <si>
    <t>https://drive.google.com/file/d/19n-NcOTUo9ZBa2yOslD986yhoIHdpujb/view?usp=drivesdk</t>
  </si>
  <si>
    <t>Document successfully created; Document successfully merged; PDF created; Emails Sent: [To: ahmad.murtadho258@gmail.com]; Run via form trigger as ecertificate75@gmail.com; Timestamp: Sep 1 2024 2:41 AM</t>
  </si>
  <si>
    <t>MUH. SAHARI S.H.,M.H.</t>
  </si>
  <si>
    <t>subbagpnsmetro@gmail.com</t>
  </si>
  <si>
    <t>2850</t>
  </si>
  <si>
    <t>1eXwxVEKi74FDuPErtPpwFZ7KviTNryhD</t>
  </si>
  <si>
    <t>https://drive.google.com/file/d/1eXwxVEKi74FDuPErtPpwFZ7KviTNryhD/view?usp=drivesdk</t>
  </si>
  <si>
    <t>Document successfully created; Document successfully merged; PDF created; Emails Sent: [To: subbagpnsmetro@gmail.com]; Run via form trigger as ecertificate75@gmail.com; Timestamp: Sep 1 2024 2:41 AM</t>
  </si>
  <si>
    <t>NANIK RETNONINGSIH SETIANI</t>
  </si>
  <si>
    <t>nanik5058@gmail.com</t>
  </si>
  <si>
    <t>2851</t>
  </si>
  <si>
    <t>1Qs588Ae9KJtCdUIjjKBsUamjMuunsRhj</t>
  </si>
  <si>
    <t>https://drive.google.com/file/d/1Qs588Ae9KJtCdUIjjKBsUamjMuunsRhj/view?usp=drivesdk</t>
  </si>
  <si>
    <t>Document successfully created; Document successfully merged; PDF created; Emails Sent: [To: nanik5058@gmail.com]; Run via form trigger as ecertificate75@gmail.com; Timestamp: Sep 1 2024 2:41 AM</t>
  </si>
  <si>
    <t>JOMES, SP</t>
  </si>
  <si>
    <t>jomesjomes08@gmail.com</t>
  </si>
  <si>
    <t>2852</t>
  </si>
  <si>
    <t>1B0p7RrlRSX-Y1NXla-6X2yOjuuNlun_g</t>
  </si>
  <si>
    <t>https://drive.google.com/file/d/1B0p7RrlRSX-Y1NXla-6X2yOjuuNlun_g/view?usp=drivesdk</t>
  </si>
  <si>
    <t>Document successfully created; Document successfully merged; PDF created; Emails Sent: [To: jomesjomes08@gmail.com]; Run via form trigger as ecertificate75@gmail.com; Timestamp: Sep 1 2024 2:42 AM</t>
  </si>
  <si>
    <t>KHAIRUN NISA, S.T, M.Si</t>
  </si>
  <si>
    <t>khairunnisalabfor@gmail.com</t>
  </si>
  <si>
    <t>2853</t>
  </si>
  <si>
    <t>1MbGr1MsnFxP3ZNms7MsUT_nJd3SPgWBT</t>
  </si>
  <si>
    <t>https://drive.google.com/file/d/1MbGr1MsnFxP3ZNms7MsUT_nJd3SPgWBT/view?usp=drivesdk</t>
  </si>
  <si>
    <t>Document successfully created; Document successfully merged; PDF created; Emails Sent: [To: khairunnisalabfor@gmail.com]; Run via form trigger as ecertificate75@gmail.com; Timestamp: Sep 1 2024 2:42 AM</t>
  </si>
  <si>
    <t>LILIK SUJATI.S.Sos,</t>
  </si>
  <si>
    <t>liliksujati14@gmail.com</t>
  </si>
  <si>
    <t>2854</t>
  </si>
  <si>
    <t>1tgOHbwc62ssuWoIz0x19x-Gntwo6dEz2</t>
  </si>
  <si>
    <t>https://drive.google.com/file/d/1tgOHbwc62ssuWoIz0x19x-Gntwo6dEz2/view?usp=drivesdk</t>
  </si>
  <si>
    <t>Document successfully created; Document successfully merged; PDF created; Emails Sent: [To: liliksujati14@gmail.com]; Run via form trigger as ecertificate75@gmail.com; Timestamp: Sep 1 2024 2:42 AM</t>
  </si>
  <si>
    <t>ERLI SANDRA</t>
  </si>
  <si>
    <t>sandranyaheru84@gmail.com</t>
  </si>
  <si>
    <t>2855</t>
  </si>
  <si>
    <t>1_wDFRK0JUpgRYuhgXJb7fI9Ap7BxMaPX</t>
  </si>
  <si>
    <t>https://drive.google.com/file/d/1_wDFRK0JUpgRYuhgXJb7fI9Ap7BxMaPX/view?usp=drivesdk</t>
  </si>
  <si>
    <t>Document successfully created; Document successfully merged; PDF created; Emails Sent: [To: sandranyaheru84@gmail.com]; Run via form trigger as ecertificate75@gmail.com; Timestamp: Sep 1 2024 2:42 AM</t>
  </si>
  <si>
    <t>AGASSI PAMUNGKAS INTIARTO, S.PSI</t>
  </si>
  <si>
    <t>kweentill@gmail.com</t>
  </si>
  <si>
    <t>2856</t>
  </si>
  <si>
    <t>https://drive.google.com/file/d/1xOeFIEv1Zbgwe-aMhdjLxXlmFE0v90qS/view?usp=drivesdk</t>
  </si>
  <si>
    <t>1xOeFIEv1Zbgwe-aMhdjLxXlmFE0v90qS</t>
  </si>
  <si>
    <t>1YzRTHEm1JnFiCUwZP2C39ONJeyi1NMmX</t>
  </si>
  <si>
    <t>https://drive.google.com/file/d/1YzRTHEm1JnFiCUwZP2C39ONJeyi1NMmX/view?usp=drivesdk</t>
  </si>
  <si>
    <t>Document successfully created; Document successfully merged; PDF created; Emails Sent: [To: kweentill@gmail.com]; Run via form trigger as ecertificate75@gmail.com; Timestamp: Sep 1 2024 2:42 AM</t>
  </si>
  <si>
    <t>HJ.NURHAYATI MUHAMMAD</t>
  </si>
  <si>
    <t>nurhayatitujuh7@gmail.com</t>
  </si>
  <si>
    <t>2857</t>
  </si>
  <si>
    <t>https://drive.google.com/file/d/17_iZBVasrSrtnRT-NEQinMMTs9KM7f-w/view?usp=drivesdk</t>
  </si>
  <si>
    <t>17_iZBVasrSrtnRT-NEQinMMTs9KM7f-w</t>
  </si>
  <si>
    <t>1Pj9CKqnNkMxpWumxX-qpnAyJICZp6uIh</t>
  </si>
  <si>
    <t>https://drive.google.com/file/d/1Pj9CKqnNkMxpWumxX-qpnAyJICZp6uIh/view?usp=drivesdk</t>
  </si>
  <si>
    <t>Document successfully created; Document successfully merged; PDF created; Emails Sent: [To: nurhayatitujuh7@gmail.com]; Run via form trigger as ecertificate75@gmail.com; Timestamp: Sep 1 2024 2:43 AM</t>
  </si>
  <si>
    <t>YUNIAR FATMANINGSIH, A. Md. Farm</t>
  </si>
  <si>
    <t>yuniar25sipp@gmail.com</t>
  </si>
  <si>
    <t>2858</t>
  </si>
  <si>
    <t>https://drive.google.com/file/d/1VrHZvQ7-v6l3RyEpa0hc91mVlKiRy5TX/view?usp=drivesdk</t>
  </si>
  <si>
    <t>1VrHZvQ7-v6l3RyEpa0hc91mVlKiRy5TX</t>
  </si>
  <si>
    <t>17z4YtD6P7on_TeJccuZKWSReWITx7dsS</t>
  </si>
  <si>
    <t>https://drive.google.com/file/d/17z4YtD6P7on_TeJccuZKWSReWITx7dsS/view?usp=drivesdk</t>
  </si>
  <si>
    <t>Document successfully created; Document successfully merged; PDF created; Emails Sent: [To: yuniar25sipp@gmail.com]; Run via form trigger as ecertificate75@gmail.com; Timestamp: Sep 1 2024 2:43 AM</t>
  </si>
  <si>
    <t>dr FITA NIRMA LISTYA</t>
  </si>
  <si>
    <t>fythalistya@gmail.com</t>
  </si>
  <si>
    <t>2859</t>
  </si>
  <si>
    <t>https://drive.google.com/file/d/1zxQUGUfckrZXpaRDXRk1Gi0jdh5KQFOn/view?usp=drivesdk</t>
  </si>
  <si>
    <t>1zxQUGUfckrZXpaRDXRk1Gi0jdh5KQFOn</t>
  </si>
  <si>
    <t>1d0P8W86nIQWvcGhVkOyChZJSZD4CUDfK</t>
  </si>
  <si>
    <t>https://drive.google.com/file/d/1d0P8W86nIQWvcGhVkOyChZJSZD4CUDfK/view?usp=drivesdk</t>
  </si>
  <si>
    <t>Document successfully created; Document successfully merged; PDF created; Emails Sent: [To: fythalistya@gmail.com]; Run via form trigger as ecertificate75@gmail.com; Timestamp: Sep 1 2024 2:43 AM</t>
  </si>
  <si>
    <t>EKA KARTIKA APRIANI</t>
  </si>
  <si>
    <t>ekanakeko@gmail.com</t>
  </si>
  <si>
    <t>2860</t>
  </si>
  <si>
    <t>https://drive.google.com/file/d/1gFpvTLYYqCMEDwCopk7lVVCg80rNv8RV/view?usp=drivesdk</t>
  </si>
  <si>
    <t>1gFpvTLYYqCMEDwCopk7lVVCg80rNv8RV</t>
  </si>
  <si>
    <t>1Rk1f7wyKRmM11TbLlwitfxtACov1oNYn</t>
  </si>
  <si>
    <t>https://drive.google.com/file/d/1Rk1f7wyKRmM11TbLlwitfxtACov1oNYn/view?usp=drivesdk</t>
  </si>
  <si>
    <t>Document successfully created; Document successfully merged; PDF created; Emails Sent: [To: ekanakeko@gmail.com]; Run via form trigger as ecertificate75@gmail.com; Timestamp: Sep 1 2024 2:44 AM</t>
  </si>
  <si>
    <t>SETIYANINGSIH</t>
  </si>
  <si>
    <t>ningsihsetiya618@gmail.com</t>
  </si>
  <si>
    <t>2861</t>
  </si>
  <si>
    <t>https://drive.google.com/file/d/1lwUxrdPw3zor0HhgovKXsGUe4T_G1E3s/view?usp=drivesdk</t>
  </si>
  <si>
    <t>1lwUxrdPw3zor0HhgovKXsGUe4T_G1E3s</t>
  </si>
  <si>
    <t>1rgHellSSzarvVtTAnxHXWbT29qqvC0do</t>
  </si>
  <si>
    <t>https://drive.google.com/file/d/1rgHellSSzarvVtTAnxHXWbT29qqvC0do/view?usp=drivesdk</t>
  </si>
  <si>
    <t>Document successfully created; Document successfully merged; PDF created; Emails Sent: [To: ningsihsetiya618@gmail.com]; Run via form trigger as ecertificate75@gmail.com; Timestamp: Sep 1 2024 2:44 AM</t>
  </si>
  <si>
    <t>Niryasti.,S.Si.,M.Si</t>
  </si>
  <si>
    <t>niryasti.yasti@gmail.com</t>
  </si>
  <si>
    <t>2862</t>
  </si>
  <si>
    <t>https://drive.google.com/file/d/1fBt0yyQgdenDfFXp5zA4iOiTxhtYUw4q/view?usp=drivesdk</t>
  </si>
  <si>
    <t>1fBt0yyQgdenDfFXp5zA4iOiTxhtYUw4q</t>
  </si>
  <si>
    <t>1f9DPukBTFGKSxtzSM9YLSYerhBmhtGUm</t>
  </si>
  <si>
    <t>https://drive.google.com/file/d/1f9DPukBTFGKSxtzSM9YLSYerhBmhtGUm/view?usp=drivesdk</t>
  </si>
  <si>
    <t>Document successfully created; Document successfully merged; PDF created; Emails Sent: [To: niryasti.yasti@gmail.com]; Run via form trigger as ecertificate75@gmail.com; Timestamp: Sep 1 2024 2:44 AM</t>
  </si>
  <si>
    <t>SULISTRIANINGSIH</t>
  </si>
  <si>
    <t>sulis.rustam77@gmail.com</t>
  </si>
  <si>
    <t>2863</t>
  </si>
  <si>
    <t>https://drive.google.com/file/d/1qfX8HpU7T2q1dL2MmsP_8U4CcCvvZQN8/view?usp=drivesdk</t>
  </si>
  <si>
    <t>1qfX8HpU7T2q1dL2MmsP_8U4CcCvvZQN8</t>
  </si>
  <si>
    <t>17HvjiKc-_VcXc0ytLMD5v0jkRNp0NH6f</t>
  </si>
  <si>
    <t>https://drive.google.com/file/d/17HvjiKc-_VcXc0ytLMD5v0jkRNp0NH6f/view?usp=drivesdk</t>
  </si>
  <si>
    <t>Document successfully created; Document successfully merged; PDF created; Emails Sent: [To: sulis.rustam77@gmail.com]; Run via form trigger as ecertificate75@gmail.com; Timestamp: Sep 1 2024 3:12 AM</t>
  </si>
  <si>
    <t xml:space="preserve">SUNARTO </t>
  </si>
  <si>
    <t>sunarto1278@gmail.com</t>
  </si>
  <si>
    <t>2864</t>
  </si>
  <si>
    <t>Starting at Thu Aug 29 2024 21:12:25 GMT-0400 (EDT)</t>
  </si>
  <si>
    <t>1qTemYPcAuuuXKsEpkRqprP75zr7CPBQv</t>
  </si>
  <si>
    <t>https://drive.google.com/file/d/1qTemYPcAuuuXKsEpkRqprP75zr7CPBQv/view?usp=drivesdk</t>
  </si>
  <si>
    <t>Document successfully created; Document successfully merged; PDF created; Emails Sent: [To: sunarto1278@gmail.com]; Run via form trigger as ecertificate75@gmail.com; Timestamp: Sep 1 2024 3:12 AM</t>
  </si>
  <si>
    <t>dr. MAS NURA</t>
  </si>
  <si>
    <t>dirgantaralangbaja@gmail.com</t>
  </si>
  <si>
    <t>2865</t>
  </si>
  <si>
    <t>1_RY58YJIUCyL7ucKL1FvADJgl2hPqtSv</t>
  </si>
  <si>
    <t>https://drive.google.com/file/d/1_RY58YJIUCyL7ucKL1FvADJgl2hPqtSv/view?usp=drivesdk</t>
  </si>
  <si>
    <t>Document successfully created; Document successfully merged; PDF created; Emails Sent: [To: dirgantaralangbaja@gmail.com]; Run via form trigger as ecertificate75@gmail.com; Timestamp: Sep 1 2024 3:13 AM</t>
  </si>
  <si>
    <t>SILVIA PUSPANATAN PREMCY, S. Kom</t>
  </si>
  <si>
    <t>silviappremcy@gmail.com</t>
  </si>
  <si>
    <t>2866</t>
  </si>
  <si>
    <t>https://drive.google.com/file/d/1U2FEfGgMDbGDbPF-bmv5CRfGg_T1JhZh/view?usp=drivesdk</t>
  </si>
  <si>
    <t>1U2FEfGgMDbGDbPF-bmv5CRfGg_T1JhZh</t>
  </si>
  <si>
    <t>1hBAsvyZoDxy7_JdpaMl22IbsEURzJ5ug</t>
  </si>
  <si>
    <t>https://drive.google.com/file/d/1hBAsvyZoDxy7_JdpaMl22IbsEURzJ5ug/view?usp=drivesdk</t>
  </si>
  <si>
    <t>Document successfully created; Document successfully merged; PDF created; Emails Sent: [To: silviappremcy@gmail.com]; Run via form trigger as ecertificate75@gmail.com; Timestamp: Sep 1 2024 3:13 AM</t>
  </si>
  <si>
    <t>BUDI HARSONO</t>
  </si>
  <si>
    <t>budiharsonoaja@gmail.com</t>
  </si>
  <si>
    <t>2867</t>
  </si>
  <si>
    <t>https://drive.google.com/file/d/14P1qYep2B1bJFBcYnL-aNYccNO4voQRv/view?usp=drivesdk</t>
  </si>
  <si>
    <t>14P1qYep2B1bJFBcYnL-aNYccNO4voQRv</t>
  </si>
  <si>
    <t>1odAfiZDhjny1-e2YaTsslCI2hn1V-1PP</t>
  </si>
  <si>
    <t>https://drive.google.com/file/d/1odAfiZDhjny1-e2YaTsslCI2hn1V-1PP/view?usp=drivesdk</t>
  </si>
  <si>
    <t>Document successfully created; Document successfully merged; PDF created; Emails Sent: [To: budiharsonoaja@gmail.com]; Run via form trigger as ecertificate75@gmail.com; Timestamp: Sep 1 2024 3:13 AM</t>
  </si>
  <si>
    <t>EFFENDI</t>
  </si>
  <si>
    <t>effendi26024061@gmail.com</t>
  </si>
  <si>
    <t>2868</t>
  </si>
  <si>
    <t>https://drive.google.com/file/d/149TGvmVuSrwgmd0bqhy7YkIkbSrexJw2/view?usp=drivesdk</t>
  </si>
  <si>
    <t>149TGvmVuSrwgmd0bqhy7YkIkbSrexJw2</t>
  </si>
  <si>
    <t>1xkcFipvoGLQreOTjiP_EvRM_kaZhfPdn</t>
  </si>
  <si>
    <t>https://drive.google.com/file/d/1xkcFipvoGLQreOTjiP_EvRM_kaZhfPdn/view?usp=drivesdk</t>
  </si>
  <si>
    <t>Document successfully created; Document successfully merged; PDF created; Emails Sent: [To: effendi26024061@gmail.com]; Run via form trigger as ecertificate75@gmail.com; Timestamp: Sep 1 2024 3:13 AM</t>
  </si>
  <si>
    <t>ASN LINDA</t>
  </si>
  <si>
    <t>Lindabonasir02@gmail.com</t>
  </si>
  <si>
    <t>2869</t>
  </si>
  <si>
    <t>https://drive.google.com/file/d/1nfZQMDRvYFSR8JgdY8l5g2Rkm-nvTJaI/view?usp=drivesdk</t>
  </si>
  <si>
    <t>1nfZQMDRvYFSR8JgdY8l5g2Rkm-nvTJaI</t>
  </si>
  <si>
    <t>1s_Ufa0p_AFsSH6bXVb0qe7yVn3nformq</t>
  </si>
  <si>
    <t>https://drive.google.com/file/d/1s_Ufa0p_AFsSH6bXVb0qe7yVn3nformq/view?usp=drivesdk</t>
  </si>
  <si>
    <t>Document successfully created; Document successfully merged; PDF created; Emails Sent: [To: Lindabonasir02@gmail.com]; Run via form trigger as ecertificate75@gmail.com; Timestamp: Sep 1 2024 3:14 AM</t>
  </si>
  <si>
    <t>DENI APRILOWATI PURWANINGSIH</t>
  </si>
  <si>
    <t>deniaprilowatip@gmail.com</t>
  </si>
  <si>
    <t>2870</t>
  </si>
  <si>
    <t>https://drive.google.com/file/d/1V-dYPW8rDOsVec7XOok4jT1o9zYRiWF7/view?usp=drivesdk</t>
  </si>
  <si>
    <t>1V-dYPW8rDOsVec7XOok4jT1o9zYRiWF7</t>
  </si>
  <si>
    <t>1hCfJRGJ3Wv37y3pk-FiCgAO42r4ma1yX</t>
  </si>
  <si>
    <t>https://drive.google.com/file/d/1hCfJRGJ3Wv37y3pk-FiCgAO42r4ma1yX/view?usp=drivesdk</t>
  </si>
  <si>
    <t>Document successfully created; Document successfully merged; PDF created; Emails Sent: [To: deniaprilowatip@gmail.com]; Run via form trigger as ecertificate75@gmail.com; Timestamp: Sep 1 2024 3:14 AM</t>
  </si>
  <si>
    <t xml:space="preserve">SONIE LUCKITA KURNIAWAN </t>
  </si>
  <si>
    <t>sonieluckita93@gmail.com</t>
  </si>
  <si>
    <t>2871</t>
  </si>
  <si>
    <t>Starting at Thu Aug 29 2024 21:12:30 GMT-0400 (EDT)</t>
  </si>
  <si>
    <t>17pItY68AUcGI-03ikNnhXnXzMPJ8HKmh</t>
  </si>
  <si>
    <t>https://drive.google.com/file/d/17pItY68AUcGI-03ikNnhXnXzMPJ8HKmh/view?usp=drivesdk</t>
  </si>
  <si>
    <t>YAYAN NURYAMAH</t>
  </si>
  <si>
    <t>yayannuryamah12@gmail.com</t>
  </si>
  <si>
    <t>2872</t>
  </si>
  <si>
    <t>1QA_b4hRV_okrj2E8KZTTiyapqnV4FwCn</t>
  </si>
  <si>
    <t>https://drive.google.com/file/d/1QA_b4hRV_okrj2E8KZTTiyapqnV4FwCn/view?usp=drivesdk</t>
  </si>
  <si>
    <t>csbirin0@gmail.com</t>
  </si>
  <si>
    <t>2873</t>
  </si>
  <si>
    <t>1VIsHDHOMYv64p8BIQIY8SiC3Bzsb32NU</t>
  </si>
  <si>
    <t>https://drive.google.com/file/d/1VIsHDHOMYv64p8BIQIY8SiC3Bzsb32NU/view?usp=drivesdk</t>
  </si>
  <si>
    <t>Document successfully created; Document successfully merged; PDF created; !!Error Sending Emails: Service invoked too many times for one day: email.; Run via form trigger as ecertificate75@gmail.com; Timestamp: Aug 31 2024 8:42 AM</t>
  </si>
  <si>
    <t xml:space="preserve">NENY TRIYANA </t>
  </si>
  <si>
    <t>nenytriyana2020@gmail.com</t>
  </si>
  <si>
    <t>2874</t>
  </si>
  <si>
    <t>1h9rhi3Etyul48mq1fbuPTiYV-SwDDXoS</t>
  </si>
  <si>
    <t>https://drive.google.com/file/d/1h9rhi3Etyul48mq1fbuPTiYV-SwDDXoS/view?usp=drivesdk</t>
  </si>
  <si>
    <t>EKA LUCKY HARDYANTO</t>
  </si>
  <si>
    <t>eka.hardyanto94@gmail.com</t>
  </si>
  <si>
    <t>2875</t>
  </si>
  <si>
    <t>1m1jdvR688RRFXaFLyUqvSp0oafPi2qrj</t>
  </si>
  <si>
    <t>https://drive.google.com/file/d/1m1jdvR688RRFXaFLyUqvSp0oafPi2qrj/view?usp=drivesdk</t>
  </si>
  <si>
    <t>LIDIANTI</t>
  </si>
  <si>
    <t>Lidiajaqisra81@gmai.com</t>
  </si>
  <si>
    <t>2876</t>
  </si>
  <si>
    <t>https://drive.google.com/file/d/1__EDXY16Q1nmIRAJs0cxAH073bmps01q/view?usp=drivesdk</t>
  </si>
  <si>
    <t>1__EDXY16Q1nmIRAJs0cxAH073bmps01q</t>
  </si>
  <si>
    <t>1NhBYnwBpKVBXYc86rhC9WuaIFcH3mtpc</t>
  </si>
  <si>
    <t>https://drive.google.com/file/d/1NhBYnwBpKVBXYc86rhC9WuaIFcH3mtpc/view?usp=drivesdk</t>
  </si>
  <si>
    <t xml:space="preserve">MOCHAMMAD SAFEI </t>
  </si>
  <si>
    <t>kasiumpolsekleles@gmail.com</t>
  </si>
  <si>
    <t>2877</t>
  </si>
  <si>
    <t>https://drive.google.com/file/d/1Gzoa6HTbk83toBJX1eRo7mMxJsbg37lK/view?usp=drivesdk</t>
  </si>
  <si>
    <t>1Gzoa6HTbk83toBJX1eRo7mMxJsbg37lK</t>
  </si>
  <si>
    <t>1R8SWAZ2LNMkw2ZJruaD-JsPSqUt-ggl9</t>
  </si>
  <si>
    <t>https://drive.google.com/file/d/1R8SWAZ2LNMkw2ZJruaD-JsPSqUt-ggl9/view?usp=drivesdk</t>
  </si>
  <si>
    <t>Document successfully created; Document successfully merged; PDF created; !!Error Sending Emails: Service invoked too many times for one day: email.; Run via form trigger as ecertificate75@gmail.com; Timestamp: Aug 31 2024 8:43 AM</t>
  </si>
  <si>
    <t>YATI NUI HURUSANI</t>
  </si>
  <si>
    <t>yatinui913@gmail.com</t>
  </si>
  <si>
    <t>2878</t>
  </si>
  <si>
    <t>https://drive.google.com/file/d/1t7PzDxQMtNrwDHiDSDgVzAOH0xtCNENf/view?usp=drivesdk</t>
  </si>
  <si>
    <t>1t7PzDxQMtNrwDHiDSDgVzAOH0xtCNENf</t>
  </si>
  <si>
    <t>1Mj8gKFzPnWdt4AZ9FaloZ_9EKMjthtuZ</t>
  </si>
  <si>
    <t>https://drive.google.com/file/d/1Mj8gKFzPnWdt4AZ9FaloZ_9EKMjthtuZ/view?usp=drivesdk</t>
  </si>
  <si>
    <t>TUMINI</t>
  </si>
  <si>
    <t>minminii4297@gmail.com</t>
  </si>
  <si>
    <t>2879</t>
  </si>
  <si>
    <t>https://drive.google.com/file/d/12MDGOgm5C8uPH5DsvHpx5KUWossSwiiO/view?usp=drivesdk</t>
  </si>
  <si>
    <t>12MDGOgm5C8uPH5DsvHpx5KUWossSwiiO</t>
  </si>
  <si>
    <t>1AD3jLKueUa6XBQV0SThneltejinigEP9</t>
  </si>
  <si>
    <t>https://drive.google.com/file/d/1AD3jLKueUa6XBQV0SThneltejinigEP9/view?usp=drivesdk</t>
  </si>
  <si>
    <t xml:space="preserve">YANTO AJA </t>
  </si>
  <si>
    <t>silminurulaulia904@gmail.com</t>
  </si>
  <si>
    <t>2880</t>
  </si>
  <si>
    <t>https://drive.google.com/file/d/1syFs3vxBeZd551T3HYSZD47hDWxHYA1o/view?usp=drivesdk</t>
  </si>
  <si>
    <t>1syFs3vxBeZd551T3HYSZD47hDWxHYA1o</t>
  </si>
  <si>
    <t>1w9DITIu802oIGKipXEsGF9z8xGJYDCQl</t>
  </si>
  <si>
    <t>https://drive.google.com/file/d/1w9DITIu802oIGKipXEsGF9z8xGJYDCQl/view?usp=drivesdk</t>
  </si>
  <si>
    <t>ARNASIH</t>
  </si>
  <si>
    <t>nanungkomarodin72@gmail.com</t>
  </si>
  <si>
    <t>2881</t>
  </si>
  <si>
    <t>https://drive.google.com/file/d/1BR-a4ZDEdIJxnUn0w6OU7oSOpYQCCwrP/view?usp=drivesdk</t>
  </si>
  <si>
    <t>1BR-a4ZDEdIJxnUn0w6OU7oSOpYQCCwrP</t>
  </si>
  <si>
    <t>1uMW73rSglbzUKgB5N7b7B9OY0kFYT7Ax</t>
  </si>
  <si>
    <t>https://drive.google.com/file/d/1uMW73rSglbzUKgB5N7b7B9OY0kFYT7Ax/view?usp=drivesdk</t>
  </si>
  <si>
    <t>Document successfully created; Document successfully merged; PDF created; !!Error Sending Emails: Service invoked too many times for one day: email.; Run via form trigger as ecertificate75@gmail.com; Timestamp: Aug 31 2024 8:44 AM</t>
  </si>
  <si>
    <t>REVY SAEPUROHMAN,S.Pd</t>
  </si>
  <si>
    <t>revysaepurohman@gmail.com</t>
  </si>
  <si>
    <t>2882</t>
  </si>
  <si>
    <t>https://drive.google.com/file/d/1qCSwYK6rEVAwrxvFFgzF1PAilLaKHEmS/view?usp=drivesdk</t>
  </si>
  <si>
    <t>1qCSwYK6rEVAwrxvFFgzF1PAilLaKHEmS</t>
  </si>
  <si>
    <t>1dA4z9g66Dbnwx90DY9VTcAHxhSqfbEVL</t>
  </si>
  <si>
    <t>https://drive.google.com/file/d/1dA4z9g66Dbnwx90DY9VTcAHxhSqfbEVL/view?usp=drivesdk</t>
  </si>
  <si>
    <t>hartini.jayapura@gmail.com</t>
  </si>
  <si>
    <t>2883</t>
  </si>
  <si>
    <t>https://drive.google.com/file/d/1sVA3Qrx3cpZ41HWZqVlozVtXVNp8Le8-/view?usp=drivesdk</t>
  </si>
  <si>
    <t>1sVA3Qrx3cpZ41HWZqVlozVtXVNp8Le8-</t>
  </si>
  <si>
    <t>1LPJBq2-MdgdO5CiNCHstoOI9Q70Sfj7j</t>
  </si>
  <si>
    <t>https://drive.google.com/file/d/1LPJBq2-MdgdO5CiNCHstoOI9Q70Sfj7j/view?usp=drivesdk</t>
  </si>
  <si>
    <t>ALFAUZUN, SE</t>
  </si>
  <si>
    <t>alfauzun2@gmail.com</t>
  </si>
  <si>
    <t>2884</t>
  </si>
  <si>
    <t>Starting at Thu Aug 29 2024 21:12:37 GMT-0400 (EDT)</t>
  </si>
  <si>
    <t>1CN-3LrjIexhSXJxkenplSHHlKnyjanm6</t>
  </si>
  <si>
    <t>https://drive.google.com/file/d/1CN-3LrjIexhSXJxkenplSHHlKnyjanm6/view?usp=drivesdk</t>
  </si>
  <si>
    <t>TARKUM, S.AP</t>
  </si>
  <si>
    <t>tarkumahmad@gmail.com</t>
  </si>
  <si>
    <t>2885</t>
  </si>
  <si>
    <t>1GeIOpEIkOIwFOQeEb2MjVqBHSm28Xy5M</t>
  </si>
  <si>
    <t>https://drive.google.com/file/d/1GeIOpEIkOIwFOQeEb2MjVqBHSm28Xy5M/view?usp=drivesdk</t>
  </si>
  <si>
    <t>Document successfully created; Document successfully merged; PDF created; !!Error Sending Emails: Service invoked too many times for one day: email.; Run via form trigger as ecertificate75@gmail.com; Timestamp: Aug 31 2024 8:45 AM</t>
  </si>
  <si>
    <t>BINTI SAMSUNIAH</t>
  </si>
  <si>
    <t>samsuniahwlg@gmail.com</t>
  </si>
  <si>
    <t>2886</t>
  </si>
  <si>
    <t>1nTrZfsbeNSVkac28VBMOGpueBqbwafdl</t>
  </si>
  <si>
    <t>https://drive.google.com/file/d/1nTrZfsbeNSVkac28VBMOGpueBqbwafdl/view?usp=drivesdk</t>
  </si>
  <si>
    <t xml:space="preserve">ASRIAH </t>
  </si>
  <si>
    <t>asriahhasan80@gmail.com</t>
  </si>
  <si>
    <t>2887</t>
  </si>
  <si>
    <t>1MVjNgHCoXd4evzqtEO3GMHVhvj8tMSZ1</t>
  </si>
  <si>
    <t>https://drive.google.com/file/d/1MVjNgHCoXd4evzqtEO3GMHVhvj8tMSZ1/view?usp=drivesdk</t>
  </si>
  <si>
    <t>TRi YULIA ANGGRAINI, S.Hut., M.M.</t>
  </si>
  <si>
    <t>tri.yulia.anggraini.85@gmail.com</t>
  </si>
  <si>
    <t>2888</t>
  </si>
  <si>
    <t>1phud1TWepyHkCsDA3g_0D-QvuPqFpcJU</t>
  </si>
  <si>
    <t>https://drive.google.com/file/d/1phud1TWepyHkCsDA3g_0D-QvuPqFpcJU/view?usp=drivesdk</t>
  </si>
  <si>
    <t>BUDI WASKITO</t>
  </si>
  <si>
    <t>buwaskik@gmail.com</t>
  </si>
  <si>
    <t>2889</t>
  </si>
  <si>
    <t>1jFn-WWrDidk4EMh513rY_DxgoqG52DZR</t>
  </si>
  <si>
    <t>https://drive.google.com/file/d/1jFn-WWrDidk4EMh513rY_DxgoqG52DZR/view?usp=drivesdk</t>
  </si>
  <si>
    <t>WINDI DIANA, S.SOS</t>
  </si>
  <si>
    <t>windidiana2017@gmail.com</t>
  </si>
  <si>
    <t>2890</t>
  </si>
  <si>
    <t>1OmvOzqzUXlDaWXeRu1L86W7e4UdrA8WK</t>
  </si>
  <si>
    <t>https://drive.google.com/file/d/1OmvOzqzUXlDaWXeRu1L86W7e4UdrA8WK/view?usp=drivesdk</t>
  </si>
  <si>
    <t>Document successfully created; Document successfully merged; PDF created; !!Error Sending Emails: Service invoked too many times for one day: email.; Run via form trigger as ecertificate75@gmail.com; Timestamp: Aug 31 2024 8:46 AM</t>
  </si>
  <si>
    <t xml:space="preserve">NOVI NILASARI, S. E. </t>
  </si>
  <si>
    <t>novinila72@gmail.com</t>
  </si>
  <si>
    <t>2891</t>
  </si>
  <si>
    <t>1tQyZGPEyWcr9ImYO5UaJ5vqGGH-eHBEP</t>
  </si>
  <si>
    <t>https://drive.google.com/file/d/1tQyZGPEyWcr9ImYO5UaJ5vqGGH-eHBEP/view?usp=drivesdk</t>
  </si>
  <si>
    <t>drg. DESSY SUKOWATI</t>
  </si>
  <si>
    <t>dessysuko76@gmail.com</t>
  </si>
  <si>
    <t>2892</t>
  </si>
  <si>
    <t>1hFWqWAZC8T5f8U7AshO7dhG8SwgCxGwy</t>
  </si>
  <si>
    <t>https://drive.google.com/file/d/1hFWqWAZC8T5f8U7AshO7dhG8SwgCxGwy/view?usp=drivesdk</t>
  </si>
  <si>
    <t>Document successfully created; Document successfully merged; PDF created; Emails Sent: [To: dessysuko76@gmail.com]; Run via form trigger as ecertificate75@gmail.com; Timestamp: Sep 1 2024 3:14 AM</t>
  </si>
  <si>
    <t>Bapak KARNO</t>
  </si>
  <si>
    <t>karno.lantas@gmail.com</t>
  </si>
  <si>
    <t>2893</t>
  </si>
  <si>
    <t>1qetzAnGAQHYYUcJn4ya0bQ8e-VRT1wJr</t>
  </si>
  <si>
    <t>https://drive.google.com/file/d/1qetzAnGAQHYYUcJn4ya0bQ8e-VRT1wJr/view?usp=drivesdk</t>
  </si>
  <si>
    <t>Document successfully created; Document successfully merged; PDF created; Emails Sent: [To: karno.lantas@gmail.com]; Run via form trigger as ecertificate75@gmail.com; Timestamp: Sep 1 2024 3:14 AM</t>
  </si>
  <si>
    <t>TIMI ASRANA.Amd,Kep</t>
  </si>
  <si>
    <t>timi.septia@gmail.com</t>
  </si>
  <si>
    <t>2894</t>
  </si>
  <si>
    <t>1hRmUOHqbHIwBVaUGmHl6BzLTFSE4hV4B</t>
  </si>
  <si>
    <t>https://drive.google.com/file/d/1hRmUOHqbHIwBVaUGmHl6BzLTFSE4hV4B/view?usp=drivesdk</t>
  </si>
  <si>
    <t>Document successfully created; Document successfully merged; PDF created; Emails Sent: [To: timi.septia@gmail.com]; Run via form trigger as ecertificate75@gmail.com; Timestamp: Sep 1 2024 3:15 AM</t>
  </si>
  <si>
    <t>Dwi Retno Juliati</t>
  </si>
  <si>
    <t>wiwiksweeto71@gmail.com</t>
  </si>
  <si>
    <t>2895</t>
  </si>
  <si>
    <t>https://drive.google.com/file/d/1ln_hma5M4oUQmfCN3bKP0T1OivDMs_zH/view?usp=drivesdk</t>
  </si>
  <si>
    <t>1ln_hma5M4oUQmfCN3bKP0T1OivDMs_zH</t>
  </si>
  <si>
    <t>1a2Lnvate5ISAV6VuW1KZPU1bRCp1IHZ1</t>
  </si>
  <si>
    <t>https://drive.google.com/file/d/1a2Lnvate5ISAV6VuW1KZPU1bRCp1IHZ1/view?usp=drivesdk</t>
  </si>
  <si>
    <t>Document successfully created; Document successfully merged; PDF created; Emails Sent: [To: wiwiksweeto71@gmail.com]; Run via form trigger as ecertificate75@gmail.com; Timestamp: Sep 1 2024 3:15 AM</t>
  </si>
  <si>
    <t>HETTY SUTRINI</t>
  </si>
  <si>
    <t>hettysutrini80@gmail.com</t>
  </si>
  <si>
    <t>2896</t>
  </si>
  <si>
    <t>https://drive.google.com/file/d/1-7YXegD1lSOhYmZegCZhybPFXefkC5JD/view?usp=drivesdk</t>
  </si>
  <si>
    <t>1-7YXegD1lSOhYmZegCZhybPFXefkC5JD</t>
  </si>
  <si>
    <t>1A53YTNy8DJ5QOFJK1FbQzKs7KT-p4Pgp</t>
  </si>
  <si>
    <t>https://drive.google.com/file/d/1A53YTNy8DJ5QOFJK1FbQzKs7KT-p4Pgp/view?usp=drivesdk</t>
  </si>
  <si>
    <t>Document successfully created; Document successfully merged; PDF created; Emails Sent: [To: hettysutrini80@gmail.com]; Run via form trigger as ecertificate75@gmail.com; Timestamp: Sep 1 2024 3:15 AM</t>
  </si>
  <si>
    <t>TRI DARMAWAN</t>
  </si>
  <si>
    <t>ikundarmawan@yahoo.co.id</t>
  </si>
  <si>
    <t>2897</t>
  </si>
  <si>
    <t>https://drive.google.com/file/d/1ThtNLwUBBbyzL1BJG-l-0QKsGFKAe30U/view?usp=drivesdk</t>
  </si>
  <si>
    <t>1ThtNLwUBBbyzL1BJG-l-0QKsGFKAe30U</t>
  </si>
  <si>
    <t>1mTEcZfKuU0mtpLrZ5OxHPbpdBpDrNdaZ</t>
  </si>
  <si>
    <t>https://drive.google.com/file/d/1mTEcZfKuU0mtpLrZ5OxHPbpdBpDrNdaZ/view?usp=drivesdk</t>
  </si>
  <si>
    <t>Document successfully created; Document successfully merged; PDF created; Emails Sent: [To: ikundarmawan@yahoo.co.id]; Run via form trigger as ecertificate75@gmail.com; Timestamp: Sep 1 2024 3:15 AM</t>
  </si>
  <si>
    <t xml:space="preserve">DARNIATI </t>
  </si>
  <si>
    <t>darniatidede919@gmail.com</t>
  </si>
  <si>
    <t>2898</t>
  </si>
  <si>
    <t>https://drive.google.com/file/d/1dgdoXb56MstXb5hKb4lU3faOXSqXgK9d/view?usp=drivesdk</t>
  </si>
  <si>
    <t>1dgdoXb56MstXb5hKb4lU3faOXSqXgK9d</t>
  </si>
  <si>
    <t>1nbx8Orr52BhJvsoSCK4qnALLZvsfYv0b</t>
  </si>
  <si>
    <t>https://drive.google.com/file/d/1nbx8Orr52BhJvsoSCK4qnALLZvsfYv0b/view?usp=drivesdk</t>
  </si>
  <si>
    <t>Document successfully created; Document successfully merged; PDF created; Emails Sent: [To: darniatidede919@gmail.com]; Run via form trigger as ecertificate75@gmail.com; Timestamp: Sep 1 2024 3:15 AM</t>
  </si>
  <si>
    <t>SITI ROHANI</t>
  </si>
  <si>
    <t>rohani.siti.suci@gmail.com</t>
  </si>
  <si>
    <t>2899</t>
  </si>
  <si>
    <t>https://drive.google.com/file/d/12fgHm-kFUcfj0yTDPSS4HKRI9vnl4JAQ/view?usp=drivesdk</t>
  </si>
  <si>
    <t>Document successfully created; Document successfully merged; PDF created; !!Error Sending Emails: Service invoked too many times for one day: email.; Run via form trigger as ecertificate75@gmail.com; Timestamp: Aug 29 2024 9:14 PM</t>
  </si>
  <si>
    <t>12fgHm-kFUcfj0yTDPSS4HKRI9vnl4JAQ</t>
  </si>
  <si>
    <t>18s8uF0osazo3Iz_-YbYVqxewf1A-tuTO</t>
  </si>
  <si>
    <t>https://drive.google.com/file/d/18s8uF0osazo3Iz_-YbYVqxewf1A-tuTO/view?usp=drivesdk</t>
  </si>
  <si>
    <t>Document successfully created; Document successfully merged; PDF created; Emails Sent: [To: rohani.siti.suci@gmail.com]; Run via form trigger as ecertificate75@gmail.com; Timestamp: Sep 1 2024 3:16 AM</t>
  </si>
  <si>
    <t>RUSTIWAN, S. KOM.</t>
  </si>
  <si>
    <t>IWENKS84@GMAIL.COM</t>
  </si>
  <si>
    <t>2900</t>
  </si>
  <si>
    <t>https://drive.google.com/file/d/1YbJYNHXJNtNNsjVGeEoQ7noufIsT4XT1/view?usp=drivesdk</t>
  </si>
  <si>
    <t>1YbJYNHXJNtNNsjVGeEoQ7noufIsT4XT1</t>
  </si>
  <si>
    <t>1fglQErc3FFWMVvZPauWUedJMPORKi_pW</t>
  </si>
  <si>
    <t>https://drive.google.com/file/d/1fglQErc3FFWMVvZPauWUedJMPORKi_pW/view?usp=drivesdk</t>
  </si>
  <si>
    <t>Document successfully created; Document successfully merged; PDF created; Emails Sent: [To: IWENKS84@GMAIL.COM]; Run via form trigger as ecertificate75@gmail.com; Timestamp: Sep 1 2024 3:16 AM</t>
  </si>
  <si>
    <t>LENI MEILINDA, S. M</t>
  </si>
  <si>
    <t>l.meilinda85@gmail.com</t>
  </si>
  <si>
    <t>2901</t>
  </si>
  <si>
    <t>Starting at Thu Aug 29 2024 21:12:39 GMT-0400 (EDT)</t>
  </si>
  <si>
    <t>11cyAYkH1WO2TpRY1kcanXRVPMzwCn90I</t>
  </si>
  <si>
    <t>https://drive.google.com/file/d/11cyAYkH1WO2TpRY1kcanXRVPMzwCn90I/view?usp=drivesdk</t>
  </si>
  <si>
    <t>Document successfully created; Document successfully merged; PDF created; Emails Sent: [To: l.meilinda85@gmail.com]; Run via form trigger as ecertificate75@gmail.com; Timestamp: Sep 1 2024 3:16 AM</t>
  </si>
  <si>
    <t>YULUANTI</t>
  </si>
  <si>
    <t>yuliantidelima@gmail.com</t>
  </si>
  <si>
    <t>2902</t>
  </si>
  <si>
    <t>1tEOPXMgGJSCVnSgu2eQd5ldz_D6frj39</t>
  </si>
  <si>
    <t>https://drive.google.com/file/d/1tEOPXMgGJSCVnSgu2eQd5ldz_D6frj39/view?usp=drivesdk</t>
  </si>
  <si>
    <t>Document successfully created; Document successfully merged; PDF created; Emails Sent: [To: yuliantidelima@gmail.com]; Run via form trigger as ecertificate75@gmail.com; Timestamp: Sep 1 2024 3:16 AM</t>
  </si>
  <si>
    <t xml:space="preserve">MUJIADI </t>
  </si>
  <si>
    <t>mujiadi2907@gmail.com</t>
  </si>
  <si>
    <t>2903</t>
  </si>
  <si>
    <t>1cxOfd7SU4w462H43Ia12XEr3gqtcpGic</t>
  </si>
  <si>
    <t>https://drive.google.com/file/d/1cxOfd7SU4w462H43Ia12XEr3gqtcpGic/view?usp=drivesdk</t>
  </si>
  <si>
    <t>Document successfully created; Document successfully merged; PDF created; Emails Sent: [To: mujiadi2907@gmail.com]; Run via form trigger as ecertificate75@gmail.com; Timestamp: Sep 1 2024 3:17 AM</t>
  </si>
  <si>
    <t>DASTI RIZAL</t>
  </si>
  <si>
    <t>dastirizal1968@gmail.com</t>
  </si>
  <si>
    <t>2904</t>
  </si>
  <si>
    <t>1crTeOwL1xTTV_4UdfYsPPOA_IVd0Vv1R</t>
  </si>
  <si>
    <t>https://drive.google.com/file/d/1crTeOwL1xTTV_4UdfYsPPOA_IVd0Vv1R/view?usp=drivesdk</t>
  </si>
  <si>
    <t>Document successfully created; Document successfully merged; PDF created; Emails Sent: [To: dastirizal1968@gmail.com]; Run via form trigger as ecertificate75@gmail.com; Timestamp: Sep 1 2024 5:31 AM</t>
  </si>
  <si>
    <t>ADIYANTO</t>
  </si>
  <si>
    <t>adybagan017@gmail.com</t>
  </si>
  <si>
    <t>2905</t>
  </si>
  <si>
    <t>https://drive.google.com/file/d/1SjzAWl-WLTKQwh7BQ3TYHBip1ORQBfsY/view?usp=drivesdk</t>
  </si>
  <si>
    <t>1SjzAWl-WLTKQwh7BQ3TYHBip1ORQBfsY</t>
  </si>
  <si>
    <t>1tmuVDA6aq2zMDhQSfAJEB3Ew1dZepTF7</t>
  </si>
  <si>
    <t>https://drive.google.com/file/d/1tmuVDA6aq2zMDhQSfAJEB3Ew1dZepTF7/view?usp=drivesdk</t>
  </si>
  <si>
    <t>Document successfully created; Document successfully merged; PDF created; Emails Sent: [To: adybagan017@gmail.com]; Run via form trigger as ecertificate75@gmail.com; Timestamp: Sep 1 2024 5:31 AM</t>
  </si>
  <si>
    <t>KUSNUL IVASARI</t>
  </si>
  <si>
    <t>kusnulivasari@gmail.com</t>
  </si>
  <si>
    <t>2906</t>
  </si>
  <si>
    <t>https://drive.google.com/file/d/1f5wntPBtuAhfZHTgzOFcywBG_bdjILnp/view?usp=drivesdk</t>
  </si>
  <si>
    <t>1f5wntPBtuAhfZHTgzOFcywBG_bdjILnp</t>
  </si>
  <si>
    <t>1cL3EDSIN87pp1s3b72VUJ-uOgV9suMAQ</t>
  </si>
  <si>
    <t>https://drive.google.com/file/d/1cL3EDSIN87pp1s3b72VUJ-uOgV9suMAQ/view?usp=drivesdk</t>
  </si>
  <si>
    <t>Document successfully created; Document successfully merged; PDF created; Emails Sent: [To: kusnulivasari@gmail.com]; Run via form trigger as ecertificate75@gmail.com; Timestamp: Sep 1 2024 5:32 AM</t>
  </si>
  <si>
    <t>AYU ULAN DARI</t>
  </si>
  <si>
    <t>ayoeulan@gmail.com</t>
  </si>
  <si>
    <t>2907</t>
  </si>
  <si>
    <t>https://drive.google.com/file/d/1DgkmteweDRn62q21pSJHrhqt9g4m5gSb/view?usp=drivesdk</t>
  </si>
  <si>
    <t>1DgkmteweDRn62q21pSJHrhqt9g4m5gSb</t>
  </si>
  <si>
    <t>1eZ3GdfZi46Jvj_BqpaSN-3-J1iDErvcy</t>
  </si>
  <si>
    <t>https://drive.google.com/file/d/1eZ3GdfZi46Jvj_BqpaSN-3-J1iDErvcy/view?usp=drivesdk</t>
  </si>
  <si>
    <t>Document successfully created; Document successfully merged; PDF created; Emails Sent: [To: ayoeulan@gmail.com]; Run via form trigger as ecertificate75@gmail.com; Timestamp: Sep 1 2024 5:32 AM</t>
  </si>
  <si>
    <t>RIZKI AFRILYANTI</t>
  </si>
  <si>
    <t>Rizkiafrilyanti111@gmail.com</t>
  </si>
  <si>
    <t>2908</t>
  </si>
  <si>
    <t>https://drive.google.com/file/d/1fcrIK29kpu7tl-P80fRqfLJXVFb1rNqd/view?usp=drivesdk</t>
  </si>
  <si>
    <t>1fcrIK29kpu7tl-P80fRqfLJXVFb1rNqd</t>
  </si>
  <si>
    <t>1qNgVmhpKfixEe6umkxMybEXKoC8uRXff</t>
  </si>
  <si>
    <t>https://drive.google.com/file/d/1qNgVmhpKfixEe6umkxMybEXKoC8uRXff/view?usp=drivesdk</t>
  </si>
  <si>
    <t>Document successfully created; Document successfully merged; PDF created; Emails Sent: [To: Rizkiafrilyanti111@gmail.com]; Run via form trigger as ecertificate75@gmail.com; Timestamp: Sep 1 2024 5:32 AM</t>
  </si>
  <si>
    <t>EKA IRIANAWATI</t>
  </si>
  <si>
    <t>Kkharin99@gmail.com</t>
  </si>
  <si>
    <t>2909</t>
  </si>
  <si>
    <t>https://drive.google.com/file/d/1NddDxwaSCphN4-fUYseLX7UN9Nn_RuYt/view?usp=drivesdk</t>
  </si>
  <si>
    <t>1NddDxwaSCphN4-fUYseLX7UN9Nn_RuYt</t>
  </si>
  <si>
    <t>1OPuBhveKGe4BhgsAd8XK6506jj0_lMwn</t>
  </si>
  <si>
    <t>https://drive.google.com/file/d/1OPuBhveKGe4BhgsAd8XK6506jj0_lMwn/view?usp=drivesdk</t>
  </si>
  <si>
    <t>Document successfully created; Document successfully merged; PDF created; Emails Sent: [To: Kkharin99@gmail.com]; Run via form trigger as ecertificate75@gmail.com; Timestamp: Sep 1 2024 5:32 AM</t>
  </si>
  <si>
    <t xml:space="preserve">RIYADI AGUS SUSWOYO </t>
  </si>
  <si>
    <t>riyadiagus1982@gmail.com</t>
  </si>
  <si>
    <t>2910</t>
  </si>
  <si>
    <t>https://drive.google.com/file/d/1LF8xPJ-JLdnWt54lh85Z0WtXZDFeOZDG/view?usp=drivesdk</t>
  </si>
  <si>
    <t>1LF8xPJ-JLdnWt54lh85Z0WtXZDFeOZDG</t>
  </si>
  <si>
    <t>1ndQcbbJEsieRFZ6_QXvUvaJUyjI_M-m8</t>
  </si>
  <si>
    <t>https://drive.google.com/file/d/1ndQcbbJEsieRFZ6_QXvUvaJUyjI_M-m8/view?usp=drivesdk</t>
  </si>
  <si>
    <t>Document successfully created; Document successfully merged; PDF created; Emails Sent: [To: riyadiagus1982@gmail.com]; Run via form trigger as ecertificate75@gmail.com; Timestamp: Sep 1 2024 5:32 AM</t>
  </si>
  <si>
    <t>ERMA DEWITA</t>
  </si>
  <si>
    <t>ermad1971@gmail.com</t>
  </si>
  <si>
    <t>2911</t>
  </si>
  <si>
    <t>https://drive.google.com/file/d/1C-3KXbMWCARYjVkaxka_kuZ_z163qHhs/view?usp=drivesdk</t>
  </si>
  <si>
    <t>1C-3KXbMWCARYjVkaxka_kuZ_z163qHhs</t>
  </si>
  <si>
    <t>1Y8x7dRNThSmEsIVj0tWgAfmY38_WIcgH</t>
  </si>
  <si>
    <t>https://drive.google.com/file/d/1Y8x7dRNThSmEsIVj0tWgAfmY38_WIcgH/view?usp=drivesdk</t>
  </si>
  <si>
    <t>Document successfully created; Document successfully merged; PDF created; Emails Sent: [To: ermad1971@gmail.com]; Run via form trigger as ecertificate75@gmail.com; Timestamp: Sep 1 2024 5:32 AM</t>
  </si>
  <si>
    <t>SUPATMI WIDIYAWATI</t>
  </si>
  <si>
    <t>swidyawati2505@gmail.com</t>
  </si>
  <si>
    <t>2912</t>
  </si>
  <si>
    <t>Starting at Thu Aug 29 2024 21:12:41 GMT-0400 (EDT)</t>
  </si>
  <si>
    <t>1_yDqIrv4_INjlcEzwR-oV5H2Cwox7BOd</t>
  </si>
  <si>
    <t>https://drive.google.com/file/d/1_yDqIrv4_INjlcEzwR-oV5H2Cwox7BOd/view?usp=drivesdk</t>
  </si>
  <si>
    <t>Document successfully created; Document successfully merged; PDF created; Emails Sent: [To: swidyawati2505@gmail.com]; Run via form trigger as ecertificate75@gmail.com; Timestamp: Sep 1 2024 5:33 AM</t>
  </si>
  <si>
    <t>NINURIK ZAUYAH</t>
  </si>
  <si>
    <t>gadis.polresbkl@nail.com</t>
  </si>
  <si>
    <t>2913</t>
  </si>
  <si>
    <t>1-Abi5srEKSZwFpBZvgyEEUEFWo0AQxcW</t>
  </si>
  <si>
    <t>https://drive.google.com/file/d/1-Abi5srEKSZwFpBZvgyEEUEFWo0AQxcW/view?usp=drivesdk</t>
  </si>
  <si>
    <t>Document successfully created; Document successfully merged; PDF created; Emails Sent: [To: gadis.polresbkl@nail.com]; Run via form trigger as ecertificate75@gmail.com; Timestamp: Sep 1 2024 5:33 AM</t>
  </si>
  <si>
    <t>HERI BHAYANGKARA SULISTIO, S. Farm</t>
  </si>
  <si>
    <t>wadahsaya00.yups@gmail.com</t>
  </si>
  <si>
    <t>2914</t>
  </si>
  <si>
    <t>1RjRw6TeInexeEets0e1HSvyHs_cv99zZ</t>
  </si>
  <si>
    <t>https://drive.google.com/file/d/1RjRw6TeInexeEets0e1HSvyHs_cv99zZ/view?usp=drivesdk</t>
  </si>
  <si>
    <t>Document successfully created; Document successfully merged; PDF created; Emails Sent: [To: wadahsaya00.yups@gmail.com]; Run via form trigger as ecertificate75@gmail.com; Timestamp: Sep 1 2024 5:33 AM</t>
  </si>
  <si>
    <t>RIDWAN WIZANTO</t>
  </si>
  <si>
    <t>ridwan.wizanto9@gmail.com</t>
  </si>
  <si>
    <t>2915</t>
  </si>
  <si>
    <t>1s5WK5q0I_qzRTt6Mr-K92DDBllsou68a</t>
  </si>
  <si>
    <t>https://drive.google.com/file/d/1s5WK5q0I_qzRTt6Mr-K92DDBllsou68a/view?usp=drivesdk</t>
  </si>
  <si>
    <t>Document successfully created; Document successfully merged; PDF created; Emails Sent: [To: ridwan.wizanto9@gmail.com]; Run via form trigger as ecertificate75@gmail.com; Timestamp: Sep 1 2024 5:33 AM</t>
  </si>
  <si>
    <t>AIDA FASA, A.Md.Kep</t>
  </si>
  <si>
    <t>aidafasa718@gmail.com</t>
  </si>
  <si>
    <t>2916</t>
  </si>
  <si>
    <t>11z-CeQ82tUGZ24ydCRhfzY6tAvcwQYcW</t>
  </si>
  <si>
    <t>https://drive.google.com/file/d/11z-CeQ82tUGZ24ydCRhfzY6tAvcwQYcW/view?usp=drivesdk</t>
  </si>
  <si>
    <t>Document successfully created; Document successfully merged; PDF created; Emails Sent: [To: aidafasa718@gmail.com]; Run via form trigger as ecertificate75@gmail.com; Timestamp: Sep 1 2024 5:33 AM</t>
  </si>
  <si>
    <t>WAHYUNITA PUSPITOWENI</t>
  </si>
  <si>
    <t>wahyunitapuspitoweni@gmail.com</t>
  </si>
  <si>
    <t>2917</t>
  </si>
  <si>
    <t>14HO2efN4UUMbJFiZ8zZZj4VYcf8Asc9m</t>
  </si>
  <si>
    <t>https://drive.google.com/file/d/14HO2efN4UUMbJFiZ8zZZj4VYcf8Asc9m/view?usp=drivesdk</t>
  </si>
  <si>
    <t>Document successfully created; Document successfully merged; PDF created; Emails Sent: [To: wahyunitapuspitoweni@gmail.com]; Run via form trigger as ecertificate75@gmail.com; Timestamp: Sep 1 2024 5:33 AM</t>
  </si>
  <si>
    <t>FITRI NURANI</t>
  </si>
  <si>
    <t>fitrinurani76@gmail.com</t>
  </si>
  <si>
    <t>2918</t>
  </si>
  <si>
    <t>1cWdu13wApFNFh7cAPiQHb4f-UeaQtnmX</t>
  </si>
  <si>
    <t>https://drive.google.com/file/d/1cWdu13wApFNFh7cAPiQHb4f-UeaQtnmX/view?usp=drivesdk</t>
  </si>
  <si>
    <t>Document successfully created; Document successfully merged; PDF created; Emails Sent: [To: fitrinurani76@gmail.com]; Run via form trigger as ecertificate75@gmail.com; Timestamp: Sep 1 2024 5:33 AM</t>
  </si>
  <si>
    <t>SRI WULANDARI, S.Kom., M.M.</t>
  </si>
  <si>
    <t>sriwulandari17051980@gmail.com</t>
  </si>
  <si>
    <t>2919</t>
  </si>
  <si>
    <t>1oaRPVcdNj3S0ykpJDAfGHGLjoOvqzgye</t>
  </si>
  <si>
    <t>https://drive.google.com/file/d/1oaRPVcdNj3S0ykpJDAfGHGLjoOvqzgye/view?usp=drivesdk</t>
  </si>
  <si>
    <t>Document successfully created; Document successfully merged; PDF created; Emails Sent: [To: sriwulandari17051980@gmail.com]; Run via form trigger as ecertificate75@gmail.com; Timestamp: Sep 1 2024 5:34 AM</t>
  </si>
  <si>
    <t>SUPARSIH,SH</t>
  </si>
  <si>
    <t>suparsihdhini@gmail.com</t>
  </si>
  <si>
    <t>2920</t>
  </si>
  <si>
    <t>12SqjRI8FrvaOUDwCnBPx8aEGJEiWbAYS</t>
  </si>
  <si>
    <t>https://drive.google.com/file/d/12SqjRI8FrvaOUDwCnBPx8aEGJEiWbAYS/view?usp=drivesdk</t>
  </si>
  <si>
    <t>Document successfully created; Document successfully merged; PDF created; Emails Sent: [To: suparsihdhini@gmail.com]; Run via form trigger as ecertificate75@gmail.com; Timestamp: Sep 1 2024 5:34 AM</t>
  </si>
  <si>
    <t>MOKHAMAD KHOLIG</t>
  </si>
  <si>
    <t>wahyu.allam@gmail.com</t>
  </si>
  <si>
    <t>2921</t>
  </si>
  <si>
    <t>1HXnozEU-jU92LRjETnj457c4cteRqiHC</t>
  </si>
  <si>
    <t>https://drive.google.com/file/d/1HXnozEU-jU92LRjETnj457c4cteRqiHC/view?usp=drivesdk</t>
  </si>
  <si>
    <t>Document successfully created; Document successfully merged; PDF created; Emails Sent: [To: wahyu.allam@gmail.com]; Run via form trigger as ecertificate75@gmail.com; Timestamp: Sep 1 2024 5:34 AM</t>
  </si>
  <si>
    <t>EVI LESTARI, S.E.</t>
  </si>
  <si>
    <t>vikoagustari@gmail.com</t>
  </si>
  <si>
    <t>2922</t>
  </si>
  <si>
    <t>1d6y6AQ0381W-tjz-6PYRpYL4u42j7m6N</t>
  </si>
  <si>
    <t>https://drive.google.com/file/d/1d6y6AQ0381W-tjz-6PYRpYL4u42j7m6N/view?usp=drivesdk</t>
  </si>
  <si>
    <t>Document successfully created; Document successfully merged; PDF created; Emails Sent: [To: vikoagustari@gmail.com]; Run via form trigger as ecertificate75@gmail.com; Timestamp: Sep 1 2024 5:34 AM</t>
  </si>
  <si>
    <t>IMMA ROSDIAWATI, A.Md</t>
  </si>
  <si>
    <t>immarosdiawati@gmail.com</t>
  </si>
  <si>
    <t>2923</t>
  </si>
  <si>
    <t>https://drive.google.com/file/d/13bbG0ANuzs1MnzBRvPgOyLYKbY5512R8/view?usp=drivesdk</t>
  </si>
  <si>
    <t>13bbG0ANuzs1MnzBRvPgOyLYKbY5512R8</t>
  </si>
  <si>
    <t>1_cLMpUqLkLPRImne-sdj5b2eswIbOmKm</t>
  </si>
  <si>
    <t>https://drive.google.com/file/d/1_cLMpUqLkLPRImne-sdj5b2eswIbOmKm/view?usp=drivesdk</t>
  </si>
  <si>
    <t>Document successfully created; Document successfully merged; PDF created; Emails Sent: [To: immarosdiawati@gmail.com]; Run via form trigger as ecertificate75@gmail.com; Timestamp: Sep 1 2024 5:34 AM</t>
  </si>
  <si>
    <t>NURHAYATI</t>
  </si>
  <si>
    <t>neoy.subagja@yahoo.co.id</t>
  </si>
  <si>
    <t>2924</t>
  </si>
  <si>
    <t>https://drive.google.com/file/d/1Y5k7-SUbX7TGFnk8bnP9eXcKAELOBFCW/view?usp=drivesdk</t>
  </si>
  <si>
    <t>1Y5k7-SUbX7TGFnk8bnP9eXcKAELOBFCW</t>
  </si>
  <si>
    <t>1OhZv0MQqPzeQY-OEMvwe04j9FLsO-Ig-</t>
  </si>
  <si>
    <t>https://drive.google.com/file/d/1OhZv0MQqPzeQY-OEMvwe04j9FLsO-Ig-/view?usp=drivesdk</t>
  </si>
  <si>
    <t>Document successfully created; Document successfully merged; PDF created; Emails Sent: [To: neoy.subagja@yahoo.co.id]; Run via form trigger as ecertificate75@gmail.com; Timestamp: Sep 1 2024 5:34 AM</t>
  </si>
  <si>
    <t>MARNO SARWO EDY</t>
  </si>
  <si>
    <t>marnosarwo@gmail.com</t>
  </si>
  <si>
    <t>2925</t>
  </si>
  <si>
    <t>https://drive.google.com/file/d/1JSY-zVgAiPV22dXlReSupkxxIlWCdVtD/view?usp=drivesdk</t>
  </si>
  <si>
    <t>1JSY-zVgAiPV22dXlReSupkxxIlWCdVtD</t>
  </si>
  <si>
    <t>1yI5Au2dGKbMKxbyc1Od38jtY7G1UW08G</t>
  </si>
  <si>
    <t>https://drive.google.com/file/d/1yI5Au2dGKbMKxbyc1Od38jtY7G1UW08G/view?usp=drivesdk</t>
  </si>
  <si>
    <t>Document successfully created; Document successfully merged; PDF created; Emails Sent: [To: marnosarwo@gmail.com]; Run via form trigger as ecertificate75@gmail.com; Timestamp: Sep 1 2024 5:35 AM</t>
  </si>
  <si>
    <t>2926</t>
  </si>
  <si>
    <t>https://drive.google.com/file/d/1UNFSt6u1udySpRPtN-Bdqvt-stgyTUlD/view?usp=drivesdk</t>
  </si>
  <si>
    <t>1UNFSt6u1udySpRPtN-Bdqvt-stgyTUlD</t>
  </si>
  <si>
    <t>1_w7SaL0ibgmfVku5hDoxQ418XqRQdDPk</t>
  </si>
  <si>
    <t>https://drive.google.com/file/d/1_w7SaL0ibgmfVku5hDoxQ418XqRQdDPk/view?usp=drivesdk</t>
  </si>
  <si>
    <t>Document successfully created; Document successfully merged; PDF created; Emails Sent: [To: estermunte05@gmail.com]; Run via form trigger as ecertificate75@gmail.com; Timestamp: Sep 1 2024 5:35 AM</t>
  </si>
  <si>
    <t>SRI ENDRAWATI</t>
  </si>
  <si>
    <t>sri456wati789@gmail.com</t>
  </si>
  <si>
    <t>2927</t>
  </si>
  <si>
    <t>https://drive.google.com/file/d/15mnqyZtgbD8tMLdSRqT8HWU3tiJ_3yn5/view?usp=drivesdk</t>
  </si>
  <si>
    <t>15mnqyZtgbD8tMLdSRqT8HWU3tiJ_3yn5</t>
  </si>
  <si>
    <t>1t08H5KquaXnPo2x_ntQwoll-AylSZfZj</t>
  </si>
  <si>
    <t>https://drive.google.com/file/d/1t08H5KquaXnPo2x_ntQwoll-AylSZfZj/view?usp=drivesdk</t>
  </si>
  <si>
    <t>Document successfully created; Document successfully merged; PDF created; Emails Sent: [To: sri456wati789@gmail.com]; Run via form trigger as ecertificate75@gmail.com; Timestamp: Sep 1 2024 5:35 AM</t>
  </si>
  <si>
    <t>FITRI MAYASARI</t>
  </si>
  <si>
    <t>fitrimayasari147@gmail.com</t>
  </si>
  <si>
    <t>2928</t>
  </si>
  <si>
    <t>Starting at Thu Aug 29 2024 21:12:51 GMT-0400 (EDT)</t>
  </si>
  <si>
    <t>1t_kM241UPsd0Gs-PxNcTijzYW6Nq4Aj5</t>
  </si>
  <si>
    <t>https://drive.google.com/file/d/1t_kM241UPsd0Gs-PxNcTijzYW6Nq4Aj5/view?usp=drivesdk</t>
  </si>
  <si>
    <t>Document successfully created; Document successfully merged; PDF created; Emails Sent: [To: fitrimayasari147@gmail.com]; Run via form trigger as ecertificate75@gmail.com; Timestamp: Sep 1 2024 5:35 AM</t>
  </si>
  <si>
    <t xml:space="preserve">ANDREAS NANANG CAHYANTO </t>
  </si>
  <si>
    <t>nanangcahyanto96@gmail.com</t>
  </si>
  <si>
    <t>2929</t>
  </si>
  <si>
    <t>1Glzx0RuWmJF8em6wgGGzO6eSbM8lqZGg</t>
  </si>
  <si>
    <t>https://drive.google.com/file/d/1Glzx0RuWmJF8em6wgGGzO6eSbM8lqZGg/view?usp=drivesdk</t>
  </si>
  <si>
    <t>Document successfully created; Document successfully merged; PDF created; Emails Sent: [To: nanangcahyanto96@gmail.com]; Run via form trigger as ecertificate75@gmail.com; Timestamp: Sep 1 2024 5:35 AM</t>
  </si>
  <si>
    <t xml:space="preserve">LILIK SRI UTAMI </t>
  </si>
  <si>
    <t>liliksriutami70@gmail.com</t>
  </si>
  <si>
    <t>2930</t>
  </si>
  <si>
    <t>1Mz7V7L3Ljq8mEZfEoodMmsNbVnfjlBZU</t>
  </si>
  <si>
    <t>https://drive.google.com/file/d/1Mz7V7L3Ljq8mEZfEoodMmsNbVnfjlBZU/view?usp=drivesdk</t>
  </si>
  <si>
    <t>Document successfully created; Document successfully merged; PDF created; Emails Sent: [To: liliksriutami70@gmail.com]; Run via form trigger as ecertificate75@gmail.com; Timestamp: Sep 1 2024 5:35 AM</t>
  </si>
  <si>
    <t>BARUS PURBA, A.Md.Bns.</t>
  </si>
  <si>
    <t>baruspurba@students.polmed.ac.id</t>
  </si>
  <si>
    <t>2931</t>
  </si>
  <si>
    <t>1Da8sfvLVO_uR2ZzA0Nt5LlajbzXiq_oe</t>
  </si>
  <si>
    <t>https://drive.google.com/file/d/1Da8sfvLVO_uR2ZzA0Nt5LlajbzXiq_oe/view?usp=drivesdk</t>
  </si>
  <si>
    <t>Document successfully created; Document successfully merged; PDF created; Emails Sent: [To: baruspurba@students.polmed.ac.id]; Run via form trigger as ecertificate75@gmail.com; Timestamp: Sep 1 2024 5:36 AM</t>
  </si>
  <si>
    <t>DEDDY DARMAWAN</t>
  </si>
  <si>
    <t>deddydharmawan43@gmail.com</t>
  </si>
  <si>
    <t>2932</t>
  </si>
  <si>
    <t>1--Y8sYXLyCiYgNumyIM_hVjIMmbWcx-X</t>
  </si>
  <si>
    <t>https://drive.google.com/file/d/1--Y8sYXLyCiYgNumyIM_hVjIMmbWcx-X/view?usp=drivesdk</t>
  </si>
  <si>
    <t>Document successfully created; Document successfully merged; PDF created; Emails Sent: [To: deddydharmawan43@gmail.com]; Run via form trigger as ecertificate75@gmail.com; Timestamp: Sep 1 2024 5:36 AM</t>
  </si>
  <si>
    <t>HENDRA RUSADY</t>
  </si>
  <si>
    <t>hendra77.nett@gmail.com</t>
  </si>
  <si>
    <t>2933</t>
  </si>
  <si>
    <t>https://drive.google.com/file/d/1pBYSJIH47YTCke1MJhsi9QSXvWd3Qn0G/view?usp=drivesdk</t>
  </si>
  <si>
    <t>1pBYSJIH47YTCke1MJhsi9QSXvWd3Qn0G</t>
  </si>
  <si>
    <t>14b4nNxNwxS7iqkllkS10wyx83aA9lQnW</t>
  </si>
  <si>
    <t>https://drive.google.com/file/d/14b4nNxNwxS7iqkllkS10wyx83aA9lQnW/view?usp=drivesdk</t>
  </si>
  <si>
    <t>Document successfully created; Document successfully merged; PDF created; Emails Sent: [To: hendra77.nett@gmail.com]; Run via form trigger as ecertificate75@gmail.com; Timestamp: Sep 1 2024 5:36 AM</t>
  </si>
  <si>
    <t>SUMARTINI</t>
  </si>
  <si>
    <t>sumartini476@gmail.com</t>
  </si>
  <si>
    <t>2934</t>
  </si>
  <si>
    <t>Starting at Thu Aug 29 2024 21:12:55 GMT-0400 (EDT)</t>
  </si>
  <si>
    <t>1OZ436EMpNBaTCy9qMVKJzMhumg3BJWiA</t>
  </si>
  <si>
    <t>https://drive.google.com/file/d/1OZ436EMpNBaTCy9qMVKJzMhumg3BJWiA/view?usp=drivesdk</t>
  </si>
  <si>
    <t>Document successfully created; Document successfully merged; PDF created; Emails Sent: [To: sumartini476@gmail.com]; Run via form trigger as ecertificate75@gmail.com; Timestamp: Sep 1 2024 5:36 AM</t>
  </si>
  <si>
    <t>dr. IKRIMA</t>
  </si>
  <si>
    <t>dr.ikrima.rsbi@gmail.com</t>
  </si>
  <si>
    <t>2935</t>
  </si>
  <si>
    <t>1jh30kEKKX-IZMAT2q9wnvb9P4gTTsDXn</t>
  </si>
  <si>
    <t>https://drive.google.com/file/d/1jh30kEKKX-IZMAT2q9wnvb9P4gTTsDXn/view?usp=drivesdk</t>
  </si>
  <si>
    <t>Document successfully created; Document successfully merged; PDF created; Emails Sent: [To: dr.ikrima.rsbi@gmail.com]; Run via form trigger as ecertificate75@gmail.com; Timestamp: Sep 1 2024 5:36 AM</t>
  </si>
  <si>
    <t>ARBA'I</t>
  </si>
  <si>
    <t>siwas.pamekasan@gmail.com</t>
  </si>
  <si>
    <t>2936</t>
  </si>
  <si>
    <t>12wRaXM0UXHXQttKSrR8lX_zmBKQkFW6h</t>
  </si>
  <si>
    <t>https://drive.google.com/file/d/12wRaXM0UXHXQttKSrR8lX_zmBKQkFW6h/view?usp=drivesdk</t>
  </si>
  <si>
    <t>Document successfully created; Document successfully merged; PDF created; Emails Sent: [To: siwas.pamekasan@gmail.com]; Run via form trigger as ecertificate75@gmail.com; Timestamp: Sep 1 2024 7:59 PM</t>
  </si>
  <si>
    <t>SITI JENAB</t>
  </si>
  <si>
    <t>sitijenab0871@gmail.com</t>
  </si>
  <si>
    <t>2937</t>
  </si>
  <si>
    <t>1lLlWBs5wGckJl8ZkPZMnaOQg2uhPsFQo</t>
  </si>
  <si>
    <t>https://drive.google.com/file/d/1lLlWBs5wGckJl8ZkPZMnaOQg2uhPsFQo/view?usp=drivesdk</t>
  </si>
  <si>
    <t>Document successfully created; Document successfully merged; PDF created; Emails Sent: [To: sitijenab0871@gmail.com]; Run via form trigger as ecertificate75@gmail.com; Timestamp: Sep 1 2024 8:00 PM</t>
  </si>
  <si>
    <t>LISDAYANI</t>
  </si>
  <si>
    <t>yanilisda14@gmail.com</t>
  </si>
  <si>
    <t>2938</t>
  </si>
  <si>
    <t>1onC-1qLixxI3sGtcHfLqVi8cRkfx07L7</t>
  </si>
  <si>
    <t>https://drive.google.com/file/d/1onC-1qLixxI3sGtcHfLqVi8cRkfx07L7/view?usp=drivesdk</t>
  </si>
  <si>
    <t>Document successfully created; Document successfully merged; PDF created; !!Error Sending Emails: Service invoked too many times for one day: email.; Run via form trigger as ecertificate75@gmail.com; Timestamp: Sep 1 2024 8:00 PM</t>
  </si>
  <si>
    <t>TAUFIQ SOLEH. S.Sos</t>
  </si>
  <si>
    <t>bela04salsabila1997@gmail.com</t>
  </si>
  <si>
    <t>2939</t>
  </si>
  <si>
    <t>12P3Pns2VvEN0_ridUEy-rsK79brqpyI-</t>
  </si>
  <si>
    <t>https://drive.google.com/file/d/12P3Pns2VvEN0_ridUEy-rsK79brqpyI-/view?usp=drivesdk</t>
  </si>
  <si>
    <t>MARLIANTY RANTAHI</t>
  </si>
  <si>
    <t>lianrantahi9@gmail.com</t>
  </si>
  <si>
    <t>2940</t>
  </si>
  <si>
    <t>1_rlNoCclfgSHbiaDLUg1ZcmEICYT8uRR</t>
  </si>
  <si>
    <t>https://drive.google.com/file/d/1_rlNoCclfgSHbiaDLUg1ZcmEICYT8uRR/view?usp=drivesdk</t>
  </si>
  <si>
    <t>SUNTARI</t>
  </si>
  <si>
    <t>suntari319@gmail.com</t>
  </si>
  <si>
    <t>2941</t>
  </si>
  <si>
    <t>1Ua-4OKjn0v6XCVW9xw4pgiKwhsNvOwWa</t>
  </si>
  <si>
    <t>https://drive.google.com/file/d/1Ua-4OKjn0v6XCVW9xw4pgiKwhsNvOwWa/view?usp=drivesdk</t>
  </si>
  <si>
    <t>HERMAN, AMK</t>
  </si>
  <si>
    <t>hermansinala@gmail.com</t>
  </si>
  <si>
    <t>2942</t>
  </si>
  <si>
    <t>https://drive.google.com/file/d/1BKE2QpRviNA4a5Oulo1NTUlNITqJUJeY/view?usp=drivesdk</t>
  </si>
  <si>
    <t>1BKE2QpRviNA4a5Oulo1NTUlNITqJUJeY</t>
  </si>
  <si>
    <t>1Bue0X7QFyZTTcG2CCecxpuPC5Cia61SV</t>
  </si>
  <si>
    <t>https://drive.google.com/file/d/1Bue0X7QFyZTTcG2CCecxpuPC5Cia61SV/view?usp=drivesdk</t>
  </si>
  <si>
    <t>Document successfully created; Document successfully merged; PDF created; !!Error Sending Emails: Service invoked too many times for one day: email.; Run via form trigger as ecertificate75@gmail.com; Timestamp: Sep 1 2024 8:01 PM</t>
  </si>
  <si>
    <t>ZAIROZI</t>
  </si>
  <si>
    <t>Zairozi.jember@gmail.com</t>
  </si>
  <si>
    <t>2943</t>
  </si>
  <si>
    <t>https://drive.google.com/file/d/1lqkBXrKTNAD9I-ZLyFKw7e5XJNVXgJgI/view?usp=drivesdk</t>
  </si>
  <si>
    <t>1lqkBXrKTNAD9I-ZLyFKw7e5XJNVXgJgI</t>
  </si>
  <si>
    <t>1R4TIrfZ5V90XirPg0VEY5rwlwN-_H4SL</t>
  </si>
  <si>
    <t>https://drive.google.com/file/d/1R4TIrfZ5V90XirPg0VEY5rwlwN-_H4SL/view?usp=drivesdk</t>
  </si>
  <si>
    <t>ROHAYANI</t>
  </si>
  <si>
    <t>rohayanibdg123@gmail.com</t>
  </si>
  <si>
    <t>2944</t>
  </si>
  <si>
    <t>https://drive.google.com/file/d/10KN4dzSL_mxkNisH6zastM758rjT_174/view?usp=drivesdk</t>
  </si>
  <si>
    <t>10KN4dzSL_mxkNisH6zastM758rjT_174</t>
  </si>
  <si>
    <t>10l6oiu3hH2E8vvLSVuENv83cSJCpmBC0</t>
  </si>
  <si>
    <t>https://drive.google.com/file/d/10l6oiu3hH2E8vvLSVuENv83cSJCpmBC0/view?usp=drivesdk</t>
  </si>
  <si>
    <t>RADITYA DWI PAMBUDI, A.MD. KEP</t>
  </si>
  <si>
    <t>raditsaiya07@gmail.com</t>
  </si>
  <si>
    <t>2945</t>
  </si>
  <si>
    <t>Starting at Thu Aug 29 2024 21:12:58 GMT-0400 (EDT)</t>
  </si>
  <si>
    <t>1EDDVhBUUZMcAQM2U3l_22IL2Y-rx9zOf</t>
  </si>
  <si>
    <t>https://drive.google.com/file/d/1EDDVhBUUZMcAQM2U3l_22IL2Y-rx9zOf/view?usp=drivesdk</t>
  </si>
  <si>
    <t>JUWARIYAH</t>
  </si>
  <si>
    <t>djuju711971@gmail.com</t>
  </si>
  <si>
    <t>2946</t>
  </si>
  <si>
    <t>https://drive.google.com/file/d/1LofptS-72FIL1KiGO2pTekePi8btDUI7/view?usp=drivesdk</t>
  </si>
  <si>
    <t>1LofptS-72FIL1KiGO2pTekePi8btDUI7</t>
  </si>
  <si>
    <t>1SyMvcai5f7HHh5P3TPUT8nCiXwy_OGCG</t>
  </si>
  <si>
    <t>https://drive.google.com/file/d/1SyMvcai5f7HHh5P3TPUT8nCiXwy_OGCG/view?usp=drivesdk</t>
  </si>
  <si>
    <t>Document successfully created; Document successfully merged; PDF created; !!Error Sending Emails: Service invoked too many times for one day: email.; Run via form trigger as ecertificate75@gmail.com; Timestamp: Sep 1 2024 8:02 PM</t>
  </si>
  <si>
    <t>SHINTA NIRWANA</t>
  </si>
  <si>
    <t>shintanirwana1@gmail.com</t>
  </si>
  <si>
    <t>2947</t>
  </si>
  <si>
    <t>https://drive.google.com/file/d/1B_v-o-_n71IHtYCOlDqf6I-jzKddbSMI/view?usp=drivesdk</t>
  </si>
  <si>
    <t>1B_v-o-_n71IHtYCOlDqf6I-jzKddbSMI</t>
  </si>
  <si>
    <t>1jT8tzFNlltDyaDvEXVe7QLXjN8lOU9Pb</t>
  </si>
  <si>
    <t>https://drive.google.com/file/d/1jT8tzFNlltDyaDvEXVe7QLXjN8lOU9Pb/view?usp=drivesdk</t>
  </si>
  <si>
    <t>BAIQ SUHAENI</t>
  </si>
  <si>
    <t>baiqsuhaeni71@gmail.com</t>
  </si>
  <si>
    <t>2948</t>
  </si>
  <si>
    <t>https://drive.google.com/file/d/1Ojt9nxP4o-n9R-CzYWYw1MCuDvjyPrja/view?usp=drivesdk</t>
  </si>
  <si>
    <t>1Ojt9nxP4o-n9R-CzYWYw1MCuDvjyPrja</t>
  </si>
  <si>
    <t>1wwv13ifSdMbXzWx0AonEZxoeTBxniyFK</t>
  </si>
  <si>
    <t>https://drive.google.com/file/d/1wwv13ifSdMbXzWx0AonEZxoeTBxniyFK/view?usp=drivesdk</t>
  </si>
  <si>
    <t>winwinarti7441@gmail.com</t>
  </si>
  <si>
    <t>2949</t>
  </si>
  <si>
    <t>https://drive.google.com/file/d/1i-Y1m01akCKGCXyQsHim2gxN4ZNhX-Vn/view?usp=drivesdk</t>
  </si>
  <si>
    <t>1i-Y1m01akCKGCXyQsHim2gxN4ZNhX-Vn</t>
  </si>
  <si>
    <t>1HftwSpwVCa3YU7YGuRDAV_ckI02_oGPt</t>
  </si>
  <si>
    <t>https://drive.google.com/file/d/1HftwSpwVCa3YU7YGuRDAV_ckI02_oGPt/view?usp=drivesdk</t>
  </si>
  <si>
    <t>SITI YUYA,S.KOM</t>
  </si>
  <si>
    <t>sitiyuya25@gmail.com</t>
  </si>
  <si>
    <t>2950</t>
  </si>
  <si>
    <t>https://drive.google.com/file/d/1S8DLEEZp7hpITnNpuka2dB3mi0DkF7y7/view?usp=drivesdk</t>
  </si>
  <si>
    <t>1S8DLEEZp7hpITnNpuka2dB3mi0DkF7y7</t>
  </si>
  <si>
    <t>1GhH-5jM8-hWgcbhwwVasbLwDiXvfu14e</t>
  </si>
  <si>
    <t>https://drive.google.com/file/d/1GhH-5jM8-hWgcbhwwVasbLwDiXvfu14e/view?usp=drivesdk</t>
  </si>
  <si>
    <t>Document successfully created; Document successfully merged; PDF created; !!Error Sending Emails: Service invoked too many times for one day: email.; Run via form trigger as ecertificate75@gmail.com; Timestamp: Sep 1 2024 8:03 PM</t>
  </si>
  <si>
    <t>ANNISA SUTRA, S. Ak</t>
  </si>
  <si>
    <t>annisasutra98@gmail.com</t>
  </si>
  <si>
    <t>2951</t>
  </si>
  <si>
    <t>Starting at Thu Aug 29 2024 21:13:03 GMT-0400 (EDT)</t>
  </si>
  <si>
    <t>19PBZuLof-kuCWZdzdCmOtYeBg3ILfmMk</t>
  </si>
  <si>
    <t>https://drive.google.com/file/d/19PBZuLof-kuCWZdzdCmOtYeBg3ILfmMk/view?usp=drivesdk</t>
  </si>
  <si>
    <t>SRIANI NINGSIH</t>
  </si>
  <si>
    <t>harisaryasaty7@gmail.com</t>
  </si>
  <si>
    <t>2952</t>
  </si>
  <si>
    <t>1Z1lK_oXR-8gCrfh6Gn7qLLwuWIxaactF</t>
  </si>
  <si>
    <t>https://drive.google.com/file/d/1Z1lK_oXR-8gCrfh6Gn7qLLwuWIxaactF/view?usp=drivesdk</t>
  </si>
  <si>
    <t>TITIK SURYANINGSIH</t>
  </si>
  <si>
    <t>titiksurya1968@gmail.com</t>
  </si>
  <si>
    <t>2953</t>
  </si>
  <si>
    <t>1LN7Ks8XF9i0rsPda5nCx5n5fmft5zWWz</t>
  </si>
  <si>
    <t>https://drive.google.com/file/d/1LN7Ks8XF9i0rsPda5nCx5n5fmft5zWWz/view?usp=drivesdk</t>
  </si>
  <si>
    <t>VIMALA MITRA, S.PSI., M.M</t>
  </si>
  <si>
    <t>vimalamita.sagala@gmail.com</t>
  </si>
  <si>
    <t>2954</t>
  </si>
  <si>
    <t>16d-W3nj_NE6w6MnAOdWyU-acOI7sq9IY</t>
  </si>
  <si>
    <t>https://drive.google.com/file/d/16d-W3nj_NE6w6MnAOdWyU-acOI7sq9IY/view?usp=drivesdk</t>
  </si>
  <si>
    <t>RUDI FANANI</t>
  </si>
  <si>
    <t>rudifanani88@gmail.com</t>
  </si>
  <si>
    <t>2955</t>
  </si>
  <si>
    <t>1tvixtS-CR-TeqC6aTFifQ1ZbQ4P8aPRu</t>
  </si>
  <si>
    <t>https://drive.google.com/file/d/1tvixtS-CR-TeqC6aTFifQ1ZbQ4P8aPRu/view?usp=drivesdk</t>
  </si>
  <si>
    <t>Document successfully created; Document successfully merged; PDF created; !!Error Sending Emails: Service invoked too many times for one day: email.; Run via form trigger as ecertificate75@gmail.com; Timestamp: Sep 1 2024 8:04 PM</t>
  </si>
  <si>
    <t>MOKHAMAD KHAMIM</t>
  </si>
  <si>
    <t>khamim.khamim.bogor@gmail.com</t>
  </si>
  <si>
    <t>2956</t>
  </si>
  <si>
    <t>https://drive.google.com/file/d/1WiF8rFhhAgNOuDYmxeztkdSDFuyxjhaw/view?usp=drivesdk</t>
  </si>
  <si>
    <t>1WiF8rFhhAgNOuDYmxeztkdSDFuyxjhaw</t>
  </si>
  <si>
    <t>1xySZauwFyHOvRzGXOX9wkaVWkbZbAOjf</t>
  </si>
  <si>
    <t>https://drive.google.com/file/d/1xySZauwFyHOvRzGXOX9wkaVWkbZbAOjf/view?usp=drivesdk</t>
  </si>
  <si>
    <t>DIDIK YUDHIA PRATOMO</t>
  </si>
  <si>
    <t>pratomo.didikyudhia099@gmail.com</t>
  </si>
  <si>
    <t>2957</t>
  </si>
  <si>
    <t>https://drive.google.com/file/d/17ADUHLPS598MP27kiRbC5k1N6DxjxUww/view?usp=drivesdk</t>
  </si>
  <si>
    <t>17ADUHLPS598MP27kiRbC5k1N6DxjxUww</t>
  </si>
  <si>
    <t>1Rs6SGbeQfOhsXGvNccaKp521FRuh3zCa</t>
  </si>
  <si>
    <t>https://drive.google.com/file/d/1Rs6SGbeQfOhsXGvNccaKp521FRuh3zCa/view?usp=drivesdk</t>
  </si>
  <si>
    <t xml:space="preserve">ERIDESLIANI </t>
  </si>
  <si>
    <t>eridesliani3082@gmail.com</t>
  </si>
  <si>
    <t>2958</t>
  </si>
  <si>
    <t>Starting at Thu Aug 29 2024 21:13:05 GMT-0400 (EDT)</t>
  </si>
  <si>
    <t>10zIsJLM9f0MAB6tcganQDva5q2F15S5v</t>
  </si>
  <si>
    <t>https://drive.google.com/file/d/10zIsJLM9f0MAB6tcganQDva5q2F15S5v/view?usp=drivesdk</t>
  </si>
  <si>
    <t>Document successfully created; Document successfully merged; PDF created; !!Error Sending Emails: Service invoked too many times for one day: email.; Run via form trigger as ecertificate75@gmail.com; Timestamp: Sep 1 2024 10:16 PM</t>
  </si>
  <si>
    <t>SRI RAHMANIAH</t>
  </si>
  <si>
    <t>niningsri111@gmail.com</t>
  </si>
  <si>
    <t>2959</t>
  </si>
  <si>
    <t>1USGnkP2yvdVGYVlCjuj1N9JF1JUcW2Vw</t>
  </si>
  <si>
    <t>https://drive.google.com/file/d/1USGnkP2yvdVGYVlCjuj1N9JF1JUcW2Vw/view?usp=drivesdk</t>
  </si>
  <si>
    <t>ROKHIMAH</t>
  </si>
  <si>
    <t>130rokhimah@gmail.com</t>
  </si>
  <si>
    <t>2960</t>
  </si>
  <si>
    <t>1eE6cnrycpjIOr3IOMwhUsRbiUr5cbsNX</t>
  </si>
  <si>
    <t>https://drive.google.com/file/d/1eE6cnrycpjIOr3IOMwhUsRbiUr5cbsNX/view?usp=drivesdk</t>
  </si>
  <si>
    <t xml:space="preserve">SRI ANDAYANI, S S </t>
  </si>
  <si>
    <t>andayani7970@gmail.com</t>
  </si>
  <si>
    <t>2961</t>
  </si>
  <si>
    <t>1e4BTkQefISeDKCdtTs-FQSXQJzI94bXw</t>
  </si>
  <si>
    <t>https://drive.google.com/file/d/1e4BTkQefISeDKCdtTs-FQSXQJzI94bXw/view?usp=drivesdk</t>
  </si>
  <si>
    <t>LASMANA</t>
  </si>
  <si>
    <t>tomilasmana16@gmail.com</t>
  </si>
  <si>
    <t>2962</t>
  </si>
  <si>
    <t>1GLuDVoNZFDVhRnwYtBhjizVHWLIB6BpL</t>
  </si>
  <si>
    <t>https://drive.google.com/file/d/1GLuDVoNZFDVhRnwYtBhjizVHWLIB6BpL/view?usp=drivesdk</t>
  </si>
  <si>
    <t xml:space="preserve">LASMIASIH </t>
  </si>
  <si>
    <t>lasmiasihgaplek@gmail.com</t>
  </si>
  <si>
    <t>2963</t>
  </si>
  <si>
    <t>1WaXmZcfK_SC6naU_uRydMJlPKCynV7vT</t>
  </si>
  <si>
    <t>https://drive.google.com/file/d/1WaXmZcfK_SC6naU_uRydMJlPKCynV7vT/view?usp=drivesdk</t>
  </si>
  <si>
    <t>Document successfully created; Document successfully merged; PDF created; !!Error Sending Emails: Service invoked too many times for one day: email.; Run via form trigger as ecertificate75@gmail.com; Timestamp: Sep 1 2024 10:17 PM</t>
  </si>
  <si>
    <t>Ni Ketut Wuri Andayani</t>
  </si>
  <si>
    <t>ketutwuriandayani@gmail.com</t>
  </si>
  <si>
    <t>2964</t>
  </si>
  <si>
    <t>1YNnihPOCy5M2dlAUlNVPlBzP4vDon_y9</t>
  </si>
  <si>
    <t>https://drive.google.com/file/d/1YNnihPOCy5M2dlAUlNVPlBzP4vDon_y9/view?usp=drivesdk</t>
  </si>
  <si>
    <t>WANTONO</t>
  </si>
  <si>
    <t>wantono280@gmail.com</t>
  </si>
  <si>
    <t>2965</t>
  </si>
  <si>
    <t>https://drive.google.com/file/d/16v6Gn9MgV9Sas87tA6Rsv-W8dSTNG6kr/view?usp=drivesdk</t>
  </si>
  <si>
    <t>16v6Gn9MgV9Sas87tA6Rsv-W8dSTNG6kr</t>
  </si>
  <si>
    <t>1ZnBunnRFP4A0jRkXngUXPsgV2It1pk34</t>
  </si>
  <si>
    <t>https://drive.google.com/file/d/1ZnBunnRFP4A0jRkXngUXPsgV2It1pk34/view?usp=drivesdk</t>
  </si>
  <si>
    <t>ENDRO PURWONO</t>
  </si>
  <si>
    <t>endro70@gmail.com</t>
  </si>
  <si>
    <t>2966</t>
  </si>
  <si>
    <t>Starting at Thu Aug 29 2024 21:13:08 GMT-0400 (EDT)</t>
  </si>
  <si>
    <t>1GNoTItvpJa39Dp7I7Ub2R5mKuTlJf-H0</t>
  </si>
  <si>
    <t>https://drive.google.com/file/d/1GNoTItvpJa39Dp7I7Ub2R5mKuTlJf-H0/view?usp=drivesdk</t>
  </si>
  <si>
    <t>JAMHUR, A. Adm</t>
  </si>
  <si>
    <t>jamhurwijaya@gmail.com</t>
  </si>
  <si>
    <t>2967</t>
  </si>
  <si>
    <t>1v-mzA1fjEPtxJuoKKLKOrRWRe5z1XrYY</t>
  </si>
  <si>
    <t>https://drive.google.com/file/d/1v-mzA1fjEPtxJuoKKLKOrRWRe5z1XrYY/view?usp=drivesdk</t>
  </si>
  <si>
    <t>Document successfully created; Document successfully merged; PDF created; !!Error Sending Emails: Service invoked too many times for one day: email.; Run via form trigger as ecertificate75@gmail.com; Timestamp: Sep 1 2024 10:18 PM</t>
  </si>
  <si>
    <t>SANDRA AGUSTINA, S.H</t>
  </si>
  <si>
    <t>sandramuhandri@gmail.com</t>
  </si>
  <si>
    <t>2968</t>
  </si>
  <si>
    <t>https://drive.google.com/file/d/1no8gV0MV0mzVVziwzOT0DJz2VyX7RLZP/view?usp=drivesdk</t>
  </si>
  <si>
    <t>1no8gV0MV0mzVVziwzOT0DJz2VyX7RLZP</t>
  </si>
  <si>
    <t>1_4BldxoiI7ctLBXI1998kUbdN4QbrtcE</t>
  </si>
  <si>
    <t>https://drive.google.com/file/d/1_4BldxoiI7ctLBXI1998kUbdN4QbrtcE/view?usp=drivesdk</t>
  </si>
  <si>
    <t>HARTATIK, A.MD.FARM</t>
  </si>
  <si>
    <t>hartatikzain@gmail.com</t>
  </si>
  <si>
    <t>2969</t>
  </si>
  <si>
    <t>https://drive.google.com/file/d/1HbgzHZA8n9AUWP38nCS9ZTfT5-9Ht8ey/view?usp=drivesdk</t>
  </si>
  <si>
    <t>1HbgzHZA8n9AUWP38nCS9ZTfT5-9Ht8ey</t>
  </si>
  <si>
    <t>1HkA05simldgwag8r9d-zbVrxblcnQktK</t>
  </si>
  <si>
    <t>https://drive.google.com/file/d/1HkA05simldgwag8r9d-zbVrxblcnQktK/view?usp=drivesdk</t>
  </si>
  <si>
    <t>SRI WIDOJATI</t>
  </si>
  <si>
    <t>widojati12@gmail.com</t>
  </si>
  <si>
    <t>2970</t>
  </si>
  <si>
    <t>Starting at Thu Aug 29 2024 21:13:15 GMT-0400 (EDT)</t>
  </si>
  <si>
    <t>1iS9vsdEVqaME2kXvrxBa1JD2df0w70RN</t>
  </si>
  <si>
    <t>https://drive.google.com/file/d/1iS9vsdEVqaME2kXvrxBa1JD2df0w70RN/view?usp=drivesdk</t>
  </si>
  <si>
    <t xml:space="preserve">ERINDA SIHALOHO </t>
  </si>
  <si>
    <t>erindasihaloho1983@gmail.com</t>
  </si>
  <si>
    <t>2971</t>
  </si>
  <si>
    <t>1KTjqtnO7Ag9HWlaed4Q1Dj0UWn8ACyQq</t>
  </si>
  <si>
    <t>https://drive.google.com/file/d/1KTjqtnO7Ag9HWlaed4Q1Dj0UWn8ACyQq/view?usp=drivesdk</t>
  </si>
  <si>
    <t>SRIBUDIWATI SUTARSA</t>
  </si>
  <si>
    <t>sribudiwati1803@gmail.com</t>
  </si>
  <si>
    <t>2972</t>
  </si>
  <si>
    <t>1OIFsQ9mQLH0XNGcEjnWJMqSq2AumvA7f</t>
  </si>
  <si>
    <t>https://drive.google.com/file/d/1OIFsQ9mQLH0XNGcEjnWJMqSq2AumvA7f/view?usp=drivesdk</t>
  </si>
  <si>
    <t>Document successfully created; Document successfully merged; PDF created; !!Error Sending Emails: Service invoked too many times for one day: email.; Run via form trigger as ecertificate75@gmail.com; Timestamp: Sep 1 2024 10:19 PM</t>
  </si>
  <si>
    <t>ISKAK, S.H.</t>
  </si>
  <si>
    <t>iskakbin33@gmail.com</t>
  </si>
  <si>
    <t>2973</t>
  </si>
  <si>
    <t>1Uh57FkHdjGaZdsRmnQoWGANT3qSwUkgb</t>
  </si>
  <si>
    <t>https://drive.google.com/file/d/1Uh57FkHdjGaZdsRmnQoWGANT3qSwUkgb/view?usp=drivesdk</t>
  </si>
  <si>
    <t>Ani Nurhaeni, S.Pd</t>
  </si>
  <si>
    <t>aninurhaeni3@gmail.com</t>
  </si>
  <si>
    <t>2974</t>
  </si>
  <si>
    <t>1xP45G_6bsVt4zgstrgbbf0uVXpszWYtw</t>
  </si>
  <si>
    <t>https://drive.google.com/file/d/1xP45G_6bsVt4zgstrgbbf0uVXpszWYtw/view?usp=drivesdk</t>
  </si>
  <si>
    <t xml:space="preserve">ZAIDAN ASWANDI </t>
  </si>
  <si>
    <t>zaidanaswandi27@gmail.com</t>
  </si>
  <si>
    <t>2975</t>
  </si>
  <si>
    <t>1mnCvkw-3DhQG252XBn3BxlXrKTAGOays</t>
  </si>
  <si>
    <t>https://drive.google.com/file/d/1mnCvkw-3DhQG252XBn3BxlXrKTAGOays/view?usp=drivesdk</t>
  </si>
  <si>
    <t>SUNARYO</t>
  </si>
  <si>
    <t>naryoslog@gmail.con</t>
  </si>
  <si>
    <t>2976</t>
  </si>
  <si>
    <t>1WV8Zg9KoLAqCS5PORdZ37v-r3OBk6mI6</t>
  </si>
  <si>
    <t>https://drive.google.com/file/d/1WV8Zg9KoLAqCS5PORdZ37v-r3OBk6mI6/view?usp=drivesdk</t>
  </si>
  <si>
    <t>RIZKI FAJAR, A.Md.</t>
  </si>
  <si>
    <t>rizkifajar27@gmail.com</t>
  </si>
  <si>
    <t>2977</t>
  </si>
  <si>
    <t>1k4GkX7mBSVFkpOuZPJL5lxYFFnfdH9sb</t>
  </si>
  <si>
    <t>https://drive.google.com/file/d/1k4GkX7mBSVFkpOuZPJL5lxYFFnfdH9sb/view?usp=drivesdk</t>
  </si>
  <si>
    <t>Document successfully created; Document successfully merged; PDF created; !!Error Sending Emails: Service invoked too many times for one day: email.; Run via form trigger as ecertificate75@gmail.com; Timestamp: Sep 1 2024 10:20 PM</t>
  </si>
  <si>
    <t>dr. STEVANY NURIFIN</t>
  </si>
  <si>
    <t>stevanystevany132@gmail.com</t>
  </si>
  <si>
    <t>2978</t>
  </si>
  <si>
    <t>1c4j7H95FbEfMMR96M875OeulZwlF7x9G</t>
  </si>
  <si>
    <t>https://drive.google.com/file/d/1c4j7H95FbEfMMR96M875OeulZwlF7x9G/view?usp=drivesdk</t>
  </si>
  <si>
    <t>YULI TRILENI</t>
  </si>
  <si>
    <t>ytrileni@gmail.com</t>
  </si>
  <si>
    <t>2979</t>
  </si>
  <si>
    <t>1jGCwXEveBBdVEjfr3V84EJqUakSt1_zF</t>
  </si>
  <si>
    <t>https://drive.google.com/file/d/1jGCwXEveBBdVEjfr3V84EJqUakSt1_zF/view?usp=drivesdk</t>
  </si>
  <si>
    <t xml:space="preserve">Ni Wayan Ambari AMD Kep </t>
  </si>
  <si>
    <t>jeroambari@gmail.com</t>
  </si>
  <si>
    <t>2980</t>
  </si>
  <si>
    <t>1QQ2DjpUsaf-lFX_p_AqQlluiJuJaNzaF</t>
  </si>
  <si>
    <t>https://drive.google.com/file/d/1QQ2DjpUsaf-lFX_p_AqQlluiJuJaNzaF/view?usp=drivesdk</t>
  </si>
  <si>
    <t>Document successfully created; Document successfully merged; PDF created; !!Error Sending Emails: Service invoked too many times for one day: email.; Run via form trigger as ecertificate75@gmail.com; Timestamp: Sep 1 2024 10:46 PM</t>
  </si>
  <si>
    <t>FAHRUROZI, S.Kom</t>
  </si>
  <si>
    <t>fahrurozi.andro@gmail.com</t>
  </si>
  <si>
    <t>2981</t>
  </si>
  <si>
    <t>1b258UjmUfBU-lueK235G6xyFTz7S1tMo</t>
  </si>
  <si>
    <t>https://drive.google.com/file/d/1b258UjmUfBU-lueK235G6xyFTz7S1tMo/view?usp=drivesdk</t>
  </si>
  <si>
    <t>EXCHA FITRIYAH HANDAYANI,S.E</t>
  </si>
  <si>
    <t>Exchahandayani@gmail.com</t>
  </si>
  <si>
    <t>2982</t>
  </si>
  <si>
    <t>1ERtB2iVBo8wXz1y8ySrd3glqS0crPzxS</t>
  </si>
  <si>
    <t>https://drive.google.com/file/d/1ERtB2iVBo8wXz1y8ySrd3glqS0crPzxS/view?usp=drivesdk</t>
  </si>
  <si>
    <t xml:space="preserve">YUDI SANTOSA </t>
  </si>
  <si>
    <t>yudisantosa170270@gmail.com</t>
  </si>
  <si>
    <t>2983</t>
  </si>
  <si>
    <t>https://drive.google.com/file/d/1macXzyp17Jzf4L3DCNnt59H1gTZPa1n3/view?usp=drivesdk</t>
  </si>
  <si>
    <t>1macXzyp17Jzf4L3DCNnt59H1gTZPa1n3</t>
  </si>
  <si>
    <t>1ryi27dLSy6yyi-2kBUTX6cNXL7O9AqLz</t>
  </si>
  <si>
    <t>https://drive.google.com/file/d/1ryi27dLSy6yyi-2kBUTX6cNXL7O9AqLz/view?usp=drivesdk</t>
  </si>
  <si>
    <t>Document successfully created; Document successfully merged; PDF created; !!Error Sending Emails: Service invoked too many times for one day: email.; Run via form trigger as ecertificate75@gmail.com; Timestamp: Sep 1 2024 10:47 PM</t>
  </si>
  <si>
    <t xml:space="preserve">FITRI YANTI, AM KEP </t>
  </si>
  <si>
    <t>fyyanti13@gmail.com</t>
  </si>
  <si>
    <t>2984</t>
  </si>
  <si>
    <t>Starting at Thu Aug 29 2024 21:13:19 GMT-0400 (EDT)</t>
  </si>
  <si>
    <t>1DzYoDoTj7zWO-vvRx5fiMtnMcc6-s4RB</t>
  </si>
  <si>
    <t>https://drive.google.com/file/d/1DzYoDoTj7zWO-vvRx5fiMtnMcc6-s4RB/view?usp=drivesdk</t>
  </si>
  <si>
    <t>RUHENDI,S.PD.,M.SI</t>
  </si>
  <si>
    <t>ruhendispd117@gmail.com</t>
  </si>
  <si>
    <t>2985</t>
  </si>
  <si>
    <t>14_GsjGoRFRQVNgtwhK4oGM8WEYWi1jIk</t>
  </si>
  <si>
    <t>https://drive.google.com/file/d/14_GsjGoRFRQVNgtwhK4oGM8WEYWi1jIk/view?usp=drivesdk</t>
  </si>
  <si>
    <t>ARMIN HIDAYAT, S.E.</t>
  </si>
  <si>
    <t>arminsarpras@gmail.com</t>
  </si>
  <si>
    <t>2986</t>
  </si>
  <si>
    <t>1HWmXRU_i0MJykRJAGOHbqrp0IXYDQstZ</t>
  </si>
  <si>
    <t>https://drive.google.com/file/d/1HWmXRU_i0MJykRJAGOHbqrp0IXYDQstZ/view?usp=drivesdk</t>
  </si>
  <si>
    <t xml:space="preserve">NURMAWATI </t>
  </si>
  <si>
    <t>noermawati72@gmail.com</t>
  </si>
  <si>
    <t>2987</t>
  </si>
  <si>
    <t>1pLlmgTJt5Ms3_KbwKvc1V6h_j-3LlT9a</t>
  </si>
  <si>
    <t>https://drive.google.com/file/d/1pLlmgTJt5Ms3_KbwKvc1V6h_j-3LlT9a/view?usp=drivesdk</t>
  </si>
  <si>
    <t>SUWARNI</t>
  </si>
  <si>
    <t>suwarni790520@gmail.com</t>
  </si>
  <si>
    <t>2988</t>
  </si>
  <si>
    <t>1EC6y2qToiIcGwYHYR1dwTRMtZ9TD6qWS</t>
  </si>
  <si>
    <t>https://drive.google.com/file/d/1EC6y2qToiIcGwYHYR1dwTRMtZ9TD6qWS/view?usp=drivesdk</t>
  </si>
  <si>
    <t xml:space="preserve">NENI MASYE MOKOGINTA </t>
  </si>
  <si>
    <t>nenimokoginta07@gmail.com</t>
  </si>
  <si>
    <t>2989</t>
  </si>
  <si>
    <t>1xOvK1DmO3d1poznqf4hBwPYFp_vPzymz</t>
  </si>
  <si>
    <t>https://drive.google.com/file/d/1xOvK1DmO3d1poznqf4hBwPYFp_vPzymz/view?usp=drivesdk</t>
  </si>
  <si>
    <t>Document successfully created; Document successfully merged; PDF created; !!Error Sending Emails: Service invoked too many times for one day: email.; Run via form trigger as ecertificate75@gmail.com; Timestamp: Sep 1 2024 10:48 PM</t>
  </si>
  <si>
    <t>ROJAK SDM</t>
  </si>
  <si>
    <t>rojak.7111@gmail.com</t>
  </si>
  <si>
    <t>2990</t>
  </si>
  <si>
    <t>1aOI34otFRQb_UjhbcyPpLj6LXFCcQ9tV</t>
  </si>
  <si>
    <t>https://drive.google.com/file/d/1aOI34otFRQb_UjhbcyPpLj6LXFCcQ9tV/view?usp=drivesdk</t>
  </si>
  <si>
    <t>HUSNANI</t>
  </si>
  <si>
    <t>amirnani464@gmail.com</t>
  </si>
  <si>
    <t>2991</t>
  </si>
  <si>
    <t>1nnyqQME26ybSkeSs4nIaprpqQ7lgqEuD</t>
  </si>
  <si>
    <t>https://drive.google.com/file/d/1nnyqQME26ybSkeSs4nIaprpqQ7lgqEuD/view?usp=drivesdk</t>
  </si>
  <si>
    <t>INDRIANI</t>
  </si>
  <si>
    <t>rodiindriani@gmail.com</t>
  </si>
  <si>
    <t>2992</t>
  </si>
  <si>
    <t>1i4wXRbhMoIhSuiSIpAObVo8AHsy0ZU8o</t>
  </si>
  <si>
    <t>https://drive.google.com/file/d/1i4wXRbhMoIhSuiSIpAObVo8AHsy0ZU8o/view?usp=drivesdk</t>
  </si>
  <si>
    <t>SUDARMI</t>
  </si>
  <si>
    <t>sudarmitomy@gmail.com</t>
  </si>
  <si>
    <t>2993</t>
  </si>
  <si>
    <t>1c9Vjr5qjXkVW3FlFjqEd136g_yYVwv2C</t>
  </si>
  <si>
    <t>https://drive.google.com/file/d/1c9Vjr5qjXkVW3FlFjqEd136g_yYVwv2C/view?usp=drivesdk</t>
  </si>
  <si>
    <t>ENI HARYANI,AMK</t>
  </si>
  <si>
    <t>eniharyani025@gmail.com</t>
  </si>
  <si>
    <t>2994</t>
  </si>
  <si>
    <t>1X5mfsW8IYB3WpNzXV0pRwm57UtAmaPrV</t>
  </si>
  <si>
    <t>https://drive.google.com/file/d/1X5mfsW8IYB3WpNzXV0pRwm57UtAmaPrV/view?usp=drivesdk</t>
  </si>
  <si>
    <t>TEGUH HARIADI</t>
  </si>
  <si>
    <t>teguh.habe@gmail.com</t>
  </si>
  <si>
    <t>2995</t>
  </si>
  <si>
    <t>1PHs04euzMb3lzqyufXLWObbWYzgL30mV</t>
  </si>
  <si>
    <t>https://drive.google.com/file/d/1PHs04euzMb3lzqyufXLWObbWYzgL30mV/view?usp=drivesdk</t>
  </si>
  <si>
    <t>Document successfully created; Document successfully merged; PDF created; !!Error Sending Emails: Service invoked too many times for one day: email.; Run via form trigger as ecertificate75@gmail.com; Timestamp: Sep 1 2024 10:49 PM</t>
  </si>
  <si>
    <t>RAKHMADI ARDIANTO</t>
  </si>
  <si>
    <t>dianardianto09@gmail.com</t>
  </si>
  <si>
    <t>2996</t>
  </si>
  <si>
    <t>1scG_Bbm-5MFSUlowGILE7LFL2E4XE7I4</t>
  </si>
  <si>
    <t>https://drive.google.com/file/d/1scG_Bbm-5MFSUlowGILE7LFL2E4XE7I4/view?usp=drivesdk</t>
  </si>
  <si>
    <t>MARIONO</t>
  </si>
  <si>
    <t>marionomariono7@gmail.com</t>
  </si>
  <si>
    <t>2997</t>
  </si>
  <si>
    <t>https://drive.google.com/file/d/1RMEAkfdYQo5YILx7eDPYifRbTknxgsjC/view?usp=drivesdk</t>
  </si>
  <si>
    <t>1RMEAkfdYQo5YILx7eDPYifRbTknxgsjC</t>
  </si>
  <si>
    <t>1fR9LiSuYXYZC27JO4pYHM3NPfxXQRpxH</t>
  </si>
  <si>
    <t>https://drive.google.com/file/d/1fR9LiSuYXYZC27JO4pYHM3NPfxXQRpxH/view?usp=drivesdk</t>
  </si>
  <si>
    <t>DEWI MURFATIAH, S. Kep</t>
  </si>
  <si>
    <t>dewicepuk@gmail.com</t>
  </si>
  <si>
    <t>2998</t>
  </si>
  <si>
    <t>Starting at Thu Aug 29 2024 21:13:21 GMT-0400 (EDT)</t>
  </si>
  <si>
    <t>1VEGkmE8xLEyYGBfifYNe2AYoXrGHiu5J</t>
  </si>
  <si>
    <t>https://drive.google.com/file/d/1VEGkmE8xLEyYGBfifYNe2AYoXrGHiu5J/view?usp=drivesdk</t>
  </si>
  <si>
    <t>ANGGUN INA LESTARI PASARIBU, SH</t>
  </si>
  <si>
    <t>Anggunpas@gmail.com</t>
  </si>
  <si>
    <t>2999</t>
  </si>
  <si>
    <t>1Wpz2liMM5mUez2a2GIXpDWJH0b5WQKag</t>
  </si>
  <si>
    <t>https://drive.google.com/file/d/1Wpz2liMM5mUez2a2GIXpDWJH0b5WQKag/view?usp=drivesdk</t>
  </si>
  <si>
    <t>LESI YANUARSI</t>
  </si>
  <si>
    <t>lesiyanuarsi@gmail.com</t>
  </si>
  <si>
    <t>3000</t>
  </si>
  <si>
    <t>1o82S3ng4wrIlxUSw9-kYbnib5Q9qBmzd</t>
  </si>
  <si>
    <t>https://drive.google.com/file/d/1o82S3ng4wrIlxUSw9-kYbnib5Q9qBmzd/view?usp=drivesdk</t>
  </si>
  <si>
    <t>Document successfully created; Document successfully merged; PDF created; !!Error Sending Emails: Service invoked too many times for one day: email.; Run via form trigger as ecertificate75@gmail.com; Timestamp: Sep 1 2024 10:50 PM</t>
  </si>
  <si>
    <t>KHALIDAH, S.E.</t>
  </si>
  <si>
    <t>ghinada221@gmail.com</t>
  </si>
  <si>
    <t>3001</t>
  </si>
  <si>
    <t>Starting at Thu Aug 29 2024 21:13:24 GMT-0400 (EDT)</t>
  </si>
  <si>
    <t>1XCLL3vl-A5Vdjf5NspSzO1Vx0bdZUC0H</t>
  </si>
  <si>
    <t>https://drive.google.com/file/d/1XCLL3vl-A5Vdjf5NspSzO1Vx0bdZUC0H/view?usp=drivesdk</t>
  </si>
  <si>
    <t>KARTIKA SARI, AMd.Keb</t>
  </si>
  <si>
    <t>kartikasariix3@gmail.com</t>
  </si>
  <si>
    <t>3002</t>
  </si>
  <si>
    <t>1IjQTEXbenwdBYBb2JaWGeP8dAwAHq8Qn</t>
  </si>
  <si>
    <t>https://drive.google.com/file/d/1IjQTEXbenwdBYBb2JaWGeP8dAwAHq8Qn/view?usp=drivesdk</t>
  </si>
  <si>
    <t>ARY EKA PRASETYA, AMK</t>
  </si>
  <si>
    <t>aryekka04@gmail.com</t>
  </si>
  <si>
    <t>3003</t>
  </si>
  <si>
    <t>1sevlscSDAID-dnF_6crT2r-Gn-F4dyt_</t>
  </si>
  <si>
    <t>https://drive.google.com/file/d/1sevlscSDAID-dnF_6crT2r-Gn-F4dyt_/view?usp=drivesdk</t>
  </si>
  <si>
    <t>RUSMINI, S. Sos.,M.MPd</t>
  </si>
  <si>
    <t>rusm405@gmail.com</t>
  </si>
  <si>
    <t>3004</t>
  </si>
  <si>
    <t>1KBEpNaN82UY-itWHpGBxKiiK6m0k8yst</t>
  </si>
  <si>
    <t>https://drive.google.com/file/d/1KBEpNaN82UY-itWHpGBxKiiK6m0k8yst/view?usp=drivesdk</t>
  </si>
  <si>
    <t>Document successfully created; Document successfully merged; PDF created; !!Error Sending Emails: Service invoked too many times for one day: email.; Run via form trigger as ecertificate75@gmail.com; Timestamp: Sep 1 2024 10:51 PM</t>
  </si>
  <si>
    <t>ELLY SUDRIANINGSIH, S.Sos</t>
  </si>
  <si>
    <t>ellysudrianingsih@gmail.com</t>
  </si>
  <si>
    <t>3005</t>
  </si>
  <si>
    <t>1prAMSMcUAz1s46UbZnct5u_oOFMnqiVx</t>
  </si>
  <si>
    <t>https://drive.google.com/file/d/1prAMSMcUAz1s46UbZnct5u_oOFMnqiVx/view?usp=drivesdk</t>
  </si>
  <si>
    <t>Document successfully created; Document successfully merged; PDF created; !!Error Sending Emails: Service invoked too many times for one day: email.; Run via form trigger as ecertificate75@gmail.com; Timestamp: Sep 1 2024 10:53 PM</t>
  </si>
  <si>
    <t>TARSONO</t>
  </si>
  <si>
    <t>tarsonobms5@gmail.com</t>
  </si>
  <si>
    <t>3006</t>
  </si>
  <si>
    <t>1MYm-bJ1RwEG8Fcdg9xEGDAvpPUz_kt24</t>
  </si>
  <si>
    <t>https://drive.google.com/file/d/1MYm-bJ1RwEG8Fcdg9xEGDAvpPUz_kt24/view?usp=drivesdk</t>
  </si>
  <si>
    <t>PENGATUR PRIYO</t>
  </si>
  <si>
    <t>priyooo86@gmail.com</t>
  </si>
  <si>
    <t>3007</t>
  </si>
  <si>
    <t>1O2eVM68tAjxSv3mGj8zCNsmgtz5Z34R-</t>
  </si>
  <si>
    <t>https://drive.google.com/file/d/1O2eVM68tAjxSv3mGj8zCNsmgtz5Z34R-/view?usp=drivesdk</t>
  </si>
  <si>
    <t>TRI YANTO</t>
  </si>
  <si>
    <t>triyantopetruk@gmail.com</t>
  </si>
  <si>
    <t>3008</t>
  </si>
  <si>
    <t>Starting at Thu Aug 29 2024 21:13:25 GMT-0400 (EDT)</t>
  </si>
  <si>
    <t>1iRp_399aRa7fF11D_9ggopm6apCbMcGh</t>
  </si>
  <si>
    <t>https://drive.google.com/file/d/1iRp_399aRa7fF11D_9ggopm6apCbMcGh/view?usp=drivesdk</t>
  </si>
  <si>
    <t xml:space="preserve">JULIANTA BR SEMBIRING MELIALA </t>
  </si>
  <si>
    <t>juliantasembiring79@gmail.com</t>
  </si>
  <si>
    <t>3009</t>
  </si>
  <si>
    <t>1FvCwcwIQJhyLYffT-5C8cj2BJC3OZ3-f</t>
  </si>
  <si>
    <t>https://drive.google.com/file/d/1FvCwcwIQJhyLYffT-5C8cj2BJC3OZ3-f/view?usp=drivesdk</t>
  </si>
  <si>
    <t>SALFATRI, S.E.</t>
  </si>
  <si>
    <t>salfatri933@gmail.com</t>
  </si>
  <si>
    <t>3010</t>
  </si>
  <si>
    <t>12Ccq7IJUSB9xXoixvzwpGXzCknO8BKsk</t>
  </si>
  <si>
    <t>https://drive.google.com/file/d/12Ccq7IJUSB9xXoixvzwpGXzCknO8BKsk/view?usp=drivesdk</t>
  </si>
  <si>
    <t>Document successfully created; Document successfully merged; PDF created; !!Error Sending Emails: Service invoked too many times for one day: email.; Run via form trigger as ecertificate75@gmail.com; Timestamp: Sep 1 2024 10:54 PM</t>
  </si>
  <si>
    <t xml:space="preserve">SUNARTO, S. AP., M. AP. </t>
  </si>
  <si>
    <t>narto161074@gmail.com</t>
  </si>
  <si>
    <t>3011</t>
  </si>
  <si>
    <t>1jnbVnqhd6f6mYwtYGRDbeodOlUytiFC4</t>
  </si>
  <si>
    <t>https://drive.google.com/file/d/1jnbVnqhd6f6mYwtYGRDbeodOlUytiFC4/view?usp=drivesdk</t>
  </si>
  <si>
    <t>NI NYOMAN SRI EKA</t>
  </si>
  <si>
    <t>sriekapns@gmail.com</t>
  </si>
  <si>
    <t>3012</t>
  </si>
  <si>
    <t>1Yz96nKYWH-OTYvZ_VpxzQmanNK4pu49M</t>
  </si>
  <si>
    <t>https://drive.google.com/file/d/1Yz96nKYWH-OTYvZ_VpxzQmanNK4pu49M/view?usp=drivesdk</t>
  </si>
  <si>
    <t>HENNY SINULINGGA</t>
  </si>
  <si>
    <t>sinulingga.henny.123@gmail.com</t>
  </si>
  <si>
    <t>3013</t>
  </si>
  <si>
    <t>Starting at Thu Aug 29 2024 21:13:36 GMT-0400 (EDT)</t>
  </si>
  <si>
    <t>11yOmrakV-FOMQZz0bki0caz0OFmpyd61</t>
  </si>
  <si>
    <t>https://drive.google.com/file/d/11yOmrakV-FOMQZz0bki0caz0OFmpyd61/view?usp=drivesdk</t>
  </si>
  <si>
    <t>Document successfully created; Document successfully merged; PDF created; !!Error Sending Emails: Service invoked too many times for one day: email.; Run via form trigger as ecertificate75@gmail.com; Timestamp: Sep 1 2024 10:55 PM</t>
  </si>
  <si>
    <t xml:space="preserve">SABILA, S. Pd. </t>
  </si>
  <si>
    <t>sabila354@gmail.com</t>
  </si>
  <si>
    <t>3014</t>
  </si>
  <si>
    <t>1coQRF649AF66j0K4CA-XRJIXbblLq1E-</t>
  </si>
  <si>
    <t>https://drive.google.com/file/d/1coQRF649AF66j0K4CA-XRJIXbblLq1E-/view?usp=drivesdk</t>
  </si>
  <si>
    <t>JAMARI</t>
  </si>
  <si>
    <t>jamarisebasa164@gmail.com</t>
  </si>
  <si>
    <t>3015</t>
  </si>
  <si>
    <t>1KffxwWM_RWGL6RA8GL75bZG8yXnPK7Zf</t>
  </si>
  <si>
    <t>https://drive.google.com/file/d/1KffxwWM_RWGL6RA8GL75bZG8yXnPK7Zf/view?usp=drivesdk</t>
  </si>
  <si>
    <t>DARWINA TANJUNG, S.H.</t>
  </si>
  <si>
    <t>winatan80@gmail.com</t>
  </si>
  <si>
    <t>3016</t>
  </si>
  <si>
    <t>1ZzxM-hwtlrkW_gg1KYBmLsIRyM2aNyq0</t>
  </si>
  <si>
    <t>https://drive.google.com/file/d/1ZzxM-hwtlrkW_gg1KYBmLsIRyM2aNyq0/view?usp=drivesdk</t>
  </si>
  <si>
    <t>ELDINA MANURUNG, SE</t>
  </si>
  <si>
    <t>dhinae_shee@yahoo.com</t>
  </si>
  <si>
    <t>3017</t>
  </si>
  <si>
    <t>1CuIxAPcOmQGiB0L2uoCl_Krn3DJdCoyf</t>
  </si>
  <si>
    <t>https://drive.google.com/file/d/1CuIxAPcOmQGiB0L2uoCl_Krn3DJdCoyf/view?usp=drivesdk</t>
  </si>
  <si>
    <t>Document successfully created; Document successfully merged; PDF created; !!Error Sending Emails: Service invoked too many times for one day: email.; Run via form trigger as ecertificate75@gmail.com; Timestamp: Sep 1 2024 10:56 PM</t>
  </si>
  <si>
    <t>NURMALA OKTORIKA, S.AG</t>
  </si>
  <si>
    <t>nurmalaoktorika@gmail.com</t>
  </si>
  <si>
    <t>3018</t>
  </si>
  <si>
    <t>1J7ijf3ScUGG8ix0Dj1V9oy_6iLU7e7X1</t>
  </si>
  <si>
    <t>https://drive.google.com/file/d/1J7ijf3ScUGG8ix0Dj1V9oy_6iLU7e7X1/view?usp=drivesdk</t>
  </si>
  <si>
    <t>DEBY HARFIANSYAH, SH</t>
  </si>
  <si>
    <t>debyharfiansyah@gmail.com</t>
  </si>
  <si>
    <t>3019</t>
  </si>
  <si>
    <t>133kZ2vGbx0TIdqicdSclZ5NbOAzy8oNl</t>
  </si>
  <si>
    <t>https://drive.google.com/file/d/133kZ2vGbx0TIdqicdSclZ5NbOAzy8oNl/view?usp=drivesdk</t>
  </si>
  <si>
    <t>TUMADJI</t>
  </si>
  <si>
    <t>tumadji67@gmail.com</t>
  </si>
  <si>
    <t>3020</t>
  </si>
  <si>
    <t>13s2b5MIgABkyu-eR7DiPbQr_XQkbD6S0</t>
  </si>
  <si>
    <t>https://drive.google.com/file/d/13s2b5MIgABkyu-eR7DiPbQr_XQkbD6S0/view?usp=drivesdk</t>
  </si>
  <si>
    <t>KASMUDI</t>
  </si>
  <si>
    <t>Kasmoedi27@gmail.com</t>
  </si>
  <si>
    <t>3021</t>
  </si>
  <si>
    <t>181l-_q5XV2TJVfGK900nYp4nxPlkSY9j</t>
  </si>
  <si>
    <t>https://drive.google.com/file/d/181l-_q5XV2TJVfGK900nYp4nxPlkSY9j/view?usp=drivesdk</t>
  </si>
  <si>
    <t>Document successfully created; Document successfully merged; PDF created; !!Error Sending Emails: Service invoked too many times for one day: email.; Run via form trigger as ecertificate75@gmail.com; Timestamp: Sep 1 2024 10:57 PM</t>
  </si>
  <si>
    <t>WIDIA PUSPITA,A.MD.KEP</t>
  </si>
  <si>
    <t>w.puspitaa@gmail.com</t>
  </si>
  <si>
    <t>3022</t>
  </si>
  <si>
    <t>1utDZF0qjrPHWcPv2hIewdq5PFVmvXvVt</t>
  </si>
  <si>
    <t>https://drive.google.com/file/d/1utDZF0qjrPHWcPv2hIewdq5PFVmvXvVt/view?usp=drivesdk</t>
  </si>
  <si>
    <t>DR. DIAH AYU PRIYATININGSIH</t>
  </si>
  <si>
    <t>diah91ayu@gmail.com</t>
  </si>
  <si>
    <t>3023</t>
  </si>
  <si>
    <t>1GPOQrf6IlMIPoJrVZ8fA5wd2RKALTQbs</t>
  </si>
  <si>
    <t>https://drive.google.com/file/d/1GPOQrf6IlMIPoJrVZ8fA5wd2RKALTQbs/view?usp=drivesdk</t>
  </si>
  <si>
    <t>TRISNO</t>
  </si>
  <si>
    <t>trisnoganteng5758@gmail.com</t>
  </si>
  <si>
    <t>3024</t>
  </si>
  <si>
    <t>1vOwqsIGWW3qf86Iwu-h6plbxuwUtYXj4</t>
  </si>
  <si>
    <t>https://drive.google.com/file/d/1vOwqsIGWW3qf86Iwu-h6plbxuwUtYXj4/view?usp=drivesdk</t>
  </si>
  <si>
    <t>Document successfully created; Document successfully merged; PDF created; Emails Sent: [To: trisnoganteng5758@gmail.com]; Manually run by ecertificate75@gmail.com; Timestamp: Sep 1 2024 11:36 PM</t>
  </si>
  <si>
    <t>MURTINI</t>
  </si>
  <si>
    <t>mmurtini860@gmail.com</t>
  </si>
  <si>
    <t>3025</t>
  </si>
  <si>
    <t>1NM9aW9KpqzvshD1F4FzE7yK_tjKirMEc</t>
  </si>
  <si>
    <t>https://drive.google.com/file/d/1NM9aW9KpqzvshD1F4FzE7yK_tjKirMEc/view?usp=drivesdk</t>
  </si>
  <si>
    <t>Document successfully created; Document successfully merged; PDF created; !!Error Sending Emails: Service invoked too many times for one day: email.; Manually run by ecertificate75@gmail.com; Timestamp: Sep 1 2024 11:36 PM</t>
  </si>
  <si>
    <t>DARMAYANTI,A.Md</t>
  </si>
  <si>
    <t>SYIFAMIRA888@GMAIL.COM</t>
  </si>
  <si>
    <t>3026</t>
  </si>
  <si>
    <t>1UoazT5ZrI5Lp2qUhM-w3SK6wdMxJOS2S</t>
  </si>
  <si>
    <t>https://drive.google.com/file/d/1UoazT5ZrI5Lp2qUhM-w3SK6wdMxJOS2S/view?usp=drivesdk</t>
  </si>
  <si>
    <t>M. ALI MUSTOPA</t>
  </si>
  <si>
    <t>muhammadalimustopa75@gmail.com</t>
  </si>
  <si>
    <t>3027</t>
  </si>
  <si>
    <t>1JITKy4Vx6YJ_OPQctWv8IqUkEapolr9U</t>
  </si>
  <si>
    <t>https://drive.google.com/file/d/1JITKy4Vx6YJ_OPQctWv8IqUkEapolr9U/view?usp=drivesdk</t>
  </si>
  <si>
    <t>Document successfully created; Document successfully merged; PDF created; !!Error Sending Emails: Service invoked too many times for one day: email.; Manually run by ecertificate75@gmail.com; Timestamp: Sep 1 2024 11:37 PM</t>
  </si>
  <si>
    <t>KOKO SANTOSO</t>
  </si>
  <si>
    <t>kokosantoso1983@gmail.com</t>
  </si>
  <si>
    <t>3028</t>
  </si>
  <si>
    <t>1Jzx-4y-TXoJlMK_yxaawJMdDIZb30Ur4</t>
  </si>
  <si>
    <t>https://drive.google.com/file/d/1Jzx-4y-TXoJlMK_yxaawJMdDIZb30Ur4/view?usp=drivesdk</t>
  </si>
  <si>
    <t>BAGYO S</t>
  </si>
  <si>
    <t>bagyosoepriono@gmail.com</t>
  </si>
  <si>
    <t>3029</t>
  </si>
  <si>
    <t>https://drive.google.com/file/d/1cW6Rs0Jf-D2mcjiRvdfEolOBMTmR2kI8/view?usp=drivesdk</t>
  </si>
  <si>
    <t>1cW6Rs0Jf-D2mcjiRvdfEolOBMTmR2kI8</t>
  </si>
  <si>
    <t>1SmbUGx6oNsWAT8M8LztpeCK8RYRUdyvF</t>
  </si>
  <si>
    <t>https://drive.google.com/file/d/1SmbUGx6oNsWAT8M8LztpeCK8RYRUdyvF/view?usp=drivesdk</t>
  </si>
  <si>
    <t>ANTUN SUGIYARTI, S.H.</t>
  </si>
  <si>
    <t>antunsugiyarti@gmail.com</t>
  </si>
  <si>
    <t>3030</t>
  </si>
  <si>
    <t>https://drive.google.com/file/d/1oql6Oc6afuF_0wI5vhMOz6-IOh7DpqfE/view?usp=drivesdk</t>
  </si>
  <si>
    <t>1oql6Oc6afuF_0wI5vhMOz6-IOh7DpqfE</t>
  </si>
  <si>
    <t>1DWsMHfhBrrM7Rgj0Oa14LZtQp8cC1gyQ</t>
  </si>
  <si>
    <t>https://drive.google.com/file/d/1DWsMHfhBrrM7Rgj0Oa14LZtQp8cC1gyQ/view?usp=drivesdk</t>
  </si>
  <si>
    <t>MEY INDRIYANI</t>
  </si>
  <si>
    <t>ridmei@gmail.com</t>
  </si>
  <si>
    <t>3031</t>
  </si>
  <si>
    <t>https://drive.google.com/file/d/1bEHVuSLmlVrsnZMiTOlMITux8yw5c71w/view?usp=drivesdk</t>
  </si>
  <si>
    <t>1bEHVuSLmlVrsnZMiTOlMITux8yw5c71w</t>
  </si>
  <si>
    <t>1lzPMoiaFDP_TWn9FGeMa06u9K2EoP0Vp</t>
  </si>
  <si>
    <t>https://drive.google.com/file/d/1lzPMoiaFDP_TWn9FGeMa06u9K2EoP0Vp/view?usp=drivesdk</t>
  </si>
  <si>
    <t>LILIS MARYATI</t>
  </si>
  <si>
    <t>lm6101941@gmail.com</t>
  </si>
  <si>
    <t>3032</t>
  </si>
  <si>
    <t>https://drive.google.com/file/d/1nJzrEfJTTTyCS-uJwxeYOQEww1y0s0UV/view?usp=drivesdk</t>
  </si>
  <si>
    <t>1nJzrEfJTTTyCS-uJwxeYOQEww1y0s0UV</t>
  </si>
  <si>
    <t>1CrMnxzKKEh32Rhu4bh7RWngN8eTT4UtA</t>
  </si>
  <si>
    <t>https://drive.google.com/file/d/1CrMnxzKKEh32Rhu4bh7RWngN8eTT4UtA/view?usp=drivesdk</t>
  </si>
  <si>
    <t>Document successfully created; Document successfully merged; PDF created; !!Error Sending Emails: Service invoked too many times for one day: email.; Manually run by ecertificate75@gmail.com; Timestamp: Sep 1 2024 11:38 PM</t>
  </si>
  <si>
    <t>YENI YULIANA</t>
  </si>
  <si>
    <t>yenizeinds@gmail.com</t>
  </si>
  <si>
    <t>3033</t>
  </si>
  <si>
    <t>https://drive.google.com/file/d/1BTH_dieWbxZot1vWbrVL0N3l08Hutdhk/view?usp=drivesdk</t>
  </si>
  <si>
    <t>1BTH_dieWbxZot1vWbrVL0N3l08Hutdhk</t>
  </si>
  <si>
    <t>1lf3_eYdlzkfoAh2_zy4PeISrQqVJGZKA</t>
  </si>
  <si>
    <t>https://drive.google.com/file/d/1lf3_eYdlzkfoAh2_zy4PeISrQqVJGZKA/view?usp=drivesdk</t>
  </si>
  <si>
    <t>RIKA PURNAMA SARI</t>
  </si>
  <si>
    <t>saririka553@gmail.com</t>
  </si>
  <si>
    <t>3034</t>
  </si>
  <si>
    <t>https://drive.google.com/file/d/13ZtCjUJlqWZtdsXewPe2FB17MoGXPOQS/view?usp=drivesdk</t>
  </si>
  <si>
    <t>13ZtCjUJlqWZtdsXewPe2FB17MoGXPOQS</t>
  </si>
  <si>
    <t>1AkQihxAwmR7aLkf1j7fkjdX24fSR8uk0</t>
  </si>
  <si>
    <t>https://drive.google.com/file/d/1AkQihxAwmR7aLkf1j7fkjdX24fSR8uk0/view?usp=drivesdk</t>
  </si>
  <si>
    <t>JURU BEJO</t>
  </si>
  <si>
    <t>bejosumirat1969@gmial.com</t>
  </si>
  <si>
    <t>3035</t>
  </si>
  <si>
    <t>https://drive.google.com/file/d/1ClbRYwKy5rPhHCEj83jMAFJQqFDhLhCf/view?usp=drivesdk</t>
  </si>
  <si>
    <t>1ClbRYwKy5rPhHCEj83jMAFJQqFDhLhCf</t>
  </si>
  <si>
    <t>1h3dFTeNHvVT0W2iWBpThH1Looqoo49M2</t>
  </si>
  <si>
    <t>https://drive.google.com/file/d/1h3dFTeNHvVT0W2iWBpThH1Looqoo49M2/view?usp=drivesdk</t>
  </si>
  <si>
    <t>REZKY, A.MD.KEB</t>
  </si>
  <si>
    <t>qhikyrezky@gmail.com</t>
  </si>
  <si>
    <t>3036</t>
  </si>
  <si>
    <t>Starting at Thu Aug 29 2024 21:13:40 GMT-0400 (EDT)</t>
  </si>
  <si>
    <t>17ptK_kQUXg3g0boMMVEwKcvnAEv80FOp</t>
  </si>
  <si>
    <t>https://drive.google.com/file/d/17ptK_kQUXg3g0boMMVEwKcvnAEv80FOp/view?usp=drivesdk</t>
  </si>
  <si>
    <t>FARMIN</t>
  </si>
  <si>
    <t>farmin1967@gmail.com</t>
  </si>
  <si>
    <t>3037</t>
  </si>
  <si>
    <t>1Rk2rljXZu9w8r16xfQkwDvQsvmYS8ZFr</t>
  </si>
  <si>
    <t>https://drive.google.com/file/d/1Rk2rljXZu9w8r16xfQkwDvQsvmYS8ZFr/view?usp=drivesdk</t>
  </si>
  <si>
    <t>Document successfully created; Document successfully merged; PDF created; !!Error Sending Emails: Service invoked too many times for one day: email.; Manually run by ecertificate75@gmail.com; Timestamp: Sep 1 2024 11:39 PM</t>
  </si>
  <si>
    <t>UDPADI DJOKO MURDOPO,SE</t>
  </si>
  <si>
    <t>urkeuitwasdapoldajabar@gmail.com</t>
  </si>
  <si>
    <t>3038</t>
  </si>
  <si>
    <t>15vVvrJzfLsFOmbX8NMibNkiSwihjvT3P</t>
  </si>
  <si>
    <t>https://drive.google.com/file/d/15vVvrJzfLsFOmbX8NMibNkiSwihjvT3P/view?usp=drivesdk</t>
  </si>
  <si>
    <t>SARI NURLITA, S.E.</t>
  </si>
  <si>
    <t>sarinurlita81@gmail.com</t>
  </si>
  <si>
    <t>3039</t>
  </si>
  <si>
    <t>1-Y5-XH6GEeJP5-S2EfCzzzcRyD-4xKaf</t>
  </si>
  <si>
    <t>https://drive.google.com/file/d/1-Y5-XH6GEeJP5-S2EfCzzzcRyD-4xKaf/view?usp=drivesdk</t>
  </si>
  <si>
    <t>RENNI SISKA, S.H.</t>
  </si>
  <si>
    <t>rennisiska19@gmail.com</t>
  </si>
  <si>
    <t>3040</t>
  </si>
  <si>
    <t>16VeZFFx94kYcOui3T_VnSQxhuhHrG-MB</t>
  </si>
  <si>
    <t>https://drive.google.com/file/d/16VeZFFx94kYcOui3T_VnSQxhuhHrG-MB/view?usp=drivesdk</t>
  </si>
  <si>
    <t>UBID KARIMULLAH ALHAYAT</t>
  </si>
  <si>
    <t>ubidkarimullah@gmail.com</t>
  </si>
  <si>
    <t>3041</t>
  </si>
  <si>
    <t>15QSj8ILK93wAq0c7nl6LdBc8nQJXQFCS</t>
  </si>
  <si>
    <t>https://drive.google.com/file/d/15QSj8ILK93wAq0c7nl6LdBc8nQJXQFCS/view?usp=drivesdk</t>
  </si>
  <si>
    <t>Document successfully created; Document successfully merged; PDF created; !!Error Sending Emails: Service invoked too many times for one day: email.; Manually run by ecertificate75@gmail.com; Timestamp: Sep 1 2024 11:40 PM</t>
  </si>
  <si>
    <t>UCOK KAMIL. A.MD.KEP</t>
  </si>
  <si>
    <t>ucokkamil001@gmail.com</t>
  </si>
  <si>
    <t>3042</t>
  </si>
  <si>
    <t>https://drive.google.com/file/d/1KLQQqisDyDP328-KGogeLcQ_dvFq4hh6/view?usp=drivesdk</t>
  </si>
  <si>
    <t>1KLQQqisDyDP328-KGogeLcQ_dvFq4hh6</t>
  </si>
  <si>
    <t>1OqitqX72bIsUPAEJK2gMcyVzIrnuBue8</t>
  </si>
  <si>
    <t>https://drive.google.com/file/d/1OqitqX72bIsUPAEJK2gMcyVzIrnuBue8/view?usp=drivesdk</t>
  </si>
  <si>
    <t>MARLIATINAH</t>
  </si>
  <si>
    <t>marliatinah@gmail.com</t>
  </si>
  <si>
    <t>3043</t>
  </si>
  <si>
    <t>https://drive.google.com/file/d/1ypzZuFBokyQySER7GZtfp8YneTMDacpv/view?usp=drivesdk</t>
  </si>
  <si>
    <t>1ypzZuFBokyQySER7GZtfp8YneTMDacpv</t>
  </si>
  <si>
    <t>1CM69JpkP4qL6mF_XIcVN_dapFSbfQ0wQ</t>
  </si>
  <si>
    <t>https://drive.google.com/file/d/1CM69JpkP4qL6mF_XIcVN_dapFSbfQ0wQ/view?usp=drivesdk</t>
  </si>
  <si>
    <t xml:space="preserve">DWI SARIUTAMI, AMK </t>
  </si>
  <si>
    <t>ismahartati9@gmail.com</t>
  </si>
  <si>
    <t>3044</t>
  </si>
  <si>
    <t>https://drive.google.com/file/d/1Ee0nEyNsn5W4IT64mwyl1aKGrRMe1W5m/view?usp=drivesdk</t>
  </si>
  <si>
    <t>1Ee0nEyNsn5W4IT64mwyl1aKGrRMe1W5m</t>
  </si>
  <si>
    <t>1cr6sr3s0-PNWDqjgVeTYsNOWrZSouEmY</t>
  </si>
  <si>
    <t>https://drive.google.com/file/d/1cr6sr3s0-PNWDqjgVeTYsNOWrZSouEmY/view?usp=drivesdk</t>
  </si>
  <si>
    <t xml:space="preserve">IKA TRI SUCI </t>
  </si>
  <si>
    <t>ikatrisuci2@gmail.com</t>
  </si>
  <si>
    <t>3045</t>
  </si>
  <si>
    <t>https://drive.google.com/file/d/1Kg-GJmyMfoFC9KpGlUiVrJhoxC_cmcJc/view?usp=drivesdk</t>
  </si>
  <si>
    <t>1Kg-GJmyMfoFC9KpGlUiVrJhoxC_cmcJc</t>
  </si>
  <si>
    <t>14QOFtBrsWJFjwVldmeI-WgAjnHnW1GoW</t>
  </si>
  <si>
    <t>https://drive.google.com/file/d/14QOFtBrsWJFjwVldmeI-WgAjnHnW1GoW/view?usp=drivesdk</t>
  </si>
  <si>
    <t xml:space="preserve">RAHMAT APRIYANTO </t>
  </si>
  <si>
    <t>habibievalerie@gmail.com</t>
  </si>
  <si>
    <t>3046</t>
  </si>
  <si>
    <t>https://drive.google.com/file/d/1-jnRLCjfl3DX33kTtu76j2GuxKnLvggn/view?usp=drivesdk</t>
  </si>
  <si>
    <t>1-jnRLCjfl3DX33kTtu76j2GuxKnLvggn</t>
  </si>
  <si>
    <t>1nn3yCkanBjOlYFRZIXm7FYjLUiAFLT9j</t>
  </si>
  <si>
    <t>https://drive.google.com/file/d/1nn3yCkanBjOlYFRZIXm7FYjLUiAFLT9j/view?usp=drivesdk</t>
  </si>
  <si>
    <t>HENNY DOLLYN LONDANG</t>
  </si>
  <si>
    <t>henny86londang@gmail.com</t>
  </si>
  <si>
    <t>3047</t>
  </si>
  <si>
    <t>https://drive.google.com/file/d/1xFKGPEaB7lTPnMOG5gvIFZFHMoRHxWPk/view?usp=drivesdk</t>
  </si>
  <si>
    <t>1xFKGPEaB7lTPnMOG5gvIFZFHMoRHxWPk</t>
  </si>
  <si>
    <t>1OSaGiV1M-eS0huaVjFjc0ABK54ZTuFMk</t>
  </si>
  <si>
    <t>https://drive.google.com/file/d/1OSaGiV1M-eS0huaVjFjc0ABK54ZTuFMk/view?usp=drivesdk</t>
  </si>
  <si>
    <t xml:space="preserve">YAN FEBRYARDI </t>
  </si>
  <si>
    <t>yan.yanmapolri@gmail.com</t>
  </si>
  <si>
    <t>3048</t>
  </si>
  <si>
    <t>https://drive.google.com/file/d/1j1VEfGseGjJmuyt74GyZviiwx2gU2SvV/view?usp=drivesdk</t>
  </si>
  <si>
    <t>1j1VEfGseGjJmuyt74GyZviiwx2gU2SvV</t>
  </si>
  <si>
    <t>1iq9edGnoinxDf4SLwB0K_nFJGhH0XTXU</t>
  </si>
  <si>
    <t>https://drive.google.com/file/d/1iq9edGnoinxDf4SLwB0K_nFJGhH0XTXU/view?usp=drivesdk</t>
  </si>
  <si>
    <t>Document successfully created; Document successfully merged; PDF created; Emails Sent: [To: yan.yanmapolri@gmail.com]; Manually run by ecertificate75@gmail.com; Timestamp: Sep 2 2024 2:47 AM</t>
  </si>
  <si>
    <t>FITRIANI</t>
  </si>
  <si>
    <t>fitrikresna15@gmail.com</t>
  </si>
  <si>
    <t>3049</t>
  </si>
  <si>
    <t>https://drive.google.com/file/d/1Bh1NXgCM3ZUNltH-55fkH1fU51v5-sfS/view?usp=drivesdk</t>
  </si>
  <si>
    <t>1Bh1NXgCM3ZUNltH-55fkH1fU51v5-sfS</t>
  </si>
  <si>
    <t>1JOkkt98mGf5rAxxNE2zSYcUNiG2hupFR</t>
  </si>
  <si>
    <t>https://drive.google.com/file/d/1JOkkt98mGf5rAxxNE2zSYcUNiG2hupFR/view?usp=drivesdk</t>
  </si>
  <si>
    <t>Document successfully created; Document successfully merged; PDF created; Emails Sent: [To: fitrikresna15@gmail.com]; Manually run by ecertificate75@gmail.com; Timestamp: Sep 2 2024 2:47 AM</t>
  </si>
  <si>
    <t>Rumondang Tetty M Siahaan</t>
  </si>
  <si>
    <t>tettysiahaan71@gmail.com</t>
  </si>
  <si>
    <t>3050</t>
  </si>
  <si>
    <t>https://drive.google.com/file/d/1dQr9gOv1xFmyuKhgOSKttGYxnDh22vDz/view?usp=drivesdk</t>
  </si>
  <si>
    <t>1dQr9gOv1xFmyuKhgOSKttGYxnDh22vDz</t>
  </si>
  <si>
    <t>1b8xbkknvQbEvH2UGnIPbBPGt07bTOASU</t>
  </si>
  <si>
    <t>https://drive.google.com/file/d/1b8xbkknvQbEvH2UGnIPbBPGt07bTOASU/view?usp=drivesdk</t>
  </si>
  <si>
    <t>Document successfully created; Document successfully merged; PDF created; Emails Sent: [To: tettysiahaan71@gmail.com]; Manually run by ecertificate75@gmail.com; Timestamp: Sep 2 2024 2:47 AM</t>
  </si>
  <si>
    <t>ANIK RAHAYU</t>
  </si>
  <si>
    <t>anikrahayu@gmail.com</t>
  </si>
  <si>
    <t>3051</t>
  </si>
  <si>
    <t>https://drive.google.com/file/d/1n7EKSE8lYGjvzp0z6kN9IEOcXP6E0HCq/view?usp=drivesdk</t>
  </si>
  <si>
    <t>1n7EKSE8lYGjvzp0z6kN9IEOcXP6E0HCq</t>
  </si>
  <si>
    <t>11SBnzLt3oBBRULdzI-v1m05EauQM4Hoq</t>
  </si>
  <si>
    <t>https://drive.google.com/file/d/11SBnzLt3oBBRULdzI-v1m05EauQM4Hoq/view?usp=drivesdk</t>
  </si>
  <si>
    <t>Document successfully created; Document successfully merged; PDF created; Emails Sent: [To: anikrahayu@gmail.com]; Manually run by ecertificate75@gmail.com; Timestamp: Sep 2 2024 2:47 AM</t>
  </si>
  <si>
    <t>MAKRIP</t>
  </si>
  <si>
    <t>makripmakrip5@gmail.com</t>
  </si>
  <si>
    <t>3052</t>
  </si>
  <si>
    <t>Starting at Thu Aug 29 2024 21:13:47 GMT-0400 (EDT)</t>
  </si>
  <si>
    <t>1cUFbACP9YBUzXJe2uN_fpxqMNQYn5jC3</t>
  </si>
  <si>
    <t>https://drive.google.com/file/d/1cUFbACP9YBUzXJe2uN_fpxqMNQYn5jC3/view?usp=drivesdk</t>
  </si>
  <si>
    <t>Document successfully created; Document successfully merged; PDF created; Emails Sent: [To: makripmakrip5@gmail.com]; Manually run by ecertificate75@gmail.com; Timestamp: Sep 2 2024 2:48 AM</t>
  </si>
  <si>
    <t>IVAN HADARI</t>
  </si>
  <si>
    <t>ivanhadari85@gmail.com</t>
  </si>
  <si>
    <t>3053</t>
  </si>
  <si>
    <t>1wRzF_ZdxltyzTWhMruguq0jNEh-DYV-M</t>
  </si>
  <si>
    <t>https://drive.google.com/file/d/1wRzF_ZdxltyzTWhMruguq0jNEh-DYV-M/view?usp=drivesdk</t>
  </si>
  <si>
    <t>Document successfully created; Document successfully merged; PDF created; Emails Sent: [To: ivanhadari85@gmail.com]; Manually run by ecertificate75@gmail.com; Timestamp: Sep 2 2024 2:48 AM</t>
  </si>
  <si>
    <t>ELI ULASTRI</t>
  </si>
  <si>
    <t>Ulastri1968@gmail.com</t>
  </si>
  <si>
    <t>3054</t>
  </si>
  <si>
    <t>https://drive.google.com/file/d/1HGfyeedXg46Z7qVOAd_Pr5x9fA2PO1Mw/view?usp=drivesdk</t>
  </si>
  <si>
    <t>1HGfyeedXg46Z7qVOAd_Pr5x9fA2PO1Mw</t>
  </si>
  <si>
    <t>1AjUHja4SR81Hz1nE4UDUbw3bfzkEAvo7</t>
  </si>
  <si>
    <t>https://drive.google.com/file/d/1AjUHja4SR81Hz1nE4UDUbw3bfzkEAvo7/view?usp=drivesdk</t>
  </si>
  <si>
    <t>Document successfully created; Document successfully merged; PDF created; Emails Sent: [To: Ulastri1968@gmail.com]; Manually run by ecertificate75@gmail.com; Timestamp: Sep 2 2024 2:48 AM</t>
  </si>
  <si>
    <t>MUHAMMAD NURSYEHA</t>
  </si>
  <si>
    <t>semoet178@gmail.com</t>
  </si>
  <si>
    <t>3055</t>
  </si>
  <si>
    <t>https://drive.google.com/file/d/1Pjd9AkzTQSOIrJ2sXp8SYddZProf4RNJ/view?usp=drivesdk</t>
  </si>
  <si>
    <t>1Pjd9AkzTQSOIrJ2sXp8SYddZProf4RNJ</t>
  </si>
  <si>
    <t>1fE3uQE2KpPzRWBmaLJHI1jCsGJluHh87</t>
  </si>
  <si>
    <t>https://drive.google.com/file/d/1fE3uQE2KpPzRWBmaLJHI1jCsGJluHh87/view?usp=drivesdk</t>
  </si>
  <si>
    <t>Document successfully created; Document successfully merged; PDF created; Emails Sent: [To: semoet178@gmail.com]; Manually run by ecertificate75@gmail.com; Timestamp: Sep 2 2024 2:49 AM</t>
  </si>
  <si>
    <t>SUSIATI</t>
  </si>
  <si>
    <t>susiati.kedung1975@gmail.com</t>
  </si>
  <si>
    <t>3056</t>
  </si>
  <si>
    <t>https://drive.google.com/file/d/1UOO2TvFZMZThTP_tjxh1kY0-Rtm1fdxF/view?usp=drivesdk</t>
  </si>
  <si>
    <t>1UOO2TvFZMZThTP_tjxh1kY0-Rtm1fdxF</t>
  </si>
  <si>
    <t>1OXIDbwA2JF-dk_uh4Gm9E3tsXoCSX_6R</t>
  </si>
  <si>
    <t>https://drive.google.com/file/d/1OXIDbwA2JF-dk_uh4Gm9E3tsXoCSX_6R/view?usp=drivesdk</t>
  </si>
  <si>
    <t>Document successfully created; Document successfully merged; PDF created; Emails Sent: [To: susiati.kedung1975@gmail.com]; Manually run by ecertificate75@gmail.com; Timestamp: Sep 2 2024 2:49 AM</t>
  </si>
  <si>
    <t>TATANG SUTISNA</t>
  </si>
  <si>
    <t>tatangsutisnaO43@gmail.com</t>
  </si>
  <si>
    <t>3057</t>
  </si>
  <si>
    <t>https://drive.google.com/file/d/1eHV45DbhCX4WAkxO8kQWNR2boRncmu8M/view?usp=drivesdk</t>
  </si>
  <si>
    <t>1eHV45DbhCX4WAkxO8kQWNR2boRncmu8M</t>
  </si>
  <si>
    <t>1XIOoSayixJFD8M9XOAemcvkU3moCHQYn</t>
  </si>
  <si>
    <t>https://drive.google.com/file/d/1XIOoSayixJFD8M9XOAemcvkU3moCHQYn/view?usp=drivesdk</t>
  </si>
  <si>
    <t>Document successfully created; Document successfully merged; PDF created; Emails Sent: [To: tatangsutisnaO43@gmail.com]; Manually run by ecertificate75@gmail.com; Timestamp: Sep 2 2024 2:49 AM</t>
  </si>
  <si>
    <t>SUDIONO</t>
  </si>
  <si>
    <t>Sudionoerika@mail.com</t>
  </si>
  <si>
    <t>3058</t>
  </si>
  <si>
    <t>https://drive.google.com/file/d/1BofehexRCdKsVEC4bvHspfeCZBopa5-V/view?usp=drivesdk</t>
  </si>
  <si>
    <t>1BofehexRCdKsVEC4bvHspfeCZBopa5-V</t>
  </si>
  <si>
    <t>1HWy9_iExePZtwCEheED10wt_6Jn-Q5Qf</t>
  </si>
  <si>
    <t>https://drive.google.com/file/d/1HWy9_iExePZtwCEheED10wt_6Jn-Q5Qf/view?usp=drivesdk</t>
  </si>
  <si>
    <t>Document successfully created; Document successfully merged; PDF created; Emails Sent: [To: Sudionoerika@mail.com]; Manually run by ecertificate75@gmail.com; Timestamp: Sep 2 2024 2:49 AM</t>
  </si>
  <si>
    <t>LILY SURYANI</t>
  </si>
  <si>
    <t>suryanilili863@gmail.com</t>
  </si>
  <si>
    <t>3059</t>
  </si>
  <si>
    <t>https://drive.google.com/file/d/11eaurBWHHAj1XSGATOAKgOcFpllIQVGA/view?usp=drivesdk</t>
  </si>
  <si>
    <t>11eaurBWHHAj1XSGATOAKgOcFpllIQVGA</t>
  </si>
  <si>
    <t>1ZHzWw4jdABY82fjOAaPc6u5DaJt78gdr</t>
  </si>
  <si>
    <t>https://drive.google.com/file/d/1ZHzWw4jdABY82fjOAaPc6u5DaJt78gdr/view?usp=drivesdk</t>
  </si>
  <si>
    <t>Document successfully created; Document successfully merged; PDF created; Emails Sent: [To: suryanilili863@gmail.com]; Manually run by ecertificate75@gmail.com; Timestamp: Sep 2 2024 2:49 AM</t>
  </si>
  <si>
    <t>ADE SHANTY KATILI</t>
  </si>
  <si>
    <t>adhekatili79@gmail.com</t>
  </si>
  <si>
    <t>3060</t>
  </si>
  <si>
    <t>https://drive.google.com/file/d/1zTuH8CrOybABHRlxdynLg9N33I2UNrYw/view?usp=drivesdk</t>
  </si>
  <si>
    <t>1zTuH8CrOybABHRlxdynLg9N33I2UNrYw</t>
  </si>
  <si>
    <t>1fmXBaVAVjZhPnc_253CNDgTWR_TzbtPd</t>
  </si>
  <si>
    <t>https://drive.google.com/file/d/1fmXBaVAVjZhPnc_253CNDgTWR_TzbtPd/view?usp=drivesdk</t>
  </si>
  <si>
    <t>Document successfully created; Document successfully merged; PDF created; Emails Sent: [To: adhekatili79@gmail.com]; Manually run by ecertificate75@gmail.com; Timestamp: Sep 2 2024 2:50 AM</t>
  </si>
  <si>
    <t>SARIMAN</t>
  </si>
  <si>
    <t>sarimangendut4@gmail.com</t>
  </si>
  <si>
    <t>3061</t>
  </si>
  <si>
    <t>https://drive.google.com/file/d/1cWHKiCwBwEudmLkgS3cT6rQwFMdzA09f/view?usp=drivesdk</t>
  </si>
  <si>
    <t>1cWHKiCwBwEudmLkgS3cT6rQwFMdzA09f</t>
  </si>
  <si>
    <t>1k7eVQx4BVUiXanhrsroXbK75tAmiz3AG</t>
  </si>
  <si>
    <t>https://drive.google.com/file/d/1k7eVQx4BVUiXanhrsroXbK75tAmiz3AG/view?usp=drivesdk</t>
  </si>
  <si>
    <t>Document successfully created; Document successfully merged; PDF created; Emails Sent: [To: sarimangendut4@gmail.com]; Manually run by ecertificate75@gmail.com; Timestamp: Sep 2 2024 2:50 AM</t>
  </si>
  <si>
    <t>MEI KRISTINA</t>
  </si>
  <si>
    <t>meikristina37@gmail.com</t>
  </si>
  <si>
    <t>3062</t>
  </si>
  <si>
    <t>https://drive.google.com/file/d/1BNpsLEvZk04wWsPmKUjVUnujzHTk7TQW/view?usp=drivesdk</t>
  </si>
  <si>
    <t>1BNpsLEvZk04wWsPmKUjVUnujzHTk7TQW</t>
  </si>
  <si>
    <t>1YAKL87CWQDFMUeoTMxEYHocg2LOoV0ii</t>
  </si>
  <si>
    <t>https://drive.google.com/file/d/1YAKL87CWQDFMUeoTMxEYHocg2LOoV0ii/view?usp=drivesdk</t>
  </si>
  <si>
    <t>Document successfully created; Document successfully merged; PDF created; Emails Sent: [To: meikristina37@gmail.com]; Manually run by ecertificate75@gmail.com; Timestamp: Sep 2 2024 2:50 AM</t>
  </si>
  <si>
    <t>NUR HESTI HAIRI UTOMO, A.MD.KEP</t>
  </si>
  <si>
    <t>nurhesti2601@gmail.com</t>
  </si>
  <si>
    <t>3063</t>
  </si>
  <si>
    <t>https://drive.google.com/file/d/1IUWvarHlMoJ3wNkgTZyl2qbicW5R6eW_/view?usp=drivesdk</t>
  </si>
  <si>
    <t>1IUWvarHlMoJ3wNkgTZyl2qbicW5R6eW_</t>
  </si>
  <si>
    <t>1KHtSQhvngBQ9DYxCc6LBqpp9c_T4Ps0u</t>
  </si>
  <si>
    <t>https://drive.google.com/file/d/1KHtSQhvngBQ9DYxCc6LBqpp9c_T4Ps0u/view?usp=drivesdk</t>
  </si>
  <si>
    <t>Document successfully created; Document successfully merged; PDF created; Emails Sent: [To: nurhesti2601@gmail.com]; Manually run by ecertificate75@gmail.com; Timestamp: Sep 2 2024 2:50 AM</t>
  </si>
  <si>
    <t xml:space="preserve">ULFIYAH, S. E. </t>
  </si>
  <si>
    <t>dafo070312@gmail.com</t>
  </si>
  <si>
    <t>3064</t>
  </si>
  <si>
    <t>https://drive.google.com/file/d/1nAqHv-QzHUgl4P6o7bx5tN5ptr0X1P-N/view?usp=drivesdk</t>
  </si>
  <si>
    <t>Document successfully created; Document successfully merged; PDF created; !!Error Sending Emails: Service invoked too many times for one day: email.; Run via form trigger as ecertificate75@gmail.com; Timestamp: Aug 29 2024 9:15 PM</t>
  </si>
  <si>
    <t>1nAqHv-QzHUgl4P6o7bx5tN5ptr0X1P-N</t>
  </si>
  <si>
    <t>1lWzBr7RSKHJre-7-XRvsoDt_uH2lZnMM</t>
  </si>
  <si>
    <t>https://drive.google.com/file/d/1lWzBr7RSKHJre-7-XRvsoDt_uH2lZnMM/view?usp=drivesdk</t>
  </si>
  <si>
    <t>Document successfully created; Document successfully merged; PDF created; Emails Sent: [To: dafo070312@gmail.com]; Manually run by ecertificate75@gmail.com; Timestamp: Sep 2 2024 2:51 AM</t>
  </si>
  <si>
    <t>FAUJIAH, AMK</t>
  </si>
  <si>
    <t>faujiahjiah1180@gmail.com</t>
  </si>
  <si>
    <t>3065</t>
  </si>
  <si>
    <t>https://drive.google.com/file/d/13JSearYUC2fM1dJTa6zrkLG31zSwx_ne/view?usp=drivesdk</t>
  </si>
  <si>
    <t>13JSearYUC2fM1dJTa6zrkLG31zSwx_ne</t>
  </si>
  <si>
    <t>1AfOxtjC5xSmagb-hfrwDPwyOKfp6g0QU</t>
  </si>
  <si>
    <t>https://drive.google.com/file/d/1AfOxtjC5xSmagb-hfrwDPwyOKfp6g0QU/view?usp=drivesdk</t>
  </si>
  <si>
    <t>Document successfully created; Document successfully merged; PDF created; Emails Sent: [To: faujiahjiah1180@gmail.com]; Manually run by ecertificate75@gmail.com; Timestamp: Sep 2 2024 2:51 AM</t>
  </si>
  <si>
    <t>ENDARWATI</t>
  </si>
  <si>
    <t>endarwati516@gmail.com</t>
  </si>
  <si>
    <t>3066</t>
  </si>
  <si>
    <t>https://drive.google.com/file/d/1LvRV-Ok5U3N1fiMJFLV29j59E3UEj67O/view?usp=drivesdk</t>
  </si>
  <si>
    <t>1LvRV-Ok5U3N1fiMJFLV29j59E3UEj67O</t>
  </si>
  <si>
    <t>1hHOfe7oWdJIruCF4SWgR01qTTQJ04-SB</t>
  </si>
  <si>
    <t>https://drive.google.com/file/d/1hHOfe7oWdJIruCF4SWgR01qTTQJ04-SB/view?usp=drivesdk</t>
  </si>
  <si>
    <t>Document successfully created; Document successfully merged; PDF created; Emails Sent: [To: endarwati516@gmail.com]; Manually run by ecertificate75@gmail.com; Timestamp: Sep 2 2024 2:51 AM</t>
  </si>
  <si>
    <t xml:space="preserve">SULISTYOWATI, S.Kep., Ns. </t>
  </si>
  <si>
    <t>styowati417@gmail.com</t>
  </si>
  <si>
    <t>3067</t>
  </si>
  <si>
    <t>Starting at Thu Aug 29 2024 21:13:55 GMT-0400 (EDT)</t>
  </si>
  <si>
    <t>19SS44nLVj1QQzoWYBRGhoL_P_2ecaV2v</t>
  </si>
  <si>
    <t>https://drive.google.com/file/d/19SS44nLVj1QQzoWYBRGhoL_P_2ecaV2v/view?usp=drivesdk</t>
  </si>
  <si>
    <t>Document successfully created; Document successfully merged; PDF created; Emails Sent: [To: styowati417@gmail.com]; Manually run by ecertificate75@gmail.com; Timestamp: Sep 2 2024 2:52 AM</t>
  </si>
  <si>
    <t>RIKA AINUR ROKHMAH</t>
  </si>
  <si>
    <t>rika.ainur86@gmail.com</t>
  </si>
  <si>
    <t>3068</t>
  </si>
  <si>
    <t>1RQT3ukYvOPxHwZCZfXnvO92XrzxpIqJu</t>
  </si>
  <si>
    <t>https://drive.google.com/file/d/1RQT3ukYvOPxHwZCZfXnvO92XrzxpIqJu/view?usp=drivesdk</t>
  </si>
  <si>
    <t>Document successfully created; Document successfully merged; PDF created; Emails Sent: [To: rika.ainur86@gmail.com]; Manually run by ecertificate75@gmail.com; Timestamp: Sep 2 2024 2:52 AM</t>
  </si>
  <si>
    <t>HAMID SYARIP</t>
  </si>
  <si>
    <t>hamidsyaripyanma@gmail.com</t>
  </si>
  <si>
    <t>3069</t>
  </si>
  <si>
    <t>10t7JpoUAKMfzBlgW_6BA_fBujc9dXjmQ</t>
  </si>
  <si>
    <t>https://drive.google.com/file/d/10t7JpoUAKMfzBlgW_6BA_fBujc9dXjmQ/view?usp=drivesdk</t>
  </si>
  <si>
    <t>Document successfully created; Document successfully merged; PDF created; Emails Sent: [To: hamidsyaripyanma@gmail.com]; Manually run by ecertificate75@gmail.com; Timestamp: Sep 2 2024 2:52 AM</t>
  </si>
  <si>
    <t>JURU MULUD</t>
  </si>
  <si>
    <t>mulud354@gmail.com</t>
  </si>
  <si>
    <t>3070</t>
  </si>
  <si>
    <t>1ZcGECjajP1GxklK6XdA_fqysoP8A3Ua3</t>
  </si>
  <si>
    <t>https://drive.google.com/file/d/1ZcGECjajP1GxklK6XdA_fqysoP8A3Ua3/view?usp=drivesdk</t>
  </si>
  <si>
    <t>Document successfully created; Document successfully merged; PDF created; Emails Sent: [To: mulud354@gmail.com]; Manually run by ecertificate75@gmail.com; Timestamp: Sep 2 2024 2:53 AM</t>
  </si>
  <si>
    <t>MOH. ANDANI</t>
  </si>
  <si>
    <t>mohandani048@gmail.com</t>
  </si>
  <si>
    <t>3071</t>
  </si>
  <si>
    <t>https://drive.google.com/file/d/1VYiInd5KuB53xMxq4Yk6ChNPhgkboIRR/view?usp=drivesdk</t>
  </si>
  <si>
    <t>1VYiInd5KuB53xMxq4Yk6ChNPhgkboIRR</t>
  </si>
  <si>
    <t>1EyeAAW4S0CAcWSpUFhqI3FIwdPeO-qcf</t>
  </si>
  <si>
    <t>https://drive.google.com/file/d/1EyeAAW4S0CAcWSpUFhqI3FIwdPeO-qcf/view?usp=drivesdk</t>
  </si>
  <si>
    <t>Document successfully created; Document successfully merged; PDF created; Emails Sent: [To: mohandani048@gmail.com]; Manually run by ecertificate75@gmail.com; Timestamp: Sep 2 2024 2:53 AM</t>
  </si>
  <si>
    <t>FAUZIAH, A. Md</t>
  </si>
  <si>
    <t>ziaezza12@gmail.com</t>
  </si>
  <si>
    <t>3072</t>
  </si>
  <si>
    <t>https://drive.google.com/file/d/1LQkws5BKmRljVMz6r4DIAgagd-nYVCjO/view?usp=drivesdk</t>
  </si>
  <si>
    <t>1LQkws5BKmRljVMz6r4DIAgagd-nYVCjO</t>
  </si>
  <si>
    <t>1hF9L5KUC7WvNWGbySNwiUitdwGDKAJmK</t>
  </si>
  <si>
    <t>https://drive.google.com/file/d/1hF9L5KUC7WvNWGbySNwiUitdwGDKAJmK/view?usp=drivesdk</t>
  </si>
  <si>
    <t>Document successfully created; Document successfully merged; PDF created; Emails Sent: [To: ziaezza12@gmail.com]; Manually run by ecertificate75@gmail.com; Timestamp: Sep 2 2024 2:53 AM</t>
  </si>
  <si>
    <t>HARUM AGUSLANI</t>
  </si>
  <si>
    <t>harumaguslani118@gmail.com</t>
  </si>
  <si>
    <t>3073</t>
  </si>
  <si>
    <t>Starting at Thu Aug 29 2024 21:13:57 GMT-0400 (EDT)</t>
  </si>
  <si>
    <t>10JHvMP2qB9zf8aD19lKv4QWgef0SrsmE</t>
  </si>
  <si>
    <t>https://drive.google.com/file/d/10JHvMP2qB9zf8aD19lKv4QWgef0SrsmE/view?usp=drivesdk</t>
  </si>
  <si>
    <t>Document successfully created; Document successfully merged; PDF created; Emails Sent: [To: harumaguslani118@gmail.com]; Manually run by ecertificate75@gmail.com; Timestamp: Sep 2 2024 2:54 AM</t>
  </si>
  <si>
    <t>TATARINA PRASASTI</t>
  </si>
  <si>
    <t>datadokkesjabar@gmail.com</t>
  </si>
  <si>
    <t>3074</t>
  </si>
  <si>
    <t>1NXrVuXxBS9ReHGzAENcWpUSThUYkDYMP</t>
  </si>
  <si>
    <t>https://drive.google.com/file/d/1NXrVuXxBS9ReHGzAENcWpUSThUYkDYMP/view?usp=drivesdk</t>
  </si>
  <si>
    <t>Document successfully created; Document successfully merged; PDF created; Emails Sent: [To: datadokkesjabar@gmail.com]; Manually run by ecertificate75@gmail.com; Timestamp: Sep 2 2024 2:54 AM</t>
  </si>
  <si>
    <t>HENNY LESTARI, S.E.</t>
  </si>
  <si>
    <t>henny2015setiawan@gmail.com</t>
  </si>
  <si>
    <t>3075</t>
  </si>
  <si>
    <t>1x5g5ZBfizYLWdG9HBkG_zR-fINtZ5x1A</t>
  </si>
  <si>
    <t>https://drive.google.com/file/d/1x5g5ZBfizYLWdG9HBkG_zR-fINtZ5x1A/view?usp=drivesdk</t>
  </si>
  <si>
    <t>Document successfully created; Document successfully merged; PDF created; Emails Sent: [To: henny2015setiawan@gmail.com]; Manually run by ecertificate75@gmail.com; Timestamp: Sep 2 2024 2:54 AM</t>
  </si>
  <si>
    <t>dr.YUDI CANDRA</t>
  </si>
  <si>
    <t>candrayudi278@gmail.com</t>
  </si>
  <si>
    <t>3076</t>
  </si>
  <si>
    <t>1xcJu-lX-e9aEm7FdcjfBHMzNOCpzKMjq</t>
  </si>
  <si>
    <t>https://drive.google.com/file/d/1xcJu-lX-e9aEm7FdcjfBHMzNOCpzKMjq/view?usp=drivesdk</t>
  </si>
  <si>
    <t>Document successfully created; Document successfully merged; PDF created; Emails Sent: [To: candrayudi278@gmail.com]; Manually run by ecertificate75@gmail.com; Timestamp: Sep 2 2024 2:54 AM</t>
  </si>
  <si>
    <t>AKHMAD JAELANI</t>
  </si>
  <si>
    <t>jaelangkung.2882new@gmail.com</t>
  </si>
  <si>
    <t>3077</t>
  </si>
  <si>
    <t>https://drive.google.com/file/d/1qY9lciUE04CPvrSiEQX-zuLF4qKpRvey/view?usp=drivesdk</t>
  </si>
  <si>
    <t>1qY9lciUE04CPvrSiEQX-zuLF4qKpRvey</t>
  </si>
  <si>
    <t>1dMyDBoHCB9_IfF4nmfphzP0ofzUTgiXw</t>
  </si>
  <si>
    <t>https://drive.google.com/file/d/1dMyDBoHCB9_IfF4nmfphzP0ofzUTgiXw/view?usp=drivesdk</t>
  </si>
  <si>
    <t>Document successfully created; Document successfully merged; PDF created; Emails Sent: [To: jaelangkung.2882new@gmail.com]; Manually run by ecertificate75@gmail.com; Timestamp: Sep 2 2024 2:55 AM</t>
  </si>
  <si>
    <t>SUPIYATI</t>
  </si>
  <si>
    <t>supiyati23071973@gmail.com</t>
  </si>
  <si>
    <t>3078</t>
  </si>
  <si>
    <t>https://drive.google.com/file/d/1fYVP5eJsgmGcnTzmtY1QMaWK0MoL7hLj/view?usp=drivesdk</t>
  </si>
  <si>
    <t>1fYVP5eJsgmGcnTzmtY1QMaWK0MoL7hLj</t>
  </si>
  <si>
    <t>1MqqBizgtoXSECiKYjDIyKWk_02IdTgoB</t>
  </si>
  <si>
    <t>https://drive.google.com/file/d/1MqqBizgtoXSECiKYjDIyKWk_02IdTgoB/view?usp=drivesdk</t>
  </si>
  <si>
    <t>Document successfully created; Document successfully merged; PDF created; Emails Sent: [To: supiyati23071973@gmail.com]; Manually run by ecertificate75@gmail.com; Timestamp: Sep 2 2024 2:55 AM</t>
  </si>
  <si>
    <t>NUR ALI NUGROHO</t>
  </si>
  <si>
    <t>aliatung@gmail.com</t>
  </si>
  <si>
    <t>3079</t>
  </si>
  <si>
    <t>https://drive.google.com/file/d/18_eH09DSjzmQLfI_TUohWHO6fWODqubK/view?usp=drivesdk</t>
  </si>
  <si>
    <t>18_eH09DSjzmQLfI_TUohWHO6fWODqubK</t>
  </si>
  <si>
    <t>1jAeV8Rx9ejOKtuVJc-y5g3DcUIm8SP3H</t>
  </si>
  <si>
    <t>https://drive.google.com/file/d/1jAeV8Rx9ejOKtuVJc-y5g3DcUIm8SP3H/view?usp=drivesdk</t>
  </si>
  <si>
    <t>Document successfully created; Document successfully merged; PDF created; Emails Sent: [To: aliatung@gmail.com]; Manually run by ecertificate75@gmail.com; Timestamp: Sep 2 2024 2:55 AM</t>
  </si>
  <si>
    <t>TIM TIM PURNAMININGSIH,Amd.Kep</t>
  </si>
  <si>
    <t>ningsihnining657@gmail.com</t>
  </si>
  <si>
    <t>3080</t>
  </si>
  <si>
    <t>Starting at Thu Aug 29 2024 21:14:02 GMT-0400 (EDT)</t>
  </si>
  <si>
    <t>1b5k3ojSgkUjhqeA2FkW9asMJduUPNJjP</t>
  </si>
  <si>
    <t>https://drive.google.com/file/d/1b5k3ojSgkUjhqeA2FkW9asMJduUPNJjP/view?usp=drivesdk</t>
  </si>
  <si>
    <t>Document successfully created; Document successfully merged; PDF created; Emails Sent: [To: ningsihnining657@gmail.com]; Manually run by ecertificate75@gmail.com; Timestamp: Sep 2 2024 2:56 AM</t>
  </si>
  <si>
    <t>I GUSTI NYOMAN MAHAYANA, ST</t>
  </si>
  <si>
    <t>gustimahayana1973@gmail.com</t>
  </si>
  <si>
    <t>3081</t>
  </si>
  <si>
    <t>1-jgXzDzqA4BzgS9NeNmp5UBv1WMARO6j</t>
  </si>
  <si>
    <t>https://drive.google.com/file/d/1-jgXzDzqA4BzgS9NeNmp5UBv1WMARO6j/view?usp=drivesdk</t>
  </si>
  <si>
    <t>Document successfully created; Document successfully merged; PDF created; Emails Sent: [To: gustimahayana1973@gmail.com]; Manually run by ecertificate75@gmail.com; Timestamp: Sep 2 2024 2:56 AM</t>
  </si>
  <si>
    <t>PARYONO</t>
  </si>
  <si>
    <t>yonsparyono@gmail.com</t>
  </si>
  <si>
    <t>3082</t>
  </si>
  <si>
    <t>19m-CuAJLwelk_wpxlZFn89z6mFhdbFRr</t>
  </si>
  <si>
    <t>https://drive.google.com/file/d/19m-CuAJLwelk_wpxlZFn89z6mFhdbFRr/view?usp=drivesdk</t>
  </si>
  <si>
    <t>Document successfully created; Document successfully merged; PDF created; Emails Sent: [To: yonsparyono@gmail.com]; Manually run by ecertificate75@gmail.com; Timestamp: Sep 2 2024 2:56 AM</t>
  </si>
  <si>
    <t>ASTY TRIANDINI,AMd Keb</t>
  </si>
  <si>
    <t>astytriandini2019@gmail.com</t>
  </si>
  <si>
    <t>3083</t>
  </si>
  <si>
    <t>https://drive.google.com/file/d/1MfVl3eCjRlAsv2S7cR1I2kEB2OdqMQDu/view?usp=drivesdk</t>
  </si>
  <si>
    <t>1MfVl3eCjRlAsv2S7cR1I2kEB2OdqMQDu</t>
  </si>
  <si>
    <t>1opJ7-w_Prrk3kTt4iokFJjX614GoKmkx</t>
  </si>
  <si>
    <t>https://drive.google.com/file/d/1opJ7-w_Prrk3kTt4iokFJjX614GoKmkx/view?usp=drivesdk</t>
  </si>
  <si>
    <t>Document successfully created; Document successfully merged; PDF created; Emails Sent: [To: astytriandini2019@gmail.com]; Manually run by ecertificate75@gmail.com; Timestamp: Sep 2 2024 2:56 AM</t>
  </si>
  <si>
    <t>DWI ANA SASVIYANI. S.Psi</t>
  </si>
  <si>
    <t>sasviyani.dwi@gmail.com</t>
  </si>
  <si>
    <t>3084</t>
  </si>
  <si>
    <t>https://drive.google.com/file/d/1kZsb6_wPQ7l2ynCY3oS0N6mEvEvyzeAo/view?usp=drivesdk</t>
  </si>
  <si>
    <t>1kZsb6_wPQ7l2ynCY3oS0N6mEvEvyzeAo</t>
  </si>
  <si>
    <t>1pUWKK4P4DPmKgPgk7FEHOxcj1OJtjtwl</t>
  </si>
  <si>
    <t>https://drive.google.com/file/d/1pUWKK4P4DPmKgPgk7FEHOxcj1OJtjtwl/view?usp=drivesdk</t>
  </si>
  <si>
    <t>Document successfully created; Document successfully merged; PDF created; Emails Sent: [To: sasviyani.dwi@gmail.com]; Manually run by ecertificate75@gmail.com; Timestamp: Sep 2 2024 2:57 AM</t>
  </si>
  <si>
    <t>YULI AFRIANI, S.E</t>
  </si>
  <si>
    <t>yuliafriyani3158@gmail.com</t>
  </si>
  <si>
    <t>3085</t>
  </si>
  <si>
    <t>https://drive.google.com/file/d/1iT1ODZ7qsdFmH22tU10AFyH2dZXgsW2W/view?usp=drivesdk</t>
  </si>
  <si>
    <t>1iT1ODZ7qsdFmH22tU10AFyH2dZXgsW2W</t>
  </si>
  <si>
    <t>1_v9iYKtWaQWSER6QGNOjnw5d0z6iZcS4</t>
  </si>
  <si>
    <t>https://drive.google.com/file/d/1_v9iYKtWaQWSER6QGNOjnw5d0z6iZcS4/view?usp=drivesdk</t>
  </si>
  <si>
    <t>Document successfully created; Document successfully merged; PDF created; Emails Sent: [To: yuliafriyani3158@gmail.com]; Manually run by ecertificate75@gmail.com; Timestamp: Sep 2 2024 2:57 AM</t>
  </si>
  <si>
    <t>FRISKA INDRYANI SITORUS, S.PSI.</t>
  </si>
  <si>
    <t>friskaindryani94.fs@gmail.com</t>
  </si>
  <si>
    <t>3086</t>
  </si>
  <si>
    <t>Starting at Thu Aug 29 2024 21:14:05 GMT-0400 (EDT)</t>
  </si>
  <si>
    <t>1E18gWp9WWY0WS9930AooirIGQ-ptsvrd</t>
  </si>
  <si>
    <t>https://drive.google.com/file/d/1E18gWp9WWY0WS9930AooirIGQ-ptsvrd/view?usp=drivesdk</t>
  </si>
  <si>
    <t>Document successfully created; Document successfully merged; PDF created; Emails Sent: [To: friskaindryani94.fs@gmail.com]; Manually run by ecertificate75@gmail.com; Timestamp: Sep 2 2024 2:57 AM</t>
  </si>
  <si>
    <t>FALDI RENALDI, A.Md.Ft.</t>
  </si>
  <si>
    <t>faldi.renaldi@yahoo.com</t>
  </si>
  <si>
    <t>3087</t>
  </si>
  <si>
    <t>1Vn7qr2SldlEFBhyF1H7OmuMHqREGO65S</t>
  </si>
  <si>
    <t>https://drive.google.com/file/d/1Vn7qr2SldlEFBhyF1H7OmuMHqREGO65S/view?usp=drivesdk</t>
  </si>
  <si>
    <t>Document successfully created; Document successfully merged; PDF created; Emails Sent: [To: faldi.renaldi@yahoo.com]; Manually run by ecertificate75@gmail.com; Timestamp: Sep 2 2024 2:57 AM</t>
  </si>
  <si>
    <t>MURNI RAHAJU</t>
  </si>
  <si>
    <t>mrahayu789@gmail.com</t>
  </si>
  <si>
    <t>3088</t>
  </si>
  <si>
    <t>12J_7nuG8xB2whyBmBQAN2FXOIQhLeh16</t>
  </si>
  <si>
    <t>https://drive.google.com/file/d/12J_7nuG8xB2whyBmBQAN2FXOIQhLeh16/view?usp=drivesdk</t>
  </si>
  <si>
    <t>Document successfully created; Document successfully merged; PDF created; Emails Sent: [To: mrahayu789@gmail.com]; Manually run by ecertificate75@gmail.com; Timestamp: Sep 2 2024 2:58 AM</t>
  </si>
  <si>
    <t>POLMAN SIRAIT</t>
  </si>
  <si>
    <t>polmansirait4@gmail.com</t>
  </si>
  <si>
    <t>3089</t>
  </si>
  <si>
    <t>https://drive.google.com/file/d/1gxT5bTNo6Xn3rxPi5xo7GnfoFoE3f7hk/view?usp=drivesdk</t>
  </si>
  <si>
    <t>1gxT5bTNo6Xn3rxPi5xo7GnfoFoE3f7hk</t>
  </si>
  <si>
    <t>1b0ySu_1ue8mkGF0ggntJ9Jr0AUp8Lmg0</t>
  </si>
  <si>
    <t>https://drive.google.com/file/d/1b0ySu_1ue8mkGF0ggntJ9Jr0AUp8Lmg0/view?usp=drivesdk</t>
  </si>
  <si>
    <t>Document successfully created; Document successfully merged; PDF created; Emails Sent: [To: polmansirait4@gmail.com]; Manually run by ecertificate75@gmail.com; Timestamp: Sep 2 2024 2:58 AM</t>
  </si>
  <si>
    <t>dr.Veronika Eppana Silaen</t>
  </si>
  <si>
    <t>evasilaen72@gmail.com</t>
  </si>
  <si>
    <t>3090</t>
  </si>
  <si>
    <t>https://drive.google.com/file/d/1Z5z0u3EJ2g9PeYUVi5E9TgNsDc_DPkNd/view?usp=drivesdk</t>
  </si>
  <si>
    <t>1Z5z0u3EJ2g9PeYUVi5E9TgNsDc_DPkNd</t>
  </si>
  <si>
    <t>1NMEqu6I-Rh43X7y0lB2_SZB-a7hKbNWf</t>
  </si>
  <si>
    <t>https://drive.google.com/file/d/1NMEqu6I-Rh43X7y0lB2_SZB-a7hKbNWf/view?usp=drivesdk</t>
  </si>
  <si>
    <t>Document successfully created; Document successfully merged; PDF created; Emails Sent: [To: evasilaen72@gmail.com]; Manually run by ecertificate75@gmail.com; Timestamp: Sep 2 2024 2:58 AM</t>
  </si>
  <si>
    <t>RATNA JUITA BR PINEM</t>
  </si>
  <si>
    <t>ratnapinem71@gmail.com</t>
  </si>
  <si>
    <t>3091</t>
  </si>
  <si>
    <t>https://drive.google.com/file/d/1OQmmios2K-kyFH7ZOnS_cLVoB4cTiEOB/view?usp=drivesdk</t>
  </si>
  <si>
    <t>1OQmmios2K-kyFH7ZOnS_cLVoB4cTiEOB</t>
  </si>
  <si>
    <t>1VIwuX1XRiugxwoHWk-N80WYtx6EKjqZs</t>
  </si>
  <si>
    <t>https://drive.google.com/file/d/1VIwuX1XRiugxwoHWk-N80WYtx6EKjqZs/view?usp=drivesdk</t>
  </si>
  <si>
    <t>Document successfully created; Document successfully merged; PDF created; Emails Sent: [To: ratnapinem71@gmail.com]; Manually run by ecertificate75@gmail.com; Timestamp: Sep 2 2024 2:58 AM</t>
  </si>
  <si>
    <t>AKHMAD SYARIFUDIN</t>
  </si>
  <si>
    <t>akhmadsyarifudin.pnssampang.@gmail.com</t>
  </si>
  <si>
    <t>3092</t>
  </si>
  <si>
    <t>https://drive.google.com/file/d/1SPfj3xKJFuWSbD3dtYEg-55bpjq6lD9Y/view?usp=drivesdk</t>
  </si>
  <si>
    <t>Document successfully created; Document successfully merged; PDF created; !!Error Sending Emails: Invalid email: akhmadsyarifudin.pnssampang.@gmail.com; Run via form trigger as ecertificate75@gmail.com; Timestamp: Aug 29 2024 9:15 PM</t>
  </si>
  <si>
    <t>1SPfj3xKJFuWSbD3dtYEg-55bpjq6lD9Y</t>
  </si>
  <si>
    <t>1iWET87gpkJac6tR03FStkc1YVJL4O--L</t>
  </si>
  <si>
    <t>https://drive.google.com/file/d/1iWET87gpkJac6tR03FStkc1YVJL4O--L/view?usp=drivesdk</t>
  </si>
  <si>
    <t>Document successfully created; Document successfully merged; PDF created; !!Error Sending Emails: Invalid email: akhmadsyarifudin.pnssampang.@gmail.com; Manually run by ecertificate75@gmail.com; Timestamp: Sep 2 2024 2:59 AM</t>
  </si>
  <si>
    <t>LISNAWATI</t>
  </si>
  <si>
    <t>lisna8165@gmail.com</t>
  </si>
  <si>
    <t>3093</t>
  </si>
  <si>
    <t>https://drive.google.com/file/d/1rxgvWYNOd2T5trjhsODuckWy8Osmc2ls/view?usp=drivesdk</t>
  </si>
  <si>
    <t>1rxgvWYNOd2T5trjhsODuckWy8Osmc2ls</t>
  </si>
  <si>
    <t>1bjd5Zt8Fu1eC59vm0BxvTs3o-mdMYqeL</t>
  </si>
  <si>
    <t>https://drive.google.com/file/d/1bjd5Zt8Fu1eC59vm0BxvTs3o-mdMYqeL/view?usp=drivesdk</t>
  </si>
  <si>
    <t>Document successfully created; Document successfully merged; PDF created; Emails Sent: [To: lisna8165@gmail.com]; Manually run by ecertificate75@gmail.com; Timestamp: Sep 2 2024 2:59 AM</t>
  </si>
  <si>
    <t>SUMAKIN AM.d</t>
  </si>
  <si>
    <t>mr.sumakin@gmail.com</t>
  </si>
  <si>
    <t>3094</t>
  </si>
  <si>
    <t>Starting at Thu Aug 29 2024 21:14:09 GMT-0400 (EDT)</t>
  </si>
  <si>
    <t>1G1N7rVHDej5YqXYYHYLeuBlN-BiVxCBR</t>
  </si>
  <si>
    <t>https://drive.google.com/file/d/1G1N7rVHDej5YqXYYHYLeuBlN-BiVxCBR/view?usp=drivesdk</t>
  </si>
  <si>
    <t>Document successfully created; Document successfully merged; PDF created; Emails Sent: [To: mr.sumakin@gmail.com]; Manually run by ecertificate75@gmail.com; Timestamp: Sep 2 2024 2:59 AM</t>
  </si>
  <si>
    <t>TEGUH WAHYU WIYANTO, S.E.</t>
  </si>
  <si>
    <t>teguhwahyuwiyanto@gmail.com</t>
  </si>
  <si>
    <t>3095</t>
  </si>
  <si>
    <t>1-yMSl3DChm-Fs8T1yOH4hDuVH-EdV1g3</t>
  </si>
  <si>
    <t>https://drive.google.com/file/d/1-yMSl3DChm-Fs8T1yOH4hDuVH-EdV1g3/view?usp=drivesdk</t>
  </si>
  <si>
    <t>Document successfully created; Document successfully merged; PDF created; !!Error Sending Emails: Service invoked too many times for one day: email.; Manually run by ecertificate75@gmail.com; Timestamp: Sep 2 2024 2:59 AM</t>
  </si>
  <si>
    <t>ASIYATI.S.Pd</t>
  </si>
  <si>
    <t>asiyatikalibaru@gamail.com</t>
  </si>
  <si>
    <t>3096</t>
  </si>
  <si>
    <t>1j6Eqpb_-FPjoHlKLS5pNV7QAQp2izmB_</t>
  </si>
  <si>
    <t>https://drive.google.com/file/d/1j6Eqpb_-FPjoHlKLS5pNV7QAQp2izmB_/view?usp=drivesdk</t>
  </si>
  <si>
    <t>Document successfully created; Document successfully merged; PDF created; !!Error Sending Emails: Service invoked too many times for one day: email.; Manually run by ecertificate75@gmail.com; Timestamp: Sep 2 2024 3:00 AM</t>
  </si>
  <si>
    <t>FIRMANSYAH</t>
  </si>
  <si>
    <t>ipingfirmansyah79@gmail.com</t>
  </si>
  <si>
    <t>3097</t>
  </si>
  <si>
    <t>1L2ZPE8ehpd-ebJHeFikLEbhclBZaueTb</t>
  </si>
  <si>
    <t>https://drive.google.com/file/d/1L2ZPE8ehpd-ebJHeFikLEbhclBZaueTb/view?usp=drivesdk</t>
  </si>
  <si>
    <t xml:space="preserve">MARYANI </t>
  </si>
  <si>
    <t>penantianq@yahoo.co.id</t>
  </si>
  <si>
    <t>3098</t>
  </si>
  <si>
    <t>1mZ0zLtIhsbWVxa1fnOoADX6EhV9BiaVF</t>
  </si>
  <si>
    <t>https://drive.google.com/file/d/1mZ0zLtIhsbWVxa1fnOoADX6EhV9BiaVF/view?usp=drivesdk</t>
  </si>
  <si>
    <t>DEWI LESTARI</t>
  </si>
  <si>
    <t>dewibpp122@gmail.com</t>
  </si>
  <si>
    <t>3099</t>
  </si>
  <si>
    <t>https://drive.google.com/file/d/1QYaitsjZ3bTuBv0PQNhKQTeEj2dtYqVI/view?usp=drivesdk</t>
  </si>
  <si>
    <t>1QYaitsjZ3bTuBv0PQNhKQTeEj2dtYqVI</t>
  </si>
  <si>
    <t>1KDG-rKC4O8g8s0wPOJLWWHooY4wMtRUS</t>
  </si>
  <si>
    <t>https://drive.google.com/file/d/1KDG-rKC4O8g8s0wPOJLWWHooY4wMtRUS/view?usp=drivesdk</t>
  </si>
  <si>
    <t xml:space="preserve">NAZARUDIN </t>
  </si>
  <si>
    <t>nazarudin.1967@gmail.com</t>
  </si>
  <si>
    <t>3100</t>
  </si>
  <si>
    <t>Starting at Thu Aug 29 2024 21:14:12 GMT-0400 (EDT)</t>
  </si>
  <si>
    <t>1uZT6UIGJF5acGdBn2ffdPosuAW_-eje_</t>
  </si>
  <si>
    <t>https://drive.google.com/file/d/1uZT6UIGJF5acGdBn2ffdPosuAW_-eje_/view?usp=drivesdk</t>
  </si>
  <si>
    <t>Document successfully created; Document successfully merged; PDF created; !!Error Sending Emails: Service invoked too many times for one day: email.; Manually run by ecertificate75@gmail.com; Timestamp: Sep 2 2024 3:01 AM</t>
  </si>
  <si>
    <t>NORLYANI</t>
  </si>
  <si>
    <t>Gambah621@gmail.com</t>
  </si>
  <si>
    <t>3101</t>
  </si>
  <si>
    <t>1z-TQ0_S4i02wwAY3TMCJ28oz-hPulQRO</t>
  </si>
  <si>
    <t>https://drive.google.com/file/d/1z-TQ0_S4i02wwAY3TMCJ28oz-hPulQRO/view?usp=drivesdk</t>
  </si>
  <si>
    <t>NABILLAH FULA RAMDHANI</t>
  </si>
  <si>
    <t>nabilafula2@gmail.com</t>
  </si>
  <si>
    <t>3102</t>
  </si>
  <si>
    <t>1oPL2zrNa0qaYpzthw67ksdLWmqh04Gh8</t>
  </si>
  <si>
    <t>https://drive.google.com/file/d/1oPL2zrNa0qaYpzthw67ksdLWmqh04Gh8/view?usp=drivesdk</t>
  </si>
  <si>
    <t>PIPIT NOVIANTI, S. Sos</t>
  </si>
  <si>
    <t>noviantipipit6@gmail.com</t>
  </si>
  <si>
    <t>3103</t>
  </si>
  <si>
    <t>https://drive.google.com/file/d/1C1mop9Lenfrw9siY9V4fxGgdeEKh_iTc/view?usp=drivesdk</t>
  </si>
  <si>
    <t>1C1mop9Lenfrw9siY9V4fxGgdeEKh_iTc</t>
  </si>
  <si>
    <t>1zunK6TWEihGIg3IVV15y-aoS_nw3DN29</t>
  </si>
  <si>
    <t>https://drive.google.com/file/d/1zunK6TWEihGIg3IVV15y-aoS_nw3DN29/view?usp=drivesdk</t>
  </si>
  <si>
    <t>Document successfully created; Document successfully merged; PDF created; !!Error Sending Emails: Service invoked too many times for one day: email.; Manually run by ecertificate75@gmail.com; Timestamp: Sep 2 2024 3:02 AM</t>
  </si>
  <si>
    <t>Angela Suma,S.Kep</t>
  </si>
  <si>
    <t>angelasuma49@gmail.com</t>
  </si>
  <si>
    <t>3104</t>
  </si>
  <si>
    <t>https://drive.google.com/file/d/1qFCDWKqw3hgRtQfyf8YBsixPBDBb1MCG/view?usp=drivesdk</t>
  </si>
  <si>
    <t>1qFCDWKqw3hgRtQfyf8YBsixPBDBb1MCG</t>
  </si>
  <si>
    <t>1xq2BZjnRPvnw5lQU_JZY2YQcTjffvI6C</t>
  </si>
  <si>
    <t>https://drive.google.com/file/d/1xq2BZjnRPvnw5lQU_JZY2YQcTjffvI6C/view?usp=drivesdk</t>
  </si>
  <si>
    <t>Irine Dini Anggraini</t>
  </si>
  <si>
    <t>dhiniang11@gmail.com</t>
  </si>
  <si>
    <t>3105</t>
  </si>
  <si>
    <t>https://drive.google.com/file/d/11KIxZcujnlM5V6EB_U7rhYV7bbEyWdpe/view?usp=drivesdk</t>
  </si>
  <si>
    <t>11KIxZcujnlM5V6EB_U7rhYV7bbEyWdpe</t>
  </si>
  <si>
    <t>1psRvaH8icTDz5Yv9ZHOonJugjyZwSG0j</t>
  </si>
  <si>
    <t>https://drive.google.com/file/d/1psRvaH8icTDz5Yv9ZHOonJugjyZwSG0j/view?usp=drivesdk</t>
  </si>
  <si>
    <t>ISA RAMIATI</t>
  </si>
  <si>
    <t>isaramiati7@gmail.com</t>
  </si>
  <si>
    <t>3106</t>
  </si>
  <si>
    <t>Starting at Thu Aug 29 2024 21:14:18 GMT-0400 (EDT)</t>
  </si>
  <si>
    <t>1_xMPe1OM4JY29kx9UnaipjP4fK1S3zq8</t>
  </si>
  <si>
    <t>https://drive.google.com/file/d/1_xMPe1OM4JY29kx9UnaipjP4fK1S3zq8/view?usp=drivesdk</t>
  </si>
  <si>
    <t>RISTUTI</t>
  </si>
  <si>
    <t>hararistuti@gmail.com</t>
  </si>
  <si>
    <t>3107</t>
  </si>
  <si>
    <t>1paLp8K3B2inoVGKCB3rrDHBRN5w9xh1A</t>
  </si>
  <si>
    <t>https://drive.google.com/file/d/1paLp8K3B2inoVGKCB3rrDHBRN5w9xh1A/view?usp=drivesdk</t>
  </si>
  <si>
    <t>Document successfully created; Document successfully merged; PDF created; !!Error Sending Emails: Service invoked too many times for one day: email.; Manually run by ecertificate75@gmail.com; Timestamp: Sep 2 2024 3:03 AM</t>
  </si>
  <si>
    <t>ATIK SUJIATI</t>
  </si>
  <si>
    <t>atiexblt@gmail.com</t>
  </si>
  <si>
    <t>3108</t>
  </si>
  <si>
    <t>1CJH-nHmoUCnjWXm_RYRs6-rva6mLESSB</t>
  </si>
  <si>
    <t>https://drive.google.com/file/d/1CJH-nHmoUCnjWXm_RYRs6-rva6mLESSB/view?usp=drivesdk</t>
  </si>
  <si>
    <t xml:space="preserve">SINAR KUMALASARI </t>
  </si>
  <si>
    <t>sinarkumalasari1@gmail.com</t>
  </si>
  <si>
    <t>3109</t>
  </si>
  <si>
    <t>15QtVQTmFKYQvSLhAaSgC5wyLQthkbcSm</t>
  </si>
  <si>
    <t>https://drive.google.com/file/d/15QtVQTmFKYQvSLhAaSgC5wyLQthkbcSm/view?usp=drivesdk</t>
  </si>
  <si>
    <t>SRI HARTINI</t>
  </si>
  <si>
    <t>sutinisakri03@gmail.com</t>
  </si>
  <si>
    <t>3110</t>
  </si>
  <si>
    <t>1EiXgtZRpmcie0zZAJGv1vbznFWHE1O8Q</t>
  </si>
  <si>
    <t>https://drive.google.com/file/d/1EiXgtZRpmcie0zZAJGv1vbznFWHE1O8Q/view?usp=drivesdk</t>
  </si>
  <si>
    <t>SITI ARIYANTI</t>
  </si>
  <si>
    <t>sitiariyanti84@gmail.com</t>
  </si>
  <si>
    <t>3111</t>
  </si>
  <si>
    <t>1ZAWhxxnNohhUbYyYfeyKceiaOFSfzN3q</t>
  </si>
  <si>
    <t>https://drive.google.com/file/d/1ZAWhxxnNohhUbYyYfeyKceiaOFSfzN3q/view?usp=drivesdk</t>
  </si>
  <si>
    <t>ILA BETI</t>
  </si>
  <si>
    <t>ilabetidokpol@gmail.com</t>
  </si>
  <si>
    <t>3112</t>
  </si>
  <si>
    <t>1olmhAiKXG-um9xUP55xgdmbpwrrlTpuH</t>
  </si>
  <si>
    <t>https://drive.google.com/file/d/1olmhAiKXG-um9xUP55xgdmbpwrrlTpuH/view?usp=drivesdk</t>
  </si>
  <si>
    <t>Document successfully created; Document successfully merged; PDF created; !!Error Sending Emails: Service invoked too many times for one day: email.; Manually run by ecertificate75@gmail.com; Timestamp: Sep 2 2024 3:04 AM</t>
  </si>
  <si>
    <t>SARI WIDIAWATI</t>
  </si>
  <si>
    <t>sariwidia85@gmail.com</t>
  </si>
  <si>
    <t>3113</t>
  </si>
  <si>
    <t>11H74ToxtdU5B1nPDVonUhK82Kr5L_Khc</t>
  </si>
  <si>
    <t>https://drive.google.com/file/d/11H74ToxtdU5B1nPDVonUhK82Kr5L_Khc/view?usp=drivesdk</t>
  </si>
  <si>
    <t>DESY ANDRIYANA</t>
  </si>
  <si>
    <t>andriyanadesy@gmail.com</t>
  </si>
  <si>
    <t>3114</t>
  </si>
  <si>
    <t>1UmejQVXlZVVJY4zqcTXbY8CMU3YL5x7y</t>
  </si>
  <si>
    <t>https://drive.google.com/file/d/1UmejQVXlZVVJY4zqcTXbY8CMU3YL5x7y/view?usp=drivesdk</t>
  </si>
  <si>
    <t>Document successfully created; Document successfully merged; PDF created; !!Error Sending Emails: Service invoked too many times for one day: email.; Manually run by ecertificate75@gmail.com; Timestamp: Sep 2 2024 3:05 AM</t>
  </si>
  <si>
    <t>TIARA ARMINTA, SST</t>
  </si>
  <si>
    <t>siraittiara281@yahoo.co.id</t>
  </si>
  <si>
    <t>3115</t>
  </si>
  <si>
    <t>1vl_Uo8EzUqLTBvv73p_HvKIahXLuKs54</t>
  </si>
  <si>
    <t>https://drive.google.com/file/d/1vl_Uo8EzUqLTBvv73p_HvKIahXLuKs54/view?usp=drivesdk</t>
  </si>
  <si>
    <t xml:space="preserve">CATUR LUH WIDYAWATI </t>
  </si>
  <si>
    <t>caturluhwidyawatiresmdn@gmail.com</t>
  </si>
  <si>
    <t>3116</t>
  </si>
  <si>
    <t>https://drive.google.com/file/d/1S51U1Anp_P-uAsRy8-L2mGReo7vj9zxn/view?usp=drivesdk</t>
  </si>
  <si>
    <t>1S51U1Anp_P-uAsRy8-L2mGReo7vj9zxn</t>
  </si>
  <si>
    <t>1DaPHhVarQ6f38ki6xLy03eA6EZ7JJwLF</t>
  </si>
  <si>
    <t>https://drive.google.com/file/d/1DaPHhVarQ6f38ki6xLy03eA6EZ7JJwLF/view?usp=drivesdk</t>
  </si>
  <si>
    <t>ARA KUSWARA</t>
  </si>
  <si>
    <t>arakuswara72@gmail.com</t>
  </si>
  <si>
    <t>3117</t>
  </si>
  <si>
    <t>1TFRhPMfBiPOOWbY3D-p72so3J8c3KRun</t>
  </si>
  <si>
    <t>https://drive.google.com/file/d/1TFRhPMfBiPOOWbY3D-p72so3J8c3KRun/view?usp=drivesdk</t>
  </si>
  <si>
    <t xml:space="preserve">apt. HERNI NURLIANI S.Farm </t>
  </si>
  <si>
    <t>herninur1982@gmail.com</t>
  </si>
  <si>
    <t>3118</t>
  </si>
  <si>
    <t>1wYitDV8F-3W2pbRJEYFLdVbJnQpasOki</t>
  </si>
  <si>
    <t>https://drive.google.com/file/d/1wYitDV8F-3W2pbRJEYFLdVbJnQpasOki/view?usp=drivesdk</t>
  </si>
  <si>
    <t>Document successfully created; Document successfully merged; PDF created; !!Error Sending Emails: Service invoked too many times for one day: email.; Manually run by ecertificate75@gmail.com; Timestamp: Sep 2 2024 3:06 AM</t>
  </si>
  <si>
    <t>TETTY ARIANI</t>
  </si>
  <si>
    <t>tettyariani70@gmail.com</t>
  </si>
  <si>
    <t>3119</t>
  </si>
  <si>
    <t>16WCIf6kAigTAXHNMBRBWKDpxqFcAUdl8</t>
  </si>
  <si>
    <t>https://drive.google.com/file/d/16WCIf6kAigTAXHNMBRBWKDpxqFcAUdl8/view?usp=drivesdk</t>
  </si>
  <si>
    <t>MUHAMMAD ILHAM ARMIN</t>
  </si>
  <si>
    <t>muhilhamilham180@gmail.com</t>
  </si>
  <si>
    <t>3120</t>
  </si>
  <si>
    <t>Starting at Thu Aug 29 2024 21:14:24 GMT-0400 (EDT)</t>
  </si>
  <si>
    <t>1TagdDg2Yi44cJBhYnsfon8KC5Te5tC2o</t>
  </si>
  <si>
    <t>https://drive.google.com/file/d/1TagdDg2Yi44cJBhYnsfon8KC5Te5tC2o/view?usp=drivesdk</t>
  </si>
  <si>
    <t>DODOK WALJIYANYO</t>
  </si>
  <si>
    <t>dodokwaljiyanto@gmail.com</t>
  </si>
  <si>
    <t>3121</t>
  </si>
  <si>
    <t>https://drive.google.com/file/d/1vvffcqXoO3eC6RsJTtqNVU2JPD-VJslX/view?usp=drivesdk</t>
  </si>
  <si>
    <t>1vvffcqXoO3eC6RsJTtqNVU2JPD-VJslX</t>
  </si>
  <si>
    <t>1Fue2dlnbIf8IC_F2y41ll_YWtsN2gnsA</t>
  </si>
  <si>
    <t>https://drive.google.com/file/d/1Fue2dlnbIf8IC_F2y41ll_YWtsN2gnsA/view?usp=drivesdk</t>
  </si>
  <si>
    <t>WILDAN N. NASUTION</t>
  </si>
  <si>
    <t>wildannasution1978@gmail.com</t>
  </si>
  <si>
    <t>3122</t>
  </si>
  <si>
    <t>Starting at Thu Aug 29 2024 21:14:26 GMT-0400 (EDT)</t>
  </si>
  <si>
    <t>1-Z_hNi9zgZIm4WZrxhTYKX4Vw1l_bNzB</t>
  </si>
  <si>
    <t>https://drive.google.com/file/d/1-Z_hNi9zgZIm4WZrxhTYKX4Vw1l_bNzB/view?usp=drivesdk</t>
  </si>
  <si>
    <t>Document successfully created; Document successfully merged; PDF created; !!Error Sending Emails: Service invoked too many times for one day: email.; Manually run by ecertificate75@gmail.com; Timestamp: Sep 2 2024 3:07 AM</t>
  </si>
  <si>
    <t>ARLANI</t>
  </si>
  <si>
    <t>arlanibelitang@gmail.com</t>
  </si>
  <si>
    <t>3123</t>
  </si>
  <si>
    <t>1PmXGh1ppxdC9shX2Re45AqzzXngttRAu</t>
  </si>
  <si>
    <t>https://drive.google.com/file/d/1PmXGh1ppxdC9shX2Re45AqzzXngttRAu/view?usp=drivesdk</t>
  </si>
  <si>
    <t>SUHANDA</t>
  </si>
  <si>
    <t>handasuhandaoo@gmail.com</t>
  </si>
  <si>
    <t>3124</t>
  </si>
  <si>
    <t>1qLv87hwzCEgxnzLdc1INPL9K9b9n3iG8</t>
  </si>
  <si>
    <t>https://drive.google.com/file/d/1qLv87hwzCEgxnzLdc1INPL9K9b9n3iG8/view?usp=drivesdk</t>
  </si>
  <si>
    <t>Document successfully created; Document successfully merged; PDF created; !!Error Sending Emails: Service invoked too many times for one day: email.; Run via form trigger as ecertificate75@gmail.com; Timestamp: Sep 1 2024 11:47 PM</t>
  </si>
  <si>
    <t>RARA AYU PERDHANI</t>
  </si>
  <si>
    <t>rara.ayu.86.rf@gmail.com</t>
  </si>
  <si>
    <t>3125</t>
  </si>
  <si>
    <t>Starting at Thu Aug 29 2024 21:14:31 GMT-0400 (EDT)</t>
  </si>
  <si>
    <t>1GWnk5Uu5M6uh2K5-crcb8lO0r9A18da1</t>
  </si>
  <si>
    <t>https://drive.google.com/file/d/1GWnk5Uu5M6uh2K5-crcb8lO0r9A18da1/view?usp=drivesdk</t>
  </si>
  <si>
    <t xml:space="preserve">INSANUL MUKMININ </t>
  </si>
  <si>
    <t>insanul78mukminin@gmail.com</t>
  </si>
  <si>
    <t>3126</t>
  </si>
  <si>
    <t>1sVlNhPyBYvY7v1irmD37_TLk6_eAuIGc</t>
  </si>
  <si>
    <t>https://drive.google.com/file/d/1sVlNhPyBYvY7v1irmD37_TLk6_eAuIGc/view?usp=drivesdk</t>
  </si>
  <si>
    <t>SITTI FATIMAH, S.Pd</t>
  </si>
  <si>
    <t>fatimaagus12@gmail.com</t>
  </si>
  <si>
    <t>3127</t>
  </si>
  <si>
    <t>1E8RHDRX5GupM8TmoretH8OukN6vzVpva</t>
  </si>
  <si>
    <t>https://drive.google.com/file/d/1E8RHDRX5GupM8TmoretH8OukN6vzVpva/view?usp=drivesdk</t>
  </si>
  <si>
    <t>Document successfully created; Document successfully merged; PDF created; !!Error Sending Emails: Service invoked too many times for one day: email.; Run via form trigger as ecertificate75@gmail.com; Timestamp: Sep 1 2024 11:48 PM</t>
  </si>
  <si>
    <t xml:space="preserve">ANITA SUGIARTI </t>
  </si>
  <si>
    <t>nitawinata68@gmail.com</t>
  </si>
  <si>
    <t>3128</t>
  </si>
  <si>
    <t>1JNz9rtcp7C5muHy9r9OLcPYo4qYkuHBE</t>
  </si>
  <si>
    <t>https://drive.google.com/file/d/1JNz9rtcp7C5muHy9r9OLcPYo4qYkuHBE/view?usp=drivesdk</t>
  </si>
  <si>
    <t>UMMAMI</t>
  </si>
  <si>
    <t>ummami.ummi@gmail.com</t>
  </si>
  <si>
    <t>3129</t>
  </si>
  <si>
    <t>1RfWabnmzuZvrHRlnRSTksulkO7iwPLWQ</t>
  </si>
  <si>
    <t>https://drive.google.com/file/d/1RfWabnmzuZvrHRlnRSTksulkO7iwPLWQ/view?usp=drivesdk</t>
  </si>
  <si>
    <t>RAHMADI, S.AG</t>
  </si>
  <si>
    <t>rahmafi250197@gmail.com</t>
  </si>
  <si>
    <t>3130</t>
  </si>
  <si>
    <t>1Cgenc8IY4RqKYwX2dzAeOeR4tOhwFMu2</t>
  </si>
  <si>
    <t>https://drive.google.com/file/d/1Cgenc8IY4RqKYwX2dzAeOeR4tOhwFMu2/view?usp=drivesdk</t>
  </si>
  <si>
    <t>RISKA PRATAMA</t>
  </si>
  <si>
    <t>ika.ook2010@gmail.com</t>
  </si>
  <si>
    <t>3131</t>
  </si>
  <si>
    <t>1YFBYeM7JkQPK5B1TSz2YTS8jFTBQLlCL</t>
  </si>
  <si>
    <t>https://drive.google.com/file/d/1YFBYeM7JkQPK5B1TSz2YTS8jFTBQLlCL/view?usp=drivesdk</t>
  </si>
  <si>
    <t>Document successfully created; Document successfully merged; PDF created; !!Error Sending Emails: Service invoked too many times for one day: email.; Run via form trigger as ecertificate75@gmail.com; Timestamp: Sep 1 2024 11:49 PM</t>
  </si>
  <si>
    <t xml:space="preserve">MARI SETIYA WARDANI </t>
  </si>
  <si>
    <t>setiawardany782@gmail.com</t>
  </si>
  <si>
    <t>3132</t>
  </si>
  <si>
    <t>1Tr6cQxdHAJNJUo7tKUs14Cd4Ja33SC--</t>
  </si>
  <si>
    <t>https://drive.google.com/file/d/1Tr6cQxdHAJNJUo7tKUs14Cd4Ja33SC--/view?usp=drivesdk</t>
  </si>
  <si>
    <t>KHALID</t>
  </si>
  <si>
    <t>khalidsamsung777j@gmail.com</t>
  </si>
  <si>
    <t>3133</t>
  </si>
  <si>
    <t>1kMUhEKhN-m1A_mjvm2BCglxyROJFDi9e</t>
  </si>
  <si>
    <t>https://drive.google.com/file/d/1kMUhEKhN-m1A_mjvm2BCglxyROJFDi9e/view?usp=drivesdk</t>
  </si>
  <si>
    <t xml:space="preserve">EKI RINI ASTUTI </t>
  </si>
  <si>
    <t>ekarana85@gmail.com</t>
  </si>
  <si>
    <t>3134</t>
  </si>
  <si>
    <t>1okvbEIVSDSZKjM9GlrDXsJd6Ua-Hctbk</t>
  </si>
  <si>
    <t>https://drive.google.com/file/d/1okvbEIVSDSZKjM9GlrDXsJd6Ua-Hctbk/view?usp=drivesdk</t>
  </si>
  <si>
    <t>IHDA ROSADA.A.MD.KEB</t>
  </si>
  <si>
    <t>ihdarosada@gmail.com</t>
  </si>
  <si>
    <t>3135</t>
  </si>
  <si>
    <t>1skqlW_NE3QdmsvrzrujCHP903UdSEXMO</t>
  </si>
  <si>
    <t>https://drive.google.com/file/d/1skqlW_NE3QdmsvrzrujCHP903UdSEXMO/view?usp=drivesdk</t>
  </si>
  <si>
    <t>Document successfully created; Document successfully merged; PDF created; !!Error Sending Emails: Service invoked too many times for one day: email.; Run via form trigger as ecertificate75@gmail.com; Timestamp: Sep 1 2024 11:50 PM</t>
  </si>
  <si>
    <t>UMIYATI LEWENUSSA</t>
  </si>
  <si>
    <t>umiyatiagus73@gmail.com</t>
  </si>
  <si>
    <t>3136</t>
  </si>
  <si>
    <t>1XI-hy3n9s0tmJhVfOe4VFdPuEEp09-JB</t>
  </si>
  <si>
    <t>https://drive.google.com/file/d/1XI-hy3n9s0tmJhVfOe4VFdPuEEp09-JB/view?usp=drivesdk</t>
  </si>
  <si>
    <t>nurhayatimarlian@gmail.com</t>
  </si>
  <si>
    <t>3137</t>
  </si>
  <si>
    <t>1qJsOpU2MKIFCyn888gfsjIi8pxCTdRlt</t>
  </si>
  <si>
    <t>https://drive.google.com/file/d/1qJsOpU2MKIFCyn888gfsjIi8pxCTdRlt/view?usp=drivesdk</t>
  </si>
  <si>
    <t>FITRIYAH, A.Md.Kep</t>
  </si>
  <si>
    <t>bielaaya2014@gmail.com</t>
  </si>
  <si>
    <t>3138</t>
  </si>
  <si>
    <t>Starting at Thu Aug 29 2024 21:14:37 GMT-0400 (EDT)</t>
  </si>
  <si>
    <t>1y-h50PvwJd7IgUEdOLhQO8H3jhTiHR7c</t>
  </si>
  <si>
    <t>https://drive.google.com/file/d/1y-h50PvwJd7IgUEdOLhQO8H3jhTiHR7c/view?usp=drivesdk</t>
  </si>
  <si>
    <t>WINARSIH, S SOS.,M.M.</t>
  </si>
  <si>
    <t>wienarshi@gmail.com</t>
  </si>
  <si>
    <t>3139</t>
  </si>
  <si>
    <t>1u-TK0oRRB_LHxaJsb_MunTYtkRpzXIL-</t>
  </si>
  <si>
    <t>https://drive.google.com/file/d/1u-TK0oRRB_LHxaJsb_MunTYtkRpzXIL-/view?usp=drivesdk</t>
  </si>
  <si>
    <t>YANTI JAHARA</t>
  </si>
  <si>
    <t>yantijahara78@gmail.com</t>
  </si>
  <si>
    <t>3140</t>
  </si>
  <si>
    <t>1SNUnkwYY4X4iuoeSmNdUdv7lVJz0zUwm</t>
  </si>
  <si>
    <t>https://drive.google.com/file/d/1SNUnkwYY4X4iuoeSmNdUdv7lVJz0zUwm/view?usp=drivesdk</t>
  </si>
  <si>
    <t>Document successfully created; Document successfully merged; PDF created; !!Error Sending Emails: Service invoked too many times for one day: email.; Run via form trigger as ecertificate75@gmail.com; Timestamp: Sep 1 2024 11:51 PM</t>
  </si>
  <si>
    <t>TJATUR WAHYU S</t>
  </si>
  <si>
    <t>caturtesting@gmail.com</t>
  </si>
  <si>
    <t>3141</t>
  </si>
  <si>
    <t>1lcfCnSRR0l1OrgzQqn9GVK4p7uBTHwHo</t>
  </si>
  <si>
    <t>https://drive.google.com/file/d/1lcfCnSRR0l1OrgzQqn9GVK4p7uBTHwHo/view?usp=drivesdk</t>
  </si>
  <si>
    <t>ERLINAWATI</t>
  </si>
  <si>
    <t>erlinnayla@gmail.com</t>
  </si>
  <si>
    <t>3142</t>
  </si>
  <si>
    <t>19Mzyesi7HLtPznPITosMIvUHZA6fRGgf</t>
  </si>
  <si>
    <t>https://drive.google.com/file/d/19Mzyesi7HLtPznPITosMIvUHZA6fRGgf/view?usp=drivesdk</t>
  </si>
  <si>
    <t>ADESUNARSO</t>
  </si>
  <si>
    <t>adesunarso800@gmail.com</t>
  </si>
  <si>
    <t>3143</t>
  </si>
  <si>
    <t>Starting at Thu Aug 29 2024 21:14:38 GMT-0400 (EDT)</t>
  </si>
  <si>
    <t>1JcLHJBu6UkobmnuVb76FVW4lJjnNxpRJ</t>
  </si>
  <si>
    <t>https://drive.google.com/file/d/1JcLHJBu6UkobmnuVb76FVW4lJjnNxpRJ/view?usp=drivesdk</t>
  </si>
  <si>
    <t>YUSTRIYANI</t>
  </si>
  <si>
    <t>yustriani51@gmail.com</t>
  </si>
  <si>
    <t>3144</t>
  </si>
  <si>
    <t>1Uc2kSE1sF68WZwrNx_GQrjt6xPBlWIUo</t>
  </si>
  <si>
    <t>https://drive.google.com/file/d/1Uc2kSE1sF68WZwrNx_GQrjt6xPBlWIUo/view?usp=drivesdk</t>
  </si>
  <si>
    <t>Document successfully created; Document successfully merged; PDF created; !!Error Sending Emails: Service invoked too many times for one day: email.; Run via form trigger as ecertificate75@gmail.com; Timestamp: Sep 2 2024 1:26 AM</t>
  </si>
  <si>
    <t>AULIA CANDRA KURNIASARI</t>
  </si>
  <si>
    <t>auliac_1212@yahoo.com</t>
  </si>
  <si>
    <t>3145</t>
  </si>
  <si>
    <t>1lnMfmGkQIZL2V-BxShFWNjxtBbxUEm2e</t>
  </si>
  <si>
    <t>https://drive.google.com/file/d/1lnMfmGkQIZL2V-BxShFWNjxtBbxUEm2e/view?usp=drivesdk</t>
  </si>
  <si>
    <t>Dr. H. MUKHTARMIZI, M.M</t>
  </si>
  <si>
    <t>h.mukhtarmizi@gmail.com</t>
  </si>
  <si>
    <t>3146</t>
  </si>
  <si>
    <t>1jK0zMALK4VlpdBo03-z0WI9asknmJ5Fs</t>
  </si>
  <si>
    <t>https://drive.google.com/file/d/1jK0zMALK4VlpdBo03-z0WI9asknmJ5Fs/view?usp=drivesdk</t>
  </si>
  <si>
    <t>LASMINI</t>
  </si>
  <si>
    <t>lasminiqomarudin@gmail.com</t>
  </si>
  <si>
    <t>3147</t>
  </si>
  <si>
    <t>1q_xBjB8o1pODGza9YNEejuHnqj89wtGu</t>
  </si>
  <si>
    <t>https://drive.google.com/file/d/1q_xBjB8o1pODGza9YNEejuHnqj89wtGu/view?usp=drivesdk</t>
  </si>
  <si>
    <t>SURYADI</t>
  </si>
  <si>
    <t>Sur71yadi@gmail.com</t>
  </si>
  <si>
    <t>3148</t>
  </si>
  <si>
    <t>1lXoyUYVGkV7urUL1ejhfpyHea1dNdFXG</t>
  </si>
  <si>
    <t>https://drive.google.com/file/d/1lXoyUYVGkV7urUL1ejhfpyHea1dNdFXG/view?usp=drivesdk</t>
  </si>
  <si>
    <t>Document successfully created; Document successfully merged; PDF created; !!Error Sending Emails: Service invoked too many times for one day: email.; Run via form trigger as ecertificate75@gmail.com; Timestamp: Sep 2 2024 1:27 AM</t>
  </si>
  <si>
    <t>ABU HASAN, S.Ag., M.H.</t>
  </si>
  <si>
    <t>alimulyadi110@gmail.com</t>
  </si>
  <si>
    <t>3149</t>
  </si>
  <si>
    <t>1V5zc-8G_JOdJE8ZBNGogQjBneLd7hHAd</t>
  </si>
  <si>
    <t>https://drive.google.com/file/d/1V5zc-8G_JOdJE8ZBNGogQjBneLd7hHAd/view?usp=drivesdk</t>
  </si>
  <si>
    <t>IKHWAN, S.H.</t>
  </si>
  <si>
    <t>ikhwanspn1976@gmail.com</t>
  </si>
  <si>
    <t>3150</t>
  </si>
  <si>
    <t>1XJUtb7wA3VH9J8WZn2gLnyTWpYyAo2pS</t>
  </si>
  <si>
    <t>https://drive.google.com/file/d/1XJUtb7wA3VH9J8WZn2gLnyTWpYyAo2pS/view?usp=drivesdk</t>
  </si>
  <si>
    <t>Yusef Eko Suwanto</t>
  </si>
  <si>
    <t>yusefatrae@gmail.com</t>
  </si>
  <si>
    <t>3151</t>
  </si>
  <si>
    <t>1bpjRF4qrnzigJ8hFaCt6L0S-8-VXeYuM</t>
  </si>
  <si>
    <t>https://drive.google.com/file/d/1bpjRF4qrnzigJ8hFaCt6L0S-8-VXeYuM/view?usp=drivesdk</t>
  </si>
  <si>
    <t>KUKUH RAKHMAN</t>
  </si>
  <si>
    <t>kukuhrakhman2019@gmail.com</t>
  </si>
  <si>
    <t>3152</t>
  </si>
  <si>
    <t>1Zo-cqKnyQC1PW85WidvLAPmVAhW9uH34</t>
  </si>
  <si>
    <t>https://drive.google.com/file/d/1Zo-cqKnyQC1PW85WidvLAPmVAhW9uH34/view?usp=drivesdk</t>
  </si>
  <si>
    <t xml:space="preserve">EDDY  SUMARTO </t>
  </si>
  <si>
    <t>sumarto3112@gmail.com</t>
  </si>
  <si>
    <t>3153</t>
  </si>
  <si>
    <t>1ZQtrpTukal4_-hKPRMsZJT5tXhozfCWQ</t>
  </si>
  <si>
    <t>https://drive.google.com/file/d/1ZQtrpTukal4_-hKPRMsZJT5tXhozfCWQ/view?usp=drivesdk</t>
  </si>
  <si>
    <t>NURLELA</t>
  </si>
  <si>
    <t>nurlelabalqis123@qmail.com</t>
  </si>
  <si>
    <t>3154</t>
  </si>
  <si>
    <t>1jVmHxh9QOWWAq2ZVBkTWGmGgle8KKnl5</t>
  </si>
  <si>
    <t>https://drive.google.com/file/d/1jVmHxh9QOWWAq2ZVBkTWGmGgle8KKnl5/view?usp=drivesdk</t>
  </si>
  <si>
    <t>Document successfully created; Document successfully merged; PDF created; !!Error Sending Emails: Service invoked too many times for one day: email.; Run via form trigger as ecertificate75@gmail.com; Timestamp: Sep 2 2024 1:28 AM</t>
  </si>
  <si>
    <t xml:space="preserve">SRI DEWANOTO DIPURO </t>
  </si>
  <si>
    <t>dewo.lrg@gmail.com</t>
  </si>
  <si>
    <t>3155</t>
  </si>
  <si>
    <t>1qOwicltlG8r2VBwlh4GYPsnZ95qyp4-p</t>
  </si>
  <si>
    <t>https://drive.google.com/file/d/1qOwicltlG8r2VBwlh4GYPsnZ95qyp4-p/view?usp=drivesdk</t>
  </si>
  <si>
    <t>HABIBAH, S.AB</t>
  </si>
  <si>
    <t>habibah8889@gmail.com</t>
  </si>
  <si>
    <t>3156</t>
  </si>
  <si>
    <t>1r8trDHrjMpBBMltG6A9BWfsT3OIYjK6P</t>
  </si>
  <si>
    <t>https://drive.google.com/file/d/1r8trDHrjMpBBMltG6A9BWfsT3OIYjK6P/view?usp=drivesdk</t>
  </si>
  <si>
    <t>ASHARI,S.H.</t>
  </si>
  <si>
    <t>assharii85@gmail.com</t>
  </si>
  <si>
    <t>3157</t>
  </si>
  <si>
    <t>Starting at Thu Aug 29 2024 21:14:39 GMT-0400 (EDT)</t>
  </si>
  <si>
    <t>1OPR_X4vJnL2UWj0C6ho01efE2Ofyo-2z</t>
  </si>
  <si>
    <t>https://drive.google.com/file/d/1OPR_X4vJnL2UWj0C6ho01efE2Ofyo-2z/view?usp=drivesdk</t>
  </si>
  <si>
    <t>allysaindriani@gmail.com</t>
  </si>
  <si>
    <t>3158</t>
  </si>
  <si>
    <t>1DdZ-61hH08BXXHnyJFtJB6tUeEooBeu9</t>
  </si>
  <si>
    <t>https://drive.google.com/file/d/1DdZ-61hH08BXXHnyJFtJB6tUeEooBeu9/view?usp=drivesdk</t>
  </si>
  <si>
    <t>SASTIA DIAN IRMASARI, AMD. KEB</t>
  </si>
  <si>
    <t>irmasarisastia90@gmail.com</t>
  </si>
  <si>
    <t>3159</t>
  </si>
  <si>
    <t>1jSs1weXKFJDInEfJ05uoARq6FY7Tq65t</t>
  </si>
  <si>
    <t>https://drive.google.com/file/d/1jSs1weXKFJDInEfJ05uoARq6FY7Tq65t/view?usp=drivesdk</t>
  </si>
  <si>
    <t>NI NYOMAN PURMONI</t>
  </si>
  <si>
    <t>ni.nyomanpurmoni08@gmail.com</t>
  </si>
  <si>
    <t>3160</t>
  </si>
  <si>
    <t>1tr7kl_XOZy64pl3RNz4JzvW-BLQasaOH</t>
  </si>
  <si>
    <t>https://drive.google.com/file/d/1tr7kl_XOZy64pl3RNz4JzvW-BLQasaOH/view?usp=drivesdk</t>
  </si>
  <si>
    <t>MELIANY</t>
  </si>
  <si>
    <t>melkomeliany79@gmail.com</t>
  </si>
  <si>
    <t>3161</t>
  </si>
  <si>
    <t>1MvPhDAkwjZNClpYK5I3-er-6e2KDkEBm</t>
  </si>
  <si>
    <t>https://drive.google.com/file/d/1MvPhDAkwjZNClpYK5I3-er-6e2KDkEBm/view?usp=drivesdk</t>
  </si>
  <si>
    <t>Document successfully created; Document successfully merged; PDF created; !!Error Sending Emails: Service invoked too many times for one day: email.; Run via form trigger as ecertificate75@gmail.com; Timestamp: Sep 2 2024 1:29 AM</t>
  </si>
  <si>
    <t>MELI YULIANA</t>
  </si>
  <si>
    <t>meliyuliana79@gmail.com</t>
  </si>
  <si>
    <t>3162</t>
  </si>
  <si>
    <t>1L1muxeKyBN--JwJZKqa8EgNW6dtZZUjN</t>
  </si>
  <si>
    <t>https://drive.google.com/file/d/1L1muxeKyBN--JwJZKqa8EgNW6dtZZUjN/view?usp=drivesdk</t>
  </si>
  <si>
    <t xml:space="preserve">Dahniar Fatimah Harahap </t>
  </si>
  <si>
    <t>putriwulansaripkeliat@gmail.com</t>
  </si>
  <si>
    <t>3163</t>
  </si>
  <si>
    <t>1a8zZ61MuI0wNqNtDFuUUGNN65NDR3SJq</t>
  </si>
  <si>
    <t>https://drive.google.com/file/d/1a8zZ61MuI0wNqNtDFuUUGNN65NDR3SJq/view?usp=drivesdk</t>
  </si>
  <si>
    <t>DEWA AYU ARIASIH</t>
  </si>
  <si>
    <t>dewaayuariasih58@gmail.com</t>
  </si>
  <si>
    <t>3164</t>
  </si>
  <si>
    <t>https://drive.google.com/file/d/1uOEyAaBbOkUaXRIMMnFors4hAeXKTKR_/view?usp=drivesdk</t>
  </si>
  <si>
    <t>1uOEyAaBbOkUaXRIMMnFors4hAeXKTKR_</t>
  </si>
  <si>
    <t>1mZalmJcLiOBHRyu4AgOfI7Q7FLIH6xgI</t>
  </si>
  <si>
    <t>https://drive.google.com/file/d/1mZalmJcLiOBHRyu4AgOfI7Q7FLIH6xgI/view?usp=drivesdk</t>
  </si>
  <si>
    <t xml:space="preserve">WAHYU MADHONA SUJATMOKO, S.E </t>
  </si>
  <si>
    <t>msudjatmoko3@gmail.com</t>
  </si>
  <si>
    <t>3165</t>
  </si>
  <si>
    <t>https://drive.google.com/file/d/1Vw5OwhlPRBaBha9kK87dh_kOY4U6TUse/view?usp=drivesdk</t>
  </si>
  <si>
    <t>1Vw5OwhlPRBaBha9kK87dh_kOY4U6TUse</t>
  </si>
  <si>
    <t>1bxp3ZjSB64hQlooKvSUsKGg21qYUWXO-</t>
  </si>
  <si>
    <t>https://drive.google.com/file/d/1bxp3ZjSB64hQlooKvSUsKGg21qYUWXO-/view?usp=drivesdk</t>
  </si>
  <si>
    <t>RITA OKTORINA HAPSARI</t>
  </si>
  <si>
    <t>ritaoktorina@gmail.com</t>
  </si>
  <si>
    <t>3166</t>
  </si>
  <si>
    <t>https://drive.google.com/file/d/1cHPNphnFfiDU8LMrEcDhuS7Km8aQLRdd/view?usp=drivesdk</t>
  </si>
  <si>
    <t>1cHPNphnFfiDU8LMrEcDhuS7Km8aQLRdd</t>
  </si>
  <si>
    <t>1VJszbrlC_WbNfzxT3HWng2qChdfFqWVn</t>
  </si>
  <si>
    <t>https://drive.google.com/file/d/1VJszbrlC_WbNfzxT3HWng2qChdfFqWVn/view?usp=drivesdk</t>
  </si>
  <si>
    <t>RINA JUNIARSA</t>
  </si>
  <si>
    <t>rinajuniarsa@gmail.com</t>
  </si>
  <si>
    <t>3167</t>
  </si>
  <si>
    <t>https://drive.google.com/file/d/1hzzTx57iBKaUPDBe1236J3L4Swet2ypQ/view?usp=drivesdk</t>
  </si>
  <si>
    <t>1hzzTx57iBKaUPDBe1236J3L4Swet2ypQ</t>
  </si>
  <si>
    <t>1PqS_JAoHBWn5TBc2SlEUMMA3z-xx-oSl</t>
  </si>
  <si>
    <t>https://drive.google.com/file/d/1PqS_JAoHBWn5TBc2SlEUMMA3z-xx-oSl/view?usp=drivesdk</t>
  </si>
  <si>
    <t>Document successfully created; Document successfully merged; PDF created; !!Error Sending Emails: Service invoked too many times for one day: email.; Run via form trigger as ecertificate75@gmail.com; Timestamp: Sep 2 2024 1:30 AM</t>
  </si>
  <si>
    <t>VRIETA SAFARIENA RSHAYU, AMd,Kep</t>
  </si>
  <si>
    <t>degant.d5@gmail.com</t>
  </si>
  <si>
    <t>3168</t>
  </si>
  <si>
    <t>Starting at Thu Aug 29 2024 21:14:45 GMT-0400 (EDT)</t>
  </si>
  <si>
    <t>1_h4ROCH8zW-40dcKWSD8A45bMvaaXlQv</t>
  </si>
  <si>
    <t>https://drive.google.com/file/d/1_h4ROCH8zW-40dcKWSD8A45bMvaaXlQv/view?usp=drivesdk</t>
  </si>
  <si>
    <t>SRI INDARTI</t>
  </si>
  <si>
    <t>bintbilkris@gmail.com</t>
  </si>
  <si>
    <t>3169</t>
  </si>
  <si>
    <t>1AVmf1mtkZBm481V5_2zJAkK4NaipBgq1</t>
  </si>
  <si>
    <t>https://drive.google.com/file/d/1AVmf1mtkZBm481V5_2zJAkK4NaipBgq1/view?usp=drivesdk</t>
  </si>
  <si>
    <t>AFANDI</t>
  </si>
  <si>
    <t>afandi310368@gmail.com</t>
  </si>
  <si>
    <t>3170</t>
  </si>
  <si>
    <t>1Z0U3ZPnLP_pGarkMtqPvCx5U3ljpB4nA</t>
  </si>
  <si>
    <t>https://drive.google.com/file/d/1Z0U3ZPnLP_pGarkMtqPvCx5U3ljpB4nA/view?usp=drivesdk</t>
  </si>
  <si>
    <t>LAILY HARININGSIH</t>
  </si>
  <si>
    <t>lailyhariningsih@gmail.com</t>
  </si>
  <si>
    <t>3171</t>
  </si>
  <si>
    <t>https://drive.google.com/file/d/1ht8bgrCT997nsCAciYYj2UeI-0f_W3Mx/view?usp=drivesdk</t>
  </si>
  <si>
    <t>1ht8bgrCT997nsCAciYYj2UeI-0f_W3Mx</t>
  </si>
  <si>
    <t>1M_wEjMYZiSLorP3YqYWoeeluUlH_GyQe</t>
  </si>
  <si>
    <t>https://drive.google.com/file/d/1M_wEjMYZiSLorP3YqYWoeeluUlH_GyQe/view?usp=drivesdk</t>
  </si>
  <si>
    <t>SUHARTI, SE</t>
  </si>
  <si>
    <t>pnssuharti10021976@gmail.com</t>
  </si>
  <si>
    <t>3172</t>
  </si>
  <si>
    <t>https://drive.google.com/file/d/1mm5FpZwuLBlASqm3bDJPToahku89yK5C/view?usp=drivesdk</t>
  </si>
  <si>
    <t>1mm5FpZwuLBlASqm3bDJPToahku89yK5C</t>
  </si>
  <si>
    <t>1CkUUbAurLcZL8H6tvLXCj6z4OAvjZZOK</t>
  </si>
  <si>
    <t>https://drive.google.com/file/d/1CkUUbAurLcZL8H6tvLXCj6z4OAvjZZOK/view?usp=drivesdk</t>
  </si>
  <si>
    <t>HARTATI</t>
  </si>
  <si>
    <t>hartatimirza@gmail.com</t>
  </si>
  <si>
    <t>3173</t>
  </si>
  <si>
    <t>Starting at Thu Aug 29 2024 21:14:47 GMT-0400 (EDT)</t>
  </si>
  <si>
    <t>1Qq_Ab8XpohG6nDCHENSlRSmwlsr-AY9s</t>
  </si>
  <si>
    <t>https://drive.google.com/file/d/1Qq_Ab8XpohG6nDCHENSlRSmwlsr-AY9s/view?usp=drivesdk</t>
  </si>
  <si>
    <t>Document successfully created; Document successfully merged; PDF created; !!Error Sending Emails: Service invoked too many times for one day: email.; Run via form trigger as ecertificate75@gmail.com; Timestamp: Sep 2 2024 1:31 AM</t>
  </si>
  <si>
    <t>NANANG HERI WIBOWO, S.Kom</t>
  </si>
  <si>
    <t>nanang.heri@gmail.com</t>
  </si>
  <si>
    <t>3174</t>
  </si>
  <si>
    <t>18kQScQ5bmZi2Ybnbs-O0tGHhmQdSoiW0</t>
  </si>
  <si>
    <t>https://drive.google.com/file/d/18kQScQ5bmZi2Ybnbs-O0tGHhmQdSoiW0/view?usp=drivesdk</t>
  </si>
  <si>
    <t>ISMADI, S.PD., M.H.</t>
  </si>
  <si>
    <t>pak.ismadi@gmail.com</t>
  </si>
  <si>
    <t>3175</t>
  </si>
  <si>
    <t>1DUyfnHsSD8es6TojWWOs1ObI2J2DsnSh</t>
  </si>
  <si>
    <t>https://drive.google.com/file/d/1DUyfnHsSD8es6TojWWOs1ObI2J2DsnSh/view?usp=drivesdk</t>
  </si>
  <si>
    <t>Document successfully created; Document successfully merged; PDF created; Emails Sent: [To: pak.ismadi@gmail.com]; Run via form trigger as ecertificate75@gmail.com; Timestamp: Sep 2 2024 2:04 AM</t>
  </si>
  <si>
    <t>YUSHANA SILALAHI</t>
  </si>
  <si>
    <t>silalahiyushana@gmail.com</t>
  </si>
  <si>
    <t>3176</t>
  </si>
  <si>
    <t>1TmBgWBl_uRZSVzadtZq_8B9RqPK8M5aK</t>
  </si>
  <si>
    <t>https://drive.google.com/file/d/1TmBgWBl_uRZSVzadtZq_8B9RqPK8M5aK/view?usp=drivesdk</t>
  </si>
  <si>
    <t>Document successfully created; Document successfully merged; PDF created; Emails Sent: [To: silalahiyushana@gmail.com]; Run via form trigger as ecertificate75@gmail.com; Timestamp: Sep 2 2024 2:04 AM</t>
  </si>
  <si>
    <t>SARI SUMARYATI</t>
  </si>
  <si>
    <t>sarisunaryati96@gmail.com</t>
  </si>
  <si>
    <t>3177</t>
  </si>
  <si>
    <t>https://drive.google.com/file/d/1rodQOJ_KGqKkNzwgA8GWsVIyKaQE_QGJ/view?usp=drivesdk</t>
  </si>
  <si>
    <t>1rodQOJ_KGqKkNzwgA8GWsVIyKaQE_QGJ</t>
  </si>
  <si>
    <t>1y5c6rpmagTaID7FuLRS2bgY90jCEaj7l</t>
  </si>
  <si>
    <t>https://drive.google.com/file/d/1y5c6rpmagTaID7FuLRS2bgY90jCEaj7l/view?usp=drivesdk</t>
  </si>
  <si>
    <t>Document successfully created; Document successfully merged; PDF created; Emails Sent: [To: sarisunaryati96@gmail.com]; Run via form trigger as ecertificate75@gmail.com; Timestamp: Sep 2 2024 2:04 AM</t>
  </si>
  <si>
    <t>TRIYOGO</t>
  </si>
  <si>
    <t>triyogopbg@gmail.com</t>
  </si>
  <si>
    <t>3178</t>
  </si>
  <si>
    <t>https://drive.google.com/file/d/1nSGwCKeYHaxs5g9P0DSiZeib8r9RB1h_/view?usp=drivesdk</t>
  </si>
  <si>
    <t>1nSGwCKeYHaxs5g9P0DSiZeib8r9RB1h_</t>
  </si>
  <si>
    <t>106dVPuTg3l9FuKeSdKMTcjWe_dZIawxb</t>
  </si>
  <si>
    <t>https://drive.google.com/file/d/106dVPuTg3l9FuKeSdKMTcjWe_dZIawxb/view?usp=drivesdk</t>
  </si>
  <si>
    <t>Document successfully created; Document successfully merged; PDF created; Emails Sent: [To: triyogopbg@gmail.com]; Run via form trigger as ecertificate75@gmail.com; Timestamp: Sep 2 2024 2:04 AM</t>
  </si>
  <si>
    <t>Drs.MAHMUD</t>
  </si>
  <si>
    <t>mahmudysf12@gmail.com</t>
  </si>
  <si>
    <t>3179</t>
  </si>
  <si>
    <t>https://drive.google.com/file/d/1ZJijB1GTizydmw8bBS94YBFHDGOFqTSu/view?usp=drivesdk</t>
  </si>
  <si>
    <t>1ZJijB1GTizydmw8bBS94YBFHDGOFqTSu</t>
  </si>
  <si>
    <t>1VASz13AdaMZGMZWIglwP0okRoYQQ8R1C</t>
  </si>
  <si>
    <t>https://drive.google.com/file/d/1VASz13AdaMZGMZWIglwP0okRoYQQ8R1C/view?usp=drivesdk</t>
  </si>
  <si>
    <t>Document successfully created; Document successfully merged; PDF created; Emails Sent: [To: mahmudysf12@gmail.com]; Run via form trigger as ecertificate75@gmail.com; Timestamp: Sep 2 2024 2:05 AM</t>
  </si>
  <si>
    <t>RENIKA EVADIASTI  PRAVITA, A.Md.Kep</t>
  </si>
  <si>
    <t>renidiasvita@gmail.com</t>
  </si>
  <si>
    <t>3180</t>
  </si>
  <si>
    <t>Starting at Thu Aug 29 2024 21:14:51 GMT-0400 (EDT)</t>
  </si>
  <si>
    <t>18v4MsqZNDHxhjGhqEp0WJBSX08yQg0Di</t>
  </si>
  <si>
    <t>https://drive.google.com/file/d/18v4MsqZNDHxhjGhqEp0WJBSX08yQg0Di/view?usp=drivesdk</t>
  </si>
  <si>
    <t>Document successfully created; Document successfully merged; PDF created; Emails Sent: [To: renidiasvita@gmail.com]; Run via form trigger as ecertificate75@gmail.com; Timestamp: Sep 2 2024 2:05 AM</t>
  </si>
  <si>
    <t>DR YUSTINASARI</t>
  </si>
  <si>
    <t>yustinasariyusuf@gmail.com</t>
  </si>
  <si>
    <t>3181</t>
  </si>
  <si>
    <t>1hB2W-ljQmSfCzSh3hbgr4O-_RT6LdKiZ</t>
  </si>
  <si>
    <t>https://drive.google.com/file/d/1hB2W-ljQmSfCzSh3hbgr4O-_RT6LdKiZ/view?usp=drivesdk</t>
  </si>
  <si>
    <t>Document successfully created; Document successfully merged; PDF created; Emails Sent: [To: yustinasariyusuf@gmail.com]; Run via form trigger as ecertificate75@gmail.com; Timestamp: Sep 2 2024 2:05 AM</t>
  </si>
  <si>
    <t>I DEWA AYU SRI MURNIATI DARMA BUDI</t>
  </si>
  <si>
    <t>srimurniatidarmabudi@gmail.com</t>
  </si>
  <si>
    <t>3182</t>
  </si>
  <si>
    <t>1z6-oj4cJ3y3IRHzTGJl9Hsqt7qATqtxi</t>
  </si>
  <si>
    <t>https://drive.google.com/file/d/1z6-oj4cJ3y3IRHzTGJl9Hsqt7qATqtxi/view?usp=drivesdk</t>
  </si>
  <si>
    <t>Document successfully created; Document successfully merged; PDF created; Emails Sent: [To: srimurniatidarmabudi@gmail.com]; Run via form trigger as ecertificate75@gmail.com; Timestamp: Sep 2 2024 2:05 AM</t>
  </si>
  <si>
    <t xml:space="preserve">KUSRIYANINGTYAS </t>
  </si>
  <si>
    <t>kusuma.tyas3@gmail.com</t>
  </si>
  <si>
    <t>3183</t>
  </si>
  <si>
    <t>1PvnqJ37hYhABfq7b7wa89_0wQ4h4KpDD</t>
  </si>
  <si>
    <t>https://drive.google.com/file/d/1PvnqJ37hYhABfq7b7wa89_0wQ4h4KpDD/view?usp=drivesdk</t>
  </si>
  <si>
    <t>Document successfully created; Document successfully merged; PDF created; Emails Sent: [To: kusuma.tyas3@gmail.com]; Run via form trigger as ecertificate75@gmail.com; Timestamp: Sep 2 2024 2:05 AM</t>
  </si>
  <si>
    <t>HENDRIK KUNTORO S.E</t>
  </si>
  <si>
    <t>Kuntorohendrik@gmail.com</t>
  </si>
  <si>
    <t>3184</t>
  </si>
  <si>
    <t>https://drive.google.com/file/d/1-Q5HlTqnFTO9QMTWHGanGY2j3FQp-V_1/view?usp=drivesdk</t>
  </si>
  <si>
    <t>1-Q5HlTqnFTO9QMTWHGanGY2j3FQp-V_1</t>
  </si>
  <si>
    <t>11DioRX_XNnw8_aJ3KvGyCDFbXo4qJCVb</t>
  </si>
  <si>
    <t>https://drive.google.com/file/d/11DioRX_XNnw8_aJ3KvGyCDFbXo4qJCVb/view?usp=drivesdk</t>
  </si>
  <si>
    <t>Document successfully created; Document successfully merged; PDF created; Emails Sent: [To: Kuntorohendrik@gmail.com]; Run via form trigger as ecertificate75@gmail.com; Timestamp: Sep 2 2024 2:06 AM</t>
  </si>
  <si>
    <t>NOVIE WIDIASTUTI, S.E.</t>
  </si>
  <si>
    <t>noviewid.911@gmail.com</t>
  </si>
  <si>
    <t>3185</t>
  </si>
  <si>
    <t>https://drive.google.com/file/d/1RH1AO2o5_TEeroNLlMXoDhgQma84dAFJ/view?usp=drivesdk</t>
  </si>
  <si>
    <t>1RH1AO2o5_TEeroNLlMXoDhgQma84dAFJ</t>
  </si>
  <si>
    <t>1mTAsTAQph354rTzS9QrEUh7NTv2sLBQo</t>
  </si>
  <si>
    <t>https://drive.google.com/file/d/1mTAsTAQph354rTzS9QrEUh7NTv2sLBQo/view?usp=drivesdk</t>
  </si>
  <si>
    <t>Document successfully created; Document successfully merged; PDF created; Emails Sent: [To: noviewid.911@gmail.com]; Run via form trigger as ecertificate75@gmail.com; Timestamp: Sep 2 2024 2:06 AM</t>
  </si>
  <si>
    <t>NURASMI</t>
  </si>
  <si>
    <t>Nurasmi.sekkundur@gamil.com</t>
  </si>
  <si>
    <t>3186</t>
  </si>
  <si>
    <t>Starting at Thu Aug 29 2024 21:15:00 GMT-0400 (EDT)</t>
  </si>
  <si>
    <t>1PR44MOLA1M2MaO0L4edGjt26LnpkPomy</t>
  </si>
  <si>
    <t>https://drive.google.com/file/d/1PR44MOLA1M2MaO0L4edGjt26LnpkPomy/view?usp=drivesdk</t>
  </si>
  <si>
    <t>Document successfully created; Document successfully merged; PDF created; Emails Sent: [To: Nurasmi.sekkundur@gamil.com]; Run via form trigger as ecertificate75@gmail.com; Timestamp: Sep 2 2024 2:06 AM</t>
  </si>
  <si>
    <t>EKA YUNITA, S.T., M.T.</t>
  </si>
  <si>
    <t>oncelveky@gmail.com</t>
  </si>
  <si>
    <t>3187</t>
  </si>
  <si>
    <t>11DOc1CP4CBUf3p6poUKvpyFAWBLpTz92</t>
  </si>
  <si>
    <t>https://drive.google.com/file/d/11DOc1CP4CBUf3p6poUKvpyFAWBLpTz92/view?usp=drivesdk</t>
  </si>
  <si>
    <t>Document successfully created; Document successfully merged; PDF created; Emails Sent: [To: oncelveky@gmail.com]; Run via form trigger as ecertificate75@gmail.com; Timestamp: Sep 2 2024 2:06 AM</t>
  </si>
  <si>
    <t>STEVANIA SANDRELY, S.E.</t>
  </si>
  <si>
    <t>stevanisandrely@gmail.com</t>
  </si>
  <si>
    <t>3188</t>
  </si>
  <si>
    <t>1Rue9OoU2MOsrOTYop5zsirW1X57sSYb4</t>
  </si>
  <si>
    <t>https://drive.google.com/file/d/1Rue9OoU2MOsrOTYop5zsirW1X57sSYb4/view?usp=drivesdk</t>
  </si>
  <si>
    <t>Document successfully created; Document successfully merged; PDF created; Emails Sent: [To: stevanisandrely@gmail.com]; Run via form trigger as ecertificate75@gmail.com; Timestamp: Sep 2 2024 2:06 AM</t>
  </si>
  <si>
    <t xml:space="preserve">HERYANTO </t>
  </si>
  <si>
    <t>heryanto852@yahoo.co.id</t>
  </si>
  <si>
    <t>3189</t>
  </si>
  <si>
    <t>1DBe7tlmpmQEBk61w0YsGT6y7zqAWKEY4</t>
  </si>
  <si>
    <t>https://drive.google.com/file/d/1DBe7tlmpmQEBk61w0YsGT6y7zqAWKEY4/view?usp=drivesdk</t>
  </si>
  <si>
    <t>Document successfully created; Document successfully merged; PDF created; Emails Sent: [To: heryanto852@yahoo.co.id]; Run via form trigger as ecertificate75@gmail.com; Timestamp: Sep 2 2024 2:07 AM</t>
  </si>
  <si>
    <t xml:space="preserve">RINI HARTATI </t>
  </si>
  <si>
    <t>rinih179@gmail.com</t>
  </si>
  <si>
    <t>3190</t>
  </si>
  <si>
    <t>1caRlUzNe1D4EKtHiLFqitfyPxF5PSyGF</t>
  </si>
  <si>
    <t>https://drive.google.com/file/d/1caRlUzNe1D4EKtHiLFqitfyPxF5PSyGF/view?usp=drivesdk</t>
  </si>
  <si>
    <t>Document successfully created; Document successfully merged; PDF created; Emails Sent: [To: rinih179@gmail.com]; Run via form trigger as ecertificate75@gmail.com; Timestamp: Sep 2 2024 2:07 AM</t>
  </si>
  <si>
    <t>EVI HERLENA, S.E</t>
  </si>
  <si>
    <t>eviherlena@gmail.com</t>
  </si>
  <si>
    <t>3191</t>
  </si>
  <si>
    <t>1QWyWte-4tqHyPGVnvro2N_Bnj2vSzF3-</t>
  </si>
  <si>
    <t>https://drive.google.com/file/d/1QWyWte-4tqHyPGVnvro2N_Bnj2vSzF3-/view?usp=drivesdk</t>
  </si>
  <si>
    <t>Document successfully created; Document successfully merged; PDF created; Emails Sent: [To: eviherlena@gmail.com]; Run via form trigger as ecertificate75@gmail.com; Timestamp: Sep 2 2024 2:07 AM</t>
  </si>
  <si>
    <t xml:space="preserve">ABDULLOH </t>
  </si>
  <si>
    <t>yuninurhaliza05@gmail.com</t>
  </si>
  <si>
    <t>3192</t>
  </si>
  <si>
    <t>1M4qVZAdUSl-yQRUr2EsK7-_tpzfQlEtx</t>
  </si>
  <si>
    <t>https://drive.google.com/file/d/1M4qVZAdUSl-yQRUr2EsK7-_tpzfQlEtx/view?usp=drivesdk</t>
  </si>
  <si>
    <t>Document successfully created; Document successfully merged; PDF created; Emails Sent: [To: yuninurhaliza05@gmail.com]; Run via form trigger as ecertificate75@gmail.com; Timestamp: Sep 2 2024 2:07 AM</t>
  </si>
  <si>
    <t>MOHAMAD BADRUN</t>
  </si>
  <si>
    <t>badrun1905.@gmail.com</t>
  </si>
  <si>
    <t>3193</t>
  </si>
  <si>
    <t>1Oymt861ek0laRUANe7iC5hzL_zxvzwsW</t>
  </si>
  <si>
    <t>https://drive.google.com/file/d/1Oymt861ek0laRUANe7iC5hzL_zxvzwsW/view?usp=drivesdk</t>
  </si>
  <si>
    <t>Document successfully created; Document successfully merged; PDF created; !!Error Sending Emails: Invalid email: badrun1905.@gmail.com; Run via form trigger as ecertificate75@gmail.com; Timestamp: Sep 2 2024 2:07 AM</t>
  </si>
  <si>
    <t>ESPIDA MALAU</t>
  </si>
  <si>
    <t>espidamalau@gmail.com</t>
  </si>
  <si>
    <t>3194</t>
  </si>
  <si>
    <t>1bPFUhy0xLytv4z-kLhoQiVk4mXOHMGEM</t>
  </si>
  <si>
    <t>https://drive.google.com/file/d/1bPFUhy0xLytv4z-kLhoQiVk4mXOHMGEM/view?usp=drivesdk</t>
  </si>
  <si>
    <t>Document successfully created; Document successfully merged; PDF created; Emails Sent: [To: espidamalau@gmail.com]; Run via form trigger as ecertificate75@gmail.com; Timestamp: Sep 2 2024 2:08 AM</t>
  </si>
  <si>
    <t>SUSILOWATI, SE</t>
  </si>
  <si>
    <t>susilowati0783@gmail.com</t>
  </si>
  <si>
    <t>3195</t>
  </si>
  <si>
    <t>1JAzFZAs_8X_eibIfSQOgUo1pQkeOOFpr</t>
  </si>
  <si>
    <t>https://drive.google.com/file/d/1JAzFZAs_8X_eibIfSQOgUo1pQkeOOFpr/view?usp=drivesdk</t>
  </si>
  <si>
    <t>Document successfully created; Document successfully merged; PDF created; Emails Sent: [To: susilowati0783@gmail.com]; Run via form trigger as ecertificate75@gmail.com; Timestamp: Sep 2 2024 2:08 AM</t>
  </si>
  <si>
    <t>MiMI MIRAWATI</t>
  </si>
  <si>
    <t>mimimirawati09@gmail.com</t>
  </si>
  <si>
    <t>3196</t>
  </si>
  <si>
    <t>Starting at Thu Aug 29 2024 21:15:03 GMT-0400 (EDT)</t>
  </si>
  <si>
    <t>1_7dYNQASIiYF-ypsKTyGx00XxfJu8ixC</t>
  </si>
  <si>
    <t>https://drive.google.com/file/d/1_7dYNQASIiYF-ypsKTyGx00XxfJu8ixC/view?usp=drivesdk</t>
  </si>
  <si>
    <t>Document successfully created; Document successfully merged; PDF created; Emails Sent: [To: mimimirawati09@gmail.com]; Run via form trigger as ecertificate75@gmail.com; Timestamp: Sep 2 2024 2:08 AM</t>
  </si>
  <si>
    <t>MASRUPIN</t>
  </si>
  <si>
    <t>www.masrupin354@gmail.com</t>
  </si>
  <si>
    <t>3197</t>
  </si>
  <si>
    <t>Starting at Thu Aug 29 2024 21:15:06 GMT-0400 (EDT)</t>
  </si>
  <si>
    <t>1EiRWAunH8jZvYMaL6KtYmQumq390-2o3</t>
  </si>
  <si>
    <t>https://drive.google.com/file/d/1EiRWAunH8jZvYMaL6KtYmQumq390-2o3/view?usp=drivesdk</t>
  </si>
  <si>
    <t>Document successfully created; Document successfully merged; PDF created; Emails Sent: [To: www.masrupin354@gmail.com]; Run via form trigger as ecertificate75@gmail.com; Timestamp: Sep 2 2024 2:08 AM</t>
  </si>
  <si>
    <t>DELIANA NAIBORHU</t>
  </si>
  <si>
    <t>deliana.naiborhu@yahoo.co.id</t>
  </si>
  <si>
    <t>3198</t>
  </si>
  <si>
    <t>Starting at Thu Aug 29 2024 21:15:19 GMT-0400 (EDT)</t>
  </si>
  <si>
    <t>1xoZCTllNDfQObwBB7wJjfH2bEd62fNRT</t>
  </si>
  <si>
    <t>https://drive.google.com/file/d/1xoZCTllNDfQObwBB7wJjfH2bEd62fNRT/view?usp=drivesdk</t>
  </si>
  <si>
    <t>Document successfully created; Document successfully merged; PDF created; Emails Sent: [To: deliana.naiborhu@yahoo.co.id]; Run via form trigger as ecertificate75@gmail.com; Timestamp: Sep 2 2024 2:08 AM</t>
  </si>
  <si>
    <t>SUHARYANTI</t>
  </si>
  <si>
    <t>suharyanti1709@gmaul.com</t>
  </si>
  <si>
    <t>3199</t>
  </si>
  <si>
    <t>1xdprstGhEiQ_uke3-KJf4eKAAJytw0Kv</t>
  </si>
  <si>
    <t>https://drive.google.com/file/d/1xdprstGhEiQ_uke3-KJf4eKAAJytw0Kv/view?usp=drivesdk</t>
  </si>
  <si>
    <t>Document successfully created; Document successfully merged; PDF created; Emails Sent: [To: suharyanti1709@gmaul.com]; Run via form trigger as ecertificate75@gmail.com; Timestamp: Sep 2 2024 2:09 AM</t>
  </si>
  <si>
    <t>TISTA EKA PARAMITA, S.E</t>
  </si>
  <si>
    <t>tistaekaparamita@gmail.com</t>
  </si>
  <si>
    <t>3200</t>
  </si>
  <si>
    <t>1BlHIdvpA5qJDktPJV_n9EUJQeir5IeDQ</t>
  </si>
  <si>
    <t>https://drive.google.com/file/d/1BlHIdvpA5qJDktPJV_n9EUJQeir5IeDQ/view?usp=drivesdk</t>
  </si>
  <si>
    <t>Document successfully created; Document successfully merged; PDF created; Emails Sent: [To: tistaekaparamita@gmail.com]; Manually run by ecertificate75@gmail.com; Timestamp: Sep 2 2024 2:38 AM</t>
  </si>
  <si>
    <t>WIDANINGSIH</t>
  </si>
  <si>
    <t>widaningsih49@gmail.com</t>
  </si>
  <si>
    <t>3201</t>
  </si>
  <si>
    <t>1Er_MyxR6nOlSdZeVkVQmpPuiHtJypuRN</t>
  </si>
  <si>
    <t>https://drive.google.com/file/d/1Er_MyxR6nOlSdZeVkVQmpPuiHtJypuRN/view?usp=drivesdk</t>
  </si>
  <si>
    <t>Document successfully created; Document successfully merged; PDF created; Emails Sent: [To: widaningsih49@gmail.com]; Manually run by ecertificate75@gmail.com; Timestamp: Sep 2 2024 2:38 AM</t>
  </si>
  <si>
    <t>ROZI OKTAVIARNI.Amd.Kep</t>
  </si>
  <si>
    <t>rozioktaviarni9@gmail.com</t>
  </si>
  <si>
    <t>3202</t>
  </si>
  <si>
    <t>1-scTw1sTWxQviLDiWiZuhKvquLjq7b4M</t>
  </si>
  <si>
    <t>https://drive.google.com/file/d/1-scTw1sTWxQviLDiWiZuhKvquLjq7b4M/view?usp=drivesdk</t>
  </si>
  <si>
    <t>Document successfully created; Document successfully merged; PDF created; Emails Sent: [To: rozioktaviarni9@gmail.com]; Manually run by ecertificate75@gmail.com; Timestamp: Sep 2 2024 2:38 AM</t>
  </si>
  <si>
    <t>SANI MUSTHOFA NUR ROHMAN</t>
  </si>
  <si>
    <t>sanimustofa.nr@gmail.com</t>
  </si>
  <si>
    <t>3203</t>
  </si>
  <si>
    <t>1JMeWsDOPEwEW0YN2dW6uuRC3r7neFhaR</t>
  </si>
  <si>
    <t>https://drive.google.com/file/d/1JMeWsDOPEwEW0YN2dW6uuRC3r7neFhaR/view?usp=drivesdk</t>
  </si>
  <si>
    <t>Document successfully created; Document successfully merged; PDF created; Emails Sent: [To: sanimustofa.nr@gmail.com]; Manually run by ecertificate75@gmail.com; Timestamp: Sep 2 2024 2:39 AM</t>
  </si>
  <si>
    <t>ARTA SIMANGUNSONG</t>
  </si>
  <si>
    <t>artasimangunsong1070@gmail.com</t>
  </si>
  <si>
    <t>3204</t>
  </si>
  <si>
    <t>Starting at Thu Aug 29 2024 21:15:22 GMT-0400 (EDT)</t>
  </si>
  <si>
    <t>193AG9hrBKi31j9qIp-M8Oja2eFl4NBwj</t>
  </si>
  <si>
    <t>https://drive.google.com/file/d/193AG9hrBKi31j9qIp-M8Oja2eFl4NBwj/view?usp=drivesdk</t>
  </si>
  <si>
    <t>Document successfully created; Document successfully merged; PDF created; Emails Sent: [To: artasimangunsong1070@gmail.com]; Manually run by ecertificate75@gmail.com; Timestamp: Sep 2 2024 2:39 AM</t>
  </si>
  <si>
    <t>WIDYANIARTI, STr. Keb</t>
  </si>
  <si>
    <t>widyaniarti07@gmail.com</t>
  </si>
  <si>
    <t>3205</t>
  </si>
  <si>
    <t>14t2t7ykAe_tC6m79MSSW_8sW-_NmJ8TW</t>
  </si>
  <si>
    <t>https://drive.google.com/file/d/14t2t7ykAe_tC6m79MSSW_8sW-_NmJ8TW/view?usp=drivesdk</t>
  </si>
  <si>
    <t>Document successfully created; Document successfully merged; PDF created; Emails Sent: [To: widyaniarti07@gmail.com]; Manually run by ecertificate75@gmail.com; Timestamp: Sep 2 2024 2:39 AM</t>
  </si>
  <si>
    <t>SARIAH, S. SOS</t>
  </si>
  <si>
    <t>thesabagas@gmail.com</t>
  </si>
  <si>
    <t>3206</t>
  </si>
  <si>
    <t>1jz2vU21c0GcpOn497EbBqasncFTPMXmY</t>
  </si>
  <si>
    <t>https://drive.google.com/file/d/1jz2vU21c0GcpOn497EbBqasncFTPMXmY/view?usp=drivesdk</t>
  </si>
  <si>
    <t>Document successfully created; Document successfully merged; PDF created; Emails Sent: [To: thesabagas@gmail.com]; Manually run by ecertificate75@gmail.com; Timestamp: Sep 2 2024 2:40 AM</t>
  </si>
  <si>
    <t>SITI FITRATIN KORNI.S.SOS</t>
  </si>
  <si>
    <t>pipitkorni@gmail.com</t>
  </si>
  <si>
    <t>3207</t>
  </si>
  <si>
    <t>1wjMPk-PdeTPCcmxcFD8lr1a1shRtLX4B</t>
  </si>
  <si>
    <t>https://drive.google.com/file/d/1wjMPk-PdeTPCcmxcFD8lr1a1shRtLX4B/view?usp=drivesdk</t>
  </si>
  <si>
    <t>Document successfully created; Document successfully merged; PDF created; Emails Sent: [To: pipitkorni@gmail.com]; Manually run by ecertificate75@gmail.com; Timestamp: Sep 2 2024 2:40 AM</t>
  </si>
  <si>
    <t>PRANSEDA</t>
  </si>
  <si>
    <t>pranper24@gmail.com</t>
  </si>
  <si>
    <t>3208</t>
  </si>
  <si>
    <t>1kfJgEP8yVMr61X1_mQuu5LlM_Y5UeAZW</t>
  </si>
  <si>
    <t>https://drive.google.com/file/d/1kfJgEP8yVMr61X1_mQuu5LlM_Y5UeAZW/view?usp=drivesdk</t>
  </si>
  <si>
    <t>Document successfully created; Document successfully merged; PDF created; Emails Sent: [To: pranper24@gmail.com]; Manually run by ecertificate75@gmail.com; Timestamp: Sep 2 2024 2:40 AM</t>
  </si>
  <si>
    <t>DWI WARYANI</t>
  </si>
  <si>
    <t>dwiwaryani68@gmail.com</t>
  </si>
  <si>
    <t>3209</t>
  </si>
  <si>
    <t>10f0p9-3AaF5dkJAydBjpjqHlAMkxhByC</t>
  </si>
  <si>
    <t>https://drive.google.com/file/d/10f0p9-3AaF5dkJAydBjpjqHlAMkxhByC/view?usp=drivesdk</t>
  </si>
  <si>
    <t>Document successfully created; Document successfully merged; PDF created; Emails Sent: [To: dwiwaryani68@gmail.com]; Manually run by ecertificate75@gmail.com; Timestamp: Sep 2 2024 2:40 AM</t>
  </si>
  <si>
    <t>SUGIYANA</t>
  </si>
  <si>
    <t>Sugiyana.ganteng@gmail.com</t>
  </si>
  <si>
    <t>3210</t>
  </si>
  <si>
    <t>1PnA_CrQhEWI7rZLAl5EvZ05CIf_4gvaK</t>
  </si>
  <si>
    <t>https://drive.google.com/file/d/1PnA_CrQhEWI7rZLAl5EvZ05CIf_4gvaK/view?usp=drivesdk</t>
  </si>
  <si>
    <t>Document successfully created; Document successfully merged; PDF created; Emails Sent: [To: Sugiyana.ganteng@gmail.com]; Manually run by ecertificate75@gmail.com; Timestamp: Sep 2 2024 2:41 AM</t>
  </si>
  <si>
    <t xml:space="preserve">PIO SRIYUNI, S. E., M. M. </t>
  </si>
  <si>
    <t>piosriyuni@gmail.com</t>
  </si>
  <si>
    <t>3211</t>
  </si>
  <si>
    <t>1wj9YCduXCcQIoLWqksPGAayzcJvfunpI</t>
  </si>
  <si>
    <t>https://drive.google.com/file/d/1wj9YCduXCcQIoLWqksPGAayzcJvfunpI/view?usp=drivesdk</t>
  </si>
  <si>
    <t>Document successfully created; Document successfully merged; PDF created; Emails Sent: [To: piosriyuni@gmail.com]; Manually run by ecertificate75@gmail.com; Timestamp: Sep 2 2024 2:41 AM</t>
  </si>
  <si>
    <t>SARYONO</t>
  </si>
  <si>
    <t>Saryono4173@gmail.com</t>
  </si>
  <si>
    <t>3212</t>
  </si>
  <si>
    <t>Starting at Thu Aug 29 2024 21:15:27 GMT-0400 (EDT)</t>
  </si>
  <si>
    <t>1DW-ViLZpRyDXYow_u8jGMbeVOAtYJjfK</t>
  </si>
  <si>
    <t>https://drive.google.com/file/d/1DW-ViLZpRyDXYow_u8jGMbeVOAtYJjfK/view?usp=drivesdk</t>
  </si>
  <si>
    <t>Document successfully created; Document successfully merged; PDF created; Emails Sent: [To: Saryono4173@gmail.com]; Manually run by ecertificate75@gmail.com; Timestamp: Sep 2 2024 2:41 AM</t>
  </si>
  <si>
    <t>I PUTU INDRA WINAYA, S.AP.</t>
  </si>
  <si>
    <t>mandrakkae@gmail.com</t>
  </si>
  <si>
    <t>3213</t>
  </si>
  <si>
    <t>1fQwbk5jVpDsmYCLOct-qAl2PLphIoks1</t>
  </si>
  <si>
    <t>https://drive.google.com/file/d/1fQwbk5jVpDsmYCLOct-qAl2PLphIoks1/view?usp=drivesdk</t>
  </si>
  <si>
    <t>Document successfully created; Document successfully merged; PDF created; Emails Sent: [To: mandrakkae@gmail.com]; Manually run by ecertificate75@gmail.com; Timestamp: Sep 2 2024 2:41 AM</t>
  </si>
  <si>
    <t xml:space="preserve">RINI SUSANTI </t>
  </si>
  <si>
    <t>rinisusanti925@gmail.com</t>
  </si>
  <si>
    <t>3214</t>
  </si>
  <si>
    <t>1vxyUbUM9KMcTMOBESSfm4GOU5C8714-M</t>
  </si>
  <si>
    <t>https://drive.google.com/file/d/1vxyUbUM9KMcTMOBESSfm4GOU5C8714-M/view?usp=drivesdk</t>
  </si>
  <si>
    <t>Document successfully created; Document successfully merged; PDF created; Emails Sent: [To: rinisusanti925@gmail.com]; Manually run by ecertificate75@gmail.com; Timestamp: Sep 2 2024 2:42 AM</t>
  </si>
  <si>
    <t>HARTONO</t>
  </si>
  <si>
    <t>hartonolog@gmail.com</t>
  </si>
  <si>
    <t>3215</t>
  </si>
  <si>
    <t>1qNLpQYUXwdNkZQy_9xJuAZEe4I3abRtw</t>
  </si>
  <si>
    <t>https://drive.google.com/file/d/1qNLpQYUXwdNkZQy_9xJuAZEe4I3abRtw/view?usp=drivesdk</t>
  </si>
  <si>
    <t>Document successfully created; Document successfully merged; PDF created; Emails Sent: [To: hartonolog@gmail.com]; Manually run by ecertificate75@gmail.com; Timestamp: Sep 2 2024 2:43 AM</t>
  </si>
  <si>
    <t>SRI ASTUTIK S.Pd.</t>
  </si>
  <si>
    <t>astutik.sri12@gmail.com</t>
  </si>
  <si>
    <t>3216</t>
  </si>
  <si>
    <t>1DxMh7tC5uGbVDBQNK67KPjCbWXTisOBS</t>
  </si>
  <si>
    <t>https://drive.google.com/file/d/1DxMh7tC5uGbVDBQNK67KPjCbWXTisOBS/view?usp=drivesdk</t>
  </si>
  <si>
    <t>EDY WAHYU PURWANTO, S.Kep.</t>
  </si>
  <si>
    <t>edypurwanto008@gmail.com</t>
  </si>
  <si>
    <t>3217</t>
  </si>
  <si>
    <t>1YOi2l1LibGeCuXQqtGOtOw21fzVRFQNo</t>
  </si>
  <si>
    <t>https://drive.google.com/file/d/1YOi2l1LibGeCuXQqtGOtOw21fzVRFQNo/view?usp=drivesdk</t>
  </si>
  <si>
    <t>Document successfully created; Document successfully merged; PDF created; !!Error Sending Emails: Service invoked too many times for one day: email.; Manually run by ecertificate75@gmail.com; Timestamp: Sep 2 2024 3:08 AM</t>
  </si>
  <si>
    <t>AHMAD SALIM</t>
  </si>
  <si>
    <t>madsalim906@gmail.com</t>
  </si>
  <si>
    <t>3218</t>
  </si>
  <si>
    <t>1-gGr-AreojtIYZZTxlFxVzAapumpG4zu</t>
  </si>
  <si>
    <t>https://drive.google.com/file/d/1-gGr-AreojtIYZZTxlFxVzAapumpG4zu/view?usp=drivesdk</t>
  </si>
  <si>
    <t>TUTI,SE</t>
  </si>
  <si>
    <t>tutirambi127@gmail.com</t>
  </si>
  <si>
    <t>3219</t>
  </si>
  <si>
    <t>1n8-Cukipp-myZJzyU0wqeB5txQ6QV-Ts</t>
  </si>
  <si>
    <t>https://drive.google.com/file/d/1n8-Cukipp-myZJzyU0wqeB5txQ6QV-Ts/view?usp=drivesdk</t>
  </si>
  <si>
    <t>ALFRIDA LUCIANA MANGAPUL</t>
  </si>
  <si>
    <t>alfridaluciana1@gmail.com</t>
  </si>
  <si>
    <t>3220</t>
  </si>
  <si>
    <t>13Xj7vwaifSqVgMmnXOjoSY4cp8uhAMZb</t>
  </si>
  <si>
    <t>https://drive.google.com/file/d/13Xj7vwaifSqVgMmnXOjoSY4cp8uhAMZb/view?usp=drivesdk</t>
  </si>
  <si>
    <t>Document successfully created; Document successfully merged; PDF created; !!Error Sending Emails: Service invoked too many times for one day: email.; Manually run by ecertificate75@gmail.com; Timestamp: Sep 2 2024 3:09 AM</t>
  </si>
  <si>
    <t>SYARI AYATI SKM</t>
  </si>
  <si>
    <t>shafiyyahfiyyah01@gmail.com</t>
  </si>
  <si>
    <t>3221</t>
  </si>
  <si>
    <t>1pKxSkWeYpZeN4GQSAqcFj7Kayt0Deipi</t>
  </si>
  <si>
    <t>https://drive.google.com/file/d/1pKxSkWeYpZeN4GQSAqcFj7Kayt0Deipi/view?usp=drivesdk</t>
  </si>
  <si>
    <t>suyoto.sim@gmail.com</t>
  </si>
  <si>
    <t>3222</t>
  </si>
  <si>
    <t>1QZUOCf8RZ3qrvqoc3ob8odpWWwmqyTPL</t>
  </si>
  <si>
    <t>https://drive.google.com/file/d/1QZUOCf8RZ3qrvqoc3ob8odpWWwmqyTPL/view?usp=drivesdk</t>
  </si>
  <si>
    <t>SRI NURHAYATI</t>
  </si>
  <si>
    <t>nurhayati.sri1973@gmail.com</t>
  </si>
  <si>
    <t>3223</t>
  </si>
  <si>
    <t>1PVkobBQSvdMQZA8SgaAcNXBt1O9BenpK</t>
  </si>
  <si>
    <t>https://drive.google.com/file/d/1PVkobBQSvdMQZA8SgaAcNXBt1O9BenpK/view?usp=drivesdk</t>
  </si>
  <si>
    <t>Document successfully created; Document successfully merged; PDF created; !!Error Sending Emails: Service invoked too many times for one day: email.; Manually run by ecertificate75@gmail.com; Timestamp: Sep 2 2024 3:10 AM</t>
  </si>
  <si>
    <t>AMIDAH DESTINA</t>
  </si>
  <si>
    <t>amidahdestina@gmail.com</t>
  </si>
  <si>
    <t>3224</t>
  </si>
  <si>
    <t>Starting at Thu Aug 29 2024 21:15:28 GMT-0400 (EDT)</t>
  </si>
  <si>
    <t>1QkQ-IcvNuTQFH6NNmRJMahGj8Ul_A56X</t>
  </si>
  <si>
    <t>https://drive.google.com/file/d/1QkQ-IcvNuTQFH6NNmRJMahGj8Ul_A56X/view?usp=drivesdk</t>
  </si>
  <si>
    <t>Document successfully created; Document successfully merged; PDF created; Emails Sent: [To: amidahdestina@gmail.com]; Manually run by ecertificate75@gmail.com; Timestamp: Sep 2 2024 3:10 AM</t>
  </si>
  <si>
    <t>YONO SUGIONO</t>
  </si>
  <si>
    <t>yonosugiono200@gmail.com</t>
  </si>
  <si>
    <t>3225</t>
  </si>
  <si>
    <t>1POMinn3Qnw-4iC8CWhGAKnH2oUN-RA2c</t>
  </si>
  <si>
    <t>https://drive.google.com/file/d/1POMinn3Qnw-4iC8CWhGAKnH2oUN-RA2c/view?usp=drivesdk</t>
  </si>
  <si>
    <t>MALEM KEPE KARO KARO</t>
  </si>
  <si>
    <t>malemkepekarokaro@gmail.com</t>
  </si>
  <si>
    <t>3226</t>
  </si>
  <si>
    <t>117V4cgfLKXegeuGiD582S1fAYir49MRV</t>
  </si>
  <si>
    <t>https://drive.google.com/file/d/117V4cgfLKXegeuGiD582S1fAYir49MRV/view?usp=drivesdk</t>
  </si>
  <si>
    <t>Document successfully created; Document successfully merged; PDF created; !!Error Sending Emails: Service invoked too many times for one day: email.; Manually run by ecertificate75@gmail.com; Timestamp: Sep 2 2024 3:11 AM</t>
  </si>
  <si>
    <t>DEDE SUDARTI</t>
  </si>
  <si>
    <t>dsudarti1968@gmail.com</t>
  </si>
  <si>
    <t>3227</t>
  </si>
  <si>
    <t>1STpwc-dnEg5EMOGodNq5gtHKi8b37bla</t>
  </si>
  <si>
    <t>https://drive.google.com/file/d/1STpwc-dnEg5EMOGodNq5gtHKi8b37bla/view?usp=drivesdk</t>
  </si>
  <si>
    <t>MAMAT RAHMAT</t>
  </si>
  <si>
    <t>mr2894219@gmail.com</t>
  </si>
  <si>
    <t>3228</t>
  </si>
  <si>
    <t>1T-C9JGC0wCUdqBa29-8QoXA2D_vsAmaW</t>
  </si>
  <si>
    <t>https://drive.google.com/file/d/1T-C9JGC0wCUdqBa29-8QoXA2D_vsAmaW/view?usp=drivesdk</t>
  </si>
  <si>
    <t>MARIA DWI SARTIKA, AMK</t>
  </si>
  <si>
    <t>mariadwi.sartika27@yahoo.com</t>
  </si>
  <si>
    <t>3229</t>
  </si>
  <si>
    <t>1oJiAS3SfzNf78QN1SK5Q3cXi57LCxBkc</t>
  </si>
  <si>
    <t>https://drive.google.com/file/d/1oJiAS3SfzNf78QN1SK5Q3cXi57LCxBkc/view?usp=drivesdk</t>
  </si>
  <si>
    <t>KARDIMIN</t>
  </si>
  <si>
    <t>hkardimin@gmail.com</t>
  </si>
  <si>
    <t>3230</t>
  </si>
  <si>
    <t>1mW3OZaYrp2uVLf8Ws3xfY3VtBDh4CXuR</t>
  </si>
  <si>
    <t>https://drive.google.com/file/d/1mW3OZaYrp2uVLf8Ws3xfY3VtBDh4CXuR/view?usp=drivesdk</t>
  </si>
  <si>
    <t>A MUSHODDAQ</t>
  </si>
  <si>
    <t>mushoddaqahmad@gmail.com</t>
  </si>
  <si>
    <t>3231</t>
  </si>
  <si>
    <t>1yuil8ZMYSCIi3aXt36xkJ3yjG6SovRjg</t>
  </si>
  <si>
    <t>https://drive.google.com/file/d/1yuil8ZMYSCIi3aXt36xkJ3yjG6SovRjg/view?usp=drivesdk</t>
  </si>
  <si>
    <t>Document successfully created; Document successfully merged; PDF created; !!Error Sending Emails: Service invoked too many times for one day: email.; Manually run by ecertificate75@gmail.com; Timestamp: Sep 2 2024 3:12 AM</t>
  </si>
  <si>
    <t>GANANG WALUYO, S.E.</t>
  </si>
  <si>
    <t>ganangwaluyo@gmail.com</t>
  </si>
  <si>
    <t>3232</t>
  </si>
  <si>
    <t>1-GEgpTOZjkA4-A4qLpX9S0BwsOPAT4wg</t>
  </si>
  <si>
    <t>https://drive.google.com/file/d/1-GEgpTOZjkA4-A4qLpX9S0BwsOPAT4wg/view?usp=drivesdk</t>
  </si>
  <si>
    <t>FRIDA ERNARIA ROHANI MANIK</t>
  </si>
  <si>
    <t>manikfrida633@gmail.com</t>
  </si>
  <si>
    <t>3233</t>
  </si>
  <si>
    <t>Starting at Thu Aug 29 2024 21:15:30 GMT-0400 (EDT)</t>
  </si>
  <si>
    <t>1DgMImbXv_mrRvIIKh1fUpYBEwVJ61-s6</t>
  </si>
  <si>
    <t>https://drive.google.com/file/d/1DgMImbXv_mrRvIIKh1fUpYBEwVJ61-s6/view?usp=drivesdk</t>
  </si>
  <si>
    <t>NUR WIDAYANTI</t>
  </si>
  <si>
    <t>nurwidayanti0408@gmail.com</t>
  </si>
  <si>
    <t>3234</t>
  </si>
  <si>
    <t>1JYVcqZwHG47itf-cfgs_ISuIAB9NRbp1</t>
  </si>
  <si>
    <t>https://drive.google.com/file/d/1JYVcqZwHG47itf-cfgs_ISuIAB9NRbp1/view?usp=drivesdk</t>
  </si>
  <si>
    <t>Document successfully created; Document successfully merged; PDF created; !!Error Sending Emails: Service invoked too many times for one day: email.; Manually run by ecertificate75@gmail.com; Timestamp: Sep 2 2024 3:13 AM</t>
  </si>
  <si>
    <t>Joni Al Fakri AM.d</t>
  </si>
  <si>
    <t>wen.joni76@gmail.com</t>
  </si>
  <si>
    <t>3235</t>
  </si>
  <si>
    <t>1TkGX5B0g6Jf4f-gDQXHOWQBczZJltBDe</t>
  </si>
  <si>
    <t>https://drive.google.com/file/d/1TkGX5B0g6Jf4f-gDQXHOWQBczZJltBDe/view?usp=drivesdk</t>
  </si>
  <si>
    <t>ASTRY MAHARANI</t>
  </si>
  <si>
    <t>astrymaharani14@gmail.com</t>
  </si>
  <si>
    <t>3236</t>
  </si>
  <si>
    <t>1COB1cEZsbCJhOwfgrslTKLEU-AAc8L9n</t>
  </si>
  <si>
    <t>https://drive.google.com/file/d/1COB1cEZsbCJhOwfgrslTKLEU-AAc8L9n/view?usp=drivesdk</t>
  </si>
  <si>
    <t>PENATA TK.I ZAENAB, S.E.I.</t>
  </si>
  <si>
    <t>rameyza.09@gmail.com</t>
  </si>
  <si>
    <t>3237</t>
  </si>
  <si>
    <t>1DAafQ4YoV93KsFzeerGF9BW5LHGC6_f4</t>
  </si>
  <si>
    <t>https://drive.google.com/file/d/1DAafQ4YoV93KsFzeerGF9BW5LHGC6_f4/view?usp=drivesdk</t>
  </si>
  <si>
    <t xml:space="preserve">SUYEM ATMI </t>
  </si>
  <si>
    <t>suyemnunungatmi@gmail.com</t>
  </si>
  <si>
    <t>3238</t>
  </si>
  <si>
    <t>1m575x1mWCTdjtTCwkNvs3UO-ATj7j0Vz</t>
  </si>
  <si>
    <t>https://drive.google.com/file/d/1m575x1mWCTdjtTCwkNvs3UO-ATj7j0Vz/view?usp=drivesdk</t>
  </si>
  <si>
    <t>EVA CRISTIANA</t>
  </si>
  <si>
    <t>evacrist84@gmail.com</t>
  </si>
  <si>
    <t>3239</t>
  </si>
  <si>
    <t>Starting at Thu Aug 29 2024 21:15:34 GMT-0400 (EDT)</t>
  </si>
  <si>
    <t>1mgIxpmnG3zxCsmJSBTzcXw_VmqH767Fl</t>
  </si>
  <si>
    <t>https://drive.google.com/file/d/1mgIxpmnG3zxCsmJSBTzcXw_VmqH767Fl/view?usp=drivesdk</t>
  </si>
  <si>
    <t>Document successfully created; Document successfully merged; PDF created; !!Error Sending Emails: Service invoked too many times for one day: email.; Manually run by ecertificate75@gmail.com; Timestamp: Sep 2 2024 3:14 AM</t>
  </si>
  <si>
    <t>WIDARTI</t>
  </si>
  <si>
    <t>widartiseno@gmail.com</t>
  </si>
  <si>
    <t>3240</t>
  </si>
  <si>
    <t>1GU3w3HZi5g6wtN7m-S_SgTM9X4_2YnDi</t>
  </si>
  <si>
    <t>https://drive.google.com/file/d/1GU3w3HZi5g6wtN7m-S_SgTM9X4_2YnDi/view?usp=drivesdk</t>
  </si>
  <si>
    <t>Ni Luh Sudiani</t>
  </si>
  <si>
    <t>niluhsudianipajak18081970@gmail.com</t>
  </si>
  <si>
    <t>3241</t>
  </si>
  <si>
    <t>1EZkOkpEkL2N9vJ6XZXQUxcloBD5zOZjL</t>
  </si>
  <si>
    <t>https://drive.google.com/file/d/1EZkOkpEkL2N9vJ6XZXQUxcloBD5zOZjL/view?usp=drivesdk</t>
  </si>
  <si>
    <t>SUYATNO</t>
  </si>
  <si>
    <t>suyatno130774@gmail.com</t>
  </si>
  <si>
    <t>3242</t>
  </si>
  <si>
    <t>1msx6fDAe9PY6apNGPhktu42WhPuKTuOL</t>
  </si>
  <si>
    <t>https://drive.google.com/file/d/1msx6fDAe9PY6apNGPhktu42WhPuKTuOL/view?usp=drivesdk</t>
  </si>
  <si>
    <t>RUKMIATI</t>
  </si>
  <si>
    <t>maulanadwi@gmail.com</t>
  </si>
  <si>
    <t>3243</t>
  </si>
  <si>
    <t>18fWueK6EUS5jqsO8-Yh-FZNSTaiohw_w</t>
  </si>
  <si>
    <t>https://drive.google.com/file/d/18fWueK6EUS5jqsO8-Yh-FZNSTaiohw_w/view?usp=drivesdk</t>
  </si>
  <si>
    <t>Document successfully created; Document successfully merged; PDF created; !!Error Sending Emails: Service invoked too many times for one day: email.; Manually run by ecertificate75@gmail.com; Timestamp: Sep 2 2024 3:15 AM</t>
  </si>
  <si>
    <t>EKO SUPRAYITNO</t>
  </si>
  <si>
    <t>ekoiss68@gmail.com</t>
  </si>
  <si>
    <t>3244</t>
  </si>
  <si>
    <t>1_FrAh4iXGAn-RAC84TQ5dmjmxeU-z6Ze</t>
  </si>
  <si>
    <t>https://drive.google.com/file/d/1_FrAh4iXGAn-RAC84TQ5dmjmxeU-z6Ze/view?usp=drivesdk</t>
  </si>
  <si>
    <t xml:space="preserve">SUGIRIN JURU </t>
  </si>
  <si>
    <t>sugirin999@gmail.com</t>
  </si>
  <si>
    <t>3245</t>
  </si>
  <si>
    <t>Starting at Thu Aug 29 2024 21:15:36 GMT-0400 (EDT)</t>
  </si>
  <si>
    <t>1ORowWRjUi7MvJMemMZe2wmPSK-jpv-vL</t>
  </si>
  <si>
    <t>https://drive.google.com/file/d/1ORowWRjUi7MvJMemMZe2wmPSK-jpv-vL/view?usp=drivesdk</t>
  </si>
  <si>
    <t>MAMING YULIANTI, Am.Keb</t>
  </si>
  <si>
    <t>maming3313@gmail.com</t>
  </si>
  <si>
    <t>3246</t>
  </si>
  <si>
    <t>1YZ7OuEAyqCyLQqWaeyXj0p5rUvJAdbb9</t>
  </si>
  <si>
    <t>https://drive.google.com/file/d/1YZ7OuEAyqCyLQqWaeyXj0p5rUvJAdbb9/view?usp=drivesdk</t>
  </si>
  <si>
    <t>Document successfully created; Document successfully merged; PDF created; !!Error Sending Emails: Service invoked too many times for one day: email.; Manually run by ecertificate75@gmail.com; Timestamp: Sep 2 2024 3:16 AM</t>
  </si>
  <si>
    <t>SUHARI WIDODO, A.MD</t>
  </si>
  <si>
    <t>hare.lasso@gmail.com</t>
  </si>
  <si>
    <t>3247</t>
  </si>
  <si>
    <t>1f6zA5WUeM0uxLoe_D4Wiz0PB_iFz_iTh</t>
  </si>
  <si>
    <t>https://drive.google.com/file/d/1f6zA5WUeM0uxLoe_D4Wiz0PB_iFz_iTh/view?usp=drivesdk</t>
  </si>
  <si>
    <t>HENNY ZAZIMAH, S. Sos</t>
  </si>
  <si>
    <t>neliyantiresma@gmail.com</t>
  </si>
  <si>
    <t>3248</t>
  </si>
  <si>
    <t>11wLhdi_nXBW3ekxO-oqdSA7J9bJTXSmA</t>
  </si>
  <si>
    <t>https://drive.google.com/file/d/11wLhdi_nXBW3ekxO-oqdSA7J9bJTXSmA/view?usp=drivesdk</t>
  </si>
  <si>
    <t>NURIMI</t>
  </si>
  <si>
    <t>nurimisuharya250@gmail.com</t>
  </si>
  <si>
    <t>3249</t>
  </si>
  <si>
    <t>https://drive.google.com/file/d/1mNbIRdUVIpZARghwQsqyN1IFb3Opc6aO/view?usp=drivesdk</t>
  </si>
  <si>
    <t>1mNbIRdUVIpZARghwQsqyN1IFb3Opc6aO</t>
  </si>
  <si>
    <t>1UKZTeGySS2nfI9huD_veZicSt8G0b3PU</t>
  </si>
  <si>
    <t>https://drive.google.com/file/d/1UKZTeGySS2nfI9huD_veZicSt8G0b3PU/view?usp=drivesdk</t>
  </si>
  <si>
    <t>ANDI SUKMA</t>
  </si>
  <si>
    <t>sukmaaandi72@gmail.com</t>
  </si>
  <si>
    <t>3250</t>
  </si>
  <si>
    <t>https://drive.google.com/file/d/1qJ7vdMXFWdeXYiTMTYrzp1Y58t4-doNH/view?usp=drivesdk</t>
  </si>
  <si>
    <t>Document successfully created; Document successfully merged; PDF created; !!Error Sending Emails: Service invoked too many times for one day: email.; Run via form trigger as ecertificate75@gmail.com; Timestamp: Aug 29 2024 9:16 PM</t>
  </si>
  <si>
    <t>1qJ7vdMXFWdeXYiTMTYrzp1Y58t4-doNH</t>
  </si>
  <si>
    <t>1FekJZXUcYRLN6TJ3vsWVRdVGatKMlAfq</t>
  </si>
  <si>
    <t>https://drive.google.com/file/d/1FekJZXUcYRLN6TJ3vsWVRdVGatKMlAfq/view?usp=drivesdk</t>
  </si>
  <si>
    <t>Document successfully created; Document successfully merged; PDF created; !!Error Sending Emails: Service invoked too many times for one day: email.; Manually run by ecertificate75@gmail.com; Timestamp: Sep 2 2024 3:17 AM</t>
  </si>
  <si>
    <t>KMS AZHARI, S.E.</t>
  </si>
  <si>
    <t>kemas.azhari.85@gmail.com</t>
  </si>
  <si>
    <t>3251</t>
  </si>
  <si>
    <t>Starting at Thu Aug 29 2024 21:15:39 GMT-0400 (EDT)</t>
  </si>
  <si>
    <t>1lU1ArG5_P-iOHKmSIUYYYG6viRpa05C_</t>
  </si>
  <si>
    <t>https://drive.google.com/file/d/1lU1ArG5_P-iOHKmSIUYYYG6viRpa05C_/view?usp=drivesdk</t>
  </si>
  <si>
    <t>IGB WIRADINATA</t>
  </si>
  <si>
    <t>dr.wira71@gmail.com</t>
  </si>
  <si>
    <t>3252</t>
  </si>
  <si>
    <t>1ATV8yGjsKSHg13qbELl7DatlhMhw0Oqm</t>
  </si>
  <si>
    <t>https://drive.google.com/file/d/1ATV8yGjsKSHg13qbELl7DatlhMhw0Oqm/view?usp=drivesdk</t>
  </si>
  <si>
    <t>DARYONO</t>
  </si>
  <si>
    <t>yosepandrean70@gmail.com</t>
  </si>
  <si>
    <t>3253</t>
  </si>
  <si>
    <t>1qBt4BDkyywT20qlIZahpP8jxdH-HEqc3</t>
  </si>
  <si>
    <t>https://drive.google.com/file/d/1qBt4BDkyywT20qlIZahpP8jxdH-HEqc3/view?usp=drivesdk</t>
  </si>
  <si>
    <t>Document successfully created; Document successfully merged; PDF created; !!Error Sending Emails: Service invoked too many times for one day: email.; Manually run by ecertificate75@gmail.com; Timestamp: Sep 2 2024 3:18 AM</t>
  </si>
  <si>
    <t>IGUS SETYANA KUSUMAWATI</t>
  </si>
  <si>
    <t>igussetyana@gmail.com</t>
  </si>
  <si>
    <t>3254</t>
  </si>
  <si>
    <t>1wjCkqcaZcQmv3Fz_ufqU29u0LwsKTsfY</t>
  </si>
  <si>
    <t>https://drive.google.com/file/d/1wjCkqcaZcQmv3Fz_ufqU29u0LwsKTsfY/view?usp=drivesdk</t>
  </si>
  <si>
    <t>HANDIKA DIAN OKTARINA</t>
  </si>
  <si>
    <t>tatahandika82@gmail.com</t>
  </si>
  <si>
    <t>3255</t>
  </si>
  <si>
    <t>1QCYrsClNpj6OJAd4ns2vP_HiQQG6JYOK</t>
  </si>
  <si>
    <t>https://drive.google.com/file/d/1QCYrsClNpj6OJAd4ns2vP_HiQQG6JYOK/view?usp=drivesdk</t>
  </si>
  <si>
    <t>LULUK ERNA SISWANTI, SH</t>
  </si>
  <si>
    <t>lulukernasiswanti@gmail.com</t>
  </si>
  <si>
    <t>3256</t>
  </si>
  <si>
    <t>18lKOMD6Z0vThKTzHop1JnV27k237xVo8</t>
  </si>
  <si>
    <t>https://drive.google.com/file/d/18lKOMD6Z0vThKTzHop1JnV27k237xVo8/view?usp=drivesdk</t>
  </si>
  <si>
    <t>LISMA WATI SIREGAR</t>
  </si>
  <si>
    <t>lismasiregar75.ls@gmail.com</t>
  </si>
  <si>
    <t>3257</t>
  </si>
  <si>
    <t>14CprPFYo3mIjO6VeDQo3YVJ2g9D4yINa</t>
  </si>
  <si>
    <t>https://drive.google.com/file/d/14CprPFYo3mIjO6VeDQo3YVJ2g9D4yINa/view?usp=drivesdk</t>
  </si>
  <si>
    <t>Document successfully created; Document successfully merged; PDF created; !!Error Sending Emails: Service invoked too many times for one day: email.; Manually run by ecertificate75@gmail.com; Timestamp: Sep 2 2024 3:19 AM</t>
  </si>
  <si>
    <t xml:space="preserve">YULI SUKARSANA </t>
  </si>
  <si>
    <t>yulissukarsana08@gmail.com</t>
  </si>
  <si>
    <t>3258</t>
  </si>
  <si>
    <t>1M5m9hKjC6qYopPnbboK-doB1vXVRb0SS</t>
  </si>
  <si>
    <t>https://drive.google.com/file/d/1M5m9hKjC6qYopPnbboK-doB1vXVRb0SS/view?usp=drivesdk</t>
  </si>
  <si>
    <t>WIWIN WINARTI A.Md.,Farm</t>
  </si>
  <si>
    <t>wiwinbryan@gmail.com</t>
  </si>
  <si>
    <t>3259</t>
  </si>
  <si>
    <t>https://drive.google.com/file/d/1oW-xcpERB03t89wnz6RFEZnvz3PVoco6/view?usp=drivesdk</t>
  </si>
  <si>
    <t>1oW-xcpERB03t89wnz6RFEZnvz3PVoco6</t>
  </si>
  <si>
    <t>1JTa2QR6LeHcKr_Ve0FkaNZrp_u2k0JiP</t>
  </si>
  <si>
    <t>https://drive.google.com/file/d/1JTa2QR6LeHcKr_Ve0FkaNZrp_u2k0JiP/view?usp=drivesdk</t>
  </si>
  <si>
    <t>JUJUK IKA WINDARTI, S.Pd.</t>
  </si>
  <si>
    <t>ikajujuk@gmail.com</t>
  </si>
  <si>
    <t>3260</t>
  </si>
  <si>
    <t>https://drive.google.com/file/d/14KBiZJK8eogJ2qOwWDwGJAiwUtpjaPCs/view?usp=drivesdk</t>
  </si>
  <si>
    <t>14KBiZJK8eogJ2qOwWDwGJAiwUtpjaPCs</t>
  </si>
  <si>
    <t>1qV5bIFLqYGDj6NcAB7mLuUNxEknzliar</t>
  </si>
  <si>
    <t>https://drive.google.com/file/d/1qV5bIFLqYGDj6NcAB7mLuUNxEknzliar/view?usp=drivesdk</t>
  </si>
  <si>
    <t>Document successfully created; Document successfully merged; PDF created; !!Error Sending Emails: Service invoked too many times for one day: email.; Manually run by ecertificate75@gmail.com; Timestamp: Sep 2 2024 3:20 AM</t>
  </si>
  <si>
    <t>NURAISYAH</t>
  </si>
  <si>
    <t>nuraisyah8976@gmail.com</t>
  </si>
  <si>
    <t>3261</t>
  </si>
  <si>
    <t>Starting at Thu Aug 29 2024 21:15:40 GMT-0400 (EDT)</t>
  </si>
  <si>
    <t>1_9kI0dw7VpUePLkqIqE-k13E2j8jKUwf</t>
  </si>
  <si>
    <t>https://drive.google.com/file/d/1_9kI0dw7VpUePLkqIqE-k13E2j8jKUwf/view?usp=drivesdk</t>
  </si>
  <si>
    <t>JASMIATI, S.A.P</t>
  </si>
  <si>
    <t>jasmiati7770@gmail.com</t>
  </si>
  <si>
    <t>3262</t>
  </si>
  <si>
    <t>1km2YFrJHqBEk6SW4I-NzabYxPcq4NYo_</t>
  </si>
  <si>
    <t>https://drive.google.com/file/d/1km2YFrJHqBEk6SW4I-NzabYxPcq4NYo_/view?usp=drivesdk</t>
  </si>
  <si>
    <t>Document successfully created; Document successfully merged; PDF created; Emails Sent: [To: jasmiati7770@gmail.com]; Manually run by ecertificate75@gmail.com; Timestamp: Sep 2 2024 3:20 AM</t>
  </si>
  <si>
    <t>JAMIN  JAMIN</t>
  </si>
  <si>
    <t>putrajamin4@gmail.com</t>
  </si>
  <si>
    <t>3263</t>
  </si>
  <si>
    <t>1cRViM8-fRaqlAv33sO7floHhAgkr8yhq</t>
  </si>
  <si>
    <t>https://drive.google.com/file/d/1cRViM8-fRaqlAv33sO7floHhAgkr8yhq/view?usp=drivesdk</t>
  </si>
  <si>
    <t>MARSONO</t>
  </si>
  <si>
    <t>marsono.anggun@gmail.com</t>
  </si>
  <si>
    <t>3264</t>
  </si>
  <si>
    <t>1HczF2qaHYaXuO2PlNpSF0osjSuZm4_6n</t>
  </si>
  <si>
    <t>https://drive.google.com/file/d/1HczF2qaHYaXuO2PlNpSF0osjSuZm4_6n/view?usp=drivesdk</t>
  </si>
  <si>
    <t>Document successfully created; Document successfully merged; PDF created; !!Error Sending Emails: Service invoked too many times for one day: email.; Manually run by ecertificate75@gmail.com; Timestamp: Sep 2 2024 3:21 AM</t>
  </si>
  <si>
    <t>SUHERDI</t>
  </si>
  <si>
    <t>suherdi15071972@gmail.com</t>
  </si>
  <si>
    <t>3265</t>
  </si>
  <si>
    <t>https://drive.google.com/file/d/1JqkRNyqDT8qMPwIzS6qCrUfXqo0x_r_d/view?usp=drivesdk</t>
  </si>
  <si>
    <t>1JqkRNyqDT8qMPwIzS6qCrUfXqo0x_r_d</t>
  </si>
  <si>
    <t>1xL2d0qfghmCTRJfJpvLIUhfZiKcEocTW</t>
  </si>
  <si>
    <t>https://drive.google.com/file/d/1xL2d0qfghmCTRJfJpvLIUhfZiKcEocTW/view?usp=drivesdk</t>
  </si>
  <si>
    <t>EDY WING SETIAWAN S.PUTRA</t>
  </si>
  <si>
    <t>setiawansputraedywing@gmail.com</t>
  </si>
  <si>
    <t>3266</t>
  </si>
  <si>
    <t>https://drive.google.com/file/d/13LumqHxsTnywaFuDwt9lmJGcJFFfdCtb/view?usp=drivesdk</t>
  </si>
  <si>
    <t>13LumqHxsTnywaFuDwt9lmJGcJFFfdCtb</t>
  </si>
  <si>
    <t>1SQ23je0Z3RXIVPrt1Kygku7Xiix9_9Lt</t>
  </si>
  <si>
    <t>https://drive.google.com/file/d/1SQ23je0Z3RXIVPrt1Kygku7Xiix9_9Lt/view?usp=drivesdk</t>
  </si>
  <si>
    <t>DAYAT, S.AG</t>
  </si>
  <si>
    <t>haderishana74@gmail.com</t>
  </si>
  <si>
    <t>3267</t>
  </si>
  <si>
    <t>https://drive.google.com/file/d/19z_T7TvLUwSSSj4jpTNy_yzqiRCAcYF1/view?usp=drivesdk</t>
  </si>
  <si>
    <t>19z_T7TvLUwSSSj4jpTNy_yzqiRCAcYF1</t>
  </si>
  <si>
    <t>1AtVaAkCtv17vdbw8QSL28F5MNGy18ZYt</t>
  </si>
  <si>
    <t>https://drive.google.com/file/d/1AtVaAkCtv17vdbw8QSL28F5MNGy18ZYt/view?usp=drivesdk</t>
  </si>
  <si>
    <t>Document successfully created; Document successfully merged; PDF created; !!Error Sending Emails: Service invoked too many times for one day: email.; Manually run by ecertificate75@gmail.com; Timestamp: Sep 2 2024 3:22 AM</t>
  </si>
  <si>
    <t>DIO OCTA CHANDRA, A.Md.Kep</t>
  </si>
  <si>
    <t>dio090617@gmail.com</t>
  </si>
  <si>
    <t>3268</t>
  </si>
  <si>
    <t>https://drive.google.com/file/d/1F_inWuOxmJ2kVM4ZRrRkYyyP-E-_oOlS/view?usp=drivesdk</t>
  </si>
  <si>
    <t>1F_inWuOxmJ2kVM4ZRrRkYyyP-E-_oOlS</t>
  </si>
  <si>
    <t>1jb83MPAzbH23ik3X-rGpdoz6uqVARd_D</t>
  </si>
  <si>
    <t>https://drive.google.com/file/d/1jb83MPAzbH23ik3X-rGpdoz6uqVARd_D/view?usp=drivesdk</t>
  </si>
  <si>
    <t>YAYUK WARASTUTI, S.M.</t>
  </si>
  <si>
    <t>yr.hirasti78@gmail.com</t>
  </si>
  <si>
    <t>3269</t>
  </si>
  <si>
    <t>Starting at Thu Aug 29 2024 21:15:44 GMT-0400 (EDT)</t>
  </si>
  <si>
    <t>1-XMNOTRURC1JBYfvmSckZaOQGZql5QS5</t>
  </si>
  <si>
    <t>https://drive.google.com/file/d/1-XMNOTRURC1JBYfvmSckZaOQGZql5QS5/view?usp=drivesdk</t>
  </si>
  <si>
    <t>ERLANGGA SUCAHYO</t>
  </si>
  <si>
    <t>erlanggasucahyo11@gmail.com</t>
  </si>
  <si>
    <t>3270</t>
  </si>
  <si>
    <t>17mvPEKPDyvbQEQlyyOtTHqmMTZ5VvWHj</t>
  </si>
  <si>
    <t>https://drive.google.com/file/d/17mvPEKPDyvbQEQlyyOtTHqmMTZ5VvWHj/view?usp=drivesdk</t>
  </si>
  <si>
    <t>SUNARDI</t>
  </si>
  <si>
    <t>narni12384@mail.com</t>
  </si>
  <si>
    <t>3271</t>
  </si>
  <si>
    <t>1BEgM9QiLivdT2oPkXDb-bjUTBlLxP5wm</t>
  </si>
  <si>
    <t>https://drive.google.com/file/d/1BEgM9QiLivdT2oPkXDb-bjUTBlLxP5wm/view?usp=drivesdk</t>
  </si>
  <si>
    <t>Document successfully created; Document successfully merged; PDF created; !!Error Sending Emails: Service invoked too many times for one day: email.; Manually run by ecertificate75@gmail.com; Timestamp: Sep 2 2024 3:23 AM</t>
  </si>
  <si>
    <t>AGUS NURKHOLIQ, S.Ag., SE., MA.</t>
  </si>
  <si>
    <t>agusnurkholiq1975@gmail.com</t>
  </si>
  <si>
    <t>3272</t>
  </si>
  <si>
    <t>1Cm71qKB2AS_fHkhpNsEne2V8XjAW0UvF</t>
  </si>
  <si>
    <t>https://drive.google.com/file/d/1Cm71qKB2AS_fHkhpNsEne2V8XjAW0UvF/view?usp=drivesdk</t>
  </si>
  <si>
    <t>DIAN MARIZA SEPTIANI, Am. Kep</t>
  </si>
  <si>
    <t>dianmariza99@gmail.com</t>
  </si>
  <si>
    <t>3273</t>
  </si>
  <si>
    <t>1hRZrBfpThjg6gNKx9bncPtrJI2C7v_He</t>
  </si>
  <si>
    <t>https://drive.google.com/file/d/1hRZrBfpThjg6gNKx9bncPtrJI2C7v_He/view?usp=drivesdk</t>
  </si>
  <si>
    <t>LUH MADE KARTHAWATI, S.I.Kom</t>
  </si>
  <si>
    <t>luhmadekarthawati@gmail.com</t>
  </si>
  <si>
    <t>3274</t>
  </si>
  <si>
    <t>1Jz5I18-WmwJPcnfXawDLAbY0tk1Q0Vyu</t>
  </si>
  <si>
    <t>https://drive.google.com/file/d/1Jz5I18-WmwJPcnfXawDLAbY0tk1Q0Vyu/view?usp=drivesdk</t>
  </si>
  <si>
    <t>SRI SEJATI</t>
  </si>
  <si>
    <t>Seihanny64@gmail.com</t>
  </si>
  <si>
    <t>3275</t>
  </si>
  <si>
    <t>https://drive.google.com/file/d/1YkGVKFJgYQCfXGYDj77f5Axjr0RtuJhf/view?usp=drivesdk</t>
  </si>
  <si>
    <t>1YkGVKFJgYQCfXGYDj77f5Axjr0RtuJhf</t>
  </si>
  <si>
    <t>1sQbBn3oTiKa7R3FJ_K1cJ2hgN8HGSdf3</t>
  </si>
  <si>
    <t>https://drive.google.com/file/d/1sQbBn3oTiKa7R3FJ_K1cJ2hgN8HGSdf3/view?usp=drivesdk</t>
  </si>
  <si>
    <t>SITI HADIJAH, A.MD</t>
  </si>
  <si>
    <t>sthiiteng29@gmail.com</t>
  </si>
  <si>
    <t>3276</t>
  </si>
  <si>
    <t>https://drive.google.com/file/d/16qNr6Qgk2HIzj9xKcgATJsO-Y0fhJO5C/view?usp=drivesdk</t>
  </si>
  <si>
    <t>16qNr6Qgk2HIzj9xKcgATJsO-Y0fhJO5C</t>
  </si>
  <si>
    <t>11lWBqfKGzQ0Z6KF_e9A3wDdvXsId83hy</t>
  </si>
  <si>
    <t>https://drive.google.com/file/d/11lWBqfKGzQ0Z6KF_e9A3wDdvXsId83hy/view?usp=drivesdk</t>
  </si>
  <si>
    <t>Document successfully created; Document successfully merged; PDF created; !!Error Sending Emails: Service invoked too many times for one day: email.; Manually run by ecertificate75@gmail.com; Timestamp: Sep 2 2024 3:24 AM</t>
  </si>
  <si>
    <t>MUHAMMAD JUNI</t>
  </si>
  <si>
    <t>muhjuni12345@gmail.com</t>
  </si>
  <si>
    <t>3277</t>
  </si>
  <si>
    <t>https://drive.google.com/file/d/1Sv9IJ4EZDgSXiZ54l-ylKDBAvpNgYAno/view?usp=drivesdk</t>
  </si>
  <si>
    <t>1Sv9IJ4EZDgSXiZ54l-ylKDBAvpNgYAno</t>
  </si>
  <si>
    <t>1RXSx6gvJQB33EzjtTQrxxLfGG1SllrIW</t>
  </si>
  <si>
    <t>https://drive.google.com/file/d/1RXSx6gvJQB33EzjtTQrxxLfGG1SllrIW/view?usp=drivesdk</t>
  </si>
  <si>
    <t xml:space="preserve">SUPRIYADI </t>
  </si>
  <si>
    <t>supriyaditambaan163@gmail.com</t>
  </si>
  <si>
    <t>3278</t>
  </si>
  <si>
    <t>https://drive.google.com/file/d/1b0AE8lXhUIfkaQXcPOBbNX7royapJK_q/view?usp=drivesdk</t>
  </si>
  <si>
    <t>1b0AE8lXhUIfkaQXcPOBbNX7royapJK_q</t>
  </si>
  <si>
    <t>1FW1wYN6fw1ElFYv3pemd5PTj6vo-58Zt</t>
  </si>
  <si>
    <t>https://drive.google.com/file/d/1FW1wYN6fw1ElFYv3pemd5PTj6vo-58Zt/view?usp=drivesdk</t>
  </si>
  <si>
    <t>EVi YULIANTI</t>
  </si>
  <si>
    <t>eviyulian61@gmail.com</t>
  </si>
  <si>
    <t>3279</t>
  </si>
  <si>
    <t>https://drive.google.com/file/d/1abDfb4uwtK9RGf4Ex-M01kwXNUvjzxnd/view?usp=drivesdk</t>
  </si>
  <si>
    <t>1abDfb4uwtK9RGf4Ex-M01kwXNUvjzxnd</t>
  </si>
  <si>
    <t>1Esk0gqqwVnLFvoG5tQ1CTB7_MnBJPTnG</t>
  </si>
  <si>
    <t>https://drive.google.com/file/d/1Esk0gqqwVnLFvoG5tQ1CTB7_MnBJPTnG/view?usp=drivesdk</t>
  </si>
  <si>
    <t>IKE KUSUMA DYAH SETYA HARTATI,A.Md.Kep</t>
  </si>
  <si>
    <t>srhealthyshop@gmail.com</t>
  </si>
  <si>
    <t>3280</t>
  </si>
  <si>
    <t>Starting at Thu Aug 29 2024 21:15:48 GMT-0400 (EDT)</t>
  </si>
  <si>
    <t>10n0Jrk7EN_tvJUe4dzI3csBV52NK9MC3</t>
  </si>
  <si>
    <t>https://drive.google.com/file/d/10n0Jrk7EN_tvJUe4dzI3csBV52NK9MC3/view?usp=drivesdk</t>
  </si>
  <si>
    <t>Document successfully created; Document successfully merged; PDF created; !!Error Sending Emails: Service invoked too many times for one day: email.; Manually run by ecertificate75@gmail.com; Timestamp: Sep 2 2024 3:25 AM</t>
  </si>
  <si>
    <t>SABIQIS  NUR AZiZAH, S.iP</t>
  </si>
  <si>
    <t>sabiqisnurazizah@gnail.com</t>
  </si>
  <si>
    <t>3281</t>
  </si>
  <si>
    <t>1o0dBEg5T-D8vBU8hOBJjITLtxWpX7350</t>
  </si>
  <si>
    <t>https://drive.google.com/file/d/1o0dBEg5T-D8vBU8hOBJjITLtxWpX7350/view?usp=drivesdk</t>
  </si>
  <si>
    <t>IIM NITA SURATNI, S.Sos.M.M</t>
  </si>
  <si>
    <t>iim.nita98@gmail.com</t>
  </si>
  <si>
    <t>3282</t>
  </si>
  <si>
    <t>1NGoh0-3kE0JUEo_A6wTpZ4gpfy9yc1iY</t>
  </si>
  <si>
    <t>https://drive.google.com/file/d/1NGoh0-3kE0JUEo_A6wTpZ4gpfy9yc1iY/view?usp=drivesdk</t>
  </si>
  <si>
    <t xml:space="preserve">TETY MARTALENA, SKM </t>
  </si>
  <si>
    <t>martalenatety@gmail.com</t>
  </si>
  <si>
    <t>3283</t>
  </si>
  <si>
    <t>1FjzybDZpSnQDFVdj9XRogEqNVTd9HnUH</t>
  </si>
  <si>
    <t>https://drive.google.com/file/d/1FjzybDZpSnQDFVdj9XRogEqNVTd9HnUH/view?usp=drivesdk</t>
  </si>
  <si>
    <t>Document successfully created; Document successfully merged; PDF created; !!Error Sending Emails: Service invoked too many times for one day: email.; Manually run by ecertificate75@gmail.com; Timestamp: Sep 2 2024 3:26 AM</t>
  </si>
  <si>
    <t>JARWONO</t>
  </si>
  <si>
    <t>jarwono1900@gmail.com</t>
  </si>
  <si>
    <t>3284</t>
  </si>
  <si>
    <t>https://drive.google.com/file/d/1TIqNQtsstuPCKNlFB-e5QXUPGdWNbB0D/view?usp=drivesdk</t>
  </si>
  <si>
    <t>1TIqNQtsstuPCKNlFB-e5QXUPGdWNbB0D</t>
  </si>
  <si>
    <t>13kWAr08qDnDJFt2Ldsd3Gump9SM3eKza</t>
  </si>
  <si>
    <t>https://drive.google.com/file/d/13kWAr08qDnDJFt2Ldsd3Gump9SM3eKza/view?usp=drivesdk</t>
  </si>
  <si>
    <t>SUPIYATI,Amd,Kes,Gi</t>
  </si>
  <si>
    <t>supiyati7880@gmail.com</t>
  </si>
  <si>
    <t>3285</t>
  </si>
  <si>
    <t>https://drive.google.com/file/d/1m_2K7t5RJAEkmX1M47NWWvlTOSPXgQbr/view?usp=drivesdk</t>
  </si>
  <si>
    <t>1m_2K7t5RJAEkmX1M47NWWvlTOSPXgQbr</t>
  </si>
  <si>
    <t>1VUlB5INPIopqtCcwvnaycajhMcJ2EBjV</t>
  </si>
  <si>
    <t>https://drive.google.com/file/d/1VUlB5INPIopqtCcwvnaycajhMcJ2EBjV/view?usp=drivesdk</t>
  </si>
  <si>
    <t>Document successfully created; Document successfully merged; PDF created; !!Error Sending Emails: Service invoked too many times for one day: email.; Manually run by ecertificate75@gmail.com; Timestamp: Sep 2 2024 3:27 AM</t>
  </si>
  <si>
    <t>TEDY KURNIADY</t>
  </si>
  <si>
    <t>tedykurnia3@gmail.com</t>
  </si>
  <si>
    <t>3286</t>
  </si>
  <si>
    <t>Starting at Thu Aug 29 2024 21:15:51 GMT-0400 (EDT)</t>
  </si>
  <si>
    <t>1EJeFt6GW-W2fe7WG94XT-_VdfDKB0L17</t>
  </si>
  <si>
    <t>https://drive.google.com/file/d/1EJeFt6GW-W2fe7WG94XT-_VdfDKB0L17/view?usp=drivesdk</t>
  </si>
  <si>
    <t>MEYI RISNAWATI</t>
  </si>
  <si>
    <t>meyirisnawati02@gmail.com</t>
  </si>
  <si>
    <t>3287</t>
  </si>
  <si>
    <t>1aXRYSYPkUGXZDHR5zgYvWQ8R169TvnlQ</t>
  </si>
  <si>
    <t>https://drive.google.com/file/d/1aXRYSYPkUGXZDHR5zgYvWQ8R169TvnlQ/view?usp=drivesdk</t>
  </si>
  <si>
    <t xml:space="preserve">ISMUNANTO </t>
  </si>
  <si>
    <t>ismunanto1984la@gmail.com</t>
  </si>
  <si>
    <t>3288</t>
  </si>
  <si>
    <t>1CQtArmzJ7pwpwHIslOszCYe7RAdGfGGn</t>
  </si>
  <si>
    <t>https://drive.google.com/file/d/1CQtArmzJ7pwpwHIslOszCYe7RAdGfGGn/view?usp=drivesdk</t>
  </si>
  <si>
    <t>EDI SUPRIYADI</t>
  </si>
  <si>
    <t>edisuper291074@gmail.com</t>
  </si>
  <si>
    <t>3289</t>
  </si>
  <si>
    <t>https://drive.google.com/file/d/1dknBJNvwtPUlHQ35fKtsCQrIzrty0lSS/view?usp=drivesdk</t>
  </si>
  <si>
    <t>1dknBJNvwtPUlHQ35fKtsCQrIzrty0lSS</t>
  </si>
  <si>
    <t>1DO1F5P-lYHCRpOziurHYEoSMhDc61vdH</t>
  </si>
  <si>
    <t>https://drive.google.com/file/d/1DO1F5P-lYHCRpOziurHYEoSMhDc61vdH/view?usp=drivesdk</t>
  </si>
  <si>
    <t>Document successfully created; Document successfully merged; PDF created; !!Error Sending Emails: Service invoked too many times for one day: email.; Manually run by ecertificate75@gmail.com; Timestamp: Sep 2 2024 3:28 AM</t>
  </si>
  <si>
    <t>DHANY TYAS DEWI PUTRI</t>
  </si>
  <si>
    <t>dhanytyasdewiputri@gmail.com</t>
  </si>
  <si>
    <t>3290</t>
  </si>
  <si>
    <t>https://drive.google.com/file/d/1Fj39NT68MG3HzXoUWiNu7WmZwlpJgaeV/view?usp=drivesdk</t>
  </si>
  <si>
    <t>1Fj39NT68MG3HzXoUWiNu7WmZwlpJgaeV</t>
  </si>
  <si>
    <t>1N-axHYyZ45jgFu9n-jM0A3SEqVBOSvCC</t>
  </si>
  <si>
    <t>https://drive.google.com/file/d/1N-axHYyZ45jgFu9n-jM0A3SEqVBOSvCC/view?usp=drivesdk</t>
  </si>
  <si>
    <t xml:space="preserve">YHULISTIS </t>
  </si>
  <si>
    <t>yhulistisyulis@gmail.com</t>
  </si>
  <si>
    <t>3291</t>
  </si>
  <si>
    <t>Starting at Thu Aug 29 2024 21:15:53 GMT-0400 (EDT)</t>
  </si>
  <si>
    <t>1BE1xVCWwBBoiVlper4laDdVE1qamTo7_</t>
  </si>
  <si>
    <t>https://drive.google.com/file/d/1BE1xVCWwBBoiVlper4laDdVE1qamTo7_/view?usp=drivesdk</t>
  </si>
  <si>
    <t>ESTHER OCTAVIA PELEALU</t>
  </si>
  <si>
    <t>esther.pelealu@gmail.com</t>
  </si>
  <si>
    <t>3292</t>
  </si>
  <si>
    <t>1KYym8TQSXm15Kmm3opBjsHAAgbsWcICV</t>
  </si>
  <si>
    <t>https://drive.google.com/file/d/1KYym8TQSXm15Kmm3opBjsHAAgbsWcICV/view?usp=drivesdk</t>
  </si>
  <si>
    <t>RUDI MASMUR KABAN</t>
  </si>
  <si>
    <t>mr.kaban75@gmail.com</t>
  </si>
  <si>
    <t>3293</t>
  </si>
  <si>
    <t>1SuQMl_PaDXKpEQA9mAqTenUhbPNCagNr</t>
  </si>
  <si>
    <t>https://drive.google.com/file/d/1SuQMl_PaDXKpEQA9mAqTenUhbPNCagNr/view?usp=drivesdk</t>
  </si>
  <si>
    <t>Document successfully created; Document successfully merged; PDF created; !!Error Sending Emails: Service invoked too many times for one day: email.; Manually run by ecertificate75@gmail.com; Timestamp: Sep 2 2024 3:29 AM</t>
  </si>
  <si>
    <t>LULUK CHOLIFAH, S.E., M.M.</t>
  </si>
  <si>
    <t>lulukcholifah43@gmail.com</t>
  </si>
  <si>
    <t>3294</t>
  </si>
  <si>
    <t>1AvjDv9MPr0C_VeF-5MeZDeIG0PiEy9ri</t>
  </si>
  <si>
    <t>https://drive.google.com/file/d/1AvjDv9MPr0C_VeF-5MeZDeIG0PiEy9ri/view?usp=drivesdk</t>
  </si>
  <si>
    <t>LIA IKASARI</t>
  </si>
  <si>
    <t>liaikasari0709@gmail.com</t>
  </si>
  <si>
    <t>3295</t>
  </si>
  <si>
    <t>1Nz9VHDNX0OoIK_0YDdhAQAgHSCvBbDSt</t>
  </si>
  <si>
    <t>https://drive.google.com/file/d/1Nz9VHDNX0OoIK_0YDdhAQAgHSCvBbDSt/view?usp=drivesdk</t>
  </si>
  <si>
    <t>nurh4307@gmail.com</t>
  </si>
  <si>
    <t>3296</t>
  </si>
  <si>
    <t>https://drive.google.com/file/d/1H4JRwBd15xMSzudWgAR6CAoW6G1bpTXY/view?usp=drivesdk</t>
  </si>
  <si>
    <t>1H4JRwBd15xMSzudWgAR6CAoW6G1bpTXY</t>
  </si>
  <si>
    <t>1d7Ux2pbE7mgh8Lybvjx9DlszMGwlRCcG</t>
  </si>
  <si>
    <t>https://drive.google.com/file/d/1d7Ux2pbE7mgh8Lybvjx9DlszMGwlRCcG/view?usp=drivesdk</t>
  </si>
  <si>
    <t>Document successfully created; Document successfully merged; PDF created; !!Error Sending Emails: Service invoked too many times for one day: email.; Manually run by ecertificate75@gmail.com; Timestamp: Sep 2 2024 3:30 AM</t>
  </si>
  <si>
    <t>MUHAMMAD INDRA NAWANG, A.Md</t>
  </si>
  <si>
    <t>nawangindra@gmail.com</t>
  </si>
  <si>
    <t>3297</t>
  </si>
  <si>
    <t>Starting at Thu Aug 29 2024 21:15:56 GMT-0400 (EDT)</t>
  </si>
  <si>
    <t>1OJ6C1kaz49ij7PIhK9AjJkpAQW1PXVEf</t>
  </si>
  <si>
    <t>https://drive.google.com/file/d/1OJ6C1kaz49ij7PIhK9AjJkpAQW1PXVEf/view?usp=drivesdk</t>
  </si>
  <si>
    <t>HANAPI</t>
  </si>
  <si>
    <t>htmvivo@gmail.com</t>
  </si>
  <si>
    <t>3298</t>
  </si>
  <si>
    <t>1yuALDk_SursEtskV5U1T_q2_veltYG9D</t>
  </si>
  <si>
    <t>https://drive.google.com/file/d/1yuALDk_SursEtskV5U1T_q2_veltYG9D/view?usp=drivesdk</t>
  </si>
  <si>
    <t>AKHMAD ISTIAWAN</t>
  </si>
  <si>
    <t>tigaraksa.wawan.zitat@gmail.com</t>
  </si>
  <si>
    <t>3299</t>
  </si>
  <si>
    <t>1-fXuPecJlxe1krkykkMjcAU7mv4iMIy9</t>
  </si>
  <si>
    <t>https://drive.google.com/file/d/1-fXuPecJlxe1krkykkMjcAU7mv4iMIy9/view?usp=drivesdk</t>
  </si>
  <si>
    <t>Document successfully created; Document successfully merged; PDF created; !!Error Sending Emails: Service invoked too many times for one day: email.; Manually run by ecertificate75@gmail.com; Timestamp: Sep 2 2024 3:31 AM</t>
  </si>
  <si>
    <t>LINAH ROSINAH AMK</t>
  </si>
  <si>
    <t>linahrosinah@gmail.com</t>
  </si>
  <si>
    <t>3300</t>
  </si>
  <si>
    <t>https://drive.google.com/file/d/1oME51enZRX3Edl5OKy08eWj5NhvUkGYm/view?usp=drivesdk</t>
  </si>
  <si>
    <t>1oME51enZRX3Edl5OKy08eWj5NhvUkGYm</t>
  </si>
  <si>
    <t>1-cwoELcRK3D4TgeQlYE28zvlbhDEPNxp</t>
  </si>
  <si>
    <t>https://drive.google.com/file/d/1-cwoELcRK3D4TgeQlYE28zvlbhDEPNxp/view?usp=drivesdk</t>
  </si>
  <si>
    <t>MUHAMMAD KHUSNANDAR</t>
  </si>
  <si>
    <t>muhammadkhusnandar@gmail.com</t>
  </si>
  <si>
    <t>3301</t>
  </si>
  <si>
    <t>Starting at Thu Aug 29 2024 21:16:00 GMT-0400 (EDT)</t>
  </si>
  <si>
    <t>1YSxjYmhDH8P4ueu4WQASG83Nv2WasjUt</t>
  </si>
  <si>
    <t>https://drive.google.com/file/d/1YSxjYmhDH8P4ueu4WQASG83Nv2WasjUt/view?usp=drivesdk</t>
  </si>
  <si>
    <t>SRI HARTININGSI, S.Sos</t>
  </si>
  <si>
    <t>sri.scober@gmail.com</t>
  </si>
  <si>
    <t>3302</t>
  </si>
  <si>
    <t>1iEy4ReD4gD8ItRSwCDFSWKgLonVOdl-5</t>
  </si>
  <si>
    <t>https://drive.google.com/file/d/1iEy4ReD4gD8ItRSwCDFSWKgLonVOdl-5/view?usp=drivesdk</t>
  </si>
  <si>
    <t>Document successfully created; Document successfully merged; PDF created; !!Error Sending Emails: Service invoked too many times for one day: email.; Manually run by ecertificate75@gmail.com; Timestamp: Sep 2 2024 3:32 AM</t>
  </si>
  <si>
    <t>AHMAD ZULHAIRI, Amd</t>
  </si>
  <si>
    <t>achmadizoel@gmail.com</t>
  </si>
  <si>
    <t>3303</t>
  </si>
  <si>
    <t>https://drive.google.com/file/d/1zH6CWQyMPVb4VUeSK2tUvLPjBjUE-kuA/view?usp=drivesdk</t>
  </si>
  <si>
    <t>1zH6CWQyMPVb4VUeSK2tUvLPjBjUE-kuA</t>
  </si>
  <si>
    <t>16Bi1OlNG_fJv5SAv0XllSP5OChN8CyL3</t>
  </si>
  <si>
    <t>https://drive.google.com/file/d/16Bi1OlNG_fJv5SAv0XllSP5OChN8CyL3/view?usp=drivesdk</t>
  </si>
  <si>
    <t>ROZA KOSWARA, A.Md.Kep</t>
  </si>
  <si>
    <t>rozakoswara@gmail.com</t>
  </si>
  <si>
    <t>3304</t>
  </si>
  <si>
    <t>Starting at Thu Aug 29 2024 21:16:02 GMT-0400 (EDT)</t>
  </si>
  <si>
    <t>1IqF7Zdm6vUa2lIje_G4cBnrx7vOkI9QL</t>
  </si>
  <si>
    <t>https://drive.google.com/file/d/1IqF7Zdm6vUa2lIje_G4cBnrx7vOkI9QL/view?usp=drivesdk</t>
  </si>
  <si>
    <t>DEDI RIANTO ISKANDAR</t>
  </si>
  <si>
    <t>kayladedi82@gmail.com</t>
  </si>
  <si>
    <t>3305</t>
  </si>
  <si>
    <t>1dlRWZYc4FvArN_yGSxWWvox4Ki9Q6c0o</t>
  </si>
  <si>
    <t>https://drive.google.com/file/d/1dlRWZYc4FvArN_yGSxWWvox4Ki9Q6c0o/view?usp=drivesdk</t>
  </si>
  <si>
    <t>KARSIWEN</t>
  </si>
  <si>
    <t>karsiwen6@gmail.com</t>
  </si>
  <si>
    <t>3306</t>
  </si>
  <si>
    <t>17rTLKBrZlEFQmxtGVDXWMDAq-EUVMAUX</t>
  </si>
  <si>
    <t>https://drive.google.com/file/d/17rTLKBrZlEFQmxtGVDXWMDAq-EUVMAUX/view?usp=drivesdk</t>
  </si>
  <si>
    <t>Document successfully created; Document successfully merged; PDF created; !!Error Sending Emails: Service invoked too many times for one day: email.; Manually run by ecertificate75@gmail.com; Timestamp: Sep 2 2024 3:33 AM</t>
  </si>
  <si>
    <t>BUDIYONO</t>
  </si>
  <si>
    <t>budiyonopns@gmail.com</t>
  </si>
  <si>
    <t>3307</t>
  </si>
  <si>
    <t>1v7Rx7aoWyVtq06FoTr6rui0aB-pBlMU3</t>
  </si>
  <si>
    <t>https://drive.google.com/file/d/1v7Rx7aoWyVtq06FoTr6rui0aB-pBlMU3/view?usp=drivesdk</t>
  </si>
  <si>
    <t>ERPINA SILABAN, S.Kom</t>
  </si>
  <si>
    <t>vina_shelaban@yahoo.co.id</t>
  </si>
  <si>
    <t>3308</t>
  </si>
  <si>
    <t>1sIp7uhhHfkFGutdrYjrKwypM8O0MhwmL</t>
  </si>
  <si>
    <t>https://drive.google.com/file/d/1sIp7uhhHfkFGutdrYjrKwypM8O0MhwmL/view?usp=drivesdk</t>
  </si>
  <si>
    <t>PUSPAYANTI</t>
  </si>
  <si>
    <t>puspayanti@gmail.com</t>
  </si>
  <si>
    <t>3309</t>
  </si>
  <si>
    <t>1tI5UZm_NYSfmM7S9PGOpFDIhqmCT3kW7</t>
  </si>
  <si>
    <t>https://drive.google.com/file/d/1tI5UZm_NYSfmM7S9PGOpFDIhqmCT3kW7/view?usp=drivesdk</t>
  </si>
  <si>
    <t xml:space="preserve">DJUNAEDI </t>
  </si>
  <si>
    <t>djunaedidjun1968@gmail.com</t>
  </si>
  <si>
    <t>3310</t>
  </si>
  <si>
    <t>https://drive.google.com/file/d/1v3ufs_oQvLivPA_FH0NSZ83SOZHVgrmb/view?usp=drivesdk</t>
  </si>
  <si>
    <t>1v3ufs_oQvLivPA_FH0NSZ83SOZHVgrmb</t>
  </si>
  <si>
    <t>1dKd0cppMeC5UxIxkVZqAGKByhnubBGmj</t>
  </si>
  <si>
    <t>https://drive.google.com/file/d/1dKd0cppMeC5UxIxkVZqAGKByhnubBGmj/view?usp=drivesdk</t>
  </si>
  <si>
    <t>Document successfully created; Document successfully merged; PDF created; !!Error Sending Emails: Service invoked too many times for one day: email.; Manually run by ecertificate75@gmail.com; Timestamp: Sep 2 2024 3:34 AM</t>
  </si>
  <si>
    <t>INDRA DESMEN</t>
  </si>
  <si>
    <t>indradiazmen@gmail.com</t>
  </si>
  <si>
    <t>3311</t>
  </si>
  <si>
    <t>Starting at Thu Aug 29 2024 21:16:10 GMT-0400 (EDT)</t>
  </si>
  <si>
    <t>16qG9MAx65DgwbS-Vsg1GZ6-tglhBQ1V9</t>
  </si>
  <si>
    <t>https://drive.google.com/file/d/16qG9MAx65DgwbS-Vsg1GZ6-tglhBQ1V9/view?usp=drivesdk</t>
  </si>
  <si>
    <t>I KETUT ARI SUWISESA</t>
  </si>
  <si>
    <t>iketutarisuwisesa19860911.spt@gmail.com</t>
  </si>
  <si>
    <t>3312</t>
  </si>
  <si>
    <t>1qdoHn5F0v47dKs9GMWIo2ejDf67gq72U</t>
  </si>
  <si>
    <t>https://drive.google.com/file/d/1qdoHn5F0v47dKs9GMWIo2ejDf67gq72U/view?usp=drivesdk</t>
  </si>
  <si>
    <t>DR. ANANG USMAN</t>
  </si>
  <si>
    <t>anangusman.lawyer@gmail.com</t>
  </si>
  <si>
    <t>3313</t>
  </si>
  <si>
    <t>1cAXUaPstdni7Up4gBBF-35uEbJ_JwV9L</t>
  </si>
  <si>
    <t>https://drive.google.com/file/d/1cAXUaPstdni7Up4gBBF-35uEbJ_JwV9L/view?usp=drivesdk</t>
  </si>
  <si>
    <t>RATNA PUTRI KRISNAWATI</t>
  </si>
  <si>
    <t>ratna.putri168@gmail.com</t>
  </si>
  <si>
    <t>3314</t>
  </si>
  <si>
    <t>1Mg78lAxgpWZ7N48os2F7Hk0cKIww4IH0</t>
  </si>
  <si>
    <t>https://drive.google.com/file/d/1Mg78lAxgpWZ7N48os2F7Hk0cKIww4IH0/view?usp=drivesdk</t>
  </si>
  <si>
    <t xml:space="preserve">NINIK SETIYOWATI </t>
  </si>
  <si>
    <t>setiyowatininik1@gmail.com</t>
  </si>
  <si>
    <t>3315</t>
  </si>
  <si>
    <t>16oefnWJpuvBfgVPrll44BGfUdTZs-HD2</t>
  </si>
  <si>
    <t>https://drive.google.com/file/d/16oefnWJpuvBfgVPrll44BGfUdTZs-HD2/view?usp=drivesdk</t>
  </si>
  <si>
    <t>Document successfully created; Document successfully merged; PDF created; !!Error Sending Emails: Service invoked too many times for one day: email.; Manually run by ecertificate75@gmail.com; Timestamp: Sep 2 2024 3:35 AM</t>
  </si>
  <si>
    <t>JANWAR RIOL, S.KOM</t>
  </si>
  <si>
    <t>janwarri1676@gmail.com</t>
  </si>
  <si>
    <t>3316</t>
  </si>
  <si>
    <t>1ctlq1kiJ2Ufr-3YJrnusSDYWJpTw_uyr</t>
  </si>
  <si>
    <t>https://drive.google.com/file/d/1ctlq1kiJ2Ufr-3YJrnusSDYWJpTw_uyr/view?usp=drivesdk</t>
  </si>
  <si>
    <t>ANDI SULISTYONO.S.Psi</t>
  </si>
  <si>
    <t>andisatmk48@gmail.com</t>
  </si>
  <si>
    <t>3317</t>
  </si>
  <si>
    <t>1HxSJd2RDA0mIgazThzq9l-87zST6b0vb</t>
  </si>
  <si>
    <t>https://drive.google.com/file/d/1HxSJd2RDA0mIgazThzq9l-87zST6b0vb/view?usp=drivesdk</t>
  </si>
  <si>
    <t>LILIS DIANA</t>
  </si>
  <si>
    <t>lilisdiana1977@gmail.com</t>
  </si>
  <si>
    <t>3318</t>
  </si>
  <si>
    <t>1hUxfVdDh-qdnpgnAbm528R9kjsDszrSd</t>
  </si>
  <si>
    <t>https://drive.google.com/file/d/1hUxfVdDh-qdnpgnAbm528R9kjsDszrSd/view?usp=drivesdk</t>
  </si>
  <si>
    <t>RADEN KURNIASIH</t>
  </si>
  <si>
    <t>nenengk899@gmail.com</t>
  </si>
  <si>
    <t>3319</t>
  </si>
  <si>
    <t>Starting at Thu Aug 29 2024 21:16:12 GMT-0400 (EDT)</t>
  </si>
  <si>
    <t>1rnzp1utU20YIauMKpKHEwU_L2DYeQeyR</t>
  </si>
  <si>
    <t>https://drive.google.com/file/d/1rnzp1utU20YIauMKpKHEwU_L2DYeQeyR/view?usp=drivesdk</t>
  </si>
  <si>
    <t>Document successfully created; Document successfully merged; PDF created; !!Error Sending Emails: Service invoked too many times for one day: email.; Manually run by ecertificate75@gmail.com; Timestamp: Sep 2 2024 3:36 AM</t>
  </si>
  <si>
    <t xml:space="preserve">HENDRAWATY </t>
  </si>
  <si>
    <t>hendrawatyparman@gmail.com</t>
  </si>
  <si>
    <t>3320</t>
  </si>
  <si>
    <t>1ic6FIatvo4rQ4dSOzfMPq6_d0OH7E6Wz</t>
  </si>
  <si>
    <t>https://drive.google.com/file/d/1ic6FIatvo4rQ4dSOzfMPq6_d0OH7E6Wz/view?usp=drivesdk</t>
  </si>
  <si>
    <t>HALIJAH</t>
  </si>
  <si>
    <t>halijah.roops2016@gmail.com</t>
  </si>
  <si>
    <t>3321</t>
  </si>
  <si>
    <t>1CMTlBKUOs1WwTEDY2fT731kfYeYtgbqj</t>
  </si>
  <si>
    <t>https://drive.google.com/file/d/1CMTlBKUOs1WwTEDY2fT731kfYeYtgbqj/view?usp=drivesdk</t>
  </si>
  <si>
    <t>NI KADEK LILIK SUARTINI, S.Pd</t>
  </si>
  <si>
    <t>llksrtn@gmail.com</t>
  </si>
  <si>
    <t>3322</t>
  </si>
  <si>
    <t>Starting at Thu Aug 29 2024 21:16:13 GMT-0400 (EDT)</t>
  </si>
  <si>
    <t>1Zj9wwXW1pnf7FmNv7VuUyewxM8kJ78Jw</t>
  </si>
  <si>
    <t>https://drive.google.com/file/d/1Zj9wwXW1pnf7FmNv7VuUyewxM8kJ78Jw/view?usp=drivesdk</t>
  </si>
  <si>
    <t>MARLINA</t>
  </si>
  <si>
    <t>marlinaharun889@gmail.com</t>
  </si>
  <si>
    <t>3323</t>
  </si>
  <si>
    <t>1x4GYgoYb2PSgLoDDxi4EwifJpx_NavAX</t>
  </si>
  <si>
    <t>https://drive.google.com/file/d/1x4GYgoYb2PSgLoDDxi4EwifJpx_NavAX/view?usp=drivesdk</t>
  </si>
  <si>
    <t>Document successfully created; Document successfully merged; PDF created; Emails Sent: [To: marlinaharun889@gmail.com]; Manually run by ecertificate75@gmail.com; Timestamp: Sep 2 2024 3:37 AM</t>
  </si>
  <si>
    <t>WAGIYANTI</t>
  </si>
  <si>
    <t>wagiyanti66@gmail.com</t>
  </si>
  <si>
    <t>3324</t>
  </si>
  <si>
    <t>15kqpikRii4GzTF5gKg9GI305H9R2piv8</t>
  </si>
  <si>
    <t>https://drive.google.com/file/d/15kqpikRii4GzTF5gKg9GI305H9R2piv8/view?usp=drivesdk</t>
  </si>
  <si>
    <t>Document successfully created; Document successfully merged; PDF created; !!Error Sending Emails: Service invoked too many times for one day: email.; Manually run by ecertificate75@gmail.com; Timestamp: Sep 2 2024 3:37 AM</t>
  </si>
  <si>
    <t>APT. ATHIKA PRATIWI, S. FARM</t>
  </si>
  <si>
    <t>nysathika@gmail.com</t>
  </si>
  <si>
    <t>3325</t>
  </si>
  <si>
    <t>1Jfijm9lzXopYXbnuUrP05AWDJ1aRHWBI</t>
  </si>
  <si>
    <t>https://drive.google.com/file/d/1Jfijm9lzXopYXbnuUrP05AWDJ1aRHWBI/view?usp=drivesdk</t>
  </si>
  <si>
    <t>NUR WAHYUNI,A.MD</t>
  </si>
  <si>
    <t>batam669322@gmail.com</t>
  </si>
  <si>
    <t>3326</t>
  </si>
  <si>
    <t>1xTAqif9occnQrc98L0ryZDR1qkjD66X1</t>
  </si>
  <si>
    <t>https://drive.google.com/file/d/1xTAqif9occnQrc98L0ryZDR1qkjD66X1/view?usp=drivesdk</t>
  </si>
  <si>
    <t>Document successfully created; Document successfully merged; PDF created; !!Error Sending Emails: Service invoked too many times for one day: email.; Manually run by ecertificate75@gmail.com; Timestamp: Sep 2 2024 3:38 AM</t>
  </si>
  <si>
    <t>AWAN KUSNAWAN</t>
  </si>
  <si>
    <t>awan.pasadena@yahoo.com</t>
  </si>
  <si>
    <t>3327</t>
  </si>
  <si>
    <t>1REirvTIWPby0Ek6YaozoXL-MAcJOAckk</t>
  </si>
  <si>
    <t>https://drive.google.com/file/d/1REirvTIWPby0Ek6YaozoXL-MAcJOAckk/view?usp=drivesdk</t>
  </si>
  <si>
    <t>DEWI YUSNITA</t>
  </si>
  <si>
    <t>dewiyusnita0683@gmail.com</t>
  </si>
  <si>
    <t>3328</t>
  </si>
  <si>
    <t>1Vo2QaX9awoqawd85_POfLpOTRD9lDOPk</t>
  </si>
  <si>
    <t>https://drive.google.com/file/d/1Vo2QaX9awoqawd85_POfLpOTRD9lDOPk/view?usp=drivesdk</t>
  </si>
  <si>
    <t>NI MADE ARTINI</t>
  </si>
  <si>
    <t>md.artini82@gmail.com</t>
  </si>
  <si>
    <t>3329</t>
  </si>
  <si>
    <t>Starting at Thu Aug 29 2024 21:16:14 GMT-0400 (EDT)</t>
  </si>
  <si>
    <t>12bunTBhKGTABuiHuo4yhbzGvekGnDZhc</t>
  </si>
  <si>
    <t>https://drive.google.com/file/d/12bunTBhKGTABuiHuo4yhbzGvekGnDZhc/view?usp=drivesdk</t>
  </si>
  <si>
    <t xml:space="preserve">PRIYO SUTOPO </t>
  </si>
  <si>
    <t>priyosutopo212@gmail.com</t>
  </si>
  <si>
    <t>3330</t>
  </si>
  <si>
    <t>1B2DJY6P_ALLTj1qwmbvq8NgpS6oaTBGA</t>
  </si>
  <si>
    <t>https://drive.google.com/file/d/1B2DJY6P_ALLTj1qwmbvq8NgpS6oaTBGA/view?usp=drivesdk</t>
  </si>
  <si>
    <t>Document successfully created; Document successfully merged; PDF created; !!Error Sending Emails: Service invoked too many times for one day: email.; Manually run by ecertificate75@gmail.com; Timestamp: Sep 2 2024 3:39 AM</t>
  </si>
  <si>
    <t>RUSMAWATI</t>
  </si>
  <si>
    <t>rusma0901@gmail.com</t>
  </si>
  <si>
    <t>3331</t>
  </si>
  <si>
    <t>Starting at Thu Aug 29 2024 21:16:15 GMT-0400 (EDT)</t>
  </si>
  <si>
    <t>1EHpNR_dbBBTs47h01QSbLgVpwA40Wsxi</t>
  </si>
  <si>
    <t>https://drive.google.com/file/d/1EHpNR_dbBBTs47h01QSbLgVpwA40Wsxi/view?usp=drivesdk</t>
  </si>
  <si>
    <t>AHMAD FATULLOH</t>
  </si>
  <si>
    <t>kangfatul@gmail.com</t>
  </si>
  <si>
    <t>3332</t>
  </si>
  <si>
    <t>1u_w7gdZ88uDq2mET7dL5wA26Mzi3iG_B</t>
  </si>
  <si>
    <t>https://drive.google.com/file/d/1u_w7gdZ88uDq2mET7dL5wA26Mzi3iG_B/view?usp=drivesdk</t>
  </si>
  <si>
    <t>RUSMIN HARMAN</t>
  </si>
  <si>
    <t>rusminharnan743@gmail.com</t>
  </si>
  <si>
    <t>3333</t>
  </si>
  <si>
    <t>Starting at Thu Aug 29 2024 21:16:19 GMT-0400 (EDT)</t>
  </si>
  <si>
    <t>1AFfXlgbrJjf_KEgouXSloyIYlZ6TAuqx</t>
  </si>
  <si>
    <t>https://drive.google.com/file/d/1AFfXlgbrJjf_KEgouXSloyIYlZ6TAuqx/view?usp=drivesdk</t>
  </si>
  <si>
    <t>ENDANG SUCIATI WIDANINGSIH</t>
  </si>
  <si>
    <t>Endangsuci1967@gmail.com</t>
  </si>
  <si>
    <t>3334</t>
  </si>
  <si>
    <t>19Ztzh70TFA2xzUBS1Eph6HyePjcAhBhf</t>
  </si>
  <si>
    <t>https://drive.google.com/file/d/19Ztzh70TFA2xzUBS1Eph6HyePjcAhBhf/view?usp=drivesdk</t>
  </si>
  <si>
    <t>Document successfully created; Document successfully merged; PDF created; !!Error Sending Emails: Service invoked too many times for one day: email.; Manually run by ecertificate75@gmail.com; Timestamp: Sep 2 2024 3:40 AM</t>
  </si>
  <si>
    <t xml:space="preserve">FEBRI DORA, S.KEP., NERS </t>
  </si>
  <si>
    <t>febridora23@gmail.com</t>
  </si>
  <si>
    <t>3335</t>
  </si>
  <si>
    <t>1uiFuRHOLkeodcXPZm2v6zMHh1H_QAHzk</t>
  </si>
  <si>
    <t>https://drive.google.com/file/d/1uiFuRHOLkeodcXPZm2v6zMHh1H_QAHzk/view?usp=drivesdk</t>
  </si>
  <si>
    <t>EVI ROSNIATI</t>
  </si>
  <si>
    <t>evirosniati03@gmail.com</t>
  </si>
  <si>
    <t>3336</t>
  </si>
  <si>
    <t>1hwxChFRBPK8rTVGePwyI054o3K7BT_Gd</t>
  </si>
  <si>
    <t>https://drive.google.com/file/d/1hwxChFRBPK8rTVGePwyI054o3K7BT_Gd/view?usp=drivesdk</t>
  </si>
  <si>
    <t xml:space="preserve">ABDUL RAHMAN </t>
  </si>
  <si>
    <t>kedaipramukaalfazza@gmail.com</t>
  </si>
  <si>
    <t>3337</t>
  </si>
  <si>
    <t>1WqntSDyzLG3skYrD20SZCfD6cB4TBvWD</t>
  </si>
  <si>
    <t>https://drive.google.com/file/d/1WqntSDyzLG3skYrD20SZCfD6cB4TBvWD/view?usp=drivesdk</t>
  </si>
  <si>
    <t>HETTY FLORA SIHOMBING,A.Md.Kep</t>
  </si>
  <si>
    <t>hettyhombing5@gmail.com</t>
  </si>
  <si>
    <t>3338</t>
  </si>
  <si>
    <t>1K-s2D9G-Rnwmxaa1blZq0LOxDSCaBQf6</t>
  </si>
  <si>
    <t>https://drive.google.com/file/d/1K-s2D9G-Rnwmxaa1blZq0LOxDSCaBQf6/view?usp=drivesdk</t>
  </si>
  <si>
    <t>Document successfully created; Document successfully merged; PDF created; !!Error Sending Emails: Service invoked too many times for one day: email.; Manually run by ecertificate75@gmail.com; Timestamp: Sep 2 2024 3:41 AM</t>
  </si>
  <si>
    <t>AEP SAIPURACHMAT</t>
  </si>
  <si>
    <t>epstea.82@gmail.com</t>
  </si>
  <si>
    <t>3339</t>
  </si>
  <si>
    <t>Starting at Thu Aug 29 2024 21:16:22 GMT-0400 (EDT)</t>
  </si>
  <si>
    <t>1X16Iv6U1b5LWA2I-kfFJjTzUwduNI9sG</t>
  </si>
  <si>
    <t>https://drive.google.com/file/d/1X16Iv6U1b5LWA2I-kfFJjTzUwduNI9sG/view?usp=drivesdk</t>
  </si>
  <si>
    <t>SITI CHANDAYANI</t>
  </si>
  <si>
    <t>sitichandayani14@gmail.com</t>
  </si>
  <si>
    <t>3340</t>
  </si>
  <si>
    <t>1OHBBFmrBVJuu5Emwv-p9OWzD-sTT2zfK</t>
  </si>
  <si>
    <t>https://drive.google.com/file/d/1OHBBFmrBVJuu5Emwv-p9OWzD-sTT2zfK/view?usp=drivesdk</t>
  </si>
  <si>
    <t>DIAN NILASARI, AMd.Keb</t>
  </si>
  <si>
    <t>diannilasari49@yahoo.com</t>
  </si>
  <si>
    <t>3341</t>
  </si>
  <si>
    <t>10NwRwPjoHlLq7Fn2gRMq9TjX7ACxyvZD</t>
  </si>
  <si>
    <t>https://drive.google.com/file/d/10NwRwPjoHlLq7Fn2gRMq9TjX7ACxyvZD/view?usp=drivesdk</t>
  </si>
  <si>
    <t>SUNARTI</t>
  </si>
  <si>
    <t>nartieoke@gmail.com</t>
  </si>
  <si>
    <t>3342</t>
  </si>
  <si>
    <t>1m1jd0Q1vJGYmrNCYSS2a-4Ui0G0R0lIV</t>
  </si>
  <si>
    <t>https://drive.google.com/file/d/1m1jd0Q1vJGYmrNCYSS2a-4Ui0G0R0lIV/view?usp=drivesdk</t>
  </si>
  <si>
    <t>Document successfully created; Document successfully merged; PDF created; !!Error Sending Emails: Service invoked too many times for one day: email.; Manually run by ecertificate75@gmail.com; Timestamp: Sep 2 2024 3:42 AM</t>
  </si>
  <si>
    <t>EPA EPRIANTI, SH</t>
  </si>
  <si>
    <t>epaepri68@gmail.com</t>
  </si>
  <si>
    <t>3343</t>
  </si>
  <si>
    <t>1vKA4V8qJRccM8nl5aESQVxive6KeGTLG</t>
  </si>
  <si>
    <t>https://drive.google.com/file/d/1vKA4V8qJRccM8nl5aESQVxive6KeGTLG/view?usp=drivesdk</t>
  </si>
  <si>
    <t>FANNY RIDHO JUANDA,A.MD.</t>
  </si>
  <si>
    <t>ridooppo25@gmail.com</t>
  </si>
  <si>
    <t>3344</t>
  </si>
  <si>
    <t>1Fuz3vkHTVK0V519RV4UIbm3IxDX6pHZp</t>
  </si>
  <si>
    <t>https://drive.google.com/file/d/1Fuz3vkHTVK0V519RV4UIbm3IxDX6pHZp/view?usp=drivesdk</t>
  </si>
  <si>
    <t>SUHADI PRWATA</t>
  </si>
  <si>
    <t>Sihadipprawataa963@gmail.com</t>
  </si>
  <si>
    <t>3345</t>
  </si>
  <si>
    <t>1sAw5mUc3zvYT357YtB4zIRYMPXsuGprv</t>
  </si>
  <si>
    <t>https://drive.google.com/file/d/1sAw5mUc3zvYT357YtB4zIRYMPXsuGprv/view?usp=drivesdk</t>
  </si>
  <si>
    <t>MERI HOTMAIDA</t>
  </si>
  <si>
    <t>meryhotmaida@gmail.com</t>
  </si>
  <si>
    <t>3346</t>
  </si>
  <si>
    <t>1_nmA7_lI4B4cgax18nUnatqtZBTdkPBr</t>
  </si>
  <si>
    <t>https://drive.google.com/file/d/1_nmA7_lI4B4cgax18nUnatqtZBTdkPBr/view?usp=drivesdk</t>
  </si>
  <si>
    <t>Document successfully created; Document successfully merged; PDF created; !!Error Sending Emails: Service invoked too many times for one day: email.; Manually run by ecertificate75@gmail.com; Timestamp: Sep 2 2024 3:43 AM</t>
  </si>
  <si>
    <t>NI KADEK AYU WIRADNYANI</t>
  </si>
  <si>
    <t>wiradnyani1976@gmail.com</t>
  </si>
  <si>
    <t>3347</t>
  </si>
  <si>
    <t>1CKqbQJTa2JyXPhrdY55Brpb4Tm9AYJHX</t>
  </si>
  <si>
    <t>https://drive.google.com/file/d/1CKqbQJTa2JyXPhrdY55Brpb4Tm9AYJHX/view?usp=drivesdk</t>
  </si>
  <si>
    <t xml:space="preserve">FOURIMAN ZENDRATO </t>
  </si>
  <si>
    <t>four.iman1907@gmail.com</t>
  </si>
  <si>
    <t>3348</t>
  </si>
  <si>
    <t>Starting at Thu Aug 29 2024 21:16:23 GMT-0400 (EDT)</t>
  </si>
  <si>
    <t>1QESBpSG4bYdejvaLzM9Lb8HbaRea5toz</t>
  </si>
  <si>
    <t>https://drive.google.com/file/d/1QESBpSG4bYdejvaLzM9Lb8HbaRea5toz/view?usp=drivesdk</t>
  </si>
  <si>
    <t>THOMAS JAROT GLORIADI, SH</t>
  </si>
  <si>
    <t>thomasjarot7@gmail.com</t>
  </si>
  <si>
    <t>3349</t>
  </si>
  <si>
    <t>1PDCCLjImbzcnJgsl1nSRPFT8QW_DSwum</t>
  </si>
  <si>
    <t>https://drive.google.com/file/d/1PDCCLjImbzcnJgsl1nSRPFT8QW_DSwum/view?usp=drivesdk</t>
  </si>
  <si>
    <t xml:space="preserve">IRAWATI AMD </t>
  </si>
  <si>
    <t>irawati.ira777@gmail.com</t>
  </si>
  <si>
    <t>3350</t>
  </si>
  <si>
    <t>1-itIMw_pKf0zwBf4PVQcO6B7EWVyXHCK</t>
  </si>
  <si>
    <t>https://drive.google.com/file/d/1-itIMw_pKf0zwBf4PVQcO6B7EWVyXHCK/view?usp=drivesdk</t>
  </si>
  <si>
    <t>uniyul@rocketmail.com</t>
  </si>
  <si>
    <t>3351</t>
  </si>
  <si>
    <t>1pDc_rH90s8UtsAJ0F_6CvT1q5kQMA1mT</t>
  </si>
  <si>
    <t>https://drive.google.com/file/d/1pDc_rH90s8UtsAJ0F_6CvT1q5kQMA1mT/view?usp=drivesdk</t>
  </si>
  <si>
    <t>Document successfully created; Document successfully merged; PDF created; !!Error Sending Emails: Service invoked too many times for one day: email.; Manually run by ecertificate75@gmail.com; Timestamp: Sep 2 2024 3:44 AM</t>
  </si>
  <si>
    <t>urrenspripimpoldajabar@gmail.com</t>
  </si>
  <si>
    <t>3352</t>
  </si>
  <si>
    <t>Starting at Thu Aug 29 2024 21:16:27 GMT-0400 (EDT)</t>
  </si>
  <si>
    <t>1Lv5v6jM6ghpjuGZZfBv6QEktvUVyZDiD</t>
  </si>
  <si>
    <t>https://drive.google.com/file/d/1Lv5v6jM6ghpjuGZZfBv6QEktvUVyZDiD/view?usp=drivesdk</t>
  </si>
  <si>
    <t>EKA PRIYATNA</t>
  </si>
  <si>
    <t>eka3777@gmail.com</t>
  </si>
  <si>
    <t>3353</t>
  </si>
  <si>
    <t>Starting at Thu Aug 29 2024 21:16:28 GMT-0400 (EDT)</t>
  </si>
  <si>
    <t>1zqoZfk-69UijUc9VySVXZUb2yDafUXch</t>
  </si>
  <si>
    <t>https://drive.google.com/file/d/1zqoZfk-69UijUc9VySVXZUb2yDafUXch/view?usp=drivesdk</t>
  </si>
  <si>
    <t>YUDI YUDIANTO</t>
  </si>
  <si>
    <t>yudaputraprima0@gmail.com</t>
  </si>
  <si>
    <t>3354</t>
  </si>
  <si>
    <t>1VTcO1V0b3FENhMWX3i1lBXbN_4jJkfnM</t>
  </si>
  <si>
    <t>https://drive.google.com/file/d/1VTcO1V0b3FENhMWX3i1lBXbN_4jJkfnM/view?usp=drivesdk</t>
  </si>
  <si>
    <t>DEWI WAHYUNI</t>
  </si>
  <si>
    <t>dewiwahyuni28082004@gmail.com</t>
  </si>
  <si>
    <t>3355</t>
  </si>
  <si>
    <t>1nYMniClVCIJYV24SE0iC06dGRq6jvHe8</t>
  </si>
  <si>
    <t>https://drive.google.com/file/d/1nYMniClVCIJYV24SE0iC06dGRq6jvHe8/view?usp=drivesdk</t>
  </si>
  <si>
    <t>Document successfully created; Document successfully merged; PDF created; !!Error Sending Emails: Service invoked too many times for one day: email.; Manually run by ecertificate75@gmail.com; Timestamp: Sep 2 2024 3:45 AM</t>
  </si>
  <si>
    <t>HENSEN CRISTIAN, S.Fatm., Apt</t>
  </si>
  <si>
    <t>hensencristian1712@gmail.com</t>
  </si>
  <si>
    <t>3356</t>
  </si>
  <si>
    <t>1ZEC9hYhnT-xMy3dVsTu1Dm7kUF4n6zfu</t>
  </si>
  <si>
    <t>https://drive.google.com/file/d/1ZEC9hYhnT-xMy3dVsTu1Dm7kUF4n6zfu/view?usp=drivesdk</t>
  </si>
  <si>
    <t>IIS KARYANINGSIH</t>
  </si>
  <si>
    <t>iiskaryaningsih@gmail.com</t>
  </si>
  <si>
    <t>3357</t>
  </si>
  <si>
    <t>1KJNTfIS_Cfzk0FCFYh9oOXIOjb9Mb3ge</t>
  </si>
  <si>
    <t>https://drive.google.com/file/d/1KJNTfIS_Cfzk0FCFYh9oOXIOjb9Mb3ge/view?usp=drivesdk</t>
  </si>
  <si>
    <t>SLAMET RIADI</t>
  </si>
  <si>
    <t>identpolrestabessmg@gmail.com</t>
  </si>
  <si>
    <t>3358</t>
  </si>
  <si>
    <t>12fWdjMRx-q5qN5qdH2re12eZpotoDQQL</t>
  </si>
  <si>
    <t>https://drive.google.com/file/d/12fWdjMRx-q5qN5qdH2re12eZpotoDQQL/view?usp=drivesdk</t>
  </si>
  <si>
    <t>IIS SUPRIYATI</t>
  </si>
  <si>
    <t>supriyatiiis385@gmail.com</t>
  </si>
  <si>
    <t>3359</t>
  </si>
  <si>
    <t>10FlHzeuAnyyHEgeWmIUWKIOiKh58mLpE</t>
  </si>
  <si>
    <t>https://drive.google.com/file/d/10FlHzeuAnyyHEgeWmIUWKIOiKh58mLpE/view?usp=drivesdk</t>
  </si>
  <si>
    <t>Document successfully created; Document successfully merged; PDF created; !!Error Sending Emails: Service invoked too many times for one day: email.; Manually run by ecertificate75@gmail.com; Timestamp: Sep 2 2024 3:46 AM</t>
  </si>
  <si>
    <t>CITRAWATI NUR WINAYU,AMD</t>
  </si>
  <si>
    <t>citrawatito.cw@gmail.com</t>
  </si>
  <si>
    <t>3360</t>
  </si>
  <si>
    <t>1NAm3t0o8uOgFIgE8qaWrM9U_TLtUEpdO</t>
  </si>
  <si>
    <t>https://drive.google.com/file/d/1NAm3t0o8uOgFIgE8qaWrM9U_TLtUEpdO/view?usp=drivesdk</t>
  </si>
  <si>
    <t>HARNOKO</t>
  </si>
  <si>
    <t>jari.harnoko@gmail.com</t>
  </si>
  <si>
    <t>3361</t>
  </si>
  <si>
    <t>1bq2Rzp70JPuHN-YytpJp8KqmvHEYz7mE</t>
  </si>
  <si>
    <t>https://drive.google.com/file/d/1bq2Rzp70JPuHN-YytpJp8KqmvHEYz7mE/view?usp=drivesdk</t>
  </si>
  <si>
    <t>SILV ANDRIANI OKTAVIA, AMKG</t>
  </si>
  <si>
    <t>slvindriani@gmail.com</t>
  </si>
  <si>
    <t>3362</t>
  </si>
  <si>
    <t>1febeII6eYzGc3WcsG9kCHFQJBPtZtJVc</t>
  </si>
  <si>
    <t>https://drive.google.com/file/d/1febeII6eYzGc3WcsG9kCHFQJBPtZtJVc/view?usp=drivesdk</t>
  </si>
  <si>
    <t>DERPI ANGGREANI</t>
  </si>
  <si>
    <t>anggreaniderpi@gmail.com</t>
  </si>
  <si>
    <t>3363</t>
  </si>
  <si>
    <t>17C-7rK0Xc65x6Ww4hhy26eT0ZQybv9kx</t>
  </si>
  <si>
    <t>https://drive.google.com/file/d/17C-7rK0Xc65x6Ww4hhy26eT0ZQybv9kx/view?usp=drivesdk</t>
  </si>
  <si>
    <t>Document successfully created; Document successfully merged; PDF created; !!Error Sending Emails: Service invoked too many times for one day: email.; Manually run by ecertificate75@gmail.com; Timestamp: Sep 2 2024 3:47 AM</t>
  </si>
  <si>
    <t>NI KADEK SRI DARMAYANTI</t>
  </si>
  <si>
    <t>kdsri.darmayanti@gmail.com</t>
  </si>
  <si>
    <t>3364</t>
  </si>
  <si>
    <t>16qu_R6lZXt5lUtyvqxHdIFU_3-2_iQhL</t>
  </si>
  <si>
    <t>https://drive.google.com/file/d/16qu_R6lZXt5lUtyvqxHdIFU_3-2_iQhL/view?usp=drivesdk</t>
  </si>
  <si>
    <t xml:space="preserve">SURYANI, S. E. </t>
  </si>
  <si>
    <t>nanie.suryani78@gmail.com</t>
  </si>
  <si>
    <t>3365</t>
  </si>
  <si>
    <t>1lLhpPKMqmBTxUpkgTKR3QktdXLj8TYZ9</t>
  </si>
  <si>
    <t>https://drive.google.com/file/d/1lLhpPKMqmBTxUpkgTKR3QktdXLj8TYZ9/view?usp=drivesdk</t>
  </si>
  <si>
    <t>ALWANDI, A. Md. Kep.</t>
  </si>
  <si>
    <t>alwandhi@gmail.com</t>
  </si>
  <si>
    <t>3366</t>
  </si>
  <si>
    <t>Starting at Thu Aug 29 2024 21:16:31 GMT-0400 (EDT)</t>
  </si>
  <si>
    <t>1OyCLGww3JHsduA2t5xa20zwpefTsVenD</t>
  </si>
  <si>
    <t>https://drive.google.com/file/d/1OyCLGww3JHsduA2t5xa20zwpefTsVenD/view?usp=drivesdk</t>
  </si>
  <si>
    <t>Document successfully created; Document successfully merged; PDF created; !!Error Sending Emails: Service invoked too many times for one day: email.; Manually run by ecertificate75@gmail.com; Timestamp: Sep 2 2024 3:48 AM</t>
  </si>
  <si>
    <t>CHARLES DJOHAN PARDEDE, S.E., M.A.</t>
  </si>
  <si>
    <t>charles.okss@gmail.com</t>
  </si>
  <si>
    <t>3367</t>
  </si>
  <si>
    <t>1TdNPXXzxGVkqUN_dgSQrdT01KKWt6Ae-</t>
  </si>
  <si>
    <t>https://drive.google.com/file/d/1TdNPXXzxGVkqUN_dgSQrdT01KKWt6Ae-/view?usp=drivesdk</t>
  </si>
  <si>
    <t>AHMAD THOLIBIN, S.ST</t>
  </si>
  <si>
    <t>ahmad.tlbn@gmail.com</t>
  </si>
  <si>
    <t>3368</t>
  </si>
  <si>
    <t>Starting at Thu Aug 29 2024 21:16:33 GMT-0400 (EDT)</t>
  </si>
  <si>
    <t>1iOS8A0XqNfvl-kwCcIuFZwyryxiSXuHh</t>
  </si>
  <si>
    <t>https://drive.google.com/file/d/1iOS8A0XqNfvl-kwCcIuFZwyryxiSXuHh/view?usp=drivesdk</t>
  </si>
  <si>
    <t>SHOLIKHAH</t>
  </si>
  <si>
    <t>sholikhah1969@gmail.com</t>
  </si>
  <si>
    <t>3369</t>
  </si>
  <si>
    <t>1nbao30VJGTafD7d1i3HR_DqHnl0l7jZB</t>
  </si>
  <si>
    <t>https://drive.google.com/file/d/1nbao30VJGTafD7d1i3HR_DqHnl0l7jZB/view?usp=drivesdk</t>
  </si>
  <si>
    <t>Document successfully created; Document successfully merged; PDF created; !!Error Sending Emails: Service invoked too many times for one day: email.; Manually run by ecertificate75@gmail.com; Timestamp: Sep 2 2024 3:49 AM</t>
  </si>
  <si>
    <t>IMAM SHOLIKIN</t>
  </si>
  <si>
    <t>imamsholikin205@gmail.com</t>
  </si>
  <si>
    <t>3370</t>
  </si>
  <si>
    <t>1oq8-YDJYlJi24JuGiwzykssH329m6MjZ</t>
  </si>
  <si>
    <t>https://drive.google.com/file/d/1oq8-YDJYlJi24JuGiwzykssH329m6MjZ/view?usp=drivesdk</t>
  </si>
  <si>
    <t>ANI SUPRAPTO</t>
  </si>
  <si>
    <t>ani.suprapto@gmail.com</t>
  </si>
  <si>
    <t>3371</t>
  </si>
  <si>
    <t>1dUi1kj7WbjbnH8j7Dff6vu5c353WahwX</t>
  </si>
  <si>
    <t>https://drive.google.com/file/d/1dUi1kj7WbjbnH8j7Dff6vu5c353WahwX/view?usp=drivesdk</t>
  </si>
  <si>
    <t>KORI APRILINA SITEPU, S.Kom</t>
  </si>
  <si>
    <t>aprilinakori@gmail.com</t>
  </si>
  <si>
    <t>3372</t>
  </si>
  <si>
    <t>1KjvaWLaFjs5jb5TJ6unWL9FvqiaWtJBY</t>
  </si>
  <si>
    <t>https://drive.google.com/file/d/1KjvaWLaFjs5jb5TJ6unWL9FvqiaWtJBY/view?usp=drivesdk</t>
  </si>
  <si>
    <t>Document successfully created; Document successfully merged; PDF created; !!Error Sending Emails: Service invoked too many times for one day: email.; Manually run by ecertificate75@gmail.com; Timestamp: Sep 2 2024 3:50 AM</t>
  </si>
  <si>
    <t>RATNA KOMALASARI</t>
  </si>
  <si>
    <t>komalasariratna1977@gmail.com</t>
  </si>
  <si>
    <t>3373</t>
  </si>
  <si>
    <t>1QddJ7LhvyvvBaixhff2NBF9tjXTc005H</t>
  </si>
  <si>
    <t>https://drive.google.com/file/d/1QddJ7LhvyvvBaixhff2NBF9tjXTc005H/view?usp=drivesdk</t>
  </si>
  <si>
    <t>DELIMA, A.Md.Kep</t>
  </si>
  <si>
    <t>delimapulmo@gmail.com</t>
  </si>
  <si>
    <t>3374</t>
  </si>
  <si>
    <t>1iRj-1vQPUaUSffVayxNeNfwlnFDHKVqd</t>
  </si>
  <si>
    <t>https://drive.google.com/file/d/1iRj-1vQPUaUSffVayxNeNfwlnFDHKVqd/view?usp=drivesdk</t>
  </si>
  <si>
    <t>AZIS NURJAMAN</t>
  </si>
  <si>
    <t>azisnur1969@gmail.com</t>
  </si>
  <si>
    <t>3375</t>
  </si>
  <si>
    <t>1rqS9VKQkBDO91dy8wDOPIaB2coXK7nMz</t>
  </si>
  <si>
    <t>https://drive.google.com/file/d/1rqS9VKQkBDO91dy8wDOPIaB2coXK7nMz/view?usp=drivesdk</t>
  </si>
  <si>
    <t>OFA MUSTOFA</t>
  </si>
  <si>
    <t>ophelrosia@gmail.com</t>
  </si>
  <si>
    <t>3376</t>
  </si>
  <si>
    <t>1hWdr1PO5hwUivlYe4J-B9cv19pynN9nr</t>
  </si>
  <si>
    <t>https://drive.google.com/file/d/1hWdr1PO5hwUivlYe4J-B9cv19pynN9nr/view?usp=drivesdk</t>
  </si>
  <si>
    <t>Document successfully created; Document successfully merged; PDF created; !!Error Sending Emails: Service invoked too many times for one day: email.; Manually run by ecertificate75@gmail.com; Timestamp: Sep 2 2024 3:51 AM</t>
  </si>
  <si>
    <t>SUMARJI</t>
  </si>
  <si>
    <t>sumarjirh@gmail.com</t>
  </si>
  <si>
    <t>3377</t>
  </si>
  <si>
    <t>https://drive.google.com/file/d/1QMCPtNoHPYjRR02zbGMHh6BHzMSXU_Mp/view?usp=drivesdk</t>
  </si>
  <si>
    <t>1QMCPtNoHPYjRR02zbGMHh6BHzMSXU_Mp</t>
  </si>
  <si>
    <t>11AwuZenQQs647IVwI7aDYKc5QZyfGnOE</t>
  </si>
  <si>
    <t>https://drive.google.com/file/d/11AwuZenQQs647IVwI7aDYKc5QZyfGnOE/view?usp=drivesdk</t>
  </si>
  <si>
    <t>SUTIK,S.H.</t>
  </si>
  <si>
    <t>sutikmojokerto@gmail.com</t>
  </si>
  <si>
    <t>3378</t>
  </si>
  <si>
    <t>https://drive.google.com/file/d/1cZ6lkNfSJnZEftOAEAZAhIxuYMm1pwM_/view?usp=drivesdk</t>
  </si>
  <si>
    <t>Document successfully created; Document successfully merged; PDF created; !!Error Sending Emails: Service invoked too many times for one day: email.; Run via form trigger as ecertificate75@gmail.com; Timestamp: Aug 29 2024 9:17 PM</t>
  </si>
  <si>
    <t>1cZ6lkNfSJnZEftOAEAZAhIxuYMm1pwM_</t>
  </si>
  <si>
    <t>1MVpVpnAElcoOMbwLTRpkdswYLi0U1Y8y</t>
  </si>
  <si>
    <t>https://drive.google.com/file/d/1MVpVpnAElcoOMbwLTRpkdswYLi0U1Y8y/view?usp=drivesdk</t>
  </si>
  <si>
    <t>SUNIAH</t>
  </si>
  <si>
    <t>suniah6568@gmail.com</t>
  </si>
  <si>
    <t>3379</t>
  </si>
  <si>
    <t>Starting at Thu Aug 29 2024 21:16:39 GMT-0400 (EDT)</t>
  </si>
  <si>
    <t>1lQq3dk3o-V02fa7KgGDTkWW_Ha4m7qxE</t>
  </si>
  <si>
    <t>https://drive.google.com/file/d/1lQq3dk3o-V02fa7KgGDTkWW_Ha4m7qxE/view?usp=drivesdk</t>
  </si>
  <si>
    <t>TRI RIZKI PERTIWI, A.Md.Farm</t>
  </si>
  <si>
    <t>tririzkipertiwii@gmail.com</t>
  </si>
  <si>
    <t>3380</t>
  </si>
  <si>
    <t>1U_LAflTOa8EHtJGia43U6SwoMLPV2Xwz</t>
  </si>
  <si>
    <t>https://drive.google.com/file/d/1U_LAflTOa8EHtJGia43U6SwoMLPV2Xwz/view?usp=drivesdk</t>
  </si>
  <si>
    <t>Document successfully created; Document successfully merged; PDF created; !!Error Sending Emails: Service invoked too many times for one day: email.; Manually run by ecertificate75@gmail.com; Timestamp: Sep 2 2024 3:52 AM</t>
  </si>
  <si>
    <t>RAHMAT RIYADI</t>
  </si>
  <si>
    <t>rahmatriyaddii75@gmail.com</t>
  </si>
  <si>
    <t>3381</t>
  </si>
  <si>
    <t>1UKbHC7iKxnu_AlYOyScSXK85x-KvK5DJ</t>
  </si>
  <si>
    <t>https://drive.google.com/file/d/1UKbHC7iKxnu_AlYOyScSXK85x-KvK5DJ/view?usp=drivesdk</t>
  </si>
  <si>
    <t>NI MADE IRA YUSMITA</t>
  </si>
  <si>
    <t>kadekira583@gmail.com</t>
  </si>
  <si>
    <t>3382</t>
  </si>
  <si>
    <t>1aMM5-DQxCvMw6hBE4fFQJSl-upXjiTO9</t>
  </si>
  <si>
    <t>https://drive.google.com/file/d/1aMM5-DQxCvMw6hBE4fFQJSl-upXjiTO9/view?usp=drivesdk</t>
  </si>
  <si>
    <t>MIKA BUYANG, SH</t>
  </si>
  <si>
    <t>mikabuyang934@gmail.com</t>
  </si>
  <si>
    <t>3383</t>
  </si>
  <si>
    <t>13_rniXbV_JGGOI9UicLPNZa1GUtdVk0X</t>
  </si>
  <si>
    <t>https://drive.google.com/file/d/13_rniXbV_JGGOI9UicLPNZa1GUtdVk0X/view?usp=drivesdk</t>
  </si>
  <si>
    <t>HANI NURHAYATI, A.MD.KEP</t>
  </si>
  <si>
    <t>nurhayatihani57@gmail.com</t>
  </si>
  <si>
    <t>3384</t>
  </si>
  <si>
    <t>https://drive.google.com/file/d/1Qi-FAJ9zQjP4gZSt9DEMGSMGNoh_AExv/view?usp=drivesdk</t>
  </si>
  <si>
    <t>1Qi-FAJ9zQjP4gZSt9DEMGSMGNoh_AExv</t>
  </si>
  <si>
    <t>1fDzu_3xvDds8vcs01LDZKO9KaRnux-Mm</t>
  </si>
  <si>
    <t>https://drive.google.com/file/d/1fDzu_3xvDds8vcs01LDZKO9KaRnux-Mm/view?usp=drivesdk</t>
  </si>
  <si>
    <t>Document successfully created; Document successfully merged; PDF created; !!Error Sending Emails: Service invoked too many times for one day: email.; Manually run by ecertificate75@gmail.com; Timestamp: Sep 2 2024 3:53 AM</t>
  </si>
  <si>
    <t>JURIAH</t>
  </si>
  <si>
    <t>JURJURIAH51@gmail.com</t>
  </si>
  <si>
    <t>3385</t>
  </si>
  <si>
    <t>https://drive.google.com/file/d/1pltwjDPxDCA_OlrhsjFj-xteATNWrBxl/view?usp=drivesdk</t>
  </si>
  <si>
    <t>1pltwjDPxDCA_OlrhsjFj-xteATNWrBxl</t>
  </si>
  <si>
    <t>1wSzXUREp82Dl2QMA1IXvZvITE8rhLpcA</t>
  </si>
  <si>
    <t>https://drive.google.com/file/d/1wSzXUREp82Dl2QMA1IXvZvITE8rhLpcA/view?usp=drivesdk</t>
  </si>
  <si>
    <t>DWI SANTOSO, S.E.</t>
  </si>
  <si>
    <t>dwisantosobagren@gmail.com</t>
  </si>
  <si>
    <t>3386</t>
  </si>
  <si>
    <t>https://drive.google.com/file/d/1kTjNzHv13JJoATRNmIh3fvcaPlIc_zpn/view?usp=drivesdk</t>
  </si>
  <si>
    <t>1kTjNzHv13JJoATRNmIh3fvcaPlIc_zpn</t>
  </si>
  <si>
    <t>1nEfqY8B8SSDM2r8QzRacRjk35VaK0GNW</t>
  </si>
  <si>
    <t>https://drive.google.com/file/d/1nEfqY8B8SSDM2r8QzRacRjk35VaK0GNW/view?usp=drivesdk</t>
  </si>
  <si>
    <t>ABDU ANSYORI</t>
  </si>
  <si>
    <t>ansyoriaj85@gmail.com</t>
  </si>
  <si>
    <t>3387</t>
  </si>
  <si>
    <t>Starting at Thu Aug 29 2024 21:16:42 GMT-0400 (EDT)</t>
  </si>
  <si>
    <t>1Xb2GPtfCl9-ySsSPYh4HJupwfI3huCtL</t>
  </si>
  <si>
    <t>https://drive.google.com/file/d/1Xb2GPtfCl9-ySsSPYh4HJupwfI3huCtL/view?usp=drivesdk</t>
  </si>
  <si>
    <t>Document successfully created; Document successfully merged; PDF created; !!Error Sending Emails: Service invoked too many times for one day: email.; Manually run by ecertificate75@gmail.com; Timestamp: Sep 2 2024 3:54 AM</t>
  </si>
  <si>
    <t>fatmawatiajja1972@gmai.com</t>
  </si>
  <si>
    <t>3388</t>
  </si>
  <si>
    <t>1yZpsLjrN69lGEdw-Ed61NushKHQz5nQm</t>
  </si>
  <si>
    <t>https://drive.google.com/file/d/1yZpsLjrN69lGEdw-Ed61NushKHQz5nQm/view?usp=drivesdk</t>
  </si>
  <si>
    <t>IKRAR KURNIAWAN, Amd.FT</t>
  </si>
  <si>
    <t>ikrar.sajo@gmail.com</t>
  </si>
  <si>
    <t>3389</t>
  </si>
  <si>
    <t>1peH01M1gelOxro0XHdEc4FVE0dNzGzcy</t>
  </si>
  <si>
    <t>https://drive.google.com/file/d/1peH01M1gelOxro0XHdEc4FVE0dNzGzcy/view?usp=drivesdk</t>
  </si>
  <si>
    <t>AYUB GINTING</t>
  </si>
  <si>
    <t>ayubpolsek@gmail.com</t>
  </si>
  <si>
    <t>3390</t>
  </si>
  <si>
    <t>18gwGljIgg1sg3oj8Z2irZw86lg8IzbE0</t>
  </si>
  <si>
    <t>https://drive.google.com/file/d/18gwGljIgg1sg3oj8Z2irZw86lg8IzbE0/view?usp=drivesdk</t>
  </si>
  <si>
    <t>ELLY MARYANA A.Md</t>
  </si>
  <si>
    <t>maryana.blt@gmail.com</t>
  </si>
  <si>
    <t>3391</t>
  </si>
  <si>
    <t>17OrFY5tDbzUgay0K78uqR8SKrgxZ7y82</t>
  </si>
  <si>
    <t>https://drive.google.com/file/d/17OrFY5tDbzUgay0K78uqR8SKrgxZ7y82/view?usp=drivesdk</t>
  </si>
  <si>
    <t>ANDON SUPRIYANTI</t>
  </si>
  <si>
    <t>andon.69supriyanti@gmail.com</t>
  </si>
  <si>
    <t>3392</t>
  </si>
  <si>
    <t>https://drive.google.com/file/d/1PUTJk3wZCsMXtUyIxJcSBmVYx60C5q7M/view?usp=drivesdk</t>
  </si>
  <si>
    <t>1PUTJk3wZCsMXtUyIxJcSBmVYx60C5q7M</t>
  </si>
  <si>
    <t>1pDQoY7iMa-Rkjp5nlBa-BoUEz524GFo4</t>
  </si>
  <si>
    <t>https://drive.google.com/file/d/1pDQoY7iMa-Rkjp5nlBa-BoUEz524GFo4/view?usp=drivesdk</t>
  </si>
  <si>
    <t>Document successfully created; Document successfully merged; PDF created; !!Error Sending Emails: Service invoked too many times for one day: email.; Manually run by ecertificate75@gmail.com; Timestamp: Sep 2 2024 3:55 AM</t>
  </si>
  <si>
    <t xml:space="preserve">DWI ELIANA </t>
  </si>
  <si>
    <t>dwi.eliana76@gmail.com</t>
  </si>
  <si>
    <t>3393</t>
  </si>
  <si>
    <t>https://drive.google.com/file/d/1rx3vP1riDBvsUyJkPqYCuQzN6bGGEI_c/view?usp=drivesdk</t>
  </si>
  <si>
    <t>1rx3vP1riDBvsUyJkPqYCuQzN6bGGEI_c</t>
  </si>
  <si>
    <t>1cR7_Z1_msI2_dfnAL0m8AxDLRRQ_m8l8</t>
  </si>
  <si>
    <t>https://drive.google.com/file/d/1cR7_Z1_msI2_dfnAL0m8AxDLRRQ_m8l8/view?usp=drivesdk</t>
  </si>
  <si>
    <t>SITI NUR KHASANAH</t>
  </si>
  <si>
    <t>sitihasanahkhair@gmail.com</t>
  </si>
  <si>
    <t>3394</t>
  </si>
  <si>
    <t>https://drive.google.com/file/d/1k2hDBvEYfS42yfL_DvlNKlTfuwiD8y72/view?usp=drivesdk</t>
  </si>
  <si>
    <t>1k2hDBvEYfS42yfL_DvlNKlTfuwiD8y72</t>
  </si>
  <si>
    <t>1PEqaTFcWgvWBimsN_2wBMwEdSNm0eBsD</t>
  </si>
  <si>
    <t>https://drive.google.com/file/d/1PEqaTFcWgvWBimsN_2wBMwEdSNm0eBsD/view?usp=drivesdk</t>
  </si>
  <si>
    <t>DONNI SULAIMAN, S.T.</t>
  </si>
  <si>
    <t>donnizou@gmail.com</t>
  </si>
  <si>
    <t>3395</t>
  </si>
  <si>
    <t>Starting at Thu Aug 29 2024 21:16:45 GMT-0400 (EDT)</t>
  </si>
  <si>
    <t>1h0UpW7iYBxhkQAgYMC7mk-n4yBUgpTl4</t>
  </si>
  <si>
    <t>https://drive.google.com/file/d/1h0UpW7iYBxhkQAgYMC7mk-n4yBUgpTl4/view?usp=drivesdk</t>
  </si>
  <si>
    <t>SASMINTO</t>
  </si>
  <si>
    <t>sasmito.ipp@gmail.com</t>
  </si>
  <si>
    <t>3396</t>
  </si>
  <si>
    <t>https://drive.google.com/file/d/1f_q7kSe2QdIpX3i8UNs1Z7xv8TZkyCCI/view?usp=drivesdk</t>
  </si>
  <si>
    <t>1f_q7kSe2QdIpX3i8UNs1Z7xv8TZkyCCI</t>
  </si>
  <si>
    <t>1apNFQy8PlrUAWPZztpstwIE4DGwpRB3s</t>
  </si>
  <si>
    <t>https://drive.google.com/file/d/1apNFQy8PlrUAWPZztpstwIE4DGwpRB3s/view?usp=drivesdk</t>
  </si>
  <si>
    <t>Document successfully created; Document successfully merged; PDF created; !!Error Sending Emails: Service invoked too many times for one day: email.; Manually run by ecertificate75@gmail.com; Timestamp: Sep 2 2024 3:56 AM</t>
  </si>
  <si>
    <t>SUHARTONO</t>
  </si>
  <si>
    <t>suhartonorsb@gmail.com</t>
  </si>
  <si>
    <t>3397</t>
  </si>
  <si>
    <t>https://drive.google.com/file/d/1h13GAxCayx24Z5B0t0KnHxGsMHrvz9RU/view?usp=drivesdk</t>
  </si>
  <si>
    <t>1h13GAxCayx24Z5B0t0KnHxGsMHrvz9RU</t>
  </si>
  <si>
    <t>1GtA4Sb-H1bl3yLQ5DbKliDumwG7OrfUJ</t>
  </si>
  <si>
    <t>https://drive.google.com/file/d/1GtA4Sb-H1bl3yLQ5DbKliDumwG7OrfUJ/view?usp=drivesdk</t>
  </si>
  <si>
    <t>SAMPURNAMA</t>
  </si>
  <si>
    <t>sampurnama16@gmail.com</t>
  </si>
  <si>
    <t>3398</t>
  </si>
  <si>
    <t>https://drive.google.com/file/d/1Ks3klBAw4uMk5o6A5UD7WdQgAaF9WrKS/view?usp=drivesdk</t>
  </si>
  <si>
    <t>1Ks3klBAw4uMk5o6A5UD7WdQgAaF9WrKS</t>
  </si>
  <si>
    <t>1Dg-gv64eH-V--OaA8LoEG5kdURUR16Py</t>
  </si>
  <si>
    <t>https://drive.google.com/file/d/1Dg-gv64eH-V--OaA8LoEG5kdURUR16Py/view?usp=drivesdk</t>
  </si>
  <si>
    <t xml:space="preserve">SUGIMAN </t>
  </si>
  <si>
    <t>sugimansiwas02@gmail.com</t>
  </si>
  <si>
    <t>3399</t>
  </si>
  <si>
    <t>https://drive.google.com/file/d/12Hd3MAxD0Au9iQMhp9jakd2ElxRsaRJ4/view?usp=drivesdk</t>
  </si>
  <si>
    <t>Document successfully created; Document successfully merged; PDF created; !!Error Sending Emails: Service invoked too many times for one day: email.; Run via form trigger as ecertificate75@gmail.com; Timestamp: Aug 29 2024 9:18 PM</t>
  </si>
  <si>
    <t>12Hd3MAxD0Au9iQMhp9jakd2ElxRsaRJ4</t>
  </si>
  <si>
    <t>150cO9jC4lSUwE7mF1CdX4m-z1hx5tm5d</t>
  </si>
  <si>
    <t>https://drive.google.com/file/d/150cO9jC4lSUwE7mF1CdX4m-z1hx5tm5d/view?usp=drivesdk</t>
  </si>
  <si>
    <t>SUWIJI</t>
  </si>
  <si>
    <t>suwijispn@gmail.com</t>
  </si>
  <si>
    <t>3400</t>
  </si>
  <si>
    <t>https://drive.google.com/file/d/10WgSp_ckDZ8v5FoaCpR4Dhp-UyqoXqUf/view?usp=drivesdk</t>
  </si>
  <si>
    <t>10WgSp_ckDZ8v5FoaCpR4Dhp-UyqoXqUf</t>
  </si>
  <si>
    <t>1sugMXVNKWDD_J_u7JYqD_x7QQvmKS5bX</t>
  </si>
  <si>
    <t>https://drive.google.com/file/d/1sugMXVNKWDD_J_u7JYqD_x7QQvmKS5bX/view?usp=drivesdk</t>
  </si>
  <si>
    <t xml:space="preserve">SITI ALFIAH </t>
  </si>
  <si>
    <t>alfibalikpapan001@gmail.com</t>
  </si>
  <si>
    <t>3401</t>
  </si>
  <si>
    <t>https://drive.google.com/file/d/1YrNMUP7hP5HX6VX2M9GS_EYzEZ5OKA8r/view?usp=drivesdk</t>
  </si>
  <si>
    <t>1YrNMUP7hP5HX6VX2M9GS_EYzEZ5OKA8r</t>
  </si>
  <si>
    <t>1e3DtAIWVD0q_TBpTPCNyyd8nEvfx_q3d</t>
  </si>
  <si>
    <t>https://drive.google.com/file/d/1e3DtAIWVD0q_TBpTPCNyyd8nEvfx_q3d/view?usp=drivesdk</t>
  </si>
  <si>
    <t>Document successfully created; Document successfully merged; PDF created; !!Error Sending Emails: Service invoked too many times for one day: email.; Manually run by ecertificate75@gmail.com; Timestamp: Sep 2 2024 3:57 AM</t>
  </si>
  <si>
    <t>SULIKAH</t>
  </si>
  <si>
    <t>ibulikah374@gmail.com</t>
  </si>
  <si>
    <t>3402</t>
  </si>
  <si>
    <t>https://drive.google.com/file/d/15UAQLorFZ8KeG2AT5U8PDUfwz4qQIvW6/view?usp=drivesdk</t>
  </si>
  <si>
    <t>15UAQLorFZ8KeG2AT5U8PDUfwz4qQIvW6</t>
  </si>
  <si>
    <t>1E3twOrck9Xt6Jz1xOmSune89YF8ZfgeY</t>
  </si>
  <si>
    <t>https://drive.google.com/file/d/1E3twOrck9Xt6Jz1xOmSune89YF8ZfgeY/view?usp=drivesdk</t>
  </si>
  <si>
    <t>EKO RIYANTO</t>
  </si>
  <si>
    <t>eriyanto02@gmail.com</t>
  </si>
  <si>
    <t>3403</t>
  </si>
  <si>
    <t>https://drive.google.com/file/d/1Hzwx7amBmbuD0tEsUqBt1U2DGQo8YK0V/view?usp=drivesdk</t>
  </si>
  <si>
    <t>1Hzwx7amBmbuD0tEsUqBt1U2DGQo8YK0V</t>
  </si>
  <si>
    <t>1C6pt6pk61G_bTafTQ72WCH608CsP9hCd</t>
  </si>
  <si>
    <t>https://drive.google.com/file/d/1C6pt6pk61G_bTafTQ72WCH608CsP9hCd/view?usp=drivesdk</t>
  </si>
  <si>
    <t>AMBARWATI. S.E</t>
  </si>
  <si>
    <t>ambarwati19688@gmail.com</t>
  </si>
  <si>
    <t>3404</t>
  </si>
  <si>
    <t>https://drive.google.com/file/d/150jZwdR6jOS4oISGNH1QCQsKVZwjajW-/view?usp=drivesdk</t>
  </si>
  <si>
    <t>150jZwdR6jOS4oISGNH1QCQsKVZwjajW-</t>
  </si>
  <si>
    <t>1hftGjck7C6lY4-7uryA4bAZPrrOPUtii</t>
  </si>
  <si>
    <t>https://drive.google.com/file/d/1hftGjck7C6lY4-7uryA4bAZPrrOPUtii/view?usp=drivesdk</t>
  </si>
  <si>
    <t>RADEN ALIT GANTINA</t>
  </si>
  <si>
    <t>gantinaalit@gmail.com</t>
  </si>
  <si>
    <t>3405</t>
  </si>
  <si>
    <t>Starting at Thu Aug 29 2024 21:16:52 GMT-0400 (EDT)</t>
  </si>
  <si>
    <t>1CceBbgaQP0bejoRRFxzFVxhMWE3OJp5H</t>
  </si>
  <si>
    <t>https://drive.google.com/file/d/1CceBbgaQP0bejoRRFxzFVxhMWE3OJp5H/view?usp=drivesdk</t>
  </si>
  <si>
    <t>Document successfully created; Document successfully merged; PDF created; !!Error Sending Emails: Service invoked too many times for one day: email.; Manually run by ecertificate75@gmail.com; Timestamp: Sep 2 2024 3:58 AM</t>
  </si>
  <si>
    <t>RASMADI</t>
  </si>
  <si>
    <t>rasmadie.amrase75@gmail.com</t>
  </si>
  <si>
    <t>3406</t>
  </si>
  <si>
    <t>1EpeSRAAq-ZPwBr6k7tLGcobrQcvimYnf</t>
  </si>
  <si>
    <t>https://drive.google.com/file/d/1EpeSRAAq-ZPwBr6k7tLGcobrQcvimYnf/view?usp=drivesdk</t>
  </si>
  <si>
    <t xml:space="preserve">AGUSTINUS RIYANUARSO </t>
  </si>
  <si>
    <t>cokiciko45@gmail.com</t>
  </si>
  <si>
    <t>3407</t>
  </si>
  <si>
    <t>1Pk2iWM3gl-9xCCSk7G6sK09qA0bwEei-</t>
  </si>
  <si>
    <t>https://drive.google.com/file/d/1Pk2iWM3gl-9xCCSk7G6sK09qA0bwEei-/view?usp=drivesdk</t>
  </si>
  <si>
    <t xml:space="preserve">IIN SUMIATI </t>
  </si>
  <si>
    <t>insumiati358@gmail.com</t>
  </si>
  <si>
    <t>3408</t>
  </si>
  <si>
    <t>https://drive.google.com/file/d/1rTGXNQHpsbtnPl0BKRBWRjn_Nt7pqErt/view?usp=drivesdk</t>
  </si>
  <si>
    <t>1rTGXNQHpsbtnPl0BKRBWRjn_Nt7pqErt</t>
  </si>
  <si>
    <t>1CEC7BxATFkQDmt-LjEirOx0MHruXLnsE</t>
  </si>
  <si>
    <t>https://drive.google.com/file/d/1CEC7BxATFkQDmt-LjEirOx0MHruXLnsE/view?usp=drivesdk</t>
  </si>
  <si>
    <t>Document successfully created; Document successfully merged; PDF created; !!Error Sending Emails: Service invoked too many times for one day: email.; Manually run by ecertificate75@gmail.com; Timestamp: Sep 2 2024 3:59 AM</t>
  </si>
  <si>
    <t>EDI SUBAGIO, S.H.,M.M.</t>
  </si>
  <si>
    <t>edi.subagio5673@gmail.com</t>
  </si>
  <si>
    <t>3409</t>
  </si>
  <si>
    <t>https://drive.google.com/file/d/1Bu8Xdqki47Jg6jNE3uV8geoiwN9nyOev/view?usp=drivesdk</t>
  </si>
  <si>
    <t>1Bu8Xdqki47Jg6jNE3uV8geoiwN9nyOev</t>
  </si>
  <si>
    <t>1z3e1cRpLEOPUOBvbXdQ1iAi3YJ-pDjI6</t>
  </si>
  <si>
    <t>https://drive.google.com/file/d/1z3e1cRpLEOPUOBvbXdQ1iAi3YJ-pDjI6/view?usp=drivesdk</t>
  </si>
  <si>
    <t>dr. RHESIWENNY RUSHE</t>
  </si>
  <si>
    <t>drrhesiwennyrushe@gmail.com</t>
  </si>
  <si>
    <t>3410</t>
  </si>
  <si>
    <t>https://drive.google.com/file/d/1eRyfYUftaSZ9vscpD5AJIU_LfMgookaa/view?usp=drivesdk</t>
  </si>
  <si>
    <t>1eRyfYUftaSZ9vscpD5AJIU_LfMgookaa</t>
  </si>
  <si>
    <t>1nYfM-3ssce3r9-AUbQHP8V9vFSYaVJrr</t>
  </si>
  <si>
    <t>https://drive.google.com/file/d/1nYfM-3ssce3r9-AUbQHP8V9vFSYaVJrr/view?usp=drivesdk</t>
  </si>
  <si>
    <t xml:space="preserve">KARIFUDDIN, S. Sos., M. H. </t>
  </si>
  <si>
    <t>karifuddin.mh@gmail.com</t>
  </si>
  <si>
    <t>3411</t>
  </si>
  <si>
    <t>https://drive.google.com/file/d/14hZgpz3FmNhAjCQPAXmuF1PdrTVnNlgs/view?usp=drivesdk</t>
  </si>
  <si>
    <t>14hZgpz3FmNhAjCQPAXmuF1PdrTVnNlgs</t>
  </si>
  <si>
    <t>1PjqjsBg7uw8DXUIHFbcSp2Zu-YZQVBZ1</t>
  </si>
  <si>
    <t>https://drive.google.com/file/d/1PjqjsBg7uw8DXUIHFbcSp2Zu-YZQVBZ1/view?usp=drivesdk</t>
  </si>
  <si>
    <t>INDRADI</t>
  </si>
  <si>
    <t>indradi.1969@gmail.com</t>
  </si>
  <si>
    <t>3412</t>
  </si>
  <si>
    <t>https://drive.google.com/file/d/1EeGok6G_MDnRsSxhfh1Yx9aBewdrSeI0/view?usp=drivesdk</t>
  </si>
  <si>
    <t>1EeGok6G_MDnRsSxhfh1Yx9aBewdrSeI0</t>
  </si>
  <si>
    <t>1FXKbvcSkAfQOqZKAu1V3SmCCFzZu3JYw</t>
  </si>
  <si>
    <t>https://drive.google.com/file/d/1FXKbvcSkAfQOqZKAu1V3SmCCFzZu3JYw/view?usp=drivesdk</t>
  </si>
  <si>
    <t>Document successfully created; Document successfully merged; PDF created; !!Error Sending Emails: Service invoked too many times for one day: email.; Manually run by ecertificate75@gmail.com; Timestamp: Sep 2 2024 4:00 AM</t>
  </si>
  <si>
    <t xml:space="preserve">FAJARINA BUDIARTI </t>
  </si>
  <si>
    <t>fajarinabudiarti.tabessmg@gmail.com</t>
  </si>
  <si>
    <t>3413</t>
  </si>
  <si>
    <t>https://drive.google.com/file/d/15Jv-ADgMaVVkx-W99aK6reF2qcmHw6wr/view?usp=drivesdk</t>
  </si>
  <si>
    <t>15Jv-ADgMaVVkx-W99aK6reF2qcmHw6wr</t>
  </si>
  <si>
    <t>1tAxtVaq-0AdjqVMM2W5mtT4FXeJk8DOW</t>
  </si>
  <si>
    <t>https://drive.google.com/file/d/1tAxtVaq-0AdjqVMM2W5mtT4FXeJk8DOW/view?usp=drivesdk</t>
  </si>
  <si>
    <t>ACH HERMANTO</t>
  </si>
  <si>
    <t>achhermanto.pnssampang@gmail.com</t>
  </si>
  <si>
    <t>3414</t>
  </si>
  <si>
    <t>Starting at Thu Aug 29 2024 21:16:57 GMT-0400 (EDT)</t>
  </si>
  <si>
    <t>1oUSHvpkj5oErzbMl55H3blJBYFLmO_5d</t>
  </si>
  <si>
    <t>https://drive.google.com/file/d/1oUSHvpkj5oErzbMl55H3blJBYFLmO_5d/view?usp=drivesdk</t>
  </si>
  <si>
    <t>MARGIANA SUKA PREHATIN</t>
  </si>
  <si>
    <t>margianayanma@gmail.com</t>
  </si>
  <si>
    <t>3415</t>
  </si>
  <si>
    <t>1f7tApH7Wo-qaEVgaTM4iMTCXQKHko2W9</t>
  </si>
  <si>
    <t>https://drive.google.com/file/d/1f7tApH7Wo-qaEVgaTM4iMTCXQKHko2W9/view?usp=drivesdk</t>
  </si>
  <si>
    <t>Document successfully created; Document successfully merged; PDF created; !!Error Sending Emails: Service invoked too many times for one day: email.; Manually run by ecertificate75@gmail.com; Timestamp: Sep 2 2024 4:01 AM</t>
  </si>
  <si>
    <t>JASMIA, S.H</t>
  </si>
  <si>
    <t>gibranmia9@gmail.com</t>
  </si>
  <si>
    <t>3416</t>
  </si>
  <si>
    <t>1hpGjBeb5EkLSLkCerrHsFgS5bK_gOKT9</t>
  </si>
  <si>
    <t>https://drive.google.com/file/d/1hpGjBeb5EkLSLkCerrHsFgS5bK_gOKT9/view?usp=drivesdk</t>
  </si>
  <si>
    <t>ANIK WINARTI</t>
  </si>
  <si>
    <t>anikbundasila@gmail.com</t>
  </si>
  <si>
    <t>3417</t>
  </si>
  <si>
    <t>https://drive.google.com/file/d/1m0m2c_aNtwFLMgFI2eiBsA73S7vgSrqQ/view?usp=drivesdk</t>
  </si>
  <si>
    <t>1m0m2c_aNtwFLMgFI2eiBsA73S7vgSrqQ</t>
  </si>
  <si>
    <t>1q4jpv0AFZPdUpIrklNIDAyE-xqVPWB1S</t>
  </si>
  <si>
    <t>https://drive.google.com/file/d/1q4jpv0AFZPdUpIrklNIDAyE-xqVPWB1S/view?usp=drivesdk</t>
  </si>
  <si>
    <t>FARIDA WIDYANTI, S.Kom.</t>
  </si>
  <si>
    <t>widyantifarida1606@gmail.com</t>
  </si>
  <si>
    <t>3418</t>
  </si>
  <si>
    <t>Starting at Thu Aug 29 2024 21:17:00 GMT-0400 (EDT)</t>
  </si>
  <si>
    <t>1yOdYDvo145kmdw_bqV22rquklI_WT0CH</t>
  </si>
  <si>
    <t>https://drive.google.com/file/d/1yOdYDvo145kmdw_bqV22rquklI_WT0CH/view?usp=drivesdk</t>
  </si>
  <si>
    <t>HARITOPO</t>
  </si>
  <si>
    <t>haritopo1976@gmail.com</t>
  </si>
  <si>
    <t>3419</t>
  </si>
  <si>
    <t>1j8VZlyTj4npYPXA-R9u8BaPJFvq7z99r</t>
  </si>
  <si>
    <t>https://drive.google.com/file/d/1j8VZlyTj4npYPXA-R9u8BaPJFvq7z99r/view?usp=drivesdk</t>
  </si>
  <si>
    <t>Document successfully created; Document successfully merged; PDF created; !!Error Sending Emails: Service invoked too many times for one day: email.; Manually run by ecertificate75@gmail.com; Timestamp: Sep 2 2024 4:02 AM</t>
  </si>
  <si>
    <t>LONIARTI</t>
  </si>
  <si>
    <t>loniarti79@gmail.com</t>
  </si>
  <si>
    <t>3420</t>
  </si>
  <si>
    <t>1znAQSoebqn6YoYAARpICTb3n1O19MJGn</t>
  </si>
  <si>
    <t>https://drive.google.com/file/d/1znAQSoebqn6YoYAARpICTb3n1O19MJGn/view?usp=drivesdk</t>
  </si>
  <si>
    <t>dr. SEPTIAWAN PERNANDES MANAF</t>
  </si>
  <si>
    <t>septiawanpm@gmail.com</t>
  </si>
  <si>
    <t>3421</t>
  </si>
  <si>
    <t>18NGKdXE_2dH7JxXfd3Bm9fSe9fUt0FUN</t>
  </si>
  <si>
    <t>https://drive.google.com/file/d/18NGKdXE_2dH7JxXfd3Bm9fSe9fUt0FUN/view?usp=drivesdk</t>
  </si>
  <si>
    <t>SUHERMAN, S.E.</t>
  </si>
  <si>
    <t>suherman1984@yahoo.co.id</t>
  </si>
  <si>
    <t>3422</t>
  </si>
  <si>
    <t>1GWIy7cdhlwljm6raI89Ria8kTpV5_o5v</t>
  </si>
  <si>
    <t>https://drive.google.com/file/d/1GWIy7cdhlwljm6raI89Ria8kTpV5_o5v/view?usp=drivesdk</t>
  </si>
  <si>
    <t>Document successfully created; Document successfully merged; PDF created; !!Error Sending Emails: Service invoked too many times for one day: email.; Manually run by ecertificate75@gmail.com; Timestamp: Sep 2 2024 4:03 AM</t>
  </si>
  <si>
    <t>RUKMAN</t>
  </si>
  <si>
    <t>Rukman.sip69@gmail.com</t>
  </si>
  <si>
    <t>3423</t>
  </si>
  <si>
    <t>1sr16VT3nXbtUC1s1_--5P7JyOiDx2QFF</t>
  </si>
  <si>
    <t>https://drive.google.com/file/d/1sr16VT3nXbtUC1s1_--5P7JyOiDx2QFF/view?usp=drivesdk</t>
  </si>
  <si>
    <t xml:space="preserve">SUPARLI </t>
  </si>
  <si>
    <t>suparlisuparli1@gmail.com</t>
  </si>
  <si>
    <t>3424</t>
  </si>
  <si>
    <t>https://drive.google.com/file/d/1PzFufXqDFlPHTGTp40wgWOeqcSWVVJj0/view?usp=drivesdk</t>
  </si>
  <si>
    <t>1PzFufXqDFlPHTGTp40wgWOeqcSWVVJj0</t>
  </si>
  <si>
    <t>17OSa5VMeK0UaAa9eXocKkup50hCOnPBt</t>
  </si>
  <si>
    <t>https://drive.google.com/file/d/17OSa5VMeK0UaAa9eXocKkup50hCOnPBt/view?usp=drivesdk</t>
  </si>
  <si>
    <t>YUSTIARI, SH</t>
  </si>
  <si>
    <t>yustiari1969@g.mail</t>
  </si>
  <si>
    <t>3425</t>
  </si>
  <si>
    <t>Starting at Thu Aug 29 2024 21:17:03 GMT-0400 (EDT)</t>
  </si>
  <si>
    <t>18K_1LzhHSpSVlPfxHWr3Ohkc4xHEY18B</t>
  </si>
  <si>
    <t>https://drive.google.com/file/d/18K_1LzhHSpSVlPfxHWr3Ohkc4xHEY18B/view?usp=drivesdk</t>
  </si>
  <si>
    <t>TUKINI</t>
  </si>
  <si>
    <t>tuminipolresblitar5786@gmail.com</t>
  </si>
  <si>
    <t>3426</t>
  </si>
  <si>
    <t>14O1v_OXwkoJFX9WOpXPydsHaqdiBtiCe</t>
  </si>
  <si>
    <t>https://drive.google.com/file/d/14O1v_OXwkoJFX9WOpXPydsHaqdiBtiCe/view?usp=drivesdk</t>
  </si>
  <si>
    <t>MUJIYANA</t>
  </si>
  <si>
    <t>tumijo164@gmail.com</t>
  </si>
  <si>
    <t>3427</t>
  </si>
  <si>
    <t>1RpcbXKqKdBqhOldvuOefV2zABLxjiMFK</t>
  </si>
  <si>
    <t>https://drive.google.com/file/d/1RpcbXKqKdBqhOldvuOefV2zABLxjiMFK/view?usp=drivesdk</t>
  </si>
  <si>
    <t>Document successfully created; Document successfully merged; PDF created; !!Error Sending Emails: Service invoked too many times for one day: email.; Manually run by ecertificate75@gmail.com; Timestamp: Sep 2 2024 4:04 AM</t>
  </si>
  <si>
    <t xml:space="preserve">KADIKUN </t>
  </si>
  <si>
    <t>kadikunmuncar@gmail.com</t>
  </si>
  <si>
    <t>3428</t>
  </si>
  <si>
    <t>1VpyvKY8Rna_T1c3mh-LgCWLWIou35DF6</t>
  </si>
  <si>
    <t>https://drive.google.com/file/d/1VpyvKY8Rna_T1c3mh-LgCWLWIou35DF6/view?usp=drivesdk</t>
  </si>
  <si>
    <t>DWI SARI NURHAYATI.S.PD.</t>
  </si>
  <si>
    <t>dwisarinurhayati.1979@gmail.com</t>
  </si>
  <si>
    <t>3429</t>
  </si>
  <si>
    <t>1lpuTBcAXUpr1gRclIdvX9J11-NMF77uG</t>
  </si>
  <si>
    <t>https://drive.google.com/file/d/1lpuTBcAXUpr1gRclIdvX9J11-NMF77uG/view?usp=drivesdk</t>
  </si>
  <si>
    <t>YUNITA</t>
  </si>
  <si>
    <t>yunita2303@gmail.com</t>
  </si>
  <si>
    <t>3430</t>
  </si>
  <si>
    <t>1M6aFXy6vGCRAzE4_IkDkWMsbWA4fE4OS</t>
  </si>
  <si>
    <t>https://drive.google.com/file/d/1M6aFXy6vGCRAzE4_IkDkWMsbWA4fE4OS/view?usp=drivesdk</t>
  </si>
  <si>
    <t>Document successfully created; Document successfully merged; PDF created; !!Error Sending Emails: Service invoked too many times for one day: email.; Manually run by ecertificate75@gmail.com; Timestamp: Sep 2 2024 4:05 AM</t>
  </si>
  <si>
    <t>SITI NURMIATI AMD KEP</t>
  </si>
  <si>
    <t>nurmiati150174@gmail.com</t>
  </si>
  <si>
    <t>3431</t>
  </si>
  <si>
    <t>1IwrSlzXZIfLXQNjXl9yMGI9YFLpH6f8N</t>
  </si>
  <si>
    <t>https://drive.google.com/file/d/1IwrSlzXZIfLXQNjXl9yMGI9YFLpH6f8N/view?usp=drivesdk</t>
  </si>
  <si>
    <t>IDA PADMAWATI</t>
  </si>
  <si>
    <t>idapadmawati@gmail.com</t>
  </si>
  <si>
    <t>3432</t>
  </si>
  <si>
    <t>https://drive.google.com/file/d/1YCHIWLngVnu7VpQ3ile7-OeNtMPHkZ9k/view?usp=drivesdk</t>
  </si>
  <si>
    <t>1YCHIWLngVnu7VpQ3ile7-OeNtMPHkZ9k</t>
  </si>
  <si>
    <t>1uXah1PiXCHU5ZOgWxECm-E27d8z6KvEX</t>
  </si>
  <si>
    <t>https://drive.google.com/file/d/1uXah1PiXCHU5ZOgWxECm-E27d8z6KvEX/view?usp=drivesdk</t>
  </si>
  <si>
    <t>RUDIYANTO</t>
  </si>
  <si>
    <t>rudiyantonovember@gmail.com</t>
  </si>
  <si>
    <t>3433</t>
  </si>
  <si>
    <t>https://drive.google.com/file/d/1lXZrsFKaY3DmGGSKedGiVo8rA0LwKMFY/view?usp=drivesdk</t>
  </si>
  <si>
    <t>1lXZrsFKaY3DmGGSKedGiVo8rA0LwKMFY</t>
  </si>
  <si>
    <t>1hw-Fd5im0OpyJ_dilCzQO6d-02G_JzgT</t>
  </si>
  <si>
    <t>https://drive.google.com/file/d/1hw-Fd5im0OpyJ_dilCzQO6d-02G_JzgT/view?usp=drivesdk</t>
  </si>
  <si>
    <t>ACHMAD MUROFIK</t>
  </si>
  <si>
    <t>rofikahmad183@gmail.com</t>
  </si>
  <si>
    <t>3434</t>
  </si>
  <si>
    <t>https://drive.google.com/file/d/1Febew1g69iCSrbJCCEuD0aZwIkDpc7aw/view?usp=drivesdk</t>
  </si>
  <si>
    <t>1Febew1g69iCSrbJCCEuD0aZwIkDpc7aw</t>
  </si>
  <si>
    <t>1brwq7mDhVzeYCEnGw8kSpWVRXNr0T3dJ</t>
  </si>
  <si>
    <t>https://drive.google.com/file/d/1brwq7mDhVzeYCEnGw8kSpWVRXNr0T3dJ/view?usp=drivesdk</t>
  </si>
  <si>
    <t>Document successfully created; Document successfully merged; PDF created; !!Error Sending Emails: Service invoked too many times for one day: email.; Manually run by ecertificate75@gmail.com; Timestamp: Sep 2 2024 4:06 AM</t>
  </si>
  <si>
    <t>PAPANG AVIANTO DIRGANTORO, S.M., M.H.</t>
  </si>
  <si>
    <t>papang.avianto80@gmail.com</t>
  </si>
  <si>
    <t>3435</t>
  </si>
  <si>
    <t>Starting at Thu Aug 29 2024 21:17:10 GMT-0400 (EDT)</t>
  </si>
  <si>
    <t>1fVyYWBn31hm9bIuFgkVFAC_V--KJ6H7f</t>
  </si>
  <si>
    <t>https://drive.google.com/file/d/1fVyYWBn31hm9bIuFgkVFAC_V--KJ6H7f/view?usp=drivesdk</t>
  </si>
  <si>
    <t>SULARTI</t>
  </si>
  <si>
    <t>Sulartihumas@gmail.com</t>
  </si>
  <si>
    <t>3436</t>
  </si>
  <si>
    <t>1mg7hltNHUAyKgugwa-KkeC597Z4ZV0TS</t>
  </si>
  <si>
    <t>https://drive.google.com/file/d/1mg7hltNHUAyKgugwa-KkeC597Z4ZV0TS/view?usp=drivesdk</t>
  </si>
  <si>
    <t>HELMI REPELITA</t>
  </si>
  <si>
    <t>helmirepelita69.hr@gmail.com</t>
  </si>
  <si>
    <t>3437</t>
  </si>
  <si>
    <t>1emzcTb0pp4C2Ti5iJWy2yTd82mfu4r7C</t>
  </si>
  <si>
    <t>https://drive.google.com/file/d/1emzcTb0pp4C2Ti5iJWy2yTd82mfu4r7C/view?usp=drivesdk</t>
  </si>
  <si>
    <t>MARHAYATI</t>
  </si>
  <si>
    <t>marhayati355@gmail.com</t>
  </si>
  <si>
    <t>3438</t>
  </si>
  <si>
    <t>1b_7CRqLv1KTvgQYz_WRf3n9fcvd4tTa7</t>
  </si>
  <si>
    <t>https://drive.google.com/file/d/1b_7CRqLv1KTvgQYz_WRf3n9fcvd4tTa7/view?usp=drivesdk</t>
  </si>
  <si>
    <t>Document successfully created; Document successfully merged; PDF created; !!Error Sending Emails: Service invoked too many times for one day: email.; Manually run by ecertificate75@gmail.com; Timestamp: Sep 2 2024 4:07 AM</t>
  </si>
  <si>
    <t xml:space="preserve">I MADE SUPARBAWA </t>
  </si>
  <si>
    <t>suparbawa@gmail.com</t>
  </si>
  <si>
    <t>3439</t>
  </si>
  <si>
    <t>1ncCveFFDGoHsCK_Wi9OlRu1XFnkxMiC2</t>
  </si>
  <si>
    <t>https://drive.google.com/file/d/1ncCveFFDGoHsCK_Wi9OlRu1XFnkxMiC2/view?usp=drivesdk</t>
  </si>
  <si>
    <t>GINI NURKHOLIPAH</t>
  </si>
  <si>
    <t>gininurkholipah@gmail.com</t>
  </si>
  <si>
    <t>3440</t>
  </si>
  <si>
    <t>1VHsnHYwUiEfjiqEfuWDA2XTX9_-J6nt0</t>
  </si>
  <si>
    <t>https://drive.google.com/file/d/1VHsnHYwUiEfjiqEfuWDA2XTX9_-J6nt0/view?usp=drivesdk</t>
  </si>
  <si>
    <t>IDA ROYANI</t>
  </si>
  <si>
    <t>idaroyani3012@gmail.com</t>
  </si>
  <si>
    <t>3441</t>
  </si>
  <si>
    <t>12gyM72Qz-UK1c2WtTvBF1sd7NeleLi2M</t>
  </si>
  <si>
    <t>https://drive.google.com/file/d/12gyM72Qz-UK1c2WtTvBF1sd7NeleLi2M/view?usp=drivesdk</t>
  </si>
  <si>
    <t>NURUL FADJRI</t>
  </si>
  <si>
    <t>fadjrifedro@gmail.com</t>
  </si>
  <si>
    <t>3442</t>
  </si>
  <si>
    <t>1x-kKjsS2_VYk795WEoucvyhHUoOCCP4w</t>
  </si>
  <si>
    <t>https://drive.google.com/file/d/1x-kKjsS2_VYk795WEoucvyhHUoOCCP4w/view?usp=drivesdk</t>
  </si>
  <si>
    <t>ALFI DANTI</t>
  </si>
  <si>
    <t>alfidanti8@gmail.com</t>
  </si>
  <si>
    <t>3443</t>
  </si>
  <si>
    <t>1QtMRwQi4joCrAvTS6ulm1zpVCll5wEGI</t>
  </si>
  <si>
    <t>https://drive.google.com/file/d/1QtMRwQi4joCrAvTS6ulm1zpVCll5wEGI/view?usp=drivesdk</t>
  </si>
  <si>
    <t>Document successfully created; Document successfully merged; PDF created; !!Error Sending Emails: Service invoked too many times for one day: email.; Manually run by ecertificate75@gmail.com; Timestamp: Sep 2 2024 4:08 AM</t>
  </si>
  <si>
    <t>ROMA ULI SIMATUPANG</t>
  </si>
  <si>
    <t>romauli28102015@gmail.com</t>
  </si>
  <si>
    <t>3444</t>
  </si>
  <si>
    <t>Starting at Thu Aug 29 2024 21:17:11 GMT-0400 (EDT)</t>
  </si>
  <si>
    <t>1M9amgnjWQHr-I94qowh35i4NJzVuTxex</t>
  </si>
  <si>
    <t>https://drive.google.com/file/d/1M9amgnjWQHr-I94qowh35i4NJzVuTxex/view?usp=drivesdk</t>
  </si>
  <si>
    <t>AYUNING DYAH DAMAYANTI, A. Md. Keb</t>
  </si>
  <si>
    <t>ayuning.dd83@gmail.com</t>
  </si>
  <si>
    <t>3445</t>
  </si>
  <si>
    <t>1QgcJU7TdYkH0bQW2eCiVhM_XzXuer5Z5</t>
  </si>
  <si>
    <t>https://drive.google.com/file/d/1QgcJU7TdYkH0bQW2eCiVhM_XzXuer5Z5/view?usp=drivesdk</t>
  </si>
  <si>
    <t>IRWAHYUDI</t>
  </si>
  <si>
    <t>irwahyudi617@gmail.com</t>
  </si>
  <si>
    <t>3446</t>
  </si>
  <si>
    <t>1GrOG2Ih4cV16uzXc6DfU_n2FO8PkWfqq</t>
  </si>
  <si>
    <t>https://drive.google.com/file/d/1GrOG2Ih4cV16uzXc6DfU_n2FO8PkWfqq/view?usp=drivesdk</t>
  </si>
  <si>
    <t>SARIANNA KOTO,Skep.Ns</t>
  </si>
  <si>
    <t>sariannakoto270379@gmail.com</t>
  </si>
  <si>
    <t>3447</t>
  </si>
  <si>
    <t>Starting at Thu Aug 29 2024 21:17:15 GMT-0400 (EDT)</t>
  </si>
  <si>
    <t>1Zc3NDZSkxBN9WF9m76aRamE0e9YLyVi2</t>
  </si>
  <si>
    <t>https://drive.google.com/file/d/1Zc3NDZSkxBN9WF9m76aRamE0e9YLyVi2/view?usp=drivesdk</t>
  </si>
  <si>
    <t>ANDHY MULYA RUDYANTO</t>
  </si>
  <si>
    <t>genouva87@gmail.com</t>
  </si>
  <si>
    <t>3448</t>
  </si>
  <si>
    <t>1MDHdFsSYYDvDiLpktkR9z8K_XSGv_fGQ</t>
  </si>
  <si>
    <t>https://drive.google.com/file/d/1MDHdFsSYYDvDiLpktkR9z8K_XSGv_fGQ/view?usp=drivesdk</t>
  </si>
  <si>
    <t>Document successfully created; Document successfully merged; PDF created; !!Error Sending Emails: Service invoked too many times for one day: email.; Manually run by ecertificate75@gmail.com; Timestamp: Sep 2 2024 4:09 AM</t>
  </si>
  <si>
    <t>MAULINA CORDIAZ, A.Md.KG</t>
  </si>
  <si>
    <t>maulinacordiaz8@gmail.com</t>
  </si>
  <si>
    <t>3449</t>
  </si>
  <si>
    <t>12K-K4eX5_VNic0sD8WK4jezrWubkmh2W</t>
  </si>
  <si>
    <t>https://drive.google.com/file/d/12K-K4eX5_VNic0sD8WK4jezrWubkmh2W/view?usp=drivesdk</t>
  </si>
  <si>
    <t>Document successfully created; Document successfully merged; PDF created; !!Error Sending Emails: Service invoked too many times for one day: email.; Manually run by ecertificate75@gmail.com; Timestamp: Sep 2 2024 4:10 AM</t>
  </si>
  <si>
    <t>WIGNYO SUROYO.,S.E</t>
  </si>
  <si>
    <t>wigyo.suroyo@gmail.com</t>
  </si>
  <si>
    <t>3450</t>
  </si>
  <si>
    <t>13NyqEQlFi9oFPW9D2Vok0DLaxAXp8BFK</t>
  </si>
  <si>
    <t>https://drive.google.com/file/d/13NyqEQlFi9oFPW9D2Vok0DLaxAXp8BFK/view?usp=drivesdk</t>
  </si>
  <si>
    <t>KERRY BAGUS RIANDRA, S.E</t>
  </si>
  <si>
    <t>kerrybagusriandradata@gmail.com</t>
  </si>
  <si>
    <t>3451</t>
  </si>
  <si>
    <t>1K-yXjCRrgtYBseSofbzrCrS35XMiests</t>
  </si>
  <si>
    <t>https://drive.google.com/file/d/1K-yXjCRrgtYBseSofbzrCrS35XMiests/view?usp=drivesdk</t>
  </si>
  <si>
    <t>ACHMAD KUJAENI</t>
  </si>
  <si>
    <t>akujaeni@gmail.com</t>
  </si>
  <si>
    <t>3452</t>
  </si>
  <si>
    <t>1dC1V_3y7X4QyPh3Q7ilfnKcVV0Pmo0Lj</t>
  </si>
  <si>
    <t>https://drive.google.com/file/d/1dC1V_3y7X4QyPh3Q7ilfnKcVV0Pmo0Lj/view?usp=drivesdk</t>
  </si>
  <si>
    <t>SATRIYA UTAMA</t>
  </si>
  <si>
    <t>satriyautama68@gmail.com</t>
  </si>
  <si>
    <t>3453</t>
  </si>
  <si>
    <t>1QNuoXs_Li-Eudg7mQY4V-qpqXJosqGEj</t>
  </si>
  <si>
    <t>https://drive.google.com/file/d/1QNuoXs_Li-Eudg7mQY4V-qpqXJosqGEj/view?usp=drivesdk</t>
  </si>
  <si>
    <t>TUWO WALUYO</t>
  </si>
  <si>
    <t>hasibdenjom@gmail.com</t>
  </si>
  <si>
    <t>3454</t>
  </si>
  <si>
    <t>1hyGUJtm8oTptpTsay0Ubb9Bkz2E4IQI8</t>
  </si>
  <si>
    <t>https://drive.google.com/file/d/1hyGUJtm8oTptpTsay0Ubb9Bkz2E4IQI8/view?usp=drivesdk</t>
  </si>
  <si>
    <t>Document successfully created; Document successfully merged; PDF created; !!Error Sending Emails: Service invoked too many times for one day: email.; Manually run by ecertificate75@gmail.com; Timestamp: Sep 2 2024 4:11 AM</t>
  </si>
  <si>
    <t>SOLIKHIN S.Pd.I</t>
  </si>
  <si>
    <t>msolihinpolair@gmail.com</t>
  </si>
  <si>
    <t>3455</t>
  </si>
  <si>
    <t>12BptOGt5mcskYVnrrH3Oi4UlNErsU_px</t>
  </si>
  <si>
    <t>https://drive.google.com/file/d/12BptOGt5mcskYVnrrH3Oi4UlNErsU_px/view?usp=drivesdk</t>
  </si>
  <si>
    <t>NENG SRI CUCU MULYATI</t>
  </si>
  <si>
    <t>mulyatin515@gmail.com</t>
  </si>
  <si>
    <t>3456</t>
  </si>
  <si>
    <t>1a9w0RVUG5AwQOhHVZEBmvAZCsgryHJyu</t>
  </si>
  <si>
    <t>https://drive.google.com/file/d/1a9w0RVUG5AwQOhHVZEBmvAZCsgryHJyu/view?usp=drivesdk</t>
  </si>
  <si>
    <t>NUGRAENI WIDIASTUTI</t>
  </si>
  <si>
    <t>widia3891@gmail.com</t>
  </si>
  <si>
    <t>3457</t>
  </si>
  <si>
    <t>141avlX1EozublImiWF0jvPb2Z2BUqZIo</t>
  </si>
  <si>
    <t>https://drive.google.com/file/d/141avlX1EozublImiWF0jvPb2Z2BUqZIo/view?usp=drivesdk</t>
  </si>
  <si>
    <t>ANWAR BAROZi</t>
  </si>
  <si>
    <t>anwarbarozi07@gmail.com</t>
  </si>
  <si>
    <t>3458</t>
  </si>
  <si>
    <t>15NgSgYgkIe2XzzlFwPULlUcHS1AjHrig</t>
  </si>
  <si>
    <t>https://drive.google.com/file/d/15NgSgYgkIe2XzzlFwPULlUcHS1AjHrig/view?usp=drivesdk</t>
  </si>
  <si>
    <t>Document successfully created; Document successfully merged; PDF created; !!Error Sending Emails: Service invoked too many times for one day: email.; Manually run by ecertificate75@gmail.com; Timestamp: Sep 2 2024 4:12 AM</t>
  </si>
  <si>
    <t>Dewi Sulistiyo Wati</t>
  </si>
  <si>
    <t>dewiales@gmail.com</t>
  </si>
  <si>
    <t>3459</t>
  </si>
  <si>
    <t>Starting at Thu Aug 29 2024 21:17:17 GMT-0400 (EDT)</t>
  </si>
  <si>
    <t>1nycv4g2VCS3lPTEn0aBcAkuQEzHy7E6l</t>
  </si>
  <si>
    <t>https://drive.google.com/file/d/1nycv4g2VCS3lPTEn0aBcAkuQEzHy7E6l/view?usp=drivesdk</t>
  </si>
  <si>
    <t>SITI NURHAINI</t>
  </si>
  <si>
    <t>nurhenri85@gmail.com</t>
  </si>
  <si>
    <t>3460</t>
  </si>
  <si>
    <t>1QQVyrAmhqEqW6zcarnts-Lkoa5ufxhbG</t>
  </si>
  <si>
    <t>https://drive.google.com/file/d/1QQVyrAmhqEqW6zcarnts-Lkoa5ufxhbG/view?usp=drivesdk</t>
  </si>
  <si>
    <t>ADE ERWIN, A.MD</t>
  </si>
  <si>
    <t>adeerwinpsi@gmail.com</t>
  </si>
  <si>
    <t>3461</t>
  </si>
  <si>
    <t>1Wi4ZWtZdhNXeM5hyKvWweDcVKrayOg-R</t>
  </si>
  <si>
    <t>https://drive.google.com/file/d/1Wi4ZWtZdhNXeM5hyKvWweDcVKrayOg-R/view?usp=drivesdk</t>
  </si>
  <si>
    <t>Document successfully created; Document successfully merged; PDF created; !!Error Sending Emails: Service invoked too many times for one day: email.; Manually run by ecertificate75@gmail.com; Timestamp: Sep 2 2024 4:13 AM</t>
  </si>
  <si>
    <t>DIANA PURBASARI HAKIM, S.H., M.Tr.A.P.</t>
  </si>
  <si>
    <t>dianaphakim@gmail.com</t>
  </si>
  <si>
    <t>3462</t>
  </si>
  <si>
    <t>1LiXj_2J-1gSnQkM1PFHBuxB73iVysSj1</t>
  </si>
  <si>
    <t>https://drive.google.com/file/d/1LiXj_2J-1gSnQkM1PFHBuxB73iVysSj1/view?usp=drivesdk</t>
  </si>
  <si>
    <t>RICKA ROSSITA SARI A.Md</t>
  </si>
  <si>
    <t>rickarossita84@gmail.com</t>
  </si>
  <si>
    <t>3463</t>
  </si>
  <si>
    <t>1Nj0Y5e2BRUXbXFX8UNPz3RIL0M01szsw</t>
  </si>
  <si>
    <t>https://drive.google.com/file/d/1Nj0Y5e2BRUXbXFX8UNPz3RIL0M01szsw/view?usp=drivesdk</t>
  </si>
  <si>
    <t xml:space="preserve">TREYSE NENY VARLINA, S. Adm. </t>
  </si>
  <si>
    <t>tnenyvarlina@gmail.com</t>
  </si>
  <si>
    <t>3464</t>
  </si>
  <si>
    <t>Starting at Thu Aug 29 2024 21:17:22 GMT-0400 (EDT)</t>
  </si>
  <si>
    <t>19eW9cMfsjuA-8eElDI7AwuJJFt-9PO-B</t>
  </si>
  <si>
    <t>https://drive.google.com/file/d/19eW9cMfsjuA-8eElDI7AwuJJFt-9PO-B/view?usp=drivesdk</t>
  </si>
  <si>
    <t>FIRA ANDARINI</t>
  </si>
  <si>
    <t>firandarini@gmail.com</t>
  </si>
  <si>
    <t>3465</t>
  </si>
  <si>
    <t>19BwjTwwCoeF8FBYTPSegNl_ZavsRwdSf</t>
  </si>
  <si>
    <t>https://drive.google.com/file/d/19BwjTwwCoeF8FBYTPSegNl_ZavsRwdSf/view?usp=drivesdk</t>
  </si>
  <si>
    <t>ENDAH WAHYUNINGTYAS, A.MD</t>
  </si>
  <si>
    <t>ndahtyas@gmail.com</t>
  </si>
  <si>
    <t>3466</t>
  </si>
  <si>
    <t>1XG-2JU3nkcUxO7rE3RpUwpcVfe3ayuQr</t>
  </si>
  <si>
    <t>https://drive.google.com/file/d/1XG-2JU3nkcUxO7rE3RpUwpcVfe3ayuQr/view?usp=drivesdk</t>
  </si>
  <si>
    <t>Document successfully created; Document successfully merged; PDF created; !!Error Sending Emails: Service invoked too many times for one day: email.; Manually run by ecertificate75@gmail.com; Timestamp: Sep 2 2024 4:14 AM</t>
  </si>
  <si>
    <t>Hj. NANI</t>
  </si>
  <si>
    <t>sugiarninani0@gmail.com</t>
  </si>
  <si>
    <t>3467</t>
  </si>
  <si>
    <t>Starting at Thu Aug 29 2024 21:17:24 GMT-0400 (EDT)</t>
  </si>
  <si>
    <t>16XymmUs5N5YlqofNEUFGFbhnHXSBCYN9</t>
  </si>
  <si>
    <t>https://drive.google.com/file/d/16XymmUs5N5YlqofNEUFGFbhnHXSBCYN9/view?usp=drivesdk</t>
  </si>
  <si>
    <t>ENDANG TRIWAYATI</t>
  </si>
  <si>
    <t>endang5riwayati@gmail.com</t>
  </si>
  <si>
    <t>3468</t>
  </si>
  <si>
    <t>1sfh0VYIcLwsVcwisQu-EzKqtBUDd1SyD</t>
  </si>
  <si>
    <t>https://drive.google.com/file/d/1sfh0VYIcLwsVcwisQu-EzKqtBUDd1SyD/view?usp=drivesdk</t>
  </si>
  <si>
    <t>NURLENI</t>
  </si>
  <si>
    <t>nurleniginting15@gmail.com</t>
  </si>
  <si>
    <t>3469</t>
  </si>
  <si>
    <t>1YMeMzkrlmSdsBIakW17s-bLL0H9eH2LM</t>
  </si>
  <si>
    <t>https://drive.google.com/file/d/1YMeMzkrlmSdsBIakW17s-bLL0H9eH2LM/view?usp=drivesdk</t>
  </si>
  <si>
    <t>Nia Plania Sitompul, A. Md. Kep</t>
  </si>
  <si>
    <t>niaasitompul45@gmail.com</t>
  </si>
  <si>
    <t>3470</t>
  </si>
  <si>
    <t>17xKeXR_hw_nNIoNnQFMmWRU9MOvGKWLi</t>
  </si>
  <si>
    <t>https://drive.google.com/file/d/17xKeXR_hw_nNIoNnQFMmWRU9MOvGKWLi/view?usp=drivesdk</t>
  </si>
  <si>
    <t>Document successfully created; Document successfully merged; PDF created; !!Error Sending Emails: Service invoked too many times for one day: email.; Manually run by ecertificate75@gmail.com; Timestamp: Sep 2 2024 4:15 AM</t>
  </si>
  <si>
    <t xml:space="preserve">YUDOHARDI </t>
  </si>
  <si>
    <t>yudohardi08@gmail.com</t>
  </si>
  <si>
    <t>3471</t>
  </si>
  <si>
    <t>Starting at Thu Aug 29 2024 21:17:25 GMT-0400 (EDT)</t>
  </si>
  <si>
    <t>1prz1FKTtpmptzFABQ6rVNCLQKw0VwkBS</t>
  </si>
  <si>
    <t>https://drive.google.com/file/d/1prz1FKTtpmptzFABQ6rVNCLQKw0VwkBS/view?usp=drivesdk</t>
  </si>
  <si>
    <t xml:space="preserve">TINA KAMALIA </t>
  </si>
  <si>
    <t>tinakamalia205@gmail.com</t>
  </si>
  <si>
    <t>3472</t>
  </si>
  <si>
    <t>Starting at Thu Aug 29 2024 21:17:26 GMT-0400 (EDT)</t>
  </si>
  <si>
    <t>1rQ8ENC4cAUodivncUrTbQlFndZMCKLMw</t>
  </si>
  <si>
    <t>https://drive.google.com/file/d/1rQ8ENC4cAUodivncUrTbQlFndZMCKLMw/view?usp=drivesdk</t>
  </si>
  <si>
    <t>abrinaa221@gmail.com</t>
  </si>
  <si>
    <t>3473</t>
  </si>
  <si>
    <t>1WgG9x4ZbqcTu8kx3dwACk0JfwFRM238b</t>
  </si>
  <si>
    <t>https://drive.google.com/file/d/1WgG9x4ZbqcTu8kx3dwACk0JfwFRM238b/view?usp=drivesdk</t>
  </si>
  <si>
    <t>NANI SURYANI</t>
  </si>
  <si>
    <t>Nanisuryani170380@gmail.com</t>
  </si>
  <si>
    <t>3474</t>
  </si>
  <si>
    <t>13lZxXWxiNtoIC6UKdaeIZi0KsIHCbYnO</t>
  </si>
  <si>
    <t>https://drive.google.com/file/d/13lZxXWxiNtoIC6UKdaeIZi0KsIHCbYnO/view?usp=drivesdk</t>
  </si>
  <si>
    <t>Document successfully created; Document successfully merged; PDF created; !!Error Sending Emails: Service invoked too many times for one day: email.; Manually run by ecertificate75@gmail.com; Timestamp: Sep 2 2024 4:16 AM</t>
  </si>
  <si>
    <t>SRI YANTI, A.Md.Kep</t>
  </si>
  <si>
    <t>ysri1104@gmail.com</t>
  </si>
  <si>
    <t>3475</t>
  </si>
  <si>
    <t>1gL7bf7Wk-D7Dj2g0KdfQyoGSGU2fJSRO</t>
  </si>
  <si>
    <t>https://drive.google.com/file/d/1gL7bf7Wk-D7Dj2g0KdfQyoGSGU2fJSRO/view?usp=drivesdk</t>
  </si>
  <si>
    <t xml:space="preserve">NELY NURYANA </t>
  </si>
  <si>
    <t>nezzamalik@gmail.com</t>
  </si>
  <si>
    <t>3476</t>
  </si>
  <si>
    <t>1RC_cQy0QkUFub9xWCJpEOB8S0bEKyrIq</t>
  </si>
  <si>
    <t>https://drive.google.com/file/d/1RC_cQy0QkUFub9xWCJpEOB8S0bEKyrIq/view?usp=drivesdk</t>
  </si>
  <si>
    <t>DESTHYA DANIARTI, A.MD.KEB</t>
  </si>
  <si>
    <t>ddesthya@gmail.com</t>
  </si>
  <si>
    <t>3477</t>
  </si>
  <si>
    <t>1JSn2Et7GwHUEwCUr3w4nsATxyd-A8yLA</t>
  </si>
  <si>
    <t>https://drive.google.com/file/d/1JSn2Et7GwHUEwCUr3w4nsATxyd-A8yLA/view?usp=drivesdk</t>
  </si>
  <si>
    <t>DIAN SUSTANTI</t>
  </si>
  <si>
    <t>dian.sustanti87@yahoo.com</t>
  </si>
  <si>
    <t>3478</t>
  </si>
  <si>
    <t>1IX5ceapE4nNh_-YE8hRA5zVPnSZOJnhk</t>
  </si>
  <si>
    <t>https://drive.google.com/file/d/1IX5ceapE4nNh_-YE8hRA5zVPnSZOJnhk/view?usp=drivesdk</t>
  </si>
  <si>
    <t>DWI HAYATI, S.E.</t>
  </si>
  <si>
    <t>dewihayati345@gmail.com</t>
  </si>
  <si>
    <t>3479</t>
  </si>
  <si>
    <t>17XdYGQbpE0ni74Dx6tW2gQtwlFb-AYP-</t>
  </si>
  <si>
    <t>https://drive.google.com/file/d/17XdYGQbpE0ni74Dx6tW2gQtwlFb-AYP-/view?usp=drivesdk</t>
  </si>
  <si>
    <t>Document successfully created; Document successfully merged; PDF created; !!Error Sending Emails: Service invoked too many times for one day: email.; Manually run by ecertificate75@gmail.com; Timestamp: Sep 2 2024 4:17 AM</t>
  </si>
  <si>
    <t>JOKO SUJARWO.ST</t>
  </si>
  <si>
    <t>jokopolrestabes@gmail.com</t>
  </si>
  <si>
    <t>3480</t>
  </si>
  <si>
    <t>Starting at Thu Aug 29 2024 21:17:28 GMT-0400 (EDT)</t>
  </si>
  <si>
    <t>1o1xdZfX7e16cBWzxOs3XF8_3pXL6358n</t>
  </si>
  <si>
    <t>https://drive.google.com/file/d/1o1xdZfX7e16cBWzxOs3XF8_3pXL6358n/view?usp=drivesdk</t>
  </si>
  <si>
    <t>HARDIYANTO, Am.Kep</t>
  </si>
  <si>
    <t>hardibunga91@gmail.com</t>
  </si>
  <si>
    <t>3481</t>
  </si>
  <si>
    <t>1vs9ns0etm9cLg8aXgy1VYjaZyiMtTICJ</t>
  </si>
  <si>
    <t>https://drive.google.com/file/d/1vs9ns0etm9cLg8aXgy1VYjaZyiMtTICJ/view?usp=drivesdk</t>
  </si>
  <si>
    <t>INTAN MARGARETHA SIMANULLANG, S.S.</t>
  </si>
  <si>
    <t>intan.margarethas80@gmail.com</t>
  </si>
  <si>
    <t>3482</t>
  </si>
  <si>
    <t>1MH6LtA2kXgOkwXx_6lBJqAu6HYUNoe4o</t>
  </si>
  <si>
    <t>https://drive.google.com/file/d/1MH6LtA2kXgOkwXx_6lBJqAu6HYUNoe4o/view?usp=drivesdk</t>
  </si>
  <si>
    <t>JIRATIN A.Md.Keb</t>
  </si>
  <si>
    <t>jiratin555@gmail.com</t>
  </si>
  <si>
    <t>3483</t>
  </si>
  <si>
    <t>1bA6do_tBkDA4BpTXFXR0O4IC4M9uA_vq</t>
  </si>
  <si>
    <t>https://drive.google.com/file/d/1bA6do_tBkDA4BpTXFXR0O4IC4M9uA_vq/view?usp=drivesdk</t>
  </si>
  <si>
    <t>Document successfully created; Document successfully merged; PDF created; !!Error Sending Emails: Service invoked too many times for one day: email.; Manually run by ecertificate75@gmail.com; Timestamp: Sep 2 2024 4:18 AM</t>
  </si>
  <si>
    <t xml:space="preserve">RUSMALA DEWI </t>
  </si>
  <si>
    <t>mala.bekum@gmail.com</t>
  </si>
  <si>
    <t>3484</t>
  </si>
  <si>
    <t>1icr8O6aOtaYSj3UgwHLydMCLJMS-AhPS</t>
  </si>
  <si>
    <t>https://drive.google.com/file/d/1icr8O6aOtaYSj3UgwHLydMCLJMS-AhPS/view?usp=drivesdk</t>
  </si>
  <si>
    <t>JERNIS HALOMOAN DAMANIK</t>
  </si>
  <si>
    <t>Jernisdamanik1978@gmail.com</t>
  </si>
  <si>
    <t>3485</t>
  </si>
  <si>
    <t>Starting at Thu Aug 29 2024 21:17:32 GMT-0400 (EDT)</t>
  </si>
  <si>
    <t>1FT2d8KuMwMytrg9jQ5TMubdixxf3GqIt</t>
  </si>
  <si>
    <t>https://drive.google.com/file/d/1FT2d8KuMwMytrg9jQ5TMubdixxf3GqIt/view?usp=drivesdk</t>
  </si>
  <si>
    <t>I MADE ARYA SUPUTRA, S.Ak.</t>
  </si>
  <si>
    <t>made.aryasuputra@gmail.com</t>
  </si>
  <si>
    <t>3486</t>
  </si>
  <si>
    <t>13d9bXHgyhjk68vzBCc00KCd0gTbzi213</t>
  </si>
  <si>
    <t>https://drive.google.com/file/d/13d9bXHgyhjk68vzBCc00KCd0gTbzi213/view?usp=drivesdk</t>
  </si>
  <si>
    <t xml:space="preserve">MUKTI ALI </t>
  </si>
  <si>
    <t>muktiali439@gmail.com</t>
  </si>
  <si>
    <t>3487</t>
  </si>
  <si>
    <t>13ikU2AjnLeIVAQNpdEgbWFDRVjbsT7rU</t>
  </si>
  <si>
    <t>https://drive.google.com/file/d/13ikU2AjnLeIVAQNpdEgbWFDRVjbsT7rU/view?usp=drivesdk</t>
  </si>
  <si>
    <t>ROSTIATI, S.E</t>
  </si>
  <si>
    <t>rostiatia8@gmail.com</t>
  </si>
  <si>
    <t>3488</t>
  </si>
  <si>
    <t>16aJK7OloaUL_EiLmIOTNmjBYQh_9w4HC</t>
  </si>
  <si>
    <t>https://drive.google.com/file/d/16aJK7OloaUL_EiLmIOTNmjBYQh_9w4HC/view?usp=drivesdk</t>
  </si>
  <si>
    <t>Document successfully created; Document successfully merged; PDF created; !!Error Sending Emails: Service invoked too many times for one day: email.; Manually run by ecertificate75@gmail.com; Timestamp: Sep 2 2024 4:19 AM</t>
  </si>
  <si>
    <t>AGUS UREP SUBANGUN</t>
  </si>
  <si>
    <t>Agusurep1234@gmail.com</t>
  </si>
  <si>
    <t>3489</t>
  </si>
  <si>
    <t>1TaKTqpF6eliZI_94nsWF5mO8SDRmMgog</t>
  </si>
  <si>
    <t>https://drive.google.com/file/d/1TaKTqpF6eliZI_94nsWF5mO8SDRmMgog/view?usp=drivesdk</t>
  </si>
  <si>
    <t>PORMAIDA SIMANJUNTAK</t>
  </si>
  <si>
    <t>pormaidasimanjuntak0701@gmail.com</t>
  </si>
  <si>
    <t>3490</t>
  </si>
  <si>
    <t>1i5c9SJLY4TFYp-DFRK5rTdRDoiAtPg2j</t>
  </si>
  <si>
    <t>https://drive.google.com/file/d/1i5c9SJLY4TFYp-DFRK5rTdRDoiAtPg2j/view?usp=drivesdk</t>
  </si>
  <si>
    <t>DETY OCTARIA, S.H.</t>
  </si>
  <si>
    <t>detyoctaria@gmail.com</t>
  </si>
  <si>
    <t>3491</t>
  </si>
  <si>
    <t>11Uz5RjZOfRWzIPiW9J019dJwQFEHZcNn</t>
  </si>
  <si>
    <t>https://drive.google.com/file/d/11Uz5RjZOfRWzIPiW9J019dJwQFEHZcNn/view?usp=drivesdk</t>
  </si>
  <si>
    <t>ESTI YURIAH</t>
  </si>
  <si>
    <t>djesyparamita@gmail.com</t>
  </si>
  <si>
    <t>3492</t>
  </si>
  <si>
    <t>1paD-e5mZBPro_dvuNJhbAEMMEld1H9Ov</t>
  </si>
  <si>
    <t>https://drive.google.com/file/d/1paD-e5mZBPro_dvuNJhbAEMMEld1H9Ov/view?usp=drivesdk</t>
  </si>
  <si>
    <t>ARJUNENINTIYA FERRY ANGGRIAWAN, A.Md. Farm.</t>
  </si>
  <si>
    <t>arjunferry88@gmail.com</t>
  </si>
  <si>
    <t>3493</t>
  </si>
  <si>
    <t>1LAD-qANzZ_uzYfzDK8laRfnXKkoLoEEJ</t>
  </si>
  <si>
    <t>https://drive.google.com/file/d/1LAD-qANzZ_uzYfzDK8laRfnXKkoLoEEJ/view?usp=drivesdk</t>
  </si>
  <si>
    <t>Document successfully created; Document successfully merged; PDF created; !!Error Sending Emails: Service invoked too many times for one day: email.; Manually run by ecertificate75@gmail.com; Timestamp: Sep 2 2024 4:20 AM</t>
  </si>
  <si>
    <t>LENNI SIPAYUNG,S.M</t>
  </si>
  <si>
    <t>lenni.dahliana03@gmail.com</t>
  </si>
  <si>
    <t>3494</t>
  </si>
  <si>
    <t>Starting at Thu Aug 29 2024 21:17:34 GMT-0400 (EDT)</t>
  </si>
  <si>
    <t>1GcK5qRfr6EDtb6iag4u0e0KhXl5M1-AC</t>
  </si>
  <si>
    <t>https://drive.google.com/file/d/1GcK5qRfr6EDtb6iag4u0e0KhXl5M1-AC/view?usp=drivesdk</t>
  </si>
  <si>
    <t>CASMUDI. A.MD.KEP</t>
  </si>
  <si>
    <t>casmudieza79@gmail.com</t>
  </si>
  <si>
    <t>3495</t>
  </si>
  <si>
    <t>1Enwv6sOpzjJDpnliaqu7mlO6QtMFoNRO</t>
  </si>
  <si>
    <t>https://drive.google.com/file/d/1Enwv6sOpzjJDpnliaqu7mlO6QtMFoNRO/view?usp=drivesdk</t>
  </si>
  <si>
    <t>YENNI MARLINA</t>
  </si>
  <si>
    <t>Yennimarlina791@gmail.com</t>
  </si>
  <si>
    <t>3496</t>
  </si>
  <si>
    <t>1FvTZ6I-4750rZTfEcN8ZjM32p9u9mMS4</t>
  </si>
  <si>
    <t>https://drive.google.com/file/d/1FvTZ6I-4750rZTfEcN8ZjM32p9u9mMS4/view?usp=drivesdk</t>
  </si>
  <si>
    <t>Document successfully created; Document successfully merged; PDF created; !!Error Sending Emails: Service invoked too many times for one day: email.; Manually run by ecertificate75@gmail.com; Timestamp: Sep 2 2024 4:21 AM</t>
  </si>
  <si>
    <t>NI KETUT ARIANI</t>
  </si>
  <si>
    <t>arianiketut2016@gmail.com</t>
  </si>
  <si>
    <t>3497</t>
  </si>
  <si>
    <t>1ZYOpoR7h5TfTA9MOVM0-vuVcQFHbfrxx</t>
  </si>
  <si>
    <t>https://drive.google.com/file/d/1ZYOpoR7h5TfTA9MOVM0-vuVcQFHbfrxx/view?usp=drivesdk</t>
  </si>
  <si>
    <t>MELDA ORIZA</t>
  </si>
  <si>
    <t>meldaoriza67@gmail.com</t>
  </si>
  <si>
    <t>3498</t>
  </si>
  <si>
    <t>1TwgrYDEAhnuYtAJJg6CG2sKGCmkNbdNv</t>
  </si>
  <si>
    <t>https://drive.google.com/file/d/1TwgrYDEAhnuYtAJJg6CG2sKGCmkNbdNv/view?usp=drivesdk</t>
  </si>
  <si>
    <t>ENDANG SUKMAWATY, SH</t>
  </si>
  <si>
    <t>uranev2708@gmail.com</t>
  </si>
  <si>
    <t>3499</t>
  </si>
  <si>
    <t>12bG-hKpLeU-jMhDDkTzfcCM7RfoepJHC</t>
  </si>
  <si>
    <t>https://drive.google.com/file/d/12bG-hKpLeU-jMhDDkTzfcCM7RfoepJHC/view?usp=drivesdk</t>
  </si>
  <si>
    <t>BUDI HERMAWANTO, S.IP.</t>
  </si>
  <si>
    <t>bhoeddhiest@gmaul.com</t>
  </si>
  <si>
    <t>3500</t>
  </si>
  <si>
    <t>Starting at Thu Aug 29 2024 21:17:40 GMT-0400 (EDT)</t>
  </si>
  <si>
    <t>1vrpHWHkqNTYJg5aDQe39oHOBSvI2o3gZ</t>
  </si>
  <si>
    <t>https://drive.google.com/file/d/1vrpHWHkqNTYJg5aDQe39oHOBSvI2o3gZ/view?usp=drivesdk</t>
  </si>
  <si>
    <t>NI WAYAN SANTI LASTRI</t>
  </si>
  <si>
    <t>wynsantilastri@gmail.com</t>
  </si>
  <si>
    <t>3501</t>
  </si>
  <si>
    <t>https://drive.google.com/file/d/1qQ7Sh6iY5nL0JgB96ielQx-lxS8dlWOd/view?usp=drivesdk</t>
  </si>
  <si>
    <t>1qQ7Sh6iY5nL0JgB96ielQx-lxS8dlWOd</t>
  </si>
  <si>
    <t>1UYxydCrUuB140zxce3ISWgP9oHGBgeAz</t>
  </si>
  <si>
    <t>https://drive.google.com/file/d/1UYxydCrUuB140zxce3ISWgP9oHGBgeAz/view?usp=drivesdk</t>
  </si>
  <si>
    <t>Document successfully created; Document successfully merged; PDF created; !!Error Sending Emails: Service invoked too many times for one day: email.; Manually run by ecertificate75@gmail.com; Timestamp: Sep 2 2024 4:22 AM</t>
  </si>
  <si>
    <t>JUMBADI</t>
  </si>
  <si>
    <t>jumbadi662@gmail.com</t>
  </si>
  <si>
    <t>3502</t>
  </si>
  <si>
    <t>Starting at Thu Aug 29 2024 21:17:43 GMT-0400 (EDT)</t>
  </si>
  <si>
    <t>1EzxmttJhvklntFzi9Xiz6_3KTAGo9bs6</t>
  </si>
  <si>
    <t>https://drive.google.com/file/d/1EzxmttJhvklntFzi9Xiz6_3KTAGo9bs6/view?usp=drivesdk</t>
  </si>
  <si>
    <t>DEDI SURYADI</t>
  </si>
  <si>
    <t>dedisuryadi.pns@gmail.com</t>
  </si>
  <si>
    <t>3503</t>
  </si>
  <si>
    <t>https://drive.google.com/file/d/1pLP6EpIwJU-I2upr89SNW7UigiG8l4bs/view?usp=drivesdk</t>
  </si>
  <si>
    <t>1pLP6EpIwJU-I2upr89SNW7UigiG8l4bs</t>
  </si>
  <si>
    <t>11tpV-81twAI_AQAA8lhSkuJV_7KuZkT9</t>
  </si>
  <si>
    <t>https://drive.google.com/file/d/11tpV-81twAI_AQAA8lhSkuJV_7KuZkT9/view?usp=drivesdk</t>
  </si>
  <si>
    <t>RATNA HIDAYATI</t>
  </si>
  <si>
    <t>ratnahidayati74@gmail.com</t>
  </si>
  <si>
    <t>3504</t>
  </si>
  <si>
    <t>https://drive.google.com/file/d/1fjm1JvvXnAMrgZ2LU5w0mZI7i9tHU9sO/view?usp=drivesdk</t>
  </si>
  <si>
    <t>1fjm1JvvXnAMrgZ2LU5w0mZI7i9tHU9sO</t>
  </si>
  <si>
    <t>1wsrEqE-PaMPiq3ReKrE40Zd5miuAvK4c</t>
  </si>
  <si>
    <t>https://drive.google.com/file/d/1wsrEqE-PaMPiq3ReKrE40Zd5miuAvK4c/view?usp=drivesdk</t>
  </si>
  <si>
    <t xml:space="preserve">ELRISA APRIANI ROSA </t>
  </si>
  <si>
    <t>elrisa.apriani@gmail.com</t>
  </si>
  <si>
    <t>3505</t>
  </si>
  <si>
    <t>https://drive.google.com/file/d/1BLmCczIjlmzBw7zNnwghZWM9XucGdHSz/view?usp=drivesdk</t>
  </si>
  <si>
    <t>1BLmCczIjlmzBw7zNnwghZWM9XucGdHSz</t>
  </si>
  <si>
    <t>1QSMMaS0vkUilQMFm1Rx3vFapWQJVb8vq</t>
  </si>
  <si>
    <t>https://drive.google.com/file/d/1QSMMaS0vkUilQMFm1Rx3vFapWQJVb8vq/view?usp=drivesdk</t>
  </si>
  <si>
    <t xml:space="preserve">DEVY YUNITA SULISTIYANTI </t>
  </si>
  <si>
    <t>fiqadev12@gmail.com</t>
  </si>
  <si>
    <t>3506</t>
  </si>
  <si>
    <t>https://drive.google.com/file/d/1A634yY16lxWmTpkVp5y0kBrp14UBU5g7/view?usp=drivesdk</t>
  </si>
  <si>
    <t>1A634yY16lxWmTpkVp5y0kBrp14UBU5g7</t>
  </si>
  <si>
    <t>1SgDhyf45d69Nf03xReTvXGlGjKDsUqJN</t>
  </si>
  <si>
    <t>https://drive.google.com/file/d/1SgDhyf45d69Nf03xReTvXGlGjKDsUqJN/view?usp=drivesdk</t>
  </si>
  <si>
    <t>Document successfully created; Document successfully merged; PDF created; !!Error Sending Emails: Service invoked too many times for one day: email.; Manually run by ecertificate75@gmail.com; Timestamp: Sep 2 2024 4:23 AM</t>
  </si>
  <si>
    <t>HALOMOAN ADI KUSUMA SIAHAAN</t>
  </si>
  <si>
    <t>halomoanadikusumasiahaan@gmail.com</t>
  </si>
  <si>
    <t>3507</t>
  </si>
  <si>
    <t>https://drive.google.com/file/d/1IUxDIIzelT_117p4lcMi2vWxo_0mo5TY/view?usp=drivesdk</t>
  </si>
  <si>
    <t>1IUxDIIzelT_117p4lcMi2vWxo_0mo5TY</t>
  </si>
  <si>
    <t>1gcc6gXVN0wW7sCqSYsSizsTpvGxDPW3K</t>
  </si>
  <si>
    <t>https://drive.google.com/file/d/1gcc6gXVN0wW7sCqSYsSizsTpvGxDPW3K/view?usp=drivesdk</t>
  </si>
  <si>
    <t>ALEX SUPRIANTO</t>
  </si>
  <si>
    <t>sekretariatumumpoldabengkulu@gmail.com</t>
  </si>
  <si>
    <t>3508</t>
  </si>
  <si>
    <t>https://drive.google.com/file/d/1mUjzACLFe_SR2I1fyEXECUD2VeSW5u_A/view?usp=drivesdk</t>
  </si>
  <si>
    <t>Document successfully created; Document successfully merged; PDF created; !!Error Sending Emails: Service invoked too many times for one day: email.; Run via form trigger as ecertificate75@gmail.com; Timestamp: Aug 29 2024 9:19 PM</t>
  </si>
  <si>
    <t>1mUjzACLFe_SR2I1fyEXECUD2VeSW5u_A</t>
  </si>
  <si>
    <t>1v8CATc8-oa09dEF49Yi3UrxkYwwv9Bvz</t>
  </si>
  <si>
    <t>https://drive.google.com/file/d/1v8CATc8-oa09dEF49Yi3UrxkYwwv9Bvz/view?usp=drivesdk</t>
  </si>
  <si>
    <t>ZAHROTUL ASFUTIN</t>
  </si>
  <si>
    <t>zahrotulasfutin4@gmail.com</t>
  </si>
  <si>
    <t>3509</t>
  </si>
  <si>
    <t>Starting at Thu Aug 29 2024 21:17:48 GMT-0400 (EDT)</t>
  </si>
  <si>
    <t>1fBKvWIvl9pyoOs6sacQcx4csiLk-7pxR</t>
  </si>
  <si>
    <t>https://drive.google.com/file/d/1fBKvWIvl9pyoOs6sacQcx4csiLk-7pxR/view?usp=drivesdk</t>
  </si>
  <si>
    <t>3510</t>
  </si>
  <si>
    <t>1G74MNUOcoZhRp6kRQQsxukdrSqhppdlH</t>
  </si>
  <si>
    <t>https://drive.google.com/file/d/1G74MNUOcoZhRp6kRQQsxukdrSqhppdlH/view?usp=drivesdk</t>
  </si>
  <si>
    <t>Document successfully created; Document successfully merged; PDF created; !!Error Sending Emails: Service invoked too many times for one day: email.; Manually run by ecertificate75@gmail.com; Timestamp: Sep 2 2024 4:24 AM</t>
  </si>
  <si>
    <t>SUGENG WALUYO</t>
  </si>
  <si>
    <t>sugengwaluyo954@gmail.com</t>
  </si>
  <si>
    <t>3511</t>
  </si>
  <si>
    <t>1lnX_gGJhokcYf2nK80rullX-H1LYL6d0</t>
  </si>
  <si>
    <t>https://drive.google.com/file/d/1lnX_gGJhokcYf2nK80rullX-H1LYL6d0/view?usp=drivesdk</t>
  </si>
  <si>
    <t>BAINTELKAM POLRI</t>
  </si>
  <si>
    <t>nursandy2006@gmail.com</t>
  </si>
  <si>
    <t>3512</t>
  </si>
  <si>
    <t>1_PEo4bzOFoeyceEOl65borYld9XimGmo</t>
  </si>
  <si>
    <t>https://drive.google.com/file/d/1_PEo4bzOFoeyceEOl65borYld9XimGmo/view?usp=drivesdk</t>
  </si>
  <si>
    <t>HERMONDO.S.Kom</t>
  </si>
  <si>
    <t>renmin.ik.riau@gamil.com</t>
  </si>
  <si>
    <t>3513</t>
  </si>
  <si>
    <t>17F75UEa-4hzb-4Uyz5DQj3GjqkO8G1n5</t>
  </si>
  <si>
    <t>https://drive.google.com/file/d/17F75UEa-4hzb-4Uyz5DQj3GjqkO8G1n5/view?usp=drivesdk</t>
  </si>
  <si>
    <t>GRASELLA SANTIJA</t>
  </si>
  <si>
    <t>grasellasantija01@yahoo.com</t>
  </si>
  <si>
    <t>3514</t>
  </si>
  <si>
    <t>1U74To4ZiUtROI8MvTLHA4BzOFVGgOvIy</t>
  </si>
  <si>
    <t>https://drive.google.com/file/d/1U74To4ZiUtROI8MvTLHA4BzOFVGgOvIy/view?usp=drivesdk</t>
  </si>
  <si>
    <t>VERARIKALIA,S.E</t>
  </si>
  <si>
    <t>veralia766@gmail.com</t>
  </si>
  <si>
    <t>3515</t>
  </si>
  <si>
    <t>1EYiDoNlIvxBC4gCSs3V43yfkL2rtx2As</t>
  </si>
  <si>
    <t>https://drive.google.com/file/d/1EYiDoNlIvxBC4gCSs3V43yfkL2rtx2As/view?usp=drivesdk</t>
  </si>
  <si>
    <t>Document successfully created; Document successfully merged; PDF created; !!Error Sending Emails: Service invoked too many times for one day: email.; Manually run by ecertificate75@gmail.com; Timestamp: Sep 2 2024 4:25 AM</t>
  </si>
  <si>
    <t>SULISTYONINGSIH</t>
  </si>
  <si>
    <t>sulis.taca@gmail.com</t>
  </si>
  <si>
    <t>3516</t>
  </si>
  <si>
    <t>https://drive.google.com/file/d/1jEK_l2HNRW4lpfpb6-4IbxEGR60vaGqc/view?usp=drivesdk</t>
  </si>
  <si>
    <t>1jEK_l2HNRW4lpfpb6-4IbxEGR60vaGqc</t>
  </si>
  <si>
    <t>1q_VC5hLs27N_fkPIA37VLwKlV43B0YBL</t>
  </si>
  <si>
    <t>https://drive.google.com/file/d/1q_VC5hLs27N_fkPIA37VLwKlV43B0YBL/view?usp=drivesdk</t>
  </si>
  <si>
    <t>SUMARDIN</t>
  </si>
  <si>
    <t>mardin.2467@gmail.com</t>
  </si>
  <si>
    <t>3517</t>
  </si>
  <si>
    <t>https://drive.google.com/file/d/103DePo5_xq9lc4SjhETYkmMzosqGq86F/view?usp=drivesdk</t>
  </si>
  <si>
    <t>103DePo5_xq9lc4SjhETYkmMzosqGq86F</t>
  </si>
  <si>
    <t>1ffcrMZNKyNRkgkw45U56tnLO808Al0w9</t>
  </si>
  <si>
    <t>https://drive.google.com/file/d/1ffcrMZNKyNRkgkw45U56tnLO808Al0w9/view?usp=drivesdk</t>
  </si>
  <si>
    <t>FIKA MEIRINA, S.Si</t>
  </si>
  <si>
    <t>fika.meimei@gmail.com</t>
  </si>
  <si>
    <t>3518</t>
  </si>
  <si>
    <t>https://drive.google.com/file/d/1IwVYCIrCh2I8GlI1UzZEPZ0bKtFXhj8v/view?usp=drivesdk</t>
  </si>
  <si>
    <t>1IwVYCIrCh2I8GlI1UzZEPZ0bKtFXhj8v</t>
  </si>
  <si>
    <t>1N8N_Yy7DVvXL7yr56TolMfHJv8UEiSb0</t>
  </si>
  <si>
    <t>https://drive.google.com/file/d/1N8N_Yy7DVvXL7yr56TolMfHJv8UEiSb0/view?usp=drivesdk</t>
  </si>
  <si>
    <t>KARIMUN</t>
  </si>
  <si>
    <t>arilsanjaya949@gmail.com</t>
  </si>
  <si>
    <t>3519</t>
  </si>
  <si>
    <t>https://drive.google.com/file/d/1W86Q7tJds0KibaBzcpnr65gvVB6gVBtT/view?usp=drivesdk</t>
  </si>
  <si>
    <t>1W86Q7tJds0KibaBzcpnr65gvVB6gVBtT</t>
  </si>
  <si>
    <t>1IHTZLRB3m18f4OvKRly7DvxgqThGUnqu</t>
  </si>
  <si>
    <t>https://drive.google.com/file/d/1IHTZLRB3m18f4OvKRly7DvxgqThGUnqu/view?usp=drivesdk</t>
  </si>
  <si>
    <t>Document successfully created; Document successfully merged; PDF created; !!Error Sending Emails: Service invoked too many times for one day: email.; Manually run by ecertificate75@gmail.com; Timestamp: Sep 2 2024 4:26 AM</t>
  </si>
  <si>
    <t>PUPUNNAWANGSARI</t>
  </si>
  <si>
    <t>nawangsaripupun68@gmail.com</t>
  </si>
  <si>
    <t>3520</t>
  </si>
  <si>
    <t>Starting at Thu Aug 29 2024 21:17:52 GMT-0400 (EDT)</t>
  </si>
  <si>
    <t>1w8LOISQH1XGHLFBMi8sjlaIyp5fRURi4</t>
  </si>
  <si>
    <t>https://drive.google.com/file/d/1w8LOISQH1XGHLFBMi8sjlaIyp5fRURi4/view?usp=drivesdk</t>
  </si>
  <si>
    <t>DEBBY HERMAWATI</t>
  </si>
  <si>
    <t>Debby82hermawati@gmail.com</t>
  </si>
  <si>
    <t>3521</t>
  </si>
  <si>
    <t>1442kDmdf0AcZN7ofLxkXmSxdwmWRZfcg</t>
  </si>
  <si>
    <t>https://drive.google.com/file/d/1442kDmdf0AcZN7ofLxkXmSxdwmWRZfcg/view?usp=drivesdk</t>
  </si>
  <si>
    <t>Tatang Windianto, SE</t>
  </si>
  <si>
    <t>tetengwindianti1979@gmail.com</t>
  </si>
  <si>
    <t>3522</t>
  </si>
  <si>
    <t>1AvHuO0hy9EwRPQ9wlZ5yiNqPWNAqx1nh</t>
  </si>
  <si>
    <t>https://drive.google.com/file/d/1AvHuO0hy9EwRPQ9wlZ5yiNqPWNAqx1nh/view?usp=drivesdk</t>
  </si>
  <si>
    <t>AGUS SURYONO</t>
  </si>
  <si>
    <t>agus.suryono74@mail.com</t>
  </si>
  <si>
    <t>3523</t>
  </si>
  <si>
    <t>1S6GIJz9fwuDaVp9QC8ivKuxqfcmbedfU</t>
  </si>
  <si>
    <t>https://drive.google.com/file/d/1S6GIJz9fwuDaVp9QC8ivKuxqfcmbedfU/view?usp=drivesdk</t>
  </si>
  <si>
    <t>BUDI PERMONO</t>
  </si>
  <si>
    <t>budipermono@gmail.com</t>
  </si>
  <si>
    <t>3524</t>
  </si>
  <si>
    <t>https://drive.google.com/file/d/1ooVZGZ8mXmP2Gt3gll2JxGJ4vOER8dLB/view?usp=drivesdk</t>
  </si>
  <si>
    <t>1ooVZGZ8mXmP2Gt3gll2JxGJ4vOER8dLB</t>
  </si>
  <si>
    <t>1gdh1mIaRw6bZdFA36dXWTDKbU8MQKLVr</t>
  </si>
  <si>
    <t>https://drive.google.com/file/d/1gdh1mIaRw6bZdFA36dXWTDKbU8MQKLVr/view?usp=drivesdk</t>
  </si>
  <si>
    <t>Document successfully created; Document successfully merged; PDF created; !!Error Sending Emails: Service invoked too many times for one day: email.; Manually run by ecertificate75@gmail.com; Timestamp: Sep 2 2024 4:27 AM</t>
  </si>
  <si>
    <t>ETY YUNIASTUTIK</t>
  </si>
  <si>
    <t>etapurnama82@gmail.com</t>
  </si>
  <si>
    <t>3525</t>
  </si>
  <si>
    <t>https://drive.google.com/file/d/1wkO9UzGW7FY7inLup0S_HTg7mWBNmt_5/view?usp=drivesdk</t>
  </si>
  <si>
    <t>1wkO9UzGW7FY7inLup0S_HTg7mWBNmt_5</t>
  </si>
  <si>
    <t>1OjAQUpUptLdOtxuL7hB8sc5b0kXQxlZ3</t>
  </si>
  <si>
    <t>https://drive.google.com/file/d/1OjAQUpUptLdOtxuL7hB8sc5b0kXQxlZ3/view?usp=drivesdk</t>
  </si>
  <si>
    <t>SUPANI,SE</t>
  </si>
  <si>
    <t>sesupani90@gmail.com</t>
  </si>
  <si>
    <t>3526</t>
  </si>
  <si>
    <t>https://drive.google.com/file/d/1Wu3XjyJ55yFINgeraylCx2JCjeLlVoGn/view?usp=drivesdk</t>
  </si>
  <si>
    <t>1Wu3XjyJ55yFINgeraylCx2JCjeLlVoGn</t>
  </si>
  <si>
    <t>1iZLXzsQwgwdVel0JollsQLeDZrJIHUL1</t>
  </si>
  <si>
    <t>https://drive.google.com/file/d/1iZLXzsQwgwdVel0JollsQLeDZrJIHUL1/view?usp=drivesdk</t>
  </si>
  <si>
    <t>jontorcantik@gmail.com</t>
  </si>
  <si>
    <t>3527</t>
  </si>
  <si>
    <t>https://drive.google.com/file/d/1cCjFH2RfrCw2y3yfYj5aMcgZiBp2myFH/view?usp=drivesdk</t>
  </si>
  <si>
    <t>1cCjFH2RfrCw2y3yfYj5aMcgZiBp2myFH</t>
  </si>
  <si>
    <t>1L_37NWPDtzqUEoK4Uu7u5KmjnK7FabMJ</t>
  </si>
  <si>
    <t>https://drive.google.com/file/d/1L_37NWPDtzqUEoK4Uu7u5KmjnK7FabMJ/view?usp=drivesdk</t>
  </si>
  <si>
    <t>HELWIDA</t>
  </si>
  <si>
    <t>helwidapalembang@gmail.com</t>
  </si>
  <si>
    <t>3528</t>
  </si>
  <si>
    <t>Starting at Thu Aug 29 2024 21:17:54 GMT-0400 (EDT)</t>
  </si>
  <si>
    <t>1VODx4jCt4KE08uP07uI-A2DE9C2Mof3A</t>
  </si>
  <si>
    <t>https://drive.google.com/file/d/1VODx4jCt4KE08uP07uI-A2DE9C2Mof3A/view?usp=drivesdk</t>
  </si>
  <si>
    <t>Document successfully created; Document successfully merged; PDF created; !!Error Sending Emails: Service invoked too many times for one day: email.; Manually run by ecertificate75@gmail.com; Timestamp: Sep 2 2024 4:28 AM</t>
  </si>
  <si>
    <t>sutknosumda@gmail.com</t>
  </si>
  <si>
    <t>3529</t>
  </si>
  <si>
    <t>1gm714b_iJJba3cg7WKIA7CBmXLzwlwYy</t>
  </si>
  <si>
    <t>https://drive.google.com/file/d/1gm714b_iJJba3cg7WKIA7CBmXLzwlwYy/view?usp=drivesdk</t>
  </si>
  <si>
    <t>FIANOLLA PUTRI RIZKYTIANA, A.MD. KEP</t>
  </si>
  <si>
    <t>fianollaputririzkytiana@gmail.com</t>
  </si>
  <si>
    <t>3530</t>
  </si>
  <si>
    <t>16bfVrXAgizyEa6ahf0xazX02RRplbsul</t>
  </si>
  <si>
    <t>https://drive.google.com/file/d/16bfVrXAgizyEa6ahf0xazX02RRplbsul/view?usp=drivesdk</t>
  </si>
  <si>
    <t>UMAR ALI</t>
  </si>
  <si>
    <t>aummar325@gmail.com</t>
  </si>
  <si>
    <t>3531</t>
  </si>
  <si>
    <t>https://drive.google.com/file/d/1YQMSudcwYwvrVzlC81JVmtqIMtasYpME/view?usp=drivesdk</t>
  </si>
  <si>
    <t>1YQMSudcwYwvrVzlC81JVmtqIMtasYpME</t>
  </si>
  <si>
    <t>1q1wu3mrSdUAkXYuI8nT87ZhqC_6V9e1v</t>
  </si>
  <si>
    <t>https://drive.google.com/file/d/1q1wu3mrSdUAkXYuI8nT87ZhqC_6V9e1v/view?usp=drivesdk</t>
  </si>
  <si>
    <t xml:space="preserve">RETNO TRI UTAMI, S. E. </t>
  </si>
  <si>
    <t>retnotriutami@gmail.com</t>
  </si>
  <si>
    <t>3532</t>
  </si>
  <si>
    <t>https://drive.google.com/file/d/1GIlkdWvRS5SDdK7cODBbAmV_T4_s1Ed2/view?usp=drivesdk</t>
  </si>
  <si>
    <t>1GIlkdWvRS5SDdK7cODBbAmV_T4_s1Ed2</t>
  </si>
  <si>
    <t>15m80RfnGX1sbygemfGYhM9lQ07mRfzAU</t>
  </si>
  <si>
    <t>https://drive.google.com/file/d/15m80RfnGX1sbygemfGYhM9lQ07mRfzAU/view?usp=drivesdk</t>
  </si>
  <si>
    <t>MUHAMMAD RIZKY ERNANDA, S.Kom</t>
  </si>
  <si>
    <t>rizkyernanda91@gmail.com</t>
  </si>
  <si>
    <t>3533</t>
  </si>
  <si>
    <t>https://drive.google.com/file/d/1AQ_ciiDkNKxxtnryuc5EE_ONUT8U-cpj/view?usp=drivesdk</t>
  </si>
  <si>
    <t>1AQ_ciiDkNKxxtnryuc5EE_ONUT8U-cpj</t>
  </si>
  <si>
    <t>1NuP5xj7J9xzp6MFaV7FFsX4yHLKOmc_n</t>
  </si>
  <si>
    <t>https://drive.google.com/file/d/1NuP5xj7J9xzp6MFaV7FFsX4yHLKOmc_n/view?usp=drivesdk</t>
  </si>
  <si>
    <t>Document successfully created; Document successfully merged; PDF created; !!Error Sending Emails: Service invoked too many times for one day: email.; Manually run by ecertificate75@gmail.com; Timestamp: Sep 2 2024 4:29 AM</t>
  </si>
  <si>
    <t>PANUWUN PRIO HUTOMO, S.Kom</t>
  </si>
  <si>
    <t>uwuns.nayottama@gmail.com</t>
  </si>
  <si>
    <t>3534</t>
  </si>
  <si>
    <t>https://drive.google.com/file/d/1XIP8AyZDDhs3cASFloVOvPBlDVjGopx0/view?usp=drivesdk</t>
  </si>
  <si>
    <t>1XIP8AyZDDhs3cASFloVOvPBlDVjGopx0</t>
  </si>
  <si>
    <t>15ISlGzpQAwV9nOhOGqJc5KLv-CP-XrBD</t>
  </si>
  <si>
    <t>https://drive.google.com/file/d/15ISlGzpQAwV9nOhOGqJc5KLv-CP-XrBD/view?usp=drivesdk</t>
  </si>
  <si>
    <t>YULISMAWATI.S.ST</t>
  </si>
  <si>
    <t>alvenyulis@gmail.com</t>
  </si>
  <si>
    <t>3535</t>
  </si>
  <si>
    <t>https://drive.google.com/file/d/1fPjFJYZk0XNgKSrFTwtQBe2hMLJiXpJM/view?usp=drivesdk</t>
  </si>
  <si>
    <t>1fPjFJYZk0XNgKSrFTwtQBe2hMLJiXpJM</t>
  </si>
  <si>
    <t>18Af4TlhZA8jTlt8Us8eBaFmLpXsQFDsD</t>
  </si>
  <si>
    <t>https://drive.google.com/file/d/18Af4TlhZA8jTlt8Us8eBaFmLpXsQFDsD/view?usp=drivesdk</t>
  </si>
  <si>
    <t>SOMA,SE</t>
  </si>
  <si>
    <t>somaspn72@gmail.com</t>
  </si>
  <si>
    <t>3536</t>
  </si>
  <si>
    <t>https://drive.google.com/file/d/1OaNmPUoi_SVUIqiFlilFKEFd0fqTRFS_/view?usp=drivesdk</t>
  </si>
  <si>
    <t>1OaNmPUoi_SVUIqiFlilFKEFd0fqTRFS_</t>
  </si>
  <si>
    <t>1gLWzlaIjuFkdWR7Rt5YEnYxusDIBwOaf</t>
  </si>
  <si>
    <t>https://drive.google.com/file/d/1gLWzlaIjuFkdWR7Rt5YEnYxusDIBwOaf/view?usp=drivesdk</t>
  </si>
  <si>
    <t>SEPIYANI</t>
  </si>
  <si>
    <t>sepiyani01@gmail.com</t>
  </si>
  <si>
    <t>3537</t>
  </si>
  <si>
    <t>https://drive.google.com/file/d/1GAN4PUNuBhk-0zLAeDfHGlgUo9QCs_Gd/view?usp=drivesdk</t>
  </si>
  <si>
    <t>1GAN4PUNuBhk-0zLAeDfHGlgUo9QCs_Gd</t>
  </si>
  <si>
    <t>16FkWqLv_rxZFljPsw8hKaJGLidLRVCza</t>
  </si>
  <si>
    <t>https://drive.google.com/file/d/16FkWqLv_rxZFljPsw8hKaJGLidLRVCza/view?usp=drivesdk</t>
  </si>
  <si>
    <t>PUPUT SETYO WAHYUNINGSIH</t>
  </si>
  <si>
    <t>puputsetyo.w@gmail.com</t>
  </si>
  <si>
    <t>3538</t>
  </si>
  <si>
    <t>https://drive.google.com/file/d/1VnyKElh4Fnd2WzfaP1gGP2lqeu8dZDCf/view?usp=drivesdk</t>
  </si>
  <si>
    <t>1VnyKElh4Fnd2WzfaP1gGP2lqeu8dZDCf</t>
  </si>
  <si>
    <t>1RfVDWd-H7b4JqyZzCEVrrzxNPUguHxvT</t>
  </si>
  <si>
    <t>https://drive.google.com/file/d/1RfVDWd-H7b4JqyZzCEVrrzxNPUguHxvT/view?usp=drivesdk</t>
  </si>
  <si>
    <t>Document successfully created; Document successfully merged; PDF created; !!Error Sending Emails: Service invoked too many times for one day: email.; Manually run by ecertificate75@gmail.com; Timestamp: Sep 2 2024 4:30 AM</t>
  </si>
  <si>
    <t>HARYANTO</t>
  </si>
  <si>
    <t>haryantohalim697@gmail.com</t>
  </si>
  <si>
    <t>3539</t>
  </si>
  <si>
    <t>Starting at Thu Aug 29 2024 21:18:02 GMT-0400 (EDT)</t>
  </si>
  <si>
    <t>1ChnZIDIuWRRN5wharVKQjKEWZoMTa85Y</t>
  </si>
  <si>
    <t>https://drive.google.com/file/d/1ChnZIDIuWRRN5wharVKQjKEWZoMTa85Y/view?usp=drivesdk</t>
  </si>
  <si>
    <t xml:space="preserve">YUNITA LISTIANA </t>
  </si>
  <si>
    <t>fira.4rini@gmail.com</t>
  </si>
  <si>
    <t>3540</t>
  </si>
  <si>
    <t>17yA6XmG9NkDrtJJqrQ3W--gjdjvbe0Cb</t>
  </si>
  <si>
    <t>https://drive.google.com/file/d/17yA6XmG9NkDrtJJqrQ3W--gjdjvbe0Cb/view?usp=drivesdk</t>
  </si>
  <si>
    <t>LUSIANTI</t>
  </si>
  <si>
    <t>Lusiyanti76@gmail.com</t>
  </si>
  <si>
    <t>3541</t>
  </si>
  <si>
    <t>1MsP_twmx6636EyKx8halilxKC2O9aN71</t>
  </si>
  <si>
    <t>https://drive.google.com/file/d/1MsP_twmx6636EyKx8halilxKC2O9aN71/view?usp=drivesdk</t>
  </si>
  <si>
    <t>YUNIDA WIDIATI</t>
  </si>
  <si>
    <t>yunindawidiati@gmail.com</t>
  </si>
  <si>
    <t>3542</t>
  </si>
  <si>
    <t>https://drive.google.com/file/d/17oyI5L9gIfX2O3ijUKvc5xDik6gZ2czh/view?usp=drivesdk</t>
  </si>
  <si>
    <t>17oyI5L9gIfX2O3ijUKvc5xDik6gZ2czh</t>
  </si>
  <si>
    <t>1Ej8UcWCgp-OV-u3zUG9eDwbt8ZlvLskr</t>
  </si>
  <si>
    <t>https://drive.google.com/file/d/1Ej8UcWCgp-OV-u3zUG9eDwbt8ZlvLskr/view?usp=drivesdk</t>
  </si>
  <si>
    <t>Document successfully created; Document successfully merged; PDF created; !!Error Sending Emails: Service invoked too many times for one day: email.; Manually run by ecertificate75@gmail.com; Timestamp: Sep 2 2024 4:31 AM</t>
  </si>
  <si>
    <t>Siumresklt1@gmail.com</t>
  </si>
  <si>
    <t>3543</t>
  </si>
  <si>
    <t>https://drive.google.com/file/d/1fI6FAJ-FdovTS1xteBxcC0cTwcm8dKIJ/view?usp=drivesdk</t>
  </si>
  <si>
    <t>1fI6FAJ-FdovTS1xteBxcC0cTwcm8dKIJ</t>
  </si>
  <si>
    <t>1DQH42feRszJJWXxEEBJoIbtFiiIOv1uG</t>
  </si>
  <si>
    <t>https://drive.google.com/file/d/1DQH42feRszJJWXxEEBJoIbtFiiIOv1uG/view?usp=drivesdk</t>
  </si>
  <si>
    <t>WAWAN RAHWAN,A.Md</t>
  </si>
  <si>
    <t>kalercms@gmail.com</t>
  </si>
  <si>
    <t>3544</t>
  </si>
  <si>
    <t>https://drive.google.com/file/d/1_XM_XneHxUbFbKQ3Rw2_wuDzlyapGzwP/view?usp=drivesdk</t>
  </si>
  <si>
    <t>1_XM_XneHxUbFbKQ3Rw2_wuDzlyapGzwP</t>
  </si>
  <si>
    <t>1IphfJiPXJdFgObzk9a7Cgr08JmkNcvCP</t>
  </si>
  <si>
    <t>https://drive.google.com/file/d/1IphfJiPXJdFgObzk9a7Cgr08JmkNcvCP/view?usp=drivesdk</t>
  </si>
  <si>
    <t>NENI DIANTI, S.E.</t>
  </si>
  <si>
    <t>nenidianti18@gmail.com</t>
  </si>
  <si>
    <t>3545</t>
  </si>
  <si>
    <t>https://drive.google.com/file/d/1K8-yMnkHH5QERM23hcL5BVxMzsWwu99j/view?usp=drivesdk</t>
  </si>
  <si>
    <t>1K8-yMnkHH5QERM23hcL5BVxMzsWwu99j</t>
  </si>
  <si>
    <t>19TQF6YwKRx2hXliJ_FV26F-DkgEE7G2t</t>
  </si>
  <si>
    <t>https://drive.google.com/file/d/19TQF6YwKRx2hXliJ_FV26F-DkgEE7G2t/view?usp=drivesdk</t>
  </si>
  <si>
    <t>SRI WAHYUNINGRUM SUHARTI, S.H.</t>
  </si>
  <si>
    <t>sriwahyuningrum76@gmail.com</t>
  </si>
  <si>
    <t>3546</t>
  </si>
  <si>
    <t>Starting at Thu Aug 29 2024 21:18:06 GMT-0400 (EDT)</t>
  </si>
  <si>
    <t>1wpgbLUszObm3DthsVMBaD2_E-0_6CWs1</t>
  </si>
  <si>
    <t>https://drive.google.com/file/d/1wpgbLUszObm3DthsVMBaD2_E-0_6CWs1/view?usp=drivesdk</t>
  </si>
  <si>
    <t>Document successfully created; Document successfully merged; PDF created; !!Error Sending Emails: Service invoked too many times for one day: email.; Manually run by ecertificate75@gmail.com; Timestamp: Sep 2 2024 4:32 AM</t>
  </si>
  <si>
    <t>INA MELYATI.SKM</t>
  </si>
  <si>
    <t>inamelyati82@gmail.com</t>
  </si>
  <si>
    <t>3547</t>
  </si>
  <si>
    <t>https://drive.google.com/file/d/1r1b2I43IFdjBe0jLN879pBFKhBJE35A1/view?usp=drivesdk</t>
  </si>
  <si>
    <t>1r1b2I43IFdjBe0jLN879pBFKhBJE35A1</t>
  </si>
  <si>
    <t>1gsDf1J-s2VRJ599O5_9O7Vjv6-DFT0Yn</t>
  </si>
  <si>
    <t>https://drive.google.com/file/d/1gsDf1J-s2VRJ599O5_9O7Vjv6-DFT0Yn/view?usp=drivesdk</t>
  </si>
  <si>
    <t>dr. RENI MASYITA</t>
  </si>
  <si>
    <t>rerereen211212@gmail.com</t>
  </si>
  <si>
    <t>3548</t>
  </si>
  <si>
    <t>https://drive.google.com/file/d/1SSM037jm1mESmGkBYykCWCpfqejhRJnm/view?usp=drivesdk</t>
  </si>
  <si>
    <t>1SSM037jm1mESmGkBYykCWCpfqejhRJnm</t>
  </si>
  <si>
    <t>1doaVVbTdCBnjhQmNRnDqXyHC8lfMhpQM</t>
  </si>
  <si>
    <t>https://drive.google.com/file/d/1doaVVbTdCBnjhQmNRnDqXyHC8lfMhpQM/view?usp=drivesdk</t>
  </si>
  <si>
    <t>SUBANDI</t>
  </si>
  <si>
    <t>subandiajja01@gmail.com</t>
  </si>
  <si>
    <t>3549</t>
  </si>
  <si>
    <t>Starting at Thu Aug 29 2024 21:18:08 GMT-0400 (EDT)</t>
  </si>
  <si>
    <t>1ovC24Se8s4sbwHh1rCezZfSCtUQ7Dbtp</t>
  </si>
  <si>
    <t>https://drive.google.com/file/d/1ovC24Se8s4sbwHh1rCezZfSCtUQ7Dbtp/view?usp=drivesdk</t>
  </si>
  <si>
    <t>RITA MUSDIANTY MUIS, A.Md</t>
  </si>
  <si>
    <t>dianbiru@gmail.com</t>
  </si>
  <si>
    <t>3550</t>
  </si>
  <si>
    <t>1rw3isTx7O5t11EOqtz0rawI7HZNya4Yo</t>
  </si>
  <si>
    <t>https://drive.google.com/file/d/1rw3isTx7O5t11EOqtz0rawI7HZNya4Yo/view?usp=drivesdk</t>
  </si>
  <si>
    <t>Document successfully created; Document successfully merged; PDF created; !!Error Sending Emails: Service invoked too many times for one day: email.; Manually run by ecertificate75@gmail.com; Timestamp: Sep 2 2024 4:33 AM</t>
  </si>
  <si>
    <t>DWI PRATIWI, A.Md.KG</t>
  </si>
  <si>
    <t>dwi.pratiwi211187@gmail.com</t>
  </si>
  <si>
    <t>3551</t>
  </si>
  <si>
    <t>1XDDXqBU2x2KegXMCjz4czWt79hR8nl8V</t>
  </si>
  <si>
    <t>https://drive.google.com/file/d/1XDDXqBU2x2KegXMCjz4czWt79hR8nl8V/view?usp=drivesdk</t>
  </si>
  <si>
    <t>dr. YUNI HASMITA</t>
  </si>
  <si>
    <t>yuniihasmitaa@gmail.com</t>
  </si>
  <si>
    <t>3552</t>
  </si>
  <si>
    <t>https://drive.google.com/file/d/1kJLnUMoYixv2KcU2Ah2hazxqiJ_B3YX4/view?usp=drivesdk</t>
  </si>
  <si>
    <t>1kJLnUMoYixv2KcU2Ah2hazxqiJ_B3YX4</t>
  </si>
  <si>
    <t>1xGG-hZTCgeXfqDbcjH40Gc3RiGksDkld</t>
  </si>
  <si>
    <t>https://drive.google.com/file/d/1xGG-hZTCgeXfqDbcjH40Gc3RiGksDkld/view?usp=drivesdk</t>
  </si>
  <si>
    <t>MISRAWATY</t>
  </si>
  <si>
    <t>misrawatiiwaik@gmail.com</t>
  </si>
  <si>
    <t>3553</t>
  </si>
  <si>
    <t>https://drive.google.com/file/d/1ikXSZGiQjLWVK_RU-tOJwUbfZ7OqrS-t/view?usp=drivesdk</t>
  </si>
  <si>
    <t>1ikXSZGiQjLWVK_RU-tOJwUbfZ7OqrS-t</t>
  </si>
  <si>
    <t>1ukYNjnNULbhG3Q9qqS7jv31SHH3X4i84</t>
  </si>
  <si>
    <t>https://drive.google.com/file/d/1ukYNjnNULbhG3Q9qqS7jv31SHH3X4i84/view?usp=drivesdk</t>
  </si>
  <si>
    <t>ASIH SURANI</t>
  </si>
  <si>
    <t>asihsurani08@gmail.com</t>
  </si>
  <si>
    <t>3554</t>
  </si>
  <si>
    <t>https://drive.google.com/file/d/1kt1XPKcUu1JtjL6iHxB2c3ctMiPQJbqy/view?usp=drivesdk</t>
  </si>
  <si>
    <t>1kt1XPKcUu1JtjL6iHxB2c3ctMiPQJbqy</t>
  </si>
  <si>
    <t>1XjtTRibu1J9dhcldizlUUJVfyma4bd5J</t>
  </si>
  <si>
    <t>https://drive.google.com/file/d/1XjtTRibu1J9dhcldizlUUJVfyma4bd5J/view?usp=drivesdk</t>
  </si>
  <si>
    <t>SYAFRIALMI,S.SOS</t>
  </si>
  <si>
    <t>syafrialmi@gmail.com</t>
  </si>
  <si>
    <t>3555</t>
  </si>
  <si>
    <t>Starting at Thu Aug 29 2024 21:18:15 GMT-0400 (EDT)</t>
  </si>
  <si>
    <t>142qThMpioz9iWR0UiV-NBDHXjB68gM57</t>
  </si>
  <si>
    <t>https://drive.google.com/file/d/142qThMpioz9iWR0UiV-NBDHXjB68gM57/view?usp=drivesdk</t>
  </si>
  <si>
    <t>Document successfully created; Document successfully merged; PDF created; !!Error Sending Emails: Service invoked too many times for one day: email.; Manually run by ecertificate75@gmail.com; Timestamp: Sep 2 2024 4:34 AM</t>
  </si>
  <si>
    <t>BINTANG RIDWAn</t>
  </si>
  <si>
    <t>ridwanbintang73@gmail.com</t>
  </si>
  <si>
    <t>3556</t>
  </si>
  <si>
    <t>1UDu6z91BzXWDRVxgIT4laCjaT9fpcGzs</t>
  </si>
  <si>
    <t>https://drive.google.com/file/d/1UDu6z91BzXWDRVxgIT4laCjaT9fpcGzs/view?usp=drivesdk</t>
  </si>
  <si>
    <t>DODI ANTONI</t>
  </si>
  <si>
    <t>dodiantoni15@gmail.com</t>
  </si>
  <si>
    <t>3557</t>
  </si>
  <si>
    <t>1D8pNeRa-ZxMvoQYL7-0YCW8faECNTLo5</t>
  </si>
  <si>
    <t>https://drive.google.com/file/d/1D8pNeRa-ZxMvoQYL7-0YCW8faECNTLo5/view?usp=drivesdk</t>
  </si>
  <si>
    <t>DEDY HERMAWAN S. Kom.</t>
  </si>
  <si>
    <t>hdedy53@gmail.com</t>
  </si>
  <si>
    <t>3558</t>
  </si>
  <si>
    <t>1t3siBIcFJmd8zonqJ1OxLWUogstcpIFZ</t>
  </si>
  <si>
    <t>https://drive.google.com/file/d/1t3siBIcFJmd8zonqJ1OxLWUogstcpIFZ/view?usp=drivesdk</t>
  </si>
  <si>
    <t>hARTIPAH</t>
  </si>
  <si>
    <t>hartipah12@gmail.com</t>
  </si>
  <si>
    <t>3559</t>
  </si>
  <si>
    <t>https://drive.google.com/file/d/1VHSOxXVz-Y6hE2EGyh0f68h1Q5R6tSKW/view?usp=drivesdk</t>
  </si>
  <si>
    <t>1VHSOxXVz-Y6hE2EGyh0f68h1Q5R6tSKW</t>
  </si>
  <si>
    <t>13H5jqQ_nC-JLSeFeLX3oqnla4y1yPoAU</t>
  </si>
  <si>
    <t>https://drive.google.com/file/d/13H5jqQ_nC-JLSeFeLX3oqnla4y1yPoAU/view?usp=drivesdk</t>
  </si>
  <si>
    <t>Document successfully created; Document successfully merged; PDF created; !!Error Sending Emails: Service invoked too many times for one day: email.; Manually run by ecertificate75@gmail.com; Timestamp: Sep 2 2024 4:35 AM</t>
  </si>
  <si>
    <t>Rumiris Delima Imelda Panjaitan,S.Kep.Ns</t>
  </si>
  <si>
    <t>rumirispanjaitan53651@gmail.com</t>
  </si>
  <si>
    <t>3560</t>
  </si>
  <si>
    <t>Starting at Thu Aug 29 2024 21:18:17 GMT-0400 (EDT)</t>
  </si>
  <si>
    <t>1gTsHr1C0Vteg-D7342C1kzZJ_aFtqosL</t>
  </si>
  <si>
    <t>https://drive.google.com/file/d/1gTsHr1C0Vteg-D7342C1kzZJ_aFtqosL/view?usp=drivesdk</t>
  </si>
  <si>
    <t>ROCHMAN WIDODO</t>
  </si>
  <si>
    <t>masperoklasik@gmail.com</t>
  </si>
  <si>
    <t>3561</t>
  </si>
  <si>
    <t>1eQy4tTe3WjydxkCsLK7eKvrJt_NZ2I9S</t>
  </si>
  <si>
    <t>https://drive.google.com/file/d/1eQy4tTe3WjydxkCsLK7eKvrJt_NZ2I9S/view?usp=drivesdk</t>
  </si>
  <si>
    <t>ACENG SUNANDAR, S.Pd</t>
  </si>
  <si>
    <t>acengsunandar4@gmail.com</t>
  </si>
  <si>
    <t>3562</t>
  </si>
  <si>
    <t>1Padhfx9BJARgikp4yC3zRqPcKrzrpZeV</t>
  </si>
  <si>
    <t>https://drive.google.com/file/d/1Padhfx9BJARgikp4yC3zRqPcKrzrpZeV/view?usp=drivesdk</t>
  </si>
  <si>
    <t>NOFRIADI, S.E</t>
  </si>
  <si>
    <t>novsky77@gmail.com</t>
  </si>
  <si>
    <t>3563</t>
  </si>
  <si>
    <t>1bBo6eECyCaMAR_QwNe59DuEReF6AeqrZ</t>
  </si>
  <si>
    <t>https://drive.google.com/file/d/1bBo6eECyCaMAR_QwNe59DuEReF6AeqrZ/view?usp=drivesdk</t>
  </si>
  <si>
    <t>SHINTA DESSIYANI, A.Md.Kep</t>
  </si>
  <si>
    <t>dessiyanishinta94@gmail.com</t>
  </si>
  <si>
    <t>3564</t>
  </si>
  <si>
    <t>Starting at Thu Aug 29 2024 21:18:26 GMT-0400 (EDT)</t>
  </si>
  <si>
    <t>1Tm6TCooEA3UR37rasoVVH95oJKYJxgNK</t>
  </si>
  <si>
    <t>https://drive.google.com/file/d/1Tm6TCooEA3UR37rasoVVH95oJKYJxgNK/view?usp=drivesdk</t>
  </si>
  <si>
    <t>Document successfully created; Document successfully merged; PDF created; !!Error Sending Emails: Service invoked too many times for one day: email.; Manually run by ecertificate75@gmail.com; Timestamp: Sep 2 2024 4:36 AM</t>
  </si>
  <si>
    <t>ANDI SUPANDI</t>
  </si>
  <si>
    <t>andisupandi@gmail.com</t>
  </si>
  <si>
    <t>3565</t>
  </si>
  <si>
    <t>1RYijvNRReHo1YxyH5WujctMuvqx9EAyj</t>
  </si>
  <si>
    <t>https://drive.google.com/file/d/1RYijvNRReHo1YxyH5WujctMuvqx9EAyj/view?usp=drivesdk</t>
  </si>
  <si>
    <t>SUMARNI, S.Sos</t>
  </si>
  <si>
    <t>jambi.intanberlian@gmail.com</t>
  </si>
  <si>
    <t>3566</t>
  </si>
  <si>
    <t>1Ts5xEhbiuJJ4ojojMQ98g4ppkFlaxLnS</t>
  </si>
  <si>
    <t>https://drive.google.com/file/d/1Ts5xEhbiuJJ4ojojMQ98g4ppkFlaxLnS/view?usp=drivesdk</t>
  </si>
  <si>
    <t>MUTIYA FITRIANI</t>
  </si>
  <si>
    <t>mutiafitriani83@gmail.com</t>
  </si>
  <si>
    <t>3567</t>
  </si>
  <si>
    <t>1cHk4bUlBesfWLj5Co9V8cTo4bveiYy2d</t>
  </si>
  <si>
    <t>https://drive.google.com/file/d/1cHk4bUlBesfWLj5Co9V8cTo4bveiYy2d/view?usp=drivesdk</t>
  </si>
  <si>
    <t>Document successfully created; Document successfully merged; PDF created; !!Error Sending Emails: Service invoked too many times for one day: email.; Manually run by ecertificate75@gmail.com; Timestamp: Sep 2 2024 4:37 AM</t>
  </si>
  <si>
    <t>RIANA MARTINELLY,AMd</t>
  </si>
  <si>
    <t>martinellyriana1976@gmail.com</t>
  </si>
  <si>
    <t>3568</t>
  </si>
  <si>
    <t>1QQF9UwFO-sM9wp73iWttTklori7ZhyW5</t>
  </si>
  <si>
    <t>https://drive.google.com/file/d/1QQF9UwFO-sM9wp73iWttTklori7ZhyW5/view?usp=drivesdk</t>
  </si>
  <si>
    <t>drg. TIKA HESTIANA</t>
  </si>
  <si>
    <t>tikahestiana@gmail.com</t>
  </si>
  <si>
    <t>3569</t>
  </si>
  <si>
    <t>10vY877SUMH8x0-0nBNJad_W50WXIKJ1H</t>
  </si>
  <si>
    <t>https://drive.google.com/file/d/10vY877SUMH8x0-0nBNJad_W50WXIKJ1H/view?usp=drivesdk</t>
  </si>
  <si>
    <t>SAPRUDIN, SPD</t>
  </si>
  <si>
    <t>Ssaprudin639@gmail.com</t>
  </si>
  <si>
    <t>3570</t>
  </si>
  <si>
    <t>1wKGC2Zm5TxJB1wtM7ns1O25nhmAatRhX</t>
  </si>
  <si>
    <t>https://drive.google.com/file/d/1wKGC2Zm5TxJB1wtM7ns1O25nhmAatRhX/view?usp=drivesdk</t>
  </si>
  <si>
    <t>ASPIYANI</t>
  </si>
  <si>
    <t>bunda.aspiyani123@gmail.com</t>
  </si>
  <si>
    <t>3571</t>
  </si>
  <si>
    <t>1c_7vD_Wg8vzPPmngpWSdKm-R6rAem_TE</t>
  </si>
  <si>
    <t>https://drive.google.com/file/d/1c_7vD_Wg8vzPPmngpWSdKm-R6rAem_TE/view?usp=drivesdk</t>
  </si>
  <si>
    <t>Document successfully created; Document successfully merged; PDF created; !!Error Sending Emails: Service invoked too many times for one day: email.; Manually run by ecertificate75@gmail.com; Timestamp: Sep 2 2024 4:38 AM</t>
  </si>
  <si>
    <t xml:space="preserve">YENNY MARLINA </t>
  </si>
  <si>
    <t>yennymarlina74@gmail.com</t>
  </si>
  <si>
    <t>3572</t>
  </si>
  <si>
    <t>1EPJRLaR92fateAaB2j3ag6yWMKeeBR3C</t>
  </si>
  <si>
    <t>https://drive.google.com/file/d/1EPJRLaR92fateAaB2j3ag6yWMKeeBR3C/view?usp=drivesdk</t>
  </si>
  <si>
    <t>MARLIANI</t>
  </si>
  <si>
    <t>marliani1972@gmail.com</t>
  </si>
  <si>
    <t>3573</t>
  </si>
  <si>
    <t>1srRD9klUSXLTbN5jxzJgBo4oV9VPGMvm</t>
  </si>
  <si>
    <t>https://drive.google.com/file/d/1srRD9klUSXLTbN5jxzJgBo4oV9VPGMvm/view?usp=drivesdk</t>
  </si>
  <si>
    <t>LISMAI SAROH</t>
  </si>
  <si>
    <t>lismaysaro93@gmail.com</t>
  </si>
  <si>
    <t>3574</t>
  </si>
  <si>
    <t>1lgZxToyb2BcecH2vhav8NYuPMnCFfVKj</t>
  </si>
  <si>
    <t>https://drive.google.com/file/d/1lgZxToyb2BcecH2vhav8NYuPMnCFfVKj/view?usp=drivesdk</t>
  </si>
  <si>
    <t>Roza Linda, Amd. keb</t>
  </si>
  <si>
    <t>rozalinda1402@gmail.com</t>
  </si>
  <si>
    <t>3575</t>
  </si>
  <si>
    <t>1D5SzaZT6qhU3O9w5PFnHo4jfiD2a8WrD</t>
  </si>
  <si>
    <t>https://drive.google.com/file/d/1D5SzaZT6qhU3O9w5PFnHo4jfiD2a8WrD/view?usp=drivesdk</t>
  </si>
  <si>
    <t>DWIANTO DJOKO PRAJITNO, S.Sos.</t>
  </si>
  <si>
    <t>dwiantodjoko@gmail.com</t>
  </si>
  <si>
    <t>3576</t>
  </si>
  <si>
    <t>1kDvhBdxpvu_oFCiXiXIpE4HczdubSN2g</t>
  </si>
  <si>
    <t>https://drive.google.com/file/d/1kDvhBdxpvu_oFCiXiXIpE4HczdubSN2g/view?usp=drivesdk</t>
  </si>
  <si>
    <t>Document successfully created; Document successfully merged; PDF created; !!Error Sending Emails: Service invoked too many times for one day: email.; Manually run by ecertificate75@gmail.com; Timestamp: Sep 2 2024 4:39 AM</t>
  </si>
  <si>
    <t>MARDALENA</t>
  </si>
  <si>
    <t>mardalenapns@gmail.com</t>
  </si>
  <si>
    <t>3577</t>
  </si>
  <si>
    <t>15Fwv95UgcacIs3SRRY-XOSe50ngGJhaD</t>
  </si>
  <si>
    <t>https://drive.google.com/file/d/15Fwv95UgcacIs3SRRY-XOSe50ngGJhaD/view?usp=drivesdk</t>
  </si>
  <si>
    <t>BETI MARYATI,S.Sos.,M.M.</t>
  </si>
  <si>
    <t>Betimaeyati80935@gmail.com</t>
  </si>
  <si>
    <t>3578</t>
  </si>
  <si>
    <t>1-WEMjwvXNQ9cjCYzuAj8HUAgpXAA8Ht7</t>
  </si>
  <si>
    <t>https://drive.google.com/file/d/1-WEMjwvXNQ9cjCYzuAj8HUAgpXAA8Ht7/view?usp=drivesdk</t>
  </si>
  <si>
    <t xml:space="preserve">SLAMET NURYUDAYANTO </t>
  </si>
  <si>
    <t>slamet.nuryudayanto@gmail.com</t>
  </si>
  <si>
    <t>3579</t>
  </si>
  <si>
    <t>1c2kyTuhR8adhRfeP2M9_Y6IlVVD3tDW3</t>
  </si>
  <si>
    <t>https://drive.google.com/file/d/1c2kyTuhR8adhRfeP2M9_Y6IlVVD3tDW3/view?usp=drivesdk</t>
  </si>
  <si>
    <t>SURYANI</t>
  </si>
  <si>
    <t>ade.yani777@gmail.com</t>
  </si>
  <si>
    <t>3580</t>
  </si>
  <si>
    <t>1Mb6nJnRMGCeRGaU8_FYfkXeTqPXFGPTu</t>
  </si>
  <si>
    <t>https://drive.google.com/file/d/1Mb6nJnRMGCeRGaU8_FYfkXeTqPXFGPTu/view?usp=drivesdk</t>
  </si>
  <si>
    <t>Document successfully created; Document successfully merged; PDF created; !!Error Sending Emails: Service invoked too many times for one day: email.; Manually run by ecertificate75@gmail.com; Timestamp: Sep 2 2024 4:40 AM</t>
  </si>
  <si>
    <t xml:space="preserve">RUKBAN NAWAWI </t>
  </si>
  <si>
    <t>rukbannawawi1981@gmail.com</t>
  </si>
  <si>
    <t>3581</t>
  </si>
  <si>
    <t>1GOob1nBEaqe9kXzvvITtBNMpPcSeL7Go</t>
  </si>
  <si>
    <t>https://drive.google.com/file/d/1GOob1nBEaqe9kXzvvITtBNMpPcSeL7Go/view?usp=drivesdk</t>
  </si>
  <si>
    <t xml:space="preserve">NENIK HERAWATI </t>
  </si>
  <si>
    <t>nherawati32@gmail.com</t>
  </si>
  <si>
    <t>3582</t>
  </si>
  <si>
    <t>Starting at Thu Aug 29 2024 21:18:27 GMT-0400 (EDT)</t>
  </si>
  <si>
    <t>18MR-1wzvlW_GvAtKTocaUR6FN4ukIB_j</t>
  </si>
  <si>
    <t>https://drive.google.com/file/d/18MR-1wzvlW_GvAtKTocaUR6FN4ukIB_j/view?usp=drivesdk</t>
  </si>
  <si>
    <t xml:space="preserve">SUPRAPTI </t>
  </si>
  <si>
    <t>praptiayla1@gmail.com</t>
  </si>
  <si>
    <t>3583</t>
  </si>
  <si>
    <t>1AtnznEwjbQCzPMZcmuDobffWBEBWldkL</t>
  </si>
  <si>
    <t>https://drive.google.com/file/d/1AtnznEwjbQCzPMZcmuDobffWBEBWldkL/view?usp=drivesdk</t>
  </si>
  <si>
    <t>NI PUTU SUANARI</t>
  </si>
  <si>
    <t>suanariputu68@gmail.com</t>
  </si>
  <si>
    <t>3584</t>
  </si>
  <si>
    <t>15LblWCRp5cw3Wwf22EArgC0j4b2oIDhP</t>
  </si>
  <si>
    <t>https://drive.google.com/file/d/15LblWCRp5cw3Wwf22EArgC0j4b2oIDhP/view?usp=drivesdk</t>
  </si>
  <si>
    <t>Document successfully created; Document successfully merged; PDF created; !!Error Sending Emails: Service invoked too many times for one day: email.; Manually run by ecertificate75@gmail.com; Timestamp: Sep 2 2024 4:41 AM</t>
  </si>
  <si>
    <t>TARYONO, S.H.</t>
  </si>
  <si>
    <t>taryonoganteng8@gmail.com</t>
  </si>
  <si>
    <t>3585</t>
  </si>
  <si>
    <t>Starting at Thu Aug 29 2024 21:18:29 GMT-0400 (EDT)</t>
  </si>
  <si>
    <t>1cKrvAACUfZ9YZGfOFESR-Wup7Bvu9eSO</t>
  </si>
  <si>
    <t>https://drive.google.com/file/d/1cKrvAACUfZ9YZGfOFESR-Wup7Bvu9eSO/view?usp=drivesdk</t>
  </si>
  <si>
    <t xml:space="preserve">DWI RATNA WAHYUNINGSIH </t>
  </si>
  <si>
    <t>ratnadwi1967@gmail.com</t>
  </si>
  <si>
    <t>3586</t>
  </si>
  <si>
    <t>Starting at Thu Aug 29 2024 21:18:31 GMT-0400 (EDT)</t>
  </si>
  <si>
    <t>1GDFlOwi-0ONt3K4TKZhUtjOv5SiWw-qs</t>
  </si>
  <si>
    <t>https://drive.google.com/file/d/1GDFlOwi-0ONt3K4TKZhUtjOv5SiWw-qs/view?usp=drivesdk</t>
  </si>
  <si>
    <t>dr. IKA JULIANTI</t>
  </si>
  <si>
    <t>ika.julianti7@gmail.com</t>
  </si>
  <si>
    <t>3587</t>
  </si>
  <si>
    <t>1_k5CmmGZi3NkRyQ1yRdn_OVSoUI13hpX</t>
  </si>
  <si>
    <t>https://drive.google.com/file/d/1_k5CmmGZi3NkRyQ1yRdn_OVSoUI13hpX/view?usp=drivesdk</t>
  </si>
  <si>
    <t>SRI WIYATI</t>
  </si>
  <si>
    <t>sriwiyati019@gmail.com</t>
  </si>
  <si>
    <t>3588</t>
  </si>
  <si>
    <t>1ZR4TQO-GcDpCEVOClX9oAY0Hcz3ttUgH</t>
  </si>
  <si>
    <t>https://drive.google.com/file/d/1ZR4TQO-GcDpCEVOClX9oAY0Hcz3ttUgH/view?usp=drivesdk</t>
  </si>
  <si>
    <t>IKA WULANDARI</t>
  </si>
  <si>
    <t>ikawulandari@gamail.com</t>
  </si>
  <si>
    <t>3589</t>
  </si>
  <si>
    <t>Starting at Thu Aug 29 2024 21:18:35 GMT-0400 (EDT)</t>
  </si>
  <si>
    <t>1FdC9X8mWmmZCJoxO0ilPqX6rQvdVVB99</t>
  </si>
  <si>
    <t>https://drive.google.com/file/d/1FdC9X8mWmmZCJoxO0ilPqX6rQvdVVB99/view?usp=drivesdk</t>
  </si>
  <si>
    <t>Document successfully created; Document successfully merged; PDF created; !!Error Sending Emails: Service invoked too many times for one day: email.; Manually run by ecertificate75@gmail.com; Timestamp: Sep 2 2024 4:42 AM</t>
  </si>
  <si>
    <t>SANDI, S.M</t>
  </si>
  <si>
    <t>spriwakapoldalampung@gmail.com</t>
  </si>
  <si>
    <t>3590</t>
  </si>
  <si>
    <t>1bgEofe6CaR_bhfYtFa-_H28neRz9euDW</t>
  </si>
  <si>
    <t>https://drive.google.com/file/d/1bgEofe6CaR_bhfYtFa-_H28neRz9euDW/view?usp=drivesdk</t>
  </si>
  <si>
    <t>MUHAMMAD HARI</t>
  </si>
  <si>
    <t>tama69532@gmail.com</t>
  </si>
  <si>
    <t>3591</t>
  </si>
  <si>
    <t>14TaOPg-0aTI1ChRPBBABoLDerf7efX0_</t>
  </si>
  <si>
    <t>https://drive.google.com/file/d/14TaOPg-0aTI1ChRPBBABoLDerf7efX0_/view?usp=drivesdk</t>
  </si>
  <si>
    <t xml:space="preserve">ELLIYA EFFENDI SP MM </t>
  </si>
  <si>
    <t>eliyaandi@gmail.com</t>
  </si>
  <si>
    <t>3592</t>
  </si>
  <si>
    <t>16CP9BoY6-9loXSqbEJfo3eLNfZo6VsJz</t>
  </si>
  <si>
    <t>https://drive.google.com/file/d/16CP9BoY6-9loXSqbEJfo3eLNfZo6VsJz/view?usp=drivesdk</t>
  </si>
  <si>
    <t>SIGIT PRAMONO</t>
  </si>
  <si>
    <t>sigitpram83@gmail.com</t>
  </si>
  <si>
    <t>3593</t>
  </si>
  <si>
    <t>1sw4M1fvIt2LcvugFTn4iBDaAdNsQYJ7q</t>
  </si>
  <si>
    <t>https://drive.google.com/file/d/1sw4M1fvIt2LcvugFTn4iBDaAdNsQYJ7q/view?usp=drivesdk</t>
  </si>
  <si>
    <t>Document successfully created; Document successfully merged; PDF created; !!Error Sending Emails: Service invoked too many times for one day: email.; Manually run by ecertificate75@gmail.com; Timestamp: Sep 2 2024 4:43 AM</t>
  </si>
  <si>
    <t>VALORENA RENATE TENTUA, S.E.</t>
  </si>
  <si>
    <t>faloren.rena@gmail.com</t>
  </si>
  <si>
    <t>3594</t>
  </si>
  <si>
    <t>1gpnff5xSa59brEdITXKSfeS3Fe4e4R2g</t>
  </si>
  <si>
    <t>https://drive.google.com/file/d/1gpnff5xSa59brEdITXKSfeS3Fe4e4R2g/view?usp=drivesdk</t>
  </si>
  <si>
    <t>NIA MEITYA WATI, S.Pd</t>
  </si>
  <si>
    <t>meitya.heriyono83@gmail.com</t>
  </si>
  <si>
    <t>3595</t>
  </si>
  <si>
    <t>Starting at Thu Aug 29 2024 21:18:39 GMT-0400 (EDT)</t>
  </si>
  <si>
    <t>1RB3UAOFY3NM_JobeCJNNQ1r3lZl-OvQ4</t>
  </si>
  <si>
    <t>https://drive.google.com/file/d/1RB3UAOFY3NM_JobeCJNNQ1r3lZl-OvQ4/view?usp=drivesdk</t>
  </si>
  <si>
    <t>SRI YANTI WULANDARI</t>
  </si>
  <si>
    <t>sy.wulandari74@gmail.com</t>
  </si>
  <si>
    <t>3596</t>
  </si>
  <si>
    <t>1NxxVTlPmajLzNbzjd1er1ak-PovRQOki</t>
  </si>
  <si>
    <t>https://drive.google.com/file/d/1NxxVTlPmajLzNbzjd1er1ak-PovRQOki/view?usp=drivesdk</t>
  </si>
  <si>
    <t>FATKUR RAHMAN</t>
  </si>
  <si>
    <t>aj385115@gmail.com</t>
  </si>
  <si>
    <t>3597</t>
  </si>
  <si>
    <t>1HIaPCa8new857_Sx9zZUydL_DyClHNm0</t>
  </si>
  <si>
    <t>https://drive.google.com/file/d/1HIaPCa8new857_Sx9zZUydL_DyClHNm0/view?usp=drivesdk</t>
  </si>
  <si>
    <t>Document successfully created; Document successfully merged; PDF created; !!Error Sending Emails: Service invoked too many times for one day: email.; Manually run by ecertificate75@gmail.com; Timestamp: Sep 2 2024 4:44 AM</t>
  </si>
  <si>
    <t>SUMARLIK</t>
  </si>
  <si>
    <t>sumarliklilik02@gmail.com</t>
  </si>
  <si>
    <t>3598</t>
  </si>
  <si>
    <t>https://drive.google.com/file/d/1BuMHPdLIX-cEYMGvyKOY-l64ikPG56rq/view?usp=drivesdk</t>
  </si>
  <si>
    <t>1BuMHPdLIX-cEYMGvyKOY-l64ikPG56rq</t>
  </si>
  <si>
    <t>1gEzr8RHJxiI0agRxk_ZJq-1Wai9KjTb8</t>
  </si>
  <si>
    <t>https://drive.google.com/file/d/1gEzr8RHJxiI0agRxk_ZJq-1Wai9KjTb8/view?usp=drivesdk</t>
  </si>
  <si>
    <t>DEWI SUSILOWATI</t>
  </si>
  <si>
    <t>susilowatidewi1502@gmail.com</t>
  </si>
  <si>
    <t>3599</t>
  </si>
  <si>
    <t>https://drive.google.com/file/d/1qlZ77zLfYV08d5ATgoETBQtKV-czrFeE/view?usp=drivesdk</t>
  </si>
  <si>
    <t>1qlZ77zLfYV08d5ATgoETBQtKV-czrFeE</t>
  </si>
  <si>
    <t>1TWXXk524ZgBIiXegMITV2d5xXu1sVCEN</t>
  </si>
  <si>
    <t>https://drive.google.com/file/d/1TWXXk524ZgBIiXegMITV2d5xXu1sVCEN/view?usp=drivesdk</t>
  </si>
  <si>
    <t>ANDRI DIANASARI, S.Kep.Ners</t>
  </si>
  <si>
    <t>dianasariandri@gmail.com</t>
  </si>
  <si>
    <t>3600</t>
  </si>
  <si>
    <t>https://drive.google.com/file/d/1SEbQC66mTHK45A7FWju3UPaj7sWyUIxF/view?usp=drivesdk</t>
  </si>
  <si>
    <t>1SEbQC66mTHK45A7FWju3UPaj7sWyUIxF</t>
  </si>
  <si>
    <t>1IvKGTlNqiN9phitoyKGP60ESuRi0FN7o</t>
  </si>
  <si>
    <t>https://drive.google.com/file/d/1IvKGTlNqiN9phitoyKGP60ESuRi0FN7o/view?usp=drivesdk</t>
  </si>
  <si>
    <t>SOFYAN HARIS</t>
  </si>
  <si>
    <t>sofyanhrskrs@gmail.com</t>
  </si>
  <si>
    <t>3601</t>
  </si>
  <si>
    <t>https://drive.google.com/file/d/1DAlmLMWGqjtfuO8oRi-6SGev1t7EX6Do/view?usp=drivesdk</t>
  </si>
  <si>
    <t>1DAlmLMWGqjtfuO8oRi-6SGev1t7EX6Do</t>
  </si>
  <si>
    <t>19ErZbU05Ypb1qcaxwN7MBa2miegjFJZM</t>
  </si>
  <si>
    <t>https://drive.google.com/file/d/19ErZbU05Ypb1qcaxwN7MBa2miegjFJZM/view?usp=drivesdk</t>
  </si>
  <si>
    <t>Document successfully created; Document successfully merged; PDF created; !!Error Sending Emails: Service invoked too many times for one day: email.; Manually run by ecertificate75@gmail.com; Timestamp: Sep 2 2024 4:45 AM</t>
  </si>
  <si>
    <t>WORONINGROEM FATMASARI, S.Psi</t>
  </si>
  <si>
    <t>woroningroemfatmasari@gmail.com</t>
  </si>
  <si>
    <t>3602</t>
  </si>
  <si>
    <t>https://drive.google.com/file/d/1VNIrvR5lOVhIT4EjgJFOalhN61DGnGlF/view?usp=drivesdk</t>
  </si>
  <si>
    <t>1VNIrvR5lOVhIT4EjgJFOalhN61DGnGlF</t>
  </si>
  <si>
    <t>1KpqNmpWwZM4A_UmxwJm235zgamR6YCIu</t>
  </si>
  <si>
    <t>https://drive.google.com/file/d/1KpqNmpWwZM4A_UmxwJm235zgamR6YCIu/view?usp=drivesdk</t>
  </si>
  <si>
    <t>SUGIONO</t>
  </si>
  <si>
    <t>oegifay@gmail.com</t>
  </si>
  <si>
    <t>3603</t>
  </si>
  <si>
    <t>Starting at Thu Aug 29 2024 21:18:45 GMT-0400 (EDT)</t>
  </si>
  <si>
    <t>1lhsIBIiw3i357j0Wn2KRVfZPPzV6ApRX</t>
  </si>
  <si>
    <t>https://drive.google.com/file/d/1lhsIBIiw3i357j0Wn2KRVfZPPzV6ApRX/view?usp=drivesdk</t>
  </si>
  <si>
    <t>SUDARYANTO</t>
  </si>
  <si>
    <t>polres.sudaryanto@gmail.com</t>
  </si>
  <si>
    <t>3604</t>
  </si>
  <si>
    <t>1gkrAejSJToO4zrRthnMOelOFk-InIyZq</t>
  </si>
  <si>
    <t>https://drive.google.com/file/d/1gkrAejSJToO4zrRthnMOelOFk-InIyZq/view?usp=drivesdk</t>
  </si>
  <si>
    <t>putra.mdiun@gmail.com</t>
  </si>
  <si>
    <t>3605</t>
  </si>
  <si>
    <t>1MViE08o-oyMG9tS40KZwWUXNGYV0KCaR</t>
  </si>
  <si>
    <t>https://drive.google.com/file/d/1MViE08o-oyMG9tS40KZwWUXNGYV0KCaR/view?usp=drivesdk</t>
  </si>
  <si>
    <t xml:space="preserve">HASAN JUNAIDI </t>
  </si>
  <si>
    <t>hasanjunaidi694@gmail.com</t>
  </si>
  <si>
    <t>3606</t>
  </si>
  <si>
    <t>1hOnzkBpwoBGohIFWAcueBRxTq4jdp6k3</t>
  </si>
  <si>
    <t>https://drive.google.com/file/d/1hOnzkBpwoBGohIFWAcueBRxTq4jdp6k3/view?usp=drivesdk</t>
  </si>
  <si>
    <t>Document successfully created; Document successfully merged; PDF created; !!Error Sending Emails: Service invoked too many times for one day: email.; Manually run by ecertificate75@gmail.com; Timestamp: Sep 2 2024 4:46 AM</t>
  </si>
  <si>
    <t xml:space="preserve">MAHMUDAH </t>
  </si>
  <si>
    <t>mahmudahbpn79@gmail.com</t>
  </si>
  <si>
    <t>3607</t>
  </si>
  <si>
    <t>https://drive.google.com/file/d/1dtILI4zsMjhJ9XClfQGMBHNGJI2a8bmY/view?usp=drivesdk</t>
  </si>
  <si>
    <t>1dtILI4zsMjhJ9XClfQGMBHNGJI2a8bmY</t>
  </si>
  <si>
    <t>1PyZQ7jg70j14EXCV3uSQ0dkncCLmxtUc</t>
  </si>
  <si>
    <t>https://drive.google.com/file/d/1PyZQ7jg70j14EXCV3uSQ0dkncCLmxtUc/view?usp=drivesdk</t>
  </si>
  <si>
    <t>dr. Donald Rinaldi Kusumaningrat, Sp.FM, MHKes</t>
  </si>
  <si>
    <t>naff2809@gmail.com</t>
  </si>
  <si>
    <t>3608</t>
  </si>
  <si>
    <t>https://drive.google.com/file/d/1BReSeNtiC7UM3yK58Tf4wKECzLZCJbzP/view?usp=drivesdk</t>
  </si>
  <si>
    <t>1BReSeNtiC7UM3yK58Tf4wKECzLZCJbzP</t>
  </si>
  <si>
    <t>1tq8_4bZZ-evfo_eKVgLt4CcDuozllhGB</t>
  </si>
  <si>
    <t>https://drive.google.com/file/d/1tq8_4bZZ-evfo_eKVgLt4CcDuozllhGB/view?usp=drivesdk</t>
  </si>
  <si>
    <t>SUGIJANTO</t>
  </si>
  <si>
    <t>sugijanto799@gmail.com</t>
  </si>
  <si>
    <t>3609</t>
  </si>
  <si>
    <t>https://drive.google.com/file/d/1fSZxZ0MNvsKJunKUC36Leyt8ZrCSyNs6/view?usp=drivesdk</t>
  </si>
  <si>
    <t>1fSZxZ0MNvsKJunKUC36Leyt8ZrCSyNs6</t>
  </si>
  <si>
    <t>1bdPnByJrTNgXvdneREX8M2G0s62_jqy_</t>
  </si>
  <si>
    <t>https://drive.google.com/file/d/1bdPnByJrTNgXvdneREX8M2G0s62_jqy_/view?usp=drivesdk</t>
  </si>
  <si>
    <t xml:space="preserve">Drg. Mira Andriani Anas, Sp Pros </t>
  </si>
  <si>
    <t>mirasapardiman@yahoo.com</t>
  </si>
  <si>
    <t>3610</t>
  </si>
  <si>
    <t>Starting at Thu Aug 29 2024 21:18:52 GMT-0400 (EDT)</t>
  </si>
  <si>
    <t>1UpHY5lTeg5xlz0Db8czAat-_sfLTN05T</t>
  </si>
  <si>
    <t>https://drive.google.com/file/d/1UpHY5lTeg5xlz0Db8czAat-_sfLTN05T/view?usp=drivesdk</t>
  </si>
  <si>
    <t>Document successfully created; Document successfully merged; PDF created; !!Error Sending Emails: Service invoked too many times for one day: email.; Manually run by ecertificate75@gmail.com; Timestamp: Sep 2 2024 4:47 AM</t>
  </si>
  <si>
    <t>RIASARI SUPRIHATI, A.Md.</t>
  </si>
  <si>
    <t>riasarisuprihati21@gmail.com</t>
  </si>
  <si>
    <t>3611</t>
  </si>
  <si>
    <t>1yN1PzwhJ9WlwYPCGnikzHWO7IqxCXIQ1</t>
  </si>
  <si>
    <t>https://drive.google.com/file/d/1yN1PzwhJ9WlwYPCGnikzHWO7IqxCXIQ1/view?usp=drivesdk</t>
  </si>
  <si>
    <t>WAHIDAH BAHAR</t>
  </si>
  <si>
    <t>wahidahbahar836@gmail.com</t>
  </si>
  <si>
    <t>3612</t>
  </si>
  <si>
    <t>https://drive.google.com/file/d/1KT4BK2REMtlzUedD5VwySKS2mUw0wOvy/view?usp=drivesdk</t>
  </si>
  <si>
    <t>1KT4BK2REMtlzUedD5VwySKS2mUw0wOvy</t>
  </si>
  <si>
    <t>1t_ot2IVGD_Dmkhn6W1tzsQpI5lLH9uvG</t>
  </si>
  <si>
    <t>https://drive.google.com/file/d/1t_ot2IVGD_Dmkhn6W1tzsQpI5lLH9uvG/view?usp=drivesdk</t>
  </si>
  <si>
    <t>SAFA'ATUL MUJAHIDILAH</t>
  </si>
  <si>
    <t>safabasfa@gmail.com</t>
  </si>
  <si>
    <t>3613</t>
  </si>
  <si>
    <t>https://drive.google.com/file/d/1fBU9rFR0G18gi0d5WPST36umrSQEy2Pp/view?usp=drivesdk</t>
  </si>
  <si>
    <t>1fBU9rFR0G18gi0d5WPST36umrSQEy2Pp</t>
  </si>
  <si>
    <t>1NR_-irk3tTLbDi5vcDPqGl2xPnVWzhWq</t>
  </si>
  <si>
    <t>https://drive.google.com/file/d/1NR_-irk3tTLbDi5vcDPqGl2xPnVWzhWq/view?usp=drivesdk</t>
  </si>
  <si>
    <t>SUHARWANTO</t>
  </si>
  <si>
    <t>harwanto1007@gmail.com</t>
  </si>
  <si>
    <t>3614</t>
  </si>
  <si>
    <t>Starting at Thu Aug 29 2024 21:18:53 GMT-0400 (EDT)</t>
  </si>
  <si>
    <t>1jhlF_RQy0K1Z2gDmGyL-8Pk9GVstAce-</t>
  </si>
  <si>
    <t>https://drive.google.com/file/d/1jhlF_RQy0K1Z2gDmGyL-8Pk9GVstAce-/view?usp=drivesdk</t>
  </si>
  <si>
    <t>Document successfully created; Document successfully merged; PDF created; !!Error Sending Emails: Service invoked too many times for one day: email.; Manually run by ecertificate75@gmail.com; Timestamp: Sep 2 2024 4:48 AM</t>
  </si>
  <si>
    <t>DJATMIKO</t>
  </si>
  <si>
    <t>djatmikodarmowidjojo@gmail.com</t>
  </si>
  <si>
    <t>3615</t>
  </si>
  <si>
    <t>https://drive.google.com/file/d/1NJT7PD6A4A878qedJ8V2wvGqcUMappZn/view?usp=drivesdk</t>
  </si>
  <si>
    <t>1NJT7PD6A4A878qedJ8V2wvGqcUMappZn</t>
  </si>
  <si>
    <t>1S7EWEHDO3l7rfy5wAsFhUkTZPNk3kdfX</t>
  </si>
  <si>
    <t>https://drive.google.com/file/d/1S7EWEHDO3l7rfy5wAsFhUkTZPNk3kdfX/view?usp=drivesdk</t>
  </si>
  <si>
    <t>LILI YULIANTi</t>
  </si>
  <si>
    <t>liliyulianti272@gmail.com</t>
  </si>
  <si>
    <t>3616</t>
  </si>
  <si>
    <t>Starting at Thu Aug 29 2024 21:18:57 GMT-0400 (EDT)</t>
  </si>
  <si>
    <t>105nySd4nlV-fbKiGwGpCNFKTZDi6rucI</t>
  </si>
  <si>
    <t>https://drive.google.com/file/d/105nySd4nlV-fbKiGwGpCNFKTZDi6rucI/view?usp=drivesdk</t>
  </si>
  <si>
    <t>SUYANI,S.H.</t>
  </si>
  <si>
    <t>Suyani2aja@gmail.com</t>
  </si>
  <si>
    <t>3617</t>
  </si>
  <si>
    <t>17LeJK_5BflSiUmocF5nQpy8eqaunkTgV</t>
  </si>
  <si>
    <t>https://drive.google.com/file/d/17LeJK_5BflSiUmocF5nQpy8eqaunkTgV/view?usp=drivesdk</t>
  </si>
  <si>
    <t>MELY SILVANI SIREGAR</t>
  </si>
  <si>
    <t>melysilvani@gmail.com</t>
  </si>
  <si>
    <t>3618</t>
  </si>
  <si>
    <t>1yf3V4sMlimyKVyqk3CyFttYU0YEaG2Vy</t>
  </si>
  <si>
    <t>https://drive.google.com/file/d/1yf3V4sMlimyKVyqk3CyFttYU0YEaG2Vy/view?usp=drivesdk</t>
  </si>
  <si>
    <t xml:space="preserve">RAJA ANDI KHAIRULLAH </t>
  </si>
  <si>
    <t>rsp.andie@gmail.com</t>
  </si>
  <si>
    <t>3619</t>
  </si>
  <si>
    <t>1z5Tak1mLfQCX8nCqAjF1VoVkHBKN2Nhg</t>
  </si>
  <si>
    <t>https://drive.google.com/file/d/1z5Tak1mLfQCX8nCqAjF1VoVkHBKN2Nhg/view?usp=drivesdk</t>
  </si>
  <si>
    <t>Document successfully created; Document successfully merged; PDF created; !!Error Sending Emails: Service invoked too many times for one day: email.; Manually run by ecertificate75@gmail.com; Timestamp: Sep 2 2024 4:49 AM</t>
  </si>
  <si>
    <t>DR.SUKAMTO IRAWAN</t>
  </si>
  <si>
    <t>sukamtoirawan80@gmail.com</t>
  </si>
  <si>
    <t>3620</t>
  </si>
  <si>
    <t>1Xh64DDA7Ngo2ny4T78cxtlxa-hm9kYVo</t>
  </si>
  <si>
    <t>https://drive.google.com/file/d/1Xh64DDA7Ngo2ny4T78cxtlxa-hm9kYVo/view?usp=drivesdk</t>
  </si>
  <si>
    <t>ABDUL MANAF</t>
  </si>
  <si>
    <t>spnabdulmanaf@gmail.com</t>
  </si>
  <si>
    <t>3621</t>
  </si>
  <si>
    <t>1_727w4nRbgE3U4-e1VKyVuVmidrhtdgV</t>
  </si>
  <si>
    <t>https://drive.google.com/file/d/1_727w4nRbgE3U4-e1VKyVuVmidrhtdgV/view?usp=drivesdk</t>
  </si>
  <si>
    <t>DIAH ADIANI, A.Md.Kep</t>
  </si>
  <si>
    <t>adianidi@gmail.com</t>
  </si>
  <si>
    <t>3622</t>
  </si>
  <si>
    <t>1VMdDiIrPUS0yhJJoa0PM0GKY4XHqard_</t>
  </si>
  <si>
    <t>https://drive.google.com/file/d/1VMdDiIrPUS0yhJJoa0PM0GKY4XHqard_/view?usp=drivesdk</t>
  </si>
  <si>
    <t>RAHMA AGUSTINA, S.E.</t>
  </si>
  <si>
    <t>ammaralfatih929@gmail.com</t>
  </si>
  <si>
    <t>3623</t>
  </si>
  <si>
    <t>1X6zl4vmQzEPX_vcOmIOaARk6P1G4zvNp</t>
  </si>
  <si>
    <t>https://drive.google.com/file/d/1X6zl4vmQzEPX_vcOmIOaARk6P1G4zvNp/view?usp=drivesdk</t>
  </si>
  <si>
    <t>Document successfully created; Document successfully merged; PDF created; !!Error Sending Emails: Service invoked too many times for one day: email.; Manually run by ecertificate75@gmail.com; Timestamp: Sep 2 2024 4:50 AM</t>
  </si>
  <si>
    <t>DUWI SANTOSO</t>
  </si>
  <si>
    <t>duwisantoso0710@gmail.com</t>
  </si>
  <si>
    <t>3624</t>
  </si>
  <si>
    <t>1H4wgE2oJsEBGQ0COgZ73Wk6DRB9RtAOX</t>
  </si>
  <si>
    <t>https://drive.google.com/file/d/1H4wgE2oJsEBGQ0COgZ73Wk6DRB9RtAOX/view?usp=drivesdk</t>
  </si>
  <si>
    <t xml:space="preserve">Anastasia Barek Bunga </t>
  </si>
  <si>
    <t>anastasiabunga1974@gmail.com</t>
  </si>
  <si>
    <t>3625</t>
  </si>
  <si>
    <t>https://drive.google.com/file/d/1jTeF8u79Padsurw5H9k0idcb91o9YGtU/view?usp=drivesdk</t>
  </si>
  <si>
    <t>1jTeF8u79Padsurw5H9k0idcb91o9YGtU</t>
  </si>
  <si>
    <t>1a8HSxoI3OXEXXo_WeaaLN4sjKEmArcL1</t>
  </si>
  <si>
    <t>https://drive.google.com/file/d/1a8HSxoI3OXEXXo_WeaaLN4sjKEmArcL1/view?usp=drivesdk</t>
  </si>
  <si>
    <t>DEMAK ULIASI SIAHAAN</t>
  </si>
  <si>
    <t>demaksiahaan626@gmail.com</t>
  </si>
  <si>
    <t>3626</t>
  </si>
  <si>
    <t>Starting at Thu Aug 29 2024 21:19:02 GMT-0400 (EDT)</t>
  </si>
  <si>
    <t>1nScgI4_H_uflbqg8c4MFg9WdnvGxPGAj</t>
  </si>
  <si>
    <t>https://drive.google.com/file/d/1nScgI4_H_uflbqg8c4MFg9WdnvGxPGAj/view?usp=drivesdk</t>
  </si>
  <si>
    <t>IYUS YUSUF</t>
  </si>
  <si>
    <t>yusufiyus113@gmal.com</t>
  </si>
  <si>
    <t>3627</t>
  </si>
  <si>
    <t>1twQTEhPtSz_g5JuNtd7rWTVD7z3_fAxb</t>
  </si>
  <si>
    <t>https://drive.google.com/file/d/1twQTEhPtSz_g5JuNtd7rWTVD7z3_fAxb/view?usp=drivesdk</t>
  </si>
  <si>
    <t>SYARI MARDALENI. SE</t>
  </si>
  <si>
    <t>syarimardaleni@gmail.com</t>
  </si>
  <si>
    <t>3628</t>
  </si>
  <si>
    <t>1bKzNxbaMNptw62Z14DIIxy2csaZqsyfr</t>
  </si>
  <si>
    <t>https://drive.google.com/file/d/1bKzNxbaMNptw62Z14DIIxy2csaZqsyfr/view?usp=drivesdk</t>
  </si>
  <si>
    <t>Document successfully created; Document successfully merged; PDF created; !!Error Sending Emails: Service invoked too many times for one day: email.; Manually run by ecertificate75@gmail.com; Timestamp: Sep 2 2024 4:51 AM</t>
  </si>
  <si>
    <t>JOHANSYAH</t>
  </si>
  <si>
    <t>cacahoce@gmail.com</t>
  </si>
  <si>
    <t>3629</t>
  </si>
  <si>
    <t>1SW3iLX_votwKevQW9Wkm64r_ni30cyaD</t>
  </si>
  <si>
    <t>https://drive.google.com/file/d/1SW3iLX_votwKevQW9Wkm64r_ni30cyaD/view?usp=drivesdk</t>
  </si>
  <si>
    <t>Yudha Risatya Bakti</t>
  </si>
  <si>
    <t>yudarisatya@gmail.com</t>
  </si>
  <si>
    <t>3630</t>
  </si>
  <si>
    <t>1UkA3ni9KQfpA9v0j3w3BTFCPiJe8PrPN</t>
  </si>
  <si>
    <t>https://drive.google.com/file/d/1UkA3ni9KQfpA9v0j3w3BTFCPiJe8PrPN/view?usp=drivesdk</t>
  </si>
  <si>
    <t>HARMAWAN</t>
  </si>
  <si>
    <t>hermawanzora@gmail.com</t>
  </si>
  <si>
    <t>3631</t>
  </si>
  <si>
    <t>Starting at Thu Aug 29 2024 21:19:14 GMT-0400 (EDT)</t>
  </si>
  <si>
    <t>1-f5zhyDC05kc5NFPYhgblFRKU35azl42</t>
  </si>
  <si>
    <t>https://drive.google.com/file/d/1-f5zhyDC05kc5NFPYhgblFRKU35azl42/view?usp=drivesdk</t>
  </si>
  <si>
    <t>SETIA HARYATI, S.H., M.H.</t>
  </si>
  <si>
    <t>setiaharyati77@gmail.com</t>
  </si>
  <si>
    <t>3632</t>
  </si>
  <si>
    <t>1UVYJL7kZob_fjjVZc_zY9viEq-oAZfo6</t>
  </si>
  <si>
    <t>https://drive.google.com/file/d/1UVYJL7kZob_fjjVZc_zY9viEq-oAZfo6/view?usp=drivesdk</t>
  </si>
  <si>
    <t>ATIKA MERY PUJI ASTUTIK</t>
  </si>
  <si>
    <t>atikamery86@gmail.com</t>
  </si>
  <si>
    <t>3633</t>
  </si>
  <si>
    <t>1YlrWJL0gTHxW66D5UygaMe3ejA7X3D2l</t>
  </si>
  <si>
    <t>https://drive.google.com/file/d/1YlrWJL0gTHxW66D5UygaMe3ejA7X3D2l/view?usp=drivesdk</t>
  </si>
  <si>
    <t>Document successfully created; Document successfully merged; PDF created; !!Error Sending Emails: Service invoked too many times for one day: email.; Manually run by ecertificate75@gmail.com; Timestamp: Sep 2 2024 4:52 AM</t>
  </si>
  <si>
    <t xml:space="preserve">SRI SUPRAPTI </t>
  </si>
  <si>
    <t>srisuprapti8738@gmail.com</t>
  </si>
  <si>
    <t>3634</t>
  </si>
  <si>
    <t>1rOZNw4lubOBUNvfJe9esAPKDgSd5wzHQ</t>
  </si>
  <si>
    <t>https://drive.google.com/file/d/1rOZNw4lubOBUNvfJe9esAPKDgSd5wzHQ/view?usp=drivesdk</t>
  </si>
  <si>
    <t>ANDI BAHMADA, SKM</t>
  </si>
  <si>
    <t>andi.bahmada@gmail.com</t>
  </si>
  <si>
    <t>3635</t>
  </si>
  <si>
    <t>13n1nwoETNUtbKtXYjhXdSHJbID9qHJ__</t>
  </si>
  <si>
    <t>https://drive.google.com/file/d/13n1nwoETNUtbKtXYjhXdSHJbID9qHJ__/view?usp=drivesdk</t>
  </si>
  <si>
    <t>ENGKUS KUSNIWA</t>
  </si>
  <si>
    <t>kusniwa83@gmail.com</t>
  </si>
  <si>
    <t>3636</t>
  </si>
  <si>
    <t>1cdwh5mUoyNLAU657njRK9a8976-Yc1K-</t>
  </si>
  <si>
    <t>https://drive.google.com/file/d/1cdwh5mUoyNLAU657njRK9a8976-Yc1K-/view?usp=drivesdk</t>
  </si>
  <si>
    <t>Document successfully created; Document successfully merged; PDF created; !!Error Sending Emails: Service invoked too many times for one day: email.; Manually run by ecertificate75@gmail.com; Timestamp: Sep 2 2024 4:53 AM</t>
  </si>
  <si>
    <t>MARLINDA ANISTYA SARI S.Kep.,Ns</t>
  </si>
  <si>
    <t>marlindaanistyasari@gmail.com</t>
  </si>
  <si>
    <t>3637</t>
  </si>
  <si>
    <t>1E5AezVqN6DzGmKJRH_zCkw5ETDB3BrTj</t>
  </si>
  <si>
    <t>https://drive.google.com/file/d/1E5AezVqN6DzGmKJRH_zCkw5ETDB3BrTj/view?usp=drivesdk</t>
  </si>
  <si>
    <t>MAULIANAWATI MESRA, A.Md</t>
  </si>
  <si>
    <t>nonhamesraa@gmail.com</t>
  </si>
  <si>
    <t>3638</t>
  </si>
  <si>
    <t>1wE2bnrP5mFVA8y5HCipAkMSeeG52V35I</t>
  </si>
  <si>
    <t>https://drive.google.com/file/d/1wE2bnrP5mFVA8y5HCipAkMSeeG52V35I/view?usp=drivesdk</t>
  </si>
  <si>
    <t>RARA JUARI</t>
  </si>
  <si>
    <t>rarajuari@gmail.com</t>
  </si>
  <si>
    <t>3639</t>
  </si>
  <si>
    <t>12CkYPKHVnsemwU6bbdqdFi1iCzhuNQ0u</t>
  </si>
  <si>
    <t>https://drive.google.com/file/d/12CkYPKHVnsemwU6bbdqdFi1iCzhuNQ0u/view?usp=drivesdk</t>
  </si>
  <si>
    <t>HUSEIN</t>
  </si>
  <si>
    <t>alexalexsa4512@gmail.com</t>
  </si>
  <si>
    <t>3640</t>
  </si>
  <si>
    <t>1fv-zlZqlOGhk_bI3esNZcjMeljGZHaC6</t>
  </si>
  <si>
    <t>https://drive.google.com/file/d/1fv-zlZqlOGhk_bI3esNZcjMeljGZHaC6/view?usp=drivesdk</t>
  </si>
  <si>
    <t xml:space="preserve">SRI RAHAYU </t>
  </si>
  <si>
    <t>rahayusri7319@gmail.com</t>
  </si>
  <si>
    <t>3641</t>
  </si>
  <si>
    <t>1djX2r2xnjHsUt1mXZ9-SjRcoIua-H47C</t>
  </si>
  <si>
    <t>https://drive.google.com/file/d/1djX2r2xnjHsUt1mXZ9-SjRcoIua-H47C/view?usp=drivesdk</t>
  </si>
  <si>
    <t>Document successfully created; Document successfully merged; PDF created; !!Error Sending Emails: Service invoked too many times for one day: email.; Manually run by ecertificate75@gmail.com; Timestamp: Sep 2 2024 4:54 AM</t>
  </si>
  <si>
    <t>EFRIYANTI SH</t>
  </si>
  <si>
    <t>efriyantish86@gmail.com</t>
  </si>
  <si>
    <t>3642</t>
  </si>
  <si>
    <t>1ltV6otLTVr1RyjXbvOz9-zZxm5yzUKZN</t>
  </si>
  <si>
    <t>https://drive.google.com/file/d/1ltV6otLTVr1RyjXbvOz9-zZxm5yzUKZN/view?usp=drivesdk</t>
  </si>
  <si>
    <t>AI RENIAWATI, S.Pd.</t>
  </si>
  <si>
    <t>aireniawatispd@gmail.com</t>
  </si>
  <si>
    <t>3643</t>
  </si>
  <si>
    <t>1qu_MsH02WWRrc91mwb_-ZJtCzevwxNxc</t>
  </si>
  <si>
    <t>https://drive.google.com/file/d/1qu_MsH02WWRrc91mwb_-ZJtCzevwxNxc/view?usp=drivesdk</t>
  </si>
  <si>
    <t>RISKAWATI</t>
  </si>
  <si>
    <t>biffevinny29@gmail.com</t>
  </si>
  <si>
    <t>3644</t>
  </si>
  <si>
    <t>1G2AYaCiAxVL-lO3PuUyO19UrGulf2uOG</t>
  </si>
  <si>
    <t>https://drive.google.com/file/d/1G2AYaCiAxVL-lO3PuUyO19UrGulf2uOG/view?usp=drivesdk</t>
  </si>
  <si>
    <t>A WAHID AZHARA</t>
  </si>
  <si>
    <t>wahidazharaa@gmail.com</t>
  </si>
  <si>
    <t>3645</t>
  </si>
  <si>
    <t>1Xe_sdnHdb2cABB2nfc4vfzDO0kn-VMYw</t>
  </si>
  <si>
    <t>https://drive.google.com/file/d/1Xe_sdnHdb2cABB2nfc4vfzDO0kn-VMYw/view?usp=drivesdk</t>
  </si>
  <si>
    <t>Document successfully created; Document successfully merged; PDF created; !!Error Sending Emails: Service invoked too many times for one day: email.; Manually run by ecertificate75@gmail.com; Timestamp: Sep 2 2024 4:55 AM</t>
  </si>
  <si>
    <t>ZURAIDA SEPTIA NURLAILI,AMd</t>
  </si>
  <si>
    <t>idaseptia86@gmail.com</t>
  </si>
  <si>
    <t>3646</t>
  </si>
  <si>
    <t>Starting at Thu Aug 29 2024 21:19:16 GMT-0400 (EDT)</t>
  </si>
  <si>
    <t>1SluOipTtF_F-2tW-xUjEe3cOtVDOEs8e</t>
  </si>
  <si>
    <t>https://drive.google.com/file/d/1SluOipTtF_F-2tW-xUjEe3cOtVDOEs8e/view?usp=drivesdk</t>
  </si>
  <si>
    <t>ROY DJAFAR</t>
  </si>
  <si>
    <t>djroy317@gmail.com</t>
  </si>
  <si>
    <t>3647</t>
  </si>
  <si>
    <t>18uM44Vbatm6PZC172AxfAPxhEnwJVMwo</t>
  </si>
  <si>
    <t>https://drive.google.com/file/d/18uM44Vbatm6PZC172AxfAPxhEnwJVMwo/view?usp=drivesdk</t>
  </si>
  <si>
    <t>RETNO YEKTI REJEKI</t>
  </si>
  <si>
    <t>yekti126@gmail.com</t>
  </si>
  <si>
    <t>3648</t>
  </si>
  <si>
    <t>15_zfU9mIR0JzyBtepuNKNL9mpmeSpF_Z</t>
  </si>
  <si>
    <t>https://drive.google.com/file/d/15_zfU9mIR0JzyBtepuNKNL9mpmeSpF_Z/view?usp=drivesdk</t>
  </si>
  <si>
    <t xml:space="preserve">AHMAD SOHIRI </t>
  </si>
  <si>
    <t>masfadli.a5@gmail.com</t>
  </si>
  <si>
    <t>3649</t>
  </si>
  <si>
    <t>1tiC0QRXUw7lIptnQwiSaEUUrmdnnVuSW</t>
  </si>
  <si>
    <t>https://drive.google.com/file/d/1tiC0QRXUw7lIptnQwiSaEUUrmdnnVuSW/view?usp=drivesdk</t>
  </si>
  <si>
    <t>Document successfully created; Document successfully merged; PDF created; !!Error Sending Emails: Service invoked too many times for one day: email.; Manually run by ecertificate75@gmail.com; Timestamp: Sep 2 2024 4:56 AM</t>
  </si>
  <si>
    <t>DR. KUSUMANINGRUM</t>
  </si>
  <si>
    <t>kusumaningrumk@gmail.com</t>
  </si>
  <si>
    <t>3650</t>
  </si>
  <si>
    <t>1n6mFNbO-5I2CTAOzu6Ron84krJyIMShO</t>
  </si>
  <si>
    <t>https://drive.google.com/file/d/1n6mFNbO-5I2CTAOzu6Ron84krJyIMShO/view?usp=drivesdk</t>
  </si>
  <si>
    <t>RENI SUTINI, S.Pd</t>
  </si>
  <si>
    <t>renisutini3@gmail.com</t>
  </si>
  <si>
    <t>3651</t>
  </si>
  <si>
    <t>1wSXItWkF12RTyTYboyx2m7z3o6VRhHS7</t>
  </si>
  <si>
    <t>https://drive.google.com/file/d/1wSXItWkF12RTyTYboyx2m7z3o6VRhHS7/view?usp=drivesdk</t>
  </si>
  <si>
    <t xml:space="preserve">TUTI ASNITA </t>
  </si>
  <si>
    <t>asnitatuti@gmail.com</t>
  </si>
  <si>
    <t>3652</t>
  </si>
  <si>
    <t>1IKRI07FQvgjPAoHtHjlTR-mwoYYDww28</t>
  </si>
  <si>
    <t>https://drive.google.com/file/d/1IKRI07FQvgjPAoHtHjlTR-mwoYYDww28/view?usp=drivesdk</t>
  </si>
  <si>
    <t xml:space="preserve">SRI WINARTI </t>
  </si>
  <si>
    <t>sriwinartii1805@gmail.com</t>
  </si>
  <si>
    <t>3653</t>
  </si>
  <si>
    <t>1HP0NZ89XAEWoSvg1SeEewpzYyBj9KYyV</t>
  </si>
  <si>
    <t>https://drive.google.com/file/d/1HP0NZ89XAEWoSvg1SeEewpzYyBj9KYyV/view?usp=drivesdk</t>
  </si>
  <si>
    <t>ABIDIN</t>
  </si>
  <si>
    <t>abidinazah@gmail.com</t>
  </si>
  <si>
    <t>3654</t>
  </si>
  <si>
    <t>1Et6tJVD_CDVz8QR0DwOF8tW6dNOyn050</t>
  </si>
  <si>
    <t>https://drive.google.com/file/d/1Et6tJVD_CDVz8QR0DwOF8tW6dNOyn050/view?usp=drivesdk</t>
  </si>
  <si>
    <t>Document successfully created; Document successfully merged; PDF created; !!Error Sending Emails: Service invoked too many times for one day: email.; Manually run by ecertificate75@gmail.com; Timestamp: Sep 2 2024 4:57 AM</t>
  </si>
  <si>
    <t>SUBIJANTO</t>
  </si>
  <si>
    <t>ysubi724@gmail.com</t>
  </si>
  <si>
    <t>3655</t>
  </si>
  <si>
    <t>1anOr-uKwOo5ZOIh6atuHoylr1wKXztsp</t>
  </si>
  <si>
    <t>https://drive.google.com/file/d/1anOr-uKwOo5ZOIh6atuHoylr1wKXztsp/view?usp=drivesdk</t>
  </si>
  <si>
    <t>NI KETUT SURYANI</t>
  </si>
  <si>
    <t>suryaniitwasda@gmail.com</t>
  </si>
  <si>
    <t>3656</t>
  </si>
  <si>
    <t>1VwxfC80niS0vlu06RIB7G58d83Y2-q44</t>
  </si>
  <si>
    <t>https://drive.google.com/file/d/1VwxfC80niS0vlu06RIB7G58d83Y2-q44/view?usp=drivesdk</t>
  </si>
  <si>
    <t>NS FITRI YULANDRA, S.Kep</t>
  </si>
  <si>
    <t>princessmimi518@gmail.com</t>
  </si>
  <si>
    <t>3657</t>
  </si>
  <si>
    <t>11pE0bhMLlwu60MecZ67L5RpbmHiGdg_7</t>
  </si>
  <si>
    <t>https://drive.google.com/file/d/11pE0bhMLlwu60MecZ67L5RpbmHiGdg_7/view?usp=drivesdk</t>
  </si>
  <si>
    <t>ROHATI</t>
  </si>
  <si>
    <t>atirohati1405@gmail.com</t>
  </si>
  <si>
    <t>3658</t>
  </si>
  <si>
    <t>1Hb9AyGx2qql5pW6tqMf_TAqFy7zBvZQi</t>
  </si>
  <si>
    <t>https://drive.google.com/file/d/1Hb9AyGx2qql5pW6tqMf_TAqFy7zBvZQi/view?usp=drivesdk</t>
  </si>
  <si>
    <t>Document successfully created; Document successfully merged; PDF created; !!Error Sending Emails: Service invoked too many times for one day: email.; Manually run by ecertificate75@gmail.com; Timestamp: Sep 2 2024 4:58 AM</t>
  </si>
  <si>
    <t>JAENAL</t>
  </si>
  <si>
    <t>jaenalhs67@gmail.com</t>
  </si>
  <si>
    <t>3659</t>
  </si>
  <si>
    <t>1NVrG0v1qvFcMAj_pxMHml2lN4GuSs5_U</t>
  </si>
  <si>
    <t>https://drive.google.com/file/d/1NVrG0v1qvFcMAj_pxMHml2lN4GuSs5_U/view?usp=drivesdk</t>
  </si>
  <si>
    <t>JULI HARTONO</t>
  </si>
  <si>
    <t>julihartono88@gmail.com</t>
  </si>
  <si>
    <t>3660</t>
  </si>
  <si>
    <t>1p3je3NftDuwCr0agvWaiGiQ6OcJgVzWq</t>
  </si>
  <si>
    <t>https://drive.google.com/file/d/1p3je3NftDuwCr0agvWaiGiQ6OcJgVzWq/view?usp=drivesdk</t>
  </si>
  <si>
    <t>TUMIYEM, S.E</t>
  </si>
  <si>
    <t>dsetyaningrum39@gmail.com</t>
  </si>
  <si>
    <t>3661</t>
  </si>
  <si>
    <t>Starting at Thu Aug 29 2024 21:19:25 GMT-0400 (EDT)</t>
  </si>
  <si>
    <t>161dPXdYMW6IEpodcQHrDRQ4JE1-KgphW</t>
  </si>
  <si>
    <t>https://drive.google.com/file/d/161dPXdYMW6IEpodcQHrDRQ4JE1-KgphW/view?usp=drivesdk</t>
  </si>
  <si>
    <t>RINAL ASRURI S. T</t>
  </si>
  <si>
    <t>rinalasroeri2017@gmail.com</t>
  </si>
  <si>
    <t>3662</t>
  </si>
  <si>
    <t>1-JNo2vHZmQ734MBYJbbNwNUWjaUNtTU4</t>
  </si>
  <si>
    <t>https://drive.google.com/file/d/1-JNo2vHZmQ734MBYJbbNwNUWjaUNtTU4/view?usp=drivesdk</t>
  </si>
  <si>
    <t>Document successfully created; Document successfully merged; PDF created; !!Error Sending Emails: Service invoked too many times for one day: email.; Manually run by ecertificate75@gmail.com; Timestamp: Sep 2 2024 4:59 AM</t>
  </si>
  <si>
    <t>ROHJAENI</t>
  </si>
  <si>
    <t>jenirohjaeni@gmail.com</t>
  </si>
  <si>
    <t>3663</t>
  </si>
  <si>
    <t>1v0LSFAkT5rP6BJzck0Ot21t-emGLqxs-</t>
  </si>
  <si>
    <t>https://drive.google.com/file/d/1v0LSFAkT5rP6BJzck0Ot21t-emGLqxs-/view?usp=drivesdk</t>
  </si>
  <si>
    <t>Dewi Puspa Anggraeni</t>
  </si>
  <si>
    <t>dewipuspa1704@gmail.com</t>
  </si>
  <si>
    <t>3664</t>
  </si>
  <si>
    <t>1AumoO_NJK0GuJoruMonIzf4yYXfx4Jag</t>
  </si>
  <si>
    <t>https://drive.google.com/file/d/1AumoO_NJK0GuJoruMonIzf4yYXfx4Jag/view?usp=drivesdk</t>
  </si>
  <si>
    <t>SRI MULYANI, S.H.</t>
  </si>
  <si>
    <t>mulyaniamin1974@gmail.com</t>
  </si>
  <si>
    <t>3665</t>
  </si>
  <si>
    <t>13epvqIhAxdf59xQnUieE3XQFuWWT6R-1</t>
  </si>
  <si>
    <t>https://drive.google.com/file/d/13epvqIhAxdf59xQnUieE3XQFuWWT6R-1/view?usp=drivesdk</t>
  </si>
  <si>
    <t>YESSY ANGGRAINI MANYOE, S.Sos</t>
  </si>
  <si>
    <t>yessyanggrainimanyoe@gmail.com</t>
  </si>
  <si>
    <t>3666</t>
  </si>
  <si>
    <t>1332GCS-R8MCtdtWvbp1HQmJ5lbrW6_aY</t>
  </si>
  <si>
    <t>https://drive.google.com/file/d/1332GCS-R8MCtdtWvbp1HQmJ5lbrW6_aY/view?usp=drivesdk</t>
  </si>
  <si>
    <t>MUGIA HARYANTI</t>
  </si>
  <si>
    <t>mugiaharyanti6@gmail.com</t>
  </si>
  <si>
    <t>3667</t>
  </si>
  <si>
    <t>1MwpUyJ6uAZ4hNWP6CPS4UDQCR8-kvWG6</t>
  </si>
  <si>
    <t>https://drive.google.com/file/d/1MwpUyJ6uAZ4hNWP6CPS4UDQCR8-kvWG6/view?usp=drivesdk</t>
  </si>
  <si>
    <t>Document successfully created; Document successfully merged; PDF created; !!Error Sending Emails: Service invoked too many times for one day: email.; Manually run by ecertificate75@gmail.com; Timestamp: Sep 2 2024 5:00 AM</t>
  </si>
  <si>
    <t>DHIBA KAPADIA</t>
  </si>
  <si>
    <t>dhibadhiba2017@gmail.com</t>
  </si>
  <si>
    <t>3668</t>
  </si>
  <si>
    <t>15MK_1_q04ByAXMG42gzbR_A_84QFocBv</t>
  </si>
  <si>
    <t>https://drive.google.com/file/d/15MK_1_q04ByAXMG42gzbR_A_84QFocBv/view?usp=drivesdk</t>
  </si>
  <si>
    <t>RUSMAN</t>
  </si>
  <si>
    <t>rusman2768@gmail.com</t>
  </si>
  <si>
    <t>3669</t>
  </si>
  <si>
    <t>1_8bvvt5zWMSJliDlteaQQE7iLpCpekY3</t>
  </si>
  <si>
    <t>https://drive.google.com/file/d/1_8bvvt5zWMSJliDlteaQQE7iLpCpekY3/view?usp=drivesdk</t>
  </si>
  <si>
    <t>SUDARWITANTI,SH,MM</t>
  </si>
  <si>
    <t>sudarwitanti@gmail.com</t>
  </si>
  <si>
    <t>3670</t>
  </si>
  <si>
    <t>Starting at Thu Aug 29 2024 21:19:26 GMT-0400 (EDT)</t>
  </si>
  <si>
    <t>1HcyAigGIhtYSkQEs4Byu02ddeW9P2LoD</t>
  </si>
  <si>
    <t>https://drive.google.com/file/d/1HcyAigGIhtYSkQEs4Byu02ddeW9P2LoD/view?usp=drivesdk</t>
  </si>
  <si>
    <t xml:space="preserve">DEWI SETIANI </t>
  </si>
  <si>
    <t>dewi251284@gmail.com</t>
  </si>
  <si>
    <t>3671</t>
  </si>
  <si>
    <t>1tphdMyFjJtyou8JM17fCbTy53BwcC70k</t>
  </si>
  <si>
    <t>https://drive.google.com/file/d/1tphdMyFjJtyou8JM17fCbTy53BwcC70k/view?usp=drivesdk</t>
  </si>
  <si>
    <t>Document successfully created; Document successfully merged; PDF created; !!Error Sending Emails: Service invoked too many times for one day: email.; Manually run by ecertificate75@gmail.com; Timestamp: Sep 2 2024 5:01 AM</t>
  </si>
  <si>
    <t>dr.TIEN NELLY RHOMA</t>
  </si>
  <si>
    <t>tinnelly2021@gmail.com</t>
  </si>
  <si>
    <t>3672</t>
  </si>
  <si>
    <t>1F2Sr-VN5G-uyGXfTjNMJhrrb1eIqoMPT</t>
  </si>
  <si>
    <t>https://drive.google.com/file/d/1F2Sr-VN5G-uyGXfTjNMJhrrb1eIqoMPT/view?usp=drivesdk</t>
  </si>
  <si>
    <t>INDRAYANTO, S.M.</t>
  </si>
  <si>
    <t>in.am.indra@gmail.com</t>
  </si>
  <si>
    <t>3673</t>
  </si>
  <si>
    <t>1VBiXPEpIDA2HIGZTIncPujRP08kaZ0HP</t>
  </si>
  <si>
    <t>https://drive.google.com/file/d/1VBiXPEpIDA2HIGZTIncPujRP08kaZ0HP/view?usp=drivesdk</t>
  </si>
  <si>
    <t>HARMAISYAH</t>
  </si>
  <si>
    <t>harmaisyah@gmail.com</t>
  </si>
  <si>
    <t>3674</t>
  </si>
  <si>
    <t>Starting at Thu Aug 29 2024 21:19:28 GMT-0400 (EDT)</t>
  </si>
  <si>
    <t>1jlC-w97-_qr9jwkBbOJsGHRvaiFpR3pq</t>
  </si>
  <si>
    <t>https://drive.google.com/file/d/1jlC-w97-_qr9jwkBbOJsGHRvaiFpR3pq/view?usp=drivesdk</t>
  </si>
  <si>
    <t>MARLINA, SE</t>
  </si>
  <si>
    <t>marlinajmb26@gmail.com</t>
  </si>
  <si>
    <t>3675</t>
  </si>
  <si>
    <t>1ixOXiPL627IYhMLmMluJW-2kFjDFHzAJ</t>
  </si>
  <si>
    <t>https://drive.google.com/file/d/1ixOXiPL627IYhMLmMluJW-2kFjDFHzAJ/view?usp=drivesdk</t>
  </si>
  <si>
    <t>Document successfully created; Document successfully merged; PDF created; !!Error Sending Emails: Service invoked too many times for one day: email.; Manually run by ecertificate75@gmail.com; Timestamp: Sep 2 2024 5:02 AM</t>
  </si>
  <si>
    <t>Wenli Nurdini,A.Md.Keb</t>
  </si>
  <si>
    <t>Nurdiniwenli26@gmail.com</t>
  </si>
  <si>
    <t>3676</t>
  </si>
  <si>
    <t>1JA1Rtj1jYvPwv_mJKKUxElFBL1GkQQ6S</t>
  </si>
  <si>
    <t>https://drive.google.com/file/d/1JA1Rtj1jYvPwv_mJKKUxElFBL1GkQQ6S/view?usp=drivesdk</t>
  </si>
  <si>
    <t>HERMANSYAH</t>
  </si>
  <si>
    <t>hermansyahse830@gmail.com</t>
  </si>
  <si>
    <t>3677</t>
  </si>
  <si>
    <t>1o_dxP-bjIbA1oASo78TKOqhCIQAhJthd</t>
  </si>
  <si>
    <t>https://drive.google.com/file/d/1o_dxP-bjIbA1oASo78TKOqhCIQAhJthd/view?usp=drivesdk</t>
  </si>
  <si>
    <t>Kartika wahyuningsih S Psi MM M.Psi Psikolog</t>
  </si>
  <si>
    <t>insyira19@gmail.com</t>
  </si>
  <si>
    <t>3678</t>
  </si>
  <si>
    <t>1KKZNvFzEJpOT3MGTUmzfY7qyOM11afk3</t>
  </si>
  <si>
    <t>https://drive.google.com/file/d/1KKZNvFzEJpOT3MGTUmzfY7qyOM11afk3/view?usp=drivesdk</t>
  </si>
  <si>
    <t>DR.ERIDHANI DHARMA SATYA, S.Ag., M.Pd.</t>
  </si>
  <si>
    <t>deridhanidharmasatya@gmail.com</t>
  </si>
  <si>
    <t>3679</t>
  </si>
  <si>
    <t>1nJQHsUuvxd25u7HalDEa-Qk2YKQr4FQT</t>
  </si>
  <si>
    <t>https://drive.google.com/file/d/1nJQHsUuvxd25u7HalDEa-Qk2YKQr4FQT/view?usp=drivesdk</t>
  </si>
  <si>
    <t>Document successfully created; Document successfully merged; PDF created; !!Error Sending Emails: Service invoked too many times for one day: email.; Manually run by ecertificate75@gmail.com; Timestamp: Sep 2 2024 5:03 AM</t>
  </si>
  <si>
    <t>SANTOSO</t>
  </si>
  <si>
    <t>santosomgl123@gmail.com</t>
  </si>
  <si>
    <t>3680</t>
  </si>
  <si>
    <t>1sSQfVzSzebvj8irWQ_U91sfqaicLK_RR</t>
  </si>
  <si>
    <t>https://drive.google.com/file/d/1sSQfVzSzebvj8irWQ_U91sfqaicLK_RR/view?usp=drivesdk</t>
  </si>
  <si>
    <t xml:space="preserve">DRG AYU SUSILOWATI MM </t>
  </si>
  <si>
    <t>drgayu263@gmail.com</t>
  </si>
  <si>
    <t>3681</t>
  </si>
  <si>
    <t>1OVFYOLd4FS2RwTJF7DYeb-tnUKtbXprh</t>
  </si>
  <si>
    <t>https://drive.google.com/file/d/1OVFYOLd4FS2RwTJF7DYeb-tnUKtbXprh/view?usp=drivesdk</t>
  </si>
  <si>
    <t>EKA ELVISA, Amd. Kep</t>
  </si>
  <si>
    <t>ekaelvisa20@gmail.com</t>
  </si>
  <si>
    <t>3682</t>
  </si>
  <si>
    <t>1195Lp3PC2IAZVY1VxQobfZNvuqt_c5Ic</t>
  </si>
  <si>
    <t>https://drive.google.com/file/d/1195Lp3PC2IAZVY1VxQobfZNvuqt_c5Ic/view?usp=drivesdk</t>
  </si>
  <si>
    <t>ALENI BETRI</t>
  </si>
  <si>
    <t>alenibetri05@gmail.com</t>
  </si>
  <si>
    <t>3683</t>
  </si>
  <si>
    <t>Starting at Thu Aug 29 2024 21:19:30 GMT-0400 (EDT)</t>
  </si>
  <si>
    <t>1tXXTKjkqehJPsMDT2hTFyLRO2QrhAGO7</t>
  </si>
  <si>
    <t>https://drive.google.com/file/d/1tXXTKjkqehJPsMDT2hTFyLRO2QrhAGO7/view?usp=drivesdk</t>
  </si>
  <si>
    <t>Document successfully created; Document successfully merged; PDF created; !!Error Sending Emails: Service invoked too many times for one day: email.; Manually run by ecertificate75@gmail.com; Timestamp: Sep 2 2024 5:04 AM</t>
  </si>
  <si>
    <t>FIRASAT MOKODOMPIT</t>
  </si>
  <si>
    <t>firasatmokodompit@gmail.com</t>
  </si>
  <si>
    <t>3684</t>
  </si>
  <si>
    <t>1O01Mtad6J5npUjJlyeSZXeEOiX1zThDK</t>
  </si>
  <si>
    <t>https://drive.google.com/file/d/1O01Mtad6J5npUjJlyeSZXeEOiX1zThDK/view?usp=drivesdk</t>
  </si>
  <si>
    <t xml:space="preserve">A RIANG AWALIA </t>
  </si>
  <si>
    <t>awaliyahriyang@gmail.com</t>
  </si>
  <si>
    <t>3685</t>
  </si>
  <si>
    <t>1sGd_5ft8pGJWWb6LqEAZgvs3ACbD5cJ7</t>
  </si>
  <si>
    <t>https://drive.google.com/file/d/1sGd_5ft8pGJWWb6LqEAZgvs3ACbD5cJ7/view?usp=drivesdk</t>
  </si>
  <si>
    <t>Dian Mardiana Juhadirta</t>
  </si>
  <si>
    <t>dian.dirta@gmail.com</t>
  </si>
  <si>
    <t>3686</t>
  </si>
  <si>
    <t>1nTvD50B_SQYXvHFWdj_ZThPCzoEmGxu-</t>
  </si>
  <si>
    <t>https://drive.google.com/file/d/1nTvD50B_SQYXvHFWdj_ZThPCzoEmGxu-/view?usp=drivesdk</t>
  </si>
  <si>
    <t>TUMIYEM</t>
  </si>
  <si>
    <t>3687</t>
  </si>
  <si>
    <t>1hPn_l7yPQzU1Xlyg2k8pptwy6hbdUdWA</t>
  </si>
  <si>
    <t>https://drive.google.com/file/d/1hPn_l7yPQzU1Xlyg2k8pptwy6hbdUdWA/view?usp=drivesdk</t>
  </si>
  <si>
    <t>Intan Puspita Ratih</t>
  </si>
  <si>
    <t>intanpuspitaratih85@gmail.com</t>
  </si>
  <si>
    <t>3688</t>
  </si>
  <si>
    <t>Starting at Thu Aug 29 2024 21:19:32 GMT-0400 (EDT)</t>
  </si>
  <si>
    <t>1kca7YPm1_2_v5KzrziJdCGczm03KVdpo</t>
  </si>
  <si>
    <t>https://drive.google.com/file/d/1kca7YPm1_2_v5KzrziJdCGczm03KVdpo/view?usp=drivesdk</t>
  </si>
  <si>
    <t>Document successfully created; Document successfully merged; PDF created; !!Error Sending Emails: Service invoked too many times for one day: email.; Manually run by ecertificate75@gmail.com; Timestamp: Sep 2 2024 5:05 AM</t>
  </si>
  <si>
    <t>ANITA ELYSIUS TOKULO</t>
  </si>
  <si>
    <t>anitaekysiustokulo@gmail.com</t>
  </si>
  <si>
    <t>3689</t>
  </si>
  <si>
    <t>1l8sZwUCF_3EOpAupywUkHeJfD4znz9rS</t>
  </si>
  <si>
    <t>https://drive.google.com/file/d/1l8sZwUCF_3EOpAupywUkHeJfD4znz9rS/view?usp=drivesdk</t>
  </si>
  <si>
    <t>AGUS MADONA</t>
  </si>
  <si>
    <t>agoes.ramadhan1908@gmail.com</t>
  </si>
  <si>
    <t>3690</t>
  </si>
  <si>
    <t>1BsF6_DmDCVKrtWdrhwKHnHcVMZ5oIlGg</t>
  </si>
  <si>
    <t>https://drive.google.com/file/d/1BsF6_DmDCVKrtWdrhwKHnHcVMZ5oIlGg/view?usp=drivesdk</t>
  </si>
  <si>
    <t>HANDHOJO, S.Si</t>
  </si>
  <si>
    <t>handhojo12345@gmail.com</t>
  </si>
  <si>
    <t>3691</t>
  </si>
  <si>
    <t>1H4-aT-eV6UEAcV5u0uOS0QGVOi3mLyCc</t>
  </si>
  <si>
    <t>https://drive.google.com/file/d/1H4-aT-eV6UEAcV5u0uOS0QGVOi3mLyCc/view?usp=drivesdk</t>
  </si>
  <si>
    <t xml:space="preserve">SITI KUSTAINAH </t>
  </si>
  <si>
    <t>kustainahsiti@gmail.com</t>
  </si>
  <si>
    <t>3692</t>
  </si>
  <si>
    <t>1Gwa4T7H-Bv_7-Ldx-oEFT9gtF3NOUUi-</t>
  </si>
  <si>
    <t>https://drive.google.com/file/d/1Gwa4T7H-Bv_7-Ldx-oEFT9gtF3NOUUi-/view?usp=drivesdk</t>
  </si>
  <si>
    <t>Document successfully created; Document successfully merged; PDF created; !!Error Sending Emails: Service invoked too many times for one day: email.; Manually run by ecertificate75@gmail.com; Timestamp: Sep 2 2024 5:06 AM</t>
  </si>
  <si>
    <t>SITI KHODIJAH, AMd. SE</t>
  </si>
  <si>
    <t>sitikhodijah_bm@yahoo.co.id</t>
  </si>
  <si>
    <t>3693</t>
  </si>
  <si>
    <t>Starting at Thu Aug 29 2024 21:19:36 GMT-0400 (EDT)</t>
  </si>
  <si>
    <t>1nvqlF_Hc-jCkeZh66Zp33tTp1Ww5PBzk</t>
  </si>
  <si>
    <t>https://drive.google.com/file/d/1nvqlF_Hc-jCkeZh66Zp33tTp1Ww5PBzk/view?usp=drivesdk</t>
  </si>
  <si>
    <t>RACHMAWATI YUNUS, A. MD. KEP</t>
  </si>
  <si>
    <t>yunus.rachmawati@yahoo.com</t>
  </si>
  <si>
    <t>3694</t>
  </si>
  <si>
    <t>1KHKDJtv-yGsXRDpPksEkTO_MmUuCmb-c</t>
  </si>
  <si>
    <t>https://drive.google.com/file/d/1KHKDJtv-yGsXRDpPksEkTO_MmUuCmb-c/view?usp=drivesdk</t>
  </si>
  <si>
    <t>PATMAWATI BR KARO,SE</t>
  </si>
  <si>
    <t>patmakaro426@gmail.com</t>
  </si>
  <si>
    <t>3695</t>
  </si>
  <si>
    <t>1dbFfQhXgNfQeXAMcHirn86fi8NzcJ9RN</t>
  </si>
  <si>
    <t>https://drive.google.com/file/d/1dbFfQhXgNfQeXAMcHirn86fi8NzcJ9RN/view?usp=drivesdk</t>
  </si>
  <si>
    <t xml:space="preserve">MULYONO </t>
  </si>
  <si>
    <t>mulyono19780415@gmail.com</t>
  </si>
  <si>
    <t>3696</t>
  </si>
  <si>
    <t>1DKT5RVYV9AcD810KYDN8hT2Aw4LXqWNw</t>
  </si>
  <si>
    <t>https://drive.google.com/file/d/1DKT5RVYV9AcD810KYDN8hT2Aw4LXqWNw/view?usp=drivesdk</t>
  </si>
  <si>
    <t>aisyahfira8833@gmail.com</t>
  </si>
  <si>
    <t>3697</t>
  </si>
  <si>
    <t>1u1jRoAjCJMpF4NeGPolVbhER_silicGP</t>
  </si>
  <si>
    <t>https://drive.google.com/file/d/1u1jRoAjCJMpF4NeGPolVbhER_silicGP/view?usp=drivesdk</t>
  </si>
  <si>
    <t>Document successfully created; Document successfully merged; PDF created; !!Error Sending Emails: Service invoked too many times for one day: email.; Manually run by ecertificate75@gmail.com; Timestamp: Sep 2 2024 5:07 AM</t>
  </si>
  <si>
    <t>RENI DATAU, SH</t>
  </si>
  <si>
    <t>renidatau651@gmai.com</t>
  </si>
  <si>
    <t>3698</t>
  </si>
  <si>
    <t>Starting at Thu Aug 29 2024 21:19:38 GMT-0400 (EDT)</t>
  </si>
  <si>
    <t>17vBfm0ymZg_9yEIKra8ECuDh1EcSxZcI</t>
  </si>
  <si>
    <t>https://drive.google.com/file/d/17vBfm0ymZg_9yEIKra8ECuDh1EcSxZcI/view?usp=drivesdk</t>
  </si>
  <si>
    <t>SIH PRAKOSA</t>
  </si>
  <si>
    <t>sihprakosa53@gmail.com</t>
  </si>
  <si>
    <t>3699</t>
  </si>
  <si>
    <t>1KeNdmOKD1t13KtgYQNcO6yUbF8EkqBz1</t>
  </si>
  <si>
    <t>https://drive.google.com/file/d/1KeNdmOKD1t13KtgYQNcO6yUbF8EkqBz1/view?usp=drivesdk</t>
  </si>
  <si>
    <t>KEVIN KAHFI KAMANDANO, S.H.</t>
  </si>
  <si>
    <t>kevins.kahfi@yahoo.com</t>
  </si>
  <si>
    <t>3700</t>
  </si>
  <si>
    <t>1kbwccpfmcq33cgdjxduWMqcg2awdmW5j</t>
  </si>
  <si>
    <t>https://drive.google.com/file/d/1kbwccpfmcq33cgdjxduWMqcg2awdmW5j/view?usp=drivesdk</t>
  </si>
  <si>
    <t>ANEPRI KAWISMAN, AMD. KEP</t>
  </si>
  <si>
    <t>kawismananefri@gmail.com</t>
  </si>
  <si>
    <t>3701</t>
  </si>
  <si>
    <t>14w5ov2eEIhnIZShd1VY6lGC0vfAntE3r</t>
  </si>
  <si>
    <t>https://drive.google.com/file/d/14w5ov2eEIhnIZShd1VY6lGC0vfAntE3r/view?usp=drivesdk</t>
  </si>
  <si>
    <t>Document successfully created; Document successfully merged; PDF created; !!Error Sending Emails: Service invoked too many times for one day: email.; Manually run by ecertificate75@gmail.com; Timestamp: Sep 2 2024 5:08 AM</t>
  </si>
  <si>
    <t>VITRI WAHYUNI, S.E.</t>
  </si>
  <si>
    <t>wahyunivitri6@gmail.com</t>
  </si>
  <si>
    <t>3702</t>
  </si>
  <si>
    <t>1TStjIWlODfdNoSS8CcLGvn5riVuvDFes</t>
  </si>
  <si>
    <t>https://drive.google.com/file/d/1TStjIWlODfdNoSS8CcLGvn5riVuvDFes/view?usp=drivesdk</t>
  </si>
  <si>
    <t>PUTDWIHANDA BAYU ANGGORO</t>
  </si>
  <si>
    <t>putdwihanda@gmail.com</t>
  </si>
  <si>
    <t>3703</t>
  </si>
  <si>
    <t>https://drive.google.com/file/d/1L1tD4PiRafNcDQ1we1_6SY7nGHpeRHR0/view?usp=drivesdk</t>
  </si>
  <si>
    <t>1L1tD4PiRafNcDQ1we1_6SY7nGHpeRHR0</t>
  </si>
  <si>
    <t>1zyjfBkkaR9ItwJss9c35cPuQlqSrpABn</t>
  </si>
  <si>
    <t>https://drive.google.com/file/d/1zyjfBkkaR9ItwJss9c35cPuQlqSrpABn/view?usp=drivesdk</t>
  </si>
  <si>
    <t>KEMAS HARYADI</t>
  </si>
  <si>
    <t>kemasharyadi2@gmail.com</t>
  </si>
  <si>
    <t>3704</t>
  </si>
  <si>
    <t>https://drive.google.com/file/d/1SQj1b1SITswbWsczQq-xr7N49Vepeyv2/view?usp=drivesdk</t>
  </si>
  <si>
    <t>Document successfully created; Document successfully merged; PDF created; !!Error Sending Emails: Service invoked too many times for one day: email.; Run via form trigger as ecertificate75@gmail.com; Timestamp: Aug 29 2024 9:20 PM</t>
  </si>
  <si>
    <t>1SQj1b1SITswbWsczQq-xr7N49Vepeyv2</t>
  </si>
  <si>
    <t>1wtSlyQhA-qZlu5jBaggmtQxvjFU74NG0</t>
  </si>
  <si>
    <t>https://drive.google.com/file/d/1wtSlyQhA-qZlu5jBaggmtQxvjFU74NG0/view?usp=drivesdk</t>
  </si>
  <si>
    <t>ANDILA, A.Md</t>
  </si>
  <si>
    <t>andilaabyan@gmail.com</t>
  </si>
  <si>
    <t>3705</t>
  </si>
  <si>
    <t>Starting at Thu Aug 29 2024 21:19:41 GMT-0400 (EDT)</t>
  </si>
  <si>
    <t>1fKxT1wi1pb7-gueHpta-nIR1SOXmS58S</t>
  </si>
  <si>
    <t>https://drive.google.com/file/d/1fKxT1wi1pb7-gueHpta-nIR1SOXmS58S/view?usp=drivesdk</t>
  </si>
  <si>
    <t>Document successfully created; Document successfully merged; PDF created; !!Error Sending Emails: Service invoked too many times for one day: email.; Manually run by ecertificate75@gmail.com; Timestamp: Sep 2 2024 5:09 AM</t>
  </si>
  <si>
    <t>OJO SANDI</t>
  </si>
  <si>
    <t>asep.polis07@gmail.com</t>
  </si>
  <si>
    <t>3706</t>
  </si>
  <si>
    <t>https://drive.google.com/file/d/1DaBeRKSfCGtVTh8Gq8fRycKHnMRy3plw/view?usp=drivesdk</t>
  </si>
  <si>
    <t>1DaBeRKSfCGtVTh8Gq8fRycKHnMRy3plw</t>
  </si>
  <si>
    <t>1lJfePWibod47ZLFBMC2YVMIA2NGQ0N8C</t>
  </si>
  <si>
    <t>https://drive.google.com/file/d/1lJfePWibod47ZLFBMC2YVMIA2NGQ0N8C/view?usp=drivesdk</t>
  </si>
  <si>
    <t>DIDIK SANTOSO</t>
  </si>
  <si>
    <t>didiks1970@gmail.cm</t>
  </si>
  <si>
    <t>3707</t>
  </si>
  <si>
    <t>https://drive.google.com/file/d/1aSYhbnRpRKW9rZ_9HLw0G2stnWkqthHJ/view?usp=drivesdk</t>
  </si>
  <si>
    <t>1aSYhbnRpRKW9rZ_9HLw0G2stnWkqthHJ</t>
  </si>
  <si>
    <t>1Qm3VrNcoHzq387k6ZvjVqjM9hnE_WBnc</t>
  </si>
  <si>
    <t>https://drive.google.com/file/d/1Qm3VrNcoHzq387k6ZvjVqjM9hnE_WBnc/view?usp=drivesdk</t>
  </si>
  <si>
    <t>SILVIA SIREGAR,S.kep</t>
  </si>
  <si>
    <t>silviasiregar317@gmail.com</t>
  </si>
  <si>
    <t>3708</t>
  </si>
  <si>
    <t>https://drive.google.com/file/d/19XCAdrVZtW9Yx9vGDpt8J1OMU7hE5H0b/view?usp=drivesdk</t>
  </si>
  <si>
    <t>19XCAdrVZtW9Yx9vGDpt8J1OMU7hE5H0b</t>
  </si>
  <si>
    <t>1JZqzl_OJJXrZYvJIR6umAkvPsHFSpVPF</t>
  </si>
  <si>
    <t>https://drive.google.com/file/d/1JZqzl_OJJXrZYvJIR6umAkvPsHFSpVPF/view?usp=drivesdk</t>
  </si>
  <si>
    <t>ETI MARTATI</t>
  </si>
  <si>
    <t>etimartati19@gmail.com</t>
  </si>
  <si>
    <t>3709</t>
  </si>
  <si>
    <t>https://drive.google.com/file/d/12PdFovyGYdLUTA6yKY2McdLk6GIr-M8_/view?usp=drivesdk</t>
  </si>
  <si>
    <t>12PdFovyGYdLUTA6yKY2McdLk6GIr-M8_</t>
  </si>
  <si>
    <t>1utrwPf4M2239VTbmq9Cl1woln9P45Ne_</t>
  </si>
  <si>
    <t>https://drive.google.com/file/d/1utrwPf4M2239VTbmq9Cl1woln9P45Ne_/view?usp=drivesdk</t>
  </si>
  <si>
    <t>Document successfully created; Document successfully merged; PDF created; !!Error Sending Emails: Service invoked too many times for one day: email.; Manually run by ecertificate75@gmail.com; Timestamp: Sep 2 2024 5:10 AM</t>
  </si>
  <si>
    <t>EKA IYUS SUPTANDAR, S.H.</t>
  </si>
  <si>
    <t>3710</t>
  </si>
  <si>
    <t>Starting at Thu Aug 29 2024 21:19:43 GMT-0400 (EDT)</t>
  </si>
  <si>
    <t>1QoBIKhhvoBXCDCyfrdcic-NHSFnVVXHf</t>
  </si>
  <si>
    <t>https://drive.google.com/file/d/1QoBIKhhvoBXCDCyfrdcic-NHSFnVVXHf/view?usp=drivesdk</t>
  </si>
  <si>
    <t>PENATA TK I SUSY ELFRIDA SIREGAR, S.E., M.Ak</t>
  </si>
  <si>
    <t>susyelfridasiregar@gmail.com</t>
  </si>
  <si>
    <t>3711</t>
  </si>
  <si>
    <t>1ArEj0CIK4CJUISB2566LatztIUXBR43B</t>
  </si>
  <si>
    <t>https://drive.google.com/file/d/1ArEj0CIK4CJUISB2566LatztIUXBR43B/view?usp=drivesdk</t>
  </si>
  <si>
    <t xml:space="preserve">MARTATIK </t>
  </si>
  <si>
    <t>martatik2001@gmail.com</t>
  </si>
  <si>
    <t>3712</t>
  </si>
  <si>
    <t>https://drive.google.com/file/d/1ihC4YglMvBw7Gc85Sm2aC8qpNUk7Npll/view?usp=drivesdk</t>
  </si>
  <si>
    <t>1ihC4YglMvBw7Gc85Sm2aC8qpNUk7Npll</t>
  </si>
  <si>
    <t>1GdtW5TO9YWALYUwgQzkbEmb6frfCyLHw</t>
  </si>
  <si>
    <t>https://drive.google.com/file/d/1GdtW5TO9YWALYUwgQzkbEmb6frfCyLHw/view?usp=drivesdk</t>
  </si>
  <si>
    <t>rissamessi@gmail.com</t>
  </si>
  <si>
    <t>3713</t>
  </si>
  <si>
    <t>https://drive.google.com/file/d/1lv0yzvmcj9P8wn2lGJabsvSJyvdhgP2n/view?usp=drivesdk</t>
  </si>
  <si>
    <t>1lv0yzvmcj9P8wn2lGJabsvSJyvdhgP2n</t>
  </si>
  <si>
    <t>1OZGotCSmjkc3MQlCGXujBVqgH0Bp5rWD</t>
  </si>
  <si>
    <t>https://drive.google.com/file/d/1OZGotCSmjkc3MQlCGXujBVqgH0Bp5rWD/view?usp=drivesdk</t>
  </si>
  <si>
    <t>SITI MUNAWAROH</t>
  </si>
  <si>
    <t>ybaharuddin8@gmail.com</t>
  </si>
  <si>
    <t>3714</t>
  </si>
  <si>
    <t>https://drive.google.com/file/d/1B6NHCnQdaqxinmadQ1YTFrQ8qA1jVFNj/view?usp=drivesdk</t>
  </si>
  <si>
    <t>1B6NHCnQdaqxinmadQ1YTFrQ8qA1jVFNj</t>
  </si>
  <si>
    <t>1CYC8cnUdcX9kBtT3o9qvCE6xAkieFAcl</t>
  </si>
  <si>
    <t>https://drive.google.com/file/d/1CYC8cnUdcX9kBtT3o9qvCE6xAkieFAcl/view?usp=drivesdk</t>
  </si>
  <si>
    <t>Document successfully created; Document successfully merged; PDF created; !!Error Sending Emails: Service invoked too many times for one day: email.; Manually run by ecertificate75@gmail.com; Timestamp: Sep 2 2024 5:11 AM</t>
  </si>
  <si>
    <t>JURAHMI</t>
  </si>
  <si>
    <t>rahmikurniapkp@gmail.com</t>
  </si>
  <si>
    <t>3715</t>
  </si>
  <si>
    <t>https://drive.google.com/file/d/1_8gdEAO5C4qXcpDSLIRNAcwMh6B5lKMu/view?usp=drivesdk</t>
  </si>
  <si>
    <t>1_8gdEAO5C4qXcpDSLIRNAcwMh6B5lKMu</t>
  </si>
  <si>
    <t>1hH_ZPY_uGHt1zn_bFRscDxHOgfOznLKq</t>
  </si>
  <si>
    <t>https://drive.google.com/file/d/1hH_ZPY_uGHt1zn_bFRscDxHOgfOznLKq/view?usp=drivesdk</t>
  </si>
  <si>
    <t>ADE MUKRI, S.E</t>
  </si>
  <si>
    <t>fvolcom1@gmail.com</t>
  </si>
  <si>
    <t>3716</t>
  </si>
  <si>
    <t>https://drive.google.com/file/d/1f2slyUbtvpIi8QYLLvESuRJtAd9D64rr/view?usp=drivesdk</t>
  </si>
  <si>
    <t>1f2slyUbtvpIi8QYLLvESuRJtAd9D64rr</t>
  </si>
  <si>
    <t>19FzBah_OvND_8re3iGkvC9QL2lqFRM21</t>
  </si>
  <si>
    <t>https://drive.google.com/file/d/19FzBah_OvND_8re3iGkvC9QL2lqFRM21/view?usp=drivesdk</t>
  </si>
  <si>
    <t>FARIDAH NUGRAHANI</t>
  </si>
  <si>
    <t>faridanugrahani@gmail.com</t>
  </si>
  <si>
    <t>3717</t>
  </si>
  <si>
    <t>https://drive.google.com/file/d/1tQzCNxQrt3ve-ygQAdmqs-vbCYFIU_Sp/view?usp=drivesdk</t>
  </si>
  <si>
    <t>1tQzCNxQrt3ve-ygQAdmqs-vbCYFIU_Sp</t>
  </si>
  <si>
    <t>1eoVyl74mwun6roMxNUmLE_LpGsOppi2P</t>
  </si>
  <si>
    <t>https://drive.google.com/file/d/1eoVyl74mwun6roMxNUmLE_LpGsOppi2P/view?usp=drivesdk</t>
  </si>
  <si>
    <t>SUNARTI S SOS</t>
  </si>
  <si>
    <t>sunartissos8@gmail.com</t>
  </si>
  <si>
    <t>3718</t>
  </si>
  <si>
    <t>https://drive.google.com/file/d/1KKg2i3bfyM5ozRYTIqp9fQ8tiA7JVYRq/view?usp=drivesdk</t>
  </si>
  <si>
    <t>1KKg2i3bfyM5ozRYTIqp9fQ8tiA7JVYRq</t>
  </si>
  <si>
    <t>120fattWhCKzvprlAYI87pB9hXCjXq4qk</t>
  </si>
  <si>
    <t>https://drive.google.com/file/d/120fattWhCKzvprlAYI87pB9hXCjXq4qk/view?usp=drivesdk</t>
  </si>
  <si>
    <t>sulistyowati11121977@gmail.com</t>
  </si>
  <si>
    <t>3719</t>
  </si>
  <si>
    <t>https://drive.google.com/file/d/1aWmt5ZuqcHQSkeAFQBnHXqTclcPCl98X/view?usp=drivesdk</t>
  </si>
  <si>
    <t>1aWmt5ZuqcHQSkeAFQBnHXqTclcPCl98X</t>
  </si>
  <si>
    <t>1KZd7tj6JJH7R6YAB8xJPxmct8VAPe8MA</t>
  </si>
  <si>
    <t>https://drive.google.com/file/d/1KZd7tj6JJH7R6YAB8xJPxmct8VAPe8MA/view?usp=drivesdk</t>
  </si>
  <si>
    <t>Document successfully created; Document successfully merged; PDF created; !!Error Sending Emails: Service invoked too many times for one day: email.; Manually run by ecertificate75@gmail.com; Timestamp: Sep 2 2024 5:12 AM</t>
  </si>
  <si>
    <t>HERDI R. LONE S.SI</t>
  </si>
  <si>
    <t>loneherdi@gmail.com</t>
  </si>
  <si>
    <t>3720</t>
  </si>
  <si>
    <t>https://drive.google.com/file/d/1ZBHVhB6nPs3P8jLmwfcw57fDS0Tp1_KA/view?usp=drivesdk</t>
  </si>
  <si>
    <t>1ZBHVhB6nPs3P8jLmwfcw57fDS0Tp1_KA</t>
  </si>
  <si>
    <t>1psTPrj7e-iYq2JdcgzyLzO-BioznRyd5</t>
  </si>
  <si>
    <t>https://drive.google.com/file/d/1psTPrj7e-iYq2JdcgzyLzO-BioznRyd5/view?usp=drivesdk</t>
  </si>
  <si>
    <t>RINI PRAWITASARI</t>
  </si>
  <si>
    <t>rinicallista24@gmail.com</t>
  </si>
  <si>
    <t>3721</t>
  </si>
  <si>
    <t>https://drive.google.com/file/d/1Fr8RXDc6YTDrFo2KDLtDSfzph3OvjIbC/view?usp=drivesdk</t>
  </si>
  <si>
    <t>1Fr8RXDc6YTDrFo2KDLtDSfzph3OvjIbC</t>
  </si>
  <si>
    <t>1npxU1mpNnZ3RoG01DC5I3KHlT3qvfcBF</t>
  </si>
  <si>
    <t>https://drive.google.com/file/d/1npxU1mpNnZ3RoG01DC5I3KHlT3qvfcBF/view?usp=drivesdk</t>
  </si>
  <si>
    <t>RAHMADI KURNIAWAN</t>
  </si>
  <si>
    <t>rexzhakurniawan@gmail.com</t>
  </si>
  <si>
    <t>3722</t>
  </si>
  <si>
    <t>Starting at Thu Aug 29 2024 21:19:50 GMT-0400 (EDT)</t>
  </si>
  <si>
    <t>1FagMVEXbdGLacc7bj2H-4rOnhQXDOyec</t>
  </si>
  <si>
    <t>https://drive.google.com/file/d/1FagMVEXbdGLacc7bj2H-4rOnhQXDOyec/view?usp=drivesdk</t>
  </si>
  <si>
    <t>RETNO WULAN SARI, AMD</t>
  </si>
  <si>
    <t>wulanozora21@gmail.com</t>
  </si>
  <si>
    <t>3723</t>
  </si>
  <si>
    <t>1tftWX7MwFWA8OXBvRVztUh4AdxdEfO60</t>
  </si>
  <si>
    <t>https://drive.google.com/file/d/1tftWX7MwFWA8OXBvRVztUh4AdxdEfO60/view?usp=drivesdk</t>
  </si>
  <si>
    <t>Document successfully created; Document successfully merged; PDF created; !!Error Sending Emails: Service invoked too many times for one day: email.; Manually run by ecertificate75@gmail.com; Timestamp: Sep 2 2024 5:13 AM</t>
  </si>
  <si>
    <t>SONIA MARTA, A.Md.Kep</t>
  </si>
  <si>
    <t>soniamarta09@yahoo.co.id</t>
  </si>
  <si>
    <t>3724</t>
  </si>
  <si>
    <t>1lm4HXJQS-QvCU1PwdFTZPjZ40J7PDZPy</t>
  </si>
  <si>
    <t>https://drive.google.com/file/d/1lm4HXJQS-QvCU1PwdFTZPjZ40J7PDZPy/view?usp=drivesdk</t>
  </si>
  <si>
    <t>NUR PRASETYO HADI, S.T</t>
  </si>
  <si>
    <t>nurprasetyohadi@gmail.com</t>
  </si>
  <si>
    <t>3725</t>
  </si>
  <si>
    <t>https://drive.google.com/file/d/1tMGoVpbtDFtck0Do4-BXZXkhvfxWK4_w/view?usp=drivesdk</t>
  </si>
  <si>
    <t>1tMGoVpbtDFtck0Do4-BXZXkhvfxWK4_w</t>
  </si>
  <si>
    <t>1MdBKxr4vlF2GANdfQmps3rY1Da3qBzyx</t>
  </si>
  <si>
    <t>https://drive.google.com/file/d/1MdBKxr4vlF2GANdfQmps3rY1Da3qBzyx/view?usp=drivesdk</t>
  </si>
  <si>
    <t>RATNA SARI DEWI</t>
  </si>
  <si>
    <t>ratsadewi1980@gmail.com</t>
  </si>
  <si>
    <t>3726</t>
  </si>
  <si>
    <t>https://drive.google.com/file/d/1NbjlaalrypQ5D9XTmt1g07siKS5I3onB/view?usp=drivesdk</t>
  </si>
  <si>
    <t>1NbjlaalrypQ5D9XTmt1g07siKS5I3onB</t>
  </si>
  <si>
    <t>1zPqo7eNTXMsp9m_wLVKTlBtt1A9AS_sB</t>
  </si>
  <si>
    <t>https://drive.google.com/file/d/1zPqo7eNTXMsp9m_wLVKTlBtt1A9AS_sB/view?usp=drivesdk</t>
  </si>
  <si>
    <t>MUHAMMAD FACHRIZA, SE</t>
  </si>
  <si>
    <t>rezapnk75@gmail.com</t>
  </si>
  <si>
    <t>3727</t>
  </si>
  <si>
    <t>Starting at Thu Aug 29 2024 21:19:53 GMT-0400 (EDT)</t>
  </si>
  <si>
    <t>1ZesbwSIwy0gG7d1Na1-GCsolcMOC3FRk</t>
  </si>
  <si>
    <t>https://drive.google.com/file/d/1ZesbwSIwy0gG7d1Na1-GCsolcMOC3FRk/view?usp=drivesdk</t>
  </si>
  <si>
    <t>Document successfully created; Document successfully merged; PDF created; !!Error Sending Emails: Service invoked too many times for one day: email.; Manually run by ecertificate75@gmail.com; Timestamp: Sep 2 2024 5:14 AM</t>
  </si>
  <si>
    <t>apt.FARHANAH YUSTIKA PUTRI</t>
  </si>
  <si>
    <t>farhanahyustikaputri26@gmail.com</t>
  </si>
  <si>
    <t>3728</t>
  </si>
  <si>
    <t>1NI43-usiz3pN9SEV28nWKxPEoqp8fty_</t>
  </si>
  <si>
    <t>https://drive.google.com/file/d/1NI43-usiz3pN9SEV28nWKxPEoqp8fty_/view?usp=drivesdk</t>
  </si>
  <si>
    <t>WAHYU HIDAYAT SINGANJAYA, A.Md.Kep.</t>
  </si>
  <si>
    <t>jokokendil81@gmail.com</t>
  </si>
  <si>
    <t>3729</t>
  </si>
  <si>
    <t>https://drive.google.com/file/d/1jJdTP_p-XwgseRPVt_cwXMHOJMi_vCVy/view?usp=drivesdk</t>
  </si>
  <si>
    <t>1jJdTP_p-XwgseRPVt_cwXMHOJMi_vCVy</t>
  </si>
  <si>
    <t>1qNcOfe3fD4kRI7NhJRut7kbyKIwo6fOB</t>
  </si>
  <si>
    <t>https://drive.google.com/file/d/1qNcOfe3fD4kRI7NhJRut7kbyKIwo6fOB/view?usp=drivesdk</t>
  </si>
  <si>
    <t>RITA FUJI HASTUTI</t>
  </si>
  <si>
    <t>ritafuji81@gmail.com</t>
  </si>
  <si>
    <t>3730</t>
  </si>
  <si>
    <t>https://drive.google.com/file/d/1Lc_KiS2O979xEJEOd_5EoUgAdMzpsmhU/view?usp=drivesdk</t>
  </si>
  <si>
    <t>1Lc_KiS2O979xEJEOd_5EoUgAdMzpsmhU</t>
  </si>
  <si>
    <t>1bgqOr40Ve4Qoz48PlNp-srZlzadd5vNU</t>
  </si>
  <si>
    <t>https://drive.google.com/file/d/1bgqOr40Ve4Qoz48PlNp-srZlzadd5vNU/view?usp=drivesdk</t>
  </si>
  <si>
    <t>SAMIJAN</t>
  </si>
  <si>
    <t>samijan616@gmail.com</t>
  </si>
  <si>
    <t>3731</t>
  </si>
  <si>
    <t>https://drive.google.com/file/d/1IBgMA7OV80W2ZhvUiA2XCJuEFimREr7-/view?usp=drivesdk</t>
  </si>
  <si>
    <t>1IBgMA7OV80W2ZhvUiA2XCJuEFimREr7-</t>
  </si>
  <si>
    <t>1wqQzAM7oZfaIJuXK7Gyfedvq0efqbDlE</t>
  </si>
  <si>
    <t>https://drive.google.com/file/d/1wqQzAM7oZfaIJuXK7Gyfedvq0efqbDlE/view?usp=drivesdk</t>
  </si>
  <si>
    <t>KARTIYONO</t>
  </si>
  <si>
    <t>kartiyonopns@gmail.com</t>
  </si>
  <si>
    <t>3732</t>
  </si>
  <si>
    <t>Starting at Thu Aug 29 2024 21:19:56 GMT-0400 (EDT)</t>
  </si>
  <si>
    <t>1dr-HWbkG9RiEb-E4xXFv94EcQEQpSBFe</t>
  </si>
  <si>
    <t>https://drive.google.com/file/d/1dr-HWbkG9RiEb-E4xXFv94EcQEQpSBFe/view?usp=drivesdk</t>
  </si>
  <si>
    <t>Document successfully created; Document successfully merged; PDF created; !!Error Sending Emails: Service invoked too many times for one day: email.; Manually run by ecertificate75@gmail.com; Timestamp: Sep 2 2024 5:15 AM</t>
  </si>
  <si>
    <t>ISMUN SADE</t>
  </si>
  <si>
    <t>ismuniis6@gmail.com</t>
  </si>
  <si>
    <t>3733</t>
  </si>
  <si>
    <t>https://drive.google.com/file/d/1hBRioDHrtjVdKSuOmBrEcY3R4OF1KkO9/view?usp=drivesdk</t>
  </si>
  <si>
    <t>1hBRioDHrtjVdKSuOmBrEcY3R4OF1KkO9</t>
  </si>
  <si>
    <t>1RrhsQxjM8jPyeZGWJ3Bi4Am8ERtE44Rb</t>
  </si>
  <si>
    <t>https://drive.google.com/file/d/1RrhsQxjM8jPyeZGWJ3Bi4Am8ERtE44Rb/view?usp=drivesdk</t>
  </si>
  <si>
    <t>KUSNIKUSNI</t>
  </si>
  <si>
    <t>kusnisipil@gmail.com</t>
  </si>
  <si>
    <t>3734</t>
  </si>
  <si>
    <t>https://drive.google.com/file/d/1-9RZWf9a2GPRDs-_tRoYelPVjVY4MrhM/view?usp=drivesdk</t>
  </si>
  <si>
    <t>1-9RZWf9a2GPRDs-_tRoYelPVjVY4MrhM</t>
  </si>
  <si>
    <t>1wnJOzOexDaE8_yXxQA0F6gLGktPl2ylz</t>
  </si>
  <si>
    <t>https://drive.google.com/file/d/1wnJOzOexDaE8_yXxQA0F6gLGktPl2ylz/view?usp=drivesdk</t>
  </si>
  <si>
    <t>MUKHLIS, SHI</t>
  </si>
  <si>
    <t>mukhlis.lis0102@gmail.com</t>
  </si>
  <si>
    <t>3735</t>
  </si>
  <si>
    <t>https://drive.google.com/file/d/1wcJ6De2_yqo83K71hsnnnkienDwRrN7A/view?usp=drivesdk</t>
  </si>
  <si>
    <t>1wcJ6De2_yqo83K71hsnnnkienDwRrN7A</t>
  </si>
  <si>
    <t>19ZLe6N1WuNu8RsfuO12bEwny7FF8V43w</t>
  </si>
  <si>
    <t>https://drive.google.com/file/d/19ZLe6N1WuNu8RsfuO12bEwny7FF8V43w/view?usp=drivesdk</t>
  </si>
  <si>
    <t>TAJUDDIN</t>
  </si>
  <si>
    <t>tajuddintata6@gmail.com</t>
  </si>
  <si>
    <t>3736</t>
  </si>
  <si>
    <t>Starting at Thu Aug 29 2024 21:19:59 GMT-0400 (EDT)</t>
  </si>
  <si>
    <t>1WUr0igPWxOdyiKmgGxRrOY1BOn7fx9ab</t>
  </si>
  <si>
    <t>https://drive.google.com/file/d/1WUr0igPWxOdyiKmgGxRrOY1BOn7fx9ab/view?usp=drivesdk</t>
  </si>
  <si>
    <t>Document successfully created; Document successfully merged; PDF created; !!Error Sending Emails: Service invoked too many times for one day: email.; Manually run by ecertificate75@gmail.com; Timestamp: Sep 2 2024 5:16 AM</t>
  </si>
  <si>
    <t xml:space="preserve">Ners. SUHARBAYU, SKep. </t>
  </si>
  <si>
    <t>suharbayu75@gmail.com</t>
  </si>
  <si>
    <t>3737</t>
  </si>
  <si>
    <t>1QiAGzm97T9xh1O_IeG1XlXtl1T3pR7yq</t>
  </si>
  <si>
    <t>https://drive.google.com/file/d/1QiAGzm97T9xh1O_IeG1XlXtl1T3pR7yq/view?usp=drivesdk</t>
  </si>
  <si>
    <t xml:space="preserve">YULIANA </t>
  </si>
  <si>
    <t>yoeyoen7@gmail.com</t>
  </si>
  <si>
    <t>3738</t>
  </si>
  <si>
    <t>1qGdOCNb-nRBm2QW70miORuRmPmpF9_-b</t>
  </si>
  <si>
    <t>https://drive.google.com/file/d/1qGdOCNb-nRBm2QW70miORuRmPmpF9_-b/view?usp=drivesdk</t>
  </si>
  <si>
    <t xml:space="preserve">KURNIAHTI HAYATUN </t>
  </si>
  <si>
    <t>kurniahtihayatun77@gmail.com</t>
  </si>
  <si>
    <t>3739</t>
  </si>
  <si>
    <t>https://drive.google.com/file/d/1RYD7-PhZ4spAZaB6X-sTLr7QMr25vgUY/view?usp=drivesdk</t>
  </si>
  <si>
    <t>1RYD7-PhZ4spAZaB6X-sTLr7QMr25vgUY</t>
  </si>
  <si>
    <t>1fWThsqXoruWr6yQ_1zrZeO3D6Zf_GKcU</t>
  </si>
  <si>
    <t>https://drive.google.com/file/d/1fWThsqXoruWr6yQ_1zrZeO3D6Zf_GKcU/view?usp=drivesdk</t>
  </si>
  <si>
    <t xml:space="preserve">LIA NOVIANTI </t>
  </si>
  <si>
    <t>lianovianti049@gmail.com</t>
  </si>
  <si>
    <t>3740</t>
  </si>
  <si>
    <t>https://drive.google.com/file/d/1xj48OZ5gu5k5jBUGcFecvmnw88lCXVYr/view?usp=drivesdk</t>
  </si>
  <si>
    <t>1xj48OZ5gu5k5jBUGcFecvmnw88lCXVYr</t>
  </si>
  <si>
    <t>1WeN7O1GyeSxVZRHC4BUj2LNhpC_VUbC8</t>
  </si>
  <si>
    <t>https://drive.google.com/file/d/1WeN7O1GyeSxVZRHC4BUj2LNhpC_VUbC8/view?usp=drivesdk</t>
  </si>
  <si>
    <t>KHOIRI BIN MUNTARI</t>
  </si>
  <si>
    <t>khoirimojokerto975@gmail.com</t>
  </si>
  <si>
    <t>3741</t>
  </si>
  <si>
    <t>Starting at Thu Aug 29 2024 21:20:01 GMT-0400 (EDT)</t>
  </si>
  <si>
    <t>1avpbaNM9-MMrmBCTXO5sJDMx5LLvfbuz</t>
  </si>
  <si>
    <t>https://drive.google.com/file/d/1avpbaNM9-MMrmBCTXO5sJDMx5LLvfbuz/view?usp=drivesdk</t>
  </si>
  <si>
    <t>Document successfully created; Document successfully merged; PDF created; !!Error Sending Emails: Service invoked too many times for one day: email.; Manually run by ecertificate75@gmail.com; Timestamp: Sep 2 2024 5:17 AM</t>
  </si>
  <si>
    <t>SONIA ZHAHARA,A.Md.Kep</t>
  </si>
  <si>
    <t>soniazhahara29@gmail.com</t>
  </si>
  <si>
    <t>3742</t>
  </si>
  <si>
    <t>https://drive.google.com/file/d/1IsP8nsIZ96WaDPCCofVWkyvJNLARbFbB/view?usp=drivesdk</t>
  </si>
  <si>
    <t>1IsP8nsIZ96WaDPCCofVWkyvJNLARbFbB</t>
  </si>
  <si>
    <t>19Z6QJtXBlHL25W3u3i6df_0TgHh3us52</t>
  </si>
  <si>
    <t>https://drive.google.com/file/d/19Z6QJtXBlHL25W3u3i6df_0TgHh3us52/view?usp=drivesdk</t>
  </si>
  <si>
    <t>MARINTAN PAKPAHAN</t>
  </si>
  <si>
    <t>marintanpakpahan083@gmail.com</t>
  </si>
  <si>
    <t>3743</t>
  </si>
  <si>
    <t>https://drive.google.com/file/d/19_iMGh_-i6HDjl_YsdM2qtW-6mlOVpod/view?usp=drivesdk</t>
  </si>
  <si>
    <t>19_iMGh_-i6HDjl_YsdM2qtW-6mlOVpod</t>
  </si>
  <si>
    <t>19tmW9f76-O1NAZ1n296cd-mD7xtPMVeK</t>
  </si>
  <si>
    <t>https://drive.google.com/file/d/19tmW9f76-O1NAZ1n296cd-mD7xtPMVeK/view?usp=drivesdk</t>
  </si>
  <si>
    <t>DIANSAH LOEBIS</t>
  </si>
  <si>
    <t>loebisdiansah561@gmail.com</t>
  </si>
  <si>
    <t>3744</t>
  </si>
  <si>
    <t>https://drive.google.com/file/d/1r6JP_ZADl01sXl9gjONB8W1rMJnZGqqN/view?usp=drivesdk</t>
  </si>
  <si>
    <t>1r6JP_ZADl01sXl9gjONB8W1rMJnZGqqN</t>
  </si>
  <si>
    <t>1x3VSDfa9tnq9j1bZyLKdyZcXsC3_RbsW</t>
  </si>
  <si>
    <t>https://drive.google.com/file/d/1x3VSDfa9tnq9j1bZyLKdyZcXsC3_RbsW/view?usp=drivesdk</t>
  </si>
  <si>
    <t>ROBIYATUL ADAWIYAH</t>
  </si>
  <si>
    <t>robiyatunyessy@gmail.com</t>
  </si>
  <si>
    <t>3745</t>
  </si>
  <si>
    <t>https://drive.google.com/file/d/1NRt6fj2VxatBHDy96qqihrMs3ji_b-uM/view?usp=drivesdk</t>
  </si>
  <si>
    <t>1NRt6fj2VxatBHDy96qqihrMs3ji_b-uM</t>
  </si>
  <si>
    <t>1YlirUPlsGxCAOsJY9ioT0mg7nnsKeguj</t>
  </si>
  <si>
    <t>https://drive.google.com/file/d/1YlirUPlsGxCAOsJY9ioT0mg7nnsKeguj/view?usp=drivesdk</t>
  </si>
  <si>
    <t xml:space="preserve">MUHAMMAD YUSRI </t>
  </si>
  <si>
    <t>muhammadyusri626@gmail.com</t>
  </si>
  <si>
    <t>3746</t>
  </si>
  <si>
    <t>https://drive.google.com/file/d/1aKk7zYUeptRSgGgcXcgN7DpZGOAesN13/view?usp=drivesdk</t>
  </si>
  <si>
    <t>1aKk7zYUeptRSgGgcXcgN7DpZGOAesN13</t>
  </si>
  <si>
    <t>1M3xfSXiXKVo60t99JAYXjAbqWYn_J_2b</t>
  </si>
  <si>
    <t>https://drive.google.com/file/d/1M3xfSXiXKVo60t99JAYXjAbqWYn_J_2b/view?usp=drivesdk</t>
  </si>
  <si>
    <t>Document successfully created; Document successfully merged; PDF created; !!Error Sending Emails: Service invoked too many times for one day: email.; Manually run by ecertificate75@gmail.com; Timestamp: Sep 2 2024 5:18 AM</t>
  </si>
  <si>
    <t>NUNUNG IDA</t>
  </si>
  <si>
    <t>nunung.spn@gmail.com</t>
  </si>
  <si>
    <t>3747</t>
  </si>
  <si>
    <t>Starting at Thu Aug 29 2024 21:20:09 GMT-0400 (EDT)</t>
  </si>
  <si>
    <t>1Su81RnciWcXPBhRf1SFN05IbF26XwICS</t>
  </si>
  <si>
    <t>https://drive.google.com/file/d/1Su81RnciWcXPBhRf1SFN05IbF26XwICS/view?usp=drivesdk</t>
  </si>
  <si>
    <t>Rika Mustika. A.Md</t>
  </si>
  <si>
    <t>rommi021274@gmail.com</t>
  </si>
  <si>
    <t>3748</t>
  </si>
  <si>
    <t>https://drive.google.com/file/d/1_Bx_zF8_KV2Bd3nPciLgA80_2HwtxDdg/view?usp=drivesdk</t>
  </si>
  <si>
    <t>1_Bx_zF8_KV2Bd3nPciLgA80_2HwtxDdg</t>
  </si>
  <si>
    <t>1s9DGV-PkYLf2o52fGK9hl0uYjtcS7t-F</t>
  </si>
  <si>
    <t>https://drive.google.com/file/d/1s9DGV-PkYLf2o52fGK9hl0uYjtcS7t-F/view?usp=drivesdk</t>
  </si>
  <si>
    <t>JULIANTO</t>
  </si>
  <si>
    <t>yuliantogajahmada@gmail.com</t>
  </si>
  <si>
    <t>3749</t>
  </si>
  <si>
    <t>https://drive.google.com/file/d/1FC1qHEm6CYt2dvKw1RdvX2oOt-LK31aA/view?usp=drivesdk</t>
  </si>
  <si>
    <t>Document successfully created; Document successfully merged; PDF created; !!Error Sending Emails: Service invoked too many times for one day: email.; Run via form trigger as ecertificate75@gmail.com; Timestamp: Aug 29 2024 9:21 PM</t>
  </si>
  <si>
    <t>1FC1qHEm6CYt2dvKw1RdvX2oOt-LK31aA</t>
  </si>
  <si>
    <t>18nAuG8UoipeqECnB1IIT8xpiYSNBGsbg</t>
  </si>
  <si>
    <t>https://drive.google.com/file/d/18nAuG8UoipeqECnB1IIT8xpiYSNBGsbg/view?usp=drivesdk</t>
  </si>
  <si>
    <t>SRI REDJEKI, SE</t>
  </si>
  <si>
    <t>sriredjekibrebes1969@gmail.com</t>
  </si>
  <si>
    <t>3750</t>
  </si>
  <si>
    <t>https://drive.google.com/file/d/1Qh6KMtMuWWU_x8nnZ6rjb80aSWX1j1us/view?usp=drivesdk</t>
  </si>
  <si>
    <t>1Qh6KMtMuWWU_x8nnZ6rjb80aSWX1j1us</t>
  </si>
  <si>
    <t>1JeN-2tBFA9BzS5U_KS3gth_NqhzG41Wu</t>
  </si>
  <si>
    <t>https://drive.google.com/file/d/1JeN-2tBFA9BzS5U_KS3gth_NqhzG41Wu/view?usp=drivesdk</t>
  </si>
  <si>
    <t>Document successfully created; Document successfully merged; PDF created; !!Error Sending Emails: Service invoked too many times for one day: email.; Manually run by ecertificate75@gmail.com; Timestamp: Sep 2 2024 5:19 AM</t>
  </si>
  <si>
    <t>dr.WILIARTI SEPUTRI</t>
  </si>
  <si>
    <t>wiliartiseputri88@gmail.com</t>
  </si>
  <si>
    <t>3751</t>
  </si>
  <si>
    <t>https://drive.google.com/file/d/1C9U5CMfOwZwe1P_dlu79fAQfjsMxAAfv/view?usp=drivesdk</t>
  </si>
  <si>
    <t>1C9U5CMfOwZwe1P_dlu79fAQfjsMxAAfv</t>
  </si>
  <si>
    <t>1srFpBfwni8r6Vv5kemp9IWdgAAI2LxcX</t>
  </si>
  <si>
    <t>https://drive.google.com/file/d/1srFpBfwni8r6Vv5kemp9IWdgAAI2LxcX/view?usp=drivesdk</t>
  </si>
  <si>
    <t>ATIKA ANDRINA. S, AM. KEP</t>
  </si>
  <si>
    <t>atikaandrinasalim@gmail.com</t>
  </si>
  <si>
    <t>3752</t>
  </si>
  <si>
    <t>Starting at Thu Aug 29 2024 21:20:15 GMT-0400 (EDT)</t>
  </si>
  <si>
    <t>1FbQuGiG0v2OXvNMgX0SEAnsdwMs0INZZ</t>
  </si>
  <si>
    <t>https://drive.google.com/file/d/1FbQuGiG0v2OXvNMgX0SEAnsdwMs0INZZ/view?usp=drivesdk</t>
  </si>
  <si>
    <t>UDIN SUYONO</t>
  </si>
  <si>
    <t>udinsuyono34@gmail.com</t>
  </si>
  <si>
    <t>3753</t>
  </si>
  <si>
    <t>1jfqtKUCknnnGvQS925kelea4fVkFqbXt</t>
  </si>
  <si>
    <t>https://drive.google.com/file/d/1jfqtKUCknnnGvQS925kelea4fVkFqbXt/view?usp=drivesdk</t>
  </si>
  <si>
    <t>AL FURKON</t>
  </si>
  <si>
    <t>abid.alyaaqil@gmail.com</t>
  </si>
  <si>
    <t>3754</t>
  </si>
  <si>
    <t>https://drive.google.com/file/d/1qW2ubu-QV_uUN3LSvmtcNbPCqCkcTwB9/view?usp=drivesdk</t>
  </si>
  <si>
    <t>1qW2ubu-QV_uUN3LSvmtcNbPCqCkcTwB9</t>
  </si>
  <si>
    <t>1falcmqeTFyrq7Jv-WeGSZ3uDJzmFTNL1</t>
  </si>
  <si>
    <t>https://drive.google.com/file/d/1falcmqeTFyrq7Jv-WeGSZ3uDJzmFTNL1/view?usp=drivesdk</t>
  </si>
  <si>
    <t>Document successfully created; Document successfully merged; PDF created; !!Error Sending Emails: Service invoked too many times for one day: email.; Manually run by ecertificate75@gmail.com; Timestamp: Sep 2 2024 5:20 AM</t>
  </si>
  <si>
    <t>LIN NUR ISNAWATI</t>
  </si>
  <si>
    <t>linisnawati13@gmail.com</t>
  </si>
  <si>
    <t>3755</t>
  </si>
  <si>
    <t>https://drive.google.com/file/d/1LWnn8BW12ohtdy3k04HDpMXyoHt5STEo/view?usp=drivesdk</t>
  </si>
  <si>
    <t>1LWnn8BW12ohtdy3k04HDpMXyoHt5STEo</t>
  </si>
  <si>
    <t>1qLATkpLaVRk-W2OpHsJSbn5dK30xfb0i</t>
  </si>
  <si>
    <t>https://drive.google.com/file/d/1qLATkpLaVRk-W2OpHsJSbn5dK30xfb0i/view?usp=drivesdk</t>
  </si>
  <si>
    <t>NISWOYO</t>
  </si>
  <si>
    <t>niswoyo@gmail.com</t>
  </si>
  <si>
    <t>3756</t>
  </si>
  <si>
    <t>https://drive.google.com/file/d/1r0KQAOolojE4crKDHUBCt1bppTXbvYez/view?usp=drivesdk</t>
  </si>
  <si>
    <t>1r0KQAOolojE4crKDHUBCt1bppTXbvYez</t>
  </si>
  <si>
    <t>1S7DmgYmvEm547opnosymy0QQFwLSt4uI</t>
  </si>
  <si>
    <t>https://drive.google.com/file/d/1S7DmgYmvEm547opnosymy0QQFwLSt4uI/view?usp=drivesdk</t>
  </si>
  <si>
    <t>INDRIATI RENI</t>
  </si>
  <si>
    <t>indriatireni700@gmail.com</t>
  </si>
  <si>
    <t>3757</t>
  </si>
  <si>
    <t>Starting at Thu Aug 29 2024 21:20:25 GMT-0400 (EDT)</t>
  </si>
  <si>
    <t>11HQIJXHdy7Y1HLsWKvA5oIVk24bveWSC</t>
  </si>
  <si>
    <t>https://drive.google.com/file/d/11HQIJXHdy7Y1HLsWKvA5oIVk24bveWSC/view?usp=drivesdk</t>
  </si>
  <si>
    <t>RUMINI</t>
  </si>
  <si>
    <t>rumini17051977@gmail.com</t>
  </si>
  <si>
    <t>3758</t>
  </si>
  <si>
    <t>1ml6nJ1UK9YYpmW1Vwl6gTgC7dXTmnPKe</t>
  </si>
  <si>
    <t>https://drive.google.com/file/d/1ml6nJ1UK9YYpmW1Vwl6gTgC7dXTmnPKe/view?usp=drivesdk</t>
  </si>
  <si>
    <t xml:space="preserve">EDY PURNOMO </t>
  </si>
  <si>
    <t>edyp1979@gmail.com</t>
  </si>
  <si>
    <t>3759</t>
  </si>
  <si>
    <t>1ZnAaxFp_qFH_EXyJQ2CcuAQILupxvMC5</t>
  </si>
  <si>
    <t>https://drive.google.com/file/d/1ZnAaxFp_qFH_EXyJQ2CcuAQILupxvMC5/view?usp=drivesdk</t>
  </si>
  <si>
    <t>Document successfully created; Document successfully merged; PDF created; !!Error Sending Emails: Service invoked too many times for one day: email.; Run via form trigger as ecertificate75@gmail.com; Timestamp: Sep 2 2024 5:03 AM</t>
  </si>
  <si>
    <t>PUTRI RAHAYU, S.R.</t>
  </si>
  <si>
    <t>putrirahayuayu41@gmail.com</t>
  </si>
  <si>
    <t>3760</t>
  </si>
  <si>
    <t>1dL4yeBZTq5ggk84mp5TXil_f4Ven0Hvl</t>
  </si>
  <si>
    <t>https://drive.google.com/file/d/1dL4yeBZTq5ggk84mp5TXil_f4Ven0Hvl/view?usp=drivesdk</t>
  </si>
  <si>
    <t>YUNI WIDIASTUTI</t>
  </si>
  <si>
    <t>yuniwidiastuti559@gmail.com</t>
  </si>
  <si>
    <t>3761</t>
  </si>
  <si>
    <t>11Vxvt9RcLU53X1k9oVZocegFWap2Eb91</t>
  </si>
  <si>
    <t>https://drive.google.com/file/d/11Vxvt9RcLU53X1k9oVZocegFWap2Eb91/view?usp=drivesdk</t>
  </si>
  <si>
    <t>dr. HARMAILINDA</t>
  </si>
  <si>
    <t>harmailinda24@gmail.com</t>
  </si>
  <si>
    <t>3762</t>
  </si>
  <si>
    <t>1hA5XkWvY4EZ_BMLVL1zCI0FnsXJiHoye</t>
  </si>
  <si>
    <t>https://drive.google.com/file/d/1hA5XkWvY4EZ_BMLVL1zCI0FnsXJiHoye/view?usp=drivesdk</t>
  </si>
  <si>
    <t>SUGIYANTI</t>
  </si>
  <si>
    <t>sugiyanti050575@gmail.com</t>
  </si>
  <si>
    <t>3763</t>
  </si>
  <si>
    <t>1TI2UFV3vwQXNu6rOYWOv9OnIwNxju-_p</t>
  </si>
  <si>
    <t>https://drive.google.com/file/d/1TI2UFV3vwQXNu6rOYWOv9OnIwNxju-_p/view?usp=drivesdk</t>
  </si>
  <si>
    <t>Document successfully created; Document successfully merged; PDF created; !!Error Sending Emails: Service invoked too many times for one day: email.; Run via form trigger as ecertificate75@gmail.com; Timestamp: Sep 2 2024 5:04 AM</t>
  </si>
  <si>
    <t>SETIAWATI, A.Md.,M.I.</t>
  </si>
  <si>
    <t>Ariestya0804@gmail.com</t>
  </si>
  <si>
    <t>3764</t>
  </si>
  <si>
    <t>1rAcOSHmBHdYbMSDNt2SHxodM27CERvoo</t>
  </si>
  <si>
    <t>https://drive.google.com/file/d/1rAcOSHmBHdYbMSDNt2SHxodM27CERvoo/view?usp=drivesdk</t>
  </si>
  <si>
    <t>JOKO SUMARYONO</t>
  </si>
  <si>
    <t>djokosoemaryono@gmail.com</t>
  </si>
  <si>
    <t>3765</t>
  </si>
  <si>
    <t>1gvPSm_hyFty_JyZbZuAygDhCttrTmRKn</t>
  </si>
  <si>
    <t>https://drive.google.com/file/d/1gvPSm_hyFty_JyZbZuAygDhCttrTmRKn/view?usp=drivesdk</t>
  </si>
  <si>
    <t>FRANGKY MANUHUTU, S.E.</t>
  </si>
  <si>
    <t>androwia.family@gmail.com</t>
  </si>
  <si>
    <t>3766</t>
  </si>
  <si>
    <t>1l78NhpqL3eciB3OGDFp1-vFdEtyhqmQV</t>
  </si>
  <si>
    <t>https://drive.google.com/file/d/1l78NhpqL3eciB3OGDFp1-vFdEtyhqmQV/view?usp=drivesdk</t>
  </si>
  <si>
    <t xml:space="preserve">KEMAS ABDUL HARIS </t>
  </si>
  <si>
    <t>kemasabdulharis99@gmail.com</t>
  </si>
  <si>
    <t>3767</t>
  </si>
  <si>
    <t>1aGi0PXmZ_Uqsc4UVAMASGhjjLolGaGkc</t>
  </si>
  <si>
    <t>https://drive.google.com/file/d/1aGi0PXmZ_Uqsc4UVAMASGhjjLolGaGkc/view?usp=drivesdk</t>
  </si>
  <si>
    <t>Document successfully created; Document successfully merged; PDF created; !!Error Sending Emails: Service invoked too many times for one day: email.; Run via form trigger as ecertificate75@gmail.com; Timestamp: Sep 2 2024 5:05 AM</t>
  </si>
  <si>
    <t>APRILIANA SAGITA, SE</t>
  </si>
  <si>
    <t>aprilianasagita80@gmail.com</t>
  </si>
  <si>
    <t>3768</t>
  </si>
  <si>
    <t>1W0ULkK1Mts-eOFuvlWMtgeIJAgTQi5DY</t>
  </si>
  <si>
    <t>https://drive.google.com/file/d/1W0ULkK1Mts-eOFuvlWMtgeIJAgTQi5DY/view?usp=drivesdk</t>
  </si>
  <si>
    <t>dr. Sti Marioni Sandag, M.Kes</t>
  </si>
  <si>
    <t>stisandag2017@gmail.com</t>
  </si>
  <si>
    <t>3769</t>
  </si>
  <si>
    <t>1HdFQ6YoyAatKqrvCoxbGKJ1wSBfT62XH</t>
  </si>
  <si>
    <t>https://drive.google.com/file/d/1HdFQ6YoyAatKqrvCoxbGKJ1wSBfT62XH/view?usp=drivesdk</t>
  </si>
  <si>
    <t>SUAIBAH, S.P.,S.Pd., M.Pd.</t>
  </si>
  <si>
    <t>spnsuaibah@gmail.com</t>
  </si>
  <si>
    <t>3770</t>
  </si>
  <si>
    <t>https://drive.google.com/file/d/1-jXUDNaRPtEyrAzvLOTcFHb8r1hObcBq/view?usp=drivesdk</t>
  </si>
  <si>
    <t>1-jXUDNaRPtEyrAzvLOTcFHb8r1hObcBq</t>
  </si>
  <si>
    <t>1tGyJqM6o0D8qIeIdODwLWpHfr53liIx9</t>
  </si>
  <si>
    <t>https://drive.google.com/file/d/1tGyJqM6o0D8qIeIdODwLWpHfr53liIx9/view?usp=drivesdk</t>
  </si>
  <si>
    <t xml:space="preserve">INTAN NOFITA ARIFIANI </t>
  </si>
  <si>
    <t>intannofita01@gmail.com</t>
  </si>
  <si>
    <t>3771</t>
  </si>
  <si>
    <t>https://drive.google.com/file/d/1kZA9rCFW_K8mSH5Ii-rGCo8hXEaU9zXo/view?usp=drivesdk</t>
  </si>
  <si>
    <t>1kZA9rCFW_K8mSH5Ii-rGCo8hXEaU9zXo</t>
  </si>
  <si>
    <t>1mLBNFhSbGnfbqLrD4rmSA9Q42AYLNsAB</t>
  </si>
  <si>
    <t>https://drive.google.com/file/d/1mLBNFhSbGnfbqLrD4rmSA9Q42AYLNsAB/view?usp=drivesdk</t>
  </si>
  <si>
    <t>MERIKA WIDYANINGSIH</t>
  </si>
  <si>
    <t>merikawidyaningsih02019@gmail.com</t>
  </si>
  <si>
    <t>3772</t>
  </si>
  <si>
    <t>https://drive.google.com/file/d/1ZHfHh1lQs2mVdOVBd6W6DOgUjfZFOoBB/view?usp=drivesdk</t>
  </si>
  <si>
    <t>1ZHfHh1lQs2mVdOVBd6W6DOgUjfZFOoBB</t>
  </si>
  <si>
    <t>1-bjh57s5TK2LPeon9nQWFwJBONUXs0qd</t>
  </si>
  <si>
    <t>https://drive.google.com/file/d/1-bjh57s5TK2LPeon9nQWFwJBONUXs0qd/view?usp=drivesdk</t>
  </si>
  <si>
    <t>Document successfully created; Document successfully merged; PDF created; !!Error Sending Emails: Service invoked too many times for one day: email.; Run via form trigger as ecertificate75@gmail.com; Timestamp: Sep 2 2024 5:06 AM</t>
  </si>
  <si>
    <t>SUMIYATI S.Kom</t>
  </si>
  <si>
    <t>sumiyati253@gmail.com</t>
  </si>
  <si>
    <t>3773</t>
  </si>
  <si>
    <t>Starting at Thu Aug 29 2024 21:20:39 GMT-0400 (EDT)</t>
  </si>
  <si>
    <t>1rcr14tNZAMHY2ru-iliUzlBSDnIQ6u8u</t>
  </si>
  <si>
    <t>https://drive.google.com/file/d/1rcr14tNZAMHY2ru-iliUzlBSDnIQ6u8u/view?usp=drivesdk</t>
  </si>
  <si>
    <t>AGUS SUDIRGO</t>
  </si>
  <si>
    <t>agussudirgo.taabessmg@gmail.com</t>
  </si>
  <si>
    <t>3774</t>
  </si>
  <si>
    <t>1OhZCbrcvAArUyYYgQImS9pwMSitMiTh1</t>
  </si>
  <si>
    <t>https://drive.google.com/file/d/1OhZCbrcvAArUyYYgQImS9pwMSitMiTh1/view?usp=drivesdk</t>
  </si>
  <si>
    <t>DESIWIDIANTI</t>
  </si>
  <si>
    <t>desiwi1973@gmail.com</t>
  </si>
  <si>
    <t>3775</t>
  </si>
  <si>
    <t>1ZJCxC8jCtf3vDq-nGXRCkU61J_xO87z8</t>
  </si>
  <si>
    <t>https://drive.google.com/file/d/1ZJCxC8jCtf3vDq-nGXRCkU61J_xO87z8/view?usp=drivesdk</t>
  </si>
  <si>
    <t>sumijelly23@gmail.com</t>
  </si>
  <si>
    <t>3776</t>
  </si>
  <si>
    <t>19Lav17xmaSYI28FxFZzfJTppfGrrdECA</t>
  </si>
  <si>
    <t>https://drive.google.com/file/d/19Lav17xmaSYI28FxFZzfJTppfGrrdECA/view?usp=drivesdk</t>
  </si>
  <si>
    <t>Document successfully created; Document successfully merged; PDF created; !!Error Sending Emails: Service invoked too many times for one day: email.; Run via form trigger as ecertificate75@gmail.com; Timestamp: Sep 2 2024 5:07 AM</t>
  </si>
  <si>
    <t>NUTIMA GUMAINI</t>
  </si>
  <si>
    <t>nutimagumaini@gmail.com</t>
  </si>
  <si>
    <t>3777</t>
  </si>
  <si>
    <t>1OMEycWwTGsEUmrHY1GtBhuQUju-pbqjh</t>
  </si>
  <si>
    <t>https://drive.google.com/file/d/1OMEycWwTGsEUmrHY1GtBhuQUju-pbqjh/view?usp=drivesdk</t>
  </si>
  <si>
    <t xml:space="preserve">SANTIKA </t>
  </si>
  <si>
    <t>santikatika5690@gmail.com</t>
  </si>
  <si>
    <t>3778</t>
  </si>
  <si>
    <t>1HHDKEKZfdXaLdVAWdjcxSJ0cCm6Ey3W5</t>
  </si>
  <si>
    <t>https://drive.google.com/file/d/1HHDKEKZfdXaLdVAWdjcxSJ0cCm6Ey3W5/view?usp=drivesdk</t>
  </si>
  <si>
    <t>TUGAS YULI NURSETYANINGSIH,S.Kep.Ns</t>
  </si>
  <si>
    <t>nursetyaningsih271104agus@gmail.com</t>
  </si>
  <si>
    <t>3779</t>
  </si>
  <si>
    <t>1pgKhopDnsBMX6IcRAazG14CUGKTGeFRn</t>
  </si>
  <si>
    <t>https://drive.google.com/file/d/1pgKhopDnsBMX6IcRAazG14CUGKTGeFRn/view?usp=drivesdk</t>
  </si>
  <si>
    <t>AZIZUL HAKIEM</t>
  </si>
  <si>
    <t>azizulhakiem@gmail.com</t>
  </si>
  <si>
    <t>3780</t>
  </si>
  <si>
    <t>1_yBh7WxrYv1KTXqiXHcQD1nuPbgS6eqZ</t>
  </si>
  <si>
    <t>https://drive.google.com/file/d/1_yBh7WxrYv1KTXqiXHcQD1nuPbgS6eqZ/view?usp=drivesdk</t>
  </si>
  <si>
    <t>Document successfully created; Document successfully merged; PDF created; !!Error Sending Emails: Service invoked too many times for one day: email.; Manually run by ecertificate75@gmail.com; Timestamp: Sep 2 2024 5:21 AM</t>
  </si>
  <si>
    <t>JUNIANTI SAWIAS, A.Md.Keb</t>
  </si>
  <si>
    <t>junianti1979@gmail.com</t>
  </si>
  <si>
    <t>3781</t>
  </si>
  <si>
    <t>1FA5OoBrFcqSYII9KlTcq6eVNgoH2JiYg</t>
  </si>
  <si>
    <t>https://drive.google.com/file/d/1FA5OoBrFcqSYII9KlTcq6eVNgoH2JiYg/view?usp=drivesdk</t>
  </si>
  <si>
    <t xml:space="preserve">AHMAD NURIADIN </t>
  </si>
  <si>
    <t>nuriadinahmad052@gmail.com</t>
  </si>
  <si>
    <t>3782</t>
  </si>
  <si>
    <t>1nTQi9QMpZeJnayHSklMsSboLlaPxnLe7</t>
  </si>
  <si>
    <t>https://drive.google.com/file/d/1nTQi9QMpZeJnayHSklMsSboLlaPxnLe7/view?usp=drivesdk</t>
  </si>
  <si>
    <t>NI NYOMAN SANTRINJ</t>
  </si>
  <si>
    <t>nyoman.santrini@gmail.com</t>
  </si>
  <si>
    <t>3783</t>
  </si>
  <si>
    <t>1OYGC4NfNlp_F2gzv4rR19TzRrXkNjl8j</t>
  </si>
  <si>
    <t>https://drive.google.com/file/d/1OYGC4NfNlp_F2gzv4rR19TzRrXkNjl8j/view?usp=drivesdk</t>
  </si>
  <si>
    <t>SRI SUDARYATI</t>
  </si>
  <si>
    <t>bundacindy26@gmail.com</t>
  </si>
  <si>
    <t>3784</t>
  </si>
  <si>
    <t>1pFQ8L0x8a5cevvRnFqmqpX4A3iyA7Auk</t>
  </si>
  <si>
    <t>https://drive.google.com/file/d/1pFQ8L0x8a5cevvRnFqmqpX4A3iyA7Auk/view?usp=drivesdk</t>
  </si>
  <si>
    <t>Document successfully created; Document successfully merged; PDF created; !!Error Sending Emails: Service invoked too many times for one day: email.; Manually run by ecertificate75@gmail.com; Timestamp: Sep 2 2024 5:22 AM</t>
  </si>
  <si>
    <t xml:space="preserve">EVA ENDRASARY, S.E. </t>
  </si>
  <si>
    <t>evaendrasary0109@gmail.com</t>
  </si>
  <si>
    <t>3785</t>
  </si>
  <si>
    <t>1zLOvJDpQ7AReXWA2U7EoAdub9qE9F7yB</t>
  </si>
  <si>
    <t>https://drive.google.com/file/d/1zLOvJDpQ7AReXWA2U7EoAdub9qE9F7yB/view?usp=drivesdk</t>
  </si>
  <si>
    <t>LIA NOVI ERMAWATI, S. Si</t>
  </si>
  <si>
    <t>lianoviermawati@gmail.com</t>
  </si>
  <si>
    <t>3786</t>
  </si>
  <si>
    <t>1rvhFDf2Shm7Usp0Jtgi3HEOMAOOfQhGI</t>
  </si>
  <si>
    <t>https://drive.google.com/file/d/1rvhFDf2Shm7Usp0Jtgi3HEOMAOOfQhGI/view?usp=drivesdk</t>
  </si>
  <si>
    <t>OKTARINA</t>
  </si>
  <si>
    <t>rinaokta324@gmail.com</t>
  </si>
  <si>
    <t>3787</t>
  </si>
  <si>
    <t>1t4QSHMFHQLHOKY0FZSOinvBKo0j3S3CR</t>
  </si>
  <si>
    <t>https://drive.google.com/file/d/1t4QSHMFHQLHOKY0FZSOinvBKo0j3S3CR/view?usp=drivesdk</t>
  </si>
  <si>
    <t>SUMILAH</t>
  </si>
  <si>
    <t>sumilahputri22@gmail.com</t>
  </si>
  <si>
    <t>3788</t>
  </si>
  <si>
    <t>1jHtGwDr2SYuAo0Hhyytl0cuOhUEH7m86</t>
  </si>
  <si>
    <t>https://drive.google.com/file/d/1jHtGwDr2SYuAo0Hhyytl0cuOhUEH7m86/view?usp=drivesdk</t>
  </si>
  <si>
    <t>YENI INDRIANINGTRYAS, S.E.</t>
  </si>
  <si>
    <t>iyengnie@gmail.com</t>
  </si>
  <si>
    <t>3789</t>
  </si>
  <si>
    <t>13UsiO1aeJH1kxnI1i8a6PdY1nD-ImegY</t>
  </si>
  <si>
    <t>https://drive.google.com/file/d/13UsiO1aeJH1kxnI1i8a6PdY1nD-ImegY/view?usp=drivesdk</t>
  </si>
  <si>
    <t>Document successfully created; Document successfully merged; PDF created; !!Error Sending Emails: Service invoked too many times for one day: email.; Manually run by ecertificate75@gmail.com; Timestamp: Sep 2 2024 5:23 AM</t>
  </si>
  <si>
    <t>MUHAMMAD TAUFIK,A.MD.FARM, S.AP</t>
  </si>
  <si>
    <t>taufik.ponti1306@gmail.com</t>
  </si>
  <si>
    <t>3790</t>
  </si>
  <si>
    <t>1kOaphcHZvGnP-nAIszvK4L2s8xoCeTPb</t>
  </si>
  <si>
    <t>https://drive.google.com/file/d/1kOaphcHZvGnP-nAIszvK4L2s8xoCeTPb/view?usp=drivesdk</t>
  </si>
  <si>
    <t>ARIEF WIBOWO, S.H.</t>
  </si>
  <si>
    <t>wibowo.jambi@gmail.com</t>
  </si>
  <si>
    <t>3791</t>
  </si>
  <si>
    <t>1Ren6EJbCwJc9KOJwqsRMVoWDt9FodBJd</t>
  </si>
  <si>
    <t>https://drive.google.com/file/d/1Ren6EJbCwJc9KOJwqsRMVoWDt9FodBJd/view?usp=drivesdk</t>
  </si>
  <si>
    <t>SOFYAN BIN TAHER,SE.,M.Si</t>
  </si>
  <si>
    <t>sofyanbintaher310@gmail.com</t>
  </si>
  <si>
    <t>3792</t>
  </si>
  <si>
    <t>1zTiF9kjwtvXUAL4w6LLZHlMYyx9BEQJz</t>
  </si>
  <si>
    <t>https://drive.google.com/file/d/1zTiF9kjwtvXUAL4w6LLZHlMYyx9BEQJz/view?usp=drivesdk</t>
  </si>
  <si>
    <t>ASTARI DIAH SETIANINGSIH, S.E., M.Si.</t>
  </si>
  <si>
    <t>keupolairpoldasumsel@gmail.com</t>
  </si>
  <si>
    <t>3793</t>
  </si>
  <si>
    <t>1lFVf_o6QoZXj4VOKsBhc3biadG6e93RV</t>
  </si>
  <si>
    <t>https://drive.google.com/file/d/1lFVf_o6QoZXj4VOKsBhc3biadG6e93RV/view?usp=drivesdk</t>
  </si>
  <si>
    <t>Document successfully created; Document successfully merged; PDF created; !!Error Sending Emails: Service invoked too many times for one day: email.; Manually run by ecertificate75@gmail.com; Timestamp: Sep 2 2024 5:24 AM</t>
  </si>
  <si>
    <t>MIMIN MINTARSIH</t>
  </si>
  <si>
    <t>mintarsihmimin67027@gmail.com</t>
  </si>
  <si>
    <t>3794</t>
  </si>
  <si>
    <t>https://drive.google.com/file/d/1xRQbLwsem3XzdNbRp_wA9FCXw78LNi-1/view?usp=drivesdk</t>
  </si>
  <si>
    <t>1xRQbLwsem3XzdNbRp_wA9FCXw78LNi-1</t>
  </si>
  <si>
    <t>1dFI5AIHaTZJx4WtFx-5EHJC73NNm-8Uy</t>
  </si>
  <si>
    <t>https://drive.google.com/file/d/1dFI5AIHaTZJx4WtFx-5EHJC73NNm-8Uy/view?usp=drivesdk</t>
  </si>
  <si>
    <t>sugiono14081971a@gmail.com</t>
  </si>
  <si>
    <t>3795</t>
  </si>
  <si>
    <t>https://drive.google.com/file/d/1a1UizuzcR1Odv6hOh6s_Cu6xks-EgjAK/view?usp=drivesdk</t>
  </si>
  <si>
    <t>1a1UizuzcR1Odv6hOh6s_Cu6xks-EgjAK</t>
  </si>
  <si>
    <t>1v9Q8KkEYBtUOkcJc6e9IuYeiGyToUsRD</t>
  </si>
  <si>
    <t>https://drive.google.com/file/d/1v9Q8KkEYBtUOkcJc6e9IuYeiGyToUsRD/view?usp=drivesdk</t>
  </si>
  <si>
    <t>WAHYONO SANTOSO, S.M.</t>
  </si>
  <si>
    <t>osotnasonoyhaw@gmail.com</t>
  </si>
  <si>
    <t>3796</t>
  </si>
  <si>
    <t>https://drive.google.com/file/d/1tx3xh6lp3bYAlB8M3vJfhXhlckyCzT8X/view?usp=drivesdk</t>
  </si>
  <si>
    <t>1tx3xh6lp3bYAlB8M3vJfhXhlckyCzT8X</t>
  </si>
  <si>
    <t>1YEWJUkUI2JjrmXcADshFdNGLc_WDECu3</t>
  </si>
  <si>
    <t>https://drive.google.com/file/d/1YEWJUkUI2JjrmXcADshFdNGLc_WDECu3/view?usp=drivesdk</t>
  </si>
  <si>
    <t>WIWIK PRASETYOWATI</t>
  </si>
  <si>
    <t>tyo.wiwik69@gmail.com</t>
  </si>
  <si>
    <t>3797</t>
  </si>
  <si>
    <t>1O_Vdw1vXM-atj2cYQuhyD5QOc6sQp07T</t>
  </si>
  <si>
    <t>https://drive.google.com/file/d/1O_Vdw1vXM-atj2cYQuhyD5QOc6sQp07T/view?usp=drivesdk</t>
  </si>
  <si>
    <t>Document successfully created; Document successfully merged; PDF created; !!Error Sending Emails: Service invoked too many times for one day: email.; Manually run by ecertificate75@gmail.com; Timestamp: Sep 2 2024 5:25 AM</t>
  </si>
  <si>
    <t xml:space="preserve">AHMAD MIRDAT </t>
  </si>
  <si>
    <t>4hm4dmiqd4d01@gmail.com</t>
  </si>
  <si>
    <t>3798</t>
  </si>
  <si>
    <t>https://drive.google.com/file/d/18eRSwFvaMWo2RAm5jZHLk9Geo-DbZAme/view?usp=drivesdk</t>
  </si>
  <si>
    <t>18eRSwFvaMWo2RAm5jZHLk9Geo-DbZAme</t>
  </si>
  <si>
    <t>1t9zOBsUAFHWMWGSO5ZWfW7MiI-14uwFN</t>
  </si>
  <si>
    <t>https://drive.google.com/file/d/1t9zOBsUAFHWMWGSO5ZWfW7MiI-14uwFN/view?usp=drivesdk</t>
  </si>
  <si>
    <t>KUSMANA</t>
  </si>
  <si>
    <t>kusmanaskp1968@gmail.com</t>
  </si>
  <si>
    <t>3799</t>
  </si>
  <si>
    <t>https://drive.google.com/file/d/1q4FB9Jnn2YZa-UE-6KhHGqXjOPeBE58w/view?usp=drivesdk</t>
  </si>
  <si>
    <t>1q4FB9Jnn2YZa-UE-6KhHGqXjOPeBE58w</t>
  </si>
  <si>
    <t>14gdAijiUv-vUshbrnm11ImuU09EB6laS</t>
  </si>
  <si>
    <t>https://drive.google.com/file/d/14gdAijiUv-vUshbrnm11ImuU09EB6laS/view?usp=drivesdk</t>
  </si>
  <si>
    <t>SURINTO PML</t>
  </si>
  <si>
    <t>rinto0710000@gmail.com</t>
  </si>
  <si>
    <t>3800</t>
  </si>
  <si>
    <t>https://drive.google.com/file/d/1qPezSDT2iFVIcwDE96tqYqhkbykTGs_w/view?usp=drivesdk</t>
  </si>
  <si>
    <t>1qPezSDT2iFVIcwDE96tqYqhkbykTGs_w</t>
  </si>
  <si>
    <t>1JBQETGfCxzbcKjm2WOq199lZ6bxbW2XP</t>
  </si>
  <si>
    <t>https://drive.google.com/file/d/1JBQETGfCxzbcKjm2WOq199lZ6bxbW2XP/view?usp=drivesdk</t>
  </si>
  <si>
    <t>SULASTRI</t>
  </si>
  <si>
    <t>sulastridumai1968@gmail.com</t>
  </si>
  <si>
    <t>3801</t>
  </si>
  <si>
    <t>Starting at Thu Aug 29 2024 21:20:42 GMT-0400 (EDT)</t>
  </si>
  <si>
    <t>1-_96TGtfFfwBWhhFTCaJHBfgwz2MDGc_</t>
  </si>
  <si>
    <t>https://drive.google.com/file/d/1-_96TGtfFfwBWhhFTCaJHBfgwz2MDGc_/view?usp=drivesdk</t>
  </si>
  <si>
    <t>Document successfully created; Document successfully merged; PDF created; !!Error Sending Emails: Service invoked too many times for one day: email.; Manually run by ecertificate75@gmail.com; Timestamp: Sep 2 2024 5:26 AM</t>
  </si>
  <si>
    <t>SRI WIRATMI</t>
  </si>
  <si>
    <t>swiratmi794@gmail.com</t>
  </si>
  <si>
    <t>3802</t>
  </si>
  <si>
    <t>18NoFQRQBio11yH6cvy91EOb_QTj1iNCc</t>
  </si>
  <si>
    <t>https://drive.google.com/file/d/18NoFQRQBio11yH6cvy91EOb_QTj1iNCc/view?usp=drivesdk</t>
  </si>
  <si>
    <t>LASMIATI</t>
  </si>
  <si>
    <t>lasmiati2007@gmail.com</t>
  </si>
  <si>
    <t>3803</t>
  </si>
  <si>
    <t>https://drive.google.com/file/d/1oIsSxSXdPZiI9hGJu89KxW2C7mKMrmsT/view?usp=drivesdk</t>
  </si>
  <si>
    <t>1oIsSxSXdPZiI9hGJu89KxW2C7mKMrmsT</t>
  </si>
  <si>
    <t>1-ztoafz3_7uiUxjXoHKq21we7RgxSyf2</t>
  </si>
  <si>
    <t>https://drive.google.com/file/d/1-ztoafz3_7uiUxjXoHKq21we7RgxSyf2/view?usp=drivesdk</t>
  </si>
  <si>
    <t xml:space="preserve">ANDRIANI </t>
  </si>
  <si>
    <t>ndriehasanani@gmail.com</t>
  </si>
  <si>
    <t>3804</t>
  </si>
  <si>
    <t>https://drive.google.com/file/d/1tH1AjmivUV3H-h7-5tiIRzBr6pIabqto/view?usp=drivesdk</t>
  </si>
  <si>
    <t>1tH1AjmivUV3H-h7-5tiIRzBr6pIabqto</t>
  </si>
  <si>
    <t>1ohlPWHzke4Y7CfapuxAhFQAKV1CfoAnJ</t>
  </si>
  <si>
    <t>https://drive.google.com/file/d/1ohlPWHzke4Y7CfapuxAhFQAKV1CfoAnJ/view?usp=drivesdk</t>
  </si>
  <si>
    <t>IHSAN,S.H</t>
  </si>
  <si>
    <t>ihsanfishing@gmail.com</t>
  </si>
  <si>
    <t>3805</t>
  </si>
  <si>
    <t>https://drive.google.com/file/d/1QHXUmWmWHhS0EqHQoe4XevJZjaa3MqzX/view?usp=drivesdk</t>
  </si>
  <si>
    <t>1QHXUmWmWHhS0EqHQoe4XevJZjaa3MqzX</t>
  </si>
  <si>
    <t>1YVyZrp4O_RkmLs9RTRNy2nGhrLqu9sJ0</t>
  </si>
  <si>
    <t>https://drive.google.com/file/d/1YVyZrp4O_RkmLs9RTRNy2nGhrLqu9sJ0/view?usp=drivesdk</t>
  </si>
  <si>
    <t>CHAIRUL ARLIYANSYAH, S.E.</t>
  </si>
  <si>
    <t>chairul.arliyansyah@gmail.com</t>
  </si>
  <si>
    <t>3806</t>
  </si>
  <si>
    <t>https://drive.google.com/file/d/1b9YAewE-yYDy1lOaPGlIbnEMKf8eMAzP/view?usp=drivesdk</t>
  </si>
  <si>
    <t>1b9YAewE-yYDy1lOaPGlIbnEMKf8eMAzP</t>
  </si>
  <si>
    <t>1SY-NNfOBN_LeXjP13bTJIvVPqJ7P1O1P</t>
  </si>
  <si>
    <t>https://drive.google.com/file/d/1SY-NNfOBN_LeXjP13bTJIvVPqJ7P1O1P/view?usp=drivesdk</t>
  </si>
  <si>
    <t>Document successfully created; Document successfully merged; PDF created; !!Error Sending Emails: Service invoked too many times for one day: email.; Manually run by ecertificate75@gmail.com; Timestamp: Sep 2 2024 5:27 AM</t>
  </si>
  <si>
    <t>ARIK YUNIATI</t>
  </si>
  <si>
    <t>arikyuniatirika@gmail.com</t>
  </si>
  <si>
    <t>3807</t>
  </si>
  <si>
    <t>https://drive.google.com/file/d/1CMDHyPa-4Ug5mL0SFBBKMay1A70SkDPh/view?usp=drivesdk</t>
  </si>
  <si>
    <t>1CMDHyPa-4Ug5mL0SFBBKMay1A70SkDPh</t>
  </si>
  <si>
    <t>1rEkDbs-PHf-XAzFkLPTMJfxG6K18wqft</t>
  </si>
  <si>
    <t>https://drive.google.com/file/d/1rEkDbs-PHf-XAzFkLPTMJfxG6K18wqft/view?usp=drivesdk</t>
  </si>
  <si>
    <t>KRISTIYANI JUWATISARI AMd.Far</t>
  </si>
  <si>
    <t>tyaayu1911@gmail.com</t>
  </si>
  <si>
    <t>3808</t>
  </si>
  <si>
    <t>https://drive.google.com/file/d/11fWszxZ-xsw6M2KHCV13Wcy1ac2uGtWd/view?usp=drivesdk</t>
  </si>
  <si>
    <t>11fWszxZ-xsw6M2KHCV13Wcy1ac2uGtWd</t>
  </si>
  <si>
    <t>1ekKEwANiPME8bjq_I1Kph59MEdLsh7Tt</t>
  </si>
  <si>
    <t>https://drive.google.com/file/d/1ekKEwANiPME8bjq_I1Kph59MEdLsh7Tt/view?usp=drivesdk</t>
  </si>
  <si>
    <t>WAWAN KURNIADI, SE, M. Si</t>
  </si>
  <si>
    <t>wawankurniadi05@gmail.com</t>
  </si>
  <si>
    <t>3809</t>
  </si>
  <si>
    <t>https://drive.google.com/file/d/12djq_NX5VEFyGTCVRhlYjLZrIWz-3mIo/view?usp=drivesdk</t>
  </si>
  <si>
    <t>12djq_NX5VEFyGTCVRhlYjLZrIWz-3mIo</t>
  </si>
  <si>
    <t>1CuigsRlDpMtYDEAVWR6dIYcRDEV1tbX5</t>
  </si>
  <si>
    <t>https://drive.google.com/file/d/1CuigsRlDpMtYDEAVWR6dIYcRDEV1tbX5/view?usp=drivesdk</t>
  </si>
  <si>
    <t>AGUS SUPRIYANTO</t>
  </si>
  <si>
    <t>supriyantoagus923@gmail.com</t>
  </si>
  <si>
    <t>3810</t>
  </si>
  <si>
    <t>https://drive.google.com/file/d/1kqmAQJqGwoP97q7XG0dYaQvVLwEd6MCX/view?usp=drivesdk</t>
  </si>
  <si>
    <t>1kqmAQJqGwoP97q7XG0dYaQvVLwEd6MCX</t>
  </si>
  <si>
    <t>1cDoBTk_p15n7FtdQJBkcsZXc4f2F2djS</t>
  </si>
  <si>
    <t>https://drive.google.com/file/d/1cDoBTk_p15n7FtdQJBkcsZXc4f2F2djS/view?usp=drivesdk</t>
  </si>
  <si>
    <t>srilestarigenteng@gmIl.com</t>
  </si>
  <si>
    <t>3811</t>
  </si>
  <si>
    <t>Starting at Thu Aug 29 2024 21:20:53 GMT-0400 (EDT)</t>
  </si>
  <si>
    <t>1bGDcZCDTD2XIi2ZVaH-gRubZ87ulMXOr</t>
  </si>
  <si>
    <t>https://drive.google.com/file/d/1bGDcZCDTD2XIi2ZVaH-gRubZ87ulMXOr/view?usp=drivesdk</t>
  </si>
  <si>
    <t>Document successfully created; Document successfully merged; PDF created; !!Error Sending Emails: Service invoked too many times for one day: email.; Manually run by ecertificate75@gmail.com; Timestamp: Sep 2 2024 5:28 AM</t>
  </si>
  <si>
    <t xml:space="preserve">SUNTAMAN </t>
  </si>
  <si>
    <t>suntamanagus101269@gmil.com</t>
  </si>
  <si>
    <t>3812</t>
  </si>
  <si>
    <t>1bJLqgb3LROZOy3dfulxq5vzausKgooQT</t>
  </si>
  <si>
    <t>https://drive.google.com/file/d/1bJLqgb3LROZOy3dfulxq5vzausKgooQT/view?usp=drivesdk</t>
  </si>
  <si>
    <t>NURLAELAH, S.E.</t>
  </si>
  <si>
    <t>nurlaelahspw@gmail.com</t>
  </si>
  <si>
    <t>3813</t>
  </si>
  <si>
    <t>1xbVwjt9mVmKmpCftYHSR0lCaAuZZ4e6k</t>
  </si>
  <si>
    <t>https://drive.google.com/file/d/1xbVwjt9mVmKmpCftYHSR0lCaAuZZ4e6k/view?usp=drivesdk</t>
  </si>
  <si>
    <t>SUDARSIH, S. KM</t>
  </si>
  <si>
    <t>sudarsihyogya@gmail.com</t>
  </si>
  <si>
    <t>3814</t>
  </si>
  <si>
    <t>https://drive.google.com/file/d/1WzmGm479PijjKK6osvx-PSPiK7Fz3cHC/view?usp=drivesdk</t>
  </si>
  <si>
    <t>1WzmGm479PijjKK6osvx-PSPiK7Fz3cHC</t>
  </si>
  <si>
    <t>1PguTOaUUzlyPi8-j67fWNgbzltM4DAYU</t>
  </si>
  <si>
    <t>https://drive.google.com/file/d/1PguTOaUUzlyPi8-j67fWNgbzltM4DAYU/view?usp=drivesdk</t>
  </si>
  <si>
    <t>HARDI SURYANTO</t>
  </si>
  <si>
    <t>suryantohardi308@gmail.com</t>
  </si>
  <si>
    <t>3815</t>
  </si>
  <si>
    <t>https://drive.google.com/file/d/1SxJFy9SueUHZOeyowitMq1YNSoGeSmRE/view?usp=drivesdk</t>
  </si>
  <si>
    <t>1SxJFy9SueUHZOeyowitMq1YNSoGeSmRE</t>
  </si>
  <si>
    <t>162UQQoydPOLA0eTG84IiQAJIUcVisiyM</t>
  </si>
  <si>
    <t>https://drive.google.com/file/d/162UQQoydPOLA0eTG84IiQAJIUcVisiyM/view?usp=drivesdk</t>
  </si>
  <si>
    <t>Document successfully created; Document successfully merged; PDF created; !!Error Sending Emails: Service invoked too many times for one day: email.; Manually run by ecertificate75@gmail.com; Timestamp: Sep 2 2024 5:29 AM</t>
  </si>
  <si>
    <t>YONI WAHYU PRIYONO, A.Md</t>
  </si>
  <si>
    <t>yonnikalsel2013@gmail.com</t>
  </si>
  <si>
    <t>3816</t>
  </si>
  <si>
    <t>Starting at Thu Aug 29 2024 21:20:56 GMT-0400 (EDT)</t>
  </si>
  <si>
    <t>13CdbBZwWQ77WVJ_UbHOV7nwZzWXFxAOQ</t>
  </si>
  <si>
    <t>https://drive.google.com/file/d/13CdbBZwWQ77WVJ_UbHOV7nwZzWXFxAOQ/view?usp=drivesdk</t>
  </si>
  <si>
    <t>HENDRI SAPUTRA</t>
  </si>
  <si>
    <t>putrahendri250590@gmail.com</t>
  </si>
  <si>
    <t>3817</t>
  </si>
  <si>
    <t>1WDMim-KdVj74kks1-U_GTtUxElkV8jjX</t>
  </si>
  <si>
    <t>https://drive.google.com/file/d/1WDMim-KdVj74kks1-U_GTtUxElkV8jjX/view?usp=drivesdk</t>
  </si>
  <si>
    <t>GUSNIARTI.S</t>
  </si>
  <si>
    <t>gusniartisayuti@gmail.com</t>
  </si>
  <si>
    <t>3818</t>
  </si>
  <si>
    <t>1qiny1qZzN2ugGKjVb-23pLNB9-prbYvg</t>
  </si>
  <si>
    <t>https://drive.google.com/file/d/1qiny1qZzN2ugGKjVb-23pLNB9-prbYvg/view?usp=drivesdk</t>
  </si>
  <si>
    <t>EVIULIULFASARI</t>
  </si>
  <si>
    <t>ulievi50@gmail.com</t>
  </si>
  <si>
    <t>3819</t>
  </si>
  <si>
    <t>1PSsWPvVdbO-s-XbOBeF0H9c9TdFkI6vJ</t>
  </si>
  <si>
    <t>https://drive.google.com/file/d/1PSsWPvVdbO-s-XbOBeF0H9c9TdFkI6vJ/view?usp=drivesdk</t>
  </si>
  <si>
    <t>YESI ARIANTI, SPD.I</t>
  </si>
  <si>
    <t>yesiarianti84@gmail.com</t>
  </si>
  <si>
    <t>3820</t>
  </si>
  <si>
    <t>1h94D8SiAzv9PYW9DbgGd6XX_cUNemB4A</t>
  </si>
  <si>
    <t>https://drive.google.com/file/d/1h94D8SiAzv9PYW9DbgGd6XX_cUNemB4A/view?usp=drivesdk</t>
  </si>
  <si>
    <t>Document successfully created; Document successfully merged; PDF created; !!Error Sending Emails: Service invoked too many times for one day: email.; Manually run by ecertificate75@gmail.com; Timestamp: Sep 2 2024 5:30 AM</t>
  </si>
  <si>
    <t>ANDIK RIBUT PRIYONO</t>
  </si>
  <si>
    <t>andikribut.magetan@gmail.com</t>
  </si>
  <si>
    <t>3821</t>
  </si>
  <si>
    <t>1Ors2qZW7UhcGPOoBiISrEfEjnrGMLVDT</t>
  </si>
  <si>
    <t>https://drive.google.com/file/d/1Ors2qZW7UhcGPOoBiISrEfEjnrGMLVDT/view?usp=drivesdk</t>
  </si>
  <si>
    <t>WAFI TOYYIFI</t>
  </si>
  <si>
    <t>wafi70.pnssampang@gmail.com</t>
  </si>
  <si>
    <t>3822</t>
  </si>
  <si>
    <t>1C7Np77IDoAD8-69711SrDq1WBgFAz-ZR</t>
  </si>
  <si>
    <t>https://drive.google.com/file/d/1C7Np77IDoAD8-69711SrDq1WBgFAz-ZR/view?usp=drivesdk</t>
  </si>
  <si>
    <t>DARMAWANTI, S.M</t>
  </si>
  <si>
    <t>dwanti50@gmail.com</t>
  </si>
  <si>
    <t>3823</t>
  </si>
  <si>
    <t>1SHw41kDEl_rGMumaWpKiHl2OBpbpjD5w</t>
  </si>
  <si>
    <t>https://drive.google.com/file/d/1SHw41kDEl_rGMumaWpKiHl2OBpbpjD5w/view?usp=drivesdk</t>
  </si>
  <si>
    <t>Ahmad Muhammad Noor</t>
  </si>
  <si>
    <t>ahmadmuhamadnoor@gmail.com</t>
  </si>
  <si>
    <t>3824</t>
  </si>
  <si>
    <t>1w4QIZwzg8_aqceQZwWi8qm0fwk09Ti6I</t>
  </si>
  <si>
    <t>https://drive.google.com/file/d/1w4QIZwzg8_aqceQZwWi8qm0fwk09Ti6I/view?usp=drivesdk</t>
  </si>
  <si>
    <t>Document successfully created; Document successfully merged; PDF created; !!Error Sending Emails: Service invoked too many times for one day: email.; Manually run by ecertificate75@gmail.com; Timestamp: Sep 2 2024 5:31 AM</t>
  </si>
  <si>
    <t>MARINI</t>
  </si>
  <si>
    <t>rinimarini01970@gmail.com</t>
  </si>
  <si>
    <t>3825</t>
  </si>
  <si>
    <t>1HCXJGZ6_w5XQJjbKkaJmpAEyc2HJyDZB</t>
  </si>
  <si>
    <t>https://drive.google.com/file/d/1HCXJGZ6_w5XQJjbKkaJmpAEyc2HJyDZB/view?usp=drivesdk</t>
  </si>
  <si>
    <t>MELLYZIA</t>
  </si>
  <si>
    <t>mellyzia06@gmail.com</t>
  </si>
  <si>
    <t>3826</t>
  </si>
  <si>
    <t>https://drive.google.com/file/d/1hXTSfUd5yDEMtw_LA3dg1X2QdVCkFCZD/view?usp=drivesdk</t>
  </si>
  <si>
    <t>1hXTSfUd5yDEMtw_LA3dg1X2QdVCkFCZD</t>
  </si>
  <si>
    <t>1P2jS0YsFsAf9uA1hQWFeldAzsBLpIen5</t>
  </si>
  <si>
    <t>https://drive.google.com/file/d/1P2jS0YsFsAf9uA1hQWFeldAzsBLpIen5/view?usp=drivesdk</t>
  </si>
  <si>
    <t>AL HUSAIRI</t>
  </si>
  <si>
    <t>alhusairi07h@gmail.com</t>
  </si>
  <si>
    <t>3827</t>
  </si>
  <si>
    <t>https://drive.google.com/file/d/1CYzdgK6q59Yd6wQmcn5ycR6IUo9ux28v/view?usp=drivesdk</t>
  </si>
  <si>
    <t>1CYzdgK6q59Yd6wQmcn5ycR6IUo9ux28v</t>
  </si>
  <si>
    <t>1ahhWOSptolkbTVZKGEQdFArkJvFfkM1m</t>
  </si>
  <si>
    <t>https://drive.google.com/file/d/1ahhWOSptolkbTVZKGEQdFArkJvFfkM1m/view?usp=drivesdk</t>
  </si>
  <si>
    <t xml:space="preserve">RR. MUJI SUPRIHATIN </t>
  </si>
  <si>
    <t>mujis6611@gmail.com</t>
  </si>
  <si>
    <t>3828</t>
  </si>
  <si>
    <t>Starting at Thu Aug 29 2024 21:21:00 GMT-0400 (EDT)</t>
  </si>
  <si>
    <t>145g5dTERk4ndraFmRAjg85vHZMJR-18d</t>
  </si>
  <si>
    <t>https://drive.google.com/file/d/145g5dTERk4ndraFmRAjg85vHZMJR-18d/view?usp=drivesdk</t>
  </si>
  <si>
    <t>HARYANTI IDA FITRI</t>
  </si>
  <si>
    <t>wil.satu@gmail.com</t>
  </si>
  <si>
    <t>3829</t>
  </si>
  <si>
    <t>1fBRxEHAjI6qdFvAldROJlyGKjUR-kPDE</t>
  </si>
  <si>
    <t>https://drive.google.com/file/d/1fBRxEHAjI6qdFvAldROJlyGKjUR-kPDE/view?usp=drivesdk</t>
  </si>
  <si>
    <t>Document successfully created; Document successfully merged; PDF created; !!Error Sending Emails: Service invoked too many times for one day: email.; Manually run by ecertificate75@gmail.com; Timestamp: Sep 2 2024 5:32 AM</t>
  </si>
  <si>
    <t>MOHAMAD SUPRIYANTO, S.E.</t>
  </si>
  <si>
    <t>msupriyanto87@gmail.com</t>
  </si>
  <si>
    <t>3830</t>
  </si>
  <si>
    <t>1D9mFeERU1RTYpIxKyy9CAcRC0B-potE7</t>
  </si>
  <si>
    <t>https://drive.google.com/file/d/1D9mFeERU1RTYpIxKyy9CAcRC0B-potE7/view?usp=drivesdk</t>
  </si>
  <si>
    <t>JAKARIA</t>
  </si>
  <si>
    <t>jakariajack19@gmail.com</t>
  </si>
  <si>
    <t>3831</t>
  </si>
  <si>
    <t>1d-azuGzbBo21ZpF83jyKLYB2D043zGCx</t>
  </si>
  <si>
    <t>https://drive.google.com/file/d/1d-azuGzbBo21ZpF83jyKLYB2D043zGCx/view?usp=drivesdk</t>
  </si>
  <si>
    <t>WIDODO NARSASIH</t>
  </si>
  <si>
    <t>narsasih29@gmail.com</t>
  </si>
  <si>
    <t>3832</t>
  </si>
  <si>
    <t>https://drive.google.com/file/d/1I-y1LDctPnrlawAY1l6DK9AYEZ7A0SgT/view?usp=drivesdk</t>
  </si>
  <si>
    <t>1I-y1LDctPnrlawAY1l6DK9AYEZ7A0SgT</t>
  </si>
  <si>
    <t>1FQ3p5XAbAet-_ExNNqkrNj3-JrPajcYp</t>
  </si>
  <si>
    <t>https://drive.google.com/file/d/1FQ3p5XAbAet-_ExNNqkrNj3-JrPajcYp/view?usp=drivesdk</t>
  </si>
  <si>
    <t>BAROKAH ARIATRI</t>
  </si>
  <si>
    <t>aasiyahstevaria@gmail.com</t>
  </si>
  <si>
    <t>3833</t>
  </si>
  <si>
    <t>https://drive.google.com/file/d/1nufEuaspDEa33ald1WnPA3FJe7u32-Ze/view?usp=drivesdk</t>
  </si>
  <si>
    <t>1nufEuaspDEa33ald1WnPA3FJe7u32-Ze</t>
  </si>
  <si>
    <t>1ilVOubIb1dP4dzsv8UbqgoNPLU1lx5US</t>
  </si>
  <si>
    <t>https://drive.google.com/file/d/1ilVOubIb1dP4dzsv8UbqgoNPLU1lx5US/view?usp=drivesdk</t>
  </si>
  <si>
    <t>Document successfully created; Document successfully merged; PDF created; !!Error Sending Emails: Service invoked too many times for one day: email.; Manually run by ecertificate75@gmail.com; Timestamp: Sep 2 2024 5:33 AM</t>
  </si>
  <si>
    <t>RINAWATI WIJI LESTARI</t>
  </si>
  <si>
    <t>rinabagren@gmai.com</t>
  </si>
  <si>
    <t>3834</t>
  </si>
  <si>
    <t>Starting at Thu Aug 29 2024 21:21:03 GMT-0400 (EDT)</t>
  </si>
  <si>
    <t>14MwKQMr1x-p8n2r_abJT3ND0e7tX5mCt</t>
  </si>
  <si>
    <t>https://drive.google.com/file/d/14MwKQMr1x-p8n2r_abJT3ND0e7tX5mCt/view?usp=drivesdk</t>
  </si>
  <si>
    <t>ROBI TRIONO, AMd.</t>
  </si>
  <si>
    <t>robiitriono@gmail.com</t>
  </si>
  <si>
    <t>3835</t>
  </si>
  <si>
    <t>12hmwA8YMwU_7dYkSplkRCP1G8WLArKqh</t>
  </si>
  <si>
    <t>https://drive.google.com/file/d/12hmwA8YMwU_7dYkSplkRCP1G8WLArKqh/view?usp=drivesdk</t>
  </si>
  <si>
    <t>SUPARMAN, S.E.</t>
  </si>
  <si>
    <t>suparmansumda@gmail.com</t>
  </si>
  <si>
    <t>3836</t>
  </si>
  <si>
    <t>1IVwCFUxGa4PGuJVDCkoQKK1iNvpd4TZg</t>
  </si>
  <si>
    <t>https://drive.google.com/file/d/1IVwCFUxGa4PGuJVDCkoQKK1iNvpd4TZg/view?usp=drivesdk</t>
  </si>
  <si>
    <t xml:space="preserve">DINA FITRIA RAHAYU </t>
  </si>
  <si>
    <t>carissadina@gmail.com</t>
  </si>
  <si>
    <t>3837</t>
  </si>
  <si>
    <t>1PPSFDycPljfazAUrVoV0OkBwj5nqTBK_</t>
  </si>
  <si>
    <t>https://drive.google.com/file/d/1PPSFDycPljfazAUrVoV0OkBwj5nqTBK_/view?usp=drivesdk</t>
  </si>
  <si>
    <t xml:space="preserve">ANDRI NOVIAR </t>
  </si>
  <si>
    <t>andri.noviar92@gmail.com</t>
  </si>
  <si>
    <t>3838</t>
  </si>
  <si>
    <t>19Uy9tr6GtDUc8meMGHXx06ADw3zNeaja</t>
  </si>
  <si>
    <t>https://drive.google.com/file/d/19Uy9tr6GtDUc8meMGHXx06ADw3zNeaja/view?usp=drivesdk</t>
  </si>
  <si>
    <t>Document successfully created; Document successfully merged; PDF created; !!Error Sending Emails: Service invoked too many times for one day: email.; Manually run by ecertificate75@gmail.com; Timestamp: Sep 2 2024 5:34 AM</t>
  </si>
  <si>
    <t>EMILDA KURNIATIH</t>
  </si>
  <si>
    <t>emilda.kurniatih86@gmail.com</t>
  </si>
  <si>
    <t>3839</t>
  </si>
  <si>
    <t>1vQoncRucD2SF77KhqpvCQHZxeM3gWwHl</t>
  </si>
  <si>
    <t>https://drive.google.com/file/d/1vQoncRucD2SF77KhqpvCQHZxeM3gWwHl/view?usp=drivesdk</t>
  </si>
  <si>
    <t>FITRI ROFI'ATUN, A.Md., S.Ikom., M.M.</t>
  </si>
  <si>
    <t>pugercity82@gmail.com</t>
  </si>
  <si>
    <t>3840</t>
  </si>
  <si>
    <t>1OSCnaK7F5DTyYZKNlu0dle7_F8C9H0Td</t>
  </si>
  <si>
    <t>https://drive.google.com/file/d/1OSCnaK7F5DTyYZKNlu0dle7_F8C9H0Td/view?usp=drivesdk</t>
  </si>
  <si>
    <t>DR. PUTRI MAYA SARY</t>
  </si>
  <si>
    <t>putri15mayasary@gmail.cok</t>
  </si>
  <si>
    <t>3841</t>
  </si>
  <si>
    <t>1tD5OvmadvdU3wJlmsjx-B2R7fxMFeB9-</t>
  </si>
  <si>
    <t>https://drive.google.com/file/d/1tD5OvmadvdU3wJlmsjx-B2R7fxMFeB9-/view?usp=drivesdk</t>
  </si>
  <si>
    <t>SUDARMANTO, S.E.</t>
  </si>
  <si>
    <t>sudarmanto.899@gmail.com</t>
  </si>
  <si>
    <t>3842</t>
  </si>
  <si>
    <t>1rQW9Fs6SDh6pZIuz4hU6oJIEHD4jVuPb</t>
  </si>
  <si>
    <t>https://drive.google.com/file/d/1rQW9Fs6SDh6pZIuz4hU6oJIEHD4jVuPb/view?usp=drivesdk</t>
  </si>
  <si>
    <t>PUJI WAHYUNI</t>
  </si>
  <si>
    <t>dodikpujiwahyuni@gmail.com</t>
  </si>
  <si>
    <t>3843</t>
  </si>
  <si>
    <t>1ZB6iJnSaTSe1xm4Qp7Qk7NGS_sixKiMH</t>
  </si>
  <si>
    <t>https://drive.google.com/file/d/1ZB6iJnSaTSe1xm4Qp7Qk7NGS_sixKiMH/view?usp=drivesdk</t>
  </si>
  <si>
    <t>Document successfully created; Document successfully merged; PDF created; !!Error Sending Emails: Service invoked too many times for one day: email.; Manually run by ecertificate75@gmail.com; Timestamp: Sep 2 2024 5:35 AM</t>
  </si>
  <si>
    <t xml:space="preserve">Abdul Rahman Musa </t>
  </si>
  <si>
    <t>adhoel.musa13@gmail.com</t>
  </si>
  <si>
    <t>3844</t>
  </si>
  <si>
    <t>1dVR2RtaGf6uP8KB8Tc7dYqE1chF3DkDN</t>
  </si>
  <si>
    <t>https://drive.google.com/file/d/1dVR2RtaGf6uP8KB8Tc7dYqE1chF3DkDN/view?usp=drivesdk</t>
  </si>
  <si>
    <t>EVA CORINA</t>
  </si>
  <si>
    <t>evacorina61094@gmail.com</t>
  </si>
  <si>
    <t>3845</t>
  </si>
  <si>
    <t>1apnDJyEGgFb76Ucjr2p79-YrKKQgQu8O</t>
  </si>
  <si>
    <t>https://drive.google.com/file/d/1apnDJyEGgFb76Ucjr2p79-YrKKQgQu8O/view?usp=drivesdk</t>
  </si>
  <si>
    <t xml:space="preserve">RIZA EFFANDRI </t>
  </si>
  <si>
    <t>rezaeff8@gmail.com</t>
  </si>
  <si>
    <t>3846</t>
  </si>
  <si>
    <t>1EOmk7sxOGVpy0VlB2bZixfE8CSuiXwgL</t>
  </si>
  <si>
    <t>https://drive.google.com/file/d/1EOmk7sxOGVpy0VlB2bZixfE8CSuiXwgL/view?usp=drivesdk</t>
  </si>
  <si>
    <t>MIKE AFRINI PUTRI</t>
  </si>
  <si>
    <t>mikeafriniputri@gmail.com</t>
  </si>
  <si>
    <t>3847</t>
  </si>
  <si>
    <t>1uws_O9vOmxt_wE06Ze2AL_aBOukc8kzy</t>
  </si>
  <si>
    <t>https://drive.google.com/file/d/1uws_O9vOmxt_wE06Ze2AL_aBOukc8kzy/view?usp=drivesdk</t>
  </si>
  <si>
    <t>Document successfully created; Document successfully merged; PDF created; !!Error Sending Emails: Service invoked too many times for one day: email.; Manually run by ecertificate75@gmail.com; Timestamp: Sep 2 2024 5:36 AM</t>
  </si>
  <si>
    <t>yulicancer1969@gmail.com</t>
  </si>
  <si>
    <t>3848</t>
  </si>
  <si>
    <t>https://drive.google.com/file/d/1OxjK93w-FttJThpn6c2gAXW-F5eNUZWW/view?usp=drivesdk</t>
  </si>
  <si>
    <t>1OxjK93w-FttJThpn6c2gAXW-F5eNUZWW</t>
  </si>
  <si>
    <t>1ATuq2tSUw-3UfmTlvzKKA0wNstljI1HR</t>
  </si>
  <si>
    <t>https://drive.google.com/file/d/1ATuq2tSUw-3UfmTlvzKKA0wNstljI1HR/view?usp=drivesdk</t>
  </si>
  <si>
    <t>ROBBY KURNIA ARIF</t>
  </si>
  <si>
    <t>rbbkurnia462@gmail.com</t>
  </si>
  <si>
    <t>3849</t>
  </si>
  <si>
    <t>Starting at Thu Aug 29 2024 21:21:09 GMT-0400 (EDT)</t>
  </si>
  <si>
    <t>1yqBRs8Ocy24LxpcmcojK95lZ1VfM7_aB</t>
  </si>
  <si>
    <t>https://drive.google.com/file/d/1yqBRs8Ocy24LxpcmcojK95lZ1VfM7_aB/view?usp=drivesdk</t>
  </si>
  <si>
    <t>SETYO BAKTI, S.H</t>
  </si>
  <si>
    <t>setyobakti.007@gmail.com</t>
  </si>
  <si>
    <t>3850</t>
  </si>
  <si>
    <t>1itTNW13UVb4kljwd3pqeh__W_Az_Asl4</t>
  </si>
  <si>
    <t>https://drive.google.com/file/d/1itTNW13UVb4kljwd3pqeh__W_Az_Asl4/view?usp=drivesdk</t>
  </si>
  <si>
    <t>MOH SUDI</t>
  </si>
  <si>
    <t>mohsudi71.pnssampang@gmail.com</t>
  </si>
  <si>
    <t>3851</t>
  </si>
  <si>
    <t>1HAoK0YohR2Z2ssFwWYG2E2KWkxVhKb7V</t>
  </si>
  <si>
    <t>https://drive.google.com/file/d/1HAoK0YohR2Z2ssFwWYG2E2KWkxVhKb7V/view?usp=drivesdk</t>
  </si>
  <si>
    <t>Document successfully created; Document successfully merged; PDF created; !!Error Sending Emails: Service invoked too many times for one day: email.; Manually run by ecertificate75@gmail.com; Timestamp: Sep 2 2024 5:37 AM</t>
  </si>
  <si>
    <t>BAWONO</t>
  </si>
  <si>
    <t>bawono160768@gmail.com</t>
  </si>
  <si>
    <t>3852</t>
  </si>
  <si>
    <t>192e0ihH_YduZcT7mnvqwyBczUBzGcg3e</t>
  </si>
  <si>
    <t>https://drive.google.com/file/d/192e0ihH_YduZcT7mnvqwyBczUBzGcg3e/view?usp=drivesdk</t>
  </si>
  <si>
    <t xml:space="preserve">JUMPA MALEM GINTING </t>
  </si>
  <si>
    <t>jumpamalemginting76@gmail.com</t>
  </si>
  <si>
    <t>3853</t>
  </si>
  <si>
    <t>1HrkF5Ez-nBZS6yVXJbRwfUNsHpVimzK9</t>
  </si>
  <si>
    <t>https://drive.google.com/file/d/1HrkF5Ez-nBZS6yVXJbRwfUNsHpVimzK9/view?usp=drivesdk</t>
  </si>
  <si>
    <t xml:space="preserve">GALIH DWI SAPUTRO </t>
  </si>
  <si>
    <t>galihd34@gmail.com</t>
  </si>
  <si>
    <t>3854</t>
  </si>
  <si>
    <t>1V2oCA1u4RSbARR8ODIxsk71uGxcoRQzg</t>
  </si>
  <si>
    <t>https://drive.google.com/file/d/1V2oCA1u4RSbARR8ODIxsk71uGxcoRQzg/view?usp=drivesdk</t>
  </si>
  <si>
    <t>WARSIDI, S.H.</t>
  </si>
  <si>
    <t>ditreskrimsuspoldakb@gmail.com</t>
  </si>
  <si>
    <t>3855</t>
  </si>
  <si>
    <t>1g9rouP8PhHvi0vXEJhSybjKD38Z8vOSP</t>
  </si>
  <si>
    <t>https://drive.google.com/file/d/1g9rouP8PhHvi0vXEJhSybjKD38Z8vOSP/view?usp=drivesdk</t>
  </si>
  <si>
    <t>Ns NILAWATI. Skepl</t>
  </si>
  <si>
    <t>nilawatinila02@gmail.com</t>
  </si>
  <si>
    <t>3856</t>
  </si>
  <si>
    <t>1QkoA6hwWRHamMPI2yfxk1EJXOReUkj6f</t>
  </si>
  <si>
    <t>https://drive.google.com/file/d/1QkoA6hwWRHamMPI2yfxk1EJXOReUkj6f/view?usp=drivesdk</t>
  </si>
  <si>
    <t>Document successfully created; Document successfully merged; PDF created; !!Error Sending Emails: Service invoked too many times for one day: email.; Manually run by ecertificate75@gmail.com; Timestamp: Sep 2 2024 5:38 AM</t>
  </si>
  <si>
    <t>SIFITRI HADIANTI</t>
  </si>
  <si>
    <t>sifitri1304@gmail.com</t>
  </si>
  <si>
    <t>3857</t>
  </si>
  <si>
    <t>1TRMBqbvCswumiWJZiqEWm-BnZ5dH6bhV</t>
  </si>
  <si>
    <t>https://drive.google.com/file/d/1TRMBqbvCswumiWJZiqEWm-BnZ5dH6bhV/view?usp=drivesdk</t>
  </si>
  <si>
    <t xml:space="preserve">RIYANTO </t>
  </si>
  <si>
    <t>riyantok9898@gmail.com</t>
  </si>
  <si>
    <t>3858</t>
  </si>
  <si>
    <t>1rFDAohIuXnTpOxbWFPpb2-7hwsbjAW7H</t>
  </si>
  <si>
    <t>https://drive.google.com/file/d/1rFDAohIuXnTpOxbWFPpb2-7hwsbjAW7H/view?usp=drivesdk</t>
  </si>
  <si>
    <t>WAWAN CAHYONO, S.H.</t>
  </si>
  <si>
    <t>tenanbejo6@gmail.com</t>
  </si>
  <si>
    <t>3859</t>
  </si>
  <si>
    <t>1hhzXJUZnw8CqTfhh_3QqwKcVPI5-NcDB</t>
  </si>
  <si>
    <t>https://drive.google.com/file/d/1hhzXJUZnw8CqTfhh_3QqwKcVPI5-NcDB/view?usp=drivesdk</t>
  </si>
  <si>
    <t>SUWITO HAMDANI</t>
  </si>
  <si>
    <t>suwitohamdani@gmail.com</t>
  </si>
  <si>
    <t>3860</t>
  </si>
  <si>
    <t>1IGJV8XtnYXK77AMDWtSTJh3HJYyEMrPN</t>
  </si>
  <si>
    <t>https://drive.google.com/file/d/1IGJV8XtnYXK77AMDWtSTJh3HJYyEMrPN/view?usp=drivesdk</t>
  </si>
  <si>
    <t>NUN ASTI PUTRI BUNYAMIN</t>
  </si>
  <si>
    <t>nun.asti87@gmail.com</t>
  </si>
  <si>
    <t>3861</t>
  </si>
  <si>
    <t>1hvl0HHspD_g9kyFfzDKY7W8iDljbrAEU</t>
  </si>
  <si>
    <t>https://drive.google.com/file/d/1hvl0HHspD_g9kyFfzDKY7W8iDljbrAEU/view?usp=drivesdk</t>
  </si>
  <si>
    <t>Document successfully created; Document successfully merged; PDF created; !!Error Sending Emails: Service invoked too many times for one day: email.; Manually run by ecertificate75@gmail.com; Timestamp: Sep 2 2024 5:39 AM</t>
  </si>
  <si>
    <t>SRI MULYANI</t>
  </si>
  <si>
    <t>ncie1970@gmail.com</t>
  </si>
  <si>
    <t>3862</t>
  </si>
  <si>
    <t>127jOFgW3BfL1oSqP1mZGuYHKC1EXhON6</t>
  </si>
  <si>
    <t>https://drive.google.com/file/d/127jOFgW3BfL1oSqP1mZGuYHKC1EXhON6/view?usp=drivesdk</t>
  </si>
  <si>
    <t>BERNADUS LITA KUSBINDRATNO BAYU ANGGORO</t>
  </si>
  <si>
    <t>bayybhisma@gmail.com</t>
  </si>
  <si>
    <t>3863</t>
  </si>
  <si>
    <t>1F1BTOWIAvKh__6JbaxfrzTrM0Oggq515</t>
  </si>
  <si>
    <t>https://drive.google.com/file/d/1F1BTOWIAvKh__6JbaxfrzTrM0Oggq515/view?usp=drivesdk</t>
  </si>
  <si>
    <t>OLLA KESUMA TRIANA,S.H</t>
  </si>
  <si>
    <t>tambahdwi07@gmail.com</t>
  </si>
  <si>
    <t>3864</t>
  </si>
  <si>
    <t>1eGZTMlA6hoXvFovr4w9LcRmRFAZPsXbZ</t>
  </si>
  <si>
    <t>https://drive.google.com/file/d/1eGZTMlA6hoXvFovr4w9LcRmRFAZPsXbZ/view?usp=drivesdk</t>
  </si>
  <si>
    <t>SABRII</t>
  </si>
  <si>
    <t>sabrirek9@gmail.com</t>
  </si>
  <si>
    <t>3865</t>
  </si>
  <si>
    <t>Starting at Thu Aug 29 2024 21:21:15 GMT-0400 (EDT)</t>
  </si>
  <si>
    <t>1wdJlZUQflHvXFr-ptub7-h3HoASiO2s7</t>
  </si>
  <si>
    <t>https://drive.google.com/file/d/1wdJlZUQflHvXFr-ptub7-h3HoASiO2s7/view?usp=drivesdk</t>
  </si>
  <si>
    <t>MEITAKA HUDA</t>
  </si>
  <si>
    <t>takahuda1971@gmail.com</t>
  </si>
  <si>
    <t>3866</t>
  </si>
  <si>
    <t>Starting at Thu Aug 29 2024 21:21:33 GMT-0400 (EDT)</t>
  </si>
  <si>
    <t>1yJQUxU3ba8Vybiy5bvCdiONSLugC6Dj_</t>
  </si>
  <si>
    <t>https://drive.google.com/file/d/1yJQUxU3ba8Vybiy5bvCdiONSLugC6Dj_/view?usp=drivesdk</t>
  </si>
  <si>
    <t>Document successfully created; Document successfully merged; PDF created; !!Error Sending Emails: Service invoked too many times for one day: email.; Manually run by ecertificate75@gmail.com; Timestamp: Sep 2 2024 5:40 AM</t>
  </si>
  <si>
    <t xml:space="preserve">NURAINUN NASUTION AMKep </t>
  </si>
  <si>
    <t>ainunnasution1979@gmail.com</t>
  </si>
  <si>
    <t>3867</t>
  </si>
  <si>
    <t>1ylkda39GeQ5KlNJb1kskiLJj8LdI6Gcc</t>
  </si>
  <si>
    <t>https://drive.google.com/file/d/1ylkda39GeQ5KlNJb1kskiLJj8LdI6Gcc/view?usp=drivesdk</t>
  </si>
  <si>
    <t>MOCHAMMAD SODIQ</t>
  </si>
  <si>
    <t>mochammadsodiq78@gmail.com</t>
  </si>
  <si>
    <t>3868</t>
  </si>
  <si>
    <t>1VrXV34773P7kYkZU2mNASvgEoucv0RW3</t>
  </si>
  <si>
    <t>https://drive.google.com/file/d/1VrXV34773P7kYkZU2mNASvgEoucv0RW3/view?usp=drivesdk</t>
  </si>
  <si>
    <t>mildaforzoom@gmail.com</t>
  </si>
  <si>
    <t>3869</t>
  </si>
  <si>
    <t>1aMNGWZ1zc9i4tPIcA4ZPgn5DLlAAGqYx</t>
  </si>
  <si>
    <t>https://drive.google.com/file/d/1aMNGWZ1zc9i4tPIcA4ZPgn5DLlAAGqYx/view?usp=drivesdk</t>
  </si>
  <si>
    <t>ANUGRAH WATI FAHLEZI, A.Md.Kep</t>
  </si>
  <si>
    <t>fahlezianugrah@gmail.com</t>
  </si>
  <si>
    <t>3870</t>
  </si>
  <si>
    <t>13893IG4MKa7oDMMgyONjjTldcvQrSGMg</t>
  </si>
  <si>
    <t>https://drive.google.com/file/d/13893IG4MKa7oDMMgyONjjTldcvQrSGMg/view?usp=drivesdk</t>
  </si>
  <si>
    <t>Document successfully created; Document successfully merged; PDF created; !!Error Sending Emails: Service invoked too many times for one day: email.; Manually run by ecertificate75@gmail.com; Timestamp: Sep 2 2024 5:41 AM</t>
  </si>
  <si>
    <t>KORLANTAS POLRI</t>
  </si>
  <si>
    <t xml:space="preserve">PRABOWO SYUNI </t>
  </si>
  <si>
    <t>prabowosyuni@gmail.com</t>
  </si>
  <si>
    <t>3871</t>
  </si>
  <si>
    <t>1LbN2vm_weZpXro5tdGgYKNe97scLut_g</t>
  </si>
  <si>
    <t>https://drive.google.com/file/d/1LbN2vm_weZpXro5tdGgYKNe97scLut_g/view?usp=drivesdk</t>
  </si>
  <si>
    <t xml:space="preserve">WIDIYA WATI </t>
  </si>
  <si>
    <t>rindya2606@yahoo.com</t>
  </si>
  <si>
    <t>3872</t>
  </si>
  <si>
    <t>16xaUws9pC2QVpOJGz1wI1NvRuNrOE6tG</t>
  </si>
  <si>
    <t>https://drive.google.com/file/d/16xaUws9pC2QVpOJGz1wI1NvRuNrOE6tG/view?usp=drivesdk</t>
  </si>
  <si>
    <t>AINA SARI</t>
  </si>
  <si>
    <t>ainasari105@gmail.com</t>
  </si>
  <si>
    <t>3873</t>
  </si>
  <si>
    <t>1K6EfMkEJKYQ7dD85g4F0zziU_Xzu7a43</t>
  </si>
  <si>
    <t>https://drive.google.com/file/d/1K6EfMkEJKYQ7dD85g4F0zziU_Xzu7a43/view?usp=drivesdk</t>
  </si>
  <si>
    <t>TAUFIK HIDAYAT</t>
  </si>
  <si>
    <t>opik.hdyt83@gmail.com</t>
  </si>
  <si>
    <t>3874</t>
  </si>
  <si>
    <t>1C5jkfzOEDUK-poext3wqGZeGc5YRm-2B</t>
  </si>
  <si>
    <t>https://drive.google.com/file/d/1C5jkfzOEDUK-poext3wqGZeGc5YRm-2B/view?usp=drivesdk</t>
  </si>
  <si>
    <t>Document successfully created; Document successfully merged; PDF created; !!Error Sending Emails: Service invoked too many times for one day: email.; Manually run by ecertificate75@gmail.com; Timestamp: Sep 2 2024 5:42 AM</t>
  </si>
  <si>
    <t>SUSILOWATI</t>
  </si>
  <si>
    <t>susidinadini@gmail.com</t>
  </si>
  <si>
    <t>3875</t>
  </si>
  <si>
    <t>1YZNtHQpebJNFrYyBDEbt03w3SO3mRQ3E</t>
  </si>
  <si>
    <t>https://drive.google.com/file/d/1YZNtHQpebJNFrYyBDEbt03w3SO3mRQ3E/view?usp=drivesdk</t>
  </si>
  <si>
    <t>JUPRIYANTO</t>
  </si>
  <si>
    <t>jupri6194@gmail.com</t>
  </si>
  <si>
    <t>3876</t>
  </si>
  <si>
    <t>1MI9vSaxUZPzixi27Su3AfJSK-fiixCeC</t>
  </si>
  <si>
    <t>https://drive.google.com/file/d/1MI9vSaxUZPzixi27Su3AfJSK-fiixCeC/view?usp=drivesdk</t>
  </si>
  <si>
    <t>EKA MARIANAWATI,S.Kep.Ns</t>
  </si>
  <si>
    <t>marianaeka34@gmail.com</t>
  </si>
  <si>
    <t>3877</t>
  </si>
  <si>
    <t>1kyIMqCdzk66hnB5O6FgbzsymP6hpRCog</t>
  </si>
  <si>
    <t>https://drive.google.com/file/d/1kyIMqCdzk66hnB5O6FgbzsymP6hpRCog/view?usp=drivesdk</t>
  </si>
  <si>
    <t>Indra Setia N, S.Akun.</t>
  </si>
  <si>
    <t>lodaya290183@gmail.com</t>
  </si>
  <si>
    <t>3878</t>
  </si>
  <si>
    <t>1x-5ZZA8JH-SYzVdGElP5N9e1FHk46fio</t>
  </si>
  <si>
    <t>https://drive.google.com/file/d/1x-5ZZA8JH-SYzVdGElP5N9e1FHk46fio/view?usp=drivesdk</t>
  </si>
  <si>
    <t>Document successfully created; Document successfully merged; PDF created; !!Error Sending Emails: Service invoked too many times for one day: email.; Manually run by ecertificate75@gmail.com; Timestamp: Sep 2 2024 5:43 AM</t>
  </si>
  <si>
    <t>WINDI WAHYUNING PRAMESTI, S.Tr.Kes.</t>
  </si>
  <si>
    <t>windi25wp@gmail.com</t>
  </si>
  <si>
    <t>3879</t>
  </si>
  <si>
    <t>1U1Jc_tij1JOepYeETHCwpjqP9E8_W_HX</t>
  </si>
  <si>
    <t>https://drive.google.com/file/d/1U1Jc_tij1JOepYeETHCwpjqP9E8_W_HX/view?usp=drivesdk</t>
  </si>
  <si>
    <t>ADE KUSDINAR</t>
  </si>
  <si>
    <t>adekoes2021@gmail.com</t>
  </si>
  <si>
    <t>3880</t>
  </si>
  <si>
    <t>1EMNizESBj37Yyb5jhcqQVQnV7_UlydZ2</t>
  </si>
  <si>
    <t>https://drive.google.com/file/d/1EMNizESBj37Yyb5jhcqQVQnV7_UlydZ2/view?usp=drivesdk</t>
  </si>
  <si>
    <t>ANIK SUSANTI</t>
  </si>
  <si>
    <t>anikspnpoldajatim@gmail.com</t>
  </si>
  <si>
    <t>3881</t>
  </si>
  <si>
    <t>1r0h1pr8lVaB0E5XMzatb7slxTvAzSl5Z</t>
  </si>
  <si>
    <t>https://drive.google.com/file/d/1r0h1pr8lVaB0E5XMzatb7slxTvAzSl5Z/view?usp=drivesdk</t>
  </si>
  <si>
    <t>TRISNAWATI</t>
  </si>
  <si>
    <t>trisnawati140@gmail.com</t>
  </si>
  <si>
    <t>3882</t>
  </si>
  <si>
    <t>1k2mPWzsbUg1wPvY04GtgC12TDDwhiv7N</t>
  </si>
  <si>
    <t>https://drive.google.com/file/d/1k2mPWzsbUg1wPvY04GtgC12TDDwhiv7N/view?usp=drivesdk</t>
  </si>
  <si>
    <t>AHMAD AINUR ROFIQ</t>
  </si>
  <si>
    <t>ahmadainurrofiq1968@gmail.com</t>
  </si>
  <si>
    <t>3883</t>
  </si>
  <si>
    <t>1TnOmYci0TT1_x3Eh7WJKzVb7-c02ZZ0u</t>
  </si>
  <si>
    <t>https://drive.google.com/file/d/1TnOmYci0TT1_x3Eh7WJKzVb7-c02ZZ0u/view?usp=drivesdk</t>
  </si>
  <si>
    <t>Document successfully created; Document successfully merged; PDF created; !!Error Sending Emails: Service invoked too many times for one day: email.; Manually run by ecertificate75@gmail.com; Timestamp: Sep 2 2024 5:44 AM</t>
  </si>
  <si>
    <t xml:space="preserve">ERI MUSPIDRA </t>
  </si>
  <si>
    <t>eri.pidra@gmail.com</t>
  </si>
  <si>
    <t>3884</t>
  </si>
  <si>
    <t>12IbEOMDBkLOrBJNIJStOBF7Pqgdf3YvY</t>
  </si>
  <si>
    <t>https://drive.google.com/file/d/12IbEOMDBkLOrBJNIJStOBF7Pqgdf3YvY/view?usp=drivesdk</t>
  </si>
  <si>
    <t>SUNARKO</t>
  </si>
  <si>
    <t>sunarkoo1969@gmail.com</t>
  </si>
  <si>
    <t>3885</t>
  </si>
  <si>
    <t>1LO8axxCl90Y_Gv9IdBnxO103sY31Jv6P</t>
  </si>
  <si>
    <t>https://drive.google.com/file/d/1LO8axxCl90Y_Gv9IdBnxO103sY31Jv6P/view?usp=drivesdk</t>
  </si>
  <si>
    <t>HERI LISTIYONO, A.Md</t>
  </si>
  <si>
    <t>heri.arfa.aska@gmail.com</t>
  </si>
  <si>
    <t>3886</t>
  </si>
  <si>
    <t>1m_SH0C46Ek9FatDwzk9ZefgHadbpGGwz</t>
  </si>
  <si>
    <t>https://drive.google.com/file/d/1m_SH0C46Ek9FatDwzk9ZefgHadbpGGwz/view?usp=drivesdk</t>
  </si>
  <si>
    <t>CANDRA AGUSDI, S.Si</t>
  </si>
  <si>
    <t>candraagusdi@gmail.com</t>
  </si>
  <si>
    <t>3887</t>
  </si>
  <si>
    <t>1BwntA5Q8kRx-4n0QrCLezs-R4Joy_UML</t>
  </si>
  <si>
    <t>https://drive.google.com/file/d/1BwntA5Q8kRx-4n0QrCLezs-R4Joy_UML/view?usp=drivesdk</t>
  </si>
  <si>
    <t>NI LUH SRI PUTARI</t>
  </si>
  <si>
    <t>sriputari1969@gmail.com</t>
  </si>
  <si>
    <t>3888</t>
  </si>
  <si>
    <t>1GCxoSojOuUn9wlguLXtPSi-fU6ukyN1l</t>
  </si>
  <si>
    <t>https://drive.google.com/file/d/1GCxoSojOuUn9wlguLXtPSi-fU6ukyN1l/view?usp=drivesdk</t>
  </si>
  <si>
    <t>Document successfully created; Document successfully merged; PDF created; !!Error Sending Emails: Service invoked too many times for one day: email.; Manually run by ecertificate75@gmail.com; Timestamp: Sep 2 2024 5:45 AM</t>
  </si>
  <si>
    <t>HENI DURITA, SH</t>
  </si>
  <si>
    <t>henidurita.69@gmail.com</t>
  </si>
  <si>
    <t>3889</t>
  </si>
  <si>
    <t>16N-yEjJKIGxjmmdIl-uX60DpnlPkJS8s</t>
  </si>
  <si>
    <t>https://drive.google.com/file/d/16N-yEjJKIGxjmmdIl-uX60DpnlPkJS8s/view?usp=drivesdk</t>
  </si>
  <si>
    <t xml:space="preserve">NORA YUANITA </t>
  </si>
  <si>
    <t>ineem.nora@gmail.com</t>
  </si>
  <si>
    <t>3890</t>
  </si>
  <si>
    <t>Starting at Thu Aug 29 2024 21:21:34 GMT-0400 (EDT)</t>
  </si>
  <si>
    <t>10LFuolF3JMBsIdphA5XIIhAUYpHcb-e6</t>
  </si>
  <si>
    <t>https://drive.google.com/file/d/10LFuolF3JMBsIdphA5XIIhAUYpHcb-e6/view?usp=drivesdk</t>
  </si>
  <si>
    <t>ANIS KURLIYAH</t>
  </si>
  <si>
    <t>mamaherlinda766@gmail.com</t>
  </si>
  <si>
    <t>3891</t>
  </si>
  <si>
    <t>16eaZ3RNgp_YMxdG7F715_boRXHitoYRj</t>
  </si>
  <si>
    <t>https://drive.google.com/file/d/16eaZ3RNgp_YMxdG7F715_boRXHitoYRj/view?usp=drivesdk</t>
  </si>
  <si>
    <t>BAMBANG GIANTORO, S.Pd.</t>
  </si>
  <si>
    <t>bambsgiant@gmail.com</t>
  </si>
  <si>
    <t>3892</t>
  </si>
  <si>
    <t>Starting at Thu Aug 29 2024 21:21:35 GMT-0400 (EDT)</t>
  </si>
  <si>
    <t>1dum6L9rea6cdTZTil9vjWNIA1oPwl45G</t>
  </si>
  <si>
    <t>https://drive.google.com/file/d/1dum6L9rea6cdTZTil9vjWNIA1oPwl45G/view?usp=drivesdk</t>
  </si>
  <si>
    <t xml:space="preserve">SITI ROHAYA </t>
  </si>
  <si>
    <t>sitirohaya251175@gmail.com</t>
  </si>
  <si>
    <t>3893</t>
  </si>
  <si>
    <t>1hJqyuhq5jBOnTSjkuY1K3jU1cnuLL3ET</t>
  </si>
  <si>
    <t>https://drive.google.com/file/d/1hJqyuhq5jBOnTSjkuY1K3jU1cnuLL3ET/view?usp=drivesdk</t>
  </si>
  <si>
    <t>Document successfully created; Document successfully merged; PDF created; !!Error Sending Emails: Service invoked too many times for one day: email.; Manually run by ecertificate75@gmail.com; Timestamp: Sep 2 2024 5:46 AM</t>
  </si>
  <si>
    <t>IIS SUHERNI  A.Md. Kep</t>
  </si>
  <si>
    <t>iissuherni@gmail.com</t>
  </si>
  <si>
    <t>3894</t>
  </si>
  <si>
    <t>1zbCN4DHxegAMQZ0oJfZE4_Ox7N__0zFp</t>
  </si>
  <si>
    <t>https://drive.google.com/file/d/1zbCN4DHxegAMQZ0oJfZE4_Ox7N__0zFp/view?usp=drivesdk</t>
  </si>
  <si>
    <t>MOH JONI AGUS S, S.E.</t>
  </si>
  <si>
    <t>jonigs6600@gmail.com</t>
  </si>
  <si>
    <t>3895</t>
  </si>
  <si>
    <t>1h5MSdpZm1S6Yo9wTBuDD_cB5qdzWzJCP</t>
  </si>
  <si>
    <t>https://drive.google.com/file/d/1h5MSdpZm1S6Yo9wTBuDD_cB5qdzWzJCP/view?usp=drivesdk</t>
  </si>
  <si>
    <t>HERLIK YULIATI Amd.kep</t>
  </si>
  <si>
    <t>herlikyuliati@gmail.com</t>
  </si>
  <si>
    <t>3896</t>
  </si>
  <si>
    <t>1RPHJk5dofH3HGd_FLpPJ7QCvt3bgoojj</t>
  </si>
  <si>
    <t>https://drive.google.com/file/d/1RPHJk5dofH3HGd_FLpPJ7QCvt3bgoojj/view?usp=drivesdk</t>
  </si>
  <si>
    <t>MENRY SITUMORANG</t>
  </si>
  <si>
    <t>mendr.situmorang@gmail.com</t>
  </si>
  <si>
    <t>3897</t>
  </si>
  <si>
    <t>1mZJ3l_MD9sOqtm9YtsBZ8_bQgpwejPYG</t>
  </si>
  <si>
    <t>https://drive.google.com/file/d/1mZJ3l_MD9sOqtm9YtsBZ8_bQgpwejPYG/view?usp=drivesdk</t>
  </si>
  <si>
    <t>Document successfully created; Document successfully merged; PDF created; !!Error Sending Emails: Service invoked too many times for one day: email.; Manually run by ecertificate75@gmail.com; Timestamp: Sep 2 2024 5:47 AM</t>
  </si>
  <si>
    <t>NGATMIATI</t>
  </si>
  <si>
    <t>evosauraaura633@gmail.com</t>
  </si>
  <si>
    <t>3898</t>
  </si>
  <si>
    <t>1KsSzvo_D1uZDax-tp5wXFQR3sBljJc4V</t>
  </si>
  <si>
    <t>https://drive.google.com/file/d/1KsSzvo_D1uZDax-tp5wXFQR3sBljJc4V/view?usp=drivesdk</t>
  </si>
  <si>
    <t xml:space="preserve">dr. DYTHA YULIA HANDAYANI </t>
  </si>
  <si>
    <t>dythayuliah@gmail.com</t>
  </si>
  <si>
    <t>3899</t>
  </si>
  <si>
    <t>1f8NdKzET8WDMMr3jF0hJFdkyNPR5ewEQ</t>
  </si>
  <si>
    <t>https://drive.google.com/file/d/1f8NdKzET8WDMMr3jF0hJFdkyNPR5ewEQ/view?usp=drivesdk</t>
  </si>
  <si>
    <t>NURUL AZNI. S.H</t>
  </si>
  <si>
    <t>nurulazni74@gmail.com</t>
  </si>
  <si>
    <t>3900</t>
  </si>
  <si>
    <t>Starting at Thu Aug 29 2024 21:21:39 GMT-0400 (EDT)</t>
  </si>
  <si>
    <t>1hzdZC9l2C4u4s3AzbyNdJ5ZwQlGwqIQM</t>
  </si>
  <si>
    <t>https://drive.google.com/file/d/1hzdZC9l2C4u4s3AzbyNdJ5ZwQlGwqIQM/view?usp=drivesdk</t>
  </si>
  <si>
    <t>DUWI ARYANINGSIH, S.H.</t>
  </si>
  <si>
    <t>duwiaryaningsih@gmail.com</t>
  </si>
  <si>
    <t>3901</t>
  </si>
  <si>
    <t>1beEqndi6BXE5lMf5UJ2mCmuJh3gNzrjk</t>
  </si>
  <si>
    <t>https://drive.google.com/file/d/1beEqndi6BXE5lMf5UJ2mCmuJh3gNzrjk/view?usp=drivesdk</t>
  </si>
  <si>
    <t>paktrisno66@gmai.com</t>
  </si>
  <si>
    <t>3902</t>
  </si>
  <si>
    <t>1yelk3cpjFgAJLuwrq6lIHkqvqpdOgv1z</t>
  </si>
  <si>
    <t>https://drive.google.com/file/d/1yelk3cpjFgAJLuwrq6lIHkqvqpdOgv1z/view?usp=drivesdk</t>
  </si>
  <si>
    <t>Document successfully created; Document successfully merged; PDF created; !!Error Sending Emails: Service invoked too many times for one day: email.; Manually run by ecertificate75@gmail.com; Timestamp: Sep 2 2024 5:48 AM</t>
  </si>
  <si>
    <t>ASEPNUGRAHA</t>
  </si>
  <si>
    <t>asepn4414@gmail.com</t>
  </si>
  <si>
    <t>3903</t>
  </si>
  <si>
    <t>1Me_XHbzyNDIsjPLBDK5g0gOZQohSdXbp</t>
  </si>
  <si>
    <t>https://drive.google.com/file/d/1Me_XHbzyNDIsjPLBDK5g0gOZQohSdXbp/view?usp=drivesdk</t>
  </si>
  <si>
    <t>FERNANDO SILALAHI, A.Md</t>
  </si>
  <si>
    <t>hose766hi@gmail.com</t>
  </si>
  <si>
    <t>3904</t>
  </si>
  <si>
    <t>1LlPvAnJ1w3hSpTk_JHNHPth4w7XojPc-</t>
  </si>
  <si>
    <t>https://drive.google.com/file/d/1LlPvAnJ1w3hSpTk_JHNHPth4w7XojPc-/view?usp=drivesdk</t>
  </si>
  <si>
    <t>FITRI YANTI ADITAMA AMD.KEP</t>
  </si>
  <si>
    <t>bossfitri.yanti@gmail.com</t>
  </si>
  <si>
    <t>3905</t>
  </si>
  <si>
    <t>1Ip4D-aNFf7GKyyzFF4s3L0nI2i5Iej6E</t>
  </si>
  <si>
    <t>https://drive.google.com/file/d/1Ip4D-aNFf7GKyyzFF4s3L0nI2i5Iej6E/view?usp=drivesdk</t>
  </si>
  <si>
    <t>DEWA GEDE SATRIA INDIKA</t>
  </si>
  <si>
    <t>satriaindika@gmail.com</t>
  </si>
  <si>
    <t>3906</t>
  </si>
  <si>
    <t>1hj1kGClUc5Ij5Et2DXNJ8yR7BY7zTONL</t>
  </si>
  <si>
    <t>https://drive.google.com/file/d/1hj1kGClUc5Ij5Et2DXNJ8yR7BY7zTONL/view?usp=drivesdk</t>
  </si>
  <si>
    <t>NETTY YOPITA SANNARIA HARAHAP,S.Kep</t>
  </si>
  <si>
    <t>nettyyopita@gmail.com</t>
  </si>
  <si>
    <t>3907</t>
  </si>
  <si>
    <t>13pCvnjVbmDrzn2vXIuA4Oay3wUDj6lnD</t>
  </si>
  <si>
    <t>https://drive.google.com/file/d/13pCvnjVbmDrzn2vXIuA4Oay3wUDj6lnD/view?usp=drivesdk</t>
  </si>
  <si>
    <t>Document successfully created; Document successfully merged; PDF created; !!Error Sending Emails: Service invoked too many times for one day: email.; Manually run by ecertificate75@gmail.com; Timestamp: Sep 2 2024 5:49 AM</t>
  </si>
  <si>
    <t>syuniarif71@gmail.com</t>
  </si>
  <si>
    <t>3908</t>
  </si>
  <si>
    <t>Starting at Thu Aug 29 2024 21:21:41 GMT-0400 (EDT)</t>
  </si>
  <si>
    <t>1zQBulnu5XNun0Yrpb5xvob4FUApeXqeZ</t>
  </si>
  <si>
    <t>https://drive.google.com/file/d/1zQBulnu5XNun0Yrpb5xvob4FUApeXqeZ/view?usp=drivesdk</t>
  </si>
  <si>
    <t>DELIANA KOMALA SARI</t>
  </si>
  <si>
    <t>deliana.ks33@gmail.com</t>
  </si>
  <si>
    <t>3909</t>
  </si>
  <si>
    <t>1iZBhF8jsX4IVza-iJb49qJNiG6DlTshs</t>
  </si>
  <si>
    <t>https://drive.google.com/file/d/1iZBhF8jsX4IVza-iJb49qJNiG6DlTshs/view?usp=drivesdk</t>
  </si>
  <si>
    <t>LUSIASIH. OKTININGTIWI</t>
  </si>
  <si>
    <t>lusiasihoktiningtiwi2015@gmail.com</t>
  </si>
  <si>
    <t>3910</t>
  </si>
  <si>
    <t>1KCvpAF0T4WFjBYaMkv8QgoBvKJy9sGco</t>
  </si>
  <si>
    <t>https://drive.google.com/file/d/1KCvpAF0T4WFjBYaMkv8QgoBvKJy9sGco/view?usp=drivesdk</t>
  </si>
  <si>
    <t>KAMSYAH</t>
  </si>
  <si>
    <t>Kamsyahy@gmail.com</t>
  </si>
  <si>
    <t>3911</t>
  </si>
  <si>
    <t>1UBRI6e-7VkqZYKDrx89EowpNXKIDDpcl</t>
  </si>
  <si>
    <t>https://drive.google.com/file/d/1UBRI6e-7VkqZYKDrx89EowpNXKIDDpcl/view?usp=drivesdk</t>
  </si>
  <si>
    <t>MULIADI</t>
  </si>
  <si>
    <t>muliadsdm@gmail.com</t>
  </si>
  <si>
    <t>3912</t>
  </si>
  <si>
    <t>1tBlB0-pBfjCH9Jyfx0GS2OseXy4EazKB</t>
  </si>
  <si>
    <t>https://drive.google.com/file/d/1tBlB0-pBfjCH9Jyfx0GS2OseXy4EazKB/view?usp=drivesdk</t>
  </si>
  <si>
    <t>Document successfully created; Document successfully merged; PDF created; !!Error Sending Emails: Service invoked too many times for one day: email.; Manually run by ecertificate75@gmail.com; Timestamp: Sep 2 2024 5:50 AM</t>
  </si>
  <si>
    <t>RUSDI AWALUDIN</t>
  </si>
  <si>
    <t>omrusdi3@gmail.com</t>
  </si>
  <si>
    <t>3913</t>
  </si>
  <si>
    <t>1U9kKsdsoqgTyHxHL7p5-vZvJTO5o0uWJ</t>
  </si>
  <si>
    <t>https://drive.google.com/file/d/1U9kKsdsoqgTyHxHL7p5-vZvJTO5o0uWJ/view?usp=drivesdk</t>
  </si>
  <si>
    <t xml:space="preserve">FITRI YANTI </t>
  </si>
  <si>
    <t>fitri.gus14@gmail.com</t>
  </si>
  <si>
    <t>3914</t>
  </si>
  <si>
    <t>1uHtlBYJq9opuHQ3wyNtT5MOtmBnSU5ap</t>
  </si>
  <si>
    <t>https://drive.google.com/file/d/1uHtlBYJq9opuHQ3wyNtT5MOtmBnSU5ap/view?usp=drivesdk</t>
  </si>
  <si>
    <t>SRI RAHAYUNINGSIH</t>
  </si>
  <si>
    <t>ningsih.srirahayu32@yahoo.com</t>
  </si>
  <si>
    <t>3915</t>
  </si>
  <si>
    <t>https://drive.google.com/file/d/16grxy4USKK-WeTpOVWuM4lr-H9d0QtI9/view?usp=drivesdk</t>
  </si>
  <si>
    <t>16grxy4USKK-WeTpOVWuM4lr-H9d0QtI9</t>
  </si>
  <si>
    <t>1if2glhBdZs9C2nWfr0M64_41DG7pfPic</t>
  </si>
  <si>
    <t>https://drive.google.com/file/d/1if2glhBdZs9C2nWfr0M64_41DG7pfPic/view?usp=drivesdk</t>
  </si>
  <si>
    <t>NOVA AYU WINARNING. S SKep</t>
  </si>
  <si>
    <t>nnovaaws@gmail.com</t>
  </si>
  <si>
    <t>3916</t>
  </si>
  <si>
    <t>https://drive.google.com/file/d/1OKPKtNZ_gIublyvR159w3i6iJGTXnjCI/view?usp=drivesdk</t>
  </si>
  <si>
    <t>Document successfully created; Document successfully merged; PDF created; !!Error Sending Emails: Service invoked too many times for one day: email.; Run via form trigger as ecertificate75@gmail.com; Timestamp: Aug 29 2024 9:22 PM</t>
  </si>
  <si>
    <t>1OKPKtNZ_gIublyvR159w3i6iJGTXnjCI</t>
  </si>
  <si>
    <t>1lz_8cWadrbzKfdgAfTM-KorBGNSQCWRO</t>
  </si>
  <si>
    <t>https://drive.google.com/file/d/1lz_8cWadrbzKfdgAfTM-KorBGNSQCWRO/view?usp=drivesdk</t>
  </si>
  <si>
    <t>Document successfully created; Document successfully merged; PDF created; !!Error Sending Emails: Service invoked too many times for one day: email.; Manually run by ecertificate75@gmail.com; Timestamp: Sep 2 2024 5:51 AM</t>
  </si>
  <si>
    <t>IMAM SURYONO</t>
  </si>
  <si>
    <t>imamsuryono73@gmail.com</t>
  </si>
  <si>
    <t>3917</t>
  </si>
  <si>
    <t>https://drive.google.com/file/d/1oHkhcKvYbTHfTr2YpYHrha_HfJQFTgbM/view?usp=drivesdk</t>
  </si>
  <si>
    <t>1oHkhcKvYbTHfTr2YpYHrha_HfJQFTgbM</t>
  </si>
  <si>
    <t>1gaKLIBbHdAQQTilDBI3CSaGhBg98NkHo</t>
  </si>
  <si>
    <t>https://drive.google.com/file/d/1gaKLIBbHdAQQTilDBI3CSaGhBg98NkHo/view?usp=drivesdk</t>
  </si>
  <si>
    <t>KARUNIA HADI SETIJONO, S.Sos</t>
  </si>
  <si>
    <t>karuniahadi71@gmail.com</t>
  </si>
  <si>
    <t>3918</t>
  </si>
  <si>
    <t>https://drive.google.com/file/d/1d8vBuX4RHQrzlJuh-j1mvN94R1IahJcp/view?usp=drivesdk</t>
  </si>
  <si>
    <t>1d8vBuX4RHQrzlJuh-j1mvN94R1IahJcp</t>
  </si>
  <si>
    <t>10X-bly0zwaBtsgSshMXxM_PdhAF-1EAm</t>
  </si>
  <si>
    <t>https://drive.google.com/file/d/10X-bly0zwaBtsgSshMXxM_PdhAF-1EAm/view?usp=drivesdk</t>
  </si>
  <si>
    <t>SARIA MANGOPO JULIANA SITORUS</t>
  </si>
  <si>
    <t>sariasitorus73@gmail.com</t>
  </si>
  <si>
    <t>3919</t>
  </si>
  <si>
    <t>https://drive.google.com/file/d/1AuvRg3tnao45oUyxvNHn6chmEqHgtinh/view?usp=drivesdk</t>
  </si>
  <si>
    <t>1AuvRg3tnao45oUyxvNHn6chmEqHgtinh</t>
  </si>
  <si>
    <t>1jiQJynR038AiqF-Tq5-G3jPsMsjDYUIA</t>
  </si>
  <si>
    <t>https://drive.google.com/file/d/1jiQJynR038AiqF-Tq5-G3jPsMsjDYUIA/view?usp=drivesdk</t>
  </si>
  <si>
    <t>YENI FITRI YULIASTUTIK, S.M.</t>
  </si>
  <si>
    <t>yenifitriyuliastutik@gmail.com</t>
  </si>
  <si>
    <t>3920</t>
  </si>
  <si>
    <t>https://drive.google.com/file/d/1GAFc3Ns9qXf1xDqEcrSwwnz8HlPPCLjU/view?usp=drivesdk</t>
  </si>
  <si>
    <t>Document successfully created; Document successfully merged; PDF created; !!Error Sending Emails: Service invoked too many times for one day: email.; Run via form trigger as ecertificate75@gmail.com; Timestamp: Aug 29 2024 9:23 PM</t>
  </si>
  <si>
    <t>1GAFc3Ns9qXf1xDqEcrSwwnz8HlPPCLjU</t>
  </si>
  <si>
    <t>18QNiEInYHZXgU52N2BB7YJBP_JXCMTC_</t>
  </si>
  <si>
    <t>https://drive.google.com/file/d/18QNiEInYHZXgU52N2BB7YJBP_JXCMTC_/view?usp=drivesdk</t>
  </si>
  <si>
    <t>FILANTARI CAHYANI A.Md</t>
  </si>
  <si>
    <t>cahyani.filan@gmail.com</t>
  </si>
  <si>
    <t>3921</t>
  </si>
  <si>
    <t>https://drive.google.com/file/d/1cJXasOll3E4M3DsY16F11AMmzmJEfdsS/view?usp=drivesdk</t>
  </si>
  <si>
    <t>1cJXasOll3E4M3DsY16F11AMmzmJEfdsS</t>
  </si>
  <si>
    <t>1BfSpy-zZa1e2uA2xFQwgjoQ7Ucy06qDf</t>
  </si>
  <si>
    <t>https://drive.google.com/file/d/1BfSpy-zZa1e2uA2xFQwgjoQ7Ucy06qDf/view?usp=drivesdk</t>
  </si>
  <si>
    <t>Document successfully created; Document successfully merged; PDF created; !!Error Sending Emails: Service invoked too many times for one day: email.; Manually run by ecertificate75@gmail.com; Timestamp: Sep 2 2024 5:52 AM</t>
  </si>
  <si>
    <t>EDY WINARNO</t>
  </si>
  <si>
    <t>edywinarno1970@gmail.com</t>
  </si>
  <si>
    <t>3922</t>
  </si>
  <si>
    <t>Starting at Thu Aug 29 2024 21:23:28 GMT-0400 (EDT)</t>
  </si>
  <si>
    <t>1dCIsO7IfPrD8n3pc8o_VLfMyHicqUb64</t>
  </si>
  <si>
    <t>https://drive.google.com/file/d/1dCIsO7IfPrD8n3pc8o_VLfMyHicqUb64/view?usp=drivesdk</t>
  </si>
  <si>
    <t>DWI YULI ASTUTI</t>
  </si>
  <si>
    <t>astutidwiyuli19@gmail.com</t>
  </si>
  <si>
    <t>3923</t>
  </si>
  <si>
    <t>1xWaVYaD9RFbbpvRhRZHK9vfAeX-tYdF2</t>
  </si>
  <si>
    <t>https://drive.google.com/file/d/1xWaVYaD9RFbbpvRhRZHK9vfAeX-tYdF2/view?usp=drivesdk</t>
  </si>
  <si>
    <t>DENI KURNIAWAN</t>
  </si>
  <si>
    <t>kurniawandeni038@gmail.com</t>
  </si>
  <si>
    <t>3924</t>
  </si>
  <si>
    <t>1KUjJRjwLAsnk-KdMHo9Gb4KGZkTMhIlN</t>
  </si>
  <si>
    <t>https://drive.google.com/file/d/1KUjJRjwLAsnk-KdMHo9Gb4KGZkTMhIlN/view?usp=drivesdk</t>
  </si>
  <si>
    <t>WA ERNI S.K.M</t>
  </si>
  <si>
    <t>erniwaerni1@gmail.com</t>
  </si>
  <si>
    <t>3925</t>
  </si>
  <si>
    <t>1aUUchEsIGfQvc-TyMMDpNUk0QR1xKHNy</t>
  </si>
  <si>
    <t>https://drive.google.com/file/d/1aUUchEsIGfQvc-TyMMDpNUk0QR1xKHNy/view?usp=drivesdk</t>
  </si>
  <si>
    <t>Document successfully created; Document successfully merged; PDF created; !!Error Sending Emails: Service invoked too many times for one day: email.; Manually run by ecertificate75@gmail.com; Timestamp: Sep 2 2024 5:53 AM</t>
  </si>
  <si>
    <t>SULISTIOWATI</t>
  </si>
  <si>
    <t>sulistyawati049469@gmail.com</t>
  </si>
  <si>
    <t>3926</t>
  </si>
  <si>
    <t>1geuKqRP5OYGPgckd8BDU4-FJm_GuSIxZ</t>
  </si>
  <si>
    <t>https://drive.google.com/file/d/1geuKqRP5OYGPgckd8BDU4-FJm_GuSIxZ/view?usp=drivesdk</t>
  </si>
  <si>
    <t>ULY FETTY SIMBOLON, S.K.M., M.K.M.</t>
  </si>
  <si>
    <t>uly_fettyskm@yahoo.com</t>
  </si>
  <si>
    <t>3927</t>
  </si>
  <si>
    <t>12pT4-STqSsqytetK9GtVTYNCWFppTotB</t>
  </si>
  <si>
    <t>https://drive.google.com/file/d/12pT4-STqSsqytetK9GtVTYNCWFppTotB/view?usp=drivesdk</t>
  </si>
  <si>
    <t xml:space="preserve">GATI PERTIWI </t>
  </si>
  <si>
    <t>gatipertiwi67@gmail.com</t>
  </si>
  <si>
    <t>3928</t>
  </si>
  <si>
    <t>19i0EXcQl7_VxH7PmxKG5y8JAwm4LI2lV</t>
  </si>
  <si>
    <t>https://drive.google.com/file/d/19i0EXcQl7_VxH7PmxKG5y8JAwm4LI2lV/view?usp=drivesdk</t>
  </si>
  <si>
    <t>BANGUN SUPRIYONO</t>
  </si>
  <si>
    <t>bangunsupriyono68@gmail.com</t>
  </si>
  <si>
    <t>3929</t>
  </si>
  <si>
    <t>10jaSA5YFMvHRAnV4mL2TG50yKE23j8En</t>
  </si>
  <si>
    <t>https://drive.google.com/file/d/10jaSA5YFMvHRAnV4mL2TG50yKE23j8En/view?usp=drivesdk</t>
  </si>
  <si>
    <t>LELA MEILASARI, S.E.</t>
  </si>
  <si>
    <t>meilasarilela@gmail.com</t>
  </si>
  <si>
    <t>3930</t>
  </si>
  <si>
    <t>1pJ669xiamf7SPZcrC6TvmlsdA5CVfW_Y</t>
  </si>
  <si>
    <t>https://drive.google.com/file/d/1pJ669xiamf7SPZcrC6TvmlsdA5CVfW_Y/view?usp=drivesdk</t>
  </si>
  <si>
    <t>Document successfully created; Document successfully merged; PDF created; !!Error Sending Emails: Service invoked too many times for one day: email.; Manually run by ecertificate75@gmail.com; Timestamp: Sep 2 2024 5:54 AM</t>
  </si>
  <si>
    <t>SOKHIBUL Amd. RO</t>
  </si>
  <si>
    <t>sokhibul354@gmail.com</t>
  </si>
  <si>
    <t>3931</t>
  </si>
  <si>
    <t>1d0Z2dtjrVTqlZlcEXHMq1efAMrLV5MjS</t>
  </si>
  <si>
    <t>https://drive.google.com/file/d/1d0Z2dtjrVTqlZlcEXHMq1efAMrLV5MjS/view?usp=drivesdk</t>
  </si>
  <si>
    <t>AGUNG TRI WAHANA</t>
  </si>
  <si>
    <t>agungrembang32@gmail.com</t>
  </si>
  <si>
    <t>3932</t>
  </si>
  <si>
    <t>https://drive.google.com/file/d/16yYsf9gApE_2Jqb3SKt66moUVc36vfgS/view?usp=drivesdk</t>
  </si>
  <si>
    <t>16yYsf9gApE_2Jqb3SKt66moUVc36vfgS</t>
  </si>
  <si>
    <t>12GZDUv6vPrW3n83ye93oO1NVyYNZl7xC</t>
  </si>
  <si>
    <t>https://drive.google.com/file/d/12GZDUv6vPrW3n83ye93oO1NVyYNZl7xC/view?usp=drivesdk</t>
  </si>
  <si>
    <t>TRI ROHMATUL DWI WULAN NINGSIH</t>
  </si>
  <si>
    <t>dwiwul1982@gmail.com</t>
  </si>
  <si>
    <t>3933</t>
  </si>
  <si>
    <t>https://drive.google.com/file/d/1tMVMo8Zc8AVdufH8U_zrTz5XxBI1F5KB/view?usp=drivesdk</t>
  </si>
  <si>
    <t>1tMVMo8Zc8AVdufH8U_zrTz5XxBI1F5KB</t>
  </si>
  <si>
    <t>1u6Vzlfay3rUy5eQoListAwni3m9LL3gk</t>
  </si>
  <si>
    <t>https://drive.google.com/file/d/1u6Vzlfay3rUy5eQoListAwni3m9LL3gk/view?usp=drivesdk</t>
  </si>
  <si>
    <t>LILIK FATCHILLAH</t>
  </si>
  <si>
    <t>fatchillahlilik@gmail.com</t>
  </si>
  <si>
    <t>3934</t>
  </si>
  <si>
    <t>https://drive.google.com/file/d/1HyWYUepl1byzaYoyM4Su_5ppJFJq7zRy/view?usp=drivesdk</t>
  </si>
  <si>
    <t>1HyWYUepl1byzaYoyM4Su_5ppJFJq7zRy</t>
  </si>
  <si>
    <t>1WP9GNqySxkgbPnB6nMR6es50vSEmpzF0</t>
  </si>
  <si>
    <t>https://drive.google.com/file/d/1WP9GNqySxkgbPnB6nMR6es50vSEmpzF0/view?usp=drivesdk</t>
  </si>
  <si>
    <t>EDDY WIJAYA SUKATENDEL. SE. MM</t>
  </si>
  <si>
    <t>jaytendel@yahoo.com</t>
  </si>
  <si>
    <t>3935</t>
  </si>
  <si>
    <t>https://drive.google.com/file/d/1gLtleYo0CRVc7jmJI149yXlUAZWASTOq/view?usp=drivesdk</t>
  </si>
  <si>
    <t>1gLtleYo0CRVc7jmJI149yXlUAZWASTOq</t>
  </si>
  <si>
    <t>1TZ4kh1zn18ERMcrPTAWDnADARcm8doW5</t>
  </si>
  <si>
    <t>https://drive.google.com/file/d/1TZ4kh1zn18ERMcrPTAWDnADARcm8doW5/view?usp=drivesdk</t>
  </si>
  <si>
    <t>Document successfully created; Document successfully merged; PDF created; !!Error Sending Emails: Service invoked too many times for one day: email.; Manually run by ecertificate75@gmail.com; Timestamp: Sep 2 2024 5:55 AM</t>
  </si>
  <si>
    <t>Maria Pintam Wahyu Mediatri, S.IKom</t>
  </si>
  <si>
    <t>mediatri92@gmail.com</t>
  </si>
  <si>
    <t>3936</t>
  </si>
  <si>
    <t>1VBF6j1uz1eEy-ojT_-GKmfe0-eCeH0yC</t>
  </si>
  <si>
    <t>https://drive.google.com/file/d/1VBF6j1uz1eEy-ojT_-GKmfe0-eCeH0yC/view?usp=drivesdk</t>
  </si>
  <si>
    <t>HENRY RICARDO TAMPATY. A.Md.Kep</t>
  </si>
  <si>
    <t>h3nryricardo@gmail.com</t>
  </si>
  <si>
    <t>3937</t>
  </si>
  <si>
    <t>Starting at Thu Aug 29 2024 21:21:47 GMT-0400 (EDT)</t>
  </si>
  <si>
    <t>1OJbgXnGEvxNDoQGzWETZgqaNKNY4pkPO</t>
  </si>
  <si>
    <t>https://drive.google.com/file/d/1OJbgXnGEvxNDoQGzWETZgqaNKNY4pkPO/view?usp=drivesdk</t>
  </si>
  <si>
    <t>SIYONO</t>
  </si>
  <si>
    <t>siyonobms@gmail.com</t>
  </si>
  <si>
    <t>3938</t>
  </si>
  <si>
    <t>1vMIWYfXrk9D75Kyp1g1UKDWUbL3KNMeZ</t>
  </si>
  <si>
    <t>https://drive.google.com/file/d/1vMIWYfXrk9D75Kyp1g1UKDWUbL3KNMeZ/view?usp=drivesdk</t>
  </si>
  <si>
    <t xml:space="preserve">SULISMIATI, M.Psi., Psikolog </t>
  </si>
  <si>
    <t>Sulis.azha76@gmail.com</t>
  </si>
  <si>
    <t>3939</t>
  </si>
  <si>
    <t>1hi7cFMx-FcVptP5_p6Y5GaeQGXdV4IBX</t>
  </si>
  <si>
    <t>https://drive.google.com/file/d/1hi7cFMx-FcVptP5_p6Y5GaeQGXdV4IBX/view?usp=drivesdk</t>
  </si>
  <si>
    <t>ANIK MUFIDAH</t>
  </si>
  <si>
    <t>anikabi78@gmail.com</t>
  </si>
  <si>
    <t>3940</t>
  </si>
  <si>
    <t>1Dxah26lx27tS7-YB0-TzPB3TD_dM45hO</t>
  </si>
  <si>
    <t>https://drive.google.com/file/d/1Dxah26lx27tS7-YB0-TzPB3TD_dM45hO/view?usp=drivesdk</t>
  </si>
  <si>
    <t>Document successfully created; Document successfully merged; PDF created; !!Error Sending Emails: Service invoked too many times for one day: email.; Manually run by ecertificate75@gmail.com; Timestamp: Sep 2 2024 5:56 AM</t>
  </si>
  <si>
    <t xml:space="preserve">TITIK PURWATI </t>
  </si>
  <si>
    <t>titikpur79@gmail.com</t>
  </si>
  <si>
    <t>3941</t>
  </si>
  <si>
    <t>1XCyy_Rhe27akYd6rqfxv6OU7iZO8MokN</t>
  </si>
  <si>
    <t>https://drive.google.com/file/d/1XCyy_Rhe27akYd6rqfxv6OU7iZO8MokN/view?usp=drivesdk</t>
  </si>
  <si>
    <t>NAMA PAINI</t>
  </si>
  <si>
    <t>ainisam72@gmail.com</t>
  </si>
  <si>
    <t>3942</t>
  </si>
  <si>
    <t>1FN-OqjW7_GtY4F4pcJ7wjkRMj5C3eQHO</t>
  </si>
  <si>
    <t>https://drive.google.com/file/d/1FN-OqjW7_GtY4F4pcJ7wjkRMj5C3eQHO/view?usp=drivesdk</t>
  </si>
  <si>
    <t>BUDI UTOMO</t>
  </si>
  <si>
    <t>budiutomo19051967@gmail.com</t>
  </si>
  <si>
    <t>3943</t>
  </si>
  <si>
    <t>1iVx6eUonpuI5GSoweYJIJq0_HHhXQs4S</t>
  </si>
  <si>
    <t>https://drive.google.com/file/d/1iVx6eUonpuI5GSoweYJIJq0_HHhXQs4S/view?usp=drivesdk</t>
  </si>
  <si>
    <t>SRI ANI</t>
  </si>
  <si>
    <t>srianisriani10@gmail.com</t>
  </si>
  <si>
    <t>3944</t>
  </si>
  <si>
    <t>https://drive.google.com/file/d/1skjSIHpRS6pDwD7CeZFz7ecklcKHWRMI/view?usp=drivesdk</t>
  </si>
  <si>
    <t>1skjSIHpRS6pDwD7CeZFz7ecklcKHWRMI</t>
  </si>
  <si>
    <t>1KlO762hT14pLY3TLv5kiMkDOqw78VpM3</t>
  </si>
  <si>
    <t>https://drive.google.com/file/d/1KlO762hT14pLY3TLv5kiMkDOqw78VpM3/view?usp=drivesdk</t>
  </si>
  <si>
    <t>Document successfully created; Document successfully merged; PDF created; !!Error Sending Emails: Service invoked too many times for one day: email.; Manually run by ecertificate75@gmail.com; Timestamp: Sep 2 2024 5:57 AM</t>
  </si>
  <si>
    <t xml:space="preserve">ERWIN MULIADI </t>
  </si>
  <si>
    <t>erwinmuliadi5@gmail.com</t>
  </si>
  <si>
    <t>3945</t>
  </si>
  <si>
    <t>https://drive.google.com/file/d/16EaAlbgfD-4vpu-tlTelK-NgQtAezxzT/view?usp=drivesdk</t>
  </si>
  <si>
    <t>16EaAlbgfD-4vpu-tlTelK-NgQtAezxzT</t>
  </si>
  <si>
    <t>1g3Iw7SxMARcT8k-zsBojMoba0-C9wo7s</t>
  </si>
  <si>
    <t>https://drive.google.com/file/d/1g3Iw7SxMARcT8k-zsBojMoba0-C9wo7s/view?usp=drivesdk</t>
  </si>
  <si>
    <t>Henny Ernaida S.Sos.Msi</t>
  </si>
  <si>
    <t>hennyadry@gmail.com</t>
  </si>
  <si>
    <t>3946</t>
  </si>
  <si>
    <t>https://drive.google.com/file/d/1fAbxfj9PglCqZjzxCtyC0yO2k2Me3WPN/view?usp=drivesdk</t>
  </si>
  <si>
    <t>1fAbxfj9PglCqZjzxCtyC0yO2k2Me3WPN</t>
  </si>
  <si>
    <t>1fpUspWLjgF6OH-ANUHqNW2B7rsDIjM7g</t>
  </si>
  <si>
    <t>https://drive.google.com/file/d/1fpUspWLjgF6OH-ANUHqNW2B7rsDIjM7g/view?usp=drivesdk</t>
  </si>
  <si>
    <t>DWI WASTINI</t>
  </si>
  <si>
    <t>abhiseka0710@gmail.com</t>
  </si>
  <si>
    <t>3947</t>
  </si>
  <si>
    <t>Starting at Thu Aug 29 2024 21:21:50 GMT-0400 (EDT)</t>
  </si>
  <si>
    <t>1e__8oIQ6UM6FxHV9IPz5v4DmYqy_uKFa</t>
  </si>
  <si>
    <t>https://drive.google.com/file/d/1e__8oIQ6UM6FxHV9IPz5v4DmYqy_uKFa/view?usp=drivesdk</t>
  </si>
  <si>
    <t>NI MATUL ULA RHD</t>
  </si>
  <si>
    <t>dianningsih.8610@gmail.com</t>
  </si>
  <si>
    <t>3948</t>
  </si>
  <si>
    <t>1AZOAUhzaQZdN1OxFpqIwehP1mXC3rpkv</t>
  </si>
  <si>
    <t>https://drive.google.com/file/d/1AZOAUhzaQZdN1OxFpqIwehP1mXC3rpkv/view?usp=drivesdk</t>
  </si>
  <si>
    <t>Document successfully created; Document successfully merged; PDF created; !!Error Sending Emails: Service invoked too many times for one day: email.; Manually run by ecertificate75@gmail.com; Timestamp: Sep 2 2024 5:58 AM</t>
  </si>
  <si>
    <t>TREINDIAS YUN PROBOWATI KAESA, A.Md</t>
  </si>
  <si>
    <t>diasringgo@gmail.com</t>
  </si>
  <si>
    <t>3949</t>
  </si>
  <si>
    <t>1PaWrlrYu-llsaF_-fPNkEG-5SjQOHTPX</t>
  </si>
  <si>
    <t>https://drive.google.com/file/d/1PaWrlrYu-llsaF_-fPNkEG-5SjQOHTPX/view?usp=drivesdk</t>
  </si>
  <si>
    <t>ELLY IRIANTY OKTAVIA, S.Kep. Ns.</t>
  </si>
  <si>
    <t>elly.irianty@gmail.com</t>
  </si>
  <si>
    <t>3950</t>
  </si>
  <si>
    <t>https://drive.google.com/file/d/1bzldVyQ2_QTdtTEByFUlgfr7ANL-6wrn/view?usp=drivesdk</t>
  </si>
  <si>
    <t>1bzldVyQ2_QTdtTEByFUlgfr7ANL-6wrn</t>
  </si>
  <si>
    <t>1_uBrdUYlRdN1YIVJVSTgy74SfuyRlWot</t>
  </si>
  <si>
    <t>https://drive.google.com/file/d/1_uBrdUYlRdN1YIVJVSTgy74SfuyRlWot/view?usp=drivesdk</t>
  </si>
  <si>
    <t xml:space="preserve">DIDIK RIYANTO </t>
  </si>
  <si>
    <t>didiksumda@gmail.com</t>
  </si>
  <si>
    <t>3951</t>
  </si>
  <si>
    <t>https://drive.google.com/file/d/1K36hGgGVvbEe0ACizWvTWGDOiufOivWI/view?usp=drivesdk</t>
  </si>
  <si>
    <t>1K36hGgGVvbEe0ACizWvTWGDOiufOivWI</t>
  </si>
  <si>
    <t>1eEGz5oNiyRuzw3fdfaDMxOxsHngwfozy</t>
  </si>
  <si>
    <t>https://drive.google.com/file/d/1eEGz5oNiyRuzw3fdfaDMxOxsHngwfozy/view?usp=drivesdk</t>
  </si>
  <si>
    <t>MUJI ASTUTIK</t>
  </si>
  <si>
    <t>mujiastutik251@gmail.com</t>
  </si>
  <si>
    <t>3952</t>
  </si>
  <si>
    <t>https://drive.google.com/file/d/1TdY9Hy49zjYhUG6E4V5W8g0wTgwMBdXa/view?usp=drivesdk</t>
  </si>
  <si>
    <t>1TdY9Hy49zjYhUG6E4V5W8g0wTgwMBdXa</t>
  </si>
  <si>
    <t>1jFhSxBDQPnbeNsb8YKJ71agYCdxBm6vw</t>
  </si>
  <si>
    <t>https://drive.google.com/file/d/1jFhSxBDQPnbeNsb8YKJ71agYCdxBm6vw/view?usp=drivesdk</t>
  </si>
  <si>
    <t>YAYAT SUMITRA</t>
  </si>
  <si>
    <t>sagitasriputri321@gmail.com</t>
  </si>
  <si>
    <t>3953</t>
  </si>
  <si>
    <t>https://drive.google.com/file/d/18jdAVU0g5KH_U-RnpQtAoGMX-LCDl6QF/view?usp=drivesdk</t>
  </si>
  <si>
    <t>18jdAVU0g5KH_U-RnpQtAoGMX-LCDl6QF</t>
  </si>
  <si>
    <t>1uh7WC-0HObac1MQ_VTolYrVZuypljkE_</t>
  </si>
  <si>
    <t>https://drive.google.com/file/d/1uh7WC-0HObac1MQ_VTolYrVZuypljkE_/view?usp=drivesdk</t>
  </si>
  <si>
    <t>Document successfully created; Document successfully merged; PDF created; !!Error Sending Emails: Service invoked too many times for one day: email.; Manually run by ecertificate75@gmail.com; Timestamp: Sep 2 2024 5:59 AM</t>
  </si>
  <si>
    <t>EKA DEWITA</t>
  </si>
  <si>
    <t>ekadewita123@mail.com</t>
  </si>
  <si>
    <t>3954</t>
  </si>
  <si>
    <t>Starting at Thu Aug 29 2024 21:21:51 GMT-0400 (EDT)</t>
  </si>
  <si>
    <t>1FqK5No8DT3Tva7WF54IkFlAGeg4KZwQF</t>
  </si>
  <si>
    <t>https://drive.google.com/file/d/1FqK5No8DT3Tva7WF54IkFlAGeg4KZwQF/view?usp=drivesdk</t>
  </si>
  <si>
    <t>ILHAM RAMADHAN, S.Kep.</t>
  </si>
  <si>
    <t>ilhamram1214@gmail.com</t>
  </si>
  <si>
    <t>3955</t>
  </si>
  <si>
    <t>1LzYv3OJ7YWAbglx0tWzggr-dMWliSSIv</t>
  </si>
  <si>
    <t>https://drive.google.com/file/d/1LzYv3OJ7YWAbglx0tWzggr-dMWliSSIv/view?usp=drivesdk</t>
  </si>
  <si>
    <t>BERTHA M SIANTURI</t>
  </si>
  <si>
    <t>berthamaulinasianturi@gmail.com</t>
  </si>
  <si>
    <t>3956</t>
  </si>
  <si>
    <t>1hc8l9pLDX4MiOj1NMmy8Kmj8DJD24cM-</t>
  </si>
  <si>
    <t>https://drive.google.com/file/d/1hc8l9pLDX4MiOj1NMmy8Kmj8DJD24cM-/view?usp=drivesdk</t>
  </si>
  <si>
    <t>HERUWANTO</t>
  </si>
  <si>
    <t>heruwantospn@gmail.com</t>
  </si>
  <si>
    <t>3957</t>
  </si>
  <si>
    <t>https://drive.google.com/file/d/1Epbck5SqpKIvXa13lluOmFCl_zLsHUBs/view?usp=drivesdk</t>
  </si>
  <si>
    <t>1Epbck5SqpKIvXa13lluOmFCl_zLsHUBs</t>
  </si>
  <si>
    <t>1RQ5O_G1_uwMt2ufcCtNJRN5PMcLvxZr4</t>
  </si>
  <si>
    <t>https://drive.google.com/file/d/1RQ5O_G1_uwMt2ufcCtNJRN5PMcLvxZr4/view?usp=drivesdk</t>
  </si>
  <si>
    <t>AMIR SUBEKTI</t>
  </si>
  <si>
    <t>amirbekty@gmail.com</t>
  </si>
  <si>
    <t>3958</t>
  </si>
  <si>
    <t>https://drive.google.com/file/d/1oI5VXcLjxtWUe1D8TpzC2l1dt1DvZytS/view?usp=drivesdk</t>
  </si>
  <si>
    <t>1oI5VXcLjxtWUe1D8TpzC2l1dt1DvZytS</t>
  </si>
  <si>
    <t>1ZnFgBXe1MCpN3B3jZjgTBVkEtEnzvNvf</t>
  </si>
  <si>
    <t>https://drive.google.com/file/d/1ZnFgBXe1MCpN3B3jZjgTBVkEtEnzvNvf/view?usp=drivesdk</t>
  </si>
  <si>
    <t>Document successfully created; Document successfully merged; PDF created; !!Error Sending Emails: Service invoked too many times for one day: email.; Manually run by ecertificate75@gmail.com; Timestamp: Sep 2 2024 6:00 AM</t>
  </si>
  <si>
    <t>APRIANI SIAHAAN</t>
  </si>
  <si>
    <t>aprianisiahaaan@gmail.com</t>
  </si>
  <si>
    <t>3959</t>
  </si>
  <si>
    <t>https://drive.google.com/file/d/1J1-jSx13Rys7eZtcKrtPtYmt9rhcHsMa/view?usp=drivesdk</t>
  </si>
  <si>
    <t>1J1-jSx13Rys7eZtcKrtPtYmt9rhcHsMa</t>
  </si>
  <si>
    <t>1AM2FQeACYyJp9KDkpotovTHVoxyb_qLI</t>
  </si>
  <si>
    <t>https://drive.google.com/file/d/1AM2FQeACYyJp9KDkpotovTHVoxyb_qLI/view?usp=drivesdk</t>
  </si>
  <si>
    <t>RINDA UTAMA,SH</t>
  </si>
  <si>
    <t>rindautama72@gmail.com</t>
  </si>
  <si>
    <t>3960</t>
  </si>
  <si>
    <t>https://drive.google.com/file/d/1Fd3AYMC2eZ4g-Icyf4RebocLw4SQE4YF/view?usp=drivesdk</t>
  </si>
  <si>
    <t>1Fd3AYMC2eZ4g-Icyf4RebocLw4SQE4YF</t>
  </si>
  <si>
    <t>1EZ34UeClakzC3R1WjHLWBYR0dkrfyLdm</t>
  </si>
  <si>
    <t>https://drive.google.com/file/d/1EZ34UeClakzC3R1WjHLWBYR0dkrfyLdm/view?usp=drivesdk</t>
  </si>
  <si>
    <t>ANNISA LATIFAH, S.Keb</t>
  </si>
  <si>
    <t>wafa.latifah@gmail.com</t>
  </si>
  <si>
    <t>3961</t>
  </si>
  <si>
    <t>Starting at Thu Aug 29 2024 21:21:56 GMT-0400 (EDT)</t>
  </si>
  <si>
    <t>1qhwH7r_54wZ5Nd2nXVX7fSDa8xuJCbuu</t>
  </si>
  <si>
    <t>https://drive.google.com/file/d/1qhwH7r_54wZ5Nd2nXVX7fSDa8xuJCbuu/view?usp=drivesdk</t>
  </si>
  <si>
    <t>3962</t>
  </si>
  <si>
    <t>1amIo1Fw59QohF_3uWdadgJYA8chc_Gj2</t>
  </si>
  <si>
    <t>https://drive.google.com/file/d/1amIo1Fw59QohF_3uWdadgJYA8chc_Gj2/view?usp=drivesdk</t>
  </si>
  <si>
    <t>NINIK SETYORINI, S.E.</t>
  </si>
  <si>
    <t>niniks101079@gmail.com</t>
  </si>
  <si>
    <t>3963</t>
  </si>
  <si>
    <t>https://drive.google.com/file/d/12EujYx1wOnQ8kQFffuKIS4ngpBwe5dee/view?usp=drivesdk</t>
  </si>
  <si>
    <t>12EujYx1wOnQ8kQFffuKIS4ngpBwe5dee</t>
  </si>
  <si>
    <t>1ltyk1wD6f-ownKvccRP8EG_6HdCytm-Z</t>
  </si>
  <si>
    <t>https://drive.google.com/file/d/1ltyk1wD6f-ownKvccRP8EG_6HdCytm-Z/view?usp=drivesdk</t>
  </si>
  <si>
    <t>Document successfully created; Document successfully merged; PDF created; !!Error Sending Emails: Service invoked too many times for one day: email.; Manually run by ecertificate75@gmail.com; Timestamp: Sep 2 2024 6:01 AM</t>
  </si>
  <si>
    <t>DESRIANA SIHOMBING, SE</t>
  </si>
  <si>
    <t>odesy645@gmail.com</t>
  </si>
  <si>
    <t>3964</t>
  </si>
  <si>
    <t>https://drive.google.com/file/d/138rSDp3rySntHjA-8onNNC75sAWw0vWE/view?usp=drivesdk</t>
  </si>
  <si>
    <t>138rSDp3rySntHjA-8onNNC75sAWw0vWE</t>
  </si>
  <si>
    <t>1n6YsuvfYe6yjHfXiKW6xeIa6cZrt4gTi</t>
  </si>
  <si>
    <t>https://drive.google.com/file/d/1n6YsuvfYe6yjHfXiKW6xeIa6cZrt4gTi/view?usp=drivesdk</t>
  </si>
  <si>
    <t>TRI CAHYONO</t>
  </si>
  <si>
    <t>tricahyono.trio@gmail.com</t>
  </si>
  <si>
    <t>3965</t>
  </si>
  <si>
    <t>https://drive.google.com/file/d/1XaFxw4uuf5vResD0mI8J8XiCpBiolTzH/view?usp=drivesdk</t>
  </si>
  <si>
    <t>1XaFxw4uuf5vResD0mI8J8XiCpBiolTzH</t>
  </si>
  <si>
    <t>1LywEY0DOMnnjHFn6KvOaH48Uym1jcUQt</t>
  </si>
  <si>
    <t>https://drive.google.com/file/d/1LywEY0DOMnnjHFn6KvOaH48Uym1jcUQt/view?usp=drivesdk</t>
  </si>
  <si>
    <t>SUKESTIN, S.Psi</t>
  </si>
  <si>
    <t>kestin.madaka@gmail.com</t>
  </si>
  <si>
    <t>3966</t>
  </si>
  <si>
    <t>https://drive.google.com/file/d/1bG1pElJyQAWTnPfFeHv4WPPhyN8U5_Xo/view?usp=drivesdk</t>
  </si>
  <si>
    <t>1bG1pElJyQAWTnPfFeHv4WPPhyN8U5_Xo</t>
  </si>
  <si>
    <t>1rlyheeqDYIwUkTXGz12fsFrZRol0EsHg</t>
  </si>
  <si>
    <t>https://drive.google.com/file/d/1rlyheeqDYIwUkTXGz12fsFrZRol0EsHg/view?usp=drivesdk</t>
  </si>
  <si>
    <t>Vonne Agustien Tasiam</t>
  </si>
  <si>
    <t>vonnetasiam22@gmail.com</t>
  </si>
  <si>
    <t>3967</t>
  </si>
  <si>
    <t>https://drive.google.com/file/d/1iVBI5NKOQWwhAtnPbBS5lb4nHqpvJPjW/view?usp=drivesdk</t>
  </si>
  <si>
    <t>1iVBI5NKOQWwhAtnPbBS5lb4nHqpvJPjW</t>
  </si>
  <si>
    <t>1eo8LKf-Hw55xCXXNBo_mg1SuwhKY3d-E</t>
  </si>
  <si>
    <t>https://drive.google.com/file/d/1eo8LKf-Hw55xCXXNBo_mg1SuwhKY3d-E/view?usp=drivesdk</t>
  </si>
  <si>
    <t>Document successfully created; Document successfully merged; PDF created; !!Error Sending Emails: Service invoked too many times for one day: email.; Manually run by ecertificate75@gmail.com; Timestamp: Sep 2 2024 6:02 AM</t>
  </si>
  <si>
    <t>AGUSTINI</t>
  </si>
  <si>
    <t>gustinrey80@gmail.com</t>
  </si>
  <si>
    <t>3968</t>
  </si>
  <si>
    <t>https://drive.google.com/file/d/1ef7AgOYovhZmR20b5Q2DkmK2_bpVf_tq/view?usp=drivesdk</t>
  </si>
  <si>
    <t>1ef7AgOYovhZmR20b5Q2DkmK2_bpVf_tq</t>
  </si>
  <si>
    <t>1wY4ow9sttVEC5voLHzmN8-wuMlqsSDBF</t>
  </si>
  <si>
    <t>https://drive.google.com/file/d/1wY4ow9sttVEC5voLHzmN8-wuMlqsSDBF/view?usp=drivesdk</t>
  </si>
  <si>
    <t>SUKMA YULIANA SARI, S.E, M.M.</t>
  </si>
  <si>
    <t>sukmayulianasari76@gmail.com</t>
  </si>
  <si>
    <t>3969</t>
  </si>
  <si>
    <t>https://drive.google.com/file/d/1amoFRvcsUo04bNGmdVCS9vqqiCMo9x-Z/view?usp=drivesdk</t>
  </si>
  <si>
    <t>1amoFRvcsUo04bNGmdVCS9vqqiCMo9x-Z</t>
  </si>
  <si>
    <t>1Tek5ge3tlpMoI8HxekF2NFLbK6c8vUAz</t>
  </si>
  <si>
    <t>https://drive.google.com/file/d/1Tek5ge3tlpMoI8HxekF2NFLbK6c8vUAz/view?usp=drivesdk</t>
  </si>
  <si>
    <t>MEGAWATI,S.SOS</t>
  </si>
  <si>
    <t>megadd82@gmail.com</t>
  </si>
  <si>
    <t>3970</t>
  </si>
  <si>
    <t>Starting at Thu Aug 29 2024 21:22:03 GMT-0400 (EDT)</t>
  </si>
  <si>
    <t>1trJTILIbOHM5AtSXxZQW1E5flNgUhvyr</t>
  </si>
  <si>
    <t>https://drive.google.com/file/d/1trJTILIbOHM5AtSXxZQW1E5flNgUhvyr/view?usp=drivesdk</t>
  </si>
  <si>
    <t>Document successfully created; Document successfully merged; PDF created; !!Error Sending Emails: Service invoked too many times for one day: email.; Manually run by ecertificate75@gmail.com; Timestamp: Sep 2 2024 6:03 AM</t>
  </si>
  <si>
    <t>SRI ENDAH PRIHATIN</t>
  </si>
  <si>
    <t>sriendah268@gmail.com</t>
  </si>
  <si>
    <t>3971</t>
  </si>
  <si>
    <t>1sA_o95-in2T64nS9HclCcGAEBP_5cRxO</t>
  </si>
  <si>
    <t>https://drive.google.com/file/d/1sA_o95-in2T64nS9HclCcGAEBP_5cRxO/view?usp=drivesdk</t>
  </si>
  <si>
    <t>SEPTI ANDRIANI, A.MD. KEB</t>
  </si>
  <si>
    <t>Septibengkulu@gmail.com</t>
  </si>
  <si>
    <t>3972</t>
  </si>
  <si>
    <t>1-5FubO2jz2T40_8PIHfZoFbf0_xCveA7</t>
  </si>
  <si>
    <t>https://drive.google.com/file/d/1-5FubO2jz2T40_8PIHfZoFbf0_xCveA7/view?usp=drivesdk</t>
  </si>
  <si>
    <t>Document successfully created; Document successfully merged; PDF created; !!Error Sending Emails: Service invoked too many times for one day: email.; Manually run by ecertificate75@gmail.com; Timestamp: Sep 2 2024 6:04 AM</t>
  </si>
  <si>
    <t>LASITAWATI</t>
  </si>
  <si>
    <t>iyta202027@gmail.com</t>
  </si>
  <si>
    <t>3973</t>
  </si>
  <si>
    <t>1VyyNQl2sY28BYDW3yUxceWcJbWw0XIuc</t>
  </si>
  <si>
    <t>https://drive.google.com/file/d/1VyyNQl2sY28BYDW3yUxceWcJbWw0XIuc/view?usp=drivesdk</t>
  </si>
  <si>
    <t>ARNENGSIH</t>
  </si>
  <si>
    <t>anengarnengsih23@gmail.com</t>
  </si>
  <si>
    <t>3974</t>
  </si>
  <si>
    <t>1PEfRo6zxNUgI13NCDB3OBcNQD4EirBxr</t>
  </si>
  <si>
    <t>https://drive.google.com/file/d/1PEfRo6zxNUgI13NCDB3OBcNQD4EirBxr/view?usp=drivesdk</t>
  </si>
  <si>
    <t>NURWANTI, S.KEP., NERS</t>
  </si>
  <si>
    <t>nurwantis.kep@gmail.com</t>
  </si>
  <si>
    <t>3975</t>
  </si>
  <si>
    <t>1AcPDRN8RqcF9VIwGksilnlbvT1c62WBu</t>
  </si>
  <si>
    <t>https://drive.google.com/file/d/1AcPDRN8RqcF9VIwGksilnlbvT1c62WBu/view?usp=drivesdk</t>
  </si>
  <si>
    <t xml:space="preserve">SUKARTI </t>
  </si>
  <si>
    <t>sukartisukarti17@gmail.com</t>
  </si>
  <si>
    <t>3976</t>
  </si>
  <si>
    <t>1kWawMIBfGkvO1jnmoHYi7XXxCcO0SQXk</t>
  </si>
  <si>
    <t>https://drive.google.com/file/d/1kWawMIBfGkvO1jnmoHYi7XXxCcO0SQXk/view?usp=drivesdk</t>
  </si>
  <si>
    <t>Document successfully created; Document successfully merged; PDF created; !!Error Sending Emails: Service invoked too many times for one day: email.; Manually run by ecertificate75@gmail.com; Timestamp: Sep 2 2024 6:05 AM</t>
  </si>
  <si>
    <t>SITI ROIKAH</t>
  </si>
  <si>
    <t>haibansiti@gmail.com</t>
  </si>
  <si>
    <t>3977</t>
  </si>
  <si>
    <t>1oUqcWX7PanZfQgWavbypucPtTP27r-7Y</t>
  </si>
  <si>
    <t>https://drive.google.com/file/d/1oUqcWX7PanZfQgWavbypucPtTP27r-7Y/view?usp=drivesdk</t>
  </si>
  <si>
    <t>SEPTI RIAN SARI, A.Md.Kep</t>
  </si>
  <si>
    <t>septiriansari2@gmail.com</t>
  </si>
  <si>
    <t>3978</t>
  </si>
  <si>
    <t>1gBFnFx1xnISWenzKlCVs65HETo3Sm7Ay</t>
  </si>
  <si>
    <t>https://drive.google.com/file/d/1gBFnFx1xnISWenzKlCVs65HETo3Sm7Ay/view?usp=drivesdk</t>
  </si>
  <si>
    <t>SITI ZOHRAH, A.Md</t>
  </si>
  <si>
    <t>sitizohrah1982@gmail.com</t>
  </si>
  <si>
    <t>3979</t>
  </si>
  <si>
    <t>1mMWyiXMLphARyKL5MP_WY6d6Gf3Va2JL</t>
  </si>
  <si>
    <t>https://drive.google.com/file/d/1mMWyiXMLphARyKL5MP_WY6d6Gf3Va2JL/view?usp=drivesdk</t>
  </si>
  <si>
    <t>SURYO WIJOYO.,S.H.</t>
  </si>
  <si>
    <t>iyecksemprul@gmail.com</t>
  </si>
  <si>
    <t>3980</t>
  </si>
  <si>
    <t>https://drive.google.com/file/d/1cytReAKv55YJwyyxd2HH1uSR9dxrsEOX/view?usp=drivesdk</t>
  </si>
  <si>
    <t>1cytReAKv55YJwyyxd2HH1uSR9dxrsEOX</t>
  </si>
  <si>
    <t>1UM5o2-0Xpje1RZihSL3NlEDo1SY7Y_k8</t>
  </si>
  <si>
    <t>https://drive.google.com/file/d/1UM5o2-0Xpje1RZihSL3NlEDo1SY7Y_k8/view?usp=drivesdk</t>
  </si>
  <si>
    <t>Ignasius Bambang Wahyu susilo</t>
  </si>
  <si>
    <t>ignasiusbambangwahyususilo@gmail.com</t>
  </si>
  <si>
    <t>3981</t>
  </si>
  <si>
    <t>https://drive.google.com/file/d/1eL1M13b90f3Aa_No6ckin1Nr-y_Nb8Ek/view?usp=drivesdk</t>
  </si>
  <si>
    <t>1eL1M13b90f3Aa_No6ckin1Nr-y_Nb8Ek</t>
  </si>
  <si>
    <t>1Z4qCt-dKftQwi9MBCRzXdVGwyTB8Asjc</t>
  </si>
  <si>
    <t>https://drive.google.com/file/d/1Z4qCt-dKftQwi9MBCRzXdVGwyTB8Asjc/view?usp=drivesdk</t>
  </si>
  <si>
    <t>Document successfully created; Document successfully merged; PDF created; !!Error Sending Emails: Service invoked too many times for one day: email.; Manually run by ecertificate75@gmail.com; Timestamp: Sep 2 2024 6:06 AM</t>
  </si>
  <si>
    <t>EKA BUDI SANTOSO</t>
  </si>
  <si>
    <t>ekabs1981@gmail.com</t>
  </si>
  <si>
    <t>3982</t>
  </si>
  <si>
    <t>Starting at Thu Aug 29 2024 21:22:09 GMT-0400 (EDT)</t>
  </si>
  <si>
    <t>1LnBrcAKandZFeO3o2V1xykl-mGvddjge</t>
  </si>
  <si>
    <t>https://drive.google.com/file/d/1LnBrcAKandZFeO3o2V1xykl-mGvddjge/view?usp=drivesdk</t>
  </si>
  <si>
    <t>SURYA KARIM,S.M.</t>
  </si>
  <si>
    <t>siwaspinrang2022@gmail.com</t>
  </si>
  <si>
    <t>3983</t>
  </si>
  <si>
    <t>1n8nPVPE9LRJlSWfx9r5IfCofaqGAthT9</t>
  </si>
  <si>
    <t>https://drive.google.com/file/d/1n8nPVPE9LRJlSWfx9r5IfCofaqGAthT9/view?usp=drivesdk</t>
  </si>
  <si>
    <t>WIWIK ISTIYAWATI</t>
  </si>
  <si>
    <t>wiwikistiyawati0607@gmail.com</t>
  </si>
  <si>
    <t>3984</t>
  </si>
  <si>
    <t>1cKqXmtBft5VXSwAB8WmzgEoDQmGKJQoh</t>
  </si>
  <si>
    <t>https://drive.google.com/file/d/1cKqXmtBft5VXSwAB8WmzgEoDQmGKJQoh/view?usp=drivesdk</t>
  </si>
  <si>
    <t>SRI MARYANI</t>
  </si>
  <si>
    <t>maryanipapua16@gmail.com</t>
  </si>
  <si>
    <t>3985</t>
  </si>
  <si>
    <t>https://drive.google.com/file/d/1Q0gCuntEi_xgVlrHNuaLlG5iH5g6dR6W/view?usp=drivesdk</t>
  </si>
  <si>
    <t>1Q0gCuntEi_xgVlrHNuaLlG5iH5g6dR6W</t>
  </si>
  <si>
    <t>19JO9pzp5wdadrD7mKtZuC0thxTJcj3Ji</t>
  </si>
  <si>
    <t>https://drive.google.com/file/d/19JO9pzp5wdadrD7mKtZuC0thxTJcj3Ji/view?usp=drivesdk</t>
  </si>
  <si>
    <t>Document successfully created; Document successfully merged; PDF created; !!Error Sending Emails: Service invoked too many times for one day: email.; Manually run by ecertificate75@gmail.com; Timestamp: Sep 2 2024 6:07 AM</t>
  </si>
  <si>
    <t>LIAN TRIANA</t>
  </si>
  <si>
    <t>lian3ana@gmail.com</t>
  </si>
  <si>
    <t>3986</t>
  </si>
  <si>
    <t>Starting at Thu Aug 29 2024 21:22:15 GMT-0400 (EDT)</t>
  </si>
  <si>
    <t>1QwcDiX265XH4lM6276Uq6Pg-sMiuV4Bp</t>
  </si>
  <si>
    <t>https://drive.google.com/file/d/1QwcDiX265XH4lM6276Uq6Pg-sMiuV4Bp/view?usp=drivesdk</t>
  </si>
  <si>
    <t>SRIWAHYUNI</t>
  </si>
  <si>
    <t>sryunni281091@gmail.com</t>
  </si>
  <si>
    <t>3987</t>
  </si>
  <si>
    <t>https://drive.google.com/file/d/12z3NJNqfWu_Pl_Lr3k1hFC2Ejwaz3dZs/view?usp=drivesdk</t>
  </si>
  <si>
    <t>12z3NJNqfWu_Pl_Lr3k1hFC2Ejwaz3dZs</t>
  </si>
  <si>
    <t>11kuEIFqTDih6652m_SMemI-NF-9Apit_</t>
  </si>
  <si>
    <t>https://drive.google.com/file/d/11kuEIFqTDih6652m_SMemI-NF-9Apit_/view?usp=drivesdk</t>
  </si>
  <si>
    <t>SUDIYO</t>
  </si>
  <si>
    <t>Sudiyospnpwt@gmail.com</t>
  </si>
  <si>
    <t>3988</t>
  </si>
  <si>
    <t>https://drive.google.com/file/d/1ch_qiLN5xteQIZohvSbFLj0ySgQMf278/view?usp=drivesdk</t>
  </si>
  <si>
    <t>1ch_qiLN5xteQIZohvSbFLj0ySgQMf278</t>
  </si>
  <si>
    <t>10nw7uXdr5LUdX0YqHeCQehRV4UrcuZ52</t>
  </si>
  <si>
    <t>https://drive.google.com/file/d/10nw7uXdr5LUdX0YqHeCQehRV4UrcuZ52/view?usp=drivesdk</t>
  </si>
  <si>
    <t>Dr. MARINA</t>
  </si>
  <si>
    <t>marinarhinaikky@gmail.com</t>
  </si>
  <si>
    <t>3989</t>
  </si>
  <si>
    <t>https://drive.google.com/file/d/187pomCOOZLYTIGbVRL0lVudzVrcLF-PJ/view?usp=drivesdk</t>
  </si>
  <si>
    <t>187pomCOOZLYTIGbVRL0lVudzVrcLF-PJ</t>
  </si>
  <si>
    <t>1wGK8fUjX0oVt1aSKguB-87z2lD2l2Tju</t>
  </si>
  <si>
    <t>https://drive.google.com/file/d/1wGK8fUjX0oVt1aSKguB-87z2lD2l2Tju/view?usp=drivesdk</t>
  </si>
  <si>
    <t>EKA PRASTUA RINI, SE</t>
  </si>
  <si>
    <t>ekaprastyarini80@gmail.com</t>
  </si>
  <si>
    <t>3990</t>
  </si>
  <si>
    <t>https://drive.google.com/file/d/198dZprrCgQqRL0tOenVeK28GXeQxms-W/view?usp=drivesdk</t>
  </si>
  <si>
    <t>198dZprrCgQqRL0tOenVeK28GXeQxms-W</t>
  </si>
  <si>
    <t>1htwePqEXvxHcYh6ZLXYbFfxZzmttJvJj</t>
  </si>
  <si>
    <t>https://drive.google.com/file/d/1htwePqEXvxHcYh6ZLXYbFfxZzmttJvJj/view?usp=drivesdk</t>
  </si>
  <si>
    <t>Document successfully created; Document successfully merged; PDF created; !!Error Sending Emails: Service invoked too many times for one day: email.; Manually run by ecertificate75@gmail.com; Timestamp: Sep 2 2024 6:08 AM</t>
  </si>
  <si>
    <t>NINA KURNIAWATI, S.H.</t>
  </si>
  <si>
    <t>ninakurniawati.lmj@gmail.com</t>
  </si>
  <si>
    <t>3991</t>
  </si>
  <si>
    <t>Starting at Thu Aug 29 2024 21:22:17 GMT-0400 (EDT)</t>
  </si>
  <si>
    <t>1aFWVM4CE-n7Pm9PYz5ImyWQjCpYVBC2K</t>
  </si>
  <si>
    <t>https://drive.google.com/file/d/1aFWVM4CE-n7Pm9PYz5ImyWQjCpYVBC2K/view?usp=drivesdk</t>
  </si>
  <si>
    <t>Amiril Wieludan Suryanto</t>
  </si>
  <si>
    <t>wieldan22@gmail.com</t>
  </si>
  <si>
    <t>3992</t>
  </si>
  <si>
    <t>14vn4ie5UU-KPtpUfdPM40ksFMtpztS3K</t>
  </si>
  <si>
    <t>https://drive.google.com/file/d/14vn4ie5UU-KPtpUfdPM40ksFMtpztS3K/view?usp=drivesdk</t>
  </si>
  <si>
    <t>DR ANDI FANNY SUJUTI</t>
  </si>
  <si>
    <t>sujutifanny@gmail.com</t>
  </si>
  <si>
    <t>3993</t>
  </si>
  <si>
    <t>1XlAQSZh1be9ipX8I0FWbhqS3m0PjOSxT</t>
  </si>
  <si>
    <t>https://drive.google.com/file/d/1XlAQSZh1be9ipX8I0FWbhqS3m0PjOSxT/view?usp=drivesdk</t>
  </si>
  <si>
    <t>RURI DWI RAHAYU</t>
  </si>
  <si>
    <t>ruri87msa@gmail.com</t>
  </si>
  <si>
    <t>3994</t>
  </si>
  <si>
    <t>1CDZ4dYrUd4M00bO2WMJ08Wmyxr5lyJiG</t>
  </si>
  <si>
    <t>https://drive.google.com/file/d/1CDZ4dYrUd4M00bO2WMJ08Wmyxr5lyJiG/view?usp=drivesdk</t>
  </si>
  <si>
    <t>Document successfully created; Document successfully merged; PDF created; !!Error Sending Emails: Service invoked too many times for one day: email.; Manually run by ecertificate75@gmail.com; Timestamp: Sep 2 2024 6:09 AM</t>
  </si>
  <si>
    <t>Manambak Butar butar,SE</t>
  </si>
  <si>
    <t>manambakbutarbutar@gmail.com</t>
  </si>
  <si>
    <t>3995</t>
  </si>
  <si>
    <t>1_Gdoza14n9bDnM_sLBGImVTD-DiVf1lD</t>
  </si>
  <si>
    <t>https://drive.google.com/file/d/1_Gdoza14n9bDnM_sLBGImVTD-DiVf1lD/view?usp=drivesdk</t>
  </si>
  <si>
    <t>SULISTYORINI</t>
  </si>
  <si>
    <t>rini230773@gmail.com</t>
  </si>
  <si>
    <t>3996</t>
  </si>
  <si>
    <t>https://drive.google.com/file/d/1d0JPh61h1CaowS15a3vPpUJ0aaVtSaS3/view?usp=drivesdk</t>
  </si>
  <si>
    <t>1d0JPh61h1CaowS15a3vPpUJ0aaVtSaS3</t>
  </si>
  <si>
    <t>1lYg6wEtKE4P0HjPNXXJBdv-xTo7NdcbN</t>
  </si>
  <si>
    <t>https://drive.google.com/file/d/1lYg6wEtKE4P0HjPNXXJBdv-xTo7NdcbN/view?usp=drivesdk</t>
  </si>
  <si>
    <t>MOCHAMAD BAHRUDIN</t>
  </si>
  <si>
    <t>mohbahrudin77@gmail.com</t>
  </si>
  <si>
    <t>3997</t>
  </si>
  <si>
    <t>https://drive.google.com/file/d/1OExjfn4uJjPg7PTTB-U6Xam68wHOvsuj/view?usp=drivesdk</t>
  </si>
  <si>
    <t>1OExjfn4uJjPg7PTTB-U6Xam68wHOvsuj</t>
  </si>
  <si>
    <t>1HL0I08PTAG1B1hqZyKsZasYNDFKguii7</t>
  </si>
  <si>
    <t>https://drive.google.com/file/d/1HL0I08PTAG1B1hqZyKsZasYNDFKguii7/view?usp=drivesdk</t>
  </si>
  <si>
    <t>MUHAMMAD RIZKI AMD.FARM</t>
  </si>
  <si>
    <t>muhammadrizki1228@gmail.com</t>
  </si>
  <si>
    <t>3998</t>
  </si>
  <si>
    <t>https://drive.google.com/file/d/1k5PhfKl4j0JfSmlqe_m3qFtP4qOcTgih/view?usp=drivesdk</t>
  </si>
  <si>
    <t>1k5PhfKl4j0JfSmlqe_m3qFtP4qOcTgih</t>
  </si>
  <si>
    <t>1VRMmte7MZnKv4CUPO0h_YArvWBs0KN4U</t>
  </si>
  <si>
    <t>https://drive.google.com/file/d/1VRMmte7MZnKv4CUPO0h_YArvWBs0KN4U/view?usp=drivesdk</t>
  </si>
  <si>
    <t>Document successfully created; Document successfully merged; PDF created; !!Error Sending Emails: Service invoked too many times for one day: email.; Manually run by ecertificate75@gmail.com; Timestamp: Sep 2 2024 6:10 AM</t>
  </si>
  <si>
    <t>ENI YULIANI</t>
  </si>
  <si>
    <t>eniyulianieni15@gmail.com</t>
  </si>
  <si>
    <t>3999</t>
  </si>
  <si>
    <t>https://drive.google.com/file/d/1mt3fyAcwDOf7jeLf0UTGDKpYFP7ha3-b/view?usp=drivesdk</t>
  </si>
  <si>
    <t>1mt3fyAcwDOf7jeLf0UTGDKpYFP7ha3-b</t>
  </si>
  <si>
    <t>1oODkZvn5_gXUmhbhNM9kj47QZP_zPu0D</t>
  </si>
  <si>
    <t>https://drive.google.com/file/d/1oODkZvn5_gXUmhbhNM9kj47QZP_zPu0D/view?usp=drivesdk</t>
  </si>
  <si>
    <t xml:space="preserve">RETNO PEIHATINI </t>
  </si>
  <si>
    <t>amruahnaf@gmail.com</t>
  </si>
  <si>
    <t>4000</t>
  </si>
  <si>
    <t>https://drive.google.com/file/d/1cZlxT16L-EfmqFd9d7pk2LXssW_xtzuN/view?usp=drivesdk</t>
  </si>
  <si>
    <t>1cZlxT16L-EfmqFd9d7pk2LXssW_xtzuN</t>
  </si>
  <si>
    <t>1Y3OIN7bXug-MKCa7k4Vgz1nQxGjAaYYU</t>
  </si>
  <si>
    <t>https://drive.google.com/file/d/1Y3OIN7bXug-MKCa7k4Vgz1nQxGjAaYYU/view?usp=drivesdk</t>
  </si>
  <si>
    <t>SUWARTINI</t>
  </si>
  <si>
    <t>Suwartinispw@gmail.com</t>
  </si>
  <si>
    <t>4001</t>
  </si>
  <si>
    <t>https://drive.google.com/file/d/1JrcJI12n7Xs9GjrFMCP-Lt5wLh6zpxWZ/view?usp=drivesdk</t>
  </si>
  <si>
    <t>1JrcJI12n7Xs9GjrFMCP-Lt5wLh6zpxWZ</t>
  </si>
  <si>
    <t>152IG0CnraDD6OdNA-Pjfo1sgm8IpOhAn</t>
  </si>
  <si>
    <t>https://drive.google.com/file/d/152IG0CnraDD6OdNA-Pjfo1sgm8IpOhAn/view?usp=drivesdk</t>
  </si>
  <si>
    <t>NOVIE WIJAYANTO</t>
  </si>
  <si>
    <t>Noviewijayanto2511@polri.go.id</t>
  </si>
  <si>
    <t>4002</t>
  </si>
  <si>
    <t>Starting at Thu Aug 29 2024 21:22:22 GMT-0400 (EDT)</t>
  </si>
  <si>
    <t>1RGdSTtxfih1MPKIbanHYAIY-YcdO_rzM</t>
  </si>
  <si>
    <t>https://drive.google.com/file/d/1RGdSTtxfih1MPKIbanHYAIY-YcdO_rzM/view?usp=drivesdk</t>
  </si>
  <si>
    <t>Document successfully created; Document successfully merged; PDF created; !!Error Sending Emails: Service invoked too many times for one day: email.; Manually run by ecertificate75@gmail.com; Timestamp: Sep 2 2024 6:11 AM</t>
  </si>
  <si>
    <t>WIDODO</t>
  </si>
  <si>
    <t>widodowede@gmail.com</t>
  </si>
  <si>
    <t>4003</t>
  </si>
  <si>
    <t>1zPPoodhLUv0rCmYNmaGB8lr3wfgAby2B</t>
  </si>
  <si>
    <t>https://drive.google.com/file/d/1zPPoodhLUv0rCmYNmaGB8lr3wfgAby2B/view?usp=drivesdk</t>
  </si>
  <si>
    <t>FERMAN SYAHRIZAL,S.I.P.</t>
  </si>
  <si>
    <t>fsyahrizal742@gmail.com</t>
  </si>
  <si>
    <t>4004</t>
  </si>
  <si>
    <t>1Vxx8XF4mtMWzsTrglqQN8tih4YELl2Ln</t>
  </si>
  <si>
    <t>https://drive.google.com/file/d/1Vxx8XF4mtMWzsTrglqQN8tih4YELl2Ln/view?usp=drivesdk</t>
  </si>
  <si>
    <t>ADE RAHWANDI,Skep.Ners</t>
  </si>
  <si>
    <t>ader191280@gmail.com</t>
  </si>
  <si>
    <t>4005</t>
  </si>
  <si>
    <t>19aiieYJq5qR2UVHS5WyBM61GnNPzt2Ir</t>
  </si>
  <si>
    <t>https://drive.google.com/file/d/19aiieYJq5qR2UVHS5WyBM61GnNPzt2Ir/view?usp=drivesdk</t>
  </si>
  <si>
    <t>Sien Olfine Korompis</t>
  </si>
  <si>
    <t>okorompis7@gmail.com</t>
  </si>
  <si>
    <t>4006</t>
  </si>
  <si>
    <t>1alcksFIWsXBSEqdi-HKHUO2nZtb1q0jf</t>
  </si>
  <si>
    <t>https://drive.google.com/file/d/1alcksFIWsXBSEqdi-HKHUO2nZtb1q0jf/view?usp=drivesdk</t>
  </si>
  <si>
    <t>Rossita Guspita Sari</t>
  </si>
  <si>
    <t>rossita.gsari@gmail.com</t>
  </si>
  <si>
    <t>4007</t>
  </si>
  <si>
    <t>https://drive.google.com/file/d/1UcYRlSenOQJWfNzTQVEvGAXNbCrpQRzj/view?usp=drivesdk</t>
  </si>
  <si>
    <t>1UcYRlSenOQJWfNzTQVEvGAXNbCrpQRzj</t>
  </si>
  <si>
    <t>1Jxf4s415-i7px3SIU6cs13hY6LrJrORP</t>
  </si>
  <si>
    <t>https://drive.google.com/file/d/1Jxf4s415-i7px3SIU6cs13hY6LrJrORP/view?usp=drivesdk</t>
  </si>
  <si>
    <t>Document successfully created; Document successfully merged; PDF created; !!Error Sending Emails: Service invoked too many times for one day: email.; Manually run by ecertificate75@gmail.com; Timestamp: Sep 2 2024 6:12 AM</t>
  </si>
  <si>
    <t>CUCU SAADAH</t>
  </si>
  <si>
    <t>csaadah@gmail.com</t>
  </si>
  <si>
    <t>4008</t>
  </si>
  <si>
    <t>https://drive.google.com/file/d/1BOdRZcynvgQm-ZmoHYfb7pmXCRfB095C/view?usp=drivesdk</t>
  </si>
  <si>
    <t>1BOdRZcynvgQm-ZmoHYfb7pmXCRfB095C</t>
  </si>
  <si>
    <t>1yDwJF8XCBR6cwBq31O3iidxLGxn452Ul</t>
  </si>
  <si>
    <t>https://drive.google.com/file/d/1yDwJF8XCBR6cwBq31O3iidxLGxn452Ul/view?usp=drivesdk</t>
  </si>
  <si>
    <t>NILAWATI.S.A.P</t>
  </si>
  <si>
    <t>nilawatijambi6@gmail.com</t>
  </si>
  <si>
    <t>4009</t>
  </si>
  <si>
    <t>https://drive.google.com/file/d/1pudCk9zSvaN4PTDthkcODTpMmU0diaTf/view?usp=drivesdk</t>
  </si>
  <si>
    <t>1pudCk9zSvaN4PTDthkcODTpMmU0diaTf</t>
  </si>
  <si>
    <t>1nl0LF5GUQncTjns10NLMtEDlLJtFmc5J</t>
  </si>
  <si>
    <t>https://drive.google.com/file/d/1nl0LF5GUQncTjns10NLMtEDlLJtFmc5J/view?usp=drivesdk</t>
  </si>
  <si>
    <t>suhermann0086@gmail.com</t>
  </si>
  <si>
    <t>4010</t>
  </si>
  <si>
    <t>https://drive.google.com/file/d/1iojiTIhb1p4L5PR1uQmhF3Q3DzyJzWeG/view?usp=drivesdk</t>
  </si>
  <si>
    <t>1iojiTIhb1p4L5PR1uQmhF3Q3DzyJzWeG</t>
  </si>
  <si>
    <t>15iLXV9IT9abX4KZAo_Em0jDZa-t8q4WL</t>
  </si>
  <si>
    <t>https://drive.google.com/file/d/15iLXV9IT9abX4KZAo_Em0jDZa-t8q4WL/view?usp=drivesdk</t>
  </si>
  <si>
    <t>NINING MURDININGSIH</t>
  </si>
  <si>
    <t>Niningmurdiningsih15@gmail.com</t>
  </si>
  <si>
    <t>4011</t>
  </si>
  <si>
    <t>https://drive.google.com/file/d/1zOasguDHf0W6fe0d8I3C-CCz9xpIywmv/view?usp=drivesdk</t>
  </si>
  <si>
    <t>1zOasguDHf0W6fe0d8I3C-CCz9xpIywmv</t>
  </si>
  <si>
    <t>1-QsASZcPIUrOawP7CVUCRXkHbS8tnNNT</t>
  </si>
  <si>
    <t>https://drive.google.com/file/d/1-QsASZcPIUrOawP7CVUCRXkHbS8tnNNT/view?usp=drivesdk</t>
  </si>
  <si>
    <t xml:space="preserve">Ratna Pala'biran </t>
  </si>
  <si>
    <t>palabiranratna@gmail.com</t>
  </si>
  <si>
    <t>4012</t>
  </si>
  <si>
    <t>Starting at Thu Aug 29 2024 21:22:29 GMT-0400 (EDT)</t>
  </si>
  <si>
    <t>1TFCzapfEuJ3CXYRbkKfU_mmmSVn--JqJ</t>
  </si>
  <si>
    <t>https://drive.google.com/file/d/1TFCzapfEuJ3CXYRbkKfU_mmmSVn--JqJ/view?usp=drivesdk</t>
  </si>
  <si>
    <t>Document successfully created; Document successfully merged; PDF created; !!Error Sending Emails: Service invoked too many times for one day: email.; Manually run by ecertificate75@gmail.com; Timestamp: Sep 2 2024 6:13 AM</t>
  </si>
  <si>
    <t>DIANA RAVITA, A.MD.KEB</t>
  </si>
  <si>
    <t>d_dira@yahoo.com</t>
  </si>
  <si>
    <t>4013</t>
  </si>
  <si>
    <t>1JBQelOK6ZG26cqWkGiJSlNrTR7U7Aipy</t>
  </si>
  <si>
    <t>https://drive.google.com/file/d/1JBQelOK6ZG26cqWkGiJSlNrTR7U7Aipy/view?usp=drivesdk</t>
  </si>
  <si>
    <t>AGUS SUGIYANTO</t>
  </si>
  <si>
    <t>agussugiyanto292@gmail.com</t>
  </si>
  <si>
    <t>4014</t>
  </si>
  <si>
    <t>1XBDb39irFZYu1BqHmck6VhigLdB4AtyZ</t>
  </si>
  <si>
    <t>https://drive.google.com/file/d/1XBDb39irFZYu1BqHmck6VhigLdB4AtyZ/view?usp=drivesdk</t>
  </si>
  <si>
    <t>YASWIR</t>
  </si>
  <si>
    <t>yaswir7481@gmail.com</t>
  </si>
  <si>
    <t>4015</t>
  </si>
  <si>
    <t>13jSffFwuRnXIo804L9zQggNbnYjR6YUT</t>
  </si>
  <si>
    <t>https://drive.google.com/file/d/13jSffFwuRnXIo804L9zQggNbnYjR6YUT/view?usp=drivesdk</t>
  </si>
  <si>
    <t>IMAN ROCHAMAN, S.H.</t>
  </si>
  <si>
    <t>rochamaniman@gmail.cim</t>
  </si>
  <si>
    <t>4016</t>
  </si>
  <si>
    <t>1LLvQZcVpMjlYo3amSy4mjPBq4rbaZE_S</t>
  </si>
  <si>
    <t>https://drive.google.com/file/d/1LLvQZcVpMjlYo3amSy4mjPBq4rbaZE_S/view?usp=drivesdk</t>
  </si>
  <si>
    <t>Document successfully created; Document successfully merged; PDF created; !!Error Sending Emails: Service invoked too many times for one day: email.; Manually run by ecertificate75@gmail.com; Timestamp: Sep 2 2024 6:14 AM</t>
  </si>
  <si>
    <t>NS. NANCY SASMITA, S.KEP</t>
  </si>
  <si>
    <t>nancysasmita21@gmail.com</t>
  </si>
  <si>
    <t>4017</t>
  </si>
  <si>
    <t>1il5dgWQNUn4FNVJ6cpghteDJHrUs0hW6</t>
  </si>
  <si>
    <t>https://drive.google.com/file/d/1il5dgWQNUn4FNVJ6cpghteDJHrUs0hW6/view?usp=drivesdk</t>
  </si>
  <si>
    <t>E.NILAWATi.,S.KOM</t>
  </si>
  <si>
    <t>nilawatitaryan@gmail.com</t>
  </si>
  <si>
    <t>4018</t>
  </si>
  <si>
    <t>https://drive.google.com/file/d/1N4osntDw_bAWSm_78FjSxJhrAlFgRefU/view?usp=drivesdk</t>
  </si>
  <si>
    <t>1N4osntDw_bAWSm_78FjSxJhrAlFgRefU</t>
  </si>
  <si>
    <t>1Byu1TM0evHPznmEMi8qXf18pjVYt92_O</t>
  </si>
  <si>
    <t>https://drive.google.com/file/d/1Byu1TM0evHPznmEMi8qXf18pjVYt92_O/view?usp=drivesdk</t>
  </si>
  <si>
    <t>Dwi Yana Firmawatie</t>
  </si>
  <si>
    <t>doweinaf@gmail.com</t>
  </si>
  <si>
    <t>4019</t>
  </si>
  <si>
    <t>Starting at Thu Aug 29 2024 21:22:36 GMT-0400 (EDT)</t>
  </si>
  <si>
    <t>1FEJyvjef2K_qXZiJ62YfM58brzhcKO0w</t>
  </si>
  <si>
    <t>https://drive.google.com/file/d/1FEJyvjef2K_qXZiJ62YfM58brzhcKO0w/view?usp=drivesdk</t>
  </si>
  <si>
    <t>SRI ARDYANTI</t>
  </si>
  <si>
    <t>sriardyanti09@gmail.com</t>
  </si>
  <si>
    <t>4020</t>
  </si>
  <si>
    <t>https://drive.google.com/file/d/1XyXyoMOVGqjt6YtURRTKS_oV1ANwYLYm/view?usp=drivesdk</t>
  </si>
  <si>
    <t>1XyXyoMOVGqjt6YtURRTKS_oV1ANwYLYm</t>
  </si>
  <si>
    <t>1-5AHqRZhttHuO_SU6T6bPANkylqub-ID</t>
  </si>
  <si>
    <t>https://drive.google.com/file/d/1-5AHqRZhttHuO_SU6T6bPANkylqub-ID/view?usp=drivesdk</t>
  </si>
  <si>
    <t>Document successfully created; Document successfully merged; PDF created; !!Error Sending Emails: Service invoked too many times for one day: email.; Manually run by ecertificate75@gmail.com; Timestamp: Sep 2 2024 6:15 AM</t>
  </si>
  <si>
    <t>JUNAIDI</t>
  </si>
  <si>
    <t>junaidi2305sumbawa@gmail.com</t>
  </si>
  <si>
    <t>4021</t>
  </si>
  <si>
    <t>https://drive.google.com/file/d/1tZeVSk1fxLs2ba95fJLzAaC8bMoYdcB4/view?usp=drivesdk</t>
  </si>
  <si>
    <t>1tZeVSk1fxLs2ba95fJLzAaC8bMoYdcB4</t>
  </si>
  <si>
    <t>1PRiRi5EclSXmIpIAKzsUK-YuD0D_rCw3</t>
  </si>
  <si>
    <t>https://drive.google.com/file/d/1PRiRi5EclSXmIpIAKzsUK-YuD0D_rCw3/view?usp=drivesdk</t>
  </si>
  <si>
    <t xml:space="preserve">HARIS WAHYUDI </t>
  </si>
  <si>
    <t>ariswahyudi9999@gmial.com</t>
  </si>
  <si>
    <t>4022</t>
  </si>
  <si>
    <t>https://drive.google.com/file/d/1tytXRrGcJ-nLmUXMyZrpu8My0Zl2dmu5/view?usp=drivesdk</t>
  </si>
  <si>
    <t>1tytXRrGcJ-nLmUXMyZrpu8My0Zl2dmu5</t>
  </si>
  <si>
    <t>1l1Z7dZ7eLnu4Vx6vZlQejvy1BQpy1lRq</t>
  </si>
  <si>
    <t>https://drive.google.com/file/d/1l1Z7dZ7eLnu4Vx6vZlQejvy1BQpy1lRq/view?usp=drivesdk</t>
  </si>
  <si>
    <t>JUMIRAH</t>
  </si>
  <si>
    <t>Anggrainivita527@gmail.com</t>
  </si>
  <si>
    <t>4023</t>
  </si>
  <si>
    <t>https://drive.google.com/file/d/1YhYA82_hbwa6EWb9k6ztvnMjRnBMZRXk/view?usp=drivesdk</t>
  </si>
  <si>
    <t>1YhYA82_hbwa6EWb9k6ztvnMjRnBMZRXk</t>
  </si>
  <si>
    <t>1roHXQeEiBRdfa93SNzxHrmh5CLx-Wbn-</t>
  </si>
  <si>
    <t>https://drive.google.com/file/d/1roHXQeEiBRdfa93SNzxHrmh5CLx-Wbn-/view?usp=drivesdk</t>
  </si>
  <si>
    <t>EDI SUMARDI</t>
  </si>
  <si>
    <t>edisumardi@gmail.com</t>
  </si>
  <si>
    <t>4024</t>
  </si>
  <si>
    <t>https://drive.google.com/file/d/1_-d467bw3QuUc3xlQE16lxzK-2K9R5R_/view?usp=drivesdk</t>
  </si>
  <si>
    <t>1_-d467bw3QuUc3xlQE16lxzK-2K9R5R_</t>
  </si>
  <si>
    <t>14OOwktNhkBBA7z0-3ZLZIEUXnwWSEF3b</t>
  </si>
  <si>
    <t>https://drive.google.com/file/d/14OOwktNhkBBA7z0-3ZLZIEUXnwWSEF3b/view?usp=drivesdk</t>
  </si>
  <si>
    <t>ELVIDAYANTI,SE</t>
  </si>
  <si>
    <t>sister.elvi@gmail.com</t>
  </si>
  <si>
    <t>4025</t>
  </si>
  <si>
    <t>https://drive.google.com/file/d/1jHJv7u3sk9eGjc50CyX71jS1c4AFllGJ/view?usp=drivesdk</t>
  </si>
  <si>
    <t>1jHJv7u3sk9eGjc50CyX71jS1c4AFllGJ</t>
  </si>
  <si>
    <t>1lIET2ePXumwo-4mPUiDxaoBFi3GMzAxq</t>
  </si>
  <si>
    <t>https://drive.google.com/file/d/1lIET2ePXumwo-4mPUiDxaoBFi3GMzAxq/view?usp=drivesdk</t>
  </si>
  <si>
    <t>Document successfully created; Document successfully merged; PDF created; !!Error Sending Emails: Service invoked too many times for one day: email.; Manually run by ecertificate75@gmail.com; Timestamp: Sep 2 2024 6:16 AM</t>
  </si>
  <si>
    <t>FX HENDRY PAMUNGKAS</t>
  </si>
  <si>
    <t>fx1hendry@gmail.com</t>
  </si>
  <si>
    <t>4026</t>
  </si>
  <si>
    <t>https://drive.google.com/file/d/1mxfImIM1yD53j-DujuF_EsQO6G9eLm2w/view?usp=drivesdk</t>
  </si>
  <si>
    <t>1mxfImIM1yD53j-DujuF_EsQO6G9eLm2w</t>
  </si>
  <si>
    <t>1Ed2lWW4x4ekLto_6Jbbj6LUpNPkyAtOt</t>
  </si>
  <si>
    <t>https://drive.google.com/file/d/1Ed2lWW4x4ekLto_6Jbbj6LUpNPkyAtOt/view?usp=drivesdk</t>
  </si>
  <si>
    <t>DWI MULYANINGSIH</t>
  </si>
  <si>
    <t>mulyaningsihdwi89@gmail.com</t>
  </si>
  <si>
    <t>4027</t>
  </si>
  <si>
    <t>Starting at Thu Aug 29 2024 21:22:46 GMT-0400 (EDT)</t>
  </si>
  <si>
    <t>1zgObEUtakcvGzsndvZRcNOGu4tmk2CK4</t>
  </si>
  <si>
    <t>https://drive.google.com/file/d/1zgObEUtakcvGzsndvZRcNOGu4tmk2CK4/view?usp=drivesdk</t>
  </si>
  <si>
    <t>IKA YULIANA</t>
  </si>
  <si>
    <t>yulianaika605@gmail.com</t>
  </si>
  <si>
    <t>4028</t>
  </si>
  <si>
    <t>1iCpWqCGQIOPfOzzUnTuyThUXdNSt1b4O</t>
  </si>
  <si>
    <t>https://drive.google.com/file/d/1iCpWqCGQIOPfOzzUnTuyThUXdNSt1b4O/view?usp=drivesdk</t>
  </si>
  <si>
    <t>MUJIYANTI, AMd.</t>
  </si>
  <si>
    <t>mmujiyanti71@gmail.com</t>
  </si>
  <si>
    <t>4029</t>
  </si>
  <si>
    <t>1mEbiyvKRJd9ARuLsjmodLc_IPraDJzrp</t>
  </si>
  <si>
    <t>https://drive.google.com/file/d/1mEbiyvKRJd9ARuLsjmodLc_IPraDJzrp/view?usp=drivesdk</t>
  </si>
  <si>
    <t>SRI SUMIARSIH</t>
  </si>
  <si>
    <t>Srisumiarsih04@nail.comcom</t>
  </si>
  <si>
    <t>4030</t>
  </si>
  <si>
    <t>1YUldfNWmPOXyXKXNl725z0iaa02EV8AA</t>
  </si>
  <si>
    <t>https://drive.google.com/file/d/1YUldfNWmPOXyXKXNl725z0iaa02EV8AA/view?usp=drivesdk</t>
  </si>
  <si>
    <t>Document successfully created; Document successfully merged; PDF created; !!Error Sending Emails: Service invoked too many times for one day: email.; Manually run by ecertificate75@gmail.com; Timestamp: Sep 2 2024 6:17 AM</t>
  </si>
  <si>
    <t>LA TARA, S.H.</t>
  </si>
  <si>
    <t>latarawabula008@gmail.com</t>
  </si>
  <si>
    <t>4031</t>
  </si>
  <si>
    <t>1sp4pkW10fps6MDeptEDZSq6r0gvpwjut</t>
  </si>
  <si>
    <t>https://drive.google.com/file/d/1sp4pkW10fps6MDeptEDZSq6r0gvpwjut/view?usp=drivesdk</t>
  </si>
  <si>
    <t>ATI SUGIARTI</t>
  </si>
  <si>
    <t>giarties@gmail.com</t>
  </si>
  <si>
    <t>4032</t>
  </si>
  <si>
    <t>1TKlEdn6LrF8QSefyF2DVTLmrvQ-hzG5S</t>
  </si>
  <si>
    <t>https://drive.google.com/file/d/1TKlEdn6LrF8QSefyF2DVTLmrvQ-hzG5S/view?usp=drivesdk</t>
  </si>
  <si>
    <t>DEDI NURHENDI</t>
  </si>
  <si>
    <t>ddnurhendi@gmail.com</t>
  </si>
  <si>
    <t>4033</t>
  </si>
  <si>
    <t>1vR8nY9Mf2-zT4GuSJ6BSqtRduAj5HiRo</t>
  </si>
  <si>
    <t>https://drive.google.com/file/d/1vR8nY9Mf2-zT4GuSJ6BSqtRduAj5HiRo/view?usp=drivesdk</t>
  </si>
  <si>
    <t>ASIH DWI UTAMI,S.Kep.Ners</t>
  </si>
  <si>
    <t>asih.dwi81453@gmail.com</t>
  </si>
  <si>
    <t>4034</t>
  </si>
  <si>
    <t>https://drive.google.com/file/d/1P0n8lj_1rTjcd5Jgy7bTDMPmJAgFNMeD/view?usp=drivesdk</t>
  </si>
  <si>
    <t>1P0n8lj_1rTjcd5Jgy7bTDMPmJAgFNMeD</t>
  </si>
  <si>
    <t>10J-gDD8YwEFGVMXqI9ijMgM0rJsvC2FO</t>
  </si>
  <si>
    <t>https://drive.google.com/file/d/10J-gDD8YwEFGVMXqI9ijMgM0rJsvC2FO/view?usp=drivesdk</t>
  </si>
  <si>
    <t xml:space="preserve">DESI RISMAWATI </t>
  </si>
  <si>
    <t>rismawatidesi981@gmail.com</t>
  </si>
  <si>
    <t>4035</t>
  </si>
  <si>
    <t>https://drive.google.com/file/d/1YZykOuEQr5Oen3Lj8W_OAT-bYanB7g-e/view?usp=drivesdk</t>
  </si>
  <si>
    <t>1YZykOuEQr5Oen3Lj8W_OAT-bYanB7g-e</t>
  </si>
  <si>
    <t>1kwtIwzOtz5ToRlbIrIUA3IQ-ZftatYNT</t>
  </si>
  <si>
    <t>https://drive.google.com/file/d/1kwtIwzOtz5ToRlbIrIUA3IQ-ZftatYNT/view?usp=drivesdk</t>
  </si>
  <si>
    <t>Document successfully created; Document successfully merged; PDF created; !!Error Sending Emails: Service invoked too many times for one day: email.; Manually run by ecertificate75@gmail.com; Timestamp: Sep 2 2024 6:18 AM</t>
  </si>
  <si>
    <t>HARYONO, Skep. Ns.</t>
  </si>
  <si>
    <t>haryonowahyuni9@gmail.com</t>
  </si>
  <si>
    <t>4036</t>
  </si>
  <si>
    <t>https://drive.google.com/file/d/18gR6LO4f15bsSSNGupajQfuSe5ZTaoVE/view?usp=drivesdk</t>
  </si>
  <si>
    <t>18gR6LO4f15bsSSNGupajQfuSe5ZTaoVE</t>
  </si>
  <si>
    <t>1D6YP_HLTfc8jtP0Qa0knZhlAgyratea1</t>
  </si>
  <si>
    <t>https://drive.google.com/file/d/1D6YP_HLTfc8jtP0Qa0knZhlAgyratea1/view?usp=drivesdk</t>
  </si>
  <si>
    <t>SUMARTIN, S.M</t>
  </si>
  <si>
    <t>sumartin.alvino@gmail.com</t>
  </si>
  <si>
    <t>4037</t>
  </si>
  <si>
    <t>Starting at Thu Aug 29 2024 21:22:50 GMT-0400 (EDT)</t>
  </si>
  <si>
    <t>1mkEHCTX2J-338tX55RbUfRVUe5B1Qh8a</t>
  </si>
  <si>
    <t>https://drive.google.com/file/d/1mkEHCTX2J-338tX55RbUfRVUe5B1Qh8a/view?usp=drivesdk</t>
  </si>
  <si>
    <t xml:space="preserve">DR. AVIA ATRYKA </t>
  </si>
  <si>
    <t>rsbhayangkara88@gmail.com</t>
  </si>
  <si>
    <t>4038</t>
  </si>
  <si>
    <t>1GdskxM2VeNvOvplcK4jIVwRfx6KqnFb9</t>
  </si>
  <si>
    <t>https://drive.google.com/file/d/1GdskxM2VeNvOvplcK4jIVwRfx6KqnFb9/view?usp=drivesdk</t>
  </si>
  <si>
    <t>dr. Prasti Adhi Dharmasanti, SpDVE.</t>
  </si>
  <si>
    <t>prastiadhidharmasanti@yahoo.co.id</t>
  </si>
  <si>
    <t>4039</t>
  </si>
  <si>
    <t>https://drive.google.com/file/d/1fuHDR5_biNkozrbeEAqnaFPxSW0RQiOR/view?usp=drivesdk</t>
  </si>
  <si>
    <t>1fuHDR5_biNkozrbeEAqnaFPxSW0RQiOR</t>
  </si>
  <si>
    <t>1jO2Ozf93cdsnNrw-cIvQ7n-FwhQaXogK</t>
  </si>
  <si>
    <t>https://drive.google.com/file/d/1jO2Ozf93cdsnNrw-cIvQ7n-FwhQaXogK/view?usp=drivesdk</t>
  </si>
  <si>
    <t>PENDA MISNO</t>
  </si>
  <si>
    <t>misnopn1@gmail.com</t>
  </si>
  <si>
    <t>4040</t>
  </si>
  <si>
    <t>https://drive.google.com/file/d/1r3p4ZSp53GWAONHAnyP3mH63Wzbq3oNR/view?usp=drivesdk</t>
  </si>
  <si>
    <t>1r3p4ZSp53GWAONHAnyP3mH63Wzbq3oNR</t>
  </si>
  <si>
    <t>10BCmlyImWNXdoPb3dYrgRmXW5umhFCbj</t>
  </si>
  <si>
    <t>https://drive.google.com/file/d/10BCmlyImWNXdoPb3dYrgRmXW5umhFCbj/view?usp=drivesdk</t>
  </si>
  <si>
    <t>Document successfully created; Document successfully merged; PDF created; !!Error Sending Emails: Service invoked too many times for one day: email.; Manually run by ecertificate75@gmail.com; Timestamp: Sep 2 2024 6:19 AM</t>
  </si>
  <si>
    <t>SRI WAHYUNINGSIH, AMd. Kep.</t>
  </si>
  <si>
    <t>sriwahyu6798@gmail.com</t>
  </si>
  <si>
    <t>4041</t>
  </si>
  <si>
    <t>Starting at Thu Aug 29 2024 21:22:51 GMT-0400 (EDT)</t>
  </si>
  <si>
    <t>1UkRRujd_nsMiJ5fxFz8c-bNmWyh4dZPe</t>
  </si>
  <si>
    <t>https://drive.google.com/file/d/1UkRRujd_nsMiJ5fxFz8c-bNmWyh4dZPe/view?usp=drivesdk</t>
  </si>
  <si>
    <t>SRI RAHMADANI,S.M.</t>
  </si>
  <si>
    <t>srirahmadani1987@gmail.com</t>
  </si>
  <si>
    <t>4042</t>
  </si>
  <si>
    <t>1BkuPbvIvmG1Nk31tzdd9kUzirRqkxWsO</t>
  </si>
  <si>
    <t>https://drive.google.com/file/d/1BkuPbvIvmG1Nk31tzdd9kUzirRqkxWsO/view?usp=drivesdk</t>
  </si>
  <si>
    <t>SAIFUL IJAD</t>
  </si>
  <si>
    <t>saifulijai48@gmai.com</t>
  </si>
  <si>
    <t>4043</t>
  </si>
  <si>
    <t>https://drive.google.com/file/d/1OWJxgWFQemkHowDOt1ppmywubPC_oBs0/view?usp=drivesdk</t>
  </si>
  <si>
    <t>1OWJxgWFQemkHowDOt1ppmywubPC_oBs0</t>
  </si>
  <si>
    <t>1k9w1ldlq9lynAkPTlXmiD2D4wRAu2IDP</t>
  </si>
  <si>
    <t>https://drive.google.com/file/d/1k9w1ldlq9lynAkPTlXmiD2D4wRAu2IDP/view?usp=drivesdk</t>
  </si>
  <si>
    <t>GUNARTO, S.H.</t>
  </si>
  <si>
    <t>dvigunarto@gmail.com</t>
  </si>
  <si>
    <t>4044</t>
  </si>
  <si>
    <t>https://drive.google.com/file/d/1maTf2f0m19x8nINq_KuhVF1FZ4vHnJ-X/view?usp=drivesdk</t>
  </si>
  <si>
    <t>1maTf2f0m19x8nINq_KuhVF1FZ4vHnJ-X</t>
  </si>
  <si>
    <t>1bfKEEmjOm-pi-ESizhIOcmlvFNB9BvLv</t>
  </si>
  <si>
    <t>https://drive.google.com/file/d/1bfKEEmjOm-pi-ESizhIOcmlvFNB9BvLv/view?usp=drivesdk</t>
  </si>
  <si>
    <t>Document successfully created; Document successfully merged; PDF created; !!Error Sending Emails: Service invoked too many times for one day: email.; Manually run by ecertificate75@gmail.com; Timestamp: Sep 2 2024 6:20 AM</t>
  </si>
  <si>
    <t>RIZA NIRMALA</t>
  </si>
  <si>
    <t>kaylaputri.r@gmail.com</t>
  </si>
  <si>
    <t>4045</t>
  </si>
  <si>
    <t>Starting at Thu Aug 29 2024 21:22:53 GMT-0400 (EDT)</t>
  </si>
  <si>
    <t>13qMCDyonI1bG7YFuv7CjOY4Ru7pzWoac</t>
  </si>
  <si>
    <t>https://drive.google.com/file/d/13qMCDyonI1bG7YFuv7CjOY4Ru7pzWoac/view?usp=drivesdk</t>
  </si>
  <si>
    <t xml:space="preserve">HARTATI </t>
  </si>
  <si>
    <t>thitiesholehah21@gmail.com</t>
  </si>
  <si>
    <t>4046</t>
  </si>
  <si>
    <t>1JUvX_zK84hM7Jx2FOhlet7wHXk3l4DzD</t>
  </si>
  <si>
    <t>https://drive.google.com/file/d/1JUvX_zK84hM7Jx2FOhlet7wHXk3l4DzD/view?usp=drivesdk</t>
  </si>
  <si>
    <t>SUGENG RIYANTO</t>
  </si>
  <si>
    <t>baglogpolresmuba@gmail.com</t>
  </si>
  <si>
    <t>4047</t>
  </si>
  <si>
    <t>1KVaMnso56_B8TPvityyPbsvaE7C9WCFm</t>
  </si>
  <si>
    <t>https://drive.google.com/file/d/1KVaMnso56_B8TPvityyPbsvaE7C9WCFm/view?usp=drivesdk</t>
  </si>
  <si>
    <t>MUHIRAWATI</t>
  </si>
  <si>
    <t>irafali74@gmail.com</t>
  </si>
  <si>
    <t>4048</t>
  </si>
  <si>
    <t>12cQ_Sb9BTjMgssiAyneU0VlZw6rtoRiz</t>
  </si>
  <si>
    <t>https://drive.google.com/file/d/12cQ_Sb9BTjMgssiAyneU0VlZw6rtoRiz/view?usp=drivesdk</t>
  </si>
  <si>
    <t>nurainipku022@gmail.com</t>
  </si>
  <si>
    <t>4049</t>
  </si>
  <si>
    <t>10FUcM6HqtpR-OSVa7CY_tOxdENiRHy4R</t>
  </si>
  <si>
    <t>https://drive.google.com/file/d/10FUcM6HqtpR-OSVa7CY_tOxdENiRHy4R/view?usp=drivesdk</t>
  </si>
  <si>
    <t>Document successfully created; Document successfully merged; PDF created; !!Error Sending Emails: Service invoked too many times for one day: email.; Manually run by ecertificate75@gmail.com; Timestamp: Sep 2 2024 6:21 AM</t>
  </si>
  <si>
    <t>KUSNUL ROSITA</t>
  </si>
  <si>
    <t>kusnulrosita@gmail.com</t>
  </si>
  <si>
    <t>4050</t>
  </si>
  <si>
    <t>1U78Ic5c0OwQLUapkSWowETmd-nZAjYWL</t>
  </si>
  <si>
    <t>https://drive.google.com/file/d/1U78Ic5c0OwQLUapkSWowETmd-nZAjYWL/view?usp=drivesdk</t>
  </si>
  <si>
    <t>DEVI OKTAVIANA, A.Md.Kep.</t>
  </si>
  <si>
    <t>devioktaviana081093@gmail.com</t>
  </si>
  <si>
    <t>4051</t>
  </si>
  <si>
    <t>https://drive.google.com/file/d/14QCjhGUOFy1RbSb6OqP7TlgXwGuqUAVD/view?usp=drivesdk</t>
  </si>
  <si>
    <t>14QCjhGUOFy1RbSb6OqP7TlgXwGuqUAVD</t>
  </si>
  <si>
    <t>1xsnYX0LSJA4xmT00FQRXq4nBO0DvNEp3</t>
  </si>
  <si>
    <t>https://drive.google.com/file/d/1xsnYX0LSJA4xmT00FQRXq4nBO0DvNEp3/view?usp=drivesdk</t>
  </si>
  <si>
    <t>DINI SARASWATI SE., MM</t>
  </si>
  <si>
    <t>dinisaraswati79@gmail.com</t>
  </si>
  <si>
    <t>4052</t>
  </si>
  <si>
    <t>https://drive.google.com/file/d/1-jA7mxT0ArBmA1COQ2GfZJKTO97EcqEO/view?usp=drivesdk</t>
  </si>
  <si>
    <t>1-jA7mxT0ArBmA1COQ2GfZJKTO97EcqEO</t>
  </si>
  <si>
    <t>19oCr-26zL8vOFX7ryOL_6GV1xMzrGbsg</t>
  </si>
  <si>
    <t>https://drive.google.com/file/d/19oCr-26zL8vOFX7ryOL_6GV1xMzrGbsg/view?usp=drivesdk</t>
  </si>
  <si>
    <t>NUR KHOLIS, S.H.</t>
  </si>
  <si>
    <t>choliezhasbi@gmail.com</t>
  </si>
  <si>
    <t>4053</t>
  </si>
  <si>
    <t>https://drive.google.com/file/d/1GYOa-vy0IpUQrPE6jbzLKa1ROAWa9vGN/view?usp=drivesdk</t>
  </si>
  <si>
    <t>1GYOa-vy0IpUQrPE6jbzLKa1ROAWa9vGN</t>
  </si>
  <si>
    <t>1zIGXEu5ah8hiZdtBh9aVbdrss1XPcGiC</t>
  </si>
  <si>
    <t>https://drive.google.com/file/d/1zIGXEu5ah8hiZdtBh9aVbdrss1XPcGiC/view?usp=drivesdk</t>
  </si>
  <si>
    <t>SUASA,SKM</t>
  </si>
  <si>
    <t>suasaamkeb@gmail.com</t>
  </si>
  <si>
    <t>4054</t>
  </si>
  <si>
    <t>Starting at Thu Aug 29 2024 21:22:58 GMT-0400 (EDT)</t>
  </si>
  <si>
    <t>1dyLvkwtdpPp7hNGR8hmlnwosr1WDhXlK</t>
  </si>
  <si>
    <t>https://drive.google.com/file/d/1dyLvkwtdpPp7hNGR8hmlnwosr1WDhXlK/view?usp=drivesdk</t>
  </si>
  <si>
    <t>Document successfully created; Document successfully merged; PDF created; !!Error Sending Emails: Service invoked too many times for one day: email.; Manually run by ecertificate75@gmail.com; Timestamp: Sep 2 2024 6:22 AM</t>
  </si>
  <si>
    <t>DARYANI</t>
  </si>
  <si>
    <t>dary4ni@gmail.com</t>
  </si>
  <si>
    <t>4055</t>
  </si>
  <si>
    <t>1gBZQ5cNL7hk6KJtMTgfbEVTHK7owVCQF</t>
  </si>
  <si>
    <t>https://drive.google.com/file/d/1gBZQ5cNL7hk6KJtMTgfbEVTHK7owVCQF/view?usp=drivesdk</t>
  </si>
  <si>
    <t>dr. SHELLY AFINA PERNANDA</t>
  </si>
  <si>
    <t>shellyafina@gmail.com</t>
  </si>
  <si>
    <t>4056</t>
  </si>
  <si>
    <t>1DP89DC1H2GwHoGvAcDO7rGzj0y8pngIS</t>
  </si>
  <si>
    <t>https://drive.google.com/file/d/1DP89DC1H2GwHoGvAcDO7rGzj0y8pngIS/view?usp=drivesdk</t>
  </si>
  <si>
    <t>FOURMA PRIYATI SARI, A.Md</t>
  </si>
  <si>
    <t>atiesari76@gmail.com</t>
  </si>
  <si>
    <t>4057</t>
  </si>
  <si>
    <t>1RP88FiH1FAcTDk3VuBaJhEqjkh9Rv8SS</t>
  </si>
  <si>
    <t>https://drive.google.com/file/d/1RP88FiH1FAcTDk3VuBaJhEqjkh9Rv8SS/view?usp=drivesdk</t>
  </si>
  <si>
    <t>DWI HANDAYANI.SE.MM</t>
  </si>
  <si>
    <t>agungant3@gmail.com</t>
  </si>
  <si>
    <t>4058</t>
  </si>
  <si>
    <t>1mKsAA-wHKBddu0H2fZGosDmEUJ4vQvzL</t>
  </si>
  <si>
    <t>https://drive.google.com/file/d/1mKsAA-wHKBddu0H2fZGosDmEUJ4vQvzL/view?usp=drivesdk</t>
  </si>
  <si>
    <t>JAPAET MANURUNG</t>
  </si>
  <si>
    <t>japaetmanurung@gmail.com</t>
  </si>
  <si>
    <t>4059</t>
  </si>
  <si>
    <t>1H0-O6EP7FqgWWix6xkslDtE_1c-FR9FG</t>
  </si>
  <si>
    <t>https://drive.google.com/file/d/1H0-O6EP7FqgWWix6xkslDtE_1c-FR9FG/view?usp=drivesdk</t>
  </si>
  <si>
    <t>Document successfully created; Document successfully merged; PDF created; !!Error Sending Emails: Service invoked too many times for one day: email.; Manually run by ecertificate75@gmail.com; Timestamp: Sep 2 2024 6:23 AM</t>
  </si>
  <si>
    <t>RATIH DESVITASARI</t>
  </si>
  <si>
    <t>bundarakani@gmail.com</t>
  </si>
  <si>
    <t>4060</t>
  </si>
  <si>
    <t>https://drive.google.com/file/d/1_b8dA02crIc2VkmSWB1AyCH7svWpgcT-/view?usp=drivesdk</t>
  </si>
  <si>
    <t>1_b8dA02crIc2VkmSWB1AyCH7svWpgcT-</t>
  </si>
  <si>
    <t>161duQCVV2NSd7K9N1kYVidc7YmE_-A2U</t>
  </si>
  <si>
    <t>https://drive.google.com/file/d/161duQCVV2NSd7K9N1kYVidc7YmE_-A2U/view?usp=drivesdk</t>
  </si>
  <si>
    <t>UNUN FITRIATUN Amd.kep</t>
  </si>
  <si>
    <t>ununfitriatun.rsbi@gmail.com</t>
  </si>
  <si>
    <t>4061</t>
  </si>
  <si>
    <t>Starting at Thu Aug 29 2024 21:23:11 GMT-0400 (EDT)</t>
  </si>
  <si>
    <t>1h_CRU_Y24CFTxUzTjfWcKLf6dUxBDp6l</t>
  </si>
  <si>
    <t>https://drive.google.com/file/d/1h_CRU_Y24CFTxUzTjfWcKLf6dUxBDp6l/view?usp=drivesdk</t>
  </si>
  <si>
    <t>ACHMAD TAUFIK ,S.H.</t>
  </si>
  <si>
    <t>opick8686@gmail.com</t>
  </si>
  <si>
    <t>4062</t>
  </si>
  <si>
    <t>1dt4YymMJcl-Huzg8JAyl5Ymi33yZdWKY</t>
  </si>
  <si>
    <t>https://drive.google.com/file/d/1dt4YymMJcl-Huzg8JAyl5Ymi33yZdWKY/view?usp=drivesdk</t>
  </si>
  <si>
    <t>sulastrisekjenutbn@gmail.com</t>
  </si>
  <si>
    <t>4063</t>
  </si>
  <si>
    <t>19p9s_fqu17EpgTnQrcy7W8kVK0yB_rNq</t>
  </si>
  <si>
    <t>https://drive.google.com/file/d/19p9s_fqu17EpgTnQrcy7W8kVK0yB_rNq/view?usp=drivesdk</t>
  </si>
  <si>
    <t>Document successfully created; Document successfully merged; PDF created; !!Error Sending Emails: Service invoked too many times for one day: email.; Manually run by ecertificate75@gmail.com; Timestamp: Sep 2 2024 6:24 AM</t>
  </si>
  <si>
    <t>YAYAT SUDERAJAT</t>
  </si>
  <si>
    <t>yayat.suderajat66@gmail.com</t>
  </si>
  <si>
    <t>4064</t>
  </si>
  <si>
    <t>1wu2ZHJiEGGslEx1gl_Z2_m2adKamCvS0</t>
  </si>
  <si>
    <t>https://drive.google.com/file/d/1wu2ZHJiEGGslEx1gl_Z2_m2adKamCvS0/view?usp=drivesdk</t>
  </si>
  <si>
    <t>triwahyunisby71@gmail.com</t>
  </si>
  <si>
    <t>4065</t>
  </si>
  <si>
    <t>1xxpKqCEUkvoa4JXtAN5511C7Sz5qFlCg</t>
  </si>
  <si>
    <t>https://drive.google.com/file/d/1xxpKqCEUkvoa4JXtAN5511C7Sz5qFlCg/view?usp=drivesdk</t>
  </si>
  <si>
    <t>MARIA YULIAWATI,SE</t>
  </si>
  <si>
    <t>polsektubanhumas2@gmail.com</t>
  </si>
  <si>
    <t>4066</t>
  </si>
  <si>
    <t>1WOetulTYAGe4wRTPuxqaHsoDx-ncHeQI</t>
  </si>
  <si>
    <t>https://drive.google.com/file/d/1WOetulTYAGe4wRTPuxqaHsoDx-ncHeQI/view?usp=drivesdk</t>
  </si>
  <si>
    <t>BAMBANG SUMITRO</t>
  </si>
  <si>
    <t>bambangsumitro1975@gmail.com</t>
  </si>
  <si>
    <t>4067</t>
  </si>
  <si>
    <t>1BuZasEX1ClTe8CQyXrqZ1jKe4EwskZVJ</t>
  </si>
  <si>
    <t>https://drive.google.com/file/d/1BuZasEX1ClTe8CQyXrqZ1jKe4EwskZVJ/view?usp=drivesdk</t>
  </si>
  <si>
    <t>NUNIK SUSIATI, S.Kep</t>
  </si>
  <si>
    <t>nuniksusiati@gmail.com</t>
  </si>
  <si>
    <t>4068</t>
  </si>
  <si>
    <t>1j2mSy7DeiaPrM7Dr8cwKOWvdIKc_-Pqx</t>
  </si>
  <si>
    <t>https://drive.google.com/file/d/1j2mSy7DeiaPrM7Dr8cwKOWvdIKc_-Pqx/view?usp=drivesdk</t>
  </si>
  <si>
    <t>Document successfully created; Document successfully merged; PDF created; !!Error Sending Emails: Service invoked too many times for one day: email.; Manually run by ecertificate75@gmail.com; Timestamp: Sep 2 2024 6:25 AM</t>
  </si>
  <si>
    <t>BINTI CHURIAH</t>
  </si>
  <si>
    <t>churiahbinti@gmail.com</t>
  </si>
  <si>
    <t>4069</t>
  </si>
  <si>
    <t>1mZYp6HlbS_bgcZATK6lekg1bhNr2Eyni</t>
  </si>
  <si>
    <t>https://drive.google.com/file/d/1mZYp6HlbS_bgcZATK6lekg1bhNr2Eyni/view?usp=drivesdk</t>
  </si>
  <si>
    <t>MUHAMMAD HELMI FAIZAL, S.T</t>
  </si>
  <si>
    <t>muhammadhelmifaizal@gmail.com</t>
  </si>
  <si>
    <t>4070</t>
  </si>
  <si>
    <t>1C9BeiObrznjAayJLBxwrBFPK5P2RP3P8</t>
  </si>
  <si>
    <t>https://drive.google.com/file/d/1C9BeiObrznjAayJLBxwrBFPK5P2RP3P8/view?usp=drivesdk</t>
  </si>
  <si>
    <t>Lolita Sulistya Sari</t>
  </si>
  <si>
    <t>lolitasulistyasari@gmail.com</t>
  </si>
  <si>
    <t>4071</t>
  </si>
  <si>
    <t>1w71N4IXSr81W8dxuMexyx_cCNjq_Ob9N</t>
  </si>
  <si>
    <t>https://drive.google.com/file/d/1w71N4IXSr81W8dxuMexyx_cCNjq_Ob9N/view?usp=drivesdk</t>
  </si>
  <si>
    <t>SAIPUL, SE</t>
  </si>
  <si>
    <t>saipulbinkar@gmail.com</t>
  </si>
  <si>
    <t>4072</t>
  </si>
  <si>
    <t>1TMJOLkOSKP4ESAUwlD-xybNvdiOeD-LF</t>
  </si>
  <si>
    <t>https://drive.google.com/file/d/1TMJOLkOSKP4ESAUwlD-xybNvdiOeD-LF/view?usp=drivesdk</t>
  </si>
  <si>
    <t>Document successfully created; Document successfully merged; PDF created; !!Error Sending Emails: Service invoked too many times for one day: email.; Manually run by ecertificate75@gmail.com; Timestamp: Sep 2 2024 6:26 AM</t>
  </si>
  <si>
    <t>IDAWATI</t>
  </si>
  <si>
    <t>akbaridawati@gmail.co.id</t>
  </si>
  <si>
    <t>4073</t>
  </si>
  <si>
    <t>1Ugui_PQOKJt2lQ8Xkbhc4GD19QklMkGB</t>
  </si>
  <si>
    <t>https://drive.google.com/file/d/1Ugui_PQOKJt2lQ8Xkbhc4GD19QklMkGB/view?usp=drivesdk</t>
  </si>
  <si>
    <t>HASRIATY TUARA, Amd.Kep</t>
  </si>
  <si>
    <t>yhatituara95@gmail.com</t>
  </si>
  <si>
    <t>4074</t>
  </si>
  <si>
    <t>1T6UlS72yuWh3FxstZtrCykhSGTo5XfnO</t>
  </si>
  <si>
    <t>https://drive.google.com/file/d/1T6UlS72yuWh3FxstZtrCykhSGTo5XfnO/view?usp=drivesdk</t>
  </si>
  <si>
    <t>LENNA ASLIATY</t>
  </si>
  <si>
    <t>lennaasliaty413@gmail.com</t>
  </si>
  <si>
    <t>4075</t>
  </si>
  <si>
    <t>175UOLf6DJH51KIzST9l7RfKj897-FnL8</t>
  </si>
  <si>
    <t>https://drive.google.com/file/d/175UOLf6DJH51KIzST9l7RfKj897-FnL8/view?usp=drivesdk</t>
  </si>
  <si>
    <t>NONO SARTONO</t>
  </si>
  <si>
    <t>sartonononoynm04@gmail.com</t>
  </si>
  <si>
    <t>4076</t>
  </si>
  <si>
    <t>11rTqSZrRQziWgrlJq5ueM9NUvSc4wlpb</t>
  </si>
  <si>
    <t>https://drive.google.com/file/d/11rTqSZrRQziWgrlJq5ueM9NUvSc4wlpb/view?usp=drivesdk</t>
  </si>
  <si>
    <t>NUGRAHA BANU SAPTANA</t>
  </si>
  <si>
    <t>nugraha.banu.s@gmail.com</t>
  </si>
  <si>
    <t>4077</t>
  </si>
  <si>
    <t>17hmBOuBKw7IH9sCSrWuPX1UaEaLznQzY</t>
  </si>
  <si>
    <t>https://drive.google.com/file/d/17hmBOuBKw7IH9sCSrWuPX1UaEaLznQzY/view?usp=drivesdk</t>
  </si>
  <si>
    <t>Document successfully created; Document successfully merged; PDF created; !!Error Sending Emails: Service invoked too many times for one day: email.; Manually run by ecertificate75@gmail.com; Timestamp: Sep 2 2024 6:27 AM</t>
  </si>
  <si>
    <t>SRI ANIK</t>
  </si>
  <si>
    <t>srianik1968@gmail.com</t>
  </si>
  <si>
    <t>4078</t>
  </si>
  <si>
    <t>1o1lxAQ39EIxGouHfEcvFfRza3r8PCOeI</t>
  </si>
  <si>
    <t>https://drive.google.com/file/d/1o1lxAQ39EIxGouHfEcvFfRza3r8PCOeI/view?usp=drivesdk</t>
  </si>
  <si>
    <t>SAMSIDAR SATAGIH</t>
  </si>
  <si>
    <t>samsidarsaragih22@gmail.com</t>
  </si>
  <si>
    <t>4079</t>
  </si>
  <si>
    <t>18L5lv6T8WoewEuz94LG53QMw7MuU3MeE</t>
  </si>
  <si>
    <t>https://drive.google.com/file/d/18L5lv6T8WoewEuz94LG53QMw7MuU3MeE/view?usp=drivesdk</t>
  </si>
  <si>
    <t xml:space="preserve">SITI RAHMAH </t>
  </si>
  <si>
    <t>rahmawa10720@gmail.com</t>
  </si>
  <si>
    <t>4080</t>
  </si>
  <si>
    <t>1-C1ROEyJ0Um89fNJwlQyCyhd3Fb4cJU-</t>
  </si>
  <si>
    <t>https://drive.google.com/file/d/1-C1ROEyJ0Um89fNJwlQyCyhd3Fb4cJU-/view?usp=drivesdk</t>
  </si>
  <si>
    <t>RINA SIAGIAN, A.Md., S.M.</t>
  </si>
  <si>
    <t>rina9gian@gmail.com</t>
  </si>
  <si>
    <t>4081</t>
  </si>
  <si>
    <t>1ZzrB_vbvcaIhQZ4MtvLY8rkihiYaYrPK</t>
  </si>
  <si>
    <t>https://drive.google.com/file/d/1ZzrB_vbvcaIhQZ4MtvLY8rkihiYaYrPK/view?usp=drivesdk</t>
  </si>
  <si>
    <t>NINING MULYANI, S.E</t>
  </si>
  <si>
    <t>ninkmulyani@gmail.com</t>
  </si>
  <si>
    <t>4082</t>
  </si>
  <si>
    <t>Starting at Thu Aug 29 2024 21:23:17 GMT-0400 (EDT)</t>
  </si>
  <si>
    <t>1K_ffk0jabQLe0m5nDBwqNgYg3dTJm64L</t>
  </si>
  <si>
    <t>https://drive.google.com/file/d/1K_ffk0jabQLe0m5nDBwqNgYg3dTJm64L/view?usp=drivesdk</t>
  </si>
  <si>
    <t>Document successfully created; Document successfully merged; PDF created; !!Error Sending Emails: Service invoked too many times for one day: email.; Manually run by ecertificate75@gmail.com; Timestamp: Sep 2 2024 6:28 AM</t>
  </si>
  <si>
    <t>NI KETUT SUARJANI</t>
  </si>
  <si>
    <t>renminkrimsus@gmail.com</t>
  </si>
  <si>
    <t>4083</t>
  </si>
  <si>
    <t>151G82ypjCobBpvof38RW0oLjNHPhhHS4</t>
  </si>
  <si>
    <t>https://drive.google.com/file/d/151G82ypjCobBpvof38RW0oLjNHPhhHS4/view?usp=drivesdk</t>
  </si>
  <si>
    <t>SRI SAMSINI</t>
  </si>
  <si>
    <t>srisamsini10@gmail.com</t>
  </si>
  <si>
    <t>4084</t>
  </si>
  <si>
    <t>1fptFiS-8ZpVJZydiAQ5oJImjBSapqRbA</t>
  </si>
  <si>
    <t>https://drive.google.com/file/d/1fptFiS-8ZpVJZydiAQ5oJImjBSapqRbA/view?usp=drivesdk</t>
  </si>
  <si>
    <t>HERIYAWATI, S.H.</t>
  </si>
  <si>
    <t>heriyawati0112@gmail.com</t>
  </si>
  <si>
    <t>4085</t>
  </si>
  <si>
    <t>1darRzWigvxlSbIFuW15kSAwifVwYZ80E</t>
  </si>
  <si>
    <t>https://drive.google.com/file/d/1darRzWigvxlSbIFuW15kSAwifVwYZ80E/view?usp=drivesdk</t>
  </si>
  <si>
    <t>DARYANTO</t>
  </si>
  <si>
    <t>daryantoyanto1072@gmail.com</t>
  </si>
  <si>
    <t>4086</t>
  </si>
  <si>
    <t>1YAVRzYEOi_UtRkIfjno5ZBulx2ezvkm_</t>
  </si>
  <si>
    <t>https://drive.google.com/file/d/1YAVRzYEOi_UtRkIfjno5ZBulx2ezvkm_/view?usp=drivesdk</t>
  </si>
  <si>
    <t>Document successfully created; Document successfully merged; PDF created; !!Error Sending Emails: Service invoked too many times for one day: email.; Manually run by ecertificate75@gmail.com; Timestamp: Sep 2 2024 6:29 AM</t>
  </si>
  <si>
    <t>DWI YULIANA. A.Md</t>
  </si>
  <si>
    <t>goodzva@gmail.com</t>
  </si>
  <si>
    <t>4087</t>
  </si>
  <si>
    <t>1LAMftSbveB3CzN6WR43LYKi0uiPHWOR_</t>
  </si>
  <si>
    <t>https://drive.google.com/file/d/1LAMftSbveB3CzN6WR43LYKi0uiPHWOR_/view?usp=drivesdk</t>
  </si>
  <si>
    <t>TRIYANDOKO</t>
  </si>
  <si>
    <t>3yandoko@gmail.com</t>
  </si>
  <si>
    <t>4088</t>
  </si>
  <si>
    <t>189p1a6KAN0Brt-0uatysYaz5YYKZ7P04</t>
  </si>
  <si>
    <t>https://drive.google.com/file/d/189p1a6KAN0Brt-0uatysYaz5YYKZ7P04/view?usp=drivesdk</t>
  </si>
  <si>
    <t>SUYATMIN</t>
  </si>
  <si>
    <t>suyatmin51@gmail.com</t>
  </si>
  <si>
    <t>4089</t>
  </si>
  <si>
    <t>1tzRzM1P2MOEj2Xs48nLHa8jsj-aGVGuc</t>
  </si>
  <si>
    <t>https://drive.google.com/file/d/1tzRzM1P2MOEj2Xs48nLHa8jsj-aGVGuc/view?usp=drivesdk</t>
  </si>
  <si>
    <t>ADI SETYO NUGROHO S.E., M.M.</t>
  </si>
  <si>
    <t>adhisn@gmail.com</t>
  </si>
  <si>
    <t>4090</t>
  </si>
  <si>
    <t>1NSmXggf4fcTrROX2WSaVkgslLwMAczPk</t>
  </si>
  <si>
    <t>https://drive.google.com/file/d/1NSmXggf4fcTrROX2WSaVkgslLwMAczPk/view?usp=drivesdk</t>
  </si>
  <si>
    <t>DR N DIARTHA BUDI LEGAWA</t>
  </si>
  <si>
    <t>budilegava@gmail.com</t>
  </si>
  <si>
    <t>4091</t>
  </si>
  <si>
    <t>1r1YxTV-rVFeZXehu4VvefulT5Toyvx9_</t>
  </si>
  <si>
    <t>https://drive.google.com/file/d/1r1YxTV-rVFeZXehu4VvefulT5Toyvx9_/view?usp=drivesdk</t>
  </si>
  <si>
    <t>Document successfully created; Document successfully merged; PDF created; !!Error Sending Emails: Service invoked too many times for one day: email.; Manually run by ecertificate75@gmail.com; Timestamp: Sep 2 2024 6:30 AM</t>
  </si>
  <si>
    <t>HARLINA</t>
  </si>
  <si>
    <t>harlina418@gmail.com</t>
  </si>
  <si>
    <t>4092</t>
  </si>
  <si>
    <t>1UZC-Hv18iujp88NHXipVi1LhCjftdriU</t>
  </si>
  <si>
    <t>https://drive.google.com/file/d/1UZC-Hv18iujp88NHXipVi1LhCjftdriU/view?usp=drivesdk</t>
  </si>
  <si>
    <t>KIFIRUL MUAZIS</t>
  </si>
  <si>
    <t>kifirulaziz96@gmail.com</t>
  </si>
  <si>
    <t>4093</t>
  </si>
  <si>
    <t>Starting at Thu Aug 29 2024 21:23:24 GMT-0400 (EDT)</t>
  </si>
  <si>
    <t>1fxsVaCX3tWpfeRVJKBz8c2PcB9LsiRqk</t>
  </si>
  <si>
    <t>https://drive.google.com/file/d/1fxsVaCX3tWpfeRVJKBz8c2PcB9LsiRqk/view?usp=drivesdk</t>
  </si>
  <si>
    <t>ELFA SURYANI.S.E</t>
  </si>
  <si>
    <t>elvasuryani3011@gmail.com</t>
  </si>
  <si>
    <t>4094</t>
  </si>
  <si>
    <t>1weCsjsaHC6jZnghm0pjTK-yPQwoF6X1N</t>
  </si>
  <si>
    <t>https://drive.google.com/file/d/1weCsjsaHC6jZnghm0pjTK-yPQwoF6X1N/view?usp=drivesdk</t>
  </si>
  <si>
    <t>TATI SUPRIYATI</t>
  </si>
  <si>
    <t>supriatitati845@gmail.com</t>
  </si>
  <si>
    <t>4095</t>
  </si>
  <si>
    <t>1d1V2UWhi3FulqsV0LiJhk2eweQJg9xZ_</t>
  </si>
  <si>
    <t>https://drive.google.com/file/d/1d1V2UWhi3FulqsV0LiJhk2eweQJg9xZ_/view?usp=drivesdk</t>
  </si>
  <si>
    <t>Document successfully created; Document successfully merged; PDF created; !!Error Sending Emails: Service invoked too many times for one day: email.; Manually run by ecertificate75@gmail.com; Timestamp: Sep 2 2024 6:31 AM</t>
  </si>
  <si>
    <t>THOMA KUMARA</t>
  </si>
  <si>
    <t>tum_thom@yahoo.com</t>
  </si>
  <si>
    <t>4096</t>
  </si>
  <si>
    <t>1NFAT-IvdJONyIZZ4-OH9x-GF-Yg4a-Hh</t>
  </si>
  <si>
    <t>https://drive.google.com/file/d/1NFAT-IvdJONyIZZ4-OH9x-GF-Yg4a-Hh/view?usp=drivesdk</t>
  </si>
  <si>
    <t xml:space="preserve">AYU SRI RAHAYU </t>
  </si>
  <si>
    <t>ayu.srirahayu799@gmail.com</t>
  </si>
  <si>
    <t>4097</t>
  </si>
  <si>
    <t>1sw8Q7FhFm9GhN_1_4z4NtPYxp51IEwnJ</t>
  </si>
  <si>
    <t>https://drive.google.com/file/d/1sw8Q7FhFm9GhN_1_4z4NtPYxp51IEwnJ/view?usp=drivesdk</t>
  </si>
  <si>
    <t>DRA.RUSNANI</t>
  </si>
  <si>
    <t>drarusnani2@gmail.com</t>
  </si>
  <si>
    <t>4098</t>
  </si>
  <si>
    <t>1XYcc4mA_Rb34z_TZTaZTqly3Dp09ZLj4</t>
  </si>
  <si>
    <t>https://drive.google.com/file/d/1XYcc4mA_Rb34z_TZTaZTqly3Dp09ZLj4/view?usp=drivesdk</t>
  </si>
  <si>
    <t>SUMADI</t>
  </si>
  <si>
    <t>sumadi170845@gmail.com</t>
  </si>
  <si>
    <t>4099</t>
  </si>
  <si>
    <t>1jfPhCZMxBh0jilQ_4T5kbPHQTJDk5i8q</t>
  </si>
  <si>
    <t>https://drive.google.com/file/d/1jfPhCZMxBh0jilQ_4T5kbPHQTJDk5i8q/view?usp=drivesdk</t>
  </si>
  <si>
    <t>ROSHID, S.A.P.</t>
  </si>
  <si>
    <t>roshidnisa75@gmail.com</t>
  </si>
  <si>
    <t>4100</t>
  </si>
  <si>
    <t>1TjPrpqPuZnedUUJ0MeDQYU_99ZN8qwJ7</t>
  </si>
  <si>
    <t>https://drive.google.com/file/d/1TjPrpqPuZnedUUJ0MeDQYU_99ZN8qwJ7/view?usp=drivesdk</t>
  </si>
  <si>
    <t>Document successfully created; Document successfully merged; PDF created; !!Error Sending Emails: Service invoked too many times for one day: email.; Manually run by ecertificate75@gmail.com; Timestamp: Sep 2 2024 6:32 AM</t>
  </si>
  <si>
    <t>WILLY ANDES SITOHANG</t>
  </si>
  <si>
    <t>willyandes32@gmail.com</t>
  </si>
  <si>
    <t>4101</t>
  </si>
  <si>
    <t>1bqxYGGIrRo0NdRD3_ewSsldqDUp444wq</t>
  </si>
  <si>
    <t>https://drive.google.com/file/d/1bqxYGGIrRo0NdRD3_ewSsldqDUp444wq/view?usp=drivesdk</t>
  </si>
  <si>
    <t>ARI WIDYANINGSIH, S.KOM.</t>
  </si>
  <si>
    <t>arewede.4455@gmail.com</t>
  </si>
  <si>
    <t>4102</t>
  </si>
  <si>
    <t>1VlNsOvvNdSxEWF6ffSFnuLSXeouUzT3h</t>
  </si>
  <si>
    <t>https://drive.google.com/file/d/1VlNsOvvNdSxEWF6ffSFnuLSXeouUzT3h/view?usp=drivesdk</t>
  </si>
  <si>
    <t>sunaryyo044@gmail.com</t>
  </si>
  <si>
    <t>4103</t>
  </si>
  <si>
    <t>1r-3b3hSHQVkKH8GrMQwGbYteN8_p1q6-</t>
  </si>
  <si>
    <t>https://drive.google.com/file/d/1r-3b3hSHQVkKH8GrMQwGbYteN8_p1q6-/view?usp=drivesdk</t>
  </si>
  <si>
    <t>Ruly Anggara Miastuti, S.Ip</t>
  </si>
  <si>
    <t>rulyanggara.miastuti@gmail.com</t>
  </si>
  <si>
    <t>4104</t>
  </si>
  <si>
    <t>Starting at Thu Aug 29 2024 21:23:32 GMT-0400 (EDT)</t>
  </si>
  <si>
    <t>1ZkJHC6BsXYNl_oOeYGQs_LyX8kZylYME</t>
  </si>
  <si>
    <t>https://drive.google.com/file/d/1ZkJHC6BsXYNl_oOeYGQs_LyX8kZylYME/view?usp=drivesdk</t>
  </si>
  <si>
    <t>KOMARIAH</t>
  </si>
  <si>
    <t>andikahermawan280601@gmail.com</t>
  </si>
  <si>
    <t>4105</t>
  </si>
  <si>
    <t>1fLrN-UlH_QYLzYOXEq1cxEqJXihP_E2d</t>
  </si>
  <si>
    <t>https://drive.google.com/file/d/1fLrN-UlH_QYLzYOXEq1cxEqJXihP_E2d/view?usp=drivesdk</t>
  </si>
  <si>
    <t>Document successfully created; Document successfully merged; PDF created; !!Error Sending Emails: Service invoked too many times for one day: email.; Manually run by ecertificate75@gmail.com; Timestamp: Sep 2 2024 6:33 AM</t>
  </si>
  <si>
    <t>ERIANI</t>
  </si>
  <si>
    <t>eriani.izhar@gmail.com</t>
  </si>
  <si>
    <t>4106</t>
  </si>
  <si>
    <t>1zlKrOU3WW6crpAwZi9ElERHME1SbpAot</t>
  </si>
  <si>
    <t>https://drive.google.com/file/d/1zlKrOU3WW6crpAwZi9ElERHME1SbpAot/view?usp=drivesdk</t>
  </si>
  <si>
    <t>BUNAIM</t>
  </si>
  <si>
    <t>bunaim62@gmail.com</t>
  </si>
  <si>
    <t>4107</t>
  </si>
  <si>
    <t>1ihqJHquQV-jek16Hexh9B4QQs_ePQkzf</t>
  </si>
  <si>
    <t>https://drive.google.com/file/d/1ihqJHquQV-jek16Hexh9B4QQs_ePQkzf/view?usp=drivesdk</t>
  </si>
  <si>
    <t>ARIS SETIAWAN A.MD.KEP</t>
  </si>
  <si>
    <t>arresborres037@gmail.com</t>
  </si>
  <si>
    <t>4108</t>
  </si>
  <si>
    <t>1M8M8QKjXgGDh1lBoxfucb81qHK9OOBsJ</t>
  </si>
  <si>
    <t>https://drive.google.com/file/d/1M8M8QKjXgGDh1lBoxfucb81qHK9OOBsJ/view?usp=drivesdk</t>
  </si>
  <si>
    <t>NOPIH HERMANA</t>
  </si>
  <si>
    <t>nopih.hermana@gmail.com</t>
  </si>
  <si>
    <t>4109</t>
  </si>
  <si>
    <t>Starting at Thu Aug 29 2024 21:23:40 GMT-0400 (EDT)</t>
  </si>
  <si>
    <t>1dsaZ0bjl5eJKNj00Qvl1uTs1rKKix7nh</t>
  </si>
  <si>
    <t>https://drive.google.com/file/d/1dsaZ0bjl5eJKNj00Qvl1uTs1rKKix7nh/view?usp=drivesdk</t>
  </si>
  <si>
    <t>SOVA ARNANDA PUTRI,S.KOM</t>
  </si>
  <si>
    <t>bebysova@yahoo.com</t>
  </si>
  <si>
    <t>4110</t>
  </si>
  <si>
    <t>1WmZfZb_NXL1tpvHAiPtVZbI5F154QGSN</t>
  </si>
  <si>
    <t>https://drive.google.com/file/d/1WmZfZb_NXL1tpvHAiPtVZbI5F154QGSN/view?usp=drivesdk</t>
  </si>
  <si>
    <t>Document successfully created; Document successfully merged; PDF created; !!Error Sending Emails: Service invoked too many times for one day: email.; Manually run by ecertificate75@gmail.com; Timestamp: Sep 2 2024 6:34 AM</t>
  </si>
  <si>
    <t>MUHAIMIN</t>
  </si>
  <si>
    <t>muhaimin61a@gmail.com</t>
  </si>
  <si>
    <t>4111</t>
  </si>
  <si>
    <t>1on93aiVa1ZLqDUJ5BvqDo4KdPBMptKgF</t>
  </si>
  <si>
    <t>https://drive.google.com/file/d/1on93aiVa1ZLqDUJ5BvqDo4KdPBMptKgF/view?usp=drivesdk</t>
  </si>
  <si>
    <t>NURSIN</t>
  </si>
  <si>
    <t>gunturwarsito27@gmail.com</t>
  </si>
  <si>
    <t>4112</t>
  </si>
  <si>
    <t>1NSbAtgpg8qYUeV3MVw0a8VyICWjTwcyj</t>
  </si>
  <si>
    <t>https://drive.google.com/file/d/1NSbAtgpg8qYUeV3MVw0a8VyICWjTwcyj/view?usp=drivesdk</t>
  </si>
  <si>
    <t>Lisa Mutiara Rina</t>
  </si>
  <si>
    <t>princes.mutiara@gmail.com</t>
  </si>
  <si>
    <t>4113</t>
  </si>
  <si>
    <t>1nMXlcX9NnY8QFDmf0pVXmXeU8U9cTSHs</t>
  </si>
  <si>
    <t>https://drive.google.com/file/d/1nMXlcX9NnY8QFDmf0pVXmXeU8U9cTSHs/view?usp=drivesdk</t>
  </si>
  <si>
    <t>SOLIMIN</t>
  </si>
  <si>
    <t>Salimin.ressit@gmail.com</t>
  </si>
  <si>
    <t>4114</t>
  </si>
  <si>
    <t>1IC6iwyIKhdxMU0TVxKsGQsJNjb90Jc_w</t>
  </si>
  <si>
    <t>https://drive.google.com/file/d/1IC6iwyIKhdxMU0TVxKsGQsJNjb90Jc_w/view?usp=drivesdk</t>
  </si>
  <si>
    <t>Document successfully created; Document successfully merged; PDF created; !!Error Sending Emails: Service invoked too many times for one day: email.; Manually run by ecertificate75@gmail.com; Timestamp: Sep 2 2024 6:35 AM</t>
  </si>
  <si>
    <t>DAMERIA SIMAJUNTAK</t>
  </si>
  <si>
    <t>dameriasmjtk30@gmail.com</t>
  </si>
  <si>
    <t>4115</t>
  </si>
  <si>
    <t>1lei4lFiZxzvIacCPj1KCjE1SiPjJbr9_</t>
  </si>
  <si>
    <t>https://drive.google.com/file/d/1lei4lFiZxzvIacCPj1KCjE1SiPjJbr9_/view?usp=drivesdk</t>
  </si>
  <si>
    <t>IDA AYU SWATHI ANTARI, AMG, S.K.M.</t>
  </si>
  <si>
    <t>ayua73463@gmail.com</t>
  </si>
  <si>
    <t>4116</t>
  </si>
  <si>
    <t>1yQ7Ra77knIuFUZj2ZbN4qnh6wVrTRAYt</t>
  </si>
  <si>
    <t>https://drive.google.com/file/d/1yQ7Ra77knIuFUZj2ZbN4qnh6wVrTRAYt/view?usp=drivesdk</t>
  </si>
  <si>
    <t>RAFIKA CHAN</t>
  </si>
  <si>
    <t>rafikaika13@gmail.com</t>
  </si>
  <si>
    <t>4117</t>
  </si>
  <si>
    <t>1x7nKzeTSQetPHtxZEZnBewFKKO0y9SoC</t>
  </si>
  <si>
    <t>https://drive.google.com/file/d/1x7nKzeTSQetPHtxZEZnBewFKKO0y9SoC/view?usp=drivesdk</t>
  </si>
  <si>
    <t>MEILANI IDA JATI LESTARI</t>
  </si>
  <si>
    <t>mbakmeylan@gmail.com</t>
  </si>
  <si>
    <t>4118</t>
  </si>
  <si>
    <t>1WucheNj-MoM6IrSaH3d0ZAuVUqfCtrmb</t>
  </si>
  <si>
    <t>https://drive.google.com/file/d/1WucheNj-MoM6IrSaH3d0ZAuVUqfCtrmb/view?usp=drivesdk</t>
  </si>
  <si>
    <t>Document successfully created; Document successfully merged; PDF created; !!Error Sending Emails: Service invoked too many times for one day: email.; Manually run by ecertificate75@gmail.com; Timestamp: Sep 2 2024 6:36 AM</t>
  </si>
  <si>
    <t>INDARNI</t>
  </si>
  <si>
    <t>indarnisos23@gmai.com</t>
  </si>
  <si>
    <t>4119</t>
  </si>
  <si>
    <t>1D865p2TvbpJ6XBOHni4Y9enDdQGDbtDF</t>
  </si>
  <si>
    <t>https://drive.google.com/file/d/1D865p2TvbpJ6XBOHni4Y9enDdQGDbtDF/view?usp=drivesdk</t>
  </si>
  <si>
    <t>ANGGA PRASETYO, AMD. KEP</t>
  </si>
  <si>
    <t>anggaracun118@gmail.com</t>
  </si>
  <si>
    <t>4120</t>
  </si>
  <si>
    <t>1IlA4kZ3VqfiqZXvVPj0q1qPjsOV6cqU3</t>
  </si>
  <si>
    <t>https://drive.google.com/file/d/1IlA4kZ3VqfiqZXvVPj0q1qPjsOV6cqU3/view?usp=drivesdk</t>
  </si>
  <si>
    <t>KELANA AKILA TANJUNG,A.Md.Kep</t>
  </si>
  <si>
    <t>kelanatj123@gmail.com</t>
  </si>
  <si>
    <t>4121</t>
  </si>
  <si>
    <t>1P0d0q-RGYnjdvz8pAXveNSI9Rdaf40g0</t>
  </si>
  <si>
    <t>https://drive.google.com/file/d/1P0d0q-RGYnjdvz8pAXveNSI9Rdaf40g0/view?usp=drivesdk</t>
  </si>
  <si>
    <t>sri843017@gmail.com</t>
  </si>
  <si>
    <t>4122</t>
  </si>
  <si>
    <t>1SGmnk-Vkdpzsi2Hb4qFRmyIXKfcRF7nH</t>
  </si>
  <si>
    <t>https://drive.google.com/file/d/1SGmnk-Vkdpzsi2Hb4qFRmyIXKfcRF7nH/view?usp=drivesdk</t>
  </si>
  <si>
    <t>DIANA SUPRI</t>
  </si>
  <si>
    <t>dianasupri77@gmail.com</t>
  </si>
  <si>
    <t>4123</t>
  </si>
  <si>
    <t>https://drive.google.com/file/d/1yw-GFD5pmO5UWaR2NMwJQidutmlmqkKk/view?usp=drivesdk</t>
  </si>
  <si>
    <t>Document successfully created; Document successfully merged; PDF created; !!Error Sending Emails: Service invoked too many times for one day: email.; Run via form trigger as ecertificate75@gmail.com; Timestamp: Aug 29 2024 9:24 PM</t>
  </si>
  <si>
    <t>1yw-GFD5pmO5UWaR2NMwJQidutmlmqkKk</t>
  </si>
  <si>
    <t>1rD1KnB8E7NaYmM9od9qyQSdwIEnixOTE</t>
  </si>
  <si>
    <t>https://drive.google.com/file/d/1rD1KnB8E7NaYmM9od9qyQSdwIEnixOTE/view?usp=drivesdk</t>
  </si>
  <si>
    <t>Document successfully created; Document successfully merged; PDF created; !!Error Sending Emails: Service invoked too many times for one day: email.; Manually run by ecertificate75@gmail.com; Timestamp: Sep 2 2024 6:37 AM</t>
  </si>
  <si>
    <t>SURTINAH</t>
  </si>
  <si>
    <t>surtinahtina82@gmail.com</t>
  </si>
  <si>
    <t>4124</t>
  </si>
  <si>
    <t>https://drive.google.com/file/d/1Ego8Dqo2g4cPHDzzkRgnH55e-BbGZ4O4/view?usp=drivesdk</t>
  </si>
  <si>
    <t>1Ego8Dqo2g4cPHDzzkRgnH55e-BbGZ4O4</t>
  </si>
  <si>
    <t>1TtE5qh9uQamSbS2W_ssfVhuYe-D2D9Bd</t>
  </si>
  <si>
    <t>https://drive.google.com/file/d/1TtE5qh9uQamSbS2W_ssfVhuYe-D2D9Bd/view?usp=drivesdk</t>
  </si>
  <si>
    <t>YULIANA SAUSELE</t>
  </si>
  <si>
    <t>yulianasausele@gmail.com</t>
  </si>
  <si>
    <t>4125</t>
  </si>
  <si>
    <t>https://drive.google.com/file/d/1wMlZ9OUtmTE0BeEpA8o7g8IxQcO1Z5Pz/view?usp=drivesdk</t>
  </si>
  <si>
    <t>1wMlZ9OUtmTE0BeEpA8o7g8IxQcO1Z5Pz</t>
  </si>
  <si>
    <t>1HxnTUceVqDJkwzLo2xwbBaIj51H3Uhn0</t>
  </si>
  <si>
    <t>https://drive.google.com/file/d/1HxnTUceVqDJkwzLo2xwbBaIj51H3Uhn0/view?usp=drivesdk</t>
  </si>
  <si>
    <t>snryoyok@gmail.com</t>
  </si>
  <si>
    <t>4126</t>
  </si>
  <si>
    <t>https://drive.google.com/file/d/1BMVOcw0S0KiKK7RpW3Ogf6mQsWJoxQRE/view?usp=drivesdk</t>
  </si>
  <si>
    <t>Document successfully created; Document successfully merged; PDF created; !!Error Sending Emails: Service invoked too many times for one day: email.; Run via form trigger as ecertificate75@gmail.com; Timestamp: Aug 29 2024 9:25 PM</t>
  </si>
  <si>
    <t>1BMVOcw0S0KiKK7RpW3Ogf6mQsWJoxQRE</t>
  </si>
  <si>
    <t>14E3i23BVBm2VW6RIksiZkYo612X8tfk3</t>
  </si>
  <si>
    <t>https://drive.google.com/file/d/14E3i23BVBm2VW6RIksiZkYo612X8tfk3/view?usp=drivesdk</t>
  </si>
  <si>
    <t>PURIYONO</t>
  </si>
  <si>
    <t>puriyono2015@gmail.com</t>
  </si>
  <si>
    <t>4127</t>
  </si>
  <si>
    <t>https://drive.google.com/file/d/1_a05ddT-HQcMgJWInYQ2YZ52P3KVW5Kz/view?usp=drivesdk</t>
  </si>
  <si>
    <t>Starting at Thu Aug 29 2024 21:25:20 GMT-0400 (EDT)</t>
  </si>
  <si>
    <t>1_a05ddT-HQcMgJWInYQ2YZ52P3KVW5Kz</t>
  </si>
  <si>
    <t>18ekH20InqhfvWc_bAKV1eBBHFNh6WCuU</t>
  </si>
  <si>
    <t>https://drive.google.com/file/d/18ekH20InqhfvWc_bAKV1eBBHFNh6WCuU/view?usp=drivesdk</t>
  </si>
  <si>
    <t>EMMA MULYANI, A.md</t>
  </si>
  <si>
    <t>emmamulyani09@gmail.com</t>
  </si>
  <si>
    <t>4128</t>
  </si>
  <si>
    <t>https://drive.google.com/file/d/10EjXQw2CaLOUTWCCDfpkYdYoGIw3WG7C/view?usp=drivesdk</t>
  </si>
  <si>
    <t>10EjXQw2CaLOUTWCCDfpkYdYoGIw3WG7C</t>
  </si>
  <si>
    <t>1-AC88dgYx6Wvmo_neucizWFQAPoCcnqX</t>
  </si>
  <si>
    <t>https://drive.google.com/file/d/1-AC88dgYx6Wvmo_neucizWFQAPoCcnqX/view?usp=drivesdk</t>
  </si>
  <si>
    <t>Document successfully created; Document successfully merged; PDF created; !!Error Sending Emails: Service invoked too many times for one day: email.; Manually run by ecertificate75@gmail.com; Timestamp: Sep 2 2024 6:38 AM</t>
  </si>
  <si>
    <t>SITI KHOIRIYAH</t>
  </si>
  <si>
    <t>sitikhoiriyah2749@gmail.com</t>
  </si>
  <si>
    <t>4129</t>
  </si>
  <si>
    <t>https://drive.google.com/file/d/1cl0WUhzQRoKf0diPIshdl82DjGo-l6ZE/view?usp=drivesdk</t>
  </si>
  <si>
    <t>1cl0WUhzQRoKf0diPIshdl82DjGo-l6ZE</t>
  </si>
  <si>
    <t>1FkzAipX0K-ncfyXoJGcd6bAb03v8UXBf</t>
  </si>
  <si>
    <t>https://drive.google.com/file/d/1FkzAipX0K-ncfyXoJGcd6bAb03v8UXBf/view?usp=drivesdk</t>
  </si>
  <si>
    <t>SITI JAYANTI</t>
  </si>
  <si>
    <t>jayantiku83@gmail.com</t>
  </si>
  <si>
    <t>4130</t>
  </si>
  <si>
    <t>https://drive.google.com/file/d/1qTUeDonYtOkdc0KQ6toY8v4KrI65p3F4/view?usp=drivesdk</t>
  </si>
  <si>
    <t>1qTUeDonYtOkdc0KQ6toY8v4KrI65p3F4</t>
  </si>
  <si>
    <t>1vBT2EHxu-_vyV5DXbUXj4LFvpLSiBRgE</t>
  </si>
  <si>
    <t>https://drive.google.com/file/d/1vBT2EHxu-_vyV5DXbUXj4LFvpLSiBRgE/view?usp=drivesdk</t>
  </si>
  <si>
    <t>RIRI ANGGREINI</t>
  </si>
  <si>
    <t>ririanggreini153@gmail.com</t>
  </si>
  <si>
    <t>4131</t>
  </si>
  <si>
    <t>1guNSAtj5KRLP6WodZVIoKnaNk4diGhkI</t>
  </si>
  <si>
    <t>https://drive.google.com/file/d/1guNSAtj5KRLP6WodZVIoKnaNk4diGhkI/view?usp=drivesdk</t>
  </si>
  <si>
    <t xml:space="preserve">ELGAWATI </t>
  </si>
  <si>
    <t>watielga13@gmail.com</t>
  </si>
  <si>
    <t>4132</t>
  </si>
  <si>
    <t>1i6UAlHAuyE2ehRGThgvRlBXqGwHxvff_</t>
  </si>
  <si>
    <t>https://drive.google.com/file/d/1i6UAlHAuyE2ehRGThgvRlBXqGwHxvff_/view?usp=drivesdk</t>
  </si>
  <si>
    <t>MIRA SLANA, A.MD.KEB</t>
  </si>
  <si>
    <t>miiraaslaanaa22@gmail.com</t>
  </si>
  <si>
    <t>4133</t>
  </si>
  <si>
    <t>1I_KyKaabrjIwoDEpwqaXClRwEwkVjKny</t>
  </si>
  <si>
    <t>https://drive.google.com/file/d/1I_KyKaabrjIwoDEpwqaXClRwEwkVjKny/view?usp=drivesdk</t>
  </si>
  <si>
    <t>Document successfully created; Document successfully merged; PDF created; !!Error Sending Emails: Service invoked too many times for one day: email.; Manually run by ecertificate75@gmail.com; Timestamp: Sep 2 2024 6:39 AM</t>
  </si>
  <si>
    <t>NURASITA</t>
  </si>
  <si>
    <t>nurasitaaa456@gmail.com</t>
  </si>
  <si>
    <t>4134</t>
  </si>
  <si>
    <t>1h4bJ5PnQsdqCCujZK1ER9G3PtsWK-aaN</t>
  </si>
  <si>
    <t>https://drive.google.com/file/d/1h4bJ5PnQsdqCCujZK1ER9G3PtsWK-aaN/view?usp=drivesdk</t>
  </si>
  <si>
    <t>YUDI TRISNAYADI, S H.</t>
  </si>
  <si>
    <t>yudi.trisnayadi@gmail.com</t>
  </si>
  <si>
    <t>4135</t>
  </si>
  <si>
    <t>1hcXonNN_V5SleYMnXGEze_PebdaQC98b</t>
  </si>
  <si>
    <t>https://drive.google.com/file/d/1hcXonNN_V5SleYMnXGEze_PebdaQC98b/view?usp=drivesdk</t>
  </si>
  <si>
    <t>MURDAYAT</t>
  </si>
  <si>
    <t>murdayat1969@gmail.com</t>
  </si>
  <si>
    <t>4136</t>
  </si>
  <si>
    <t>18e5n8AMhsMb80lRXR4rKe9nGYA64F4zU</t>
  </si>
  <si>
    <t>https://drive.google.com/file/d/18e5n8AMhsMb80lRXR4rKe9nGYA64F4zU/view?usp=drivesdk</t>
  </si>
  <si>
    <t>MUJILAH SRIYONO</t>
  </si>
  <si>
    <t>mujilahsriyono@gmail.com</t>
  </si>
  <si>
    <t>4137</t>
  </si>
  <si>
    <t>Starting at Thu Aug 29 2024 21:23:43 GMT-0400 (EDT)</t>
  </si>
  <si>
    <t>1IHOwFEl5GnW3SuH_tSpcWpmvWLlrzvGy</t>
  </si>
  <si>
    <t>https://drive.google.com/file/d/1IHOwFEl5GnW3SuH_tSpcWpmvWLlrzvGy/view?usp=drivesdk</t>
  </si>
  <si>
    <t>SYOFRIDA. SE</t>
  </si>
  <si>
    <t>Syofridasarpras@gmail.com</t>
  </si>
  <si>
    <t>4138</t>
  </si>
  <si>
    <t>1_aOYj5tOtnQMIOUYeyQqneT4twaOq_ml</t>
  </si>
  <si>
    <t>https://drive.google.com/file/d/1_aOYj5tOtnQMIOUYeyQqneT4twaOq_ml/view?usp=drivesdk</t>
  </si>
  <si>
    <t>Document successfully created; Document successfully merged; PDF created; !!Error Sending Emails: Service invoked too many times for one day: email.; Manually run by ecertificate75@gmail.com; Timestamp: Sep 2 2024 6:40 AM</t>
  </si>
  <si>
    <t>MOKHAMAD BADRUN</t>
  </si>
  <si>
    <t>mokhbadrun69@gmail.com</t>
  </si>
  <si>
    <t>4139</t>
  </si>
  <si>
    <t>11sxwaxBSdhfX8XnHrWx4D-jvPkZc_JDQ</t>
  </si>
  <si>
    <t>https://drive.google.com/file/d/11sxwaxBSdhfX8XnHrWx4D-jvPkZc_JDQ/view?usp=drivesdk</t>
  </si>
  <si>
    <t>HERI SUBEKTI, A.MD. KEP</t>
  </si>
  <si>
    <t>ryesiregar@gmail.com</t>
  </si>
  <si>
    <t>4140</t>
  </si>
  <si>
    <t>1NUuoMlqWPPl759BY0As56HVxGtPSh-gz</t>
  </si>
  <si>
    <t>https://drive.google.com/file/d/1NUuoMlqWPPl759BY0As56HVxGtPSh-gz/view?usp=drivesdk</t>
  </si>
  <si>
    <t>PATONI</t>
  </si>
  <si>
    <t>patoniyudhistira76@gmail.com</t>
  </si>
  <si>
    <t>4141</t>
  </si>
  <si>
    <t>https://drive.google.com/file/d/1B5agQyMf6SQFLDD0Gnuo8aG60rMCTzwa/view?usp=drivesdk</t>
  </si>
  <si>
    <t>1B5agQyMf6SQFLDD0Gnuo8aG60rMCTzwa</t>
  </si>
  <si>
    <t>1AfQRli_0HgiRLetZx2qFIn-09VWTBtB4</t>
  </si>
  <si>
    <t>https://drive.google.com/file/d/1AfQRli_0HgiRLetZx2qFIn-09VWTBtB4/view?usp=drivesdk</t>
  </si>
  <si>
    <t>PILAR ADI PAMUNGKAS</t>
  </si>
  <si>
    <t>pilaradip@gmail.com</t>
  </si>
  <si>
    <t>4142</t>
  </si>
  <si>
    <t>https://drive.google.com/file/d/1vIm9caVPqQxrz-2LiBs6PwdUAFqFeR9j/view?usp=drivesdk</t>
  </si>
  <si>
    <t>1vIm9caVPqQxrz-2LiBs6PwdUAFqFeR9j</t>
  </si>
  <si>
    <t>1sJLwfnBQfiRsz1c7CgT1fw3Z9R83htn9</t>
  </si>
  <si>
    <t>https://drive.google.com/file/d/1sJLwfnBQfiRsz1c7CgT1fw3Z9R83htn9/view?usp=drivesdk</t>
  </si>
  <si>
    <t>Document successfully created; Document successfully merged; PDF created; !!Error Sending Emails: Service invoked too many times for one day: email.; Manually run by ecertificate75@gmail.com; Timestamp: Sep 2 2024 6:41 AM</t>
  </si>
  <si>
    <t>EDI PITRIADi</t>
  </si>
  <si>
    <t>pitriadi@gmail.com</t>
  </si>
  <si>
    <t>4143</t>
  </si>
  <si>
    <t>https://drive.google.com/file/d/1JubeCy4sPTkvPdUleZcFIUIMKEr2mis5/view?usp=drivesdk</t>
  </si>
  <si>
    <t>1JubeCy4sPTkvPdUleZcFIUIMKEr2mis5</t>
  </si>
  <si>
    <t>1ld9jM7J5M5drmoW2ZmvCe7g8FyBa7Ib4</t>
  </si>
  <si>
    <t>https://drive.google.com/file/d/1ld9jM7J5M5drmoW2ZmvCe7g8FyBa7Ib4/view?usp=drivesdk</t>
  </si>
  <si>
    <t>MARTINI</t>
  </si>
  <si>
    <t>martinikin862@gmail.com</t>
  </si>
  <si>
    <t>4144</t>
  </si>
  <si>
    <t>https://drive.google.com/file/d/1CHblbJ0CRwqmnZIubHXjVGPTa-W-zIS1/view?usp=drivesdk</t>
  </si>
  <si>
    <t>1CHblbJ0CRwqmnZIubHXjVGPTa-W-zIS1</t>
  </si>
  <si>
    <t>13J24jHDvKQ6C36UDdc9_V9V-EM4JI4a9</t>
  </si>
  <si>
    <t>https://drive.google.com/file/d/13J24jHDvKQ6C36UDdc9_V9V-EM4JI4a9/view?usp=drivesdk</t>
  </si>
  <si>
    <t>JUNI SH</t>
  </si>
  <si>
    <t>junitet@gmail.com</t>
  </si>
  <si>
    <t>4145</t>
  </si>
  <si>
    <t>Starting at Thu Aug 29 2024 21:23:47 GMT-0400 (EDT)</t>
  </si>
  <si>
    <t>11XQckFWAbr_3pJf3A83EUZTAfNIitk4D</t>
  </si>
  <si>
    <t>https://drive.google.com/file/d/11XQckFWAbr_3pJf3A83EUZTAfNIitk4D/view?usp=drivesdk</t>
  </si>
  <si>
    <t>ALVIN CHANDRA IRAWAN</t>
  </si>
  <si>
    <t>alvinchandrairawan@gmail.com</t>
  </si>
  <si>
    <t>4146</t>
  </si>
  <si>
    <t>1oOkIylxHNHdch9TEVt5saPbfSB-OJdNj</t>
  </si>
  <si>
    <t>https://drive.google.com/file/d/1oOkIylxHNHdch9TEVt5saPbfSB-OJdNj/view?usp=drivesdk</t>
  </si>
  <si>
    <t>Document successfully created; Document successfully merged; PDF created; !!Error Sending Emails: Service invoked too many times for one day: email.; Manually run by ecertificate75@gmail.com; Timestamp: Sep 2 2024 6:42 AM</t>
  </si>
  <si>
    <t xml:space="preserve">RADEN CAHYA MEDIAWAN </t>
  </si>
  <si>
    <t>cahyaoki@gmail.com</t>
  </si>
  <si>
    <t>4147</t>
  </si>
  <si>
    <t>1HsPmaVRCG5jzzzn9yPPUnh1a4srXe6ZB</t>
  </si>
  <si>
    <t>https://drive.google.com/file/d/1HsPmaVRCG5jzzzn9yPPUnh1a4srXe6ZB/view?usp=drivesdk</t>
  </si>
  <si>
    <t>NI WAYAN SUWENI</t>
  </si>
  <si>
    <t>subagrenmin1@gmail.com</t>
  </si>
  <si>
    <t>4148</t>
  </si>
  <si>
    <t>https://drive.google.com/file/d/1ACMp5FebXWzacMVC2CE_IMDC_pc36yj9/view?usp=drivesdk</t>
  </si>
  <si>
    <t>1ACMp5FebXWzacMVC2CE_IMDC_pc36yj9</t>
  </si>
  <si>
    <t>1m6AKiBkSD9Jtln5o2zyJgPRV7IE6tBI9</t>
  </si>
  <si>
    <t>https://drive.google.com/file/d/1m6AKiBkSD9Jtln5o2zyJgPRV7IE6tBI9/view?usp=drivesdk</t>
  </si>
  <si>
    <t>MIRNA LOIDA</t>
  </si>
  <si>
    <t>mirnaloida.20@gmail.com</t>
  </si>
  <si>
    <t>4149</t>
  </si>
  <si>
    <t>Starting at Thu Aug 29 2024 21:23:50 GMT-0400 (EDT)</t>
  </si>
  <si>
    <t>14PuQekFLPQRs7sqSloTcw0Qg3zuSXzSs</t>
  </si>
  <si>
    <t>https://drive.google.com/file/d/14PuQekFLPQRs7sqSloTcw0Qg3zuSXzSs/view?usp=drivesdk</t>
  </si>
  <si>
    <t>CHANIF MACHRUSAH, Amd.Keb</t>
  </si>
  <si>
    <t>chanifsuyadi@gmail.com</t>
  </si>
  <si>
    <t>4150</t>
  </si>
  <si>
    <t>1dLxzAayuyWWe_DdXiwSPql7V2f4qnFdz</t>
  </si>
  <si>
    <t>https://drive.google.com/file/d/1dLxzAayuyWWe_DdXiwSPql7V2f4qnFdz/view?usp=drivesdk</t>
  </si>
  <si>
    <t>TITI.SH</t>
  </si>
  <si>
    <t>titie.soejarwo@gmail.com</t>
  </si>
  <si>
    <t>4151</t>
  </si>
  <si>
    <t>1Ru6XWry1T8Hfn4zPV-JrYWwlOPeGgm7w</t>
  </si>
  <si>
    <t>https://drive.google.com/file/d/1Ru6XWry1T8Hfn4zPV-JrYWwlOPeGgm7w/view?usp=drivesdk</t>
  </si>
  <si>
    <t>Document successfully created; Document successfully merged; PDF created; !!Error Sending Emails: Service invoked too many times for one day: email.; Manually run by ecertificate75@gmail.com; Timestamp: Sep 2 2024 6:43 AM</t>
  </si>
  <si>
    <t>NOVI OKTAVIANI, A.MD.KEP</t>
  </si>
  <si>
    <t>novioktaviani18@gmail.com</t>
  </si>
  <si>
    <t>4152</t>
  </si>
  <si>
    <t>1XpkQooB3ayP4RqlsOK3nBOAZFHc3DfSf</t>
  </si>
  <si>
    <t>https://drive.google.com/file/d/1XpkQooB3ayP4RqlsOK3nBOAZFHc3DfSf/view?usp=drivesdk</t>
  </si>
  <si>
    <t>MUHAMAD IQBAL MAULANA</t>
  </si>
  <si>
    <t>iqbalmaulana150701@gmail.com</t>
  </si>
  <si>
    <t>4153</t>
  </si>
  <si>
    <t>1dzkyjLJa3PbMUcLZ-jo3gxJXoe4UMvip</t>
  </si>
  <si>
    <t>https://drive.google.com/file/d/1dzkyjLJa3PbMUcLZ-jo3gxJXoe4UMvip/view?usp=drivesdk</t>
  </si>
  <si>
    <t>DITA EKA PUTRI HADI, ST.</t>
  </si>
  <si>
    <t>dhyta12@gmail.com</t>
  </si>
  <si>
    <t>4154</t>
  </si>
  <si>
    <t>1T_VkvFjomPFBj6aQV40_fgNoUoAJp_8i</t>
  </si>
  <si>
    <t>https://drive.google.com/file/d/1T_VkvFjomPFBj6aQV40_fgNoUoAJp_8i/view?usp=drivesdk</t>
  </si>
  <si>
    <t>ENDANG KUSUMAWATI</t>
  </si>
  <si>
    <t>endangkusumawatirsb@gmail.com</t>
  </si>
  <si>
    <t>4155</t>
  </si>
  <si>
    <t>1ExoXC_Et9b2NKxNA_w2yIi9d2YrPCGcS</t>
  </si>
  <si>
    <t>https://drive.google.com/file/d/1ExoXC_Et9b2NKxNA_w2yIi9d2YrPCGcS/view?usp=drivesdk</t>
  </si>
  <si>
    <t>AHMAD MULYANA</t>
  </si>
  <si>
    <t>ahmadmulyana2668@gmail.com</t>
  </si>
  <si>
    <t>4156</t>
  </si>
  <si>
    <t>1lda-qKY9F2_rpRJapDt9vThvsjzUfE10</t>
  </si>
  <si>
    <t>https://drive.google.com/file/d/1lda-qKY9F2_rpRJapDt9vThvsjzUfE10/view?usp=drivesdk</t>
  </si>
  <si>
    <t>Document successfully created; Document successfully merged; PDF created; !!Error Sending Emails: Service invoked too many times for one day: email.; Manually run by ecertificate75@gmail.com; Timestamp: Sep 2 2024 6:44 AM</t>
  </si>
  <si>
    <t>DARMA SITINJAK</t>
  </si>
  <si>
    <t>darmasitinjak@gmail.com</t>
  </si>
  <si>
    <t>4157</t>
  </si>
  <si>
    <t>1J7iRshqaI5pTsfY8uTIhqGYh8dlBNZYp</t>
  </si>
  <si>
    <t>https://drive.google.com/file/d/1J7iRshqaI5pTsfY8uTIhqGYh8dlBNZYp/view?usp=drivesdk</t>
  </si>
  <si>
    <t>ZUANA DEBORA BR. HOMBING</t>
  </si>
  <si>
    <t>zuannadebora70@gmail.com</t>
  </si>
  <si>
    <t>4158</t>
  </si>
  <si>
    <t>1FFElbr852hHg-ZZWqL8mySd16cm1n3fu</t>
  </si>
  <si>
    <t>https://drive.google.com/file/d/1FFElbr852hHg-ZZWqL8mySd16cm1n3fu/view?usp=drivesdk</t>
  </si>
  <si>
    <t>YULIS UTAMININGSIH,AMdKeb</t>
  </si>
  <si>
    <t>yulisutaminingsih@gmail.com</t>
  </si>
  <si>
    <t>4159</t>
  </si>
  <si>
    <t>1c5daoseCu2KdKV5k9zkjeYAx8raEuHvy</t>
  </si>
  <si>
    <t>https://drive.google.com/file/d/1c5daoseCu2KdKV5k9zkjeYAx8raEuHvy/view?usp=drivesdk</t>
  </si>
  <si>
    <t>drg. MISRA HANUM, M.K.M</t>
  </si>
  <si>
    <t>misrasward@gmail.com</t>
  </si>
  <si>
    <t>4160</t>
  </si>
  <si>
    <t>https://drive.google.com/file/d/1jYCHKPZXG_h4xYfQxFVgF0wI8c1E-9fC/view?usp=drivesdk</t>
  </si>
  <si>
    <t>1jYCHKPZXG_h4xYfQxFVgF0wI8c1E-9fC</t>
  </si>
  <si>
    <t>1JjxhxjakWg9KX-PnpP9sRa2ebijLO_5W</t>
  </si>
  <si>
    <t>https://drive.google.com/file/d/1JjxhxjakWg9KX-PnpP9sRa2ebijLO_5W/view?usp=drivesdk</t>
  </si>
  <si>
    <t>TITI SOFIANI</t>
  </si>
  <si>
    <t>titi.sofiani01@gmail.com</t>
  </si>
  <si>
    <t>4161</t>
  </si>
  <si>
    <t>https://drive.google.com/file/d/1fPDPik7eXURLg1eIF2kKxKyfI4qbTaj4/view?usp=drivesdk</t>
  </si>
  <si>
    <t>1fPDPik7eXURLg1eIF2kKxKyfI4qbTaj4</t>
  </si>
  <si>
    <t>14UeHk3Me8E0ZHXFiLtJdWdcIaqSeJ094</t>
  </si>
  <si>
    <t>https://drive.google.com/file/d/14UeHk3Me8E0ZHXFiLtJdWdcIaqSeJ094/view?usp=drivesdk</t>
  </si>
  <si>
    <t>Document successfully created; Document successfully merged; PDF created; !!Error Sending Emails: Service invoked too many times for one day: email.; Manually run by ecertificate75@gmail.com; Timestamp: Sep 2 2024 6:45 AM</t>
  </si>
  <si>
    <t>RAMINI</t>
  </si>
  <si>
    <t>ranypml024@gmail.com</t>
  </si>
  <si>
    <t>4162</t>
  </si>
  <si>
    <t>https://drive.google.com/file/d/1V9oMXFzaqS4XnY2X8IgjZWhwFx7TbT76/view?usp=drivesdk</t>
  </si>
  <si>
    <t>1V9oMXFzaqS4XnY2X8IgjZWhwFx7TbT76</t>
  </si>
  <si>
    <t>1TewpBsUponwYWe31LUNjBGPVhdwtWJUU</t>
  </si>
  <si>
    <t>https://drive.google.com/file/d/1TewpBsUponwYWe31LUNjBGPVhdwtWJUU/view?usp=drivesdk</t>
  </si>
  <si>
    <t>MULYATI, A.Md.Kep</t>
  </si>
  <si>
    <t>mulyatiambomasse@gmail.com</t>
  </si>
  <si>
    <t>4163</t>
  </si>
  <si>
    <t>https://drive.google.com/file/d/15X1vj4XD-LXOTbLNuzaRFG54iyK_6eN3/view?usp=drivesdk</t>
  </si>
  <si>
    <t>15X1vj4XD-LXOTbLNuzaRFG54iyK_6eN3</t>
  </si>
  <si>
    <t>1bCYHc3fvn0BIRGZxMaYQioB1MW4hK9xv</t>
  </si>
  <si>
    <t>https://drive.google.com/file/d/1bCYHc3fvn0BIRGZxMaYQioB1MW4hK9xv/view?usp=drivesdk</t>
  </si>
  <si>
    <t>WARAS AL ISMIANTO, S.E.</t>
  </si>
  <si>
    <t>ismiantonganjuk@gmail.com</t>
  </si>
  <si>
    <t>4164</t>
  </si>
  <si>
    <t>https://drive.google.com/file/d/1fIfzj-DSNxgCVeOrliKnojuGteaLKXMG/view?usp=drivesdk</t>
  </si>
  <si>
    <t>1fIfzj-DSNxgCVeOrliKnojuGteaLKXMG</t>
  </si>
  <si>
    <t>1dcnc4Yl0DSVeS64FE1mJDYKxVN7OVvHa</t>
  </si>
  <si>
    <t>https://drive.google.com/file/d/1dcnc4Yl0DSVeS64FE1mJDYKxVN7OVvHa/view?usp=drivesdk</t>
  </si>
  <si>
    <t>ZELVI ZASMITA S.Kep.,Ns</t>
  </si>
  <si>
    <t>zelvi.zasmita@gmail.com</t>
  </si>
  <si>
    <t>4165</t>
  </si>
  <si>
    <t>https://drive.google.com/file/d/1Zm0P9kQUDkjkUMNguRX-SNAvZLX1No5R/view?usp=drivesdk</t>
  </si>
  <si>
    <t>1Zm0P9kQUDkjkUMNguRX-SNAvZLX1No5R</t>
  </si>
  <si>
    <t>1HQM7JyPxt54mrswaDBh9NS52qnl9YTVF</t>
  </si>
  <si>
    <t>https://drive.google.com/file/d/1HQM7JyPxt54mrswaDBh9NS52qnl9YTVF/view?usp=drivesdk</t>
  </si>
  <si>
    <t>Document successfully created; Document successfully merged; PDF created; !!Error Sending Emails: Service invoked too many times for one day: email.; Manually run by ecertificate75@gmail.com; Timestamp: Sep 2 2024 6:46 AM</t>
  </si>
  <si>
    <t>CURIE HALIMATUS SOFIA, S.E., M.Ak</t>
  </si>
  <si>
    <t>curiesofia008@gmail.com</t>
  </si>
  <si>
    <t>4166</t>
  </si>
  <si>
    <t>https://drive.google.com/file/d/1PjPtpv2OW6c111u189kF16QzOSqmPlTR/view?usp=drivesdk</t>
  </si>
  <si>
    <t>1PjPtpv2OW6c111u189kF16QzOSqmPlTR</t>
  </si>
  <si>
    <t>1KSCEEqqZuIiDff8FNKXVyQXucPL4QHdH</t>
  </si>
  <si>
    <t>https://drive.google.com/file/d/1KSCEEqqZuIiDff8FNKXVyQXucPL4QHdH/view?usp=drivesdk</t>
  </si>
  <si>
    <t>sitiasiah98352@gmail.com</t>
  </si>
  <si>
    <t>4167</t>
  </si>
  <si>
    <t>https://drive.google.com/file/d/1JsrTIQRguqNKh7DzQ_1mNqPU0XGPt91a/view?usp=drivesdk</t>
  </si>
  <si>
    <t>1JsrTIQRguqNKh7DzQ_1mNqPU0XGPt91a</t>
  </si>
  <si>
    <t>1FfbapagkplwP0XgE7LLCDw5reLhjdYzI</t>
  </si>
  <si>
    <t>https://drive.google.com/file/d/1FfbapagkplwP0XgE7LLCDw5reLhjdYzI/view?usp=drivesdk</t>
  </si>
  <si>
    <t>RENDRA AJI KUSWORO</t>
  </si>
  <si>
    <t>rendraaji123@gmail.com</t>
  </si>
  <si>
    <t>4168</t>
  </si>
  <si>
    <t>https://drive.google.com/file/d/1ExjT-VqCqFzgISN9mEqM2igppZHmCQbQ/view?usp=drivesdk</t>
  </si>
  <si>
    <t>1ExjT-VqCqFzgISN9mEqM2igppZHmCQbQ</t>
  </si>
  <si>
    <t>1HM8gFi_5tiI1Dxgq2O7ORGiZb3zpL2sB</t>
  </si>
  <si>
    <t>https://drive.google.com/file/d/1HM8gFi_5tiI1Dxgq2O7ORGiZb3zpL2sB/view?usp=drivesdk</t>
  </si>
  <si>
    <t>WANDA APRINDO, S.H.</t>
  </si>
  <si>
    <t>wandaaprindo@gmail.com</t>
  </si>
  <si>
    <t>4169</t>
  </si>
  <si>
    <t>https://drive.google.com/file/d/1S_N-xiwhEiCeoxZRAxHnOE0N7QyQlvbo/view?usp=drivesdk</t>
  </si>
  <si>
    <t>1S_N-xiwhEiCeoxZRAxHnOE0N7QyQlvbo</t>
  </si>
  <si>
    <t>1FHYSVrA1ie4fbLjNBDbyYQSYsiKz3_ak</t>
  </si>
  <si>
    <t>https://drive.google.com/file/d/1FHYSVrA1ie4fbLjNBDbyYQSYsiKz3_ak/view?usp=drivesdk</t>
  </si>
  <si>
    <t>Document successfully created; Document successfully merged; PDF created; !!Error Sending Emails: Service invoked too many times for one day: email.; Manually run by ecertificate75@gmail.com; Timestamp: Sep 2 2024 6:47 AM</t>
  </si>
  <si>
    <t>DEBBY YULIANTY, AMK</t>
  </si>
  <si>
    <t>debbyyuliantytr@gmail.com</t>
  </si>
  <si>
    <t>4170</t>
  </si>
  <si>
    <t>https://drive.google.com/file/d/1QbJw_MFq7--oVI775qrrIpOKQJB5Z7uh/view?usp=drivesdk</t>
  </si>
  <si>
    <t>1QbJw_MFq7--oVI775qrrIpOKQJB5Z7uh</t>
  </si>
  <si>
    <t>1FGR9YyhpZv3A75vuZ8zKfVxejx0jPwx6</t>
  </si>
  <si>
    <t>https://drive.google.com/file/d/1FGR9YyhpZv3A75vuZ8zKfVxejx0jPwx6/view?usp=drivesdk</t>
  </si>
  <si>
    <t>SILVA MONITA</t>
  </si>
  <si>
    <t>silvamonita12@gmail.com</t>
  </si>
  <si>
    <t>4171</t>
  </si>
  <si>
    <t>https://drive.google.com/file/d/14dSDlYKVBbjOkrk20TkpbgPvohonXpFZ/view?usp=drivesdk</t>
  </si>
  <si>
    <t>14dSDlYKVBbjOkrk20TkpbgPvohonXpFZ</t>
  </si>
  <si>
    <t>104fps93AhP8NByEsudP9DJVfaW4g6vHq</t>
  </si>
  <si>
    <t>https://drive.google.com/file/d/104fps93AhP8NByEsudP9DJVfaW4g6vHq/view?usp=drivesdk</t>
  </si>
  <si>
    <t>AGGUSTININGTYAS DWI HARINI, S.H.</t>
  </si>
  <si>
    <t>agustiningtyas.dh@hmail.com</t>
  </si>
  <si>
    <t>4172</t>
  </si>
  <si>
    <t>https://drive.google.com/file/d/1dFOWuheHKQD2s_LGBOV6prcIl0Caf8lU/view?usp=drivesdk</t>
  </si>
  <si>
    <t>1dFOWuheHKQD2s_LGBOV6prcIl0Caf8lU</t>
  </si>
  <si>
    <t>1WChYyGJMXNP-zAM1CPTZNhhY0FY3c05Q</t>
  </si>
  <si>
    <t>https://drive.google.com/file/d/1WChYyGJMXNP-zAM1CPTZNhhY0FY3c05Q/view?usp=drivesdk</t>
  </si>
  <si>
    <t>ROSMIATI</t>
  </si>
  <si>
    <t>rosmiati.teteh@gmail.com</t>
  </si>
  <si>
    <t>4173</t>
  </si>
  <si>
    <t>https://drive.google.com/file/d/1KPec4fgjK25ZKFXrFscn-SCSGZbUq-gc/view?usp=drivesdk</t>
  </si>
  <si>
    <t>1KPec4fgjK25ZKFXrFscn-SCSGZbUq-gc</t>
  </si>
  <si>
    <t>1fAcFFaaWB1K3NDn7D-0Zj3xo7Kry7ku9</t>
  </si>
  <si>
    <t>https://drive.google.com/file/d/1fAcFFaaWB1K3NDn7D-0Zj3xo7Kry7ku9/view?usp=drivesdk</t>
  </si>
  <si>
    <t>NORVALIYANTI BR TARIGAN</t>
  </si>
  <si>
    <t>Novabagren@gmail.com</t>
  </si>
  <si>
    <t>4174</t>
  </si>
  <si>
    <t>https://drive.google.com/file/d/1Ts2FIU0ch3Sg_acHlYmQdCroZaiYwnK5/view?usp=drivesdk</t>
  </si>
  <si>
    <t>1Ts2FIU0ch3Sg_acHlYmQdCroZaiYwnK5</t>
  </si>
  <si>
    <t>16clFXIG2H1GsyfQ7dwq5n4SiL_52yuss</t>
  </si>
  <si>
    <t>https://drive.google.com/file/d/16clFXIG2H1GsyfQ7dwq5n4SiL_52yuss/view?usp=drivesdk</t>
  </si>
  <si>
    <t>Document successfully created; Document successfully merged; PDF created; !!Error Sending Emails: Service invoked too many times for one day: email.; Manually run by ecertificate75@gmail.com; Timestamp: Sep 2 2024 6:48 AM</t>
  </si>
  <si>
    <t>KHUSNUL WARDAYATI</t>
  </si>
  <si>
    <t>khusnulwardayati@gmail.com</t>
  </si>
  <si>
    <t>4175</t>
  </si>
  <si>
    <t>Starting at Thu Aug 29 2024 21:23:59 GMT-0400 (EDT)</t>
  </si>
  <si>
    <t>1VTU_XNrwNx4WcmH0ttY8p7sFglvlxWeC</t>
  </si>
  <si>
    <t>https://drive.google.com/file/d/1VTU_XNrwNx4WcmH0ttY8p7sFglvlxWeC/view?usp=drivesdk</t>
  </si>
  <si>
    <t>4176</t>
  </si>
  <si>
    <t>Starting at Thu Aug 29 2024 21:24:07 GMT-0400 (EDT)</t>
  </si>
  <si>
    <t>15elkWoDhBvSp26hGfhHRDhazJRQzBJt7</t>
  </si>
  <si>
    <t>https://drive.google.com/file/d/15elkWoDhBvSp26hGfhHRDhazJRQzBJt7/view?usp=drivesdk</t>
  </si>
  <si>
    <t>EKO WIDODO</t>
  </si>
  <si>
    <t>ekowidodo18650@gmail.com</t>
  </si>
  <si>
    <t>4177</t>
  </si>
  <si>
    <t>1Wf-EaLoZi0FGvD_KitWccIq7a8HEfh7v</t>
  </si>
  <si>
    <t>https://drive.google.com/file/d/1Wf-EaLoZi0FGvD_KitWccIq7a8HEfh7v/view?usp=drivesdk</t>
  </si>
  <si>
    <t>NARDATI</t>
  </si>
  <si>
    <t>nardatiwati@gmail.com</t>
  </si>
  <si>
    <t>4178</t>
  </si>
  <si>
    <t>17njq8X_q0ByjyBeLw-c4Xh1HQCrS9zx-</t>
  </si>
  <si>
    <t>https://drive.google.com/file/d/17njq8X_q0ByjyBeLw-c4Xh1HQCrS9zx-/view?usp=drivesdk</t>
  </si>
  <si>
    <t>YULIANI SARIWATY SIREGAR, S.KOM., M.Tr.A.P.</t>
  </si>
  <si>
    <t>garbis08@gmail.com</t>
  </si>
  <si>
    <t>4179</t>
  </si>
  <si>
    <t>1IRaZETHjA_Bj-AuN061mL48Sou3k6Uiv</t>
  </si>
  <si>
    <t>https://drive.google.com/file/d/1IRaZETHjA_Bj-AuN061mL48Sou3k6Uiv/view?usp=drivesdk</t>
  </si>
  <si>
    <t>Document successfully created; Document successfully merged; PDF created; !!Error Sending Emails: Service invoked too many times for one day: email.; Manually run by ecertificate75@gmail.com; Timestamp: Sep 2 2024 6:49 AM</t>
  </si>
  <si>
    <t>IMANUDDIN ST</t>
  </si>
  <si>
    <t>mandinptk@gmail.com</t>
  </si>
  <si>
    <t>4180</t>
  </si>
  <si>
    <t>1Q0tbVVGIZ83Vl8yq37bTwh6nh8Rm4FSN</t>
  </si>
  <si>
    <t>https://drive.google.com/file/d/1Q0tbVVGIZ83Vl8yq37bTwh6nh8Rm4FSN/view?usp=drivesdk</t>
  </si>
  <si>
    <t>JUBAIDAH</t>
  </si>
  <si>
    <t>idajubaidah715@gmail.com</t>
  </si>
  <si>
    <t>4181</t>
  </si>
  <si>
    <t>12atWxio_tR_vqZuDi-mdFmbbs-85aJKZ</t>
  </si>
  <si>
    <t>https://drive.google.com/file/d/12atWxio_tR_vqZuDi-mdFmbbs-85aJKZ/view?usp=drivesdk</t>
  </si>
  <si>
    <t>IRIYANI</t>
  </si>
  <si>
    <t>yaniiriyani82@gmail.com</t>
  </si>
  <si>
    <t>4182</t>
  </si>
  <si>
    <t>1zjfbBqJ1Fc1hfvgWF6jxkpWwdJL4p9m-</t>
  </si>
  <si>
    <t>https://drive.google.com/file/d/1zjfbBqJ1Fc1hfvgWF6jxkpWwdJL4p9m-/view?usp=drivesdk</t>
  </si>
  <si>
    <t>DEDEN BAYU SAPUTRA, S.Gz.</t>
  </si>
  <si>
    <t>dedenbayu1707@gmail.com</t>
  </si>
  <si>
    <t>4183</t>
  </si>
  <si>
    <t>1r6_zVJLYKUA_xupeE5ORsQqxGYoA8qRH</t>
  </si>
  <si>
    <t>https://drive.google.com/file/d/1r6_zVJLYKUA_xupeE5ORsQqxGYoA8qRH/view?usp=drivesdk</t>
  </si>
  <si>
    <t>SUBAGIYO, SE</t>
  </si>
  <si>
    <t>bagyo354@gmail.com</t>
  </si>
  <si>
    <t>4184</t>
  </si>
  <si>
    <t>1IwwZ5iJgQ0JpOSqVrEW4Dqzw17rfsFRe</t>
  </si>
  <si>
    <t>https://drive.google.com/file/d/1IwwZ5iJgQ0JpOSqVrEW4Dqzw17rfsFRe/view?usp=drivesdk</t>
  </si>
  <si>
    <t>Document successfully created; Document successfully merged; PDF created; !!Error Sending Emails: Service invoked too many times for one day: email.; Manually run by ecertificate75@gmail.com; Timestamp: Sep 2 2024 6:50 AM</t>
  </si>
  <si>
    <t>sumadispn@gmail.com</t>
  </si>
  <si>
    <t>4185</t>
  </si>
  <si>
    <t>1Kuf7kM8zVjPR6DFnhDNfQ1kuqwTp9eVd</t>
  </si>
  <si>
    <t>https://drive.google.com/file/d/1Kuf7kM8zVjPR6DFnhDNfQ1kuqwTp9eVd/view?usp=drivesdk</t>
  </si>
  <si>
    <t>DEWI WAHYUNI, A. Md</t>
  </si>
  <si>
    <t>dewinsupriatna250619@gmail.com</t>
  </si>
  <si>
    <t>4186</t>
  </si>
  <si>
    <t>1srWuhkk1CpXcyhjDhpDMQlxvUcvNhbUy</t>
  </si>
  <si>
    <t>https://drive.google.com/file/d/1srWuhkk1CpXcyhjDhpDMQlxvUcvNhbUy/view?usp=drivesdk</t>
  </si>
  <si>
    <t>ALVIN ANDRIAN</t>
  </si>
  <si>
    <t>andrikka1804@gmail.com</t>
  </si>
  <si>
    <t>4187</t>
  </si>
  <si>
    <t>1rlaacIHsY1MSFHRHYkPWCnlARXOaITLw</t>
  </si>
  <si>
    <t>https://drive.google.com/file/d/1rlaacIHsY1MSFHRHYkPWCnlARXOaITLw/view?usp=drivesdk</t>
  </si>
  <si>
    <t>SUWARTIK</t>
  </si>
  <si>
    <t>oa5090435@gmail.com</t>
  </si>
  <si>
    <t>4188</t>
  </si>
  <si>
    <t>1f5JiKa1qULqWvu7Lhd0-yCggvLJZT-Pe</t>
  </si>
  <si>
    <t>https://drive.google.com/file/d/1f5JiKa1qULqWvu7Lhd0-yCggvLJZT-Pe/view?usp=drivesdk</t>
  </si>
  <si>
    <t>Document successfully created; Document successfully merged; PDF created; !!Error Sending Emails: Service invoked too many times for one day: email.; Manually run by ecertificate75@gmail.com; Timestamp: Sep 2 2024 6:51 AM</t>
  </si>
  <si>
    <t>DWI HARTANTO</t>
  </si>
  <si>
    <t>dwihartanto409@gmail.com</t>
  </si>
  <si>
    <t>4189</t>
  </si>
  <si>
    <t>1ywMQoI5Pq6ManjWH1rQgWEcUq2hvr15a</t>
  </si>
  <si>
    <t>https://drive.google.com/file/d/1ywMQoI5Pq6ManjWH1rQgWEcUq2hvr15a/view?usp=drivesdk</t>
  </si>
  <si>
    <t>SOIM ASNAWI, S.H.</t>
  </si>
  <si>
    <t>soimasnawi77@gmail.com</t>
  </si>
  <si>
    <t>4190</t>
  </si>
  <si>
    <t>1so8OCJ-_FugZc35UNigP-uY32QLmQc2X</t>
  </si>
  <si>
    <t>https://drive.google.com/file/d/1so8OCJ-_FugZc35UNigP-uY32QLmQc2X/view?usp=drivesdk</t>
  </si>
  <si>
    <t>AMI NOVIANA PANGKONG</t>
  </si>
  <si>
    <t>ami.noviana@gmail.com</t>
  </si>
  <si>
    <t>4191</t>
  </si>
  <si>
    <t>1AZBWTMIi3RsymUyBk8cX8WWMNm2Jlf8S</t>
  </si>
  <si>
    <t>https://drive.google.com/file/d/1AZBWTMIi3RsymUyBk8cX8WWMNm2Jlf8S/view?usp=drivesdk</t>
  </si>
  <si>
    <t>4192</t>
  </si>
  <si>
    <t>1gka5_tCI6icGgZdMx9DuTtQlbwk7B8U0</t>
  </si>
  <si>
    <t>https://drive.google.com/file/d/1gka5_tCI6icGgZdMx9DuTtQlbwk7B8U0/view?usp=drivesdk</t>
  </si>
  <si>
    <t>Document successfully created; Document successfully merged; PDF created; !!Error Sending Emails: Service invoked too many times for one day: email.; Manually run by ecertificate75@gmail.com; Timestamp: Sep 2 2024 6:52 AM</t>
  </si>
  <si>
    <t>NURTOYIB, S.H.</t>
  </si>
  <si>
    <t>nurtoyib77@gmail.con</t>
  </si>
  <si>
    <t>4193</t>
  </si>
  <si>
    <t>1o19QMSUOTaO5-EGU1fDhRNJ8iA6Tww-m</t>
  </si>
  <si>
    <t>https://drive.google.com/file/d/1o19QMSUOTaO5-EGU1fDhRNJ8iA6Tww-m/view?usp=drivesdk</t>
  </si>
  <si>
    <t xml:space="preserve">HARYONO </t>
  </si>
  <si>
    <t>Rajaharyono9@gmail.com</t>
  </si>
  <si>
    <t>4194</t>
  </si>
  <si>
    <t>1Qqtwcs9hpMY3hAs2auH5IdyX1xKDxjf_</t>
  </si>
  <si>
    <t>https://drive.google.com/file/d/1Qqtwcs9hpMY3hAs2auH5IdyX1xKDxjf_/view?usp=drivesdk</t>
  </si>
  <si>
    <t>SITI MARDIYAH</t>
  </si>
  <si>
    <t>mardiyahsiti471@gmail.com</t>
  </si>
  <si>
    <t>4195</t>
  </si>
  <si>
    <t>1vHT6BRli4e6tXH9B_gx3at_FKHcEnLX-</t>
  </si>
  <si>
    <t>https://drive.google.com/file/d/1vHT6BRli4e6tXH9B_gx3at_FKHcEnLX-/view?usp=drivesdk</t>
  </si>
  <si>
    <t>DIANASARI. S.Kom, M.Si</t>
  </si>
  <si>
    <t>akoe.diana82@gmail.com</t>
  </si>
  <si>
    <t>4196</t>
  </si>
  <si>
    <t>1XUSo7zOQvVrZPFaYGOgbixhDjaajk_Dy</t>
  </si>
  <si>
    <t>https://drive.google.com/file/d/1XUSo7zOQvVrZPFaYGOgbixhDjaajk_Dy/view?usp=drivesdk</t>
  </si>
  <si>
    <t>dr. REBEKA DESRIANI RADJA</t>
  </si>
  <si>
    <t>rebeka.radja@gmail.com</t>
  </si>
  <si>
    <t>4197</t>
  </si>
  <si>
    <t>1vW7_hsgoXkQRF-JTOvDPa1s_dQW1KUqj</t>
  </si>
  <si>
    <t>https://drive.google.com/file/d/1vW7_hsgoXkQRF-JTOvDPa1s_dQW1KUqj/view?usp=drivesdk</t>
  </si>
  <si>
    <t>Document successfully created; Document successfully merged; PDF created; !!Error Sending Emails: Service invoked too many times for one day: email.; Manually run by ecertificate75@gmail.com; Timestamp: Sep 2 2024 6:53 AM</t>
  </si>
  <si>
    <t>ABDUl JALiL</t>
  </si>
  <si>
    <t>abdulhamidrozanah@mail.com</t>
  </si>
  <si>
    <t>4198</t>
  </si>
  <si>
    <t>https://drive.google.com/file/d/1V-RlqvnjuOlGTzdyMwHPE1YQ-3VySPMx/view?usp=drivesdk</t>
  </si>
  <si>
    <t>1V-RlqvnjuOlGTzdyMwHPE1YQ-3VySPMx</t>
  </si>
  <si>
    <t>1lyZzq3twS6qBQu14LL5NK4fr0QJIc7YA</t>
  </si>
  <si>
    <t>https://drive.google.com/file/d/1lyZzq3twS6qBQu14LL5NK4fr0QJIc7YA/view?usp=drivesdk</t>
  </si>
  <si>
    <t>Siangga Wirapasi Buana</t>
  </si>
  <si>
    <t>findasiong@gmail.com</t>
  </si>
  <si>
    <t>4199</t>
  </si>
  <si>
    <t>https://drive.google.com/file/d/1NmnE_A_zbyDFyjMlfhZSeO-BJGqpFm0J/view?usp=drivesdk</t>
  </si>
  <si>
    <t>1NmnE_A_zbyDFyjMlfhZSeO-BJGqpFm0J</t>
  </si>
  <si>
    <t>1RDtQPt5XJDDa7ZqbU1HCkHiq6nPVfnMh</t>
  </si>
  <si>
    <t>https://drive.google.com/file/d/1RDtQPt5XJDDa7ZqbU1HCkHiq6nPVfnMh/view?usp=drivesdk</t>
  </si>
  <si>
    <t>BUDIYANTO</t>
  </si>
  <si>
    <t>budiraihan1970@gmail.com</t>
  </si>
  <si>
    <t>4200</t>
  </si>
  <si>
    <t>https://drive.google.com/file/d/1-VUHHirePeb_ar6QZRZ3rY999Z05IEEU/view?usp=drivesdk</t>
  </si>
  <si>
    <t>1-VUHHirePeb_ar6QZRZ3rY999Z05IEEU</t>
  </si>
  <si>
    <t>1vva2c0LFFGd_El4iQ9gtSoC43gIcY7FP</t>
  </si>
  <si>
    <t>https://drive.google.com/file/d/1vva2c0LFFGd_El4iQ9gtSoC43gIcY7FP/view?usp=drivesdk</t>
  </si>
  <si>
    <t>MOKH SALEH</t>
  </si>
  <si>
    <t>100767@gmail.com</t>
  </si>
  <si>
    <t>4201</t>
  </si>
  <si>
    <t>https://drive.google.com/file/d/14Cf6knXobAAkmZEFwCkfXSUVZjEW8TOm/view?usp=drivesdk</t>
  </si>
  <si>
    <t>14Cf6knXobAAkmZEFwCkfXSUVZjEW8TOm</t>
  </si>
  <si>
    <t>1Aky6_ybY7P33lmN6z1zgFNugXkLRqrTe</t>
  </si>
  <si>
    <t>https://drive.google.com/file/d/1Aky6_ybY7P33lmN6z1zgFNugXkLRqrTe/view?usp=drivesdk</t>
  </si>
  <si>
    <t>MOCHAMAD CHOMSIN</t>
  </si>
  <si>
    <t>mochamadchomsin0@gmail.com</t>
  </si>
  <si>
    <t>4202</t>
  </si>
  <si>
    <t>https://drive.google.com/file/d/1BooB-izGZOOtmaxWutoACwy6himUsZQT/view?usp=drivesdk</t>
  </si>
  <si>
    <t>1BooB-izGZOOtmaxWutoACwy6himUsZQT</t>
  </si>
  <si>
    <t>1RNLdQSNp8Xe3DyytytErJTGeXQpFcPx1</t>
  </si>
  <si>
    <t>https://drive.google.com/file/d/1RNLdQSNp8Xe3DyytytErJTGeXQpFcPx1/view?usp=drivesdk</t>
  </si>
  <si>
    <t>Document successfully created; Document successfully merged; PDF created; !!Error Sending Emails: Service invoked too many times for one day: email.; Manually run by ecertificate75@gmail.com; Timestamp: Sep 2 2024 6:54 AM</t>
  </si>
  <si>
    <t xml:space="preserve">SAMSUDDIN </t>
  </si>
  <si>
    <t>somesuddin1972@gmail.com</t>
  </si>
  <si>
    <t>4203</t>
  </si>
  <si>
    <t>https://drive.google.com/file/d/1GFQWetifeqtono55JeJqQfkaGsNVCVeG/view?usp=drivesdk</t>
  </si>
  <si>
    <t>1GFQWetifeqtono55JeJqQfkaGsNVCVeG</t>
  </si>
  <si>
    <t>1SKvOTL2Hqt3fGUMgvNc4eXjh6gYsN-oI</t>
  </si>
  <si>
    <t>https://drive.google.com/file/d/1SKvOTL2Hqt3fGUMgvNc4eXjh6gYsN-oI/view?usp=drivesdk</t>
  </si>
  <si>
    <t>NURKESI</t>
  </si>
  <si>
    <t>nurkesi10@gmail.com</t>
  </si>
  <si>
    <t>4204</t>
  </si>
  <si>
    <t>https://drive.google.com/file/d/1fYP6cS52Ty-0eK4_mdqPvZ6OsbJeswSw/view?usp=drivesdk</t>
  </si>
  <si>
    <t>1fYP6cS52Ty-0eK4_mdqPvZ6OsbJeswSw</t>
  </si>
  <si>
    <t>1eQn7hmQlaK8YjCmdVuvQ78qCGFICSPUI</t>
  </si>
  <si>
    <t>https://drive.google.com/file/d/1eQn7hmQlaK8YjCmdVuvQ78qCGFICSPUI/view?usp=drivesdk</t>
  </si>
  <si>
    <t>TRI HANDOKO</t>
  </si>
  <si>
    <t>trihandoko1967@gmail.com</t>
  </si>
  <si>
    <t>4205</t>
  </si>
  <si>
    <t>https://drive.google.com/file/d/1rC99Y-sOXAOTvK1Oecg8zOSsbZTGUeSB/view?usp=drivesdk</t>
  </si>
  <si>
    <t>1rC99Y-sOXAOTvK1Oecg8zOSsbZTGUeSB</t>
  </si>
  <si>
    <t>1zig-lmJVOTmstATHXnt1ijsgZVVqdoBU</t>
  </si>
  <si>
    <t>https://drive.google.com/file/d/1zig-lmJVOTmstATHXnt1ijsgZVVqdoBU/view?usp=drivesdk</t>
  </si>
  <si>
    <t>MOCH HARIS</t>
  </si>
  <si>
    <t>harisris2208@gmail.com</t>
  </si>
  <si>
    <t>4206</t>
  </si>
  <si>
    <t>https://drive.google.com/file/d/1L9LW_3qtsmWdH4sqqrerzyIgOD3lnXwe/view?usp=drivesdk</t>
  </si>
  <si>
    <t>1L9LW_3qtsmWdH4sqqrerzyIgOD3lnXwe</t>
  </si>
  <si>
    <t>1yZhtjhakWI1jRPH5rc0kwtT2E7iW5LYC</t>
  </si>
  <si>
    <t>https://drive.google.com/file/d/1yZhtjhakWI1jRPH5rc0kwtT2E7iW5LYC/view?usp=drivesdk</t>
  </si>
  <si>
    <t>SRI HARYADI, SPd</t>
  </si>
  <si>
    <t>sriharyadi1975@gmail.com</t>
  </si>
  <si>
    <t>4207</t>
  </si>
  <si>
    <t>https://drive.google.com/file/d/1sGJTYuDx3Si1pqbRAbGxS7CLS7TviwSO/view?usp=drivesdk</t>
  </si>
  <si>
    <t>1sGJTYuDx3Si1pqbRAbGxS7CLS7TviwSO</t>
  </si>
  <si>
    <t>18qRtjrpzPBTuz8teK3StXqPRDL8ANC3R</t>
  </si>
  <si>
    <t>https://drive.google.com/file/d/18qRtjrpzPBTuz8teK3StXqPRDL8ANC3R/view?usp=drivesdk</t>
  </si>
  <si>
    <t>Document successfully created; Document successfully merged; PDF created; !!Error Sending Emails: Service invoked too many times for one day: email.; Manually run by ecertificate75@gmail.com; Timestamp: Sep 2 2024 6:55 AM</t>
  </si>
  <si>
    <t>Adianta Ginting, SH</t>
  </si>
  <si>
    <t>adiantaginting@gmail.com</t>
  </si>
  <si>
    <t>4208</t>
  </si>
  <si>
    <t>Starting at Thu Aug 29 2024 21:24:18 GMT-0400 (EDT)</t>
  </si>
  <si>
    <t>11CMf67sBRbGJUJ3pAm6NcylVJi2w5p3O</t>
  </si>
  <si>
    <t>https://drive.google.com/file/d/11CMf67sBRbGJUJ3pAm6NcylVJi2w5p3O/view?usp=drivesdk</t>
  </si>
  <si>
    <t>SOSNITA</t>
  </si>
  <si>
    <t>sosnita18@gmail.com</t>
  </si>
  <si>
    <t>4209</t>
  </si>
  <si>
    <t>1O5jcJwWLiymCgw8qOV-EUdd3jR92sYrz</t>
  </si>
  <si>
    <t>https://drive.google.com/file/d/1O5jcJwWLiymCgw8qOV-EUdd3jR92sYrz/view?usp=drivesdk</t>
  </si>
  <si>
    <t>YUNDARWATI</t>
  </si>
  <si>
    <t>yundarwati.id@gmail.com</t>
  </si>
  <si>
    <t>4210</t>
  </si>
  <si>
    <t>13bpuVC3hoYHwuFuYQ0lA4-PoyGmC8zGw</t>
  </si>
  <si>
    <t>https://drive.google.com/file/d/13bpuVC3hoYHwuFuYQ0lA4-PoyGmC8zGw/view?usp=drivesdk</t>
  </si>
  <si>
    <t>SANDRA AYU MELINA, S.SI</t>
  </si>
  <si>
    <t>pingunayu01@gmail.com</t>
  </si>
  <si>
    <t>4211</t>
  </si>
  <si>
    <t>1Z_OCrIFt9WPNJMbIgjGu8VGld0p6zhhX</t>
  </si>
  <si>
    <t>https://drive.google.com/file/d/1Z_OCrIFt9WPNJMbIgjGu8VGld0p6zhhX/view?usp=drivesdk</t>
  </si>
  <si>
    <t>Document successfully created; Document successfully merged; PDF created; !!Error Sending Emails: Service invoked too many times for one day: email.; Manually run by ecertificate75@gmail.com; Timestamp: Sep 2 2024 6:56 AM</t>
  </si>
  <si>
    <t>ABDUL SUWADY</t>
  </si>
  <si>
    <t>suwadyloan.1010@gmail.com</t>
  </si>
  <si>
    <t>4212</t>
  </si>
  <si>
    <t>11GUZBqauKWT7JcveaehD19Uc70AykBif</t>
  </si>
  <si>
    <t>https://drive.google.com/file/d/11GUZBqauKWT7JcveaehD19Uc70AykBif/view?usp=drivesdk</t>
  </si>
  <si>
    <t>RAHMAT</t>
  </si>
  <si>
    <t>rahmatomat1971@gmail.com</t>
  </si>
  <si>
    <t>4213</t>
  </si>
  <si>
    <t>1NWkGcfIuPRKh17Hwuqwlmlwo9kv17Gfw</t>
  </si>
  <si>
    <t>https://drive.google.com/file/d/1NWkGcfIuPRKh17Hwuqwlmlwo9kv17Gfw/view?usp=drivesdk</t>
  </si>
  <si>
    <t>NOVITA PUTRI UTAMI, A.Md., Kep</t>
  </si>
  <si>
    <t>novie3448@gmail.com</t>
  </si>
  <si>
    <t>4214</t>
  </si>
  <si>
    <t>https://drive.google.com/file/d/10VWcKXtYueUucw2p0aHwZ6T8ki-DiaJV/view?usp=drivesdk</t>
  </si>
  <si>
    <t>10VWcKXtYueUucw2p0aHwZ6T8ki-DiaJV</t>
  </si>
  <si>
    <t>1iJBD0-6FnPFA3G_M0a7136iFFyf1oI-R</t>
  </si>
  <si>
    <t>https://drive.google.com/file/d/1iJBD0-6FnPFA3G_M0a7136iFFyf1oI-R/view?usp=drivesdk</t>
  </si>
  <si>
    <t>RUSNI RUSLAN DALI</t>
  </si>
  <si>
    <t>rusnidali68@gmail.com</t>
  </si>
  <si>
    <t>4215</t>
  </si>
  <si>
    <t>https://drive.google.com/file/d/16IrUZnSRqmRPl148FwBh9upjoA4a3O8_/view?usp=drivesdk</t>
  </si>
  <si>
    <t>16IrUZnSRqmRPl148FwBh9upjoA4a3O8_</t>
  </si>
  <si>
    <t>1byxzp5_hm7wlE0sg5lfIXzQj0dc_U2kC</t>
  </si>
  <si>
    <t>https://drive.google.com/file/d/1byxzp5_hm7wlE0sg5lfIXzQj0dc_U2kC/view?usp=drivesdk</t>
  </si>
  <si>
    <t>Document successfully created; Document successfully merged; PDF created; !!Error Sending Emails: Service invoked too many times for one day: email.; Manually run by ecertificate75@gmail.com; Timestamp: Sep 2 2024 6:57 AM</t>
  </si>
  <si>
    <t>bhoeddhiest947@gmail.com</t>
  </si>
  <si>
    <t>4216</t>
  </si>
  <si>
    <t>https://drive.google.com/file/d/1TbkaBkW85KI9v_FVntsjpaELJ-hmcnAq/view?usp=drivesdk</t>
  </si>
  <si>
    <t>1TbkaBkW85KI9v_FVntsjpaELJ-hmcnAq</t>
  </si>
  <si>
    <t>1i5BBhDaC6S30bcCDxf7zTFJr75_tfirz</t>
  </si>
  <si>
    <t>https://drive.google.com/file/d/1i5BBhDaC6S30bcCDxf7zTFJr75_tfirz/view?usp=drivesdk</t>
  </si>
  <si>
    <t>LUSI AGUSTINI, SE</t>
  </si>
  <si>
    <t>lusi170409@gmail.com</t>
  </si>
  <si>
    <t>4217</t>
  </si>
  <si>
    <t>https://drive.google.com/file/d/1WV-KijHFHRtMnrlu_CUKQzgHs-awAJ-w/view?usp=drivesdk</t>
  </si>
  <si>
    <t>1WV-KijHFHRtMnrlu_CUKQzgHs-awAJ-w</t>
  </si>
  <si>
    <t>1ZB_NLan-RJVEeEmgNYYEPxEycyGFLIr8</t>
  </si>
  <si>
    <t>https://drive.google.com/file/d/1ZB_NLan-RJVEeEmgNYYEPxEycyGFLIr8/view?usp=drivesdk</t>
  </si>
  <si>
    <t>HAPPY NAZIA, S.Pd. AUD</t>
  </si>
  <si>
    <t>happynazia0406@gmail.com</t>
  </si>
  <si>
    <t>4218</t>
  </si>
  <si>
    <t>https://drive.google.com/file/d/1rZy_yQWddM7OW504sdEpGXmZYOe9Gl1K/view?usp=drivesdk</t>
  </si>
  <si>
    <t>1rZy_yQWddM7OW504sdEpGXmZYOe9Gl1K</t>
  </si>
  <si>
    <t>1WiOQLzN49F5P14Nkmy9XD6DkU-_Q6NYe</t>
  </si>
  <si>
    <t>https://drive.google.com/file/d/1WiOQLzN49F5P14Nkmy9XD6DkU-_Q6NYe/view?usp=drivesdk</t>
  </si>
  <si>
    <t>Document successfully created; Document successfully merged; PDF created; !!Error Sending Emails: Service invoked too many times for one day: email.; Manually run by ecertificate75@gmail.com; Timestamp: Sep 2 2024 6:58 AM</t>
  </si>
  <si>
    <t>NINIK DWI ERLINA</t>
  </si>
  <si>
    <t>ninikdwierlina7@gmail.com</t>
  </si>
  <si>
    <t>4219</t>
  </si>
  <si>
    <t>https://drive.google.com/file/d/170uXcQaycfL5L5MGCkxbxsyzreo9YqI3/view?usp=drivesdk</t>
  </si>
  <si>
    <t>170uXcQaycfL5L5MGCkxbxsyzreo9YqI3</t>
  </si>
  <si>
    <t>1oG9LZCqA0dEeTswAHAz9cacbfApIVj8X</t>
  </si>
  <si>
    <t>https://drive.google.com/file/d/1oG9LZCqA0dEeTswAHAz9cacbfApIVj8X/view?usp=drivesdk</t>
  </si>
  <si>
    <t>SITI MUTMAINAH</t>
  </si>
  <si>
    <t>siti.mutmainah1708@gmail.com</t>
  </si>
  <si>
    <t>4220</t>
  </si>
  <si>
    <t>https://drive.google.com/file/d/1AjbaEr6tqbm7fg_xwkiwWphIaUwHp_45/view?usp=drivesdk</t>
  </si>
  <si>
    <t>1AjbaEr6tqbm7fg_xwkiwWphIaUwHp_45</t>
  </si>
  <si>
    <t>1ET5L5NpPgSHx8xHw-XojGIGU18r_osq3</t>
  </si>
  <si>
    <t>https://drive.google.com/file/d/1ET5L5NpPgSHx8xHw-XojGIGU18r_osq3/view?usp=drivesdk</t>
  </si>
  <si>
    <t>INDAH OKTAVIANTI</t>
  </si>
  <si>
    <t>indahoookta@gmail.com</t>
  </si>
  <si>
    <t>4221</t>
  </si>
  <si>
    <t>https://drive.google.com/file/d/1yPVxcEA8HBVrWPmMs-n09oZJWp9C88B-/view?usp=drivesdk</t>
  </si>
  <si>
    <t>1yPVxcEA8HBVrWPmMs-n09oZJWp9C88B-</t>
  </si>
  <si>
    <t>1glPv3quNGgg-rd2CMaFed_iihv7rRgwT</t>
  </si>
  <si>
    <t>https://drive.google.com/file/d/1glPv3quNGgg-rd2CMaFed_iihv7rRgwT/view?usp=drivesdk</t>
  </si>
  <si>
    <t>FATIMAH SIAHAAN SH</t>
  </si>
  <si>
    <t>fatimahsiahaan5@gmail.com</t>
  </si>
  <si>
    <t>4222</t>
  </si>
  <si>
    <t>https://drive.google.com/file/d/1zQuzQWFz1UkVukXrPWyyqjBltoJL3S9D/view?usp=drivesdk</t>
  </si>
  <si>
    <t>1zQuzQWFz1UkVukXrPWyyqjBltoJL3S9D</t>
  </si>
  <si>
    <t>1q-PS6bQGaawYphgtqxajAwAsH-GCEXTz</t>
  </si>
  <si>
    <t>https://drive.google.com/file/d/1q-PS6bQGaawYphgtqxajAwAsH-GCEXTz/view?usp=drivesdk</t>
  </si>
  <si>
    <t>Document successfully created; Document successfully merged; PDF created; !!Error Sending Emails: Service invoked too many times for one day: email.; Manually run by ecertificate75@gmail.com; Timestamp: Sep 2 2024 6:59 AM</t>
  </si>
  <si>
    <t>SASLI KUSUMA</t>
  </si>
  <si>
    <t>saslikusuma94@gmail.com</t>
  </si>
  <si>
    <t>4223</t>
  </si>
  <si>
    <t>https://drive.google.com/file/d/1Isjs3P9OO5oBJ3NJhpegFbEO8tmERr-1/view?usp=drivesdk</t>
  </si>
  <si>
    <t>1Isjs3P9OO5oBJ3NJhpegFbEO8tmERr-1</t>
  </si>
  <si>
    <t>1H8b5uRK-aXYjZ5MtXEkvXBr2AC0MLXt-</t>
  </si>
  <si>
    <t>https://drive.google.com/file/d/1H8b5uRK-aXYjZ5MtXEkvXBr2AC0MLXt-/view?usp=drivesdk</t>
  </si>
  <si>
    <t>SUAIB HIDAYAT</t>
  </si>
  <si>
    <t>suaibhidayat38@gmail.com</t>
  </si>
  <si>
    <t>4224</t>
  </si>
  <si>
    <t>Starting at Thu Aug 29 2024 21:24:26 GMT-0400 (EDT)</t>
  </si>
  <si>
    <t>136Fem_aOlisXcJKuVazh6GdCMRupTJGK</t>
  </si>
  <si>
    <t>https://drive.google.com/file/d/136Fem_aOlisXcJKuVazh6GdCMRupTJGK/view?usp=drivesdk</t>
  </si>
  <si>
    <t>SAHLAN S.SOS</t>
  </si>
  <si>
    <t>sahlanangko@gmail.com</t>
  </si>
  <si>
    <t>4225</t>
  </si>
  <si>
    <t>https://drive.google.com/file/d/1-bu0ThHDegsHn78jcl_gko_MF8VUCCle/view?usp=drivesdk</t>
  </si>
  <si>
    <t>1-bu0ThHDegsHn78jcl_gko_MF8VUCCle</t>
  </si>
  <si>
    <t>1RTNyB5QKF5YFGtdNyzhe9mscyKIGhnXz</t>
  </si>
  <si>
    <t>https://drive.google.com/file/d/1RTNyB5QKF5YFGtdNyzhe9mscyKIGhnXz/view?usp=drivesdk</t>
  </si>
  <si>
    <t>Document successfully created; Document successfully merged; PDF created; !!Error Sending Emails: Service invoked too many times for one day: email.; Manually run by ecertificate75@gmail.com; Timestamp: Sep 2 2024 7:00 AM</t>
  </si>
  <si>
    <t>RINI PUSPADEWI</t>
  </si>
  <si>
    <t>rini.puspa1191@gmail.com</t>
  </si>
  <si>
    <t>4226</t>
  </si>
  <si>
    <t>https://drive.google.com/file/d/1AP4IaGnt1F6_-pQvYn1Greye7KsZG4cU/view?usp=drivesdk</t>
  </si>
  <si>
    <t>1AP4IaGnt1F6_-pQvYn1Greye7KsZG4cU</t>
  </si>
  <si>
    <t>1-52nQldwaWt7_AtT8N1SK-v6tPaqNujf</t>
  </si>
  <si>
    <t>https://drive.google.com/file/d/1-52nQldwaWt7_AtT8N1SK-v6tPaqNujf/view?usp=drivesdk</t>
  </si>
  <si>
    <t>DODY ARDIYONO, S.KOM</t>
  </si>
  <si>
    <t>dodyardiyono78@gmail.com</t>
  </si>
  <si>
    <t>4227</t>
  </si>
  <si>
    <t>https://drive.google.com/file/d/1BhJW6UDcdqWObxNVp8NDshxpsicQUKgB/view?usp=drivesdk</t>
  </si>
  <si>
    <t>1BhJW6UDcdqWObxNVp8NDshxpsicQUKgB</t>
  </si>
  <si>
    <t>1y8SiuLjWfGKg04FOGkZUU-Xfh4OIhKN4</t>
  </si>
  <si>
    <t>https://drive.google.com/file/d/1y8SiuLjWfGKg04FOGkZUU-Xfh4OIhKN4/view?usp=drivesdk</t>
  </si>
  <si>
    <t>PITO, A. Md</t>
  </si>
  <si>
    <t>pitoamd92@gmail.com</t>
  </si>
  <si>
    <t>4228</t>
  </si>
  <si>
    <t>https://drive.google.com/file/d/1RqIVr8QlAU1eXZF06F4Ww3ZXSHZAoCCF/view?usp=drivesdk</t>
  </si>
  <si>
    <t>1RqIVr8QlAU1eXZF06F4Ww3ZXSHZAoCCF</t>
  </si>
  <si>
    <t>1W2NvHg1CDa2XCuclNkZOKNeD0vsy78sE</t>
  </si>
  <si>
    <t>https://drive.google.com/file/d/1W2NvHg1CDa2XCuclNkZOKNeD0vsy78sE/view?usp=drivesdk</t>
  </si>
  <si>
    <t>SUYATMAN</t>
  </si>
  <si>
    <t>suyatman35@gmail.com</t>
  </si>
  <si>
    <t>4229</t>
  </si>
  <si>
    <t>https://drive.google.com/file/d/1cICb6DgoyJNMP06xBAcb0sceJ-csXSJn/view?usp=drivesdk</t>
  </si>
  <si>
    <t>1cICb6DgoyJNMP06xBAcb0sceJ-csXSJn</t>
  </si>
  <si>
    <t>1DDOWstOMShUVDgLuwj_GWcHnrBOokmb6</t>
  </si>
  <si>
    <t>https://drive.google.com/file/d/1DDOWstOMShUVDgLuwj_GWcHnrBOokmb6/view?usp=drivesdk</t>
  </si>
  <si>
    <t>Document successfully created; Document successfully merged; PDF created; !!Error Sending Emails: Service invoked too many times for one day: email.; Manually run by ecertificate75@gmail.com; Timestamp: Sep 2 2024 7:01 AM</t>
  </si>
  <si>
    <t>JOKO BUDIAWAN</t>
  </si>
  <si>
    <t>jokomsj7@gmail.com</t>
  </si>
  <si>
    <t>4230</t>
  </si>
  <si>
    <t>Starting at Thu Aug 29 2024 21:24:32 GMT-0400 (EDT)</t>
  </si>
  <si>
    <t>1MwWuVuKeV1dwEqOPi6-2HjBIpCcqs0-J</t>
  </si>
  <si>
    <t>https://drive.google.com/file/d/1MwWuVuKeV1dwEqOPi6-2HjBIpCcqs0-J/view?usp=drivesdk</t>
  </si>
  <si>
    <t>RISKA SANDRA</t>
  </si>
  <si>
    <t>riskaratna2016@gmil.com</t>
  </si>
  <si>
    <t>4231</t>
  </si>
  <si>
    <t>104tB7_C69cLeyTkjijrGzwo1m2vnh_hE</t>
  </si>
  <si>
    <t>https://drive.google.com/file/d/104tB7_C69cLeyTkjijrGzwo1m2vnh_hE/view?usp=drivesdk</t>
  </si>
  <si>
    <t>JUMAGA GUNTUR HALOMOAN SIMANJUNTAK, A.MD</t>
  </si>
  <si>
    <t>guntur.simanjuntak@gmail.com</t>
  </si>
  <si>
    <t>4232</t>
  </si>
  <si>
    <t>Starting at Thu Aug 29 2024 21:24:33 GMT-0400 (EDT)</t>
  </si>
  <si>
    <t>1cFvdb-c4OJMcb5s_-Wl2pbBIpJ5oPFTZ</t>
  </si>
  <si>
    <t>https://drive.google.com/file/d/1cFvdb-c4OJMcb5s_-Wl2pbBIpJ5oPFTZ/view?usp=drivesdk</t>
  </si>
  <si>
    <t>ENY SRIHASTUTI</t>
  </si>
  <si>
    <t>enysrihastuti75@gmail.com</t>
  </si>
  <si>
    <t>4233</t>
  </si>
  <si>
    <t>1hSEqz4NSvIe8_bTz34Q86fMqNQgpVJye</t>
  </si>
  <si>
    <t>https://drive.google.com/file/d/1hSEqz4NSvIe8_bTz34Q86fMqNQgpVJye/view?usp=drivesdk</t>
  </si>
  <si>
    <t>Document successfully created; Document successfully merged; PDF created; !!Error Sending Emails: Service invoked too many times for one day: email.; Manually run by ecertificate75@gmail.com; Timestamp: Sep 2 2024 7:02 AM</t>
  </si>
  <si>
    <t>TIMBUL BAMBANG</t>
  </si>
  <si>
    <t>timbulbambang23@gmail.com</t>
  </si>
  <si>
    <t>4234</t>
  </si>
  <si>
    <t>1_5eHpmDSEvRcd0mBid9qO-h8Q1wB5p8l</t>
  </si>
  <si>
    <t>https://drive.google.com/file/d/1_5eHpmDSEvRcd0mBid9qO-h8Q1wB5p8l/view?usp=drivesdk</t>
  </si>
  <si>
    <t xml:space="preserve">JUNAENA </t>
  </si>
  <si>
    <t>Junaenajoen@gmail.com</t>
  </si>
  <si>
    <t>4235</t>
  </si>
  <si>
    <t>Starting at Thu Aug 29 2024 21:24:37 GMT-0400 (EDT)</t>
  </si>
  <si>
    <t>1o0lR01_nlFpxFXtNUl215toczctrXQ7K</t>
  </si>
  <si>
    <t>https://drive.google.com/file/d/1o0lR01_nlFpxFXtNUl215toczctrXQ7K/view?usp=drivesdk</t>
  </si>
  <si>
    <t>WAHYU HARIADI</t>
  </si>
  <si>
    <t>wah7u1984@gmail.com</t>
  </si>
  <si>
    <t>4236</t>
  </si>
  <si>
    <t>1uVckUc2LHGdhNOoEqQwxfGQIsOlXbVOw</t>
  </si>
  <si>
    <t>https://drive.google.com/file/d/1uVckUc2LHGdhNOoEqQwxfGQIsOlXbVOw/view?usp=drivesdk</t>
  </si>
  <si>
    <t>drg. SRIMELVINA RIESKY MURNIDEWI, Sp.KG</t>
  </si>
  <si>
    <t>melphin23@yahoo.com</t>
  </si>
  <si>
    <t>4237</t>
  </si>
  <si>
    <t>1LK7gv4uz9v-dpbxxf7dNp0gwtIHy06-8</t>
  </si>
  <si>
    <t>https://drive.google.com/file/d/1LK7gv4uz9v-dpbxxf7dNp0gwtIHy06-8/view?usp=drivesdk</t>
  </si>
  <si>
    <t>Document successfully created; Document successfully merged; PDF created; !!Error Sending Emails: Service invoked too many times for one day: email.; Manually run by ecertificate75@gmail.com; Timestamp: Sep 2 2024 7:03 AM</t>
  </si>
  <si>
    <t>RIMA KUSRINI</t>
  </si>
  <si>
    <t>rimakusrini17@gmail.com</t>
  </si>
  <si>
    <t>4238</t>
  </si>
  <si>
    <t>Starting at Thu Aug 29 2024 21:24:39 GMT-0400 (EDT)</t>
  </si>
  <si>
    <t>16sOMCBxkV0rDzBcHULfrXyc6vjdTmOBc</t>
  </si>
  <si>
    <t>https://drive.google.com/file/d/16sOMCBxkV0rDzBcHULfrXyc6vjdTmOBc/view?usp=drivesdk</t>
  </si>
  <si>
    <t>MELPA ARINAWATI PANJAITAN, SE</t>
  </si>
  <si>
    <t>melva_arinawati@yahoo.co.id</t>
  </si>
  <si>
    <t>4239</t>
  </si>
  <si>
    <t>1W2kTgKDg0di_uuDDkqUhO_yTcFYWya_I</t>
  </si>
  <si>
    <t>https://drive.google.com/file/d/1W2kTgKDg0di_uuDDkqUhO_yTcFYWya_I/view?usp=drivesdk</t>
  </si>
  <si>
    <t xml:space="preserve">SILVIA YUNDARI </t>
  </si>
  <si>
    <t>silviaajah1411@gmail.com</t>
  </si>
  <si>
    <t>4240</t>
  </si>
  <si>
    <t>https://drive.google.com/file/d/1yCaEx0WJX6sIJFQEthk4OYDIR7TY_ty7/view?usp=drivesdk</t>
  </si>
  <si>
    <t>1yCaEx0WJX6sIJFQEthk4OYDIR7TY_ty7</t>
  </si>
  <si>
    <t>1OACSudd4zFOhFB2qVAJKAAtRWNu2XouF</t>
  </si>
  <si>
    <t>https://drive.google.com/file/d/1OACSudd4zFOhFB2qVAJKAAtRWNu2XouF/view?usp=drivesdk</t>
  </si>
  <si>
    <t>Dr Lesly Nelvawaty Sitorus</t>
  </si>
  <si>
    <t>leslysitorus0303@gmail.com</t>
  </si>
  <si>
    <t>4241</t>
  </si>
  <si>
    <t>https://drive.google.com/file/d/1kqYT7R49lGdz5EeOFpWhCNxGPnXUjz_W/view?usp=drivesdk</t>
  </si>
  <si>
    <t>1kqYT7R49lGdz5EeOFpWhCNxGPnXUjz_W</t>
  </si>
  <si>
    <t>1ruiDxn5giW6yRhY4ArZBn3G0fmxm7CkW</t>
  </si>
  <si>
    <t>https://drive.google.com/file/d/1ruiDxn5giW6yRhY4ArZBn3G0fmxm7CkW/view?usp=drivesdk</t>
  </si>
  <si>
    <t>Document successfully created; Document successfully merged; PDF created; !!Error Sending Emails: Service invoked too many times for one day: email.; Manually run by ecertificate75@gmail.com; Timestamp: Sep 2 2024 7:04 AM</t>
  </si>
  <si>
    <t>YULI SETIOWATI</t>
  </si>
  <si>
    <t>yulisetiowati2012@gmail.com</t>
  </si>
  <si>
    <t>4242</t>
  </si>
  <si>
    <t>https://drive.google.com/file/d/15PYweRxLiVls29e2DUUU3BcI3Im7Vjw-/view?usp=drivesdk</t>
  </si>
  <si>
    <t>15PYweRxLiVls29e2DUUU3BcI3Im7Vjw-</t>
  </si>
  <si>
    <t>1jlPoLzBvWGujWEZGMdWniDhnAPY9bmIY</t>
  </si>
  <si>
    <t>https://drive.google.com/file/d/1jlPoLzBvWGujWEZGMdWniDhnAPY9bmIY/view?usp=drivesdk</t>
  </si>
  <si>
    <t>SUTARBI, SH</t>
  </si>
  <si>
    <t>sutarbiamelipin28@gmail.com</t>
  </si>
  <si>
    <t>4243</t>
  </si>
  <si>
    <t>https://drive.google.com/file/d/1rEo6yyah8Pk9Z8cJICfr1YQJYw37LTRk/view?usp=drivesdk</t>
  </si>
  <si>
    <t>1rEo6yyah8Pk9Z8cJICfr1YQJYw37LTRk</t>
  </si>
  <si>
    <t>1m3uHS3KoC_ROBbh6tmqgmkZhCk51XAZ9</t>
  </si>
  <si>
    <t>https://drive.google.com/file/d/1m3uHS3KoC_ROBbh6tmqgmkZhCk51XAZ9/view?usp=drivesdk</t>
  </si>
  <si>
    <t>MOHAMAD ISWANTO PODUNGGE, AMD.KEP</t>
  </si>
  <si>
    <t>mohamadiswantopodungge@gmail.com</t>
  </si>
  <si>
    <t>4244</t>
  </si>
  <si>
    <t>Starting at Thu Aug 29 2024 21:24:41 GMT-0400 (EDT)</t>
  </si>
  <si>
    <t>1z15M_9N97cyH10IsPDXkMSVasG-E4Nw0</t>
  </si>
  <si>
    <t>https://drive.google.com/file/d/1z15M_9N97cyH10IsPDXkMSVasG-E4Nw0/view?usp=drivesdk</t>
  </si>
  <si>
    <t xml:space="preserve">HENDRO SETIAWAN </t>
  </si>
  <si>
    <t>hendrosetiawan9090@gmail.com</t>
  </si>
  <si>
    <t>4245</t>
  </si>
  <si>
    <t>1qJdfgnQxFw1kDVlSYTF92jb9pgkIseMc</t>
  </si>
  <si>
    <t>https://drive.google.com/file/d/1qJdfgnQxFw1kDVlSYTF92jb9pgkIseMc/view?usp=drivesdk</t>
  </si>
  <si>
    <t>Document successfully created; Document successfully merged; PDF created; !!Error Sending Emails: Service invoked too many times for one day: email.; Manually run by ecertificate75@gmail.com; Timestamp: Sep 2 2024 7:05 AM</t>
  </si>
  <si>
    <t>HADI SUMONO</t>
  </si>
  <si>
    <t>fiqoganteng0@gmail.com</t>
  </si>
  <si>
    <t>4246</t>
  </si>
  <si>
    <t>https://drive.google.com/file/d/19lsJ03XeInr_s8L-wCm30dkUIYoL2yQP/view?usp=drivesdk</t>
  </si>
  <si>
    <t>19lsJ03XeInr_s8L-wCm30dkUIYoL2yQP</t>
  </si>
  <si>
    <t>16TxBkxGESk-HJG04e0lveVUoW_lDcNIJ</t>
  </si>
  <si>
    <t>https://drive.google.com/file/d/16TxBkxGESk-HJG04e0lveVUoW_lDcNIJ/view?usp=drivesdk</t>
  </si>
  <si>
    <t xml:space="preserve">PENGATUR TARWIN </t>
  </si>
  <si>
    <t>tarwin1971@gmail.com</t>
  </si>
  <si>
    <t>4247</t>
  </si>
  <si>
    <t>https://drive.google.com/file/d/1Lz4H7YXDs4zfx4AGX-ZBtmPVRMX_qmCo/view?usp=drivesdk</t>
  </si>
  <si>
    <t>1Lz4H7YXDs4zfx4AGX-ZBtmPVRMX_qmCo</t>
  </si>
  <si>
    <t>1qR6GzfVfmcjiJgzK9XKzOJM13126nlzw</t>
  </si>
  <si>
    <t>https://drive.google.com/file/d/1qR6GzfVfmcjiJgzK9XKzOJM13126nlzw/view?usp=drivesdk</t>
  </si>
  <si>
    <t>NURJANNAH</t>
  </si>
  <si>
    <t>nurjannahvirza@gmail.com</t>
  </si>
  <si>
    <t>4248</t>
  </si>
  <si>
    <t>https://drive.google.com/file/d/1R2E_eOgLqXClL71CcHo2by6LFM-32Ah4/view?usp=drivesdk</t>
  </si>
  <si>
    <t>1R2E_eOgLqXClL71CcHo2by6LFM-32Ah4</t>
  </si>
  <si>
    <t>1D8ckXNeP8aw1TEf3XhcOVicjv7YKRDtm</t>
  </si>
  <si>
    <t>https://drive.google.com/file/d/1D8ckXNeP8aw1TEf3XhcOVicjv7YKRDtm/view?usp=drivesdk</t>
  </si>
  <si>
    <t>Document successfully created; Document successfully merged; PDF created; !!Error Sending Emails: Service invoked too many times for one day: email.; Manually run by ecertificate75@gmail.com; Timestamp: Sep 2 2024 7:06 AM</t>
  </si>
  <si>
    <t>SUSI ELVIANA</t>
  </si>
  <si>
    <t>zaskiagotick69@gmail.com</t>
  </si>
  <si>
    <t>4249</t>
  </si>
  <si>
    <t>Starting at Thu Aug 29 2024 21:24:47 GMT-0400 (EDT)</t>
  </si>
  <si>
    <t>1wCNz-XFnFFygKIe5dYzHpLMCA4EV_Fev</t>
  </si>
  <si>
    <t>https://drive.google.com/file/d/1wCNz-XFnFFygKIe5dYzHpLMCA4EV_Fev/view?usp=drivesdk</t>
  </si>
  <si>
    <t xml:space="preserve">Ns. NYOTO., S.Kep., M.Tr.Kep </t>
  </si>
  <si>
    <t>nyotobhayangkara@gmail.com</t>
  </si>
  <si>
    <t>4250</t>
  </si>
  <si>
    <t>13NAPcTFZvsnA2XEqyq99xYrSl8JRVu55</t>
  </si>
  <si>
    <t>https://drive.google.com/file/d/13NAPcTFZvsnA2XEqyq99xYrSl8JRVu55/view?usp=drivesdk</t>
  </si>
  <si>
    <t>Elfrida Sijabat SKM</t>
  </si>
  <si>
    <t>elfrida130277@gmail.com</t>
  </si>
  <si>
    <t>4251</t>
  </si>
  <si>
    <t>1p9Y3JAZyqZQHu0wmXn4BBqOvKZQmpQbm</t>
  </si>
  <si>
    <t>https://drive.google.com/file/d/1p9Y3JAZyqZQHu0wmXn4BBqOvKZQmpQbm/view?usp=drivesdk</t>
  </si>
  <si>
    <t>SYARI KUSMIYATI, S.Sos</t>
  </si>
  <si>
    <t>syarikusmiyati1978@gmail.com</t>
  </si>
  <si>
    <t>4252</t>
  </si>
  <si>
    <t>1lf71mLugnw4BAQllD706Ise-YQJ2Rjhu</t>
  </si>
  <si>
    <t>https://drive.google.com/file/d/1lf71mLugnw4BAQllD706Ise-YQJ2Rjhu/view?usp=drivesdk</t>
  </si>
  <si>
    <t>Document successfully created; Document successfully merged; PDF created; !!Error Sending Emails: Service invoked too many times for one day: email.; Manually run by ecertificate75@gmail.com; Timestamp: Sep 2 2024 7:07 AM</t>
  </si>
  <si>
    <t>RATNA CITRA</t>
  </si>
  <si>
    <t>ratnacitrachila.rc@gmail.com</t>
  </si>
  <si>
    <t>4253</t>
  </si>
  <si>
    <t>1WAduJgwJtTDkp3HfiAZS8kD_1KccLLik</t>
  </si>
  <si>
    <t>https://drive.google.com/file/d/1WAduJgwJtTDkp3HfiAZS8kD_1KccLLik/view?usp=drivesdk</t>
  </si>
  <si>
    <t>FITRI PANAI</t>
  </si>
  <si>
    <t>fitripanai75@gmail.com</t>
  </si>
  <si>
    <t>4254</t>
  </si>
  <si>
    <t>1lRyCu9azJT1S1_6KA2XAIm5K-MfocONN</t>
  </si>
  <si>
    <t>https://drive.google.com/file/d/1lRyCu9azJT1S1_6KA2XAIm5K-MfocONN/view?usp=drivesdk</t>
  </si>
  <si>
    <t>ELI HERAWATI</t>
  </si>
  <si>
    <t>eliherawati117@gmail.com</t>
  </si>
  <si>
    <t>4255</t>
  </si>
  <si>
    <t>1DRyjoiQAz-Nql9tRxTRIB6BbUZFi09Mo</t>
  </si>
  <si>
    <t>https://drive.google.com/file/d/1DRyjoiQAz-Nql9tRxTRIB6BbUZFi09Mo/view?usp=drivesdk</t>
  </si>
  <si>
    <t>MURNIATI, A.Md</t>
  </si>
  <si>
    <t>habibalazizpurba@gmail.com</t>
  </si>
  <si>
    <t>4256</t>
  </si>
  <si>
    <t>1j8eZEy8dN9M7_1m2ToCY7vitReOyWxPq</t>
  </si>
  <si>
    <t>https://drive.google.com/file/d/1j8eZEy8dN9M7_1m2ToCY7vitReOyWxPq/view?usp=drivesdk</t>
  </si>
  <si>
    <t>Document successfully created; Document successfully merged; PDF created; !!Error Sending Emails: Service invoked too many times for one day: email.; Manually run by ecertificate75@gmail.com; Timestamp: Sep 2 2024 7:08 AM</t>
  </si>
  <si>
    <t>CECEP HIDAYAT</t>
  </si>
  <si>
    <t>cecephidayat1217@gmail.com</t>
  </si>
  <si>
    <t>4257</t>
  </si>
  <si>
    <t>https://drive.google.com/file/d/1Xu08Dzmsf2knXt1Tr4A3MH-K1dGBK2ef/view?usp=drivesdk</t>
  </si>
  <si>
    <t>1Xu08Dzmsf2knXt1Tr4A3MH-K1dGBK2ef</t>
  </si>
  <si>
    <t>1MwgYw8xv0ZXz4n4JNCuz9ZKnJaW3aQ5Z</t>
  </si>
  <si>
    <t>https://drive.google.com/file/d/1MwgYw8xv0ZXz4n4JNCuz9ZKnJaW3aQ5Z/view?usp=drivesdk</t>
  </si>
  <si>
    <t>SOPHIAN</t>
  </si>
  <si>
    <t>sophian.pengda@gmail.com</t>
  </si>
  <si>
    <t>4258</t>
  </si>
  <si>
    <t>https://drive.google.com/file/d/1dJEoeC2sO1hcSPoO6rGeMFyW4RMChpDf/view?usp=drivesdk</t>
  </si>
  <si>
    <t>1dJEoeC2sO1hcSPoO6rGeMFyW4RMChpDf</t>
  </si>
  <si>
    <t>1JkBRAXUr-tXUA7bd4FYsSzUOepTOc3j-</t>
  </si>
  <si>
    <t>https://drive.google.com/file/d/1JkBRAXUr-tXUA7bd4FYsSzUOepTOc3j-/view?usp=drivesdk</t>
  </si>
  <si>
    <t>SITI ROHANA</t>
  </si>
  <si>
    <t>rohaye1970@gmail.com</t>
  </si>
  <si>
    <t>4259</t>
  </si>
  <si>
    <t>Starting at Thu Aug 29 2024 21:24:50 GMT-0400 (EDT)</t>
  </si>
  <si>
    <t>1tdgsUs9kNe9axs65Bc5HTuMbmhdQEpLw</t>
  </si>
  <si>
    <t>https://drive.google.com/file/d/1tdgsUs9kNe9axs65Bc5HTuMbmhdQEpLw/view?usp=drivesdk</t>
  </si>
  <si>
    <t>Document successfully created; Document successfully merged; PDF created; !!Error Sending Emails: Service invoked too many times for one day: email.; Manually run by ecertificate75@gmail.com; Timestamp: Sep 2 2024 7:09 AM</t>
  </si>
  <si>
    <t>NI NENGAH YULIARI</t>
  </si>
  <si>
    <t>yuliatami74@gmail.com</t>
  </si>
  <si>
    <t>4260</t>
  </si>
  <si>
    <t>1kmbBnDF3H5wL7YjOh5aU3I7nPsHYY_Hw</t>
  </si>
  <si>
    <t>https://drive.google.com/file/d/1kmbBnDF3H5wL7YjOh5aU3I7nPsHYY_Hw/view?usp=drivesdk</t>
  </si>
  <si>
    <t>ARIEF SUGIHARTO</t>
  </si>
  <si>
    <t>ariefsugiharto1976@gmail.com</t>
  </si>
  <si>
    <t>4261</t>
  </si>
  <si>
    <t>1MuydHvfOSFbS4CExkvmwnS_MvH7eyXqh</t>
  </si>
  <si>
    <t>https://drive.google.com/file/d/1MuydHvfOSFbS4CExkvmwnS_MvH7eyXqh/view?usp=drivesdk</t>
  </si>
  <si>
    <t>DARU PURWANINGSIH</t>
  </si>
  <si>
    <t>darutrisno79@gmail.com</t>
  </si>
  <si>
    <t>4262</t>
  </si>
  <si>
    <t>1vropu3rP7YqzN7kxEWBlYb5kw-IUHqTA</t>
  </si>
  <si>
    <t>https://drive.google.com/file/d/1vropu3rP7YqzN7kxEWBlYb5kw-IUHqTA/view?usp=drivesdk</t>
  </si>
  <si>
    <t>dr. FADHIL NAUFAL AMMAR</t>
  </si>
  <si>
    <t>fadhilnaufal94@yahoo.com</t>
  </si>
  <si>
    <t>4263</t>
  </si>
  <si>
    <t>144QdRE-rifiaw5kgKx7RtYBZcmnTcEWj</t>
  </si>
  <si>
    <t>https://drive.google.com/file/d/144QdRE-rifiaw5kgKx7RtYBZcmnTcEWj/view?usp=drivesdk</t>
  </si>
  <si>
    <t>ROSITA.S.A.P</t>
  </si>
  <si>
    <t>rositazafira@gmail.com</t>
  </si>
  <si>
    <t>4264</t>
  </si>
  <si>
    <t>1IuUrtHwc61rqyvbf0hYBGIjOcj2W0TfT</t>
  </si>
  <si>
    <t>https://drive.google.com/file/d/1IuUrtHwc61rqyvbf0hYBGIjOcj2W0TfT/view?usp=drivesdk</t>
  </si>
  <si>
    <t>Document successfully created; Document successfully merged; PDF created; !!Error Sending Emails: Service invoked too many times for one day: email.; Manually run by ecertificate75@gmail.com; Timestamp: Sep 2 2024 7:10 AM</t>
  </si>
  <si>
    <t>JOE PERNANDO NABABAN, A.md</t>
  </si>
  <si>
    <t>joe.fernando.nababan@gmail.com</t>
  </si>
  <si>
    <t>4265</t>
  </si>
  <si>
    <t>1RYC13hjwWkDLv-V1RxsQypvj3Ta9Lm5p</t>
  </si>
  <si>
    <t>https://drive.google.com/file/d/1RYC13hjwWkDLv-V1RxsQypvj3Ta9Lm5p/view?usp=drivesdk</t>
  </si>
  <si>
    <t>DARMADJI, SE</t>
  </si>
  <si>
    <t>darmadjise@gmail.com</t>
  </si>
  <si>
    <t>4266</t>
  </si>
  <si>
    <t>Starting at Thu Aug 29 2024 21:24:49 GMT-0400 (EDT)</t>
  </si>
  <si>
    <t>1jbQ1j1I93LJhQ4zlcBptvFHPw4lRoemN</t>
  </si>
  <si>
    <t>https://drive.google.com/file/d/1jbQ1j1I93LJhQ4zlcBptvFHPw4lRoemN/view?usp=drivesdk</t>
  </si>
  <si>
    <t>SRI WAHYUNI S.E</t>
  </si>
  <si>
    <t>sriwahyunikurniawan16@gmail.com</t>
  </si>
  <si>
    <t>4267</t>
  </si>
  <si>
    <t>https://drive.google.com/file/d/13_OOXeinTXbyBtjeI8LMwgP15xjk4Kcx/view?usp=drivesdk</t>
  </si>
  <si>
    <t>13_OOXeinTXbyBtjeI8LMwgP15xjk4Kcx</t>
  </si>
  <si>
    <t>1zFSOMFaiOR9-jNWwR0D8i5byj3dOTCZG</t>
  </si>
  <si>
    <t>https://drive.google.com/file/d/1zFSOMFaiOR9-jNWwR0D8i5byj3dOTCZG/view?usp=drivesdk</t>
  </si>
  <si>
    <t>Document successfully created; Document successfully merged; PDF created; !!Error Sending Emails: Service invoked too many times for one day: email.; Manually run by ecertificate75@gmail.com; Timestamp: Sep 2 2024 7:11 AM</t>
  </si>
  <si>
    <t>SEPTI MIRIYANTI</t>
  </si>
  <si>
    <t>merykailah@gmail.com</t>
  </si>
  <si>
    <t>4268</t>
  </si>
  <si>
    <t>https://drive.google.com/file/d/1eP8FjrxXCxFNZuF2AZ9FsWbUDxI9tFSc/view?usp=drivesdk</t>
  </si>
  <si>
    <t>1eP8FjrxXCxFNZuF2AZ9FsWbUDxI9tFSc</t>
  </si>
  <si>
    <t>1RbiddI90cmnzmE_p34vqa9CU4-j-Vjme</t>
  </si>
  <si>
    <t>https://drive.google.com/file/d/1RbiddI90cmnzmE_p34vqa9CU4-j-Vjme/view?usp=drivesdk</t>
  </si>
  <si>
    <t>HERI SUGITO</t>
  </si>
  <si>
    <t>herisugito1107@gmail.com</t>
  </si>
  <si>
    <t>4269</t>
  </si>
  <si>
    <t>https://drive.google.com/file/d/1AlrKt-6vrPNIt98ut19OLxDmXIk5m7jr/view?usp=drivesdk</t>
  </si>
  <si>
    <t>1AlrKt-6vrPNIt98ut19OLxDmXIk5m7jr</t>
  </si>
  <si>
    <t>1ZUXF3Tm1fVND6ZvcrmR1zxz4ZteLwKE_</t>
  </si>
  <si>
    <t>https://drive.google.com/file/d/1ZUXF3Tm1fVND6ZvcrmR1zxz4ZteLwKE_/view?usp=drivesdk</t>
  </si>
  <si>
    <t xml:space="preserve">LANGGENG SUGIARTO </t>
  </si>
  <si>
    <t>langgengsugiarto63@gmail.com</t>
  </si>
  <si>
    <t>4270</t>
  </si>
  <si>
    <t>Starting at Thu Aug 29 2024 21:24:54 GMT-0400 (EDT)</t>
  </si>
  <si>
    <t>1pZeYPehkbL-N0WzzccxCO1QO7__Ot-H5</t>
  </si>
  <si>
    <t>https://drive.google.com/file/d/1pZeYPehkbL-N0WzzccxCO1QO7__Ot-H5/view?usp=drivesdk</t>
  </si>
  <si>
    <t>SILVI MARSYA YUYU, A.md.Kep</t>
  </si>
  <si>
    <t>silvimarsyayuyu@gmail.com</t>
  </si>
  <si>
    <t>4271</t>
  </si>
  <si>
    <t>https://drive.google.com/file/d/1mmZWTLyEKGuTud9wEOZ20kqBtSoc6ech/view?usp=drivesdk</t>
  </si>
  <si>
    <t>1mmZWTLyEKGuTud9wEOZ20kqBtSoc6ech</t>
  </si>
  <si>
    <t>1wmTKvfAPG3FfDI1oacpg47WaWfPL3C6H</t>
  </si>
  <si>
    <t>https://drive.google.com/file/d/1wmTKvfAPG3FfDI1oacpg47WaWfPL3C6H/view?usp=drivesdk</t>
  </si>
  <si>
    <t>Document successfully created; Document successfully merged; PDF created; !!Error Sending Emails: Service invoked too many times for one day: email.; Manually run by ecertificate75@gmail.com; Timestamp: Sep 2 2024 7:12 AM</t>
  </si>
  <si>
    <t>RACHMALAWATI,S.Si</t>
  </si>
  <si>
    <t>rachmalawati11@gmail.com</t>
  </si>
  <si>
    <t>4272</t>
  </si>
  <si>
    <t>Starting at Thu Aug 29 2024 21:24:55 GMT-0400 (EDT)</t>
  </si>
  <si>
    <t>1P9HchQh0Et04gaA6whQ0IkrrX6BKDzAJ</t>
  </si>
  <si>
    <t>https://drive.google.com/file/d/1P9HchQh0Et04gaA6whQ0IkrrX6BKDzAJ/view?usp=drivesdk</t>
  </si>
  <si>
    <t xml:space="preserve">ANTUN WIJAYATI </t>
  </si>
  <si>
    <t>Bagrenpolresgresikk@gmail.com</t>
  </si>
  <si>
    <t>4273</t>
  </si>
  <si>
    <t>https://drive.google.com/file/d/1jCnapzq-QAPpUq20U5N8Z4j8gUZcqMkC/view?usp=drivesdk</t>
  </si>
  <si>
    <t>1jCnapzq-QAPpUq20U5N8Z4j8gUZcqMkC</t>
  </si>
  <si>
    <t>1qgnivEIJn48H77XCzNrGUIWfan5QmOsw</t>
  </si>
  <si>
    <t>https://drive.google.com/file/d/1qgnivEIJn48H77XCzNrGUIWfan5QmOsw/view?usp=drivesdk</t>
  </si>
  <si>
    <t>HERY SAPTONO</t>
  </si>
  <si>
    <t>herrysaptono35@gmail.com</t>
  </si>
  <si>
    <t>4274</t>
  </si>
  <si>
    <t>Starting at Thu Aug 29 2024 21:24:57 GMT-0400 (EDT)</t>
  </si>
  <si>
    <t>1Bi04JlihCUe2ZGTXXZm03cYR2GD9YBUi</t>
  </si>
  <si>
    <t>https://drive.google.com/file/d/1Bi04JlihCUe2ZGTXXZm03cYR2GD9YBUi/view?usp=drivesdk</t>
  </si>
  <si>
    <t>Document successfully created; Document successfully merged; PDF created; !!Error Sending Emails: Service invoked too many times for one day: email.; Manually run by ecertificate75@gmail.com; Timestamp: Sep 2 2024 7:13 AM</t>
  </si>
  <si>
    <t>sumarliksumarlik547@gmail.com</t>
  </si>
  <si>
    <t>4275</t>
  </si>
  <si>
    <t>1z4CFGuiR14Xm73ZwzdY2oCqB4Cqx5ySH</t>
  </si>
  <si>
    <t>https://drive.google.com/file/d/1z4CFGuiR14Xm73ZwzdY2oCqB4Cqx5ySH/view?usp=drivesdk</t>
  </si>
  <si>
    <t>MARYAM HR</t>
  </si>
  <si>
    <t>maryamhr503@gmail.com</t>
  </si>
  <si>
    <t>4276</t>
  </si>
  <si>
    <t>https://drive.google.com/file/d/112M3PwvoexIvVU5om-YLFrZqK-jH3Uvt/view?usp=drivesdk</t>
  </si>
  <si>
    <t>112M3PwvoexIvVU5om-YLFrZqK-jH3Uvt</t>
  </si>
  <si>
    <t>1nxDMeFkCxq8IVJrCmFBR0UdvEGa7w8n2</t>
  </si>
  <si>
    <t>https://drive.google.com/file/d/1nxDMeFkCxq8IVJrCmFBR0UdvEGa7w8n2/view?usp=drivesdk</t>
  </si>
  <si>
    <t>TRI SUSILANINGTIAS</t>
  </si>
  <si>
    <t>trisusilaningtias@gmail.com</t>
  </si>
  <si>
    <t>4277</t>
  </si>
  <si>
    <t>Starting at Thu Aug 29 2024 21:25:01 GMT-0400 (EDT)</t>
  </si>
  <si>
    <t>10LTl5P8FvkTMlwMLGjRkrMn1zc7057p_</t>
  </si>
  <si>
    <t>https://drive.google.com/file/d/10LTl5P8FvkTMlwMLGjRkrMn1zc7057p_/view?usp=drivesdk</t>
  </si>
  <si>
    <t>Document successfully created; Document successfully merged; PDF created; !!Error Sending Emails: Service invoked too many times for one day: email.; Manually run by ecertificate75@gmail.com; Timestamp: Sep 2 2024 9:57 PM</t>
  </si>
  <si>
    <t>TRi RIANI</t>
  </si>
  <si>
    <t>tririani1977@gmail.com</t>
  </si>
  <si>
    <t>4278</t>
  </si>
  <si>
    <t>1UtZdP86E1_i-G5vSmS5NdASP-ZjIeUah</t>
  </si>
  <si>
    <t>https://drive.google.com/file/d/1UtZdP86E1_i-G5vSmS5NdASP-ZjIeUah/view?usp=drivesdk</t>
  </si>
  <si>
    <t>Document successfully created; Document successfully merged; PDF created; !!Error Sending Emails: Service invoked too many times for one day: email.; Manually run by ecertificate75@gmail.com; Timestamp: Sep 2 2024 9:58 PM</t>
  </si>
  <si>
    <t>NURHIDAYAH</t>
  </si>
  <si>
    <t>nurhidayahgafar@gmail.com</t>
  </si>
  <si>
    <t>4279</t>
  </si>
  <si>
    <t>https://drive.google.com/file/d/1j31p5eGYqpofK6mzwfzcQYnK6h8IFuUZ/view?usp=drivesdk</t>
  </si>
  <si>
    <t>1j31p5eGYqpofK6mzwfzcQYnK6h8IFuUZ</t>
  </si>
  <si>
    <t>1pdVscXYj8he65IO9EqDmE7gYUv80OeUc</t>
  </si>
  <si>
    <t>https://drive.google.com/file/d/1pdVscXYj8he65IO9EqDmE7gYUv80OeUc/view?usp=drivesdk</t>
  </si>
  <si>
    <t>MAKHFIRAH</t>
  </si>
  <si>
    <t>makhfirahfirah7@gmail.com</t>
  </si>
  <si>
    <t>4280</t>
  </si>
  <si>
    <t>https://drive.google.com/file/d/19S0AFJrOvPRVzVIBKJ4b0Yee9vvJmR-L/view?usp=drivesdk</t>
  </si>
  <si>
    <t>19S0AFJrOvPRVzVIBKJ4b0Yee9vvJmR-L</t>
  </si>
  <si>
    <t>1Qcaxuwe9cV7ppfmqOk90Ifp6tOb3f4HN</t>
  </si>
  <si>
    <t>https://drive.google.com/file/d/1Qcaxuwe9cV7ppfmqOk90Ifp6tOb3f4HN/view?usp=drivesdk</t>
  </si>
  <si>
    <t>dr. RISNAWATI WAHAB</t>
  </si>
  <si>
    <t>risnawahab.dr@gmail.com</t>
  </si>
  <si>
    <t>4281</t>
  </si>
  <si>
    <t>https://drive.google.com/file/d/1OkD9YD_R7nXkc5epY_8G66BwFZz2WwkB/view?usp=drivesdk</t>
  </si>
  <si>
    <t>Document successfully created; Document successfully merged; PDF created; !!Error Sending Emails: Service invoked too many times for one day: email.; Run via form trigger as ecertificate75@gmail.com; Timestamp: Aug 29 2024 9:26 PM</t>
  </si>
  <si>
    <t>1OkD9YD_R7nXkc5epY_8G66BwFZz2WwkB</t>
  </si>
  <si>
    <t>1CbN6s8AVMndrOGkfeWho7y8QRYOCw9Hf</t>
  </si>
  <si>
    <t>https://drive.google.com/file/d/1CbN6s8AVMndrOGkfeWho7y8QRYOCw9Hf/view?usp=drivesdk</t>
  </si>
  <si>
    <t>Document successfully created; Document successfully merged; PDF created; !!Error Sending Emails: Service invoked too many times for one day: email.; Manually run by ecertificate75@gmail.com; Timestamp: Sep 2 2024 9:59 PM</t>
  </si>
  <si>
    <t>Dra. ANY SETYAWATI</t>
  </si>
  <si>
    <t>anyriyadi@gmail.com</t>
  </si>
  <si>
    <t>4282</t>
  </si>
  <si>
    <t>https://drive.google.com/file/d/1VrjdNjPffxE87oMrVN71mnT_2ChykLXj/view?usp=drivesdk</t>
  </si>
  <si>
    <t>1VrjdNjPffxE87oMrVN71mnT_2ChykLXj</t>
  </si>
  <si>
    <t>1fVPvsZ2kSsKab_3eHLKSo4SdZfPBiAxX</t>
  </si>
  <si>
    <t>https://drive.google.com/file/d/1fVPvsZ2kSsKab_3eHLKSo4SdZfPBiAxX/view?usp=drivesdk</t>
  </si>
  <si>
    <t>NI WAYAN KUSUMATIWATI</t>
  </si>
  <si>
    <t>kusumawayan2020@gmail.com</t>
  </si>
  <si>
    <t>4283</t>
  </si>
  <si>
    <t>https://drive.google.com/file/d/1gBw8xHb0BIuGYBToSDoB6if9f80z8Oun/view?usp=drivesdk</t>
  </si>
  <si>
    <t>1gBw8xHb0BIuGYBToSDoB6if9f80z8Oun</t>
  </si>
  <si>
    <t>1ObGnqWp0j18O8FOfj_H7rE1p935YLiYp</t>
  </si>
  <si>
    <t>https://drive.google.com/file/d/1ObGnqWp0j18O8FOfj_H7rE1p935YLiYp/view?usp=drivesdk</t>
  </si>
  <si>
    <t>ONI SURYANI</t>
  </si>
  <si>
    <t>oniyuliadi@gmail.com</t>
  </si>
  <si>
    <t>4284</t>
  </si>
  <si>
    <t>Starting at Thu Aug 29 2024 21:25:03 GMT-0400 (EDT)</t>
  </si>
  <si>
    <t>1FkrX0uYXWlCEmfbe7N2p9u54zNLvEy0-</t>
  </si>
  <si>
    <t>https://drive.google.com/file/d/1FkrX0uYXWlCEmfbe7N2p9u54zNLvEy0-/view?usp=drivesdk</t>
  </si>
  <si>
    <t>HAFIDATUL ULA, A.Md.Keb</t>
  </si>
  <si>
    <t>hafidatul.ula95@gmail.com</t>
  </si>
  <si>
    <t>4285</t>
  </si>
  <si>
    <t>1CtoBBsLFp3QJJYOZjljjRewrc5TNGybY</t>
  </si>
  <si>
    <t>https://drive.google.com/file/d/1CtoBBsLFp3QJJYOZjljjRewrc5TNGybY/view?usp=drivesdk</t>
  </si>
  <si>
    <t>RETNO SAFITRI, Amd. Kes</t>
  </si>
  <si>
    <t>retnosafitri28@gmail.com</t>
  </si>
  <si>
    <t>4286</t>
  </si>
  <si>
    <t>Starting at Thu Aug 29 2024 21:25:09 GMT-0400 (EDT)</t>
  </si>
  <si>
    <t>1rXiVjbOpcnUDbCHn7V0PWiGlQiH6Cqlw</t>
  </si>
  <si>
    <t>https://drive.google.com/file/d/1rXiVjbOpcnUDbCHn7V0PWiGlQiH6Cqlw/view?usp=drivesdk</t>
  </si>
  <si>
    <t>Document successfully created; Document successfully merged; PDF created; !!Error Sending Emails: Service invoked too many times for one day: email.; Manually run by ecertificate75@gmail.com; Timestamp: Sep 2 2024 10:00 PM</t>
  </si>
  <si>
    <t>LILIS TRI LESTARI</t>
  </si>
  <si>
    <t>lilistrilestari@gmail.com</t>
  </si>
  <si>
    <t>4287</t>
  </si>
  <si>
    <t>Starting at Thu Aug 29 2024 21:25:18 GMT-0400 (EDT)</t>
  </si>
  <si>
    <t>1IFHNEMl4cmVXJ2bR0og4GDMApR9zyLpo</t>
  </si>
  <si>
    <t>https://drive.google.com/file/d/1IFHNEMl4cmVXJ2bR0og4GDMApR9zyLpo/view?usp=drivesdk</t>
  </si>
  <si>
    <t>NURHADI</t>
  </si>
  <si>
    <t>nurhadi2@gmail.com</t>
  </si>
  <si>
    <t>4288</t>
  </si>
  <si>
    <t>1ZI4LHmywRQKK-c0T_3IDj-_34-SJ4E2W</t>
  </si>
  <si>
    <t>https://drive.google.com/file/d/1ZI4LHmywRQKK-c0T_3IDj-_34-SJ4E2W/view?usp=drivesdk</t>
  </si>
  <si>
    <t>MARDIYATI</t>
  </si>
  <si>
    <t>mardiyatikalam73@gmail.com</t>
  </si>
  <si>
    <t>4289</t>
  </si>
  <si>
    <t>1qe6Nje5ncVsXRBNPlsJnrd00z4CuzULK</t>
  </si>
  <si>
    <t>https://drive.google.com/file/d/1qe6Nje5ncVsXRBNPlsJnrd00z4CuzULK/view?usp=drivesdk</t>
  </si>
  <si>
    <t>AZHAR ANNAS, AMAK</t>
  </si>
  <si>
    <t>azhar.annass@gmail.com</t>
  </si>
  <si>
    <t>4290</t>
  </si>
  <si>
    <t>1BTJ1oB_a-lT9Z3JVtQprtDHsHWYuAeDF</t>
  </si>
  <si>
    <t>https://drive.google.com/file/d/1BTJ1oB_a-lT9Z3JVtQprtDHsHWYuAeDF/view?usp=drivesdk</t>
  </si>
  <si>
    <t>WALJIYATI</t>
  </si>
  <si>
    <t>waljiyatiyati@gmail.com</t>
  </si>
  <si>
    <t>4291</t>
  </si>
  <si>
    <t>1Dsyktes32IRARzRu_us5M9kWnErxRUfc</t>
  </si>
  <si>
    <t>https://drive.google.com/file/d/1Dsyktes32IRARzRu_us5M9kWnErxRUfc/view?usp=drivesdk</t>
  </si>
  <si>
    <t>Document successfully created; Document successfully merged; PDF created; !!Error Sending Emails: Service invoked too many times for one day: email.; Manually run by ecertificate75@gmail.com; Timestamp: Sep 2 2024 10:01 PM</t>
  </si>
  <si>
    <t>ELIYANA</t>
  </si>
  <si>
    <t>elyumk@yahoo.com</t>
  </si>
  <si>
    <t>4292</t>
  </si>
  <si>
    <t>1WxcfurRPlXuzJLFxbtCEbiSDt0rPlWea</t>
  </si>
  <si>
    <t>https://drive.google.com/file/d/1WxcfurRPlXuzJLFxbtCEbiSDt0rPlWea/view?usp=drivesdk</t>
  </si>
  <si>
    <t>NURDIANI, A.MD.</t>
  </si>
  <si>
    <t>naufalaqilaopik@gmail.com</t>
  </si>
  <si>
    <t>4293</t>
  </si>
  <si>
    <t>1l-xuF2_Q6ijPiwJxlMGaARCtwfc7dgYo</t>
  </si>
  <si>
    <t>https://drive.google.com/file/d/1l-xuF2_Q6ijPiwJxlMGaARCtwfc7dgYo/view?usp=drivesdk</t>
  </si>
  <si>
    <t xml:space="preserve">RIZAL ARDIYANSYAH </t>
  </si>
  <si>
    <t>rizaldian530@gmail.com</t>
  </si>
  <si>
    <t>4294</t>
  </si>
  <si>
    <t>1Itf4Psso4jIN7re5rtVkYJtL76MVPlsV</t>
  </si>
  <si>
    <t>https://drive.google.com/file/d/1Itf4Psso4jIN7re5rtVkYJtL76MVPlsV/view?usp=drivesdk</t>
  </si>
  <si>
    <t>DWITA SRIHAPSARI, S. Si, M. Si</t>
  </si>
  <si>
    <t>dwitads@gmail.com</t>
  </si>
  <si>
    <t>4295</t>
  </si>
  <si>
    <t>1S3cVvztyUmaNd6azOrMK05fqNsm9qoL0</t>
  </si>
  <si>
    <t>https://drive.google.com/file/d/1S3cVvztyUmaNd6azOrMK05fqNsm9qoL0/view?usp=drivesdk</t>
  </si>
  <si>
    <t>RUSLINDRIYATI</t>
  </si>
  <si>
    <t>ruslilindriyati@gmail.com</t>
  </si>
  <si>
    <t>4296</t>
  </si>
  <si>
    <t>1LJyCjj3QF2waSWiTqQjCSWxcm6CwJZKh</t>
  </si>
  <si>
    <t>https://drive.google.com/file/d/1LJyCjj3QF2waSWiTqQjCSWxcm6CwJZKh/view?usp=drivesdk</t>
  </si>
  <si>
    <t>Document successfully created; Document successfully merged; PDF created; !!Error Sending Emails: Service invoked too many times for one day: email.; Manually run by ecertificate75@gmail.com; Timestamp: Sep 2 2024 10:02 PM</t>
  </si>
  <si>
    <t>EDWIN ARDIYAN</t>
  </si>
  <si>
    <t>edwinardiyan85@gmail.com</t>
  </si>
  <si>
    <t>4297</t>
  </si>
  <si>
    <t>1YWmZFU3XCvasBNvAmr53TIzVpgC4W94W</t>
  </si>
  <si>
    <t>https://drive.google.com/file/d/1YWmZFU3XCvasBNvAmr53TIzVpgC4W94W/view?usp=drivesdk</t>
  </si>
  <si>
    <t>Emil Nur Arifah</t>
  </si>
  <si>
    <t>emilnurar@gmail.com</t>
  </si>
  <si>
    <t>4298</t>
  </si>
  <si>
    <t>Starting at Thu Aug 29 2024 21:25:24 GMT-0400 (EDT)</t>
  </si>
  <si>
    <t>1X5XkwGQdFiAC96A42opR359P9u6X9uAS</t>
  </si>
  <si>
    <t>https://drive.google.com/file/d/1X5XkwGQdFiAC96A42opR359P9u6X9uAS/view?usp=drivesdk</t>
  </si>
  <si>
    <t>HEROE SOETIKNO</t>
  </si>
  <si>
    <t>herusutikno45@gmail.com</t>
  </si>
  <si>
    <t>4299</t>
  </si>
  <si>
    <t>1PwsRVCsbbuj5i-9UBHh7aMOo2OULzmtL</t>
  </si>
  <si>
    <t>https://drive.google.com/file/d/1PwsRVCsbbuj5i-9UBHh7aMOo2OULzmtL/view?usp=drivesdk</t>
  </si>
  <si>
    <t>Document successfully created; Document successfully merged; PDF created; !!Error Sending Emails: Service invoked too many times for one day: email.; Manually run by ecertificate75@gmail.com; Timestamp: Sep 2 2024 10:03 PM</t>
  </si>
  <si>
    <t>AMIN FAUZI, S.Kom., M.IKom</t>
  </si>
  <si>
    <t>den88att@gmail.com</t>
  </si>
  <si>
    <t>4300</t>
  </si>
  <si>
    <t>1Z7bWcg84DGDCl05wJ0tDB57Slpl_zQJY</t>
  </si>
  <si>
    <t>https://drive.google.com/file/d/1Z7bWcg84DGDCl05wJ0tDB57Slpl_zQJY/view?usp=drivesdk</t>
  </si>
  <si>
    <t>sarno270579@gmail.com</t>
  </si>
  <si>
    <t>4301</t>
  </si>
  <si>
    <t>1oYjS7uslf8Mq6nR5C6Wo3gmydcOUej9r</t>
  </si>
  <si>
    <t>https://drive.google.com/file/d/1oYjS7uslf8Mq6nR5C6Wo3gmydcOUej9r/view?usp=drivesdk</t>
  </si>
  <si>
    <t>TRI KRISNIYAWATI, S.Keb.</t>
  </si>
  <si>
    <t>niakardanaeka@gmail.com</t>
  </si>
  <si>
    <t>4302</t>
  </si>
  <si>
    <t>1UvhgICWIzbA2V8dNkfR-Y9IDuIjDd23p</t>
  </si>
  <si>
    <t>https://drive.google.com/file/d/1UvhgICWIzbA2V8dNkfR-Y9IDuIjDd23p/view?usp=drivesdk</t>
  </si>
  <si>
    <t>Document successfully created; Document successfully merged; PDF created; !!Error Sending Emails: Service invoked too many times for one day: email.; Manually run by ecertificate75@gmail.com; Timestamp: Sep 2 2024 10:04 PM</t>
  </si>
  <si>
    <t>WAWAN SETIAWAN</t>
  </si>
  <si>
    <t>wawan.setiawan011079@gmail.com</t>
  </si>
  <si>
    <t>4303</t>
  </si>
  <si>
    <t>1Ka1-M3H3xYFBO1PuHLlgUn0NPuzAhDcf</t>
  </si>
  <si>
    <t>https://drive.google.com/file/d/1Ka1-M3H3xYFBO1PuHLlgUn0NPuzAhDcf/view?usp=drivesdk</t>
  </si>
  <si>
    <t xml:space="preserve">EDI SUPRIADI </t>
  </si>
  <si>
    <t>esupriadi356@gmail.com</t>
  </si>
  <si>
    <t>4304</t>
  </si>
  <si>
    <t>13-YVqPEKIRk9wH7NfcwpgVr9UAX5O29z</t>
  </si>
  <si>
    <t>https://drive.google.com/file/d/13-YVqPEKIRk9wH7NfcwpgVr9UAX5O29z/view?usp=drivesdk</t>
  </si>
  <si>
    <t xml:space="preserve">EDI SUTISNA </t>
  </si>
  <si>
    <t>edisambulan@gmail.com</t>
  </si>
  <si>
    <t>4305</t>
  </si>
  <si>
    <t>1BmOHv1uqGVF_pHrlWCDhgPUsVBxgXyfG</t>
  </si>
  <si>
    <t>https://drive.google.com/file/d/1BmOHv1uqGVF_pHrlWCDhgPUsVBxgXyfG/view?usp=drivesdk</t>
  </si>
  <si>
    <t>IDA NURYANI</t>
  </si>
  <si>
    <t>prasida.ida@gmail.com</t>
  </si>
  <si>
    <t>4306</t>
  </si>
  <si>
    <t>1ekWG2Sj6_aKHDQfgsBJuQoH3B8nHFdyq</t>
  </si>
  <si>
    <t>https://drive.google.com/file/d/1ekWG2Sj6_aKHDQfgsBJuQoH3B8nHFdyq/view?usp=drivesdk</t>
  </si>
  <si>
    <t>Document successfully created; Document successfully merged; PDF created; !!Error Sending Emails: Service invoked too many times for one day: email.; Manually run by ecertificate75@gmail.com; Timestamp: Sep 2 2024 10:05 PM</t>
  </si>
  <si>
    <t>DADANG SULFIANDI</t>
  </si>
  <si>
    <t>dadangsulfiandi69@gmail.com</t>
  </si>
  <si>
    <t>4307</t>
  </si>
  <si>
    <t>1OUwXctrFQGO3GQJABW70Aj04otQ5X81g</t>
  </si>
  <si>
    <t>https://drive.google.com/file/d/1OUwXctrFQGO3GQJABW70Aj04otQ5X81g/view?usp=drivesdk</t>
  </si>
  <si>
    <t>SRI RAHAYU SUWIJI</t>
  </si>
  <si>
    <t>srirahayuuu416@gmail.com</t>
  </si>
  <si>
    <t>4308</t>
  </si>
  <si>
    <t>1gXMWWiAQDnUofCCJQgtcp5yZGWbAZNt5</t>
  </si>
  <si>
    <t>https://drive.google.com/file/d/1gXMWWiAQDnUofCCJQgtcp5yZGWbAZNt5/view?usp=drivesdk</t>
  </si>
  <si>
    <t>WADI WAHYUDI</t>
  </si>
  <si>
    <t>wadywahyudy29@gmail.com</t>
  </si>
  <si>
    <t>4309</t>
  </si>
  <si>
    <t>1vkGaSckwF9PErUM1pMa7An9Lkq2m6hfa</t>
  </si>
  <si>
    <t>https://drive.google.com/file/d/1vkGaSckwF9PErUM1pMa7An9Lkq2m6hfa/view?usp=drivesdk</t>
  </si>
  <si>
    <t>Document successfully created; Document successfully merged; PDF created; !!Error Sending Emails: Service invoked too many times for one day: email.; Manually run by ecertificate75@gmail.com; Timestamp: Sep 2 2024 10:06 PM</t>
  </si>
  <si>
    <t xml:space="preserve">RIMBA SAKTI </t>
  </si>
  <si>
    <t>rimbasakti18@gmail.com</t>
  </si>
  <si>
    <t>4310</t>
  </si>
  <si>
    <t>1fhN9G_0UfBy8pn-eqdzErd8mmzu_dvSr</t>
  </si>
  <si>
    <t>https://drive.google.com/file/d/1fhN9G_0UfBy8pn-eqdzErd8mmzu_dvSr/view?usp=drivesdk</t>
  </si>
  <si>
    <t>NI MADE ARIANI</t>
  </si>
  <si>
    <t>nimadeariani001@gmail.com</t>
  </si>
  <si>
    <t>4311</t>
  </si>
  <si>
    <t>1ZMFLfXExNKRxTn6DG3gdlrvkerT_gwdG</t>
  </si>
  <si>
    <t>https://drive.google.com/file/d/1ZMFLfXExNKRxTn6DG3gdlrvkerT_gwdG/view?usp=drivesdk</t>
  </si>
  <si>
    <t>SURYA NINGSIH</t>
  </si>
  <si>
    <t>suryaningsih1974@gmail.com</t>
  </si>
  <si>
    <t>4312</t>
  </si>
  <si>
    <t>1X9D-Fy9uCRk1xESKF82xLPXJWsCpJb67</t>
  </si>
  <si>
    <t>https://drive.google.com/file/d/1X9D-Fy9uCRk1xESKF82xLPXJWsCpJb67/view?usp=drivesdk</t>
  </si>
  <si>
    <t>RUSMIATUN, S.Sos</t>
  </si>
  <si>
    <t>rusmiatun53@gmail.com</t>
  </si>
  <si>
    <t>4313</t>
  </si>
  <si>
    <t>1J_8n0HfQif5GnSERVgI7uVru-QrRxxtc</t>
  </si>
  <si>
    <t>https://drive.google.com/file/d/1J_8n0HfQif5GnSERVgI7uVru-QrRxxtc/view?usp=drivesdk</t>
  </si>
  <si>
    <t>SUHARYONO</t>
  </si>
  <si>
    <t>yonosuharyono668@gmail.com</t>
  </si>
  <si>
    <t>4314</t>
  </si>
  <si>
    <t>17--srMRr1ZV6TLUjuQO8XnQULmzb4IPB</t>
  </si>
  <si>
    <t>https://drive.google.com/file/d/17--srMRr1ZV6TLUjuQO8XnQULmzb4IPB/view?usp=drivesdk</t>
  </si>
  <si>
    <t>Document successfully created; Document successfully merged; PDF created; !!Error Sending Emails: Service invoked too many times for one day: email.; Manually run by ecertificate75@gmail.com; Timestamp: Sep 2 2024 10:07 PM</t>
  </si>
  <si>
    <t>ADI RACHMAT, S.E.</t>
  </si>
  <si>
    <t>adi.rachmat83@gmail.com</t>
  </si>
  <si>
    <t>4315</t>
  </si>
  <si>
    <t>1Scr-vu9xkwcEhHerGku2a2g73GYzCnvZ</t>
  </si>
  <si>
    <t>https://drive.google.com/file/d/1Scr-vu9xkwcEhHerGku2a2g73GYzCnvZ/view?usp=drivesdk</t>
  </si>
  <si>
    <t>JARLINUM RAHAYU</t>
  </si>
  <si>
    <t>jarlinumrahayu@80g.mail.com</t>
  </si>
  <si>
    <t>4316</t>
  </si>
  <si>
    <t>1AQvhChSZxPt-_-wldHZcT6n3p5PxKzOh</t>
  </si>
  <si>
    <t>https://drive.google.com/file/d/1AQvhChSZxPt-_-wldHZcT6n3p5PxKzOh/view?usp=drivesdk</t>
  </si>
  <si>
    <t>HERI SUGIARTO</t>
  </si>
  <si>
    <t>herisugiarto1074@gmail.com</t>
  </si>
  <si>
    <t>4317</t>
  </si>
  <si>
    <t>15MTutpTyXXaD1R9H5J7XOGJLPFd-hY_u</t>
  </si>
  <si>
    <t>https://drive.google.com/file/d/15MTutpTyXXaD1R9H5J7XOGJLPFd-hY_u/view?usp=drivesdk</t>
  </si>
  <si>
    <t xml:space="preserve">SRI HARTATI </t>
  </si>
  <si>
    <t>hartatisri75328@gmail.com</t>
  </si>
  <si>
    <t>4318</t>
  </si>
  <si>
    <t>1Hq5mqS9MyiIwY4dalwygORi2uK0Ewx_M</t>
  </si>
  <si>
    <t>https://drive.google.com/file/d/1Hq5mqS9MyiIwY4dalwygORi2uK0Ewx_M/view?usp=drivesdk</t>
  </si>
  <si>
    <t>Document successfully created; Document successfully merged; PDF created; !!Error Sending Emails: Service invoked too many times for one day: email.; Manually run by ecertificate75@gmail.com; Timestamp: Sep 2 2024 10:08 PM</t>
  </si>
  <si>
    <t>ASEP SUPARYANA</t>
  </si>
  <si>
    <t>asepsuparyana10@gmail.com</t>
  </si>
  <si>
    <t>4319</t>
  </si>
  <si>
    <t>11w-mcHnOks5DP-4XGvZE0gS5Yue8ezbl</t>
  </si>
  <si>
    <t>https://drive.google.com/file/d/11w-mcHnOks5DP-4XGvZE0gS5Yue8ezbl/view?usp=drivesdk</t>
  </si>
  <si>
    <t>dr. PUTU CINDRA PRAMESWARI</t>
  </si>
  <si>
    <t>cindrazoom86@gmail.com</t>
  </si>
  <si>
    <t>4320</t>
  </si>
  <si>
    <t>1-26JAaxNKKVcXBbL-Db15kLxndm2Zrq3</t>
  </si>
  <si>
    <t>https://drive.google.com/file/d/1-26JAaxNKKVcXBbL-Db15kLxndm2Zrq3/view?usp=drivesdk</t>
  </si>
  <si>
    <t>YULIAWATI</t>
  </si>
  <si>
    <t>liayuliawatii22.ly@gmail.com</t>
  </si>
  <si>
    <t>4321</t>
  </si>
  <si>
    <t>1mB1PraeuTs9-MRUCvI5u8kVUndaY0B7l</t>
  </si>
  <si>
    <t>https://drive.google.com/file/d/1mB1PraeuTs9-MRUCvI5u8kVUndaY0B7l/view?usp=drivesdk</t>
  </si>
  <si>
    <t>ZULFIKRI M, S.Ak</t>
  </si>
  <si>
    <t>zulfikrizulfikri37@gmail.com</t>
  </si>
  <si>
    <t>4322</t>
  </si>
  <si>
    <t>Starting at Thu Aug 29 2024 21:25:26 GMT-0400 (EDT)</t>
  </si>
  <si>
    <t>1sGQKLg5-0-P1um44LrHm6UvLR5fQkcHP</t>
  </si>
  <si>
    <t>https://drive.google.com/file/d/1sGQKLg5-0-P1um44LrHm6UvLR5fQkcHP/view?usp=drivesdk</t>
  </si>
  <si>
    <t>Document successfully created; Document successfully merged; PDF created; !!Error Sending Emails: Service invoked too many times for one day: email.; Manually run by ecertificate75@gmail.com; Timestamp: Sep 2 2024 10:09 PM</t>
  </si>
  <si>
    <t>EVA YULITA, S.Pd</t>
  </si>
  <si>
    <t>evayulita70@gmail.com</t>
  </si>
  <si>
    <t>4323</t>
  </si>
  <si>
    <t>1OsY4DWAOOEkfSXncUwd7AS2rHS-X-jk6</t>
  </si>
  <si>
    <t>https://drive.google.com/file/d/1OsY4DWAOOEkfSXncUwd7AS2rHS-X-jk6/view?usp=drivesdk</t>
  </si>
  <si>
    <t>TITIN NUR AMINY</t>
  </si>
  <si>
    <t>hawwaritsani@gmail.com</t>
  </si>
  <si>
    <t>4324</t>
  </si>
  <si>
    <t>Starting at Thu Aug 29 2024 21:25:28 GMT-0400 (EDT)</t>
  </si>
  <si>
    <t>11I6Bb6QQ-WQlAdcIBsYNi1g7OUk2gLjz</t>
  </si>
  <si>
    <t>https://drive.google.com/file/d/11I6Bb6QQ-WQlAdcIBsYNi1g7OUk2gLjz/view?usp=drivesdk</t>
  </si>
  <si>
    <t>WIENDA INDAH PRIHATINA,S.FARM.,M.M</t>
  </si>
  <si>
    <t>wiendaindah83@gmail.com</t>
  </si>
  <si>
    <t>4325</t>
  </si>
  <si>
    <t>Starting at Thu Aug 29 2024 21:25:29 GMT-0400 (EDT)</t>
  </si>
  <si>
    <t>1CkMmNLOQssnBellhjz2Ul65Kt-Lutgsd</t>
  </si>
  <si>
    <t>https://drive.google.com/file/d/1CkMmNLOQssnBellhjz2Ul65Kt-Lutgsd/view?usp=drivesdk</t>
  </si>
  <si>
    <t>MOKHAMMAD SALEH</t>
  </si>
  <si>
    <t>salehirza40@gmail.com</t>
  </si>
  <si>
    <t>4326</t>
  </si>
  <si>
    <t>1KvcrNbArnPgoSobvIyz-Cwxq6VQiC3Jz</t>
  </si>
  <si>
    <t>https://drive.google.com/file/d/1KvcrNbArnPgoSobvIyz-Cwxq6VQiC3Jz/view?usp=drivesdk</t>
  </si>
  <si>
    <t>ENI SUPRAPTI</t>
  </si>
  <si>
    <t>enisuprapti14@gmail.com</t>
  </si>
  <si>
    <t>4327</t>
  </si>
  <si>
    <t>12HXxDh9MSx-Ws3ZZUuA64IBhTX55vbiM</t>
  </si>
  <si>
    <t>https://drive.google.com/file/d/12HXxDh9MSx-Ws3ZZUuA64IBhTX55vbiM/view?usp=drivesdk</t>
  </si>
  <si>
    <t>Document successfully created; Document successfully merged; PDF created; !!Error Sending Emails: Service invoked too many times for one day: email.; Manually run by ecertificate75@gmail.com; Timestamp: Sep 2 2024 10:10 PM</t>
  </si>
  <si>
    <t>BUNAWAN</t>
  </si>
  <si>
    <t>bunawan83@gmail.com</t>
  </si>
  <si>
    <t>4328</t>
  </si>
  <si>
    <t>1mUGyYw4N5YNc2jHfldZyrX23cFCtP2hG</t>
  </si>
  <si>
    <t>https://drive.google.com/file/d/1mUGyYw4N5YNc2jHfldZyrX23cFCtP2hG/view?usp=drivesdk</t>
  </si>
  <si>
    <t>SURYANTI</t>
  </si>
  <si>
    <t>suryantisur70@gmail.com</t>
  </si>
  <si>
    <t>4329</t>
  </si>
  <si>
    <t>1yeFNzSnFlCSE3KDQtgDnAGpaI6JTQNGM</t>
  </si>
  <si>
    <t>https://drive.google.com/file/d/1yeFNzSnFlCSE3KDQtgDnAGpaI6JTQNGM/view?usp=drivesdk</t>
  </si>
  <si>
    <t>IMAN SETIAWAN</t>
  </si>
  <si>
    <t>athafariz313@gmail.com</t>
  </si>
  <si>
    <t>4330</t>
  </si>
  <si>
    <t>1FX54Uvk_wDj0gH7FRHNFeBWHaWyfXT0D</t>
  </si>
  <si>
    <t>https://drive.google.com/file/d/1FX54Uvk_wDj0gH7FRHNFeBWHaWyfXT0D/view?usp=drivesdk</t>
  </si>
  <si>
    <t>WARDIANTO</t>
  </si>
  <si>
    <t>wardi.prana@gmail.com</t>
  </si>
  <si>
    <t>4331</t>
  </si>
  <si>
    <t>1wIu_-pwaryZg62NUegT_XR5p4Bp6zdPb</t>
  </si>
  <si>
    <t>https://drive.google.com/file/d/1wIu_-pwaryZg62NUegT_XR5p4Bp6zdPb/view?usp=drivesdk</t>
  </si>
  <si>
    <t>Document successfully created; Document successfully merged; PDF created; !!Error Sending Emails: Service invoked too many times for one day: email.; Manually run by ecertificate75@gmail.com; Timestamp: Sep 2 2024 10:11 PM</t>
  </si>
  <si>
    <t xml:space="preserve">MUH DAWUD </t>
  </si>
  <si>
    <t>dawuddian020@gmail.com</t>
  </si>
  <si>
    <t>4332</t>
  </si>
  <si>
    <t>Starting at Thu Aug 29 2024 21:25:35 GMT-0400 (EDT)</t>
  </si>
  <si>
    <t>1JM8rLxUnrqDz8xrJK3RKL3q-cbLCmFj6</t>
  </si>
  <si>
    <t>https://drive.google.com/file/d/1JM8rLxUnrqDz8xrJK3RKL3q-cbLCmFj6/view?usp=drivesdk</t>
  </si>
  <si>
    <t>M. Nasrul Ramadhan,A.Md.Kep</t>
  </si>
  <si>
    <t>nasrulr31@gmail.com</t>
  </si>
  <si>
    <t>4333</t>
  </si>
  <si>
    <t>1mryhRqSTUGXTLM53nDWILz0juBfNNXAv</t>
  </si>
  <si>
    <t>https://drive.google.com/file/d/1mryhRqSTUGXTLM53nDWILz0juBfNNXAv/view?usp=drivesdk</t>
  </si>
  <si>
    <t>NENI RUSDIANI</t>
  </si>
  <si>
    <t>neni166464@gmail.com</t>
  </si>
  <si>
    <t>4334</t>
  </si>
  <si>
    <t>1FlsJNSkLxDxUT_JYMI72OnpMi-pGE2ce</t>
  </si>
  <si>
    <t>https://drive.google.com/file/d/1FlsJNSkLxDxUT_JYMI72OnpMi-pGE2ce/view?usp=drivesdk</t>
  </si>
  <si>
    <t>MEGAWATI</t>
  </si>
  <si>
    <t>meega.aisyah@gmail.com</t>
  </si>
  <si>
    <t>4335</t>
  </si>
  <si>
    <t>1Rlg9zL2ds9D0Vwb-f2ywPzTzHJh84CUa</t>
  </si>
  <si>
    <t>https://drive.google.com/file/d/1Rlg9zL2ds9D0Vwb-f2ywPzTzHJh84CUa/view?usp=drivesdk</t>
  </si>
  <si>
    <t>DINUL HAQ AMD.KEP</t>
  </si>
  <si>
    <t>dhaq30@gmail.com</t>
  </si>
  <si>
    <t>4336</t>
  </si>
  <si>
    <t>1melIDPc3h5nLX_u29qvNgHOTBjBWW8kZ</t>
  </si>
  <si>
    <t>https://drive.google.com/file/d/1melIDPc3h5nLX_u29qvNgHOTBjBWW8kZ/view?usp=drivesdk</t>
  </si>
  <si>
    <t>Document successfully created; Document successfully merged; PDF created; !!Error Sending Emails: Service invoked too many times for one day: email.; Manually run by ecertificate75@gmail.com; Timestamp: Sep 2 2024 10:12 PM</t>
  </si>
  <si>
    <t xml:space="preserve">DEVA RATINI LENANINGSIH </t>
  </si>
  <si>
    <t>mamabimaaqila@gmail.com</t>
  </si>
  <si>
    <t>4337</t>
  </si>
  <si>
    <t>1rP9Z28xCZwWvnt1j7O0eSVpiYqN_G4HO</t>
  </si>
  <si>
    <t>https://drive.google.com/file/d/1rP9Z28xCZwWvnt1j7O0eSVpiYqN_G4HO/view?usp=drivesdk</t>
  </si>
  <si>
    <t>RADEN ALREFA WAHYU PUTRANTO</t>
  </si>
  <si>
    <t>radenalrefa07@gmail.com</t>
  </si>
  <si>
    <t>4338</t>
  </si>
  <si>
    <t>1hPOBvEf9tIyoOWh4fauiucv0kzJbiZNZ</t>
  </si>
  <si>
    <t>https://drive.google.com/file/d/1hPOBvEf9tIyoOWh4fauiucv0kzJbiZNZ/view?usp=drivesdk</t>
  </si>
  <si>
    <t>khudaifahsalmanaulia@gmail.com</t>
  </si>
  <si>
    <t>4339</t>
  </si>
  <si>
    <t>1JHdPHoHApy4cFx2UH0fKyOVUdCCU2kCO</t>
  </si>
  <si>
    <t>https://drive.google.com/file/d/1JHdPHoHApy4cFx2UH0fKyOVUdCCU2kCO/view?usp=drivesdk</t>
  </si>
  <si>
    <t>LILLAH KURNIAWATI, S.AP.</t>
  </si>
  <si>
    <t>lillah.kurniawati@gmail.com</t>
  </si>
  <si>
    <t>4340</t>
  </si>
  <si>
    <t>10ASuffngNbwx2v7CgamjTwZRBmnEBihj</t>
  </si>
  <si>
    <t>https://drive.google.com/file/d/10ASuffngNbwx2v7CgamjTwZRBmnEBihj/view?usp=drivesdk</t>
  </si>
  <si>
    <t>Document successfully created; Document successfully merged; PDF created; !!Error Sending Emails: Service invoked too many times for one day: email.; Manually run by ecertificate75@gmail.com; Timestamp: Sep 2 2024 10:13 PM</t>
  </si>
  <si>
    <t>sugiono0369@gmail.com</t>
  </si>
  <si>
    <t>4341</t>
  </si>
  <si>
    <t>1ReCZ33tsxDUXqwb3eFjZJ6ls5OcwD2TX</t>
  </si>
  <si>
    <t>https://drive.google.com/file/d/1ReCZ33tsxDUXqwb3eFjZJ6ls5OcwD2TX/view?usp=drivesdk</t>
  </si>
  <si>
    <t>BASIMAN</t>
  </si>
  <si>
    <t>Basimanaja0808@gmail.com</t>
  </si>
  <si>
    <t>4342</t>
  </si>
  <si>
    <t>1Jk8uEXJSXBhyCOYzCDYstfG_7W4WQRto</t>
  </si>
  <si>
    <t>https://drive.google.com/file/d/1Jk8uEXJSXBhyCOYzCDYstfG_7W4WQRto/view?usp=drivesdk</t>
  </si>
  <si>
    <t>Dr.DEBBY</t>
  </si>
  <si>
    <t>debby.db.2014@gmail.com</t>
  </si>
  <si>
    <t>4343</t>
  </si>
  <si>
    <t>1Lrl9l6bLC1SUTQsSGdqEnbbpfXOV8Lhk</t>
  </si>
  <si>
    <t>https://drive.google.com/file/d/1Lrl9l6bLC1SUTQsSGdqEnbbpfXOV8Lhk/view?usp=drivesdk</t>
  </si>
  <si>
    <t>herlinapku14@gmail.com</t>
  </si>
  <si>
    <t>4344</t>
  </si>
  <si>
    <t>1c5l6O_9iRwGKA1pxvHLE9qriFxrxDmyy</t>
  </si>
  <si>
    <t>https://drive.google.com/file/d/1c5l6O_9iRwGKA1pxvHLE9qriFxrxDmyy/view?usp=drivesdk</t>
  </si>
  <si>
    <t>Document successfully created; Document successfully merged; PDF created; !!Error Sending Emails: Service invoked too many times for one day: email.; Manually run by ecertificate75@gmail.com; Timestamp: Sep 2 2024 10:14 PM</t>
  </si>
  <si>
    <t>NURWAHIDAH,S.IP</t>
  </si>
  <si>
    <t>nurwahidahsdm70@gmail.com</t>
  </si>
  <si>
    <t>4345</t>
  </si>
  <si>
    <t>1oxqeh4e6UlOPlsBe9f8bHP05vzImCeX1</t>
  </si>
  <si>
    <t>https://drive.google.com/file/d/1oxqeh4e6UlOPlsBe9f8bHP05vzImCeX1/view?usp=drivesdk</t>
  </si>
  <si>
    <t>APRIONO,S.E</t>
  </si>
  <si>
    <t>apriono0429@gmail.com</t>
  </si>
  <si>
    <t>4346</t>
  </si>
  <si>
    <t>1b2PkfCeAGvgpgdp2gCA2-hrmLKV30u3P</t>
  </si>
  <si>
    <t>https://drive.google.com/file/d/1b2PkfCeAGvgpgdp2gCA2-hrmLKV30u3P/view?usp=drivesdk</t>
  </si>
  <si>
    <t>DINA SORAYYA</t>
  </si>
  <si>
    <t>dinasorayya@gmail.com</t>
  </si>
  <si>
    <t>4347</t>
  </si>
  <si>
    <t>1mCEJRn4HVykNluZOszm24-DjntCFxo0F</t>
  </si>
  <si>
    <t>https://drive.google.com/file/d/1mCEJRn4HVykNluZOszm24-DjntCFxo0F/view?usp=drivesdk</t>
  </si>
  <si>
    <t>YADI SUPRIADI</t>
  </si>
  <si>
    <t>yadichuya1981@gmail.com</t>
  </si>
  <si>
    <t>4348</t>
  </si>
  <si>
    <t>1MCnrPTsQQQHtSgA8ABN2koKeg9_OHTXr</t>
  </si>
  <si>
    <t>https://drive.google.com/file/d/1MCnrPTsQQQHtSgA8ABN2koKeg9_OHTXr/view?usp=drivesdk</t>
  </si>
  <si>
    <t>Document successfully created; Document successfully merged; PDF created; !!Error Sending Emails: Service invoked too many times for one day: email.; Manually run by ecertificate75@gmail.com; Timestamp: Sep 2 2024 10:15 PM</t>
  </si>
  <si>
    <t>HELMADINAH SIMANJUNTAK</t>
  </si>
  <si>
    <t>helmadinajuntak@gmail.com</t>
  </si>
  <si>
    <t>4349</t>
  </si>
  <si>
    <t>12Bah3KtMzGMV0P1kxZb3UhvKC1FIiBMv</t>
  </si>
  <si>
    <t>https://drive.google.com/file/d/12Bah3KtMzGMV0P1kxZb3UhvKC1FIiBMv/view?usp=drivesdk</t>
  </si>
  <si>
    <t>PENGATUR TK I ASIAH</t>
  </si>
  <si>
    <t>asiajmb01@gmail.com</t>
  </si>
  <si>
    <t>4350</t>
  </si>
  <si>
    <t>Starting at Thu Aug 29 2024 21:25:37 GMT-0400 (EDT)</t>
  </si>
  <si>
    <t>13J2_K_f4dSZpuyLeWzCyQw_BkGUl6GEf</t>
  </si>
  <si>
    <t>https://drive.google.com/file/d/13J2_K_f4dSZpuyLeWzCyQw_BkGUl6GEf/view?usp=drivesdk</t>
  </si>
  <si>
    <t>HADI MULYONO</t>
  </si>
  <si>
    <t>satgasusrajawali@gmail.com</t>
  </si>
  <si>
    <t>4351</t>
  </si>
  <si>
    <t>1WHdRr_44zPDhSRELPQ0rriWeoDbRMNrx</t>
  </si>
  <si>
    <t>https://drive.google.com/file/d/1WHdRr_44zPDhSRELPQ0rriWeoDbRMNrx/view?usp=drivesdk</t>
  </si>
  <si>
    <t>M.SOFIAN</t>
  </si>
  <si>
    <t>muhammadsofian348@mael.com</t>
  </si>
  <si>
    <t>4352</t>
  </si>
  <si>
    <t>Starting at Thu Aug 29 2024 21:25:39 GMT-0400 (EDT)</t>
  </si>
  <si>
    <t>1Rt9PODutJfh7eK6zCpO07eLBfdX1HYLd</t>
  </si>
  <si>
    <t>https://drive.google.com/file/d/1Rt9PODutJfh7eK6zCpO07eLBfdX1HYLd/view?usp=drivesdk</t>
  </si>
  <si>
    <t>MUNAWAR SOKEH</t>
  </si>
  <si>
    <t>helosmunawar@gmail.com</t>
  </si>
  <si>
    <t>4353</t>
  </si>
  <si>
    <t>1ovLjZlMPjiV-HZqWveaG81qWgR57vnOI</t>
  </si>
  <si>
    <t>https://drive.google.com/file/d/1ovLjZlMPjiV-HZqWveaG81qWgR57vnOI/view?usp=drivesdk</t>
  </si>
  <si>
    <t>Document successfully created; Document successfully merged; PDF created; !!Error Sending Emails: Service invoked too many times for one day: email.; Manually run by ecertificate75@gmail.com; Timestamp: Sep 2 2024 10:16 PM</t>
  </si>
  <si>
    <t>tokobutintoko@gmail.com</t>
  </si>
  <si>
    <t>4354</t>
  </si>
  <si>
    <t>Starting at Thu Aug 29 2024 21:25:40 GMT-0400 (EDT)</t>
  </si>
  <si>
    <t>1t1Pah3mdEo8N02xsmS5GdKkuxJMecyGx</t>
  </si>
  <si>
    <t>https://drive.google.com/file/d/1t1Pah3mdEo8N02xsmS5GdKkuxJMecyGx/view?usp=drivesdk</t>
  </si>
  <si>
    <t>TITIK NENG RAHAYU, S.Psi.</t>
  </si>
  <si>
    <t>donitristan9@gmail.com</t>
  </si>
  <si>
    <t>4355</t>
  </si>
  <si>
    <t>https://drive.google.com/file/d/1UpcmFk2477Ef3bmyX8lNk69fADFRKC8s/view?usp=drivesdk</t>
  </si>
  <si>
    <t>1UpcmFk2477Ef3bmyX8lNk69fADFRKC8s</t>
  </si>
  <si>
    <t>16_UVxyNEOS9pepPiUcuvhyKJjplLoQ32</t>
  </si>
  <si>
    <t>https://drive.google.com/file/d/16_UVxyNEOS9pepPiUcuvhyKJjplLoQ32/view?usp=drivesdk</t>
  </si>
  <si>
    <t>SURIPTO</t>
  </si>
  <si>
    <t>arultito@gmail.com</t>
  </si>
  <si>
    <t>4356</t>
  </si>
  <si>
    <t>https://drive.google.com/file/d/1QF3mZvfQq-RLgcRo60HPyMVX0a2-STTy/view?usp=drivesdk</t>
  </si>
  <si>
    <t>1QF3mZvfQq-RLgcRo60HPyMVX0a2-STTy</t>
  </si>
  <si>
    <t>11DTUEQsKAh3AE4xnSWviqKrssbZymP9A</t>
  </si>
  <si>
    <t>https://drive.google.com/file/d/11DTUEQsKAh3AE4xnSWviqKrssbZymP9A/view?usp=drivesdk</t>
  </si>
  <si>
    <t>Document successfully created; Document successfully merged; PDF created; !!Error Sending Emails: Service invoked too many times for one day: email.; Manually run by ecertificate75@gmail.com; Timestamp: Sep 2 2024 10:17 PM</t>
  </si>
  <si>
    <t>ANISA PURNAWATI, SE.</t>
  </si>
  <si>
    <t>anisapurnawati07@gmail.com</t>
  </si>
  <si>
    <t>4357</t>
  </si>
  <si>
    <t>https://drive.google.com/file/d/138XS91MSmV4HvQ_ILwcte13bO5TzWXJk/view?usp=drivesdk</t>
  </si>
  <si>
    <t>138XS91MSmV4HvQ_ILwcte13bO5TzWXJk</t>
  </si>
  <si>
    <t>1DYOAxvD2t408KYhYihAc-zb7ZefdtyEM</t>
  </si>
  <si>
    <t>https://drive.google.com/file/d/1DYOAxvD2t408KYhYihAc-zb7ZefdtyEM/view?usp=drivesdk</t>
  </si>
  <si>
    <t>Document successfully created; Document successfully merged; PDF created; !!Error Sending Emails: Service invoked too many times for one day: email.; Run via form trigger as ecertificate75@gmail.com; Timestamp: Sep 2 2024 7:16 AM</t>
  </si>
  <si>
    <t>AGUS ARIFIN, SH</t>
  </si>
  <si>
    <t>aguseuy83@gmail.com</t>
  </si>
  <si>
    <t>4358</t>
  </si>
  <si>
    <t>Starting at Thu Aug 29 2024 21:25:45 GMT-0400 (EDT)</t>
  </si>
  <si>
    <t>1m9ZKL60mUFzAiLvRPquRFj1Q8KldkfuN</t>
  </si>
  <si>
    <t>https://drive.google.com/file/d/1m9ZKL60mUFzAiLvRPquRFj1Q8KldkfuN/view?usp=drivesdk</t>
  </si>
  <si>
    <t>YUHERNIS</t>
  </si>
  <si>
    <t>yuhernis90@gmail.com</t>
  </si>
  <si>
    <t>4359</t>
  </si>
  <si>
    <t>1P18_vYPkjWV4LQneLyhxf0oW7xiabN_L</t>
  </si>
  <si>
    <t>https://drive.google.com/file/d/1P18_vYPkjWV4LQneLyhxf0oW7xiabN_L/view?usp=drivesdk</t>
  </si>
  <si>
    <t>Document successfully created; Document successfully merged; PDF created; !!Error Sending Emails: Service invoked too many times for one day: email.; Run via form trigger as ecertificate75@gmail.com; Timestamp: Sep 2 2024 7:17 AM</t>
  </si>
  <si>
    <t>WIWIN PUJAYANTI, A.Md.Far.</t>
  </si>
  <si>
    <t>wiwinpujayanti@gmail.com</t>
  </si>
  <si>
    <t>4360</t>
  </si>
  <si>
    <t>https://drive.google.com/file/d/16B-MrkrfxLjSLBjtR0-1op2NroIuT4XN/view?usp=drivesdk</t>
  </si>
  <si>
    <t>16B-MrkrfxLjSLBjtR0-1op2NroIuT4XN</t>
  </si>
  <si>
    <t>14qojSh3TZ3PAFKQUGCqGgOCY-FLxAYgB</t>
  </si>
  <si>
    <t>https://drive.google.com/file/d/14qojSh3TZ3PAFKQUGCqGgOCY-FLxAYgB/view?usp=drivesdk</t>
  </si>
  <si>
    <t>srihartini100@gmail.com</t>
  </si>
  <si>
    <t>4361</t>
  </si>
  <si>
    <t>https://drive.google.com/file/d/1y3-9cUwoXGoDBFyV_Bcw6Wa_zhUjghb4/view?usp=drivesdk</t>
  </si>
  <si>
    <t>1y3-9cUwoXGoDBFyV_Bcw6Wa_zhUjghb4</t>
  </si>
  <si>
    <t>1s9Gpc9sSceW7hthcBE3e0sCpRsk0o7nm</t>
  </si>
  <si>
    <t>https://drive.google.com/file/d/1s9Gpc9sSceW7hthcBE3e0sCpRsk0o7nm/view?usp=drivesdk</t>
  </si>
  <si>
    <t>SUGIARTO</t>
  </si>
  <si>
    <t>sugiartoa412@gmail.com</t>
  </si>
  <si>
    <t>4362</t>
  </si>
  <si>
    <t>https://drive.google.com/file/d/1SkwCxQuraO_wmuOhfsF4q3LHMXUOYKlk/view?usp=drivesdk</t>
  </si>
  <si>
    <t>1SkwCxQuraO_wmuOhfsF4q3LHMXUOYKlk</t>
  </si>
  <si>
    <t>1MYD9rC3x_0kJWHpJFCMKGzJpBA5HBkl3</t>
  </si>
  <si>
    <t>https://drive.google.com/file/d/1MYD9rC3x_0kJWHpJFCMKGzJpBA5HBkl3/view?usp=drivesdk</t>
  </si>
  <si>
    <t>Document successfully created; Document successfully merged; PDF created; !!Error Sending Emails: Service invoked too many times for one day: email.; Run via form trigger as ecertificate75@gmail.com; Timestamp: Sep 2 2024 7:18 AM</t>
  </si>
  <si>
    <t>ERNA TUMINAWATI, S.H.</t>
  </si>
  <si>
    <t>ernatuminawati1@gmail.com</t>
  </si>
  <si>
    <t>4363</t>
  </si>
  <si>
    <t>Starting at Thu Aug 29 2024 21:25:47 GMT-0400 (EDT)</t>
  </si>
  <si>
    <t>16H4abKDGxbrPHvVm8RKD1FFbcuri0IEZ</t>
  </si>
  <si>
    <t>https://drive.google.com/file/d/16H4abKDGxbrPHvVm8RKD1FFbcuri0IEZ/view?usp=drivesdk</t>
  </si>
  <si>
    <t>SUMiYATI</t>
  </si>
  <si>
    <t>sumiyati.zalika@gmail.com</t>
  </si>
  <si>
    <t>4364</t>
  </si>
  <si>
    <t>https://drive.google.com/file/d/1aCvB2CWKpbwR4OSf6_71Ceplsun3Kkrr/view?usp=drivesdk</t>
  </si>
  <si>
    <t>1aCvB2CWKpbwR4OSf6_71Ceplsun3Kkrr</t>
  </si>
  <si>
    <t>12S_Ts5Oml3MvlJmpEgGgfkT8Ju79tIKU</t>
  </si>
  <si>
    <t>https://drive.google.com/file/d/12S_Ts5Oml3MvlJmpEgGgfkT8Ju79tIKU/view?usp=drivesdk</t>
  </si>
  <si>
    <t xml:space="preserve">SELVIA FITRI MULYANTI </t>
  </si>
  <si>
    <t>selvialovely@gmail.com</t>
  </si>
  <si>
    <t>4365</t>
  </si>
  <si>
    <t>https://drive.google.com/file/d/1MdAdjfJkMNEZbameoY8zuhdEHgaQNU6z/view?usp=drivesdk</t>
  </si>
  <si>
    <t>1MdAdjfJkMNEZbameoY8zuhdEHgaQNU6z</t>
  </si>
  <si>
    <t>1ULKf0NH1u-1UO4VJE55v-gqZtlZgrY4T</t>
  </si>
  <si>
    <t>https://drive.google.com/file/d/1ULKf0NH1u-1UO4VJE55v-gqZtlZgrY4T/view?usp=drivesdk</t>
  </si>
  <si>
    <t>TUGI EKWAN</t>
  </si>
  <si>
    <t>tugiekwan@gmail.com</t>
  </si>
  <si>
    <t>4366</t>
  </si>
  <si>
    <t>https://drive.google.com/file/d/1v5IdnspGr5YzfqNLSmGydOuJ5huK2NJ8/view?usp=drivesdk</t>
  </si>
  <si>
    <t>1v5IdnspGr5YzfqNLSmGydOuJ5huK2NJ8</t>
  </si>
  <si>
    <t>16CM5NXXRryVatYVHQIN4NtyeNExokURd</t>
  </si>
  <si>
    <t>https://drive.google.com/file/d/16CM5NXXRryVatYVHQIN4NtyeNExokURd/view?usp=drivesdk</t>
  </si>
  <si>
    <t>YUNO ALYUDIN, S.T.</t>
  </si>
  <si>
    <t>barjalugawa@gmail.com</t>
  </si>
  <si>
    <t>4367</t>
  </si>
  <si>
    <t>https://drive.google.com/file/d/1wC6hmDqeK-gUbV6-RnvbuEXLzA6f165b/view?usp=drivesdk</t>
  </si>
  <si>
    <t>1wC6hmDqeK-gUbV6-RnvbuEXLzA6f165b</t>
  </si>
  <si>
    <t>13_7GTBvAwdmDZWOG1XEIiyCLF9zPL8wM</t>
  </si>
  <si>
    <t>https://drive.google.com/file/d/13_7GTBvAwdmDZWOG1XEIiyCLF9zPL8wM/view?usp=drivesdk</t>
  </si>
  <si>
    <t>Document successfully created; Document successfully merged; PDF created; !!Error Sending Emails: Service invoked too many times for one day: email.; Run via form trigger as ecertificate75@gmail.com; Timestamp: Sep 2 2024 7:19 AM</t>
  </si>
  <si>
    <t>SRI REJEKI WINDARNINGSIH</t>
  </si>
  <si>
    <t>srirejeki69@gmail.com</t>
  </si>
  <si>
    <t>4368</t>
  </si>
  <si>
    <t>https://drive.google.com/file/d/1GyruqO0cpkdI3O7yM-0ojaynkZdPhD8f/view?usp=drivesdk</t>
  </si>
  <si>
    <t>1GyruqO0cpkdI3O7yM-0ojaynkZdPhD8f</t>
  </si>
  <si>
    <t>1IY1TTGhIwWlIuYGK4NO4me4R2Uj2uEGk</t>
  </si>
  <si>
    <t>https://drive.google.com/file/d/1IY1TTGhIwWlIuYGK4NO4me4R2Uj2uEGk/view?usp=drivesdk</t>
  </si>
  <si>
    <t>NI YUR YURNI</t>
  </si>
  <si>
    <t>niyur5046@gnail.com</t>
  </si>
  <si>
    <t>4369</t>
  </si>
  <si>
    <t>https://drive.google.com/file/d/1HERXb2N_a5jLLgv56AojRw2F2xWBvBT6/view?usp=drivesdk</t>
  </si>
  <si>
    <t>1HERXb2N_a5jLLgv56AojRw2F2xWBvBT6</t>
  </si>
  <si>
    <t>1Y8xb8gr8UVR2lhLLOfq5b4RvVXgGx8yE</t>
  </si>
  <si>
    <t>https://drive.google.com/file/d/1Y8xb8gr8UVR2lhLLOfq5b4RvVXgGx8yE/view?usp=drivesdk</t>
  </si>
  <si>
    <t>NURUL MUNA,S.E.</t>
  </si>
  <si>
    <t>renmin.binmas.kalsel@gmail.com</t>
  </si>
  <si>
    <t>4370</t>
  </si>
  <si>
    <t>https://drive.google.com/file/d/1JZ6sHAeFOCKjWmRzG8csPe2BVI9T2sAX/view?usp=drivesdk</t>
  </si>
  <si>
    <t>1JZ6sHAeFOCKjWmRzG8csPe2BVI9T2sAX</t>
  </si>
  <si>
    <t>1ZdkVWZZ2jKzaqeLnM_e4fo4DCKwTslB-</t>
  </si>
  <si>
    <t>https://drive.google.com/file/d/1ZdkVWZZ2jKzaqeLnM_e4fo4DCKwTslB-/view?usp=drivesdk</t>
  </si>
  <si>
    <t>DEDY DERMAWAN</t>
  </si>
  <si>
    <t>dedyder3@gmail.com</t>
  </si>
  <si>
    <t>4371</t>
  </si>
  <si>
    <t>https://drive.google.com/file/d/1R2mJn-2V-i93uQDQiKe62-TiQkj_wgIb/view?usp=drivesdk</t>
  </si>
  <si>
    <t>1R2mJn-2V-i93uQDQiKe62-TiQkj_wgIb</t>
  </si>
  <si>
    <t>1-lmHk8SzNkN-Cf0uFxoLgegym-W9BZlS</t>
  </si>
  <si>
    <t>https://drive.google.com/file/d/1-lmHk8SzNkN-Cf0uFxoLgegym-W9BZlS/view?usp=drivesdk</t>
  </si>
  <si>
    <t>Document successfully created; Document successfully merged; PDF created; !!Error Sending Emails: Service invoked too many times for one day: email.; Run via form trigger as ecertificate75@gmail.com; Timestamp: Sep 2 2024 7:20 AM</t>
  </si>
  <si>
    <t>HARI SUTIYONO</t>
  </si>
  <si>
    <t>harisutiyono1@gmail.com</t>
  </si>
  <si>
    <t>4372</t>
  </si>
  <si>
    <t>https://drive.google.com/file/d/1HQPmB41WbaTyXFvnJ8mnGsLuDGkhxRck/view?usp=drivesdk</t>
  </si>
  <si>
    <t>1HQPmB41WbaTyXFvnJ8mnGsLuDGkhxRck</t>
  </si>
  <si>
    <t>1tlAgemFvRhKVMSJy5wIlDK-qhGi18qwM</t>
  </si>
  <si>
    <t>https://drive.google.com/file/d/1tlAgemFvRhKVMSJy5wIlDK-qhGi18qwM/view?usp=drivesdk</t>
  </si>
  <si>
    <t>REHAYAVABI ANDISKA PUTRI, A.Md.Kep</t>
  </si>
  <si>
    <t>rehayavani@gmail.com</t>
  </si>
  <si>
    <t>4373</t>
  </si>
  <si>
    <t>Starting at Thu Aug 29 2024 21:25:55 GMT-0400 (EDT)</t>
  </si>
  <si>
    <t>1FlXX8BjjQF89ZJn2gT6Rk09Uw8zBo15O</t>
  </si>
  <si>
    <t>https://drive.google.com/file/d/1FlXX8BjjQF89ZJn2gT6Rk09Uw8zBo15O/view?usp=drivesdk</t>
  </si>
  <si>
    <t>ADE SAPUTRA</t>
  </si>
  <si>
    <t>adecoy76@gmail.com</t>
  </si>
  <si>
    <t>4374</t>
  </si>
  <si>
    <t>1xXSGc0sjbokO08R_egg2C8BxsbJJdowb</t>
  </si>
  <si>
    <t>https://drive.google.com/file/d/1xXSGc0sjbokO08R_egg2C8BxsbJJdowb/view?usp=drivesdk</t>
  </si>
  <si>
    <t>Document successfully created; Document successfully merged; PDF created; !!Error Sending Emails: Service invoked too many times for one day: email.; Run via form trigger as ecertificate75@gmail.com; Timestamp: Sep 2 2024 7:21 AM</t>
  </si>
  <si>
    <t>JUNY Amd.Kep</t>
  </si>
  <si>
    <t>juny4272@gmail.com</t>
  </si>
  <si>
    <t>4375</t>
  </si>
  <si>
    <t>1qtOT3xJuMp9pglbCyV6ya20TXHowVFEW</t>
  </si>
  <si>
    <t>https://drive.google.com/file/d/1qtOT3xJuMp9pglbCyV6ya20TXHowVFEW/view?usp=drivesdk</t>
  </si>
  <si>
    <t>SEPTARINA CITRA LESTARI, AMD. Kep</t>
  </si>
  <si>
    <t>septarinacl2@gmail.com</t>
  </si>
  <si>
    <t>4376</t>
  </si>
  <si>
    <t>https://drive.google.com/file/d/1hh5JM3MpwOricWlsjsZ2ElQC1q48Os6p/view?usp=drivesdk</t>
  </si>
  <si>
    <t>1hh5JM3MpwOricWlsjsZ2ElQC1q48Os6p</t>
  </si>
  <si>
    <t>1MzgzgJf00zfMHb6g2CFEra4XATPGMZat</t>
  </si>
  <si>
    <t>https://drive.google.com/file/d/1MzgzgJf00zfMHb6g2CFEra4XATPGMZat/view?usp=drivesdk</t>
  </si>
  <si>
    <t>Document successfully created; Document successfully merged; PDF created; !!Error Sending Emails: Service invoked too many times for one day: email.; Run via form trigger as ecertificate75@gmail.com; Timestamp: Sep 2 2024 9:10 PM</t>
  </si>
  <si>
    <t>DANIAL, S.E.</t>
  </si>
  <si>
    <t>danial.tabri69@gmail.com</t>
  </si>
  <si>
    <t>4377</t>
  </si>
  <si>
    <t>https://drive.google.com/file/d/1STgggQZbZiurUWzcSPDFk7YzYQ2H97cr/view?usp=drivesdk</t>
  </si>
  <si>
    <t>1STgggQZbZiurUWzcSPDFk7YzYQ2H97cr</t>
  </si>
  <si>
    <t>1Ctd5QG3XbGy-oCO8aODyXt4ujFQnyBRS</t>
  </si>
  <si>
    <t>https://drive.google.com/file/d/1Ctd5QG3XbGy-oCO8aODyXt4ujFQnyBRS/view?usp=drivesdk</t>
  </si>
  <si>
    <t>YANI HERAWATI, S.E.</t>
  </si>
  <si>
    <t>yaniudin73@gmail.com</t>
  </si>
  <si>
    <t>4378</t>
  </si>
  <si>
    <t>https://drive.google.com/file/d/1T7-0LDRubgbikCryU5hcdvddlaMG6sJW/view?usp=drivesdk</t>
  </si>
  <si>
    <t>1T7-0LDRubgbikCryU5hcdvddlaMG6sJW</t>
  </si>
  <si>
    <t>1Hi7mIZgFmElB8-sFhFHfDJm3zUJhhMyX</t>
  </si>
  <si>
    <t>https://drive.google.com/file/d/1Hi7mIZgFmElB8-sFhFHfDJm3zUJhhMyX/view?usp=drivesdk</t>
  </si>
  <si>
    <t>RUSMIYATI</t>
  </si>
  <si>
    <t>Rusmiyati130968@gmail.com</t>
  </si>
  <si>
    <t>4379</t>
  </si>
  <si>
    <t>https://drive.google.com/file/d/1upwUH1hirD2S3yVqnKYwxjtHhrqe9Vu9/view?usp=drivesdk</t>
  </si>
  <si>
    <t>1upwUH1hirD2S3yVqnKYwxjtHhrqe9Vu9</t>
  </si>
  <si>
    <t>1g2gy0epuT4pNoj-uKKB6slUP6BDiQjHK</t>
  </si>
  <si>
    <t>https://drive.google.com/file/d/1g2gy0epuT4pNoj-uKKB6slUP6BDiQjHK/view?usp=drivesdk</t>
  </si>
  <si>
    <t>apt. FITRI FADHILLAH MU'MINAH, S. Farm</t>
  </si>
  <si>
    <t>fitrifadhilahm@gmail.com</t>
  </si>
  <si>
    <t>4380</t>
  </si>
  <si>
    <t>Starting at Thu Aug 29 2024 21:25:58 GMT-0400 (EDT)</t>
  </si>
  <si>
    <t>1LEHgqJOLI7ekH_2dE1_r1hzfbGSx_7HK</t>
  </si>
  <si>
    <t>https://drive.google.com/file/d/1LEHgqJOLI7ekH_2dE1_r1hzfbGSx_7HK/view?usp=drivesdk</t>
  </si>
  <si>
    <t>Document successfully created; Document successfully merged; PDF created; !!Error Sending Emails: Service invoked too many times for one day: email.; Run via form trigger as ecertificate75@gmail.com; Timestamp: Sep 2 2024 9:11 PM</t>
  </si>
  <si>
    <t>SUJANA</t>
  </si>
  <si>
    <t>sujanasujana657@gmail.com</t>
  </si>
  <si>
    <t>4381</t>
  </si>
  <si>
    <t>1_W8-N71dBTd5P_YzYiW8Y_5bwbWesLYc</t>
  </si>
  <si>
    <t>https://drive.google.com/file/d/1_W8-N71dBTd5P_YzYiW8Y_5bwbWesLYc/view?usp=drivesdk</t>
  </si>
  <si>
    <t>SUSILAWATI</t>
  </si>
  <si>
    <t>susilawatisusi222@gmail.com</t>
  </si>
  <si>
    <t>4382</t>
  </si>
  <si>
    <t>1PNGEWq0m0iDdlXCZweLUkWfK71TngyqG</t>
  </si>
  <si>
    <t>https://drive.google.com/file/d/1PNGEWq0m0iDdlXCZweLUkWfK71TngyqG/view?usp=drivesdk</t>
  </si>
  <si>
    <t>NURDIANA UMANAHU, AMD. KEB</t>
  </si>
  <si>
    <t>nurdianaumanahu@gmail.com</t>
  </si>
  <si>
    <t>4383</t>
  </si>
  <si>
    <t>https://drive.google.com/file/d/13xm6je0pO8yGWwuiIaUwCp7gM2kZeWXn/view?usp=drivesdk</t>
  </si>
  <si>
    <t>13xm6je0pO8yGWwuiIaUwCp7gM2kZeWXn</t>
  </si>
  <si>
    <t>1yy3PuNOMTS09c-3kvzXjsGg65uG9AqZa</t>
  </si>
  <si>
    <t>https://drive.google.com/file/d/1yy3PuNOMTS09c-3kvzXjsGg65uG9AqZa/view?usp=drivesdk</t>
  </si>
  <si>
    <t>RINA KARTIKANINGRUM</t>
  </si>
  <si>
    <t>rinakartika1967@mail.com</t>
  </si>
  <si>
    <t>4384</t>
  </si>
  <si>
    <t>https://drive.google.com/file/d/1ejbVAZrRNs9U7hLZw8DDdN61xCfE5UKx/view?usp=drivesdk</t>
  </si>
  <si>
    <t>1ejbVAZrRNs9U7hLZw8DDdN61xCfE5UKx</t>
  </si>
  <si>
    <t>1Gf-U9DkIyE0Wf_LGY5wI6zGTnNFn1Fhc</t>
  </si>
  <si>
    <t>https://drive.google.com/file/d/1Gf-U9DkIyE0Wf_LGY5wI6zGTnNFn1Fhc/view?usp=drivesdk</t>
  </si>
  <si>
    <t>IRMA JULIYANTI,A.Md.Keb.</t>
  </si>
  <si>
    <t>irmarurroziki@gmail.com</t>
  </si>
  <si>
    <t>4385</t>
  </si>
  <si>
    <t>https://drive.google.com/file/d/1TyrYp1ti71ng5bzcRfulzkZ9AUliH6HO/view?usp=drivesdk</t>
  </si>
  <si>
    <t>1TyrYp1ti71ng5bzcRfulzkZ9AUliH6HO</t>
  </si>
  <si>
    <t>1cNzKe7uMnHsSRoWNrKO1o39-9jFtPDbg</t>
  </si>
  <si>
    <t>https://drive.google.com/file/d/1cNzKe7uMnHsSRoWNrKO1o39-9jFtPDbg/view?usp=drivesdk</t>
  </si>
  <si>
    <t>WIT SEGYATTI</t>
  </si>
  <si>
    <t>witsegyatti@gmail.com</t>
  </si>
  <si>
    <t>4386</t>
  </si>
  <si>
    <t>Starting at Thu Aug 29 2024 21:26:00 GMT-0400 (EDT)</t>
  </si>
  <si>
    <t>1fU8A8Xu-_YTS4yU6hPb2cVP4J8f3Gqko</t>
  </si>
  <si>
    <t>https://drive.google.com/file/d/1fU8A8Xu-_YTS4yU6hPb2cVP4J8f3Gqko/view?usp=drivesdk</t>
  </si>
  <si>
    <t>Document successfully created; Document successfully merged; PDF created; !!Error Sending Emails: Service invoked too many times for one day: email.; Run via form trigger as ecertificate75@gmail.com; Timestamp: Sep 2 2024 9:12 PM</t>
  </si>
  <si>
    <t>MIRIYANI</t>
  </si>
  <si>
    <t>muriyani35@gmail.com</t>
  </si>
  <si>
    <t>4387</t>
  </si>
  <si>
    <t>1Cx0IR7zWQdQrwpr-ZowFdbdjCLEGNJJi</t>
  </si>
  <si>
    <t>https://drive.google.com/file/d/1Cx0IR7zWQdQrwpr-ZowFdbdjCLEGNJJi/view?usp=drivesdk</t>
  </si>
  <si>
    <t>FIRSAN FIRSAN</t>
  </si>
  <si>
    <t>firsanichan@gmail.com</t>
  </si>
  <si>
    <t>4388</t>
  </si>
  <si>
    <t>17RcH0QSXnyL9IQF1v9o6ApZSMWO-i1-K</t>
  </si>
  <si>
    <t>https://drive.google.com/file/d/17RcH0QSXnyL9IQF1v9o6ApZSMWO-i1-K/view?usp=drivesdk</t>
  </si>
  <si>
    <t>WARYONO</t>
  </si>
  <si>
    <t>wyono8454@gmail.com</t>
  </si>
  <si>
    <t>4389</t>
  </si>
  <si>
    <t>1h9rixVoWX3xHESjhzMX7__ISNMiRNz37</t>
  </si>
  <si>
    <t>https://drive.google.com/file/d/1h9rixVoWX3xHESjhzMX7__ISNMiRNz37/view?usp=drivesdk</t>
  </si>
  <si>
    <t>YUNITA WAHYUNINGTYAS, S.Psi, Psikolog, M.M</t>
  </si>
  <si>
    <t>scolanita0906@gmail.com</t>
  </si>
  <si>
    <t>4390</t>
  </si>
  <si>
    <t>https://drive.google.com/file/d/1MrgyBIQS0TIS4HL20tNQTKO52h8gV-wg/view?usp=drivesdk</t>
  </si>
  <si>
    <t>1MrgyBIQS0TIS4HL20tNQTKO52h8gV-wg</t>
  </si>
  <si>
    <t>1qG6gI1OvvS1xJ6-G0rSe08Y5p9clBlds</t>
  </si>
  <si>
    <t>https://drive.google.com/file/d/1qG6gI1OvvS1xJ6-G0rSe08Y5p9clBlds/view?usp=drivesdk</t>
  </si>
  <si>
    <t>WiDI ASTUTIK</t>
  </si>
  <si>
    <t>widiastutik02@gmail.com</t>
  </si>
  <si>
    <t>4391</t>
  </si>
  <si>
    <t>https://drive.google.com/file/d/1UneiM9Hh2mQgDGtuPC6KgCib-6h9GshM/view?usp=drivesdk</t>
  </si>
  <si>
    <t>1UneiM9Hh2mQgDGtuPC6KgCib-6h9GshM</t>
  </si>
  <si>
    <t>18Ac1HDh9wHYSsYerxX2vRVz-XD4D5Hzn</t>
  </si>
  <si>
    <t>https://drive.google.com/file/d/18Ac1HDh9wHYSsYerxX2vRVz-XD4D5Hzn/view?usp=drivesdk</t>
  </si>
  <si>
    <t>Document successfully created; Document successfully merged; PDF created; !!Error Sending Emails: Service invoked too many times for one day: email.; Run via form trigger as ecertificate75@gmail.com; Timestamp: Sep 2 2024 9:13 PM</t>
  </si>
  <si>
    <t>IKA SUCI RAHMAWATI, S.H.</t>
  </si>
  <si>
    <t>yutsuno.irmawanti@gmail.com</t>
  </si>
  <si>
    <t>4392</t>
  </si>
  <si>
    <t>https://drive.google.com/file/d/1iYMjHCGyi_qR4qMCyKHTQrQSTFeolOhJ/view?usp=drivesdk</t>
  </si>
  <si>
    <t>1iYMjHCGyi_qR4qMCyKHTQrQSTFeolOhJ</t>
  </si>
  <si>
    <t>14O4BkPACa5dRGT93viSuVj7rZr9AGLEz</t>
  </si>
  <si>
    <t>https://drive.google.com/file/d/14O4BkPACa5dRGT93viSuVj7rZr9AGLEz/view?usp=drivesdk</t>
  </si>
  <si>
    <t>Penara Meri Sitorus</t>
  </si>
  <si>
    <t>merysitorus_198@qmail.com</t>
  </si>
  <si>
    <t>4393</t>
  </si>
  <si>
    <t>Starting at Thu Aug 29 2024 21:26:03 GMT-0400 (EDT)</t>
  </si>
  <si>
    <t>1ZReK3b68tFR8UVymTkbdniFFRjBgMU9m</t>
  </si>
  <si>
    <t>https://drive.google.com/file/d/1ZReK3b68tFR8UVymTkbdniFFRjBgMU9m/view?usp=drivesdk</t>
  </si>
  <si>
    <t>ARLAN HUTAHAEAN</t>
  </si>
  <si>
    <t>arlanhutahaean18@gmail.com</t>
  </si>
  <si>
    <t>4394</t>
  </si>
  <si>
    <t>https://drive.google.com/file/d/1lesmlKrSudqOxsO9PEL258oMpjKiohyj/view?usp=drivesdk</t>
  </si>
  <si>
    <t>1lesmlKrSudqOxsO9PEL258oMpjKiohyj</t>
  </si>
  <si>
    <t>1I_f4ZnhWEJ5dMv8bp1FTzYDEiA-YR-jg</t>
  </si>
  <si>
    <t>https://drive.google.com/file/d/1I_f4ZnhWEJ5dMv8bp1FTzYDEiA-YR-jg/view?usp=drivesdk</t>
  </si>
  <si>
    <t>Ns.Rita Zahara S.Kep</t>
  </si>
  <si>
    <t>ritazahara13730@gmail.com</t>
  </si>
  <si>
    <t>4395</t>
  </si>
  <si>
    <t>https://drive.google.com/file/d/1WE6rcitHuHuax_Um643aDwLz1dpPytdb/view?usp=drivesdk</t>
  </si>
  <si>
    <t>1WE6rcitHuHuax_Um643aDwLz1dpPytdb</t>
  </si>
  <si>
    <t>19rq8-AhYoPlRVOt9LEMJbS3THo6sEgtw</t>
  </si>
  <si>
    <t>https://drive.google.com/file/d/19rq8-AhYoPlRVOt9LEMJbS3THo6sEgtw/view?usp=drivesdk</t>
  </si>
  <si>
    <t>DR. WAHDAN SANUR TARIHORAN, S.Sos.I., M.M</t>
  </si>
  <si>
    <t>wahdantarihoran@gmail.com</t>
  </si>
  <si>
    <t>4396</t>
  </si>
  <si>
    <t>https://drive.google.com/file/d/18I4GKCXz7iQ1ZGah5Uu9o_vQleDuskxl/view?usp=drivesdk</t>
  </si>
  <si>
    <t>18I4GKCXz7iQ1ZGah5Uu9o_vQleDuskxl</t>
  </si>
  <si>
    <t>1x3boOocAEIMAGEzFPlEsSJvOh1TSxd8e</t>
  </si>
  <si>
    <t>https://drive.google.com/file/d/1x3boOocAEIMAGEzFPlEsSJvOh1TSxd8e/view?usp=drivesdk</t>
  </si>
  <si>
    <t>CHERMAYUNA</t>
  </si>
  <si>
    <t>chermayuna@gmail.com</t>
  </si>
  <si>
    <t>4397</t>
  </si>
  <si>
    <t>Starting at Thu Aug 29 2024 21:26:13 GMT-0400 (EDT)</t>
  </si>
  <si>
    <t>1ba4z0pdokVOTHlVtTdKM8BKptrKIfv3w</t>
  </si>
  <si>
    <t>https://drive.google.com/file/d/1ba4z0pdokVOTHlVtTdKM8BKptrKIfv3w/view?usp=drivesdk</t>
  </si>
  <si>
    <t>Document successfully created; Document successfully merged; PDF created; !!Error Sending Emails: Service invoked too many times for one day: email.; Run via form trigger as ecertificate75@gmail.com; Timestamp: Sep 2 2024 9:14 PM</t>
  </si>
  <si>
    <t xml:space="preserve">BUDIMAN </t>
  </si>
  <si>
    <t>budimanbudiman411@gmail.com</t>
  </si>
  <si>
    <t>4398</t>
  </si>
  <si>
    <t>1EOByyi_u-u1yYZkrYIV9DVGb3FeBNjRy</t>
  </si>
  <si>
    <t>https://drive.google.com/file/d/1EOByyi_u-u1yYZkrYIV9DVGb3FeBNjRy/view?usp=drivesdk</t>
  </si>
  <si>
    <t xml:space="preserve">ADEWINA DARIANI </t>
  </si>
  <si>
    <t>winadariani@gmail.com</t>
  </si>
  <si>
    <t>4399</t>
  </si>
  <si>
    <t>1zXTzEVedDrfAh2ZE4JDr0x7r1aSieeN1</t>
  </si>
  <si>
    <t>https://drive.google.com/file/d/1zXTzEVedDrfAh2ZE4JDr0x7r1aSieeN1/view?usp=drivesdk</t>
  </si>
  <si>
    <t>ARMIATI</t>
  </si>
  <si>
    <t>polsekwonosalam@gmail.com</t>
  </si>
  <si>
    <t>4400</t>
  </si>
  <si>
    <t>1ZXtO1Mvq7uYem7r-ssYxlT4DorVC_Nqn</t>
  </si>
  <si>
    <t>https://drive.google.com/file/d/1ZXtO1Mvq7uYem7r-ssYxlT4DorVC_Nqn/view?usp=drivesdk</t>
  </si>
  <si>
    <t>trisno.st24@gmail.com</t>
  </si>
  <si>
    <t>4401</t>
  </si>
  <si>
    <t>1g-ti8seZ9_-YSf6MOb25i6ZqkZPXO_cH</t>
  </si>
  <si>
    <t>https://drive.google.com/file/d/1g-ti8seZ9_-YSf6MOb25i6ZqkZPXO_cH/view?usp=drivesdk</t>
  </si>
  <si>
    <t>WIDYA UTAMI</t>
  </si>
  <si>
    <t>uwidya72@gmail.com</t>
  </si>
  <si>
    <t>4402</t>
  </si>
  <si>
    <t>1dL5nX1dp36UL4K0JSd3n2reRsb6vhOxq</t>
  </si>
  <si>
    <t>https://drive.google.com/file/d/1dL5nX1dp36UL4K0JSd3n2reRsb6vhOxq/view?usp=drivesdk</t>
  </si>
  <si>
    <t>Document successfully created; Document successfully merged; PDF created; !!Error Sending Emails: Service invoked too many times for one day: email.; Run via form trigger as ecertificate75@gmail.com; Timestamp: Sep 2 2024 9:15 PM</t>
  </si>
  <si>
    <t>ANAK AGUNG TIRTA PUSPITAWATI,SH</t>
  </si>
  <si>
    <t>agungtirta.bali68@gmail.com</t>
  </si>
  <si>
    <t>4403</t>
  </si>
  <si>
    <t>1T9HxMpf9xKb9b_chdN_j8_Je6SrgfCaa</t>
  </si>
  <si>
    <t>https://drive.google.com/file/d/1T9HxMpf9xKb9b_chdN_j8_Je6SrgfCaa/view?usp=drivesdk</t>
  </si>
  <si>
    <t>Document successfully created; Document successfully merged; PDF created; !!Error Sending Emails: Service invoked too many times for one day: email.; Run via form trigger as ecertificate75@gmail.com; Timestamp: Sep 2 2024 9:26 PM</t>
  </si>
  <si>
    <t>ACHYAT NURQORIAH WIJAYANI</t>
  </si>
  <si>
    <t>wijayani.anw@gmail.com</t>
  </si>
  <si>
    <t>4404</t>
  </si>
  <si>
    <t>1JILKkl9yi412eQHz7RfQlkewfc6ttIXa</t>
  </si>
  <si>
    <t>https://drive.google.com/file/d/1JILKkl9yi412eQHz7RfQlkewfc6ttIXa/view?usp=drivesdk</t>
  </si>
  <si>
    <t>Document successfully created; Document successfully merged; PDF created; !!Error Sending Emails: Service invoked too many times for one day: email.; Run via form trigger as ecertificate75@gmail.com; Timestamp: Sep 2 2024 9:27 PM</t>
  </si>
  <si>
    <t>PENGATUR TK.I HEFA RUSPITA,S.H</t>
  </si>
  <si>
    <t>bundamodis2105@gmail.com</t>
  </si>
  <si>
    <t>4405</t>
  </si>
  <si>
    <t>1FjlvPgFlJnZQ1KkY5Z-g_E9X7vubSiYD</t>
  </si>
  <si>
    <t>https://drive.google.com/file/d/1FjlvPgFlJnZQ1KkY5Z-g_E9X7vubSiYD/view?usp=drivesdk</t>
  </si>
  <si>
    <t xml:space="preserve">YAENAH </t>
  </si>
  <si>
    <t>yaenah82@gmail.com</t>
  </si>
  <si>
    <t>4406</t>
  </si>
  <si>
    <t>https://drive.google.com/file/d/1JqBrtEVYNmfxdNKsuSozXIKT7xScc-Mp/view?usp=drivesdk</t>
  </si>
  <si>
    <t>1JqBrtEVYNmfxdNKsuSozXIKT7xScc-Mp</t>
  </si>
  <si>
    <t>11Dj01w34uHxA50qFY0vUbE_Huav8OHdJ</t>
  </si>
  <si>
    <t>https://drive.google.com/file/d/11Dj01w34uHxA50qFY0vUbE_Huav8OHdJ/view?usp=drivesdk</t>
  </si>
  <si>
    <t>NUR ANIS MASNAWATI</t>
  </si>
  <si>
    <t>anismasnawati@gimail.com</t>
  </si>
  <si>
    <t>4407</t>
  </si>
  <si>
    <t>Starting at Thu Aug 29 2024 21:26:15 GMT-0400 (EDT)</t>
  </si>
  <si>
    <t>1v1GVV2qA-tmJZMVTfGEGm08b_ihkjT_r</t>
  </si>
  <si>
    <t>https://drive.google.com/file/d/1v1GVV2qA-tmJZMVTfGEGm08b_ihkjT_r/view?usp=drivesdk</t>
  </si>
  <si>
    <t>NUR FARIDAH</t>
  </si>
  <si>
    <t>nurfaridah974@gmail.com</t>
  </si>
  <si>
    <t>4408</t>
  </si>
  <si>
    <t>1U4Bl8JPAhzP-p7NvQi1Fhx02Y57-zs94</t>
  </si>
  <si>
    <t>https://drive.google.com/file/d/1U4Bl8JPAhzP-p7NvQi1Fhx02Y57-zs94/view?usp=drivesdk</t>
  </si>
  <si>
    <t>Document successfully created; Document successfully merged; PDF created; !!Error Sending Emails: Service invoked too many times for one day: email.; Run via form trigger as ecertificate75@gmail.com; Timestamp: Sep 2 2024 9:28 PM</t>
  </si>
  <si>
    <t xml:space="preserve">CHRISTINA DWI MARSIYANI </t>
  </si>
  <si>
    <t>cristinadwi70@gmail.com</t>
  </si>
  <si>
    <t>4409</t>
  </si>
  <si>
    <t>1UegLZZgR1kx66N8tuMWdeu3593Iaqli4</t>
  </si>
  <si>
    <t>https://drive.google.com/file/d/1UegLZZgR1kx66N8tuMWdeu3593Iaqli4/view?usp=drivesdk</t>
  </si>
  <si>
    <t>Dwi Retno Sulistyowati, S.Sos</t>
  </si>
  <si>
    <t>najwanzaki693@gmail.com</t>
  </si>
  <si>
    <t>4410</t>
  </si>
  <si>
    <t>Starting at Thu Aug 29 2024 21:26:23 GMT-0400 (EDT)</t>
  </si>
  <si>
    <t>1gtfa7BIYIvRJC3lSCi9N7PU-R_HtdRDF</t>
  </si>
  <si>
    <t>https://drive.google.com/file/d/1gtfa7BIYIvRJC3lSCi9N7PU-R_HtdRDF/view?usp=drivesdk</t>
  </si>
  <si>
    <t>HENDRA BADRIAWAN</t>
  </si>
  <si>
    <t>badriawan.83.hendra@gmail.com</t>
  </si>
  <si>
    <t>4411</t>
  </si>
  <si>
    <t>1l2J7uy0NZbe2xXh92SlgbVLy0iu1futU</t>
  </si>
  <si>
    <t>https://drive.google.com/file/d/1l2J7uy0NZbe2xXh92SlgbVLy0iu1futU/view?usp=drivesdk</t>
  </si>
  <si>
    <t>INDRA IRAWATI, AMK</t>
  </si>
  <si>
    <t>irawati.indra1990@gmail.com</t>
  </si>
  <si>
    <t>4412</t>
  </si>
  <si>
    <t>1NiWsSogOL0e2SemX96R-wrC9xGHPYxYc</t>
  </si>
  <si>
    <t>https://drive.google.com/file/d/1NiWsSogOL0e2SemX96R-wrC9xGHPYxYc/view?usp=drivesdk</t>
  </si>
  <si>
    <t>4413</t>
  </si>
  <si>
    <t>1aAYLP5YfMQPtNhlC1O-vzxcc6Qm201hF</t>
  </si>
  <si>
    <t>https://drive.google.com/file/d/1aAYLP5YfMQPtNhlC1O-vzxcc6Qm201hF/view?usp=drivesdk</t>
  </si>
  <si>
    <t>Document successfully created; Document successfully merged; PDF created; !!Error Sending Emails: Service invoked too many times for one day: email.; Run via form trigger as ecertificate75@gmail.com; Timestamp: Sep 2 2024 9:29 PM</t>
  </si>
  <si>
    <t>SAPARI WIDARSO</t>
  </si>
  <si>
    <t>caksapari1@gmail.com</t>
  </si>
  <si>
    <t>4414</t>
  </si>
  <si>
    <t>1Ji9gqAyTEcGt86Eyw0h-FbbM3T5821zA</t>
  </si>
  <si>
    <t>https://drive.google.com/file/d/1Ji9gqAyTEcGt86Eyw0h-FbbM3T5821zA/view?usp=drivesdk</t>
  </si>
  <si>
    <t>AKHMAD SAEPUDIN</t>
  </si>
  <si>
    <t>akhmadsaepudin9619@gmail.com</t>
  </si>
  <si>
    <t>4415</t>
  </si>
  <si>
    <t>1map2Omx1dQH__noTLnaeJeaXco5Ieu4k</t>
  </si>
  <si>
    <t>https://drive.google.com/file/d/1map2Omx1dQH__noTLnaeJeaXco5Ieu4k/view?usp=drivesdk</t>
  </si>
  <si>
    <t>JULI ANGGRIANI, A.Md.Kom</t>
  </si>
  <si>
    <t>jhulie84@gmail.com</t>
  </si>
  <si>
    <t>4416</t>
  </si>
  <si>
    <t>1vPcE9WRSAJHeNtx3djVSqaYkOgEa-zcd</t>
  </si>
  <si>
    <t>https://drive.google.com/file/d/1vPcE9WRSAJHeNtx3djVSqaYkOgEa-zcd/view?usp=drivesdk</t>
  </si>
  <si>
    <t>BETTY APRIANI</t>
  </si>
  <si>
    <t>bettyapriani68@gmail.com</t>
  </si>
  <si>
    <t>4417</t>
  </si>
  <si>
    <t>1gHnmLO57q-Sdg3mdRRP24-4wjtGXyjOU</t>
  </si>
  <si>
    <t>https://drive.google.com/file/d/1gHnmLO57q-Sdg3mdRRP24-4wjtGXyjOU/view?usp=drivesdk</t>
  </si>
  <si>
    <t>VISTA YANU MARDIARTI</t>
  </si>
  <si>
    <t>vistayanu78@gmail.com</t>
  </si>
  <si>
    <t>4418</t>
  </si>
  <si>
    <t>16FpOZVFDF5EpSgNo4tbYL0zQEOKnXqr3</t>
  </si>
  <si>
    <t>https://drive.google.com/file/d/16FpOZVFDF5EpSgNo4tbYL0zQEOKnXqr3/view?usp=drivesdk</t>
  </si>
  <si>
    <t>Document successfully created; Document successfully merged; PDF created; !!Error Sending Emails: Service invoked too many times for one day: email.; Run via form trigger as ecertificate75@gmail.com; Timestamp: Sep 2 2024 9:30 PM</t>
  </si>
  <si>
    <t xml:space="preserve">DJUMIYANTI </t>
  </si>
  <si>
    <t>djumiyanti78@gmail.com</t>
  </si>
  <si>
    <t>4419</t>
  </si>
  <si>
    <t>1a52lrPdnCIFKAZmlnD4PqRMqj5zVnD4X</t>
  </si>
  <si>
    <t>https://drive.google.com/file/d/1a52lrPdnCIFKAZmlnD4PqRMqj5zVnD4X/view?usp=drivesdk</t>
  </si>
  <si>
    <t>TARJO , SH</t>
  </si>
  <si>
    <t>tarjopolres67@gmail.com</t>
  </si>
  <si>
    <t>4420</t>
  </si>
  <si>
    <t>1xi6cNN6hctIBTSI5-RGmZgl4Zhw0g95L</t>
  </si>
  <si>
    <t>https://drive.google.com/file/d/1xi6cNN6hctIBTSI5-RGmZgl4Zhw0g95L/view?usp=drivesdk</t>
  </si>
  <si>
    <t>NURUL HUDA</t>
  </si>
  <si>
    <t>nurulnurul10645@gmail.com</t>
  </si>
  <si>
    <t>4421</t>
  </si>
  <si>
    <t>1GsK0vP3pcBsPrG_5234gNWrWYvzri1A6</t>
  </si>
  <si>
    <t>https://drive.google.com/file/d/1GsK0vP3pcBsPrG_5234gNWrWYvzri1A6/view?usp=drivesdk</t>
  </si>
  <si>
    <t>ERNA RANIYANINGSIH, SH MH</t>
  </si>
  <si>
    <t>ernaramya@gnail.com</t>
  </si>
  <si>
    <t>4422</t>
  </si>
  <si>
    <t>Starting at Thu Aug 29 2024 21:26:27 GMT-0400 (EDT)</t>
  </si>
  <si>
    <t>1atvln6Hz1SfaIEnh9EYVKwfqx6-68EtD</t>
  </si>
  <si>
    <t>https://drive.google.com/file/d/1atvln6Hz1SfaIEnh9EYVKwfqx6-68EtD/view?usp=drivesdk</t>
  </si>
  <si>
    <t>Document successfully created; Document successfully merged; PDF created; !!Error Sending Emails: Service invoked too many times for one day: email.; Run via form trigger as ecertificate75@gmail.com; Timestamp: Sep 2 2024 9:31 PM</t>
  </si>
  <si>
    <t>ANTOK SISWANTORO</t>
  </si>
  <si>
    <t>antoksiswantoro1@gmail.com</t>
  </si>
  <si>
    <t>4423</t>
  </si>
  <si>
    <t>1ICkbp0AAPFE_c9iEyA4C74j2geb-2sB6</t>
  </si>
  <si>
    <t>https://drive.google.com/file/d/1ICkbp0AAPFE_c9iEyA4C74j2geb-2sB6/view?usp=drivesdk</t>
  </si>
  <si>
    <t>RIKA YUSANTI</t>
  </si>
  <si>
    <t>rikamario76@gmail.com</t>
  </si>
  <si>
    <t>4424</t>
  </si>
  <si>
    <t>1ryhf0A5sCRreQl-7DDVZ-Txg2-qgbGIF</t>
  </si>
  <si>
    <t>https://drive.google.com/file/d/1ryhf0A5sCRreQl-7DDVZ-Txg2-qgbGIF/view?usp=drivesdk</t>
  </si>
  <si>
    <t xml:space="preserve">INDRA ANWAR MAYASARI </t>
  </si>
  <si>
    <t>indraanwar84@gmail.com</t>
  </si>
  <si>
    <t>4425</t>
  </si>
  <si>
    <t>1J_Kn5WPkq-Bhkvt7vKtxsWbF0stYgZLF</t>
  </si>
  <si>
    <t>https://drive.google.com/file/d/1J_Kn5WPkq-Bhkvt7vKtxsWbF0stYgZLF/view?usp=drivesdk</t>
  </si>
  <si>
    <t>Document successfully created; Document successfully merged; PDF created; !!Error Sending Emails: Service invoked too many times for one day: email.; Run via form trigger as ecertificate75@gmail.com; Timestamp: Sep 2 2024 9:33 PM</t>
  </si>
  <si>
    <t>SURIYANI,S.Sos</t>
  </si>
  <si>
    <t>suriyanilog7@gmail.com</t>
  </si>
  <si>
    <t>4426</t>
  </si>
  <si>
    <t>Starting at Thu Aug 29 2024 21:26:30 GMT-0400 (EDT)</t>
  </si>
  <si>
    <t>1DtVUj-pXK_jbaXmFWi815svntZ4uF120</t>
  </si>
  <si>
    <t>https://drive.google.com/file/d/1DtVUj-pXK_jbaXmFWi815svntZ4uF120/view?usp=drivesdk</t>
  </si>
  <si>
    <t>DIANA SUPENI</t>
  </si>
  <si>
    <t>dianasupeni665@gimail.com</t>
  </si>
  <si>
    <t>4427</t>
  </si>
  <si>
    <t>1qFl-oRXOa5ME1UauKUV8JUG18Lvqjihg</t>
  </si>
  <si>
    <t>https://drive.google.com/file/d/1qFl-oRXOa5ME1UauKUV8JUG18Lvqjihg/view?usp=drivesdk</t>
  </si>
  <si>
    <t>Osnila,A.Md.Kep</t>
  </si>
  <si>
    <t>osnila.nila@yahoo.com</t>
  </si>
  <si>
    <t>4428</t>
  </si>
  <si>
    <t>Starting at Thu Aug 29 2024 21:26:33 GMT-0400 (EDT)</t>
  </si>
  <si>
    <t>12rRST68asyq5JKGAw3dhF2fCtvFjwGBl</t>
  </si>
  <si>
    <t>https://drive.google.com/file/d/12rRST68asyq5JKGAw3dhF2fCtvFjwGBl/view?usp=drivesdk</t>
  </si>
  <si>
    <t>Document successfully created; Document successfully merged; PDF created; !!Error Sending Emails: Service invoked too many times for one day: email.; Run via form trigger as ecertificate75@gmail.com; Timestamp: Sep 2 2024 9:34 PM</t>
  </si>
  <si>
    <t>SRI WIHARYATI</t>
  </si>
  <si>
    <t>sriwiharyati30@gmail.com</t>
  </si>
  <si>
    <t>4429</t>
  </si>
  <si>
    <t>19YKBzS4gMQ12-V80uvWCdCvzxWcTMeDX</t>
  </si>
  <si>
    <t>https://drive.google.com/file/d/19YKBzS4gMQ12-V80uvWCdCvzxWcTMeDX/view?usp=drivesdk</t>
  </si>
  <si>
    <t>DIYAH FITRIYANTI AGUSTIN</t>
  </si>
  <si>
    <t>pipite.aira@gmail.com</t>
  </si>
  <si>
    <t>4430</t>
  </si>
  <si>
    <t>1rKMWzKISB32fxzzOU0q4crzK-djGxx1Z</t>
  </si>
  <si>
    <t>https://drive.google.com/file/d/1rKMWzKISB32fxzzOU0q4crzK-djGxx1Z/view?usp=drivesdk</t>
  </si>
  <si>
    <t>Gusyanti,A.Md.,Farm</t>
  </si>
  <si>
    <t>gusyanti22@gmail.com</t>
  </si>
  <si>
    <t>4431</t>
  </si>
  <si>
    <t>17rAilmZO21L78PZNUDPkQmZCiBomT3f5</t>
  </si>
  <si>
    <t>https://drive.google.com/file/d/17rAilmZO21L78PZNUDPkQmZCiBomT3f5/view?usp=drivesdk</t>
  </si>
  <si>
    <t>HERI KURNIANI</t>
  </si>
  <si>
    <t>kurnia4nie@gmail.com</t>
  </si>
  <si>
    <t>4432</t>
  </si>
  <si>
    <t>1u2h5LcvorYrzQMNb2OxtWkW0D8ObpyxL</t>
  </si>
  <si>
    <t>https://drive.google.com/file/d/1u2h5LcvorYrzQMNb2OxtWkW0D8ObpyxL/view?usp=drivesdk</t>
  </si>
  <si>
    <t xml:space="preserve">MUHAMAD SOLEH.S.SOS </t>
  </si>
  <si>
    <t>msoleh8311@gmail.com</t>
  </si>
  <si>
    <t>4433</t>
  </si>
  <si>
    <t>1EYXD3-fNy-_0uAt_QQMH9tyF0KVe22et</t>
  </si>
  <si>
    <t>https://drive.google.com/file/d/1EYXD3-fNy-_0uAt_QQMH9tyF0KVe22et/view?usp=drivesdk</t>
  </si>
  <si>
    <t>Document successfully created; Document successfully merged; PDF created; !!Error Sending Emails: Service invoked too many times for one day: email.; Run via form trigger as ecertificate75@gmail.com; Timestamp: Sep 2 2024 9:35 PM</t>
  </si>
  <si>
    <t>WINARSIH</t>
  </si>
  <si>
    <t>wins.rafiko@gmail.com</t>
  </si>
  <si>
    <t>4434</t>
  </si>
  <si>
    <t>1m-5WLSuaLb6_2H08D34jAbs7ya94gwET</t>
  </si>
  <si>
    <t>https://drive.google.com/file/d/1m-5WLSuaLb6_2H08D34jAbs7ya94gwET/view?usp=drivesdk</t>
  </si>
  <si>
    <t>supriyatimelati7@gmail.com</t>
  </si>
  <si>
    <t>4435</t>
  </si>
  <si>
    <t>1LA1T6E21_Arvle2J55CkOjMAw5IURBu6</t>
  </si>
  <si>
    <t>https://drive.google.com/file/d/1LA1T6E21_Arvle2J55CkOjMAw5IURBu6/view?usp=drivesdk</t>
  </si>
  <si>
    <t>sumarnimar10@gmail.com</t>
  </si>
  <si>
    <t>4436</t>
  </si>
  <si>
    <t>1-oH5bXDFSVM-lfZH1a1GjB3Md7GJ8AnW</t>
  </si>
  <si>
    <t>https://drive.google.com/file/d/1-oH5bXDFSVM-lfZH1a1GjB3Md7GJ8AnW/view?usp=drivesdk</t>
  </si>
  <si>
    <t>dr.M Isnaini Trisyah Putra</t>
  </si>
  <si>
    <t>dr.putra212@gmail.com</t>
  </si>
  <si>
    <t>4437</t>
  </si>
  <si>
    <t>1gMulNruW3k8LG5Xqx_nho2TZkiHHJLq4</t>
  </si>
  <si>
    <t>https://drive.google.com/file/d/1gMulNruW3k8LG5Xqx_nho2TZkiHHJLq4/view?usp=drivesdk</t>
  </si>
  <si>
    <t>SYOFYAN, S.E</t>
  </si>
  <si>
    <t>syofyanbdy@gmail.com</t>
  </si>
  <si>
    <t>4438</t>
  </si>
  <si>
    <t>Starting at Thu Aug 29 2024 21:26:35 GMT-0400 (EDT)</t>
  </si>
  <si>
    <t>1FJd2tIzArwyfOXoWBcBRidkpMs_x8bA5</t>
  </si>
  <si>
    <t>https://drive.google.com/file/d/1FJd2tIzArwyfOXoWBcBRidkpMs_x8bA5/view?usp=drivesdk</t>
  </si>
  <si>
    <t>RIANAH WIDIA NINGSIH A. MD. KEP</t>
  </si>
  <si>
    <t>rianahwidianingsih2627@gmail.com</t>
  </si>
  <si>
    <t>4439</t>
  </si>
  <si>
    <t>1xHWb-zkq1j9sASeIYCdPDwxifIYf4hn3</t>
  </si>
  <si>
    <t>https://drive.google.com/file/d/1xHWb-zkq1j9sASeIYCdPDwxifIYf4hn3/view?usp=drivesdk</t>
  </si>
  <si>
    <t>Document successfully created; Document successfully merged; PDF created; !!Error Sending Emails: Service invoked too many times for one day: email.; Run via form trigger as ecertificate75@gmail.com; Timestamp: Sep 2 2024 9:36 PM</t>
  </si>
  <si>
    <t>HESTIHESTI</t>
  </si>
  <si>
    <t>hestihesti1968@gmail.com</t>
  </si>
  <si>
    <t>4440</t>
  </si>
  <si>
    <t>1DRCg9oETRASjR5ebcndffgFxVn5fqYZm</t>
  </si>
  <si>
    <t>https://drive.google.com/file/d/1DRCg9oETRASjR5ebcndffgFxVn5fqYZm/view?usp=drivesdk</t>
  </si>
  <si>
    <t>SUSTIARIWAYATI</t>
  </si>
  <si>
    <t>sitipolpolresbatu@gmail.com</t>
  </si>
  <si>
    <t>4441</t>
  </si>
  <si>
    <t>Starting at Thu Aug 29 2024 21:26:38 GMT-0400 (EDT)</t>
  </si>
  <si>
    <t>14n0DFK18D3cGpBFZVMrrRWFmtY-4qaqX</t>
  </si>
  <si>
    <t>https://drive.google.com/file/d/14n0DFK18D3cGpBFZVMrrRWFmtY-4qaqX/view?usp=drivesdk</t>
  </si>
  <si>
    <t>INDRIYANI</t>
  </si>
  <si>
    <t>Indrisukamto@gmail.com</t>
  </si>
  <si>
    <t>4442</t>
  </si>
  <si>
    <t>18MOSlRso2PYIe4YtWA3_woUJjqd5iQ68</t>
  </si>
  <si>
    <t>https://drive.google.com/file/d/18MOSlRso2PYIe4YtWA3_woUJjqd5iQ68/view?usp=drivesdk</t>
  </si>
  <si>
    <t>SAMSUL BAKHRI</t>
  </si>
  <si>
    <t>bakhris71@gmail.com</t>
  </si>
  <si>
    <t>4443</t>
  </si>
  <si>
    <t>Starting at Thu Aug 29 2024 21:26:39 GMT-0400 (EDT)</t>
  </si>
  <si>
    <t>19q69swwiDEYgPxeBsITB3HOHUIP9PzET</t>
  </si>
  <si>
    <t>https://drive.google.com/file/d/19q69swwiDEYgPxeBsITB3HOHUIP9PzET/view?usp=drivesdk</t>
  </si>
  <si>
    <t>TARYANTO</t>
  </si>
  <si>
    <t>taryanto19671967@gmail.com</t>
  </si>
  <si>
    <t>4444</t>
  </si>
  <si>
    <t>1Ar_qYMXbPAmR_-4mJECNg47TCFF-urk_</t>
  </si>
  <si>
    <t>https://drive.google.com/file/d/1Ar_qYMXbPAmR_-4mJECNg47TCFF-urk_/view?usp=drivesdk</t>
  </si>
  <si>
    <t>Document successfully created; Document successfully merged; PDF created; !!Error Sending Emails: Service invoked too many times for one day: email.; Run via form trigger as ecertificate75@gmail.com; Timestamp: Sep 2 2024 9:37 PM</t>
  </si>
  <si>
    <t>MUHAMMAD KHAIRUDDIN, S.ST</t>
  </si>
  <si>
    <t>muhkhairruddin22@gmail.com</t>
  </si>
  <si>
    <t>4445</t>
  </si>
  <si>
    <t>1Pfqk8QkYBdnUZAnG0UqtXO5ahsbzQR9p</t>
  </si>
  <si>
    <t>https://drive.google.com/file/d/1Pfqk8QkYBdnUZAnG0UqtXO5ahsbzQR9p/view?usp=drivesdk</t>
  </si>
  <si>
    <t>YAN FINAL</t>
  </si>
  <si>
    <t>yanfinal69@gmail.com</t>
  </si>
  <si>
    <t>4446</t>
  </si>
  <si>
    <t>1XHTQmOzWfEm_LmpKWLuFhCyz1pXRxjMk</t>
  </si>
  <si>
    <t>https://drive.google.com/file/d/1XHTQmOzWfEm_LmpKWLuFhCyz1pXRxjMk/view?usp=drivesdk</t>
  </si>
  <si>
    <t>RONI FEBRIYAN</t>
  </si>
  <si>
    <t>ronifebriyan22024@gmail.com</t>
  </si>
  <si>
    <t>4447</t>
  </si>
  <si>
    <t>1kqvSXIYmYlXbkCuHDDZA_Z4n4CxTEFj-</t>
  </si>
  <si>
    <t>https://drive.google.com/file/d/1kqvSXIYmYlXbkCuHDDZA_Z4n4CxTEFj-/view?usp=drivesdk</t>
  </si>
  <si>
    <t>YULIATI</t>
  </si>
  <si>
    <t>imammamay75@gmail.com</t>
  </si>
  <si>
    <t>4448</t>
  </si>
  <si>
    <t>https://drive.google.com/file/d/12hTI2KcPpUHOWLxuYkq9m-l9zWGa_W2O/view?usp=drivesdk</t>
  </si>
  <si>
    <t>12hTI2KcPpUHOWLxuYkq9m-l9zWGa_W2O</t>
  </si>
  <si>
    <t>1m8ST6DvfPuyKNeug1Qpaqru_tPgZnoqJ</t>
  </si>
  <si>
    <t>https://drive.google.com/file/d/1m8ST6DvfPuyKNeug1Qpaqru_tPgZnoqJ/view?usp=drivesdk</t>
  </si>
  <si>
    <t>ERNAWATY EFIYANTI LESILOLO</t>
  </si>
  <si>
    <t>ernawatylesilolo74@gmail.com</t>
  </si>
  <si>
    <t>4449</t>
  </si>
  <si>
    <t>https://drive.google.com/file/d/1w1gq7Ir__MHKDNREaAbAxqUm65fBH5Tt/view?usp=drivesdk</t>
  </si>
  <si>
    <t>Document successfully created; Document successfully merged; PDF created; !!Error Sending Emails: Service invoked too many times for one day: email.; Run via form trigger as ecertificate75@gmail.com; Timestamp: Aug 29 2024 9:27 PM</t>
  </si>
  <si>
    <t>1w1gq7Ir__MHKDNREaAbAxqUm65fBH5Tt</t>
  </si>
  <si>
    <t>1KrKFuG6nMsZrcwU5-HrJAxmSdRQsm4N2</t>
  </si>
  <si>
    <t>https://drive.google.com/file/d/1KrKFuG6nMsZrcwU5-HrJAxmSdRQsm4N2/view?usp=drivesdk</t>
  </si>
  <si>
    <t>Document successfully created; Document successfully merged; PDF created; !!Error Sending Emails: Service invoked too many times for one day: email.; Run via form trigger as ecertificate75@gmail.com; Timestamp: Sep 2 2024 9:38 PM</t>
  </si>
  <si>
    <t>JOJOR HUTABARAT, S.E</t>
  </si>
  <si>
    <t>hutabarat.jojor1975@gmail.com</t>
  </si>
  <si>
    <t>4450</t>
  </si>
  <si>
    <t>https://drive.google.com/file/d/1Tpxw4RVUlniyHg_ydjzfHJz7D54K69TQ/view?usp=drivesdk</t>
  </si>
  <si>
    <t>1Tpxw4RVUlniyHg_ydjzfHJz7D54K69TQ</t>
  </si>
  <si>
    <t>17Aq_ZxgpYMbD6650iJI22F-SMh7U0z62</t>
  </si>
  <si>
    <t>https://drive.google.com/file/d/17Aq_ZxgpYMbD6650iJI22F-SMh7U0z62/view?usp=drivesdk</t>
  </si>
  <si>
    <t xml:space="preserve">SUPARNI </t>
  </si>
  <si>
    <t>suparni1967@gmail.com</t>
  </si>
  <si>
    <t>4451</t>
  </si>
  <si>
    <t>https://drive.google.com/file/d/1uHtaa7RZ3-WRRt2oSOsq9RiV4SI_pwZR/view?usp=drivesdk</t>
  </si>
  <si>
    <t>1uHtaa7RZ3-WRRt2oSOsq9RiV4SI_pwZR</t>
  </si>
  <si>
    <t>1yim4cyv9xu6MsdTmb4DZqmgqqAAd4nkM</t>
  </si>
  <si>
    <t>https://drive.google.com/file/d/1yim4cyv9xu6MsdTmb4DZqmgqqAAd4nkM/view?usp=drivesdk</t>
  </si>
  <si>
    <t>Document successfully created; Document successfully merged; PDF created; !!Error Sending Emails: Service invoked too many times for one day: email.; Manually run by ecertificate75@gmail.com; Timestamp: Sep 2 2024 9:52 PM</t>
  </si>
  <si>
    <t>WIWIK SUGIARTINI</t>
  </si>
  <si>
    <t>wiwik26sugiartini@gmail.com</t>
  </si>
  <si>
    <t>4452</t>
  </si>
  <si>
    <t>https://drive.google.com/file/d/1Ps0UkrO2kUWyO3HX6Uw45k5SwhQQAXch/view?usp=drivesdk</t>
  </si>
  <si>
    <t>1Ps0UkrO2kUWyO3HX6Uw45k5SwhQQAXch</t>
  </si>
  <si>
    <t>1ABblFA4k-uvcDGeE7lPRvf50CDbF58m0</t>
  </si>
  <si>
    <t>https://drive.google.com/file/d/1ABblFA4k-uvcDGeE7lPRvf50CDbF58m0/view?usp=drivesdk</t>
  </si>
  <si>
    <t>ERNY KURNIASIH</t>
  </si>
  <si>
    <t>ernykurniasih3@gmail.com</t>
  </si>
  <si>
    <t>4453</t>
  </si>
  <si>
    <t>https://drive.google.com/file/d/1xLBmZ9-2nOTJ7_RMl_Fhh2lOeJVWjHXh/view?usp=drivesdk</t>
  </si>
  <si>
    <t>1xLBmZ9-2nOTJ7_RMl_Fhh2lOeJVWjHXh</t>
  </si>
  <si>
    <t>1ZTVZCgmxVte7Q2DpvqNSVLP3ZazhJ8gk</t>
  </si>
  <si>
    <t>https://drive.google.com/file/d/1ZTVZCgmxVte7Q2DpvqNSVLP3ZazhJ8gk/view?usp=drivesdk</t>
  </si>
  <si>
    <t>BUDIONO,S.I.P.</t>
  </si>
  <si>
    <t>budionovolly@gmail.com</t>
  </si>
  <si>
    <t>4454</t>
  </si>
  <si>
    <t>https://drive.google.com/file/d/1h8cJQ9QkLJR5jHxVPa7Urg8l5lVOlcFq/view?usp=drivesdk</t>
  </si>
  <si>
    <t>1h8cJQ9QkLJR5jHxVPa7Urg8l5lVOlcFq</t>
  </si>
  <si>
    <t>1o65wiofAgFWB8sybMOxuFQ4gtzdbXUEE</t>
  </si>
  <si>
    <t>https://drive.google.com/file/d/1o65wiofAgFWB8sybMOxuFQ4gtzdbXUEE/view?usp=drivesdk</t>
  </si>
  <si>
    <t>MULUDIN</t>
  </si>
  <si>
    <t>muludinmuludin22@gmail.com</t>
  </si>
  <si>
    <t>4455</t>
  </si>
  <si>
    <t>Starting at Thu Aug 29 2024 21:26:45 GMT-0400 (EDT)</t>
  </si>
  <si>
    <t>1pf6NMX40bI8JFl1cvu7jr7ycqe-Z2iiG</t>
  </si>
  <si>
    <t>https://drive.google.com/file/d/1pf6NMX40bI8JFl1cvu7jr7ycqe-Z2iiG/view?usp=drivesdk</t>
  </si>
  <si>
    <t>Document successfully created; Document successfully merged; PDF created; !!Error Sending Emails: Service invoked too many times for one day: email.; Manually run by ecertificate75@gmail.com; Timestamp: Sep 2 2024 9:53 PM</t>
  </si>
  <si>
    <t xml:space="preserve">MARSIYEM </t>
  </si>
  <si>
    <t>marsiajah78@gmail.com</t>
  </si>
  <si>
    <t>4456</t>
  </si>
  <si>
    <t>1CLjICkwGiNE9mbDA0IxfuoqbE3McJBXr</t>
  </si>
  <si>
    <t>https://drive.google.com/file/d/1CLjICkwGiNE9mbDA0IxfuoqbE3McJBXr/view?usp=drivesdk</t>
  </si>
  <si>
    <t>MUHAMMAD YULIADIVRAHMAN, A.Md</t>
  </si>
  <si>
    <t>m.yuliadirahman@gmail.com</t>
  </si>
  <si>
    <t>4457</t>
  </si>
  <si>
    <t>https://drive.google.com/file/d/1hmiOqSdfi01fAIifLnjU1G7sS6VEwoXu/view?usp=drivesdk</t>
  </si>
  <si>
    <t>1hmiOqSdfi01fAIifLnjU1G7sS6VEwoXu</t>
  </si>
  <si>
    <t>1SIVAs4G47w8DdB_abzsWvg84M2EJOhrZ</t>
  </si>
  <si>
    <t>https://drive.google.com/file/d/1SIVAs4G47w8DdB_abzsWvg84M2EJOhrZ/view?usp=drivesdk</t>
  </si>
  <si>
    <t>SITI HADIZAH</t>
  </si>
  <si>
    <t>sitihadizah100876@gmail.com</t>
  </si>
  <si>
    <t>4458</t>
  </si>
  <si>
    <t>https://drive.google.com/file/d/1sjD7044Jnm_lMXBJ2JEfwXqOjPQQuNPo/view?usp=drivesdk</t>
  </si>
  <si>
    <t>1sjD7044Jnm_lMXBJ2JEfwXqOjPQQuNPo</t>
  </si>
  <si>
    <t>1YSU2zZTIL9AZEreIPBS9JuMaMBd570Tr</t>
  </si>
  <si>
    <t>https://drive.google.com/file/d/1YSU2zZTIL9AZEreIPBS9JuMaMBd570Tr/view?usp=drivesdk</t>
  </si>
  <si>
    <t>asetiawan.one@gmail.com</t>
  </si>
  <si>
    <t>4459</t>
  </si>
  <si>
    <t>https://drive.google.com/file/d/1KJ8bAizvFaK3a6d3mo7J8ValMTm3cyB4/view?usp=drivesdk</t>
  </si>
  <si>
    <t>1KJ8bAizvFaK3a6d3mo7J8ValMTm3cyB4</t>
  </si>
  <si>
    <t>1hHdbfh--l28JEBxa9lk0Mu703iBbUShf</t>
  </si>
  <si>
    <t>https://drive.google.com/file/d/1hHdbfh--l28JEBxa9lk0Mu703iBbUShf/view?usp=drivesdk</t>
  </si>
  <si>
    <t xml:space="preserve">NOEROCHMAH ROMDONIJATUN </t>
  </si>
  <si>
    <t>noerochmah123@gmail.com</t>
  </si>
  <si>
    <t>4460</t>
  </si>
  <si>
    <t>https://drive.google.com/file/d/1N8YO0cEF647J8Ok0YdTKC1B0xBbRgtQj/view?usp=drivesdk</t>
  </si>
  <si>
    <t>1N8YO0cEF647J8Ok0YdTKC1B0xBbRgtQj</t>
  </si>
  <si>
    <t>19BqU0Sh3nUf8Fq3L5QKcaAdAJmbVvC2a</t>
  </si>
  <si>
    <t>https://drive.google.com/file/d/19BqU0Sh3nUf8Fq3L5QKcaAdAJmbVvC2a/view?usp=drivesdk</t>
  </si>
  <si>
    <t>Document successfully created; Document successfully merged; PDF created; !!Error Sending Emails: Service invoked too many times for one day: email.; Manually run by ecertificate75@gmail.com; Timestamp: Sep 2 2024 9:54 PM</t>
  </si>
  <si>
    <t>RIZA NURHAYATI, S.Kep</t>
  </si>
  <si>
    <t>nurhayatir680@gmail.com</t>
  </si>
  <si>
    <t>4461</t>
  </si>
  <si>
    <t>https://drive.google.com/file/d/1tlwBK9Yt5v4S-eFZVB-9GgU2vbhp-sn7/view?usp=drivesdk</t>
  </si>
  <si>
    <t>1tlwBK9Yt5v4S-eFZVB-9GgU2vbhp-sn7</t>
  </si>
  <si>
    <t>1__fF8Rqymu0J89vppyFqzNg-rmOIRMmz</t>
  </si>
  <si>
    <t>https://drive.google.com/file/d/1__fF8Rqymu0J89vppyFqzNg-rmOIRMmz/view?usp=drivesdk</t>
  </si>
  <si>
    <t>APRIANI, A. Md Kes</t>
  </si>
  <si>
    <t>avriani.ap@gmail.com</t>
  </si>
  <si>
    <t>4462</t>
  </si>
  <si>
    <t>https://drive.google.com/file/d/1k4UmjVD2Xim7Z-oFTqGjUqxHenChishs/view?usp=drivesdk</t>
  </si>
  <si>
    <t>Document successfully created; Document successfully merged; PDF created; !!Error Sending Emails: Service invoked too many times for one day: email.; Run via form trigger as ecertificate75@gmail.com; Timestamp: Aug 29 2024 9:28 PM</t>
  </si>
  <si>
    <t>1k4UmjVD2Xim7Z-oFTqGjUqxHenChishs</t>
  </si>
  <si>
    <t>14FGZyg1GkGzAB6z7EUoIOpu2PBiekoQG</t>
  </si>
  <si>
    <t>https://drive.google.com/file/d/14FGZyg1GkGzAB6z7EUoIOpu2PBiekoQG/view?usp=drivesdk</t>
  </si>
  <si>
    <t>MULADI</t>
  </si>
  <si>
    <t>polsektambakboyo.restuban@gmail.com</t>
  </si>
  <si>
    <t>4463</t>
  </si>
  <si>
    <t>https://drive.google.com/file/d/19JqWc4tN0IRs5xE7sZbD2DCbSisSzuJ7/view?usp=drivesdk</t>
  </si>
  <si>
    <t>19JqWc4tN0IRs5xE7sZbD2DCbSisSzuJ7</t>
  </si>
  <si>
    <t>1UOAMcIyblebLqzoCQaB5kLDnW3OOhUDa</t>
  </si>
  <si>
    <t>https://drive.google.com/file/d/1UOAMcIyblebLqzoCQaB5kLDnW3OOhUDa/view?usp=drivesdk</t>
  </si>
  <si>
    <t>LINDA.Amd</t>
  </si>
  <si>
    <t>lindagemini64@gmail.com</t>
  </si>
  <si>
    <t>4464</t>
  </si>
  <si>
    <t>https://drive.google.com/file/d/1neKpLk8yv-9ZY32FpzS7-iEsWf0n52wu/view?usp=drivesdk</t>
  </si>
  <si>
    <t>1neKpLk8yv-9ZY32FpzS7-iEsWf0n52wu</t>
  </si>
  <si>
    <t>1v2JMr_ka2Hf6l2X2C4h1IDBGS1NKOxeu</t>
  </si>
  <si>
    <t>https://drive.google.com/file/d/1v2JMr_ka2Hf6l2X2C4h1IDBGS1NKOxeu/view?usp=drivesdk</t>
  </si>
  <si>
    <t>LINA APRILIANI, S.Kom</t>
  </si>
  <si>
    <t>apriliani581@gmail.com</t>
  </si>
  <si>
    <t>4465</t>
  </si>
  <si>
    <t>https://drive.google.com/file/d/1W26yOZlkP1LfXZ7S5b70mXlzfjtw14Mf/view?usp=drivesdk</t>
  </si>
  <si>
    <t>Document successfully created; Document successfully merged; PDF created; !!Error Sending Emails: Service invoked too many times for one day: email.; Run via form trigger as ecertificate75@gmail.com; Timestamp: Aug 29 2024 9:29 PM</t>
  </si>
  <si>
    <t>1W26yOZlkP1LfXZ7S5b70mXlzfjtw14Mf</t>
  </si>
  <si>
    <t>18bPNC53_e4J2wfUYp6SOjgrLxmxwcT8Y</t>
  </si>
  <si>
    <t>https://drive.google.com/file/d/18bPNC53_e4J2wfUYp6SOjgrLxmxwcT8Y/view?usp=drivesdk</t>
  </si>
  <si>
    <t>Document successfully created; Document successfully merged; PDF created; !!Error Sending Emails: Service invoked too many times for one day: email.; Manually run by ecertificate75@gmail.com; Timestamp: Sep 2 2024 9:55 PM</t>
  </si>
  <si>
    <t>HADIDJAH MOKODOMPIT</t>
  </si>
  <si>
    <t>idhaarisha@gmail.com</t>
  </si>
  <si>
    <t>4466</t>
  </si>
  <si>
    <t>Starting at Thu Aug 29 2024 21:26:52 GMT-0400 (EDT)</t>
  </si>
  <si>
    <t>1G3CLs0nCUnx5-ER9gAULXggUr_4PiuAg</t>
  </si>
  <si>
    <t>https://drive.google.com/file/d/1G3CLs0nCUnx5-ER9gAULXggUr_4PiuAg/view?usp=drivesdk</t>
  </si>
  <si>
    <t>RUSTANI SIRAIT, SKM</t>
  </si>
  <si>
    <t>maiiafebrii22@gmail.com</t>
  </si>
  <si>
    <t>4467</t>
  </si>
  <si>
    <t>1IiZOMZCGhBsBlVMF_hG_EmK5fL9EG4rw</t>
  </si>
  <si>
    <t>https://drive.google.com/file/d/1IiZOMZCGhBsBlVMF_hG_EmK5fL9EG4rw/view?usp=drivesdk</t>
  </si>
  <si>
    <t>DEWI RAHMAWATI, S.H.</t>
  </si>
  <si>
    <t>67dewirachmawati@gmail.com</t>
  </si>
  <si>
    <t>4468</t>
  </si>
  <si>
    <t>https://drive.google.com/file/d/1IvJteFCj802Gqes1yB-UDGGW5xPQP-Pp/view?usp=drivesdk</t>
  </si>
  <si>
    <t>1IvJteFCj802Gqes1yB-UDGGW5xPQP-Pp</t>
  </si>
  <si>
    <t>1bVnJCIg6ASnHOocQ_BO4SboeZ7A7Opl8</t>
  </si>
  <si>
    <t>https://drive.google.com/file/d/1bVnJCIg6ASnHOocQ_BO4SboeZ7A7Opl8/view?usp=drivesdk</t>
  </si>
  <si>
    <t>SAIDIN SAJIDIN</t>
  </si>
  <si>
    <t>paajidpolres051167@gmail.com</t>
  </si>
  <si>
    <t>4469</t>
  </si>
  <si>
    <t>https://drive.google.com/file/d/1SNNeXu1cfYWUI45o77ZSA3AQHtBgUPJt/view?usp=drivesdk</t>
  </si>
  <si>
    <t>1SNNeXu1cfYWUI45o77ZSA3AQHtBgUPJt</t>
  </si>
  <si>
    <t>1o2QBDNjmOLQJy-s2Y8B-i0G7BtibmP39</t>
  </si>
  <si>
    <t>https://drive.google.com/file/d/1o2QBDNjmOLQJy-s2Y8B-i0G7BtibmP39/view?usp=drivesdk</t>
  </si>
  <si>
    <t>Document successfully created; Document successfully merged; PDF created; !!Error Sending Emails: Service invoked too many times for one day: email.; Manually run by ecertificate75@gmail.com; Timestamp: Sep 2 2024 9:56 PM</t>
  </si>
  <si>
    <t>PATIMAWATI</t>
  </si>
  <si>
    <t>abellggau@gmail.com</t>
  </si>
  <si>
    <t>4470</t>
  </si>
  <si>
    <t>https://drive.google.com/file/d/1HuW25CSlisyv05Mdbz9RRXMcPs6svHD2/view?usp=drivesdk</t>
  </si>
  <si>
    <t>1HuW25CSlisyv05Mdbz9RRXMcPs6svHD2</t>
  </si>
  <si>
    <t>1oKH-sdnYe0Lbe_SLKsmGiLtCq12mf25w</t>
  </si>
  <si>
    <t>https://drive.google.com/file/d/1oKH-sdnYe0Lbe_SLKsmGiLtCq12mf25w/view?usp=drivesdk</t>
  </si>
  <si>
    <t>AGUS SALIM</t>
  </si>
  <si>
    <t>sejatibastian@gmail.com</t>
  </si>
  <si>
    <t>4471</t>
  </si>
  <si>
    <t>https://drive.google.com/file/d/1nSDY3vmTiatq9jM_8Zrs2C1LkUU3DxFY/view?usp=drivesdk</t>
  </si>
  <si>
    <t>1nSDY3vmTiatq9jM_8Zrs2C1LkUU3DxFY</t>
  </si>
  <si>
    <t>1OG_pGDsGFbZphp_FPeMEHnSScIWMXQmx</t>
  </si>
  <si>
    <t>https://drive.google.com/file/d/1OG_pGDsGFbZphp_FPeMEHnSScIWMXQmx/view?usp=drivesdk</t>
  </si>
  <si>
    <t xml:space="preserve">ZAENAL ABIDIN S, H. </t>
  </si>
  <si>
    <t>sespimpolri97f@gmail.com</t>
  </si>
  <si>
    <t>4472</t>
  </si>
  <si>
    <t>https://drive.google.com/file/d/19o3HZoeRNTeMQOBBHoYD_Sz5fuWst4B6/view?usp=drivesdk</t>
  </si>
  <si>
    <t>19o3HZoeRNTeMQOBBHoYD_Sz5fuWst4B6</t>
  </si>
  <si>
    <t>1fMkf3NkGtFEakitVz8uxkCkgZpJ4g3HR</t>
  </si>
  <si>
    <t>https://drive.google.com/file/d/1fMkf3NkGtFEakitVz8uxkCkgZpJ4g3HR/view?usp=drivesdk</t>
  </si>
  <si>
    <t>MARYANI, A.MD</t>
  </si>
  <si>
    <t>maryaniant83@gmail.com</t>
  </si>
  <si>
    <t>4473</t>
  </si>
  <si>
    <t>https://drive.google.com/file/d/1Or-51F5C-7AVmz90gWLgbAuWxhAoSLf2/view?usp=drivesdk</t>
  </si>
  <si>
    <t>1Or-51F5C-7AVmz90gWLgbAuWxhAoSLf2</t>
  </si>
  <si>
    <t>1bEMr6LA-_XeMtaJYYfsDFtYTPi-Cwark</t>
  </si>
  <si>
    <t>https://drive.google.com/file/d/1bEMr6LA-_XeMtaJYYfsDFtYTPi-Cwark/view?usp=drivesdk</t>
  </si>
  <si>
    <t>SHOLEH</t>
  </si>
  <si>
    <t>sholehmistika@gmail.com</t>
  </si>
  <si>
    <t>4474</t>
  </si>
  <si>
    <t>https://drive.google.com/file/d/1B9aM2VxtezW_BJWMHy572jYNj9agHdW7/view?usp=drivesdk</t>
  </si>
  <si>
    <t>1B9aM2VxtezW_BJWMHy572jYNj9agHdW7</t>
  </si>
  <si>
    <t>1MTzJAO64_FSCGUdb4_DfA4aWLgG-EmI1</t>
  </si>
  <si>
    <t>https://drive.google.com/file/d/1MTzJAO64_FSCGUdb4_DfA4aWLgG-EmI1/view?usp=drivesdk</t>
  </si>
  <si>
    <t>LIZA TRI INDRA LESTARI</t>
  </si>
  <si>
    <t>lizalestari980@gmail.com</t>
  </si>
  <si>
    <t>4475</t>
  </si>
  <si>
    <t>https://drive.google.com/file/d/1dcGaJRYP09L-IMP1tFkzDWtLoCWDE7Xq/view?usp=drivesdk</t>
  </si>
  <si>
    <t>1dcGaJRYP09L-IMP1tFkzDWtLoCWDE7Xq</t>
  </si>
  <si>
    <t>1mTDg3ovw0ufZO9pmRyX19_0AA6FfiYBc</t>
  </si>
  <si>
    <t>https://drive.google.com/file/d/1mTDg3ovw0ufZO9pmRyX19_0AA6FfiYBc/view?usp=drivesdk</t>
  </si>
  <si>
    <t xml:space="preserve">NUR AINI DEWI SYAFITRI </t>
  </si>
  <si>
    <t>nurainidewi.pnssampang@gmail.com</t>
  </si>
  <si>
    <t>4476</t>
  </si>
  <si>
    <t>Starting at Thu Aug 29 2024 21:27:01 GMT-0400 (EDT)</t>
  </si>
  <si>
    <t>1dBbrQ8n52YWKSEJ_eU2MfPtL8KDpDv0W</t>
  </si>
  <si>
    <t>https://drive.google.com/file/d/1dBbrQ8n52YWKSEJ_eU2MfPtL8KDpDv0W/view?usp=drivesdk</t>
  </si>
  <si>
    <t>ANI PURWANTI</t>
  </si>
  <si>
    <t>purwantiani2016@gmail.com</t>
  </si>
  <si>
    <t>4477</t>
  </si>
  <si>
    <t>1rkvp5NLEhjxrJhY1ieg9pfA3d_yIlcJV</t>
  </si>
  <si>
    <t>https://drive.google.com/file/d/1rkvp5NLEhjxrJhY1ieg9pfA3d_yIlcJV/view?usp=drivesdk</t>
  </si>
  <si>
    <t>Document successfully created; Document successfully merged; PDF created; !!Error Sending Emails: Service invoked too many times for one day: email.; Manually run by ecertificate75@gmail.com; Timestamp: Sep 2 2024 10:18 PM</t>
  </si>
  <si>
    <t>YOGA DWI PRASTIYA, S.Tr.Ak</t>
  </si>
  <si>
    <t>yogaprastiya96@gmail.com</t>
  </si>
  <si>
    <t>4478</t>
  </si>
  <si>
    <t>https://drive.google.com/file/d/14Uop2_yoBIgAodj-2Xm4vSlihVrdKFsT/view?usp=drivesdk</t>
  </si>
  <si>
    <t>14Uop2_yoBIgAodj-2Xm4vSlihVrdKFsT</t>
  </si>
  <si>
    <t>1hLwH25eKLk6EJYuBJpwgd02wb1OX61I2</t>
  </si>
  <si>
    <t>https://drive.google.com/file/d/1hLwH25eKLk6EJYuBJpwgd02wb1OX61I2/view?usp=drivesdk</t>
  </si>
  <si>
    <t>ASMIDA</t>
  </si>
  <si>
    <t>asmida.bangko123@gmail.com</t>
  </si>
  <si>
    <t>4479</t>
  </si>
  <si>
    <t>https://drive.google.com/file/d/10ppAIQ67bq9QUPV1B3xI6wJAZ3mLy8mF/view?usp=drivesdk</t>
  </si>
  <si>
    <t>10ppAIQ67bq9QUPV1B3xI6wJAZ3mLy8mF</t>
  </si>
  <si>
    <t>1T4IOY6CLMEGZEGxIava5q93dAalArzdd</t>
  </si>
  <si>
    <t>https://drive.google.com/file/d/1T4IOY6CLMEGZEGxIava5q93dAalArzdd/view?usp=drivesdk</t>
  </si>
  <si>
    <t>ABDUL KAMAL, S.Sos.</t>
  </si>
  <si>
    <t>abdulkamal817@gmail.com</t>
  </si>
  <si>
    <t>4480</t>
  </si>
  <si>
    <t>https://drive.google.com/file/d/1a2SMVHJGvWYVKJSLhvADpZlAUTutMojU/view?usp=drivesdk</t>
  </si>
  <si>
    <t>1a2SMVHJGvWYVKJSLhvADpZlAUTutMojU</t>
  </si>
  <si>
    <t>1sPWdadOgRrRqN2Emf6jjBfKenZfzLu3r</t>
  </si>
  <si>
    <t>https://drive.google.com/file/d/1sPWdadOgRrRqN2Emf6jjBfKenZfzLu3r/view?usp=drivesdk</t>
  </si>
  <si>
    <t>MARLINA SE</t>
  </si>
  <si>
    <t>marlina.marlinase@gmai.com</t>
  </si>
  <si>
    <t>4481</t>
  </si>
  <si>
    <t>Starting at Thu Aug 29 2024 21:27:10 GMT-0400 (EDT)</t>
  </si>
  <si>
    <t>187LpnklAc-wIGscd7unLU9HcQVianwmy</t>
  </si>
  <si>
    <t>https://drive.google.com/file/d/187LpnklAc-wIGscd7unLU9HcQVianwmy/view?usp=drivesdk</t>
  </si>
  <si>
    <t>WIBOWO</t>
  </si>
  <si>
    <t>wwibowo.pnspolri@gmail.com</t>
  </si>
  <si>
    <t>4482</t>
  </si>
  <si>
    <t>1KZ2Pif2eG87FISpVETjiWhWVKUGhdFYb</t>
  </si>
  <si>
    <t>https://drive.google.com/file/d/1KZ2Pif2eG87FISpVETjiWhWVKUGhdFYb/view?usp=drivesdk</t>
  </si>
  <si>
    <t>Document successfully created; Document successfully merged; PDF created; !!Error Sending Emails: Service invoked too many times for one day: email.; Manually run by ecertificate75@gmail.com; Timestamp: Sep 2 2024 10:19 PM</t>
  </si>
  <si>
    <t>WALUYO</t>
  </si>
  <si>
    <t>awalwaluyo6@gmail.com</t>
  </si>
  <si>
    <t>4483</t>
  </si>
  <si>
    <t>1Bp6zxP9M04uIm1cf-LEu3vYn2l7tRYPG</t>
  </si>
  <si>
    <t>https://drive.google.com/file/d/1Bp6zxP9M04uIm1cf-LEu3vYn2l7tRYPG/view?usp=drivesdk</t>
  </si>
  <si>
    <t>IQBAL, S.E.</t>
  </si>
  <si>
    <t>iqbal197349@gmail.com</t>
  </si>
  <si>
    <t>4484</t>
  </si>
  <si>
    <t>16bsVANB_PRiFNlmeq_vLLUeOwljve01p</t>
  </si>
  <si>
    <t>https://drive.google.com/file/d/16bsVANB_PRiFNlmeq_vLLUeOwljve01p/view?usp=drivesdk</t>
  </si>
  <si>
    <t>Drs. Waris, M.Pd.I</t>
  </si>
  <si>
    <t>wbasit219@gmail.com</t>
  </si>
  <si>
    <t>4485</t>
  </si>
  <si>
    <t>1gXNxHSWvFSjsgD2EoyNviD9G6wLS6C2K</t>
  </si>
  <si>
    <t>https://drive.google.com/file/d/1gXNxHSWvFSjsgD2EoyNviD9G6wLS6C2K/view?usp=drivesdk</t>
  </si>
  <si>
    <t>Document successfully created; Document successfully merged; PDF created; !!Error Sending Emails: Service invoked too many times for one day: email.; Manually run by ecertificate75@gmail.com; Timestamp: Sep 2 2024 10:20 PM</t>
  </si>
  <si>
    <t>FAJAR TRIMAWANTO</t>
  </si>
  <si>
    <t>fajartrimawanto@gmail.com</t>
  </si>
  <si>
    <t>4486</t>
  </si>
  <si>
    <t>1nM1aYcE9nirNetHydw6dfBYVNnLlHr5g</t>
  </si>
  <si>
    <t>https://drive.google.com/file/d/1nM1aYcE9nirNetHydw6dfBYVNnLlHr5g/view?usp=drivesdk</t>
  </si>
  <si>
    <t>EDY NUGROHO, S.SOS.I</t>
  </si>
  <si>
    <t>edynugrohokasidi@gmail.com</t>
  </si>
  <si>
    <t>4487</t>
  </si>
  <si>
    <t>https://drive.google.com/file/d/19m_xh7OebdBn9WJ6Fb8lv6aAODzZC4pD/view?usp=drivesdk</t>
  </si>
  <si>
    <t>19m_xh7OebdBn9WJ6Fb8lv6aAODzZC4pD</t>
  </si>
  <si>
    <t>1GobKRgCOeP4tx1mtBu1gM4qJkCv3g1ja</t>
  </si>
  <si>
    <t>https://drive.google.com/file/d/1GobKRgCOeP4tx1mtBu1gM4qJkCv3g1ja/view?usp=drivesdk</t>
  </si>
  <si>
    <t>MEYLANY RATIH I, S.Farm., Apt</t>
  </si>
  <si>
    <t>matkesdokkesjatim2@gmail.com</t>
  </si>
  <si>
    <t>4488</t>
  </si>
  <si>
    <t>https://drive.google.com/file/d/1D0Fgtl0cNVY17xwmRsnc-RgIkxK4bmAG/view?usp=drivesdk</t>
  </si>
  <si>
    <t>1D0Fgtl0cNVY17xwmRsnc-RgIkxK4bmAG</t>
  </si>
  <si>
    <t>1ZqGwVvPQnSlaEmCRrOQKkAcv6yqEY_1F</t>
  </si>
  <si>
    <t>https://drive.google.com/file/d/1ZqGwVvPQnSlaEmCRrOQKkAcv6yqEY_1F/view?usp=drivesdk</t>
  </si>
  <si>
    <t>ANJAR SRI LESTARI</t>
  </si>
  <si>
    <t>rara.carrissa@gmail.com</t>
  </si>
  <si>
    <t>4489</t>
  </si>
  <si>
    <t>https://drive.google.com/file/d/1gW4r5-02VJ4MdIuE8CqcW0GewozK_DfD/view?usp=drivesdk</t>
  </si>
  <si>
    <t>1gW4r5-02VJ4MdIuE8CqcW0GewozK_DfD</t>
  </si>
  <si>
    <t>1kj35geTaiSMD8IZ9e3hEBOAtyUIT21Fw</t>
  </si>
  <si>
    <t>https://drive.google.com/file/d/1kj35geTaiSMD8IZ9e3hEBOAtyUIT21Fw/view?usp=drivesdk</t>
  </si>
  <si>
    <t>SUMARTONO</t>
  </si>
  <si>
    <t>Sumarto986@gmail.com</t>
  </si>
  <si>
    <t>4490</t>
  </si>
  <si>
    <t>https://drive.google.com/file/d/1V8eALJACOU6lSYoYPVvjL_VAdJhaUqm_/view?usp=drivesdk</t>
  </si>
  <si>
    <t>1V8eALJACOU6lSYoYPVvjL_VAdJhaUqm_</t>
  </si>
  <si>
    <t>1LDIY3YKfkJT0is7yqVHqsMqaBGeRbE52</t>
  </si>
  <si>
    <t>https://drive.google.com/file/d/1LDIY3YKfkJT0is7yqVHqsMqaBGeRbE52/view?usp=drivesdk</t>
  </si>
  <si>
    <t xml:space="preserve">HESTI PUSPITASARI </t>
  </si>
  <si>
    <t>zhafha.puspita@gmail.com</t>
  </si>
  <si>
    <t>4491</t>
  </si>
  <si>
    <t>Starting at Thu Aug 29 2024 21:27:23 GMT-0400 (EDT)</t>
  </si>
  <si>
    <t>1zyFwqCbM6b8bJscC8Hi8jyhwOg-WOFIM</t>
  </si>
  <si>
    <t>https://drive.google.com/file/d/1zyFwqCbM6b8bJscC8Hi8jyhwOg-WOFIM/view?usp=drivesdk</t>
  </si>
  <si>
    <t>Document successfully created; Document successfully merged; PDF created; !!Error Sending Emails: Service invoked too many times for one day: email.; Manually run by ecertificate75@gmail.com; Timestamp: Sep 2 2024 10:21 PM</t>
  </si>
  <si>
    <t xml:space="preserve">MITRA SUMITRA </t>
  </si>
  <si>
    <t>mitrasumitra775@gmail.com</t>
  </si>
  <si>
    <t>4492</t>
  </si>
  <si>
    <t>1pI99CbdQPNnhax9XTIMMTmCphf-CsrGU</t>
  </si>
  <si>
    <t>https://drive.google.com/file/d/1pI99CbdQPNnhax9XTIMMTmCphf-CsrGU/view?usp=drivesdk</t>
  </si>
  <si>
    <t>Document successfully created; Document successfully merged; PDF created; !!Error Sending Emails: Service invoked too many times for one day: email.; Manually run by ecertificate75@gmail.com; Timestamp: Sep 2 2024 10:22 PM</t>
  </si>
  <si>
    <t>KURNIAJATI SETYORINI</t>
  </si>
  <si>
    <t>nia_jati@yahoo.com</t>
  </si>
  <si>
    <t>4493</t>
  </si>
  <si>
    <t>1cTm6KAjL0FQBya1ICav1QPDileimOjw6</t>
  </si>
  <si>
    <t>https://drive.google.com/file/d/1cTm6KAjL0FQBya1ICav1QPDileimOjw6/view?usp=drivesdk</t>
  </si>
  <si>
    <t>INA MARLINA</t>
  </si>
  <si>
    <t>inamarlina1967@gmail.com</t>
  </si>
  <si>
    <t>4494</t>
  </si>
  <si>
    <t>1Q1KCia3C351edrHmQPlwvEWoXiehrOBz</t>
  </si>
  <si>
    <t>https://drive.google.com/file/d/1Q1KCia3C351edrHmQPlwvEWoXiehrOBz/view?usp=drivesdk</t>
  </si>
  <si>
    <t>HAMZAH S.SOS</t>
  </si>
  <si>
    <t>anca.samsat@gmail.com</t>
  </si>
  <si>
    <t>4495</t>
  </si>
  <si>
    <t>1iY2y5EmXDks7EbieuOVMD9h8sCCEKDdf</t>
  </si>
  <si>
    <t>https://drive.google.com/file/d/1iY2y5EmXDks7EbieuOVMD9h8sCCEKDdf/view?usp=drivesdk</t>
  </si>
  <si>
    <t>NETTY DAMANIK</t>
  </si>
  <si>
    <t>nettysamaat73@gmail.com</t>
  </si>
  <si>
    <t>4496</t>
  </si>
  <si>
    <t>1DvD0tfr7fnxKZfGySOHJmsbNzGIsuDkS</t>
  </si>
  <si>
    <t>https://drive.google.com/file/d/1DvD0tfr7fnxKZfGySOHJmsbNzGIsuDkS/view?usp=drivesdk</t>
  </si>
  <si>
    <t>PENGDAAGUS</t>
  </si>
  <si>
    <t>abae406@gmail.com</t>
  </si>
  <si>
    <t>4497</t>
  </si>
  <si>
    <t>16lqBAhYkdlGvG9jgP1CwFOtxaD2Uo08Q</t>
  </si>
  <si>
    <t>https://drive.google.com/file/d/16lqBAhYkdlGvG9jgP1CwFOtxaD2Uo08Q/view?usp=drivesdk</t>
  </si>
  <si>
    <t>Document successfully created; Document successfully merged; PDF created; !!Error Sending Emails: Service invoked too many times for one day: email.; Manually run by ecertificate75@gmail.com; Timestamp: Sep 2 2024 10:23 PM</t>
  </si>
  <si>
    <t>TUTI RUSMINI</t>
  </si>
  <si>
    <t>tuti.rusmini.13@gmail.com</t>
  </si>
  <si>
    <t>4498</t>
  </si>
  <si>
    <t>1b0MQHrALSbZRZSh-1K7VDrGJ_7DpQTjj</t>
  </si>
  <si>
    <t>https://drive.google.com/file/d/1b0MQHrALSbZRZSh-1K7VDrGJ_7DpQTjj/view?usp=drivesdk</t>
  </si>
  <si>
    <t>SRI HARTUTIK</t>
  </si>
  <si>
    <t>srihartutik971@gmail.com</t>
  </si>
  <si>
    <t>4499</t>
  </si>
  <si>
    <t>113SWlCb4V-qeuTzV8MtNHtpJi59kDBkJ</t>
  </si>
  <si>
    <t>https://drive.google.com/file/d/113SWlCb4V-qeuTzV8MtNHtpJi59kDBkJ/view?usp=drivesdk</t>
  </si>
  <si>
    <t>SITI MARFUNGAH, A.MD</t>
  </si>
  <si>
    <t>sitimarfuahcws@gmail.com</t>
  </si>
  <si>
    <t>4500</t>
  </si>
  <si>
    <t>1WyWUvCayAW_IIHmLa4Dc7S3p_ax-mnnJ</t>
  </si>
  <si>
    <t>https://drive.google.com/file/d/1WyWUvCayAW_IIHmLa4Dc7S3p_ax-mnnJ/view?usp=drivesdk</t>
  </si>
  <si>
    <t>EVA SUSANTI</t>
  </si>
  <si>
    <t>susantieva422@gmail.com</t>
  </si>
  <si>
    <t>4501</t>
  </si>
  <si>
    <t>Starting at Thu Aug 29 2024 21:27:24 GMT-0400 (EDT)</t>
  </si>
  <si>
    <t>1HQw0y16vRCfMTG_g6kHeAbjAW9TdoemL</t>
  </si>
  <si>
    <t>https://drive.google.com/file/d/1HQw0y16vRCfMTG_g6kHeAbjAW9TdoemL/view?usp=drivesdk</t>
  </si>
  <si>
    <t>Document successfully created; Document successfully merged; PDF created; !!Error Sending Emails: Service invoked too many times for one day: email.; Manually run by ecertificate75@gmail.com; Timestamp: Sep 2 2024 10:24 PM</t>
  </si>
  <si>
    <t>PENGATUR TONI BUSTONI</t>
  </si>
  <si>
    <t>tonibustoni1971@gmail.com</t>
  </si>
  <si>
    <t>4502</t>
  </si>
  <si>
    <t>https://drive.google.com/file/d/1zTvtMBIfuva6CBQO2yTGXSoE2GDouDeX/view?usp=drivesdk</t>
  </si>
  <si>
    <t>1zTvtMBIfuva6CBQO2yTGXSoE2GDouDeX</t>
  </si>
  <si>
    <t>1JkwFmiHOCPhXLLqVSde9JsX5Xi560UHk</t>
  </si>
  <si>
    <t>https://drive.google.com/file/d/1JkwFmiHOCPhXLLqVSde9JsX5Xi560UHk/view?usp=drivesdk</t>
  </si>
  <si>
    <t>RAKHMAT GUNAWAN</t>
  </si>
  <si>
    <t>nawanug99@gmail.com</t>
  </si>
  <si>
    <t>4503</t>
  </si>
  <si>
    <t>https://drive.google.com/file/d/1jlfo-2Cx8YDizwS3UOCy8wW6h-Dy6x_m/view?usp=drivesdk</t>
  </si>
  <si>
    <t>1jlfo-2Cx8YDizwS3UOCy8wW6h-Dy6x_m</t>
  </si>
  <si>
    <t>1Dl116V8Bkob5uUUkPuzIvO9GDpIC1Iyf</t>
  </si>
  <si>
    <t>https://drive.google.com/file/d/1Dl116V8Bkob5uUUkPuzIvO9GDpIC1Iyf/view?usp=drivesdk</t>
  </si>
  <si>
    <t>ROSDIANA SITINJAK</t>
  </si>
  <si>
    <t>rosdiana.sitinjak1972@gmail.com</t>
  </si>
  <si>
    <t>4504</t>
  </si>
  <si>
    <t>https://drive.google.com/file/d/1ATWy8SfL-2bfEVPkTxvUXmft2nAd1dLd/view?usp=drivesdk</t>
  </si>
  <si>
    <t>1ATWy8SfL-2bfEVPkTxvUXmft2nAd1dLd</t>
  </si>
  <si>
    <t>18SfdNlxYBDmRIWAprt6nzC7f8c-LqhA5</t>
  </si>
  <si>
    <t>https://drive.google.com/file/d/18SfdNlxYBDmRIWAprt6nzC7f8c-LqhA5/view?usp=drivesdk</t>
  </si>
  <si>
    <t>IKE ENDANG SRIREJEKI</t>
  </si>
  <si>
    <t>azzzizaah@gmail.com</t>
  </si>
  <si>
    <t>4505</t>
  </si>
  <si>
    <t>Starting at Thu Aug 29 2024 21:27:42 GMT-0400 (EDT)</t>
  </si>
  <si>
    <t>120rDci8m1flVx_BqjEeT4BfrRD_71n94</t>
  </si>
  <si>
    <t>https://drive.google.com/file/d/120rDci8m1flVx_BqjEeT4BfrRD_71n94/view?usp=drivesdk</t>
  </si>
  <si>
    <t>Document successfully created; Document successfully merged; PDF created; !!Error Sending Emails: Service invoked too many times for one day: email.; Manually run by ecertificate75@gmail.com; Timestamp: Sep 2 2024 10:25 PM</t>
  </si>
  <si>
    <t>IZZATUL LAILA</t>
  </si>
  <si>
    <t>lila.kepanjen@gmail.com</t>
  </si>
  <si>
    <t>4506</t>
  </si>
  <si>
    <t>1M7NCFV2T1EqHLQ_b7p-YPHnRodcoHs_e</t>
  </si>
  <si>
    <t>https://drive.google.com/file/d/1M7NCFV2T1EqHLQ_b7p-YPHnRodcoHs_e/view?usp=drivesdk</t>
  </si>
  <si>
    <t>IIS DENIATY, A.Md</t>
  </si>
  <si>
    <t>iisdeniaty61@gmail.com</t>
  </si>
  <si>
    <t>4507</t>
  </si>
  <si>
    <t>1WF_ZLHgUI4X131zNo9VbrY0iN9qfDQ8z</t>
  </si>
  <si>
    <t>https://drive.google.com/file/d/1WF_ZLHgUI4X131zNo9VbrY0iN9qfDQ8z/view?usp=drivesdk</t>
  </si>
  <si>
    <t>AMAS SAMBAS</t>
  </si>
  <si>
    <t>sambasverza28@gmail.com</t>
  </si>
  <si>
    <t>4508</t>
  </si>
  <si>
    <t>15nhRISHy6tzexNc1FB1QoIgiQFg9n7IG</t>
  </si>
  <si>
    <t>https://drive.google.com/file/d/15nhRISHy6tzexNc1FB1QoIgiQFg9n7IG/view?usp=drivesdk</t>
  </si>
  <si>
    <t>fitri150179@gmail.com</t>
  </si>
  <si>
    <t>4509</t>
  </si>
  <si>
    <t>19wuSepHdrQs14STUGoXEYdC0awYuutqX</t>
  </si>
  <si>
    <t>https://drive.google.com/file/d/19wuSepHdrQs14STUGoXEYdC0awYuutqX/view?usp=drivesdk</t>
  </si>
  <si>
    <t>Document successfully created; Document successfully merged; PDF created; !!Error Sending Emails: Service invoked too many times for one day: email.; Manually run by ecertificate75@gmail.com; Timestamp: Sep 2 2024 10:26 PM</t>
  </si>
  <si>
    <t>ERIK ADMIRAL, SH</t>
  </si>
  <si>
    <t>erikadmiral01@gmail.com</t>
  </si>
  <si>
    <t>4510</t>
  </si>
  <si>
    <t>1H1Bsa_JKDGbiTCJzRCmUkrGKb4Dk-4q7</t>
  </si>
  <si>
    <t>https://drive.google.com/file/d/1H1Bsa_JKDGbiTCJzRCmUkrGKb4Dk-4q7/view?usp=drivesdk</t>
  </si>
  <si>
    <t>TIURLINA NAPITUPULU SH</t>
  </si>
  <si>
    <t>Tiurlina.napitupulu1979@gmail.com</t>
  </si>
  <si>
    <t>4511</t>
  </si>
  <si>
    <t>1tboQGoyrE04QAvT1FoefYoxB7RUYqvlt</t>
  </si>
  <si>
    <t>https://drive.google.com/file/d/1tboQGoyrE04QAvT1FoefYoxB7RUYqvlt/view?usp=drivesdk</t>
  </si>
  <si>
    <t>DHYAN RETNOWATI</t>
  </si>
  <si>
    <t>polsek.penawangan01@gmail.com</t>
  </si>
  <si>
    <t>4512</t>
  </si>
  <si>
    <t>1EIAB-KeYkZmsfJZuHVh0SR1DjBv0z8AB</t>
  </si>
  <si>
    <t>https://drive.google.com/file/d/1EIAB-KeYkZmsfJZuHVh0SR1DjBv0z8AB/view?usp=drivesdk</t>
  </si>
  <si>
    <t>WAN DADANG MASYURI</t>
  </si>
  <si>
    <t>dadangmasyuri@gmail.com</t>
  </si>
  <si>
    <t>4513</t>
  </si>
  <si>
    <t>1HCq9DLXw8LltfjzCCO-C022TnfLH83-n</t>
  </si>
  <si>
    <t>https://drive.google.com/file/d/1HCq9DLXw8LltfjzCCO-C022TnfLH83-n/view?usp=drivesdk</t>
  </si>
  <si>
    <t>KUSWIYATI</t>
  </si>
  <si>
    <t>diwina99@yahoo.com</t>
  </si>
  <si>
    <t>4514</t>
  </si>
  <si>
    <t>https://drive.google.com/file/d/1rJ8Ej4E4a9lCIUtpLztKS389LAZNuvXo/view?usp=drivesdk</t>
  </si>
  <si>
    <t>1rJ8Ej4E4a9lCIUtpLztKS389LAZNuvXo</t>
  </si>
  <si>
    <t>1wreXBd_v5uImthx0GqRlTCHiqleKR_kc</t>
  </si>
  <si>
    <t>https://drive.google.com/file/d/1wreXBd_v5uImthx0GqRlTCHiqleKR_kc/view?usp=drivesdk</t>
  </si>
  <si>
    <t>SRI KADAR SUYATMI</t>
  </si>
  <si>
    <t>ami67minpers@gmail.com</t>
  </si>
  <si>
    <t>4515</t>
  </si>
  <si>
    <t>https://drive.google.com/file/d/1yXwkR8hkSY8HqcWvB0FmhhrP7mNGjkoL/view?usp=drivesdk</t>
  </si>
  <si>
    <t>1yXwkR8hkSY8HqcWvB0FmhhrP7mNGjkoL</t>
  </si>
  <si>
    <t>1_aDoC6q-gETwSPepPv7oV0RRrdHjySZ7</t>
  </si>
  <si>
    <t>https://drive.google.com/file/d/1_aDoC6q-gETwSPepPv7oV0RRrdHjySZ7/view?usp=drivesdk</t>
  </si>
  <si>
    <t>Document successfully created; Document successfully merged; PDF created; !!Error Sending Emails: Service invoked too many times for one day: email.; Manually run by ecertificate75@gmail.com; Timestamp: Sep 2 2024 10:27 PM</t>
  </si>
  <si>
    <t>NINA DIANA</t>
  </si>
  <si>
    <t>khumairoh13@gmail.com</t>
  </si>
  <si>
    <t>4516</t>
  </si>
  <si>
    <t>https://drive.google.com/file/d/1YG1IJpG2T4W9liqWlBUAnogxWS08iute/view?usp=drivesdk</t>
  </si>
  <si>
    <t>1YG1IJpG2T4W9liqWlBUAnogxWS08iute</t>
  </si>
  <si>
    <t>1qWD16qcWyPb9wWiA4h1MOl_UAO6D3zcw</t>
  </si>
  <si>
    <t>https://drive.google.com/file/d/1qWD16qcWyPb9wWiA4h1MOl_UAO6D3zcw/view?usp=drivesdk</t>
  </si>
  <si>
    <t>NI KADEK ENDAH DHARMAYANTI, AMd.Keb., S.Si., M.M.</t>
  </si>
  <si>
    <t>kadek.endah.dharmayanti@gmail.com</t>
  </si>
  <si>
    <t>4517</t>
  </si>
  <si>
    <t>https://drive.google.com/file/d/16imI7PCFUV1J-a1Nppilfg-f_yET-3o0/view?usp=drivesdk</t>
  </si>
  <si>
    <t>16imI7PCFUV1J-a1Nppilfg-f_yET-3o0</t>
  </si>
  <si>
    <t>1OejxG93ELpsG7vRpkFahYTcckjWV296k</t>
  </si>
  <si>
    <t>https://drive.google.com/file/d/1OejxG93ELpsG7vRpkFahYTcckjWV296k/view?usp=drivesdk</t>
  </si>
  <si>
    <t>RAHMADSYAH LUBIS, SPD, MPD</t>
  </si>
  <si>
    <t>lubisptik@yahoo.com</t>
  </si>
  <si>
    <t>4518</t>
  </si>
  <si>
    <t>Starting at Thu Aug 29 2024 21:27:46 GMT-0400 (EDT)</t>
  </si>
  <si>
    <t>1s3HWmEDeI7gXfqJyBhZNhzxfp6QlI4jX</t>
  </si>
  <si>
    <t>https://drive.google.com/file/d/1s3HWmEDeI7gXfqJyBhZNhzxfp6QlI4jX/view?usp=drivesdk</t>
  </si>
  <si>
    <t>drg.MAYANG PUSPITASARI.M.M.,C.H.</t>
  </si>
  <si>
    <t>puspitasarimayang281082@yahoo.com</t>
  </si>
  <si>
    <t>4519</t>
  </si>
  <si>
    <t>1KcW-XmH6AyTt4Gz5PSIB-yNV4ntIzynd</t>
  </si>
  <si>
    <t>https://drive.google.com/file/d/1KcW-XmH6AyTt4Gz5PSIB-yNV4ntIzynd/view?usp=drivesdk</t>
  </si>
  <si>
    <t>SUNARDI,AMD</t>
  </si>
  <si>
    <t>mbahdi87@gmail.com</t>
  </si>
  <si>
    <t>4520</t>
  </si>
  <si>
    <t>1aD1fdlpTFt8-6TdS7lPuZzivlihGV3DH</t>
  </si>
  <si>
    <t>https://drive.google.com/file/d/1aD1fdlpTFt8-6TdS7lPuZzivlihGV3DH/view?usp=drivesdk</t>
  </si>
  <si>
    <t>Document successfully created; Document successfully merged; PDF created; !!Error Sending Emails: Service invoked too many times for one day: email.; Manually run by ecertificate75@gmail.com; Timestamp: Sep 2 2024 10:28 PM</t>
  </si>
  <si>
    <t>ZULHAM EFENDI</t>
  </si>
  <si>
    <t>dedy88868@gmail.com</t>
  </si>
  <si>
    <t>4521</t>
  </si>
  <si>
    <t>1mIAqdZy20SXeAtt5kfUm_aoxNHbUOBPU</t>
  </si>
  <si>
    <t>https://drive.google.com/file/d/1mIAqdZy20SXeAtt5kfUm_aoxNHbUOBPU/view?usp=drivesdk</t>
  </si>
  <si>
    <t xml:space="preserve">NENENG RAKHMAWATI </t>
  </si>
  <si>
    <t>nengrahma.pjk@gmail.com</t>
  </si>
  <si>
    <t>4522</t>
  </si>
  <si>
    <t>https://drive.google.com/file/d/15W814H1ZIFtyebY6c5oHcK273NGsPzuk/view?usp=drivesdk</t>
  </si>
  <si>
    <t>15W814H1ZIFtyebY6c5oHcK273NGsPzuk</t>
  </si>
  <si>
    <t>1bFKSsMKHcpu5R2k7YFLVsPeUp4Ej3CrF</t>
  </si>
  <si>
    <t>https://drive.google.com/file/d/1bFKSsMKHcpu5R2k7YFLVsPeUp4Ej3CrF/view?usp=drivesdk</t>
  </si>
  <si>
    <t>DWI SRIWULAN, S.K.M</t>
  </si>
  <si>
    <t>dwi.sriwulan1979@gmail.com</t>
  </si>
  <si>
    <t>4523</t>
  </si>
  <si>
    <t>https://drive.google.com/file/d/1IuRD82p0p2rCaymtJMEAP4Ps3gKXhLhj/view?usp=drivesdk</t>
  </si>
  <si>
    <t>1IuRD82p0p2rCaymtJMEAP4Ps3gKXhLhj</t>
  </si>
  <si>
    <t>1cfZyJ8kZ48bMQFhcmanlWTHv-CXnImpb</t>
  </si>
  <si>
    <t>https://drive.google.com/file/d/1cfZyJ8kZ48bMQFhcmanlWTHv-CXnImpb/view?usp=drivesdk</t>
  </si>
  <si>
    <t>HERMAWATI, S.Pd.</t>
  </si>
  <si>
    <t>herma8554@gmail.com</t>
  </si>
  <si>
    <t>4524</t>
  </si>
  <si>
    <t>https://drive.google.com/file/d/1hIob9XTmgd_VeMxLzCETRURJiQIvi4lz/view?usp=drivesdk</t>
  </si>
  <si>
    <t>1hIob9XTmgd_VeMxLzCETRURJiQIvi4lz</t>
  </si>
  <si>
    <t>1laG3hOJ6exB7bz0lRU3D3TnlkyFzqhUd</t>
  </si>
  <si>
    <t>https://drive.google.com/file/d/1laG3hOJ6exB7bz0lRU3D3TnlkyFzqhUd/view?usp=drivesdk</t>
  </si>
  <si>
    <t>Document successfully created; Document successfully merged; PDF created; !!Error Sending Emails: Service invoked too many times for one day: email.; Manually run by ecertificate75@gmail.com; Timestamp: Sep 2 2024 10:29 PM</t>
  </si>
  <si>
    <t>YAYU INDRAYANI SUDIBYO, S.K.M</t>
  </si>
  <si>
    <t>yayuindrayanisudibyo@gmail.com</t>
  </si>
  <si>
    <t>4525</t>
  </si>
  <si>
    <t>https://drive.google.com/file/d/1iVTlZk8FEhtulcoz3Tsf__HgefsaHgSq/view?usp=drivesdk</t>
  </si>
  <si>
    <t>1iVTlZk8FEhtulcoz3Tsf__HgefsaHgSq</t>
  </si>
  <si>
    <t>1Mda6fLMYIEKzEQTAFRflM3H3vDxZZWPA</t>
  </si>
  <si>
    <t>https://drive.google.com/file/d/1Mda6fLMYIEKzEQTAFRflM3H3vDxZZWPA/view?usp=drivesdk</t>
  </si>
  <si>
    <t>LINDA, S.E.</t>
  </si>
  <si>
    <t>nasirlinda72@gmail.com</t>
  </si>
  <si>
    <t>4526</t>
  </si>
  <si>
    <t>Starting at Thu Aug 29 2024 21:27:48 GMT-0400 (EDT)</t>
  </si>
  <si>
    <t>1OEmOp7Wc76jTwKBIoNQF4O1O44ScIcWJ</t>
  </si>
  <si>
    <t>https://drive.google.com/file/d/1OEmOp7Wc76jTwKBIoNQF4O1O44ScIcWJ/view?usp=drivesdk</t>
  </si>
  <si>
    <t>Document successfully created; Document successfully merged; PDF created; !!Error Sending Emails: Service invoked too many times for one day: email.; Manually run by ecertificate75@gmail.com; Timestamp: Sep 2 2024 10:30 PM</t>
  </si>
  <si>
    <t xml:space="preserve">dr. SIROVENESIA BANJARNAHOR </t>
  </si>
  <si>
    <t>venice27banjarnahor@gmail.com</t>
  </si>
  <si>
    <t>4527</t>
  </si>
  <si>
    <t>1te_uxfAUhDDiL7jbI7rMyBxSn5VRZsRk</t>
  </si>
  <si>
    <t>https://drive.google.com/file/d/1te_uxfAUhDDiL7jbI7rMyBxSn5VRZsRk/view?usp=drivesdk</t>
  </si>
  <si>
    <t>NURHAIDAH</t>
  </si>
  <si>
    <t>nur996161@gmail.com</t>
  </si>
  <si>
    <t>4528</t>
  </si>
  <si>
    <t>1IA346XQ7SYczwS_1ilDxs8xX-dy5Of5n</t>
  </si>
  <si>
    <t>https://drive.google.com/file/d/1IA346XQ7SYczwS_1ilDxs8xX-dy5Of5n/view?usp=drivesdk</t>
  </si>
  <si>
    <t>legiyo1984@gmail.com</t>
  </si>
  <si>
    <t>4529</t>
  </si>
  <si>
    <t>1iax6JY_WNTVtB_dWTovsUDSORxkXi2wT</t>
  </si>
  <si>
    <t>https://drive.google.com/file/d/1iax6JY_WNTVtB_dWTovsUDSORxkXi2wT/view?usp=drivesdk</t>
  </si>
  <si>
    <t>SUDARINI</t>
  </si>
  <si>
    <t>amdravi01@gmail.com</t>
  </si>
  <si>
    <t>4530</t>
  </si>
  <si>
    <t>1tGoTmWKtSiahtvgnxcIQjbIZqRf8cXfF</t>
  </si>
  <si>
    <t>https://drive.google.com/file/d/1tGoTmWKtSiahtvgnxcIQjbIZqRf8cXfF/view?usp=drivesdk</t>
  </si>
  <si>
    <t>Document successfully created; Document successfully merged; PDF created; !!Error Sending Emails: Service invoked too many times for one day: email.; Manually run by ecertificate75@gmail.com; Timestamp: Sep 2 2024 10:31 PM</t>
  </si>
  <si>
    <t>MAHRONI, A.Md.</t>
  </si>
  <si>
    <t>mahroniupn@gmail.com</t>
  </si>
  <si>
    <t>4531</t>
  </si>
  <si>
    <t>1aBvlpc9WE5VMsAATUOEzFgxNaRLTxJBV</t>
  </si>
  <si>
    <t>https://drive.google.com/file/d/1aBvlpc9WE5VMsAATUOEzFgxNaRLTxJBV/view?usp=drivesdk</t>
  </si>
  <si>
    <t>ANAK AGUNG AYU LAKSMI DEWI, A. Md. Keb</t>
  </si>
  <si>
    <t>dewilaksmi190@gmail.com</t>
  </si>
  <si>
    <t>4532</t>
  </si>
  <si>
    <t>17rC2oETDzp6-6nolSS-D6nCNDleS3GsS</t>
  </si>
  <si>
    <t>https://drive.google.com/file/d/17rC2oETDzp6-6nolSS-D6nCNDleS3GsS/view?usp=drivesdk</t>
  </si>
  <si>
    <t>HM SAKIM</t>
  </si>
  <si>
    <t>msakim1967@gmail.com</t>
  </si>
  <si>
    <t>4533</t>
  </si>
  <si>
    <t>1psXKsVytq4voaH3yOU3nFzFSXd6MWHxN</t>
  </si>
  <si>
    <t>https://drive.google.com/file/d/1psXKsVytq4voaH3yOU3nFzFSXd6MWHxN/view?usp=drivesdk</t>
  </si>
  <si>
    <t>Document successfully created; Document successfully merged; PDF created; !!Error Sending Emails: Service invoked too many times for one day: email.; Manually run by ecertificate75@gmail.com; Timestamp: Sep 2 2024 10:32 PM</t>
  </si>
  <si>
    <t>M AHYAR</t>
  </si>
  <si>
    <t>ahyarpagutan@gmail.com</t>
  </si>
  <si>
    <t>4534</t>
  </si>
  <si>
    <t>17VDYLfj_iY0H3pATf-5aexQquR8a0Sv5</t>
  </si>
  <si>
    <t>https://drive.google.com/file/d/17VDYLfj_iY0H3pATf-5aexQquR8a0Sv5/view?usp=drivesdk</t>
  </si>
  <si>
    <t xml:space="preserve">EKO BUDIARSO </t>
  </si>
  <si>
    <t>ekobudiarso66@gmail.com</t>
  </si>
  <si>
    <t>4535</t>
  </si>
  <si>
    <t>1qr-jyfRxl6L1qor_DpfQmcNj5ZDb9WTO</t>
  </si>
  <si>
    <t>https://drive.google.com/file/d/1qr-jyfRxl6L1qor_DpfQmcNj5ZDb9WTO/view?usp=drivesdk</t>
  </si>
  <si>
    <t>SARMA SUSILAWATI.S</t>
  </si>
  <si>
    <t>sarmasusilawati2@gmail.com</t>
  </si>
  <si>
    <t>4536</t>
  </si>
  <si>
    <t>1htExWLl84mOZT-6XSHkqu-lIikKVmNqe</t>
  </si>
  <si>
    <t>https://drive.google.com/file/d/1htExWLl84mOZT-6XSHkqu-lIikKVmNqe/view?usp=drivesdk</t>
  </si>
  <si>
    <t>MARYANTO, S.T.</t>
  </si>
  <si>
    <t>anto.pss11@gmail.com</t>
  </si>
  <si>
    <t>4537</t>
  </si>
  <si>
    <t>1bFZCDTq0DARZZ--hevr6Ox_JjtpzWfsU</t>
  </si>
  <si>
    <t>https://drive.google.com/file/d/1bFZCDTq0DARZZ--hevr6Ox_JjtpzWfsU/view?usp=drivesdk</t>
  </si>
  <si>
    <t>JUMDAN</t>
  </si>
  <si>
    <t>jumdanaja@gmail.com</t>
  </si>
  <si>
    <t>4538</t>
  </si>
  <si>
    <t>1Mm_BiG3Z00N_j-m9i7i9v5UCgdkN5i7f</t>
  </si>
  <si>
    <t>https://drive.google.com/file/d/1Mm_BiG3Z00N_j-m9i7i9v5UCgdkN5i7f/view?usp=drivesdk</t>
  </si>
  <si>
    <t>Document successfully created; Document successfully merged; PDF created; !!Error Sending Emails: Service invoked too many times for one day: email.; Manually run by ecertificate75@gmail.com; Timestamp: Sep 2 2024 10:33 PM</t>
  </si>
  <si>
    <t>RINA CAPANITA ,SE</t>
  </si>
  <si>
    <t>rinacapanita2@gmail.com</t>
  </si>
  <si>
    <t>4539</t>
  </si>
  <si>
    <t>1k9OK3nmPeJUtJ92DnQDxYS91YkiNv4B-</t>
  </si>
  <si>
    <t>https://drive.google.com/file/d/1k9OK3nmPeJUtJ92DnQDxYS91YkiNv4B-/view?usp=drivesdk</t>
  </si>
  <si>
    <t>YULIA, S.Sos</t>
  </si>
  <si>
    <t>yulia22072968@gmsil.com</t>
  </si>
  <si>
    <t>4540</t>
  </si>
  <si>
    <t>1ROQx1HeuS7LJAziWBT28358BfKa1OTUv</t>
  </si>
  <si>
    <t>https://drive.google.com/file/d/1ROQx1HeuS7LJAziWBT28358BfKa1OTUv/view?usp=drivesdk</t>
  </si>
  <si>
    <t>WINITA</t>
  </si>
  <si>
    <t>samcinoppo@gmail.com</t>
  </si>
  <si>
    <t>4541</t>
  </si>
  <si>
    <t>1qRRe-DP1-YjxEJBHFAQJ7ptbeg_qhtLX</t>
  </si>
  <si>
    <t>https://drive.google.com/file/d/1qRRe-DP1-YjxEJBHFAQJ7ptbeg_qhtLX/view?usp=drivesdk</t>
  </si>
  <si>
    <t>Dra. SRI AGUSTINAH</t>
  </si>
  <si>
    <t>sriagustinah769@gmail.com</t>
  </si>
  <si>
    <t>4542</t>
  </si>
  <si>
    <t>1QHyC2Klb7bodDCulMxEuXlyBjfmvQ7VZ</t>
  </si>
  <si>
    <t>https://drive.google.com/file/d/1QHyC2Klb7bodDCulMxEuXlyBjfmvQ7VZ/view?usp=drivesdk</t>
  </si>
  <si>
    <t>Document successfully created; Document successfully merged; PDF created; !!Error Sending Emails: Service invoked too many times for one day: email.; Manually run by ecertificate75@gmail.com; Timestamp: Sep 2 2024 10:34 PM</t>
  </si>
  <si>
    <t xml:space="preserve">ROCHMAN </t>
  </si>
  <si>
    <t>rmann8898@gmail.com</t>
  </si>
  <si>
    <t>4543</t>
  </si>
  <si>
    <t>https://drive.google.com/file/d/1dund-meAKwWhzi8L6UvCbkji-uZiLFuH/view?usp=drivesdk</t>
  </si>
  <si>
    <t>1dund-meAKwWhzi8L6UvCbkji-uZiLFuH</t>
  </si>
  <si>
    <t>18KK8of4mFnFVBLP3_GCKoUND57XRoskh</t>
  </si>
  <si>
    <t>https://drive.google.com/file/d/18KK8of4mFnFVBLP3_GCKoUND57XRoskh/view?usp=drivesdk</t>
  </si>
  <si>
    <t>TIGOR HASUDUNGAN SITUMORANG</t>
  </si>
  <si>
    <t>hsitumorangtigor@gmail.com</t>
  </si>
  <si>
    <t>4544</t>
  </si>
  <si>
    <t>https://drive.google.com/file/d/1SqR06cJ8f9sS9V3zyAk1WG11QZnducxL/view?usp=drivesdk</t>
  </si>
  <si>
    <t>1SqR06cJ8f9sS9V3zyAk1WG11QZnducxL</t>
  </si>
  <si>
    <t>1lPqi-xaZwWnf17zl5C5LJYqyOERnvPkr</t>
  </si>
  <si>
    <t>https://drive.google.com/file/d/1lPqi-xaZwWnf17zl5C5LJYqyOERnvPkr/view?usp=drivesdk</t>
  </si>
  <si>
    <t xml:space="preserve">AMANG SETIAWAN </t>
  </si>
  <si>
    <t>amangsetiawan01003@polri.go.id</t>
  </si>
  <si>
    <t>4545</t>
  </si>
  <si>
    <t>https://drive.google.com/file/d/1FJqGMAomuNVgz83uGyq7ggE8-MTb7VQY/view?usp=drivesdk</t>
  </si>
  <si>
    <t>1FJqGMAomuNVgz83uGyq7ggE8-MTb7VQY</t>
  </si>
  <si>
    <t>1fqCzvjoCion5caRNmvMOmtbfk2wlfGOf</t>
  </si>
  <si>
    <t>https://drive.google.com/file/d/1fqCzvjoCion5caRNmvMOmtbfk2wlfGOf/view?usp=drivesdk</t>
  </si>
  <si>
    <t>LINCHE SRIANA</t>
  </si>
  <si>
    <t>linchesriana1@gmail.com</t>
  </si>
  <si>
    <t>4546</t>
  </si>
  <si>
    <t>https://drive.google.com/file/d/1xKRxX49y_CaDI7LOdn-j1kaGne-Ssqsb/view?usp=drivesdk</t>
  </si>
  <si>
    <t>1xKRxX49y_CaDI7LOdn-j1kaGne-Ssqsb</t>
  </si>
  <si>
    <t>1Vl4-aBXIx63OWTZPiKFRyjiL5E2XcwD9</t>
  </si>
  <si>
    <t>https://drive.google.com/file/d/1Vl4-aBXIx63OWTZPiKFRyjiL5E2XcwD9/view?usp=drivesdk</t>
  </si>
  <si>
    <t>Document successfully created; Document successfully merged; PDF created; !!Error Sending Emails: Service invoked too many times for one day: email.; Manually run by ecertificate75@gmail.com; Timestamp: Sep 2 2024 10:35 PM</t>
  </si>
  <si>
    <t>ENDAH WAHYUNI</t>
  </si>
  <si>
    <t>endahccbr@gmail.com</t>
  </si>
  <si>
    <t>4547</t>
  </si>
  <si>
    <t>https://drive.google.com/file/d/12nJkfkWV8d_eZBg6hWbwmIGc54DTLQRj/view?usp=drivesdk</t>
  </si>
  <si>
    <t>12nJkfkWV8d_eZBg6hWbwmIGc54DTLQRj</t>
  </si>
  <si>
    <t>1Ru6i4X5aSdC9Z6tRrNvK_wDMFtS321Eq</t>
  </si>
  <si>
    <t>https://drive.google.com/file/d/1Ru6i4X5aSdC9Z6tRrNvK_wDMFtS321Eq/view?usp=drivesdk</t>
  </si>
  <si>
    <t>CAHYO NUGROHO, A.Md</t>
  </si>
  <si>
    <t>klezska@gmail.com</t>
  </si>
  <si>
    <t>4548</t>
  </si>
  <si>
    <t>https://drive.google.com/file/d/1xwXdnZnLmFOcATnKw5kDnPPHCVjuU-F6/view?usp=drivesdk</t>
  </si>
  <si>
    <t>1xwXdnZnLmFOcATnKw5kDnPPHCVjuU-F6</t>
  </si>
  <si>
    <t>1Y8-3KmKiw-u6G-BI2pkkF50UhLwP0K3j</t>
  </si>
  <si>
    <t>https://drive.google.com/file/d/1Y8-3KmKiw-u6G-BI2pkkF50UhLwP0K3j/view?usp=drivesdk</t>
  </si>
  <si>
    <t>SITI AMBAR FATONAH</t>
  </si>
  <si>
    <t>fiyunambar@gmail.com</t>
  </si>
  <si>
    <t>4549</t>
  </si>
  <si>
    <t>https://drive.google.com/file/d/1MY7bc9sRJu7tvCUd3AriTsWytUMpX79p/view?usp=drivesdk</t>
  </si>
  <si>
    <t>1MY7bc9sRJu7tvCUd3AriTsWytUMpX79p</t>
  </si>
  <si>
    <t>1TQVFIoGiKwKgEftQarVMt3RAvzkmw3cZ</t>
  </si>
  <si>
    <t>https://drive.google.com/file/d/1TQVFIoGiKwKgEftQarVMt3RAvzkmw3cZ/view?usp=drivesdk</t>
  </si>
  <si>
    <t>TUTI HANDAYANI</t>
  </si>
  <si>
    <t>wyuni9825@gmail.com</t>
  </si>
  <si>
    <t>4550</t>
  </si>
  <si>
    <t>https://drive.google.com/file/d/1qLl1gx8Gv4HU3PHGwU6ivRL86FODleoo/view?usp=drivesdk</t>
  </si>
  <si>
    <t>1qLl1gx8Gv4HU3PHGwU6ivRL86FODleoo</t>
  </si>
  <si>
    <t>1WFmEHf2twwsjzjD_LvWUUmNNcnPtGJVx</t>
  </si>
  <si>
    <t>https://drive.google.com/file/d/1WFmEHf2twwsjzjD_LvWUUmNNcnPtGJVx/view?usp=drivesdk</t>
  </si>
  <si>
    <t>Document successfully created; Document successfully merged; PDF created; !!Error Sending Emails: Service invoked too many times for one day: email.; Manually run by ecertificate75@gmail.com; Timestamp: Sep 2 2024 10:36 PM</t>
  </si>
  <si>
    <t>NIAAZLIA</t>
  </si>
  <si>
    <t>zanialuph@gmail.com</t>
  </si>
  <si>
    <t>4551</t>
  </si>
  <si>
    <t>https://drive.google.com/file/d/1QPVbul5P8rF8n5qJvfUD93WwzFfhtnkp/view?usp=drivesdk</t>
  </si>
  <si>
    <t>1QPVbul5P8rF8n5qJvfUD93WwzFfhtnkp</t>
  </si>
  <si>
    <t>1puScNg_Qsa0s6O90LDWD4gzjqyCCxK04</t>
  </si>
  <si>
    <t>https://drive.google.com/file/d/1puScNg_Qsa0s6O90LDWD4gzjqyCCxK04/view?usp=drivesdk</t>
  </si>
  <si>
    <t>Document successfully created; Document successfully merged; PDF created; !!Error Sending Emails: Service invoked too many times for one day: email.; Run via form trigger as ecertificate75@gmail.com; Timestamp: Sep 2 2024 10:02 PM</t>
  </si>
  <si>
    <t xml:space="preserve">BENNY PRATOMO S, ST, MM </t>
  </si>
  <si>
    <t>pratomo881@gmail.com</t>
  </si>
  <si>
    <t>4552</t>
  </si>
  <si>
    <t>Starting at Thu Aug 29 2024 21:27:58 GMT-0400 (EDT)</t>
  </si>
  <si>
    <t>1EiYH6n6tl_WUsP13iQelYQmkM19t_GfM</t>
  </si>
  <si>
    <t>https://drive.google.com/file/d/1EiYH6n6tl_WUsP13iQelYQmkM19t_GfM/view?usp=drivesdk</t>
  </si>
  <si>
    <t>TITOH KUSTIAH</t>
  </si>
  <si>
    <t>michealiayuu3@gmail.com</t>
  </si>
  <si>
    <t>4553</t>
  </si>
  <si>
    <t>1X4rO3tfQKLKUt1iK4yRzMDOaaIJUZaQo</t>
  </si>
  <si>
    <t>https://drive.google.com/file/d/1X4rO3tfQKLKUt1iK4yRzMDOaaIJUZaQo/view?usp=drivesdk</t>
  </si>
  <si>
    <t>taufik10211982@gmail.com</t>
  </si>
  <si>
    <t>4554</t>
  </si>
  <si>
    <t>1hrm1lIB4rW-NWdLuy82rnlWw5LTS1lMm</t>
  </si>
  <si>
    <t>https://drive.google.com/file/d/1hrm1lIB4rW-NWdLuy82rnlWw5LTS1lMm/view?usp=drivesdk</t>
  </si>
  <si>
    <t>Document successfully created; Document successfully merged; PDF created; !!Error Sending Emails: Service invoked too many times for one day: email.; Run via form trigger as ecertificate75@gmail.com; Timestamp: Sep 2 2024 10:03 PM</t>
  </si>
  <si>
    <t>WIWIN WIDIASTUTI AM. KEP</t>
  </si>
  <si>
    <t>wiwinwidiastuti88@gmail.com</t>
  </si>
  <si>
    <t>4555</t>
  </si>
  <si>
    <t>1yQRpwmQbE-KWphq4Ap7j3Og7zxZf-lQa</t>
  </si>
  <si>
    <t>https://drive.google.com/file/d/1yQRpwmQbE-KWphq4Ap7j3Og7zxZf-lQa/view?usp=drivesdk</t>
  </si>
  <si>
    <t>ANDY BUDI PRAKOSO</t>
  </si>
  <si>
    <t>andybudiprakoso@gmail.com</t>
  </si>
  <si>
    <t>4556</t>
  </si>
  <si>
    <t>1yg4nMS-jfMYR0iLA5OO84MqB-CFD6OZW</t>
  </si>
  <si>
    <t>https://drive.google.com/file/d/1yg4nMS-jfMYR0iLA5OO84MqB-CFD6OZW/view?usp=drivesdk</t>
  </si>
  <si>
    <t>NURHIDAJATI</t>
  </si>
  <si>
    <t>nurhidajati35@gmail.com</t>
  </si>
  <si>
    <t>4557</t>
  </si>
  <si>
    <t>1ibSy-VDgLk5h52gNV5SjWdWIP4-5RTc0</t>
  </si>
  <si>
    <t>https://drive.google.com/file/d/1ibSy-VDgLk5h52gNV5SjWdWIP4-5RTc0/view?usp=drivesdk</t>
  </si>
  <si>
    <t>SEHONO</t>
  </si>
  <si>
    <t>sehono1968@gmail.com</t>
  </si>
  <si>
    <t>4558</t>
  </si>
  <si>
    <t>1z7KScLqD86tNz9v6CEgZtYPJnOXMEqFi</t>
  </si>
  <si>
    <t>https://drive.google.com/file/d/1z7KScLqD86tNz9v6CEgZtYPJnOXMEqFi/view?usp=drivesdk</t>
  </si>
  <si>
    <t>Document successfully created; Document successfully merged; PDF created; !!Error Sending Emails: Service invoked too many times for one day: email.; Run via form trigger as ecertificate75@gmail.com; Timestamp: Sep 2 2024 10:04 PM</t>
  </si>
  <si>
    <t>HARIYATI</t>
  </si>
  <si>
    <t>hariyatii2810@gmail.com</t>
  </si>
  <si>
    <t>4559</t>
  </si>
  <si>
    <t>https://drive.google.com/file/d/1GK6JERlD-1AyvXxAVRXX4BceuXDR4-Oy/view?usp=drivesdk</t>
  </si>
  <si>
    <t>1GK6JERlD-1AyvXxAVRXX4BceuXDR4-Oy</t>
  </si>
  <si>
    <t>1B0KYFlcJvwrXMFLOe70uhaWQsHOG-liR</t>
  </si>
  <si>
    <t>https://drive.google.com/file/d/1B0KYFlcJvwrXMFLOe70uhaWQsHOG-liR/view?usp=drivesdk</t>
  </si>
  <si>
    <t>NUR SHOLIHAH</t>
  </si>
  <si>
    <t>nur.sholikhah88@gmail.com</t>
  </si>
  <si>
    <t>4560</t>
  </si>
  <si>
    <t>Starting at Thu Aug 29 2024 21:28:00 GMT-0400 (EDT)</t>
  </si>
  <si>
    <t>1bIeZ6oqYz6StmvT0zuDlMb-TFp2J7OCD</t>
  </si>
  <si>
    <t>https://drive.google.com/file/d/1bIeZ6oqYz6StmvT0zuDlMb-TFp2J7OCD/view?usp=drivesdk</t>
  </si>
  <si>
    <t xml:space="preserve">MULYADI </t>
  </si>
  <si>
    <t>nuryadi140768@gmail.com</t>
  </si>
  <si>
    <t>4561</t>
  </si>
  <si>
    <t>1-qmIah39e-p-VitJe_Zwo22ULsWHnu_D</t>
  </si>
  <si>
    <t>https://drive.google.com/file/d/1-qmIah39e-p-VitJe_Zwo22ULsWHnu_D/view?usp=drivesdk</t>
  </si>
  <si>
    <t>ERNI YUSNITA, S.KOM., M.SI.</t>
  </si>
  <si>
    <t>erni.melky@gmail.com</t>
  </si>
  <si>
    <t>4562</t>
  </si>
  <si>
    <t>1YuHUjMHifApkUs8IMda905wHmJAdXgP4</t>
  </si>
  <si>
    <t>https://drive.google.com/file/d/1YuHUjMHifApkUs8IMda905wHmJAdXgP4/view?usp=drivesdk</t>
  </si>
  <si>
    <t>Drg Ade Setyawan</t>
  </si>
  <si>
    <t>adekartika179@gmail.com</t>
  </si>
  <si>
    <t>4563</t>
  </si>
  <si>
    <t>1Ll1hninY4LameMCQ8Stn122Js_DDmkYl</t>
  </si>
  <si>
    <t>https://drive.google.com/file/d/1Ll1hninY4LameMCQ8Stn122Js_DDmkYl/view?usp=drivesdk</t>
  </si>
  <si>
    <t>Document successfully created; Document successfully merged; PDF created; !!Error Sending Emails: Service invoked too many times for one day: email.; Run via form trigger as ecertificate75@gmail.com; Timestamp: Sep 2 2024 10:05 PM</t>
  </si>
  <si>
    <t>ELLY NOPRIANI</t>
  </si>
  <si>
    <t>noprianielly@gmail.com</t>
  </si>
  <si>
    <t>4564</t>
  </si>
  <si>
    <t>1H8zj1RcCtyesNfBvTeEvueA4J8phQ_Kg</t>
  </si>
  <si>
    <t>https://drive.google.com/file/d/1H8zj1RcCtyesNfBvTeEvueA4J8phQ_Kg/view?usp=drivesdk</t>
  </si>
  <si>
    <t xml:space="preserve">MUHAMMAD SARTONO </t>
  </si>
  <si>
    <t>sartonotono0381@gmail.com</t>
  </si>
  <si>
    <t>4565</t>
  </si>
  <si>
    <t>https://drive.google.com/file/d/1qy8QFRYT-LF8oepfcMfFduudlwiprg3y/view?usp=drivesdk</t>
  </si>
  <si>
    <t>1qy8QFRYT-LF8oepfcMfFduudlwiprg3y</t>
  </si>
  <si>
    <t>1SNr5EIvTviTASjhS20Rx1hmD5gwXEFE7</t>
  </si>
  <si>
    <t>https://drive.google.com/file/d/1SNr5EIvTviTASjhS20Rx1hmD5gwXEFE7/view?usp=drivesdk</t>
  </si>
  <si>
    <t xml:space="preserve">RENTA ROIDA SIMANJUNTAK </t>
  </si>
  <si>
    <t>rentaroida@gmail.com</t>
  </si>
  <si>
    <t>4566</t>
  </si>
  <si>
    <t>https://drive.google.com/file/d/1kcfB-9w1vgRjokv0Vl4_6bqhWeD9gBrc/view?usp=drivesdk</t>
  </si>
  <si>
    <t>1kcfB-9w1vgRjokv0Vl4_6bqhWeD9gBrc</t>
  </si>
  <si>
    <t>1CTwTDFiFfPn6av2K7t3kbpiH27aHdmLo</t>
  </si>
  <si>
    <t>https://drive.google.com/file/d/1CTwTDFiFfPn6av2K7t3kbpiH27aHdmLo/view?usp=drivesdk</t>
  </si>
  <si>
    <t>SETUR, S.H.</t>
  </si>
  <si>
    <t>seturiyantoo@gmail.com</t>
  </si>
  <si>
    <t>4567</t>
  </si>
  <si>
    <t>Starting at Thu Aug 29 2024 21:28:06 GMT-0400 (EDT)</t>
  </si>
  <si>
    <t>1GE5pdQvfHeuETVzcNqdTRmDO4WDjxNIO</t>
  </si>
  <si>
    <t>https://drive.google.com/file/d/1GE5pdQvfHeuETVzcNqdTRmDO4WDjxNIO/view?usp=drivesdk</t>
  </si>
  <si>
    <t>4568</t>
  </si>
  <si>
    <t>10if3syNA0E07URcX3tOaZGWwv6tF-r8w</t>
  </si>
  <si>
    <t>https://drive.google.com/file/d/10if3syNA0E07URcX3tOaZGWwv6tF-r8w/view?usp=drivesdk</t>
  </si>
  <si>
    <t>Document successfully created; Document successfully merged; PDF created; !!Error Sending Emails: Service invoked too many times for one day: email.; Run via form trigger as ecertificate75@gmail.com; Timestamp: Sep 2 2024 10:06 PM</t>
  </si>
  <si>
    <t>dr. FANNY APRILIA SAVITRI</t>
  </si>
  <si>
    <t>faliasav@gmail.com</t>
  </si>
  <si>
    <t>4569</t>
  </si>
  <si>
    <t>1EIqjKk4gdFBh18YkRZ4sMYOkkoxAyRfb</t>
  </si>
  <si>
    <t>https://drive.google.com/file/d/1EIqjKk4gdFBh18YkRZ4sMYOkkoxAyRfb/view?usp=drivesdk</t>
  </si>
  <si>
    <t xml:space="preserve">SRIYATI </t>
  </si>
  <si>
    <t>sriyatii0123@gmail.com</t>
  </si>
  <si>
    <t>4570</t>
  </si>
  <si>
    <t>1DFCf1j6MDfVoN7s1K4y5RFuISbYlZMvD</t>
  </si>
  <si>
    <t>https://drive.google.com/file/d/1DFCf1j6MDfVoN7s1K4y5RFuISbYlZMvD/view?usp=drivesdk</t>
  </si>
  <si>
    <t>FAHRIYADI PURNAMA THAIB, A.MD.KOM</t>
  </si>
  <si>
    <t>fahriyadi@ti.poligon.ac.id</t>
  </si>
  <si>
    <t>4571</t>
  </si>
  <si>
    <t>https://drive.google.com/file/d/10K20Ht5LJQULpCaJhJDHK4wZcPIvlmTC/view?usp=drivesdk</t>
  </si>
  <si>
    <t>10K20Ht5LJQULpCaJhJDHK4wZcPIvlmTC</t>
  </si>
  <si>
    <t>1NDfDq0yIKIS4rpAqJ5Y6Pq5EwGHh9nyU</t>
  </si>
  <si>
    <t>https://drive.google.com/file/d/1NDfDq0yIKIS4rpAqJ5Y6Pq5EwGHh9nyU/view?usp=drivesdk</t>
  </si>
  <si>
    <t>MISAN BIN NYARMAN</t>
  </si>
  <si>
    <t>misan28678@gmail.com</t>
  </si>
  <si>
    <t>4572</t>
  </si>
  <si>
    <t>https://drive.google.com/file/d/1cmQiOinxnjcuJTWzeG40lOT0f2Qt5Owx/view?usp=drivesdk</t>
  </si>
  <si>
    <t>1cmQiOinxnjcuJTWzeG40lOT0f2Qt5Owx</t>
  </si>
  <si>
    <t>1FsASmh15_rc1Uc6i9fQDvLxAmzNfBapE</t>
  </si>
  <si>
    <t>https://drive.google.com/file/d/1FsASmh15_rc1Uc6i9fQDvLxAmzNfBapE/view?usp=drivesdk</t>
  </si>
  <si>
    <t>MARLIN EKO ARIFIANTO</t>
  </si>
  <si>
    <t>ibunk1979@gmail.com</t>
  </si>
  <si>
    <t>4573</t>
  </si>
  <si>
    <t>https://drive.google.com/file/d/1F07Tp5uq5Dfcy3jA_IS7CtunfgzRRebH/view?usp=drivesdk</t>
  </si>
  <si>
    <t>1F07Tp5uq5Dfcy3jA_IS7CtunfgzRRebH</t>
  </si>
  <si>
    <t>1LEFuz74L2p1ePwzvoRP6wRr_e0zMX0d6</t>
  </si>
  <si>
    <t>https://drive.google.com/file/d/1LEFuz74L2p1ePwzvoRP6wRr_e0zMX0d6/view?usp=drivesdk</t>
  </si>
  <si>
    <t>KISWANTO</t>
  </si>
  <si>
    <t>kwanto123456@gmail.com</t>
  </si>
  <si>
    <t>4574</t>
  </si>
  <si>
    <t>https://drive.google.com/file/d/12Xz5fNfaD5hrM7fvz3SbjSJPFxVr_OsZ/view?usp=drivesdk</t>
  </si>
  <si>
    <t>12Xz5fNfaD5hrM7fvz3SbjSJPFxVr_OsZ</t>
  </si>
  <si>
    <t>1aN1aprEZ5VV1qDLuqAprq5TVygkSDX-1</t>
  </si>
  <si>
    <t>https://drive.google.com/file/d/1aN1aprEZ5VV1qDLuqAprq5TVygkSDX-1/view?usp=drivesdk</t>
  </si>
  <si>
    <t>MASDIATI</t>
  </si>
  <si>
    <t>masdiati88@gmail.com</t>
  </si>
  <si>
    <t>4575</t>
  </si>
  <si>
    <t>https://drive.google.com/file/d/1XVm6O79wvP37Bifs6GbJGLM2UAXCxNWf/view?usp=drivesdk</t>
  </si>
  <si>
    <t>1XVm6O79wvP37Bifs6GbJGLM2UAXCxNWf</t>
  </si>
  <si>
    <t>18kXNbzP5iUn6I9ZwuvhwrMnatZXXGfB4</t>
  </si>
  <si>
    <t>https://drive.google.com/file/d/18kXNbzP5iUn6I9ZwuvhwrMnatZXXGfB4/view?usp=drivesdk</t>
  </si>
  <si>
    <t>Document successfully created; Document successfully merged; PDF created; !!Error Sending Emails: Service invoked too many times for one day: email.; Manually run by ecertificate75@gmail.com; Timestamp: Sep 2 2024 10:37 PM</t>
  </si>
  <si>
    <t>SELPIA NURHAYATI, S.Si.</t>
  </si>
  <si>
    <t>nurhayatiselpia@gmail.com</t>
  </si>
  <si>
    <t>4576</t>
  </si>
  <si>
    <t>Starting at Thu Aug 29 2024 21:28:07 GMT-0400 (EDT)</t>
  </si>
  <si>
    <t>18G5yv0uRQzKFLiADPedoRGn023f3SWYc</t>
  </si>
  <si>
    <t>https://drive.google.com/file/d/18G5yv0uRQzKFLiADPedoRGn023f3SWYc/view?usp=drivesdk</t>
  </si>
  <si>
    <t>MOHAMAD TAUFIK</t>
  </si>
  <si>
    <t>kigeya.rek@gmail.com</t>
  </si>
  <si>
    <t>4577</t>
  </si>
  <si>
    <t>1KIJ7wJLerddx3Lo15x1fqF9bL8msC5zf</t>
  </si>
  <si>
    <t>https://drive.google.com/file/d/1KIJ7wJLerddx3Lo15x1fqF9bL8msC5zf/view?usp=drivesdk</t>
  </si>
  <si>
    <t>VIVI SUMANTI</t>
  </si>
  <si>
    <t>vivi.arios1974@gmail.com</t>
  </si>
  <si>
    <t>4578</t>
  </si>
  <si>
    <t>1SvxCckOtKw1bj8KU9Rjr_avn9uIXiLIM</t>
  </si>
  <si>
    <t>https://drive.google.com/file/d/1SvxCckOtKw1bj8KU9Rjr_avn9uIXiLIM/view?usp=drivesdk</t>
  </si>
  <si>
    <t>Ns. NOVITA EKA PUTRI, S.Kep</t>
  </si>
  <si>
    <t>noviekaputri1411@gmail.com</t>
  </si>
  <si>
    <t>4579</t>
  </si>
  <si>
    <t>1m0kgUaaqSdeo4LSgHVDr8KHMf17-tuvb</t>
  </si>
  <si>
    <t>https://drive.google.com/file/d/1m0kgUaaqSdeo4LSgHVDr8KHMf17-tuvb/view?usp=drivesdk</t>
  </si>
  <si>
    <t>MUNIR MUSTHOFA</t>
  </si>
  <si>
    <t>munirmusthofa@gmail.com</t>
  </si>
  <si>
    <t>4580</t>
  </si>
  <si>
    <t>1nJs_Z3qr0B1Wvu-PnOVHc_uEUebDCXwa</t>
  </si>
  <si>
    <t>https://drive.google.com/file/d/1nJs_Z3qr0B1Wvu-PnOVHc_uEUebDCXwa/view?usp=drivesdk</t>
  </si>
  <si>
    <t>Document successfully created; Document successfully merged; PDF created; !!Error Sending Emails: Service invoked too many times for one day: email.; Manually run by ecertificate75@gmail.com; Timestamp: Sep 2 2024 10:38 PM</t>
  </si>
  <si>
    <t>Dr. CIPTO WALUYO</t>
  </si>
  <si>
    <t>ciptowaluyo.dr@gmail.com</t>
  </si>
  <si>
    <t>4581</t>
  </si>
  <si>
    <t>13-qoTabEYg8HYgOQEwBB91E0CrHKeF1Y</t>
  </si>
  <si>
    <t>https://drive.google.com/file/d/13-qoTabEYg8HYgOQEwBB91E0CrHKeF1Y/view?usp=drivesdk</t>
  </si>
  <si>
    <t>NANANG HARIYANA, S.E.</t>
  </si>
  <si>
    <t>hariyanananang79@gmail.com</t>
  </si>
  <si>
    <t>4582</t>
  </si>
  <si>
    <t>1p67dhVzZXNZCOErrOkaxN2VksLKjycRq</t>
  </si>
  <si>
    <t>https://drive.google.com/file/d/1p67dhVzZXNZCOErrOkaxN2VksLKjycRq/view?usp=drivesdk</t>
  </si>
  <si>
    <t>ASEP SUTEJA</t>
  </si>
  <si>
    <t>asuteja71@gmail.com</t>
  </si>
  <si>
    <t>4583</t>
  </si>
  <si>
    <t>1lJj-68FvOL_GNyFPBEIReDBoA7LJPeeN</t>
  </si>
  <si>
    <t>https://drive.google.com/file/d/1lJj-68FvOL_GNyFPBEIReDBoA7LJPeeN/view?usp=drivesdk</t>
  </si>
  <si>
    <t>ANIKA VIDIANA, S.E., M.M.</t>
  </si>
  <si>
    <t>anikavidiana@gmail.com</t>
  </si>
  <si>
    <t>4584</t>
  </si>
  <si>
    <t>https://drive.google.com/file/d/18QEU0KXihry-mMWsE12JsrOg7kcIbSU-/view?usp=drivesdk</t>
  </si>
  <si>
    <t>18QEU0KXihry-mMWsE12JsrOg7kcIbSU-</t>
  </si>
  <si>
    <t>1QOtgB1hOpVI7F5xg07Vz87_BcQy6glmF</t>
  </si>
  <si>
    <t>https://drive.google.com/file/d/1QOtgB1hOpVI7F5xg07Vz87_BcQy6glmF/view?usp=drivesdk</t>
  </si>
  <si>
    <t>JUNITA VIVIANTY PANJAITAN</t>
  </si>
  <si>
    <t>junitapanjaitan78@gmail.com</t>
  </si>
  <si>
    <t>4585</t>
  </si>
  <si>
    <t>Starting at Thu Aug 29 2024 21:28:12 GMT-0400 (EDT)</t>
  </si>
  <si>
    <t>15cqFmeEX_Byi_QZ_SZLt9HTAgTaAg3Vp</t>
  </si>
  <si>
    <t>https://drive.google.com/file/d/15cqFmeEX_Byi_QZ_SZLt9HTAgTaAg3Vp/view?usp=drivesdk</t>
  </si>
  <si>
    <t>Document successfully created; Document successfully merged; PDF created; !!Error Sending Emails: Service invoked too many times for one day: email.; Manually run by ecertificate75@gmail.com; Timestamp: Sep 2 2024 10:39 PM</t>
  </si>
  <si>
    <t>SUTIRAH</t>
  </si>
  <si>
    <t>sutirah1971@gmail.com</t>
  </si>
  <si>
    <t>4586</t>
  </si>
  <si>
    <t>1VYWJeVgQcBczUfaIoahZBqrG-oQw-_nQ</t>
  </si>
  <si>
    <t>https://drive.google.com/file/d/1VYWJeVgQcBczUfaIoahZBqrG-oQw-_nQ/view?usp=drivesdk</t>
  </si>
  <si>
    <t>Yuvindra Yasodhara, S.Si.</t>
  </si>
  <si>
    <t>yuvindrayasodhara06@gmail.com</t>
  </si>
  <si>
    <t>4587</t>
  </si>
  <si>
    <t>1xv_bjTRk6hA6hhY0mKQ5wxpNZmBPf6Sd</t>
  </si>
  <si>
    <t>https://drive.google.com/file/d/1xv_bjTRk6hA6hhY0mKQ5wxpNZmBPf6Sd/view?usp=drivesdk</t>
  </si>
  <si>
    <t>FARIDA</t>
  </si>
  <si>
    <t>susisefa@gmail.com</t>
  </si>
  <si>
    <t>4588</t>
  </si>
  <si>
    <t>1-SM3zoMgpsvi8HCpbHVco6zizt3FvMmX</t>
  </si>
  <si>
    <t>https://drive.google.com/file/d/1-SM3zoMgpsvi8HCpbHVco6zizt3FvMmX/view?usp=drivesdk</t>
  </si>
  <si>
    <t>nuraininn273@gmail.com</t>
  </si>
  <si>
    <t>4589</t>
  </si>
  <si>
    <t>19YraOCPlknHB4T1Ap0Tv-cNvfdcyDdWK</t>
  </si>
  <si>
    <t>https://drive.google.com/file/d/19YraOCPlknHB4T1Ap0Tv-cNvfdcyDdWK/view?usp=drivesdk</t>
  </si>
  <si>
    <t>Document successfully created; Document successfully merged; PDF created; !!Error Sending Emails: Service invoked too many times for one day: email.; Manually run by ecertificate75@gmail.com; Timestamp: Sep 2 2024 10:40 PM</t>
  </si>
  <si>
    <t>ARMAWANTI</t>
  </si>
  <si>
    <t>armawanti12@gmail.com</t>
  </si>
  <si>
    <t>4590</t>
  </si>
  <si>
    <t>1niZ6IAHUjyPsvH6P_sygaROyq7f4uIgg</t>
  </si>
  <si>
    <t>https://drive.google.com/file/d/1niZ6IAHUjyPsvH6P_sygaROyq7f4uIgg/view?usp=drivesdk</t>
  </si>
  <si>
    <t>RACHMAD DWI HARI UTOMO</t>
  </si>
  <si>
    <t>rachmaddwiutomo@gmail.com</t>
  </si>
  <si>
    <t>4591</t>
  </si>
  <si>
    <t>1ylwYGjLPmzb-GHlXQ0fnJ-Y4OjKeEhJb</t>
  </si>
  <si>
    <t>https://drive.google.com/file/d/1ylwYGjLPmzb-GHlXQ0fnJ-Y4OjKeEhJb/view?usp=drivesdk</t>
  </si>
  <si>
    <t>MUSLIKIN</t>
  </si>
  <si>
    <t>muslikinl246@gmail.com</t>
  </si>
  <si>
    <t>4592</t>
  </si>
  <si>
    <t>103aO3aTyTHhOIcsM6H5OpwtWBYcj1CLB</t>
  </si>
  <si>
    <t>https://drive.google.com/file/d/103aO3aTyTHhOIcsM6H5OpwtWBYcj1CLB/view?usp=drivesdk</t>
  </si>
  <si>
    <t>AYUN ERNIATI, S.E.</t>
  </si>
  <si>
    <t>ayunerniati@gmail.com</t>
  </si>
  <si>
    <t>4593</t>
  </si>
  <si>
    <t>1Po7aZ06J5D3ZEgC7qv4l_o4oivr38YEI</t>
  </si>
  <si>
    <t>https://drive.google.com/file/d/1Po7aZ06J5D3ZEgC7qv4l_o4oivr38YEI/view?usp=drivesdk</t>
  </si>
  <si>
    <t>Document successfully created; Document successfully merged; PDF created; !!Error Sending Emails: Service invoked too many times for one day: email.; Manually run by ecertificate75@gmail.com; Timestamp: Sep 2 2024 10:41 PM</t>
  </si>
  <si>
    <t>SLAMET ABIDIN</t>
  </si>
  <si>
    <t>mariamulyati602@gmail.com</t>
  </si>
  <si>
    <t>4594</t>
  </si>
  <si>
    <t>Starting at Thu Aug 29 2024 21:28:16 GMT-0400 (EDT)</t>
  </si>
  <si>
    <t>1AvJ1kxHrNxTc2l_Jt4et6Grt5IRjcXLR</t>
  </si>
  <si>
    <t>https://drive.google.com/file/d/1AvJ1kxHrNxTc2l_Jt4et6Grt5IRjcXLR/view?usp=drivesdk</t>
  </si>
  <si>
    <t>RIZKY DWI OCTAVIA, A.Md., Farm</t>
  </si>
  <si>
    <t>dwioctavia064@gmail.com</t>
  </si>
  <si>
    <t>4595</t>
  </si>
  <si>
    <t>1Pfk6DbQRGeNUshjlzAnVgPBVnXHVINht</t>
  </si>
  <si>
    <t>https://drive.google.com/file/d/1Pfk6DbQRGeNUshjlzAnVgPBVnXHVINht/view?usp=drivesdk</t>
  </si>
  <si>
    <t>PURWANTO</t>
  </si>
  <si>
    <t>bisnisonlinku@gmail.com</t>
  </si>
  <si>
    <t>4596</t>
  </si>
  <si>
    <t>1rFDkKzP2ukmWZBgiO5LHuWnsXfrBuu7C</t>
  </si>
  <si>
    <t>https://drive.google.com/file/d/1rFDkKzP2ukmWZBgiO5LHuWnsXfrBuu7C/view?usp=drivesdk</t>
  </si>
  <si>
    <t>AGITA LINI KHARISMAWATI</t>
  </si>
  <si>
    <t>agitalini@gmail.com</t>
  </si>
  <si>
    <t>4597</t>
  </si>
  <si>
    <t>1on1dzF1-kBpJOWr7AiZjY0jJ1iJ2mGaO</t>
  </si>
  <si>
    <t>https://drive.google.com/file/d/1on1dzF1-kBpJOWr7AiZjY0jJ1iJ2mGaO/view?usp=drivesdk</t>
  </si>
  <si>
    <t>NUR IHSAN</t>
  </si>
  <si>
    <t>nurihsan682@gmail.com</t>
  </si>
  <si>
    <t>4598</t>
  </si>
  <si>
    <t>1FLUcn5E_UDBl0aPKsDYSrgYkYAVnYrx1</t>
  </si>
  <si>
    <t>https://drive.google.com/file/d/1FLUcn5E_UDBl0aPKsDYSrgYkYAVnYrx1/view?usp=drivesdk</t>
  </si>
  <si>
    <t>Document successfully created; Document successfully merged; PDF created; !!Error Sending Emails: Service invoked too many times for one day: email.; Manually run by ecertificate75@gmail.com; Timestamp: Sep 2 2024 10:42 PM</t>
  </si>
  <si>
    <t>ARINI WIDJI LESTARI</t>
  </si>
  <si>
    <t>arinkiayo@gmail.com</t>
  </si>
  <si>
    <t>4599</t>
  </si>
  <si>
    <t>1FHAfig0M4HAmA7DJmDsIiB61bvpuijNY</t>
  </si>
  <si>
    <t>https://drive.google.com/file/d/1FHAfig0M4HAmA7DJmDsIiB61bvpuijNY/view?usp=drivesdk</t>
  </si>
  <si>
    <t>AMALIA</t>
  </si>
  <si>
    <t>sayaamalia242@gmail.com</t>
  </si>
  <si>
    <t>4600</t>
  </si>
  <si>
    <t>1ypMMpjPBxNMszhhtXJvYGfQqSoTcK7Bh</t>
  </si>
  <si>
    <t>https://drive.google.com/file/d/1ypMMpjPBxNMszhhtXJvYGfQqSoTcK7Bh/view?usp=drivesdk</t>
  </si>
  <si>
    <t>LIBERTY ARTUR PANAMOTAN SIMANGUNSONG, A.Md.T.</t>
  </si>
  <si>
    <t>arturliberty@gmail.com</t>
  </si>
  <si>
    <t>4601</t>
  </si>
  <si>
    <t>Starting at Thu Aug 29 2024 21:28:19 GMT-0400 (EDT)</t>
  </si>
  <si>
    <t>1z_OVac_PQ2ZkX0UCnorDWKIRIeoC6dTz</t>
  </si>
  <si>
    <t>https://drive.google.com/file/d/1z_OVac_PQ2ZkX0UCnorDWKIRIeoC6dTz/view?usp=drivesdk</t>
  </si>
  <si>
    <t>RENDRA AGUNG P</t>
  </si>
  <si>
    <t>rendra84ok@gmail.com</t>
  </si>
  <si>
    <t>4602</t>
  </si>
  <si>
    <t>1wVAyorFmkXHxj4HqVEUzpmEIwwITaW-U</t>
  </si>
  <si>
    <t>https://drive.google.com/file/d/1wVAyorFmkXHxj4HqVEUzpmEIwwITaW-U/view?usp=drivesdk</t>
  </si>
  <si>
    <t>LUH PASEK OKA ARYANI, S.E.</t>
  </si>
  <si>
    <t>luhpasekokariani@gmail.com</t>
  </si>
  <si>
    <t>4603</t>
  </si>
  <si>
    <t>1lGtz8lr3pqCdjJqZT__GwPckInb-klBI</t>
  </si>
  <si>
    <t>https://drive.google.com/file/d/1lGtz8lr3pqCdjJqZT__GwPckInb-klBI/view?usp=drivesdk</t>
  </si>
  <si>
    <t>Document successfully created; Document successfully merged; PDF created; !!Error Sending Emails: Service invoked too many times for one day: email.; Manually run by ecertificate75@gmail.com; Timestamp: Sep 2 2024 10:43 PM</t>
  </si>
  <si>
    <t>wawansetyawan2179@gmail.com</t>
  </si>
  <si>
    <t>4604</t>
  </si>
  <si>
    <t>1zpqKnfQ7HFrtQ2CWprVlrMhxkda3b476</t>
  </si>
  <si>
    <t>https://drive.google.com/file/d/1zpqKnfQ7HFrtQ2CWprVlrMhxkda3b476/view?usp=drivesdk</t>
  </si>
  <si>
    <t>NASRIL</t>
  </si>
  <si>
    <t>rilaril429@gmail.com</t>
  </si>
  <si>
    <t>4605</t>
  </si>
  <si>
    <t>1_Sp1miHJrMoi0fb01Bh6FQG7YvJkWBGn</t>
  </si>
  <si>
    <t>https://drive.google.com/file/d/1_Sp1miHJrMoi0fb01Bh6FQG7YvJkWBGn/view?usp=drivesdk</t>
  </si>
  <si>
    <t xml:space="preserve">MOCH CHOIRUDIN </t>
  </si>
  <si>
    <t>choirudin1974moch@gmail.com</t>
  </si>
  <si>
    <t>4606</t>
  </si>
  <si>
    <t>1VAik4yn2U2kIqfROwFHjtUZhvtYM4nYy</t>
  </si>
  <si>
    <t>https://drive.google.com/file/d/1VAik4yn2U2kIqfROwFHjtUZhvtYM4nYy/view?usp=drivesdk</t>
  </si>
  <si>
    <t>Document successfully created; Document successfully merged; PDF created; !!Error Sending Emails: Service invoked too many times for one day: email.; Manually run by ecertificate75@gmail.com; Timestamp: Sep 2 2024 10:44 PM</t>
  </si>
  <si>
    <t>YULIANA M, AMD.KEB</t>
  </si>
  <si>
    <t>nanayuliana9393@gmail.com</t>
  </si>
  <si>
    <t>4607</t>
  </si>
  <si>
    <t>1esA9Whsp5eqLrrrPzdT0VVH7DTbAJobt</t>
  </si>
  <si>
    <t>https://drive.google.com/file/d/1esA9Whsp5eqLrrrPzdT0VVH7DTbAJobt/view?usp=drivesdk</t>
  </si>
  <si>
    <t xml:space="preserve">NANDA KRESNA DUPAYANA, S.E. </t>
  </si>
  <si>
    <t>forza.kresna@gmail.com</t>
  </si>
  <si>
    <t>4608</t>
  </si>
  <si>
    <t>1ZiEqzdpaPW7lhBz2IJEHJ64oeiceQoqv</t>
  </si>
  <si>
    <t>https://drive.google.com/file/d/1ZiEqzdpaPW7lhBz2IJEHJ64oeiceQoqv/view?usp=drivesdk</t>
  </si>
  <si>
    <t>UMIATI</t>
  </si>
  <si>
    <t>umi.umiati1209@gmail.com</t>
  </si>
  <si>
    <t>4609</t>
  </si>
  <si>
    <t>1fWL8iSijF_lsnLNmIYC6rG79GXZK3uec</t>
  </si>
  <si>
    <t>https://drive.google.com/file/d/1fWL8iSijF_lsnLNmIYC6rG79GXZK3uec/view?usp=drivesdk</t>
  </si>
  <si>
    <t>budikoong@gmail.com</t>
  </si>
  <si>
    <t>4610</t>
  </si>
  <si>
    <t>Starting at Thu Aug 29 2024 21:28:22 GMT-0400 (EDT)</t>
  </si>
  <si>
    <t>1wdJWqKkf-fFWA4l-_K_d2zpF8D4RQB3r</t>
  </si>
  <si>
    <t>https://drive.google.com/file/d/1wdJWqKkf-fFWA4l-_K_d2zpF8D4RQB3r/view?usp=drivesdk</t>
  </si>
  <si>
    <t>CLAUDIA FERDA SADSUITUBUN</t>
  </si>
  <si>
    <t>ferdaclaudy@gmail.com</t>
  </si>
  <si>
    <t>4611</t>
  </si>
  <si>
    <t>111k3yemu3q7wpKYVyZf1BInX9dzx0rs6</t>
  </si>
  <si>
    <t>https://drive.google.com/file/d/111k3yemu3q7wpKYVyZf1BInX9dzx0rs6/view?usp=drivesdk</t>
  </si>
  <si>
    <t>Document successfully created; Document successfully merged; PDF created; !!Error Sending Emails: Service invoked too many times for one day: email.; Manually run by ecertificate75@gmail.com; Timestamp: Sep 2 2024 10:45 PM</t>
  </si>
  <si>
    <t>AAY SUWARDI, A.Md.</t>
  </si>
  <si>
    <t>aaysuwardie@gmail.com</t>
  </si>
  <si>
    <t>4612</t>
  </si>
  <si>
    <t>Starting at Thu Aug 29 2024 21:28:28 GMT-0400 (EDT)</t>
  </si>
  <si>
    <t>1czun6c8gN8TRMtKaX8PHyrYh6KRR5sjg</t>
  </si>
  <si>
    <t>https://drive.google.com/file/d/1czun6c8gN8TRMtKaX8PHyrYh6KRR5sjg/view?usp=drivesdk</t>
  </si>
  <si>
    <t>DIVKUM POLRI</t>
  </si>
  <si>
    <t>FAJRI PRISANDI</t>
  </si>
  <si>
    <t>randt20@gmail.com</t>
  </si>
  <si>
    <t>4613</t>
  </si>
  <si>
    <t>1w6BJseprINdOofm8ZgDxa0_TPzF_4JHO</t>
  </si>
  <si>
    <t>https://drive.google.com/file/d/1w6BJseprINdOofm8ZgDxa0_TPzF_4JHO/view?usp=drivesdk</t>
  </si>
  <si>
    <t xml:space="preserve">DIYN BAGUS MUHAMMAD </t>
  </si>
  <si>
    <t>dbagusm1204@gmail.com</t>
  </si>
  <si>
    <t>4614</t>
  </si>
  <si>
    <t>1Jx_z8KoEZuPsqB4k2SEdrEghV1azrv-v</t>
  </si>
  <si>
    <t>https://drive.google.com/file/d/1Jx_z8KoEZuPsqB4k2SEdrEghV1azrv-v/view?usp=drivesdk</t>
  </si>
  <si>
    <t>TUTIK HARYATI</t>
  </si>
  <si>
    <t>dindamauela123@gmail.com</t>
  </si>
  <si>
    <t>4615</t>
  </si>
  <si>
    <t>1Iod__IlTJ0e6eBK7u2WL0Hfssv2N26jh</t>
  </si>
  <si>
    <t>https://drive.google.com/file/d/1Iod__IlTJ0e6eBK7u2WL0Hfssv2N26jh/view?usp=drivesdk</t>
  </si>
  <si>
    <t>SITI CHANIFAH</t>
  </si>
  <si>
    <t>sitichanifahrsb@gmail.com</t>
  </si>
  <si>
    <t>4616</t>
  </si>
  <si>
    <t>1Icw-yKo8KGonFJMTWIsutrXc8l_6Xhe3</t>
  </si>
  <si>
    <t>https://drive.google.com/file/d/1Icw-yKo8KGonFJMTWIsutrXc8l_6Xhe3/view?usp=drivesdk</t>
  </si>
  <si>
    <t>Document successfully created; Document successfully merged; PDF created; !!Error Sending Emails: Service invoked too many times for one day: email.; Manually run by ecertificate75@gmail.com; Timestamp: Sep 2 2024 10:46 PM</t>
  </si>
  <si>
    <t xml:space="preserve">DIDIK KISWANTO </t>
  </si>
  <si>
    <t>didikkiss@gmail.com</t>
  </si>
  <si>
    <t>4617</t>
  </si>
  <si>
    <t>1fYcoM6KtCJjgjYJqP56ugGpoRUQtsJma</t>
  </si>
  <si>
    <t>https://drive.google.com/file/d/1fYcoM6KtCJjgjYJqP56ugGpoRUQtsJma/view?usp=drivesdk</t>
  </si>
  <si>
    <t>PENGATUR TK I ELWIN</t>
  </si>
  <si>
    <t>elwinpolresta1968@gmail.com</t>
  </si>
  <si>
    <t>4618</t>
  </si>
  <si>
    <t>1LC7uUTsEpiRm3Ez2nqbAArn6gp57_9zV</t>
  </si>
  <si>
    <t>https://drive.google.com/file/d/1LC7uUTsEpiRm3Ez2nqbAArn6gp57_9zV/view?usp=drivesdk</t>
  </si>
  <si>
    <t xml:space="preserve">LISKA HANDAYANI </t>
  </si>
  <si>
    <t>handayani.liska.lh@gmail.com</t>
  </si>
  <si>
    <t>4619</t>
  </si>
  <si>
    <t>14P4sGIc72W6I8KKUuDlXuPSFhFV87JNO</t>
  </si>
  <si>
    <t>https://drive.google.com/file/d/14P4sGIc72W6I8KKUuDlXuPSFhFV87JNO/view?usp=drivesdk</t>
  </si>
  <si>
    <t>Document successfully created; Document successfully merged; PDF created; !!Error Sending Emails: Service invoked too many times for one day: email.; Manually run by ecertificate75@gmail.com; Timestamp: Sep 2 2024 10:47 PM</t>
  </si>
  <si>
    <t>Suliyace.S.Taniwang,S.Si</t>
  </si>
  <si>
    <t>suliyacetaniwang603@gmail.com</t>
  </si>
  <si>
    <t>4620</t>
  </si>
  <si>
    <t>1TZNWQlpBJaaUVbuyg5f8VzT5pj_dJ4lt</t>
  </si>
  <si>
    <t>https://drive.google.com/file/d/1TZNWQlpBJaaUVbuyg5f8VzT5pj_dJ4lt/view?usp=drivesdk</t>
  </si>
  <si>
    <t>ABDUL MAJID HARYADI</t>
  </si>
  <si>
    <t>abdulmajidhariadi1967@gmail.com</t>
  </si>
  <si>
    <t>4621</t>
  </si>
  <si>
    <t>Starting at Thu Aug 29 2024 21:28:38 GMT-0400 (EDT)</t>
  </si>
  <si>
    <t>1_SUMmDJsLnPsNK1tgXR3HckigMojO3ku</t>
  </si>
  <si>
    <t>https://drive.google.com/file/d/1_SUMmDJsLnPsNK1tgXR3HckigMojO3ku/view?usp=drivesdk</t>
  </si>
  <si>
    <t>BAIQ ELMA WIRIASTATI, A.Md.Kep</t>
  </si>
  <si>
    <t>baiqelmawiriastati@gmail.com</t>
  </si>
  <si>
    <t>4622</t>
  </si>
  <si>
    <t>1uwH3J4SkcyvlB2nD1Mqg2pH3-Zke2-Lt</t>
  </si>
  <si>
    <t>https://drive.google.com/file/d/1uwH3J4SkcyvlB2nD1Mqg2pH3-Zke2-Lt/view?usp=drivesdk</t>
  </si>
  <si>
    <t>SRI HERIYANTI, S.E</t>
  </si>
  <si>
    <t>renditresnarkobajatim@gmail.com</t>
  </si>
  <si>
    <t>4623</t>
  </si>
  <si>
    <t>11bXGHDIm7qmLY_O2eOp5oDlRTjTfdnM_</t>
  </si>
  <si>
    <t>https://drive.google.com/file/d/11bXGHDIm7qmLY_O2eOp5oDlRTjTfdnM_/view?usp=drivesdk</t>
  </si>
  <si>
    <t>Document successfully created; Document successfully merged; PDF created; !!Error Sending Emails: Service invoked too many times for one day: email.; Manually run by ecertificate75@gmail.com; Timestamp: Sep 2 2024 10:48 PM</t>
  </si>
  <si>
    <t>ARYANI</t>
  </si>
  <si>
    <t>joni20667@gmail.com</t>
  </si>
  <si>
    <t>4624</t>
  </si>
  <si>
    <t>1V4ZcD46o_n6yxC5DRv8k76bCvQEYMtgp</t>
  </si>
  <si>
    <t>https://drive.google.com/file/d/1V4ZcD46o_n6yxC5DRv8k76bCvQEYMtgp/view?usp=drivesdk</t>
  </si>
  <si>
    <t>SUGENG RIYADI</t>
  </si>
  <si>
    <t>sugeng010168@gmail.com</t>
  </si>
  <si>
    <t>4625</t>
  </si>
  <si>
    <t>14FfuR8CjpYe1LOKhB12kPNSXrFzmDl-o</t>
  </si>
  <si>
    <t>https://drive.google.com/file/d/14FfuR8CjpYe1LOKhB12kPNSXrFzmDl-o/view?usp=drivesdk</t>
  </si>
  <si>
    <t>RATNA SETYANI</t>
  </si>
  <si>
    <t>ratnasetyani79@gmail.com</t>
  </si>
  <si>
    <t>4626</t>
  </si>
  <si>
    <t>Starting at Thu Aug 29 2024 21:28:39 GMT-0400 (EDT)</t>
  </si>
  <si>
    <t>1tnaNFlEd-XmMKc5NJNlHCN0f6Crv1-0d</t>
  </si>
  <si>
    <t>https://drive.google.com/file/d/1tnaNFlEd-XmMKc5NJNlHCN0f6Crv1-0d/view?usp=drivesdk</t>
  </si>
  <si>
    <t>Document successfully created; Document successfully merged; PDF created; !!Error Sending Emails: Service invoked too many times for one day: email.; Manually run by ecertificate75@gmail.com; Timestamp: Sep 2 2024 10:49 PM</t>
  </si>
  <si>
    <t>sumini.1987@gmail.com</t>
  </si>
  <si>
    <t>4627</t>
  </si>
  <si>
    <t>1OL-Puuk1T3XtOecy0XXt-W2j4m2Y1UZy</t>
  </si>
  <si>
    <t>https://drive.google.com/file/d/1OL-Puuk1T3XtOecy0XXt-W2j4m2Y1UZy/view?usp=drivesdk</t>
  </si>
  <si>
    <t>MURSYIDAH</t>
  </si>
  <si>
    <t>mursyidahziyah@gmail.com</t>
  </si>
  <si>
    <t>4628</t>
  </si>
  <si>
    <t>18uDU0e0kCt_RJkoUYVyVfh4XEDFWF0Ac</t>
  </si>
  <si>
    <t>https://drive.google.com/file/d/18uDU0e0kCt_RJkoUYVyVfh4XEDFWF0Ac/view?usp=drivesdk</t>
  </si>
  <si>
    <t xml:space="preserve">SUPARJILAH </t>
  </si>
  <si>
    <t>jilahnayla@gmail.com</t>
  </si>
  <si>
    <t>4629</t>
  </si>
  <si>
    <t>1IBIvGViBoOrylXQCmYBl79xZKRxrRcdC</t>
  </si>
  <si>
    <t>https://drive.google.com/file/d/1IBIvGViBoOrylXQCmYBl79xZKRxrRcdC/view?usp=drivesdk</t>
  </si>
  <si>
    <t>JUWARNI</t>
  </si>
  <si>
    <t>ibujuwarni522@gmail.com</t>
  </si>
  <si>
    <t>4630</t>
  </si>
  <si>
    <t>16JPa_JFqrEsjKUu8hONGKkX66-2SjTCN</t>
  </si>
  <si>
    <t>https://drive.google.com/file/d/16JPa_JFqrEsjKUu8hONGKkX66-2SjTCN/view?usp=drivesdk</t>
  </si>
  <si>
    <t>EKA WATI.S.Sos</t>
  </si>
  <si>
    <t>eni.ekawati04@gmail.com</t>
  </si>
  <si>
    <t>4631</t>
  </si>
  <si>
    <t>15PJpLIEpPsXffOLJccwcnUIpVZVFnKs6</t>
  </si>
  <si>
    <t>https://drive.google.com/file/d/15PJpLIEpPsXffOLJccwcnUIpVZVFnKs6/view?usp=drivesdk</t>
  </si>
  <si>
    <t>Document successfully created; Document successfully merged; PDF created; !!Error Sending Emails: Service invoked too many times for one day: email.; Manually run by ecertificate75@gmail.com; Timestamp: Sep 2 2024 10:50 PM</t>
  </si>
  <si>
    <t>Trichumik Mery Fikriyah.,S.H.</t>
  </si>
  <si>
    <t>trichumik71@mail.com</t>
  </si>
  <si>
    <t>4632</t>
  </si>
  <si>
    <t>1ndUxLnKqIeJrnO6J_oz2oSw21LQywben</t>
  </si>
  <si>
    <t>https://drive.google.com/file/d/1ndUxLnKqIeJrnO6J_oz2oSw21LQywben/view?usp=drivesdk</t>
  </si>
  <si>
    <t>JULIAN SHADEN MANDANI, A.Md.Kom.</t>
  </si>
  <si>
    <t>shadenjulian@gmail.com</t>
  </si>
  <si>
    <t>4633</t>
  </si>
  <si>
    <t>1rQcaSTWC3Z1HYeTuisGC8zRJJW12uQfm</t>
  </si>
  <si>
    <t>https://drive.google.com/file/d/1rQcaSTWC3Z1HYeTuisGC8zRJJW12uQfm/view?usp=drivesdk</t>
  </si>
  <si>
    <t>CHRISTOPHER P SIMARMATA, S.KOM., M.H.</t>
  </si>
  <si>
    <t>chrisps347@gmail.com</t>
  </si>
  <si>
    <t>4634</t>
  </si>
  <si>
    <t>https://drive.google.com/file/d/1TsmmVIa2qLyusvGvViJIF-TSD3jNG5WO/view?usp=drivesdk</t>
  </si>
  <si>
    <t>1TsmmVIa2qLyusvGvViJIF-TSD3jNG5WO</t>
  </si>
  <si>
    <t>1vKM3znKJ-QzHpBbDjON8rmN1YVxhjbyk</t>
  </si>
  <si>
    <t>https://drive.google.com/file/d/1vKM3znKJ-QzHpBbDjON8rmN1YVxhjbyk/view?usp=drivesdk</t>
  </si>
  <si>
    <t>HENI WAHYUNINGSIH</t>
  </si>
  <si>
    <t>heniwahyu51@gmail.com</t>
  </si>
  <si>
    <t>4635</t>
  </si>
  <si>
    <t>https://drive.google.com/file/d/1OP37KpGEpGQb9vmVsCpdB17C_mnlJ7rE/view?usp=drivesdk</t>
  </si>
  <si>
    <t>1OP37KpGEpGQb9vmVsCpdB17C_mnlJ7rE</t>
  </si>
  <si>
    <t>1SbqXWccHRuW7YD9Y0xLhOfLVS8pA1rs3</t>
  </si>
  <si>
    <t>https://drive.google.com/file/d/1SbqXWccHRuW7YD9Y0xLhOfLVS8pA1rs3/view?usp=drivesdk</t>
  </si>
  <si>
    <t>sulistyowatisudirman1967@gmail.com</t>
  </si>
  <si>
    <t>4636</t>
  </si>
  <si>
    <t>https://drive.google.com/file/d/17NR8hS4GDk15Mxe6C33-pivqkpTZ1iU8/view?usp=drivesdk</t>
  </si>
  <si>
    <t>17NR8hS4GDk15Mxe6C33-pivqkpTZ1iU8</t>
  </si>
  <si>
    <t>17rReM5_dChQspu8PPRkuS_tkmqkrnZWU</t>
  </si>
  <si>
    <t>https://drive.google.com/file/d/17rReM5_dChQspu8PPRkuS_tkmqkrnZWU/view?usp=drivesdk</t>
  </si>
  <si>
    <t>Document successfully created; Document successfully merged; PDF created; !!Error Sending Emails: Service invoked too many times for one day: email.; Manually run by ecertificate75@gmail.com; Timestamp: Sep 2 2024 10:51 PM</t>
  </si>
  <si>
    <t>AGUS SUWARTONO</t>
  </si>
  <si>
    <t>agssuwartono@gmail.com</t>
  </si>
  <si>
    <t>4637</t>
  </si>
  <si>
    <t>https://drive.google.com/file/d/1CUz3x1qseR4RcBuYFqMHCmbHSwyfEI9-/view?usp=drivesdk</t>
  </si>
  <si>
    <t>1CUz3x1qseR4RcBuYFqMHCmbHSwyfEI9-</t>
  </si>
  <si>
    <t>1Npl_GlhwO6K3K-DAXce5Y3cxqbEQsdNv</t>
  </si>
  <si>
    <t>https://drive.google.com/file/d/1Npl_GlhwO6K3K-DAXce5Y3cxqbEQsdNv/view?usp=drivesdk</t>
  </si>
  <si>
    <t xml:space="preserve">ENDANG SRI WAHYUNI </t>
  </si>
  <si>
    <t>endang.wahyuni2009@gmail.com</t>
  </si>
  <si>
    <t>4638</t>
  </si>
  <si>
    <t>https://drive.google.com/file/d/1A7khHt5NuldLI__mqw5kTHbil5gMSPko/view?usp=drivesdk</t>
  </si>
  <si>
    <t>1A7khHt5NuldLI__mqw5kTHbil5gMSPko</t>
  </si>
  <si>
    <t>1e2msX-XhYhEG8yD2rE4FAoXboF7iHZWb</t>
  </si>
  <si>
    <t>https://drive.google.com/file/d/1e2msX-XhYhEG8yD2rE4FAoXboF7iHZWb/view?usp=drivesdk</t>
  </si>
  <si>
    <t>SUGIATNI</t>
  </si>
  <si>
    <t>sugiatni105@gmail.com</t>
  </si>
  <si>
    <t>4639</t>
  </si>
  <si>
    <t>https://drive.google.com/file/d/18sRS__j3DDipG7Z2YKwezHl_poIhAMo6/view?usp=drivesdk</t>
  </si>
  <si>
    <t>18sRS__j3DDipG7Z2YKwezHl_poIhAMo6</t>
  </si>
  <si>
    <t>1x-9qM513oAaiu5f54Uf9ZbIM0xfKO2cU</t>
  </si>
  <si>
    <t>https://drive.google.com/file/d/1x-9qM513oAaiu5f54Uf9ZbIM0xfKO2cU/view?usp=drivesdk</t>
  </si>
  <si>
    <t>Bodhet81@gmail.com</t>
  </si>
  <si>
    <t>4640</t>
  </si>
  <si>
    <t>https://drive.google.com/file/d/1gSfBlzRs2ctzCaoZ8MUxkrH2A9KD_qWf/view?usp=drivesdk</t>
  </si>
  <si>
    <t>1gSfBlzRs2ctzCaoZ8MUxkrH2A9KD_qWf</t>
  </si>
  <si>
    <t>1re6mQYX1-TjO2idPg_CM8ZUTEJVJOQHO</t>
  </si>
  <si>
    <t>https://drive.google.com/file/d/1re6mQYX1-TjO2idPg_CM8ZUTEJVJOQHO/view?usp=drivesdk</t>
  </si>
  <si>
    <t>Document successfully created; Document successfully merged; PDF created; !!Error Sending Emails: Service invoked too many times for one day: email.; Manually run by ecertificate75@gmail.com; Timestamp: Sep 2 2024 10:52 PM</t>
  </si>
  <si>
    <t>MURNALIS</t>
  </si>
  <si>
    <t>murnalis188@gmail.com</t>
  </si>
  <si>
    <t>4641</t>
  </si>
  <si>
    <t>https://drive.google.com/file/d/1OoW2fGVF4nGXTJFJ0lJhpPy-yNrcms_L/view?usp=drivesdk</t>
  </si>
  <si>
    <t>1OoW2fGVF4nGXTJFJ0lJhpPy-yNrcms_L</t>
  </si>
  <si>
    <t>1_dBH-1ldgoQRCDa6rO17YpPbTVAcJO9E</t>
  </si>
  <si>
    <t>https://drive.google.com/file/d/1_dBH-1ldgoQRCDa6rO17YpPbTVAcJO9E/view?usp=drivesdk</t>
  </si>
  <si>
    <t>MAYASARI DEWI</t>
  </si>
  <si>
    <t>my.dewi80@gmail.com</t>
  </si>
  <si>
    <t>4642</t>
  </si>
  <si>
    <t>Starting at Thu Aug 29 2024 21:28:44 GMT-0400 (EDT)</t>
  </si>
  <si>
    <t>1S3kKTpwIUrevojYZhygPZOMK6jPVTuL8</t>
  </si>
  <si>
    <t>https://drive.google.com/file/d/1S3kKTpwIUrevojYZhygPZOMK6jPVTuL8/view?usp=drivesdk</t>
  </si>
  <si>
    <t xml:space="preserve">BASUKI </t>
  </si>
  <si>
    <t>brafta71@gmail.com</t>
  </si>
  <si>
    <t>4643</t>
  </si>
  <si>
    <t>1-9wdGfd8GBE3o0P-URkqzyXcVuMFGIU3</t>
  </si>
  <si>
    <t>https://drive.google.com/file/d/1-9wdGfd8GBE3o0P-URkqzyXcVuMFGIU3/view?usp=drivesdk</t>
  </si>
  <si>
    <t>Document successfully created; Document successfully merged; PDF created; !!Error Sending Emails: Service invoked too many times for one day: email.; Manually run by ecertificate75@gmail.com; Timestamp: Sep 2 2024 10:53 PM</t>
  </si>
  <si>
    <t>winduwinmi@gmail.com</t>
  </si>
  <si>
    <t>4644</t>
  </si>
  <si>
    <t>Starting at Thu Aug 29 2024 21:28:42 GMT-0400 (EDT)</t>
  </si>
  <si>
    <t>1ozN7WwJJIvR4aeQ_XzQUnuVWKX-T6qS9</t>
  </si>
  <si>
    <t>https://drive.google.com/file/d/1ozN7WwJJIvR4aeQ_XzQUnuVWKX-T6qS9/view?usp=drivesdk</t>
  </si>
  <si>
    <t>RISMA NABABAN</t>
  </si>
  <si>
    <t>baktimarpaung923@gmail.com</t>
  </si>
  <si>
    <t>4645</t>
  </si>
  <si>
    <t>15IQvHGc0Pn0G-Ue9-cOgePBdOKQNMSYR</t>
  </si>
  <si>
    <t>https://drive.google.com/file/d/15IQvHGc0Pn0G-Ue9-cOgePBdOKQNMSYR/view?usp=drivesdk</t>
  </si>
  <si>
    <t>NURDI ISWANTORO</t>
  </si>
  <si>
    <t>nurdiradhin86@gmail.com</t>
  </si>
  <si>
    <t>4646</t>
  </si>
  <si>
    <t>1BLyd-hHHRWzZxVZMneJKfaPLovlFxDSn</t>
  </si>
  <si>
    <t>https://drive.google.com/file/d/1BLyd-hHHRWzZxVZMneJKfaPLovlFxDSn/view?usp=drivesdk</t>
  </si>
  <si>
    <t>ENNI TRI WAHYURINI</t>
  </si>
  <si>
    <t>enitridanendra@gmail.com</t>
  </si>
  <si>
    <t>4647</t>
  </si>
  <si>
    <t>https://drive.google.com/file/d/1My3x_WkZk0SEwSMQNTIPsc9zMAmhECvj/view?usp=drivesdk</t>
  </si>
  <si>
    <t>1My3x_WkZk0SEwSMQNTIPsc9zMAmhECvj</t>
  </si>
  <si>
    <t>11BdggvAE0AzCip7CfsEDJ_pXKsW5HxFK</t>
  </si>
  <si>
    <t>https://drive.google.com/file/d/11BdggvAE0AzCip7CfsEDJ_pXKsW5HxFK/view?usp=drivesdk</t>
  </si>
  <si>
    <t xml:space="preserve">ERYANTO </t>
  </si>
  <si>
    <t>eryanto0078@gmail.com</t>
  </si>
  <si>
    <t>4648</t>
  </si>
  <si>
    <t>https://drive.google.com/file/d/13Ga6HxuMguLJANsM-32Fkwh2qJ6eTkdI/view?usp=drivesdk</t>
  </si>
  <si>
    <t>13Ga6HxuMguLJANsM-32Fkwh2qJ6eTkdI</t>
  </si>
  <si>
    <t>1-NVry5lak-hNbLVQ7lumuvykic0kFBaV</t>
  </si>
  <si>
    <t>https://drive.google.com/file/d/1-NVry5lak-hNbLVQ7lumuvykic0kFBaV/view?usp=drivesdk</t>
  </si>
  <si>
    <t>Document successfully created; Document successfully merged; PDF created; !!Error Sending Emails: Service invoked too many times for one day: email.; Manually run by ecertificate75@gmail.com; Timestamp: Sep 2 2024 10:54 PM</t>
  </si>
  <si>
    <t>TRINISWATI</t>
  </si>
  <si>
    <t>trinis12@gmail.com</t>
  </si>
  <si>
    <t>4649</t>
  </si>
  <si>
    <t>Starting at Thu Aug 29 2024 21:28:50 GMT-0400 (EDT)</t>
  </si>
  <si>
    <t>1JdbqGyvJKViqiduxgjiKRk4bMDKlEjgn</t>
  </si>
  <si>
    <t>https://drive.google.com/file/d/1JdbqGyvJKViqiduxgjiKRk4bMDKlEjgn/view?usp=drivesdk</t>
  </si>
  <si>
    <t>RINDY MUJIANTI</t>
  </si>
  <si>
    <t>rindymudjianti@gmail.com</t>
  </si>
  <si>
    <t>4650</t>
  </si>
  <si>
    <t>1YywSlItgqZ3ZnqcdZcSzsc8E6DJ1rDcr</t>
  </si>
  <si>
    <t>https://drive.google.com/file/d/1YywSlItgqZ3ZnqcdZcSzsc8E6DJ1rDcr/view?usp=drivesdk</t>
  </si>
  <si>
    <t>dr. FENTI OKTAVIANI MENDROFA</t>
  </si>
  <si>
    <t>fentimendrof@gmail.com</t>
  </si>
  <si>
    <t>4651</t>
  </si>
  <si>
    <t>https://drive.google.com/file/d/1NOEeHrSiuboVXW1A_cXKG-uAc6toIB8r/view?usp=drivesdk</t>
  </si>
  <si>
    <t>1NOEeHrSiuboVXW1A_cXKG-uAc6toIB8r</t>
  </si>
  <si>
    <t>1Si_qI6g-2gkRQCkxOWK7sbRMABEOM2kS</t>
  </si>
  <si>
    <t>https://drive.google.com/file/d/1Si_qI6g-2gkRQCkxOWK7sbRMABEOM2kS/view?usp=drivesdk</t>
  </si>
  <si>
    <t>Document successfully created; Document successfully merged; PDF created; !!Error Sending Emails: Service invoked too many times for one day: email.; Manually run by ecertificate75@gmail.com; Timestamp: Sep 2 2024 10:55 PM</t>
  </si>
  <si>
    <t>RITA JUSUF EYATO</t>
  </si>
  <si>
    <t>ritaeyato@gmail.com</t>
  </si>
  <si>
    <t>4652</t>
  </si>
  <si>
    <t>https://drive.google.com/file/d/1UsIVlHLrAs-_Hs7vEOMwyLlSKIgEZUNn/view?usp=drivesdk</t>
  </si>
  <si>
    <t>1UsIVlHLrAs-_Hs7vEOMwyLlSKIgEZUNn</t>
  </si>
  <si>
    <t>1xbWjwLjuprf8vJfUD79AzS5G1oLcowB0</t>
  </si>
  <si>
    <t>https://drive.google.com/file/d/1xbWjwLjuprf8vJfUD79AzS5G1oLcowB0/view?usp=drivesdk</t>
  </si>
  <si>
    <t>SISWANTININGSIH, SH</t>
  </si>
  <si>
    <t>ibusiswanti886@gmail.com</t>
  </si>
  <si>
    <t>4653</t>
  </si>
  <si>
    <t>https://drive.google.com/file/d/1ALjVb7YGMxG0HmCuTcRHihCK3loNAWJ_/view?usp=drivesdk</t>
  </si>
  <si>
    <t>1ALjVb7YGMxG0HmCuTcRHihCK3loNAWJ_</t>
  </si>
  <si>
    <t>16zfVsVwI_O5V1qGiZROa35j9y6bitGL-</t>
  </si>
  <si>
    <t>https://drive.google.com/file/d/16zfVsVwI_O5V1qGiZROa35j9y6bitGL-/view?usp=drivesdk</t>
  </si>
  <si>
    <t>AHMAD SOBIRIN</t>
  </si>
  <si>
    <t>sobirinahmad028@gmail.com</t>
  </si>
  <si>
    <t>4654</t>
  </si>
  <si>
    <t>Starting at Thu Aug 29 2024 21:28:51 GMT-0400 (EDT)</t>
  </si>
  <si>
    <t>1c9yyPlfWcPV2LF09WGoZXgzCEZD5QFOe</t>
  </si>
  <si>
    <t>https://drive.google.com/file/d/1c9yyPlfWcPV2LF09WGoZXgzCEZD5QFOe/view?usp=drivesdk</t>
  </si>
  <si>
    <t>WAYAN HERRY BASTIAN, SE</t>
  </si>
  <si>
    <t>wayherbas108@gmail.com</t>
  </si>
  <si>
    <t>4655</t>
  </si>
  <si>
    <t>1KGotKX0ZL2P2pGfDlB0EtJfeeT4k1U6o</t>
  </si>
  <si>
    <t>https://drive.google.com/file/d/1KGotKX0ZL2P2pGfDlB0EtJfeeT4k1U6o/view?usp=drivesdk</t>
  </si>
  <si>
    <t>MOH. SYAICHU, S.I.P.</t>
  </si>
  <si>
    <t>mohsya30@gmail.com</t>
  </si>
  <si>
    <t>4656</t>
  </si>
  <si>
    <t>https://drive.google.com/file/d/1tWfNjHGHDmp2GHDca8ygI7s9NqMD-yJx/view?usp=drivesdk</t>
  </si>
  <si>
    <t>1tWfNjHGHDmp2GHDca8ygI7s9NqMD-yJx</t>
  </si>
  <si>
    <t>1MvUbawANHDRM_f_ryj_eHDmFUEosu7P-</t>
  </si>
  <si>
    <t>https://drive.google.com/file/d/1MvUbawANHDRM_f_ryj_eHDmFUEosu7P-/view?usp=drivesdk</t>
  </si>
  <si>
    <t>Document successfully created; Document successfully merged; PDF created; !!Error Sending Emails: Service invoked too many times for one day: email.; Manually run by ecertificate75@gmail.com; Timestamp: Sep 2 2024 10:56 PM</t>
  </si>
  <si>
    <t>Wahyu wibowo AMD com</t>
  </si>
  <si>
    <t>wibowow641@gmail.com</t>
  </si>
  <si>
    <t>4657</t>
  </si>
  <si>
    <t>https://drive.google.com/file/d/1r9iU_k1r8trUvbac68LZWX7dKsUnvYK9/view?usp=drivesdk</t>
  </si>
  <si>
    <t>1r9iU_k1r8trUvbac68LZWX7dKsUnvYK9</t>
  </si>
  <si>
    <t>1pH1xus6w9HUzqF0RmpaAYkepurmThhup</t>
  </si>
  <si>
    <t>https://drive.google.com/file/d/1pH1xus6w9HUzqF0RmpaAYkepurmThhup/view?usp=drivesdk</t>
  </si>
  <si>
    <t xml:space="preserve">ZALMADRI PUTRA,S.E, M.M </t>
  </si>
  <si>
    <t>adekzalmadri@gmail.com</t>
  </si>
  <si>
    <t>4658</t>
  </si>
  <si>
    <t>Starting at Thu Aug 29 2024 21:28:53 GMT-0400 (EDT)</t>
  </si>
  <si>
    <t>1a4u7ambhns8mH0fQoUDP9edo9RDdScwT</t>
  </si>
  <si>
    <t>https://drive.google.com/file/d/1a4u7ambhns8mH0fQoUDP9edo9RDdScwT/view?usp=drivesdk</t>
  </si>
  <si>
    <t>WINARNO</t>
  </si>
  <si>
    <t>wwinarno116@gmail.com</t>
  </si>
  <si>
    <t>4659</t>
  </si>
  <si>
    <t>1Piacu1Nc8UmKVyTM98smIccfyh0p84jM</t>
  </si>
  <si>
    <t>https://drive.google.com/file/d/1Piacu1Nc8UmKVyTM98smIccfyh0p84jM/view?usp=drivesdk</t>
  </si>
  <si>
    <t>Document successfully created; Document successfully merged; PDF created; !!Error Sending Emails: Service invoked too many times for one day: email.; Manually run by ecertificate75@gmail.com; Timestamp: Sep 2 2024 10:57 PM</t>
  </si>
  <si>
    <t>mulyonobhylmj@gmail.com</t>
  </si>
  <si>
    <t>4660</t>
  </si>
  <si>
    <t>1VsXpu_6jwD5s1rTvMm6BjwqaefINBsZ_</t>
  </si>
  <si>
    <t>https://drive.google.com/file/d/1VsXpu_6jwD5s1rTvMm6BjwqaefINBsZ_/view?usp=drivesdk</t>
  </si>
  <si>
    <t>SAPARTIWI</t>
  </si>
  <si>
    <t>s.tiwiwatukebo@gmail.com</t>
  </si>
  <si>
    <t>4661</t>
  </si>
  <si>
    <t>1vuM96HQAmCNp2aT4wLRK3qqn2K4SJ3V3</t>
  </si>
  <si>
    <t>https://drive.google.com/file/d/1vuM96HQAmCNp2aT4wLRK3qqn2K4SJ3V3/view?usp=drivesdk</t>
  </si>
  <si>
    <t>SUKARNI</t>
  </si>
  <si>
    <t>aryaujangkarni710@gmail.com</t>
  </si>
  <si>
    <t>4662</t>
  </si>
  <si>
    <t>1p79O4H_TYOPoHD5S6AhBsOveFt6ZzTCM</t>
  </si>
  <si>
    <t>https://drive.google.com/file/d/1p79O4H_TYOPoHD5S6AhBsOveFt6ZzTCM/view?usp=drivesdk</t>
  </si>
  <si>
    <t>ALI RACHMAN</t>
  </si>
  <si>
    <t>alirachman2009@gmail.com</t>
  </si>
  <si>
    <t>4663</t>
  </si>
  <si>
    <t>https://drive.google.com/file/d/1pZpR_50NDPjHjGRfwrsaO1w9mD3vNJVC/view?usp=drivesdk</t>
  </si>
  <si>
    <t>1pZpR_50NDPjHjGRfwrsaO1w9mD3vNJVC</t>
  </si>
  <si>
    <t>1ifAqCrWARynP0xSE2yJURqxrZFOXDp3O</t>
  </si>
  <si>
    <t>https://drive.google.com/file/d/1ifAqCrWARynP0xSE2yJURqxrZFOXDp3O/view?usp=drivesdk</t>
  </si>
  <si>
    <t>SUPARDI, S.H.</t>
  </si>
  <si>
    <t>gondez2008@mail.com</t>
  </si>
  <si>
    <t>4664</t>
  </si>
  <si>
    <t>https://drive.google.com/file/d/1o9cfk0b9MxiBzhsTiURiYH9CCWGU7II3/view?usp=drivesdk</t>
  </si>
  <si>
    <t>1o9cfk0b9MxiBzhsTiURiYH9CCWGU7II3</t>
  </si>
  <si>
    <t>1KV3JG5f_Fk0yFcSluu_vt5H9vQ6vzjS4</t>
  </si>
  <si>
    <t>https://drive.google.com/file/d/1KV3JG5f_Fk0yFcSluu_vt5H9vQ6vzjS4/view?usp=drivesdk</t>
  </si>
  <si>
    <t>DINA AULIA, SE</t>
  </si>
  <si>
    <t>Dinaaulia2081@gmail.com</t>
  </si>
  <si>
    <t>4665</t>
  </si>
  <si>
    <t>Starting at Thu Aug 29 2024 21:28:58 GMT-0400 (EDT)</t>
  </si>
  <si>
    <t>1EnhL1kmro1ZS-NXRudxbIApxm2i94HaP</t>
  </si>
  <si>
    <t>https://drive.google.com/file/d/1EnhL1kmro1ZS-NXRudxbIApxm2i94HaP/view?usp=drivesdk</t>
  </si>
  <si>
    <t>Document successfully created; Document successfully merged; PDF created; !!Error Sending Emails: Service invoked too many times for one day: email.; Manually run by ecertificate75@gmail.com; Timestamp: Sep 2 2024 10:58 PM</t>
  </si>
  <si>
    <t>SRIANAH</t>
  </si>
  <si>
    <t>srianah160@gmail.com</t>
  </si>
  <si>
    <t>4666</t>
  </si>
  <si>
    <t>16yHRg0GwrDNmWv5OF9noWRLf_1XtA1i7</t>
  </si>
  <si>
    <t>https://drive.google.com/file/d/16yHRg0GwrDNmWv5OF9noWRLf_1XtA1i7/view?usp=drivesdk</t>
  </si>
  <si>
    <t xml:space="preserve">BELLA CHOLIFANI DYAH HARSO, A.Md </t>
  </si>
  <si>
    <t>bellacdh@gmail.com</t>
  </si>
  <si>
    <t>4667</t>
  </si>
  <si>
    <t>https://drive.google.com/file/d/1ns9EaJbvL4KpniLIa_QK9DvRghBhovhv/view?usp=drivesdk</t>
  </si>
  <si>
    <t>1ns9EaJbvL4KpniLIa_QK9DvRghBhovhv</t>
  </si>
  <si>
    <t>1tPZEzDaOz8_r_VILuC4tmy_3AnJzdSIV</t>
  </si>
  <si>
    <t>https://drive.google.com/file/d/1tPZEzDaOz8_r_VILuC4tmy_3AnJzdSIV/view?usp=drivesdk</t>
  </si>
  <si>
    <t>Deswita,Amd keb SKM</t>
  </si>
  <si>
    <t>deswita18@yahoo.com</t>
  </si>
  <si>
    <t>4668</t>
  </si>
  <si>
    <t>Starting at Thu Aug 29 2024 21:29:01 GMT-0400 (EDT)</t>
  </si>
  <si>
    <t>1KHy3iLiR9YfZ0MzM-WNfU_guGzOmddLW</t>
  </si>
  <si>
    <t>https://drive.google.com/file/d/1KHy3iLiR9YfZ0MzM-WNfU_guGzOmddLW/view?usp=drivesdk</t>
  </si>
  <si>
    <t>RIYADI MUSRI</t>
  </si>
  <si>
    <t>riyadimusri@gmail.com</t>
  </si>
  <si>
    <t>4669</t>
  </si>
  <si>
    <t>13nF_iFVoxPCsyeD3XMcV_0x8jtM8hs-S</t>
  </si>
  <si>
    <t>https://drive.google.com/file/d/13nF_iFVoxPCsyeD3XMcV_0x8jtM8hs-S/view?usp=drivesdk</t>
  </si>
  <si>
    <t>Document successfully created; Document successfully merged; PDF created; !!Error Sending Emails: Service invoked too many times for one day: email.; Manually run by ecertificate75@gmail.com; Timestamp: Sep 2 2024 10:59 PM</t>
  </si>
  <si>
    <t>UTARI TRI KUSUMA, S.AK</t>
  </si>
  <si>
    <t>utaritrikusuma@gmail.com</t>
  </si>
  <si>
    <t>4670</t>
  </si>
  <si>
    <t>https://drive.google.com/file/d/1KfrYt23xMX6cbTavRiDp4AY1J0GzyVEf/view?usp=drivesdk</t>
  </si>
  <si>
    <t>1KfrYt23xMX6cbTavRiDp4AY1J0GzyVEf</t>
  </si>
  <si>
    <t>14sqE8u3ARyDDwbpEkJVTRY5p2A9Vlw10</t>
  </si>
  <si>
    <t>https://drive.google.com/file/d/14sqE8u3ARyDDwbpEkJVTRY5p2A9Vlw10/view?usp=drivesdk</t>
  </si>
  <si>
    <t>DINA FITRIANI</t>
  </si>
  <si>
    <t>dinaafitrianii491@gmail.com</t>
  </si>
  <si>
    <t>4671</t>
  </si>
  <si>
    <t>Starting at Thu Aug 29 2024 21:29:08 GMT-0400 (EDT)</t>
  </si>
  <si>
    <t>1VgHlBv4iLHPOvOOPjarA272LySvJQvQF</t>
  </si>
  <si>
    <t>https://drive.google.com/file/d/1VgHlBv4iLHPOvOOPjarA272LySvJQvQF/view?usp=drivesdk</t>
  </si>
  <si>
    <t>SUWARTINI, S.Kep</t>
  </si>
  <si>
    <t>rafkytini@gmail.com</t>
  </si>
  <si>
    <t>4672</t>
  </si>
  <si>
    <t>1VkB3rZgINgdt5md-tRmid_qEnvbS8BzS</t>
  </si>
  <si>
    <t>https://drive.google.com/file/d/1VkB3rZgINgdt5md-tRmid_qEnvbS8BzS/view?usp=drivesdk</t>
  </si>
  <si>
    <t>NURUL HIKMAH</t>
  </si>
  <si>
    <t>yulichandra321@gmail.com</t>
  </si>
  <si>
    <t>4673</t>
  </si>
  <si>
    <t>1LyfrUZL_f0x13f3BScq_lHwRfz-L6rMQ</t>
  </si>
  <si>
    <t>https://drive.google.com/file/d/1LyfrUZL_f0x13f3BScq_lHwRfz-L6rMQ/view?usp=drivesdk</t>
  </si>
  <si>
    <t>Document successfully created; Document successfully merged; PDF created; !!Error Sending Emails: Service invoked too many times for one day: email.; Manually run by ecertificate75@gmail.com; Timestamp: Sep 2 2024 11:00 PM</t>
  </si>
  <si>
    <t>MUKAYANI</t>
  </si>
  <si>
    <t>inayakum@gmail.com</t>
  </si>
  <si>
    <t>4674</t>
  </si>
  <si>
    <t>10svSOHE8eWmzbZPJexcXvlYA6V0XNeBq</t>
  </si>
  <si>
    <t>https://drive.google.com/file/d/10svSOHE8eWmzbZPJexcXvlYA6V0XNeBq/view?usp=drivesdk</t>
  </si>
  <si>
    <t>dr.LEEVI TANU WIJAYANTI,M.M</t>
  </si>
  <si>
    <t>leevitw@gmail.com</t>
  </si>
  <si>
    <t>4675</t>
  </si>
  <si>
    <t>1gOpvow6TuIabkLIl69mDunh2iiUDzP_w</t>
  </si>
  <si>
    <t>https://drive.google.com/file/d/1gOpvow6TuIabkLIl69mDunh2iiUDzP_w/view?usp=drivesdk</t>
  </si>
  <si>
    <t>NURHAPPI PASARIBU S.KEP</t>
  </si>
  <si>
    <t>nurhappi1973@gmail.com</t>
  </si>
  <si>
    <t>4676</t>
  </si>
  <si>
    <t>Starting at Thu Aug 29 2024 21:29:09 GMT-0400 (EDT)</t>
  </si>
  <si>
    <t>1YFPceNN29fKfBTnlkveAZV7HhYalk4V_</t>
  </si>
  <si>
    <t>https://drive.google.com/file/d/1YFPceNN29fKfBTnlkveAZV7HhYalk4V_/view?usp=drivesdk</t>
  </si>
  <si>
    <t>SRI KURNIAWATI, SKM</t>
  </si>
  <si>
    <t>ibusrikurniawati@gmail.com</t>
  </si>
  <si>
    <t>4677</t>
  </si>
  <si>
    <t>Starting at Thu Aug 29 2024 21:29:15 GMT-0400 (EDT)</t>
  </si>
  <si>
    <t>1gViVFPIHZjEDoqTeKMK_jZLdBib0LAIS</t>
  </si>
  <si>
    <t>https://drive.google.com/file/d/1gViVFPIHZjEDoqTeKMK_jZLdBib0LAIS/view?usp=drivesdk</t>
  </si>
  <si>
    <t>HENDRI MUGIARSO,SPd</t>
  </si>
  <si>
    <t>hendrimugiarso52@gmail.com</t>
  </si>
  <si>
    <t>4678</t>
  </si>
  <si>
    <t>1l_4YcNVY0CP4XqKiquH0fAK6fwC-KodY</t>
  </si>
  <si>
    <t>https://drive.google.com/file/d/1l_4YcNVY0CP4XqKiquH0fAK6fwC-KodY/view?usp=drivesdk</t>
  </si>
  <si>
    <t>Document successfully created; Document successfully merged; PDF created; !!Error Sending Emails: Service invoked too many times for one day: email.; Manually run by ecertificate75@gmail.com; Timestamp: Sep 2 2024 11:01 PM</t>
  </si>
  <si>
    <t xml:space="preserve">Damaryanto R, S,Kep, Ns. </t>
  </si>
  <si>
    <t>damaryanto1981@gmail.com</t>
  </si>
  <si>
    <t>4679</t>
  </si>
  <si>
    <t>1bWmQvLbKkKY6SO1n23JNey4TteiNclF4</t>
  </si>
  <si>
    <t>https://drive.google.com/file/d/1bWmQvLbKkKY6SO1n23JNey4TteiNclF4/view?usp=drivesdk</t>
  </si>
  <si>
    <t>MARLIYANI, A.Md.KG</t>
  </si>
  <si>
    <t>elvinozhafran01@gmail.com</t>
  </si>
  <si>
    <t>4680</t>
  </si>
  <si>
    <t>17eX6CY_9BOi4BvRIRvbjccaqKd6M3RsS</t>
  </si>
  <si>
    <t>https://drive.google.com/file/d/17eX6CY_9BOi4BvRIRvbjccaqKd6M3RsS/view?usp=drivesdk</t>
  </si>
  <si>
    <t>lelacantik888@gmail.com</t>
  </si>
  <si>
    <t>4681</t>
  </si>
  <si>
    <t>Starting at Thu Aug 29 2024 21:29:29 GMT-0400 (EDT)</t>
  </si>
  <si>
    <t>1BENPFIioINCr4ez3cSEi7a3whEhOKOJ-</t>
  </si>
  <si>
    <t>https://drive.google.com/file/d/1BENPFIioINCr4ez3cSEi7a3whEhOKOJ-/view?usp=drivesdk</t>
  </si>
  <si>
    <t>ADIK FADHILAH, S.Kom</t>
  </si>
  <si>
    <t>cilhandut@gmail.com</t>
  </si>
  <si>
    <t>4682</t>
  </si>
  <si>
    <t>1g-YuHsF0fb4vyMAFRT1qBcVNaGBXe3E6</t>
  </si>
  <si>
    <t>https://drive.google.com/file/d/1g-YuHsF0fb4vyMAFRT1qBcVNaGBXe3E6/view?usp=drivesdk</t>
  </si>
  <si>
    <t>Document successfully created; Document successfully merged; PDF created; !!Error Sending Emails: Service invoked too many times for one day: email.; Manually run by ecertificate75@gmail.com; Timestamp: Sep 2 2024 11:02 PM</t>
  </si>
  <si>
    <t>ERNI ROESMAJANTI</t>
  </si>
  <si>
    <t>erniroes@gmail.com</t>
  </si>
  <si>
    <t>4683</t>
  </si>
  <si>
    <t>Starting at Thu Aug 29 2024 21:29:30 GMT-0400 (EDT)</t>
  </si>
  <si>
    <t>1_X1XMQ914YW6gK4sneaLUO1Vw3eFSR4c</t>
  </si>
  <si>
    <t>https://drive.google.com/file/d/1_X1XMQ914YW6gK4sneaLUO1Vw3eFSR4c/view?usp=drivesdk</t>
  </si>
  <si>
    <t>NUR HADI AFIYAH, S. Kep., Ns</t>
  </si>
  <si>
    <t>nurafiyah612@gmail.com</t>
  </si>
  <si>
    <t>4684</t>
  </si>
  <si>
    <t>1WLR81mbz1bTiqbWuQz_gozAaBBxGa0zj</t>
  </si>
  <si>
    <t>https://drive.google.com/file/d/1WLR81mbz1bTiqbWuQz_gozAaBBxGa0zj/view?usp=drivesdk</t>
  </si>
  <si>
    <t>GRESYE LEATEMIA</t>
  </si>
  <si>
    <t>gresyemanuhutu@gmail.com</t>
  </si>
  <si>
    <t>4685</t>
  </si>
  <si>
    <t>1V5bmam7xPnLcUey3AsHlQ5HoFAnfN0un</t>
  </si>
  <si>
    <t>https://drive.google.com/file/d/1V5bmam7xPnLcUey3AsHlQ5HoFAnfN0un/view?usp=drivesdk</t>
  </si>
  <si>
    <t>DYAH ANDRIYANI</t>
  </si>
  <si>
    <t>dyahandriyani69@gmail.com</t>
  </si>
  <si>
    <t>4686</t>
  </si>
  <si>
    <t>1EztwhryQME7yf6Ch6kp7QgDs4a9Y41PH</t>
  </si>
  <si>
    <t>https://drive.google.com/file/d/1EztwhryQME7yf6Ch6kp7QgDs4a9Y41PH/view?usp=drivesdk</t>
  </si>
  <si>
    <t>Document successfully created; Document successfully merged; PDF created; !!Error Sending Emails: Service invoked too many times for one day: email.; Manually run by ecertificate75@gmail.com; Timestamp: Sep 2 2024 11:03 PM</t>
  </si>
  <si>
    <t>DR NI KOMANG SARASWITA LAKSMI</t>
  </si>
  <si>
    <t>saraswitalaksmi@gmail.com</t>
  </si>
  <si>
    <t>4687</t>
  </si>
  <si>
    <t>11I9_iXG9RtFfxWd1al4f_t5rebOy1fPb</t>
  </si>
  <si>
    <t>https://drive.google.com/file/d/11I9_iXG9RtFfxWd1al4f_t5rebOy1fPb/view?usp=drivesdk</t>
  </si>
  <si>
    <t>dr NIKEN DIAH ANITASARI,SpPD</t>
  </si>
  <si>
    <t>nikenfiah22@gmail.com</t>
  </si>
  <si>
    <t>4688</t>
  </si>
  <si>
    <t>1lILpa1tAcoFq4f6-3w-e66DQBVl0zVM2</t>
  </si>
  <si>
    <t>https://drive.google.com/file/d/1lILpa1tAcoFq4f6-3w-e66DQBVl0zVM2/view?usp=drivesdk</t>
  </si>
  <si>
    <t>SETYOWATI</t>
  </si>
  <si>
    <t>farrasdavis@gmail.com</t>
  </si>
  <si>
    <t>4689</t>
  </si>
  <si>
    <t>1YWWxQ3n4mTXkGRnIqPDVKnKYx05P4mKC</t>
  </si>
  <si>
    <t>https://drive.google.com/file/d/1YWWxQ3n4mTXkGRnIqPDVKnKYx05P4mKC/view?usp=drivesdk</t>
  </si>
  <si>
    <t xml:space="preserve">TIKA CHANDRA VIJAYANTI, A. Md. Kep </t>
  </si>
  <si>
    <t>chandratika24@gmail.com</t>
  </si>
  <si>
    <t>4690</t>
  </si>
  <si>
    <t>14iSbnO7S05rVxShVg0NlnMqnfZ0mczW2</t>
  </si>
  <si>
    <t>https://drive.google.com/file/d/14iSbnO7S05rVxShVg0NlnMqnfZ0mczW2/view?usp=drivesdk</t>
  </si>
  <si>
    <t>Document successfully created; Document successfully merged; PDF created; !!Error Sending Emails: Service invoked too many times for one day: email.; Manually run by ecertificate75@gmail.com; Timestamp: Sep 2 2024 11:04 PM</t>
  </si>
  <si>
    <t xml:space="preserve">HERLITA SUSANTI </t>
  </si>
  <si>
    <t>herlitasusanti1975@gmail.com</t>
  </si>
  <si>
    <t>4691</t>
  </si>
  <si>
    <t>Starting at Thu Aug 29 2024 21:29:34 GMT-0400 (EDT)</t>
  </si>
  <si>
    <t>1rNPOvygJ4yUYOs7vSH2AJbhAErxgbWFq</t>
  </si>
  <si>
    <t>https://drive.google.com/file/d/1rNPOvygJ4yUYOs7vSH2AJbhAErxgbWFq/view?usp=drivesdk</t>
  </si>
  <si>
    <t>ENDAH RETNO WULAN</t>
  </si>
  <si>
    <t>retnoe113@gmail.com</t>
  </si>
  <si>
    <t>4692</t>
  </si>
  <si>
    <t>1CWlrnp5ifaIbiVqmplS0fibVrOswdlyN</t>
  </si>
  <si>
    <t>https://drive.google.com/file/d/1CWlrnp5ifaIbiVqmplS0fibVrOswdlyN/view?usp=drivesdk</t>
  </si>
  <si>
    <t xml:space="preserve">ELISABETH DESI ROSARININGTYAS, A.MD.FARM </t>
  </si>
  <si>
    <t>elisabethdesirosariningtyas@gmail.com</t>
  </si>
  <si>
    <t>4693</t>
  </si>
  <si>
    <t>1V9vCUuT0JxaM7zLtUGevxkO3eMeQVG6n</t>
  </si>
  <si>
    <t>https://drive.google.com/file/d/1V9vCUuT0JxaM7zLtUGevxkO3eMeQVG6n/view?usp=drivesdk</t>
  </si>
  <si>
    <t xml:space="preserve">RATNA WATI </t>
  </si>
  <si>
    <t>rw1720789@gmail.com</t>
  </si>
  <si>
    <t>4694</t>
  </si>
  <si>
    <t>1rsyJUpnmuObqG3XpFGCkJCNGgtRwHHJA</t>
  </si>
  <si>
    <t>https://drive.google.com/file/d/1rsyJUpnmuObqG3XpFGCkJCNGgtRwHHJA/view?usp=drivesdk</t>
  </si>
  <si>
    <t>PENGATUR ERNI</t>
  </si>
  <si>
    <t>riskaapria233@gmail.com</t>
  </si>
  <si>
    <t>4695</t>
  </si>
  <si>
    <t>1UJTwmCU5la5lruaatUhcGzRnQJKK3bH-</t>
  </si>
  <si>
    <t>https://drive.google.com/file/d/1UJTwmCU5la5lruaatUhcGzRnQJKK3bH-/view?usp=drivesdk</t>
  </si>
  <si>
    <t>Document successfully created; Document successfully merged; PDF created; !!Error Sending Emails: Service invoked too many times for one day: email.; Manually run by ecertificate75@gmail.com; Timestamp: Sep 2 2024 11:05 PM</t>
  </si>
  <si>
    <t>SRI ARIYANI</t>
  </si>
  <si>
    <t>sriariyani1972@gmail.com</t>
  </si>
  <si>
    <t>4696</t>
  </si>
  <si>
    <t>1SPjLijyjjnNzPt4nqXRmh3yOVIwIvyUi</t>
  </si>
  <si>
    <t>https://drive.google.com/file/d/1SPjLijyjjnNzPt4nqXRmh3yOVIwIvyUi/view?usp=drivesdk</t>
  </si>
  <si>
    <t>EKA SANTOSA</t>
  </si>
  <si>
    <t>ekasantosa010@gmail.com</t>
  </si>
  <si>
    <t>4697</t>
  </si>
  <si>
    <t>1NEHc4bOOFaHMMLT_5F63TteqB5nVr6G7</t>
  </si>
  <si>
    <t>https://drive.google.com/file/d/1NEHc4bOOFaHMMLT_5F63TteqB5nVr6G7/view?usp=drivesdk</t>
  </si>
  <si>
    <t>UCUK KATILI</t>
  </si>
  <si>
    <t>ucuk.katili82@gmail.com</t>
  </si>
  <si>
    <t>4698</t>
  </si>
  <si>
    <t>1rxb70lRzzMuOx_ZU99Ry-V4k8hzpdFza</t>
  </si>
  <si>
    <t>https://drive.google.com/file/d/1rxb70lRzzMuOx_ZU99Ry-V4k8hzpdFza/view?usp=drivesdk</t>
  </si>
  <si>
    <t>ASBUDY, S.E.</t>
  </si>
  <si>
    <t>asbudyboedy@gmail.com</t>
  </si>
  <si>
    <t>4699</t>
  </si>
  <si>
    <t>1LbDPc57_lCn8sW5bapyE-vhPifj1cKB8</t>
  </si>
  <si>
    <t>https://drive.google.com/file/d/1LbDPc57_lCn8sW5bapyE-vhPifj1cKB8/view?usp=drivesdk</t>
  </si>
  <si>
    <t>URAY MOHAMMAD FACHRIANSYAH, S.KOM.</t>
  </si>
  <si>
    <t>uray.mf@gmail.com</t>
  </si>
  <si>
    <t>4700</t>
  </si>
  <si>
    <t>1dKsFmLkxzBDGJttEiY5mewWWRn4NpE50</t>
  </si>
  <si>
    <t>https://drive.google.com/file/d/1dKsFmLkxzBDGJttEiY5mewWWRn4NpE50/view?usp=drivesdk</t>
  </si>
  <si>
    <t>Document successfully created; Document successfully merged; PDF created; !!Error Sending Emails: Service invoked too many times for one day: email.; Manually run by ecertificate75@gmail.com; Timestamp: Sep 2 2024 11:06 PM</t>
  </si>
  <si>
    <t>RENNY MARLINA SIHOMBING</t>
  </si>
  <si>
    <t>renitnjungbalai@gmail.com</t>
  </si>
  <si>
    <t>4701</t>
  </si>
  <si>
    <t>1IrCMG99F_L2ko16zQKKfb6SzjKfxMrt4</t>
  </si>
  <si>
    <t>https://drive.google.com/file/d/1IrCMG99F_L2ko16zQKKfb6SzjKfxMrt4/view?usp=drivesdk</t>
  </si>
  <si>
    <t xml:space="preserve">INDAH SETYANINGSIH </t>
  </si>
  <si>
    <t>indahsetya028@gmail.com</t>
  </si>
  <si>
    <t>4702</t>
  </si>
  <si>
    <t>1P82i4vlQy2BeUQf7Bqqfuzl2PYZh7BUL</t>
  </si>
  <si>
    <t>https://drive.google.com/file/d/1P82i4vlQy2BeUQf7Bqqfuzl2PYZh7BUL/view?usp=drivesdk</t>
  </si>
  <si>
    <t>Ida Ayu Nyoman witari</t>
  </si>
  <si>
    <t>dayuwitari1@gmail.com</t>
  </si>
  <si>
    <t>4703</t>
  </si>
  <si>
    <t>https://drive.google.com/file/d/1BSu_-X24caatleC4ppb9o5Vjwrx5LYj7/view?usp=drivesdk</t>
  </si>
  <si>
    <t>1BSu_-X24caatleC4ppb9o5Vjwrx5LYj7</t>
  </si>
  <si>
    <t>1o8NkFmyA8uquBGdtx4yjg1y1VPc3aJ0V</t>
  </si>
  <si>
    <t>https://drive.google.com/file/d/1o8NkFmyA8uquBGdtx4yjg1y1VPc3aJ0V/view?usp=drivesdk</t>
  </si>
  <si>
    <t>RUSMIANTO</t>
  </si>
  <si>
    <t>rusmianto005@gmal.com</t>
  </si>
  <si>
    <t>4704</t>
  </si>
  <si>
    <t>https://drive.google.com/file/d/1gTe1_x3H9Bx6cLOVN4UScqyEkq5oiLD7/view?usp=drivesdk</t>
  </si>
  <si>
    <t>Document successfully created; Document successfully merged; PDF created; !!Error Sending Emails: Service invoked too many times for one day: email.; Run via form trigger as ecertificate75@gmail.com; Timestamp: Aug 29 2024 9:30 PM</t>
  </si>
  <si>
    <t>1gTe1_x3H9Bx6cLOVN4UScqyEkq5oiLD7</t>
  </si>
  <si>
    <t>1X1gyt4F4Dfx5LPk9Bt0XEQLyNdyBjA7a</t>
  </si>
  <si>
    <t>https://drive.google.com/file/d/1X1gyt4F4Dfx5LPk9Bt0XEQLyNdyBjA7a/view?usp=drivesdk</t>
  </si>
  <si>
    <t>Document successfully created; Document successfully merged; PDF created; !!Error Sending Emails: Service invoked too many times for one day: email.; Manually run by ecertificate75@gmail.com; Timestamp: Sep 2 2024 11:07 PM</t>
  </si>
  <si>
    <t>DIDIK,S.H.</t>
  </si>
  <si>
    <t>didish169@gmail.com</t>
  </si>
  <si>
    <t>4705</t>
  </si>
  <si>
    <t>https://drive.google.com/file/d/1rSL6Gdr8YSMRxvthSFP-A-aH8GMI4FaY/view?usp=drivesdk</t>
  </si>
  <si>
    <t>1rSL6Gdr8YSMRxvthSFP-A-aH8GMI4FaY</t>
  </si>
  <si>
    <t>1u2_FC1X6jbopzXLKtwMh0T2udIPuhnH5</t>
  </si>
  <si>
    <t>https://drive.google.com/file/d/1u2_FC1X6jbopzXLKtwMh0T2udIPuhnH5/view?usp=drivesdk</t>
  </si>
  <si>
    <t>SUNARSIH</t>
  </si>
  <si>
    <t>alexsunarsih@gmail.com</t>
  </si>
  <si>
    <t>4706</t>
  </si>
  <si>
    <t>Starting at Thu Aug 29 2024 21:29:37 GMT-0400 (EDT)</t>
  </si>
  <si>
    <t>1AJPRiQg650PD-UtWmFUwsm4vB0NijJot</t>
  </si>
  <si>
    <t>https://drive.google.com/file/d/1AJPRiQg650PD-UtWmFUwsm4vB0NijJot/view?usp=drivesdk</t>
  </si>
  <si>
    <t xml:space="preserve">NURYADI SYUKUR BAGIO </t>
  </si>
  <si>
    <t>belanja.rsbtulungagung@gmail.com</t>
  </si>
  <si>
    <t>4707</t>
  </si>
  <si>
    <t>1-MEBHqOKV7B0l-koLIVpd4otdeVFnD_W</t>
  </si>
  <si>
    <t>https://drive.google.com/file/d/1-MEBHqOKV7B0l-koLIVpd4otdeVFnD_W/view?usp=drivesdk</t>
  </si>
  <si>
    <t>SRI PUDJIASTUTIK</t>
  </si>
  <si>
    <t>sripudjiastutik1971@gmail.com</t>
  </si>
  <si>
    <t>4708</t>
  </si>
  <si>
    <t>1zWRO471E4uTyfVhv8ovOcTNdUI8sWfrN</t>
  </si>
  <si>
    <t>https://drive.google.com/file/d/1zWRO471E4uTyfVhv8ovOcTNdUI8sWfrN/view?usp=drivesdk</t>
  </si>
  <si>
    <t>Document successfully created; Document successfully merged; PDF created; !!Error Sending Emails: Service invoked too many times for one day: email.; Manually run by ecertificate75@gmail.com; Timestamp: Sep 2 2024 11:08 PM</t>
  </si>
  <si>
    <t>DARWATI</t>
  </si>
  <si>
    <t>darwatiheri72@gmail.com</t>
  </si>
  <si>
    <t>4709</t>
  </si>
  <si>
    <t>1pIYAThexHCmC3HLXS_KlRrL5vV6rr_v_</t>
  </si>
  <si>
    <t>https://drive.google.com/file/d/1pIYAThexHCmC3HLXS_KlRrL5vV6rr_v_/view?usp=drivesdk</t>
  </si>
  <si>
    <t>ASIH SUMARSI, S.Kep</t>
  </si>
  <si>
    <t>asih250983@gmail.com</t>
  </si>
  <si>
    <t>4710</t>
  </si>
  <si>
    <t>1W7x_kso23yaghf1w3fZIK6sZcHDQYtUC</t>
  </si>
  <si>
    <t>https://drive.google.com/file/d/1W7x_kso23yaghf1w3fZIK6sZcHDQYtUC/view?usp=drivesdk</t>
  </si>
  <si>
    <t>Document successfully created; Document successfully merged; PDF created; !!Error Sending Emails: Service invoked too many times for one day: email.; Manually run by ecertificate75@gmail.com; Timestamp: Sep 2 2024 11:09 PM</t>
  </si>
  <si>
    <t>AGUS SUGIANTO</t>
  </si>
  <si>
    <t>ameliakevin678@gmail.com</t>
  </si>
  <si>
    <t>4711</t>
  </si>
  <si>
    <t>15N5FPXUGuYAeo113cciWYbmQ8atynXmH</t>
  </si>
  <si>
    <t>https://drive.google.com/file/d/15N5FPXUGuYAeo113cciWYbmQ8atynXmH/view?usp=drivesdk</t>
  </si>
  <si>
    <t>LESTARI BAGAWANTI, S.Kep., MARS</t>
  </si>
  <si>
    <t>bagawantilestari@yahoo.co.id</t>
  </si>
  <si>
    <t>4712</t>
  </si>
  <si>
    <t>1k1pha9y-WqwnSNvX1cL2yHrrKW15PDT1</t>
  </si>
  <si>
    <t>https://drive.google.com/file/d/1k1pha9y-WqwnSNvX1cL2yHrrKW15PDT1/view?usp=drivesdk</t>
  </si>
  <si>
    <t xml:space="preserve">FITRIA PURNAMASARI </t>
  </si>
  <si>
    <t>pfitria05@gmail.com</t>
  </si>
  <si>
    <t>4713</t>
  </si>
  <si>
    <t>15K5P_8hV7CeTkEcCnDWkk_g4wCEB_y6l</t>
  </si>
  <si>
    <t>https://drive.google.com/file/d/15K5P_8hV7CeTkEcCnDWkk_g4wCEB_y6l/view?usp=drivesdk</t>
  </si>
  <si>
    <t>HERIAGUS T</t>
  </si>
  <si>
    <t>heriaguspsc119@gmail.com</t>
  </si>
  <si>
    <t>4714</t>
  </si>
  <si>
    <t>1QLtFdN1wJzbuRiV3ltchvdKa5ACn7Sxw</t>
  </si>
  <si>
    <t>https://drive.google.com/file/d/1QLtFdN1wJzbuRiV3ltchvdKa5ACn7Sxw/view?usp=drivesdk</t>
  </si>
  <si>
    <t>Document successfully created; Document successfully merged; PDF created; !!Error Sending Emails: Service invoked too many times for one day: email.; Manually run by ecertificate75@gmail.com; Timestamp: Sep 2 2024 11:10 PM</t>
  </si>
  <si>
    <t>SYAMSURIZAL</t>
  </si>
  <si>
    <t>isatrizal@gmail.com</t>
  </si>
  <si>
    <t>4715</t>
  </si>
  <si>
    <t>1rW8LlB6rK_RjAeHNOkldG1IaXEeTsA_o</t>
  </si>
  <si>
    <t>https://drive.google.com/file/d/1rW8LlB6rK_RjAeHNOkldG1IaXEeTsA_o/view?usp=drivesdk</t>
  </si>
  <si>
    <t>DASIYAH</t>
  </si>
  <si>
    <t>dasiyahgunaryo@gmail.com</t>
  </si>
  <si>
    <t>4716</t>
  </si>
  <si>
    <t>1Ti-0BhKpS9clvnDu0_JWVbg_yIWP1opq</t>
  </si>
  <si>
    <t>https://drive.google.com/file/d/1Ti-0BhKpS9clvnDu0_JWVbg_yIWP1opq/view?usp=drivesdk</t>
  </si>
  <si>
    <t>NOVERI BINDATU, A.Md</t>
  </si>
  <si>
    <t>noveribindatu@gmail.com</t>
  </si>
  <si>
    <t>4717</t>
  </si>
  <si>
    <t>1YaXT5dQUyjKPHggYXBsUJ9fM4YUz3wW9</t>
  </si>
  <si>
    <t>https://drive.google.com/file/d/1YaXT5dQUyjKPHggYXBsUJ9fM4YUz3wW9/view?usp=drivesdk</t>
  </si>
  <si>
    <t>AFID ADNAN</t>
  </si>
  <si>
    <t>adnanafid@gmail.com</t>
  </si>
  <si>
    <t>4718</t>
  </si>
  <si>
    <t>1NlxX_FfbbAJxZpv9NC5nc02Lp1YW0pub</t>
  </si>
  <si>
    <t>https://drive.google.com/file/d/1NlxX_FfbbAJxZpv9NC5nc02Lp1YW0pub/view?usp=drivesdk</t>
  </si>
  <si>
    <t>Document successfully created; Document successfully merged; PDF created; !!Error Sending Emails: Service invoked too many times for one day: email.; Manually run by ecertificate75@gmail.com; Timestamp: Sep 2 2024 11:11 PM</t>
  </si>
  <si>
    <t>INDAH GUSTARI, A.Md.Farm.</t>
  </si>
  <si>
    <t>indahgustari24@gmail.com</t>
  </si>
  <si>
    <t>4719</t>
  </si>
  <si>
    <t>150kbsjs7_YR1SNNtYDt99i5WPVSw6vRO</t>
  </si>
  <si>
    <t>https://drive.google.com/file/d/150kbsjs7_YR1SNNtYDt99i5WPVSw6vRO/view?usp=drivesdk</t>
  </si>
  <si>
    <t>AFNAR MEILYNA, S.E.</t>
  </si>
  <si>
    <t>strajemenpoldariau2@gmail.com</t>
  </si>
  <si>
    <t>4720</t>
  </si>
  <si>
    <t>1w7SY67C9inBOtlVdZFga1Y_LKmrNyTsE</t>
  </si>
  <si>
    <t>https://drive.google.com/file/d/1w7SY67C9inBOtlVdZFga1Y_LKmrNyTsE/view?usp=drivesdk</t>
  </si>
  <si>
    <t>JASMANI</t>
  </si>
  <si>
    <t>apriliabilqisty.06@gmail.com</t>
  </si>
  <si>
    <t>4721</t>
  </si>
  <si>
    <t>1Je9Tw5R5mCRa6CFsxdmPxiA0vPGdCjHu</t>
  </si>
  <si>
    <t>https://drive.google.com/file/d/1Je9Tw5R5mCRa6CFsxdmPxiA0vPGdCjHu/view?usp=drivesdk</t>
  </si>
  <si>
    <t>SAFRIYANTO SIHOMBING</t>
  </si>
  <si>
    <t>safriyantosihombing@gmail.com</t>
  </si>
  <si>
    <t>4722</t>
  </si>
  <si>
    <t>1aD9xSNoPsWYQLTehfkl_kN16lo2r8aiY</t>
  </si>
  <si>
    <t>https://drive.google.com/file/d/1aD9xSNoPsWYQLTehfkl_kN16lo2r8aiY/view?usp=drivesdk</t>
  </si>
  <si>
    <t>JENNY ANDHIAS WINATASARI</t>
  </si>
  <si>
    <t>jennyandhi@gmail.com</t>
  </si>
  <si>
    <t>4723</t>
  </si>
  <si>
    <t>1Qkr15QIBctsDjXiHXg_zGKWJ6yoOBf7s</t>
  </si>
  <si>
    <t>https://drive.google.com/file/d/1Qkr15QIBctsDjXiHXg_zGKWJ6yoOBf7s/view?usp=drivesdk</t>
  </si>
  <si>
    <t>Document successfully created; Document successfully merged; PDF created; !!Error Sending Emails: Service invoked too many times for one day: email.; Manually run by ecertificate75@gmail.com; Timestamp: Sep 2 2024 11:12 PM</t>
  </si>
  <si>
    <t>OKTI DEFUAN NAINGGOLAN, A.Md</t>
  </si>
  <si>
    <t>odefuan@gmail.com</t>
  </si>
  <si>
    <t>4724</t>
  </si>
  <si>
    <t>1_d1byt_1CVYiO1hLMlgCKUcITVMNpMuk</t>
  </si>
  <si>
    <t>https://drive.google.com/file/d/1_d1byt_1CVYiO1hLMlgCKUcITVMNpMuk/view?usp=drivesdk</t>
  </si>
  <si>
    <t>MUHFIATUN</t>
  </si>
  <si>
    <t>muhfiatun76@gmail.com</t>
  </si>
  <si>
    <t>4725</t>
  </si>
  <si>
    <t>1u1JwhnCjNhlj9Zjri1J1E2qOYODVvNgX</t>
  </si>
  <si>
    <t>https://drive.google.com/file/d/1u1JwhnCjNhlj9Zjri1J1E2qOYODVvNgX/view?usp=drivesdk</t>
  </si>
  <si>
    <t>ARI WAHYUDI</t>
  </si>
  <si>
    <t>ariwahyudiyanma@gmail.com</t>
  </si>
  <si>
    <t>4726</t>
  </si>
  <si>
    <t>1PbGtCPAYGlrfuGm2lThebHXv1HpMJcTF</t>
  </si>
  <si>
    <t>https://drive.google.com/file/d/1PbGtCPAYGlrfuGm2lThebHXv1HpMJcTF/view?usp=drivesdk</t>
  </si>
  <si>
    <t>SURIANI</t>
  </si>
  <si>
    <t>suriani.meliani@gmail.com</t>
  </si>
  <si>
    <t>4727</t>
  </si>
  <si>
    <t>1Q_LBkFvYB5ey65OcfiNQZD62H7W7hcGM</t>
  </si>
  <si>
    <t>https://drive.google.com/file/d/1Q_LBkFvYB5ey65OcfiNQZD62H7W7hcGM/view?usp=drivesdk</t>
  </si>
  <si>
    <t>Document successfully created; Document successfully merged; PDF created; !!Error Sending Emails: Service invoked too many times for one day: email.; Manually run by ecertificate75@gmail.com; Timestamp: Sep 2 2024 11:13 PM</t>
  </si>
  <si>
    <t>JULIANA SARAGIH S. KEP</t>
  </si>
  <si>
    <t>kartolo01234@gmail.com</t>
  </si>
  <si>
    <t>4728</t>
  </si>
  <si>
    <t>13oLYSi3ZOkyfyAN3HMgIFJ8YbYNQtdbL</t>
  </si>
  <si>
    <t>https://drive.google.com/file/d/13oLYSi3ZOkyfyAN3HMgIFJ8YbYNQtdbL/view?usp=drivesdk</t>
  </si>
  <si>
    <t>AHMAD SYAFARi</t>
  </si>
  <si>
    <t>ahmadsyafari2607@gmail.com</t>
  </si>
  <si>
    <t>4729</t>
  </si>
  <si>
    <t>1yZC4wtJ_E77Ias_PozaTAX6HurdTLz6l</t>
  </si>
  <si>
    <t>https://drive.google.com/file/d/1yZC4wtJ_E77Ias_PozaTAX6HurdTLz6l/view?usp=drivesdk</t>
  </si>
  <si>
    <t>Document successfully created; Document successfully merged; PDF created; !!Error Sending Emails: Service invoked too many times for one day: email.; Manually run by ecertificate75@gmail.com; Timestamp: Sep 2 2024 11:14 PM</t>
  </si>
  <si>
    <t>NURHAEDA A,S.Psi., M.Psi</t>
  </si>
  <si>
    <t>Nhaedha81@gmail.com</t>
  </si>
  <si>
    <t>4730</t>
  </si>
  <si>
    <t>https://drive.google.com/file/d/1a0Udg-GFWrJM71OTNhEBE-mrrQVuf91C/view?usp=drivesdk</t>
  </si>
  <si>
    <t>1a0Udg-GFWrJM71OTNhEBE-mrrQVuf91C</t>
  </si>
  <si>
    <t>1FxB6H4eK6xuJrSTGqGg8itW8nq-L7zZi</t>
  </si>
  <si>
    <t>https://drive.google.com/file/d/1FxB6H4eK6xuJrSTGqGg8itW8nq-L7zZi/view?usp=drivesdk</t>
  </si>
  <si>
    <t>INDAH DWI SUSANTI</t>
  </si>
  <si>
    <t>indahdwisusanti800@gmail.com</t>
  </si>
  <si>
    <t>4731</t>
  </si>
  <si>
    <t>https://drive.google.com/file/d/1v3cdQYNDhoArdZylNbHbHOVMLKuYbTz1/view?usp=drivesdk</t>
  </si>
  <si>
    <t>1v3cdQYNDhoArdZylNbHbHOVMLKuYbTz1</t>
  </si>
  <si>
    <t>1toKnMp5-rG8MQDhVEcIKrPWhJZMr4Wk4</t>
  </si>
  <si>
    <t>https://drive.google.com/file/d/1toKnMp5-rG8MQDhVEcIKrPWhJZMr4Wk4/view?usp=drivesdk</t>
  </si>
  <si>
    <t>SYARIF HAGANDI</t>
  </si>
  <si>
    <t>syarifhafandi88@gmail.com</t>
  </si>
  <si>
    <t>4732</t>
  </si>
  <si>
    <t>https://drive.google.com/file/d/1_D3xu-4am2y_uCDJKUC1WjBb6vIrYKpf/view?usp=drivesdk</t>
  </si>
  <si>
    <t>1_D3xu-4am2y_uCDJKUC1WjBb6vIrYKpf</t>
  </si>
  <si>
    <t>1H57dYJtRlsUZjWupmOOqsuKyxCxh02Kz</t>
  </si>
  <si>
    <t>https://drive.google.com/file/d/1H57dYJtRlsUZjWupmOOqsuKyxCxh02Kz/view?usp=drivesdk</t>
  </si>
  <si>
    <t>LIDYA ELANI SITORUS, Amd.Kep</t>
  </si>
  <si>
    <t>lidyaelani@gmail.com</t>
  </si>
  <si>
    <t>4733</t>
  </si>
  <si>
    <t>https://drive.google.com/file/d/1AsC-m5QS-1c7ANGn92w_9imZVoMzS6Ig/view?usp=drivesdk</t>
  </si>
  <si>
    <t>1AsC-m5QS-1c7ANGn92w_9imZVoMzS6Ig</t>
  </si>
  <si>
    <t>1tf_aC_uSXMnCAsDgHZ3aJOkrTLO_W2eO</t>
  </si>
  <si>
    <t>https://drive.google.com/file/d/1tf_aC_uSXMnCAsDgHZ3aJOkrTLO_W2eO/view?usp=drivesdk</t>
  </si>
  <si>
    <t>Document successfully created; Document successfully merged; PDF created; !!Error Sending Emails: Service invoked too many times for one day: email.; Manually run by ecertificate75@gmail.com; Timestamp: Sep 2 2024 11:15 PM</t>
  </si>
  <si>
    <t>OLVIE DITA CHYNTIA, A.Md.Far</t>
  </si>
  <si>
    <t>olvie.dita97@gmail.com</t>
  </si>
  <si>
    <t>4734</t>
  </si>
  <si>
    <t>https://drive.google.com/file/d/196bmwBb4WBkozdg8ETx2HyFSvAdPElrU/view?usp=drivesdk</t>
  </si>
  <si>
    <t>196bmwBb4WBkozdg8ETx2HyFSvAdPElrU</t>
  </si>
  <si>
    <t>1c2WzuQbe3ClZwwSw8bReqQzHQ9whBdb_</t>
  </si>
  <si>
    <t>https://drive.google.com/file/d/1c2WzuQbe3ClZwwSw8bReqQzHQ9whBdb_/view?usp=drivesdk</t>
  </si>
  <si>
    <t>ANGGER RAHMADANI PUTRI, A.Md.Kep</t>
  </si>
  <si>
    <t>anggerrahmadaniputri@gmail.com</t>
  </si>
  <si>
    <t>4735</t>
  </si>
  <si>
    <t>https://drive.google.com/file/d/18QnkFy1fFWnU1sCj6HfVCPERzAQIP7Rx/view?usp=drivesdk</t>
  </si>
  <si>
    <t>Document successfully created; Document successfully merged; PDF created; !!Error Sending Emails: Service invoked too many times for one day: email.; Run via form trigger as ecertificate75@gmail.com; Timestamp: Aug 29 2024 9:31 PM</t>
  </si>
  <si>
    <t>18QnkFy1fFWnU1sCj6HfVCPERzAQIP7Rx</t>
  </si>
  <si>
    <t>1num8Ivl-tWHYnvHYtZeqjR0RljBnP31-</t>
  </si>
  <si>
    <t>https://drive.google.com/file/d/1num8Ivl-tWHYnvHYtZeqjR0RljBnP31-/view?usp=drivesdk</t>
  </si>
  <si>
    <t xml:space="preserve">NURYNTO ROCHMAN </t>
  </si>
  <si>
    <t>r1ntoez@gmail.com</t>
  </si>
  <si>
    <t>4736</t>
  </si>
  <si>
    <t>https://drive.google.com/file/d/1cHinNpBepUTNz2YPkYTk3dzI9Of9wDcW/view?usp=drivesdk</t>
  </si>
  <si>
    <t>1cHinNpBepUTNz2YPkYTk3dzI9Of9wDcW</t>
  </si>
  <si>
    <t>1oTOnToSs1U_TW4kgoMmkX4_9Nr6sXiCn</t>
  </si>
  <si>
    <t>https://drive.google.com/file/d/1oTOnToSs1U_TW4kgoMmkX4_9Nr6sXiCn/view?usp=drivesdk</t>
  </si>
  <si>
    <t>IDDALINA</t>
  </si>
  <si>
    <t>idalinapku@gmail.com</t>
  </si>
  <si>
    <t>4737</t>
  </si>
  <si>
    <t>https://drive.google.com/file/d/1lyPCu64nh0zV9PidZ0Pb8eJLvpfuqfD0/view?usp=drivesdk</t>
  </si>
  <si>
    <t>1lyPCu64nh0zV9PidZ0Pb8eJLvpfuqfD0</t>
  </si>
  <si>
    <t>1CgtWU-0BztKmlvFjdcwtcMdbRSyxgxzZ</t>
  </si>
  <si>
    <t>https://drive.google.com/file/d/1CgtWU-0BztKmlvFjdcwtcMdbRSyxgxzZ/view?usp=drivesdk</t>
  </si>
  <si>
    <t>Document successfully created; Document successfully merged; PDF created; !!Error Sending Emails: Service invoked too many times for one day: email.; Manually run by ecertificate75@gmail.com; Timestamp: Sep 2 2024 11:16 PM</t>
  </si>
  <si>
    <t>KHALIMAH</t>
  </si>
  <si>
    <t>khalimah.suripti@gmail.com</t>
  </si>
  <si>
    <t>4738</t>
  </si>
  <si>
    <t>https://drive.google.com/file/d/1-oKNVZYiiqgKvNcTzZ8ZS0a_yayPfWx2/view?usp=drivesdk</t>
  </si>
  <si>
    <t>1-oKNVZYiiqgKvNcTzZ8ZS0a_yayPfWx2</t>
  </si>
  <si>
    <t>19LQo1-KCZWOoyfGcsW0RghZPn6QPy0fC</t>
  </si>
  <si>
    <t>https://drive.google.com/file/d/19LQo1-KCZWOoyfGcsW0RghZPn6QPy0fC/view?usp=drivesdk</t>
  </si>
  <si>
    <t>ARIFIN</t>
  </si>
  <si>
    <t>arifin021971@gmail.com</t>
  </si>
  <si>
    <t>4739</t>
  </si>
  <si>
    <t>https://drive.google.com/file/d/1jYdS1MIguMsH0WZCQVfLad45D-R6FMBg/view?usp=drivesdk</t>
  </si>
  <si>
    <t>1jYdS1MIguMsH0WZCQVfLad45D-R6FMBg</t>
  </si>
  <si>
    <t>1xGEXLjwZElDUE-ynJqQUT7kFr3VxW6kR</t>
  </si>
  <si>
    <t>https://drive.google.com/file/d/1xGEXLjwZElDUE-ynJqQUT7kFr3VxW6kR/view?usp=drivesdk</t>
  </si>
  <si>
    <t xml:space="preserve">MAIMA EVA HANIFAH </t>
  </si>
  <si>
    <t>eva.byk.73@gmail.com</t>
  </si>
  <si>
    <t>4740</t>
  </si>
  <si>
    <t>https://drive.google.com/file/d/1GplXKx_ksuVhO2xnUM_kNURA7q1hg5wi/view?usp=drivesdk</t>
  </si>
  <si>
    <t>1GplXKx_ksuVhO2xnUM_kNURA7q1hg5wi</t>
  </si>
  <si>
    <t>1zFjT-3rvHnj2poaWg0EuWqW2xZh0wKy6</t>
  </si>
  <si>
    <t>https://drive.google.com/file/d/1zFjT-3rvHnj2poaWg0EuWqW2xZh0wKy6/view?usp=drivesdk</t>
  </si>
  <si>
    <t>KHAERIYAH.A.MD.KEP</t>
  </si>
  <si>
    <t>khaeriyahlia12@gmail.com</t>
  </si>
  <si>
    <t>4741</t>
  </si>
  <si>
    <t>https://drive.google.com/file/d/1v_6-5WrPz1h7snee7Q2vRvpA_M5xnsiU/view?usp=drivesdk</t>
  </si>
  <si>
    <t>1v_6-5WrPz1h7snee7Q2vRvpA_M5xnsiU</t>
  </si>
  <si>
    <t>1pSrLoh9uqgU4CaFHA2arTZu_y1jeuluI</t>
  </si>
  <si>
    <t>https://drive.google.com/file/d/1pSrLoh9uqgU4CaFHA2arTZu_y1jeuluI/view?usp=drivesdk</t>
  </si>
  <si>
    <t>SRI ANIK, S. Tr. Keb., M.M.</t>
  </si>
  <si>
    <t>anikofa9@gmail.com</t>
  </si>
  <si>
    <t>4742</t>
  </si>
  <si>
    <t>Starting at Thu Aug 29 2024 21:29:45 GMT-0400 (EDT)</t>
  </si>
  <si>
    <t>14N0r4D3aDSxFvWCQFQLMTS26i9feW73t</t>
  </si>
  <si>
    <t>https://drive.google.com/file/d/14N0r4D3aDSxFvWCQFQLMTS26i9feW73t/view?usp=drivesdk</t>
  </si>
  <si>
    <t>Document successfully created; Document successfully merged; PDF created; !!Error Sending Emails: Service invoked too many times for one day: email.; Manually run by ecertificate75@gmail.com; Timestamp: Sep 2 2024 11:17 PM</t>
  </si>
  <si>
    <t>TRI EKO AGUSTONO</t>
  </si>
  <si>
    <t>kapolsekjapah12@gmail.com</t>
  </si>
  <si>
    <t>4743</t>
  </si>
  <si>
    <t>1qYuPDIACmDRBrUMn6-_CN7_rZHcbUW-v</t>
  </si>
  <si>
    <t>https://drive.google.com/file/d/1qYuPDIACmDRBrUMn6-_CN7_rZHcbUW-v/view?usp=drivesdk</t>
  </si>
  <si>
    <t>MURTI SARI DEWI</t>
  </si>
  <si>
    <t>murtisaridewi02@gmail.com</t>
  </si>
  <si>
    <t>4744</t>
  </si>
  <si>
    <t>1Wx64boeVnQGytvn1UOvVHGPEgwBaMw8s</t>
  </si>
  <si>
    <t>https://drive.google.com/file/d/1Wx64boeVnQGytvn1UOvVHGPEgwBaMw8s/view?usp=drivesdk</t>
  </si>
  <si>
    <t>MUJIONO</t>
  </si>
  <si>
    <t>jiono.tugu@gmail.com</t>
  </si>
  <si>
    <t>4745</t>
  </si>
  <si>
    <t>1zbfnq7MuWnFQY7b52vUdhw4O7dYsw48L</t>
  </si>
  <si>
    <t>https://drive.google.com/file/d/1zbfnq7MuWnFQY7b52vUdhw4O7dYsw48L/view?usp=drivesdk</t>
  </si>
  <si>
    <t>PONIMAN, S.H.</t>
  </si>
  <si>
    <t>lekpoazaizi@gmail.com</t>
  </si>
  <si>
    <t>4746</t>
  </si>
  <si>
    <t>1ktHiMQtuP7yb1CY-HhYqcO3i3N5HKl53</t>
  </si>
  <si>
    <t>https://drive.google.com/file/d/1ktHiMQtuP7yb1CY-HhYqcO3i3N5HKl53/view?usp=drivesdk</t>
  </si>
  <si>
    <t>Document successfully created; Document successfully merged; PDF created; !!Error Sending Emails: Service invoked too many times for one day: email.; Manually run by ecertificate75@gmail.com; Timestamp: Sep 2 2024 11:18 PM</t>
  </si>
  <si>
    <t>NURWAHIDAH, SE</t>
  </si>
  <si>
    <t>nurwahidaida765@gmail.com</t>
  </si>
  <si>
    <t>4747</t>
  </si>
  <si>
    <t>https://drive.google.com/file/d/1rtgos_gCRYbNVT5JAS2ZVQJC_k1LcJEa/view?usp=drivesdk</t>
  </si>
  <si>
    <t>1rtgos_gCRYbNVT5JAS2ZVQJC_k1LcJEa</t>
  </si>
  <si>
    <t>1m97ckenHbl08YMAooT9uTLxkVXwKGR86</t>
  </si>
  <si>
    <t>https://drive.google.com/file/d/1m97ckenHbl08YMAooT9uTLxkVXwKGR86/view?usp=drivesdk</t>
  </si>
  <si>
    <t>M ARIPIN</t>
  </si>
  <si>
    <t>aripinnayla@gmail.com</t>
  </si>
  <si>
    <t>4748</t>
  </si>
  <si>
    <t>https://drive.google.com/file/d/1LreIgJx1pG1M454ahl40h_MdAV92h1BS/view?usp=drivesdk</t>
  </si>
  <si>
    <t>1LreIgJx1pG1M454ahl40h_MdAV92h1BS</t>
  </si>
  <si>
    <t>1wfHJkNbZvXFHwYP9yL_Qamxhva1FbPcb</t>
  </si>
  <si>
    <t>https://drive.google.com/file/d/1wfHJkNbZvXFHwYP9yL_Qamxhva1FbPcb/view?usp=drivesdk</t>
  </si>
  <si>
    <t>HARTUTI</t>
  </si>
  <si>
    <t>hartuti1966@gmail.com</t>
  </si>
  <si>
    <t>4749</t>
  </si>
  <si>
    <t>https://drive.google.com/file/d/1fu34gRWaCaVEN9wC2RNulsAJkBHvi_qr/view?usp=drivesdk</t>
  </si>
  <si>
    <t>1fu34gRWaCaVEN9wC2RNulsAJkBHvi_qr</t>
  </si>
  <si>
    <t>1X1oXODkD1Udz0cGGcwdx4_jDqJ5HZduz</t>
  </si>
  <si>
    <t>https://drive.google.com/file/d/1X1oXODkD1Udz0cGGcwdx4_jDqJ5HZduz/view?usp=drivesdk</t>
  </si>
  <si>
    <t>SUGOMO</t>
  </si>
  <si>
    <t>sugomo.tunjungan@gmail.com</t>
  </si>
  <si>
    <t>4750</t>
  </si>
  <si>
    <t>Starting at Thu Aug 29 2024 21:29:52 GMT-0400 (EDT)</t>
  </si>
  <si>
    <t>15D_dhrh_ieiFcJpG7WPa1XlGCOhGvkTI</t>
  </si>
  <si>
    <t>https://drive.google.com/file/d/15D_dhrh_ieiFcJpG7WPa1XlGCOhGvkTI/view?usp=drivesdk</t>
  </si>
  <si>
    <t>Document successfully created; Document successfully merged; PDF created; !!Error Sending Emails: Service invoked too many times for one day: email.; Manually run by ecertificate75@gmail.com; Timestamp: Sep 2 2024 11:19 PM</t>
  </si>
  <si>
    <t>WYDIA OPSITARI</t>
  </si>
  <si>
    <t>wydiabee@gmail.com</t>
  </si>
  <si>
    <t>4751</t>
  </si>
  <si>
    <t>1yRzgdFJnJLPg56G3TwqrtGKOvpd3RBHF</t>
  </si>
  <si>
    <t>https://drive.google.com/file/d/1yRzgdFJnJLPg56G3TwqrtGKOvpd3RBHF/view?usp=drivesdk</t>
  </si>
  <si>
    <t>HAMIDAH, S.K.M.,M.K.M</t>
  </si>
  <si>
    <t>midapangestu.skm@gmail.com</t>
  </si>
  <si>
    <t>4752</t>
  </si>
  <si>
    <t>1zPFh5PcHmW-Mz5zXyvmaz9KB0q9nN-pD</t>
  </si>
  <si>
    <t>https://drive.google.com/file/d/1zPFh5PcHmW-Mz5zXyvmaz9KB0q9nN-pD/view?usp=drivesdk</t>
  </si>
  <si>
    <t>TITIK SUMIATI</t>
  </si>
  <si>
    <t>titiksumiati1980@gmail.com</t>
  </si>
  <si>
    <t>4753</t>
  </si>
  <si>
    <t>1VZiFMkAuaSiLfZWoJK5bxojd-eONVOcO</t>
  </si>
  <si>
    <t>https://drive.google.com/file/d/1VZiFMkAuaSiLfZWoJK5bxojd-eONVOcO/view?usp=drivesdk</t>
  </si>
  <si>
    <t>PARYANTO</t>
  </si>
  <si>
    <t>mas.yanto1981@gmail.com</t>
  </si>
  <si>
    <t>4754</t>
  </si>
  <si>
    <t>1-HXX8mZUKryLDQzPvVAQDzKSSfYS4idg</t>
  </si>
  <si>
    <t>https://drive.google.com/file/d/1-HXX8mZUKryLDQzPvVAQDzKSSfYS4idg/view?usp=drivesdk</t>
  </si>
  <si>
    <t>INES FRAMITA, A.MD.KEB</t>
  </si>
  <si>
    <t>inesmempawah88@gmail.com</t>
  </si>
  <si>
    <t>4755</t>
  </si>
  <si>
    <t>https://drive.google.com/file/d/1aWDp-pFeJTvWX5lAPDg6ZcK43jg1fRka/view?usp=drivesdk</t>
  </si>
  <si>
    <t>1aWDp-pFeJTvWX5lAPDg6ZcK43jg1fRka</t>
  </si>
  <si>
    <t>1h-PkNfa0KEVrxEB1cErsW6QS2euSWTu3</t>
  </si>
  <si>
    <t>https://drive.google.com/file/d/1h-PkNfa0KEVrxEB1cErsW6QS2euSWTu3/view?usp=drivesdk</t>
  </si>
  <si>
    <t>Document successfully created; Document successfully merged; PDF created; !!Error Sending Emails: Service invoked too many times for one day: email.; Manually run by ecertificate75@gmail.com; Timestamp: Sep 2 2024 11:20 PM</t>
  </si>
  <si>
    <t xml:space="preserve">Fredrik Meki Ansanay </t>
  </si>
  <si>
    <t>mekyansanay@gmail.com</t>
  </si>
  <si>
    <t>4756</t>
  </si>
  <si>
    <t>https://drive.google.com/file/d/1gKJAjystUAxwx_1FulV1vgp5UxEOR2XV/view?usp=drivesdk</t>
  </si>
  <si>
    <t>1gKJAjystUAxwx_1FulV1vgp5UxEOR2XV</t>
  </si>
  <si>
    <t>1uIht27DX5PPWlI1vLFzmrJYyty42Ygv5</t>
  </si>
  <si>
    <t>https://drive.google.com/file/d/1uIht27DX5PPWlI1vLFzmrJYyty42Ygv5/view?usp=drivesdk</t>
  </si>
  <si>
    <t>NGESTI SRI HARTATI</t>
  </si>
  <si>
    <t>ngestisrihartati@gmail.com</t>
  </si>
  <si>
    <t>4757</t>
  </si>
  <si>
    <t>https://drive.google.com/file/d/1K3XW3Rk4AnSVbtDGHHzXV1GK5zVn2Cfp/view?usp=drivesdk</t>
  </si>
  <si>
    <t>1K3XW3Rk4AnSVbtDGHHzXV1GK5zVn2Cfp</t>
  </si>
  <si>
    <t>17vQ9WMy9DEZoOqExpx2kY0H76TzpiCSO</t>
  </si>
  <si>
    <t>https://drive.google.com/file/d/17vQ9WMy9DEZoOqExpx2kY0H76TzpiCSO/view?usp=drivesdk</t>
  </si>
  <si>
    <t>ARMAN PENGATUR TK.I</t>
  </si>
  <si>
    <t>Armn230269@gmail.com</t>
  </si>
  <si>
    <t>4758</t>
  </si>
  <si>
    <t>Starting at Thu Aug 29 2024 21:29:55 GMT-0400 (EDT)</t>
  </si>
  <si>
    <t>1kwFu20WTJGXGTx26T5whDHB_OpyUjz86</t>
  </si>
  <si>
    <t>https://drive.google.com/file/d/1kwFu20WTJGXGTx26T5whDHB_OpyUjz86/view?usp=drivesdk</t>
  </si>
  <si>
    <t>PURNOMO</t>
  </si>
  <si>
    <t>ppurnomo889@gmail.com</t>
  </si>
  <si>
    <t>4759</t>
  </si>
  <si>
    <t>1WND1Q76pXg6lt8Tpw2Tl1FL9NVbjCkid</t>
  </si>
  <si>
    <t>https://drive.google.com/file/d/1WND1Q76pXg6lt8Tpw2Tl1FL9NVbjCkid/view?usp=drivesdk</t>
  </si>
  <si>
    <t>MORTINI</t>
  </si>
  <si>
    <t>mortini0912@gmail.com</t>
  </si>
  <si>
    <t>4760</t>
  </si>
  <si>
    <t>1MyysB8o4HcAD4RVXwcx0eNd4HLG2ifi8</t>
  </si>
  <si>
    <t>https://drive.google.com/file/d/1MyysB8o4HcAD4RVXwcx0eNd4HLG2ifi8/view?usp=drivesdk</t>
  </si>
  <si>
    <t>Document successfully created; Document successfully merged; PDF created; !!Error Sending Emails: Service invoked too many times for one day: email.; Manually run by ecertificate75@gmail.com; Timestamp: Sep 2 2024 11:21 PM</t>
  </si>
  <si>
    <t>RUSLII</t>
  </si>
  <si>
    <t>rusliidedek3@gmail.com</t>
  </si>
  <si>
    <t>4761</t>
  </si>
  <si>
    <t>https://drive.google.com/file/d/1QPUsHaUm6IzlO5bLuQUPReqVg2eV_1kB/view?usp=drivesdk</t>
  </si>
  <si>
    <t>1QPUsHaUm6IzlO5bLuQUPReqVg2eV_1kB</t>
  </si>
  <si>
    <t>1SEKn96viR-KV7TwtBD3gQB9qEBbxthNL</t>
  </si>
  <si>
    <t>https://drive.google.com/file/d/1SEKn96viR-KV7TwtBD3gQB9qEBbxthNL/view?usp=drivesdk</t>
  </si>
  <si>
    <t>DIDIK SEPTIYONO, S.E.</t>
  </si>
  <si>
    <t>kefigendis0406@gmail.com</t>
  </si>
  <si>
    <t>4762</t>
  </si>
  <si>
    <t>https://drive.google.com/file/d/1rV7WL7iYa7Mjxfn1e-kR6g9fcpHG6Ny9/view?usp=drivesdk</t>
  </si>
  <si>
    <t>1rV7WL7iYa7Mjxfn1e-kR6g9fcpHG6Ny9</t>
  </si>
  <si>
    <t>11Y2Pfy2iKsVnhtUjJACQfKP1OIFQVUiq</t>
  </si>
  <si>
    <t>https://drive.google.com/file/d/11Y2Pfy2iKsVnhtUjJACQfKP1OIFQVUiq/view?usp=drivesdk</t>
  </si>
  <si>
    <t>SOPYAN</t>
  </si>
  <si>
    <t>sopyan1551969@gmail.com</t>
  </si>
  <si>
    <t>4763</t>
  </si>
  <si>
    <t>https://drive.google.com/file/d/1REfpt1ks78ax55-kEM6bbZZCnwKlMWhh/view?usp=drivesdk</t>
  </si>
  <si>
    <t>1REfpt1ks78ax55-kEM6bbZZCnwKlMWhh</t>
  </si>
  <si>
    <t>12Y6UnSBUz52HodWICgzOqB9cdxqkdS5i</t>
  </si>
  <si>
    <t>https://drive.google.com/file/d/12Y6UnSBUz52HodWICgzOqB9cdxqkdS5i/view?usp=drivesdk</t>
  </si>
  <si>
    <t>DESSY TRI WAHYUNI, A.Md</t>
  </si>
  <si>
    <t>dessywahyuni@gmail.com</t>
  </si>
  <si>
    <t>4764</t>
  </si>
  <si>
    <t>https://drive.google.com/file/d/1Lqz-LkKQflnLBK16nr04qjJOYpNErrzU/view?usp=drivesdk</t>
  </si>
  <si>
    <t>1Lqz-LkKQflnLBK16nr04qjJOYpNErrzU</t>
  </si>
  <si>
    <t>1WZbAGodxAwoxkic2JXd-ckBTnT50xgtj</t>
  </si>
  <si>
    <t>https://drive.google.com/file/d/1WZbAGodxAwoxkic2JXd-ckBTnT50xgtj/view?usp=drivesdk</t>
  </si>
  <si>
    <t>WIDI KUMORO, A.Md.</t>
  </si>
  <si>
    <t>wdkumoro@gmail.com</t>
  </si>
  <si>
    <t>4765</t>
  </si>
  <si>
    <t>https://drive.google.com/file/d/1VIpsXiGMNXxNPc47S32XbRV7rQX7vp4T/view?usp=drivesdk</t>
  </si>
  <si>
    <t>1VIpsXiGMNXxNPc47S32XbRV7rQX7vp4T</t>
  </si>
  <si>
    <t>11BoY32HV2rdwZCoCHJ2CAJlE2ZonV-iN</t>
  </si>
  <si>
    <t>https://drive.google.com/file/d/11BoY32HV2rdwZCoCHJ2CAJlE2ZonV-iN/view?usp=drivesdk</t>
  </si>
  <si>
    <t>Document successfully created; Document successfully merged; PDF created; !!Error Sending Emails: Service invoked too many times for one day: email.; Manually run by ecertificate75@gmail.com; Timestamp: Sep 2 2024 11:22 PM</t>
  </si>
  <si>
    <t>ROBINSON SEMBIRING</t>
  </si>
  <si>
    <t>robinsembiring8@gmail.com</t>
  </si>
  <si>
    <t>4766</t>
  </si>
  <si>
    <t>Starting at Thu Aug 29 2024 21:30:07 GMT-0400 (EDT)</t>
  </si>
  <si>
    <t>1jhPbn5imYHLWzdHEVLRl_L4NMI0ATRZ_</t>
  </si>
  <si>
    <t>https://drive.google.com/file/d/1jhPbn5imYHLWzdHEVLRl_L4NMI0ATRZ_/view?usp=drivesdk</t>
  </si>
  <si>
    <t>HARYO WAHYU WIBOWO, ST</t>
  </si>
  <si>
    <t>stuffrenmin@gmail.com</t>
  </si>
  <si>
    <t>4767</t>
  </si>
  <si>
    <t>1Bo2wbjdHM9hbCKwEJokKMdQhpZBjqyiK</t>
  </si>
  <si>
    <t>https://drive.google.com/file/d/1Bo2wbjdHM9hbCKwEJokKMdQhpZBjqyiK/view?usp=drivesdk</t>
  </si>
  <si>
    <t>Ario Martha Hasibuan, S.T.</t>
  </si>
  <si>
    <t>armth78@gmail.com</t>
  </si>
  <si>
    <t>4768</t>
  </si>
  <si>
    <t>17vxqy1wzAmuxQO9brnkqxvo1LiuL6Iv0</t>
  </si>
  <si>
    <t>https://drive.google.com/file/d/17vxqy1wzAmuxQO9brnkqxvo1LiuL6Iv0/view?usp=drivesdk</t>
  </si>
  <si>
    <t xml:space="preserve">SUHARTINI </t>
  </si>
  <si>
    <t>suhartini080970@gmail.com</t>
  </si>
  <si>
    <t>4769</t>
  </si>
  <si>
    <t>141H_27P5zXxOrLy87qLBW1IzlW-thrQJ</t>
  </si>
  <si>
    <t>https://drive.google.com/file/d/141H_27P5zXxOrLy87qLBW1IzlW-thrQJ/view?usp=drivesdk</t>
  </si>
  <si>
    <t>Document successfully created; Document successfully merged; PDF created; !!Error Sending Emails: Service invoked too many times for one day: email.; Manually run by ecertificate75@gmail.com; Timestamp: Sep 2 2024 11:23 PM</t>
  </si>
  <si>
    <t>LILIN DWI MASTUTIK</t>
  </si>
  <si>
    <t>lilin.naura@gmail.com</t>
  </si>
  <si>
    <t>4770</t>
  </si>
  <si>
    <t>1L4krz5ShC9iQDzhOw9zykDDTpCUptKvw</t>
  </si>
  <si>
    <t>https://drive.google.com/file/d/1L4krz5ShC9iQDzhOw9zykDDTpCUptKvw/view?usp=drivesdk</t>
  </si>
  <si>
    <t>SUGIANTO</t>
  </si>
  <si>
    <t>haaikaal0971@gmail.com</t>
  </si>
  <si>
    <t>4771</t>
  </si>
  <si>
    <t>1ZBN1q0VfQwoMvdN0P5Jv6s6osDwnBkAt</t>
  </si>
  <si>
    <t>https://drive.google.com/file/d/1ZBN1q0VfQwoMvdN0P5Jv6s6osDwnBkAt/view?usp=drivesdk</t>
  </si>
  <si>
    <t>PRIHATIN CATUR FITRIYANI. SKM. MM</t>
  </si>
  <si>
    <t>catur.fitriyani1@gmail.com</t>
  </si>
  <si>
    <t>4772</t>
  </si>
  <si>
    <t>1qt6fofJzrx_ig2qFhNj4zbiUs7MAUJAy</t>
  </si>
  <si>
    <t>https://drive.google.com/file/d/1qt6fofJzrx_ig2qFhNj4zbiUs7MAUJAy/view?usp=drivesdk</t>
  </si>
  <si>
    <t>Document successfully created; Document successfully merged; PDF created; !!Error Sending Emails: Service invoked too many times for one day: email.; Manually run by ecertificate75@gmail.com; Timestamp: Sep 2 2024 11:24 PM</t>
  </si>
  <si>
    <t>KUSRIPAH</t>
  </si>
  <si>
    <t>kusripah81@gmail.com</t>
  </si>
  <si>
    <t>4773</t>
  </si>
  <si>
    <t>1pIsX_RfiqjM8vbcC1euz3KkjaC7MzQAs</t>
  </si>
  <si>
    <t>https://drive.google.com/file/d/1pIsX_RfiqjM8vbcC1euz3KkjaC7MzQAs/view?usp=drivesdk</t>
  </si>
  <si>
    <t>RADEN RORO FRANSISCA NANIK PRASETYAWATI,SE</t>
  </si>
  <si>
    <t>rr.sisca@gmail.com</t>
  </si>
  <si>
    <t>4774</t>
  </si>
  <si>
    <t>https://drive.google.com/file/d/1khaOLjqbe5iOlkEFKn7H7-MNC4KNutTM/view?usp=drivesdk</t>
  </si>
  <si>
    <t>1khaOLjqbe5iOlkEFKn7H7-MNC4KNutTM</t>
  </si>
  <si>
    <t>1WnVAzoQ7z3UHmOn8CQxSg5d8KO1VDE3c</t>
  </si>
  <si>
    <t>https://drive.google.com/file/d/1WnVAzoQ7z3UHmOn8CQxSg5d8KO1VDE3c/view?usp=drivesdk</t>
  </si>
  <si>
    <t>PRAPTI HANDAYANI, A.Md,PK</t>
  </si>
  <si>
    <t>prapti.bhayangkara@gmail.com</t>
  </si>
  <si>
    <t>4775</t>
  </si>
  <si>
    <t>https://drive.google.com/file/d/1twtxEMjbeyG7Hbya7Xj4f4GhE-aM-7As/view?usp=drivesdk</t>
  </si>
  <si>
    <t>1twtxEMjbeyG7Hbya7Xj4f4GhE-aM-7As</t>
  </si>
  <si>
    <t>1tQdm7PMlAUMOdJ5HhsthnBZSaYP-i6Dw</t>
  </si>
  <si>
    <t>https://drive.google.com/file/d/1tQdm7PMlAUMOdJ5HhsthnBZSaYP-i6Dw/view?usp=drivesdk</t>
  </si>
  <si>
    <t>INDRI NINGTYAS UTAMI</t>
  </si>
  <si>
    <t>indriningtyas82@gmail.com</t>
  </si>
  <si>
    <t>4776</t>
  </si>
  <si>
    <t>https://drive.google.com/file/d/1EX5XFyUmHYqcRaN54XrV33IvJ6Rtbu64/view?usp=drivesdk</t>
  </si>
  <si>
    <t>1EX5XFyUmHYqcRaN54XrV33IvJ6Rtbu64</t>
  </si>
  <si>
    <t>1WLJDoEmgWbhpGeAzmq5uV4wPmZisBys2</t>
  </si>
  <si>
    <t>https://drive.google.com/file/d/1WLJDoEmgWbhpGeAzmq5uV4wPmZisBys2/view?usp=drivesdk</t>
  </si>
  <si>
    <t>SUYONO</t>
  </si>
  <si>
    <t>suyono05081972@gmail.com</t>
  </si>
  <si>
    <t>4777</t>
  </si>
  <si>
    <t>Starting at Thu Aug 29 2024 21:30:12 GMT-0400 (EDT)</t>
  </si>
  <si>
    <t>1SuZ8G3qy0HOeI0oHu0DYYvPLXXvL8Sqo</t>
  </si>
  <si>
    <t>https://drive.google.com/file/d/1SuZ8G3qy0HOeI0oHu0DYYvPLXXvL8Sqo/view?usp=drivesdk</t>
  </si>
  <si>
    <t>Document successfully created; Document successfully merged; PDF created; !!Error Sending Emails: Service invoked too many times for one day: email.; Manually run by ecertificate75@gmail.com; Timestamp: Sep 2 2024 11:25 PM</t>
  </si>
  <si>
    <t>SUDJOLO</t>
  </si>
  <si>
    <t>pogalansudkoko@aol.com</t>
  </si>
  <si>
    <t>4778</t>
  </si>
  <si>
    <t>Starting at Thu Aug 29 2024 21:30:15 GMT-0400 (EDT)</t>
  </si>
  <si>
    <t>1-BZ1bY4Lu7vjv5Tgv4js8mbkG8byFpzF</t>
  </si>
  <si>
    <t>https://drive.google.com/file/d/1-BZ1bY4Lu7vjv5Tgv4js8mbkG8byFpzF/view?usp=drivesdk</t>
  </si>
  <si>
    <t>SUBAHAN</t>
  </si>
  <si>
    <t>arbainah1680@gmail.com</t>
  </si>
  <si>
    <t>4779</t>
  </si>
  <si>
    <t>1qasFmSpgXTBOMwg0BGJ_AnGWUJiYsOjx</t>
  </si>
  <si>
    <t>https://drive.google.com/file/d/1qasFmSpgXTBOMwg0BGJ_AnGWUJiYsOjx/view?usp=drivesdk</t>
  </si>
  <si>
    <t>KRISNOADI</t>
  </si>
  <si>
    <t>krisnoadi68@gmail.com</t>
  </si>
  <si>
    <t>4780</t>
  </si>
  <si>
    <t>1AgWYlN7y3tfpz2VeTaXanTQ9SDq8iDYr</t>
  </si>
  <si>
    <t>https://drive.google.com/file/d/1AgWYlN7y3tfpz2VeTaXanTQ9SDq8iDYr/view?usp=drivesdk</t>
  </si>
  <si>
    <t>SUNARIYO</t>
  </si>
  <si>
    <t>sunariyo46@gmail.com</t>
  </si>
  <si>
    <t>4781</t>
  </si>
  <si>
    <t>11DrSj9RUNZBnq9OV-gBlNZg6JBkXD9XH</t>
  </si>
  <si>
    <t>https://drive.google.com/file/d/11DrSj9RUNZBnq9OV-gBlNZg6JBkXD9XH/view?usp=drivesdk</t>
  </si>
  <si>
    <t>Document successfully created; Document successfully merged; PDF created; !!Error Sending Emails: Service invoked too many times for one day: email.; Manually run by ecertificate75@gmail.com; Timestamp: Sep 2 2024 11:26 PM</t>
  </si>
  <si>
    <t>ANIK RAHAYU SE</t>
  </si>
  <si>
    <t>anikrh1372@gmail.com</t>
  </si>
  <si>
    <t>4782</t>
  </si>
  <si>
    <t>1gRvritWSVCHshm6hvZYs3207jiDekj-9</t>
  </si>
  <si>
    <t>https://drive.google.com/file/d/1gRvritWSVCHshm6hvZYs3207jiDekj-9/view?usp=drivesdk</t>
  </si>
  <si>
    <t xml:space="preserve">NOVI NURCAHYANTI </t>
  </si>
  <si>
    <t>novinurcah@gmail.com</t>
  </si>
  <si>
    <t>4783</t>
  </si>
  <si>
    <t>168nUi-Ga6gNpC2vR-ubHZT7xQC0p6oK6</t>
  </si>
  <si>
    <t>https://drive.google.com/file/d/168nUi-Ga6gNpC2vR-ubHZT7xQC0p6oK6/view?usp=drivesdk</t>
  </si>
  <si>
    <t>MUHAMMAD KHAIDIR LUBIS</t>
  </si>
  <si>
    <t>khaidirlubis70@gmail.com</t>
  </si>
  <si>
    <t>4784</t>
  </si>
  <si>
    <t>1YfOZiSLfPqPKlFcyY2d6-DFORMzueiwU</t>
  </si>
  <si>
    <t>https://drive.google.com/file/d/1YfOZiSLfPqPKlFcyY2d6-DFORMzueiwU/view?usp=drivesdk</t>
  </si>
  <si>
    <t xml:space="preserve">DEWI SRI MULYANI, S. E. </t>
  </si>
  <si>
    <t>nailahaura28@gmail.com</t>
  </si>
  <si>
    <t>4785</t>
  </si>
  <si>
    <t>1mWmbpSQDshz-LeXjZ2QJHKxRcQJHO5Pq</t>
  </si>
  <si>
    <t>https://drive.google.com/file/d/1mWmbpSQDshz-LeXjZ2QJHKxRcQJHO5Pq/view?usp=drivesdk</t>
  </si>
  <si>
    <t>IRAWATI,S.Kep</t>
  </si>
  <si>
    <t>irawati.lauradimas@gmail.com</t>
  </si>
  <si>
    <t>4786</t>
  </si>
  <si>
    <t>https://drive.google.com/file/d/1dyVCKL9wQl66CuMiBa7anC7zkY_8aymG/view?usp=drivesdk</t>
  </si>
  <si>
    <t>1dyVCKL9wQl66CuMiBa7anC7zkY_8aymG</t>
  </si>
  <si>
    <t>14CfyR2hJc3-Lqyad2FXv_gutK_bV0l0f</t>
  </si>
  <si>
    <t>https://drive.google.com/file/d/14CfyR2hJc3-Lqyad2FXv_gutK_bV0l0f/view?usp=drivesdk</t>
  </si>
  <si>
    <t>NANANG EKO SUHARDI</t>
  </si>
  <si>
    <t>ekos8677@gmail.com</t>
  </si>
  <si>
    <t>4787</t>
  </si>
  <si>
    <t>Starting at Thu Aug 29 2024 21:30:19 GMT-0400 (EDT)</t>
  </si>
  <si>
    <t>1hZ7boUREHNdP0oYXeYokjYnkvtN1D5cD</t>
  </si>
  <si>
    <t>https://drive.google.com/file/d/1hZ7boUREHNdP0oYXeYokjYnkvtN1D5cD/view?usp=drivesdk</t>
  </si>
  <si>
    <t>Document successfully created; Document successfully merged; PDF created; !!Error Sending Emails: Service invoked too many times for one day: email.; Manually run by ecertificate75@gmail.com; Timestamp: Sep 2 2024 11:27 PM</t>
  </si>
  <si>
    <t>MOCHAMMAD FUADZ UZYAIR</t>
  </si>
  <si>
    <t>fuadz.koyer@gmail.com</t>
  </si>
  <si>
    <t>4788</t>
  </si>
  <si>
    <t>1Nb_iICKJNGbRrUujG8RDeRxzmmnoIY8p</t>
  </si>
  <si>
    <t>https://drive.google.com/file/d/1Nb_iICKJNGbRrUujG8RDeRxzmmnoIY8p/view?usp=drivesdk</t>
  </si>
  <si>
    <t>TRI MURTI</t>
  </si>
  <si>
    <t>hanyaja69@gmail.com</t>
  </si>
  <si>
    <t>4789</t>
  </si>
  <si>
    <t>153GlSs65DSwFjLHNLycpJeS5GEfSa-RE</t>
  </si>
  <si>
    <t>https://drive.google.com/file/d/153GlSs65DSwFjLHNLycpJeS5GEfSa-RE/view?usp=drivesdk</t>
  </si>
  <si>
    <t>SUHERNI</t>
  </si>
  <si>
    <t>suherninur2@gmail.com</t>
  </si>
  <si>
    <t>4790</t>
  </si>
  <si>
    <t>Starting at Thu Aug 29 2024 21:30:25 GMT-0400 (EDT)</t>
  </si>
  <si>
    <t>12TF78Ay9_9bosPQ2y9HHImqaqIRPW7df</t>
  </si>
  <si>
    <t>https://drive.google.com/file/d/12TF78Ay9_9bosPQ2y9HHImqaqIRPW7df/view?usp=drivesdk</t>
  </si>
  <si>
    <t>KRISWAHYONO</t>
  </si>
  <si>
    <t>krisna0881@gmail.com</t>
  </si>
  <si>
    <t>4791</t>
  </si>
  <si>
    <t>12IJC-Kl_ya16Xw5inxeKFKUEv_MCUZcW</t>
  </si>
  <si>
    <t>https://drive.google.com/file/d/12IJC-Kl_ya16Xw5inxeKFKUEv_MCUZcW/view?usp=drivesdk</t>
  </si>
  <si>
    <t>Document successfully created; Document successfully merged; PDF created; !!Error Sending Emails: Service invoked too many times for one day: email.; Manually run by ecertificate75@gmail.com; Timestamp: Sep 2 2024 11:28 PM</t>
  </si>
  <si>
    <t xml:space="preserve">YONNY ARIYANTO </t>
  </si>
  <si>
    <t>yon.arianto74@gmail.com</t>
  </si>
  <si>
    <t>4792</t>
  </si>
  <si>
    <t>1CM5o0Gt00UKEh6mhjZ9-8_LpfFwqW6SL</t>
  </si>
  <si>
    <t>https://drive.google.com/file/d/1CM5o0Gt00UKEh6mhjZ9-8_LpfFwqW6SL/view?usp=drivesdk</t>
  </si>
  <si>
    <t>TUTI AWALIYAH</t>
  </si>
  <si>
    <t>awaliyah447@gmail.com</t>
  </si>
  <si>
    <t>4793</t>
  </si>
  <si>
    <t>1oM0sxX-ha0GqdF7YWhyyv5H087FNf2L3</t>
  </si>
  <si>
    <t>https://drive.google.com/file/d/1oM0sxX-ha0GqdF7YWhyyv5H087FNf2L3/view?usp=drivesdk</t>
  </si>
  <si>
    <t>AGUNG ADRIANA FIRDAUS, A.Md.Kep.</t>
  </si>
  <si>
    <t>agungadriana06@gmail.com</t>
  </si>
  <si>
    <t>4794</t>
  </si>
  <si>
    <t>1siAb7KLpNY-0d9jaHYawoufQx6AswtuE</t>
  </si>
  <si>
    <t>https://drive.google.com/file/d/1siAb7KLpNY-0d9jaHYawoufQx6AswtuE/view?usp=drivesdk</t>
  </si>
  <si>
    <t>Document successfully created; Document successfully merged; PDF created; !!Error Sending Emails: Service invoked too many times for one day: email.; Manually run by ecertificate75@gmail.com; Timestamp: Sep 2 2024 11:29 PM</t>
  </si>
  <si>
    <t>ernawatierna631@gmail.com</t>
  </si>
  <si>
    <t>4795</t>
  </si>
  <si>
    <t>1CTZqsTyf-oU84_kvzvLjun7DEa3a-37I</t>
  </si>
  <si>
    <t>https://drive.google.com/file/d/1CTZqsTyf-oU84_kvzvLjun7DEa3a-37I/view?usp=drivesdk</t>
  </si>
  <si>
    <t>DWIKA YUHANA INDRAWATI, Amd.Keb, S.M</t>
  </si>
  <si>
    <t>dwikayuhana@gmail.com</t>
  </si>
  <si>
    <t>4796</t>
  </si>
  <si>
    <t>1ht8OSnaQd7aYax8j-tJFK0_azkcBf6GD</t>
  </si>
  <si>
    <t>https://drive.google.com/file/d/1ht8OSnaQd7aYax8j-tJFK0_azkcBf6GD/view?usp=drivesdk</t>
  </si>
  <si>
    <t>ARMARIYA ROSANA</t>
  </si>
  <si>
    <t>armariyarosana@gmail.com</t>
  </si>
  <si>
    <t>4797</t>
  </si>
  <si>
    <t>1aAIox8yt7otXYvvked3PiB55_aIxBQlV</t>
  </si>
  <si>
    <t>https://drive.google.com/file/d/1aAIox8yt7otXYvvked3PiB55_aIxBQlV/view?usp=drivesdk</t>
  </si>
  <si>
    <t>NADHEA YULI SURYANTARI, A.MD.KOM</t>
  </si>
  <si>
    <t>nadheayuli99@gmail.com</t>
  </si>
  <si>
    <t>4798</t>
  </si>
  <si>
    <t>1gXtjiKWysgSOxS1sVeOU5kPI5y1IcsOV</t>
  </si>
  <si>
    <t>https://drive.google.com/file/d/1gXtjiKWysgSOxS1sVeOU5kPI5y1IcsOV/view?usp=drivesdk</t>
  </si>
  <si>
    <t>Document successfully created; Document successfully merged; PDF created; !!Error Sending Emails: Service invoked too many times for one day: email.; Manually run by ecertificate75@gmail.com; Timestamp: Sep 2 2024 11:30 PM</t>
  </si>
  <si>
    <t>YURNALIS, S.E., M.E.</t>
  </si>
  <si>
    <t>yurnalistias78@gmail.com</t>
  </si>
  <si>
    <t>4799</t>
  </si>
  <si>
    <t>1QjZhW9pP4ep9W38yP5GP3goLB9MraaTX</t>
  </si>
  <si>
    <t>https://drive.google.com/file/d/1QjZhW9pP4ep9W38yP5GP3goLB9MraaTX/view?usp=drivesdk</t>
  </si>
  <si>
    <t>mulmyt@gmail.com</t>
  </si>
  <si>
    <t>4800</t>
  </si>
  <si>
    <t>1Snxmh8BayedFa137JK_oTcTHTsTyzLy2</t>
  </si>
  <si>
    <t>https://drive.google.com/file/d/1Snxmh8BayedFa137JK_oTcTHTsTyzLy2/view?usp=drivesdk</t>
  </si>
  <si>
    <t>IDRIS A DANGKUA</t>
  </si>
  <si>
    <t>doblangpaman590@gmail.com</t>
  </si>
  <si>
    <t>4801</t>
  </si>
  <si>
    <t>1vjhy9oDfxivvepkIvHFNL7Afhsi1gqx8</t>
  </si>
  <si>
    <t>https://drive.google.com/file/d/1vjhy9oDfxivvepkIvHFNL7Afhsi1gqx8/view?usp=drivesdk</t>
  </si>
  <si>
    <t>PRAMA SHINTA KIKIM LITUNESIA, AMK</t>
  </si>
  <si>
    <t>litunesia@gmail.com</t>
  </si>
  <si>
    <t>4802</t>
  </si>
  <si>
    <t>15k7_5kpTRLK_vel9sm77z63DdxhdssXP</t>
  </si>
  <si>
    <t>https://drive.google.com/file/d/15k7_5kpTRLK_vel9sm77z63DdxhdssXP/view?usp=drivesdk</t>
  </si>
  <si>
    <t>DEMI ZULIANA</t>
  </si>
  <si>
    <t>demizuliana6@gmail.com</t>
  </si>
  <si>
    <t>4803</t>
  </si>
  <si>
    <t>1760XGPCPVjm1RTzWVzNXHSPvSe6xwelQ</t>
  </si>
  <si>
    <t>https://drive.google.com/file/d/1760XGPCPVjm1RTzWVzNXHSPvSe6xwelQ/view?usp=drivesdk</t>
  </si>
  <si>
    <t>Document successfully created; Document successfully merged; PDF created; !!Error Sending Emails: Service invoked too many times for one day: email.; Manually run by ecertificate75@gmail.com; Timestamp: Sep 2 2024 11:31 PM</t>
  </si>
  <si>
    <t>Talbiah umroh Amd.Rad</t>
  </si>
  <si>
    <t>talbiahumroh@gmail.com</t>
  </si>
  <si>
    <t>4804</t>
  </si>
  <si>
    <t>1O_FgiAaR6IhpTNUiShj1GDGI0kND_FGQ</t>
  </si>
  <si>
    <t>https://drive.google.com/file/d/1O_FgiAaR6IhpTNUiShj1GDGI0kND_FGQ/view?usp=drivesdk</t>
  </si>
  <si>
    <t>SUBAIDAH, S.K.M.,M.H</t>
  </si>
  <si>
    <t>subaidah0980@gmail.com</t>
  </si>
  <si>
    <t>4805</t>
  </si>
  <si>
    <t>1lm35nHyd-Hwh_BvtrRvtawA6NoN9YKjp</t>
  </si>
  <si>
    <t>https://drive.google.com/file/d/1lm35nHyd-Hwh_BvtrRvtawA6NoN9YKjp/view?usp=drivesdk</t>
  </si>
  <si>
    <t>MINAR SINAGA</t>
  </si>
  <si>
    <t>minarlidianaace8@gmail.com</t>
  </si>
  <si>
    <t>4806</t>
  </si>
  <si>
    <t>1NJtMWNVzdtFwBnNxYk-EU10ZjTzcWpcX</t>
  </si>
  <si>
    <t>https://drive.google.com/file/d/1NJtMWNVzdtFwBnNxYk-EU10ZjTzcWpcX/view?usp=drivesdk</t>
  </si>
  <si>
    <t>PENDA ERNI</t>
  </si>
  <si>
    <t>erni.krimum@gmail.com</t>
  </si>
  <si>
    <t>4807</t>
  </si>
  <si>
    <t>1QZWJ4_wfKfg6ng5MI8JzQElEtSt00hTO</t>
  </si>
  <si>
    <t>https://drive.google.com/file/d/1QZWJ4_wfKfg6ng5MI8JzQElEtSt00hTO/view?usp=drivesdk</t>
  </si>
  <si>
    <t>SEPTIAN MATIUS, A.MD.KEP</t>
  </si>
  <si>
    <t>tyan16etihad@gmail.com</t>
  </si>
  <si>
    <t>4808</t>
  </si>
  <si>
    <t>13qWl1EIWRcDMCVPkXqwKGgL-7dMBdmAD</t>
  </si>
  <si>
    <t>https://drive.google.com/file/d/13qWl1EIWRcDMCVPkXqwKGgL-7dMBdmAD/view?usp=drivesdk</t>
  </si>
  <si>
    <t>Document successfully created; Document successfully merged; PDF created; !!Error Sending Emails: Service invoked too many times for one day: email.; Manually run by ecertificate75@gmail.com; Timestamp: Sep 2 2024 11:32 PM</t>
  </si>
  <si>
    <t xml:space="preserve">Dwi Rahayu Wahyuni </t>
  </si>
  <si>
    <t>rahayu.dwiwahyuni@gmail.com</t>
  </si>
  <si>
    <t>4809</t>
  </si>
  <si>
    <t>1QQKgJYoNLL-OYTPSyCBJXpuR56fTl0XV</t>
  </si>
  <si>
    <t>https://drive.google.com/file/d/1QQKgJYoNLL-OYTPSyCBJXpuR56fTl0XV/view?usp=drivesdk</t>
  </si>
  <si>
    <t xml:space="preserve">YAYAT HIDAYAT RAHMAT </t>
  </si>
  <si>
    <t>n3hida@gmail.com</t>
  </si>
  <si>
    <t>4810</t>
  </si>
  <si>
    <t>1c8x2E8qGiEcLBNYk23PWnG2upG96aqKE</t>
  </si>
  <si>
    <t>https://drive.google.com/file/d/1c8x2E8qGiEcLBNYk23PWnG2upG96aqKE/view?usp=drivesdk</t>
  </si>
  <si>
    <t xml:space="preserve">NOVIA VALUPI SUSANTI </t>
  </si>
  <si>
    <t>nvalupi@gmail.com</t>
  </si>
  <si>
    <t>4811</t>
  </si>
  <si>
    <t>1oDWe_gULRiq0LNVf-h5lWfcb1L1MhSqj</t>
  </si>
  <si>
    <t>https://drive.google.com/file/d/1oDWe_gULRiq0LNVf-h5lWfcb1L1MhSqj/view?usp=drivesdk</t>
  </si>
  <si>
    <t>AVIV ACHMAD ROZAQ</t>
  </si>
  <si>
    <t>4812</t>
  </si>
  <si>
    <t>1805FbzvEb8g4lw9bQnMI4FtTnxGafTUB</t>
  </si>
  <si>
    <t>https://drive.google.com/file/d/1805FbzvEb8g4lw9bQnMI4FtTnxGafTUB/view?usp=drivesdk</t>
  </si>
  <si>
    <t>DWI SELVIANY, SKM</t>
  </si>
  <si>
    <t>dwi.selviany80@gmail.com</t>
  </si>
  <si>
    <t>4813</t>
  </si>
  <si>
    <t>Starting at Thu Aug 29 2024 21:30:31 GMT-0400 (EDT)</t>
  </si>
  <si>
    <t>1EZb02hye0sY3RugK4sP7UTuUJrC0xWEL</t>
  </si>
  <si>
    <t>https://drive.google.com/file/d/1EZb02hye0sY3RugK4sP7UTuUJrC0xWEL/view?usp=drivesdk</t>
  </si>
  <si>
    <t>Document successfully created; Document successfully merged; PDF created; !!Error Sending Emails: Service invoked too many times for one day: email.; Manually run by ecertificate75@gmail.com; Timestamp: Sep 2 2024 11:33 PM</t>
  </si>
  <si>
    <t>IIN INDRAYANI</t>
  </si>
  <si>
    <t>iinindrayani80@gmail.com</t>
  </si>
  <si>
    <t>4814</t>
  </si>
  <si>
    <t>1i0mLZegIlcYFyUrx0qSaa_1FRu6pWFrs</t>
  </si>
  <si>
    <t>https://drive.google.com/file/d/1i0mLZegIlcYFyUrx0qSaa_1FRu6pWFrs/view?usp=drivesdk</t>
  </si>
  <si>
    <t>JOKO SASMITO</t>
  </si>
  <si>
    <t>jokosasmito75@gmail.con</t>
  </si>
  <si>
    <t>4815</t>
  </si>
  <si>
    <t>11kJ0hw4686PIB9IPtwsq6IospXyC2u1V</t>
  </si>
  <si>
    <t>https://drive.google.com/file/d/11kJ0hw4686PIB9IPtwsq6IospXyC2u1V/view?usp=drivesdk</t>
  </si>
  <si>
    <t>HAFID ISTOLAH</t>
  </si>
  <si>
    <t>hafidisto@gmail.com</t>
  </si>
  <si>
    <t>4816</t>
  </si>
  <si>
    <t>1leT7ITpgLrmdFsGtfG1x_VbdBIJsSDfl</t>
  </si>
  <si>
    <t>https://drive.google.com/file/d/1leT7ITpgLrmdFsGtfG1x_VbdBIJsSDfl/view?usp=drivesdk</t>
  </si>
  <si>
    <t>NURHANJAS TRI WAHYUNI, S.H.</t>
  </si>
  <si>
    <t>nurhanjas@gmail.com</t>
  </si>
  <si>
    <t>4817</t>
  </si>
  <si>
    <t>1yIqeWMR5dKQ1Cvzh50V0wWbBN4gI9S4N</t>
  </si>
  <si>
    <t>https://drive.google.com/file/d/1yIqeWMR5dKQ1Cvzh50V0wWbBN4gI9S4N/view?usp=drivesdk</t>
  </si>
  <si>
    <t>Bahrudin, AmdKep</t>
  </si>
  <si>
    <t>gusbahrudin01@gmail.com</t>
  </si>
  <si>
    <t>4818</t>
  </si>
  <si>
    <t>15scY8qPQzsGZgHuDtjK1b-FPtxS4eSBs</t>
  </si>
  <si>
    <t>https://drive.google.com/file/d/15scY8qPQzsGZgHuDtjK1b-FPtxS4eSBs/view?usp=drivesdk</t>
  </si>
  <si>
    <t>Document successfully created; Document successfully merged; PDF created; !!Error Sending Emails: Service invoked too many times for one day: email.; Manually run by ecertificate75@gmail.com; Timestamp: Sep 2 2024 11:34 PM</t>
  </si>
  <si>
    <t>DWI YEDI SUPRIATNO</t>
  </si>
  <si>
    <t>dwiyedi540@gmail.com</t>
  </si>
  <si>
    <t>4819</t>
  </si>
  <si>
    <t>1OLUCJaLyuJUHB-Lm0memLsTOq3STD_Bv</t>
  </si>
  <si>
    <t>https://drive.google.com/file/d/1OLUCJaLyuJUHB-Lm0memLsTOq3STD_Bv/view?usp=drivesdk</t>
  </si>
  <si>
    <t>SITI NOOR HIDAYATI, S.E.</t>
  </si>
  <si>
    <t>ansharieda@gmail.com</t>
  </si>
  <si>
    <t>4820</t>
  </si>
  <si>
    <t>1dvU0ZSk9DRXE7bnNiu83OlFuDz9xQuQn</t>
  </si>
  <si>
    <t>https://drive.google.com/file/d/1dvU0ZSk9DRXE7bnNiu83OlFuDz9xQuQn/view?usp=drivesdk</t>
  </si>
  <si>
    <t>YOCKIE NURAFNI</t>
  </si>
  <si>
    <t>yockienur435@gmail.com</t>
  </si>
  <si>
    <t>4821</t>
  </si>
  <si>
    <t>Starting at Thu Aug 29 2024 21:30:37 GMT-0400 (EDT)</t>
  </si>
  <si>
    <t>1R38z4Dfci2LsZuwdM3zmk9773eSsqpyG</t>
  </si>
  <si>
    <t>https://drive.google.com/file/d/1R38z4Dfci2LsZuwdM3zmk9773eSsqpyG/view?usp=drivesdk</t>
  </si>
  <si>
    <t>Document successfully created; Document successfully merged; PDF created; !!Error Sending Emails: Service invoked too many times for one day: email.; Manually run by ecertificate75@gmail.com; Timestamp: Sep 2 2024 11:35 PM</t>
  </si>
  <si>
    <t>SUWARTO,S.KOM</t>
  </si>
  <si>
    <t>suwarto0610@gmail.com</t>
  </si>
  <si>
    <t>4822</t>
  </si>
  <si>
    <t>1YenHhmZWk-haAcK499VyXUEw5RIABveO</t>
  </si>
  <si>
    <t>https://drive.google.com/file/d/1YenHhmZWk-haAcK499VyXUEw5RIABveO/view?usp=drivesdk</t>
  </si>
  <si>
    <t>FELNY IGIRISA,S.SI</t>
  </si>
  <si>
    <t>felnyigirisa84@gmail.com</t>
  </si>
  <si>
    <t>4823</t>
  </si>
  <si>
    <t>1GHRpCqWNloIqwUsSoWaj37BoIc_FJWJq</t>
  </si>
  <si>
    <t>https://drive.google.com/file/d/1GHRpCqWNloIqwUsSoWaj37BoIc_FJWJq/view?usp=drivesdk</t>
  </si>
  <si>
    <t>I GEDE WINANTARA, S.E.</t>
  </si>
  <si>
    <t>igedewinantara1985@gmail.com</t>
  </si>
  <si>
    <t>4824</t>
  </si>
  <si>
    <t>14RC4bibYb6FF-4hUBdCwdGQOZf7drj3l</t>
  </si>
  <si>
    <t>https://drive.google.com/file/d/14RC4bibYb6FF-4hUBdCwdGQOZf7drj3l/view?usp=drivesdk</t>
  </si>
  <si>
    <t>LUKAS EDWIN YUNIARKA</t>
  </si>
  <si>
    <t>yuniarka2678@gmail.com</t>
  </si>
  <si>
    <t>4825</t>
  </si>
  <si>
    <t>1q-p0_khPL9Ivq-h7qeQY4zON1oR8d6vG</t>
  </si>
  <si>
    <t>https://drive.google.com/file/d/1q-p0_khPL9Ivq-h7qeQY4zON1oR8d6vG/view?usp=drivesdk</t>
  </si>
  <si>
    <t>YUNIARTO</t>
  </si>
  <si>
    <t>yunsepri@gmail.com</t>
  </si>
  <si>
    <t>4826</t>
  </si>
  <si>
    <t>1uPSgKxFu7mQp7xoaKQdwYzMLOpg7xZ2e</t>
  </si>
  <si>
    <t>https://drive.google.com/file/d/1uPSgKxFu7mQp7xoaKQdwYzMLOpg7xZ2e/view?usp=drivesdk</t>
  </si>
  <si>
    <t>Document successfully created; Document successfully merged; PDF created; !!Error Sending Emails: Service invoked too many times for one day: email.; Manually run by ecertificate75@gmail.com; Timestamp: Sep 2 2024 11:36 PM</t>
  </si>
  <si>
    <t xml:space="preserve">JUDA KUSUMAWATI </t>
  </si>
  <si>
    <t>kusuma.juda@gmail.com</t>
  </si>
  <si>
    <t>4827</t>
  </si>
  <si>
    <t>1XuOuk-MfyzaHOgbealp-C_hcyHZ0OT3j</t>
  </si>
  <si>
    <t>https://drive.google.com/file/d/1XuOuk-MfyzaHOgbealp-C_hcyHZ0OT3j/view?usp=drivesdk</t>
  </si>
  <si>
    <t>SRI ASTUTI</t>
  </si>
  <si>
    <t>sriastus@gmail.com</t>
  </si>
  <si>
    <t>4828</t>
  </si>
  <si>
    <t>13zV07MxscWC0QCWtxcBnKm33uSPSz9RY</t>
  </si>
  <si>
    <t>https://drive.google.com/file/d/13zV07MxscWC0QCWtxcBnKm33uSPSz9RY/view?usp=drivesdk</t>
  </si>
  <si>
    <t>SUKADI</t>
  </si>
  <si>
    <t>kadi86067@gmail.com</t>
  </si>
  <si>
    <t>4829</t>
  </si>
  <si>
    <t>1weApEhVzWPHy7-FLxa0Pm8KhFgjxlrvv</t>
  </si>
  <si>
    <t>https://drive.google.com/file/d/1weApEhVzWPHy7-FLxa0Pm8KhFgjxlrvv/view?usp=drivesdk</t>
  </si>
  <si>
    <t xml:space="preserve">LINDA WIJI ASTUTI </t>
  </si>
  <si>
    <t>linda.wijiastuti7@gmail.com</t>
  </si>
  <si>
    <t>4830</t>
  </si>
  <si>
    <t>1rt1GA-8rNiivfowZSwLt4NhVLi3RNt5s</t>
  </si>
  <si>
    <t>https://drive.google.com/file/d/1rt1GA-8rNiivfowZSwLt4NhVLi3RNt5s/view?usp=drivesdk</t>
  </si>
  <si>
    <t xml:space="preserve">Akhmad MA'MUN </t>
  </si>
  <si>
    <t>mamunahmad0402@gmail.com</t>
  </si>
  <si>
    <t>4831</t>
  </si>
  <si>
    <t>1o15loQGiGrcYlqH1Zk3GDM8Ow6MLW10M</t>
  </si>
  <si>
    <t>https://drive.google.com/file/d/1o15loQGiGrcYlqH1Zk3GDM8Ow6MLW10M/view?usp=drivesdk</t>
  </si>
  <si>
    <t xml:space="preserve">PARNINGOTAN TAMPUBOLON </t>
  </si>
  <si>
    <t>parningotan2011@gmail.com</t>
  </si>
  <si>
    <t>4832</t>
  </si>
  <si>
    <t>1f032CRU8dYi-JdNbAlE4hkEo2XU76dlO</t>
  </si>
  <si>
    <t>https://drive.google.com/file/d/1f032CRU8dYi-JdNbAlE4hkEo2XU76dlO/view?usp=drivesdk</t>
  </si>
  <si>
    <t>Document successfully created; Document successfully merged; PDF created; !!Error Sending Emails: Service invoked too many times for one day: email.; Manually run by ecertificate75@gmail.com; Timestamp: Sep 2 2024 11:37 PM</t>
  </si>
  <si>
    <t>ANI WAHYUNI, S.IP</t>
  </si>
  <si>
    <t>ayuani.wahyuni@gmail.com</t>
  </si>
  <si>
    <t>4833</t>
  </si>
  <si>
    <t>1iBokcoicP_I49mizWelJQBzen1WXCZ-7</t>
  </si>
  <si>
    <t>https://drive.google.com/file/d/1iBokcoicP_I49mizWelJQBzen1WXCZ-7/view?usp=drivesdk</t>
  </si>
  <si>
    <t>WIWIN ACHMAWANTI, S.H.</t>
  </si>
  <si>
    <t>wiwinachmawanti@gmail.com</t>
  </si>
  <si>
    <t>4834</t>
  </si>
  <si>
    <t>1MGQ3nmne1UGPKTFh-SPdCuKaPQccPdvN</t>
  </si>
  <si>
    <t>https://drive.google.com/file/d/1MGQ3nmne1UGPKTFh-SPdCuKaPQccPdvN/view?usp=drivesdk</t>
  </si>
  <si>
    <t>CHRISTIANA SETYANINGRUM</t>
  </si>
  <si>
    <t>Christianasetyaningrum1@gmail.com</t>
  </si>
  <si>
    <t>4835</t>
  </si>
  <si>
    <t>15GuqTf_uXkEDe1sWns-tqGDzrtY54S71</t>
  </si>
  <si>
    <t>https://drive.google.com/file/d/15GuqTf_uXkEDe1sWns-tqGDzrtY54S71/view?usp=drivesdk</t>
  </si>
  <si>
    <t>SPARNO</t>
  </si>
  <si>
    <t>parnoindarti@gmail.com</t>
  </si>
  <si>
    <t>4836</t>
  </si>
  <si>
    <t>1QBXZUHD_-TlY_H_jTSyqBFr4JyVNx01J</t>
  </si>
  <si>
    <t>https://drive.google.com/file/d/1QBXZUHD_-TlY_H_jTSyqBFr4JyVNx01J/view?usp=drivesdk</t>
  </si>
  <si>
    <t>LENNI DEBORA HUTAHAEAN</t>
  </si>
  <si>
    <t>lenihutahaean5@gmail.com</t>
  </si>
  <si>
    <t>4837</t>
  </si>
  <si>
    <t>1j7_lbVSC0xMnBy2t5CQW0leYAUbW1IUg</t>
  </si>
  <si>
    <t>https://drive.google.com/file/d/1j7_lbVSC0xMnBy2t5CQW0leYAUbW1IUg/view?usp=drivesdk</t>
  </si>
  <si>
    <t>Document successfully created; Document successfully merged; PDF created; !!Error Sending Emails: Service invoked too many times for one day: email.; Manually run by ecertificate75@gmail.com; Timestamp: Sep 2 2024 11:38 PM</t>
  </si>
  <si>
    <t>FITRI LESTARI BUDIARTI</t>
  </si>
  <si>
    <t>Fitrifirda79@gmail.com</t>
  </si>
  <si>
    <t>4838</t>
  </si>
  <si>
    <t>1TLWy2gUZdZTuklJAJsM9NMSFQFRiuZcW</t>
  </si>
  <si>
    <t>https://drive.google.com/file/d/1TLWy2gUZdZTuklJAJsM9NMSFQFRiuZcW/view?usp=drivesdk</t>
  </si>
  <si>
    <t xml:space="preserve">WARMAH YULIANTI </t>
  </si>
  <si>
    <t>ywarmah@gmail.com</t>
  </si>
  <si>
    <t>4839</t>
  </si>
  <si>
    <t>1syccduZsLcxhSMVBAfy7RkEy4wpySvFT</t>
  </si>
  <si>
    <t>https://drive.google.com/file/d/1syccduZsLcxhSMVBAfy7RkEy4wpySvFT/view?usp=drivesdk</t>
  </si>
  <si>
    <t>FITHRA M. DJAENUR, A. MD. KG</t>
  </si>
  <si>
    <t>zuashidqia2016@gmail.com</t>
  </si>
  <si>
    <t>4840</t>
  </si>
  <si>
    <t>1uIWMUD3xVaAoY7jKmmLy_0ArsHIbM_pw</t>
  </si>
  <si>
    <t>https://drive.google.com/file/d/1uIWMUD3xVaAoY7jKmmLy_0ArsHIbM_pw/view?usp=drivesdk</t>
  </si>
  <si>
    <t>TEGUH IMANTOKO,AMK</t>
  </si>
  <si>
    <t>dvi_teguh@yahoo.com</t>
  </si>
  <si>
    <t>4841</t>
  </si>
  <si>
    <t>1IU-BCyoUyOtdDyNQGbUp0B0borCGPoL1</t>
  </si>
  <si>
    <t>https://drive.google.com/file/d/1IU-BCyoUyOtdDyNQGbUp0B0borCGPoL1/view?usp=drivesdk</t>
  </si>
  <si>
    <t>EKO SUSETYAWATI</t>
  </si>
  <si>
    <t>ekoregident@gmail.com</t>
  </si>
  <si>
    <t>4842</t>
  </si>
  <si>
    <t>Starting at Thu Aug 29 2024 21:30:39 GMT-0400 (EDT)</t>
  </si>
  <si>
    <t>1Z2pCDbe9cTZ0FZ1LGIowG2vZtv7A4-6B</t>
  </si>
  <si>
    <t>https://drive.google.com/file/d/1Z2pCDbe9cTZ0FZ1LGIowG2vZtv7A4-6B/view?usp=drivesdk</t>
  </si>
  <si>
    <t>Document successfully created; Document successfully merged; PDF created; !!Error Sending Emails: Service invoked too many times for one day: email.; Manually run by ecertificate75@gmail.com; Timestamp: Sep 2 2024 11:39 PM</t>
  </si>
  <si>
    <t>IDA HAFIDAH</t>
  </si>
  <si>
    <t>idahafida1968@gmail.com</t>
  </si>
  <si>
    <t>4843</t>
  </si>
  <si>
    <t>1W4eU9j6PkHhpA6oXCaFbDIdNvOLVVVRl</t>
  </si>
  <si>
    <t>https://drive.google.com/file/d/1W4eU9j6PkHhpA6oXCaFbDIdNvOLVVVRl/view?usp=drivesdk</t>
  </si>
  <si>
    <t>AFRIANTI, SE</t>
  </si>
  <si>
    <t>bundaafrianti@gmail.com</t>
  </si>
  <si>
    <t>4844</t>
  </si>
  <si>
    <t>1ETa9wwu5BpkzHNWrPvc_ABDgGkGVAR1p</t>
  </si>
  <si>
    <t>https://drive.google.com/file/d/1ETa9wwu5BpkzHNWrPvc_ABDgGkGVAR1p/view?usp=drivesdk</t>
  </si>
  <si>
    <t>MARIYONO,A.Md.Kep</t>
  </si>
  <si>
    <t>csenggek@gmail.com</t>
  </si>
  <si>
    <t>4845</t>
  </si>
  <si>
    <t>1MPbPQypfKZObDOBZ3QL2JfeE_MLaTxdL</t>
  </si>
  <si>
    <t>https://drive.google.com/file/d/1MPbPQypfKZObDOBZ3QL2JfeE_MLaTxdL/view?usp=drivesdk</t>
  </si>
  <si>
    <t>Document successfully created; Document successfully merged; PDF created; !!Error Sending Emails: Service invoked too many times for one day: email.; Manually run by ecertificate75@gmail.com; Timestamp: Sep 2 2024 11:40 PM</t>
  </si>
  <si>
    <t>AGUSSISWANTO</t>
  </si>
  <si>
    <t>agussiswanto2626@gmail.com</t>
  </si>
  <si>
    <t>4846</t>
  </si>
  <si>
    <t>1myZNySwtZb1bXrGih1SESMZmYZK7Qvdc</t>
  </si>
  <si>
    <t>https://drive.google.com/file/d/1myZNySwtZb1bXrGih1SESMZmYZK7Qvdc/view?usp=drivesdk</t>
  </si>
  <si>
    <t>NIRA ARIANTINI, S.KOM</t>
  </si>
  <si>
    <t>renminditpolairudbabel@gmail.com</t>
  </si>
  <si>
    <t>4847</t>
  </si>
  <si>
    <t>https://drive.google.com/file/d/1w-6wIvTNk6u229H4lsEPKb2NdPAvlKZU/view?usp=drivesdk</t>
  </si>
  <si>
    <t>1w-6wIvTNk6u229H4lsEPKb2NdPAvlKZU</t>
  </si>
  <si>
    <t>1WBNnSkNXuzTSItJIRws1jcM-hHICKSkL</t>
  </si>
  <si>
    <t>https://drive.google.com/file/d/1WBNnSkNXuzTSItJIRws1jcM-hHICKSkL/view?usp=drivesdk</t>
  </si>
  <si>
    <t>RACHMAD SUGIYANTO, S.Sos., M.M.</t>
  </si>
  <si>
    <t>rachmad.sugiyanto@gmail.com</t>
  </si>
  <si>
    <t>4848</t>
  </si>
  <si>
    <t>https://drive.google.com/file/d/1rVfNSXhCIsl1J5oR6RV0Wkj-ZLp79ah6/view?usp=drivesdk</t>
  </si>
  <si>
    <t>1rVfNSXhCIsl1J5oR6RV0Wkj-ZLp79ah6</t>
  </si>
  <si>
    <t>16Y-IZVlsY6fbhKZmQh2Db6otCGUlVpM7</t>
  </si>
  <si>
    <t>https://drive.google.com/file/d/16Y-IZVlsY6fbhKZmQh2Db6otCGUlVpM7/view?usp=drivesdk</t>
  </si>
  <si>
    <t>TRIWALUYO,AMD.KEP.</t>
  </si>
  <si>
    <t>browncotrex@gmail.com</t>
  </si>
  <si>
    <t>4849</t>
  </si>
  <si>
    <t>https://drive.google.com/file/d/1jKmHHAkSs0jqzJRjlSHH1SxXwWDAq5ge/view?usp=drivesdk</t>
  </si>
  <si>
    <t>1jKmHHAkSs0jqzJRjlSHH1SxXwWDAq5ge</t>
  </si>
  <si>
    <t>1lQ9eId-OQ-BBOx4Y6g1J5Y638ocBBnbs</t>
  </si>
  <si>
    <t>https://drive.google.com/file/d/1lQ9eId-OQ-BBOx4Y6g1J5Y638ocBBnbs/view?usp=drivesdk</t>
  </si>
  <si>
    <t>YESI SULASTRI AM.KEP</t>
  </si>
  <si>
    <t>yanuarahmad08819@gmail.com</t>
  </si>
  <si>
    <t>4850</t>
  </si>
  <si>
    <t>https://drive.google.com/file/d/1iPdY52eujMnFPSJRFUPIrReEDUrKMRQs/view?usp=drivesdk</t>
  </si>
  <si>
    <t>1iPdY52eujMnFPSJRFUPIrReEDUrKMRQs</t>
  </si>
  <si>
    <t>1-aw9I9Iecaal4nCO7TBML9_mo-1Tq3uC</t>
  </si>
  <si>
    <t>https://drive.google.com/file/d/1-aw9I9Iecaal4nCO7TBML9_mo-1Tq3uC/view?usp=drivesdk</t>
  </si>
  <si>
    <t>Document successfully created; Document successfully merged; PDF created; !!Error Sending Emails: Service invoked too many times for one day: email.; Manually run by ecertificate75@gmail.com; Timestamp: Sep 2 2024 11:41 PM</t>
  </si>
  <si>
    <t xml:space="preserve">MARLIANA TAMBUNAN </t>
  </si>
  <si>
    <t>marlianatambunan@gmail.com</t>
  </si>
  <si>
    <t>4851</t>
  </si>
  <si>
    <t>https://drive.google.com/file/d/1BWKw8WR-4yyPdcgzrx2Atz7qTA0O-EOA/view?usp=drivesdk</t>
  </si>
  <si>
    <t>1BWKw8WR-4yyPdcgzrx2Atz7qTA0O-EOA</t>
  </si>
  <si>
    <t>1zKXsQffb7cji5Y9OXW06NFo1tpnQY-Hx</t>
  </si>
  <si>
    <t>https://drive.google.com/file/d/1zKXsQffb7cji5Y9OXW06NFo1tpnQY-Hx/view?usp=drivesdk</t>
  </si>
  <si>
    <t>sitipol.situbondo@gmail.com</t>
  </si>
  <si>
    <t>4852</t>
  </si>
  <si>
    <t>https://drive.google.com/file/d/1p_d2RPLEMMOE7ZRnsx1s-YnTlzrB3Pm1/view?usp=drivesdk</t>
  </si>
  <si>
    <t>1p_d2RPLEMMOE7ZRnsx1s-YnTlzrB3Pm1</t>
  </si>
  <si>
    <t>1_6jO3oBJjNM7982_z2IxKxGjy6e6UxKq</t>
  </si>
  <si>
    <t>https://drive.google.com/file/d/1_6jO3oBJjNM7982_z2IxKxGjy6e6UxKq/view?usp=drivesdk</t>
  </si>
  <si>
    <t>DRG.NANIK PUJi WAHYUNI,MM</t>
  </si>
  <si>
    <t>nanik.puji.w@gmail.com</t>
  </si>
  <si>
    <t>4853</t>
  </si>
  <si>
    <t>https://drive.google.com/file/d/1jxzZZLhblYr8cc0gYwXO5tgfAmR9wFc7/view?usp=drivesdk</t>
  </si>
  <si>
    <t>Document successfully created; Document successfully merged; PDF created; !!Error Sending Emails: Service invoked too many times for one day: email.; Run via form trigger as ecertificate75@gmail.com; Timestamp: Aug 29 2024 9:32 PM</t>
  </si>
  <si>
    <t>1jxzZZLhblYr8cc0gYwXO5tgfAmR9wFc7</t>
  </si>
  <si>
    <t>19zU0oVVToKi6kxqwzn6oMRZrcIPoaNy0</t>
  </si>
  <si>
    <t>https://drive.google.com/file/d/19zU0oVVToKi6kxqwzn6oMRZrcIPoaNy0/view?usp=drivesdk</t>
  </si>
  <si>
    <t>WIDIYA PURWANTI, A. MD</t>
  </si>
  <si>
    <t>wdy.purwanti@gmail.com</t>
  </si>
  <si>
    <t>4854</t>
  </si>
  <si>
    <t>https://drive.google.com/file/d/1ryTuRg3ZsbKg9SpTZv9O_zQCZWTkC5Ao/view?usp=drivesdk</t>
  </si>
  <si>
    <t>1ryTuRg3ZsbKg9SpTZv9O_zQCZWTkC5Ao</t>
  </si>
  <si>
    <t>1Veq9OUKsHtq2lqFDIA2Baw08eJYris-i</t>
  </si>
  <si>
    <t>https://drive.google.com/file/d/1Veq9OUKsHtq2lqFDIA2Baw08eJYris-i/view?usp=drivesdk</t>
  </si>
  <si>
    <t>Document successfully created; Document successfully merged; PDF created; !!Error Sending Emails: Service invoked too many times for one day: email.; Manually run by ecertificate75@gmail.com; Timestamp: Sep 2 2024 11:42 PM</t>
  </si>
  <si>
    <t>SUMARNI S.SOS</t>
  </si>
  <si>
    <t>sumarnisumarni66369@gmail.com</t>
  </si>
  <si>
    <t>4855</t>
  </si>
  <si>
    <t>https://drive.google.com/file/d/1H4hzN97LQ9noOZKn7jXD0Q-zDm8_jSca/view?usp=drivesdk</t>
  </si>
  <si>
    <t>1H4hzN97LQ9noOZKn7jXD0Q-zDm8_jSca</t>
  </si>
  <si>
    <t>1qOfuRzl-tFAWWHtxsCfL-IvuvO_2tAT_</t>
  </si>
  <si>
    <t>https://drive.google.com/file/d/1qOfuRzl-tFAWWHtxsCfL-IvuvO_2tAT_/view?usp=drivesdk</t>
  </si>
  <si>
    <t>ROHANI.A.S.Psi.M.Si</t>
  </si>
  <si>
    <t>Rohaningadimin@mail.com</t>
  </si>
  <si>
    <t>4856</t>
  </si>
  <si>
    <t>https://drive.google.com/file/d/1x-qMjMdLm0M_5J0GS8G1-IkGmZm7aE3E/view?usp=drivesdk</t>
  </si>
  <si>
    <t>1x-qMjMdLm0M_5J0GS8G1-IkGmZm7aE3E</t>
  </si>
  <si>
    <t>1Jj4zGPPhqWCN3KqgdfRSyss1riXePZWo</t>
  </si>
  <si>
    <t>https://drive.google.com/file/d/1Jj4zGPPhqWCN3KqgdfRSyss1riXePZWo/view?usp=drivesdk</t>
  </si>
  <si>
    <t>DESY ARISANDI.A.Md</t>
  </si>
  <si>
    <t>arisandidesy82@gmail.com</t>
  </si>
  <si>
    <t>4857</t>
  </si>
  <si>
    <t>https://drive.google.com/file/d/1shnbRAuA-xtQ2TR-EPTvLOwatrB0i4SB/view?usp=drivesdk</t>
  </si>
  <si>
    <t>1shnbRAuA-xtQ2TR-EPTvLOwatrB0i4SB</t>
  </si>
  <si>
    <t>14MwhtA3bAshTS5EGyD5SsbeJhl_eB5um</t>
  </si>
  <si>
    <t>https://drive.google.com/file/d/14MwhtA3bAshTS5EGyD5SsbeJhl_eB5um/view?usp=drivesdk</t>
  </si>
  <si>
    <t>HERRY WICAKSOKO</t>
  </si>
  <si>
    <t>cak.heri.wicak@gmail.com</t>
  </si>
  <si>
    <t>4858</t>
  </si>
  <si>
    <t>https://drive.google.com/file/d/1VQ_vob2ctJP-ZPbHAo4wR5Ht9Yq_4ILs/view?usp=drivesdk</t>
  </si>
  <si>
    <t>1VQ_vob2ctJP-ZPbHAo4wR5Ht9Yq_4ILs</t>
  </si>
  <si>
    <t>1p-tCNdIHS9FeWD_WNfdq0Wmb_WL07HsV</t>
  </si>
  <si>
    <t>https://drive.google.com/file/d/1p-tCNdIHS9FeWD_WNfdq0Wmb_WL07HsV/view?usp=drivesdk</t>
  </si>
  <si>
    <t>Document successfully created; Document successfully merged; PDF created; !!Error Sending Emails: Service invoked too many times for one day: email.; Manually run by ecertificate75@gmail.com; Timestamp: Sep 2 2024 11:43 PM</t>
  </si>
  <si>
    <t>dr. KETUT SUKADANI, S. Ked</t>
  </si>
  <si>
    <t>drketutsukadani1969@gmail.com</t>
  </si>
  <si>
    <t>4859</t>
  </si>
  <si>
    <t>https://drive.google.com/file/d/1UPsCNxS4XnO84-nP2omc3SnDQv6j3nP2/view?usp=drivesdk</t>
  </si>
  <si>
    <t>1UPsCNxS4XnO84-nP2omc3SnDQv6j3nP2</t>
  </si>
  <si>
    <t>1QpLB551VJhb7SBNOQmJBtwt_0OKfjQfH</t>
  </si>
  <si>
    <t>https://drive.google.com/file/d/1QpLB551VJhb7SBNOQmJBtwt_0OKfjQfH/view?usp=drivesdk</t>
  </si>
  <si>
    <t>DRG. INAJATI JUSUF ARIFIN SP.KG</t>
  </si>
  <si>
    <t>inajatiarifin@gmail.com</t>
  </si>
  <si>
    <t>4860</t>
  </si>
  <si>
    <t>Starting at Thu Aug 29 2024 21:30:47 GMT-0400 (EDT)</t>
  </si>
  <si>
    <t>18yIMlDsuiWCoT5di_0IJJVFuswfDwITK</t>
  </si>
  <si>
    <t>https://drive.google.com/file/d/18yIMlDsuiWCoT5di_0IJJVFuswfDwITK/view?usp=drivesdk</t>
  </si>
  <si>
    <t>RIKO PURWANTO, A.Md., S.E.</t>
  </si>
  <si>
    <t>oktober87@gmail.com</t>
  </si>
  <si>
    <t>4861</t>
  </si>
  <si>
    <t>1e8_iwOkpfAoI6Kwp4N9D9Hl7MfQA7iTq</t>
  </si>
  <si>
    <t>https://drive.google.com/file/d/1e8_iwOkpfAoI6Kwp4N9D9Hl7MfQA7iTq/view?usp=drivesdk</t>
  </si>
  <si>
    <t>NOLI KUSUMAWANTI, A.Md.Keb</t>
  </si>
  <si>
    <t>noli.araqilla@gmail.com</t>
  </si>
  <si>
    <t>4862</t>
  </si>
  <si>
    <t>156oVR6R6wfhPHsAs34JKGogfz0UO-72Z</t>
  </si>
  <si>
    <t>https://drive.google.com/file/d/156oVR6R6wfhPHsAs34JKGogfz0UO-72Z/view?usp=drivesdk</t>
  </si>
  <si>
    <t xml:space="preserve">NUR ANIFAH </t>
  </si>
  <si>
    <t>anifah.na@gmail.com</t>
  </si>
  <si>
    <t>4863</t>
  </si>
  <si>
    <t>1lmxsBNreE9LrSmnydBIzrXo2RXDYocSH</t>
  </si>
  <si>
    <t>https://drive.google.com/file/d/1lmxsBNreE9LrSmnydBIzrXo2RXDYocSH/view?usp=drivesdk</t>
  </si>
  <si>
    <t>Document successfully created; Document successfully merged; PDF created; !!Error Sending Emails: Service invoked too many times for one day: email.; Manually run by ecertificate75@gmail.com; Timestamp: Sep 2 2024 11:44 PM</t>
  </si>
  <si>
    <t xml:space="preserve">BOBBY DIMAS PUSPONEGORO </t>
  </si>
  <si>
    <t>bobbydimaspusponegoro@gmail.com</t>
  </si>
  <si>
    <t>4864</t>
  </si>
  <si>
    <t>1OH2eoo3Jc7V3RsFrNwk4tRNFFXXoIebl</t>
  </si>
  <si>
    <t>https://drive.google.com/file/d/1OH2eoo3Jc7V3RsFrNwk4tRNFFXXoIebl/view?usp=drivesdk</t>
  </si>
  <si>
    <t xml:space="preserve">DANNANG SAPUTRO </t>
  </si>
  <si>
    <t>danangsapu57@gmail.com</t>
  </si>
  <si>
    <t>4865</t>
  </si>
  <si>
    <t>1cOTH1injlrJZRdcTKZqSKUzBCXSlUwFC</t>
  </si>
  <si>
    <t>https://drive.google.com/file/d/1cOTH1injlrJZRdcTKZqSKUzBCXSlUwFC/view?usp=drivesdk</t>
  </si>
  <si>
    <t>SHELLA OCTAVIA, A.Md.Kep</t>
  </si>
  <si>
    <t>shellaoctavia1710@gmail.com</t>
  </si>
  <si>
    <t>4866</t>
  </si>
  <si>
    <t>1PYPOlJlleoGrQEx9coGFVpMVsGnqzCtT</t>
  </si>
  <si>
    <t>https://drive.google.com/file/d/1PYPOlJlleoGrQEx9coGFVpMVsGnqzCtT/view?usp=drivesdk</t>
  </si>
  <si>
    <t>LISRI OKTARIDA, S.PD</t>
  </si>
  <si>
    <t>lisrioktaridabinmas84@gmail.com</t>
  </si>
  <si>
    <t>4867</t>
  </si>
  <si>
    <t>https://drive.google.com/file/d/1rLm-LxLQQj_k88g3z5lCw-b-iCYejGZj/view?usp=drivesdk</t>
  </si>
  <si>
    <t>1rLm-LxLQQj_k88g3z5lCw-b-iCYejGZj</t>
  </si>
  <si>
    <t>1qgOw1F1mH7TRx6n9-dGMHbzOQJwGg2if</t>
  </si>
  <si>
    <t>https://drive.google.com/file/d/1qgOw1F1mH7TRx6n9-dGMHbzOQJwGg2if/view?usp=drivesdk</t>
  </si>
  <si>
    <t>dr MICHAEL KHRISTIAWAN ARIESTADI</t>
  </si>
  <si>
    <t>michaelkhristiawan@yahoo.com</t>
  </si>
  <si>
    <t>4868</t>
  </si>
  <si>
    <t>https://drive.google.com/file/d/1ImQ7_FVlfdkpCwqCBeeORvW7ga4COViy/view?usp=drivesdk</t>
  </si>
  <si>
    <t>1ImQ7_FVlfdkpCwqCBeeORvW7ga4COViy</t>
  </si>
  <si>
    <t>1aLCBv_xJKtM4Cx1haHpCCSkfHOpKoig5</t>
  </si>
  <si>
    <t>https://drive.google.com/file/d/1aLCBv_xJKtM4Cx1haHpCCSkfHOpKoig5/view?usp=drivesdk</t>
  </si>
  <si>
    <t>Document successfully created; Document successfully merged; PDF created; !!Error Sending Emails: Service invoked too many times for one day: email.; Manually run by ecertificate75@gmail.com; Timestamp: Sep 2 2024 11:45 PM</t>
  </si>
  <si>
    <t>SRI WAHYUNINGSIH</t>
  </si>
  <si>
    <t>sriwahyuningsih020674@gmail.com</t>
  </si>
  <si>
    <t>4869</t>
  </si>
  <si>
    <t>https://drive.google.com/file/d/1CdEQyYvLNTRD6SOCTHnEzNq4_7idYSso/view?usp=drivesdk</t>
  </si>
  <si>
    <t>1CdEQyYvLNTRD6SOCTHnEzNq4_7idYSso</t>
  </si>
  <si>
    <t>1rK7Nsy8Xxa4-MzZ8Qw9VecAS-hD2UGAp</t>
  </si>
  <si>
    <t>https://drive.google.com/file/d/1rK7Nsy8Xxa4-MzZ8Qw9VecAS-hD2UGAp/view?usp=drivesdk</t>
  </si>
  <si>
    <t>RENDI EKA PUTRA, Amd</t>
  </si>
  <si>
    <t>tyuhengkc19@gmail.com</t>
  </si>
  <si>
    <t>4870</t>
  </si>
  <si>
    <t>https://drive.google.com/file/d/1RDp-e9RUvDTNl1NQHtFv1UNXtdMvZDR6/view?usp=drivesdk</t>
  </si>
  <si>
    <t>1RDp-e9RUvDTNl1NQHtFv1UNXtdMvZDR6</t>
  </si>
  <si>
    <t>1yZYbZJ17yitfRVqDCj46vk5Pkcv4u76m</t>
  </si>
  <si>
    <t>https://drive.google.com/file/d/1yZYbZJ17yitfRVqDCj46vk5Pkcv4u76m/view?usp=drivesdk</t>
  </si>
  <si>
    <t>MASNIARDI, A.Md.,Kep.</t>
  </si>
  <si>
    <t>masniardidimas@gmail.com</t>
  </si>
  <si>
    <t>4871</t>
  </si>
  <si>
    <t>https://drive.google.com/file/d/1_OExGGBjAdYQ2E52VniESZK8P8IKaBBh/view?usp=drivesdk</t>
  </si>
  <si>
    <t>1_OExGGBjAdYQ2E52VniESZK8P8IKaBBh</t>
  </si>
  <si>
    <t>17hFpvEsiQVlBVFmitLvk3BLS-usPY1HL</t>
  </si>
  <si>
    <t>https://drive.google.com/file/d/17hFpvEsiQVlBVFmitLvk3BLS-usPY1HL/view?usp=drivesdk</t>
  </si>
  <si>
    <t>KOMANG SUDIARTA</t>
  </si>
  <si>
    <t>sudiarta125@gmail.com</t>
  </si>
  <si>
    <t>4872</t>
  </si>
  <si>
    <t>https://drive.google.com/file/d/1ArVLOnZqcX5jehh3bn10vVF2xghjwvsr/view?usp=drivesdk</t>
  </si>
  <si>
    <t>1ArVLOnZqcX5jehh3bn10vVF2xghjwvsr</t>
  </si>
  <si>
    <t>1OQ_v2ATNApOE9uspiBMssnumD_eKSEze</t>
  </si>
  <si>
    <t>https://drive.google.com/file/d/1OQ_v2ATNApOE9uspiBMssnumD_eKSEze/view?usp=drivesdk</t>
  </si>
  <si>
    <t>susionang@gmail.com</t>
  </si>
  <si>
    <t>4873</t>
  </si>
  <si>
    <t>https://drive.google.com/file/d/1FCgDK4qVLeiaw-oGJRpF-EQPjuX0vnda/view?usp=drivesdk</t>
  </si>
  <si>
    <t>1FCgDK4qVLeiaw-oGJRpF-EQPjuX0vnda</t>
  </si>
  <si>
    <t>1FuYUs_I2qk5O8HNEZJQpeJFlbIxgAvIy</t>
  </si>
  <si>
    <t>https://drive.google.com/file/d/1FuYUs_I2qk5O8HNEZJQpeJFlbIxgAvIy/view?usp=drivesdk</t>
  </si>
  <si>
    <t>Document successfully created; Document successfully merged; PDF created; !!Error Sending Emails: Service invoked too many times for one day: email.; Manually run by ecertificate75@gmail.com; Timestamp: Sep 2 2024 11:46 PM</t>
  </si>
  <si>
    <t>EKO PRASATYO, S.E</t>
  </si>
  <si>
    <t>ekoprasatyo0309@gmail.com</t>
  </si>
  <si>
    <t>4874</t>
  </si>
  <si>
    <t>https://drive.google.com/file/d/1RFLC5JYAJ2EgnXkwa8obq5GIV14-qu9o/view?usp=drivesdk</t>
  </si>
  <si>
    <t>1RFLC5JYAJ2EgnXkwa8obq5GIV14-qu9o</t>
  </si>
  <si>
    <t>1rJR4uFEHDBAthkZwSCWlXoGIL0LDzKGU</t>
  </si>
  <si>
    <t>https://drive.google.com/file/d/1rJR4uFEHDBAthkZwSCWlXoGIL0LDzKGU/view?usp=drivesdk</t>
  </si>
  <si>
    <t>YANI IRAWATI,S.Kep</t>
  </si>
  <si>
    <t>yaniibunyahasan@gmail.com</t>
  </si>
  <si>
    <t>4875</t>
  </si>
  <si>
    <t>Starting at Thu Aug 29 2024 21:30:53 GMT-0400 (EDT)</t>
  </si>
  <si>
    <t>1wf90RFd_GXtHkUoK25qKASxceBfDENtL</t>
  </si>
  <si>
    <t>https://drive.google.com/file/d/1wf90RFd_GXtHkUoK25qKASxceBfDENtL/view?usp=drivesdk</t>
  </si>
  <si>
    <t>ACHMAD TOHIR</t>
  </si>
  <si>
    <t>tohirnya@gmail.com</t>
  </si>
  <si>
    <t>4876</t>
  </si>
  <si>
    <t>https://drive.google.com/file/d/17XtC-aW6TN9cadVKwPHy_3prJGylvNhT/view?usp=drivesdk</t>
  </si>
  <si>
    <t>17XtC-aW6TN9cadVKwPHy_3prJGylvNhT</t>
  </si>
  <si>
    <t>1LZZVD4imAIl6DQw4-Oc28psAYsRep9Ug</t>
  </si>
  <si>
    <t>https://drive.google.com/file/d/1LZZVD4imAIl6DQw4-Oc28psAYsRep9Ug/view?usp=drivesdk</t>
  </si>
  <si>
    <t>Document successfully created; Document successfully merged; PDF created; !!Error Sending Emails: Service invoked too many times for one day: email.; Manually run by ecertificate75@gmail.com; Timestamp: Sep 2 2024 11:47 PM</t>
  </si>
  <si>
    <t>WAHYU PRATIWI</t>
  </si>
  <si>
    <t>wahyupratiwi012@gmail.com</t>
  </si>
  <si>
    <t>4877</t>
  </si>
  <si>
    <t>https://drive.google.com/file/d/10NvvSvUmnV_riakYk8HVMjNPNRS10uI9/view?usp=drivesdk</t>
  </si>
  <si>
    <t>10NvvSvUmnV_riakYk8HVMjNPNRS10uI9</t>
  </si>
  <si>
    <t>1i4qeoIXE5ZPyOus1TlcvZ19NHcXf4EMp</t>
  </si>
  <si>
    <t>https://drive.google.com/file/d/1i4qeoIXE5ZPyOus1TlcvZ19NHcXf4EMp/view?usp=drivesdk</t>
  </si>
  <si>
    <t>DIAN HIDAYAT</t>
  </si>
  <si>
    <t>dianhidayat947@gmail.com</t>
  </si>
  <si>
    <t>4878</t>
  </si>
  <si>
    <t>https://drive.google.com/file/d/1CvR4uR084VDS0dv3HsDwQTowAbJ_6GhN/view?usp=drivesdk</t>
  </si>
  <si>
    <t>1CvR4uR084VDS0dv3HsDwQTowAbJ_6GhN</t>
  </si>
  <si>
    <t>1Y4RSMdFJAAXYTKZ1D_OIGGDOit9qrE7F</t>
  </si>
  <si>
    <t>https://drive.google.com/file/d/1Y4RSMdFJAAXYTKZ1D_OIGGDOit9qrE7F/view?usp=drivesdk</t>
  </si>
  <si>
    <t>VERA DIANA</t>
  </si>
  <si>
    <t>veradiana6565@gmail.com</t>
  </si>
  <si>
    <t>4879</t>
  </si>
  <si>
    <t>Starting at Thu Aug 29 2024 21:30:56 GMT-0400 (EDT)</t>
  </si>
  <si>
    <t>1PzBLfiqgUEnCsiY6hJvR1hvxpIjTN_cM</t>
  </si>
  <si>
    <t>https://drive.google.com/file/d/1PzBLfiqgUEnCsiY6hJvR1hvxpIjTN_cM/view?usp=drivesdk</t>
  </si>
  <si>
    <t xml:space="preserve">Dr. Aullia Dewi Kusumawati, Sp.EM </t>
  </si>
  <si>
    <t>Liaemerge14@yahoo.com</t>
  </si>
  <si>
    <t>4880</t>
  </si>
  <si>
    <t>1G-4P_8YJSLV93HmhN2ZIl7sOQg8CIbU2</t>
  </si>
  <si>
    <t>https://drive.google.com/file/d/1G-4P_8YJSLV93HmhN2ZIl7sOQg8CIbU2/view?usp=drivesdk</t>
  </si>
  <si>
    <t>sulastriresta@gmail.com</t>
  </si>
  <si>
    <t>4881</t>
  </si>
  <si>
    <t>https://drive.google.com/file/d/153lnCdfCtb0Evg0s6W1XzXLDpSzLPgsO/view?usp=drivesdk</t>
  </si>
  <si>
    <t>153lnCdfCtb0Evg0s6W1XzXLDpSzLPgsO</t>
  </si>
  <si>
    <t>1BB4zSPIy4_GWtBdKFDoMdB0kTJ-SfR0P</t>
  </si>
  <si>
    <t>https://drive.google.com/file/d/1BB4zSPIy4_GWtBdKFDoMdB0kTJ-SfR0P/view?usp=drivesdk</t>
  </si>
  <si>
    <t>KUSWINI</t>
  </si>
  <si>
    <t>kuswini.12@gmail.com</t>
  </si>
  <si>
    <t>4882</t>
  </si>
  <si>
    <t>https://drive.google.com/file/d/1HaS_93jXmOgZj0cCNNMPbL1I9ichA_pC/view?usp=drivesdk</t>
  </si>
  <si>
    <t>1HaS_93jXmOgZj0cCNNMPbL1I9ichA_pC</t>
  </si>
  <si>
    <t>1yWSDLnGSGJGq6Vxzk8hbf9Jb9AawiYb6</t>
  </si>
  <si>
    <t>https://drive.google.com/file/d/1yWSDLnGSGJGq6Vxzk8hbf9Jb9AawiYb6/view?usp=drivesdk</t>
  </si>
  <si>
    <t>Document successfully created; Document successfully merged; PDF created; !!Error Sending Emails: Service invoked too many times for one day: email.; Manually run by ecertificate75@gmail.com; Timestamp: Sep 2 2024 11:48 PM</t>
  </si>
  <si>
    <t>EMA SUSILAWATI</t>
  </si>
  <si>
    <t>emasusi.sitepu@yahoo.co.id</t>
  </si>
  <si>
    <t>4883</t>
  </si>
  <si>
    <t>https://drive.google.com/file/d/1gLrI9ECoTEYvQU9_2dO0QLRmSCffGXYA/view?usp=drivesdk</t>
  </si>
  <si>
    <t>1gLrI9ECoTEYvQU9_2dO0QLRmSCffGXYA</t>
  </si>
  <si>
    <t>1RrGZBFKl3CFeGQ7CUgomdIxtkfR7ngpt</t>
  </si>
  <si>
    <t>https://drive.google.com/file/d/1RrGZBFKl3CFeGQ7CUgomdIxtkfR7ngpt/view?usp=drivesdk</t>
  </si>
  <si>
    <t>ARNISAH</t>
  </si>
  <si>
    <t>arnisah1103@gmail.com</t>
  </si>
  <si>
    <t>4884</t>
  </si>
  <si>
    <t>Starting at Thu Aug 29 2024 21:31:03 GMT-0400 (EDT)</t>
  </si>
  <si>
    <t>1UABsgDMoD8kTKac_3o0RU7lmme7j4gn8</t>
  </si>
  <si>
    <t>https://drive.google.com/file/d/1UABsgDMoD8kTKac_3o0RU7lmme7j4gn8/view?usp=drivesdk</t>
  </si>
  <si>
    <t>SLAMET MURYANI</t>
  </si>
  <si>
    <t>muryaniyani1983@gmail.com</t>
  </si>
  <si>
    <t>4885</t>
  </si>
  <si>
    <t>1ZZaSSnutHDOo_fpGrUerBjI3PXRj0YrM</t>
  </si>
  <si>
    <t>https://drive.google.com/file/d/1ZZaSSnutHDOo_fpGrUerBjI3PXRj0YrM/view?usp=drivesdk</t>
  </si>
  <si>
    <t>ENGKUS. MULYADI.S.IP</t>
  </si>
  <si>
    <t>mulyadiengkus06@gmail.com</t>
  </si>
  <si>
    <t>4886</t>
  </si>
  <si>
    <t>1tvKpz9Pz1TNX2Zatgj3PNBBvSmNXaZnI</t>
  </si>
  <si>
    <t>https://drive.google.com/file/d/1tvKpz9Pz1TNX2Zatgj3PNBBvSmNXaZnI/view?usp=drivesdk</t>
  </si>
  <si>
    <t>Document successfully created; Document successfully merged; PDF created; !!Error Sending Emails: Service invoked too many times for one day: email.; Manually run by ecertificate75@gmail.com; Timestamp: Sep 2 2024 11:49 PM</t>
  </si>
  <si>
    <t>dr. AYU AMALIA</t>
  </si>
  <si>
    <t>singsut87@gmail.com</t>
  </si>
  <si>
    <t>4887</t>
  </si>
  <si>
    <t>1G3hHoKyJNErgA_7mxD1OwNIs9ZuRLY_A</t>
  </si>
  <si>
    <t>https://drive.google.com/file/d/1G3hHoKyJNErgA_7mxD1OwNIs9ZuRLY_A/view?usp=drivesdk</t>
  </si>
  <si>
    <t>SRI WINDARTI</t>
  </si>
  <si>
    <t>windartipolri@gmail.com</t>
  </si>
  <si>
    <t>4888</t>
  </si>
  <si>
    <t>12qdwj_9c0KVW8FfRt6LNT0DR9Uyq2y32</t>
  </si>
  <si>
    <t>https://drive.google.com/file/d/12qdwj_9c0KVW8FfRt6LNT0DR9Uyq2y32/view?usp=drivesdk</t>
  </si>
  <si>
    <t>ADELINA CAHYANINGRUM, AMd.Keb</t>
  </si>
  <si>
    <t>shabiraadelina@gmail.com</t>
  </si>
  <si>
    <t>4889</t>
  </si>
  <si>
    <t>14G1shLcNYz6zYsZbmTMHePZe1KkgYZOY</t>
  </si>
  <si>
    <t>https://drive.google.com/file/d/14G1shLcNYz6zYsZbmTMHePZe1KkgYZOY/view?usp=drivesdk</t>
  </si>
  <si>
    <t>SRiI HARTATi</t>
  </si>
  <si>
    <t>srih43307@gmail.com</t>
  </si>
  <si>
    <t>4890</t>
  </si>
  <si>
    <t>1R_F459HPG56XIYCKA81ZfMxg95IhiNu0</t>
  </si>
  <si>
    <t>https://drive.google.com/file/d/1R_F459HPG56XIYCKA81ZfMxg95IhiNu0/view?usp=drivesdk</t>
  </si>
  <si>
    <t>Document successfully created; Document successfully merged; PDF created; !!Error Sending Emails: Service invoked too many times for one day: email.; Manually run by ecertificate75@gmail.com; Timestamp: Sep 2 2024 11:50 PM</t>
  </si>
  <si>
    <t>ANIK PURWATI SKEP. NERS</t>
  </si>
  <si>
    <t>anikpurwati012@gmail.com</t>
  </si>
  <si>
    <t>4891</t>
  </si>
  <si>
    <t>1COWIxLEk7nKTxUbg4CVGUIFOsP3XJ1gs</t>
  </si>
  <si>
    <t>https://drive.google.com/file/d/1COWIxLEk7nKTxUbg4CVGUIFOsP3XJ1gs/view?usp=drivesdk</t>
  </si>
  <si>
    <t>PUTU BALIFTA SAVITRI, S.E., M.Si.</t>
  </si>
  <si>
    <t>balifta2288@gmail.com</t>
  </si>
  <si>
    <t>4892</t>
  </si>
  <si>
    <t>https://drive.google.com/file/d/1JXzBCEBBt8n-BpbH_NvUQMuIjygFSzaq/view?usp=drivesdk</t>
  </si>
  <si>
    <t>1JXzBCEBBt8n-BpbH_NvUQMuIjygFSzaq</t>
  </si>
  <si>
    <t>1Y7Op9Mk1ICpyJRjpicqJh5x063Ox5R3Q</t>
  </si>
  <si>
    <t>https://drive.google.com/file/d/1Y7Op9Mk1ICpyJRjpicqJh5x063Ox5R3Q/view?usp=drivesdk</t>
  </si>
  <si>
    <t>Document successfully created; Document successfully merged; PDF created; !!Error Sending Emails: Service invoked too many times for one day: email.; Manually run by ecertificate75@gmail.com; Timestamp: Sep 2 2024 11:51 PM</t>
  </si>
  <si>
    <t>HUSNA AGUSTINA</t>
  </si>
  <si>
    <t>husnaagustina53@gmail.com</t>
  </si>
  <si>
    <t>4893</t>
  </si>
  <si>
    <t>https://drive.google.com/file/d/1_CGtDz-AMf_hoAoJRXOdRsdcKsqwXLPB/view?usp=drivesdk</t>
  </si>
  <si>
    <t>1_CGtDz-AMf_hoAoJRXOdRsdcKsqwXLPB</t>
  </si>
  <si>
    <t>1Ti-QbWvV3FmN5tzmueRbzstbpPSvHN6M</t>
  </si>
  <si>
    <t>https://drive.google.com/file/d/1Ti-QbWvV3FmN5tzmueRbzstbpPSvHN6M/view?usp=drivesdk</t>
  </si>
  <si>
    <t>RAHMAWATI S.Kom</t>
  </si>
  <si>
    <t>Rahmawatirohmad@gmail.com</t>
  </si>
  <si>
    <t>4894</t>
  </si>
  <si>
    <t>https://drive.google.com/file/d/1tlwaWAWthUvzsgRpz1Kmr0NAV1vaHa2g/view?usp=drivesdk</t>
  </si>
  <si>
    <t>1tlwaWAWthUvzsgRpz1Kmr0NAV1vaHa2g</t>
  </si>
  <si>
    <t>1Oc31XHKhHiYwijfwyuFIVhu0JH8bNF2C</t>
  </si>
  <si>
    <t>https://drive.google.com/file/d/1Oc31XHKhHiYwijfwyuFIVhu0JH8bNF2C/view?usp=drivesdk</t>
  </si>
  <si>
    <t>LILLAH FITRIA, SS</t>
  </si>
  <si>
    <t>Lylafitria.80@gmail.com</t>
  </si>
  <si>
    <t>4895</t>
  </si>
  <si>
    <t>https://drive.google.com/file/d/1GH0WMqJGLAmC4ISNwn95epp_aqcSnVXt/view?usp=drivesdk</t>
  </si>
  <si>
    <t>1GH0WMqJGLAmC4ISNwn95epp_aqcSnVXt</t>
  </si>
  <si>
    <t>1Y21gdO8VzKyvwPugpf4EbvCt29dd6izh</t>
  </si>
  <si>
    <t>https://drive.google.com/file/d/1Y21gdO8VzKyvwPugpf4EbvCt29dd6izh/view?usp=drivesdk</t>
  </si>
  <si>
    <t>BAPAK NARSO</t>
  </si>
  <si>
    <t>karanganyarsatoe345@gmail.com</t>
  </si>
  <si>
    <t>4896</t>
  </si>
  <si>
    <t>https://drive.google.com/file/d/1tmZDxIvbZN-JpxxyUewdN0yjs4wWWLjs/view?usp=drivesdk</t>
  </si>
  <si>
    <t>1tmZDxIvbZN-JpxxyUewdN0yjs4wWWLjs</t>
  </si>
  <si>
    <t>1NtbH5sQGXB_xsIzz4C02YEapeBsvhZxR</t>
  </si>
  <si>
    <t>https://drive.google.com/file/d/1NtbH5sQGXB_xsIzz4C02YEapeBsvhZxR/view?usp=drivesdk</t>
  </si>
  <si>
    <t>CHRISTINA WAHYU WIDHI ASTUTI</t>
  </si>
  <si>
    <t>christinawahyu7@gmail.com</t>
  </si>
  <si>
    <t>4897</t>
  </si>
  <si>
    <t>https://drive.google.com/file/d/16rqeuyR4rM5NgWDEzS4-1pY_ubORfw7-/view?usp=drivesdk</t>
  </si>
  <si>
    <t>16rqeuyR4rM5NgWDEzS4-1pY_ubORfw7-</t>
  </si>
  <si>
    <t>1TEDsGGYQEjWwB2yQuvo5fInwWWoPFGB4</t>
  </si>
  <si>
    <t>https://drive.google.com/file/d/1TEDsGGYQEjWwB2yQuvo5fInwWWoPFGB4/view?usp=drivesdk</t>
  </si>
  <si>
    <t>Document successfully created; Document successfully merged; PDF created; !!Error Sending Emails: Service invoked too many times for one day: email.; Manually run by ecertificate75@gmail.com; Timestamp: Sep 2 2024 11:52 PM</t>
  </si>
  <si>
    <t>PRABOWO SUBEKTI</t>
  </si>
  <si>
    <t>Prabowosubekti9@gmail.com</t>
  </si>
  <si>
    <t>4898</t>
  </si>
  <si>
    <t>https://drive.google.com/file/d/1xHYI4Mz0bvP8zpvVNZtc81nuz5BaQckS/view?usp=drivesdk</t>
  </si>
  <si>
    <t>1xHYI4Mz0bvP8zpvVNZtc81nuz5BaQckS</t>
  </si>
  <si>
    <t>1Hh_5IiIlOokk-0icrKJglhJgrA-KkWgO</t>
  </si>
  <si>
    <t>https://drive.google.com/file/d/1Hh_5IiIlOokk-0icrKJglhJgrA-KkWgO/view?usp=drivesdk</t>
  </si>
  <si>
    <t>MANDU HAERANI, S.Ak</t>
  </si>
  <si>
    <t>manduhaerani09@gmail.com</t>
  </si>
  <si>
    <t>4899</t>
  </si>
  <si>
    <t>https://drive.google.com/file/d/17THPLLfX9Cp8zr3txe1_i0sQbVMiWflV/view?usp=drivesdk</t>
  </si>
  <si>
    <t>17THPLLfX9Cp8zr3txe1_i0sQbVMiWflV</t>
  </si>
  <si>
    <t>1yiQPlUL748EX2W1bMmZ6x1bhxAhymUd2</t>
  </si>
  <si>
    <t>https://drive.google.com/file/d/1yiQPlUL748EX2W1bMmZ6x1bhxAhymUd2/view?usp=drivesdk</t>
  </si>
  <si>
    <t>RITA AGUSTINA RIA, SH</t>
  </si>
  <si>
    <t>ritaduha@ymail.com</t>
  </si>
  <si>
    <t>4900</t>
  </si>
  <si>
    <t>https://drive.google.com/file/d/1yLyf7oNp2aJB7-LU6PE0OfJwTCsVkKP2/view?usp=drivesdk</t>
  </si>
  <si>
    <t>1yLyf7oNp2aJB7-LU6PE0OfJwTCsVkKP2</t>
  </si>
  <si>
    <t>1J6JzN1hH4Ca3sqrHO7a69JfU2osX9IM2</t>
  </si>
  <si>
    <t>https://drive.google.com/file/d/1J6JzN1hH4Ca3sqrHO7a69JfU2osX9IM2/view?usp=drivesdk</t>
  </si>
  <si>
    <t>PENGATUR IYUS SUMPENA</t>
  </si>
  <si>
    <t>Iyusbaim@gmail.com</t>
  </si>
  <si>
    <t>4901</t>
  </si>
  <si>
    <t>https://drive.google.com/file/d/1Cn4kWXSaxYP6JmDBON-hOv_xNciquPax/view?usp=drivesdk</t>
  </si>
  <si>
    <t>1Cn4kWXSaxYP6JmDBON-hOv_xNciquPax</t>
  </si>
  <si>
    <t>1OzvjANiKtHZ5Jra7oz96cKRlChHvZ6wx</t>
  </si>
  <si>
    <t>https://drive.google.com/file/d/1OzvjANiKtHZ5Jra7oz96cKRlChHvZ6wx/view?usp=drivesdk</t>
  </si>
  <si>
    <t>Document successfully created; Document successfully merged; PDF created; !!Error Sending Emails: Service invoked too many times for one day: email.; Manually run by ecertificate75@gmail.com; Timestamp: Sep 2 2024 11:53 PM</t>
  </si>
  <si>
    <t>MATORI</t>
  </si>
  <si>
    <t>matorilogistik@gmail.com</t>
  </si>
  <si>
    <t>4902</t>
  </si>
  <si>
    <t>https://drive.google.com/file/d/17Mc-P50s_WkIW7wZz3t05d6DIa9O2ns_/view?usp=drivesdk</t>
  </si>
  <si>
    <t>17Mc-P50s_WkIW7wZz3t05d6DIa9O2ns_</t>
  </si>
  <si>
    <t>1LrTTVtwKnBuAK1-5AoR_R2_G6iu8F0M_</t>
  </si>
  <si>
    <t>https://drive.google.com/file/d/1LrTTVtwKnBuAK1-5AoR_R2_G6iu8F0M_/view?usp=drivesdk</t>
  </si>
  <si>
    <t>dr. Vera Uliana Simanjuntak</t>
  </si>
  <si>
    <t>verasimanjuntak10@gmail.com</t>
  </si>
  <si>
    <t>4903</t>
  </si>
  <si>
    <t>https://drive.google.com/file/d/1dk9KnAbmO3XQpL5Tk100zd_b8xH3XyHb/view?usp=drivesdk</t>
  </si>
  <si>
    <t>1dk9KnAbmO3XQpL5Tk100zd_b8xH3XyHb</t>
  </si>
  <si>
    <t>10fOOdcPEZDzNOzeyLPsWZZuM_L4bJPHR</t>
  </si>
  <si>
    <t>https://drive.google.com/file/d/10fOOdcPEZDzNOzeyLPsWZZuM_L4bJPHR/view?usp=drivesdk</t>
  </si>
  <si>
    <t>GUNOMO</t>
  </si>
  <si>
    <t>nabilasalfa12@gmail.com</t>
  </si>
  <si>
    <t>4904</t>
  </si>
  <si>
    <t>Starting at Thu Aug 29 2024 21:31:20 GMT-0400 (EDT)</t>
  </si>
  <si>
    <t>1yMbsaKy8r8lKehHYwCfq886dnU-y177L</t>
  </si>
  <si>
    <t>https://drive.google.com/file/d/1yMbsaKy8r8lKehHYwCfq886dnU-y177L/view?usp=drivesdk</t>
  </si>
  <si>
    <t>INSAR NST</t>
  </si>
  <si>
    <t>insarnst@yahoo.co.id</t>
  </si>
  <si>
    <t>4905</t>
  </si>
  <si>
    <t>Starting at Thu Aug 29 2024 21:31:18 GMT-0400 (EDT)</t>
  </si>
  <si>
    <t>1e0OWyG6QV_20gwmJGzfPV36bWnV3OThZ</t>
  </si>
  <si>
    <t>https://drive.google.com/file/d/1e0OWyG6QV_20gwmJGzfPV36bWnV3OThZ/view?usp=drivesdk</t>
  </si>
  <si>
    <t xml:space="preserve">CHARISMA HANIF FEBRIA NUGROHO </t>
  </si>
  <si>
    <t>hanifcharisma@gmail.com</t>
  </si>
  <si>
    <t>4906</t>
  </si>
  <si>
    <t>https://drive.google.com/file/d/1nycxrg4A154iueZdsvEQLqdtRut0ez0Z/view?usp=drivesdk</t>
  </si>
  <si>
    <t>1nycxrg4A154iueZdsvEQLqdtRut0ez0Z</t>
  </si>
  <si>
    <t>19RE6PsQVADHKninGRpoMYi5KvO-zT9J5</t>
  </si>
  <si>
    <t>https://drive.google.com/file/d/19RE6PsQVADHKninGRpoMYi5KvO-zT9J5/view?usp=drivesdk</t>
  </si>
  <si>
    <t>Document successfully created; Document successfully merged; PDF created; !!Error Sending Emails: Service invoked too many times for one day: email.; Manually run by ecertificate75@gmail.com; Timestamp: Sep 2 2024 11:54 PM</t>
  </si>
  <si>
    <t>Dr. ANINDITA BASUKI, Sp.RAD</t>
  </si>
  <si>
    <t>aninditabasuki2@gmail.com</t>
  </si>
  <si>
    <t>4907</t>
  </si>
  <si>
    <t>https://drive.google.com/file/d/1Gnzfiginfo11NgOEsj2rzi7e_ykOE987/view?usp=drivesdk</t>
  </si>
  <si>
    <t>1Gnzfiginfo11NgOEsj2rzi7e_ykOE987</t>
  </si>
  <si>
    <t>1HGRO4DTK_-RxwoxD6kt3lhDNS0Bxk6W7</t>
  </si>
  <si>
    <t>https://drive.google.com/file/d/1HGRO4DTK_-RxwoxD6kt3lhDNS0Bxk6W7/view?usp=drivesdk</t>
  </si>
  <si>
    <t>AREIS RIZALDI</t>
  </si>
  <si>
    <t>areizaldi@yahoo.co.id</t>
  </si>
  <si>
    <t>4908</t>
  </si>
  <si>
    <t>https://drive.google.com/file/d/1g4eYHFOMbyDbR9MdgyBBtQPuHrB62wHn/view?usp=drivesdk</t>
  </si>
  <si>
    <t>1g4eYHFOMbyDbR9MdgyBBtQPuHrB62wHn</t>
  </si>
  <si>
    <t>1VNz09O1q9qFVVtllPHPAt-vQ5JLW3LqU</t>
  </si>
  <si>
    <t>https://drive.google.com/file/d/1VNz09O1q9qFVVtllPHPAt-vQ5JLW3LqU/view?usp=drivesdk</t>
  </si>
  <si>
    <t>dr. EKA MARIANI</t>
  </si>
  <si>
    <t>serangb925@gmail.com</t>
  </si>
  <si>
    <t>4909</t>
  </si>
  <si>
    <t>https://drive.google.com/file/d/1R-Y3dOSEbL8zjGgywPRUjSdOhGo9KZ8Y/view?usp=drivesdk</t>
  </si>
  <si>
    <t>1R-Y3dOSEbL8zjGgywPRUjSdOhGo9KZ8Y</t>
  </si>
  <si>
    <t>1R3YhiPAMTgDs6tNNAhgcGEONbNoVCtf8</t>
  </si>
  <si>
    <t>https://drive.google.com/file/d/1R3YhiPAMTgDs6tNNAhgcGEONbNoVCtf8/view?usp=drivesdk</t>
  </si>
  <si>
    <t>ELIAWATI, S.H</t>
  </si>
  <si>
    <t>eliawatish@gmail.com</t>
  </si>
  <si>
    <t>4910</t>
  </si>
  <si>
    <t>https://drive.google.com/file/d/1f4Rtzdn81ABXWQUPrMMxp5ObYDRi3C5V/view?usp=drivesdk</t>
  </si>
  <si>
    <t>1f4Rtzdn81ABXWQUPrMMxp5ObYDRi3C5V</t>
  </si>
  <si>
    <t>1Ca-HXklqLRVqbIW6X7A7Z3woYWICAq4u</t>
  </si>
  <si>
    <t>https://drive.google.com/file/d/1Ca-HXklqLRVqbIW6X7A7Z3woYWICAq4u/view?usp=drivesdk</t>
  </si>
  <si>
    <t xml:space="preserve">IDA DWI NOPIA SARI </t>
  </si>
  <si>
    <t>idanopiasari78@gmail.com</t>
  </si>
  <si>
    <t>4911</t>
  </si>
  <si>
    <t>https://drive.google.com/file/d/1VJvryXXYesaqtsXo51CmDyDgyeiAWFGV/view?usp=drivesdk</t>
  </si>
  <si>
    <t>1VJvryXXYesaqtsXo51CmDyDgyeiAWFGV</t>
  </si>
  <si>
    <t>1-5K9lFGp7HgcN2VCeCijaZsg8ltQALzl</t>
  </si>
  <si>
    <t>https://drive.google.com/file/d/1-5K9lFGp7HgcN2VCeCijaZsg8ltQALzl/view?usp=drivesdk</t>
  </si>
  <si>
    <t>Document successfully created; Document successfully merged; PDF created; !!Error Sending Emails: Service invoked too many times for one day: email.; Manually run by ecertificate75@gmail.com; Timestamp: Sep 2 2024 11:55 PM</t>
  </si>
  <si>
    <t xml:space="preserve">I GEDE ARSANA WIYANTARA, Amd. Kep. </t>
  </si>
  <si>
    <t>gedearsanawiyantara@gmail.com</t>
  </si>
  <si>
    <t>4912</t>
  </si>
  <si>
    <t>Starting at Thu Aug 29 2024 21:31:33 GMT-0400 (EDT)</t>
  </si>
  <si>
    <t>1azzj1PWqVk77o3jz-jA3FNC3YijpotZe</t>
  </si>
  <si>
    <t>https://drive.google.com/file/d/1azzj1PWqVk77o3jz-jA3FNC3YijpotZe/view?usp=drivesdk</t>
  </si>
  <si>
    <t>dr.Yuni Susilo, Sp.K.F.R.</t>
  </si>
  <si>
    <t>yuni.susilo@yahoo.com</t>
  </si>
  <si>
    <t>4913</t>
  </si>
  <si>
    <t>Starting at Thu Aug 29 2024 21:31:37 GMT-0400 (EDT)</t>
  </si>
  <si>
    <t>1OnPBn5eUuJcU2aHGDchVTPvYuC6ucZ_L</t>
  </si>
  <si>
    <t>https://drive.google.com/file/d/1OnPBn5eUuJcU2aHGDchVTPvYuC6ucZ_L/view?usp=drivesdk</t>
  </si>
  <si>
    <t>MUTIA ANIZA,Amd.Kep</t>
  </si>
  <si>
    <t>mutiaaniza@gmail.com</t>
  </si>
  <si>
    <t>4914</t>
  </si>
  <si>
    <t>1XrbtWhb5_vL1IueqawwYS16UbtytczE1</t>
  </si>
  <si>
    <t>https://drive.google.com/file/d/1XrbtWhb5_vL1IueqawwYS16UbtytczE1/view?usp=drivesdk</t>
  </si>
  <si>
    <t>BAMBANG ERAWANTO</t>
  </si>
  <si>
    <t>bambangerawanto88@gmail.com</t>
  </si>
  <si>
    <t>4915</t>
  </si>
  <si>
    <t>1CjvNKm9O6Uik32_QtBqplTcPJSo001i7</t>
  </si>
  <si>
    <t>https://drive.google.com/file/d/1CjvNKm9O6Uik32_QtBqplTcPJSo001i7/view?usp=drivesdk</t>
  </si>
  <si>
    <t>Document successfully created; Document successfully merged; PDF created; !!Error Sending Emails: Service invoked too many times for one day: email.; Manually run by ecertificate75@gmail.com; Timestamp: Sep 2 2024 11:56 PM</t>
  </si>
  <si>
    <t>ASIH PARAMASARI,DR</t>
  </si>
  <si>
    <t>asihparamsari@gamil.com</t>
  </si>
  <si>
    <t>4916</t>
  </si>
  <si>
    <t>1nnAX02kslhs_IlZX-ks6w0HVeHHKs2M5</t>
  </si>
  <si>
    <t>https://drive.google.com/file/d/1nnAX02kslhs_IlZX-ks6w0HVeHHKs2M5/view?usp=drivesdk</t>
  </si>
  <si>
    <t>TRI ARTATI, A.MD. FARM</t>
  </si>
  <si>
    <t>triartati82@gmail.com</t>
  </si>
  <si>
    <t>4917</t>
  </si>
  <si>
    <t>https://drive.google.com/file/d/1rdR5m8LNjBrSzPJf4Xkwy6Nkrko54HWN/view?usp=drivesdk</t>
  </si>
  <si>
    <t>1rdR5m8LNjBrSzPJf4Xkwy6Nkrko54HWN</t>
  </si>
  <si>
    <t>1g6cbZyyjt71qKNr0xrdl6BJvLJMSqBqI</t>
  </si>
  <si>
    <t>https://drive.google.com/file/d/1g6cbZyyjt71qKNr0xrdl6BJvLJMSqBqI/view?usp=drivesdk</t>
  </si>
  <si>
    <t xml:space="preserve">ISMAWATI </t>
  </si>
  <si>
    <t>ismawatieeng@gmail.com</t>
  </si>
  <si>
    <t>4918</t>
  </si>
  <si>
    <t>https://drive.google.com/file/d/1u3r7iEnLo7Thfk5Ri7YXVBZt-Y0ARUuI/view?usp=drivesdk</t>
  </si>
  <si>
    <t>1u3r7iEnLo7Thfk5Ri7YXVBZt-Y0ARUuI</t>
  </si>
  <si>
    <t>1wlonc_uwFlufTMSOlzH7vDGko35ICIYC</t>
  </si>
  <si>
    <t>https://drive.google.com/file/d/1wlonc_uwFlufTMSOlzH7vDGko35ICIYC/view?usp=drivesdk</t>
  </si>
  <si>
    <t>Document successfully created; Document successfully merged; PDF created; !!Error Sending Emails: Service invoked too many times for one day: email.; Manually run by ecertificate75@gmail.com; Timestamp: Sep 2 2024 11:57 PM</t>
  </si>
  <si>
    <t>NING SUMEKAR</t>
  </si>
  <si>
    <t>ininx.sumekar@gmail.com</t>
  </si>
  <si>
    <t>4919</t>
  </si>
  <si>
    <t>https://drive.google.com/file/d/1JigaYHd-2uP6iFR0Jvpv8J9OxO6YWSV9/view?usp=drivesdk</t>
  </si>
  <si>
    <t>Document successfully created; Document successfully merged; PDF created; !!Error Sending Emails: Service invoked too many times for one day: email.; Run via form trigger as ecertificate75@gmail.com; Timestamp: Aug 29 2024 9:33 PM</t>
  </si>
  <si>
    <t>1JigaYHd-2uP6iFR0Jvpv8J9OxO6YWSV9</t>
  </si>
  <si>
    <t>1tkjFX3JEYzBKbEsXwUhs1sDsAAjTGpsE</t>
  </si>
  <si>
    <t>https://drive.google.com/file/d/1tkjFX3JEYzBKbEsXwUhs1sDsAAjTGpsE/view?usp=drivesdk</t>
  </si>
  <si>
    <t>Wahyu Dwi Istiko Budi</t>
  </si>
  <si>
    <t>watinitrenggalek77@gmail.com</t>
  </si>
  <si>
    <t>4920</t>
  </si>
  <si>
    <t>Starting at Thu Aug 29 2024 21:33:21 GMT-0400 (EDT)</t>
  </si>
  <si>
    <t>1TqE6P7CUnWfLslpmZB4qjbQv3aE9sNZp</t>
  </si>
  <si>
    <t>https://drive.google.com/file/d/1TqE6P7CUnWfLslpmZB4qjbQv3aE9sNZp/view?usp=drivesdk</t>
  </si>
  <si>
    <t>AKHMAD BASUKI</t>
  </si>
  <si>
    <t>basukiakhmad21@gmail.com</t>
  </si>
  <si>
    <t>4921</t>
  </si>
  <si>
    <t>12KnGQiXaMYrhKFJ_mAF7QZC60H8q8djn</t>
  </si>
  <si>
    <t>https://drive.google.com/file/d/12KnGQiXaMYrhKFJ_mAF7QZC60H8q8djn/view?usp=drivesdk</t>
  </si>
  <si>
    <t>Document successfully created; Document successfully merged; PDF created; !!Error Sending Emails: Service invoked too many times for one day: email.; Manually run by ecertificate75@gmail.com; Timestamp: Sep 2 2024 11:58 PM</t>
  </si>
  <si>
    <t>Ita Hapsari, S Kep</t>
  </si>
  <si>
    <t>fhilomenahapsari@gmail.com</t>
  </si>
  <si>
    <t>4922</t>
  </si>
  <si>
    <t>https://drive.google.com/file/d/13Uowo2NkHWcpb1pJGurvOCUXwreIiEhb/view?usp=drivesdk</t>
  </si>
  <si>
    <t>13Uowo2NkHWcpb1pJGurvOCUXwreIiEhb</t>
  </si>
  <si>
    <t>1RAPk2Tjo-ihc1InuiALWnwGambgIe6Ln</t>
  </si>
  <si>
    <t>https://drive.google.com/file/d/1RAPk2Tjo-ihc1InuiALWnwGambgIe6Ln/view?usp=drivesdk</t>
  </si>
  <si>
    <t>SUAULOWATI</t>
  </si>
  <si>
    <t>susi.similikiti.nisa@gmail.com</t>
  </si>
  <si>
    <t>4923</t>
  </si>
  <si>
    <t>https://drive.google.com/file/d/1zHcUv7x7pWHdlrxfPAXR1C49IlQ9AHDl/view?usp=drivesdk</t>
  </si>
  <si>
    <t>1zHcUv7x7pWHdlrxfPAXR1C49IlQ9AHDl</t>
  </si>
  <si>
    <t>1z797zftROjgOpxwmmlb3Xdbn-Ss3ZRqn</t>
  </si>
  <si>
    <t>https://drive.google.com/file/d/1z797zftROjgOpxwmmlb3Xdbn-Ss3ZRqn/view?usp=drivesdk</t>
  </si>
  <si>
    <t>DWI RETNOWATI</t>
  </si>
  <si>
    <t>dwiretnowati01@gmail.com</t>
  </si>
  <si>
    <t>4924</t>
  </si>
  <si>
    <t>13tFFBiQTZdnAj7GD0OhuM3tIdX5zICeJ</t>
  </si>
  <si>
    <t>https://drive.google.com/file/d/13tFFBiQTZdnAj7GD0OhuM3tIdX5zICeJ/view?usp=drivesdk</t>
  </si>
  <si>
    <t>JAWARIA,SE</t>
  </si>
  <si>
    <t>jawaria2014@gmail.com</t>
  </si>
  <si>
    <t>4925</t>
  </si>
  <si>
    <t>1CalKtHqlsqIeqywrw1jVXvOBADjcJwdi</t>
  </si>
  <si>
    <t>https://drive.google.com/file/d/1CalKtHqlsqIeqywrw1jVXvOBADjcJwdi/view?usp=drivesdk</t>
  </si>
  <si>
    <t>DEWI RISTIKA</t>
  </si>
  <si>
    <t>ristikadewi7@gmail.com</t>
  </si>
  <si>
    <t>4926</t>
  </si>
  <si>
    <t>https://drive.google.com/file/d/1QRG-dExBthcJtJe_piv-tTdxiLZm0M5y/view?usp=drivesdk</t>
  </si>
  <si>
    <t>1QRG-dExBthcJtJe_piv-tTdxiLZm0M5y</t>
  </si>
  <si>
    <t>1mEEPljhAgUrg5tyQGmXUIotYyXKn7g9I</t>
  </si>
  <si>
    <t>https://drive.google.com/file/d/1mEEPljhAgUrg5tyQGmXUIotYyXKn7g9I/view?usp=drivesdk</t>
  </si>
  <si>
    <t>Document successfully created; Document successfully merged; PDF created; !!Error Sending Emails: Service invoked too many times for one day: email.; Manually run by ecertificate75@gmail.com; Timestamp: Sep 2 2024 11:59 PM</t>
  </si>
  <si>
    <t>ARMAN SYAH GENGGENG</t>
  </si>
  <si>
    <t>armanwiro212@gmail.com</t>
  </si>
  <si>
    <t>4927</t>
  </si>
  <si>
    <t>https://drive.google.com/file/d/1JF446y5y2zdeVRwTXCkpjOAbdZfn8hdF/view?usp=drivesdk</t>
  </si>
  <si>
    <t>1JF446y5y2zdeVRwTXCkpjOAbdZfn8hdF</t>
  </si>
  <si>
    <t>1-NY51ZC2MKFt1XsbnO1k6c2If9qD54tG</t>
  </si>
  <si>
    <t>https://drive.google.com/file/d/1-NY51ZC2MKFt1XsbnO1k6c2If9qD54tG/view?usp=drivesdk</t>
  </si>
  <si>
    <t>GIRINTA SARI PALUPI</t>
  </si>
  <si>
    <t>girinta.sari86@gmail.com</t>
  </si>
  <si>
    <t>4928</t>
  </si>
  <si>
    <t>Starting at Thu Aug 29 2024 21:31:46 GMT-0400 (EDT)</t>
  </si>
  <si>
    <t>1jPz3zef2igmC1YJ-ovVEWYLU1ZnHB8eJ</t>
  </si>
  <si>
    <t>https://drive.google.com/file/d/1jPz3zef2igmC1YJ-ovVEWYLU1ZnHB8eJ/view?usp=drivesdk</t>
  </si>
  <si>
    <t>DRG.INDAH ANGGARAINI.,S.K.G.,M.DSC</t>
  </si>
  <si>
    <t>indhanggaraini@gmail.com</t>
  </si>
  <si>
    <t>4929</t>
  </si>
  <si>
    <t>1gaqfTYL2RRq_2jRfGnPAZJ_tbsHVGxhn</t>
  </si>
  <si>
    <t>https://drive.google.com/file/d/1gaqfTYL2RRq_2jRfGnPAZJ_tbsHVGxhn/view?usp=drivesdk</t>
  </si>
  <si>
    <t>NGATNI HARYATI</t>
  </si>
  <si>
    <t>haryati.divkum@gmail.com</t>
  </si>
  <si>
    <t>4930</t>
  </si>
  <si>
    <t>1XOWMJU_gLhZ2XUBhZclQlhZKqBgrbvgg</t>
  </si>
  <si>
    <t>https://drive.google.com/file/d/1XOWMJU_gLhZ2XUBhZclQlhZKqBgrbvgg/view?usp=drivesdk</t>
  </si>
  <si>
    <t>ANGGY ARIESTY, A. Md. Kep</t>
  </si>
  <si>
    <t>anggyariesty15@gmail.com</t>
  </si>
  <si>
    <t>4931</t>
  </si>
  <si>
    <t>1PErxFTX2yeAdeXLO_r0ERnmhdQ6iiVny</t>
  </si>
  <si>
    <t>https://drive.google.com/file/d/1PErxFTX2yeAdeXLO_r0ERnmhdQ6iiVny/view?usp=drivesdk</t>
  </si>
  <si>
    <t>Document successfully created; Document successfully merged; PDF created; !!Error Sending Emails: Service invoked too many times for one day: email.; Manually run by ecertificate75@gmail.com; Timestamp: Sep 3 2024 12:00 AM</t>
  </si>
  <si>
    <t>MUJIYATIN</t>
  </si>
  <si>
    <t>hpku4690@gmail.com</t>
  </si>
  <si>
    <t>4932</t>
  </si>
  <si>
    <t>1TmZSJxH_lY4fpo-sWJ6qq851CPZJGlNf</t>
  </si>
  <si>
    <t>https://drive.google.com/file/d/1TmZSJxH_lY4fpo-sWJ6qq851CPZJGlNf/view?usp=drivesdk</t>
  </si>
  <si>
    <t>HARIATI, S.M.</t>
  </si>
  <si>
    <t>hariati030580@gmail.com</t>
  </si>
  <si>
    <t>4933</t>
  </si>
  <si>
    <t>1Z52Qijj7z4iuYhtmn27nQdsy12RA4-KS</t>
  </si>
  <si>
    <t>https://drive.google.com/file/d/1Z52Qijj7z4iuYhtmn27nQdsy12RA4-KS/view?usp=drivesdk</t>
  </si>
  <si>
    <t>SUPRIANTO</t>
  </si>
  <si>
    <t>suprianto13031973@gmail.com</t>
  </si>
  <si>
    <t>4934</t>
  </si>
  <si>
    <t>1QfRfueWOJQxxmqk7fJ58wWuRVe9Ox8Z9</t>
  </si>
  <si>
    <t>https://drive.google.com/file/d/1QfRfueWOJQxxmqk7fJ58wWuRVe9Ox8Z9/view?usp=drivesdk</t>
  </si>
  <si>
    <t>FABER SITUMORANG</t>
  </si>
  <si>
    <t>fabersitumorang34@gmail.com</t>
  </si>
  <si>
    <t>4935</t>
  </si>
  <si>
    <t>1zUOV5czuqzJCN8wzXqXbHD8IzSX6Ea-v</t>
  </si>
  <si>
    <t>https://drive.google.com/file/d/1zUOV5czuqzJCN8wzXqXbHD8IzSX6Ea-v/view?usp=drivesdk</t>
  </si>
  <si>
    <t>Document successfully created; Document successfully merged; PDF created; !!Error Sending Emails: Service invoked too many times for one day: email.; Manually run by ecertificate75@gmail.com; Timestamp: Sep 3 2024 12:01 AM</t>
  </si>
  <si>
    <t>YULI WAHYUNING ASTUTI</t>
  </si>
  <si>
    <t>yuliasnkediri@gmail.com</t>
  </si>
  <si>
    <t>4936</t>
  </si>
  <si>
    <t>1qhYh4yjk0J8a5cWv5XnaxwnP3O3WcUl-</t>
  </si>
  <si>
    <t>https://drive.google.com/file/d/1qhYh4yjk0J8a5cWv5XnaxwnP3O3WcUl-/view?usp=drivesdk</t>
  </si>
  <si>
    <t>TICTIN ROSEVELT SARAGI</t>
  </si>
  <si>
    <t>tictinsidabalok@gmail.com</t>
  </si>
  <si>
    <t>4937</t>
  </si>
  <si>
    <t>1IeuRYoEQxgxS19Ut2YU5W3HYA07EBUcj</t>
  </si>
  <si>
    <t>https://drive.google.com/file/d/1IeuRYoEQxgxS19Ut2YU5W3HYA07EBUcj/view?usp=drivesdk</t>
  </si>
  <si>
    <t>EMMY KRISTIANI, S.Sos</t>
  </si>
  <si>
    <t>deborachristy71@gmail.com</t>
  </si>
  <si>
    <t>4938</t>
  </si>
  <si>
    <t>1hq4FUVRFBbVeGivXfi17rg4DWXy1sUvo</t>
  </si>
  <si>
    <t>https://drive.google.com/file/d/1hq4FUVRFBbVeGivXfi17rg4DWXy1sUvo/view?usp=drivesdk</t>
  </si>
  <si>
    <t>LILIK MIASIH</t>
  </si>
  <si>
    <t>lilik.miasih03@gmail.com</t>
  </si>
  <si>
    <t>4939</t>
  </si>
  <si>
    <t>https://drive.google.com/file/d/1P_ejFo5q8xtCDTZfGI9ZL32rTXnu_gvw/view?usp=drivesdk</t>
  </si>
  <si>
    <t>1P_ejFo5q8xtCDTZfGI9ZL32rTXnu_gvw</t>
  </si>
  <si>
    <t>1LVF2zgdsDLzlr3krgfEYF41GxXYQ2bf9</t>
  </si>
  <si>
    <t>https://drive.google.com/file/d/1LVF2zgdsDLzlr3krgfEYF41GxXYQ2bf9/view?usp=drivesdk</t>
  </si>
  <si>
    <t>Document successfully created; Document successfully merged; PDF created; !!Error Sending Emails: Service invoked too many times for one day: email.; Manually run by ecertificate75@gmail.com; Timestamp: Sep 3 2024 12:02 AM</t>
  </si>
  <si>
    <t xml:space="preserve">ELISMAWATY NASUTION </t>
  </si>
  <si>
    <t>elismawaty82@gmail.com</t>
  </si>
  <si>
    <t>4940</t>
  </si>
  <si>
    <t>https://drive.google.com/file/d/1PDt37VyDCP5IYxgkwisv21l6oZP45f4e/view?usp=drivesdk</t>
  </si>
  <si>
    <t>1PDt37VyDCP5IYxgkwisv21l6oZP45f4e</t>
  </si>
  <si>
    <t>1YkOmEJpqlw4sGyHNNbDeJirRUe9R22Ga</t>
  </si>
  <si>
    <t>https://drive.google.com/file/d/1YkOmEJpqlw4sGyHNNbDeJirRUe9R22Ga/view?usp=drivesdk</t>
  </si>
  <si>
    <t>AWALUDIN</t>
  </si>
  <si>
    <t>Sugandaas347@gmail.com</t>
  </si>
  <si>
    <t>4941</t>
  </si>
  <si>
    <t>Starting at Thu Aug 29 2024 21:31:51 GMT-0400 (EDT)</t>
  </si>
  <si>
    <t>1GOHJQSoCN2RriSgbbKXIkJ0I66b2yuvp</t>
  </si>
  <si>
    <t>https://drive.google.com/file/d/1GOHJQSoCN2RriSgbbKXIkJ0I66b2yuvp/view?usp=drivesdk</t>
  </si>
  <si>
    <t>NURLINA PAMBAYUNI, AMD</t>
  </si>
  <si>
    <t>pambayun1006@gmail.con</t>
  </si>
  <si>
    <t>4942</t>
  </si>
  <si>
    <t>1envd7TnulXNDLiq1Nolpx2bG6EywnGP8</t>
  </si>
  <si>
    <t>https://drive.google.com/file/d/1envd7TnulXNDLiq1Nolpx2bG6EywnGP8/view?usp=drivesdk</t>
  </si>
  <si>
    <t xml:space="preserve">NOER FAIZAH </t>
  </si>
  <si>
    <t>noerfaizah1980@gmail.com</t>
  </si>
  <si>
    <t>4943</t>
  </si>
  <si>
    <t>1-0-7sln5hHIiGYtvphuQRTWdTSMx9Eto</t>
  </si>
  <si>
    <t>https://drive.google.com/file/d/1-0-7sln5hHIiGYtvphuQRTWdTSMx9Eto/view?usp=drivesdk</t>
  </si>
  <si>
    <t>Document successfully created; Document successfully merged; PDF created; !!Error Sending Emails: Service invoked too many times for one day: email.; Manually run by ecertificate75@gmail.com; Timestamp: Sep 3 2024 12:03 AM</t>
  </si>
  <si>
    <t>TRI MEIDAWATI. SH</t>
  </si>
  <si>
    <t>trimeidawati120573@gmail.com</t>
  </si>
  <si>
    <t>4944</t>
  </si>
  <si>
    <t>1YDmd_4EX1y56aDYrtSoGh_kGuDS7rJtN</t>
  </si>
  <si>
    <t>https://drive.google.com/file/d/1YDmd_4EX1y56aDYrtSoGh_kGuDS7rJtN/view?usp=drivesdk</t>
  </si>
  <si>
    <t>Agus Toni Bangun</t>
  </si>
  <si>
    <t>tony.nangin@gmail.com</t>
  </si>
  <si>
    <t>4945</t>
  </si>
  <si>
    <t>1sw-WtHdHmzmaTAABLbgh4PgihGWDDYqx</t>
  </si>
  <si>
    <t>https://drive.google.com/file/d/1sw-WtHdHmzmaTAABLbgh4PgihGWDDYqx/view?usp=drivesdk</t>
  </si>
  <si>
    <t>DARWIN JONI</t>
  </si>
  <si>
    <t>darwin.joni@gmail.com</t>
  </si>
  <si>
    <t>4946</t>
  </si>
  <si>
    <t>1NMKzTRIc-WPyoB-vPUFpx2fuqfwRxi6B</t>
  </si>
  <si>
    <t>https://drive.google.com/file/d/1NMKzTRIc-WPyoB-vPUFpx2fuqfwRxi6B/view?usp=drivesdk</t>
  </si>
  <si>
    <t>Document successfully created; Document successfully merged; PDF created; !!Error Sending Emails: Service invoked too many times for one day: email.; Manually run by ecertificate75@gmail.com; Timestamp: Sep 3 2024 12:04 AM</t>
  </si>
  <si>
    <t>YURIA EVIANA,S Kep</t>
  </si>
  <si>
    <t>yuriaeviana@yahoo.com</t>
  </si>
  <si>
    <t>4947</t>
  </si>
  <si>
    <t>1ApLc0b06FsUtBTCiZuvhG4BRwcdCSaX1</t>
  </si>
  <si>
    <t>https://drive.google.com/file/d/1ApLc0b06FsUtBTCiZuvhG4BRwcdCSaX1/view?usp=drivesdk</t>
  </si>
  <si>
    <t>EVA HARIYANY</t>
  </si>
  <si>
    <t>evahariyany81@gmail.com</t>
  </si>
  <si>
    <t>4948</t>
  </si>
  <si>
    <t>124a23zzmH1B1AP76UEAKrhZTa-M8NblY</t>
  </si>
  <si>
    <t>https://drive.google.com/file/d/124a23zzmH1B1AP76UEAKrhZTa-M8NblY/view?usp=drivesdk</t>
  </si>
  <si>
    <t>WIJAYA INDRA PRABHAWA, S.Pd.</t>
  </si>
  <si>
    <t>wijayaindraprabhawa@gmail.com</t>
  </si>
  <si>
    <t>4949</t>
  </si>
  <si>
    <t>1iE0w6E2osCTNphUMZ6dPrikq9nPyX4aF</t>
  </si>
  <si>
    <t>https://drive.google.com/file/d/1iE0w6E2osCTNphUMZ6dPrikq9nPyX4aF/view?usp=drivesdk</t>
  </si>
  <si>
    <t>HARYANTA</t>
  </si>
  <si>
    <t>haryantablb@gmail.com</t>
  </si>
  <si>
    <t>4950</t>
  </si>
  <si>
    <t>https://drive.google.com/file/d/1sEQECUT7EdlY5IdL0-xvAHh05JAGCU0J/view?usp=drivesdk</t>
  </si>
  <si>
    <t>1sEQECUT7EdlY5IdL0-xvAHh05JAGCU0J</t>
  </si>
  <si>
    <t>1aDGqr13gUdV-OfbgAcDIFgMmhcKmzznU</t>
  </si>
  <si>
    <t>https://drive.google.com/file/d/1aDGqr13gUdV-OfbgAcDIFgMmhcKmzznU/view?usp=drivesdk</t>
  </si>
  <si>
    <t>HOLIPAH</t>
  </si>
  <si>
    <t>holipah1616@gmail.com</t>
  </si>
  <si>
    <t>4951</t>
  </si>
  <si>
    <t>https://drive.google.com/file/d/16ebK3MwzJPP9w96vEOYSw2GB58sJ7hYN/view?usp=drivesdk</t>
  </si>
  <si>
    <t>16ebK3MwzJPP9w96vEOYSw2GB58sJ7hYN</t>
  </si>
  <si>
    <t>1kl-hknGcRrqP9Ar4JGSgOtcheAWaHuwU</t>
  </si>
  <si>
    <t>https://drive.google.com/file/d/1kl-hknGcRrqP9Ar4JGSgOtcheAWaHuwU/view?usp=drivesdk</t>
  </si>
  <si>
    <t>Document successfully created; Document successfully merged; PDF created; !!Error Sending Emails: Service invoked too many times for one day: email.; Manually run by ecertificate75@gmail.com; Timestamp: Sep 3 2024 12:05 AM</t>
  </si>
  <si>
    <t>FITRIA MUSLIMAH BERTIEN, A.Md.Keb.</t>
  </si>
  <si>
    <t>bertiengalaxy@gmail.com</t>
  </si>
  <si>
    <t>4952</t>
  </si>
  <si>
    <t>Starting at Thu Aug 29 2024 21:31:52 GMT-0400 (EDT)</t>
  </si>
  <si>
    <t>12gcUw7jZhOfFZkLjqYg795qLgFAn-Vsf</t>
  </si>
  <si>
    <t>https://drive.google.com/file/d/12gcUw7jZhOfFZkLjqYg795qLgFAn-Vsf/view?usp=drivesdk</t>
  </si>
  <si>
    <t xml:space="preserve">Arief Binsar Tampubolon </t>
  </si>
  <si>
    <t>ariefbinsar@gmail.com</t>
  </si>
  <si>
    <t>4953</t>
  </si>
  <si>
    <t>https://drive.google.com/file/d/1c2XfaABBQiZ4QBW9DPh7VrjSjwrDIVzw/view?usp=drivesdk</t>
  </si>
  <si>
    <t>1c2XfaABBQiZ4QBW9DPh7VrjSjwrDIVzw</t>
  </si>
  <si>
    <t>1538Kq6N0gdf0klNoAMXxH_Sg4SXZ72bx</t>
  </si>
  <si>
    <t>https://drive.google.com/file/d/1538Kq6N0gdf0klNoAMXxH_Sg4SXZ72bx/view?usp=drivesdk</t>
  </si>
  <si>
    <t>Document successfully created; Document successfully merged; PDF created; !!Error Sending Emails: Service invoked too many times for one day: email.; Manually run by ecertificate75@gmail.com; Timestamp: Sep 3 2024 12:06 AM</t>
  </si>
  <si>
    <t>RIDWAN PANJAITAN</t>
  </si>
  <si>
    <t>panjaitanridwan87@gmail.com</t>
  </si>
  <si>
    <t>4954</t>
  </si>
  <si>
    <t>https://drive.google.com/file/d/13s8rva-mIHGlCcrKnf7eEhYeRsQbKzuH/view?usp=drivesdk</t>
  </si>
  <si>
    <t>13s8rva-mIHGlCcrKnf7eEhYeRsQbKzuH</t>
  </si>
  <si>
    <t>1oYnAXtcH6snFqCnfCE0T7GBq_9AzG0rT</t>
  </si>
  <si>
    <t>https://drive.google.com/file/d/1oYnAXtcH6snFqCnfCE0T7GBq_9AzG0rT/view?usp=drivesdk</t>
  </si>
  <si>
    <t>haryowahyu.wibowo@gmail.com</t>
  </si>
  <si>
    <t>4955</t>
  </si>
  <si>
    <t>https://drive.google.com/file/d/1HU-A2n_QRGtLw9QyBzjM_oOKxxzetoIa/view?usp=drivesdk</t>
  </si>
  <si>
    <t>1HU-A2n_QRGtLw9QyBzjM_oOKxxzetoIa</t>
  </si>
  <si>
    <t>15HcEbMWiLeCvQn1_ET2U8yblAbB7Zf7Y</t>
  </si>
  <si>
    <t>https://drive.google.com/file/d/15HcEbMWiLeCvQn1_ET2U8yblAbB7Zf7Y/view?usp=drivesdk</t>
  </si>
  <si>
    <t>SRI WAHYUNI, S.Sos</t>
  </si>
  <si>
    <t>sriwahyuni.doloksaribu@gmail.com</t>
  </si>
  <si>
    <t>4956</t>
  </si>
  <si>
    <t>Starting at Thu Aug 29 2024 21:31:56 GMT-0400 (EDT)</t>
  </si>
  <si>
    <t>1u1ZW7UqxxbHEEmE5iSbV1eRvWqU1M7wK</t>
  </si>
  <si>
    <t>https://drive.google.com/file/d/1u1ZW7UqxxbHEEmE5iSbV1eRvWqU1M7wK/view?usp=drivesdk</t>
  </si>
  <si>
    <t>ASLINIA HULU,S.KEP</t>
  </si>
  <si>
    <t>aslinia.hulu15@gmail.com</t>
  </si>
  <si>
    <t>4957</t>
  </si>
  <si>
    <t>https://drive.google.com/file/d/1P9_nlDjCGZWKJlp9X2N5ZT9YFygiDkCA/view?usp=drivesdk</t>
  </si>
  <si>
    <t>1P9_nlDjCGZWKJlp9X2N5ZT9YFygiDkCA</t>
  </si>
  <si>
    <t>1UaqiFRrtn7nsqhiLRsz6jQFJtsAasBOl</t>
  </si>
  <si>
    <t>https://drive.google.com/file/d/1UaqiFRrtn7nsqhiLRsz6jQFJtsAasBOl/view?usp=drivesdk</t>
  </si>
  <si>
    <t>Document successfully created; Document successfully merged; PDF created; !!Error Sending Emails: Service invoked too many times for one day: email.; Manually run by ecertificate75@gmail.com; Timestamp: Sep 3 2024 12:07 AM</t>
  </si>
  <si>
    <t>ASIKIN NOOR, S.H</t>
  </si>
  <si>
    <t>asikinnoor96@gmail.com</t>
  </si>
  <si>
    <t>4958</t>
  </si>
  <si>
    <t>Starting at Thu Aug 29 2024 21:31:59 GMT-0400 (EDT)</t>
  </si>
  <si>
    <t>13SluU9REZE19YuMBbUDA7ijqt3pFMZL3</t>
  </si>
  <si>
    <t>https://drive.google.com/file/d/13SluU9REZE19YuMBbUDA7ijqt3pFMZL3/view?usp=drivesdk</t>
  </si>
  <si>
    <t>TITIN LAYONSARI SM</t>
  </si>
  <si>
    <t>l4yon9999@gmail.com</t>
  </si>
  <si>
    <t>4959</t>
  </si>
  <si>
    <t>https://drive.google.com/file/d/1AdiFfZq3bWEOx96LxUAeiI5kAx2nP621/view?usp=drivesdk</t>
  </si>
  <si>
    <t>1AdiFfZq3bWEOx96LxUAeiI5kAx2nP621</t>
  </si>
  <si>
    <t>178F71g7PYPr2w0cQh1e8nxWdH0YyTeUI</t>
  </si>
  <si>
    <t>https://drive.google.com/file/d/178F71g7PYPr2w0cQh1e8nxWdH0YyTeUI/view?usp=drivesdk</t>
  </si>
  <si>
    <t>SUNARTO</t>
  </si>
  <si>
    <t>sunartolodho@gmail.com</t>
  </si>
  <si>
    <t>4960</t>
  </si>
  <si>
    <t>Starting at Thu Aug 29 2024 21:32:05 GMT-0400 (EDT)</t>
  </si>
  <si>
    <t>1fEQ_dLPEhJ48_zYtBovM5JDake0qPwHc</t>
  </si>
  <si>
    <t>https://drive.google.com/file/d/1fEQ_dLPEhJ48_zYtBovM5JDake0qPwHc/view?usp=drivesdk</t>
  </si>
  <si>
    <t>ERNA WIJAYATI</t>
  </si>
  <si>
    <t>wijayatierna04@gmail.com</t>
  </si>
  <si>
    <t>4961</t>
  </si>
  <si>
    <t>1ZWTHWC29sNRT2WpzrsKMEHAVKDGyP8X_</t>
  </si>
  <si>
    <t>https://drive.google.com/file/d/1ZWTHWC29sNRT2WpzrsKMEHAVKDGyP8X_/view?usp=drivesdk</t>
  </si>
  <si>
    <t>KIKI FAURINA, SE</t>
  </si>
  <si>
    <t>kikicintadaryono13@gmail.com</t>
  </si>
  <si>
    <t>4962</t>
  </si>
  <si>
    <t>1Ujfl2XnNmSn2l9nVBr0C8sYTNYuA70rT</t>
  </si>
  <si>
    <t>https://drive.google.com/file/d/1Ujfl2XnNmSn2l9nVBr0C8sYTNYuA70rT/view?usp=drivesdk</t>
  </si>
  <si>
    <t>Document successfully created; Document successfully merged; PDF created; !!Error Sending Emails: Service invoked too many times for one day: email.; Manually run by ecertificate75@gmail.com; Timestamp: Sep 3 2024 12:08 AM</t>
  </si>
  <si>
    <t xml:space="preserve">HARIANI MAGDALENA </t>
  </si>
  <si>
    <t>harianilena249@gmail.com</t>
  </si>
  <si>
    <t>4963</t>
  </si>
  <si>
    <t>1u77NokkLC7IuUag-2e7aYQ6lj-8rW2c8</t>
  </si>
  <si>
    <t>https://drive.google.com/file/d/1u77NokkLC7IuUag-2e7aYQ6lj-8rW2c8/view?usp=drivesdk</t>
  </si>
  <si>
    <t>RAFI YULITA</t>
  </si>
  <si>
    <t>rafi.yulita2006@gmail.com</t>
  </si>
  <si>
    <t>4964</t>
  </si>
  <si>
    <t>1efO7EJK_w8_tnpapXvUrBEQ5u0t7fEtO</t>
  </si>
  <si>
    <t>https://drive.google.com/file/d/1efO7EJK_w8_tnpapXvUrBEQ5u0t7fEtO/view?usp=drivesdk</t>
  </si>
  <si>
    <t>ENY PUTRANTI BASKARININGSIH, A.MD</t>
  </si>
  <si>
    <t>enyasih@gmail.com</t>
  </si>
  <si>
    <t>4965</t>
  </si>
  <si>
    <t>Starting at Thu Aug 29 2024 21:32:06 GMT-0400 (EDT)</t>
  </si>
  <si>
    <t>1WMhy6amIFjgcq9iKG-HN5yznlIdspb6_</t>
  </si>
  <si>
    <t>https://drive.google.com/file/d/1WMhy6amIFjgcq9iKG-HN5yznlIdspb6_/view?usp=drivesdk</t>
  </si>
  <si>
    <t>IKBAL AL RASYID, S.Kom</t>
  </si>
  <si>
    <t>si3.8b4ll@gmail.com</t>
  </si>
  <si>
    <t>4966</t>
  </si>
  <si>
    <t>1trfk4dnM7ChkBLQyiTsyN10tPbBJIQol</t>
  </si>
  <si>
    <t>https://drive.google.com/file/d/1trfk4dnM7ChkBLQyiTsyN10tPbBJIQol/view?usp=drivesdk</t>
  </si>
  <si>
    <t xml:space="preserve">INDAH HADIAWATI </t>
  </si>
  <si>
    <t>indahhadiawati@gmail.com</t>
  </si>
  <si>
    <t>4967</t>
  </si>
  <si>
    <t>13CK56rRsuYkvaVerWSEBvz8FVOnpTt9F</t>
  </si>
  <si>
    <t>https://drive.google.com/file/d/13CK56rRsuYkvaVerWSEBvz8FVOnpTt9F/view?usp=drivesdk</t>
  </si>
  <si>
    <t>Document successfully created; Document successfully merged; PDF created; !!Error Sending Emails: Service invoked too many times for one day: email.; Manually run by ecertificate75@gmail.com; Timestamp: Sep 3 2024 12:09 AM</t>
  </si>
  <si>
    <t>MUHAMMAD SIDDIQ AMRULLAH</t>
  </si>
  <si>
    <t>197508202006041002@polri.go.id</t>
  </si>
  <si>
    <t>4968</t>
  </si>
  <si>
    <t>1jR_NKVQ9SvAI9-3Jx3lNZtuKwWofkIUP</t>
  </si>
  <si>
    <t>https://drive.google.com/file/d/1jR_NKVQ9SvAI9-3Jx3lNZtuKwWofkIUP/view?usp=drivesdk</t>
  </si>
  <si>
    <t>SUCIATI</t>
  </si>
  <si>
    <t>suciqu1981@gmai.com</t>
  </si>
  <si>
    <t>4969</t>
  </si>
  <si>
    <t>1g40elV4AHrru4rnpw4vKuNfa1Sfrjdcf</t>
  </si>
  <si>
    <t>https://drive.google.com/file/d/1g40elV4AHrru4rnpw4vKuNfa1Sfrjdcf/view?usp=drivesdk</t>
  </si>
  <si>
    <t>PRIO PRIONO NUGROHO, S.H.</t>
  </si>
  <si>
    <t>iyonugroho30@gmail.com</t>
  </si>
  <si>
    <t>4970</t>
  </si>
  <si>
    <t>https://drive.google.com/file/d/115zWjMcC-hF4SKhXHLhwFjbJ3W-nOkOD/view?usp=drivesdk</t>
  </si>
  <si>
    <t>115zWjMcC-hF4SKhXHLhwFjbJ3W-nOkOD</t>
  </si>
  <si>
    <t>1vi_hD4lXPICdWgZ_PR5HQlirhWwjqlo4</t>
  </si>
  <si>
    <t>https://drive.google.com/file/d/1vi_hD4lXPICdWgZ_PR5HQlirhWwjqlo4/view?usp=drivesdk</t>
  </si>
  <si>
    <t>BATAS BANJARNAHOR</t>
  </si>
  <si>
    <t>banjarnahorbatas@gmai.com</t>
  </si>
  <si>
    <t>4971</t>
  </si>
  <si>
    <t>Starting at Thu Aug 29 2024 21:32:16 GMT-0400 (EDT)</t>
  </si>
  <si>
    <t>13JalX0ekna86-Oj6KQiaImHiRTHX-Sp4</t>
  </si>
  <si>
    <t>https://drive.google.com/file/d/13JalX0ekna86-Oj6KQiaImHiRTHX-Sp4/view?usp=drivesdk</t>
  </si>
  <si>
    <t>Document successfully created; Document successfully merged; PDF created; !!Error Sending Emails: Service invoked too many times for one day: email.; Manually run by ecertificate75@gmail.com; Timestamp: Sep 3 2024 12:10 AM</t>
  </si>
  <si>
    <t>Tuti Karya Milu Wati</t>
  </si>
  <si>
    <t>tutytoyo@gmail.com</t>
  </si>
  <si>
    <t>4972</t>
  </si>
  <si>
    <t>1XIcRZkXbQpXtYgq96ZN6OzoNlkOx7rtO</t>
  </si>
  <si>
    <t>https://drive.google.com/file/d/1XIcRZkXbQpXtYgq96ZN6OzoNlkOx7rtO/view?usp=drivesdk</t>
  </si>
  <si>
    <t xml:space="preserve">ROBERTUS WAHYU HARIYANTO </t>
  </si>
  <si>
    <t>wahyuhry@gmail.com</t>
  </si>
  <si>
    <t>4973</t>
  </si>
  <si>
    <t>176bigRIy-_c4HgyYVBFeATTLyw-QjqYB</t>
  </si>
  <si>
    <t>https://drive.google.com/file/d/176bigRIy-_c4HgyYVBFeATTLyw-QjqYB/view?usp=drivesdk</t>
  </si>
  <si>
    <t>arij04757@gmail.com</t>
  </si>
  <si>
    <t>4974</t>
  </si>
  <si>
    <t>1ON3nBcUjrvcqxqzl62HSiOny4v554I9e</t>
  </si>
  <si>
    <t>https://drive.google.com/file/d/1ON3nBcUjrvcqxqzl62HSiOny4v554I9e/view?usp=drivesdk</t>
  </si>
  <si>
    <t>AGUNG WIDYASMORO, S.E.</t>
  </si>
  <si>
    <t>agung.fizbow@gmail.com</t>
  </si>
  <si>
    <t>4975</t>
  </si>
  <si>
    <t>1l6WhNdHqnG4ju0bz32sw_33LJjh-xnko</t>
  </si>
  <si>
    <t>https://drive.google.com/file/d/1l6WhNdHqnG4ju0bz32sw_33LJjh-xnko/view?usp=drivesdk</t>
  </si>
  <si>
    <t xml:space="preserve">AGUSTINA ENY HARIANTI, S. M. </t>
  </si>
  <si>
    <t>agustinaeni230@gmail.com</t>
  </si>
  <si>
    <t>4976</t>
  </si>
  <si>
    <t>1GiCPiSdYy14ld94dpDFapp8cKcMWfFmT</t>
  </si>
  <si>
    <t>https://drive.google.com/file/d/1GiCPiSdYy14ld94dpDFapp8cKcMWfFmT/view?usp=drivesdk</t>
  </si>
  <si>
    <t>Document successfully created; Document successfully merged; PDF created; !!Error Sending Emails: Service invoked too many times for one day: email.; Manually run by ecertificate75@gmail.com; Timestamp: Sep 3 2024 12:11 AM</t>
  </si>
  <si>
    <t>CAPRINTANOVA VIRGOZANI, S.E.</t>
  </si>
  <si>
    <t>caprintanova@gmail.com</t>
  </si>
  <si>
    <t>4977</t>
  </si>
  <si>
    <t>1DDjcowU08GWfLJpodLvaMgmqnT6ZrEYV</t>
  </si>
  <si>
    <t>https://drive.google.com/file/d/1DDjcowU08GWfLJpodLvaMgmqnT6ZrEYV/view?usp=drivesdk</t>
  </si>
  <si>
    <t>HARI WIJAYATI</t>
  </si>
  <si>
    <t>hari.narkoba@gmail.com</t>
  </si>
  <si>
    <t>4978</t>
  </si>
  <si>
    <t>1rgFSiXGTn4ky1geazqRXXuGYeIEJBv75</t>
  </si>
  <si>
    <t>https://drive.google.com/file/d/1rgFSiXGTn4ky1geazqRXXuGYeIEJBv75/view?usp=drivesdk</t>
  </si>
  <si>
    <t>YUSPIDIANI</t>
  </si>
  <si>
    <t>dianiyuspi@gmail.com</t>
  </si>
  <si>
    <t>4979</t>
  </si>
  <si>
    <t>16JtL24_4PHIl3gbKxoepYTHbzRoSsNsV</t>
  </si>
  <si>
    <t>https://drive.google.com/file/d/16JtL24_4PHIl3gbKxoepYTHbzRoSsNsV/view?usp=drivesdk</t>
  </si>
  <si>
    <t xml:space="preserve">SYAMSUL EDUARD, SE </t>
  </si>
  <si>
    <t>detrinengsi261@gmail.com</t>
  </si>
  <si>
    <t>4980</t>
  </si>
  <si>
    <t>1-4qa6NM3Syk1raUa75fWuGfQpbngCyB9</t>
  </si>
  <si>
    <t>https://drive.google.com/file/d/1-4qa6NM3Syk1raUa75fWuGfQpbngCyB9/view?usp=drivesdk</t>
  </si>
  <si>
    <t>Document successfully created; Document successfully merged; PDF created; !!Error Sending Emails: Service invoked too many times for one day: email.; Manually run by ecertificate75@gmail.com; Timestamp: Sep 3 2024 12:12 AM</t>
  </si>
  <si>
    <t>SRI INDRAWATI,SE</t>
  </si>
  <si>
    <t>sriindrawati894@gmail.com</t>
  </si>
  <si>
    <t>4981</t>
  </si>
  <si>
    <t>Starting at Thu Aug 29 2024 21:32:17 GMT-0400 (EDT)</t>
  </si>
  <si>
    <t>1Ek1GFFx1lLDoSoGx7kVh3UGRDMrCSduc</t>
  </si>
  <si>
    <t>https://drive.google.com/file/d/1Ek1GFFx1lLDoSoGx7kVh3UGRDMrCSduc/view?usp=drivesdk</t>
  </si>
  <si>
    <t>RANI YULIANTI, SH</t>
  </si>
  <si>
    <t>raniyulianti907@gmail.com</t>
  </si>
  <si>
    <t>4982</t>
  </si>
  <si>
    <t>1Y6loUYCmB9e2dxNjM1wZE3YYCQ5b4k3y</t>
  </si>
  <si>
    <t>https://drive.google.com/file/d/1Y6loUYCmB9e2dxNjM1wZE3YYCQ5b4k3y/view?usp=drivesdk</t>
  </si>
  <si>
    <t>SUWARTI,SH</t>
  </si>
  <si>
    <t>wete273@gmail.com</t>
  </si>
  <si>
    <t>4983</t>
  </si>
  <si>
    <t>1D0pzwamHwaR8iBsHRkfXrVKXO3iLWRbU</t>
  </si>
  <si>
    <t>https://drive.google.com/file/d/1D0pzwamHwaR8iBsHRkfXrVKXO3iLWRbU/view?usp=drivesdk</t>
  </si>
  <si>
    <t>CAHYANI ISMAWATI</t>
  </si>
  <si>
    <t>cahyani.ismawati@gmail.com</t>
  </si>
  <si>
    <t>4984</t>
  </si>
  <si>
    <t>1EY3y8cUJgVzKZ4i1qKEMJHpZS00TPViT</t>
  </si>
  <si>
    <t>https://drive.google.com/file/d/1EY3y8cUJgVzKZ4i1qKEMJHpZS00TPViT/view?usp=drivesdk</t>
  </si>
  <si>
    <t>Document successfully created; Document successfully merged; PDF created; !!Error Sending Emails: Service invoked too many times for one day: email.; Manually run by ecertificate75@gmail.com; Timestamp: Sep 3 2024 12:13 AM</t>
  </si>
  <si>
    <t>RINI YULITA, S. Farm</t>
  </si>
  <si>
    <t>riniyulita78@gmail.com</t>
  </si>
  <si>
    <t>4985</t>
  </si>
  <si>
    <t>12jC0mrw9dGneqkyrIcc6UBxYbYwyei8O</t>
  </si>
  <si>
    <t>https://drive.google.com/file/d/12jC0mrw9dGneqkyrIcc6UBxYbYwyei8O/view?usp=drivesdk</t>
  </si>
  <si>
    <t>ELFRIDA SIMAMORA</t>
  </si>
  <si>
    <t>elfrida081169@gmail.com</t>
  </si>
  <si>
    <t>4986</t>
  </si>
  <si>
    <t>1KlEFSaNWwws89KUE8CsntOvVwAAcfQ5k</t>
  </si>
  <si>
    <t>https://drive.google.com/file/d/1KlEFSaNWwws89KUE8CsntOvVwAAcfQ5k/view?usp=drivesdk</t>
  </si>
  <si>
    <t>NURMUALIMIN S kep Ns</t>
  </si>
  <si>
    <t>nur2019876@gmail.com</t>
  </si>
  <si>
    <t>4987</t>
  </si>
  <si>
    <t>1gEDYsk8n59lqKmFy74kBEpVS1URh53bE</t>
  </si>
  <si>
    <t>https://drive.google.com/file/d/1gEDYsk8n59lqKmFy74kBEpVS1URh53bE/view?usp=drivesdk</t>
  </si>
  <si>
    <t>DIAN EKA PRASMINTA SARI</t>
  </si>
  <si>
    <t>dhyandee25@gmail.com</t>
  </si>
  <si>
    <t>4988</t>
  </si>
  <si>
    <t>1ttzAIetZPYs0E3QX9VGdnhW10dV1fI63</t>
  </si>
  <si>
    <t>https://drive.google.com/file/d/1ttzAIetZPYs0E3QX9VGdnhW10dV1fI63/view?usp=drivesdk</t>
  </si>
  <si>
    <t>Rosita Yuni Andrianingsih, S.Kep</t>
  </si>
  <si>
    <t>rositayuni96@gmail.com</t>
  </si>
  <si>
    <t>4989</t>
  </si>
  <si>
    <t>1VlpkvvZZPoJpK3AzhTkqEdy6Q80DkW8T</t>
  </si>
  <si>
    <t>https://drive.google.com/file/d/1VlpkvvZZPoJpK3AzhTkqEdy6Q80DkW8T/view?usp=drivesdk</t>
  </si>
  <si>
    <t>Document successfully created; Document successfully merged; PDF created; !!Error Sending Emails: Service invoked too many times for one day: email.; Manually run by ecertificate75@gmail.com; Timestamp: Sep 3 2024 12:14 AM</t>
  </si>
  <si>
    <t>sabrisabrina1950@gmail.com</t>
  </si>
  <si>
    <t>4990</t>
  </si>
  <si>
    <t>1kBZcAWf85kdU5VTijcUBblSVih-l2vNl</t>
  </si>
  <si>
    <t>https://drive.google.com/file/d/1kBZcAWf85kdU5VTijcUBblSVih-l2vNl/view?usp=drivesdk</t>
  </si>
  <si>
    <t>ASMITA AULIA, A.Md.Kep</t>
  </si>
  <si>
    <t>asmitaulia@gmail.com</t>
  </si>
  <si>
    <t>4991</t>
  </si>
  <si>
    <t>1ng1Relam5srfs-vCFOdGdy7J849imszG</t>
  </si>
  <si>
    <t>https://drive.google.com/file/d/1ng1Relam5srfs-vCFOdGdy7J849imszG/view?usp=drivesdk</t>
  </si>
  <si>
    <t>dr. CICILIA DRANA SISKAWATY B</t>
  </si>
  <si>
    <t>ena_3ben@yahoo.com</t>
  </si>
  <si>
    <t>4992</t>
  </si>
  <si>
    <t>1wxZDrjaNgo1kYKfClEH8010Ov3qWqqi_</t>
  </si>
  <si>
    <t>https://drive.google.com/file/d/1wxZDrjaNgo1kYKfClEH8010Ov3qWqqi_/view?usp=drivesdk</t>
  </si>
  <si>
    <t>TUTI HANDAYANI G</t>
  </si>
  <si>
    <t>gatottutihandayani@gmail.com</t>
  </si>
  <si>
    <t>4993</t>
  </si>
  <si>
    <t>1lE3S04qVqRjxhGeYUL337-yAvDTKg5UK</t>
  </si>
  <si>
    <t>https://drive.google.com/file/d/1lE3S04qVqRjxhGeYUL337-yAvDTKg5UK/view?usp=drivesdk</t>
  </si>
  <si>
    <t>DAFREL.S.Sos</t>
  </si>
  <si>
    <t>dafrel1968@gmail.com</t>
  </si>
  <si>
    <t>4994</t>
  </si>
  <si>
    <t>1tdBddM1ZZ16MH9rbvbOC08vaDnAsdzTX</t>
  </si>
  <si>
    <t>https://drive.google.com/file/d/1tdBddM1ZZ16MH9rbvbOC08vaDnAsdzTX/view?usp=drivesdk</t>
  </si>
  <si>
    <t xml:space="preserve">PARINSAN NAIBAHO </t>
  </si>
  <si>
    <t>sincannaibaho@gmail.com</t>
  </si>
  <si>
    <t>4995</t>
  </si>
  <si>
    <t>12fYqyHlZHjC-K3PlBuBtr78IzE6rDely</t>
  </si>
  <si>
    <t>https://drive.google.com/file/d/12fYqyHlZHjC-K3PlBuBtr78IzE6rDely/view?usp=drivesdk</t>
  </si>
  <si>
    <t>Document successfully created; Document successfully merged; PDF created; !!Error Sending Emails: Service invoked too many times for one day: email.; Manually run by ecertificate75@gmail.com; Timestamp: Sep 3 2024 12:15 AM</t>
  </si>
  <si>
    <t>SYAMSYIDAR</t>
  </si>
  <si>
    <t>syamsyidar02@gmail.com</t>
  </si>
  <si>
    <t>4996</t>
  </si>
  <si>
    <t>1WtO7PVmepgmB5Zy4SDVcXEf3FQ5oVlhL</t>
  </si>
  <si>
    <t>https://drive.google.com/file/d/1WtO7PVmepgmB5Zy4SDVcXEf3FQ5oVlhL/view?usp=drivesdk</t>
  </si>
  <si>
    <t>FITRI D.MOHUNE</t>
  </si>
  <si>
    <t>fitrimohune56@gmail.com</t>
  </si>
  <si>
    <t>4997</t>
  </si>
  <si>
    <t>117iAr1ORfBcpL3nHyrkhxS3TlclQZ69z</t>
  </si>
  <si>
    <t>https://drive.google.com/file/d/117iAr1ORfBcpL3nHyrkhxS3TlclQZ69z/view?usp=drivesdk</t>
  </si>
  <si>
    <t>ENIK SRI WAHYUNI</t>
  </si>
  <si>
    <t>nieksriw72@gmail.com</t>
  </si>
  <si>
    <t>4998</t>
  </si>
  <si>
    <t>1bC_9TLakMokeTmujDyEngmLJ-AI9o3z3</t>
  </si>
  <si>
    <t>https://drive.google.com/file/d/1bC_9TLakMokeTmujDyEngmLJ-AI9o3z3/view?usp=drivesdk</t>
  </si>
  <si>
    <t>RETNO WIJAYANTI, A.MD.KEB</t>
  </si>
  <si>
    <t>enhowin@gmail.com</t>
  </si>
  <si>
    <t>4999</t>
  </si>
  <si>
    <t>1CA8rhjlD2gYRGqGcZlGBLiVRKFlhqpxA</t>
  </si>
  <si>
    <t>https://drive.google.com/file/d/1CA8rhjlD2gYRGqGcZlGBLiVRKFlhqpxA/view?usp=drivesdk</t>
  </si>
  <si>
    <t xml:space="preserve">ANA MULYANI </t>
  </si>
  <si>
    <t>am4mulyani@gmail.com</t>
  </si>
  <si>
    <t>5000</t>
  </si>
  <si>
    <t>Starting at Thu Aug 29 2024 21:32:21 GMT-0400 (EDT)</t>
  </si>
  <si>
    <t>1uGOvjIwT9VIVGi4DP9aWfTGj0Ycmw-P-</t>
  </si>
  <si>
    <t>https://drive.google.com/file/d/1uGOvjIwT9VIVGi4DP9aWfTGj0Ycmw-P-/view?usp=drivesdk</t>
  </si>
  <si>
    <t>Document successfully created; Document successfully merged; PDF created; !!Error Sending Emails: Service invoked too many times for one day: email.; Manually run by ecertificate75@gmail.com; Timestamp: Sep 3 2024 12:16 AM</t>
  </si>
  <si>
    <t>SRI KOMSATI</t>
  </si>
  <si>
    <t>srikomsatihj@gmail.com</t>
  </si>
  <si>
    <t>5001</t>
  </si>
  <si>
    <t>187KfhDo_qB7twZSwTbyuVLKzGkEqEgVF</t>
  </si>
  <si>
    <t>https://drive.google.com/file/d/187KfhDo_qB7twZSwTbyuVLKzGkEqEgVF/view?usp=drivesdk</t>
  </si>
  <si>
    <t>HESTI WIDIANTI</t>
  </si>
  <si>
    <t>Hestiwidianti84@gmail.com</t>
  </si>
  <si>
    <t>5002</t>
  </si>
  <si>
    <t>1l810yz884cn68UO_0L0CUT36sC-_XCG5</t>
  </si>
  <si>
    <t>https://drive.google.com/file/d/1l810yz884cn68UO_0L0CUT36sC-_XCG5/view?usp=drivesdk</t>
  </si>
  <si>
    <t>MUJIASIH</t>
  </si>
  <si>
    <t>mujiasihurkes@gmail.com</t>
  </si>
  <si>
    <t>5003</t>
  </si>
  <si>
    <t>1V017ThaNyLHAzic42T-WXDE1B3bLgC2-</t>
  </si>
  <si>
    <t>https://drive.google.com/file/d/1V017ThaNyLHAzic42T-WXDE1B3bLgC2-/view?usp=drivesdk</t>
  </si>
  <si>
    <t>Ramli Hapa Diko</t>
  </si>
  <si>
    <t>ramlidiko7306@gmai.com</t>
  </si>
  <si>
    <t>5004</t>
  </si>
  <si>
    <t>1M7Q457QSePgWnIGhTiNluPpM8gzLtLMF</t>
  </si>
  <si>
    <t>https://drive.google.com/file/d/1M7Q457QSePgWnIGhTiNluPpM8gzLtLMF/view?usp=drivesdk</t>
  </si>
  <si>
    <t>5005</t>
  </si>
  <si>
    <t>1_kAAPVPKzA-m53pLmuMXBtbsxjBKD5CE</t>
  </si>
  <si>
    <t>https://drive.google.com/file/d/1_kAAPVPKzA-m53pLmuMXBtbsxjBKD5CE/view?usp=drivesdk</t>
  </si>
  <si>
    <t>Document successfully created; Document successfully merged; PDF created; !!Error Sending Emails: Service invoked too many times for one day: email.; Manually run by ecertificate75@gmail.com; Timestamp: Sep 3 2024 12:17 AM</t>
  </si>
  <si>
    <t>DIVTIK POLRI</t>
  </si>
  <si>
    <t>TRINING KURNIASARI, S.H.</t>
  </si>
  <si>
    <t>triningkurniasari@gmail.com</t>
  </si>
  <si>
    <t>5006</t>
  </si>
  <si>
    <t>1PG8yE7bdvb2rdIdnO0jLohcZOyyErOb2</t>
  </si>
  <si>
    <t>https://drive.google.com/file/d/1PG8yE7bdvb2rdIdnO0jLohcZOyyErOb2/view?usp=drivesdk</t>
  </si>
  <si>
    <t>5007</t>
  </si>
  <si>
    <t>1wNz-BmE6PkrscrlZLUBSDpYzYQTh6zVv</t>
  </si>
  <si>
    <t>https://drive.google.com/file/d/1wNz-BmE6PkrscrlZLUBSDpYzYQTh6zVv/view?usp=drivesdk</t>
  </si>
  <si>
    <t>LALU BANU KARISMA SETIAJI A.Md.Kep</t>
  </si>
  <si>
    <t>alfatihmuslim@gmail.com</t>
  </si>
  <si>
    <t>5008</t>
  </si>
  <si>
    <t>1BKShnFex10StTiHVKCfiGnYI7qGOxVVM</t>
  </si>
  <si>
    <t>https://drive.google.com/file/d/1BKShnFex10StTiHVKCfiGnYI7qGOxVVM/view?usp=drivesdk</t>
  </si>
  <si>
    <t>EDY HARIANTO</t>
  </si>
  <si>
    <t>edychadut@gmail.com</t>
  </si>
  <si>
    <t>5009</t>
  </si>
  <si>
    <t>1N9ijXamaGOKDI1TEAAoeA0IrYlN-w60j</t>
  </si>
  <si>
    <t>https://drive.google.com/file/d/1N9ijXamaGOKDI1TEAAoeA0IrYlN-w60j/view?usp=drivesdk</t>
  </si>
  <si>
    <t xml:space="preserve">NANING RAHAYU </t>
  </si>
  <si>
    <t>naning80rahayu@gmail.com</t>
  </si>
  <si>
    <t>5010</t>
  </si>
  <si>
    <t>Starting at Thu Aug 29 2024 21:32:30 GMT-0400 (EDT)</t>
  </si>
  <si>
    <t>1daDgcwZLvFsvmzRGMhozo771dyZQmu0P</t>
  </si>
  <si>
    <t>https://drive.google.com/file/d/1daDgcwZLvFsvmzRGMhozo771dyZQmu0P/view?usp=drivesdk</t>
  </si>
  <si>
    <t>Document successfully created; Document successfully merged; PDF created; !!Error Sending Emails: Service invoked too many times for one day: email.; Manually run by ecertificate75@gmail.com; Timestamp: Sep 3 2024 12:18 AM</t>
  </si>
  <si>
    <t xml:space="preserve">ROCHMAT </t>
  </si>
  <si>
    <t>rochmatcf@gmail.com</t>
  </si>
  <si>
    <t>5011</t>
  </si>
  <si>
    <t>1MxUccWvqbhrNgE6IsrFW5hCwrBaRB_MZ</t>
  </si>
  <si>
    <t>https://drive.google.com/file/d/1MxUccWvqbhrNgE6IsrFW5hCwrBaRB_MZ/view?usp=drivesdk</t>
  </si>
  <si>
    <t>ARNI PURNOMO</t>
  </si>
  <si>
    <t>arrayz74@gmail.com</t>
  </si>
  <si>
    <t>5012</t>
  </si>
  <si>
    <t>16x-ijpBLn0MRGwceIDPkkNhQGalwKWSh</t>
  </si>
  <si>
    <t>https://drive.google.com/file/d/16x-ijpBLn0MRGwceIDPkkNhQGalwKWSh/view?usp=drivesdk</t>
  </si>
  <si>
    <t>HASNAH, S. H</t>
  </si>
  <si>
    <t>yukhasnahpurwito@gmail.com</t>
  </si>
  <si>
    <t>5013</t>
  </si>
  <si>
    <t>1jOt7rYDsj6rIBBRVKTGjzIpio8aHMdXI</t>
  </si>
  <si>
    <t>https://drive.google.com/file/d/1jOt7rYDsj6rIBBRVKTGjzIpio8aHMdXI/view?usp=drivesdk</t>
  </si>
  <si>
    <t>INDRA  YAMA  IKA</t>
  </si>
  <si>
    <t>indrayamaika@gmail.com</t>
  </si>
  <si>
    <t>5014</t>
  </si>
  <si>
    <t>18jnynZ7IMLJ89QjKm1qs1VccLcBc5z6S</t>
  </si>
  <si>
    <t>https://drive.google.com/file/d/18jnynZ7IMLJ89QjKm1qs1VccLcBc5z6S/view?usp=drivesdk</t>
  </si>
  <si>
    <t>Document successfully created; Document successfully merged; PDF created; !!Error Sending Emails: Service invoked too many times for one day: email.; Manually run by ecertificate75@gmail.com; Timestamp: Sep 3 2024 12:19 AM</t>
  </si>
  <si>
    <t>PIMIZA LUSKA</t>
  </si>
  <si>
    <t>pimi.zalus@gmail.com</t>
  </si>
  <si>
    <t>5015</t>
  </si>
  <si>
    <t>https://drive.google.com/file/d/13riJv8Ag2w2gwr-mcNrm5zL44dDqeY8j/view?usp=drivesdk</t>
  </si>
  <si>
    <t>13riJv8Ag2w2gwr-mcNrm5zL44dDqeY8j</t>
  </si>
  <si>
    <t>124NKjTVlGtSUPcztf0TjZlROHnUkYxfX</t>
  </si>
  <si>
    <t>https://drive.google.com/file/d/124NKjTVlGtSUPcztf0TjZlROHnUkYxfX/view?usp=drivesdk</t>
  </si>
  <si>
    <t>Destrian Chandra Putra., S.Pd</t>
  </si>
  <si>
    <t>de2n77@gmail.com</t>
  </si>
  <si>
    <t>5016</t>
  </si>
  <si>
    <t>https://drive.google.com/file/d/1sanEOEFYbwgrYOkiwVJ6_eA7bIHrN9R9/view?usp=drivesdk</t>
  </si>
  <si>
    <t>1sanEOEFYbwgrYOkiwVJ6_eA7bIHrN9R9</t>
  </si>
  <si>
    <t>1dnWqvDIxvf60Y1zIFEDttAbR4HxIytrz</t>
  </si>
  <si>
    <t>https://drive.google.com/file/d/1dnWqvDIxvf60Y1zIFEDttAbR4HxIytrz/view?usp=drivesdk</t>
  </si>
  <si>
    <t>ERNI RIYANTI</t>
  </si>
  <si>
    <t>erni.riyanti1984@gmail.com</t>
  </si>
  <si>
    <t>5017</t>
  </si>
  <si>
    <t>Starting at Thu Aug 29 2024 21:32:41 GMT-0400 (EDT)</t>
  </si>
  <si>
    <t>1oC8WPUzWpnvVcW33SNOBokncRXdcWjGr</t>
  </si>
  <si>
    <t>https://drive.google.com/file/d/1oC8WPUzWpnvVcW33SNOBokncRXdcWjGr/view?usp=drivesdk</t>
  </si>
  <si>
    <t>Leny Kasari Pane, S.E., M.M.</t>
  </si>
  <si>
    <t>lenypane2@gmail.com</t>
  </si>
  <si>
    <t>5018</t>
  </si>
  <si>
    <t>1lijmIUrx2wQPjXx1q6XcB-44wr4Or1jC</t>
  </si>
  <si>
    <t>https://drive.google.com/file/d/1lijmIUrx2wQPjXx1q6XcB-44wr4Or1jC/view?usp=drivesdk</t>
  </si>
  <si>
    <t>Document successfully created; Document successfully merged; PDF created; !!Error Sending Emails: Service invoked too many times for one day: email.; Manually run by ecertificate75@gmail.com; Timestamp: Sep 3 2024 12:20 AM</t>
  </si>
  <si>
    <t>BIL YENNA, SE.MM.</t>
  </si>
  <si>
    <t>bilyenna@gmail.com</t>
  </si>
  <si>
    <t>5019</t>
  </si>
  <si>
    <t>18GiVFPKS5m7Afi-WcJ_xRIzm7ftLdLRg</t>
  </si>
  <si>
    <t>https://drive.google.com/file/d/18GiVFPKS5m7Afi-WcJ_xRIzm7ftLdLRg/view?usp=drivesdk</t>
  </si>
  <si>
    <t>FEBRINTI TANGAHU, S.E.</t>
  </si>
  <si>
    <t>tangahufebrianti24@gmail.com</t>
  </si>
  <si>
    <t>5020</t>
  </si>
  <si>
    <t>1C2cC42hNEhZXkuIHzDtmRxMDN2NVv2gS</t>
  </si>
  <si>
    <t>https://drive.google.com/file/d/1C2cC42hNEhZXkuIHzDtmRxMDN2NVv2gS/view?usp=drivesdk</t>
  </si>
  <si>
    <t xml:space="preserve">HERMAN EFENDI </t>
  </si>
  <si>
    <t>herman.3f3ndi82@gmail.com</t>
  </si>
  <si>
    <t>5021</t>
  </si>
  <si>
    <t>1usPAxoHskhIDg_gDvZF_V0kw5qPLNFHc</t>
  </si>
  <si>
    <t>https://drive.google.com/file/d/1usPAxoHskhIDg_gDvZF_V0kw5qPLNFHc/view?usp=drivesdk</t>
  </si>
  <si>
    <t>FEVI ROSMITA</t>
  </si>
  <si>
    <t>fevirosmita@gmail.com</t>
  </si>
  <si>
    <t>5022</t>
  </si>
  <si>
    <t>https://drive.google.com/file/d/1dpJoWLkQbLDYnVZ6DGQQu_szFN9ShV-P/view?usp=drivesdk</t>
  </si>
  <si>
    <t>1dpJoWLkQbLDYnVZ6DGQQu_szFN9ShV-P</t>
  </si>
  <si>
    <t>18-m6g_FbPYGEwUaUNCCgsenyX95YYJXb</t>
  </si>
  <si>
    <t>https://drive.google.com/file/d/18-m6g_FbPYGEwUaUNCCgsenyX95YYJXb/view?usp=drivesdk</t>
  </si>
  <si>
    <t xml:space="preserve">SUDARWATI </t>
  </si>
  <si>
    <t>watisudar793@gmail.com</t>
  </si>
  <si>
    <t>5023</t>
  </si>
  <si>
    <t>https://drive.google.com/file/d/1lda_3MeuKCgsVjLAZ9L-Rjn7TzsxYg4I/view?usp=drivesdk</t>
  </si>
  <si>
    <t>1lda_3MeuKCgsVjLAZ9L-Rjn7TzsxYg4I</t>
  </si>
  <si>
    <t>1XDW2K5WHu-e20hIB_nBfmSwsU9hNa8vy</t>
  </si>
  <si>
    <t>https://drive.google.com/file/d/1XDW2K5WHu-e20hIB_nBfmSwsU9hNa8vy/view?usp=drivesdk</t>
  </si>
  <si>
    <t>Document successfully created; Document successfully merged; PDF created; !!Error Sending Emails: Service invoked too many times for one day: email.; Manually run by ecertificate75@gmail.com; Timestamp: Sep 3 2024 12:21 AM</t>
  </si>
  <si>
    <t>NENI KURNIATI, S.Kom</t>
  </si>
  <si>
    <t>nee.nhy85@gmail.com</t>
  </si>
  <si>
    <t>5024</t>
  </si>
  <si>
    <t>https://drive.google.com/file/d/1dB2QT1WLafQ8K_7j4cDK-5KbLvLQxpJa/view?usp=drivesdk</t>
  </si>
  <si>
    <t>1dB2QT1WLafQ8K_7j4cDK-5KbLvLQxpJa</t>
  </si>
  <si>
    <t>1rQNOP--N6KvlVfM-3bbL3hZ7qbVAixqd</t>
  </si>
  <si>
    <t>https://drive.google.com/file/d/1rQNOP--N6KvlVfM-3bbL3hZ7qbVAixqd/view?usp=drivesdk</t>
  </si>
  <si>
    <t>EKA YUDI YANTI, S.Kom</t>
  </si>
  <si>
    <t>ekayudianti1983@gmail.com</t>
  </si>
  <si>
    <t>5025</t>
  </si>
  <si>
    <t>https://drive.google.com/file/d/1gHMYFb3ZCct4NxfS3W47O65e9j3bLeUZ/view?usp=drivesdk</t>
  </si>
  <si>
    <t>1gHMYFb3ZCct4NxfS3W47O65e9j3bLeUZ</t>
  </si>
  <si>
    <t>10SQimRuftGwW-_oZkM5129S2X08dQFpy</t>
  </si>
  <si>
    <t>https://drive.google.com/file/d/10SQimRuftGwW-_oZkM5129S2X08dQFpy/view?usp=drivesdk</t>
  </si>
  <si>
    <t>DWIYANTO, S.H.</t>
  </si>
  <si>
    <t>yanto.dwi96@gmail.com</t>
  </si>
  <si>
    <t>5026</t>
  </si>
  <si>
    <t>https://drive.google.com/file/d/1DWxLNUN0dZrfOisQwocTP6YVLn6O-nQh/view?usp=drivesdk</t>
  </si>
  <si>
    <t>1DWxLNUN0dZrfOisQwocTP6YVLn6O-nQh</t>
  </si>
  <si>
    <t>1GYkj4tYkjHKDAbnbn27v6bvpGicPKtGI</t>
  </si>
  <si>
    <t>https://drive.google.com/file/d/1GYkj4tYkjHKDAbnbn27v6bvpGicPKtGI/view?usp=drivesdk</t>
  </si>
  <si>
    <t>RATNA WATI</t>
  </si>
  <si>
    <t>ratna93522@gmail.com</t>
  </si>
  <si>
    <t>5027</t>
  </si>
  <si>
    <t>https://drive.google.com/file/d/1-zU5o6Hum60D5l3-CLe8BUv4zWcbf3dT/view?usp=drivesdk</t>
  </si>
  <si>
    <t>1-zU5o6Hum60D5l3-CLe8BUv4zWcbf3dT</t>
  </si>
  <si>
    <t>1fGRVO2CCNQwZfX4Gk9Lt9dLqjGgcYvjf</t>
  </si>
  <si>
    <t>https://drive.google.com/file/d/1fGRVO2CCNQwZfX4Gk9Lt9dLqjGgcYvjf/view?usp=drivesdk</t>
  </si>
  <si>
    <t>MUJI HANDININGSIH</t>
  </si>
  <si>
    <t>mujihandy71@gmail.com</t>
  </si>
  <si>
    <t>5028</t>
  </si>
  <si>
    <t>Starting at Thu Aug 29 2024 21:32:46 GMT-0400 (EDT)</t>
  </si>
  <si>
    <t>13FrNEKb4nekaXYX03aeWqbfGdmoBajnT</t>
  </si>
  <si>
    <t>https://drive.google.com/file/d/13FrNEKb4nekaXYX03aeWqbfGdmoBajnT/view?usp=drivesdk</t>
  </si>
  <si>
    <t>ROSYANI RAUF</t>
  </si>
  <si>
    <t>anhy6511adhy@gmail.com</t>
  </si>
  <si>
    <t>5029</t>
  </si>
  <si>
    <t>1CWLEV_7AGZF-IOUUrcxL4ij9maUeCA5D</t>
  </si>
  <si>
    <t>https://drive.google.com/file/d/1CWLEV_7AGZF-IOUUrcxL4ij9maUeCA5D/view?usp=drivesdk</t>
  </si>
  <si>
    <t>Document successfully created; Document successfully merged; PDF created; !!Error Sending Emails: Service invoked too many times for one day: email.; Manually run by ecertificate75@gmail.com; Timestamp: Sep 3 2024 12:22 AM</t>
  </si>
  <si>
    <t>HIDAYAT</t>
  </si>
  <si>
    <t>sos.hidayat88@gmail.com</t>
  </si>
  <si>
    <t>5030</t>
  </si>
  <si>
    <t>1uzkuHcmHiWDA6G3Em2XvVL5c7p-Oi_Nd</t>
  </si>
  <si>
    <t>https://drive.google.com/file/d/1uzkuHcmHiWDA6G3Em2XvVL5c7p-Oi_Nd/view?usp=drivesdk</t>
  </si>
  <si>
    <t>DANI TRIYANA EKAWATI, S.E.</t>
  </si>
  <si>
    <t>aljafar2306@gmail.com</t>
  </si>
  <si>
    <t>5031</t>
  </si>
  <si>
    <t>1J29Slh1F1QVXlp5_23hVfQNJgLVeBeKI</t>
  </si>
  <si>
    <t>https://drive.google.com/file/d/1J29Slh1F1QVXlp5_23hVfQNJgLVeBeKI/view?usp=drivesdk</t>
  </si>
  <si>
    <t>ASNENY,S.E</t>
  </si>
  <si>
    <t>asnenya@gmail.com</t>
  </si>
  <si>
    <t>5032</t>
  </si>
  <si>
    <t>1IgUQMAtvcui9PL8PLR5UeqFBTEwIDTvv</t>
  </si>
  <si>
    <t>https://drive.google.com/file/d/1IgUQMAtvcui9PL8PLR5UeqFBTEwIDTvv/view?usp=drivesdk</t>
  </si>
  <si>
    <t xml:space="preserve">NINANG DWI RATNO </t>
  </si>
  <si>
    <t>ninangmoxer@gmail.com</t>
  </si>
  <si>
    <t>5033</t>
  </si>
  <si>
    <t>1Y-MLqOWD0B5DgInl1jZoZrfT56NIZhfR</t>
  </si>
  <si>
    <t>https://drive.google.com/file/d/1Y-MLqOWD0B5DgInl1jZoZrfT56NIZhfR/view?usp=drivesdk</t>
  </si>
  <si>
    <t>Document successfully created; Document successfully merged; PDF created; !!Error Sending Emails: Service invoked too many times for one day: email.; Manually run by ecertificate75@gmail.com; Timestamp: Sep 3 2024 12:23 AM</t>
  </si>
  <si>
    <t>ANNISA FITRI IKA MERDEKAWATI, A.Md.Gz</t>
  </si>
  <si>
    <t>annisamerdekawati@gmail.com</t>
  </si>
  <si>
    <t>5034</t>
  </si>
  <si>
    <t>1Ffneq_Kvcyuy2lx2RL7aI4ibE2_mlMsT</t>
  </si>
  <si>
    <t>https://drive.google.com/file/d/1Ffneq_Kvcyuy2lx2RL7aI4ibE2_mlMsT/view?usp=drivesdk</t>
  </si>
  <si>
    <t>ernawati.susanto79@gmail.com</t>
  </si>
  <si>
    <t>5035</t>
  </si>
  <si>
    <t>1hqEhmnefe18HrRdM5w_nkFt6umYPNcWT</t>
  </si>
  <si>
    <t>https://drive.google.com/file/d/1hqEhmnefe18HrRdM5w_nkFt6umYPNcWT/view?usp=drivesdk</t>
  </si>
  <si>
    <t>ELVY SUKESI</t>
  </si>
  <si>
    <t>elvysukesi575@gmail.com</t>
  </si>
  <si>
    <t>5036</t>
  </si>
  <si>
    <t>1K0mGV5gDCn00u2fVLb4SwqD6DxhUZNHc</t>
  </si>
  <si>
    <t>https://drive.google.com/file/d/1K0mGV5gDCn00u2fVLb4SwqD6DxhUZNHc/view?usp=drivesdk</t>
  </si>
  <si>
    <t>Document successfully created; Document successfully merged; PDF created; !!Error Sending Emails: Service invoked too many times for one day: email.; Manually run by ecertificate75@gmail.com; Timestamp: Sep 3 2024 12:24 AM</t>
  </si>
  <si>
    <t>GOLANG ROCHMANTOYO</t>
  </si>
  <si>
    <t>golangrochmantoyo@gmail.com</t>
  </si>
  <si>
    <t>5037</t>
  </si>
  <si>
    <t>https://drive.google.com/file/d/15lwYA-rMFf4wNjECOILG7DaMmKdsmUx6/view?usp=drivesdk</t>
  </si>
  <si>
    <t>15lwYA-rMFf4wNjECOILG7DaMmKdsmUx6</t>
  </si>
  <si>
    <t>17j7rXU7-598edmzUTZeozy5FhQivevAL</t>
  </si>
  <si>
    <t>https://drive.google.com/file/d/17j7rXU7-598edmzUTZeozy5FhQivevAL/view?usp=drivesdk</t>
  </si>
  <si>
    <t xml:space="preserve">NAJARUDDIN </t>
  </si>
  <si>
    <t>najaruddinsinaga@gmail.com</t>
  </si>
  <si>
    <t>5038</t>
  </si>
  <si>
    <t>https://drive.google.com/file/d/1uOh1dOCyQNFiKY_eMRxTVI_0VOSUGZTN/view?usp=drivesdk</t>
  </si>
  <si>
    <t>1uOh1dOCyQNFiKY_eMRxTVI_0VOSUGZTN</t>
  </si>
  <si>
    <t>1-viwKPPxIQDA3-43dR4PhxBTdi7177dj</t>
  </si>
  <si>
    <t>https://drive.google.com/file/d/1-viwKPPxIQDA3-43dR4PhxBTdi7177dj/view?usp=drivesdk</t>
  </si>
  <si>
    <t>ANDRI SUSANTO, S.Sos</t>
  </si>
  <si>
    <t>andria.soesanto@gmail.com</t>
  </si>
  <si>
    <t>5039</t>
  </si>
  <si>
    <t>https://drive.google.com/file/d/1ux2yvRKWY8I-ATp4HMlV_LSCEHfordE1/view?usp=drivesdk</t>
  </si>
  <si>
    <t>1ux2yvRKWY8I-ATp4HMlV_LSCEHfordE1</t>
  </si>
  <si>
    <t>1IXg1CmhvLyWtKDXo6PEeZY9Sa6ly4upV</t>
  </si>
  <si>
    <t>https://drive.google.com/file/d/1IXg1CmhvLyWtKDXo6PEeZY9Sa6ly4upV/view?usp=drivesdk</t>
  </si>
  <si>
    <t>tumiyem.klaten@gmail.com</t>
  </si>
  <si>
    <t>5040</t>
  </si>
  <si>
    <t>Starting at Thu Aug 29 2024 21:32:47 GMT-0400 (EDT)</t>
  </si>
  <si>
    <t>1Cwfbg1NYptmf9dfduD7P8TMev4_dBevr</t>
  </si>
  <si>
    <t>https://drive.google.com/file/d/1Cwfbg1NYptmf9dfduD7P8TMev4_dBevr/view?usp=drivesdk</t>
  </si>
  <si>
    <t>ASNIAH A MD KEB</t>
  </si>
  <si>
    <t>Asniyah0303@gmail.com</t>
  </si>
  <si>
    <t>5041</t>
  </si>
  <si>
    <t>https://drive.google.com/file/d/19vt9lNKAEgIHiEvwK_1yg2KVMR7tLwZ9/view?usp=drivesdk</t>
  </si>
  <si>
    <t>19vt9lNKAEgIHiEvwK_1yg2KVMR7tLwZ9</t>
  </si>
  <si>
    <t>1A21yKJ9tkLl21uA9S9I16byvHOkxzCaq</t>
  </si>
  <si>
    <t>https://drive.google.com/file/d/1A21yKJ9tkLl21uA9S9I16byvHOkxzCaq/view?usp=drivesdk</t>
  </si>
  <si>
    <t>Document successfully created; Document successfully merged; PDF created; !!Error Sending Emails: Service invoked too many times for one day: email.; Manually run by ecertificate75@gmail.com; Timestamp: Sep 3 2024 12:25 AM</t>
  </si>
  <si>
    <t>ARIS SURYANI, S. Kep., Ns</t>
  </si>
  <si>
    <t>fahmiaris8715@gmail.com</t>
  </si>
  <si>
    <t>5042</t>
  </si>
  <si>
    <t>https://drive.google.com/file/d/1Goo_4HFsZ-mLsQSOTcrjNu7zncQhKo0K/view?usp=drivesdk</t>
  </si>
  <si>
    <t>1Goo_4HFsZ-mLsQSOTcrjNu7zncQhKo0K</t>
  </si>
  <si>
    <t>1SGCrsZSpXJ8AqR5lSVEKxFuLPXl_9TXt</t>
  </si>
  <si>
    <t>https://drive.google.com/file/d/1SGCrsZSpXJ8AqR5lSVEKxFuLPXl_9TXt/view?usp=drivesdk</t>
  </si>
  <si>
    <t>ERICA SUSANTI,A.Md</t>
  </si>
  <si>
    <t>namakurica@gmail.com</t>
  </si>
  <si>
    <t>5043</t>
  </si>
  <si>
    <t>https://drive.google.com/file/d/1brf40ucByIqmHlwCpxxQZVHhSstGHb0V/view?usp=drivesdk</t>
  </si>
  <si>
    <t>1brf40ucByIqmHlwCpxxQZVHhSstGHb0V</t>
  </si>
  <si>
    <t>1R0PlS4wI5-DkUjFOejEAxq1YXKAdb_U4</t>
  </si>
  <si>
    <t>https://drive.google.com/file/d/1R0PlS4wI5-DkUjFOejEAxq1YXKAdb_U4/view?usp=drivesdk</t>
  </si>
  <si>
    <t>SRI NURTINI, A.Md</t>
  </si>
  <si>
    <t>nurtinisri7@gmail.com</t>
  </si>
  <si>
    <t>5044</t>
  </si>
  <si>
    <t>https://drive.google.com/file/d/1Q39hyj3B9AUW-dVbcnfWjlBczAicJV5m/view?usp=drivesdk</t>
  </si>
  <si>
    <t>1Q39hyj3B9AUW-dVbcnfWjlBczAicJV5m</t>
  </si>
  <si>
    <t>14vpud6aaUM4JjjC7kwEufCzwSw7MVU1N</t>
  </si>
  <si>
    <t>https://drive.google.com/file/d/14vpud6aaUM4JjjC7kwEufCzwSw7MVU1N/view?usp=drivesdk</t>
  </si>
  <si>
    <t xml:space="preserve">AGUS PURWANTO </t>
  </si>
  <si>
    <t>aguspurwanto2402@gmail.com</t>
  </si>
  <si>
    <t>5045</t>
  </si>
  <si>
    <t>https://drive.google.com/file/d/11eqUr9VEg3ZTvIIB6cWjJJ7qEpIS9swr/view?usp=drivesdk</t>
  </si>
  <si>
    <t>11eqUr9VEg3ZTvIIB6cWjJJ7qEpIS9swr</t>
  </si>
  <si>
    <t>1qNtLRUAq245BGgD7ZZJkJWc1SW5r3BU9</t>
  </si>
  <si>
    <t>https://drive.google.com/file/d/1qNtLRUAq245BGgD7ZZJkJWc1SW5r3BU9/view?usp=drivesdk</t>
  </si>
  <si>
    <t>HESPIN ANTU, S.E</t>
  </si>
  <si>
    <t>vevinantu1979@gmail.com</t>
  </si>
  <si>
    <t>5046</t>
  </si>
  <si>
    <t>Starting at Thu Aug 29 2024 21:32:55 GMT-0400 (EDT)</t>
  </si>
  <si>
    <t>1PEyKv9i_XWxiTP4GH-r0R6zZp33Inysb</t>
  </si>
  <si>
    <t>https://drive.google.com/file/d/1PEyKv9i_XWxiTP4GH-r0R6zZp33Inysb/view?usp=drivesdk</t>
  </si>
  <si>
    <t>Document successfully created; Document successfully merged; PDF created; !!Error Sending Emails: Service invoked too many times for one day: email.; Manually run by ecertificate75@gmail.com; Timestamp: Sep 3 2024 12:26 AM</t>
  </si>
  <si>
    <t>WAWAN KURNIAWAN, S.E</t>
  </si>
  <si>
    <t>uyupi212@gmail.com</t>
  </si>
  <si>
    <t>5047</t>
  </si>
  <si>
    <t>11APU70uRJ4VA8jCQlsQJXy15S-wEi5N0</t>
  </si>
  <si>
    <t>https://drive.google.com/file/d/11APU70uRJ4VA8jCQlsQJXy15S-wEi5N0/view?usp=drivesdk</t>
  </si>
  <si>
    <t>srih10761@gmail.com</t>
  </si>
  <si>
    <t>5048</t>
  </si>
  <si>
    <t>1cXAFItQRYfwc1e1IYlof0WkIi0f-MJKb</t>
  </si>
  <si>
    <t>https://drive.google.com/file/d/1cXAFItQRYfwc1e1IYlof0WkIi0f-MJKb/view?usp=drivesdk</t>
  </si>
  <si>
    <t>HANDIK PRASETYO</t>
  </si>
  <si>
    <t>handikgendok@gmail.com</t>
  </si>
  <si>
    <t>5049</t>
  </si>
  <si>
    <t>1pM7U1vuFxxPerEtsWnJC4Nu--ryIjHIN</t>
  </si>
  <si>
    <t>https://drive.google.com/file/d/1pM7U1vuFxxPerEtsWnJC4Nu--ryIjHIN/view?usp=drivesdk</t>
  </si>
  <si>
    <t>ELIDAWATI SIMANJUNTAK</t>
  </si>
  <si>
    <t>oneymanik@gmail.com</t>
  </si>
  <si>
    <t>5050</t>
  </si>
  <si>
    <t>https://drive.google.com/file/d/1Ti_-poYj4JE0Mhdj1VnPpkbRcWxjCKXy/view?usp=drivesdk</t>
  </si>
  <si>
    <t>1Ti_-poYj4JE0Mhdj1VnPpkbRcWxjCKXy</t>
  </si>
  <si>
    <t>1MsYwViWbtES7hkr6yvy0zvy9u8oCGx_q</t>
  </si>
  <si>
    <t>https://drive.google.com/file/d/1MsYwViWbtES7hkr6yvy0zvy9u8oCGx_q/view?usp=drivesdk</t>
  </si>
  <si>
    <t>5051</t>
  </si>
  <si>
    <t>https://drive.google.com/file/d/1U-pkepmUBIxpAV2bAevZEi-3QZPpeEP8/view?usp=drivesdk</t>
  </si>
  <si>
    <t>1U-pkepmUBIxpAV2bAevZEi-3QZPpeEP8</t>
  </si>
  <si>
    <t>1lS1tBxgnjn2n72C3p2znLyRXUbMHFo3Y</t>
  </si>
  <si>
    <t>https://drive.google.com/file/d/1lS1tBxgnjn2n72C3p2znLyRXUbMHFo3Y/view?usp=drivesdk</t>
  </si>
  <si>
    <t>Document successfully created; Document successfully merged; PDF created; !!Error Sending Emails: Service invoked too many times for one day: email.; Manually run by ecertificate75@gmail.com; Timestamp: Sep 3 2024 12:27 AM</t>
  </si>
  <si>
    <t>RESTI JULIANTI, A.MD. RMIK</t>
  </si>
  <si>
    <t>juliantiresti15@gmail.com</t>
  </si>
  <si>
    <t>5052</t>
  </si>
  <si>
    <t>Starting at Thu Aug 29 2024 21:33:00 GMT-0400 (EDT)</t>
  </si>
  <si>
    <t>1H6U__j93H_PnKQy2hCb6xRrfJ2CxNJtG</t>
  </si>
  <si>
    <t>https://drive.google.com/file/d/1H6U__j93H_PnKQy2hCb6xRrfJ2CxNJtG/view?usp=drivesdk</t>
  </si>
  <si>
    <t>SABAR SANTOSO.A.Md.Farm</t>
  </si>
  <si>
    <t>hafizahsholehah7817@gmail.com</t>
  </si>
  <si>
    <t>5053</t>
  </si>
  <si>
    <t>https://drive.google.com/file/d/1AKZtcGDGY_3oJrGzWGvazWbluxTiI0AW/view?usp=drivesdk</t>
  </si>
  <si>
    <t>1AKZtcGDGY_3oJrGzWGvazWbluxTiI0AW</t>
  </si>
  <si>
    <t>1Gjeeje5XF51HptaiNSq5K2dmwcglYdVd</t>
  </si>
  <si>
    <t>https://drive.google.com/file/d/1Gjeeje5XF51HptaiNSq5K2dmwcglYdVd/view?usp=drivesdk</t>
  </si>
  <si>
    <t>SINDANG SARI PERTIWI SE</t>
  </si>
  <si>
    <t>pertiwik23@gmail.com</t>
  </si>
  <si>
    <t>5054</t>
  </si>
  <si>
    <t>https://drive.google.com/file/d/1hHBb8Udeopxld_15fn0vmqa6A_8hFowx/view?usp=drivesdk</t>
  </si>
  <si>
    <t>1hHBb8Udeopxld_15fn0vmqa6A_8hFowx</t>
  </si>
  <si>
    <t>1POdDq4O4gZ5WR4k-muZdR5xSOrIXyBAe</t>
  </si>
  <si>
    <t>https://drive.google.com/file/d/1POdDq4O4gZ5WR4k-muZdR5xSOrIXyBAe/view?usp=drivesdk</t>
  </si>
  <si>
    <t>DRG.ANNI NURHADIYATI</t>
  </si>
  <si>
    <t>annidrg94@gmail.com</t>
  </si>
  <si>
    <t>5055</t>
  </si>
  <si>
    <t>Starting at Thu Aug 29 2024 21:33:01 GMT-0400 (EDT)</t>
  </si>
  <si>
    <t>1BnjXCJzAonE_Kb8VBrSpALHd7MzNCOWh</t>
  </si>
  <si>
    <t>https://drive.google.com/file/d/1BnjXCJzAonE_Kb8VBrSpALHd7MzNCOWh/view?usp=drivesdk</t>
  </si>
  <si>
    <t>DIDIK ZUNAIDI</t>
  </si>
  <si>
    <t>didikjuna1984@gmail.com</t>
  </si>
  <si>
    <t>5056</t>
  </si>
  <si>
    <t>1XxgvZ64sAwJO4ECYdDtEmThQ8VmVM9eg</t>
  </si>
  <si>
    <t>https://drive.google.com/file/d/1XxgvZ64sAwJO4ECYdDtEmThQ8VmVM9eg/view?usp=drivesdk</t>
  </si>
  <si>
    <t>Document successfully created; Document successfully merged; PDF created; !!Error Sending Emails: Service invoked too many times for one day: email.; Manually run by ecertificate75@gmail.com; Timestamp: Sep 3 2024 12:28 AM</t>
  </si>
  <si>
    <t>NIDA NADIATHUL CONITA SHOLIHAH., S.ST.Keb</t>
  </si>
  <si>
    <t>nconitasolihah@gmail.com</t>
  </si>
  <si>
    <t>5057</t>
  </si>
  <si>
    <t>1fkdeSTMbA5_eeV7zmQnBpgf1acAX34v5</t>
  </si>
  <si>
    <t>https://drive.google.com/file/d/1fkdeSTMbA5_eeV7zmQnBpgf1acAX34v5/view?usp=drivesdk</t>
  </si>
  <si>
    <t xml:space="preserve">dr. FARIS AKBAR ANTHONY </t>
  </si>
  <si>
    <t>farisanthony8@gmail.com</t>
  </si>
  <si>
    <t>5058</t>
  </si>
  <si>
    <t>1GkKkclruu8DDa7Q7PPh20B465Grto3wx</t>
  </si>
  <si>
    <t>https://drive.google.com/file/d/1GkKkclruu8DDa7Q7PPh20B465Grto3wx/view?usp=drivesdk</t>
  </si>
  <si>
    <t>ANDIK SUDARYANTO</t>
  </si>
  <si>
    <t>adkihzsh@gmail.com</t>
  </si>
  <si>
    <t>5059</t>
  </si>
  <si>
    <t>1Mosi74qcvxifnPmEdsUe496ByKY_XqVG</t>
  </si>
  <si>
    <t>https://drive.google.com/file/d/1Mosi74qcvxifnPmEdsUe496ByKY_XqVG/view?usp=drivesdk</t>
  </si>
  <si>
    <t>KUKUK DYAH KUSUMANINGRUM, S.Sos</t>
  </si>
  <si>
    <t>dyahkusuma71@gmail.com</t>
  </si>
  <si>
    <t>5060</t>
  </si>
  <si>
    <t>https://drive.google.com/file/d/15dxu3zspe7LkBMkGq2okvM9sqqfhqRJl/view?usp=drivesdk</t>
  </si>
  <si>
    <t>15dxu3zspe7LkBMkGq2okvM9sqqfhqRJl</t>
  </si>
  <si>
    <t>18k765H20vareeR03RrNxM3GfaKHyx5Zq</t>
  </si>
  <si>
    <t>https://drive.google.com/file/d/18k765H20vareeR03RrNxM3GfaKHyx5Zq/view?usp=drivesdk</t>
  </si>
  <si>
    <t>Document successfully created; Document successfully merged; PDF created; !!Error Sending Emails: Service invoked too many times for one day: email.; Manually run by ecertificate75@gmail.com; Timestamp: Sep 3 2024 12:29 AM</t>
  </si>
  <si>
    <t>EKA APRILIA PURWANINGSIH, S.KOM</t>
  </si>
  <si>
    <t>liaaja012@gmail.com</t>
  </si>
  <si>
    <t>5061</t>
  </si>
  <si>
    <t>https://drive.google.com/file/d/12VYmRGeDggvD5O6b5o9jsis2sLQhrpFp/view?usp=drivesdk</t>
  </si>
  <si>
    <t>12VYmRGeDggvD5O6b5o9jsis2sLQhrpFp</t>
  </si>
  <si>
    <t>1emfQGRXxXhg9R-G5hcZd-A2D-D_lVznQ</t>
  </si>
  <si>
    <t>https://drive.google.com/file/d/1emfQGRXxXhg9R-G5hcZd-A2D-D_lVznQ/view?usp=drivesdk</t>
  </si>
  <si>
    <t>RETNO ISMAWATI AM.F</t>
  </si>
  <si>
    <t>rednow.farma@gmail.com</t>
  </si>
  <si>
    <t>5062</t>
  </si>
  <si>
    <t>Starting at Thu Aug 29 2024 21:33:04 GMT-0400 (EDT)</t>
  </si>
  <si>
    <t>1S9o6vqrUe-yFOE0MwtRJCB-s-A7OBQ2Z</t>
  </si>
  <si>
    <t>https://drive.google.com/file/d/1S9o6vqrUe-yFOE0MwtRJCB-s-A7OBQ2Z/view?usp=drivesdk</t>
  </si>
  <si>
    <t>EKO MARDIHARTOPO</t>
  </si>
  <si>
    <t>hartopo1975@gmail.com</t>
  </si>
  <si>
    <t>5063</t>
  </si>
  <si>
    <t>Starting at Thu Aug 29 2024 21:33:05 GMT-0400 (EDT)</t>
  </si>
  <si>
    <t>1Y_Kj_aEfU4RCYj0gduboSWVxkipGfab9</t>
  </si>
  <si>
    <t>https://drive.google.com/file/d/1Y_Kj_aEfU4RCYj0gduboSWVxkipGfab9/view?usp=drivesdk</t>
  </si>
  <si>
    <t>YAJID SETIYONO</t>
  </si>
  <si>
    <t>yajidsetiyono@gmail.com</t>
  </si>
  <si>
    <t>5064</t>
  </si>
  <si>
    <t>https://drive.google.com/file/d/1YKBvb6pHzkXucgnRDiJLS-CFTu1IgP9H/view?usp=drivesdk</t>
  </si>
  <si>
    <t>1YKBvb6pHzkXucgnRDiJLS-CFTu1IgP9H</t>
  </si>
  <si>
    <t>1BTOENILw9aODlmAZ3ZlAeagBtup0INOL</t>
  </si>
  <si>
    <t>https://drive.google.com/file/d/1BTOENILw9aODlmAZ3ZlAeagBtup0INOL/view?usp=drivesdk</t>
  </si>
  <si>
    <t>SRI MURNI, SH</t>
  </si>
  <si>
    <t>srimurni08081976@gmail.com</t>
  </si>
  <si>
    <t>5065</t>
  </si>
  <si>
    <t>https://drive.google.com/file/d/15EkPeBDN5tWdFQJBTNaeA46sqPueGWQu/view?usp=drivesdk</t>
  </si>
  <si>
    <t>15EkPeBDN5tWdFQJBTNaeA46sqPueGWQu</t>
  </si>
  <si>
    <t>1-pY9SAxYFzszecMQCFjJ_OUvmVFLDeiF</t>
  </si>
  <si>
    <t>https://drive.google.com/file/d/1-pY9SAxYFzszecMQCFjJ_OUvmVFLDeiF/view?usp=drivesdk</t>
  </si>
  <si>
    <t>ARIFIN AGUS WALUYO</t>
  </si>
  <si>
    <t>aragysp@gmail.com</t>
  </si>
  <si>
    <t>5066</t>
  </si>
  <si>
    <t>1BVcqYiA8zCuHjDbhtKLZ1R4a58j6R8US</t>
  </si>
  <si>
    <t>https://drive.google.com/file/d/1BVcqYiA8zCuHjDbhtKLZ1R4a58j6R8US/view?usp=drivesdk</t>
  </si>
  <si>
    <t>Document successfully created; Document successfully merged; PDF created; !!Error Sending Emails: Service invoked too many times for one day: email.; Manually run by ecertificate75@gmail.com; Timestamp: Sep 3 2024 12:30 AM</t>
  </si>
  <si>
    <t>SUMANTRI</t>
  </si>
  <si>
    <t>su8mantri@gmail.com</t>
  </si>
  <si>
    <t>5067</t>
  </si>
  <si>
    <t>1kRS49MQkcoqCHBO-y3Cn1T0Nz6qYdJnn</t>
  </si>
  <si>
    <t>https://drive.google.com/file/d/1kRS49MQkcoqCHBO-y3Cn1T0Nz6qYdJnn/view?usp=drivesdk</t>
  </si>
  <si>
    <t xml:space="preserve">ANDRE PRADONO </t>
  </si>
  <si>
    <t>andrepradono24@gmail.com</t>
  </si>
  <si>
    <t>5068</t>
  </si>
  <si>
    <t>16h7CvsZ4xGlCqcz-id8xXR2bPSN8UjdZ</t>
  </si>
  <si>
    <t>https://drive.google.com/file/d/16h7CvsZ4xGlCqcz-id8xXR2bPSN8UjdZ/view?usp=drivesdk</t>
  </si>
  <si>
    <t xml:space="preserve">SISKA ERBAYANTI </t>
  </si>
  <si>
    <t>siska.erbayanti@gmail.com</t>
  </si>
  <si>
    <t>5069</t>
  </si>
  <si>
    <t>1zriFw1x_aBO4LYS0Xdb3v3WWHm7tNAw9</t>
  </si>
  <si>
    <t>https://drive.google.com/file/d/1zriFw1x_aBO4LYS0Xdb3v3WWHm7tNAw9/view?usp=drivesdk</t>
  </si>
  <si>
    <t>AGUS SUSILO</t>
  </si>
  <si>
    <t>bagren8restulungagung@gmail.com</t>
  </si>
  <si>
    <t>5070</t>
  </si>
  <si>
    <t>18FcOS-S9Sfy8S3AEA42j-zLyw4yEP6K9</t>
  </si>
  <si>
    <t>https://drive.google.com/file/d/18FcOS-S9Sfy8S3AEA42j-zLyw4yEP6K9/view?usp=drivesdk</t>
  </si>
  <si>
    <t xml:space="preserve">DEASY WIDJI RAHAYU </t>
  </si>
  <si>
    <t>deasy.widjirahayu86@gmail.com</t>
  </si>
  <si>
    <t>5071</t>
  </si>
  <si>
    <t>1BrhYiiwIt-YClC0FJdpSng1Ah0Kx7ZVG</t>
  </si>
  <si>
    <t>https://drive.google.com/file/d/1BrhYiiwIt-YClC0FJdpSng1Ah0Kx7ZVG/view?usp=drivesdk</t>
  </si>
  <si>
    <t>UMI NURBIYANTI, AM.Kep</t>
  </si>
  <si>
    <t>uminurbiyanti190110@gmail.com</t>
  </si>
  <si>
    <t>5072</t>
  </si>
  <si>
    <t>Starting at Thu Aug 29 2024 21:33:33 GMT-0400 (EDT)</t>
  </si>
  <si>
    <t>1U3yEgNUNA859GfIeeS4duQZKeNpZro8E</t>
  </si>
  <si>
    <t>https://drive.google.com/file/d/1U3yEgNUNA859GfIeeS4duQZKeNpZro8E/view?usp=drivesdk</t>
  </si>
  <si>
    <t>Document successfully created; Document successfully merged; PDF created; !!Error Sending Emails: Service invoked too many times for one day: email.; Manually run by ecertificate75@gmail.com; Timestamp: Sep 3 2024 12:31 AM</t>
  </si>
  <si>
    <t>HUGENG PURWATMADI, A.Md.Farm.</t>
  </si>
  <si>
    <t>hugeng.labfor@gmail.com</t>
  </si>
  <si>
    <t>5073</t>
  </si>
  <si>
    <t>1gmzm742bvSPzHsKT7U6-hiDeQwBMF7gd</t>
  </si>
  <si>
    <t>https://drive.google.com/file/d/1gmzm742bvSPzHsKT7U6-hiDeQwBMF7gd/view?usp=drivesdk</t>
  </si>
  <si>
    <t>AHMAD NURZAMAN FAHLESA, S.Kom</t>
  </si>
  <si>
    <t>caca_rossi46@yahoo.com</t>
  </si>
  <si>
    <t>5074</t>
  </si>
  <si>
    <t>1j-ke6x44JTC-At8ljBQPuRz4CnhcBXpt</t>
  </si>
  <si>
    <t>https://drive.google.com/file/d/1j-ke6x44JTC-At8ljBQPuRz4CnhcBXpt/view?usp=drivesdk</t>
  </si>
  <si>
    <t>Document successfully created; Document successfully merged; PDF created; !!Error Sending Emails: Service invoked too many times for one day: email.; Manually run by ecertificate75@gmail.com; Timestamp: Sep 3 2024 12:32 AM</t>
  </si>
  <si>
    <t>NYOMAN YENNY ANITA DEWI S.KEP</t>
  </si>
  <si>
    <t>nyomanyenny11@gmail.com</t>
  </si>
  <si>
    <t>5075</t>
  </si>
  <si>
    <t>1R5K279YEo1hhs3xXfD28_crePOjgcOxE</t>
  </si>
  <si>
    <t>https://drive.google.com/file/d/1R5K279YEo1hhs3xXfD28_crePOjgcOxE/view?usp=drivesdk</t>
  </si>
  <si>
    <t>ADIK SITI JAYANTI</t>
  </si>
  <si>
    <t>adiksitijayanti@gmail.com</t>
  </si>
  <si>
    <t>5076</t>
  </si>
  <si>
    <t>1ijPY3hnvjEnBwzpwDFnHXCRIRr8OIz-0</t>
  </si>
  <si>
    <t>https://drive.google.com/file/d/1ijPY3hnvjEnBwzpwDFnHXCRIRr8OIz-0/view?usp=drivesdk</t>
  </si>
  <si>
    <t>SUSANTI WULAN YULI</t>
  </si>
  <si>
    <t>gedang3791@gmail.com</t>
  </si>
  <si>
    <t>5077</t>
  </si>
  <si>
    <t>1b4xsHfLHzngkih9s1UnsOLPSS-yYesvp</t>
  </si>
  <si>
    <t>https://drive.google.com/file/d/1b4xsHfLHzngkih9s1UnsOLPSS-yYesvp/view?usp=drivesdk</t>
  </si>
  <si>
    <t>SUKEMI</t>
  </si>
  <si>
    <t>sukemipolrestabes@gmail.com</t>
  </si>
  <si>
    <t>5078</t>
  </si>
  <si>
    <t>1lK3RqolHIYuGVKyQD7FTbFDP8uJIRsuo</t>
  </si>
  <si>
    <t>https://drive.google.com/file/d/1lK3RqolHIYuGVKyQD7FTbFDP8uJIRsuo/view?usp=drivesdk</t>
  </si>
  <si>
    <t xml:space="preserve">SRI MINANGSIH </t>
  </si>
  <si>
    <t>sriminangsih67@gmail.com</t>
  </si>
  <si>
    <t>5079</t>
  </si>
  <si>
    <t>https://drive.google.com/file/d/11V79Tk-OOxgbmQRshOemyI9Wjtk9VT8O/view?usp=drivesdk</t>
  </si>
  <si>
    <t>Document successfully created; Document successfully merged; PDF created; !!Error Sending Emails: Service invoked too many times for one day: email.; Run via form trigger as ecertificate75@gmail.com; Timestamp: Aug 29 2024 9:34 PM</t>
  </si>
  <si>
    <t>11V79Tk-OOxgbmQRshOemyI9Wjtk9VT8O</t>
  </si>
  <si>
    <t>1FqdQcG7Vv6_9Ard5fDbLiAaNS1gs9_fO</t>
  </si>
  <si>
    <t>https://drive.google.com/file/d/1FqdQcG7Vv6_9Ard5fDbLiAaNS1gs9_fO/view?usp=drivesdk</t>
  </si>
  <si>
    <t>Document successfully created; Document successfully merged; PDF created; !!Error Sending Emails: Service invoked too many times for one day: email.; Manually run by ecertificate75@gmail.com; Timestamp: Sep 3 2024 12:33 AM</t>
  </si>
  <si>
    <t>SUTARNI</t>
  </si>
  <si>
    <t>sutarni0479@gmail.com</t>
  </si>
  <si>
    <t>5080</t>
  </si>
  <si>
    <t>https://drive.google.com/file/d/1IJEquzJkqPij8epA5mbnYXYvwmZwJpOf/view?usp=drivesdk</t>
  </si>
  <si>
    <t>1IJEquzJkqPij8epA5mbnYXYvwmZwJpOf</t>
  </si>
  <si>
    <t>1dhwzKg_ZseazvYULY80cwp90glrU-xUY</t>
  </si>
  <si>
    <t>https://drive.google.com/file/d/1dhwzKg_ZseazvYULY80cwp90glrU-xUY/view?usp=drivesdk</t>
  </si>
  <si>
    <t>KURNIATI</t>
  </si>
  <si>
    <t>niatikur01@gmail.com</t>
  </si>
  <si>
    <t>5081</t>
  </si>
  <si>
    <t>https://drive.google.com/file/d/1-x9x_xgBzv4K46TgxxSijwfVJj4I-uYD/view?usp=drivesdk</t>
  </si>
  <si>
    <t>1-x9x_xgBzv4K46TgxxSijwfVJj4I-uYD</t>
  </si>
  <si>
    <t>1_TxJPl5tK_F6LeVmoCdt9fgPCYOjHzwU</t>
  </si>
  <si>
    <t>https://drive.google.com/file/d/1_TxJPl5tK_F6LeVmoCdt9fgPCYOjHzwU/view?usp=drivesdk</t>
  </si>
  <si>
    <t>DELIMA SINAGA STR</t>
  </si>
  <si>
    <t>delimasng@gmail.com</t>
  </si>
  <si>
    <t>5082</t>
  </si>
  <si>
    <t>https://drive.google.com/file/d/1RcAz8tdXZvf3HeCiNmFiBpeWMXuOIQWw/view?usp=drivesdk</t>
  </si>
  <si>
    <t>1RcAz8tdXZvf3HeCiNmFiBpeWMXuOIQWw</t>
  </si>
  <si>
    <t>1MiYXsdzcAbUQDwldKslYa5QPTwQXbcr6</t>
  </si>
  <si>
    <t>https://drive.google.com/file/d/1MiYXsdzcAbUQDwldKslYa5QPTwQXbcr6/view?usp=drivesdk</t>
  </si>
  <si>
    <t>Document successfully created; Document successfully merged; PDF created; !!Error Sending Emails: Service invoked too many times for one day: email.; Manually run by ecertificate75@gmail.com; Timestamp: Sep 3 2024 12:34 AM</t>
  </si>
  <si>
    <t>I KETUT GEDE SAPUTRA</t>
  </si>
  <si>
    <t>ketutgedesaputra69@gmail.com</t>
  </si>
  <si>
    <t>5083</t>
  </si>
  <si>
    <t>https://drive.google.com/file/d/16ZQcwY9XDSPq27lt7se4qMQNAZLGyb20/view?usp=drivesdk</t>
  </si>
  <si>
    <t>16ZQcwY9XDSPq27lt7se4qMQNAZLGyb20</t>
  </si>
  <si>
    <t>1lAPJez6UU4Cb8Hhqs1N-lGqFzALa4jGz</t>
  </si>
  <si>
    <t>https://drive.google.com/file/d/1lAPJez6UU4Cb8Hhqs1N-lGqFzALa4jGz/view?usp=drivesdk</t>
  </si>
  <si>
    <t>WAHYUNI WIJAYATI, S.Si, S.Tr.Kes</t>
  </si>
  <si>
    <t>yuniwijayati51@gmail.com</t>
  </si>
  <si>
    <t>5084</t>
  </si>
  <si>
    <t>https://drive.google.com/file/d/1YIyEr4qJWoU463EoFBbCy2AoWjTC0Sd3/view?usp=drivesdk</t>
  </si>
  <si>
    <t>Document successfully created; Document successfully merged; PDF created; !!Error Sending Emails: Service invoked too many times for one day: email.; Run via form trigger as ecertificate75@gmail.com; Timestamp: Aug 29 2024 9:35 PM</t>
  </si>
  <si>
    <t>1YIyEr4qJWoU463EoFBbCy2AoWjTC0Sd3</t>
  </si>
  <si>
    <t>1yJ9JGY615ad4PAYcJza6fCV_hqXHQ_Cr</t>
  </si>
  <si>
    <t>https://drive.google.com/file/d/1yJ9JGY615ad4PAYcJza6fCV_hqXHQ_Cr/view?usp=drivesdk</t>
  </si>
  <si>
    <t>ADITYA PUSPITASARI, AMK</t>
  </si>
  <si>
    <t>pipitarta790@gmail.com</t>
  </si>
  <si>
    <t>5085</t>
  </si>
  <si>
    <t>https://drive.google.com/file/d/1A0jI-xJW8r-VxyBFkGwoMnnltEphGvw-/view?usp=drivesdk</t>
  </si>
  <si>
    <t>1A0jI-xJW8r-VxyBFkGwoMnnltEphGvw-</t>
  </si>
  <si>
    <t>1CLm1iVA8Pu9Tq6sWMwAu_je8gECYSV6_</t>
  </si>
  <si>
    <t>https://drive.google.com/file/d/1CLm1iVA8Pu9Tq6sWMwAu_je8gECYSV6_/view?usp=drivesdk</t>
  </si>
  <si>
    <t>ISTIQOMARIYAH</t>
  </si>
  <si>
    <t>istiqomariyah81@gmail.com</t>
  </si>
  <si>
    <t>5086</t>
  </si>
  <si>
    <t>https://drive.google.com/file/d/1Ut-_tqnrUwCCQPrn8Io2H7ERLHGbsUtF/view?usp=drivesdk</t>
  </si>
  <si>
    <t>1Ut-_tqnrUwCCQPrn8Io2H7ERLHGbsUtF</t>
  </si>
  <si>
    <t>15ZsQbs0Jd2FlQWTBoKi4ZaknLd-ZiFMC</t>
  </si>
  <si>
    <t>https://drive.google.com/file/d/15ZsQbs0Jd2FlQWTBoKi4ZaknLd-ZiFMC/view?usp=drivesdk</t>
  </si>
  <si>
    <t>Document successfully created; Document successfully merged; PDF created; !!Error Sending Emails: Service invoked too many times for one day: email.; Manually run by ecertificate75@gmail.com; Timestamp: Sep 3 2024 12:35 AM</t>
  </si>
  <si>
    <t>TISSA TRISANTI</t>
  </si>
  <si>
    <t>trisantitissa@gmail.com</t>
  </si>
  <si>
    <t>5087</t>
  </si>
  <si>
    <t>Starting at Thu Aug 29 2024 21:35:12 GMT-0400 (EDT)</t>
  </si>
  <si>
    <t>14ZSlvn1SqJr1qUg6wNTMJdY-_GsZirNN</t>
  </si>
  <si>
    <t>https://drive.google.com/file/d/14ZSlvn1SqJr1qUg6wNTMJdY-_GsZirNN/view?usp=drivesdk</t>
  </si>
  <si>
    <t>RINA TRIANA</t>
  </si>
  <si>
    <t>rtriana974@gmail.com</t>
  </si>
  <si>
    <t>5088</t>
  </si>
  <si>
    <t>1ypxzvaOiOJx9LhU3YmBiEgsCX5NuHeaT</t>
  </si>
  <si>
    <t>https://drive.google.com/file/d/1ypxzvaOiOJx9LhU3YmBiEgsCX5NuHeaT/view?usp=drivesdk</t>
  </si>
  <si>
    <t>NIKO WAHYUDI PUTRA A.Md</t>
  </si>
  <si>
    <t>nikowp023@gmail.com</t>
  </si>
  <si>
    <t>5089</t>
  </si>
  <si>
    <t>1urgF0YEME_9H-t7MgjWoUGOShA79gQYd</t>
  </si>
  <si>
    <t>https://drive.google.com/file/d/1urgF0YEME_9H-t7MgjWoUGOShA79gQYd/view?usp=drivesdk</t>
  </si>
  <si>
    <t>YULIANI. SE</t>
  </si>
  <si>
    <t>27.jolie@gmail.com</t>
  </si>
  <si>
    <t>5090</t>
  </si>
  <si>
    <t>1YdIxCdDSc-ChVvt3yXY9SyjATYOnwtOw</t>
  </si>
  <si>
    <t>https://drive.google.com/file/d/1YdIxCdDSc-ChVvt3yXY9SyjATYOnwtOw/view?usp=drivesdk</t>
  </si>
  <si>
    <t>BAMBANGTRIYANTO.S.H.</t>
  </si>
  <si>
    <t>btriyanto1001@gmail.co</t>
  </si>
  <si>
    <t>5091</t>
  </si>
  <si>
    <t>1P_3nGj9nKObsLRQ5tXx-eofL-XlEC8ff</t>
  </si>
  <si>
    <t>https://drive.google.com/file/d/1P_3nGj9nKObsLRQ5tXx-eofL-XlEC8ff/view?usp=drivesdk</t>
  </si>
  <si>
    <t>Document successfully created; Document successfully merged; PDF created; !!Error Sending Emails: Service invoked too many times for one day: email.; Manually run by ecertificate75@gmail.com; Timestamp: Sep 3 2024 12:36 AM</t>
  </si>
  <si>
    <t>FILA PUTRI HARIYA KUSUMA DEWI, A.Md.Farm</t>
  </si>
  <si>
    <t>filadewi88@gmail.com</t>
  </si>
  <si>
    <t>5092</t>
  </si>
  <si>
    <t>1dtvYpBxC3n4u4kE0fv52EsF1AUHSmpSf</t>
  </si>
  <si>
    <t>https://drive.google.com/file/d/1dtvYpBxC3n4u4kE0fv52EsF1AUHSmpSf/view?usp=drivesdk</t>
  </si>
  <si>
    <t>SARWINDA, S. Pd</t>
  </si>
  <si>
    <t>sarwindahidayat@gmail.com</t>
  </si>
  <si>
    <t>5093</t>
  </si>
  <si>
    <t>1sNj1pweCTLJcGNR6fTi50jZJatIaTxgj</t>
  </si>
  <si>
    <t>https://drive.google.com/file/d/1sNj1pweCTLJcGNR6fTi50jZJatIaTxgj/view?usp=drivesdk</t>
  </si>
  <si>
    <t>ROSNIATI GEA</t>
  </si>
  <si>
    <t>rosniatigea@gmail.com</t>
  </si>
  <si>
    <t>5094</t>
  </si>
  <si>
    <t>1L4NyvyRxcO_AilbqCRwfX_fMX9dBJEr8</t>
  </si>
  <si>
    <t>https://drive.google.com/file/d/1L4NyvyRxcO_AilbqCRwfX_fMX9dBJEr8/view?usp=drivesdk</t>
  </si>
  <si>
    <t>Document successfully created; Document successfully merged; PDF created; !!Error Sending Emails: Service invoked too many times for one day: email.; Manually run by ecertificate75@gmail.com; Timestamp: Sep 3 2024 12:37 AM</t>
  </si>
  <si>
    <t>TETY SUSANTI BARUS</t>
  </si>
  <si>
    <t>barustetysusanti@gmail.com</t>
  </si>
  <si>
    <t>5095</t>
  </si>
  <si>
    <t>Starting at Thu Aug 29 2024 21:33:39 GMT-0400 (EDT)</t>
  </si>
  <si>
    <t>164iS1NDbnFkqxFysSX9zGfEaTu3bkO1p</t>
  </si>
  <si>
    <t>https://drive.google.com/file/d/164iS1NDbnFkqxFysSX9zGfEaTu3bkO1p/view?usp=drivesdk</t>
  </si>
  <si>
    <t>SUHARYA</t>
  </si>
  <si>
    <t>Suharyaa@yahoo.com</t>
  </si>
  <si>
    <t>5096</t>
  </si>
  <si>
    <t>1Egre4N2gMnPti4LjgO4JNTB-zMXINh4b</t>
  </si>
  <si>
    <t>https://drive.google.com/file/d/1Egre4N2gMnPti4LjgO4JNTB-zMXINh4b/view?usp=drivesdk</t>
  </si>
  <si>
    <t>DIANA JOHAN</t>
  </si>
  <si>
    <t>dianajohan1205@gmail.com</t>
  </si>
  <si>
    <t>5097</t>
  </si>
  <si>
    <t>11h3x322LXNKhPaOAOdFaIjOZO2m8eWLE</t>
  </si>
  <si>
    <t>https://drive.google.com/file/d/11h3x322LXNKhPaOAOdFaIjOZO2m8eWLE/view?usp=drivesdk</t>
  </si>
  <si>
    <t>Husnul Hasanah AMD Kep SKM</t>
  </si>
  <si>
    <t>husnul84hasanah@gmail.com</t>
  </si>
  <si>
    <t>5098</t>
  </si>
  <si>
    <t>1yGAfTjKElEK95k9c4w7UsSbsEiYV3bKw</t>
  </si>
  <si>
    <t>https://drive.google.com/file/d/1yGAfTjKElEK95k9c4w7UsSbsEiYV3bKw/view?usp=drivesdk</t>
  </si>
  <si>
    <t xml:space="preserve">NOFTULLOH BINTANG MAHARDIKAN </t>
  </si>
  <si>
    <t>bintang.mahardikan@gmail.com</t>
  </si>
  <si>
    <t>5099</t>
  </si>
  <si>
    <t>1hoEIF8I_KC1-UP_21hi7RPePifkZ_aCf</t>
  </si>
  <si>
    <t>https://drive.google.com/file/d/1hoEIF8I_KC1-UP_21hi7RPePifkZ_aCf/view?usp=drivesdk</t>
  </si>
  <si>
    <t>Document successfully created; Document successfully merged; PDF created; !!Error Sending Emails: Service invoked too many times for one day: email.; Manually run by ecertificate75@gmail.com; Timestamp: Sep 3 2024 12:38 AM</t>
  </si>
  <si>
    <t>RATNAWATI</t>
  </si>
  <si>
    <t>ratnawatikis7777@gmail.com</t>
  </si>
  <si>
    <t>5100</t>
  </si>
  <si>
    <t>1DFYjBLyQOhu0IRdho5HhyWZ2iCapRGTT</t>
  </si>
  <si>
    <t>https://drive.google.com/file/d/1DFYjBLyQOhu0IRdho5HhyWZ2iCapRGTT/view?usp=drivesdk</t>
  </si>
  <si>
    <t xml:space="preserve">MUNADIA, A.Md.Farm </t>
  </si>
  <si>
    <t>munadia13sj@gmail.com</t>
  </si>
  <si>
    <t>5101</t>
  </si>
  <si>
    <t>1qXSTb0hVKGcecYj2_eFCvZIyje6yc8GT</t>
  </si>
  <si>
    <t>https://drive.google.com/file/d/1qXSTb0hVKGcecYj2_eFCvZIyje6yc8GT/view?usp=drivesdk</t>
  </si>
  <si>
    <t>AHMAD JUNAIDI</t>
  </si>
  <si>
    <t>meididanalbiruni1@gamil.com</t>
  </si>
  <si>
    <t>5102</t>
  </si>
  <si>
    <t>1ebqmLCTvJPR9RQZDkb4BzgtBpaOj8CR0</t>
  </si>
  <si>
    <t>https://drive.google.com/file/d/1ebqmLCTvJPR9RQZDkb4BzgtBpaOj8CR0/view?usp=drivesdk</t>
  </si>
  <si>
    <t>RAIHANAH</t>
  </si>
  <si>
    <t>raihanah.sumda@gmail.com</t>
  </si>
  <si>
    <t>5103</t>
  </si>
  <si>
    <t>Starting at Thu Aug 29 2024 21:33:40 GMT-0400 (EDT)</t>
  </si>
  <si>
    <t>1Z8E9wJKHt8RqcbMHMHKqX_Ri3JobpXZ9</t>
  </si>
  <si>
    <t>https://drive.google.com/file/d/1Z8E9wJKHt8RqcbMHMHKqX_Ri3JobpXZ9/view?usp=drivesdk</t>
  </si>
  <si>
    <t>MARLIN YUTRISTIN</t>
  </si>
  <si>
    <t>marlin.sikeu@gmail.com</t>
  </si>
  <si>
    <t>5104</t>
  </si>
  <si>
    <t>1BDWplzS6ruvPagIJRdNdxT2-sqx5GH3Q</t>
  </si>
  <si>
    <t>https://drive.google.com/file/d/1BDWplzS6ruvPagIJRdNdxT2-sqx5GH3Q/view?usp=drivesdk</t>
  </si>
  <si>
    <t>Document successfully created; Document successfully merged; PDF created; !!Error Sending Emails: Service invoked too many times for one day: email.; Manually run by ecertificate75@gmail.com; Timestamp: Sep 3 2024 12:39 AM</t>
  </si>
  <si>
    <t xml:space="preserve">MUNATUN </t>
  </si>
  <si>
    <t>munatund@gmail.com</t>
  </si>
  <si>
    <t>5105</t>
  </si>
  <si>
    <t>Starting at Thu Aug 29 2024 21:33:41 GMT-0400 (EDT)</t>
  </si>
  <si>
    <t>1RD4Gu5ISlRsoUyRZOwJQYjHXwYHy1qPG</t>
  </si>
  <si>
    <t>https://drive.google.com/file/d/1RD4Gu5ISlRsoUyRZOwJQYjHXwYHy1qPG/view?usp=drivesdk</t>
  </si>
  <si>
    <t>KASMAWATI</t>
  </si>
  <si>
    <t>kasmawati.titi69@mail.com</t>
  </si>
  <si>
    <t>5106</t>
  </si>
  <si>
    <t>13j_X-uFu7Gso0Cry6E-a98SGPxCN9Yas</t>
  </si>
  <si>
    <t>https://drive.google.com/file/d/13j_X-uFu7Gso0Cry6E-a98SGPxCN9Yas/view?usp=drivesdk</t>
  </si>
  <si>
    <t xml:space="preserve">dr. WAN LIANA DEWI SYAHRA BAROS </t>
  </si>
  <si>
    <t>Lisaidani05@gmail.com</t>
  </si>
  <si>
    <t>5107</t>
  </si>
  <si>
    <t>1bPe0NqqkMWx57DEiuE8S_Ef0EAPVKhng</t>
  </si>
  <si>
    <t>https://drive.google.com/file/d/1bPe0NqqkMWx57DEiuE8S_Ef0EAPVKhng/view?usp=drivesdk</t>
  </si>
  <si>
    <t>Document successfully created; Document successfully merged; PDF created; !!Error Sending Emails: Service invoked too many times for one day: email.; Manually run by ecertificate75@gmail.com; Timestamp: Sep 3 2024 12:40 AM</t>
  </si>
  <si>
    <t>RIANINGSIH</t>
  </si>
  <si>
    <t>rianingsih1975@gmail.com</t>
  </si>
  <si>
    <t>5108</t>
  </si>
  <si>
    <t>https://drive.google.com/file/d/1uEYO_BYPPmuTJhosSY8HxdMetRRp2pZT/view?usp=drivesdk</t>
  </si>
  <si>
    <t>1uEYO_BYPPmuTJhosSY8HxdMetRRp2pZT</t>
  </si>
  <si>
    <t>1jwNjMURlEmVijY26DOVV1x3a-iZtD7UJ</t>
  </si>
  <si>
    <t>https://drive.google.com/file/d/1jwNjMURlEmVijY26DOVV1x3a-iZtD7UJ/view?usp=drivesdk</t>
  </si>
  <si>
    <t>HARIYADI</t>
  </si>
  <si>
    <t>hariyadi2192@gmail.com</t>
  </si>
  <si>
    <t>5109</t>
  </si>
  <si>
    <t>https://drive.google.com/file/d/1k_jVbiqyzmq0BPwf6pP-IectOfgD0pOx/view?usp=drivesdk</t>
  </si>
  <si>
    <t>1k_jVbiqyzmq0BPwf6pP-IectOfgD0pOx</t>
  </si>
  <si>
    <t>1I__9LVDofyYCHYh5mLFtG4yKWUY1eLEc</t>
  </si>
  <si>
    <t>https://drive.google.com/file/d/1I__9LVDofyYCHYh5mLFtG4yKWUY1eLEc/view?usp=drivesdk</t>
  </si>
  <si>
    <t>Niken Rahma Wiraswati, S.E.</t>
  </si>
  <si>
    <t>niken.rahma.rn@gmail.com</t>
  </si>
  <si>
    <t>5110</t>
  </si>
  <si>
    <t>https://drive.google.com/file/d/1U-s7iV2pAEji9oNmM9ShOYm-71OtZHxW/view?usp=drivesdk</t>
  </si>
  <si>
    <t>1U-s7iV2pAEji9oNmM9ShOYm-71OtZHxW</t>
  </si>
  <si>
    <t>1kA8c4egtEBU9DrA1p8n7Uf5s0G6D_O0E</t>
  </si>
  <si>
    <t>https://drive.google.com/file/d/1kA8c4egtEBU9DrA1p8n7Uf5s0G6D_O0E/view?usp=drivesdk</t>
  </si>
  <si>
    <t>dr RADITYA KUSUMA PUTRA</t>
  </si>
  <si>
    <t>radityakus575@gmail.com</t>
  </si>
  <si>
    <t>5111</t>
  </si>
  <si>
    <t>https://drive.google.com/file/d/1LbxlNwIVAqFWxWf59oNEpM2Eex5xK3jK/view?usp=drivesdk</t>
  </si>
  <si>
    <t>1LbxlNwIVAqFWxWf59oNEpM2Eex5xK3jK</t>
  </si>
  <si>
    <t>1t4qohVvJeCBkaGb2gu9UmhnSgdwio1O3</t>
  </si>
  <si>
    <t>https://drive.google.com/file/d/1t4qohVvJeCBkaGb2gu9UmhnSgdwio1O3/view?usp=drivesdk</t>
  </si>
  <si>
    <t>BUDI ROHIMAT</t>
  </si>
  <si>
    <t>elsbudirohimat@gmail.com</t>
  </si>
  <si>
    <t>5112</t>
  </si>
  <si>
    <t>https://drive.google.com/file/d/1hqUNL4USYU9iMYmFRwVwNY-gburtLWvf/view?usp=drivesdk</t>
  </si>
  <si>
    <t>1hqUNL4USYU9iMYmFRwVwNY-gburtLWvf</t>
  </si>
  <si>
    <t>1fpy1nlEntZ_6f2Sm1cSG1lzsuMEjMage</t>
  </si>
  <si>
    <t>https://drive.google.com/file/d/1fpy1nlEntZ_6f2Sm1cSG1lzsuMEjMage/view?usp=drivesdk</t>
  </si>
  <si>
    <t>Document successfully created; Document successfully merged; PDF created; !!Error Sending Emails: Service invoked too many times for one day: email.; Manually run by ecertificate75@gmail.com; Timestamp: Sep 3 2024 12:41 AM</t>
  </si>
  <si>
    <t xml:space="preserve">RICKA HANDAYANI, SKM </t>
  </si>
  <si>
    <t>handayaniricka404@gmail.com</t>
  </si>
  <si>
    <t>5113</t>
  </si>
  <si>
    <t>https://drive.google.com/file/d/17WM46RZ96toLwREE3LpwkHhLXLt3yETe/view?usp=drivesdk</t>
  </si>
  <si>
    <t>17WM46RZ96toLwREE3LpwkHhLXLt3yETe</t>
  </si>
  <si>
    <t>1MuKIhu6mUPXbiF_2YRj7KyY3EKAB7yEt</t>
  </si>
  <si>
    <t>https://drive.google.com/file/d/1MuKIhu6mUPXbiF_2YRj7KyY3EKAB7yEt/view?usp=drivesdk</t>
  </si>
  <si>
    <t>ELI YARITATI</t>
  </si>
  <si>
    <t>hambasaya@gmail.com</t>
  </si>
  <si>
    <t>5114</t>
  </si>
  <si>
    <t>https://drive.google.com/file/d/1agj_CC4Hi2pSb3HYwK_RD9OBu8RlwEX-/view?usp=drivesdk</t>
  </si>
  <si>
    <t>1agj_CC4Hi2pSb3HYwK_RD9OBu8RlwEX-</t>
  </si>
  <si>
    <t>1fXiltDD2uq75qjNZs8_IFlF9KdohvYwk</t>
  </si>
  <si>
    <t>https://drive.google.com/file/d/1fXiltDD2uq75qjNZs8_IFlF9KdohvYwk/view?usp=drivesdk</t>
  </si>
  <si>
    <t>Lely Yanusa Fitri</t>
  </si>
  <si>
    <t>lelyanusa@gmail.com</t>
  </si>
  <si>
    <t>5115</t>
  </si>
  <si>
    <t>https://drive.google.com/file/d/1N4kAxZP991xkRSy3F9m6eL5yWKFIFvkQ/view?usp=drivesdk</t>
  </si>
  <si>
    <t>1N4kAxZP991xkRSy3F9m6eL5yWKFIFvkQ</t>
  </si>
  <si>
    <t>1vQS9J1OpkZ8eJlKDOP2c_o4vtdE-unNN</t>
  </si>
  <si>
    <t>https://drive.google.com/file/d/1vQS9J1OpkZ8eJlKDOP2c_o4vtdE-unNN/view?usp=drivesdk</t>
  </si>
  <si>
    <t>KARYONO</t>
  </si>
  <si>
    <t>karyonoajah@gmail.com</t>
  </si>
  <si>
    <t>5116</t>
  </si>
  <si>
    <t>https://drive.google.com/file/d/1dJMgFTwdUa6XZPcvND4OnwhgBWxa8b1M/view?usp=drivesdk</t>
  </si>
  <si>
    <t>1dJMgFTwdUa6XZPcvND4OnwhgBWxa8b1M</t>
  </si>
  <si>
    <t>1DTAUfpRevRXYova28PnEEQdw3B-7Ts_D</t>
  </si>
  <si>
    <t>https://drive.google.com/file/d/1DTAUfpRevRXYova28PnEEQdw3B-7Ts_D/view?usp=drivesdk</t>
  </si>
  <si>
    <t>NUR TAUFIK, S.T.</t>
  </si>
  <si>
    <t>ntaufik8817@gmail.com</t>
  </si>
  <si>
    <t>5117</t>
  </si>
  <si>
    <t>https://drive.google.com/file/d/1TkkkQaQsl-oHJvEHVz1Yr4zT_15FnVc6/view?usp=drivesdk</t>
  </si>
  <si>
    <t>1TkkkQaQsl-oHJvEHVz1Yr4zT_15FnVc6</t>
  </si>
  <si>
    <t>1XMdg6KrmkpgtZax8oCvIitqdFs070c0P</t>
  </si>
  <si>
    <t>https://drive.google.com/file/d/1XMdg6KrmkpgtZax8oCvIitqdFs070c0P/view?usp=drivesdk</t>
  </si>
  <si>
    <t>Document successfully created; Document successfully merged; PDF created; !!Error Sending Emails: Service invoked too many times for one day: email.; Manually run by ecertificate75@gmail.com; Timestamp: Sep 3 2024 12:42 AM</t>
  </si>
  <si>
    <t>INDAH SULISTYO INDRANI, S.H</t>
  </si>
  <si>
    <t>saharijepara123@gmail.com</t>
  </si>
  <si>
    <t>5118</t>
  </si>
  <si>
    <t>https://drive.google.com/file/d/1kfd_PAhdj7RqnrxHUUC9mVCLkdBJiZE_/view?usp=drivesdk</t>
  </si>
  <si>
    <t>1kfd_PAhdj7RqnrxHUUC9mVCLkdBJiZE_</t>
  </si>
  <si>
    <t>1P9VIyylPfKUzqNdkrNtUB-x7vUJdxO5-</t>
  </si>
  <si>
    <t>https://drive.google.com/file/d/1P9VIyylPfKUzqNdkrNtUB-x7vUJdxO5-/view?usp=drivesdk</t>
  </si>
  <si>
    <t>dr. LIVA ANGGRAENI</t>
  </si>
  <si>
    <t>livaanggraeni20@gmail.com</t>
  </si>
  <si>
    <t>5119</t>
  </si>
  <si>
    <t>Starting at Thu Aug 29 2024 21:33:53 GMT-0400 (EDT)</t>
  </si>
  <si>
    <t>11qcBVNiDBr_kIGOo0ocNbo6eF2dJigkx</t>
  </si>
  <si>
    <t>https://drive.google.com/file/d/11qcBVNiDBr_kIGOo0ocNbo6eF2dJigkx/view?usp=drivesdk</t>
  </si>
  <si>
    <t>RITA AMELIA, ST</t>
  </si>
  <si>
    <t>ameliarita99@gmail.com</t>
  </si>
  <si>
    <t>5120</t>
  </si>
  <si>
    <t>1e7Da5bTlq4_zH2XmaaJ-81K68QtgGhOb</t>
  </si>
  <si>
    <t>https://drive.google.com/file/d/1e7Da5bTlq4_zH2XmaaJ-81K68QtgGhOb/view?usp=drivesdk</t>
  </si>
  <si>
    <t>SELVIA INDRITA</t>
  </si>
  <si>
    <t>selviaindritahidayat@gmail.com</t>
  </si>
  <si>
    <t>5121</t>
  </si>
  <si>
    <t>12BWcN7nSYzKURN0GjQtdJCgTEkWEHeea</t>
  </si>
  <si>
    <t>https://drive.google.com/file/d/12BWcN7nSYzKURN0GjQtdJCgTEkWEHeea/view?usp=drivesdk</t>
  </si>
  <si>
    <t>IMAM WIDODO</t>
  </si>
  <si>
    <t>imam.widodo1234@gmail.com</t>
  </si>
  <si>
    <t>5122</t>
  </si>
  <si>
    <t>https://drive.google.com/file/d/1FI9Nr9TDKHU62D18PFrxXwlySHCaYjIQ/view?usp=drivesdk</t>
  </si>
  <si>
    <t>1FI9Nr9TDKHU62D18PFrxXwlySHCaYjIQ</t>
  </si>
  <si>
    <t>1RdeQu0IZ-5bXQU8zgmlT3ABJRwbMcFQN</t>
  </si>
  <si>
    <t>https://drive.google.com/file/d/1RdeQu0IZ-5bXQU8zgmlT3ABJRwbMcFQN/view?usp=drivesdk</t>
  </si>
  <si>
    <t>Document successfully created; Document successfully merged; PDF created; !!Error Sending Emails: Service invoked too many times for one day: email.; Manually run by ecertificate75@gmail.com; Timestamp: Sep 3 2024 12:43 AM</t>
  </si>
  <si>
    <t>DEDI DWI SETYAWAN, AMK</t>
  </si>
  <si>
    <t>dedi.bocal@gmail.com</t>
  </si>
  <si>
    <t>5123</t>
  </si>
  <si>
    <t>https://drive.google.com/file/d/1HPPWwcxjuwwZxXoDPG4WU_JiteJvrPnD/view?usp=drivesdk</t>
  </si>
  <si>
    <t>1HPPWwcxjuwwZxXoDPG4WU_JiteJvrPnD</t>
  </si>
  <si>
    <t>1yWkjAHM5fQSUYDjXmvXMiglQ10QHTjXc</t>
  </si>
  <si>
    <t>https://drive.google.com/file/d/1yWkjAHM5fQSUYDjXmvXMiglQ10QHTjXc/view?usp=drivesdk</t>
  </si>
  <si>
    <t xml:space="preserve">Yusan Yanti Sinaga </t>
  </si>
  <si>
    <t>yusanyantisinaga30@gmail.com</t>
  </si>
  <si>
    <t>5124</t>
  </si>
  <si>
    <t>https://drive.google.com/file/d/1LBsEL-QWWoAkr0aawZAjxyCnZt_sAaH3/view?usp=drivesdk</t>
  </si>
  <si>
    <t>1LBsEL-QWWoAkr0aawZAjxyCnZt_sAaH3</t>
  </si>
  <si>
    <t>1a4dGc3NTx-mC8Iri8s050NUoPXs3ccRr</t>
  </si>
  <si>
    <t>https://drive.google.com/file/d/1a4dGc3NTx-mC8Iri8s050NUoPXs3ccRr/view?usp=drivesdk</t>
  </si>
  <si>
    <t>Deby Cinthia Yolanda,AMd.RM</t>
  </si>
  <si>
    <t>debycinthiayolandaa@gmail.com</t>
  </si>
  <si>
    <t>5125</t>
  </si>
  <si>
    <t>https://drive.google.com/file/d/1g9OOeXCjMDtq7c__x5ODzeNSsiPJB1f7/view?usp=drivesdk</t>
  </si>
  <si>
    <t>1g9OOeXCjMDtq7c__x5ODzeNSsiPJB1f7</t>
  </si>
  <si>
    <t>1JuZmU0bBX-B80CEAtymSeFNJEazMXCE4</t>
  </si>
  <si>
    <t>https://drive.google.com/file/d/1JuZmU0bBX-B80CEAtymSeFNJEazMXCE4/view?usp=drivesdk</t>
  </si>
  <si>
    <t>IDAR DARYANTI</t>
  </si>
  <si>
    <t>idardaryant26@gmail.com</t>
  </si>
  <si>
    <t>5126</t>
  </si>
  <si>
    <t>https://drive.google.com/file/d/1yCaUr8Wxv-WkDGtq60E-PHNLqqXhbyYX/view?usp=drivesdk</t>
  </si>
  <si>
    <t>1yCaUr8Wxv-WkDGtq60E-PHNLqqXhbyYX</t>
  </si>
  <si>
    <t>1MAHA1decPvakdN_WQCTpfwjci_Z5Z-xV</t>
  </si>
  <si>
    <t>https://drive.google.com/file/d/1MAHA1decPvakdN_WQCTpfwjci_Z5Z-xV/view?usp=drivesdk</t>
  </si>
  <si>
    <t>JULIA WELTH SALIAMA,S.Kep</t>
  </si>
  <si>
    <t>ashley030413@gmail.com</t>
  </si>
  <si>
    <t>5127</t>
  </si>
  <si>
    <t>https://drive.google.com/file/d/1FFpxyBKoRb5XEeXgrm-fFzib9Jfd0ftm/view?usp=drivesdk</t>
  </si>
  <si>
    <t>1FFpxyBKoRb5XEeXgrm-fFzib9Jfd0ftm</t>
  </si>
  <si>
    <t>1QpHePwixYbpUvzTBe909rN1XkkATnXYS</t>
  </si>
  <si>
    <t>https://drive.google.com/file/d/1QpHePwixYbpUvzTBe909rN1XkkATnXYS/view?usp=drivesdk</t>
  </si>
  <si>
    <t>SRI SUKAMTI</t>
  </si>
  <si>
    <t>sri.sukamti1967@gmail.com</t>
  </si>
  <si>
    <t>5128</t>
  </si>
  <si>
    <t>Starting at Thu Aug 29 2024 21:34:11 GMT-0400 (EDT)</t>
  </si>
  <si>
    <t>1_vQwQLHQOwW__jMOTj29rgZzmH2M_nb_</t>
  </si>
  <si>
    <t>https://drive.google.com/file/d/1_vQwQLHQOwW__jMOTj29rgZzmH2M_nb_/view?usp=drivesdk</t>
  </si>
  <si>
    <t>Document successfully created; Document successfully merged; PDF created; !!Error Sending Emails: Service invoked too many times for one day: email.; Manually run by ecertificate75@gmail.com; Timestamp: Sep 3 2024 12:44 AM</t>
  </si>
  <si>
    <t>SITI NURLELA</t>
  </si>
  <si>
    <t>sitinurlela227@gmail.com</t>
  </si>
  <si>
    <t>5129</t>
  </si>
  <si>
    <t>18GvPoivTBSJYv9NY3dnl957Pf0BRZSTk</t>
  </si>
  <si>
    <t>https://drive.google.com/file/d/18GvPoivTBSJYv9NY3dnl957Pf0BRZSTk/view?usp=drivesdk</t>
  </si>
  <si>
    <t>SITI RAHMA</t>
  </si>
  <si>
    <t>rsiti0446@gmail.com</t>
  </si>
  <si>
    <t>5130</t>
  </si>
  <si>
    <t>1_t60Gq0np8vYjrJlM189VjvO1u--o5yl</t>
  </si>
  <si>
    <t>https://drive.google.com/file/d/1_t60Gq0np8vYjrJlM189VjvO1u--o5yl/view?usp=drivesdk</t>
  </si>
  <si>
    <t>IRWANSYAH PUTRA</t>
  </si>
  <si>
    <t>syahputra303@gmail.com</t>
  </si>
  <si>
    <t>5131</t>
  </si>
  <si>
    <t>https://drive.google.com/file/d/1HQTfL53mCfN4kZjlEXTqJz9ys3ZmcWPr/view?usp=drivesdk</t>
  </si>
  <si>
    <t>1HQTfL53mCfN4kZjlEXTqJz9ys3ZmcWPr</t>
  </si>
  <si>
    <t>1X24COq5aaQSRsRRW7fx9EuqrIoLFkeuO</t>
  </si>
  <si>
    <t>https://drive.google.com/file/d/1X24COq5aaQSRsRRW7fx9EuqrIoLFkeuO/view?usp=drivesdk</t>
  </si>
  <si>
    <t>Document successfully created; Document successfully merged; PDF created; !!Error Sending Emails: Service invoked too many times for one day: email.; Manually run by ecertificate75@gmail.com; Timestamp: Sep 3 2024 12:45 AM</t>
  </si>
  <si>
    <t>Nuning Mulyo Utami Amd,keb</t>
  </si>
  <si>
    <t>nuningutami78@gmail.com</t>
  </si>
  <si>
    <t>5132</t>
  </si>
  <si>
    <t>https://drive.google.com/file/d/18EcYl6AC8j6cUYgED7TqcwFf8UbPfFzm/view?usp=drivesdk</t>
  </si>
  <si>
    <t>18EcYl6AC8j6cUYgED7TqcwFf8UbPfFzm</t>
  </si>
  <si>
    <t>1p55EMTSCtWRacIToNnVGgAl3RE6XOsLz</t>
  </si>
  <si>
    <t>https://drive.google.com/file/d/1p55EMTSCtWRacIToNnVGgAl3RE6XOsLz/view?usp=drivesdk</t>
  </si>
  <si>
    <t>ERNIS EFIYANA</t>
  </si>
  <si>
    <t>bagusnyaevi@gmail.com</t>
  </si>
  <si>
    <t>5133</t>
  </si>
  <si>
    <t>https://drive.google.com/file/d/12WEiu3qkL8MUGr3gEqD10Oy1hLv7qPve/view?usp=drivesdk</t>
  </si>
  <si>
    <t>12WEiu3qkL8MUGr3gEqD10Oy1hLv7qPve</t>
  </si>
  <si>
    <t>1lFTjtNl-dOKkrO0TQEClDwVNvzALoxEJ</t>
  </si>
  <si>
    <t>https://drive.google.com/file/d/1lFTjtNl-dOKkrO0TQEClDwVNvzALoxEJ/view?usp=drivesdk</t>
  </si>
  <si>
    <t>SYAMSIAH TAMBUNAN</t>
  </si>
  <si>
    <t>syamsiahtambunan@gmail.com</t>
  </si>
  <si>
    <t>5134</t>
  </si>
  <si>
    <t>https://drive.google.com/file/d/1BQSoV7n_Ghjxr0Utsr_KbOJUC1OQw8P0/view?usp=drivesdk</t>
  </si>
  <si>
    <t>1BQSoV7n_Ghjxr0Utsr_KbOJUC1OQw8P0</t>
  </si>
  <si>
    <t>1kG405fyCupFIgF9LhrSFH6WJClW-x6Is</t>
  </si>
  <si>
    <t>https://drive.google.com/file/d/1kG405fyCupFIgF9LhrSFH6WJClW-x6Is/view?usp=drivesdk</t>
  </si>
  <si>
    <t>TETIANA, S.E.</t>
  </si>
  <si>
    <t>anatetiana@gmail.com</t>
  </si>
  <si>
    <t>5135</t>
  </si>
  <si>
    <t>https://drive.google.com/file/d/1E02EHDhyaO9IviTkJaX2kCJMbKGujPLg/view?usp=drivesdk</t>
  </si>
  <si>
    <t>1E02EHDhyaO9IviTkJaX2kCJMbKGujPLg</t>
  </si>
  <si>
    <t>1iHHDvj84O-CEvqzzZzIOsz-FR9PTf7X1</t>
  </si>
  <si>
    <t>https://drive.google.com/file/d/1iHHDvj84O-CEvqzzZzIOsz-FR9PTf7X1/view?usp=drivesdk</t>
  </si>
  <si>
    <t xml:space="preserve">CHRISMILIA </t>
  </si>
  <si>
    <t>chrismilia069@gmail.com</t>
  </si>
  <si>
    <t>5136</t>
  </si>
  <si>
    <t>Starting at Thu Aug 29 2024 21:34:16 GMT-0400 (EDT)</t>
  </si>
  <si>
    <t>1XsoLfHCTUiQuppPv2JyQavq--qSmecul</t>
  </si>
  <si>
    <t>https://drive.google.com/file/d/1XsoLfHCTUiQuppPv2JyQavq--qSmecul/view?usp=drivesdk</t>
  </si>
  <si>
    <t>Document successfully created; Document successfully merged; PDF created; !!Error Sending Emails: Service invoked too many times for one day: email.; Manually run by ecertificate75@gmail.com; Timestamp: Sep 3 2024 12:46 AM</t>
  </si>
  <si>
    <t xml:space="preserve">DEVIARNATALI </t>
  </si>
  <si>
    <t>deviarnatali123@gmail.com</t>
  </si>
  <si>
    <t>5137</t>
  </si>
  <si>
    <t>1R7Fo4LYeDv51jt9Ckq5cKcU3oinvWQbU</t>
  </si>
  <si>
    <t>https://drive.google.com/file/d/1R7Fo4LYeDv51jt9Ckq5cKcU3oinvWQbU/view?usp=drivesdk</t>
  </si>
  <si>
    <t>CHYNTIA VIRCHAWATI. MZ, AMD. KEB</t>
  </si>
  <si>
    <t>chyntiavirchawatimz@gmail.com</t>
  </si>
  <si>
    <t>5138</t>
  </si>
  <si>
    <t>17EKh0hQ2A9hYkGUojevx0n5gS4Bfyciw</t>
  </si>
  <si>
    <t>https://drive.google.com/file/d/17EKh0hQ2A9hYkGUojevx0n5gS4Bfyciw/view?usp=drivesdk</t>
  </si>
  <si>
    <t>PURNAMA ROYANA SITINJAK</t>
  </si>
  <si>
    <t>purnamasitinjak1971@gmail.com</t>
  </si>
  <si>
    <t>5139</t>
  </si>
  <si>
    <t>1-c4y_SvWoUfkvlPcudTSa1Q8xbLofKp8</t>
  </si>
  <si>
    <t>https://drive.google.com/file/d/1-c4y_SvWoUfkvlPcudTSa1Q8xbLofKp8/view?usp=drivesdk</t>
  </si>
  <si>
    <t>dr. LENNY EVI SUSANTI, M.H.</t>
  </si>
  <si>
    <t>lennyevisusanti@yahoo.co.id</t>
  </si>
  <si>
    <t>5140</t>
  </si>
  <si>
    <t>https://drive.google.com/file/d/1482ncFcYV3fzWgUqnMKaQQ2PGBwOqxxC/view?usp=drivesdk</t>
  </si>
  <si>
    <t>1482ncFcYV3fzWgUqnMKaQQ2PGBwOqxxC</t>
  </si>
  <si>
    <t>1o-T4rE5Ncvq46FQPFlCrze_Og2eXbK4M</t>
  </si>
  <si>
    <t>https://drive.google.com/file/d/1o-T4rE5Ncvq46FQPFlCrze_Og2eXbK4M/view?usp=drivesdk</t>
  </si>
  <si>
    <t>ANISA ROHAYATI</t>
  </si>
  <si>
    <t>anisarohayati58@gmail.com</t>
  </si>
  <si>
    <t>5141</t>
  </si>
  <si>
    <t>Starting at Thu Aug 29 2024 21:34:30 GMT-0400 (EDT)</t>
  </si>
  <si>
    <t>1uqQ1QGM9ZXcSVuDX8O8BB7314iYfHH0n</t>
  </si>
  <si>
    <t>https://drive.google.com/file/d/1uqQ1QGM9ZXcSVuDX8O8BB7314iYfHH0n/view?usp=drivesdk</t>
  </si>
  <si>
    <t>Document successfully created; Document successfully merged; PDF created; !!Error Sending Emails: Service invoked too many times for one day: email.; Manually run by ecertificate75@gmail.com; Timestamp: Sep 3 2024 12:47 AM</t>
  </si>
  <si>
    <t>KARJONO</t>
  </si>
  <si>
    <t>karjonosikeu@gmail.com</t>
  </si>
  <si>
    <t>5142</t>
  </si>
  <si>
    <t>1YylG_mkCkpaXJM1bK9JnKoUNfrk3w_DX</t>
  </si>
  <si>
    <t>https://drive.google.com/file/d/1YylG_mkCkpaXJM1bK9JnKoUNfrk3w_DX/view?usp=drivesdk</t>
  </si>
  <si>
    <t>ARYA BIMA BASKORO, AMD.AK</t>
  </si>
  <si>
    <t>aryabimabaskoro@gmail.com</t>
  </si>
  <si>
    <t>5143</t>
  </si>
  <si>
    <t>121b_NBJrjYJ7B-QW0JRXI3VKxH8W_89q</t>
  </si>
  <si>
    <t>https://drive.google.com/file/d/121b_NBJrjYJ7B-QW0JRXI3VKxH8W_89q/view?usp=drivesdk</t>
  </si>
  <si>
    <t>Venny Ismelly, AMd.Kep</t>
  </si>
  <si>
    <t>iridveni@gmail.com</t>
  </si>
  <si>
    <t>5144</t>
  </si>
  <si>
    <t>1X59faOxQSQY90G93dRyxcnjsRbITo-Rw</t>
  </si>
  <si>
    <t>https://drive.google.com/file/d/1X59faOxQSQY90G93dRyxcnjsRbITo-Rw/view?usp=drivesdk</t>
  </si>
  <si>
    <t>SUPARNO</t>
  </si>
  <si>
    <t>parnopns1972@gmail.com</t>
  </si>
  <si>
    <t>5145</t>
  </si>
  <si>
    <t>1_9seIsYncELmukLc1ER0WPpMs1duXaqo</t>
  </si>
  <si>
    <t>https://drive.google.com/file/d/1_9seIsYncELmukLc1ER0WPpMs1duXaqo/view?usp=drivesdk</t>
  </si>
  <si>
    <t>NURJANAH</t>
  </si>
  <si>
    <t>bendaharabidkumpoldalpg@gmail.com</t>
  </si>
  <si>
    <t>5146</t>
  </si>
  <si>
    <t>1kzFFzYHOQ05T-a8srLUYu3iEHtYOHJbW</t>
  </si>
  <si>
    <t>https://drive.google.com/file/d/1kzFFzYHOQ05T-a8srLUYu3iEHtYOHJbW/view?usp=drivesdk</t>
  </si>
  <si>
    <t>ABDUL RAHMAN</t>
  </si>
  <si>
    <t>lantastanbu@gmail.com</t>
  </si>
  <si>
    <t>5147</t>
  </si>
  <si>
    <t>1mCyxUskz0o3ZJM4aL1PPYvoKNnDsvRdP</t>
  </si>
  <si>
    <t>https://drive.google.com/file/d/1mCyxUskz0o3ZJM4aL1PPYvoKNnDsvRdP/view?usp=drivesdk</t>
  </si>
  <si>
    <t>Document successfully created; Document successfully merged; PDF created; !!Error Sending Emails: Service invoked too many times for one day: email.; Manually run by ecertificate75@gmail.com; Timestamp: Sep 3 2024 12:48 AM</t>
  </si>
  <si>
    <t>NURKHASANAH, A. Md. Kep</t>
  </si>
  <si>
    <t>nurk70229@gmail.com</t>
  </si>
  <si>
    <t>5148</t>
  </si>
  <si>
    <t>1_EgBEWMV-aaem_c8cYAeA83EEX8TL2uE</t>
  </si>
  <si>
    <t>https://drive.google.com/file/d/1_EgBEWMV-aaem_c8cYAeA83EEX8TL2uE/view?usp=drivesdk</t>
  </si>
  <si>
    <t>dr. KHAIRUNNISA HENDRA PUTRI</t>
  </si>
  <si>
    <t>khairunnisahendrap@gmail.com</t>
  </si>
  <si>
    <t>5149</t>
  </si>
  <si>
    <t>1Ia7Oby97D0Ucw05jnrQgFyBpA6z0Rsu3</t>
  </si>
  <si>
    <t>https://drive.google.com/file/d/1Ia7Oby97D0Ucw05jnrQgFyBpA6z0Rsu3/view?usp=drivesdk</t>
  </si>
  <si>
    <t>MOCHAMMAD FAJAR MAULANA, A.Md.Ftr</t>
  </si>
  <si>
    <t>Mochammadfajar96@gmail.com</t>
  </si>
  <si>
    <t>5150</t>
  </si>
  <si>
    <t>1yyfSNYWQ4iEi4dlwdETHRhUNCYfeHoRE</t>
  </si>
  <si>
    <t>https://drive.google.com/file/d/1yyfSNYWQ4iEi4dlwdETHRhUNCYfeHoRE/view?usp=drivesdk</t>
  </si>
  <si>
    <t>HERDINI LUGIATI</t>
  </si>
  <si>
    <t>herdinilugiati@gmail.com</t>
  </si>
  <si>
    <t>5151</t>
  </si>
  <si>
    <t>1HwpDofNlbNMbqQa_rVGVbGI4TxP2be1w</t>
  </si>
  <si>
    <t>https://drive.google.com/file/d/1HwpDofNlbNMbqQa_rVGVbGI4TxP2be1w/view?usp=drivesdk</t>
  </si>
  <si>
    <t>ARI FITRIANI</t>
  </si>
  <si>
    <t>arisaadan12@gmail.com</t>
  </si>
  <si>
    <t>5152</t>
  </si>
  <si>
    <t>12KX9MOQ4xKXn3Qouf1hIun5cqUi32jVW</t>
  </si>
  <si>
    <t>https://drive.google.com/file/d/12KX9MOQ4xKXn3Qouf1hIun5cqUi32jVW/view?usp=drivesdk</t>
  </si>
  <si>
    <t>Document successfully created; Document successfully merged; PDF created; !!Error Sending Emails: Service invoked too many times for one day: email.; Manually run by ecertificate75@gmail.com; Timestamp: Sep 3 2024 12:49 AM</t>
  </si>
  <si>
    <t>DWI EVIANA</t>
  </si>
  <si>
    <t>dwieviana86@gmail.com</t>
  </si>
  <si>
    <t>5153</t>
  </si>
  <si>
    <t>1SC5wsFrjomaKO1RYiQ3dFHTlAq76bo1U</t>
  </si>
  <si>
    <t>https://drive.google.com/file/d/1SC5wsFrjomaKO1RYiQ3dFHTlAq76bo1U/view?usp=drivesdk</t>
  </si>
  <si>
    <t xml:space="preserve">INDRIANI </t>
  </si>
  <si>
    <t>indrianiressragen@gmail.com</t>
  </si>
  <si>
    <t>5154</t>
  </si>
  <si>
    <t>1cpTME5Xw2kC0PvTH2iDSvoHBY0gDvyD8</t>
  </si>
  <si>
    <t>https://drive.google.com/file/d/1cpTME5Xw2kC0PvTH2iDSvoHBY0gDvyD8/view?usp=drivesdk</t>
  </si>
  <si>
    <t>WARGINO</t>
  </si>
  <si>
    <t>bapakwargino1970@gmail.com</t>
  </si>
  <si>
    <t>5155</t>
  </si>
  <si>
    <t>1d8ft73rw_38Ya_AUQE9faxa7eXFEmUr5</t>
  </si>
  <si>
    <t>https://drive.google.com/file/d/1d8ft73rw_38Ya_AUQE9faxa7eXFEmUr5/view?usp=drivesdk</t>
  </si>
  <si>
    <t>NOVIA EKA ISMAWATI, S.E.</t>
  </si>
  <si>
    <t>novia.eka.polres@gmail.com</t>
  </si>
  <si>
    <t>5156</t>
  </si>
  <si>
    <t>1mo0vt23ILSJc_aPPCfy4W6xFoiYwaIlk</t>
  </si>
  <si>
    <t>https://drive.google.com/file/d/1mo0vt23ILSJc_aPPCfy4W6xFoiYwaIlk/view?usp=drivesdk</t>
  </si>
  <si>
    <t>Document successfully created; Document successfully merged; PDF created; !!Error Sending Emails: Service invoked too many times for one day: email.; Manually run by ecertificate75@gmail.com; Timestamp: Sep 3 2024 12:50 AM</t>
  </si>
  <si>
    <t>DINY AMALIA S.E.</t>
  </si>
  <si>
    <t>dinydaffa77@gmail.com</t>
  </si>
  <si>
    <t>5157</t>
  </si>
  <si>
    <t>1MACG9kwppG-fYPipOTytYM8bHnEQwwhs</t>
  </si>
  <si>
    <t>https://drive.google.com/file/d/1MACG9kwppG-fYPipOTytYM8bHnEQwwhs/view?usp=drivesdk</t>
  </si>
  <si>
    <t>Ika Aria Dani</t>
  </si>
  <si>
    <t>ikaad1909@gmail.com</t>
  </si>
  <si>
    <t>5158</t>
  </si>
  <si>
    <t>1zc5XTqWB3u4yl3uj74V3rjCvAvAHy_3j</t>
  </si>
  <si>
    <t>https://drive.google.com/file/d/1zc5XTqWB3u4yl3uj74V3rjCvAvAHy_3j/view?usp=drivesdk</t>
  </si>
  <si>
    <t>RANI ANDRIANI RAHAYU</t>
  </si>
  <si>
    <t>raniandrianirahayu77@gmail.com</t>
  </si>
  <si>
    <t>5159</t>
  </si>
  <si>
    <t>1szJ3SZcylI_FOWcifxe2iDZpeFAC0wI3</t>
  </si>
  <si>
    <t>https://drive.google.com/file/d/1szJ3SZcylI_FOWcifxe2iDZpeFAC0wI3/view?usp=drivesdk</t>
  </si>
  <si>
    <t>drg. ADINTYA HUMAIRA</t>
  </si>
  <si>
    <t>adintya.hmr03@gmail.com</t>
  </si>
  <si>
    <t>5160</t>
  </si>
  <si>
    <t>1q76nK2wDCEUJKRLbeRI8xsP66dncYgC9</t>
  </si>
  <si>
    <t>https://drive.google.com/file/d/1q76nK2wDCEUJKRLbeRI8xsP66dncYgC9/view?usp=drivesdk</t>
  </si>
  <si>
    <t>Document successfully created; Document successfully merged; PDF created; !!Error Sending Emails: Service invoked too many times for one day: email.; Run via form trigger as ecertificate75@gmail.com; Timestamp: Sep 3 2024 12:34 AM</t>
  </si>
  <si>
    <t>NI LUH DENIS NILA CANDRA, A.Md.Keb, S.M</t>
  </si>
  <si>
    <t>nyzanyza30@gmail.com</t>
  </si>
  <si>
    <t>5161</t>
  </si>
  <si>
    <t>Starting at Thu Aug 29 2024 21:34:32 GMT-0400 (EDT)</t>
  </si>
  <si>
    <t>1YZxZdQrZBPSrHdl2mdbtc4mTehw58ahS</t>
  </si>
  <si>
    <t>https://drive.google.com/file/d/1YZxZdQrZBPSrHdl2mdbtc4mTehw58ahS/view?usp=drivesdk</t>
  </si>
  <si>
    <t>TITI MAHARTI</t>
  </si>
  <si>
    <t>titimaharti14@gmail.com</t>
  </si>
  <si>
    <t>5162</t>
  </si>
  <si>
    <t>1_p4Q8ncRXhZMhJuEgVEl3atuAQrUZWny</t>
  </si>
  <si>
    <t>https://drive.google.com/file/d/1_p4Q8ncRXhZMhJuEgVEl3atuAQrUZWny/view?usp=drivesdk</t>
  </si>
  <si>
    <t>PHOPIN NIRIYOFITA</t>
  </si>
  <si>
    <t>phopinkomar@gmail.com</t>
  </si>
  <si>
    <t>5163</t>
  </si>
  <si>
    <t>1MQznml1rNXClfhhygguPBciwQPmdnE7_</t>
  </si>
  <si>
    <t>https://drive.google.com/file/d/1MQznml1rNXClfhhygguPBciwQPmdnE7_/view?usp=drivesdk</t>
  </si>
  <si>
    <t>MOCHIT</t>
  </si>
  <si>
    <t>mochit1977@gmail.com</t>
  </si>
  <si>
    <t>5164</t>
  </si>
  <si>
    <t>1aob8Lg1snNIOqsJ4PJJ5O3EMY5VKx_jJ</t>
  </si>
  <si>
    <t>https://drive.google.com/file/d/1aob8Lg1snNIOqsJ4PJJ5O3EMY5VKx_jJ/view?usp=drivesdk</t>
  </si>
  <si>
    <t>Document successfully created; Document successfully merged; PDF created; !!Error Sending Emails: Service invoked too many times for one day: email.; Manually run by ecertificate75@gmail.com; Timestamp: Sep 3 2024 12:51 AM</t>
  </si>
  <si>
    <t xml:space="preserve">ERWIN ARDIANSYAH </t>
  </si>
  <si>
    <t>erwinardiansyah290871@gmail.com</t>
  </si>
  <si>
    <t>5165</t>
  </si>
  <si>
    <t>16FO9AnwDPrb7HppUWJuYBSXY6ch_odpo</t>
  </si>
  <si>
    <t>https://drive.google.com/file/d/16FO9AnwDPrb7HppUWJuYBSXY6ch_odpo/view?usp=drivesdk</t>
  </si>
  <si>
    <t>swanto.sw50@gmail.com</t>
  </si>
  <si>
    <t>5166</t>
  </si>
  <si>
    <t>Starting at Thu Aug 29 2024 21:34:38 GMT-0400 (EDT)</t>
  </si>
  <si>
    <t>1bn_y8vIaQC2DGCGqH1K-eJS8CCjDfc47</t>
  </si>
  <si>
    <t>https://drive.google.com/file/d/1bn_y8vIaQC2DGCGqH1K-eJS8CCjDfc47/view?usp=drivesdk</t>
  </si>
  <si>
    <t>SUPRIYANTI</t>
  </si>
  <si>
    <t>Supriyanti.sekkundur@gamil.com</t>
  </si>
  <si>
    <t>5167</t>
  </si>
  <si>
    <t>1L14BfG_TqZoEdGZYrBIt8Nq4GVHjNAW4</t>
  </si>
  <si>
    <t>https://drive.google.com/file/d/1L14BfG_TqZoEdGZYrBIt8Nq4GVHjNAW4/view?usp=drivesdk</t>
  </si>
  <si>
    <t>SITI CHOTIMAH, AMd.Keb</t>
  </si>
  <si>
    <t>mamazeid@gmail.com</t>
  </si>
  <si>
    <t>5168</t>
  </si>
  <si>
    <t>1nFcusoMHyLeaFXvNM4SjUCb8890gZrEG</t>
  </si>
  <si>
    <t>https://drive.google.com/file/d/1nFcusoMHyLeaFXvNM4SjUCb8890gZrEG/view?usp=drivesdk</t>
  </si>
  <si>
    <t>Document successfully created; Document successfully merged; PDF created; !!Error Sending Emails: Service invoked too many times for one day: email.; Manually run by ecertificate75@gmail.com; Timestamp: Sep 3 2024 12:52 AM</t>
  </si>
  <si>
    <t>SRi PUJIASTUTI</t>
  </si>
  <si>
    <t>sripuji0372@gmail.com</t>
  </si>
  <si>
    <t>5169</t>
  </si>
  <si>
    <t>1wXa6WTrv2_YrsjwR0xLFjYCVzpNk1DvN</t>
  </si>
  <si>
    <t>https://drive.google.com/file/d/1wXa6WTrv2_YrsjwR0xLFjYCVzpNk1DvN/view?usp=drivesdk</t>
  </si>
  <si>
    <t>GUSTY MARINA, A.Md.Keb</t>
  </si>
  <si>
    <t>marinagusty586193@gmail.com</t>
  </si>
  <si>
    <t>5170</t>
  </si>
  <si>
    <t>1SKzw2fHS-RCjjx6iOJVMY3Jz1BjKLs_s</t>
  </si>
  <si>
    <t>https://drive.google.com/file/d/1SKzw2fHS-RCjjx6iOJVMY3Jz1BjKLs_s/view?usp=drivesdk</t>
  </si>
  <si>
    <t>SURYANA</t>
  </si>
  <si>
    <t>suryanaaza22@gmail.com</t>
  </si>
  <si>
    <t>5171</t>
  </si>
  <si>
    <t>Starting at Thu Aug 29 2024 21:34:41 GMT-0400 (EDT)</t>
  </si>
  <si>
    <t>1310YJ4-ktz6O0hDBD8mW2C9jQL3hlx9W</t>
  </si>
  <si>
    <t>https://drive.google.com/file/d/1310YJ4-ktz6O0hDBD8mW2C9jQL3hlx9W/view?usp=drivesdk</t>
  </si>
  <si>
    <t>WARDAH,SE</t>
  </si>
  <si>
    <t>wwardah897@gmail.com</t>
  </si>
  <si>
    <t>5172</t>
  </si>
  <si>
    <t>1al3RWJx29ILzgdzmD1LN6hYj7i1SHt_0</t>
  </si>
  <si>
    <t>https://drive.google.com/file/d/1al3RWJx29ILzgdzmD1LN6hYj7i1SHt_0/view?usp=drivesdk</t>
  </si>
  <si>
    <t>Document successfully created; Document successfully merged; PDF created; !!Error Sending Emails: Service invoked too many times for one day: email.; Manually run by ecertificate75@gmail.com; Timestamp: Sep 3 2024 12:53 AM</t>
  </si>
  <si>
    <t>ROHMANI</t>
  </si>
  <si>
    <t>romirommanie@gmail.com</t>
  </si>
  <si>
    <t>5173</t>
  </si>
  <si>
    <t>1f-nYKSg-gCz8HOwePOREsH26vUf9o22y</t>
  </si>
  <si>
    <t>https://drive.google.com/file/d/1f-nYKSg-gCz8HOwePOREsH26vUf9o22y/view?usp=drivesdk</t>
  </si>
  <si>
    <t>suyonogapluk70@gmail.com</t>
  </si>
  <si>
    <t>5174</t>
  </si>
  <si>
    <t>1Bpsr1by4hVqVhRvwRjoZ_nKBRAautWso</t>
  </si>
  <si>
    <t>https://drive.google.com/file/d/1Bpsr1by4hVqVhRvwRjoZ_nKBRAautWso/view?usp=drivesdk</t>
  </si>
  <si>
    <t>ASIMA ROHANA</t>
  </si>
  <si>
    <t>asimamarbun123@nail.com</t>
  </si>
  <si>
    <t>5175</t>
  </si>
  <si>
    <t>1Oaojhy5nFpLvcgWw85OyGfESlPd2kQfr</t>
  </si>
  <si>
    <t>https://drive.google.com/file/d/1Oaojhy5nFpLvcgWw85OyGfESlPd2kQfr/view?usp=drivesdk</t>
  </si>
  <si>
    <t>IDAMUFIDAH</t>
  </si>
  <si>
    <t>mufidah82@gmail.com</t>
  </si>
  <si>
    <t>5176</t>
  </si>
  <si>
    <t>https://drive.google.com/file/d/156els75AH7g6nEO131iWHjhBHeblil6M/view?usp=drivesdk</t>
  </si>
  <si>
    <t>156els75AH7g6nEO131iWHjhBHeblil6M</t>
  </si>
  <si>
    <t>11pwVgQvfjeq8l7DI7JbtK_pg0bI9oM_S</t>
  </si>
  <si>
    <t>https://drive.google.com/file/d/11pwVgQvfjeq8l7DI7JbtK_pg0bI9oM_S/view?usp=drivesdk</t>
  </si>
  <si>
    <t>WARTINI, A.Md.Keb</t>
  </si>
  <si>
    <t>wartinirachmat@gmail.com</t>
  </si>
  <si>
    <t>5177</t>
  </si>
  <si>
    <t>https://drive.google.com/file/d/1pLXqK_k1-IuUp2yDIhQA5zDXFnkVw8sQ/view?usp=drivesdk</t>
  </si>
  <si>
    <t>1pLXqK_k1-IuUp2yDIhQA5zDXFnkVw8sQ</t>
  </si>
  <si>
    <t>1_u1HiKgtMGE-pYRkLC5KQC0vp5CVQTta</t>
  </si>
  <si>
    <t>https://drive.google.com/file/d/1_u1HiKgtMGE-pYRkLC5KQC0vp5CVQTta/view?usp=drivesdk</t>
  </si>
  <si>
    <t>LILIS SUNARMI</t>
  </si>
  <si>
    <t>lilissunarmi11@gmail.com</t>
  </si>
  <si>
    <t>5178</t>
  </si>
  <si>
    <t>https://drive.google.com/file/d/1FNB6umijkjLyrCC5bCLIM89k2InfInZm/view?usp=drivesdk</t>
  </si>
  <si>
    <t>1FNB6umijkjLyrCC5bCLIM89k2InfInZm</t>
  </si>
  <si>
    <t>1dKA2Sgwx12sGmf0b58kI2V4twHR0vcE4</t>
  </si>
  <si>
    <t>https://drive.google.com/file/d/1dKA2Sgwx12sGmf0b58kI2V4twHR0vcE4/view?usp=drivesdk</t>
  </si>
  <si>
    <t>Document successfully created; Document successfully merged; PDF created; !!Error Sending Emails: Service invoked too many times for one day: email.; Manually run by ecertificate75@gmail.com; Timestamp: Sep 3 2024 12:54 AM</t>
  </si>
  <si>
    <t>ASMINA</t>
  </si>
  <si>
    <t>asmina.bintang@gmail.com</t>
  </si>
  <si>
    <t>5179</t>
  </si>
  <si>
    <t>https://drive.google.com/file/d/1AgAscyyN8v83nw4E3TX2nckiGW2jqbFF/view?usp=drivesdk</t>
  </si>
  <si>
    <t>1AgAscyyN8v83nw4E3TX2nckiGW2jqbFF</t>
  </si>
  <si>
    <t>1mAXtJgUmcPnAQwsltheac72TS3vP_UE4</t>
  </si>
  <si>
    <t>https://drive.google.com/file/d/1mAXtJgUmcPnAQwsltheac72TS3vP_UE4/view?usp=drivesdk</t>
  </si>
  <si>
    <t>HENDRIYANA</t>
  </si>
  <si>
    <t>hendriyanasumda@gmail.com</t>
  </si>
  <si>
    <t>5180</t>
  </si>
  <si>
    <t>Starting at Thu Aug 29 2024 21:34:43 GMT-0400 (EDT)</t>
  </si>
  <si>
    <t>1T9LQj54iAD7RMIIpl9mA7v2MsXE9MWSY</t>
  </si>
  <si>
    <t>https://drive.google.com/file/d/1T9LQj54iAD7RMIIpl9mA7v2MsXE9MWSY/view?usp=drivesdk</t>
  </si>
  <si>
    <t>JEJEN HIDAYAT</t>
  </si>
  <si>
    <t>zeanhidayat.zh@gmail.com</t>
  </si>
  <si>
    <t>5181</t>
  </si>
  <si>
    <t>https://drive.google.com/file/d/1ta0j97f6uhRLKEyVYAWrBFLRo5aqUdeu/view?usp=drivesdk</t>
  </si>
  <si>
    <t>1ta0j97f6uhRLKEyVYAWrBFLRo5aqUdeu</t>
  </si>
  <si>
    <t>1wor3_7TLSxuMnbT2pLVy7UfrOIoypB8R</t>
  </si>
  <si>
    <t>https://drive.google.com/file/d/1wor3_7TLSxuMnbT2pLVy7UfrOIoypB8R/view?usp=drivesdk</t>
  </si>
  <si>
    <t>yuliati69.reskrim@gemail.com</t>
  </si>
  <si>
    <t>5182</t>
  </si>
  <si>
    <t>https://drive.google.com/file/d/1E3pcb71x0qPNpNAOyhvJ5lFrhWWoz2NC/view?usp=drivesdk</t>
  </si>
  <si>
    <t>1E3pcb71x0qPNpNAOyhvJ5lFrhWWoz2NC</t>
  </si>
  <si>
    <t>1P2oCwo0wF1TGEyBrn8nAF8rDN4CK5Cn1</t>
  </si>
  <si>
    <t>https://drive.google.com/file/d/1P2oCwo0wF1TGEyBrn8nAF8rDN4CK5Cn1/view?usp=drivesdk</t>
  </si>
  <si>
    <t xml:space="preserve">dr. Hezar Salahudin SpB </t>
  </si>
  <si>
    <t>hezar.tuff@gmail.com</t>
  </si>
  <si>
    <t>5183</t>
  </si>
  <si>
    <t>https://drive.google.com/file/d/1swO8GJfdcsdIDumXqOKN8ofRNEuKuSQp/view?usp=drivesdk</t>
  </si>
  <si>
    <t>1swO8GJfdcsdIDumXqOKN8ofRNEuKuSQp</t>
  </si>
  <si>
    <t>15DKgN-0fmOB7LQbklyadhzQSIkRxqYXA</t>
  </si>
  <si>
    <t>https://drive.google.com/file/d/15DKgN-0fmOB7LQbklyadhzQSIkRxqYXA/view?usp=drivesdk</t>
  </si>
  <si>
    <t>Document successfully created; Document successfully merged; PDF created; !!Error Sending Emails: Service invoked too many times for one day: email.; Manually run by ecertificate75@gmail.com; Timestamp: Sep 3 2024 12:55 AM</t>
  </si>
  <si>
    <t>LYLIANA, S. Kep., Ns</t>
  </si>
  <si>
    <t>lyliana798@gmail.con</t>
  </si>
  <si>
    <t>5184</t>
  </si>
  <si>
    <t>https://drive.google.com/file/d/15LT-BPDXZQ3crxNGd0OUCzMD0wr-ESVE/view?usp=drivesdk</t>
  </si>
  <si>
    <t>15LT-BPDXZQ3crxNGd0OUCzMD0wr-ESVE</t>
  </si>
  <si>
    <t>1c-ji4e_rQLUeVM1jqHfTiC1IcFTeyFlP</t>
  </si>
  <si>
    <t>https://drive.google.com/file/d/1c-ji4e_rQLUeVM1jqHfTiC1IcFTeyFlP/view?usp=drivesdk</t>
  </si>
  <si>
    <t>SUPRIADI</t>
  </si>
  <si>
    <t>asantifitri25@gmail.com</t>
  </si>
  <si>
    <t>5185</t>
  </si>
  <si>
    <t>Starting at Thu Aug 29 2024 21:34:48 GMT-0400 (EDT)</t>
  </si>
  <si>
    <t>1MabMWiLnjX4HUmFYc0xiVWvo3WrYpcdK</t>
  </si>
  <si>
    <t>https://drive.google.com/file/d/1MabMWiLnjX4HUmFYc0xiVWvo3WrYpcdK/view?usp=drivesdk</t>
  </si>
  <si>
    <t>RITA JATI MULYANTARI, AMK</t>
  </si>
  <si>
    <t>klinikbhyrestayka@gmail.com</t>
  </si>
  <si>
    <t>5186</t>
  </si>
  <si>
    <t>1kQ9RyOClG6_Zr3RdMX-K56KGr811AhPf</t>
  </si>
  <si>
    <t>https://drive.google.com/file/d/1kQ9RyOClG6_Zr3RdMX-K56KGr811AhPf/view?usp=drivesdk</t>
  </si>
  <si>
    <t>Document successfully created; Document successfully merged; PDF created; !!Error Sending Emails: Service invoked too many times for one day: email.; Manually run by ecertificate75@gmail.com; Timestamp: Sep 3 2024 12:56 AM</t>
  </si>
  <si>
    <t xml:space="preserve">LAMTIUR HOTMARIA NAINGGOLAN </t>
  </si>
  <si>
    <t>lam740513@gmail.com</t>
  </si>
  <si>
    <t>5187</t>
  </si>
  <si>
    <t>19s2SXgbDykzuJxfGtRKJe7SXjHuJHyfv</t>
  </si>
  <si>
    <t>https://drive.google.com/file/d/19s2SXgbDykzuJxfGtRKJe7SXjHuJHyfv/view?usp=drivesdk</t>
  </si>
  <si>
    <t>RUSNAH</t>
  </si>
  <si>
    <t>rusnahsijay7@gmail.com</t>
  </si>
  <si>
    <t>5188</t>
  </si>
  <si>
    <t>https://drive.google.com/file/d/1V06-KgNKdsfaxKEmP2n-1bwn3WfK7y-n/view?usp=drivesdk</t>
  </si>
  <si>
    <t>1V06-KgNKdsfaxKEmP2n-1bwn3WfK7y-n</t>
  </si>
  <si>
    <t>1ikMMJRb8iAQRbtQYb8d9I0l-TnbB7G0y</t>
  </si>
  <si>
    <t>https://drive.google.com/file/d/1ikMMJRb8iAQRbtQYb8d9I0l-TnbB7G0y/view?usp=drivesdk</t>
  </si>
  <si>
    <t>SULISTYOWATI,AMAK,S.P.si</t>
  </si>
  <si>
    <t>sulistyowati3685@gmail.com</t>
  </si>
  <si>
    <t>5189</t>
  </si>
  <si>
    <t>https://drive.google.com/file/d/1BWjebya14M66KfMFQhQQ-iuAPT9C1xj5/view?usp=drivesdk</t>
  </si>
  <si>
    <t>1BWjebya14M66KfMFQhQQ-iuAPT9C1xj5</t>
  </si>
  <si>
    <t>106Vie70LlZWBvedoMetSSX1P8aCn9cy4</t>
  </si>
  <si>
    <t>https://drive.google.com/file/d/106Vie70LlZWBvedoMetSSX1P8aCn9cy4/view?usp=drivesdk</t>
  </si>
  <si>
    <t xml:space="preserve">ANDI SUMIYATI </t>
  </si>
  <si>
    <t>andisumiyati@yahoo.com</t>
  </si>
  <si>
    <t>5190</t>
  </si>
  <si>
    <t>https://drive.google.com/file/d/1vYwEC6VqQIYuHB3FznclGTvzeJRqPGwv/view?usp=drivesdk</t>
  </si>
  <si>
    <t>1vYwEC6VqQIYuHB3FznclGTvzeJRqPGwv</t>
  </si>
  <si>
    <t>1ejV7AkYCkKRP57PEvsXBOVXhP0jTwtuz</t>
  </si>
  <si>
    <t>https://drive.google.com/file/d/1ejV7AkYCkKRP57PEvsXBOVXhP0jTwtuz/view?usp=drivesdk</t>
  </si>
  <si>
    <t>RINI APRIYANTI,A.MD.KEP</t>
  </si>
  <si>
    <t>riniapriyanticut@gmail.com</t>
  </si>
  <si>
    <t>5191</t>
  </si>
  <si>
    <t>https://drive.google.com/file/d/1HVcVKgkcHZhG1yIkNfY4TErX4e8PlGBl/view?usp=drivesdk</t>
  </si>
  <si>
    <t>1HVcVKgkcHZhG1yIkNfY4TErX4e8PlGBl</t>
  </si>
  <si>
    <t>1ecJYjDREG8h4TfrIkHi4a92th3UIcEld</t>
  </si>
  <si>
    <t>https://drive.google.com/file/d/1ecJYjDREG8h4TfrIkHi4a92th3UIcEld/view?usp=drivesdk</t>
  </si>
  <si>
    <t>BAMBANG HERYANTO</t>
  </si>
  <si>
    <t>bambangheryanto1968@gmail.com</t>
  </si>
  <si>
    <t>5192</t>
  </si>
  <si>
    <t>https://drive.google.com/file/d/11nKmUuIS6oqHQ0lR3GGvKjhEpVlr6jOk/view?usp=drivesdk</t>
  </si>
  <si>
    <t>11nKmUuIS6oqHQ0lR3GGvKjhEpVlr6jOk</t>
  </si>
  <si>
    <t>1kqAjBiOO0bTz1DeYDBrPBwFst0qjV3IX</t>
  </si>
  <si>
    <t>https://drive.google.com/file/d/1kqAjBiOO0bTz1DeYDBrPBwFst0qjV3IX/view?usp=drivesdk</t>
  </si>
  <si>
    <t>Document successfully created; Document successfully merged; PDF created; !!Error Sending Emails: Service invoked too many times for one day: email.; Manually run by ecertificate75@gmail.com; Timestamp: Sep 3 2024 12:57 AM</t>
  </si>
  <si>
    <t>ARIS RISTIAWAN</t>
  </si>
  <si>
    <t>ries74gbs@gmail.com</t>
  </si>
  <si>
    <t>5193</t>
  </si>
  <si>
    <t>https://drive.google.com/file/d/1sSGrMUvYJZpBaAgfDIlvLPDTQJnuRO-5/view?usp=drivesdk</t>
  </si>
  <si>
    <t>1sSGrMUvYJZpBaAgfDIlvLPDTQJnuRO-5</t>
  </si>
  <si>
    <t>1-lbBhuuS-ezSImVSlyulwxGYIKtwG1Vg</t>
  </si>
  <si>
    <t>https://drive.google.com/file/d/1-lbBhuuS-ezSImVSlyulwxGYIKtwG1Vg/view?usp=drivesdk</t>
  </si>
  <si>
    <t>REFNINI</t>
  </si>
  <si>
    <t>refnini77@gmail.com</t>
  </si>
  <si>
    <t>5194</t>
  </si>
  <si>
    <t>https://drive.google.com/file/d/1ozQVK7JgTivofSy3H7aq1IsWnzUcFloj/view?usp=drivesdk</t>
  </si>
  <si>
    <t>1ozQVK7JgTivofSy3H7aq1IsWnzUcFloj</t>
  </si>
  <si>
    <t>1YnZJfBFQCQuuQ-fZ5u449Gz-3zvOinv3</t>
  </si>
  <si>
    <t>https://drive.google.com/file/d/1YnZJfBFQCQuuQ-fZ5u449Gz-3zvOinv3/view?usp=drivesdk</t>
  </si>
  <si>
    <t>ERNAWATI, S.E.</t>
  </si>
  <si>
    <t>ernawati8379@gmail.com</t>
  </si>
  <si>
    <t>5195</t>
  </si>
  <si>
    <t>https://drive.google.com/file/d/1cVvjFjzp1HSKXHWJ1miOta82qsq_vIzZ/view?usp=drivesdk</t>
  </si>
  <si>
    <t>1cVvjFjzp1HSKXHWJ1miOta82qsq_vIzZ</t>
  </si>
  <si>
    <t>1sBRiRgZmk1JHaC8FiODgEWIv7OmqyAge</t>
  </si>
  <si>
    <t>https://drive.google.com/file/d/1sBRiRgZmk1JHaC8FiODgEWIv7OmqyAge/view?usp=drivesdk</t>
  </si>
  <si>
    <t>MARLINA, S.E</t>
  </si>
  <si>
    <t>baeadi293@gmail.com</t>
  </si>
  <si>
    <t>5196</t>
  </si>
  <si>
    <t>https://drive.google.com/file/d/1_N_PNFqShs9Oojxs32uOaC4uUq1eozdK/view?usp=drivesdk</t>
  </si>
  <si>
    <t>1_N_PNFqShs9Oojxs32uOaC4uUq1eozdK</t>
  </si>
  <si>
    <t>12-UuZfnxAED3aB_VHDzqprk37PsF8ftp</t>
  </si>
  <si>
    <t>https://drive.google.com/file/d/12-UuZfnxAED3aB_VHDzqprk37PsF8ftp/view?usp=drivesdk</t>
  </si>
  <si>
    <t>ZAINUL APENDI</t>
  </si>
  <si>
    <t>zainulapendi7@gmail.com</t>
  </si>
  <si>
    <t>5197</t>
  </si>
  <si>
    <t>Starting at Thu Aug 29 2024 21:35:00 GMT-0400 (EDT)</t>
  </si>
  <si>
    <t>1S9qMghjdxcp1xmBIbRTSCh-LvYC-uH6h</t>
  </si>
  <si>
    <t>https://drive.google.com/file/d/1S9qMghjdxcp1xmBIbRTSCh-LvYC-uH6h/view?usp=drivesdk</t>
  </si>
  <si>
    <t>Document successfully created; Document successfully merged; PDF created; !!Error Sending Emails: Service invoked too many times for one day: email.; Manually run by ecertificate75@gmail.com; Timestamp: Sep 3 2024 12:58 AM</t>
  </si>
  <si>
    <t>NUR MUJI ASTUTIK, S.Kep.Ns</t>
  </si>
  <si>
    <t>nurmuji.subandi@gmail.com</t>
  </si>
  <si>
    <t>5198</t>
  </si>
  <si>
    <t>https://drive.google.com/file/d/1JaomYl1s6Wce3xr3BEGrz8ExUeOT0z6X/view?usp=drivesdk</t>
  </si>
  <si>
    <t>1JaomYl1s6Wce3xr3BEGrz8ExUeOT0z6X</t>
  </si>
  <si>
    <t>1LU_8TfnVNFEXvgxc8ZrMbrVYQTRl_Hwk</t>
  </si>
  <si>
    <t>https://drive.google.com/file/d/1LU_8TfnVNFEXvgxc8ZrMbrVYQTRl_Hwk/view?usp=drivesdk</t>
  </si>
  <si>
    <t>SUPRIYATIN.S.Sos</t>
  </si>
  <si>
    <t>supriyatin1209@gmail.com</t>
  </si>
  <si>
    <t>5199</t>
  </si>
  <si>
    <t>https://drive.google.com/file/d/1kainxWx2MswsDOkfSJZrzHB30PzfMrJl/view?usp=drivesdk</t>
  </si>
  <si>
    <t>1kainxWx2MswsDOkfSJZrzHB30PzfMrJl</t>
  </si>
  <si>
    <t>1P25gwKikp2c6xg-cwDGqX6j_zos06s7c</t>
  </si>
  <si>
    <t>https://drive.google.com/file/d/1P25gwKikp2c6xg-cwDGqX6j_zos06s7c/view?usp=drivesdk</t>
  </si>
  <si>
    <t>ANDRIAS LOMO, S.H.</t>
  </si>
  <si>
    <t>lomoandrias676@gmail.com</t>
  </si>
  <si>
    <t>5200</t>
  </si>
  <si>
    <t>https://drive.google.com/file/d/1HJb8t2gPTM94JJYPISWsIgYBRsoYHhse/view?usp=drivesdk</t>
  </si>
  <si>
    <t>1HJb8t2gPTM94JJYPISWsIgYBRsoYHhse</t>
  </si>
  <si>
    <t>1rtuWv_AnQjaDEt0xPSX3LYQiv-pwhNxu</t>
  </si>
  <si>
    <t>https://drive.google.com/file/d/1rtuWv_AnQjaDEt0xPSX3LYQiv-pwhNxu/view?usp=drivesdk</t>
  </si>
  <si>
    <t>WIWIK SETYANINGSIH, A.Md</t>
  </si>
  <si>
    <t>wiwikska661@gmail.com</t>
  </si>
  <si>
    <t>5201</t>
  </si>
  <si>
    <t>Starting at Thu Aug 29 2024 21:35:01 GMT-0400 (EDT)</t>
  </si>
  <si>
    <t>1j9xGDXe4swPPEFhBsw2gFOPMHxdgVQ3x</t>
  </si>
  <si>
    <t>https://drive.google.com/file/d/1j9xGDXe4swPPEFhBsw2gFOPMHxdgVQ3x/view?usp=drivesdk</t>
  </si>
  <si>
    <t xml:space="preserve">YUNIARTININGSIH </t>
  </si>
  <si>
    <t>yuniarti551@gmail.com</t>
  </si>
  <si>
    <t>5202</t>
  </si>
  <si>
    <t>1NCqW95wiTcAoyNbFGt5xAVLtmI0neuPQ</t>
  </si>
  <si>
    <t>https://drive.google.com/file/d/1NCqW95wiTcAoyNbFGt5xAVLtmI0neuPQ/view?usp=drivesdk</t>
  </si>
  <si>
    <t>MILKA P.RAMMA.S.SOS.MSI</t>
  </si>
  <si>
    <t>milkaramma90@gmail.com</t>
  </si>
  <si>
    <t>5203</t>
  </si>
  <si>
    <t>11vQK7IC6_vBwE1AKpt78viaZcDaSjuRf</t>
  </si>
  <si>
    <t>https://drive.google.com/file/d/11vQK7IC6_vBwE1AKpt78viaZcDaSjuRf/view?usp=drivesdk</t>
  </si>
  <si>
    <t>Document successfully created; Document successfully merged; PDF created; !!Error Sending Emails: Service invoked too many times for one day: email.; Manually run by ecertificate75@gmail.com; Timestamp: Sep 3 2024 12:59 AM</t>
  </si>
  <si>
    <t>YUNIARSIH</t>
  </si>
  <si>
    <t>yuni22393@gmail.com</t>
  </si>
  <si>
    <t>5204</t>
  </si>
  <si>
    <t>https://drive.google.com/file/d/1b-pZuG228daoFLmtMpSkVgZ89mRD0U8E/view?usp=drivesdk</t>
  </si>
  <si>
    <t>1b-pZuG228daoFLmtMpSkVgZ89mRD0U8E</t>
  </si>
  <si>
    <t>115a-SurJVOoZyzWptkHkc0BR0tdoIYUR</t>
  </si>
  <si>
    <t>https://drive.google.com/file/d/115a-SurJVOoZyzWptkHkc0BR0tdoIYUR/view?usp=drivesdk</t>
  </si>
  <si>
    <t>SRI MIARSIH</t>
  </si>
  <si>
    <t>srimiarsih095@gmail.com</t>
  </si>
  <si>
    <t>5205</t>
  </si>
  <si>
    <t>https://drive.google.com/file/d/180WIwad4qSDoksQiR3oQAVkxIQzrHVTW/view?usp=drivesdk</t>
  </si>
  <si>
    <t>180WIwad4qSDoksQiR3oQAVkxIQzrHVTW</t>
  </si>
  <si>
    <t>1ljUOWTTIAR9THqyWXL2HN8eSzXIIaAX9</t>
  </si>
  <si>
    <t>https://drive.google.com/file/d/1ljUOWTTIAR9THqyWXL2HN8eSzXIIaAX9/view?usp=drivesdk</t>
  </si>
  <si>
    <t>Dimas Setya Permana, A.Md</t>
  </si>
  <si>
    <t>permanadimas329@gmail.com</t>
  </si>
  <si>
    <t>5206</t>
  </si>
  <si>
    <t>https://drive.google.com/file/d/1Klmri6g5FxwUWt2pk3BQN4_tgOencHXP/view?usp=drivesdk</t>
  </si>
  <si>
    <t>1Klmri6g5FxwUWt2pk3BQN4_tgOencHXP</t>
  </si>
  <si>
    <t>1Wb9U6xpoOgKwbZiijbYoz3lMK55lgZA5</t>
  </si>
  <si>
    <t>https://drive.google.com/file/d/1Wb9U6xpoOgKwbZiijbYoz3lMK55lgZA5/view?usp=drivesdk</t>
  </si>
  <si>
    <t>ROBBY IRWANSYAH, S.Pd</t>
  </si>
  <si>
    <t>robby.irwansyah2015@gmail.com</t>
  </si>
  <si>
    <t>5207</t>
  </si>
  <si>
    <t>https://drive.google.com/file/d/1Nm0b91elHljOLDf37TyN5MOA1dMEjzlP/view?usp=drivesdk</t>
  </si>
  <si>
    <t>1Nm0b91elHljOLDf37TyN5MOA1dMEjzlP</t>
  </si>
  <si>
    <t>1zpq1AtPGJmVVtEOziCuvINZOVOs3AMU_</t>
  </si>
  <si>
    <t>https://drive.google.com/file/d/1zpq1AtPGJmVVtEOziCuvINZOVOs3AMU_/view?usp=drivesdk</t>
  </si>
  <si>
    <t>Document successfully created; Document successfully merged; PDF created; !!Error Sending Emails: Service invoked too many times for one day: email.; Manually run by ecertificate75@gmail.com; Timestamp: Sep 3 2024 1:00 AM</t>
  </si>
  <si>
    <t>WELLY RANTUNG</t>
  </si>
  <si>
    <t>wellyrantung196@gmail.com</t>
  </si>
  <si>
    <t>5208</t>
  </si>
  <si>
    <t>https://drive.google.com/file/d/1MLJzJ97bfh3v6se8CqTNCIZrYijJetEO/view?usp=drivesdk</t>
  </si>
  <si>
    <t>Document successfully created; Document successfully merged; PDF created; !!Error Sending Emails: Service invoked too many times for one day: email.; Run via form trigger as ecertificate75@gmail.com; Timestamp: Aug 29 2024 9:36 PM</t>
  </si>
  <si>
    <t>1MLJzJ97bfh3v6se8CqTNCIZrYijJetEO</t>
  </si>
  <si>
    <t>1eexxdH4oPomuqlol5skeVecONEQ6qC1f</t>
  </si>
  <si>
    <t>https://drive.google.com/file/d/1eexxdH4oPomuqlol5skeVecONEQ6qC1f/view?usp=drivesdk</t>
  </si>
  <si>
    <t>SATINEM</t>
  </si>
  <si>
    <t>inemgoldenwater@gmail.com</t>
  </si>
  <si>
    <t>5209</t>
  </si>
  <si>
    <t>https://drive.google.com/file/d/1ywyKrAVgsvkoAK14TrZtFodbctt286aD/view?usp=drivesdk</t>
  </si>
  <si>
    <t>1ywyKrAVgsvkoAK14TrZtFodbctt286aD</t>
  </si>
  <si>
    <t>1Fk0AtJjPajRu4NeW0O6VxQrvcjks3m9v</t>
  </si>
  <si>
    <t>https://drive.google.com/file/d/1Fk0AtJjPajRu4NeW0O6VxQrvcjks3m9v/view?usp=drivesdk</t>
  </si>
  <si>
    <t>IKA LISTYARINI, S.Tr.Keb</t>
  </si>
  <si>
    <t>ikalistya55@gmail.com</t>
  </si>
  <si>
    <t>5210</t>
  </si>
  <si>
    <t>Starting at Thu Aug 29 2024 21:35:09 GMT-0400 (EDT)</t>
  </si>
  <si>
    <t>1sHWaL-Ii9Hi86Zs7c86W0XAUlMZcZ7wW</t>
  </si>
  <si>
    <t>https://drive.google.com/file/d/1sHWaL-Ii9Hi86Zs7c86W0XAUlMZcZ7wW/view?usp=drivesdk</t>
  </si>
  <si>
    <t>na4722817@gmail.com</t>
  </si>
  <si>
    <t>5211</t>
  </si>
  <si>
    <t>1kR1I3xZfPiKjoxBqmDpH129_OVGMah5p</t>
  </si>
  <si>
    <t>https://drive.google.com/file/d/1kR1I3xZfPiKjoxBqmDpH129_OVGMah5p/view?usp=drivesdk</t>
  </si>
  <si>
    <t>Document successfully created; Document successfully merged; PDF created; !!Error Sending Emails: Service invoked too many times for one day: email.; Manually run by ecertificate75@gmail.com; Timestamp: Sep 3 2024 1:01 AM</t>
  </si>
  <si>
    <t>DEWI KARNASIH., S. H</t>
  </si>
  <si>
    <t>karnasihdewi@gmail.com</t>
  </si>
  <si>
    <t>5212</t>
  </si>
  <si>
    <t>1B_qO_7ZXRUpuWd6_oO5be0Djx7J8JVuC</t>
  </si>
  <si>
    <t>https://drive.google.com/file/d/1B_qO_7ZXRUpuWd6_oO5be0Djx7J8JVuC/view?usp=drivesdk</t>
  </si>
  <si>
    <t>LINDA MAERANI, SH</t>
  </si>
  <si>
    <t>lindamaerani@gmail.com</t>
  </si>
  <si>
    <t>5213</t>
  </si>
  <si>
    <t>18ZJJVK4V1LzEVerumGG6IIrkmOAEmUpA</t>
  </si>
  <si>
    <t>https://drive.google.com/file/d/18ZJJVK4V1LzEVerumGG6IIrkmOAEmUpA/view?usp=drivesdk</t>
  </si>
  <si>
    <t>KANDA RONY</t>
  </si>
  <si>
    <t>kandarony99@gmail.com</t>
  </si>
  <si>
    <t>5214</t>
  </si>
  <si>
    <t>1B_s7Kobfo7XFca7T3V2pCZWPy04KQpYm</t>
  </si>
  <si>
    <t>https://drive.google.com/file/d/1B_s7Kobfo7XFca7T3V2pCZWPy04KQpYm/view?usp=drivesdk</t>
  </si>
  <si>
    <t>TRIYATMO NUGROHO</t>
  </si>
  <si>
    <t>triyatmonugroho2017@gmail.com</t>
  </si>
  <si>
    <t>5215</t>
  </si>
  <si>
    <t>1dhdfIDVVTEsF5OKq2Q4wIMKWMZtRD9D-</t>
  </si>
  <si>
    <t>https://drive.google.com/file/d/1dhdfIDVVTEsF5OKq2Q4wIMKWMZtRD9D-/view?usp=drivesdk</t>
  </si>
  <si>
    <t>Document successfully created; Document successfully merged; PDF created; !!Error Sending Emails: Service invoked too many times for one day: email.; Manually run by ecertificate75@gmail.com; Timestamp: Sep 3 2024 1:02 AM</t>
  </si>
  <si>
    <t>CHANDRA SIANIPAR</t>
  </si>
  <si>
    <t>chandrasianipar@gmail.com</t>
  </si>
  <si>
    <t>5216</t>
  </si>
  <si>
    <t>https://drive.google.com/file/d/1iW2NkYBce24SdyFB_AFiGaxjx6w7Rzxx/view?usp=drivesdk</t>
  </si>
  <si>
    <t>1iW2NkYBce24SdyFB_AFiGaxjx6w7Rzxx</t>
  </si>
  <si>
    <t>1DvtPMg6eZmjChGnqiz6J90fEskZ3xVXg</t>
  </si>
  <si>
    <t>https://drive.google.com/file/d/1DvtPMg6eZmjChGnqiz6J90fEskZ3xVXg/view?usp=drivesdk</t>
  </si>
  <si>
    <t>DIDIK PRASTIO</t>
  </si>
  <si>
    <t>didik.prasetio@gmail.com</t>
  </si>
  <si>
    <t>5217</t>
  </si>
  <si>
    <t>Starting at Thu Aug 29 2024 21:35:15 GMT-0400 (EDT)</t>
  </si>
  <si>
    <t>19TfImIUn8qmy8GRAlMbNHvR2R7XHkzBx</t>
  </si>
  <si>
    <t>https://drive.google.com/file/d/19TfImIUn8qmy8GRAlMbNHvR2R7XHkzBx/view?usp=drivesdk</t>
  </si>
  <si>
    <t>ANDRIK FARIANTO</t>
  </si>
  <si>
    <t>andrikgavriel@gmail.com</t>
  </si>
  <si>
    <t>5218</t>
  </si>
  <si>
    <t>1XOuKchiRCP1lSwTRrl-B3sBQMhyGuz9w</t>
  </si>
  <si>
    <t>https://drive.google.com/file/d/1XOuKchiRCP1lSwTRrl-B3sBQMhyGuz9w/view?usp=drivesdk</t>
  </si>
  <si>
    <t>Hendang Mardijanti, S.Sos.</t>
  </si>
  <si>
    <t>hendang.mardijanti@gmail.com</t>
  </si>
  <si>
    <t>5219</t>
  </si>
  <si>
    <t>1RwOZFp8crSJt4kI0tgkPXVK29qvG1sDM</t>
  </si>
  <si>
    <t>https://drive.google.com/file/d/1RwOZFp8crSJt4kI0tgkPXVK29qvG1sDM/view?usp=drivesdk</t>
  </si>
  <si>
    <t>EMILAN SIBORO, S.Kom., M.M.</t>
  </si>
  <si>
    <t>emilansiboro@gmail.com</t>
  </si>
  <si>
    <t>5220</t>
  </si>
  <si>
    <t>https://drive.google.com/file/d/1t0LVVJQRoHAaR9AAukPshndMJ-sNPQuS/view?usp=drivesdk</t>
  </si>
  <si>
    <t>1t0LVVJQRoHAaR9AAukPshndMJ-sNPQuS</t>
  </si>
  <si>
    <t>1YWzEqbJrGpsxHZsJfGKEBITw3cZM5FHU</t>
  </si>
  <si>
    <t>https://drive.google.com/file/d/1YWzEqbJrGpsxHZsJfGKEBITw3cZM5FHU/view?usp=drivesdk</t>
  </si>
  <si>
    <t>Document successfully created; Document successfully merged; PDF created; !!Error Sending Emails: Service invoked too many times for one day: email.; Manually run by ecertificate75@gmail.com; Timestamp: Sep 3 2024 1:03 AM</t>
  </si>
  <si>
    <t>ANNA ROSA LUCKYTA, A.Md.Far</t>
  </si>
  <si>
    <t>annarosaluckyta13009@gmail.com</t>
  </si>
  <si>
    <t>5221</t>
  </si>
  <si>
    <t>https://drive.google.com/file/d/1PqsbmVr6bBsZ_EdEFVmz-Eeu4s8sVhqc/view?usp=drivesdk</t>
  </si>
  <si>
    <t>1PqsbmVr6bBsZ_EdEFVmz-Eeu4s8sVhqc</t>
  </si>
  <si>
    <t>1rzkJaWfDYLcdGrmPT8gb8JBq7nGSOn38</t>
  </si>
  <si>
    <t>https://drive.google.com/file/d/1rzkJaWfDYLcdGrmPT8gb8JBq7nGSOn38/view?usp=drivesdk</t>
  </si>
  <si>
    <t>BAIIR ARZAN, S.Sos</t>
  </si>
  <si>
    <t>baiirarzan71@gmail.com</t>
  </si>
  <si>
    <t>5222</t>
  </si>
  <si>
    <t>https://drive.google.com/file/d/1cN8fYGOLgLdT3v1NsUTNgRDPNptp8dU1/view?usp=drivesdk</t>
  </si>
  <si>
    <t>1cN8fYGOLgLdT3v1NsUTNgRDPNptp8dU1</t>
  </si>
  <si>
    <t>1K5FYCmJt4XvQPoTYZGeCbuxWl73i5vO1</t>
  </si>
  <si>
    <t>https://drive.google.com/file/d/1K5FYCmJt4XvQPoTYZGeCbuxWl73i5vO1/view?usp=drivesdk</t>
  </si>
  <si>
    <t>AGUSTINA</t>
  </si>
  <si>
    <t>donnypohan2810@gmail.com</t>
  </si>
  <si>
    <t>5223</t>
  </si>
  <si>
    <t>Starting at Thu Aug 29 2024 21:35:27 GMT-0400 (EDT)</t>
  </si>
  <si>
    <t>1gGb8HZt6V8jkWSUlSVucqQLGYTU0MbXE</t>
  </si>
  <si>
    <t>https://drive.google.com/file/d/1gGb8HZt6V8jkWSUlSVucqQLGYTU0MbXE/view?usp=drivesdk</t>
  </si>
  <si>
    <t>KARTONO</t>
  </si>
  <si>
    <t>kartonofuzi108@gmail.com</t>
  </si>
  <si>
    <t>5224</t>
  </si>
  <si>
    <t>16TNFr5xyr5NdqjnLBPtY6e2th7LMx2D0</t>
  </si>
  <si>
    <t>https://drive.google.com/file/d/16TNFr5xyr5NdqjnLBPtY6e2th7LMx2D0/view?usp=drivesdk</t>
  </si>
  <si>
    <t>DINA ISMAWATI</t>
  </si>
  <si>
    <t>dinaari762@gmail.com</t>
  </si>
  <si>
    <t>5225</t>
  </si>
  <si>
    <t>1bj-GcSVya2twtEiXa4L6Kwe4flHas9e0</t>
  </si>
  <si>
    <t>https://drive.google.com/file/d/1bj-GcSVya2twtEiXa4L6Kwe4flHas9e0/view?usp=drivesdk</t>
  </si>
  <si>
    <t>WA NELI</t>
  </si>
  <si>
    <t>nwaneli25@gmail.com</t>
  </si>
  <si>
    <t>5226</t>
  </si>
  <si>
    <t>1VuR7jaTK4e4-Buhhp7b3PjWOoqH6Z2FN</t>
  </si>
  <si>
    <t>https://drive.google.com/file/d/1VuR7jaTK4e4-Buhhp7b3PjWOoqH6Z2FN/view?usp=drivesdk</t>
  </si>
  <si>
    <t>Document successfully created; Document successfully merged; PDF created; !!Error Sending Emails: Service invoked too many times for one day: email.; Manually run by ecertificate75@gmail.com; Timestamp: Sep 3 2024 1:04 AM</t>
  </si>
  <si>
    <t>Tobok Sihar Hamonangan Batuara</t>
  </si>
  <si>
    <t>toboksiharbatuara@gmail.com</t>
  </si>
  <si>
    <t>5227</t>
  </si>
  <si>
    <t>1rWpgV1ofnwGoNvqDhGIXuUxYySx-M-lR</t>
  </si>
  <si>
    <t>https://drive.google.com/file/d/1rWpgV1ofnwGoNvqDhGIXuUxYySx-M-lR/view?usp=drivesdk</t>
  </si>
  <si>
    <t>ASNAINI Spd MM</t>
  </si>
  <si>
    <t>asnaini.6809@gmail.com</t>
  </si>
  <si>
    <t>5228</t>
  </si>
  <si>
    <t>1NiJFF2-GnZYNZa8RTpyYTVfXEFSiBFC7</t>
  </si>
  <si>
    <t>https://drive.google.com/file/d/1NiJFF2-GnZYNZa8RTpyYTVfXEFSiBFC7/view?usp=drivesdk</t>
  </si>
  <si>
    <t>DARMONO</t>
  </si>
  <si>
    <t>darmotirus@gmail.com</t>
  </si>
  <si>
    <t>5229</t>
  </si>
  <si>
    <t>1bhQFsXw00S_wMHOEUyXR8XqqBPObWUSa</t>
  </si>
  <si>
    <t>https://drive.google.com/file/d/1bhQFsXw00S_wMHOEUyXR8XqqBPObWUSa/view?usp=drivesdk</t>
  </si>
  <si>
    <t>DWI UTOMO</t>
  </si>
  <si>
    <t>dwioetomo21@gmail.com</t>
  </si>
  <si>
    <t>5230</t>
  </si>
  <si>
    <t>179bmUUmV70Lu0WFpq3IH6PxHy3I1VJ5W</t>
  </si>
  <si>
    <t>https://drive.google.com/file/d/179bmUUmV70Lu0WFpq3IH6PxHy3I1VJ5W/view?usp=drivesdk</t>
  </si>
  <si>
    <t>ruminirini@gmail.com</t>
  </si>
  <si>
    <t>5231</t>
  </si>
  <si>
    <t>1o18RAjOg0nx-Qgx36ko6wmCJy0PLqeNi</t>
  </si>
  <si>
    <t>https://drive.google.com/file/d/1o18RAjOg0nx-Qgx36ko6wmCJy0PLqeNi/view?usp=drivesdk</t>
  </si>
  <si>
    <t>Document successfully created; Document successfully merged; PDF created; !!Error Sending Emails: Service invoked too many times for one day: email.; Manually run by ecertificate75@gmail.com; Timestamp: Sep 3 2024 1:05 AM</t>
  </si>
  <si>
    <t>LENI LIANA</t>
  </si>
  <si>
    <t>lianaleni01@gmail.com</t>
  </si>
  <si>
    <t>5232</t>
  </si>
  <si>
    <t>1COcBYFuORW46stUADIOmCTRofwf3Zexp</t>
  </si>
  <si>
    <t>https://drive.google.com/file/d/1COcBYFuORW46stUADIOmCTRofwf3Zexp/view?usp=drivesdk</t>
  </si>
  <si>
    <t>EVI WARSIATININGSIH</t>
  </si>
  <si>
    <t>eviwarsiatiningsih@gmail.com</t>
  </si>
  <si>
    <t>5233</t>
  </si>
  <si>
    <t>198OHt93mlnQdsRBWIrpowdL1R9C4c5Qp</t>
  </si>
  <si>
    <t>https://drive.google.com/file/d/198OHt93mlnQdsRBWIrpowdL1R9C4c5Qp/view?usp=drivesdk</t>
  </si>
  <si>
    <t>PUJI LESTARI</t>
  </si>
  <si>
    <t>purwantariputri@gmail.com</t>
  </si>
  <si>
    <t>5234</t>
  </si>
  <si>
    <t>1pPZCb1R49uZFSYP1Vv1kpziFp2Dls6js</t>
  </si>
  <si>
    <t>https://drive.google.com/file/d/1pPZCb1R49uZFSYP1Vv1kpziFp2Dls6js/view?usp=drivesdk</t>
  </si>
  <si>
    <t>SHANTY RIVANNY, A.Md</t>
  </si>
  <si>
    <t>tydyvydy69@gmail.com</t>
  </si>
  <si>
    <t>5235</t>
  </si>
  <si>
    <t>https://drive.google.com/file/d/11mSZ5l9yym_VTaZboFJ45SH-JhuhlGPj/view?usp=drivesdk</t>
  </si>
  <si>
    <t>11mSZ5l9yym_VTaZboFJ45SH-JhuhlGPj</t>
  </si>
  <si>
    <t>1eW4n4jT3RAZSVwnHo7voGaj4Ot3jfJF-</t>
  </si>
  <si>
    <t>https://drive.google.com/file/d/1eW4n4jT3RAZSVwnHo7voGaj4Ot3jfJF-/view?usp=drivesdk</t>
  </si>
  <si>
    <t>Document successfully created; Document successfully merged; PDF created; !!Error Sending Emails: Service invoked too many times for one day: email.; Manually run by ecertificate75@gmail.com; Timestamp: Sep 3 2024 1:06 AM</t>
  </si>
  <si>
    <t xml:space="preserve">YUDI ANDARTO </t>
  </si>
  <si>
    <t>andartoyudi17@gmail.com</t>
  </si>
  <si>
    <t>5236</t>
  </si>
  <si>
    <t>https://drive.google.com/file/d/1BcyF4Wopb5MlmQuwAugOOncfBH6L9v2p/view?usp=drivesdk</t>
  </si>
  <si>
    <t>1BcyF4Wopb5MlmQuwAugOOncfBH6L9v2p</t>
  </si>
  <si>
    <t>1kz2epgSFYDahuMsogu7s9Mwf696FMUXk</t>
  </si>
  <si>
    <t>https://drive.google.com/file/d/1kz2epgSFYDahuMsogu7s9Mwf696FMUXk/view?usp=drivesdk</t>
  </si>
  <si>
    <t>I GEDE DARMAWAN PUTRA</t>
  </si>
  <si>
    <t>deputra122@gmail.com</t>
  </si>
  <si>
    <t>5237</t>
  </si>
  <si>
    <t>https://drive.google.com/file/d/1yj84-6v_UwcT2zXh9OiyTer_oaDJd8od/view?usp=drivesdk</t>
  </si>
  <si>
    <t>1yj84-6v_UwcT2zXh9OiyTer_oaDJd8od</t>
  </si>
  <si>
    <t>1mUWpWHUxkU2e6rORleXQLY_jo06nj6X6</t>
  </si>
  <si>
    <t>https://drive.google.com/file/d/1mUWpWHUxkU2e6rORleXQLY_jo06nj6X6/view?usp=drivesdk</t>
  </si>
  <si>
    <t>WARSEH WULANDARI.S.E</t>
  </si>
  <si>
    <t>warsehwulandari@gmail.com</t>
  </si>
  <si>
    <t>5238</t>
  </si>
  <si>
    <t>Starting at Thu Aug 29 2024 21:35:44 GMT-0400 (EDT)</t>
  </si>
  <si>
    <t>1kwRUVvmjfQrIMKoIopv7_uW-28nZHLka</t>
  </si>
  <si>
    <t>https://drive.google.com/file/d/1kwRUVvmjfQrIMKoIopv7_uW-28nZHLka/view?usp=drivesdk</t>
  </si>
  <si>
    <t>YUSUFYUSUF</t>
  </si>
  <si>
    <t>jusufku1968@gmail.com</t>
  </si>
  <si>
    <t>5239</t>
  </si>
  <si>
    <t>1oiE3kmlTUY9eurWE-v-fYrtBzIfeDDB_</t>
  </si>
  <si>
    <t>https://drive.google.com/file/d/1oiE3kmlTUY9eurWE-v-fYrtBzIfeDDB_/view?usp=drivesdk</t>
  </si>
  <si>
    <t>Document successfully created; Document successfully merged; PDF created; !!Error Sending Emails: Service invoked too many times for one day: email.; Manually run by ecertificate75@gmail.com; Timestamp: Sep 3 2024 1:07 AM</t>
  </si>
  <si>
    <t>NORLIN TERONTJA, S.E</t>
  </si>
  <si>
    <t>Norlinterontja84@gmail.com</t>
  </si>
  <si>
    <t>5240</t>
  </si>
  <si>
    <t>https://drive.google.com/file/d/1bKEgk_qM8nUb3cfJqU7aSqu5miWlO90i/view?usp=drivesdk</t>
  </si>
  <si>
    <t>1bKEgk_qM8nUb3cfJqU7aSqu5miWlO90i</t>
  </si>
  <si>
    <t>14suwvulMiwPYyY199TXUekNFOJdOx0Wr</t>
  </si>
  <si>
    <t>https://drive.google.com/file/d/14suwvulMiwPYyY199TXUekNFOJdOx0Wr/view?usp=drivesdk</t>
  </si>
  <si>
    <t>Junita indrawati Banurea, S.Kep. Ns</t>
  </si>
  <si>
    <t>junitadokkes@gmail.com</t>
  </si>
  <si>
    <t>5241</t>
  </si>
  <si>
    <t>https://drive.google.com/file/d/10Rta2lBnZ3FYVoYOZ_CD6FnRXNLZL7_p/view?usp=drivesdk</t>
  </si>
  <si>
    <t>10Rta2lBnZ3FYVoYOZ_CD6FnRXNLZL7_p</t>
  </si>
  <si>
    <t>1AjAYsUu6SVNUGjMyten1wUwdUCvoKljV</t>
  </si>
  <si>
    <t>https://drive.google.com/file/d/1AjAYsUu6SVNUGjMyten1wUwdUCvoKljV/view?usp=drivesdk</t>
  </si>
  <si>
    <t>SUPARTINI</t>
  </si>
  <si>
    <t>supartini960@gmail.com</t>
  </si>
  <si>
    <t>5242</t>
  </si>
  <si>
    <t>https://drive.google.com/file/d/1tZImnWMO6UX4xdlaByFkS44KzbG8Jjuy/view?usp=drivesdk</t>
  </si>
  <si>
    <t>1tZImnWMO6UX4xdlaByFkS44KzbG8Jjuy</t>
  </si>
  <si>
    <t>1Yl16qQHYOTkdNWaqz8wvhr_rKFDQ2b7X</t>
  </si>
  <si>
    <t>https://drive.google.com/file/d/1Yl16qQHYOTkdNWaqz8wvhr_rKFDQ2b7X/view?usp=drivesdk</t>
  </si>
  <si>
    <t>SAMSUL AMBIA</t>
  </si>
  <si>
    <t>samsulambia0106@gmail.com</t>
  </si>
  <si>
    <t>5243</t>
  </si>
  <si>
    <t>https://drive.google.com/file/d/1iW9SDGE7mMXX0IFCgH0RlJyyWzLR1MG2/view?usp=drivesdk</t>
  </si>
  <si>
    <t>1iW9SDGE7mMXX0IFCgH0RlJyyWzLR1MG2</t>
  </si>
  <si>
    <t>1GeZFh3CWxTXX_T6LNxdRRwI-JIVBM_Pz</t>
  </si>
  <si>
    <t>https://drive.google.com/file/d/1GeZFh3CWxTXX_T6LNxdRRwI-JIVBM_Pz/view?usp=drivesdk</t>
  </si>
  <si>
    <t>AGUNG PRIAWAN</t>
  </si>
  <si>
    <t>priaa914@gmail.com</t>
  </si>
  <si>
    <t>5244</t>
  </si>
  <si>
    <t>Starting at Thu Aug 29 2024 21:35:50 GMT-0400 (EDT)</t>
  </si>
  <si>
    <t>1svSC2tX6Ig1E8vmPznLbLtDaXTiQSGza</t>
  </si>
  <si>
    <t>https://drive.google.com/file/d/1svSC2tX6Ig1E8vmPznLbLtDaXTiQSGza/view?usp=drivesdk</t>
  </si>
  <si>
    <t>Document successfully created; Document successfully merged; PDF created; !!Error Sending Emails: Service invoked too many times for one day: email.; Manually run by ecertificate75@gmail.com; Timestamp: Sep 3 2024 1:08 AM</t>
  </si>
  <si>
    <t>HAYATI</t>
  </si>
  <si>
    <t>hyatidedi77@gmail.com</t>
  </si>
  <si>
    <t>5245</t>
  </si>
  <si>
    <t>1wGpMLtRoyQ2Q3FA3J67KRUHmeOEZi1YA</t>
  </si>
  <si>
    <t>https://drive.google.com/file/d/1wGpMLtRoyQ2Q3FA3J67KRUHmeOEZi1YA/view?usp=drivesdk</t>
  </si>
  <si>
    <t>SUKARTINI</t>
  </si>
  <si>
    <t>sukartinimenuk22@gmail.com</t>
  </si>
  <si>
    <t>5246</t>
  </si>
  <si>
    <t>1XLorout3GP4euajSSwHNlxcPDjPf53Sw</t>
  </si>
  <si>
    <t>https://drive.google.com/file/d/1XLorout3GP4euajSSwHNlxcPDjPf53Sw/view?usp=drivesdk</t>
  </si>
  <si>
    <t>ENI RAHAYU</t>
  </si>
  <si>
    <t>eni9947@gmail.com</t>
  </si>
  <si>
    <t>5247</t>
  </si>
  <si>
    <t>1mn-XNMLEzIpckPyXjYfv7u0Z4G6m8YhY</t>
  </si>
  <si>
    <t>https://drive.google.com/file/d/1mn-XNMLEzIpckPyXjYfv7u0Z4G6m8YhY/view?usp=drivesdk</t>
  </si>
  <si>
    <t>Lusiati Hartatik, SE</t>
  </si>
  <si>
    <t>lusiati973@gmail.com</t>
  </si>
  <si>
    <t>5248</t>
  </si>
  <si>
    <t>1WO8TS_1ZH4FHMD3iaq28iSRPVgO76mc0</t>
  </si>
  <si>
    <t>https://drive.google.com/file/d/1WO8TS_1ZH4FHMD3iaq28iSRPVgO76mc0/view?usp=drivesdk</t>
  </si>
  <si>
    <t>ANTOK PRIYO WARDHANI</t>
  </si>
  <si>
    <t>antopriyo6@gmail.com</t>
  </si>
  <si>
    <t>5249</t>
  </si>
  <si>
    <t>1AzfXiF7UFqcCe2H-Bc_qtc2pTtao5E3w</t>
  </si>
  <si>
    <t>https://drive.google.com/file/d/1AzfXiF7UFqcCe2H-Bc_qtc2pTtao5E3w/view?usp=drivesdk</t>
  </si>
  <si>
    <t>ERIKA SULISTIYO BANDINI</t>
  </si>
  <si>
    <t>erikasulistiyob@gmail.com</t>
  </si>
  <si>
    <t>5250</t>
  </si>
  <si>
    <t>1KPGka-VMp7EX8MoESBYp7_6-6IPNUl0M</t>
  </si>
  <si>
    <t>https://drive.google.com/file/d/1KPGka-VMp7EX8MoESBYp7_6-6IPNUl0M/view?usp=drivesdk</t>
  </si>
  <si>
    <t>Document successfully created; Document successfully merged; PDF created; !!Error Sending Emails: Service invoked too many times for one day: email.; Manually run by ecertificate75@gmail.com; Timestamp: Sep 3 2024 1:09 AM</t>
  </si>
  <si>
    <t xml:space="preserve">SRI HARIYANTI </t>
  </si>
  <si>
    <t>hariyantis693@gmail.com</t>
  </si>
  <si>
    <t>5251</t>
  </si>
  <si>
    <t>1RwfgkhFXWeb83iAK3AkI09PV2gsGZkmq</t>
  </si>
  <si>
    <t>https://drive.google.com/file/d/1RwfgkhFXWeb83iAK3AkI09PV2gsGZkmq/view?usp=drivesdk</t>
  </si>
  <si>
    <t>YUSMAN HALAWA</t>
  </si>
  <si>
    <t>yusmanhalawa7@gmail.com</t>
  </si>
  <si>
    <t>5252</t>
  </si>
  <si>
    <t>1Z65CFaDYH7VZL17mL99fsUwD5txbxOTN</t>
  </si>
  <si>
    <t>https://drive.google.com/file/d/1Z65CFaDYH7VZL17mL99fsUwD5txbxOTN/view?usp=drivesdk</t>
  </si>
  <si>
    <t xml:space="preserve">LUSIANA KRISTIANI </t>
  </si>
  <si>
    <t>lusi.amin76@gmail.com</t>
  </si>
  <si>
    <t>5253</t>
  </si>
  <si>
    <t>1gjDP3qSqqDq1erf2CA2yxHvYeU2-Q2-s</t>
  </si>
  <si>
    <t>https://drive.google.com/file/d/1gjDP3qSqqDq1erf2CA2yxHvYeU2-Q2-s/view?usp=drivesdk</t>
  </si>
  <si>
    <t>HEFNI Z</t>
  </si>
  <si>
    <t>hefniz50@gmail.com</t>
  </si>
  <si>
    <t>5254</t>
  </si>
  <si>
    <t>1ZIvzn2FaDuXju5HUPE7NabNKlFTjT0Uo</t>
  </si>
  <si>
    <t>https://drive.google.com/file/d/1ZIvzn2FaDuXju5HUPE7NabNKlFTjT0Uo/view?usp=drivesdk</t>
  </si>
  <si>
    <t>BADARIA</t>
  </si>
  <si>
    <t>riajoe2020@fmail.com</t>
  </si>
  <si>
    <t>5255</t>
  </si>
  <si>
    <t>13WNAp12olBCkEwMmHOgCCdWUOWWAgFsK</t>
  </si>
  <si>
    <t>https://drive.google.com/file/d/13WNAp12olBCkEwMmHOgCCdWUOWWAgFsK/view?usp=drivesdk</t>
  </si>
  <si>
    <t>Document successfully created; Document successfully merged; PDF created; !!Error Sending Emails: Service invoked too many times for one day: email.; Manually run by ecertificate75@gmail.com; Timestamp: Sep 3 2024 1:10 AM</t>
  </si>
  <si>
    <t>RANGGA ADYATAMA EKA PRASETYA</t>
  </si>
  <si>
    <t>ranggaadyatamae@gmail.com</t>
  </si>
  <si>
    <t>5256</t>
  </si>
  <si>
    <t>1LtoY7XAAJg96PHOmJriRl7EaVS01EreP</t>
  </si>
  <si>
    <t>https://drive.google.com/file/d/1LtoY7XAAJg96PHOmJriRl7EaVS01EreP/view?usp=drivesdk</t>
  </si>
  <si>
    <t>BOEDI SRI UTAMI, S.H.,M.M</t>
  </si>
  <si>
    <t>boedisri@gmail.com</t>
  </si>
  <si>
    <t>5257</t>
  </si>
  <si>
    <t>1YkJyeU6zIjD3eLorE74Vqlihi5iHBDxQ</t>
  </si>
  <si>
    <t>https://drive.google.com/file/d/1YkJyeU6zIjD3eLorE74Vqlihi5iHBDxQ/view?usp=drivesdk</t>
  </si>
  <si>
    <t>FINTA WAHYUSANI AMD. AN</t>
  </si>
  <si>
    <t>fintasani@gmail.com</t>
  </si>
  <si>
    <t>5258</t>
  </si>
  <si>
    <t>1P_Y1OWtgDBHujI_Z0GDbD9UdiJgfCXAv</t>
  </si>
  <si>
    <t>https://drive.google.com/file/d/1P_Y1OWtgDBHujI_Z0GDbD9UdiJgfCXAv/view?usp=drivesdk</t>
  </si>
  <si>
    <t>NS.YESSI PUTRIA,S.KEP</t>
  </si>
  <si>
    <t>putriayessi690@gmail.com</t>
  </si>
  <si>
    <t>5259</t>
  </si>
  <si>
    <t>1ObElUEC6ZpCKv-95OI-_AnR_lwsoa5Uj</t>
  </si>
  <si>
    <t>https://drive.google.com/file/d/1ObElUEC6ZpCKv-95OI-_AnR_lwsoa5Uj/view?usp=drivesdk</t>
  </si>
  <si>
    <t>SUTRISNO WIDODO</t>
  </si>
  <si>
    <t>sutrisnowidodo444@gmail.com</t>
  </si>
  <si>
    <t>5260</t>
  </si>
  <si>
    <t>1zAVhHCQbLfX4PI4BSaiUzC5lDoAaGZ_b</t>
  </si>
  <si>
    <t>https://drive.google.com/file/d/1zAVhHCQbLfX4PI4BSaiUzC5lDoAaGZ_b/view?usp=drivesdk</t>
  </si>
  <si>
    <t>Document successfully created; Document successfully merged; PDF created; !!Error Sending Emails: Service invoked too many times for one day: email.; Manually run by ecertificate75@gmail.com; Timestamp: Sep 3 2024 1:11 AM</t>
  </si>
  <si>
    <t>TIRTA SAPUTRA</t>
  </si>
  <si>
    <t>ketekskizy@gmail.com</t>
  </si>
  <si>
    <t>5261</t>
  </si>
  <si>
    <t>1woFNE8A1vVjZu_0eR3IP9r6qcyv80rB1</t>
  </si>
  <si>
    <t>https://drive.google.com/file/d/1woFNE8A1vVjZu_0eR3IP9r6qcyv80rB1/view?usp=drivesdk</t>
  </si>
  <si>
    <t>TAMLIKAN</t>
  </si>
  <si>
    <t>tam.likan76@gmail.com</t>
  </si>
  <si>
    <t>5262</t>
  </si>
  <si>
    <t>1rwY2HdRTCIrUlHDoIX_tWOlR-I8xkJ6N</t>
  </si>
  <si>
    <t>https://drive.google.com/file/d/1rwY2HdRTCIrUlHDoIX_tWOlR-I8xkJ6N/view?usp=drivesdk</t>
  </si>
  <si>
    <t>CUK WIDIYANTO</t>
  </si>
  <si>
    <t>widiyanyocuk13@gmail.com</t>
  </si>
  <si>
    <t>5263</t>
  </si>
  <si>
    <t>1r-odt4b8qNpyqcAOSp9lT22B52lVHbea</t>
  </si>
  <si>
    <t>https://drive.google.com/file/d/1r-odt4b8qNpyqcAOSp9lT22B52lVHbea/view?usp=drivesdk</t>
  </si>
  <si>
    <t>LILIS WIMBANINGSIH,SH</t>
  </si>
  <si>
    <t>liliswimbaningsih2016@gmail.com</t>
  </si>
  <si>
    <t>5264</t>
  </si>
  <si>
    <t>1axnJxt6XggsMUhVVG_1Uxo2auuyVk23S</t>
  </si>
  <si>
    <t>https://drive.google.com/file/d/1axnJxt6XggsMUhVVG_1Uxo2auuyVk23S/view?usp=drivesdk</t>
  </si>
  <si>
    <t>Document successfully created; Document successfully merged; PDF created; !!Error Sending Emails: Service invoked too many times for one day: email.; Manually run by ecertificate75@gmail.com; Timestamp: Sep 3 2024 1:12 AM</t>
  </si>
  <si>
    <t>KARSIH,S.Kep</t>
  </si>
  <si>
    <t>nconitasholihah@gmail.com</t>
  </si>
  <si>
    <t>5265</t>
  </si>
  <si>
    <t>1lJ-i6ncxCz648B7IwoIIH7ldq36uYtRS</t>
  </si>
  <si>
    <t>https://drive.google.com/file/d/1lJ-i6ncxCz648B7IwoIIH7ldq36uYtRS/view?usp=drivesdk</t>
  </si>
  <si>
    <t>RETNO SUNDARI, S.Pd., M.M.</t>
  </si>
  <si>
    <t>retnos2577@gmail.com</t>
  </si>
  <si>
    <t>5266</t>
  </si>
  <si>
    <t>1jy0vW6GMDc8vYss1tvXcwPwhcvcpZ6DH</t>
  </si>
  <si>
    <t>https://drive.google.com/file/d/1jy0vW6GMDc8vYss1tvXcwPwhcvcpZ6DH/view?usp=drivesdk</t>
  </si>
  <si>
    <t>AGUS MAHFUDIN, AM.Kep</t>
  </si>
  <si>
    <t>agusfuddin@gmail.com</t>
  </si>
  <si>
    <t>5267</t>
  </si>
  <si>
    <t>https://drive.google.com/file/d/1e7_DyW3RZTLyRr5ADqLOXwKZc2rImbWf/view?usp=drivesdk</t>
  </si>
  <si>
    <t>1e7_DyW3RZTLyRr5ADqLOXwKZc2rImbWf</t>
  </si>
  <si>
    <t>1xtEiSoBmsN-xIUSb_eT6K5BNIJGvQMkN</t>
  </si>
  <si>
    <t>https://drive.google.com/file/d/1xtEiSoBmsN-xIUSb_eT6K5BNIJGvQMkN/view?usp=drivesdk</t>
  </si>
  <si>
    <t>EDI SANTOSO</t>
  </si>
  <si>
    <t>edijambon2019@gmail.com</t>
  </si>
  <si>
    <t>5268</t>
  </si>
  <si>
    <t>https://drive.google.com/file/d/1-z3YK5fPcP2E4axlNsucGpDBoe-p1tY-/view?usp=drivesdk</t>
  </si>
  <si>
    <t>1-z3YK5fPcP2E4axlNsucGpDBoe-p1tY-</t>
  </si>
  <si>
    <t>1-RqXiVweH_L8jfRjVkwP7t2rhWlLa1fX</t>
  </si>
  <si>
    <t>https://drive.google.com/file/d/1-RqXiVweH_L8jfRjVkwP7t2rhWlLa1fX/view?usp=drivesdk</t>
  </si>
  <si>
    <t>SURIATY.S.SOS</t>
  </si>
  <si>
    <t>Surywildan@gmail.com</t>
  </si>
  <si>
    <t>5269</t>
  </si>
  <si>
    <t>Starting at Thu Aug 29 2024 21:35:54 GMT-0400 (EDT)</t>
  </si>
  <si>
    <t>1GtlfWihito3PgJ74Up7Hac3t1I8QlScs</t>
  </si>
  <si>
    <t>https://drive.google.com/file/d/1GtlfWihito3PgJ74Up7Hac3t1I8QlScs/view?usp=drivesdk</t>
  </si>
  <si>
    <t>Document successfully created; Document successfully merged; PDF created; !!Error Sending Emails: Service invoked too many times for one day: email.; Manually run by ecertificate75@gmail.com; Timestamp: Sep 3 2024 1:13 AM</t>
  </si>
  <si>
    <t xml:space="preserve">MUTMAINAH </t>
  </si>
  <si>
    <t>kasrihartini1955@gmail.com</t>
  </si>
  <si>
    <t>5270</t>
  </si>
  <si>
    <t>1qdLQJEDcS9bt3ZJoVtPWW2WfuBFacTnA</t>
  </si>
  <si>
    <t>https://drive.google.com/file/d/1qdLQJEDcS9bt3ZJoVtPWW2WfuBFacTnA/view?usp=drivesdk</t>
  </si>
  <si>
    <t>SAPARDI</t>
  </si>
  <si>
    <t>sapardi1958@gmail.com</t>
  </si>
  <si>
    <t>5271</t>
  </si>
  <si>
    <t>1IsyOpM2-bIDctT9bwM8uWe0sEKSWCAas</t>
  </si>
  <si>
    <t>https://drive.google.com/file/d/1IsyOpM2-bIDctT9bwM8uWe0sEKSWCAas/view?usp=drivesdk</t>
  </si>
  <si>
    <t>HENDRIK RAMBAEDY</t>
  </si>
  <si>
    <t>hendrikrambaedy@gmail.com</t>
  </si>
  <si>
    <t>5272</t>
  </si>
  <si>
    <t>https://drive.google.com/file/d/1vVuY9EJbbvICQY53MMegZqwwgpnnsDxg/view?usp=drivesdk</t>
  </si>
  <si>
    <t>1vVuY9EJbbvICQY53MMegZqwwgpnnsDxg</t>
  </si>
  <si>
    <t>1v4QML8zUrSCMC7BWsJ3INaPFdRG1GLyd</t>
  </si>
  <si>
    <t>https://drive.google.com/file/d/1v4QML8zUrSCMC7BWsJ3INaPFdRG1GLyd/view?usp=drivesdk</t>
  </si>
  <si>
    <t>HERMAN MONATEN</t>
  </si>
  <si>
    <t>hermanmonaten11@gmail.com</t>
  </si>
  <si>
    <t>5273</t>
  </si>
  <si>
    <t>https://drive.google.com/file/d/1ZaNvsn0gz9NDFsYnBllLvun6Z96XXUaD/view?usp=drivesdk</t>
  </si>
  <si>
    <t>1ZaNvsn0gz9NDFsYnBllLvun6Z96XXUaD</t>
  </si>
  <si>
    <t>1D9bpfwewT6MYvqNvEC4vX-2Pi2MtAugp</t>
  </si>
  <si>
    <t>https://drive.google.com/file/d/1D9bpfwewT6MYvqNvEC4vX-2Pi2MtAugp/view?usp=drivesdk</t>
  </si>
  <si>
    <t>DULHADI</t>
  </si>
  <si>
    <t>dulh4di@gmail.com</t>
  </si>
  <si>
    <t>5274</t>
  </si>
  <si>
    <t>https://drive.google.com/file/d/1uoEpyikIJGxyxaHjtyFZZ6u0I51blzsw/view?usp=drivesdk</t>
  </si>
  <si>
    <t>1uoEpyikIJGxyxaHjtyFZZ6u0I51blzsw</t>
  </si>
  <si>
    <t>19bBJ-GqCgG_Cwlxo6Mm542vz-PfB32am</t>
  </si>
  <si>
    <t>https://drive.google.com/file/d/19bBJ-GqCgG_Cwlxo6Mm542vz-PfB32am/view?usp=drivesdk</t>
  </si>
  <si>
    <t>LALU BAYU ARYA SUNTANA, AMD. KEP</t>
  </si>
  <si>
    <t>aryabayu504@gmail.com</t>
  </si>
  <si>
    <t>5275</t>
  </si>
  <si>
    <t>https://drive.google.com/file/d/1zGvMYRjO4PgDJmdcAE2zT-gccoMvW2C7/view?usp=drivesdk</t>
  </si>
  <si>
    <t>1zGvMYRjO4PgDJmdcAE2zT-gccoMvW2C7</t>
  </si>
  <si>
    <t>1C5yda6JGDO056yTNkJTkH1NNU5mxJ3ME</t>
  </si>
  <si>
    <t>https://drive.google.com/file/d/1C5yda6JGDO056yTNkJTkH1NNU5mxJ3ME/view?usp=drivesdk</t>
  </si>
  <si>
    <t>Document successfully created; Document successfully merged; PDF created; !!Error Sending Emails: Service invoked too many times for one day: email.; Manually run by ecertificate75@gmail.com; Timestamp: Sep 3 2024 1:14 AM</t>
  </si>
  <si>
    <t>SUKIJAN</t>
  </si>
  <si>
    <t>sukky8671@gmail.com</t>
  </si>
  <si>
    <t>5276</t>
  </si>
  <si>
    <t>https://drive.google.com/file/d/1P5-p3o3XHA6QPC_MDSSDAxpCgnRQKtup/view?usp=drivesdk</t>
  </si>
  <si>
    <t>1P5-p3o3XHA6QPC_MDSSDAxpCgnRQKtup</t>
  </si>
  <si>
    <t>1x1bW-8xiHQ7Rc3qCDWUNuqOYK_XMYvs7</t>
  </si>
  <si>
    <t>https://drive.google.com/file/d/1x1bW-8xiHQ7Rc3qCDWUNuqOYK_XMYvs7/view?usp=drivesdk</t>
  </si>
  <si>
    <t>FERIDIYANA</t>
  </si>
  <si>
    <t>feridiyana75@gmail.com</t>
  </si>
  <si>
    <t>5277</t>
  </si>
  <si>
    <t>https://drive.google.com/file/d/1FfbOZT63LlYcEPQdXDRzF1Ls-pkFv31G/view?usp=drivesdk</t>
  </si>
  <si>
    <t>1FfbOZT63LlYcEPQdXDRzF1Ls-pkFv31G</t>
  </si>
  <si>
    <t>1bxVFS0UHjYpAX-YVZkZkVZ988hmwEt6T</t>
  </si>
  <si>
    <t>https://drive.google.com/file/d/1bxVFS0UHjYpAX-YVZkZkVZ988hmwEt6T/view?usp=drivesdk</t>
  </si>
  <si>
    <t>NURALAM</t>
  </si>
  <si>
    <t>nuralam88sep@gmail.com</t>
  </si>
  <si>
    <t>5278</t>
  </si>
  <si>
    <t>Starting at Thu Aug 29 2024 21:35:59 GMT-0400 (EDT)</t>
  </si>
  <si>
    <t>1Phkuci3vNfHZt62qiXL3N1rFPQ7UtE3p</t>
  </si>
  <si>
    <t>https://drive.google.com/file/d/1Phkuci3vNfHZt62qiXL3N1rFPQ7UtE3p/view?usp=drivesdk</t>
  </si>
  <si>
    <t>KEMALA DEWI</t>
  </si>
  <si>
    <t>kemaladewi1969@gmail.com</t>
  </si>
  <si>
    <t>5279</t>
  </si>
  <si>
    <t>https://drive.google.com/file/d/19iL79xi0D76NSVT3CKZRc2ysqIZRqFyE/view?usp=drivesdk</t>
  </si>
  <si>
    <t>19iL79xi0D76NSVT3CKZRc2ysqIZRqFyE</t>
  </si>
  <si>
    <t>1gRln_AUAVSP4wFAKc1djG3_ke57Nk-bk</t>
  </si>
  <si>
    <t>https://drive.google.com/file/d/1gRln_AUAVSP4wFAKc1djG3_ke57Nk-bk/view?usp=drivesdk</t>
  </si>
  <si>
    <t>MELDA SRI RAHAYU, S.M.</t>
  </si>
  <si>
    <t>melda_sri_rahayu@yahoo.co.id</t>
  </si>
  <si>
    <t>5280</t>
  </si>
  <si>
    <t>https://drive.google.com/file/d/11plNrIDwWnA4uD5Bv0wCyQ9vWaO3-Wih/view?usp=drivesdk</t>
  </si>
  <si>
    <t>11plNrIDwWnA4uD5Bv0wCyQ9vWaO3-Wih</t>
  </si>
  <si>
    <t>1z2YIgNjSHEO0VwOzM84hrFPaGKTthhAB</t>
  </si>
  <si>
    <t>https://drive.google.com/file/d/1z2YIgNjSHEO0VwOzM84hrFPaGKTthhAB/view?usp=drivesdk</t>
  </si>
  <si>
    <t>Document successfully created; Document successfully merged; PDF created; !!Error Sending Emails: Service invoked too many times for one day: email.; Manually run by ecertificate75@gmail.com; Timestamp: Sep 3 2024 1:15 AM</t>
  </si>
  <si>
    <t>ETIE GUSTINI</t>
  </si>
  <si>
    <t>etiegustini12@gmail.com</t>
  </si>
  <si>
    <t>5281</t>
  </si>
  <si>
    <t>https://drive.google.com/file/d/1LR8q5CuBF_J1BlIy3kZkZgbWskFnvYVm/view?usp=drivesdk</t>
  </si>
  <si>
    <t>1LR8q5CuBF_J1BlIy3kZkZgbWskFnvYVm</t>
  </si>
  <si>
    <t>18Zcra6ppZa4gO9_4Jx1-ulWwdC1K6Fkn</t>
  </si>
  <si>
    <t>https://drive.google.com/file/d/18Zcra6ppZa4gO9_4Jx1-ulWwdC1K6Fkn/view?usp=drivesdk</t>
  </si>
  <si>
    <t>SUDARSONO</t>
  </si>
  <si>
    <t>novitrirahmawati.27@gmail.com</t>
  </si>
  <si>
    <t>5282</t>
  </si>
  <si>
    <t>https://drive.google.com/file/d/1R_c5-JAXOlS-qbXud5QVHRNbC9XuAO_0/view?usp=drivesdk</t>
  </si>
  <si>
    <t>1R_c5-JAXOlS-qbXud5QVHRNbC9XuAO_0</t>
  </si>
  <si>
    <t>19_x4UDY7zbe8Ho33OnPTBMgUAujOk0GK</t>
  </si>
  <si>
    <t>https://drive.google.com/file/d/19_x4UDY7zbe8Ho33OnPTBMgUAujOk0GK/view?usp=drivesdk</t>
  </si>
  <si>
    <t>SURAHMi</t>
  </si>
  <si>
    <t>sikeurahmi@gmail.com</t>
  </si>
  <si>
    <t>5283</t>
  </si>
  <si>
    <t>Starting at Thu Aug 29 2024 21:36:10 GMT-0400 (EDT)</t>
  </si>
  <si>
    <t>1jNnfjE7b3HmKc4wH0gWoIBGPo65PFXQx</t>
  </si>
  <si>
    <t>https://drive.google.com/file/d/1jNnfjE7b3HmKc4wH0gWoIBGPo65PFXQx/view?usp=drivesdk</t>
  </si>
  <si>
    <t>Ns. SITI ARTA LASMAROHA. S. Kep</t>
  </si>
  <si>
    <t>artasibarani07@gmail.com</t>
  </si>
  <si>
    <t>5284</t>
  </si>
  <si>
    <t>1flyqCQkguVcB8DsDeXoWTyLPa5S4t-65</t>
  </si>
  <si>
    <t>https://drive.google.com/file/d/1flyqCQkguVcB8DsDeXoWTyLPa5S4t-65/view?usp=drivesdk</t>
  </si>
  <si>
    <t>TRI MANTO, S.Kom., M.M.</t>
  </si>
  <si>
    <t>tri.sepolwan@gmail.com</t>
  </si>
  <si>
    <t>5285</t>
  </si>
  <si>
    <t>Starting at Thu Aug 29 2024 21:36:12 GMT-0400 (EDT)</t>
  </si>
  <si>
    <t>1nquKOugk_wY8xHqi-C9-FMFzcHPh-ir4</t>
  </si>
  <si>
    <t>https://drive.google.com/file/d/1nquKOugk_wY8xHqi-C9-FMFzcHPh-ir4/view?usp=drivesdk</t>
  </si>
  <si>
    <t>Document successfully created; Document successfully merged; PDF created; !!Error Sending Emails: Service invoked too many times for one day: email.; Manually run by ecertificate75@gmail.com; Timestamp: Sep 3 2024 1:16 AM</t>
  </si>
  <si>
    <t xml:space="preserve">dr. MARIETA STEFANY ELIM </t>
  </si>
  <si>
    <t>Stefany_elim@yahoo.com</t>
  </si>
  <si>
    <t>5286</t>
  </si>
  <si>
    <t>Starting at Thu Aug 29 2024 21:36:21 GMT-0400 (EDT)</t>
  </si>
  <si>
    <t>1gfdzi32joJRsi_7p4Urg3n2T4AiXM1Ia</t>
  </si>
  <si>
    <t>https://drive.google.com/file/d/1gfdzi32joJRsi_7p4Urg3n2T4AiXM1Ia/view?usp=drivesdk</t>
  </si>
  <si>
    <t>VIVI RAVIQA ASTANTI</t>
  </si>
  <si>
    <t>kanitoffice916@gmail.com</t>
  </si>
  <si>
    <t>5287</t>
  </si>
  <si>
    <t>1_qgafNw3ePZH6ELFxPwvKcfT6dZ6-VE1</t>
  </si>
  <si>
    <t>https://drive.google.com/file/d/1_qgafNw3ePZH6ELFxPwvKcfT6dZ6-VE1/view?usp=drivesdk</t>
  </si>
  <si>
    <t>SIN SUAILO</t>
  </si>
  <si>
    <t>suailosin@gmail.com</t>
  </si>
  <si>
    <t>5288</t>
  </si>
  <si>
    <t>11ThW5omk2T_dvk2ixPp1QPxI0n7DsYTb</t>
  </si>
  <si>
    <t>https://drive.google.com/file/d/11ThW5omk2T_dvk2ixPp1QPxI0n7DsYTb/view?usp=drivesdk</t>
  </si>
  <si>
    <t xml:space="preserve">INDAH WAHYUNINGSIH, S. K. M. </t>
  </si>
  <si>
    <t>indahwahyuning123@gmail.com</t>
  </si>
  <si>
    <t>5289</t>
  </si>
  <si>
    <t>1KpdnlOybf6zU0nCrXk60Hrc6BjclhY76</t>
  </si>
  <si>
    <t>https://drive.google.com/file/d/1KpdnlOybf6zU0nCrXk60Hrc6BjclhY76/view?usp=drivesdk</t>
  </si>
  <si>
    <t>RANTO RANTO</t>
  </si>
  <si>
    <t>ranto.678192.14@gmail.com</t>
  </si>
  <si>
    <t>5290</t>
  </si>
  <si>
    <t>1m3kCLKC_YMxVH585nS_F6dUFue627yil</t>
  </si>
  <si>
    <t>https://drive.google.com/file/d/1m3kCLKC_YMxVH585nS_F6dUFue627yil/view?usp=drivesdk</t>
  </si>
  <si>
    <t>Document successfully created; Document successfully merged; PDF created; !!Error Sending Emails: Service invoked too many times for one day: email.; Manually run by ecertificate75@gmail.com; Timestamp: Sep 3 2024 1:17 AM</t>
  </si>
  <si>
    <t>AZHARI YOGA SAPUTRA, A.Md.</t>
  </si>
  <si>
    <t>seventsaputra@gmail.com</t>
  </si>
  <si>
    <t>5291</t>
  </si>
  <si>
    <t>1ECjJTm8Y2x9RQ-5Ek31GqAb8gS93Hu9G</t>
  </si>
  <si>
    <t>https://drive.google.com/file/d/1ECjJTm8Y2x9RQ-5Ek31GqAb8gS93Hu9G/view?usp=drivesdk</t>
  </si>
  <si>
    <t>ANISAH AMD keb</t>
  </si>
  <si>
    <t>anisahrusli22@gmail.com</t>
  </si>
  <si>
    <t>5292</t>
  </si>
  <si>
    <t>16R0mezSUQcfueip6R0K21RiIpCW1vLuc</t>
  </si>
  <si>
    <t>https://drive.google.com/file/d/16R0mezSUQcfueip6R0K21RiIpCW1vLuc/view?usp=drivesdk</t>
  </si>
  <si>
    <t>RIDHA WAHYUNI, A.Md.Kep</t>
  </si>
  <si>
    <t>ridhawahyuni25@gmail.com</t>
  </si>
  <si>
    <t>5293</t>
  </si>
  <si>
    <t>Starting at Thu Aug 29 2024 21:36:20 GMT-0400 (EDT)</t>
  </si>
  <si>
    <t>1CkWIZfpbQBfM2IGQnJ_tmthTvqCjXmKB</t>
  </si>
  <si>
    <t>https://drive.google.com/file/d/1CkWIZfpbQBfM2IGQnJ_tmthTvqCjXmKB/view?usp=drivesdk</t>
  </si>
  <si>
    <t>TUGIYO</t>
  </si>
  <si>
    <t>tugiyoyo4@gmail.com</t>
  </si>
  <si>
    <t>5294</t>
  </si>
  <si>
    <t>1ePBEDQP_RG__dBBQo7r0lI2zm3G3XRe5</t>
  </si>
  <si>
    <t>https://drive.google.com/file/d/1ePBEDQP_RG__dBBQo7r0lI2zm3G3XRe5/view?usp=drivesdk</t>
  </si>
  <si>
    <t>Document successfully created; Document successfully merged; PDF created; !!Error Sending Emails: Service invoked too many times for one day: email.; Manually run by ecertificate75@gmail.com; Timestamp: Sep 3 2024 1:18 AM</t>
  </si>
  <si>
    <t>MENIK SRI RAHAYUNINGSIH</t>
  </si>
  <si>
    <t>menikrahayuningsih69@gmail.com</t>
  </si>
  <si>
    <t>5295</t>
  </si>
  <si>
    <t>Starting at Thu Aug 29 2024 21:36:31 GMT-0400 (EDT)</t>
  </si>
  <si>
    <t>1WtgsdUGjS76JkP0tnSFtpQ4rdmGYcKDZ</t>
  </si>
  <si>
    <t>https://drive.google.com/file/d/1WtgsdUGjS76JkP0tnSFtpQ4rdmGYcKDZ/view?usp=drivesdk</t>
  </si>
  <si>
    <t>ZULFA MARDIAH, S.E.</t>
  </si>
  <si>
    <t>mardiahzulfa@gmail.com</t>
  </si>
  <si>
    <t>5296</t>
  </si>
  <si>
    <t>1487ZXCYQ6Ma98KG1_cSYOAxH6JYAcHih</t>
  </si>
  <si>
    <t>https://drive.google.com/file/d/1487ZXCYQ6Ma98KG1_cSYOAxH6JYAcHih/view?usp=drivesdk</t>
  </si>
  <si>
    <t>LILIS WIJAYANTI Skep.Ners</t>
  </si>
  <si>
    <t>wijayanti.lilis80@gmail.com</t>
  </si>
  <si>
    <t>5297</t>
  </si>
  <si>
    <t>1zF5s09HmnAAM_bcvKeeRlHACEPeLIxXB</t>
  </si>
  <si>
    <t>https://drive.google.com/file/d/1zF5s09HmnAAM_bcvKeeRlHACEPeLIxXB/view?usp=drivesdk</t>
  </si>
  <si>
    <t>LYLA SARI, S.Farm</t>
  </si>
  <si>
    <t>lylasari121@gmail.com</t>
  </si>
  <si>
    <t>5298</t>
  </si>
  <si>
    <t>1qdYotW4NPoSBpRU3fX1Eb7x171rm4QMC</t>
  </si>
  <si>
    <t>https://drive.google.com/file/d/1qdYotW4NPoSBpRU3fX1Eb7x171rm4QMC/view?usp=drivesdk</t>
  </si>
  <si>
    <t>MASKUR</t>
  </si>
  <si>
    <t>maskur.wera@gmail.com</t>
  </si>
  <si>
    <t>5299</t>
  </si>
  <si>
    <t>1d8KcYmIZgdRXIbe5ckbW2gx9q9mqyJa_</t>
  </si>
  <si>
    <t>https://drive.google.com/file/d/1d8KcYmIZgdRXIbe5ckbW2gx9q9mqyJa_/view?usp=drivesdk</t>
  </si>
  <si>
    <t>KARSIMIN</t>
  </si>
  <si>
    <t>karsiminkarsimin78@gmail.com</t>
  </si>
  <si>
    <t>5300</t>
  </si>
  <si>
    <t>1n1XpXYfiumCcr7QNrNAH05XSSx8ehfrM</t>
  </si>
  <si>
    <t>https://drive.google.com/file/d/1n1XpXYfiumCcr7QNrNAH05XSSx8ehfrM/view?usp=drivesdk</t>
  </si>
  <si>
    <t>Document successfully created; Document successfully merged; PDF created; !!Error Sending Emails: Service invoked too many times for one day: email.; Manually run by ecertificate75@gmail.com; Timestamp: Sep 3 2024 1:19 AM</t>
  </si>
  <si>
    <t xml:space="preserve">PRIYO SUGENG RIYADI </t>
  </si>
  <si>
    <t>sugengpwd@yahoo.com</t>
  </si>
  <si>
    <t>5301</t>
  </si>
  <si>
    <t>1VIsbNG6FsleYLhUyJPovF9kFSat1Xw51</t>
  </si>
  <si>
    <t>https://drive.google.com/file/d/1VIsbNG6FsleYLhUyJPovF9kFSat1Xw51/view?usp=drivesdk</t>
  </si>
  <si>
    <t>SUKILAN</t>
  </si>
  <si>
    <t>sukilan24031972@gmail.com</t>
  </si>
  <si>
    <t>5302</t>
  </si>
  <si>
    <t>1twd_3Kagax3qqKDlWbqELnFffOWf6aL9</t>
  </si>
  <si>
    <t>https://drive.google.com/file/d/1twd_3Kagax3qqKDlWbqELnFffOWf6aL9/view?usp=drivesdk</t>
  </si>
  <si>
    <t>SUARNI, S.E</t>
  </si>
  <si>
    <t>syakiraimut0105@gmail.com</t>
  </si>
  <si>
    <t>5303</t>
  </si>
  <si>
    <t>1yQkktw0u8C86O36QTdEKTDspBP7Q4Viw</t>
  </si>
  <si>
    <t>https://drive.google.com/file/d/1yQkktw0u8C86O36QTdEKTDspBP7Q4Viw/view?usp=drivesdk</t>
  </si>
  <si>
    <t>DIYAH SUPARMININGSIH</t>
  </si>
  <si>
    <t>diyahningsih8@gmail.com</t>
  </si>
  <si>
    <t>5304</t>
  </si>
  <si>
    <t>1dQnN58_AAXxBs0y3uh-zKIpG4xdaN8T7</t>
  </si>
  <si>
    <t>https://drive.google.com/file/d/1dQnN58_AAXxBs0y3uh-zKIpG4xdaN8T7/view?usp=drivesdk</t>
  </si>
  <si>
    <t>DIANA RIA UTAMI</t>
  </si>
  <si>
    <t>diana.riautami@gmail.com</t>
  </si>
  <si>
    <t>5305</t>
  </si>
  <si>
    <t>1saZu24roTU0g7UKgurj29wymHW9vfv1R</t>
  </si>
  <si>
    <t>https://drive.google.com/file/d/1saZu24roTU0g7UKgurj29wymHW9vfv1R/view?usp=drivesdk</t>
  </si>
  <si>
    <t>Document successfully created; Document successfully merged; PDF created; !!Error Sending Emails: Service invoked too many times for one day: email.; Manually run by ecertificate75@gmail.com; Timestamp: Sep 3 2024 1:20 AM</t>
  </si>
  <si>
    <t>RETNO SULISTYONINGTYAS WIDYARINI, S. Psi</t>
  </si>
  <si>
    <t>retnowidyarini@gmail.com</t>
  </si>
  <si>
    <t>5306</t>
  </si>
  <si>
    <t>1HNY0g8s6UC-1vNJJKfWOTmyzbVgwZtJ9</t>
  </si>
  <si>
    <t>https://drive.google.com/file/d/1HNY0g8s6UC-1vNJJKfWOTmyzbVgwZtJ9/view?usp=drivesdk</t>
  </si>
  <si>
    <t>Cut Siti hajar AMD,keb</t>
  </si>
  <si>
    <t>cutneh30@gmail.com</t>
  </si>
  <si>
    <t>5307</t>
  </si>
  <si>
    <t>1liYBVa1wXAgKNDUYmyseq8TRktPcwkKY</t>
  </si>
  <si>
    <t>https://drive.google.com/file/d/1liYBVa1wXAgKNDUYmyseq8TRktPcwkKY/view?usp=drivesdk</t>
  </si>
  <si>
    <t>FRISKA MARTALENA</t>
  </si>
  <si>
    <t>friskamartalena67@gmail.com</t>
  </si>
  <si>
    <t>5308</t>
  </si>
  <si>
    <t>Starting at Thu Aug 29 2024 21:36:38 GMT-0400 (EDT)</t>
  </si>
  <si>
    <t>174Oh29cDQb1ngpIMyOuam6iMXzFbHNAW</t>
  </si>
  <si>
    <t>https://drive.google.com/file/d/174Oh29cDQb1ngpIMyOuam6iMXzFbHNAW/view?usp=drivesdk</t>
  </si>
  <si>
    <t>ANIS ACHDIATI</t>
  </si>
  <si>
    <t>aja59805924@gmail.com</t>
  </si>
  <si>
    <t>5309</t>
  </si>
  <si>
    <t>1bWsJ9SHoX84oEUpm_2R3p9kjQ-0BF_nF</t>
  </si>
  <si>
    <t>https://drive.google.com/file/d/1bWsJ9SHoX84oEUpm_2R3p9kjQ-0BF_nF/view?usp=drivesdk</t>
  </si>
  <si>
    <t>NOVITA.S.Si</t>
  </si>
  <si>
    <t>novitabronto@gmail.com</t>
  </si>
  <si>
    <t>5310</t>
  </si>
  <si>
    <t>1vKyKpB35CnYWH_yAJuVChHjzB1mRG1Ng</t>
  </si>
  <si>
    <t>https://drive.google.com/file/d/1vKyKpB35CnYWH_yAJuVChHjzB1mRG1Ng/view?usp=drivesdk</t>
  </si>
  <si>
    <t>DEBORA WINA CHRISTIN LIMBONG</t>
  </si>
  <si>
    <t>cdeborawina@gmail.com</t>
  </si>
  <si>
    <t>5311</t>
  </si>
  <si>
    <t>1ToEq5soXUR04_Iwn5jPozZGIupWa2tKR</t>
  </si>
  <si>
    <t>https://drive.google.com/file/d/1ToEq5soXUR04_Iwn5jPozZGIupWa2tKR/view?usp=drivesdk</t>
  </si>
  <si>
    <t>Document successfully created; Document successfully merged; PDF created; !!Error Sending Emails: Service invoked too many times for one day: email.; Manually run by ecertificate75@gmail.com; Timestamp: Sep 3 2024 1:21 AM</t>
  </si>
  <si>
    <t>TEGUH SUDJATMIKO</t>
  </si>
  <si>
    <t>sudjatmiko17@gmail.com</t>
  </si>
  <si>
    <t>5312</t>
  </si>
  <si>
    <t>1y286l_BFQMgWdeCBBkOBE17j-hWHSreX</t>
  </si>
  <si>
    <t>https://drive.google.com/file/d/1y286l_BFQMgWdeCBBkOBE17j-hWHSreX/view?usp=drivesdk</t>
  </si>
  <si>
    <t>FITRI JUITA SINAGA</t>
  </si>
  <si>
    <t>fitrisinaga884@gmail.com</t>
  </si>
  <si>
    <t>5313</t>
  </si>
  <si>
    <t>1BLNdxVgwbrIWnveIrNdN2Q6wBJXmqPWJ</t>
  </si>
  <si>
    <t>https://drive.google.com/file/d/1BLNdxVgwbrIWnveIrNdN2Q6wBJXmqPWJ/view?usp=drivesdk</t>
  </si>
  <si>
    <t>SUDARTI</t>
  </si>
  <si>
    <t>sudarti.top@gmail.com</t>
  </si>
  <si>
    <t>5314</t>
  </si>
  <si>
    <t>13s1QX0OGPkUdCgH6Jdos0BE13bPJyMCx</t>
  </si>
  <si>
    <t>https://drive.google.com/file/d/13s1QX0OGPkUdCgH6Jdos0BE13bPJyMCx/view?usp=drivesdk</t>
  </si>
  <si>
    <t>RESTIE ARPIANITA ASTUTI,A.Md.Kep</t>
  </si>
  <si>
    <t>restiearpianita@gmail.com</t>
  </si>
  <si>
    <t>5315</t>
  </si>
  <si>
    <t>1_uvQX3zPwOUtLEYbFDHMxekWT-Y5d-Pv</t>
  </si>
  <si>
    <t>https://drive.google.com/file/d/1_uvQX3zPwOUtLEYbFDHMxekWT-Y5d-Pv/view?usp=drivesdk</t>
  </si>
  <si>
    <t xml:space="preserve">KASMAWATI </t>
  </si>
  <si>
    <t>kasmakeu@gmail.com</t>
  </si>
  <si>
    <t>5316</t>
  </si>
  <si>
    <t>14nH0CFjif1_lJOb3PMhowEQkUXwC3N9-</t>
  </si>
  <si>
    <t>https://drive.google.com/file/d/14nH0CFjif1_lJOb3PMhowEQkUXwC3N9-/view?usp=drivesdk</t>
  </si>
  <si>
    <t>Document successfully created; Document successfully merged; PDF created; !!Error Sending Emails: Service invoked too many times for one day: email.; Manually run by ecertificate75@gmail.com; Timestamp: Sep 3 2024 1:22 AM</t>
  </si>
  <si>
    <t>EKA PURWANTI</t>
  </si>
  <si>
    <t>ekapryskadewangga@gmail.com</t>
  </si>
  <si>
    <t>5317</t>
  </si>
  <si>
    <t>1cv5CCZ6VZ05jxa9xEsjSdFZ7x1jmJRyi</t>
  </si>
  <si>
    <t>https://drive.google.com/file/d/1cv5CCZ6VZ05jxa9xEsjSdFZ7x1jmJRyi/view?usp=drivesdk</t>
  </si>
  <si>
    <t>YUSTIYANI</t>
  </si>
  <si>
    <t>yustiyani150270@gmail.com</t>
  </si>
  <si>
    <t>5318</t>
  </si>
  <si>
    <t>1R83sA42S9v_5_Ffw1lH2TKJWYk1oiHYv</t>
  </si>
  <si>
    <t>https://drive.google.com/file/d/1R83sA42S9v_5_Ffw1lH2TKJWYk1oiHYv/view?usp=drivesdk</t>
  </si>
  <si>
    <t>FERY AGUNG H, A.Md</t>
  </si>
  <si>
    <t>fery.agung.hidayat@gmail.com</t>
  </si>
  <si>
    <t>5319</t>
  </si>
  <si>
    <t>1nPK1dEGVCw9PREQCRBjD8VNcwWluXfuI</t>
  </si>
  <si>
    <t>https://drive.google.com/file/d/1nPK1dEGVCw9PREQCRBjD8VNcwWluXfuI/view?usp=drivesdk</t>
  </si>
  <si>
    <t>NUKE PUSPITASARI, S.Ak.</t>
  </si>
  <si>
    <t>chacakameela@gmail.com</t>
  </si>
  <si>
    <t>5320</t>
  </si>
  <si>
    <t>1nmNZF3z4YbRMMNHDwFhhpECPTNcfxTtK</t>
  </si>
  <si>
    <t>https://drive.google.com/file/d/1nmNZF3z4YbRMMNHDwFhhpECPTNcfxTtK/view?usp=drivesdk</t>
  </si>
  <si>
    <t>Document successfully created; Document successfully merged; PDF created; !!Error Sending Emails: Service invoked too many times for one day: email.; Manually run by ecertificate75@gmail.com; Timestamp: Sep 3 2024 1:23 AM</t>
  </si>
  <si>
    <t>HENDRO AJI PRABOWO</t>
  </si>
  <si>
    <t>hendroprabowo9940@gmail.com</t>
  </si>
  <si>
    <t>5321</t>
  </si>
  <si>
    <t>1ozFZELD-gzXnUE3g4QA5mx1FJ_rLdexk</t>
  </si>
  <si>
    <t>https://drive.google.com/file/d/1ozFZELD-gzXnUE3g4QA5mx1FJ_rLdexk/view?usp=drivesdk</t>
  </si>
  <si>
    <t>ANITA HERLINA HALMAN, AMD</t>
  </si>
  <si>
    <t>herlinaanita@yahoo.co.id</t>
  </si>
  <si>
    <t>5322</t>
  </si>
  <si>
    <t>1c9cmPFSevxw2uJ8kM0edwENJTvRWyQsJ</t>
  </si>
  <si>
    <t>https://drive.google.com/file/d/1c9cmPFSevxw2uJ8kM0edwENJTvRWyQsJ/view?usp=drivesdk</t>
  </si>
  <si>
    <t>ELI SULISTYOWATI, S. Kep</t>
  </si>
  <si>
    <t>elissulistyowati23@gmail.com</t>
  </si>
  <si>
    <t>5323</t>
  </si>
  <si>
    <t>13BGzkFXxhCnjDCbr3rjXOrfhfuzaB1BC</t>
  </si>
  <si>
    <t>https://drive.google.com/file/d/13BGzkFXxhCnjDCbr3rjXOrfhfuzaB1BC/view?usp=drivesdk</t>
  </si>
  <si>
    <t>SURIA NUR ARLINA</t>
  </si>
  <si>
    <t>suria.nurarlina@gmail.com</t>
  </si>
  <si>
    <t>5324</t>
  </si>
  <si>
    <t>1iza1IExjP_B5G48PdYHLq12jSz8n2lS3</t>
  </si>
  <si>
    <t>https://drive.google.com/file/d/1iza1IExjP_B5G48PdYHLq12jSz8n2lS3/view?usp=drivesdk</t>
  </si>
  <si>
    <t>RETNO SRI RAHAYU, SH</t>
  </si>
  <si>
    <t>retnosrirahayu86@gmail.com</t>
  </si>
  <si>
    <t>5325</t>
  </si>
  <si>
    <t>1fxvhB3q2Ts1q9UrrMMtNFjh4cpefRbS3</t>
  </si>
  <si>
    <t>https://drive.google.com/file/d/1fxvhB3q2Ts1q9UrrMMtNFjh4cpefRbS3/view?usp=drivesdk</t>
  </si>
  <si>
    <t>TRI LESTARI, S.Tr.Kom</t>
  </si>
  <si>
    <t>trilestari.reskbm@gmail.com</t>
  </si>
  <si>
    <t>5326</t>
  </si>
  <si>
    <t>https://drive.google.com/file/d/1slJWwUrawhrRUW5DEV_e0ZCyUne_QRXL/view?usp=drivesdk</t>
  </si>
  <si>
    <t>1slJWwUrawhrRUW5DEV_e0ZCyUne_QRXL</t>
  </si>
  <si>
    <t>1Wi0B5RFgT2ZmsForsd0mfTBWeUwrfgop</t>
  </si>
  <si>
    <t>https://drive.google.com/file/d/1Wi0B5RFgT2ZmsForsd0mfTBWeUwrfgop/view?usp=drivesdk</t>
  </si>
  <si>
    <t>Document successfully created; Document successfully merged; PDF created; !!Error Sending Emails: Service invoked too many times for one day: email.; Manually run by ecertificate75@gmail.com; Timestamp: Sep 3 2024 1:24 AM</t>
  </si>
  <si>
    <t xml:space="preserve">ANDIK SETYO UTOMO </t>
  </si>
  <si>
    <t>andiksetyo360@gmail.com</t>
  </si>
  <si>
    <t>5327</t>
  </si>
  <si>
    <t>https://drive.google.com/file/d/1SL0PbTSBoSTvAl6w-WyGpguB9ZtanyEY/view?usp=drivesdk</t>
  </si>
  <si>
    <t>Document successfully created; Document successfully merged; PDF created; !!Error Sending Emails: Service invoked too many times for one day: email.; Run via form trigger as ecertificate75@gmail.com; Timestamp: Aug 29 2024 9:37 PM</t>
  </si>
  <si>
    <t>1SL0PbTSBoSTvAl6w-WyGpguB9ZtanyEY</t>
  </si>
  <si>
    <t>1HbKyOe43OW0huUVUCztaTmgoT1BCPzwD</t>
  </si>
  <si>
    <t>https://drive.google.com/file/d/1HbKyOe43OW0huUVUCztaTmgoT1BCPzwD/view?usp=drivesdk</t>
  </si>
  <si>
    <t>DWI YULI DARWANTO, S.KOM</t>
  </si>
  <si>
    <t>dwi.84darwanto@gmail.com</t>
  </si>
  <si>
    <t>5328</t>
  </si>
  <si>
    <t>https://drive.google.com/file/d/16BkcIMqo8TJBd_itm-6qjV4b5bnW993j/view?usp=drivesdk</t>
  </si>
  <si>
    <t>16BkcIMqo8TJBd_itm-6qjV4b5bnW993j</t>
  </si>
  <si>
    <t>19qKOZ9pCm8KdWXDumewlXOOCilBGP0wU</t>
  </si>
  <si>
    <t>https://drive.google.com/file/d/19qKOZ9pCm8KdWXDumewlXOOCilBGP0wU/view?usp=drivesdk</t>
  </si>
  <si>
    <t>ARIJANI</t>
  </si>
  <si>
    <t>arijaniskck@gmail.com</t>
  </si>
  <si>
    <t>5329</t>
  </si>
  <si>
    <t>https://drive.google.com/file/d/1IQaQaD7N8NdPdChqJWnHYt1giW2ENstl/view?usp=drivesdk</t>
  </si>
  <si>
    <t>1IQaQaD7N8NdPdChqJWnHYt1giW2ENstl</t>
  </si>
  <si>
    <t>1F5Di-CnqDTJ3OmCGQWJfD7tBGqS0CNOr</t>
  </si>
  <si>
    <t>https://drive.google.com/file/d/1F5Di-CnqDTJ3OmCGQWJfD7tBGqS0CNOr/view?usp=drivesdk</t>
  </si>
  <si>
    <t>YENNIE WALINDA</t>
  </si>
  <si>
    <t>yenniewalindadwadindza@gmail.com</t>
  </si>
  <si>
    <t>5330</t>
  </si>
  <si>
    <t>Starting at Thu Aug 29 2024 21:36:41 GMT-0400 (EDT)</t>
  </si>
  <si>
    <t>1w831XEDt4cv_OPYnqGo5EAAlw7v0xd8-</t>
  </si>
  <si>
    <t>https://drive.google.com/file/d/1w831XEDt4cv_OPYnqGo5EAAlw7v0xd8-/view?usp=drivesdk</t>
  </si>
  <si>
    <t>KALIS PRIYANTO</t>
  </si>
  <si>
    <t>yantokabul4@gmail.com</t>
  </si>
  <si>
    <t>5331</t>
  </si>
  <si>
    <t>1C3GPknOmahOCT7IWiDEQvp8Vq_onGrsR</t>
  </si>
  <si>
    <t>https://drive.google.com/file/d/1C3GPknOmahOCT7IWiDEQvp8Vq_onGrsR/view?usp=drivesdk</t>
  </si>
  <si>
    <t>Document successfully created; Document successfully merged; PDF created; !!Error Sending Emails: Service invoked too many times for one day: email.; Manually run by ecertificate75@gmail.com; Timestamp: Sep 3 2024 1:25 AM</t>
  </si>
  <si>
    <t xml:space="preserve">FARICH SYAICHULLOH HADI </t>
  </si>
  <si>
    <t>f4r1ch1984@gmail.com</t>
  </si>
  <si>
    <t>5332</t>
  </si>
  <si>
    <t>https://drive.google.com/file/d/1W6DQXgDhvKRDnueij-fWw9OV3Zv8dZPs/view?usp=drivesdk</t>
  </si>
  <si>
    <t>1W6DQXgDhvKRDnueij-fWw9OV3Zv8dZPs</t>
  </si>
  <si>
    <t>1-6B5TsDay7fEfMPnDrHVRsmpYlWnUwBD</t>
  </si>
  <si>
    <t>https://drive.google.com/file/d/1-6B5TsDay7fEfMPnDrHVRsmpYlWnUwBD/view?usp=drivesdk</t>
  </si>
  <si>
    <t>RR WAHJU TJAHJANDARI</t>
  </si>
  <si>
    <t>cahyandariwahyu@gmail.com</t>
  </si>
  <si>
    <t>5333</t>
  </si>
  <si>
    <t>https://drive.google.com/file/d/16-PgM7JfV3ebmeburLPY1I057fllquU3/view?usp=drivesdk</t>
  </si>
  <si>
    <t>16-PgM7JfV3ebmeburLPY1I057fllquU3</t>
  </si>
  <si>
    <t>1aviG2FQSCHipyA-bJwUx2lLva6AfpSYh</t>
  </si>
  <si>
    <t>https://drive.google.com/file/d/1aviG2FQSCHipyA-bJwUx2lLva6AfpSYh/view?usp=drivesdk</t>
  </si>
  <si>
    <t xml:space="preserve">MUSDALIFAH HAYONG AMK </t>
  </si>
  <si>
    <t>iphamusda3@gmail.com</t>
  </si>
  <si>
    <t>5334</t>
  </si>
  <si>
    <t>https://drive.google.com/file/d/1JQ7L7BA-7SkOQX6XeSdfK37qy_62EyH5/view?usp=drivesdk</t>
  </si>
  <si>
    <t>1JQ7L7BA-7SkOQX6XeSdfK37qy_62EyH5</t>
  </si>
  <si>
    <t>15G5Z1oS2L4yROtKx9QAOgzI4Oz47_Kmm</t>
  </si>
  <si>
    <t>https://drive.google.com/file/d/15G5Z1oS2L4yROtKx9QAOgzI4Oz47_Kmm/view?usp=drivesdk</t>
  </si>
  <si>
    <t>Hastuti RA, SE, MM</t>
  </si>
  <si>
    <t>hastutira11@gmail.com</t>
  </si>
  <si>
    <t>5335</t>
  </si>
  <si>
    <t>https://drive.google.com/file/d/1MK7OQyYpjluX6-M_--E5dwLl0A8klsYI/view?usp=drivesdk</t>
  </si>
  <si>
    <t>1MK7OQyYpjluX6-M_--E5dwLl0A8klsYI</t>
  </si>
  <si>
    <t>1V7y2TQJgrPDol_zqZCDugGy3k70Q4qIO</t>
  </si>
  <si>
    <t>https://drive.google.com/file/d/1V7y2TQJgrPDol_zqZCDugGy3k70Q4qIO/view?usp=drivesdk</t>
  </si>
  <si>
    <t>SRI YANTINI</t>
  </si>
  <si>
    <t>yantini149@gmail.com</t>
  </si>
  <si>
    <t>5336</t>
  </si>
  <si>
    <t>https://drive.google.com/file/d/1FjXdf8c_Sx2cZoNgsttoUEddRYMrNYEy/view?usp=drivesdk</t>
  </si>
  <si>
    <t>1FjXdf8c_Sx2cZoNgsttoUEddRYMrNYEy</t>
  </si>
  <si>
    <t>128A75CAybc3a7XzmzcH8SyvKePgB9u3F</t>
  </si>
  <si>
    <t>https://drive.google.com/file/d/128A75CAybc3a7XzmzcH8SyvKePgB9u3F/view?usp=drivesdk</t>
  </si>
  <si>
    <t xml:space="preserve">OKTAVIANI TABANG KALUA </t>
  </si>
  <si>
    <t>oktavianikalua@gmail.com</t>
  </si>
  <si>
    <t>5337</t>
  </si>
  <si>
    <t>https://drive.google.com/file/d/1CukwYPB89fPdmyHk6pmP18s3ausvxzOd/view?usp=drivesdk</t>
  </si>
  <si>
    <t>1CukwYPB89fPdmyHk6pmP18s3ausvxzOd</t>
  </si>
  <si>
    <t>1AwXtx8UOyH2hYE6185Noq6bOmU1U6dqB</t>
  </si>
  <si>
    <t>https://drive.google.com/file/d/1AwXtx8UOyH2hYE6185Noq6bOmU1U6dqB/view?usp=drivesdk</t>
  </si>
  <si>
    <t>Document successfully created; Document successfully merged; PDF created; !!Error Sending Emails: Service invoked too many times for one day: email.; Manually run by ecertificate75@gmail.com; Timestamp: Sep 3 2024 1:26 AM</t>
  </si>
  <si>
    <t>ADI TRI RASTYO</t>
  </si>
  <si>
    <t>atrastyo@gmail.com</t>
  </si>
  <si>
    <t>5338</t>
  </si>
  <si>
    <t>https://drive.google.com/file/d/1eTLe3HT8nCBcQwCPkaT7C5LviPGDWOCE/view?usp=drivesdk</t>
  </si>
  <si>
    <t>1eTLe3HT8nCBcQwCPkaT7C5LviPGDWOCE</t>
  </si>
  <si>
    <t>1JfHIq3BCBOfWktWgTuh7cxjAl_L-ayew</t>
  </si>
  <si>
    <t>https://drive.google.com/file/d/1JfHIq3BCBOfWktWgTuh7cxjAl_L-ayew/view?usp=drivesdk</t>
  </si>
  <si>
    <t>ARIYANI,AMd. Kep</t>
  </si>
  <si>
    <t>ariyania82@gmail.com</t>
  </si>
  <si>
    <t>5339</t>
  </si>
  <si>
    <t>https://drive.google.com/file/d/1RLF2FKQANgQ45tpQ9nFUt-SpZXxxDpuQ/view?usp=drivesdk</t>
  </si>
  <si>
    <t>1RLF2FKQANgQ45tpQ9nFUt-SpZXxxDpuQ</t>
  </si>
  <si>
    <t>1DhcMW64D3ZUOsQc0X79ScGVKKa3iarRg</t>
  </si>
  <si>
    <t>https://drive.google.com/file/d/1DhcMW64D3ZUOsQc0X79ScGVKKa3iarRg/view?usp=drivesdk</t>
  </si>
  <si>
    <t xml:space="preserve">DIANA CHRISTIJANTI HANITA KOEHOE, S. T. </t>
  </si>
  <si>
    <t>diana.koehoe75@gmail.com</t>
  </si>
  <si>
    <t>5340</t>
  </si>
  <si>
    <t>https://drive.google.com/file/d/1Jk7io0MeI0uGHk9KkvtHFRV8oeJVN61H/view?usp=drivesdk</t>
  </si>
  <si>
    <t>1Jk7io0MeI0uGHk9KkvtHFRV8oeJVN61H</t>
  </si>
  <si>
    <t>1Ql-BtGnO64tV-Cp2_ubESs-2A91Uz1ey</t>
  </si>
  <si>
    <t>https://drive.google.com/file/d/1Ql-BtGnO64tV-Cp2_ubESs-2A91Uz1ey/view?usp=drivesdk</t>
  </si>
  <si>
    <t>SRI RAHAYU WINARSIH</t>
  </si>
  <si>
    <t>Srirahayusamsungj5@g.mail.com</t>
  </si>
  <si>
    <t>5341</t>
  </si>
  <si>
    <t>https://drive.google.com/file/d/13iaFKLCxQoFq3xnoC7iw3od-0bSUEJaQ/view?usp=drivesdk</t>
  </si>
  <si>
    <t>13iaFKLCxQoFq3xnoC7iw3od-0bSUEJaQ</t>
  </si>
  <si>
    <t>1xvmy5Rxda9qmfDGlvspDTC0vYfT8W8NT</t>
  </si>
  <si>
    <t>https://drive.google.com/file/d/1xvmy5Rxda9qmfDGlvspDTC0vYfT8W8NT/view?usp=drivesdk</t>
  </si>
  <si>
    <t>AFRIDA A.md</t>
  </si>
  <si>
    <t>afrida060478@gmail.com</t>
  </si>
  <si>
    <t>5342</t>
  </si>
  <si>
    <t>https://drive.google.com/file/d/1x7OhideDaIdm-pu8zmu9CWXFOSDG1v8m/view?usp=drivesdk</t>
  </si>
  <si>
    <t>1x7OhideDaIdm-pu8zmu9CWXFOSDG1v8m</t>
  </si>
  <si>
    <t>147jBqCNZnKGjPnv1bIr_tqCRfrd7XsJv</t>
  </si>
  <si>
    <t>https://drive.google.com/file/d/147jBqCNZnKGjPnv1bIr_tqCRfrd7XsJv/view?usp=drivesdk</t>
  </si>
  <si>
    <t>Document successfully created; Document successfully merged; PDF created; !!Error Sending Emails: Service invoked too many times for one day: email.; Manually run by ecertificate75@gmail.com; Timestamp: Sep 3 2024 1:27 AM</t>
  </si>
  <si>
    <t>MERI ANDRIANA, A.MD</t>
  </si>
  <si>
    <t>merilemdianmas@gmail.com</t>
  </si>
  <si>
    <t>5343</t>
  </si>
  <si>
    <t>https://drive.google.com/file/d/1DX9UYxPAKQWD6TRP8HHuAYjTysTHkbFz/view?usp=drivesdk</t>
  </si>
  <si>
    <t>1DX9UYxPAKQWD6TRP8HHuAYjTysTHkbFz</t>
  </si>
  <si>
    <t>1vwvEHZyBctWCJQUEbdciPk63ALIn0mEh</t>
  </si>
  <si>
    <t>https://drive.google.com/file/d/1vwvEHZyBctWCJQUEbdciPk63ALIn0mEh/view?usp=drivesdk</t>
  </si>
  <si>
    <t>EVA ERTINA.SE</t>
  </si>
  <si>
    <t>ertinaeva57@gmail.com</t>
  </si>
  <si>
    <t>5344</t>
  </si>
  <si>
    <t>https://drive.google.com/file/d/1ogC7bX99_8iVcwmzGcTK1McsVE10AnJT/view?usp=drivesdk</t>
  </si>
  <si>
    <t>Document successfully created; Document successfully merged; PDF created; !!Error Sending Emails: Service invoked too many times for one day: email.; Run via form trigger as ecertificate75@gmail.com; Timestamp: Aug 29 2024 9:38 PM</t>
  </si>
  <si>
    <t>1ogC7bX99_8iVcwmzGcTK1McsVE10AnJT</t>
  </si>
  <si>
    <t>1wWn0NP6oQxkmKVoLEixGiW5lk2eSj8ct</t>
  </si>
  <si>
    <t>https://drive.google.com/file/d/1wWn0NP6oQxkmKVoLEixGiW5lk2eSj8ct/view?usp=drivesdk</t>
  </si>
  <si>
    <t>YANTA G</t>
  </si>
  <si>
    <t>yantaspripim@gmail.com</t>
  </si>
  <si>
    <t>5345</t>
  </si>
  <si>
    <t>https://drive.google.com/file/d/1jYCUj-JcSW26KV-9ujYL_8uDOeY-ag4d/view?usp=drivesdk</t>
  </si>
  <si>
    <t>1jYCUj-JcSW26KV-9ujYL_8uDOeY-ag4d</t>
  </si>
  <si>
    <t>10GfrH1w1nLOHNl4oVw-jIPG6pJQhmuVW</t>
  </si>
  <si>
    <t>https://drive.google.com/file/d/10GfrH1w1nLOHNl4oVw-jIPG6pJQhmuVW/view?usp=drivesdk</t>
  </si>
  <si>
    <t>SUMARNO</t>
  </si>
  <si>
    <t>diansetiani84@gmail.com</t>
  </si>
  <si>
    <t>5346</t>
  </si>
  <si>
    <t>https://drive.google.com/file/d/1onXWdaNBE43jP1lrgOUOHm9DdhCD_lai/view?usp=drivesdk</t>
  </si>
  <si>
    <t>1onXWdaNBE43jP1lrgOUOHm9DdhCD_lai</t>
  </si>
  <si>
    <t>1dgKilGfvJZ5cy6Bh8OmpoOwLYvawFsvH</t>
  </si>
  <si>
    <t>https://drive.google.com/file/d/1dgKilGfvJZ5cy6Bh8OmpoOwLYvawFsvH/view?usp=drivesdk</t>
  </si>
  <si>
    <t>UMI HIDAYAH,S.KEB.,BDN</t>
  </si>
  <si>
    <t>umihidayah76@gmail.com</t>
  </si>
  <si>
    <t>5347</t>
  </si>
  <si>
    <t>https://drive.google.com/file/d/1hbAQ0wHX2fOYdDVoyZxnHhgT6t-oDzis/view?usp=drivesdk</t>
  </si>
  <si>
    <t>1hbAQ0wHX2fOYdDVoyZxnHhgT6t-oDzis</t>
  </si>
  <si>
    <t>1iAmdqNtP6AWS1siM-y8heMcc8ChP1B32</t>
  </si>
  <si>
    <t>https://drive.google.com/file/d/1iAmdqNtP6AWS1siM-y8heMcc8ChP1B32/view?usp=drivesdk</t>
  </si>
  <si>
    <t>Document successfully created; Document successfully merged; PDF created; !!Error Sending Emails: Service invoked too many times for one day: email.; Manually run by ecertificate75@gmail.com; Timestamp: Sep 3 2024 1:28 AM</t>
  </si>
  <si>
    <t>WERLY DARINTAH, A.Md.</t>
  </si>
  <si>
    <t>werlydarintah12@gmail.com</t>
  </si>
  <si>
    <t>5348</t>
  </si>
  <si>
    <t>https://drive.google.com/file/d/1JAO44goTMW6HJz7qy1DwkijgmIZKkxvB/view?usp=drivesdk</t>
  </si>
  <si>
    <t>1JAO44goTMW6HJz7qy1DwkijgmIZKkxvB</t>
  </si>
  <si>
    <t>1uUMdd-lyzw9zMZAMuZpm51a-S-1KcVbx</t>
  </si>
  <si>
    <t>https://drive.google.com/file/d/1uUMdd-lyzw9zMZAMuZpm51a-S-1KcVbx/view?usp=drivesdk</t>
  </si>
  <si>
    <t>CORRY GERUNG</t>
  </si>
  <si>
    <t>coco.aquino86@gmail.com</t>
  </si>
  <si>
    <t>5349</t>
  </si>
  <si>
    <t>https://drive.google.com/file/d/1Gh2evcnNer-obEb8bUaLil3gXaECEWGb/view?usp=drivesdk</t>
  </si>
  <si>
    <t>1Gh2evcnNer-obEb8bUaLil3gXaECEWGb</t>
  </si>
  <si>
    <t>1U1qemRQUjZLnBeclN13TsnLylGW0rrOz</t>
  </si>
  <si>
    <t>https://drive.google.com/file/d/1U1qemRQUjZLnBeclN13TsnLylGW0rrOz/view?usp=drivesdk</t>
  </si>
  <si>
    <t>MOHAMAD IQBAL, S.E.</t>
  </si>
  <si>
    <t>mohamadiqbal700@gmail.com</t>
  </si>
  <si>
    <t>5350</t>
  </si>
  <si>
    <t>https://drive.google.com/file/d/1UWBpEiwPhrjh55I5hAYUx2uYa6MHJ_aX/view?usp=drivesdk</t>
  </si>
  <si>
    <t>1UWBpEiwPhrjh55I5hAYUx2uYa6MHJ_aX</t>
  </si>
  <si>
    <t>14l_v2ehd9bT-gYluCFUk860b0vjheCks</t>
  </si>
  <si>
    <t>https://drive.google.com/file/d/14l_v2ehd9bT-gYluCFUk860b0vjheCks/view?usp=drivesdk</t>
  </si>
  <si>
    <t>ROSITA ANGGRAINI P, S.Kep</t>
  </si>
  <si>
    <t>Rositaanggrainip@gmail.com</t>
  </si>
  <si>
    <t>5351</t>
  </si>
  <si>
    <t>https://drive.google.com/file/d/1tzcX5I-xFjKuwBL7ZEJUw-OXEzT5Naw9/view?usp=drivesdk</t>
  </si>
  <si>
    <t>1tzcX5I-xFjKuwBL7ZEJUw-OXEzT5Naw9</t>
  </si>
  <si>
    <t>14cyznhmGquwl6eo5qBMW3Q514EDo7ta2</t>
  </si>
  <si>
    <t>https://drive.google.com/file/d/14cyznhmGquwl6eo5qBMW3Q514EDo7ta2/view?usp=drivesdk</t>
  </si>
  <si>
    <t>Document successfully created; Document successfully merged; PDF created; !!Error Sending Emails: Service invoked too many times for one day: email.; Manually run by ecertificate75@gmail.com; Timestamp: Sep 3 2024 1:29 AM</t>
  </si>
  <si>
    <t xml:space="preserve">YUSWANTO </t>
  </si>
  <si>
    <t>yuswanto1967@gmail.com</t>
  </si>
  <si>
    <t>5352</t>
  </si>
  <si>
    <t>https://drive.google.com/file/d/125Hqw2qTS93BBiJMg5A_cPvucEKazfjl/view?usp=drivesdk</t>
  </si>
  <si>
    <t>125Hqw2qTS93BBiJMg5A_cPvucEKazfjl</t>
  </si>
  <si>
    <t>15n8OKEgEc6XprC6a6OWWe6qE1qvNiYZB</t>
  </si>
  <si>
    <t>https://drive.google.com/file/d/15n8OKEgEc6XprC6a6OWWe6qE1qvNiYZB/view?usp=drivesdk</t>
  </si>
  <si>
    <t>MARYANI</t>
  </si>
  <si>
    <t>bundamaryani1982@gmail.com</t>
  </si>
  <si>
    <t>5353</t>
  </si>
  <si>
    <t>https://drive.google.com/file/d/1d-ASStw_h1Nh2RVn_ktu_0XP-HgrAX63/view?usp=drivesdk</t>
  </si>
  <si>
    <t>1d-ASStw_h1Nh2RVn_ktu_0XP-HgrAX63</t>
  </si>
  <si>
    <t>1FkDoBPWs6ydMdDll9Yj_E2eb57b0O_qE</t>
  </si>
  <si>
    <t>https://drive.google.com/file/d/1FkDoBPWs6ydMdDll9Yj_E2eb57b0O_qE/view?usp=drivesdk</t>
  </si>
  <si>
    <t>EVY JAPRIJANTI</t>
  </si>
  <si>
    <t>evyjaprijanti@gmail.com</t>
  </si>
  <si>
    <t>5354</t>
  </si>
  <si>
    <t>https://drive.google.com/file/d/12DW45I30fNulS9D2dQXoiURFOFN9M1yy/view?usp=drivesdk</t>
  </si>
  <si>
    <t>12DW45I30fNulS9D2dQXoiURFOFN9M1yy</t>
  </si>
  <si>
    <t>17HcxkDjquzVe-R0QTSulPuYqY5cGsZq6</t>
  </si>
  <si>
    <t>https://drive.google.com/file/d/17HcxkDjquzVe-R0QTSulPuYqY5cGsZq6/view?usp=drivesdk</t>
  </si>
  <si>
    <t>SUKIMIN</t>
  </si>
  <si>
    <t>pungkisetyowati39@gmail.com</t>
  </si>
  <si>
    <t>5355</t>
  </si>
  <si>
    <t>https://drive.google.com/file/d/1ucFiDPhSVUnZPct6dCE5-jsrKTCCTsF2/view?usp=drivesdk</t>
  </si>
  <si>
    <t>1ucFiDPhSVUnZPct6dCE5-jsrKTCCTsF2</t>
  </si>
  <si>
    <t>1_oIrHVYZY_qhoWopF2cHFJ-fa9sT-nXw</t>
  </si>
  <si>
    <t>https://drive.google.com/file/d/1_oIrHVYZY_qhoWopF2cHFJ-fa9sT-nXw/view?usp=drivesdk</t>
  </si>
  <si>
    <t>DJATMONO</t>
  </si>
  <si>
    <t>djatmono24@gmail.com</t>
  </si>
  <si>
    <t>5356</t>
  </si>
  <si>
    <t>Starting at Thu Aug 29 2024 21:37:06 GMT-0400 (EDT)</t>
  </si>
  <si>
    <t>1LcN0ecWFDF812hsIVtKIDyJVNKVyWnF2</t>
  </si>
  <si>
    <t>https://drive.google.com/file/d/1LcN0ecWFDF812hsIVtKIDyJVNKVyWnF2/view?usp=drivesdk</t>
  </si>
  <si>
    <t>WULANDARI PRAMONO,AMD</t>
  </si>
  <si>
    <t>wulanp932@gmail.com</t>
  </si>
  <si>
    <t>5357</t>
  </si>
  <si>
    <t>1Pct8jpFn2qToK0k1PprS90S5WR83VYSC</t>
  </si>
  <si>
    <t>https://drive.google.com/file/d/1Pct8jpFn2qToK0k1PprS90S5WR83VYSC/view?usp=drivesdk</t>
  </si>
  <si>
    <t>Document successfully created; Document successfully merged; PDF created; !!Error Sending Emails: Service invoked too many times for one day: email.; Manually run by ecertificate75@gmail.com; Timestamp: Sep 3 2024 1:30 AM</t>
  </si>
  <si>
    <t>RETNO SUNDARI,S.E</t>
  </si>
  <si>
    <t>retno.sundari1973@gmail.com</t>
  </si>
  <si>
    <t>5358</t>
  </si>
  <si>
    <t>https://drive.google.com/file/d/11bL0sxnw87TAGZcmFM52xm-Pkk8CIfje/view?usp=drivesdk</t>
  </si>
  <si>
    <t>11bL0sxnw87TAGZcmFM52xm-Pkk8CIfje</t>
  </si>
  <si>
    <t>1TNPkbFFvg-i2hL_9t-SNYG-qjV_bJ0Wu</t>
  </si>
  <si>
    <t>https://drive.google.com/file/d/1TNPkbFFvg-i2hL_9t-SNYG-qjV_bJ0Wu/view?usp=drivesdk</t>
  </si>
  <si>
    <t xml:space="preserve">HERI SUSANAH </t>
  </si>
  <si>
    <t>herisusanah123@gmail.com</t>
  </si>
  <si>
    <t>5359</t>
  </si>
  <si>
    <t>Starting at Thu Aug 29 2024 21:37:11 GMT-0400 (EDT)</t>
  </si>
  <si>
    <t>14gySI9VoKfmNlf9RGv0ONiRsbi8hWmm6</t>
  </si>
  <si>
    <t>https://drive.google.com/file/d/14gySI9VoKfmNlf9RGv0ONiRsbi8hWmm6/view?usp=drivesdk</t>
  </si>
  <si>
    <t>DWI ASTUTI, S.H.</t>
  </si>
  <si>
    <t>dastuti612@gmail.com</t>
  </si>
  <si>
    <t>5360</t>
  </si>
  <si>
    <t>1fcD3rBHo2rmBTFow19-mY90lK-o_9tvJ</t>
  </si>
  <si>
    <t>https://drive.google.com/file/d/1fcD3rBHo2rmBTFow19-mY90lK-o_9tvJ/view?usp=drivesdk</t>
  </si>
  <si>
    <t>AKHMAD ZAENAL ARIFIN, S.Ftr</t>
  </si>
  <si>
    <t>ahmad.zaen.arifin@gmail.com</t>
  </si>
  <si>
    <t>5361</t>
  </si>
  <si>
    <t>17EyJRtpG9MPfHwmPJb3kYlYIQN3U9-DJ</t>
  </si>
  <si>
    <t>https://drive.google.com/file/d/17EyJRtpG9MPfHwmPJb3kYlYIQN3U9-DJ/view?usp=drivesdk</t>
  </si>
  <si>
    <t>Document successfully created; Document successfully merged; PDF created; !!Error Sending Emails: Service invoked too many times for one day: email.; Manually run by ecertificate75@gmail.com; Timestamp: Sep 3 2024 1:31 AM</t>
  </si>
  <si>
    <t>MINARNI</t>
  </si>
  <si>
    <t>arnim786@gmail.com</t>
  </si>
  <si>
    <t>5362</t>
  </si>
  <si>
    <t>1vzO2ylqxa543hdAlrUeCvOTO50r-41WV</t>
  </si>
  <si>
    <t>https://drive.google.com/file/d/1vzO2ylqxa543hdAlrUeCvOTO50r-41WV/view?usp=drivesdk</t>
  </si>
  <si>
    <t xml:space="preserve">SRI WIDODO </t>
  </si>
  <si>
    <t>sriwidodoyanma@gmail.com</t>
  </si>
  <si>
    <t>5363</t>
  </si>
  <si>
    <t>https://drive.google.com/file/d/1lQiFIigaabJ3Nc0Bp7W4NnZlcEAH22bz/view?usp=drivesdk</t>
  </si>
  <si>
    <t>1lQiFIigaabJ3Nc0Bp7W4NnZlcEAH22bz</t>
  </si>
  <si>
    <t>1Bs1wRi52Rca9mmyBqtPulfrk1DqrOTZG</t>
  </si>
  <si>
    <t>https://drive.google.com/file/d/1Bs1wRi52Rca9mmyBqtPulfrk1DqrOTZG/view?usp=drivesdk</t>
  </si>
  <si>
    <t>KRUSTI MAJOGJANI</t>
  </si>
  <si>
    <t>krustimajogjani574@gmail.com</t>
  </si>
  <si>
    <t>5364</t>
  </si>
  <si>
    <t>Starting at Thu Aug 29 2024 21:37:20 GMT-0400 (EDT)</t>
  </si>
  <si>
    <t>1VFj3G7AiH9G3Fd4hcPBD9LS1k0sSC7fa</t>
  </si>
  <si>
    <t>https://drive.google.com/file/d/1VFj3G7AiH9G3Fd4hcPBD9LS1k0sSC7fa/view?usp=drivesdk</t>
  </si>
  <si>
    <t>sugionosugi1234@gmail.com</t>
  </si>
  <si>
    <t>5365</t>
  </si>
  <si>
    <t>1IM9XmFq2OwK9iTNW9kdWhPbKX4lQAZC8</t>
  </si>
  <si>
    <t>https://drive.google.com/file/d/1IM9XmFq2OwK9iTNW9kdWhPbKX4lQAZC8/view?usp=drivesdk</t>
  </si>
  <si>
    <t>RIBUT TRIYANA</t>
  </si>
  <si>
    <t>rtriyana80@gmain.com</t>
  </si>
  <si>
    <t>5366</t>
  </si>
  <si>
    <t>1coXhJpKZqehSFndI_zMMIV6HwxVIrEXh</t>
  </si>
  <si>
    <t>https://drive.google.com/file/d/1coXhJpKZqehSFndI_zMMIV6HwxVIrEXh/view?usp=drivesdk</t>
  </si>
  <si>
    <t>arifin16april@gmail.com</t>
  </si>
  <si>
    <t>5367</t>
  </si>
  <si>
    <t>1cIRUbUAuI2ofkNyvw2tGoryRz5Mel_OY</t>
  </si>
  <si>
    <t>https://drive.google.com/file/d/1cIRUbUAuI2ofkNyvw2tGoryRz5Mel_OY/view?usp=drivesdk</t>
  </si>
  <si>
    <t>Document successfully created; Document successfully merged; PDF created; !!Error Sending Emails: Service invoked too many times for one day: email.; Manually run by ecertificate75@gmail.com; Timestamp: Sep 3 2024 1:32 AM</t>
  </si>
  <si>
    <t>SHANTI PERMANASARI</t>
  </si>
  <si>
    <t>permanasarisanti@gmail.com</t>
  </si>
  <si>
    <t>5368</t>
  </si>
  <si>
    <t>1hPfX2b5hFEjNUy46XCMnn2XIlH69xpBF</t>
  </si>
  <si>
    <t>https://drive.google.com/file/d/1hPfX2b5hFEjNUy46XCMnn2XIlH69xpBF/view?usp=drivesdk</t>
  </si>
  <si>
    <t>SUMINI, SE</t>
  </si>
  <si>
    <t>suminisungkono75@gmail.com</t>
  </si>
  <si>
    <t>5369</t>
  </si>
  <si>
    <t>1_cOtXw2zcThO5GNwl0B7iDV9JwGyVNNT</t>
  </si>
  <si>
    <t>https://drive.google.com/file/d/1_cOtXw2zcThO5GNwl0B7iDV9JwGyVNNT/view?usp=drivesdk</t>
  </si>
  <si>
    <t>LIZA, SKM</t>
  </si>
  <si>
    <t>lizadanial9186@gmail.com</t>
  </si>
  <si>
    <t>5370</t>
  </si>
  <si>
    <t>13Od8Jx3T1CgLcy9m6k81bvqnYj5SfokD</t>
  </si>
  <si>
    <t>https://drive.google.com/file/d/13Od8Jx3T1CgLcy9m6k81bvqnYj5SfokD/view?usp=drivesdk</t>
  </si>
  <si>
    <t>RADIRSA ZANDRA</t>
  </si>
  <si>
    <t>radirsazandra93@gmail.com</t>
  </si>
  <si>
    <t>5371</t>
  </si>
  <si>
    <t>1QA-pCUREbEoGjBSuW7g2X1piSrsN12Tf</t>
  </si>
  <si>
    <t>https://drive.google.com/file/d/1QA-pCUREbEoGjBSuW7g2X1piSrsN12Tf/view?usp=drivesdk</t>
  </si>
  <si>
    <t>SALIS ANDARI</t>
  </si>
  <si>
    <t>salisandari@gmail.com</t>
  </si>
  <si>
    <t>5372</t>
  </si>
  <si>
    <t>https://drive.google.com/file/d/11zw7Ltx_ru3JctY_0Cya6QhYPLhSWiKO/view?usp=drivesdk</t>
  </si>
  <si>
    <t>11zw7Ltx_ru3JctY_0Cya6QhYPLhSWiKO</t>
  </si>
  <si>
    <t>1hVx7-87ZbGDM6FWKAxDl295PUGzvc7iz</t>
  </si>
  <si>
    <t>https://drive.google.com/file/d/1hVx7-87ZbGDM6FWKAxDl295PUGzvc7iz/view?usp=drivesdk</t>
  </si>
  <si>
    <t>Document successfully created; Document successfully merged; PDF created; !!Error Sending Emails: Service invoked too many times for one day: email.; Manually run by ecertificate75@gmail.com; Timestamp: Sep 3 2024 1:33 AM</t>
  </si>
  <si>
    <t>TRI ASTUTI</t>
  </si>
  <si>
    <t>triasturi1008@gmail.com</t>
  </si>
  <si>
    <t>5373</t>
  </si>
  <si>
    <t>Starting at Thu Aug 29 2024 21:37:22 GMT-0400 (EDT)</t>
  </si>
  <si>
    <t>1GlVjV5GdTOlcMrXENRWjiCUUlmzuD96T</t>
  </si>
  <si>
    <t>https://drive.google.com/file/d/1GlVjV5GdTOlcMrXENRWjiCUUlmzuD96T/view?usp=drivesdk</t>
  </si>
  <si>
    <t xml:space="preserve">PRIHATININGTIAS MURTI. S, S.E. </t>
  </si>
  <si>
    <t>prihatiningtias.murti@yahoo.com</t>
  </si>
  <si>
    <t>5374</t>
  </si>
  <si>
    <t>1qSTddSi2I7Kz1rFoWmbaFzxWqoOS7Q4t</t>
  </si>
  <si>
    <t>https://drive.google.com/file/d/1qSTddSi2I7Kz1rFoWmbaFzxWqoOS7Q4t/view?usp=drivesdk</t>
  </si>
  <si>
    <t xml:space="preserve">YUNITA DESY RUSMAWATI </t>
  </si>
  <si>
    <t>desyrusmawatyyunita@gmail.com</t>
  </si>
  <si>
    <t>5375</t>
  </si>
  <si>
    <t>https://drive.google.com/file/d/1hobpGj5cMfjEkPh_DN1M7uKfJgcnVtMl/view?usp=drivesdk</t>
  </si>
  <si>
    <t>1hobpGj5cMfjEkPh_DN1M7uKfJgcnVtMl</t>
  </si>
  <si>
    <t>1SXl3GQQNpB6YqMBebWRWrq5IGaG6v9ac</t>
  </si>
  <si>
    <t>https://drive.google.com/file/d/1SXl3GQQNpB6YqMBebWRWrq5IGaG6v9ac/view?usp=drivesdk</t>
  </si>
  <si>
    <t>HERU NITI PRAYITNO</t>
  </si>
  <si>
    <t>herunity@gmail.com</t>
  </si>
  <si>
    <t>5376</t>
  </si>
  <si>
    <t>https://drive.google.com/file/d/1h540qfZB13K7Xy0xxXCgZjIDT_ZUzcvv/view?usp=drivesdk</t>
  </si>
  <si>
    <t>1h540qfZB13K7Xy0xxXCgZjIDT_ZUzcvv</t>
  </si>
  <si>
    <t>1wXrXaqxEOFqvGXM8ji2phTXSu59s4cKu</t>
  </si>
  <si>
    <t>https://drive.google.com/file/d/1wXrXaqxEOFqvGXM8ji2phTXSu59s4cKu/view?usp=drivesdk</t>
  </si>
  <si>
    <t>Document successfully created; Document successfully merged; PDF created; !!Error Sending Emails: Service invoked too many times for one day: email.; Manually run by ecertificate75@gmail.com; Timestamp: Sep 3 2024 1:34 AM</t>
  </si>
  <si>
    <t>FRANSISKA AGUSTINA, S.T.,M.T.</t>
  </si>
  <si>
    <t>fransiska.puslitbangpolri@gmail.com</t>
  </si>
  <si>
    <t>5377</t>
  </si>
  <si>
    <t>Starting at Thu Aug 29 2024 21:37:28 GMT-0400 (EDT)</t>
  </si>
  <si>
    <t>1XtPcHlz4vOaL4aU2v0rqLCVWk3HfjjsP</t>
  </si>
  <si>
    <t>https://drive.google.com/file/d/1XtPcHlz4vOaL4aU2v0rqLCVWk3HfjjsP/view?usp=drivesdk</t>
  </si>
  <si>
    <t>MUHAMMAD SOLIHIN, S.T.</t>
  </si>
  <si>
    <t>solihin.ir@gmail.com</t>
  </si>
  <si>
    <t>5378</t>
  </si>
  <si>
    <t>1d37LqwvrSP2RB_H3Z21Bib48eN8bP0v6</t>
  </si>
  <si>
    <t>https://drive.google.com/file/d/1d37LqwvrSP2RB_H3Z21Bib48eN8bP0v6/view?usp=drivesdk</t>
  </si>
  <si>
    <t>MUTMAINAH. S.M.</t>
  </si>
  <si>
    <t>mutmainahresbbs@gmail.com</t>
  </si>
  <si>
    <t>5379</t>
  </si>
  <si>
    <t>11iajMgAQA4AoHmp4SVyjBanFfBnfUeNc</t>
  </si>
  <si>
    <t>https://drive.google.com/file/d/11iajMgAQA4AoHmp4SVyjBanFfBnfUeNc/view?usp=drivesdk</t>
  </si>
  <si>
    <t>SYARJAN</t>
  </si>
  <si>
    <t>phayjan83@gmail.com</t>
  </si>
  <si>
    <t>5380</t>
  </si>
  <si>
    <t>Starting at Thu Aug 29 2024 21:37:32 GMT-0400 (EDT)</t>
  </si>
  <si>
    <t>1to3JFOxiGWk32DQzV2sinTMBkAvSXgxF</t>
  </si>
  <si>
    <t>https://drive.google.com/file/d/1to3JFOxiGWk32DQzV2sinTMBkAvSXgxF/view?usp=drivesdk</t>
  </si>
  <si>
    <t>YULITA IRAWANTI,AMD,KEP</t>
  </si>
  <si>
    <t>yulitarsb@gmail.com</t>
  </si>
  <si>
    <t>5381</t>
  </si>
  <si>
    <t>1RSpVtiAgsd4C9IakNgY4JANB_1tVWGlQ</t>
  </si>
  <si>
    <t>https://drive.google.com/file/d/1RSpVtiAgsd4C9IakNgY4JANB_1tVWGlQ/view?usp=drivesdk</t>
  </si>
  <si>
    <t>Document successfully created; Document successfully merged; PDF created; !!Error Sending Emails: Service invoked too many times for one day: email.; Manually run by ecertificate75@gmail.com; Timestamp: Sep 3 2024 1:35 AM</t>
  </si>
  <si>
    <t>bBUDI HERROYADI</t>
  </si>
  <si>
    <t>ainuza090817@mail.com</t>
  </si>
  <si>
    <t>5382</t>
  </si>
  <si>
    <t>11Q-0rOOCtim5nW_ANbNJLkJdTqfAuYxW</t>
  </si>
  <si>
    <t>https://drive.google.com/file/d/11Q-0rOOCtim5nW_ANbNJLkJdTqfAuYxW/view?usp=drivesdk</t>
  </si>
  <si>
    <t>KRISDIANTO</t>
  </si>
  <si>
    <t>krisdiantokris0910@gmail.com</t>
  </si>
  <si>
    <t>5383</t>
  </si>
  <si>
    <t>1uG54-WUizwWr0GuARyZr9WYCw9RIFYW_</t>
  </si>
  <si>
    <t>https://drive.google.com/file/d/1uG54-WUizwWr0GuARyZr9WYCw9RIFYW_/view?usp=drivesdk</t>
  </si>
  <si>
    <t>MAYA NATALIA PINANGKAAN,A.Md.Keb</t>
  </si>
  <si>
    <t>pinangkaanmaya@gmail.com</t>
  </si>
  <si>
    <t>5384</t>
  </si>
  <si>
    <t>1izXQj57VAKhZCvl466f4lFoq0Mtknic5</t>
  </si>
  <si>
    <t>https://drive.google.com/file/d/1izXQj57VAKhZCvl466f4lFoq0Mtknic5/view?usp=drivesdk</t>
  </si>
  <si>
    <t>FARIDA NAIBAHO</t>
  </si>
  <si>
    <t>faridanaibaho69@gmail.com</t>
  </si>
  <si>
    <t>5385</t>
  </si>
  <si>
    <t>1T5qGLXIJ86Y3rFoGsF7nF2o0sCfqFY5b</t>
  </si>
  <si>
    <t>https://drive.google.com/file/d/1T5qGLXIJ86Y3rFoGsF7nF2o0sCfqFY5b/view?usp=drivesdk</t>
  </si>
  <si>
    <t>YULI DAMERIA</t>
  </si>
  <si>
    <t>yuridli1974@gmail.com</t>
  </si>
  <si>
    <t>5386</t>
  </si>
  <si>
    <t>1hKZx3qyvvY6sfJRd3IqMqitNxSiHOM99</t>
  </si>
  <si>
    <t>https://drive.google.com/file/d/1hKZx3qyvvY6sfJRd3IqMqitNxSiHOM99/view?usp=drivesdk</t>
  </si>
  <si>
    <t>ZAINAL ARIFIN</t>
  </si>
  <si>
    <t>zaenalarifinbroo@gmail.com</t>
  </si>
  <si>
    <t>5387</t>
  </si>
  <si>
    <t>1PidVYQmQVsV4Xrz6lKAC9JPmNiihls7Q</t>
  </si>
  <si>
    <t>https://drive.google.com/file/d/1PidVYQmQVsV4Xrz6lKAC9JPmNiihls7Q/view?usp=drivesdk</t>
  </si>
  <si>
    <t>Document successfully created; Document successfully merged; PDF created; !!Error Sending Emails: Service invoked too many times for one day: email.; Manually run by ecertificate75@gmail.com; Timestamp: Sep 3 2024 1:36 AM</t>
  </si>
  <si>
    <t>IHWANUDIN, S.ST</t>
  </si>
  <si>
    <t>akhi.ikhwan@gmail.com</t>
  </si>
  <si>
    <t>5388</t>
  </si>
  <si>
    <t>Starting at Thu Aug 29 2024 21:37:35 GMT-0400 (EDT)</t>
  </si>
  <si>
    <t>1ZQ-_tWxhoJ5DrbZF2IUdUIG_AqhFr1Bq</t>
  </si>
  <si>
    <t>https://drive.google.com/file/d/1ZQ-_tWxhoJ5DrbZF2IUdUIG_AqhFr1Bq/view?usp=drivesdk</t>
  </si>
  <si>
    <t>ERAH RAKMAH</t>
  </si>
  <si>
    <t>erahrahmah@gmail.com</t>
  </si>
  <si>
    <t>5389</t>
  </si>
  <si>
    <t>1X4ePoP7G70kUhsDH90ypS6cZAFVauVZp</t>
  </si>
  <si>
    <t>https://drive.google.com/file/d/1X4ePoP7G70kUhsDH90ypS6cZAFVauVZp/view?usp=drivesdk</t>
  </si>
  <si>
    <t>Berita Estu Widodo, S.Kom.</t>
  </si>
  <si>
    <t>si.b.estu@gmail.com</t>
  </si>
  <si>
    <t>5390</t>
  </si>
  <si>
    <t>1pBYhElJE2ua0cETMJvsvV85V3uqwwyYh</t>
  </si>
  <si>
    <t>https://drive.google.com/file/d/1pBYhElJE2ua0cETMJvsvV85V3uqwwyYh/view?usp=drivesdk</t>
  </si>
  <si>
    <t>NIRA RAHMIATI,SE</t>
  </si>
  <si>
    <t>nirarahmiati250985@gmail.com</t>
  </si>
  <si>
    <t>5391</t>
  </si>
  <si>
    <t>https://drive.google.com/file/d/1OwnVNzZDeSRKMqLB_I3bTwFe9IqruDAC/view?usp=drivesdk</t>
  </si>
  <si>
    <t>1OwnVNzZDeSRKMqLB_I3bTwFe9IqruDAC</t>
  </si>
  <si>
    <t>1NLA6TX_jw-OKyT9uP_z6Pr2g2odd_jPE</t>
  </si>
  <si>
    <t>https://drive.google.com/file/d/1NLA6TX_jw-OKyT9uP_z6Pr2g2odd_jPE/view?usp=drivesdk</t>
  </si>
  <si>
    <t>SRIYANTI</t>
  </si>
  <si>
    <t>srysri605@gmail.com</t>
  </si>
  <si>
    <t>5392</t>
  </si>
  <si>
    <t>https://drive.google.com/file/d/1w8Vzi0INm4JFdHv8ta5tKPCqXOxYxzM2/view?usp=drivesdk</t>
  </si>
  <si>
    <t>1w8Vzi0INm4JFdHv8ta5tKPCqXOxYxzM2</t>
  </si>
  <si>
    <t>13Kdt3O6Dwg9NMnWc0wMJt2oLR0_dnMn4</t>
  </si>
  <si>
    <t>https://drive.google.com/file/d/13Kdt3O6Dwg9NMnWc0wMJt2oLR0_dnMn4/view?usp=drivesdk</t>
  </si>
  <si>
    <t>Document successfully created; Document successfully merged; PDF created; !!Error Sending Emails: Service invoked too many times for one day: email.; Manually run by ecertificate75@gmail.com; Timestamp: Sep 3 2024 1:37 AM</t>
  </si>
  <si>
    <t>SEPTIN MARLINA ANGKASAWATI, S.Sos</t>
  </si>
  <si>
    <t>septinmarlinaangkasawati@gmail.com</t>
  </si>
  <si>
    <t>5393</t>
  </si>
  <si>
    <t>https://drive.google.com/file/d/13xUlOWearJfSKMC9TOIFeo9DoY5yZ655/view?usp=drivesdk</t>
  </si>
  <si>
    <t>13xUlOWearJfSKMC9TOIFeo9DoY5yZ655</t>
  </si>
  <si>
    <t>1DHMVrNBMWwUl2NOG4AzjZRt-vKb9D9ri</t>
  </si>
  <si>
    <t>https://drive.google.com/file/d/1DHMVrNBMWwUl2NOG4AzjZRt-vKb9D9ri/view?usp=drivesdk</t>
  </si>
  <si>
    <t>ELLAN FEDDELIA</t>
  </si>
  <si>
    <t>ellanfedelia32@gmail.com</t>
  </si>
  <si>
    <t>5394</t>
  </si>
  <si>
    <t>https://drive.google.com/file/d/1FF5Z8PCQNSDrLytkNk3F2PSq-tH_sJic/view?usp=drivesdk</t>
  </si>
  <si>
    <t>1FF5Z8PCQNSDrLytkNk3F2PSq-tH_sJic</t>
  </si>
  <si>
    <t>1e3HakraW370kNfYMN_RaiKqJN3D9TVOv</t>
  </si>
  <si>
    <t>https://drive.google.com/file/d/1e3HakraW370kNfYMN_RaiKqJN3D9TVOv/view?usp=drivesdk</t>
  </si>
  <si>
    <t>TEGUH SARJANTO</t>
  </si>
  <si>
    <t>teguhsarjanto@gmail.com</t>
  </si>
  <si>
    <t>5395</t>
  </si>
  <si>
    <t>https://drive.google.com/file/d/1GaRWCmhCnpL7H7VYAMDN4M8IAdjkzMIt/view?usp=drivesdk</t>
  </si>
  <si>
    <t>1GaRWCmhCnpL7H7VYAMDN4M8IAdjkzMIt</t>
  </si>
  <si>
    <t>12M415gfvCWl8M2gZvjuqS1DPs6Ta7Kgx</t>
  </si>
  <si>
    <t>https://drive.google.com/file/d/12M415gfvCWl8M2gZvjuqS1DPs6Ta7Kgx/view?usp=drivesdk</t>
  </si>
  <si>
    <t>SUHERMAN DG SITUJU KASO, A.MD.KOM.</t>
  </si>
  <si>
    <t>suherman333@gmail.com</t>
  </si>
  <si>
    <t>5396</t>
  </si>
  <si>
    <t>https://drive.google.com/file/d/1T-5GyFPTL-gv8146Mol1bOYzy5zsXLN7/view?usp=drivesdk</t>
  </si>
  <si>
    <t>1T-5GyFPTL-gv8146Mol1bOYzy5zsXLN7</t>
  </si>
  <si>
    <t>1Dooj5OiOaahnKuN-GyiTmH3z4Kxz2uAd</t>
  </si>
  <si>
    <t>https://drive.google.com/file/d/1Dooj5OiOaahnKuN-GyiTmH3z4Kxz2uAd/view?usp=drivesdk</t>
  </si>
  <si>
    <t>MUHAMMAD ANHER</t>
  </si>
  <si>
    <t>mohammadanher001@gmail.com</t>
  </si>
  <si>
    <t>5397</t>
  </si>
  <si>
    <t>Starting at Thu Aug 29 2024 21:37:45 GMT-0400 (EDT)</t>
  </si>
  <si>
    <t>13Bv5fP5QHUl1prnVltaz8D6Lt8q5MEt0</t>
  </si>
  <si>
    <t>https://drive.google.com/file/d/13Bv5fP5QHUl1prnVltaz8D6Lt8q5MEt0/view?usp=drivesdk</t>
  </si>
  <si>
    <t>Document successfully created; Document successfully merged; PDF created; !!Error Sending Emails: Service invoked too many times for one day: email.; Manually run by ecertificate75@gmail.com; Timestamp: Sep 3 2024 1:38 AM</t>
  </si>
  <si>
    <t>SUBARI HARTONO, S.E.</t>
  </si>
  <si>
    <t>bari.hartono96@gmail.com</t>
  </si>
  <si>
    <t>5398</t>
  </si>
  <si>
    <t>1Z8JDQ6BZhJ4_C1p4B2NDhl0om095o36i</t>
  </si>
  <si>
    <t>https://drive.google.com/file/d/1Z8JDQ6BZhJ4_C1p4B2NDhl0om095o36i/view?usp=drivesdk</t>
  </si>
  <si>
    <t>SUSMIATI.,SE</t>
  </si>
  <si>
    <t>susmiatichaby@gmail.com</t>
  </si>
  <si>
    <t>5399</t>
  </si>
  <si>
    <t>https://drive.google.com/file/d/1HCE1wzWmrTy57_IOG7T2GcpxKCBC5vWd/view?usp=drivesdk</t>
  </si>
  <si>
    <t>1HCE1wzWmrTy57_IOG7T2GcpxKCBC5vWd</t>
  </si>
  <si>
    <t>1jZZ5HRtgd49ZFmsIp8M-ca8Xlpbl2SiX</t>
  </si>
  <si>
    <t>https://drive.google.com/file/d/1jZZ5HRtgd49ZFmsIp8M-ca8Xlpbl2SiX/view?usp=drivesdk</t>
  </si>
  <si>
    <t>SERLI MUFIDDAH</t>
  </si>
  <si>
    <t>mbkserly32@gmail.com</t>
  </si>
  <si>
    <t>5400</t>
  </si>
  <si>
    <t>https://drive.google.com/file/d/149akmiz0x0S_-_By7VM8IK30kU8w7RQx/view?usp=drivesdk</t>
  </si>
  <si>
    <t>149akmiz0x0S_-_By7VM8IK30kU8w7RQx</t>
  </si>
  <si>
    <t>18gUhZmmfHzs5ReajWZ2aZ-akRG-mLKco</t>
  </si>
  <si>
    <t>https://drive.google.com/file/d/18gUhZmmfHzs5ReajWZ2aZ-akRG-mLKco/view?usp=drivesdk</t>
  </si>
  <si>
    <t>Ns SURYANI Skep</t>
  </si>
  <si>
    <t>suryani0616@gmail.com</t>
  </si>
  <si>
    <t>5401</t>
  </si>
  <si>
    <t>https://drive.google.com/file/d/1bR82uYlElKH8fJNS4zrcn1VdknWVEbLS/view?usp=drivesdk</t>
  </si>
  <si>
    <t>1bR82uYlElKH8fJNS4zrcn1VdknWVEbLS</t>
  </si>
  <si>
    <t>14XcZnc_psI2ddLg9z5EH1vtfGpenFAdi</t>
  </si>
  <si>
    <t>https://drive.google.com/file/d/14XcZnc_psI2ddLg9z5EH1vtfGpenFAdi/view?usp=drivesdk</t>
  </si>
  <si>
    <t>IRAWATI GIAN KEMUNING, S.Kom</t>
  </si>
  <si>
    <t>iragiant6@gmail.com</t>
  </si>
  <si>
    <t>5402</t>
  </si>
  <si>
    <t>https://drive.google.com/file/d/1C5a79B3nurqmgkMMbOQJyBVRrEBa2LYq/view?usp=drivesdk</t>
  </si>
  <si>
    <t>1C5a79B3nurqmgkMMbOQJyBVRrEBa2LYq</t>
  </si>
  <si>
    <t>1MYj73MDpyP68-agFMCzCbTwPXMUH_ncW</t>
  </si>
  <si>
    <t>https://drive.google.com/file/d/1MYj73MDpyP68-agFMCzCbTwPXMUH_ncW/view?usp=drivesdk</t>
  </si>
  <si>
    <t>Document successfully created; Document successfully merged; PDF created; !!Error Sending Emails: Service invoked too many times for one day: email.; Manually run by ecertificate75@gmail.com; Timestamp: Sep 3 2024 1:39 AM</t>
  </si>
  <si>
    <t>NURCAHYONO</t>
  </si>
  <si>
    <t>yoyoktebe@gmail.com</t>
  </si>
  <si>
    <t>5403</t>
  </si>
  <si>
    <t>https://drive.google.com/file/d/10w8UQqA0Y3w2Mq5uYULzKfPpaJ8EZcdc/view?usp=drivesdk</t>
  </si>
  <si>
    <t>10w8UQqA0Y3w2Mq5uYULzKfPpaJ8EZcdc</t>
  </si>
  <si>
    <t>1e5hBXJzE3Mak2EtubHUgKIGDEJoBtwoG</t>
  </si>
  <si>
    <t>https://drive.google.com/file/d/1e5hBXJzE3Mak2EtubHUgKIGDEJoBtwoG/view?usp=drivesdk</t>
  </si>
  <si>
    <t>SUTIKTO, S.H.</t>
  </si>
  <si>
    <t>imamsutikto@gmail.com</t>
  </si>
  <si>
    <t>5404</t>
  </si>
  <si>
    <t>https://drive.google.com/file/d/1ySpy4KeaHjZ2JV45h-QM6wbANoIWKMrv/view?usp=drivesdk</t>
  </si>
  <si>
    <t>Document successfully created; Document successfully merged; PDF created; !!Error Sending Emails: Service invoked too many times for one day: email.; Run via form trigger as ecertificate75@gmail.com; Timestamp: Aug 29 2024 9:39 PM</t>
  </si>
  <si>
    <t>1ySpy4KeaHjZ2JV45h-QM6wbANoIWKMrv</t>
  </si>
  <si>
    <t>1zaZtrcPhr_493TJULn_n7urW6hPp437T</t>
  </si>
  <si>
    <t>https://drive.google.com/file/d/1zaZtrcPhr_493TJULn_n7urW6hPp437T/view?usp=drivesdk</t>
  </si>
  <si>
    <t>ADIK SUKARNO PUTRI SWASTANTI, SPd.</t>
  </si>
  <si>
    <t>tantiputri109@gmail.com</t>
  </si>
  <si>
    <t>5405</t>
  </si>
  <si>
    <t>https://drive.google.com/file/d/1CI1-spUDKIHRSbwH7No-uNUsgsXyVpVg/view?usp=drivesdk</t>
  </si>
  <si>
    <t>1CI1-spUDKIHRSbwH7No-uNUsgsXyVpVg</t>
  </si>
  <si>
    <t>1jbUNE0SwEMfGT34umJpXy1PFoX_70_KH</t>
  </si>
  <si>
    <t>https://drive.google.com/file/d/1jbUNE0SwEMfGT34umJpXy1PFoX_70_KH/view?usp=drivesdk</t>
  </si>
  <si>
    <t>DEWI LESTARI, Amd.Kep</t>
  </si>
  <si>
    <t>dewi.misha99@gmail.com</t>
  </si>
  <si>
    <t>5406</t>
  </si>
  <si>
    <t>https://drive.google.com/file/d/1XLV-WcJCwV7rnQ8mYYc5hI-oJCZ_XgcH/view?usp=drivesdk</t>
  </si>
  <si>
    <t>1XLV-WcJCwV7rnQ8mYYc5hI-oJCZ_XgcH</t>
  </si>
  <si>
    <t>1TIFyCf1Z71aYfWXxJ5P4LDbJeBSZNcqu</t>
  </si>
  <si>
    <t>https://drive.google.com/file/d/1TIFyCf1Z71aYfWXxJ5P4LDbJeBSZNcqu/view?usp=drivesdk</t>
  </si>
  <si>
    <t>ARIE ASMAWATI, S.E.</t>
  </si>
  <si>
    <t>arie.asmawati@gmail.com</t>
  </si>
  <si>
    <t>5407</t>
  </si>
  <si>
    <t>https://drive.google.com/file/d/1vMVgP84aCW2Fkid4WjF6y8jDetI17Fx0/view?usp=drivesdk</t>
  </si>
  <si>
    <t>Document successfully created; Document successfully merged; PDF created; !!Error Sending Emails: Service invoked too many times for one day: email.; Run via form trigger as ecertificate75@gmail.com; Timestamp: Aug 29 2024 9:40 PM</t>
  </si>
  <si>
    <t>1vMVgP84aCW2Fkid4WjF6y8jDetI17Fx0</t>
  </si>
  <si>
    <t>1ZM0rArSQYs8w5goH8DZqR9W1yf8gpXM1</t>
  </si>
  <si>
    <t>https://drive.google.com/file/d/1ZM0rArSQYs8w5goH8DZqR9W1yf8gpXM1/view?usp=drivesdk</t>
  </si>
  <si>
    <t>Document successfully created; Document successfully merged; PDF created; !!Error Sending Emails: Service invoked too many times for one day: email.; Manually run by ecertificate75@gmail.com; Timestamp: Sep 3 2024 1:40 AM</t>
  </si>
  <si>
    <t>RAHMAT, S.H.</t>
  </si>
  <si>
    <t>inuyashae_44484@yahoo.co.id</t>
  </si>
  <si>
    <t>5408</t>
  </si>
  <si>
    <t>https://drive.google.com/file/d/1ZZ_TcENdTP_CGDd9kH0pOoOkPUnqCwNL/view?usp=drivesdk</t>
  </si>
  <si>
    <t>1ZZ_TcENdTP_CGDd9kH0pOoOkPUnqCwNL</t>
  </si>
  <si>
    <t>1b9AigD3zUqVxfkzudxDm0hKa4TKE-pyB</t>
  </si>
  <si>
    <t>https://drive.google.com/file/d/1b9AigD3zUqVxfkzudxDm0hKa4TKE-pyB/view?usp=drivesdk</t>
  </si>
  <si>
    <t>JUNARSIH</t>
  </si>
  <si>
    <t>kaurtu.propam@gmail.com</t>
  </si>
  <si>
    <t>5409</t>
  </si>
  <si>
    <t>https://drive.google.com/file/d/1YQ_L2E8VXWdcCeO5I41LOLMG26IytQ_N/view?usp=drivesdk</t>
  </si>
  <si>
    <t>1YQ_L2E8VXWdcCeO5I41LOLMG26IytQ_N</t>
  </si>
  <si>
    <t>11LQG1WBduRbQz78eefm4sj7XXqeYP_IR</t>
  </si>
  <si>
    <t>https://drive.google.com/file/d/11LQG1WBduRbQz78eefm4sj7XXqeYP_IR/view?usp=drivesdk</t>
  </si>
  <si>
    <t>mayersamosir10@gmail.com</t>
  </si>
  <si>
    <t>5410</t>
  </si>
  <si>
    <t>https://drive.google.com/file/d/1fZTwLp0PVJYMedf7wLnjhiTgwzPUldVx/view?usp=drivesdk</t>
  </si>
  <si>
    <t>1fZTwLp0PVJYMedf7wLnjhiTgwzPUldVx</t>
  </si>
  <si>
    <t>1kD4MdRKDtBFRF7qJhUOUAzYyyQZYn9Hg</t>
  </si>
  <si>
    <t>https://drive.google.com/file/d/1kD4MdRKDtBFRF7qJhUOUAzYyyQZYn9Hg/view?usp=drivesdk</t>
  </si>
  <si>
    <t>MAWAR MELATI MUIS</t>
  </si>
  <si>
    <t>mawarmelatimuis2@gmail.com</t>
  </si>
  <si>
    <t>5411</t>
  </si>
  <si>
    <t>https://drive.google.com/file/d/1jPdarxhAoAumun1nwFSH-8RD-54F8DiC/view?usp=drivesdk</t>
  </si>
  <si>
    <t>1jPdarxhAoAumun1nwFSH-8RD-54F8DiC</t>
  </si>
  <si>
    <t>1vmgdOzZ9f2NwFFIBZ0Eg1eO6SXMCPT-4</t>
  </si>
  <si>
    <t>https://drive.google.com/file/d/1vmgdOzZ9f2NwFFIBZ0Eg1eO6SXMCPT-4/view?usp=drivesdk</t>
  </si>
  <si>
    <t>Document successfully created; Document successfully merged; PDF created; !!Error Sending Emails: Service invoked too many times for one day: email.; Manually run by ecertificate75@gmail.com; Timestamp: Sep 3 2024 1:41 AM</t>
  </si>
  <si>
    <t>RISKA AMELIA SARI, A.Md.Keb</t>
  </si>
  <si>
    <t>riskareynand16@gmail.com</t>
  </si>
  <si>
    <t>5412</t>
  </si>
  <si>
    <t>https://drive.google.com/file/d/1jRnuE8Opia1DnO2Z8I2ERJkghUAu0V61/view?usp=drivesdk</t>
  </si>
  <si>
    <t>1jRnuE8Opia1DnO2Z8I2ERJkghUAu0V61</t>
  </si>
  <si>
    <t>18GdovVVj3yUZeVkOaGSsvMZgTCit9UWB</t>
  </si>
  <si>
    <t>https://drive.google.com/file/d/18GdovVVj3yUZeVkOaGSsvMZgTCit9UWB/view?usp=drivesdk</t>
  </si>
  <si>
    <t>ELLYANI,SKM</t>
  </si>
  <si>
    <t>ellyaniunmuhamkm@gmail.com</t>
  </si>
  <si>
    <t>5413</t>
  </si>
  <si>
    <t>https://drive.google.com/file/d/1zjs8MmImVtwMiIoPxYCb_8ON-abca4OR/view?usp=drivesdk</t>
  </si>
  <si>
    <t>1zjs8MmImVtwMiIoPxYCb_8ON-abca4OR</t>
  </si>
  <si>
    <t>1RKQzTAQCrwcnJS14eOVJdyDs_KjCndgv</t>
  </si>
  <si>
    <t>https://drive.google.com/file/d/1RKQzTAQCrwcnJS14eOVJdyDs_KjCndgv/view?usp=drivesdk</t>
  </si>
  <si>
    <t xml:space="preserve">ANI MEI SUSANTI </t>
  </si>
  <si>
    <t>animeisikeu@gmail.com</t>
  </si>
  <si>
    <t>5414</t>
  </si>
  <si>
    <t>https://drive.google.com/file/d/1_MovZyhRcLGh2H0MH2B7rnobBX6-7_j-/view?usp=drivesdk</t>
  </si>
  <si>
    <t>1_MovZyhRcLGh2H0MH2B7rnobBX6-7_j-</t>
  </si>
  <si>
    <t>12SG9g7Q9E29f6hv3kt_qDOdn8vsaN-OD</t>
  </si>
  <si>
    <t>https://drive.google.com/file/d/12SG9g7Q9E29f6hv3kt_qDOdn8vsaN-OD/view?usp=drivesdk</t>
  </si>
  <si>
    <t>Asti Fera M, S.H., M.M</t>
  </si>
  <si>
    <t>ave0981@gmail.com</t>
  </si>
  <si>
    <t>5415</t>
  </si>
  <si>
    <t>https://drive.google.com/file/d/1u6-rlfJwJFbRccjR6_jOnGhduoK-m3sy/view?usp=drivesdk</t>
  </si>
  <si>
    <t>1u6-rlfJwJFbRccjR6_jOnGhduoK-m3sy</t>
  </si>
  <si>
    <t>1qETrpbL9FOaO1ujMRw_tYxitIxeGblyP</t>
  </si>
  <si>
    <t>https://drive.google.com/file/d/1qETrpbL9FOaO1ujMRw_tYxitIxeGblyP/view?usp=drivesdk</t>
  </si>
  <si>
    <t>YUNITA TRI BUDHI MURDIATI,A.Md.Fam</t>
  </si>
  <si>
    <t>yunitatribudi6@gmail.com</t>
  </si>
  <si>
    <t>5416</t>
  </si>
  <si>
    <t>https://drive.google.com/file/d/10iP5Z3tARo1CB2R3NxgaZ85CeNQ4nway/view?usp=drivesdk</t>
  </si>
  <si>
    <t>10iP5Z3tARo1CB2R3NxgaZ85CeNQ4nway</t>
  </si>
  <si>
    <t>1jxq8923BC4Rxdv1235vfdCINS2Yy6zoH</t>
  </si>
  <si>
    <t>https://drive.google.com/file/d/1jxq8923BC4Rxdv1235vfdCINS2Yy6zoH/view?usp=drivesdk</t>
  </si>
  <si>
    <t>Document successfully created; Document successfully merged; PDF created; !!Error Sending Emails: Service invoked too many times for one day: email.; Manually run by ecertificate75@gmail.com; Timestamp: Sep 3 2024 1:42 AM</t>
  </si>
  <si>
    <t xml:space="preserve">DWI INDRYULI, A. MD. </t>
  </si>
  <si>
    <t>indywinar79@gmail.com</t>
  </si>
  <si>
    <t>5417</t>
  </si>
  <si>
    <t>https://drive.google.com/file/d/1woYbVoaKZ3XDgZs3u1dJK-ZDptqzxsb6/view?usp=drivesdk</t>
  </si>
  <si>
    <t>1woYbVoaKZ3XDgZs3u1dJK-ZDptqzxsb6</t>
  </si>
  <si>
    <t>17BjAVPPpLrPCBhXZ6QYRm2cKtmQthAr8</t>
  </si>
  <si>
    <t>https://drive.google.com/file/d/17BjAVPPpLrPCBhXZ6QYRm2cKtmQthAr8/view?usp=drivesdk</t>
  </si>
  <si>
    <t>EKA SATRIANI MUKHSAL, SKM</t>
  </si>
  <si>
    <t>eka.asrol@gmail.com</t>
  </si>
  <si>
    <t>5418</t>
  </si>
  <si>
    <t>Starting at Thu Aug 29 2024 21:38:01 GMT-0400 (EDT)</t>
  </si>
  <si>
    <t>1aC4MdgYerhjn157_lNFBR98W3gxQfNKe</t>
  </si>
  <si>
    <t>https://drive.google.com/file/d/1aC4MdgYerhjn157_lNFBR98W3gxQfNKe/view?usp=drivesdk</t>
  </si>
  <si>
    <t>MOHAMAD ASNAN</t>
  </si>
  <si>
    <t>asnanwijaya74@gmail.com</t>
  </si>
  <si>
    <t>5419</t>
  </si>
  <si>
    <t>1S96ZyGtZq1KO230IVXnxf6MV375kHsgN</t>
  </si>
  <si>
    <t>https://drive.google.com/file/d/1S96ZyGtZq1KO230IVXnxf6MV375kHsgN/view?usp=drivesdk</t>
  </si>
  <si>
    <t>HELLITA MARNI</t>
  </si>
  <si>
    <t>helitamarni@gmail.com</t>
  </si>
  <si>
    <t>5420</t>
  </si>
  <si>
    <t>134RAuxUhxcRtx1wF_756hYCRVaSdUFHS</t>
  </si>
  <si>
    <t>https://drive.google.com/file/d/134RAuxUhxcRtx1wF_756hYCRVaSdUFHS/view?usp=drivesdk</t>
  </si>
  <si>
    <t>ENDANG SRI HARTATIK</t>
  </si>
  <si>
    <t>endaaangsri@gmail.com</t>
  </si>
  <si>
    <t>5421</t>
  </si>
  <si>
    <t>1QxvpcMQwYDSfKVp2YGg4kkPf9P1VJr7x</t>
  </si>
  <si>
    <t>https://drive.google.com/file/d/1QxvpcMQwYDSfKVp2YGg4kkPf9P1VJr7x/view?usp=drivesdk</t>
  </si>
  <si>
    <t>Document successfully created; Document successfully merged; PDF created; !!Error Sending Emails: Service invoked too many times for one day: email.; Manually run by ecertificate75@gmail.com; Timestamp: Sep 3 2024 1:43 AM</t>
  </si>
  <si>
    <t>dr. LUHUR AGUS SLAMETA</t>
  </si>
  <si>
    <t>luhurslamet@gmail.com</t>
  </si>
  <si>
    <t>5422</t>
  </si>
  <si>
    <t>1EzcfMl9mvfNh6HJaKiHMOmMibUlasXLT</t>
  </si>
  <si>
    <t>https://drive.google.com/file/d/1EzcfMl9mvfNh6HJaKiHMOmMibUlasXLT/view?usp=drivesdk</t>
  </si>
  <si>
    <t>ENTIN SUARSIH</t>
  </si>
  <si>
    <t>entinsuarsih@gmail.com</t>
  </si>
  <si>
    <t>5423</t>
  </si>
  <si>
    <t>https://drive.google.com/file/d/1b16B56pG-6zWjwZGsDGE8DWsnLgH3RwU/view?usp=drivesdk</t>
  </si>
  <si>
    <t>1b16B56pG-6zWjwZGsDGE8DWsnLgH3RwU</t>
  </si>
  <si>
    <t>1K2IyylMMMrxO7iQhoEZTSaWchFikXdBs</t>
  </si>
  <si>
    <t>https://drive.google.com/file/d/1K2IyylMMMrxO7iQhoEZTSaWchFikXdBs/view?usp=drivesdk</t>
  </si>
  <si>
    <t xml:space="preserve">SLAMET SUTIKWO </t>
  </si>
  <si>
    <t>slametsutikwo@gmail.com</t>
  </si>
  <si>
    <t>5424</t>
  </si>
  <si>
    <t>https://drive.google.com/file/d/1pUpB4MPDYF-_XUrHhldz9Rr4sxetJ4_C/view?usp=drivesdk</t>
  </si>
  <si>
    <t>1pUpB4MPDYF-_XUrHhldz9Rr4sxetJ4_C</t>
  </si>
  <si>
    <t>11D3b2jQBqMm0WpbgDCx2H3YVk6yV1Z9G</t>
  </si>
  <si>
    <t>https://drive.google.com/file/d/11D3b2jQBqMm0WpbgDCx2H3YVk6yV1Z9G/view?usp=drivesdk</t>
  </si>
  <si>
    <t>SRI MULYANAH</t>
  </si>
  <si>
    <t>srimoel73@gmail.com</t>
  </si>
  <si>
    <t>5425</t>
  </si>
  <si>
    <t>https://drive.google.com/file/d/1-bhwjvfh0mYrbMZjROmvckQgoynTlr2t/view?usp=drivesdk</t>
  </si>
  <si>
    <t>1-bhwjvfh0mYrbMZjROmvckQgoynTlr2t</t>
  </si>
  <si>
    <t>1moPJbkPC9WA_vnKFD9_buKTVnO0A-pmz</t>
  </si>
  <si>
    <t>https://drive.google.com/file/d/1moPJbkPC9WA_vnKFD9_buKTVnO0A-pmz/view?usp=drivesdk</t>
  </si>
  <si>
    <t xml:space="preserve">IMELDA RUSLI </t>
  </si>
  <si>
    <t>imeldarusli1979@gmail.com</t>
  </si>
  <si>
    <t>5426</t>
  </si>
  <si>
    <t>https://drive.google.com/file/d/1A65zJFQM-rBr5N3c50ObBbbtzZbAcL1Y/view?usp=drivesdk</t>
  </si>
  <si>
    <t>1A65zJFQM-rBr5N3c50ObBbbtzZbAcL1Y</t>
  </si>
  <si>
    <t>1Ip2rX4Me30gbrFn_JBostbYi-A-ew6rJ</t>
  </si>
  <si>
    <t>https://drive.google.com/file/d/1Ip2rX4Me30gbrFn_JBostbYi-A-ew6rJ/view?usp=drivesdk</t>
  </si>
  <si>
    <t>Document successfully created; Document successfully merged; PDF created; !!Error Sending Emails: Service invoked too many times for one day: email.; Manually run by ecertificate75@gmail.com; Timestamp: Sep 3 2024 1:44 AM</t>
  </si>
  <si>
    <t>CUHANA</t>
  </si>
  <si>
    <t>cuhana22@gmail.com</t>
  </si>
  <si>
    <t>5427</t>
  </si>
  <si>
    <t>https://drive.google.com/file/d/1RCdYZ3IqYTNyMC1O5RxggHXpSnMI970o/view?usp=drivesdk</t>
  </si>
  <si>
    <t>1RCdYZ3IqYTNyMC1O5RxggHXpSnMI970o</t>
  </si>
  <si>
    <t>1Lo6PibgLAMiCJdJBPJ-GK-zBcHXw3fKO</t>
  </si>
  <si>
    <t>https://drive.google.com/file/d/1Lo6PibgLAMiCJdJBPJ-GK-zBcHXw3fKO/view?usp=drivesdk</t>
  </si>
  <si>
    <t>Dr. AHMAD RUDY SIHALOHO, M.A.</t>
  </si>
  <si>
    <t>arudysihaloho@gmail.com</t>
  </si>
  <si>
    <t>5428</t>
  </si>
  <si>
    <t>Starting at Thu Aug 29 2024 21:38:06 GMT-0400 (EDT)</t>
  </si>
  <si>
    <t>1ZAGrnLRsHEP1YKkV9q6qv0PoTwRnZHZ7</t>
  </si>
  <si>
    <t>https://drive.google.com/file/d/1ZAGrnLRsHEP1YKkV9q6qv0PoTwRnZHZ7/view?usp=drivesdk</t>
  </si>
  <si>
    <t xml:space="preserve">TANTY  RAHAYU </t>
  </si>
  <si>
    <t>tantyrahayu28@gmail.com</t>
  </si>
  <si>
    <t>5429</t>
  </si>
  <si>
    <t>1CG1JcYlGb3HASGZRVYZDig0lYY_GUGlM</t>
  </si>
  <si>
    <t>https://drive.google.com/file/d/1CG1JcYlGb3HASGZRVYZDig0lYY_GUGlM/view?usp=drivesdk</t>
  </si>
  <si>
    <t>SULFIAH</t>
  </si>
  <si>
    <t>sulfiah1972@gmail.com</t>
  </si>
  <si>
    <t>5430</t>
  </si>
  <si>
    <t>https://drive.google.com/file/d/1vP0bVgj2altdXaa_CXYI0KIJ74C3SeM6/view?usp=drivesdk</t>
  </si>
  <si>
    <t>1vP0bVgj2altdXaa_CXYI0KIJ74C3SeM6</t>
  </si>
  <si>
    <t>1poYB9dukLmQnO76nZ9-OTdGUIgVLpAAa</t>
  </si>
  <si>
    <t>https://drive.google.com/file/d/1poYB9dukLmQnO76nZ9-OTdGUIgVLpAAa/view?usp=drivesdk</t>
  </si>
  <si>
    <t>Document successfully created; Document successfully merged; PDF created; !!Error Sending Emails: Service invoked too many times for one day: email.; Manually run by ecertificate75@gmail.com; Timestamp: Sep 3 2024 1:45 AM</t>
  </si>
  <si>
    <t>fitriani4678@gmail.com</t>
  </si>
  <si>
    <t>5431</t>
  </si>
  <si>
    <t>https://drive.google.com/file/d/1BJLlFvUiHNyh3bkWFrQqzLiy7JyX1e8G/view?usp=drivesdk</t>
  </si>
  <si>
    <t>1BJLlFvUiHNyh3bkWFrQqzLiy7JyX1e8G</t>
  </si>
  <si>
    <t>1z52OtpU8JH1qKYb333CnSx__2PL_g68S</t>
  </si>
  <si>
    <t>https://drive.google.com/file/d/1z52OtpU8JH1qKYb333CnSx__2PL_g68S/view?usp=drivesdk</t>
  </si>
  <si>
    <t>NANANG RAHMAWANTO, S.E</t>
  </si>
  <si>
    <t>nanang.rahmawan@gmail.com</t>
  </si>
  <si>
    <t>5432</t>
  </si>
  <si>
    <t>https://drive.google.com/file/d/1Vmp8rIkc6VB1J3XpNDaBtzLRXsiglKR9/view?usp=drivesdk</t>
  </si>
  <si>
    <t>1Vmp8rIkc6VB1J3XpNDaBtzLRXsiglKR9</t>
  </si>
  <si>
    <t>1Pd85swJP7EaMk4bY647pBJIkgG3PrKjo</t>
  </si>
  <si>
    <t>https://drive.google.com/file/d/1Pd85swJP7EaMk4bY647pBJIkgG3PrKjo/view?usp=drivesdk</t>
  </si>
  <si>
    <t>I WAYAN GATOT MADIYASA, S.H.</t>
  </si>
  <si>
    <t>madiyasa1968@gmail.com</t>
  </si>
  <si>
    <t>5433</t>
  </si>
  <si>
    <t>https://drive.google.com/file/d/1bqrdk7cwgc3NTwEzhoTbhkjRiD_jlo2u/view?usp=drivesdk</t>
  </si>
  <si>
    <t>1bqrdk7cwgc3NTwEzhoTbhkjRiD_jlo2u</t>
  </si>
  <si>
    <t>1Q_G17xfWO-7HvvjeuApMi8z06mfH6AQ0</t>
  </si>
  <si>
    <t>https://drive.google.com/file/d/1Q_G17xfWO-7HvvjeuApMi8z06mfH6AQ0/view?usp=drivesdk</t>
  </si>
  <si>
    <t>RIBUT EKA WINARSIH</t>
  </si>
  <si>
    <t>rere.eka28@gmail.com</t>
  </si>
  <si>
    <t>5434</t>
  </si>
  <si>
    <t>https://drive.google.com/file/d/14Y_97c61qWc97KMQOcB-SFoiPR9L-Q7e/view?usp=drivesdk</t>
  </si>
  <si>
    <t>14Y_97c61qWc97KMQOcB-SFoiPR9L-Q7e</t>
  </si>
  <si>
    <t>1qUueb21Enhy-RzZjm_RXqjzZobqOrYBH</t>
  </si>
  <si>
    <t>https://drive.google.com/file/d/1qUueb21Enhy-RzZjm_RXqjzZobqOrYBH/view?usp=drivesdk</t>
  </si>
  <si>
    <t>MARFUAH,S.Kep</t>
  </si>
  <si>
    <t>marfuahurkes@gmail.com</t>
  </si>
  <si>
    <t>5435</t>
  </si>
  <si>
    <t>https://drive.google.com/file/d/15pRiXIXbwUxyd1d4HiDyVAXFpq3WeJKI/view?usp=drivesdk</t>
  </si>
  <si>
    <t>15pRiXIXbwUxyd1d4HiDyVAXFpq3WeJKI</t>
  </si>
  <si>
    <t>1oFuPeo3dqKiwLIgGElneyL2sWxGwML5P</t>
  </si>
  <si>
    <t>https://drive.google.com/file/d/1oFuPeo3dqKiwLIgGElneyL2sWxGwML5P/view?usp=drivesdk</t>
  </si>
  <si>
    <t>Document successfully created; Document successfully merged; PDF created; !!Error Sending Emails: Service invoked too many times for one day: email.; Manually run by ecertificate75@gmail.com; Timestamp: Sep 3 2024 1:46 AM</t>
  </si>
  <si>
    <t>DESMAWATI</t>
  </si>
  <si>
    <t>desmawatides72@gmail.com</t>
  </si>
  <si>
    <t>5436</t>
  </si>
  <si>
    <t>https://drive.google.com/file/d/1edp-4b7UREqgw_9t5SHloQLdGvHWDz_G/view?usp=drivesdk</t>
  </si>
  <si>
    <t>1edp-4b7UREqgw_9t5SHloQLdGvHWDz_G</t>
  </si>
  <si>
    <t>15jkm4l7geS32kCumsie-QfkZwtRCNgXX</t>
  </si>
  <si>
    <t>https://drive.google.com/file/d/15jkm4l7geS32kCumsie-QfkZwtRCNgXX/view?usp=drivesdk</t>
  </si>
  <si>
    <t>DEWI RATNAWATI</t>
  </si>
  <si>
    <t>dewiratnawati201@gmail.com</t>
  </si>
  <si>
    <t>5437</t>
  </si>
  <si>
    <t>https://drive.google.com/file/d/1alofqc6dndcc-B9rV-g1VuWJAMMICHi3/view?usp=drivesdk</t>
  </si>
  <si>
    <t>1alofqc6dndcc-B9rV-g1VuWJAMMICHi3</t>
  </si>
  <si>
    <t>1awRCIWn_o6d1rirIi10BaPQ-OPkrC9Ma</t>
  </si>
  <si>
    <t>https://drive.google.com/file/d/1awRCIWn_o6d1rirIi10BaPQ-OPkrC9Ma/view?usp=drivesdk</t>
  </si>
  <si>
    <t xml:space="preserve">HERYANI. S.H. </t>
  </si>
  <si>
    <t>heryani.abibani@gmail.com</t>
  </si>
  <si>
    <t>5438</t>
  </si>
  <si>
    <t>https://drive.google.com/file/d/1L9PKlBVYWXGcHX8cWJqtJlDhBxaSmGVP/view?usp=drivesdk</t>
  </si>
  <si>
    <t>1L9PKlBVYWXGcHX8cWJqtJlDhBxaSmGVP</t>
  </si>
  <si>
    <t>1nJA8XBoHmtPhbRQjVd1ADB0eaTXoVUNM</t>
  </si>
  <si>
    <t>https://drive.google.com/file/d/1nJA8XBoHmtPhbRQjVd1ADB0eaTXoVUNM/view?usp=drivesdk</t>
  </si>
  <si>
    <t>FAJAR ADHA</t>
  </si>
  <si>
    <t>hatake.djaroto.kakashi@gmail.com</t>
  </si>
  <si>
    <t>5439</t>
  </si>
  <si>
    <t>Starting at Thu Aug 29 2024 21:38:14 GMT-0400 (EDT)</t>
  </si>
  <si>
    <t>1vDdtyJpiuDdK_mEey1FXDpzVSuGIY4G-</t>
  </si>
  <si>
    <t>https://drive.google.com/file/d/1vDdtyJpiuDdK_mEey1FXDpzVSuGIY4G-/view?usp=drivesdk</t>
  </si>
  <si>
    <t>Document successfully created; Document successfully merged; PDF created; !!Error Sending Emails: Service invoked too many times for one day: email.; Manually run by ecertificate75@gmail.com; Timestamp: Sep 3 2024 1:47 AM</t>
  </si>
  <si>
    <t>dr FITRI MUSDALIFA</t>
  </si>
  <si>
    <t>fitrim.fm@gmail.com</t>
  </si>
  <si>
    <t>5440</t>
  </si>
  <si>
    <t>https://drive.google.com/file/d/1mjTj7B4BWXEbZDmUMCV3DfGI6EH53PoQ/view?usp=drivesdk</t>
  </si>
  <si>
    <t>1mjTj7B4BWXEbZDmUMCV3DfGI6EH53PoQ</t>
  </si>
  <si>
    <t>1VCnFLuMTkrFuwVMK-9LhC5GxOD5yEz6k</t>
  </si>
  <si>
    <t>https://drive.google.com/file/d/1VCnFLuMTkrFuwVMK-9LhC5GxOD5yEz6k/view?usp=drivesdk</t>
  </si>
  <si>
    <t>LELY TAPIANA S</t>
  </si>
  <si>
    <t>lelylelyy1981@gmail.com</t>
  </si>
  <si>
    <t>5441</t>
  </si>
  <si>
    <t>https://drive.google.com/file/d/1YTP9lkWbVNEt3sJYqg4M6wwDNPAz3ABt/view?usp=drivesdk</t>
  </si>
  <si>
    <t>1YTP9lkWbVNEt3sJYqg4M6wwDNPAz3ABt</t>
  </si>
  <si>
    <t>1NTqp_6aoNUNR_OHGNYQwp6s9EedWegP1</t>
  </si>
  <si>
    <t>https://drive.google.com/file/d/1NTqp_6aoNUNR_OHGNYQwp6s9EedWegP1/view?usp=drivesdk</t>
  </si>
  <si>
    <t>drg. DESLY A.C. LUHULIMA, M.K.M</t>
  </si>
  <si>
    <t>desly.luhulima@gmail.com</t>
  </si>
  <si>
    <t>5442</t>
  </si>
  <si>
    <t>Starting at Thu Aug 29 2024 21:38:17 GMT-0400 (EDT)</t>
  </si>
  <si>
    <t>1ckVnX0Ubnt_NQUUE4c42x2PQXWuDXOrC</t>
  </si>
  <si>
    <t>https://drive.google.com/file/d/1ckVnX0Ubnt_NQUUE4c42x2PQXWuDXOrC/view?usp=drivesdk</t>
  </si>
  <si>
    <t>SRI BUDI RAHAYU AMD KEB</t>
  </si>
  <si>
    <t>brahayu520@gmail.com</t>
  </si>
  <si>
    <t>5443</t>
  </si>
  <si>
    <t>1fW75bTvXq-JQlGW8POKrbkzBR40QfbA_</t>
  </si>
  <si>
    <t>https://drive.google.com/file/d/1fW75bTvXq-JQlGW8POKrbkzBR40QfbA_/view?usp=drivesdk</t>
  </si>
  <si>
    <t>NUR ALIYAH SH</t>
  </si>
  <si>
    <t>nuraliyahdemak71@gmail.com</t>
  </si>
  <si>
    <t>5444</t>
  </si>
  <si>
    <t>1qB6skwr4IHNkFJcgwpEYzA984lUfhR97</t>
  </si>
  <si>
    <t>https://drive.google.com/file/d/1qB6skwr4IHNkFJcgwpEYzA984lUfhR97/view?usp=drivesdk</t>
  </si>
  <si>
    <t>Document successfully created; Document successfully merged; PDF created; !!Error Sending Emails: Service invoked too many times for one day: email.; Manually run by ecertificate75@gmail.com; Timestamp: Sep 3 2024 1:48 AM</t>
  </si>
  <si>
    <t>MUHAMAD ICHLASSUL AMAL, S.Kom</t>
  </si>
  <si>
    <t>ichlarockers@gmail.com</t>
  </si>
  <si>
    <t>5445</t>
  </si>
  <si>
    <t>1ojv5N7u5xHmxhTjvQ7kmgc4zg-Dl69AT</t>
  </si>
  <si>
    <t>https://drive.google.com/file/d/1ojv5N7u5xHmxhTjvQ7kmgc4zg-Dl69AT/view?usp=drivesdk</t>
  </si>
  <si>
    <t>SRI SUSANTI</t>
  </si>
  <si>
    <t>srisusantisanti4@gmail.com</t>
  </si>
  <si>
    <t>5446</t>
  </si>
  <si>
    <t>https://drive.google.com/file/d/1k-ur6kf6HlNYxqqVVx7uKsw-ULdjqWgA/view?usp=drivesdk</t>
  </si>
  <si>
    <t>1k-ur6kf6HlNYxqqVVx7uKsw-ULdjqWgA</t>
  </si>
  <si>
    <t>1t9c5GYH_SLl-a_EqNMjpLBjnGw_Xo4qJ</t>
  </si>
  <si>
    <t>https://drive.google.com/file/d/1t9c5GYH_SLl-a_EqNMjpLBjnGw_Xo4qJ/view?usp=drivesdk</t>
  </si>
  <si>
    <t xml:space="preserve">SUSI SUSILAWATI </t>
  </si>
  <si>
    <t>susisusilawati.res@gmail.com</t>
  </si>
  <si>
    <t>5447</t>
  </si>
  <si>
    <t>Starting at Thu Aug 29 2024 21:38:24 GMT-0400 (EDT)</t>
  </si>
  <si>
    <t>1Usl-MwiPgxbBvHosSfWgMfh_MlyNbNRO</t>
  </si>
  <si>
    <t>https://drive.google.com/file/d/1Usl-MwiPgxbBvHosSfWgMfh_MlyNbNRO/view?usp=drivesdk</t>
  </si>
  <si>
    <t xml:space="preserve">JUHROH </t>
  </si>
  <si>
    <t>jj7669875@gmail.com</t>
  </si>
  <si>
    <t>5448</t>
  </si>
  <si>
    <t>1Lb--S46g2mfDE4KB1Oa7dwcHzz2OPRyb</t>
  </si>
  <si>
    <t>https://drive.google.com/file/d/1Lb--S46g2mfDE4KB1Oa7dwcHzz2OPRyb/view?usp=drivesdk</t>
  </si>
  <si>
    <t>DADANG HENDRA LESMANA</t>
  </si>
  <si>
    <t>D42NKTAHTI@GMAIL.COM</t>
  </si>
  <si>
    <t>5449</t>
  </si>
  <si>
    <t>1mcNkwsSgL3RxVvOj3H81w5QLbF0mzv_F</t>
  </si>
  <si>
    <t>https://drive.google.com/file/d/1mcNkwsSgL3RxVvOj3H81w5QLbF0mzv_F/view?usp=drivesdk</t>
  </si>
  <si>
    <t>Document successfully created; Document successfully merged; PDF created; !!Error Sending Emails: Service invoked too many times for one day: email.; Manually run by ecertificate75@gmail.com; Timestamp: Sep 3 2024 1:49 AM</t>
  </si>
  <si>
    <t>IMELDA S.SI</t>
  </si>
  <si>
    <t>imeldaimelda709@gmail.com</t>
  </si>
  <si>
    <t>5450</t>
  </si>
  <si>
    <t>1qvTTqmFuVGwe80Ca3KchKuANbf_o-4i0</t>
  </si>
  <si>
    <t>https://drive.google.com/file/d/1qvTTqmFuVGwe80Ca3KchKuANbf_o-4i0/view?usp=drivesdk</t>
  </si>
  <si>
    <t>CICI SETIYAWATI, S.M.</t>
  </si>
  <si>
    <t>cicireskp84@gmail.com</t>
  </si>
  <si>
    <t>5451</t>
  </si>
  <si>
    <t>1U0YuGtZw9m79KPPCpAmxANDaCASrk32U</t>
  </si>
  <si>
    <t>https://drive.google.com/file/d/1U0YuGtZw9m79KPPCpAmxANDaCASrk32U/view?usp=drivesdk</t>
  </si>
  <si>
    <t>LANDRI SAPUTRA, A.MD.KEP</t>
  </si>
  <si>
    <t>saputralandri@gmail.com</t>
  </si>
  <si>
    <t>5452</t>
  </si>
  <si>
    <t>1qTDQG5WbHaXECS26lkYNV_g22fq77jJW</t>
  </si>
  <si>
    <t>https://drive.google.com/file/d/1qTDQG5WbHaXECS26lkYNV_g22fq77jJW/view?usp=drivesdk</t>
  </si>
  <si>
    <t>MIRA WYDIA</t>
  </si>
  <si>
    <t>sipropamrestabalong@gmail.com</t>
  </si>
  <si>
    <t>5453</t>
  </si>
  <si>
    <t>Starting at Thu Aug 29 2024 21:38:27 GMT-0400 (EDT)</t>
  </si>
  <si>
    <t>1r_exsAxbzd_PzoRJ-1KFAdHNPHdGzZ32</t>
  </si>
  <si>
    <t>https://drive.google.com/file/d/1r_exsAxbzd_PzoRJ-1KFAdHNPHdGzZ32/view?usp=drivesdk</t>
  </si>
  <si>
    <t>Document successfully created; Document successfully merged; PDF created; !!Error Sending Emails: Service invoked too many times for one day: email.; Manually run by ecertificate75@gmail.com; Timestamp: Sep 3 2024 1:50 AM</t>
  </si>
  <si>
    <t>ANDI MURNI</t>
  </si>
  <si>
    <t>andifitry80@gmail.com</t>
  </si>
  <si>
    <t>5454</t>
  </si>
  <si>
    <t>1EyfSKum5FtBjeL78gQBzoDn5Cq5EMbjt</t>
  </si>
  <si>
    <t>https://drive.google.com/file/d/1EyfSKum5FtBjeL78gQBzoDn5Cq5EMbjt/view?usp=drivesdk</t>
  </si>
  <si>
    <t>Dian Sri Ulina Tambunan</t>
  </si>
  <si>
    <t>dsriulinatambunan@gmail.com</t>
  </si>
  <si>
    <t>5455</t>
  </si>
  <si>
    <t>1h07wMB5mDNy8hdPDUp_IgpUHXqhH8erM</t>
  </si>
  <si>
    <t>https://drive.google.com/file/d/1h07wMB5mDNy8hdPDUp_IgpUHXqhH8erM/view?usp=drivesdk</t>
  </si>
  <si>
    <t>WAHYU ARIANTO</t>
  </si>
  <si>
    <t>wahyuarianto2012@gmail.com</t>
  </si>
  <si>
    <t>5456</t>
  </si>
  <si>
    <t>1Lf-w3izHhMkUsiVvmJWAysEYTdB2OqlC</t>
  </si>
  <si>
    <t>https://drive.google.com/file/d/1Lf-w3izHhMkUsiVvmJWAysEYTdB2OqlC/view?usp=drivesdk</t>
  </si>
  <si>
    <t>JONI APRIADI</t>
  </si>
  <si>
    <t>msjoni224@gmail.com</t>
  </si>
  <si>
    <t>5457</t>
  </si>
  <si>
    <t>1VuHb9GaCbZjleVdhToERAD3kWncagoWl</t>
  </si>
  <si>
    <t>https://drive.google.com/file/d/1VuHb9GaCbZjleVdhToERAD3kWncagoWl/view?usp=drivesdk</t>
  </si>
  <si>
    <t>RAUFIL HUDA, S.E.</t>
  </si>
  <si>
    <t>raufil.koto@gmail.com</t>
  </si>
  <si>
    <t>5458</t>
  </si>
  <si>
    <t>Starting at Thu Aug 29 2024 21:38:31 GMT-0400 (EDT)</t>
  </si>
  <si>
    <t>1K_AGHVdKDhQTwjtvggAvQKxha8UJiQpc</t>
  </si>
  <si>
    <t>https://drive.google.com/file/d/1K_AGHVdKDhQTwjtvggAvQKxha8UJiQpc/view?usp=drivesdk</t>
  </si>
  <si>
    <t>Document successfully created; Document successfully merged; PDF created; !!Error Sending Emails: Service invoked too many times for one day: email.; Manually run by ecertificate75@gmail.com; Timestamp: Sep 3 2024 1:51 AM</t>
  </si>
  <si>
    <t>5459</t>
  </si>
  <si>
    <t>1HL6WnTgCy-x8FaJTcYm9QaoCvAOyU8QX</t>
  </si>
  <si>
    <t>https://drive.google.com/file/d/1HL6WnTgCy-x8FaJTcYm9QaoCvAOyU8QX/view?usp=drivesdk</t>
  </si>
  <si>
    <t>POLA ROMAULI BR MANULLANG</t>
  </si>
  <si>
    <t>binmasrestebing@gmail.com</t>
  </si>
  <si>
    <t>5460</t>
  </si>
  <si>
    <t>1Z1lHMFQ2fiCu2EIsHL32LjBqca-1BXT0</t>
  </si>
  <si>
    <t>https://drive.google.com/file/d/1Z1lHMFQ2fiCu2EIsHL32LjBqca-1BXT0/view?usp=drivesdk</t>
  </si>
  <si>
    <t>JENNY SIAHAAN</t>
  </si>
  <si>
    <t>jennysiahaan012@gmail.com</t>
  </si>
  <si>
    <t>5461</t>
  </si>
  <si>
    <t>12kLMznMAJC95dsUFIJAfmP1wOB0HAIGE</t>
  </si>
  <si>
    <t>https://drive.google.com/file/d/12kLMznMAJC95dsUFIJAfmP1wOB0HAIGE/view?usp=drivesdk</t>
  </si>
  <si>
    <t>nurlela197005@gmail.com</t>
  </si>
  <si>
    <t>5462</t>
  </si>
  <si>
    <t>Starting at Thu Aug 29 2024 21:38:35 GMT-0400 (EDT)</t>
  </si>
  <si>
    <t>1HMmeZ-oYGZ4EyboGQbHCzWYr7aarBpW0</t>
  </si>
  <si>
    <t>https://drive.google.com/file/d/1HMmeZ-oYGZ4EyboGQbHCzWYr7aarBpW0/view?usp=drivesdk</t>
  </si>
  <si>
    <t>Document successfully created; Document successfully merged; PDF created; !!Error Sending Emails: Service invoked too many times for one day: email.; Manually run by ecertificate75@gmail.com; Timestamp: Sep 3 2024 1:52 AM</t>
  </si>
  <si>
    <t>NS.RINI ANGGRAINI,S.KEP</t>
  </si>
  <si>
    <t>rinianggraini080480@gmail.com</t>
  </si>
  <si>
    <t>5463</t>
  </si>
  <si>
    <t>1C2dPU60j29ehSFZv0wR22rDveYIfqfvT</t>
  </si>
  <si>
    <t>https://drive.google.com/file/d/1C2dPU60j29ehSFZv0wR22rDveYIfqfvT/view?usp=drivesdk</t>
  </si>
  <si>
    <t>agussalimlaka538@gmail.com</t>
  </si>
  <si>
    <t>5464</t>
  </si>
  <si>
    <t>Starting at Thu Aug 29 2024 21:38:37 GMT-0400 (EDT)</t>
  </si>
  <si>
    <t>1zcLQfYFEj_b3Ictez9WK2wyE6JlmFuBP</t>
  </si>
  <si>
    <t>https://drive.google.com/file/d/1zcLQfYFEj_b3Ictez9WK2wyE6JlmFuBP/view?usp=drivesdk</t>
  </si>
  <si>
    <t xml:space="preserve">DARMANSYAH </t>
  </si>
  <si>
    <t>darmansyahd46@gmail.com</t>
  </si>
  <si>
    <t>5465</t>
  </si>
  <si>
    <t>1qOLJc5bkdy311YmAmyixM9uKo5oHnw6A</t>
  </si>
  <si>
    <t>https://drive.google.com/file/d/1qOLJc5bkdy311YmAmyixM9uKo5oHnw6A/view?usp=drivesdk</t>
  </si>
  <si>
    <t>MUDOFIR</t>
  </si>
  <si>
    <t>abimudofir@gmail.com</t>
  </si>
  <si>
    <t>5466</t>
  </si>
  <si>
    <t>1vJYSv-P60gpSHX0Q7qCSAX7t4T1Z0fX5</t>
  </si>
  <si>
    <t>https://drive.google.com/file/d/1vJYSv-P60gpSHX0Q7qCSAX7t4T1Z0fX5/view?usp=drivesdk</t>
  </si>
  <si>
    <t>ROCHMAN</t>
  </si>
  <si>
    <t>rochm806@gmail.com</t>
  </si>
  <si>
    <t>5467</t>
  </si>
  <si>
    <t>Starting at Thu Aug 29 2024 21:38:40 GMT-0400 (EDT)</t>
  </si>
  <si>
    <t>1ceTH8FLykA6iirDcFEmznlLlNJ8fYvYq</t>
  </si>
  <si>
    <t>https://drive.google.com/file/d/1ceTH8FLykA6iirDcFEmznlLlNJ8fYvYq/view?usp=drivesdk</t>
  </si>
  <si>
    <t>Document successfully created; Document successfully merged; PDF created; !!Error Sending Emails: Service invoked too many times for one day: email.; Manually run by ecertificate75@gmail.com; Timestamp: Sep 3 2024 1:53 AM</t>
  </si>
  <si>
    <t xml:space="preserve">SINUNG SETIADI </t>
  </si>
  <si>
    <t>sinungsetiadi8@gmail.com</t>
  </si>
  <si>
    <t>5468</t>
  </si>
  <si>
    <t>12_dNAjh1H0wPANCu6Men8uv7n8QM4VZG</t>
  </si>
  <si>
    <t>https://drive.google.com/file/d/12_dNAjh1H0wPANCu6Men8uv7n8QM4VZG/view?usp=drivesdk</t>
  </si>
  <si>
    <t xml:space="preserve">TASMIAJI, A. MD. </t>
  </si>
  <si>
    <t>tasmiajikarangindah@gmail.com</t>
  </si>
  <si>
    <t>5469</t>
  </si>
  <si>
    <t>Starting at Thu Aug 29 2024 21:38:44 GMT-0400 (EDT)</t>
  </si>
  <si>
    <t>1g8AglO5PJlwMe_UNjQnKLGnQ8jww4EIF</t>
  </si>
  <si>
    <t>https://drive.google.com/file/d/1g8AglO5PJlwMe_UNjQnKLGnQ8jww4EIF/view?usp=drivesdk</t>
  </si>
  <si>
    <t>MISNAINI , SE</t>
  </si>
  <si>
    <t>misnainibengkulu@gmail.com</t>
  </si>
  <si>
    <t>5470</t>
  </si>
  <si>
    <t>1q8L-9z9zySNASl1p3SOUn2jB5AiTkVgc</t>
  </si>
  <si>
    <t>https://drive.google.com/file/d/1q8L-9z9zySNASl1p3SOUn2jB5AiTkVgc/view?usp=drivesdk</t>
  </si>
  <si>
    <t>TRISNI KURNIATI, S.H</t>
  </si>
  <si>
    <t>Trisnikurniati2019@gmail.com</t>
  </si>
  <si>
    <t>5471</t>
  </si>
  <si>
    <t>https://drive.google.com/file/d/1xuAd03lAUrWkqM59CbtWSr-Eq5oAfem9/view?usp=drivesdk</t>
  </si>
  <si>
    <t>1xuAd03lAUrWkqM59CbtWSr-Eq5oAfem9</t>
  </si>
  <si>
    <t>1DNLKcdnNBjhf_WdP1jdrAbwwijvlQF8C</t>
  </si>
  <si>
    <t>https://drive.google.com/file/d/1DNLKcdnNBjhf_WdP1jdrAbwwijvlQF8C/view?usp=drivesdk</t>
  </si>
  <si>
    <t>DWI ASTUTI</t>
  </si>
  <si>
    <t>dwdn1408@gmail.com</t>
  </si>
  <si>
    <t>5472</t>
  </si>
  <si>
    <t>https://drive.google.com/file/d/1IYtuuvg5tXpMJr6fCFPzxy-iZvq8Q5kB/view?usp=drivesdk</t>
  </si>
  <si>
    <t>1IYtuuvg5tXpMJr6fCFPzxy-iZvq8Q5kB</t>
  </si>
  <si>
    <t>1GO_fFucDNHWn7pQtnuRWBbNoaOjfXXMR</t>
  </si>
  <si>
    <t>https://drive.google.com/file/d/1GO_fFucDNHWn7pQtnuRWBbNoaOjfXXMR/view?usp=drivesdk</t>
  </si>
  <si>
    <t>Document successfully created; Document successfully merged; PDF created; !!Error Sending Emails: Service invoked too many times for one day: email.; Manually run by ecertificate75@gmail.com; Timestamp: Sep 3 2024 1:54 AM</t>
  </si>
  <si>
    <t>SELVIA MADONNA Am. Kep</t>
  </si>
  <si>
    <t>donaselvia85@gmail.com</t>
  </si>
  <si>
    <t>5473</t>
  </si>
  <si>
    <t>https://drive.google.com/file/d/1CQ-oa46yU2bNj4NWGaztf6drin2OyuG-/view?usp=drivesdk</t>
  </si>
  <si>
    <t>1CQ-oa46yU2bNj4NWGaztf6drin2OyuG-</t>
  </si>
  <si>
    <t>1Ayz1CyKkd45EnNISe3yFTR0hN7PUajW1</t>
  </si>
  <si>
    <t>https://drive.google.com/file/d/1Ayz1CyKkd45EnNISe3yFTR0hN7PUajW1/view?usp=drivesdk</t>
  </si>
  <si>
    <t>MUHAMMAD NURDIN</t>
  </si>
  <si>
    <t>nurdinsamsat@gmail.com</t>
  </si>
  <si>
    <t>5474</t>
  </si>
  <si>
    <t>https://drive.google.com/file/d/1u61vLX1WDgamTsWB8BbdWVWvUqmgdzrz/view?usp=drivesdk</t>
  </si>
  <si>
    <t>1u61vLX1WDgamTsWB8BbdWVWvUqmgdzrz</t>
  </si>
  <si>
    <t>1QR4CzHOeXth5RY3a6Xwav_COLW970sKv</t>
  </si>
  <si>
    <t>https://drive.google.com/file/d/1QR4CzHOeXth5RY3a6Xwav_COLW970sKv/view?usp=drivesdk</t>
  </si>
  <si>
    <t>ENDANG ASTUTI</t>
  </si>
  <si>
    <t>endangastuti98710@gmail.com</t>
  </si>
  <si>
    <t>5475</t>
  </si>
  <si>
    <t>Starting at Thu Aug 29 2024 21:38:50 GMT-0400 (EDT)</t>
  </si>
  <si>
    <t>11wdjr-ahzI92vxpIrj38Fpmiuge0uL3Z</t>
  </si>
  <si>
    <t>https://drive.google.com/file/d/11wdjr-ahzI92vxpIrj38Fpmiuge0uL3Z/view?usp=drivesdk</t>
  </si>
  <si>
    <t>MEISDY TUAHTA SINURAYA, SE</t>
  </si>
  <si>
    <t>meisdysinuraya@gmail.com</t>
  </si>
  <si>
    <t>5476</t>
  </si>
  <si>
    <t>1BC02CH68BmGICnVAgYg48OQgaGn7JYWS</t>
  </si>
  <si>
    <t>https://drive.google.com/file/d/1BC02CH68BmGICnVAgYg48OQgaGn7JYWS/view?usp=drivesdk</t>
  </si>
  <si>
    <t xml:space="preserve">EVI TAJWIDI, S. SOS. </t>
  </si>
  <si>
    <t>aldytajwidy@gmail.com</t>
  </si>
  <si>
    <t>5477</t>
  </si>
  <si>
    <t>https://drive.google.com/file/d/1EIzW_xdXZaosHvmjtalWrEf6zDL46cmi/view?usp=drivesdk</t>
  </si>
  <si>
    <t>1EIzW_xdXZaosHvmjtalWrEf6zDL46cmi</t>
  </si>
  <si>
    <t>1dC7rIKTd3JYlZ-oXPxthNo1NA-OM-kdQ</t>
  </si>
  <si>
    <t>https://drive.google.com/file/d/1dC7rIKTd3JYlZ-oXPxthNo1NA-OM-kdQ/view?usp=drivesdk</t>
  </si>
  <si>
    <t>Document successfully created; Document successfully merged; PDF created; !!Error Sending Emails: Service invoked too many times for one day: email.; Manually run by ecertificate75@gmail.com; Timestamp: Sep 3 2024 1:55 AM</t>
  </si>
  <si>
    <t>OLINA YETRI</t>
  </si>
  <si>
    <t>olinayetri520@gmail.com</t>
  </si>
  <si>
    <t>5478</t>
  </si>
  <si>
    <t>https://drive.google.com/file/d/1_md3U7igo7HmlwYPNlxjMWAMO0BAfjuJ/view?usp=drivesdk</t>
  </si>
  <si>
    <t>1_md3U7igo7HmlwYPNlxjMWAMO0BAfjuJ</t>
  </si>
  <si>
    <t>1N0xGfO02E9Xor_Omp-wZvHNswQ_l3LY2</t>
  </si>
  <si>
    <t>https://drive.google.com/file/d/1N0xGfO02E9Xor_Omp-wZvHNswQ_l3LY2/view?usp=drivesdk</t>
  </si>
  <si>
    <t>RIA LESTARI,AMd.Kep</t>
  </si>
  <si>
    <t>anandaria2020@gmail.com</t>
  </si>
  <si>
    <t>5479</t>
  </si>
  <si>
    <t>https://drive.google.com/file/d/1aeg1vhhz6Yeke9WpijCxxapEFbP1QDXM/view?usp=drivesdk</t>
  </si>
  <si>
    <t>1aeg1vhhz6Yeke9WpijCxxapEFbP1QDXM</t>
  </si>
  <si>
    <t>1CRMXuY4-BpEJgAyMiYGsGk5onyO-hRxh</t>
  </si>
  <si>
    <t>https://drive.google.com/file/d/1CRMXuY4-BpEJgAyMiYGsGk5onyO-hRxh/view?usp=drivesdk</t>
  </si>
  <si>
    <t>Ns AFNI MARLINA, S.Kep</t>
  </si>
  <si>
    <t>afnimarlina79@gmail.com</t>
  </si>
  <si>
    <t>5480</t>
  </si>
  <si>
    <t>https://drive.google.com/file/d/1Tg0Nhjcqv48wM1kpFR_jKdaMI17mmAGd/view?usp=drivesdk</t>
  </si>
  <si>
    <t>1Tg0Nhjcqv48wM1kpFR_jKdaMI17mmAGd</t>
  </si>
  <si>
    <t>1BhlggkGvEyE9EPVAmFGcrWymx4Fu_PlC</t>
  </si>
  <si>
    <t>https://drive.google.com/file/d/1BhlggkGvEyE9EPVAmFGcrWymx4Fu_PlC/view?usp=drivesdk</t>
  </si>
  <si>
    <t>AMALIA PUTRI</t>
  </si>
  <si>
    <t>amallyaputrinuri@gmail.com</t>
  </si>
  <si>
    <t>5481</t>
  </si>
  <si>
    <t>https://drive.google.com/file/d/1qEX8kAY5YgYcMUMP_moNN74kOfFR2k-b/view?usp=drivesdk</t>
  </si>
  <si>
    <t>1qEX8kAY5YgYcMUMP_moNN74kOfFR2k-b</t>
  </si>
  <si>
    <t>158FusSjJ4O4WpKtfovYwsFBxfzVzVh0L</t>
  </si>
  <si>
    <t>https://drive.google.com/file/d/158FusSjJ4O4WpKtfovYwsFBxfzVzVh0L/view?usp=drivesdk</t>
  </si>
  <si>
    <t>Document successfully created; Document successfully merged; PDF created; !!Error Sending Emails: Service invoked too many times for one day: email.; Manually run by ecertificate75@gmail.com; Timestamp: Sep 3 2024 1:56 AM</t>
  </si>
  <si>
    <t>HENDRA WIGUNA</t>
  </si>
  <si>
    <t>keu.rsbselapa@gmail.com</t>
  </si>
  <si>
    <t>5482</t>
  </si>
  <si>
    <t>https://drive.google.com/file/d/1HkGrDuorUAdhh9uWlUmySBUuFZoJL6v7/view?usp=drivesdk</t>
  </si>
  <si>
    <t>1HkGrDuorUAdhh9uWlUmySBUuFZoJL6v7</t>
  </si>
  <si>
    <t>1Yqt1wxa0e56PxwvBSNzLNiQSQdT8kXAR</t>
  </si>
  <si>
    <t>https://drive.google.com/file/d/1Yqt1wxa0e56PxwvBSNzLNiQSQdT8kXAR/view?usp=drivesdk</t>
  </si>
  <si>
    <t>ADOLPINA SARIANNA, SE</t>
  </si>
  <si>
    <t>adolfinasarianna@gmail.com</t>
  </si>
  <si>
    <t>5483</t>
  </si>
  <si>
    <t>https://drive.google.com/file/d/1hYqaqxFPA4Sh0PHU0KDaOlVvJn5kD7jt/view?usp=drivesdk</t>
  </si>
  <si>
    <t>1hYqaqxFPA4Sh0PHU0KDaOlVvJn5kD7jt</t>
  </si>
  <si>
    <t>1TKnQTa3mXcd9yYIh3AEffu9zLTuO3hfb</t>
  </si>
  <si>
    <t>https://drive.google.com/file/d/1TKnQTa3mXcd9yYIh3AEffu9zLTuO3hfb/view?usp=drivesdk</t>
  </si>
  <si>
    <t>Document successfully created; Document successfully merged; PDF created; Emails Sent: [To: adolfinasarianna@gmail.com]; Manually run by ecertificate75@gmail.com; Timestamp: Sep 3 2024 1:56 AM</t>
  </si>
  <si>
    <t>PASMI JELITA</t>
  </si>
  <si>
    <t>pasmijelita1969@gmail.com</t>
  </si>
  <si>
    <t>5484</t>
  </si>
  <si>
    <t>https://drive.google.com/file/d/1WDPmKM530iUYpUTN8IbxLEarR8fkTjrJ/view?usp=drivesdk</t>
  </si>
  <si>
    <t>1WDPmKM530iUYpUTN8IbxLEarR8fkTjrJ</t>
  </si>
  <si>
    <t>1UE3Ps8IfovGcLEea0jt2z9GevQm06M5G</t>
  </si>
  <si>
    <t>https://drive.google.com/file/d/1UE3Ps8IfovGcLEea0jt2z9GevQm06M5G/view?usp=drivesdk</t>
  </si>
  <si>
    <t>Document successfully created; Document successfully merged; PDF created; Emails Sent: [To: pasmijelita1969@gmail.com]; Manually run by ecertificate75@gmail.com; Timestamp: Sep 3 2024 1:56 AM</t>
  </si>
  <si>
    <t>SURYA DARMA PURBA SE</t>
  </si>
  <si>
    <t>suryadarmapurba007@gmail.com</t>
  </si>
  <si>
    <t>5485</t>
  </si>
  <si>
    <t>https://drive.google.com/file/d/1Qip0Yuum7XVsNPDPJ1uVRRbEvnseLB6p/view?usp=drivesdk</t>
  </si>
  <si>
    <t>1Qip0Yuum7XVsNPDPJ1uVRRbEvnseLB6p</t>
  </si>
  <si>
    <t>1Xh8NSJ8q2_UpSiiVmplufmqReQDpi5HI</t>
  </si>
  <si>
    <t>https://drive.google.com/file/d/1Xh8NSJ8q2_UpSiiVmplufmqReQDpi5HI/view?usp=drivesdk</t>
  </si>
  <si>
    <t>Document successfully created; Document successfully merged; PDF created; Emails Sent: [To: suryadarmapurba007@gmail.com]; Manually run by ecertificate75@gmail.com; Timestamp: Sep 3 2024 1:56 AM</t>
  </si>
  <si>
    <t>lamongananita@g.mail.com</t>
  </si>
  <si>
    <t>5486</t>
  </si>
  <si>
    <t>Starting at Thu Aug 29 2024 21:38:57 GMT-0400 (EDT)</t>
  </si>
  <si>
    <t>1lgmygyAW5aOqIIxCC4XgC_tMJZstthId</t>
  </si>
  <si>
    <t>https://drive.google.com/file/d/1lgmygyAW5aOqIIxCC4XgC_tMJZstthId/view?usp=drivesdk</t>
  </si>
  <si>
    <t>Document successfully created; Document successfully merged; PDF created; Emails Sent: [To: lamongananita@g.mail.com]; Manually run by ecertificate75@gmail.com; Timestamp: Sep 3 2024 1:57 AM</t>
  </si>
  <si>
    <t>YENNI SUSLITA,S.H.</t>
  </si>
  <si>
    <t>yennisuslita@gmail.com</t>
  </si>
  <si>
    <t>5487</t>
  </si>
  <si>
    <t>1skvxrbds-ax9ni8sx5-I0dguSmYE3h9L</t>
  </si>
  <si>
    <t>https://drive.google.com/file/d/1skvxrbds-ax9ni8sx5-I0dguSmYE3h9L/view?usp=drivesdk</t>
  </si>
  <si>
    <t>Document successfully created; Document successfully merged; PDF created; Emails Sent: [To: yennisuslita@gmail.com]; Manually run by ecertificate75@gmail.com; Timestamp: Sep 3 2024 1:57 AM</t>
  </si>
  <si>
    <t>ANDRIA SANTI. S. MnP</t>
  </si>
  <si>
    <t>andriasanti@gmail.com</t>
  </si>
  <si>
    <t>5488</t>
  </si>
  <si>
    <t>15GjnCtnoUauf27igTbRLsPAkZtzSPMfW</t>
  </si>
  <si>
    <t>https://drive.google.com/file/d/15GjnCtnoUauf27igTbRLsPAkZtzSPMfW/view?usp=drivesdk</t>
  </si>
  <si>
    <t>Document successfully created; Document successfully merged; PDF created; Emails Sent: [To: andriasanti@gmail.com]; Manually run by ecertificate75@gmail.com; Timestamp: Sep 3 2024 1:57 AM</t>
  </si>
  <si>
    <t>SITI SRI REJEKI,A.Md.</t>
  </si>
  <si>
    <t>qyuqyu79@gmail.com</t>
  </si>
  <si>
    <t>5489</t>
  </si>
  <si>
    <t>1uAhrjhj5fsplzdZOV0888iu3n2DAOBH0</t>
  </si>
  <si>
    <t>https://drive.google.com/file/d/1uAhrjhj5fsplzdZOV0888iu3n2DAOBH0/view?usp=drivesdk</t>
  </si>
  <si>
    <t>Document successfully created; Document successfully merged; PDF created; Emails Sent: [To: qyuqyu79@gmail.com]; Manually run by ecertificate75@gmail.com; Timestamp: Sep 3 2024 1:57 AM</t>
  </si>
  <si>
    <t>SODIYAH</t>
  </si>
  <si>
    <t>sodiyahdiyah21@gmail.com</t>
  </si>
  <si>
    <t>5490</t>
  </si>
  <si>
    <t>https://drive.google.com/file/d/1IZ-Rc3E35E75fNj-1sQ739Sw9WxeChFk/view?usp=drivesdk</t>
  </si>
  <si>
    <t>1IZ-Rc3E35E75fNj-1sQ739Sw9WxeChFk</t>
  </si>
  <si>
    <t>1qUDRa3r9XsvMYxs5twDoUDv45L618BPc</t>
  </si>
  <si>
    <t>https://drive.google.com/file/d/1qUDRa3r9XsvMYxs5twDoUDv45L618BPc/view?usp=drivesdk</t>
  </si>
  <si>
    <t>Document successfully created; Document successfully merged; PDF created; Emails Sent: [To: sodiyahdiyah21@gmail.com]; Manually run by ecertificate75@gmail.com; Timestamp: Sep 3 2024 1:57 AM</t>
  </si>
  <si>
    <t>RACHMAD HARI SANTOSO</t>
  </si>
  <si>
    <t>harisantosooo83@gmail.com</t>
  </si>
  <si>
    <t>5491</t>
  </si>
  <si>
    <t>https://drive.google.com/file/d/1zi9umAc_XlH3yr0XduiVvDQyJg4D0W-K/view?usp=drivesdk</t>
  </si>
  <si>
    <t>1zi9umAc_XlH3yr0XduiVvDQyJg4D0W-K</t>
  </si>
  <si>
    <t>1gZydSrSkH1LJXOEd5USZq9sSeqaQk5zr</t>
  </si>
  <si>
    <t>https://drive.google.com/file/d/1gZydSrSkH1LJXOEd5USZq9sSeqaQk5zr/view?usp=drivesdk</t>
  </si>
  <si>
    <t>Document successfully created; Document successfully merged; PDF created; Emails Sent: [To: harisantosooo83@gmail.com]; Manually run by ecertificate75@gmail.com; Timestamp: Sep 3 2024 1:58 AM</t>
  </si>
  <si>
    <t>urkeuitwasdariau@gmail.com</t>
  </si>
  <si>
    <t>5492</t>
  </si>
  <si>
    <t>https://drive.google.com/file/d/1nJn3EmhLAOrnpTRH7MNirhVDQzf6gV6p/view?usp=drivesdk</t>
  </si>
  <si>
    <t>1nJn3EmhLAOrnpTRH7MNirhVDQzf6gV6p</t>
  </si>
  <si>
    <t>1-GXoIWXiSSB_93kD_hwV-kOBYBff0GOq</t>
  </si>
  <si>
    <t>https://drive.google.com/file/d/1-GXoIWXiSSB_93kD_hwV-kOBYBff0GOq/view?usp=drivesdk</t>
  </si>
  <si>
    <t>Document successfully created; Document successfully merged; PDF created; Emails Sent: [To: urkeuitwasdariau@gmail.com]; Manually run by ecertificate75@gmail.com; Timestamp: Sep 3 2024 1:58 AM</t>
  </si>
  <si>
    <t>DWI FEBRIANI, S.M.</t>
  </si>
  <si>
    <t>aisyah_go@yahoo.co.id</t>
  </si>
  <si>
    <t>5493</t>
  </si>
  <si>
    <t>https://drive.google.com/file/d/1jmhFKvOTU5TayVr69vibLVzUA_oBJuh6/view?usp=drivesdk</t>
  </si>
  <si>
    <t>1jmhFKvOTU5TayVr69vibLVzUA_oBJuh6</t>
  </si>
  <si>
    <t>1qHMv1dYoeuJq4qLdevMaGT93vCvK_m4_</t>
  </si>
  <si>
    <t>https://drive.google.com/file/d/1qHMv1dYoeuJq4qLdevMaGT93vCvK_m4_/view?usp=drivesdk</t>
  </si>
  <si>
    <t>Document successfully created; Document successfully merged; PDF created; Emails Sent: [To: aisyah_go@yahoo.co.id]; Manually run by ecertificate75@gmail.com; Timestamp: Sep 3 2024 1:58 AM</t>
  </si>
  <si>
    <t>ENIK RENIATI</t>
  </si>
  <si>
    <t>enikreniati@gmail.com</t>
  </si>
  <si>
    <t>5494</t>
  </si>
  <si>
    <t>https://drive.google.com/file/d/1BlhnVv5J4mwHO59h2KGHqb3dkRh1vSZ5/view?usp=drivesdk</t>
  </si>
  <si>
    <t>1BlhnVv5J4mwHO59h2KGHqb3dkRh1vSZ5</t>
  </si>
  <si>
    <t>1ESR9aG-XdqtunU-b6ihWEzC5XNBslGdv</t>
  </si>
  <si>
    <t>https://drive.google.com/file/d/1ESR9aG-XdqtunU-b6ihWEzC5XNBslGdv/view?usp=drivesdk</t>
  </si>
  <si>
    <t>Document successfully created; Document successfully merged; PDF created; Emails Sent: [To: enikreniati@gmail.com]; Manually run by ecertificate75@gmail.com; Timestamp: Sep 3 2024 1:58 AM</t>
  </si>
  <si>
    <t>RENNY AGUSTINENGTYAS</t>
  </si>
  <si>
    <t>rennyhernowo@gmail.com</t>
  </si>
  <si>
    <t>5495</t>
  </si>
  <si>
    <t>https://drive.google.com/file/d/1xz51qLGqOcYTf-cYPEZfcs33JhZPHTj0/view?usp=drivesdk</t>
  </si>
  <si>
    <t>1xz51qLGqOcYTf-cYPEZfcs33JhZPHTj0</t>
  </si>
  <si>
    <t>15FPMrxL73-dll8C0HvZITcnIkdFUXANI</t>
  </si>
  <si>
    <t>https://drive.google.com/file/d/15FPMrxL73-dll8C0HvZITcnIkdFUXANI/view?usp=drivesdk</t>
  </si>
  <si>
    <t>Document successfully created; Document successfully merged; PDF created; Emails Sent: [To: rennyhernowo@gmail.com]; Manually run by ecertificate75@gmail.com; Timestamp: Sep 3 2024 1:59 AM</t>
  </si>
  <si>
    <t>SULIYAH</t>
  </si>
  <si>
    <t>suliahjombang@gmail.com</t>
  </si>
  <si>
    <t>5496</t>
  </si>
  <si>
    <t>https://drive.google.com/file/d/15PRLkzVcp6oebRxvnIcsJXSBXLYijqtG/view?usp=drivesdk</t>
  </si>
  <si>
    <t>15PRLkzVcp6oebRxvnIcsJXSBXLYijqtG</t>
  </si>
  <si>
    <t>1_jxTGI3Z9gOCD-gXuKT8iGa6O_X2WPAl</t>
  </si>
  <si>
    <t>https://drive.google.com/file/d/1_jxTGI3Z9gOCD-gXuKT8iGa6O_X2WPAl/view?usp=drivesdk</t>
  </si>
  <si>
    <t>Document successfully created; Document successfully merged; PDF created; Emails Sent: [To: suliahjombang@gmail.com]; Manually run by ecertificate75@gmail.com; Timestamp: Sep 3 2024 1:59 AM</t>
  </si>
  <si>
    <t xml:space="preserve">NUR SUPRIYANTI, S.T., M.M. </t>
  </si>
  <si>
    <t>5497</t>
  </si>
  <si>
    <t>https://drive.google.com/file/d/1b9V-x_Bxfs84ZA_jjdPyNif9K7XQ5-ma/view?usp=drivesdk</t>
  </si>
  <si>
    <t>1b9V-x_Bxfs84ZA_jjdPyNif9K7XQ5-ma</t>
  </si>
  <si>
    <t>1Rn4-NaZgpQmfJUpl7gD_nsXW6GmUJeqD</t>
  </si>
  <si>
    <t>https://drive.google.com/file/d/1Rn4-NaZgpQmfJUpl7gD_nsXW6GmUJeqD/view?usp=drivesdk</t>
  </si>
  <si>
    <t>Document successfully created; Document successfully merged; PDF created; Emails Sent: [To: priaprie@ymail.com]; Manually run by ecertificate75@gmail.com; Timestamp: Sep 3 2024 1:59 AM</t>
  </si>
  <si>
    <t xml:space="preserve">ARDIAN KAHARUDIN </t>
  </si>
  <si>
    <t>ardian.hera@gmail.com</t>
  </si>
  <si>
    <t>5498</t>
  </si>
  <si>
    <t>https://drive.google.com/file/d/1T36QKsMc0fhqZkzAQ64Ydm0TQdNAfDct/view?usp=drivesdk</t>
  </si>
  <si>
    <t>1T36QKsMc0fhqZkzAQ64Ydm0TQdNAfDct</t>
  </si>
  <si>
    <t>1HGNZPr9_GKouZ_FHuHho_m3BJ56Qetji</t>
  </si>
  <si>
    <t>https://drive.google.com/file/d/1HGNZPr9_GKouZ_FHuHho_m3BJ56Qetji/view?usp=drivesdk</t>
  </si>
  <si>
    <t>Document successfully created; Document successfully merged; PDF created; Emails Sent: [To: ardian.hera@gmail.com]; Manually run by ecertificate75@gmail.com; Timestamp: Sep 3 2024 1:59 AM</t>
  </si>
  <si>
    <t>Khiky Reski Putri</t>
  </si>
  <si>
    <t>Khikyreskiputri28@gmail.com</t>
  </si>
  <si>
    <t>5499</t>
  </si>
  <si>
    <t>Starting at Thu Aug 29 2024 21:39:09 GMT-0400 (EDT)</t>
  </si>
  <si>
    <t>1S1NCzqMfKSrNzHYJG2Zhh2W5P7pFQXMl</t>
  </si>
  <si>
    <t>https://drive.google.com/file/d/1S1NCzqMfKSrNzHYJG2Zhh2W5P7pFQXMl/view?usp=drivesdk</t>
  </si>
  <si>
    <t>Document successfully created; Document successfully merged; PDF created; Emails Sent: [To: Khikyreskiputri28@gmail.com]; Manually run by ecertificate75@gmail.com; Timestamp: Sep 3 2024 1:59 AM</t>
  </si>
  <si>
    <t>KUSFANUL ULUM</t>
  </si>
  <si>
    <t>ulumkus895kusfanul@gmail.com</t>
  </si>
  <si>
    <t>5500</t>
  </si>
  <si>
    <t>1_sCYzpi4iBFxex7tp948M_G380Kgk_Sk</t>
  </si>
  <si>
    <t>https://drive.google.com/file/d/1_sCYzpi4iBFxex7tp948M_G380Kgk_Sk/view?usp=drivesdk</t>
  </si>
  <si>
    <t>Document successfully created; Document successfully merged; PDF created; Emails Sent: [To: ulumkus895kusfanul@gmail.com]; Manually run by ecertificate75@gmail.com; Timestamp: Sep 3 2024 1:59 AM</t>
  </si>
  <si>
    <t>SWASTIKA</t>
  </si>
  <si>
    <t>swastikatobing@gmail.com</t>
  </si>
  <si>
    <t>5501</t>
  </si>
  <si>
    <t>1g5nr89gkONrbC-QytDRqSdgpbeSgl4oM</t>
  </si>
  <si>
    <t>https://drive.google.com/file/d/1g5nr89gkONrbC-QytDRqSdgpbeSgl4oM/view?usp=drivesdk</t>
  </si>
  <si>
    <t>Document successfully created; Document successfully merged; PDF created; Emails Sent: [To: swastikatobing@gmail.com]; Manually run by ecertificate75@gmail.com; Timestamp: Sep 3 2024 2:00 AM</t>
  </si>
  <si>
    <t>NI NENGAH WINARTI, Amd.Kep, SKM</t>
  </si>
  <si>
    <t>nengahwinarti79@gmail.com</t>
  </si>
  <si>
    <t>5502</t>
  </si>
  <si>
    <t>1GD8GON9pJQ0Ju510100oYJ2yLrVDL-UB</t>
  </si>
  <si>
    <t>https://drive.google.com/file/d/1GD8GON9pJQ0Ju510100oYJ2yLrVDL-UB/view?usp=drivesdk</t>
  </si>
  <si>
    <t>Document successfully created; Document successfully merged; PDF created; Emails Sent: [To: nengahwinarti79@gmail.com]; Manually run by ecertificate75@gmail.com; Timestamp: Sep 3 2024 2:00 AM</t>
  </si>
  <si>
    <t>SABRINA SEMBIRING</t>
  </si>
  <si>
    <t>sabrinasembiring1984@gmail.com</t>
  </si>
  <si>
    <t>5503</t>
  </si>
  <si>
    <t>1YTX1eG_KDnH6gsh9qGvUA28vhssrY0wv</t>
  </si>
  <si>
    <t>https://drive.google.com/file/d/1YTX1eG_KDnH6gsh9qGvUA28vhssrY0wv/view?usp=drivesdk</t>
  </si>
  <si>
    <t>Document successfully created; Document successfully merged; PDF created; Emails Sent: [To: sabrinasembiring1984@gmail.com]; Manually run by ecertificate75@gmail.com; Timestamp: Sep 3 2024 2:00 AM</t>
  </si>
  <si>
    <t>sitirohanaa1971@gmail.com</t>
  </si>
  <si>
    <t>5504</t>
  </si>
  <si>
    <t>1XuL9iqDsD414sdGLczxBDu4Tg_2kfVeR</t>
  </si>
  <si>
    <t>https://drive.google.com/file/d/1XuL9iqDsD414sdGLczxBDu4Tg_2kfVeR/view?usp=drivesdk</t>
  </si>
  <si>
    <t>Document successfully created; Document successfully merged; PDF created; Emails Sent: [To: sitirohanaa1971@gmail.com]; Manually run by ecertificate75@gmail.com; Timestamp: Sep 3 2024 2:00 AM</t>
  </si>
  <si>
    <t>NI LUH MURYANTI, S.Kom.</t>
  </si>
  <si>
    <t>muryanti.niluh@gmail.com</t>
  </si>
  <si>
    <t>5505</t>
  </si>
  <si>
    <t>https://drive.google.com/file/d/1TBrw03lRNutPB9Q6v11UEVLgJw6rnu-P/view?usp=drivesdk</t>
  </si>
  <si>
    <t>1TBrw03lRNutPB9Q6v11UEVLgJw6rnu-P</t>
  </si>
  <si>
    <t>1SGqeFW5dKdJEe3w2mZJY6D1jNS5-WMmX</t>
  </si>
  <si>
    <t>https://drive.google.com/file/d/1SGqeFW5dKdJEe3w2mZJY6D1jNS5-WMmX/view?usp=drivesdk</t>
  </si>
  <si>
    <t>Document successfully created; Document successfully merged; PDF created; Emails Sent: [To: muryanti.niluh@gmail.com]; Manually run by ecertificate75@gmail.com; Timestamp: Sep 3 2024 2:01 AM</t>
  </si>
  <si>
    <t>PODHO HARJANTO</t>
  </si>
  <si>
    <t>pakpodho334@gmail.com</t>
  </si>
  <si>
    <t>5506</t>
  </si>
  <si>
    <t>https://drive.google.com/file/d/1Y7ns62slGhb0RC5-2yrboa7j6rFRF9Jd/view?usp=drivesdk</t>
  </si>
  <si>
    <t>1Y7ns62slGhb0RC5-2yrboa7j6rFRF9Jd</t>
  </si>
  <si>
    <t>1weckMJGyy8TTGgenTQvxHu41jzb72bDP</t>
  </si>
  <si>
    <t>https://drive.google.com/file/d/1weckMJGyy8TTGgenTQvxHu41jzb72bDP/view?usp=drivesdk</t>
  </si>
  <si>
    <t>Document successfully created; Document successfully merged; PDF created; Emails Sent: [To: pakpodho334@gmail.com]; Manually run by ecertificate75@gmail.com; Timestamp: Sep 3 2024 2:01 AM</t>
  </si>
  <si>
    <t>SUMARTINI,SH</t>
  </si>
  <si>
    <t>tiniandin2@gmail.com</t>
  </si>
  <si>
    <t>5507</t>
  </si>
  <si>
    <t>https://drive.google.com/file/d/1O1zpSEuP56-s64sXLM4m2j3sV0-SrP2-/view?usp=drivesdk</t>
  </si>
  <si>
    <t>1O1zpSEuP56-s64sXLM4m2j3sV0-SrP2-</t>
  </si>
  <si>
    <t>1OHxhodmzlwaHT4ZxwtDRicCHxBKW9M0e</t>
  </si>
  <si>
    <t>https://drive.google.com/file/d/1OHxhodmzlwaHT4ZxwtDRicCHxBKW9M0e/view?usp=drivesdk</t>
  </si>
  <si>
    <t>Document successfully created; Document successfully merged; PDF created; Emails Sent: [To: tiniandin2@gmail.com]; Manually run by ecertificate75@gmail.com; Timestamp: Sep 3 2024 2:01 AM</t>
  </si>
  <si>
    <t>SRI JAYANTI PRASETIYANINGSIH</t>
  </si>
  <si>
    <t>Srijayantip123@gmail.com</t>
  </si>
  <si>
    <t>5508</t>
  </si>
  <si>
    <t>Starting at Thu Aug 29 2024 21:39:16 GMT-0400 (EDT)</t>
  </si>
  <si>
    <t>1ruLrP-Xt5QVk2UjAcXVDzoaQbpYFWwsf</t>
  </si>
  <si>
    <t>https://drive.google.com/file/d/1ruLrP-Xt5QVk2UjAcXVDzoaQbpYFWwsf/view?usp=drivesdk</t>
  </si>
  <si>
    <t>Document successfully created; Document successfully merged; PDF created; Emails Sent: [To: Srijayantip123@gmail.com]; Manually run by ecertificate75@gmail.com; Timestamp: Sep 3 2024 2:01 AM</t>
  </si>
  <si>
    <t>AFKE DEISY SIMBAWA</t>
  </si>
  <si>
    <t>afke.simbawa@gmail.com</t>
  </si>
  <si>
    <t>5509</t>
  </si>
  <si>
    <t>15ONc6emzfZOaEBERWtU9-1GHcc7yQpsP</t>
  </si>
  <si>
    <t>https://drive.google.com/file/d/15ONc6emzfZOaEBERWtU9-1GHcc7yQpsP/view?usp=drivesdk</t>
  </si>
  <si>
    <t>Document successfully created; Document successfully merged; PDF created; Emails Sent: [To: afke.simbawa@gmail.com]; Manually run by ecertificate75@gmail.com; Timestamp: Sep 3 2024 2:01 AM</t>
  </si>
  <si>
    <t>AMONG SAPUTRA</t>
  </si>
  <si>
    <t>amongsaputra55555@gmail.com</t>
  </si>
  <si>
    <t>5510</t>
  </si>
  <si>
    <t>1OIBpU806OVohx4O1vQ7UXy9_1EdqgWCC</t>
  </si>
  <si>
    <t>https://drive.google.com/file/d/1OIBpU806OVohx4O1vQ7UXy9_1EdqgWCC/view?usp=drivesdk</t>
  </si>
  <si>
    <t>Document successfully created; Document successfully merged; PDF created; Emails Sent: [To: amongsaputra55555@gmail.com]; Manually run by ecertificate75@gmail.com; Timestamp: Sep 3 2024 2:02 AM</t>
  </si>
  <si>
    <t>NILAWATI, B</t>
  </si>
  <si>
    <t>nilaw8403@gmail.com</t>
  </si>
  <si>
    <t>5511</t>
  </si>
  <si>
    <t>1Qh5VqYHlNrmsSa-eXRzYbcX8e57DXnq5</t>
  </si>
  <si>
    <t>https://drive.google.com/file/d/1Qh5VqYHlNrmsSa-eXRzYbcX8e57DXnq5/view?usp=drivesdk</t>
  </si>
  <si>
    <t>Document successfully created; Document successfully merged; PDF created; Emails Sent: [To: nilaw8403@gmail.com]; Manually run by ecertificate75@gmail.com; Timestamp: Sep 3 2024 2:02 AM</t>
  </si>
  <si>
    <t>RATNA PUSPA JATI, S.Pt</t>
  </si>
  <si>
    <t>puspajatiratna@gmail.com</t>
  </si>
  <si>
    <t>5512</t>
  </si>
  <si>
    <t>https://drive.google.com/file/d/1WwkRuHgh_FElBD0rpMPpRsmU4dIxvB9c/view?usp=drivesdk</t>
  </si>
  <si>
    <t>1WwkRuHgh_FElBD0rpMPpRsmU4dIxvB9c</t>
  </si>
  <si>
    <t>1rryvt02AZIkJKtOdoGd3awyUB5BiHPDV</t>
  </si>
  <si>
    <t>https://drive.google.com/file/d/1rryvt02AZIkJKtOdoGd3awyUB5BiHPDV/view?usp=drivesdk</t>
  </si>
  <si>
    <t>Document successfully created; Document successfully merged; PDF created; Emails Sent: [To: puspajatiratna@gmail.com]; Manually run by ecertificate75@gmail.com; Timestamp: Sep 3 2024 2:02 AM</t>
  </si>
  <si>
    <t>IDA HUSNAINI. S.Gz</t>
  </si>
  <si>
    <t>rohayeida76@gmail.com</t>
  </si>
  <si>
    <t>5513</t>
  </si>
  <si>
    <t>https://drive.google.com/file/d/1vlcC-hdNdnGnqXhyAZboG1kafgEFhUC0/view?usp=drivesdk</t>
  </si>
  <si>
    <t>1vlcC-hdNdnGnqXhyAZboG1kafgEFhUC0</t>
  </si>
  <si>
    <t>1ksRmWcRSXw3DXd2p-Z433WfvSV8ndq7W</t>
  </si>
  <si>
    <t>https://drive.google.com/file/d/1ksRmWcRSXw3DXd2p-Z433WfvSV8ndq7W/view?usp=drivesdk</t>
  </si>
  <si>
    <t>Document successfully created; Document successfully merged; PDF created; Emails Sent: [To: rohayeida76@gmail.com]; Manually run by ecertificate75@gmail.com; Timestamp: Sep 3 2024 2:02 AM</t>
  </si>
  <si>
    <t>ELVIRA ROSA, S.Ak</t>
  </si>
  <si>
    <t>elvirarosa1987@gmail.com</t>
  </si>
  <si>
    <t>5514</t>
  </si>
  <si>
    <t>https://drive.google.com/file/d/1IfRYjpx9sD-SJnuQ4QSNP82ZqOXUJ6Jh/view?usp=drivesdk</t>
  </si>
  <si>
    <t>1IfRYjpx9sD-SJnuQ4QSNP82ZqOXUJ6Jh</t>
  </si>
  <si>
    <t>1GZ0uIhWVxKRjJhbPpZyftIS4GlgsFjPX</t>
  </si>
  <si>
    <t>https://drive.google.com/file/d/1GZ0uIhWVxKRjJhbPpZyftIS4GlgsFjPX/view?usp=drivesdk</t>
  </si>
  <si>
    <t>Document successfully created; Document successfully merged; PDF created; Emails Sent: [To: elvirarosa1987@gmail.com]; Manually run by ecertificate75@gmail.com; Timestamp: Sep 3 2024 2:03 AM</t>
  </si>
  <si>
    <t>INDRIAWATI,SE</t>
  </si>
  <si>
    <t>indria.wati91@yahoo.com</t>
  </si>
  <si>
    <t>5515</t>
  </si>
  <si>
    <t>https://drive.google.com/file/d/1tpwfFW9WHH36Wz8I73CpoTV01OYoKm0E/view?usp=drivesdk</t>
  </si>
  <si>
    <t>1tpwfFW9WHH36Wz8I73CpoTV01OYoKm0E</t>
  </si>
  <si>
    <t>1kQfrGc6cvwz3WoPCBkb6iZnEIX0hGU7B</t>
  </si>
  <si>
    <t>https://drive.google.com/file/d/1kQfrGc6cvwz3WoPCBkb6iZnEIX0hGU7B/view?usp=drivesdk</t>
  </si>
  <si>
    <t>Document successfully created; Document successfully merged; PDF created; Emails Sent: [To: indria.wati91@yahoo.com]; Manually run by ecertificate75@gmail.com; Timestamp: Sep 3 2024 2:03 AM</t>
  </si>
  <si>
    <t>YULIANA SARI</t>
  </si>
  <si>
    <t>yuligamayelanggun@gmail.com</t>
  </si>
  <si>
    <t>5516</t>
  </si>
  <si>
    <t>https://drive.google.com/file/d/1QtJpsuqgWxVTjsSTDVxql8epGC2WzqBm/view?usp=drivesdk</t>
  </si>
  <si>
    <t>1QtJpsuqgWxVTjsSTDVxql8epGC2WzqBm</t>
  </si>
  <si>
    <t>1i7ua8QjF2h-bh-__PW2iWDrQ_Cg15CHB</t>
  </si>
  <si>
    <t>https://drive.google.com/file/d/1i7ua8QjF2h-bh-__PW2iWDrQ_Cg15CHB/view?usp=drivesdk</t>
  </si>
  <si>
    <t>Document successfully created; Document successfully merged; PDF created; Emails Sent: [To: yuligamayelanggun@gmail.com]; Manually run by ecertificate75@gmail.com; Timestamp: Sep 3 2024 2:03 AM</t>
  </si>
  <si>
    <t>ADITYA KUSUMAWAN, S.S.</t>
  </si>
  <si>
    <t>adityakusumawan17@gmail.com</t>
  </si>
  <si>
    <t>5517</t>
  </si>
  <si>
    <t>https://drive.google.com/file/d/1Fl_KZtYX-7m3o6scvoIZEUJ34QX18IXf/view?usp=drivesdk</t>
  </si>
  <si>
    <t>1Fl_KZtYX-7m3o6scvoIZEUJ34QX18IXf</t>
  </si>
  <si>
    <t>1zrEtOZeJVibyiiy-ctjteAB43fwhgqFA</t>
  </si>
  <si>
    <t>https://drive.google.com/file/d/1zrEtOZeJVibyiiy-ctjteAB43fwhgqFA/view?usp=drivesdk</t>
  </si>
  <si>
    <t>Document successfully created; Document successfully merged; PDF created; Emails Sent: [To: adityakusumawan17@gmail.com]; Manually run by ecertificate75@gmail.com; Timestamp: Sep 3 2024 2:03 AM</t>
  </si>
  <si>
    <t>apt. SANTY YULIARTHA, S.Farm</t>
  </si>
  <si>
    <t>santy.yuliartha@gmail.com</t>
  </si>
  <si>
    <t>5518</t>
  </si>
  <si>
    <t>https://drive.google.com/file/d/1bTrOI6mcSjF5MNHegHVYAfAH2e1zOFgE/view?usp=drivesdk</t>
  </si>
  <si>
    <t>1bTrOI6mcSjF5MNHegHVYAfAH2e1zOFgE</t>
  </si>
  <si>
    <t>1fLWewmAPfm0gXc1CxQKqprWKFXtJGE7g</t>
  </si>
  <si>
    <t>https://drive.google.com/file/d/1fLWewmAPfm0gXc1CxQKqprWKFXtJGE7g/view?usp=drivesdk</t>
  </si>
  <si>
    <t>Document successfully created; Document successfully merged; PDF created; Emails Sent: [To: santy.yuliartha@gmail.com]; Manually run by ecertificate75@gmail.com; Timestamp: Sep 3 2024 2:03 AM</t>
  </si>
  <si>
    <t>SRI IKA HANDAYANI,S.Sos</t>
  </si>
  <si>
    <t>ikaracatha16@gmail.com</t>
  </si>
  <si>
    <t>5519</t>
  </si>
  <si>
    <t>https://drive.google.com/file/d/10D586iKo_tcX7Fcx-T3TMh1uDwiCqmrS/view?usp=drivesdk</t>
  </si>
  <si>
    <t>10D586iKo_tcX7Fcx-T3TMh1uDwiCqmrS</t>
  </si>
  <si>
    <t>1S2HVqC4AWwlm6kfSeLv0qn8N8lfl9RPq</t>
  </si>
  <si>
    <t>https://drive.google.com/file/d/1S2HVqC4AWwlm6kfSeLv0qn8N8lfl9RPq/view?usp=drivesdk</t>
  </si>
  <si>
    <t>Document successfully created; Document successfully merged; PDF created; Emails Sent: [To: ikaracatha16@gmail.com]; Manually run by ecertificate75@gmail.com; Timestamp: Sep 3 2024 2:04 AM</t>
  </si>
  <si>
    <t>DR FANYTHA LIBRA KARMILA</t>
  </si>
  <si>
    <t>fanythalibra.karmila@yahoo.com</t>
  </si>
  <si>
    <t>5520</t>
  </si>
  <si>
    <t>Starting at Thu Aug 29 2024 21:39:35 GMT-0400 (EDT)</t>
  </si>
  <si>
    <t>1gqbAGBRA59j6bdZ69tYBPnePHFnOq42Z</t>
  </si>
  <si>
    <t>https://drive.google.com/file/d/1gqbAGBRA59j6bdZ69tYBPnePHFnOq42Z/view?usp=drivesdk</t>
  </si>
  <si>
    <t>Document successfully created; Document successfully merged; PDF created; Emails Sent: [To: fanythalibra.karmila@yahoo.com]; Manually run by ecertificate75@gmail.com; Timestamp: Sep 3 2024 2:04 AM</t>
  </si>
  <si>
    <t xml:space="preserve">MANSURIYAH </t>
  </si>
  <si>
    <t>mansuriyah062@gmail.com</t>
  </si>
  <si>
    <t>5521</t>
  </si>
  <si>
    <t>1bBhzE0UrvBCGCrvjznVx1k_BW6phsZkm</t>
  </si>
  <si>
    <t>https://drive.google.com/file/d/1bBhzE0UrvBCGCrvjznVx1k_BW6phsZkm/view?usp=drivesdk</t>
  </si>
  <si>
    <t>Document successfully created; Document successfully merged; PDF created; Emails Sent: [To: mansuriyah062@gmail.com]; Manually run by ecertificate75@gmail.com; Timestamp: Sep 3 2024 2:04 AM</t>
  </si>
  <si>
    <t>RINA ANDESPA DEWI</t>
  </si>
  <si>
    <t>rinaandespa@gmail.com</t>
  </si>
  <si>
    <t>5522</t>
  </si>
  <si>
    <t>1MONXFYVUwwGm11UBn2J2-DqQztY49sOH</t>
  </si>
  <si>
    <t>https://drive.google.com/file/d/1MONXFYVUwwGm11UBn2J2-DqQztY49sOH/view?usp=drivesdk</t>
  </si>
  <si>
    <t>Document successfully created; Document successfully merged; PDF created; Emails Sent: [To: rinaandespa@gmail.com]; Manually run by ecertificate75@gmail.com; Timestamp: Sep 3 2024 2:04 AM</t>
  </si>
  <si>
    <t>EMA MULYANI</t>
  </si>
  <si>
    <t>mulyaniema051977@gmail.com</t>
  </si>
  <si>
    <t>5523</t>
  </si>
  <si>
    <t>1uc0QlUqNYzTowL6RNOqgAFcPkGhpfPJD</t>
  </si>
  <si>
    <t>https://drive.google.com/file/d/1uc0QlUqNYzTowL6RNOqgAFcPkGhpfPJD/view?usp=drivesdk</t>
  </si>
  <si>
    <t>Document successfully created; Document successfully merged; PDF created; Emails Sent: [To: mulyaniema051977@gmail.com]; Manually run by ecertificate75@gmail.com; Timestamp: Sep 3 2024 2:04 AM</t>
  </si>
  <si>
    <t>HERNO PURWANTO SH</t>
  </si>
  <si>
    <t>hernop1977@gmail.com</t>
  </si>
  <si>
    <t>5524</t>
  </si>
  <si>
    <t>1hSs5iGl3y_1UZy-Zk-hFFQcgbGAcdYIF</t>
  </si>
  <si>
    <t>https://drive.google.com/file/d/1hSs5iGl3y_1UZy-Zk-hFFQcgbGAcdYIF/view?usp=drivesdk</t>
  </si>
  <si>
    <t>Document successfully created; Document successfully merged; PDF created; Emails Sent: [To: hernop1977@gmail.com]; Manually run by ecertificate75@gmail.com; Timestamp: Sep 3 2024 2:05 AM</t>
  </si>
  <si>
    <t>NUR ERHYTA TERTY ANTINA</t>
  </si>
  <si>
    <t>nurerhyta21@gmail.com</t>
  </si>
  <si>
    <t>5525</t>
  </si>
  <si>
    <t>1z33KYCvEgvwuGqcDSnVWL7Cp_WhqEczI</t>
  </si>
  <si>
    <t>https://drive.google.com/file/d/1z33KYCvEgvwuGqcDSnVWL7Cp_WhqEczI/view?usp=drivesdk</t>
  </si>
  <si>
    <t>Document successfully created; Document successfully merged; PDF created; Emails Sent: [To: nurerhyta21@gmail.com]; Manually run by ecertificate75@gmail.com; Timestamp: Sep 3 2024 2:05 AM</t>
  </si>
  <si>
    <t>ERNA PURDAWATI, S.Sos</t>
  </si>
  <si>
    <t>ernapurdawati5@gmail.com</t>
  </si>
  <si>
    <t>5526</t>
  </si>
  <si>
    <t>1Rn72ZDd56lja7fp68YvQnxm_EeUpVyTf</t>
  </si>
  <si>
    <t>https://drive.google.com/file/d/1Rn72ZDd56lja7fp68YvQnxm_EeUpVyTf/view?usp=drivesdk</t>
  </si>
  <si>
    <t>Document successfully created; Document successfully merged; PDF created; Emails Sent: [To: ernapurdawati5@gmail.com]; Manually run by ecertificate75@gmail.com; Timestamp: Sep 3 2024 2:05 AM</t>
  </si>
  <si>
    <t>lastripangestu@gmail.com</t>
  </si>
  <si>
    <t>5527</t>
  </si>
  <si>
    <t>1yK6aFfGg7RolIXBZxAavOF1FD30QBo-r</t>
  </si>
  <si>
    <t>https://drive.google.com/file/d/1yK6aFfGg7RolIXBZxAavOF1FD30QBo-r/view?usp=drivesdk</t>
  </si>
  <si>
    <t>Document successfully created; Document successfully merged; PDF created; Emails Sent: [To: lastripangestu@gmail.com]; Manually run by ecertificate75@gmail.com; Timestamp: Sep 3 2024 2:05 AM</t>
  </si>
  <si>
    <t>JULIANA SIBARANI</t>
  </si>
  <si>
    <t>juliana.sibarani77@gmail.com</t>
  </si>
  <si>
    <t>5528</t>
  </si>
  <si>
    <t>Starting at Thu Aug 29 2024 21:39:38 GMT-0400 (EDT)</t>
  </si>
  <si>
    <t>1glejdznkta62cTE2doBh-r_JeqzOS8xY</t>
  </si>
  <si>
    <t>https://drive.google.com/file/d/1glejdznkta62cTE2doBh-r_JeqzOS8xY/view?usp=drivesdk</t>
  </si>
  <si>
    <t>Document successfully created; Document successfully merged; PDF created; Emails Sent: [To: juliana.sibarani77@gmail.com]; Manually run by ecertificate75@gmail.com; Timestamp: Sep 3 2024 2:06 AM</t>
  </si>
  <si>
    <t>ERNA DELI</t>
  </si>
  <si>
    <t>ernadeli10@gmail.com</t>
  </si>
  <si>
    <t>5529</t>
  </si>
  <si>
    <t>1LLFskY-_fSyQRfGh9QKw-ijHY33l7TCN</t>
  </si>
  <si>
    <t>https://drive.google.com/file/d/1LLFskY-_fSyQRfGh9QKw-ijHY33l7TCN/view?usp=drivesdk</t>
  </si>
  <si>
    <t>Document successfully created; Document successfully merged; PDF created; Emails Sent: [To: ernadeli10@gmail.com]; Manually run by ecertificate75@gmail.com; Timestamp: Sep 3 2024 2:06 AM</t>
  </si>
  <si>
    <t>IMAS ROSMIATI</t>
  </si>
  <si>
    <t>imasrosmiati2@gmail.com</t>
  </si>
  <si>
    <t>5530</t>
  </si>
  <si>
    <t>1K8C-swHhr9k2DHALh1p4DHYiPqfTsbML</t>
  </si>
  <si>
    <t>https://drive.google.com/file/d/1K8C-swHhr9k2DHALh1p4DHYiPqfTsbML/view?usp=drivesdk</t>
  </si>
  <si>
    <t>Document successfully created; Document successfully merged; PDF created; Emails Sent: [To: imasrosmiati2@gmail.com]; Manually run by ecertificate75@gmail.com; Timestamp: Sep 3 2024 2:06 AM</t>
  </si>
  <si>
    <t>NUR HASANAH</t>
  </si>
  <si>
    <t>nur.hasanah.20101967@gmail.com</t>
  </si>
  <si>
    <t>5531</t>
  </si>
  <si>
    <t>13ZX2omjNIME_08C_PRjEgecybA55NW3d</t>
  </si>
  <si>
    <t>https://drive.google.com/file/d/13ZX2omjNIME_08C_PRjEgecybA55NW3d/view?usp=drivesdk</t>
  </si>
  <si>
    <t>Document successfully created; Document successfully merged; PDF created; Emails Sent: [To: nur.hasanah.20101967@gmail.com]; Manually run by ecertificate75@gmail.com; Timestamp: Sep 3 2024 2:06 AM</t>
  </si>
  <si>
    <t xml:space="preserve">FARUQ MUDHIRAINI </t>
  </si>
  <si>
    <t>yatijtr@gmail.com</t>
  </si>
  <si>
    <t>5532</t>
  </si>
  <si>
    <t>1FKcxObxUPisyO5IhzFvp2GN0YSVgvh0j</t>
  </si>
  <si>
    <t>https://drive.google.com/file/d/1FKcxObxUPisyO5IhzFvp2GN0YSVgvh0j/view?usp=drivesdk</t>
  </si>
  <si>
    <t>Document successfully created; Document successfully merged; PDF created; Emails Sent: [To: yatijtr@gmail.com]; Manually run by ecertificate75@gmail.com; Timestamp: Sep 3 2024 2:07 AM</t>
  </si>
  <si>
    <t>BUYAMIN</t>
  </si>
  <si>
    <t>b.yamin02@gmail.com</t>
  </si>
  <si>
    <t>5533</t>
  </si>
  <si>
    <t>1iv1KofNbRPVqwNZbfoInvOSczwPOEeGx</t>
  </si>
  <si>
    <t>https://drive.google.com/file/d/1iv1KofNbRPVqwNZbfoInvOSczwPOEeGx/view?usp=drivesdk</t>
  </si>
  <si>
    <t>Document successfully created; Document successfully merged; PDF created; Emails Sent: [To: b.yamin02@gmail.com]; Manually run by ecertificate75@gmail.com; Timestamp: Sep 3 2024 2:07 AM</t>
  </si>
  <si>
    <t xml:space="preserve">EVA USMAN </t>
  </si>
  <si>
    <t>evausman5484@gmail.com</t>
  </si>
  <si>
    <t>5534</t>
  </si>
  <si>
    <t>https://drive.google.com/file/d/1tVFmZwPNe2Q0pE0Mrw-hGBO0QTDpkn0z/view?usp=drivesdk</t>
  </si>
  <si>
    <t>1tVFmZwPNe2Q0pE0Mrw-hGBO0QTDpkn0z</t>
  </si>
  <si>
    <t>1FhtTSHsk_4eypTTSPaHNjFuTFKESaoYg</t>
  </si>
  <si>
    <t>https://drive.google.com/file/d/1FhtTSHsk_4eypTTSPaHNjFuTFKESaoYg/view?usp=drivesdk</t>
  </si>
  <si>
    <t>Document successfully created; Document successfully merged; PDF created; Emails Sent: [To: evausman5484@gmail.com]; Manually run by ecertificate75@gmail.com; Timestamp: Sep 3 2024 2:07 AM</t>
  </si>
  <si>
    <t>RENNY INDRAWATI RITONGA</t>
  </si>
  <si>
    <t>klinikpolresta@gmail.com</t>
  </si>
  <si>
    <t>5535</t>
  </si>
  <si>
    <t>https://drive.google.com/file/d/1RfHT9taEyG1U-VbLz1gozUZKX_rP-St2/view?usp=drivesdk</t>
  </si>
  <si>
    <t>1RfHT9taEyG1U-VbLz1gozUZKX_rP-St2</t>
  </si>
  <si>
    <t>1wslFe9OK8OE6NbH2pc_I0YTSgmrf8PpO</t>
  </si>
  <si>
    <t>https://drive.google.com/file/d/1wslFe9OK8OE6NbH2pc_I0YTSgmrf8PpO/view?usp=drivesdk</t>
  </si>
  <si>
    <t>Document successfully created; Document successfully merged; PDF created; Emails Sent: [To: klinikpolresta@gmail.com]; Manually run by ecertificate75@gmail.com; Timestamp: Sep 3 2024 2:07 AM</t>
  </si>
  <si>
    <t>HARDIE</t>
  </si>
  <si>
    <t>hardisaja2@gmail.com</t>
  </si>
  <si>
    <t>5536</t>
  </si>
  <si>
    <t>https://drive.google.com/file/d/1LcmxaSuRmDHWew-e4p1BxcDE3TXOoDNG/view?usp=drivesdk</t>
  </si>
  <si>
    <t>Document successfully created; Document successfully merged; PDF created; !!Error Sending Emails: Service invoked too many times for one day: email.; Run via form trigger as ecertificate75@gmail.com; Timestamp: Aug 29 2024 9:41 PM</t>
  </si>
  <si>
    <t>1LcmxaSuRmDHWew-e4p1BxcDE3TXOoDNG</t>
  </si>
  <si>
    <t>1SFxHKTd-hiEb-Qf3DOTtReavDuj_lj7Z</t>
  </si>
  <si>
    <t>https://drive.google.com/file/d/1SFxHKTd-hiEb-Qf3DOTtReavDuj_lj7Z/view?usp=drivesdk</t>
  </si>
  <si>
    <t>Document successfully created; Document successfully merged; PDF created; Emails Sent: [To: hardisaja2@gmail.com]; Manually run by ecertificate75@gmail.com; Timestamp: Sep 3 2024 2:07 AM</t>
  </si>
  <si>
    <t>HADI SUBOWO</t>
  </si>
  <si>
    <t>hadisubowo09@gmail.com</t>
  </si>
  <si>
    <t>5537</t>
  </si>
  <si>
    <t>https://drive.google.com/file/d/1CgxAosg97ZNyzKotLGTsY0t2MaxK9wht/view?usp=drivesdk</t>
  </si>
  <si>
    <t>1CgxAosg97ZNyzKotLGTsY0t2MaxK9wht</t>
  </si>
  <si>
    <t>1Hl16iNcuyQOllBFX47YW366WHU7Nm3kl</t>
  </si>
  <si>
    <t>https://drive.google.com/file/d/1Hl16iNcuyQOllBFX47YW366WHU7Nm3kl/view?usp=drivesdk</t>
  </si>
  <si>
    <t>Document successfully created; Document successfully merged; PDF created; Emails Sent: [To: hadisubowo09@gmail.com]; Manually run by ecertificate75@gmail.com; Timestamp: Sep 3 2024 2:07 AM</t>
  </si>
  <si>
    <t>rahmawatikamsari@gmail.com</t>
  </si>
  <si>
    <t>5538</t>
  </si>
  <si>
    <t>Starting at Thu Aug 29 2024 21:39:46 GMT-0400 (EDT)</t>
  </si>
  <si>
    <t>1b-cXOtw1e_V8XIcOhkpDt-qqQV51zYoo</t>
  </si>
  <si>
    <t>https://drive.google.com/file/d/1b-cXOtw1e_V8XIcOhkpDt-qqQV51zYoo/view?usp=drivesdk</t>
  </si>
  <si>
    <t>Document successfully created; Document successfully merged; PDF created; Emails Sent: [To: rahmawatikamsari@gmail.com]; Manually run by ecertificate75@gmail.com; Timestamp: Sep 3 2024 2:08 AM</t>
  </si>
  <si>
    <t>SHERLY SUSANA</t>
  </si>
  <si>
    <t>sherlysusana1979@gmail.com</t>
  </si>
  <si>
    <t>5539</t>
  </si>
  <si>
    <t>17p6Yu5LRsmIyHGAXUBmw5h7GPDjlUL-n</t>
  </si>
  <si>
    <t>https://drive.google.com/file/d/17p6Yu5LRsmIyHGAXUBmw5h7GPDjlUL-n/view?usp=drivesdk</t>
  </si>
  <si>
    <t>Document successfully created; Document successfully merged; PDF created; Emails Sent: [To: sherlysusana1979@gmail.com]; Manually run by ecertificate75@gmail.com; Timestamp: Sep 3 2024 2:08 AM</t>
  </si>
  <si>
    <t>VENOFRIDA</t>
  </si>
  <si>
    <t>venofrida@gmail.com</t>
  </si>
  <si>
    <t>5540</t>
  </si>
  <si>
    <t>1cXPDm_wzRve8U0uycF1HUoLNAmYS63Nr</t>
  </si>
  <si>
    <t>https://drive.google.com/file/d/1cXPDm_wzRve8U0uycF1HUoLNAmYS63Nr/view?usp=drivesdk</t>
  </si>
  <si>
    <t>Document successfully created; Document successfully merged; PDF created; Emails Sent: [To: venofrida@gmail.com]; Manually run by ecertificate75@gmail.com; Timestamp: Sep 3 2024 2:08 AM</t>
  </si>
  <si>
    <t>SUCI AGUS PRASETYANINGRUM</t>
  </si>
  <si>
    <t>sucinyaneswari@gmail.com</t>
  </si>
  <si>
    <t>5541</t>
  </si>
  <si>
    <t>1BEPivM9ZWovoclg3kAScNBu90pDuJ3-2</t>
  </si>
  <si>
    <t>https://drive.google.com/file/d/1BEPivM9ZWovoclg3kAScNBu90pDuJ3-2/view?usp=drivesdk</t>
  </si>
  <si>
    <t>Document successfully created; Document successfully merged; PDF created; Emails Sent: [To: sucinyaneswari@gmail.com]; Manually run by ecertificate75@gmail.com; Timestamp: Sep 3 2024 2:08 AM</t>
  </si>
  <si>
    <t>SITI MARYAM LUBIS, S.P.</t>
  </si>
  <si>
    <t>sitimaryamlubis75@gmail.com</t>
  </si>
  <si>
    <t>5542</t>
  </si>
  <si>
    <t>https://drive.google.com/file/d/1n9kUeyA_UqvWUOEF6IGw9vfc9lBKyLFC/view?usp=drivesdk</t>
  </si>
  <si>
    <t>1n9kUeyA_UqvWUOEF6IGw9vfc9lBKyLFC</t>
  </si>
  <si>
    <t>13oW2sWU77sMl2uQSZMk_SXJnfoF0lxzJ</t>
  </si>
  <si>
    <t>https://drive.google.com/file/d/13oW2sWU77sMl2uQSZMk_SXJnfoF0lxzJ/view?usp=drivesdk</t>
  </si>
  <si>
    <t>Document successfully created; Document successfully merged; PDF created; Emails Sent: [To: sitimaryamlubis75@gmail.com]; Manually run by ecertificate75@gmail.com; Timestamp: Sep 3 2024 2:09 AM</t>
  </si>
  <si>
    <t>ENI YUSDANELI, A.MD</t>
  </si>
  <si>
    <t>eniyusdaneli1980@gmail.com</t>
  </si>
  <si>
    <t>5543</t>
  </si>
  <si>
    <t>https://drive.google.com/file/d/10alkqrV2_zF773ka4aUhdiiuvpKEjlrH/view?usp=drivesdk</t>
  </si>
  <si>
    <t>10alkqrV2_zF773ka4aUhdiiuvpKEjlrH</t>
  </si>
  <si>
    <t>1bMZ_PEODcE3fUR-6pn0Yb8FJlOZwAQzT</t>
  </si>
  <si>
    <t>https://drive.google.com/file/d/1bMZ_PEODcE3fUR-6pn0Yb8FJlOZwAQzT/view?usp=drivesdk</t>
  </si>
  <si>
    <t>Document successfully created; Document successfully merged; PDF created; Emails Sent: [To: eniyusdaneli1980@gmail.com]; Manually run by ecertificate75@gmail.com; Timestamp: Sep 3 2024 2:09 AM</t>
  </si>
  <si>
    <t>SULMIARTI, A. Md.</t>
  </si>
  <si>
    <t>reimarionrss@gmail.com</t>
  </si>
  <si>
    <t>5544</t>
  </si>
  <si>
    <t>https://drive.google.com/file/d/1nr0eqrerw8Gv7VCL21UOU715LSRHuYoD/view?usp=drivesdk</t>
  </si>
  <si>
    <t>1nr0eqrerw8Gv7VCL21UOU715LSRHuYoD</t>
  </si>
  <si>
    <t>1N7mdD-86V0GOrLBCfTrVyPeQV6tYiSlo</t>
  </si>
  <si>
    <t>https://drive.google.com/file/d/1N7mdD-86V0GOrLBCfTrVyPeQV6tYiSlo/view?usp=drivesdk</t>
  </si>
  <si>
    <t>Document successfully created; Document successfully merged; PDF created; Emails Sent: [To: reimarionrss@gmail.com]; Manually run by ecertificate75@gmail.com; Timestamp: Sep 3 2024 2:09 AM</t>
  </si>
  <si>
    <t xml:space="preserve">LUHUR PRIHANDONO </t>
  </si>
  <si>
    <t>luhurprihandono1974@gmail.com</t>
  </si>
  <si>
    <t>5545</t>
  </si>
  <si>
    <t>https://drive.google.com/file/d/1wxIhvdFTe7QFJIBeUMzG0q38JwNvidmZ/view?usp=drivesdk</t>
  </si>
  <si>
    <t>1wxIhvdFTe7QFJIBeUMzG0q38JwNvidmZ</t>
  </si>
  <si>
    <t>1Scbz2LOQZpLrvSxLNxNvyOGMRMcGNkrm</t>
  </si>
  <si>
    <t>https://drive.google.com/file/d/1Scbz2LOQZpLrvSxLNxNvyOGMRMcGNkrm/view?usp=drivesdk</t>
  </si>
  <si>
    <t>Document successfully created; Document successfully merged; PDF created; Emails Sent: [To: luhurprihandono1974@gmail.com]; Manually run by ecertificate75@gmail.com; Timestamp: Sep 3 2024 2:09 AM</t>
  </si>
  <si>
    <t>MUNIEF ARDIANTO</t>
  </si>
  <si>
    <t>ardianto.munif29@gmail.com</t>
  </si>
  <si>
    <t>5546</t>
  </si>
  <si>
    <t>https://drive.google.com/file/d/16ItPh7YMozpxuHcDvmdDba2-T_BEwFzb/view?usp=drivesdk</t>
  </si>
  <si>
    <t>16ItPh7YMozpxuHcDvmdDba2-T_BEwFzb</t>
  </si>
  <si>
    <t>1MImT5y0XukiVoP7b43ntx-9xIDdyPzMm</t>
  </si>
  <si>
    <t>https://drive.google.com/file/d/1MImT5y0XukiVoP7b43ntx-9xIDdyPzMm/view?usp=drivesdk</t>
  </si>
  <si>
    <t>Document successfully created; Document successfully merged; PDF created; Emails Sent: [To: ardianto.munif29@gmail.com]; Manually run by ecertificate75@gmail.com; Timestamp: Sep 3 2024 2:09 AM</t>
  </si>
  <si>
    <t xml:space="preserve">DINA MARIYANTI </t>
  </si>
  <si>
    <t>dinamariyanti6@gmail.com</t>
  </si>
  <si>
    <t>5547</t>
  </si>
  <si>
    <t>https://drive.google.com/file/d/1V1XxpN6314Cinu52rX1QcQWReUYowbcD/view?usp=drivesdk</t>
  </si>
  <si>
    <t>1V1XxpN6314Cinu52rX1QcQWReUYowbcD</t>
  </si>
  <si>
    <t>1j6YfZwNV7Wpg7nCMxloTMTVWCVLNm7B9</t>
  </si>
  <si>
    <t>https://drive.google.com/file/d/1j6YfZwNV7Wpg7nCMxloTMTVWCVLNm7B9/view?usp=drivesdk</t>
  </si>
  <si>
    <t>Document successfully created; Document successfully merged; PDF created; Emails Sent: [To: dinamariyanti6@gmail.com]; Manually run by ecertificate75@gmail.com; Timestamp: Sep 3 2024 2:10 AM</t>
  </si>
  <si>
    <t>ROSMALINAR, S. H</t>
  </si>
  <si>
    <t>rosmalinar697@gmail.com</t>
  </si>
  <si>
    <t>5548</t>
  </si>
  <si>
    <t>https://drive.google.com/file/d/1YuU_sF3qu0qHYPdjWKYXRqh7YUIHpdvK/view?usp=drivesdk</t>
  </si>
  <si>
    <t>1YuU_sF3qu0qHYPdjWKYXRqh7YUIHpdvK</t>
  </si>
  <si>
    <t>1gPaBskqHGlx55tmwys0fRU2iCuX5VXjM</t>
  </si>
  <si>
    <t>https://drive.google.com/file/d/1gPaBskqHGlx55tmwys0fRU2iCuX5VXjM/view?usp=drivesdk</t>
  </si>
  <si>
    <t>Document successfully created; Document successfully merged; PDF created; Emails Sent: [To: rosmalinar697@gmail.com]; Manually run by ecertificate75@gmail.com; Timestamp: Sep 3 2024 2:10 AM</t>
  </si>
  <si>
    <t>indriani070375@gmail.com</t>
  </si>
  <si>
    <t>5549</t>
  </si>
  <si>
    <t>https://drive.google.com/file/d/1_Vj9DqnlT51OpjCD9kDIeBSV1f4tCEWH/view?usp=drivesdk</t>
  </si>
  <si>
    <t>1_Vj9DqnlT51OpjCD9kDIeBSV1f4tCEWH</t>
  </si>
  <si>
    <t>1IcBd_1q6GVdgduZ5oACaELkYCn8-zeiO</t>
  </si>
  <si>
    <t>https://drive.google.com/file/d/1IcBd_1q6GVdgduZ5oACaELkYCn8-zeiO/view?usp=drivesdk</t>
  </si>
  <si>
    <t>Document successfully created; Document successfully merged; PDF created; Emails Sent: [To: indriani070375@gmail.com]; Manually run by ecertificate75@gmail.com; Timestamp: Sep 3 2024 2:10 AM</t>
  </si>
  <si>
    <t>ANDRI HIDAYAT, S.E.</t>
  </si>
  <si>
    <t>andrihidayat1307@gmail.com</t>
  </si>
  <si>
    <t>5550</t>
  </si>
  <si>
    <t>https://drive.google.com/file/d/1nVJvzy-IwQIXpQRQs2U7EcNs762zQfru/view?usp=drivesdk</t>
  </si>
  <si>
    <t>1nVJvzy-IwQIXpQRQs2U7EcNs762zQfru</t>
  </si>
  <si>
    <t>1iUvqQbjmpvvuo8WLQZGKDzB9ixAPDyZH</t>
  </si>
  <si>
    <t>https://drive.google.com/file/d/1iUvqQbjmpvvuo8WLQZGKDzB9ixAPDyZH/view?usp=drivesdk</t>
  </si>
  <si>
    <t>Document successfully created; Document successfully merged; PDF created; Emails Sent: [To: andrihidayat1307@gmail.com]; Manually run by ecertificate75@gmail.com; Timestamp: Sep 3 2024 2:10 AM</t>
  </si>
  <si>
    <t xml:space="preserve">INDRIATY, S.E. </t>
  </si>
  <si>
    <t>indriaty655@gmail.com</t>
  </si>
  <si>
    <t>5551</t>
  </si>
  <si>
    <t>https://drive.google.com/file/d/1x39wbIzIZnBWZbvj1tl4CVS6vijzS9n5/view?usp=drivesdk</t>
  </si>
  <si>
    <t>1x39wbIzIZnBWZbvj1tl4CVS6vijzS9n5</t>
  </si>
  <si>
    <t>1UxJAUt-Uj8nCJJnRjAthVorOmPymAgM5</t>
  </si>
  <si>
    <t>https://drive.google.com/file/d/1UxJAUt-Uj8nCJJnRjAthVorOmPymAgM5/view?usp=drivesdk</t>
  </si>
  <si>
    <t>Document successfully created; Document successfully merged; PDF created; Emails Sent: [To: indriaty655@gmail.com]; Manually run by ecertificate75@gmail.com; Timestamp: Sep 3 2024 2:10 AM</t>
  </si>
  <si>
    <t>MAGDALENA YANTI</t>
  </si>
  <si>
    <t>yanti.agiv@gmail.com</t>
  </si>
  <si>
    <t>5552</t>
  </si>
  <si>
    <t>https://drive.google.com/file/d/1WZjxuUzuReWC9DPvt5UVozqZAiMehHbC/view?usp=drivesdk</t>
  </si>
  <si>
    <t>1WZjxuUzuReWC9DPvt5UVozqZAiMehHbC</t>
  </si>
  <si>
    <t>1V8CAwCUQBfflNbDuHQqYASHDQfUd_R4K</t>
  </si>
  <si>
    <t>https://drive.google.com/file/d/1V8CAwCUQBfflNbDuHQqYASHDQfUd_R4K/view?usp=drivesdk</t>
  </si>
  <si>
    <t>Document successfully created; Document successfully merged; PDF created; Emails Sent: [To: yanti.agiv@gmail.com]; Manually run by ecertificate75@gmail.com; Timestamp: Sep 3 2024 2:11 AM</t>
  </si>
  <si>
    <t>MAULITA, S.K.M.,M.Si.</t>
  </si>
  <si>
    <t>litamaulita03@gmail.com</t>
  </si>
  <si>
    <t>5553</t>
  </si>
  <si>
    <t>https://drive.google.com/file/d/178RWIJ2cnegx8du5RjdkQQeQxeAV3OZg/view?usp=drivesdk</t>
  </si>
  <si>
    <t>178RWIJ2cnegx8du5RjdkQQeQxeAV3OZg</t>
  </si>
  <si>
    <t>1TCQQi9j5iSa9jxIk3y_tWwfrHXrgNfQo</t>
  </si>
  <si>
    <t>https://drive.google.com/file/d/1TCQQi9j5iSa9jxIk3y_tWwfrHXrgNfQo/view?usp=drivesdk</t>
  </si>
  <si>
    <t>Document successfully created; Document successfully merged; PDF created; Emails Sent: [To: litamaulita03@gmail.com]; Manually run by ecertificate75@gmail.com; Timestamp: Sep 3 2024 2:11 AM</t>
  </si>
  <si>
    <t>ROHANI</t>
  </si>
  <si>
    <t>rohani@gmail.com</t>
  </si>
  <si>
    <t>5554</t>
  </si>
  <si>
    <t>https://drive.google.com/file/d/17UdHoUcoW_McYyMpMlByV3QtAXFUhTBb/view?usp=drivesdk</t>
  </si>
  <si>
    <t>17UdHoUcoW_McYyMpMlByV3QtAXFUhTBb</t>
  </si>
  <si>
    <t>173C5yI0vx8M0aCfpncN8A2_QSwf9NrKE</t>
  </si>
  <si>
    <t>https://drive.google.com/file/d/173C5yI0vx8M0aCfpncN8A2_QSwf9NrKE/view?usp=drivesdk</t>
  </si>
  <si>
    <t>Document successfully created; Document successfully merged; PDF created; Emails Sent: [To: rohani@gmail.com]; Manually run by ecertificate75@gmail.com; Timestamp: Sep 3 2024 2:11 AM</t>
  </si>
  <si>
    <t>AGUS PRIBADI</t>
  </si>
  <si>
    <t>guspri75@yahoo.com</t>
  </si>
  <si>
    <t>5555</t>
  </si>
  <si>
    <t>https://drive.google.com/file/d/1prvUbgTqoKQji7TUv9LhpltjkFbV9n7a/view?usp=drivesdk</t>
  </si>
  <si>
    <t>1prvUbgTqoKQji7TUv9LhpltjkFbV9n7a</t>
  </si>
  <si>
    <t>1ZM4tZ-B5mHoM_BNZEqa-bZCPLfvno1zS</t>
  </si>
  <si>
    <t>https://drive.google.com/file/d/1ZM4tZ-B5mHoM_BNZEqa-bZCPLfvno1zS/view?usp=drivesdk</t>
  </si>
  <si>
    <t>Document successfully created; Document successfully merged; PDF created; Emails Sent: [To: guspri75@yahoo.com]; Manually run by ecertificate75@gmail.com; Timestamp: Sep 3 2024 2:11 AM</t>
  </si>
  <si>
    <t>Nurul Eny Kusrini</t>
  </si>
  <si>
    <t>nuruleny2018@gmail.com</t>
  </si>
  <si>
    <t>5556</t>
  </si>
  <si>
    <t>https://drive.google.com/file/d/1jTStf-Dqt7zO16fcvM6ToHNElZV-gTie/view?usp=drivesdk</t>
  </si>
  <si>
    <t>1jTStf-Dqt7zO16fcvM6ToHNElZV-gTie</t>
  </si>
  <si>
    <t>131NEeDY979FV6UdQApzaHMrMh0LCmD9X</t>
  </si>
  <si>
    <t>https://drive.google.com/file/d/131NEeDY979FV6UdQApzaHMrMh0LCmD9X/view?usp=drivesdk</t>
  </si>
  <si>
    <t>Document successfully created; Document successfully merged; PDF created; Emails Sent: [To: nuruleny2018@gmail.com]; Manually run by ecertificate75@gmail.com; Timestamp: Sep 3 2024 2:12 AM</t>
  </si>
  <si>
    <t xml:space="preserve">YENI OKTAVIYANTI </t>
  </si>
  <si>
    <t>yeniokta1085@gmail.com</t>
  </si>
  <si>
    <t>5557</t>
  </si>
  <si>
    <t>https://drive.google.com/file/d/15mJQSBcI8BfBUB5JPa5rne2-8p1I5hVm/view?usp=drivesdk</t>
  </si>
  <si>
    <t>15mJQSBcI8BfBUB5JPa5rne2-8p1I5hVm</t>
  </si>
  <si>
    <t>1DcVKh_8t8XL_CSyG1QbnpgZQkCMCchIx</t>
  </si>
  <si>
    <t>https://drive.google.com/file/d/1DcVKh_8t8XL_CSyG1QbnpgZQkCMCchIx/view?usp=drivesdk</t>
  </si>
  <si>
    <t>Document successfully created; Document successfully merged; PDF created; Emails Sent: [To: yeniokta1085@gmail.com]; Manually run by ecertificate75@gmail.com; Timestamp: Sep 3 2024 2:12 AM</t>
  </si>
  <si>
    <t>MAULIDAYANI</t>
  </si>
  <si>
    <t>maulidayaniunmuhamkm@gmail.com</t>
  </si>
  <si>
    <t>5558</t>
  </si>
  <si>
    <t>https://drive.google.com/file/d/1FUaJh289Vx5BtjXvxrLUnATikYoSDS2Y/view?usp=drivesdk</t>
  </si>
  <si>
    <t>1FUaJh289Vx5BtjXvxrLUnATikYoSDS2Y</t>
  </si>
  <si>
    <t>1cILbfew1jjU_-P6iIGPBocgSzl5pTqsx</t>
  </si>
  <si>
    <t>https://drive.google.com/file/d/1cILbfew1jjU_-P6iIGPBocgSzl5pTqsx/view?usp=drivesdk</t>
  </si>
  <si>
    <t>Document successfully created; Document successfully merged; PDF created; Emails Sent: [To: maulidayaniunmuhamkm@gmail.com]; Manually run by ecertificate75@gmail.com; Timestamp: Sep 3 2024 2:12 AM</t>
  </si>
  <si>
    <t>AGUS SETIONO</t>
  </si>
  <si>
    <t>asetiono77@gmail.com</t>
  </si>
  <si>
    <t>5559</t>
  </si>
  <si>
    <t>https://drive.google.com/file/d/1B_tkNS7jZLt8BFG2i_vkbMvWaS2LY1Mi/view?usp=drivesdk</t>
  </si>
  <si>
    <t>1B_tkNS7jZLt8BFG2i_vkbMvWaS2LY1Mi</t>
  </si>
  <si>
    <t>12p22WlpJtut6QyxEwUrzZC3APKq-Fmid</t>
  </si>
  <si>
    <t>https://drive.google.com/file/d/12p22WlpJtut6QyxEwUrzZC3APKq-Fmid/view?usp=drivesdk</t>
  </si>
  <si>
    <t>Document successfully created; Document successfully merged; PDF created; Emails Sent: [To: asetiono77@gmail.com]; Manually run by ecertificate75@gmail.com; Timestamp: Sep 3 2024 2:12 AM</t>
  </si>
  <si>
    <t>SITI HAZIZAH</t>
  </si>
  <si>
    <t>sitihazizah2023@gmail.com</t>
  </si>
  <si>
    <t>5560</t>
  </si>
  <si>
    <t>https://drive.google.com/file/d/1BXoCuT7YNxJO3GU20VKK3cr-TB-vh8U9/view?usp=drivesdk</t>
  </si>
  <si>
    <t>1BXoCuT7YNxJO3GU20VKK3cr-TB-vh8U9</t>
  </si>
  <si>
    <t>1J5L8SKoLIySB9bCJ-XozxxKvQaxMgwmA</t>
  </si>
  <si>
    <t>https://drive.google.com/file/d/1J5L8SKoLIySB9bCJ-XozxxKvQaxMgwmA/view?usp=drivesdk</t>
  </si>
  <si>
    <t>Document successfully created; Document successfully merged; PDF created; Emails Sent: [To: sitihazizah2023@gmail.com]; Manually run by ecertificate75@gmail.com; Timestamp: Sep 3 2024 2:13 AM</t>
  </si>
  <si>
    <t xml:space="preserve">WIJI ASTUTI </t>
  </si>
  <si>
    <t>wijiastuti.pns1@gmail.com</t>
  </si>
  <si>
    <t>5561</t>
  </si>
  <si>
    <t>https://drive.google.com/file/d/1k8rGoDsmJkYSpNobcLiPk6zDjgFlzPCB/view?usp=drivesdk</t>
  </si>
  <si>
    <t>1k8rGoDsmJkYSpNobcLiPk6zDjgFlzPCB</t>
  </si>
  <si>
    <t>1G0Bk6X2YH2d3aTGDepKewMtzYHOZaVZF</t>
  </si>
  <si>
    <t>https://drive.google.com/file/d/1G0Bk6X2YH2d3aTGDepKewMtzYHOZaVZF/view?usp=drivesdk</t>
  </si>
  <si>
    <t>Document successfully created; Document successfully merged; PDF created; Emails Sent: [To: wijiastuti.pns1@gmail.com]; Manually run by ecertificate75@gmail.com; Timestamp: Sep 3 2024 2:13 AM</t>
  </si>
  <si>
    <t>ISUS SUSANTI, S.AP</t>
  </si>
  <si>
    <t>spripimpoldajambi@gmail.com</t>
  </si>
  <si>
    <t>5562</t>
  </si>
  <si>
    <t>https://drive.google.com/file/d/1C8j-61pA5xvE0l6lz7uTbM6jbeCCl_5r/view?usp=drivesdk</t>
  </si>
  <si>
    <t>1C8j-61pA5xvE0l6lz7uTbM6jbeCCl_5r</t>
  </si>
  <si>
    <t>17PCYDzDDKS8ntBx0LGZTRO6IU3ITIrP5</t>
  </si>
  <si>
    <t>https://drive.google.com/file/d/17PCYDzDDKS8ntBx0LGZTRO6IU3ITIrP5/view?usp=drivesdk</t>
  </si>
  <si>
    <t>Document successfully created; Document successfully merged; PDF created; Emails Sent: [To: spripimpoldajambi@gmail.com]; Manually run by ecertificate75@gmail.com; Timestamp: Sep 3 2024 2:13 AM</t>
  </si>
  <si>
    <t>NANI YULIA</t>
  </si>
  <si>
    <t>naniyulia19@gmail.com</t>
  </si>
  <si>
    <t>5563</t>
  </si>
  <si>
    <t>https://drive.google.com/file/d/1jQPtpyrZjlFLNsj-SE52qz_vf9XD8ybn/view?usp=drivesdk</t>
  </si>
  <si>
    <t>1jQPtpyrZjlFLNsj-SE52qz_vf9XD8ybn</t>
  </si>
  <si>
    <t>183HwPJQrCwcoGc4csEjMH9CviyyAQQLG</t>
  </si>
  <si>
    <t>https://drive.google.com/file/d/183HwPJQrCwcoGc4csEjMH9CviyyAQQLG/view?usp=drivesdk</t>
  </si>
  <si>
    <t>Document successfully created; Document successfully merged; PDF created; Emails Sent: [To: naniyulia19@gmail.com]; Manually run by ecertificate75@gmail.com; Timestamp: Sep 3 2024 2:13 AM</t>
  </si>
  <si>
    <t>RACHMAT</t>
  </si>
  <si>
    <t>riady.rachmat75@gmail.com</t>
  </si>
  <si>
    <t>5564</t>
  </si>
  <si>
    <t>https://drive.google.com/file/d/1fH2pQ1ZNabsPne7VJhL2rZiWpCBzdHGb/view?usp=drivesdk</t>
  </si>
  <si>
    <t>1fH2pQ1ZNabsPne7VJhL2rZiWpCBzdHGb</t>
  </si>
  <si>
    <t>1M2ts_AhGM_ue19gDUi7T4wXk1n1fROyF</t>
  </si>
  <si>
    <t>https://drive.google.com/file/d/1M2ts_AhGM_ue19gDUi7T4wXk1n1fROyF/view?usp=drivesdk</t>
  </si>
  <si>
    <t>Document successfully created; Document successfully merged; PDF created; Emails Sent: [To: riady.rachmat75@gmail.com]; Manually run by ecertificate75@gmail.com; Timestamp: Sep 3 2024 2:13 AM</t>
  </si>
  <si>
    <t>MUHAMMAD ALWI, A. Md</t>
  </si>
  <si>
    <t>alwihs82@gmail.com</t>
  </si>
  <si>
    <t>5565</t>
  </si>
  <si>
    <t>https://drive.google.com/file/d/187wAO2mbph87wsl99mImyL8Wol96LBsQ/view?usp=drivesdk</t>
  </si>
  <si>
    <t>187wAO2mbph87wsl99mImyL8Wol96LBsQ</t>
  </si>
  <si>
    <t>1WASDzFvIIV57N2Jyp4mOciwAK7xWzeMG</t>
  </si>
  <si>
    <t>https://drive.google.com/file/d/1WASDzFvIIV57N2Jyp4mOciwAK7xWzeMG/view?usp=drivesdk</t>
  </si>
  <si>
    <t>Document successfully created; Document successfully merged; PDF created; Emails Sent: [To: alwihs82@gmail.com]; Manually run by ecertificate75@gmail.com; Timestamp: Sep 3 2024 2:13 AM</t>
  </si>
  <si>
    <t>NANI SUHARNI</t>
  </si>
  <si>
    <t>nanisuharni69@gmail.com</t>
  </si>
  <si>
    <t>5566</t>
  </si>
  <si>
    <t>https://drive.google.com/file/d/1iVlEQHXzRRCuLal0Szm1emEc9ZN4_Ky3/view?usp=drivesdk</t>
  </si>
  <si>
    <t>1iVlEQHXzRRCuLal0Szm1emEc9ZN4_Ky3</t>
  </si>
  <si>
    <t>16HRCdJHtGE8shQXr2k1GBWNOVKEH1g5l</t>
  </si>
  <si>
    <t>https://drive.google.com/file/d/16HRCdJHtGE8shQXr2k1GBWNOVKEH1g5l/view?usp=drivesdk</t>
  </si>
  <si>
    <t>Document successfully created; Document successfully merged; PDF created; Emails Sent: [To: nanisuharni69@gmail.com]; Manually run by ecertificate75@gmail.com; Timestamp: Sep 3 2024 2:14 AM</t>
  </si>
  <si>
    <t xml:space="preserve">NURHAYATI </t>
  </si>
  <si>
    <t>nurhayati05673@gmail.com</t>
  </si>
  <si>
    <t>5567</t>
  </si>
  <si>
    <t>https://drive.google.com/file/d/1hvWSzXjyAUDpv6B_ftrXj2drYCn5V4T3/view?usp=drivesdk</t>
  </si>
  <si>
    <t>1hvWSzXjyAUDpv6B_ftrXj2drYCn5V4T3</t>
  </si>
  <si>
    <t>1oWzkpYACayT8kIzv1YyXSrbY9G6bSfg4</t>
  </si>
  <si>
    <t>https://drive.google.com/file/d/1oWzkpYACayT8kIzv1YyXSrbY9G6bSfg4/view?usp=drivesdk</t>
  </si>
  <si>
    <t>Document successfully created; Document successfully merged; PDF created; Emails Sent: [To: nurhayati05673@gmail.com]; Manually run by ecertificate75@gmail.com; Timestamp: Sep 3 2024 2:14 AM</t>
  </si>
  <si>
    <t>NUR QOIRI, S.IP.</t>
  </si>
  <si>
    <t>qoiri2009@gmail.com</t>
  </si>
  <si>
    <t>5568</t>
  </si>
  <si>
    <t>https://drive.google.com/file/d/12tRTeE0AgxXzuCdrzQTuJTS2izeklWwq/view?usp=drivesdk</t>
  </si>
  <si>
    <t>12tRTeE0AgxXzuCdrzQTuJTS2izeklWwq</t>
  </si>
  <si>
    <t>1k6tKEkzUmRnuEarBngj1W8lQDhYqJwOx</t>
  </si>
  <si>
    <t>https://drive.google.com/file/d/1k6tKEkzUmRnuEarBngj1W8lQDhYqJwOx/view?usp=drivesdk</t>
  </si>
  <si>
    <t>Document successfully created; Document successfully merged; PDF created; Emails Sent: [To: qoiri2009@gmail.com]; Manually run by ecertificate75@gmail.com; Timestamp: Sep 3 2024 2:14 AM</t>
  </si>
  <si>
    <t>SAIFUL RAHMAN, SE</t>
  </si>
  <si>
    <t>rahmansaiful2016@gmail.com</t>
  </si>
  <si>
    <t>5569</t>
  </si>
  <si>
    <t>https://drive.google.com/file/d/1dgEpWD6tAzxtdGd5Y0iTAmw9lGfObOz_/view?usp=drivesdk</t>
  </si>
  <si>
    <t>1dgEpWD6tAzxtdGd5Y0iTAmw9lGfObOz_</t>
  </si>
  <si>
    <t>1fBkHgLldY5XOXasKqfK6fVghggiEy1gd</t>
  </si>
  <si>
    <t>https://drive.google.com/file/d/1fBkHgLldY5XOXasKqfK6fVghggiEy1gd/view?usp=drivesdk</t>
  </si>
  <si>
    <t>Document successfully created; Document successfully merged; PDF created; Emails Sent: [To: rahmansaiful2016@gmail.com]; Manually run by ecertificate75@gmail.com; Timestamp: Sep 3 2024 2:14 AM</t>
  </si>
  <si>
    <t>RENNY ROSALINA, AMKp</t>
  </si>
  <si>
    <t>renny198112@gmail.com</t>
  </si>
  <si>
    <t>5570</t>
  </si>
  <si>
    <t>https://drive.google.com/file/d/1tgqyDkn-2wIF3NVFp07S39XjEICs5S2C/view?usp=drivesdk</t>
  </si>
  <si>
    <t>1tgqyDkn-2wIF3NVFp07S39XjEICs5S2C</t>
  </si>
  <si>
    <t>1NxMqUtft145bvJYVx5wFlHek1Q6UBxOc</t>
  </si>
  <si>
    <t>https://drive.google.com/file/d/1NxMqUtft145bvJYVx5wFlHek1Q6UBxOc/view?usp=drivesdk</t>
  </si>
  <si>
    <t>Document successfully created; Document successfully merged; PDF created; Emails Sent: [To: renny198112@gmail.com]; Manually run by ecertificate75@gmail.com; Timestamp: Sep 3 2024 2:15 AM</t>
  </si>
  <si>
    <t>Rjuwita069@gmail.com</t>
  </si>
  <si>
    <t>5571</t>
  </si>
  <si>
    <t>https://drive.google.com/file/d/1g3j54965mTK4gUEXue57MFFOuznBPDnJ/view?usp=drivesdk</t>
  </si>
  <si>
    <t>1g3j54965mTK4gUEXue57MFFOuznBPDnJ</t>
  </si>
  <si>
    <t>1XGVKgjZweWrjRSNDvA_nEwJXLhQzD9rC</t>
  </si>
  <si>
    <t>https://drive.google.com/file/d/1XGVKgjZweWrjRSNDvA_nEwJXLhQzD9rC/view?usp=drivesdk</t>
  </si>
  <si>
    <t>Document successfully created; Document successfully merged; PDF created; Emails Sent: [To: Rjuwita069@gmail.com]; Manually run by ecertificate75@gmail.com; Timestamp: Sep 3 2024 2:15 AM</t>
  </si>
  <si>
    <t>IBNU AROJAK, S.KOM., M.AP.</t>
  </si>
  <si>
    <t>ibnuarojak25@gmail.com</t>
  </si>
  <si>
    <t>5572</t>
  </si>
  <si>
    <t>https://drive.google.com/file/d/1x5n1QekyiaRlmmUPGTqXtBA--jhSFM8l/view?usp=drivesdk</t>
  </si>
  <si>
    <t>1x5n1QekyiaRlmmUPGTqXtBA--jhSFM8l</t>
  </si>
  <si>
    <t>1vykKDgmP9L1EY_Yq-v1UrHJK4dRce8Bn</t>
  </si>
  <si>
    <t>https://drive.google.com/file/d/1vykKDgmP9L1EY_Yq-v1UrHJK4dRce8Bn/view?usp=drivesdk</t>
  </si>
  <si>
    <t>Document successfully created; Document successfully merged; PDF created; Emails Sent: [To: ibnuarojak25@gmail.com]; Manually run by ecertificate75@gmail.com; Timestamp: Sep 3 2024 2:15 AM</t>
  </si>
  <si>
    <t>HASTUTI.S.Farm</t>
  </si>
  <si>
    <t>hastuti0381@gmail.com</t>
  </si>
  <si>
    <t>5573</t>
  </si>
  <si>
    <t>https://drive.google.com/file/d/1Ys89XJXCKnlWRKipHmZWozw8_UWOftm-/view?usp=drivesdk</t>
  </si>
  <si>
    <t>1Ys89XJXCKnlWRKipHmZWozw8_UWOftm-</t>
  </si>
  <si>
    <t>1YFa3YNNsOV8grsi67TdH3K_YR0PRAozz</t>
  </si>
  <si>
    <t>https://drive.google.com/file/d/1YFa3YNNsOV8grsi67TdH3K_YR0PRAozz/view?usp=drivesdk</t>
  </si>
  <si>
    <t>Document successfully created; Document successfully merged; PDF created; Emails Sent: [To: hastuti0381@gmail.com]; Manually run by ecertificate75@gmail.com; Timestamp: Sep 3 2024 2:15 AM</t>
  </si>
  <si>
    <t xml:space="preserve">ZULAIHAH </t>
  </si>
  <si>
    <t>ihah0706@gmail.com</t>
  </si>
  <si>
    <t>5574</t>
  </si>
  <si>
    <t>Starting at Thu Aug 29 2024 21:40:16 GMT-0400 (EDT)</t>
  </si>
  <si>
    <t>1ZNgpdtJdEhNz5ZQ23ZzJsegGEWn86toC</t>
  </si>
  <si>
    <t>https://drive.google.com/file/d/1ZNgpdtJdEhNz5ZQ23ZzJsegGEWn86toC/view?usp=drivesdk</t>
  </si>
  <si>
    <t>Document successfully created; Document successfully merged; PDF created; Emails Sent: [To: ihah0706@gmail.com]; Manually run by ecertificate75@gmail.com; Timestamp: Sep 3 2024 2:15 AM</t>
  </si>
  <si>
    <t>GUSTI AYU PUTU ERNAWATI, S.E.</t>
  </si>
  <si>
    <t>gustierna3@gmail.com</t>
  </si>
  <si>
    <t>5575</t>
  </si>
  <si>
    <t>14ChI1ksChlRatmac7ct1l-I0Sl776P3M</t>
  </si>
  <si>
    <t>https://drive.google.com/file/d/14ChI1ksChlRatmac7ct1l-I0Sl776P3M/view?usp=drivesdk</t>
  </si>
  <si>
    <t>Document successfully created; Document successfully merged; PDF created; Emails Sent: [To: gustierna3@gmail.com]; Manually run by ecertificate75@gmail.com; Timestamp: Sep 3 2024 2:16 AM</t>
  </si>
  <si>
    <t>Syamsuriyani. A, Md, Kep</t>
  </si>
  <si>
    <t>rhiasyamsuriyani@gmail.com</t>
  </si>
  <si>
    <t>5576</t>
  </si>
  <si>
    <t>1Q_wBSIZo16GBO0NjNhr-FfOq34cDYIvZ</t>
  </si>
  <si>
    <t>https://drive.google.com/file/d/1Q_wBSIZo16GBO0NjNhr-FfOq34cDYIvZ/view?usp=drivesdk</t>
  </si>
  <si>
    <t>Document successfully created; Document successfully merged; PDF created; Emails Sent: [To: rhiasyamsuriyani@gmail.com]; Manually run by ecertificate75@gmail.com; Timestamp: Sep 3 2024 2:16 AM</t>
  </si>
  <si>
    <t>NUR SUMARDI</t>
  </si>
  <si>
    <t>nursyahrul45@gmail.com</t>
  </si>
  <si>
    <t>5577</t>
  </si>
  <si>
    <t>1wkUBqZAdrjxdDC3W6bztzh4xqnbpBJz4</t>
  </si>
  <si>
    <t>https://drive.google.com/file/d/1wkUBqZAdrjxdDC3W6bztzh4xqnbpBJz4/view?usp=drivesdk</t>
  </si>
  <si>
    <t>Document successfully created; Document successfully merged; PDF created; Emails Sent: [To: nursyahrul45@gmail.com]; Manually run by ecertificate75@gmail.com; Timestamp: Sep 3 2024 2:16 AM</t>
  </si>
  <si>
    <t>AMININ</t>
  </si>
  <si>
    <t>aminin6677@gmail.com</t>
  </si>
  <si>
    <t>5578</t>
  </si>
  <si>
    <t>1k3cSVrW2AKepWRkH70gSCFO-Ao-WJzaM</t>
  </si>
  <si>
    <t>https://drive.google.com/file/d/1k3cSVrW2AKepWRkH70gSCFO-Ao-WJzaM/view?usp=drivesdk</t>
  </si>
  <si>
    <t>Document successfully created; Document successfully merged; PDF created; Emails Sent: [To: aminin6677@gmail.com]; Manually run by ecertificate75@gmail.com; Timestamp: Sep 3 2024 2:16 AM</t>
  </si>
  <si>
    <t>EFENDI WAHYU WIJAYA</t>
  </si>
  <si>
    <t>fendi.pns76@gmail.com</t>
  </si>
  <si>
    <t>5579</t>
  </si>
  <si>
    <t>1KOh7lUa5ZroDaXFn8vsyoAQCmPHg8icr</t>
  </si>
  <si>
    <t>https://drive.google.com/file/d/1KOh7lUa5ZroDaXFn8vsyoAQCmPHg8icr/view?usp=drivesdk</t>
  </si>
  <si>
    <t>Document successfully created; Document successfully merged; PDF created; Emails Sent: [To: fendi.pns76@gmail.com]; Manually run by ecertificate75@gmail.com; Timestamp: Sep 3 2024 2:17 AM</t>
  </si>
  <si>
    <t>ROSSY YULIANA</t>
  </si>
  <si>
    <t>rosirosii287@gmail.com</t>
  </si>
  <si>
    <t>5580</t>
  </si>
  <si>
    <t>1O1rRfeA0-dTqHgmaSmFXnDO7BWYoX0xV</t>
  </si>
  <si>
    <t>https://drive.google.com/file/d/1O1rRfeA0-dTqHgmaSmFXnDO7BWYoX0xV/view?usp=drivesdk</t>
  </si>
  <si>
    <t>Document successfully created; Document successfully merged; PDF created; Emails Sent: [To: rosirosii287@gmail.com]; Manually run by ecertificate75@gmail.com; Timestamp: Sep 3 2024 2:17 AM</t>
  </si>
  <si>
    <t>SRI AGUSTINA</t>
  </si>
  <si>
    <t>teena.lia@gmail.com</t>
  </si>
  <si>
    <t>5581</t>
  </si>
  <si>
    <t>https://drive.google.com/file/d/1KQHpxVi3IBKiw4sHBBTjD1nmlPUTLL-g/view?usp=drivesdk</t>
  </si>
  <si>
    <t>1KQHpxVi3IBKiw4sHBBTjD1nmlPUTLL-g</t>
  </si>
  <si>
    <t>1kW2wg2TIs8uC0pz3Yt5gmEkybdAbR-gB</t>
  </si>
  <si>
    <t>https://drive.google.com/file/d/1kW2wg2TIs8uC0pz3Yt5gmEkybdAbR-gB/view?usp=drivesdk</t>
  </si>
  <si>
    <t>Document successfully created; Document successfully merged; PDF created; Emails Sent: [To: teena.lia@gmail.com]; Manually run by ecertificate75@gmail.com; Timestamp: Sep 3 2024 2:17 AM</t>
  </si>
  <si>
    <t>YUSRON</t>
  </si>
  <si>
    <t>icanyusron@gmail.com</t>
  </si>
  <si>
    <t>5582</t>
  </si>
  <si>
    <t>https://drive.google.com/file/d/12y8v03met3E3utU7iWjtGdjJe3nA3b-c/view?usp=drivesdk</t>
  </si>
  <si>
    <t>12y8v03met3E3utU7iWjtGdjJe3nA3b-c</t>
  </si>
  <si>
    <t>14m2NE4KK1J6Sz8LbHhvbiQNQz1qn3WYm</t>
  </si>
  <si>
    <t>https://drive.google.com/file/d/14m2NE4KK1J6Sz8LbHhvbiQNQz1qn3WYm/view?usp=drivesdk</t>
  </si>
  <si>
    <t>Document successfully created; Document successfully merged; PDF created; Emails Sent: [To: icanyusron@gmail.com]; Manually run by ecertificate75@gmail.com; Timestamp: Sep 3 2024 2:17 AM</t>
  </si>
  <si>
    <t>DWI HASTUTIK,Skep,Ns</t>
  </si>
  <si>
    <t>dwihastutikbhayangkara@gmail.com</t>
  </si>
  <si>
    <t>5583</t>
  </si>
  <si>
    <t>Starting at Thu Aug 29 2024 21:40:23 GMT-0400 (EDT)</t>
  </si>
  <si>
    <t>1aH-DSaogZ4PLZMl10Yde343KBeKsS4W-</t>
  </si>
  <si>
    <t>https://drive.google.com/file/d/1aH-DSaogZ4PLZMl10Yde343KBeKsS4W-/view?usp=drivesdk</t>
  </si>
  <si>
    <t>Document successfully created; Document successfully merged; PDF created; Emails Sent: [To: dwihastutikbhayangkara@gmail.com]; Manually run by ecertificate75@gmail.com; Timestamp: Sep 3 2024 2:17 AM</t>
  </si>
  <si>
    <t>SUPRIYANTO</t>
  </si>
  <si>
    <t>widecahdiyanto72@gmail.com</t>
  </si>
  <si>
    <t>5584</t>
  </si>
  <si>
    <t>https://drive.google.com/file/d/1l_3Sv3AbH6WBHMSOGUYUMSEo2n5zqTfK/view?usp=drivesdk</t>
  </si>
  <si>
    <t>1l_3Sv3AbH6WBHMSOGUYUMSEo2n5zqTfK</t>
  </si>
  <si>
    <t>1Vc8AKxZ_xoWtS5qP9riaRy3yZslllI91</t>
  </si>
  <si>
    <t>https://drive.google.com/file/d/1Vc8AKxZ_xoWtS5qP9riaRy3yZslllI91/view?usp=drivesdk</t>
  </si>
  <si>
    <t>Document successfully created; Document successfully merged; PDF created; !!Error Sending Emails: Service invoked too many times for one day: email.; Manually run by ecertificate75@gmail.com; Timestamp: Sep 3 2024 2:17 AM</t>
  </si>
  <si>
    <t>FITRIYANTI</t>
  </si>
  <si>
    <t>fitrikevin90@gmail.com</t>
  </si>
  <si>
    <t>5585</t>
  </si>
  <si>
    <t>https://drive.google.com/file/d/1450t8N9SQjiOfnliGrpGaQZYQJ0hUzgc/view?usp=drivesdk</t>
  </si>
  <si>
    <t>1450t8N9SQjiOfnliGrpGaQZYQJ0hUzgc</t>
  </si>
  <si>
    <t>1np4LTGWCYgsOFWZnNDWdiBgj2EOZJ4Ln</t>
  </si>
  <si>
    <t>https://drive.google.com/file/d/1np4LTGWCYgsOFWZnNDWdiBgj2EOZJ4Ln/view?usp=drivesdk</t>
  </si>
  <si>
    <t>Document successfully created; Document successfully merged; PDF created; !!Error Sending Emails: Service invoked too many times for one day: email.; Manually run by ecertificate75@gmail.com; Timestamp: Sep 3 2024 2:18 AM</t>
  </si>
  <si>
    <t>HENI KRISTANTI</t>
  </si>
  <si>
    <t>heniatha2101@gmail.com</t>
  </si>
  <si>
    <t>5586</t>
  </si>
  <si>
    <t>https://drive.google.com/file/d/1o4rcPZbAAJbZ2MA489QneTxnlS7WFxoM/view?usp=drivesdk</t>
  </si>
  <si>
    <t>1o4rcPZbAAJbZ2MA489QneTxnlS7WFxoM</t>
  </si>
  <si>
    <t>14M-YhS373jlp7-vonEYNODQAslUA2r3r</t>
  </si>
  <si>
    <t>https://drive.google.com/file/d/14M-YhS373jlp7-vonEYNODQAslUA2r3r/view?usp=drivesdk</t>
  </si>
  <si>
    <t xml:space="preserve">ROSIDA FAUL LINA </t>
  </si>
  <si>
    <t>rosidafaullina13@gmail.com</t>
  </si>
  <si>
    <t>5587</t>
  </si>
  <si>
    <t>https://drive.google.com/file/d/1uOB0rqp6bjbN7UD5-89VGTVkh_RtAnKV/view?usp=drivesdk</t>
  </si>
  <si>
    <t>1uOB0rqp6bjbN7UD5-89VGTVkh_RtAnKV</t>
  </si>
  <si>
    <t>1KDxIHkH7IQtNOXEu6KgSh9FmHnQBM8TT</t>
  </si>
  <si>
    <t>https://drive.google.com/file/d/1KDxIHkH7IQtNOXEu6KgSh9FmHnQBM8TT/view?usp=drivesdk</t>
  </si>
  <si>
    <t>JOKO SANTOSO</t>
  </si>
  <si>
    <t>jokosant1975@gmail.com</t>
  </si>
  <si>
    <t>5588</t>
  </si>
  <si>
    <t>https://drive.google.com/file/d/1vsuB_ocRX-XAsnyPlyGwRiE5kvaYZV1p/view?usp=drivesdk</t>
  </si>
  <si>
    <t>1vsuB_ocRX-XAsnyPlyGwRiE5kvaYZV1p</t>
  </si>
  <si>
    <t>1FyIK1VnR-Af1ZDdKhYFOCDN5p1JUP2Vl</t>
  </si>
  <si>
    <t>https://drive.google.com/file/d/1FyIK1VnR-Af1ZDdKhYFOCDN5p1JUP2Vl/view?usp=drivesdk</t>
  </si>
  <si>
    <t>MUJIANTI CAHYA NINGSIH</t>
  </si>
  <si>
    <t>mujianticahya@gmail.com</t>
  </si>
  <si>
    <t>5589</t>
  </si>
  <si>
    <t>https://drive.google.com/file/d/1ZPIFsemyj7BEE9nueSLXzjbIQtiCl0Mf/view?usp=drivesdk</t>
  </si>
  <si>
    <t>1ZPIFsemyj7BEE9nueSLXzjbIQtiCl0Mf</t>
  </si>
  <si>
    <t>1NAJHrdecC2taOBzLE6yz08XAYn68bT6u</t>
  </si>
  <si>
    <t>https://drive.google.com/file/d/1NAJHrdecC2taOBzLE6yz08XAYn68bT6u/view?usp=drivesdk</t>
  </si>
  <si>
    <t>rahmatkdr76@gmail.com</t>
  </si>
  <si>
    <t>5590</t>
  </si>
  <si>
    <t>https://drive.google.com/file/d/1bc2nVW6sdgnsqmhBNZb-WlfIYcVtkOoZ/view?usp=drivesdk</t>
  </si>
  <si>
    <t>Document successfully created; Document successfully merged; PDF created; !!Error Sending Emails: Service invoked too many times for one day: email.; Run via form trigger as ecertificate75@gmail.com; Timestamp: Aug 29 2024 9:42 PM</t>
  </si>
  <si>
    <t>1bc2nVW6sdgnsqmhBNZb-WlfIYcVtkOoZ</t>
  </si>
  <si>
    <t>1S7NHaop6yluoTjEPIkXYqYxOyNZyzh9u</t>
  </si>
  <si>
    <t>https://drive.google.com/file/d/1S7NHaop6yluoTjEPIkXYqYxOyNZyzh9u/view?usp=drivesdk</t>
  </si>
  <si>
    <t>Document successfully created; Document successfully merged; PDF created; !!Error Sending Emails: Service invoked too many times for one day: email.; Manually run by ecertificate75@gmail.com; Timestamp: Sep 3 2024 2:19 AM</t>
  </si>
  <si>
    <t>EVA DARLIAH, SE,MSI</t>
  </si>
  <si>
    <t>evazahirahzahirah@gmail.com</t>
  </si>
  <si>
    <t>5591</t>
  </si>
  <si>
    <t>Starting at Thu Aug 29 2024 21:42:17 GMT-0400 (EDT)</t>
  </si>
  <si>
    <t>1j1AqJn-bLNd2TlA5YtuEV6_rJYSk3sDv</t>
  </si>
  <si>
    <t>https://drive.google.com/file/d/1j1AqJn-bLNd2TlA5YtuEV6_rJYSk3sDv/view?usp=drivesdk</t>
  </si>
  <si>
    <t xml:space="preserve">SRI EKOWATI </t>
  </si>
  <si>
    <t>sriekowatidila@gmail.com</t>
  </si>
  <si>
    <t>5592</t>
  </si>
  <si>
    <t>1uzLg2NCiptoyL6Wg84EHpMiHl65XOUKk</t>
  </si>
  <si>
    <t>https://drive.google.com/file/d/1uzLg2NCiptoyL6Wg84EHpMiHl65XOUKk/view?usp=drivesdk</t>
  </si>
  <si>
    <t>DIDIK TRIHARYADI</t>
  </si>
  <si>
    <t>didiktriharyadi@gmail.com</t>
  </si>
  <si>
    <t>5593</t>
  </si>
  <si>
    <t>https://drive.google.com/file/d/1Rfk_XpQUkdjwsLHzyzkYjXlguT17AYvV/view?usp=drivesdk</t>
  </si>
  <si>
    <t>1Rfk_XpQUkdjwsLHzyzkYjXlguT17AYvV</t>
  </si>
  <si>
    <t>1MJkJEJX6iIVlbmwmjySTH7D4OdE-01GE</t>
  </si>
  <si>
    <t>https://drive.google.com/file/d/1MJkJEJX6iIVlbmwmjySTH7D4OdE-01GE/view?usp=drivesdk</t>
  </si>
  <si>
    <t>DAFID RIYADI</t>
  </si>
  <si>
    <t>dafidriyadi84@gmail.com</t>
  </si>
  <si>
    <t>5594</t>
  </si>
  <si>
    <t>Starting at Thu Aug 29 2024 21:40:36 GMT-0400 (EDT)</t>
  </si>
  <si>
    <t>1mhHRJ3QsRBVSb9ZhkYeBaTyv7XTHJ1i0</t>
  </si>
  <si>
    <t>https://drive.google.com/file/d/1mhHRJ3QsRBVSb9ZhkYeBaTyv7XTHJ1i0/view?usp=drivesdk</t>
  </si>
  <si>
    <t>SAIFUDDIN ZUHRI</t>
  </si>
  <si>
    <t>udinrawedeng@gmail.com</t>
  </si>
  <si>
    <t>5595</t>
  </si>
  <si>
    <t>165kZLzBrj1nbf8lKG-3SVEMIw2naET2H</t>
  </si>
  <si>
    <t>https://drive.google.com/file/d/165kZLzBrj1nbf8lKG-3SVEMIw2naET2H/view?usp=drivesdk</t>
  </si>
  <si>
    <t>Document successfully created; Document successfully merged; PDF created; !!Error Sending Emails: Service invoked too many times for one day: email.; Manually run by ecertificate75@gmail.com; Timestamp: Sep 3 2024 2:20 AM</t>
  </si>
  <si>
    <t>KUSRINAH</t>
  </si>
  <si>
    <t>kusrinah26@gmail.com</t>
  </si>
  <si>
    <t>5596</t>
  </si>
  <si>
    <t>1veDLnqBr7e9EGEEmsRja-99vBLrVBs01</t>
  </si>
  <si>
    <t>https://drive.google.com/file/d/1veDLnqBr7e9EGEEmsRja-99vBLrVBs01/view?usp=drivesdk</t>
  </si>
  <si>
    <t>YULIASTUTI PUSPITA NINGRUM</t>
  </si>
  <si>
    <t>yuliastutipn250775@gmail.com</t>
  </si>
  <si>
    <t>5597</t>
  </si>
  <si>
    <t>1vFEEUmho6qZ5A1j06pkh-WQk1dIFw4_A</t>
  </si>
  <si>
    <t>https://drive.google.com/file/d/1vFEEUmho6qZ5A1j06pkh-WQk1dIFw4_A/view?usp=drivesdk</t>
  </si>
  <si>
    <t>BOANG ARIANGGA, S.KEP</t>
  </si>
  <si>
    <t>boangari4@gmail.com</t>
  </si>
  <si>
    <t>5598</t>
  </si>
  <si>
    <t>https://drive.google.com/file/d/14Jvl9FsC9xGlQMWcfnaE5b54aEgo6H8G/view?usp=drivesdk</t>
  </si>
  <si>
    <t>14Jvl9FsC9xGlQMWcfnaE5b54aEgo6H8G</t>
  </si>
  <si>
    <t>1bdJs-v__oNZY53ZJvmP9NHQkSZBNTv1c</t>
  </si>
  <si>
    <t>https://drive.google.com/file/d/1bdJs-v__oNZY53ZJvmP9NHQkSZBNTv1c/view?usp=drivesdk</t>
  </si>
  <si>
    <t>suherman25011968@gmail.com</t>
  </si>
  <si>
    <t>5599</t>
  </si>
  <si>
    <t>https://drive.google.com/file/d/1nlDAI3HW9WiuA5PcCdIjoRZtFqChO3pE/view?usp=drivesdk</t>
  </si>
  <si>
    <t>1nlDAI3HW9WiuA5PcCdIjoRZtFqChO3pE</t>
  </si>
  <si>
    <t>1AtoVstDiqJOxLZj0BLHfBLJEnXZwt5l1</t>
  </si>
  <si>
    <t>https://drive.google.com/file/d/1AtoVstDiqJOxLZj0BLHfBLJEnXZwt5l1/view?usp=drivesdk</t>
  </si>
  <si>
    <t>IRIANTO</t>
  </si>
  <si>
    <t>irianto.77.ii@gmail.com</t>
  </si>
  <si>
    <t>5600</t>
  </si>
  <si>
    <t>https://drive.google.com/file/d/142WDcW2_eSgodMRogdrKueiiDa39461_/view?usp=drivesdk</t>
  </si>
  <si>
    <t>142WDcW2_eSgodMRogdrKueiiDa39461_</t>
  </si>
  <si>
    <t>1al73x6Ho0xJzgNbeFk5BVRUaqmBKk_rz</t>
  </si>
  <si>
    <t>https://drive.google.com/file/d/1al73x6Ho0xJzgNbeFk5BVRUaqmBKk_rz/view?usp=drivesdk</t>
  </si>
  <si>
    <t>Document successfully created; Document successfully merged; PDF created; !!Error Sending Emails: Service invoked too many times for one day: email.; Manually run by ecertificate75@gmail.com; Timestamp: Sep 3 2024 2:21 AM</t>
  </si>
  <si>
    <t>DEDAH RATNASARI S.IP., M.Si</t>
  </si>
  <si>
    <t>dratnasariamapoli71@gmail.com</t>
  </si>
  <si>
    <t>5601</t>
  </si>
  <si>
    <t>https://drive.google.com/file/d/19U2S985Kic410qcl0JCwRjo7PNSszTRi/view?usp=drivesdk</t>
  </si>
  <si>
    <t>19U2S985Kic410qcl0JCwRjo7PNSszTRi</t>
  </si>
  <si>
    <t>1vL_C6G4_cwclH6x2h3DSslMhYl6L-lZA</t>
  </si>
  <si>
    <t>https://drive.google.com/file/d/1vL_C6G4_cwclH6x2h3DSslMhYl6L-lZA/view?usp=drivesdk</t>
  </si>
  <si>
    <t>WIWIK SUGIHARTINI, S.IP.</t>
  </si>
  <si>
    <t>wiwiksugihartini71@gmail.com</t>
  </si>
  <si>
    <t>5602</t>
  </si>
  <si>
    <t>https://drive.google.com/file/d/1IZWuGH4xKAK6JXPQ9oH_AX-X2cPZ8XNE/view?usp=drivesdk</t>
  </si>
  <si>
    <t>1IZWuGH4xKAK6JXPQ9oH_AX-X2cPZ8XNE</t>
  </si>
  <si>
    <t>1f1XUL9HQY-HPi1UPqPtv7YeaL3Bfk-MV</t>
  </si>
  <si>
    <t>https://drive.google.com/file/d/1f1XUL9HQY-HPi1UPqPtv7YeaL3Bfk-MV/view?usp=drivesdk</t>
  </si>
  <si>
    <t>LILLY SOFIAN</t>
  </si>
  <si>
    <t>lilisofyan85@gmail.com</t>
  </si>
  <si>
    <t>5603</t>
  </si>
  <si>
    <t>https://drive.google.com/file/d/1YXNKJv9G3N31n_ih2zd7S5i3o0nlFPYt/view?usp=drivesdk</t>
  </si>
  <si>
    <t>1YXNKJv9G3N31n_ih2zd7S5i3o0nlFPYt</t>
  </si>
  <si>
    <t>19Qn39jD6bsVh9FdkQ1WYym5IpiHmgBzR</t>
  </si>
  <si>
    <t>https://drive.google.com/file/d/19Qn39jD6bsVh9FdkQ1WYym5IpiHmgBzR/view?usp=drivesdk</t>
  </si>
  <si>
    <t>THOMI, S.A.P.</t>
  </si>
  <si>
    <t>ynyonx@gmail.com</t>
  </si>
  <si>
    <t>5604</t>
  </si>
  <si>
    <t>https://drive.google.com/file/d/1fDRF15zwUR8dgQ-3Sl6Wo5ShedyPEKri/view?usp=drivesdk</t>
  </si>
  <si>
    <t>1fDRF15zwUR8dgQ-3Sl6Wo5ShedyPEKri</t>
  </si>
  <si>
    <t>1J1l96zMBCBRu3dEWy1bWBdxwzAMwK4X8</t>
  </si>
  <si>
    <t>https://drive.google.com/file/d/1J1l96zMBCBRu3dEWy1bWBdxwzAMwK4X8/view?usp=drivesdk</t>
  </si>
  <si>
    <t>RIZKAH ULMI</t>
  </si>
  <si>
    <t>rizkaume@gmail.com</t>
  </si>
  <si>
    <t>5605</t>
  </si>
  <si>
    <t>https://drive.google.com/file/d/1RHP1AbMDNf-WhGGGWz1yCxLBQz1ENk-T/view?usp=drivesdk</t>
  </si>
  <si>
    <t>1RHP1AbMDNf-WhGGGWz1yCxLBQz1ENk-T</t>
  </si>
  <si>
    <t>1huyqwl9GGFCSdh9tV_Is9A_v11emaCF1</t>
  </si>
  <si>
    <t>https://drive.google.com/file/d/1huyqwl9GGFCSdh9tV_Is9A_v11emaCF1/view?usp=drivesdk</t>
  </si>
  <si>
    <t>Document successfully created; Document successfully merged; PDF created; !!Error Sending Emails: Service invoked too many times for one day: email.; Manually run by ecertificate75@gmail.com; Timestamp: Sep 3 2024 2:22 AM</t>
  </si>
  <si>
    <t>LILI MARYANI, S.E</t>
  </si>
  <si>
    <t>lilimaryani1967@gmail.com</t>
  </si>
  <si>
    <t>5606</t>
  </si>
  <si>
    <t>https://drive.google.com/file/d/1jhuxLkBr4eOZx0XSV0JUvOXLXGZ22kxp/view?usp=drivesdk</t>
  </si>
  <si>
    <t>1jhuxLkBr4eOZx0XSV0JUvOXLXGZ22kxp</t>
  </si>
  <si>
    <t>1Ie3_rSv7xu-nj8ZtD7Y1rerUz7vE741S</t>
  </si>
  <si>
    <t>https://drive.google.com/file/d/1Ie3_rSv7xu-nj8ZtD7Y1rerUz7vE741S/view?usp=drivesdk</t>
  </si>
  <si>
    <t>birnoku.5972@gmail.com</t>
  </si>
  <si>
    <t>5607</t>
  </si>
  <si>
    <t>https://drive.google.com/file/d/1ibGLP7fZLfrguh7XpQ49-YJPJ0Tx5hB0/view?usp=drivesdk</t>
  </si>
  <si>
    <t>1ibGLP7fZLfrguh7XpQ49-YJPJ0Tx5hB0</t>
  </si>
  <si>
    <t>1v6PQJD3-pZCndZLXJZpsC31d_bHhs86x</t>
  </si>
  <si>
    <t>https://drive.google.com/file/d/1v6PQJD3-pZCndZLXJZpsC31d_bHhs86x/view?usp=drivesdk</t>
  </si>
  <si>
    <t>AGUSTINA HANA, S.KEP</t>
  </si>
  <si>
    <t>agustinahanahana@gmail.com</t>
  </si>
  <si>
    <t>5608</t>
  </si>
  <si>
    <t>https://drive.google.com/file/d/1hZMr263S5_kyfs0APT517RaKMI5e2zT3/view?usp=drivesdk</t>
  </si>
  <si>
    <t>1hZMr263S5_kyfs0APT517RaKMI5e2zT3</t>
  </si>
  <si>
    <t>10J3co-B1sBNp3sdf8qroyBIhn7k64eNK</t>
  </si>
  <si>
    <t>https://drive.google.com/file/d/10J3co-B1sBNp3sdf8qroyBIhn7k64eNK/view?usp=drivesdk</t>
  </si>
  <si>
    <t>MOHAMAD MUSTAJIB</t>
  </si>
  <si>
    <t>mustqjibsumda@gmail.com</t>
  </si>
  <si>
    <t>5609</t>
  </si>
  <si>
    <t>https://drive.google.com/file/d/1YC5BJGZ4Wqj6eK9ZA_Cz9_TXsC_WyDv-/view?usp=drivesdk</t>
  </si>
  <si>
    <t>1YC5BJGZ4Wqj6eK9ZA_Cz9_TXsC_WyDv-</t>
  </si>
  <si>
    <t>1CQpE9a6fM8Q76ysnfuXU5o9mzNMGBx0a</t>
  </si>
  <si>
    <t>https://drive.google.com/file/d/1CQpE9a6fM8Q76ysnfuXU5o9mzNMGBx0a/view?usp=drivesdk</t>
  </si>
  <si>
    <t>Document successfully created; Document successfully merged; PDF created; !!Error Sending Emails: Service invoked too many times for one day: email.; Manually run by ecertificate75@gmail.com; Timestamp: Sep 3 2024 2:23 AM</t>
  </si>
  <si>
    <t>AHMAD CHOJIT</t>
  </si>
  <si>
    <t>ahmadchojit9@gmail.com</t>
  </si>
  <si>
    <t>5610</t>
  </si>
  <si>
    <t>https://drive.google.com/file/d/1yWPVbiKvPpIAUrtUp9HhpzBT5_R_KCXg/view?usp=drivesdk</t>
  </si>
  <si>
    <t>1yWPVbiKvPpIAUrtUp9HhpzBT5_R_KCXg</t>
  </si>
  <si>
    <t>1XVexDjZ8blDFii6a7ur71vDoweDmy0hr</t>
  </si>
  <si>
    <t>https://drive.google.com/file/d/1XVexDjZ8blDFii6a7ur71vDoweDmy0hr/view?usp=drivesdk</t>
  </si>
  <si>
    <t>LILIF JUM SA'ADAH</t>
  </si>
  <si>
    <t>lilisaadah120969@gmail.com</t>
  </si>
  <si>
    <t>5611</t>
  </si>
  <si>
    <t>https://drive.google.com/file/d/1nq50Erwh6ipIs8afIouk3V09-Z0sdCha/view?usp=drivesdk</t>
  </si>
  <si>
    <t>1nq50Erwh6ipIs8afIouk3V09-Z0sdCha</t>
  </si>
  <si>
    <t>1m7rnnd4xAAgmT2RN7DitpQ7W7kbiZvja</t>
  </si>
  <si>
    <t>https://drive.google.com/file/d/1m7rnnd4xAAgmT2RN7DitpQ7W7kbiZvja/view?usp=drivesdk</t>
  </si>
  <si>
    <t xml:space="preserve">PARMAN SETIYAWAN </t>
  </si>
  <si>
    <t>wawansetiya75@gmail.com</t>
  </si>
  <si>
    <t>5612</t>
  </si>
  <si>
    <t>Starting at Thu Aug 29 2024 21:42:34 GMT-0400 (EDT)</t>
  </si>
  <si>
    <t>1DH8NjoDIKeFSPeQN6KTC3sXN0XGktxj-</t>
  </si>
  <si>
    <t>https://drive.google.com/file/d/1DH8NjoDIKeFSPeQN6KTC3sXN0XGktxj-/view?usp=drivesdk</t>
  </si>
  <si>
    <t>KRISTINA RESMIYATI</t>
  </si>
  <si>
    <t>kristinainvent@gmail.com</t>
  </si>
  <si>
    <t>5613</t>
  </si>
  <si>
    <t>1XFawnxldavY4YmuXbu_EDgt-uGT2HEFl</t>
  </si>
  <si>
    <t>https://drive.google.com/file/d/1XFawnxldavY4YmuXbu_EDgt-uGT2HEFl/view?usp=drivesdk</t>
  </si>
  <si>
    <t>NUR WIDAYATI</t>
  </si>
  <si>
    <t>nur.widya.nw33@gmail.com</t>
  </si>
  <si>
    <t>5614</t>
  </si>
  <si>
    <t>1LNneN1fjsBGvuhfHASWVsDBVtArayE8D</t>
  </si>
  <si>
    <t>https://drive.google.com/file/d/1LNneN1fjsBGvuhfHASWVsDBVtArayE8D/view?usp=drivesdk</t>
  </si>
  <si>
    <t>Document successfully created; Document successfully merged; PDF created; !!Error Sending Emails: Service invoked too many times for one day: email.; Manually run by ecertificate75@gmail.com; Timestamp: Sep 3 2024 2:24 AM</t>
  </si>
  <si>
    <t>RIRIN MARINTA, S.E.</t>
  </si>
  <si>
    <t>ririnmarinta.mail@gmail.com</t>
  </si>
  <si>
    <t>5615</t>
  </si>
  <si>
    <t>1iC-eRTFWKn8x5Op510Nye-sVw2_2NW-Y</t>
  </si>
  <si>
    <t>https://drive.google.com/file/d/1iC-eRTFWKn8x5Op510Nye-sVw2_2NW-Y/view?usp=drivesdk</t>
  </si>
  <si>
    <t>SRI AMAH</t>
  </si>
  <si>
    <t>sriamah1974@gmail.com</t>
  </si>
  <si>
    <t>5616</t>
  </si>
  <si>
    <t>1ifKcjqlNsk_2wQl0H0fnktHYsmZhCMIP</t>
  </si>
  <si>
    <t>https://drive.google.com/file/d/1ifKcjqlNsk_2wQl0H0fnktHYsmZhCMIP/view?usp=drivesdk</t>
  </si>
  <si>
    <t>I NYOMAN SUKARYA</t>
  </si>
  <si>
    <t>sukarya8@gmail.com</t>
  </si>
  <si>
    <t>5617</t>
  </si>
  <si>
    <t>1Jdpcn4fvehu5V5n-bqwQdDtW3ssFhdKg</t>
  </si>
  <si>
    <t>https://drive.google.com/file/d/1Jdpcn4fvehu5V5n-bqwQdDtW3ssFhdKg/view?usp=drivesdk</t>
  </si>
  <si>
    <t>PHILIPUS PAYUNG LANGI,A.MD</t>
  </si>
  <si>
    <t>philipsky08@gmail.com</t>
  </si>
  <si>
    <t>5618</t>
  </si>
  <si>
    <t>https://drive.google.com/file/d/1cRwtAcdTCfDn-I_su7i-dVaTlzI6A8Xm/view?usp=drivesdk</t>
  </si>
  <si>
    <t>1cRwtAcdTCfDn-I_su7i-dVaTlzI6A8Xm</t>
  </si>
  <si>
    <t>15UVRplJFMJTRQDEarSrD9M5CwU8iuj1o</t>
  </si>
  <si>
    <t>https://drive.google.com/file/d/15UVRplJFMJTRQDEarSrD9M5CwU8iuj1o/view?usp=drivesdk</t>
  </si>
  <si>
    <t>MASKURI, S.Kep.</t>
  </si>
  <si>
    <t>ningmas81@gmail.com</t>
  </si>
  <si>
    <t>5619</t>
  </si>
  <si>
    <t>https://drive.google.com/file/d/1eFsZ_BktM9eR0xZTCbrY4Qw7ZawDNfpa/view?usp=drivesdk</t>
  </si>
  <si>
    <t>1eFsZ_BktM9eR0xZTCbrY4Qw7ZawDNfpa</t>
  </si>
  <si>
    <t>1mm5qBTjLaJUgL9ulXADPBhhEZ-jpUerb</t>
  </si>
  <si>
    <t>https://drive.google.com/file/d/1mm5qBTjLaJUgL9ulXADPBhhEZ-jpUerb/view?usp=drivesdk</t>
  </si>
  <si>
    <t>AMSYE MULDER</t>
  </si>
  <si>
    <t>amsye246@gmail.com</t>
  </si>
  <si>
    <t>5620</t>
  </si>
  <si>
    <t>https://drive.google.com/file/d/1mT5d9gu2vFrUxg9gMxdIRwA_mWJMmgYX/view?usp=drivesdk</t>
  </si>
  <si>
    <t>1mT5d9gu2vFrUxg9gMxdIRwA_mWJMmgYX</t>
  </si>
  <si>
    <t>1nAzKD-gUQnBUskW5JvPZKiaQ-IN-Zz4P</t>
  </si>
  <si>
    <t>https://drive.google.com/file/d/1nAzKD-gUQnBUskW5JvPZKiaQ-IN-Zz4P/view?usp=drivesdk</t>
  </si>
  <si>
    <t>Document successfully created; Document successfully merged; PDF created; !!Error Sending Emails: Service invoked too many times for one day: email.; Manually run by ecertificate75@gmail.com; Timestamp: Sep 3 2024 2:25 AM</t>
  </si>
  <si>
    <t>TURIJO</t>
  </si>
  <si>
    <t>turijo361@gmail.com</t>
  </si>
  <si>
    <t>5621</t>
  </si>
  <si>
    <t>Starting at Thu Aug 29 2024 21:40:55 GMT-0400 (EDT)</t>
  </si>
  <si>
    <t>1a0EfmFq2cxqIrPazHVjcZTJzT-s7IaHG</t>
  </si>
  <si>
    <t>https://drive.google.com/file/d/1a0EfmFq2cxqIrPazHVjcZTJzT-s7IaHG/view?usp=drivesdk</t>
  </si>
  <si>
    <t>PRATOMO ADY SAPUTRO, AMK</t>
  </si>
  <si>
    <t>gemahtengah01@gmail.com</t>
  </si>
  <si>
    <t>5622</t>
  </si>
  <si>
    <t>1Lj1l8nipP63hO9xxZno-5PlcgAUZXCoE</t>
  </si>
  <si>
    <t>https://drive.google.com/file/d/1Lj1l8nipP63hO9xxZno-5PlcgAUZXCoE/view?usp=drivesdk</t>
  </si>
  <si>
    <t>Rika Tridw Astuti S.Kep</t>
  </si>
  <si>
    <t>rikatrida82@gmail.com</t>
  </si>
  <si>
    <t>5623</t>
  </si>
  <si>
    <t>1wjNW1XTN6RkvQTsEKHWAtDOCai773BYJ</t>
  </si>
  <si>
    <t>https://drive.google.com/file/d/1wjNW1XTN6RkvQTsEKHWAtDOCai773BYJ/view?usp=drivesdk</t>
  </si>
  <si>
    <t xml:space="preserve">ANY ERMAWATI, S. S. </t>
  </si>
  <si>
    <t>anyermawati610@gmail.com</t>
  </si>
  <si>
    <t>5624</t>
  </si>
  <si>
    <t>1yT5hokQmSZWRp42HSZjdhAPs0JT0jJnd</t>
  </si>
  <si>
    <t>https://drive.google.com/file/d/1yT5hokQmSZWRp42HSZjdhAPs0JT0jJnd/view?usp=drivesdk</t>
  </si>
  <si>
    <t>NURLIYAH</t>
  </si>
  <si>
    <t>nurliyah469@gmail.com</t>
  </si>
  <si>
    <t>5625</t>
  </si>
  <si>
    <t>https://drive.google.com/file/d/1LZY4raZrybi9CLTpg9THhJIuNhfQn00H/view?usp=drivesdk</t>
  </si>
  <si>
    <t>1LZY4raZrybi9CLTpg9THhJIuNhfQn00H</t>
  </si>
  <si>
    <t>1diT8Bn4k1q34hpd2v25fer3Ndn1TkjBI</t>
  </si>
  <si>
    <t>https://drive.google.com/file/d/1diT8Bn4k1q34hpd2v25fer3Ndn1TkjBI/view?usp=drivesdk</t>
  </si>
  <si>
    <t>Document successfully created; Document successfully merged; PDF created; !!Error Sending Emails: Service invoked too many times for one day: email.; Manually run by ecertificate75@gmail.com; Timestamp: Sep 3 2024 2:26 AM</t>
  </si>
  <si>
    <t>PUJI RAHAYU</t>
  </si>
  <si>
    <t>puputchika2015blu@gmail.com</t>
  </si>
  <si>
    <t>5626</t>
  </si>
  <si>
    <t>https://drive.google.com/file/d/1T3z-JjTu6P0QjSNedrahp0Xz3dvSSb3E/view?usp=drivesdk</t>
  </si>
  <si>
    <t>1T3z-JjTu6P0QjSNedrahp0Xz3dvSSb3E</t>
  </si>
  <si>
    <t>1p_PVznJ0f2FvViIwpqTWolGO1jtT1Q6q</t>
  </si>
  <si>
    <t>https://drive.google.com/file/d/1p_PVznJ0f2FvViIwpqTWolGO1jtT1Q6q/view?usp=drivesdk</t>
  </si>
  <si>
    <t>YANWAR KARNADI</t>
  </si>
  <si>
    <t>yanwarkarnadi@gmail.com</t>
  </si>
  <si>
    <t>5627</t>
  </si>
  <si>
    <t>https://drive.google.com/file/d/1_Sfiv3xB9jAcqczfAE-bRUatSrQ_CzVx/view?usp=drivesdk</t>
  </si>
  <si>
    <t>1_Sfiv3xB9jAcqczfAE-bRUatSrQ_CzVx</t>
  </si>
  <si>
    <t>1h4Llecbr98ahE6XZvWMGrFFzcSBY9o_i</t>
  </si>
  <si>
    <t>https://drive.google.com/file/d/1h4Llecbr98ahE6XZvWMGrFFzcSBY9o_i/view?usp=drivesdk</t>
  </si>
  <si>
    <t>WIS SAYEKTI</t>
  </si>
  <si>
    <t>wissayektispri@gmail.com</t>
  </si>
  <si>
    <t>5628</t>
  </si>
  <si>
    <t>https://drive.google.com/file/d/1aAVigmtA5x-69nzRGZkjluOihjsDggiK/view?usp=drivesdk</t>
  </si>
  <si>
    <t>1aAVigmtA5x-69nzRGZkjluOihjsDggiK</t>
  </si>
  <si>
    <t>1jRBb9rmIwEnsavsSqwqBDmX8IeLKM4tM</t>
  </si>
  <si>
    <t>https://drive.google.com/file/d/1jRBb9rmIwEnsavsSqwqBDmX8IeLKM4tM/view?usp=drivesdk</t>
  </si>
  <si>
    <t xml:space="preserve">DWI MAURINI </t>
  </si>
  <si>
    <t>rinid7028@gmail.com</t>
  </si>
  <si>
    <t>5629</t>
  </si>
  <si>
    <t>https://drive.google.com/file/d/1Tec-v4piq70CsEzTG3vdt792uEJIsr65/view?usp=drivesdk</t>
  </si>
  <si>
    <t>1Tec-v4piq70CsEzTG3vdt792uEJIsr65</t>
  </si>
  <si>
    <t>1QVWgZm3fXEVnaBfs5FeW9wEVYDtd8PUR</t>
  </si>
  <si>
    <t>https://drive.google.com/file/d/1QVWgZm3fXEVnaBfs5FeW9wEVYDtd8PUR/view?usp=drivesdk</t>
  </si>
  <si>
    <t>Document successfully created; Document successfully merged; PDF created; !!Error Sending Emails: Service invoked too many times for one day: email.; Manually run by ecertificate75@gmail.com; Timestamp: Sep 3 2024 2:27 AM</t>
  </si>
  <si>
    <t>MARIA, S.M.</t>
  </si>
  <si>
    <t>wiwikmaria0906@gmail.com</t>
  </si>
  <si>
    <t>5630</t>
  </si>
  <si>
    <t>https://drive.google.com/file/d/15rFKNXrw1lW2-es0vHUfa_Qq3r2PVhMw/view?usp=drivesdk</t>
  </si>
  <si>
    <t>15rFKNXrw1lW2-es0vHUfa_Qq3r2PVhMw</t>
  </si>
  <si>
    <t>1pDdzCy9rojtnNUyKvghTyrD6CDqXst0J</t>
  </si>
  <si>
    <t>https://drive.google.com/file/d/1pDdzCy9rojtnNUyKvghTyrD6CDqXst0J/view?usp=drivesdk</t>
  </si>
  <si>
    <t xml:space="preserve">ABDUR ROUF </t>
  </si>
  <si>
    <t>76abdurrouf@gmail.com</t>
  </si>
  <si>
    <t>5631</t>
  </si>
  <si>
    <t>https://drive.google.com/file/d/1qqDnp9KLfO6RZlpc-S9SxZptHuv9BHgt/view?usp=drivesdk</t>
  </si>
  <si>
    <t>1qqDnp9KLfO6RZlpc-S9SxZptHuv9BHgt</t>
  </si>
  <si>
    <t>1DvneeyFN-h45v2j4dG21nCbR64p4ftdn</t>
  </si>
  <si>
    <t>https://drive.google.com/file/d/1DvneeyFN-h45v2j4dG21nCbR64p4ftdn/view?usp=drivesdk</t>
  </si>
  <si>
    <t>ELSYA KURNIATI</t>
  </si>
  <si>
    <t>elsya.kurniati84@gmail.com</t>
  </si>
  <si>
    <t>5632</t>
  </si>
  <si>
    <t>Starting at Thu Aug 29 2024 21:41:05 GMT-0400 (EDT)</t>
  </si>
  <si>
    <t>1qO4BCdSYzcigJlXPIy1EcxK5Hvx_8ri4</t>
  </si>
  <si>
    <t>https://drive.google.com/file/d/1qO4BCdSYzcigJlXPIy1EcxK5Hvx_8ri4/view?usp=drivesdk</t>
  </si>
  <si>
    <t xml:space="preserve">SITI MARFUAH, S. E. </t>
  </si>
  <si>
    <t>simar21973@gmail.com</t>
  </si>
  <si>
    <t>5633</t>
  </si>
  <si>
    <t>1CmRPliAt1PgYXZ-Q9YID0jNEmYTCWZUj</t>
  </si>
  <si>
    <t>https://drive.google.com/file/d/1CmRPliAt1PgYXZ-Q9YID0jNEmYTCWZUj/view?usp=drivesdk</t>
  </si>
  <si>
    <t>Document successfully created; Document successfully merged; PDF created; !!Error Sending Emails: Service invoked too many times for one day: email.; Manually run by ecertificate75@gmail.com; Timestamp: Sep 3 2024 2:28 AM</t>
  </si>
  <si>
    <t>MARHANI, S.E</t>
  </si>
  <si>
    <t>hanimarhani4689@gmail.com</t>
  </si>
  <si>
    <t>5634</t>
  </si>
  <si>
    <t>1be0PBED2t_Gfr-SL2tTIaQHv8xvgmUhT</t>
  </si>
  <si>
    <t>https://drive.google.com/file/d/1be0PBED2t_Gfr-SL2tTIaQHv8xvgmUhT/view?usp=drivesdk</t>
  </si>
  <si>
    <t>INDAH AZHARI PUTRI , S.H</t>
  </si>
  <si>
    <t>indazhari@yahoo.co.id</t>
  </si>
  <si>
    <t>5635</t>
  </si>
  <si>
    <t>14MNHGsJErI6zrkICRs8eYGvSmUB6UT57</t>
  </si>
  <si>
    <t>https://drive.google.com/file/d/14MNHGsJErI6zrkICRs8eYGvSmUB6UT57/view?usp=drivesdk</t>
  </si>
  <si>
    <t>MUHAMMAD SYARIF, SE</t>
  </si>
  <si>
    <t>syariftulung78@gmail.com</t>
  </si>
  <si>
    <t>5636</t>
  </si>
  <si>
    <t>https://drive.google.com/file/d/1BPzaPrLE9G8Enwdi1KDUySwLluKXOkaI/view?usp=drivesdk</t>
  </si>
  <si>
    <t>1BPzaPrLE9G8Enwdi1KDUySwLluKXOkaI</t>
  </si>
  <si>
    <t>1V1RFj93XQoDFGuFiU5mRDrPKrd_xVG0q</t>
  </si>
  <si>
    <t>https://drive.google.com/file/d/1V1RFj93XQoDFGuFiU5mRDrPKrd_xVG0q/view?usp=drivesdk</t>
  </si>
  <si>
    <t>ENDAH SRI B</t>
  </si>
  <si>
    <t>endahmlg5@gmail.com</t>
  </si>
  <si>
    <t>5637</t>
  </si>
  <si>
    <t>https://drive.google.com/file/d/1NOsDG63xIeLu_CzDLIBJPIXesMXH0Sjy/view?usp=drivesdk</t>
  </si>
  <si>
    <t>1NOsDG63xIeLu_CzDLIBJPIXesMXH0Sjy</t>
  </si>
  <si>
    <t>1Bbo-Pba9uLZmV_GxkpB1hu_3LpkC2mTx</t>
  </si>
  <si>
    <t>https://drive.google.com/file/d/1Bbo-Pba9uLZmV_GxkpB1hu_3LpkC2mTx/view?usp=drivesdk</t>
  </si>
  <si>
    <t>NIRMAWATI, S.A.P</t>
  </si>
  <si>
    <t>nirmanina@gmail.com</t>
  </si>
  <si>
    <t>5638</t>
  </si>
  <si>
    <t>https://drive.google.com/file/d/1HWF5lWqO-PS5wGlD3xBftlIBtuWtF6Pp/view?usp=drivesdk</t>
  </si>
  <si>
    <t>1HWF5lWqO-PS5wGlD3xBftlIBtuWtF6Pp</t>
  </si>
  <si>
    <t>1vmEkHrqLLeum8362CfgMrJqT8PprCFfw</t>
  </si>
  <si>
    <t>https://drive.google.com/file/d/1vmEkHrqLLeum8362CfgMrJqT8PprCFfw/view?usp=drivesdk</t>
  </si>
  <si>
    <t>Document successfully created; Document successfully merged; PDF created; !!Error Sending Emails: Service invoked too many times for one day: email.; Manually run by ecertificate75@gmail.com; Timestamp: Sep 3 2024 2:29 AM</t>
  </si>
  <si>
    <t>NURBAYA. SE</t>
  </si>
  <si>
    <t>nurbayaridwan@gmail.com</t>
  </si>
  <si>
    <t>5639</t>
  </si>
  <si>
    <t>https://drive.google.com/file/d/1hEy9jBye_ggPjlNYN5_8VtXb43BOp6n7/view?usp=drivesdk</t>
  </si>
  <si>
    <t>1hEy9jBye_ggPjlNYN5_8VtXb43BOp6n7</t>
  </si>
  <si>
    <t>1-WXovUkFRKkCFy-jArqiaIdSLuK9pXxr</t>
  </si>
  <si>
    <t>https://drive.google.com/file/d/1-WXovUkFRKkCFy-jArqiaIdSLuK9pXxr/view?usp=drivesdk</t>
  </si>
  <si>
    <t xml:space="preserve">DEVI TRIAWAN ,A.md.Kep </t>
  </si>
  <si>
    <t>devitriawan664@gmail.com</t>
  </si>
  <si>
    <t>5640</t>
  </si>
  <si>
    <t>Starting at Thu Aug 29 2024 21:41:09 GMT-0400 (EDT)</t>
  </si>
  <si>
    <t>1rexHgGPRpVOArIFJxp3Lhhb9X2Xtf2JQ</t>
  </si>
  <si>
    <t>https://drive.google.com/file/d/1rexHgGPRpVOArIFJxp3Lhhb9X2Xtf2JQ/view?usp=drivesdk</t>
  </si>
  <si>
    <t>DESI MULIYANA. S.Pi</t>
  </si>
  <si>
    <t>desimuliyana78@gmail.com</t>
  </si>
  <si>
    <t>5641</t>
  </si>
  <si>
    <t>1_9lEmxK1UVvPFW9vsh-v_08dbssi3-5q</t>
  </si>
  <si>
    <t>https://drive.google.com/file/d/1_9lEmxK1UVvPFW9vsh-v_08dbssi3-5q/view?usp=drivesdk</t>
  </si>
  <si>
    <t>Subandinunik@gmail.com</t>
  </si>
  <si>
    <t>5642</t>
  </si>
  <si>
    <t>17x375CReAmEFn43WCbZjWCrXFvXT42Vs</t>
  </si>
  <si>
    <t>https://drive.google.com/file/d/17x375CReAmEFn43WCbZjWCrXFvXT42Vs/view?usp=drivesdk</t>
  </si>
  <si>
    <t>DJUMIATI</t>
  </si>
  <si>
    <t>djumiati7212@gmail.com</t>
  </si>
  <si>
    <t>5643</t>
  </si>
  <si>
    <t>1YR3gLZReaMZrZeHYHikVTm-txDMGQPl7</t>
  </si>
  <si>
    <t>https://drive.google.com/file/d/1YR3gLZReaMZrZeHYHikVTm-txDMGQPl7/view?usp=drivesdk</t>
  </si>
  <si>
    <t>Document successfully created; Document successfully merged; PDF created; !!Error Sending Emails: Service invoked too many times for one day: email.; Manually run by ecertificate75@gmail.com; Timestamp: Sep 3 2024 2:30 AM</t>
  </si>
  <si>
    <t>arifingok73@gmail.com</t>
  </si>
  <si>
    <t>5644</t>
  </si>
  <si>
    <t>https://drive.google.com/file/d/18aom2I2sXjC0SVLyklJg3F6wIf8dlViP/view?usp=drivesdk</t>
  </si>
  <si>
    <t>18aom2I2sXjC0SVLyklJg3F6wIf8dlViP</t>
  </si>
  <si>
    <t>16VsftwAk0_rZrWeGFrLWqbo_Cn7JnqNO</t>
  </si>
  <si>
    <t>https://drive.google.com/file/d/16VsftwAk0_rZrWeGFrLWqbo_Cn7JnqNO/view?usp=drivesdk</t>
  </si>
  <si>
    <t>TRI WIBOWO</t>
  </si>
  <si>
    <t>tritop59@gmail.com</t>
  </si>
  <si>
    <t>5645</t>
  </si>
  <si>
    <t>Starting at Thu Aug 29 2024 21:41:19 GMT-0400 (EDT)</t>
  </si>
  <si>
    <t>1VW0kVLn3X5PAJPKt4ow2BxkCF2GE8OvB</t>
  </si>
  <si>
    <t>https://drive.google.com/file/d/1VW0kVLn3X5PAJPKt4ow2BxkCF2GE8OvB/view?usp=drivesdk</t>
  </si>
  <si>
    <t>ETI YUSNITA, SKM</t>
  </si>
  <si>
    <t>etiyusnita1981@gmail.com</t>
  </si>
  <si>
    <t>5646</t>
  </si>
  <si>
    <t>1u698RGsv_TQRhEKyrR5vI4Nxyg0vhCDk</t>
  </si>
  <si>
    <t>https://drive.google.com/file/d/1u698RGsv_TQRhEKyrR5vI4Nxyg0vhCDk/view?usp=drivesdk</t>
  </si>
  <si>
    <t>NANDANG ISMAIL</t>
  </si>
  <si>
    <t>nandangismail8@gmail.com</t>
  </si>
  <si>
    <t>5647</t>
  </si>
  <si>
    <t>1e40i0HYwzdTfBXRs_Wutkjh_sqms1s0-</t>
  </si>
  <si>
    <t>https://drive.google.com/file/d/1e40i0HYwzdTfBXRs_Wutkjh_sqms1s0-/view?usp=drivesdk</t>
  </si>
  <si>
    <t>ANDI YULITHA RASYID</t>
  </si>
  <si>
    <t>yulitharasyid@gamail.com</t>
  </si>
  <si>
    <t>5648</t>
  </si>
  <si>
    <t>1oP29yg3qylZRrDZt9vIFoZPHNl-etAQ0</t>
  </si>
  <si>
    <t>https://drive.google.com/file/d/1oP29yg3qylZRrDZt9vIFoZPHNl-etAQ0/view?usp=drivesdk</t>
  </si>
  <si>
    <t>Document successfully created; Document successfully merged; PDF created; !!Error Sending Emails: Service invoked too many times for one day: email.; Manually run by ecertificate75@gmail.com; Timestamp: Sep 3 2024 2:31 AM</t>
  </si>
  <si>
    <t xml:space="preserve">TITIN SUPAIROH </t>
  </si>
  <si>
    <t>titinsupairoh.83@gmail.com</t>
  </si>
  <si>
    <t>5649</t>
  </si>
  <si>
    <t>1fCB92IzjXjYkUhMDqgOVJ2eNCunam23G</t>
  </si>
  <si>
    <t>https://drive.google.com/file/d/1fCB92IzjXjYkUhMDqgOVJ2eNCunam23G/view?usp=drivesdk</t>
  </si>
  <si>
    <t>srirahayuy49@gmail.com</t>
  </si>
  <si>
    <t>5650</t>
  </si>
  <si>
    <t>1jpntLUXuPvHUBzVFBGUrabkVo_9Za4eW</t>
  </si>
  <si>
    <t>https://drive.google.com/file/d/1jpntLUXuPvHUBzVFBGUrabkVo_9Za4eW/view?usp=drivesdk</t>
  </si>
  <si>
    <t>MARIA DATUAN SALINDING</t>
  </si>
  <si>
    <t>mariadatuansalinding69@gmail.com</t>
  </si>
  <si>
    <t>5651</t>
  </si>
  <si>
    <t>19I8T-vtNFM1ex2fIeVJRfV1GuwUtbuza</t>
  </si>
  <si>
    <t>https://drive.google.com/file/d/19I8T-vtNFM1ex2fIeVJRfV1GuwUtbuza/view?usp=drivesdk</t>
  </si>
  <si>
    <t>Document successfully created; Document successfully merged; PDF created; !!Error Sending Emails: Service invoked too many times for one day: email.; Manually run by ecertificate75@gmail.com; Timestamp: Sep 3 2024 2:32 AM</t>
  </si>
  <si>
    <t>RUSTANBUSTAN</t>
  </si>
  <si>
    <t>bustamrustam15@gmail.com</t>
  </si>
  <si>
    <t>5652</t>
  </si>
  <si>
    <t>1c5c1kewqdgFBlUCAgm4t4CbJuh26rFpV</t>
  </si>
  <si>
    <t>https://drive.google.com/file/d/1c5c1kewqdgFBlUCAgm4t4CbJuh26rFpV/view?usp=drivesdk</t>
  </si>
  <si>
    <t>BUDININGSIH</t>
  </si>
  <si>
    <t>budiningsih770@gmail.com</t>
  </si>
  <si>
    <t>5653</t>
  </si>
  <si>
    <t>Starting at Thu Aug 29 2024 21:41:27 GMT-0400 (EDT)</t>
  </si>
  <si>
    <t>1wipabYmve2pc3rHQyKxa11VdC5Og4Jpb</t>
  </si>
  <si>
    <t>https://drive.google.com/file/d/1wipabYmve2pc3rHQyKxa11VdC5Og4Jpb/view?usp=drivesdk</t>
  </si>
  <si>
    <t>AGUS MULYONO</t>
  </si>
  <si>
    <t>mulyonoagus995@gmail.com</t>
  </si>
  <si>
    <t>5654</t>
  </si>
  <si>
    <t>1TI4hfHJv3a0ilRUVsAAft4DAH1aSPeVD</t>
  </si>
  <si>
    <t>https://drive.google.com/file/d/1TI4hfHJv3a0ilRUVsAAft4DAH1aSPeVD/view?usp=drivesdk</t>
  </si>
  <si>
    <t>TRI AYU OKTAVIANY, A.Md.Gz</t>
  </si>
  <si>
    <t>triayuoktaviany98@gmail.com</t>
  </si>
  <si>
    <t>5655</t>
  </si>
  <si>
    <t>17HWmk1d4dYwOZzfqomae1lLJsf78XTJm</t>
  </si>
  <si>
    <t>https://drive.google.com/file/d/17HWmk1d4dYwOZzfqomae1lLJsf78XTJm/view?usp=drivesdk</t>
  </si>
  <si>
    <t>Document successfully created; Document successfully merged; PDF created; !!Error Sending Emails: Service invoked too many times for one day: email.; Manually run by ecertificate75@gmail.com; Timestamp: Sep 3 2024 2:33 AM</t>
  </si>
  <si>
    <t>DWI NATALIA ANGGRAINI, S.K.M</t>
  </si>
  <si>
    <t>dwinataliaanggraini@gmail.com</t>
  </si>
  <si>
    <t>5656</t>
  </si>
  <si>
    <t>1yN2xNrTrovB7175cNK-DlMKhxnYkRNkR</t>
  </si>
  <si>
    <t>https://drive.google.com/file/d/1yN2xNrTrovB7175cNK-DlMKhxnYkRNkR/view?usp=drivesdk</t>
  </si>
  <si>
    <t>EPA SUSANTI, S.I.kom</t>
  </si>
  <si>
    <t>epahaka@gmail.com</t>
  </si>
  <si>
    <t>5657</t>
  </si>
  <si>
    <t>14pnhpYRlSCfOkqEZJV_jtn73woOfbWQF</t>
  </si>
  <si>
    <t>https://drive.google.com/file/d/14pnhpYRlSCfOkqEZJV_jtn73woOfbWQF/view?usp=drivesdk</t>
  </si>
  <si>
    <t>AZIZ ABDUL JABBAR, A.Md.Kep</t>
  </si>
  <si>
    <t>azizabduljabbar02011997@gmail.com</t>
  </si>
  <si>
    <t>5658</t>
  </si>
  <si>
    <t>17DDtfYkmyM0Ng3ps8RdXFOowbvr0Qv25</t>
  </si>
  <si>
    <t>https://drive.google.com/file/d/17DDtfYkmyM0Ng3ps8RdXFOowbvr0Qv25/view?usp=drivesdk</t>
  </si>
  <si>
    <t>ASIM. SE</t>
  </si>
  <si>
    <t>asimkuncoro50@gmail.com</t>
  </si>
  <si>
    <t>5659</t>
  </si>
  <si>
    <t>1HhELgj5dh5fHLCJC7vq1TzZ_kG-BQb4e</t>
  </si>
  <si>
    <t>https://drive.google.com/file/d/1HhELgj5dh5fHLCJC7vq1TzZ_kG-BQb4e/view?usp=drivesdk</t>
  </si>
  <si>
    <t>5660</t>
  </si>
  <si>
    <t>16olzGT4lFx-PVY8scoN-a0Q1_Q2RKys-</t>
  </si>
  <si>
    <t>https://drive.google.com/file/d/16olzGT4lFx-PVY8scoN-a0Q1_Q2RKys-/view?usp=drivesdk</t>
  </si>
  <si>
    <t>Document successfully created; Document successfully merged; PDF created; !!Error Sending Emails: Service invoked too many times for one day: email.; Manually run by ecertificate75@gmail.com; Timestamp: Sep 3 2024 2:34 AM</t>
  </si>
  <si>
    <t>EPY DWI MEIRIKASARI</t>
  </si>
  <si>
    <t>epydwimeirikasari@gmail.com</t>
  </si>
  <si>
    <t>5661</t>
  </si>
  <si>
    <t>1ys2XNa-tbb7JbCcTFBBEw6evM3EplO70</t>
  </si>
  <si>
    <t>https://drive.google.com/file/d/1ys2XNa-tbb7JbCcTFBBEw6evM3EplO70/view?usp=drivesdk</t>
  </si>
  <si>
    <t>SYAMSUDDIN.S</t>
  </si>
  <si>
    <t>suddinsyam817@gmail.com</t>
  </si>
  <si>
    <t>5662</t>
  </si>
  <si>
    <t>1JjoGmZPc6NZrMzwMbtFD-Kuyhs0lO92B</t>
  </si>
  <si>
    <t>https://drive.google.com/file/d/1JjoGmZPc6NZrMzwMbtFD-Kuyhs0lO92B/view?usp=drivesdk</t>
  </si>
  <si>
    <t>dr.KARTIKA KUSUMA DEWI MH</t>
  </si>
  <si>
    <t>dr.tika@yahoo.com</t>
  </si>
  <si>
    <t>5663</t>
  </si>
  <si>
    <t>1En_hS8J77aCBZVv4GnIWfXJm8kgPtVpG</t>
  </si>
  <si>
    <t>https://drive.google.com/file/d/1En_hS8J77aCBZVv4GnIWfXJm8kgPtVpG/view?usp=drivesdk</t>
  </si>
  <si>
    <t>YULIANA, S.E.</t>
  </si>
  <si>
    <t>yuliana.dy3@gmail.com</t>
  </si>
  <si>
    <t>5664</t>
  </si>
  <si>
    <t>189q6RmeuBdos-6gWpHdDUbhsKaflD3NR</t>
  </si>
  <si>
    <t>https://drive.google.com/file/d/189q6RmeuBdos-6gWpHdDUbhsKaflD3NR/view?usp=drivesdk</t>
  </si>
  <si>
    <t>Document successfully created; Document successfully merged; PDF created; !!Error Sending Emails: Service invoked too many times for one day: email.; Manually run by ecertificate75@gmail.com; Timestamp: Sep 3 2024 2:35 AM</t>
  </si>
  <si>
    <t xml:space="preserve">DEDEH KENYO EKA PRATIWI, S. E. </t>
  </si>
  <si>
    <t>dedehpeatiwi49@gmail.com</t>
  </si>
  <si>
    <t>5665</t>
  </si>
  <si>
    <t>1wE9HeD5VzAp2uErkPye5dLk7xDXtgwgu</t>
  </si>
  <si>
    <t>https://drive.google.com/file/d/1wE9HeD5VzAp2uErkPye5dLk7xDXtgwgu/view?usp=drivesdk</t>
  </si>
  <si>
    <t>RIRIN KUSMIATI, SKep.Ns.,</t>
  </si>
  <si>
    <t>mbkririn6@gmail.com</t>
  </si>
  <si>
    <t>5666</t>
  </si>
  <si>
    <t>1x1rIq1CxNvbUPHc4kmrbfNwFTWDRccqp</t>
  </si>
  <si>
    <t>https://drive.google.com/file/d/1x1rIq1CxNvbUPHc4kmrbfNwFTWDRccqp/view?usp=drivesdk</t>
  </si>
  <si>
    <t>HERI SUSANTO</t>
  </si>
  <si>
    <t>heripnssumda@gmail.com</t>
  </si>
  <si>
    <t>5667</t>
  </si>
  <si>
    <t>1XmUKhv93McRlE_n4LPsqhILAEE3TvVg-</t>
  </si>
  <si>
    <t>https://drive.google.com/file/d/1XmUKhv93McRlE_n4LPsqhILAEE3TvVg-/view?usp=drivesdk</t>
  </si>
  <si>
    <t>ENNY KUSUMAWATI</t>
  </si>
  <si>
    <t>ennykusumawati4@gmail.com</t>
  </si>
  <si>
    <t>5668</t>
  </si>
  <si>
    <t>1Gc3Wkwa967aB8_HFTbbXHyQg6C76ZiI0</t>
  </si>
  <si>
    <t>https://drive.google.com/file/d/1Gc3Wkwa967aB8_HFTbbXHyQg6C76ZiI0/view?usp=drivesdk</t>
  </si>
  <si>
    <t>SUBIYANTORO</t>
  </si>
  <si>
    <t>btoro094@gmail.com</t>
  </si>
  <si>
    <t>5669</t>
  </si>
  <si>
    <t>1gCD133Nsb9-5YK6GvlP2tkpKnYopZ6tl</t>
  </si>
  <si>
    <t>https://drive.google.com/file/d/1gCD133Nsb9-5YK6GvlP2tkpKnYopZ6tl/view?usp=drivesdk</t>
  </si>
  <si>
    <t>YENi KARTININGSIH</t>
  </si>
  <si>
    <t>nengyenisoljer@gmail.com</t>
  </si>
  <si>
    <t>5670</t>
  </si>
  <si>
    <t>1s70-2br9pHIpZBQbK66wzFRYxD8UGkLn</t>
  </si>
  <si>
    <t>https://drive.google.com/file/d/1s70-2br9pHIpZBQbK66wzFRYxD8UGkLn/view?usp=drivesdk</t>
  </si>
  <si>
    <t>Document successfully created; Document successfully merged; PDF created; !!Error Sending Emails: Service invoked too many times for one day: email.; Manually run by ecertificate75@gmail.com; Timestamp: Sep 3 2024 2:36 AM</t>
  </si>
  <si>
    <t>SISMADI</t>
  </si>
  <si>
    <t>madie_medan@yahoo.com</t>
  </si>
  <si>
    <t>5671</t>
  </si>
  <si>
    <t>Starting at Thu Aug 29 2024 21:41:31 GMT-0400 (EDT)</t>
  </si>
  <si>
    <t>1g0RTdlnufimX4lpGx3upBqLedyAf9aVt</t>
  </si>
  <si>
    <t>https://drive.google.com/file/d/1g0RTdlnufimX4lpGx3upBqLedyAf9aVt/view?usp=drivesdk</t>
  </si>
  <si>
    <t>SUNARTI BASRI</t>
  </si>
  <si>
    <t>jyp536776@gmail.com</t>
  </si>
  <si>
    <t>5672</t>
  </si>
  <si>
    <t>1gHEh74z327AG-cO77B3rE1oA_e7f6qRw</t>
  </si>
  <si>
    <t>https://drive.google.com/file/d/1gHEh74z327AG-cO77B3rE1oA_e7f6qRw/view?usp=drivesdk</t>
  </si>
  <si>
    <t>NURSITA.SKM</t>
  </si>
  <si>
    <t>nursitanursita8@gmail.com</t>
  </si>
  <si>
    <t>5673</t>
  </si>
  <si>
    <t>1f9XqW31yplvIfN-UP-b1HKlBRtBOYUb3</t>
  </si>
  <si>
    <t>https://drive.google.com/file/d/1f9XqW31yplvIfN-UP-b1HKlBRtBOYUb3/view?usp=drivesdk</t>
  </si>
  <si>
    <t>ZAHARA, AMK</t>
  </si>
  <si>
    <t>nursezahara@gmail.com</t>
  </si>
  <si>
    <t>5674</t>
  </si>
  <si>
    <t>Starting at Thu Aug 29 2024 21:41:38 GMT-0400 (EDT)</t>
  </si>
  <si>
    <t>1uPdtMX1mGgIjOXuvMDdhzEKpe4gDy_E_</t>
  </si>
  <si>
    <t>https://drive.google.com/file/d/1uPdtMX1mGgIjOXuvMDdhzEKpe4gDy_E_/view?usp=drivesdk</t>
  </si>
  <si>
    <t>Document successfully created; Document successfully merged; PDF created; !!Error Sending Emails: Service invoked too many times for one day: email.; Manually run by ecertificate75@gmail.com; Timestamp: Sep 3 2024 2:37 AM</t>
  </si>
  <si>
    <t>NORHANI</t>
  </si>
  <si>
    <t>norhani5257@gmail.com</t>
  </si>
  <si>
    <t>5675</t>
  </si>
  <si>
    <t>1Ff8vLAQm9oitKHO_egBpLkbWHi5TheNt</t>
  </si>
  <si>
    <t>https://drive.google.com/file/d/1Ff8vLAQm9oitKHO_egBpLkbWHi5TheNt/view?usp=drivesdk</t>
  </si>
  <si>
    <t>AZWAR SH</t>
  </si>
  <si>
    <t>chuaazwar6@gmail.com</t>
  </si>
  <si>
    <t>5676</t>
  </si>
  <si>
    <t>1q6LbUqrHpL9Wg_ybTe7wvuMBI4LKXQTs</t>
  </si>
  <si>
    <t>https://drive.google.com/file/d/1q6LbUqrHpL9Wg_ybTe7wvuMBI4LKXQTs/view?usp=drivesdk</t>
  </si>
  <si>
    <t>FARIDA HAJAR</t>
  </si>
  <si>
    <t>bagsumdapolreswajo@gmail.com</t>
  </si>
  <si>
    <t>5677</t>
  </si>
  <si>
    <t>1if7OK0vbmBzgaJ0D3e7ZRzojjljoo_hB</t>
  </si>
  <si>
    <t>https://drive.google.com/file/d/1if7OK0vbmBzgaJ0D3e7ZRzojjljoo_hB/view?usp=drivesdk</t>
  </si>
  <si>
    <t xml:space="preserve">ERA TRI FEBRIARINI </t>
  </si>
  <si>
    <t>eratrifebriarini@gmail.com</t>
  </si>
  <si>
    <t>5678</t>
  </si>
  <si>
    <t>1D0jEN2oA3hkyUA4zhtejEVNhgvV6NqK6</t>
  </si>
  <si>
    <t>https://drive.google.com/file/d/1D0jEN2oA3hkyUA4zhtejEVNhgvV6NqK6/view?usp=drivesdk</t>
  </si>
  <si>
    <t xml:space="preserve">DINA TRI HANDAYANI </t>
  </si>
  <si>
    <t>mbakdina14@gmail.com</t>
  </si>
  <si>
    <t>5679</t>
  </si>
  <si>
    <t>1njQBgRKi95CnGk7GIuYPjww_r4fZr6xK</t>
  </si>
  <si>
    <t>https://drive.google.com/file/d/1njQBgRKi95CnGk7GIuYPjww_r4fZr6xK/view?usp=drivesdk</t>
  </si>
  <si>
    <t>Document successfully created; Document successfully merged; PDF created; !!Error Sending Emails: Service invoked too many times for one day: email.; Manually run by ecertificate75@gmail.com; Timestamp: Sep 3 2024 2:38 AM</t>
  </si>
  <si>
    <t xml:space="preserve">ENDANG RUSTIANI </t>
  </si>
  <si>
    <t>endang72rostiani@gmail.com</t>
  </si>
  <si>
    <t>5680</t>
  </si>
  <si>
    <t>1C10fQ0G7q4iBd8yjd1jGPV8gyyWwwbvG</t>
  </si>
  <si>
    <t>https://drive.google.com/file/d/1C10fQ0G7q4iBd8yjd1jGPV8gyyWwwbvG/view?usp=drivesdk</t>
  </si>
  <si>
    <t>PONCO ADHI MARMONO</t>
  </si>
  <si>
    <t>myn3tworking@gmail.com</t>
  </si>
  <si>
    <t>5681</t>
  </si>
  <si>
    <t>https://drive.google.com/file/d/1sv8B5Sd04BUnElz5lylVrYez5YVse_F1/view?usp=drivesdk</t>
  </si>
  <si>
    <t>1sv8B5Sd04BUnElz5lylVrYez5YVse_F1</t>
  </si>
  <si>
    <t>1KGB4lrVwguhhdwlq70BjKUf3Qnm2t9E8</t>
  </si>
  <si>
    <t>https://drive.google.com/file/d/1KGB4lrVwguhhdwlq70BjKUf3Qnm2t9E8/view?usp=drivesdk</t>
  </si>
  <si>
    <t>YESI DWI RIZKI, A.Md.Kes</t>
  </si>
  <si>
    <t>yesidwirizki10@gmail.com</t>
  </si>
  <si>
    <t>5682</t>
  </si>
  <si>
    <t>https://drive.google.com/file/d/1-aGpUdoA11ePlSbJE70Wm1zhPFbCFGbb/view?usp=drivesdk</t>
  </si>
  <si>
    <t>1-aGpUdoA11ePlSbJE70Wm1zhPFbCFGbb</t>
  </si>
  <si>
    <t>1SQfXCSp7S1VGeflVyd_4_Bf6BQwtPter</t>
  </si>
  <si>
    <t>https://drive.google.com/file/d/1SQfXCSp7S1VGeflVyd_4_Bf6BQwtPter/view?usp=drivesdk</t>
  </si>
  <si>
    <t xml:space="preserve">BUDI RIYANTO </t>
  </si>
  <si>
    <t>ryantobudi3@gmail.com</t>
  </si>
  <si>
    <t>5683</t>
  </si>
  <si>
    <t>https://drive.google.com/file/d/10PxCftUivtjGDxtCY3cZkHSwXXKjfo6P/view?usp=drivesdk</t>
  </si>
  <si>
    <t>10PxCftUivtjGDxtCY3cZkHSwXXKjfo6P</t>
  </si>
  <si>
    <t>1uFbe29q5m68lMAuKwfVWdDMFTPa6uX-g</t>
  </si>
  <si>
    <t>https://drive.google.com/file/d/1uFbe29q5m68lMAuKwfVWdDMFTPa6uX-g/view?usp=drivesdk</t>
  </si>
  <si>
    <t>Document successfully created; Document successfully merged; PDF created; !!Error Sending Emails: Service invoked too many times for one day: email.; Manually run by ecertificate75@gmail.com; Timestamp: Sep 3 2024 2:39 AM</t>
  </si>
  <si>
    <t>SUPRIYANI</t>
  </si>
  <si>
    <t>suproyani111273@gmail.com</t>
  </si>
  <si>
    <t>5684</t>
  </si>
  <si>
    <t>https://drive.google.com/file/d/1bEvO_0RrHPHXRzw_Zvwbo392B0uM0TuC/view?usp=drivesdk</t>
  </si>
  <si>
    <t>1bEvO_0RrHPHXRzw_Zvwbo392B0uM0TuC</t>
  </si>
  <si>
    <t>1XjM7Ycc3YsRtxeD0VaIm4WDpXDrvKG1M</t>
  </si>
  <si>
    <t>https://drive.google.com/file/d/1XjM7Ycc3YsRtxeD0VaIm4WDpXDrvKG1M/view?usp=drivesdk</t>
  </si>
  <si>
    <t>SONYA SOVANI</t>
  </si>
  <si>
    <t>pns.sonyasovani1977@gmail.com</t>
  </si>
  <si>
    <t>5685</t>
  </si>
  <si>
    <t>https://drive.google.com/file/d/1pR05O1Q692V-XGSjZ0cHNM63VeXk6xvA/view?usp=drivesdk</t>
  </si>
  <si>
    <t>1pR05O1Q692V-XGSjZ0cHNM63VeXk6xvA</t>
  </si>
  <si>
    <t>1ZEwjb1u-zK4cjv7a7qNXoxQwCNfwxPyz</t>
  </si>
  <si>
    <t>https://drive.google.com/file/d/1ZEwjb1u-zK4cjv7a7qNXoxQwCNfwxPyz/view?usp=drivesdk</t>
  </si>
  <si>
    <t>wwiji0378@gmail.com</t>
  </si>
  <si>
    <t>5686</t>
  </si>
  <si>
    <t>Starting at Thu Aug 29 2024 21:41:46 GMT-0400 (EDT)</t>
  </si>
  <si>
    <t>1POmnm3NNyrmNzP0ibvXZCfXA7BMZpTPc</t>
  </si>
  <si>
    <t>https://drive.google.com/file/d/1POmnm3NNyrmNzP0ibvXZCfXA7BMZpTPc/view?usp=drivesdk</t>
  </si>
  <si>
    <t>FAIZAL NASSER</t>
  </si>
  <si>
    <t>fzlnssr@gmail.com</t>
  </si>
  <si>
    <t>5687</t>
  </si>
  <si>
    <t>1yZ3Ib20rEfbHM1bWojBEqZJYTq2AJ4XP</t>
  </si>
  <si>
    <t>https://drive.google.com/file/d/1yZ3Ib20rEfbHM1bWojBEqZJYTq2AJ4XP/view?usp=drivesdk</t>
  </si>
  <si>
    <t>MARSUDI WIDAGDO, S.E.</t>
  </si>
  <si>
    <t>mwidagdo55@gmail.com</t>
  </si>
  <si>
    <t>5688</t>
  </si>
  <si>
    <t>14N6ZEnsVcAdiyfgXz5X7ULZTWKuqfZqn</t>
  </si>
  <si>
    <t>https://drive.google.com/file/d/14N6ZEnsVcAdiyfgXz5X7ULZTWKuqfZqn/view?usp=drivesdk</t>
  </si>
  <si>
    <t>Document successfully created; Document successfully merged; PDF created; !!Error Sending Emails: Service invoked too many times for one day: email.; Manually run by ecertificate75@gmail.com; Timestamp: Sep 3 2024 2:40 AM</t>
  </si>
  <si>
    <t>RIDUAN</t>
  </si>
  <si>
    <t>ridwan4958@gmail.com</t>
  </si>
  <si>
    <t>5689</t>
  </si>
  <si>
    <t>1HNrvlW_U99-9omEdFHZp6dC0JuQg9hsO</t>
  </si>
  <si>
    <t>https://drive.google.com/file/d/1HNrvlW_U99-9omEdFHZp6dC0JuQg9hsO/view?usp=drivesdk</t>
  </si>
  <si>
    <t>LILY HARYANI. S</t>
  </si>
  <si>
    <t>lilyharyani191@gmail.com</t>
  </si>
  <si>
    <t>5690</t>
  </si>
  <si>
    <t>1ODvCMA62EZPYMQQJE6fkXyr3x_b8KSqA</t>
  </si>
  <si>
    <t>https://drive.google.com/file/d/1ODvCMA62EZPYMQQJE6fkXyr3x_b8KSqA/view?usp=drivesdk</t>
  </si>
  <si>
    <t>DEWI DAMAYANTI HSB SKEP NS</t>
  </si>
  <si>
    <t>dewidamayantihasibuan@gmail.com</t>
  </si>
  <si>
    <t>5691</t>
  </si>
  <si>
    <t>https://drive.google.com/file/d/1qw6ltLGxVhn0tbEdtgyIDYKda__dwjzu/view?usp=drivesdk</t>
  </si>
  <si>
    <t>1qw6ltLGxVhn0tbEdtgyIDYKda__dwjzu</t>
  </si>
  <si>
    <t>13VoFD_gzPs6yjlrfwvtmQWKK4EhB2Wo8</t>
  </si>
  <si>
    <t>https://drive.google.com/file/d/13VoFD_gzPs6yjlrfwvtmQWKK4EhB2Wo8/view?usp=drivesdk</t>
  </si>
  <si>
    <t>EVI ARIANI, A.Md.Kep</t>
  </si>
  <si>
    <t>evi.jalasenastri@gmail.com</t>
  </si>
  <si>
    <t>5692</t>
  </si>
  <si>
    <t>https://drive.google.com/file/d/1sy-OrsWsiiybmdciXveSNn3xanjXO9m4/view?usp=drivesdk</t>
  </si>
  <si>
    <t>1sy-OrsWsiiybmdciXveSNn3xanjXO9m4</t>
  </si>
  <si>
    <t>1iUaaY67_khb1M3R8cXAE2lBvAqhL2apN</t>
  </si>
  <si>
    <t>https://drive.google.com/file/d/1iUaaY67_khb1M3R8cXAE2lBvAqhL2apN/view?usp=drivesdk</t>
  </si>
  <si>
    <t>ELY SUMARNI.S.Kep.</t>
  </si>
  <si>
    <t>elysumarni1@gmail.com</t>
  </si>
  <si>
    <t>5693</t>
  </si>
  <si>
    <t>https://drive.google.com/file/d/1d0n-D1-1YaxqLCflUHBoEaK0ATV5SsT6/view?usp=drivesdk</t>
  </si>
  <si>
    <t>1d0n-D1-1YaxqLCflUHBoEaK0ATV5SsT6</t>
  </si>
  <si>
    <t>1fdzwBS96XeOR1inHtkq_d3LtDwc_yurn</t>
  </si>
  <si>
    <t>https://drive.google.com/file/d/1fdzwBS96XeOR1inHtkq_d3LtDwc_yurn/view?usp=drivesdk</t>
  </si>
  <si>
    <t>Document successfully created; Document successfully merged; PDF created; !!Error Sending Emails: Service invoked too many times for one day: email.; Manually run by ecertificate75@gmail.com; Timestamp: Sep 3 2024 2:41 AM</t>
  </si>
  <si>
    <t xml:space="preserve">JOKO SUGIHARNO, S.H. </t>
  </si>
  <si>
    <t>apriadi.aprix@gmail.com</t>
  </si>
  <si>
    <t>5694</t>
  </si>
  <si>
    <t>Starting at Thu Aug 29 2024 21:41:50 GMT-0400 (EDT)</t>
  </si>
  <si>
    <t>1jRNo_jlDr9VFn1BZ0xCl7G8Cgs_3suAw</t>
  </si>
  <si>
    <t>https://drive.google.com/file/d/1jRNo_jlDr9VFn1BZ0xCl7G8Cgs_3suAw/view?usp=drivesdk</t>
  </si>
  <si>
    <t>SRI ENDANG GUMIASIH</t>
  </si>
  <si>
    <t>Sriendanggumiasih@gmail.com</t>
  </si>
  <si>
    <t>5695</t>
  </si>
  <si>
    <t>https://drive.google.com/file/d/1YLfHo-c3ZHy7yrnnfRvUbU1BO7_d-0KO/view?usp=drivesdk</t>
  </si>
  <si>
    <t>1YLfHo-c3ZHy7yrnnfRvUbU1BO7_d-0KO</t>
  </si>
  <si>
    <t>1z-TUnyT634VCcPhgDNflrbSH8z5AeQgc</t>
  </si>
  <si>
    <t>https://drive.google.com/file/d/1z-TUnyT634VCcPhgDNflrbSH8z5AeQgc/view?usp=drivesdk</t>
  </si>
  <si>
    <t>DOKMA ELY SARAGIH</t>
  </si>
  <si>
    <t>dokmaelisaragih12@gmail.com</t>
  </si>
  <si>
    <t>5696</t>
  </si>
  <si>
    <t>https://drive.google.com/file/d/1vMfsoFYyEqhmLiYRT3BIRbhDtYhkni3O/view?usp=drivesdk</t>
  </si>
  <si>
    <t>1vMfsoFYyEqhmLiYRT3BIRbhDtYhkni3O</t>
  </si>
  <si>
    <t>1DZpEtoEO3MiKeEeQYfadJSIjoYIlA17A</t>
  </si>
  <si>
    <t>https://drive.google.com/file/d/1DZpEtoEO3MiKeEeQYfadJSIjoYIlA17A/view?usp=drivesdk</t>
  </si>
  <si>
    <t>ANITA PUTRI GUMAI</t>
  </si>
  <si>
    <t>anitametro878@gmail.com</t>
  </si>
  <si>
    <t>5697</t>
  </si>
  <si>
    <t>https://drive.google.com/file/d/18UZie4haHSBiPYbTJ-HJA-n5cq7kW4bi/view?usp=drivesdk</t>
  </si>
  <si>
    <t>18UZie4haHSBiPYbTJ-HJA-n5cq7kW4bi</t>
  </si>
  <si>
    <t>1nffl_dgOYhZiGxN69GVzdpFQEHxBHAkw</t>
  </si>
  <si>
    <t>https://drive.google.com/file/d/1nffl_dgOYhZiGxN69GVzdpFQEHxBHAkw/view?usp=drivesdk</t>
  </si>
  <si>
    <t>Document successfully created; Document successfully merged; PDF created; !!Error Sending Emails: Service invoked too many times for one day: email.; Manually run by ecertificate75@gmail.com; Timestamp: Sep 3 2024 2:42 AM</t>
  </si>
  <si>
    <t>Teguh Widjonarko A. Md</t>
  </si>
  <si>
    <t>teguhwidjonarko72@gmail.com</t>
  </si>
  <si>
    <t>5698</t>
  </si>
  <si>
    <t>https://drive.google.com/file/d/1_RRcpv3wa2BForj5cP4mWxF2yGt1-vWB/view?usp=drivesdk</t>
  </si>
  <si>
    <t>1_RRcpv3wa2BForj5cP4mWxF2yGt1-vWB</t>
  </si>
  <si>
    <t>18TwAxn27oOyGkQdsBfMYw0pBqfRMIans</t>
  </si>
  <si>
    <t>https://drive.google.com/file/d/18TwAxn27oOyGkQdsBfMYw0pBqfRMIans/view?usp=drivesdk</t>
  </si>
  <si>
    <t>HARSONO</t>
  </si>
  <si>
    <t>harsonosragen88@gmail.com</t>
  </si>
  <si>
    <t>5699</t>
  </si>
  <si>
    <t>https://drive.google.com/file/d/15mUDeLbj5kEgvCGK2PDRlgwMlRs_1G5Z/view?usp=drivesdk</t>
  </si>
  <si>
    <t>15mUDeLbj5kEgvCGK2PDRlgwMlRs_1G5Z</t>
  </si>
  <si>
    <t>1rhvXXW19Laqpy8Xqs3xXbd94ao1b2saW</t>
  </si>
  <si>
    <t>https://drive.google.com/file/d/1rhvXXW19Laqpy8Xqs3xXbd94ao1b2saW/view?usp=drivesdk</t>
  </si>
  <si>
    <t>EKA AGUSTINA, A.Md.Far</t>
  </si>
  <si>
    <t>ekaagustina9702@gmail.com</t>
  </si>
  <si>
    <t>5700</t>
  </si>
  <si>
    <t>Starting at Thu Aug 29 2024 21:41:57 GMT-0400 (EDT)</t>
  </si>
  <si>
    <t>12uPG6sejOOZNmCXv4OpNIc0YoanGRKSf</t>
  </si>
  <si>
    <t>https://drive.google.com/file/d/12uPG6sejOOZNmCXv4OpNIc0YoanGRKSf/view?usp=drivesdk</t>
  </si>
  <si>
    <t>YUDHI PERMANA, S.AP</t>
  </si>
  <si>
    <t>permanayudhi78@gmail.com</t>
  </si>
  <si>
    <t>5701</t>
  </si>
  <si>
    <t>https://drive.google.com/file/d/11cSafSG0NZYOmx7YJ1EilPCGmwciHmmf/view?usp=drivesdk</t>
  </si>
  <si>
    <t>11cSafSG0NZYOmx7YJ1EilPCGmwciHmmf</t>
  </si>
  <si>
    <t>1VLBWuHPDxI683X5rkJBHDJQOKiXex7Rr</t>
  </si>
  <si>
    <t>https://drive.google.com/file/d/1VLBWuHPDxI683X5rkJBHDJQOKiXex7Rr/view?usp=drivesdk</t>
  </si>
  <si>
    <t>Document successfully created; Document successfully merged; PDF created; !!Error Sending Emails: Service invoked too many times for one day: email.; Manually run by ecertificate75@gmail.com; Timestamp: Sep 3 2024 2:43 AM</t>
  </si>
  <si>
    <t xml:space="preserve">dr. MOHD.RIZKI DESMADIA </t>
  </si>
  <si>
    <t>staylishone19@gmail.com</t>
  </si>
  <si>
    <t>5702</t>
  </si>
  <si>
    <t>https://drive.google.com/file/d/1Gv9g4hL9GCbcMNojMNXD1tjgylzvK0o1/view?usp=drivesdk</t>
  </si>
  <si>
    <t>1Gv9g4hL9GCbcMNojMNXD1tjgylzvK0o1</t>
  </si>
  <si>
    <t>1KxB7dRBAYbe85q0VFFsbRJfXpcTfvYpE</t>
  </si>
  <si>
    <t>https://drive.google.com/file/d/1KxB7dRBAYbe85q0VFFsbRJfXpcTfvYpE/view?usp=drivesdk</t>
  </si>
  <si>
    <t>BUDI SANTOSO, M.I.KOM.</t>
  </si>
  <si>
    <t>budiusahid27@gmail.com</t>
  </si>
  <si>
    <t>5703</t>
  </si>
  <si>
    <t>https://drive.google.com/file/d/1XIEDY9I1JkGtTOyyjCdGcYdfFLP_x-HO/view?usp=drivesdk</t>
  </si>
  <si>
    <t>1XIEDY9I1JkGtTOyyjCdGcYdfFLP_x-HO</t>
  </si>
  <si>
    <t>1v0VNAmo_i5gInfQEeZ-SNInJC54STX7K</t>
  </si>
  <si>
    <t>https://drive.google.com/file/d/1v0VNAmo_i5gInfQEeZ-SNInJC54STX7K/view?usp=drivesdk</t>
  </si>
  <si>
    <t>EVI VERIYANTI</t>
  </si>
  <si>
    <t>Eviveriyanti.ev@gmail.com</t>
  </si>
  <si>
    <t>5704</t>
  </si>
  <si>
    <t>https://drive.google.com/file/d/1BYJAGBiTn36r2JsnaDMauC385Mq7zCRh/view?usp=drivesdk</t>
  </si>
  <si>
    <t>1BYJAGBiTn36r2JsnaDMauC385Mq7zCRh</t>
  </si>
  <si>
    <t>1MCcA8Fe2HxfnLsApvPTzyoWnpv9o6xN-</t>
  </si>
  <si>
    <t>https://drive.google.com/file/d/1MCcA8Fe2HxfnLsApvPTzyoWnpv9o6xN-/view?usp=drivesdk</t>
  </si>
  <si>
    <t xml:space="preserve">WIWIT SURYANI, AMK </t>
  </si>
  <si>
    <t>suryaniwiwit31@gmail.com</t>
  </si>
  <si>
    <t>5705</t>
  </si>
  <si>
    <t>Starting at Thu Aug 29 2024 21:42:00 GMT-0400 (EDT)</t>
  </si>
  <si>
    <t>1jZBiib1CjPH-3k8N-8M-5SbVdKtdiHw2</t>
  </si>
  <si>
    <t>https://drive.google.com/file/d/1jZBiib1CjPH-3k8N-8M-5SbVdKtdiHw2/view?usp=drivesdk</t>
  </si>
  <si>
    <t>Document successfully created; Document successfully merged; PDF created; !!Error Sending Emails: Service invoked too many times for one day: email.; Manually run by ecertificate75@gmail.com; Timestamp: Sep 3 2024 2:44 AM</t>
  </si>
  <si>
    <t>PUPUT WIDHIASTUTI, A.MD., S.E.</t>
  </si>
  <si>
    <t>puputwid562@gmail.com</t>
  </si>
  <si>
    <t>5706</t>
  </si>
  <si>
    <t>1gaDFWKGqyhoE1QinQbXXQ06-cyaGnNC6</t>
  </si>
  <si>
    <t>https://drive.google.com/file/d/1gaDFWKGqyhoE1QinQbXXQ06-cyaGnNC6/view?usp=drivesdk</t>
  </si>
  <si>
    <t>HENDRIZAL, S.T.</t>
  </si>
  <si>
    <t>hendri.poker@gmail.com</t>
  </si>
  <si>
    <t>5707</t>
  </si>
  <si>
    <t>1cwP7BcdRooGCT9Aj6YH6iYGsvoo0QjR1</t>
  </si>
  <si>
    <t>https://drive.google.com/file/d/1cwP7BcdRooGCT9Aj6YH6iYGsvoo0QjR1/view?usp=drivesdk</t>
  </si>
  <si>
    <t>Ns.Lissa Carolina Jacobus,S.Kep</t>
  </si>
  <si>
    <t>Lissacarolina27@gmail.com</t>
  </si>
  <si>
    <t>5708</t>
  </si>
  <si>
    <t>https://drive.google.com/file/d/1JsUNa4eyGURnu4fY7GyWY25Z_iDu4g_g/view?usp=drivesdk</t>
  </si>
  <si>
    <t>Document successfully created; Document successfully merged; PDF created; !!Error Sending Emails: Service invoked too many times for one day: email.; Run via form trigger as ecertificate75@gmail.com; Timestamp: Aug 29 2024 9:43 PM</t>
  </si>
  <si>
    <t>1JsUNa4eyGURnu4fY7GyWY25Z_iDu4g_g</t>
  </si>
  <si>
    <t>1zaKT5Cgz4S5OSrfotkx7V10sFuNrd8Wu</t>
  </si>
  <si>
    <t>https://drive.google.com/file/d/1zaKT5Cgz4S5OSrfotkx7V10sFuNrd8Wu/view?usp=drivesdk</t>
  </si>
  <si>
    <t>FAJAR ARIF WIBOWO, ST.</t>
  </si>
  <si>
    <t>fajar.shogun234@gmail.com</t>
  </si>
  <si>
    <t>5709</t>
  </si>
  <si>
    <t>https://drive.google.com/file/d/1B8Zrjwc8jYqlwHOVlJXHiA2fe2pobpfz/view?usp=drivesdk</t>
  </si>
  <si>
    <t>1B8Zrjwc8jYqlwHOVlJXHiA2fe2pobpfz</t>
  </si>
  <si>
    <t>1Hp7VSn1PTlASf3HcY4X4_cHBOhpYa8n2</t>
  </si>
  <si>
    <t>https://drive.google.com/file/d/1Hp7VSn1PTlASf3HcY4X4_cHBOhpYa8n2/view?usp=drivesdk</t>
  </si>
  <si>
    <t>TETTY CHOLIJAH SINAGA. SE</t>
  </si>
  <si>
    <t>Techotesys@g.mail</t>
  </si>
  <si>
    <t>5710</t>
  </si>
  <si>
    <t>Starting at Thu Aug 29 2024 21:42:04 GMT-0400 (EDT)</t>
  </si>
  <si>
    <t>1B8ZR-yfh1WWWhvpveFweLgQoEQBIDDI7</t>
  </si>
  <si>
    <t>https://drive.google.com/file/d/1B8ZR-yfh1WWWhvpveFweLgQoEQBIDDI7/view?usp=drivesdk</t>
  </si>
  <si>
    <t>Document successfully created; Document successfully merged; PDF created; !!Error Sending Emails: Service invoked too many times for one day: email.; Manually run by ecertificate75@gmail.com; Timestamp: Sep 3 2024 2:45 AM</t>
  </si>
  <si>
    <t>DIDI AGUS PRAMONO</t>
  </si>
  <si>
    <t>didiagpr4@gmail.com</t>
  </si>
  <si>
    <t>5711</t>
  </si>
  <si>
    <t>1g6YpLyyzXn2tTGbLiqIPW2c_bVTJofDQ</t>
  </si>
  <si>
    <t>https://drive.google.com/file/d/1g6YpLyyzXn2tTGbLiqIPW2c_bVTJofDQ/view?usp=drivesdk</t>
  </si>
  <si>
    <t>SOLICHIN</t>
  </si>
  <si>
    <t>solihinpekalongan62@gmail.com</t>
  </si>
  <si>
    <t>5712</t>
  </si>
  <si>
    <t>18V7uaoDwrQjUj_5SqI3SGLIutnH_TwtN</t>
  </si>
  <si>
    <t>https://drive.google.com/file/d/18V7uaoDwrQjUj_5SqI3SGLIutnH_TwtN/view?usp=drivesdk</t>
  </si>
  <si>
    <t>NI PUTU EKA SUPRIATI,A.Md</t>
  </si>
  <si>
    <t>niputuekasupriati@gmail.com</t>
  </si>
  <si>
    <t>5713</t>
  </si>
  <si>
    <t>https://drive.google.com/file/d/1zAzDWxHE8DSUdB6RzWVVF9w42hAnVfmy/view?usp=drivesdk</t>
  </si>
  <si>
    <t>1zAzDWxHE8DSUdB6RzWVVF9w42hAnVfmy</t>
  </si>
  <si>
    <t>1VNaG2a_eLmvwtkw49a_imZv8b9eQJAQE</t>
  </si>
  <si>
    <t>https://drive.google.com/file/d/1VNaG2a_eLmvwtkw49a_imZv8b9eQJAQE/view?usp=drivesdk</t>
  </si>
  <si>
    <t>Document successfully created; Document successfully merged; PDF created; !!Error Sending Emails: Service invoked too many times for one day: email.; Manually run by ecertificate75@gmail.com; Timestamp: Sep 3 2024 2:46 AM</t>
  </si>
  <si>
    <t>AGUS SUPRIYA</t>
  </si>
  <si>
    <t>suprya1967@gmail.com</t>
  </si>
  <si>
    <t>5714</t>
  </si>
  <si>
    <t>https://drive.google.com/file/d/1eo56Vmh-Y-EWvWoyx9uEkDCHk70oPhne/view?usp=drivesdk</t>
  </si>
  <si>
    <t>1eo56Vmh-Y-EWvWoyx9uEkDCHk70oPhne</t>
  </si>
  <si>
    <t>1uHcj2pE1rqnufVMfhCMyJTheR23TNVin</t>
  </si>
  <si>
    <t>https://drive.google.com/file/d/1uHcj2pE1rqnufVMfhCMyJTheR23TNVin/view?usp=drivesdk</t>
  </si>
  <si>
    <t xml:space="preserve">ULI SIANTURI SE, MM </t>
  </si>
  <si>
    <t>ullycantik720@gmail.com</t>
  </si>
  <si>
    <t>5715</t>
  </si>
  <si>
    <t>Starting at Thu Aug 29 2024 21:42:13 GMT-0400 (EDT)</t>
  </si>
  <si>
    <t>1cm67fDw8wJ3HHPi0e-LTkpvhS9Bt8MVo</t>
  </si>
  <si>
    <t>https://drive.google.com/file/d/1cm67fDw8wJ3HHPi0e-LTkpvhS9Bt8MVo/view?usp=drivesdk</t>
  </si>
  <si>
    <t>EVI IMAWATI</t>
  </si>
  <si>
    <t>eviimawati187@gmail.com</t>
  </si>
  <si>
    <t>5716</t>
  </si>
  <si>
    <t>1U_Jl-h1UvuzB3pW8Ks7gq_ixF7diMS_j</t>
  </si>
  <si>
    <t>https://drive.google.com/file/d/1U_Jl-h1UvuzB3pW8Ks7gq_ixF7diMS_j/view?usp=drivesdk</t>
  </si>
  <si>
    <t>Document successfully created; Document successfully merged; PDF created; !!Error Sending Emails: Service invoked too many times for one day: email.; Manually run by ecertificate75@gmail.com; Timestamp: Sep 3 2024 2:47 AM</t>
  </si>
  <si>
    <t xml:space="preserve">MEYLASARI </t>
  </si>
  <si>
    <t>meylasari61@gmail.com</t>
  </si>
  <si>
    <t>5717</t>
  </si>
  <si>
    <t>1LHFo3y3NEkCwrcb2cdrbYgGaAi9rdFU2</t>
  </si>
  <si>
    <t>https://drive.google.com/file/d/1LHFo3y3NEkCwrcb2cdrbYgGaAi9rdFU2/view?usp=drivesdk</t>
  </si>
  <si>
    <t>NURIJADI</t>
  </si>
  <si>
    <t>nurijadi5@gmail.com</t>
  </si>
  <si>
    <t>5718</t>
  </si>
  <si>
    <t>1P78rbEU5aMMq-DSSjT7YQ62Dkx6H6okm</t>
  </si>
  <si>
    <t>https://drive.google.com/file/d/1P78rbEU5aMMq-DSSjT7YQ62Dkx6H6okm/view?usp=drivesdk</t>
  </si>
  <si>
    <t>YULIA SUSANTI</t>
  </si>
  <si>
    <t>chaniago@gmail.com</t>
  </si>
  <si>
    <t>5719</t>
  </si>
  <si>
    <t>1pbmjKtvFOb-ZonvQ39e7-90GbepMxga9</t>
  </si>
  <si>
    <t>https://drive.google.com/file/d/1pbmjKtvFOb-ZonvQ39e7-90GbepMxga9/view?usp=drivesdk</t>
  </si>
  <si>
    <t>HERINAWATI</t>
  </si>
  <si>
    <t>herinawati762@gmail.com</t>
  </si>
  <si>
    <t>5720</t>
  </si>
  <si>
    <t>1FchyXdp07XMiqG4GTrPU8dyxHFbS1sml</t>
  </si>
  <si>
    <t>https://drive.google.com/file/d/1FchyXdp07XMiqG4GTrPU8dyxHFbS1sml/view?usp=drivesdk</t>
  </si>
  <si>
    <t>Document successfully created; Document successfully merged; PDF created; !!Error Sending Emails: Service invoked too many times for one day: email.; Manually run by ecertificate75@gmail.com; Timestamp: Sep 3 2024 2:48 AM</t>
  </si>
  <si>
    <t>JAMALIA RUMUAR</t>
  </si>
  <si>
    <t>liarumuar62@gmail.com</t>
  </si>
  <si>
    <t>5721</t>
  </si>
  <si>
    <t>1NA7WgqlgLiA2xP1c5XRi3c5sIpOyJ-ja</t>
  </si>
  <si>
    <t>https://drive.google.com/file/d/1NA7WgqlgLiA2xP1c5XRi3c5sIpOyJ-ja/view?usp=drivesdk</t>
  </si>
  <si>
    <t>wignyo.suroyo@gmail.com</t>
  </si>
  <si>
    <t>5722</t>
  </si>
  <si>
    <t>1EGhExuSMw-0nuoorIybhfNb2-IFWiCB8</t>
  </si>
  <si>
    <t>https://drive.google.com/file/d/1EGhExuSMw-0nuoorIybhfNb2-IFWiCB8/view?usp=drivesdk</t>
  </si>
  <si>
    <t>DESWITA</t>
  </si>
  <si>
    <t>deswita857@gamail.com</t>
  </si>
  <si>
    <t>5723</t>
  </si>
  <si>
    <t>1ytqwbrWYZxfd59NqgA8cv0OdTe8iuDpW</t>
  </si>
  <si>
    <t>https://drive.google.com/file/d/1ytqwbrWYZxfd59NqgA8cv0OdTe8iuDpW/view?usp=drivesdk</t>
  </si>
  <si>
    <t>PENATA ROSMALINI</t>
  </si>
  <si>
    <t>rosmalini22@gmail.com</t>
  </si>
  <si>
    <t>5724</t>
  </si>
  <si>
    <t>1cgbaddL27kxbIJ4Zwr6vTptyhHXSqly1</t>
  </si>
  <si>
    <t>https://drive.google.com/file/d/1cgbaddL27kxbIJ4Zwr6vTptyhHXSqly1/view?usp=drivesdk</t>
  </si>
  <si>
    <t>Document successfully created; Document successfully merged; PDF created; !!Error Sending Emails: Service invoked too many times for one day: email.; Manually run by ecertificate75@gmail.com; Timestamp: Sep 3 2024 2:49 AM</t>
  </si>
  <si>
    <t>NINIK MUJI RAHAYU</t>
  </si>
  <si>
    <t>ninikmr28@gmail.com</t>
  </si>
  <si>
    <t>5725</t>
  </si>
  <si>
    <t>1kX-6PnQ0OTcZIS_0M_NfQfkXH235l5pA</t>
  </si>
  <si>
    <t>https://drive.google.com/file/d/1kX-6PnQ0OTcZIS_0M_NfQfkXH235l5pA/view?usp=drivesdk</t>
  </si>
  <si>
    <t>RIONO RIONO</t>
  </si>
  <si>
    <t>riono.jatim@gmail.com</t>
  </si>
  <si>
    <t>5726</t>
  </si>
  <si>
    <t>1wmIqh0uIYLgh-XSzXvrgNm3u0Dg6-PCe</t>
  </si>
  <si>
    <t>https://drive.google.com/file/d/1wmIqh0uIYLgh-XSzXvrgNm3u0Dg6-PCe/view?usp=drivesdk</t>
  </si>
  <si>
    <t>NOVI TRANIKA SARI. S.Kep</t>
  </si>
  <si>
    <t>Novi.tranika@gmail.com</t>
  </si>
  <si>
    <t>5727</t>
  </si>
  <si>
    <t>1jmw_T3BakwWmnp-O1rB5BikMPYQrL12T</t>
  </si>
  <si>
    <t>https://drive.google.com/file/d/1jmw_T3BakwWmnp-O1rB5BikMPYQrL12T/view?usp=drivesdk</t>
  </si>
  <si>
    <t>RATNENGSIH, S.E</t>
  </si>
  <si>
    <t>ratnengsihnining01@gmail.com</t>
  </si>
  <si>
    <t>5728</t>
  </si>
  <si>
    <t>1kIsdXUtkCQlZNiBkrIB1KtFCDZy2xK1h</t>
  </si>
  <si>
    <t>https://drive.google.com/file/d/1kIsdXUtkCQlZNiBkrIB1KtFCDZy2xK1h/view?usp=drivesdk</t>
  </si>
  <si>
    <t>Document successfully created; Document successfully merged; PDF created; !!Error Sending Emails: Service invoked too many times for one day: email.; Manually run by ecertificate75@gmail.com; Timestamp: Sep 3 2024 2:50 AM</t>
  </si>
  <si>
    <t>NURHAYANI.R</t>
  </si>
  <si>
    <t>nurhayanirahim67@gmail.com</t>
  </si>
  <si>
    <t>5729</t>
  </si>
  <si>
    <t>1ZSJlPjJy_bsKHbMXX5ijKT1hj5wEBdjm</t>
  </si>
  <si>
    <t>https://drive.google.com/file/d/1ZSJlPjJy_bsKHbMXX5ijKT1hj5wEBdjm/view?usp=drivesdk</t>
  </si>
  <si>
    <t>HANI WARDANI</t>
  </si>
  <si>
    <t>hwardani581@gmail.com</t>
  </si>
  <si>
    <t>5730</t>
  </si>
  <si>
    <t>1YtBHD9iiTsSVEfRt4O5RbXx7vkaCBWg2</t>
  </si>
  <si>
    <t>https://drive.google.com/file/d/1YtBHD9iiTsSVEfRt4O5RbXx7vkaCBWg2/view?usp=drivesdk</t>
  </si>
  <si>
    <t>ISMAIL</t>
  </si>
  <si>
    <t>aureliapratidina@gmail.com</t>
  </si>
  <si>
    <t>5731</t>
  </si>
  <si>
    <t>1DhEQHSVCQIORFzYaibMiivakW8ASSwnE</t>
  </si>
  <si>
    <t>https://drive.google.com/file/d/1DhEQHSVCQIORFzYaibMiivakW8ASSwnE/view?usp=drivesdk</t>
  </si>
  <si>
    <t>dr. RIA HAERANI HARUNA, M.Kes</t>
  </si>
  <si>
    <t>ria.haerani.haruna@gmail.com</t>
  </si>
  <si>
    <t>5732</t>
  </si>
  <si>
    <t>1vYG7uUClzjM9ph4xx3Cxx1IGMd3qH1Va</t>
  </si>
  <si>
    <t>https://drive.google.com/file/d/1vYG7uUClzjM9ph4xx3Cxx1IGMd3qH1Va/view?usp=drivesdk</t>
  </si>
  <si>
    <t>TITIK MEIZAROH, A.Md</t>
  </si>
  <si>
    <t>titikmeii@gmail.com</t>
  </si>
  <si>
    <t>5733</t>
  </si>
  <si>
    <t>Starting at Thu Aug 29 2024 21:42:18 GMT-0400 (EDT)</t>
  </si>
  <si>
    <t>1zVsmKK7ePCqdQFBfCeDlgmkVSKZ0kWgZ</t>
  </si>
  <si>
    <t>https://drive.google.com/file/d/1zVsmKK7ePCqdQFBfCeDlgmkVSKZ0kWgZ/view?usp=drivesdk</t>
  </si>
  <si>
    <t>Document successfully created; Document successfully merged; PDF created; !!Error Sending Emails: Service invoked too many times for one day: email.; Manually run by ecertificate75@gmail.com; Timestamp: Sep 3 2024 2:51 AM</t>
  </si>
  <si>
    <t>HAMZAH SEMMAUNA</t>
  </si>
  <si>
    <t>hamzah1921970@gmail.com</t>
  </si>
  <si>
    <t>5734</t>
  </si>
  <si>
    <t>1NXiCMuBDzxa1VutJCYrtU1NkuowDT3Nu</t>
  </si>
  <si>
    <t>https://drive.google.com/file/d/1NXiCMuBDzxa1VutJCYrtU1NkuowDT3Nu/view?usp=drivesdk</t>
  </si>
  <si>
    <t>SITI ROMLAH, S.Sos</t>
  </si>
  <si>
    <t>anandajessy5@gmail.com</t>
  </si>
  <si>
    <t>5735</t>
  </si>
  <si>
    <t>1Mf5eyGTqLTFZbBPjBWaKv9cQKl8mPQrQ</t>
  </si>
  <si>
    <t>https://drive.google.com/file/d/1Mf5eyGTqLTFZbBPjBWaKv9cQKl8mPQrQ/view?usp=drivesdk</t>
  </si>
  <si>
    <t>NURYATI ROSANG</t>
  </si>
  <si>
    <t>yeti.rosang2017@gmail.com</t>
  </si>
  <si>
    <t>5736</t>
  </si>
  <si>
    <t>Starting at Thu Aug 29 2024 21:42:22 GMT-0400 (EDT)</t>
  </si>
  <si>
    <t>1w_C4Lu85TBsUfaxWcIRI18WsLHZgErkG</t>
  </si>
  <si>
    <t>https://drive.google.com/file/d/1w_C4Lu85TBsUfaxWcIRI18WsLHZgErkG/view?usp=drivesdk</t>
  </si>
  <si>
    <t>LATIFA HANUM HARAHAP</t>
  </si>
  <si>
    <t>latifahanum.harahap@gmail.com</t>
  </si>
  <si>
    <t>5737</t>
  </si>
  <si>
    <t>1bJyaYtPMaD0r22P8tt_WoEG_9KSge_T7</t>
  </si>
  <si>
    <t>https://drive.google.com/file/d/1bJyaYtPMaD0r22P8tt_WoEG_9KSge_T7/view?usp=drivesdk</t>
  </si>
  <si>
    <t xml:space="preserve">ERNY HARAHAP </t>
  </si>
  <si>
    <t>ernyharahap1972@gmail.com</t>
  </si>
  <si>
    <t>5738</t>
  </si>
  <si>
    <t>Starting at Thu Aug 29 2024 21:42:23 GMT-0400 (EDT)</t>
  </si>
  <si>
    <t>1BTP6-rRMbJGal_3SEisClmN6P7JKhUeV</t>
  </si>
  <si>
    <t>https://drive.google.com/file/d/1BTP6-rRMbJGal_3SEisClmN6P7JKhUeV/view?usp=drivesdk</t>
  </si>
  <si>
    <t>Document successfully created; Document successfully merged; PDF created; !!Error Sending Emails: Service invoked too many times for one day: email.; Manually run by ecertificate75@gmail.com; Timestamp: Sep 3 2024 2:52 AM</t>
  </si>
  <si>
    <t>IKE LIASARI ROHIDIN</t>
  </si>
  <si>
    <t>ikeliasari@gmail.com</t>
  </si>
  <si>
    <t>5739</t>
  </si>
  <si>
    <t>Starting at Thu Aug 29 2024 21:42:27 GMT-0400 (EDT)</t>
  </si>
  <si>
    <t>1otuIdRDGUgsENPUPSiWoOiZGvKh7eUfE</t>
  </si>
  <si>
    <t>https://drive.google.com/file/d/1otuIdRDGUgsENPUPSiWoOiZGvKh7eUfE/view?usp=drivesdk</t>
  </si>
  <si>
    <t xml:space="preserve">FAKHRUDIN </t>
  </si>
  <si>
    <t>fakhrudingalawi@gmail.com</t>
  </si>
  <si>
    <t>5740</t>
  </si>
  <si>
    <t>1ZzKIKgO5dnOUhLJOSC9wKbRGqskcak6E</t>
  </si>
  <si>
    <t>https://drive.google.com/file/d/1ZzKIKgO5dnOUhLJOSC9wKbRGqskcak6E/view?usp=drivesdk</t>
  </si>
  <si>
    <t>FIRMAWATI PARDEDE, S.E.</t>
  </si>
  <si>
    <t>Firmawatipardede42@gmail.com</t>
  </si>
  <si>
    <t>5741</t>
  </si>
  <si>
    <t>11K8bhTz-vJOYbMXcvjD0oHc5UcbVQLra</t>
  </si>
  <si>
    <t>https://drive.google.com/file/d/11K8bhTz-vJOYbMXcvjD0oHc5UcbVQLra/view?usp=drivesdk</t>
  </si>
  <si>
    <t>JUMALI</t>
  </si>
  <si>
    <t>jumalibest79@gmail.com</t>
  </si>
  <si>
    <t>5742</t>
  </si>
  <si>
    <t>1GKFU8LpIFz1-WMDhIBHr-FYzt_mJV9GR</t>
  </si>
  <si>
    <t>https://drive.google.com/file/d/1GKFU8LpIFz1-WMDhIBHr-FYzt_mJV9GR/view?usp=drivesdk</t>
  </si>
  <si>
    <t xml:space="preserve">MUJIYANTO </t>
  </si>
  <si>
    <t>ymuji6566@gmail.com</t>
  </si>
  <si>
    <t>5743</t>
  </si>
  <si>
    <t>1-U8j74Z3L-KX_ATSPHuDRDhBsbHC2WwW</t>
  </si>
  <si>
    <t>https://drive.google.com/file/d/1-U8j74Z3L-KX_ATSPHuDRDhBsbHC2WwW/view?usp=drivesdk</t>
  </si>
  <si>
    <t>Document successfully created; Document successfully merged; PDF created; !!Error Sending Emails: Service invoked too many times for one day: email.; Manually run by ecertificate75@gmail.com; Timestamp: Sep 3 2024 2:53 AM</t>
  </si>
  <si>
    <t>SUPANDI</t>
  </si>
  <si>
    <t>Supandidesember17@gmail.com</t>
  </si>
  <si>
    <t>5744</t>
  </si>
  <si>
    <t>1CxF4eJyBjnKtU7cTaLTIwValkYPOvUsu</t>
  </si>
  <si>
    <t>https://drive.google.com/file/d/1CxF4eJyBjnKtU7cTaLTIwValkYPOvUsu/view?usp=drivesdk</t>
  </si>
  <si>
    <t>THERESIA DOY WINDARI</t>
  </si>
  <si>
    <t>windasulistiyo29@gmail.com</t>
  </si>
  <si>
    <t>5745</t>
  </si>
  <si>
    <t>1zcqn0PO9-rkWwiCfYo1v9Sg-pwCBnOQt</t>
  </si>
  <si>
    <t>https://drive.google.com/file/d/1zcqn0PO9-rkWwiCfYo1v9Sg-pwCBnOQt/view?usp=drivesdk</t>
  </si>
  <si>
    <t>DR TRIANA HARYANI</t>
  </si>
  <si>
    <t>trianamaryani57@gmail.com</t>
  </si>
  <si>
    <t>5746</t>
  </si>
  <si>
    <t>1Ph2E-dZiHDzwpByXnqaVTstefjVW8_Cs</t>
  </si>
  <si>
    <t>https://drive.google.com/file/d/1Ph2E-dZiHDzwpByXnqaVTstefjVW8_Cs/view?usp=drivesdk</t>
  </si>
  <si>
    <t xml:space="preserve">Debby Silvia Dewi </t>
  </si>
  <si>
    <t>debbydewi5122@gmail.com</t>
  </si>
  <si>
    <t>5747</t>
  </si>
  <si>
    <t>1v2pnvGwmoDJx_DrzjsOwaB45GvQ61NxP</t>
  </si>
  <si>
    <t>https://drive.google.com/file/d/1v2pnvGwmoDJx_DrzjsOwaB45GvQ61NxP/view?usp=drivesdk</t>
  </si>
  <si>
    <t>DESIATRI</t>
  </si>
  <si>
    <t>desiatri14@gmail.com</t>
  </si>
  <si>
    <t>5748</t>
  </si>
  <si>
    <t>1AcJCnv35FUer8M4nwUbU-NH-5ZHc2cHo</t>
  </si>
  <si>
    <t>https://drive.google.com/file/d/1AcJCnv35FUer8M4nwUbU-NH-5ZHc2cHo/view?usp=drivesdk</t>
  </si>
  <si>
    <t>Document successfully created; Document successfully merged; PDF created; !!Error Sending Emails: Service invoked too many times for one day: email.; Manually run by ecertificate75@gmail.com; Timestamp: Sep 3 2024 2:54 AM</t>
  </si>
  <si>
    <t>DORA MAHDALINA</t>
  </si>
  <si>
    <t>Doramahdalina@gmail.com</t>
  </si>
  <si>
    <t>5749</t>
  </si>
  <si>
    <t>1C9Az-_9HAcAgkSwoQKUmg_gvSgzgBIWl</t>
  </si>
  <si>
    <t>https://drive.google.com/file/d/1C9Az-_9HAcAgkSwoQKUmg_gvSgzgBIWl/view?usp=drivesdk</t>
  </si>
  <si>
    <t>Anif Nur Fawzi</t>
  </si>
  <si>
    <t>anipnurpauji@gmail.com</t>
  </si>
  <si>
    <t>5750</t>
  </si>
  <si>
    <t>1U3fOpIaI7r5jK6hZZ1MbSYZJRPjCeOh7</t>
  </si>
  <si>
    <t>https://drive.google.com/file/d/1U3fOpIaI7r5jK6hZZ1MbSYZJRPjCeOh7/view?usp=drivesdk</t>
  </si>
  <si>
    <t>Document successfully created; Document successfully merged; PDF created; Emails Sent: [To: anipnurpauji@gmail.com]; Manually run by ecertificate75@gmail.com; Timestamp: Sep 3 2024 2:54 AM</t>
  </si>
  <si>
    <t>RONNIDA NABABAN, SKM</t>
  </si>
  <si>
    <t>nababanronnida@gmail.com</t>
  </si>
  <si>
    <t>5751</t>
  </si>
  <si>
    <t>1buZb_v8aQkVKRQRBioX22remHWhHtFTn</t>
  </si>
  <si>
    <t>https://drive.google.com/file/d/1buZb_v8aQkVKRQRBioX22remHWhHtFTn/view?usp=drivesdk</t>
  </si>
  <si>
    <t>Document successfully created; Document successfully merged; PDF created; !!Error Sending Emails: Service invoked too many times for one day: email.; Manually run by ecertificate75@gmail.com; Timestamp: Sep 3 2024 2:55 AM</t>
  </si>
  <si>
    <t>jumirahpolresmagetan@gmail.com</t>
  </si>
  <si>
    <t>5752</t>
  </si>
  <si>
    <t>1VZBVTrZJV21p4nhAm8urQIXbyovx-2cm</t>
  </si>
  <si>
    <t>https://drive.google.com/file/d/1VZBVTrZJV21p4nhAm8urQIXbyovx-2cm/view?usp=drivesdk</t>
  </si>
  <si>
    <t>RACHMA HARWINIA, AMD.RAD</t>
  </si>
  <si>
    <t>rachma.students@stikesbch.ac.id</t>
  </si>
  <si>
    <t>5753</t>
  </si>
  <si>
    <t>10Qm1wLSmkp4rj_qWm3gKQYdwmTdjHaMU</t>
  </si>
  <si>
    <t>https://drive.google.com/file/d/10Qm1wLSmkp4rj_qWm3gKQYdwmTdjHaMU/view?usp=drivesdk</t>
  </si>
  <si>
    <t>TRI WIDAYANTI, S.Kep</t>
  </si>
  <si>
    <t>triwida4@gmail.com</t>
  </si>
  <si>
    <t>5754</t>
  </si>
  <si>
    <t>1ImcbNWWKd53oMIK0fr5Y60s7qKyMV0Hw</t>
  </si>
  <si>
    <t>https://drive.google.com/file/d/1ImcbNWWKd53oMIK0fr5Y60s7qKyMV0Hw/view?usp=drivesdk</t>
  </si>
  <si>
    <t>GUSTINA BAHRI,S.H</t>
  </si>
  <si>
    <t>gustinabahri38@gmail.com</t>
  </si>
  <si>
    <t>5755</t>
  </si>
  <si>
    <t>1odKVe53DD7Cyc6e2PRp2gNt-Boq4a28M</t>
  </si>
  <si>
    <t>https://drive.google.com/file/d/1odKVe53DD7Cyc6e2PRp2gNt-Boq4a28M/view?usp=drivesdk</t>
  </si>
  <si>
    <t>MUTHMAINNAH AMD. KEP</t>
  </si>
  <si>
    <t>inarumkit662@gmail.com</t>
  </si>
  <si>
    <t>5756</t>
  </si>
  <si>
    <t>1PAZ_eobyAxcOGjIiqBsbwufkDTRkMrYL</t>
  </si>
  <si>
    <t>https://drive.google.com/file/d/1PAZ_eobyAxcOGjIiqBsbwufkDTRkMrYL/view?usp=drivesdk</t>
  </si>
  <si>
    <t>Document successfully created; Document successfully merged; PDF created; !!Error Sending Emails: Service invoked too many times for one day: email.; Manually run by ecertificate75@gmail.com; Timestamp: Sep 3 2024 2:56 AM</t>
  </si>
  <si>
    <t>SUHARTO</t>
  </si>
  <si>
    <t>suharto25061968@gmail.com</t>
  </si>
  <si>
    <t>5757</t>
  </si>
  <si>
    <t>1IXPMaKcJoh0GqjkPf-OfVjPPYCkhnC66</t>
  </si>
  <si>
    <t>https://drive.google.com/file/d/1IXPMaKcJoh0GqjkPf-OfVjPPYCkhnC66/view?usp=drivesdk</t>
  </si>
  <si>
    <t>ROSA NELIYANTI</t>
  </si>
  <si>
    <t>jubarkrimsus@yahoo.co.id</t>
  </si>
  <si>
    <t>5758</t>
  </si>
  <si>
    <t>Starting at Thu Aug 29 2024 21:42:39 GMT-0400 (EDT)</t>
  </si>
  <si>
    <t>1WReOn8xrVlpS-cz3E9usEHN-KmFQZqnV</t>
  </si>
  <si>
    <t>https://drive.google.com/file/d/1WReOn8xrVlpS-cz3E9usEHN-KmFQZqnV/view?usp=drivesdk</t>
  </si>
  <si>
    <t>Document successfully created; Document successfully merged; PDF created; !!Error Sending Emails: Service invoked too many times for one day: email.; Manually run by ecertificate75@gmail.com; Timestamp: Sep 3 2024 2:57 AM</t>
  </si>
  <si>
    <t>ENDANG IRAWATI</t>
  </si>
  <si>
    <t>endangirawati971@gmail.com</t>
  </si>
  <si>
    <t>5759</t>
  </si>
  <si>
    <t>16npSqUT1CpJcD5GBjnxRQ0tCzwc-X8q7</t>
  </si>
  <si>
    <t>https://drive.google.com/file/d/16npSqUT1CpJcD5GBjnxRQ0tCzwc-X8q7/view?usp=drivesdk</t>
  </si>
  <si>
    <t>syafruddin0923@gmail.com</t>
  </si>
  <si>
    <t>5760</t>
  </si>
  <si>
    <t>1o03JtLgFKvmt1BxKIWY6vl0mTyd5LiSN</t>
  </si>
  <si>
    <t>https://drive.google.com/file/d/1o03JtLgFKvmt1BxKIWY6vl0mTyd5LiSN/view?usp=drivesdk</t>
  </si>
  <si>
    <t>ERLINA KARYATI</t>
  </si>
  <si>
    <t>erlinakaryati72@gmail.com</t>
  </si>
  <si>
    <t>5761</t>
  </si>
  <si>
    <t>1pJwx_iYPQqJimkWAuYKG9x8kUiwVXkdJ</t>
  </si>
  <si>
    <t>https://drive.google.com/file/d/1pJwx_iYPQqJimkWAuYKG9x8kUiwVXkdJ/view?usp=drivesdk</t>
  </si>
  <si>
    <t>ANANG WASKITO ADI, S.E.</t>
  </si>
  <si>
    <t>nemo.claw6@gmail.com</t>
  </si>
  <si>
    <t>5762</t>
  </si>
  <si>
    <t>1MTxbz3iGB9veFCeWQ-KzuIx26_xht8Wa</t>
  </si>
  <si>
    <t>https://drive.google.com/file/d/1MTxbz3iGB9veFCeWQ-KzuIx26_xht8Wa/view?usp=drivesdk</t>
  </si>
  <si>
    <t>Document successfully created; Document successfully merged; PDF created; !!Error Sending Emails: Service invoked too many times for one day: email.; Manually run by ecertificate75@gmail.com; Timestamp: Sep 3 2024 2:58 AM</t>
  </si>
  <si>
    <t>SUKARYANTO</t>
  </si>
  <si>
    <t>sky.seldhung@gmail.com</t>
  </si>
  <si>
    <t>5763</t>
  </si>
  <si>
    <t>1R5tToYyOL8O6NTxTLVX29OsjOzHOR9Is</t>
  </si>
  <si>
    <t>https://drive.google.com/file/d/1R5tToYyOL8O6NTxTLVX29OsjOzHOR9Is/view?usp=drivesdk</t>
  </si>
  <si>
    <t xml:space="preserve">AGUS STIYAWATI </t>
  </si>
  <si>
    <t>agustiyawati15@gmail.com</t>
  </si>
  <si>
    <t>5764</t>
  </si>
  <si>
    <t>1cmKtMfshwSMilYepWuBnpWZs7y-YSkNW</t>
  </si>
  <si>
    <t>https://drive.google.com/file/d/1cmKtMfshwSMilYepWuBnpWZs7y-YSkNW/view?usp=drivesdk</t>
  </si>
  <si>
    <t>SRi SUYATI</t>
  </si>
  <si>
    <t>srisuyati930@gmail.com</t>
  </si>
  <si>
    <t>5765</t>
  </si>
  <si>
    <t>1NVT8aSrutsGf5CSKB9JMnfU2a4CK3Gfo</t>
  </si>
  <si>
    <t>https://drive.google.com/file/d/1NVT8aSrutsGf5CSKB9JMnfU2a4CK3Gfo/view?usp=drivesdk</t>
  </si>
  <si>
    <t>Document successfully created; Document successfully merged; PDF created; !!Error Sending Emails: Service invoked too many times for one day: email.; Manually run by ecertificate75@gmail.com; Timestamp: Sep 3 2024 2:59 AM</t>
  </si>
  <si>
    <t>BERLIANA CHRISTINE MORINA SITORUS</t>
  </si>
  <si>
    <t>sitorusberliana865@gmail.com</t>
  </si>
  <si>
    <t>5766</t>
  </si>
  <si>
    <t>1xpPn9vIEWNBVSUi0VTPSsMDzcdROG_AD</t>
  </si>
  <si>
    <t>https://drive.google.com/file/d/1xpPn9vIEWNBVSUi0VTPSsMDzcdROG_AD/view?usp=drivesdk</t>
  </si>
  <si>
    <t>MUNADI, S.Kom.</t>
  </si>
  <si>
    <t>lowoijo4744@gmail.com</t>
  </si>
  <si>
    <t>5767</t>
  </si>
  <si>
    <t>1Jmr4_D-JSrqltqRs6baZDYIH8FXp3vm0</t>
  </si>
  <si>
    <t>https://drive.google.com/file/d/1Jmr4_D-JSrqltqRs6baZDYIH8FXp3vm0/view?usp=drivesdk</t>
  </si>
  <si>
    <t>ROBIUM, S. H</t>
  </si>
  <si>
    <t>robium81@gmail.com</t>
  </si>
  <si>
    <t>5768</t>
  </si>
  <si>
    <t>https://drive.google.com/file/d/1a3xdL2B4x9U7A31LAeSNOfFgGwqYLsyp/view?usp=drivesdk</t>
  </si>
  <si>
    <t>1a3xdL2B4x9U7A31LAeSNOfFgGwqYLsyp</t>
  </si>
  <si>
    <t>1m16cbS_T4_5MeBlgnRZtb2KIosAsqdVU</t>
  </si>
  <si>
    <t>https://drive.google.com/file/d/1m16cbS_T4_5MeBlgnRZtb2KIosAsqdVU/view?usp=drivesdk</t>
  </si>
  <si>
    <t>ROCHMAWATI</t>
  </si>
  <si>
    <t>diradeaima@gmail.com</t>
  </si>
  <si>
    <t>5769</t>
  </si>
  <si>
    <t>https://drive.google.com/file/d/1IK_ymfo_j0UZo7BeAmLuC2oJ1K23Eksw/view?usp=drivesdk</t>
  </si>
  <si>
    <t>1IK_ymfo_j0UZo7BeAmLuC2oJ1K23Eksw</t>
  </si>
  <si>
    <t>19mw13Uii74cSpJ5guwuZfMhEFOt9WN6-</t>
  </si>
  <si>
    <t>https://drive.google.com/file/d/19mw13Uii74cSpJ5guwuZfMhEFOt9WN6-/view?usp=drivesdk</t>
  </si>
  <si>
    <t>Document successfully created; Document successfully merged; PDF created; !!Error Sending Emails: Service invoked too many times for one day: email.; Manually run by ecertificate75@gmail.com; Timestamp: Sep 3 2024 3:00 AM</t>
  </si>
  <si>
    <t>DEWI SRI WAHYUNI</t>
  </si>
  <si>
    <t>dsw090268@gmail.com</t>
  </si>
  <si>
    <t>5770</t>
  </si>
  <si>
    <t>Starting at Thu Aug 29 2024 21:42:42 GMT-0400 (EDT)</t>
  </si>
  <si>
    <t>1sa_pg4MHxx0FqRuJfAqgizyKOiC_6_vY</t>
  </si>
  <si>
    <t>https://drive.google.com/file/d/1sa_pg4MHxx0FqRuJfAqgizyKOiC_6_vY/view?usp=drivesdk</t>
  </si>
  <si>
    <t>TETY DIAN LESTARI</t>
  </si>
  <si>
    <t>tetydianlestari8@gmail.com</t>
  </si>
  <si>
    <t>5771</t>
  </si>
  <si>
    <t>https://drive.google.com/file/d/1mFM4ITt5xURJW-YJxyRM3JLK3lrgKbti/view?usp=drivesdk</t>
  </si>
  <si>
    <t>1mFM4ITt5xURJW-YJxyRM3JLK3lrgKbti</t>
  </si>
  <si>
    <t>1Pssx5De_2LifIfq3FGv6x7M2SZsWERUg</t>
  </si>
  <si>
    <t>https://drive.google.com/file/d/1Pssx5De_2LifIfq3FGv6x7M2SZsWERUg/view?usp=drivesdk</t>
  </si>
  <si>
    <t>JAENAL ABIDIN ALI</t>
  </si>
  <si>
    <t>jainalabidin2012@gmail.com</t>
  </si>
  <si>
    <t>5772</t>
  </si>
  <si>
    <t>https://drive.google.com/file/d/1uGkptFIADzd95i_1z6zF34646e9xsl2x/view?usp=drivesdk</t>
  </si>
  <si>
    <t>1uGkptFIADzd95i_1z6zF34646e9xsl2x</t>
  </si>
  <si>
    <t>1fvwty57sBouo7F3yc4K2EoTDlCpMayyL</t>
  </si>
  <si>
    <t>https://drive.google.com/file/d/1fvwty57sBouo7F3yc4K2EoTDlCpMayyL/view?usp=drivesdk</t>
  </si>
  <si>
    <t>SRI BUDI RAHAYU, Amd.Keb.</t>
  </si>
  <si>
    <t>dokkes.respml@gmail.com</t>
  </si>
  <si>
    <t>5773</t>
  </si>
  <si>
    <t>https://drive.google.com/file/d/1swGcajmuAk2dPxjlIjLW4ue5aRSq4v5w/view?usp=drivesdk</t>
  </si>
  <si>
    <t>1swGcajmuAk2dPxjlIjLW4ue5aRSq4v5w</t>
  </si>
  <si>
    <t>1hS-4UUcGL9uNtZ0caw0nPtHwTtibjdbT</t>
  </si>
  <si>
    <t>https://drive.google.com/file/d/1hS-4UUcGL9uNtZ0caw0nPtHwTtibjdbT/view?usp=drivesdk</t>
  </si>
  <si>
    <t>Document successfully created; Document successfully merged; PDF created; !!Error Sending Emails: Service invoked too many times for one day: email.; Manually run by ecertificate75@gmail.com; Timestamp: Sep 3 2024 3:01 AM</t>
  </si>
  <si>
    <t>ISMAiNI</t>
  </si>
  <si>
    <t>kordikrsbm@gmail.com</t>
  </si>
  <si>
    <t>5774</t>
  </si>
  <si>
    <t>https://drive.google.com/file/d/1sKuuG-gqsTjT53-UtThLP9V176ivSDEJ/view?usp=drivesdk</t>
  </si>
  <si>
    <t>1sKuuG-gqsTjT53-UtThLP9V176ivSDEJ</t>
  </si>
  <si>
    <t>1x-k0-kACEVh1p6ht9CrbvLWypa2fFeoi</t>
  </si>
  <si>
    <t>https://drive.google.com/file/d/1x-k0-kACEVh1p6ht9CrbvLWypa2fFeoi/view?usp=drivesdk</t>
  </si>
  <si>
    <t xml:space="preserve">YUDI YUDIANTO </t>
  </si>
  <si>
    <t>iduyasep08@gmail.com</t>
  </si>
  <si>
    <t>5775</t>
  </si>
  <si>
    <t>https://drive.google.com/file/d/1BQWlY_DWfo4IRR_xAK5jayQMMBDw5Vxm/view?usp=drivesdk</t>
  </si>
  <si>
    <t>1BQWlY_DWfo4IRR_xAK5jayQMMBDw5Vxm</t>
  </si>
  <si>
    <t>1SiCczz_sglHkJZ4uq7qDcE5Ch2Ewyehj</t>
  </si>
  <si>
    <t>https://drive.google.com/file/d/1SiCczz_sglHkJZ4uq7qDcE5Ch2Ewyehj/view?usp=drivesdk</t>
  </si>
  <si>
    <t>NURUL AULIA SAFITRI, A. Md. Kep</t>
  </si>
  <si>
    <t>nurulauliasafitri76@gmail.com</t>
  </si>
  <si>
    <t>5776</t>
  </si>
  <si>
    <t>https://drive.google.com/file/d/1vKE7mOOpQyDuOUmVjUFOtoea1PWwxY_e/view?usp=drivesdk</t>
  </si>
  <si>
    <t>1vKE7mOOpQyDuOUmVjUFOtoea1PWwxY_e</t>
  </si>
  <si>
    <t>1u-fJYLJlytdK1gKpqIFFhmFa1sHZLYOT</t>
  </si>
  <si>
    <t>https://drive.google.com/file/d/1u-fJYLJlytdK1gKpqIFFhmFa1sHZLYOT/view?usp=drivesdk</t>
  </si>
  <si>
    <t>ELY MABRUROH</t>
  </si>
  <si>
    <t>elymabruroh234@gmail.com</t>
  </si>
  <si>
    <t>5777</t>
  </si>
  <si>
    <t>https://drive.google.com/file/d/1ym_kgM1PsWOoVhDDMvR9YokNrfoT_0s_/view?usp=drivesdk</t>
  </si>
  <si>
    <t>1ym_kgM1PsWOoVhDDMvR9YokNrfoT_0s_</t>
  </si>
  <si>
    <t>1pT0OBkBVlBuvZUaXf5nzMpfhD6Gnw47x</t>
  </si>
  <si>
    <t>https://drive.google.com/file/d/1pT0OBkBVlBuvZUaXf5nzMpfhD6Gnw47x/view?usp=drivesdk</t>
  </si>
  <si>
    <t>Document successfully created; Document successfully merged; PDF created; !!Error Sending Emails: Service invoked too many times for one day: email.; Manually run by ecertificate75@gmail.com; Timestamp: Sep 3 2024 3:02 AM</t>
  </si>
  <si>
    <t xml:space="preserve">Ns. Bambang Suriandi </t>
  </si>
  <si>
    <t>bambangsuriandi@gmail.com</t>
  </si>
  <si>
    <t>5778</t>
  </si>
  <si>
    <t>https://drive.google.com/file/d/1gbzV5biq3ywA0OXeBlzOi7qnqdgTIWs0/view?usp=drivesdk</t>
  </si>
  <si>
    <t>1gbzV5biq3ywA0OXeBlzOi7qnqdgTIWs0</t>
  </si>
  <si>
    <t>1-LVgR5u1m1WvksD3C5QYpQ5mppj84Ro_</t>
  </si>
  <si>
    <t>https://drive.google.com/file/d/1-LVgR5u1m1WvksD3C5QYpQ5mppj84Ro_/view?usp=drivesdk</t>
  </si>
  <si>
    <t xml:space="preserve">NI MADE SUJANI </t>
  </si>
  <si>
    <t>purwani2012@gmail.com</t>
  </si>
  <si>
    <t>5779</t>
  </si>
  <si>
    <t>https://drive.google.com/file/d/1mBYyxf4V_xeHYUHMSUVh3Zj-6Z4QAS8l/view?usp=drivesdk</t>
  </si>
  <si>
    <t>1mBYyxf4V_xeHYUHMSUVh3Zj-6Z4QAS8l</t>
  </si>
  <si>
    <t>1PE6ZdmhxJBJYohaNdXs0AM3NlkGfWb6i</t>
  </si>
  <si>
    <t>https://drive.google.com/file/d/1PE6ZdmhxJBJYohaNdXs0AM3NlkGfWb6i/view?usp=drivesdk</t>
  </si>
  <si>
    <t>Dr. NORMA YUNITA, SKM, MM</t>
  </si>
  <si>
    <t>normayunita12277@gmail.com</t>
  </si>
  <si>
    <t>5780</t>
  </si>
  <si>
    <t>https://drive.google.com/file/d/1cyduJAZasZeJxrjtiGWbg9yrlaBLhR_l/view?usp=drivesdk</t>
  </si>
  <si>
    <t>1cyduJAZasZeJxrjtiGWbg9yrlaBLhR_l</t>
  </si>
  <si>
    <t>186G5O12pVQD-AFTtVyJ18L_tSTkJ5Vi8</t>
  </si>
  <si>
    <t>https://drive.google.com/file/d/186G5O12pVQD-AFTtVyJ18L_tSTkJ5Vi8/view?usp=drivesdk</t>
  </si>
  <si>
    <t>RACHMAWATI DJALALI,A.Md.Kep</t>
  </si>
  <si>
    <t>rachmawatidjalali@gmail.com</t>
  </si>
  <si>
    <t>5781</t>
  </si>
  <si>
    <t>https://drive.google.com/file/d/1dIs2HFjwEAKY1WflvzGQp4VOpSJVFQJz/view?usp=drivesdk</t>
  </si>
  <si>
    <t>1dIs2HFjwEAKY1WflvzGQp4VOpSJVFQJz</t>
  </si>
  <si>
    <t>1gso19t4OYV5CsYOsPIUt6KoKMNqV0RBm</t>
  </si>
  <si>
    <t>https://drive.google.com/file/d/1gso19t4OYV5CsYOsPIUt6KoKMNqV0RBm/view?usp=drivesdk</t>
  </si>
  <si>
    <t>UUMI KALSUM, AMD. KEP</t>
  </si>
  <si>
    <t>ummik1404@gmail.com</t>
  </si>
  <si>
    <t>5782</t>
  </si>
  <si>
    <t>https://drive.google.com/file/d/1GB-OSU1umuG_u4zYS1Xvo7Zc0YUE0FxT/view?usp=drivesdk</t>
  </si>
  <si>
    <t>1GB-OSU1umuG_u4zYS1Xvo7Zc0YUE0FxT</t>
  </si>
  <si>
    <t>1pcT5Xcu9C29a6yT_cHX9cRR7m26PBj8L</t>
  </si>
  <si>
    <t>https://drive.google.com/file/d/1pcT5Xcu9C29a6yT_cHX9cRR7m26PBj8L/view?usp=drivesdk</t>
  </si>
  <si>
    <t>Document successfully created; Document successfully merged; PDF created; !!Error Sending Emails: Service invoked too many times for one day: email.; Manually run by ecertificate75@gmail.com; Timestamp: Sep 3 2024 3:03 AM</t>
  </si>
  <si>
    <t>SITI NURJANAH, A.MD.TRO</t>
  </si>
  <si>
    <t>sitinurjanah9002@gmail.com</t>
  </si>
  <si>
    <t>5783</t>
  </si>
  <si>
    <t>https://drive.google.com/file/d/16yPWtonjLlnTn2vMpzzHOG5_zXryFhz2/view?usp=drivesdk</t>
  </si>
  <si>
    <t>16yPWtonjLlnTn2vMpzzHOG5_zXryFhz2</t>
  </si>
  <si>
    <t>1KsgA9CFraAAyGef9C3mwOuiRwUq0P7rJ</t>
  </si>
  <si>
    <t>https://drive.google.com/file/d/1KsgA9CFraAAyGef9C3mwOuiRwUq0P7rJ/view?usp=drivesdk</t>
  </si>
  <si>
    <t>TRI WAHYUNI, S.K.M.</t>
  </si>
  <si>
    <t>y2nsetyawan@gmail.com</t>
  </si>
  <si>
    <t>5784</t>
  </si>
  <si>
    <t>https://drive.google.com/file/d/1o2u7D1oyv-uo3oGIYJiE69HKnwfpzTU0/view?usp=drivesdk</t>
  </si>
  <si>
    <t>1o2u7D1oyv-uo3oGIYJiE69HKnwfpzTU0</t>
  </si>
  <si>
    <t>1wYznocVB9uxWyJyndgBUSLVDb7ND5V3K</t>
  </si>
  <si>
    <t>https://drive.google.com/file/d/1wYznocVB9uxWyJyndgBUSLVDb7ND5V3K/view?usp=drivesdk</t>
  </si>
  <si>
    <t>FITRIA PUSPITASARI</t>
  </si>
  <si>
    <t>puspitaffitri0208@gmaiil.com</t>
  </si>
  <si>
    <t>5785</t>
  </si>
  <si>
    <t>Starting at Thu Aug 29 2024 21:42:52 GMT-0400 (EDT)</t>
  </si>
  <si>
    <t>1UXX0RtFKalHHg_XCFGaoPRfCUUeFLhAh</t>
  </si>
  <si>
    <t>https://drive.google.com/file/d/1UXX0RtFKalHHg_XCFGaoPRfCUUeFLhAh/view?usp=drivesdk</t>
  </si>
  <si>
    <t>PENGATUR T.K I RUSNI</t>
  </si>
  <si>
    <t>rusni2026@gmail.com</t>
  </si>
  <si>
    <t>5786</t>
  </si>
  <si>
    <t>1qmSVo5B--IOVJ6jdWEhl0CMw3XjpAeHV</t>
  </si>
  <si>
    <t>https://drive.google.com/file/d/1qmSVo5B--IOVJ6jdWEhl0CMw3XjpAeHV/view?usp=drivesdk</t>
  </si>
  <si>
    <t>Qorry Widianty, S. Ag.</t>
  </si>
  <si>
    <t>widiantyqorry@gmail.com</t>
  </si>
  <si>
    <t>5787</t>
  </si>
  <si>
    <t>https://drive.google.com/file/d/13pCgeOZlKqUqJcYAYGk1Qhic2JKEd_FP/view?usp=drivesdk</t>
  </si>
  <si>
    <t>13pCgeOZlKqUqJcYAYGk1Qhic2JKEd_FP</t>
  </si>
  <si>
    <t>1qphonOK4a6B219Gpl0VXxlR1Jxqy7vvV</t>
  </si>
  <si>
    <t>https://drive.google.com/file/d/1qphonOK4a6B219Gpl0VXxlR1Jxqy7vvV/view?usp=drivesdk</t>
  </si>
  <si>
    <t>Document successfully created; Document successfully merged; PDF created; !!Error Sending Emails: Service invoked too many times for one day: email.; Manually run by ecertificate75@gmail.com; Timestamp: Sep 3 2024 3:04 AM</t>
  </si>
  <si>
    <t>Sunarsihdjuli1969@gmail.com</t>
  </si>
  <si>
    <t>5788</t>
  </si>
  <si>
    <t>https://drive.google.com/file/d/191kh8soGuYlx7efyJxnB2LUiB0rngHnH/view?usp=drivesdk</t>
  </si>
  <si>
    <t>191kh8soGuYlx7efyJxnB2LUiB0rngHnH</t>
  </si>
  <si>
    <t>11PZ5RvtIWDLsZd5iWczR-8WIGs6bOIAI</t>
  </si>
  <si>
    <t>https://drive.google.com/file/d/11PZ5RvtIWDLsZd5iWczR-8WIGs6bOIAI/view?usp=drivesdk</t>
  </si>
  <si>
    <t>RAFIDAH</t>
  </si>
  <si>
    <t>rafidah.dompu@gmail.com</t>
  </si>
  <si>
    <t>5789</t>
  </si>
  <si>
    <t>https://drive.google.com/file/d/1n7ZOffUVwJ0vKa8cxy8TUf8dV8i4sqSa/view?usp=drivesdk</t>
  </si>
  <si>
    <t>1n7ZOffUVwJ0vKa8cxy8TUf8dV8i4sqSa</t>
  </si>
  <si>
    <t>1Fxyq_p9v5lxxZyHIP0RXd5CeuMRnm_gl</t>
  </si>
  <si>
    <t>https://drive.google.com/file/d/1Fxyq_p9v5lxxZyHIP0RXd5CeuMRnm_gl/view?usp=drivesdk</t>
  </si>
  <si>
    <t>PARJILAH,AMKG</t>
  </si>
  <si>
    <t>galaxy.jilah@gmail.com</t>
  </si>
  <si>
    <t>5790</t>
  </si>
  <si>
    <t>https://drive.google.com/file/d/1AxBp9hXc4JqBBAmrBtqdgI00-wj4_aZN/view?usp=drivesdk</t>
  </si>
  <si>
    <t>1AxBp9hXc4JqBBAmrBtqdgI00-wj4_aZN</t>
  </si>
  <si>
    <t>1fL1dizDqXBE-TW3KToRqVzSvF6WKOvb2</t>
  </si>
  <si>
    <t>https://drive.google.com/file/d/1fL1dizDqXBE-TW3KToRqVzSvF6WKOvb2/view?usp=drivesdk</t>
  </si>
  <si>
    <t>Document successfully created; Document successfully merged; PDF created; !!Error Sending Emails: Service invoked too many times for one day: email.; Manually run by ecertificate75@gmail.com; Timestamp: Sep 3 2024 3:05 AM</t>
  </si>
  <si>
    <t xml:space="preserve">MANONGGOR PANJAITAN </t>
  </si>
  <si>
    <t>yd6tan@gmail.com</t>
  </si>
  <si>
    <t>5791</t>
  </si>
  <si>
    <t>https://drive.google.com/file/d/1tpWmkAfXI8djjTlogZXrtZKBV7KMy5Xc/view?usp=drivesdk</t>
  </si>
  <si>
    <t>1tpWmkAfXI8djjTlogZXrtZKBV7KMy5Xc</t>
  </si>
  <si>
    <t>1B8ZDCwGmHnk0qoSTen1U2ER0-8jCcDNt</t>
  </si>
  <si>
    <t>https://drive.google.com/file/d/1B8ZDCwGmHnk0qoSTen1U2ER0-8jCcDNt/view?usp=drivesdk</t>
  </si>
  <si>
    <t>WINDARSIH</t>
  </si>
  <si>
    <t>windarsih2016@gmail.com</t>
  </si>
  <si>
    <t>5792</t>
  </si>
  <si>
    <t>https://drive.google.com/file/d/13X89HJqbZ37eX8L5cF7pUc3rdsFon6Xu/view?usp=drivesdk</t>
  </si>
  <si>
    <t>13X89HJqbZ37eX8L5cF7pUc3rdsFon6Xu</t>
  </si>
  <si>
    <t>15agjNx-xzwPjVJ5cAyA29TDnxJHps3jY</t>
  </si>
  <si>
    <t>https://drive.google.com/file/d/15agjNx-xzwPjVJ5cAyA29TDnxJHps3jY/view?usp=drivesdk</t>
  </si>
  <si>
    <t>Document successfully created; Document successfully merged; PDF created; Emails Sent: [To: windarsih2016@gmail.com]; Manually run by ecertificate75@gmail.com; Timestamp: Sep 3 2024 3:05 AM</t>
  </si>
  <si>
    <t>IMROM ROSYADI</t>
  </si>
  <si>
    <t>imronrosy71@gmail.com</t>
  </si>
  <si>
    <t>5793</t>
  </si>
  <si>
    <t>https://drive.google.com/file/d/1PTgpjue_cHZWyCBT6OtRsr4EBLBuivzR/view?usp=drivesdk</t>
  </si>
  <si>
    <t>1PTgpjue_cHZWyCBT6OtRsr4EBLBuivzR</t>
  </si>
  <si>
    <t>1Dy9RNaBy8pO1MMmfx7prUsj3Shzw6t_3</t>
  </si>
  <si>
    <t>https://drive.google.com/file/d/1Dy9RNaBy8pO1MMmfx7prUsj3Shzw6t_3/view?usp=drivesdk</t>
  </si>
  <si>
    <t>Document successfully created; Document successfully merged; PDF created; !!Error Sending Emails: Service invoked too many times for one day: email.; Manually run by ecertificate75@gmail.com; Timestamp: Sep 3 2024 3:06 AM</t>
  </si>
  <si>
    <t>MOH. RUSLAN AGAMA</t>
  </si>
  <si>
    <t>agamamohruslan@gmail.com</t>
  </si>
  <si>
    <t>5794</t>
  </si>
  <si>
    <t>https://drive.google.com/file/d/11Jg0t83hCCe48ka79dGEWWsvxSc2xMAY/view?usp=drivesdk</t>
  </si>
  <si>
    <t>11Jg0t83hCCe48ka79dGEWWsvxSc2xMAY</t>
  </si>
  <si>
    <t>1p1vRSOSMGvLPTqSIvkmy1zFxDybWRzSJ</t>
  </si>
  <si>
    <t>https://drive.google.com/file/d/1p1vRSOSMGvLPTqSIvkmy1zFxDybWRzSJ/view?usp=drivesdk</t>
  </si>
  <si>
    <t>SAFIRUN</t>
  </si>
  <si>
    <t>safirunoscar@gmail.com</t>
  </si>
  <si>
    <t>5795</t>
  </si>
  <si>
    <t>https://drive.google.com/file/d/11Dq1MKjxa-oebWmeC-2QH0WjvZ9yiD3N/view?usp=drivesdk</t>
  </si>
  <si>
    <t>11Dq1MKjxa-oebWmeC-2QH0WjvZ9yiD3N</t>
  </si>
  <si>
    <t>17d3BxrJkDAhfAP_A4Q93WVuhG3nVWPT4</t>
  </si>
  <si>
    <t>https://drive.google.com/file/d/17d3BxrJkDAhfAP_A4Q93WVuhG3nVWPT4/view?usp=drivesdk</t>
  </si>
  <si>
    <t>NURIL FAHIM</t>
  </si>
  <si>
    <t>fahimnuril963@gmail.com</t>
  </si>
  <si>
    <t>5796</t>
  </si>
  <si>
    <t>https://drive.google.com/file/d/1ElCh7aki_N1whSdbjt3EW3Cj9M-ZDUS4/view?usp=drivesdk</t>
  </si>
  <si>
    <t>1ElCh7aki_N1whSdbjt3EW3Cj9M-ZDUS4</t>
  </si>
  <si>
    <t>1Xnsb-0HdBYtmFShiMUh4LyO125R35r3x</t>
  </si>
  <si>
    <t>https://drive.google.com/file/d/1Xnsb-0HdBYtmFShiMUh4LyO125R35r3x/view?usp=drivesdk</t>
  </si>
  <si>
    <t>LIA PURWANTI</t>
  </si>
  <si>
    <t>liapurwanti1905@gmail.com</t>
  </si>
  <si>
    <t>5797</t>
  </si>
  <si>
    <t>https://drive.google.com/file/d/1L5vYvVdT4X9gMb5ABaVKNp5hKIKKGLWJ/view?usp=drivesdk</t>
  </si>
  <si>
    <t>Document successfully created; Document successfully merged; PDF created; !!Error Sending Emails: Service invoked too many times for one day: email.; Run via form trigger as ecertificate75@gmail.com; Timestamp: Aug 29 2024 9:44 PM</t>
  </si>
  <si>
    <t>1L5vYvVdT4X9gMb5ABaVKNp5hKIKKGLWJ</t>
  </si>
  <si>
    <t>18EmVr0W0C68sfD2uBlO_e5_50Oe7QVri</t>
  </si>
  <si>
    <t>https://drive.google.com/file/d/18EmVr0W0C68sfD2uBlO_e5_50Oe7QVri/view?usp=drivesdk</t>
  </si>
  <si>
    <t>RAMIDI</t>
  </si>
  <si>
    <t>ramidir8@gmail.com</t>
  </si>
  <si>
    <t>5798</t>
  </si>
  <si>
    <t>https://drive.google.com/file/d/1XVteSAoNjKRrskmQ8LLKr7DTEnlHL2Oe/view?usp=drivesdk</t>
  </si>
  <si>
    <t>1XVteSAoNjKRrskmQ8LLKr7DTEnlHL2Oe</t>
  </si>
  <si>
    <t>1jG9gfS8Cp5YsnxjTV94oBuGm3Qdu8fSM</t>
  </si>
  <si>
    <t>https://drive.google.com/file/d/1jG9gfS8Cp5YsnxjTV94oBuGm3Qdu8fSM/view?usp=drivesdk</t>
  </si>
  <si>
    <t>Document successfully created; Document successfully merged; PDF created; !!Error Sending Emails: Service invoked too many times for one day: email.; Manually run by ecertificate75@gmail.com; Timestamp: Sep 3 2024 3:07 AM</t>
  </si>
  <si>
    <t>SUCIATI NINGSIH</t>
  </si>
  <si>
    <t>suciati.ningsih1980@gmail.com</t>
  </si>
  <si>
    <t>5799</t>
  </si>
  <si>
    <t>Starting at Thu Aug 29 2024 21:43:07 GMT-0400 (EDT)</t>
  </si>
  <si>
    <t>1clk8exy9hIhQTam3ob0xqLKj52MVa7o-</t>
  </si>
  <si>
    <t>https://drive.google.com/file/d/1clk8exy9hIhQTam3ob0xqLKj52MVa7o-/view?usp=drivesdk</t>
  </si>
  <si>
    <t>JASMAN</t>
  </si>
  <si>
    <t>jasman.lantas123@gmail.com</t>
  </si>
  <si>
    <t>5800</t>
  </si>
  <si>
    <t>https://drive.google.com/file/d/1xanLiyvMUV3uFMMqM8eyl2UcYLROIFr9/view?usp=drivesdk</t>
  </si>
  <si>
    <t>1xanLiyvMUV3uFMMqM8eyl2UcYLROIFr9</t>
  </si>
  <si>
    <t>14APYGS6Yfojv4UsundJd3YL4wqUoab5F</t>
  </si>
  <si>
    <t>https://drive.google.com/file/d/14APYGS6Yfojv4UsundJd3YL4wqUoab5F/view?usp=drivesdk</t>
  </si>
  <si>
    <t>YULIATIN,S.H.</t>
  </si>
  <si>
    <t>dayul75.dy@gmail.com</t>
  </si>
  <si>
    <t>5801</t>
  </si>
  <si>
    <t>https://drive.google.com/file/d/1nj120piaP6-97pewYc8PzHaa5f3YEg7J/view?usp=drivesdk</t>
  </si>
  <si>
    <t>1nj120piaP6-97pewYc8PzHaa5f3YEg7J</t>
  </si>
  <si>
    <t>1kc_iL5nmU14e4j0rhYAlZ7kzzVhVnVlX</t>
  </si>
  <si>
    <t>https://drive.google.com/file/d/1kc_iL5nmU14e4j0rhYAlZ7kzzVhVnVlX/view?usp=drivesdk</t>
  </si>
  <si>
    <t>GEDE MERTAYASA</t>
  </si>
  <si>
    <t>gedemertayasa1972@gmail.com</t>
  </si>
  <si>
    <t>5802</t>
  </si>
  <si>
    <t>https://drive.google.com/file/d/1iC-0hQX3g6oNjByiBqLxq929eezl0PlR/view?usp=drivesdk</t>
  </si>
  <si>
    <t>1iC-0hQX3g6oNjByiBqLxq929eezl0PlR</t>
  </si>
  <si>
    <t>1xM8InAe8uzDYswHOuhEuDkP5xNZiVcOa</t>
  </si>
  <si>
    <t>https://drive.google.com/file/d/1xM8InAe8uzDYswHOuhEuDkP5xNZiVcOa/view?usp=drivesdk</t>
  </si>
  <si>
    <t>PRANOTO, S. Kep. Ns</t>
  </si>
  <si>
    <t>pranotopolresmagetan@gmail.com</t>
  </si>
  <si>
    <t>5803</t>
  </si>
  <si>
    <t>https://drive.google.com/file/d/19TXfJathrGISk-OuKeBQYCb8FPkZ83EW/view?usp=drivesdk</t>
  </si>
  <si>
    <t>19TXfJathrGISk-OuKeBQYCb8FPkZ83EW</t>
  </si>
  <si>
    <t>1CnJZT96Woa7sovzDPlPZ9WQRiEq8BH7Q</t>
  </si>
  <si>
    <t>https://drive.google.com/file/d/1CnJZT96Woa7sovzDPlPZ9WQRiEq8BH7Q/view?usp=drivesdk</t>
  </si>
  <si>
    <t>Document successfully created; Document successfully merged; PDF created; !!Error Sending Emails: Service invoked too many times for one day: email.; Manually run by ecertificate75@gmail.com; Timestamp: Sep 3 2024 3:08 AM</t>
  </si>
  <si>
    <t>RENI ANGRAINI,A.MD.KEP</t>
  </si>
  <si>
    <t>reniangraini209@gmail.com</t>
  </si>
  <si>
    <t>5804</t>
  </si>
  <si>
    <t>https://drive.google.com/file/d/1uKWLeZoKmOdMqcIXkrsWGBa_xJ92BU06/view?usp=drivesdk</t>
  </si>
  <si>
    <t>1uKWLeZoKmOdMqcIXkrsWGBa_xJ92BU06</t>
  </si>
  <si>
    <t>1RzGTPgSczD4ChJYUdcWtwKBMuB8N2K0O</t>
  </si>
  <si>
    <t>https://drive.google.com/file/d/1RzGTPgSczD4ChJYUdcWtwKBMuB8N2K0O/view?usp=drivesdk</t>
  </si>
  <si>
    <t>SUSANTO, S.Kom.</t>
  </si>
  <si>
    <t>susantoskom1978@gmail.com</t>
  </si>
  <si>
    <t>5805</t>
  </si>
  <si>
    <t>https://drive.google.com/file/d/1bdHwU0gsPlMKz9nNJT48QnucWI206Jqt/view?usp=drivesdk</t>
  </si>
  <si>
    <t>1bdHwU0gsPlMKz9nNJT48QnucWI206Jqt</t>
  </si>
  <si>
    <t>1IHZEe50My0h-q5zrNeIeE26icLwqqgyC</t>
  </si>
  <si>
    <t>https://drive.google.com/file/d/1IHZEe50My0h-q5zrNeIeE26icLwqqgyC/view?usp=drivesdk</t>
  </si>
  <si>
    <t>ISMAYANTI IDRIS</t>
  </si>
  <si>
    <t>ismakamalf3@gmail.com</t>
  </si>
  <si>
    <t>5806</t>
  </si>
  <si>
    <t>https://drive.google.com/file/d/1_GlufRZ-yh2hcLQRzugpIswh_UFYgZRj/view?usp=drivesdk</t>
  </si>
  <si>
    <t>1_GlufRZ-yh2hcLQRzugpIswh_UFYgZRj</t>
  </si>
  <si>
    <t>1VqbGuy4IFKrzFndtTG39UzLCcvMeHR3n</t>
  </si>
  <si>
    <t>https://drive.google.com/file/d/1VqbGuy4IFKrzFndtTG39UzLCcvMeHR3n/view?usp=drivesdk</t>
  </si>
  <si>
    <t>FITRIYAH</t>
  </si>
  <si>
    <t>pipitcahyono83@gmail.com</t>
  </si>
  <si>
    <t>5807</t>
  </si>
  <si>
    <t>https://drive.google.com/file/d/1Qe1s4ysoBK7JQUCGHd5an6HUyi3R3Quj/view?usp=drivesdk</t>
  </si>
  <si>
    <t>1Qe1s4ysoBK7JQUCGHd5an6HUyi3R3Quj</t>
  </si>
  <si>
    <t>1v1DWqRH6KyPhvIJ4l9-psv9oKv1XA4do</t>
  </si>
  <si>
    <t>https://drive.google.com/file/d/1v1DWqRH6KyPhvIJ4l9-psv9oKv1XA4do/view?usp=drivesdk</t>
  </si>
  <si>
    <t>Document successfully created; Document successfully merged; PDF created; !!Error Sending Emails: Service invoked too many times for one day: email.; Manually run by ecertificate75@gmail.com; Timestamp: Sep 3 2024 3:09 AM</t>
  </si>
  <si>
    <t>APRIDAWESTI</t>
  </si>
  <si>
    <t>apridawesti@gmail.com</t>
  </si>
  <si>
    <t>5808</t>
  </si>
  <si>
    <t>https://drive.google.com/file/d/1bBHuSI0AzB4CrPGE5SUMgpLxlh41TZ_A/view?usp=drivesdk</t>
  </si>
  <si>
    <t>1bBHuSI0AzB4CrPGE5SUMgpLxlh41TZ_A</t>
  </si>
  <si>
    <t>119Pc6Q7dgYdzsTZydUJKiNKmjaA6gpVE</t>
  </si>
  <si>
    <t>https://drive.google.com/file/d/119Pc6Q7dgYdzsTZydUJKiNKmjaA6gpVE/view?usp=drivesdk</t>
  </si>
  <si>
    <t>FITRIANA</t>
  </si>
  <si>
    <t>friana759@gmail.com</t>
  </si>
  <si>
    <t>5809</t>
  </si>
  <si>
    <t>https://drive.google.com/file/d/168i5OgXsUYh7ONLHMM5Cz8OXYtTWfIHY/view?usp=drivesdk</t>
  </si>
  <si>
    <t>168i5OgXsUYh7ONLHMM5Cz8OXYtTWfIHY</t>
  </si>
  <si>
    <t>1H3o0JecFyqD5oRN-JnaosU69LyyKeuDj</t>
  </si>
  <si>
    <t>https://drive.google.com/file/d/1H3o0JecFyqD5oRN-JnaosU69LyyKeuDj/view?usp=drivesdk</t>
  </si>
  <si>
    <t>indra.desmen@gmail.com</t>
  </si>
  <si>
    <t>5810</t>
  </si>
  <si>
    <t>https://drive.google.com/file/d/170Pndw54M5emcKVJzIYQbMA2K-EcHT80/view?usp=drivesdk</t>
  </si>
  <si>
    <t>170Pndw54M5emcKVJzIYQbMA2K-EcHT80</t>
  </si>
  <si>
    <t>1VzZQ7bRpVdFZ_l1B8WjN81acCouoJFXe</t>
  </si>
  <si>
    <t>https://drive.google.com/file/d/1VzZQ7bRpVdFZ_l1B8WjN81acCouoJFXe/view?usp=drivesdk</t>
  </si>
  <si>
    <t>EKAWATI PURNAMASARI,SKEP</t>
  </si>
  <si>
    <t>ekawatipurnamasariurkes@gmail.com</t>
  </si>
  <si>
    <t>5811</t>
  </si>
  <si>
    <t>https://drive.google.com/file/d/1helbPJownnonadhytWefUjluOCRNlPWW/view?usp=drivesdk</t>
  </si>
  <si>
    <t>1helbPJownnonadhytWefUjluOCRNlPWW</t>
  </si>
  <si>
    <t>1e7iBl7xsQ-uKcChdGkL57khKhL2qlBph</t>
  </si>
  <si>
    <t>https://drive.google.com/file/d/1e7iBl7xsQ-uKcChdGkL57khKhL2qlBph/view?usp=drivesdk</t>
  </si>
  <si>
    <t>ROHMA OVICHA SURYANA</t>
  </si>
  <si>
    <t>oviovi196@gmail.com</t>
  </si>
  <si>
    <t>5812</t>
  </si>
  <si>
    <t>Starting at Thu Aug 29 2024 21:43:20 GMT-0400 (EDT)</t>
  </si>
  <si>
    <t>1jNrBZaP875AnP-aL7OkKAjB5AOGMpHkj</t>
  </si>
  <si>
    <t>https://drive.google.com/file/d/1jNrBZaP875AnP-aL7OkKAjB5AOGMpHkj/view?usp=drivesdk</t>
  </si>
  <si>
    <t>Document successfully created; Document successfully merged; PDF created; !!Error Sending Emails: Service invoked too many times for one day: email.; Manually run by ecertificate75@gmail.com; Timestamp: Sep 3 2024 3:10 AM</t>
  </si>
  <si>
    <t>dr. WIWIT SETYA RINI</t>
  </si>
  <si>
    <t>setyarini05@gmail.com</t>
  </si>
  <si>
    <t>5813</t>
  </si>
  <si>
    <t>1dX5htFUKYBznsb6FtvDVk7JLboSOM58J</t>
  </si>
  <si>
    <t>https://drive.google.com/file/d/1dX5htFUKYBznsb6FtvDVk7JLboSOM58J/view?usp=drivesdk</t>
  </si>
  <si>
    <t>FAJAR KHOIRUL HIDAYAT, S.E.</t>
  </si>
  <si>
    <t>fajarkh1972@gmail.com</t>
  </si>
  <si>
    <t>5814</t>
  </si>
  <si>
    <t>1WGTioy5KA4s8uSETsACIJSW1-f4zdcu2</t>
  </si>
  <si>
    <t>https://drive.google.com/file/d/1WGTioy5KA4s8uSETsACIJSW1-f4zdcu2/view?usp=drivesdk</t>
  </si>
  <si>
    <t>PRATIWI ANGGRAENI</t>
  </si>
  <si>
    <t>pratiwianggraeni03@gmail.com</t>
  </si>
  <si>
    <t>5815</t>
  </si>
  <si>
    <t>https://drive.google.com/file/d/1AohEdQpCXpviWvzKHtv8q4QVYxv44-T-/view?usp=drivesdk</t>
  </si>
  <si>
    <t>1AohEdQpCXpviWvzKHtv8q4QVYxv44-T-</t>
  </si>
  <si>
    <t>1VlZzub6tzNpKYPI1t2qfdw96-toJ6Th-</t>
  </si>
  <si>
    <t>https://drive.google.com/file/d/1VlZzub6tzNpKYPI1t2qfdw96-toJ6Th-/view?usp=drivesdk</t>
  </si>
  <si>
    <t>MARSINI</t>
  </si>
  <si>
    <t>marsinielham@gmail.com</t>
  </si>
  <si>
    <t>5816</t>
  </si>
  <si>
    <t>https://drive.google.com/file/d/1mlqGF1p4ImOBD0tf_tWOkenj70iWZN_K/view?usp=drivesdk</t>
  </si>
  <si>
    <t>1mlqGF1p4ImOBD0tf_tWOkenj70iWZN_K</t>
  </si>
  <si>
    <t>1_wqM6DpcZFbViQLI8PrZ_SkdMYzoJ1jJ</t>
  </si>
  <si>
    <t>https://drive.google.com/file/d/1_wqM6DpcZFbViQLI8PrZ_SkdMYzoJ1jJ/view?usp=drivesdk</t>
  </si>
  <si>
    <t>Document successfully created; Document successfully merged; PDF created; !!Error Sending Emails: Service invoked too many times for one day: email.; Manually run by ecertificate75@gmail.com; Timestamp: Sep 3 2024 3:11 AM</t>
  </si>
  <si>
    <t>GITA WAHYUNINGSIH PUTRI, S.Ak</t>
  </si>
  <si>
    <t>gitawahyu16@gmail.com</t>
  </si>
  <si>
    <t>5817</t>
  </si>
  <si>
    <t>https://drive.google.com/file/d/1CHL5PQw7HnqsUFP9XLeP8tExa6eNCU8X/view?usp=drivesdk</t>
  </si>
  <si>
    <t>1CHL5PQw7HnqsUFP9XLeP8tExa6eNCU8X</t>
  </si>
  <si>
    <t>1vCeHgPsu3o09L01mZVGUGuMTeNVsaogF</t>
  </si>
  <si>
    <t>https://drive.google.com/file/d/1vCeHgPsu3o09L01mZVGUGuMTeNVsaogF/view?usp=drivesdk</t>
  </si>
  <si>
    <t>SURI KARMILA, S.Sos.M.M</t>
  </si>
  <si>
    <t>surikarmila07@gmail.com</t>
  </si>
  <si>
    <t>5818</t>
  </si>
  <si>
    <t>https://drive.google.com/file/d/1sW67j7QdS0zQ7HdWjjNikqn8FuoXyHYN/view?usp=drivesdk</t>
  </si>
  <si>
    <t>1sW67j7QdS0zQ7HdWjjNikqn8FuoXyHYN</t>
  </si>
  <si>
    <t>1h-r6yXP0zwSeeFHNLGG8HDcN7GTd-CTt</t>
  </si>
  <si>
    <t>https://drive.google.com/file/d/1h-r6yXP0zwSeeFHNLGG8HDcN7GTd-CTt/view?usp=drivesdk</t>
  </si>
  <si>
    <t>SAFRIJAL ARDIANTO</t>
  </si>
  <si>
    <t>safrijalardianto@gmail.com</t>
  </si>
  <si>
    <t>5819</t>
  </si>
  <si>
    <t>Starting at Thu Aug 29 2024 21:43:25 GMT-0400 (EDT)</t>
  </si>
  <si>
    <t>124F7umxImjgno3vNpt5KYOSbuDslHEMt</t>
  </si>
  <si>
    <t>https://drive.google.com/file/d/124F7umxImjgno3vNpt5KYOSbuDslHEMt/view?usp=drivesdk</t>
  </si>
  <si>
    <t>NURJATI PANGESTUTI, S.Kep</t>
  </si>
  <si>
    <t>nyunyungn@gmail.com</t>
  </si>
  <si>
    <t>5820</t>
  </si>
  <si>
    <t>18qAl-ex5d3wnu25w3MYFBUG1M6dke2zu</t>
  </si>
  <si>
    <t>https://drive.google.com/file/d/18qAl-ex5d3wnu25w3MYFBUG1M6dke2zu/view?usp=drivesdk</t>
  </si>
  <si>
    <t>Document successfully created; Document successfully merged; PDF created; !!Error Sending Emails: Service invoked too many times for one day: email.; Manually run by ecertificate75@gmail.com; Timestamp: Sep 3 2024 3:12 AM</t>
  </si>
  <si>
    <t>NURYWNTI</t>
  </si>
  <si>
    <t>muryanti2244@gmail.com</t>
  </si>
  <si>
    <t>5821</t>
  </si>
  <si>
    <t>14upiHYMAbkn4Mo6mraEXhnSnZKdcWTvU</t>
  </si>
  <si>
    <t>https://drive.google.com/file/d/14upiHYMAbkn4Mo6mraEXhnSnZKdcWTvU/view?usp=drivesdk</t>
  </si>
  <si>
    <t xml:space="preserve">RAMLAN SARAGIH </t>
  </si>
  <si>
    <t>ramlandaragih1234@gmail.com</t>
  </si>
  <si>
    <t>5822</t>
  </si>
  <si>
    <t>https://drive.google.com/file/d/1d_5AWAvHC1YOT_Gy87wcyJW-BxC6oS8J/view?usp=drivesdk</t>
  </si>
  <si>
    <t>1d_5AWAvHC1YOT_Gy87wcyJW-BxC6oS8J</t>
  </si>
  <si>
    <t>1ueItfC6t3pInDdV0q5us03yiSyBTC3WK</t>
  </si>
  <si>
    <t>https://drive.google.com/file/d/1ueItfC6t3pInDdV0q5us03yiSyBTC3WK/view?usp=drivesdk</t>
  </si>
  <si>
    <t xml:space="preserve">Titik Sri Handayani </t>
  </si>
  <si>
    <t>titiksrihandayani70@gmail.com</t>
  </si>
  <si>
    <t>5823</t>
  </si>
  <si>
    <t>https://drive.google.com/file/d/1ZREKl2Bh823NFZXR2gnLLCZL3g4lK8iI/view?usp=drivesdk</t>
  </si>
  <si>
    <t>1ZREKl2Bh823NFZXR2gnLLCZL3g4lK8iI</t>
  </si>
  <si>
    <t>18uWM_XhFyrfe9Vhu2MtLtPCmDW4tzRSl</t>
  </si>
  <si>
    <t>https://drive.google.com/file/d/18uWM_XhFyrfe9Vhu2MtLtPCmDW4tzRSl/view?usp=drivesdk</t>
  </si>
  <si>
    <t>DEVI YUNITA ASTUTI Amd.Kep</t>
  </si>
  <si>
    <t>devimamadavi@gmail.com</t>
  </si>
  <si>
    <t>5824</t>
  </si>
  <si>
    <t>https://drive.google.com/file/d/1QDECDgRmI0yYGySfuOYFb1oTyPAmLeQu/view?usp=drivesdk</t>
  </si>
  <si>
    <t>1QDECDgRmI0yYGySfuOYFb1oTyPAmLeQu</t>
  </si>
  <si>
    <t>1-bsppkRLV2Qk1_2qYenX8FTAWo_7TGcO</t>
  </si>
  <si>
    <t>https://drive.google.com/file/d/1-bsppkRLV2Qk1_2qYenX8FTAWo_7TGcO/view?usp=drivesdk</t>
  </si>
  <si>
    <t>Document successfully created; Document successfully merged; PDF created; !!Error Sending Emails: Service invoked too many times for one day: email.; Manually run by ecertificate75@gmail.com; Timestamp: Sep 3 2024 3:13 AM</t>
  </si>
  <si>
    <t>SRI RUKIYATI, S.E., M.M.</t>
  </si>
  <si>
    <t>srirukiyati75@gmail.com</t>
  </si>
  <si>
    <t>5825</t>
  </si>
  <si>
    <t>https://drive.google.com/file/d/1fqRddJfl6mEwHe-ms7mP0E6sSGVCiKue/view?usp=drivesdk</t>
  </si>
  <si>
    <t>1fqRddJfl6mEwHe-ms7mP0E6sSGVCiKue</t>
  </si>
  <si>
    <t>1_bEyjgagNtybwG8rLoWa7DeCak94Y4xI</t>
  </si>
  <si>
    <t>https://drive.google.com/file/d/1_bEyjgagNtybwG8rLoWa7DeCak94Y4xI/view?usp=drivesdk</t>
  </si>
  <si>
    <t>Document successfully created; Document successfully merged; PDF created; !!Error Sending Emails: Service invoked too many times for one day: email.; Run via form trigger as ecertificate75@gmail.com; Timestamp: Sep 3 2024 2:49 AM</t>
  </si>
  <si>
    <t>NS. YUNITA SAFITRI.S.KEP</t>
  </si>
  <si>
    <t>yunita.safitri.ys@gmail.com</t>
  </si>
  <si>
    <t>5826</t>
  </si>
  <si>
    <t>https://drive.google.com/file/d/11eC2B3fKk5oZPro9O3deC54rbJAbPdpd/view?usp=drivesdk</t>
  </si>
  <si>
    <t>11eC2B3fKk5oZPro9O3deC54rbJAbPdpd</t>
  </si>
  <si>
    <t>1tJ7I-Eis3kOYUbxDnoJ0N_7toJh2Ec_F</t>
  </si>
  <si>
    <t>https://drive.google.com/file/d/1tJ7I-Eis3kOYUbxDnoJ0N_7toJh2Ec_F/view?usp=drivesdk</t>
  </si>
  <si>
    <t>LAILY SOFIA, S. Kep</t>
  </si>
  <si>
    <t>laily88sofia@gmail.com</t>
  </si>
  <si>
    <t>5827</t>
  </si>
  <si>
    <t>https://drive.google.com/file/d/1uR8sdFGtpeR-HNUabwFV8AlhLj8iEH-y/view?usp=drivesdk</t>
  </si>
  <si>
    <t>1uR8sdFGtpeR-HNUabwFV8AlhLj8iEH-y</t>
  </si>
  <si>
    <t>1rXn2l4zqPPp9FmQmBO9BQyIA9mXsEvRr</t>
  </si>
  <si>
    <t>https://drive.google.com/file/d/1rXn2l4zqPPp9FmQmBO9BQyIA9mXsEvRr/view?usp=drivesdk</t>
  </si>
  <si>
    <t>MARDI NURMAL, S.E., M.M.</t>
  </si>
  <si>
    <t>mardinurmal13@gmail.com</t>
  </si>
  <si>
    <t>5828</t>
  </si>
  <si>
    <t>Starting at Thu Aug 29 2024 21:43:32 GMT-0400 (EDT)</t>
  </si>
  <si>
    <t>1Slv-hWaFTJzTD3GYBFMc7oLe1zl93XAO</t>
  </si>
  <si>
    <t>https://drive.google.com/file/d/1Slv-hWaFTJzTD3GYBFMc7oLe1zl93XAO/view?usp=drivesdk</t>
  </si>
  <si>
    <t>Document successfully created; Document successfully merged; PDF created; !!Error Sending Emails: Service invoked too many times for one day: email.; Run via form trigger as ecertificate75@gmail.com; Timestamp: Sep 3 2024 2:50 AM</t>
  </si>
  <si>
    <t>NINIK HERIN KUSTANTI</t>
  </si>
  <si>
    <t>ninik.herin@gmail.com</t>
  </si>
  <si>
    <t>5829</t>
  </si>
  <si>
    <t>1IDYEEIh08BPJvdY8467t9Yn9Zj5h8Kr8</t>
  </si>
  <si>
    <t>https://drive.google.com/file/d/1IDYEEIh08BPJvdY8467t9Yn9Zj5h8Kr8/view?usp=drivesdk</t>
  </si>
  <si>
    <t>SARAH RIZKI NURHANIFA, A.Md.Gz</t>
  </si>
  <si>
    <t>sarahrzkn@gmail.com</t>
  </si>
  <si>
    <t>5830</t>
  </si>
  <si>
    <t>https://drive.google.com/file/d/19fJBby0IbS_A102pCLU2mxmez_wZa5yP/view?usp=drivesdk</t>
  </si>
  <si>
    <t>19fJBby0IbS_A102pCLU2mxmez_wZa5yP</t>
  </si>
  <si>
    <t>1fg7aDJxsqd7E_pTIzDNnSvh-0ehcEEzi</t>
  </si>
  <si>
    <t>https://drive.google.com/file/d/1fg7aDJxsqd7E_pTIzDNnSvh-0ehcEEzi/view?usp=drivesdk</t>
  </si>
  <si>
    <t>ERNIZAR SINAGA AMK</t>
  </si>
  <si>
    <t>ernizarsinaga@gmail.com</t>
  </si>
  <si>
    <t>5831</t>
  </si>
  <si>
    <t>https://drive.google.com/file/d/1kwC0n1vQ3Xf5QIKs-8psxy5SL9ER2c-m/view?usp=drivesdk</t>
  </si>
  <si>
    <t>1kwC0n1vQ3Xf5QIKs-8psxy5SL9ER2c-m</t>
  </si>
  <si>
    <t>1TOR-jL3YD7m2aizwTaTxh5iYJOSr_QAT</t>
  </si>
  <si>
    <t>https://drive.google.com/file/d/1TOR-jL3YD7m2aizwTaTxh5iYJOSr_QAT/view?usp=drivesdk</t>
  </si>
  <si>
    <t>Diny Argesti.Amk</t>
  </si>
  <si>
    <t>dinyargesti@gmail.com</t>
  </si>
  <si>
    <t>5832</t>
  </si>
  <si>
    <t>https://drive.google.com/file/d/1uwtyn5oEp9WWX2-7rMa5QYBSguZxrN8j/view?usp=drivesdk</t>
  </si>
  <si>
    <t>1uwtyn5oEp9WWX2-7rMa5QYBSguZxrN8j</t>
  </si>
  <si>
    <t>1VMOSKwH2iQwbJ5tbw_hI1MvGIr4ew1WN</t>
  </si>
  <si>
    <t>https://drive.google.com/file/d/1VMOSKwH2iQwbJ5tbw_hI1MvGIr4ew1WN/view?usp=drivesdk</t>
  </si>
  <si>
    <t>riduans441@gmail.com</t>
  </si>
  <si>
    <t>5833</t>
  </si>
  <si>
    <t>https://drive.google.com/file/d/1yrgKXtjgxHchFVbvLNVPaKNYY2p3RTV9/view?usp=drivesdk</t>
  </si>
  <si>
    <t>1yrgKXtjgxHchFVbvLNVPaKNYY2p3RTV9</t>
  </si>
  <si>
    <t>1MF5bNkBHlxmDJz3zjBbxhrb2_V7KfM6Y</t>
  </si>
  <si>
    <t>https://drive.google.com/file/d/1MF5bNkBHlxmDJz3zjBbxhrb2_V7KfM6Y/view?usp=drivesdk</t>
  </si>
  <si>
    <t>Document successfully created; Document successfully merged; PDF created; !!Error Sending Emails: Service invoked too many times for one day: email.; Run via form trigger as ecertificate75@gmail.com; Timestamp: Sep 3 2024 2:51 AM</t>
  </si>
  <si>
    <t>Mariana Muslimin SE</t>
  </si>
  <si>
    <t>mnana03021977@gmail.com</t>
  </si>
  <si>
    <t>5834</t>
  </si>
  <si>
    <t>Starting at Thu Aug 29 2024 21:43:38 GMT-0400 (EDT)</t>
  </si>
  <si>
    <t>1Zw4husHQfPgRBlKIfmd5pI2uyO1LbiUR</t>
  </si>
  <si>
    <t>https://drive.google.com/file/d/1Zw4husHQfPgRBlKIfmd5pI2uyO1LbiUR/view?usp=drivesdk</t>
  </si>
  <si>
    <t>MARDIAH, S.E.</t>
  </si>
  <si>
    <t>renamardiah@gmail.com</t>
  </si>
  <si>
    <t>5835</t>
  </si>
  <si>
    <t>1tdNErXjQGc1nFFOCGgnTNX71HLNf6K8h</t>
  </si>
  <si>
    <t>https://drive.google.com/file/d/1tdNErXjQGc1nFFOCGgnTNX71HLNf6K8h/view?usp=drivesdk</t>
  </si>
  <si>
    <t>FANI SUMANTA</t>
  </si>
  <si>
    <t>fanisumantanew@gmail.com</t>
  </si>
  <si>
    <t>5836</t>
  </si>
  <si>
    <t>https://drive.google.com/file/d/1myGCJ5PhRdYX5MYmeNeO1ZwmA4LWpdft/view?usp=drivesdk</t>
  </si>
  <si>
    <t>1myGCJ5PhRdYX5MYmeNeO1ZwmA4LWpdft</t>
  </si>
  <si>
    <t>1wW_ipfHBEkp66O80nB3SfDWeSRMmn_Bj</t>
  </si>
  <si>
    <t>https://drive.google.com/file/d/1wW_ipfHBEkp66O80nB3SfDWeSRMmn_Bj/view?usp=drivesdk</t>
  </si>
  <si>
    <t>Rahmawatismapul94@gmail.com</t>
  </si>
  <si>
    <t>5837</t>
  </si>
  <si>
    <t>https://drive.google.com/file/d/1DTrXIFS7Z5Ahhe0HIJcLXlHaF9Vuo9aM/view?usp=drivesdk</t>
  </si>
  <si>
    <t>1DTrXIFS7Z5Ahhe0HIJcLXlHaF9Vuo9aM</t>
  </si>
  <si>
    <t>1vmDYrVo1oh-fjyiiDjfgVLecrD128Tml</t>
  </si>
  <si>
    <t>https://drive.google.com/file/d/1vmDYrVo1oh-fjyiiDjfgVLecrD128Tml/view?usp=drivesdk</t>
  </si>
  <si>
    <t>Document successfully created; Document successfully merged; PDF created; !!Error Sending Emails: Service invoked too many times for one day: email.; Run via form trigger as ecertificate75@gmail.com; Timestamp: Sep 3 2024 2:52 AM</t>
  </si>
  <si>
    <t>RR TITIK ISMURWANI</t>
  </si>
  <si>
    <t>titikismurwani@gmail.com</t>
  </si>
  <si>
    <t>5838</t>
  </si>
  <si>
    <t>https://drive.google.com/file/d/1ozy7Lv7AQW7AbfhP_riN9rtHVmIn_S1f/view?usp=drivesdk</t>
  </si>
  <si>
    <t>1ozy7Lv7AQW7AbfhP_riN9rtHVmIn_S1f</t>
  </si>
  <si>
    <t>112HI8B834ELX1IC7JXFmshy_LwtKWdQr</t>
  </si>
  <si>
    <t>https://drive.google.com/file/d/112HI8B834ELX1IC7JXFmshy_LwtKWdQr/view?usp=drivesdk</t>
  </si>
  <si>
    <t>ANDRIANSYAH, A.Md Kom</t>
  </si>
  <si>
    <t>andrianmalata@gmail.com</t>
  </si>
  <si>
    <t>5839</t>
  </si>
  <si>
    <t>https://drive.google.com/file/d/1gPnzFaAo3zqz54YNzNo5Zqj5Kk8oFKOQ/view?usp=drivesdk</t>
  </si>
  <si>
    <t>1gPnzFaAo3zqz54YNzNo5Zqj5Kk8oFKOQ</t>
  </si>
  <si>
    <t>11d-xuYYJ5iuEFaBVwEQ8e_DkXP3fg8As</t>
  </si>
  <si>
    <t>https://drive.google.com/file/d/11d-xuYYJ5iuEFaBVwEQ8e_DkXP3fg8As/view?usp=drivesdk</t>
  </si>
  <si>
    <t>Document successfully created; Document successfully merged; PDF created; !!Error Sending Emails: Service invoked too many times for one day: email.; Run via form trigger as ecertificate75@gmail.com; Timestamp: Sep 3 2024 2:53 AM</t>
  </si>
  <si>
    <t>SUCI JAMIAH</t>
  </si>
  <si>
    <t>Sucijamiah69@gmail.com</t>
  </si>
  <si>
    <t>5840</t>
  </si>
  <si>
    <t>Starting at Thu Aug 29 2024 21:43:41 GMT-0400 (EDT)</t>
  </si>
  <si>
    <t>1KvoSTcS3LrmAKYg7c4kyU5NqQ15ujYn1</t>
  </si>
  <si>
    <t>https://drive.google.com/file/d/1KvoSTcS3LrmAKYg7c4kyU5NqQ15ujYn1/view?usp=drivesdk</t>
  </si>
  <si>
    <t>SAYIDIMAN MESMAN, A.Md.,S.Kom</t>
  </si>
  <si>
    <t>sayidimanmesman79@gmail.com</t>
  </si>
  <si>
    <t>5841</t>
  </si>
  <si>
    <t>1eVStPR0y20-jj4u9tyzQFl7KSD37RqGw</t>
  </si>
  <si>
    <t>https://drive.google.com/file/d/1eVStPR0y20-jj4u9tyzQFl7KSD37RqGw/view?usp=drivesdk</t>
  </si>
  <si>
    <t xml:space="preserve">Ns Irmayulis Skep </t>
  </si>
  <si>
    <t>irmayulis99@gmail.com</t>
  </si>
  <si>
    <t>5842</t>
  </si>
  <si>
    <t>1yXtSRN7wKcDr4X3Yyw1_GqQjLXNMar0-</t>
  </si>
  <si>
    <t>https://drive.google.com/file/d/1yXtSRN7wKcDr4X3Yyw1_GqQjLXNMar0-/view?usp=drivesdk</t>
  </si>
  <si>
    <t>YANUAR RISTANTI, S.H.</t>
  </si>
  <si>
    <t>ristantiyanuar@gmail.com</t>
  </si>
  <si>
    <t>5843</t>
  </si>
  <si>
    <t>1JmoUKfcIxgjjfbRZleBWuFUIcMz3Nfwr</t>
  </si>
  <si>
    <t>https://drive.google.com/file/d/1JmoUKfcIxgjjfbRZleBWuFUIcMz3Nfwr/view?usp=drivesdk</t>
  </si>
  <si>
    <t>HARSANA</t>
  </si>
  <si>
    <t>harsana4545@mail.com</t>
  </si>
  <si>
    <t>5844</t>
  </si>
  <si>
    <t>1AKHh3gKyUOdSp4Dt0PbR_mPPdt6XOjRi</t>
  </si>
  <si>
    <t>https://drive.google.com/file/d/1AKHh3gKyUOdSp4Dt0PbR_mPPdt6XOjRi/view?usp=drivesdk</t>
  </si>
  <si>
    <t>Document successfully created; Document successfully merged; PDF created; !!Error Sending Emails: Service invoked too many times for one day: email.; Run via form trigger as ecertificate75@gmail.com; Timestamp: Sep 3 2024 2:54 AM</t>
  </si>
  <si>
    <t>REZKY FITRIANNOOR,SE</t>
  </si>
  <si>
    <t>biddokkespoldakalsel@gmail.com</t>
  </si>
  <si>
    <t>5845</t>
  </si>
  <si>
    <t>1GMU5LFp2n4JgtQGBxMKbbKeoqqDqe5Cp</t>
  </si>
  <si>
    <t>https://drive.google.com/file/d/1GMU5LFp2n4JgtQGBxMKbbKeoqqDqe5Cp/view?usp=drivesdk</t>
  </si>
  <si>
    <t>SAMPE TUA SIRAIT, S.E.</t>
  </si>
  <si>
    <t>sampe.tua.sirait@gmail.com</t>
  </si>
  <si>
    <t>5846</t>
  </si>
  <si>
    <t>Starting at Thu Aug 29 2024 21:43:44 GMT-0400 (EDT)</t>
  </si>
  <si>
    <t>1xZtiGj87Y0GC2mCVLXy1Km-Dujf6bHZr</t>
  </si>
  <si>
    <t>https://drive.google.com/file/d/1xZtiGj87Y0GC2mCVLXy1Km-Dujf6bHZr/view?usp=drivesdk</t>
  </si>
  <si>
    <t>SRI PURWANTI, S.Pd.</t>
  </si>
  <si>
    <t>s.purwanti7570@yahoo.com</t>
  </si>
  <si>
    <t>5847</t>
  </si>
  <si>
    <t>1_EyQb50yKhRCB7LGnkU_l9NlAauJwbU3</t>
  </si>
  <si>
    <t>https://drive.google.com/file/d/1_EyQb50yKhRCB7LGnkU_l9NlAauJwbU3/view?usp=drivesdk</t>
  </si>
  <si>
    <t>RIAWATI</t>
  </si>
  <si>
    <t>spnpoldakepribatam@mail.com</t>
  </si>
  <si>
    <t>5848</t>
  </si>
  <si>
    <t>https://drive.google.com/file/d/1kV_xW55vLaw2T_kRO_H_hpSluQrIcxFx/view?usp=drivesdk</t>
  </si>
  <si>
    <t>1kV_xW55vLaw2T_kRO_H_hpSluQrIcxFx</t>
  </si>
  <si>
    <t>1y5ISQ3ZhWAdL2pbUMF1pO9DrT--GpRnS</t>
  </si>
  <si>
    <t>https://drive.google.com/file/d/1y5ISQ3ZhWAdL2pbUMF1pO9DrT--GpRnS/view?usp=drivesdk</t>
  </si>
  <si>
    <t>Document successfully created; Document successfully merged; PDF created; !!Error Sending Emails: Service invoked too many times for one day: email.; Manually run by ecertificate75@gmail.com; Timestamp: Sep 3 2024 3:14 AM</t>
  </si>
  <si>
    <t>NURMI, Amd</t>
  </si>
  <si>
    <t>nurmynurdin2009@gmail.com</t>
  </si>
  <si>
    <t>5849</t>
  </si>
  <si>
    <t>https://drive.google.com/file/d/1Ln304Rm6KdqSVuPsPVziBazQ-HTeZeN3/view?usp=drivesdk</t>
  </si>
  <si>
    <t>1Ln304Rm6KdqSVuPsPVziBazQ-HTeZeN3</t>
  </si>
  <si>
    <t>15v9qcHw5ud-MNZgn_TIaTRBA40_GUMgs</t>
  </si>
  <si>
    <t>https://drive.google.com/file/d/15v9qcHw5ud-MNZgn_TIaTRBA40_GUMgs/view?usp=drivesdk</t>
  </si>
  <si>
    <t xml:space="preserve">RAHAYU KURNIAWATI </t>
  </si>
  <si>
    <t>rahayukurniawati02@gmail.com</t>
  </si>
  <si>
    <t>5850</t>
  </si>
  <si>
    <t>https://drive.google.com/file/d/1er0JAKLiPbnSX4dp7BcbTN6nPcPNzcSO/view?usp=drivesdk</t>
  </si>
  <si>
    <t>1er0JAKLiPbnSX4dp7BcbTN6nPcPNzcSO</t>
  </si>
  <si>
    <t>1sn6HXGljN9lsQTtSVurEJ6hXKCUbc0MW</t>
  </si>
  <si>
    <t>https://drive.google.com/file/d/1sn6HXGljN9lsQTtSVurEJ6hXKCUbc0MW/view?usp=drivesdk</t>
  </si>
  <si>
    <t>KASMAN</t>
  </si>
  <si>
    <t>kasmancs03@gmail.com</t>
  </si>
  <si>
    <t>5851</t>
  </si>
  <si>
    <t>https://drive.google.com/file/d/1CKOZer7wexvNY_br-H2ceDK_n4Gdbikc/view?usp=drivesdk</t>
  </si>
  <si>
    <t>1CKOZer7wexvNY_br-H2ceDK_n4Gdbikc</t>
  </si>
  <si>
    <t>1JMQz-nwqsrTV0W6EIvvQ-pIXN164PTB6</t>
  </si>
  <si>
    <t>https://drive.google.com/file/d/1JMQz-nwqsrTV0W6EIvvQ-pIXN164PTB6/view?usp=drivesdk</t>
  </si>
  <si>
    <t>MALA FATMAWATI, S.Kep.,Ns.</t>
  </si>
  <si>
    <t>malafatmawati23@gmail.com</t>
  </si>
  <si>
    <t>5852</t>
  </si>
  <si>
    <t>Starting at Thu Aug 29 2024 21:43:51 GMT-0400 (EDT)</t>
  </si>
  <si>
    <t>1E6juvEkYwCcKYWvLySgWfmBKWaBm6cwd</t>
  </si>
  <si>
    <t>https://drive.google.com/file/d/1E6juvEkYwCcKYWvLySgWfmBKWaBm6cwd/view?usp=drivesdk</t>
  </si>
  <si>
    <t>Document successfully created; Document successfully merged; PDF created; !!Error Sending Emails: Service invoked too many times for one day: email.; Manually run by ecertificate75@gmail.com; Timestamp: Sep 3 2024 3:15 AM</t>
  </si>
  <si>
    <t>AGUK SUGIARTO</t>
  </si>
  <si>
    <t>aguksugiarto76@gmail.com</t>
  </si>
  <si>
    <t>5853</t>
  </si>
  <si>
    <t>19F9ylx0BP6mufm8c17AuyMnqhT6R48fW</t>
  </si>
  <si>
    <t>https://drive.google.com/file/d/19F9ylx0BP6mufm8c17AuyMnqhT6R48fW/view?usp=drivesdk</t>
  </si>
  <si>
    <t>MARIA LUTFIANA, A.MD, S.M.</t>
  </si>
  <si>
    <t>marialutfiana@gmail.com</t>
  </si>
  <si>
    <t>5854</t>
  </si>
  <si>
    <t>1R6SBrI0fUPoG9HRHasEGaY-IstLTK0xA</t>
  </si>
  <si>
    <t>https://drive.google.com/file/d/1R6SBrI0fUPoG9HRHasEGaY-IstLTK0xA/view?usp=drivesdk</t>
  </si>
  <si>
    <t xml:space="preserve">DANI ARMAYATI </t>
  </si>
  <si>
    <t>daniarmayati88@gmail.com</t>
  </si>
  <si>
    <t>5855</t>
  </si>
  <si>
    <t>https://drive.google.com/file/d/1dqIEK__9VRlJ-4axYbuaj15EBNoN5Vd9/view?usp=drivesdk</t>
  </si>
  <si>
    <t>1dqIEK__9VRlJ-4axYbuaj15EBNoN5Vd9</t>
  </si>
  <si>
    <t>1_bDFYTjzP5UVDDDE2p3FNFbKgn1ogmwE</t>
  </si>
  <si>
    <t>https://drive.google.com/file/d/1_bDFYTjzP5UVDDDE2p3FNFbKgn1ogmwE/view?usp=drivesdk</t>
  </si>
  <si>
    <t>NURAIDA</t>
  </si>
  <si>
    <t>ida612353@gmail.com</t>
  </si>
  <si>
    <t>5856</t>
  </si>
  <si>
    <t>https://drive.google.com/file/d/17blwnEOpf5Z_xhFb5RjIsuM1b_mHLkbS/view?usp=drivesdk</t>
  </si>
  <si>
    <t>17blwnEOpf5Z_xhFb5RjIsuM1b_mHLkbS</t>
  </si>
  <si>
    <t>1XSIN0w2WHHoRoUgbynTm-2ON_fIoK5Fm</t>
  </si>
  <si>
    <t>https://drive.google.com/file/d/1XSIN0w2WHHoRoUgbynTm-2ON_fIoK5Fm/view?usp=drivesdk</t>
  </si>
  <si>
    <t>Document successfully created; Document successfully merged; PDF created; !!Error Sending Emails: Service invoked too many times for one day: email.; Manually run by ecertificate75@gmail.com; Timestamp: Sep 3 2024 3:16 AM</t>
  </si>
  <si>
    <t>SURATIN</t>
  </si>
  <si>
    <t>ratindaryo30@gmail.com</t>
  </si>
  <si>
    <t>5857</t>
  </si>
  <si>
    <t>https://drive.google.com/file/d/19nVPUMwFnAJpGT6EluD7fubP_YN4PBWb/view?usp=drivesdk</t>
  </si>
  <si>
    <t>19nVPUMwFnAJpGT6EluD7fubP_YN4PBWb</t>
  </si>
  <si>
    <t>1gEMrAcoNQcYteuxj3Qx_bDc-3OKWfbjs</t>
  </si>
  <si>
    <t>https://drive.google.com/file/d/1gEMrAcoNQcYteuxj3Qx_bDc-3OKWfbjs/view?usp=drivesdk</t>
  </si>
  <si>
    <t xml:space="preserve">SITI SUKESI </t>
  </si>
  <si>
    <t>sitiono18@gmail.com</t>
  </si>
  <si>
    <t>5858</t>
  </si>
  <si>
    <t>Starting at Thu Aug 29 2024 21:43:55 GMT-0400 (EDT)</t>
  </si>
  <si>
    <t>1WeS403UddgSJCBdzLkOJDv638NLEtmhm</t>
  </si>
  <si>
    <t>https://drive.google.com/file/d/1WeS403UddgSJCBdzLkOJDv638NLEtmhm/view?usp=drivesdk</t>
  </si>
  <si>
    <t>NANI MULYATI</t>
  </si>
  <si>
    <t>nanimulyati44@gmail.com</t>
  </si>
  <si>
    <t>5859</t>
  </si>
  <si>
    <t>https://drive.google.com/file/d/1golkJkuVgx4woV9lWB0sYXZ1NqlFOn0i/view?usp=drivesdk</t>
  </si>
  <si>
    <t>1golkJkuVgx4woV9lWB0sYXZ1NqlFOn0i</t>
  </si>
  <si>
    <t>1yNF7GPWkoANv3SkVFgWSYc92InP5PCSs</t>
  </si>
  <si>
    <t>https://drive.google.com/file/d/1yNF7GPWkoANv3SkVFgWSYc92InP5PCSs/view?usp=drivesdk</t>
  </si>
  <si>
    <t>Inney Silda Latifah</t>
  </si>
  <si>
    <t>inneysildal@gmail.com</t>
  </si>
  <si>
    <t>5860</t>
  </si>
  <si>
    <t>https://drive.google.com/file/d/1vWIzzCuRWxMSIOZL2SEwC88R6ZfPDh3w/view?usp=drivesdk</t>
  </si>
  <si>
    <t>1vWIzzCuRWxMSIOZL2SEwC88R6ZfPDh3w</t>
  </si>
  <si>
    <t>1cqV93YiZoysH5qeKr7_iZCKLx18qRiOL</t>
  </si>
  <si>
    <t>https://drive.google.com/file/d/1cqV93YiZoysH5qeKr7_iZCKLx18qRiOL/view?usp=drivesdk</t>
  </si>
  <si>
    <t>Document successfully created; Document successfully merged; PDF created; !!Error Sending Emails: Service invoked too many times for one day: email.; Manually run by ecertificate75@gmail.com; Timestamp: Sep 3 2024 3:17 AM</t>
  </si>
  <si>
    <t>Ni Made Parwati,S.KM</t>
  </si>
  <si>
    <t>dekparwati@yahoo.com</t>
  </si>
  <si>
    <t>5861</t>
  </si>
  <si>
    <t>Starting at Thu Aug 29 2024 21:43:59 GMT-0400 (EDT)</t>
  </si>
  <si>
    <t>131FR3flbfBY_xIvJHTzIJHNQ3nrr0M6X</t>
  </si>
  <si>
    <t>https://drive.google.com/file/d/131FR3flbfBY_xIvJHTzIJHNQ3nrr0M6X/view?usp=drivesdk</t>
  </si>
  <si>
    <t>IRAWATI,A.Md.</t>
  </si>
  <si>
    <t>irawati9680@gmail.com</t>
  </si>
  <si>
    <t>5862</t>
  </si>
  <si>
    <t>https://drive.google.com/file/d/188rf0x_Gvd6yX-YVJynm_cVMM52jfb4t/view?usp=drivesdk</t>
  </si>
  <si>
    <t>188rf0x_Gvd6yX-YVJynm_cVMM52jfb4t</t>
  </si>
  <si>
    <t>1FBzj6pN1tUB0xW4UYbcZHzLtNdR5vKxl</t>
  </si>
  <si>
    <t>https://drive.google.com/file/d/1FBzj6pN1tUB0xW4UYbcZHzLtNdR5vKxl/view?usp=drivesdk</t>
  </si>
  <si>
    <t>EDY SUJAKA</t>
  </si>
  <si>
    <t>edysujaka73@gmail.com</t>
  </si>
  <si>
    <t>5863</t>
  </si>
  <si>
    <t>https://drive.google.com/file/d/1AXr9mufaEmbcmGeNGq0ShHUqK1R6u4my/view?usp=drivesdk</t>
  </si>
  <si>
    <t>1AXr9mufaEmbcmGeNGq0ShHUqK1R6u4my</t>
  </si>
  <si>
    <t>1wnB2mg4LNJLEKEiHhoBUJZJc_MFKNqp6</t>
  </si>
  <si>
    <t>https://drive.google.com/file/d/1wnB2mg4LNJLEKEiHhoBUJZJc_MFKNqp6/view?usp=drivesdk</t>
  </si>
  <si>
    <t>RINI IRYANI SUHAERI, A.Md</t>
  </si>
  <si>
    <t>rini.resbogor@gmail.com</t>
  </si>
  <si>
    <t>5864</t>
  </si>
  <si>
    <t>Starting at Thu Aug 29 2024 21:44:01 GMT-0400 (EDT)</t>
  </si>
  <si>
    <t>1Iy8WGhlEbqA3cBDPTajwAZ8tpmMgJd0d</t>
  </si>
  <si>
    <t>https://drive.google.com/file/d/1Iy8WGhlEbqA3cBDPTajwAZ8tpmMgJd0d/view?usp=drivesdk</t>
  </si>
  <si>
    <t>KASIMAN</t>
  </si>
  <si>
    <t>kasimanarsip@gmail.com</t>
  </si>
  <si>
    <t>5865</t>
  </si>
  <si>
    <t>1MNYDsoPAoxWUH6uRt6BRHAc6jz2LgalP</t>
  </si>
  <si>
    <t>https://drive.google.com/file/d/1MNYDsoPAoxWUH6uRt6BRHAc6jz2LgalP/view?usp=drivesdk</t>
  </si>
  <si>
    <t>Document successfully created; Document successfully merged; PDF created; !!Error Sending Emails: Service invoked too many times for one day: email.; Manually run by ecertificate75@gmail.com; Timestamp: Sep 3 2024 3:18 AM</t>
  </si>
  <si>
    <t>sunartieffendi61@gmail.com</t>
  </si>
  <si>
    <t>5866</t>
  </si>
  <si>
    <t>1p2976WUnBEjKsvYPaW0UvDDK2MKQoYfD</t>
  </si>
  <si>
    <t>https://drive.google.com/file/d/1p2976WUnBEjKsvYPaW0UvDDK2MKQoYfD/view?usp=drivesdk</t>
  </si>
  <si>
    <t>ERVINA TRI ARI WIDYAWATI,SE</t>
  </si>
  <si>
    <t>ervinatriari@gmail.com</t>
  </si>
  <si>
    <t>5867</t>
  </si>
  <si>
    <t>12XaHwk_UPJR0Y0pUTuCFvAazDvgk0JfS</t>
  </si>
  <si>
    <t>https://drive.google.com/file/d/12XaHwk_UPJR0Y0pUTuCFvAazDvgk0JfS/view?usp=drivesdk</t>
  </si>
  <si>
    <t>Widya Fitri, Amd.Kep</t>
  </si>
  <si>
    <t>widyaftri99@gmail.com</t>
  </si>
  <si>
    <t>5868</t>
  </si>
  <si>
    <t>16QBLa7rITAVRbMxIqBlIM3ztHY1TvjZK</t>
  </si>
  <si>
    <t>https://drive.google.com/file/d/16QBLa7rITAVRbMxIqBlIM3ztHY1TvjZK/view?usp=drivesdk</t>
  </si>
  <si>
    <t>GITA RINA AGUSTINA, A.Md. Kes</t>
  </si>
  <si>
    <t>gitarinaa1996@gmail.com</t>
  </si>
  <si>
    <t>5869</t>
  </si>
  <si>
    <t>1_yW754yY1Y72nzHIphCnpirlekQsZek9</t>
  </si>
  <si>
    <t>https://drive.google.com/file/d/1_yW754yY1Y72nzHIphCnpirlekQsZek9/view?usp=drivesdk</t>
  </si>
  <si>
    <t>RAZIMIN S.SI M.M APT</t>
  </si>
  <si>
    <t>razapt03@gmail.com</t>
  </si>
  <si>
    <t>5870</t>
  </si>
  <si>
    <t>https://drive.google.com/file/d/1rGW9MAb0KAyDNy1sLCKAqmk45AXH8XKt/view?usp=drivesdk</t>
  </si>
  <si>
    <t>1rGW9MAb0KAyDNy1sLCKAqmk45AXH8XKt</t>
  </si>
  <si>
    <t>1cSbbbqN-8cDS_w3fdqn6lIKYUSvAH-Rv</t>
  </si>
  <si>
    <t>https://drive.google.com/file/d/1cSbbbqN-8cDS_w3fdqn6lIKYUSvAH-Rv/view?usp=drivesdk</t>
  </si>
  <si>
    <t>Document successfully created; Document successfully merged; PDF created; !!Error Sending Emails: Service invoked too many times for one day: email.; Manually run by ecertificate75@gmail.com; Timestamp: Sep 3 2024 3:19 AM</t>
  </si>
  <si>
    <t>UNTUNG. S. E</t>
  </si>
  <si>
    <t>tanggaluntung@gmail.com</t>
  </si>
  <si>
    <t>5871</t>
  </si>
  <si>
    <t>https://drive.google.com/file/d/1Ik8M8xM_VfnPVT_1cEVu9bY5bKlBhjZ5/view?usp=drivesdk</t>
  </si>
  <si>
    <t>1Ik8M8xM_VfnPVT_1cEVu9bY5bKlBhjZ5</t>
  </si>
  <si>
    <t>1LXzwpfm6rt44TouKec4s9W1wlX97p_z1</t>
  </si>
  <si>
    <t>https://drive.google.com/file/d/1LXzwpfm6rt44TouKec4s9W1wlX97p_z1/view?usp=drivesdk</t>
  </si>
  <si>
    <t>GUMILAR HENDRAWAN TAUFIQ</t>
  </si>
  <si>
    <t>gumilarzoifandy248@gmail.com</t>
  </si>
  <si>
    <t>5872</t>
  </si>
  <si>
    <t>https://drive.google.com/file/d/1-Ip0iuDo7JierJuNfEumFsJ7B_x0bfYz/view?usp=drivesdk</t>
  </si>
  <si>
    <t>1-Ip0iuDo7JierJuNfEumFsJ7B_x0bfYz</t>
  </si>
  <si>
    <t>1yIvIT9oRredGaIVB0aRm-OQHz6OneEV7</t>
  </si>
  <si>
    <t>https://drive.google.com/file/d/1yIvIT9oRredGaIVB0aRm-OQHz6OneEV7/view?usp=drivesdk</t>
  </si>
  <si>
    <t>NOPRIWATY PRETTY SIHOTANG, A.Md.Keb.</t>
  </si>
  <si>
    <t>nopriwatypretty@gmail.com</t>
  </si>
  <si>
    <t>5873</t>
  </si>
  <si>
    <t>https://drive.google.com/file/d/1u4xuwMO7g4Wlwt2NAZF7a6iBommJO0_P/view?usp=drivesdk</t>
  </si>
  <si>
    <t>1u4xuwMO7g4Wlwt2NAZF7a6iBommJO0_P</t>
  </si>
  <si>
    <t>1L9HkZ2NReLq5HpMLbpvM1BdV_al0JfjV</t>
  </si>
  <si>
    <t>https://drive.google.com/file/d/1L9HkZ2NReLq5HpMLbpvM1BdV_al0JfjV/view?usp=drivesdk</t>
  </si>
  <si>
    <t>DIVPROPAM POLRI</t>
  </si>
  <si>
    <t>WAHESTI RINA SARI</t>
  </si>
  <si>
    <t>Wahesti.rina@gmail.com</t>
  </si>
  <si>
    <t>5874</t>
  </si>
  <si>
    <t>Starting at Thu Aug 29 2024 21:44:14 GMT-0400 (EDT)</t>
  </si>
  <si>
    <t>1kXCDEogR6SLFW28bzO-c5IbztJcHTNvW</t>
  </si>
  <si>
    <t>https://drive.google.com/file/d/1kXCDEogR6SLFW28bzO-c5IbztJcHTNvW/view?usp=drivesdk</t>
  </si>
  <si>
    <t>HENNY TAMBUNAN, A.Md</t>
  </si>
  <si>
    <t>hennytambunan24@gmail.com</t>
  </si>
  <si>
    <t>5875</t>
  </si>
  <si>
    <t>1JhcOr_beWxta3MHkJWiOdWnhmpLjv0rl</t>
  </si>
  <si>
    <t>https://drive.google.com/file/d/1JhcOr_beWxta3MHkJWiOdWnhmpLjv0rl/view?usp=drivesdk</t>
  </si>
  <si>
    <t>Document successfully created; Document successfully merged; PDF created; !!Error Sending Emails: Service invoked too many times for one day: email.; Manually run by ecertificate75@gmail.com; Timestamp: Sep 3 2024 3:20 AM</t>
  </si>
  <si>
    <t>Dr.Selvia Emilya</t>
  </si>
  <si>
    <t>emilyaselvia@gmail.com</t>
  </si>
  <si>
    <t>5876</t>
  </si>
  <si>
    <t>1a52hlMxKbpEuJBufZ00Ws48YAZRvdkSg</t>
  </si>
  <si>
    <t>https://drive.google.com/file/d/1a52hlMxKbpEuJBufZ00Ws48YAZRvdkSg/view?usp=drivesdk</t>
  </si>
  <si>
    <t>SRI DANALIA NASUTION</t>
  </si>
  <si>
    <t>dahnaliasri@gmail.com</t>
  </si>
  <si>
    <t>5877</t>
  </si>
  <si>
    <t>1XjIYHZOMMKYL9kR3HI83n0DuDnPv_EsG</t>
  </si>
  <si>
    <t>https://drive.google.com/file/d/1XjIYHZOMMKYL9kR3HI83n0DuDnPv_EsG/view?usp=drivesdk</t>
  </si>
  <si>
    <t>SAFIRA APRIYANI, A.Md.Kes.</t>
  </si>
  <si>
    <t>safirapriyani@gmail.com</t>
  </si>
  <si>
    <t>5878</t>
  </si>
  <si>
    <t>15-WdRKVEsguYlhkZnJ10ul8CN718T0Tv</t>
  </si>
  <si>
    <t>https://drive.google.com/file/d/15-WdRKVEsguYlhkZnJ10ul8CN718T0Tv/view?usp=drivesdk</t>
  </si>
  <si>
    <t>NI KADE SASIH ARINI</t>
  </si>
  <si>
    <t>kadearini00@gmail.com</t>
  </si>
  <si>
    <t>5879</t>
  </si>
  <si>
    <t>18a2KaXA183o8csEqWol2My-x10xF1Bx-</t>
  </si>
  <si>
    <t>https://drive.google.com/file/d/18a2KaXA183o8csEqWol2My-x10xF1Bx-/view?usp=drivesdk</t>
  </si>
  <si>
    <t>YETI KOMALASARI</t>
  </si>
  <si>
    <t>yetty.yessi@gmail.com</t>
  </si>
  <si>
    <t>5880</t>
  </si>
  <si>
    <t>https://drive.google.com/file/d/1ng7ekn_BE3h3tyHCI3QjdZoKtwn8b2c2/view?usp=drivesdk</t>
  </si>
  <si>
    <t>1ng7ekn_BE3h3tyHCI3QjdZoKtwn8b2c2</t>
  </si>
  <si>
    <t>1oWG7cvgJfeNKQAsj8Xkc8x9D6W7hb4p9</t>
  </si>
  <si>
    <t>https://drive.google.com/file/d/1oWG7cvgJfeNKQAsj8Xkc8x9D6W7hb4p9/view?usp=drivesdk</t>
  </si>
  <si>
    <t>Document successfully created; Document successfully merged; PDF created; !!Error Sending Emails: Service invoked too many times for one day: email.; Manually run by ecertificate75@gmail.com; Timestamp: Sep 3 2024 3:21 AM</t>
  </si>
  <si>
    <t>NUR HIDAYATI</t>
  </si>
  <si>
    <t>tiara.hidayati77@gmail.com</t>
  </si>
  <si>
    <t>5881</t>
  </si>
  <si>
    <t>Starting at Thu Aug 29 2024 21:44:16 GMT-0400 (EDT)</t>
  </si>
  <si>
    <t>1btTcw1cdF__GptqE8XY--3X83H9Vemg6</t>
  </si>
  <si>
    <t>https://drive.google.com/file/d/1btTcw1cdF__GptqE8XY--3X83H9Vemg6/view?usp=drivesdk</t>
  </si>
  <si>
    <t>SEPTI RAHMADANI., A.MD., AKUN</t>
  </si>
  <si>
    <t>septi8105@gmail.com</t>
  </si>
  <si>
    <t>5882</t>
  </si>
  <si>
    <t>Starting at Thu Aug 29 2024 21:44:18 GMT-0400 (EDT)</t>
  </si>
  <si>
    <t>1WYCyp7b4greGe9FqwYOWc17UFZDSs8lP</t>
  </si>
  <si>
    <t>https://drive.google.com/file/d/1WYCyp7b4greGe9FqwYOWc17UFZDSs8lP/view?usp=drivesdk</t>
  </si>
  <si>
    <t>AGUS WAHYUDI PRASETYO, S.SI</t>
  </si>
  <si>
    <t>aguswahyudi32789@gmail.com</t>
  </si>
  <si>
    <t>5883</t>
  </si>
  <si>
    <t>1I38_OFdMYMPLbTdYyVFkMgnMKcpsX1jS</t>
  </si>
  <si>
    <t>https://drive.google.com/file/d/1I38_OFdMYMPLbTdYyVFkMgnMKcpsX1jS/view?usp=drivesdk</t>
  </si>
  <si>
    <t>Document successfully created; Document successfully merged; PDF created; !!Error Sending Emails: Service invoked too many times for one day: email.; Manually run by ecertificate75@gmail.com; Timestamp: Sep 3 2024 3:22 AM</t>
  </si>
  <si>
    <t xml:space="preserve">MUHAMMAD BUDAIRI </t>
  </si>
  <si>
    <t>hitam.hitam1974@gmail.com</t>
  </si>
  <si>
    <t>5884</t>
  </si>
  <si>
    <t>1OZL0mnf1mqvEg3vKcA70AdaRPMPkUFDE</t>
  </si>
  <si>
    <t>https://drive.google.com/file/d/1OZL0mnf1mqvEg3vKcA70AdaRPMPkUFDE/view?usp=drivesdk</t>
  </si>
  <si>
    <t>PRIYO SUDARSONO, S.Kom</t>
  </si>
  <si>
    <t>sayaminumair@gmail.com</t>
  </si>
  <si>
    <t>5885</t>
  </si>
  <si>
    <t>1XnE6EcTP1cg1Ipt2KLtyRotoi1JofaIV</t>
  </si>
  <si>
    <t>https://drive.google.com/file/d/1XnE6EcTP1cg1Ipt2KLtyRotoi1JofaIV/view?usp=drivesdk</t>
  </si>
  <si>
    <t>IDA ROCHANI</t>
  </si>
  <si>
    <t>idakaurjangmed@gmail.com</t>
  </si>
  <si>
    <t>5886</t>
  </si>
  <si>
    <t>1cvPp7fJhTKZYIvkVAHYV1t0EZtBKwTMI</t>
  </si>
  <si>
    <t>https://drive.google.com/file/d/1cvPp7fJhTKZYIvkVAHYV1t0EZtBKwTMI/view?usp=drivesdk</t>
  </si>
  <si>
    <t>ROHMAD</t>
  </si>
  <si>
    <t>rohmadt78@gmail.com</t>
  </si>
  <si>
    <t>5887</t>
  </si>
  <si>
    <t>1l4XwS9NqrzPuMDIKaK_rqk0YZDF3xyud</t>
  </si>
  <si>
    <t>https://drive.google.com/file/d/1l4XwS9NqrzPuMDIKaK_rqk0YZDF3xyud/view?usp=drivesdk</t>
  </si>
  <si>
    <t>Document successfully created; Document successfully merged; PDF created; !!Error Sending Emails: Service invoked too many times for one day: email.; Manually run by ecertificate75@gmail.com; Timestamp: Sep 3 2024 3:23 AM</t>
  </si>
  <si>
    <t xml:space="preserve">ADI SUMAWAN </t>
  </si>
  <si>
    <t>adisumawan085@gmail.com</t>
  </si>
  <si>
    <t>5888</t>
  </si>
  <si>
    <t>11Z_g4zuJcBlTBMY-XuDW77Zrefsqx_D5</t>
  </si>
  <si>
    <t>https://drive.google.com/file/d/11Z_g4zuJcBlTBMY-XuDW77Zrefsqx_D5/view?usp=drivesdk</t>
  </si>
  <si>
    <t>SANTI, S.E.</t>
  </si>
  <si>
    <t>mymail.ssair@gmail.com</t>
  </si>
  <si>
    <t>5889</t>
  </si>
  <si>
    <t>1z8Y-RkwCCFSLVK3CeO-r14YBCMJ0sXnw</t>
  </si>
  <si>
    <t>https://drive.google.com/file/d/1z8Y-RkwCCFSLVK3CeO-r14YBCMJ0sXnw/view?usp=drivesdk</t>
  </si>
  <si>
    <t xml:space="preserve">I KETUT SUDIARTA </t>
  </si>
  <si>
    <t>ketutbpkb121@gmail.com</t>
  </si>
  <si>
    <t>5890</t>
  </si>
  <si>
    <t>1nemvsIc-Nx22ds9-XZZCRVPdz-IS-V-7</t>
  </si>
  <si>
    <t>https://drive.google.com/file/d/1nemvsIc-Nx22ds9-XZZCRVPdz-IS-V-7/view?usp=drivesdk</t>
  </si>
  <si>
    <t xml:space="preserve">SRI ENDANG LASTARI </t>
  </si>
  <si>
    <t>sriendang20201@gmail.com</t>
  </si>
  <si>
    <t>5891</t>
  </si>
  <si>
    <t>1f_VvKVGs6sHmOVATfKg5Ts9SFH034cGB</t>
  </si>
  <si>
    <t>https://drive.google.com/file/d/1f_VvKVGs6sHmOVATfKg5Ts9SFH034cGB/view?usp=drivesdk</t>
  </si>
  <si>
    <t>ANDI BENBELLA SE</t>
  </si>
  <si>
    <t>abelna80@gmai.com</t>
  </si>
  <si>
    <t>5892</t>
  </si>
  <si>
    <t>1T4A7h1_CeycBX2X9Ei82RqT_7THz2SXg</t>
  </si>
  <si>
    <t>https://drive.google.com/file/d/1T4A7h1_CeycBX2X9Ei82RqT_7THz2SXg/view?usp=drivesdk</t>
  </si>
  <si>
    <t>Document successfully created; Document successfully merged; PDF created; !!Error Sending Emails: Service invoked too many times for one day: email.; Manually run by ecertificate75@gmail.com; Timestamp: Sep 3 2024 3:24 AM</t>
  </si>
  <si>
    <t>Ns.SARJAN BADAWI,S.Kep</t>
  </si>
  <si>
    <t>sarjan.siregar97@gmail.com</t>
  </si>
  <si>
    <t>5893</t>
  </si>
  <si>
    <t>1PKdGJTss1EkTnqVI6Pd9UGXlENG9cxWx</t>
  </si>
  <si>
    <t>https://drive.google.com/file/d/1PKdGJTss1EkTnqVI6Pd9UGXlENG9cxWx/view?usp=drivesdk</t>
  </si>
  <si>
    <t>CINDY NATAYA PUTRI, S.TR.AK</t>
  </si>
  <si>
    <t>cnatayaputri@gmail.com</t>
  </si>
  <si>
    <t>5894</t>
  </si>
  <si>
    <t>Starting at Thu Aug 29 2024 21:44:21 GMT-0400 (EDT)</t>
  </si>
  <si>
    <t>1uLKEH2wAVdExLsCnSWLjVJOEUrDhPywP</t>
  </si>
  <si>
    <t>https://drive.google.com/file/d/1uLKEH2wAVdExLsCnSWLjVJOEUrDhPywP/view?usp=drivesdk</t>
  </si>
  <si>
    <t>SEFRIYANTI SINTAULI SIAGIAN, A.Md</t>
  </si>
  <si>
    <t>sefriyanti08@gmail.com</t>
  </si>
  <si>
    <t>5895</t>
  </si>
  <si>
    <t>1HwYbeeAHoItWLePmlCVfkAvi--_C78kz</t>
  </si>
  <si>
    <t>https://drive.google.com/file/d/1HwYbeeAHoItWLePmlCVfkAvi--_C78kz/view?usp=drivesdk</t>
  </si>
  <si>
    <t>ELVIDA,S.Kep.,Ns</t>
  </si>
  <si>
    <t>elvida725@gmail.com</t>
  </si>
  <si>
    <t>5896</t>
  </si>
  <si>
    <t>1lI3MBd7W-PZEDWY-uI9V3NfDoXaJWyxR</t>
  </si>
  <si>
    <t>https://drive.google.com/file/d/1lI3MBd7W-PZEDWY-uI9V3NfDoXaJWyxR/view?usp=drivesdk</t>
  </si>
  <si>
    <t>SUROSO,SE</t>
  </si>
  <si>
    <t>surosopolres1969@gmail.com</t>
  </si>
  <si>
    <t>5897</t>
  </si>
  <si>
    <t>18LABJgKa2Ne7L9vjejD14gkX2cVeyksS</t>
  </si>
  <si>
    <t>https://drive.google.com/file/d/18LABJgKa2Ne7L9vjejD14gkX2cVeyksS/view?usp=drivesdk</t>
  </si>
  <si>
    <t>Document successfully created; Document successfully merged; PDF created; !!Error Sending Emails: Service invoked too many times for one day: email.; Manually run by ecertificate75@gmail.com; Timestamp: Sep 3 2024 3:25 AM</t>
  </si>
  <si>
    <t>DIAN FIRNANDA</t>
  </si>
  <si>
    <t>raisanadhira2@gmail.com</t>
  </si>
  <si>
    <t>5898</t>
  </si>
  <si>
    <t>Starting at Thu Aug 29 2024 21:44:24 GMT-0400 (EDT)</t>
  </si>
  <si>
    <t>13kHcaeqCh56JwzokBTmKek5MFpGPipWz</t>
  </si>
  <si>
    <t>https://drive.google.com/file/d/13kHcaeqCh56JwzokBTmKek5MFpGPipWz/view?usp=drivesdk</t>
  </si>
  <si>
    <t>LIS AMALIA</t>
  </si>
  <si>
    <t>lis4malia@gmail.com</t>
  </si>
  <si>
    <t>5899</t>
  </si>
  <si>
    <t>1inQ2B-uttn0kuqtBu7Q5wiXZjsdjQF5I</t>
  </si>
  <si>
    <t>https://drive.google.com/file/d/1inQ2B-uttn0kuqtBu7Q5wiXZjsdjQF5I/view?usp=drivesdk</t>
  </si>
  <si>
    <t>ROSMALENI,S.E.</t>
  </si>
  <si>
    <t>rosmalenisumsel@gmail.com</t>
  </si>
  <si>
    <t>5900</t>
  </si>
  <si>
    <t>Starting at Thu Aug 29 2024 21:44:26 GMT-0400 (EDT)</t>
  </si>
  <si>
    <t>1fTeMN662kwaACrE4gudoaiXWSlVCy5B-</t>
  </si>
  <si>
    <t>https://drive.google.com/file/d/1fTeMN662kwaACrE4gudoaiXWSlVCy5B-/view?usp=drivesdk</t>
  </si>
  <si>
    <t>dartyeartye@gmail.com</t>
  </si>
  <si>
    <t>5901</t>
  </si>
  <si>
    <t>1K-T_1bzhppJwK896mspMbkZuZ5QSXWVI</t>
  </si>
  <si>
    <t>https://drive.google.com/file/d/1K-T_1bzhppJwK896mspMbkZuZ5QSXWVI/view?usp=drivesdk</t>
  </si>
  <si>
    <t>Document successfully created; Document successfully merged; PDF created; !!Error Sending Emails: Service invoked too many times for one day: email.; Manually run by ecertificate75@gmail.com; Timestamp: Sep 3 2024 3:26 AM</t>
  </si>
  <si>
    <t xml:space="preserve">SUSIATI </t>
  </si>
  <si>
    <t>susiatisimilikiti1981@gmail.com</t>
  </si>
  <si>
    <t>5902</t>
  </si>
  <si>
    <t>1rVsJZOe6kBPc8Le4XU-lkd89mxaRSwjw</t>
  </si>
  <si>
    <t>https://drive.google.com/file/d/1rVsJZOe6kBPc8Le4XU-lkd89mxaRSwjw/view?usp=drivesdk</t>
  </si>
  <si>
    <t>WIDIYASTUTIK</t>
  </si>
  <si>
    <t>anyalir2015@gmail.com</t>
  </si>
  <si>
    <t>5903</t>
  </si>
  <si>
    <t>1DAUgqOcQnOFaXEQYWzJsOy6m7Y1jkOfG</t>
  </si>
  <si>
    <t>https://drive.google.com/file/d/1DAUgqOcQnOFaXEQYWzJsOy6m7Y1jkOfG/view?usp=drivesdk</t>
  </si>
  <si>
    <t>DAlIMUN</t>
  </si>
  <si>
    <t>dalimunmurdsidah.68@gmail.com</t>
  </si>
  <si>
    <t>5904</t>
  </si>
  <si>
    <t>1hVw-kfAOr_xTKUE2_9zO2nrh5ChSAp-X</t>
  </si>
  <si>
    <t>https://drive.google.com/file/d/1hVw-kfAOr_xTKUE2_9zO2nrh5ChSAp-X/view?usp=drivesdk</t>
  </si>
  <si>
    <t>MARSILAH</t>
  </si>
  <si>
    <t>marsilah.dipo@gmail.com</t>
  </si>
  <si>
    <t>5905</t>
  </si>
  <si>
    <t>Starting at Thu Aug 29 2024 21:44:34 GMT-0400 (EDT)</t>
  </si>
  <si>
    <t>1jngORW0T2ATXQ79vmccPqeLO7E8mMHd_</t>
  </si>
  <si>
    <t>https://drive.google.com/file/d/1jngORW0T2ATXQ79vmccPqeLO7E8mMHd_/view?usp=drivesdk</t>
  </si>
  <si>
    <t xml:space="preserve">NOVI ARDI </t>
  </si>
  <si>
    <t>noviardi.am@gmail.com</t>
  </si>
  <si>
    <t>5906</t>
  </si>
  <si>
    <t>1cvJ6p5BVwG1sW5uA_HphyDL2n6GWx8ww</t>
  </si>
  <si>
    <t>https://drive.google.com/file/d/1cvJ6p5BVwG1sW5uA_HphyDL2n6GWx8ww/view?usp=drivesdk</t>
  </si>
  <si>
    <t>Document successfully created; Document successfully merged; PDF created; !!Error Sending Emails: Service invoked too many times for one day: email.; Manually run by ecertificate75@gmail.com; Timestamp: Sep 3 2024 3:27 AM</t>
  </si>
  <si>
    <t>YETTY WULANSARI, S.E.</t>
  </si>
  <si>
    <t>yettywulansari@gmail.com</t>
  </si>
  <si>
    <t>5907</t>
  </si>
  <si>
    <t>1N59C86yRoYjzTlPEmT29ZZIqtLfM3xUN</t>
  </si>
  <si>
    <t>https://drive.google.com/file/d/1N59C86yRoYjzTlPEmT29ZZIqtLfM3xUN/view?usp=drivesdk</t>
  </si>
  <si>
    <t>SAHIRMANTO, S.H.</t>
  </si>
  <si>
    <t>sahirmanto.sh@gmail.com</t>
  </si>
  <si>
    <t>5908</t>
  </si>
  <si>
    <t>15kmg8mrEoNAkn-TV_K01-NfBPSP9Xyy6</t>
  </si>
  <si>
    <t>https://drive.google.com/file/d/15kmg8mrEoNAkn-TV_K01-NfBPSP9Xyy6/view?usp=drivesdk</t>
  </si>
  <si>
    <t>RUDI SAPUTRA, S.H.</t>
  </si>
  <si>
    <t>rudiyanma@gmail.com</t>
  </si>
  <si>
    <t>5909</t>
  </si>
  <si>
    <t>1j16f-BULYqVBi34ANgbUwPxD3hcFiatI</t>
  </si>
  <si>
    <t>https://drive.google.com/file/d/1j16f-BULYqVBi34ANgbUwPxD3hcFiatI/view?usp=drivesdk</t>
  </si>
  <si>
    <t>5910</t>
  </si>
  <si>
    <t>16reVXS2tBUdsP4ND56-geA8jpjFfpqoF</t>
  </si>
  <si>
    <t>https://drive.google.com/file/d/16reVXS2tBUdsP4ND56-geA8jpjFfpqoF/view?usp=drivesdk</t>
  </si>
  <si>
    <t>Document successfully created; Document successfully merged; PDF created; !!Error Sending Emails: Service invoked too many times for one day: email.; Manually run by ecertificate75@gmail.com; Timestamp: Sep 3 2024 3:28 AM</t>
  </si>
  <si>
    <t>MARDIANA</t>
  </si>
  <si>
    <t>namakumardiana441@gmail.com</t>
  </si>
  <si>
    <t>5911</t>
  </si>
  <si>
    <t>12TixvCevLFh61yFGl4nCtMbg-ig-qVEW</t>
  </si>
  <si>
    <t>https://drive.google.com/file/d/12TixvCevLFh61yFGl4nCtMbg-ig-qVEW/view?usp=drivesdk</t>
  </si>
  <si>
    <t>SITI MUHAYYANA</t>
  </si>
  <si>
    <t>yanthul1973@gmail.com</t>
  </si>
  <si>
    <t>5912</t>
  </si>
  <si>
    <t>1ieubctekPEo72iRi8GqmYeBN2Bxiux8C</t>
  </si>
  <si>
    <t>https://drive.google.com/file/d/1ieubctekPEo72iRi8GqmYeBN2Bxiux8C/view?usp=drivesdk</t>
  </si>
  <si>
    <t>SUTARMIN</t>
  </si>
  <si>
    <t>tarminkaranganyar63@gmail.com</t>
  </si>
  <si>
    <t>5913</t>
  </si>
  <si>
    <t>1UKUS7Z-ujVBGUHORIRFVXy55O4lU4lHX</t>
  </si>
  <si>
    <t>https://drive.google.com/file/d/1UKUS7Z-ujVBGUHORIRFVXy55O4lU4lHX/view?usp=drivesdk</t>
  </si>
  <si>
    <t>ALIN YULIASARI. S. Kom</t>
  </si>
  <si>
    <t>alin.yuliasari81@gmail.com</t>
  </si>
  <si>
    <t>5914</t>
  </si>
  <si>
    <t>1-BVejvauybY0yYvyqxDsETL1HuDsUH25</t>
  </si>
  <si>
    <t>https://drive.google.com/file/d/1-BVejvauybY0yYvyqxDsETL1HuDsUH25/view?usp=drivesdk</t>
  </si>
  <si>
    <t>Document successfully created; Document successfully merged; PDF created; !!Error Sending Emails: Service invoked too many times for one day: email.; Manually run by ecertificate75@gmail.com; Timestamp: Sep 3 2024 3:29 AM</t>
  </si>
  <si>
    <t>SRI KORPRIYANI.SH</t>
  </si>
  <si>
    <t>syakiradanissa@gmail.com</t>
  </si>
  <si>
    <t>5915</t>
  </si>
  <si>
    <t>19PzYgtwsaqiHrZ8OXHipWGmCvezDzoiZ</t>
  </si>
  <si>
    <t>https://drive.google.com/file/d/19PzYgtwsaqiHrZ8OXHipWGmCvezDzoiZ/view?usp=drivesdk</t>
  </si>
  <si>
    <t xml:space="preserve">BISMAR TOGATOROP </t>
  </si>
  <si>
    <t>sorkam111@gmail.com</t>
  </si>
  <si>
    <t>5916</t>
  </si>
  <si>
    <t>Starting at Thu Aug 29 2024 21:44:36 GMT-0400 (EDT)</t>
  </si>
  <si>
    <t>1cUc8nTcPR82mNv1LyWySi5eEy1PQ24v_</t>
  </si>
  <si>
    <t>https://drive.google.com/file/d/1cUc8nTcPR82mNv1LyWySi5eEy1PQ24v_/view?usp=drivesdk</t>
  </si>
  <si>
    <t>DWI NURHANDINI</t>
  </si>
  <si>
    <t>hdini2912@gmail.com</t>
  </si>
  <si>
    <t>5917</t>
  </si>
  <si>
    <t>1WuGojS1twTO49XOIq4cKCj0iLcnwN6qd</t>
  </si>
  <si>
    <t>https://drive.google.com/file/d/1WuGojS1twTO49XOIq4cKCj0iLcnwN6qd/view?usp=drivesdk</t>
  </si>
  <si>
    <t>BUSMAWATI</t>
  </si>
  <si>
    <t>busmawatiattalla@gmail.com</t>
  </si>
  <si>
    <t>5918</t>
  </si>
  <si>
    <t>11fjm1uRxboJCWFzvBihkAqr4Z70NhrIN</t>
  </si>
  <si>
    <t>https://drive.google.com/file/d/11fjm1uRxboJCWFzvBihkAqr4Z70NhrIN/view?usp=drivesdk</t>
  </si>
  <si>
    <t>Document successfully created; Document successfully merged; PDF created; !!Error Sending Emails: Service invoked too many times for one day: email.; Manually run by ecertificate75@gmail.com; Timestamp: Sep 3 2024 3:30 AM</t>
  </si>
  <si>
    <t>LIA DAHLIYANI</t>
  </si>
  <si>
    <t>lialee2483@gmail.com</t>
  </si>
  <si>
    <t>5919</t>
  </si>
  <si>
    <t>1QfoEfGDDL6LbN3scAE7fgD1-36qb810g</t>
  </si>
  <si>
    <t>https://drive.google.com/file/d/1QfoEfGDDL6LbN3scAE7fgD1-36qb810g/view?usp=drivesdk</t>
  </si>
  <si>
    <t>ARRFNI</t>
  </si>
  <si>
    <t>arfanifani367@gmail.com</t>
  </si>
  <si>
    <t>5920</t>
  </si>
  <si>
    <t>1-f1g2vzCXn_Fhb7mHIhI-WlayrY2uwp3</t>
  </si>
  <si>
    <t>https://drive.google.com/file/d/1-f1g2vzCXn_Fhb7mHIhI-WlayrY2uwp3/view?usp=drivesdk</t>
  </si>
  <si>
    <t>JOKO TRIYONO</t>
  </si>
  <si>
    <t>joko.conan@gmail.com</t>
  </si>
  <si>
    <t>5921</t>
  </si>
  <si>
    <t>Starting at Thu Aug 29 2024 21:44:38 GMT-0400 (EDT)</t>
  </si>
  <si>
    <t>1lNpIEykFISRb4SZJZpIOs0akbUUuWfS8</t>
  </si>
  <si>
    <t>https://drive.google.com/file/d/1lNpIEykFISRb4SZJZpIOs0akbUUuWfS8/view?usp=drivesdk</t>
  </si>
  <si>
    <t>EKA AGUSTINA</t>
  </si>
  <si>
    <t>eka.agustina060877@gmail.com</t>
  </si>
  <si>
    <t>5922</t>
  </si>
  <si>
    <t>1eNgRDcfegOfhPwmDvxgPCUpMAT1nH2Lq</t>
  </si>
  <si>
    <t>https://drive.google.com/file/d/1eNgRDcfegOfhPwmDvxgPCUpMAT1nH2Lq/view?usp=drivesdk</t>
  </si>
  <si>
    <t>ANDI PUJI HARTO ,S.I.Kom</t>
  </si>
  <si>
    <t>masandibensat@gmail.com</t>
  </si>
  <si>
    <t>5923</t>
  </si>
  <si>
    <t>https://drive.google.com/file/d/13Nb8iWiJh5wsOltVe2RAWV5_qOWg93AJ/view?usp=drivesdk</t>
  </si>
  <si>
    <t>13Nb8iWiJh5wsOltVe2RAWV5_qOWg93AJ</t>
  </si>
  <si>
    <t>1HMdw7LipPs0ACNwAkACNl14_gzIuQusJ</t>
  </si>
  <si>
    <t>https://drive.google.com/file/d/1HMdw7LipPs0ACNwAkACNl14_gzIuQusJ/view?usp=drivesdk</t>
  </si>
  <si>
    <t>BARIYAH</t>
  </si>
  <si>
    <t>bariyah0001@gmail.com</t>
  </si>
  <si>
    <t>5924</t>
  </si>
  <si>
    <t>https://drive.google.com/file/d/1LQo2ttJqYJ7_ynXKAX0TwK6wiWNxlHhD/view?usp=drivesdk</t>
  </si>
  <si>
    <t>1LQo2ttJqYJ7_ynXKAX0TwK6wiWNxlHhD</t>
  </si>
  <si>
    <t>1zYMNFJoC3sxew23TvyMHxBQ0y598xece</t>
  </si>
  <si>
    <t>https://drive.google.com/file/d/1zYMNFJoC3sxew23TvyMHxBQ0y598xece/view?usp=drivesdk</t>
  </si>
  <si>
    <t>Document successfully created; Document successfully merged; PDF created; !!Error Sending Emails: Service invoked too many times for one day: email.; Manually run by ecertificate75@gmail.com; Timestamp: Sep 3 2024 3:31 AM</t>
  </si>
  <si>
    <t>RIKA HARTATI</t>
  </si>
  <si>
    <t>hartatir51@gmail.com</t>
  </si>
  <si>
    <t>5925</t>
  </si>
  <si>
    <t>https://drive.google.com/file/d/1l6aNkHaUo7s8U5OYpggobdVhXsM4s18h/view?usp=drivesdk</t>
  </si>
  <si>
    <t>Document successfully created; Document successfully merged; PDF created; !!Error Sending Emails: Service invoked too many times for one day: email.; Run via form trigger as ecertificate75@gmail.com; Timestamp: Aug 29 2024 9:45 PM</t>
  </si>
  <si>
    <t>1l6aNkHaUo7s8U5OYpggobdVhXsM4s18h</t>
  </si>
  <si>
    <t>1KluJgiJJ-Abvqdz8cbMgFcnuPwq08bRo</t>
  </si>
  <si>
    <t>https://drive.google.com/file/d/1KluJgiJJ-Abvqdz8cbMgFcnuPwq08bRo/view?usp=drivesdk</t>
  </si>
  <si>
    <t>UGAN FADLI</t>
  </si>
  <si>
    <t>uganfadli6711@gmail.co</t>
  </si>
  <si>
    <t>5926</t>
  </si>
  <si>
    <t>https://drive.google.com/file/d/1AkbecOk6QQNJSYs4mGZfeaSFQHOmk9_o/view?usp=drivesdk</t>
  </si>
  <si>
    <t>1AkbecOk6QQNJSYs4mGZfeaSFQHOmk9_o</t>
  </si>
  <si>
    <t>1utBDV1aN0fGX1hsvFzHJKk4KLyQXIBwj</t>
  </si>
  <si>
    <t>https://drive.google.com/file/d/1utBDV1aN0fGX1hsvFzHJKk4KLyQXIBwj/view?usp=drivesdk</t>
  </si>
  <si>
    <t xml:space="preserve">Akhdiad Rizki Setiawan </t>
  </si>
  <si>
    <t>riskyriskki2023@gmail.com</t>
  </si>
  <si>
    <t>5927</t>
  </si>
  <si>
    <t>https://drive.google.com/file/d/1ICXm2PZjWLSU4VgKLru9d9ivFH_vBoOS/view?usp=drivesdk</t>
  </si>
  <si>
    <t>1ICXm2PZjWLSU4VgKLru9d9ivFH_vBoOS</t>
  </si>
  <si>
    <t>1NbfZPWMiwtipcu3H0SwIbHmNzqw5zhiA</t>
  </si>
  <si>
    <t>https://drive.google.com/file/d/1NbfZPWMiwtipcu3H0SwIbHmNzqw5zhiA/view?usp=drivesdk</t>
  </si>
  <si>
    <t>PARIDA EVA NOERMINCE NAINGGOLAN, S.PD</t>
  </si>
  <si>
    <t>paridaevanoermince@gmail.com</t>
  </si>
  <si>
    <t>5928</t>
  </si>
  <si>
    <t>https://drive.google.com/file/d/1MRPsa2QODEwp1d10-u56eBOlPo2Xl8_-/view?usp=drivesdk</t>
  </si>
  <si>
    <t>1MRPsa2QODEwp1d10-u56eBOlPo2Xl8_-</t>
  </si>
  <si>
    <t>1ZNaC6TyY1fu4ahMymZUFxs29CDnobDVv</t>
  </si>
  <si>
    <t>https://drive.google.com/file/d/1ZNaC6TyY1fu4ahMymZUFxs29CDnobDVv/view?usp=drivesdk</t>
  </si>
  <si>
    <t>Document successfully created; Document successfully merged; PDF created; !!Error Sending Emails: Service invoked too many times for one day: email.; Manually run by ecertificate75@gmail.com; Timestamp: Sep 3 2024 3:32 AM</t>
  </si>
  <si>
    <t>AGUS SUHARYADI, A.md</t>
  </si>
  <si>
    <t>agusfaskon1967@gmail.com</t>
  </si>
  <si>
    <t>5929</t>
  </si>
  <si>
    <t>https://drive.google.com/file/d/1aLOMLvoWUTP1DI26e3sInUjqyvDJBVDQ/view?usp=drivesdk</t>
  </si>
  <si>
    <t>1aLOMLvoWUTP1DI26e3sInUjqyvDJBVDQ</t>
  </si>
  <si>
    <t>1p4FUucYpSRwq8hgGbJKAau8x6IJQ1FZn</t>
  </si>
  <si>
    <t>https://drive.google.com/file/d/1p4FUucYpSRwq8hgGbJKAau8x6IJQ1FZn/view?usp=drivesdk</t>
  </si>
  <si>
    <t>ENDAH AULIA NOVITA, A.Md.Kep</t>
  </si>
  <si>
    <t>endah1994.ea@gmail.com</t>
  </si>
  <si>
    <t>5930</t>
  </si>
  <si>
    <t>https://drive.google.com/file/d/1cQ0lcyjAzYg7ZtfGNvyEcxCOcG5-jUdo/view?usp=drivesdk</t>
  </si>
  <si>
    <t>1cQ0lcyjAzYg7ZtfGNvyEcxCOcG5-jUdo</t>
  </si>
  <si>
    <t>1jOO6wVY7Rd95usePAK0QIc_cexi5oYok</t>
  </si>
  <si>
    <t>https://drive.google.com/file/d/1jOO6wVY7Rd95usePAK0QIc_cexi5oYok/view?usp=drivesdk</t>
  </si>
  <si>
    <t>NANIEK SETYANINGRUM</t>
  </si>
  <si>
    <t>nanieksetya74@gmail.com</t>
  </si>
  <si>
    <t>5931</t>
  </si>
  <si>
    <t>Starting at Thu Aug 29 2024 21:44:47 GMT-0400 (EDT)</t>
  </si>
  <si>
    <t>1jKRqjYr51KIPleOjhXAUkztzZeJr1bh2</t>
  </si>
  <si>
    <t>https://drive.google.com/file/d/1jKRqjYr51KIPleOjhXAUkztzZeJr1bh2/view?usp=drivesdk</t>
  </si>
  <si>
    <t>NUR AFNIASIH</t>
  </si>
  <si>
    <t>nurafniasih1@gmail.com</t>
  </si>
  <si>
    <t>5932</t>
  </si>
  <si>
    <t>14kNUVnDtOMvgFs9jXEiTujOcLtVbKhTu</t>
  </si>
  <si>
    <t>https://drive.google.com/file/d/14kNUVnDtOMvgFs9jXEiTujOcLtVbKhTu/view?usp=drivesdk</t>
  </si>
  <si>
    <t>Document successfully created; Document successfully merged; PDF created; !!Error Sending Emails: Service invoked too many times for one day: email.; Manually run by ecertificate75@gmail.com; Timestamp: Sep 3 2024 3:33 AM</t>
  </si>
  <si>
    <t>mi563531@gmail.com</t>
  </si>
  <si>
    <t>5933</t>
  </si>
  <si>
    <t>https://drive.google.com/file/d/1UMPzB_QWrQZVoSyCdWYOZ1tgQT4xqvcc/view?usp=drivesdk</t>
  </si>
  <si>
    <t>1UMPzB_QWrQZVoSyCdWYOZ1tgQT4xqvcc</t>
  </si>
  <si>
    <t>1-f10tc99_17o1XseVIvnnWUP_ysM-5_H</t>
  </si>
  <si>
    <t>https://drive.google.com/file/d/1-f10tc99_17o1XseVIvnnWUP_ysM-5_H/view?usp=drivesdk</t>
  </si>
  <si>
    <t>SUHARLIN, S.E.</t>
  </si>
  <si>
    <t>sikeu.tulungagung@gmail.com</t>
  </si>
  <si>
    <t>5934</t>
  </si>
  <si>
    <t>https://drive.google.com/file/d/1FU4MVbbyrEItVnVdcW3G_HTFQUDGijEy/view?usp=drivesdk</t>
  </si>
  <si>
    <t>1FU4MVbbyrEItVnVdcW3G_HTFQUDGijEy</t>
  </si>
  <si>
    <t>1SY5rT0JADNEGBeouFFzziYTUUNx1rgvq</t>
  </si>
  <si>
    <t>https://drive.google.com/file/d/1SY5rT0JADNEGBeouFFzziYTUUNx1rgvq/view?usp=drivesdk</t>
  </si>
  <si>
    <t>BALOK MUSIONO</t>
  </si>
  <si>
    <t>balokleok@gmail.com</t>
  </si>
  <si>
    <t>5935</t>
  </si>
  <si>
    <t>https://drive.google.com/file/d/14rTdWGf4IK537z5rmLl4W1VMO5qGmT1w/view?usp=drivesdk</t>
  </si>
  <si>
    <t>14rTdWGf4IK537z5rmLl4W1VMO5qGmT1w</t>
  </si>
  <si>
    <t>1eOzItbweKBR3PS01i5qSvED_q0phb3Y_</t>
  </si>
  <si>
    <t>https://drive.google.com/file/d/1eOzItbweKBR3PS01i5qSvED_q0phb3Y_/view?usp=drivesdk</t>
  </si>
  <si>
    <t>M IDRIS</t>
  </si>
  <si>
    <t>idrisidris101975@gmail.com</t>
  </si>
  <si>
    <t>5936</t>
  </si>
  <si>
    <t>Starting at Thu Aug 29 2024 21:44:52 GMT-0400 (EDT)</t>
  </si>
  <si>
    <t>1sVZ7nIynT7Kmr5X-VcpTeT0Il2jGT1fU</t>
  </si>
  <si>
    <t>https://drive.google.com/file/d/1sVZ7nIynT7Kmr5X-VcpTeT0Il2jGT1fU/view?usp=drivesdk</t>
  </si>
  <si>
    <t>SITILESTARI</t>
  </si>
  <si>
    <t>sitilestari123407@gmqil.com</t>
  </si>
  <si>
    <t>5937</t>
  </si>
  <si>
    <t>1BiOfXOeBjzVHjDVLC0EyH4Upj5V-ygp8</t>
  </si>
  <si>
    <t>https://drive.google.com/file/d/1BiOfXOeBjzVHjDVLC0EyH4Upj5V-ygp8/view?usp=drivesdk</t>
  </si>
  <si>
    <t>Document successfully created; Document successfully merged; PDF created; !!Error Sending Emails: Service invoked too many times for one day: email.; Manually run by ecertificate75@gmail.com; Timestamp: Sep 3 2024 3:34 AM</t>
  </si>
  <si>
    <t>Andoko Suryo Cahyono,A.Md.Kep.</t>
  </si>
  <si>
    <t>andokosuryocahyono00@gmail.com</t>
  </si>
  <si>
    <t>5938</t>
  </si>
  <si>
    <t>1ClKaL4kGjaxgaTPPinYyJfLBRU5--1bw</t>
  </si>
  <si>
    <t>https://drive.google.com/file/d/1ClKaL4kGjaxgaTPPinYyJfLBRU5--1bw/view?usp=drivesdk</t>
  </si>
  <si>
    <t>Elizabet Rini Purnamawati</t>
  </si>
  <si>
    <t>Rinipurnamawati276@gmail.com</t>
  </si>
  <si>
    <t>5939</t>
  </si>
  <si>
    <t>1K_1QAphjYpguw1pKtgflzizT4-tSlUpu</t>
  </si>
  <si>
    <t>https://drive.google.com/file/d/1K_1QAphjYpguw1pKtgflzizT4-tSlUpu/view?usp=drivesdk</t>
  </si>
  <si>
    <t>TRI NUR KHASANAH</t>
  </si>
  <si>
    <t>threenoer6@gmail.com</t>
  </si>
  <si>
    <t>5940</t>
  </si>
  <si>
    <t>1zkKE_T7AEu0tPDJDRUynvPrVp1CjL38I</t>
  </si>
  <si>
    <t>https://drive.google.com/file/d/1zkKE_T7AEu0tPDJDRUynvPrVp1CjL38I/view?usp=drivesdk</t>
  </si>
  <si>
    <t>MARZIAH</t>
  </si>
  <si>
    <t>mard71362@gmail.com</t>
  </si>
  <si>
    <t>5941</t>
  </si>
  <si>
    <t>https://drive.google.com/file/d/1HZjvzg9x4umS4kuqBbPB1UgB4rPPs840/view?usp=drivesdk</t>
  </si>
  <si>
    <t>1HZjvzg9x4umS4kuqBbPB1UgB4rPPs840</t>
  </si>
  <si>
    <t>1j79iVTUnAb2uA0rx4Uh5LP_ahRLnIhRR</t>
  </si>
  <si>
    <t>https://drive.google.com/file/d/1j79iVTUnAb2uA0rx4Uh5LP_ahRLnIhRR/view?usp=drivesdk</t>
  </si>
  <si>
    <t>Document successfully created; Document successfully merged; PDF created; !!Error Sending Emails: Service invoked too many times for one day: email.; Manually run by ecertificate75@gmail.com; Timestamp: Sep 3 2024 3:35 AM</t>
  </si>
  <si>
    <t>RATUM, SE</t>
  </si>
  <si>
    <t>ratumicad@gmail.com</t>
  </si>
  <si>
    <t>5942</t>
  </si>
  <si>
    <t>https://drive.google.com/file/d/1FUkBcGbJGf_OgS7zU8ceApKNVsvoyCgv/view?usp=drivesdk</t>
  </si>
  <si>
    <t>1FUkBcGbJGf_OgS7zU8ceApKNVsvoyCgv</t>
  </si>
  <si>
    <t>1f9yli-vxP8YoZaeezmcO4kzBh-Jwu9mw</t>
  </si>
  <si>
    <t>https://drive.google.com/file/d/1f9yli-vxP8YoZaeezmcO4kzBh-Jwu9mw/view?usp=drivesdk</t>
  </si>
  <si>
    <t>FERINA, S.E</t>
  </si>
  <si>
    <t>umaiferina@gmail.com</t>
  </si>
  <si>
    <t>5943</t>
  </si>
  <si>
    <t>https://drive.google.com/file/d/1DxhX9h5yib8XrDJhEr0xVzcwwDtu29sK/view?usp=drivesdk</t>
  </si>
  <si>
    <t>1DxhX9h5yib8XrDJhEr0xVzcwwDtu29sK</t>
  </si>
  <si>
    <t>1HVGawcBEtm_xBdVJbFKqFUjzblsg1Jp1</t>
  </si>
  <si>
    <t>https://drive.google.com/file/d/1HVGawcBEtm_xBdVJbFKqFUjzblsg1Jp1/view?usp=drivesdk</t>
  </si>
  <si>
    <t>MARIATI</t>
  </si>
  <si>
    <t>mariatihardjo@gmail.com</t>
  </si>
  <si>
    <t>5944</t>
  </si>
  <si>
    <t>https://drive.google.com/file/d/1Jp6uIWf8tRxj2SULX9aRisObZTV7I2ID/view?usp=drivesdk</t>
  </si>
  <si>
    <t>1Jp6uIWf8tRxj2SULX9aRisObZTV7I2ID</t>
  </si>
  <si>
    <t>1kHusqef-wIiDiOAI2dUzg-XdsTTV423T</t>
  </si>
  <si>
    <t>https://drive.google.com/file/d/1kHusqef-wIiDiOAI2dUzg-XdsTTV423T/view?usp=drivesdk</t>
  </si>
  <si>
    <t>SANTI SUSANTI, S.Kep.Ners, MKM</t>
  </si>
  <si>
    <t>jimpong.santi@gmail.com</t>
  </si>
  <si>
    <t>5945</t>
  </si>
  <si>
    <t>https://drive.google.com/file/d/1aOc_H8yflvLlIfJiG0fkBeeM5H_7mYvH/view?usp=drivesdk</t>
  </si>
  <si>
    <t>1aOc_H8yflvLlIfJiG0fkBeeM5H_7mYvH</t>
  </si>
  <si>
    <t>1yOZ6WFIyiLbVSfBaXjocy24hMg5mRf_0</t>
  </si>
  <si>
    <t>https://drive.google.com/file/d/1yOZ6WFIyiLbVSfBaXjocy24hMg5mRf_0/view?usp=drivesdk</t>
  </si>
  <si>
    <t>suharyanti1701@gmail.com</t>
  </si>
  <si>
    <t>5946</t>
  </si>
  <si>
    <t>https://drive.google.com/file/d/16HGkpWAlYkkpVSSbGmdyxHKkeENfygMT/view?usp=drivesdk</t>
  </si>
  <si>
    <t>16HGkpWAlYkkpVSSbGmdyxHKkeENfygMT</t>
  </si>
  <si>
    <t>1DMb4orgY6-jusroIpRX5EZtdGLyeEKoi</t>
  </si>
  <si>
    <t>https://drive.google.com/file/d/1DMb4orgY6-jusroIpRX5EZtdGLyeEKoi/view?usp=drivesdk</t>
  </si>
  <si>
    <t>Document successfully created; Document successfully merged; PDF created; !!Error Sending Emails: Service invoked too many times for one day: email.; Manually run by ecertificate75@gmail.com; Timestamp: Sep 3 2024 3:36 AM</t>
  </si>
  <si>
    <t>RAHMI,S.FARM</t>
  </si>
  <si>
    <t>rahmibrimob1981@gmail.com</t>
  </si>
  <si>
    <t>5947</t>
  </si>
  <si>
    <t>https://drive.google.com/file/d/1ISU_Omawv19Q6z6PNBfatPn2aZdH2I2j/view?usp=drivesdk</t>
  </si>
  <si>
    <t>1ISU_Omawv19Q6z6PNBfatPn2aZdH2I2j</t>
  </si>
  <si>
    <t>1R1wMTrEnnpwUYEZlcC847cHRxrYCRDe-</t>
  </si>
  <si>
    <t>https://drive.google.com/file/d/1R1wMTrEnnpwUYEZlcC847cHRxrYCRDe-/view?usp=drivesdk</t>
  </si>
  <si>
    <t>DELIMA MAHOMBAR</t>
  </si>
  <si>
    <t>delimamahombar123@gmail.com</t>
  </si>
  <si>
    <t>5948</t>
  </si>
  <si>
    <t>https://drive.google.com/file/d/1grlMC94KFiQ0JGp_uim3pMAEMX-MwRpg/view?usp=drivesdk</t>
  </si>
  <si>
    <t>1grlMC94KFiQ0JGp_uim3pMAEMX-MwRpg</t>
  </si>
  <si>
    <t>1-tLmCPKUOs5smd8IgtxwhC_byrWfC_cu</t>
  </si>
  <si>
    <t>https://drive.google.com/file/d/1-tLmCPKUOs5smd8IgtxwhC_byrWfC_cu/view?usp=drivesdk</t>
  </si>
  <si>
    <t>HENDI APRIANTO, Skep</t>
  </si>
  <si>
    <t>hendiapri1979@gmail.com</t>
  </si>
  <si>
    <t>5949</t>
  </si>
  <si>
    <t>https://drive.google.com/file/d/1tyDzE74gzeVF2fAqIjPj9zIt0RmrdHXk/view?usp=drivesdk</t>
  </si>
  <si>
    <t>1tyDzE74gzeVF2fAqIjPj9zIt0RmrdHXk</t>
  </si>
  <si>
    <t>1c9LkXsvbwLBh_-qgr3S4APLeuHo10gSS</t>
  </si>
  <si>
    <t>https://drive.google.com/file/d/1c9LkXsvbwLBh_-qgr3S4APLeuHo10gSS/view?usp=drivesdk</t>
  </si>
  <si>
    <t>SELVIYANI, A.Md.Kep</t>
  </si>
  <si>
    <t>selvi6257@gmail.com</t>
  </si>
  <si>
    <t>5950</t>
  </si>
  <si>
    <t>Starting at Thu Aug 29 2024 21:45:01 GMT-0400 (EDT)</t>
  </si>
  <si>
    <t>1X4ZfcHyF4U_BlwpAWVfmj7zpeD8Fz6wT</t>
  </si>
  <si>
    <t>https://drive.google.com/file/d/1X4ZfcHyF4U_BlwpAWVfmj7zpeD8Fz6wT/view?usp=drivesdk</t>
  </si>
  <si>
    <t>SUNARNO</t>
  </si>
  <si>
    <t>nanodepsan854@gmail.com</t>
  </si>
  <si>
    <t>5951</t>
  </si>
  <si>
    <t>1BQbVO5lfAW8eIuKV4QHOqoZH1XLOb1uW</t>
  </si>
  <si>
    <t>https://drive.google.com/file/d/1BQbVO5lfAW8eIuKV4QHOqoZH1XLOb1uW/view?usp=drivesdk</t>
  </si>
  <si>
    <t xml:space="preserve">SUYATNO </t>
  </si>
  <si>
    <t>suyatno741@gmail.com</t>
  </si>
  <si>
    <t>5952</t>
  </si>
  <si>
    <t>1qQwfmuy3xFzj1-OtLNJNL8L3KB2XX4K3</t>
  </si>
  <si>
    <t>https://drive.google.com/file/d/1qQwfmuy3xFzj1-OtLNJNL8L3KB2XX4K3/view?usp=drivesdk</t>
  </si>
  <si>
    <t>Document successfully created; Document successfully merged; PDF created; !!Error Sending Emails: Service invoked too many times for one day: email.; Manually run by ecertificate75@gmail.com; Timestamp: Sep 3 2024 3:37 AM</t>
  </si>
  <si>
    <t>SALBIYA</t>
  </si>
  <si>
    <t>salbiyah828@gmail.com</t>
  </si>
  <si>
    <t>5953</t>
  </si>
  <si>
    <t>1QiTvdOVLrxlupP2lsO7X7lLRDHkATCnX</t>
  </si>
  <si>
    <t>https://drive.google.com/file/d/1QiTvdOVLrxlupP2lsO7X7lLRDHkATCnX/view?usp=drivesdk</t>
  </si>
  <si>
    <t xml:space="preserve">ZEKIASTI MOKODOMPIS </t>
  </si>
  <si>
    <t>zeki.asti@gmail.com</t>
  </si>
  <si>
    <t>5954</t>
  </si>
  <si>
    <t>https://drive.google.com/file/d/1YeCMp3CphW-K1gocEisjOLMoYWo8v02v/view?usp=drivesdk</t>
  </si>
  <si>
    <t>1YeCMp3CphW-K1gocEisjOLMoYWo8v02v</t>
  </si>
  <si>
    <t>1EBqMmFL-42Q3HRf1FbWKvf8EfgBfKn6F</t>
  </si>
  <si>
    <t>https://drive.google.com/file/d/1EBqMmFL-42Q3HRf1FbWKvf8EfgBfKn6F/view?usp=drivesdk</t>
  </si>
  <si>
    <t>DIAN APRILLIA</t>
  </si>
  <si>
    <t>dianaprillia22@gmail.com</t>
  </si>
  <si>
    <t>5955</t>
  </si>
  <si>
    <t>https://drive.google.com/file/d/1ePB1oeSBOG7FioN3eebogdbnWvZX_Dku/view?usp=drivesdk</t>
  </si>
  <si>
    <t>1ePB1oeSBOG7FioN3eebogdbnWvZX_Dku</t>
  </si>
  <si>
    <t>1XH_yQK8eWn3vESr6SECFdKpyieUuS02d</t>
  </si>
  <si>
    <t>https://drive.google.com/file/d/1XH_yQK8eWn3vESr6SECFdKpyieUuS02d/view?usp=drivesdk</t>
  </si>
  <si>
    <t>Ns. ADIB HUDA MUJTABA, S.Kep.</t>
  </si>
  <si>
    <t>adibhudamujtaba.poldajateng@gmail.com</t>
  </si>
  <si>
    <t>5956</t>
  </si>
  <si>
    <t>Starting at Thu Aug 29 2024 21:45:03 GMT-0400 (EDT)</t>
  </si>
  <si>
    <t>1NSlwRBQt8J9pXolELF82NOcAaOK5EQAd</t>
  </si>
  <si>
    <t>https://drive.google.com/file/d/1NSlwRBQt8J9pXolELF82NOcAaOK5EQAd/view?usp=drivesdk</t>
  </si>
  <si>
    <t>Document successfully created; Document successfully merged; PDF created; !!Error Sending Emails: Service invoked too many times for one day: email.; Manually run by ecertificate75@gmail.com; Timestamp: Sep 3 2024 3:38 AM</t>
  </si>
  <si>
    <t>AMEILIA AYUNING KUNTYASSARI, S.Psi., M.H.</t>
  </si>
  <si>
    <t>arcellozayna21@gmail.com</t>
  </si>
  <si>
    <t>5957</t>
  </si>
  <si>
    <t>1HMt7mSJTopS-ymY0sNWbd2VkyOp-f83Q</t>
  </si>
  <si>
    <t>https://drive.google.com/file/d/1HMt7mSJTopS-ymY0sNWbd2VkyOp-f83Q/view?usp=drivesdk</t>
  </si>
  <si>
    <t xml:space="preserve">ABUBAKAR, S.P. </t>
  </si>
  <si>
    <t>abubakar74spn@gmail.com</t>
  </si>
  <si>
    <t>5958</t>
  </si>
  <si>
    <t>1plaHUewJOw7V41LFNKk1cOS8_rIeBXfC</t>
  </si>
  <si>
    <t>https://drive.google.com/file/d/1plaHUewJOw7V41LFNKk1cOS8_rIeBXfC/view?usp=drivesdk</t>
  </si>
  <si>
    <t xml:space="preserve">INDRI CAHYANI, SE </t>
  </si>
  <si>
    <t>indrialkez@gmail.com</t>
  </si>
  <si>
    <t>5959</t>
  </si>
  <si>
    <t>1Zobj_jHFaQNfZRVghWOtUDEAyVt8sMdW</t>
  </si>
  <si>
    <t>https://drive.google.com/file/d/1Zobj_jHFaQNfZRVghWOtUDEAyVt8sMdW/view?usp=drivesdk</t>
  </si>
  <si>
    <t>ANI PRASETYOWATI</t>
  </si>
  <si>
    <t>aniprasetyo1967@gmail.com</t>
  </si>
  <si>
    <t>5960</t>
  </si>
  <si>
    <t>https://drive.google.com/file/d/1vk_hCgyDnkvK0llPYGJrPkaWt0FCbO86/view?usp=drivesdk</t>
  </si>
  <si>
    <t>1vk_hCgyDnkvK0llPYGJrPkaWt0FCbO86</t>
  </si>
  <si>
    <t>1BCk-CWyuS-QO157Rz-K7XzemDBHsMgqx</t>
  </si>
  <si>
    <t>https://drive.google.com/file/d/1BCk-CWyuS-QO157Rz-K7XzemDBHsMgqx/view?usp=drivesdk</t>
  </si>
  <si>
    <t>Document successfully created; Document successfully merged; PDF created; !!Error Sending Emails: Service invoked too many times for one day: email.; Manually run by ecertificate75@gmail.com; Timestamp: Sep 3 2024 3:39 AM</t>
  </si>
  <si>
    <t>MAYA KURNIA,S.KEP.,NERS</t>
  </si>
  <si>
    <t>mayakurniakurnia@gmail.com</t>
  </si>
  <si>
    <t>5961</t>
  </si>
  <si>
    <t>https://drive.google.com/file/d/1q_qu54TmLeT-7fJEikDgVxyt_ryMXDQD/view?usp=drivesdk</t>
  </si>
  <si>
    <t>1q_qu54TmLeT-7fJEikDgVxyt_ryMXDQD</t>
  </si>
  <si>
    <t>1ZQDgb_rjljKbghFRhpHv2S7rJRd1yC0Q</t>
  </si>
  <si>
    <t>https://drive.google.com/file/d/1ZQDgb_rjljKbghFRhpHv2S7rJRd1yC0Q/view?usp=drivesdk</t>
  </si>
  <si>
    <t>URAI RATNA KEMALA</t>
  </si>
  <si>
    <t>Urayratna80@gmail.com</t>
  </si>
  <si>
    <t>5962</t>
  </si>
  <si>
    <t>Starting at Thu Aug 29 2024 21:45:07 GMT-0400 (EDT)</t>
  </si>
  <si>
    <t>142mlkvbbkSsTmcQoCwbkcW7qFN1TAbSF</t>
  </si>
  <si>
    <t>https://drive.google.com/file/d/142mlkvbbkSsTmcQoCwbkcW7qFN1TAbSF/view?usp=drivesdk</t>
  </si>
  <si>
    <t>RIZKI SETYA NINGSIH, S.E.</t>
  </si>
  <si>
    <t>rizkisetya96@gmail.com</t>
  </si>
  <si>
    <t>5963</t>
  </si>
  <si>
    <t>11vq2299CFe9_xXxUJg6gWnDtX4Xjl5_X</t>
  </si>
  <si>
    <t>https://drive.google.com/file/d/11vq2299CFe9_xXxUJg6gWnDtX4Xjl5_X/view?usp=drivesdk</t>
  </si>
  <si>
    <t>SRI HARIATI</t>
  </si>
  <si>
    <t>fellicia2212cinta@gmail.com</t>
  </si>
  <si>
    <t>5964</t>
  </si>
  <si>
    <t>19au3yDWtYRE9H36-vgxQd7lDT7ruLFfI</t>
  </si>
  <si>
    <t>https://drive.google.com/file/d/19au3yDWtYRE9H36-vgxQd7lDT7ruLFfI/view?usp=drivesdk</t>
  </si>
  <si>
    <t>mulyadispn38@gmail.com</t>
  </si>
  <si>
    <t>5965</t>
  </si>
  <si>
    <t>https://drive.google.com/file/d/1xEXRXalxaGe0dnIYgDFnwFJGfR0NJSwu/view?usp=drivesdk</t>
  </si>
  <si>
    <t>1xEXRXalxaGe0dnIYgDFnwFJGfR0NJSwu</t>
  </si>
  <si>
    <t>1LqMToYeFPL7ZVyKiOwEyJ_Q3Mw7HHPxw</t>
  </si>
  <si>
    <t>https://drive.google.com/file/d/1LqMToYeFPL7ZVyKiOwEyJ_Q3Mw7HHPxw/view?usp=drivesdk</t>
  </si>
  <si>
    <t>Document successfully created; Document successfully merged; PDF created; !!Error Sending Emails: Service invoked too many times for one day: email.; Manually run by ecertificate75@gmail.com; Timestamp: Sep 3 2024 3:40 AM</t>
  </si>
  <si>
    <t>YUSMIATI</t>
  </si>
  <si>
    <t>polsekbayunglencir93@gmail.com</t>
  </si>
  <si>
    <t>5966</t>
  </si>
  <si>
    <t>https://drive.google.com/file/d/1dWpIrcTXKa3BW8lUTIy8njGFmvtUskl6/view?usp=drivesdk</t>
  </si>
  <si>
    <t>1dWpIrcTXKa3BW8lUTIy8njGFmvtUskl6</t>
  </si>
  <si>
    <t>124urw0MrVOd98rNnVu5pRKZUuKwMbTir</t>
  </si>
  <si>
    <t>https://drive.google.com/file/d/124urw0MrVOd98rNnVu5pRKZUuKwMbTir/view?usp=drivesdk</t>
  </si>
  <si>
    <t>I GUSTI NGURAH ARTA KUSUMA</t>
  </si>
  <si>
    <t>nguraharta61071@gmail.com</t>
  </si>
  <si>
    <t>5967</t>
  </si>
  <si>
    <t>https://drive.google.com/file/d/13Ib7ppkEvw34DPFynwoNoYxUUeyVoBfr/view?usp=drivesdk</t>
  </si>
  <si>
    <t>13Ib7ppkEvw34DPFynwoNoYxUUeyVoBfr</t>
  </si>
  <si>
    <t>1_ZzKS0IgE1ETOyxsu1k4asclOAjOLBhg</t>
  </si>
  <si>
    <t>https://drive.google.com/file/d/1_ZzKS0IgE1ETOyxsu1k4asclOAjOLBhg/view?usp=drivesdk</t>
  </si>
  <si>
    <t>dr. IRENE PERMATA ULI LINGGA</t>
  </si>
  <si>
    <t>irenlinks@gmail.com</t>
  </si>
  <si>
    <t>5968</t>
  </si>
  <si>
    <t>Starting at Thu Aug 29 2024 21:45:09 GMT-0400 (EDT)</t>
  </si>
  <si>
    <t>1l0MfcCLqRrIuJ7u2mMHCqSuJRLGjVzNm</t>
  </si>
  <si>
    <t>https://drive.google.com/file/d/1l0MfcCLqRrIuJ7u2mMHCqSuJRLGjVzNm/view?usp=drivesdk</t>
  </si>
  <si>
    <t>DEWA AYU CANDRA DEWI</t>
  </si>
  <si>
    <t>candradewi940@gmail.com</t>
  </si>
  <si>
    <t>5969</t>
  </si>
  <si>
    <t>1MTr5b9AtSOW8zPOc8F-z_MR9jFqZPOui</t>
  </si>
  <si>
    <t>https://drive.google.com/file/d/1MTr5b9AtSOW8zPOc8F-z_MR9jFqZPOui/view?usp=drivesdk</t>
  </si>
  <si>
    <t>DIAN PAHALA SARI, S.E.</t>
  </si>
  <si>
    <t>dianpahalasari@gmail.com</t>
  </si>
  <si>
    <t>5970</t>
  </si>
  <si>
    <t>1MD_2TdtqwRu6jdmuPy38dl4qW6yJ8i-m</t>
  </si>
  <si>
    <t>https://drive.google.com/file/d/1MD_2TdtqwRu6jdmuPy38dl4qW6yJ8i-m/view?usp=drivesdk</t>
  </si>
  <si>
    <t>Document successfully created; Document successfully merged; PDF created; !!Error Sending Emails: Service invoked too many times for one day: email.; Manually run by ecertificate75@gmail.com; Timestamp: Sep 3 2024 3:41 AM</t>
  </si>
  <si>
    <t>SZAVIERRA CHERIA KHOLIFAH, S.KEP</t>
  </si>
  <si>
    <t>szavyankes@gmail.com</t>
  </si>
  <si>
    <t>5971</t>
  </si>
  <si>
    <t>1G-pADcUpp2lM29B5pIdQOZsPC1rVwIbi</t>
  </si>
  <si>
    <t>https://drive.google.com/file/d/1G-pADcUpp2lM29B5pIdQOZsPC1rVwIbi/view?usp=drivesdk</t>
  </si>
  <si>
    <t>DWI HADI SAPUTRO</t>
  </si>
  <si>
    <t>dwihadisaputro69@gmail.com</t>
  </si>
  <si>
    <t>5972</t>
  </si>
  <si>
    <t>https://drive.google.com/file/d/1k4vN2xuYL1Em22VYyU9qAdDj7XmczgBn/view?usp=drivesdk</t>
  </si>
  <si>
    <t>1k4vN2xuYL1Em22VYyU9qAdDj7XmczgBn</t>
  </si>
  <si>
    <t>1Y1isgSYkS2bQ0U7llvLyu3ftJcutQGxk</t>
  </si>
  <si>
    <t>https://drive.google.com/file/d/1Y1isgSYkS2bQ0U7llvLyu3ftJcutQGxk/view?usp=drivesdk</t>
  </si>
  <si>
    <t>ANDYANTARI FITHRYANA, S.E.</t>
  </si>
  <si>
    <t>vandyan22@gmail.com</t>
  </si>
  <si>
    <t>5973</t>
  </si>
  <si>
    <t>Starting at Thu Aug 29 2024 21:45:12 GMT-0400 (EDT)</t>
  </si>
  <si>
    <t>1Fwr8N2kNsGdLTu7Afty9EwBbdwctzXFn</t>
  </si>
  <si>
    <t>https://drive.google.com/file/d/1Fwr8N2kNsGdLTu7Afty9EwBbdwctzXFn/view?usp=drivesdk</t>
  </si>
  <si>
    <t>AGUS SUSANTO</t>
  </si>
  <si>
    <t>agus4905ggbhakti@gmail.com</t>
  </si>
  <si>
    <t>5974</t>
  </si>
  <si>
    <t>1Tp0ETOeKNhR_r9Pne8v4T7xpjWHPAjwf</t>
  </si>
  <si>
    <t>https://drive.google.com/file/d/1Tp0ETOeKNhR_r9Pne8v4T7xpjWHPAjwf/view?usp=drivesdk</t>
  </si>
  <si>
    <t>Document successfully created; Document successfully merged; PDF created; !!Error Sending Emails: Service invoked too many times for one day: email.; Manually run by ecertificate75@gmail.com; Timestamp: Sep 3 2024 3:42 AM</t>
  </si>
  <si>
    <t xml:space="preserve">SUHERMAN </t>
  </si>
  <si>
    <t>suherman778828@gmail.com</t>
  </si>
  <si>
    <t>5975</t>
  </si>
  <si>
    <t>https://drive.google.com/file/d/1bJ9eE5H6tOUZ9sgG0ER_qwhaUQhpapnZ/view?usp=drivesdk</t>
  </si>
  <si>
    <t>1bJ9eE5H6tOUZ9sgG0ER_qwhaUQhpapnZ</t>
  </si>
  <si>
    <t>14iXdmEPru1cGq_m-nPf3jYWMkkgmarC9</t>
  </si>
  <si>
    <t>https://drive.google.com/file/d/14iXdmEPru1cGq_m-nPf3jYWMkkgmarC9/view?usp=drivesdk</t>
  </si>
  <si>
    <t>SARI HIKMAWATY, S.Kep</t>
  </si>
  <si>
    <t>sariayu017@gmail.com</t>
  </si>
  <si>
    <t>5976</t>
  </si>
  <si>
    <t>Starting at Thu Aug 29 2024 21:45:17 GMT-0400 (EDT)</t>
  </si>
  <si>
    <t>1QxJZcPcZNk9C0iPIfZUX6PXqKtmDZQoW</t>
  </si>
  <si>
    <t>https://drive.google.com/file/d/1QxJZcPcZNk9C0iPIfZUX6PXqKtmDZQoW/view?usp=drivesdk</t>
  </si>
  <si>
    <t>Eka leatarianti,Amd.Kep</t>
  </si>
  <si>
    <t>ekalestari615@gmail.com</t>
  </si>
  <si>
    <t>5977</t>
  </si>
  <si>
    <t>1cdg5q17B5g1_D5qxaCqk6JLuF65C1V7d</t>
  </si>
  <si>
    <t>https://drive.google.com/file/d/1cdg5q17B5g1_D5qxaCqk6JLuF65C1V7d/view?usp=drivesdk</t>
  </si>
  <si>
    <t>ROHMANI,S.Kep</t>
  </si>
  <si>
    <t>rohmaniwae@gmail.com</t>
  </si>
  <si>
    <t>5978</t>
  </si>
  <si>
    <t>1gZgjq_1H48zcew4kN0nr9r4isdQfJQZC</t>
  </si>
  <si>
    <t>https://drive.google.com/file/d/1gZgjq_1H48zcew4kN0nr9r4isdQfJQZC/view?usp=drivesdk</t>
  </si>
  <si>
    <t>MUCHTAR</t>
  </si>
  <si>
    <t>muktar76spn@gmail.com</t>
  </si>
  <si>
    <t>5979</t>
  </si>
  <si>
    <t>1Pu1HLnNEYNKHuLAoIUp-8WOoku6L5tO_</t>
  </si>
  <si>
    <t>https://drive.google.com/file/d/1Pu1HLnNEYNKHuLAoIUp-8WOoku6L5tO_/view?usp=drivesdk</t>
  </si>
  <si>
    <t>Document successfully created; Document successfully merged; PDF created; !!Error Sending Emails: Service invoked too many times for one day: email.; Manually run by ecertificate75@gmail.com; Timestamp: Sep 3 2024 3:43 AM</t>
  </si>
  <si>
    <t>armiatirangkuti61@mail.com</t>
  </si>
  <si>
    <t>5980</t>
  </si>
  <si>
    <t>Starting at Thu Aug 29 2024 21:45:20 GMT-0400 (EDT)</t>
  </si>
  <si>
    <t>1x1IKByCakZHOet2PbasHSdaOV2HD-x6t</t>
  </si>
  <si>
    <t>https://drive.google.com/file/d/1x1IKByCakZHOet2PbasHSdaOV2HD-x6t/view?usp=drivesdk</t>
  </si>
  <si>
    <t xml:space="preserve">dr. Dede Yusuf Fahma Razi </t>
  </si>
  <si>
    <t>dedeyusuf6868@gmail.com</t>
  </si>
  <si>
    <t>5981</t>
  </si>
  <si>
    <t>1O4IzYpigbld43Tr6S1pfLVWbHLotQadF</t>
  </si>
  <si>
    <t>https://drive.google.com/file/d/1O4IzYpigbld43Tr6S1pfLVWbHLotQadF/view?usp=drivesdk</t>
  </si>
  <si>
    <t>Document successfully created; Document successfully merged; PDF created; !!Error Sending Emails: Service invoked too many times for one day: email.; Manually run by ecertificate75@gmail.com; Timestamp: Sep 3 2024 3:44 AM</t>
  </si>
  <si>
    <t>SITI AMANAH</t>
  </si>
  <si>
    <t>sikeu.siti@gmail.com</t>
  </si>
  <si>
    <t>5982</t>
  </si>
  <si>
    <t>1BpdFXwZSC_j0cCEbI1W979sFipvzLcv2</t>
  </si>
  <si>
    <t>https://drive.google.com/file/d/1BpdFXwZSC_j0cCEbI1W979sFipvzLcv2/view?usp=drivesdk</t>
  </si>
  <si>
    <t>RIDHA FADILA, A.Md.Kep</t>
  </si>
  <si>
    <t>ridhafadila0709@gmail.com</t>
  </si>
  <si>
    <t>5983</t>
  </si>
  <si>
    <t>1lgbpP6bhG8GJvto0V7nblaPLmN4e42fi</t>
  </si>
  <si>
    <t>https://drive.google.com/file/d/1lgbpP6bhG8GJvto0V7nblaPLmN4e42fi/view?usp=drivesdk</t>
  </si>
  <si>
    <t xml:space="preserve">Warda Sory Hamid SE </t>
  </si>
  <si>
    <t>wardahamidlagonda@gmail.com</t>
  </si>
  <si>
    <t>5984</t>
  </si>
  <si>
    <t>Starting at Thu Aug 29 2024 21:45:24 GMT-0400 (EDT)</t>
  </si>
  <si>
    <t>1Wds9W5OaH_NXxCNz17ldK1jLbtvNqxKG</t>
  </si>
  <si>
    <t>https://drive.google.com/file/d/1Wds9W5OaH_NXxCNz17ldK1jLbtvNqxKG/view?usp=drivesdk</t>
  </si>
  <si>
    <t>MASRIANA LUMBANRAJA</t>
  </si>
  <si>
    <t>masrianalumbanraja@gmail.com</t>
  </si>
  <si>
    <t>5985</t>
  </si>
  <si>
    <t>1j6-40KsHq6wk-J1y-Wyxj9H8Ngb1y3In</t>
  </si>
  <si>
    <t>https://drive.google.com/file/d/1j6-40KsHq6wk-J1y-Wyxj9H8Ngb1y3In/view?usp=drivesdk</t>
  </si>
  <si>
    <t>KURNIA BERMA ANGGITA, A.Md.Gz</t>
  </si>
  <si>
    <t>kurniabermaanggita@gmail.com</t>
  </si>
  <si>
    <t>5986</t>
  </si>
  <si>
    <t>1K-N9YM4A8QjtcJ8Vl54_h74-Ze9lSYBh</t>
  </si>
  <si>
    <t>https://drive.google.com/file/d/1K-N9YM4A8QjtcJ8Vl54_h74-Ze9lSYBh/view?usp=drivesdk</t>
  </si>
  <si>
    <t>Document successfully created; Document successfully merged; PDF created; !!Error Sending Emails: Service invoked too many times for one day: email.; Manually run by ecertificate75@gmail.com; Timestamp: Sep 3 2024 3:45 AM</t>
  </si>
  <si>
    <t>RAFSANJANI GUSTAVE YUDANTO</t>
  </si>
  <si>
    <t>rafgustave19@gmail.com</t>
  </si>
  <si>
    <t>5987</t>
  </si>
  <si>
    <t>1kdXQGBfNNYp26gL-nOMgYdN8ICmWATvA</t>
  </si>
  <si>
    <t>https://drive.google.com/file/d/1kdXQGBfNNYp26gL-nOMgYdN8ICmWATvA/view?usp=drivesdk</t>
  </si>
  <si>
    <t>Ruwaidah, Am.Keb</t>
  </si>
  <si>
    <t>fionahaikal@gmail.com</t>
  </si>
  <si>
    <t>5988</t>
  </si>
  <si>
    <t>Starting at Thu Aug 29 2024 21:45:27 GMT-0400 (EDT)</t>
  </si>
  <si>
    <t>1zzCeHfTqCeQnuxNAMSZ6OZmrc6T9bpgr</t>
  </si>
  <si>
    <t>https://drive.google.com/file/d/1zzCeHfTqCeQnuxNAMSZ6OZmrc6T9bpgr/view?usp=drivesdk</t>
  </si>
  <si>
    <t>ISWAHYUDI</t>
  </si>
  <si>
    <t>pakiswahyudi16@gmail.com</t>
  </si>
  <si>
    <t>5989</t>
  </si>
  <si>
    <t>1-zcgk5vNtif6MoT72-6uhfacAaHTyEH0</t>
  </si>
  <si>
    <t>https://drive.google.com/file/d/1-zcgk5vNtif6MoT72-6uhfacAaHTyEH0/view?usp=drivesdk</t>
  </si>
  <si>
    <t>TRISYA UTAMI, S.E.</t>
  </si>
  <si>
    <t>trisya_utami@yahoo.co.id</t>
  </si>
  <si>
    <t>5990</t>
  </si>
  <si>
    <t>1YAKQbsNfmnDKegkNOVqgaEUkA9TCrofB</t>
  </si>
  <si>
    <t>https://drive.google.com/file/d/1YAKQbsNfmnDKegkNOVqgaEUkA9TCrofB/view?usp=drivesdk</t>
  </si>
  <si>
    <t>SUDIATNO</t>
  </si>
  <si>
    <t>olivrasyid02@gmail.com</t>
  </si>
  <si>
    <t>5991</t>
  </si>
  <si>
    <t>Starting at Thu Aug 29 2024 21:45:35 GMT-0400 (EDT)</t>
  </si>
  <si>
    <t>1smjO5Whu16uY3_la9eVFJpKMobSNNwpk</t>
  </si>
  <si>
    <t>https://drive.google.com/file/d/1smjO5Whu16uY3_la9eVFJpKMobSNNwpk/view?usp=drivesdk</t>
  </si>
  <si>
    <t>Document successfully created; Document successfully merged; PDF created; !!Error Sending Emails: Service invoked too many times for one day: email.; Manually run by ecertificate75@gmail.com; Timestamp: Sep 3 2024 3:46 AM</t>
  </si>
  <si>
    <t>LENI DAHLAN</t>
  </si>
  <si>
    <t>puspitaleny7@gmail.com</t>
  </si>
  <si>
    <t>5992</t>
  </si>
  <si>
    <t>191q9wi2mLxRJdg59d07lord80BdWM3bJ</t>
  </si>
  <si>
    <t>https://drive.google.com/file/d/191q9wi2mLxRJdg59d07lord80BdWM3bJ/view?usp=drivesdk</t>
  </si>
  <si>
    <t>dr. HENNI MAIHARDIYANTI</t>
  </si>
  <si>
    <t>henni.belajar14@gmail.com</t>
  </si>
  <si>
    <t>5993</t>
  </si>
  <si>
    <t>1G0y-0twB97N63QOZ0k76FpFr-5w6C8m0</t>
  </si>
  <si>
    <t>https://drive.google.com/file/d/1G0y-0twB97N63QOZ0k76FpFr-5w6C8m0/view?usp=drivesdk</t>
  </si>
  <si>
    <t>rinisulistiyowati5@gmail.com</t>
  </si>
  <si>
    <t>5994</t>
  </si>
  <si>
    <t>1se1Jcf6RJpJv-nJVjlByzKQNU9Jt_0YZ</t>
  </si>
  <si>
    <t>https://drive.google.com/file/d/1se1Jcf6RJpJv-nJVjlByzKQNU9Jt_0YZ/view?usp=drivesdk</t>
  </si>
  <si>
    <t>Document successfully created; Document successfully merged; PDF created; !!Error Sending Emails: Service invoked too many times for one day: email.; Manually run by ecertificate75@gmail.com; Timestamp: Sep 3 2024 3:47 AM</t>
  </si>
  <si>
    <t>Ni Ketut Linda Agustini SE</t>
  </si>
  <si>
    <t>niketutlinda3@gmail.com</t>
  </si>
  <si>
    <t>5995</t>
  </si>
  <si>
    <t>1rqMYh3MnjB2p1dFLA6dCWS21X3CYsb_h</t>
  </si>
  <si>
    <t>https://drive.google.com/file/d/1rqMYh3MnjB2p1dFLA6dCWS21X3CYsb_h/view?usp=drivesdk</t>
  </si>
  <si>
    <t>FAHIRAH ARIEF,S.SOS</t>
  </si>
  <si>
    <t>iraarief703@gmail.com</t>
  </si>
  <si>
    <t>5996</t>
  </si>
  <si>
    <t>19GDsFwvpA4WVnQXHi6tMKBNms4uDotBB</t>
  </si>
  <si>
    <t>https://drive.google.com/file/d/19GDsFwvpA4WVnQXHi6tMKBNms4uDotBB/view?usp=drivesdk</t>
  </si>
  <si>
    <t>KURNIA INDAH SARI,A.Md.,Ak.</t>
  </si>
  <si>
    <t>kurniaindahsari216@gmail.com</t>
  </si>
  <si>
    <t>5997</t>
  </si>
  <si>
    <t>1TXeMZRjKKs4FCd7g7pRClFZ_y0h8YFzX</t>
  </si>
  <si>
    <t>https://drive.google.com/file/d/1TXeMZRjKKs4FCd7g7pRClFZ_y0h8YFzX/view?usp=drivesdk</t>
  </si>
  <si>
    <t>SUHAIRI</t>
  </si>
  <si>
    <t>suhairicuay@gmail.com</t>
  </si>
  <si>
    <t>5998</t>
  </si>
  <si>
    <t>1XW4uIIHasi0IY6FbBZgE5uWP8zzPg_I2</t>
  </si>
  <si>
    <t>https://drive.google.com/file/d/1XW4uIIHasi0IY6FbBZgE5uWP8zzPg_I2/view?usp=drivesdk</t>
  </si>
  <si>
    <t>ROSELIMA</t>
  </si>
  <si>
    <t>ocepurba0905@gmail.com</t>
  </si>
  <si>
    <t>5999</t>
  </si>
  <si>
    <t>1AOnm4wk-XJ98DEaYFi08GGywvDzlGvUc</t>
  </si>
  <si>
    <t>https://drive.google.com/file/d/1AOnm4wk-XJ98DEaYFi08GGywvDzlGvUc/view?usp=drivesdk</t>
  </si>
  <si>
    <t>Document successfully created; Document successfully merged; PDF created; !!Error Sending Emails: Service invoked too many times for one day: email.; Manually run by ecertificate75@gmail.com; Timestamp: Sep 3 2024 3:48 AM</t>
  </si>
  <si>
    <t>AGUNG RUSDIANA, S.Kom., M.Tr.A.P</t>
  </si>
  <si>
    <t>agung.rusdiana82@yahoo.com</t>
  </si>
  <si>
    <t>6000</t>
  </si>
  <si>
    <t>Starting at Thu Aug 29 2024 21:45:37 GMT-0400 (EDT)</t>
  </si>
  <si>
    <t>1LceY5FmD-Dbqg-DEcNEompL910Tzg6Br</t>
  </si>
  <si>
    <t>https://drive.google.com/file/d/1LceY5FmD-Dbqg-DEcNEompL910Tzg6Br/view?usp=drivesdk</t>
  </si>
  <si>
    <t>KATMIADI</t>
  </si>
  <si>
    <t>katmiadi99@gmail.com</t>
  </si>
  <si>
    <t>6001</t>
  </si>
  <si>
    <t>1NWNof2GYLKng7Ytv32vtUbqD477qEYmR</t>
  </si>
  <si>
    <t>https://drive.google.com/file/d/1NWNof2GYLKng7Ytv32vtUbqD477qEYmR/view?usp=drivesdk</t>
  </si>
  <si>
    <t>DEWI PRAGMATA</t>
  </si>
  <si>
    <t>dewi.pragmata@gmail.com</t>
  </si>
  <si>
    <t>6002</t>
  </si>
  <si>
    <t>1fzH6IDYXqjQvC2H_T0ZK7ItWAQrSAEt4</t>
  </si>
  <si>
    <t>https://drive.google.com/file/d/1fzH6IDYXqjQvC2H_T0ZK7ItWAQrSAEt4/view?usp=drivesdk</t>
  </si>
  <si>
    <t>SITI MASROH, A.MD.KEP</t>
  </si>
  <si>
    <t>sitimasroh7@gmail.com</t>
  </si>
  <si>
    <t>6003</t>
  </si>
  <si>
    <t>Starting at Thu Aug 29 2024 21:45:38 GMT-0400 (EDT)</t>
  </si>
  <si>
    <t>17D2XB4b60VWoxkD2ncbYoQsrJ7TXOSCZ</t>
  </si>
  <si>
    <t>https://drive.google.com/file/d/17D2XB4b60VWoxkD2ncbYoQsrJ7TXOSCZ/view?usp=drivesdk</t>
  </si>
  <si>
    <t>Document successfully created; Document successfully merged; PDF created; !!Error Sending Emails: Service invoked too many times for one day: email.; Manually run by ecertificate75@gmail.com; Timestamp: Sep 3 2024 3:49 AM</t>
  </si>
  <si>
    <t>ANY ASTUTI, Amd, S.E.</t>
  </si>
  <si>
    <t>anyastuti13@gmail.com</t>
  </si>
  <si>
    <t>6004</t>
  </si>
  <si>
    <t>1aGd5WzFcM65jekftrlP139ghKlFjALP1</t>
  </si>
  <si>
    <t>https://drive.google.com/file/d/1aGd5WzFcM65jekftrlP139ghKlFjALP1/view?usp=drivesdk</t>
  </si>
  <si>
    <t xml:space="preserve">GUSTRIANI </t>
  </si>
  <si>
    <t>agusgustriani099@gmail.com</t>
  </si>
  <si>
    <t>6005</t>
  </si>
  <si>
    <t>1HoVxUbOt0FImox-TJBteUh4ksg7a2nRE</t>
  </si>
  <si>
    <t>https://drive.google.com/file/d/1HoVxUbOt0FImox-TJBteUh4ksg7a2nRE/view?usp=drivesdk</t>
  </si>
  <si>
    <t>TRI TARMINI</t>
  </si>
  <si>
    <t>tritarmini.yanma@gmail.com</t>
  </si>
  <si>
    <t>6006</t>
  </si>
  <si>
    <t>Starting at Thu Aug 29 2024 21:45:40 GMT-0400 (EDT)</t>
  </si>
  <si>
    <t>1c-qbIl9u1Cjy8Du-ftnB2eYmOFJMYnxA</t>
  </si>
  <si>
    <t>https://drive.google.com/file/d/1c-qbIl9u1Cjy8Du-ftnB2eYmOFJMYnxA/view?usp=drivesdk</t>
  </si>
  <si>
    <t>Document successfully created; Document successfully merged; PDF created; !!Error Sending Emails: Service invoked too many times for one day: email.; Manually run by ecertificate75@gmail.com; Timestamp: Sep 3 2024 3:50 AM</t>
  </si>
  <si>
    <t>RAHAYU RESTIANINGSIH S.Si.</t>
  </si>
  <si>
    <t>rahayu.restianingsih@gmail.com</t>
  </si>
  <si>
    <t>6007</t>
  </si>
  <si>
    <t>1IFsSrlXC1eqG_K6vKgxQfyobTvBzyzee</t>
  </si>
  <si>
    <t>https://drive.google.com/file/d/1IFsSrlXC1eqG_K6vKgxQfyobTvBzyzee/view?usp=drivesdk</t>
  </si>
  <si>
    <t>dr. YENNI MURVANTI</t>
  </si>
  <si>
    <t>yennimurvanti7301@gmail.com</t>
  </si>
  <si>
    <t>6008</t>
  </si>
  <si>
    <t>https://drive.google.com/file/d/1nrFo7yFr4upW5p8A3K3-TI2DsCZKh9xt/view?usp=drivesdk</t>
  </si>
  <si>
    <t>1nrFo7yFr4upW5p8A3K3-TI2DsCZKh9xt</t>
  </si>
  <si>
    <t>13S8NYGu9d3ZRnd8oFbDfS_BL76R-0Jrb</t>
  </si>
  <si>
    <t>https://drive.google.com/file/d/13S8NYGu9d3ZRnd8oFbDfS_BL76R-0Jrb/view?usp=drivesdk</t>
  </si>
  <si>
    <t>NOVIANI. A.Md.</t>
  </si>
  <si>
    <t>aninovi0640@gmail.com</t>
  </si>
  <si>
    <t>6009</t>
  </si>
  <si>
    <t>https://drive.google.com/file/d/1rcrWIpkXaXIIFf8-7wjcG9tOEbA485gx/view?usp=drivesdk</t>
  </si>
  <si>
    <t>Document successfully created; Document successfully merged; PDF created; !!Error Sending Emails: Service invoked too many times for one day: email.; Run via form trigger as ecertificate75@gmail.com; Timestamp: Aug 29 2024 9:46 PM</t>
  </si>
  <si>
    <t>1rcrWIpkXaXIIFf8-7wjcG9tOEbA485gx</t>
  </si>
  <si>
    <t>1e8FNPuvT46dCMCQatNJ61R0hAJi1AVLY</t>
  </si>
  <si>
    <t>https://drive.google.com/file/d/1e8FNPuvT46dCMCQatNJ61R0hAJi1AVLY/view?usp=drivesdk</t>
  </si>
  <si>
    <t>JENI USODOWATI</t>
  </si>
  <si>
    <t>jeni1jan1969@gmail.com</t>
  </si>
  <si>
    <t>6010</t>
  </si>
  <si>
    <t>https://drive.google.com/file/d/1bendlbWedrkVldOb0-U1R58vCiAulw4a/view?usp=drivesdk</t>
  </si>
  <si>
    <t>1bendlbWedrkVldOb0-U1R58vCiAulw4a</t>
  </si>
  <si>
    <t>1r4V2tMAk3wrrqdg00inJ-pIZjC-j9__e</t>
  </si>
  <si>
    <t>https://drive.google.com/file/d/1r4V2tMAk3wrrqdg00inJ-pIZjC-j9__e/view?usp=drivesdk</t>
  </si>
  <si>
    <t>Document successfully created; Document successfully merged; PDF created; !!Error Sending Emails: Service invoked too many times for one day: email.; Manually run by ecertificate75@gmail.com; Timestamp: Sep 3 2024 3:51 AM</t>
  </si>
  <si>
    <t xml:space="preserve">NYI TULUSI </t>
  </si>
  <si>
    <t>areta.cyma2808@gmail.com</t>
  </si>
  <si>
    <t>6011</t>
  </si>
  <si>
    <t>https://drive.google.com/file/d/1ZFfRQB-L4zsrPg_rehjDj28qKu0m_AYz/view?usp=drivesdk</t>
  </si>
  <si>
    <t>1ZFfRQB-L4zsrPg_rehjDj28qKu0m_AYz</t>
  </si>
  <si>
    <t>1VZpBZDL_X9utVxY_AOJVK1jIQ6TZN6w8</t>
  </si>
  <si>
    <t>https://drive.google.com/file/d/1VZpBZDL_X9utVxY_AOJVK1jIQ6TZN6w8/view?usp=drivesdk</t>
  </si>
  <si>
    <t>RUSWANTO</t>
  </si>
  <si>
    <t>masruswanto72@gmail.com</t>
  </si>
  <si>
    <t>6012</t>
  </si>
  <si>
    <t>https://drive.google.com/file/d/1T_qV3vR2BGaIUlMsiJwWE92sP6op67TY/view?usp=drivesdk</t>
  </si>
  <si>
    <t>1T_qV3vR2BGaIUlMsiJwWE92sP6op67TY</t>
  </si>
  <si>
    <t>1dCvOjfpKUg3GYXAZMDlpxjO-ldZJDwvA</t>
  </si>
  <si>
    <t>https://drive.google.com/file/d/1dCvOjfpKUg3GYXAZMDlpxjO-ldZJDwvA/view?usp=drivesdk</t>
  </si>
  <si>
    <t>PENGDA RASUP</t>
  </si>
  <si>
    <t>rasupsenori70@gmail.com</t>
  </si>
  <si>
    <t>6013</t>
  </si>
  <si>
    <t>https://drive.google.com/file/d/1zzgmNCYLo-m8CY_BJubrXOJhSI6vu6C4/view?usp=drivesdk</t>
  </si>
  <si>
    <t>1zzgmNCYLo-m8CY_BJubrXOJhSI6vu6C4</t>
  </si>
  <si>
    <t>12jgTGnYySJI0o1NK6UIOmc4s8wsSjj6M</t>
  </si>
  <si>
    <t>https://drive.google.com/file/d/12jgTGnYySJI0o1NK6UIOmc4s8wsSjj6M/view?usp=drivesdk</t>
  </si>
  <si>
    <t>PEMBINA KURNIAWATI, S. SI., M.SI</t>
  </si>
  <si>
    <t>alexander.rie83@gmail.com</t>
  </si>
  <si>
    <t>6014</t>
  </si>
  <si>
    <t>https://drive.google.com/file/d/1RFvPemIpoKsR3c2Of3E4lwcVJrq9vo_e/view?usp=drivesdk</t>
  </si>
  <si>
    <t>1RFvPemIpoKsR3c2Of3E4lwcVJrq9vo_e</t>
  </si>
  <si>
    <t>1SRXcdYuXk8E_12yZZcll7hNz74e913IP</t>
  </si>
  <si>
    <t>https://drive.google.com/file/d/1SRXcdYuXk8E_12yZZcll7hNz74e913IP/view?usp=drivesdk</t>
  </si>
  <si>
    <t>IDA YUNIASTUTI, SE</t>
  </si>
  <si>
    <t>Idayuniastuti@gmail.com</t>
  </si>
  <si>
    <t>6015</t>
  </si>
  <si>
    <t>https://drive.google.com/file/d/1uckcfhB0FiS9vobG2pVuUhdkPDwH2Gs8/view?usp=drivesdk</t>
  </si>
  <si>
    <t>1uckcfhB0FiS9vobG2pVuUhdkPDwH2Gs8</t>
  </si>
  <si>
    <t>1tHFXUu0iFXZVoPoYO2n5udMwEKrogSYm</t>
  </si>
  <si>
    <t>https://drive.google.com/file/d/1tHFXUu0iFXZVoPoYO2n5udMwEKrogSYm/view?usp=drivesdk</t>
  </si>
  <si>
    <t>Document successfully created; Document successfully merged; PDF created; !!Error Sending Emails: Service invoked too many times for one day: email.; Manually run by ecertificate75@gmail.com; Timestamp: Sep 3 2024 3:52 AM</t>
  </si>
  <si>
    <t>LINA YANUANTARI</t>
  </si>
  <si>
    <t>linananung45@gmail.com</t>
  </si>
  <si>
    <t>6016</t>
  </si>
  <si>
    <t>https://drive.google.com/file/d/1tWqVF3Yq9hsBEbRE6PZyBMIoTqxt7uUf/view?usp=drivesdk</t>
  </si>
  <si>
    <t>1tWqVF3Yq9hsBEbRE6PZyBMIoTqxt7uUf</t>
  </si>
  <si>
    <t>1WtkRegQ7TkRIf-X0SskZiNk1xDTwXx3y</t>
  </si>
  <si>
    <t>https://drive.google.com/file/d/1WtkRegQ7TkRIf-X0SskZiNk1xDTwXx3y/view?usp=drivesdk</t>
  </si>
  <si>
    <t xml:space="preserve">MARIAM HAJI ALI </t>
  </si>
  <si>
    <t>hajialishity@gmail.Com</t>
  </si>
  <si>
    <t>6017</t>
  </si>
  <si>
    <t>https://drive.google.com/file/d/1GU3JOilIbXYVZzgcUN4QB0ktxv2u0RzV/view?usp=drivesdk</t>
  </si>
  <si>
    <t>1GU3JOilIbXYVZzgcUN4QB0ktxv2u0RzV</t>
  </si>
  <si>
    <t>1VHxsw-iYPRRvjjf4lxXYEHgeaRqxPHpA</t>
  </si>
  <si>
    <t>https://drive.google.com/file/d/1VHxsw-iYPRRvjjf4lxXYEHgeaRqxPHpA/view?usp=drivesdk</t>
  </si>
  <si>
    <t xml:space="preserve">ENAH RATNAWATI </t>
  </si>
  <si>
    <t>enahratnawati13@gmail.com</t>
  </si>
  <si>
    <t>6018</t>
  </si>
  <si>
    <t>https://drive.google.com/file/d/1e2pAqXppjnnhJPhGiQAKpgmF-XMCKn-o/view?usp=drivesdk</t>
  </si>
  <si>
    <t>1e2pAqXppjnnhJPhGiQAKpgmF-XMCKn-o</t>
  </si>
  <si>
    <t>1oaf8hYGPN_zKYSdpD355OF8CQXWHykyx</t>
  </si>
  <si>
    <t>https://drive.google.com/file/d/1oaf8hYGPN_zKYSdpD355OF8CQXWHykyx/view?usp=drivesdk</t>
  </si>
  <si>
    <t>Ns. Syafrita Marlina Skep</t>
  </si>
  <si>
    <t>syafritamarlina21@gmail.com</t>
  </si>
  <si>
    <t>6019</t>
  </si>
  <si>
    <t>https://drive.google.com/file/d/1MCjgCjXf1iRvDD0dg8KPCfI3wSXGv6rI/view?usp=drivesdk</t>
  </si>
  <si>
    <t>1MCjgCjXf1iRvDD0dg8KPCfI3wSXGv6rI</t>
  </si>
  <si>
    <t>1ZLbKX-enwqguiu-x9-Yz8oIDyJriDdqX</t>
  </si>
  <si>
    <t>https://drive.google.com/file/d/1ZLbKX-enwqguiu-x9-Yz8oIDyJriDdqX/view?usp=drivesdk</t>
  </si>
  <si>
    <t>SENO SUWONDO</t>
  </si>
  <si>
    <t>seno.wondo@gmail.com</t>
  </si>
  <si>
    <t>6020</t>
  </si>
  <si>
    <t>https://drive.google.com/file/d/1K91s2W7om1ZV41iTfvH3PEMXj5H-NLtt/view?usp=drivesdk</t>
  </si>
  <si>
    <t>1K91s2W7om1ZV41iTfvH3PEMXj5H-NLtt</t>
  </si>
  <si>
    <t>1KVfLNVrJHO1sk3xN-ZHqtMkEj8Q2_1FS</t>
  </si>
  <si>
    <t>https://drive.google.com/file/d/1KVfLNVrJHO1sk3xN-ZHqtMkEj8Q2_1FS/view?usp=drivesdk</t>
  </si>
  <si>
    <t>HERDISON,AM.Kep</t>
  </si>
  <si>
    <t>herdison703@gmail.com</t>
  </si>
  <si>
    <t>6021</t>
  </si>
  <si>
    <t>https://drive.google.com/file/d/1x6RepOoiB6_WT0eVa5WS6lL-t-keBip5/view?usp=drivesdk</t>
  </si>
  <si>
    <t>1x6RepOoiB6_WT0eVa5WS6lL-t-keBip5</t>
  </si>
  <si>
    <t>1CFlrUR_7_dP57za7RvrHBCWFiZsgZl9g</t>
  </si>
  <si>
    <t>https://drive.google.com/file/d/1CFlrUR_7_dP57za7RvrHBCWFiZsgZl9g/view?usp=drivesdk</t>
  </si>
  <si>
    <t>Document successfully created; Document successfully merged; PDF created; !!Error Sending Emails: Service invoked too many times for one day: email.; Manually run by ecertificate75@gmail.com; Timestamp: Sep 3 2024 3:53 AM</t>
  </si>
  <si>
    <t>USIATUN HURUSTIATI</t>
  </si>
  <si>
    <t>usiatunhurustiati03@gmail.com</t>
  </si>
  <si>
    <t>6022</t>
  </si>
  <si>
    <t>https://drive.google.com/file/d/1i6UyY6YdijElJpHk69M3ReLE6GSJa2RH/view?usp=drivesdk</t>
  </si>
  <si>
    <t>1i6UyY6YdijElJpHk69M3ReLE6GSJa2RH</t>
  </si>
  <si>
    <t>1cqwkwe4Sr_uVWwQbZ9fvOSWbSXyzz91_</t>
  </si>
  <si>
    <t>https://drive.google.com/file/d/1cqwkwe4Sr_uVWwQbZ9fvOSWbSXyzz91_/view?usp=drivesdk</t>
  </si>
  <si>
    <t>fatmafatmawati764@gmail.com</t>
  </si>
  <si>
    <t>6023</t>
  </si>
  <si>
    <t>https://drive.google.com/file/d/1Seu4jGGNVtscZnDSoG19Sct6iV1orkgk/view?usp=drivesdk</t>
  </si>
  <si>
    <t>1Seu4jGGNVtscZnDSoG19Sct6iV1orkgk</t>
  </si>
  <si>
    <t>1nrVTBwHRAeOz-S7pxWQNsxAhf1FReXXY</t>
  </si>
  <si>
    <t>https://drive.google.com/file/d/1nrVTBwHRAeOz-S7pxWQNsxAhf1FReXXY/view?usp=drivesdk</t>
  </si>
  <si>
    <t>SRI PERTIWI AGUSTININGRUM, SH</t>
  </si>
  <si>
    <t>ika222210@gmail.com</t>
  </si>
  <si>
    <t>6024</t>
  </si>
  <si>
    <t>https://drive.google.com/file/d/1u7ph0Zj1FSWQWN5BX4WczBpVmSo8ADGD/view?usp=drivesdk</t>
  </si>
  <si>
    <t>1u7ph0Zj1FSWQWN5BX4WczBpVmSo8ADGD</t>
  </si>
  <si>
    <t>1YlCUgEcA3Lgigm8UPBJHfc9c2AeQOozB</t>
  </si>
  <si>
    <t>https://drive.google.com/file/d/1YlCUgEcA3Lgigm8UPBJHfc9c2AeQOozB/view?usp=drivesdk</t>
  </si>
  <si>
    <t>GENIO CAHYA DWI BAKTI</t>
  </si>
  <si>
    <t>geniocahya@gmail.com</t>
  </si>
  <si>
    <t>6025</t>
  </si>
  <si>
    <t>https://drive.google.com/file/d/1uypfLjYj1V384e9TmqIFEdIjoTM0RGHI/view?usp=drivesdk</t>
  </si>
  <si>
    <t>1uypfLjYj1V384e9TmqIFEdIjoTM0RGHI</t>
  </si>
  <si>
    <t>1D8OW7UqBqnmwe3hgxNY_aQ_LF7OKFnaE</t>
  </si>
  <si>
    <t>https://drive.google.com/file/d/1D8OW7UqBqnmwe3hgxNY_aQ_LF7OKFnaE/view?usp=drivesdk</t>
  </si>
  <si>
    <t>Document successfully created; Document successfully merged; PDF created; !!Error Sending Emails: Service invoked too many times for one day: email.; Manually run by ecertificate75@gmail.com; Timestamp: Sep 3 2024 3:54 AM</t>
  </si>
  <si>
    <t>DARMASUPRAYATNA</t>
  </si>
  <si>
    <t>suprayatnadarma@gmail.com</t>
  </si>
  <si>
    <t>6026</t>
  </si>
  <si>
    <t>https://drive.google.com/file/d/1irUYV92lzQmZs_KuiibBe2lVQvWEDtqD/view?usp=drivesdk</t>
  </si>
  <si>
    <t>1irUYV92lzQmZs_KuiibBe2lVQvWEDtqD</t>
  </si>
  <si>
    <t>1ixYMbv-ERdoBgJ0HjUCsDsIaElt6gAYs</t>
  </si>
  <si>
    <t>https://drive.google.com/file/d/1ixYMbv-ERdoBgJ0HjUCsDsIaElt6gAYs/view?usp=drivesdk</t>
  </si>
  <si>
    <t xml:space="preserve">HASRIYANI JASAPE </t>
  </si>
  <si>
    <t>hasriyanicece0501@gmail.com</t>
  </si>
  <si>
    <t>6027</t>
  </si>
  <si>
    <t>https://drive.google.com/file/d/1xnwH3sy87UJmBjMX49Ch3_7IRuDEvXTI/view?usp=drivesdk</t>
  </si>
  <si>
    <t>1xnwH3sy87UJmBjMX49Ch3_7IRuDEvXTI</t>
  </si>
  <si>
    <t>1a0uU3lCZhg20o6NO3QNKuxx50_PEBQvE</t>
  </si>
  <si>
    <t>https://drive.google.com/file/d/1a0uU3lCZhg20o6NO3QNKuxx50_PEBQvE/view?usp=drivesdk</t>
  </si>
  <si>
    <t>NANDAR HANDOKO, S.KEP</t>
  </si>
  <si>
    <t>nandarhandoko86@gmail.com</t>
  </si>
  <si>
    <t>6028</t>
  </si>
  <si>
    <t>https://drive.google.com/file/d/1sNSS4nb0ozVbjdxNT0d9cWLzK8ocZsco/view?usp=drivesdk</t>
  </si>
  <si>
    <t>1sNSS4nb0ozVbjdxNT0d9cWLzK8ocZsco</t>
  </si>
  <si>
    <t>1xbeKqht-tLPaPx9MrJkpwlqWAtIAMIAr</t>
  </si>
  <si>
    <t>https://drive.google.com/file/d/1xbeKqht-tLPaPx9MrJkpwlqWAtIAMIAr/view?usp=drivesdk</t>
  </si>
  <si>
    <t>MIRNAWATY ILONU</t>
  </si>
  <si>
    <t>mirnailonu@gmail.com</t>
  </si>
  <si>
    <t>6029</t>
  </si>
  <si>
    <t>https://drive.google.com/file/d/1p6CZa4Yuise8k0KcIZisTfrfaOXSzXj0/view?usp=drivesdk</t>
  </si>
  <si>
    <t>1p6CZa4Yuise8k0KcIZisTfrfaOXSzXj0</t>
  </si>
  <si>
    <t>13i3JFoiCzXY23j_aw5i_sbCRCEPjBc3S</t>
  </si>
  <si>
    <t>https://drive.google.com/file/d/13i3JFoiCzXY23j_aw5i_sbCRCEPjBc3S/view?usp=drivesdk</t>
  </si>
  <si>
    <t>NI KETUT WINASTRI A.Md.KG</t>
  </si>
  <si>
    <t>niketutwinastri@gmail.com</t>
  </si>
  <si>
    <t>6030</t>
  </si>
  <si>
    <t>https://drive.google.com/file/d/15sz-g0pEb0JCdMtLSIbrCKreksrMBIpA/view?usp=drivesdk</t>
  </si>
  <si>
    <t>15sz-g0pEb0JCdMtLSIbrCKreksrMBIpA</t>
  </si>
  <si>
    <t>1lGhDl5-lwsviMGiC6-S5QfqMzoHrEs7H</t>
  </si>
  <si>
    <t>https://drive.google.com/file/d/1lGhDl5-lwsviMGiC6-S5QfqMzoHrEs7H/view?usp=drivesdk</t>
  </si>
  <si>
    <t>Document successfully created; Document successfully merged; PDF created; !!Error Sending Emails: Service invoked too many times for one day: email.; Manually run by ecertificate75@gmail.com; Timestamp: Sep 3 2024 3:55 AM</t>
  </si>
  <si>
    <t xml:space="preserve">Helga Andrieny Sinaga </t>
  </si>
  <si>
    <t>bayuadipasiaga@gmail.com</t>
  </si>
  <si>
    <t>6031</t>
  </si>
  <si>
    <t>https://drive.google.com/file/d/1XNyax1XeuY1cpIWhImGOIj1r7xb1JUUC/view?usp=drivesdk</t>
  </si>
  <si>
    <t>1XNyax1XeuY1cpIWhImGOIj1r7xb1JUUC</t>
  </si>
  <si>
    <t>18tNCENA0SDdC3HJxGy5Lx5qL1AWQY8Fe</t>
  </si>
  <si>
    <t>https://drive.google.com/file/d/18tNCENA0SDdC3HJxGy5Lx5qL1AWQY8Fe/view?usp=drivesdk</t>
  </si>
  <si>
    <t>FARIDA SARI PUSVITA DEWI, S.E</t>
  </si>
  <si>
    <t>faridasaripusvita@gmail.com</t>
  </si>
  <si>
    <t>6032</t>
  </si>
  <si>
    <t>https://drive.google.com/file/d/164lYZsbs68s5-9bdA_52ccQIBqBe_USS/view?usp=drivesdk</t>
  </si>
  <si>
    <t>164lYZsbs68s5-9bdA_52ccQIBqBe_USS</t>
  </si>
  <si>
    <t>1BBaG3w4r0DcR06KrEigU_ZCmCsCZJiPl</t>
  </si>
  <si>
    <t>https://drive.google.com/file/d/1BBaG3w4r0DcR06KrEigU_ZCmCsCZJiPl/view?usp=drivesdk</t>
  </si>
  <si>
    <t>MAHDA HARIS SEPTYADI, S.Tr.Kep.</t>
  </si>
  <si>
    <t>mahda.haris@gmail.com</t>
  </si>
  <si>
    <t>6033</t>
  </si>
  <si>
    <t>https://drive.google.com/file/d/1iprFffjhhwq9kmIt8Hy1air9GBpi12bf/view?usp=drivesdk</t>
  </si>
  <si>
    <t>1iprFffjhhwq9kmIt8Hy1air9GBpi12bf</t>
  </si>
  <si>
    <t>1nVypUdssbqkKbyFfkRCKnP8L_VwAqYRy</t>
  </si>
  <si>
    <t>https://drive.google.com/file/d/1nVypUdssbqkKbyFfkRCKnP8L_VwAqYRy/view?usp=drivesdk</t>
  </si>
  <si>
    <t>PATHUL JENAH, S.E.</t>
  </si>
  <si>
    <t>Atulbanjarmasin9994@gmail.com</t>
  </si>
  <si>
    <t>6034</t>
  </si>
  <si>
    <t>https://drive.google.com/file/d/1V6xe28hGVBJkFNE7yLKAG-7yJLzhoWVD/view?usp=drivesdk</t>
  </si>
  <si>
    <t>1V6xe28hGVBJkFNE7yLKAG-7yJLzhoWVD</t>
  </si>
  <si>
    <t>1NJMSwrn7F-R2GDXkjaoJar6ROS8FJISp</t>
  </si>
  <si>
    <t>https://drive.google.com/file/d/1NJMSwrn7F-R2GDXkjaoJar6ROS8FJISp/view?usp=drivesdk</t>
  </si>
  <si>
    <t>Document successfully created; Document successfully merged; PDF created; !!Error Sending Emails: Service invoked too many times for one day: email.; Manually run by ecertificate75@gmail.com; Timestamp: Sep 3 2024 3:56 AM</t>
  </si>
  <si>
    <t>INDRA DAHYANA EKA PUTRA</t>
  </si>
  <si>
    <t>indradahyana@gmail.com</t>
  </si>
  <si>
    <t>6035</t>
  </si>
  <si>
    <t>Starting at Thu Aug 29 2024 21:46:15 GMT-0400 (EDT)</t>
  </si>
  <si>
    <t>18YBVUamio9qEBhgwAYFt29tBVobkYwCe</t>
  </si>
  <si>
    <t>https://drive.google.com/file/d/18YBVUamio9qEBhgwAYFt29tBVobkYwCe/view?usp=drivesdk</t>
  </si>
  <si>
    <t>ELSIYANA RULIANTY</t>
  </si>
  <si>
    <t>elsiyanarulianti02@gmail.com</t>
  </si>
  <si>
    <t>6036</t>
  </si>
  <si>
    <t>1u28Q1Jtrg3Yg1F1A18PMw7NOebO7inYS</t>
  </si>
  <si>
    <t>https://drive.google.com/file/d/1u28Q1Jtrg3Yg1F1A18PMw7NOebO7inYS/view?usp=drivesdk</t>
  </si>
  <si>
    <t>feetycantik@gmail.com</t>
  </si>
  <si>
    <t>6037</t>
  </si>
  <si>
    <t>1GUK6UrEpA-9nsJ_wS6xciBf8xDU4GV24</t>
  </si>
  <si>
    <t>https://drive.google.com/file/d/1GUK6UrEpA-9nsJ_wS6xciBf8xDU4GV24/view?usp=drivesdk</t>
  </si>
  <si>
    <t>HAFIS.S.SI</t>
  </si>
  <si>
    <t>afis198585@gmail.com</t>
  </si>
  <si>
    <t>6038</t>
  </si>
  <si>
    <t>https://drive.google.com/file/d/1fqnWXa5SiSKuC3YvjzP3V3l-gyQqLunv/view?usp=drivesdk</t>
  </si>
  <si>
    <t>1fqnWXa5SiSKuC3YvjzP3V3l-gyQqLunv</t>
  </si>
  <si>
    <t>1fovVTD64U9N9ZmIJ9OR4QuT_NcBF_EEV</t>
  </si>
  <si>
    <t>https://drive.google.com/file/d/1fovVTD64U9N9ZmIJ9OR4QuT_NcBF_EEV/view?usp=drivesdk</t>
  </si>
  <si>
    <t>suparnod81@gmail.com</t>
  </si>
  <si>
    <t>6039</t>
  </si>
  <si>
    <t>https://drive.google.com/file/d/1T68H7uI2hCHd22jy19uffY6MQ58ozk3m/view?usp=drivesdk</t>
  </si>
  <si>
    <t>1T68H7uI2hCHd22jy19uffY6MQ58ozk3m</t>
  </si>
  <si>
    <t>17BHMSZjA2RjOwg5iUFxdvxeX5v6vqLcB</t>
  </si>
  <si>
    <t>https://drive.google.com/file/d/17BHMSZjA2RjOwg5iUFxdvxeX5v6vqLcB/view?usp=drivesdk</t>
  </si>
  <si>
    <t>Document successfully created; Document successfully merged; PDF created; !!Error Sending Emails: Service invoked too many times for one day: email.; Manually run by ecertificate75@gmail.com; Timestamp: Sep 3 2024 3:57 AM</t>
  </si>
  <si>
    <t xml:space="preserve">MUHAMAD ISMAIL SALEH </t>
  </si>
  <si>
    <t>ismailsaleh580@gmail.com</t>
  </si>
  <si>
    <t>6040</t>
  </si>
  <si>
    <t>https://drive.google.com/file/d/1ElVHxj9GtW4oKspYa-mMJTBDphzgG4JY/view?usp=drivesdk</t>
  </si>
  <si>
    <t>1ElVHxj9GtW4oKspYa-mMJTBDphzgG4JY</t>
  </si>
  <si>
    <t>1SryLlCjSUxPk7SUDuZPMcdkM0gbFaWs2</t>
  </si>
  <si>
    <t>https://drive.google.com/file/d/1SryLlCjSUxPk7SUDuZPMcdkM0gbFaWs2/view?usp=drivesdk</t>
  </si>
  <si>
    <t xml:space="preserve">TITOH KUSTIAH </t>
  </si>
  <si>
    <t>ryuunaga56@gmail.com</t>
  </si>
  <si>
    <t>6041</t>
  </si>
  <si>
    <t>https://drive.google.com/file/d/1TY_2oXE9VSmVU8Wm6QtXTcFcGsoKMQ8R/view?usp=drivesdk</t>
  </si>
  <si>
    <t>1TY_2oXE9VSmVU8Wm6QtXTcFcGsoKMQ8R</t>
  </si>
  <si>
    <t>11SJgVnq3pdFtUGiygszgV4Ou6f6W2AIT</t>
  </si>
  <si>
    <t>https://drive.google.com/file/d/11SJgVnq3pdFtUGiygszgV4Ou6f6W2AIT/view?usp=drivesdk</t>
  </si>
  <si>
    <t>PAINI BINSIS</t>
  </si>
  <si>
    <t>paini121070@gmail.com</t>
  </si>
  <si>
    <t>6042</t>
  </si>
  <si>
    <t>https://drive.google.com/file/d/1WE8gUtaQXBigzEs6RUiBCu5kulitN63D/view?usp=drivesdk</t>
  </si>
  <si>
    <t>1WE8gUtaQXBigzEs6RUiBCu5kulitN63D</t>
  </si>
  <si>
    <t>1846WIV11KHro7jE-3GkkzsrKzKbJQ7dF</t>
  </si>
  <si>
    <t>https://drive.google.com/file/d/1846WIV11KHro7jE-3GkkzsrKzKbJQ7dF/view?usp=drivesdk</t>
  </si>
  <si>
    <t>ROSLANI Amd Kep</t>
  </si>
  <si>
    <t>roslanirahmatan@gmail.com</t>
  </si>
  <si>
    <t>6043</t>
  </si>
  <si>
    <t>https://drive.google.com/file/d/1mMVvtkP0n_VFRgDwwBemrk8GGI2OJ2rT/view?usp=drivesdk</t>
  </si>
  <si>
    <t>1mMVvtkP0n_VFRgDwwBemrk8GGI2OJ2rT</t>
  </si>
  <si>
    <t>13Ks72UECFK5kB1DjapTBz5Z0PiUXvf7E</t>
  </si>
  <si>
    <t>https://drive.google.com/file/d/13Ks72UECFK5kB1DjapTBz5Z0PiUXvf7E/view?usp=drivesdk</t>
  </si>
  <si>
    <t>KARTIKA PUTRI KURNIAWATI, Amd.Keb.</t>
  </si>
  <si>
    <t>kartika.putri8686@gmail.com</t>
  </si>
  <si>
    <t>6044</t>
  </si>
  <si>
    <t>https://drive.google.com/file/d/1zVZRHKbjYkGLSVxuEPYnvs_AHg0GkRQD/view?usp=drivesdk</t>
  </si>
  <si>
    <t>1zVZRHKbjYkGLSVxuEPYnvs_AHg0GkRQD</t>
  </si>
  <si>
    <t>1CwD17vXGQN9ayxQD1zEfsL0GqcuMf8iy</t>
  </si>
  <si>
    <t>https://drive.google.com/file/d/1CwD17vXGQN9ayxQD1zEfsL0GqcuMf8iy/view?usp=drivesdk</t>
  </si>
  <si>
    <t>Document successfully created; Document successfully merged; PDF created; !!Error Sending Emails: Service invoked too many times for one day: email.; Manually run by ecertificate75@gmail.com; Timestamp: Sep 3 2024 3:58 AM</t>
  </si>
  <si>
    <t>MUHAMMAD SARMAN</t>
  </si>
  <si>
    <t>muh.sarman1079@gmail.com</t>
  </si>
  <si>
    <t>6045</t>
  </si>
  <si>
    <t>https://drive.google.com/file/d/1HU7KU2TmD-spg9UHtEdZPwgFew9kI5nJ/view?usp=drivesdk</t>
  </si>
  <si>
    <t>Document successfully created; Document successfully merged; PDF created; !!Error Sending Emails: Service invoked too many times for one day: email.; Run via form trigger as ecertificate75@gmail.com; Timestamp: Aug 29 2024 9:47 PM</t>
  </si>
  <si>
    <t>1HU7KU2TmD-spg9UHtEdZPwgFew9kI5nJ</t>
  </si>
  <si>
    <t>1jK-A6xArYqLZSSwsNqTGXonF9lHfsnAp</t>
  </si>
  <si>
    <t>https://drive.google.com/file/d/1jK-A6xArYqLZSSwsNqTGXonF9lHfsnAp/view?usp=drivesdk</t>
  </si>
  <si>
    <t>SUKRAWATI PUSPITANINGRUM</t>
  </si>
  <si>
    <t>watipuspita70@gmail.com</t>
  </si>
  <si>
    <t>6046</t>
  </si>
  <si>
    <t>https://drive.google.com/file/d/19ZEycfaNCigUxXMdIhmVhTT9eYCq-Qv8/view?usp=drivesdk</t>
  </si>
  <si>
    <t>19ZEycfaNCigUxXMdIhmVhTT9eYCq-Qv8</t>
  </si>
  <si>
    <t>16sXarZOllnnV7oT-XrcY51tfmF9B1FZ-</t>
  </si>
  <si>
    <t>https://drive.google.com/file/d/16sXarZOllnnV7oT-XrcY51tfmF9B1FZ-/view?usp=drivesdk</t>
  </si>
  <si>
    <t>munandarapk@gmail.com</t>
  </si>
  <si>
    <t>6047</t>
  </si>
  <si>
    <t>https://drive.google.com/file/d/1_CmOnAW5S3YXKBb0ea_6_EIVRzvrNWs-/view?usp=drivesdk</t>
  </si>
  <si>
    <t>1_CmOnAW5S3YXKBb0ea_6_EIVRzvrNWs-</t>
  </si>
  <si>
    <t>1KmWALkjdfllTFzEETS2Oo8H28pVMvQ8A</t>
  </si>
  <si>
    <t>https://drive.google.com/file/d/1KmWALkjdfllTFzEETS2Oo8H28pVMvQ8A/view?usp=drivesdk</t>
  </si>
  <si>
    <t>NOVITA SARLI. S.KOM</t>
  </si>
  <si>
    <t>alifvit2007@gmail.com</t>
  </si>
  <si>
    <t>6048</t>
  </si>
  <si>
    <t>https://drive.google.com/file/d/1rinlricsgGDbSolvVV9JegJQ7WcrjV4k/view?usp=drivesdk</t>
  </si>
  <si>
    <t>1rinlricsgGDbSolvVV9JegJQ7WcrjV4k</t>
  </si>
  <si>
    <t>1LZxzJtTxIZo8TYTPLq96XfEXY5gZxsQe</t>
  </si>
  <si>
    <t>https://drive.google.com/file/d/1LZxzJtTxIZo8TYTPLq96XfEXY5gZxsQe/view?usp=drivesdk</t>
  </si>
  <si>
    <t>ENDAH PURWANTI</t>
  </si>
  <si>
    <t>purwantiendah1967@gmail.com</t>
  </si>
  <si>
    <t>6049</t>
  </si>
  <si>
    <t>Starting at Thu Aug 29 2024 21:46:30 GMT-0400 (EDT)</t>
  </si>
  <si>
    <t>1R8E0hQZhS7KpgUbqtgAcQT9mBiwyyScj</t>
  </si>
  <si>
    <t>https://drive.google.com/file/d/1R8E0hQZhS7KpgUbqtgAcQT9mBiwyyScj/view?usp=drivesdk</t>
  </si>
  <si>
    <t>Document successfully created; Document successfully merged; PDF created; !!Error Sending Emails: Service invoked too many times for one day: email.; Manually run by ecertificate75@gmail.com; Timestamp: Sep 3 2024 3:59 AM</t>
  </si>
  <si>
    <t>SUJIATI</t>
  </si>
  <si>
    <t>binsujiati@gmail.com</t>
  </si>
  <si>
    <t>6050</t>
  </si>
  <si>
    <t>1azQq6iE2prlkVeWPUSfCwpGxSOSL3AV_</t>
  </si>
  <si>
    <t>https://drive.google.com/file/d/1azQq6iE2prlkVeWPUSfCwpGxSOSL3AV_/view?usp=drivesdk</t>
  </si>
  <si>
    <t>IMELDA SISILYA CAROLINA GASPERSZ., S.ST., Bdn</t>
  </si>
  <si>
    <t>gasperszcarolina@gmail.com</t>
  </si>
  <si>
    <t>6051</t>
  </si>
  <si>
    <t>https://drive.google.com/file/d/18cwn3Y54LXQkc9WqOMJW7XrR4K6ovpW3/view?usp=drivesdk</t>
  </si>
  <si>
    <t>18cwn3Y54LXQkc9WqOMJW7XrR4K6ovpW3</t>
  </si>
  <si>
    <t>1TW0iOoANJez45aIdFxzpchDho8W32std</t>
  </si>
  <si>
    <t>https://drive.google.com/file/d/1TW0iOoANJez45aIdFxzpchDho8W32std/view?usp=drivesdk</t>
  </si>
  <si>
    <t>NUNIK KUN INDYASTUTI, SH</t>
  </si>
  <si>
    <t>nunik.darsono01@gmail.com</t>
  </si>
  <si>
    <t>6052</t>
  </si>
  <si>
    <t>https://drive.google.com/file/d/17zJ1t0zIjkpbb7vOwz3_1fMiUU-WubZU/view?usp=drivesdk</t>
  </si>
  <si>
    <t>17zJ1t0zIjkpbb7vOwz3_1fMiUU-WubZU</t>
  </si>
  <si>
    <t>1gpLk1rYAjj-uUhTr9n-bqFhCPpfT7mmT</t>
  </si>
  <si>
    <t>https://drive.google.com/file/d/1gpLk1rYAjj-uUhTr9n-bqFhCPpfT7mmT/view?usp=drivesdk</t>
  </si>
  <si>
    <t>WAHID SRIHARINI, S. E.</t>
  </si>
  <si>
    <t>wahidpnsresnganjuk@gmail.com</t>
  </si>
  <si>
    <t>6053</t>
  </si>
  <si>
    <t>Starting at Thu Aug 29 2024 21:46:37 GMT-0400 (EDT)</t>
  </si>
  <si>
    <t>14KhL_hGWR9wmg5Jwav81q4luA5gheczm</t>
  </si>
  <si>
    <t>https://drive.google.com/file/d/14KhL_hGWR9wmg5Jwav81q4luA5gheczm/view?usp=drivesdk</t>
  </si>
  <si>
    <t>Document successfully created; Document successfully merged; PDF created; !!Error Sending Emails: Service invoked too many times for one day: email.; Manually run by ecertificate75@gmail.com; Timestamp: Sep 3 2024 4:00 AM</t>
  </si>
  <si>
    <t>ICE, SKM</t>
  </si>
  <si>
    <t>icheskm@gmail.com</t>
  </si>
  <si>
    <t>6054</t>
  </si>
  <si>
    <t>1uOVoqBB6l03pNelLwxK_3zIGbA0x1b1f</t>
  </si>
  <si>
    <t>https://drive.google.com/file/d/1uOVoqBB6l03pNelLwxK_3zIGbA0x1b1f/view?usp=drivesdk</t>
  </si>
  <si>
    <t>RATNA IRMA HAPSARI</t>
  </si>
  <si>
    <t>mynamenana1@gmail.com</t>
  </si>
  <si>
    <t>6055</t>
  </si>
  <si>
    <t>1aPQfQZHulAw5VUsLpkaJCDC2YNJuBNwB</t>
  </si>
  <si>
    <t>https://drive.google.com/file/d/1aPQfQZHulAw5VUsLpkaJCDC2YNJuBNwB/view?usp=drivesdk</t>
  </si>
  <si>
    <t>ASMA,SE</t>
  </si>
  <si>
    <t>Aasm964@gmail.com</t>
  </si>
  <si>
    <t>6056</t>
  </si>
  <si>
    <t>1Ugbc05mADf3TydzOgR19ad0q7XY4lkct</t>
  </si>
  <si>
    <t>https://drive.google.com/file/d/1Ugbc05mADf3TydzOgR19ad0q7XY4lkct/view?usp=drivesdk</t>
  </si>
  <si>
    <t>agustinarasyid26@gmail.com</t>
  </si>
  <si>
    <t>6057</t>
  </si>
  <si>
    <t>1uLNElQXyK2Dd8EnD5mzR6dPtGbPZ31ov</t>
  </si>
  <si>
    <t>https://drive.google.com/file/d/1uLNElQXyK2Dd8EnD5mzR6dPtGbPZ31ov/view?usp=drivesdk</t>
  </si>
  <si>
    <t>Document successfully created; Document successfully merged; PDF created; !!Error Sending Emails: Service invoked too many times for one day: email.; Manually run by ecertificate75@gmail.com; Timestamp: Sep 3 2024 4:01 AM</t>
  </si>
  <si>
    <t>Lena Sintauli Napitupulu</t>
  </si>
  <si>
    <t>lenanapitupulu6@gmail.com</t>
  </si>
  <si>
    <t>6058</t>
  </si>
  <si>
    <t>1bjTZdiWor4AJQ_Vhv4wvCZtKOuWPb4ps</t>
  </si>
  <si>
    <t>https://drive.google.com/file/d/1bjTZdiWor4AJQ_Vhv4wvCZtKOuWPb4ps/view?usp=drivesdk</t>
  </si>
  <si>
    <t>Anythe Margaretha Lumimbus,S.Si,Apt</t>
  </si>
  <si>
    <t>lumimbusa@gmail.com</t>
  </si>
  <si>
    <t>6059</t>
  </si>
  <si>
    <t>1LTA3r5IFIEXlqtrZwmNfmt4N0mH_O96v</t>
  </si>
  <si>
    <t>https://drive.google.com/file/d/1LTA3r5IFIEXlqtrZwmNfmt4N0mH_O96v/view?usp=drivesdk</t>
  </si>
  <si>
    <t>MASYITAH, A.MD</t>
  </si>
  <si>
    <t>itamasyitah28@gmail.com</t>
  </si>
  <si>
    <t>6060</t>
  </si>
  <si>
    <t>1eVafVvcIf2zkmV561buZ-ozujmg0gx5s</t>
  </si>
  <si>
    <t>https://drive.google.com/file/d/1eVafVvcIf2zkmV561buZ-ozujmg0gx5s/view?usp=drivesdk</t>
  </si>
  <si>
    <t>NITA BONITA AGUSTINA</t>
  </si>
  <si>
    <t>nitabonitaagustina@gmail.com</t>
  </si>
  <si>
    <t>6061</t>
  </si>
  <si>
    <t>1ORe4UFpss27srMG86OR3fmL5zwIAagsQ</t>
  </si>
  <si>
    <t>https://drive.google.com/file/d/1ORe4UFpss27srMG86OR3fmL5zwIAagsQ/view?usp=drivesdk</t>
  </si>
  <si>
    <t>ABDUL RAHIM,A.MD.KEP.</t>
  </si>
  <si>
    <t>himzsibaim1992@gmail.com</t>
  </si>
  <si>
    <t>6062</t>
  </si>
  <si>
    <t>Starting at Thu Aug 29 2024 21:46:40 GMT-0400 (EDT)</t>
  </si>
  <si>
    <t>1pGWKSyEm8QyEDrGYQ4fsUT98R_TwOT7Q</t>
  </si>
  <si>
    <t>https://drive.google.com/file/d/1pGWKSyEm8QyEDrGYQ4fsUT98R_TwOT7Q/view?usp=drivesdk</t>
  </si>
  <si>
    <t>Document successfully created; Document successfully merged; PDF created; !!Error Sending Emails: Service invoked too many times for one day: email.; Manually run by ecertificate75@gmail.com; Timestamp: Sep 3 2024 4:02 AM</t>
  </si>
  <si>
    <t xml:space="preserve">IMELDA PESTARIA PARDEDE </t>
  </si>
  <si>
    <t>imeldapardede1812@gmail.com</t>
  </si>
  <si>
    <t>6063</t>
  </si>
  <si>
    <t>15ssW0o_YM5WD9g5dXeTY0iqzcShnn0ct</t>
  </si>
  <si>
    <t>https://drive.google.com/file/d/15ssW0o_YM5WD9g5dXeTY0iqzcShnn0ct/view?usp=drivesdk</t>
  </si>
  <si>
    <t>BURHANALWI</t>
  </si>
  <si>
    <t>burhanalwi698@gmail.com</t>
  </si>
  <si>
    <t>6064</t>
  </si>
  <si>
    <t>1xCmNWtyrHFSomJK32yOQZNpLSWPrbVbB</t>
  </si>
  <si>
    <t>https://drive.google.com/file/d/1xCmNWtyrHFSomJK32yOQZNpLSWPrbVbB/view?usp=drivesdk</t>
  </si>
  <si>
    <t xml:space="preserve">KHAIRUL </t>
  </si>
  <si>
    <t>khairulsinage198001@gmail.com</t>
  </si>
  <si>
    <t>6065</t>
  </si>
  <si>
    <t>1768H5SppZ5hJRlt-kiDZ-QRiDGC2z5EO</t>
  </si>
  <si>
    <t>https://drive.google.com/file/d/1768H5SppZ5hJRlt-kiDZ-QRiDGC2z5EO/view?usp=drivesdk</t>
  </si>
  <si>
    <t>DWI ARI AMBARSASI, SE</t>
  </si>
  <si>
    <t>ambarsasi1974@gmail.com</t>
  </si>
  <si>
    <t>6066</t>
  </si>
  <si>
    <t>https://drive.google.com/file/d/1jcL-wWSZirrzYIFRxzvnJ1k4sBlkv2Rb/view?usp=drivesdk</t>
  </si>
  <si>
    <t>1jcL-wWSZirrzYIFRxzvnJ1k4sBlkv2Rb</t>
  </si>
  <si>
    <t>1iWYP91fd54-5nlx5xO_s8rLEd0arsOCS</t>
  </si>
  <si>
    <t>https://drive.google.com/file/d/1iWYP91fd54-5nlx5xO_s8rLEd0arsOCS/view?usp=drivesdk</t>
  </si>
  <si>
    <t>NANIK CAHYANINGTYAS</t>
  </si>
  <si>
    <t>nanik70adit@gmail.com</t>
  </si>
  <si>
    <t>6067</t>
  </si>
  <si>
    <t>https://drive.google.com/file/d/1OOWuKJArQZ_6kl9Epj_qY-XJCbHJTH2_/view?usp=drivesdk</t>
  </si>
  <si>
    <t>1OOWuKJArQZ_6kl9Epj_qY-XJCbHJTH2_</t>
  </si>
  <si>
    <t>1qJX6sz7Nw7KBWPJflFVP-PIzgiawajiy</t>
  </si>
  <si>
    <t>https://drive.google.com/file/d/1qJX6sz7Nw7KBWPJflFVP-PIzgiawajiy/view?usp=drivesdk</t>
  </si>
  <si>
    <t>Document successfully created; Document successfully merged; PDF created; !!Error Sending Emails: Service invoked too many times for one day: email.; Manually run by ecertificate75@gmail.com; Timestamp: Sep 3 2024 4:03 AM</t>
  </si>
  <si>
    <t>RIZKI YANTO, S.H.</t>
  </si>
  <si>
    <t>rizkiyanto8899@gmail.com</t>
  </si>
  <si>
    <t>6068</t>
  </si>
  <si>
    <t>https://drive.google.com/file/d/1kFB_pfdSBrwsulLZp8KhbrX8N08t4ffz/view?usp=drivesdk</t>
  </si>
  <si>
    <t>1kFB_pfdSBrwsulLZp8KhbrX8N08t4ffz</t>
  </si>
  <si>
    <t>1OX1vCEhIZfaJLJpUdgdEfz0s5nl2tHY5</t>
  </si>
  <si>
    <t>https://drive.google.com/file/d/1OX1vCEhIZfaJLJpUdgdEfz0s5nl2tHY5/view?usp=drivesdk</t>
  </si>
  <si>
    <t>AMINTAS SITORUS</t>
  </si>
  <si>
    <t>sitorusamoratus@gmail.com</t>
  </si>
  <si>
    <t>6069</t>
  </si>
  <si>
    <t>Starting at Thu Aug 29 2024 21:46:46 GMT-0400 (EDT)</t>
  </si>
  <si>
    <t>1wi58FJYU-46AKwnOQGKDHHpKh7GoaLht</t>
  </si>
  <si>
    <t>https://drive.google.com/file/d/1wi58FJYU-46AKwnOQGKDHHpKh7GoaLht/view?usp=drivesdk</t>
  </si>
  <si>
    <t>BASTIAN KARTIKANINGTYAS</t>
  </si>
  <si>
    <t>kartikacuby@gmail.com</t>
  </si>
  <si>
    <t>6070</t>
  </si>
  <si>
    <t>https://drive.google.com/file/d/1NF8xNHjy3cBOAHnVz5i-We3jjwra3dbO/view?usp=drivesdk</t>
  </si>
  <si>
    <t>1NF8xNHjy3cBOAHnVz5i-We3jjwra3dbO</t>
  </si>
  <si>
    <t>1hcQBP6EYfUA-dnqm4wqjEcWkMkAVf_pB</t>
  </si>
  <si>
    <t>https://drive.google.com/file/d/1hcQBP6EYfUA-dnqm4wqjEcWkMkAVf_pB/view?usp=drivesdk</t>
  </si>
  <si>
    <t>ELPIANA</t>
  </si>
  <si>
    <t>elpiana.2511@gmail.com</t>
  </si>
  <si>
    <t>6071</t>
  </si>
  <si>
    <t>https://drive.google.com/file/d/1eLldW5c33nPZ5THsOv17Wknmp1YYoLTy/view?usp=drivesdk</t>
  </si>
  <si>
    <t>1eLldW5c33nPZ5THsOv17Wknmp1YYoLTy</t>
  </si>
  <si>
    <t>14euAyYUHwLxJu3Q5pnQij01i82JsXRpm</t>
  </si>
  <si>
    <t>https://drive.google.com/file/d/14euAyYUHwLxJu3Q5pnQij01i82JsXRpm/view?usp=drivesdk</t>
  </si>
  <si>
    <t>RACHMAT DWIPUTRANTO</t>
  </si>
  <si>
    <t>anto1971dwiputranto@gmail.com</t>
  </si>
  <si>
    <t>6072</t>
  </si>
  <si>
    <t>https://drive.google.com/file/d/1ahzYLIy4XU3bH9m-swr-OzxSdmbTKb2C/view?usp=drivesdk</t>
  </si>
  <si>
    <t>1ahzYLIy4XU3bH9m-swr-OzxSdmbTKb2C</t>
  </si>
  <si>
    <t>1ngdgFKPQztjuqIi38oAZ9ssAEdc5pXtW</t>
  </si>
  <si>
    <t>https://drive.google.com/file/d/1ngdgFKPQztjuqIi38oAZ9ssAEdc5pXtW/view?usp=drivesdk</t>
  </si>
  <si>
    <t>Document successfully created; Document successfully merged; PDF created; !!Error Sending Emails: Service invoked too many times for one day: email.; Manually run by ecertificate75@gmail.com; Timestamp: Sep 3 2024 4:04 AM</t>
  </si>
  <si>
    <t>YULIARNI, S.H.</t>
  </si>
  <si>
    <t>yuliarniyulef@gmail.com</t>
  </si>
  <si>
    <t>6073</t>
  </si>
  <si>
    <t>https://drive.google.com/file/d/1fH12N8ikbjf9kA6bYE0jRngJg0DhSUHC/view?usp=drivesdk</t>
  </si>
  <si>
    <t>1fH12N8ikbjf9kA6bYE0jRngJg0DhSUHC</t>
  </si>
  <si>
    <t>1gnP2YOtnVmnF5FWydQ0eJmkzItNpT919</t>
  </si>
  <si>
    <t>https://drive.google.com/file/d/1gnP2YOtnVmnF5FWydQ0eJmkzItNpT919/view?usp=drivesdk</t>
  </si>
  <si>
    <t>DEDI KOSASIH</t>
  </si>
  <si>
    <t>dedi.kosasih2017@gmail.com</t>
  </si>
  <si>
    <t>6074</t>
  </si>
  <si>
    <t>https://drive.google.com/file/d/1uGU0Rx8J2axhssjFAMR2Ng4qT8-wlfhO/view?usp=drivesdk</t>
  </si>
  <si>
    <t>1uGU0Rx8J2axhssjFAMR2Ng4qT8-wlfhO</t>
  </si>
  <si>
    <t>13YT93QQuykrxd8yxCW27YVh-rzPI6rOk</t>
  </si>
  <si>
    <t>https://drive.google.com/file/d/13YT93QQuykrxd8yxCW27YVh-rzPI6rOk/view?usp=drivesdk</t>
  </si>
  <si>
    <t>AZIZ MUSLIM.S.E.</t>
  </si>
  <si>
    <t>aziznolik@gmail.com</t>
  </si>
  <si>
    <t>6075</t>
  </si>
  <si>
    <t>https://drive.google.com/file/d/10WuEBEASu2LPjKzoM5RG8N9m1oF4_Tm9/view?usp=drivesdk</t>
  </si>
  <si>
    <t>10WuEBEASu2LPjKzoM5RG8N9m1oF4_Tm9</t>
  </si>
  <si>
    <t>1I0qfJOVW9Yo5o1IZv_1eFls6W_hugxRn</t>
  </si>
  <si>
    <t>https://drive.google.com/file/d/1I0qfJOVW9Yo5o1IZv_1eFls6W_hugxRn/view?usp=drivesdk</t>
  </si>
  <si>
    <t>SULIMAN</t>
  </si>
  <si>
    <t>suliman.bjn46@gmail.com</t>
  </si>
  <si>
    <t>6076</t>
  </si>
  <si>
    <t>Starting at Thu Aug 29 2024 21:46:49 GMT-0400 (EDT)</t>
  </si>
  <si>
    <t>1MGZhl7SwQaPFq5yr1XjNzZ_xvUtY4-v9</t>
  </si>
  <si>
    <t>https://drive.google.com/file/d/1MGZhl7SwQaPFq5yr1XjNzZ_xvUtY4-v9/view?usp=drivesdk</t>
  </si>
  <si>
    <t>Document successfully created; Document successfully merged; PDF created; !!Error Sending Emails: Service invoked too many times for one day: email.; Manually run by ecertificate75@gmail.com; Timestamp: Sep 3 2024 4:05 AM</t>
  </si>
  <si>
    <t xml:space="preserve">Sri YuliYanti </t>
  </si>
  <si>
    <t>yulivalencia880@gmail.com</t>
  </si>
  <si>
    <t>6077</t>
  </si>
  <si>
    <t>1K26zbcemufBirOy_H97EY-pyaJ5R6738</t>
  </si>
  <si>
    <t>https://drive.google.com/file/d/1K26zbcemufBirOy_H97EY-pyaJ5R6738/view?usp=drivesdk</t>
  </si>
  <si>
    <t>EVI SAFITRI SULISTYORINI,S.Kep.,Ns</t>
  </si>
  <si>
    <t>evisafitri416@gmail.com</t>
  </si>
  <si>
    <t>6078</t>
  </si>
  <si>
    <t>1QSLiOZvprYGd7b1fI0ANdXV5JOQG3ILV</t>
  </si>
  <si>
    <t>https://drive.google.com/file/d/1QSLiOZvprYGd7b1fI0ANdXV5JOQG3ILV/view?usp=drivesdk</t>
  </si>
  <si>
    <t>HARTINI DOMPI, S.P., M.M.</t>
  </si>
  <si>
    <t>hartinidompi@gmail.com</t>
  </si>
  <si>
    <t>6079</t>
  </si>
  <si>
    <t>https://drive.google.com/file/d/19gxF5_vLoYik0Eu-SPzeJlgtJEyZIlOI/view?usp=drivesdk</t>
  </si>
  <si>
    <t>19gxF5_vLoYik0Eu-SPzeJlgtJEyZIlOI</t>
  </si>
  <si>
    <t>1-z1Jc6FlipR24oDiRuwPpR38X7ViLLd9</t>
  </si>
  <si>
    <t>https://drive.google.com/file/d/1-z1Jc6FlipR24oDiRuwPpR38X7ViLLd9/view?usp=drivesdk</t>
  </si>
  <si>
    <t>Document successfully created; Document successfully merged; PDF created; !!Error Sending Emails: Service invoked too many times for one day: email.; Manually run by ecertificate75@gmail.com; Timestamp: Sep 3 2024 4:06 AM</t>
  </si>
  <si>
    <t>NAJMAH. M</t>
  </si>
  <si>
    <t>197301211998032003@polri.go.id</t>
  </si>
  <si>
    <t>6080</t>
  </si>
  <si>
    <t>https://drive.google.com/file/d/1qLhDlRaoF34WNsUS_u1nW8QnHwdd6Bw-/view?usp=drivesdk</t>
  </si>
  <si>
    <t>1qLhDlRaoF34WNsUS_u1nW8QnHwdd6Bw-</t>
  </si>
  <si>
    <t>1bbBniNKLcUrotdBBcbuMqy-YPfBlJxUl</t>
  </si>
  <si>
    <t>https://drive.google.com/file/d/1bbBniNKLcUrotdBBcbuMqy-YPfBlJxUl/view?usp=drivesdk</t>
  </si>
  <si>
    <t>GRACIA BUANA SAKTI</t>
  </si>
  <si>
    <t>subbagsik.yanmapol@gmail.com</t>
  </si>
  <si>
    <t>6081</t>
  </si>
  <si>
    <t>https://drive.google.com/file/d/1G8AHQtCm6jo0d_aU0o7dR8lSTxZbVXfi/view?usp=drivesdk</t>
  </si>
  <si>
    <t>1G8AHQtCm6jo0d_aU0o7dR8lSTxZbVXfi</t>
  </si>
  <si>
    <t>1QRRUm2NeuxYCFScRMmQEB1gAopj9DDw5</t>
  </si>
  <si>
    <t>https://drive.google.com/file/d/1QRRUm2NeuxYCFScRMmQEB1gAopj9DDw5/view?usp=drivesdk</t>
  </si>
  <si>
    <t>ABDUR RAZAK NST</t>
  </si>
  <si>
    <t>arnerza@gmail.com</t>
  </si>
  <si>
    <t>6082</t>
  </si>
  <si>
    <t>Starting at Thu Aug 29 2024 21:46:52 GMT-0400 (EDT)</t>
  </si>
  <si>
    <t>1wlCU05eFQWCMzsJGYogmMWKwziMilQd9</t>
  </si>
  <si>
    <t>https://drive.google.com/file/d/1wlCU05eFQWCMzsJGYogmMWKwziMilQd9/view?usp=drivesdk</t>
  </si>
  <si>
    <t>SOEKARTINI</t>
  </si>
  <si>
    <t>tinduet@gmail.com</t>
  </si>
  <si>
    <t>6083</t>
  </si>
  <si>
    <t>https://drive.google.com/file/d/18wDVE6O4guoHN4EcEJO-7ClYpg1dYrhk/view?usp=drivesdk</t>
  </si>
  <si>
    <t>18wDVE6O4guoHN4EcEJO-7ClYpg1dYrhk</t>
  </si>
  <si>
    <t>1OucHm6rgQs17D4bdhUdK4KWmheKuoRLs</t>
  </si>
  <si>
    <t>https://drive.google.com/file/d/1OucHm6rgQs17D4bdhUdK4KWmheKuoRLs/view?usp=drivesdk</t>
  </si>
  <si>
    <t>Document successfully created; Document successfully merged; PDF created; !!Error Sending Emails: Service invoked too many times for one day: email.; Manually run by ecertificate75@gmail.com; Timestamp: Sep 3 2024 4:07 AM</t>
  </si>
  <si>
    <t>PALUPI RAHENDRANINGSIH</t>
  </si>
  <si>
    <t>rahendrapalupi@gmail.com</t>
  </si>
  <si>
    <t>6084</t>
  </si>
  <si>
    <t>https://drive.google.com/file/d/1mfxxGlmkBHKiUK4rh9XR509CwxchPJzf/view?usp=drivesdk</t>
  </si>
  <si>
    <t>1mfxxGlmkBHKiUK4rh9XR509CwxchPJzf</t>
  </si>
  <si>
    <t>1Ab7okNx7wpPH-9L5mw8AdilP6DECqluC</t>
  </si>
  <si>
    <t>https://drive.google.com/file/d/1Ab7okNx7wpPH-9L5mw8AdilP6DECqluC/view?usp=drivesdk</t>
  </si>
  <si>
    <t>ABD.ZAKIR</t>
  </si>
  <si>
    <t>abdulzakir26@gmail.com</t>
  </si>
  <si>
    <t>6085</t>
  </si>
  <si>
    <t>Starting at Thu Aug 29 2024 21:46:57 GMT-0400 (EDT)</t>
  </si>
  <si>
    <t>1R0pwBaM5kqcwo7rjRGOAP43cYCCH1TGf</t>
  </si>
  <si>
    <t>https://drive.google.com/file/d/1R0pwBaM5kqcwo7rjRGOAP43cYCCH1TGf/view?usp=drivesdk</t>
  </si>
  <si>
    <t>RESTYANINGSIH SUKMAN HANDAYANI</t>
  </si>
  <si>
    <t>handayanirestyaningsih@gmail.com</t>
  </si>
  <si>
    <t>6086</t>
  </si>
  <si>
    <t>1Lx1uao1VWnXgnoZIwqVBHBjO489wyG3-</t>
  </si>
  <si>
    <t>https://drive.google.com/file/d/1Lx1uao1VWnXgnoZIwqVBHBjO489wyG3-/view?usp=drivesdk</t>
  </si>
  <si>
    <t>DR RENTY FRISKA M PANGARIBUAN</t>
  </si>
  <si>
    <t>cyaica26@gmail.com</t>
  </si>
  <si>
    <t>6087</t>
  </si>
  <si>
    <t>19jonJVly_jvJGscuk1OMpJQr_IdiajTV</t>
  </si>
  <si>
    <t>https://drive.google.com/file/d/19jonJVly_jvJGscuk1OMpJQr_IdiajTV/view?usp=drivesdk</t>
  </si>
  <si>
    <t>Document successfully created; Document successfully merged; PDF created; !!Error Sending Emails: Service invoked too many times for one day: email.; Manually run by ecertificate75@gmail.com; Timestamp: Sep 3 2024 4:08 AM</t>
  </si>
  <si>
    <t>WISNU AMBARWATI</t>
  </si>
  <si>
    <t>ambarwati.rzh@gmail.com</t>
  </si>
  <si>
    <t>6088</t>
  </si>
  <si>
    <t>1plBOPXncCyx0G3I6MP1edsKsGuTluN35</t>
  </si>
  <si>
    <t>https://drive.google.com/file/d/1plBOPXncCyx0G3I6MP1edsKsGuTluN35/view?usp=drivesdk</t>
  </si>
  <si>
    <t>ESTHER KENDEK ROST, S.Kep.Ns</t>
  </si>
  <si>
    <t>estherkendekrost@gmail.com</t>
  </si>
  <si>
    <t>6089</t>
  </si>
  <si>
    <t>1wcozoM3B1QRx1iDw58pIcakllcsmSNCW</t>
  </si>
  <si>
    <t>https://drive.google.com/file/d/1wcozoM3B1QRx1iDw58pIcakllcsmSNCW/view?usp=drivesdk</t>
  </si>
  <si>
    <t xml:space="preserve">MAISIRUL HARIM </t>
  </si>
  <si>
    <t>maisirulharim@gmail.com</t>
  </si>
  <si>
    <t>6090</t>
  </si>
  <si>
    <t>1mA9mEvzZ0mnOIljwMx7BAkWRqcnHZlUv</t>
  </si>
  <si>
    <t>https://drive.google.com/file/d/1mA9mEvzZ0mnOIljwMx7BAkWRqcnHZlUv/view?usp=drivesdk</t>
  </si>
  <si>
    <t>JOKO SANTOSO, Amd.Gz</t>
  </si>
  <si>
    <t>jokodzaky@gmail.com</t>
  </si>
  <si>
    <t>6091</t>
  </si>
  <si>
    <t>1wqFpw2BiDnaBxgNV9K1OXxwB759lDhOI</t>
  </si>
  <si>
    <t>https://drive.google.com/file/d/1wqFpw2BiDnaBxgNV9K1OXxwB759lDhOI/view?usp=drivesdk</t>
  </si>
  <si>
    <t>Document successfully created; Document successfully merged; PDF created; !!Error Sending Emails: Service invoked too many times for one day: email.; Manually run by ecertificate75@gmail.com; Timestamp: Sep 3 2024 4:09 AM</t>
  </si>
  <si>
    <t>SUNDARI, S.E.</t>
  </si>
  <si>
    <t>sundari.jiteng@gmail.com</t>
  </si>
  <si>
    <t>6092</t>
  </si>
  <si>
    <t>1rR_s81vQpfVebyEz6GhO9clqo3g_N-aM</t>
  </si>
  <si>
    <t>https://drive.google.com/file/d/1rR_s81vQpfVebyEz6GhO9clqo3g_N-aM/view?usp=drivesdk</t>
  </si>
  <si>
    <t>RIKA RUSANTI</t>
  </si>
  <si>
    <t>rikagithalin85@gmail.com</t>
  </si>
  <si>
    <t>6093</t>
  </si>
  <si>
    <t>1C-wzQ86_t_EeRry-IigWryEpWxz8a57r</t>
  </si>
  <si>
    <t>https://drive.google.com/file/d/1C-wzQ86_t_EeRry-IigWryEpWxz8a57r/view?usp=drivesdk</t>
  </si>
  <si>
    <t xml:space="preserve">Elmina Sihombing, SE </t>
  </si>
  <si>
    <t>elminasihombing23@gmail.com</t>
  </si>
  <si>
    <t>6094</t>
  </si>
  <si>
    <t>https://drive.google.com/file/d/1Qr28dptddU3TH47_LaHFtmoWzDmmeKza/view?usp=drivesdk</t>
  </si>
  <si>
    <t>1Qr28dptddU3TH47_LaHFtmoWzDmmeKza</t>
  </si>
  <si>
    <t>1yQN9N1aQy_X2iy0rH4OGfq6Z-XPBgSpA</t>
  </si>
  <si>
    <t>https://drive.google.com/file/d/1yQN9N1aQy_X2iy0rH4OGfq6Z-XPBgSpA/view?usp=drivesdk</t>
  </si>
  <si>
    <t>SULISTIYORINI</t>
  </si>
  <si>
    <t>sulistiyorini1@gmail.com</t>
  </si>
  <si>
    <t>6095</t>
  </si>
  <si>
    <t>https://drive.google.com/file/d/13XXKgkxEdBzVqJYoz0uWcFURCksO0rcM/view?usp=drivesdk</t>
  </si>
  <si>
    <t>13XXKgkxEdBzVqJYoz0uWcFURCksO0rcM</t>
  </si>
  <si>
    <t>1rwBY0lu2VDGQ4xRoAuUec479v7fhRH16</t>
  </si>
  <si>
    <t>https://drive.google.com/file/d/1rwBY0lu2VDGQ4xRoAuUec479v7fhRH16/view?usp=drivesdk</t>
  </si>
  <si>
    <t>Document successfully created; Document successfully merged; PDF created; !!Error Sending Emails: Service invoked too many times for one day: email.; Manually run by ecertificate75@gmail.com; Timestamp: Sep 3 2024 4:10 AM</t>
  </si>
  <si>
    <t>NUNGKI KRISDIANTI</t>
  </si>
  <si>
    <t>nungkikrisdianti@gmail.com</t>
  </si>
  <si>
    <t>6096</t>
  </si>
  <si>
    <t>https://drive.google.com/file/d/18EdJXrSVkCMhvPeFNq2cGM0eEatt5jnM/view?usp=drivesdk</t>
  </si>
  <si>
    <t>18EdJXrSVkCMhvPeFNq2cGM0eEatt5jnM</t>
  </si>
  <si>
    <t>1IEros0QLQVBdDNgGW9R0aRtCjM31fS_s</t>
  </si>
  <si>
    <t>https://drive.google.com/file/d/1IEros0QLQVBdDNgGW9R0aRtCjM31fS_s/view?usp=drivesdk</t>
  </si>
  <si>
    <t>ENDANG JATI WILIS, A.Md.</t>
  </si>
  <si>
    <t>wilis.manizz@gmail.com</t>
  </si>
  <si>
    <t>6097</t>
  </si>
  <si>
    <t>https://drive.google.com/file/d/1BaJDBezrsXH7oDbqme2ez4epNxiz387x/view?usp=drivesdk</t>
  </si>
  <si>
    <t>1BaJDBezrsXH7oDbqme2ez4epNxiz387x</t>
  </si>
  <si>
    <t>1ADmHpGVA3vtBBUU9gRVuUt9YH1AFBlCp</t>
  </si>
  <si>
    <t>https://drive.google.com/file/d/1ADmHpGVA3vtBBUU9gRVuUt9YH1AFBlCp/view?usp=drivesdk</t>
  </si>
  <si>
    <t>MEVI ASTARI, S.E., M.M.</t>
  </si>
  <si>
    <t>meviastari@gmail.com</t>
  </si>
  <si>
    <t>6098</t>
  </si>
  <si>
    <t>https://drive.google.com/file/d/1eWeYVSUHBUncoSJO-sgUqTXfatonTt24/view?usp=drivesdk</t>
  </si>
  <si>
    <t>1eWeYVSUHBUncoSJO-sgUqTXfatonTt24</t>
  </si>
  <si>
    <t>1PaocYwIaJuQ-rfXlHkLaXE7ZRsDsQIOc</t>
  </si>
  <si>
    <t>https://drive.google.com/file/d/1PaocYwIaJuQ-rfXlHkLaXE7ZRsDsQIOc/view?usp=drivesdk</t>
  </si>
  <si>
    <t>Document successfully created; Document successfully merged; PDF created; !!Error Sending Emails: Service invoked too many times for one day: email.; Manually run by ecertificate75@gmail.com; Timestamp: Sep 3 2024 4:11 AM</t>
  </si>
  <si>
    <t>HARIYANTO</t>
  </si>
  <si>
    <t>harihariyanto438@gmail.com</t>
  </si>
  <si>
    <t>6099</t>
  </si>
  <si>
    <t>https://drive.google.com/file/d/1ZxI0EYETrs9VP3-6Jz6bAhX86e3H43jN/view?usp=drivesdk</t>
  </si>
  <si>
    <t>1ZxI0EYETrs9VP3-6Jz6bAhX86e3H43jN</t>
  </si>
  <si>
    <t>1OHvQTkxkLmNfbQBPfAHyigB_RX1nqMgR</t>
  </si>
  <si>
    <t>https://drive.google.com/file/d/1OHvQTkxkLmNfbQBPfAHyigB_RX1nqMgR/view?usp=drivesdk</t>
  </si>
  <si>
    <t>EVI LISNAINI</t>
  </si>
  <si>
    <t>evilis.2010@gmail.com</t>
  </si>
  <si>
    <t>6100</t>
  </si>
  <si>
    <t>Starting at Thu Aug 29 2024 21:47:09 GMT-0400 (EDT)</t>
  </si>
  <si>
    <t>1lQaK3Q5mE0I1-V-5pj20NdNSkhGMoC-h</t>
  </si>
  <si>
    <t>https://drive.google.com/file/d/1lQaK3Q5mE0I1-V-5pj20NdNSkhGMoC-h/view?usp=drivesdk</t>
  </si>
  <si>
    <t>HARI ASTUTI</t>
  </si>
  <si>
    <t>hariastutituti@gmail.com</t>
  </si>
  <si>
    <t>6101</t>
  </si>
  <si>
    <t>1fY8MizK-RO9KcADqC74Fh2drcfLWKCHD</t>
  </si>
  <si>
    <t>https://drive.google.com/file/d/1fY8MizK-RO9KcADqC74Fh2drcfLWKCHD/view?usp=drivesdk</t>
  </si>
  <si>
    <t>KHAIRUNNISA, AMF</t>
  </si>
  <si>
    <t>khairunnisamustafa05@gmail.com</t>
  </si>
  <si>
    <t>6102</t>
  </si>
  <si>
    <t>1ah7Y40ubgbsgNE_5X6aFJxHCav63Tnd9</t>
  </si>
  <si>
    <t>https://drive.google.com/file/d/1ah7Y40ubgbsgNE_5X6aFJxHCav63Tnd9/view?usp=drivesdk</t>
  </si>
  <si>
    <t>Document successfully created; Document successfully merged; PDF created; !!Error Sending Emails: Service invoked too many times for one day: email.; Manually run by ecertificate75@gmail.com; Timestamp: Sep 3 2024 4:12 AM</t>
  </si>
  <si>
    <t>logistikresblitar@gmail.com</t>
  </si>
  <si>
    <t>6103</t>
  </si>
  <si>
    <t>1GcnUOjrnUkaOaVvvIHScwzJbQQVrbuYm</t>
  </si>
  <si>
    <t>https://drive.google.com/file/d/1GcnUOjrnUkaOaVvvIHScwzJbQQVrbuYm/view?usp=drivesdk</t>
  </si>
  <si>
    <t xml:space="preserve">A. SULKARNA ACHMAD, S.E </t>
  </si>
  <si>
    <t>as.achmad130876pns@gmail.com</t>
  </si>
  <si>
    <t>6104</t>
  </si>
  <si>
    <t>1NXuJ2peenKRk2GZ7PYXBRGoh4qt7DeN-</t>
  </si>
  <si>
    <t>https://drive.google.com/file/d/1NXuJ2peenKRk2GZ7PYXBRGoh4qt7DeN-/view?usp=drivesdk</t>
  </si>
  <si>
    <t xml:space="preserve">DIRMANTO </t>
  </si>
  <si>
    <t>dirmanto71@gmail.com</t>
  </si>
  <si>
    <t>6105</t>
  </si>
  <si>
    <t>1Od1uwzpxESYydChHH5fTY-LeePluzso0</t>
  </si>
  <si>
    <t>https://drive.google.com/file/d/1Od1uwzpxESYydChHH5fTY-LeePluzso0/view?usp=drivesdk</t>
  </si>
  <si>
    <t xml:space="preserve">SUYENI </t>
  </si>
  <si>
    <t>suyeni2310@gmail.com</t>
  </si>
  <si>
    <t>6106</t>
  </si>
  <si>
    <t>1Y7jOQ4PKMKP8oSJfuv6WL5MougRqRoje</t>
  </si>
  <si>
    <t>https://drive.google.com/file/d/1Y7jOQ4PKMKP8oSJfuv6WL5MougRqRoje/view?usp=drivesdk</t>
  </si>
  <si>
    <t>Document successfully created; Document successfully merged; PDF created; !!Error Sending Emails: Service invoked too many times for one day: email.; Manually run by ecertificate75@gmail.com; Timestamp: Sep 3 2024 4:13 AM</t>
  </si>
  <si>
    <t>DR. SYARIFAH MUSYRIFAH, S.E.,M.M.</t>
  </si>
  <si>
    <t>syarifah.kdi555@gmail.com</t>
  </si>
  <si>
    <t>6107</t>
  </si>
  <si>
    <t>https://drive.google.com/file/d/1wT9fT3DZ8qaEi33ssAN75tZ-YupUzpCk/view?usp=drivesdk</t>
  </si>
  <si>
    <t>1wT9fT3DZ8qaEi33ssAN75tZ-YupUzpCk</t>
  </si>
  <si>
    <t>1ljeFdmfw6Z7G4GPLzK7NjdIPfw_NgljW</t>
  </si>
  <si>
    <t>https://drive.google.com/file/d/1ljeFdmfw6Z7G4GPLzK7NjdIPfw_NgljW/view?usp=drivesdk</t>
  </si>
  <si>
    <t>Razidan Alwan, A.Md. Kes</t>
  </si>
  <si>
    <t>razidanalwan6@gmail.com</t>
  </si>
  <si>
    <t>6108</t>
  </si>
  <si>
    <t>https://drive.google.com/file/d/1NxmxaR35W-AEh7BL5QvouBARGgUoUWRA/view?usp=drivesdk</t>
  </si>
  <si>
    <t>1NxmxaR35W-AEh7BL5QvouBARGgUoUWRA</t>
  </si>
  <si>
    <t>1B8hjTU0qIFL5whv2Hw23t2dhhNNRSR8i</t>
  </si>
  <si>
    <t>https://drive.google.com/file/d/1B8hjTU0qIFL5whv2Hw23t2dhhNNRSR8i/view?usp=drivesdk</t>
  </si>
  <si>
    <t>YUNANIK</t>
  </si>
  <si>
    <t>nanikdander@gmail.com</t>
  </si>
  <si>
    <t>6109</t>
  </si>
  <si>
    <t>Starting at Thu Aug 29 2024 21:47:23 GMT-0400 (EDT)</t>
  </si>
  <si>
    <t>103Qwkh6gUoB-g9ZNR7Z0tIrTQl-KNrFf</t>
  </si>
  <si>
    <t>https://drive.google.com/file/d/103Qwkh6gUoB-g9ZNR7Z0tIrTQl-KNrFf/view?usp=drivesdk</t>
  </si>
  <si>
    <t>dr.SUPERIDA BR GINTING SUKA.M.Ked,SpKJ</t>
  </si>
  <si>
    <t>super_itink@yahoo.co.id</t>
  </si>
  <si>
    <t>6110</t>
  </si>
  <si>
    <t>12i4pZqwGJ8GNT43rd1rJdpByFBXE-FOS</t>
  </si>
  <si>
    <t>https://drive.google.com/file/d/12i4pZqwGJ8GNT43rd1rJdpByFBXE-FOS/view?usp=drivesdk</t>
  </si>
  <si>
    <t>DHADANG WIDODO</t>
  </si>
  <si>
    <t>dhadangwmakota@gmail.com</t>
  </si>
  <si>
    <t>6111</t>
  </si>
  <si>
    <t>1kIoU4h1HsZ5UQwM5H4z1X1kOTXa22XMj</t>
  </si>
  <si>
    <t>https://drive.google.com/file/d/1kIoU4h1HsZ5UQwM5H4z1X1kOTXa22XMj/view?usp=drivesdk</t>
  </si>
  <si>
    <t>Document successfully created; Document successfully merged; PDF created; !!Error Sending Emails: Service invoked too many times for one day: email.; Manually run by ecertificate75@gmail.com; Timestamp: Sep 3 2024 4:14 AM</t>
  </si>
  <si>
    <t>RATNA LAMSIHAR SIAHAAN</t>
  </si>
  <si>
    <t>ratnasiahaan2@gmail.com</t>
  </si>
  <si>
    <t>6112</t>
  </si>
  <si>
    <t>15_B2Wt89K4G_8AJxqETnRWBmK5QQlAOc</t>
  </si>
  <si>
    <t>https://drive.google.com/file/d/15_B2Wt89K4G_8AJxqETnRWBmK5QQlAOc/view?usp=drivesdk</t>
  </si>
  <si>
    <t>RIADI PENGATUR</t>
  </si>
  <si>
    <t>bukyatminiyat@gmail.com</t>
  </si>
  <si>
    <t>6113</t>
  </si>
  <si>
    <t>1j0KnylCMUCl4qJz7g66FGIVNmsBdnUkS</t>
  </si>
  <si>
    <t>https://drive.google.com/file/d/1j0KnylCMUCl4qJz7g66FGIVNmsBdnUkS/view?usp=drivesdk</t>
  </si>
  <si>
    <t>ESTI RENDA, S.E.</t>
  </si>
  <si>
    <t>estirenda0@gmail.com</t>
  </si>
  <si>
    <t>6114</t>
  </si>
  <si>
    <t>1sLHJtHC9JvvsLasJfpnJtPRWcbtI8Idg</t>
  </si>
  <si>
    <t>https://drive.google.com/file/d/1sLHJtHC9JvvsLasJfpnJtPRWcbtI8Idg/view?usp=drivesdk</t>
  </si>
  <si>
    <t>KUSUMAWATI</t>
  </si>
  <si>
    <t>watikusuma098@gmail.com</t>
  </si>
  <si>
    <t>6115</t>
  </si>
  <si>
    <t>1A1MbX9ZH5vWeY3t5omV_V9LzUGiICWIM</t>
  </si>
  <si>
    <t>https://drive.google.com/file/d/1A1MbX9ZH5vWeY3t5omV_V9LzUGiICWIM/view?usp=drivesdk</t>
  </si>
  <si>
    <t>MUKHOFI YUSUF, S.M</t>
  </si>
  <si>
    <t>mukhofiyusufyusuf@gmail.com</t>
  </si>
  <si>
    <t>6116</t>
  </si>
  <si>
    <t>https://drive.google.com/file/d/1uxe61wwUjitvBL6yOA1lPEymOLZdZ8rM/view?usp=drivesdk</t>
  </si>
  <si>
    <t>1uxe61wwUjitvBL6yOA1lPEymOLZdZ8rM</t>
  </si>
  <si>
    <t>1x9SJJMZWaMFmoawmzw61ma-zzEqPbZJj</t>
  </si>
  <si>
    <t>https://drive.google.com/file/d/1x9SJJMZWaMFmoawmzw61ma-zzEqPbZJj/view?usp=drivesdk</t>
  </si>
  <si>
    <t>Document successfully created; Document successfully merged; PDF created; !!Error Sending Emails: Service invoked too many times for one day: email.; Manually run by ecertificate75@gmail.com; Timestamp: Sep 3 2024 4:15 AM</t>
  </si>
  <si>
    <t>DEWI ANDRIANA,S.E</t>
  </si>
  <si>
    <t>dewiandrianii71@gmail.com</t>
  </si>
  <si>
    <t>6117</t>
  </si>
  <si>
    <t>Starting at Thu Aug 29 2024 21:47:32 GMT-0400 (EDT)</t>
  </si>
  <si>
    <t>1uBaL93sQJa5a_MdpXRjlBhmWqyT2tEoR</t>
  </si>
  <si>
    <t>https://drive.google.com/file/d/1uBaL93sQJa5a_MdpXRjlBhmWqyT2tEoR/view?usp=drivesdk</t>
  </si>
  <si>
    <t xml:space="preserve">SUGIYO </t>
  </si>
  <si>
    <t>as1631325@gmail.com</t>
  </si>
  <si>
    <t>6118</t>
  </si>
  <si>
    <t>1LvzCWLDKVRicQTKC5JuRCS04nhtC7pIu</t>
  </si>
  <si>
    <t>https://drive.google.com/file/d/1LvzCWLDKVRicQTKC5JuRCS04nhtC7pIu/view?usp=drivesdk</t>
  </si>
  <si>
    <t xml:space="preserve">IIS YULI SITI SOFIAH AMd Kep </t>
  </si>
  <si>
    <t>kanzaaulia7@gmail.com</t>
  </si>
  <si>
    <t>6119</t>
  </si>
  <si>
    <t>14gRii7uOzB1Lr0kU5QAU_MBTH8nIMGvG</t>
  </si>
  <si>
    <t>https://drive.google.com/file/d/14gRii7uOzB1Lr0kU5QAU_MBTH8nIMGvG/view?usp=drivesdk</t>
  </si>
  <si>
    <t>VERA SANDRIANA TIYASTUTI, S.KOM., M.M.</t>
  </si>
  <si>
    <t>veralukito13@gmail.com</t>
  </si>
  <si>
    <t>6120</t>
  </si>
  <si>
    <t>1OpMGAoVuPQaBJChC_5X5VG7979jGmMdq</t>
  </si>
  <si>
    <t>https://drive.google.com/file/d/1OpMGAoVuPQaBJChC_5X5VG7979jGmMdq/view?usp=drivesdk</t>
  </si>
  <si>
    <t>AGUS NURCAHYONO</t>
  </si>
  <si>
    <t>agusnurcahyono40@gmail.com</t>
  </si>
  <si>
    <t>6121</t>
  </si>
  <si>
    <t>https://drive.google.com/file/d/12-Tnm6d5XeriW2wWme0KMPPyw5UpVtNB/view?usp=drivesdk</t>
  </si>
  <si>
    <t>12-Tnm6d5XeriW2wWme0KMPPyw5UpVtNB</t>
  </si>
  <si>
    <t>1mUGUycKYITBQS-9jDRiUnLqBFNz9lLjT</t>
  </si>
  <si>
    <t>https://drive.google.com/file/d/1mUGUycKYITBQS-9jDRiUnLqBFNz9lLjT/view?usp=drivesdk</t>
  </si>
  <si>
    <t>Document successfully created; Document successfully merged; PDF created; !!Error Sending Emails: Service invoked too many times for one day: email.; Manually run by ecertificate75@gmail.com; Timestamp: Sep 3 2024 4:16 AM</t>
  </si>
  <si>
    <t>dr. Venny Ria Pratiwi</t>
  </si>
  <si>
    <t>venrp91@gmail.com</t>
  </si>
  <si>
    <t>6122</t>
  </si>
  <si>
    <t>Starting at Thu Aug 29 2024 21:47:34 GMT-0400 (EDT)</t>
  </si>
  <si>
    <t>17ZFOz8AHrjkNYUFEB2JteClAIX2AXDWs</t>
  </si>
  <si>
    <t>https://drive.google.com/file/d/17ZFOz8AHrjkNYUFEB2JteClAIX2AXDWs/view?usp=drivesdk</t>
  </si>
  <si>
    <t>SANTI MAHARANI</t>
  </si>
  <si>
    <t>arannysanti9@gmail.com</t>
  </si>
  <si>
    <t>6123</t>
  </si>
  <si>
    <t>1bfIFZxv455hgWQDw6cWCXB0deBNkUrVD</t>
  </si>
  <si>
    <t>https://drive.google.com/file/d/1bfIFZxv455hgWQDw6cWCXB0deBNkUrVD/view?usp=drivesdk</t>
  </si>
  <si>
    <t>WIWIEK SUPRIHATIN</t>
  </si>
  <si>
    <t>wiwiek.soedaryo@gmail.com</t>
  </si>
  <si>
    <t>6124</t>
  </si>
  <si>
    <t>Starting at Thu Aug 29 2024 21:47:36 GMT-0400 (EDT)</t>
  </si>
  <si>
    <t>1Ov4YJHNAVxGsIdCgoCqGdhn0S4LcuaMX</t>
  </si>
  <si>
    <t>https://drive.google.com/file/d/1Ov4YJHNAVxGsIdCgoCqGdhn0S4LcuaMX/view?usp=drivesdk</t>
  </si>
  <si>
    <t>NUR MILA</t>
  </si>
  <si>
    <t>mila.nurmila1967@gmail.com</t>
  </si>
  <si>
    <t>6125</t>
  </si>
  <si>
    <t>1CCubYudSlhkUWlXI2XLjhoXehAU2VtPb</t>
  </si>
  <si>
    <t>https://drive.google.com/file/d/1CCubYudSlhkUWlXI2XLjhoXehAU2VtPb/view?usp=drivesdk</t>
  </si>
  <si>
    <t>Document successfully created; Document successfully merged; PDF created; !!Error Sending Emails: Service invoked too many times for one day: email.; Manually run by ecertificate75@gmail.com; Timestamp: Sep 3 2024 4:17 AM</t>
  </si>
  <si>
    <t>dr NURUL HIKMAWATI</t>
  </si>
  <si>
    <t>nurulhikmawati1986@gmail.com</t>
  </si>
  <si>
    <t>6126</t>
  </si>
  <si>
    <t>13yO49tGtpsG2P4cMf6P3qNfyI7f_lxhe</t>
  </si>
  <si>
    <t>https://drive.google.com/file/d/13yO49tGtpsG2P4cMf6P3qNfyI7f_lxhe/view?usp=drivesdk</t>
  </si>
  <si>
    <t>RETNO MAULIDEWI Amd.AK</t>
  </si>
  <si>
    <t>retnomauli@gmail.com</t>
  </si>
  <si>
    <t>6127</t>
  </si>
  <si>
    <t>Starting at Thu Aug 29 2024 21:47:37 GMT-0400 (EDT)</t>
  </si>
  <si>
    <t>1x3wAhq4YGsVwy4IiMjsSPNa-gD_QMvGK</t>
  </si>
  <si>
    <t>https://drive.google.com/file/d/1x3wAhq4YGsVwy4IiMjsSPNa-gD_QMvGK/view?usp=drivesdk</t>
  </si>
  <si>
    <t xml:space="preserve">ROJI FAHRUDIN </t>
  </si>
  <si>
    <t>t3p0ci21@gmail.com</t>
  </si>
  <si>
    <t>6128</t>
  </si>
  <si>
    <t>1TUZp021lOsNDuqFEzHJ2lxawo8cBT9T-</t>
  </si>
  <si>
    <t>https://drive.google.com/file/d/1TUZp021lOsNDuqFEzHJ2lxawo8cBT9T-/view?usp=drivesdk</t>
  </si>
  <si>
    <t>AGUS WAHYU EDI</t>
  </si>
  <si>
    <t>awe.rsbtt@gmail.com</t>
  </si>
  <si>
    <t>6129</t>
  </si>
  <si>
    <t>1Mou0XpxOYP6crNXpSJmlEg0zSTtJf__o</t>
  </si>
  <si>
    <t>https://drive.google.com/file/d/1Mou0XpxOYP6crNXpSJmlEg0zSTtJf__o/view?usp=drivesdk</t>
  </si>
  <si>
    <t>Document successfully created; Document successfully merged; PDF created; !!Error Sending Emails: Service invoked too many times for one day: email.; Manually run by ecertificate75@gmail.com; Timestamp: Sep 3 2024 4:18 AM</t>
  </si>
  <si>
    <t>AGUS SUBEKTI</t>
  </si>
  <si>
    <t>kedirijtm2235@gmail.com</t>
  </si>
  <si>
    <t>6130</t>
  </si>
  <si>
    <t>1XAShT_Bs9F4bULaHjfgSdS2gp2Gwu1aD</t>
  </si>
  <si>
    <t>https://drive.google.com/file/d/1XAShT_Bs9F4bULaHjfgSdS2gp2Gwu1aD/view?usp=drivesdk</t>
  </si>
  <si>
    <t>DR. MIRA TANIA ANDRIANA</t>
  </si>
  <si>
    <t>miraasyifa@gmail.com</t>
  </si>
  <si>
    <t>6131</t>
  </si>
  <si>
    <t>15pgvffSIBU3TS4TX1fnkdcIo7_VwBPzw</t>
  </si>
  <si>
    <t>https://drive.google.com/file/d/15pgvffSIBU3TS4TX1fnkdcIo7_VwBPzw/view?usp=drivesdk</t>
  </si>
  <si>
    <t>SISTHA PRATISTHA , A.MD , SE</t>
  </si>
  <si>
    <t>sisthapratistha15@gmail.com</t>
  </si>
  <si>
    <t>6132</t>
  </si>
  <si>
    <t>1125aZ8VqtPNch_zhBKqdv8u_9pGQRyYp</t>
  </si>
  <si>
    <t>https://drive.google.com/file/d/1125aZ8VqtPNch_zhBKqdv8u_9pGQRyYp/view?usp=drivesdk</t>
  </si>
  <si>
    <t>SITTI RUGAYAH</t>
  </si>
  <si>
    <t>Sittirugayah07@gmail.com</t>
  </si>
  <si>
    <t>6133</t>
  </si>
  <si>
    <t>Starting at Thu Aug 29 2024 21:47:38 GMT-0400 (EDT)</t>
  </si>
  <si>
    <t>147G_y-IQD98q2CFNe3knkULn3Qobcue5</t>
  </si>
  <si>
    <t>https://drive.google.com/file/d/147G_y-IQD98q2CFNe3knkULn3Qobcue5/view?usp=drivesdk</t>
  </si>
  <si>
    <t>SUWONDO</t>
  </si>
  <si>
    <t>suwondoperak22@gmail.com</t>
  </si>
  <si>
    <t>6134</t>
  </si>
  <si>
    <t>1Y85g_KOanJqQC5k_g6H-O5_BAEHC1Sp4</t>
  </si>
  <si>
    <t>https://drive.google.com/file/d/1Y85g_KOanJqQC5k_g6H-O5_BAEHC1Sp4/view?usp=drivesdk</t>
  </si>
  <si>
    <t>Document successfully created; Document successfully merged; PDF created; !!Error Sending Emails: Service invoked too many times for one day: email.; Manually run by ecertificate75@gmail.com; Timestamp: Sep 3 2024 4:19 AM</t>
  </si>
  <si>
    <t xml:space="preserve">DIDIK BOEDI SANTOSO </t>
  </si>
  <si>
    <t>boedys29@gmail.com</t>
  </si>
  <si>
    <t>6135</t>
  </si>
  <si>
    <t>15zX51MpqEsz6QCkjHHaKTNqzbduCeiQz</t>
  </si>
  <si>
    <t>https://drive.google.com/file/d/15zX51MpqEsz6QCkjHHaKTNqzbduCeiQz/view?usp=drivesdk</t>
  </si>
  <si>
    <t>BUDI SANTOSO, S.KOM., M.I.KOM</t>
  </si>
  <si>
    <t>mentaok27@gmail.com</t>
  </si>
  <si>
    <t>6136</t>
  </si>
  <si>
    <t>15ALx4tE0TOMf2zTogt4clhhpSotKtOZn</t>
  </si>
  <si>
    <t>https://drive.google.com/file/d/15ALx4tE0TOMf2zTogt4clhhpSotKtOZn/view?usp=drivesdk</t>
  </si>
  <si>
    <t>MURTONO</t>
  </si>
  <si>
    <t>murtono1971@gmail.com</t>
  </si>
  <si>
    <t>6137</t>
  </si>
  <si>
    <t>https://drive.google.com/file/d/1u1Ll6qUYZ12OlYjD7MzzEq-EmNkul15C/view?usp=drivesdk</t>
  </si>
  <si>
    <t>1u1Ll6qUYZ12OlYjD7MzzEq-EmNkul15C</t>
  </si>
  <si>
    <t>1JE5nzsPBPRhITLwuKLzfyS0JMmvLZvXa</t>
  </si>
  <si>
    <t>https://drive.google.com/file/d/1JE5nzsPBPRhITLwuKLzfyS0JMmvLZvXa/view?usp=drivesdk</t>
  </si>
  <si>
    <t>RIDA YANI</t>
  </si>
  <si>
    <t>ridayaniachmad@gmail.com</t>
  </si>
  <si>
    <t>6138</t>
  </si>
  <si>
    <t>https://drive.google.com/file/d/1O3Aon-JO2K_aGrwy8x2wOIBFuAuSmcDp/view?usp=drivesdk</t>
  </si>
  <si>
    <t>Document successfully created; Document successfully merged; PDF created; !!Error Sending Emails: Service invoked too many times for one day: email.; Run via form trigger as ecertificate75@gmail.com; Timestamp: Aug 29 2024 9:48 PM</t>
  </si>
  <si>
    <t>1O3Aon-JO2K_aGrwy8x2wOIBFuAuSmcDp</t>
  </si>
  <si>
    <t>1eBHRBJVwZCPsyQ6_dJde7zUtJ6A5hal_</t>
  </si>
  <si>
    <t>https://drive.google.com/file/d/1eBHRBJVwZCPsyQ6_dJde7zUtJ6A5hal_/view?usp=drivesdk</t>
  </si>
  <si>
    <t>SUHARTITIS</t>
  </si>
  <si>
    <t>suhartitisnadia@gmail.com</t>
  </si>
  <si>
    <t>6139</t>
  </si>
  <si>
    <t>https://drive.google.com/file/d/1lvW22-OjrdUlFLUN7F4FSk_OxqbAc3vi/view?usp=drivesdk</t>
  </si>
  <si>
    <t>1lvW22-OjrdUlFLUN7F4FSk_OxqbAc3vi</t>
  </si>
  <si>
    <t>1QUAmD6izIRmmFSpQKRn5Jp5luDZYs9OZ</t>
  </si>
  <si>
    <t>https://drive.google.com/file/d/1QUAmD6izIRmmFSpQKRn5Jp5luDZYs9OZ/view?usp=drivesdk</t>
  </si>
  <si>
    <t>Document successfully created; Document successfully merged; PDF created; !!Error Sending Emails: Service invoked too many times for one day: email.; Manually run by ecertificate75@gmail.com; Timestamp: Sep 3 2024 4:20 AM</t>
  </si>
  <si>
    <t xml:space="preserve">AGUS FAJAR RAHMAT </t>
  </si>
  <si>
    <t>agusfajarrahmat@gmail.com</t>
  </si>
  <si>
    <t>6140</t>
  </si>
  <si>
    <t>https://drive.google.com/file/d/1VCdDtkCO87CKX_XX5kKiBmmDZdHQyLhH/view?usp=drivesdk</t>
  </si>
  <si>
    <t>1VCdDtkCO87CKX_XX5kKiBmmDZdHQyLhH</t>
  </si>
  <si>
    <t>1gdUK_7HhuaeN97QbeOz80U17qkhEKTYJ</t>
  </si>
  <si>
    <t>https://drive.google.com/file/d/1gdUK_7HhuaeN97QbeOz80U17qkhEKTYJ/view?usp=drivesdk</t>
  </si>
  <si>
    <t>ATIA, SE</t>
  </si>
  <si>
    <t>atiashahab30@gmail.com</t>
  </si>
  <si>
    <t>6141</t>
  </si>
  <si>
    <t>https://drive.google.com/file/d/10GLJB53WySVHnpiGP07g0Ee2g7tcCDqS/view?usp=drivesdk</t>
  </si>
  <si>
    <t>10GLJB53WySVHnpiGP07g0Ee2g7tcCDqS</t>
  </si>
  <si>
    <t>1E7jaKF2m6z5s4uezdM8kK395rxBLjq9x</t>
  </si>
  <si>
    <t>https://drive.google.com/file/d/1E7jaKF2m6z5s4uezdM8kK395rxBLjq9x/view?usp=drivesdk</t>
  </si>
  <si>
    <t>RUBIYAH</t>
  </si>
  <si>
    <t>ajirubiyah@gmail.com</t>
  </si>
  <si>
    <t>6142</t>
  </si>
  <si>
    <t>https://drive.google.com/file/d/1jMyntn8uSvlbZRCidvDtG5_tj4NlIFob/view?usp=drivesdk</t>
  </si>
  <si>
    <t>1jMyntn8uSvlbZRCidvDtG5_tj4NlIFob</t>
  </si>
  <si>
    <t>1MSuWIcYGjGA7KRLlOIqiZAuyik5rRVTE</t>
  </si>
  <si>
    <t>https://drive.google.com/file/d/1MSuWIcYGjGA7KRLlOIqiZAuyik5rRVTE/view?usp=drivesdk</t>
  </si>
  <si>
    <t>ARUS KUSTYAWATI, S.E.</t>
  </si>
  <si>
    <t>kustyawatiarus@gmail.com</t>
  </si>
  <si>
    <t>6143</t>
  </si>
  <si>
    <t>Starting at Thu Aug 29 2024 21:47:46 GMT-0400 (EDT)</t>
  </si>
  <si>
    <t>171IGNdpFbW78EFHJ2tDjrz3g3Yiw1oFH</t>
  </si>
  <si>
    <t>https://drive.google.com/file/d/171IGNdpFbW78EFHJ2tDjrz3g3Yiw1oFH/view?usp=drivesdk</t>
  </si>
  <si>
    <t>UNTUNG WAGIANTO</t>
  </si>
  <si>
    <t>uwagianto@gmail.com</t>
  </si>
  <si>
    <t>6144</t>
  </si>
  <si>
    <t>1xHJ76XO3OnbpqgOS9OfTzZOSfaLIdoyr</t>
  </si>
  <si>
    <t>https://drive.google.com/file/d/1xHJ76XO3OnbpqgOS9OfTzZOSfaLIdoyr/view?usp=drivesdk</t>
  </si>
  <si>
    <t>Document successfully created; Document successfully merged; PDF created; !!Error Sending Emails: Service invoked too many times for one day: email.; Manually run by ecertificate75@gmail.com; Timestamp: Sep 3 2024 4:21 AM</t>
  </si>
  <si>
    <t>WINARNI</t>
  </si>
  <si>
    <t>wirnarni@gmail.com</t>
  </si>
  <si>
    <t>6145</t>
  </si>
  <si>
    <t>https://drive.google.com/file/d/1rB1RNrNu8XRQOGWs0oQXwK7Ai8dM6Xgr/view?usp=drivesdk</t>
  </si>
  <si>
    <t>1rB1RNrNu8XRQOGWs0oQXwK7Ai8dM6Xgr</t>
  </si>
  <si>
    <t>1NL13GEAv-7PZ9RGFazJmmzpUpfNF6qdB</t>
  </si>
  <si>
    <t>https://drive.google.com/file/d/1NL13GEAv-7PZ9RGFazJmmzpUpfNF6qdB/view?usp=drivesdk</t>
  </si>
  <si>
    <t xml:space="preserve">TRI UTAMI </t>
  </si>
  <si>
    <t>triutami201283@gmail.com</t>
  </si>
  <si>
    <t>6146</t>
  </si>
  <si>
    <t>Starting at Thu Aug 29 2024 21:47:48 GMT-0400 (EDT)</t>
  </si>
  <si>
    <t>1Dhc5-78JX1-W9QkNX0s1fNphubLn8PQR</t>
  </si>
  <si>
    <t>https://drive.google.com/file/d/1Dhc5-78JX1-W9QkNX0s1fNphubLn8PQR/view?usp=drivesdk</t>
  </si>
  <si>
    <t xml:space="preserve">MUDJI KARTONO </t>
  </si>
  <si>
    <t>mudjikartono78@gmail.com</t>
  </si>
  <si>
    <t>6147</t>
  </si>
  <si>
    <t>https://drive.google.com/file/d/1Cb4GipSTsttXr_bBPmIRX9fc8igwF3E9/view?usp=drivesdk</t>
  </si>
  <si>
    <t>Document successfully created; Document successfully merged; PDF created; !!Error Sending Emails: Service invoked too many times for one day: email.; Run via form trigger as ecertificate75@gmail.com; Timestamp: Aug 29 2024 9:50 PM</t>
  </si>
  <si>
    <t>1Cb4GipSTsttXr_bBPmIRX9fc8igwF3E9</t>
  </si>
  <si>
    <t>1meERhYf8rhjEAej1tGHh4q_TCq2m_3jf</t>
  </si>
  <si>
    <t>https://drive.google.com/file/d/1meERhYf8rhjEAej1tGHh4q_TCq2m_3jf/view?usp=drivesdk</t>
  </si>
  <si>
    <t>DESSY NATALIA, SE</t>
  </si>
  <si>
    <t>nataliadessyy@gmail.com</t>
  </si>
  <si>
    <t>6148</t>
  </si>
  <si>
    <t>https://drive.google.com/file/d/1MRDPgqj6hSjCL2Kf0GoTVhTERu34D_HY/view?usp=drivesdk</t>
  </si>
  <si>
    <t>1MRDPgqj6hSjCL2Kf0GoTVhTERu34D_HY</t>
  </si>
  <si>
    <t>1kJfxj0NwFEaHtVUHVUpFafgzBBSk-Ts-</t>
  </si>
  <si>
    <t>https://drive.google.com/file/d/1kJfxj0NwFEaHtVUHVUpFafgzBBSk-Ts-/view?usp=drivesdk</t>
  </si>
  <si>
    <t>Document successfully created; Document successfully merged; PDF created; !!Error Sending Emails: Service invoked too many times for one day: email.; Manually run by ecertificate75@gmail.com; Timestamp: Sep 3 2024 4:22 AM</t>
  </si>
  <si>
    <t>FITRIANI, S.H</t>
  </si>
  <si>
    <t>mantherun77@gmail.com</t>
  </si>
  <si>
    <t>6149</t>
  </si>
  <si>
    <t>https://drive.google.com/file/d/1PT-Ep83DUVMcHwgT2_owA88Uz1mT4FUy/view?usp=drivesdk</t>
  </si>
  <si>
    <t>1PT-Ep83DUVMcHwgT2_owA88Uz1mT4FUy</t>
  </si>
  <si>
    <t>1TatrUX2PS2klZLtLG5rY__2V9dMFmLya</t>
  </si>
  <si>
    <t>https://drive.google.com/file/d/1TatrUX2PS2klZLtLG5rY__2V9dMFmLya/view?usp=drivesdk</t>
  </si>
  <si>
    <t>MASNONA</t>
  </si>
  <si>
    <t>nonanona0703@gmail.com</t>
  </si>
  <si>
    <t>6150</t>
  </si>
  <si>
    <t>https://drive.google.com/file/d/1gRTA6Pkxh82W3cAi8kpxjcnDjrnGeW56/view?usp=drivesdk</t>
  </si>
  <si>
    <t>1gRTA6Pkxh82W3cAi8kpxjcnDjrnGeW56</t>
  </si>
  <si>
    <t>1R502NknMXbh3tHF4jMoA_oNuK1J1tyFY</t>
  </si>
  <si>
    <t>https://drive.google.com/file/d/1R502NknMXbh3tHF4jMoA_oNuK1J1tyFY/view?usp=drivesdk</t>
  </si>
  <si>
    <t>APT. TRISNO SAPUTRA, S.FARM.</t>
  </si>
  <si>
    <t>apt.trisno@gmail.com</t>
  </si>
  <si>
    <t>6151</t>
  </si>
  <si>
    <t>Starting at Thu Aug 29 2024 21:47:58 GMT-0400 (EDT)</t>
  </si>
  <si>
    <t>1TncbS-9-5vrvoDNRUNpsiSTvv_1s199w</t>
  </si>
  <si>
    <t>https://drive.google.com/file/d/1TncbS-9-5vrvoDNRUNpsiSTvv_1s199w/view?usp=drivesdk</t>
  </si>
  <si>
    <t xml:space="preserve">PURWATI </t>
  </si>
  <si>
    <t>purwaticitra252@gmail.com</t>
  </si>
  <si>
    <t>6152</t>
  </si>
  <si>
    <t>1aSPNOWZzuwclCLedLTvH8pd8MqGVhWtc</t>
  </si>
  <si>
    <t>https://drive.google.com/file/d/1aSPNOWZzuwclCLedLTvH8pd8MqGVhWtc/view?usp=drivesdk</t>
  </si>
  <si>
    <t>Document successfully created; Document successfully merged; PDF created; !!Error Sending Emails: Service invoked too many times for one day: email.; Manually run by ecertificate75@gmail.com; Timestamp: Sep 3 2024 4:23 AM</t>
  </si>
  <si>
    <t>Eliyah,S,Ag,MH</t>
  </si>
  <si>
    <t>eliyajmb@gmail.com</t>
  </si>
  <si>
    <t>6153</t>
  </si>
  <si>
    <t>10o8rAp4S7nHmkt0h2kpej_kjsIChEH-4</t>
  </si>
  <si>
    <t>https://drive.google.com/file/d/10o8rAp4S7nHmkt0h2kpej_kjsIChEH-4/view?usp=drivesdk</t>
  </si>
  <si>
    <t>NOVI DERMA SYAWAL, S.E.</t>
  </si>
  <si>
    <t>dokkespoldasultra@gmail.com</t>
  </si>
  <si>
    <t>6154</t>
  </si>
  <si>
    <t>https://drive.google.com/file/d/1BQc6dcoLnNhaaZXp510ga18VgRY3Dspz/view?usp=drivesdk</t>
  </si>
  <si>
    <t>1BQc6dcoLnNhaaZXp510ga18VgRY3Dspz</t>
  </si>
  <si>
    <t>13_oAn5WAgro_bMLv21XsmqQlWD7CQTDG</t>
  </si>
  <si>
    <t>https://drive.google.com/file/d/13_oAn5WAgro_bMLv21XsmqQlWD7CQTDG/view?usp=drivesdk</t>
  </si>
  <si>
    <t>SISWANTO., SE</t>
  </si>
  <si>
    <t>zakisiswanto8@gmail.com</t>
  </si>
  <si>
    <t>6155</t>
  </si>
  <si>
    <t>https://drive.google.com/file/d/1DVWLm9ciWCXIG6LR7ho1_dFkEsRzeygu/view?usp=drivesdk</t>
  </si>
  <si>
    <t>1DVWLm9ciWCXIG6LR7ho1_dFkEsRzeygu</t>
  </si>
  <si>
    <t>11zqTcFHyM2rqWkTC3fxRTnmsEe0ccRHD</t>
  </si>
  <si>
    <t>https://drive.google.com/file/d/11zqTcFHyM2rqWkTC3fxRTnmsEe0ccRHD/view?usp=drivesdk</t>
  </si>
  <si>
    <t>Document successfully created; Document successfully merged; PDF created; !!Error Sending Emails: Service invoked too many times for one day: email.; Run via form trigger as ecertificate75@gmail.com; Timestamp: Sep 3 2024 4:01 AM</t>
  </si>
  <si>
    <t xml:space="preserve">dr MAGDALENA HARAHAP </t>
  </si>
  <si>
    <t>magdalenahrp87@gmail.com</t>
  </si>
  <si>
    <t>6156</t>
  </si>
  <si>
    <t>https://drive.google.com/file/d/1fM2N8-ehh3F3480xvvbDYQYoXfX-EpL7/view?usp=drivesdk</t>
  </si>
  <si>
    <t>1fM2N8-ehh3F3480xvvbDYQYoXfX-EpL7</t>
  </si>
  <si>
    <t>1d8ygs7o_liCirmr5Kfi4q-3q5xlyqFd2</t>
  </si>
  <si>
    <t>https://drive.google.com/file/d/1d8ygs7o_liCirmr5Kfi4q-3q5xlyqFd2/view?usp=drivesdk</t>
  </si>
  <si>
    <t>DEASY KAYA</t>
  </si>
  <si>
    <t>yanma647313@gmail.com</t>
  </si>
  <si>
    <t>6157</t>
  </si>
  <si>
    <t>https://drive.google.com/file/d/1a8KBa-oCwJBPTOvsGIaByS0ht3ynGOpD/view?usp=drivesdk</t>
  </si>
  <si>
    <t>Document successfully created; Document successfully merged; PDF created; !!Error Sending Emails: Service invoked too many times for one day: email.; Run via form trigger as ecertificate75@gmail.com; Timestamp: Aug 29 2024 9:49 PM</t>
  </si>
  <si>
    <t>1a8KBa-oCwJBPTOvsGIaByS0ht3ynGOpD</t>
  </si>
  <si>
    <t>1QfdQOhuPCve0NldycKaOF_fq3paHHUQq</t>
  </si>
  <si>
    <t>https://drive.google.com/file/d/1QfdQOhuPCve0NldycKaOF_fq3paHHUQq/view?usp=drivesdk</t>
  </si>
  <si>
    <t xml:space="preserve">SUPARDI </t>
  </si>
  <si>
    <t>pardkarmaen@gmail.com</t>
  </si>
  <si>
    <t>6158</t>
  </si>
  <si>
    <t>https://drive.google.com/file/d/1lLDHPi_mvANliJKlZ0HXwAg7lUi68-NW/view?usp=drivesdk</t>
  </si>
  <si>
    <t>1lLDHPi_mvANliJKlZ0HXwAg7lUi68-NW</t>
  </si>
  <si>
    <t>1hDAZbzYlaFUY-T1J9Q-PT4kyWWCzXpap</t>
  </si>
  <si>
    <t>https://drive.google.com/file/d/1hDAZbzYlaFUY-T1J9Q-PT4kyWWCzXpap/view?usp=drivesdk</t>
  </si>
  <si>
    <t>HERY DWI LAKSONO</t>
  </si>
  <si>
    <t>whisnu.prabowo.1994@gmail.com</t>
  </si>
  <si>
    <t>6159</t>
  </si>
  <si>
    <t>https://drive.google.com/file/d/11WRmiJEKEKbdnRg97ySCEnpSlfqLCROP/view?usp=drivesdk</t>
  </si>
  <si>
    <t>11WRmiJEKEKbdnRg97ySCEnpSlfqLCROP</t>
  </si>
  <si>
    <t>1tuDxP1a8347W5W5XOeEd1uiZsvS0nLbg</t>
  </si>
  <si>
    <t>https://drive.google.com/file/d/1tuDxP1a8347W5W5XOeEd1uiZsvS0nLbg/view?usp=drivesdk</t>
  </si>
  <si>
    <t>Document successfully created; Document successfully merged; PDF created; !!Error Sending Emails: Service invoked too many times for one day: email.; Run via form trigger as ecertificate75@gmail.com; Timestamp: Sep 3 2024 4:02 AM</t>
  </si>
  <si>
    <t>YUNI ASTUTIK</t>
  </si>
  <si>
    <t>y.astutik71@gmail.com</t>
  </si>
  <si>
    <t>6160</t>
  </si>
  <si>
    <t>Starting at Thu Aug 29 2024 21:48:10 GMT-0400 (EDT)</t>
  </si>
  <si>
    <t>1XDZMKO1pD3y-z-0gzGUo8XLnlS0mvgWY</t>
  </si>
  <si>
    <t>https://drive.google.com/file/d/1XDZMKO1pD3y-z-0gzGUo8XLnlS0mvgWY/view?usp=drivesdk</t>
  </si>
  <si>
    <t>YUPITRA KUSUMA, S.Kom</t>
  </si>
  <si>
    <t>yupitra.skom@gmail.com</t>
  </si>
  <si>
    <t>6161</t>
  </si>
  <si>
    <t>1gFIp1iT0Yd5QYE91IvvPSkeGBTiQ4jxQ</t>
  </si>
  <si>
    <t>https://drive.google.com/file/d/1gFIp1iT0Yd5QYE91IvvPSkeGBTiQ4jxQ/view?usp=drivesdk</t>
  </si>
  <si>
    <t>GIYONO, S.AP</t>
  </si>
  <si>
    <t>giyono18mangga3@gmail.com</t>
  </si>
  <si>
    <t>6162</t>
  </si>
  <si>
    <t>14cQlPX-8G75BOtbFONGKuCn8kQDnyGfn</t>
  </si>
  <si>
    <t>https://drive.google.com/file/d/14cQlPX-8G75BOtbFONGKuCn8kQDnyGfn/view?usp=drivesdk</t>
  </si>
  <si>
    <t>DESI YUNIARTI, S.Sos</t>
  </si>
  <si>
    <t>desimardus@gmail.com</t>
  </si>
  <si>
    <t>6163</t>
  </si>
  <si>
    <t>1zMdDDWcPimJaOHbXiEDl5MwgZ7vobigr</t>
  </si>
  <si>
    <t>https://drive.google.com/file/d/1zMdDDWcPimJaOHbXiEDl5MwgZ7vobigr/view?usp=drivesdk</t>
  </si>
  <si>
    <t xml:space="preserve">ERFINA </t>
  </si>
  <si>
    <t>erfinamaea@gmail.com</t>
  </si>
  <si>
    <t>6164</t>
  </si>
  <si>
    <t>https://drive.google.com/file/d/1IVq18pfXXYzOQ9IXEcdjNA6gV6lzCRf9/view?usp=drivesdk</t>
  </si>
  <si>
    <t>1IVq18pfXXYzOQ9IXEcdjNA6gV6lzCRf9</t>
  </si>
  <si>
    <t>1xvgSvx9noErrF83XdgGpVyIjIu1Drj5j</t>
  </si>
  <si>
    <t>https://drive.google.com/file/d/1xvgSvx9noErrF83XdgGpVyIjIu1Drj5j/view?usp=drivesdk</t>
  </si>
  <si>
    <t>Document successfully created; Document successfully merged; PDF created; !!Error Sending Emails: Service invoked too many times for one day: email.; Run via form trigger as ecertificate75@gmail.com; Timestamp: Sep 3 2024 4:03 AM</t>
  </si>
  <si>
    <t>RENI YULIASTUTI, AMK</t>
  </si>
  <si>
    <t>reniyuliastuti852@gmail.com</t>
  </si>
  <si>
    <t>6165</t>
  </si>
  <si>
    <t>https://drive.google.com/file/d/1Oo6I_-XfWVQdZ0twyP2hrw9Kp37CHLAD/view?usp=drivesdk</t>
  </si>
  <si>
    <t>1Oo6I_-XfWVQdZ0twyP2hrw9Kp37CHLAD</t>
  </si>
  <si>
    <t>1p58-DRByk9B-WQqq_sRJEVtqzWC5rKqz</t>
  </si>
  <si>
    <t>https://drive.google.com/file/d/1p58-DRByk9B-WQqq_sRJEVtqzWC5rKqz/view?usp=drivesdk</t>
  </si>
  <si>
    <t>ANDI ISMAIL</t>
  </si>
  <si>
    <t>andiismailishaknassa@gmail.com</t>
  </si>
  <si>
    <t>6166</t>
  </si>
  <si>
    <t>Starting at Thu Aug 29 2024 21:48:19 GMT-0400 (EDT)</t>
  </si>
  <si>
    <t>1w5i4zX0b4ysX9NeYD5aQbFfzxHYPWJKt</t>
  </si>
  <si>
    <t>https://drive.google.com/file/d/1w5i4zX0b4ysX9NeYD5aQbFfzxHYPWJKt/view?usp=drivesdk</t>
  </si>
  <si>
    <t>Document successfully created; Document successfully merged; PDF created; !!Error Sending Emails: Service invoked too many times for one day: email.; Run via form trigger as ecertificate75@gmail.com; Timestamp: Sep 3 2024 4:04 AM</t>
  </si>
  <si>
    <t>LUCKY SETYO ARYBOWO, S.H., M.H.</t>
  </si>
  <si>
    <t>arybowolucky@gmail.com</t>
  </si>
  <si>
    <t>6167</t>
  </si>
  <si>
    <t>1zr8JuT0STzD6z3Hwr06gcpWzb_eg-N9B</t>
  </si>
  <si>
    <t>https://drive.google.com/file/d/1zr8JuT0STzD6z3Hwr06gcpWzb_eg-N9B/view?usp=drivesdk</t>
  </si>
  <si>
    <t>HAIRUN NISA S</t>
  </si>
  <si>
    <t>hairun_nisa77@yahoo.com</t>
  </si>
  <si>
    <t>6168</t>
  </si>
  <si>
    <t>1fuCF8vgfEVr3i7If31z5E3iBl648bjwt</t>
  </si>
  <si>
    <t>https://drive.google.com/file/d/1fuCF8vgfEVr3i7If31z5E3iBl648bjwt/view?usp=drivesdk</t>
  </si>
  <si>
    <t xml:space="preserve">ETTY SUNDAJANTI </t>
  </si>
  <si>
    <t>ettysundajanti71@gmail.com</t>
  </si>
  <si>
    <t>6169</t>
  </si>
  <si>
    <t>1IWDYAuCzWyntkn4gbcrN04gLLq_foN9e</t>
  </si>
  <si>
    <t>https://drive.google.com/file/d/1IWDYAuCzWyntkn4gbcrN04gLLq_foN9e/view?usp=drivesdk</t>
  </si>
  <si>
    <t>Document successfully created; Document successfully merged; PDF created; !!Error Sending Emails: Service invoked too many times for one day: email.; Run via form trigger as ecertificate75@gmail.com; Timestamp: Sep 3 2024 4:05 AM</t>
  </si>
  <si>
    <t>dr.CHANIF LUTFIYATI MUYASAROH, M.Si</t>
  </si>
  <si>
    <t>chanifmuyasaroh@gmail.com</t>
  </si>
  <si>
    <t>6170</t>
  </si>
  <si>
    <t>https://drive.google.com/file/d/1Acb0mqKG_IFeF8FkQ6TjVRgBmemuJzX2/view?usp=drivesdk</t>
  </si>
  <si>
    <t>1Acb0mqKG_IFeF8FkQ6TjVRgBmemuJzX2</t>
  </si>
  <si>
    <t>17nPOMQ7Z694mBwWffsJTJHY5GtZm4lXo</t>
  </si>
  <si>
    <t>https://drive.google.com/file/d/17nPOMQ7Z694mBwWffsJTJHY5GtZm4lXo/view?usp=drivesdk</t>
  </si>
  <si>
    <t>INTAN AGUSTINA, A.Md.</t>
  </si>
  <si>
    <t>intan.ias17@gmail.com</t>
  </si>
  <si>
    <t>6171</t>
  </si>
  <si>
    <t>https://drive.google.com/file/d/1cY74p8NtE7uLKz8REfTxWmeqNu-wwdSV/view?usp=drivesdk</t>
  </si>
  <si>
    <t>Starting at Thu Aug 29 2024 21:50:50 GMT-0400 (EDT)</t>
  </si>
  <si>
    <t>1cY74p8NtE7uLKz8REfTxWmeqNu-wwdSV</t>
  </si>
  <si>
    <t>1VXBzbzrxPn0e7j08fKrV4SSsaxwldsqk</t>
  </si>
  <si>
    <t>https://drive.google.com/file/d/1VXBzbzrxPn0e7j08fKrV4SSsaxwldsqk/view?usp=drivesdk</t>
  </si>
  <si>
    <t>NURFITADANI,S.Pd</t>
  </si>
  <si>
    <t>nurvyta1@gmail.com</t>
  </si>
  <si>
    <t>6172</t>
  </si>
  <si>
    <t>https://drive.google.com/file/d/1Rg776lBOjxJZD9Wy6YL8pGvcAiqyI8El/view?usp=drivesdk</t>
  </si>
  <si>
    <t>1Rg776lBOjxJZD9Wy6YL8pGvcAiqyI8El</t>
  </si>
  <si>
    <t>1imxT2XgtD7NNLPSg2wGlHYGLckDc1QSM</t>
  </si>
  <si>
    <t>https://drive.google.com/file/d/1imxT2XgtD7NNLPSg2wGlHYGLckDc1QSM/view?usp=drivesdk</t>
  </si>
  <si>
    <t xml:space="preserve">SUPRIYADI, S. KEP. NERS. </t>
  </si>
  <si>
    <t>supriyadiabdillah28@gmail.com</t>
  </si>
  <si>
    <t>6173</t>
  </si>
  <si>
    <t>https://drive.google.com/file/d/1qZtdqP5bakjxlBP9Tbg0oPBM-s9s3GOH/view?usp=drivesdk</t>
  </si>
  <si>
    <t>1qZtdqP5bakjxlBP9Tbg0oPBM-s9s3GOH</t>
  </si>
  <si>
    <t>1fbYEkeAZeID7y-b5sJH6qXqCcl7ugwsU</t>
  </si>
  <si>
    <t>https://drive.google.com/file/d/1fbYEkeAZeID7y-b5sJH6qXqCcl7ugwsU/view?usp=drivesdk</t>
  </si>
  <si>
    <t>Document successfully created; Document successfully merged; PDF created; !!Error Sending Emails: Service invoked too many times for one day: email.; Manually run by ecertificate75@gmail.com; Timestamp: Sep 3 2024 4:24 AM</t>
  </si>
  <si>
    <t>Ns. RISDALINA., S.ST., S. Kep</t>
  </si>
  <si>
    <t>Risrich9@gmail.com</t>
  </si>
  <si>
    <t>6174</t>
  </si>
  <si>
    <t>https://drive.google.com/file/d/1piwlfmiWe9SlTu5DPQI7QgSI8-bAPEYY/view?usp=drivesdk</t>
  </si>
  <si>
    <t>1piwlfmiWe9SlTu5DPQI7QgSI8-bAPEYY</t>
  </si>
  <si>
    <t>1lqbr_9dFTC50mH9G3Oyw7YiT4ch_HhVf</t>
  </si>
  <si>
    <t>https://drive.google.com/file/d/1lqbr_9dFTC50mH9G3Oyw7YiT4ch_HhVf/view?usp=drivesdk</t>
  </si>
  <si>
    <t>MUTOFIK SUTRISNO</t>
  </si>
  <si>
    <t>rohjas.yanmapolri@gmail.com</t>
  </si>
  <si>
    <t>6175</t>
  </si>
  <si>
    <t>https://drive.google.com/file/d/1xPhjoHkcYZOt_4KgshQ6ddsAnVVV73Wf/view?usp=drivesdk</t>
  </si>
  <si>
    <t>1xPhjoHkcYZOt_4KgshQ6ddsAnVVV73Wf</t>
  </si>
  <si>
    <t>1CxmCzd7_JjrIBRnf6MKQnFNjixds8nol</t>
  </si>
  <si>
    <t>https://drive.google.com/file/d/1CxmCzd7_JjrIBRnf6MKQnFNjixds8nol/view?usp=drivesdk</t>
  </si>
  <si>
    <t>ANIKE ANDRIANI,SPd</t>
  </si>
  <si>
    <t>bundaanike@gmail.com</t>
  </si>
  <si>
    <t>6176</t>
  </si>
  <si>
    <t>https://drive.google.com/file/d/1LrStdvXaCAVk-4zAU40SPxZUJDUdPK3a/view?usp=drivesdk</t>
  </si>
  <si>
    <t>1LrStdvXaCAVk-4zAU40SPxZUJDUdPK3a</t>
  </si>
  <si>
    <t>1vdnwyWcL_NBg157vNdp_AZZOVJyMxShD</t>
  </si>
  <si>
    <t>https://drive.google.com/file/d/1vdnwyWcL_NBg157vNdp_AZZOVJyMxShD/view?usp=drivesdk</t>
  </si>
  <si>
    <t>ISTIKOMAH</t>
  </si>
  <si>
    <t>nalistiqomah123@gmail.com</t>
  </si>
  <si>
    <t>6177</t>
  </si>
  <si>
    <t>Starting at Thu Aug 29 2024 21:48:27 GMT-0400 (EDT)</t>
  </si>
  <si>
    <t>1YBtIFkvkP6SnHB7xLzzhmuqZl-dIX_Z1</t>
  </si>
  <si>
    <t>https://drive.google.com/file/d/1YBtIFkvkP6SnHB7xLzzhmuqZl-dIX_Z1/view?usp=drivesdk</t>
  </si>
  <si>
    <t>DWI AGUSTINA WINDARYANTI</t>
  </si>
  <si>
    <t>windaghina@gmail.com</t>
  </si>
  <si>
    <t>6178</t>
  </si>
  <si>
    <t>Starting at Thu Aug 29 2024 21:48:29 GMT-0400 (EDT)</t>
  </si>
  <si>
    <t>1uTKcglXWKMawdtnQCOmjKDJ4FkBM73Mb</t>
  </si>
  <si>
    <t>https://drive.google.com/file/d/1uTKcglXWKMawdtnQCOmjKDJ4FkBM73Mb/view?usp=drivesdk</t>
  </si>
  <si>
    <t>I KOMANG PURANA</t>
  </si>
  <si>
    <t>purana7904@gmail.com</t>
  </si>
  <si>
    <t>6179</t>
  </si>
  <si>
    <t>Starting at Thu Aug 29 2024 21:48:31 GMT-0400 (EDT)</t>
  </si>
  <si>
    <t>1aU7qQHeMmxHPQA1L2Cq0UhTMVWPv24AQ</t>
  </si>
  <si>
    <t>https://drive.google.com/file/d/1aU7qQHeMmxHPQA1L2Cq0UhTMVWPv24AQ/view?usp=drivesdk</t>
  </si>
  <si>
    <t>Document successfully created; Document successfully merged; PDF created; !!Error Sending Emails: Service invoked too many times for one day: email.; Manually run by ecertificate75@gmail.com; Timestamp: Sep 3 2024 4:25 AM</t>
  </si>
  <si>
    <t>ARNOLD DAMANIK, S.Kom., M.M.</t>
  </si>
  <si>
    <t>id.arnold@yahoo.com</t>
  </si>
  <si>
    <t>6180</t>
  </si>
  <si>
    <t>1X0HVYhCKu-k_xZVC8lfOxGGT2-2FFevn</t>
  </si>
  <si>
    <t>https://drive.google.com/file/d/1X0HVYhCKu-k_xZVC8lfOxGGT2-2FFevn/view?usp=drivesdk</t>
  </si>
  <si>
    <t>DIVHUBINTER POLRI</t>
  </si>
  <si>
    <t>ENDAH PRATIWI, A.Md.</t>
  </si>
  <si>
    <t>endah_cacok@yahoo.co.id</t>
  </si>
  <si>
    <t>6181</t>
  </si>
  <si>
    <t>Starting at Thu Aug 29 2024 21:48:32 GMT-0400 (EDT)</t>
  </si>
  <si>
    <t>1FLAXjS6rMAK5zH_vAKtCOfnjut4PCLWn</t>
  </si>
  <si>
    <t>https://drive.google.com/file/d/1FLAXjS6rMAK5zH_vAKtCOfnjut4PCLWn/view?usp=drivesdk</t>
  </si>
  <si>
    <t>AJI PERMANA FADILLAH</t>
  </si>
  <si>
    <t>hajibule@gmail.con</t>
  </si>
  <si>
    <t>6182</t>
  </si>
  <si>
    <t>Starting at Thu Aug 29 2024 21:48:35 GMT-0400 (EDT)</t>
  </si>
  <si>
    <t>1bTixDunF2b4kUo5jWPjxNmccSiiWA3RA</t>
  </si>
  <si>
    <t>https://drive.google.com/file/d/1bTixDunF2b4kUo5jWPjxNmccSiiWA3RA/view?usp=drivesdk</t>
  </si>
  <si>
    <t>KARTIKA DEWI</t>
  </si>
  <si>
    <t>kdewi470@gmail.com</t>
  </si>
  <si>
    <t>6183</t>
  </si>
  <si>
    <t>1qU4Gh-zaJmUJFB0S15eaHIDDUawkOWhV</t>
  </si>
  <si>
    <t>https://drive.google.com/file/d/1qU4Gh-zaJmUJFB0S15eaHIDDUawkOWhV/view?usp=drivesdk</t>
  </si>
  <si>
    <t>Beny Catur Widodo</t>
  </si>
  <si>
    <t>benycwidodo@gmail.com</t>
  </si>
  <si>
    <t>6184</t>
  </si>
  <si>
    <t>1l2k_IdIS9awjyLFMfa-uUuC4HoJ80jql</t>
  </si>
  <si>
    <t>https://drive.google.com/file/d/1l2k_IdIS9awjyLFMfa-uUuC4HoJ80jql/view?usp=drivesdk</t>
  </si>
  <si>
    <t>Document successfully created; Document successfully merged; PDF created; !!Error Sending Emails: Service invoked too many times for one day: email.; Manually run by ecertificate75@gmail.com; Timestamp: Sep 3 2024 4:26 AM</t>
  </si>
  <si>
    <t>ROSNIATI, S.H.</t>
  </si>
  <si>
    <t>rosniati310369@gmail.com</t>
  </si>
  <si>
    <t>6185</t>
  </si>
  <si>
    <t>Starting at Thu Aug 29 2024 21:48:36 GMT-0400 (EDT)</t>
  </si>
  <si>
    <t>1QJhFqP3lxikUxD5e4z_LZVqT_qco5leK</t>
  </si>
  <si>
    <t>https://drive.google.com/file/d/1QJhFqP3lxikUxD5e4z_LZVqT_qco5leK/view?usp=drivesdk</t>
  </si>
  <si>
    <t>RAHMANIDAR</t>
  </si>
  <si>
    <t>teratainaurah@gmail.com</t>
  </si>
  <si>
    <t>6186</t>
  </si>
  <si>
    <t>1L8ebYa7mrg04bkO31yes78SZtOgaPLYB</t>
  </si>
  <si>
    <t>https://drive.google.com/file/d/1L8ebYa7mrg04bkO31yes78SZtOgaPLYB/view?usp=drivesdk</t>
  </si>
  <si>
    <t xml:space="preserve">RM. BAMBANG SURYANTO B. </t>
  </si>
  <si>
    <t>bangsuryanto71@gmail.com</t>
  </si>
  <si>
    <t>6187</t>
  </si>
  <si>
    <t>1id2eysW1KehhQ_HhIQNj3TN4pB4aJi5X</t>
  </si>
  <si>
    <t>https://drive.google.com/file/d/1id2eysW1KehhQ_HhIQNj3TN4pB4aJi5X/view?usp=drivesdk</t>
  </si>
  <si>
    <t>SUKMA ELVIYA, SKM</t>
  </si>
  <si>
    <t>s00143769@gmail.com</t>
  </si>
  <si>
    <t>6188</t>
  </si>
  <si>
    <t>1N1cxd59ptKhmbIMKse5MViNiM47kCTcG</t>
  </si>
  <si>
    <t>https://drive.google.com/file/d/1N1cxd59ptKhmbIMKse5MViNiM47kCTcG/view?usp=drivesdk</t>
  </si>
  <si>
    <t>Document successfully created; Document successfully merged; PDF created; !!Error Sending Emails: Service invoked too many times for one day: email.; Manually run by ecertificate75@gmail.com; Timestamp: Sep 3 2024 4:27 AM</t>
  </si>
  <si>
    <t>Muhamad Sigit Raharjo, SE</t>
  </si>
  <si>
    <t>msigitraharjo4491.msr@gmail.com</t>
  </si>
  <si>
    <t>6189</t>
  </si>
  <si>
    <t>Starting at Thu Aug 29 2024 21:48:38 GMT-0400 (EDT)</t>
  </si>
  <si>
    <t>1WiRpKiVEvWKArq1QF5fiK_AUmYTX75By</t>
  </si>
  <si>
    <t>https://drive.google.com/file/d/1WiRpKiVEvWKArq1QF5fiK_AUmYTX75By/view?usp=drivesdk</t>
  </si>
  <si>
    <t>MOCH. SOLEH</t>
  </si>
  <si>
    <t>moch.soleh16021983@gmail.com</t>
  </si>
  <si>
    <t>6190</t>
  </si>
  <si>
    <t>1mKQilpPWlpKDWuypDfC_g2lpTmnMupEs</t>
  </si>
  <si>
    <t>https://drive.google.com/file/d/1mKQilpPWlpKDWuypDfC_g2lpTmnMupEs/view?usp=drivesdk</t>
  </si>
  <si>
    <t>SITI SUDARINI</t>
  </si>
  <si>
    <t>sitisudarini511@gmail.com</t>
  </si>
  <si>
    <t>6191</t>
  </si>
  <si>
    <t>1ANER_DhiowruWSlMpDsZ47FUNFje1nVG</t>
  </si>
  <si>
    <t>https://drive.google.com/file/d/1ANER_DhiowruWSlMpDsZ47FUNFje1nVG/view?usp=drivesdk</t>
  </si>
  <si>
    <t>dr. ADE MILDA AGUSTRIYANI, Sp KKLP</t>
  </si>
  <si>
    <t>ademilda89@gmail.com</t>
  </si>
  <si>
    <t>6192</t>
  </si>
  <si>
    <t>Starting at Thu Aug 29 2024 21:48:40 GMT-0400 (EDT)</t>
  </si>
  <si>
    <t>1k9VEb9HLktWWQD9Mictn9b0_uvWMmRbP</t>
  </si>
  <si>
    <t>https://drive.google.com/file/d/1k9VEb9HLktWWQD9Mictn9b0_uvWMmRbP/view?usp=drivesdk</t>
  </si>
  <si>
    <t>Document successfully created; Document successfully merged; PDF created; !!Error Sending Emails: Service invoked too many times for one day: email.; Manually run by ecertificate75@gmail.com; Timestamp: Sep 3 2024 4:28 AM</t>
  </si>
  <si>
    <t>ANTON WIBOWO</t>
  </si>
  <si>
    <t>wibowoanton1979@gmail.com</t>
  </si>
  <si>
    <t>6193</t>
  </si>
  <si>
    <t>1TRWh1Z6I8DGk_XnwFd53_r_7eCZ7lXXQ</t>
  </si>
  <si>
    <t>https://drive.google.com/file/d/1TRWh1Z6I8DGk_XnwFd53_r_7eCZ7lXXQ/view?usp=drivesdk</t>
  </si>
  <si>
    <t>WIDI SURYANINGRUM, A.Md. Kep</t>
  </si>
  <si>
    <t>widisuryaningrum@gmail.com</t>
  </si>
  <si>
    <t>6194</t>
  </si>
  <si>
    <t>10jbKII5JRAbnFbNh-Aek1MKCrJzdSTF9</t>
  </si>
  <si>
    <t>https://drive.google.com/file/d/10jbKII5JRAbnFbNh-Aek1MKCrJzdSTF9/view?usp=drivesdk</t>
  </si>
  <si>
    <t>DAE SARI HUSEN, S.Sos.</t>
  </si>
  <si>
    <t>saridek24@gmail.com</t>
  </si>
  <si>
    <t>6195</t>
  </si>
  <si>
    <t>Starting at Thu Aug 29 2024 21:48:42 GMT-0400 (EDT)</t>
  </si>
  <si>
    <t>11ypr9pK-vanls3EN1pqR5A81qhUWUlE0</t>
  </si>
  <si>
    <t>https://drive.google.com/file/d/11ypr9pK-vanls3EN1pqR5A81qhUWUlE0/view?usp=drivesdk</t>
  </si>
  <si>
    <t>HARISUSILO</t>
  </si>
  <si>
    <t>harsusilo71@gmail.com</t>
  </si>
  <si>
    <t>6196</t>
  </si>
  <si>
    <t>1GwYL3XP4V9DP88wJqXMXpfNmWD8oQfHY</t>
  </si>
  <si>
    <t>https://drive.google.com/file/d/1GwYL3XP4V9DP88wJqXMXpfNmWD8oQfHY/view?usp=drivesdk</t>
  </si>
  <si>
    <t>YUNI RAHMAWATI, S.E., M.M.</t>
  </si>
  <si>
    <t>fadhiafeb@gmail.com</t>
  </si>
  <si>
    <t>6197</t>
  </si>
  <si>
    <t>1jjN86rmgVJ9TgmsBQlFDY7Uni7OGrb9L</t>
  </si>
  <si>
    <t>https://drive.google.com/file/d/1jjN86rmgVJ9TgmsBQlFDY7Uni7OGrb9L/view?usp=drivesdk</t>
  </si>
  <si>
    <t>Document successfully created; Document successfully merged; PDF created; !!Error Sending Emails: Service invoked too many times for one day: email.; Manually run by ecertificate75@gmail.com; Timestamp: Sep 3 2024 4:29 AM</t>
  </si>
  <si>
    <t>ELISBET AGUSTIARNIDA</t>
  </si>
  <si>
    <t>sabet1976jambi@gmail.com</t>
  </si>
  <si>
    <t>6198</t>
  </si>
  <si>
    <t>Starting at Thu Aug 29 2024 21:48:45 GMT-0400 (EDT)</t>
  </si>
  <si>
    <t>1fYXP6HIJN-WO9ulau-3FV7yHWMDpy-ha</t>
  </si>
  <si>
    <t>https://drive.google.com/file/d/1fYXP6HIJN-WO9ulau-3FV7yHWMDpy-ha/view?usp=drivesdk</t>
  </si>
  <si>
    <t>UTUN SAMSIAH, S.H.</t>
  </si>
  <si>
    <t>utoenbono@gmail.com</t>
  </si>
  <si>
    <t>6199</t>
  </si>
  <si>
    <t>1322OOQcjz75djGnsfjNlQ1ITzy0YOCos</t>
  </si>
  <si>
    <t>https://drive.google.com/file/d/1322OOQcjz75djGnsfjNlQ1ITzy0YOCos/view?usp=drivesdk</t>
  </si>
  <si>
    <t>YUDI PUTRA PRATAMA</t>
  </si>
  <si>
    <t>yudiputrapratama08@gmail.com</t>
  </si>
  <si>
    <t>6200</t>
  </si>
  <si>
    <t>17JxnvBYeIUjpt51w9A6daLN7iohKc57t</t>
  </si>
  <si>
    <t>https://drive.google.com/file/d/17JxnvBYeIUjpt51w9A6daLN7iohKc57t/view?usp=drivesdk</t>
  </si>
  <si>
    <t>HARTATI. SE</t>
  </si>
  <si>
    <t>tatik826@gmail.com</t>
  </si>
  <si>
    <t>6201</t>
  </si>
  <si>
    <t>Starting at Thu Aug 29 2024 21:48:48 GMT-0400 (EDT)</t>
  </si>
  <si>
    <t>1YaG1QBBQ1sXpSfR3NdG574W1hiwS2WUJ</t>
  </si>
  <si>
    <t>https://drive.google.com/file/d/1YaG1QBBQ1sXpSfR3NdG574W1hiwS2WUJ/view?usp=drivesdk</t>
  </si>
  <si>
    <t>ROBERT PARDOSI</t>
  </si>
  <si>
    <t>robertpardosi219@gmail.com</t>
  </si>
  <si>
    <t>6202</t>
  </si>
  <si>
    <t>1-CAOXc30me2dOVUB8W2wSjd1s7Hc1QGR</t>
  </si>
  <si>
    <t>https://drive.google.com/file/d/1-CAOXc30me2dOVUB8W2wSjd1s7Hc1QGR/view?usp=drivesdk</t>
  </si>
  <si>
    <t>Document successfully created; Document successfully merged; PDF created; !!Error Sending Emails: Service invoked too many times for one day: email.; Manually run by ecertificate75@gmail.com; Timestamp: Sep 3 2024 4:30 AM</t>
  </si>
  <si>
    <t>Lidia Romauli Panjaitan, A.Md.Kep., SE</t>
  </si>
  <si>
    <t>lidiapanjaitan79@gmail.com</t>
  </si>
  <si>
    <t>6203</t>
  </si>
  <si>
    <t>1AdVXtF_8ypttQlPXW7ban1H59Ce1ngfG</t>
  </si>
  <si>
    <t>https://drive.google.com/file/d/1AdVXtF_8ypttQlPXW7ban1H59Ce1ngfG/view?usp=drivesdk</t>
  </si>
  <si>
    <t>SITTI FATIMAH, A.Md.</t>
  </si>
  <si>
    <t>fatimah_rhn@yahoo.com</t>
  </si>
  <si>
    <t>6204</t>
  </si>
  <si>
    <t>1Mptzxr90zQ9SXTkO3EX9AZ1w7f-1eFPq</t>
  </si>
  <si>
    <t>https://drive.google.com/file/d/1Mptzxr90zQ9SXTkO3EX9AZ1w7f-1eFPq/view?usp=drivesdk</t>
  </si>
  <si>
    <t>A. MARWANA</t>
  </si>
  <si>
    <t>andimarwana28@gmail.com</t>
  </si>
  <si>
    <t>6205</t>
  </si>
  <si>
    <t>https://drive.google.com/file/d/1iXvs8HnvEOMLYGoLtsQPhghj-WA1xAD_/view?usp=drivesdk</t>
  </si>
  <si>
    <t>1iXvs8HnvEOMLYGoLtsQPhghj-WA1xAD_</t>
  </si>
  <si>
    <t>19hev1D96hktNbWz9jeb9h22DJ3jCUJPH</t>
  </si>
  <si>
    <t>https://drive.google.com/file/d/19hev1D96hktNbWz9jeb9h22DJ3jCUJPH/view?usp=drivesdk</t>
  </si>
  <si>
    <t>SUWIKNO</t>
  </si>
  <si>
    <t>wiks.tujuhpiluh@gmail.com</t>
  </si>
  <si>
    <t>6206</t>
  </si>
  <si>
    <t>https://drive.google.com/file/d/1M354TLME3DrfrvlqCyFZpmsOsJfKuECb/view?usp=drivesdk</t>
  </si>
  <si>
    <t>1M354TLME3DrfrvlqCyFZpmsOsJfKuECb</t>
  </si>
  <si>
    <t>1oivmb0dHRiX08rOdTl2zWzf93AsUZeOG</t>
  </si>
  <si>
    <t>https://drive.google.com/file/d/1oivmb0dHRiX08rOdTl2zWzf93AsUZeOG/view?usp=drivesdk</t>
  </si>
  <si>
    <t>HERU MARSUDI</t>
  </si>
  <si>
    <t>herumarsudi571@gmail.com</t>
  </si>
  <si>
    <t>6207</t>
  </si>
  <si>
    <t>Starting at Thu Aug 29 2024 21:48:52 GMT-0400 (EDT)</t>
  </si>
  <si>
    <t>1vG7Il64L7jqvxmEo6cQKoOR63UAplRg6</t>
  </si>
  <si>
    <t>https://drive.google.com/file/d/1vG7Il64L7jqvxmEo6cQKoOR63UAplRg6/view?usp=drivesdk</t>
  </si>
  <si>
    <t>Document successfully created; Document successfully merged; PDF created; !!Error Sending Emails: Service invoked too many times for one day: email.; Manually run by ecertificate75@gmail.com; Timestamp: Sep 3 2024 4:31 AM</t>
  </si>
  <si>
    <t>PINGKAN PAULINA MULLER, S. KOM</t>
  </si>
  <si>
    <t>pingkanpaulinamuller@gmail.com</t>
  </si>
  <si>
    <t>6208</t>
  </si>
  <si>
    <t>1v3sVQNkYIvSzIsLBXN2I-wroTjhOhe_1</t>
  </si>
  <si>
    <t>https://drive.google.com/file/d/1v3sVQNkYIvSzIsLBXN2I-wroTjhOhe_1/view?usp=drivesdk</t>
  </si>
  <si>
    <t>SRI WAHYUNI, A.MD.,S.M</t>
  </si>
  <si>
    <t>sw3151034@gmail.com</t>
  </si>
  <si>
    <t>6209</t>
  </si>
  <si>
    <t>https://drive.google.com/file/d/1y-25-rtvsyv3_3_YnpBXKg_mNF7c044o/view?usp=drivesdk</t>
  </si>
  <si>
    <t>1y-25-rtvsyv3_3_YnpBXKg_mNF7c044o</t>
  </si>
  <si>
    <t>12z74YdGUOq8DEo97LzUtaDG64JnbqZjt</t>
  </si>
  <si>
    <t>https://drive.google.com/file/d/12z74YdGUOq8DEo97LzUtaDG64JnbqZjt/view?usp=drivesdk</t>
  </si>
  <si>
    <t>DYAH NOVITASARI, S.E.</t>
  </si>
  <si>
    <t>dyahardhan78@gmail.com</t>
  </si>
  <si>
    <t>6210</t>
  </si>
  <si>
    <t>Starting at Thu Aug 29 2024 21:48:55 GMT-0400 (EDT)</t>
  </si>
  <si>
    <t>14YkHed-BfCN3qEgqJYwpntTuSjQPsLV1</t>
  </si>
  <si>
    <t>https://drive.google.com/file/d/14YkHed-BfCN3qEgqJYwpntTuSjQPsLV1/view?usp=drivesdk</t>
  </si>
  <si>
    <t>jokopurez@gmail.com</t>
  </si>
  <si>
    <t>6211</t>
  </si>
  <si>
    <t>1F4GhbxMnywXOeJZ2srxRILNiA6xGblan</t>
  </si>
  <si>
    <t>https://drive.google.com/file/d/1F4GhbxMnywXOeJZ2srxRILNiA6xGblan/view?usp=drivesdk</t>
  </si>
  <si>
    <t>Document successfully created; Document successfully merged; PDF created; !!Error Sending Emails: Service invoked too many times for one day: email.; Manually run by ecertificate75@gmail.com; Timestamp: Sep 3 2024 4:32 AM</t>
  </si>
  <si>
    <t>DR EVA HARIANI MKED DV SPDVE</t>
  </si>
  <si>
    <t>drepha@yahoo.com</t>
  </si>
  <si>
    <t>6212</t>
  </si>
  <si>
    <t>https://drive.google.com/file/d/1SPUGrXyCOUl8VbPuHl5WQ-Uv2gte8a8M/view?usp=drivesdk</t>
  </si>
  <si>
    <t>1SPUGrXyCOUl8VbPuHl5WQ-Uv2gte8a8M</t>
  </si>
  <si>
    <t>1lUMDXy6FXnomMpvQ7_rsts-gL7A86xic</t>
  </si>
  <si>
    <t>https://drive.google.com/file/d/1lUMDXy6FXnomMpvQ7_rsts-gL7A86xic/view?usp=drivesdk</t>
  </si>
  <si>
    <t>CACA WAS,'AN</t>
  </si>
  <si>
    <t>cacawasan@gmail.com</t>
  </si>
  <si>
    <t>6213</t>
  </si>
  <si>
    <t>https://drive.google.com/file/d/1ocVYAef5s_LeH-oHMG2Mh-uMX5ZLWZcz/view?usp=drivesdk</t>
  </si>
  <si>
    <t>1ocVYAef5s_LeH-oHMG2Mh-uMX5ZLWZcz</t>
  </si>
  <si>
    <t>1kGVLtw8cT-G1ZN4h4e_k63KbNVwskMV0</t>
  </si>
  <si>
    <t>https://drive.google.com/file/d/1kGVLtw8cT-G1ZN4h4e_k63KbNVwskMV0/view?usp=drivesdk</t>
  </si>
  <si>
    <t>SIDIYANTO</t>
  </si>
  <si>
    <t>sudiyanto@gmail.com</t>
  </si>
  <si>
    <t>6214</t>
  </si>
  <si>
    <t>Starting at Thu Aug 29 2024 21:48:58 GMT-0400 (EDT)</t>
  </si>
  <si>
    <t>1iyB8RlJwkALvu90yrsd2d0NmkjqMfyYf</t>
  </si>
  <si>
    <t>https://drive.google.com/file/d/1iyB8RlJwkALvu90yrsd2d0NmkjqMfyYf/view?usp=drivesdk</t>
  </si>
  <si>
    <t>IRNANAKA SIMA DEWI, S.H</t>
  </si>
  <si>
    <t>irnalaborku@yahoo.co.id</t>
  </si>
  <si>
    <t>6215</t>
  </si>
  <si>
    <t>1_fPWdWmyBfJFPouIGVaVCDIcV1BR5xS1</t>
  </si>
  <si>
    <t>https://drive.google.com/file/d/1_fPWdWmyBfJFPouIGVaVCDIcV1BR5xS1/view?usp=drivesdk</t>
  </si>
  <si>
    <t>DEWI KARTIKA</t>
  </si>
  <si>
    <t>kartikad541@gmail.com</t>
  </si>
  <si>
    <t>6216</t>
  </si>
  <si>
    <t>https://drive.google.com/file/d/1ArY8ZWL8y5m4lXCaqPTm0YzGXlUim01t/view?usp=drivesdk</t>
  </si>
  <si>
    <t>1ArY8ZWL8y5m4lXCaqPTm0YzGXlUim01t</t>
  </si>
  <si>
    <t>1HIoq9mefusUt2Bf5C1_FMhIMmQPx4OpE</t>
  </si>
  <si>
    <t>https://drive.google.com/file/d/1HIoq9mefusUt2Bf5C1_FMhIMmQPx4OpE/view?usp=drivesdk</t>
  </si>
  <si>
    <t>Document successfully created; Document successfully merged; PDF created; !!Error Sending Emails: Service invoked too many times for one day: email.; Manually run by ecertificate75@gmail.com; Timestamp: Sep 3 2024 4:33 AM</t>
  </si>
  <si>
    <t>SITIROMA HARAHAP</t>
  </si>
  <si>
    <t>hsitiroma@gmail.com</t>
  </si>
  <si>
    <t>6217</t>
  </si>
  <si>
    <t>https://drive.google.com/file/d/1jHD_qXRMOdo9ZdOVVcS8ABAnnQIj3FMV/view?usp=drivesdk</t>
  </si>
  <si>
    <t>1jHD_qXRMOdo9ZdOVVcS8ABAnnQIj3FMV</t>
  </si>
  <si>
    <t>1r9V8V6oiIv8riBO9ZPA8gDsi1jue5LxX</t>
  </si>
  <si>
    <t>https://drive.google.com/file/d/1r9V8V6oiIv8riBO9ZPA8gDsi1jue5LxX/view?usp=drivesdk</t>
  </si>
  <si>
    <t xml:space="preserve">HENNY ERWIN SKM </t>
  </si>
  <si>
    <t>henibengkulu20165@gmail.com</t>
  </si>
  <si>
    <t>6218</t>
  </si>
  <si>
    <t>https://drive.google.com/file/d/1f2X4XHcXFSp7iFaAAIh4JgesydBpEIz3/view?usp=drivesdk</t>
  </si>
  <si>
    <t>1f2X4XHcXFSp7iFaAAIh4JgesydBpEIz3</t>
  </si>
  <si>
    <t>1W_Snm_EYFfgdsp2y7b4kpHgk9AZCcV8W</t>
  </si>
  <si>
    <t>https://drive.google.com/file/d/1W_Snm_EYFfgdsp2y7b4kpHgk9AZCcV8W/view?usp=drivesdk</t>
  </si>
  <si>
    <t>Drs. NASRUL</t>
  </si>
  <si>
    <t>nasrul.since68@gmail.com</t>
  </si>
  <si>
    <t>6219</t>
  </si>
  <si>
    <t>https://drive.google.com/file/d/1So3TB-GyDSJY9lYnMzPPSQwu4ZwMNF_n/view?usp=drivesdk</t>
  </si>
  <si>
    <t>1So3TB-GyDSJY9lYnMzPPSQwu4ZwMNF_n</t>
  </si>
  <si>
    <t>1667XS_5D3PDv1CUNcrAZibkcmBfSQQBi</t>
  </si>
  <si>
    <t>https://drive.google.com/file/d/1667XS_5D3PDv1CUNcrAZibkcmBfSQQBi/view?usp=drivesdk</t>
  </si>
  <si>
    <t>IKE MANDA HUTARI, A.MD. KEB</t>
  </si>
  <si>
    <t>ikemanda27@gmail.com</t>
  </si>
  <si>
    <t>6220</t>
  </si>
  <si>
    <t>Starting at Thu Aug 29 2024 21:49:07 GMT-0400 (EDT)</t>
  </si>
  <si>
    <t>1rkwTm9HyD3uPKC17phTWGcZtUKmCDy2Z</t>
  </si>
  <si>
    <t>https://drive.google.com/file/d/1rkwTm9HyD3uPKC17phTWGcZtUKmCDy2Z/view?usp=drivesdk</t>
  </si>
  <si>
    <t>syugmay@gmail.com</t>
  </si>
  <si>
    <t>6221</t>
  </si>
  <si>
    <t>https://drive.google.com/file/d/1fptEq7HYE4BjdPA6TxNQ3i4eRxyMDAmw/view?usp=drivesdk</t>
  </si>
  <si>
    <t>1fptEq7HYE4BjdPA6TxNQ3i4eRxyMDAmw</t>
  </si>
  <si>
    <t>1MtwInkDc1HWRuJGyQ-81ylCC93sdrBzX</t>
  </si>
  <si>
    <t>https://drive.google.com/file/d/1MtwInkDc1HWRuJGyQ-81ylCC93sdrBzX/view?usp=drivesdk</t>
  </si>
  <si>
    <t>Document successfully created; Document successfully merged; PDF created; !!Error Sending Emails: Service invoked too many times for one day: email.; Manually run by ecertificate75@gmail.com; Timestamp: Sep 3 2024 4:34 AM</t>
  </si>
  <si>
    <t>RACHMAD SAPUTRA, AMD, S.Pd.I, M.Pd</t>
  </si>
  <si>
    <t>rachmadkeu79@gmail.com</t>
  </si>
  <si>
    <t>6222</t>
  </si>
  <si>
    <t>https://drive.google.com/file/d/17qtHCgTFZqU_Cnu10ehS0T8df87uLDq_/view?usp=drivesdk</t>
  </si>
  <si>
    <t>17qtHCgTFZqU_Cnu10ehS0T8df87uLDq_</t>
  </si>
  <si>
    <t>1ry8xn65aCDbL5dE0WALXXxQvb2woi0N9</t>
  </si>
  <si>
    <t>https://drive.google.com/file/d/1ry8xn65aCDbL5dE0WALXXxQvb2woi0N9/view?usp=drivesdk</t>
  </si>
  <si>
    <t>MARTIN U.HUSAIN, S.I.KOM</t>
  </si>
  <si>
    <t>martinhusain74@gmail.com</t>
  </si>
  <si>
    <t>6223</t>
  </si>
  <si>
    <t>Starting at Thu Aug 29 2024 21:49:11 GMT-0400 (EDT)</t>
  </si>
  <si>
    <t>1klaHwadDaemRWadNItggmNtZoSnpDPoQ</t>
  </si>
  <si>
    <t>https://drive.google.com/file/d/1klaHwadDaemRWadNItggmNtZoSnpDPoQ/view?usp=drivesdk</t>
  </si>
  <si>
    <t>AHMAD BASTARI</t>
  </si>
  <si>
    <t>bastari67@gmail.com</t>
  </si>
  <si>
    <t>6224</t>
  </si>
  <si>
    <t>1KgoZw-GKVn46U6y3sXzpNnd_rcGDrSJk</t>
  </si>
  <si>
    <t>https://drive.google.com/file/d/1KgoZw-GKVn46U6y3sXzpNnd_rcGDrSJk/view?usp=drivesdk</t>
  </si>
  <si>
    <t>RINI SETYAWATI, S.E</t>
  </si>
  <si>
    <t>rinisetyawati410@gmail.com</t>
  </si>
  <si>
    <t>6225</t>
  </si>
  <si>
    <t>Starting at Thu Aug 29 2024 21:49:12 GMT-0400 (EDT)</t>
  </si>
  <si>
    <t>1IwCsuJqGWSuMq2Vc8nEMgE1KR-uNbFl7</t>
  </si>
  <si>
    <t>https://drive.google.com/file/d/1IwCsuJqGWSuMq2Vc8nEMgE1KR-uNbFl7/view?usp=drivesdk</t>
  </si>
  <si>
    <t>YAYUK NUR KUMALA</t>
  </si>
  <si>
    <t>yayuknurk@gmail.com</t>
  </si>
  <si>
    <t>6226</t>
  </si>
  <si>
    <t>17SCcJLLymeLYt-M_vhXGn2iiufjgKjQo</t>
  </si>
  <si>
    <t>https://drive.google.com/file/d/17SCcJLLymeLYt-M_vhXGn2iiufjgKjQo/view?usp=drivesdk</t>
  </si>
  <si>
    <t>DODIK SANTOSO</t>
  </si>
  <si>
    <t>dodikjawa29@gmail.com</t>
  </si>
  <si>
    <t>6227</t>
  </si>
  <si>
    <t>1NLt0MJq_4rdAtiT0YrkVsE3bals-ZmHj</t>
  </si>
  <si>
    <t>https://drive.google.com/file/d/1NLt0MJq_4rdAtiT0YrkVsE3bals-ZmHj/view?usp=drivesdk</t>
  </si>
  <si>
    <t>Document successfully created; Document successfully merged; PDF created; !!Error Sending Emails: Service invoked too many times for one day: email.; Manually run by ecertificate75@gmail.com; Timestamp: Sep 3 2024 4:35 AM</t>
  </si>
  <si>
    <t>SYAMSUL RIZAL</t>
  </si>
  <si>
    <t>syamsulrizal84@yahoo.co.id</t>
  </si>
  <si>
    <t>6228</t>
  </si>
  <si>
    <t>https://drive.google.com/file/d/1SgOeDwtsmvUf2l4mi3vEYHIO2yYen94x/view?usp=drivesdk</t>
  </si>
  <si>
    <t>1SgOeDwtsmvUf2l4mi3vEYHIO2yYen94x</t>
  </si>
  <si>
    <t>1hRCXwp8WmWV2vm643ZvODwpumbK01enU</t>
  </si>
  <si>
    <t>https://drive.google.com/file/d/1hRCXwp8WmWV2vm643ZvODwpumbK01enU/view?usp=drivesdk</t>
  </si>
  <si>
    <t>PURWANTI</t>
  </si>
  <si>
    <t>purwantiresskh@gmail.com</t>
  </si>
  <si>
    <t>6229</t>
  </si>
  <si>
    <t>Starting at Thu Aug 29 2024 21:49:14 GMT-0400 (EDT)</t>
  </si>
  <si>
    <t>1HRFIV9W_uaYBkvU1ea6uqsIsOagrG0tX</t>
  </si>
  <si>
    <t>https://drive.google.com/file/d/1HRFIV9W_uaYBkvU1ea6uqsIsOagrG0tX/view?usp=drivesdk</t>
  </si>
  <si>
    <t>NANING RAHAYU</t>
  </si>
  <si>
    <t>nandismanis@gmail.com</t>
  </si>
  <si>
    <t>6230</t>
  </si>
  <si>
    <t>https://drive.google.com/file/d/1_2LX1E5GcA387CQE9gWd_nmfubV9na0S/view?usp=drivesdk</t>
  </si>
  <si>
    <t>1_2LX1E5GcA387CQE9gWd_nmfubV9na0S</t>
  </si>
  <si>
    <t>1OYPBxRc3VkDbewaCqtYy3VnLOTPRZDk6</t>
  </si>
  <si>
    <t>https://drive.google.com/file/d/1OYPBxRc3VkDbewaCqtYy3VnLOTPRZDk6/view?usp=drivesdk</t>
  </si>
  <si>
    <t>Novaline Yulce Titahena</t>
  </si>
  <si>
    <t>ririnbontet81@gmail.com</t>
  </si>
  <si>
    <t>6231</t>
  </si>
  <si>
    <t>https://drive.google.com/file/d/1kOSExmOv88RkTYcdCC4pu_i4tEuSBZh3/view?usp=drivesdk</t>
  </si>
  <si>
    <t>1kOSExmOv88RkTYcdCC4pu_i4tEuSBZh3</t>
  </si>
  <si>
    <t>1ogSxZHVLgFtiKqqq3We3zjKG33CbC357</t>
  </si>
  <si>
    <t>https://drive.google.com/file/d/1ogSxZHVLgFtiKqqq3We3zjKG33CbC357/view?usp=drivesdk</t>
  </si>
  <si>
    <t>ELOK MALIANA ZAIN, S.Psi.</t>
  </si>
  <si>
    <t>elokmaliana1@gmail.com</t>
  </si>
  <si>
    <t>6232</t>
  </si>
  <si>
    <t>Starting at Thu Aug 29 2024 21:49:21 GMT-0400 (EDT)</t>
  </si>
  <si>
    <t>1Q-BAH58h04SFWP0GtzuDLHZAoD0Vm-Ry</t>
  </si>
  <si>
    <t>https://drive.google.com/file/d/1Q-BAH58h04SFWP0GtzuDLHZAoD0Vm-Ry/view?usp=drivesdk</t>
  </si>
  <si>
    <t>Document successfully created; Document successfully merged; PDF created; !!Error Sending Emails: Service invoked too many times for one day: email.; Manually run by ecertificate75@gmail.com; Timestamp: Sep 3 2024 4:36 AM</t>
  </si>
  <si>
    <t>JONATHAN FERDINAL, S.Kom., M.M</t>
  </si>
  <si>
    <t>jonathanferdinal@gmail.com</t>
  </si>
  <si>
    <t>6233</t>
  </si>
  <si>
    <t>1Bt4uJotcA-Jr6NH6BjhxWIufCrZSqDbE</t>
  </si>
  <si>
    <t>https://drive.google.com/file/d/1Bt4uJotcA-Jr6NH6BjhxWIufCrZSqDbE/view?usp=drivesdk</t>
  </si>
  <si>
    <t>sugian.tto999@gmail.com</t>
  </si>
  <si>
    <t>6234</t>
  </si>
  <si>
    <t>1chmSzmRsBopo_xYVmCQ3aR3tDitT1_mN</t>
  </si>
  <si>
    <t>https://drive.google.com/file/d/1chmSzmRsBopo_xYVmCQ3aR3tDitT1_mN/view?usp=drivesdk</t>
  </si>
  <si>
    <t>sumartono0371@gmail.com</t>
  </si>
  <si>
    <t>6235</t>
  </si>
  <si>
    <t>1P2PZ2Q8w-tURDWqzz-ap4IEj7rB8rvyQ</t>
  </si>
  <si>
    <t>https://drive.google.com/file/d/1P2PZ2Q8w-tURDWqzz-ap4IEj7rB8rvyQ/view?usp=drivesdk</t>
  </si>
  <si>
    <t>YUNI MULYATI  S.Pd.</t>
  </si>
  <si>
    <t>yunimulyati067@gmail.com</t>
  </si>
  <si>
    <t>6236</t>
  </si>
  <si>
    <t>1MNBrRXWFbQm2gKLElvUjy6_DARVLNIic</t>
  </si>
  <si>
    <t>https://drive.google.com/file/d/1MNBrRXWFbQm2gKLElvUjy6_DARVLNIic/view?usp=drivesdk</t>
  </si>
  <si>
    <t>HERI KURNIANI, A.Md.</t>
  </si>
  <si>
    <t>g1gokill@gmail.com</t>
  </si>
  <si>
    <t>6237</t>
  </si>
  <si>
    <t>Starting at Thu Aug 29 2024 21:49:22 GMT-0400 (EDT)</t>
  </si>
  <si>
    <t>1RXhxjuHgOS78rkph63s9_ZnbUzUrDpp2</t>
  </si>
  <si>
    <t>https://drive.google.com/file/d/1RXhxjuHgOS78rkph63s9_ZnbUzUrDpp2/view?usp=drivesdk</t>
  </si>
  <si>
    <t>Document successfully created; Document successfully merged; PDF created; !!Error Sending Emails: Service invoked too many times for one day: email.; Manually run by ecertificate75@gmail.com; Timestamp: Sep 3 2024 4:37 AM</t>
  </si>
  <si>
    <t>Esra Dewi Sartika Pasaribu</t>
  </si>
  <si>
    <t>pasaributika2@gmail.com</t>
  </si>
  <si>
    <t>6238</t>
  </si>
  <si>
    <t>Starting at Thu Aug 29 2024 21:49:24 GMT-0400 (EDT)</t>
  </si>
  <si>
    <t>1FTDjhGJ8ZzIhoqtdb9_Dj-2aVh6aILhi</t>
  </si>
  <si>
    <t>https://drive.google.com/file/d/1FTDjhGJ8ZzIhoqtdb9_Dj-2aVh6aILhi/view?usp=drivesdk</t>
  </si>
  <si>
    <t>MURYANI</t>
  </si>
  <si>
    <t>anisaputrianis790@gmail.com</t>
  </si>
  <si>
    <t>6239</t>
  </si>
  <si>
    <t>Starting at Thu Aug 29 2024 21:49:30 GMT-0400 (EDT)</t>
  </si>
  <si>
    <t>1bzHhBFpqASUEeSsy2gir6PUU2Exxj_T8</t>
  </si>
  <si>
    <t>https://drive.google.com/file/d/1bzHhBFpqASUEeSsy2gir6PUU2Exxj_T8/view?usp=drivesdk</t>
  </si>
  <si>
    <t>ROMMY,S.E.</t>
  </si>
  <si>
    <t>rommyani35@gmail.com</t>
  </si>
  <si>
    <t>6240</t>
  </si>
  <si>
    <t>1fCd-jghopThOBMK2Ci1NPV-gmNXTeCm9</t>
  </si>
  <si>
    <t>https://drive.google.com/file/d/1fCd-jghopThOBMK2Ci1NPV-gmNXTeCm9/view?usp=drivesdk</t>
  </si>
  <si>
    <t>SRI UTAMI</t>
  </si>
  <si>
    <t>sriutami.may@gmail.com</t>
  </si>
  <si>
    <t>6241</t>
  </si>
  <si>
    <t>1TS8-zLhSbvZR-cknXKrLMDBDJRoHXGeD</t>
  </si>
  <si>
    <t>https://drive.google.com/file/d/1TS8-zLhSbvZR-cknXKrLMDBDJRoHXGeD/view?usp=drivesdk</t>
  </si>
  <si>
    <t>Document successfully created; Document successfully merged; PDF created; !!Error Sending Emails: Service invoked too many times for one day: email.; Manually run by ecertificate75@gmail.com; Timestamp: Sep 3 2024 4:38 AM</t>
  </si>
  <si>
    <t>Elisa Maria Delta Alves Da Cruz. Amd. Kep</t>
  </si>
  <si>
    <t>deltadacruz25491@gmail.com</t>
  </si>
  <si>
    <t>6242</t>
  </si>
  <si>
    <t>1XQ9u5PISfHyIqXdBGK05OGgW2wC0l3k2</t>
  </si>
  <si>
    <t>https://drive.google.com/file/d/1XQ9u5PISfHyIqXdBGK05OGgW2wC0l3k2/view?usp=drivesdk</t>
  </si>
  <si>
    <t>BAMBANG DWIWIBOWO,SH</t>
  </si>
  <si>
    <t>bambang.dwiwibowo69@gmail.com</t>
  </si>
  <si>
    <t>6243</t>
  </si>
  <si>
    <t>1iHfN_0VfxHdvo6pVh63K5CE7wo52ProT</t>
  </si>
  <si>
    <t>https://drive.google.com/file/d/1iHfN_0VfxHdvo6pVh63K5CE7wo52ProT/view?usp=drivesdk</t>
  </si>
  <si>
    <t>MATRAWI</t>
  </si>
  <si>
    <t>rawimat123@gmail.com</t>
  </si>
  <si>
    <t>6244</t>
  </si>
  <si>
    <t>1yuBCXSsu8D7wPHsaQF-7yfYDM19viwGe</t>
  </si>
  <si>
    <t>https://drive.google.com/file/d/1yuBCXSsu8D7wPHsaQF-7yfYDM19viwGe/view?usp=drivesdk</t>
  </si>
  <si>
    <t xml:space="preserve">MOHAMMAD NOVIAN </t>
  </si>
  <si>
    <t>mohammadnovian6@gmail.com</t>
  </si>
  <si>
    <t>6245</t>
  </si>
  <si>
    <t>1ZLeslnaHBzVLWidrpOyxrt4kyPnw5N93</t>
  </si>
  <si>
    <t>https://drive.google.com/file/d/1ZLeslnaHBzVLWidrpOyxrt4kyPnw5N93/view?usp=drivesdk</t>
  </si>
  <si>
    <t xml:space="preserve">SAPARUDDIN </t>
  </si>
  <si>
    <t>pendasaparuddin@gmail.com</t>
  </si>
  <si>
    <t>6246</t>
  </si>
  <si>
    <t>Starting at Thu Aug 29 2024 21:49:32 GMT-0400 (EDT)</t>
  </si>
  <si>
    <t>15xvZQZQ4w1SNBzW-ud5Dv6-UkMcXCE9c</t>
  </si>
  <si>
    <t>https://drive.google.com/file/d/15xvZQZQ4w1SNBzW-ud5Dv6-UkMcXCE9c/view?usp=drivesdk</t>
  </si>
  <si>
    <t>Document successfully created; Document successfully merged; PDF created; !!Error Sending Emails: Service invoked too many times for one day: email.; Manually run by ecertificate75@gmail.com; Timestamp: Sep 3 2024 4:39 AM</t>
  </si>
  <si>
    <t>RUKISMAWATI</t>
  </si>
  <si>
    <t>rukismawati223@gmail.com</t>
  </si>
  <si>
    <t>6247</t>
  </si>
  <si>
    <t>1Ye8NlI03NacEkSGoqNlQm_h9uDeCj5dA</t>
  </si>
  <si>
    <t>https://drive.google.com/file/d/1Ye8NlI03NacEkSGoqNlQm_h9uDeCj5dA/view?usp=drivesdk</t>
  </si>
  <si>
    <t>ACHYANTO</t>
  </si>
  <si>
    <t>achyanto@gmail.com</t>
  </si>
  <si>
    <t>6248</t>
  </si>
  <si>
    <t>15SnsH6hwVeDBxpSCbcZHY4-CpYjSI3Xt</t>
  </si>
  <si>
    <t>https://drive.google.com/file/d/15SnsH6hwVeDBxpSCbcZHY4-CpYjSI3Xt/view?usp=drivesdk</t>
  </si>
  <si>
    <t>dr FIKI NURVIANA</t>
  </si>
  <si>
    <t>fiki.nurviana91@gmail.com</t>
  </si>
  <si>
    <t>6249</t>
  </si>
  <si>
    <t>1rEUGkyrbnb2eUQd9CiP3-wiRZhlYy1MX</t>
  </si>
  <si>
    <t>https://drive.google.com/file/d/1rEUGkyrbnb2eUQd9CiP3-wiRZhlYy1MX/view?usp=drivesdk</t>
  </si>
  <si>
    <t>IMAM SANTOSA, S.H.</t>
  </si>
  <si>
    <t>kenzinmura@gmail.com</t>
  </si>
  <si>
    <t>6250</t>
  </si>
  <si>
    <t>1RLxkKOV9VLQxozFYgnP7a8E_I_RSSkqZ</t>
  </si>
  <si>
    <t>https://drive.google.com/file/d/1RLxkKOV9VLQxozFYgnP7a8E_I_RSSkqZ/view?usp=drivesdk</t>
  </si>
  <si>
    <t>MAGDALENA FERDINANDUS</t>
  </si>
  <si>
    <t>skynettrj@gmail.com</t>
  </si>
  <si>
    <t>6251</t>
  </si>
  <si>
    <t>Starting at Thu Aug 29 2024 21:49:36 GMT-0400 (EDT)</t>
  </si>
  <si>
    <t>1FHT3gi7AaEhpuRKA2NSInEiYgq8w8bs-</t>
  </si>
  <si>
    <t>https://drive.google.com/file/d/1FHT3gi7AaEhpuRKA2NSInEiYgq8w8bs-/view?usp=drivesdk</t>
  </si>
  <si>
    <t>Document successfully created; Document successfully merged; PDF created; !!Error Sending Emails: Service invoked too many times for one day: email.; Manually run by ecertificate75@gmail.com; Timestamp: Sep 3 2024 4:40 AM</t>
  </si>
  <si>
    <t>drg. YURIKA ARTANTI.,M.H</t>
  </si>
  <si>
    <t>justyurika@gmail.com</t>
  </si>
  <si>
    <t>6252</t>
  </si>
  <si>
    <t>Starting at Thu Aug 29 2024 21:49:38 GMT-0400 (EDT)</t>
  </si>
  <si>
    <t>1YHqC7i-li3NDVph6sNnaabxwlgLg1BlU</t>
  </si>
  <si>
    <t>https://drive.google.com/file/d/1YHqC7i-li3NDVph6sNnaabxwlgLg1BlU/view?usp=drivesdk</t>
  </si>
  <si>
    <t xml:space="preserve">HERI SANTOSO </t>
  </si>
  <si>
    <t>herisan8001@gmail.com</t>
  </si>
  <si>
    <t>6253</t>
  </si>
  <si>
    <t>1ja8OJnZbhAQX42iipIkxrdftMAybiLDK</t>
  </si>
  <si>
    <t>https://drive.google.com/file/d/1ja8OJnZbhAQX42iipIkxrdftMAybiLDK/view?usp=drivesdk</t>
  </si>
  <si>
    <t>DWI WAHYU UTOMO</t>
  </si>
  <si>
    <t>putriluvina1976@gmail.com</t>
  </si>
  <si>
    <t>6254</t>
  </si>
  <si>
    <t>1ya1997ctmflUHoM1BMRSpaW_4-a_6nYv</t>
  </si>
  <si>
    <t>https://drive.google.com/file/d/1ya1997ctmflUHoM1BMRSpaW_4-a_6nYv/view?usp=drivesdk</t>
  </si>
  <si>
    <t>RISKA HELENA KUSHERAWATI, A.Md. Farm.</t>
  </si>
  <si>
    <t>riskahelena18@gmail.com</t>
  </si>
  <si>
    <t>6255</t>
  </si>
  <si>
    <t>1E6flrbxzCKyTnv1W9dUf7Zf90fPxPZIJ</t>
  </si>
  <si>
    <t>https://drive.google.com/file/d/1E6flrbxzCKyTnv1W9dUf7Zf90fPxPZIJ/view?usp=drivesdk</t>
  </si>
  <si>
    <t xml:space="preserve">ANANG SHOLIHAN </t>
  </si>
  <si>
    <t>anang2044@gmail.com</t>
  </si>
  <si>
    <t>6256</t>
  </si>
  <si>
    <t>1hwFGzUWAnWvD-WPwLjDKoJxYDN90qGnY</t>
  </si>
  <si>
    <t>https://drive.google.com/file/d/1hwFGzUWAnWvD-WPwLjDKoJxYDN90qGnY/view?usp=drivesdk</t>
  </si>
  <si>
    <t>Document successfully created; Document successfully merged; PDF created; !!Error Sending Emails: Service invoked too many times for one day: email.; Manually run by ecertificate75@gmail.com; Timestamp: Sep 3 2024 4:41 AM</t>
  </si>
  <si>
    <t>BUSIYAH</t>
  </si>
  <si>
    <t>busiyah67@gmail.com</t>
  </si>
  <si>
    <t>6257</t>
  </si>
  <si>
    <t>Starting at Thu Aug 29 2024 21:49:41 GMT-0400 (EDT)</t>
  </si>
  <si>
    <t>1A3Cx7FbBsBJxxj-8QiHxsJTnMuHSl1tK</t>
  </si>
  <si>
    <t>https://drive.google.com/file/d/1A3Cx7FbBsBJxxj-8QiHxsJTnMuHSl1tK/view?usp=drivesdk</t>
  </si>
  <si>
    <t>LUCY YUNIZA</t>
  </si>
  <si>
    <t>lut.yuzha@gmail.com</t>
  </si>
  <si>
    <t>6258</t>
  </si>
  <si>
    <t>1MtnXhPcnKdUp1fh19qrt_jDZfpezdNPp</t>
  </si>
  <si>
    <t>https://drive.google.com/file/d/1MtnXhPcnKdUp1fh19qrt_jDZfpezdNPp/view?usp=drivesdk</t>
  </si>
  <si>
    <t>AFRIYANTI.,S.AP.,M.AP</t>
  </si>
  <si>
    <t>afriyanti1971@yahoo.com</t>
  </si>
  <si>
    <t>6259</t>
  </si>
  <si>
    <t>Starting at Thu Aug 29 2024 21:49:42 GMT-0400 (EDT)</t>
  </si>
  <si>
    <t>1B3B-KacdsTs5foKxmpkOoWIqa_sg72Eo</t>
  </si>
  <si>
    <t>https://drive.google.com/file/d/1B3B-KacdsTs5foKxmpkOoWIqa_sg72Eo/view?usp=drivesdk</t>
  </si>
  <si>
    <t xml:space="preserve">FEMMY SOMPOTAN </t>
  </si>
  <si>
    <t>femmysulteng@gmail.com</t>
  </si>
  <si>
    <t>6260</t>
  </si>
  <si>
    <t>https://drive.google.com/file/d/1HU9BwVKOguKDxQ95QGX0rgBaCsW2mmyd/view?usp=drivesdk</t>
  </si>
  <si>
    <t>1HU9BwVKOguKDxQ95QGX0rgBaCsW2mmyd</t>
  </si>
  <si>
    <t>1OWZ9lOozqmP1_ijDvEIVNwH-TJrupAxc</t>
  </si>
  <si>
    <t>https://drive.google.com/file/d/1OWZ9lOozqmP1_ijDvEIVNwH-TJrupAxc/view?usp=drivesdk</t>
  </si>
  <si>
    <t>Document successfully created; Document successfully merged; PDF created; !!Error Sending Emails: Service invoked too many times for one day: email.; Manually run by ecertificate75@gmail.com; Timestamp: Sep 3 2024 4:42 AM</t>
  </si>
  <si>
    <t>HARRY HARTAWAN</t>
  </si>
  <si>
    <t>harryhtw70@gmail.com</t>
  </si>
  <si>
    <t>6261</t>
  </si>
  <si>
    <t>https://drive.google.com/file/d/1CA87W4D8FE6L2lxLPsi1ibZWqVxUfD3F/view?usp=drivesdk</t>
  </si>
  <si>
    <t>1CA87W4D8FE6L2lxLPsi1ibZWqVxUfD3F</t>
  </si>
  <si>
    <t>120EF93upnEhYxEbyvCfrBsNKA4Jo2NTw</t>
  </si>
  <si>
    <t>https://drive.google.com/file/d/120EF93upnEhYxEbyvCfrBsNKA4Jo2NTw/view?usp=drivesdk</t>
  </si>
  <si>
    <t>RIYANTI SARI DEWI</t>
  </si>
  <si>
    <t>riyantisardew@gmail.com</t>
  </si>
  <si>
    <t>6262</t>
  </si>
  <si>
    <t>Starting at Thu Aug 29 2024 21:49:49 GMT-0400 (EDT)</t>
  </si>
  <si>
    <t>1uCAoU4z9BIELUrUOsgt1xy8nhR0EJK-l</t>
  </si>
  <si>
    <t>https://drive.google.com/file/d/1uCAoU4z9BIELUrUOsgt1xy8nhR0EJK-l/view?usp=drivesdk</t>
  </si>
  <si>
    <t>Miso,A.Md.Kep</t>
  </si>
  <si>
    <t>19700727osim@gmail.com</t>
  </si>
  <si>
    <t>6263</t>
  </si>
  <si>
    <t>1FJySEpuWzsiuweVWiAutsHsA6vchOAM5</t>
  </si>
  <si>
    <t>https://drive.google.com/file/d/1FJySEpuWzsiuweVWiAutsHsA6vchOAM5/view?usp=drivesdk</t>
  </si>
  <si>
    <t>NURRACHMI SEPTA RIANA</t>
  </si>
  <si>
    <t>renminditreskrimsuspoldalampun@gmail.com</t>
  </si>
  <si>
    <t>6264</t>
  </si>
  <si>
    <t>1fbyqoSgw1UZmVsut4ponU0-Gh1_iP1-q</t>
  </si>
  <si>
    <t>https://drive.google.com/file/d/1fbyqoSgw1UZmVsut4ponU0-Gh1_iP1-q/view?usp=drivesdk</t>
  </si>
  <si>
    <t>SUCIPTO</t>
  </si>
  <si>
    <t>cipto250381@gmail.com</t>
  </si>
  <si>
    <t>6265</t>
  </si>
  <si>
    <t>1KtriNJnWNn003POooRLFg8BJ__xH6QGI</t>
  </si>
  <si>
    <t>https://drive.google.com/file/d/1KtriNJnWNn003POooRLFg8BJ__xH6QGI/view?usp=drivesdk</t>
  </si>
  <si>
    <t>Document successfully created; Document successfully merged; PDF created; !!Error Sending Emails: Service invoked too many times for one day: email.; Manually run by ecertificate75@gmail.com; Timestamp: Sep 3 2024 4:43 AM</t>
  </si>
  <si>
    <t>SUMARMI WIJIYANTI S.Kep</t>
  </si>
  <si>
    <t>sumarmi107@gmail.com</t>
  </si>
  <si>
    <t>6266</t>
  </si>
  <si>
    <t>1z6QxKvmKhdrBVJH5VghEM-NI56B75r1m</t>
  </si>
  <si>
    <t>https://drive.google.com/file/d/1z6QxKvmKhdrBVJH5VghEM-NI56B75r1m/view?usp=drivesdk</t>
  </si>
  <si>
    <t>RISDA SIHOMBING, S.Sos, MSP</t>
  </si>
  <si>
    <t>watimemi3@gmail.com</t>
  </si>
  <si>
    <t>6267</t>
  </si>
  <si>
    <t>Starting at Thu Aug 29 2024 21:49:52 GMT-0400 (EDT)</t>
  </si>
  <si>
    <t>1TowAeqKEfocGp257EoeB4EehAvgoDtKO</t>
  </si>
  <si>
    <t>https://drive.google.com/file/d/1TowAeqKEfocGp257EoeB4EehAvgoDtKO/view?usp=drivesdk</t>
  </si>
  <si>
    <t>PARYANA</t>
  </si>
  <si>
    <t>paryana.tabessmg@gmail.com</t>
  </si>
  <si>
    <t>6268</t>
  </si>
  <si>
    <t>1B_eZRp6V6hjO8ra2ihOFjz9cVIF7nMZB</t>
  </si>
  <si>
    <t>https://drive.google.com/file/d/1B_eZRp6V6hjO8ra2ihOFjz9cVIF7nMZB/view?usp=drivesdk</t>
  </si>
  <si>
    <t>ROCHMIATUN</t>
  </si>
  <si>
    <t>rochmi2203@gmail.com</t>
  </si>
  <si>
    <t>6269</t>
  </si>
  <si>
    <t>Starting at Thu Aug 29 2024 21:49:54 GMT-0400 (EDT)</t>
  </si>
  <si>
    <t>1ULejt2_7EOgKW9MemtbWBoLgbFkH_iRo</t>
  </si>
  <si>
    <t>https://drive.google.com/file/d/1ULejt2_7EOgKW9MemtbWBoLgbFkH_iRo/view?usp=drivesdk</t>
  </si>
  <si>
    <t>Document successfully created; Document successfully merged; PDF created; !!Error Sending Emails: Service invoked too many times for one day: email.; Manually run by ecertificate75@gmail.com; Timestamp: Sep 3 2024 4:44 AM</t>
  </si>
  <si>
    <t xml:space="preserve">EFFI HARIJATI </t>
  </si>
  <si>
    <t>effiharijati1972@gmail.com</t>
  </si>
  <si>
    <t>6270</t>
  </si>
  <si>
    <t>https://drive.google.com/file/d/1J2DNnrO6B3_w-azGW9QbpOd3utrv4VEp/view?usp=drivesdk</t>
  </si>
  <si>
    <t>1J2DNnrO6B3_w-azGW9QbpOd3utrv4VEp</t>
  </si>
  <si>
    <t>1ajXuua9tCqfwpHUxdfGeKgbtPkpxl3i9</t>
  </si>
  <si>
    <t>https://drive.google.com/file/d/1ajXuua9tCqfwpHUxdfGeKgbtPkpxl3i9/view?usp=drivesdk</t>
  </si>
  <si>
    <t xml:space="preserve">ELFRIDA RIANA PANJAITAN </t>
  </si>
  <si>
    <t>elfridarianapanjaitan@gmail.com</t>
  </si>
  <si>
    <t>6271</t>
  </si>
  <si>
    <t>https://drive.google.com/file/d/1PjRgqJn6y4s8aJ9zSbcZ4lPMSQeU33yO/view?usp=drivesdk</t>
  </si>
  <si>
    <t>1PjRgqJn6y4s8aJ9zSbcZ4lPMSQeU33yO</t>
  </si>
  <si>
    <t>1uVOe5u7pzLy6hB1X2TbjZfUkiBhSSq44</t>
  </si>
  <si>
    <t>https://drive.google.com/file/d/1uVOe5u7pzLy6hB1X2TbjZfUkiBhSSq44/view?usp=drivesdk</t>
  </si>
  <si>
    <t>IDA ROCHANI ESTI BUDYANINGSIH</t>
  </si>
  <si>
    <t>ida.esti.rohaye@gmail.com</t>
  </si>
  <si>
    <t>6272</t>
  </si>
  <si>
    <t>https://drive.google.com/file/d/1op3MEEjRsSGM8HaU7EjqVrmqliCes2bT/view?usp=drivesdk</t>
  </si>
  <si>
    <t>1op3MEEjRsSGM8HaU7EjqVrmqliCes2bT</t>
  </si>
  <si>
    <t>1g6yFpkfz0d_iKMCk2s9r-UHWmoEt2b6K</t>
  </si>
  <si>
    <t>https://drive.google.com/file/d/1g6yFpkfz0d_iKMCk2s9r-UHWmoEt2b6K/view?usp=drivesdk</t>
  </si>
  <si>
    <t>NARTI,S.Sos</t>
  </si>
  <si>
    <t>nartiahmadi1979@gmail.com</t>
  </si>
  <si>
    <t>6273</t>
  </si>
  <si>
    <t>Starting at Thu Aug 29 2024 21:50:02 GMT-0400 (EDT)</t>
  </si>
  <si>
    <t>1UyQm3YOQFIiR1u0ueWd-9iSyjeDZlP2y</t>
  </si>
  <si>
    <t>https://drive.google.com/file/d/1UyQm3YOQFIiR1u0ueWd-9iSyjeDZlP2y/view?usp=drivesdk</t>
  </si>
  <si>
    <t>FRIDA SIMANJUNTAK</t>
  </si>
  <si>
    <t>fridasimanjuntak890@gmail.com</t>
  </si>
  <si>
    <t>6274</t>
  </si>
  <si>
    <t>1tPZEH7uklInvaBtYXyCeAJYihirR_MAH</t>
  </si>
  <si>
    <t>https://drive.google.com/file/d/1tPZEH7uklInvaBtYXyCeAJYihirR_MAH/view?usp=drivesdk</t>
  </si>
  <si>
    <t>Document successfully created; Document successfully merged; PDF created; !!Error Sending Emails: Service invoked too many times for one day: email.; Manually run by ecertificate75@gmail.com; Timestamp: Sep 3 2024 4:45 AM</t>
  </si>
  <si>
    <t>HENNY HANIFAH</t>
  </si>
  <si>
    <t>hennyhanifah.hh@gmail.com</t>
  </si>
  <si>
    <t>6275</t>
  </si>
  <si>
    <t>1UOVhRkA2BWABIIqyOo57-YeyF9uHgE9e</t>
  </si>
  <si>
    <t>https://drive.google.com/file/d/1UOVhRkA2BWABIIqyOo57-YeyF9uHgE9e/view?usp=drivesdk</t>
  </si>
  <si>
    <t>ANDI HERNIWATY</t>
  </si>
  <si>
    <t>Enymanado1234@gmail.com</t>
  </si>
  <si>
    <t>6276</t>
  </si>
  <si>
    <t>1MyKgyzz9tNlI_hj3DH5LMSXtPE-GGWVH</t>
  </si>
  <si>
    <t>https://drive.google.com/file/d/1MyKgyzz9tNlI_hj3DH5LMSXtPE-GGWVH/view?usp=drivesdk</t>
  </si>
  <si>
    <t>ANTONI OKTORINO</t>
  </si>
  <si>
    <t>antonioktorinoduri@gmail.com</t>
  </si>
  <si>
    <t>6277</t>
  </si>
  <si>
    <t>1Z_l1g6-7QNtlDZ6hk9hCLxQiibcLGECj</t>
  </si>
  <si>
    <t>https://drive.google.com/file/d/1Z_l1g6-7QNtlDZ6hk9hCLxQiibcLGECj/view?usp=drivesdk</t>
  </si>
  <si>
    <t>SUPARMI</t>
  </si>
  <si>
    <t>amysafana@gmail.com</t>
  </si>
  <si>
    <t>6278</t>
  </si>
  <si>
    <t>1VuGdJnDuUxVrN-Fi0hArQVu4piRxkpLc</t>
  </si>
  <si>
    <t>https://drive.google.com/file/d/1VuGdJnDuUxVrN-Fi0hArQVu4piRxkpLc/view?usp=drivesdk</t>
  </si>
  <si>
    <t>ADE SUDRAJAT</t>
  </si>
  <si>
    <t>ades.sudrajat1969@gmail.com</t>
  </si>
  <si>
    <t>6279</t>
  </si>
  <si>
    <t>1j8FpfIQdJg-MZJq6KMzqIxHnsLwlv_jD</t>
  </si>
  <si>
    <t>https://drive.google.com/file/d/1j8FpfIQdJg-MZJq6KMzqIxHnsLwlv_jD/view?usp=drivesdk</t>
  </si>
  <si>
    <t>ABDUL SALAM</t>
  </si>
  <si>
    <t>abdulsalam061286@gmail.com</t>
  </si>
  <si>
    <t>6280</t>
  </si>
  <si>
    <t>10CoHCWMkJItXJNTlXdiHpkxbpUvlr5pv</t>
  </si>
  <si>
    <t>https://drive.google.com/file/d/10CoHCWMkJItXJNTlXdiHpkxbpUvlr5pv/view?usp=drivesdk</t>
  </si>
  <si>
    <t>Document successfully created; Document successfully merged; PDF created; !!Error Sending Emails: Service invoked too many times for one day: email.; Manually run by ecertificate75@gmail.com; Timestamp: Sep 3 2024 4:46 AM</t>
  </si>
  <si>
    <t>TATI ROHAYATI</t>
  </si>
  <si>
    <t>tatirohayati140106@gmail.com</t>
  </si>
  <si>
    <t>6281</t>
  </si>
  <si>
    <t>Starting at Thu Aug 29 2024 21:50:01 GMT-0400 (EDT)</t>
  </si>
  <si>
    <t>1haQeNa6vkQxN9deSEmMQsi546DCMpIBG</t>
  </si>
  <si>
    <t>https://drive.google.com/file/d/1haQeNa6vkQxN9deSEmMQsi546DCMpIBG/view?usp=drivesdk</t>
  </si>
  <si>
    <t xml:space="preserve">SUWANDI </t>
  </si>
  <si>
    <t>suwandispn005@gmail.com</t>
  </si>
  <si>
    <t>6282</t>
  </si>
  <si>
    <t>https://drive.google.com/file/d/19F48SAv0kqv6cZnyt4HvprsaPh2huLE9/view?usp=drivesdk</t>
  </si>
  <si>
    <t>19F48SAv0kqv6cZnyt4HvprsaPh2huLE9</t>
  </si>
  <si>
    <t>1suGusRjkaUgSy0xcaF6yRFbervlWO0jc</t>
  </si>
  <si>
    <t>https://drive.google.com/file/d/1suGusRjkaUgSy0xcaF6yRFbervlWO0jc/view?usp=drivesdk</t>
  </si>
  <si>
    <t>DEDE RACHMAN</t>
  </si>
  <si>
    <t>dederachman81@gmail.com</t>
  </si>
  <si>
    <t>6283</t>
  </si>
  <si>
    <t>Starting at Thu Aug 29 2024 21:50:11 GMT-0400 (EDT)</t>
  </si>
  <si>
    <t>1FWunpIxRvX6oqFsFPOkENkH5RJdwsNVK</t>
  </si>
  <si>
    <t>https://drive.google.com/file/d/1FWunpIxRvX6oqFsFPOkENkH5RJdwsNVK/view?usp=drivesdk</t>
  </si>
  <si>
    <t>GUNGUN HENDARA</t>
  </si>
  <si>
    <t>gungunhendara27@gmail.com</t>
  </si>
  <si>
    <t>6284</t>
  </si>
  <si>
    <t>1nRKeWi-VusEgfYL0oDqUfazQ-cuDJ2gG</t>
  </si>
  <si>
    <t>https://drive.google.com/file/d/1nRKeWi-VusEgfYL0oDqUfazQ-cuDJ2gG/view?usp=drivesdk</t>
  </si>
  <si>
    <t>HJ. HAFIAH BAHARUDDIN</t>
  </si>
  <si>
    <t>muh.rafli272727@gmail.com</t>
  </si>
  <si>
    <t>6285</t>
  </si>
  <si>
    <t>19YWIUvGOtnDXWYKCjJt6tr565buxr79L</t>
  </si>
  <si>
    <t>https://drive.google.com/file/d/19YWIUvGOtnDXWYKCjJt6tr565buxr79L/view?usp=drivesdk</t>
  </si>
  <si>
    <t>Document successfully created; Document successfully merged; PDF created; !!Error Sending Emails: Service invoked too many times for one day: email.; Manually run by ecertificate75@gmail.com; Timestamp: Sep 3 2024 4:47 AM</t>
  </si>
  <si>
    <t>Anak Agung Eka Ariestini</t>
  </si>
  <si>
    <t>ekaariestini224@gmail.com</t>
  </si>
  <si>
    <t>6286</t>
  </si>
  <si>
    <t>1rCBsNWiFhxseCfBB9MH25SqaHYB11J0S</t>
  </si>
  <si>
    <t>https://drive.google.com/file/d/1rCBsNWiFhxseCfBB9MH25SqaHYB11J0S/view?usp=drivesdk</t>
  </si>
  <si>
    <t>MARDHIYAH</t>
  </si>
  <si>
    <t>mardhiyahdia9@gmail.com</t>
  </si>
  <si>
    <t>6287</t>
  </si>
  <si>
    <t>18CjMRvtaxW_DLPIXm_b_Qre21Hiqtb8h</t>
  </si>
  <si>
    <t>https://drive.google.com/file/d/18CjMRvtaxW_DLPIXm_b_Qre21Hiqtb8h/view?usp=drivesdk</t>
  </si>
  <si>
    <t>POPIE HANDEL</t>
  </si>
  <si>
    <t>popihandel22@gmail.com</t>
  </si>
  <si>
    <t>6288</t>
  </si>
  <si>
    <t>16p1wbpZqvEdBgJ0Tz3kJ0F6urrxbYVAz</t>
  </si>
  <si>
    <t>https://drive.google.com/file/d/16p1wbpZqvEdBgJ0Tz3kJ0F6urrxbYVAz/view?usp=drivesdk</t>
  </si>
  <si>
    <t>ANDRI SETIAWAN.,S.P.D.I.,CPHR.,CHRA.</t>
  </si>
  <si>
    <t>andrisetiawan443@yahoo.co.id</t>
  </si>
  <si>
    <t>6289</t>
  </si>
  <si>
    <t>1cNrnmsB-4gzwDpkx5DJJIyhTJIDsnfI-</t>
  </si>
  <si>
    <t>https://drive.google.com/file/d/1cNrnmsB-4gzwDpkx5DJJIyhTJIDsnfI-/view?usp=drivesdk</t>
  </si>
  <si>
    <t>Document successfully created; Document successfully merged; PDF created; !!Error Sending Emails: Service invoked too many times for one day: email.; Manually run by ecertificate75@gmail.com; Timestamp: Sep 3 2024 4:48 AM</t>
  </si>
  <si>
    <t>INDRA PURNAMA ALAM</t>
  </si>
  <si>
    <t>mala.alam777@gmail.com</t>
  </si>
  <si>
    <t>6290</t>
  </si>
  <si>
    <t>1ltIGdlFC3XeKI51U3pUq94xPOZXyxkxL</t>
  </si>
  <si>
    <t>https://drive.google.com/file/d/1ltIGdlFC3XeKI51U3pUq94xPOZXyxkxL/view?usp=drivesdk</t>
  </si>
  <si>
    <t>NINGSIH</t>
  </si>
  <si>
    <t>ningsih24071975@gmail.com</t>
  </si>
  <si>
    <t>6291</t>
  </si>
  <si>
    <t>1gP_0ns8oZXkBeOBq1XdTHthQ5ArofSja</t>
  </si>
  <si>
    <t>https://drive.google.com/file/d/1gP_0ns8oZXkBeOBq1XdTHthQ5ArofSja/view?usp=drivesdk</t>
  </si>
  <si>
    <t>HESTYANA SAMOSIR</t>
  </si>
  <si>
    <t>hestyana7813@gmail.com</t>
  </si>
  <si>
    <t>6292</t>
  </si>
  <si>
    <t>1ZNaU-LA-xHkW5ha51_fGmpldIv1LLZoz</t>
  </si>
  <si>
    <t>https://drive.google.com/file/d/1ZNaU-LA-xHkW5ha51_fGmpldIv1LLZoz/view?usp=drivesdk</t>
  </si>
  <si>
    <t>NOVALIA</t>
  </si>
  <si>
    <t>lianova677@gmail.com</t>
  </si>
  <si>
    <t>6293</t>
  </si>
  <si>
    <t>Starting at Thu Aug 29 2024 21:50:13 GMT-0400 (EDT)</t>
  </si>
  <si>
    <t>1mrfIF6F_S9YYQZLKkA16MLO4PYdVxUhT</t>
  </si>
  <si>
    <t>https://drive.google.com/file/d/1mrfIF6F_S9YYQZLKkA16MLO4PYdVxUhT/view?usp=drivesdk</t>
  </si>
  <si>
    <t>Document successfully created; Document successfully merged; PDF created; !!Error Sending Emails: Service invoked too many times for one day: email.; Manually run by ecertificate75@gmail.com; Timestamp: Sep 3 2024 4:49 AM</t>
  </si>
  <si>
    <t>PIRDI, S.Sos</t>
  </si>
  <si>
    <t>pirdi2016@gmail.com</t>
  </si>
  <si>
    <t>6294</t>
  </si>
  <si>
    <t>1PElyns1rcyX1bGWs8xrCcQRgZ7bdj1XK</t>
  </si>
  <si>
    <t>https://drive.google.com/file/d/1PElyns1rcyX1bGWs8xrCcQRgZ7bdj1XK/view?usp=drivesdk</t>
  </si>
  <si>
    <t>Yulifah,S.Kep.,Ns</t>
  </si>
  <si>
    <t>syifajayataslim27@gmail.com</t>
  </si>
  <si>
    <t>6295</t>
  </si>
  <si>
    <t>147blIdBZZ2qqmV_KoQDM1d1u46kNwm-L</t>
  </si>
  <si>
    <t>https://drive.google.com/file/d/147blIdBZZ2qqmV_KoQDM1d1u46kNwm-L/view?usp=drivesdk</t>
  </si>
  <si>
    <t>SUPRATMAN S S Kep</t>
  </si>
  <si>
    <t>supratman324@gmail.com</t>
  </si>
  <si>
    <t>6296</t>
  </si>
  <si>
    <t>1Nu5PtAOoamMSxhgxiswV_ag5QtMDi38d</t>
  </si>
  <si>
    <t>https://drive.google.com/file/d/1Nu5PtAOoamMSxhgxiswV_ag5QtMDi38d/view?usp=drivesdk</t>
  </si>
  <si>
    <t>Document successfully created; Document successfully merged; PDF created; !!Error Sending Emails: Service invoked too many times for one day: email.; Manually run by ecertificate75@gmail.com; Timestamp: Sep 3 2024 4:50 AM</t>
  </si>
  <si>
    <t>SINTA MANALU, S.E.</t>
  </si>
  <si>
    <t>manalusinta0@gmail.com</t>
  </si>
  <si>
    <t>6297</t>
  </si>
  <si>
    <t>Starting at Thu Aug 29 2024 21:50:16 GMT-0400 (EDT)</t>
  </si>
  <si>
    <t>19gszoRJnWRGKUCKsbYGvhuJpvEx7WpCW</t>
  </si>
  <si>
    <t>https://drive.google.com/file/d/19gszoRJnWRGKUCKsbYGvhuJpvEx7WpCW/view?usp=drivesdk</t>
  </si>
  <si>
    <t>ARMIA, A</t>
  </si>
  <si>
    <t>rosdm.aceh@g.mail.com</t>
  </si>
  <si>
    <t>6298</t>
  </si>
  <si>
    <t>17RdIjWSYWy0HYukgvwlHcVPbY7lHS2UU</t>
  </si>
  <si>
    <t>https://drive.google.com/file/d/17RdIjWSYWy0HYukgvwlHcVPbY7lHS2UU/view?usp=drivesdk</t>
  </si>
  <si>
    <t>MEGA IDAWATI</t>
  </si>
  <si>
    <t>junmega8@gmail.com</t>
  </si>
  <si>
    <t>6299</t>
  </si>
  <si>
    <t>1ap1TqijSakwBYuJyJXU4LJQw4Fp7GA1A</t>
  </si>
  <si>
    <t>https://drive.google.com/file/d/1ap1TqijSakwBYuJyJXU4LJQw4Fp7GA1A/view?usp=drivesdk</t>
  </si>
  <si>
    <t>WIDIAWATI, AM.Keb</t>
  </si>
  <si>
    <t>y09w11@gmail.com</t>
  </si>
  <si>
    <t>6300</t>
  </si>
  <si>
    <t>Starting at Thu Aug 29 2024 21:50:18 GMT-0400 (EDT)</t>
  </si>
  <si>
    <t>13fxLvJZYMHuobYQGshCcVK2we2eGs9Ik</t>
  </si>
  <si>
    <t>https://drive.google.com/file/d/13fxLvJZYMHuobYQGshCcVK2we2eGs9Ik/view?usp=drivesdk</t>
  </si>
  <si>
    <t>Document successfully created; Document successfully merged; PDF created; !!Error Sending Emails: Service invoked too many times for one day: email.; Manually run by ecertificate75@gmail.com; Timestamp: Sep 3 2024 4:51 AM</t>
  </si>
  <si>
    <t>ERIK SUSANTO</t>
  </si>
  <si>
    <t>erickraspati@gmail.com</t>
  </si>
  <si>
    <t>6301</t>
  </si>
  <si>
    <t>1NUAM9ZLJsyADYKhvieclBGtRkg9xjcnB</t>
  </si>
  <si>
    <t>https://drive.google.com/file/d/1NUAM9ZLJsyADYKhvieclBGtRkg9xjcnB/view?usp=drivesdk</t>
  </si>
  <si>
    <t>NS ARTATI JULIANA VICLONAR SKEP</t>
  </si>
  <si>
    <t>artatijuliana@gmail.com</t>
  </si>
  <si>
    <t>6302</t>
  </si>
  <si>
    <t>1Q27rQ1IqwFWCOkCneG4Uu1k3JyVxoWnn</t>
  </si>
  <si>
    <t>https://drive.google.com/file/d/1Q27rQ1IqwFWCOkCneG4Uu1k3JyVxoWnn/view?usp=drivesdk</t>
  </si>
  <si>
    <t>WARTININGSIH</t>
  </si>
  <si>
    <t>wartiningsih1968@gmail.com</t>
  </si>
  <si>
    <t>6303</t>
  </si>
  <si>
    <t>Starting at Thu Aug 29 2024 21:50:42 GMT-0400 (EDT)</t>
  </si>
  <si>
    <t>1ZrYjlTzsZnQbB4d4PVZrc-b3-yp6ENPM</t>
  </si>
  <si>
    <t>https://drive.google.com/file/d/1ZrYjlTzsZnQbB4d4PVZrc-b3-yp6ENPM/view?usp=drivesdk</t>
  </si>
  <si>
    <t>EFRAHIM URBANUS TURLEL.,S.S</t>
  </si>
  <si>
    <t>efraneo7@gmail.com</t>
  </si>
  <si>
    <t>6304</t>
  </si>
  <si>
    <t>1bnZ4E6Q8X1MxF5yJaz7Rg89rLN5UAMl4</t>
  </si>
  <si>
    <t>https://drive.google.com/file/d/1bnZ4E6Q8X1MxF5yJaz7Rg89rLN5UAMl4/view?usp=drivesdk</t>
  </si>
  <si>
    <t>NELLY NOVIYANTI, S.Kep., Ns., MARS., FISQua</t>
  </si>
  <si>
    <t>nelly16kelya@gmail.com</t>
  </si>
  <si>
    <t>6305</t>
  </si>
  <si>
    <t>14sX4FlEvh4OyDCeCkaJoHlC8xt56uJ4A</t>
  </si>
  <si>
    <t>https://drive.google.com/file/d/14sX4FlEvh4OyDCeCkaJoHlC8xt56uJ4A/view?usp=drivesdk</t>
  </si>
  <si>
    <t>Document successfully created; Document successfully merged; PDF created; !!Error Sending Emails: Service invoked too many times for one day: email.; Manually run by ecertificate75@gmail.com; Timestamp: Sep 3 2024 4:52 AM</t>
  </si>
  <si>
    <t>IRMA HASIBUAN</t>
  </si>
  <si>
    <t>irmaahasibuan@gmail.com</t>
  </si>
  <si>
    <t>6306</t>
  </si>
  <si>
    <t>1gZudMHDkBlU6S9sQGcFQ5FsVxOBwozf7</t>
  </si>
  <si>
    <t>https://drive.google.com/file/d/1gZudMHDkBlU6S9sQGcFQ5FsVxOBwozf7/view?usp=drivesdk</t>
  </si>
  <si>
    <t>KRISNA HEPARYANA</t>
  </si>
  <si>
    <t>krishepar@gmail.com</t>
  </si>
  <si>
    <t>6307</t>
  </si>
  <si>
    <t>1ABVQkXAgD80sk8vyKaTGr7tdL18x4bew</t>
  </si>
  <si>
    <t>https://drive.google.com/file/d/1ABVQkXAgD80sk8vyKaTGr7tdL18x4bew/view?usp=drivesdk</t>
  </si>
  <si>
    <t>GALEH ANGGORO PUTRO</t>
  </si>
  <si>
    <t>galehputro06@gmail.com</t>
  </si>
  <si>
    <t>6308</t>
  </si>
  <si>
    <t>1ABMz7a6TXOOIE2r_rMf5KhkaUeJQCspu</t>
  </si>
  <si>
    <t>https://drive.google.com/file/d/1ABMz7a6TXOOIE2r_rMf5KhkaUeJQCspu/view?usp=drivesdk</t>
  </si>
  <si>
    <t>SAIDA TUNISA</t>
  </si>
  <si>
    <t>saidatunisa10oktober@gmail.com</t>
  </si>
  <si>
    <t>6309</t>
  </si>
  <si>
    <t>1J4b1fxSLJ4C1sL2j_DpeTNaQPXd5-yvG</t>
  </si>
  <si>
    <t>https://drive.google.com/file/d/1J4b1fxSLJ4C1sL2j_DpeTNaQPXd5-yvG/view?usp=drivesdk</t>
  </si>
  <si>
    <t xml:space="preserve">ERMA ARIEFIANI </t>
  </si>
  <si>
    <t>ermaariefiani06@gmail.com</t>
  </si>
  <si>
    <t>6310</t>
  </si>
  <si>
    <t>12ELsioCTIZbZJUxeftV900mkSgOpUoHs</t>
  </si>
  <si>
    <t>https://drive.google.com/file/d/12ELsioCTIZbZJUxeftV900mkSgOpUoHs/view?usp=drivesdk</t>
  </si>
  <si>
    <t>Document successfully created; Document successfully merged; PDF created; !!Error Sending Emails: Service invoked too many times for one day: email.; Manually run by ecertificate75@gmail.com; Timestamp: Sep 3 2024 4:53 AM</t>
  </si>
  <si>
    <t>MARULI IRWAN,A.Md</t>
  </si>
  <si>
    <t>urangbangka81@gmail.com</t>
  </si>
  <si>
    <t>6311</t>
  </si>
  <si>
    <t>1ykNdC7CTDfWP3_C5lAAg-Rf8hjJ_Uat6</t>
  </si>
  <si>
    <t>https://drive.google.com/file/d/1ykNdC7CTDfWP3_C5lAAg-Rf8hjJ_Uat6/view?usp=drivesdk</t>
  </si>
  <si>
    <t>NADIR HOLIK</t>
  </si>
  <si>
    <t>holiknadir@gmail.com</t>
  </si>
  <si>
    <t>6312</t>
  </si>
  <si>
    <t>1F6SyDv98bjjBi2AFJRcVCHfa54s2gpZq</t>
  </si>
  <si>
    <t>https://drive.google.com/file/d/1F6SyDv98bjjBi2AFJRcVCHfa54s2gpZq/view?usp=drivesdk</t>
  </si>
  <si>
    <t>DANNY ASMANTO, S.T.</t>
  </si>
  <si>
    <t>d4nuls@gmail.com</t>
  </si>
  <si>
    <t>6313</t>
  </si>
  <si>
    <t>1tJWhjURM-9CGNEqjoXeFjsPTpVdTxgND</t>
  </si>
  <si>
    <t>https://drive.google.com/file/d/1tJWhjURM-9CGNEqjoXeFjsPTpVdTxgND/view?usp=drivesdk</t>
  </si>
  <si>
    <t>DADAN RUHENDA</t>
  </si>
  <si>
    <t>D4d4nr@gmail.com</t>
  </si>
  <si>
    <t>6314</t>
  </si>
  <si>
    <t>1vH5Db0xKSsApEynmjeKUI_h1BOoyLa7K</t>
  </si>
  <si>
    <t>https://drive.google.com/file/d/1vH5Db0xKSsApEynmjeKUI_h1BOoyLa7K/view?usp=drivesdk</t>
  </si>
  <si>
    <t>Document successfully created; Document successfully merged; PDF created; !!Error Sending Emails: Service invoked too many times for one day: email.; Manually run by ecertificate75@gmail.com; Timestamp: Sep 3 2024 4:54 AM</t>
  </si>
  <si>
    <t>SITI LESTARI, A.Md.Keb.</t>
  </si>
  <si>
    <t>sitiles1997tari@gmail.com</t>
  </si>
  <si>
    <t>6315</t>
  </si>
  <si>
    <t>1zszeL5f2Pho-T_StUM8tRatK1RYDt0BB</t>
  </si>
  <si>
    <t>https://drive.google.com/file/d/1zszeL5f2Pho-T_StUM8tRatK1RYDt0BB/view?usp=drivesdk</t>
  </si>
  <si>
    <t>NIKKI SULASTRY</t>
  </si>
  <si>
    <t>nikkisulasty@gmail.com</t>
  </si>
  <si>
    <t>6316</t>
  </si>
  <si>
    <t>1MfuxctEl7bPHGTqgs3RkV6JCoidQTD5G</t>
  </si>
  <si>
    <t>https://drive.google.com/file/d/1MfuxctEl7bPHGTqgs3RkV6JCoidQTD5G/view?usp=drivesdk</t>
  </si>
  <si>
    <t>Ns.DWISANDI ABDILLAH,S.Kep</t>
  </si>
  <si>
    <t>sandidwiabdillah@gmail.com</t>
  </si>
  <si>
    <t>6317</t>
  </si>
  <si>
    <t>1a0j2muowzaSCvrMsfzeKivMFIQNT5CS2</t>
  </si>
  <si>
    <t>https://drive.google.com/file/d/1a0j2muowzaSCvrMsfzeKivMFIQNT5CS2/view?usp=drivesdk</t>
  </si>
  <si>
    <t xml:space="preserve">ERVIANA WIDJAYANTI </t>
  </si>
  <si>
    <t>vervina915@gmail.com</t>
  </si>
  <si>
    <t>6318</t>
  </si>
  <si>
    <t>1KboPoxNu6YTjP3Xhoy5V06w8jr_akThp</t>
  </si>
  <si>
    <t>https://drive.google.com/file/d/1KboPoxNu6YTjP3Xhoy5V06w8jr_akThp/view?usp=drivesdk</t>
  </si>
  <si>
    <t>Document successfully created; Document successfully merged; PDF created; !!Error Sending Emails: Service invoked too many times for one day: email.; Manually run by ecertificate75@gmail.com; Timestamp: Sep 3 2024 4:55 AM</t>
  </si>
  <si>
    <t>ULFA PANTO, S.Ap</t>
  </si>
  <si>
    <t>ulfapanto19@gmail.com</t>
  </si>
  <si>
    <t>6319</t>
  </si>
  <si>
    <t>1JP9Fdee4X3Hfl1leHSP4bqKWnsbtInzm</t>
  </si>
  <si>
    <t>https://drive.google.com/file/d/1JP9Fdee4X3Hfl1leHSP4bqKWnsbtInzm/view?usp=drivesdk</t>
  </si>
  <si>
    <t>HANI HIDAYANI</t>
  </si>
  <si>
    <t>hanihidayani2@gmail.com</t>
  </si>
  <si>
    <t>6320</t>
  </si>
  <si>
    <t>1t_c88d9HJtmYTiJUK-bgKMPOsjaCjBVR</t>
  </si>
  <si>
    <t>https://drive.google.com/file/d/1t_c88d9HJtmYTiJUK-bgKMPOsjaCjBVR/view?usp=drivesdk</t>
  </si>
  <si>
    <t>MOHAMAD FADLI</t>
  </si>
  <si>
    <t>fadlimohamad751@gmail.com</t>
  </si>
  <si>
    <t>6321</t>
  </si>
  <si>
    <t>12NmIokzXJWTU8sH5TXOp0Y7U02mPL-L-</t>
  </si>
  <si>
    <t>https://drive.google.com/file/d/12NmIokzXJWTU8sH5TXOp0Y7U02mPL-L-/view?usp=drivesdk</t>
  </si>
  <si>
    <t xml:space="preserve">BAKHRUDDIN </t>
  </si>
  <si>
    <t>bapakbahrudin99@gmail.com</t>
  </si>
  <si>
    <t>6322</t>
  </si>
  <si>
    <t>16fIsZsU65pVzBzxCwfMYuSwGdut8XHAX</t>
  </si>
  <si>
    <t>https://drive.google.com/file/d/16fIsZsU65pVzBzxCwfMYuSwGdut8XHAX/view?usp=drivesdk</t>
  </si>
  <si>
    <t>Ns. FERIDISTIRA, S.Kep</t>
  </si>
  <si>
    <t>feridistira2110@gmail.com</t>
  </si>
  <si>
    <t>6323</t>
  </si>
  <si>
    <t>17mZz9qn7vx1GN4Ce5NSLVPdSuq9XDk5V</t>
  </si>
  <si>
    <t>https://drive.google.com/file/d/17mZz9qn7vx1GN4Ce5NSLVPdSuq9XDk5V/view?usp=drivesdk</t>
  </si>
  <si>
    <t>Document successfully created; Document successfully merged; PDF created; !!Error Sending Emails: Service invoked too many times for one day: email.; Manually run by ecertificate75@gmail.com; Timestamp: Sep 3 2024 4:56 AM</t>
  </si>
  <si>
    <t>WIDIYA HARINI</t>
  </si>
  <si>
    <t>widiyaharini828@gmail.com</t>
  </si>
  <si>
    <t>6324</t>
  </si>
  <si>
    <t>10oudFQC67CyvfSBD5j-kCMMVxRRxfkEm</t>
  </si>
  <si>
    <t>https://drive.google.com/file/d/10oudFQC67CyvfSBD5j-kCMMVxRRxfkEm/view?usp=drivesdk</t>
  </si>
  <si>
    <t>SAYIDIMAN MESMAN, AMd., S.Kom</t>
  </si>
  <si>
    <t>6325</t>
  </si>
  <si>
    <t>1iODW-yKKwGUeHxVImme4v89MhgyObiGI</t>
  </si>
  <si>
    <t>https://drive.google.com/file/d/1iODW-yKKwGUeHxVImme4v89MhgyObiGI/view?usp=drivesdk</t>
  </si>
  <si>
    <t>LUSI HARIYANI</t>
  </si>
  <si>
    <t>budehlusi@gmail.com</t>
  </si>
  <si>
    <t>6326</t>
  </si>
  <si>
    <t>14LmVOwvvq3EBXquaIQ-MIjkeXoWWSN2B</t>
  </si>
  <si>
    <t>https://drive.google.com/file/d/14LmVOwvvq3EBXquaIQ-MIjkeXoWWSN2B/view?usp=drivesdk</t>
  </si>
  <si>
    <t>LIA YULIANTI</t>
  </si>
  <si>
    <t>yulianti.lia82@gmail.com</t>
  </si>
  <si>
    <t>6327</t>
  </si>
  <si>
    <t>1mdT9G5Q21re_w5aZGO9cq_32h0nMZN18</t>
  </si>
  <si>
    <t>https://drive.google.com/file/d/1mdT9G5Q21re_w5aZGO9cq_32h0nMZN18/view?usp=drivesdk</t>
  </si>
  <si>
    <t>Document successfully created; Document successfully merged; PDF created; !!Error Sending Emails: Service invoked too many times for one day: email.; Manually run by ecertificate75@gmail.com; Timestamp: Sep 3 2024 4:57 AM</t>
  </si>
  <si>
    <t>RUSTINI</t>
  </si>
  <si>
    <t>Rustinibendungan@gmail.com</t>
  </si>
  <si>
    <t>6328</t>
  </si>
  <si>
    <t>1yxdAPcaO61XPheTF-BPegUqMFAzlhULS</t>
  </si>
  <si>
    <t>https://drive.google.com/file/d/1yxdAPcaO61XPheTF-BPegUqMFAzlhULS/view?usp=drivesdk</t>
  </si>
  <si>
    <t>SRI SUGI HANDAYANI</t>
  </si>
  <si>
    <t>nggihandayani28@gmail.com</t>
  </si>
  <si>
    <t>6329</t>
  </si>
  <si>
    <t>14APNk1QtzdCAGhp09EFGbM5XDh7j1CVv</t>
  </si>
  <si>
    <t>https://drive.google.com/file/d/14APNk1QtzdCAGhp09EFGbM5XDh7j1CVv/view?usp=drivesdk</t>
  </si>
  <si>
    <t>ASMA AMIRI</t>
  </si>
  <si>
    <t>84.asmaamiri@gmail.com</t>
  </si>
  <si>
    <t>6330</t>
  </si>
  <si>
    <t>1EboaJ03vNgBA68jMHXiG-f9WoYeA3HhO</t>
  </si>
  <si>
    <t>https://drive.google.com/file/d/1EboaJ03vNgBA68jMHXiG-f9WoYeA3HhO/view?usp=drivesdk</t>
  </si>
  <si>
    <t>RIDA CHOIRYAH</t>
  </si>
  <si>
    <t>ridachoiryah.yanma@gmail.com</t>
  </si>
  <si>
    <t>6331</t>
  </si>
  <si>
    <t>1GkHBGD7G7cnAnmt-H74MYk9wzGL2QYZ_</t>
  </si>
  <si>
    <t>https://drive.google.com/file/d/1GkHBGD7G7cnAnmt-H74MYk9wzGL2QYZ_/view?usp=drivesdk</t>
  </si>
  <si>
    <t>MAROJAHAN SITANGGANG, S.E.</t>
  </si>
  <si>
    <t>marojsitanggang@gmail.com</t>
  </si>
  <si>
    <t>6332</t>
  </si>
  <si>
    <t>1rNjTQgGDjxbMox4U8X7HVhNvWAbIcngz</t>
  </si>
  <si>
    <t>https://drive.google.com/file/d/1rNjTQgGDjxbMox4U8X7HVhNvWAbIcngz/view?usp=drivesdk</t>
  </si>
  <si>
    <t>Document successfully created; Document successfully merged; PDF created; !!Error Sending Emails: Service invoked too many times for one day: email.; Manually run by ecertificate75@gmail.com; Timestamp: Sep 3 2024 4:58 AM</t>
  </si>
  <si>
    <t>EVY JULAIKAH</t>
  </si>
  <si>
    <t>julaikahevy@gmail.com</t>
  </si>
  <si>
    <t>6333</t>
  </si>
  <si>
    <t>1hxMxbDwEISCKY5_iJg7Avro_TDZ-rIPU</t>
  </si>
  <si>
    <t>https://drive.google.com/file/d/1hxMxbDwEISCKY5_iJg7Avro_TDZ-rIPU/view?usp=drivesdk</t>
  </si>
  <si>
    <t>YAYUNADI</t>
  </si>
  <si>
    <t>yayunadimaulana@gmail.com</t>
  </si>
  <si>
    <t>6334</t>
  </si>
  <si>
    <t>13cXDZiBPaAaFHR7PQ0I_uBKva7UVvTg8</t>
  </si>
  <si>
    <t>https://drive.google.com/file/d/13cXDZiBPaAaFHR7PQ0I_uBKva7UVvTg8/view?usp=drivesdk</t>
  </si>
  <si>
    <t>RINA, A.MD.KEP</t>
  </si>
  <si>
    <t>zetzubizekka@gmail.com</t>
  </si>
  <si>
    <t>6335</t>
  </si>
  <si>
    <t>1keR2VjsKiG6cozzDtH_ZsuhBokIzAoTW</t>
  </si>
  <si>
    <t>https://drive.google.com/file/d/1keR2VjsKiG6cozzDtH_ZsuhBokIzAoTW/view?usp=drivesdk</t>
  </si>
  <si>
    <t>AIDAWATI.S.E</t>
  </si>
  <si>
    <t>aidawatiwati2@gmail.com</t>
  </si>
  <si>
    <t>6336</t>
  </si>
  <si>
    <t>1nNwfEQ_jQEwLoN7CU__9NSOC5Oj4mFkZ</t>
  </si>
  <si>
    <t>https://drive.google.com/file/d/1nNwfEQ_jQEwLoN7CU__9NSOC5Oj4mFkZ/view?usp=drivesdk</t>
  </si>
  <si>
    <t>SRI INDRAYANI</t>
  </si>
  <si>
    <t>sriindrayani17082015@gmail.com</t>
  </si>
  <si>
    <t>6337</t>
  </si>
  <si>
    <t>1V4_VrcKg8PvQugDIh6MzOpBBA4xy-nOD</t>
  </si>
  <si>
    <t>https://drive.google.com/file/d/1V4_VrcKg8PvQugDIh6MzOpBBA4xy-nOD/view?usp=drivesdk</t>
  </si>
  <si>
    <t>Document successfully created; Document successfully merged; PDF created; !!Error Sending Emails: Service invoked too many times for one day: email.; Manually run by ecertificate75@gmail.com; Timestamp: Sep 3 2024 4:59 AM</t>
  </si>
  <si>
    <t>PANCA NUGRAHA, A.md.</t>
  </si>
  <si>
    <t>pancanug78@gmail.com</t>
  </si>
  <si>
    <t>6338</t>
  </si>
  <si>
    <t>1mKFL9xpHENc2mfva8RDPWCp1Lvn4TwYi</t>
  </si>
  <si>
    <t>https://drive.google.com/file/d/1mKFL9xpHENc2mfva8RDPWCp1Lvn4TwYi/view?usp=drivesdk</t>
  </si>
  <si>
    <t>ABDUL MALIK</t>
  </si>
  <si>
    <t>abdulmalik071969@gmalik.com</t>
  </si>
  <si>
    <t>6339</t>
  </si>
  <si>
    <t>17Oe8MfUdRjKcdmvqjQrAA9pe3Wf4Pbxr</t>
  </si>
  <si>
    <t>https://drive.google.com/file/d/17Oe8MfUdRjKcdmvqjQrAA9pe3Wf4Pbxr/view?usp=drivesdk</t>
  </si>
  <si>
    <t>MOCH SOBIRIN</t>
  </si>
  <si>
    <t>seksiumumpolreskendal@gmail.com</t>
  </si>
  <si>
    <t>6340</t>
  </si>
  <si>
    <t>1_IkeqnH_DiScOWMMd6-mnMBGxvNjaW6m</t>
  </si>
  <si>
    <t>https://drive.google.com/file/d/1_IkeqnH_DiScOWMMd6-mnMBGxvNjaW6m/view?usp=drivesdk</t>
  </si>
  <si>
    <t>Document successfully created; Document successfully merged; PDF created; !!Error Sending Emails: Service invoked too many times for one day: email.; Manually run by ecertificate75@gmail.com; Timestamp: Sep 3 2024 5:00 AM</t>
  </si>
  <si>
    <t>YOLANDA STELA LEKHENILA, S.Pi</t>
  </si>
  <si>
    <t>yolan.lekhe@gmail.com</t>
  </si>
  <si>
    <t>6341</t>
  </si>
  <si>
    <t>1vU_tO2nVa3-rrkK-on94FNzeUQuBMuiD</t>
  </si>
  <si>
    <t>https://drive.google.com/file/d/1vU_tO2nVa3-rrkK-on94FNzeUQuBMuiD/view?usp=drivesdk</t>
  </si>
  <si>
    <t xml:space="preserve">HADI PRAYITNO </t>
  </si>
  <si>
    <t>prayitnohadi233@gmail.com</t>
  </si>
  <si>
    <t>6342</t>
  </si>
  <si>
    <t>1TfnHlpTAt2N-QWNZ-BeGrQ4LRRxrC0ny</t>
  </si>
  <si>
    <t>https://drive.google.com/file/d/1TfnHlpTAt2N-QWNZ-BeGrQ4LRRxrC0ny/view?usp=drivesdk</t>
  </si>
  <si>
    <t>SUTIA, S.E.</t>
  </si>
  <si>
    <t>tiadhiaulhaq@gmail.com</t>
  </si>
  <si>
    <t>6343</t>
  </si>
  <si>
    <t>1sKHnUyynW_u39wiqeZ43pI6JxebvU6_0</t>
  </si>
  <si>
    <t>https://drive.google.com/file/d/1sKHnUyynW_u39wiqeZ43pI6JxebvU6_0/view?usp=drivesdk</t>
  </si>
  <si>
    <t>purwantousman816@gmail.com</t>
  </si>
  <si>
    <t>6344</t>
  </si>
  <si>
    <t>1mwo7GI1sQEKGT-HK5Ni-5Z9l9_IttzLb</t>
  </si>
  <si>
    <t>https://drive.google.com/file/d/1mwo7GI1sQEKGT-HK5Ni-5Z9l9_IttzLb/view?usp=drivesdk</t>
  </si>
  <si>
    <t>Document successfully created; Document successfully merged; PDF created; !!Error Sending Emails: Service invoked too many times for one day: email.; Manually run by ecertificate75@gmail.com; Timestamp: Sep 3 2024 5:01 AM</t>
  </si>
  <si>
    <t>SYAID RAKHMAN, SE, M.Ak</t>
  </si>
  <si>
    <t>syaidrakhman@gmail.com</t>
  </si>
  <si>
    <t>6345</t>
  </si>
  <si>
    <t>1nG7FhwE2gU7jHN2CT0g6HzGTdkOlV7q0</t>
  </si>
  <si>
    <t>https://drive.google.com/file/d/1nG7FhwE2gU7jHN2CT0g6HzGTdkOlV7q0/view?usp=drivesdk</t>
  </si>
  <si>
    <t>ADE ERISA</t>
  </si>
  <si>
    <t>ade.erisa1985@gmail.com</t>
  </si>
  <si>
    <t>6346</t>
  </si>
  <si>
    <t>1GOb5J65dZPXR2HqqJMX8MHcjLfBY9HMO</t>
  </si>
  <si>
    <t>https://drive.google.com/file/d/1GOb5J65dZPXR2HqqJMX8MHcjLfBY9HMO/view?usp=drivesdk</t>
  </si>
  <si>
    <t>DUDUNG</t>
  </si>
  <si>
    <t>dudung05@gmail.com</t>
  </si>
  <si>
    <t>6347</t>
  </si>
  <si>
    <t>Starting at Thu Aug 29 2024 21:50:57 GMT-0400 (EDT)</t>
  </si>
  <si>
    <t>1kljsz6WQkhiJQ0-4CjUAhzwu_FqXkz-y</t>
  </si>
  <si>
    <t>https://drive.google.com/file/d/1kljsz6WQkhiJQ0-4CjUAhzwu_FqXkz-y/view?usp=drivesdk</t>
  </si>
  <si>
    <t>KHISNIANA SRI MA'FIA</t>
  </si>
  <si>
    <t>nien12na@gmail.com</t>
  </si>
  <si>
    <t>6348</t>
  </si>
  <si>
    <t>10aAz70jx7kho_EZCU3HCf-vWfA5xHkQp</t>
  </si>
  <si>
    <t>https://drive.google.com/file/d/10aAz70jx7kho_EZCU3HCf-vWfA5xHkQp/view?usp=drivesdk</t>
  </si>
  <si>
    <t>Document successfully created; Document successfully merged; PDF created; !!Error Sending Emails: Service invoked too many times for one day: email.; Manually run by ecertificate75@gmail.com; Timestamp: Sep 3 2024 5:02 AM</t>
  </si>
  <si>
    <t>RUSMANIAR</t>
  </si>
  <si>
    <t>rusmaniar30@gmail.com</t>
  </si>
  <si>
    <t>6349</t>
  </si>
  <si>
    <t>1fPa4l3vxGq-zhDACBUcsdtmcBKEFDs9b</t>
  </si>
  <si>
    <t>https://drive.google.com/file/d/1fPa4l3vxGq-zhDACBUcsdtmcBKEFDs9b/view?usp=drivesdk</t>
  </si>
  <si>
    <t>boedisp@gmail.com</t>
  </si>
  <si>
    <t>6350</t>
  </si>
  <si>
    <t>1QwYpWo4yYoMES4D18Jpkeq4P3wevAv8F</t>
  </si>
  <si>
    <t>https://drive.google.com/file/d/1QwYpWo4yYoMES4D18Jpkeq4P3wevAv8F/view?usp=drivesdk</t>
  </si>
  <si>
    <t>PUTRI ARUM SARI</t>
  </si>
  <si>
    <t>pu3.sagy@gmail.com</t>
  </si>
  <si>
    <t>6351</t>
  </si>
  <si>
    <t>1oDOTlT3MpGiuW6KLOp0OGUxh-fLGMNsY</t>
  </si>
  <si>
    <t>https://drive.google.com/file/d/1oDOTlT3MpGiuW6KLOp0OGUxh-fLGMNsY/view?usp=drivesdk</t>
  </si>
  <si>
    <t>PENGATUR TK.I HEFARUSPITA, S.H.</t>
  </si>
  <si>
    <t>hefaruspita1@gmail.com</t>
  </si>
  <si>
    <t>6352</t>
  </si>
  <si>
    <t>1ByemP7LqJSZJUtAe1JlY7BR5pD2XjTs9</t>
  </si>
  <si>
    <t>https://drive.google.com/file/d/1ByemP7LqJSZJUtAe1JlY7BR5pD2XjTs9/view?usp=drivesdk</t>
  </si>
  <si>
    <t>RENI SETIYO INDRAWATI</t>
  </si>
  <si>
    <t>reniindrawati70@gmail.com</t>
  </si>
  <si>
    <t>6353</t>
  </si>
  <si>
    <t>1YbNrvlWNy1vU87-iSTHcw661NFXqYK0N</t>
  </si>
  <si>
    <t>https://drive.google.com/file/d/1YbNrvlWNy1vU87-iSTHcw661NFXqYK0N/view?usp=drivesdk</t>
  </si>
  <si>
    <t>EDI PRASETIO ADI, S.E., M.Si.</t>
  </si>
  <si>
    <t>ediprasetioadi@gmail.com</t>
  </si>
  <si>
    <t>6354</t>
  </si>
  <si>
    <t>1MIG2P8acOjN4udxVukWdjXkml5KGOihE</t>
  </si>
  <si>
    <t>https://drive.google.com/file/d/1MIG2P8acOjN4udxVukWdjXkml5KGOihE/view?usp=drivesdk</t>
  </si>
  <si>
    <t>Document successfully created; Document successfully merged; PDF created; !!Error Sending Emails: Service invoked too many times for one day: email.; Manually run by ecertificate75@gmail.com; Timestamp: Sep 3 2024 5:03 AM</t>
  </si>
  <si>
    <t>DIAH PITALOKA</t>
  </si>
  <si>
    <t>pitaloka.dp@gmail.com</t>
  </si>
  <si>
    <t>6355</t>
  </si>
  <si>
    <t>1t9-QYoLGVTpPLBf2bZVoySfRILRBFts7</t>
  </si>
  <si>
    <t>https://drive.google.com/file/d/1t9-QYoLGVTpPLBf2bZVoySfRILRBFts7/view?usp=drivesdk</t>
  </si>
  <si>
    <t>EKA FATMA DORA, A.Md.Kep</t>
  </si>
  <si>
    <t>ekafatma68@gmail.com</t>
  </si>
  <si>
    <t>6356</t>
  </si>
  <si>
    <t>1iE7mG1bQHa7tXMozxZnoWAQFbDMeYx8z</t>
  </si>
  <si>
    <t>https://drive.google.com/file/d/1iE7mG1bQHa7tXMozxZnoWAQFbDMeYx8z/view?usp=drivesdk</t>
  </si>
  <si>
    <t>EVAN SUHADI</t>
  </si>
  <si>
    <t>evansuhandi@gmail.com</t>
  </si>
  <si>
    <t>6357</t>
  </si>
  <si>
    <t>1LLEfVPqCYBaIhjRNQMJHEfqnHvkLlPdT</t>
  </si>
  <si>
    <t>https://drive.google.com/file/d/1LLEfVPqCYBaIhjRNQMJHEfqnHvkLlPdT/view?usp=drivesdk</t>
  </si>
  <si>
    <t>ratnawati.resbireuen@gmail.com</t>
  </si>
  <si>
    <t>6358</t>
  </si>
  <si>
    <t>1JMMTti6f4aSpayR0WPvXikU942Ae90PQ</t>
  </si>
  <si>
    <t>https://drive.google.com/file/d/1JMMTti6f4aSpayR0WPvXikU942Ae90PQ/view?usp=drivesdk</t>
  </si>
  <si>
    <t>Document successfully created; Document successfully merged; PDF created; !!Error Sending Emails: Service invoked too many times for one day: email.; Manually run by ecertificate75@gmail.com; Timestamp: Sep 3 2024 5:04 AM</t>
  </si>
  <si>
    <t>NURDIANAH, SE</t>
  </si>
  <si>
    <t>nurdianahressa@gmail.com</t>
  </si>
  <si>
    <t>6359</t>
  </si>
  <si>
    <t>1AxowUgfzpUN6gndn6-55gyPa4r6mEmRt</t>
  </si>
  <si>
    <t>https://drive.google.com/file/d/1AxowUgfzpUN6gndn6-55gyPa4r6mEmRt/view?usp=drivesdk</t>
  </si>
  <si>
    <t>JOHAN ANTO</t>
  </si>
  <si>
    <t>johananto87@gmail.com</t>
  </si>
  <si>
    <t>6360</t>
  </si>
  <si>
    <t>Starting at Thu Aug 29 2024 21:51:02 GMT-0400 (EDT)</t>
  </si>
  <si>
    <t>1-cPiyaQmB6LPSvdhEvl5rZGq1Pi_caw7</t>
  </si>
  <si>
    <t>https://drive.google.com/file/d/1-cPiyaQmB6LPSvdhEvl5rZGq1Pi_caw7/view?usp=drivesdk</t>
  </si>
  <si>
    <t>DASEP SOLEHUDIN AL AYUBI</t>
  </si>
  <si>
    <t>dasep.shalahuddin@gmail.com</t>
  </si>
  <si>
    <t>6361</t>
  </si>
  <si>
    <t>1bwSJMqt6dvmxGItmnH-ux34ZcYAWubpN</t>
  </si>
  <si>
    <t>https://drive.google.com/file/d/1bwSJMqt6dvmxGItmnH-ux34ZcYAWubpN/view?usp=drivesdk</t>
  </si>
  <si>
    <t>MUHAMMAD FAJAR, S.I.P.</t>
  </si>
  <si>
    <t>fajarmuhammad@gmail.com</t>
  </si>
  <si>
    <t>6362</t>
  </si>
  <si>
    <t>1-RLak_pLH8_bYZuuDe8KjmborBxMmG2-</t>
  </si>
  <si>
    <t>https://drive.google.com/file/d/1-RLak_pLH8_bYZuuDe8KjmborBxMmG2-/view?usp=drivesdk</t>
  </si>
  <si>
    <t>RINI JULIANTI</t>
  </si>
  <si>
    <t>juliantirrini@gmail.com</t>
  </si>
  <si>
    <t>6363</t>
  </si>
  <si>
    <t>1iLzATLV7vTG5YFhjoZz_cbE0Zl7koOgY</t>
  </si>
  <si>
    <t>https://drive.google.com/file/d/1iLzATLV7vTG5YFhjoZz_cbE0Zl7koOgY/view?usp=drivesdk</t>
  </si>
  <si>
    <t>Document successfully created; Document successfully merged; PDF created; !!Error Sending Emails: Service invoked too many times for one day: email.; Manually run by ecertificate75@gmail.com; Timestamp: Sep 3 2024 5:05 AM</t>
  </si>
  <si>
    <t>ZAINAL ARIFIN LUBIS</t>
  </si>
  <si>
    <t>arifin7880@gmail.com</t>
  </si>
  <si>
    <t>6364</t>
  </si>
  <si>
    <t>1WveYshn4tDWS4mjUos9QN5BfK00WnUX2</t>
  </si>
  <si>
    <t>https://drive.google.com/file/d/1WveYshn4tDWS4mjUos9QN5BfK00WnUX2/view?usp=drivesdk</t>
  </si>
  <si>
    <t>DR. YESSI HANDINI</t>
  </si>
  <si>
    <t>yc.andini@gmail.com</t>
  </si>
  <si>
    <t>6365</t>
  </si>
  <si>
    <t>1Wawc4yxrdu75KK5aCZXDeU0rFFmfJbv5</t>
  </si>
  <si>
    <t>https://drive.google.com/file/d/1Wawc4yxrdu75KK5aCZXDeU0rFFmfJbv5/view?usp=drivesdk</t>
  </si>
  <si>
    <t>SITI ARNANIK</t>
  </si>
  <si>
    <t>sitiarnanik1971@gmail.com</t>
  </si>
  <si>
    <t>6366</t>
  </si>
  <si>
    <t>1GxqWaqdPn67bEGbK5reWyCtXA-_hM9rj</t>
  </si>
  <si>
    <t>https://drive.google.com/file/d/1GxqWaqdPn67bEGbK5reWyCtXA-_hM9rj/view?usp=drivesdk</t>
  </si>
  <si>
    <t>Niniek Rahayu,SE</t>
  </si>
  <si>
    <t>arkan.niniek@gmail.com</t>
  </si>
  <si>
    <t>6367</t>
  </si>
  <si>
    <t>Starting at Thu Aug 29 2024 21:51:03 GMT-0400 (EDT)</t>
  </si>
  <si>
    <t>1UWFS4RG_bHBwmLyp_72hr23Ea5O4-JTg</t>
  </si>
  <si>
    <t>https://drive.google.com/file/d/1UWFS4RG_bHBwmLyp_72hr23Ea5O4-JTg/view?usp=drivesdk</t>
  </si>
  <si>
    <t>Document successfully created; Document successfully merged; PDF created; !!Error Sending Emails: Service invoked too many times for one day: email.; Manually run by ecertificate75@gmail.com; Timestamp: Sep 3 2024 5:06 AM</t>
  </si>
  <si>
    <t>ENI DWI ASWANTI</t>
  </si>
  <si>
    <t>enidwiaswanti67@gmail.com</t>
  </si>
  <si>
    <t>6368</t>
  </si>
  <si>
    <t>1v1i8GW5cVBEG99zMw7_twLlZZH5vAuVu</t>
  </si>
  <si>
    <t>https://drive.google.com/file/d/1v1i8GW5cVBEG99zMw7_twLlZZH5vAuVu/view?usp=drivesdk</t>
  </si>
  <si>
    <t>Apt. DWI HASTUTININGSIH, S. Farm</t>
  </si>
  <si>
    <t>dwikifa2808@gmail.com</t>
  </si>
  <si>
    <t>6369</t>
  </si>
  <si>
    <t>1jUJXs7kmcg2tNAkaQT6ze-pBy727c7wY</t>
  </si>
  <si>
    <t>https://drive.google.com/file/d/1jUJXs7kmcg2tNAkaQT6ze-pBy727c7wY/view?usp=drivesdk</t>
  </si>
  <si>
    <t>ARI DJINDAR MA'RUF, S.H.</t>
  </si>
  <si>
    <t>aridjindarmaruf@gmail.com</t>
  </si>
  <si>
    <t>6370</t>
  </si>
  <si>
    <t>Starting at Thu Aug 29 2024 21:51:06 GMT-0400 (EDT)</t>
  </si>
  <si>
    <t>1n2aK25hSFFR49St2ee7oDFgI8A_66U5R</t>
  </si>
  <si>
    <t>https://drive.google.com/file/d/1n2aK25hSFFR49St2ee7oDFgI8A_66U5R/view?usp=drivesdk</t>
  </si>
  <si>
    <t>Candra Fery Meiningrum, S.KM., M.M.</t>
  </si>
  <si>
    <t>cmeiningrum@gmail.com</t>
  </si>
  <si>
    <t>6371</t>
  </si>
  <si>
    <t>1VqeDxTQ5FQuaXpHaLfiARMSiXZ6C1DbU</t>
  </si>
  <si>
    <t>https://drive.google.com/file/d/1VqeDxTQ5FQuaXpHaLfiARMSiXZ6C1DbU/view?usp=drivesdk</t>
  </si>
  <si>
    <t>Drg Titik Wahyu W</t>
  </si>
  <si>
    <t>keluargabudum@gmail.com</t>
  </si>
  <si>
    <t>6372</t>
  </si>
  <si>
    <t>Starting at Thu Aug 29 2024 21:51:16 GMT-0400 (EDT)</t>
  </si>
  <si>
    <t>11qhcbK3n1PQD2NN4fU1wkt6JKfjN1Qwy</t>
  </si>
  <si>
    <t>https://drive.google.com/file/d/11qhcbK3n1PQD2NN4fU1wkt6JKfjN1Qwy/view?usp=drivesdk</t>
  </si>
  <si>
    <t xml:space="preserve">RYO DEWANTORO </t>
  </si>
  <si>
    <t>ryodewantoro.1@gmail.com</t>
  </si>
  <si>
    <t>6373</t>
  </si>
  <si>
    <t>1mV0bNOKCpIXdmS6pnNrTr-c2FlaMJU-I</t>
  </si>
  <si>
    <t>https://drive.google.com/file/d/1mV0bNOKCpIXdmS6pnNrTr-c2FlaMJU-I/view?usp=drivesdk</t>
  </si>
  <si>
    <t>Document successfully created; Document successfully merged; PDF created; !!Error Sending Emails: Service invoked too many times for one day: email.; Manually run by ecertificate75@gmail.com; Timestamp: Sep 3 2024 5:07 AM</t>
  </si>
  <si>
    <t>SELAMET HARIYANTO</t>
  </si>
  <si>
    <t>selamethariyanto103@gmail.com</t>
  </si>
  <si>
    <t>6374</t>
  </si>
  <si>
    <t>1_4ajx4xYoHsrCLlaZrPn7wyY0OTFOKeC</t>
  </si>
  <si>
    <t>https://drive.google.com/file/d/1_4ajx4xYoHsrCLlaZrPn7wyY0OTFOKeC/view?usp=drivesdk</t>
  </si>
  <si>
    <t>SUGIHARTI</t>
  </si>
  <si>
    <t>sugiharti.bagus@gmail.com</t>
  </si>
  <si>
    <t>6375</t>
  </si>
  <si>
    <t>1THanlgYh87H1igXfwdJupiQkvhXLXh4-</t>
  </si>
  <si>
    <t>https://drive.google.com/file/d/1THanlgYh87H1igXfwdJupiQkvhXLXh4-/view?usp=drivesdk</t>
  </si>
  <si>
    <t>SRI DESNIAWATI</t>
  </si>
  <si>
    <t>rizkahedi2017@gmail.com</t>
  </si>
  <si>
    <t>6376</t>
  </si>
  <si>
    <t>1FpQikbYTL3lxvhvyIHFS0rWrVjSb1v5q</t>
  </si>
  <si>
    <t>https://drive.google.com/file/d/1FpQikbYTL3lxvhvyIHFS0rWrVjSb1v5q/view?usp=drivesdk</t>
  </si>
  <si>
    <t>ASIAH NARDIYA, SE</t>
  </si>
  <si>
    <t>asiahnardiyah1234@gmail.com</t>
  </si>
  <si>
    <t>6377</t>
  </si>
  <si>
    <t>18ybQS8IcfcV6Hln5vD61umso11N7TfJF</t>
  </si>
  <si>
    <t>https://drive.google.com/file/d/18ybQS8IcfcV6Hln5vD61umso11N7TfJF/view?usp=drivesdk</t>
  </si>
  <si>
    <t>DESTYANA DYAH UTAMI, S.I.Kom</t>
  </si>
  <si>
    <t>pjjpolda.diy@gmail.com</t>
  </si>
  <si>
    <t>6378</t>
  </si>
  <si>
    <t>1waUyFiBGdxeoZc-GhW4QxKzm1OVa-Pi4</t>
  </si>
  <si>
    <t>https://drive.google.com/file/d/1waUyFiBGdxeoZc-GhW4QxKzm1OVa-Pi4/view?usp=drivesdk</t>
  </si>
  <si>
    <t>Document successfully created; Document successfully merged; PDF created; !!Error Sending Emails: Service invoked too many times for one day: email.; Manually run by ecertificate75@gmail.com; Timestamp: Sep 3 2024 5:08 AM</t>
  </si>
  <si>
    <t>EKO SUDIHARTO</t>
  </si>
  <si>
    <t>ekosudiharto010874@gmail.com</t>
  </si>
  <si>
    <t>6379</t>
  </si>
  <si>
    <t>1o0Hc6PF2-JyvjcrlMtwaPnexhGeipShN</t>
  </si>
  <si>
    <t>https://drive.google.com/file/d/1o0Hc6PF2-JyvjcrlMtwaPnexhGeipShN/view?usp=drivesdk</t>
  </si>
  <si>
    <t>HERIYANTO.SM</t>
  </si>
  <si>
    <t>heriy5328@gmail.com</t>
  </si>
  <si>
    <t>6380</t>
  </si>
  <si>
    <t>12r5X3TUCLqzueyvYMYQMGJhnZ_FWgAte</t>
  </si>
  <si>
    <t>https://drive.google.com/file/d/12r5X3TUCLqzueyvYMYQMGJhnZ_FWgAte/view?usp=drivesdk</t>
  </si>
  <si>
    <t xml:space="preserve">dr LULUK NOORWULAN </t>
  </si>
  <si>
    <t>noorwulanluluk@gmail.com</t>
  </si>
  <si>
    <t>6381</t>
  </si>
  <si>
    <t>1uT_JlLbtlyc9fv_bEdX3UV9v7tv7T2pN</t>
  </si>
  <si>
    <t>https://drive.google.com/file/d/1uT_JlLbtlyc9fv_bEdX3UV9v7tv7T2pN/view?usp=drivesdk</t>
  </si>
  <si>
    <t>LALU BUSTANUL ATHFAL,S.H</t>
  </si>
  <si>
    <t>ikoomaa8@gmail.com</t>
  </si>
  <si>
    <t>6382</t>
  </si>
  <si>
    <t>1shHcWGil0X_4uU_IyM6eiMTd-jbxuzBH</t>
  </si>
  <si>
    <t>https://drive.google.com/file/d/1shHcWGil0X_4uU_IyM6eiMTd-jbxuzBH/view?usp=drivesdk</t>
  </si>
  <si>
    <t>ARI WIDIASTUTI, S.H.</t>
  </si>
  <si>
    <t>ariwidiastuti.280881@gmail.com</t>
  </si>
  <si>
    <t>6383</t>
  </si>
  <si>
    <t>19MXGa7c46-RiRT8ttnXddEEOtA6-_tka</t>
  </si>
  <si>
    <t>https://drive.google.com/file/d/19MXGa7c46-RiRT8ttnXddEEOtA6-_tka/view?usp=drivesdk</t>
  </si>
  <si>
    <t>Document successfully created; Document successfully merged; PDF created; !!Error Sending Emails: Service invoked too many times for one day: email.; Manually run by ecertificate75@gmail.com; Timestamp: Sep 3 2024 5:09 AM</t>
  </si>
  <si>
    <t>YESI ARIVIANTI SE</t>
  </si>
  <si>
    <t>yesiarivianti@gmail.com</t>
  </si>
  <si>
    <t>6384</t>
  </si>
  <si>
    <t>Starting at Thu Aug 29 2024 21:51:23 GMT-0400 (EDT)</t>
  </si>
  <si>
    <t>1Qxi0dr4z54u7M0Wu63RQZwCZgXpkpcuK</t>
  </si>
  <si>
    <t>https://drive.google.com/file/d/1Qxi0dr4z54u7M0Wu63RQZwCZgXpkpcuK/view?usp=drivesdk</t>
  </si>
  <si>
    <t>UMIE PUSPITASARI, S.E., M.M.</t>
  </si>
  <si>
    <t>umipuspita03@gmail.com</t>
  </si>
  <si>
    <t>6385</t>
  </si>
  <si>
    <t>1u7_bG_nCj2v4c8sVLQd96Z-rwXBVmdKU</t>
  </si>
  <si>
    <t>https://drive.google.com/file/d/1u7_bG_nCj2v4c8sVLQd96Z-rwXBVmdKU/view?usp=drivesdk</t>
  </si>
  <si>
    <t>ELIZARTINA S.Sos</t>
  </si>
  <si>
    <t>elizartinajunaidi70@gmail.com</t>
  </si>
  <si>
    <t>6386</t>
  </si>
  <si>
    <t>1QXMGv-XI1u7gbQ5FISWxmnbY-VHPqkdW</t>
  </si>
  <si>
    <t>https://drive.google.com/file/d/1QXMGv-XI1u7gbQ5FISWxmnbY-VHPqkdW/view?usp=drivesdk</t>
  </si>
  <si>
    <t>SARWO EDI</t>
  </si>
  <si>
    <t>sarwo1967@gmail.com</t>
  </si>
  <si>
    <t>6387</t>
  </si>
  <si>
    <t>17CGYe_Vc5OILdHYQol0GdYqFeM8X7nqm</t>
  </si>
  <si>
    <t>https://drive.google.com/file/d/17CGYe_Vc5OILdHYQol0GdYqFeM8X7nqm/view?usp=drivesdk</t>
  </si>
  <si>
    <t>Document successfully created; Document successfully merged; PDF created; !!Error Sending Emails: Service invoked too many times for one day: email.; Manually run by ecertificate75@gmail.com; Timestamp: Sep 3 2024 5:10 AM</t>
  </si>
  <si>
    <t>ARIPAH JAYA</t>
  </si>
  <si>
    <t>jayaaripah@mail.com</t>
  </si>
  <si>
    <t>6388</t>
  </si>
  <si>
    <t>Starting at Thu Aug 29 2024 21:51:41 GMT-0400 (EDT)</t>
  </si>
  <si>
    <t>1Bofe5IXKerVI-15Wla2a8zLrblg13Tmb</t>
  </si>
  <si>
    <t>https://drive.google.com/file/d/1Bofe5IXKerVI-15Wla2a8zLrblg13Tmb/view?usp=drivesdk</t>
  </si>
  <si>
    <t>ASTINI, SH</t>
  </si>
  <si>
    <t>Astinish@gmail.com</t>
  </si>
  <si>
    <t>6389</t>
  </si>
  <si>
    <t>1PZSxcLY-G55x4wmI7W3_t5vFjVcHgajh</t>
  </si>
  <si>
    <t>https://drive.google.com/file/d/1PZSxcLY-G55x4wmI7W3_t5vFjVcHgajh/view?usp=drivesdk</t>
  </si>
  <si>
    <t>WANDA FITRA HERAWAN, S.KOM</t>
  </si>
  <si>
    <t>rafaeyza15@gmail.com</t>
  </si>
  <si>
    <t>6390</t>
  </si>
  <si>
    <t>1_9aBb986shnRfdupdFTcfE8s6FOLuC1T</t>
  </si>
  <si>
    <t>https://drive.google.com/file/d/1_9aBb986shnRfdupdFTcfE8s6FOLuC1T/view?usp=drivesdk</t>
  </si>
  <si>
    <t>ROFI'I</t>
  </si>
  <si>
    <t>rofiadirofi55@gmail.com</t>
  </si>
  <si>
    <t>6391</t>
  </si>
  <si>
    <t>13hRocJwAKOmU4RHnwmVJkTix8bg0-59q</t>
  </si>
  <si>
    <t>https://drive.google.com/file/d/13hRocJwAKOmU4RHnwmVJkTix8bg0-59q/view?usp=drivesdk</t>
  </si>
  <si>
    <t>Document successfully created; Document successfully merged; PDF created; !!Error Sending Emails: Service invoked too many times for one day: email.; Manually run by ecertificate75@gmail.com; Timestamp: Sep 3 2024 5:11 AM</t>
  </si>
  <si>
    <t>SRI MEI NINGSIH</t>
  </si>
  <si>
    <t>srimeiningsih58@gmail.com</t>
  </si>
  <si>
    <t>6392</t>
  </si>
  <si>
    <t>1liAFyHaLsD8WEkwjee5UZ77Tzy78KklE</t>
  </si>
  <si>
    <t>https://drive.google.com/file/d/1liAFyHaLsD8WEkwjee5UZ77Tzy78KklE/view?usp=drivesdk</t>
  </si>
  <si>
    <t>JESSICA DWI ANDHIKA, A.MD.</t>
  </si>
  <si>
    <t>jessicadwiandhika@gmail.com</t>
  </si>
  <si>
    <t>6393</t>
  </si>
  <si>
    <t>1dYC7OZ6d2384kcESm5Bn8GZW4K930wJ-</t>
  </si>
  <si>
    <t>https://drive.google.com/file/d/1dYC7OZ6d2384kcESm5Bn8GZW4K930wJ-/view?usp=drivesdk</t>
  </si>
  <si>
    <t>suwandispn004@gmail.com</t>
  </si>
  <si>
    <t>6394</t>
  </si>
  <si>
    <t>1bNXFxKXioWy-qSLtKCPrydnHd67sZinh</t>
  </si>
  <si>
    <t>https://drive.google.com/file/d/1bNXFxKXioWy-qSLtKCPrydnHd67sZinh/view?usp=drivesdk</t>
  </si>
  <si>
    <t>handayanisri2122@gmail.com</t>
  </si>
  <si>
    <t>6395</t>
  </si>
  <si>
    <t>1A4YBwx_jmEQT5Kr89aH1e9dHYWtcbf6V</t>
  </si>
  <si>
    <t>https://drive.google.com/file/d/1A4YBwx_jmEQT5Kr89aH1e9dHYWtcbf6V/view?usp=drivesdk</t>
  </si>
  <si>
    <t xml:space="preserve">YENI SETIOWATI </t>
  </si>
  <si>
    <t>yenisetiowati1@gmail.com</t>
  </si>
  <si>
    <t>6396</t>
  </si>
  <si>
    <t>1-2EYyGsK9MMRer63JFDKWVHFTUa_-XX9</t>
  </si>
  <si>
    <t>https://drive.google.com/file/d/1-2EYyGsK9MMRer63JFDKWVHFTUa_-XX9/view?usp=drivesdk</t>
  </si>
  <si>
    <t>Document successfully created; Document successfully merged; PDF created; !!Error Sending Emails: Service invoked too many times for one day: email.; Manually run by ecertificate75@gmail.com; Timestamp: Sep 3 2024 5:12 AM</t>
  </si>
  <si>
    <t>ANNISA AMELIA KHAIRANI HARAHAP, A. MD. KES</t>
  </si>
  <si>
    <t>annisaameliakh@gmail.com</t>
  </si>
  <si>
    <t>6397</t>
  </si>
  <si>
    <t>1YR8CtmUTHKzGRkG-56IE0qtO5n-zFSdH</t>
  </si>
  <si>
    <t>https://drive.google.com/file/d/1YR8CtmUTHKzGRkG-56IE0qtO5n-zFSdH/view?usp=drivesdk</t>
  </si>
  <si>
    <t>DEWI KARYATI,S.I.Kom</t>
  </si>
  <si>
    <t>dewikaryati1982@gmail.com</t>
  </si>
  <si>
    <t>6398</t>
  </si>
  <si>
    <t>1L_P7_y7mEKdcXd8ZDYnOiXFSabkeXx9h</t>
  </si>
  <si>
    <t>https://drive.google.com/file/d/1L_P7_y7mEKdcXd8ZDYnOiXFSabkeXx9h/view?usp=drivesdk</t>
  </si>
  <si>
    <t>NINIK SUHARTINI</t>
  </si>
  <si>
    <t>niniksjw@gmai.com</t>
  </si>
  <si>
    <t>6399</t>
  </si>
  <si>
    <t>1_IqQD2NFLpFE4Z5ASEVqypl2Ak0_G24y</t>
  </si>
  <si>
    <t>https://drive.google.com/file/d/1_IqQD2NFLpFE4Z5ASEVqypl2Ak0_G24y/view?usp=drivesdk</t>
  </si>
  <si>
    <t>FERY ENDRO VIRDALIANTO</t>
  </si>
  <si>
    <t>fery.endrovirdalianto@gmail.com</t>
  </si>
  <si>
    <t>6400</t>
  </si>
  <si>
    <t>1JbhllONlk8ujkMfO4CVG36yM6ErDFG0_</t>
  </si>
  <si>
    <t>https://drive.google.com/file/d/1JbhllONlk8ujkMfO4CVG36yM6ErDFG0_/view?usp=drivesdk</t>
  </si>
  <si>
    <t>EKO WAHYU ARIFIN, S.Kep.</t>
  </si>
  <si>
    <t>ewarifin@gmail.com</t>
  </si>
  <si>
    <t>6401</t>
  </si>
  <si>
    <t>17Xx-iypm4cZJWrYnVPxViATgesQs11d6</t>
  </si>
  <si>
    <t>https://drive.google.com/file/d/17Xx-iypm4cZJWrYnVPxViATgesQs11d6/view?usp=drivesdk</t>
  </si>
  <si>
    <t>Document successfully created; Document successfully merged; PDF created; !!Error Sending Emails: Service invoked too many times for one day: email.; Manually run by ecertificate75@gmail.com; Timestamp: Sep 3 2024 5:13 AM</t>
  </si>
  <si>
    <t>SELVI SATRIANI, S.M</t>
  </si>
  <si>
    <t>selvisatriani04@gamil.com</t>
  </si>
  <si>
    <t>6402</t>
  </si>
  <si>
    <t>1GIpDxZ5Q_-dDvpv2558igumpWtTcax4Q</t>
  </si>
  <si>
    <t>https://drive.google.com/file/d/1GIpDxZ5Q_-dDvpv2558igumpWtTcax4Q/view?usp=drivesdk</t>
  </si>
  <si>
    <t>TATI ROSILAWATI</t>
  </si>
  <si>
    <t>tatirosilawati18@gmail.com</t>
  </si>
  <si>
    <t>6403</t>
  </si>
  <si>
    <t>1pjlxla615Jmp3PBNooMPo3CESgxhMdSP</t>
  </si>
  <si>
    <t>https://drive.google.com/file/d/1pjlxla615Jmp3PBNooMPo3CESgxhMdSP/view?usp=drivesdk</t>
  </si>
  <si>
    <t>WIRANTI SUSILOWATI, A.Md</t>
  </si>
  <si>
    <t>wiranti.susilowati@yahoo.com</t>
  </si>
  <si>
    <t>6404</t>
  </si>
  <si>
    <t>Starting at Thu Aug 29 2024 21:51:44 GMT-0400 (EDT)</t>
  </si>
  <si>
    <t>1EGu0SYSsFdIl1rf8q8dN_xkjtxGEBX6V</t>
  </si>
  <si>
    <t>https://drive.google.com/file/d/1EGu0SYSsFdIl1rf8q8dN_xkjtxGEBX6V/view?usp=drivesdk</t>
  </si>
  <si>
    <t>SRI HENI PURWONINGSIH</t>
  </si>
  <si>
    <t>sri.heni19690228@gmail.com</t>
  </si>
  <si>
    <t>6405</t>
  </si>
  <si>
    <t>13wTrtlDjMINwsy3hRrJ6hIfcJBisQjDM</t>
  </si>
  <si>
    <t>https://drive.google.com/file/d/13wTrtlDjMINwsy3hRrJ6hIfcJBisQjDM/view?usp=drivesdk</t>
  </si>
  <si>
    <t>SURANTO, SH</t>
  </si>
  <si>
    <t>izsoer1278@gmail.com</t>
  </si>
  <si>
    <t>6406</t>
  </si>
  <si>
    <t>Starting at Thu Aug 29 2024 21:51:50 GMT-0400 (EDT)</t>
  </si>
  <si>
    <t>1s-LyIwbwEryWPnodG9enAotbaxtv2N2j</t>
  </si>
  <si>
    <t>https://drive.google.com/file/d/1s-LyIwbwEryWPnodG9enAotbaxtv2N2j/view?usp=drivesdk</t>
  </si>
  <si>
    <t>Document successfully created; Document successfully merged; PDF created; !!Error Sending Emails: Service invoked too many times for one day: email.; Manually run by ecertificate75@gmail.com; Timestamp: Sep 3 2024 5:14 AM</t>
  </si>
  <si>
    <t>ANDI KOPASANDA, S.A.P.</t>
  </si>
  <si>
    <t>andikopasanda80@gmail.com</t>
  </si>
  <si>
    <t>6407</t>
  </si>
  <si>
    <t>1RUjwqO9gURJSYH1gMhlNWsvRDfF59vzY</t>
  </si>
  <si>
    <t>https://drive.google.com/file/d/1RUjwqO9gURJSYH1gMhlNWsvRDfF59vzY/view?usp=drivesdk</t>
  </si>
  <si>
    <t>DEUIS SURYANI SH</t>
  </si>
  <si>
    <t>deuissuryani5656@gmail.com</t>
  </si>
  <si>
    <t>6408</t>
  </si>
  <si>
    <t>1rb44Ejjt8KwvGovTVaIBB8uoNYzGcnXk</t>
  </si>
  <si>
    <t>https://drive.google.com/file/d/1rb44Ejjt8KwvGovTVaIBB8uoNYzGcnXk/view?usp=drivesdk</t>
  </si>
  <si>
    <t>BERNADET</t>
  </si>
  <si>
    <t>bernadetsinaga@gmail.com</t>
  </si>
  <si>
    <t>6409</t>
  </si>
  <si>
    <t>1g_1UB0xvzfEaUVgUCjgipHkNorhUAdw1</t>
  </si>
  <si>
    <t>https://drive.google.com/file/d/1g_1UB0xvzfEaUVgUCjgipHkNorhUAdw1/view?usp=drivesdk</t>
  </si>
  <si>
    <t>DIEN SUSANDIENA W</t>
  </si>
  <si>
    <t>dr.diena@gmail.com</t>
  </si>
  <si>
    <t>6410</t>
  </si>
  <si>
    <t>1eMyzU01GsLE2lp5hqR7FjPy1CYMlMdxH</t>
  </si>
  <si>
    <t>https://drive.google.com/file/d/1eMyzU01GsLE2lp5hqR7FjPy1CYMlMdxH/view?usp=drivesdk</t>
  </si>
  <si>
    <t>Document successfully created; Document successfully merged; PDF created; !!Error Sending Emails: Service invoked too many times for one day: email.; Manually run by ecertificate75@gmail.com; Timestamp: Sep 3 2024 5:15 AM</t>
  </si>
  <si>
    <t>AULIYA HIKMAH KAMAL, A.Md. Kep.</t>
  </si>
  <si>
    <t>auliyahikmahk@gmail.com</t>
  </si>
  <si>
    <t>6411</t>
  </si>
  <si>
    <t>1wL82eiiRrtfTovOdH2NiEllUo1N5cf1d</t>
  </si>
  <si>
    <t>https://drive.google.com/file/d/1wL82eiiRrtfTovOdH2NiEllUo1N5cf1d/view?usp=drivesdk</t>
  </si>
  <si>
    <t>SRI SUSILAWATI</t>
  </si>
  <si>
    <t>srisusilawati196702@gmail.com</t>
  </si>
  <si>
    <t>6412</t>
  </si>
  <si>
    <t>1C4G5kz9KhJxzBgA4tzZc83Xey2txXTHw</t>
  </si>
  <si>
    <t>https://drive.google.com/file/d/1C4G5kz9KhJxzBgA4tzZc83Xey2txXTHw/view?usp=drivesdk</t>
  </si>
  <si>
    <t>FUJI LESTARI, A. Md. Kep</t>
  </si>
  <si>
    <t>fulestari.fuji@gmail.com</t>
  </si>
  <si>
    <t>6413</t>
  </si>
  <si>
    <t>10KvDAY9z3ZspbuO8mYffkIigEarnPACA</t>
  </si>
  <si>
    <t>https://drive.google.com/file/d/10KvDAY9z3ZspbuO8mYffkIigEarnPACA/view?usp=drivesdk</t>
  </si>
  <si>
    <t>ANISA GHASSANI KRISNAWATI</t>
  </si>
  <si>
    <t>anisaghassani27@gmail.com</t>
  </si>
  <si>
    <t>6414</t>
  </si>
  <si>
    <t>1pXpxOeTwX7DJoy4ahyVOZstZKBBJuVic</t>
  </si>
  <si>
    <t>https://drive.google.com/file/d/1pXpxOeTwX7DJoy4ahyVOZstZKBBJuVic/view?usp=drivesdk</t>
  </si>
  <si>
    <t>WIWIN HENDARTO</t>
  </si>
  <si>
    <t>wehadesiswo@gmail.com</t>
  </si>
  <si>
    <t>6415</t>
  </si>
  <si>
    <t>Starting at Thu Aug 29 2024 21:51:52 GMT-0400 (EDT)</t>
  </si>
  <si>
    <t>1L7c2NUG4FMtXoRlUNyELfGl_8YKbbZyN</t>
  </si>
  <si>
    <t>https://drive.google.com/file/d/1L7c2NUG4FMtXoRlUNyELfGl_8YKbbZyN/view?usp=drivesdk</t>
  </si>
  <si>
    <t>Document successfully created; Document successfully merged; PDF created; !!Error Sending Emails: Service invoked too many times for one day: email.; Manually run by ecertificate75@gmail.com; Timestamp: Sep 3 2024 5:16 AM</t>
  </si>
  <si>
    <t xml:space="preserve">Lina Sari Ningsih </t>
  </si>
  <si>
    <t>linasariningsih@gmail.com</t>
  </si>
  <si>
    <t>6416</t>
  </si>
  <si>
    <t>1JTIFJHc6vQsUHB0FP8mX39w7Ma9w4SIG</t>
  </si>
  <si>
    <t>https://drive.google.com/file/d/1JTIFJHc6vQsUHB0FP8mX39w7Ma9w4SIG/view?usp=drivesdk</t>
  </si>
  <si>
    <t>ZULIA AMBARWATI,AMD.KEB</t>
  </si>
  <si>
    <t>zulia.bidan92@gmail.com</t>
  </si>
  <si>
    <t>6417</t>
  </si>
  <si>
    <t>1GMLyrsVXEVrhy0g0pKrZkGeoczDNzcQE</t>
  </si>
  <si>
    <t>https://drive.google.com/file/d/1GMLyrsVXEVrhy0g0pKrZkGeoczDNzcQE/view?usp=drivesdk</t>
  </si>
  <si>
    <t>HERNAWATI</t>
  </si>
  <si>
    <t>hernawati.endrohartono13@gmail.com</t>
  </si>
  <si>
    <t>6418</t>
  </si>
  <si>
    <t>Starting at Thu Aug 29 2024 21:51:54 GMT-0400 (EDT)</t>
  </si>
  <si>
    <t>1T1lbqnF9nvLFFVi3vQ5jL6RjJv827O20</t>
  </si>
  <si>
    <t>https://drive.google.com/file/d/1T1lbqnF9nvLFFVi3vQ5jL6RjJv827O20/view?usp=drivesdk</t>
  </si>
  <si>
    <t xml:space="preserve">UMARIYAH </t>
  </si>
  <si>
    <t>u68036027@gmail.com</t>
  </si>
  <si>
    <t>6419</t>
  </si>
  <si>
    <t>1KLdyD1YW8SN9COIg7ElxJNQbVQD847WX</t>
  </si>
  <si>
    <t>https://drive.google.com/file/d/1KLdyD1YW8SN9COIg7ElxJNQbVQD847WX/view?usp=drivesdk</t>
  </si>
  <si>
    <t>Lella Hargiyati.,S.Pd</t>
  </si>
  <si>
    <t>lellahargiyati@gmail.com</t>
  </si>
  <si>
    <t>6420</t>
  </si>
  <si>
    <t>1VN5Z5lbZHp8NQMmdPzXk476TDr3F3E3Y</t>
  </si>
  <si>
    <t>https://drive.google.com/file/d/1VN5Z5lbZHp8NQMmdPzXk476TDr3F3E3Y/view?usp=drivesdk</t>
  </si>
  <si>
    <t>Document successfully created; Document successfully merged; PDF created; !!Error Sending Emails: Service invoked too many times for one day: email.; Manually run by ecertificate75@gmail.com; Timestamp: Sep 3 2024 5:17 AM</t>
  </si>
  <si>
    <t>ELMINA SIHOMBING</t>
  </si>
  <si>
    <t>elminasihombing15@gmail.com</t>
  </si>
  <si>
    <t>6421</t>
  </si>
  <si>
    <t>1MCpUEFhy9picvFjULE10AFve-U5ovk1h</t>
  </si>
  <si>
    <t>https://drive.google.com/file/d/1MCpUEFhy9picvFjULE10AFve-U5ovk1h/view?usp=drivesdk</t>
  </si>
  <si>
    <t>TATI PRAMITANINGSIH</t>
  </si>
  <si>
    <t>Tati.suwondo10@gmaik.com</t>
  </si>
  <si>
    <t>6422</t>
  </si>
  <si>
    <t>12puzQBQsF03w-MWyVDNpm0bzV3VakpzO</t>
  </si>
  <si>
    <t>https://drive.google.com/file/d/12puzQBQsF03w-MWyVDNpm0bzV3VakpzO/view?usp=drivesdk</t>
  </si>
  <si>
    <t>SUSANTI.S.KOM</t>
  </si>
  <si>
    <t>santisuc@gmail.com</t>
  </si>
  <si>
    <t>6423</t>
  </si>
  <si>
    <t>Starting at Thu Aug 29 2024 21:51:56 GMT-0400 (EDT)</t>
  </si>
  <si>
    <t>1I7UoOnoFnw8LKSj17XvJr_lRorilfBpG</t>
  </si>
  <si>
    <t>https://drive.google.com/file/d/1I7UoOnoFnw8LKSj17XvJr_lRorilfBpG/view?usp=drivesdk</t>
  </si>
  <si>
    <t>Ns. ZARNIATI, S.Kep</t>
  </si>
  <si>
    <t>zarniatisiti@gmail.com</t>
  </si>
  <si>
    <t>6424</t>
  </si>
  <si>
    <t>18gB3kHZ98Cams7T-7uPU7l1sg1t7YskB</t>
  </si>
  <si>
    <t>https://drive.google.com/file/d/18gB3kHZ98Cams7T-7uPU7l1sg1t7YskB/view?usp=drivesdk</t>
  </si>
  <si>
    <t>PRIHATININGSIH</t>
  </si>
  <si>
    <t>balqisdeby@gmail.com</t>
  </si>
  <si>
    <t>6425</t>
  </si>
  <si>
    <t>1l1SXmAmTGaxYbVeJce9arf8gdM20fjNw</t>
  </si>
  <si>
    <t>https://drive.google.com/file/d/1l1SXmAmTGaxYbVeJce9arf8gdM20fjNw/view?usp=drivesdk</t>
  </si>
  <si>
    <t>MELKY RAMLIS, ST</t>
  </si>
  <si>
    <t>blokano17@gmail.com</t>
  </si>
  <si>
    <t>6426</t>
  </si>
  <si>
    <t>1DXGrCKBQ311ikDHYuoqp_B2f84DKRc34</t>
  </si>
  <si>
    <t>https://drive.google.com/file/d/1DXGrCKBQ311ikDHYuoqp_B2f84DKRc34/view?usp=drivesdk</t>
  </si>
  <si>
    <t>Document successfully created; Document successfully merged; PDF created; !!Error Sending Emails: Service invoked too many times for one day: email.; Manually run by ecertificate75@gmail.com; Timestamp: Sep 3 2024 5:18 AM</t>
  </si>
  <si>
    <t>YETTI HARNILI</t>
  </si>
  <si>
    <t>yettiharneli09@gmail.com</t>
  </si>
  <si>
    <t>6427</t>
  </si>
  <si>
    <t>15mu8dIIGzjI620HbPguD9qWfq87j7Xgv</t>
  </si>
  <si>
    <t>https://drive.google.com/file/d/15mu8dIIGzjI620HbPguD9qWfq87j7Xgv/view?usp=drivesdk</t>
  </si>
  <si>
    <t>DEWI HAMIDA AG, S.E.</t>
  </si>
  <si>
    <t>dewihamidaag@gmail.com</t>
  </si>
  <si>
    <t>6428</t>
  </si>
  <si>
    <t>Starting at Thu Aug 29 2024 21:52:01 GMT-0400 (EDT)</t>
  </si>
  <si>
    <t>1ZUl6kf8Q3qgAG0-Hr4pARHpNEp3dTRX3</t>
  </si>
  <si>
    <t>https://drive.google.com/file/d/1ZUl6kf8Q3qgAG0-Hr4pARHpNEp3dTRX3/view?usp=drivesdk</t>
  </si>
  <si>
    <t>OMRI MARTAHAN</t>
  </si>
  <si>
    <t>wananli1985@gmail.com</t>
  </si>
  <si>
    <t>6429</t>
  </si>
  <si>
    <t>1r8pp0uosORg8qR6vO5oNfYPd2gMBLsKL</t>
  </si>
  <si>
    <t>https://drive.google.com/file/d/1r8pp0uosORg8qR6vO5oNfYPd2gMBLsKL/view?usp=drivesdk</t>
  </si>
  <si>
    <t>DR THERESIA FIFI JUDIKRISTIANI,SP.PA</t>
  </si>
  <si>
    <t>fifi_judikristiani2@yahoo.com</t>
  </si>
  <si>
    <t>6430</t>
  </si>
  <si>
    <t>Starting at Thu Aug 29 2024 21:52:08 GMT-0400 (EDT)</t>
  </si>
  <si>
    <t>1wW9ggCDwrBp2A2xFqpXEFaSjae9iO6FF</t>
  </si>
  <si>
    <t>https://drive.google.com/file/d/1wW9ggCDwrBp2A2xFqpXEFaSjae9iO6FF/view?usp=drivesdk</t>
  </si>
  <si>
    <t>Ade Herlena Rahman</t>
  </si>
  <si>
    <t>herlenaade32@gmail.com</t>
  </si>
  <si>
    <t>6431</t>
  </si>
  <si>
    <t>1cNDI9T9v5Dyhr-3IvplSQoxMjXeDj-48</t>
  </si>
  <si>
    <t>https://drive.google.com/file/d/1cNDI9T9v5Dyhr-3IvplSQoxMjXeDj-48/view?usp=drivesdk</t>
  </si>
  <si>
    <t>Document successfully created; Document successfully merged; PDF created; !!Error Sending Emails: Service invoked too many times for one day: email.; Manually run by ecertificate75@gmail.com; Timestamp: Sep 3 2024 5:19 AM</t>
  </si>
  <si>
    <t>HELSARIYANTI</t>
  </si>
  <si>
    <t>helsariyanti@gmail.com</t>
  </si>
  <si>
    <t>6432</t>
  </si>
  <si>
    <t>1wkZBvqNEAfO8Im6YdEUSXTU5efrEqfia</t>
  </si>
  <si>
    <t>https://drive.google.com/file/d/1wkZBvqNEAfO8Im6YdEUSXTU5efrEqfia/view?usp=drivesdk</t>
  </si>
  <si>
    <t xml:space="preserve">KRISTANTO </t>
  </si>
  <si>
    <t>kris.dfatsurabaya@icloud.com</t>
  </si>
  <si>
    <t>6433</t>
  </si>
  <si>
    <t>10ZNoQ53hC90okg146JqvZfROqA8LUNiX</t>
  </si>
  <si>
    <t>https://drive.google.com/file/d/10ZNoQ53hC90okg146JqvZfROqA8LUNiX/view?usp=drivesdk</t>
  </si>
  <si>
    <t>SURATNO</t>
  </si>
  <si>
    <t>suratnodaffa2@gmail.com</t>
  </si>
  <si>
    <t>6434</t>
  </si>
  <si>
    <t>1bHDKqfi7hkGOHEcuFUMOJXYEdcwI3tFW</t>
  </si>
  <si>
    <t>https://drive.google.com/file/d/1bHDKqfi7hkGOHEcuFUMOJXYEdcwI3tFW/view?usp=drivesdk</t>
  </si>
  <si>
    <t>DESHI ANALIA , S.Kep.Ns</t>
  </si>
  <si>
    <t>deshianalia@gmail.com</t>
  </si>
  <si>
    <t>6435</t>
  </si>
  <si>
    <t>1OugdeyMvfIay8YOqeQQjk4C7v-RNKUr-</t>
  </si>
  <si>
    <t>https://drive.google.com/file/d/1OugdeyMvfIay8YOqeQQjk4C7v-RNKUr-/view?usp=drivesdk</t>
  </si>
  <si>
    <t>Document successfully created; Document successfully merged; PDF created; !!Error Sending Emails: Service invoked too many times for one day: email.; Manually run by ecertificate75@gmail.com; Timestamp: Sep 3 2024 5:20 AM</t>
  </si>
  <si>
    <t>HARMINI</t>
  </si>
  <si>
    <t>JURU MUDA</t>
  </si>
  <si>
    <t>wahyuokta005@gmail.com</t>
  </si>
  <si>
    <t>6436</t>
  </si>
  <si>
    <t>1Zweb7POekzQROjINaTz7dTmwYZEVSgYj</t>
  </si>
  <si>
    <t>https://drive.google.com/file/d/1Zweb7POekzQROjINaTz7dTmwYZEVSgYj/view?usp=drivesdk</t>
  </si>
  <si>
    <t>Document successfully created; Document successfully merged; PDF created; !!Error Sending Emails: Service invoked too many times for one day: email.; Manually run by ecertificate75@gmail.com; Timestamp: Sep 3 2024 11:59 PM</t>
  </si>
  <si>
    <t>TRI YANTI, S.H.</t>
  </si>
  <si>
    <t>ristya85@gmail.com</t>
  </si>
  <si>
    <t>6437</t>
  </si>
  <si>
    <t>17AitsHsvbB3aTOB15kySWtZmBMNz9Eeo</t>
  </si>
  <si>
    <t>https://drive.google.com/file/d/17AitsHsvbB3aTOB15kySWtZmBMNz9Eeo/view?usp=drivesdk</t>
  </si>
  <si>
    <t>Document successfully created; Document successfully merged; PDF created; !!Error Sending Emails: Service invoked too many times for one day: email.; Manually run by ecertificate75@gmail.com; Timestamp: Sep 4 2024 12:00 AM</t>
  </si>
  <si>
    <t>YOSEPH TRI PUJIWAHYONO, S.Kep.Ns</t>
  </si>
  <si>
    <t>yosephtripe34@gmail.com</t>
  </si>
  <si>
    <t>6438</t>
  </si>
  <si>
    <t>1YpD85gNqz2flNl4HuRadUHKt6GVb4w3G</t>
  </si>
  <si>
    <t>https://drive.google.com/file/d/1YpD85gNqz2flNl4HuRadUHKt6GVb4w3G/view?usp=drivesdk</t>
  </si>
  <si>
    <t>ZULMANIAR.SM</t>
  </si>
  <si>
    <t>zulmaniarjo@gmail.com</t>
  </si>
  <si>
    <t>6439</t>
  </si>
  <si>
    <t>Starting at Thu Aug 29 2024 21:52:11 GMT-0400 (EDT)</t>
  </si>
  <si>
    <t>18WbEnJrP4UuBrXhc81uDXhGdZB51gcyt</t>
  </si>
  <si>
    <t>https://drive.google.com/file/d/18WbEnJrP4UuBrXhc81uDXhGdZB51gcyt/view?usp=drivesdk</t>
  </si>
  <si>
    <t>ASEP HIDAYAT</t>
  </si>
  <si>
    <t>asephidayat0779@gmail.com</t>
  </si>
  <si>
    <t>6440</t>
  </si>
  <si>
    <t>1llckqj8nmhZe5YDmJ6ajb8dQbXTl0X5X</t>
  </si>
  <si>
    <t>https://drive.google.com/file/d/1llckqj8nmhZe5YDmJ6ajb8dQbXTl0X5X/view?usp=drivesdk</t>
  </si>
  <si>
    <t>Document successfully created; Document successfully merged; PDF created; !!Error Sending Emails: Service invoked too many times for one day: email.; Manually run by ecertificate75@gmail.com; Timestamp: Sep 4 2024 12:01 AM</t>
  </si>
  <si>
    <t>INDRYANA RAHMADANI</t>
  </si>
  <si>
    <t>indry_cat22@yahoo.com</t>
  </si>
  <si>
    <t>6441</t>
  </si>
  <si>
    <t>18mTslgEUKK4sLEjCUBXoc2xZetiUvgUm</t>
  </si>
  <si>
    <t>https://drive.google.com/file/d/18mTslgEUKK4sLEjCUBXoc2xZetiUvgUm/view?usp=drivesdk</t>
  </si>
  <si>
    <t>MUJi indayani, S. AP</t>
  </si>
  <si>
    <t>aak.indayani@gmail.com</t>
  </si>
  <si>
    <t>6442</t>
  </si>
  <si>
    <t>Starting at Thu Aug 29 2024 21:52:15 GMT-0400 (EDT)</t>
  </si>
  <si>
    <t>1hRPZKMGxzDFqXvSan2UVZ4L9-BLMgFf4</t>
  </si>
  <si>
    <t>https://drive.google.com/file/d/1hRPZKMGxzDFqXvSan2UVZ4L9-BLMgFf4/view?usp=drivesdk</t>
  </si>
  <si>
    <t>ALPI MUHARAM, S.E.</t>
  </si>
  <si>
    <t>muharramalpi@gmail.com</t>
  </si>
  <si>
    <t>6443</t>
  </si>
  <si>
    <t>1lsctiEQjuu64-DvPRz0AAqy4WHK8ymHN</t>
  </si>
  <si>
    <t>https://drive.google.com/file/d/1lsctiEQjuu64-DvPRz0AAqy4WHK8ymHN/view?usp=drivesdk</t>
  </si>
  <si>
    <t>Ns. H. JAMHUR, S.Kep</t>
  </si>
  <si>
    <t>jamhur_daeng@yahoo.co.id</t>
  </si>
  <si>
    <t>6444</t>
  </si>
  <si>
    <t>1aOL1aRcQ9-3ODPnO6apXTjK7auZiIsTe</t>
  </si>
  <si>
    <t>https://drive.google.com/file/d/1aOL1aRcQ9-3ODPnO6apXTjK7auZiIsTe/view?usp=drivesdk</t>
  </si>
  <si>
    <t>Document successfully created; Document successfully merged; PDF created; !!Error Sending Emails: Service invoked too many times for one day: email.; Manually run by ecertificate75@gmail.com; Timestamp: Sep 4 2024 12:02 AM</t>
  </si>
  <si>
    <t>ADI HIDAYAT</t>
  </si>
  <si>
    <t>adihidayat1001@gmail.com</t>
  </si>
  <si>
    <t>6445</t>
  </si>
  <si>
    <t>1yeNrjlN6IpHf1lkkUESdqnva-JUE1xRv</t>
  </si>
  <si>
    <t>https://drive.google.com/file/d/1yeNrjlN6IpHf1lkkUESdqnva-JUE1xRv/view?usp=drivesdk</t>
  </si>
  <si>
    <t>dr.Frinda Theresia Barus, MARS</t>
  </si>
  <si>
    <t>frinda.theresia@gmail.com</t>
  </si>
  <si>
    <t>6446</t>
  </si>
  <si>
    <t>17HZzSwvK0eC0Tt4HtEhR7cMs_B25u43g</t>
  </si>
  <si>
    <t>https://drive.google.com/file/d/17HZzSwvK0eC0Tt4HtEhR7cMs_B25u43g/view?usp=drivesdk</t>
  </si>
  <si>
    <t>ELIANA</t>
  </si>
  <si>
    <t>eyana948@gmail.com</t>
  </si>
  <si>
    <t>6447</t>
  </si>
  <si>
    <t>https://drive.google.com/file/d/1kz1w0iFmDB4kjmH_xNCM13I1cTovJO8S/view?usp=drivesdk</t>
  </si>
  <si>
    <t>Document successfully created; Document successfully merged; PDF created; !!Error Sending Emails: Service invoked too many times for one day: email.; Run via form trigger as ecertificate75@gmail.com; Timestamp: Aug 29 2024 9:52 PM</t>
  </si>
  <si>
    <t>1kz1w0iFmDB4kjmH_xNCM13I1cTovJO8S</t>
  </si>
  <si>
    <t>1SgHUKBNl5luUylPYC07LmLjnnl_lhX94</t>
  </si>
  <si>
    <t>https://drive.google.com/file/d/1SgHUKBNl5luUylPYC07LmLjnnl_lhX94/view?usp=drivesdk</t>
  </si>
  <si>
    <t>Document successfully created; Document successfully merged; PDF created; !!Error Sending Emails: Service invoked too many times for one day: email.; Manually run by ecertificate75@gmail.com; Timestamp: Sep 4 2024 12:03 AM</t>
  </si>
  <si>
    <t>NOOR RIDWAN</t>
  </si>
  <si>
    <t>nurridwan710@gmail.com</t>
  </si>
  <si>
    <t>6448</t>
  </si>
  <si>
    <t>Starting at Thu Aug 29 2024 21:52:19 GMT-0400 (EDT)</t>
  </si>
  <si>
    <t>1RT6go4vrnS6Fp1X-8x-rK_kNhtyQuDNl</t>
  </si>
  <si>
    <t>https://drive.google.com/file/d/1RT6go4vrnS6Fp1X-8x-rK_kNhtyQuDNl/view?usp=drivesdk</t>
  </si>
  <si>
    <t>FERIYANINGSIH, S.E.</t>
  </si>
  <si>
    <t>vyar42@gmail.com</t>
  </si>
  <si>
    <t>6449</t>
  </si>
  <si>
    <t>1QAeiPMGIBv45hpz4pAan-5gDP-Ci7USe</t>
  </si>
  <si>
    <t>https://drive.google.com/file/d/1QAeiPMGIBv45hpz4pAan-5gDP-Ci7USe/view?usp=drivesdk</t>
  </si>
  <si>
    <t>YAYAH HOLIYAH</t>
  </si>
  <si>
    <t>yayah.holi@gmail.com</t>
  </si>
  <si>
    <t>6450</t>
  </si>
  <si>
    <t>1MwIdENHSaozby8XXizorpYncLZp9bQOG</t>
  </si>
  <si>
    <t>https://drive.google.com/file/d/1MwIdENHSaozby8XXizorpYncLZp9bQOG/view?usp=drivesdk</t>
  </si>
  <si>
    <t>Document successfully created; Document successfully merged; PDF created; !!Error Sending Emails: Service invoked too many times for one day: email.; Manually run by ecertificate75@gmail.com; Timestamp: Sep 4 2024 12:04 AM</t>
  </si>
  <si>
    <t>DAROHMAN</t>
  </si>
  <si>
    <t>darohmanooyes@gmail.com</t>
  </si>
  <si>
    <t>6451</t>
  </si>
  <si>
    <t>Starting at Thu Aug 29 2024 21:52:21 GMT-0400 (EDT)</t>
  </si>
  <si>
    <t>1P25j0RqpzMep7gKerPldLBdjI1aE_h05</t>
  </si>
  <si>
    <t>https://drive.google.com/file/d/1P25j0RqpzMep7gKerPldLBdjI1aE_h05/view?usp=drivesdk</t>
  </si>
  <si>
    <t>WAHIDAH</t>
  </si>
  <si>
    <t>wahidabone.wtp88@gmail.com</t>
  </si>
  <si>
    <t>6452</t>
  </si>
  <si>
    <t>1O-QkBWt_uf5FcgZXEy0VM6-CAnxf4BZz</t>
  </si>
  <si>
    <t>https://drive.google.com/file/d/1O-QkBWt_uf5FcgZXEy0VM6-CAnxf4BZz/view?usp=drivesdk</t>
  </si>
  <si>
    <t>LILIS PANJAITAN</t>
  </si>
  <si>
    <t>lilispanjaitan22@gmail.com</t>
  </si>
  <si>
    <t>6453</t>
  </si>
  <si>
    <t>15oEdNoCqZkEtHKNBjg6MWmO5JNyTod74</t>
  </si>
  <si>
    <t>https://drive.google.com/file/d/15oEdNoCqZkEtHKNBjg6MWmO5JNyTod74/view?usp=drivesdk</t>
  </si>
  <si>
    <t>RETNO YUSILOWATI</t>
  </si>
  <si>
    <t>retnojoesi76@gmail.com</t>
  </si>
  <si>
    <t>6454</t>
  </si>
  <si>
    <t>Starting at Thu Aug 29 2024 21:52:25 GMT-0400 (EDT)</t>
  </si>
  <si>
    <t>1BCUoPVg6b1Vn4pZ32R_mJLeGzocJTGSa</t>
  </si>
  <si>
    <t>https://drive.google.com/file/d/1BCUoPVg6b1Vn4pZ32R_mJLeGzocJTGSa/view?usp=drivesdk</t>
  </si>
  <si>
    <t>Document successfully created; Document successfully merged; PDF created; !!Error Sending Emails: Service invoked too many times for one day: email.; Manually run by ecertificate75@gmail.com; Timestamp: Sep 4 2024 12:05 AM</t>
  </si>
  <si>
    <t>AGUS SETIAWAN, S.E.</t>
  </si>
  <si>
    <t>titikbumi@gmail.com</t>
  </si>
  <si>
    <t>6455</t>
  </si>
  <si>
    <t>10SJqvzODDQDEiSaBRBnHY2NvjHKVdO3N</t>
  </si>
  <si>
    <t>https://drive.google.com/file/d/10SJqvzODDQDEiSaBRBnHY2NvjHKVdO3N/view?usp=drivesdk</t>
  </si>
  <si>
    <t>JEHEZKIEL DWINANTO KANA</t>
  </si>
  <si>
    <t>dwinanto.kana@gmail.com</t>
  </si>
  <si>
    <t>6456</t>
  </si>
  <si>
    <t>https://drive.google.com/file/d/1Nzv0szgp4gO8PylZdNaC3QaZ0ggWPxGT/view?usp=drivesdk</t>
  </si>
  <si>
    <t>1Nzv0szgp4gO8PylZdNaC3QaZ0ggWPxGT</t>
  </si>
  <si>
    <t>1WNc_Jb89Re15g2ZjrQiXPe3dNaOPziiw</t>
  </si>
  <si>
    <t>https://drive.google.com/file/d/1WNc_Jb89Re15g2ZjrQiXPe3dNaOPziiw/view?usp=drivesdk</t>
  </si>
  <si>
    <t>DRA.ANIEK HARIYATI</t>
  </si>
  <si>
    <t>aniekhariyati@gmail.com</t>
  </si>
  <si>
    <t>6457</t>
  </si>
  <si>
    <t>Starting at Thu Aug 29 2024 21:52:29 GMT-0400 (EDT)</t>
  </si>
  <si>
    <t>1dPSE62ditPRjdjDFqSh7Z5pSwNirW9WO</t>
  </si>
  <si>
    <t>https://drive.google.com/file/d/1dPSE62ditPRjdjDFqSh7Z5pSwNirW9WO/view?usp=drivesdk</t>
  </si>
  <si>
    <t>EDI SAMSURIAL SARAGIH</t>
  </si>
  <si>
    <t>edisaragih76@gmail.com</t>
  </si>
  <si>
    <t>6458</t>
  </si>
  <si>
    <t>1fESzFf0sueCCTdXxptfPeIixpd1vjsE0</t>
  </si>
  <si>
    <t>https://drive.google.com/file/d/1fESzFf0sueCCTdXxptfPeIixpd1vjsE0/view?usp=drivesdk</t>
  </si>
  <si>
    <t>RAHMATIA INDAH SANGO, S. KEP</t>
  </si>
  <si>
    <t>hekeindah@gmail.com</t>
  </si>
  <si>
    <t>6459</t>
  </si>
  <si>
    <t>1dViRanV44_dnNW1ygJCFl04HTn7DKWxr</t>
  </si>
  <si>
    <t>https://drive.google.com/file/d/1dViRanV44_dnNW1ygJCFl04HTn7DKWxr/view?usp=drivesdk</t>
  </si>
  <si>
    <t>Document successfully created; Document successfully merged; PDF created; !!Error Sending Emails: Service invoked too many times for one day: email.; Manually run by ecertificate75@gmail.com; Timestamp: Sep 4 2024 12:06 AM</t>
  </si>
  <si>
    <t>SUGIYONO, S.A.P.</t>
  </si>
  <si>
    <t>sugiono.ut1@gmail.com</t>
  </si>
  <si>
    <t>6460</t>
  </si>
  <si>
    <t>Starting at Thu Aug 29 2024 21:52:30 GMT-0400 (EDT)</t>
  </si>
  <si>
    <t>1nZ5c3WaJnhazehIoeJemGYtCRHiwzbFw</t>
  </si>
  <si>
    <t>https://drive.google.com/file/d/1nZ5c3WaJnhazehIoeJemGYtCRHiwzbFw/view?usp=drivesdk</t>
  </si>
  <si>
    <t>Document successfully created; Document successfully merged; PDF created; !!Error Sending Emails: Service invoked too many times for one day: email.; Manually run by ecertificate75@gmail.com; Timestamp: Sep 4 2024 12:07 AM</t>
  </si>
  <si>
    <t>RUSMININGSIH</t>
  </si>
  <si>
    <t>rusminingsihnining@gmail.com</t>
  </si>
  <si>
    <t>6461</t>
  </si>
  <si>
    <t>1NeDuQd9Tx-QqMs6wUGUCvqT2IDa6ZNtT</t>
  </si>
  <si>
    <t>https://drive.google.com/file/d/1NeDuQd9Tx-QqMs6wUGUCvqT2IDa6ZNtT/view?usp=drivesdk</t>
  </si>
  <si>
    <t>KURNIAWAN</t>
  </si>
  <si>
    <t>kuniawanamd760@gmail.com</t>
  </si>
  <si>
    <t>6462</t>
  </si>
  <si>
    <t>Starting at Thu Aug 29 2024 21:52:31 GMT-0400 (EDT)</t>
  </si>
  <si>
    <t>1IVkbsF6yhfbSc01rRj4tOBEpfPTUse0P</t>
  </si>
  <si>
    <t>https://drive.google.com/file/d/1IVkbsF6yhfbSc01rRj4tOBEpfPTUse0P/view?usp=drivesdk</t>
  </si>
  <si>
    <t>CUT PUTRI NABILA, A.Md.</t>
  </si>
  <si>
    <t>cutputrinabilatm@gmail.com</t>
  </si>
  <si>
    <t>6463</t>
  </si>
  <si>
    <t>Starting at Thu Aug 29 2024 21:52:37 GMT-0400 (EDT)</t>
  </si>
  <si>
    <t>1l3gHJrZnBfwcOL__i9Dwxo6xW5mW77at</t>
  </si>
  <si>
    <t>https://drive.google.com/file/d/1l3gHJrZnBfwcOL__i9Dwxo6xW5mW77at/view?usp=drivesdk</t>
  </si>
  <si>
    <t>EKO SUSANTO S.Kep.,Ns</t>
  </si>
  <si>
    <t>susantoekokdr@gmail.com</t>
  </si>
  <si>
    <t>6464</t>
  </si>
  <si>
    <t>1Ke68d6Ovz8PJ4BqfV6lb2hkNeVCqls_i</t>
  </si>
  <si>
    <t>https://drive.google.com/file/d/1Ke68d6Ovz8PJ4BqfV6lb2hkNeVCqls_i/view?usp=drivesdk</t>
  </si>
  <si>
    <t>Document successfully created; Document successfully merged; PDF created; !!Error Sending Emails: Service invoked too many times for one day: email.; Manually run by ecertificate75@gmail.com; Timestamp: Sep 4 2024 12:08 AM</t>
  </si>
  <si>
    <t>EDY SUPRAPTO</t>
  </si>
  <si>
    <t>edys.suprapto@gmail.com</t>
  </si>
  <si>
    <t>6465</t>
  </si>
  <si>
    <t>1dknAIaSmQOgXvdRMwiuxGYhZk5XqDDKR</t>
  </si>
  <si>
    <t>https://drive.google.com/file/d/1dknAIaSmQOgXvdRMwiuxGYhZk5XqDDKR/view?usp=drivesdk</t>
  </si>
  <si>
    <t>haritadipratama90@gmail.com</t>
  </si>
  <si>
    <t>6466</t>
  </si>
  <si>
    <t>Starting at Thu Aug 29 2024 21:52:40 GMT-0400 (EDT)</t>
  </si>
  <si>
    <t>1Lr5hNq3qC23DPRbNPGu6Lu58n_lFNiN8</t>
  </si>
  <si>
    <t>https://drive.google.com/file/d/1Lr5hNq3qC23DPRbNPGu6Lu58n_lFNiN8/view?usp=drivesdk</t>
  </si>
  <si>
    <t>SURIP, SE</t>
  </si>
  <si>
    <t>sairahsuriparya@gmail.com</t>
  </si>
  <si>
    <t>6467</t>
  </si>
  <si>
    <t>Starting at Thu Aug 29 2024 21:52:41 GMT-0400 (EDT)</t>
  </si>
  <si>
    <t>1oYh-mi5LtFUNSkilVASr5rfXZEXOJwGw</t>
  </si>
  <si>
    <t>https://drive.google.com/file/d/1oYh-mi5LtFUNSkilVASr5rfXZEXOJwGw/view?usp=drivesdk</t>
  </si>
  <si>
    <t>GUN MENDAN, A.Md.Kep.</t>
  </si>
  <si>
    <t>Guntraz90@gmail.com</t>
  </si>
  <si>
    <t>6468</t>
  </si>
  <si>
    <t>1Ynn4MZ-aNZPho9vVQg3Xwar-kOfJkHHT</t>
  </si>
  <si>
    <t>https://drive.google.com/file/d/1Ynn4MZ-aNZPho9vVQg3Xwar-kOfJkHHT/view?usp=drivesdk</t>
  </si>
  <si>
    <t>Document successfully created; Document successfully merged; PDF created; !!Error Sending Emails: Service invoked too many times for one day: email.; Manually run by ecertificate75@gmail.com; Timestamp: Sep 4 2024 12:09 AM</t>
  </si>
  <si>
    <t>Siti Hajar Amd.Kep</t>
  </si>
  <si>
    <t>sitihajar.resloteng@gmail.com</t>
  </si>
  <si>
    <t>6469</t>
  </si>
  <si>
    <t>Starting at Thu Aug 29 2024 21:52:46 GMT-0400 (EDT)</t>
  </si>
  <si>
    <t>1o9NS9ZgQrpdgcvdroO24COXlBpxt0IoT</t>
  </si>
  <si>
    <t>https://drive.google.com/file/d/1o9NS9ZgQrpdgcvdroO24COXlBpxt0IoT/view?usp=drivesdk</t>
  </si>
  <si>
    <t>ERWIN SUSANTI,A.Md.Kes</t>
  </si>
  <si>
    <t>susantierwin75@gmail.com</t>
  </si>
  <si>
    <t>6470</t>
  </si>
  <si>
    <t>1fDASqMl4KrE6TQbQB7_d00OcW0kNTiM0</t>
  </si>
  <si>
    <t>https://drive.google.com/file/d/1fDASqMl4KrE6TQbQB7_d00OcW0kNTiM0/view?usp=drivesdk</t>
  </si>
  <si>
    <t>Sari Mustika Dewi.SKM</t>
  </si>
  <si>
    <t>damora.dewi@gmail.com</t>
  </si>
  <si>
    <t>6471</t>
  </si>
  <si>
    <t>1ipThUL4aq6fx5qKhCsEPKzHVNTVfllpB</t>
  </si>
  <si>
    <t>https://drive.google.com/file/d/1ipThUL4aq6fx5qKhCsEPKzHVNTVfllpB/view?usp=drivesdk</t>
  </si>
  <si>
    <t>Endah Sri Mumpuni</t>
  </si>
  <si>
    <t>endahsrimp@gmail.com</t>
  </si>
  <si>
    <t>6472</t>
  </si>
  <si>
    <t>1lyIVb88AVtfa4w-wRkZgpdrlkkQhIBou</t>
  </si>
  <si>
    <t>https://drive.google.com/file/d/1lyIVb88AVtfa4w-wRkZgpdrlkkQhIBou/view?usp=drivesdk</t>
  </si>
  <si>
    <t>Document successfully created; Document successfully merged; PDF created; !!Error Sending Emails: Service invoked too many times for one day: email.; Manually run by ecertificate75@gmail.com; Timestamp: Sep 4 2024 12:10 AM</t>
  </si>
  <si>
    <t>SERIANNA BR BARUS, S.KOM., M.M</t>
  </si>
  <si>
    <t>annaihux@gmail.com</t>
  </si>
  <si>
    <t>6473</t>
  </si>
  <si>
    <t>1g-nRZGdMhn0aXBimtGjW4uTt2Wa5tDSb</t>
  </si>
  <si>
    <t>https://drive.google.com/file/d/1g-nRZGdMhn0aXBimtGjW4uTt2Wa5tDSb/view?usp=drivesdk</t>
  </si>
  <si>
    <t>DIDIK PURWANTO, S.Kep.,Ns</t>
  </si>
  <si>
    <t>didik.purwanto963@gmail.com</t>
  </si>
  <si>
    <t>6474</t>
  </si>
  <si>
    <t>Starting at Thu Aug 29 2024 21:52:47 GMT-0400 (EDT)</t>
  </si>
  <si>
    <t>1GghfKplqFFjxSdUBYvxnLrKBH0xfQT2A</t>
  </si>
  <si>
    <t>https://drive.google.com/file/d/1GghfKplqFFjxSdUBYvxnLrKBH0xfQT2A/view?usp=drivesdk</t>
  </si>
  <si>
    <t>Document successfully created; Document successfully merged; PDF created; !!Error Sending Emails: Service invoked too many times for one day: email.; Manually run by ecertificate75@gmail.com; Timestamp: Sep 4 2024 12:11 AM</t>
  </si>
  <si>
    <t>IJAH MARLINA</t>
  </si>
  <si>
    <t>marlinal692@gmail.com</t>
  </si>
  <si>
    <t>6475</t>
  </si>
  <si>
    <t>1Ig5vB7XNt_nXIV_4QldBz7VZenawX0WE</t>
  </si>
  <si>
    <t>https://drive.google.com/file/d/1Ig5vB7XNt_nXIV_4QldBz7VZenawX0WE/view?usp=drivesdk</t>
  </si>
  <si>
    <t>IIN PRIHATIN</t>
  </si>
  <si>
    <t>iinprihatin51@gmail.com</t>
  </si>
  <si>
    <t>6476</t>
  </si>
  <si>
    <t>Starting at Thu Aug 29 2024 21:52:51 GMT-0400 (EDT)</t>
  </si>
  <si>
    <t>1vymSP-PWwRNyCdgLUShiads3FHP3khNK</t>
  </si>
  <si>
    <t>https://drive.google.com/file/d/1vymSP-PWwRNyCdgLUShiads3FHP3khNK/view?usp=drivesdk</t>
  </si>
  <si>
    <t>SUGIANTO SISWA MIHARJO</t>
  </si>
  <si>
    <t>sUgiantosiswamiharjo@mail.com</t>
  </si>
  <si>
    <t>6477</t>
  </si>
  <si>
    <t>1re_4Lv3RIKaIu1UNkChcojRPJe-jF8TX</t>
  </si>
  <si>
    <t>https://drive.google.com/file/d/1re_4Lv3RIKaIu1UNkChcojRPJe-jF8TX/view?usp=drivesdk</t>
  </si>
  <si>
    <t>Edy Purwanto,SH</t>
  </si>
  <si>
    <t>edyp3271@gmail.com</t>
  </si>
  <si>
    <t>6478</t>
  </si>
  <si>
    <t>Starting at Thu Aug 29 2024 21:52:54 GMT-0400 (EDT)</t>
  </si>
  <si>
    <t>1l6NjdPFUhFprOzuKpGhpBeblxh7l3r9F</t>
  </si>
  <si>
    <t>https://drive.google.com/file/d/1l6NjdPFUhFprOzuKpGhpBeblxh7l3r9F/view?usp=drivesdk</t>
  </si>
  <si>
    <t>Document successfully created; Document successfully merged; PDF created; !!Error Sending Emails: Service invoked too many times for one day: email.; Manually run by ecertificate75@gmail.com; Timestamp: Sep 4 2024 12:12 AM</t>
  </si>
  <si>
    <t>MARDIANIS.R</t>
  </si>
  <si>
    <t>mrsmardianis15@gmail.com</t>
  </si>
  <si>
    <t>6479</t>
  </si>
  <si>
    <t>1puhFdrT3nFGd7VshCdygL-yF5fsCTgBN</t>
  </si>
  <si>
    <t>https://drive.google.com/file/d/1puhFdrT3nFGd7VshCdygL-yF5fsCTgBN/view?usp=drivesdk</t>
  </si>
  <si>
    <t>SAJIDI</t>
  </si>
  <si>
    <t>sajidisempu@gmail.com</t>
  </si>
  <si>
    <t>6480</t>
  </si>
  <si>
    <t>1JVKCAZXwkkNfiv6yUeKIbXL-QGDwStQF</t>
  </si>
  <si>
    <t>https://drive.google.com/file/d/1JVKCAZXwkkNfiv6yUeKIbXL-QGDwStQF/view?usp=drivesdk</t>
  </si>
  <si>
    <t>ANASTASIA WULANDARI,Amd K G</t>
  </si>
  <si>
    <t>anastasiawulandari2@gmail.com</t>
  </si>
  <si>
    <t>6481</t>
  </si>
  <si>
    <t>19vmuALqskIhpRkT_78DD9KVV0Ilb4sen</t>
  </si>
  <si>
    <t>https://drive.google.com/file/d/19vmuALqskIhpRkT_78DD9KVV0Ilb4sen/view?usp=drivesdk</t>
  </si>
  <si>
    <t>HERMAN</t>
  </si>
  <si>
    <t>hermantahir55@gmail.com</t>
  </si>
  <si>
    <t>6482</t>
  </si>
  <si>
    <t>Starting at Thu Aug 29 2024 21:52:58 GMT-0400 (EDT)</t>
  </si>
  <si>
    <t>1AKQ3UTcw0zKgQb4X0ZfqbfFqHDB7VM1Z</t>
  </si>
  <si>
    <t>https://drive.google.com/file/d/1AKQ3UTcw0zKgQb4X0ZfqbfFqHDB7VM1Z/view?usp=drivesdk</t>
  </si>
  <si>
    <t>Document successfully created; Document successfully merged; PDF created; !!Error Sending Emails: Service invoked too many times for one day: email.; Manually run by ecertificate75@gmail.com; Timestamp: Sep 4 2024 12:13 AM</t>
  </si>
  <si>
    <t xml:space="preserve">SUPARJO </t>
  </si>
  <si>
    <t>suparjochacha@gmail.com</t>
  </si>
  <si>
    <t>6483</t>
  </si>
  <si>
    <t>17ZuBoXlSI3XRREbVK12TtOCZCqDUPBsQ</t>
  </si>
  <si>
    <t>https://drive.google.com/file/d/17ZuBoXlSI3XRREbVK12TtOCZCqDUPBsQ/view?usp=drivesdk</t>
  </si>
  <si>
    <t>ROSMIYATI, S.M.</t>
  </si>
  <si>
    <t>rosmiyatipriatna@gmail.com</t>
  </si>
  <si>
    <t>6484</t>
  </si>
  <si>
    <t>1OOhNCCOEM3LtPFFZPDxCWWhOgrZnZzzj</t>
  </si>
  <si>
    <t>https://drive.google.com/file/d/1OOhNCCOEM3LtPFFZPDxCWWhOgrZnZzzj/view?usp=drivesdk</t>
  </si>
  <si>
    <t>BETTY DUMAULI SIAGIAN</t>
  </si>
  <si>
    <t>bettydumaulisiagian@gmail.com</t>
  </si>
  <si>
    <t>6485</t>
  </si>
  <si>
    <t>1--wh-d24rQZ_W9Z058VuQssbV0X5myVU</t>
  </si>
  <si>
    <t>https://drive.google.com/file/d/1--wh-d24rQZ_W9Z058VuQssbV0X5myVU/view?usp=drivesdk</t>
  </si>
  <si>
    <t>Document successfully created; Document successfully merged; PDF created; !!Error Sending Emails: Service invoked too many times for one day: email.; Manually run by ecertificate75@gmail.com; Timestamp: Sep 4 2024 12:14 AM</t>
  </si>
  <si>
    <t>BASRI HASAN</t>
  </si>
  <si>
    <t>dealovad936@gmail.com</t>
  </si>
  <si>
    <t>6486</t>
  </si>
  <si>
    <t>1aLm6_4EMgALDeeJr7Bxw11V-d4LcLiz6</t>
  </si>
  <si>
    <t>https://drive.google.com/file/d/1aLm6_4EMgALDeeJr7Bxw11V-d4LcLiz6/view?usp=drivesdk</t>
  </si>
  <si>
    <t>RATNA DEWI</t>
  </si>
  <si>
    <t>ratnadewizn1@gmail.com</t>
  </si>
  <si>
    <t>6487</t>
  </si>
  <si>
    <t>Starting at Thu Aug 29 2024 21:53:00 GMT-0400 (EDT)</t>
  </si>
  <si>
    <t>1OrEVcoX-4yBItzYKBE3d4QOxncBdcEoY</t>
  </si>
  <si>
    <t>https://drive.google.com/file/d/1OrEVcoX-4yBItzYKBE3d4QOxncBdcEoY/view?usp=drivesdk</t>
  </si>
  <si>
    <t>NOOR HAMIDAH</t>
  </si>
  <si>
    <t>nyonya.aau@gmail.com</t>
  </si>
  <si>
    <t>6488</t>
  </si>
  <si>
    <t>1Kl6h7sWgSqqREMujfsh-b5AWUVjIHvZD</t>
  </si>
  <si>
    <t>https://drive.google.com/file/d/1Kl6h7sWgSqqREMujfsh-b5AWUVjIHvZD/view?usp=drivesdk</t>
  </si>
  <si>
    <t>Mia Eva Enjelina</t>
  </si>
  <si>
    <t>miaevaenjelina@gmail.com</t>
  </si>
  <si>
    <t>6489</t>
  </si>
  <si>
    <t>1Dsk2g1F8vtyU8Bd1wIuLBvdiZKWheVTv</t>
  </si>
  <si>
    <t>https://drive.google.com/file/d/1Dsk2g1F8vtyU8Bd1wIuLBvdiZKWheVTv/view?usp=drivesdk</t>
  </si>
  <si>
    <t>Document successfully created; Document successfully merged; PDF created; !!Error Sending Emails: Service invoked too many times for one day: email.; Manually run by ecertificate75@gmail.com; Timestamp: Sep 4 2024 12:15 AM</t>
  </si>
  <si>
    <t xml:space="preserve">EVILINA MUNTHE </t>
  </si>
  <si>
    <t>evilinamunthe@gmail.com</t>
  </si>
  <si>
    <t>6490</t>
  </si>
  <si>
    <t>11RDVcM1BDjFk5ZnpY4NKv7sGPBMUTRTa</t>
  </si>
  <si>
    <t>https://drive.google.com/file/d/11RDVcM1BDjFk5ZnpY4NKv7sGPBMUTRTa/view?usp=drivesdk</t>
  </si>
  <si>
    <t>Yeni Sriwati,Amd.AK</t>
  </si>
  <si>
    <t>bimoaudi@gmail.com</t>
  </si>
  <si>
    <t>6491</t>
  </si>
  <si>
    <t>15XUwqYzkUkLmTzA1qs2vwk4KgCQrMi8a</t>
  </si>
  <si>
    <t>https://drive.google.com/file/d/15XUwqYzkUkLmTzA1qs2vwk4KgCQrMi8a/view?usp=drivesdk</t>
  </si>
  <si>
    <t>EKA HASTUTININGSIH SH</t>
  </si>
  <si>
    <t>ekahastutimama@gmail.com</t>
  </si>
  <si>
    <t>6492</t>
  </si>
  <si>
    <t>Starting at Thu Aug 29 2024 21:53:03 GMT-0400 (EDT)</t>
  </si>
  <si>
    <t>1wNgxDMD41XuNx9wXTuHVYVUycIdYM_6h</t>
  </si>
  <si>
    <t>https://drive.google.com/file/d/1wNgxDMD41XuNx9wXTuHVYVUycIdYM_6h/view?usp=drivesdk</t>
  </si>
  <si>
    <t>Document successfully created; Document successfully merged; PDF created; !!Error Sending Emails: Service invoked too many times for one day: email.; Manually run by ecertificate75@gmail.com; Timestamp: Sep 4 2024 12:16 AM</t>
  </si>
  <si>
    <t>6493</t>
  </si>
  <si>
    <t>1C2Bj7UclvSFn0Er7UHFsD0G97YJwA3V2</t>
  </si>
  <si>
    <t>https://drive.google.com/file/d/1C2Bj7UclvSFn0Er7UHFsD0G97YJwA3V2/view?usp=drivesdk</t>
  </si>
  <si>
    <t>IRA MAHKAMAH, S.T.</t>
  </si>
  <si>
    <t>iramahkammahst@gmail.com</t>
  </si>
  <si>
    <t>6494</t>
  </si>
  <si>
    <t>1rOPwhwNOgctIHYqr5cOCNGK3HZcSEezN</t>
  </si>
  <si>
    <t>https://drive.google.com/file/d/1rOPwhwNOgctIHYqr5cOCNGK3HZcSEezN/view?usp=drivesdk</t>
  </si>
  <si>
    <t>YUDI ARDIANSYAH, AMKep</t>
  </si>
  <si>
    <t>yudi_ardians84@yahoo.co.id</t>
  </si>
  <si>
    <t>6495</t>
  </si>
  <si>
    <t>Starting at Thu Aug 29 2024 21:53:07 GMT-0400 (EDT)</t>
  </si>
  <si>
    <t>1axvditX6TUHLw3NVfPTV191dSxT_7Bj9</t>
  </si>
  <si>
    <t>https://drive.google.com/file/d/1axvditX6TUHLw3NVfPTV191dSxT_7Bj9/view?usp=drivesdk</t>
  </si>
  <si>
    <t>Document successfully created; Document successfully merged; PDF created; !!Error Sending Emails: Service invoked too many times for one day: email.; Manually run by ecertificate75@gmail.com; Timestamp: Sep 4 2024 12:17 AM</t>
  </si>
  <si>
    <t>SETIYA MARYANA, S.S, M.Si</t>
  </si>
  <si>
    <t>annapapua78@gmail.com</t>
  </si>
  <si>
    <t>6496</t>
  </si>
  <si>
    <t>1dK3KDnfNgI4IrVyyIr1WbK63tg8kGR0x</t>
  </si>
  <si>
    <t>https://drive.google.com/file/d/1dK3KDnfNgI4IrVyyIr1WbK63tg8kGR0x/view?usp=drivesdk</t>
  </si>
  <si>
    <t>dr LAILATUSY SYIFA S Mkes MM</t>
  </si>
  <si>
    <t>xastrohyt@gmail.com</t>
  </si>
  <si>
    <t>6497</t>
  </si>
  <si>
    <t>18_8vxtSO6lU1gxl6Yyu0XrS0eSK3VXWC</t>
  </si>
  <si>
    <t>https://drive.google.com/file/d/18_8vxtSO6lU1gxl6Yyu0XrS0eSK3VXWC/view?usp=drivesdk</t>
  </si>
  <si>
    <t>SATRINA ELFRIDA</t>
  </si>
  <si>
    <t>satrinaelfrida@gmail.com</t>
  </si>
  <si>
    <t>6498</t>
  </si>
  <si>
    <t>1bD7pqqxnao9K1dXveWDz3kKog06k_XbW</t>
  </si>
  <si>
    <t>https://drive.google.com/file/d/1bD7pqqxnao9K1dXveWDz3kKog06k_XbW/view?usp=drivesdk</t>
  </si>
  <si>
    <t>RESLANETI, S.KM</t>
  </si>
  <si>
    <t>reslaneti56@gmail.com</t>
  </si>
  <si>
    <t>6499</t>
  </si>
  <si>
    <t>1vWX8q73iZno3o2znC8eS7f0WkdsqSQaB</t>
  </si>
  <si>
    <t>https://drive.google.com/file/d/1vWX8q73iZno3o2znC8eS7f0WkdsqSQaB/view?usp=drivesdk</t>
  </si>
  <si>
    <t>slametananto@gmail.com</t>
  </si>
  <si>
    <t>6500</t>
  </si>
  <si>
    <t>Starting at Thu Aug 29 2024 21:53:11 GMT-0400 (EDT)</t>
  </si>
  <si>
    <t>1Lmr9_oxVGeTA4uvjvE58A3MWeOiAF8x2</t>
  </si>
  <si>
    <t>https://drive.google.com/file/d/1Lmr9_oxVGeTA4uvjvE58A3MWeOiAF8x2/view?usp=drivesdk</t>
  </si>
  <si>
    <t>Document successfully created; Document successfully merged; PDF created; !!Error Sending Emails: Service invoked too many times for one day: email.; Manually run by ecertificate75@gmail.com; Timestamp: Sep 4 2024 12:18 AM</t>
  </si>
  <si>
    <t xml:space="preserve">RINA CATERINA </t>
  </si>
  <si>
    <t>catherinaiib2017@gmail.com</t>
  </si>
  <si>
    <t>6501</t>
  </si>
  <si>
    <t>1brxyssEjDG7S4lkHGBAeN2TVUoB50E_l</t>
  </si>
  <si>
    <t>https://drive.google.com/file/d/1brxyssEjDG7S4lkHGBAeN2TVUoB50E_l/view?usp=drivesdk</t>
  </si>
  <si>
    <t>ISMAIL, ST</t>
  </si>
  <si>
    <t>ismail.log03@gmail.com</t>
  </si>
  <si>
    <t>6502</t>
  </si>
  <si>
    <t>Starting at Thu Aug 29 2024 21:53:13 GMT-0400 (EDT)</t>
  </si>
  <si>
    <t>1bVMVec6AFKmxh3AwCJFogJreIDfJuqLE</t>
  </si>
  <si>
    <t>https://drive.google.com/file/d/1bVMVec6AFKmxh3AwCJFogJreIDfJuqLE/view?usp=drivesdk</t>
  </si>
  <si>
    <t>FITRI FIRDAYANTI, A.Md.Keb</t>
  </si>
  <si>
    <t>fitrifirdayanti98@gmail.com</t>
  </si>
  <si>
    <t>6503</t>
  </si>
  <si>
    <t>1g-UwRyg3Mu4rVLwFSwV_SNQUx7c_uxnp</t>
  </si>
  <si>
    <t>https://drive.google.com/file/d/1g-UwRyg3Mu4rVLwFSwV_SNQUx7c_uxnp/view?usp=drivesdk</t>
  </si>
  <si>
    <t>NURFATMA WIDIYANTI</t>
  </si>
  <si>
    <t>widiyantinurfatma@gmail.com</t>
  </si>
  <si>
    <t>6504</t>
  </si>
  <si>
    <t>Starting at Thu Aug 29 2024 21:53:14 GMT-0400 (EDT)</t>
  </si>
  <si>
    <t>1RRxbC03I9EQhzr8OglecGh9OysabcE8C</t>
  </si>
  <si>
    <t>https://drive.google.com/file/d/1RRxbC03I9EQhzr8OglecGh9OysabcE8C/view?usp=drivesdk</t>
  </si>
  <si>
    <t>Document successfully created; Document successfully merged; PDF created; !!Error Sending Emails: Service invoked too many times for one day: email.; Manually run by ecertificate75@gmail.com; Timestamp: Sep 4 2024 12:19 AM</t>
  </si>
  <si>
    <t xml:space="preserve">EVA YULIANA </t>
  </si>
  <si>
    <t>yulianaeva1979@gmail.com</t>
  </si>
  <si>
    <t>6505</t>
  </si>
  <si>
    <t>1QGcXKrhI7MFvJl2oepVEDRXCpvPjwTR-</t>
  </si>
  <si>
    <t>https://drive.google.com/file/d/1QGcXKrhI7MFvJl2oepVEDRXCpvPjwTR-/view?usp=drivesdk</t>
  </si>
  <si>
    <t>dr. Hj. Novtiara Dwita Putri, S.Ked</t>
  </si>
  <si>
    <t>novtiara@gmail.com</t>
  </si>
  <si>
    <t>6506</t>
  </si>
  <si>
    <t>1SMo6FR2bWn0qzssJFxqt_Vyp0u1MY7ZM</t>
  </si>
  <si>
    <t>https://drive.google.com/file/d/1SMo6FR2bWn0qzssJFxqt_Vyp0u1MY7ZM/view?usp=drivesdk</t>
  </si>
  <si>
    <t>6507</t>
  </si>
  <si>
    <t>1vxGYxKcmKOUzsGYmPFF_RNUnKH7UyN0D</t>
  </si>
  <si>
    <t>https://drive.google.com/file/d/1vxGYxKcmKOUzsGYmPFF_RNUnKH7UyN0D/view?usp=drivesdk</t>
  </si>
  <si>
    <t>Document successfully created; Document successfully merged; PDF created; !!Error Sending Emails: Service invoked too many times for one day: email.; Manually run by ecertificate75@gmail.com; Timestamp: Sep 4 2024 12:20 AM</t>
  </si>
  <si>
    <t>ANITA AGUNG SETIANTO</t>
  </si>
  <si>
    <t>agungsetianto890@gmail.com</t>
  </si>
  <si>
    <t>6508</t>
  </si>
  <si>
    <t>Starting at Thu Aug 29 2024 21:53:18 GMT-0400 (EDT)</t>
  </si>
  <si>
    <t>1Zwrm_jJdXTk5NSlDfW7qh7NoxFLXE0QS</t>
  </si>
  <si>
    <t>https://drive.google.com/file/d/1Zwrm_jJdXTk5NSlDfW7qh7NoxFLXE0QS/view?usp=drivesdk</t>
  </si>
  <si>
    <t>Devita Aries Sandy</t>
  </si>
  <si>
    <t>vitaries9@gmail.com</t>
  </si>
  <si>
    <t>6509</t>
  </si>
  <si>
    <t>1hH56qeot9gNLV6EY0hoavoC6sw3kAzmx</t>
  </si>
  <si>
    <t>https://drive.google.com/file/d/1hH56qeot9gNLV6EY0hoavoC6sw3kAzmx/view?usp=drivesdk</t>
  </si>
  <si>
    <t>RUPIYATI</t>
  </si>
  <si>
    <t>yantiops2@gmail.com</t>
  </si>
  <si>
    <t>6510</t>
  </si>
  <si>
    <t>1DPjbRVAa5heIoHYfSKRllrDWEiHxpLEQ</t>
  </si>
  <si>
    <t>https://drive.google.com/file/d/1DPjbRVAa5heIoHYfSKRllrDWEiHxpLEQ/view?usp=drivesdk</t>
  </si>
  <si>
    <t>Document successfully created; Document successfully merged; PDF created; !!Error Sending Emails: Service invoked too many times for one day: email.; Run via form trigger as ecertificate75@gmail.com; Timestamp: Sep 3 2024 5:30 AM</t>
  </si>
  <si>
    <t>NURUL FADILAH</t>
  </si>
  <si>
    <t>nurulfadilah.ms@gmail.com</t>
  </si>
  <si>
    <t>6511</t>
  </si>
  <si>
    <t>1OLNdyMetPFt3eaosPLuEs-52bbAzBalb</t>
  </si>
  <si>
    <t>https://drive.google.com/file/d/1OLNdyMetPFt3eaosPLuEs-52bbAzBalb/view?usp=drivesdk</t>
  </si>
  <si>
    <t>DESMALA DEWI</t>
  </si>
  <si>
    <t>desmaladewi2012@gmail.com</t>
  </si>
  <si>
    <t>6512</t>
  </si>
  <si>
    <t>1WcjIC2hF0SFyVa193PJVWRWWSJWc01Gm</t>
  </si>
  <si>
    <t>https://drive.google.com/file/d/1WcjIC2hF0SFyVa193PJVWRWWSJWc01Gm/view?usp=drivesdk</t>
  </si>
  <si>
    <t>FATMI RUSMIATI</t>
  </si>
  <si>
    <t>fatmi.rusmiati@gmail.com</t>
  </si>
  <si>
    <t>6513</t>
  </si>
  <si>
    <t>1JS-lU263gNlyUVfjv1niY9NgzX9m5DYT</t>
  </si>
  <si>
    <t>https://drive.google.com/file/d/1JS-lU263gNlyUVfjv1niY9NgzX9m5DYT/view?usp=drivesdk</t>
  </si>
  <si>
    <t>ANIK WIDIATI</t>
  </si>
  <si>
    <t>anik.widiati@yahoo.co.id</t>
  </si>
  <si>
    <t>6514</t>
  </si>
  <si>
    <t>1HQKIUq6btgOetWDqj5rm0gqXNlkjTYhX</t>
  </si>
  <si>
    <t>https://drive.google.com/file/d/1HQKIUq6btgOetWDqj5rm0gqXNlkjTYhX/view?usp=drivesdk</t>
  </si>
  <si>
    <t>ARIYANTO SARYONO, S.IP</t>
  </si>
  <si>
    <t>aryoren23@gmail.com</t>
  </si>
  <si>
    <t>6515</t>
  </si>
  <si>
    <t>Starting at Thu Aug 29 2024 21:53:22 GMT-0400 (EDT)</t>
  </si>
  <si>
    <t>1te7eZ3QPA-iHHrBo5YxqCOD7emCcmNMV</t>
  </si>
  <si>
    <t>https://drive.google.com/file/d/1te7eZ3QPA-iHHrBo5YxqCOD7emCcmNMV/view?usp=drivesdk</t>
  </si>
  <si>
    <t>Document successfully created; Document successfully merged; PDF created; !!Error Sending Emails: Service invoked too many times for one day: email.; Run via form trigger as ecertificate75@gmail.com; Timestamp: Sep 3 2024 5:31 AM</t>
  </si>
  <si>
    <t>AFIRA ZUMMAN POLRES ACEH SELATAN POLDA ACEH</t>
  </si>
  <si>
    <t>fira.taptu78@gmail.com</t>
  </si>
  <si>
    <t>6516</t>
  </si>
  <si>
    <t>1JGkhr2we1OBcUzMB_-Y7vR47OhA8PEcc</t>
  </si>
  <si>
    <t>https://drive.google.com/file/d/1JGkhr2we1OBcUzMB_-Y7vR47OhA8PEcc/view?usp=drivesdk</t>
  </si>
  <si>
    <t>DEWI PUSPASARI S.,Kep.Ners</t>
  </si>
  <si>
    <t>dewipuspa79.dp@gmail.com</t>
  </si>
  <si>
    <t>6517</t>
  </si>
  <si>
    <t>1r1nYEiAxtdHNv22RH6gj1ykcZoQtQN0P</t>
  </si>
  <si>
    <t>https://drive.google.com/file/d/1r1nYEiAxtdHNv22RH6gj1ykcZoQtQN0P/view?usp=drivesdk</t>
  </si>
  <si>
    <t>ASA MAULANA DEWI, A.Md.Kep</t>
  </si>
  <si>
    <t>asamaulana5@gmail.com</t>
  </si>
  <si>
    <t>6518</t>
  </si>
  <si>
    <t>1i17ymQ70ZUxD2a3aBszpqz8UbjWO1Odp</t>
  </si>
  <si>
    <t>https://drive.google.com/file/d/1i17ymQ70ZUxD2a3aBszpqz8UbjWO1Odp/view?usp=drivesdk</t>
  </si>
  <si>
    <t>susilosilo0769@gmail.com</t>
  </si>
  <si>
    <t>6519</t>
  </si>
  <si>
    <t>Starting at Thu Aug 29 2024 21:53:28 GMT-0400 (EDT)</t>
  </si>
  <si>
    <t>1UBZXCH8S9qu8fICkuaIHkj9J579az4KK</t>
  </si>
  <si>
    <t>https://drive.google.com/file/d/1UBZXCH8S9qu8fICkuaIHkj9J579az4KK/view?usp=drivesdk</t>
  </si>
  <si>
    <t>NITA AMELINA</t>
  </si>
  <si>
    <t>nitaamelina313@gmail.com</t>
  </si>
  <si>
    <t>6520</t>
  </si>
  <si>
    <t>1nAfMtoqpUKKlVwTtkAaFZpF_ZGt-uWid</t>
  </si>
  <si>
    <t>https://drive.google.com/file/d/1nAfMtoqpUKKlVwTtkAaFZpF_ZGt-uWid/view?usp=drivesdk</t>
  </si>
  <si>
    <t>Document successfully created; Document successfully merged; PDF created; !!Error Sending Emails: Service invoked too many times for one day: email.; Run via form trigger as ecertificate75@gmail.com; Timestamp: Sep 3 2024 5:32 AM</t>
  </si>
  <si>
    <t>INDAH SUSANTI</t>
  </si>
  <si>
    <t>indahsusanti2019@gmail.com</t>
  </si>
  <si>
    <t>6521</t>
  </si>
  <si>
    <t>1OCVeM10NowhK_iSMOfY_Vriwgx3n5rHL</t>
  </si>
  <si>
    <t>https://drive.google.com/file/d/1OCVeM10NowhK_iSMOfY_Vriwgx3n5rHL/view?usp=drivesdk</t>
  </si>
  <si>
    <t xml:space="preserve">FITRIA YULIASTUTI </t>
  </si>
  <si>
    <t>fitriayuliastuti19@gmail.com</t>
  </si>
  <si>
    <t>6522</t>
  </si>
  <si>
    <t>1xOrqEYUbl9ra3f5t7FHwEoGWZ0xlaM9h</t>
  </si>
  <si>
    <t>https://drive.google.com/file/d/1xOrqEYUbl9ra3f5t7FHwEoGWZ0xlaM9h/view?usp=drivesdk</t>
  </si>
  <si>
    <t>ULIN NUHA, S. Kep. Ns</t>
  </si>
  <si>
    <t>ulinnuhapbasuki@gmail.com</t>
  </si>
  <si>
    <t>6523</t>
  </si>
  <si>
    <t>10TLqZ0K05x5jHtcl4YUyVUQ7Olo_eHSO</t>
  </si>
  <si>
    <t>https://drive.google.com/file/d/10TLqZ0K05x5jHtcl4YUyVUQ7Olo_eHSO/view?usp=drivesdk</t>
  </si>
  <si>
    <t>MARYANAH</t>
  </si>
  <si>
    <t>marihyanah2@gmail.com</t>
  </si>
  <si>
    <t>6524</t>
  </si>
  <si>
    <t>Starting at Thu Aug 29 2024 21:53:31 GMT-0400 (EDT)</t>
  </si>
  <si>
    <t>1coOml6PyHqgIY1IEU5Wp20nJ_ptjsABn</t>
  </si>
  <si>
    <t>https://drive.google.com/file/d/1coOml6PyHqgIY1IEU5Wp20nJ_ptjsABn/view?usp=drivesdk</t>
  </si>
  <si>
    <t>Aniek Hartitik, S.Sos.</t>
  </si>
  <si>
    <t>aniek.hartitik@gmail.com</t>
  </si>
  <si>
    <t>6525</t>
  </si>
  <si>
    <t>1S5_Vyg2BHuPNMcIxS_B6hDScRPqI4gqL</t>
  </si>
  <si>
    <t>https://drive.google.com/file/d/1S5_Vyg2BHuPNMcIxS_B6hDScRPqI4gqL/view?usp=drivesdk</t>
  </si>
  <si>
    <t>LANGGENG SETYO NUGROHO, A.Md.KG</t>
  </si>
  <si>
    <t>langgengsn10@gmail.com</t>
  </si>
  <si>
    <t>6526</t>
  </si>
  <si>
    <t>1RLcmJ5TgagrdCXZNpunXW51xvLrBtR5t</t>
  </si>
  <si>
    <t>https://drive.google.com/file/d/1RLcmJ5TgagrdCXZNpunXW51xvLrBtR5t/view?usp=drivesdk</t>
  </si>
  <si>
    <t>Document successfully created; Document successfully merged; PDF created; !!Error Sending Emails: Service invoked too many times for one day: email.; Run via form trigger as ecertificate75@gmail.com; Timestamp: Sep 3 2024 5:33 AM</t>
  </si>
  <si>
    <t>DISURNI SIANIPAR</t>
  </si>
  <si>
    <t>disurni.sianipar116671@gmail.com</t>
  </si>
  <si>
    <t>6527</t>
  </si>
  <si>
    <t>Starting at Thu Aug 29 2024 21:53:37 GMT-0400 (EDT)</t>
  </si>
  <si>
    <t>1JLHQv7AZKajzE4CMu3963TX6XK8mPnve</t>
  </si>
  <si>
    <t>https://drive.google.com/file/d/1JLHQv7AZKajzE4CMu3963TX6XK8mPnve/view?usp=drivesdk</t>
  </si>
  <si>
    <t>AJIE ANGGORO PUTRO Amk</t>
  </si>
  <si>
    <t>Adjiealfariz79@gmail.com</t>
  </si>
  <si>
    <t>6528</t>
  </si>
  <si>
    <t>1pt1nqjoUBFmJl-krP85yaBbQzCD1XoNE</t>
  </si>
  <si>
    <t>https://drive.google.com/file/d/1pt1nqjoUBFmJl-krP85yaBbQzCD1XoNE/view?usp=drivesdk</t>
  </si>
  <si>
    <t>IRWANSYAH</t>
  </si>
  <si>
    <t>joe895486@gmail.com</t>
  </si>
  <si>
    <t>6529</t>
  </si>
  <si>
    <t>1kuvKddCE-ktQepJYZ9x6f7p8zxS5yj_l</t>
  </si>
  <si>
    <t>https://drive.google.com/file/d/1kuvKddCE-ktQepJYZ9x6f7p8zxS5yj_l/view?usp=drivesdk</t>
  </si>
  <si>
    <t>TRI SANTOSO</t>
  </si>
  <si>
    <t>santosotri530@gmail.com</t>
  </si>
  <si>
    <t>6530</t>
  </si>
  <si>
    <t>16dev_XFDAFVNUjSBveR3ZsOLukYBVLI2</t>
  </si>
  <si>
    <t>https://drive.google.com/file/d/16dev_XFDAFVNUjSBveR3ZsOLukYBVLI2/view?usp=drivesdk</t>
  </si>
  <si>
    <t>AGUS FIRNANDA, S.H.</t>
  </si>
  <si>
    <t>subbagpns.poldasumsel@gmail.com</t>
  </si>
  <si>
    <t>6531</t>
  </si>
  <si>
    <t>1i1EyiceC0UTZ2e4UjTcSs4wjBEHQOFZi</t>
  </si>
  <si>
    <t>https://drive.google.com/file/d/1i1EyiceC0UTZ2e4UjTcSs4wjBEHQOFZi/view?usp=drivesdk</t>
  </si>
  <si>
    <t>Document successfully created; Document successfully merged; PDF created; !!Error Sending Emails: Service invoked too many times for one day: email.; Run via form trigger as ecertificate75@gmail.com; Timestamp: Sep 3 2024 5:34 AM</t>
  </si>
  <si>
    <t>dr. Annisa Falihati Salsabila</t>
  </si>
  <si>
    <t>annisafalihati@gmail.com</t>
  </si>
  <si>
    <t>6532</t>
  </si>
  <si>
    <t>1RyB3BURzV19oCOpdnN_23N2uPYdSiwjT</t>
  </si>
  <si>
    <t>https://drive.google.com/file/d/1RyB3BURzV19oCOpdnN_23N2uPYdSiwjT/view?usp=drivesdk</t>
  </si>
  <si>
    <t>ENDANG SERSANTI.SE</t>
  </si>
  <si>
    <t>ayuputriamel56@gmail.com</t>
  </si>
  <si>
    <t>6533</t>
  </si>
  <si>
    <t>1WAwuR4GMJODaqxqfJU55Z_4K6Wvp_UlH</t>
  </si>
  <si>
    <t>https://drive.google.com/file/d/1WAwuR4GMJODaqxqfJU55Z_4K6Wvp_UlH/view?usp=drivesdk</t>
  </si>
  <si>
    <t>GLADIES KUMAUNANG, S.E.</t>
  </si>
  <si>
    <t>kumaunang3@gmail.com</t>
  </si>
  <si>
    <t>6534</t>
  </si>
  <si>
    <t>Starting at Thu Aug 29 2024 21:53:41 GMT-0400 (EDT)</t>
  </si>
  <si>
    <t>1psQzVS5Ik2d_JHKlTx7nAmVTrJAdISzB</t>
  </si>
  <si>
    <t>https://drive.google.com/file/d/1psQzVS5Ik2d_JHKlTx7nAmVTrJAdISzB/view?usp=drivesdk</t>
  </si>
  <si>
    <t xml:space="preserve">ANITA BAHARI </t>
  </si>
  <si>
    <t>baharianita02@gmail.com</t>
  </si>
  <si>
    <t>6535</t>
  </si>
  <si>
    <t>1cS72Gmrv1CebuLrBqeyyN7joABa04vUD</t>
  </si>
  <si>
    <t>https://drive.google.com/file/d/1cS72Gmrv1CebuLrBqeyyN7joABa04vUD/view?usp=drivesdk</t>
  </si>
  <si>
    <t>OKI ADI PRANATA, A.Md.</t>
  </si>
  <si>
    <t>okiadipranata815@gmail.com</t>
  </si>
  <si>
    <t>6536</t>
  </si>
  <si>
    <t>1WxesvkveM6KZMNEkxGkd2XvqL5IpjelH</t>
  </si>
  <si>
    <t>https://drive.google.com/file/d/1WxesvkveM6KZMNEkxGkd2XvqL5IpjelH/view?usp=drivesdk</t>
  </si>
  <si>
    <t>Document successfully created; Document successfully merged; PDF created; !!Error Sending Emails: Service invoked too many times for one day: email.; Run via form trigger as ecertificate75@gmail.com; Timestamp: Sep 3 2024 5:35 AM</t>
  </si>
  <si>
    <t>HARIYANTO SE MAP</t>
  </si>
  <si>
    <t>hariyanto1968@gmail.com</t>
  </si>
  <si>
    <t>6537</t>
  </si>
  <si>
    <t>1qaIzhObA03-CW-pTt98dE-yTfY5re2Qs</t>
  </si>
  <si>
    <t>https://drive.google.com/file/d/1qaIzhObA03-CW-pTt98dE-yTfY5re2Qs/view?usp=drivesdk</t>
  </si>
  <si>
    <t>Document successfully created; Document successfully merged; PDF created; !!Error Sending Emails: Service invoked too many times for one day: email.; Run via form trigger as ecertificate75@gmail.com; Timestamp: Sep 3 2024 6:30 AM</t>
  </si>
  <si>
    <t>UMI NUR SHOLIKHAH, S.H.</t>
  </si>
  <si>
    <t>uminursholikhah.1@gmail.com</t>
  </si>
  <si>
    <t>6538</t>
  </si>
  <si>
    <t>1EFOKcmsXA_gQECUpzuu-q2npGAdfFQi5</t>
  </si>
  <si>
    <t>https://drive.google.com/file/d/1EFOKcmsXA_gQECUpzuu-q2npGAdfFQi5/view?usp=drivesdk</t>
  </si>
  <si>
    <t>RAKIAN SENTOSO,A.Md</t>
  </si>
  <si>
    <t>rakiansentoso77@gmail.com</t>
  </si>
  <si>
    <t>6539</t>
  </si>
  <si>
    <t>1CYILjUjqK81lxAh3QmMRfRxprxDZdcMY</t>
  </si>
  <si>
    <t>https://drive.google.com/file/d/1CYILjUjqK81lxAh3QmMRfRxprxDZdcMY/view?usp=drivesdk</t>
  </si>
  <si>
    <t>ybaharuddin@gmail.com</t>
  </si>
  <si>
    <t>6540</t>
  </si>
  <si>
    <t>1LZ5EEWjzrm8CG--IJgr559esBw-fqm5S</t>
  </si>
  <si>
    <t>https://drive.google.com/file/d/1LZ5EEWjzrm8CG--IJgr559esBw-fqm5S/view?usp=drivesdk</t>
  </si>
  <si>
    <t>EVI SUSANTI</t>
  </si>
  <si>
    <t>susantievisusanti1981@gmail.com</t>
  </si>
  <si>
    <t>6541</t>
  </si>
  <si>
    <t>18RcutYarrVY4UXj5H-ag3zk3RH8Hw3_y</t>
  </si>
  <si>
    <t>https://drive.google.com/file/d/18RcutYarrVY4UXj5H-ag3zk3RH8Hw3_y/view?usp=drivesdk</t>
  </si>
  <si>
    <t>ROSMANIAR</t>
  </si>
  <si>
    <t>rosmaniarchayang@gmail.com</t>
  </si>
  <si>
    <t>6542</t>
  </si>
  <si>
    <t>1u0jFweUfEIQpLoTtyYkSjxqmdmm12uBk</t>
  </si>
  <si>
    <t>https://drive.google.com/file/d/1u0jFweUfEIQpLoTtyYkSjxqmdmm12uBk/view?usp=drivesdk</t>
  </si>
  <si>
    <t>YULI LATRIYANI</t>
  </si>
  <si>
    <t>yulilatriyani77@gmail.com</t>
  </si>
  <si>
    <t>6543</t>
  </si>
  <si>
    <t>Starting at Thu Aug 29 2024 21:53:43 GMT-0400 (EDT)</t>
  </si>
  <si>
    <t>1-IGjF1fqOls4MCEZ_-OTV9u63EEpgcNo</t>
  </si>
  <si>
    <t>https://drive.google.com/file/d/1-IGjF1fqOls4MCEZ_-OTV9u63EEpgcNo/view?usp=drivesdk</t>
  </si>
  <si>
    <t>Document successfully created; Document successfully merged; PDF created; !!Error Sending Emails: Service invoked too many times for one day: email.; Run via form trigger as ecertificate75@gmail.com; Timestamp: Sep 3 2024 6:31 AM</t>
  </si>
  <si>
    <t xml:space="preserve">LULUK SUCIATI </t>
  </si>
  <si>
    <t>luluksuci66@gmail.com</t>
  </si>
  <si>
    <t>6544</t>
  </si>
  <si>
    <t>1FK6kfoO204Z_zYfM_oMQuKrJkE6OuBTD</t>
  </si>
  <si>
    <t>https://drive.google.com/file/d/1FK6kfoO204Z_zYfM_oMQuKrJkE6OuBTD/view?usp=drivesdk</t>
  </si>
  <si>
    <t>LELY HASTUTI</t>
  </si>
  <si>
    <t>lelyahmadi7@gmail.com</t>
  </si>
  <si>
    <t>6545</t>
  </si>
  <si>
    <t>Starting at Thu Aug 29 2024 21:53:48 GMT-0400 (EDT)</t>
  </si>
  <si>
    <t>1GqJ_0KCXi93mHVusX2cTNQGaTXV7pdes</t>
  </si>
  <si>
    <t>https://drive.google.com/file/d/1GqJ_0KCXi93mHVusX2cTNQGaTXV7pdes/view?usp=drivesdk</t>
  </si>
  <si>
    <t>HARLINA D.S.Kom</t>
  </si>
  <si>
    <t>linasupriyanto2@gmail.com</t>
  </si>
  <si>
    <t>6546</t>
  </si>
  <si>
    <t>1JOCRrPHIQg-tOxSHjWupPmTbZSDvNxls</t>
  </si>
  <si>
    <t>https://drive.google.com/file/d/1JOCRrPHIQg-tOxSHjWupPmTbZSDvNxls/view?usp=drivesdk</t>
  </si>
  <si>
    <t>PRIYO HANDOKO, A.Md.</t>
  </si>
  <si>
    <t>198904032011011001@polri.go.id</t>
  </si>
  <si>
    <t>6547</t>
  </si>
  <si>
    <t>1pHeBEe804h-TN5Qe0VYvbuhLhV6iho4P</t>
  </si>
  <si>
    <t>https://drive.google.com/file/d/1pHeBEe804h-TN5Qe0VYvbuhLhV6iho4P/view?usp=drivesdk</t>
  </si>
  <si>
    <t>WAHYU INDRA BUDI, S.PD</t>
  </si>
  <si>
    <t>indrabudi300379@gmail.com</t>
  </si>
  <si>
    <t>6548</t>
  </si>
  <si>
    <t>1NkpMENA96v_AcCO1fqtEv989HeqUIi6R</t>
  </si>
  <si>
    <t>https://drive.google.com/file/d/1NkpMENA96v_AcCO1fqtEv989HeqUIi6R/view?usp=drivesdk</t>
  </si>
  <si>
    <t>WIWIK WARSILOWATY</t>
  </si>
  <si>
    <t>pns.wiwik@gmail.com</t>
  </si>
  <si>
    <t>6549</t>
  </si>
  <si>
    <t>10xYIsQ0IfGy2ekhdR6KgDyi4FjyKdKjl</t>
  </si>
  <si>
    <t>https://drive.google.com/file/d/10xYIsQ0IfGy2ekhdR6KgDyi4FjyKdKjl/view?usp=drivesdk</t>
  </si>
  <si>
    <t>HJ. SITI YULIAH</t>
  </si>
  <si>
    <t>hjsitiyuliah1967@gmail.com</t>
  </si>
  <si>
    <t>6550</t>
  </si>
  <si>
    <t>1pb0LX9QiRvaPszbVHJFogp5XhDqlcH5x</t>
  </si>
  <si>
    <t>https://drive.google.com/file/d/1pb0LX9QiRvaPszbVHJFogp5XhDqlcH5x/view?usp=drivesdk</t>
  </si>
  <si>
    <t>Document successfully created; Document successfully merged; PDF created; !!Error Sending Emails: Service invoked too many times for one day: email.; Run via form trigger as ecertificate75@gmail.com; Timestamp: Sep 3 2024 6:32 AM</t>
  </si>
  <si>
    <t>HANIJAH</t>
  </si>
  <si>
    <t>hanijah440@gmail.com</t>
  </si>
  <si>
    <t>6551</t>
  </si>
  <si>
    <t>Starting at Thu Aug 29 2024 21:53:50 GMT-0400 (EDT)</t>
  </si>
  <si>
    <t>1JpJagDbl-FtNXJvrCkICuu9WeiElj4xU</t>
  </si>
  <si>
    <t>https://drive.google.com/file/d/1JpJagDbl-FtNXJvrCkICuu9WeiElj4xU/view?usp=drivesdk</t>
  </si>
  <si>
    <t>NETTY SUSIYANAH, Amd. S.KM</t>
  </si>
  <si>
    <t>bungacosita@gmail.com</t>
  </si>
  <si>
    <t>6552</t>
  </si>
  <si>
    <t>158veLVEREEZA5A0zPw2431TL9SHXFqVX</t>
  </si>
  <si>
    <t>6552_NETTY SUSIYANAH, Amd. S.KM _ SERTIFIKAT BerAKHLAK.pdf</t>
  </si>
  <si>
    <t>ASMUNI</t>
  </si>
  <si>
    <t>asmunimohasmuni@gmail.com</t>
  </si>
  <si>
    <t>6553</t>
  </si>
  <si>
    <t>1kDSTjBJMT9CmGkGIWwRJTh85_QejiGm4</t>
  </si>
  <si>
    <t>https://drive.google.com/file/d/1kDSTjBJMT9CmGkGIWwRJTh85_QejiGm4/view?usp=drivesdk</t>
  </si>
  <si>
    <t>TRI MURNI JUNIARTI SIREGAR</t>
  </si>
  <si>
    <t>trysiregar75@gmail.com</t>
  </si>
  <si>
    <t>6554</t>
  </si>
  <si>
    <t>Starting at Thu Aug 29 2024 21:53:51 GMT-0400 (EDT)</t>
  </si>
  <si>
    <t>1ck7atN9dKIYcpdqMNFNhgOGfaCk1FIsR</t>
  </si>
  <si>
    <t>https://drive.google.com/file/d/1ck7atN9dKIYcpdqMNFNhgOGfaCk1FIsR/view?usp=drivesdk</t>
  </si>
  <si>
    <t>SUSANA DWI ASTUTI, S.Kep.,Ners</t>
  </si>
  <si>
    <t>susanadwiastuti@gmail.com</t>
  </si>
  <si>
    <t>6555</t>
  </si>
  <si>
    <t>1JzzKGYC5Zzx5Wi6S_bOhHfAqhLpvwY4f</t>
  </si>
  <si>
    <t>https://drive.google.com/file/d/1JzzKGYC5Zzx5Wi6S_bOhHfAqhLpvwY4f/view?usp=drivesdk</t>
  </si>
  <si>
    <t>RITA MIARSIH, AMd. RM</t>
  </si>
  <si>
    <t>ritamiarsih@yahoo.com</t>
  </si>
  <si>
    <t>6556</t>
  </si>
  <si>
    <t>1nrsziCE2NgK521tMTASuP4tYq031gM6R</t>
  </si>
  <si>
    <t>https://drive.google.com/file/d/1nrsziCE2NgK521tMTASuP4tYq031gM6R/view?usp=drivesdk</t>
  </si>
  <si>
    <t>Document successfully created; Document successfully merged; PDF created; !!Error Sending Emails: Service invoked too many times for one day: email.; Run via form trigger as ecertificate75@gmail.com; Timestamp: Sep 3 2024 6:33 AM</t>
  </si>
  <si>
    <t>MAS UD EFENDI</t>
  </si>
  <si>
    <t>masuderendi06@gmail.com</t>
  </si>
  <si>
    <t>6557</t>
  </si>
  <si>
    <t>17nApRzBIXUCQeGjJjdp0Zl4U78JJZurQ</t>
  </si>
  <si>
    <t>https://drive.google.com/file/d/17nApRzBIXUCQeGjJjdp0Zl4U78JJZurQ/view?usp=drivesdk</t>
  </si>
  <si>
    <t>PRISTIHENI</t>
  </si>
  <si>
    <t>pristiheni57@gmail.com</t>
  </si>
  <si>
    <t>6558</t>
  </si>
  <si>
    <t>1ARJxLE7fLzBBidNMdwBE3F7S9rp25qbf</t>
  </si>
  <si>
    <t>https://drive.google.com/file/d/1ARJxLE7fLzBBidNMdwBE3F7S9rp25qbf/view?usp=drivesdk</t>
  </si>
  <si>
    <t>mellyzola@gmail.com</t>
  </si>
  <si>
    <t>6559</t>
  </si>
  <si>
    <t>Starting at Thu Aug 29 2024 21:55:32 GMT-0400 (EDT)</t>
  </si>
  <si>
    <t>1gM6Mp9rRshkJ6wmkcfShfkxsosTSq_j2</t>
  </si>
  <si>
    <t>https://drive.google.com/file/d/1gM6Mp9rRshkJ6wmkcfShfkxsosTSq_j2/view?usp=drivesdk</t>
  </si>
  <si>
    <t>murtini495@gmail.com</t>
  </si>
  <si>
    <t>6560</t>
  </si>
  <si>
    <t>1q9tOVhxZaF-j9z18aSV9vTZAXOOo_ELm</t>
  </si>
  <si>
    <t>https://drive.google.com/file/d/1q9tOVhxZaF-j9z18aSV9vTZAXOOo_ELm/view?usp=drivesdk</t>
  </si>
  <si>
    <t>SUBAKAT, S.Kep. Ns.</t>
  </si>
  <si>
    <t>bakatsubakat36@gmail.com</t>
  </si>
  <si>
    <t>6561</t>
  </si>
  <si>
    <t>1-UMxjpo1IwDrHrN9cps4svdQkDrsY6I7</t>
  </si>
  <si>
    <t>https://drive.google.com/file/d/1-UMxjpo1IwDrHrN9cps4svdQkDrsY6I7/view?usp=drivesdk</t>
  </si>
  <si>
    <t>SITI AUSA</t>
  </si>
  <si>
    <t>Sitiausa10@gimai.com</t>
  </si>
  <si>
    <t>6562</t>
  </si>
  <si>
    <t>1kw5cgCcmDd_RG5m6zbgXDES6Noz4JpVz</t>
  </si>
  <si>
    <t>https://drive.google.com/file/d/1kw5cgCcmDd_RG5m6zbgXDES6Noz4JpVz/view?usp=drivesdk</t>
  </si>
  <si>
    <t>Document successfully created; Document successfully merged; PDF created; !!Error Sending Emails: Service invoked too many times for one day: email.; Run via form trigger as ecertificate75@gmail.com; Timestamp: Sep 3 2024 6:34 AM</t>
  </si>
  <si>
    <t>SOFYAN OLANDJU</t>
  </si>
  <si>
    <t>olandju@gmail.com</t>
  </si>
  <si>
    <t>6563</t>
  </si>
  <si>
    <t>1e6b54ZciDGmTjp7M9CRZQgW99Vrl-sJM</t>
  </si>
  <si>
    <t>https://drive.google.com/file/d/1e6b54ZciDGmTjp7M9CRZQgW99Vrl-sJM/view?usp=drivesdk</t>
  </si>
  <si>
    <t>MONICA</t>
  </si>
  <si>
    <t>rambamonica73@gmail.com</t>
  </si>
  <si>
    <t>6564</t>
  </si>
  <si>
    <t>1QlOTB7UKUOqa99w6bwFtXL87LW1QWYFQ</t>
  </si>
  <si>
    <t>https://drive.google.com/file/d/1QlOTB7UKUOqa99w6bwFtXL87LW1QWYFQ/view?usp=drivesdk</t>
  </si>
  <si>
    <t>Ahmad Rudy Sihaloho, MA</t>
  </si>
  <si>
    <t>6565</t>
  </si>
  <si>
    <t>1PFrP0p0vHxYBQF4Qf_SVkiRGOFKbfCgJ</t>
  </si>
  <si>
    <t>https://drive.google.com/file/d/1PFrP0p0vHxYBQF4Qf_SVkiRGOFKbfCgJ/view?usp=drivesdk</t>
  </si>
  <si>
    <t>FUAD TAUFIK</t>
  </si>
  <si>
    <t>fuadtaufik123@gmail.com</t>
  </si>
  <si>
    <t>6566</t>
  </si>
  <si>
    <t>1sAMBsiVz_qiwfx9jwjFMgSYLdd81L_VQ</t>
  </si>
  <si>
    <t>https://drive.google.com/file/d/1sAMBsiVz_qiwfx9jwjFMgSYLdd81L_VQ/view?usp=drivesdk</t>
  </si>
  <si>
    <t>CANDRA DWIANA DEWI,S.Kep.,Ns</t>
  </si>
  <si>
    <t>dwianacandra@gmail.com</t>
  </si>
  <si>
    <t>6567</t>
  </si>
  <si>
    <t>1V2wJVFxtSUWe9JvBiyVikh6B4boj254c</t>
  </si>
  <si>
    <t>https://drive.google.com/file/d/1V2wJVFxtSUWe9JvBiyVikh6B4boj254c/view?usp=drivesdk</t>
  </si>
  <si>
    <t>ELLY SUSILOWATI SUHARTO</t>
  </si>
  <si>
    <t>ellydiaz67.esd@gmail.com</t>
  </si>
  <si>
    <t>6568</t>
  </si>
  <si>
    <t>1PZKfmkbkqST6qX8KxZCL0GCdoytFZDi4</t>
  </si>
  <si>
    <t>https://drive.google.com/file/d/1PZKfmkbkqST6qX8KxZCL0GCdoytFZDi4/view?usp=drivesdk</t>
  </si>
  <si>
    <t>Document successfully created; Document successfully merged; PDF created; !!Error Sending Emails: Service invoked too many times for one day: email.; Run via form trigger as ecertificate75@gmail.com; Timestamp: Sep 3 2024 1:45 PM</t>
  </si>
  <si>
    <t>TIONILDA.S</t>
  </si>
  <si>
    <t>tionilda9@gmail.com</t>
  </si>
  <si>
    <t>6569</t>
  </si>
  <si>
    <t>1ra5rEMACujkyydIDf_RaU6IFp_9e2dbt</t>
  </si>
  <si>
    <t>https://drive.google.com/file/d/1ra5rEMACujkyydIDf_RaU6IFp_9e2dbt/view?usp=drivesdk</t>
  </si>
  <si>
    <t xml:space="preserve">YETIK APRILINA, S. Kep., Ners </t>
  </si>
  <si>
    <t>aprilinayetik75@gmail.com</t>
  </si>
  <si>
    <t>6570</t>
  </si>
  <si>
    <t>1VVsw_-K6K3HOO3UGCM5LFwcbwQo3rJ9F</t>
  </si>
  <si>
    <t>https://drive.google.com/file/d/1VVsw_-K6K3HOO3UGCM5LFwcbwQo3rJ9F/view?usp=drivesdk</t>
  </si>
  <si>
    <t>YUNIK CHRISTIYANINGSIH</t>
  </si>
  <si>
    <t>yunyunchristiyaningsih130514@gmail.com</t>
  </si>
  <si>
    <t>6571</t>
  </si>
  <si>
    <t>1buKnogP9pRXtmCjOpO81-trJs7lP9EdO</t>
  </si>
  <si>
    <t>https://drive.google.com/file/d/1buKnogP9pRXtmCjOpO81-trJs7lP9EdO/view?usp=drivesdk</t>
  </si>
  <si>
    <t>Document successfully created; Document successfully merged; PDF created; !!Error Sending Emails: Service invoked too many times for one day: email.; Run via form trigger as ecertificate75@gmail.com; Timestamp: Sep 3 2024 1:46 PM</t>
  </si>
  <si>
    <t xml:space="preserve">REFFI SURIANY </t>
  </si>
  <si>
    <t>reffisuriany2@gmail.com</t>
  </si>
  <si>
    <t>6572</t>
  </si>
  <si>
    <t>1Qj4oVCl1TfpBuv3Q4weUvTSBH0X-YRRj</t>
  </si>
  <si>
    <t>https://drive.google.com/file/d/1Qj4oVCl1TfpBuv3Q4weUvTSBH0X-YRRj/view?usp=drivesdk</t>
  </si>
  <si>
    <t>MUHAMMAD ARIPIN</t>
  </si>
  <si>
    <t>muhammadarifin311275@gmail.com</t>
  </si>
  <si>
    <t>6573</t>
  </si>
  <si>
    <t>1GTTTThIPy3SK4t6oLsiNhfKKcg4567qd</t>
  </si>
  <si>
    <t>https://drive.google.com/file/d/1GTTTThIPy3SK4t6oLsiNhfKKcg4567qd/view?usp=drivesdk</t>
  </si>
  <si>
    <t>ELSA SEPTIURMA SITOMPUL</t>
  </si>
  <si>
    <t>elsep03@gmail.com</t>
  </si>
  <si>
    <t>6574</t>
  </si>
  <si>
    <t>17nVA6H3wIGneY2k9BAH9XoLHPjso5H-Z</t>
  </si>
  <si>
    <t>https://drive.google.com/file/d/17nVA6H3wIGneY2k9BAH9XoLHPjso5H-Z/view?usp=drivesdk</t>
  </si>
  <si>
    <t>NORTJE MONINGKA, S.E</t>
  </si>
  <si>
    <t>nortjemoningka88@gmail.com</t>
  </si>
  <si>
    <t>6575</t>
  </si>
  <si>
    <t>1RYrNarBGLv-3ima7a6F3255Npef9Z8Wl</t>
  </si>
  <si>
    <t>https://drive.google.com/file/d/1RYrNarBGLv-3ima7a6F3255Npef9Z8Wl/view?usp=drivesdk</t>
  </si>
  <si>
    <t>Document successfully created; Document successfully merged; PDF created; !!Error Sending Emails: Service invoked too many times for one day: email.; Run via form trigger as ecertificate75@gmail.com; Timestamp: Sep 3 2024 1:47 PM</t>
  </si>
  <si>
    <t>TRI RATNO FEBRI HERAWANTO</t>
  </si>
  <si>
    <t>triratno77@gmail.com</t>
  </si>
  <si>
    <t>6576</t>
  </si>
  <si>
    <t>1aahugIkkseLMCUmVgAf-4nYHiPbq01Na</t>
  </si>
  <si>
    <t>https://drive.google.com/file/d/1aahugIkkseLMCUmVgAf-4nYHiPbq01Na/view?usp=drivesdk</t>
  </si>
  <si>
    <t>HELIK PUJO SANTOSO. S. SI</t>
  </si>
  <si>
    <t>heliksantos0@gmail.com</t>
  </si>
  <si>
    <t>6577</t>
  </si>
  <si>
    <t>1NSsOf5fsnhJB55wS7XWS8AJhVstcID_K</t>
  </si>
  <si>
    <t>https://drive.google.com/file/d/1NSsOf5fsnhJB55wS7XWS8AJhVstcID_K/view?usp=drivesdk</t>
  </si>
  <si>
    <t>ZULFANDI</t>
  </si>
  <si>
    <t>zulfandi.77.zf@gmail.com</t>
  </si>
  <si>
    <t>6578</t>
  </si>
  <si>
    <t>1QfJ6a2RC8_rTCVRqjLgUbmBE-rG1qqq_</t>
  </si>
  <si>
    <t>https://drive.google.com/file/d/1QfJ6a2RC8_rTCVRqjLgUbmBE-rG1qqq_/view?usp=drivesdk</t>
  </si>
  <si>
    <t>PRAMONO WASKITO, S.Kep.Ners</t>
  </si>
  <si>
    <t>pramonohammer@gmail.com</t>
  </si>
  <si>
    <t>6579</t>
  </si>
  <si>
    <t>1alq1SXlz83E-XMNmsrN8q3VVVlNaQaA3</t>
  </si>
  <si>
    <t>https://drive.google.com/file/d/1alq1SXlz83E-XMNmsrN8q3VVVlNaQaA3/view?usp=drivesdk</t>
  </si>
  <si>
    <t>MARLYDIANAH</t>
  </si>
  <si>
    <t>marlydiana79@gmail.com</t>
  </si>
  <si>
    <t>6580</t>
  </si>
  <si>
    <t>1_VFk8UFaQMJHym0IDm71GYqFL7IuLYlZ</t>
  </si>
  <si>
    <t>https://drive.google.com/file/d/1_VFk8UFaQMJHym0IDm71GYqFL7IuLYlZ/view?usp=drivesdk</t>
  </si>
  <si>
    <t>LILIK SUGIARTONO</t>
  </si>
  <si>
    <t>Liliksugiartono@gmail.com</t>
  </si>
  <si>
    <t>6581</t>
  </si>
  <si>
    <t>1-o-cYaimWm7CvMmEHHo4zd4Lw5jE6QUm</t>
  </si>
  <si>
    <t>https://drive.google.com/file/d/1-o-cYaimWm7CvMmEHHo4zd4Lw5jE6QUm/view?usp=drivesdk</t>
  </si>
  <si>
    <t>Document successfully created; Document successfully merged; PDF created; !!Error Sending Emails: Service invoked too many times for one day: email.; Run via form trigger as ecertificate75@gmail.com; Timestamp: Sep 3 2024 1:48 PM</t>
  </si>
  <si>
    <t>WIDI KUMORO, A.Md</t>
  </si>
  <si>
    <t>widikmr@gmail.com</t>
  </si>
  <si>
    <t>6582</t>
  </si>
  <si>
    <t>1-YRtud0jYk3raJNBKwPH7tmMKEr6Txsl</t>
  </si>
  <si>
    <t>https://drive.google.com/file/d/1-YRtud0jYk3raJNBKwPH7tmMKEr6Txsl/view?usp=drivesdk</t>
  </si>
  <si>
    <t>SUMIYATI,AMD.KEP</t>
  </si>
  <si>
    <t>sumiyatirsbl@gmail.com</t>
  </si>
  <si>
    <t>6583</t>
  </si>
  <si>
    <t>1hPd8O7oqYyM3fIuIP0HNiLas9j3NBMf4</t>
  </si>
  <si>
    <t>https://drive.google.com/file/d/1hPd8O7oqYyM3fIuIP0HNiLas9j3NBMf4/view?usp=drivesdk</t>
  </si>
  <si>
    <t>TRIMO SANTOSA</t>
  </si>
  <si>
    <t>trimosantoso861@gmail.com</t>
  </si>
  <si>
    <t>6584</t>
  </si>
  <si>
    <t>1mNJ9bU--9nQvPgjVwiVfqyUb_-naajGW</t>
  </si>
  <si>
    <t>https://drive.google.com/file/d/1mNJ9bU--9nQvPgjVwiVfqyUb_-naajGW/view?usp=drivesdk</t>
  </si>
  <si>
    <t>TRI JAYANTI</t>
  </si>
  <si>
    <t>trijayanti399@gmail.com</t>
  </si>
  <si>
    <t>6585</t>
  </si>
  <si>
    <t>1xjxsQYzUagA3lAcHj77gy9AWZ8Y2MPAS</t>
  </si>
  <si>
    <t>https://drive.google.com/file/d/1xjxsQYzUagA3lAcHj77gy9AWZ8Y2MPAS/view?usp=drivesdk</t>
  </si>
  <si>
    <t>Document successfully created; Document successfully merged; PDF created; !!Error Sending Emails: Service invoked too many times for one day: email.; Run via form trigger as ecertificate75@gmail.com; Timestamp: Sep 3 2024 1:49 PM</t>
  </si>
  <si>
    <t xml:space="preserve">ANDIS TRIYANTO </t>
  </si>
  <si>
    <t>andispkl1982@gmail.com</t>
  </si>
  <si>
    <t>6586</t>
  </si>
  <si>
    <t>1gZpA4pxbtHHE73HY-sjU4JsyjwtGqdD_</t>
  </si>
  <si>
    <t>https://drive.google.com/file/d/1gZpA4pxbtHHE73HY-sjU4JsyjwtGqdD_/view?usp=drivesdk</t>
  </si>
  <si>
    <t>SRI PARTI NURHAYATI, AMD. KEB.</t>
  </si>
  <si>
    <t>sripartinurhayati@gmail.com</t>
  </si>
  <si>
    <t>6587</t>
  </si>
  <si>
    <t>19yuwwJ9MOPBLgwTT9IYssB1yaOntO7iD</t>
  </si>
  <si>
    <t>https://drive.google.com/file/d/19yuwwJ9MOPBLgwTT9IYssB1yaOntO7iD/view?usp=drivesdk</t>
  </si>
  <si>
    <t>ASIYAH</t>
  </si>
  <si>
    <t>aisyahsikeu@gmail.com</t>
  </si>
  <si>
    <t>6588</t>
  </si>
  <si>
    <t>1GsTdt2Gz8yd1ce8VaqaxVvUYrMg05fFW</t>
  </si>
  <si>
    <t>https://drive.google.com/file/d/1GsTdt2Gz8yd1ce8VaqaxVvUYrMg05fFW/view?usp=drivesdk</t>
  </si>
  <si>
    <t>NOERDIN HARAHAP, AM.D</t>
  </si>
  <si>
    <t>noerdinharahap76@gmail.com</t>
  </si>
  <si>
    <t>6589</t>
  </si>
  <si>
    <t>1xya0v_0HSNLvv4zK2lEPHi_zL1PG7S5f</t>
  </si>
  <si>
    <t>https://drive.google.com/file/d/1xya0v_0HSNLvv4zK2lEPHi_zL1PG7S5f/view?usp=drivesdk</t>
  </si>
  <si>
    <t>Document successfully created; Document successfully merged; PDF created; !!Error Sending Emails: Service invoked too many times for one day: email.; Run via form trigger as ecertificate75@gmail.com; Timestamp: Sep 3 2024 1:50 PM</t>
  </si>
  <si>
    <t>FATIN ESTRIKA EKA PUTRI, A.Md. Farm</t>
  </si>
  <si>
    <t>fatinputri1998@gmail.com</t>
  </si>
  <si>
    <t>6590</t>
  </si>
  <si>
    <t>1ov_e1-7vGF-Dw8XqDv8S8XlJmVRJX3Fa</t>
  </si>
  <si>
    <t>https://drive.google.com/file/d/1ov_e1-7vGF-Dw8XqDv8S8XlJmVRJX3Fa/view?usp=drivesdk</t>
  </si>
  <si>
    <t>Document successfully created; Document successfully merged; PDF created; !!Error Sending Emails: Service invoked too many times for one day: email.; Run via form trigger as ecertificate75@gmail.com; Timestamp: Sep 3 2024 6:23 PM</t>
  </si>
  <si>
    <t xml:space="preserve">PUJI RAHAYU </t>
  </si>
  <si>
    <t>puji50435@gmail.com</t>
  </si>
  <si>
    <t>6591</t>
  </si>
  <si>
    <t>1g6fu9QLJnW5xr11wqIIy475Mx5MfNjxU</t>
  </si>
  <si>
    <t>https://drive.google.com/file/d/1g6fu9QLJnW5xr11wqIIy475Mx5MfNjxU/view?usp=drivesdk</t>
  </si>
  <si>
    <t>SITI ROKHMAH</t>
  </si>
  <si>
    <t>rokhma094@gmail.com</t>
  </si>
  <si>
    <t>6592</t>
  </si>
  <si>
    <t>1LpDqE_OT7Wn9RVYUSvZHZyV4kJh7tqJh</t>
  </si>
  <si>
    <t>https://drive.google.com/file/d/1LpDqE_OT7Wn9RVYUSvZHZyV4kJh7tqJh/view?usp=drivesdk</t>
  </si>
  <si>
    <t>ADE FIAN GALIH IMANDANI, A.Md.</t>
  </si>
  <si>
    <t>adefian8@gmail.com</t>
  </si>
  <si>
    <t>6593</t>
  </si>
  <si>
    <t>1F_r1B_rffrtaVnv74v-9VGkl96Fe8loz</t>
  </si>
  <si>
    <t>https://drive.google.com/file/d/1F_r1B_rffrtaVnv74v-9VGkl96Fe8loz/view?usp=drivesdk</t>
  </si>
  <si>
    <t xml:space="preserve">LANGGENG TRI ASMORO </t>
  </si>
  <si>
    <t>lovelyalmira@gmail.com</t>
  </si>
  <si>
    <t>6594</t>
  </si>
  <si>
    <t>1Q3SnphIdv7F0pXvy9t4muAU3aCbxiJUJ</t>
  </si>
  <si>
    <t>https://drive.google.com/file/d/1Q3SnphIdv7F0pXvy9t4muAU3aCbxiJUJ/view?usp=drivesdk</t>
  </si>
  <si>
    <t>Document successfully created; Document successfully merged; PDF created; !!Error Sending Emails: Service invoked too many times for one day: email.; Run via form trigger as ecertificate75@gmail.com; Timestamp: Sep 3 2024 6:24 PM</t>
  </si>
  <si>
    <t>DESTA MISDALIFA</t>
  </si>
  <si>
    <t>etha.ejot@gmail.com</t>
  </si>
  <si>
    <t>6595</t>
  </si>
  <si>
    <t>1-RHn_opfVvsNLOTmEiEy4ATTupSk0gYF</t>
  </si>
  <si>
    <t>https://drive.google.com/file/d/1-RHn_opfVvsNLOTmEiEy4ATTupSk0gYF/view?usp=drivesdk</t>
  </si>
  <si>
    <t xml:space="preserve">TRIWIL OCTAVIANUS PANJAITAN, SKM., MKM. </t>
  </si>
  <si>
    <t>octavianus.triwil@gmail.com</t>
  </si>
  <si>
    <t>6596</t>
  </si>
  <si>
    <t>1cHNWQo4sBEJUim3jBwDO9gA3brZQ0Wzs</t>
  </si>
  <si>
    <t>https://drive.google.com/file/d/1cHNWQo4sBEJUim3jBwDO9gA3brZQ0Wzs/view?usp=drivesdk</t>
  </si>
  <si>
    <t>LASMAWATI SIMARMATA,S.KEP</t>
  </si>
  <si>
    <t>lasmawatisimarmata111@gmail.com</t>
  </si>
  <si>
    <t>6597</t>
  </si>
  <si>
    <t>1QXZJPKe_tn_t8CfSh-nrc2jrHo0Uqfsd</t>
  </si>
  <si>
    <t>https://drive.google.com/file/d/1QXZJPKe_tn_t8CfSh-nrc2jrHo0Uqfsd/view?usp=drivesdk</t>
  </si>
  <si>
    <t>RUSLI LUMBANSIANTAR</t>
  </si>
  <si>
    <t>dikamzah@gmail.com</t>
  </si>
  <si>
    <t>6598</t>
  </si>
  <si>
    <t>1JK-vd9G69Wq5BscEx8e-HjxxLG7Z7TtC</t>
  </si>
  <si>
    <t>https://drive.google.com/file/d/1JK-vd9G69Wq5BscEx8e-HjxxLG7Z7TtC/view?usp=drivesdk</t>
  </si>
  <si>
    <t>NUR HIDAYAH, AMG</t>
  </si>
  <si>
    <t>bunurhidayati342@gmail.com</t>
  </si>
  <si>
    <t>6599</t>
  </si>
  <si>
    <t>1qMe5gvgc5kFD44q3tD__P0d8wv6SH-lX</t>
  </si>
  <si>
    <t>https://drive.google.com/file/d/1qMe5gvgc5kFD44q3tD__P0d8wv6SH-lX/view?usp=drivesdk</t>
  </si>
  <si>
    <t>Document successfully created; Document successfully merged; PDF created; !!Error Sending Emails: Service invoked too many times for one day: email.; Run via form trigger as ecertificate75@gmail.com; Timestamp: Sep 3 2024 6:25 PM</t>
  </si>
  <si>
    <t>ERAWATI</t>
  </si>
  <si>
    <t>eraawatii03@gmail.com</t>
  </si>
  <si>
    <t>6600</t>
  </si>
  <si>
    <t>1hzQcC4nGrV3Uv3Y6qAW6I-LNRAPN-swc</t>
  </si>
  <si>
    <t>https://drive.google.com/file/d/1hzQcC4nGrV3Uv3Y6qAW6I-LNRAPN-swc/view?usp=drivesdk</t>
  </si>
  <si>
    <t>sunaryobjn67@gmail.com</t>
  </si>
  <si>
    <t>6601</t>
  </si>
  <si>
    <t>1BsG7W_fIj6FfsJWka0Dv4PlOxHqx8BJY</t>
  </si>
  <si>
    <t>https://drive.google.com/file/d/1BsG7W_fIj6FfsJWka0Dv4PlOxHqx8BJY/view?usp=drivesdk</t>
  </si>
  <si>
    <t>TRI RATNANINGSIH</t>
  </si>
  <si>
    <t>ratna3633@gmail.com</t>
  </si>
  <si>
    <t>6602</t>
  </si>
  <si>
    <t>1vgiIsM0Wb83lO-qs0iENX_Fet5DKkj1R</t>
  </si>
  <si>
    <t>https://drive.google.com/file/d/1vgiIsM0Wb83lO-qs0iENX_Fet5DKkj1R/view?usp=drivesdk</t>
  </si>
  <si>
    <t>sutiknosutikno674@gmail.com</t>
  </si>
  <si>
    <t>6603</t>
  </si>
  <si>
    <t>1d75muSkNAOkZ_aH3-VrTMefIW382uvFz</t>
  </si>
  <si>
    <t>https://drive.google.com/file/d/1d75muSkNAOkZ_aH3-VrTMefIW382uvFz/view?usp=drivesdk</t>
  </si>
  <si>
    <t>ARI BUDI HARTO</t>
  </si>
  <si>
    <t>reearto@gmail.com</t>
  </si>
  <si>
    <t>6604</t>
  </si>
  <si>
    <t>1at-UTfTPahk09_9Ysag4GeDIgLFpxaHg</t>
  </si>
  <si>
    <t>https://drive.google.com/file/d/1at-UTfTPahk09_9Ysag4GeDIgLFpxaHg/view?usp=drivesdk</t>
  </si>
  <si>
    <t>INDAH ROITO MANURUNG, S.Tr. Kes</t>
  </si>
  <si>
    <t>indahmanurung08@gmail.com</t>
  </si>
  <si>
    <t>6605</t>
  </si>
  <si>
    <t>1VHoMM_ogfs8e82mEoymeITtxMoSrjEML</t>
  </si>
  <si>
    <t>https://drive.google.com/file/d/1VHoMM_ogfs8e82mEoymeITtxMoSrjEML/view?usp=drivesdk</t>
  </si>
  <si>
    <t>Document successfully created; Document successfully merged; PDF created; !!Error Sending Emails: Service invoked too many times for one day: email.; Run via form trigger as ecertificate75@gmail.com; Timestamp: Sep 3 2024 6:26 PM</t>
  </si>
  <si>
    <t>PARYANA. SE</t>
  </si>
  <si>
    <t>paryana.se@gmail.com</t>
  </si>
  <si>
    <t>6606</t>
  </si>
  <si>
    <t>10XUGYiPOGaLTluoiGL2kAwsnSX6pU2bm</t>
  </si>
  <si>
    <t>https://drive.google.com/file/d/10XUGYiPOGaLTluoiGL2kAwsnSX6pU2bm/view?usp=drivesdk</t>
  </si>
  <si>
    <t xml:space="preserve">HADIDJAH </t>
  </si>
  <si>
    <t>hadidjahhasa@gmail.com</t>
  </si>
  <si>
    <t>6607</t>
  </si>
  <si>
    <t>1NbIXLFnjG9plFI1jvduzH5aORVlhR2Zj</t>
  </si>
  <si>
    <t>https://drive.google.com/file/d/1NbIXLFnjG9plFI1jvduzH5aORVlhR2Zj/view?usp=drivesdk</t>
  </si>
  <si>
    <t>PUTU DEWIK MURDIATHI, A.MD.KEB</t>
  </si>
  <si>
    <t>putudewikmurdiathi@gmail.com</t>
  </si>
  <si>
    <t>6608</t>
  </si>
  <si>
    <t>1aY-6u2yAeubpfR_fq58989-btV7GcZry</t>
  </si>
  <si>
    <t>https://drive.google.com/file/d/1aY-6u2yAeubpfR_fq58989-btV7GcZry/view?usp=drivesdk</t>
  </si>
  <si>
    <t xml:space="preserve">AKHMAD KHARIRI </t>
  </si>
  <si>
    <t>kkariri686@gmail.com</t>
  </si>
  <si>
    <t>6609</t>
  </si>
  <si>
    <t>1RtR5fRuH2aoBPcilqh3FLPnlCOaJYCC0</t>
  </si>
  <si>
    <t>https://drive.google.com/file/d/1RtR5fRuH2aoBPcilqh3FLPnlCOaJYCC0/view?usp=drivesdk</t>
  </si>
  <si>
    <t>ERNA ANDRIANI</t>
  </si>
  <si>
    <t>ernaandri@gmail.com</t>
  </si>
  <si>
    <t>6610</t>
  </si>
  <si>
    <t>16L-43-tKIoPwF5FgF7j8rajEaR8AMEUe</t>
  </si>
  <si>
    <t>https://drive.google.com/file/d/16L-43-tKIoPwF5FgF7j8rajEaR8AMEUe/view?usp=drivesdk</t>
  </si>
  <si>
    <t>Document successfully created; Document successfully merged; PDF created; !!Error Sending Emails: Service invoked too many times for one day: email.; Manually run by ecertificate75@gmail.com; Timestamp: Sep 3 2024 5:33 AM</t>
  </si>
  <si>
    <t>Ns. NI KADEK AYU ITA ASMARIANI, S.Kep</t>
  </si>
  <si>
    <t>itaasmariani@gmail.com</t>
  </si>
  <si>
    <t>6611</t>
  </si>
  <si>
    <t>1-PhkSKp9m_rdh3XU494rHRa1gehzc8Fh</t>
  </si>
  <si>
    <t>https://drive.google.com/file/d/1-PhkSKp9m_rdh3XU494rHRa1gehzc8Fh/view?usp=drivesdk</t>
  </si>
  <si>
    <t>subbagdiaperssumsel@gmail.com</t>
  </si>
  <si>
    <t>6612</t>
  </si>
  <si>
    <t>1V1eool5fcGpfwDXpTrJuhZolG_H2XCi2</t>
  </si>
  <si>
    <t>https://drive.google.com/file/d/1V1eool5fcGpfwDXpTrJuhZolG_H2XCi2/view?usp=drivesdk</t>
  </si>
  <si>
    <t>IKA NIDA LIANA</t>
  </si>
  <si>
    <t>ikanidialiana@gmail.com</t>
  </si>
  <si>
    <t>6613</t>
  </si>
  <si>
    <t>1jfHOg463_pBp8B3FYRWGf2m_S7xI0FsR</t>
  </si>
  <si>
    <t>https://drive.google.com/file/d/1jfHOg463_pBp8B3FYRWGf2m_S7xI0FsR/view?usp=drivesdk</t>
  </si>
  <si>
    <t>RATONO</t>
  </si>
  <si>
    <t>ratono1501@gmail.com</t>
  </si>
  <si>
    <t>6614</t>
  </si>
  <si>
    <t>19rySIVXMTEcwFAyWwnSsbzeWAa-xLRSA</t>
  </si>
  <si>
    <t>https://drive.google.com/file/d/19rySIVXMTEcwFAyWwnSsbzeWAa-xLRSA/view?usp=drivesdk</t>
  </si>
  <si>
    <t>Document successfully created; Document successfully merged; PDF created; !!Error Sending Emails: Service invoked too many times for one day: email.; Manually run by ecertificate75@gmail.com; Timestamp: Sep 3 2024 5:34 AM</t>
  </si>
  <si>
    <t>ERYAN PRAMONO</t>
  </si>
  <si>
    <t>eryan.pramono@gmail.com</t>
  </si>
  <si>
    <t>6615</t>
  </si>
  <si>
    <t>1oqBOHZYYUVXhsbHkqG5kXGVRvfYJ661i</t>
  </si>
  <si>
    <t>https://drive.google.com/file/d/1oqBOHZYYUVXhsbHkqG5kXGVRvfYJ661i/view?usp=drivesdk</t>
  </si>
  <si>
    <t>IMAN SUJARWO</t>
  </si>
  <si>
    <t>imansujarwo52@gmail.com</t>
  </si>
  <si>
    <t>6616</t>
  </si>
  <si>
    <t>1qpzZ4JtUEknTo2cQpLZj4EPE9JOTEEfj</t>
  </si>
  <si>
    <t>https://drive.google.com/file/d/1qpzZ4JtUEknTo2cQpLZj4EPE9JOTEEfj/view?usp=drivesdk</t>
  </si>
  <si>
    <t>ETTY WACHYUNI, S.E.</t>
  </si>
  <si>
    <t>ettywachyuni24@gmail.com</t>
  </si>
  <si>
    <t>6617</t>
  </si>
  <si>
    <t>1LGKc0-jopG54aT3-XN92iEPSaVmP6C0c</t>
  </si>
  <si>
    <t>https://drive.google.com/file/d/1LGKc0-jopG54aT3-XN92iEPSaVmP6C0c/view?usp=drivesdk</t>
  </si>
  <si>
    <t xml:space="preserve">SUTRISNO </t>
  </si>
  <si>
    <t>trisninonino@gmail.com</t>
  </si>
  <si>
    <t>6618</t>
  </si>
  <si>
    <t>1En66rPp35h2En-AxWHFYtsstFkdoBPgX</t>
  </si>
  <si>
    <t>https://drive.google.com/file/d/1En66rPp35h2En-AxWHFYtsstFkdoBPgX/view?usp=drivesdk</t>
  </si>
  <si>
    <t>MAMAN SOEMANTRI</t>
  </si>
  <si>
    <t>missionpasaribu6@gmail.com</t>
  </si>
  <si>
    <t>6619</t>
  </si>
  <si>
    <t>1Azxe2uyaZVP3pTBBkmo-qhZde9Mjgsz-</t>
  </si>
  <si>
    <t>https://drive.google.com/file/d/1Azxe2uyaZVP3pTBBkmo-qhZde9Mjgsz-/view?usp=drivesdk</t>
  </si>
  <si>
    <t>Document successfully created; Document successfully merged; PDF created; !!Error Sending Emails: Service invoked too many times for one day: email.; Manually run by ecertificate75@gmail.com; Timestamp: Sep 3 2024 5:35 AM</t>
  </si>
  <si>
    <t>ALEX MATULATUWA,S.SOS</t>
  </si>
  <si>
    <t>bidtikpoldamaluku@gmail.com</t>
  </si>
  <si>
    <t>6620</t>
  </si>
  <si>
    <t>1GPvOUbV2Ga4fNTej8l9QfPafS_wrhrL_</t>
  </si>
  <si>
    <t>https://drive.google.com/file/d/1GPvOUbV2Ga4fNTej8l9QfPafS_wrhrL_/view?usp=drivesdk</t>
  </si>
  <si>
    <t>IRMA AFRI YANI, S.E.</t>
  </si>
  <si>
    <t>irmaafrisus@gmail.com</t>
  </si>
  <si>
    <t>6621</t>
  </si>
  <si>
    <t>1HiqndNqxoCpLilnzJPmQu1BzJrCWIkdl</t>
  </si>
  <si>
    <t>https://drive.google.com/file/d/1HiqndNqxoCpLilnzJPmQu1BzJrCWIkdl/view?usp=drivesdk</t>
  </si>
  <si>
    <t>NULIANA, A.MD.</t>
  </si>
  <si>
    <t>nulianarafa@gmail.com</t>
  </si>
  <si>
    <t>6622</t>
  </si>
  <si>
    <t>14X4t8rfL9Z3c8kHxJwRIGu9qzVL4r8e5</t>
  </si>
  <si>
    <t>https://drive.google.com/file/d/14X4t8rfL9Z3c8kHxJwRIGu9qzVL4r8e5/view?usp=drivesdk</t>
  </si>
  <si>
    <t>RENTY FEBRIANTY NURMALA,SKOM</t>
  </si>
  <si>
    <t>renty.ei@gmail.com</t>
  </si>
  <si>
    <t>6623</t>
  </si>
  <si>
    <t>1UrxE5GF6IrlPtW4INDFahnVw3ic97QJH</t>
  </si>
  <si>
    <t>https://drive.google.com/file/d/1UrxE5GF6IrlPtW4INDFahnVw3ic97QJH/view?usp=drivesdk</t>
  </si>
  <si>
    <t>ERWIN SYAHRIZAL</t>
  </si>
  <si>
    <t>erwinsyahrizal304073@mail.com</t>
  </si>
  <si>
    <t>6624</t>
  </si>
  <si>
    <t>1C9Ar9lCnrn8S5HSniN8A6WKDIL6vTnfr</t>
  </si>
  <si>
    <t>https://drive.google.com/file/d/1C9Ar9lCnrn8S5HSniN8A6WKDIL6vTnfr/view?usp=drivesdk</t>
  </si>
  <si>
    <t>Document successfully created; Document successfully merged; PDF created; !!Error Sending Emails: Service invoked too many times for one day: email.; Manually run by ecertificate75@gmail.com; Timestamp: Sep 3 2024 5:36 AM</t>
  </si>
  <si>
    <t>srihandayani.ani14@gmail.com</t>
  </si>
  <si>
    <t>6625</t>
  </si>
  <si>
    <t>1tgLR1RbzBxllyUsWHj07ZgRGchOhiO4a</t>
  </si>
  <si>
    <t>https://drive.google.com/file/d/1tgLR1RbzBxllyUsWHj07ZgRGchOhiO4a/view?usp=drivesdk</t>
  </si>
  <si>
    <t>SUMIATI KUSMIRAN, S.H. M.H.</t>
  </si>
  <si>
    <t>sumiatikusmiran@gmail.com</t>
  </si>
  <si>
    <t>6626</t>
  </si>
  <si>
    <t>1q45-glOF0c9-oy8O1vXY4HVq0lzLNDfQ</t>
  </si>
  <si>
    <t>https://drive.google.com/file/d/1q45-glOF0c9-oy8O1vXY4HVq0lzLNDfQ/view?usp=drivesdk</t>
  </si>
  <si>
    <t>RUKIANI MARPAUNG</t>
  </si>
  <si>
    <t>rukianimarpaung@gmail.com</t>
  </si>
  <si>
    <t>6627</t>
  </si>
  <si>
    <t>1cHrm0bvTS_rjwbanP8ryKVRxWzvdNIMx</t>
  </si>
  <si>
    <t>https://drive.google.com/file/d/1cHrm0bvTS_rjwbanP8ryKVRxWzvdNIMx/view?usp=drivesdk</t>
  </si>
  <si>
    <t>SURAHMAYATY S.KEP</t>
  </si>
  <si>
    <t>surahmaya1809@gmail.com</t>
  </si>
  <si>
    <t>6628</t>
  </si>
  <si>
    <t>1Gak2n8kqZh5h45kn_6Ja6q47QluG-VJJ</t>
  </si>
  <si>
    <t>https://drive.google.com/file/d/1Gak2n8kqZh5h45kn_6Ja6q47QluG-VJJ/view?usp=drivesdk</t>
  </si>
  <si>
    <t>NUR ALAM, S.KEP, NS</t>
  </si>
  <si>
    <t>nuralamsujarwo01082007@gmail.com</t>
  </si>
  <si>
    <t>6629</t>
  </si>
  <si>
    <t>1TMIpUitQznNGf-K9NVsd8frnd2lslAhS</t>
  </si>
  <si>
    <t>https://drive.google.com/file/d/1TMIpUitQznNGf-K9NVsd8frnd2lslAhS/view?usp=drivesdk</t>
  </si>
  <si>
    <t>Document successfully created; Document successfully merged; PDF created; !!Error Sending Emails: Service invoked too many times for one day: email.; Manually run by ecertificate75@gmail.com; Timestamp: Sep 3 2024 5:37 AM</t>
  </si>
  <si>
    <t>POPI SOFIAWATI</t>
  </si>
  <si>
    <t>popisofiawati09@gmail.com</t>
  </si>
  <si>
    <t>6630</t>
  </si>
  <si>
    <t>16XC66w1g9TfOFktR8kDUbVDtW7KfCxzO</t>
  </si>
  <si>
    <t>https://drive.google.com/file/d/16XC66w1g9TfOFktR8kDUbVDtW7KfCxzO/view?usp=drivesdk</t>
  </si>
  <si>
    <t>ERNA NATALIA, S.E.</t>
  </si>
  <si>
    <t>ernanatalia18@gmail.com</t>
  </si>
  <si>
    <t>6631</t>
  </si>
  <si>
    <t>10azCXVa7Z9NjfcWiB0yFXROHU3Qx5f-x</t>
  </si>
  <si>
    <t>https://drive.google.com/file/d/10azCXVa7Z9NjfcWiB0yFXROHU3Qx5f-x/view?usp=drivesdk</t>
  </si>
  <si>
    <t>SULASTRI, S.E.</t>
  </si>
  <si>
    <t>lastrisayang80@gmail.com</t>
  </si>
  <si>
    <t>6632</t>
  </si>
  <si>
    <t>1F2gR84_1__NdE4BUYiIzaFeg441JLUXz</t>
  </si>
  <si>
    <t>https://drive.google.com/file/d/1F2gR84_1__NdE4BUYiIzaFeg441JLUXz/view?usp=drivesdk</t>
  </si>
  <si>
    <t>ARI ASHARI</t>
  </si>
  <si>
    <t>ariasharibkl80@gmail.com</t>
  </si>
  <si>
    <t>6633</t>
  </si>
  <si>
    <t>1fURFN_vFteYegLJCFD-iVtbQlf0_APQZ</t>
  </si>
  <si>
    <t>https://drive.google.com/file/d/1fURFN_vFteYegLJCFD-iVtbQlf0_APQZ/view?usp=drivesdk</t>
  </si>
  <si>
    <t>R A NURQURAISINFRI</t>
  </si>
  <si>
    <t>quraisinfri@gmail.com</t>
  </si>
  <si>
    <t>6634</t>
  </si>
  <si>
    <t>1Y_bz4cvznj7fvqAFMSceobMLD3ZqLNzF</t>
  </si>
  <si>
    <t>https://drive.google.com/file/d/1Y_bz4cvznj7fvqAFMSceobMLD3ZqLNzF/view?usp=drivesdk</t>
  </si>
  <si>
    <t>Document successfully created; Document successfully merged; PDF created; !!Error Sending Emails: Service invoked too many times for one day: email.; Manually run by ecertificate75@gmail.com; Timestamp: Sep 3 2024 5:38 AM</t>
  </si>
  <si>
    <t>WORO SASMITANINGTYAS</t>
  </si>
  <si>
    <t>worosasmitaningtyas@gmail.com</t>
  </si>
  <si>
    <t>6635</t>
  </si>
  <si>
    <t>1JdgOHa6rWr4vT5Goa-uD2E6Oz0-A23Mu</t>
  </si>
  <si>
    <t>https://drive.google.com/file/d/1JdgOHa6rWr4vT5Goa-uD2E6Oz0-A23Mu/view?usp=drivesdk</t>
  </si>
  <si>
    <t>TEGUH NUGROHO</t>
  </si>
  <si>
    <t>teguhnugrohoyanma@gmail.com</t>
  </si>
  <si>
    <t>6636</t>
  </si>
  <si>
    <t>1FDbSQi7rMqgh53xL2GzDE6CTWxBxzYVm</t>
  </si>
  <si>
    <t>https://drive.google.com/file/d/1FDbSQi7rMqgh53xL2GzDE6CTWxBxzYVm/view?usp=drivesdk</t>
  </si>
  <si>
    <t>SADIKUN DJAYA PURNO</t>
  </si>
  <si>
    <t>sadikundjayapurna@gmail.com</t>
  </si>
  <si>
    <t>6637</t>
  </si>
  <si>
    <t>1BJKD3oeqRUvUkrYkg6QfzLtduOAiW0kI</t>
  </si>
  <si>
    <t>https://drive.google.com/file/d/1BJKD3oeqRUvUkrYkg6QfzLtduOAiW0kI/view?usp=drivesdk</t>
  </si>
  <si>
    <t>Document successfully created; Document successfully merged; PDF created; !!Error Sending Emails: Service invoked too many times for one day: email.; Manually run by ecertificate75@gmail.com; Timestamp: Sep 4 2024 12:21 AM</t>
  </si>
  <si>
    <t xml:space="preserve">DIAH RAHAYU UTAMI </t>
  </si>
  <si>
    <t>NEESHA.DYD@GMAIL.COM</t>
  </si>
  <si>
    <t>6638</t>
  </si>
  <si>
    <t>12UfCkUXG_BPmWv5W1TXSeoDjMw02WUwV</t>
  </si>
  <si>
    <t>https://drive.google.com/file/d/12UfCkUXG_BPmWv5W1TXSeoDjMw02WUwV/view?usp=drivesdk</t>
  </si>
  <si>
    <t>NURASIYAH</t>
  </si>
  <si>
    <t>nurasiyahmukri@gmail.com</t>
  </si>
  <si>
    <t>6639</t>
  </si>
  <si>
    <t>1tFNziUXsE0eo52LTFXAxekzlBiPYs4Sy</t>
  </si>
  <si>
    <t>https://drive.google.com/file/d/1tFNziUXsE0eo52LTFXAxekzlBiPYs4Sy/view?usp=drivesdk</t>
  </si>
  <si>
    <t>JASTUTI NINGSIH</t>
  </si>
  <si>
    <t>jastuti.ningsih@gmail.com</t>
  </si>
  <si>
    <t>6640</t>
  </si>
  <si>
    <t>1YeC2iFnN9edjVyJqORDeUCroy9NtLWVZ</t>
  </si>
  <si>
    <t>https://drive.google.com/file/d/1YeC2iFnN9edjVyJqORDeUCroy9NtLWVZ/view?usp=drivesdk</t>
  </si>
  <si>
    <t>RAHAYU FITRIASIH</t>
  </si>
  <si>
    <t>rahayu.fitriasih@gmail.com</t>
  </si>
  <si>
    <t>6641</t>
  </si>
  <si>
    <t>1qJtbmNFAqnGBPu7Rr4NNbEHzkVD6Hc6n</t>
  </si>
  <si>
    <t>https://drive.google.com/file/d/1qJtbmNFAqnGBPu7Rr4NNbEHzkVD6Hc6n/view?usp=drivesdk</t>
  </si>
  <si>
    <t>Document successfully created; Document successfully merged; PDF created; !!Error Sending Emails: Service invoked too many times for one day: email.; Manually run by ecertificate75@gmail.com; Timestamp: Sep 4 2024 12:22 AM</t>
  </si>
  <si>
    <t>Putri Elyzabeth Matondang</t>
  </si>
  <si>
    <t>putrielyzabeth7@gmail.com</t>
  </si>
  <si>
    <t>6642</t>
  </si>
  <si>
    <t>1HgOLeav0OakyTKqCdUW35pdJIOQ95kw4</t>
  </si>
  <si>
    <t>https://drive.google.com/file/d/1HgOLeav0OakyTKqCdUW35pdJIOQ95kw4/view?usp=drivesdk</t>
  </si>
  <si>
    <t xml:space="preserve">EMI YUNIATI </t>
  </si>
  <si>
    <t>3miyuniati67@gmail.com</t>
  </si>
  <si>
    <t>6643</t>
  </si>
  <si>
    <t>1SM-he2Z7JBV4RBthd3BT_nk0-95e5oRb</t>
  </si>
  <si>
    <t>https://drive.google.com/file/d/1SM-he2Z7JBV4RBthd3BT_nk0-95e5oRb/view?usp=drivesdk</t>
  </si>
  <si>
    <t>ERNAWATI NAPITUPULU.A.Md.</t>
  </si>
  <si>
    <t>rajangayaktarigan13@gmail.com</t>
  </si>
  <si>
    <t>6644</t>
  </si>
  <si>
    <t>1mtqjTErMqThT9QU1cidmnGZkLF-cuC-_</t>
  </si>
  <si>
    <t>https://drive.google.com/file/d/1mtqjTErMqThT9QU1cidmnGZkLF-cuC-_/view?usp=drivesdk</t>
  </si>
  <si>
    <t>DARWIN, S.M.</t>
  </si>
  <si>
    <t>darwins868@gmail.com</t>
  </si>
  <si>
    <t>6645</t>
  </si>
  <si>
    <t>1wwfhAXWnT2yTS3FtcsQO8S7d9U_xAqji</t>
  </si>
  <si>
    <t>https://drive.google.com/file/d/1wwfhAXWnT2yTS3FtcsQO8S7d9U_xAqji/view?usp=drivesdk</t>
  </si>
  <si>
    <t>FERA DWI AGUSTINA</t>
  </si>
  <si>
    <t>feradwiagustina80@gmail.com</t>
  </si>
  <si>
    <t>6646</t>
  </si>
  <si>
    <t>11zF6PvBBYym9aRLyaRpPgH1uGnBzpsDD</t>
  </si>
  <si>
    <t>https://drive.google.com/file/d/11zF6PvBBYym9aRLyaRpPgH1uGnBzpsDD/view?usp=drivesdk</t>
  </si>
  <si>
    <t>Document successfully created; Document successfully merged; PDF created; !!Error Sending Emails: Service invoked too many times for one day: email.; Manually run by ecertificate75@gmail.com; Timestamp: Sep 4 2024 12:23 AM</t>
  </si>
  <si>
    <t>NETI SALAWATI S.M</t>
  </si>
  <si>
    <t>netisalawati.mail@gmail.com</t>
  </si>
  <si>
    <t>6647</t>
  </si>
  <si>
    <t>1SgxIyUzN0-sp4OqrZzHrNCZK_OloXoCf</t>
  </si>
  <si>
    <t>https://drive.google.com/file/d/1SgxIyUzN0-sp4OqrZzHrNCZK_OloXoCf/view?usp=drivesdk</t>
  </si>
  <si>
    <t>rinar9260@gmail.com</t>
  </si>
  <si>
    <t>6648</t>
  </si>
  <si>
    <t>1yBFbw3m1l8kYjXOtnnLSpoTMLz7gXfjs</t>
  </si>
  <si>
    <t>https://drive.google.com/file/d/1yBFbw3m1l8kYjXOtnnLSpoTMLz7gXfjs/view?usp=drivesdk</t>
  </si>
  <si>
    <t>ANDI ARTO, S.S.</t>
  </si>
  <si>
    <t>andi.randu.gapit@gmail.com</t>
  </si>
  <si>
    <t>6649</t>
  </si>
  <si>
    <t>12TftOjhTBMStFqhwj3ylVDAiBqb2drPU</t>
  </si>
  <si>
    <t>https://drive.google.com/file/d/12TftOjhTBMStFqhwj3ylVDAiBqb2drPU/view?usp=drivesdk</t>
  </si>
  <si>
    <t>INET ELIA, SE.</t>
  </si>
  <si>
    <t>inshumairoh81@gmail.com</t>
  </si>
  <si>
    <t>6650</t>
  </si>
  <si>
    <t>1S92XUnncXIXiikEX-CcnCvpufh_6WZf3</t>
  </si>
  <si>
    <t>https://drive.google.com/file/d/1S92XUnncXIXiikEX-CcnCvpufh_6WZf3/view?usp=drivesdk</t>
  </si>
  <si>
    <t>MUSYRIFAH</t>
  </si>
  <si>
    <t>Musyrifah69@yahoo.com</t>
  </si>
  <si>
    <t>6651</t>
  </si>
  <si>
    <t>1IvC0A3N86ADXiV0LT8rMFDCc8U5RIz9b</t>
  </si>
  <si>
    <t>https://drive.google.com/file/d/1IvC0A3N86ADXiV0LT8rMFDCc8U5RIz9b/view?usp=drivesdk</t>
  </si>
  <si>
    <t>Document successfully created; Document successfully merged; PDF created; !!Error Sending Emails: Service invoked too many times for one day: email.; Manually run by ecertificate75@gmail.com; Timestamp: Sep 4 2024 12:24 AM</t>
  </si>
  <si>
    <t>LA ODE DARMIN, S.E</t>
  </si>
  <si>
    <t>laodedarmin9999@gmail.com</t>
  </si>
  <si>
    <t>6652</t>
  </si>
  <si>
    <t>1LjOqwYaz5bOPu-_g48KgMaZeJGwCAUkM</t>
  </si>
  <si>
    <t>https://drive.google.com/file/d/1LjOqwYaz5bOPu-_g48KgMaZeJGwCAUkM/view?usp=drivesdk</t>
  </si>
  <si>
    <t>IKA RETNANING HASTUTI</t>
  </si>
  <si>
    <t>ikaretnaning37774@gmail.com</t>
  </si>
  <si>
    <t>6653</t>
  </si>
  <si>
    <t>1JnV-V165WPKZUq7C-rvviIsU9qWQk-KP</t>
  </si>
  <si>
    <t>https://drive.google.com/file/d/1JnV-V165WPKZUq7C-rvviIsU9qWQk-KP/view?usp=drivesdk</t>
  </si>
  <si>
    <t>SULMAYETI, S.E.</t>
  </si>
  <si>
    <t>sulamyetitanjung@gmail.com</t>
  </si>
  <si>
    <t>6654</t>
  </si>
  <si>
    <t>1RkM_TVOB2BlISPOApn57aQ9A8onqHXqb</t>
  </si>
  <si>
    <t>https://drive.google.com/file/d/1RkM_TVOB2BlISPOApn57aQ9A8onqHXqb/view?usp=drivesdk</t>
  </si>
  <si>
    <t>M GALANG SAHTIYANZA ROMAIN</t>
  </si>
  <si>
    <t>galangsahtiyanza@gmail.com</t>
  </si>
  <si>
    <t>6655</t>
  </si>
  <si>
    <t>Starting at Thu Aug 29 2024 21:55:33 GMT-0400 (EDT)</t>
  </si>
  <si>
    <t>1-jQabvM6DP0PHstfmfvKS1tDLie_2IR2</t>
  </si>
  <si>
    <t>https://drive.google.com/file/d/1-jQabvM6DP0PHstfmfvKS1tDLie_2IR2/view?usp=drivesdk</t>
  </si>
  <si>
    <t>Document successfully created; Document successfully merged; PDF created; !!Error Sending Emails: Service invoked too many times for one day: email.; Manually run by ecertificate75@gmail.com; Timestamp: Sep 4 2024 12:25 AM</t>
  </si>
  <si>
    <t>GT.DELIANA TUTI GARNASIH,S.Sos</t>
  </si>
  <si>
    <t>delianagusti@gmail.com</t>
  </si>
  <si>
    <t>6656</t>
  </si>
  <si>
    <t>Starting at Thu Aug 29 2024 21:55:36 GMT-0400 (EDT)</t>
  </si>
  <si>
    <t>136fCeAncOvysPUgySJ9JnKMCKNhnDUWz</t>
  </si>
  <si>
    <t>https://drive.google.com/file/d/136fCeAncOvysPUgySJ9JnKMCKNhnDUWz/view?usp=drivesdk</t>
  </si>
  <si>
    <t>ARIF SETIYOBUDI</t>
  </si>
  <si>
    <t>arifsetiobudi39@gmail.com</t>
  </si>
  <si>
    <t>6657</t>
  </si>
  <si>
    <t>1dp5hRtKI00lyAwAoaQPE2-2olOn8MvvV</t>
  </si>
  <si>
    <t>https://drive.google.com/file/d/1dp5hRtKI00lyAwAoaQPE2-2olOn8MvvV/view?usp=drivesdk</t>
  </si>
  <si>
    <t>ANDY MULYADI, S.E.</t>
  </si>
  <si>
    <t>bejocancet@gmail.com</t>
  </si>
  <si>
    <t>6658</t>
  </si>
  <si>
    <t>1VKHNPsV0nVIdeAnn-F1Mm0ECVcpsWimx</t>
  </si>
  <si>
    <t>https://drive.google.com/file/d/1VKHNPsV0nVIdeAnn-F1Mm0ECVcpsWimx/view?usp=drivesdk</t>
  </si>
  <si>
    <t>Document successfully created; Document successfully merged; PDF created; !!Error Sending Emails: Service invoked too many times for one day: email.; Manually run by ecertificate75@gmail.com; Timestamp: Sep 4 2024 12:26 AM</t>
  </si>
  <si>
    <t>OCI ISNIYANTI</t>
  </si>
  <si>
    <t>ociisniyanti@gmail.com</t>
  </si>
  <si>
    <t>6659</t>
  </si>
  <si>
    <t>1_2sGhxFbjbsjL4kVs-01_0jnbtXtj2C6</t>
  </si>
  <si>
    <t>https://drive.google.com/file/d/1_2sGhxFbjbsjL4kVs-01_0jnbtXtj2C6/view?usp=drivesdk</t>
  </si>
  <si>
    <t>SITI CHOTIJAH</t>
  </si>
  <si>
    <t>kotikok74@gmail.com</t>
  </si>
  <si>
    <t>6660</t>
  </si>
  <si>
    <t>Starting at Thu Aug 29 2024 21:55:39 GMT-0400 (EDT)</t>
  </si>
  <si>
    <t>13OiC-91f18cTK4YxlrKnWu3WzWXa4QEq</t>
  </si>
  <si>
    <t>https://drive.google.com/file/d/13OiC-91f18cTK4YxlrKnWu3WzWXa4QEq/view?usp=drivesdk</t>
  </si>
  <si>
    <t>DWI HENDRAYANTI</t>
  </si>
  <si>
    <t>hendrayantidwi75@gmail.com</t>
  </si>
  <si>
    <t>6661</t>
  </si>
  <si>
    <t>Starting at Thu Aug 29 2024 21:55:42 GMT-0400 (EDT)</t>
  </si>
  <si>
    <t>1CFe-ZWrGNNSoGGNFTqfQifY1Q2ySqSVY</t>
  </si>
  <si>
    <t>https://drive.google.com/file/d/1CFe-ZWrGNNSoGGNFTqfQifY1Q2ySqSVY/view?usp=drivesdk</t>
  </si>
  <si>
    <t>R. HADWI PRIHATANTO, S. KOM.</t>
  </si>
  <si>
    <t>hadwiprihatanto@gmail.com</t>
  </si>
  <si>
    <t>6662</t>
  </si>
  <si>
    <t>184JlxDD2wmL7S9Ip2VPj4aEj3M9aUi28</t>
  </si>
  <si>
    <t>https://drive.google.com/file/d/184JlxDD2wmL7S9Ip2VPj4aEj3M9aUi28/view?usp=drivesdk</t>
  </si>
  <si>
    <t>Document successfully created; Document successfully merged; PDF created; !!Error Sending Emails: Service invoked too many times for one day: email.; Manually run by ecertificate75@gmail.com; Timestamp: Sep 4 2024 12:27 AM</t>
  </si>
  <si>
    <t>SUKADI, S.Sos</t>
  </si>
  <si>
    <t>sukadex13@gmail.com</t>
  </si>
  <si>
    <t>6663</t>
  </si>
  <si>
    <t>1HmNKzOLh6m0nEoVJ-SpWVOgMyZubK1YB</t>
  </si>
  <si>
    <t>https://drive.google.com/file/d/1HmNKzOLh6m0nEoVJ-SpWVOgMyZubK1YB/view?usp=drivesdk</t>
  </si>
  <si>
    <t>suriani010382@gmail.com</t>
  </si>
  <si>
    <t>6664</t>
  </si>
  <si>
    <t>Starting at Thu Aug 29 2024 21:55:45 GMT-0400 (EDT)</t>
  </si>
  <si>
    <t>17ntuT5mEr69TSJvr5Va0_n4gEGL052yJ</t>
  </si>
  <si>
    <t>https://drive.google.com/file/d/17ntuT5mEr69TSJvr5Va0_n4gEGL052yJ/view?usp=drivesdk</t>
  </si>
  <si>
    <t>RITA YULIANA, S. H</t>
  </si>
  <si>
    <t>rit4yuli4n4@gmail.com</t>
  </si>
  <si>
    <t>6665</t>
  </si>
  <si>
    <t>1WkQ3yUhlCH6cUXejZNswUqCsupLEB4fw</t>
  </si>
  <si>
    <t>https://drive.google.com/file/d/1WkQ3yUhlCH6cUXejZNswUqCsupLEB4fw/view?usp=drivesdk</t>
  </si>
  <si>
    <t xml:space="preserve">MUSTARI </t>
  </si>
  <si>
    <t>mustari77.adindra@gmail.com</t>
  </si>
  <si>
    <t>6666</t>
  </si>
  <si>
    <t>1u8OVdunTnxXld75iHcJCF7viArEL9YmL</t>
  </si>
  <si>
    <t>https://drive.google.com/file/d/1u8OVdunTnxXld75iHcJCF7viArEL9YmL/view?usp=drivesdk</t>
  </si>
  <si>
    <t>Document successfully created; Document successfully merged; PDF created; !!Error Sending Emails: Service invoked too many times for one day: email.; Manually run by ecertificate75@gmail.com; Timestamp: Sep 4 2024 12:28 AM</t>
  </si>
  <si>
    <t>PURWATI, A.Md.Kep</t>
  </si>
  <si>
    <t>ipungwati47@gmail.com</t>
  </si>
  <si>
    <t>6667</t>
  </si>
  <si>
    <t>Starting at Thu Aug 29 2024 21:55:48 GMT-0400 (EDT)</t>
  </si>
  <si>
    <t>1ZpW7FiOlpeA0YXaI4OZXO9cA2C7gkJTO</t>
  </si>
  <si>
    <t>https://drive.google.com/file/d/1ZpW7FiOlpeA0YXaI4OZXO9cA2C7gkJTO/view?usp=drivesdk</t>
  </si>
  <si>
    <t>DADAN RAMDANI, S.AG., M.PD</t>
  </si>
  <si>
    <t>h.dadanramdani@gmail.com</t>
  </si>
  <si>
    <t>6668</t>
  </si>
  <si>
    <t>1-GtSYN-ynSYS2FNxHeTDsagHLOyAvVOc</t>
  </si>
  <si>
    <t>https://drive.google.com/file/d/1-GtSYN-ynSYS2FNxHeTDsagHLOyAvVOc/view?usp=drivesdk</t>
  </si>
  <si>
    <t>SITI NURKOLIDAH</t>
  </si>
  <si>
    <t>sitinurkolidah@gmail.com</t>
  </si>
  <si>
    <t>6669</t>
  </si>
  <si>
    <t>16QuB-IPcw6GDy1v6tRAh8I-17ZDs0mQU</t>
  </si>
  <si>
    <t>https://drive.google.com/file/d/16QuB-IPcw6GDy1v6tRAh8I-17ZDs0mQU/view?usp=drivesdk</t>
  </si>
  <si>
    <t>DESI A YUSUF A.Md.Kom</t>
  </si>
  <si>
    <t>desiayusuf@gmail.com</t>
  </si>
  <si>
    <t>6670</t>
  </si>
  <si>
    <t>Starting at Thu Aug 29 2024 21:55:54 GMT-0400 (EDT)</t>
  </si>
  <si>
    <t>11OG03NsoResNVfNR2HIfnSvRm6q_Fapz</t>
  </si>
  <si>
    <t>https://drive.google.com/file/d/11OG03NsoResNVfNR2HIfnSvRm6q_Fapz/view?usp=drivesdk</t>
  </si>
  <si>
    <t>Document successfully created; Document successfully merged; PDF created; !!Error Sending Emails: Service invoked too many times for one day: email.; Manually run by ecertificate75@gmail.com; Timestamp: Sep 4 2024 12:29 AM</t>
  </si>
  <si>
    <t>TITIK PRASETYAWATI, S.H.</t>
  </si>
  <si>
    <t>titikprasetyawati34@gmail.com</t>
  </si>
  <si>
    <t>6671</t>
  </si>
  <si>
    <t>1dRumq3b5u5Zczu1dKNj0AL_PXTaQ7SY0</t>
  </si>
  <si>
    <t>https://drive.google.com/file/d/1dRumq3b5u5Zczu1dKNj0AL_PXTaQ7SY0/view?usp=drivesdk</t>
  </si>
  <si>
    <t>THERESIA EUNIKE ISKANDAR, A.Md.Ak</t>
  </si>
  <si>
    <t>tereiskandar@gmail.com</t>
  </si>
  <si>
    <t>6672</t>
  </si>
  <si>
    <t>1u-wPHyfjXlV5l2siZsocjAy8nBBKKYNN</t>
  </si>
  <si>
    <t>https://drive.google.com/file/d/1u-wPHyfjXlV5l2siZsocjAy8nBBKKYNN/view?usp=drivesdk</t>
  </si>
  <si>
    <t>EMPI SURYATINI</t>
  </si>
  <si>
    <t>empiempi90@gmail.com</t>
  </si>
  <si>
    <t>6673</t>
  </si>
  <si>
    <t>Starting at Thu Aug 29 2024 21:55:55 GMT-0400 (EDT)</t>
  </si>
  <si>
    <t>1glbhQrEOvUq4dQ5oLqgUW_bX2E0-NttC</t>
  </si>
  <si>
    <t>https://drive.google.com/file/d/1glbhQrEOvUq4dQ5oLqgUW_bX2E0-NttC/view?usp=drivesdk</t>
  </si>
  <si>
    <t>Document successfully created; Document successfully merged; PDF created; !!Error Sending Emails: Service invoked too many times for one day: email.; Manually run by ecertificate75@gmail.com; Timestamp: Sep 4 2024 12:30 AM</t>
  </si>
  <si>
    <t>Apt. ROSVITA,S.Farm</t>
  </si>
  <si>
    <t>rosvita_donny@yahoo.co.id</t>
  </si>
  <si>
    <t>6674</t>
  </si>
  <si>
    <t>1k6jKgaMzVfaXsoAi_s28GXhl7JGx_DGc</t>
  </si>
  <si>
    <t>https://drive.google.com/file/d/1k6jKgaMzVfaXsoAi_s28GXhl7JGx_DGc/view?usp=drivesdk</t>
  </si>
  <si>
    <t xml:space="preserve">SARDONO </t>
  </si>
  <si>
    <t>arifsardono.as3@gmail.com</t>
  </si>
  <si>
    <t>6675</t>
  </si>
  <si>
    <t>Starting at Thu Aug 29 2024 21:56:02 GMT-0400 (EDT)</t>
  </si>
  <si>
    <t>1eplMFUiEmTDCvuRQ0gqRpz5Nw2eZrBQW</t>
  </si>
  <si>
    <t>https://drive.google.com/file/d/1eplMFUiEmTDCvuRQ0gqRpz5Nw2eZrBQW/view?usp=drivesdk</t>
  </si>
  <si>
    <t>DENI TRISANDI, S.E.</t>
  </si>
  <si>
    <t>denitrisandi00@gmail.com</t>
  </si>
  <si>
    <t>6676</t>
  </si>
  <si>
    <t>1ZI1kHsl0xi2TgBQu1vzgkRLEY2F0_9vk</t>
  </si>
  <si>
    <t>https://drive.google.com/file/d/1ZI1kHsl0xi2TgBQu1vzgkRLEY2F0_9vk/view?usp=drivesdk</t>
  </si>
  <si>
    <t>ROBERTUS JARWADI</t>
  </si>
  <si>
    <t>yairusrobertus@gmail.com</t>
  </si>
  <si>
    <t>6677</t>
  </si>
  <si>
    <t>1tuMki4Qcua9GSUpqqRAFvejLWSiK8e81</t>
  </si>
  <si>
    <t>https://drive.google.com/file/d/1tuMki4Qcua9GSUpqqRAFvejLWSiK8e81/view?usp=drivesdk</t>
  </si>
  <si>
    <t>Document successfully created; Document successfully merged; PDF created; !!Error Sending Emails: Service invoked too many times for one day: email.; Manually run by ecertificate75@gmail.com; Timestamp: Sep 4 2024 12:31 AM</t>
  </si>
  <si>
    <t>YULFITA</t>
  </si>
  <si>
    <t>yulfita02@gmail.com</t>
  </si>
  <si>
    <t>6678</t>
  </si>
  <si>
    <t>1DxyDCFAhcWKdMkDLqVMR9p10kfUf5oV-</t>
  </si>
  <si>
    <t>https://drive.google.com/file/d/1DxyDCFAhcWKdMkDLqVMR9p10kfUf5oV-/view?usp=drivesdk</t>
  </si>
  <si>
    <t>PURBAWONO.S.A.B</t>
  </si>
  <si>
    <t>Purbawono.sab@gmail.com</t>
  </si>
  <si>
    <t>6679</t>
  </si>
  <si>
    <t>1hpLjrnQHwcHsN9hGDkBSRZKveGx0Y3ev</t>
  </si>
  <si>
    <t>https://drive.google.com/file/d/1hpLjrnQHwcHsN9hGDkBSRZKveGx0Y3ev/view?usp=drivesdk</t>
  </si>
  <si>
    <t>DEDI TARMUDI</t>
  </si>
  <si>
    <t>de.tarmudi@gmail.com</t>
  </si>
  <si>
    <t>6680</t>
  </si>
  <si>
    <t>14BRcohfI7ucubXaiMEPvT0hrU-oIODcr</t>
  </si>
  <si>
    <t>https://drive.google.com/file/d/14BRcohfI7ucubXaiMEPvT0hrU-oIODcr/view?usp=drivesdk</t>
  </si>
  <si>
    <t>Document successfully created; Document successfully merged; PDF created; !!Error Sending Emails: Service invoked too many times for one day: email.; Manually run by ecertificate75@gmail.com; Timestamp: Sep 4 2024 12:32 AM</t>
  </si>
  <si>
    <t>ISA ROSANAH</t>
  </si>
  <si>
    <t>isarosana184@gmail.com</t>
  </si>
  <si>
    <t>6681</t>
  </si>
  <si>
    <t>1dKvU0ff_E6vVFur0q2z23PTFBEZ48svf</t>
  </si>
  <si>
    <t>https://drive.google.com/file/d/1dKvU0ff_E6vVFur0q2z23PTFBEZ48svf/view?usp=drivesdk</t>
  </si>
  <si>
    <t>WIJI RUSMIYATI</t>
  </si>
  <si>
    <t>wijigunawan69@gmail.com</t>
  </si>
  <si>
    <t>6682</t>
  </si>
  <si>
    <t>Starting at Thu Aug 29 2024 21:56:05 GMT-0400 (EDT)</t>
  </si>
  <si>
    <t>1-HqHIO4FcdY3LK9CzOWgtZl6Ak3oykqG</t>
  </si>
  <si>
    <t>https://drive.google.com/file/d/1-HqHIO4FcdY3LK9CzOWgtZl6Ak3oykqG/view?usp=drivesdk</t>
  </si>
  <si>
    <t>JAINI SAMSUL HIDAYATULLAH</t>
  </si>
  <si>
    <t>jainijaini2015@gmail.com</t>
  </si>
  <si>
    <t>6683</t>
  </si>
  <si>
    <t>1xB488UM_HCTbGVC_nTmZIVv4CuwJrnP0</t>
  </si>
  <si>
    <t>https://drive.google.com/file/d/1xB488UM_HCTbGVC_nTmZIVv4CuwJrnP0/view?usp=drivesdk</t>
  </si>
  <si>
    <t>ANIS ROZIKIN,S.Kep</t>
  </si>
  <si>
    <t>anizzrozikien@gmail.com</t>
  </si>
  <si>
    <t>6684</t>
  </si>
  <si>
    <t>Starting at Thu Aug 29 2024 21:56:13 GMT-0400 (EDT)</t>
  </si>
  <si>
    <t>1OpdUFM7L9k9K8ypj8tP61u7ItquG09iQ</t>
  </si>
  <si>
    <t>https://drive.google.com/file/d/1OpdUFM7L9k9K8ypj8tP61u7ItquG09iQ/view?usp=drivesdk</t>
  </si>
  <si>
    <t>Document successfully created; Document successfully merged; PDF created; !!Error Sending Emails: Service invoked too many times for one day: email.; Manually run by ecertificate75@gmail.com; Timestamp: Sep 4 2024 12:33 AM</t>
  </si>
  <si>
    <t>RESTIYOWATI</t>
  </si>
  <si>
    <t>watirestiyo70@gmail.com</t>
  </si>
  <si>
    <t>6685</t>
  </si>
  <si>
    <t>1gB9XO7wM2yUJpwWmY5Bh6fe5nSwxSdGy</t>
  </si>
  <si>
    <t>https://drive.google.com/file/d/1gB9XO7wM2yUJpwWmY5Bh6fe5nSwxSdGy/view?usp=drivesdk</t>
  </si>
  <si>
    <t>hampirsaja44@gmail.com</t>
  </si>
  <si>
    <t>6686</t>
  </si>
  <si>
    <t>1cg-A8si01v24hZKFSnS_iqgRWBttqMJx</t>
  </si>
  <si>
    <t>https://drive.google.com/file/d/1cg-A8si01v24hZKFSnS_iqgRWBttqMJx/view?usp=drivesdk</t>
  </si>
  <si>
    <t>Apt. Romlan., S. Farm</t>
  </si>
  <si>
    <t>apotekerromlan@gmail.com</t>
  </si>
  <si>
    <t>6687</t>
  </si>
  <si>
    <t>12u7Nt-3Ffy25L3THtEGeqanRM07-fxnE</t>
  </si>
  <si>
    <t>https://drive.google.com/file/d/12u7Nt-3Ffy25L3THtEGeqanRM07-fxnE/view?usp=drivesdk</t>
  </si>
  <si>
    <t>Document successfully created; Document successfully merged; PDF created; !!Error Sending Emails: Service invoked too many times for one day: email.; Manually run by ecertificate75@gmail.com; Timestamp: Sep 4 2024 12:34 AM</t>
  </si>
  <si>
    <t xml:space="preserve">ENDAH HASTUTININGSIH </t>
  </si>
  <si>
    <t>ndhist@gmail.com</t>
  </si>
  <si>
    <t>6688</t>
  </si>
  <si>
    <t>1GuwV0SgB-KnCLVtRxt_Jv9aMoH7PgYDs</t>
  </si>
  <si>
    <t>https://drive.google.com/file/d/1GuwV0SgB-KnCLVtRxt_Jv9aMoH7PgYDs/view?usp=drivesdk</t>
  </si>
  <si>
    <t>MASHUDI</t>
  </si>
  <si>
    <t>simultankpmtrenggalek@gmail.com</t>
  </si>
  <si>
    <t>6689</t>
  </si>
  <si>
    <t>1H9pCGfAoxBoM0w3BZ6OSF0R22YLheeT6</t>
  </si>
  <si>
    <t>https://drive.google.com/file/d/1H9pCGfAoxBoM0w3BZ6OSF0R22YLheeT6/view?usp=drivesdk</t>
  </si>
  <si>
    <t>Rachmat Purwo Wibowo</t>
  </si>
  <si>
    <t>rachmat1616@gmail.com</t>
  </si>
  <si>
    <t>6690</t>
  </si>
  <si>
    <t>1Ze8WraioRqH0q9ue9rYmKoTW4IFZ9KFI</t>
  </si>
  <si>
    <t>https://drive.google.com/file/d/1Ze8WraioRqH0q9ue9rYmKoTW4IFZ9KFI/view?usp=drivesdk</t>
  </si>
  <si>
    <t>dr. Andreis Kia Tolok, SpPD</t>
  </si>
  <si>
    <t>andre_tolok@yahoo.co.id</t>
  </si>
  <si>
    <t>6691</t>
  </si>
  <si>
    <t>132H0chjeI7jtFASZ6CGnlJqHAHwSbwKa</t>
  </si>
  <si>
    <t>https://drive.google.com/file/d/132H0chjeI7jtFASZ6CGnlJqHAHwSbwKa/view?usp=drivesdk</t>
  </si>
  <si>
    <t>JUMARIAH</t>
  </si>
  <si>
    <t>jumariahbond@gmail.com</t>
  </si>
  <si>
    <t>6692</t>
  </si>
  <si>
    <t>1G13X9ReiOKys2V6D_nwiF1m8BCy6i8hl</t>
  </si>
  <si>
    <t>https://drive.google.com/file/d/1G13X9ReiOKys2V6D_nwiF1m8BCy6i8hl/view?usp=drivesdk</t>
  </si>
  <si>
    <t>Document successfully created; Document successfully merged; PDF created; !!Error Sending Emails: Service invoked too many times for one day: email.; Manually run by ecertificate75@gmail.com; Timestamp: Sep 4 2024 12:35 AM</t>
  </si>
  <si>
    <t>SULSTRI</t>
  </si>
  <si>
    <t>sulastria060@gmail.com</t>
  </si>
  <si>
    <t>6693</t>
  </si>
  <si>
    <t>Starting at Thu Aug 29 2024 21:56:20 GMT-0400 (EDT)</t>
  </si>
  <si>
    <t>1j5RMdYtGQRtgH7_u3Mm3S2F-BTDHvjbr</t>
  </si>
  <si>
    <t>https://drive.google.com/file/d/1j5RMdYtGQRtgH7_u3Mm3S2F-BTDHvjbr/view?usp=drivesdk</t>
  </si>
  <si>
    <t>KADARIANTO,S.Kep.Ners</t>
  </si>
  <si>
    <t>kadarianto.bhy@gmail.com</t>
  </si>
  <si>
    <t>6694</t>
  </si>
  <si>
    <t>1siDoMBVDLo7A9vCk8k8I_-GwQKFJDBdM</t>
  </si>
  <si>
    <t>https://drive.google.com/file/d/1siDoMBVDLo7A9vCk8k8I_-GwQKFJDBdM/view?usp=drivesdk</t>
  </si>
  <si>
    <t>WULAN SUCI, S.KOM</t>
  </si>
  <si>
    <t>whucie858809@gmail.com</t>
  </si>
  <si>
    <t>6695</t>
  </si>
  <si>
    <t>13DCwPuD5Gkitiz3p1lQMaS_RihdR8BRL</t>
  </si>
  <si>
    <t>https://drive.google.com/file/d/13DCwPuD5Gkitiz3p1lQMaS_RihdR8BRL/view?usp=drivesdk</t>
  </si>
  <si>
    <t>SULARMAN</t>
  </si>
  <si>
    <t>Larmansularman@gmail.com</t>
  </si>
  <si>
    <t>6696</t>
  </si>
  <si>
    <t>1yG_8tjR2pxvbtcchDTEcL52-dyfnJuiB</t>
  </si>
  <si>
    <t>https://drive.google.com/file/d/1yG_8tjR2pxvbtcchDTEcL52-dyfnJuiB/view?usp=drivesdk</t>
  </si>
  <si>
    <t xml:space="preserve">SHOLIHIN </t>
  </si>
  <si>
    <t>sholikinkm@gmail.com</t>
  </si>
  <si>
    <t>6697</t>
  </si>
  <si>
    <t>1BBpY7-dfTHo09NKI3JZhb33dQv-mZAgR</t>
  </si>
  <si>
    <t>https://drive.google.com/file/d/1BBpY7-dfTHo09NKI3JZhb33dQv-mZAgR/view?usp=drivesdk</t>
  </si>
  <si>
    <t>Document successfully created; Document successfully merged; PDF created; !!Error Sending Emails: Service invoked too many times for one day: email.; Manually run by ecertificate75@gmail.com; Timestamp: Sep 4 2024 12:36 AM</t>
  </si>
  <si>
    <t>GANDA MILYASARI, S.Pd.</t>
  </si>
  <si>
    <t>gandamilya99@gmail.com</t>
  </si>
  <si>
    <t>6698</t>
  </si>
  <si>
    <t>1-MZKO_kEY1TiIVC_2cy0FwCXs7sVp1Ph</t>
  </si>
  <si>
    <t>https://drive.google.com/file/d/1-MZKO_kEY1TiIVC_2cy0FwCXs7sVp1Ph/view?usp=drivesdk</t>
  </si>
  <si>
    <t>HENA SUHERNA</t>
  </si>
  <si>
    <t>Suherna1971@gmail.com</t>
  </si>
  <si>
    <t>6699</t>
  </si>
  <si>
    <t>1EoAEHfhm4HJlStZ_S4q30zc78pvbpYtl</t>
  </si>
  <si>
    <t>https://drive.google.com/file/d/1EoAEHfhm4HJlStZ_S4q30zc78pvbpYtl/view?usp=drivesdk</t>
  </si>
  <si>
    <t>ANITA PERMATASARI, AMKG</t>
  </si>
  <si>
    <t>permatasarianita54@gmail.com</t>
  </si>
  <si>
    <t>6700</t>
  </si>
  <si>
    <t>1GVf0cy_D7meqB3KaYDvOetMWbcRvGkv9</t>
  </si>
  <si>
    <t>https://drive.google.com/file/d/1GVf0cy_D7meqB3KaYDvOetMWbcRvGkv9/view?usp=drivesdk</t>
  </si>
  <si>
    <t xml:space="preserve">Ni Ketut Ernawati </t>
  </si>
  <si>
    <t>niketuternawati.1971@gmail.com</t>
  </si>
  <si>
    <t>6701</t>
  </si>
  <si>
    <t>1j5upB_X3pJQDkrHUYxE22wDU_xCohe6Y</t>
  </si>
  <si>
    <t>https://drive.google.com/file/d/1j5upB_X3pJQDkrHUYxE22wDU_xCohe6Y/view?usp=drivesdk</t>
  </si>
  <si>
    <t>Document successfully created; Document successfully merged; PDF created; !!Error Sending Emails: Service invoked too many times for one day: email.; Manually run by ecertificate75@gmail.com; Timestamp: Sep 4 2024 12:37 AM</t>
  </si>
  <si>
    <t>ASRIANI, SE</t>
  </si>
  <si>
    <t>anicambat@gmail.com</t>
  </si>
  <si>
    <t>6702</t>
  </si>
  <si>
    <t>1359M1LoITRqBjCtRS-zQiZCl0LmvACcA</t>
  </si>
  <si>
    <t>https://drive.google.com/file/d/1359M1LoITRqBjCtRS-zQiZCl0LmvACcA/view?usp=drivesdk</t>
  </si>
  <si>
    <t>WIWIT ARI SETIYOWATI., A.Ma</t>
  </si>
  <si>
    <t>wiwit.rere@gmail.com</t>
  </si>
  <si>
    <t>6703</t>
  </si>
  <si>
    <t>1Zfi-OmhT7FO-sUxrFJS-q0ACyA0jKh-9</t>
  </si>
  <si>
    <t>https://drive.google.com/file/d/1Zfi-OmhT7FO-sUxrFJS-q0ACyA0jKh-9/view?usp=drivesdk</t>
  </si>
  <si>
    <t xml:space="preserve">ZAINAL ARIFIN </t>
  </si>
  <si>
    <t>zainalairf457@gmail.com</t>
  </si>
  <si>
    <t>6704</t>
  </si>
  <si>
    <t>Starting at Thu Aug 29 2024 21:56:22 GMT-0400 (EDT)</t>
  </si>
  <si>
    <t>1QvUAe9N1c5Op4e_OOjRC_FpGOckEpNxT</t>
  </si>
  <si>
    <t>https://drive.google.com/file/d/1QvUAe9N1c5Op4e_OOjRC_FpGOckEpNxT/view?usp=drivesdk</t>
  </si>
  <si>
    <t>Document successfully created; Document successfully merged; PDF created; !!Error Sending Emails: Service invoked too many times for one day: email.; Manually run by ecertificate75@gmail.com; Timestamp: Sep 4 2024 12:38 AM</t>
  </si>
  <si>
    <t>RIANROCHADI ISMAIL S.E.</t>
  </si>
  <si>
    <t>rian.rochadi@gmail.com</t>
  </si>
  <si>
    <t>6705</t>
  </si>
  <si>
    <t>Starting at Thu Aug 29 2024 21:56:27 GMT-0400 (EDT)</t>
  </si>
  <si>
    <t>1ItG3P7e6Zu-MFPHXkP_5GtOv0eCDD3y8</t>
  </si>
  <si>
    <t>https://drive.google.com/file/d/1ItG3P7e6Zu-MFPHXkP_5GtOv0eCDD3y8/view?usp=drivesdk</t>
  </si>
  <si>
    <t>AGNES FALENTINA REPA SEDA,AMD.Kep</t>
  </si>
  <si>
    <t>agnes.repa88@gmail.com</t>
  </si>
  <si>
    <t>6706</t>
  </si>
  <si>
    <t>19iMSZEgFgRFtxSe_OOd3OXkRiD2CmnWF</t>
  </si>
  <si>
    <t>https://drive.google.com/file/d/19iMSZEgFgRFtxSe_OOd3OXkRiD2CmnWF/view?usp=drivesdk</t>
  </si>
  <si>
    <t>YANTI HERA SUSANTI</t>
  </si>
  <si>
    <t>wisnuganggasurgawi9@gmail.con</t>
  </si>
  <si>
    <t>6707</t>
  </si>
  <si>
    <t>1uvOZ1_ZKO9ZYyhEeMVp4at5a9YYVFmDf</t>
  </si>
  <si>
    <t>https://drive.google.com/file/d/1uvOZ1_ZKO9ZYyhEeMVp4at5a9YYVFmDf/view?usp=drivesdk</t>
  </si>
  <si>
    <t>OKTAFIANUS, A.Md</t>
  </si>
  <si>
    <t>ofianus309@gmail.com</t>
  </si>
  <si>
    <t>6708</t>
  </si>
  <si>
    <t>Starting at Thu Aug 29 2024 21:56:31 GMT-0400 (EDT)</t>
  </si>
  <si>
    <t>1eon2ffx4LRswY-A0MQAXc90fQSNhKbai</t>
  </si>
  <si>
    <t>https://drive.google.com/file/d/1eon2ffx4LRswY-A0MQAXc90fQSNhKbai/view?usp=drivesdk</t>
  </si>
  <si>
    <t>Document successfully created; Document successfully merged; PDF created; !!Error Sending Emails: Service invoked too many times for one day: email.; Manually run by ecertificate75@gmail.com; Timestamp: Sep 4 2024 12:39 AM</t>
  </si>
  <si>
    <t>ARFAN MUNDIAR</t>
  </si>
  <si>
    <t>Hilmydejavu@gmail.com</t>
  </si>
  <si>
    <t>6709</t>
  </si>
  <si>
    <t>1qhO6IKVSWXNE5OEOmP8ZaM3nfMirMfH3</t>
  </si>
  <si>
    <t>https://drive.google.com/file/d/1qhO6IKVSWXNE5OEOmP8ZaM3nfMirMfH3/view?usp=drivesdk</t>
  </si>
  <si>
    <t>BEKTI JANUWINARTO</t>
  </si>
  <si>
    <t>bektijanu1@gmail.com</t>
  </si>
  <si>
    <t>6710</t>
  </si>
  <si>
    <t>Starting at Thu Aug 29 2024 21:56:32 GMT-0400 (EDT)</t>
  </si>
  <si>
    <t>1e0hTIEngtICbuVqGxBma-qQsIyMRuoyv</t>
  </si>
  <si>
    <t>https://drive.google.com/file/d/1e0hTIEngtICbuVqGxBma-qQsIyMRuoyv/view?usp=drivesdk</t>
  </si>
  <si>
    <t>Document successfully created; Document successfully merged; PDF created; !!Error Sending Emails: Service invoked too many times for one day: email.; Run via form trigger as ecertificate75@gmail.com; Timestamp: Sep 3 2024 6:27 PM</t>
  </si>
  <si>
    <t>SUPRIHATININGSIH, S.H.</t>
  </si>
  <si>
    <t>shsuprihatingsih@gmail.com</t>
  </si>
  <si>
    <t>6711</t>
  </si>
  <si>
    <t>1qgo2wpN-vGnpGW4FBLEyhiBetmNNw9jZ</t>
  </si>
  <si>
    <t>https://drive.google.com/file/d/1qgo2wpN-vGnpGW4FBLEyhiBetmNNw9jZ/view?usp=drivesdk</t>
  </si>
  <si>
    <t>JOKO RIYANTO, S.E.</t>
  </si>
  <si>
    <t>jriyanto76@gmail.com</t>
  </si>
  <si>
    <t>6712</t>
  </si>
  <si>
    <t>1rQDGObhbos7VTerVqsveWZ-IM_iVn-0o</t>
  </si>
  <si>
    <t>https://drive.google.com/file/d/1rQDGObhbos7VTerVqsveWZ-IM_iVn-0o/view?usp=drivesdk</t>
  </si>
  <si>
    <t>Junita Everida Silalahi</t>
  </si>
  <si>
    <t>junitasilalahi229@gmail.com</t>
  </si>
  <si>
    <t>6713</t>
  </si>
  <si>
    <t>Starting at Thu Aug 29 2024 21:56:33 GMT-0400 (EDT)</t>
  </si>
  <si>
    <t>1VX1xnpVVt2b2t1FRba8IRZdVXV5V_uMy</t>
  </si>
  <si>
    <t>https://drive.google.com/file/d/1VX1xnpVVt2b2t1FRba8IRZdVXV5V_uMy/view?usp=drivesdk</t>
  </si>
  <si>
    <t>TIMAN,S.H.</t>
  </si>
  <si>
    <t>timanragil77@gmail.com</t>
  </si>
  <si>
    <t>6714</t>
  </si>
  <si>
    <t>Starting at Thu Aug 29 2024 21:56:35 GMT-0400 (EDT)</t>
  </si>
  <si>
    <t>1_OuZTIFZ8I6-OzeBGyhJwD-mFWcRDHrw</t>
  </si>
  <si>
    <t>https://drive.google.com/file/d/1_OuZTIFZ8I6-OzeBGyhJwD-mFWcRDHrw/view?usp=drivesdk</t>
  </si>
  <si>
    <t>Document successfully created; Document successfully merged; PDF created; !!Error Sending Emails: Service invoked too many times for one day: email.; Run via form trigger as ecertificate75@gmail.com; Timestamp: Sep 3 2024 8:12 PM</t>
  </si>
  <si>
    <t>PRASETIYAWATI</t>
  </si>
  <si>
    <t>prasetyawati75@gmail.com</t>
  </si>
  <si>
    <t>6715</t>
  </si>
  <si>
    <t>1-KTUJPG9dWjfQoYCjj58837fhIJTZTag</t>
  </si>
  <si>
    <t>https://drive.google.com/file/d/1-KTUJPG9dWjfQoYCjj58837fhIJTZTag/view?usp=drivesdk</t>
  </si>
  <si>
    <t>Document successfully created; Document successfully merged; PDF created; !!Error Sending Emails: Service invoked too many times for one day: email.; Run via form trigger as ecertificate75@gmail.com; Timestamp: Sep 3 2024 8:13 PM</t>
  </si>
  <si>
    <t>Cahya Lingga Purnamasari, S.Farm., Apt.</t>
  </si>
  <si>
    <t>under.light87@gmail.com</t>
  </si>
  <si>
    <t>6716</t>
  </si>
  <si>
    <t>1oAO1o160nk5Oyz7oDOhYCXka7IHTkFLZ</t>
  </si>
  <si>
    <t>https://drive.google.com/file/d/1oAO1o160nk5Oyz7oDOhYCXka7IHTkFLZ/view?usp=drivesdk</t>
  </si>
  <si>
    <t>ISKANDAR ZULKARNAEN, S.E.</t>
  </si>
  <si>
    <t>zulkarnaen03@gmail.com</t>
  </si>
  <si>
    <t>6717</t>
  </si>
  <si>
    <t>Starting at Thu Aug 29 2024 21:56:38 GMT-0400 (EDT)</t>
  </si>
  <si>
    <t>1cLWCN_74Y0R5Ggk3WYEcH0Ld2Nv7AIrj</t>
  </si>
  <si>
    <t>https://drive.google.com/file/d/1cLWCN_74Y0R5Ggk3WYEcH0Ld2Nv7AIrj/view?usp=drivesdk</t>
  </si>
  <si>
    <t>AGUSTIN SRI SUYAMTI</t>
  </si>
  <si>
    <t>6718</t>
  </si>
  <si>
    <t>1ti9Np2AC_nrMSSQT6eeQxM3WVmvYMUbz</t>
  </si>
  <si>
    <t>https://drive.google.com/file/d/1ti9Np2AC_nrMSSQT6eeQxM3WVmvYMUbz/view?usp=drivesdk</t>
  </si>
  <si>
    <t>Document successfully created; Document successfully merged; PDF created; !!Error Sending Emails: Service invoked too many times for one day: email.; Run via form trigger as ecertificate75@gmail.com; Timestamp: Sep 3 2024 8:14 PM</t>
  </si>
  <si>
    <t>ANDIN NURZENCINA</t>
  </si>
  <si>
    <t>anurzencina@gmail.com</t>
  </si>
  <si>
    <t>6719</t>
  </si>
  <si>
    <t>1SWymkQGYCz-A37tO0UJG0S2j_vGqgv3X</t>
  </si>
  <si>
    <t>https://drive.google.com/file/d/1SWymkQGYCz-A37tO0UJG0S2j_vGqgv3X/view?usp=drivesdk</t>
  </si>
  <si>
    <t>EVA RISWNTI</t>
  </si>
  <si>
    <t>riswanti.eva@gmail.com</t>
  </si>
  <si>
    <t>6720</t>
  </si>
  <si>
    <t>1m9pb0_JJ9JpZMaFxRowi3njL3Y5mC03t</t>
  </si>
  <si>
    <t>https://drive.google.com/file/d/1m9pb0_JJ9JpZMaFxRowi3njL3Y5mC03t/view?usp=drivesdk</t>
  </si>
  <si>
    <t>PUGUH SAPARIHARJA</t>
  </si>
  <si>
    <t>Puguhsapariharja1@gmai.com</t>
  </si>
  <si>
    <t>6721</t>
  </si>
  <si>
    <t>1y5px5h6q1AktWWVgyR0mUU5Snqcam-yi</t>
  </si>
  <si>
    <t>https://drive.google.com/file/d/1y5px5h6q1AktWWVgyR0mUU5Snqcam-yi/view?usp=drivesdk</t>
  </si>
  <si>
    <t>SUHAENAH,A.Md</t>
  </si>
  <si>
    <t>suhaenahpatarek@gmail.com</t>
  </si>
  <si>
    <t>6722</t>
  </si>
  <si>
    <t>1saXDGt0csR-Yj2PPa8SJg8ate9uhzQVI</t>
  </si>
  <si>
    <t>https://drive.google.com/file/d/1saXDGt0csR-Yj2PPa8SJg8ate9uhzQVI/view?usp=drivesdk</t>
  </si>
  <si>
    <t>WiDIAWATI, SE</t>
  </si>
  <si>
    <t>wati61952@gmail.com</t>
  </si>
  <si>
    <t>6723</t>
  </si>
  <si>
    <t>Starting at Thu Aug 29 2024 21:56:40 GMT-0400 (EDT)</t>
  </si>
  <si>
    <t>1Y90Oi1plLSbBhu72PDx5PqkLn6Ctq1QB</t>
  </si>
  <si>
    <t>https://drive.google.com/file/d/1Y90Oi1plLSbBhu72PDx5PqkLn6Ctq1QB/view?usp=drivesdk</t>
  </si>
  <si>
    <t>Document successfully created; Document successfully merged; PDF created; !!Error Sending Emails: Service invoked too many times for one day: email.; Run via form trigger as ecertificate75@gmail.com; Timestamp: Sep 3 2024 8:15 PM</t>
  </si>
  <si>
    <t>DENI SJAIPUR</t>
  </si>
  <si>
    <t>dny_sj@yahoo.co.id</t>
  </si>
  <si>
    <t>6724</t>
  </si>
  <si>
    <t>Starting at Thu Aug 29 2024 21:56:43 GMT-0400 (EDT)</t>
  </si>
  <si>
    <t>1GHYrngJHT0dlEyWL8ShRdtjxJ1YIrBZQ</t>
  </si>
  <si>
    <t>https://drive.google.com/file/d/1GHYrngJHT0dlEyWL8ShRdtjxJ1YIrBZQ/view?usp=drivesdk</t>
  </si>
  <si>
    <t>RATNA YENTI</t>
  </si>
  <si>
    <t>ratnayenti668@gmail.com</t>
  </si>
  <si>
    <t>6725</t>
  </si>
  <si>
    <t>1z6V_7iLzE8j1_3WedduAPYibCrQPxpRi</t>
  </si>
  <si>
    <t>https://drive.google.com/file/d/1z6V_7iLzE8j1_3WedduAPYibCrQPxpRi/view?usp=drivesdk</t>
  </si>
  <si>
    <t>APT NOYA NURLINA SSI</t>
  </si>
  <si>
    <t>nurlinanoya@yahoo.co.id</t>
  </si>
  <si>
    <t>6726</t>
  </si>
  <si>
    <t>Starting at Thu Aug 29 2024 21:56:45 GMT-0400 (EDT)</t>
  </si>
  <si>
    <t>1goNQ_FVT15BR3RQB5XHCru3GdDTqHhjM</t>
  </si>
  <si>
    <t>https://drive.google.com/file/d/1goNQ_FVT15BR3RQB5XHCru3GdDTqHhjM/view?usp=drivesdk</t>
  </si>
  <si>
    <t>NARNO, SE</t>
  </si>
  <si>
    <t>narnogiri@gmail.com</t>
  </si>
  <si>
    <t>6727</t>
  </si>
  <si>
    <t>1vq-SbfDCKcYHi38qsnLCZot76hO3NiTG</t>
  </si>
  <si>
    <t>https://drive.google.com/file/d/1vq-SbfDCKcYHi38qsnLCZot76hO3NiTG/view?usp=drivesdk</t>
  </si>
  <si>
    <t>Document successfully created; Document successfully merged; PDF created; !!Error Sending Emails: Service invoked too many times for one day: email.; Run via form trigger as ecertificate75@gmail.com; Timestamp: Sep 3 2024 8:16 PM</t>
  </si>
  <si>
    <t xml:space="preserve">RUDIANSYAH </t>
  </si>
  <si>
    <t>rdiva2277@gmail.com</t>
  </si>
  <si>
    <t>6728</t>
  </si>
  <si>
    <t>1BUfn8PyRTz8MjJSI7rMcThXqBTGJGAca</t>
  </si>
  <si>
    <t>https://drive.google.com/file/d/1BUfn8PyRTz8MjJSI7rMcThXqBTGJGAca/view?usp=drivesdk</t>
  </si>
  <si>
    <t>LAILATUL MAFTUKHA, A. Md. Kep</t>
  </si>
  <si>
    <t>lailatulmaftukha25@gmail.com</t>
  </si>
  <si>
    <t>6729</t>
  </si>
  <si>
    <t>1aaaClY7s5p5Uj-8Xb22OZ-vJMPdXdiY3</t>
  </si>
  <si>
    <t>https://drive.google.com/file/d/1aaaClY7s5p5Uj-8Xb22OZ-vJMPdXdiY3/view?usp=drivesdk</t>
  </si>
  <si>
    <t>RARAS DWI OKTARIA</t>
  </si>
  <si>
    <t>rarasdwioktaria@gmail.com</t>
  </si>
  <si>
    <t>6730</t>
  </si>
  <si>
    <t>Starting at Thu Aug 29 2024 21:56:50 GMT-0400 (EDT)</t>
  </si>
  <si>
    <t>1u66lTH2jVjAAKwp5A-kA2SfGWQxrCdnq</t>
  </si>
  <si>
    <t>https://drive.google.com/file/d/1u66lTH2jVjAAKwp5A-kA2SfGWQxrCdnq/view?usp=drivesdk</t>
  </si>
  <si>
    <t>SUTRISNO WIAHARJO ,Amd. Kep</t>
  </si>
  <si>
    <t>sutrez1980@gmail.com</t>
  </si>
  <si>
    <t>6731</t>
  </si>
  <si>
    <t>10nEeyH-HiPr-s_6GM1Ycy4OvhBk3NpFW</t>
  </si>
  <si>
    <t>https://drive.google.com/file/d/10nEeyH-HiPr-s_6GM1Ycy4OvhBk3NpFW/view?usp=drivesdk</t>
  </si>
  <si>
    <t>Document successfully created; Document successfully merged; PDF created; !!Error Sending Emails: Service invoked too many times for one day: email.; Run via form trigger as ecertificate75@gmail.com; Timestamp: Sep 3 2024 8:17 PM</t>
  </si>
  <si>
    <t>JOKO WAHYONO</t>
  </si>
  <si>
    <t>jakaanderson@gmail.com</t>
  </si>
  <si>
    <t>6732</t>
  </si>
  <si>
    <t>Starting at Thu Aug 29 2024 21:56:54 GMT-0400 (EDT)</t>
  </si>
  <si>
    <t>17knh7s2HOlWbfg4hfOvYM2AL0__EeNxB</t>
  </si>
  <si>
    <t>https://drive.google.com/file/d/17knh7s2HOlWbfg4hfOvYM2AL0__EeNxB/view?usp=drivesdk</t>
  </si>
  <si>
    <t>MARDIATUL LATIFA,A.Md</t>
  </si>
  <si>
    <t>latifamahendra89@gmail.com</t>
  </si>
  <si>
    <t>6733</t>
  </si>
  <si>
    <t>1STkqn8AyTgdM_yvNZEAgRcsqtjx3I-fk</t>
  </si>
  <si>
    <t>https://drive.google.com/file/d/1STkqn8AyTgdM_yvNZEAgRcsqtjx3I-fk/view?usp=drivesdk</t>
  </si>
  <si>
    <t>Document successfully created; Document successfully merged; PDF created; !!Error Sending Emails: Service invoked too many times for one day: email.; Run via form trigger as ecertificate75@gmail.com; Timestamp: Sep 3 2024 10:07 PM</t>
  </si>
  <si>
    <t>BUDI PRIYONO</t>
  </si>
  <si>
    <t>budiskiper71@gmail.com</t>
  </si>
  <si>
    <t>6734</t>
  </si>
  <si>
    <t>1nCAjz-Uk2Y5FJ4LVIaWtkZrNXR_K5NUM</t>
  </si>
  <si>
    <t>https://drive.google.com/file/d/1nCAjz-Uk2Y5FJ4LVIaWtkZrNXR_K5NUM/view?usp=drivesdk</t>
  </si>
  <si>
    <t>Document successfully created; Document successfully merged; PDF created; !!Error Sending Emails: Service invoked too many times for one day: email.; Run via form trigger as ecertificate75@gmail.com; Timestamp: Sep 3 2024 10:08 PM</t>
  </si>
  <si>
    <t>LUPI'AH</t>
  </si>
  <si>
    <t>lupiahsudarmanto@gmail.com</t>
  </si>
  <si>
    <t>6735</t>
  </si>
  <si>
    <t>Starting at Thu Aug 29 2024 21:56:58 GMT-0400 (EDT)</t>
  </si>
  <si>
    <t>1Be8nCiDLaEFI5KpKPtD6Pw5ImBB_afb8</t>
  </si>
  <si>
    <t>https://drive.google.com/file/d/1Be8nCiDLaEFI5KpKPtD6Pw5ImBB_afb8/view?usp=drivesdk</t>
  </si>
  <si>
    <t>ASEP KURNAMA, S.Pd</t>
  </si>
  <si>
    <t>asepkurnama70@gmail.com</t>
  </si>
  <si>
    <t>6736</t>
  </si>
  <si>
    <t>Starting at Thu Aug 29 2024 21:56:59 GMT-0400 (EDT)</t>
  </si>
  <si>
    <t>1U3xOPi1abEpcNwetTO1mO30KSfrFVDCJ</t>
  </si>
  <si>
    <t>https://drive.google.com/file/d/1U3xOPi1abEpcNwetTO1mO30KSfrFVDCJ/view?usp=drivesdk</t>
  </si>
  <si>
    <t>MUSTAFA, S.H.</t>
  </si>
  <si>
    <t>musspn2008@gmail.com</t>
  </si>
  <si>
    <t>6737</t>
  </si>
  <si>
    <t>14UbhupyKM_HGSZlVkRlb_HOfkzv84NJL</t>
  </si>
  <si>
    <t>https://drive.google.com/file/d/14UbhupyKM_HGSZlVkRlb_HOfkzv84NJL/view?usp=drivesdk</t>
  </si>
  <si>
    <t>apt. ALMIRA DWI RIZKY REGITA, S.Farm</t>
  </si>
  <si>
    <t>almiradwirizkyregita@gmail.com</t>
  </si>
  <si>
    <t>6738</t>
  </si>
  <si>
    <t>1luNUW388Pozr1DPG-MnlA2uKk-ur74qG</t>
  </si>
  <si>
    <t>https://drive.google.com/file/d/1luNUW388Pozr1DPG-MnlA2uKk-ur74qG/view?usp=drivesdk</t>
  </si>
  <si>
    <t>SANTI ULI VERA, SS.MM</t>
  </si>
  <si>
    <t>ulivera01@yahoo.com</t>
  </si>
  <si>
    <t>6739</t>
  </si>
  <si>
    <t>Starting at Thu Aug 29 2024 21:57:01 GMT-0400 (EDT)</t>
  </si>
  <si>
    <t>1nVRwN6uo74WvKKdEadDMBll93XPNFz1I</t>
  </si>
  <si>
    <t>https://drive.google.com/file/d/1nVRwN6uo74WvKKdEadDMBll93XPNFz1I/view?usp=drivesdk</t>
  </si>
  <si>
    <t>HARWOKO PUJI PRIHANTO, ST</t>
  </si>
  <si>
    <t>harwokop@gmail.com</t>
  </si>
  <si>
    <t>6740</t>
  </si>
  <si>
    <t>15aWtFT_tVe8-BmO77J1QFhfRiq420eDO</t>
  </si>
  <si>
    <t>https://drive.google.com/file/d/15aWtFT_tVe8-BmO77J1QFhfRiq420eDO/view?usp=drivesdk</t>
  </si>
  <si>
    <t>RINA MURNIATI</t>
  </si>
  <si>
    <t>rinamurniati83@gmail.com</t>
  </si>
  <si>
    <t>6741</t>
  </si>
  <si>
    <t>1VGqEVyZ3zCzTjMdTbh2u81KRvfF1oqII</t>
  </si>
  <si>
    <t>https://drive.google.com/file/d/1VGqEVyZ3zCzTjMdTbh2u81KRvfF1oqII/view?usp=drivesdk</t>
  </si>
  <si>
    <t>Document successfully created; Document successfully merged; PDF created; !!Error Sending Emails: Service invoked too many times for one day: email.; Run via form trigger as ecertificate75@gmail.com; Timestamp: Sep 3 2024 10:09 PM</t>
  </si>
  <si>
    <t>HENDRI YOLANDA,SE.,M.Si</t>
  </si>
  <si>
    <t>hendriyolanda591@gmail.com</t>
  </si>
  <si>
    <t>6742</t>
  </si>
  <si>
    <t>Starting at Thu Aug 29 2024 21:57:04 GMT-0400 (EDT)</t>
  </si>
  <si>
    <t>1cGOfmteuENqUA2pIymb6y4IU1Rwxyqt4</t>
  </si>
  <si>
    <t>https://drive.google.com/file/d/1cGOfmteuENqUA2pIymb6y4IU1Rwxyqt4/view?usp=drivesdk</t>
  </si>
  <si>
    <t>WIDYA AYU NINGTYAS., A. Md</t>
  </si>
  <si>
    <t>widyaayuningtyas53@gmail.com</t>
  </si>
  <si>
    <t>6743</t>
  </si>
  <si>
    <t>19RPSHNbkZd-AMRjNZqaaAD2XSZ33pl9b</t>
  </si>
  <si>
    <t>https://drive.google.com/file/d/19RPSHNbkZd-AMRjNZqaaAD2XSZ33pl9b/view?usp=drivesdk</t>
  </si>
  <si>
    <t>HENGKI SUSWANTO</t>
  </si>
  <si>
    <t>hengkisuswanto19@gmail.com</t>
  </si>
  <si>
    <t>6744</t>
  </si>
  <si>
    <t>Starting at Thu Aug 29 2024 21:57:07 GMT-0400 (EDT)</t>
  </si>
  <si>
    <t>1f7diuG1phAANdJc0yysessMVhg40YlRY</t>
  </si>
  <si>
    <t>https://drive.google.com/file/d/1f7diuG1phAANdJc0yysessMVhg40YlRY/view?usp=drivesdk</t>
  </si>
  <si>
    <t xml:space="preserve">MUJIATI </t>
  </si>
  <si>
    <t>mujiati838@gmail.com</t>
  </si>
  <si>
    <t>6745</t>
  </si>
  <si>
    <t>11HpC3fc4_GPZtlgIUGNCCGZxQ_swmukp</t>
  </si>
  <si>
    <t>https://drive.google.com/file/d/11HpC3fc4_GPZtlgIUGNCCGZxQ_swmukp/view?usp=drivesdk</t>
  </si>
  <si>
    <t>EKO SUSANTO</t>
  </si>
  <si>
    <t>Ekos1700@gmail.com</t>
  </si>
  <si>
    <t>6746</t>
  </si>
  <si>
    <t>173ggnoH1Tm1w4LNKq-TiSg8qBRtjSOoH</t>
  </si>
  <si>
    <t>https://drive.google.com/file/d/173ggnoH1Tm1w4LNKq-TiSg8qBRtjSOoH/view?usp=drivesdk</t>
  </si>
  <si>
    <t>NINING NURWAHIDAH, A.Md.Kes</t>
  </si>
  <si>
    <t>nining.nurwahidah24@gmail.com</t>
  </si>
  <si>
    <t>6747</t>
  </si>
  <si>
    <t>1YMhCUfH_6zgIO239jL7j7zApLjchjpMz</t>
  </si>
  <si>
    <t>https://drive.google.com/file/d/1YMhCUfH_6zgIO239jL7j7zApLjchjpMz/view?usp=drivesdk</t>
  </si>
  <si>
    <t>MUHAMMAD IHWAN</t>
  </si>
  <si>
    <t>ikhwannaswa@gmail.com</t>
  </si>
  <si>
    <t>6748</t>
  </si>
  <si>
    <t>1tT-i7pI2vUM76KEjfCGkBqhfUmuJQBZA</t>
  </si>
  <si>
    <t>https://drive.google.com/file/d/1tT-i7pI2vUM76KEjfCGkBqhfUmuJQBZA/view?usp=drivesdk</t>
  </si>
  <si>
    <t>Document successfully created; Document successfully merged; PDF created; !!Error Sending Emails: Service invoked too many times for one day: email.; Run via form trigger as ecertificate75@gmail.com; Timestamp: Sep 3 2024 10:10 PM</t>
  </si>
  <si>
    <t>WIWIK LUJENG RAHAYU</t>
  </si>
  <si>
    <t>wiwiklujengrahayu@gmail.com</t>
  </si>
  <si>
    <t>6749</t>
  </si>
  <si>
    <t>1bm8p7TtdJeXPTA9IgbkhWLmc-p-_k9FM</t>
  </si>
  <si>
    <t>https://drive.google.com/file/d/1bm8p7TtdJeXPTA9IgbkhWLmc-p-_k9FM/view?usp=drivesdk</t>
  </si>
  <si>
    <t xml:space="preserve">FALINTINAH ELLY SABET </t>
  </si>
  <si>
    <t>ellypolres72@gmail.com</t>
  </si>
  <si>
    <t>6750</t>
  </si>
  <si>
    <t>1pUx0syi1b_SlT96ZywUJTLJblB6NvCmj</t>
  </si>
  <si>
    <t>https://drive.google.com/file/d/1pUx0syi1b_SlT96ZywUJTLJblB6NvCmj/view?usp=drivesdk</t>
  </si>
  <si>
    <t>TETY APRILTA BR SEMBIRING,S.Kep.,Ns</t>
  </si>
  <si>
    <t>tety.aprilta77@gmail.com</t>
  </si>
  <si>
    <t>6751</t>
  </si>
  <si>
    <t>1-CwdBB1xanOUzKYHARjcRC8u7JX9bT4v</t>
  </si>
  <si>
    <t>https://drive.google.com/file/d/1-CwdBB1xanOUzKYHARjcRC8u7JX9bT4v/view?usp=drivesdk</t>
  </si>
  <si>
    <t>SITI ROMYATI, S.HI.</t>
  </si>
  <si>
    <t>sitiromyati2265@gmail.com</t>
  </si>
  <si>
    <t>6752</t>
  </si>
  <si>
    <t>182JRQb1gcu0sxBU4P0U9XsBr2BN4B5q8</t>
  </si>
  <si>
    <t>https://drive.google.com/file/d/182JRQb1gcu0sxBU4P0U9XsBr2BN4B5q8/view?usp=drivesdk</t>
  </si>
  <si>
    <t>DWI SULISTIYONO, S.T., M.T.</t>
  </si>
  <si>
    <t>dwisulistiyono310@gmail.com</t>
  </si>
  <si>
    <t>6753</t>
  </si>
  <si>
    <t>Starting at Thu Aug 29 2024 21:57:11 GMT-0400 (EDT)</t>
  </si>
  <si>
    <t>1IS4_9IEy3tVrfohwxwLA_-fuFbL4q6TI</t>
  </si>
  <si>
    <t>https://drive.google.com/file/d/1IS4_9IEy3tVrfohwxwLA_-fuFbL4q6TI/view?usp=drivesdk</t>
  </si>
  <si>
    <t>PENTI DWI PUSPITA</t>
  </si>
  <si>
    <t>pentipuspita307@gmail.com</t>
  </si>
  <si>
    <t>6754</t>
  </si>
  <si>
    <t>1J55ii_SknZpSqPZ62iT87jNG3dbr_5Wr</t>
  </si>
  <si>
    <t>https://drive.google.com/file/d/1J55ii_SknZpSqPZ62iT87jNG3dbr_5Wr/view?usp=drivesdk</t>
  </si>
  <si>
    <t>Document successfully created; Document successfully merged; PDF created; !!Error Sending Emails: Service invoked too many times for one day: email.; Run via form trigger as ecertificate75@gmail.com; Timestamp: Sep 3 2024 10:11 PM</t>
  </si>
  <si>
    <t>SUTANTO</t>
  </si>
  <si>
    <t>sutantotanto549@gmail.com</t>
  </si>
  <si>
    <t>6755</t>
  </si>
  <si>
    <t>Starting at Thu Aug 29 2024 21:57:13 GMT-0400 (EDT)</t>
  </si>
  <si>
    <t>1WIBB7Ge4UCBTzsgdevOdZO0qb8Fw68Gg</t>
  </si>
  <si>
    <t>https://drive.google.com/file/d/1WIBB7Ge4UCBTzsgdevOdZO0qb8Fw68Gg/view?usp=drivesdk</t>
  </si>
  <si>
    <t>IKHSAN. S.IP</t>
  </si>
  <si>
    <t>ikhsanidris69@gmail.com</t>
  </si>
  <si>
    <t>6756</t>
  </si>
  <si>
    <t>1TOjln0zCLl2UK74O6gLyVUORRoyF3ik1</t>
  </si>
  <si>
    <t>https://drive.google.com/file/d/1TOjln0zCLl2UK74O6gLyVUORRoyF3ik1/view?usp=drivesdk</t>
  </si>
  <si>
    <t>MOH. ARYO</t>
  </si>
  <si>
    <t>aryoriyo1995@gmail.com</t>
  </si>
  <si>
    <t>6757</t>
  </si>
  <si>
    <t>127v8nilI4LQioxTQhouwG_toEdGnEHnj</t>
  </si>
  <si>
    <t>https://drive.google.com/file/d/127v8nilI4LQioxTQhouwG_toEdGnEHnj/view?usp=drivesdk</t>
  </si>
  <si>
    <t>SUCI PENI,SH</t>
  </si>
  <si>
    <t>sucipeni6@gmail.com</t>
  </si>
  <si>
    <t>6758</t>
  </si>
  <si>
    <t>152IH-Xr3znYhQphDOR-1WuT2GnJ_MIaW</t>
  </si>
  <si>
    <t>https://drive.google.com/file/d/152IH-Xr3znYhQphDOR-1WuT2GnJ_MIaW/view?usp=drivesdk</t>
  </si>
  <si>
    <t>HERDIANA</t>
  </si>
  <si>
    <t>herdiana1969@gmail.com</t>
  </si>
  <si>
    <t>6759</t>
  </si>
  <si>
    <t>Starting at Thu Aug 29 2024 21:57:16 GMT-0400 (EDT)</t>
  </si>
  <si>
    <t>1fRcb6KUhUAYAp_T7qwnUomw8O4e-Fnwz</t>
  </si>
  <si>
    <t>https://drive.google.com/file/d/1fRcb6KUhUAYAp_T7qwnUomw8O4e-Fnwz/view?usp=drivesdk</t>
  </si>
  <si>
    <t xml:space="preserve">CHOIRUL ANNGAM </t>
  </si>
  <si>
    <t>choirulanngam36@gmail.com</t>
  </si>
  <si>
    <t>6760</t>
  </si>
  <si>
    <t>1b2CsPJfxsDYSjz1ofEVTGsnSufg0kXYm</t>
  </si>
  <si>
    <t>https://drive.google.com/file/d/1b2CsPJfxsDYSjz1ofEVTGsnSufg0kXYm/view?usp=drivesdk</t>
  </si>
  <si>
    <t>Document successfully created; Document successfully merged; PDF created; !!Error Sending Emails: Service invoked too many times for one day: email.; Run via form trigger as ecertificate75@gmail.com; Timestamp: Sep 3 2024 10:12 PM</t>
  </si>
  <si>
    <t>NS.SILVIA AGUSTIN,S.KEP,M.M</t>
  </si>
  <si>
    <t>silviaagustinvirgo@gmail.com</t>
  </si>
  <si>
    <t>6761</t>
  </si>
  <si>
    <t>Starting at Thu Aug 29 2024 21:57:28 GMT-0400 (EDT)</t>
  </si>
  <si>
    <t>1RM6WjeJ0x7XgQHF73q-0qXkpUksBtM75</t>
  </si>
  <si>
    <t>https://drive.google.com/file/d/1RM6WjeJ0x7XgQHF73q-0qXkpUksBtM75/view?usp=drivesdk</t>
  </si>
  <si>
    <t>RITA NESIA NASUTION</t>
  </si>
  <si>
    <t>nesia.nasution@gmail.com</t>
  </si>
  <si>
    <t>6762</t>
  </si>
  <si>
    <t>Starting at Thu Aug 29 2024 21:57:29 GMT-0400 (EDT)</t>
  </si>
  <si>
    <t>195oingHiYZpicCmAHVhzQ-obG7BiJhJm</t>
  </si>
  <si>
    <t>https://drive.google.com/file/d/195oingHiYZpicCmAHVhzQ-obG7BiJhJm/view?usp=drivesdk</t>
  </si>
  <si>
    <t>TATI ARIANI</t>
  </si>
  <si>
    <t>tatiharyani67@gmail.com</t>
  </si>
  <si>
    <t>6763</t>
  </si>
  <si>
    <t>1IZEtucHwkFV391VyNcXxSd88v_7xCB4-</t>
  </si>
  <si>
    <t>https://drive.google.com/file/d/1IZEtucHwkFV391VyNcXxSd88v_7xCB4-/view?usp=drivesdk</t>
  </si>
  <si>
    <t>NYUNARTI</t>
  </si>
  <si>
    <t>nyunarti11@gmail.com</t>
  </si>
  <si>
    <t>6764</t>
  </si>
  <si>
    <t>Starting at Thu Aug 29 2024 21:57:31 GMT-0400 (EDT)</t>
  </si>
  <si>
    <t>1Dj3S6SPp_rLBxe4SBT7q6o7F4irhstzp</t>
  </si>
  <si>
    <t>https://drive.google.com/file/d/1Dj3S6SPp_rLBxe4SBT7q6o7F4irhstzp/view?usp=drivesdk</t>
  </si>
  <si>
    <t>CITRA ANGGRIANIS KUSUMA DEWU</t>
  </si>
  <si>
    <t>anggrianiskusuma90@gmail.com</t>
  </si>
  <si>
    <t>6765</t>
  </si>
  <si>
    <t>Starting at Thu Aug 29 2024 21:57:34 GMT-0400 (EDT)</t>
  </si>
  <si>
    <t>1l4f5bKwdEgLPQx5wBcU4zf-DE7asmVF6</t>
  </si>
  <si>
    <t>https://drive.google.com/file/d/1l4f5bKwdEgLPQx5wBcU4zf-DE7asmVF6/view?usp=drivesdk</t>
  </si>
  <si>
    <t>Document successfully created; Document successfully merged; PDF created; !!Error Sending Emails: Service invoked too many times for one day: email.; Manually run by ecertificate75@gmail.com; Timestamp: Sep 3 2024 11:54 PM</t>
  </si>
  <si>
    <t>suherman.wafa1710@gmail.com</t>
  </si>
  <si>
    <t>6766</t>
  </si>
  <si>
    <t>1yEqAvvNdOev_GSU572EZoiPgQRNar_Nz</t>
  </si>
  <si>
    <t>https://drive.google.com/file/d/1yEqAvvNdOev_GSU572EZoiPgQRNar_Nz/view?usp=drivesdk</t>
  </si>
  <si>
    <t>SAFRUDDIN</t>
  </si>
  <si>
    <t>safruddin1074@gmail.com</t>
  </si>
  <si>
    <t>6767</t>
  </si>
  <si>
    <t>1ICleNpyR8ZDLqgcVN8an8yzKvqz88JmL</t>
  </si>
  <si>
    <t>https://drive.google.com/file/d/1ICleNpyR8ZDLqgcVN8an8yzKvqz88JmL/view?usp=drivesdk</t>
  </si>
  <si>
    <t>Document successfully created; Document successfully merged; PDF created; !!Error Sending Emails: Service invoked too many times for one day: email.; Manually run by ecertificate75@gmail.com; Timestamp: Sep 3 2024 11:55 PM</t>
  </si>
  <si>
    <t xml:space="preserve">WIWIK WIDAYATI </t>
  </si>
  <si>
    <t>widayati.wiwik1968@gmail.com</t>
  </si>
  <si>
    <t>6768</t>
  </si>
  <si>
    <t>1We_B62yq48nexu6Q_ya4bDcmphBWt103</t>
  </si>
  <si>
    <t>https://drive.google.com/file/d/1We_B62yq48nexu6Q_ya4bDcmphBWt103/view?usp=drivesdk</t>
  </si>
  <si>
    <t>yono130568@gmail.com</t>
  </si>
  <si>
    <t>6769</t>
  </si>
  <si>
    <t>1SdE3kvA4pOOqaYebf0D7_9UEkMW09wV-</t>
  </si>
  <si>
    <t>https://drive.google.com/file/d/1SdE3kvA4pOOqaYebf0D7_9UEkMW09wV-/view?usp=drivesdk</t>
  </si>
  <si>
    <t>SRI WINATUN</t>
  </si>
  <si>
    <t>sriwinatun2015@gmail.com</t>
  </si>
  <si>
    <t>6770</t>
  </si>
  <si>
    <t>Starting at Thu Aug 29 2024 21:57:38 GMT-0400 (EDT)</t>
  </si>
  <si>
    <t>1gPTIpjClu0ZJ_57q_r5mFOwi8HGCrXQA</t>
  </si>
  <si>
    <t>https://drive.google.com/file/d/1gPTIpjClu0ZJ_57q_r5mFOwi8HGCrXQA/view?usp=drivesdk</t>
  </si>
  <si>
    <t>ASIH LESTARI</t>
  </si>
  <si>
    <t>79asihlestari@gmail.com</t>
  </si>
  <si>
    <t>6771</t>
  </si>
  <si>
    <t>1Rn-AOeft0lEA4HLnOpcRzlcPHkoVObKy</t>
  </si>
  <si>
    <t>https://drive.google.com/file/d/1Rn-AOeft0lEA4HLnOpcRzlcPHkoVObKy/view?usp=drivesdk</t>
  </si>
  <si>
    <t>Document successfully created; Document successfully merged; PDF created; !!Error Sending Emails: Service invoked too many times for one day: email.; Manually run by ecertificate75@gmail.com; Timestamp: Sep 3 2024 11:56 PM</t>
  </si>
  <si>
    <t>LINDA HARIANI, SE</t>
  </si>
  <si>
    <t>arfindalinda@gmail.com</t>
  </si>
  <si>
    <t>6772</t>
  </si>
  <si>
    <t>15D809kqRwT1PWgY3XRTVgN_obT2kF0qQ</t>
  </si>
  <si>
    <t>https://drive.google.com/file/d/15D809kqRwT1PWgY3XRTVgN_obT2kF0qQ/view?usp=drivesdk</t>
  </si>
  <si>
    <t>DESY LENNY HO</t>
  </si>
  <si>
    <t>lenydesy717@gmail.com</t>
  </si>
  <si>
    <t>6773</t>
  </si>
  <si>
    <t>1vhb3zJJlSeM-V9oWFOSLMkrD66Ojd2PN</t>
  </si>
  <si>
    <t>https://drive.google.com/file/d/1vhb3zJJlSeM-V9oWFOSLMkrD66Ojd2PN/view?usp=drivesdk</t>
  </si>
  <si>
    <t>YULI YENTI, S.Mn</t>
  </si>
  <si>
    <t>yuliyenti.avail@gmail.com</t>
  </si>
  <si>
    <t>6774</t>
  </si>
  <si>
    <t>Starting at Thu Aug 29 2024 21:57:40 GMT-0400 (EDT)</t>
  </si>
  <si>
    <t>14tLnN7HHef601-z3M47P0AyyZouGwy8E</t>
  </si>
  <si>
    <t>https://drive.google.com/file/d/14tLnN7HHef601-z3M47P0AyyZouGwy8E/view?usp=drivesdk</t>
  </si>
  <si>
    <t>Document successfully created; Document successfully merged; PDF created; !!Error Sending Emails: Service invoked too many times for one day: email.; Manually run by ecertificate75@gmail.com; Timestamp: Sep 3 2024 11:57 PM</t>
  </si>
  <si>
    <t xml:space="preserve">Sari Ratna Agustiani </t>
  </si>
  <si>
    <t>sariratnaagustiani25@gmail.com</t>
  </si>
  <si>
    <t>6775</t>
  </si>
  <si>
    <t>1H1wQTewWd_OqLipTAZrlHlD-mD6tZXKv</t>
  </si>
  <si>
    <t>https://drive.google.com/file/d/1H1wQTewWd_OqLipTAZrlHlD-mD6tZXKv/view?usp=drivesdk</t>
  </si>
  <si>
    <t>SUNANDAR</t>
  </si>
  <si>
    <t>nandar071979@gmail.cim</t>
  </si>
  <si>
    <t>6776</t>
  </si>
  <si>
    <t>1juaOxSKlMecLZ6QrQBQDBwfLqklne6sJ</t>
  </si>
  <si>
    <t>https://drive.google.com/file/d/1juaOxSKlMecLZ6QrQBQDBwfLqklne6sJ/view?usp=drivesdk</t>
  </si>
  <si>
    <t>EMMY FITRIANINGSIH, S.KEP.</t>
  </si>
  <si>
    <t>emmy.tutuala@gmail.com</t>
  </si>
  <si>
    <t>6777</t>
  </si>
  <si>
    <t>1P_9FqS3iIT40CNRkoiruJO9SXQXwSjuT</t>
  </si>
  <si>
    <t>https://drive.google.com/file/d/1P_9FqS3iIT40CNRkoiruJO9SXQXwSjuT/view?usp=drivesdk</t>
  </si>
  <si>
    <t>Document successfully created; Document successfully merged; PDF created; !!Error Sending Emails: Service invoked too many times for one day: email.; Manually run by ecertificate75@gmail.com; Timestamp: Sep 3 2024 11:58 PM</t>
  </si>
  <si>
    <t>SETIYONO.S.Sos</t>
  </si>
  <si>
    <t>yonyboys26@gmail.com</t>
  </si>
  <si>
    <t>6778</t>
  </si>
  <si>
    <t>1XPvtnd4IWi8bTD9m4PorXyYSDfbHsMMa</t>
  </si>
  <si>
    <t>https://drive.google.com/file/d/1XPvtnd4IWi8bTD9m4PorXyYSDfbHsMMa/view?usp=drivesdk</t>
  </si>
  <si>
    <t>EKO WIDODO, S.Kom</t>
  </si>
  <si>
    <t>widodoeko771008@gmail.com</t>
  </si>
  <si>
    <t>6779</t>
  </si>
  <si>
    <t>18QXtJUxuY7Q8iFcIStAEDjJD9UdTkxqe</t>
  </si>
  <si>
    <t>https://drive.google.com/file/d/18QXtJUxuY7Q8iFcIStAEDjJD9UdTkxqe/view?usp=drivesdk</t>
  </si>
  <si>
    <t>SUWITO</t>
  </si>
  <si>
    <t>abehwito046@gmail.com</t>
  </si>
  <si>
    <t>6780</t>
  </si>
  <si>
    <t>11UIicGbMS6NTxeRxNfmVECaZhM2PisyZ</t>
  </si>
  <si>
    <t>https://drive.google.com/file/d/11UIicGbMS6NTxeRxNfmVECaZhM2PisyZ/view?usp=drivesdk</t>
  </si>
  <si>
    <t xml:space="preserve">JUMIATI ARSYAD </t>
  </si>
  <si>
    <t>jumijuminten297@gmail.com</t>
  </si>
  <si>
    <t>6781</t>
  </si>
  <si>
    <t>Starting at Thu Aug 29 2024 21:57:45 GMT-0400 (EDT)</t>
  </si>
  <si>
    <t>1Hvgan2rHJlQDiF2GkcJ-wSkHMkXpjnAG</t>
  </si>
  <si>
    <t>https://drive.google.com/file/d/1Hvgan2rHJlQDiF2GkcJ-wSkHMkXpjnAG/view?usp=drivesdk</t>
  </si>
  <si>
    <t>LULUT HERIYANI</t>
  </si>
  <si>
    <t>lulutheriyani1234@gmail.com</t>
  </si>
  <si>
    <t>6782</t>
  </si>
  <si>
    <t>1Flh3MCEeENRfDNmA09q-pWidRq8JUS78</t>
  </si>
  <si>
    <t>https://drive.google.com/file/d/1Flh3MCEeENRfDNmA09q-pWidRq8JUS78/view?usp=drivesdk</t>
  </si>
  <si>
    <t>MAHFUD FAHRUR ROZI, SE</t>
  </si>
  <si>
    <t>mahfud77obvit@gmail.com</t>
  </si>
  <si>
    <t>6783</t>
  </si>
  <si>
    <t>1ma4-nUX9_qpsoelk5HAdfXM3Pl1dQlh9</t>
  </si>
  <si>
    <t>https://drive.google.com/file/d/1ma4-nUX9_qpsoelk5HAdfXM3Pl1dQlh9/view?usp=drivesdk</t>
  </si>
  <si>
    <t>Document successfully created; Document successfully merged; PDF created; !!Error Sending Emails: Service invoked too many times for one day: email.; Manually run by ecertificate75@gmail.com; Timestamp: Sep 4 2024 12:40 AM</t>
  </si>
  <si>
    <t>AZI SAEPULLOH</t>
  </si>
  <si>
    <t>azieandra@gmail.com</t>
  </si>
  <si>
    <t>6784</t>
  </si>
  <si>
    <t>1ZUkS_x8hB2l8ZJ7RtpfeZ4_CaPOKkXqH</t>
  </si>
  <si>
    <t>https://drive.google.com/file/d/1ZUkS_x8hB2l8ZJ7RtpfeZ4_CaPOKkXqH/view?usp=drivesdk</t>
  </si>
  <si>
    <t>KARTIKA MADYARATRI, S.Kom., M.M.</t>
  </si>
  <si>
    <t>dy4kartika@gmail.com</t>
  </si>
  <si>
    <t>6785</t>
  </si>
  <si>
    <t>11TB85syLWOJfIybA30_3irB4i0hzOXG2</t>
  </si>
  <si>
    <t>https://drive.google.com/file/d/11TB85syLWOJfIybA30_3irB4i0hzOXG2/view?usp=drivesdk</t>
  </si>
  <si>
    <t>JUMIYA</t>
  </si>
  <si>
    <t>jmtomson5@gmail.com</t>
  </si>
  <si>
    <t>6786</t>
  </si>
  <si>
    <t>1ivmw5AF_N-aAENwJ6NFJ76WkchxEUbNK</t>
  </si>
  <si>
    <t>https://drive.google.com/file/d/1ivmw5AF_N-aAENwJ6NFJ76WkchxEUbNK/view?usp=drivesdk</t>
  </si>
  <si>
    <t>Document successfully created; Document successfully merged; PDF created; !!Error Sending Emails: Service invoked too many times for one day: email.; Manually run by ecertificate75@gmail.com; Timestamp: Sep 4 2024 12:41 AM</t>
  </si>
  <si>
    <t>NURISAH</t>
  </si>
  <si>
    <t>nurisah1216@gmail.com</t>
  </si>
  <si>
    <t>6787</t>
  </si>
  <si>
    <t>Starting at Thu Aug 29 2024 21:57:52 GMT-0400 (EDT)</t>
  </si>
  <si>
    <t>1AqNjU6W_yDz1SgReYTz55yC-mpzr2WsJ</t>
  </si>
  <si>
    <t>https://drive.google.com/file/d/1AqNjU6W_yDz1SgReYTz55yC-mpzr2WsJ/view?usp=drivesdk</t>
  </si>
  <si>
    <t xml:space="preserve">DARMA PUTRA </t>
  </si>
  <si>
    <t>aisa29081971@gmail.com</t>
  </si>
  <si>
    <t>6788</t>
  </si>
  <si>
    <t>1aF_uzRdVJXDZgB0OfdAvx0cSCAp4Zyzn</t>
  </si>
  <si>
    <t>https://drive.google.com/file/d/1aF_uzRdVJXDZgB0OfdAvx0cSCAp4Zyzn/view?usp=drivesdk</t>
  </si>
  <si>
    <t xml:space="preserve">DANUK PURWANINGTYAS </t>
  </si>
  <si>
    <t>danukporwaningtyas@gmail.com</t>
  </si>
  <si>
    <t>6789</t>
  </si>
  <si>
    <t>1KC-Fh_nk_FYbbTmnc034TYpcMPIXKEo1</t>
  </si>
  <si>
    <t>https://drive.google.com/file/d/1KC-Fh_nk_FYbbTmnc034TYpcMPIXKEo1/view?usp=drivesdk</t>
  </si>
  <si>
    <t>CUK HERU SETIAWAN</t>
  </si>
  <si>
    <t>cukherusetiawan649@gmail.com</t>
  </si>
  <si>
    <t>6790</t>
  </si>
  <si>
    <t>1zhARwBZlbsaeGlpxMwJSSnkqLQACl4ih</t>
  </si>
  <si>
    <t>https://drive.google.com/file/d/1zhARwBZlbsaeGlpxMwJSSnkqLQACl4ih/view?usp=drivesdk</t>
  </si>
  <si>
    <t>JATMIKO</t>
  </si>
  <si>
    <t>jatmikoradin@gmail.com</t>
  </si>
  <si>
    <t>6791</t>
  </si>
  <si>
    <t>1jpQxOoptGClcWXhjPEQIy0QJvn0PEU2I</t>
  </si>
  <si>
    <t>https://drive.google.com/file/d/1jpQxOoptGClcWXhjPEQIy0QJvn0PEU2I/view?usp=drivesdk</t>
  </si>
  <si>
    <t>Document successfully created; Document successfully merged; PDF created; !!Error Sending Emails: Service invoked too many times for one day: email.; Manually run by ecertificate75@gmail.com; Timestamp: Sep 4 2024 12:42 AM</t>
  </si>
  <si>
    <t>FERRY HARDANI, S.Kom.</t>
  </si>
  <si>
    <t>hardaniferry@gmail.com</t>
  </si>
  <si>
    <t>6792</t>
  </si>
  <si>
    <t>1Joy55HV0NU1sw71JQlNA_uiqCA1I73FK</t>
  </si>
  <si>
    <t>https://drive.google.com/file/d/1Joy55HV0NU1sw71JQlNA_uiqCA1I73FK/view?usp=drivesdk</t>
  </si>
  <si>
    <t>MARIA NIDA ELVIA, S.Sos</t>
  </si>
  <si>
    <t>marianida081973@gmail.com</t>
  </si>
  <si>
    <t>6793</t>
  </si>
  <si>
    <t>1nwDAw1lOL9uijPu2Xog-QDnYHRDAfwUD</t>
  </si>
  <si>
    <t>https://drive.google.com/file/d/1nwDAw1lOL9uijPu2Xog-QDnYHRDAfwUD/view?usp=drivesdk</t>
  </si>
  <si>
    <t>RISNAWATI SIREGAR</t>
  </si>
  <si>
    <t>risna.sariindah@gmail.com</t>
  </si>
  <si>
    <t>6794</t>
  </si>
  <si>
    <t>1ifLsKWoVjdfrUAlBa0VVQ2iqDZMnSNlr</t>
  </si>
  <si>
    <t>https://drive.google.com/file/d/1ifLsKWoVjdfrUAlBa0VVQ2iqDZMnSNlr/view?usp=drivesdk</t>
  </si>
  <si>
    <t>Document successfully created; Document successfully merged; PDF created; !!Error Sending Emails: Service invoked too many times for one day: email.; Manually run by ecertificate75@gmail.com; Timestamp: Sep 4 2024 12:43 AM</t>
  </si>
  <si>
    <t>EKO ARIS YULIANTO</t>
  </si>
  <si>
    <t>earis576@gmail.com</t>
  </si>
  <si>
    <t>6795</t>
  </si>
  <si>
    <t>Starting at Thu Aug 29 2024 21:57:54 GMT-0400 (EDT)</t>
  </si>
  <si>
    <t>1A2TiLTVI4NPRusHGt5OIv6pPEV5jDp6Z</t>
  </si>
  <si>
    <t>https://drive.google.com/file/d/1A2TiLTVI4NPRusHGt5OIv6pPEV5jDp6Z/view?usp=drivesdk</t>
  </si>
  <si>
    <t>MOHAMMAD AHRIZAL DESTIAN, A.Md.</t>
  </si>
  <si>
    <t>ahrizald@gmail.com</t>
  </si>
  <si>
    <t>6796</t>
  </si>
  <si>
    <t>Starting at Thu Aug 29 2024 21:57:57 GMT-0400 (EDT)</t>
  </si>
  <si>
    <t>1jAUFkY6PLSXbPHPQSoM4S_KQsss6IcGP</t>
  </si>
  <si>
    <t>https://drive.google.com/file/d/1jAUFkY6PLSXbPHPQSoM4S_KQsss6IcGP/view?usp=drivesdk</t>
  </si>
  <si>
    <t>GIANTONO</t>
  </si>
  <si>
    <t>giantonodita@gmail.com</t>
  </si>
  <si>
    <t>6797</t>
  </si>
  <si>
    <t>1Qf0aDZjvaZq-dti3d_t1OOk4RIW6ddkw</t>
  </si>
  <si>
    <t>https://drive.google.com/file/d/1Qf0aDZjvaZq-dti3d_t1OOk4RIW6ddkw/view?usp=drivesdk</t>
  </si>
  <si>
    <t>MARTINI, S.H</t>
  </si>
  <si>
    <t>aldanitini1968@gmail.com</t>
  </si>
  <si>
    <t>6798</t>
  </si>
  <si>
    <t>11Q6KqQz4gwZYRdmv1lObfIUWjW4n8gKN</t>
  </si>
  <si>
    <t>https://drive.google.com/file/d/11Q6KqQz4gwZYRdmv1lObfIUWjW4n8gKN/view?usp=drivesdk</t>
  </si>
  <si>
    <t>Document successfully created; Document successfully merged; PDF created; !!Error Sending Emails: Service invoked too many times for one day: email.; Manually run by ecertificate75@gmail.com; Timestamp: Sep 4 2024 12:44 AM</t>
  </si>
  <si>
    <t>SILVIA CAKRAWATI, S. Sos</t>
  </si>
  <si>
    <t>silviacakrawati72@gmail.com</t>
  </si>
  <si>
    <t>6799</t>
  </si>
  <si>
    <t>1uJJNXvhb4wMBcNYbVSkiVS2MLfe5q5-1</t>
  </si>
  <si>
    <t>https://drive.google.com/file/d/1uJJNXvhb4wMBcNYbVSkiVS2MLfe5q5-1/view?usp=drivesdk</t>
  </si>
  <si>
    <t>DWI JEVY SUJI RAHAYU, S.E., M.M.</t>
  </si>
  <si>
    <t>jevysuji@gmail.com</t>
  </si>
  <si>
    <t>6800</t>
  </si>
  <si>
    <t>Starting at Thu Aug 29 2024 21:57:59 GMT-0400 (EDT)</t>
  </si>
  <si>
    <t>1mSEI35TpeNm4vPw5FOengko-5a2o5Jge</t>
  </si>
  <si>
    <t>https://drive.google.com/file/d/1mSEI35TpeNm4vPw5FOengko-5a2o5Jge/view?usp=drivesdk</t>
  </si>
  <si>
    <t>JIMMY FERNANDO</t>
  </si>
  <si>
    <t>jimmyfernandosiregar8282@gmail.com</t>
  </si>
  <si>
    <t>6801</t>
  </si>
  <si>
    <t>1-lflXrVNe0AdNSDZYlLRg1wJ_opDqOpn</t>
  </si>
  <si>
    <t>https://drive.google.com/file/d/1-lflXrVNe0AdNSDZYlLRg1wJ_opDqOpn/view?usp=drivesdk</t>
  </si>
  <si>
    <t>RINA SUHESTI</t>
  </si>
  <si>
    <t>rinasuhesti178@gmail.com</t>
  </si>
  <si>
    <t>6802</t>
  </si>
  <si>
    <t>144m8fyg4sJYGMNzbVuM_JafrGnnNVPa7</t>
  </si>
  <si>
    <t>https://drive.google.com/file/d/144m8fyg4sJYGMNzbVuM_JafrGnnNVPa7/view?usp=drivesdk</t>
  </si>
  <si>
    <t>Document successfully created; Document successfully merged; PDF created; !!Error Sending Emails: Service invoked too many times for one day: email.; Manually run by ecertificate75@gmail.com; Timestamp: Sep 4 2024 12:45 AM</t>
  </si>
  <si>
    <t>hariyantoyanto883@gmail.com</t>
  </si>
  <si>
    <t>6803</t>
  </si>
  <si>
    <t>17pFRqWrxBv0oT33VRDMbCA4OQuNA--68</t>
  </si>
  <si>
    <t>https://drive.google.com/file/d/17pFRqWrxBv0oT33VRDMbCA4OQuNA--68/view?usp=drivesdk</t>
  </si>
  <si>
    <t>SETIYONO, S.Si., M.M.</t>
  </si>
  <si>
    <t>setiyono272@gmail.com</t>
  </si>
  <si>
    <t>6804</t>
  </si>
  <si>
    <t>Starting at Thu Aug 29 2024 21:58:02 GMT-0400 (EDT)</t>
  </si>
  <si>
    <t>1o7RYNwwpHpKTQiCi2pchKRIIEqUj286Y</t>
  </si>
  <si>
    <t>https://drive.google.com/file/d/1o7RYNwwpHpKTQiCi2pchKRIIEqUj286Y/view?usp=drivesdk</t>
  </si>
  <si>
    <t>I WAYAN WINAWAN</t>
  </si>
  <si>
    <t>winawanwayan3@gmail.com</t>
  </si>
  <si>
    <t>6805</t>
  </si>
  <si>
    <t>1e7JqCPJWG6-2nv95jAaWOVXLTSjpdPNB</t>
  </si>
  <si>
    <t>https://drive.google.com/file/d/1e7JqCPJWG6-2nv95jAaWOVXLTSjpdPNB/view?usp=drivesdk</t>
  </si>
  <si>
    <t>CITRA RESA FEBRIYANTI</t>
  </si>
  <si>
    <t>citra.elhazima@gmail.com</t>
  </si>
  <si>
    <t>6806</t>
  </si>
  <si>
    <t>14F6BwzjgMCeUEAdzPEnuw8GBIzk2q-L2</t>
  </si>
  <si>
    <t>https://drive.google.com/file/d/14F6BwzjgMCeUEAdzPEnuw8GBIzk2q-L2/view?usp=drivesdk</t>
  </si>
  <si>
    <t>Document successfully created; Document successfully merged; PDF created; !!Error Sending Emails: Service invoked too many times for one day: email.; Manually run by ecertificate75@gmail.com; Timestamp: Sep 4 2024 12:46 AM</t>
  </si>
  <si>
    <t>JOKBET PENTURY Amd.Kep</t>
  </si>
  <si>
    <t>jokbetpentury14@gmail.com</t>
  </si>
  <si>
    <t>6807</t>
  </si>
  <si>
    <t>Starting at Thu Aug 29 2024 21:58:05 GMT-0400 (EDT)</t>
  </si>
  <si>
    <t>1Kn-cQCDezwGWagsNGA24hi9qI9NVQHW1</t>
  </si>
  <si>
    <t>https://drive.google.com/file/d/1Kn-cQCDezwGWagsNGA24hi9qI9NVQHW1/view?usp=drivesdk</t>
  </si>
  <si>
    <t>TIKA SEPTIANA</t>
  </si>
  <si>
    <t>tikaseptiana12@gmail.com</t>
  </si>
  <si>
    <t>6808</t>
  </si>
  <si>
    <t>10rvkPJL_KwCdixI0dLUsgvAnDg0sCcsy</t>
  </si>
  <si>
    <t>https://drive.google.com/file/d/10rvkPJL_KwCdixI0dLUsgvAnDg0sCcsy/view?usp=drivesdk</t>
  </si>
  <si>
    <t>TRI YULIANA</t>
  </si>
  <si>
    <t>yuliartayoga@gmail.com</t>
  </si>
  <si>
    <t>6809</t>
  </si>
  <si>
    <t>Starting at Thu Aug 29 2024 21:58:12 GMT-0400 (EDT)</t>
  </si>
  <si>
    <t>1zA28YIWCEjIaCzjEUzPyqxb4Te2kKK68</t>
  </si>
  <si>
    <t>https://drive.google.com/file/d/1zA28YIWCEjIaCzjEUzPyqxb4Te2kKK68/view?usp=drivesdk</t>
  </si>
  <si>
    <t>annahusna17@gmail.com</t>
  </si>
  <si>
    <t>6810</t>
  </si>
  <si>
    <t>1HRu9jUng4dvQVLRicyccxVfTXm-2Nsx5</t>
  </si>
  <si>
    <t>https://drive.google.com/file/d/1HRu9jUng4dvQVLRicyccxVfTXm-2Nsx5/view?usp=drivesdk</t>
  </si>
  <si>
    <t>Document successfully created; Document successfully merged; PDF created; !!Error Sending Emails: Service invoked too many times for one day: email.; Manually run by ecertificate75@gmail.com; Timestamp: Sep 4 2024 12:47 AM</t>
  </si>
  <si>
    <t xml:space="preserve">SUWARNI </t>
  </si>
  <si>
    <t>suwarnifika@gmail.com</t>
  </si>
  <si>
    <t>6811</t>
  </si>
  <si>
    <t>1F0IpxkAamLipnOjGrPjZrm-LzOTBl9p-</t>
  </si>
  <si>
    <t>https://drive.google.com/file/d/1F0IpxkAamLipnOjGrPjZrm-LzOTBl9p-/view?usp=drivesdk</t>
  </si>
  <si>
    <t>RAMADINI MARNIATY</t>
  </si>
  <si>
    <t>ramadinidebreving@gmail.com</t>
  </si>
  <si>
    <t>6812</t>
  </si>
  <si>
    <t>19_I6rc3CPZWl9uTzZP4sU9v7aUE2hIPS</t>
  </si>
  <si>
    <t>https://drive.google.com/file/d/19_I6rc3CPZWl9uTzZP4sU9v7aUE2hIPS/view?usp=drivesdk</t>
  </si>
  <si>
    <t>Document successfully created; Document successfully merged; PDF created; !!Error Sending Emails: Service invoked too many times for one day: email.; Manually run by ecertificate75@gmail.com; Timestamp: Sep 4 2024 12:48 AM</t>
  </si>
  <si>
    <t>Rati nurulia, A.Md. Far</t>
  </si>
  <si>
    <t>ratinurulia17@gmail.com</t>
  </si>
  <si>
    <t>6813</t>
  </si>
  <si>
    <t>Starting at Thu Aug 29 2024 21:58:13 GMT-0400 (EDT)</t>
  </si>
  <si>
    <t>1gNM4e5r9Xlx1z51zu6IxGSQGHaRzUHvb</t>
  </si>
  <si>
    <t>https://drive.google.com/file/d/1gNM4e5r9Xlx1z51zu6IxGSQGHaRzUHvb/view?usp=drivesdk</t>
  </si>
  <si>
    <t>HENDRIYANTO</t>
  </si>
  <si>
    <t>hendriyanto31okt@gmail.com</t>
  </si>
  <si>
    <t>6814</t>
  </si>
  <si>
    <t>Starting at Thu Aug 29 2024 21:58:18 GMT-0400 (EDT)</t>
  </si>
  <si>
    <t>1WX-Pyzxw5ujHPU1Wh-j5V9NKDwErfG4W</t>
  </si>
  <si>
    <t>https://drive.google.com/file/d/1WX-Pyzxw5ujHPU1Wh-j5V9NKDwErfG4W/view?usp=drivesdk</t>
  </si>
  <si>
    <t>DELVI, AMD</t>
  </si>
  <si>
    <t>delvi.fira@gmail.com</t>
  </si>
  <si>
    <t>6815</t>
  </si>
  <si>
    <t>12OXwaxYAShYAsy9C9sOgcS1J-CnvqUWU</t>
  </si>
  <si>
    <t>https://drive.google.com/file/d/12OXwaxYAShYAsy9C9sOgcS1J-CnvqUWU/view?usp=drivesdk</t>
  </si>
  <si>
    <t>DARYADI, S.Kom.</t>
  </si>
  <si>
    <t>daryadid917@gmail.com</t>
  </si>
  <si>
    <t>6816</t>
  </si>
  <si>
    <t>19zNKq8zKqtB21j9KAjgUhq1NhECUA19B</t>
  </si>
  <si>
    <t>https://drive.google.com/file/d/19zNKq8zKqtB21j9KAjgUhq1NhECUA19B/view?usp=drivesdk</t>
  </si>
  <si>
    <t>Document successfully created; Document successfully merged; PDF created; !!Error Sending Emails: Service invoked too many times for one day: email.; Manually run by ecertificate75@gmail.com; Timestamp: Sep 4 2024 12:49 AM</t>
  </si>
  <si>
    <t>WIHELMAN MASA</t>
  </si>
  <si>
    <t>wilman_nds@yahoo.com</t>
  </si>
  <si>
    <t>6817</t>
  </si>
  <si>
    <t>Starting at Thu Aug 29 2024 21:58:22 GMT-0400 (EDT)</t>
  </si>
  <si>
    <t>1flYvercmYB3nR4GPnGTyQZkJ17s7dE5v</t>
  </si>
  <si>
    <t>https://drive.google.com/file/d/1flYvercmYB3nR4GPnGTyQZkJ17s7dE5v/view?usp=drivesdk</t>
  </si>
  <si>
    <t>Ina Winarlina,AMKg</t>
  </si>
  <si>
    <t>ina.winarlina@gmail.com</t>
  </si>
  <si>
    <t>6818</t>
  </si>
  <si>
    <t>1X-Wrwd47HgIiy5_AjtT4RlxTE-5IW_vE</t>
  </si>
  <si>
    <t>https://drive.google.com/file/d/1X-Wrwd47HgIiy5_AjtT4RlxTE-5IW_vE/view?usp=drivesdk</t>
  </si>
  <si>
    <t>WINARNI NINGSIH</t>
  </si>
  <si>
    <t>ptkneneng9@gmail.com</t>
  </si>
  <si>
    <t>6819</t>
  </si>
  <si>
    <t>1wLFC2lnD1tPq1gC09rNdDSa2Rv4SOMUf</t>
  </si>
  <si>
    <t>https://drive.google.com/file/d/1wLFC2lnD1tPq1gC09rNdDSa2Rv4SOMUf/view?usp=drivesdk</t>
  </si>
  <si>
    <t>YAHUDI</t>
  </si>
  <si>
    <t>yudi06440@gmail.com</t>
  </si>
  <si>
    <t>6820</t>
  </si>
  <si>
    <t>1GxpiOJHuuzBrHR-p8wpUmBaUKHm3G_gq</t>
  </si>
  <si>
    <t>https://drive.google.com/file/d/1GxpiOJHuuzBrHR-p8wpUmBaUKHm3G_gq/view?usp=drivesdk</t>
  </si>
  <si>
    <t>Document successfully created; Document successfully merged; PDF created; !!Error Sending Emails: Service invoked too many times for one day: email.; Manually run by ecertificate75@gmail.com; Timestamp: Sep 4 2024 12:50 AM</t>
  </si>
  <si>
    <t>BASUKI</t>
  </si>
  <si>
    <t>ukibas693@gmail.com</t>
  </si>
  <si>
    <t>6821</t>
  </si>
  <si>
    <t>Starting at Thu Aug 29 2024 21:58:25 GMT-0400 (EDT)</t>
  </si>
  <si>
    <t>1GCdHW-oIVd-4JGVZ4C0J49WRBJoQvfYE</t>
  </si>
  <si>
    <t>https://drive.google.com/file/d/1GCdHW-oIVd-4JGVZ4C0J49WRBJoQvfYE/view?usp=drivesdk</t>
  </si>
  <si>
    <t>ALI KHUMAEDI</t>
  </si>
  <si>
    <t>alikhumaedi@gmail.com</t>
  </si>
  <si>
    <t>6822</t>
  </si>
  <si>
    <t>1E_snopsMsEMNumZaeqCoHcAsiZKDO85S</t>
  </si>
  <si>
    <t>https://drive.google.com/file/d/1E_snopsMsEMNumZaeqCoHcAsiZKDO85S/view?usp=drivesdk</t>
  </si>
  <si>
    <t>I GUSTI AYU NYOMAN MUDAARI</t>
  </si>
  <si>
    <t>intelmobbali518@gmail.com</t>
  </si>
  <si>
    <t>6823</t>
  </si>
  <si>
    <t>15mkVj3o9ypYjvBs2fosKphlwLsmGojBM</t>
  </si>
  <si>
    <t>https://drive.google.com/file/d/15mkVj3o9ypYjvBs2fosKphlwLsmGojBM/view?usp=drivesdk</t>
  </si>
  <si>
    <t>Document successfully created; Document successfully merged; PDF created; !!Error Sending Emails: Service invoked too many times for one day: email.; Manually run by ecertificate75@gmail.com; Timestamp: Sep 4 2024 12:51 AM</t>
  </si>
  <si>
    <t>RAJA RIMA AFRIYENTI, S.E., M.Si</t>
  </si>
  <si>
    <t>rajarima09@gmail.com</t>
  </si>
  <si>
    <t>6824</t>
  </si>
  <si>
    <t>Starting at Thu Aug 29 2024 21:58:27 GMT-0400 (EDT)</t>
  </si>
  <si>
    <t>1-y6tdvTB8QB0sh9U6aieAZGeh3b11xwS</t>
  </si>
  <si>
    <t>https://drive.google.com/file/d/1-y6tdvTB8QB0sh9U6aieAZGeh3b11xwS/view?usp=drivesdk</t>
  </si>
  <si>
    <t>MUH FAUZAN</t>
  </si>
  <si>
    <t>mass.ozan01@gmail.com</t>
  </si>
  <si>
    <t>6825</t>
  </si>
  <si>
    <t>1AiyPy-xUSojzM4Uol2AFfl2b-ps5DIB6</t>
  </si>
  <si>
    <t>https://drive.google.com/file/d/1AiyPy-xUSojzM4Uol2AFfl2b-ps5DIB6/view?usp=drivesdk</t>
  </si>
  <si>
    <t>ZULKURNAIN, S.I.P.</t>
  </si>
  <si>
    <t>joel.zulkarnain.1972@gmail.com</t>
  </si>
  <si>
    <t>6826</t>
  </si>
  <si>
    <t>1n3DozH3brsGLvpbHVM2toOAldjRcgWPf</t>
  </si>
  <si>
    <t>https://drive.google.com/file/d/1n3DozH3brsGLvpbHVM2toOAldjRcgWPf/view?usp=drivesdk</t>
  </si>
  <si>
    <t>Andika Ferira, A.Md., S.M</t>
  </si>
  <si>
    <t>andikaferira85@gmail.com</t>
  </si>
  <si>
    <t>6827</t>
  </si>
  <si>
    <t>Starting at Thu Aug 29 2024 21:58:30 GMT-0400 (EDT)</t>
  </si>
  <si>
    <t>1Yg4-iCFmq3-KXbVy26dOe6LgrFj_EtSl</t>
  </si>
  <si>
    <t>https://drive.google.com/file/d/1Yg4-iCFmq3-KXbVy26dOe6LgrFj_EtSl/view?usp=drivesdk</t>
  </si>
  <si>
    <t>Document successfully created; Document successfully merged; PDF created; !!Error Sending Emails: Service invoked too many times for one day: email.; Manually run by ecertificate75@gmail.com; Timestamp: Sep 4 2024 12:52 AM</t>
  </si>
  <si>
    <t xml:space="preserve">DIAH KARTIKA SARI, S. E., M. M. </t>
  </si>
  <si>
    <t>gemintangdee@gmail.com</t>
  </si>
  <si>
    <t>6828</t>
  </si>
  <si>
    <t>1TwHrqNKdwEuRd7Ijr7Duqdq6pKJ30A7Z</t>
  </si>
  <si>
    <t>https://drive.google.com/file/d/1TwHrqNKdwEuRd7Ijr7Duqdq6pKJ30A7Z/view?usp=drivesdk</t>
  </si>
  <si>
    <t xml:space="preserve">SYAIPUL ANWAR, S.SOS </t>
  </si>
  <si>
    <t>ekojaya8311@gmail.com</t>
  </si>
  <si>
    <t>6829</t>
  </si>
  <si>
    <t>Starting at Thu Aug 29 2024 21:58:35 GMT-0400 (EDT)</t>
  </si>
  <si>
    <t>1scT8ueAdz9INCbaH54uBhqzkICe0tuEL</t>
  </si>
  <si>
    <t>https://drive.google.com/file/d/1scT8ueAdz9INCbaH54uBhqzkICe0tuEL/view?usp=drivesdk</t>
  </si>
  <si>
    <t>Document successfully created; Document successfully merged; PDF created; !!Error Sending Emails: Service invoked too many times for one day: email.; Manually run by ecertificate75@gmail.com; Timestamp: Sep 4 2024 12:53 AM</t>
  </si>
  <si>
    <t>TRI SUPATMI</t>
  </si>
  <si>
    <t>patmiurkes@gmail.com</t>
  </si>
  <si>
    <t>6830</t>
  </si>
  <si>
    <t>1m_B5oSi1JIxPJgTWthsRUb8CE4ITlMVC</t>
  </si>
  <si>
    <t>https://drive.google.com/file/d/1m_B5oSi1JIxPJgTWthsRUb8CE4ITlMVC/view?usp=drivesdk</t>
  </si>
  <si>
    <t>DR FUJIANTO</t>
  </si>
  <si>
    <t>fujiantoe@gmail.com</t>
  </si>
  <si>
    <t>6831</t>
  </si>
  <si>
    <t>1-Wu00aDSsB13anqrz3hUngWJ9azjQWVx</t>
  </si>
  <si>
    <t>https://drive.google.com/file/d/1-Wu00aDSsB13anqrz3hUngWJ9azjQWVx/view?usp=drivesdk</t>
  </si>
  <si>
    <t>AGUS RUSDI</t>
  </si>
  <si>
    <t>agusrusdi72@gmail.com</t>
  </si>
  <si>
    <t>6832</t>
  </si>
  <si>
    <t>1MeFcd7Vvvj-SASbF8whzJomyc-nnCy01</t>
  </si>
  <si>
    <t>https://drive.google.com/file/d/1MeFcd7Vvvj-SASbF8whzJomyc-nnCy01/view?usp=drivesdk</t>
  </si>
  <si>
    <t>Document successfully created; Document successfully merged; PDF created; !!Error Sending Emails: Service invoked too many times for one day: email.; Manually run by ecertificate75@gmail.com; Timestamp: Sep 4 2024 12:54 AM</t>
  </si>
  <si>
    <t xml:space="preserve">dr NI MADE GITA INDRA YANTHI </t>
  </si>
  <si>
    <t>yanthiok@gmail.com</t>
  </si>
  <si>
    <t>6833</t>
  </si>
  <si>
    <t>Starting at Thu Aug 29 2024 21:58:38 GMT-0400 (EDT)</t>
  </si>
  <si>
    <t>1OSLdhQ9wEo6gkDN2NTXvHi8ISgrpMNal</t>
  </si>
  <si>
    <t>https://drive.google.com/file/d/1OSLdhQ9wEo6gkDN2NTXvHi8ISgrpMNal/view?usp=drivesdk</t>
  </si>
  <si>
    <t>ELSELINNA</t>
  </si>
  <si>
    <t>elshelinna0812@gmail.com</t>
  </si>
  <si>
    <t>6834</t>
  </si>
  <si>
    <t>1wHoZnmhB_ECzsSEfv464zXXzD0Kmw_Li</t>
  </si>
  <si>
    <t>https://drive.google.com/file/d/1wHoZnmhB_ECzsSEfv464zXXzD0Kmw_Li/view?usp=drivesdk</t>
  </si>
  <si>
    <t>RINA TAMBA, A. Md</t>
  </si>
  <si>
    <t>rinatamba034@gmail.com</t>
  </si>
  <si>
    <t>6835</t>
  </si>
  <si>
    <t>14eo7XvvAR0BJHBSWqefUiJ9P4iYISs6v</t>
  </si>
  <si>
    <t>https://drive.google.com/file/d/14eo7XvvAR0BJHBSWqefUiJ9P4iYISs6v/view?usp=drivesdk</t>
  </si>
  <si>
    <t>JAMJURI</t>
  </si>
  <si>
    <t>jamjuri76@gmail.com</t>
  </si>
  <si>
    <t>6836</t>
  </si>
  <si>
    <t>1r3RHjXJKg77rmowQbRI3OjWXvUZWaFdg</t>
  </si>
  <si>
    <t>https://drive.google.com/file/d/1r3RHjXJKg77rmowQbRI3OjWXvUZWaFdg/view?usp=drivesdk</t>
  </si>
  <si>
    <t>Document successfully created; Document successfully merged; PDF created; !!Error Sending Emails: Service invoked too many times for one day: email.; Manually run by ecertificate75@gmail.com; Timestamp: Sep 4 2024 12:55 AM</t>
  </si>
  <si>
    <t>ETIKA, SE</t>
  </si>
  <si>
    <t>etikapku@gmail.com</t>
  </si>
  <si>
    <t>6837</t>
  </si>
  <si>
    <t>1rChQ16ndsq2czDV2MUB9fCsPIRlK5-nO</t>
  </si>
  <si>
    <t>https://drive.google.com/file/d/1rChQ16ndsq2czDV2MUB9fCsPIRlK5-nO/view?usp=drivesdk</t>
  </si>
  <si>
    <t>M FITRI</t>
  </si>
  <si>
    <t>mpty03maret1978@gmail.com</t>
  </si>
  <si>
    <t>6838</t>
  </si>
  <si>
    <t>Starting at Thu Aug 29 2024 21:58:41 GMT-0400 (EDT)</t>
  </si>
  <si>
    <t>1Suqc2pNRd89xdSizSOABiyQO2SQ4QSEQ</t>
  </si>
  <si>
    <t>https://drive.google.com/file/d/1Suqc2pNRd89xdSizSOABiyQO2SQ4QSEQ/view?usp=drivesdk</t>
  </si>
  <si>
    <t>AGUS BUDIARTO</t>
  </si>
  <si>
    <t>abudiarto31@gmail.com</t>
  </si>
  <si>
    <t>6839</t>
  </si>
  <si>
    <t>1spyCg6nPb8rVuw5LGyVsEuB7TXs1ahk2</t>
  </si>
  <si>
    <t>https://drive.google.com/file/d/1spyCg6nPb8rVuw5LGyVsEuB7TXs1ahk2/view?usp=drivesdk</t>
  </si>
  <si>
    <t>YULIANINGSIH</t>
  </si>
  <si>
    <t>ningyulia83@gmail.com</t>
  </si>
  <si>
    <t>6840</t>
  </si>
  <si>
    <t>1ypJgmvU0Saq8co1O8izjkH5D3l6XJthS</t>
  </si>
  <si>
    <t>https://drive.google.com/file/d/1ypJgmvU0Saq8co1O8izjkH5D3l6XJthS/view?usp=drivesdk</t>
  </si>
  <si>
    <t>YATI OKTANTI</t>
  </si>
  <si>
    <t>yatioktanti@gmail.com</t>
  </si>
  <si>
    <t>6841</t>
  </si>
  <si>
    <t>1Ns8P3A4CzHBS73LN-71AvMMq834tTehf</t>
  </si>
  <si>
    <t>https://drive.google.com/file/d/1Ns8P3A4CzHBS73LN-71AvMMq834tTehf/view?usp=drivesdk</t>
  </si>
  <si>
    <t>Document successfully created; Document successfully merged; PDF created; !!Error Sending Emails: Service invoked too many times for one day: email.; Manually run by ecertificate75@gmail.com; Timestamp: Sep 4 2024 12:56 AM</t>
  </si>
  <si>
    <t xml:space="preserve">AIZIN LAILA ILWI </t>
  </si>
  <si>
    <t>aizinnovianto3@gmail.com</t>
  </si>
  <si>
    <t>6842</t>
  </si>
  <si>
    <t>Starting at Thu Aug 29 2024 21:58:45 GMT-0400 (EDT)</t>
  </si>
  <si>
    <t>1vzBE-aJVaTJKQvJ6MhOCw5NtQTy9k8_X</t>
  </si>
  <si>
    <t>https://drive.google.com/file/d/1vzBE-aJVaTJKQvJ6MhOCw5NtQTy9k8_X/view?usp=drivesdk</t>
  </si>
  <si>
    <t>JAJA PERMANA</t>
  </si>
  <si>
    <t>jajapermana8972@gmail.com</t>
  </si>
  <si>
    <t>6843</t>
  </si>
  <si>
    <t>1rmmgs9rXBlOtu1OW6A3tM63zDftFidTQ</t>
  </si>
  <si>
    <t>https://drive.google.com/file/d/1rmmgs9rXBlOtu1OW6A3tM63zDftFidTQ/view?usp=drivesdk</t>
  </si>
  <si>
    <t>SUKRON MA'MUN</t>
  </si>
  <si>
    <t>sukron1179@gmail.com</t>
  </si>
  <si>
    <t>6844</t>
  </si>
  <si>
    <t>1uUaYjA4ttlVhVW1yn6xGT3J3QuzsXLlS</t>
  </si>
  <si>
    <t>https://drive.google.com/file/d/1uUaYjA4ttlVhVW1yn6xGT3J3QuzsXLlS/view?usp=drivesdk</t>
  </si>
  <si>
    <t>ARIE CHANDRA, A.MD.KEP</t>
  </si>
  <si>
    <t>andracare16@gmail.com</t>
  </si>
  <si>
    <t>6845</t>
  </si>
  <si>
    <t>Starting at Thu Aug 29 2024 21:58:46 GMT-0400 (EDT)</t>
  </si>
  <si>
    <t>13KUc5HLY9OgKvs13vC59Dme-ICQ7HuI0</t>
  </si>
  <si>
    <t>https://drive.google.com/file/d/13KUc5HLY9OgKvs13vC59Dme-ICQ7HuI0/view?usp=drivesdk</t>
  </si>
  <si>
    <t>Document successfully created; Document successfully merged; PDF created; !!Error Sending Emails: Service invoked too many times for one day: email.; Manually run by ecertificate75@gmail.com; Timestamp: Sep 4 2024 12:57 AM</t>
  </si>
  <si>
    <t>yantiewijaya950@gmail.com</t>
  </si>
  <si>
    <t>6846</t>
  </si>
  <si>
    <t>Starting at Thu Aug 29 2024 21:58:49 GMT-0400 (EDT)</t>
  </si>
  <si>
    <t>1SXLgBh4ZZBbZbBWWXBVH0QUn_lfQbMKS</t>
  </si>
  <si>
    <t>https://drive.google.com/file/d/1SXLgBh4ZZBbZbBWWXBVH0QUn_lfQbMKS/view?usp=drivesdk</t>
  </si>
  <si>
    <t>PARIYONO</t>
  </si>
  <si>
    <t>pariyono1975@gmail.com</t>
  </si>
  <si>
    <t>6847</t>
  </si>
  <si>
    <t>1xbtgtGtqO8o_bdKYWaIPjUlRP9FCV5wd</t>
  </si>
  <si>
    <t>https://drive.google.com/file/d/1xbtgtGtqO8o_bdKYWaIPjUlRP9FCV5wd/view?usp=drivesdk</t>
  </si>
  <si>
    <t>YOGA ARIANI MEILINA</t>
  </si>
  <si>
    <t>ariani.mars2022@gmail.com</t>
  </si>
  <si>
    <t>6848</t>
  </si>
  <si>
    <t>Starting at Thu Aug 29 2024 21:58:52 GMT-0400 (EDT)</t>
  </si>
  <si>
    <t>1b39-CYZub4XpYVKDn6UNu6VAWZaEK-QY</t>
  </si>
  <si>
    <t>https://drive.google.com/file/d/1b39-CYZub4XpYVKDn6UNu6VAWZaEK-QY/view?usp=drivesdk</t>
  </si>
  <si>
    <t>BONARIA DAMANIK,S.Kep</t>
  </si>
  <si>
    <t>bonariadamanik1@gmail.com</t>
  </si>
  <si>
    <t>6849</t>
  </si>
  <si>
    <t>Starting at Thu Aug 29 2024 21:58:54 GMT-0400 (EDT)</t>
  </si>
  <si>
    <t>1lxaR6H6p-PVA4E5R3lWAHLNr2NN7585a</t>
  </si>
  <si>
    <t>https://drive.google.com/file/d/1lxaR6H6p-PVA4E5R3lWAHLNr2NN7585a/view?usp=drivesdk</t>
  </si>
  <si>
    <t>SRI WATI S.H</t>
  </si>
  <si>
    <t>watisri22121972@gmail.com</t>
  </si>
  <si>
    <t>6850</t>
  </si>
  <si>
    <t>1uvOas0moXHcBcdEnZC8dK1x7bjXN0j5P</t>
  </si>
  <si>
    <t>https://drive.google.com/file/d/1uvOas0moXHcBcdEnZC8dK1x7bjXN0j5P/view?usp=drivesdk</t>
  </si>
  <si>
    <t>Document successfully created; Document successfully merged; PDF created; !!Error Sending Emails: Service invoked too many times for one day: email.; Manually run by ecertificate75@gmail.com; Timestamp: Sep 4 2024 12:58 AM</t>
  </si>
  <si>
    <t>TUTIK INDRIATI</t>
  </si>
  <si>
    <t>tutikindriati@gmail.com</t>
  </si>
  <si>
    <t>6851</t>
  </si>
  <si>
    <t>1Dxa0yOymILrzCRVzN8JrXrUVmK4QnQv0</t>
  </si>
  <si>
    <t>https://drive.google.com/file/d/1Dxa0yOymILrzCRVzN8JrXrUVmK4QnQv0/view?usp=drivesdk</t>
  </si>
  <si>
    <t>URIP SUGIARTO</t>
  </si>
  <si>
    <t>uripsugiarto73@gmail.com</t>
  </si>
  <si>
    <t>6852</t>
  </si>
  <si>
    <t>Starting at Thu Aug 29 2024 21:58:59 GMT-0400 (EDT)</t>
  </si>
  <si>
    <t>1fb5f8sY0YnjyOReE7vEoMnmCEyW7jH_-</t>
  </si>
  <si>
    <t>https://drive.google.com/file/d/1fb5f8sY0YnjyOReE7vEoMnmCEyW7jH_-/view?usp=drivesdk</t>
  </si>
  <si>
    <t>Sufiah El Adawea, S.Pd.</t>
  </si>
  <si>
    <t>sufiah.eladawea@gmail.com</t>
  </si>
  <si>
    <t>6853</t>
  </si>
  <si>
    <t>1LPdy36qi_Mmsg52d-5i_tft_CC8ojZJj</t>
  </si>
  <si>
    <t>https://drive.google.com/file/d/1LPdy36qi_Mmsg52d-5i_tft_CC8ojZJj/view?usp=drivesdk</t>
  </si>
  <si>
    <t>Document successfully created; Document successfully merged; PDF created; !!Error Sending Emails: Service invoked too many times for one day: email.; Manually run by ecertificate75@gmail.com; Timestamp: Sep 4 2024 12:59 AM</t>
  </si>
  <si>
    <t>GENDUT SANTOSO</t>
  </si>
  <si>
    <t>gendutsantoso72@gmail.com</t>
  </si>
  <si>
    <t>6854</t>
  </si>
  <si>
    <t>1It5-5TkmkiL_XSd_WgaqU65KYBgU_CDK</t>
  </si>
  <si>
    <t>https://drive.google.com/file/d/1It5-5TkmkiL_XSd_WgaqU65KYBgU_CDK/view?usp=drivesdk</t>
  </si>
  <si>
    <t>supriyanto.korlantas@gmail.com</t>
  </si>
  <si>
    <t>6855</t>
  </si>
  <si>
    <t>14eL3aNkzCcUqlkIeT8VWAvuHqdPHnLgF</t>
  </si>
  <si>
    <t>https://drive.google.com/file/d/14eL3aNkzCcUqlkIeT8VWAvuHqdPHnLgF/view?usp=drivesdk</t>
  </si>
  <si>
    <t xml:space="preserve">IMAM MARDI SANTOSO </t>
  </si>
  <si>
    <t>cakimamm@gmail.com</t>
  </si>
  <si>
    <t>6856</t>
  </si>
  <si>
    <t>17ifpaxRpkwLKhX8_6vOEcoDbFDiNJ5gU</t>
  </si>
  <si>
    <t>https://drive.google.com/file/d/17ifpaxRpkwLKhX8_6vOEcoDbFDiNJ5gU/view?usp=drivesdk</t>
  </si>
  <si>
    <t xml:space="preserve">ARI MURNINGTYAS </t>
  </si>
  <si>
    <t>murningtyasari@gmail.com</t>
  </si>
  <si>
    <t>6857</t>
  </si>
  <si>
    <t>Starting at Thu Aug 29 2024 21:59:03 GMT-0400 (EDT)</t>
  </si>
  <si>
    <t>12jrmvTcp68Z4WMToKX8bkJovMt6n_xTg</t>
  </si>
  <si>
    <t>https://drive.google.com/file/d/12jrmvTcp68Z4WMToKX8bkJovMt6n_xTg/view?usp=drivesdk</t>
  </si>
  <si>
    <t>Document successfully created; Document successfully merged; PDF created; !!Error Sending Emails: Service invoked too many times for one day: email.; Manually run by ecertificate75@gmail.com; Timestamp: Sep 4 2024 1:00 AM</t>
  </si>
  <si>
    <t>RIZAL TANDILAYUK, S.Th</t>
  </si>
  <si>
    <t>barcelona8626@gmail.com</t>
  </si>
  <si>
    <t>6858</t>
  </si>
  <si>
    <t>1eiSusy5EEsWWOZoyG6gPM5OOL-ekRg-M</t>
  </si>
  <si>
    <t>https://drive.google.com/file/d/1eiSusy5EEsWWOZoyG6gPM5OOL-ekRg-M/view?usp=drivesdk</t>
  </si>
  <si>
    <t>TANWIR HAMZAH</t>
  </si>
  <si>
    <t>tanwirhamzah4@gmail.com</t>
  </si>
  <si>
    <t>6859</t>
  </si>
  <si>
    <t>1FuTapVsGk79M2Mo5gWHbQD_icDhSpZsU</t>
  </si>
  <si>
    <t>https://drive.google.com/file/d/1FuTapVsGk79M2Mo5gWHbQD_icDhSpZsU/view?usp=drivesdk</t>
  </si>
  <si>
    <t>OTELIATI</t>
  </si>
  <si>
    <t>otteliati@gmail.com</t>
  </si>
  <si>
    <t>6860</t>
  </si>
  <si>
    <t>1JcQnc9Tr4W0BAW-RmFH-M9bBgE8H3JI2</t>
  </si>
  <si>
    <t>https://drive.google.com/file/d/1JcQnc9Tr4W0BAW-RmFH-M9bBgE8H3JI2/view?usp=drivesdk</t>
  </si>
  <si>
    <t>GEMBIRA BR GINTING</t>
  </si>
  <si>
    <t>gembiragtg@gmail.com</t>
  </si>
  <si>
    <t>6861</t>
  </si>
  <si>
    <t>Starting at Thu Aug 29 2024 21:59:05 GMT-0400 (EDT)</t>
  </si>
  <si>
    <t>13UhAHDcjKQp_aai1k_1a5PmgPxkED-R1</t>
  </si>
  <si>
    <t>https://drive.google.com/file/d/13UhAHDcjKQp_aai1k_1a5PmgPxkED-R1/view?usp=drivesdk</t>
  </si>
  <si>
    <t>Document successfully created; Document successfully merged; PDF created; !!Error Sending Emails: Service invoked too many times for one day: email.; Manually run by ecertificate75@gmail.com; Timestamp: Sep 4 2024 1:01 AM</t>
  </si>
  <si>
    <t>DEWI ARNI, Am.Kep</t>
  </si>
  <si>
    <t>arnidewi2212@gmail.com</t>
  </si>
  <si>
    <t>6862</t>
  </si>
  <si>
    <t>Starting at Thu Aug 29 2024 21:59:06 GMT-0400 (EDT)</t>
  </si>
  <si>
    <t>1aa9oaHLREjLP5i0E2a8xGu53ecyCrycb</t>
  </si>
  <si>
    <t>https://drive.google.com/file/d/1aa9oaHLREjLP5i0E2a8xGu53ecyCrycb/view?usp=drivesdk</t>
  </si>
  <si>
    <t>AGUSMETI, S.E.</t>
  </si>
  <si>
    <t>metivirgo@gmail.com</t>
  </si>
  <si>
    <t>6863</t>
  </si>
  <si>
    <t>1IJu2XUfAGTnaAFgcz7LKmhI5XZqPjNuI</t>
  </si>
  <si>
    <t>https://drive.google.com/file/d/1IJu2XUfAGTnaAFgcz7LKmhI5XZqPjNuI/view?usp=drivesdk</t>
  </si>
  <si>
    <t>MOHAMAD MULYADI</t>
  </si>
  <si>
    <t>mulyadijck@gmail.com</t>
  </si>
  <si>
    <t>6864</t>
  </si>
  <si>
    <t>Starting at Thu Aug 29 2024 21:59:09 GMT-0400 (EDT)</t>
  </si>
  <si>
    <t>1tWApyJVvsEOoNjaE5-dfRWvgQK2Ny-E3</t>
  </si>
  <si>
    <t>https://drive.google.com/file/d/1tWApyJVvsEOoNjaE5-dfRWvgQK2Ny-E3/view?usp=drivesdk</t>
  </si>
  <si>
    <t>CHOIRUL HUDA</t>
  </si>
  <si>
    <t>jossranak@gmai.com</t>
  </si>
  <si>
    <t>6865</t>
  </si>
  <si>
    <t>1lRckifYeJiNbbJ-1icZT1_PBfTpfretc</t>
  </si>
  <si>
    <t>https://drive.google.com/file/d/1lRckifYeJiNbbJ-1icZT1_PBfTpfretc/view?usp=drivesdk</t>
  </si>
  <si>
    <t>Document successfully created; Document successfully merged; PDF created; !!Error Sending Emails: Service invoked too many times for one day: email.; Run via form trigger as ecertificate75@gmail.com; Timestamp: Sep 4 2024 12:36 AM</t>
  </si>
  <si>
    <t>dr. ANDRIYANTI KUSUMADEWI</t>
  </si>
  <si>
    <t>andri.yanti24@gmail.com</t>
  </si>
  <si>
    <t>6866</t>
  </si>
  <si>
    <t>1qVsUAFlkwDLV1oTu_4_Laxkf2xIwbRVE</t>
  </si>
  <si>
    <t>https://drive.google.com/file/d/1qVsUAFlkwDLV1oTu_4_Laxkf2xIwbRVE/view?usp=drivesdk</t>
  </si>
  <si>
    <t>SITI SOLIKATUN HANIK,S.Pd</t>
  </si>
  <si>
    <t>viatbn12@gmail.com</t>
  </si>
  <si>
    <t>6867</t>
  </si>
  <si>
    <t>Starting at Thu Aug 29 2024 21:59:11 GMT-0400 (EDT)</t>
  </si>
  <si>
    <t>1Rc_nPvd017-ZfEsB1f4Db6JaNm-DWCP3</t>
  </si>
  <si>
    <t>https://drive.google.com/file/d/1Rc_nPvd017-ZfEsB1f4Db6JaNm-DWCP3/view?usp=drivesdk</t>
  </si>
  <si>
    <t>BUDI EKO SAPUTRO</t>
  </si>
  <si>
    <t>budi01051968@gmail.com</t>
  </si>
  <si>
    <t>6868</t>
  </si>
  <si>
    <t>14HYgwFP9DC-j-81O21sBZ-sTjejxSwuC</t>
  </si>
  <si>
    <t>https://drive.google.com/file/d/14HYgwFP9DC-j-81O21sBZ-sTjejxSwuC/view?usp=drivesdk</t>
  </si>
  <si>
    <t>Mildasari Amd.AK</t>
  </si>
  <si>
    <t>mildasarimel@gmail.com</t>
  </si>
  <si>
    <t>6869</t>
  </si>
  <si>
    <t>12z2btrqQj409PyWciUBMyqGijRHQsVsF</t>
  </si>
  <si>
    <t>https://drive.google.com/file/d/12z2btrqQj409PyWciUBMyqGijRHQsVsF/view?usp=drivesdk</t>
  </si>
  <si>
    <t>Document successfully created; Document successfully merged; PDF created; !!Error Sending Emails: Service invoked too many times for one day: email.; Run via form trigger as ecertificate75@gmail.com; Timestamp: Sep 4 2024 12:37 AM</t>
  </si>
  <si>
    <t>DAIS RISNAWATI, S.T.</t>
  </si>
  <si>
    <t>daiz.risna@gmail.com</t>
  </si>
  <si>
    <t>6870</t>
  </si>
  <si>
    <t>Starting at Thu Aug 29 2024 21:59:14 GMT-0400 (EDT)</t>
  </si>
  <si>
    <t>1vnbHI1SfHRIUVlm_5eRdpgcLEE4iqvvc</t>
  </si>
  <si>
    <t>https://drive.google.com/file/d/1vnbHI1SfHRIUVlm_5eRdpgcLEE4iqvvc/view?usp=drivesdk</t>
  </si>
  <si>
    <t>Document successfully created; Document successfully merged; PDF created; !!Error Sending Emails: Service invoked too many times for one day: email.; Manually run by ecertificate75@gmail.com; Timestamp: Sep 4 2024 1:02 AM</t>
  </si>
  <si>
    <t>FLORA ELPRITA HUTABARAT, S.E.</t>
  </si>
  <si>
    <t>florahutabarat5@gmail.com</t>
  </si>
  <si>
    <t>6871</t>
  </si>
  <si>
    <t>1e0osGVZP1vTQdRHq47m1PYMgNh7SBNmy</t>
  </si>
  <si>
    <t>https://drive.google.com/file/d/1e0osGVZP1vTQdRHq47m1PYMgNh7SBNmy/view?usp=drivesdk</t>
  </si>
  <si>
    <t>FATIH KHALIDAZIA</t>
  </si>
  <si>
    <t>fatihkhalidazia1992@gmail.com</t>
  </si>
  <si>
    <t>6872</t>
  </si>
  <si>
    <t>1fwuAs9TgkKEaxKCzFEuzKNgO28SWIU4B</t>
  </si>
  <si>
    <t>https://drive.google.com/file/d/1fwuAs9TgkKEaxKCzFEuzKNgO28SWIU4B/view?usp=drivesdk</t>
  </si>
  <si>
    <t xml:space="preserve">GUSRIKO </t>
  </si>
  <si>
    <t>gusrikoko@gmail.com</t>
  </si>
  <si>
    <t>6873</t>
  </si>
  <si>
    <t>Starting at Thu Aug 29 2024 21:59:18 GMT-0400 (EDT)</t>
  </si>
  <si>
    <t>1TPR4huWJQ1PlTPp8cKBxSyQGPtSuE5U-</t>
  </si>
  <si>
    <t>https://drive.google.com/file/d/1TPR4huWJQ1PlTPp8cKBxSyQGPtSuE5U-/view?usp=drivesdk</t>
  </si>
  <si>
    <t>TATIINDRAWATI</t>
  </si>
  <si>
    <t>tatiindrawati659@gmail.com</t>
  </si>
  <si>
    <t>6874</t>
  </si>
  <si>
    <t>1Vy-YLwKPW0kFO176cKhc18VzRf7vyTLu</t>
  </si>
  <si>
    <t>https://drive.google.com/file/d/1Vy-YLwKPW0kFO176cKhc18VzRf7vyTLu/view?usp=drivesdk</t>
  </si>
  <si>
    <t>Document successfully created; Document successfully merged; PDF created; !!Error Sending Emails: Service invoked too many times for one day: email.; Run via form trigger as ecertificate75@gmail.com; Timestamp: Sep 4 2024 12:38 AM</t>
  </si>
  <si>
    <t>DULI ASNARDI SE</t>
  </si>
  <si>
    <t>duliasnardi3@gmail.com</t>
  </si>
  <si>
    <t>6875</t>
  </si>
  <si>
    <t>1oNArFhFbaJudKTNWzt9BtCpRvDPGsnrO</t>
  </si>
  <si>
    <t>https://drive.google.com/file/d/1oNArFhFbaJudKTNWzt9BtCpRvDPGsnrO/view?usp=drivesdk</t>
  </si>
  <si>
    <t>DWI KARJANI,SE</t>
  </si>
  <si>
    <t>dk.yanikeu@gmail.com</t>
  </si>
  <si>
    <t>6876</t>
  </si>
  <si>
    <t>Starting at Thu Aug 29 2024 21:59:17 GMT-0400 (EDT)</t>
  </si>
  <si>
    <t>1bPfFPcJQACoLPKkbQ4M3TnLnWle9g4fA</t>
  </si>
  <si>
    <t>https://drive.google.com/file/d/1bPfFPcJQACoLPKkbQ4M3TnLnWle9g4fA/view?usp=drivesdk</t>
  </si>
  <si>
    <t>EKA ADE PUTRA</t>
  </si>
  <si>
    <t>adeputraeka976@gmail.com</t>
  </si>
  <si>
    <t>6877</t>
  </si>
  <si>
    <t>Starting at Thu Aug 29 2024 21:59:20 GMT-0400 (EDT)</t>
  </si>
  <si>
    <t>174u2R1pu_Eej4JID_IV4NvAzFw5rYCZG</t>
  </si>
  <si>
    <t>https://drive.google.com/file/d/174u2R1pu_Eej4JID_IV4NvAzFw5rYCZG/view?usp=drivesdk</t>
  </si>
  <si>
    <t>ERMAWATI</t>
  </si>
  <si>
    <t>ermawatioppo67@gmail.com</t>
  </si>
  <si>
    <t>6878</t>
  </si>
  <si>
    <t>1Ev6ITbk39aXYf3av--kCa__cBQ7knE0f</t>
  </si>
  <si>
    <t>https://drive.google.com/file/d/1Ev6ITbk39aXYf3av--kCa__cBQ7knE0f/view?usp=drivesdk</t>
  </si>
  <si>
    <t>Document successfully created; Document successfully merged; PDF created; !!Error Sending Emails: Service invoked too many times for one day: email.; Run via form trigger as ecertificate75@gmail.com; Timestamp: Sep 4 2024 12:39 AM</t>
  </si>
  <si>
    <t>Evi Maria Magdalena Tambunan, A.Md</t>
  </si>
  <si>
    <t>evimariatambunan@gamil.com</t>
  </si>
  <si>
    <t>6879</t>
  </si>
  <si>
    <t>Starting at Thu Aug 29 2024 21:59:23 GMT-0400 (EDT)</t>
  </si>
  <si>
    <t>1XZig4h3cYQk4mMf3AZqAYj40K6gtju40</t>
  </si>
  <si>
    <t>https://drive.google.com/file/d/1XZig4h3cYQk4mMf3AZqAYj40K6gtju40/view?usp=drivesdk</t>
  </si>
  <si>
    <t>tantokristanto392@gmail.com</t>
  </si>
  <si>
    <t>6880</t>
  </si>
  <si>
    <t>12l9nNe8VN6ji1tslEjc4ujzAdioDzAUj</t>
  </si>
  <si>
    <t>https://drive.google.com/file/d/12l9nNe8VN6ji1tslEjc4ujzAdioDzAUj/view?usp=drivesdk</t>
  </si>
  <si>
    <t>MIDIYAWATI</t>
  </si>
  <si>
    <t>nanikdwiirnawati1965@gmail.com</t>
  </si>
  <si>
    <t>6881</t>
  </si>
  <si>
    <t>1NKV4MyfBtu_034b35paaFLQ-qzFhz56r</t>
  </si>
  <si>
    <t>https://drive.google.com/file/d/1NKV4MyfBtu_034b35paaFLQ-qzFhz56r/view?usp=drivesdk</t>
  </si>
  <si>
    <t xml:space="preserve">FITRI WAHYUNI </t>
  </si>
  <si>
    <t>fitriwahyuni1978@gmail.com</t>
  </si>
  <si>
    <t>6882</t>
  </si>
  <si>
    <t>Starting at Thu Aug 29 2024 21:59:28 GMT-0400 (EDT)</t>
  </si>
  <si>
    <t>1WibVzbdbaNNONzKgo7n6RlT-U1DUPax8</t>
  </si>
  <si>
    <t>https://drive.google.com/file/d/1WibVzbdbaNNONzKgo7n6RlT-U1DUPax8/view?usp=drivesdk</t>
  </si>
  <si>
    <t>Document successfully created; Document successfully merged; PDF created; !!Error Sending Emails: Service invoked too many times for one day: email.; Run via form trigger as ecertificate75@gmail.com; Timestamp: Sep 4 2024 12:40 AM</t>
  </si>
  <si>
    <t>M.MISHBAKHUL ATQIYA,S.Kom</t>
  </si>
  <si>
    <t>atqiyadiapers@gmail.com</t>
  </si>
  <si>
    <t>6883</t>
  </si>
  <si>
    <t>1lVbblXTrgt5FYUAXRp7wMn0DmlOnZSrD</t>
  </si>
  <si>
    <t>https://drive.google.com/file/d/1lVbblXTrgt5FYUAXRp7wMn0DmlOnZSrD/view?usp=drivesdk</t>
  </si>
  <si>
    <t>NENNI TRUANA SH</t>
  </si>
  <si>
    <t>anatriana1970@gmail.com</t>
  </si>
  <si>
    <t>6884</t>
  </si>
  <si>
    <t>1Wie4pb1BLnpeGwzYz6VFIoXvGjIYLlDi</t>
  </si>
  <si>
    <t>https://drive.google.com/file/d/1Wie4pb1BLnpeGwzYz6VFIoXvGjIYLlDi/view?usp=drivesdk</t>
  </si>
  <si>
    <t xml:space="preserve">HAMAM ASNAWI </t>
  </si>
  <si>
    <t>hamam2686@gmail.com</t>
  </si>
  <si>
    <t>6885</t>
  </si>
  <si>
    <t>1uP9NF9ShzfVXmHxvMuLTkJ654AzEZSBW</t>
  </si>
  <si>
    <t>https://drive.google.com/file/d/1uP9NF9ShzfVXmHxvMuLTkJ654AzEZSBW/view?usp=drivesdk</t>
  </si>
  <si>
    <t>RISNAWATI L KULA</t>
  </si>
  <si>
    <t>Ninaninonknina@gmail.com</t>
  </si>
  <si>
    <t>6886</t>
  </si>
  <si>
    <t>18P0ACX0QZeplpV14bAS3qrC54RG5d5kL</t>
  </si>
  <si>
    <t>https://drive.google.com/file/d/18P0ACX0QZeplpV14bAS3qrC54RG5d5kL/view?usp=drivesdk</t>
  </si>
  <si>
    <t>RENI MARLINA,A.Md,Farm</t>
  </si>
  <si>
    <t>asri.reni@gmail.com</t>
  </si>
  <si>
    <t>6887</t>
  </si>
  <si>
    <t>Starting at Thu Aug 29 2024 21:59:31 GMT-0400 (EDT)</t>
  </si>
  <si>
    <t>1g2i5Zgir-AKOknGNuIiJ-YSGFvmtiTPc</t>
  </si>
  <si>
    <t>https://drive.google.com/file/d/1g2i5Zgir-AKOknGNuIiJ-YSGFvmtiTPc/view?usp=drivesdk</t>
  </si>
  <si>
    <t>SARI PRIYANTI.AMD.KEB.SKM</t>
  </si>
  <si>
    <t>sari.priyantikeb@gmail.com</t>
  </si>
  <si>
    <t>6888</t>
  </si>
  <si>
    <t>10BDlnOpq_EMGNkingQq0T0GMW1PX-bME</t>
  </si>
  <si>
    <t>https://drive.google.com/file/d/10BDlnOpq_EMGNkingQq0T0GMW1PX-bME/view?usp=drivesdk</t>
  </si>
  <si>
    <t xml:space="preserve">Hj Andi Bungawati </t>
  </si>
  <si>
    <t>andibungawati577@gmail.com</t>
  </si>
  <si>
    <t>6889</t>
  </si>
  <si>
    <t>11jZYokdRJJuO5pBac9deAjef28S-OERb</t>
  </si>
  <si>
    <t>https://drive.google.com/file/d/11jZYokdRJJuO5pBac9deAjef28S-OERb/view?usp=drivesdk</t>
  </si>
  <si>
    <t>ANGKASIH WAJARINI</t>
  </si>
  <si>
    <t>angkasihwajarini@gmail.com</t>
  </si>
  <si>
    <t>6890</t>
  </si>
  <si>
    <t>18OXQudrJH1EzobF3uksLKOU7tga0f7lD</t>
  </si>
  <si>
    <t>https://drive.google.com/file/d/18OXQudrJH1EzobF3uksLKOU7tga0f7lD/view?usp=drivesdk</t>
  </si>
  <si>
    <t>Document successfully created; Document successfully merged; PDF created; !!Error Sending Emails: Service invoked too many times for one day: email.; Manually run by ecertificate75@gmail.com; Timestamp: Sep 4 2024 1:03 AM</t>
  </si>
  <si>
    <t>OVERSI NAINGGOLAN, S.Psi</t>
  </si>
  <si>
    <t>oversipsi@gmail.com</t>
  </si>
  <si>
    <t>6891</t>
  </si>
  <si>
    <t>Starting at Thu Aug 29 2024 21:59:34 GMT-0400 (EDT)</t>
  </si>
  <si>
    <t>1PDH0vT-Rc_wmLbIAr_FMAM2yzKgKuTdN</t>
  </si>
  <si>
    <t>https://drive.google.com/file/d/1PDH0vT-Rc_wmLbIAr_FMAM2yzKgKuTdN/view?usp=drivesdk</t>
  </si>
  <si>
    <t>RADEN SRI HANGGARI MURNI</t>
  </si>
  <si>
    <t>srihanggari@gmail.com</t>
  </si>
  <si>
    <t>6892</t>
  </si>
  <si>
    <t>1PK5crFtjROOWNGdzs9k6TbtlAtPL3XXw</t>
  </si>
  <si>
    <t>https://drive.google.com/file/d/1PK5crFtjROOWNGdzs9k6TbtlAtPL3XXw/view?usp=drivesdk</t>
  </si>
  <si>
    <t>ERVINA.SE</t>
  </si>
  <si>
    <t>johan.tanjung29@gmail.com</t>
  </si>
  <si>
    <t>6893</t>
  </si>
  <si>
    <t>1dVozA-F63Zl-6RnXik1EKqsRnCuBbDsM</t>
  </si>
  <si>
    <t>https://drive.google.com/file/d/1dVozA-F63Zl-6RnXik1EKqsRnCuBbDsM/view?usp=drivesdk</t>
  </si>
  <si>
    <t xml:space="preserve">DIKA AGUNG PRASETYO </t>
  </si>
  <si>
    <t>dika.agung@gmail.com</t>
  </si>
  <si>
    <t>6894</t>
  </si>
  <si>
    <t>Starting at Thu Aug 29 2024 21:59:36 GMT-0400 (EDT)</t>
  </si>
  <si>
    <t>1eIDCFrRexuUzkSxFYjO7UCFqBpLUSCw7</t>
  </si>
  <si>
    <t>https://drive.google.com/file/d/1eIDCFrRexuUzkSxFYjO7UCFqBpLUSCw7/view?usp=drivesdk</t>
  </si>
  <si>
    <t>ALWAN EVENDHI</t>
  </si>
  <si>
    <t>alwanevendhi@gmail.com</t>
  </si>
  <si>
    <t>6895</t>
  </si>
  <si>
    <t>1lEEAmalGkLZzcWXBNgqg0NT3OngfiTm6</t>
  </si>
  <si>
    <t>https://drive.google.com/file/d/1lEEAmalGkLZzcWXBNgqg0NT3OngfiTm6/view?usp=drivesdk</t>
  </si>
  <si>
    <t>Document successfully created; Document successfully merged; PDF created; !!Error Sending Emails: Service invoked too many times for one day: email.; Manually run by ecertificate75@gmail.com; Timestamp: Sep 4 2024 1:04 AM</t>
  </si>
  <si>
    <t>RADEN WISNU PRIYAMBADA</t>
  </si>
  <si>
    <t>wisnupriyambada@gmail.com</t>
  </si>
  <si>
    <t>6896</t>
  </si>
  <si>
    <t>1wsCcxoNjsowdYItW81eH5sOXrE9qdWkA</t>
  </si>
  <si>
    <t>https://drive.google.com/file/d/1wsCcxoNjsowdYItW81eH5sOXrE9qdWkA/view?usp=drivesdk</t>
  </si>
  <si>
    <t xml:space="preserve">HAIRUL SALEH </t>
  </si>
  <si>
    <t>hairulsaleh152@gmail.com</t>
  </si>
  <si>
    <t>6897</t>
  </si>
  <si>
    <t>1Z3XL0ZwCMjtjeIlSiYM0sbxlm7OnQmpM</t>
  </si>
  <si>
    <t>https://drive.google.com/file/d/1Z3XL0ZwCMjtjeIlSiYM0sbxlm7OnQmpM/view?usp=drivesdk</t>
  </si>
  <si>
    <t>Document successfully created; Document successfully merged; PDF created; !!Error Sending Emails: Service invoked too many times for one day: email.; Manually run by ecertificate75@gmail.com; Timestamp: Sep 4 2024 1:05 AM</t>
  </si>
  <si>
    <t>IMAM SAFI'I</t>
  </si>
  <si>
    <t>m45imamsafii@gmail.com</t>
  </si>
  <si>
    <t>6898</t>
  </si>
  <si>
    <t>1alxV313QVW-gI78vqjAwaJMcsVCBUzOj</t>
  </si>
  <si>
    <t>https://drive.google.com/file/d/1alxV313QVW-gI78vqjAwaJMcsVCBUzOj/view?usp=drivesdk</t>
  </si>
  <si>
    <t>SURINI</t>
  </si>
  <si>
    <t>rini.resrim@gmail.com</t>
  </si>
  <si>
    <t>6899</t>
  </si>
  <si>
    <t>Starting at Thu Aug 29 2024 21:59:40 GMT-0400 (EDT)</t>
  </si>
  <si>
    <t>14XPnTgOcym4sdD_TYA1KcVEJP7STVNfr</t>
  </si>
  <si>
    <t>https://drive.google.com/file/d/14XPnTgOcym4sdD_TYA1KcVEJP7STVNfr/view?usp=drivesdk</t>
  </si>
  <si>
    <t>SUDIRMAN</t>
  </si>
  <si>
    <t>Sudirman1969@gmail.com</t>
  </si>
  <si>
    <t>6900</t>
  </si>
  <si>
    <t>Starting at Thu Aug 29 2024 21:59:42 GMT-0400 (EDT)</t>
  </si>
  <si>
    <t>1Da9WCDGrvC0CBro2nNkoM0M8lcoqO2YH</t>
  </si>
  <si>
    <t>https://drive.google.com/file/d/1Da9WCDGrvC0CBro2nNkoM0M8lcoqO2YH/view?usp=drivesdk</t>
  </si>
  <si>
    <t>supardipns9@gmail.com</t>
  </si>
  <si>
    <t>6901</t>
  </si>
  <si>
    <t>Starting at Thu Aug 29 2024 21:59:46 GMT-0400 (EDT)</t>
  </si>
  <si>
    <t>1q4YFr6iuM9utZY95TdXdqnHTf3pMnYFV</t>
  </si>
  <si>
    <t>https://drive.google.com/file/d/1q4YFr6iuM9utZY95TdXdqnHTf3pMnYFV/view?usp=drivesdk</t>
  </si>
  <si>
    <t>ETY SUARNI</t>
  </si>
  <si>
    <t>etybone@gmail.com</t>
  </si>
  <si>
    <t>6902</t>
  </si>
  <si>
    <t>11iiwt0quvxO0alDKtAgrGfIV7j4m9bqe</t>
  </si>
  <si>
    <t>https://drive.google.com/file/d/11iiwt0quvxO0alDKtAgrGfIV7j4m9bqe/view?usp=drivesdk</t>
  </si>
  <si>
    <t>Document successfully created; Document successfully merged; PDF created; !!Error Sending Emails: Service invoked too many times for one day: email.; Manually run by ecertificate75@gmail.com; Timestamp: Sep 4 2024 1:06 AM</t>
  </si>
  <si>
    <t>WINDI MEISA ROSELLINI</t>
  </si>
  <si>
    <t>windirosellini@gmail.com</t>
  </si>
  <si>
    <t>6903</t>
  </si>
  <si>
    <t>1zNEsxU5d6xBxEAG_AdbopvwYDunA6bMB</t>
  </si>
  <si>
    <t>https://drive.google.com/file/d/1zNEsxU5d6xBxEAG_AdbopvwYDunA6bMB/view?usp=drivesdk</t>
  </si>
  <si>
    <t>DINI RAHAYU SEPTIYANI, S.Kep.</t>
  </si>
  <si>
    <t>dinirahayuseptiyani97@gmail.com</t>
  </si>
  <si>
    <t>6904</t>
  </si>
  <si>
    <t>1Wf8FyTwpEaSfI-xrhji4dWGvXeOH_993</t>
  </si>
  <si>
    <t>https://drive.google.com/file/d/1Wf8FyTwpEaSfI-xrhji4dWGvXeOH_993/view?usp=drivesdk</t>
  </si>
  <si>
    <t>DWI SUJARWANTO</t>
  </si>
  <si>
    <t>dwisujarwanto3@gmail.com</t>
  </si>
  <si>
    <t>6905</t>
  </si>
  <si>
    <t>1hBSVK810vUmdPgm22db6KTCNEiSDt4sf</t>
  </si>
  <si>
    <t>https://drive.google.com/file/d/1hBSVK810vUmdPgm22db6KTCNEiSDt4sf/view?usp=drivesdk</t>
  </si>
  <si>
    <t>EKO PRASETYO</t>
  </si>
  <si>
    <t>ekodokprasetyo@gmail.com</t>
  </si>
  <si>
    <t>6906</t>
  </si>
  <si>
    <t>Starting at Thu Aug 29 2024 21:59:50 GMT-0400 (EDT)</t>
  </si>
  <si>
    <t>1kyhIiLDOr4WsW_2OPH3daGRrGlZEX63-</t>
  </si>
  <si>
    <t>https://drive.google.com/file/d/1kyhIiLDOr4WsW_2OPH3daGRrGlZEX63-/view?usp=drivesdk</t>
  </si>
  <si>
    <t>Document successfully created; Document successfully merged; PDF created; !!Error Sending Emails: Service invoked too many times for one day: email.; Manually run by ecertificate75@gmail.com; Timestamp: Sep 4 2024 1:07 AM</t>
  </si>
  <si>
    <t>MUSTARICHA</t>
  </si>
  <si>
    <t>ichategal1970@gmail.com</t>
  </si>
  <si>
    <t>6907</t>
  </si>
  <si>
    <t>1T_2AiqGMpwTfDcyaPUXqQExf6bbJvPvP</t>
  </si>
  <si>
    <t>https://drive.google.com/file/d/1T_2AiqGMpwTfDcyaPUXqQExf6bbJvPvP/view?usp=drivesdk</t>
  </si>
  <si>
    <t>Khayat, S.Pd.I., M.Tr.A.P.</t>
  </si>
  <si>
    <t>ibnu.hayat@yahoo.co.id</t>
  </si>
  <si>
    <t>6908</t>
  </si>
  <si>
    <t>1tXXbuL6Vl-VjWSCDXQeuvqHpimzUIslf</t>
  </si>
  <si>
    <t>https://drive.google.com/file/d/1tXXbuL6Vl-VjWSCDXQeuvqHpimzUIslf/view?usp=drivesdk</t>
  </si>
  <si>
    <t>sukoharjobagren@gmail.com</t>
  </si>
  <si>
    <t>6909</t>
  </si>
  <si>
    <t>Starting at Thu Aug 29 2024 21:59:51 GMT-0400 (EDT)</t>
  </si>
  <si>
    <t>1wdFom_5bVlvXSbJ9dOqinwJ69VRQZNIq</t>
  </si>
  <si>
    <t>https://drive.google.com/file/d/1wdFom_5bVlvXSbJ9dOqinwJ69VRQZNIq/view?usp=drivesdk</t>
  </si>
  <si>
    <t>HENDRZON</t>
  </si>
  <si>
    <t>hendrizon19@gmail.com</t>
  </si>
  <si>
    <t>6910</t>
  </si>
  <si>
    <t>Starting at Thu Aug 29 2024 21:59:52 GMT-0400 (EDT)</t>
  </si>
  <si>
    <t>1q8swVNjzKOPHNHuPTL5d3QWW5idebGmh</t>
  </si>
  <si>
    <t>https://drive.google.com/file/d/1q8swVNjzKOPHNHuPTL5d3QWW5idebGmh/view?usp=drivesdk</t>
  </si>
  <si>
    <t>DEWI MARLIANA</t>
  </si>
  <si>
    <t>dewirafli81@gmail.com</t>
  </si>
  <si>
    <t>6911</t>
  </si>
  <si>
    <t>1c-wRjCReRBuHdNqqPdVZkHdHgBGoHpHK</t>
  </si>
  <si>
    <t>https://drive.google.com/file/d/1c-wRjCReRBuHdNqqPdVZkHdHgBGoHpHK/view?usp=drivesdk</t>
  </si>
  <si>
    <t>Document successfully created; Document successfully merged; PDF created; !!Error Sending Emails: Service invoked too many times for one day: email.; Manually run by ecertificate75@gmail.com; Timestamp: Sep 4 2024 1:08 AM</t>
  </si>
  <si>
    <t>NUR EDI. S.E.,M.M</t>
  </si>
  <si>
    <t>nuredy@gmail.com</t>
  </si>
  <si>
    <t>6912</t>
  </si>
  <si>
    <t>Starting at Thu Aug 29 2024 21:59:55 GMT-0400 (EDT)</t>
  </si>
  <si>
    <t>19LMjfx1Tg8gCask3X7ALEbTEGiDhN96B</t>
  </si>
  <si>
    <t>https://drive.google.com/file/d/19LMjfx1Tg8gCask3X7ALEbTEGiDhN96B/view?usp=drivesdk</t>
  </si>
  <si>
    <t>natanaelhesti@gmail.com</t>
  </si>
  <si>
    <t>6913</t>
  </si>
  <si>
    <t>18KLa2GoqMQsxc_kfYIWmn3PiNkZhfer_</t>
  </si>
  <si>
    <t>https://drive.google.com/file/d/18KLa2GoqMQsxc_kfYIWmn3PiNkZhfer_/view?usp=drivesdk</t>
  </si>
  <si>
    <t>slametditlantas@gmail.com</t>
  </si>
  <si>
    <t>6914</t>
  </si>
  <si>
    <t>1FUnnJDe-Lkvx_llz2VmXRjnpQ0d7XZHJ</t>
  </si>
  <si>
    <t>https://drive.google.com/file/d/1FUnnJDe-Lkvx_llz2VmXRjnpQ0d7XZHJ/view?usp=drivesdk</t>
  </si>
  <si>
    <t>FAIZAH CHASANA, S.Kep.Ns</t>
  </si>
  <si>
    <t>chasanafaizah@gmail.com</t>
  </si>
  <si>
    <t>6915</t>
  </si>
  <si>
    <t>Starting at Thu Aug 29 2024 21:59:58 GMT-0400 (EDT)</t>
  </si>
  <si>
    <t>1D4wUPM_Ey_WeqCWJHw_lamjzsLrdS3mU</t>
  </si>
  <si>
    <t>https://drive.google.com/file/d/1D4wUPM_Ey_WeqCWJHw_lamjzsLrdS3mU/view?usp=drivesdk</t>
  </si>
  <si>
    <t>Document successfully created; Document successfully merged; PDF created; !!Error Sending Emails: Service invoked too many times for one day: email.; Manually run by ecertificate75@gmail.com; Timestamp: Sep 4 2024 1:09 AM</t>
  </si>
  <si>
    <t>TASMIDJAN</t>
  </si>
  <si>
    <t>tasmijan397@gmail.com</t>
  </si>
  <si>
    <t>6916</t>
  </si>
  <si>
    <t>1G-Ivyy3jU9aSHqMzPDhr_nwuohGLFH_Q</t>
  </si>
  <si>
    <t>https://drive.google.com/file/d/1G-Ivyy3jU9aSHqMzPDhr_nwuohGLFH_Q/view?usp=drivesdk</t>
  </si>
  <si>
    <t>SUKRO SUGIATMOKO</t>
  </si>
  <si>
    <t>sugiatmokom4@gmail.com</t>
  </si>
  <si>
    <t>6917</t>
  </si>
  <si>
    <t>1EUfsvHWFXuuRobp3W9poHwi75bgDZBJx</t>
  </si>
  <si>
    <t>https://drive.google.com/file/d/1EUfsvHWFXuuRobp3W9poHwi75bgDZBJx/view?usp=drivesdk</t>
  </si>
  <si>
    <t>SUTRISNO, S.Sos., M.M.</t>
  </si>
  <si>
    <t>trisnoae68@gmail.com</t>
  </si>
  <si>
    <t>6918</t>
  </si>
  <si>
    <t>1HHDCPIkEM_jK5_Co_qZrnWIvP-GZQHu_</t>
  </si>
  <si>
    <t>https://drive.google.com/file/d/1HHDCPIkEM_jK5_Co_qZrnWIvP-GZQHu_/view?usp=drivesdk</t>
  </si>
  <si>
    <t>Document successfully created; Document successfully merged; PDF created; !!Error Sending Emails: Service invoked too many times for one day: email.; Manually run by ecertificate75@gmail.com; Timestamp: Sep 4 2024 1:10 AM</t>
  </si>
  <si>
    <t>LIZA FAUZIAH</t>
  </si>
  <si>
    <t>rizafauziah1975@gmail.com</t>
  </si>
  <si>
    <t>6919</t>
  </si>
  <si>
    <t>1G-yl5wAzoutEkZiUr4ytFby3QPZQdSel</t>
  </si>
  <si>
    <t>https://drive.google.com/file/d/1G-yl5wAzoutEkZiUr4ytFby3QPZQdSel/view?usp=drivesdk</t>
  </si>
  <si>
    <t>kasimank44@goid.com</t>
  </si>
  <si>
    <t>6920</t>
  </si>
  <si>
    <t>1oWzqO2HlLd2vkVruh3o6uREy9aCVaVSC</t>
  </si>
  <si>
    <t>https://drive.google.com/file/d/1oWzqO2HlLd2vkVruh3o6uREy9aCVaVSC/view?usp=drivesdk</t>
  </si>
  <si>
    <t>YULCE UMBOH</t>
  </si>
  <si>
    <t>yulumbo77@gmail.com</t>
  </si>
  <si>
    <t>6921</t>
  </si>
  <si>
    <t>Starting at Thu Aug 29 2024 22:00:03 GMT-0400 (EDT)</t>
  </si>
  <si>
    <t>1i9GCiY7uuU1y48D8c-HJA0e4yK8adSGJ</t>
  </si>
  <si>
    <t>https://drive.google.com/file/d/1i9GCiY7uuU1y48D8c-HJA0e4yK8adSGJ/view?usp=drivesdk</t>
  </si>
  <si>
    <t>SAPTA RINI,S.Ikom.</t>
  </si>
  <si>
    <t>jirayu7rn@gmail.com</t>
  </si>
  <si>
    <t>6922</t>
  </si>
  <si>
    <t>1-ZcMMueP9gx7hwGiljJZd6d3yYgTDKVt</t>
  </si>
  <si>
    <t>https://drive.google.com/file/d/1-ZcMMueP9gx7hwGiljJZd6d3yYgTDKVt/view?usp=drivesdk</t>
  </si>
  <si>
    <t>Document successfully created; Document successfully merged; PDF created; !!Error Sending Emails: Service invoked too many times for one day: email.; Manually run by ecertificate75@gmail.com; Timestamp: Sep 4 2024 1:11 AM</t>
  </si>
  <si>
    <t>HARIANTO, S.E.</t>
  </si>
  <si>
    <t>mbahpente@gmail.com</t>
  </si>
  <si>
    <t>6923</t>
  </si>
  <si>
    <t>1tfLUnMcMUa87SPDxxbTJSaRF6WYZElL9</t>
  </si>
  <si>
    <t>https://drive.google.com/file/d/1tfLUnMcMUa87SPDxxbTJSaRF6WYZElL9/view?usp=drivesdk</t>
  </si>
  <si>
    <t>ARI PUSPITASARI</t>
  </si>
  <si>
    <t>apuspitasari2024@gmail.com</t>
  </si>
  <si>
    <t>6924</t>
  </si>
  <si>
    <t>1b8UM0EO4m5ylM844m_khTKVdUZRxNW6B</t>
  </si>
  <si>
    <t>https://drive.google.com/file/d/1b8UM0EO4m5ylM844m_khTKVdUZRxNW6B/view?usp=drivesdk</t>
  </si>
  <si>
    <t>SUMITRO</t>
  </si>
  <si>
    <t>sumitrocb150r@gmail.com</t>
  </si>
  <si>
    <t>6925</t>
  </si>
  <si>
    <t>10qqHXdxcjxNwZeQgLvo7ECsuFJ9o7SRM</t>
  </si>
  <si>
    <t>https://drive.google.com/file/d/10qqHXdxcjxNwZeQgLvo7ECsuFJ9o7SRM/view?usp=drivesdk</t>
  </si>
  <si>
    <t>Document successfully created; Document successfully merged; PDF created; !!Error Sending Emails: Service invoked too many times for one day: email.; Manually run by ecertificate75@gmail.com; Timestamp: Sep 4 2024 1:12 AM</t>
  </si>
  <si>
    <t>ENNY SUDRIANINGTIAS</t>
  </si>
  <si>
    <t>ennysudrianingtias@gmail.com</t>
  </si>
  <si>
    <t>6926</t>
  </si>
  <si>
    <t>Starting at Thu Aug 29 2024 22:00:04 GMT-0400 (EDT)</t>
  </si>
  <si>
    <t>1FNBMf7UpaFAA0qk24jbwuSJwbXzTyFgj</t>
  </si>
  <si>
    <t>https://drive.google.com/file/d/1FNBMf7UpaFAA0qk24jbwuSJwbXzTyFgj/view?usp=drivesdk</t>
  </si>
  <si>
    <t xml:space="preserve">ALI RIDWAN </t>
  </si>
  <si>
    <t>aliridwan1618@gmail.com</t>
  </si>
  <si>
    <t>6927</t>
  </si>
  <si>
    <t>Starting at Thu Aug 29 2024 22:00:05 GMT-0400 (EDT)</t>
  </si>
  <si>
    <t>173G1oD9e8jwuL1uibkNJDb3bCOuW9TMX</t>
  </si>
  <si>
    <t>https://drive.google.com/file/d/173G1oD9e8jwuL1uibkNJDb3bCOuW9TMX/view?usp=drivesdk</t>
  </si>
  <si>
    <t>AYU RINI ARIANI, A.Md.Keb.,S.K.M</t>
  </si>
  <si>
    <t>ayuriniariani@gmail.com</t>
  </si>
  <si>
    <t>6928</t>
  </si>
  <si>
    <t>1LshZFjdcB6DUnnvaM2zM1Kv2hU5EWUY8</t>
  </si>
  <si>
    <t>https://drive.google.com/file/d/1LshZFjdcB6DUnnvaM2zM1Kv2hU5EWUY8/view?usp=drivesdk</t>
  </si>
  <si>
    <t>Document successfully created; Document successfully merged; PDF created; !!Error Sending Emails: Service invoked too many times for one day: email.; Manually run by ecertificate75@gmail.com; Timestamp: Sep 4 2024 1:13 AM</t>
  </si>
  <si>
    <t>ARI CAHYADI, S.E.</t>
  </si>
  <si>
    <t>cahyadiari@gmail.com</t>
  </si>
  <si>
    <t>6929</t>
  </si>
  <si>
    <t>Starting at Thu Aug 29 2024 22:00:09 GMT-0400 (EDT)</t>
  </si>
  <si>
    <t>109nHV09B4_ZH4JUmmVHU9B7gbI0OwZjm</t>
  </si>
  <si>
    <t>https://drive.google.com/file/d/109nHV09B4_ZH4JUmmVHU9B7gbI0OwZjm/view?usp=drivesdk</t>
  </si>
  <si>
    <t>DEViA ERMON SE</t>
  </si>
  <si>
    <t>deviaermon33@gmail.com</t>
  </si>
  <si>
    <t>6930</t>
  </si>
  <si>
    <t>1wCJvwT9AQnOQV0Nflih-Bc_aw2oWuZDI</t>
  </si>
  <si>
    <t>https://drive.google.com/file/d/1wCJvwT9AQnOQV0Nflih-Bc_aw2oWuZDI/view?usp=drivesdk</t>
  </si>
  <si>
    <t>TUTI ASNANI</t>
  </si>
  <si>
    <t>tutiasnani82@gmail.com</t>
  </si>
  <si>
    <t>6931</t>
  </si>
  <si>
    <t>1zF4m-5Blu_IunjOIWtN4FRT5BSk53wdr</t>
  </si>
  <si>
    <t>https://drive.google.com/file/d/1zF4m-5Blu_IunjOIWtN4FRT5BSk53wdr/view?usp=drivesdk</t>
  </si>
  <si>
    <t>NANIK SRININGSIH</t>
  </si>
  <si>
    <t>ayusriningsiih87@gmail.com</t>
  </si>
  <si>
    <t>6932</t>
  </si>
  <si>
    <t>1IOQrD0zbaAA1AxawMj3VlFWVG3Psg8nS</t>
  </si>
  <si>
    <t>https://drive.google.com/file/d/1IOQrD0zbaAA1AxawMj3VlFWVG3Psg8nS/view?usp=drivesdk</t>
  </si>
  <si>
    <t>Document successfully created; Document successfully merged; PDF created; !!Error Sending Emails: Service invoked too many times for one day: email.; Run via form trigger as ecertificate75@gmail.com; Timestamp: Sep 4 2024 12:53 AM</t>
  </si>
  <si>
    <t>MISNAN</t>
  </si>
  <si>
    <t>misnanmis73@gimail.com</t>
  </si>
  <si>
    <t>6933</t>
  </si>
  <si>
    <t>1zAwnmJwOFaT88tk_yt_M-wn_Y_Q-FbXG</t>
  </si>
  <si>
    <t>https://drive.google.com/file/d/1zAwnmJwOFaT88tk_yt_M-wn_Y_Q-FbXG/view?usp=drivesdk</t>
  </si>
  <si>
    <t>YOLA DIANA,S.E.</t>
  </si>
  <si>
    <t>yoladiana5@gmail.com</t>
  </si>
  <si>
    <t>6934</t>
  </si>
  <si>
    <t>Starting at Thu Aug 29 2024 22:00:14 GMT-0400 (EDT)</t>
  </si>
  <si>
    <t>1qg_t5mngp55Ca4GJ8Quo5N15vwn09oLL</t>
  </si>
  <si>
    <t>https://drive.google.com/file/d/1qg_t5mngp55Ca4GJ8Quo5N15vwn09oLL/view?usp=drivesdk</t>
  </si>
  <si>
    <t xml:space="preserve">Maslan Nikson Nainggolan </t>
  </si>
  <si>
    <t>maslannikson@gmail.com</t>
  </si>
  <si>
    <t>6935</t>
  </si>
  <si>
    <t>1_Jil5h7nc4uw7lrUGgvVTJvIKPDEc2s8</t>
  </si>
  <si>
    <t>https://drive.google.com/file/d/1_Jil5h7nc4uw7lrUGgvVTJvIKPDEc2s8/view?usp=drivesdk</t>
  </si>
  <si>
    <t>Document successfully created; Document successfully merged; PDF created; !!Error Sending Emails: Service invoked too many times for one day: email.; Run via form trigger as ecertificate75@gmail.com; Timestamp: Sep 4 2024 12:54 AM</t>
  </si>
  <si>
    <t>ERMA SARFAH</t>
  </si>
  <si>
    <t>ermafeca@gmail.com</t>
  </si>
  <si>
    <t>6936</t>
  </si>
  <si>
    <t>1RRwMSozSCO-YAY-qwg9jg3qUXCGolOwg</t>
  </si>
  <si>
    <t>https://drive.google.com/file/d/1RRwMSozSCO-YAY-qwg9jg3qUXCGolOwg/view?usp=drivesdk</t>
  </si>
  <si>
    <t>SURYATI NURLELA,AMD</t>
  </si>
  <si>
    <t>suryatinurlela16@gmail.com</t>
  </si>
  <si>
    <t>6937</t>
  </si>
  <si>
    <t>1wwPeAkT6Npoj3v34eG83vkX_2IG1_zgJ</t>
  </si>
  <si>
    <t>https://drive.google.com/file/d/1wwPeAkT6Npoj3v34eG83vkX_2IG1_zgJ/view?usp=drivesdk</t>
  </si>
  <si>
    <t>DUWI AGUSTINA, S.E</t>
  </si>
  <si>
    <t>reskrimokutimur@gmail.com</t>
  </si>
  <si>
    <t>6938</t>
  </si>
  <si>
    <t>Starting at Thu Aug 29 2024 22:00:17 GMT-0400 (EDT)</t>
  </si>
  <si>
    <t>1NwUgCqNUtCvkawqjZT-yrXzYrzRfXGm9</t>
  </si>
  <si>
    <t>https://drive.google.com/file/d/1NwUgCqNUtCvkawqjZT-yrXzYrzRfXGm9/view?usp=drivesdk</t>
  </si>
  <si>
    <t>ERNAWATI, S.Kep</t>
  </si>
  <si>
    <t>enawati051990@gmail.com</t>
  </si>
  <si>
    <t>6939</t>
  </si>
  <si>
    <t>1BpZNwFiMxa7MQXk3Io971qL3gYetvkIM</t>
  </si>
  <si>
    <t>https://drive.google.com/file/d/1BpZNwFiMxa7MQXk3Io971qL3gYetvkIM/view?usp=drivesdk</t>
  </si>
  <si>
    <t>Document successfully created; Document successfully merged; PDF created; !!Error Sending Emails: Service invoked too many times for one day: email.; Run via form trigger as ecertificate75@gmail.com; Timestamp: Sep 4 2024 12:55 AM</t>
  </si>
  <si>
    <t>SULMIATIN, S.Pd</t>
  </si>
  <si>
    <t>atint595@gmail.com</t>
  </si>
  <si>
    <t>6940</t>
  </si>
  <si>
    <t>1hqmwZs8wf3srUV3gJ3JAoN_fdOnJZyH3</t>
  </si>
  <si>
    <t>https://drive.google.com/file/d/1hqmwZs8wf3srUV3gJ3JAoN_fdOnJZyH3/view?usp=drivesdk</t>
  </si>
  <si>
    <t>ASNIDA,S.E</t>
  </si>
  <si>
    <t>asnida170573@gmail.com</t>
  </si>
  <si>
    <t>6941</t>
  </si>
  <si>
    <t>Starting at Thu Aug 29 2024 22:00:20 GMT-0400 (EDT)</t>
  </si>
  <si>
    <t>1Kc7PZTj8ghfiIWEYTDYxH-N8H0ODGW0z</t>
  </si>
  <si>
    <t>https://drive.google.com/file/d/1Kc7PZTj8ghfiIWEYTDYxH-N8H0ODGW0z/view?usp=drivesdk</t>
  </si>
  <si>
    <t>PAINAH</t>
  </si>
  <si>
    <t>painah.jambi1969@gmail.com</t>
  </si>
  <si>
    <t>6942</t>
  </si>
  <si>
    <t>1YZoEJclzszJ7e4P_clAUikhy8794RiVf</t>
  </si>
  <si>
    <t>https://drive.google.com/file/d/1YZoEJclzszJ7e4P_clAUikhy8794RiVf/view?usp=drivesdk</t>
  </si>
  <si>
    <t>MANSJE TAPILOUW</t>
  </si>
  <si>
    <t>tapilouwmansje294@gmail.com</t>
  </si>
  <si>
    <t>6943</t>
  </si>
  <si>
    <t>1IZ5K92ysC5mvbFIbuXgusd7jFMDcE7F3</t>
  </si>
  <si>
    <t>https://drive.google.com/file/d/1IZ5K92ysC5mvbFIbuXgusd7jFMDcE7F3/view?usp=drivesdk</t>
  </si>
  <si>
    <t>Document successfully created; Document successfully merged; PDF created; !!Error Sending Emails: Service invoked too many times for one day: email.; Run via form trigger as ecertificate75@gmail.com; Timestamp: Sep 4 2024 12:56 AM</t>
  </si>
  <si>
    <t>NISWATI, Amk</t>
  </si>
  <si>
    <t>niswatianis@gmail.com</t>
  </si>
  <si>
    <t>6944</t>
  </si>
  <si>
    <t>1a2pnQ9JNrNjfd7svxqR6SxhqAI2cuai7</t>
  </si>
  <si>
    <t>https://drive.google.com/file/d/1a2pnQ9JNrNjfd7svxqR6SxhqAI2cuai7/view?usp=drivesdk</t>
  </si>
  <si>
    <t>YANUAR SELOWATI</t>
  </si>
  <si>
    <t>iyan_81_yanuar@yahoo.com</t>
  </si>
  <si>
    <t>6945</t>
  </si>
  <si>
    <t>1XrzCC8CUAYSMpD0-vux9LVpeDCupstB1</t>
  </si>
  <si>
    <t>https://drive.google.com/file/d/1XrzCC8CUAYSMpD0-vux9LVpeDCupstB1/view?usp=drivesdk</t>
  </si>
  <si>
    <t xml:space="preserve">SUKISNO </t>
  </si>
  <si>
    <t>sukisnokisno301@gmail.com</t>
  </si>
  <si>
    <t>6946</t>
  </si>
  <si>
    <t>1XfQ3UwIJt4CeYBeUUrc1d67hScN9W3QN</t>
  </si>
  <si>
    <t>https://drive.google.com/file/d/1XfQ3UwIJt4CeYBeUUrc1d67hScN9W3QN/view?usp=drivesdk</t>
  </si>
  <si>
    <t>SITI MARIANAH</t>
  </si>
  <si>
    <t>rcsamsung516@gmail.com</t>
  </si>
  <si>
    <t>6947</t>
  </si>
  <si>
    <t>Starting at Thu Aug 29 2024 22:00:24 GMT-0400 (EDT)</t>
  </si>
  <si>
    <t>1NGr2Yp-KPMHbAG1X2iXGiCSNqMjX4kcJ</t>
  </si>
  <si>
    <t>https://drive.google.com/file/d/1NGr2Yp-KPMHbAG1X2iXGiCSNqMjX4kcJ/view?usp=drivesdk</t>
  </si>
  <si>
    <t>ANIK WIDAYATI</t>
  </si>
  <si>
    <t>annieweidh@gmail.com</t>
  </si>
  <si>
    <t>6948</t>
  </si>
  <si>
    <t>1qm7dh4A2-8958A8ClDuEo5-FBkLxtSit</t>
  </si>
  <si>
    <t>https://drive.google.com/file/d/1qm7dh4A2-8958A8ClDuEo5-FBkLxtSit/view?usp=drivesdk</t>
  </si>
  <si>
    <t>Document successfully created; Document successfully merged; PDF created; !!Error Sending Emails: Service invoked too many times for one day: email.; Run via form trigger as ecertificate75@gmail.com; Timestamp: Sep 4 2024 12:57 AM</t>
  </si>
  <si>
    <t>KANIA DEWIYANTI. SE</t>
  </si>
  <si>
    <t>kaniahilman23@gmail.com</t>
  </si>
  <si>
    <t>6949</t>
  </si>
  <si>
    <t>1-cgkiJSzPjSn8Wd_nXF7UXL_dRHrpQck</t>
  </si>
  <si>
    <t>https://drive.google.com/file/d/1-cgkiJSzPjSn8Wd_nXF7UXL_dRHrpQck/view?usp=drivesdk</t>
  </si>
  <si>
    <t>YANTI SRI PUSI'AH</t>
  </si>
  <si>
    <t>sripusiahyanti@gmail.com</t>
  </si>
  <si>
    <t>6950</t>
  </si>
  <si>
    <t>1Rlbd-HkCqDyeIPileTzv4P2pvUgcWQiu</t>
  </si>
  <si>
    <t>https://drive.google.com/file/d/1Rlbd-HkCqDyeIPileTzv4P2pvUgcWQiu/view?usp=drivesdk</t>
  </si>
  <si>
    <t>Elida Hanum, SH</t>
  </si>
  <si>
    <t>elidahanum031171@gmail.com</t>
  </si>
  <si>
    <t>6951</t>
  </si>
  <si>
    <t>1BOCSUPTMwSVDAtGp7H_jojXn4ab-GbMQ</t>
  </si>
  <si>
    <t>https://drive.google.com/file/d/1BOCSUPTMwSVDAtGp7H_jojXn4ab-GbMQ/view?usp=drivesdk</t>
  </si>
  <si>
    <t>ASRIZAL</t>
  </si>
  <si>
    <t>asrizal.renmin@gmail.com</t>
  </si>
  <si>
    <t>6952</t>
  </si>
  <si>
    <t>1vBZNA8tDTok4lE8DYOXICsaSS2DKDc1X</t>
  </si>
  <si>
    <t>https://drive.google.com/file/d/1vBZNA8tDTok4lE8DYOXICsaSS2DKDc1X/view?usp=drivesdk</t>
  </si>
  <si>
    <t>Document successfully created; Document successfully merged; PDF created; !!Error Sending Emails: Service invoked too many times for one day: email.; Manually run by ecertificate75@gmail.com; Timestamp: Sep 4 2024 1:14 AM</t>
  </si>
  <si>
    <t>TYAS SENJANI P, A.Md</t>
  </si>
  <si>
    <t>senjacesz@gmail.com</t>
  </si>
  <si>
    <t>6953</t>
  </si>
  <si>
    <t>1yphYVJHuSbD5-4L1c7zizi11bxic883K</t>
  </si>
  <si>
    <t>https://drive.google.com/file/d/1yphYVJHuSbD5-4L1c7zizi11bxic883K/view?usp=drivesdk</t>
  </si>
  <si>
    <t>ARDIANSYAH, AMD</t>
  </si>
  <si>
    <t>ardiansyah79.noa@gmail.com</t>
  </si>
  <si>
    <t>6954</t>
  </si>
  <si>
    <t>1_sT1DvN0Iv-fE6llhfWWxlOsZWD_j6tH</t>
  </si>
  <si>
    <t>https://drive.google.com/file/d/1_sT1DvN0Iv-fE6llhfWWxlOsZWD_j6tH/view?usp=drivesdk</t>
  </si>
  <si>
    <t>FRANSISCA ROSADI</t>
  </si>
  <si>
    <t>siscarosadi1986@gmail.com</t>
  </si>
  <si>
    <t>6955</t>
  </si>
  <si>
    <t>14YfAn9kmroXG0x6LxJx92jqQXVY0CQUy</t>
  </si>
  <si>
    <t>https://drive.google.com/file/d/14YfAn9kmroXG0x6LxJx92jqQXVY0CQUy/view?usp=drivesdk</t>
  </si>
  <si>
    <t>SULASMI</t>
  </si>
  <si>
    <t>asmi.bwi@gmail.com</t>
  </si>
  <si>
    <t>6956</t>
  </si>
  <si>
    <t>Starting at Thu Aug 29 2024 22:00:27 GMT-0400 (EDT)</t>
  </si>
  <si>
    <t>11SG_bb0mrqa-LQ8FqSLw_-eWuOIqj8yv</t>
  </si>
  <si>
    <t>https://drive.google.com/file/d/11SG_bb0mrqa-LQ8FqSLw_-eWuOIqj8yv/view?usp=drivesdk</t>
  </si>
  <si>
    <t>Document successfully created; Document successfully merged; PDF created; !!Error Sending Emails: Service invoked too many times for one day: email.; Manually run by ecertificate75@gmail.com; Timestamp: Sep 4 2024 1:15 AM</t>
  </si>
  <si>
    <t>BONAWARDHANI</t>
  </si>
  <si>
    <t>bona.dhes69@gmail.com</t>
  </si>
  <si>
    <t>6957</t>
  </si>
  <si>
    <t>14aEiarG6PZLFIVjRjfp5YzJJdY7S7aTj</t>
  </si>
  <si>
    <t>https://drive.google.com/file/d/14aEiarG6PZLFIVjRjfp5YzJJdY7S7aTj/view?usp=drivesdk</t>
  </si>
  <si>
    <t>HERI LESTARI</t>
  </si>
  <si>
    <t>heriletari06@gmail.com</t>
  </si>
  <si>
    <t>6958</t>
  </si>
  <si>
    <t>15VQeMp2IVR1mLhj8fiVfyQaaHq79Bcl4</t>
  </si>
  <si>
    <t>https://drive.google.com/file/d/15VQeMp2IVR1mLhj8fiVfyQaaHq79Bcl4/view?usp=drivesdk</t>
  </si>
  <si>
    <t>MIHRA SH</t>
  </si>
  <si>
    <t>mihra3073@gmail.com</t>
  </si>
  <si>
    <t>6959</t>
  </si>
  <si>
    <t>Starting at Thu Aug 29 2024 22:00:35 GMT-0400 (EDT)</t>
  </si>
  <si>
    <t>19vWSZJMEGGgYcDkbbVKbkRd6EqIYHaov</t>
  </si>
  <si>
    <t>https://drive.google.com/file/d/19vWSZJMEGGgYcDkbbVKbkRd6EqIYHaov/view?usp=drivesdk</t>
  </si>
  <si>
    <t>ELFITA SUSILAWATI, S.I.Kom</t>
  </si>
  <si>
    <t>Elvitasusilawatisholihin@gmail.com</t>
  </si>
  <si>
    <t>6960</t>
  </si>
  <si>
    <t>18s7TfTSRKni47aHE6XBT1qdrSQ_tWziE</t>
  </si>
  <si>
    <t>https://drive.google.com/file/d/18s7TfTSRKni47aHE6XBT1qdrSQ_tWziE/view?usp=drivesdk</t>
  </si>
  <si>
    <t>Document successfully created; Document successfully merged; PDF created; !!Error Sending Emails: Service invoked too many times for one day: email.; Manually run by ecertificate75@gmail.com; Timestamp: Sep 4 2024 1:16 AM</t>
  </si>
  <si>
    <t>SAUR BOB VICKEN PARDAMEAN, SE.</t>
  </si>
  <si>
    <t>bob81manullang@gmail.com</t>
  </si>
  <si>
    <t>6961</t>
  </si>
  <si>
    <t>1f6ZLc0uyPBSJ0FxRvTqE1Ur9Pk27seP2</t>
  </si>
  <si>
    <t>https://drive.google.com/file/d/1f6ZLc0uyPBSJ0FxRvTqE1Ur9Pk27seP2/view?usp=drivesdk</t>
  </si>
  <si>
    <t>ANANG DWINANTO</t>
  </si>
  <si>
    <t>dwinantoanang47@gmail.com</t>
  </si>
  <si>
    <t>6962</t>
  </si>
  <si>
    <t>Starting at Thu Aug 29 2024 22:00:37 GMT-0400 (EDT)</t>
  </si>
  <si>
    <t>1975ZLpOU-VkB3rCkNAFQIjf49MhtKf7K</t>
  </si>
  <si>
    <t>https://drive.google.com/file/d/1975ZLpOU-VkB3rCkNAFQIjf49MhtKf7K/view?usp=drivesdk</t>
  </si>
  <si>
    <t>SUMIANTO</t>
  </si>
  <si>
    <t>sumianto211@gmail.com</t>
  </si>
  <si>
    <t>6963</t>
  </si>
  <si>
    <t>1hk79Q8k-6Aqj87xZ0Ivl0cGb4Xm3WuSW</t>
  </si>
  <si>
    <t>https://drive.google.com/file/d/1hk79Q8k-6Aqj87xZ0Ivl0cGb4Xm3WuSW/view?usp=drivesdk</t>
  </si>
  <si>
    <t>ANAK AGUNG DEWI KARTINI, Amd.Kep</t>
  </si>
  <si>
    <t>hitammaniskopi10@gmail.com</t>
  </si>
  <si>
    <t>6964</t>
  </si>
  <si>
    <t>12XDFp9N5VkeCygvMS3qu-GfVAB6b9K9v</t>
  </si>
  <si>
    <t>https://drive.google.com/file/d/12XDFp9N5VkeCygvMS3qu-GfVAB6b9K9v/view?usp=drivesdk</t>
  </si>
  <si>
    <t>Document successfully created; Document successfully merged; PDF created; !!Error Sending Emails: Service invoked too many times for one day: email.; Manually run by ecertificate75@gmail.com; Timestamp: Sep 4 2024 1:17 AM</t>
  </si>
  <si>
    <t>ERLYZAWATI,S.Kep</t>
  </si>
  <si>
    <t>erlyzawati7@gmail.com</t>
  </si>
  <si>
    <t>6965</t>
  </si>
  <si>
    <t>Starting at Thu Aug 29 2024 22:00:39 GMT-0400 (EDT)</t>
  </si>
  <si>
    <t>1fKCaIRoWGAgSKL5eNEkxA-MpSlM-pxz4</t>
  </si>
  <si>
    <t>https://drive.google.com/file/d/1fKCaIRoWGAgSKL5eNEkxA-MpSlM-pxz4/view?usp=drivesdk</t>
  </si>
  <si>
    <t xml:space="preserve">PRABANCONO </t>
  </si>
  <si>
    <t>prabanbjn99@gmail.com</t>
  </si>
  <si>
    <t>6966</t>
  </si>
  <si>
    <t>1IqwQTUEkxXdlVdgB6qItr6N27fQyZLc2</t>
  </si>
  <si>
    <t>https://drive.google.com/file/d/1IqwQTUEkxXdlVdgB6qItr6N27fQyZLc2/view?usp=drivesdk</t>
  </si>
  <si>
    <t>KAROMAH</t>
  </si>
  <si>
    <t>karomahres.2008@gmail.com</t>
  </si>
  <si>
    <t>6967</t>
  </si>
  <si>
    <t>Starting at Thu Aug 29 2024 22:00:41 GMT-0400 (EDT)</t>
  </si>
  <si>
    <t>1HMayOhCPM6vBvLkYsqbcQJXye7WLKGpD</t>
  </si>
  <si>
    <t>https://drive.google.com/file/d/1HMayOhCPM6vBvLkYsqbcQJXye7WLKGpD/view?usp=drivesdk</t>
  </si>
  <si>
    <t>SRI ANJAYANI</t>
  </si>
  <si>
    <t>srianjayani8@gmail.com</t>
  </si>
  <si>
    <t>6968</t>
  </si>
  <si>
    <t>Starting at Thu Aug 29 2024 22:00:44 GMT-0400 (EDT)</t>
  </si>
  <si>
    <t>1bYpfF8khB-ajsPgNLA6CMZXgRL4yHpg4</t>
  </si>
  <si>
    <t>https://drive.google.com/file/d/1bYpfF8khB-ajsPgNLA6CMZXgRL4yHpg4/view?usp=drivesdk</t>
  </si>
  <si>
    <t>Document successfully created; Document successfully merged; PDF created; !!Error Sending Emails: Service invoked too many times for one day: email.; Manually run by ecertificate75@gmail.com; Timestamp: Sep 4 2024 1:18 AM</t>
  </si>
  <si>
    <t>ANTIKAH YUNISAH, A.Md.Kep</t>
  </si>
  <si>
    <t>antikah.yunisah@gmail.com</t>
  </si>
  <si>
    <t>6969</t>
  </si>
  <si>
    <t>Starting at Thu Aug 29 2024 22:00:47 GMT-0400 (EDT)</t>
  </si>
  <si>
    <t>1WyAwFLQ6YcgP8WIdTfvonz2-d2DLTiDW</t>
  </si>
  <si>
    <t>https://drive.google.com/file/d/1WyAwFLQ6YcgP8WIdTfvonz2-d2DLTiDW/view?usp=drivesdk</t>
  </si>
  <si>
    <t>DWI ALIKKA, A.MD.KEP</t>
  </si>
  <si>
    <t>dwialikka30@gmail.com</t>
  </si>
  <si>
    <t>6970</t>
  </si>
  <si>
    <t>1AKt1MtwS_ah7I9VTQmHJchAi1-udfcYm</t>
  </si>
  <si>
    <t>https://drive.google.com/file/d/1AKt1MtwS_ah7I9VTQmHJchAi1-udfcYm/view?usp=drivesdk</t>
  </si>
  <si>
    <t>JUNI ARTHAMAIDA.S.E.</t>
  </si>
  <si>
    <t>juniarthamaida68@gmail.com</t>
  </si>
  <si>
    <t>6971</t>
  </si>
  <si>
    <t>Starting at Thu Aug 29 2024 22:00:50 GMT-0400 (EDT)</t>
  </si>
  <si>
    <t>1ESJzzyJdSwIQuHBx4vz7AhoLh87IXU65</t>
  </si>
  <si>
    <t>https://drive.google.com/file/d/1ESJzzyJdSwIQuHBx4vz7AhoLh87IXU65/view?usp=drivesdk</t>
  </si>
  <si>
    <t>Merry Styanti, S.Sos.</t>
  </si>
  <si>
    <t>merrystyantialena001@gmail.com</t>
  </si>
  <si>
    <t>6972</t>
  </si>
  <si>
    <t>1ITnwqQAI3v2FECKOFZvKHZuln7Y4Lkv3</t>
  </si>
  <si>
    <t>https://drive.google.com/file/d/1ITnwqQAI3v2FECKOFZvKHZuln7Y4Lkv3/view?usp=drivesdk</t>
  </si>
  <si>
    <t>Document successfully created; Document successfully merged; PDF created; !!Error Sending Emails: Service invoked too many times for one day: email.; Manually run by ecertificate75@gmail.com; Timestamp: Sep 4 2024 1:19 AM</t>
  </si>
  <si>
    <t>WALIDAH HUSNA SYARIFUDDIN,S.E.,M.M.</t>
  </si>
  <si>
    <t>fakhranpratama@gmail.com</t>
  </si>
  <si>
    <t>6973</t>
  </si>
  <si>
    <t>Starting at Thu Aug 29 2024 22:00:53 GMT-0400 (EDT)</t>
  </si>
  <si>
    <t>1ZuF-MJ_Z4L5pTseIA5rjoWAhHuFg21Ev</t>
  </si>
  <si>
    <t>https://drive.google.com/file/d/1ZuF-MJ_Z4L5pTseIA5rjoWAhHuFg21Ev/view?usp=drivesdk</t>
  </si>
  <si>
    <t>susiatumamasafa@gmail.com</t>
  </si>
  <si>
    <t>6974</t>
  </si>
  <si>
    <t>175SNJyamtv6J7svou3UZahFFfbpQRNKu</t>
  </si>
  <si>
    <t>https://drive.google.com/file/d/175SNJyamtv6J7svou3UZahFFfbpQRNKu/view?usp=drivesdk</t>
  </si>
  <si>
    <t>MATNUR</t>
  </si>
  <si>
    <t>nurcamai@gmail.com</t>
  </si>
  <si>
    <t>6975</t>
  </si>
  <si>
    <t>Starting at Thu Aug 29 2024 22:00:57 GMT-0400 (EDT)</t>
  </si>
  <si>
    <t>1OxKkUO5ayVQ49FhlkJfporDPHNerzKzx</t>
  </si>
  <si>
    <t>https://drive.google.com/file/d/1OxKkUO5ayVQ49FhlkJfporDPHNerzKzx/view?usp=drivesdk</t>
  </si>
  <si>
    <t>YAN HERMAWAN PRASETYO, A.Md</t>
  </si>
  <si>
    <t>yanhermawan83@gmail.com</t>
  </si>
  <si>
    <t>6976</t>
  </si>
  <si>
    <t>Starting at Thu Aug 29 2024 22:01:03 GMT-0400 (EDT)</t>
  </si>
  <si>
    <t>1v_ypaArTk_NgesdKV5e9DPTRKPpDC3ud</t>
  </si>
  <si>
    <t>https://drive.google.com/file/d/1v_ypaArTk_NgesdKV5e9DPTRKPpDC3ud/view?usp=drivesdk</t>
  </si>
  <si>
    <t>DARWINA</t>
  </si>
  <si>
    <t>darwina100976@gmail.com</t>
  </si>
  <si>
    <t>6977</t>
  </si>
  <si>
    <t>1MfS9-NSATrdj4XxucR6mhkOAk73ZoZpc</t>
  </si>
  <si>
    <t>https://drive.google.com/file/d/1MfS9-NSATrdj4XxucR6mhkOAk73ZoZpc/view?usp=drivesdk</t>
  </si>
  <si>
    <t>Document successfully created; Document successfully merged; PDF created; !!Error Sending Emails: Service invoked too many times for one day: email.; Manually run by ecertificate75@gmail.com; Timestamp: Sep 4 2024 1:20 AM</t>
  </si>
  <si>
    <t>NI WAYAN NIA ARDITYA SARI</t>
  </si>
  <si>
    <t>niaarditya12345@gmail.com</t>
  </si>
  <si>
    <t>6978</t>
  </si>
  <si>
    <t>1tLcGey7Ub1-sYF9TsLVGDieCniruKKkS</t>
  </si>
  <si>
    <t>https://drive.google.com/file/d/1tLcGey7Ub1-sYF9TsLVGDieCniruKKkS/view?usp=drivesdk</t>
  </si>
  <si>
    <t>DWI JALBANI</t>
  </si>
  <si>
    <t>dwijalbani@gmail.com</t>
  </si>
  <si>
    <t>6979</t>
  </si>
  <si>
    <t>1AVED9sx9jtMlo8-Sn2DOI46GZANLi-lO</t>
  </si>
  <si>
    <t>https://drive.google.com/file/d/1AVED9sx9jtMlo8-Sn2DOI46GZANLi-lO/view?usp=drivesdk</t>
  </si>
  <si>
    <t>SADA UKUR</t>
  </si>
  <si>
    <t>sadaukur326@gmail.com</t>
  </si>
  <si>
    <t>6980</t>
  </si>
  <si>
    <t>Starting at Thu Aug 29 2024 22:01:08 GMT-0400 (EDT)</t>
  </si>
  <si>
    <t>1u17ScySokMuiy3C-W3R9K8KKfYOAiLDw</t>
  </si>
  <si>
    <t>https://drive.google.com/file/d/1u17ScySokMuiy3C-W3R9K8KKfYOAiLDw/view?usp=drivesdk</t>
  </si>
  <si>
    <t>Document successfully created; Document successfully merged; PDF created; !!Error Sending Emails: Service invoked too many times for one day: email.; Manually run by ecertificate75@gmail.com; Timestamp: Sep 4 2024 1:21 AM</t>
  </si>
  <si>
    <t>ALBERT LUMBANOBING</t>
  </si>
  <si>
    <t>alberttobing@gmail.cm</t>
  </si>
  <si>
    <t>6981</t>
  </si>
  <si>
    <t>1diRIzH5HSxyj7x_8XEzulyl5maNYR1hj</t>
  </si>
  <si>
    <t>https://drive.google.com/file/d/1diRIzH5HSxyj7x_8XEzulyl5maNYR1hj/view?usp=drivesdk</t>
  </si>
  <si>
    <t>WENNY SARI, S.H.</t>
  </si>
  <si>
    <t>wennysarii@gmail.com</t>
  </si>
  <si>
    <t>6982</t>
  </si>
  <si>
    <t>13idXUbiKur-7unmAz8yVlMS-IQHABMUe</t>
  </si>
  <si>
    <t>https://drive.google.com/file/d/13idXUbiKur-7unmAz8yVlMS-IQHABMUe/view?usp=drivesdk</t>
  </si>
  <si>
    <t>MAIFO PUTRI</t>
  </si>
  <si>
    <t>maifoputri2018@gmail.com</t>
  </si>
  <si>
    <t>6983</t>
  </si>
  <si>
    <t>1VGdIZFV98L9T1zFeL1bYt94DAbjbzxWv</t>
  </si>
  <si>
    <t>https://drive.google.com/file/d/1VGdIZFV98L9T1zFeL1bYt94DAbjbzxWv/view?usp=drivesdk</t>
  </si>
  <si>
    <t>NURYANTI</t>
  </si>
  <si>
    <t>nuryantisium@gmail.com</t>
  </si>
  <si>
    <t>6984</t>
  </si>
  <si>
    <t>1Vpmxh5xc5CHrXtHrBuDlFPudBxwZTSq8</t>
  </si>
  <si>
    <t>https://drive.google.com/file/d/1Vpmxh5xc5CHrXtHrBuDlFPudBxwZTSq8/view?usp=drivesdk</t>
  </si>
  <si>
    <t>Document successfully created; Document successfully merged; PDF created; !!Error Sending Emails: Service invoked too many times for one day: email.; Manually run by ecertificate75@gmail.com; Timestamp: Sep 4 2024 1:22 AM</t>
  </si>
  <si>
    <t xml:space="preserve">ISDWI PURWOKO </t>
  </si>
  <si>
    <t>purwokoisdwi@gmail.com</t>
  </si>
  <si>
    <t>6985</t>
  </si>
  <si>
    <t>1k2va0Uh0KeRMoH5kQqLwIYUHUhBfmk5f</t>
  </si>
  <si>
    <t>https://drive.google.com/file/d/1k2va0Uh0KeRMoH5kQqLwIYUHUhBfmk5f/view?usp=drivesdk</t>
  </si>
  <si>
    <t>TRISNO YUWONO, S.Kep. Ns</t>
  </si>
  <si>
    <t>trisnoyuwono835@gmail.com</t>
  </si>
  <si>
    <t>6986</t>
  </si>
  <si>
    <t>1148qALzR8ptfSdU2E9e55f4O9EogPpKG</t>
  </si>
  <si>
    <t>https://drive.google.com/file/d/1148qALzR8ptfSdU2E9e55f4O9EogPpKG/view?usp=drivesdk</t>
  </si>
  <si>
    <t>agunggrahmat@gmail.com</t>
  </si>
  <si>
    <t>6987</t>
  </si>
  <si>
    <t>Starting at Thu Aug 29 2024 22:01:09 GMT-0400 (EDT)</t>
  </si>
  <si>
    <t>1YBCDhNimWo1_MJHvGdDWRGpM1vY5pBjO</t>
  </si>
  <si>
    <t>https://drive.google.com/file/d/1YBCDhNimWo1_MJHvGdDWRGpM1vY5pBjO/view?usp=drivesdk</t>
  </si>
  <si>
    <t>KRISNI BENHARTI</t>
  </si>
  <si>
    <t>kresnibenharti@gmail.com</t>
  </si>
  <si>
    <t>6988</t>
  </si>
  <si>
    <t>Starting at Thu Aug 29 2024 22:01:11 GMT-0400 (EDT)</t>
  </si>
  <si>
    <t>1rlT_sbaRQzSuKAcfucRUbp7n-7uTtzph</t>
  </si>
  <si>
    <t>https://drive.google.com/file/d/1rlT_sbaRQzSuKAcfucRUbp7n-7uTtzph/view?usp=drivesdk</t>
  </si>
  <si>
    <t>Endang Sri Rahayu</t>
  </si>
  <si>
    <t>endangg1258@gmail.com</t>
  </si>
  <si>
    <t>6989</t>
  </si>
  <si>
    <t>Starting at Thu Aug 29 2024 22:01:12 GMT-0400 (EDT)</t>
  </si>
  <si>
    <t>1gAxc2hObb3jilKAotbRLsmrzDqPZp2b9</t>
  </si>
  <si>
    <t>https://drive.google.com/file/d/1gAxc2hObb3jilKAotbRLsmrzDqPZp2b9/view?usp=drivesdk</t>
  </si>
  <si>
    <t>Document successfully created; Document successfully merged; PDF created; !!Error Sending Emails: Service invoked too many times for one day: email.; Manually run by ecertificate75@gmail.com; Timestamp: Sep 4 2024 1:23 AM</t>
  </si>
  <si>
    <t>LILIK NUR KHOLIDAH, Amd.Farm</t>
  </si>
  <si>
    <t>kholidah.nur79@gmail.com</t>
  </si>
  <si>
    <t>6990</t>
  </si>
  <si>
    <t>1ljq7AmcD4_cX8ERGphkEe6K681ZW3AZE</t>
  </si>
  <si>
    <t>https://drive.google.com/file/d/1ljq7AmcD4_cX8ERGphkEe6K681ZW3AZE/view?usp=drivesdk</t>
  </si>
  <si>
    <t>SAMSI.SIP</t>
  </si>
  <si>
    <t>samssamsi161177@yahoo.com</t>
  </si>
  <si>
    <t>6991</t>
  </si>
  <si>
    <t>1BYFWhmpu3lruOPP_kZdRlHL-LH4IgDBW</t>
  </si>
  <si>
    <t>https://drive.google.com/file/d/1BYFWhmpu3lruOPP_kZdRlHL-LH4IgDBW/view?usp=drivesdk</t>
  </si>
  <si>
    <t>EMILDA SIH WIDY E</t>
  </si>
  <si>
    <t>emildahance@gmail.com</t>
  </si>
  <si>
    <t>6992</t>
  </si>
  <si>
    <t>Starting at Thu Aug 29 2024 22:01:14 GMT-0400 (EDT)</t>
  </si>
  <si>
    <t>1BuP5yXwugcy1ZcZkl86JJwVQupPqYNlg</t>
  </si>
  <si>
    <t>https://drive.google.com/file/d/1BuP5yXwugcy1ZcZkl86JJwVQupPqYNlg/view?usp=drivesdk</t>
  </si>
  <si>
    <t>MUHAMMAD SAFII</t>
  </si>
  <si>
    <t>muhammadsayafii80@gmail.com</t>
  </si>
  <si>
    <t>6993</t>
  </si>
  <si>
    <t>Starting at Thu Aug 29 2024 22:01:17 GMT-0400 (EDT)</t>
  </si>
  <si>
    <t>1qw3ghag_L0nH3y3qLUUhIwOEvGlYyT9o</t>
  </si>
  <si>
    <t>https://drive.google.com/file/d/1qw3ghag_L0nH3y3qLUUhIwOEvGlYyT9o/view?usp=drivesdk</t>
  </si>
  <si>
    <t>dr. WIWIN INDRIANI, MMRS., FISQua</t>
  </si>
  <si>
    <t>wi2n.ita@gmail.com</t>
  </si>
  <si>
    <t>6994</t>
  </si>
  <si>
    <t>1ahQdlB73G9xNFEdYXBv4A7Pn8ssdnINJ</t>
  </si>
  <si>
    <t>https://drive.google.com/file/d/1ahQdlB73G9xNFEdYXBv4A7Pn8ssdnINJ/view?usp=drivesdk</t>
  </si>
  <si>
    <t>Document successfully created; Document successfully merged; PDF created; !!Error Sending Emails: Service invoked too many times for one day: email.; Manually run by ecertificate75@gmail.com; Timestamp: Sep 4 2024 1:24 AM</t>
  </si>
  <si>
    <t>JAMALUDDIN</t>
  </si>
  <si>
    <t>jamaluddin.adi67@gmail.com</t>
  </si>
  <si>
    <t>6995</t>
  </si>
  <si>
    <t>Starting at Thu Aug 29 2024 22:01:20 GMT-0400 (EDT)</t>
  </si>
  <si>
    <t>1eGQrtoDLYBVpHoTAMoUXV8rvX3Aa85Nd</t>
  </si>
  <si>
    <t>https://drive.google.com/file/d/1eGQrtoDLYBVpHoTAMoUXV8rvX3Aa85Nd/view?usp=drivesdk</t>
  </si>
  <si>
    <t>SITI GUSMA NEZA</t>
  </si>
  <si>
    <t>sitigusmaneza14@gmail.com</t>
  </si>
  <si>
    <t>6996</t>
  </si>
  <si>
    <t>14aeNB8ktXpyJr6cafqojzgd1IzsKGq_0</t>
  </si>
  <si>
    <t>https://drive.google.com/file/d/14aeNB8ktXpyJr6cafqojzgd1IzsKGq_0/view?usp=drivesdk</t>
  </si>
  <si>
    <t>JARWADI</t>
  </si>
  <si>
    <t>jarwadi0203@gmail.com</t>
  </si>
  <si>
    <t>6997</t>
  </si>
  <si>
    <t>1HWNIUqaNzaP2b2pgFTq0-6g86OplcI9w</t>
  </si>
  <si>
    <t>https://drive.google.com/file/d/1HWNIUqaNzaP2b2pgFTq0-6g86OplcI9w/view?usp=drivesdk</t>
  </si>
  <si>
    <t>WAYAN WARTINI</t>
  </si>
  <si>
    <t>wartiniwayan55@gmail.com</t>
  </si>
  <si>
    <t>6998</t>
  </si>
  <si>
    <t>1K5knDEeAPiotJI6A6Rzejo8FlcsT6an1</t>
  </si>
  <si>
    <t>https://drive.google.com/file/d/1K5knDEeAPiotJI6A6Rzejo8FlcsT6an1/view?usp=drivesdk</t>
  </si>
  <si>
    <t>Document successfully created; Document successfully merged; PDF created; !!Error Sending Emails: Service invoked too many times for one day: email.; Manually run by ecertificate75@gmail.com; Timestamp: Sep 4 2024 1:25 AM</t>
  </si>
  <si>
    <t>ROUDHATINI</t>
  </si>
  <si>
    <t>roudhatinimustafa@gmail.com</t>
  </si>
  <si>
    <t>6999</t>
  </si>
  <si>
    <t>16RR50F-OEUh1Xug_88ABEdYZVDyAotHI</t>
  </si>
  <si>
    <t>https://drive.google.com/file/d/16RR50F-OEUh1Xug_88ABEdYZVDyAotHI/view?usp=drivesdk</t>
  </si>
  <si>
    <t>ARIES RECOLASTA</t>
  </si>
  <si>
    <t>aris2222.aa@gmail.com</t>
  </si>
  <si>
    <t>7000</t>
  </si>
  <si>
    <t>Starting at Thu Aug 29 2024 22:01:23 GMT-0400 (EDT)</t>
  </si>
  <si>
    <t>1RC8LaLPuF-Nxthubx6Hf-B5rX8uLu4vO</t>
  </si>
  <si>
    <t>https://drive.google.com/file/d/1RC8LaLPuF-Nxthubx6Hf-B5rX8uLu4vO/view?usp=drivesdk</t>
  </si>
  <si>
    <t>DODY KRISDWIYANTO, S.E.</t>
  </si>
  <si>
    <t>denmas.dody@gmail.com</t>
  </si>
  <si>
    <t>7001</t>
  </si>
  <si>
    <t>1Oun7JLT07wAwFmb97rjXI576udg8x1qq</t>
  </si>
  <si>
    <t>https://drive.google.com/file/d/1Oun7JLT07wAwFmb97rjXI576udg8x1qq/view?usp=drivesdk</t>
  </si>
  <si>
    <t>Document successfully created; Document successfully merged; PDF created; !!Error Sending Emails: Service invoked too many times for one day: email.; Manually run by ecertificate75@gmail.com; Timestamp: Sep 4 2024 1:26 AM</t>
  </si>
  <si>
    <t>HERIANTO</t>
  </si>
  <si>
    <t>herianto1970000@gmail.com</t>
  </si>
  <si>
    <t>7002</t>
  </si>
  <si>
    <t>1rEthBlbdZ5yjzEPUTQfN1yuAmW212GUj</t>
  </si>
  <si>
    <t>https://drive.google.com/file/d/1rEthBlbdZ5yjzEPUTQfN1yuAmW212GUj/view?usp=drivesdk</t>
  </si>
  <si>
    <t>Nyoman Prayudhi, Am.D</t>
  </si>
  <si>
    <t>nyoman.prayudhi@gmail.com</t>
  </si>
  <si>
    <t>7003</t>
  </si>
  <si>
    <t>1JKBWRvYDuy2Qo1sHtBh6dcrAPkjZEfai</t>
  </si>
  <si>
    <t>https://drive.google.com/file/d/1JKBWRvYDuy2Qo1sHtBh6dcrAPkjZEfai/view?usp=drivesdk</t>
  </si>
  <si>
    <t>dr.WITHA BUDIARTINA</t>
  </si>
  <si>
    <t>budiartinawitha@gmail.com</t>
  </si>
  <si>
    <t>7004</t>
  </si>
  <si>
    <t>Starting at Thu Aug 29 2024 22:01:25 GMT-0400 (EDT)</t>
  </si>
  <si>
    <t>1M_PlbXR5T5rRUODuKj7ObSJwKMuGC7ot</t>
  </si>
  <si>
    <t>https://drive.google.com/file/d/1M_PlbXR5T5rRUODuKj7ObSJwKMuGC7ot/view?usp=drivesdk</t>
  </si>
  <si>
    <t>sriyantis@gmail.com</t>
  </si>
  <si>
    <t>7005</t>
  </si>
  <si>
    <t>13CO6jWb77LgG4u6MM7OP7fTxTs-b8kPN</t>
  </si>
  <si>
    <t>https://drive.google.com/file/d/13CO6jWb77LgG4u6MM7OP7fTxTs-b8kPN/view?usp=drivesdk</t>
  </si>
  <si>
    <t>Document successfully created; Document successfully merged; PDF created; !!Error Sending Emails: Service invoked too many times for one day: email.; Manually run by ecertificate75@gmail.com; Timestamp: Sep 4 2024 1:27 AM</t>
  </si>
  <si>
    <t xml:space="preserve">NANI ROHAENI </t>
  </si>
  <si>
    <t>nanir5563@gmail.com</t>
  </si>
  <si>
    <t>7006</t>
  </si>
  <si>
    <t>115Ca1IJcxZa47QIfcs889cRsboj3aSC0</t>
  </si>
  <si>
    <t>https://drive.google.com/file/d/115Ca1IJcxZa47QIfcs889cRsboj3aSC0/view?usp=drivesdk</t>
  </si>
  <si>
    <t>HILDA IRMAWATI RACHMAN</t>
  </si>
  <si>
    <t>biddokkessulteng77@gmail.com</t>
  </si>
  <si>
    <t>7007</t>
  </si>
  <si>
    <t>1AdA6VQnnvnX0B0crR-kAX9xqRu0XcSg4</t>
  </si>
  <si>
    <t>https://drive.google.com/file/d/1AdA6VQnnvnX0B0crR-kAX9xqRu0XcSg4/view?usp=drivesdk</t>
  </si>
  <si>
    <t>MAYENI</t>
  </si>
  <si>
    <t>sumdapuskeu@gmail.com</t>
  </si>
  <si>
    <t>7008</t>
  </si>
  <si>
    <t>1S0L8hfyO_CjcCmCZ38JLk8310kWb3MD5</t>
  </si>
  <si>
    <t>https://drive.google.com/file/d/1S0L8hfyO_CjcCmCZ38JLk8310kWb3MD5/view?usp=drivesdk</t>
  </si>
  <si>
    <t>SUYAMTI</t>
  </si>
  <si>
    <t>suyamtiyamti1979@gmail.com</t>
  </si>
  <si>
    <t>7009</t>
  </si>
  <si>
    <t>Starting at Thu Aug 29 2024 22:01:28 GMT-0400 (EDT)</t>
  </si>
  <si>
    <t>1JKT_Gz4KCC_U9dCzzutZkZ1Q7McnGW-r</t>
  </si>
  <si>
    <t>https://drive.google.com/file/d/1JKT_Gz4KCC_U9dCzzutZkZ1Q7McnGW-r/view?usp=drivesdk</t>
  </si>
  <si>
    <t>FAJARWATI</t>
  </si>
  <si>
    <t>68fajarwati@gmail.com</t>
  </si>
  <si>
    <t>7010</t>
  </si>
  <si>
    <t>1aIS6Tj6CM3g8bpi35dInGlFadMKhgPbM</t>
  </si>
  <si>
    <t>https://drive.google.com/file/d/1aIS6Tj6CM3g8bpi35dInGlFadMKhgPbM/view?usp=drivesdk</t>
  </si>
  <si>
    <t>Document successfully created; Document successfully merged; PDF created; !!Error Sending Emails: Service invoked too many times for one day: email.; Manually run by ecertificate75@gmail.com; Timestamp: Sep 4 2024 1:28 AM</t>
  </si>
  <si>
    <t>ISTIFADAH</t>
  </si>
  <si>
    <t>istifadah1999@gmail.com</t>
  </si>
  <si>
    <t>7011</t>
  </si>
  <si>
    <t>1Z3tiWP8UdzUavIQ7EgMGVq2qRX4EgEp3</t>
  </si>
  <si>
    <t>https://drive.google.com/file/d/1Z3tiWP8UdzUavIQ7EgMGVq2qRX4EgEp3/view?usp=drivesdk</t>
  </si>
  <si>
    <t xml:space="preserve">AMALIA DWI JAYANTI </t>
  </si>
  <si>
    <t>kenest88@gmail.com</t>
  </si>
  <si>
    <t>7012</t>
  </si>
  <si>
    <t>1iRu7415sDBW2r63KNDqoFCISw8ZQxcDC</t>
  </si>
  <si>
    <t>https://drive.google.com/file/d/1iRu7415sDBW2r63KNDqoFCISw8ZQxcDC/view?usp=drivesdk</t>
  </si>
  <si>
    <t>SRI RAHAYU, AMD</t>
  </si>
  <si>
    <t>srirahayu.sadal@gmail.com</t>
  </si>
  <si>
    <t>7013</t>
  </si>
  <si>
    <t>Starting at Thu Aug 29 2024 22:01:31 GMT-0400 (EDT)</t>
  </si>
  <si>
    <t>1NPFwJ46tR3xyziNpGkD12gEEiqN7wfes</t>
  </si>
  <si>
    <t>https://drive.google.com/file/d/1NPFwJ46tR3xyziNpGkD12gEEiqN7wfes/view?usp=drivesdk</t>
  </si>
  <si>
    <t>MUHAMMAD KHALID</t>
  </si>
  <si>
    <t>muhammad70khalid@gmaul.com</t>
  </si>
  <si>
    <t>7014</t>
  </si>
  <si>
    <t>1jTWj97tVPT7uicChxKdWWqmt0HvySzCR</t>
  </si>
  <si>
    <t>https://drive.google.com/file/d/1jTWj97tVPT7uicChxKdWWqmt0HvySzCR/view?usp=drivesdk</t>
  </si>
  <si>
    <t xml:space="preserve">ARI YUNIAWAN, S. H., </t>
  </si>
  <si>
    <t>arieyuniawansh@gmail.com</t>
  </si>
  <si>
    <t>7015</t>
  </si>
  <si>
    <t>1QEyqmHM55OPUZyRUK3ypN8Pfo26CRDGD</t>
  </si>
  <si>
    <t>https://drive.google.com/file/d/1QEyqmHM55OPUZyRUK3ypN8Pfo26CRDGD/view?usp=drivesdk</t>
  </si>
  <si>
    <t>Document successfully created; Document successfully merged; PDF created; !!Error Sending Emails: Service invoked too many times for one day: email.; Manually run by ecertificate75@gmail.com; Timestamp: Sep 4 2024 1:29 AM</t>
  </si>
  <si>
    <t>GUNAWAN</t>
  </si>
  <si>
    <t>Gundulcakepkdr@gmail.com</t>
  </si>
  <si>
    <t>7016</t>
  </si>
  <si>
    <t>1_54z7401jZtebEn8qw3R1aJWR_G5xnxR</t>
  </si>
  <si>
    <t>https://drive.google.com/file/d/1_54z7401jZtebEn8qw3R1aJWR_G5xnxR/view?usp=drivesdk</t>
  </si>
  <si>
    <t>A. HANAFI</t>
  </si>
  <si>
    <t>hanafiahmad888@gmail.com</t>
  </si>
  <si>
    <t>7017</t>
  </si>
  <si>
    <t>1T2uz9wlbqGNtloHjK_5-HlqNId9XsSq2</t>
  </si>
  <si>
    <t>https://drive.google.com/file/d/1T2uz9wlbqGNtloHjK_5-HlqNId9XsSq2/view?usp=drivesdk</t>
  </si>
  <si>
    <t>sulistiowati731@gmail.com</t>
  </si>
  <si>
    <t>7018</t>
  </si>
  <si>
    <t>Starting at Thu Aug 29 2024 22:01:34 GMT-0400 (EDT)</t>
  </si>
  <si>
    <t>1dX4Pmp8Cuegwjgak9YaeN-dlo1s0nMcI</t>
  </si>
  <si>
    <t>https://drive.google.com/file/d/1dX4Pmp8Cuegwjgak9YaeN-dlo1s0nMcI/view?usp=drivesdk</t>
  </si>
  <si>
    <t>SAMSUDDIN LUBIS</t>
  </si>
  <si>
    <t>samsuddinlubis47@gmail.com</t>
  </si>
  <si>
    <t>7019</t>
  </si>
  <si>
    <t>1QcFjkdGBt9RDfJDX6A0kwn1xbBMPYKh-</t>
  </si>
  <si>
    <t>https://drive.google.com/file/d/1QcFjkdGBt9RDfJDX6A0kwn1xbBMPYKh-/view?usp=drivesdk</t>
  </si>
  <si>
    <t>RATNA DJUBA, S. Kep</t>
  </si>
  <si>
    <t>ratnadjuba48@gmail.com</t>
  </si>
  <si>
    <t>7020</t>
  </si>
  <si>
    <t>Starting at Thu Aug 29 2024 22:01:36 GMT-0400 (EDT)</t>
  </si>
  <si>
    <t>1KTlBV9ZVB6DMOuluOXHHfkxeb1gODHVY</t>
  </si>
  <si>
    <t>https://drive.google.com/file/d/1KTlBV9ZVB6DMOuluOXHHfkxeb1gODHVY/view?usp=drivesdk</t>
  </si>
  <si>
    <t>Document successfully created; Document successfully merged; PDF created; !!Error Sending Emails: Service invoked too many times for one day: email.; Manually run by ecertificate75@gmail.com; Timestamp: Sep 4 2024 1:30 AM</t>
  </si>
  <si>
    <t>MEITY BAKARY</t>
  </si>
  <si>
    <t>meity.bakary1975@gmail.com</t>
  </si>
  <si>
    <t>7021</t>
  </si>
  <si>
    <t>Starting at Thu Aug 29 2024 22:01:45 GMT-0400 (EDT)</t>
  </si>
  <si>
    <t>1T-RfZlNwO-of9bHveVvHtHLSShMTp8hJ</t>
  </si>
  <si>
    <t>https://drive.google.com/file/d/1T-RfZlNwO-of9bHveVvHtHLSShMTp8hJ/view?usp=drivesdk</t>
  </si>
  <si>
    <t>RUSNI PENGATUR TK</t>
  </si>
  <si>
    <t>audripratiwi1@gmail.com</t>
  </si>
  <si>
    <t>7022</t>
  </si>
  <si>
    <t>Starting at Thu Aug 29 2024 22:01:49 GMT-0400 (EDT)</t>
  </si>
  <si>
    <t>1UQUNk6kZ7QTglw6o-99237zGJNiVgCyn</t>
  </si>
  <si>
    <t>https://drive.google.com/file/d/1UQUNk6kZ7QTglw6o-99237zGJNiVgCyn/view?usp=drivesdk</t>
  </si>
  <si>
    <t>RUSNI. ABDUL SALAM</t>
  </si>
  <si>
    <t>nikenrusnias@gmail.com</t>
  </si>
  <si>
    <t>7023</t>
  </si>
  <si>
    <t>1ybJR4yn5AJKCmh7rVw7QB7ORwrH6N4EN</t>
  </si>
  <si>
    <t>https://drive.google.com/file/d/1ybJR4yn5AJKCmh7rVw7QB7ORwrH6N4EN/view?usp=drivesdk</t>
  </si>
  <si>
    <t>KARTINI</t>
  </si>
  <si>
    <t>kartiniplg434@gmail.com</t>
  </si>
  <si>
    <t>7024</t>
  </si>
  <si>
    <t>Starting at Thu Aug 29 2024 22:01:55 GMT-0400 (EDT)</t>
  </si>
  <si>
    <t>1shqhHz72vPnI_UdflZsYEDn-1TUT5E96</t>
  </si>
  <si>
    <t>https://drive.google.com/file/d/1shqhHz72vPnI_UdflZsYEDn-1TUT5E96/view?usp=drivesdk</t>
  </si>
  <si>
    <t>Document successfully created; Document successfully merged; PDF created; !!Error Sending Emails: Service invoked too many times for one day: email.; Manually run by ecertificate75@gmail.com; Timestamp: Sep 4 2024 1:31 AM</t>
  </si>
  <si>
    <t>RETNO PURNAMA SARI, S.sos</t>
  </si>
  <si>
    <t>retnopurrnamasari1969@gmail.com</t>
  </si>
  <si>
    <t>7025</t>
  </si>
  <si>
    <t>1ycPodahfeubFLCUhIfkypktb1i1pRLQc</t>
  </si>
  <si>
    <t>https://drive.google.com/file/d/1ycPodahfeubFLCUhIfkypktb1i1pRLQc/view?usp=drivesdk</t>
  </si>
  <si>
    <t>Apt Munazar S.Farm.M.Farm</t>
  </si>
  <si>
    <t>apoteker311@gmail.com</t>
  </si>
  <si>
    <t>7026</t>
  </si>
  <si>
    <t>1NLKPgdv54Y29n13kCFkrCm2qD2P2dKz2</t>
  </si>
  <si>
    <t>https://drive.google.com/file/d/1NLKPgdv54Y29n13kCFkrCm2qD2P2dKz2/view?usp=drivesdk</t>
  </si>
  <si>
    <t xml:space="preserve">IZZA ARDIANI, S.Ag.M.M. </t>
  </si>
  <si>
    <t>bagrenpolsekhss@gmail.com</t>
  </si>
  <si>
    <t>7027</t>
  </si>
  <si>
    <t>1w7D3d0vpPaH26w0yIbHS1UnGq45ulMfk</t>
  </si>
  <si>
    <t>https://drive.google.com/file/d/1w7D3d0vpPaH26w0yIbHS1UnGq45ulMfk/view?usp=drivesdk</t>
  </si>
  <si>
    <t>Document successfully created; Document successfully merged; PDF created; !!Error Sending Emails: Service invoked too many times for one day: email.; Manually run by ecertificate75@gmail.com; Timestamp: Sep 4 2024 1:32 AM</t>
  </si>
  <si>
    <t>RIZA ROSITA</t>
  </si>
  <si>
    <t>rizarosita05@gmail.com</t>
  </si>
  <si>
    <t>7028</t>
  </si>
  <si>
    <t>Starting at Thu Aug 29 2024 22:01:58 GMT-0400 (EDT)</t>
  </si>
  <si>
    <t>1YMv9ZgeE-PKTqRi9MzYspSDllOTBEB6H</t>
  </si>
  <si>
    <t>https://drive.google.com/file/d/1YMv9ZgeE-PKTqRi9MzYspSDllOTBEB6H/view?usp=drivesdk</t>
  </si>
  <si>
    <t>SARI ROSMALA DEWi</t>
  </si>
  <si>
    <t>budewi69@gmail.com</t>
  </si>
  <si>
    <t>7029</t>
  </si>
  <si>
    <t>11u_0GEbRzg0Zv3zIlJDdFUEs86t9dd-H</t>
  </si>
  <si>
    <t>https://drive.google.com/file/d/11u_0GEbRzg0Zv3zIlJDdFUEs86t9dd-H/view?usp=drivesdk</t>
  </si>
  <si>
    <t>ERi MAFIDAH</t>
  </si>
  <si>
    <t>eri4facebook@gmail.com</t>
  </si>
  <si>
    <t>7030</t>
  </si>
  <si>
    <t>Starting at Thu Aug 29 2024 22:02:00 GMT-0400 (EDT)</t>
  </si>
  <si>
    <t>12TO-ZvtHIK7qQaAxlW-cCzk9QOYbixF2</t>
  </si>
  <si>
    <t>https://drive.google.com/file/d/12TO-ZvtHIK7qQaAxlW-cCzk9QOYbixF2/view?usp=drivesdk</t>
  </si>
  <si>
    <t>DEWI KUSMIYATI</t>
  </si>
  <si>
    <t>attahassidewi@gmail.com</t>
  </si>
  <si>
    <t>7031</t>
  </si>
  <si>
    <t>1tVJ2uzsdnrHn363wTqE1GvUruVV_w5Vp</t>
  </si>
  <si>
    <t>https://drive.google.com/file/d/1tVJ2uzsdnrHn363wTqE1GvUruVV_w5Vp/view?usp=drivesdk</t>
  </si>
  <si>
    <t>APRINI YULIAN SARI. A. Md. Kep</t>
  </si>
  <si>
    <t>apriniyuliansari@gmail.com</t>
  </si>
  <si>
    <t>7032</t>
  </si>
  <si>
    <t>Starting at Thu Aug 29 2024 22:02:03 GMT-0400 (EDT)</t>
  </si>
  <si>
    <t>1h1pjDrFKQFn0-BDHS5lOJU0QWxJ3c2C_</t>
  </si>
  <si>
    <t>https://drive.google.com/file/d/1h1pjDrFKQFn0-BDHS5lOJU0QWxJ3c2C_/view?usp=drivesdk</t>
  </si>
  <si>
    <t>Document successfully created; Document successfully merged; PDF created; !!Error Sending Emails: Service invoked too many times for one day: email.; Manually run by ecertificate75@gmail.com; Timestamp: Sep 4 2024 1:33 AM</t>
  </si>
  <si>
    <t>ENI MARLINA</t>
  </si>
  <si>
    <t>enimarlina1976@gmail.com</t>
  </si>
  <si>
    <t>7033</t>
  </si>
  <si>
    <t>1r5Dsxu1K-U_1ZRQjRAsgHQ2_xtTwRKt8</t>
  </si>
  <si>
    <t>https://drive.google.com/file/d/1r5Dsxu1K-U_1ZRQjRAsgHQ2_xtTwRKt8/view?usp=drivesdk</t>
  </si>
  <si>
    <t>NURHAYATI DAUD</t>
  </si>
  <si>
    <t>daudnurhayati6@gmail.com</t>
  </si>
  <si>
    <t>7034</t>
  </si>
  <si>
    <t>1n9xrClG6R1FqcbGVH5RNecE2DlrXcLEG</t>
  </si>
  <si>
    <t>https://drive.google.com/file/d/1n9xrClG6R1FqcbGVH5RNecE2DlrXcLEG/view?usp=drivesdk</t>
  </si>
  <si>
    <t xml:space="preserve">ELMINA </t>
  </si>
  <si>
    <t>elmina.268@gmail.com</t>
  </si>
  <si>
    <t>7035</t>
  </si>
  <si>
    <t>1_iuSwZuV-WFE0y3o5PrZ7oQjwBH5OoLo</t>
  </si>
  <si>
    <t>https://drive.google.com/file/d/1_iuSwZuV-WFE0y3o5PrZ7oQjwBH5OoLo/view?usp=drivesdk</t>
  </si>
  <si>
    <t>MEIVI ULFA ATSILAH, S.Ak.</t>
  </si>
  <si>
    <t>meiviulfaatsilah@gmail.com</t>
  </si>
  <si>
    <t>7036</t>
  </si>
  <si>
    <t>Starting at Thu Aug 29 2024 22:02:10 GMT-0400 (EDT)</t>
  </si>
  <si>
    <t>1sBFiTVtiinoO_kAcqOkEBKthhne6zNv9</t>
  </si>
  <si>
    <t>https://drive.google.com/file/d/1sBFiTVtiinoO_kAcqOkEBKthhne6zNv9/view?usp=drivesdk</t>
  </si>
  <si>
    <t>Saurma Parulian Simarmata.S.K.M</t>
  </si>
  <si>
    <t>simarmatasaurma34@gmail.com</t>
  </si>
  <si>
    <t>7037</t>
  </si>
  <si>
    <t>177SOxIbLEifKZLH0Do8FykZZnf-89g-w</t>
  </si>
  <si>
    <t>https://drive.google.com/file/d/177SOxIbLEifKZLH0Do8FykZZnf-89g-w/view?usp=drivesdk</t>
  </si>
  <si>
    <t>Document successfully created; Document successfully merged; PDF created; !!Error Sending Emails: Service invoked too many times for one day: email.; Run via form trigger as ecertificate75@gmail.com; Timestamp: Sep 4 2024 1:11 AM</t>
  </si>
  <si>
    <t>SAMITA FITRIANINGSI A.Md.Keb</t>
  </si>
  <si>
    <t>atha.unge@gmail.com</t>
  </si>
  <si>
    <t>7038</t>
  </si>
  <si>
    <t>1TSo63D40e52xgC-AvHd1Smfo7ye4DtWp</t>
  </si>
  <si>
    <t>https://drive.google.com/file/d/1TSo63D40e52xgC-AvHd1Smfo7ye4DtWp/view?usp=drivesdk</t>
  </si>
  <si>
    <t>Erlis Debora Lubis</t>
  </si>
  <si>
    <t>erlislubis1@gmail.com</t>
  </si>
  <si>
    <t>7039</t>
  </si>
  <si>
    <t>1QHqGm53vv55sbgGGIaVGdDt7Sf6CI_UP</t>
  </si>
  <si>
    <t>https://drive.google.com/file/d/1QHqGm53vv55sbgGGIaVGdDt7Sf6CI_UP/view?usp=drivesdk</t>
  </si>
  <si>
    <t>WILIS PAMINGIT POETRI PATITIS, S. Kep</t>
  </si>
  <si>
    <t>wilispamingitpp@gmail.com</t>
  </si>
  <si>
    <t>7040</t>
  </si>
  <si>
    <t>1zuXHkQG4tclJruYqEnmdrf8L1Ylb29Da</t>
  </si>
  <si>
    <t>https://drive.google.com/file/d/1zuXHkQG4tclJruYqEnmdrf8L1Ylb29Da/view?usp=drivesdk</t>
  </si>
  <si>
    <t>Document successfully created; Document successfully merged; PDF created; !!Error Sending Emails: Service invoked too many times for one day: email.; Run via form trigger as ecertificate75@gmail.com; Timestamp: Sep 4 2024 1:12 AM</t>
  </si>
  <si>
    <t>SUHARMAN, S.Sos</t>
  </si>
  <si>
    <t>suharman.wora@gmail.com</t>
  </si>
  <si>
    <t>7041</t>
  </si>
  <si>
    <t>1CsayqE4hn15ZvBh23FeY4kAia_U5TrEx</t>
  </si>
  <si>
    <t>https://drive.google.com/file/d/1CsayqE4hn15ZvBh23FeY4kAia_U5TrEx/view?usp=drivesdk</t>
  </si>
  <si>
    <t>AGUS HENDRANAWAN</t>
  </si>
  <si>
    <t>agus.hendranawan@rocketmail.com</t>
  </si>
  <si>
    <t>7042</t>
  </si>
  <si>
    <t>Starting at Thu Aug 29 2024 22:02:21 GMT-0400 (EDT)</t>
  </si>
  <si>
    <t>1-HA8dskAxqNCc-Jk38LvnIbMm_NamVnI</t>
  </si>
  <si>
    <t>https://drive.google.com/file/d/1-HA8dskAxqNCc-Jk38LvnIbMm_NamVnI/view?usp=drivesdk</t>
  </si>
  <si>
    <t>INTAN PUTRI SARTIKA</t>
  </si>
  <si>
    <t>bundaaisyahbintang@gmail.com</t>
  </si>
  <si>
    <t>7043</t>
  </si>
  <si>
    <t>1lG8r91Nmz7ifs8Qhy5SaW1yHU3rv7HgY</t>
  </si>
  <si>
    <t>https://drive.google.com/file/d/1lG8r91Nmz7ifs8Qhy5SaW1yHU3rv7HgY/view?usp=drivesdk</t>
  </si>
  <si>
    <t xml:space="preserve">ZATI NURINDYAH </t>
  </si>
  <si>
    <t>zatinurindyah@gmail.com</t>
  </si>
  <si>
    <t>7044</t>
  </si>
  <si>
    <t>10mXYA7WheKhjtvICqgua74DDiZqArxWl</t>
  </si>
  <si>
    <t>https://drive.google.com/file/d/10mXYA7WheKhjtvICqgua74DDiZqArxWl/view?usp=drivesdk</t>
  </si>
  <si>
    <t xml:space="preserve">RUDI SUPRIANTO </t>
  </si>
  <si>
    <t>aktif1970@gmail.com</t>
  </si>
  <si>
    <t>7045</t>
  </si>
  <si>
    <t>18ZO3FK3JrLu3g2zsXWICvsGD98aRChOd</t>
  </si>
  <si>
    <t>https://drive.google.com/file/d/18ZO3FK3JrLu3g2zsXWICvsGD98aRChOd/view?usp=drivesdk</t>
  </si>
  <si>
    <t>Document successfully created; Document successfully merged; PDF created; !!Error Sending Emails: Service invoked too many times for one day: email.; Run via form trigger as ecertificate75@gmail.com; Timestamp: Sep 4 2024 1:13 AM</t>
  </si>
  <si>
    <t>DARSONO</t>
  </si>
  <si>
    <t>darsono4581@gmail.com</t>
  </si>
  <si>
    <t>7046</t>
  </si>
  <si>
    <t>1jKMoRdgY4W-ENcc35Uj5_FP3a0amy8W7</t>
  </si>
  <si>
    <t>https://drive.google.com/file/d/1jKMoRdgY4W-ENcc35Uj5_FP3a0amy8W7/view?usp=drivesdk</t>
  </si>
  <si>
    <t>YOGI ARIAWAN WIDYANTORO SH</t>
  </si>
  <si>
    <t>yogiariawanw528@gmail.com</t>
  </si>
  <si>
    <t>7047</t>
  </si>
  <si>
    <t>142CMAUEdnxFqByL_PsHgvtBnJ9f78V3F</t>
  </si>
  <si>
    <t>https://drive.google.com/file/d/142CMAUEdnxFqByL_PsHgvtBnJ9f78V3F/view?usp=drivesdk</t>
  </si>
  <si>
    <t>SITI UMAROH, S.Psi.</t>
  </si>
  <si>
    <t>rifqyumroh80@gmail.com</t>
  </si>
  <si>
    <t>7048</t>
  </si>
  <si>
    <t>1uAIb-qrwbtuIooj9d_pDRgw7X5JZHbOC</t>
  </si>
  <si>
    <t>https://drive.google.com/file/d/1uAIb-qrwbtuIooj9d_pDRgw7X5JZHbOC/view?usp=drivesdk</t>
  </si>
  <si>
    <t>MUJI RAHAYU</t>
  </si>
  <si>
    <t>mujirahayusurojan@gmail.com</t>
  </si>
  <si>
    <t>7049</t>
  </si>
  <si>
    <t>1WFlcqL47tFTNooid4Our3QPbuB0g-lSO</t>
  </si>
  <si>
    <t>https://drive.google.com/file/d/1WFlcqL47tFTNooid4Our3QPbuB0g-lSO/view?usp=drivesdk</t>
  </si>
  <si>
    <t>Document successfully created; Document successfully merged; PDF created; !!Error Sending Emails: Service invoked too many times for one day: email.; Run via form trigger as ecertificate75@gmail.com; Timestamp: Sep 4 2024 1:14 AM</t>
  </si>
  <si>
    <t xml:space="preserve">SRI WAHYUNI, A.Md Kep </t>
  </si>
  <si>
    <t>swahyuni17348@gmail.com</t>
  </si>
  <si>
    <t>7050</t>
  </si>
  <si>
    <t>1ACI7ize7GumQ3p9h5jMJWHsV7xcy6IpW</t>
  </si>
  <si>
    <t>https://drive.google.com/file/d/1ACI7ize7GumQ3p9h5jMJWHsV7xcy6IpW/view?usp=drivesdk</t>
  </si>
  <si>
    <t>MOHAMMAD KHOIRUL, S.H</t>
  </si>
  <si>
    <t>wajak21@gmail.com</t>
  </si>
  <si>
    <t>7051</t>
  </si>
  <si>
    <t>1wIKA_Fj2BdivYHlcU4dpaq7vG3b76GcP</t>
  </si>
  <si>
    <t>https://drive.google.com/file/d/1wIKA_Fj2BdivYHlcU4dpaq7vG3b76GcP/view?usp=drivesdk</t>
  </si>
  <si>
    <t xml:space="preserve">AGUS AMAL, AMD. KEP. </t>
  </si>
  <si>
    <t>agusamal92@gmail.com</t>
  </si>
  <si>
    <t>7052</t>
  </si>
  <si>
    <t>Starting at Thu Aug 29 2024 22:02:27 GMT-0400 (EDT)</t>
  </si>
  <si>
    <t>1aHvsgBnugm-efvUizelMu2WBGFPu1gPe</t>
  </si>
  <si>
    <t>https://drive.google.com/file/d/1aHvsgBnugm-efvUizelMu2WBGFPu1gPe/view?usp=drivesdk</t>
  </si>
  <si>
    <t>Document successfully created; Document successfully merged; PDF created; !!Error Sending Emails: Service invoked too many times for one day: email.; Run via form trigger as ecertificate75@gmail.com; Timestamp: Sep 4 2024 1:15 AM</t>
  </si>
  <si>
    <t>AGUS RACHMAD BUDI HERWANTO</t>
  </si>
  <si>
    <t>arachmad56@gmail.com</t>
  </si>
  <si>
    <t>7053</t>
  </si>
  <si>
    <t>1lC2Np7B9-pSjokPhZEm6EopUXFdMtOuq</t>
  </si>
  <si>
    <t>https://drive.google.com/file/d/1lC2Np7B9-pSjokPhZEm6EopUXFdMtOuq/view?usp=drivesdk</t>
  </si>
  <si>
    <t>LINDA, S.K.M</t>
  </si>
  <si>
    <t>lindaaje@yahoo.co.id</t>
  </si>
  <si>
    <t>7054</t>
  </si>
  <si>
    <t>1PHUkYP5L79aBmxO7L5nhOhMA06CSJFwQ</t>
  </si>
  <si>
    <t>https://drive.google.com/file/d/1PHUkYP5L79aBmxO7L5nhOhMA06CSJFwQ/view?usp=drivesdk</t>
  </si>
  <si>
    <t>BUNASRI</t>
  </si>
  <si>
    <t>hananasri73@gmail.com</t>
  </si>
  <si>
    <t>7055</t>
  </si>
  <si>
    <t>Starting at Thu Aug 29 2024 22:02:37 GMT-0400 (EDT)</t>
  </si>
  <si>
    <t>1lxTCa-15aZCZpwr6TZojSEG6-FB1v6Mo</t>
  </si>
  <si>
    <t>https://drive.google.com/file/d/1lxTCa-15aZCZpwr6TZojSEG6-FB1v6Mo/view?usp=drivesdk</t>
  </si>
  <si>
    <t>HERLAINI</t>
  </si>
  <si>
    <t>herlaini79@gmail.com</t>
  </si>
  <si>
    <t>7056</t>
  </si>
  <si>
    <t>1X2OuIZKieA7Hm-rAYKPudyVIEzg_VK1H</t>
  </si>
  <si>
    <t>https://drive.google.com/file/d/1X2OuIZKieA7Hm-rAYKPudyVIEzg_VK1H/view?usp=drivesdk</t>
  </si>
  <si>
    <t>Document successfully created; Document successfully merged; PDF created; !!Error Sending Emails: Service invoked too many times for one day: email.; Run via form trigger as ecertificate75@gmail.com; Timestamp: Sep 4 2024 1:16 AM</t>
  </si>
  <si>
    <t>YUNARNI</t>
  </si>
  <si>
    <t>yunarninani2020@gmail.com</t>
  </si>
  <si>
    <t>7057</t>
  </si>
  <si>
    <t>1tereHp-FpX4GZlU1DKp_Kh1IpcxIhmzj</t>
  </si>
  <si>
    <t>https://drive.google.com/file/d/1tereHp-FpX4GZlU1DKp_Kh1IpcxIhmzj/view?usp=drivesdk</t>
  </si>
  <si>
    <t>Document successfully created; Document successfully merged; PDF created; !!Error Sending Emails: Service invoked too many times for one day: email.; Run via form trigger as ecertificate75@gmail.com; Timestamp: Sep 4 2024 1:17 AM</t>
  </si>
  <si>
    <t>AMIRUDDIN. FARTI, S. SOS</t>
  </si>
  <si>
    <t>amirfarti73@gmail.com</t>
  </si>
  <si>
    <t>7058</t>
  </si>
  <si>
    <t>17wwO5zSrl1but6_KW6QPxAyRTwbKMBx2</t>
  </si>
  <si>
    <t>https://drive.google.com/file/d/17wwO5zSrl1but6_KW6QPxAyRTwbKMBx2/view?usp=drivesdk</t>
  </si>
  <si>
    <t>MUALIMIN</t>
  </si>
  <si>
    <t>iminmualimin61@gmail.com</t>
  </si>
  <si>
    <t>7059</t>
  </si>
  <si>
    <t>1h9q1PlIRBVKnrP1RmnJ_awDtVtejh6Me</t>
  </si>
  <si>
    <t>https://drive.google.com/file/d/1h9q1PlIRBVKnrP1RmnJ_awDtVtejh6Me/view?usp=drivesdk</t>
  </si>
  <si>
    <t>ISMINIAMI</t>
  </si>
  <si>
    <t>isminiami09@gmail.com</t>
  </si>
  <si>
    <t>7060</t>
  </si>
  <si>
    <t>1iNdEBFykQ-AkZE0jNGqdqsChKeYCqim4</t>
  </si>
  <si>
    <t>https://drive.google.com/file/d/1iNdEBFykQ-AkZE0jNGqdqsChKeYCqim4/view?usp=drivesdk</t>
  </si>
  <si>
    <t>Document successfully created; Document successfully merged; PDF created; !!Error Sending Emails: Service invoked too many times for one day: email.; Run via form trigger as ecertificate75@gmail.com; Timestamp: Sep 4 2024 1:18 AM</t>
  </si>
  <si>
    <t>SOEDJONO, SE</t>
  </si>
  <si>
    <t>jojoksujono@gmail.com</t>
  </si>
  <si>
    <t>7061</t>
  </si>
  <si>
    <t>1pf5jdt-czPBqACjw_dnlWuzzYEilnmGW</t>
  </si>
  <si>
    <t>https://drive.google.com/file/d/1pf5jdt-czPBqACjw_dnlWuzzYEilnmGW/view?usp=drivesdk</t>
  </si>
  <si>
    <t xml:space="preserve">RUSDARWATI </t>
  </si>
  <si>
    <t>rusdarwaty123@gmail.com</t>
  </si>
  <si>
    <t>7062</t>
  </si>
  <si>
    <t>Starting at Thu Aug 29 2024 22:02:47 GMT-0400 (EDT)</t>
  </si>
  <si>
    <t>1zC8JogGgvGMb-uL3grvkPFlBDF0HQ-za</t>
  </si>
  <si>
    <t>https://drive.google.com/file/d/1zC8JogGgvGMb-uL3grvkPFlBDF0HQ-za/view?usp=drivesdk</t>
  </si>
  <si>
    <t xml:space="preserve">EKO PRASETYO </t>
  </si>
  <si>
    <t>eprasetyo1004@gmail.com</t>
  </si>
  <si>
    <t>7063</t>
  </si>
  <si>
    <t>1IRf65ttMwnL1mOKCcSZCWKklV7F-zWaN</t>
  </si>
  <si>
    <t>https://drive.google.com/file/d/1IRf65ttMwnL1mOKCcSZCWKklV7F-zWaN/view?usp=drivesdk</t>
  </si>
  <si>
    <t>PRATIWI, A.Md. K.G</t>
  </si>
  <si>
    <t>sayapratiwi07@gmail.com</t>
  </si>
  <si>
    <t>7064</t>
  </si>
  <si>
    <t>17MlIyrDe7IQhljglCEaEfpFpSSRLMrIv</t>
  </si>
  <si>
    <t>https://drive.google.com/file/d/17MlIyrDe7IQhljglCEaEfpFpSSRLMrIv/view?usp=drivesdk</t>
  </si>
  <si>
    <t>Document successfully created; Document successfully merged; PDF created; !!Error Sending Emails: Service invoked too many times for one day: email.; Run via form trigger as ecertificate75@gmail.com; Timestamp: Sep 4 2024 1:19 AM</t>
  </si>
  <si>
    <t>TITIK SUMARTI, S.H.</t>
  </si>
  <si>
    <t>titiksumarti1974@gmail.com</t>
  </si>
  <si>
    <t>7065</t>
  </si>
  <si>
    <t>1SVKyVZR9nhJB7YUrAeU2exriCPqumSFL</t>
  </si>
  <si>
    <t>https://drive.google.com/file/d/1SVKyVZR9nhJB7YUrAeU2exriCPqumSFL/view?usp=drivesdk</t>
  </si>
  <si>
    <t>FINA DWIMARTIA SARI, S.E</t>
  </si>
  <si>
    <t>fhifien15@gmail.com</t>
  </si>
  <si>
    <t>7066</t>
  </si>
  <si>
    <t>115fn-3IfzJ5-j14yYxhM3vV39sLdKIas</t>
  </si>
  <si>
    <t>https://drive.google.com/file/d/115fn-3IfzJ5-j14yYxhM3vV39sLdKIas/view?usp=drivesdk</t>
  </si>
  <si>
    <t>SOVIA MAISEKA</t>
  </si>
  <si>
    <t>soviamaiseka27@gmail.com</t>
  </si>
  <si>
    <t>7067</t>
  </si>
  <si>
    <t>1EC-bffimTnwbdIUnp4tluMXJNri9o6Jk</t>
  </si>
  <si>
    <t>https://drive.google.com/file/d/1EC-bffimTnwbdIUnp4tluMXJNri9o6Jk/view?usp=drivesdk</t>
  </si>
  <si>
    <t xml:space="preserve">DR.YEKTI SULISTYOWATI, SP.RAD </t>
  </si>
  <si>
    <t>yektisulistyowati.ys@gmail.comy</t>
  </si>
  <si>
    <t>7068</t>
  </si>
  <si>
    <t>1BtBVMJktUQ1btuLEQjKLSZ0tDuHasfxO</t>
  </si>
  <si>
    <t>https://drive.google.com/file/d/1BtBVMJktUQ1btuLEQjKLSZ0tDuHasfxO/view?usp=drivesdk</t>
  </si>
  <si>
    <t xml:space="preserve">JALIDAR SIAGIAN </t>
  </si>
  <si>
    <t>jalidarsiagian@gmail.com</t>
  </si>
  <si>
    <t>7069</t>
  </si>
  <si>
    <t>1D7VKES1_naucHteVgFrgL8xqHYuB1esr</t>
  </si>
  <si>
    <t>https://drive.google.com/file/d/1D7VKES1_naucHteVgFrgL8xqHYuB1esr/view?usp=drivesdk</t>
  </si>
  <si>
    <t>Document successfully created; Document successfully merged; PDF created; !!Error Sending Emails: Service invoked too many times for one day: email.; Run via form trigger as ecertificate75@gmail.com; Timestamp: Sep 4 2024 1:20 AM</t>
  </si>
  <si>
    <t>SRI DEWI SARASWATI</t>
  </si>
  <si>
    <t>sridwiprayoga@gmail.com</t>
  </si>
  <si>
    <t>7070</t>
  </si>
  <si>
    <t>1E8EvR2GVha3WYarbYSbkfXHk6JJ8xZdk</t>
  </si>
  <si>
    <t>https://drive.google.com/file/d/1E8EvR2GVha3WYarbYSbkfXHk6JJ8xZdk/view?usp=drivesdk</t>
  </si>
  <si>
    <t>dr.RICKY KURNIAWAN</t>
  </si>
  <si>
    <t>rkdr3669@gmail.com</t>
  </si>
  <si>
    <t>7071</t>
  </si>
  <si>
    <t>1UgiPJOa0PVF6d-XoFWp3OxKC5puY-v2Z</t>
  </si>
  <si>
    <t>https://drive.google.com/file/d/1UgiPJOa0PVF6d-XoFWp3OxKC5puY-v2Z/view?usp=drivesdk</t>
  </si>
  <si>
    <t>ENDANG YUNI RAHAYU,S.Kep.,Ns</t>
  </si>
  <si>
    <t>endangyuni76@gmail.com</t>
  </si>
  <si>
    <t>7072</t>
  </si>
  <si>
    <t>1Orh58lF2-zOgnUzNVJeFkK7PdC_IALpe</t>
  </si>
  <si>
    <t>https://drive.google.com/file/d/1Orh58lF2-zOgnUzNVJeFkK7PdC_IALpe/view?usp=drivesdk</t>
  </si>
  <si>
    <t>ROSININ</t>
  </si>
  <si>
    <t>rosirosinin@gmail.com</t>
  </si>
  <si>
    <t>7073</t>
  </si>
  <si>
    <t>1wWD9jEnuV9doWzeD0tkWksV7Acas0p3v</t>
  </si>
  <si>
    <t>https://drive.google.com/file/d/1wWD9jEnuV9doWzeD0tkWksV7Acas0p3v/view?usp=drivesdk</t>
  </si>
  <si>
    <t>Document successfully created; Document successfully merged; PDF created; !!Error Sending Emails: Service invoked too many times for one day: email.; Run via form trigger as ecertificate75@gmail.com; Timestamp: Sep 4 2024 1:21 AM</t>
  </si>
  <si>
    <t>AGUNG PRIAMBADA</t>
  </si>
  <si>
    <t>agungpriambada.cld@gmail.com</t>
  </si>
  <si>
    <t>7074</t>
  </si>
  <si>
    <t>1GdDjiFMtB2rbAEcg8rE7EQ0m-ZjDiMKh</t>
  </si>
  <si>
    <t>https://drive.google.com/file/d/1GdDjiFMtB2rbAEcg8rE7EQ0m-ZjDiMKh/view?usp=drivesdk</t>
  </si>
  <si>
    <t>ELLY FAJRIYAH, S.E., M.M.</t>
  </si>
  <si>
    <t>ellyfajriyah2@gmail.com</t>
  </si>
  <si>
    <t>7075</t>
  </si>
  <si>
    <t>Starting at Thu Aug 29 2024 22:02:50 GMT-0400 (EDT)</t>
  </si>
  <si>
    <t>1-vmJPFvSmQhojTpu_YB82biJVVOFBErr</t>
  </si>
  <si>
    <t>https://drive.google.com/file/d/1-vmJPFvSmQhojTpu_YB82biJVVOFBErr/view?usp=drivesdk</t>
  </si>
  <si>
    <t>Document successfully created; Document successfully merged; PDF created; !!Error Sending Emails: Service invoked too many times for one day: email.; Run via form trigger as ecertificate75@gmail.com; Timestamp: Sep 4 2024 1:22 AM</t>
  </si>
  <si>
    <t>grahmaw@gmail.com</t>
  </si>
  <si>
    <t>7076</t>
  </si>
  <si>
    <t>1h1uDYJr6uxvbl70sGnQBre7P-0OjN6Ox</t>
  </si>
  <si>
    <t>https://drive.google.com/file/d/1h1uDYJr6uxvbl70sGnQBre7P-0OjN6Ox/view?usp=drivesdk</t>
  </si>
  <si>
    <t>MAHALI</t>
  </si>
  <si>
    <t>mahaliali086@gmail.com</t>
  </si>
  <si>
    <t>7077</t>
  </si>
  <si>
    <t>1E_RFIH7v4INq5yTASvmSs2QboDzJTvpo</t>
  </si>
  <si>
    <t>https://drive.google.com/file/d/1E_RFIH7v4INq5yTASvmSs2QboDzJTvpo/view?usp=drivesdk</t>
  </si>
  <si>
    <t>Document successfully created; Document successfully merged; PDF created; !!Error Sending Emails: Service invoked too many times for one day: email.; Manually run by ecertificate75@gmail.com; Timestamp: Sep 4 2024 1:34 AM</t>
  </si>
  <si>
    <t>SUNANI</t>
  </si>
  <si>
    <t>sunanipaminal@gmail.com</t>
  </si>
  <si>
    <t>7078</t>
  </si>
  <si>
    <t>Starting at Thu Aug 29 2024 22:02:53 GMT-0400 (EDT)</t>
  </si>
  <si>
    <t>1xbhB8vIX17WC_u5BRzYFqCEhI5VbsuF6</t>
  </si>
  <si>
    <t>https://drive.google.com/file/d/1xbhB8vIX17WC_u5BRzYFqCEhI5VbsuF6/view?usp=drivesdk</t>
  </si>
  <si>
    <t>SAWARINA</t>
  </si>
  <si>
    <t>sawarinasawarina@gmail.com</t>
  </si>
  <si>
    <t>7079</t>
  </si>
  <si>
    <t>Starting at Thu Aug 29 2024 22:02:54 GMT-0400 (EDT)</t>
  </si>
  <si>
    <t>1BoE7w_Y1Eok1RNqQvedZ8kenh_-4lBgt</t>
  </si>
  <si>
    <t>https://drive.google.com/file/d/1BoE7w_Y1Eok1RNqQvedZ8kenh_-4lBgt/view?usp=drivesdk</t>
  </si>
  <si>
    <t>TIMAN,SE.</t>
  </si>
  <si>
    <t>timangakkum1212@gmail.com</t>
  </si>
  <si>
    <t>7080</t>
  </si>
  <si>
    <t>Starting at Thu Aug 29 2024 22:02:57 GMT-0400 (EDT)</t>
  </si>
  <si>
    <t>1D6Htg3s0ZFdxutDcZ7t3ad87a1N5Ldz4</t>
  </si>
  <si>
    <t>https://drive.google.com/file/d/1D6Htg3s0ZFdxutDcZ7t3ad87a1N5Ldz4/view?usp=drivesdk</t>
  </si>
  <si>
    <t>Document successfully created; Document successfully merged; PDF created; !!Error Sending Emails: Service invoked too many times for one day: email.; Manually run by ecertificate75@gmail.com; Timestamp: Sep 4 2024 1:35 AM</t>
  </si>
  <si>
    <t>Rindayu Astri Utami, S.Kep</t>
  </si>
  <si>
    <t>adrinaira2023@gmail.com</t>
  </si>
  <si>
    <t>7081</t>
  </si>
  <si>
    <t>1auMmOblQvJI8PBIHaSgyWRfkQk2BMqdl</t>
  </si>
  <si>
    <t>https://drive.google.com/file/d/1auMmOblQvJI8PBIHaSgyWRfkQk2BMqdl/view?usp=drivesdk</t>
  </si>
  <si>
    <t>I KETUT KAMARDANA</t>
  </si>
  <si>
    <t>samsatketut@gmail.com</t>
  </si>
  <si>
    <t>7082</t>
  </si>
  <si>
    <t>1aoLV-RL-qChoefIDYZp5n_OmPhWJJ8od</t>
  </si>
  <si>
    <t>https://drive.google.com/file/d/1aoLV-RL-qChoefIDYZp5n_OmPhWJJ8od/view?usp=drivesdk</t>
  </si>
  <si>
    <t>IIN PARLINA</t>
  </si>
  <si>
    <t>iinparlina1084@gmail.com</t>
  </si>
  <si>
    <t>7083</t>
  </si>
  <si>
    <t>Starting at Thu Aug 29 2024 22:03:02 GMT-0400 (EDT)</t>
  </si>
  <si>
    <t>1QtgSg0kBVOHUOWz1-SjtxWARKPuXOh0x</t>
  </si>
  <si>
    <t>https://drive.google.com/file/d/1QtgSg0kBVOHUOWz1-SjtxWARKPuXOh0x/view?usp=drivesdk</t>
  </si>
  <si>
    <t>RINA KADARIS MAWARTI, A.Md.Keb</t>
  </si>
  <si>
    <t>rinnarisma@gmail.com</t>
  </si>
  <si>
    <t>7084</t>
  </si>
  <si>
    <t>1K6nKzKgnxOwLBiQe1c-CYOiGr_yGVL6T</t>
  </si>
  <si>
    <t>https://drive.google.com/file/d/1K6nKzKgnxOwLBiQe1c-CYOiGr_yGVL6T/view?usp=drivesdk</t>
  </si>
  <si>
    <t>Document successfully created; Document successfully merged; PDF created; !!Error Sending Emails: Service invoked too many times for one day: email.; Manually run by ecertificate75@gmail.com; Timestamp: Sep 4 2024 1:36 AM</t>
  </si>
  <si>
    <t>SUPARNI</t>
  </si>
  <si>
    <t>suparniakpol@gmail.com</t>
  </si>
  <si>
    <t>7085</t>
  </si>
  <si>
    <t>1HlsIKzxNWGGnYHhBhZQ5VS-a_CwsEbZH</t>
  </si>
  <si>
    <t>https://drive.google.com/file/d/1HlsIKzxNWGGnYHhBhZQ5VS-a_CwsEbZH/view?usp=drivesdk</t>
  </si>
  <si>
    <t>LUH SRI RAHYUNI</t>
  </si>
  <si>
    <t>luhsrirahyuni2@gmail.com</t>
  </si>
  <si>
    <t>7086</t>
  </si>
  <si>
    <t>Starting at Thu Aug 29 2024 22:03:06 GMT-0400 (EDT)</t>
  </si>
  <si>
    <t>1xvK9AOwZ8ln1Kb35_YlDhIBQoKYJPc1m</t>
  </si>
  <si>
    <t>https://drive.google.com/file/d/1xvK9AOwZ8ln1Kb35_YlDhIBQoKYJPc1m/view?usp=drivesdk</t>
  </si>
  <si>
    <t>SUHARNISA</t>
  </si>
  <si>
    <t>suharnisa89@gmail.com</t>
  </si>
  <si>
    <t>7087</t>
  </si>
  <si>
    <t>Starting at Thu Aug 29 2024 22:03:10 GMT-0400 (EDT)</t>
  </si>
  <si>
    <t>1-uwe_utkvEmNDrx_uWsdndRWI7zEFsVg</t>
  </si>
  <si>
    <t>https://drive.google.com/file/d/1-uwe_utkvEmNDrx_uWsdndRWI7zEFsVg/view?usp=drivesdk</t>
  </si>
  <si>
    <t>DWI ERRY SETIAWAN</t>
  </si>
  <si>
    <t>errysetiawan84@gmail.com</t>
  </si>
  <si>
    <t>7088</t>
  </si>
  <si>
    <t>1Mrg6Ehn8g_g6d7WWQgKNFAGKlmKP6rt0</t>
  </si>
  <si>
    <t>https://drive.google.com/file/d/1Mrg6Ehn8g_g6d7WWQgKNFAGKlmKP6rt0/view?usp=drivesdk</t>
  </si>
  <si>
    <t>Document successfully created; Document successfully merged; PDF created; !!Error Sending Emails: Service invoked too many times for one day: email.; Manually run by ecertificate75@gmail.com; Timestamp: Sep 4 2024 1:37 AM</t>
  </si>
  <si>
    <t>ROHMAH</t>
  </si>
  <si>
    <t>rahmah.m015@gmail.com</t>
  </si>
  <si>
    <t>7089</t>
  </si>
  <si>
    <t>1nR_P3ETm2nWz9zRB0miMi1Bnan83KaOU</t>
  </si>
  <si>
    <t>https://drive.google.com/file/d/1nR_P3ETm2nWz9zRB0miMi1Bnan83KaOU/view?usp=drivesdk</t>
  </si>
  <si>
    <t>YELNI GUSTI</t>
  </si>
  <si>
    <t>gustiyelni@gmail.com</t>
  </si>
  <si>
    <t>7090</t>
  </si>
  <si>
    <t>17mwUfC7BwDHnAd-joChnc2G8NwPXYzdt</t>
  </si>
  <si>
    <t>https://drive.google.com/file/d/17mwUfC7BwDHnAd-joChnc2G8NwPXYzdt/view?usp=drivesdk</t>
  </si>
  <si>
    <t>AMENAH</t>
  </si>
  <si>
    <t>amenahpns73@gmail.com</t>
  </si>
  <si>
    <t>7091</t>
  </si>
  <si>
    <t>1YeQXoisFe24QfX09h3vRlgplkIZY3H3U</t>
  </si>
  <si>
    <t>https://drive.google.com/file/d/1YeQXoisFe24QfX09h3vRlgplkIZY3H3U/view?usp=drivesdk</t>
  </si>
  <si>
    <t>AKHMAD NUROKHIM</t>
  </si>
  <si>
    <t>akhmadnurokhim65@gmail.com</t>
  </si>
  <si>
    <t>7092</t>
  </si>
  <si>
    <t>12OoDHvj_Fp9Jbq0oAo32iulVrlbdc4r4</t>
  </si>
  <si>
    <t>https://drive.google.com/file/d/12OoDHvj_Fp9Jbq0oAo32iulVrlbdc4r4/view?usp=drivesdk</t>
  </si>
  <si>
    <t>Document successfully created; Document successfully merged; PDF created; !!Error Sending Emails: Service invoked too many times for one day: email.; Manually run by ecertificate75@gmail.com; Timestamp: Sep 4 2024 1:38 AM</t>
  </si>
  <si>
    <t>SUPIYANI</t>
  </si>
  <si>
    <t>supiyani.misnar@gmail.com</t>
  </si>
  <si>
    <t>7093</t>
  </si>
  <si>
    <t>Starting at Thu Aug 29 2024 22:03:16 GMT-0400 (EDT)</t>
  </si>
  <si>
    <t>1cLeh6kq_jklsKSf0mrptmkpyZyMsTb44</t>
  </si>
  <si>
    <t>https://drive.google.com/file/d/1cLeh6kq_jklsKSf0mrptmkpyZyMsTb44/view?usp=drivesdk</t>
  </si>
  <si>
    <t>dr. MARTHIN SURANTHA</t>
  </si>
  <si>
    <t>docmart2000@gmail.com</t>
  </si>
  <si>
    <t>7094</t>
  </si>
  <si>
    <t>1RWYH7KgnJXKqvkoTGghW0xgjP158IWNu</t>
  </si>
  <si>
    <t>https://drive.google.com/file/d/1RWYH7KgnJXKqvkoTGghW0xgjP158IWNu/view?usp=drivesdk</t>
  </si>
  <si>
    <t xml:space="preserve">ISNAINI ZAKIYYAH AROFA </t>
  </si>
  <si>
    <t>isnainizakiyyah927@gmail.com</t>
  </si>
  <si>
    <t>7095</t>
  </si>
  <si>
    <t>Starting at Thu Aug 29 2024 22:03:19 GMT-0400 (EDT)</t>
  </si>
  <si>
    <t>1_IC-PrYfYmv4GuuhWDm-6cVnSkAUL9LK</t>
  </si>
  <si>
    <t>https://drive.google.com/file/d/1_IC-PrYfYmv4GuuhWDm-6cVnSkAUL9LK/view?usp=drivesdk</t>
  </si>
  <si>
    <t>H. MARZUKI, S.Sos</t>
  </si>
  <si>
    <t>h.marzuki69@gmail.com</t>
  </si>
  <si>
    <t>7096</t>
  </si>
  <si>
    <t>1EAdQ_mpM1gA266k0FrHfyCe0rRia7-ie</t>
  </si>
  <si>
    <t>https://drive.google.com/file/d/1EAdQ_mpM1gA266k0FrHfyCe0rRia7-ie/view?usp=drivesdk</t>
  </si>
  <si>
    <t>YUSRAN</t>
  </si>
  <si>
    <t>yusran.purnama@gmail.com</t>
  </si>
  <si>
    <t>7097</t>
  </si>
  <si>
    <t>1e6UJ5ksfVzEks_GPUS1o_DEvRSXQNL6R</t>
  </si>
  <si>
    <t>https://drive.google.com/file/d/1e6UJ5ksfVzEks_GPUS1o_DEvRSXQNL6R/view?usp=drivesdk</t>
  </si>
  <si>
    <t>Document successfully created; Document successfully merged; PDF created; !!Error Sending Emails: Service invoked too many times for one day: email.; Manually run by ecertificate75@gmail.com; Timestamp: Sep 4 2024 1:39 AM</t>
  </si>
  <si>
    <t>DJUNIATI</t>
  </si>
  <si>
    <t>djuniati77@gmail.com</t>
  </si>
  <si>
    <t>7098</t>
  </si>
  <si>
    <t>Starting at Thu Aug 29 2024 22:03:23 GMT-0400 (EDT)</t>
  </si>
  <si>
    <t>1rN7SvpgONBCwVt8KhRniUJ5qg9uIrOSd</t>
  </si>
  <si>
    <t>https://drive.google.com/file/d/1rN7SvpgONBCwVt8KhRniUJ5qg9uIrOSd/view?usp=drivesdk</t>
  </si>
  <si>
    <t>DIDI RUSTANDI</t>
  </si>
  <si>
    <t>didirustandi02@gmail.com</t>
  </si>
  <si>
    <t>7099</t>
  </si>
  <si>
    <t>Starting at Thu Aug 29 2024 22:03:27 GMT-0400 (EDT)</t>
  </si>
  <si>
    <t>1QUC3EXe6bUGEnIqrsZAqP6dcGUYaOmbo</t>
  </si>
  <si>
    <t>https://drive.google.com/file/d/1QUC3EXe6bUGEnIqrsZAqP6dcGUYaOmbo/view?usp=drivesdk</t>
  </si>
  <si>
    <t>SUHENDRA</t>
  </si>
  <si>
    <t>eensuhendrae@gmail.com</t>
  </si>
  <si>
    <t>7100</t>
  </si>
  <si>
    <t>Starting at Thu Aug 29 2024 22:03:29 GMT-0400 (EDT)</t>
  </si>
  <si>
    <t>1HPqFDBaf5Ys-4jv6gvyPzY7kKlN0k3-o</t>
  </si>
  <si>
    <t>https://drive.google.com/file/d/1HPqFDBaf5Ys-4jv6gvyPzY7kKlN0k3-o/view?usp=drivesdk</t>
  </si>
  <si>
    <t>Misnawati Pardede SKM</t>
  </si>
  <si>
    <t>pardedemisnawati@gmail.com</t>
  </si>
  <si>
    <t>7101</t>
  </si>
  <si>
    <t>1mtpyNfh6eURfPnsce055G78GPTmSh4k1</t>
  </si>
  <si>
    <t>https://drive.google.com/file/d/1mtpyNfh6eURfPnsce055G78GPTmSh4k1/view?usp=drivesdk</t>
  </si>
  <si>
    <t>Document successfully created; Document successfully merged; PDF created; !!Error Sending Emails: Service invoked too many times for one day: email.; Manually run by ecertificate75@gmail.com; Timestamp: Sep 4 2024 1:40 AM</t>
  </si>
  <si>
    <t>dr. Dewi Lydia Arianna Manullang</t>
  </si>
  <si>
    <t>ariannadewi@gmail.com</t>
  </si>
  <si>
    <t>7102</t>
  </si>
  <si>
    <t>Starting at Thu Aug 29 2024 22:03:35 GMT-0400 (EDT)</t>
  </si>
  <si>
    <t>1j8vDGNO5taP9mfDSIiG75MpHx32Dbfql</t>
  </si>
  <si>
    <t>https://drive.google.com/file/d/1j8vDGNO5taP9mfDSIiG75MpHx32Dbfql/view?usp=drivesdk</t>
  </si>
  <si>
    <t>HERI MASTUTI</t>
  </si>
  <si>
    <t>uciiana97@gmail.com</t>
  </si>
  <si>
    <t>7103</t>
  </si>
  <si>
    <t>16GVJ9qaBLIQAHtXfxy2QcJRmYJFqrhey</t>
  </si>
  <si>
    <t>https://drive.google.com/file/d/16GVJ9qaBLIQAHtXfxy2QcJRmYJFqrhey/view?usp=drivesdk</t>
  </si>
  <si>
    <t>binmassiantar@gmail.com</t>
  </si>
  <si>
    <t>7104</t>
  </si>
  <si>
    <t>Starting at Thu Aug 29 2024 22:03:40 GMT-0400 (EDT)</t>
  </si>
  <si>
    <t>149I-hXi9OdwdzCr-rGHlVmgoeQPOwTC8</t>
  </si>
  <si>
    <t>https://drive.google.com/file/d/149I-hXi9OdwdzCr-rGHlVmgoeQPOwTC8/view?usp=drivesdk</t>
  </si>
  <si>
    <t>PENATA SAIMAN, S.E.</t>
  </si>
  <si>
    <t>triandhikatriandhikanugroho@gmail.com</t>
  </si>
  <si>
    <t>7105</t>
  </si>
  <si>
    <t>1XQ_DKtCD_g0cX0Z0qodh3xuSjBeoQC-I</t>
  </si>
  <si>
    <t>https://drive.google.com/file/d/1XQ_DKtCD_g0cX0Z0qodh3xuSjBeoQC-I/view?usp=drivesdk</t>
  </si>
  <si>
    <t>Document successfully created; Document successfully merged; PDF created; !!Error Sending Emails: Service invoked too many times for one day: email.; Manually run by ecertificate75@gmail.com; Timestamp: Sep 4 2024 1:41 AM</t>
  </si>
  <si>
    <t>FRISKA RATNAWATY</t>
  </si>
  <si>
    <t>friskaratnawaty96@gmail.com</t>
  </si>
  <si>
    <t>7106</t>
  </si>
  <si>
    <t>15tzLyWsMzhPo3D_SvGLbj0Z3EOklYv-H</t>
  </si>
  <si>
    <t>https://drive.google.com/file/d/15tzLyWsMzhPo3D_SvGLbj0Z3EOklYv-H/view?usp=drivesdk</t>
  </si>
  <si>
    <t>HANNA LABIRAN</t>
  </si>
  <si>
    <t>hannalabiran@yahoo.co.id</t>
  </si>
  <si>
    <t>7107</t>
  </si>
  <si>
    <t>Starting at Thu Aug 29 2024 22:03:41 GMT-0400 (EDT)</t>
  </si>
  <si>
    <t>1gcvfBg3R3_XAyEAS7Mlucid7E7jWX1Qc</t>
  </si>
  <si>
    <t>https://drive.google.com/file/d/1gcvfBg3R3_XAyEAS7Mlucid7E7jWX1Qc/view?usp=drivesdk</t>
  </si>
  <si>
    <t>Nurul Maulina Utami,A.Md.Per</t>
  </si>
  <si>
    <t>tamymaulina22@gmail.com</t>
  </si>
  <si>
    <t>7108</t>
  </si>
  <si>
    <t>1TnvIATdk08wAkCb1N0bvx39nhEV5aFm5</t>
  </si>
  <si>
    <t>https://drive.google.com/file/d/1TnvIATdk08wAkCb1N0bvx39nhEV5aFm5/view?usp=drivesdk</t>
  </si>
  <si>
    <t>Document successfully created; Document successfully merged; PDF created; !!Error Sending Emails: Service invoked too many times for one day: email.; Manually run by ecertificate75@gmail.com; Timestamp: Sep 4 2024 1:42 AM</t>
  </si>
  <si>
    <t>DR. WAHID</t>
  </si>
  <si>
    <t>syamwamd@gmail.com</t>
  </si>
  <si>
    <t>7109</t>
  </si>
  <si>
    <t>Starting at Thu Aug 29 2024 22:03:49 GMT-0400 (EDT)</t>
  </si>
  <si>
    <t>1eQxdaFjxQSFJkec0oMSc8DHyzI3vfg2Q</t>
  </si>
  <si>
    <t>https://drive.google.com/file/d/1eQxdaFjxQSFJkec0oMSc8DHyzI3vfg2Q/view?usp=drivesdk</t>
  </si>
  <si>
    <t>DIAN LISTYAWATI S.M.</t>
  </si>
  <si>
    <t>listya.punyadian@gmail.com</t>
  </si>
  <si>
    <t>7110</t>
  </si>
  <si>
    <t>1urZHKugKnln8FnMWRikr4KT56DhLiyvE</t>
  </si>
  <si>
    <t>https://drive.google.com/file/d/1urZHKugKnln8FnMWRikr4KT56DhLiyvE/view?usp=drivesdk</t>
  </si>
  <si>
    <t>SAKURA DEWI, M.Psi</t>
  </si>
  <si>
    <t>moisakura@gmail.com</t>
  </si>
  <si>
    <t>7111</t>
  </si>
  <si>
    <t>Starting at Thu Aug 29 2024 22:03:52 GMT-0400 (EDT)</t>
  </si>
  <si>
    <t>18idNa5zdVsde4GKh_mUKQzsMB0sb1xtu</t>
  </si>
  <si>
    <t>https://drive.google.com/file/d/18idNa5zdVsde4GKh_mUKQzsMB0sb1xtu/view?usp=drivesdk</t>
  </si>
  <si>
    <t>Document successfully created; Document successfully merged; PDF created; !!Error Sending Emails: Service invoked too many times for one day: email.; Manually run by ecertificate75@gmail.com; Timestamp: Sep 4 2024 1:43 AM</t>
  </si>
  <si>
    <t>BAMBANG KUNDIARTO, A.Md.</t>
  </si>
  <si>
    <t>sewokobank78@gmail.com</t>
  </si>
  <si>
    <t>7112</t>
  </si>
  <si>
    <t>1wdoH_P0-EMBSm1X2D2UMKZ_kbtMf9K76</t>
  </si>
  <si>
    <t>https://drive.google.com/file/d/1wdoH_P0-EMBSm1X2D2UMKZ_kbtMf9K76/view?usp=drivesdk</t>
  </si>
  <si>
    <t>IDA SOEHARIJADI</t>
  </si>
  <si>
    <t>sida31016@gmail.com</t>
  </si>
  <si>
    <t>7113</t>
  </si>
  <si>
    <t>Starting at Thu Aug 29 2024 22:03:53 GMT-0400 (EDT)</t>
  </si>
  <si>
    <t>1qk4HGjOmNcnEzh2If4kZw_EmzElamYYS</t>
  </si>
  <si>
    <t>https://drive.google.com/file/d/1qk4HGjOmNcnEzh2If4kZw_EmzElamYYS/view?usp=drivesdk</t>
  </si>
  <si>
    <t>ROSI DESMORA.A.Md.Farm</t>
  </si>
  <si>
    <t>rosi.desmora@gmail.com</t>
  </si>
  <si>
    <t>7114</t>
  </si>
  <si>
    <t>14fO0syqGoFZSNaLQZYboyzmUhIESwB98</t>
  </si>
  <si>
    <t>https://drive.google.com/file/d/14fO0syqGoFZSNaLQZYboyzmUhIESwB98/view?usp=drivesdk</t>
  </si>
  <si>
    <t>NUNUNG RAHMAWATI</t>
  </si>
  <si>
    <t>nunungrahmawati39@gmail.com</t>
  </si>
  <si>
    <t>7115</t>
  </si>
  <si>
    <t>Starting at Thu Aug 29 2024 22:03:56 GMT-0400 (EDT)</t>
  </si>
  <si>
    <t>1IMtvyvAVg4ZQoehgGKz6dbQYRnhf9Fyq</t>
  </si>
  <si>
    <t>https://drive.google.com/file/d/1IMtvyvAVg4ZQoehgGKz6dbQYRnhf9Fyq/view?usp=drivesdk</t>
  </si>
  <si>
    <t>Document successfully created; Document successfully merged; PDF created; !!Error Sending Emails: Service invoked too many times for one day: email.; Manually run by ecertificate75@gmail.com; Timestamp: Sep 4 2024 1:44 AM</t>
  </si>
  <si>
    <t xml:space="preserve">ARIEF TRISNANDAR </t>
  </si>
  <si>
    <t>arieftrisnandar71@gmail.com</t>
  </si>
  <si>
    <t>7116</t>
  </si>
  <si>
    <t>Starting at Thu Aug 29 2024 22:03:59 GMT-0400 (EDT)</t>
  </si>
  <si>
    <t>127akEmVhQloxaBdQtH6vILQOD4xfZrrC</t>
  </si>
  <si>
    <t>https://drive.google.com/file/d/127akEmVhQloxaBdQtH6vILQOD4xfZrrC/view?usp=drivesdk</t>
  </si>
  <si>
    <t>KARYATI, S. E</t>
  </si>
  <si>
    <t>sulistyanaktb@gmail.com</t>
  </si>
  <si>
    <t>7117</t>
  </si>
  <si>
    <t>1CEm0ufdxGRgMRDNiEvsbVRsBE2XFRGuf</t>
  </si>
  <si>
    <t>https://drive.google.com/file/d/1CEm0ufdxGRgMRDNiEvsbVRsBE2XFRGuf/view?usp=drivesdk</t>
  </si>
  <si>
    <t>MARTHA RITA PALAYUKAN</t>
  </si>
  <si>
    <t>ritapalayukan15@gmail.com</t>
  </si>
  <si>
    <t>7118</t>
  </si>
  <si>
    <t>1aLF-gLMItzM9zxQYhM_1tWCpEWgrltG1</t>
  </si>
  <si>
    <t>https://drive.google.com/file/d/1aLF-gLMItzM9zxQYhM_1tWCpEWgrltG1/view?usp=drivesdk</t>
  </si>
  <si>
    <t>Document successfully created; Document successfully merged; PDF created; !!Error Sending Emails: Service invoked too many times for one day: email.; Manually run by ecertificate75@gmail.com; Timestamp: Sep 4 2024 1:45 AM</t>
  </si>
  <si>
    <t>RATI ATARIA ASDA A. MD. FAR</t>
  </si>
  <si>
    <t>ratiataria@gmail.com</t>
  </si>
  <si>
    <t>7119</t>
  </si>
  <si>
    <t>Starting at Thu Aug 29 2024 22:04:02 GMT-0400 (EDT)</t>
  </si>
  <si>
    <t>1IkY_wx8BSMaWHE909zVIrf0fgh7AyJXY</t>
  </si>
  <si>
    <t>https://drive.google.com/file/d/1IkY_wx8BSMaWHE909zVIrf0fgh7AyJXY/view?usp=drivesdk</t>
  </si>
  <si>
    <t>ORCHID DAMEI ELMAKARANI</t>
  </si>
  <si>
    <t>orchid.chairani@gmail.com</t>
  </si>
  <si>
    <t>7120</t>
  </si>
  <si>
    <t>1ALFyKEJpRBD8HwUR0phBO6tIx3gxM8mV</t>
  </si>
  <si>
    <t>https://drive.google.com/file/d/1ALFyKEJpRBD8HwUR0phBO6tIx3gxM8mV/view?usp=drivesdk</t>
  </si>
  <si>
    <t>Bekti Setyo Rini, S.Kom.</t>
  </si>
  <si>
    <t>d4nish4t4@gmail.com</t>
  </si>
  <si>
    <t>7121</t>
  </si>
  <si>
    <t>1U1V6WvpyyVu3ah8QFpArVYtX_XRZgu8S</t>
  </si>
  <si>
    <t>https://drive.google.com/file/d/1U1V6WvpyyVu3ah8QFpArVYtX_XRZgu8S/view?usp=drivesdk</t>
  </si>
  <si>
    <t>LA UMAR LA AGU</t>
  </si>
  <si>
    <t>Laumarlaagu@gmail.com</t>
  </si>
  <si>
    <t>7122</t>
  </si>
  <si>
    <t>Starting at Thu Aug 29 2024 22:04:06 GMT-0400 (EDT)</t>
  </si>
  <si>
    <t>19lS6KV3TR36hmfKH6mxJQP-OnLzOchei</t>
  </si>
  <si>
    <t>https://drive.google.com/file/d/19lS6KV3TR36hmfKH6mxJQP-OnLzOchei/view?usp=drivesdk</t>
  </si>
  <si>
    <t>Document successfully created; Document successfully merged; PDF created; !!Error Sending Emails: Service invoked too many times for one day: email.; Manually run by ecertificate75@gmail.com; Timestamp: Sep 4 2024 1:46 AM</t>
  </si>
  <si>
    <t>Hj. DAHLIA, SM</t>
  </si>
  <si>
    <t>hjdahlia1968@gmail.com</t>
  </si>
  <si>
    <t>7123</t>
  </si>
  <si>
    <t>1HfbFssOzPVUpexsiO-Y2bfzCHxvJUyEM</t>
  </si>
  <si>
    <t>https://drive.google.com/file/d/1HfbFssOzPVUpexsiO-Y2bfzCHxvJUyEM/view?usp=drivesdk</t>
  </si>
  <si>
    <t xml:space="preserve">SULILAJUSUF </t>
  </si>
  <si>
    <t>Sulilayusuf73@gmail.com</t>
  </si>
  <si>
    <t>7124</t>
  </si>
  <si>
    <t>1VRSmu3618V0IOYUAtZ7rKwQvVxhnpAOB</t>
  </si>
  <si>
    <t>https://drive.google.com/file/d/1VRSmu3618V0IOYUAtZ7rKwQvVxhnpAOB/view?usp=drivesdk</t>
  </si>
  <si>
    <t>Arny Lusty Epprankty Purba</t>
  </si>
  <si>
    <t>purbaarny01@gmail.com</t>
  </si>
  <si>
    <t>7125</t>
  </si>
  <si>
    <t>1LmrA_tAcna5kRziTpSKFcTdLuv8NmB2Z</t>
  </si>
  <si>
    <t>https://drive.google.com/file/d/1LmrA_tAcna5kRziTpSKFcTdLuv8NmB2Z/view?usp=drivesdk</t>
  </si>
  <si>
    <t>BUDI HARTONO</t>
  </si>
  <si>
    <t>hartono7202@gmail.com</t>
  </si>
  <si>
    <t>7126</t>
  </si>
  <si>
    <t>19gbthm_6zRL8JmrICXRQ7In1evNoX9PY</t>
  </si>
  <si>
    <t>https://drive.google.com/file/d/19gbthm_6zRL8JmrICXRQ7In1evNoX9PY/view?usp=drivesdk</t>
  </si>
  <si>
    <t>MARIA AMISNA</t>
  </si>
  <si>
    <t>mariapnk00@gmail.com</t>
  </si>
  <si>
    <t>7127</t>
  </si>
  <si>
    <t>1WFcvggI7mt9o3GtTXOKjr4kg7NEUNWEG</t>
  </si>
  <si>
    <t>https://drive.google.com/file/d/1WFcvggI7mt9o3GtTXOKjr4kg7NEUNWEG/view?usp=drivesdk</t>
  </si>
  <si>
    <t>Document successfully created; Document successfully merged; PDF created; !!Error Sending Emails: Service invoked too many times for one day: email.; Manually run by ecertificate75@gmail.com; Timestamp: Sep 4 2024 1:47 AM</t>
  </si>
  <si>
    <t>Muhammad Muhtar Patoni, AM.d.Kom</t>
  </si>
  <si>
    <t>muhmuhtarp@gmail.com</t>
  </si>
  <si>
    <t>7128</t>
  </si>
  <si>
    <t>1GUuea18Xr234koLre-l5huk2j9hs1MVW</t>
  </si>
  <si>
    <t>https://drive.google.com/file/d/1GUuea18Xr234koLre-l5huk2j9hs1MVW/view?usp=drivesdk</t>
  </si>
  <si>
    <t>SURIATI MANURUNG</t>
  </si>
  <si>
    <t>suriatimanurung29@gmail.com</t>
  </si>
  <si>
    <t>7129</t>
  </si>
  <si>
    <t>1qRCclZ2z0GWr1B16uot92_PADvmU9hjd</t>
  </si>
  <si>
    <t>https://drive.google.com/file/d/1qRCclZ2z0GWr1B16uot92_PADvmU9hjd/view?usp=drivesdk</t>
  </si>
  <si>
    <t>MUJI SANTOSO</t>
  </si>
  <si>
    <t>mujisantoso82@gmail.com</t>
  </si>
  <si>
    <t>7130</t>
  </si>
  <si>
    <t>1dh7o48AAK72gI1PU_JBHb7WsFaKVCrKG</t>
  </si>
  <si>
    <t>https://drive.google.com/file/d/1dh7o48AAK72gI1PU_JBHb7WsFaKVCrKG/view?usp=drivesdk</t>
  </si>
  <si>
    <t>Document successfully created; Document successfully merged; PDF created; !!Error Sending Emails: Service invoked too many times for one day: email.; Manually run by ecertificate75@gmail.com; Timestamp: Sep 4 2024 1:48 AM</t>
  </si>
  <si>
    <t>MUHAMMAD IHSAN, S.Kom.</t>
  </si>
  <si>
    <t>ihsanfaridd@gmail.com</t>
  </si>
  <si>
    <t>7131</t>
  </si>
  <si>
    <t>Starting at Thu Aug 29 2024 22:04:10 GMT-0400 (EDT)</t>
  </si>
  <si>
    <t>1H0HRLNmwuBz5kNveRX6UNNvXypYusoWr</t>
  </si>
  <si>
    <t>https://drive.google.com/file/d/1H0HRLNmwuBz5kNveRX6UNNvXypYusoWr/view?usp=drivesdk</t>
  </si>
  <si>
    <t>AGUS FIRDAUS, S.E.</t>
  </si>
  <si>
    <t>agus.firdaus82@gmail.com</t>
  </si>
  <si>
    <t>7132</t>
  </si>
  <si>
    <t>12Fcp39CbgS0HeqhKhs1vF7Aop8YmDu2K</t>
  </si>
  <si>
    <t>https://drive.google.com/file/d/12Fcp39CbgS0HeqhKhs1vF7Aop8YmDu2K/view?usp=drivesdk</t>
  </si>
  <si>
    <t>SOEGMA SEPRIANI, S.S.</t>
  </si>
  <si>
    <t>soegma.sepriani@yahoo.com</t>
  </si>
  <si>
    <t>7133</t>
  </si>
  <si>
    <t>1F4DXGGKbARnePy0B3dow6unXGTfadS3a</t>
  </si>
  <si>
    <t>https://drive.google.com/file/d/1F4DXGGKbARnePy0B3dow6unXGTfadS3a/view?usp=drivesdk</t>
  </si>
  <si>
    <t>SUKIRNO</t>
  </si>
  <si>
    <t>sukirnoingarso@gmail.com</t>
  </si>
  <si>
    <t>7134</t>
  </si>
  <si>
    <t>1Uqra4lAY9OBcikoXPpi-HkzXeGO943V0</t>
  </si>
  <si>
    <t>https://drive.google.com/file/d/1Uqra4lAY9OBcikoXPpi-HkzXeGO943V0/view?usp=drivesdk</t>
  </si>
  <si>
    <t>RATU ELYASABETH, S.E.</t>
  </si>
  <si>
    <t>r15lizbeth@gmail.com</t>
  </si>
  <si>
    <t>7135</t>
  </si>
  <si>
    <t>16s4W-UPFQb86qEUbEAyh-S-dzfuHK4eK</t>
  </si>
  <si>
    <t>https://drive.google.com/file/d/16s4W-UPFQb86qEUbEAyh-S-dzfuHK4eK/view?usp=drivesdk</t>
  </si>
  <si>
    <t>Document successfully created; Document successfully merged; PDF created; !!Error Sending Emails: Service invoked too many times for one day: email.; Manually run by ecertificate75@gmail.com; Timestamp: Sep 4 2024 1:49 AM</t>
  </si>
  <si>
    <t>LILI LATIFAH, SKM</t>
  </si>
  <si>
    <t>lilisweet86@gmail.com</t>
  </si>
  <si>
    <t>7136</t>
  </si>
  <si>
    <t>1JLrE0gtRQZqoy9_tuC73ufIvyEtRF5PV</t>
  </si>
  <si>
    <t>https://drive.google.com/file/d/1JLrE0gtRQZqoy9_tuC73ufIvyEtRF5PV/view?usp=drivesdk</t>
  </si>
  <si>
    <t>HERMAWAN</t>
  </si>
  <si>
    <t>hermawanganteng049@gmail.com</t>
  </si>
  <si>
    <t>7137</t>
  </si>
  <si>
    <t>1IuJAfVtlaKIKJozjY2RQZqUcOMhrpZJe</t>
  </si>
  <si>
    <t>https://drive.google.com/file/d/1IuJAfVtlaKIKJozjY2RQZqUcOMhrpZJe/view?usp=drivesdk</t>
  </si>
  <si>
    <t>DEWI SUKMANI BUDI ASTUTI</t>
  </si>
  <si>
    <t>dewiesukmani@gmail.com</t>
  </si>
  <si>
    <t>7138</t>
  </si>
  <si>
    <t>Starting at Thu Aug 29 2024 22:04:22 GMT-0400 (EDT)</t>
  </si>
  <si>
    <t>19oZeiQsfE5N7bNNF9hhq_5fpYb0MOgm7</t>
  </si>
  <si>
    <t>https://drive.google.com/file/d/19oZeiQsfE5N7bNNF9hhq_5fpYb0MOgm7/view?usp=drivesdk</t>
  </si>
  <si>
    <t>Document successfully created; Document successfully merged; PDF created; !!Error Sending Emails: Service invoked too many times for one day: email.; Manually run by ecertificate75@gmail.com; Timestamp: Sep 4 2024 1:50 AM</t>
  </si>
  <si>
    <t>agussusilo951@gmail.com</t>
  </si>
  <si>
    <t>7139</t>
  </si>
  <si>
    <t>1nXYi8he34_bJCPGjICmyjrBJELB00KEL</t>
  </si>
  <si>
    <t>https://drive.google.com/file/d/1nXYi8he34_bJCPGjICmyjrBJELB00KEL/view?usp=drivesdk</t>
  </si>
  <si>
    <t xml:space="preserve">DWI UNTORO </t>
  </si>
  <si>
    <t>dwiuntoro7883@gmail.com</t>
  </si>
  <si>
    <t>7140</t>
  </si>
  <si>
    <t>1SYgTlU-3jUarGk8M7yKF_fYFx93B6b5e</t>
  </si>
  <si>
    <t>https://drive.google.com/file/d/1SYgTlU-3jUarGk8M7yKF_fYFx93B6b5e/view?usp=drivesdk</t>
  </si>
  <si>
    <t>TRI AGUSTINASH</t>
  </si>
  <si>
    <t>triagustinahjawa@gmail.com</t>
  </si>
  <si>
    <t>7141</t>
  </si>
  <si>
    <t>1tn-CzJWUM7D95dj8SSkVrukGLdjCBBcO</t>
  </si>
  <si>
    <t>https://drive.google.com/file/d/1tn-CzJWUM7D95dj8SSkVrukGLdjCBBcO/view?usp=drivesdk</t>
  </si>
  <si>
    <t xml:space="preserve">Dorkas Rismaya Handayani Siagian, Amd </t>
  </si>
  <si>
    <t>abigail24@gmail.com</t>
  </si>
  <si>
    <t>7142</t>
  </si>
  <si>
    <t>1q5OiFh7n-jwL0vNDrLd_lmbESKEKixfq</t>
  </si>
  <si>
    <t>https://drive.google.com/file/d/1q5OiFh7n-jwL0vNDrLd_lmbESKEKixfq/view?usp=drivesdk</t>
  </si>
  <si>
    <t>NIKEN HAPSARI,SS</t>
  </si>
  <si>
    <t>hapsariniken76@gmail.com</t>
  </si>
  <si>
    <t>7143</t>
  </si>
  <si>
    <t>1OIyOQxSI0Uj3uif7FEnqVEIRtQhy5mXo</t>
  </si>
  <si>
    <t>https://drive.google.com/file/d/1OIyOQxSI0Uj3uif7FEnqVEIRtQhy5mXo/view?usp=drivesdk</t>
  </si>
  <si>
    <t>Document successfully created; Document successfully merged; PDF created; !!Error Sending Emails: Service invoked too many times for one day: email.; Manually run by ecertificate75@gmail.com; Timestamp: Sep 4 2024 1:51 AM</t>
  </si>
  <si>
    <t>REJO SUKINO</t>
  </si>
  <si>
    <t>rsukino@gmail.com</t>
  </si>
  <si>
    <t>7144</t>
  </si>
  <si>
    <t>1v7D4mXPedcJ3wJ24o9mT-Hfp-yFwrKk4</t>
  </si>
  <si>
    <t>https://drive.google.com/file/d/1v7D4mXPedcJ3wJ24o9mT-Hfp-yFwrKk4/view?usp=drivesdk</t>
  </si>
  <si>
    <t>MAYA FEBRIANI, A.Md.Kep</t>
  </si>
  <si>
    <t>sirajuinamul@gmail.com</t>
  </si>
  <si>
    <t>7145</t>
  </si>
  <si>
    <t>1gC713q69lZGq0qgCSme_JJpX2uNDFDCk</t>
  </si>
  <si>
    <t>https://drive.google.com/file/d/1gC713q69lZGq0qgCSme_JJpX2uNDFDCk/view?usp=drivesdk</t>
  </si>
  <si>
    <t>SAIFUL ANWAR</t>
  </si>
  <si>
    <t>anwarhansya@gmail.com</t>
  </si>
  <si>
    <t>7146</t>
  </si>
  <si>
    <t>1h4n6kM7uWExCcJm5wFc6CUXr3xgV0GNJ</t>
  </si>
  <si>
    <t>https://drive.google.com/file/d/1h4n6kM7uWExCcJm5wFc6CUXr3xgV0GNJ/view?usp=drivesdk</t>
  </si>
  <si>
    <t xml:space="preserve">UMMUL KHAERAH </t>
  </si>
  <si>
    <t>ummuljgrizki9@gmail.com</t>
  </si>
  <si>
    <t>7147</t>
  </si>
  <si>
    <t>1rNacaVltc8Henu_GMW1VSmY9NuUvr6L4</t>
  </si>
  <si>
    <t>https://drive.google.com/file/d/1rNacaVltc8Henu_GMW1VSmY9NuUvr6L4/view?usp=drivesdk</t>
  </si>
  <si>
    <t>Document successfully created; Document successfully merged; PDF created; !!Error Sending Emails: Service invoked too many times for one day: email.; Manually run by ecertificate75@gmail.com; Timestamp: Sep 4 2024 1:52 AM</t>
  </si>
  <si>
    <t>SUMARNI SE</t>
  </si>
  <si>
    <t>sumarni.marnijmb7@gmail.com</t>
  </si>
  <si>
    <t>7148</t>
  </si>
  <si>
    <t>16-fCmarsYIe5fDhHslUW6743IUgdIZdv</t>
  </si>
  <si>
    <t>https://drive.google.com/file/d/16-fCmarsYIe5fDhHslUW6743IUgdIZdv/view?usp=drivesdk</t>
  </si>
  <si>
    <t>SUPAAT, S.Pd</t>
  </si>
  <si>
    <t>supaat1983@gmail.com</t>
  </si>
  <si>
    <t>7149</t>
  </si>
  <si>
    <t>Starting at Thu Aug 29 2024 22:04:24 GMT-0400 (EDT)</t>
  </si>
  <si>
    <t>1dqtAMz2Gc4aSapwTCdrGe1t4i-ZIdczX</t>
  </si>
  <si>
    <t>https://drive.google.com/file/d/1dqtAMz2Gc4aSapwTCdrGe1t4i-ZIdczX/view?usp=drivesdk</t>
  </si>
  <si>
    <t>ISMAIL BASUKI</t>
  </si>
  <si>
    <t>ismailbasuki0707@gmail.com</t>
  </si>
  <si>
    <t>7150</t>
  </si>
  <si>
    <t>1cb9AU9-AX89HDG2l_OefNoovgGpcQ4pl</t>
  </si>
  <si>
    <t>https://drive.google.com/file/d/1cb9AU9-AX89HDG2l_OefNoovgGpcQ4pl/view?usp=drivesdk</t>
  </si>
  <si>
    <t>SOEMARSONO</t>
  </si>
  <si>
    <t>Marsonosoe7@gmail.com</t>
  </si>
  <si>
    <t>7151</t>
  </si>
  <si>
    <t>Starting at Thu Aug 29 2024 22:04:28 GMT-0400 (EDT)</t>
  </si>
  <si>
    <t>1S5Mx92AdipTlY3RcX06oSXLhyvHBAwOt</t>
  </si>
  <si>
    <t>https://drive.google.com/file/d/1S5Mx92AdipTlY3RcX06oSXLhyvHBAwOt/view?usp=drivesdk</t>
  </si>
  <si>
    <t>Document successfully created; Document successfully merged; PDF created; !!Error Sending Emails: Service invoked too many times for one day: email.; Manually run by ecertificate75@gmail.com; Timestamp: Sep 4 2024 1:53 AM</t>
  </si>
  <si>
    <t>KRISMA SATITI MURTIE</t>
  </si>
  <si>
    <t>krismasatiti72@gmail.com</t>
  </si>
  <si>
    <t>7152</t>
  </si>
  <si>
    <t>Starting at Thu Aug 29 2024 22:04:31 GMT-0400 (EDT)</t>
  </si>
  <si>
    <t>1HrPgcG3dnkXspojFqUwLeTjyPfBdGIem</t>
  </si>
  <si>
    <t>https://drive.google.com/file/d/1HrPgcG3dnkXspojFqUwLeTjyPfBdGIem/view?usp=drivesdk</t>
  </si>
  <si>
    <t>NAPSIYAH</t>
  </si>
  <si>
    <t>napsiyaah@gmail.com</t>
  </si>
  <si>
    <t>7153</t>
  </si>
  <si>
    <t>Starting at Thu Aug 29 2024 22:04:34 GMT-0400 (EDT)</t>
  </si>
  <si>
    <t>1X-Ni_vHi4xq4TQ7MhMXF1yvJXdorq07j</t>
  </si>
  <si>
    <t>https://drive.google.com/file/d/1X-Ni_vHi4xq4TQ7MhMXF1yvJXdorq07j/view?usp=drivesdk</t>
  </si>
  <si>
    <t>Document successfully created; Document successfully merged; PDF created; !!Error Sending Emails: Service invoked too many times for one day: email.; Manually run by ecertificate75@gmail.com; Timestamp: Sep 4 2024 1:54 AM</t>
  </si>
  <si>
    <t>ASBAR, S.Ag</t>
  </si>
  <si>
    <t>asbar210@gmail.com</t>
  </si>
  <si>
    <t>7154</t>
  </si>
  <si>
    <t>Starting at Thu Aug 29 2024 22:04:36 GMT-0400 (EDT)</t>
  </si>
  <si>
    <t>1fXTKxcUEuq_9fhXZSWWD9Sd98usgvRbY</t>
  </si>
  <si>
    <t>https://drive.google.com/file/d/1fXTKxcUEuq_9fhXZSWWD9Sd98usgvRbY/view?usp=drivesdk</t>
  </si>
  <si>
    <t>IDA SUKAESIH</t>
  </si>
  <si>
    <t>idaesih@gmail.com</t>
  </si>
  <si>
    <t>7155</t>
  </si>
  <si>
    <t>Starting at Thu Aug 29 2024 22:04:39 GMT-0400 (EDT)</t>
  </si>
  <si>
    <t>19EW5H3mH2vxY_93Gmgtz9Ass0vhejjZ6</t>
  </si>
  <si>
    <t>https://drive.google.com/file/d/19EW5H3mH2vxY_93Gmgtz9Ass0vhejjZ6/view?usp=drivesdk</t>
  </si>
  <si>
    <t>TRI SUSWIYATI, S.E.</t>
  </si>
  <si>
    <t>tsuswiyati@gmail.com</t>
  </si>
  <si>
    <t>7156</t>
  </si>
  <si>
    <t>1E0uql0LbCDweE7fXjH6vtoorTX7cqSNr</t>
  </si>
  <si>
    <t>https://drive.google.com/file/d/1E0uql0LbCDweE7fXjH6vtoorTX7cqSNr/view?usp=drivesdk</t>
  </si>
  <si>
    <t>Document successfully created; Document successfully merged; PDF created; !!Error Sending Emails: Service invoked too many times for one day: email.; Manually run by ecertificate75@gmail.com; Timestamp: Sep 4 2024 1:55 AM</t>
  </si>
  <si>
    <t>IRVAN ARIF, S.E.</t>
  </si>
  <si>
    <t>wekuwekb2k@gmail.com</t>
  </si>
  <si>
    <t>7157</t>
  </si>
  <si>
    <t>Starting at Thu Aug 29 2024 22:04:42 GMT-0400 (EDT)</t>
  </si>
  <si>
    <t>14wynl0ary_-JGb2_9iAuRCFo3R_-MY9Q</t>
  </si>
  <si>
    <t>https://drive.google.com/file/d/14wynl0ary_-JGb2_9iAuRCFo3R_-MY9Q/view?usp=drivesdk</t>
  </si>
  <si>
    <t>DIAN SUPRIHARTINI</t>
  </si>
  <si>
    <t>diansuprihartini11@gmail.com</t>
  </si>
  <si>
    <t>7158</t>
  </si>
  <si>
    <t>Starting at Thu Aug 29 2024 22:04:44 GMT-0400 (EDT)</t>
  </si>
  <si>
    <t>14k2rlWCP9ly1ArBcrl8-jbEr6ywThdPx</t>
  </si>
  <si>
    <t>https://drive.google.com/file/d/14k2rlWCP9ly1ArBcrl8-jbEr6ywThdPx/view?usp=drivesdk</t>
  </si>
  <si>
    <t>AGES KUSUMA WARDANA</t>
  </si>
  <si>
    <t>ageskusumawardana2@gmail.com</t>
  </si>
  <si>
    <t>7159</t>
  </si>
  <si>
    <t>1rWDFemQ_HQLXlGjjyEr4nuzFeNyhA-60</t>
  </si>
  <si>
    <t>https://drive.google.com/file/d/1rWDFemQ_HQLXlGjjyEr4nuzFeNyhA-60/view?usp=drivesdk</t>
  </si>
  <si>
    <t>LAMSUDI</t>
  </si>
  <si>
    <t>loglamsudi@gmail.com</t>
  </si>
  <si>
    <t>7160</t>
  </si>
  <si>
    <t>Starting at Thu Aug 29 2024 22:04:48 GMT-0400 (EDT)</t>
  </si>
  <si>
    <t>1ZK2GwTBloifnFddl8NVYFs-D7nd8ve70</t>
  </si>
  <si>
    <t>https://drive.google.com/file/d/1ZK2GwTBloifnFddl8NVYFs-D7nd8ve70/view?usp=drivesdk</t>
  </si>
  <si>
    <t>CHRISTIONO, A.Md.</t>
  </si>
  <si>
    <t>chris.ken.ck78@gmail.com</t>
  </si>
  <si>
    <t>7161</t>
  </si>
  <si>
    <t>1bda2xgy2OIsdV6t2dQbmNVkufBWgJNjk</t>
  </si>
  <si>
    <t>https://drive.google.com/file/d/1bda2xgy2OIsdV6t2dQbmNVkufBWgJNjk/view?usp=drivesdk</t>
  </si>
  <si>
    <t>Document successfully created; Document successfully merged; PDF created; !!Error Sending Emails: Service invoked too many times for one day: email.; Manually run by ecertificate75@gmail.com; Timestamp: Sep 4 2024 1:56 AM</t>
  </si>
  <si>
    <t>YANTI PUSPITANINGSIH</t>
  </si>
  <si>
    <t>yantipuspitaningsih1@gmail.com</t>
  </si>
  <si>
    <t>7162</t>
  </si>
  <si>
    <t>19eXUcRz7UG2F6Bohql_bqhcZ9asTEPYl</t>
  </si>
  <si>
    <t>https://drive.google.com/file/d/19eXUcRz7UG2F6Bohql_bqhcZ9asTEPYl/view?usp=drivesdk</t>
  </si>
  <si>
    <t>Document successfully created; Document successfully merged; PDF created; Emails Sent: [To: yantipuspitaningsih1@gmail.com]; Manually run by ecertificate75@gmail.com; Timestamp: Sep 4 2024 1:56 AM</t>
  </si>
  <si>
    <t>IRNAWATI, S.E.</t>
  </si>
  <si>
    <t>irnawatise8@gmail.com</t>
  </si>
  <si>
    <t>7163</t>
  </si>
  <si>
    <t>1Xvb7ElxoELYPHHN2Q30vU92xN1tQLa4A</t>
  </si>
  <si>
    <t>https://drive.google.com/file/d/1Xvb7ElxoELYPHHN2Q30vU92xN1tQLa4A/view?usp=drivesdk</t>
  </si>
  <si>
    <t>Document successfully created; Document successfully merged; PDF created; Emails Sent: [To: irnawatise8@gmail.com]; Manually run by ecertificate75@gmail.com; Timestamp: Sep 4 2024 1:56 AM</t>
  </si>
  <si>
    <t>MARLINA LUMBANTOBING, S.H.</t>
  </si>
  <si>
    <t>rosintapurba08@gmail.com</t>
  </si>
  <si>
    <t>7164</t>
  </si>
  <si>
    <t>1zCeAjnosn3tT-ZqdfI-AgfKsyddG5Mr-</t>
  </si>
  <si>
    <t>https://drive.google.com/file/d/1zCeAjnosn3tT-ZqdfI-AgfKsyddG5Mr-/view?usp=drivesdk</t>
  </si>
  <si>
    <t>Document successfully created; Document successfully merged; PDF created; Emails Sent: [To: rosintapurba08@gmail.com]; Manually run by ecertificate75@gmail.com; Timestamp: Sep 4 2024 1:56 AM</t>
  </si>
  <si>
    <t>MAR ATUS DWI SHOLIKHAH SOKOWATI, AMd.Kep</t>
  </si>
  <si>
    <t>sholikasokowati@gmail.com</t>
  </si>
  <si>
    <t>7165</t>
  </si>
  <si>
    <t>1O0pvB2pvSoz5z4QpeyMJstkfsEU7_7ce</t>
  </si>
  <si>
    <t>https://drive.google.com/file/d/1O0pvB2pvSoz5z4QpeyMJstkfsEU7_7ce/view?usp=drivesdk</t>
  </si>
  <si>
    <t>Document successfully created; Document successfully merged; PDF created; Emails Sent: [To: sholikasokowati@gmail.com]; Manually run by ecertificate75@gmail.com; Timestamp: Sep 4 2024 1:57 AM</t>
  </si>
  <si>
    <t>TARYOKO, S.Kom, M.Kom</t>
  </si>
  <si>
    <t>taryoko6@gmail.com</t>
  </si>
  <si>
    <t>7166</t>
  </si>
  <si>
    <t>1yEz4_kewvHJ3_ofBJ5dcoFkhB7vIUGOP</t>
  </si>
  <si>
    <t>https://drive.google.com/file/d/1yEz4_kewvHJ3_ofBJ5dcoFkhB7vIUGOP/view?usp=drivesdk</t>
  </si>
  <si>
    <t>Document successfully created; Document successfully merged; PDF created; Emails Sent: [To: taryoko6@gmail.com]; Manually run by ecertificate75@gmail.com; Timestamp: Sep 4 2024 1:57 AM</t>
  </si>
  <si>
    <t>NUNUNG ERA MARDINI</t>
  </si>
  <si>
    <t>nafisacheverly@gmail.com</t>
  </si>
  <si>
    <t>7167</t>
  </si>
  <si>
    <t>18cXxTm1U73gevOTIfaXIYLEH_-GTzYtv</t>
  </si>
  <si>
    <t>https://drive.google.com/file/d/18cXxTm1U73gevOTIfaXIYLEH_-GTzYtv/view?usp=drivesdk</t>
  </si>
  <si>
    <t>Document successfully created; Document successfully merged; PDF created; Emails Sent: [To: nafisacheverly@gmail.com]; Manually run by ecertificate75@gmail.com; Timestamp: Sep 4 2024 1:57 AM</t>
  </si>
  <si>
    <t>ASWIN ASWIN</t>
  </si>
  <si>
    <t>sakhavenas@gmail.com</t>
  </si>
  <si>
    <t>7168</t>
  </si>
  <si>
    <t>Starting at Thu Aug 29 2024 22:04:54 GMT-0400 (EDT)</t>
  </si>
  <si>
    <t>1m0ybLsn_p29XkGb607BMCVtwEe-rrkkC</t>
  </si>
  <si>
    <t>https://drive.google.com/file/d/1m0ybLsn_p29XkGb607BMCVtwEe-rrkkC/view?usp=drivesdk</t>
  </si>
  <si>
    <t>Document successfully created; Document successfully merged; PDF created; Emails Sent: [To: sakhavenas@gmail.com]; Manually run by ecertificate75@gmail.com; Timestamp: Sep 4 2024 1:57 AM</t>
  </si>
  <si>
    <t>RONY SUSANTO</t>
  </si>
  <si>
    <t>ronysusanto178@gmail.com</t>
  </si>
  <si>
    <t>7169</t>
  </si>
  <si>
    <t>1N4VaYpgm5JIAUicEoHHvGFRvnt_I-bQo</t>
  </si>
  <si>
    <t>https://drive.google.com/file/d/1N4VaYpgm5JIAUicEoHHvGFRvnt_I-bQo/view?usp=drivesdk</t>
  </si>
  <si>
    <t>Document successfully created; Document successfully merged; PDF created; Emails Sent: [To: ronysusanto178@gmail.com]; Manually run by ecertificate75@gmail.com; Timestamp: Sep 4 2024 1:57 AM</t>
  </si>
  <si>
    <t>INA KARLINA</t>
  </si>
  <si>
    <t>inakarlina114@gmail.com</t>
  </si>
  <si>
    <t>7170</t>
  </si>
  <si>
    <t>1rclE0S6Nh8wT4KQvzkXOJ0H6gK6Lgwg0</t>
  </si>
  <si>
    <t>https://drive.google.com/file/d/1rclE0S6Nh8wT4KQvzkXOJ0H6gK6Lgwg0/view?usp=drivesdk</t>
  </si>
  <si>
    <t>Document successfully created; Document successfully merged; PDF created; Emails Sent: [To: inakarlina114@gmail.com]; Manually run by ecertificate75@gmail.com; Timestamp: Sep 4 2024 1:58 AM</t>
  </si>
  <si>
    <t>TSALISAH DAMAYANTI</t>
  </si>
  <si>
    <t>tsalisahdamayanti123@gmail.com</t>
  </si>
  <si>
    <t>7171</t>
  </si>
  <si>
    <t>1xTdb05eTZS77ZBRl_vQu7iQG_2kyixcW</t>
  </si>
  <si>
    <t>https://drive.google.com/file/d/1xTdb05eTZS77ZBRl_vQu7iQG_2kyixcW/view?usp=drivesdk</t>
  </si>
  <si>
    <t>Document successfully created; Document successfully merged; PDF created; Emails Sent: [To: tsalisahdamayanti123@gmail.com]; Manually run by ecertificate75@gmail.com; Timestamp: Sep 4 2024 1:58 AM</t>
  </si>
  <si>
    <t>ABDILAH IKHMAR</t>
  </si>
  <si>
    <t>dilahdodi@gmail.com</t>
  </si>
  <si>
    <t>7172</t>
  </si>
  <si>
    <t>1H0w61x4E-BHTGaI6hJDP9-ahU8e-jrGk</t>
  </si>
  <si>
    <t>https://drive.google.com/file/d/1H0w61x4E-BHTGaI6hJDP9-ahU8e-jrGk/view?usp=drivesdk</t>
  </si>
  <si>
    <t>Document successfully created; Document successfully merged; PDF created; Emails Sent: [To: dilahdodi@gmail.com]; Manually run by ecertificate75@gmail.com; Timestamp: Sep 4 2024 1:58 AM</t>
  </si>
  <si>
    <t>TILARSIH.S.E.</t>
  </si>
  <si>
    <t>asiciput45@gmail.com</t>
  </si>
  <si>
    <t>7173</t>
  </si>
  <si>
    <t>1B9iywFQj6v8KUtZNhjQN5xPTEHPZGmMa</t>
  </si>
  <si>
    <t>https://drive.google.com/file/d/1B9iywFQj6v8KUtZNhjQN5xPTEHPZGmMa/view?usp=drivesdk</t>
  </si>
  <si>
    <t>Document successfully created; Document successfully merged; PDF created; Emails Sent: [To: asiciput45@gmail.com]; Manually run by ecertificate75@gmail.com; Timestamp: Sep 4 2024 1:59 AM</t>
  </si>
  <si>
    <t>FRANKY SIHOTANG</t>
  </si>
  <si>
    <t>frankysihotang.fs@gmail.com</t>
  </si>
  <si>
    <t>7174</t>
  </si>
  <si>
    <t>Starting at Thu Aug 29 2024 22:04:59 GMT-0400 (EDT)</t>
  </si>
  <si>
    <t>1OL2Bxa1xFIUfFENVnyPTYSs-DUC-jOZx</t>
  </si>
  <si>
    <t>https://drive.google.com/file/d/1OL2Bxa1xFIUfFENVnyPTYSs-DUC-jOZx/view?usp=drivesdk</t>
  </si>
  <si>
    <t>Document successfully created; Document successfully merged; PDF created; Emails Sent: [To: frankysihotang.fs@gmail.com]; Manually run by ecertificate75@gmail.com; Timestamp: Sep 4 2024 1:59 AM</t>
  </si>
  <si>
    <t>BAYU SETIAWAN</t>
  </si>
  <si>
    <t>bayupolresblitar@gmail.com</t>
  </si>
  <si>
    <t>7175</t>
  </si>
  <si>
    <t>1nUEoz-7gzNYjT-1PcdpxqUktBvc51ERU</t>
  </si>
  <si>
    <t>https://drive.google.com/file/d/1nUEoz-7gzNYjT-1PcdpxqUktBvc51ERU/view?usp=drivesdk</t>
  </si>
  <si>
    <t>Document successfully created; Document successfully merged; PDF created; Emails Sent: [To: bayupolresblitar@gmail.com]; Manually run by ecertificate75@gmail.com; Timestamp: Sep 4 2024 1:59 AM</t>
  </si>
  <si>
    <t>SUTIANA, SH</t>
  </si>
  <si>
    <t>sutiana.sh07@gmail.com</t>
  </si>
  <si>
    <t>7176</t>
  </si>
  <si>
    <t>1LU0x19dtJVJQX_m8MbuXnLZccp6lf3QQ</t>
  </si>
  <si>
    <t>https://drive.google.com/file/d/1LU0x19dtJVJQX_m8MbuXnLZccp6lf3QQ/view?usp=drivesdk</t>
  </si>
  <si>
    <t>Document successfully created; Document successfully merged; PDF created; Emails Sent: [To: sutiana.sh07@gmail.com]; Manually run by ecertificate75@gmail.com; Timestamp: Sep 4 2024 1:59 AM</t>
  </si>
  <si>
    <t>subbagprogar@gmail.com</t>
  </si>
  <si>
    <t>7177</t>
  </si>
  <si>
    <t>1bU_ukK2MjSRH1Hpj5fX34Z7IOgS1hDNN</t>
  </si>
  <si>
    <t>https://drive.google.com/file/d/1bU_ukK2MjSRH1Hpj5fX34Z7IOgS1hDNN/view?usp=drivesdk</t>
  </si>
  <si>
    <t>Document successfully created; Document successfully merged; PDF created; Emails Sent: [To: subbagprogar@gmail.com]; Manually run by ecertificate75@gmail.com; Timestamp: Sep 4 2024 2:00 AM</t>
  </si>
  <si>
    <t>ACHMAD LUGIANTO</t>
  </si>
  <si>
    <t>Achmadlugianto644@gmail.com</t>
  </si>
  <si>
    <t>7178</t>
  </si>
  <si>
    <t>1b7HuCqJCpuV6Sv9_oOHGYuUNcEXisazN</t>
  </si>
  <si>
    <t>https://drive.google.com/file/d/1b7HuCqJCpuV6Sv9_oOHGYuUNcEXisazN/view?usp=drivesdk</t>
  </si>
  <si>
    <t>Document successfully created; Document successfully merged; PDF created; Emails Sent: [To: Achmadlugianto644@gmail.com]; Manually run by ecertificate75@gmail.com; Timestamp: Sep 4 2024 2:00 AM</t>
  </si>
  <si>
    <t xml:space="preserve">SITI KHUSNUL KHOTIMAH </t>
  </si>
  <si>
    <t>ummunadzif4@gmail.com</t>
  </si>
  <si>
    <t>7179</t>
  </si>
  <si>
    <t>Starting at Thu Aug 29 2024 22:05:00 GMT-0400 (EDT)</t>
  </si>
  <si>
    <t>1PHgW7yD32mH1QmClxGXXdv4c5w0MaoWJ</t>
  </si>
  <si>
    <t>https://drive.google.com/file/d/1PHgW7yD32mH1QmClxGXXdv4c5w0MaoWJ/view?usp=drivesdk</t>
  </si>
  <si>
    <t>Document successfully created; Document successfully merged; PDF created; Emails Sent: [To: ummunadzif4@gmail.com]; Manually run by ecertificate75@gmail.com; Timestamp: Sep 4 2024 2:00 AM</t>
  </si>
  <si>
    <t>WAHYUNI ANJANGSARI</t>
  </si>
  <si>
    <t>Anjangsariwahyuni@gmail.com</t>
  </si>
  <si>
    <t>7180</t>
  </si>
  <si>
    <t>Starting at Thu Aug 29 2024 22:05:01 GMT-0400 (EDT)</t>
  </si>
  <si>
    <t>1aLZmX0YcRvqs5GN0CsCYDsM_VjBzeevJ</t>
  </si>
  <si>
    <t>https://drive.google.com/file/d/1aLZmX0YcRvqs5GN0CsCYDsM_VjBzeevJ/view?usp=drivesdk</t>
  </si>
  <si>
    <t>Document successfully created; Document successfully merged; PDF created; Emails Sent: [To: Anjangsariwahyuni@gmail.com]; Manually run by ecertificate75@gmail.com; Timestamp: Sep 4 2024 2:00 AM</t>
  </si>
  <si>
    <t>GUSMERIANTI</t>
  </si>
  <si>
    <t>tpermana371@gmail.com</t>
  </si>
  <si>
    <t>7181</t>
  </si>
  <si>
    <t>1Zx-o-ncjYghdAAioI1vX7pj57aKusuyR</t>
  </si>
  <si>
    <t>https://drive.google.com/file/d/1Zx-o-ncjYghdAAioI1vX7pj57aKusuyR/view?usp=drivesdk</t>
  </si>
  <si>
    <t>Document successfully created; Document successfully merged; PDF created; Emails Sent: [To: tpermana371@gmail.com]; Manually run by ecertificate75@gmail.com; Timestamp: Sep 4 2024 2:01 AM</t>
  </si>
  <si>
    <t xml:space="preserve">ESTER SAMPE </t>
  </si>
  <si>
    <t>estessampe@gmail.com</t>
  </si>
  <si>
    <t>7182</t>
  </si>
  <si>
    <t>Starting at Thu Aug 29 2024 22:05:04 GMT-0400 (EDT)</t>
  </si>
  <si>
    <t>1-Sf6EQb2CVXT_VSev7GQVpvVBNboj4TZ</t>
  </si>
  <si>
    <t>https://drive.google.com/file/d/1-Sf6EQb2CVXT_VSev7GQVpvVBNboj4TZ/view?usp=drivesdk</t>
  </si>
  <si>
    <t>Document successfully created; Document successfully merged; PDF created; Emails Sent: [To: estessampe@gmail.com]; Manually run by ecertificate75@gmail.com; Timestamp: Sep 4 2024 2:01 AM</t>
  </si>
  <si>
    <t>POPON, SE</t>
  </si>
  <si>
    <t>poponhasanah69@gmail.com</t>
  </si>
  <si>
    <t>7183</t>
  </si>
  <si>
    <t>1b1y-qzSsMuzty4HoHMDRnWXSYcZkPbo3</t>
  </si>
  <si>
    <t>https://drive.google.com/file/d/1b1y-qzSsMuzty4HoHMDRnWXSYcZkPbo3/view?usp=drivesdk</t>
  </si>
  <si>
    <t>Document successfully created; Document successfully merged; PDF created; Emails Sent: [To: poponhasanah69@gmail.com]; Manually run by ecertificate75@gmail.com; Timestamp: Sep 4 2024 2:01 AM</t>
  </si>
  <si>
    <t>dr. ANELIA TIARA SUCI</t>
  </si>
  <si>
    <t>aneliatiarasuci@gmail.com</t>
  </si>
  <si>
    <t>7184</t>
  </si>
  <si>
    <t>Starting at Thu Aug 29 2024 22:05:18 GMT-0400 (EDT)</t>
  </si>
  <si>
    <t>1jcn2N1ux4g3WCogeepNATv36jHsaiGva</t>
  </si>
  <si>
    <t>https://drive.google.com/file/d/1jcn2N1ux4g3WCogeepNATv36jHsaiGva/view?usp=drivesdk</t>
  </si>
  <si>
    <t>Document successfully created; Document successfully merged; PDF created; Emails Sent: [To: aneliatiarasuci@gmail.com]; Manually run by ecertificate75@gmail.com; Timestamp: Sep 4 2024 2:01 AM</t>
  </si>
  <si>
    <t>WINDA SEPTIANI EKA PUTRI, A.Md.Kep.</t>
  </si>
  <si>
    <t>windaseptiani552@gmail.com</t>
  </si>
  <si>
    <t>7185</t>
  </si>
  <si>
    <t>1d6j386REks1kvLLhYkuaTQMAH9Sj_5uM</t>
  </si>
  <si>
    <t>https://drive.google.com/file/d/1d6j386REks1kvLLhYkuaTQMAH9Sj_5uM/view?usp=drivesdk</t>
  </si>
  <si>
    <t>Document successfully created; Document successfully merged; PDF created; Emails Sent: [To: windaseptiani552@gmail.com]; Manually run by ecertificate75@gmail.com; Timestamp: Sep 4 2024 2:01 AM</t>
  </si>
  <si>
    <t>SELFIA HARYANI</t>
  </si>
  <si>
    <t>selfiaharyani24479@gmail.com</t>
  </si>
  <si>
    <t>7186</t>
  </si>
  <si>
    <t>1yegfKu5Vtk_fxl88kLJqaZXk9mXFkZ8Q</t>
  </si>
  <si>
    <t>https://drive.google.com/file/d/1yegfKu5Vtk_fxl88kLJqaZXk9mXFkZ8Q/view?usp=drivesdk</t>
  </si>
  <si>
    <t>Document successfully created; Document successfully merged; PDF created; Emails Sent: [To: selfiaharyani24479@gmail.com]; Manually run by ecertificate75@gmail.com; Timestamp: Sep 4 2024 2:02 AM</t>
  </si>
  <si>
    <t>Eko Nur Cahyani</t>
  </si>
  <si>
    <t>nurcahyani1983@gmail.com</t>
  </si>
  <si>
    <t>7187</t>
  </si>
  <si>
    <t>1rnUaw1Uj66W3TdCwRjSOpXoY7Yv7nc5j</t>
  </si>
  <si>
    <t>https://drive.google.com/file/d/1rnUaw1Uj66W3TdCwRjSOpXoY7Yv7nc5j/view?usp=drivesdk</t>
  </si>
  <si>
    <t>Document successfully created; Document successfully merged; PDF created; Emails Sent: [To: nurcahyani1983@gmail.com]; Manually run by ecertificate75@gmail.com; Timestamp: Sep 4 2024 2:02 AM</t>
  </si>
  <si>
    <t>MARULAK MP TAMBA, S.E.</t>
  </si>
  <si>
    <t>pardotamba08@gmail.com</t>
  </si>
  <si>
    <t>7188</t>
  </si>
  <si>
    <t>1qxbVV6dI0ORoyGVEm0PSrKkIkRloFEP7</t>
  </si>
  <si>
    <t>https://drive.google.com/file/d/1qxbVV6dI0ORoyGVEm0PSrKkIkRloFEP7/view?usp=drivesdk</t>
  </si>
  <si>
    <t>Document successfully created; Document successfully merged; PDF created; Emails Sent: [To: pardotamba08@gmail.com]; Manually run by ecertificate75@gmail.com; Timestamp: Sep 4 2024 2:02 AM</t>
  </si>
  <si>
    <t>NOVIANA SHINTA DEWI, S.Kep.,Ns</t>
  </si>
  <si>
    <t>novianashintadewi@gmail.com</t>
  </si>
  <si>
    <t>7189</t>
  </si>
  <si>
    <t>Starting at Thu Aug 29 2024 22:05:21 GMT-0400 (EDT)</t>
  </si>
  <si>
    <t>1Bcx34Pqqtnhdg3dbjqoixAT1g3Zt4O-V</t>
  </si>
  <si>
    <t>https://drive.google.com/file/d/1Bcx34Pqqtnhdg3dbjqoixAT1g3Zt4O-V/view?usp=drivesdk</t>
  </si>
  <si>
    <t>Document successfully created; Document successfully merged; PDF created; Emails Sent: [To: novianashintadewi@gmail.com]; Manually run by ecertificate75@gmail.com; Timestamp: Sep 4 2024 2:03 AM</t>
  </si>
  <si>
    <t>SISWANDI</t>
  </si>
  <si>
    <t>sisandi1978@gmail.com</t>
  </si>
  <si>
    <t>7190</t>
  </si>
  <si>
    <t>Starting at Thu Aug 29 2024 22:05:27 GMT-0400 (EDT)</t>
  </si>
  <si>
    <t>1unZSBcPvm0Z7P8eZ5gL___5Gxt5esqOa</t>
  </si>
  <si>
    <t>https://drive.google.com/file/d/1unZSBcPvm0Z7P8eZ5gL___5Gxt5esqOa/view?usp=drivesdk</t>
  </si>
  <si>
    <t>Document successfully created; Document successfully merged; PDF created; Emails Sent: [To: sisandi1978@gmail.com]; Manually run by ecertificate75@gmail.com; Timestamp: Sep 4 2024 2:03 AM</t>
  </si>
  <si>
    <t>YUWONO</t>
  </si>
  <si>
    <t>yuwono.mbono@gmail.com</t>
  </si>
  <si>
    <t>7191</t>
  </si>
  <si>
    <t>1F9PHzEgMB_ybnmA5WGm9VcQqs3f7VnkX</t>
  </si>
  <si>
    <t>https://drive.google.com/file/d/1F9PHzEgMB_ybnmA5WGm9VcQqs3f7VnkX/view?usp=drivesdk</t>
  </si>
  <si>
    <t>Document successfully created; Document successfully merged; PDF created; Emails Sent: [To: yuwono.mbono@gmail.com]; Manually run by ecertificate75@gmail.com; Timestamp: Sep 4 2024 2:03 AM</t>
  </si>
  <si>
    <t>HALIMATUS SAADIAH</t>
  </si>
  <si>
    <t>gustidaulay02@gmail.com</t>
  </si>
  <si>
    <t>7192</t>
  </si>
  <si>
    <t>1d0E5YzfLrCnKjbzbGNhZJ2McnrJFrDPX</t>
  </si>
  <si>
    <t>https://drive.google.com/file/d/1d0E5YzfLrCnKjbzbGNhZJ2McnrJFrDPX/view?usp=drivesdk</t>
  </si>
  <si>
    <t>Document successfully created; Document successfully merged; PDF created; Emails Sent: [To: gustidaulay02@gmail.com]; Manually run by ecertificate75@gmail.com; Timestamp: Sep 4 2024 2:04 AM</t>
  </si>
  <si>
    <t>ASTRI FUJIATI, S.H., M.H.</t>
  </si>
  <si>
    <t>astrifujiati@gmail.com</t>
  </si>
  <si>
    <t>7193</t>
  </si>
  <si>
    <t>1xBVJxyNkdkzUfmf5JneKY6JvIW5X5NS1</t>
  </si>
  <si>
    <t>https://drive.google.com/file/d/1xBVJxyNkdkzUfmf5JneKY6JvIW5X5NS1/view?usp=drivesdk</t>
  </si>
  <si>
    <t>Document successfully created; Document successfully merged; PDF created; Emails Sent: [To: astrifujiati@gmail.com]; Manually run by ecertificate75@gmail.com; Timestamp: Sep 4 2024 2:04 AM</t>
  </si>
  <si>
    <t>AGUS HERU SUGIANTO,S.H.</t>
  </si>
  <si>
    <t>agusheru0708@gmail.com</t>
  </si>
  <si>
    <t>7194</t>
  </si>
  <si>
    <t>17W0x1GCth9ospFCqdCcL66C0e7TvDtn2</t>
  </si>
  <si>
    <t>https://drive.google.com/file/d/17W0x1GCth9ospFCqdCcL66C0e7TvDtn2/view?usp=drivesdk</t>
  </si>
  <si>
    <t>Document successfully created; Document successfully merged; PDF created; Emails Sent: [To: agusheru0708@gmail.com]; Manually run by ecertificate75@gmail.com; Timestamp: Sep 4 2024 2:04 AM</t>
  </si>
  <si>
    <t>JUMINGGIR</t>
  </si>
  <si>
    <t>juminggir.1@gmail.com</t>
  </si>
  <si>
    <t>7195</t>
  </si>
  <si>
    <t>1KZreJesJU6lOxAl1XHNSaRCdO48575rT</t>
  </si>
  <si>
    <t>https://drive.google.com/file/d/1KZreJesJU6lOxAl1XHNSaRCdO48575rT/view?usp=drivesdk</t>
  </si>
  <si>
    <t>Document successfully created; Document successfully merged; PDF created; Emails Sent: [To: juminggir.1@gmail.com]; Manually run by ecertificate75@gmail.com; Timestamp: Sep 4 2024 2:04 AM</t>
  </si>
  <si>
    <t>dr.EKA MAYLINDA NASUTION</t>
  </si>
  <si>
    <t>ekamaylinda80@gmail.com</t>
  </si>
  <si>
    <t>7196</t>
  </si>
  <si>
    <t>1qw2Fg6rRTMxJXHrlos0MeNpyZhK9mCZz</t>
  </si>
  <si>
    <t>https://drive.google.com/file/d/1qw2Fg6rRTMxJXHrlos0MeNpyZhK9mCZz/view?usp=drivesdk</t>
  </si>
  <si>
    <t>Document successfully created; Document successfully merged; PDF created; Emails Sent: [To: ekamaylinda80@gmail.com]; Manually run by ecertificate75@gmail.com; Timestamp: Sep 4 2024 2:05 AM</t>
  </si>
  <si>
    <t>RUTH VELYSYA, S.H.</t>
  </si>
  <si>
    <t>ruthvely.siregar@gmail.com</t>
  </si>
  <si>
    <t>7197</t>
  </si>
  <si>
    <t>Starting at Thu Aug 29 2024 22:05:34 GMT-0400 (EDT)</t>
  </si>
  <si>
    <t>1EDeNj3MNkcy3AZwaqnkA6zCB78pc6qmR</t>
  </si>
  <si>
    <t>https://drive.google.com/file/d/1EDeNj3MNkcy3AZwaqnkA6zCB78pc6qmR/view?usp=drivesdk</t>
  </si>
  <si>
    <t>Document successfully created; Document successfully merged; PDF created; Emails Sent: [To: ruthvely.siregar@gmail.com]; Manually run by ecertificate75@gmail.com; Timestamp: Sep 4 2024 2:05 AM</t>
  </si>
  <si>
    <t xml:space="preserve">NI WAYAN RATNI </t>
  </si>
  <si>
    <t>niwayanratni090269@gmail.com</t>
  </si>
  <si>
    <t>7198</t>
  </si>
  <si>
    <t>1uQ19d0Y5LjZ_MBZn-KsQdWcjeUJBMdBD</t>
  </si>
  <si>
    <t>https://drive.google.com/file/d/1uQ19d0Y5LjZ_MBZn-KsQdWcjeUJBMdBD/view?usp=drivesdk</t>
  </si>
  <si>
    <t>Document successfully created; Document successfully merged; PDF created; Emails Sent: [To: niwayanratni090269@gmail.com]; Manually run by ecertificate75@gmail.com; Timestamp: Sep 4 2024 2:05 AM</t>
  </si>
  <si>
    <t>RISTO TINES,S.Kom</t>
  </si>
  <si>
    <t>ristotines@gmail.com</t>
  </si>
  <si>
    <t>7199</t>
  </si>
  <si>
    <t>1HyfPGfRi8-c3YJsbQs9bfSdx3wP3tvV9</t>
  </si>
  <si>
    <t>https://drive.google.com/file/d/1HyfPGfRi8-c3YJsbQs9bfSdx3wP3tvV9/view?usp=drivesdk</t>
  </si>
  <si>
    <t>Document successfully created; Document successfully merged; PDF created; Emails Sent: [To: ristotines@gmail.com]; Manually run by ecertificate75@gmail.com; Timestamp: Sep 4 2024 2:05 AM</t>
  </si>
  <si>
    <t>EEN ROCHAENI</t>
  </si>
  <si>
    <t>rochaeni1970@gmail.com</t>
  </si>
  <si>
    <t>7200</t>
  </si>
  <si>
    <t>15eHoGUWEzImn8JWjM4jQ8_TWIN782Rbn</t>
  </si>
  <si>
    <t>https://drive.google.com/file/d/15eHoGUWEzImn8JWjM4jQ8_TWIN782Rbn/view?usp=drivesdk</t>
  </si>
  <si>
    <t>Document successfully created; Document successfully merged; PDF created; Emails Sent: [To: rochaeni1970@gmail.com]; Manually run by ecertificate75@gmail.com; Timestamp: Sep 4 2024 2:05 AM</t>
  </si>
  <si>
    <t>dewiwahyuni090677@gmail.com</t>
  </si>
  <si>
    <t>7201</t>
  </si>
  <si>
    <t>1DWpF4CRWAhJffAhs-4kZChSsw26Kdaaz</t>
  </si>
  <si>
    <t>https://drive.google.com/file/d/1DWpF4CRWAhJffAhs-4kZChSsw26Kdaaz/view?usp=drivesdk</t>
  </si>
  <si>
    <t>Document successfully created; Document successfully merged; PDF created; Emails Sent: [To: dewiwahyuni090677@gmail.com]; Manually run by ecertificate75@gmail.com; Timestamp: Sep 4 2024 2:06 AM</t>
  </si>
  <si>
    <t>HARI WIDODO</t>
  </si>
  <si>
    <t>hariwdd1969@gmail.com</t>
  </si>
  <si>
    <t>7202</t>
  </si>
  <si>
    <t>1RrXwhB1CyEkkwyJ76X5pgmD01TGXZzAT</t>
  </si>
  <si>
    <t>https://drive.google.com/file/d/1RrXwhB1CyEkkwyJ76X5pgmD01TGXZzAT/view?usp=drivesdk</t>
  </si>
  <si>
    <t>Document successfully created; Document successfully merged; PDF created; Emails Sent: [To: hariwdd1969@gmail.com]; Manually run by ecertificate75@gmail.com; Timestamp: Sep 4 2024 2:06 AM</t>
  </si>
  <si>
    <t>ARIES ARIFIN W</t>
  </si>
  <si>
    <t>jagadkamulya@gmail.com</t>
  </si>
  <si>
    <t>7203</t>
  </si>
  <si>
    <t>17rjum_g7uoxxeMSD1WK7MEO8ewGDRUTL</t>
  </si>
  <si>
    <t>https://drive.google.com/file/d/17rjum_g7uoxxeMSD1WK7MEO8ewGDRUTL/view?usp=drivesdk</t>
  </si>
  <si>
    <t>Document successfully created; Document successfully merged; PDF created; Emails Sent: [To: jagadkamulya@gmail.com]; Manually run by ecertificate75@gmail.com; Timestamp: Sep 4 2024 2:06 AM</t>
  </si>
  <si>
    <t>dr. DESSY RAHMADANI</t>
  </si>
  <si>
    <t>dessyrahmadani90@gmail.com</t>
  </si>
  <si>
    <t>7204</t>
  </si>
  <si>
    <t>Starting at Thu Aug 29 2024 22:05:37 GMT-0400 (EDT)</t>
  </si>
  <si>
    <t>1M_V6EWc4fz0qaJC8wxXsphNrpCONcA2W</t>
  </si>
  <si>
    <t>https://drive.google.com/file/d/1M_V6EWc4fz0qaJC8wxXsphNrpCONcA2W/view?usp=drivesdk</t>
  </si>
  <si>
    <t>Document successfully created; Document successfully merged; PDF created; Emails Sent: [To: dessyrahmadani90@gmail.com]; Manually run by ecertificate75@gmail.com; Timestamp: Sep 4 2024 2:06 AM</t>
  </si>
  <si>
    <t>ENI YULISWATI</t>
  </si>
  <si>
    <t>eniyulis6@gmail.com</t>
  </si>
  <si>
    <t>7205</t>
  </si>
  <si>
    <t>1vKvXXMC-4RmsXcxYxOKFxHz9YFOhl1Du</t>
  </si>
  <si>
    <t>https://drive.google.com/file/d/1vKvXXMC-4RmsXcxYxOKFxHz9YFOhl1Du/view?usp=drivesdk</t>
  </si>
  <si>
    <t>Document successfully created; Document successfully merged; PDF created; Emails Sent: [To: eniyulis6@gmail.com]; Manually run by ecertificate75@gmail.com; Timestamp: Sep 4 2024 2:07 AM</t>
  </si>
  <si>
    <t>JUBASONI</t>
  </si>
  <si>
    <t>jsony1090@gmail.com</t>
  </si>
  <si>
    <t>7206</t>
  </si>
  <si>
    <t>1pnZb5yVPiOR1ZmMy7Zz1fHY7SPDuAaG3</t>
  </si>
  <si>
    <t>https://drive.google.com/file/d/1pnZb5yVPiOR1ZmMy7Zz1fHY7SPDuAaG3/view?usp=drivesdk</t>
  </si>
  <si>
    <t>Document successfully created; Document successfully merged; PDF created; Emails Sent: [To: jsony1090@gmail.com]; Manually run by ecertificate75@gmail.com; Timestamp: Sep 4 2024 2:07 AM</t>
  </si>
  <si>
    <t>DIAN PRAMUDYA WARDANI.SS</t>
  </si>
  <si>
    <t>fairelwidian11@gmail.com</t>
  </si>
  <si>
    <t>7207</t>
  </si>
  <si>
    <t>Starting at Thu Aug 29 2024 22:05:45 GMT-0400 (EDT)</t>
  </si>
  <si>
    <t>1vYbk6rC0LGUH7ZmxwFmHRJnLQYZrEj8b</t>
  </si>
  <si>
    <t>https://drive.google.com/file/d/1vYbk6rC0LGUH7ZmxwFmHRJnLQYZrEj8b/view?usp=drivesdk</t>
  </si>
  <si>
    <t>Document successfully created; Document successfully merged; PDF created; Emails Sent: [To: fairelwidian11@gmail.com]; Manually run by ecertificate75@gmail.com; Timestamp: Sep 4 2024 2:07 AM</t>
  </si>
  <si>
    <t>YESI SUSANTI, SKM</t>
  </si>
  <si>
    <t>yesimarta3715@gmail.com</t>
  </si>
  <si>
    <t>7208</t>
  </si>
  <si>
    <t>Starting at Thu Aug 29 2024 22:05:47 GMT-0400 (EDT)</t>
  </si>
  <si>
    <t>1sQ26Hk-QRgT4gqZTGTIrNj2wraRX-QE5</t>
  </si>
  <si>
    <t>https://drive.google.com/file/d/1sQ26Hk-QRgT4gqZTGTIrNj2wraRX-QE5/view?usp=drivesdk</t>
  </si>
  <si>
    <t>Document successfully created; Document successfully merged; PDF created; Emails Sent: [To: yesimarta3715@gmail.com]; Manually run by ecertificate75@gmail.com; Timestamp: Sep 4 2024 2:08 AM</t>
  </si>
  <si>
    <t>RAHAYU DARWANTI</t>
  </si>
  <si>
    <t>rahayudarwanti.69@gmail.com</t>
  </si>
  <si>
    <t>7209</t>
  </si>
  <si>
    <t>Starting at Thu Aug 29 2024 22:05:50 GMT-0400 (EDT)</t>
  </si>
  <si>
    <t>1Dm6bacFvx3S9Ylve2Rmvgn2L935qcvX2</t>
  </si>
  <si>
    <t>https://drive.google.com/file/d/1Dm6bacFvx3S9Ylve2Rmvgn2L935qcvX2/view?usp=drivesdk</t>
  </si>
  <si>
    <t>Document successfully created; Document successfully merged; PDF created; Emails Sent: [To: rahayudarwanti.69@gmail.com]; Manually run by ecertificate75@gmail.com; Timestamp: Sep 4 2024 2:08 AM</t>
  </si>
  <si>
    <t xml:space="preserve">NINIK ERNAWATI </t>
  </si>
  <si>
    <t>ninikernawati69@gmail.com</t>
  </si>
  <si>
    <t>7210</t>
  </si>
  <si>
    <t>1NxTcDWcp3QANG4ZDQaPJQXAysSZ88HMX</t>
  </si>
  <si>
    <t>https://drive.google.com/file/d/1NxTcDWcp3QANG4ZDQaPJQXAysSZ88HMX/view?usp=drivesdk</t>
  </si>
  <si>
    <t>Document successfully created; Document successfully merged; PDF created; Emails Sent: [To: ninikernawati69@gmail.com]; Manually run by ecertificate75@gmail.com; Timestamp: Sep 4 2024 2:08 AM</t>
  </si>
  <si>
    <t>JUDIAWAN LAKSMONO SH</t>
  </si>
  <si>
    <t>laksmonojudhiawan@gmail.com</t>
  </si>
  <si>
    <t>7211</t>
  </si>
  <si>
    <t>Starting at Thu Aug 29 2024 22:05:53 GMT-0400 (EDT)</t>
  </si>
  <si>
    <t>1DLrCKtB_J7g8x_0MzjjN4NLWlb4BI77X</t>
  </si>
  <si>
    <t>https://drive.google.com/file/d/1DLrCKtB_J7g8x_0MzjjN4NLWlb4BI77X/view?usp=drivesdk</t>
  </si>
  <si>
    <t>Document successfully created; Document successfully merged; PDF created; Emails Sent: [To: laksmonojudhiawan@gmail.com]; Manually run by ecertificate75@gmail.com; Timestamp: Sep 4 2024 2:09 AM</t>
  </si>
  <si>
    <t>IRA LINDIYANI S.Kep</t>
  </si>
  <si>
    <t>Iralindiyani82@gmail.com</t>
  </si>
  <si>
    <t>7212</t>
  </si>
  <si>
    <t>1d0vHw1iF6KumBjinMOBdrSqicYYRLqLQ</t>
  </si>
  <si>
    <t>https://drive.google.com/file/d/1d0vHw1iF6KumBjinMOBdrSqicYYRLqLQ/view?usp=drivesdk</t>
  </si>
  <si>
    <t>Document successfully created; Document successfully merged; PDF created; Emails Sent: [To: Iralindiyani82@gmail.com]; Manually run by ecertificate75@gmail.com; Timestamp: Sep 4 2024 2:09 AM</t>
  </si>
  <si>
    <t>IRYANTI, S.E.</t>
  </si>
  <si>
    <t>fathiyaputrisbahri22@gmail.com</t>
  </si>
  <si>
    <t>7213</t>
  </si>
  <si>
    <t>1t5FcQWUuOgsHUxmJN9GGRRnJabGXMaek</t>
  </si>
  <si>
    <t>https://drive.google.com/file/d/1t5FcQWUuOgsHUxmJN9GGRRnJabGXMaek/view?usp=drivesdk</t>
  </si>
  <si>
    <t>Document successfully created; Document successfully merged; PDF created; Emails Sent: [To: fathiyaputrisbahri22@gmail.com]; Manually run by ecertificate75@gmail.com; Timestamp: Sep 4 2024 2:09 AM</t>
  </si>
  <si>
    <t>M HASAN</t>
  </si>
  <si>
    <t>hasan.pajak86@gmail.com</t>
  </si>
  <si>
    <t>7214</t>
  </si>
  <si>
    <t>1eC9qL4R_3E6my2T36hFUuaTEpS4Dl2Kb</t>
  </si>
  <si>
    <t>https://drive.google.com/file/d/1eC9qL4R_3E6my2T36hFUuaTEpS4Dl2Kb/view?usp=drivesdk</t>
  </si>
  <si>
    <t>Document successfully created; Document successfully merged; PDF created; Emails Sent: [To: hasan.pajak86@gmail.com]; Manually run by ecertificate75@gmail.com; Timestamp: Sep 4 2024 2:09 AM</t>
  </si>
  <si>
    <t>YUSAK MARSUDI</t>
  </si>
  <si>
    <t>marsudiyusak@mail.com</t>
  </si>
  <si>
    <t>7215</t>
  </si>
  <si>
    <t>1HJHoMNbGsk1JL90CgHBQKcrK6su1-V2u</t>
  </si>
  <si>
    <t>https://drive.google.com/file/d/1HJHoMNbGsk1JL90CgHBQKcrK6su1-V2u/view?usp=drivesdk</t>
  </si>
  <si>
    <t>Document successfully created; Document successfully merged; PDF created; Emails Sent: [To: marsudiyusak@mail.com]; Manually run by ecertificate75@gmail.com; Timestamp: Sep 4 2024 2:10 AM</t>
  </si>
  <si>
    <t>NURLINDA BR GINTING</t>
  </si>
  <si>
    <t>nurlindaginting71@gmail.com</t>
  </si>
  <si>
    <t>7216</t>
  </si>
  <si>
    <t>Starting at Thu Aug 29 2024 22:05:59 GMT-0400 (EDT)</t>
  </si>
  <si>
    <t>1oaAi_DuTuzSL9Bvx0-oQMT93VqP_9_8_</t>
  </si>
  <si>
    <t>https://drive.google.com/file/d/1oaAi_DuTuzSL9Bvx0-oQMT93VqP_9_8_/view?usp=drivesdk</t>
  </si>
  <si>
    <t>Document successfully created; Document successfully merged; PDF created; Emails Sent: [To: nurlindaginting71@gmail.com]; Manually run by ecertificate75@gmail.com; Timestamp: Sep 4 2024 2:10 AM</t>
  </si>
  <si>
    <t>KALIS SRI MULYANI, S.SOS.</t>
  </si>
  <si>
    <t>kalismulyani75@gmail.com</t>
  </si>
  <si>
    <t>7217</t>
  </si>
  <si>
    <t>1yu70fiHnoo4WniVFLSFP7G4U7dTSSu_M</t>
  </si>
  <si>
    <t>https://drive.google.com/file/d/1yu70fiHnoo4WniVFLSFP7G4U7dTSSu_M/view?usp=drivesdk</t>
  </si>
  <si>
    <t>Document successfully created; Document successfully merged; PDF created; Emails Sent: [To: kalismulyani75@gmail.com]; Manually run by ecertificate75@gmail.com; Timestamp: Sep 4 2024 2:10 AM</t>
  </si>
  <si>
    <t>YANIS YAHYA UGIK</t>
  </si>
  <si>
    <t>yanisugik@gmail.com</t>
  </si>
  <si>
    <t>7218</t>
  </si>
  <si>
    <t>14_6FNQU9g7VL0g4oi7des2_nHtl6iPW6</t>
  </si>
  <si>
    <t>https://drive.google.com/file/d/14_6FNQU9g7VL0g4oi7des2_nHtl6iPW6/view?usp=drivesdk</t>
  </si>
  <si>
    <t>Document successfully created; Document successfully merged; PDF created; Emails Sent: [To: yanisugik@gmail.com]; Manually run by ecertificate75@gmail.com; Timestamp: Sep 4 2024 2:10 AM</t>
  </si>
  <si>
    <t>ERY ROMBE</t>
  </si>
  <si>
    <t>eryrombe21@gmail.com</t>
  </si>
  <si>
    <t>7219</t>
  </si>
  <si>
    <t>1Uyd0g_3QgM0rBvv3w7MZ3YDDXcRiQ_Ge</t>
  </si>
  <si>
    <t>https://drive.google.com/file/d/1Uyd0g_3QgM0rBvv3w7MZ3YDDXcRiQ_Ge/view?usp=drivesdk</t>
  </si>
  <si>
    <t>Document successfully created; Document successfully merged; PDF created; Emails Sent: [To: eryrombe21@gmail.com]; Manually run by ecertificate75@gmail.com; Timestamp: Sep 4 2024 2:11 AM</t>
  </si>
  <si>
    <t>DETISULASTRIMARYANI</t>
  </si>
  <si>
    <t>detisuastri155@gmail.com</t>
  </si>
  <si>
    <t>7220</t>
  </si>
  <si>
    <t>1nhcZ2XmoOQgU0t8KZVMXMIF3vmVNkrlT</t>
  </si>
  <si>
    <t>https://drive.google.com/file/d/1nhcZ2XmoOQgU0t8KZVMXMIF3vmVNkrlT/view?usp=drivesdk</t>
  </si>
  <si>
    <t>Document successfully created; Document successfully merged; PDF created; Emails Sent: [To: detisuastri155@gmail.com]; Manually run by ecertificate75@gmail.com; Timestamp: Sep 4 2024 2:11 AM</t>
  </si>
  <si>
    <t>SRI ANDARYATI, SAP</t>
  </si>
  <si>
    <t>andaryatisri.24@gmail.com</t>
  </si>
  <si>
    <t>7221</t>
  </si>
  <si>
    <t>Starting at Thu Aug 29 2024 22:06:02 GMT-0400 (EDT)</t>
  </si>
  <si>
    <t>1o4N6-xveou1ZHLlqQKAQyB8QToeMZ56x</t>
  </si>
  <si>
    <t>https://drive.google.com/file/d/1o4N6-xveou1ZHLlqQKAQyB8QToeMZ56x/view?usp=drivesdk</t>
  </si>
  <si>
    <t>Document successfully created; Document successfully merged; PDF created; Emails Sent: [To: andaryatisri.24@gmail.com]; Manually run by ecertificate75@gmail.com; Timestamp: Sep 4 2024 2:11 AM</t>
  </si>
  <si>
    <t>DIVHUMAS POLRI</t>
  </si>
  <si>
    <t>YUKE WRNAWATI</t>
  </si>
  <si>
    <t>mamiyuke@yahoo.com</t>
  </si>
  <si>
    <t>7222</t>
  </si>
  <si>
    <t>Starting at Thu Aug 29 2024 22:06:03 GMT-0400 (EDT)</t>
  </si>
  <si>
    <t>1DR749KfBpnZ079B1DTlpkhmWEGFEXD9L</t>
  </si>
  <si>
    <t>https://drive.google.com/file/d/1DR749KfBpnZ079B1DTlpkhmWEGFEXD9L/view?usp=drivesdk</t>
  </si>
  <si>
    <t>Document successfully created; Document successfully merged; PDF created; Emails Sent: [To: mamiyuke@yahoo.com]; Manually run by ecertificate75@gmail.com; Timestamp: Sep 4 2024 2:11 AM</t>
  </si>
  <si>
    <t>PURNA ATMAJA</t>
  </si>
  <si>
    <t>purnaatmaja@gmail.com</t>
  </si>
  <si>
    <t>7223</t>
  </si>
  <si>
    <t>10ymSAWlEceJtK_dohi_7umF7rXp74i09</t>
  </si>
  <si>
    <t>https://drive.google.com/file/d/10ymSAWlEceJtK_dohi_7umF7rXp74i09/view?usp=drivesdk</t>
  </si>
  <si>
    <t>Document successfully created; Document successfully merged; PDF created; Emails Sent: [To: purnaatmaja@gmail.com]; Manually run by ecertificate75@gmail.com; Timestamp: Sep 4 2024 2:12 AM</t>
  </si>
  <si>
    <t>EVI DIYAH KUSUMANINGASTUTI, S.E.</t>
  </si>
  <si>
    <t>vie.diyah8081@gmail.com</t>
  </si>
  <si>
    <t>7224</t>
  </si>
  <si>
    <t>1Vxewv1g0MXx3tQ_oRkRZw0I6FXIWr-Tg</t>
  </si>
  <si>
    <t>https://drive.google.com/file/d/1Vxewv1g0MXx3tQ_oRkRZw0I6FXIWr-Tg/view?usp=drivesdk</t>
  </si>
  <si>
    <t>Document successfully created; Document successfully merged; PDF created; Emails Sent: [To: vie.diyah8081@gmail.com]; Manually run by ecertificate75@gmail.com; Timestamp: Sep 4 2024 2:12 AM</t>
  </si>
  <si>
    <t>KIYAMAH FITRIANI RIA SANTI</t>
  </si>
  <si>
    <t>kiyamah76@gmail.com</t>
  </si>
  <si>
    <t>7225</t>
  </si>
  <si>
    <t>1coJ9qSkoXE8Hb6n47LeMbNC-1cVrBv6F</t>
  </si>
  <si>
    <t>https://drive.google.com/file/d/1coJ9qSkoXE8Hb6n47LeMbNC-1cVrBv6F/view?usp=drivesdk</t>
  </si>
  <si>
    <t>Document successfully created; Document successfully merged; PDF created; Emails Sent: [To: kiyamah76@gmail.com]; Manually run by ecertificate75@gmail.com; Timestamp: Sep 4 2024 2:12 AM</t>
  </si>
  <si>
    <t>BUCHLI</t>
  </si>
  <si>
    <t>buchlitapaktuan721@gmail.com</t>
  </si>
  <si>
    <t>7226</t>
  </si>
  <si>
    <t>Starting at Thu Aug 29 2024 22:06:12 GMT-0400 (EDT)</t>
  </si>
  <si>
    <t>168-34wbBFyBSoENf6qtp_CIBmSC8wOtM</t>
  </si>
  <si>
    <t>https://drive.google.com/file/d/168-34wbBFyBSoENf6qtp_CIBmSC8wOtM/view?usp=drivesdk</t>
  </si>
  <si>
    <t>Document successfully created; Document successfully merged; PDF created; Emails Sent: [To: buchlitapaktuan721@gmail.com]; Manually run by ecertificate75@gmail.com; Timestamp: Sep 4 2024 2:12 AM</t>
  </si>
  <si>
    <t>GITO POLSEK GLENMORE</t>
  </si>
  <si>
    <t>gitopolsek68@gmail.com</t>
  </si>
  <si>
    <t>7227</t>
  </si>
  <si>
    <t>1nkb8Ot4F5Ci0IfX1eczLwV6lPphi4Dky</t>
  </si>
  <si>
    <t>https://drive.google.com/file/d/1nkb8Ot4F5Ci0IfX1eczLwV6lPphi4Dky/view?usp=drivesdk</t>
  </si>
  <si>
    <t>Document successfully created; Document successfully merged; PDF created; Emails Sent: [To: gitopolsek68@gmail.com]; Manually run by ecertificate75@gmail.com; Timestamp: Sep 4 2024 2:13 AM</t>
  </si>
  <si>
    <t>RISTALIWARNI</t>
  </si>
  <si>
    <t>Ristaliwarni1979@gmail.com</t>
  </si>
  <si>
    <t>7228</t>
  </si>
  <si>
    <t>1EwUKsm-cG-1oAq-fzEGehYRak5OiaPPx</t>
  </si>
  <si>
    <t>https://drive.google.com/file/d/1EwUKsm-cG-1oAq-fzEGehYRak5OiaPPx/view?usp=drivesdk</t>
  </si>
  <si>
    <t>Document successfully created; Document successfully merged; PDF created; Emails Sent: [To: Ristaliwarni1979@gmail.com]; Manually run by ecertificate75@gmail.com; Timestamp: Sep 4 2024 2:13 AM</t>
  </si>
  <si>
    <t>AIDA FATONAH</t>
  </si>
  <si>
    <t>aidafermana@gmail.com</t>
  </si>
  <si>
    <t>7229</t>
  </si>
  <si>
    <t>1Qwqw27_OMRFxJMbuCn24hvrkAblH89P0</t>
  </si>
  <si>
    <t>https://drive.google.com/file/d/1Qwqw27_OMRFxJMbuCn24hvrkAblH89P0/view?usp=drivesdk</t>
  </si>
  <si>
    <t>Document successfully created; Document successfully merged; PDF created; Emails Sent: [To: aidafermana@gmail.com]; Manually run by ecertificate75@gmail.com; Timestamp: Sep 4 2024 2:13 AM</t>
  </si>
  <si>
    <t>YUYUN KOMARIAH</t>
  </si>
  <si>
    <t>yuyunkomariah1968@gmail.com</t>
  </si>
  <si>
    <t>7230</t>
  </si>
  <si>
    <t>1l3DZgtvGURqouic_wxNcESul19gh02ol</t>
  </si>
  <si>
    <t>https://drive.google.com/file/d/1l3DZgtvGURqouic_wxNcESul19gh02ol/view?usp=drivesdk</t>
  </si>
  <si>
    <t>Document successfully created; Document successfully merged; PDF created; Emails Sent: [To: yuyunkomariah1968@gmail.com]; Manually run by ecertificate75@gmail.com; Timestamp: Sep 4 2024 2:14 AM</t>
  </si>
  <si>
    <t>ARNITA</t>
  </si>
  <si>
    <t>arnitapadang70@gmail.com</t>
  </si>
  <si>
    <t>7231</t>
  </si>
  <si>
    <t>15XBEZA3mXPxEZ-d7lAnnDzwl9pXbMfm1</t>
  </si>
  <si>
    <t>https://drive.google.com/file/d/15XBEZA3mXPxEZ-d7lAnnDzwl9pXbMfm1/view?usp=drivesdk</t>
  </si>
  <si>
    <t>Document successfully created; Document successfully merged; PDF created; Emails Sent: [To: arnitapadang70@gmail.com]; Manually run by ecertificate75@gmail.com; Timestamp: Sep 4 2024 2:14 AM</t>
  </si>
  <si>
    <t>NUR AISYAH</t>
  </si>
  <si>
    <t>naisyah141@gmail.com</t>
  </si>
  <si>
    <t>7232</t>
  </si>
  <si>
    <t>1dsJZkG0o-gmZfqcoWaYMgLg6hcVQ4Alz</t>
  </si>
  <si>
    <t>https://drive.google.com/file/d/1dsJZkG0o-gmZfqcoWaYMgLg6hcVQ4Alz/view?usp=drivesdk</t>
  </si>
  <si>
    <t>Document successfully created; Document successfully merged; PDF created; Emails Sent: [To: naisyah141@gmail.com]; Manually run by ecertificate75@gmail.com; Timestamp: Sep 4 2024 2:14 AM</t>
  </si>
  <si>
    <t>USAWATUN KHASANAH</t>
  </si>
  <si>
    <t>uswatunkhasanah1210@gmai.com</t>
  </si>
  <si>
    <t>7233</t>
  </si>
  <si>
    <t>1DEOZcG0yaD1E2xG-eSUg-JUecYLVDcuz</t>
  </si>
  <si>
    <t>https://drive.google.com/file/d/1DEOZcG0yaD1E2xG-eSUg-JUecYLVDcuz/view?usp=drivesdk</t>
  </si>
  <si>
    <t>Document successfully created; Document successfully merged; PDF created; Emails Sent: [To: uswatunkhasanah1210@gmai.com]; Manually run by ecertificate75@gmail.com; Timestamp: Sep 4 2024 2:15 AM</t>
  </si>
  <si>
    <t>DRA.RR.WIDIASTUTI R</t>
  </si>
  <si>
    <t>widi.astuti1407@gmail.com</t>
  </si>
  <si>
    <t>7234</t>
  </si>
  <si>
    <t>Starting at Thu Aug 29 2024 22:06:14 GMT-0400 (EDT)</t>
  </si>
  <si>
    <t>1sNWuRmzVt1Ek4_8ZnA2daqCar-yjS_nQ</t>
  </si>
  <si>
    <t>https://drive.google.com/file/d/1sNWuRmzVt1Ek4_8ZnA2daqCar-yjS_nQ/view?usp=drivesdk</t>
  </si>
  <si>
    <t>Document successfully created; Document successfully merged; PDF created; Emails Sent: [To: widi.astuti1407@gmail.com]; Manually run by ecertificate75@gmail.com; Timestamp: Sep 4 2024 2:15 AM</t>
  </si>
  <si>
    <t>AGUS EFENDI</t>
  </si>
  <si>
    <t>refandy280@gmail.com</t>
  </si>
  <si>
    <t>7235</t>
  </si>
  <si>
    <t>1ROyOw8qTuaxCZa86x0zYF8jpk26iAJY2</t>
  </si>
  <si>
    <t>https://drive.google.com/file/d/1ROyOw8qTuaxCZa86x0zYF8jpk26iAJY2/view?usp=drivesdk</t>
  </si>
  <si>
    <t>Document successfully created; Document successfully merged; PDF created; Emails Sent: [To: refandy280@gmail.com]; Manually run by ecertificate75@gmail.com; Timestamp: Sep 4 2024 2:15 AM</t>
  </si>
  <si>
    <t>DENIK INDRIYANI</t>
  </si>
  <si>
    <t>denik.indriyani23@gmail.com</t>
  </si>
  <si>
    <t>7236</t>
  </si>
  <si>
    <t>1XSL3w6LbD-rrli7GW5vc_tCb0uzk07Cp</t>
  </si>
  <si>
    <t>https://drive.google.com/file/d/1XSL3w6LbD-rrli7GW5vc_tCb0uzk07Cp/view?usp=drivesdk</t>
  </si>
  <si>
    <t>Document successfully created; Document successfully merged; PDF created; Emails Sent: [To: denik.indriyani23@gmail.com]; Manually run by ecertificate75@gmail.com; Timestamp: Sep 4 2024 2:16 AM</t>
  </si>
  <si>
    <t>INDRI YUNIARTI, A.Md.</t>
  </si>
  <si>
    <t>mahayuna@gmail.com</t>
  </si>
  <si>
    <t>7237</t>
  </si>
  <si>
    <t>Starting at Thu Aug 29 2024 22:06:18 GMT-0400 (EDT)</t>
  </si>
  <si>
    <t>1dQPHvpQw2q3GDePeCN6Z5TOHW56GPqQe</t>
  </si>
  <si>
    <t>https://drive.google.com/file/d/1dQPHvpQw2q3GDePeCN6Z5TOHW56GPqQe/view?usp=drivesdk</t>
  </si>
  <si>
    <t>Document successfully created; Document successfully merged; PDF created; Emails Sent: [To: mahayuna@gmail.com]; Manually run by ecertificate75@gmail.com; Timestamp: Sep 4 2024 2:16 AM</t>
  </si>
  <si>
    <t>SUROTO</t>
  </si>
  <si>
    <t>surototangen@gmail.com</t>
  </si>
  <si>
    <t>7238</t>
  </si>
  <si>
    <t>1pOLnuXUMdlBKNcZ1J25MXl3s4bGuW_M6</t>
  </si>
  <si>
    <t>https://drive.google.com/file/d/1pOLnuXUMdlBKNcZ1J25MXl3s4bGuW_M6/view?usp=drivesdk</t>
  </si>
  <si>
    <t>Document successfully created; Document successfully merged; PDF created; Emails Sent: [To: surototangen@gmail.com]; Manually run by ecertificate75@gmail.com; Timestamp: Sep 4 2024 2:16 AM</t>
  </si>
  <si>
    <t xml:space="preserve">NURUL HAYAT </t>
  </si>
  <si>
    <t>nuruldn78@gmail.com</t>
  </si>
  <si>
    <t>7239</t>
  </si>
  <si>
    <t>Starting at Thu Aug 29 2024 22:06:19 GMT-0400 (EDT)</t>
  </si>
  <si>
    <t>1olcUpgCZjRwXDh_BO2qw4VbmNG7k5dSH</t>
  </si>
  <si>
    <t>https://drive.google.com/file/d/1olcUpgCZjRwXDh_BO2qw4VbmNG7k5dSH/view?usp=drivesdk</t>
  </si>
  <si>
    <t>Document successfully created; Document successfully merged; PDF created; Emails Sent: [To: nuruldn78@gmail.com]; Manually run by ecertificate75@gmail.com; Timestamp: Sep 4 2024 2:16 AM</t>
  </si>
  <si>
    <t>WASKITO ADI KISWORO</t>
  </si>
  <si>
    <t>ragil73@gmail.com</t>
  </si>
  <si>
    <t>7240</t>
  </si>
  <si>
    <t>Starting at Thu Aug 29 2024 22:06:21 GMT-0400 (EDT)</t>
  </si>
  <si>
    <t>1ukHc9Tg8Nbe7iVEhwoQF6wsy0mL0Qvqg</t>
  </si>
  <si>
    <t>https://drive.google.com/file/d/1ukHc9Tg8Nbe7iVEhwoQF6wsy0mL0Qvqg/view?usp=drivesdk</t>
  </si>
  <si>
    <t>Document successfully created; Document successfully merged; PDF created; Emails Sent: [To: ragil73@gmail.com]; Manually run by ecertificate75@gmail.com; Timestamp: Sep 4 2024 2:16 AM</t>
  </si>
  <si>
    <t>MULYANIINGTIAS</t>
  </si>
  <si>
    <t>mulyaningtias02@gnail.com</t>
  </si>
  <si>
    <t>7241</t>
  </si>
  <si>
    <t>Starting at Thu Aug 29 2024 22:06:24 GMT-0400 (EDT)</t>
  </si>
  <si>
    <t>17iVGNvOma8PNKxYLvPbuDpfXTHhMOFxn</t>
  </si>
  <si>
    <t>https://drive.google.com/file/d/17iVGNvOma8PNKxYLvPbuDpfXTHhMOFxn/view?usp=drivesdk</t>
  </si>
  <si>
    <t>Document successfully created; Document successfully merged; PDF created; Emails Sent: [To: mulyaningtias02@gnail.com]; Manually run by ecertificate75@gmail.com; Timestamp: Sep 4 2024 2:17 AM</t>
  </si>
  <si>
    <t>DANIA KHAIRUNNISA WARDHANA</t>
  </si>
  <si>
    <t>wardhanadania@yahoo.com</t>
  </si>
  <si>
    <t>7242</t>
  </si>
  <si>
    <t>1j14pFOzQnan9x_LUUQW5bQM89O7pSLTf</t>
  </si>
  <si>
    <t>https://drive.google.com/file/d/1j14pFOzQnan9x_LUUQW5bQM89O7pSLTf/view?usp=drivesdk</t>
  </si>
  <si>
    <t>Document successfully created; Document successfully merged; PDF created; Emails Sent: [To: wardhanadania@yahoo.com]; Manually run by ecertificate75@gmail.com; Timestamp: Sep 4 2024 2:17 AM</t>
  </si>
  <si>
    <t xml:space="preserve">AGUS SUTEJO </t>
  </si>
  <si>
    <t>tguys690710@gmail.com</t>
  </si>
  <si>
    <t>7243</t>
  </si>
  <si>
    <t>Starting at Thu Aug 29 2024 22:06:29 GMT-0400 (EDT)</t>
  </si>
  <si>
    <t>1Krtwwg8CaaRlTn-JLDhgtJxb1Wl9DPWj</t>
  </si>
  <si>
    <t>https://drive.google.com/file/d/1Krtwwg8CaaRlTn-JLDhgtJxb1Wl9DPWj/view?usp=drivesdk</t>
  </si>
  <si>
    <t>Document successfully created; Document successfully merged; PDF created; Emails Sent: [To: tguys690710@gmail.com]; Manually run by ecertificate75@gmail.com; Timestamp: Sep 4 2024 2:17 AM</t>
  </si>
  <si>
    <t>SARiZAL, A.Md., S.M.</t>
  </si>
  <si>
    <t>richal95@yahoo.co.id</t>
  </si>
  <si>
    <t>7244</t>
  </si>
  <si>
    <t>176StO4-ROrmm8eGZMF8tVBtCr3DIeNqk</t>
  </si>
  <si>
    <t>https://drive.google.com/file/d/176StO4-ROrmm8eGZMF8tVBtCr3DIeNqk/view?usp=drivesdk</t>
  </si>
  <si>
    <t>Document successfully created; Document successfully merged; PDF created; Emails Sent: [To: richal95@yahoo.co.id]; Manually run by ecertificate75@gmail.com; Timestamp: Sep 4 2024 2:17 AM</t>
  </si>
  <si>
    <t>YOYOK HERMANTO, SE</t>
  </si>
  <si>
    <t>yoyokhermanto2012@gmail.com</t>
  </si>
  <si>
    <t>7245</t>
  </si>
  <si>
    <t>1JPrwfGz-jcUj_4AoYlx-lBvbqyYBtqSF</t>
  </si>
  <si>
    <t>https://drive.google.com/file/d/1JPrwfGz-jcUj_4AoYlx-lBvbqyYBtqSF/view?usp=drivesdk</t>
  </si>
  <si>
    <t>Document successfully created; Document successfully merged; PDF created; Emails Sent: [To: yoyokhermanto2012@gmail.com]; Manually run by ecertificate75@gmail.com; Timestamp: Sep 4 2024 2:17 AM</t>
  </si>
  <si>
    <t>RIDUAN EFENDI</t>
  </si>
  <si>
    <t>ionefendi1976@gmail.com</t>
  </si>
  <si>
    <t>7246</t>
  </si>
  <si>
    <t>Starting at Thu Aug 29 2024 22:06:31 GMT-0400 (EDT)</t>
  </si>
  <si>
    <t>174FzlsVKcAlck-PhHa1Nypuf7dWeruQu</t>
  </si>
  <si>
    <t>https://drive.google.com/file/d/174FzlsVKcAlck-PhHa1Nypuf7dWeruQu/view?usp=drivesdk</t>
  </si>
  <si>
    <t>Document successfully created; Document successfully merged; PDF created; Emails Sent: [To: ionefendi1976@gmail.com]; Manually run by ecertificate75@gmail.com; Timestamp: Sep 4 2024 2:18 AM</t>
  </si>
  <si>
    <t>INDRIANINGSIH. H</t>
  </si>
  <si>
    <t>endi.indri@gmail.com</t>
  </si>
  <si>
    <t>7247</t>
  </si>
  <si>
    <t>1pvW_mZwm_9ETAYY-_UoaEqOx_kgeLIW2</t>
  </si>
  <si>
    <t>https://drive.google.com/file/d/1pvW_mZwm_9ETAYY-_UoaEqOx_kgeLIW2/view?usp=drivesdk</t>
  </si>
  <si>
    <t>Document successfully created; Document successfully merged; PDF created; Emails Sent: [To: endi.indri@gmail.com]; Manually run by ecertificate75@gmail.com; Timestamp: Sep 4 2024 2:18 AM</t>
  </si>
  <si>
    <t>NOVI SARI</t>
  </si>
  <si>
    <t>novihidayat717@gmail.com</t>
  </si>
  <si>
    <t>7248</t>
  </si>
  <si>
    <t>1_Ev9MTdC-0acxio52M84mrAaZHZEew88</t>
  </si>
  <si>
    <t>https://drive.google.com/file/d/1_Ev9MTdC-0acxio52M84mrAaZHZEew88/view?usp=drivesdk</t>
  </si>
  <si>
    <t>Document successfully created; Document successfully merged; PDF created; Emails Sent: [To: novihidayat717@gmail.com]; Manually run by ecertificate75@gmail.com; Timestamp: Sep 4 2024 2:18 AM</t>
  </si>
  <si>
    <t>PURNOMO, S.Ak.</t>
  </si>
  <si>
    <t>ayahibuazaiza@gmail.com</t>
  </si>
  <si>
    <t>7249</t>
  </si>
  <si>
    <t>Starting at Thu Aug 29 2024 22:06:34 GMT-0400 (EDT)</t>
  </si>
  <si>
    <t>1_5MR5lIVh7-BRHKKlBETOqW049OyfrPb</t>
  </si>
  <si>
    <t>https://drive.google.com/file/d/1_5MR5lIVh7-BRHKKlBETOqW049OyfrPb/view?usp=drivesdk</t>
  </si>
  <si>
    <t>Document successfully created; Document successfully merged; PDF created; Emails Sent: [To: ayahibuazaiza@gmail.com]; Manually run by ecertificate75@gmail.com; Timestamp: Sep 4 2024 2:18 AM</t>
  </si>
  <si>
    <t>SONTIAR NAPITUPULU</t>
  </si>
  <si>
    <t>napitupulusontiar@gmail.com</t>
  </si>
  <si>
    <t>7250</t>
  </si>
  <si>
    <t>1xlfa3WXQhLCEDZ7LMxqnIN1niur25Ns-</t>
  </si>
  <si>
    <t>https://drive.google.com/file/d/1xlfa3WXQhLCEDZ7LMxqnIN1niur25Ns-/view?usp=drivesdk</t>
  </si>
  <si>
    <t>Document successfully created; Document successfully merged; PDF created; Emails Sent: [To: napitupulusontiar@gmail.com]; Manually run by ecertificate75@gmail.com; Timestamp: Sep 4 2024 2:19 AM</t>
  </si>
  <si>
    <t>Rita Agustiyanda S Farm.,Apt</t>
  </si>
  <si>
    <t>ritaagustiyanda1986@gmail.com</t>
  </si>
  <si>
    <t>7251</t>
  </si>
  <si>
    <t>Starting at Thu Aug 29 2024 22:06:39 GMT-0400 (EDT)</t>
  </si>
  <si>
    <t>1FSgsUMcMO9-Uh7blb3r918oKEGHtudMo</t>
  </si>
  <si>
    <t>https://drive.google.com/file/d/1FSgsUMcMO9-Uh7blb3r918oKEGHtudMo/view?usp=drivesdk</t>
  </si>
  <si>
    <t>Document successfully created; Document successfully merged; PDF created; Emails Sent: [To: ritaagustiyanda1986@gmail.com]; Manually run by ecertificate75@gmail.com; Timestamp: Sep 4 2024 2:19 AM</t>
  </si>
  <si>
    <t>AFRENITA ROSYA, S.H.</t>
  </si>
  <si>
    <t>enirosya20@gmail.com</t>
  </si>
  <si>
    <t>7252</t>
  </si>
  <si>
    <t>1HwL7ZZEcOjOic-sJ9Uo8kwAUPXPHjafp</t>
  </si>
  <si>
    <t>https://drive.google.com/file/d/1HwL7ZZEcOjOic-sJ9Uo8kwAUPXPHjafp/view?usp=drivesdk</t>
  </si>
  <si>
    <t>Document successfully created; Document successfully merged; PDF created; Emails Sent: [To: enirosya20@gmail.com]; Manually run by ecertificate75@gmail.com; Timestamp: Sep 4 2024 2:19 AM</t>
  </si>
  <si>
    <t>SUWARNO</t>
  </si>
  <si>
    <t>suwarnobumiaji@gmail.com</t>
  </si>
  <si>
    <t>7253</t>
  </si>
  <si>
    <t>1a89w7WpgAx6C-esYn6JLkwigtX6R6Euk</t>
  </si>
  <si>
    <t>https://drive.google.com/file/d/1a89w7WpgAx6C-esYn6JLkwigtX6R6Euk/view?usp=drivesdk</t>
  </si>
  <si>
    <t>Document successfully created; Document successfully merged; PDF created; Emails Sent: [To: suwarnobumiaji@gmail.com]; Manually run by ecertificate75@gmail.com; Timestamp: Sep 4 2024 2:19 AM</t>
  </si>
  <si>
    <t>HARYONO</t>
  </si>
  <si>
    <t>renminpropam4@gmail.com</t>
  </si>
  <si>
    <t>7254</t>
  </si>
  <si>
    <t>14G3wGqQ447x3YIZkPmbN1K9MfSg_JjJs</t>
  </si>
  <si>
    <t>https://drive.google.com/file/d/14G3wGqQ447x3YIZkPmbN1K9MfSg_JjJs/view?usp=drivesdk</t>
  </si>
  <si>
    <t>Document successfully created; Document successfully merged; PDF created; Emails Sent: [To: renminpropam4@gmail.com]; Manually run by ecertificate75@gmail.com; Timestamp: Sep 4 2024 2:20 AM</t>
  </si>
  <si>
    <t>ADY PRASETYO</t>
  </si>
  <si>
    <t>nathannoe1817@gmail.com</t>
  </si>
  <si>
    <t>7255</t>
  </si>
  <si>
    <t>Starting at Thu Aug 29 2024 22:06:44 GMT-0400 (EDT)</t>
  </si>
  <si>
    <t>13l4_hfsu0F3TT5y8dSFQOhQah4oJPUcU</t>
  </si>
  <si>
    <t>https://drive.google.com/file/d/13l4_hfsu0F3TT5y8dSFQOhQah4oJPUcU/view?usp=drivesdk</t>
  </si>
  <si>
    <t>Document successfully created; Document successfully merged; PDF created; Emails Sent: [To: nathannoe1817@gmail.com]; Manually run by ecertificate75@gmail.com; Timestamp: Sep 4 2024 2:20 AM</t>
  </si>
  <si>
    <t>NUR MAYA SAFITRI A.Md.Kep</t>
  </si>
  <si>
    <t>safitrimaya70@gmail.com</t>
  </si>
  <si>
    <t>7256</t>
  </si>
  <si>
    <t>10-cn3xbtKmhmEirmWpP-OcxNueFzaTK7</t>
  </si>
  <si>
    <t>https://drive.google.com/file/d/10-cn3xbtKmhmEirmWpP-OcxNueFzaTK7/view?usp=drivesdk</t>
  </si>
  <si>
    <t>Document successfully created; Document successfully merged; PDF created; Emails Sent: [To: safitrimaya70@gmail.com]; Manually run by ecertificate75@gmail.com; Timestamp: Sep 4 2024 2:20 AM</t>
  </si>
  <si>
    <t>KHOLIF NUSIFATUL MASITOH</t>
  </si>
  <si>
    <t>Nusifa84@Gmail.com</t>
  </si>
  <si>
    <t>7257</t>
  </si>
  <si>
    <t>19fakL2f2HQZBfiOliHp3Yflf0zSOOQvf</t>
  </si>
  <si>
    <t>https://drive.google.com/file/d/19fakL2f2HQZBfiOliHp3Yflf0zSOOQvf/view?usp=drivesdk</t>
  </si>
  <si>
    <t>Document successfully created; Document successfully merged; PDF created; Emails Sent: [To: Nusifa84@Gmail.com]; Manually run by ecertificate75@gmail.com; Timestamp: Sep 4 2024 2:21 AM</t>
  </si>
  <si>
    <t>Sartana Pardede, SKM</t>
  </si>
  <si>
    <t>sartanapardede@gmail.com</t>
  </si>
  <si>
    <t>7258</t>
  </si>
  <si>
    <t>1nLVVZ6nS8bQiNDrq1mWhuzcGPnfgyvVH</t>
  </si>
  <si>
    <t>https://drive.google.com/file/d/1nLVVZ6nS8bQiNDrq1mWhuzcGPnfgyvVH/view?usp=drivesdk</t>
  </si>
  <si>
    <t>Document successfully created; Document successfully merged; PDF created; Emails Sent: [To: sartanapardede@gmail.com]; Manually run by ecertificate75@gmail.com; Timestamp: Sep 4 2024 2:21 AM</t>
  </si>
  <si>
    <t>YULIA ARMAN.AMD</t>
  </si>
  <si>
    <t>yulia.arman7682@gmail.com</t>
  </si>
  <si>
    <t>7259</t>
  </si>
  <si>
    <t>1FPcr9k7DAiITCgdk-w3cCH-x2lsedZpS</t>
  </si>
  <si>
    <t>https://drive.google.com/file/d/1FPcr9k7DAiITCgdk-w3cCH-x2lsedZpS/view?usp=drivesdk</t>
  </si>
  <si>
    <t>Document successfully created; Document successfully merged; PDF created; Emails Sent: [To: yulia.arman7682@gmail.com]; Manually run by ecertificate75@gmail.com; Timestamp: Sep 4 2024 2:21 AM</t>
  </si>
  <si>
    <t>GIVI RAHMADANIS</t>
  </si>
  <si>
    <t>giivra.deyaherqon@gmail.com</t>
  </si>
  <si>
    <t>7260</t>
  </si>
  <si>
    <t>1uQjSXItcV5XgQrfWlR3Qt1UkfWFf_0v4</t>
  </si>
  <si>
    <t>https://drive.google.com/file/d/1uQjSXItcV5XgQrfWlR3Qt1UkfWFf_0v4/view?usp=drivesdk</t>
  </si>
  <si>
    <t>Document successfully created; Document successfully merged; PDF created; Emails Sent: [To: giivra.deyaherqon@gmail.com]; Manually run by ecertificate75@gmail.com; Timestamp: Sep 4 2024 2:22 AM</t>
  </si>
  <si>
    <t>IKA YUNIASTUTI</t>
  </si>
  <si>
    <t>nartoyuni@gmail.com</t>
  </si>
  <si>
    <t>7261</t>
  </si>
  <si>
    <t>Starting at Thu Aug 29 2024 22:06:46 GMT-0400 (EDT)</t>
  </si>
  <si>
    <t>11ZcRf5QiCY_gqtrJkUJWni-xRg1doCol</t>
  </si>
  <si>
    <t>https://drive.google.com/file/d/11ZcRf5QiCY_gqtrJkUJWni-xRg1doCol/view?usp=drivesdk</t>
  </si>
  <si>
    <t>Document successfully created; Document successfully merged; PDF created; Emails Sent: [To: nartoyuni@gmail.com]; Manually run by ecertificate75@gmail.com; Timestamp: Sep 4 2024 2:22 AM</t>
  </si>
  <si>
    <t>EKO WIDODO,S.Pd</t>
  </si>
  <si>
    <t>ekowisaja@gmail.com</t>
  </si>
  <si>
    <t>7262</t>
  </si>
  <si>
    <t>1UbzMo0L9Mr-tSMdZwQ4tYD-SQY6x6Dh0</t>
  </si>
  <si>
    <t>https://drive.google.com/file/d/1UbzMo0L9Mr-tSMdZwQ4tYD-SQY6x6Dh0/view?usp=drivesdk</t>
  </si>
  <si>
    <t>Document successfully created; Document successfully merged; PDF created; !!Error Sending Emails: Service invoked too many times for one day: email.; Manually run by ecertificate75@gmail.com; Timestamp: Sep 4 2024 2:22 AM</t>
  </si>
  <si>
    <t>TOTOK WIBOWO S.E</t>
  </si>
  <si>
    <t>totokwibowo8@gmail.com</t>
  </si>
  <si>
    <t>7263</t>
  </si>
  <si>
    <t>1AvsI-ZH2jnkGqcWC124Sd6s1RpO_ZS7A</t>
  </si>
  <si>
    <t>https://drive.google.com/file/d/1AvsI-ZH2jnkGqcWC124Sd6s1RpO_ZS7A/view?usp=drivesdk</t>
  </si>
  <si>
    <t>DEWI SUARSIH</t>
  </si>
  <si>
    <t>dewidewa284@gmail.com</t>
  </si>
  <si>
    <t>7264</t>
  </si>
  <si>
    <t>Starting at Thu Aug 29 2024 22:06:49 GMT-0400 (EDT)</t>
  </si>
  <si>
    <t>1y84c6dhspHLYs0_DKuqGGy2X_EaKYZPA</t>
  </si>
  <si>
    <t>https://drive.google.com/file/d/1y84c6dhspHLYs0_DKuqGGy2X_EaKYZPA/view?usp=drivesdk</t>
  </si>
  <si>
    <t>Document successfully created; Document successfully merged; PDF created; !!Error Sending Emails: Service invoked too many times for one day: email.; Manually run by ecertificate75@gmail.com; Timestamp: Sep 4 2024 2:23 AM</t>
  </si>
  <si>
    <t>YUNI NURHASANA</t>
  </si>
  <si>
    <t>yuninurhasanah900@gmail.com</t>
  </si>
  <si>
    <t>7265</t>
  </si>
  <si>
    <t>Starting at Thu Aug 29 2024 22:06:53 GMT-0400 (EDT)</t>
  </si>
  <si>
    <t>1ZaWpspxVsYbff-UIiesa663oQz5nF8-Z</t>
  </si>
  <si>
    <t>https://drive.google.com/file/d/1ZaWpspxVsYbff-UIiesa663oQz5nF8-Z/view?usp=drivesdk</t>
  </si>
  <si>
    <t>ERNI FEBRIANTI, SE</t>
  </si>
  <si>
    <t>7266</t>
  </si>
  <si>
    <t>1ZjfQTVBe9IVq5PaABn9IIT0rlqXKxWM8</t>
  </si>
  <si>
    <t>https://drive.google.com/file/d/1ZjfQTVBe9IVq5PaABn9IIT0rlqXKxWM8/view?usp=drivesdk</t>
  </si>
  <si>
    <t>NINDYAH PANGESTUNINGSIH,S.KEP</t>
  </si>
  <si>
    <t>nindyallen@gmail.com</t>
  </si>
  <si>
    <t>7267</t>
  </si>
  <si>
    <t>1RvS_Vifwoh8Ga96ZLwXW0iPHlKh8fr-s</t>
  </si>
  <si>
    <t>https://drive.google.com/file/d/1RvS_Vifwoh8Ga96ZLwXW0iPHlKh8fr-s/view?usp=drivesdk</t>
  </si>
  <si>
    <t>NUMIARNI,S.H</t>
  </si>
  <si>
    <t>numia91@gmail.com</t>
  </si>
  <si>
    <t>7268</t>
  </si>
  <si>
    <t>1Y_UllqcQJgPF-PBIhbLqoHQi-G9DeNl2</t>
  </si>
  <si>
    <t>https://drive.google.com/file/d/1Y_UllqcQJgPF-PBIhbLqoHQi-G9DeNl2/view?usp=drivesdk</t>
  </si>
  <si>
    <t>Document successfully created; Document successfully merged; PDF created; !!Error Sending Emails: Service invoked too many times for one day: email.; Manually run by ecertificate75@gmail.com; Timestamp: Sep 4 2024 2:24 AM</t>
  </si>
  <si>
    <t>MIRA HANDAYANI</t>
  </si>
  <si>
    <t>miradodot@gmail.com</t>
  </si>
  <si>
    <t>7269</t>
  </si>
  <si>
    <t>1Z-KZ7ROGIg__lHiADAaTEFVJVDNBOBET</t>
  </si>
  <si>
    <t>https://drive.google.com/file/d/1Z-KZ7ROGIg__lHiADAaTEFVJVDNBOBET/view?usp=drivesdk</t>
  </si>
  <si>
    <t>SOPIYANDI, A.Md</t>
  </si>
  <si>
    <t>sopiyandi760601@gmail.com</t>
  </si>
  <si>
    <t>7270</t>
  </si>
  <si>
    <t>1KpkHwybMg4GJtUDvG4g8Jsh0CdO9a6lX</t>
  </si>
  <si>
    <t>https://drive.google.com/file/d/1KpkHwybMg4GJtUDvG4g8Jsh0CdO9a6lX/view?usp=drivesdk</t>
  </si>
  <si>
    <t>YuLIANA NINGSIH</t>
  </si>
  <si>
    <t>yulining80@gmail.com</t>
  </si>
  <si>
    <t>7271</t>
  </si>
  <si>
    <t>1oSZ2wIDNV17OjFJq6jp_SLp9eA0ytLzF</t>
  </si>
  <si>
    <t>https://drive.google.com/file/d/1oSZ2wIDNV17OjFJq6jp_SLp9eA0ytLzF/view?usp=drivesdk</t>
  </si>
  <si>
    <t>ELFINA,S.H.</t>
  </si>
  <si>
    <t>elfinalee@yahoo.com</t>
  </si>
  <si>
    <t>7272</t>
  </si>
  <si>
    <t>Starting at Thu Aug 29 2024 22:06:56 GMT-0400 (EDT)</t>
  </si>
  <si>
    <t>1PDHWpocyvDC9eJEiGg33qMWmH495qT9b</t>
  </si>
  <si>
    <t>https://drive.google.com/file/d/1PDHWpocyvDC9eJEiGg33qMWmH495qT9b/view?usp=drivesdk</t>
  </si>
  <si>
    <t>Document successfully created; Document successfully merged; PDF created; !!Error Sending Emails: Service invoked too many times for one day: email.; Manually run by ecertificate75@gmail.com; Timestamp: Sep 4 2024 2:25 AM</t>
  </si>
  <si>
    <t xml:space="preserve">Evi July Indriani </t>
  </si>
  <si>
    <t>evijuli2018@gmail.com</t>
  </si>
  <si>
    <t>7273</t>
  </si>
  <si>
    <t>Starting at Thu Aug 29 2024 22:07:03 GMT-0400 (EDT)</t>
  </si>
  <si>
    <t>1apeMfaF08mvzjRCIZahkc_6eacuiycMt</t>
  </si>
  <si>
    <t>https://drive.google.com/file/d/1apeMfaF08mvzjRCIZahkc_6eacuiycMt/view?usp=drivesdk</t>
  </si>
  <si>
    <t>Desy Indria Sari</t>
  </si>
  <si>
    <t>desyindriasari2006@gmail.com</t>
  </si>
  <si>
    <t>7274</t>
  </si>
  <si>
    <t>1kzCNcu6vT6raMMtb0iEkxxGhQy07kSsJ</t>
  </si>
  <si>
    <t>https://drive.google.com/file/d/1kzCNcu6vT6raMMtb0iEkxxGhQy07kSsJ/view?usp=drivesdk</t>
  </si>
  <si>
    <t>Dwi Ayu Meirdiani</t>
  </si>
  <si>
    <t>meirdian8205@gmail.com</t>
  </si>
  <si>
    <t>7275</t>
  </si>
  <si>
    <t>Starting at Thu Aug 29 2024 22:07:05 GMT-0400 (EDT)</t>
  </si>
  <si>
    <t>1MK4tPBSxEpbgzcX9Oj-8l3LzZDshsmpl</t>
  </si>
  <si>
    <t>https://drive.google.com/file/d/1MK4tPBSxEpbgzcX9Oj-8l3LzZDshsmpl/view?usp=drivesdk</t>
  </si>
  <si>
    <t>Document successfully created; Document successfully merged; PDF created; !!Error Sending Emails: Service invoked too many times for one day: email.; Manually run by ecertificate75@gmail.com; Timestamp: Sep 4 2024 2:26 AM</t>
  </si>
  <si>
    <t>Eko Budi Utomo, S.Sos</t>
  </si>
  <si>
    <t>ekobudiutomo124@gmail.com</t>
  </si>
  <si>
    <t>7276</t>
  </si>
  <si>
    <t>1LZkiiPaMt_wdKkcOnSUjubCKMozYMhrR</t>
  </si>
  <si>
    <t>https://drive.google.com/file/d/1LZkiiPaMt_wdKkcOnSUjubCKMozYMhrR/view?usp=drivesdk</t>
  </si>
  <si>
    <t>KHOLIDAH</t>
  </si>
  <si>
    <t>kholidahlubis14@gmail.com</t>
  </si>
  <si>
    <t>7277</t>
  </si>
  <si>
    <t>Starting at Thu Aug 29 2024 22:07:08 GMT-0400 (EDT)</t>
  </si>
  <si>
    <t>1Rbnk2_ZwJ-v_HkzzKlixIOBg1x_AMMwD</t>
  </si>
  <si>
    <t>https://drive.google.com/file/d/1Rbnk2_ZwJ-v_HkzzKlixIOBg1x_AMMwD/view?usp=drivesdk</t>
  </si>
  <si>
    <t>EKA WIRDA NOVITA, SE</t>
  </si>
  <si>
    <t>ekawirdanovita@gmail.com</t>
  </si>
  <si>
    <t>7278</t>
  </si>
  <si>
    <t>Starting at Thu Aug 29 2024 22:07:10 GMT-0400 (EDT)</t>
  </si>
  <si>
    <t>1bcuCyrMKic05i5D2Ul0LY6FGJS686atW</t>
  </si>
  <si>
    <t>https://drive.google.com/file/d/1bcuCyrMKic05i5D2Ul0LY6FGJS686atW/view?usp=drivesdk</t>
  </si>
  <si>
    <t>Document successfully created; Document successfully merged; PDF created; !!Error Sending Emails: Service invoked too many times for one day: email.; Manually run by ecertificate75@gmail.com; Timestamp: Sep 4 2024 2:27 AM</t>
  </si>
  <si>
    <t>SUNDARIYANTO</t>
  </si>
  <si>
    <t>sundariyanto67@gmail.com</t>
  </si>
  <si>
    <t>7279</t>
  </si>
  <si>
    <t>1xFWpvSbhE6_cesZiXlvN03hJhm9VKmQn</t>
  </si>
  <si>
    <t>https://drive.google.com/file/d/1xFWpvSbhE6_cesZiXlvN03hJhm9VKmQn/view?usp=drivesdk</t>
  </si>
  <si>
    <t>RAMLAN</t>
  </si>
  <si>
    <t>Denbaguslan51k@gmail.com</t>
  </si>
  <si>
    <t>7280</t>
  </si>
  <si>
    <t>Starting at Thu Aug 29 2024 22:07:12 GMT-0400 (EDT)</t>
  </si>
  <si>
    <t>1b19eM-KLvQVtIq1xh2-r5TbLadTQVw3Y</t>
  </si>
  <si>
    <t>https://drive.google.com/file/d/1b19eM-KLvQVtIq1xh2-r5TbLadTQVw3Y/view?usp=drivesdk</t>
  </si>
  <si>
    <t xml:space="preserve">RINA AMARTIWI </t>
  </si>
  <si>
    <t>rinaamartiwi67@gmail.com</t>
  </si>
  <si>
    <t>7281</t>
  </si>
  <si>
    <t>1Ia69TvzQd9u2bWe8tTW25zIiWQ-zt6ya</t>
  </si>
  <si>
    <t>https://drive.google.com/file/d/1Ia69TvzQd9u2bWe8tTW25zIiWQ-zt6ya/view?usp=drivesdk</t>
  </si>
  <si>
    <t>ABD.RAHMAN,A.mk</t>
  </si>
  <si>
    <t>abd.rahman.amk123@gmail.com</t>
  </si>
  <si>
    <t>7282</t>
  </si>
  <si>
    <t>1vNGR61vyHLOuax1mkgyDLdBJQg2RuxzH</t>
  </si>
  <si>
    <t>https://drive.google.com/file/d/1vNGR61vyHLOuax1mkgyDLdBJQg2RuxzH/view?usp=drivesdk</t>
  </si>
  <si>
    <t>Document successfully created; Document successfully merged; PDF created; !!Error Sending Emails: Service invoked too many times for one day: email.; Manually run by ecertificate75@gmail.com; Timestamp: Sep 4 2024 2:28 AM</t>
  </si>
  <si>
    <t>MUNALIZA, AM.KEB</t>
  </si>
  <si>
    <t>munaliza896@gmail.com</t>
  </si>
  <si>
    <t>7283</t>
  </si>
  <si>
    <t>https://drive.google.com/file/d/1uU109aXBzY0PHhWHWvIQ0DOoUvNISxzs/view?usp=drivesdk</t>
  </si>
  <si>
    <t>Document successfully created; Document successfully merged; PDF created; !!Error Sending Emails: Service invoked too many times for one day: email.; Run via form trigger as ecertificate75@gmail.com; Timestamp: Aug 29 2024 10:09 PM</t>
  </si>
  <si>
    <t>1uU109aXBzY0PHhWHWvIQ0DOoUvNISxzs</t>
  </si>
  <si>
    <t>1lo8X41G3Qp3WuLTGVn8wB_N-BusjxVwg</t>
  </si>
  <si>
    <t>https://drive.google.com/file/d/1lo8X41G3Qp3WuLTGVn8wB_N-BusjxVwg/view?usp=drivesdk</t>
  </si>
  <si>
    <t>DWI BUDI SUPRIYANINGSIH, AMK</t>
  </si>
  <si>
    <t>dbudi354@gmail.com</t>
  </si>
  <si>
    <t>7284</t>
  </si>
  <si>
    <t>Starting at Thu Aug 29 2024 22:09:45 GMT-0400 (EDT)</t>
  </si>
  <si>
    <t>1PhuuAiKCHNLhP4VmVP3HKRY36CPHVP2V</t>
  </si>
  <si>
    <t>https://drive.google.com/file/d/1PhuuAiKCHNLhP4VmVP3HKRY36CPHVP2V/view?usp=drivesdk</t>
  </si>
  <si>
    <t>NUR RACHMA JUWITA,S.Kep.,Ns</t>
  </si>
  <si>
    <t>nurjuwita79@gmail.com</t>
  </si>
  <si>
    <t>7285</t>
  </si>
  <si>
    <t>1Y7WIQs1MsYYm3EC09mNsuH6YW55ODnLm</t>
  </si>
  <si>
    <t>https://drive.google.com/file/d/1Y7WIQs1MsYYm3EC09mNsuH6YW55ODnLm/view?usp=drivesdk</t>
  </si>
  <si>
    <t>YUNI KURNIA HAPSARI</t>
  </si>
  <si>
    <t>yunihapsarikurnia@gmail.com</t>
  </si>
  <si>
    <t>7286</t>
  </si>
  <si>
    <t>Starting at Thu Aug 29 2024 22:07:20 GMT-0400 (EDT)</t>
  </si>
  <si>
    <t>104Oi1UXhCDNA41uQ6VwXyAn5dzI0OI8L</t>
  </si>
  <si>
    <t>https://drive.google.com/file/d/104Oi1UXhCDNA41uQ6VwXyAn5dzI0OI8L/view?usp=drivesdk</t>
  </si>
  <si>
    <t>Document successfully created; Document successfully merged; PDF created; !!Error Sending Emails: Service invoked too many times for one day: email.; Manually run by ecertificate75@gmail.com; Timestamp: Sep 4 2024 2:29 AM</t>
  </si>
  <si>
    <t>HANIK MUFARIDA</t>
  </si>
  <si>
    <t>hanikmufarida@gmail.com</t>
  </si>
  <si>
    <t>7287</t>
  </si>
  <si>
    <t>1OVL5oFy11FUrsf1KIkj5hwPC96vc_LIB</t>
  </si>
  <si>
    <t>https://drive.google.com/file/d/1OVL5oFy11FUrsf1KIkj5hwPC96vc_LIB/view?usp=drivesdk</t>
  </si>
  <si>
    <t>DR RR NOVITA WAHYU HANDAYANI MM MKM</t>
  </si>
  <si>
    <t>novitawahyuhandayani@gmail.com</t>
  </si>
  <si>
    <t>7288</t>
  </si>
  <si>
    <t>1QHEoBfkuDZeMpSA1BmKVk7eY3Z696Y7P</t>
  </si>
  <si>
    <t>https://drive.google.com/file/d/1QHEoBfkuDZeMpSA1BmKVk7eY3Z696Y7P/view?usp=drivesdk</t>
  </si>
  <si>
    <t>NS.SRI WELVI ROSNITA Skep</t>
  </si>
  <si>
    <t>sriwelvi2@gmail.com</t>
  </si>
  <si>
    <t>7289</t>
  </si>
  <si>
    <t>18qLDViUWSAzbMQn4-SMSEwkIhmpaSYCE</t>
  </si>
  <si>
    <t>https://drive.google.com/file/d/18qLDViUWSAzbMQn4-SMSEwkIhmpaSYCE/view?usp=drivesdk</t>
  </si>
  <si>
    <t>7290</t>
  </si>
  <si>
    <t>https://drive.google.com/file/d/1j2Y6kweVWIjvZja8B6jyGJ9Mv2MeuMu6/view?usp=drivesdk</t>
  </si>
  <si>
    <t>1j2Y6kweVWIjvZja8B6jyGJ9Mv2MeuMu6</t>
  </si>
  <si>
    <t>1nqzFCv5k1jit25wJzhAI-T4bY3GTJe5b</t>
  </si>
  <si>
    <t>https://drive.google.com/file/d/1nqzFCv5k1jit25wJzhAI-T4bY3GTJe5b/view?usp=drivesdk</t>
  </si>
  <si>
    <t>Document successfully created; Document successfully merged; PDF created; !!Error Sending Emails: Service invoked too many times for one day: email.; Manually run by ecertificate75@gmail.com; Timestamp: Sep 4 2024 2:30 AM</t>
  </si>
  <si>
    <t>SEPTININGSIH HERU INDRIATI</t>
  </si>
  <si>
    <t>septiindriati388@gmail.com</t>
  </si>
  <si>
    <t>7291</t>
  </si>
  <si>
    <t>Starting at Thu Aug 29 2024 22:07:29 GMT-0400 (EDT)</t>
  </si>
  <si>
    <t>1O4p49_VRA5EHL4w7U_cQaBVbsWS0IJYp</t>
  </si>
  <si>
    <t>https://drive.google.com/file/d/1O4p49_VRA5EHL4w7U_cQaBVbsWS0IJYp/view?usp=drivesdk</t>
  </si>
  <si>
    <t>HALILA WUSURWUT</t>
  </si>
  <si>
    <t>Halilawusurwut@gmail.com</t>
  </si>
  <si>
    <t>7292</t>
  </si>
  <si>
    <t>1nXlQKW76xv5bprfrHyJ9iRLofhYUx_gl</t>
  </si>
  <si>
    <t>https://drive.google.com/file/d/1nXlQKW76xv5bprfrHyJ9iRLofhYUx_gl/view?usp=drivesdk</t>
  </si>
  <si>
    <t>BUKORI</t>
  </si>
  <si>
    <t>bukori020469@gmail.com</t>
  </si>
  <si>
    <t>7293</t>
  </si>
  <si>
    <t>1apygtle6bNgYayulWbss28dHBAx0NV9N</t>
  </si>
  <si>
    <t>https://drive.google.com/file/d/1apygtle6bNgYayulWbss28dHBAx0NV9N/view?usp=drivesdk</t>
  </si>
  <si>
    <t>Nita Meriahta Sitepu, Amd</t>
  </si>
  <si>
    <t>nitasitepu01@gmail.com</t>
  </si>
  <si>
    <t>7294</t>
  </si>
  <si>
    <t>Starting at Thu Aug 29 2024 22:07:30 GMT-0400 (EDT)</t>
  </si>
  <si>
    <t>19k8U93XNGbMFcGVNYg6zW6U4SQNtmbDz</t>
  </si>
  <si>
    <t>https://drive.google.com/file/d/19k8U93XNGbMFcGVNYg6zW6U4SQNtmbDz/view?usp=drivesdk</t>
  </si>
  <si>
    <t>Document successfully created; Document successfully merged; PDF created; !!Error Sending Emails: Service invoked too many times for one day: email.; Manually run by ecertificate75@gmail.com; Timestamp: Sep 4 2024 2:31 AM</t>
  </si>
  <si>
    <t>ENI SOPIATI</t>
  </si>
  <si>
    <t>enisopia1980@gmail.com</t>
  </si>
  <si>
    <t>7295</t>
  </si>
  <si>
    <t>Starting at Thu Aug 29 2024 22:07:32 GMT-0400 (EDT)</t>
  </si>
  <si>
    <t>1e7W-zlyOTZZJQRRwgLB5SYVMOtEn6MFX</t>
  </si>
  <si>
    <t>https://drive.google.com/file/d/1e7W-zlyOTZZJQRRwgLB5SYVMOtEn6MFX/view?usp=drivesdk</t>
  </si>
  <si>
    <t>SUNARWi</t>
  </si>
  <si>
    <t>narwip@gmail.com</t>
  </si>
  <si>
    <t>7296</t>
  </si>
  <si>
    <t>Starting at Thu Aug 29 2024 22:07:35 GMT-0400 (EDT)</t>
  </si>
  <si>
    <t>1leTZ416dmzhadDBFJuceHWX580gqbj-O</t>
  </si>
  <si>
    <t>https://drive.google.com/file/d/1leTZ416dmzhadDBFJuceHWX580gqbj-O/view?usp=drivesdk</t>
  </si>
  <si>
    <t>IDA PURNAWATI, S.H.</t>
  </si>
  <si>
    <t>idapurnawati82@gmail.com</t>
  </si>
  <si>
    <t>7297</t>
  </si>
  <si>
    <t>1hqHnDRPLgJMFFTjIRj3hjrSyCoB0KimN</t>
  </si>
  <si>
    <t>https://drive.google.com/file/d/1hqHnDRPLgJMFFTjIRj3hjrSyCoB0KimN/view?usp=drivesdk</t>
  </si>
  <si>
    <t>Document successfully created; Document successfully merged; PDF created; !!Error Sending Emails: Service invoked too many times for one day: email.; Manually run by ecertificate75@gmail.com; Timestamp: Sep 4 2024 2:32 AM</t>
  </si>
  <si>
    <t xml:space="preserve">SIGIT TRIYANTO </t>
  </si>
  <si>
    <t>secetta@gmail.com</t>
  </si>
  <si>
    <t>7298</t>
  </si>
  <si>
    <t>12kMrT4VjdAEuosJ5m-CWbOIu3Yj9FIrI</t>
  </si>
  <si>
    <t>https://drive.google.com/file/d/12kMrT4VjdAEuosJ5m-CWbOIu3Yj9FIrI/view?usp=drivesdk</t>
  </si>
  <si>
    <t>SYAKRONI</t>
  </si>
  <si>
    <t>syakronit10@gmail.com</t>
  </si>
  <si>
    <t>7299</t>
  </si>
  <si>
    <t>https://drive.google.com/file/d/1acsUMPXs4wS4cWF38UYgN_hoQ6mN6vHy/view?usp=drivesdk</t>
  </si>
  <si>
    <t>Document successfully created; Document successfully merged; PDF created; !!Error Sending Emails: Service invoked too many times for one day: email.; Run via form trigger as ecertificate75@gmail.com; Timestamp: Aug 29 2024 10:08 PM</t>
  </si>
  <si>
    <t>1acsUMPXs4wS4cWF38UYgN_hoQ6mN6vHy</t>
  </si>
  <si>
    <t>19cejeg-qdO6IbLHV9AVeUt48D23bbm9f</t>
  </si>
  <si>
    <t>https://drive.google.com/file/d/19cejeg-qdO6IbLHV9AVeUt48D23bbm9f/view?usp=drivesdk</t>
  </si>
  <si>
    <t>UDIN TUTUPOHO</t>
  </si>
  <si>
    <t>bidtikpoldam@gmail.com</t>
  </si>
  <si>
    <t>7300</t>
  </si>
  <si>
    <t>Starting at Thu Aug 29 2024 22:07:40 GMT-0400 (EDT)</t>
  </si>
  <si>
    <t>1sg65WZKtu_Dg126wQMZqHlffFDw48dg3</t>
  </si>
  <si>
    <t>https://drive.google.com/file/d/1sg65WZKtu_Dg126wQMZqHlffFDw48dg3/view?usp=drivesdk</t>
  </si>
  <si>
    <t>LESNA BR GINTING</t>
  </si>
  <si>
    <t>llesnaginting@gmail.com</t>
  </si>
  <si>
    <t>7301</t>
  </si>
  <si>
    <t>1mDzR-CJw5XYvU-nmMoczO-34_UooYWIB</t>
  </si>
  <si>
    <t>https://drive.google.com/file/d/1mDzR-CJw5XYvU-nmMoczO-34_UooYWIB/view?usp=drivesdk</t>
  </si>
  <si>
    <t>Document successfully created; Document successfully merged; PDF created; !!Error Sending Emails: Service invoked too many times for one day: email.; Manually run by ecertificate75@gmail.com; Timestamp: Sep 4 2024 2:33 AM</t>
  </si>
  <si>
    <t>YENNI NOVIA PRAWITA</t>
  </si>
  <si>
    <t>mithashandyp@gmail.com</t>
  </si>
  <si>
    <t>7302</t>
  </si>
  <si>
    <t>1pO-qz8xnoCBrgFVtP-gUIDOidaAUhoBn</t>
  </si>
  <si>
    <t>https://drive.google.com/file/d/1pO-qz8xnoCBrgFVtP-gUIDOidaAUhoBn/view?usp=drivesdk</t>
  </si>
  <si>
    <t>HENNI SETYOWATI, S.KOM.</t>
  </si>
  <si>
    <t>hennirance@gmail.com</t>
  </si>
  <si>
    <t>7303</t>
  </si>
  <si>
    <t>Starting at Thu Aug 29 2024 22:07:47 GMT-0400 (EDT)</t>
  </si>
  <si>
    <t>1VJwBiWC5TMZy7xELAZMYku2ocAXOe1yu</t>
  </si>
  <si>
    <t>https://drive.google.com/file/d/1VJwBiWC5TMZy7xELAZMYku2ocAXOe1yu/view?usp=drivesdk</t>
  </si>
  <si>
    <t>RULLY RAMADHANI.S.ST.,M.KES</t>
  </si>
  <si>
    <t>rullyramadhani@yahoo.com</t>
  </si>
  <si>
    <t>7304</t>
  </si>
  <si>
    <t>1e3-2znlFBZBom5b8RfN5PmutZws0w87e</t>
  </si>
  <si>
    <t>https://drive.google.com/file/d/1e3-2znlFBZBom5b8RfN5PmutZws0w87e/view?usp=drivesdk</t>
  </si>
  <si>
    <t>EMILDA YULIA FATEHA</t>
  </si>
  <si>
    <t>emildayuliafateha@gmail.com</t>
  </si>
  <si>
    <t>7305</t>
  </si>
  <si>
    <t>1uYQ9DFaK-FOv2ev0ADLnkes1BJJYD204</t>
  </si>
  <si>
    <t>https://drive.google.com/file/d/1uYQ9DFaK-FOv2ev0ADLnkes1BJJYD204/view?usp=drivesdk</t>
  </si>
  <si>
    <t>AHMAD SOPIAN</t>
  </si>
  <si>
    <t>iyungsopian18@gmail.com</t>
  </si>
  <si>
    <t>7306</t>
  </si>
  <si>
    <t>1W3trVU7MxrdPQ5OWYpaYwZ2y3LjoWnZF</t>
  </si>
  <si>
    <t>https://drive.google.com/file/d/1W3trVU7MxrdPQ5OWYpaYwZ2y3LjoWnZF/view?usp=drivesdk</t>
  </si>
  <si>
    <t>Document successfully created; Document successfully merged; PDF created; !!Error Sending Emails: Service invoked too many times for one day: email.; Manually run by ecertificate75@gmail.com; Timestamp: Sep 4 2024 2:34 AM</t>
  </si>
  <si>
    <t>BAGIO, S.E.</t>
  </si>
  <si>
    <t>bagioyes@gmail.com</t>
  </si>
  <si>
    <t>7307</t>
  </si>
  <si>
    <t>1HpOE1RF-qHclogonEhKiInE-1idFU011</t>
  </si>
  <si>
    <t>https://drive.google.com/file/d/1HpOE1RF-qHclogonEhKiInE-1idFU011/view?usp=drivesdk</t>
  </si>
  <si>
    <t xml:space="preserve">MULYANTO </t>
  </si>
  <si>
    <t>masmoel.anto@gmail.com</t>
  </si>
  <si>
    <t>7308</t>
  </si>
  <si>
    <t>1uVf6HL47RNXoHsAgGh5jBOj5BdgzQH4z</t>
  </si>
  <si>
    <t>https://drive.google.com/file/d/1uVf6HL47RNXoHsAgGh5jBOj5BdgzQH4z/view?usp=drivesdk</t>
  </si>
  <si>
    <t>PRATININGSIH</t>
  </si>
  <si>
    <t>aditya29pratama@gmai.com</t>
  </si>
  <si>
    <t>7309</t>
  </si>
  <si>
    <t>Starting at Thu Aug 29 2024 22:07:53 GMT-0400 (EDT)</t>
  </si>
  <si>
    <t>1Kuy0vbSfOzhajQ5XeECcF3pXpoC9i_q_</t>
  </si>
  <si>
    <t>https://drive.google.com/file/d/1Kuy0vbSfOzhajQ5XeECcF3pXpoC9i_q_/view?usp=drivesdk</t>
  </si>
  <si>
    <t>Document successfully created; Document successfully merged; PDF created; !!Error Sending Emails: Service invoked too many times for one day: email.; Manually run by ecertificate75@gmail.com; Timestamp: Sep 4 2024 2:35 AM</t>
  </si>
  <si>
    <t>LISMAWATI</t>
  </si>
  <si>
    <t>lismaa.bpp72@gmail.com</t>
  </si>
  <si>
    <t>7310</t>
  </si>
  <si>
    <t>14OqnXtdj4zPILxC_cuFcWgwt4WdgMEQ4</t>
  </si>
  <si>
    <t>https://drive.google.com/file/d/14OqnXtdj4zPILxC_cuFcWgwt4WdgMEQ4/view?usp=drivesdk</t>
  </si>
  <si>
    <t>SRI MURYANI</t>
  </si>
  <si>
    <t>bojabayu79@gmail.com</t>
  </si>
  <si>
    <t>7311</t>
  </si>
  <si>
    <t>1OwZkHWetjdxRG0T-v80e9Wvrk8JrJ1an</t>
  </si>
  <si>
    <t>https://drive.google.com/file/d/1OwZkHWetjdxRG0T-v80e9Wvrk8JrJ1an/view?usp=drivesdk</t>
  </si>
  <si>
    <t>FITHRI</t>
  </si>
  <si>
    <t>fithri1978@gmail.com</t>
  </si>
  <si>
    <t>7312</t>
  </si>
  <si>
    <t>1716lTgBoU-LxLPfYJa9DPjml9WxE0Sbp</t>
  </si>
  <si>
    <t>https://drive.google.com/file/d/1716lTgBoU-LxLPfYJa9DPjml9WxE0Sbp/view?usp=drivesdk</t>
  </si>
  <si>
    <t>ERWIN, A.Md</t>
  </si>
  <si>
    <t>erwin19021970@gmail.com</t>
  </si>
  <si>
    <t>7313</t>
  </si>
  <si>
    <t>1OEYvl8n3mGwfoqz9Z0RiJ-ZKD1san0lp</t>
  </si>
  <si>
    <t>https://drive.google.com/file/d/1OEYvl8n3mGwfoqz9Z0RiJ-ZKD1san0lp/view?usp=drivesdk</t>
  </si>
  <si>
    <t>Document successfully created; Document successfully merged; PDF created; !!Error Sending Emails: Service invoked too many times for one day: email.; Manually run by ecertificate75@gmail.com; Timestamp: Sep 4 2024 2:36 AM</t>
  </si>
  <si>
    <t>ZULHIJRIAHWATI</t>
  </si>
  <si>
    <t>omakenzio9218.@gmai.com</t>
  </si>
  <si>
    <t>7314</t>
  </si>
  <si>
    <t>18wBlGzPnmn6iLq1la-f20CvxGa99_hhI</t>
  </si>
  <si>
    <t>https://drive.google.com/file/d/18wBlGzPnmn6iLq1la-f20CvxGa99_hhI/view?usp=drivesdk</t>
  </si>
  <si>
    <t>Document successfully created; Document successfully merged; PDF created; !!Error Sending Emails: Invalid email: omakenzio9218.@gmai.com; Manually run by ecertificate75@gmail.com; Timestamp: Sep 4 2024 2:36 AM</t>
  </si>
  <si>
    <t>MOH TAQLIM</t>
  </si>
  <si>
    <t>mohtaqlim.com@gmail.com</t>
  </si>
  <si>
    <t>7315</t>
  </si>
  <si>
    <t>1FlgqUeiLgC40M_J-XJ5KZ1LaERBGPGhw</t>
  </si>
  <si>
    <t>https://drive.google.com/file/d/1FlgqUeiLgC40M_J-XJ5KZ1LaERBGPGhw/view?usp=drivesdk</t>
  </si>
  <si>
    <t xml:space="preserve">HERAWATI LALEKENG </t>
  </si>
  <si>
    <t>gabrutgabut@gmail.com</t>
  </si>
  <si>
    <t>7316</t>
  </si>
  <si>
    <t>12o2W-BUKfHcoKWUxaCvE0WOw-HbNGrIr</t>
  </si>
  <si>
    <t>https://drive.google.com/file/d/12o2W-BUKfHcoKWUxaCvE0WOw-HbNGrIr/view?usp=drivesdk</t>
  </si>
  <si>
    <t>RANI OKTAFITRI, AMK</t>
  </si>
  <si>
    <t>oktafrani@gmail.com</t>
  </si>
  <si>
    <t>7317</t>
  </si>
  <si>
    <t>Starting at Thu Aug 29 2024 22:07:54 GMT-0400 (EDT)</t>
  </si>
  <si>
    <t>1Qp8owfoKTPkr0L0NuWNwjAc1mG1KVb9t</t>
  </si>
  <si>
    <t>https://drive.google.com/file/d/1Qp8owfoKTPkr0L0NuWNwjAc1mG1KVb9t/view?usp=drivesdk</t>
  </si>
  <si>
    <t>Document successfully created; Document successfully merged; PDF created; !!Error Sending Emails: Service invoked too many times for one day: email.; Manually run by ecertificate75@gmail.com; Timestamp: Sep 4 2024 2:37 AM</t>
  </si>
  <si>
    <t>WAHYU DWI CAHYARINI, S.E.</t>
  </si>
  <si>
    <t>cahyarini13@gmail.com</t>
  </si>
  <si>
    <t>7318</t>
  </si>
  <si>
    <t>1VdBPNbyQ3FHIE5gOGWK4sHTXAPE6AWIQ</t>
  </si>
  <si>
    <t>https://drive.google.com/file/d/1VdBPNbyQ3FHIE5gOGWK4sHTXAPE6AWIQ/view?usp=drivesdk</t>
  </si>
  <si>
    <t>EMI YUSNOVITA, S.E</t>
  </si>
  <si>
    <t>eminadhifa07@gmail.com</t>
  </si>
  <si>
    <t>7319</t>
  </si>
  <si>
    <t>Starting at Thu Aug 29 2024 22:08:02 GMT-0400 (EDT)</t>
  </si>
  <si>
    <t>1xkwcOWsRPwm5R8fXcAOYPc9bF4BPCVQ1</t>
  </si>
  <si>
    <t>https://drive.google.com/file/d/1xkwcOWsRPwm5R8fXcAOYPc9bF4BPCVQ1/view?usp=drivesdk</t>
  </si>
  <si>
    <t>DEVI LINDA SARI</t>
  </si>
  <si>
    <t>Sarilubis1711@gmail.com</t>
  </si>
  <si>
    <t>7320</t>
  </si>
  <si>
    <t>1-B7IJaHcgP3KrP0fjuCTJbBR4KSabx38</t>
  </si>
  <si>
    <t>https://drive.google.com/file/d/1-B7IJaHcgP3KrP0fjuCTJbBR4KSabx38/view?usp=drivesdk</t>
  </si>
  <si>
    <t>Win Tasajat, S.Pd.I.,M.Si</t>
  </si>
  <si>
    <t>wintasajat67@gmail.com</t>
  </si>
  <si>
    <t>7321</t>
  </si>
  <si>
    <t>1FoPODbhcXS-Qy8nQgO1dDR_wLrecx1AY</t>
  </si>
  <si>
    <t>https://drive.google.com/file/d/1FoPODbhcXS-Qy8nQgO1dDR_wLrecx1AY/view?usp=drivesdk</t>
  </si>
  <si>
    <t>Document successfully created; Document successfully merged; PDF created; !!Error Sending Emails: Service invoked too many times for one day: email.; Manually run by ecertificate75@gmail.com; Timestamp: Sep 4 2024 2:38 AM</t>
  </si>
  <si>
    <t>SRI INDRAWATI,A.MD.KEB</t>
  </si>
  <si>
    <t>sriindrawati2404@gmail.com</t>
  </si>
  <si>
    <t>7322</t>
  </si>
  <si>
    <t>https://drive.google.com/file/d/19S96eFT2V9Ri9jR1Mf7TcStGCawKLUpv/view?usp=drivesdk</t>
  </si>
  <si>
    <t>Document successfully created; Document successfully merged; PDF created; !!Error Sending Emails: Service invoked too many times for one day: email.; Run via form trigger as ecertificate75@gmail.com; Timestamp: Aug 29 2024 10:11 PM</t>
  </si>
  <si>
    <t>19S96eFT2V9Ri9jR1Mf7TcStGCawKLUpv</t>
  </si>
  <si>
    <t>1jGDr7vh2-IhcMnyGuM7ddbzFPyWtdMUM</t>
  </si>
  <si>
    <t>https://drive.google.com/file/d/1jGDr7vh2-IhcMnyGuM7ddbzFPyWtdMUM/view?usp=drivesdk</t>
  </si>
  <si>
    <t>stargokil25@gmail.com</t>
  </si>
  <si>
    <t>7323</t>
  </si>
  <si>
    <t>Starting at Thu Aug 29 2024 22:08:04 GMT-0400 (EDT)</t>
  </si>
  <si>
    <t>1AOkeCjloUZzD-rLPRx3uVcW-3FdqR52D</t>
  </si>
  <si>
    <t>https://drive.google.com/file/d/1AOkeCjloUZzD-rLPRx3uVcW-3FdqR52D/view?usp=drivesdk</t>
  </si>
  <si>
    <t>DESI AGUSTIA</t>
  </si>
  <si>
    <t>desi060883@gmail.com</t>
  </si>
  <si>
    <t>7324</t>
  </si>
  <si>
    <t>Starting at Thu Aug 29 2024 22:08:07 GMT-0400 (EDT)</t>
  </si>
  <si>
    <t>13HFDt7wk1aywlGFd0uyVhL5UNsGklIeN</t>
  </si>
  <si>
    <t>https://drive.google.com/file/d/13HFDt7wk1aywlGFd0uyVhL5UNsGklIeN/view?usp=drivesdk</t>
  </si>
  <si>
    <t>EKKY TRI DARMAWAN DRG</t>
  </si>
  <si>
    <t>ekkytridarmawan@yahoo.co.id</t>
  </si>
  <si>
    <t>7325</t>
  </si>
  <si>
    <t>1XF4RQVzTRMLk0-BXIR_nVq0ZVN-dytJ0</t>
  </si>
  <si>
    <t>https://drive.google.com/file/d/1XF4RQVzTRMLk0-BXIR_nVq0ZVN-dytJ0/view?usp=drivesdk</t>
  </si>
  <si>
    <t>Document successfully created; Document successfully merged; PDF created; !!Error Sending Emails: Service invoked too many times for one day: email.; Manually run by ecertificate75@gmail.com; Timestamp: Sep 4 2024 2:39 AM</t>
  </si>
  <si>
    <t>ANDI HARYANTO, S.H.</t>
  </si>
  <si>
    <t>lathifa1971@gmail.com</t>
  </si>
  <si>
    <t>7326</t>
  </si>
  <si>
    <t>1POQkcmXp80Jx62imy5G1riQDzcQm5-aE</t>
  </si>
  <si>
    <t>https://drive.google.com/file/d/1POQkcmXp80Jx62imy5G1riQDzcQm5-aE/view?usp=drivesdk</t>
  </si>
  <si>
    <t>SITI NOOR HIDAYATI, SE</t>
  </si>
  <si>
    <t>ropers.ksl@gmail.com</t>
  </si>
  <si>
    <t>7327</t>
  </si>
  <si>
    <t>1HQ3v8EZS5hMkYBxInSrwOg56-OwqYPr-</t>
  </si>
  <si>
    <t>https://drive.google.com/file/d/1HQ3v8EZS5hMkYBxInSrwOg56-OwqYPr-/view?usp=drivesdk</t>
  </si>
  <si>
    <t xml:space="preserve">ASTI NURMASIH </t>
  </si>
  <si>
    <t>astinurmasih@gmail.com</t>
  </si>
  <si>
    <t>7328</t>
  </si>
  <si>
    <t>Starting at Thu Aug 29 2024 22:08:10 GMT-0400 (EDT)</t>
  </si>
  <si>
    <t>1OTPAJaKPtcZXZXVUn3F7H-gNNgVNfyF-</t>
  </si>
  <si>
    <t>https://drive.google.com/file/d/1OTPAJaKPtcZXZXVUn3F7H-gNNgVNfyF-/view?usp=drivesdk</t>
  </si>
  <si>
    <t xml:space="preserve">FITRI SUSANTI. SH </t>
  </si>
  <si>
    <t>fitri.250711@gmail.com</t>
  </si>
  <si>
    <t>7329</t>
  </si>
  <si>
    <t>https://drive.google.com/file/d/1Rm5HrCKL9uB8gqGgJxw_2D6_ywGrOOLn/view?usp=drivesdk</t>
  </si>
  <si>
    <t>1Rm5HrCKL9uB8gqGgJxw_2D6_ywGrOOLn</t>
  </si>
  <si>
    <t>1dKC8xHNRkcTrRZfVosd_oUZQuszGp8W0</t>
  </si>
  <si>
    <t>https://drive.google.com/file/d/1dKC8xHNRkcTrRZfVosd_oUZQuszGp8W0/view?usp=drivesdk</t>
  </si>
  <si>
    <t>SITI ROISAH</t>
  </si>
  <si>
    <t>sitiroisyah26@gmail.com</t>
  </si>
  <si>
    <t>7330</t>
  </si>
  <si>
    <t>Starting at Thu Aug 29 2024 22:08:12 GMT-0400 (EDT)</t>
  </si>
  <si>
    <t>1dk33p-zw0IEOU58s3nL_gTyxuxHqN3Ki</t>
  </si>
  <si>
    <t>https://drive.google.com/file/d/1dk33p-zw0IEOU58s3nL_gTyxuxHqN3Ki/view?usp=drivesdk</t>
  </si>
  <si>
    <t>Document successfully created; Document successfully merged; PDF created; !!Error Sending Emails: Service invoked too many times for one day: email.; Manually run by ecertificate75@gmail.com; Timestamp: Sep 4 2024 2:40 AM</t>
  </si>
  <si>
    <t>WAHYUDHI</t>
  </si>
  <si>
    <t>wahyubawono71@gmail.com</t>
  </si>
  <si>
    <t>7331</t>
  </si>
  <si>
    <t>https://drive.google.com/file/d/1p8JqezGKIzfyTfdS7YQcWmpz3LXmTnjd/view?usp=drivesdk</t>
  </si>
  <si>
    <t>1p8JqezGKIzfyTfdS7YQcWmpz3LXmTnjd</t>
  </si>
  <si>
    <t>1bJJd8WJ-m72tFSIboLyETGiwkvDvsHki</t>
  </si>
  <si>
    <t>https://drive.google.com/file/d/1bJJd8WJ-m72tFSIboLyETGiwkvDvsHki/view?usp=drivesdk</t>
  </si>
  <si>
    <t>ASEP SUTISNA</t>
  </si>
  <si>
    <t>sutisnaaasep1970@gmail.com</t>
  </si>
  <si>
    <t>7332</t>
  </si>
  <si>
    <t>Starting at Thu Aug 29 2024 22:08:14 GMT-0400 (EDT)</t>
  </si>
  <si>
    <t>1nX34SpFM3AoIxiaM1KxBe1M_7T_ehLun</t>
  </si>
  <si>
    <t>https://drive.google.com/file/d/1nX34SpFM3AoIxiaM1KxBe1M_7T_ehLun/view?usp=drivesdk</t>
  </si>
  <si>
    <t>Document successfully created; Document successfully merged; PDF created; !!Error Sending Emails: Service invoked too many times for one day: email.; Manually run by ecertificate75@gmail.com; Timestamp: Sep 4 2024 2:41 AM</t>
  </si>
  <si>
    <t>FAJAR HENDRO BASKORO</t>
  </si>
  <si>
    <t>arexs.bas76@gmail.com</t>
  </si>
  <si>
    <t>7333</t>
  </si>
  <si>
    <t>Starting at Thu Aug 29 2024 22:08:16 GMT-0400 (EDT)</t>
  </si>
  <si>
    <t>1HbBcyezo9oqVUtKACHwzBMcD1bs-W5Uz</t>
  </si>
  <si>
    <t>https://drive.google.com/file/d/1HbBcyezo9oqVUtKACHwzBMcD1bs-W5Uz/view?usp=drivesdk</t>
  </si>
  <si>
    <t>ASTRIA ALVIANI SAID, S.KOM</t>
  </si>
  <si>
    <t>alvianiastria@gmail.com</t>
  </si>
  <si>
    <t>7334</t>
  </si>
  <si>
    <t>Starting at Thu Aug 29 2024 22:08:18 GMT-0400 (EDT)</t>
  </si>
  <si>
    <t>145F2AvtfgsfpNN36U5vIYkb19bT1dIbu</t>
  </si>
  <si>
    <t>https://drive.google.com/file/d/145F2AvtfgsfpNN36U5vIYkb19bT1dIbu/view?usp=drivesdk</t>
  </si>
  <si>
    <t>INA MARDIANA</t>
  </si>
  <si>
    <t>inamardiana54@gmail.com</t>
  </si>
  <si>
    <t>7335</t>
  </si>
  <si>
    <t>1uDn3Fk1Jh0PotkrG3QUGB74GU05EEU3-</t>
  </si>
  <si>
    <t>https://drive.google.com/file/d/1uDn3Fk1Jh0PotkrG3QUGB74GU05EEU3-/view?usp=drivesdk</t>
  </si>
  <si>
    <t>Document successfully created; Document successfully merged; PDF created; !!Error Sending Emails: Service invoked too many times for one day: email.; Manually run by ecertificate75@gmail.com; Timestamp: Sep 4 2024 2:42 AM</t>
  </si>
  <si>
    <t>HELEN IRMA SARI N</t>
  </si>
  <si>
    <t>helennainggolan1@qmail.com</t>
  </si>
  <si>
    <t>7336</t>
  </si>
  <si>
    <t>https://drive.google.com/file/d/1Tv8Pn9VB1Q5efcfqu7-hhSik0VocKGfw/view?usp=drivesdk</t>
  </si>
  <si>
    <t>1Tv8Pn9VB1Q5efcfqu7-hhSik0VocKGfw</t>
  </si>
  <si>
    <t>1vL-o9OVMyf1lzcwHvvv6ZYWXlK8cZQ4J</t>
  </si>
  <si>
    <t>https://drive.google.com/file/d/1vL-o9OVMyf1lzcwHvvv6ZYWXlK8cZQ4J/view?usp=drivesdk</t>
  </si>
  <si>
    <t xml:space="preserve">KARIADI </t>
  </si>
  <si>
    <t>kariadimerawan@gmail.com</t>
  </si>
  <si>
    <t>7337</t>
  </si>
  <si>
    <t>Starting at Thu Aug 29 2024 22:08:23 GMT-0400 (EDT)</t>
  </si>
  <si>
    <t>1wIxT8YeF_E-y_n8F51E-TuE1TFEdb6tz</t>
  </si>
  <si>
    <t>https://drive.google.com/file/d/1wIxT8YeF_E-y_n8F51E-TuE1TFEdb6tz/view?usp=drivesdk</t>
  </si>
  <si>
    <t>dr IRMA YUZA</t>
  </si>
  <si>
    <t>yuzairma9@gmail.com</t>
  </si>
  <si>
    <t>7338</t>
  </si>
  <si>
    <t>1T7QOv8BvpHEoHpvh-VvVSqmBfdrSyv-9</t>
  </si>
  <si>
    <t>https://drive.google.com/file/d/1T7QOv8BvpHEoHpvh-VvVSqmBfdrSyv-9/view?usp=drivesdk</t>
  </si>
  <si>
    <t>CAMELIYA JAMIL S.E,MH</t>
  </si>
  <si>
    <t>ilhamalhakimhakim@gmail.com</t>
  </si>
  <si>
    <t>7339</t>
  </si>
  <si>
    <t>12RxRrzolh-JfIsmo5APjWEjUiPIiU7Eq</t>
  </si>
  <si>
    <t>https://drive.google.com/file/d/12RxRrzolh-JfIsmo5APjWEjUiPIiU7Eq/view?usp=drivesdk</t>
  </si>
  <si>
    <t xml:space="preserve">SURYA TEJA UMBARA, S. E. </t>
  </si>
  <si>
    <t>andragemilang@yahoo.com</t>
  </si>
  <si>
    <t>7340</t>
  </si>
  <si>
    <t>1Hr58bLGuuQm4zNVf1m8DjWZhuB6_Oqfp</t>
  </si>
  <si>
    <t>https://drive.google.com/file/d/1Hr58bLGuuQm4zNVf1m8DjWZhuB6_Oqfp/view?usp=drivesdk</t>
  </si>
  <si>
    <t>Document successfully created; Document successfully merged; PDF created; !!Error Sending Emails: Service invoked too many times for one day: email.; Manually run by ecertificate75@gmail.com; Timestamp: Sep 4 2024 2:43 AM</t>
  </si>
  <si>
    <t>DONNY SAPUTRO</t>
  </si>
  <si>
    <t>pnsdonnys@gmail.com</t>
  </si>
  <si>
    <t>7341</t>
  </si>
  <si>
    <t>https://drive.google.com/file/d/1jDJ5up48vcVUTDwjKcT8uflppCrdDQeA/view?usp=drivesdk</t>
  </si>
  <si>
    <t>1jDJ5up48vcVUTDwjKcT8uflppCrdDQeA</t>
  </si>
  <si>
    <t>1n0Bpn5GNRqE_0W0dAMTZTOmCBCS9UTPL</t>
  </si>
  <si>
    <t>https://drive.google.com/file/d/1n0Bpn5GNRqE_0W0dAMTZTOmCBCS9UTPL/view?usp=drivesdk</t>
  </si>
  <si>
    <t>YUNITA INDRIYANI, SE</t>
  </si>
  <si>
    <t>indrypinky2@gmail.com</t>
  </si>
  <si>
    <t>7342</t>
  </si>
  <si>
    <t>https://drive.google.com/file/d/1zUlruRfExib9PKXNQrhMbBDF56o3LriL/view?usp=drivesdk</t>
  </si>
  <si>
    <t>1zUlruRfExib9PKXNQrhMbBDF56o3LriL</t>
  </si>
  <si>
    <t>1yWk-xXbZNzDWZC5JAop4sIyrMGG6Z_yW</t>
  </si>
  <si>
    <t>https://drive.google.com/file/d/1yWk-xXbZNzDWZC5JAop4sIyrMGG6Z_yW/view?usp=drivesdk</t>
  </si>
  <si>
    <t>RACHMAN HAKIM</t>
  </si>
  <si>
    <t>am4nbjm@gmail.com</t>
  </si>
  <si>
    <t>7343</t>
  </si>
  <si>
    <t>Starting at Thu Aug 29 2024 22:08:33 GMT-0400 (EDT)</t>
  </si>
  <si>
    <t>19s5YnGYK32sr2F_-QfWX8A5XoP1CZNUh</t>
  </si>
  <si>
    <t>https://drive.google.com/file/d/19s5YnGYK32sr2F_-QfWX8A5XoP1CZNUh/view?usp=drivesdk</t>
  </si>
  <si>
    <t>Document successfully created; Document successfully merged; PDF created; !!Error Sending Emails: Service invoked too many times for one day: email.; Manually run by ecertificate75@gmail.com; Timestamp: Sep 4 2024 2:44 AM</t>
  </si>
  <si>
    <t>YANUAR EKA NUGROHO</t>
  </si>
  <si>
    <t>yanuar1490@gmail.com</t>
  </si>
  <si>
    <t>7344</t>
  </si>
  <si>
    <t>https://drive.google.com/file/d/18uyWs4pahfpGPUds4J7ZPwJ5CE_kP_Cx/view?usp=drivesdk</t>
  </si>
  <si>
    <t>18uyWs4pahfpGPUds4J7ZPwJ5CE_kP_Cx</t>
  </si>
  <si>
    <t>1Uv2zwKeOuZEwowmAqGtz9mhsQ5w50psQ</t>
  </si>
  <si>
    <t>https://drive.google.com/file/d/1Uv2zwKeOuZEwowmAqGtz9mhsQ5w50psQ/view?usp=drivesdk</t>
  </si>
  <si>
    <t>RITA AGUSTIYANDA S FARM APT</t>
  </si>
  <si>
    <t>rieta.agustiyanda@gmail.com</t>
  </si>
  <si>
    <t>7345</t>
  </si>
  <si>
    <t>1vP-1xynnTL7YMR30ijHna3szptbzN3dO</t>
  </si>
  <si>
    <t>https://drive.google.com/file/d/1vP-1xynnTL7YMR30ijHna3szptbzN3dO/view?usp=drivesdk</t>
  </si>
  <si>
    <t>PARULIAN DAMANIK</t>
  </si>
  <si>
    <t>parulian7019@gmail.com</t>
  </si>
  <si>
    <t>7346</t>
  </si>
  <si>
    <t>1uNRXVjZ7q7gbdBikXnz4z5VNm52_8r5g</t>
  </si>
  <si>
    <t>https://drive.google.com/file/d/1uNRXVjZ7q7gbdBikXnz4z5VNm52_8r5g/view?usp=drivesdk</t>
  </si>
  <si>
    <t>ALINUR</t>
  </si>
  <si>
    <t>alinurtirtajaya79@gmail.com</t>
  </si>
  <si>
    <t>7347</t>
  </si>
  <si>
    <t>https://drive.google.com/file/d/1Efh5bgHa8-g1g2mjKaRJXkCz63Sw8AKS/view?usp=drivesdk</t>
  </si>
  <si>
    <t>1Efh5bgHa8-g1g2mjKaRJXkCz63Sw8AKS</t>
  </si>
  <si>
    <t>1d4sfHkZSIkxn8o2zw5hABcTM6gzjJKJe</t>
  </si>
  <si>
    <t>https://drive.google.com/file/d/1d4sfHkZSIkxn8o2zw5hABcTM6gzjJKJe/view?usp=drivesdk</t>
  </si>
  <si>
    <t>Document successfully created; Document successfully merged; PDF created; !!Error Sending Emails: Service invoked too many times for one day: email.; Manually run by ecertificate75@gmail.com; Timestamp: Sep 4 2024 2:45 AM</t>
  </si>
  <si>
    <t>TOHA SALIM</t>
  </si>
  <si>
    <t>mahrushafiz@gmail.com</t>
  </si>
  <si>
    <t>7348</t>
  </si>
  <si>
    <t>Starting at Thu Aug 29 2024 22:08:34 GMT-0400 (EDT)</t>
  </si>
  <si>
    <t>1NrOFojXLv8PLW-rwAX-eNCbbP8Kry2La</t>
  </si>
  <si>
    <t>https://drive.google.com/file/d/1NrOFojXLv8PLW-rwAX-eNCbbP8Kry2La/view?usp=drivesdk</t>
  </si>
  <si>
    <t>Abdul Hamid.A.Md</t>
  </si>
  <si>
    <t>amidsaja2@gmail.com</t>
  </si>
  <si>
    <t>7349</t>
  </si>
  <si>
    <t>Starting at Thu Aug 29 2024 22:08:38 GMT-0400 (EDT)</t>
  </si>
  <si>
    <t>1F9JuJfvIqpzgKcHvx_F5tYrHJEFnxOjK</t>
  </si>
  <si>
    <t>https://drive.google.com/file/d/1F9JuJfvIqpzgKcHvx_F5tYrHJEFnxOjK/view?usp=drivesdk</t>
  </si>
  <si>
    <t xml:space="preserve">FERLY WATTIMENA </t>
  </si>
  <si>
    <t>ferlywattimena@gnail.com</t>
  </si>
  <si>
    <t>7350</t>
  </si>
  <si>
    <t>1x8WmjJTbRZx1ZPXqwEkbMVn4enHy3L1-</t>
  </si>
  <si>
    <t>https://drive.google.com/file/d/1x8WmjJTbRZx1ZPXqwEkbMVn4enHy3L1-/view?usp=drivesdk</t>
  </si>
  <si>
    <t>PUJI APRILTA SARI, A.Md.</t>
  </si>
  <si>
    <t>pujiaprilta@gmail.com</t>
  </si>
  <si>
    <t>7351</t>
  </si>
  <si>
    <t>13eeQha3TdSgkOCrovOrXK70WgVWQB_xK</t>
  </si>
  <si>
    <t>https://drive.google.com/file/d/13eeQha3TdSgkOCrovOrXK70WgVWQB_xK/view?usp=drivesdk</t>
  </si>
  <si>
    <t>SUGITO</t>
  </si>
  <si>
    <t>sugito20021967@gmail.com</t>
  </si>
  <si>
    <t>7352</t>
  </si>
  <si>
    <t>Starting at Thu Aug 29 2024 22:08:40 GMT-0400 (EDT)</t>
  </si>
  <si>
    <t>1OqSxGxw3UyLtUM4cqbXADAi4Dh_W4jFW</t>
  </si>
  <si>
    <t>https://drive.google.com/file/d/1OqSxGxw3UyLtUM4cqbXADAi4Dh_W4jFW/view?usp=drivesdk</t>
  </si>
  <si>
    <t>Document successfully created; Document successfully merged; PDF created; !!Error Sending Emails: Service invoked too many times for one day: email.; Manually run by ecertificate75@gmail.com; Timestamp: Sep 4 2024 2:46 AM</t>
  </si>
  <si>
    <t>PUJI WAHYUDI</t>
  </si>
  <si>
    <t>pujiw347@gmail.com</t>
  </si>
  <si>
    <t>7353</t>
  </si>
  <si>
    <t>13ohGPW12EYWrqRgnUg1JUK7nsFXnrV33</t>
  </si>
  <si>
    <t>https://drive.google.com/file/d/13ohGPW12EYWrqRgnUg1JUK7nsFXnrV33/view?usp=drivesdk</t>
  </si>
  <si>
    <t>LIZA FEBRIA.AMD.,SKOM</t>
  </si>
  <si>
    <t>febrializa18@gmail.com</t>
  </si>
  <si>
    <t>7354</t>
  </si>
  <si>
    <t>https://drive.google.com/file/d/1m0p1HDmmV7aRooIjP9Fan3klHuGN_0bS/view?usp=drivesdk</t>
  </si>
  <si>
    <t>Document successfully created; Document successfully merged; PDF created; !!Error Sending Emails: Service invoked too many times for one day: email.; Run via form trigger as ecertificate75@gmail.com; Timestamp: Aug 29 2024 10:13 PM</t>
  </si>
  <si>
    <t>1m0p1HDmmV7aRooIjP9Fan3klHuGN_0bS</t>
  </si>
  <si>
    <t>1YMA4KgZDvQpHhE7fDizmomh3ozKnfsGM</t>
  </si>
  <si>
    <t>https://drive.google.com/file/d/1YMA4KgZDvQpHhE7fDizmomh3ozKnfsGM/view?usp=drivesdk</t>
  </si>
  <si>
    <t>YANURIZA, S.E., M.AK., AK</t>
  </si>
  <si>
    <t>RYANURIZA@YAHOO.CO.comID</t>
  </si>
  <si>
    <t>7355</t>
  </si>
  <si>
    <t>Starting at Thu Aug 29 2024 22:08:43 GMT-0400 (EDT)</t>
  </si>
  <si>
    <t>1prJL63RLEP84FPjQUtDZ2ol47a4UUnv0</t>
  </si>
  <si>
    <t>https://drive.google.com/file/d/1prJL63RLEP84FPjQUtDZ2ol47a4UUnv0/view?usp=drivesdk</t>
  </si>
  <si>
    <t>Document successfully created; Document successfully merged; PDF created; !!Error Sending Emails: Service invoked too many times for one day: email.; Manually run by ecertificate75@gmail.com; Timestamp: Sep 4 2024 2:47 AM</t>
  </si>
  <si>
    <t>SUYATI</t>
  </si>
  <si>
    <t>suyati24124@gmai.com</t>
  </si>
  <si>
    <t>7356</t>
  </si>
  <si>
    <t>12BJLoFWvPiH2_tRosnRl7lo4kkHPuY-j</t>
  </si>
  <si>
    <t>https://drive.google.com/file/d/12BJLoFWvPiH2_tRosnRl7lo4kkHPuY-j/view?usp=drivesdk</t>
  </si>
  <si>
    <t>TINA MAYA PUSPITASARI</t>
  </si>
  <si>
    <t>tinamayapuspitasari1982@gmail.com</t>
  </si>
  <si>
    <t>7357</t>
  </si>
  <si>
    <t>Starting at Thu Aug 29 2024 22:08:45 GMT-0400 (EDT)</t>
  </si>
  <si>
    <t>1vdidnE62fqQvs4Q6txhVRUb3lKyZYnK3</t>
  </si>
  <si>
    <t>https://drive.google.com/file/d/1vdidnE62fqQvs4Q6txhVRUb3lKyZYnK3/view?usp=drivesdk</t>
  </si>
  <si>
    <t>DAVID KUNTJORO ISWANTO, S.H.</t>
  </si>
  <si>
    <t>david.lmj02@gmail.com</t>
  </si>
  <si>
    <t>7358</t>
  </si>
  <si>
    <t>Starting at Thu Aug 29 2024 22:08:50 GMT-0400 (EDT)</t>
  </si>
  <si>
    <t>1RxxRw-93zTe2tVPzWAmgDwjr6iorvVLH</t>
  </si>
  <si>
    <t>https://drive.google.com/file/d/1RxxRw-93zTe2tVPzWAmgDwjr6iorvVLH/view?usp=drivesdk</t>
  </si>
  <si>
    <t>MARIANI, S H.</t>
  </si>
  <si>
    <t>mariani10111968@gmail.com</t>
  </si>
  <si>
    <t>7359</t>
  </si>
  <si>
    <t>1CLPw1mtTam-2RpsEODUXSjlGQ_0ON6wC</t>
  </si>
  <si>
    <t>https://drive.google.com/file/d/1CLPw1mtTam-2RpsEODUXSjlGQ_0ON6wC/view?usp=drivesdk</t>
  </si>
  <si>
    <t>Document successfully created; Document successfully merged; PDF created; !!Error Sending Emails: Service invoked too many times for one day: email.; Manually run by ecertificate75@gmail.com; Timestamp: Sep 4 2024 2:48 AM</t>
  </si>
  <si>
    <t xml:space="preserve">NOVI NURINDAH </t>
  </si>
  <si>
    <t>noveehakimgas1314@gmail.com</t>
  </si>
  <si>
    <t>7360</t>
  </si>
  <si>
    <t>Starting at Thu Aug 29 2024 22:08:54 GMT-0400 (EDT)</t>
  </si>
  <si>
    <t>1ztwYiAIC7bEyrUo6ipjRCCoN-G2Pyp19</t>
  </si>
  <si>
    <t>https://drive.google.com/file/d/1ztwYiAIC7bEyrUo6ipjRCCoN-G2Pyp19/view?usp=drivesdk</t>
  </si>
  <si>
    <t>MUHAMMAD FACHRUL SUDARNIO, A.Md.Kom.</t>
  </si>
  <si>
    <t>aulnio10@gmail.com</t>
  </si>
  <si>
    <t>7361</t>
  </si>
  <si>
    <t>1qAzZ3NVApMHDWeYtA7lUfAO0jWEt1Ptu</t>
  </si>
  <si>
    <t>https://drive.google.com/file/d/1qAzZ3NVApMHDWeYtA7lUfAO0jWEt1Ptu/view?usp=drivesdk</t>
  </si>
  <si>
    <t>HASLINDA SARI, A. Md. Kep</t>
  </si>
  <si>
    <t>haslindasari844@gmail.com</t>
  </si>
  <si>
    <t>7362</t>
  </si>
  <si>
    <t>1Pn6LRe7v735sjyd2zBH8TNCp0yFJulB2</t>
  </si>
  <si>
    <t>https://drive.google.com/file/d/1Pn6LRe7v735sjyd2zBH8TNCp0yFJulB2/view?usp=drivesdk</t>
  </si>
  <si>
    <t>Document successfully created; Document successfully merged; PDF created; !!Error Sending Emails: Service invoked too many times for one day: email.; Manually run by ecertificate75@gmail.com; Timestamp: Sep 4 2024 2:49 AM</t>
  </si>
  <si>
    <t>USWATUN JAZILA, S.Pd</t>
  </si>
  <si>
    <t>usah497@gmail.com</t>
  </si>
  <si>
    <t>7363</t>
  </si>
  <si>
    <t>https://drive.google.com/file/d/1gU_zwpmDe8qqNlbL6qTRnZVzXh7ROfN7/view?usp=drivesdk</t>
  </si>
  <si>
    <t>1gU_zwpmDe8qqNlbL6qTRnZVzXh7ROfN7</t>
  </si>
  <si>
    <t>1mYWMkcEyntZ7SvS0suXqLpcCYRPxAs26</t>
  </si>
  <si>
    <t>https://drive.google.com/file/d/1mYWMkcEyntZ7SvS0suXqLpcCYRPxAs26/view?usp=drivesdk</t>
  </si>
  <si>
    <t>RIKARDO ELSAM, S.E.,M.M.</t>
  </si>
  <si>
    <t>rikardoelsam@gmail.com</t>
  </si>
  <si>
    <t>7364</t>
  </si>
  <si>
    <t>Starting at Thu Aug 29 2024 22:08:58 GMT-0400 (EDT)</t>
  </si>
  <si>
    <t>1_C1Z6OPW4FD64baRUYR0TtCao0PLv8VD</t>
  </si>
  <si>
    <t>https://drive.google.com/file/d/1_C1Z6OPW4FD64baRUYR0TtCao0PLv8VD/view?usp=drivesdk</t>
  </si>
  <si>
    <t>Lusi Rosita Jati, SE, M.Ak</t>
  </si>
  <si>
    <t>lusi2008jati@gmail.com</t>
  </si>
  <si>
    <t>7365</t>
  </si>
  <si>
    <t>13Z9UOSqv7LCVx5kOwLfd7o0LjY1OUE29</t>
  </si>
  <si>
    <t>https://drive.google.com/file/d/13Z9UOSqv7LCVx5kOwLfd7o0LjY1OUE29/view?usp=drivesdk</t>
  </si>
  <si>
    <t xml:space="preserve">PARYOTO </t>
  </si>
  <si>
    <t>paryotook79596@gmail.com</t>
  </si>
  <si>
    <t>7366</t>
  </si>
  <si>
    <t>1cKrNaVRC8DkHnVCySqZIHSxmAQE7c_2T</t>
  </si>
  <si>
    <t>https://drive.google.com/file/d/1cKrNaVRC8DkHnVCySqZIHSxmAQE7c_2T/view?usp=drivesdk</t>
  </si>
  <si>
    <t>Document successfully created; Document successfully merged; PDF created; !!Error Sending Emails: Service invoked too many times for one day: email.; Manually run by ecertificate75@gmail.com; Timestamp: Sep 4 2024 2:50 AM</t>
  </si>
  <si>
    <t>BURHANUDDIN.T</t>
  </si>
  <si>
    <t>btaherong@gmail.com</t>
  </si>
  <si>
    <t>7367</t>
  </si>
  <si>
    <t>1Z4D2p5NpwlW1rv8_DaPylt__IvMmq08Z</t>
  </si>
  <si>
    <t>https://drive.google.com/file/d/1Z4D2p5NpwlW1rv8_DaPylt__IvMmq08Z/view?usp=drivesdk</t>
  </si>
  <si>
    <t xml:space="preserve">T. AGUS WANTORO </t>
  </si>
  <si>
    <t>aguswantoro411@gmail.com</t>
  </si>
  <si>
    <t>7368</t>
  </si>
  <si>
    <t>Starting at Thu Aug 29 2024 22:09:01 GMT-0400 (EDT)</t>
  </si>
  <si>
    <t>1TUUiKaf2bSu-7kMZthdcV_U3la2tGXvD</t>
  </si>
  <si>
    <t>https://drive.google.com/file/d/1TUUiKaf2bSu-7kMZthdcV_U3la2tGXvD/view?usp=drivesdk</t>
  </si>
  <si>
    <t>ARIS NYARMIATI, AMK</t>
  </si>
  <si>
    <t>arisnyarmiati1978@gmail.com</t>
  </si>
  <si>
    <t>7369</t>
  </si>
  <si>
    <t>Starting at Thu Aug 29 2024 22:09:05 GMT-0400 (EDT)</t>
  </si>
  <si>
    <t>15PP8bH-bOgFCSOF0eKdgX8noUrRy4wIi</t>
  </si>
  <si>
    <t>https://drive.google.com/file/d/15PP8bH-bOgFCSOF0eKdgX8noUrRy4wIi/view?usp=drivesdk</t>
  </si>
  <si>
    <t>PUCHA IKHWAL RAMADHANI, S.Kom</t>
  </si>
  <si>
    <t>puchaikhwalramadhani@gmail.com</t>
  </si>
  <si>
    <t>7370</t>
  </si>
  <si>
    <t>1RI-v3O7nsr0cTzMMWaGUV1v36imZbvIQ</t>
  </si>
  <si>
    <t>https://drive.google.com/file/d/1RI-v3O7nsr0cTzMMWaGUV1v36imZbvIQ/view?usp=drivesdk</t>
  </si>
  <si>
    <t>Document successfully created; Document successfully merged; PDF created; !!Error Sending Emails: Service invoked too many times for one day: email.; Manually run by ecertificate75@gmail.com; Timestamp: Sep 4 2024 2:51 AM</t>
  </si>
  <si>
    <t>SRI RAYULIANTI</t>
  </si>
  <si>
    <t>lovelyuly_80@yahoo.com</t>
  </si>
  <si>
    <t>7371</t>
  </si>
  <si>
    <t>1S0ww7--XpLxgLPu5CTkBVRgIqAYWuOSF</t>
  </si>
  <si>
    <t>https://drive.google.com/file/d/1S0ww7--XpLxgLPu5CTkBVRgIqAYWuOSF/view?usp=drivesdk</t>
  </si>
  <si>
    <t>halijah1608@gmail.com</t>
  </si>
  <si>
    <t>7372</t>
  </si>
  <si>
    <t>Starting at Thu Aug 29 2024 22:09:07 GMT-0400 (EDT)</t>
  </si>
  <si>
    <t>1iC4wXpCwcCFADmXGpDQ8XUhpFLoAwZAo</t>
  </si>
  <si>
    <t>https://drive.google.com/file/d/1iC4wXpCwcCFADmXGpDQ8XUhpFLoAwZAo/view?usp=drivesdk</t>
  </si>
  <si>
    <t>DWI SUSANTI</t>
  </si>
  <si>
    <t>dwiesusantk84@gmail.com</t>
  </si>
  <si>
    <t>7373</t>
  </si>
  <si>
    <t>https://drive.google.com/file/d/13ZyFO5vaXXVSDnqZ-3S_YFRcBTl2wREf/view?usp=drivesdk</t>
  </si>
  <si>
    <t>13ZyFO5vaXXVSDnqZ-3S_YFRcBTl2wREf</t>
  </si>
  <si>
    <t>19aU_CILQipDCSU8DN8promZXPEElST1e</t>
  </si>
  <si>
    <t>https://drive.google.com/file/d/19aU_CILQipDCSU8DN8promZXPEElST1e/view?usp=drivesdk</t>
  </si>
  <si>
    <t>SRI RAHMAWATY ALI</t>
  </si>
  <si>
    <t>lilisr1983@gmail.com</t>
  </si>
  <si>
    <t>7374</t>
  </si>
  <si>
    <t>Starting at Thu Aug 29 2024 22:09:12 GMT-0400 (EDT)</t>
  </si>
  <si>
    <t>1LmTTsU6hJyPVQuJk2JkkP1dXCYoVdhh8</t>
  </si>
  <si>
    <t>https://drive.google.com/file/d/1LmTTsU6hJyPVQuJk2JkkP1dXCYoVdhh8/view?usp=drivesdk</t>
  </si>
  <si>
    <t>Document successfully created; Document successfully merged; PDF created; !!Error Sending Emails: Service invoked too many times for one day: email.; Manually run by ecertificate75@gmail.com; Timestamp: Sep 4 2024 2:52 AM</t>
  </si>
  <si>
    <t>MURDIONO</t>
  </si>
  <si>
    <t>mudiono321@gmail.com</t>
  </si>
  <si>
    <t>7375</t>
  </si>
  <si>
    <t>1n77Pys3kYYzXni_omLmErIIK4CCrw5By</t>
  </si>
  <si>
    <t>https://drive.google.com/file/d/1n77Pys3kYYzXni_omLmErIIK4CCrw5By/view?usp=drivesdk</t>
  </si>
  <si>
    <t>CECEP KUSWARA</t>
  </si>
  <si>
    <t>cecepkmy@gmail.com</t>
  </si>
  <si>
    <t>7376</t>
  </si>
  <si>
    <t>17m-MgNKTcdFHilWZednXcJbLG-sTY2U7</t>
  </si>
  <si>
    <t>https://drive.google.com/file/d/17m-MgNKTcdFHilWZednXcJbLG-sTY2U7/view?usp=drivesdk</t>
  </si>
  <si>
    <t>ROSMINI, SKM</t>
  </si>
  <si>
    <t>rosguntur78@gmail.com</t>
  </si>
  <si>
    <t>7377</t>
  </si>
  <si>
    <t>Starting at Thu Aug 29 2024 22:09:15 GMT-0400 (EDT)</t>
  </si>
  <si>
    <t>1X3UTZpGtf3SXEBWol7BzLXAYUe5y0Txw</t>
  </si>
  <si>
    <t>https://drive.google.com/file/d/1X3UTZpGtf3SXEBWol7BzLXAYUe5y0Txw/view?usp=drivesdk</t>
  </si>
  <si>
    <t>Document successfully created; Document successfully merged; PDF created; !!Error Sending Emails: Service invoked too many times for one day: email.; Manually run by ecertificate75@gmail.com; Timestamp: Sep 4 2024 2:53 AM</t>
  </si>
  <si>
    <t>lalujamaludin71@gmail.com</t>
  </si>
  <si>
    <t>7378</t>
  </si>
  <si>
    <t>1vuN2w2jD5jLdAwK6Euo9oY2XHudICAV2</t>
  </si>
  <si>
    <t>https://drive.google.com/file/d/1vuN2w2jD5jLdAwK6Euo9oY2XHudICAV2/view?usp=drivesdk</t>
  </si>
  <si>
    <t>YULIANI ARTININGSIH, S. KOM</t>
  </si>
  <si>
    <t>yulianiartiningsih@gmail.com</t>
  </si>
  <si>
    <t>7379</t>
  </si>
  <si>
    <t>1mu4K9-RZVBvdnlV5LYBbmiYB_PLvM_E5</t>
  </si>
  <si>
    <t>https://drive.google.com/file/d/1mu4K9-RZVBvdnlV5LYBbmiYB_PLvM_E5/view?usp=drivesdk</t>
  </si>
  <si>
    <t>mohbasuki517@gmail.com</t>
  </si>
  <si>
    <t>7380</t>
  </si>
  <si>
    <t>15xUctQ5rSpQS37M8xe9rJYV5qA6ETOLS</t>
  </si>
  <si>
    <t>https://drive.google.com/file/d/15xUctQ5rSpQS37M8xe9rJYV5qA6ETOLS/view?usp=drivesdk</t>
  </si>
  <si>
    <t>ROPY MUKTI SATOTO</t>
  </si>
  <si>
    <t>ropysatoto@gmail.com</t>
  </si>
  <si>
    <t>7381</t>
  </si>
  <si>
    <t>1usP_j6QZB--zgdt_EvKcGCIS5lM7GBJq</t>
  </si>
  <si>
    <t>https://drive.google.com/file/d/1usP_j6QZB--zgdt_EvKcGCIS5lM7GBJq/view?usp=drivesdk</t>
  </si>
  <si>
    <t>Document successfully created; Document successfully merged; PDF created; !!Error Sending Emails: Service invoked too many times for one day: email.; Manually run by ecertificate75@gmail.com; Timestamp: Sep 4 2024 2:54 AM</t>
  </si>
  <si>
    <t>fitrysinaga348@gmail.com</t>
  </si>
  <si>
    <t>7382</t>
  </si>
  <si>
    <t>1JO5lh05ZjFMEPohG8lV4h6XKKQnK95in</t>
  </si>
  <si>
    <t>https://drive.google.com/file/d/1JO5lh05ZjFMEPohG8lV4h6XKKQnK95in/view?usp=drivesdk</t>
  </si>
  <si>
    <t xml:space="preserve">HENRIATI SINAGA </t>
  </si>
  <si>
    <t>bornakpns@gmail.com</t>
  </si>
  <si>
    <t>7383</t>
  </si>
  <si>
    <t>Starting at Thu Aug 29 2024 22:09:18 GMT-0400 (EDT)</t>
  </si>
  <si>
    <t>1LzYZ9BT8UJE_flPhjv-G95Aph1T9rmdK</t>
  </si>
  <si>
    <t>https://drive.google.com/file/d/1LzYZ9BT8UJE_flPhjv-G95Aph1T9rmdK/view?usp=drivesdk</t>
  </si>
  <si>
    <t xml:space="preserve">SISKA NOFRATILOVA </t>
  </si>
  <si>
    <t>siskasuhendri@gmail.com</t>
  </si>
  <si>
    <t>7384</t>
  </si>
  <si>
    <t>Starting at Thu Aug 29 2024 22:09:20 GMT-0400 (EDT)</t>
  </si>
  <si>
    <t>176cX7kXolGzOQ2Guo1w8n4FSyAu9csTs</t>
  </si>
  <si>
    <t>https://drive.google.com/file/d/176cX7kXolGzOQ2Guo1w8n4FSyAu9csTs/view?usp=drivesdk</t>
  </si>
  <si>
    <t xml:space="preserve">PARDIYONO </t>
  </si>
  <si>
    <t>fardie.new@gmail.com</t>
  </si>
  <si>
    <t>7385</t>
  </si>
  <si>
    <t>1zLfsAtQxb7oiDuaRehfqxIOJCtxtENVY</t>
  </si>
  <si>
    <t>https://drive.google.com/file/d/1zLfsAtQxb7oiDuaRehfqxIOJCtxtENVY/view?usp=drivesdk</t>
  </si>
  <si>
    <t>Document successfully created; Document successfully merged; PDF created; !!Error Sending Emails: Service invoked too many times for one day: email.; Manually run by ecertificate75@gmail.com; Timestamp: Sep 4 2024 2:55 AM</t>
  </si>
  <si>
    <t>KRISMA SINGARIMBUN,S.Kep</t>
  </si>
  <si>
    <t>krismasingarimbun@gmail.com</t>
  </si>
  <si>
    <t>7386</t>
  </si>
  <si>
    <t>1253LNP3iyc16RqVfa1UzBkvrkt1GVQR0</t>
  </si>
  <si>
    <t>https://drive.google.com/file/d/1253LNP3iyc16RqVfa1UzBkvrkt1GVQR0/view?usp=drivesdk</t>
  </si>
  <si>
    <t>DESSY ARIYANI</t>
  </si>
  <si>
    <t>yanidesy7@gmail.com</t>
  </si>
  <si>
    <t>7387</t>
  </si>
  <si>
    <t>1C9RgW_QlMkmUMXrwAIPNQHr2GX3vzqK2</t>
  </si>
  <si>
    <t>https://drive.google.com/file/d/1C9RgW_QlMkmUMXrwAIPNQHr2GX3vzqK2/view?usp=drivesdk</t>
  </si>
  <si>
    <t>BAMBANG ERYANTO</t>
  </si>
  <si>
    <t>bambangspn2015@gmail.com</t>
  </si>
  <si>
    <t>7388</t>
  </si>
  <si>
    <t>1Z7kJdCRnCyM5JSjyOfvAQSHWbDvazBmM</t>
  </si>
  <si>
    <t>https://drive.google.com/file/d/1Z7kJdCRnCyM5JSjyOfvAQSHWbDvazBmM/view?usp=drivesdk</t>
  </si>
  <si>
    <t xml:space="preserve">TRI EDNAN WICORO </t>
  </si>
  <si>
    <t>tri.ednan@gmail.com</t>
  </si>
  <si>
    <t>7389</t>
  </si>
  <si>
    <t>Starting at Thu Aug 29 2024 22:09:23 GMT-0400 (EDT)</t>
  </si>
  <si>
    <t>1ywT0984jm3JtJULjnAtE46u6SKxPIx6Z</t>
  </si>
  <si>
    <t>https://drive.google.com/file/d/1ywT0984jm3JtJULjnAtE46u6SKxPIx6Z/view?usp=drivesdk</t>
  </si>
  <si>
    <t>Document successfully created; Document successfully merged; PDF created; !!Error Sending Emails: Service invoked too many times for one day: email.; Manually run by ecertificate75@gmail.com; Timestamp: Sep 4 2024 2:56 AM</t>
  </si>
  <si>
    <t>HERMAWATI</t>
  </si>
  <si>
    <t>hermawatikasir@gmail.com</t>
  </si>
  <si>
    <t>7390</t>
  </si>
  <si>
    <t>1KhD9ZcIZiQyhpCvfs0VS7TWJxN-MaUVj</t>
  </si>
  <si>
    <t>https://drive.google.com/file/d/1KhD9ZcIZiQyhpCvfs0VS7TWJxN-MaUVj/view?usp=drivesdk</t>
  </si>
  <si>
    <t>CECEP KOSASIH</t>
  </si>
  <si>
    <t>cecepkosasih8419@gmail.com</t>
  </si>
  <si>
    <t>7391</t>
  </si>
  <si>
    <t>1On6m8OXak0hU4OJgcklqmTYfX2LDd9aD</t>
  </si>
  <si>
    <t>https://drive.google.com/file/d/1On6m8OXak0hU4OJgcklqmTYfX2LDd9aD/view?usp=drivesdk</t>
  </si>
  <si>
    <t xml:space="preserve">RIADOH, S. E. </t>
  </si>
  <si>
    <t>riabatubara2014@gmail.com</t>
  </si>
  <si>
    <t>7392</t>
  </si>
  <si>
    <t>Starting at Thu Aug 29 2024 22:09:24 GMT-0400 (EDT)</t>
  </si>
  <si>
    <t>1ihwc7kAzF9F-0AvuqHtdpY4xBDJLT7dx</t>
  </si>
  <si>
    <t>https://drive.google.com/file/d/1ihwc7kAzF9F-0AvuqHtdpY4xBDJLT7dx/view?usp=drivesdk</t>
  </si>
  <si>
    <t>SAMSIAH</t>
  </si>
  <si>
    <t>alsyafitriana01@gmail.com</t>
  </si>
  <si>
    <t>7393</t>
  </si>
  <si>
    <t>1po9VqjEa8nzY-kqlfWeGpxje35wEHNPn</t>
  </si>
  <si>
    <t>https://drive.google.com/file/d/1po9VqjEa8nzY-kqlfWeGpxje35wEHNPn/view?usp=drivesdk</t>
  </si>
  <si>
    <t>Document successfully created; Document successfully merged; PDF created; !!Error Sending Emails: Service invoked too many times for one day: email.; Manually run by ecertificate75@gmail.com; Timestamp: Sep 4 2024 2:57 AM</t>
  </si>
  <si>
    <t>JENNY TIENEKE MARTHA,S.T.Keb</t>
  </si>
  <si>
    <t>jennytieneke20@gmail.com</t>
  </si>
  <si>
    <t>7394</t>
  </si>
  <si>
    <t>Starting at Thu Aug 29 2024 22:09:29 GMT-0400 (EDT)</t>
  </si>
  <si>
    <t>1vQPp9i4VbXN0I5AuTLCw1FVSbGjv2emp</t>
  </si>
  <si>
    <t>https://drive.google.com/file/d/1vQPp9i4VbXN0I5AuTLCw1FVSbGjv2emp/view?usp=drivesdk</t>
  </si>
  <si>
    <t>TRININGSIH RAHMAWATI, S.Psi.</t>
  </si>
  <si>
    <t>cici.rahma89@gmail.com</t>
  </si>
  <si>
    <t>7395</t>
  </si>
  <si>
    <t>1tuYgRoYz-jRo5U9QZmMQP2RhhZ7YErn1</t>
  </si>
  <si>
    <t>https://drive.google.com/file/d/1tuYgRoYz-jRo5U9QZmMQP2RhhZ7YErn1/view?usp=drivesdk</t>
  </si>
  <si>
    <t>Document successfully created; Document successfully merged; PDF created; !!Error Sending Emails: Service invoked too many times for one day: email.; Manually run by ecertificate75@gmail.com; Timestamp: Sep 4 2024 2:58 AM</t>
  </si>
  <si>
    <t>AL ANDRI</t>
  </si>
  <si>
    <t>alandrijos88@gmail.com</t>
  </si>
  <si>
    <t>7396</t>
  </si>
  <si>
    <t>Starting at Thu Aug 29 2024 22:09:31 GMT-0400 (EDT)</t>
  </si>
  <si>
    <t>1st_Gzv2vvU_1WZfSVvUomnShC7Kzw5Ve</t>
  </si>
  <si>
    <t>https://drive.google.com/file/d/1st_Gzv2vvU_1WZfSVvUomnShC7Kzw5Ve/view?usp=drivesdk</t>
  </si>
  <si>
    <t>ELY HERLINA</t>
  </si>
  <si>
    <t>herlinaely542@gmail.com</t>
  </si>
  <si>
    <t>7397</t>
  </si>
  <si>
    <t>1ScMpoPD7S4-haRJN86MjHOlYWYSURaA1</t>
  </si>
  <si>
    <t>https://drive.google.com/file/d/1ScMpoPD7S4-haRJN86MjHOlYWYSURaA1/view?usp=drivesdk</t>
  </si>
  <si>
    <t>EVI HERLIYANTI, S.Akun</t>
  </si>
  <si>
    <t>eviherliyanti123@gmail.com</t>
  </si>
  <si>
    <t>7398</t>
  </si>
  <si>
    <t>Starting at Thu Aug 29 2024 22:09:33 GMT-0400 (EDT)</t>
  </si>
  <si>
    <t>1DIMDFHV-eGmVfj5H5VKAVr7VUW1zZWci</t>
  </si>
  <si>
    <t>https://drive.google.com/file/d/1DIMDFHV-eGmVfj5H5VKAVr7VUW1zZWci/view?usp=drivesdk</t>
  </si>
  <si>
    <t>7399</t>
  </si>
  <si>
    <t>Starting at Thu Aug 29 2024 22:09:36 GMT-0400 (EDT)</t>
  </si>
  <si>
    <t>1EyVsFnDG0aQQqO-mOV-48l5sAv4NCO_B</t>
  </si>
  <si>
    <t>https://drive.google.com/file/d/1EyVsFnDG0aQQqO-mOV-48l5sAv4NCO_B/view?usp=drivesdk</t>
  </si>
  <si>
    <t>HAIDA VIVANI JUWITA, A.Md</t>
  </si>
  <si>
    <t>haida.vj1984@gmail.com</t>
  </si>
  <si>
    <t>7400</t>
  </si>
  <si>
    <t>1vi_hBLKGurzUg-J2CbL0hsSjLNsWxSEd</t>
  </si>
  <si>
    <t>https://drive.google.com/file/d/1vi_hBLKGurzUg-J2CbL0hsSjLNsWxSEd/view?usp=drivesdk</t>
  </si>
  <si>
    <t>Document successfully created; Document successfully merged; PDF created; !!Error Sending Emails: Service invoked too many times for one day: email.; Manually run by ecertificate75@gmail.com; Timestamp: Sep 4 2024 2:59 AM</t>
  </si>
  <si>
    <t>DESIANA</t>
  </si>
  <si>
    <t>dessypalembang869@gmail.com</t>
  </si>
  <si>
    <t>7401</t>
  </si>
  <si>
    <t>1KhCZn3K6K4oprQ8rG9SzhUs2P17G_Tcg</t>
  </si>
  <si>
    <t>https://drive.google.com/file/d/1KhCZn3K6K4oprQ8rG9SzhUs2P17G_Tcg/view?usp=drivesdk</t>
  </si>
  <si>
    <t>WARDININGSIH</t>
  </si>
  <si>
    <t>ningsih.wardy@gmail.com</t>
  </si>
  <si>
    <t>7402</t>
  </si>
  <si>
    <t>Starting at Thu Aug 29 2024 22:09:47 GMT-0400 (EDT)</t>
  </si>
  <si>
    <t>15D3BF-VU5K4jeolYKCUKNZvqV2luncAM</t>
  </si>
  <si>
    <t>https://drive.google.com/file/d/15D3BF-VU5K4jeolYKCUKNZvqV2luncAM/view?usp=drivesdk</t>
  </si>
  <si>
    <t>WAHYUNI THE MENTASARI, A.Md.</t>
  </si>
  <si>
    <t>wahyunimentasari@gmail.com</t>
  </si>
  <si>
    <t>7403</t>
  </si>
  <si>
    <t>1DN8xxgADlQEhg19e1C9QI8DhE6ZYL5fv</t>
  </si>
  <si>
    <t>https://drive.google.com/file/d/1DN8xxgADlQEhg19e1C9QI8DhE6ZYL5fv/view?usp=drivesdk</t>
  </si>
  <si>
    <t>Document successfully created; Document successfully merged; PDF created; !!Error Sending Emails: Service invoked too many times for one day: email.; Manually run by ecertificate75@gmail.com; Timestamp: Sep 4 2024 3:00 AM</t>
  </si>
  <si>
    <t>TANIA SAPUTRI, AMK., SKM</t>
  </si>
  <si>
    <t>putriamylee@gmail.com</t>
  </si>
  <si>
    <t>7404</t>
  </si>
  <si>
    <t>1VHwFHsDJhiQBMtSRgG55qmXNgcrHIQKy</t>
  </si>
  <si>
    <t>https://drive.google.com/file/d/1VHwFHsDJhiQBMtSRgG55qmXNgcrHIQKy/view?usp=drivesdk</t>
  </si>
  <si>
    <t>PUGUH DWI SANTOSO, S.T.</t>
  </si>
  <si>
    <t>puguh74@gmail.com</t>
  </si>
  <si>
    <t>7405</t>
  </si>
  <si>
    <t>1WHpmuXcNc0AOK2WqTTU54pc5BuJpsLSy</t>
  </si>
  <si>
    <t>https://drive.google.com/file/d/1WHpmuXcNc0AOK2WqTTU54pc5BuJpsLSy/view?usp=drivesdk</t>
  </si>
  <si>
    <t>HUSNIYANTI</t>
  </si>
  <si>
    <t>husniyanti80@gmail.com</t>
  </si>
  <si>
    <t>7406</t>
  </si>
  <si>
    <t>1hwQTQTOXKIjcgtIj3CGRhjXsB-MdcHTE</t>
  </si>
  <si>
    <t>https://drive.google.com/file/d/1hwQTQTOXKIjcgtIj3CGRhjXsB-MdcHTE/view?usp=drivesdk</t>
  </si>
  <si>
    <t>Document successfully created; Document successfully merged; PDF created; !!Error Sending Emails: Service invoked too many times for one day: email.; Manually run by ecertificate75@gmail.com; Timestamp: Sep 4 2024 3:01 AM</t>
  </si>
  <si>
    <t>HESTY MARLYANI</t>
  </si>
  <si>
    <t>marlyanihesty@gmail.com</t>
  </si>
  <si>
    <t>7407</t>
  </si>
  <si>
    <t>1UU1nVaz0vnL-cp7wKU6EiL_gd5wn2jja</t>
  </si>
  <si>
    <t>https://drive.google.com/file/d/1UU1nVaz0vnL-cp7wKU6EiL_gd5wn2jja/view?usp=drivesdk</t>
  </si>
  <si>
    <t xml:space="preserve">MARDIANI </t>
  </si>
  <si>
    <t>mardiani6728@gmail.com</t>
  </si>
  <si>
    <t>7408</t>
  </si>
  <si>
    <t>1UpC2fFBm79Ku54xs0gC7Pq7vopufa7pw</t>
  </si>
  <si>
    <t>https://drive.google.com/file/d/1UpC2fFBm79Ku54xs0gC7Pq7vopufa7pw/view?usp=drivesdk</t>
  </si>
  <si>
    <t>SELVIA LENI Amd. Kep.</t>
  </si>
  <si>
    <t>selvia.leni@gmail.com</t>
  </si>
  <si>
    <t>7409</t>
  </si>
  <si>
    <t>Starting at Thu Aug 29 2024 22:09:50 GMT-0400 (EDT)</t>
  </si>
  <si>
    <t>1S2G0m6ZbPjBu7SnZM9ZNKxQrthulsPQ4</t>
  </si>
  <si>
    <t>https://drive.google.com/file/d/1S2G0m6ZbPjBu7SnZM9ZNKxQrthulsPQ4/view?usp=drivesdk</t>
  </si>
  <si>
    <t>NANIK YULAICHA</t>
  </si>
  <si>
    <t>naniky746@gmail.com</t>
  </si>
  <si>
    <t>7410</t>
  </si>
  <si>
    <t>12kdjSLUr37fLJ7s1Rsmu_s-Ny8-FkXdX</t>
  </si>
  <si>
    <t>https://drive.google.com/file/d/12kdjSLUr37fLJ7s1Rsmu_s-Ny8-FkXdX/view?usp=drivesdk</t>
  </si>
  <si>
    <t>Document successfully created; Document successfully merged; PDF created; !!Error Sending Emails: Service invoked too many times for one day: email.; Manually run by ecertificate75@gmail.com; Timestamp: Sep 4 2024 3:02 AM</t>
  </si>
  <si>
    <t>H. MAMAN NURJAMAN, S.AG., M.PD.</t>
  </si>
  <si>
    <t>mamannurjaman42jt@gmail.com</t>
  </si>
  <si>
    <t>7411</t>
  </si>
  <si>
    <t>17mwYZ7CzGQhtw4VnIKvoXYzinfHvmewu</t>
  </si>
  <si>
    <t>https://drive.google.com/file/d/17mwYZ7CzGQhtw4VnIKvoXYzinfHvmewu/view?usp=drivesdk</t>
  </si>
  <si>
    <t>APRIANDA, A.Md</t>
  </si>
  <si>
    <t>apriyanda.yanda@gmail.com</t>
  </si>
  <si>
    <t>7412</t>
  </si>
  <si>
    <t>1sca_tyTPkBVHXlzd_4FBtYJ8aoR3JPrj</t>
  </si>
  <si>
    <t>https://drive.google.com/file/d/1sca_tyTPkBVHXlzd_4FBtYJ8aoR3JPrj/view?usp=drivesdk</t>
  </si>
  <si>
    <t>EDI SUMANTRI</t>
  </si>
  <si>
    <t>edisumantri251269@gmail.com</t>
  </si>
  <si>
    <t>7413</t>
  </si>
  <si>
    <t>Starting at Thu Aug 29 2024 22:09:53 GMT-0400 (EDT)</t>
  </si>
  <si>
    <t>1J20VeK43AjCG4iQRZwCQFoTrmrsk_FXk</t>
  </si>
  <si>
    <t>https://drive.google.com/file/d/1J20VeK43AjCG4iQRZwCQFoTrmrsk_FXk/view?usp=drivesdk</t>
  </si>
  <si>
    <t>Document successfully created; Document successfully merged; PDF created; !!Error Sending Emails: Service invoked too many times for one day: email.; Manually run by ecertificate75@gmail.com; Timestamp: Sep 4 2024 3:03 AM</t>
  </si>
  <si>
    <t>ACENG RIDWAN.,SKEP.,NERS</t>
  </si>
  <si>
    <t>ridoneaceng@yahoo.com</t>
  </si>
  <si>
    <t>7414</t>
  </si>
  <si>
    <t>1FUs7GoDrs8zwhI-_OAIQsgnPCOHTU1C2</t>
  </si>
  <si>
    <t>https://drive.google.com/file/d/1FUs7GoDrs8zwhI-_OAIQsgnPCOHTU1C2/view?usp=drivesdk</t>
  </si>
  <si>
    <t>KETUT RATNA UTAMI</t>
  </si>
  <si>
    <t>ketutratna1975@gmail.com</t>
  </si>
  <si>
    <t>7415</t>
  </si>
  <si>
    <t>Starting at Thu Aug 29 2024 22:09:55 GMT-0400 (EDT)</t>
  </si>
  <si>
    <t>16KV4tYD7SrBB9oKA0JOJB5BPfWPh1tEd</t>
  </si>
  <si>
    <t>https://drive.google.com/file/d/16KV4tYD7SrBB9oKA0JOJB5BPfWPh1tEd/view?usp=drivesdk</t>
  </si>
  <si>
    <t>SAHLI KAPOLRI</t>
  </si>
  <si>
    <t>Victor Wales, SE</t>
  </si>
  <si>
    <t>victor.walespurba@gmail.com</t>
  </si>
  <si>
    <t>7416</t>
  </si>
  <si>
    <t>Starting at Thu Aug 29 2024 22:09:58 GMT-0400 (EDT)</t>
  </si>
  <si>
    <t>1AXPAy8qUP9BrGRG7KrtpXOwy0R51f3p6</t>
  </si>
  <si>
    <t>https://drive.google.com/file/d/1AXPAy8qUP9BrGRG7KrtpXOwy0R51f3p6/view?usp=drivesdk</t>
  </si>
  <si>
    <t>BUDI SULISTIYONO</t>
  </si>
  <si>
    <t>budisulistiyono27@gmail.com</t>
  </si>
  <si>
    <t>7417</t>
  </si>
  <si>
    <t>Starting at Thu Aug 29 2024 22:10:00 GMT-0400 (EDT)</t>
  </si>
  <si>
    <t>1M7LM-yNrI02Yqd14tENLcODcYiK6581i</t>
  </si>
  <si>
    <t>https://drive.google.com/file/d/1M7LM-yNrI02Yqd14tENLcODcYiK6581i/view?usp=drivesdk</t>
  </si>
  <si>
    <t>Document successfully created; Document successfully merged; PDF created; !!Error Sending Emails: Service invoked too many times for one day: email.; Manually run by ecertificate75@gmail.com; Timestamp: Sep 4 2024 3:04 AM</t>
  </si>
  <si>
    <t>RADEN AJENG YULIANA</t>
  </si>
  <si>
    <t>plgyuli48@gmail.com</t>
  </si>
  <si>
    <t>7418</t>
  </si>
  <si>
    <t>1lyAJULqhMSYDr0aznh6Qg6s4vpovlPn5</t>
  </si>
  <si>
    <t>https://drive.google.com/file/d/1lyAJULqhMSYDr0aznh6Qg6s4vpovlPn5/view?usp=drivesdk</t>
  </si>
  <si>
    <t>Elmiadi, A.Md.Kep</t>
  </si>
  <si>
    <t>elmiadi.idrus@gmail.com</t>
  </si>
  <si>
    <t>7419</t>
  </si>
  <si>
    <t>Starting at Thu Aug 29 2024 22:10:02 GMT-0400 (EDT)</t>
  </si>
  <si>
    <t>18-BfkGMS8O6QitkSfiH7CZlmlYOTs-wu</t>
  </si>
  <si>
    <t>https://drive.google.com/file/d/18-BfkGMS8O6QitkSfiH7CZlmlYOTs-wu/view?usp=drivesdk</t>
  </si>
  <si>
    <t>DIDIK SISWANTORO</t>
  </si>
  <si>
    <t>didiksiswantoro1@gmail.com</t>
  </si>
  <si>
    <t>7420</t>
  </si>
  <si>
    <t>1PNuN3uHYgI6GU0TCCenBNi9ViTxqzEEi</t>
  </si>
  <si>
    <t>https://drive.google.com/file/d/1PNuN3uHYgI6GU0TCCenBNi9ViTxqzEEi/view?usp=drivesdk</t>
  </si>
  <si>
    <t>RATNO SUDARMADI</t>
  </si>
  <si>
    <t>ratnos94.rs@gmail.com</t>
  </si>
  <si>
    <t>7421</t>
  </si>
  <si>
    <t>Starting at Thu Aug 29 2024 22:10:06 GMT-0400 (EDT)</t>
  </si>
  <si>
    <t>1fPICIHiqXTomX642gL6a7i9tpxRaVvU9</t>
  </si>
  <si>
    <t>https://drive.google.com/file/d/1fPICIHiqXTomX642gL6a7i9tpxRaVvU9/view?usp=drivesdk</t>
  </si>
  <si>
    <t>rockywasa57@gmail.com</t>
  </si>
  <si>
    <t>7422</t>
  </si>
  <si>
    <t>1TOop7Uei6JLhtu30zNz85Kx1u9rN3_jT</t>
  </si>
  <si>
    <t>https://drive.google.com/file/d/1TOop7Uei6JLhtu30zNz85Kx1u9rN3_jT/view?usp=drivesdk</t>
  </si>
  <si>
    <t>Document successfully created; Document successfully merged; PDF created; !!Error Sending Emails: Service invoked too many times for one day: email.; Manually run by ecertificate75@gmail.com; Timestamp: Sep 4 2024 3:05 AM</t>
  </si>
  <si>
    <t xml:space="preserve">PUDJI ASTUTI </t>
  </si>
  <si>
    <t>pudjiastuti.pajak123@gmail.com</t>
  </si>
  <si>
    <t>7423</t>
  </si>
  <si>
    <t>18lrogge5GqExaoWMf_MmF7tAhi5Obfmu</t>
  </si>
  <si>
    <t>https://drive.google.com/file/d/18lrogge5GqExaoWMf_MmF7tAhi5Obfmu/view?usp=drivesdk</t>
  </si>
  <si>
    <t>RITA JENNI BR KARO</t>
  </si>
  <si>
    <t>ritajenni2@gmail.com</t>
  </si>
  <si>
    <t>7424</t>
  </si>
  <si>
    <t>Starting at Thu Aug 29 2024 22:10:12 GMT-0400 (EDT)</t>
  </si>
  <si>
    <t>16GUXRPl-IdWjYUG8Pw_khukOV9zs0CC5</t>
  </si>
  <si>
    <t>https://drive.google.com/file/d/16GUXRPl-IdWjYUG8Pw_khukOV9zs0CC5/view?usp=drivesdk</t>
  </si>
  <si>
    <t>HAMIDAH</t>
  </si>
  <si>
    <t>hhamidah1108@gmail.com</t>
  </si>
  <si>
    <t>7425</t>
  </si>
  <si>
    <t>1T0axojkdcxqhfPs1P9cqAr_Poi5B3VqV</t>
  </si>
  <si>
    <t>https://drive.google.com/file/d/1T0axojkdcxqhfPs1P9cqAr_Poi5B3VqV/view?usp=drivesdk</t>
  </si>
  <si>
    <t>ENDAH WAHYUNINGSIH</t>
  </si>
  <si>
    <t>endahwahyuningsih1969@gmail.com</t>
  </si>
  <si>
    <t>7426</t>
  </si>
  <si>
    <t>1U0IiWF1fawfxO5WQMFsrJXWWKIFI6DbV</t>
  </si>
  <si>
    <t>https://drive.google.com/file/d/1U0IiWF1fawfxO5WQMFsrJXWWKIFI6DbV/view?usp=drivesdk</t>
  </si>
  <si>
    <t>Document successfully created; Document successfully merged; PDF created; !!Error Sending Emails: Service invoked too many times for one day: email.; Manually run by ecertificate75@gmail.com; Timestamp: Sep 4 2024 3:06 AM</t>
  </si>
  <si>
    <t>SITI AMINAH</t>
  </si>
  <si>
    <t>sitiaminah26041972@gmail.com</t>
  </si>
  <si>
    <t>7427</t>
  </si>
  <si>
    <t>Starting at Thu Aug 29 2024 22:10:14 GMT-0400 (EDT)</t>
  </si>
  <si>
    <t>1CTiew-MGbW_MBqfBX7A7qcYBgeoEzx96</t>
  </si>
  <si>
    <t>https://drive.google.com/file/d/1CTiew-MGbW_MBqfBX7A7qcYBgeoEzx96/view?usp=drivesdk</t>
  </si>
  <si>
    <t>PRAMONO DWI SASMITO,S.Gz</t>
  </si>
  <si>
    <t>pramono.ds1990@gmail.com</t>
  </si>
  <si>
    <t>7428</t>
  </si>
  <si>
    <t>1Hsc_pGiDui1ZI1YOQCXf5q3-X1azB9Ds</t>
  </si>
  <si>
    <t>https://drive.google.com/file/d/1Hsc_pGiDui1ZI1YOQCXf5q3-X1azB9Ds/view?usp=drivesdk</t>
  </si>
  <si>
    <t>ANDI BAGINDA PUTRA. SE.</t>
  </si>
  <si>
    <t>andibaginda47@gmail.com</t>
  </si>
  <si>
    <t>7429</t>
  </si>
  <si>
    <t>Starting at Thu Aug 29 2024 22:10:20 GMT-0400 (EDT)</t>
  </si>
  <si>
    <t>1BFEw1QdmRquq-Wq3tdX96RI4mT539UC6</t>
  </si>
  <si>
    <t>https://drive.google.com/file/d/1BFEw1QdmRquq-Wq3tdX96RI4mT539UC6/view?usp=drivesdk</t>
  </si>
  <si>
    <t>ADRI YOGIK SETIYONO, S.M</t>
  </si>
  <si>
    <t>adriyogiksetiyono@gmail.com</t>
  </si>
  <si>
    <t>7430</t>
  </si>
  <si>
    <t>130clYJURqk_kj3tb-Sr9OHQz-ro1TjZ6</t>
  </si>
  <si>
    <t>https://drive.google.com/file/d/130clYJURqk_kj3tb-Sr9OHQz-ro1TjZ6/view?usp=drivesdk</t>
  </si>
  <si>
    <t>Document successfully created; Document successfully merged; PDF created; !!Error Sending Emails: Service invoked too many times for one day: email.; Manually run by ecertificate75@gmail.com; Timestamp: Sep 4 2024 3:07 AM</t>
  </si>
  <si>
    <t>WAHID SYAEFUDIN, A.Md.</t>
  </si>
  <si>
    <t>w.syaefudin1976@gmail.com</t>
  </si>
  <si>
    <t>7431</t>
  </si>
  <si>
    <t>1Cn4vZv-PfI4XE824sXIUODDU5OeSHdK9</t>
  </si>
  <si>
    <t>https://drive.google.com/file/d/1Cn4vZv-PfI4XE824sXIUODDU5OeSHdK9/view?usp=drivesdk</t>
  </si>
  <si>
    <t>ASMARANI</t>
  </si>
  <si>
    <t>aasasmarani05@gmail.com</t>
  </si>
  <si>
    <t>7432</t>
  </si>
  <si>
    <t>19lWPK73NR89p0UVWyhEGDFfqD2VmusHD</t>
  </si>
  <si>
    <t>https://drive.google.com/file/d/19lWPK73NR89p0UVWyhEGDFfqD2VmusHD/view?usp=drivesdk</t>
  </si>
  <si>
    <t>WINARTI R.DEHI,S.E.</t>
  </si>
  <si>
    <t>dehi.winarti@gmail.com</t>
  </si>
  <si>
    <t>7433</t>
  </si>
  <si>
    <t>1LNf3AA7nNrva7cUPByX5PoNUtzNLuUoX</t>
  </si>
  <si>
    <t>https://drive.google.com/file/d/1LNf3AA7nNrva7cUPByX5PoNUtzNLuUoX/view?usp=drivesdk</t>
  </si>
  <si>
    <t>RITA JUNIARNI GULTOM</t>
  </si>
  <si>
    <t>rumkitbhayangkaratebingtinggi@gmail.com</t>
  </si>
  <si>
    <t>7434</t>
  </si>
  <si>
    <t>1Nw8tjpfoIlbuXcxXs7Zh1vmNObSYUxGh</t>
  </si>
  <si>
    <t>https://drive.google.com/file/d/1Nw8tjpfoIlbuXcxXs7Zh1vmNObSYUxGh/view?usp=drivesdk</t>
  </si>
  <si>
    <t>Document successfully created; Document successfully merged; PDF created; !!Error Sending Emails: Service invoked too many times for one day: email.; Manually run by ecertificate75@gmail.com; Timestamp: Sep 4 2024 3:08 AM</t>
  </si>
  <si>
    <t>Dyah Sulistyowati Amd.Keb</t>
  </si>
  <si>
    <t>dyahsulis1512@gmail.com</t>
  </si>
  <si>
    <t>7435</t>
  </si>
  <si>
    <t>1Qc15tXYbbss2JTblf2w95lPqz_y3yP7h</t>
  </si>
  <si>
    <t>https://drive.google.com/file/d/1Qc15tXYbbss2JTblf2w95lPqz_y3yP7h/view?usp=drivesdk</t>
  </si>
  <si>
    <t>SUANDI</t>
  </si>
  <si>
    <t>ahmadsuandi58848@gmail.com</t>
  </si>
  <si>
    <t>7436</t>
  </si>
  <si>
    <t>1IlZq7fBqoDL_yzJMkxwjVW8hVymU0xPU</t>
  </si>
  <si>
    <t>https://drive.google.com/file/d/1IlZq7fBqoDL_yzJMkxwjVW8hVymU0xPU/view?usp=drivesdk</t>
  </si>
  <si>
    <t>ANDY WIJAYA, A.Md.</t>
  </si>
  <si>
    <t>yanma.andy@gmail.com</t>
  </si>
  <si>
    <t>7437</t>
  </si>
  <si>
    <t>Starting at Thu Aug 29 2024 22:10:25 GMT-0400 (EDT)</t>
  </si>
  <si>
    <t>1TX81HA8FXuLbQC9L6umy3d2iTv9sFynp</t>
  </si>
  <si>
    <t>https://drive.google.com/file/d/1TX81HA8FXuLbQC9L6umy3d2iTv9sFynp/view?usp=drivesdk</t>
  </si>
  <si>
    <t>LILIK WIDIA SAPUTRO, S.E.</t>
  </si>
  <si>
    <t>lilikwidiasaputro@gmail.com</t>
  </si>
  <si>
    <t>7438</t>
  </si>
  <si>
    <t>1KuX8ecfPSkj0GZTp3Z7phMC_dGst4ij4</t>
  </si>
  <si>
    <t>https://drive.google.com/file/d/1KuX8ecfPSkj0GZTp3Z7phMC_dGst4ij4/view?usp=drivesdk</t>
  </si>
  <si>
    <t>Document successfully created; Document successfully merged; PDF created; !!Error Sending Emails: Service invoked too many times for one day: email.; Manually run by ecertificate75@gmail.com; Timestamp: Sep 4 2024 3:09 AM</t>
  </si>
  <si>
    <t>MUGI SUWARSIH, S.H</t>
  </si>
  <si>
    <t>mugisuwarsih72@gmai.com</t>
  </si>
  <si>
    <t>7439</t>
  </si>
  <si>
    <t>1enFMEJS5IAs1DsQUzDKXXV71IwWe7qxS</t>
  </si>
  <si>
    <t>https://drive.google.com/file/d/1enFMEJS5IAs1DsQUzDKXXV71IwWe7qxS/view?usp=drivesdk</t>
  </si>
  <si>
    <t>SETIAWATI, A.Md.Mi</t>
  </si>
  <si>
    <t>krimumsulteng@gmail.com</t>
  </si>
  <si>
    <t>7440</t>
  </si>
  <si>
    <t>1eRHGWRGyQo3XGYiUPVL34_8YfLYviwjs</t>
  </si>
  <si>
    <t>https://drive.google.com/file/d/1eRHGWRGyQo3XGYiUPVL34_8YfLYviwjs/view?usp=drivesdk</t>
  </si>
  <si>
    <t xml:space="preserve">POPPY HARYANTI </t>
  </si>
  <si>
    <t>haryantipoppy04@gmail.com</t>
  </si>
  <si>
    <t>7441</t>
  </si>
  <si>
    <t>1-a9kQDu_hkzFzOXVRjQrg9Dwbv99PYFz</t>
  </si>
  <si>
    <t>https://drive.google.com/file/d/1-a9kQDu_hkzFzOXVRjQrg9Dwbv99PYFz/view?usp=drivesdk</t>
  </si>
  <si>
    <t>HUSNIAH. Z SS</t>
  </si>
  <si>
    <t>husniahzubair51@gmail.com</t>
  </si>
  <si>
    <t>7442</t>
  </si>
  <si>
    <t>1dmK4kM5PXVjx7Ep271cHiQj5adshFJLk</t>
  </si>
  <si>
    <t>https://drive.google.com/file/d/1dmK4kM5PXVjx7Ep271cHiQj5adshFJLk/view?usp=drivesdk</t>
  </si>
  <si>
    <t>Luluk Hariyani, S.Psi</t>
  </si>
  <si>
    <t>lulukhamakota@gmail.com</t>
  </si>
  <si>
    <t>7443</t>
  </si>
  <si>
    <t>1-aCRzIgyKEpUU4P41ww0Xuk2GVfoYX2O</t>
  </si>
  <si>
    <t>https://drive.google.com/file/d/1-aCRzIgyKEpUU4P41ww0Xuk2GVfoYX2O/view?usp=drivesdk</t>
  </si>
  <si>
    <t>Document successfully created; Document successfully merged; PDF created; !!Error Sending Emails: Service invoked too many times for one day: email.; Manually run by ecertificate75@gmail.com; Timestamp: Sep 4 2024 3:10 AM</t>
  </si>
  <si>
    <t>JULIANA RAJAGUKGUK</t>
  </si>
  <si>
    <t>julianarajagukguk84@gmail.com</t>
  </si>
  <si>
    <t>7444</t>
  </si>
  <si>
    <t>Starting at Thu Aug 29 2024 22:10:27 GMT-0400 (EDT)</t>
  </si>
  <si>
    <t>1Q3lClAGOCge0168W2LMhxuE1OWA_e55b</t>
  </si>
  <si>
    <t>https://drive.google.com/file/d/1Q3lClAGOCge0168W2LMhxuE1OWA_e55b/view?usp=drivesdk</t>
  </si>
  <si>
    <t>NURDIN. S.Ag</t>
  </si>
  <si>
    <t>nurdinhs66@gmail.com</t>
  </si>
  <si>
    <t>7445</t>
  </si>
  <si>
    <t>1lknoxcZyN_M6x4JXve1LuOjfR_6ADjtn</t>
  </si>
  <si>
    <t>https://drive.google.com/file/d/1lknoxcZyN_M6x4JXve1LuOjfR_6ADjtn/view?usp=drivesdk</t>
  </si>
  <si>
    <t>sugiarti489123@gmail.com</t>
  </si>
  <si>
    <t>7446</t>
  </si>
  <si>
    <t>1Xo_m5-NQlubq6N6AYNsgs2vsoJsGkezy</t>
  </si>
  <si>
    <t>https://drive.google.com/file/d/1Xo_m5-NQlubq6N6AYNsgs2vsoJsGkezy/view?usp=drivesdk</t>
  </si>
  <si>
    <t>Document successfully created; Document successfully merged; PDF created; !!Error Sending Emails: Service invoked too many times for one day: email.; Manually run by ecertificate75@gmail.com; Timestamp: Sep 4 2024 3:11 AM</t>
  </si>
  <si>
    <t>FITRIA SARI</t>
  </si>
  <si>
    <t>fitrias5@gmail.com</t>
  </si>
  <si>
    <t>7447</t>
  </si>
  <si>
    <t>1XeN2sxiktFDhnzgQ9lFzUFNVonyGHptQ</t>
  </si>
  <si>
    <t>https://drive.google.com/file/d/1XeN2sxiktFDhnzgQ9lFzUFNVonyGHptQ/view?usp=drivesdk</t>
  </si>
  <si>
    <t>RAHMAD NOVALDI</t>
  </si>
  <si>
    <t>rahmad.novaldi27@gmail.com</t>
  </si>
  <si>
    <t>7448</t>
  </si>
  <si>
    <t>Starting at Thu Aug 29 2024 22:10:29 GMT-0400 (EDT)</t>
  </si>
  <si>
    <t>16yCiMFRglDwXR4Ll5LP8DkbpdlyF4Vmu</t>
  </si>
  <si>
    <t>https://drive.google.com/file/d/16yCiMFRglDwXR4Ll5LP8DkbpdlyF4Vmu/view?usp=drivesdk</t>
  </si>
  <si>
    <t>ARIEZA DWI JAYANTI, Amd.Keb</t>
  </si>
  <si>
    <t>ariezadwij@gmail.com</t>
  </si>
  <si>
    <t>7449</t>
  </si>
  <si>
    <t>1zv12ZGrP2BjcrXXci9gw0lqgrA1ywr8B</t>
  </si>
  <si>
    <t>https://drive.google.com/file/d/1zv12ZGrP2BjcrXXci9gw0lqgrA1ywr8B/view?usp=drivesdk</t>
  </si>
  <si>
    <t>KURNIAWAN AGUNG PRASETYO,S.Kep.Ns</t>
  </si>
  <si>
    <t>kurniawan.bhy@gmail.com</t>
  </si>
  <si>
    <t>7450</t>
  </si>
  <si>
    <t>1XjUJTQH3ROS7uHTO_7G7Z_sezCReeJZV</t>
  </si>
  <si>
    <t>https://drive.google.com/file/d/1XjUJTQH3ROS7uHTO_7G7Z_sezCReeJZV/view?usp=drivesdk</t>
  </si>
  <si>
    <t>Document successfully created; Document successfully merged; PDF created; !!Error Sending Emails: Service invoked too many times for one day: email.; Manually run by ecertificate75@gmail.com; Timestamp: Sep 4 2024 3:12 AM</t>
  </si>
  <si>
    <t>JUNIARTI</t>
  </si>
  <si>
    <t>griyabuntu29@gmail.com</t>
  </si>
  <si>
    <t>7451</t>
  </si>
  <si>
    <t>Starting at Thu Aug 29 2024 22:10:32 GMT-0400 (EDT)</t>
  </si>
  <si>
    <t>1AGHDwjRhOfEpmCaVp6FHDyFchaBJQbuJ</t>
  </si>
  <si>
    <t>https://drive.google.com/file/d/1AGHDwjRhOfEpmCaVp6FHDyFchaBJQbuJ/view?usp=drivesdk</t>
  </si>
  <si>
    <t>ABD.RAHMAN</t>
  </si>
  <si>
    <t>rahmankhansa86@gmail.com</t>
  </si>
  <si>
    <t>7452</t>
  </si>
  <si>
    <t>1l6J9t3DazMeCtYWOcpuJLJ_KYBUpwsOn</t>
  </si>
  <si>
    <t>https://drive.google.com/file/d/1l6J9t3DazMeCtYWOcpuJLJ_KYBUpwsOn/view?usp=drivesdk</t>
  </si>
  <si>
    <t>ERY KHAMASTA YUBIETTA S.Sos.</t>
  </si>
  <si>
    <t>erikaky67@gmail.com</t>
  </si>
  <si>
    <t>7453</t>
  </si>
  <si>
    <t>1tdvyDSptNAqQhBm5HypLa0wDtDTE-F8C</t>
  </si>
  <si>
    <t>https://drive.google.com/file/d/1tdvyDSptNAqQhBm5HypLa0wDtDTE-F8C/view?usp=drivesdk</t>
  </si>
  <si>
    <t>LASMA TAMBUNAN</t>
  </si>
  <si>
    <t>lasmatambunanrsbtt@q.com</t>
  </si>
  <si>
    <t>7454</t>
  </si>
  <si>
    <t>Starting at Thu Aug 29 2024 22:10:34 GMT-0400 (EDT)</t>
  </si>
  <si>
    <t>1zxykFfcXoGDG_ITPAJ_xqVuyRAcL3rgq</t>
  </si>
  <si>
    <t>https://drive.google.com/file/d/1zxykFfcXoGDG_ITPAJ_xqVuyRAcL3rgq/view?usp=drivesdk</t>
  </si>
  <si>
    <t>Document successfully created; Document successfully merged; PDF created; !!Error Sending Emails: Service invoked too many times for one day: email.; Manually run by ecertificate75@gmail.com; Timestamp: Sep 4 2024 3:13 AM</t>
  </si>
  <si>
    <t xml:space="preserve">ACHMAD MARDJUKI </t>
  </si>
  <si>
    <t>achmadmardjuki67@gmail.com</t>
  </si>
  <si>
    <t>7455</t>
  </si>
  <si>
    <t>1Wty6SNPUXiFOL5BzyRhfVbGB_-ANPhwo</t>
  </si>
  <si>
    <t>https://drive.google.com/file/d/1Wty6SNPUXiFOL5BzyRhfVbGB_-ANPhwo/view?usp=drivesdk</t>
  </si>
  <si>
    <t>HARYATI S.E.</t>
  </si>
  <si>
    <t>haryati2805@yahoo.com</t>
  </si>
  <si>
    <t>7456</t>
  </si>
  <si>
    <t>Starting at Thu Aug 29 2024 22:10:38 GMT-0400 (EDT)</t>
  </si>
  <si>
    <t>1tXCIyinUTwIqR0Nb7Z_VYb6OVAMflnNE</t>
  </si>
  <si>
    <t>https://drive.google.com/file/d/1tXCIyinUTwIqR0Nb7Z_VYb6OVAMflnNE/view?usp=drivesdk</t>
  </si>
  <si>
    <t>BAIQ ISTIKAWATI</t>
  </si>
  <si>
    <t>istikawati188@gmail.com</t>
  </si>
  <si>
    <t>7457</t>
  </si>
  <si>
    <t>1kg2BoO_TNkfLpTi4Z5IzIn6P6ydhxYZE</t>
  </si>
  <si>
    <t>https://drive.google.com/file/d/1kg2BoO_TNkfLpTi4Z5IzIn6P6ydhxYZE/view?usp=drivesdk</t>
  </si>
  <si>
    <t>SUWITO AMD.KEP</t>
  </si>
  <si>
    <t>srisuwito437@gmail.com</t>
  </si>
  <si>
    <t>7458</t>
  </si>
  <si>
    <t>19JPzr1x1RZ7vmig9QrVgw3LqVhx4M353</t>
  </si>
  <si>
    <t>https://drive.google.com/file/d/19JPzr1x1RZ7vmig9QrVgw3LqVhx4M353/view?usp=drivesdk</t>
  </si>
  <si>
    <t>Document successfully created; Document successfully merged; PDF created; !!Error Sending Emails: Service invoked too many times for one day: email.; Manually run by ecertificate75@gmail.com; Timestamp: Sep 4 2024 3:14 AM</t>
  </si>
  <si>
    <t>ENDANG SRI WAHYUNI</t>
  </si>
  <si>
    <t>endangsri654@gmail.com</t>
  </si>
  <si>
    <t>7459</t>
  </si>
  <si>
    <t>Starting at Thu Aug 29 2024 22:10:41 GMT-0400 (EDT)</t>
  </si>
  <si>
    <t>1kMxtsSnM_ET9nmQvnFH2eZmqF3-Gj3nd</t>
  </si>
  <si>
    <t>https://drive.google.com/file/d/1kMxtsSnM_ET9nmQvnFH2eZmqF3-Gj3nd/view?usp=drivesdk</t>
  </si>
  <si>
    <t>NONOK SUWIGNO</t>
  </si>
  <si>
    <t>suwingnononok@gmail.com</t>
  </si>
  <si>
    <t>7460</t>
  </si>
  <si>
    <t>Starting at Thu Aug 29 2024 22:10:47 GMT-0400 (EDT)</t>
  </si>
  <si>
    <t>1JpqpGqU9Kpgdw6OeZu0ONTP8bEpYrUvA</t>
  </si>
  <si>
    <t>https://drive.google.com/file/d/1JpqpGqU9Kpgdw6OeZu0ONTP8bEpYrUvA/view?usp=drivesdk</t>
  </si>
  <si>
    <t>KADEK SUDARMA</t>
  </si>
  <si>
    <t>kddarma1971@gmail.com</t>
  </si>
  <si>
    <t>7461</t>
  </si>
  <si>
    <t>17Ufje8DpAGYAl8FA5J5kvcg_0lJMX2aO</t>
  </si>
  <si>
    <t>https://drive.google.com/file/d/17Ufje8DpAGYAl8FA5J5kvcg_0lJMX2aO/view?usp=drivesdk</t>
  </si>
  <si>
    <t>ZUL ULA, S.H.</t>
  </si>
  <si>
    <t>ulayusuf86@gmail.com</t>
  </si>
  <si>
    <t>7462</t>
  </si>
  <si>
    <t>1EooAao-bXDkZ9HDGl3eecZCVq0QzqKyL</t>
  </si>
  <si>
    <t>https://drive.google.com/file/d/1EooAao-bXDkZ9HDGl3eecZCVq0QzqKyL/view?usp=drivesdk</t>
  </si>
  <si>
    <t>Document successfully created; Document successfully merged; PDF created; !!Error Sending Emails: Service invoked too many times for one day: email.; Manually run by ecertificate75@gmail.com; Timestamp: Sep 4 2024 3:15 AM</t>
  </si>
  <si>
    <t>DEWI SRIHANDAYANI</t>
  </si>
  <si>
    <t>dechinaufal@gmail.com</t>
  </si>
  <si>
    <t>7463</t>
  </si>
  <si>
    <t>1bLPKOqaMmqNrLeLnpLu-RL2yf59ts_0x</t>
  </si>
  <si>
    <t>https://drive.google.com/file/d/1bLPKOqaMmqNrLeLnpLu-RL2yf59ts_0x/view?usp=drivesdk</t>
  </si>
  <si>
    <t>HEDDY SRI PURNAMA  MANULLANG</t>
  </si>
  <si>
    <t>heddymanullang2017@gmail.com</t>
  </si>
  <si>
    <t>7464</t>
  </si>
  <si>
    <t>1aJ77uR6n23_G-MhSLW93jqnDvG9h-tqG</t>
  </si>
  <si>
    <t>https://drive.google.com/file/d/1aJ77uR6n23_G-MhSLW93jqnDvG9h-tqG/view?usp=drivesdk</t>
  </si>
  <si>
    <t>FACHRUR ROZI A.Md.T</t>
  </si>
  <si>
    <t>fachrurozi12021@gmail.com</t>
  </si>
  <si>
    <t>7465</t>
  </si>
  <si>
    <t>1F-m7Ot6EdHL4yDldMZ33igRBCQlPOnPS</t>
  </si>
  <si>
    <t>https://drive.google.com/file/d/1F-m7Ot6EdHL4yDldMZ33igRBCQlPOnPS/view?usp=drivesdk</t>
  </si>
  <si>
    <t>ENDANG SUSILOWATI, S.Hum.</t>
  </si>
  <si>
    <t>endangsanjaya@yahoo.co.id</t>
  </si>
  <si>
    <t>7466</t>
  </si>
  <si>
    <t>Starting at Thu Aug 29 2024 22:10:49 GMT-0400 (EDT)</t>
  </si>
  <si>
    <t>1q36o_5v51Y-1egIK3px1SAXF6dB75zdg</t>
  </si>
  <si>
    <t>https://drive.google.com/file/d/1q36o_5v51Y-1egIK3px1SAXF6dB75zdg/view?usp=drivesdk</t>
  </si>
  <si>
    <t>YULI RETNO UTAMI</t>
  </si>
  <si>
    <t>bagpalsarprasjatim@gmail.com</t>
  </si>
  <si>
    <t>7467</t>
  </si>
  <si>
    <t>Starting at Thu Aug 29 2024 22:10:56 GMT-0400 (EDT)</t>
  </si>
  <si>
    <t>1Xct1qM9r4JPrXQwq214-Bg5u9n8fQbhN</t>
  </si>
  <si>
    <t>https://drive.google.com/file/d/1Xct1qM9r4JPrXQwq214-Bg5u9n8fQbhN/view?usp=drivesdk</t>
  </si>
  <si>
    <t>Document successfully created; Document successfully merged; PDF created; !!Error Sending Emails: Service invoked too many times for one day: email.; Manually run by ecertificate75@gmail.com; Timestamp: Sep 4 2024 3:16 AM</t>
  </si>
  <si>
    <t>ENDANG PUJI ASTUTI, S.Tr.Keb</t>
  </si>
  <si>
    <t>endangpuji0110@gmail.com</t>
  </si>
  <si>
    <t>7468</t>
  </si>
  <si>
    <t>1njEqZzr2dDAzdDgdU9frAnC2ny678pyN</t>
  </si>
  <si>
    <t>https://drive.google.com/file/d/1njEqZzr2dDAzdDgdU9frAnC2ny678pyN/view?usp=drivesdk</t>
  </si>
  <si>
    <t>SISWOYO AJI</t>
  </si>
  <si>
    <t>siswoyoaji05@gmail.com</t>
  </si>
  <si>
    <t>7469</t>
  </si>
  <si>
    <t>1pZ1TJ-HLHzONJ026VBt1eb_VCBhZc1Tj</t>
  </si>
  <si>
    <t>https://drive.google.com/file/d/1pZ1TJ-HLHzONJ026VBt1eb_VCBhZc1Tj/view?usp=drivesdk</t>
  </si>
  <si>
    <t>BAMBANG SISWOYO</t>
  </si>
  <si>
    <t>bambangsiswoyo63@gmail.com</t>
  </si>
  <si>
    <t>7470</t>
  </si>
  <si>
    <t>1dtwzdTYYU8-_y8VBxas4UBid2y0IGVn3</t>
  </si>
  <si>
    <t>https://drive.google.com/file/d/1dtwzdTYYU8-_y8VBxas4UBid2y0IGVn3/view?usp=drivesdk</t>
  </si>
  <si>
    <t>PINONDANG NAINGGOLAN SE MM</t>
  </si>
  <si>
    <t>pipinnainggolan050173@gmail.com</t>
  </si>
  <si>
    <t>7471</t>
  </si>
  <si>
    <t>1Itrrh57qnLRMvD7tCkC3hyVoOKNxcWbx</t>
  </si>
  <si>
    <t>https://drive.google.com/file/d/1Itrrh57qnLRMvD7tCkC3hyVoOKNxcWbx/view?usp=drivesdk</t>
  </si>
  <si>
    <t>SIGIT SETYO PURNOMO</t>
  </si>
  <si>
    <t>sigit.dissa@gmail.com</t>
  </si>
  <si>
    <t>7472</t>
  </si>
  <si>
    <t>140swzFDSv7mLlxWQT14YgmpL2I5BWvv4</t>
  </si>
  <si>
    <t>https://drive.google.com/file/d/140swzFDSv7mLlxWQT14YgmpL2I5BWvv4/view?usp=drivesdk</t>
  </si>
  <si>
    <t>Document successfully created; Document successfully merged; PDF created; !!Error Sending Emails: Service invoked too many times for one day: email.; Manually run by ecertificate75@gmail.com; Timestamp: Sep 4 2024 3:17 AM</t>
  </si>
  <si>
    <t>WIDIASTUTI, S.E.</t>
  </si>
  <si>
    <t>widiastutisurabaya@gmail.com</t>
  </si>
  <si>
    <t>7473</t>
  </si>
  <si>
    <t>1nj16NS7IMUknq4Rr9POdiggJ0EVK-Xlf</t>
  </si>
  <si>
    <t>https://drive.google.com/file/d/1nj16NS7IMUknq4Rr9POdiggJ0EVK-Xlf/view?usp=drivesdk</t>
  </si>
  <si>
    <t>FAUZIAH, SE</t>
  </si>
  <si>
    <t>Fauziahpolresta@gmail.com</t>
  </si>
  <si>
    <t>7474</t>
  </si>
  <si>
    <t>16Xk2oemOzqQPgT3Zp6henwEvsU4PLs83</t>
  </si>
  <si>
    <t>https://drive.google.com/file/d/16Xk2oemOzqQPgT3Zp6henwEvsU4PLs83/view?usp=drivesdk</t>
  </si>
  <si>
    <t>LINASAROH S.Pd</t>
  </si>
  <si>
    <t>linadesti8@gmail.com</t>
  </si>
  <si>
    <t>7475</t>
  </si>
  <si>
    <t>17_Y_bC0BKmB8NvNCqr79QdhhMFdeFc0n</t>
  </si>
  <si>
    <t>https://drive.google.com/file/d/17_Y_bC0BKmB8NvNCqr79QdhhMFdeFc0n/view?usp=drivesdk</t>
  </si>
  <si>
    <t>DAHLAN, S.H.</t>
  </si>
  <si>
    <t>wakdahlanpnk@gmail.com</t>
  </si>
  <si>
    <t>7476</t>
  </si>
  <si>
    <t>Starting at Thu Aug 29 2024 22:10:58 GMT-0400 (EDT)</t>
  </si>
  <si>
    <t>11_KPtWQgoo7JLJqIYFRiHO-_1JwcjlFk</t>
  </si>
  <si>
    <t>https://drive.google.com/file/d/11_KPtWQgoo7JLJqIYFRiHO-_1JwcjlFk/view?usp=drivesdk</t>
  </si>
  <si>
    <t>SURYANAWATI, AMKEB</t>
  </si>
  <si>
    <t>fazrisodri82@gmail.com</t>
  </si>
  <si>
    <t>7477</t>
  </si>
  <si>
    <t>1Fk_KjUzGvdSqI-XpFFru6mDkWy3ab1ZF</t>
  </si>
  <si>
    <t>https://drive.google.com/file/d/1Fk_KjUzGvdSqI-XpFFru6mDkWy3ab1ZF/view?usp=drivesdk</t>
  </si>
  <si>
    <t>Document successfully created; Document successfully merged; PDF created; !!Error Sending Emails: Service invoked too many times for one day: email.; Manually run by ecertificate75@gmail.com; Timestamp: Sep 4 2024 3:18 AM</t>
  </si>
  <si>
    <t xml:space="preserve">SHINTA ANGGRAINI, A.Md.Kep. </t>
  </si>
  <si>
    <t>shntanggraini@gmail.com</t>
  </si>
  <si>
    <t>7478</t>
  </si>
  <si>
    <t>1ry4tp9gzoBH2D854J6Rzfm30euBtTGfG</t>
  </si>
  <si>
    <t>https://drive.google.com/file/d/1ry4tp9gzoBH2D854J6Rzfm30euBtTGfG/view?usp=drivesdk</t>
  </si>
  <si>
    <t>AGUNG SETIAWAN</t>
  </si>
  <si>
    <t>tatung239@gmail.com</t>
  </si>
  <si>
    <t>7479</t>
  </si>
  <si>
    <t>1Q8jKtIirSh0pxknekpT9YIdyRoC90KOR</t>
  </si>
  <si>
    <t>https://drive.google.com/file/d/1Q8jKtIirSh0pxknekpT9YIdyRoC90KOR/view?usp=drivesdk</t>
  </si>
  <si>
    <t>Document successfully created; Document successfully merged; PDF created; !!Error Sending Emails: Service invoked too many times for one day: email.; Manually run by ecertificate75@gmail.com; Timestamp: Sep 4 2024 3:19 AM</t>
  </si>
  <si>
    <t>OETARI SOEWARNI</t>
  </si>
  <si>
    <t>ucemama68@gmail.com</t>
  </si>
  <si>
    <t>7480</t>
  </si>
  <si>
    <t>Starting at Thu Aug 29 2024 22:11:01 GMT-0400 (EDT)</t>
  </si>
  <si>
    <t>1j9C4VHTB1X8mqC2Qb14L9qb03WNdbpkh</t>
  </si>
  <si>
    <t>https://drive.google.com/file/d/1j9C4VHTB1X8mqC2Qb14L9qb03WNdbpkh/view?usp=drivesdk</t>
  </si>
  <si>
    <t>drh. JEANNI DUMAYANTI</t>
  </si>
  <si>
    <t>duma2080@gmail.com</t>
  </si>
  <si>
    <t>7481</t>
  </si>
  <si>
    <t>1rQnj1LMr2soe2UfAOWGkSm25BODHkHYO</t>
  </si>
  <si>
    <t>https://drive.google.com/file/d/1rQnj1LMr2soe2UfAOWGkSm25BODHkHYO/view?usp=drivesdk</t>
  </si>
  <si>
    <t>dr.KUNAYAH</t>
  </si>
  <si>
    <t>naya.kunayah8@gmail.com</t>
  </si>
  <si>
    <t>7482</t>
  </si>
  <si>
    <t>1vR4KG-Q5ubhxCoFfugimhvGCFyTTc_O7</t>
  </si>
  <si>
    <t>https://drive.google.com/file/d/1vR4KG-Q5ubhxCoFfugimhvGCFyTTc_O7/view?usp=drivesdk</t>
  </si>
  <si>
    <t>Document successfully created; Document successfully merged; PDF created; Emails Sent: [To: naya.kunayah8@gmail.com]; Manually run by ecertificate75@gmail.com; Timestamp: Sep 4 2024 3:20 AM</t>
  </si>
  <si>
    <t>SUPRIYONO</t>
  </si>
  <si>
    <t>supriyono200167@gmail.com</t>
  </si>
  <si>
    <t>7483</t>
  </si>
  <si>
    <t>Starting at Thu Aug 29 2024 22:11:06 GMT-0400 (EDT)</t>
  </si>
  <si>
    <t>1j7NdaULE0Grq2xAyomMCj3E0maeAM2os</t>
  </si>
  <si>
    <t>https://drive.google.com/file/d/1j7NdaULE0Grq2xAyomMCj3E0maeAM2os/view?usp=drivesdk</t>
  </si>
  <si>
    <t>Document successfully created; Document successfully merged; PDF created; !!Error Sending Emails: Service invoked too many times for one day: email.; Manually run by ecertificate75@gmail.com; Timestamp: Sep 4 2024 3:20 AM</t>
  </si>
  <si>
    <t>TUTI AGUSTINA, S.Tr.Keb</t>
  </si>
  <si>
    <t>tutyhe@gmail.com</t>
  </si>
  <si>
    <t>7484</t>
  </si>
  <si>
    <t>1XBGOQL4nQOSBAj7_5cOXljtgwNc62eon</t>
  </si>
  <si>
    <t>https://drive.google.com/file/d/1XBGOQL4nQOSBAj7_5cOXljtgwNc62eon/view?usp=drivesdk</t>
  </si>
  <si>
    <t>JASRI MALADJAI</t>
  </si>
  <si>
    <t>jasrimanladja1@gmail.com</t>
  </si>
  <si>
    <t>7485</t>
  </si>
  <si>
    <t>1lnpUU2oQEUJQLcDuk_WxkBnHpuWryxee</t>
  </si>
  <si>
    <t>https://drive.google.com/file/d/1lnpUU2oQEUJQLcDuk_WxkBnHpuWryxee/view?usp=drivesdk</t>
  </si>
  <si>
    <t>Document successfully created; Document successfully merged; PDF created; !!Error Sending Emails: Service invoked too many times for one day: email.; Manually run by ecertificate75@gmail.com; Timestamp: Sep 4 2024 3:21 AM</t>
  </si>
  <si>
    <t>SYAMDARI WARSIANA</t>
  </si>
  <si>
    <t>syamdariw@gmail.com</t>
  </si>
  <si>
    <t>7486</t>
  </si>
  <si>
    <t>1oOXjtF_Y24DNhPU_olohPfsqCq_Dh0Tr</t>
  </si>
  <si>
    <t>https://drive.google.com/file/d/1oOXjtF_Y24DNhPU_olohPfsqCq_Dh0Tr/view?usp=drivesdk</t>
  </si>
  <si>
    <t>FERRY VIERAWATI BUDHI PURNAMI, A.Md.</t>
  </si>
  <si>
    <t>viera.ndutz@gmail.com</t>
  </si>
  <si>
    <t>7487</t>
  </si>
  <si>
    <t>1ESBoOSC3GhZ7T4CycgQOUmCbkf_kT4Lp</t>
  </si>
  <si>
    <t>https://drive.google.com/file/d/1ESBoOSC3GhZ7T4CycgQOUmCbkf_kT4Lp/view?usp=drivesdk</t>
  </si>
  <si>
    <t xml:space="preserve">RENDI KELVINANDA, S.H </t>
  </si>
  <si>
    <t>kelvinandarendy@gmail.com</t>
  </si>
  <si>
    <t>7488</t>
  </si>
  <si>
    <t>1G8BjD80GxYA3CpR2Bs04PO4bT0HMXYl0</t>
  </si>
  <si>
    <t>https://drive.google.com/file/d/1G8BjD80GxYA3CpR2Bs04PO4bT0HMXYl0/view?usp=drivesdk</t>
  </si>
  <si>
    <t>R. ANDHY WIRAWAN SUKMAJI, S.E.</t>
  </si>
  <si>
    <t>raden.aw@gmail.com</t>
  </si>
  <si>
    <t>7489</t>
  </si>
  <si>
    <t>1W35PLLjkcTs4fJSuhOz_szZuSB3xhAtl</t>
  </si>
  <si>
    <t>https://drive.google.com/file/d/1W35PLLjkcTs4fJSuhOz_szZuSB3xhAtl/view?usp=drivesdk</t>
  </si>
  <si>
    <t>Document successfully created; Document successfully merged; PDF created; !!Error Sending Emails: Service invoked too many times for one day: email.; Manually run by ecertificate75@gmail.com; Timestamp: Sep 4 2024 3:22 AM</t>
  </si>
  <si>
    <t>DARULFALAKH</t>
  </si>
  <si>
    <t>darulfalakh05@gmail.com</t>
  </si>
  <si>
    <t>7490</t>
  </si>
  <si>
    <t>Starting at Thu Aug 29 2024 22:11:09 GMT-0400 (EDT)</t>
  </si>
  <si>
    <t>1gsibsgZnI65aXZS9DybQtv1L58faHX9b</t>
  </si>
  <si>
    <t>https://drive.google.com/file/d/1gsibsgZnI65aXZS9DybQtv1L58faHX9b/view?usp=drivesdk</t>
  </si>
  <si>
    <t>SUGENG RAHMADI</t>
  </si>
  <si>
    <t>sugengrahmadi1177@gmai.com</t>
  </si>
  <si>
    <t>7491</t>
  </si>
  <si>
    <t>Starting at Thu Aug 29 2024 22:11:12 GMT-0400 (EDT)</t>
  </si>
  <si>
    <t>1O5K7jVYEqmQtfahAtHMccNc0K2KCue80</t>
  </si>
  <si>
    <t>https://drive.google.com/file/d/1O5K7jVYEqmQtfahAtHMccNc0K2KCue80/view?usp=drivesdk</t>
  </si>
  <si>
    <t>AYUB AYUB</t>
  </si>
  <si>
    <t>renminlantasntb@gmail.com</t>
  </si>
  <si>
    <t>7492</t>
  </si>
  <si>
    <t>Starting at Thu Aug 29 2024 22:11:16 GMT-0400 (EDT)</t>
  </si>
  <si>
    <t>1827_bGnBrx9YzRNiwxcfTM_thk0RBj14</t>
  </si>
  <si>
    <t>https://drive.google.com/file/d/1827_bGnBrx9YzRNiwxcfTM_thk0RBj14/view?usp=drivesdk</t>
  </si>
  <si>
    <t>Document successfully created; Document successfully merged; PDF created; !!Error Sending Emails: Service invoked too many times for one day: email.; Manually run by ecertificate75@gmail.com; Timestamp: Sep 4 2024 3:23 AM</t>
  </si>
  <si>
    <t>subandirespati@gmail.com</t>
  </si>
  <si>
    <t>7493</t>
  </si>
  <si>
    <t>1ZjwK4RZeDGKttnq1YXpVxss9eGmRKeZE</t>
  </si>
  <si>
    <t>https://drive.google.com/file/d/1ZjwK4RZeDGKttnq1YXpVxss9eGmRKeZE/view?usp=drivesdk</t>
  </si>
  <si>
    <t>SUGIYARTI</t>
  </si>
  <si>
    <t>sugiyartii2405@gmail.com</t>
  </si>
  <si>
    <t>7494</t>
  </si>
  <si>
    <t>1vq3No1q_jmL3u7ixIy3XPb4F8hgfoSEz</t>
  </si>
  <si>
    <t>https://drive.google.com/file/d/1vq3No1q_jmL3u7ixIy3XPb4F8hgfoSEz/view?usp=drivesdk</t>
  </si>
  <si>
    <t>LILIK EKO ASTUTI,Amd Keb</t>
  </si>
  <si>
    <t>lilik.eko.1234@gmail.com</t>
  </si>
  <si>
    <t>7495</t>
  </si>
  <si>
    <t>1-onlCs3c9SNqLATkjGKp6WEvMolRnVGM</t>
  </si>
  <si>
    <t>https://drive.google.com/file/d/1-onlCs3c9SNqLATkjGKp6WEvMolRnVGM/view?usp=drivesdk</t>
  </si>
  <si>
    <t xml:space="preserve">DIDIK DWI SOESANTO </t>
  </si>
  <si>
    <t>oeglank@gmail.com</t>
  </si>
  <si>
    <t>7496</t>
  </si>
  <si>
    <t>1AtaleBzrDmqAp4Wp91-k2ExfWCAT9pLV</t>
  </si>
  <si>
    <t>https://drive.google.com/file/d/1AtaleBzrDmqAp4Wp91-k2ExfWCAT9pLV/view?usp=drivesdk</t>
  </si>
  <si>
    <t>Document successfully created; Document successfully merged; PDF created; !!Error Sending Emails: Service invoked too many times for one day: email.; Manually run by ecertificate75@gmail.com; Timestamp: Sep 4 2024 3:24 AM</t>
  </si>
  <si>
    <t>TASLIM ADIK</t>
  </si>
  <si>
    <t>taslimadik29@gmail.com</t>
  </si>
  <si>
    <t>7497</t>
  </si>
  <si>
    <t>Starting at Thu Aug 29 2024 22:11:18 GMT-0400 (EDT)</t>
  </si>
  <si>
    <t>1Km36N2Mrl_0E1htA2WBLlv_AHU8ZTYK9</t>
  </si>
  <si>
    <t>https://drive.google.com/file/d/1Km36N2Mrl_0E1htA2WBLlv_AHU8ZTYK9/view?usp=drivesdk</t>
  </si>
  <si>
    <t>Document successfully created; Document successfully merged; PDF created; Emails Sent: [To: taslimadik29@gmail.com]; Manually run by ecertificate75@gmail.com; Timestamp: Sep 4 2024 3:24 AM</t>
  </si>
  <si>
    <t>DEWI WAHYUNI, S.E</t>
  </si>
  <si>
    <t>dewiwahyuni.respidie@gmail.com</t>
  </si>
  <si>
    <t>7498</t>
  </si>
  <si>
    <t>1XYw9BjyzW6ptLZDuDi92QXgxYi2ZxXdE</t>
  </si>
  <si>
    <t>https://drive.google.com/file/d/1XYw9BjyzW6ptLZDuDi92QXgxYi2ZxXdE/view?usp=drivesdk</t>
  </si>
  <si>
    <t>IRFAN KURNIA</t>
  </si>
  <si>
    <t>irfanonets@gmail.com</t>
  </si>
  <si>
    <t>7499</t>
  </si>
  <si>
    <t>1CtxwMGJCGo9KtRmaZCyC0vTqYT5k9PIm</t>
  </si>
  <si>
    <t>https://drive.google.com/file/d/1CtxwMGJCGo9KtRmaZCyC0vTqYT5k9PIm/view?usp=drivesdk</t>
  </si>
  <si>
    <t>Document successfully created; Document successfully merged; PDF created; !!Error Sending Emails: Service invoked too many times for one day: email.; Manually run by ecertificate75@gmail.com; Timestamp: Sep 4 2024 3:25 AM</t>
  </si>
  <si>
    <t>AGUNG DWI PRASETYO</t>
  </si>
  <si>
    <t>agung.dwi.prasetyo17@gmail.com</t>
  </si>
  <si>
    <t>7500</t>
  </si>
  <si>
    <t>Starting at Thu Aug 29 2024 22:11:21 GMT-0400 (EDT)</t>
  </si>
  <si>
    <t>1drF3w9nzOKkd7InqGodJQLPBi1dfGHop</t>
  </si>
  <si>
    <t>https://drive.google.com/file/d/1drF3w9nzOKkd7InqGodJQLPBi1dfGHop/view?usp=drivesdk</t>
  </si>
  <si>
    <t>JULITA BR. NAINGGOLAN, A.MD.KEB</t>
  </si>
  <si>
    <t>julzhiee@gmail.com</t>
  </si>
  <si>
    <t>7501</t>
  </si>
  <si>
    <t>1435UVj5ibG5cK57Uv9VlI8MRiDfoKeH0</t>
  </si>
  <si>
    <t>https://drive.google.com/file/d/1435UVj5ibG5cK57Uv9VlI8MRiDfoKeH0/view?usp=drivesdk</t>
  </si>
  <si>
    <t>LUSIA, S. TP</t>
  </si>
  <si>
    <t>lusiauchy15@gmail.com</t>
  </si>
  <si>
    <t>7502</t>
  </si>
  <si>
    <t>1qoVJoJEPdxaJfs_qXyd0UYbSymwpHl2p</t>
  </si>
  <si>
    <t>https://drive.google.com/file/d/1qoVJoJEPdxaJfs_qXyd0UYbSymwpHl2p/view?usp=drivesdk</t>
  </si>
  <si>
    <t xml:space="preserve">KARYUDI </t>
  </si>
  <si>
    <t>karyudi.bila@gmail.com</t>
  </si>
  <si>
    <t>7503</t>
  </si>
  <si>
    <t>Starting at Thu Aug 29 2024 22:11:24 GMT-0400 (EDT)</t>
  </si>
  <si>
    <t>17fxYTnqcAN0jNablkfF93eM_qNFtFpbZ</t>
  </si>
  <si>
    <t>https://drive.google.com/file/d/17fxYTnqcAN0jNablkfF93eM_qNFtFpbZ/view?usp=drivesdk</t>
  </si>
  <si>
    <t>Document successfully created; Document successfully merged; PDF created; !!Error Sending Emails: Service invoked too many times for one day: email.; Manually run by ecertificate75@gmail.com; Timestamp: Sep 4 2024 3:26 AM</t>
  </si>
  <si>
    <t>NURHALIJAH</t>
  </si>
  <si>
    <t>lizas1812@gmail.com</t>
  </si>
  <si>
    <t>7504</t>
  </si>
  <si>
    <t>1jQuW6UlLcQbULcHizzjr7DBLgifgQX0l</t>
  </si>
  <si>
    <t>https://drive.google.com/file/d/1jQuW6UlLcQbULcHizzjr7DBLgifgQX0l/view?usp=drivesdk</t>
  </si>
  <si>
    <t>WARNETI</t>
  </si>
  <si>
    <t>netiwarneti954@gmail.com</t>
  </si>
  <si>
    <t>7505</t>
  </si>
  <si>
    <t>Starting at Thu Aug 29 2024 22:11:26 GMT-0400 (EDT)</t>
  </si>
  <si>
    <t>1HbN_gtinKbp0VeatRIneH0_j4chH541r</t>
  </si>
  <si>
    <t>https://drive.google.com/file/d/1HbN_gtinKbp0VeatRIneH0_j4chH541r/view?usp=drivesdk</t>
  </si>
  <si>
    <t>RURI INDAH SARI</t>
  </si>
  <si>
    <t>ruriindahsari7@gmail.com</t>
  </si>
  <si>
    <t>7506</t>
  </si>
  <si>
    <t>1Hr-m1_LAnIETpdlBYop1LO-swscpuZF3</t>
  </si>
  <si>
    <t>https://drive.google.com/file/d/1Hr-m1_LAnIETpdlBYop1LO-swscpuZF3/view?usp=drivesdk</t>
  </si>
  <si>
    <t>LENY SUMARNI</t>
  </si>
  <si>
    <t>Lenysumarni74@gmail.com</t>
  </si>
  <si>
    <t>7507</t>
  </si>
  <si>
    <t>Starting at Thu Aug 29 2024 22:11:29 GMT-0400 (EDT)</t>
  </si>
  <si>
    <t>15DSFhnUM6IvYPG0D4kSXjiPdGt9Jbo4x</t>
  </si>
  <si>
    <t>https://drive.google.com/file/d/15DSFhnUM6IvYPG0D4kSXjiPdGt9Jbo4x/view?usp=drivesdk</t>
  </si>
  <si>
    <t>Document successfully created; Document successfully merged; PDF created; !!Error Sending Emails: Service invoked too many times for one day: email.; Manually run by ecertificate75@gmail.com; Timestamp: Sep 4 2024 3:27 AM</t>
  </si>
  <si>
    <t>ANGGIT BUDIONO</t>
  </si>
  <si>
    <t>anggitbudiono68@gmail.com</t>
  </si>
  <si>
    <t>7508</t>
  </si>
  <si>
    <t>Starting at Thu Aug 29 2024 22:11:32 GMT-0400 (EDT)</t>
  </si>
  <si>
    <t>1DMGdleCkAsfQ3kk8zNrUbQOPLmXgtZBv</t>
  </si>
  <si>
    <t>https://drive.google.com/file/d/1DMGdleCkAsfQ3kk8zNrUbQOPLmXgtZBv/view?usp=drivesdk</t>
  </si>
  <si>
    <t xml:space="preserve">MAHDAYULAEDA </t>
  </si>
  <si>
    <t>mahdayulaeda88@gmail.com</t>
  </si>
  <si>
    <t>7509</t>
  </si>
  <si>
    <t>1TgT1Iyt7GvAWEsl-m5yhJTGb8xOXqNqv</t>
  </si>
  <si>
    <t>https://drive.google.com/file/d/1TgT1Iyt7GvAWEsl-m5yhJTGb8xOXqNqv/view?usp=drivesdk</t>
  </si>
  <si>
    <t>Novita Najoan Salung</t>
  </si>
  <si>
    <t>novitanajoan85@gmail.com</t>
  </si>
  <si>
    <t>7510</t>
  </si>
  <si>
    <t>11DLQqSHs0VdQ7B9i2tgs4b4rZ9-3sYx9</t>
  </si>
  <si>
    <t>https://drive.google.com/file/d/11DLQqSHs0VdQ7B9i2tgs4b4rZ9-3sYx9/view?usp=drivesdk</t>
  </si>
  <si>
    <t>NOVI HANDAYANI</t>
  </si>
  <si>
    <t>nunoladhzam@gmail.com</t>
  </si>
  <si>
    <t>7511</t>
  </si>
  <si>
    <t>1_8trZR4cZdk7hqx77mU2Sd8XEiv4fkoz</t>
  </si>
  <si>
    <t>https://drive.google.com/file/d/1_8trZR4cZdk7hqx77mU2Sd8XEiv4fkoz/view?usp=drivesdk</t>
  </si>
  <si>
    <t>Document successfully created; Document successfully merged; PDF created; !!Error Sending Emails: Service invoked too many times for one day: email.; Manually run by ecertificate75@gmail.com; Timestamp: Sep 4 2024 3:28 AM</t>
  </si>
  <si>
    <t>FARIAL</t>
  </si>
  <si>
    <t>rialfarial@gmail.com</t>
  </si>
  <si>
    <t>7512</t>
  </si>
  <si>
    <t>1jwOZ1Qc5TyrGtHLSfjqAS4rVbCZfgw8a</t>
  </si>
  <si>
    <t>https://drive.google.com/file/d/1jwOZ1Qc5TyrGtHLSfjqAS4rVbCZfgw8a/view?usp=drivesdk</t>
  </si>
  <si>
    <t>NI KOM THREE AYU JUNIARTINI SP, SAg</t>
  </si>
  <si>
    <t>threedharma@gmail.com</t>
  </si>
  <si>
    <t>7513</t>
  </si>
  <si>
    <t>13zySlP2TMeYwoLUgKvclVGP2rYRC3WDk</t>
  </si>
  <si>
    <t>https://drive.google.com/file/d/13zySlP2TMeYwoLUgKvclVGP2rYRC3WDk/view?usp=drivesdk</t>
  </si>
  <si>
    <t xml:space="preserve">SODIQ PRANOTO </t>
  </si>
  <si>
    <t>sodiqpranoto@gmail.com</t>
  </si>
  <si>
    <t>7514</t>
  </si>
  <si>
    <t>1M-412yhoSXrWMByH0Z_fabKY563lHi86</t>
  </si>
  <si>
    <t>https://drive.google.com/file/d/1M-412yhoSXrWMByH0Z_fabKY563lHi86/view?usp=drivesdk</t>
  </si>
  <si>
    <t>ERNI SETIAWATI</t>
  </si>
  <si>
    <t>ernisetiawati783@gmail.com</t>
  </si>
  <si>
    <t>7515</t>
  </si>
  <si>
    <t>Starting at Thu Aug 29 2024 22:11:37 GMT-0400 (EDT)</t>
  </si>
  <si>
    <t>1N0Tixu7JJn2wOBogQYc-kk6J0ncv-IV7</t>
  </si>
  <si>
    <t>https://drive.google.com/file/d/1N0Tixu7JJn2wOBogQYc-kk6J0ncv-IV7/view?usp=drivesdk</t>
  </si>
  <si>
    <t>Document successfully created; Document successfully merged; PDF created; !!Error Sending Emails: Service invoked too many times for one day: email.; Manually run by ecertificate75@gmail.com; Timestamp: Sep 4 2024 3:29 AM</t>
  </si>
  <si>
    <t>delisyaj@gmail.com</t>
  </si>
  <si>
    <t>7516</t>
  </si>
  <si>
    <t>1cUZlZifuJGVqbfQwo-AB8ZdsCS7VT1-3</t>
  </si>
  <si>
    <t>https://drive.google.com/file/d/1cUZlZifuJGVqbfQwo-AB8ZdsCS7VT1-3/view?usp=drivesdk</t>
  </si>
  <si>
    <t>ADITYA CANDRA RONANDA</t>
  </si>
  <si>
    <t>aditya.candra080893@gmail.com</t>
  </si>
  <si>
    <t>7517</t>
  </si>
  <si>
    <t>1n3t7ZHZkZMBCmXm-BsYwTtaTVqt4xzHI</t>
  </si>
  <si>
    <t>https://drive.google.com/file/d/1n3t7ZHZkZMBCmXm-BsYwTtaTVqt4xzHI/view?usp=drivesdk</t>
  </si>
  <si>
    <t>KHAFIFAH</t>
  </si>
  <si>
    <t>khafifahraden@gmail.com</t>
  </si>
  <si>
    <t>7518</t>
  </si>
  <si>
    <t>Starting at Thu Aug 29 2024 22:11:40 GMT-0400 (EDT)</t>
  </si>
  <si>
    <t>1E4DqEbQv5HpREenImktxBCABE71kqhfo</t>
  </si>
  <si>
    <t>https://drive.google.com/file/d/1E4DqEbQv5HpREenImktxBCABE71kqhfo/view?usp=drivesdk</t>
  </si>
  <si>
    <t>Document successfully created; Document successfully merged; PDF created; Emails Sent: [To: khafifahraden@gmail.com]; Manually run by ecertificate75@gmail.com; Timestamp: Sep 4 2024 3:29 AM</t>
  </si>
  <si>
    <t>RAMDANI TAHER</t>
  </si>
  <si>
    <t>adanrt.rt@gmail.com</t>
  </si>
  <si>
    <t>7519</t>
  </si>
  <si>
    <t>1dwg8wc7bklK0YhIMV-vdzBgvsEWoW1Hn</t>
  </si>
  <si>
    <t>https://drive.google.com/file/d/1dwg8wc7bklK0YhIMV-vdzBgvsEWoW1Hn/view?usp=drivesdk</t>
  </si>
  <si>
    <t>Document successfully created; Document successfully merged; PDF created; !!Error Sending Emails: Service invoked too many times for one day: email.; Manually run by ecertificate75@gmail.com; Timestamp: Sep 4 2024 3:30 AM</t>
  </si>
  <si>
    <t>GATOT PRIYADI</t>
  </si>
  <si>
    <t>almapriyandani.1207@gmail.com</t>
  </si>
  <si>
    <t>7520</t>
  </si>
  <si>
    <t>1t6eHTHDryfpHc6eX5AsyEHPCEGQMC8pX</t>
  </si>
  <si>
    <t>https://drive.google.com/file/d/1t6eHTHDryfpHc6eX5AsyEHPCEGQMC8pX/view?usp=drivesdk</t>
  </si>
  <si>
    <t>ROSITA</t>
  </si>
  <si>
    <t>rositapolsek@yahoo.co.id</t>
  </si>
  <si>
    <t>7521</t>
  </si>
  <si>
    <t>Starting at Thu Aug 29 2024 22:11:48 GMT-0400 (EDT)</t>
  </si>
  <si>
    <t>1-uc_5WmZ19w70CFDF2m0gf7EkOdA5EVw</t>
  </si>
  <si>
    <t>https://drive.google.com/file/d/1-uc_5WmZ19w70CFDF2m0gf7EkOdA5EVw/view?usp=drivesdk</t>
  </si>
  <si>
    <t>RONY MARLIANTO</t>
  </si>
  <si>
    <t>rmarlianto70@gmail.com</t>
  </si>
  <si>
    <t>7522</t>
  </si>
  <si>
    <t>Starting at Thu Aug 29 2024 22:11:51 GMT-0400 (EDT)</t>
  </si>
  <si>
    <t>1hsVR7X1fAS-xZ7Jg15B8UIm4lAaMFXKR</t>
  </si>
  <si>
    <t>https://drive.google.com/file/d/1hsVR7X1fAS-xZ7Jg15B8UIm4lAaMFXKR/view?usp=drivesdk</t>
  </si>
  <si>
    <t>NORMAWATI</t>
  </si>
  <si>
    <t>normawatijpt@gmail.com</t>
  </si>
  <si>
    <t>7523</t>
  </si>
  <si>
    <t>1hAi1zfrHOh85B-szjMRVwRdRSUfC4jBB</t>
  </si>
  <si>
    <t>https://drive.google.com/file/d/1hAi1zfrHOh85B-szjMRVwRdRSUfC4jBB/view?usp=drivesdk</t>
  </si>
  <si>
    <t>DIANA YANTI, S.KOM.</t>
  </si>
  <si>
    <t>dianayanti442@gmail.com</t>
  </si>
  <si>
    <t>7524</t>
  </si>
  <si>
    <t>1r_ygPC3XxW5VOC0Z3Q4RbKSU5rDv6bQA</t>
  </si>
  <si>
    <t>https://drive.google.com/file/d/1r_ygPC3XxW5VOC0Z3Q4RbKSU5rDv6bQA/view?usp=drivesdk</t>
  </si>
  <si>
    <t>Document successfully created; Document successfully merged; PDF created; !!Error Sending Emails: Service invoked too many times for one day: email.; Manually run by ecertificate75@gmail.com; Timestamp: Sep 4 2024 3:31 AM</t>
  </si>
  <si>
    <t>ADANG, S.E</t>
  </si>
  <si>
    <t>adangsekarawang@gmail.com</t>
  </si>
  <si>
    <t>7525</t>
  </si>
  <si>
    <t>1qVarAQtZHHprK0bOvg5SxOktY2hvU5Hi</t>
  </si>
  <si>
    <t>https://drive.google.com/file/d/1qVarAQtZHHprK0bOvg5SxOktY2hvU5Hi/view?usp=drivesdk</t>
  </si>
  <si>
    <t>IKA PURWATININGSIH</t>
  </si>
  <si>
    <t>ikapurwati1970@gmail.com</t>
  </si>
  <si>
    <t>7526</t>
  </si>
  <si>
    <t>Starting at Thu Aug 29 2024 22:11:53 GMT-0400 (EDT)</t>
  </si>
  <si>
    <t>1_nEioXXdfGN62OpyPpbhWDoSgvhPKse3</t>
  </si>
  <si>
    <t>https://drive.google.com/file/d/1_nEioXXdfGN62OpyPpbhWDoSgvhPKse3/view?usp=drivesdk</t>
  </si>
  <si>
    <t>Almira Dwiasri, A. Md. Gz</t>
  </si>
  <si>
    <t>almiradwiasri26@gmail.com</t>
  </si>
  <si>
    <t>7527</t>
  </si>
  <si>
    <t>Starting at Thu Aug 29 2024 22:11:57 GMT-0400 (EDT)</t>
  </si>
  <si>
    <t>1EpGywOzihMhCOsV_YPIoRRdD49Qb6ERy</t>
  </si>
  <si>
    <t>https://drive.google.com/file/d/1EpGywOzihMhCOsV_YPIoRRdD49Qb6ERy/view?usp=drivesdk</t>
  </si>
  <si>
    <t>DEBBY YULIANA ROMPAS, M.Pd.</t>
  </si>
  <si>
    <t>debbyyulianarompas@gmail.com</t>
  </si>
  <si>
    <t>7528</t>
  </si>
  <si>
    <t>16BZy1vaNz9nDAkbAyAxSbbL_s_mMoKs2</t>
  </si>
  <si>
    <t>https://drive.google.com/file/d/16BZy1vaNz9nDAkbAyAxSbbL_s_mMoKs2/view?usp=drivesdk</t>
  </si>
  <si>
    <t>Document successfully created; Document successfully merged; PDF created; !!Error Sending Emails: Service invoked too many times for one day: email.; Manually run by ecertificate75@gmail.com; Timestamp: Sep 4 2024 3:32 AM</t>
  </si>
  <si>
    <t>YAYUK HARRI KRISTANTI</t>
  </si>
  <si>
    <t>yayukharri.kristanti@gmail.com</t>
  </si>
  <si>
    <t>7529</t>
  </si>
  <si>
    <t>1GYcQ11M4CmYe4zZvXwaCYArd-IBDmp0F</t>
  </si>
  <si>
    <t>https://drive.google.com/file/d/1GYcQ11M4CmYe4zZvXwaCYArd-IBDmp0F/view?usp=drivesdk</t>
  </si>
  <si>
    <t>Ahmad Munif, SH. M.Si.</t>
  </si>
  <si>
    <t>ahmadmunif348@gmail.com</t>
  </si>
  <si>
    <t>7530</t>
  </si>
  <si>
    <t>Starting at Thu Aug 29 2024 22:12:01 GMT-0400 (EDT)</t>
  </si>
  <si>
    <t>1sn86H3eNCRXVu6g7VUTfPkE3QwzMItl0</t>
  </si>
  <si>
    <t>https://drive.google.com/file/d/1sn86H3eNCRXVu6g7VUTfPkE3QwzMItl0/view?usp=drivesdk</t>
  </si>
  <si>
    <t>SUROSO</t>
  </si>
  <si>
    <t>singojuruhpolsek824@gmail.com</t>
  </si>
  <si>
    <t>7531</t>
  </si>
  <si>
    <t>Starting at Thu Aug 29 2024 22:12:04 GMT-0400 (EDT)</t>
  </si>
  <si>
    <t>1bGqEKBxm2LRSVxxd4bQ03ijEh2_7oy-8</t>
  </si>
  <si>
    <t>https://drive.google.com/file/d/1bGqEKBxm2LRSVxxd4bQ03ijEh2_7oy-8/view?usp=drivesdk</t>
  </si>
  <si>
    <t>MARYAM ENTENGO SPD</t>
  </si>
  <si>
    <t>iyamentengo@gmail.com</t>
  </si>
  <si>
    <t>7532</t>
  </si>
  <si>
    <t>Starting at Thu Aug 29 2024 22:12:08 GMT-0400 (EDT)</t>
  </si>
  <si>
    <t>1INOVSyUaRYO7R6thMETBwwQSoob9JC_U</t>
  </si>
  <si>
    <t>https://drive.google.com/file/d/1INOVSyUaRYO7R6thMETBwwQSoob9JC_U/view?usp=drivesdk</t>
  </si>
  <si>
    <t>Document successfully created; Document successfully merged; PDF created; !!Error Sending Emails: Service invoked too many times for one day: email.; Manually run by ecertificate75@gmail.com; Timestamp: Sep 4 2024 3:33 AM</t>
  </si>
  <si>
    <t>HERI SUPRIADI</t>
  </si>
  <si>
    <t>heriaupriadi123@gmail.com</t>
  </si>
  <si>
    <t>7533</t>
  </si>
  <si>
    <t>Starting at Thu Aug 29 2024 22:12:12 GMT-0400 (EDT)</t>
  </si>
  <si>
    <t>1Wv4prbYS0AL6G24HEw0n34QPNUeyS9NA</t>
  </si>
  <si>
    <t>https://drive.google.com/file/d/1Wv4prbYS0AL6G24HEw0n34QPNUeyS9NA/view?usp=drivesdk</t>
  </si>
  <si>
    <t>DJAMIRWAN</t>
  </si>
  <si>
    <t>andraki68@gmail.com</t>
  </si>
  <si>
    <t>7534</t>
  </si>
  <si>
    <t>1W5YFQLYvkmm27mTF3K_CkQSw9rkzvJZs</t>
  </si>
  <si>
    <t>https://drive.google.com/file/d/1W5YFQLYvkmm27mTF3K_CkQSw9rkzvJZs/view?usp=drivesdk</t>
  </si>
  <si>
    <t>JUSNAWATI</t>
  </si>
  <si>
    <t>jusnawati1991@gmail.com</t>
  </si>
  <si>
    <t>7535</t>
  </si>
  <si>
    <t>Starting at Thu Aug 29 2024 22:12:16 GMT-0400 (EDT)</t>
  </si>
  <si>
    <t>1lv59buGnD7rMXw7xJ-AFj6QxhrtYMG2m</t>
  </si>
  <si>
    <t>https://drive.google.com/file/d/1lv59buGnD7rMXw7xJ-AFj6QxhrtYMG2m/view?usp=drivesdk</t>
  </si>
  <si>
    <t xml:space="preserve">TUGIMIN </t>
  </si>
  <si>
    <t>tugiminpolresta@gmail.com</t>
  </si>
  <si>
    <t>7536</t>
  </si>
  <si>
    <t>18Bcp_X8oKoBkTQYhDBiEF9wjeUDyFUKE</t>
  </si>
  <si>
    <t>https://drive.google.com/file/d/18Bcp_X8oKoBkTQYhDBiEF9wjeUDyFUKE/view?usp=drivesdk</t>
  </si>
  <si>
    <t>Document successfully created; Document successfully merged; PDF created; !!Error Sending Emails: Service invoked too many times for one day: email.; Manually run by ecertificate75@gmail.com; Timestamp: Sep 4 2024 3:34 AM</t>
  </si>
  <si>
    <t>KERRY DAVID GUlTOM SH</t>
  </si>
  <si>
    <t>kerrydavidgultom@gmail.com</t>
  </si>
  <si>
    <t>7537</t>
  </si>
  <si>
    <t>1e0ez9aknVbLXTJkFDM05XwR9xBJ49dVQ</t>
  </si>
  <si>
    <t>https://drive.google.com/file/d/1e0ez9aknVbLXTJkFDM05XwR9xBJ49dVQ/view?usp=drivesdk</t>
  </si>
  <si>
    <t xml:space="preserve">DIYAH TIYANDARI </t>
  </si>
  <si>
    <t>diyahtiyandari21@gmail.com</t>
  </si>
  <si>
    <t>7538</t>
  </si>
  <si>
    <t>Starting at Thu Aug 29 2024 22:12:21 GMT-0400 (EDT)</t>
  </si>
  <si>
    <t>14H9FATpflcdWmoHoxf8YSpjJH00Bjfz1</t>
  </si>
  <si>
    <t>https://drive.google.com/file/d/14H9FATpflcdWmoHoxf8YSpjJH00Bjfz1/view?usp=drivesdk</t>
  </si>
  <si>
    <t>parti1002@gmail.com</t>
  </si>
  <si>
    <t>7539</t>
  </si>
  <si>
    <t>Starting at Thu Aug 29 2024 22:12:25 GMT-0400 (EDT)</t>
  </si>
  <si>
    <t>1mBFyxGJ_ziwTGyR-Sbxg5pDlrG_TqEAF</t>
  </si>
  <si>
    <t>https://drive.google.com/file/d/1mBFyxGJ_ziwTGyR-Sbxg5pDlrG_TqEAF/view?usp=drivesdk</t>
  </si>
  <si>
    <t>ANANG SUNARDI</t>
  </si>
  <si>
    <t>anank_ok@yahoo.co.id</t>
  </si>
  <si>
    <t>7540</t>
  </si>
  <si>
    <t>1LVWmw_GD-ka4EAYl_QpE2frMiga2zkGb</t>
  </si>
  <si>
    <t>https://drive.google.com/file/d/1LVWmw_GD-ka4EAYl_QpE2frMiga2zkGb/view?usp=drivesdk</t>
  </si>
  <si>
    <t>Document successfully created; Document successfully merged; PDF created; !!Error Sending Emails: Service invoked too many times for one day: email.; Manually run by ecertificate75@gmail.com; Timestamp: Sep 4 2024 3:35 AM</t>
  </si>
  <si>
    <t>SRI MARDIYANANiNGSIH</t>
  </si>
  <si>
    <t>srimardiyananingsih@gmail.com</t>
  </si>
  <si>
    <t>7541</t>
  </si>
  <si>
    <t>Starting at Thu Aug 29 2024 22:12:30 GMT-0400 (EDT)</t>
  </si>
  <si>
    <t>1I1nQ42sVcQhIBfkB2yTBU1f2v4mRYSor</t>
  </si>
  <si>
    <t>https://drive.google.com/file/d/1I1nQ42sVcQhIBfkB2yTBU1f2v4mRYSor/view?usp=drivesdk</t>
  </si>
  <si>
    <t>gunawang@ymail.com</t>
  </si>
  <si>
    <t>7542</t>
  </si>
  <si>
    <t>1YYh-fpT3Wv8xnJOPvWZqA8IN4cFJqTHo</t>
  </si>
  <si>
    <t>https://drive.google.com/file/d/1YYh-fpT3Wv8xnJOPvWZqA8IN4cFJqTHo/view?usp=drivesdk</t>
  </si>
  <si>
    <t>Sugeng Rahayu, SE</t>
  </si>
  <si>
    <t>rahayusugeng135@gmail.com</t>
  </si>
  <si>
    <t>7543</t>
  </si>
  <si>
    <t>1LUCw-2MRJmNck7vT6KJkSC0hmDHG3GcU</t>
  </si>
  <si>
    <t>https://drive.google.com/file/d/1LUCw-2MRJmNck7vT6KJkSC0hmDHG3GcU/view?usp=drivesdk</t>
  </si>
  <si>
    <t>Dr. NURLITA, MM</t>
  </si>
  <si>
    <t>litajusuf08@gmail.com</t>
  </si>
  <si>
    <t>7544</t>
  </si>
  <si>
    <t>Starting at Thu Aug 29 2024 22:12:35 GMT-0400 (EDT)</t>
  </si>
  <si>
    <t>1sXZS1upqFmeLz0kLjB6Z7E56OJsxnRmO</t>
  </si>
  <si>
    <t>https://drive.google.com/file/d/1sXZS1upqFmeLz0kLjB6Z7E56OJsxnRmO/view?usp=drivesdk</t>
  </si>
  <si>
    <t>Document successfully created; Document successfully merged; PDF created; !!Error Sending Emails: Service invoked too many times for one day: email.; Manually run by ecertificate75@gmail.com; Timestamp: Sep 4 2024 3:36 AM</t>
  </si>
  <si>
    <t>SITI MARPUAH</t>
  </si>
  <si>
    <t>auliamarfuah@gmail.com</t>
  </si>
  <si>
    <t>7545</t>
  </si>
  <si>
    <t>1xdOHo9VsiEMvNdHF7xXqYPvKDiCGgc1_</t>
  </si>
  <si>
    <t>https://drive.google.com/file/d/1xdOHo9VsiEMvNdHF7xXqYPvKDiCGgc1_/view?usp=drivesdk</t>
  </si>
  <si>
    <t>MERLYN SAMBETA, S,Ak</t>
  </si>
  <si>
    <t>chingsambeta@gmail.com</t>
  </si>
  <si>
    <t>7546</t>
  </si>
  <si>
    <t>14bsHqE1c2mgp1nf9a_ZQkUVP14JCI7lr</t>
  </si>
  <si>
    <t>https://drive.google.com/file/d/14bsHqE1c2mgp1nf9a_ZQkUVP14JCI7lr/view?usp=drivesdk</t>
  </si>
  <si>
    <t>ANE YUNITA RESTUNINGSIH</t>
  </si>
  <si>
    <t>ane.yunita81@yahoo.co.id</t>
  </si>
  <si>
    <t>7547</t>
  </si>
  <si>
    <t>1eB5pyeGYmrgyVcyaDWsG8bWsgwaz8Seg</t>
  </si>
  <si>
    <t>https://drive.google.com/file/d/1eB5pyeGYmrgyVcyaDWsG8bWsgwaz8Seg/view?usp=drivesdk</t>
  </si>
  <si>
    <t>dr. HUSNUL KHOTIMAH</t>
  </si>
  <si>
    <t>husnul7782@gmail.com</t>
  </si>
  <si>
    <t>7548</t>
  </si>
  <si>
    <t>1evFk7B4_fmXPXM6OURiHav4lk3UuxNFq</t>
  </si>
  <si>
    <t>https://drive.google.com/file/d/1evFk7B4_fmXPXM6OURiHav4lk3UuxNFq/view?usp=drivesdk</t>
  </si>
  <si>
    <t>Document successfully created; Document successfully merged; PDF created; !!Error Sending Emails: Service invoked too many times for one day: email.; Manually run by ecertificate75@gmail.com; Timestamp: Sep 4 2024 3:37 AM</t>
  </si>
  <si>
    <t>SAEPUDIN ZUHRI, SAP</t>
  </si>
  <si>
    <t>saepudinzuhri0@gmail.com</t>
  </si>
  <si>
    <t>7549</t>
  </si>
  <si>
    <t>Starting at Thu Aug 29 2024 22:12:55 GMT-0400 (EDT)</t>
  </si>
  <si>
    <t>16oSVekESEQOczqR_ZvW5QSXeVXOApP0g</t>
  </si>
  <si>
    <t>https://drive.google.com/file/d/16oSVekESEQOczqR_ZvW5QSXeVXOApP0g/view?usp=drivesdk</t>
  </si>
  <si>
    <t>ANGGI SILVIA PLATINUMA</t>
  </si>
  <si>
    <t>gieplatinuma87@gmail.com</t>
  </si>
  <si>
    <t>7550</t>
  </si>
  <si>
    <t>15gnBKXMz-I1-1vR1CgD-L1eJd1ZIHeq0</t>
  </si>
  <si>
    <t>https://drive.google.com/file/d/15gnBKXMz-I1-1vR1CgD-L1eJd1ZIHeq0/view?usp=drivesdk</t>
  </si>
  <si>
    <t>DYAH SUPRIHATIN, A.Md</t>
  </si>
  <si>
    <t>dyah.rm@gmail.com</t>
  </si>
  <si>
    <t>7551</t>
  </si>
  <si>
    <t>1mvQyJAn6DFACXHu4GZne1JuMQ0RsbvwQ</t>
  </si>
  <si>
    <t>https://drive.google.com/file/d/1mvQyJAn6DFACXHu4GZne1JuMQ0RsbvwQ/view?usp=drivesdk</t>
  </si>
  <si>
    <t>F YANCE H SITUMORANG, S.KOM</t>
  </si>
  <si>
    <t>fransiskusyance@gmail.com</t>
  </si>
  <si>
    <t>7552</t>
  </si>
  <si>
    <t>16_RUslQJuRndwFVlbvkMOmdc0cXs8we5</t>
  </si>
  <si>
    <t>https://drive.google.com/file/d/16_RUslQJuRndwFVlbvkMOmdc0cXs8we5/view?usp=drivesdk</t>
  </si>
  <si>
    <t>MARTHA NANI LEANNA SITORUS</t>
  </si>
  <si>
    <t>athaleana@gmail.com</t>
  </si>
  <si>
    <t>7553</t>
  </si>
  <si>
    <t>1qAhW6g7_8vXcCqeJvb1DDfNyPGN4v-DI</t>
  </si>
  <si>
    <t>https://drive.google.com/file/d/1qAhW6g7_8vXcCqeJvb1DDfNyPGN4v-DI/view?usp=drivesdk</t>
  </si>
  <si>
    <t>Document successfully created; Document successfully merged; PDF created; !!Error Sending Emails: Service invoked too many times for one day: email.; Manually run by ecertificate75@gmail.com; Timestamp: Sep 4 2024 3:38 AM</t>
  </si>
  <si>
    <t>BAHARUDDIN DAMANIK, AMd</t>
  </si>
  <si>
    <t>damanikbaharuddin74@gmail.com</t>
  </si>
  <si>
    <t>7554</t>
  </si>
  <si>
    <t>1Lr-7FUrms7kLx59zOGk4prMr0NZOMh2Y</t>
  </si>
  <si>
    <t>https://drive.google.com/file/d/1Lr-7FUrms7kLx59zOGk4prMr0NZOMh2Y/view?usp=drivesdk</t>
  </si>
  <si>
    <t>tinisragen1968@gmail.com</t>
  </si>
  <si>
    <t>7555</t>
  </si>
  <si>
    <t>1KDuPuqHNRzMjp3sDq9sfTSEq4KgyGQZI</t>
  </si>
  <si>
    <t>https://drive.google.com/file/d/1KDuPuqHNRzMjp3sDq9sfTSEq4KgyGQZI/view?usp=drivesdk</t>
  </si>
  <si>
    <t>DEWI YULIANTI</t>
  </si>
  <si>
    <t>yoerihime@gmail.com</t>
  </si>
  <si>
    <t>7556</t>
  </si>
  <si>
    <t>1IHRUkHuSPe3RVecroWEkEaaTXhqBnmTu</t>
  </si>
  <si>
    <t>https://drive.google.com/file/d/1IHRUkHuSPe3RVecroWEkEaaTXhqBnmTu/view?usp=drivesdk</t>
  </si>
  <si>
    <t>RATNA DEWISYAH</t>
  </si>
  <si>
    <t>dewipolres91@hotmail.com</t>
  </si>
  <si>
    <t>7557</t>
  </si>
  <si>
    <t>1LwkZlVmQ67U3sH-pKa6q9mpI6_6Ilzej</t>
  </si>
  <si>
    <t>https://drive.google.com/file/d/1LwkZlVmQ67U3sH-pKa6q9mpI6_6Ilzej/view?usp=drivesdk</t>
  </si>
  <si>
    <t>Document successfully created; Document successfully merged; PDF created; !!Error Sending Emails: Service invoked too many times for one day: email.; Manually run by ecertificate75@gmail.com; Timestamp: Sep 4 2024 3:39 AM</t>
  </si>
  <si>
    <t>RIFFO ERLINA, S.E., M.AK.</t>
  </si>
  <si>
    <t>muhammadjainudin1987@gmail.com</t>
  </si>
  <si>
    <t>7558</t>
  </si>
  <si>
    <t>1loOVhAvBVv_AtES1iDGTqrD_peqU3hc3</t>
  </si>
  <si>
    <t>https://drive.google.com/file/d/1loOVhAvBVv_AtES1iDGTqrD_peqU3hc3/view?usp=drivesdk</t>
  </si>
  <si>
    <t>REINNY LADETTE, SKM</t>
  </si>
  <si>
    <t>reinnyladete06@gmail.com</t>
  </si>
  <si>
    <t>7559</t>
  </si>
  <si>
    <t>Starting at Thu Aug 29 2024 22:12:59 GMT-0400 (EDT)</t>
  </si>
  <si>
    <t>1yacd2uiRh1yhexX6i-AFkEycRzqJgULK</t>
  </si>
  <si>
    <t>https://drive.google.com/file/d/1yacd2uiRh1yhexX6i-AFkEycRzqJgULK/view?usp=drivesdk</t>
  </si>
  <si>
    <t>dr RINI MULYANI,Sp.KJ</t>
  </si>
  <si>
    <t>rinimulyani2022@gmail.com</t>
  </si>
  <si>
    <t>7560</t>
  </si>
  <si>
    <t>Starting at Thu Aug 29 2024 22:13:09 GMT-0400 (EDT)</t>
  </si>
  <si>
    <t>1mneWFAc6S6EnsaVSCqr8JZPJQHRckT0M</t>
  </si>
  <si>
    <t>https://drive.google.com/file/d/1mneWFAc6S6EnsaVSCqr8JZPJQHRckT0M/view?usp=drivesdk</t>
  </si>
  <si>
    <t>ABDUL LATIF YASIN, S.E., AK</t>
  </si>
  <si>
    <t>alatifyasin@gmail.com</t>
  </si>
  <si>
    <t>7561</t>
  </si>
  <si>
    <t>1xWodnnh9nIw0XXifJk8bZjQWWWZ1tl01</t>
  </si>
  <si>
    <t>https://drive.google.com/file/d/1xWodnnh9nIw0XXifJk8bZjQWWWZ1tl01/view?usp=drivesdk</t>
  </si>
  <si>
    <t>Document successfully created; Document successfully merged; PDF created; !!Error Sending Emails: Service invoked too many times for one day: email.; Manually run by ecertificate75@gmail.com; Timestamp: Sep 4 2024 3:40 AM</t>
  </si>
  <si>
    <t>LILIK HARIJANTO</t>
  </si>
  <si>
    <t>lilikharijanto08@gmail.com</t>
  </si>
  <si>
    <t>7562</t>
  </si>
  <si>
    <t>1T6W-LtEiT9Oolc5UnB1E2x9x4lWGMXuj</t>
  </si>
  <si>
    <t>https://drive.google.com/file/d/1T6W-LtEiT9Oolc5UnB1E2x9x4lWGMXuj/view?usp=drivesdk</t>
  </si>
  <si>
    <t>HANDAYANI, S. H.</t>
  </si>
  <si>
    <t>handayan1.hh@gmail.com</t>
  </si>
  <si>
    <t>7563</t>
  </si>
  <si>
    <t>1ETGcSj88L8j-GAOzuOExw7fg2YxCUlOp</t>
  </si>
  <si>
    <t>https://drive.google.com/file/d/1ETGcSj88L8j-GAOzuOExw7fg2YxCUlOp/view?usp=drivesdk</t>
  </si>
  <si>
    <t xml:space="preserve">MISTIN APRILIYANTI </t>
  </si>
  <si>
    <t>mistinapriliyanti45@gmail.com</t>
  </si>
  <si>
    <t>7564</t>
  </si>
  <si>
    <t>14mJ1ttxWD4JuLTI07odren8t-GUKf_3c</t>
  </si>
  <si>
    <t>https://drive.google.com/file/d/14mJ1ttxWD4JuLTI07odren8t-GUKf_3c/view?usp=drivesdk</t>
  </si>
  <si>
    <t>MARYULIDAR</t>
  </si>
  <si>
    <t>maryulidarjambi1975@gmail.com</t>
  </si>
  <si>
    <t>7565</t>
  </si>
  <si>
    <t>1fQ_RaF-_KLE8ATD8o_cQ2L28LY-Im2EB</t>
  </si>
  <si>
    <t>https://drive.google.com/file/d/1fQ_RaF-_KLE8ATD8o_cQ2L28LY-Im2EB/view?usp=drivesdk</t>
  </si>
  <si>
    <t>Document successfully created; Document successfully merged; PDF created; !!Error Sending Emails: Service invoked too many times for one day: email.; Manually run by ecertificate75@gmail.com; Timestamp: Sep 4 2024 3:41 AM</t>
  </si>
  <si>
    <t>BAYU CANDRA MUSA AJI,A.Md</t>
  </si>
  <si>
    <t>bayuadjibianconeri@gmail.com</t>
  </si>
  <si>
    <t>7566</t>
  </si>
  <si>
    <t>1FkwhemIiDwNoZ-R3zBk_F-uJadTi4V2z</t>
  </si>
  <si>
    <t>https://drive.google.com/file/d/1FkwhemIiDwNoZ-R3zBk_F-uJadTi4V2z/view?usp=drivesdk</t>
  </si>
  <si>
    <t xml:space="preserve">BAMBANG ERYANTO </t>
  </si>
  <si>
    <t>bambangspn2015@gmai.com</t>
  </si>
  <si>
    <t>7567</t>
  </si>
  <si>
    <t>1MJF08RN5qTQXZSogiMPe4zrd1iGpc-2W</t>
  </si>
  <si>
    <t>https://drive.google.com/file/d/1MJF08RN5qTQXZSogiMPe4zrd1iGpc-2W/view?usp=drivesdk</t>
  </si>
  <si>
    <t>NOKI SAKTIYANTI, S.E.</t>
  </si>
  <si>
    <t>nokisakti@gmail.com</t>
  </si>
  <si>
    <t>7568</t>
  </si>
  <si>
    <t>1xGvDsMhAUdNo9uEL1EgRedaaSnyFVt0-</t>
  </si>
  <si>
    <t>https://drive.google.com/file/d/1xGvDsMhAUdNo9uEL1EgRedaaSnyFVt0-/view?usp=drivesdk</t>
  </si>
  <si>
    <t xml:space="preserve">FAUZIAH NUR BR HARAHAP </t>
  </si>
  <si>
    <t>fauziahnurharahap2@gmail.com</t>
  </si>
  <si>
    <t>7569</t>
  </si>
  <si>
    <t>Starting at Thu Aug 29 2024 22:13:11 GMT-0400 (EDT)</t>
  </si>
  <si>
    <t>1BT4lSf1xAxIgjuZYGjdS9aLD5pF5C0ae</t>
  </si>
  <si>
    <t>https://drive.google.com/file/d/1BT4lSf1xAxIgjuZYGjdS9aLD5pF5C0ae/view?usp=drivesdk</t>
  </si>
  <si>
    <t>JUMADI</t>
  </si>
  <si>
    <t>jumadisari8@gmail.com</t>
  </si>
  <si>
    <t>7570</t>
  </si>
  <si>
    <t>Starting at Thu Aug 29 2024 22:13:18 GMT-0400 (EDT)</t>
  </si>
  <si>
    <t>1d3Daka7Pjf0yc4-Rddq8hPDzl_TAoL8R</t>
  </si>
  <si>
    <t>https://drive.google.com/file/d/1d3Daka7Pjf0yc4-Rddq8hPDzl_TAoL8R/view?usp=drivesdk</t>
  </si>
  <si>
    <t>Document successfully created; Document successfully merged; PDF created; !!Error Sending Emails: Service invoked too many times for one day: email.; Manually run by ecertificate75@gmail.com; Timestamp: Sep 4 2024 3:42 AM</t>
  </si>
  <si>
    <t xml:space="preserve">dr.ISNAENI SALAMIYAH </t>
  </si>
  <si>
    <t>dokterneni@yahoo.com</t>
  </si>
  <si>
    <t>7571</t>
  </si>
  <si>
    <t>13G-ZUKzEhm-J_FoqjQWZRb9fCML87b55</t>
  </si>
  <si>
    <t>https://drive.google.com/file/d/13G-ZUKzEhm-J_FoqjQWZRb9fCML87b55/view?usp=drivesdk</t>
  </si>
  <si>
    <t>NATALIA ANA SUPRIYANTARAI.,AMd.Farm.</t>
  </si>
  <si>
    <t>nathaliana3030@gmail.com</t>
  </si>
  <si>
    <t>7572</t>
  </si>
  <si>
    <t>1YECR2TcAMXCk-_mOtlyuTSWmY11Fjmvh</t>
  </si>
  <si>
    <t>https://drive.google.com/file/d/1YECR2TcAMXCk-_mOtlyuTSWmY11Fjmvh/view?usp=drivesdk</t>
  </si>
  <si>
    <t>ETI YULIANA</t>
  </si>
  <si>
    <t>yulianaeti@gmail.com</t>
  </si>
  <si>
    <t>7573</t>
  </si>
  <si>
    <t>11a2ClLZDBaDtPgaQ50MeLjYS78rElq4R</t>
  </si>
  <si>
    <t>https://drive.google.com/file/d/11a2ClLZDBaDtPgaQ50MeLjYS78rElq4R/view?usp=drivesdk</t>
  </si>
  <si>
    <t>PENGATUR WANTO</t>
  </si>
  <si>
    <t>wanthoud@gmail.com</t>
  </si>
  <si>
    <t>7574</t>
  </si>
  <si>
    <t>Starting at Thu Aug 29 2024 22:13:24 GMT-0400 (EDT)</t>
  </si>
  <si>
    <t>1tplPF9OdQgVkYd9-7iCxB-I0tkfqb0vv</t>
  </si>
  <si>
    <t>https://drive.google.com/file/d/1tplPF9OdQgVkYd9-7iCxB-I0tkfqb0vv/view?usp=drivesdk</t>
  </si>
  <si>
    <t>Document successfully created; Document successfully merged; PDF created; !!Error Sending Emails: Service invoked too many times for one day: email.; Manually run by ecertificate75@gmail.com; Timestamp: Sep 4 2024 3:43 AM</t>
  </si>
  <si>
    <t>KASMINEM</t>
  </si>
  <si>
    <t>kasminem1112@gmail.com</t>
  </si>
  <si>
    <t>7575</t>
  </si>
  <si>
    <t>1_F_BxrYj4tT4yTqXLlIKe_G6fx2Kqvdo</t>
  </si>
  <si>
    <t>https://drive.google.com/file/d/1_F_BxrYj4tT4yTqXLlIKe_G6fx2Kqvdo/view?usp=drivesdk</t>
  </si>
  <si>
    <t>ROMADONI, S.Sos</t>
  </si>
  <si>
    <t>rdoni4402@gmail.com</t>
  </si>
  <si>
    <t>7576</t>
  </si>
  <si>
    <t>1xwfz9YpIMHE0J7ZOx3XOLOCoxFVIPNBH</t>
  </si>
  <si>
    <t>https://drive.google.com/file/d/1xwfz9YpIMHE0J7ZOx3XOLOCoxFVIPNBH/view?usp=drivesdk</t>
  </si>
  <si>
    <t>DOMINGGUS BAKKER</t>
  </si>
  <si>
    <t>maballoapp@gmail.com</t>
  </si>
  <si>
    <t>7577</t>
  </si>
  <si>
    <t>18ON0qZ5JvRhw50kNQTANNIwFKW9McKuB</t>
  </si>
  <si>
    <t>https://drive.google.com/file/d/18ON0qZ5JvRhw50kNQTANNIwFKW9McKuB/view?usp=drivesdk</t>
  </si>
  <si>
    <t>NOVITA RISNASARI, S.K.M.</t>
  </si>
  <si>
    <t>nrisnasari24@gmail.com</t>
  </si>
  <si>
    <t>7578</t>
  </si>
  <si>
    <t>1ox1BvCn_lhG_p0uM6yfcylsm2Xo1PlMD</t>
  </si>
  <si>
    <t>https://drive.google.com/file/d/1ox1BvCn_lhG_p0uM6yfcylsm2Xo1PlMD/view?usp=drivesdk</t>
  </si>
  <si>
    <t xml:space="preserve">I NENGAH SUTEJA </t>
  </si>
  <si>
    <t>nengahsuteja94@gmail.com</t>
  </si>
  <si>
    <t>7579</t>
  </si>
  <si>
    <t>1UIxUjj5IxN1IJWhfxTgOoxDXBZaslU5H</t>
  </si>
  <si>
    <t>https://drive.google.com/file/d/1UIxUjj5IxN1IJWhfxTgOoxDXBZaslU5H/view?usp=drivesdk</t>
  </si>
  <si>
    <t>Document successfully created; Document successfully merged; PDF created; !!Error Sending Emails: Service invoked too many times for one day: email.; Manually run by ecertificate75@gmail.com; Timestamp: Sep 4 2024 3:44 AM</t>
  </si>
  <si>
    <t>DEWI ARFAH LUBIS</t>
  </si>
  <si>
    <t>dewiarfahlubis@gmail.com</t>
  </si>
  <si>
    <t>7580</t>
  </si>
  <si>
    <t>Starting at Thu Aug 29 2024 22:13:34 GMT-0400 (EDT)</t>
  </si>
  <si>
    <t>1A0rqaqnRdcPP1LrWgGOYvfWllQaFbOXg</t>
  </si>
  <si>
    <t>https://drive.google.com/file/d/1A0rqaqnRdcPP1LrWgGOYvfWllQaFbOXg/view?usp=drivesdk</t>
  </si>
  <si>
    <t>SUMARNO TOYOTA</t>
  </si>
  <si>
    <t>Sumarnotoyota33@gmail.com</t>
  </si>
  <si>
    <t>7581</t>
  </si>
  <si>
    <t>1tdib-THnKAe0lgmw9GypCdWJ4JAeTGE0</t>
  </si>
  <si>
    <t>https://drive.google.com/file/d/1tdib-THnKAe0lgmw9GypCdWJ4JAeTGE0/view?usp=drivesdk</t>
  </si>
  <si>
    <t>BAIQ.WIRDATUL AINI</t>
  </si>
  <si>
    <t>wirdatulainibaiq@gmail.com</t>
  </si>
  <si>
    <t>7582</t>
  </si>
  <si>
    <t>1zHM8iIwMoBtp8he-4vHJWcfNalxmTZq4</t>
  </si>
  <si>
    <t>https://drive.google.com/file/d/1zHM8iIwMoBtp8he-4vHJWcfNalxmTZq4/view?usp=drivesdk</t>
  </si>
  <si>
    <t xml:space="preserve">Muhammad Kiki Ardiansyah SE </t>
  </si>
  <si>
    <t>kikiardiansyah.6982@gmail.com</t>
  </si>
  <si>
    <t>7583</t>
  </si>
  <si>
    <t>1b3zXVsacB28u3MXj6w2JbF_sIGtnc-l4</t>
  </si>
  <si>
    <t>https://drive.google.com/file/d/1b3zXVsacB28u3MXj6w2JbF_sIGtnc-l4/view?usp=drivesdk</t>
  </si>
  <si>
    <t>Document successfully created; Document successfully merged; PDF created; !!Error Sending Emails: Service invoked too many times for one day: email.; Manually run by ecertificate75@gmail.com; Timestamp: Sep 4 2024 3:45 AM</t>
  </si>
  <si>
    <t>PATMAWATI</t>
  </si>
  <si>
    <t>patmawatisuci99@gmail.com</t>
  </si>
  <si>
    <t>7584</t>
  </si>
  <si>
    <t>Starting at Thu Aug 29 2024 22:13:39 GMT-0400 (EDT)</t>
  </si>
  <si>
    <t>1kTnUmM-jntQHxWIwxr7bHqHlfYF5Hjnz</t>
  </si>
  <si>
    <t>https://drive.google.com/file/d/1kTnUmM-jntQHxWIwxr7bHqHlfYF5Hjnz/view?usp=drivesdk</t>
  </si>
  <si>
    <t>CANDRA AGUS RINASARI, S.M.</t>
  </si>
  <si>
    <t>candrahendri608@gmail.com</t>
  </si>
  <si>
    <t>7585</t>
  </si>
  <si>
    <t>1fJjbV5-6SpGnBnwn9KyAgjB7CvDQVI5i</t>
  </si>
  <si>
    <t>https://drive.google.com/file/d/1fJjbV5-6SpGnBnwn9KyAgjB7CvDQVI5i/view?usp=drivesdk</t>
  </si>
  <si>
    <t>dr. EDY WIRASTHO</t>
  </si>
  <si>
    <t>dr.edywirastho@gmail.com</t>
  </si>
  <si>
    <t>7586</t>
  </si>
  <si>
    <t>Starting at Thu Aug 29 2024 22:13:44 GMT-0400 (EDT)</t>
  </si>
  <si>
    <t>1aZE5erPTicbsCeFEAQtCdnxh-18e5pzl</t>
  </si>
  <si>
    <t>https://drive.google.com/file/d/1aZE5erPTicbsCeFEAQtCdnxh-18e5pzl/view?usp=drivesdk</t>
  </si>
  <si>
    <t>Document successfully created; Document successfully merged; PDF created; !!Error Sending Emails: Service invoked too many times for one day: email.; Manually run by ecertificate75@gmail.com; Timestamp: Sep 4 2024 3:46 AM</t>
  </si>
  <si>
    <t>SUNDARI</t>
  </si>
  <si>
    <t>1212sundari1212@gmail.com</t>
  </si>
  <si>
    <t>7587</t>
  </si>
  <si>
    <t>1wgSyxLg2RtqyknTLUtxACKwKl8-ZbTSX</t>
  </si>
  <si>
    <t>https://drive.google.com/file/d/1wgSyxLg2RtqyknTLUtxACKwKl8-ZbTSX/view?usp=drivesdk</t>
  </si>
  <si>
    <t>Nova Fuji Lestari</t>
  </si>
  <si>
    <t>novafujilestari@gmail.com</t>
  </si>
  <si>
    <t>7588</t>
  </si>
  <si>
    <t>1KwLu-0Exs5BtrQhnjNbHWWmtuqXpACAf</t>
  </si>
  <si>
    <t>https://drive.google.com/file/d/1KwLu-0Exs5BtrQhnjNbHWWmtuqXpACAf/view?usp=drivesdk</t>
  </si>
  <si>
    <t xml:space="preserve">SISKA INDRIYANI </t>
  </si>
  <si>
    <t>siskaindriyani61@gmail.com</t>
  </si>
  <si>
    <t>7589</t>
  </si>
  <si>
    <t>Starting at Thu Aug 29 2024 22:13:49 GMT-0400 (EDT)</t>
  </si>
  <si>
    <t>1OARyXUyDDOe1sbYqcHkQS-OwN2yJ4jdp</t>
  </si>
  <si>
    <t>https://drive.google.com/file/d/1OARyXUyDDOe1sbYqcHkQS-OwN2yJ4jdp/view?usp=drivesdk</t>
  </si>
  <si>
    <t>TRI HARYANI</t>
  </si>
  <si>
    <t>tharyani442@gmail.com</t>
  </si>
  <si>
    <t>7590</t>
  </si>
  <si>
    <t>1HAG3xv_g7AvPSm9goHAsyDs2HEpN2K_t</t>
  </si>
  <si>
    <t>https://drive.google.com/file/d/1HAG3xv_g7AvPSm9goHAsyDs2HEpN2K_t/view?usp=drivesdk</t>
  </si>
  <si>
    <t>Document successfully created; Document successfully merged; PDF created; !!Error Sending Emails: Service invoked too many times for one day: email.; Manually run by ecertificate75@gmail.com; Timestamp: Sep 4 2024 3:47 AM</t>
  </si>
  <si>
    <t>DIYAH INDRIYANI, S.SOS</t>
  </si>
  <si>
    <t>diyah.indriyani1111@gmail.com</t>
  </si>
  <si>
    <t>7591</t>
  </si>
  <si>
    <t>1Hv_CuJVvUrBJwUUqcSVnRUOLtZq6wJu7</t>
  </si>
  <si>
    <t>https://drive.google.com/file/d/1Hv_CuJVvUrBJwUUqcSVnRUOLtZq6wJu7/view?usp=drivesdk</t>
  </si>
  <si>
    <t>YANTI RAHMAWATI, A.Md</t>
  </si>
  <si>
    <t>rahmawati.yanti82@gmail.com</t>
  </si>
  <si>
    <t>7592</t>
  </si>
  <si>
    <t>18rHeQLalgQhQk-dhouARCJnFUgP-n4Oi</t>
  </si>
  <si>
    <t>https://drive.google.com/file/d/18rHeQLalgQhQk-dhouARCJnFUgP-n4Oi/view?usp=drivesdk</t>
  </si>
  <si>
    <t>ROJIYEM</t>
  </si>
  <si>
    <t>rojirojiya5@gmail.com</t>
  </si>
  <si>
    <t>7593</t>
  </si>
  <si>
    <t>Starting at Thu Aug 29 2024 22:13:54 GMT-0400 (EDT)</t>
  </si>
  <si>
    <t>1I0cfoTJZGBPzTaWyInI7qlgc9fLE_05-</t>
  </si>
  <si>
    <t>https://drive.google.com/file/d/1I0cfoTJZGBPzTaWyInI7qlgc9fLE_05-/view?usp=drivesdk</t>
  </si>
  <si>
    <t>NURYATI</t>
  </si>
  <si>
    <t>yatisaja71@mail.com</t>
  </si>
  <si>
    <t>7594</t>
  </si>
  <si>
    <t>Starting at Thu Aug 29 2024 22:14:03 GMT-0400 (EDT)</t>
  </si>
  <si>
    <t>1S-RBr4cXQ5sg5NnM4ZCY8tc1B4odA9nv</t>
  </si>
  <si>
    <t>https://drive.google.com/file/d/1S-RBr4cXQ5sg5NnM4ZCY8tc1B4odA9nv/view?usp=drivesdk</t>
  </si>
  <si>
    <t>Document successfully created; Document successfully merged; PDF created; !!Error Sending Emails: Service invoked too many times for one day: email.; Manually run by ecertificate75@gmail.com; Timestamp: Sep 4 2024 3:48 AM</t>
  </si>
  <si>
    <t xml:space="preserve">Etik Dwi Rochmiyanti </t>
  </si>
  <si>
    <t>irvanmahadbintoro.mb@gmail.com</t>
  </si>
  <si>
    <t>7595</t>
  </si>
  <si>
    <t>1smglz3OJGMNpGdricR1oJ6VFvrDLitiT</t>
  </si>
  <si>
    <t>https://drive.google.com/file/d/1smglz3OJGMNpGdricR1oJ6VFvrDLitiT/view?usp=drivesdk</t>
  </si>
  <si>
    <t>NUR AZMAN CANIAGO</t>
  </si>
  <si>
    <t>nrazmancaniago@gmail.com</t>
  </si>
  <si>
    <t>7596</t>
  </si>
  <si>
    <t>1gIc5MojJqqOhUwo1LYAzS-9q3Qt80hsD</t>
  </si>
  <si>
    <t>https://drive.google.com/file/d/1gIc5MojJqqOhUwo1LYAzS-9q3Qt80hsD/view?usp=drivesdk</t>
  </si>
  <si>
    <t>ELISABET YULI PAGO</t>
  </si>
  <si>
    <t>elisabetyulipago@yahoo.com</t>
  </si>
  <si>
    <t>7597</t>
  </si>
  <si>
    <t>1utkmDfceJ4-lA9ZKshamlK_mHyPUNtMw</t>
  </si>
  <si>
    <t>https://drive.google.com/file/d/1utkmDfceJ4-lA9ZKshamlK_mHyPUNtMw/view?usp=drivesdk</t>
  </si>
  <si>
    <t>WIWIEK ABDULAH BIYA</t>
  </si>
  <si>
    <t>wiwiekbiya@gmail.com</t>
  </si>
  <si>
    <t>7598</t>
  </si>
  <si>
    <t>Starting at Thu Aug 29 2024 22:14:04 GMT-0400 (EDT)</t>
  </si>
  <si>
    <t>1M3ldcyAykOur1_aA3UNEtSPES6dEGXmj</t>
  </si>
  <si>
    <t>https://drive.google.com/file/d/1M3ldcyAykOur1_aA3UNEtSPES6dEGXmj/view?usp=drivesdk</t>
  </si>
  <si>
    <t>Document successfully created; Document successfully merged; PDF created; !!Error Sending Emails: Service invoked too many times for one day: email.; Manually run by ecertificate75@gmail.com; Timestamp: Sep 4 2024 3:49 AM</t>
  </si>
  <si>
    <t>EKA BAGUS PANUNTUN, S.M.</t>
  </si>
  <si>
    <t>ekabagus.panuntun@gmail.com</t>
  </si>
  <si>
    <t>7599</t>
  </si>
  <si>
    <t>Starting at Thu Aug 29 2024 22:14:06 GMT-0400 (EDT)</t>
  </si>
  <si>
    <t>1hygxrGq8LzxAfp3im8lMOgWi14SUhXPa</t>
  </si>
  <si>
    <t>https://drive.google.com/file/d/1hygxrGq8LzxAfp3im8lMOgWi14SUhXPa/view?usp=drivesdk</t>
  </si>
  <si>
    <t>PUGUH PURWANTO</t>
  </si>
  <si>
    <t>puguhpurwanto123@gmail.com</t>
  </si>
  <si>
    <t>7600</t>
  </si>
  <si>
    <t>Starting at Thu Aug 29 2024 22:14:09 GMT-0400 (EDT)</t>
  </si>
  <si>
    <t>1q2_plajrdP6F4Kn20XDKj09_NdSEmGVX</t>
  </si>
  <si>
    <t>https://drive.google.com/file/d/1q2_plajrdP6F4Kn20XDKj09_NdSEmGVX/view?usp=drivesdk</t>
  </si>
  <si>
    <t>TRI MAYANGGONO</t>
  </si>
  <si>
    <t>mayangtrie777@gmail.com</t>
  </si>
  <si>
    <t>7601</t>
  </si>
  <si>
    <t>1JREuNSyKmw5HGDiVsNsgX338zTa43mHs</t>
  </si>
  <si>
    <t>https://drive.google.com/file/d/1JREuNSyKmw5HGDiVsNsgX338zTa43mHs/view?usp=drivesdk</t>
  </si>
  <si>
    <t>NIKEN HERYATI</t>
  </si>
  <si>
    <t>niken644@gmail.com</t>
  </si>
  <si>
    <t>7602</t>
  </si>
  <si>
    <t>1Ea6b1Ou5zzMCr9Jj3SEwhx0WUIZIdNXJ</t>
  </si>
  <si>
    <t>https://drive.google.com/file/d/1Ea6b1Ou5zzMCr9Jj3SEwhx0WUIZIdNXJ/view?usp=drivesdk</t>
  </si>
  <si>
    <t>Document successfully created; Document successfully merged; PDF created; !!Error Sending Emails: Service invoked too many times for one day: email.; Manually run by ecertificate75@gmail.com; Timestamp: Sep 4 2024 3:50 AM</t>
  </si>
  <si>
    <t>ENDANG LISTIYANINGSIH</t>
  </si>
  <si>
    <t>endanglistiyaningsih91@gmail.com</t>
  </si>
  <si>
    <t>7603</t>
  </si>
  <si>
    <t>Starting at Thu Aug 29 2024 22:14:15 GMT-0400 (EDT)</t>
  </si>
  <si>
    <t>1zGXh29fE18pcybvQZjfSJxOytNyG2k3a</t>
  </si>
  <si>
    <t>https://drive.google.com/file/d/1zGXh29fE18pcybvQZjfSJxOytNyG2k3a/view?usp=drivesdk</t>
  </si>
  <si>
    <t>ROSTIANA PANJAITAN</t>
  </si>
  <si>
    <t>rostianaaja543@gmail.com</t>
  </si>
  <si>
    <t>7604</t>
  </si>
  <si>
    <t>Starting at Thu Aug 29 2024 22:14:16 GMT-0400 (EDT)</t>
  </si>
  <si>
    <t>1w99OCE_YLKIG1-Cf6UpDBzD4He0W3Vxq</t>
  </si>
  <si>
    <t>https://drive.google.com/file/d/1w99OCE_YLKIG1-Cf6UpDBzD4He0W3Vxq/view?usp=drivesdk</t>
  </si>
  <si>
    <t>ADITYA CANDRA RONANDA, S.Kom</t>
  </si>
  <si>
    <t>adityacandra0893@gmail.com</t>
  </si>
  <si>
    <t>7605</t>
  </si>
  <si>
    <t>1iU7FgqVhM0BV-T4IGNMxt7Cugiv4_niO</t>
  </si>
  <si>
    <t>https://drive.google.com/file/d/1iU7FgqVhM0BV-T4IGNMxt7Cugiv4_niO/view?usp=drivesdk</t>
  </si>
  <si>
    <t>Document successfully created; Document successfully merged; PDF created; Emails Sent: [To: adityacandra0893@gmail.com]; Manually run by ecertificate75@gmail.com; Timestamp: Sep 9 2024 9:48 AM</t>
  </si>
  <si>
    <t>daryantodaryanto7711@gmail.com</t>
  </si>
  <si>
    <t>7606</t>
  </si>
  <si>
    <t>1PxxR9YAUPkyO6ptLhozA7JDUuB3G_0Ay</t>
  </si>
  <si>
    <t>https://drive.google.com/file/d/1PxxR9YAUPkyO6ptLhozA7JDUuB3G_0Ay/view?usp=drivesdk</t>
  </si>
  <si>
    <t>Document successfully created; Document successfully merged; PDF created; Emails Sent: [To: daryantodaryanto7711@gmail.com]; Manually run by ecertificate75@gmail.com; Timestamp: Sep 9 2024 9:48 AM</t>
  </si>
  <si>
    <t>IRMA HIDAYATI</t>
  </si>
  <si>
    <t>irmayusuf40@gmail.fom</t>
  </si>
  <si>
    <t>7607</t>
  </si>
  <si>
    <t>1VmUhOnxhXVoC8VFG8EdJxh5a6ta9WCSX</t>
  </si>
  <si>
    <t>https://drive.google.com/file/d/1VmUhOnxhXVoC8VFG8EdJxh5a6ta9WCSX/view?usp=drivesdk</t>
  </si>
  <si>
    <t>Document successfully created; Document successfully merged; PDF created; Emails Sent: [To: irmayusuf40@gmail.fom]; Manually run by ecertificate75@gmail.com; Timestamp: Sep 9 2024 9:48 AM</t>
  </si>
  <si>
    <t>THOMAS HANGGORO, S. KOM.</t>
  </si>
  <si>
    <t>thomashanggoro2@gmail.com</t>
  </si>
  <si>
    <t>7608</t>
  </si>
  <si>
    <t>Starting at Thu Aug 29 2024 22:14:20 GMT-0400 (EDT)</t>
  </si>
  <si>
    <t>1VbN1hGKl3zJSS0l_epS5dnMpBmDQ9xQm</t>
  </si>
  <si>
    <t>https://drive.google.com/file/d/1VbN1hGKl3zJSS0l_epS5dnMpBmDQ9xQm/view?usp=drivesdk</t>
  </si>
  <si>
    <t>Document successfully created; Document successfully merged; PDF created; Emails Sent: [To: thomashanggoro2@gmail.com]; Manually run by ecertificate75@gmail.com; Timestamp: Sep 9 2024 9:49 AM</t>
  </si>
  <si>
    <t>EDI VIONA PURBA AMK</t>
  </si>
  <si>
    <t>edipurba850901@gmail.com</t>
  </si>
  <si>
    <t>7609</t>
  </si>
  <si>
    <t>1W3eT0woifT7LWb9ZTbPZ5UiHKqmV-hXf</t>
  </si>
  <si>
    <t>https://drive.google.com/file/d/1W3eT0woifT7LWb9ZTbPZ5UiHKqmV-hXf/view?usp=drivesdk</t>
  </si>
  <si>
    <t>Document successfully created; Document successfully merged; PDF created; Emails Sent: [To: edipurba850901@gmail.com]; Manually run by ecertificate75@gmail.com; Timestamp: Sep 9 2024 9:49 AM</t>
  </si>
  <si>
    <t>RAHMAN SETIYO, S.Kom.</t>
  </si>
  <si>
    <t>setyo719@gmail.com</t>
  </si>
  <si>
    <t>7610</t>
  </si>
  <si>
    <t>1tHft9EPYGkR1U7fD9P01ADmEizpCpQWg</t>
  </si>
  <si>
    <t>https://drive.google.com/file/d/1tHft9EPYGkR1U7fD9P01ADmEizpCpQWg/view?usp=drivesdk</t>
  </si>
  <si>
    <t>Document successfully created; Document successfully merged; PDF created; Emails Sent: [To: setyo719@gmail.com]; Manually run by ecertificate75@gmail.com; Timestamp: Sep 9 2024 9:49 AM</t>
  </si>
  <si>
    <t>ASMAUL HASANAH</t>
  </si>
  <si>
    <t>ima.sulaiman76@gmail.com</t>
  </si>
  <si>
    <t>7611</t>
  </si>
  <si>
    <t>1Pv85C6uY4MBGWBzMhyZXnAo6-y7XigUB</t>
  </si>
  <si>
    <t>https://drive.google.com/file/d/1Pv85C6uY4MBGWBzMhyZXnAo6-y7XigUB/view?usp=drivesdk</t>
  </si>
  <si>
    <t>Document successfully created; Document successfully merged; PDF created; Emails Sent: [To: ima.sulaiman76@gmail.com]; Manually run by ecertificate75@gmail.com; Timestamp: Sep 9 2024 9:49 AM</t>
  </si>
  <si>
    <t>QOMALIA QORIZON</t>
  </si>
  <si>
    <t>qoqomlia@gmail.com</t>
  </si>
  <si>
    <t>7612</t>
  </si>
  <si>
    <t>1Dt4kP3Ho_e84W6aHRFuv3RiJOxizhw1x</t>
  </si>
  <si>
    <t>https://drive.google.com/file/d/1Dt4kP3Ho_e84W6aHRFuv3RiJOxizhw1x/view?usp=drivesdk</t>
  </si>
  <si>
    <t>Document successfully created; Document successfully merged; PDF created; Emails Sent: [To: qoqomlia@gmail.com]; Manually run by ecertificate75@gmail.com; Timestamp: Sep 9 2024 9:50 AM</t>
  </si>
  <si>
    <t>MINDARTI SE</t>
  </si>
  <si>
    <t>darti_jasmine@yahoo.com</t>
  </si>
  <si>
    <t>7613</t>
  </si>
  <si>
    <t>1OES-zkpCorUIgiFd0gtZcU_2SKYDdw1s</t>
  </si>
  <si>
    <t>https://drive.google.com/file/d/1OES-zkpCorUIgiFd0gtZcU_2SKYDdw1s/view?usp=drivesdk</t>
  </si>
  <si>
    <t>Document successfully created; Document successfully merged; PDF created; Emails Sent: [To: darti_jasmine@yahoo.com]; Manually run by ecertificate75@gmail.com; Timestamp: Sep 9 2024 9:50 AM</t>
  </si>
  <si>
    <t xml:space="preserve">Risma flora Capah Naibaho </t>
  </si>
  <si>
    <t>rismaflora1310@gmail.com</t>
  </si>
  <si>
    <t>7614</t>
  </si>
  <si>
    <t>1pYI9ktppOHMY3lKiloxcK-hR6Q6l8-XH</t>
  </si>
  <si>
    <t>https://drive.google.com/file/d/1pYI9ktppOHMY3lKiloxcK-hR6Q6l8-XH/view?usp=drivesdk</t>
  </si>
  <si>
    <t>Document successfully created; Document successfully merged; PDF created; Emails Sent: [To: rismaflora1310@gmail.com]; Manually run by ecertificate75@gmail.com; Timestamp: Sep 9 2024 9:50 AM</t>
  </si>
  <si>
    <t>RAHAYU SUSANTI, M.Pd.</t>
  </si>
  <si>
    <t>rahayuwhd@gmail.com</t>
  </si>
  <si>
    <t>7615</t>
  </si>
  <si>
    <t>1pXDrXIA-AEh24GpROIpw1PZAzddc9_oZ</t>
  </si>
  <si>
    <t>https://drive.google.com/file/d/1pXDrXIA-AEh24GpROIpw1PZAzddc9_oZ/view?usp=drivesdk</t>
  </si>
  <si>
    <t>Document successfully created; Document successfully merged; PDF created; Emails Sent: [To: rahayuwhd@gmail.com]; Manually run by ecertificate75@gmail.com; Timestamp: Sep 9 2024 9:50 AM</t>
  </si>
  <si>
    <t>AZIS SETIAWAN, S.AP.</t>
  </si>
  <si>
    <t>setiawan.azis86@gmail.com</t>
  </si>
  <si>
    <t>7616</t>
  </si>
  <si>
    <t>1g6jatmJunS8jAWu5Mypi6XIyBL98Fljc</t>
  </si>
  <si>
    <t>https://drive.google.com/file/d/1g6jatmJunS8jAWu5Mypi6XIyBL98Fljc/view?usp=drivesdk</t>
  </si>
  <si>
    <t>Document successfully created; Document successfully merged; PDF created; Emails Sent: [To: setiawan.azis86@gmail.com]; Manually run by ecertificate75@gmail.com; Timestamp: Sep 9 2024 9:50 AM</t>
  </si>
  <si>
    <t>YUNIZAR RYNALDHI, S.E</t>
  </si>
  <si>
    <t>yunizarrynaldhi24@gmail.com</t>
  </si>
  <si>
    <t>7617</t>
  </si>
  <si>
    <t>Starting at Thu Aug 29 2024 22:14:22 GMT-0400 (EDT)</t>
  </si>
  <si>
    <t>1rXwbJ6zzpS9j41T8YVAZBM_fUAo_WUC6</t>
  </si>
  <si>
    <t>https://drive.google.com/file/d/1rXwbJ6zzpS9j41T8YVAZBM_fUAo_WUC6/view?usp=drivesdk</t>
  </si>
  <si>
    <t>Document successfully created; Document successfully merged; PDF created; Emails Sent: [To: yunizarrynaldhi24@gmail.com]; Manually run by ecertificate75@gmail.com; Timestamp: Sep 9 2024 9:51 AM</t>
  </si>
  <si>
    <t>SRI SUPARMI</t>
  </si>
  <si>
    <t>srisuparmi.nazwa@gmail.com</t>
  </si>
  <si>
    <t>7618</t>
  </si>
  <si>
    <t>Starting at Thu Aug 29 2024 22:14:28 GMT-0400 (EDT)</t>
  </si>
  <si>
    <t>1_JlJ0QnUaZPT-uRomTC8Uq-U_RMawr_1</t>
  </si>
  <si>
    <t>https://drive.google.com/file/d/1_JlJ0QnUaZPT-uRomTC8Uq-U_RMawr_1/view?usp=drivesdk</t>
  </si>
  <si>
    <t>Document successfully created; Document successfully merged; PDF created; Emails Sent: [To: srisuparmi.nazwa@gmail.com]; Manually run by ecertificate75@gmail.com; Timestamp: Sep 9 2024 9:51 AM</t>
  </si>
  <si>
    <t>LILIS HARTATI</t>
  </si>
  <si>
    <t>lilishartatirespdg@gmail.com</t>
  </si>
  <si>
    <t>7619</t>
  </si>
  <si>
    <t>16ctSK5Y2oRs5pykvNtMR7kp8tyZGD6nJ</t>
  </si>
  <si>
    <t>https://drive.google.com/file/d/16ctSK5Y2oRs5pykvNtMR7kp8tyZGD6nJ/view?usp=drivesdk</t>
  </si>
  <si>
    <t>Document successfully created; Document successfully merged; PDF created; Emails Sent: [To: lilishartatirespdg@gmail.com]; Manually run by ecertificate75@gmail.com; Timestamp: Sep 9 2024 9:51 AM</t>
  </si>
  <si>
    <t>TIN SUHARTINI</t>
  </si>
  <si>
    <t>tinioke81@gmail.com</t>
  </si>
  <si>
    <t>7620</t>
  </si>
  <si>
    <t>18q3hmtQaUVKbSKQha5ZHvFK4XN-fHTwg</t>
  </si>
  <si>
    <t>https://drive.google.com/file/d/18q3hmtQaUVKbSKQha5ZHvFK4XN-fHTwg/view?usp=drivesdk</t>
  </si>
  <si>
    <t>Document successfully created; Document successfully merged; PDF created; Emails Sent: [To: tinioke81@gmail.com]; Manually run by ecertificate75@gmail.com; Timestamp: Sep 9 2024 9:51 AM</t>
  </si>
  <si>
    <t>NANA HERDIANA</t>
  </si>
  <si>
    <t>herdiananana69@gmail.com</t>
  </si>
  <si>
    <t>7621</t>
  </si>
  <si>
    <t>1IarOv9nAZlejGjSWMVPmrtySKHaU6Ms2</t>
  </si>
  <si>
    <t>https://drive.google.com/file/d/1IarOv9nAZlejGjSWMVPmrtySKHaU6Ms2/view?usp=drivesdk</t>
  </si>
  <si>
    <t>Document successfully created; Document successfully merged; PDF created; Emails Sent: [To: herdiananana69@gmail.com]; Manually run by ecertificate75@gmail.com; Timestamp: Sep 9 2024 9:52 AM</t>
  </si>
  <si>
    <t>SUGIYANTORO, S.E.</t>
  </si>
  <si>
    <t>toro.saigie@gmail.com</t>
  </si>
  <si>
    <t>7622</t>
  </si>
  <si>
    <t>1otrSIAacJDLKP29m8oFM3FMk-eCS4Rb4</t>
  </si>
  <si>
    <t>https://drive.google.com/file/d/1otrSIAacJDLKP29m8oFM3FMk-eCS4Rb4/view?usp=drivesdk</t>
  </si>
  <si>
    <t>Document successfully created; Document successfully merged; PDF created; Emails Sent: [To: toro.saigie@gmail.com]; Manually run by ecertificate75@gmail.com; Timestamp: Sep 9 2024 9:52 AM</t>
  </si>
  <si>
    <t xml:space="preserve">AGUS ANANG WIJAYA </t>
  </si>
  <si>
    <t>agus.anang.wijaya@gmail.com</t>
  </si>
  <si>
    <t>7623</t>
  </si>
  <si>
    <t>Starting at Thu Aug 29 2024 22:14:31 GMT-0400 (EDT)</t>
  </si>
  <si>
    <t>1M0olncBXozB2STWHjHU1IHIWM6qcgIe9</t>
  </si>
  <si>
    <t>https://drive.google.com/file/d/1M0olncBXozB2STWHjHU1IHIWM6qcgIe9/view?usp=drivesdk</t>
  </si>
  <si>
    <t>Document successfully created; Document successfully merged; PDF created; Emails Sent: [To: agus.anang.wijaya@gmail.com]; Manually run by ecertificate75@gmail.com; Timestamp: Sep 9 2024 9:52 AM</t>
  </si>
  <si>
    <t>HENIK PUJI PURWANINGSIH</t>
  </si>
  <si>
    <t>sumajiaplikasi@gmail.com</t>
  </si>
  <si>
    <t>7624</t>
  </si>
  <si>
    <t>16vZn9UUavoMDH2-4lDyUFo0cxKVZtqWJ</t>
  </si>
  <si>
    <t>https://drive.google.com/file/d/16vZn9UUavoMDH2-4lDyUFo0cxKVZtqWJ/view?usp=drivesdk</t>
  </si>
  <si>
    <t>Document successfully created; Document successfully merged; PDF created; Emails Sent: [To: sumajiaplikasi@gmail.com]; Manually run by ecertificate75@gmail.com; Timestamp: Sep 9 2024 9:52 AM</t>
  </si>
  <si>
    <t>SONI KRISNAWAN</t>
  </si>
  <si>
    <t>soni1976krisnawan@gmail.com</t>
  </si>
  <si>
    <t>7625</t>
  </si>
  <si>
    <t>1rOZLlCsPd5m-I-YWIfjWVqrGEnEriQjz</t>
  </si>
  <si>
    <t>https://drive.google.com/file/d/1rOZLlCsPd5m-I-YWIfjWVqrGEnEriQjz/view?usp=drivesdk</t>
  </si>
  <si>
    <t>Document successfully created; Document successfully merged; PDF created; Emails Sent: [To: soni1976krisnawan@gmail.com]; Manually run by ecertificate75@gmail.com; Timestamp: Sep 9 2024 9:53 AM</t>
  </si>
  <si>
    <t>nana.behace@gmail.com</t>
  </si>
  <si>
    <t>7626</t>
  </si>
  <si>
    <t>13udmOtZtQHGgEPxIW7403G6B-wZhGeHM</t>
  </si>
  <si>
    <t>https://drive.google.com/file/d/13udmOtZtQHGgEPxIW7403G6B-wZhGeHM/view?usp=drivesdk</t>
  </si>
  <si>
    <t>Document successfully created; Document successfully merged; PDF created; Emails Sent: [To: nana.behace@gmail.com]; Manually run by ecertificate75@gmail.com; Timestamp: Sep 9 2024 9:53 AM</t>
  </si>
  <si>
    <t>HARJOSO</t>
  </si>
  <si>
    <t>harjoso.polresngawi@gmail.com</t>
  </si>
  <si>
    <t>7627</t>
  </si>
  <si>
    <t>Starting at Thu Aug 29 2024 22:14:36 GMT-0400 (EDT)</t>
  </si>
  <si>
    <t>1QcAx2RwvVll0_YcfoYMDkt5x6DgJ7UsG</t>
  </si>
  <si>
    <t>https://drive.google.com/file/d/1QcAx2RwvVll0_YcfoYMDkt5x6DgJ7UsG/view?usp=drivesdk</t>
  </si>
  <si>
    <t>Document successfully created; Document successfully merged; PDF created; !!Error Sending Emails: Service invoked too many times for one day: email.; Manually run by ecertificate75@gmail.com; Timestamp: Sep 10 2024 9:35 AM</t>
  </si>
  <si>
    <t>RINI PERWITASARI, A.Md.</t>
  </si>
  <si>
    <t>rinirachman83@gmail.com</t>
  </si>
  <si>
    <t>7628</t>
  </si>
  <si>
    <t>1oeZEg4q-vocfJBUHnI0QgeFLVAkwKg7_</t>
  </si>
  <si>
    <t>https://drive.google.com/file/d/1oeZEg4q-vocfJBUHnI0QgeFLVAkwKg7_/view?usp=drivesdk</t>
  </si>
  <si>
    <t>Document successfully created; Document successfully merged; PDF created; !!Error Sending Emails: Service invoked too many times for one day: email.; Manually run by ecertificate75@gmail.com; Timestamp: Sep 10 2024 9:36 AM</t>
  </si>
  <si>
    <t>KRISTINA DESLIANA SIREGAR, SKM</t>
  </si>
  <si>
    <t>kristina.desliana74@gmail.com</t>
  </si>
  <si>
    <t>7629</t>
  </si>
  <si>
    <t>Starting at Thu Aug 29 2024 22:14:39 GMT-0400 (EDT)</t>
  </si>
  <si>
    <t>1rhFXRsNjfhkZPd8EPiHmdKe27jsmOVN4</t>
  </si>
  <si>
    <t>https://drive.google.com/file/d/1rhFXRsNjfhkZPd8EPiHmdKe27jsmOVN4/view?usp=drivesdk</t>
  </si>
  <si>
    <t>DAHLAN</t>
  </si>
  <si>
    <t>sikeupolrestamedan@gmail.com</t>
  </si>
  <si>
    <t>7630</t>
  </si>
  <si>
    <t>1G2UhtK4o6jkoRCR14FlRbNXpwvdqgcBq</t>
  </si>
  <si>
    <t>https://drive.google.com/file/d/1G2UhtK4o6jkoRCR14FlRbNXpwvdqgcBq/view?usp=drivesdk</t>
  </si>
  <si>
    <t>BAGUS SAPUTRO, S.Kep., Ns.</t>
  </si>
  <si>
    <t>bsputro.sb@gmail.com</t>
  </si>
  <si>
    <t>7631</t>
  </si>
  <si>
    <t>1JSdhbANA1Mx-1bHDCfmNr1OMI8lH5qEO</t>
  </si>
  <si>
    <t>https://drive.google.com/file/d/1JSdhbANA1Mx-1bHDCfmNr1OMI8lH5qEO/view?usp=drivesdk</t>
  </si>
  <si>
    <t xml:space="preserve">RIYANA KIMAWATI </t>
  </si>
  <si>
    <t>riyanakimawati@gmail.com</t>
  </si>
  <si>
    <t>7632</t>
  </si>
  <si>
    <t>1LHdxuWX1K_EhIwJNOnGJYtqIUXP98n7_</t>
  </si>
  <si>
    <t>https://drive.google.com/file/d/1LHdxuWX1K_EhIwJNOnGJYtqIUXP98n7_/view?usp=drivesdk</t>
  </si>
  <si>
    <t>supriyadiurtu@gmail.com</t>
  </si>
  <si>
    <t>7633</t>
  </si>
  <si>
    <t>1cImed_11yQgFB6iawwDra45thp7Ru8Xh</t>
  </si>
  <si>
    <t>https://drive.google.com/file/d/1cImed_11yQgFB6iawwDra45thp7Ru8Xh/view?usp=drivesdk</t>
  </si>
  <si>
    <t>Document successfully created; Document successfully merged; PDF created; !!Error Sending Emails: Service invoked too many times for one day: email.; Manually run by ecertificate75@gmail.com; Timestamp: Sep 10 2024 9:37 AM</t>
  </si>
  <si>
    <t>agusp6626@gmail.com</t>
  </si>
  <si>
    <t>7634</t>
  </si>
  <si>
    <t>1dtDfJIQIAld5IqwgvBUGkm9Cu_H2Zcbe</t>
  </si>
  <si>
    <t>https://drive.google.com/file/d/1dtDfJIQIAld5IqwgvBUGkm9Cu_H2Zcbe/view?usp=drivesdk</t>
  </si>
  <si>
    <t>MIFTA DEWI SUPRIANI, A.Md.Keb</t>
  </si>
  <si>
    <t>miftadewiss@gmail.com</t>
  </si>
  <si>
    <t>7635</t>
  </si>
  <si>
    <t>Starting at Thu Aug 29 2024 22:14:41 GMT-0400 (EDT)</t>
  </si>
  <si>
    <t>1bUo-cJlgfwAGB5SyI5rHpeVDaDt9VpOJ</t>
  </si>
  <si>
    <t>https://drive.google.com/file/d/1bUo-cJlgfwAGB5SyI5rHpeVDaDt9VpOJ/view?usp=drivesdk</t>
  </si>
  <si>
    <t>YUNITA HARTATI,S.M.</t>
  </si>
  <si>
    <t>yunitaptk161@gmail.com</t>
  </si>
  <si>
    <t>7636</t>
  </si>
  <si>
    <t>Starting at Thu Aug 29 2024 22:14:44 GMT-0400 (EDT)</t>
  </si>
  <si>
    <t>1OKClCkhqjocbe9hftmV8Y2SHXJqEopfo</t>
  </si>
  <si>
    <t>https://drive.google.com/file/d/1OKClCkhqjocbe9hftmV8Y2SHXJqEopfo/view?usp=drivesdk</t>
  </si>
  <si>
    <t>Document successfully created; Document successfully merged; PDF created; !!Error Sending Emails: Service invoked too many times for one day: email.; Manually run by ecertificate75@gmail.com; Timestamp: Sep 10 2024 9:38 AM</t>
  </si>
  <si>
    <t>IMAM MUKTI</t>
  </si>
  <si>
    <t>bluricu112@gmail.com</t>
  </si>
  <si>
    <t>7637</t>
  </si>
  <si>
    <t>1vJ4F7ElkkkZdF_M7UoJPkwuNiYzR512A</t>
  </si>
  <si>
    <t>https://drive.google.com/file/d/1vJ4F7ElkkkZdF_M7UoJPkwuNiYzR512A/view?usp=drivesdk</t>
  </si>
  <si>
    <t>dr YENNI RACHMI</t>
  </si>
  <si>
    <t>dokkesbireuen@gmail.com</t>
  </si>
  <si>
    <t>7638</t>
  </si>
  <si>
    <t>Starting at Thu Aug 29 2024 22:14:47 GMT-0400 (EDT)</t>
  </si>
  <si>
    <t>1Ond1mjCLhYrcJZ1OdAt34VvJLL0R4SpX</t>
  </si>
  <si>
    <t>https://drive.google.com/file/d/1Ond1mjCLhYrcJZ1OdAt34VvJLL0R4SpX/view?usp=drivesdk</t>
  </si>
  <si>
    <t>ENCEP SUKARYA, S.Pd.I</t>
  </si>
  <si>
    <t>encepsukaryaaa67@gmail.com</t>
  </si>
  <si>
    <t>7639</t>
  </si>
  <si>
    <t>1G0zUZGfW3n0LxGK-vNyTGR54NgyNsi2c</t>
  </si>
  <si>
    <t>https://drive.google.com/file/d/1G0zUZGfW3n0LxGK-vNyTGR54NgyNsi2c/view?usp=drivesdk</t>
  </si>
  <si>
    <t>AGUS SETIYAWAN</t>
  </si>
  <si>
    <t>setiyawan22071973@gamil.com</t>
  </si>
  <si>
    <t>7640</t>
  </si>
  <si>
    <t>Starting at Thu Aug 29 2024 22:14:52 GMT-0400 (EDT)</t>
  </si>
  <si>
    <t>1PdER3PIb4HN9jlwqUssLfi26lSteG0Tb</t>
  </si>
  <si>
    <t>https://drive.google.com/file/d/1PdER3PIb4HN9jlwqUssLfi26lSteG0Tb/view?usp=drivesdk</t>
  </si>
  <si>
    <t xml:space="preserve">YULIWARTI </t>
  </si>
  <si>
    <t>wartiyuli453@gmail.com</t>
  </si>
  <si>
    <t>7641</t>
  </si>
  <si>
    <t>17jhLrAHkkvHOYdNsLGRRwQ24XkuUG8V_</t>
  </si>
  <si>
    <t>https://drive.google.com/file/d/17jhLrAHkkvHOYdNsLGRRwQ24XkuUG8V_/view?usp=drivesdk</t>
  </si>
  <si>
    <t>Document successfully created; Document successfully merged; PDF created; !!Error Sending Emails: Service invoked too many times for one day: email.; Manually run by ecertificate75@gmail.com; Timestamp: Sep 10 2024 9:39 AM</t>
  </si>
  <si>
    <t>YULIANA GINTING</t>
  </si>
  <si>
    <t>rudytampubolon088@gmail.com</t>
  </si>
  <si>
    <t>7642</t>
  </si>
  <si>
    <t>16rwiXme1Xx4zZK_VxdlVIt_i_zRmwCuZ</t>
  </si>
  <si>
    <t>https://drive.google.com/file/d/16rwiXme1Xx4zZK_VxdlVIt_i_zRmwCuZ/view?usp=drivesdk</t>
  </si>
  <si>
    <t>Selvi Ariyani, Amd. Far</t>
  </si>
  <si>
    <t>pepiajah@gmail.com</t>
  </si>
  <si>
    <t>7643</t>
  </si>
  <si>
    <t>1hT-vQUkObIPBhaZam6yIsTZDzTCEnkIu</t>
  </si>
  <si>
    <t>https://drive.google.com/file/d/1hT-vQUkObIPBhaZam6yIsTZDzTCEnkIu/view?usp=drivesdk</t>
  </si>
  <si>
    <t xml:space="preserve">SUPRIYATI </t>
  </si>
  <si>
    <t>yatipalembang50@gmail.com</t>
  </si>
  <si>
    <t>7644</t>
  </si>
  <si>
    <t>1IWDBv1ZgyBgnbEecjdkrTs2QsNZOV9C8</t>
  </si>
  <si>
    <t>https://drive.google.com/file/d/1IWDBv1ZgyBgnbEecjdkrTs2QsNZOV9C8/view?usp=drivesdk</t>
  </si>
  <si>
    <t>AGUS KURNIAWAN, A.Md.</t>
  </si>
  <si>
    <t>ka.agus1980@gmail.com</t>
  </si>
  <si>
    <t>7645</t>
  </si>
  <si>
    <t>16T5PVL0-AxH0ZTupY_TNphaxT3wL_YyX</t>
  </si>
  <si>
    <t>https://drive.google.com/file/d/16T5PVL0-AxH0ZTupY_TNphaxT3wL_YyX/view?usp=drivesdk</t>
  </si>
  <si>
    <t>Document successfully created; Document successfully merged; PDF created; !!Error Sending Emails: Service invoked too many times for one day: email.; Manually run by ecertificate75@gmail.com; Timestamp: Sep 10 2024 9:40 AM</t>
  </si>
  <si>
    <t>MAULINDA DAMAYANTI SE MM</t>
  </si>
  <si>
    <t>maulinda81@gmail.com</t>
  </si>
  <si>
    <t>7646</t>
  </si>
  <si>
    <t>1eEo8f6OKQHzWfxIixN7FbSuBy-w3mGCg</t>
  </si>
  <si>
    <t>https://drive.google.com/file/d/1eEo8f6OKQHzWfxIixN7FbSuBy-w3mGCg/view?usp=drivesdk</t>
  </si>
  <si>
    <t>LENI DWI JAYA FITRI</t>
  </si>
  <si>
    <t>lenidwijayafitri@gmail.com</t>
  </si>
  <si>
    <t>7647</t>
  </si>
  <si>
    <t>1_tD9kRAN2pXL3dQSC0x_aIEjckPDWVZ2</t>
  </si>
  <si>
    <t>https://drive.google.com/file/d/1_tD9kRAN2pXL3dQSC0x_aIEjckPDWVZ2/view?usp=drivesdk</t>
  </si>
  <si>
    <t>Putri Permata Sari</t>
  </si>
  <si>
    <t>putrilatif17@gmail.com</t>
  </si>
  <si>
    <t>7648</t>
  </si>
  <si>
    <t>15Mv61pHLybB7a8THoZr61_qDazO2nxmD</t>
  </si>
  <si>
    <t>https://drive.google.com/file/d/15Mv61pHLybB7a8THoZr61_qDazO2nxmD/view?usp=drivesdk</t>
  </si>
  <si>
    <t>NENGSI</t>
  </si>
  <si>
    <t>nengsiaja93@yahoo.com</t>
  </si>
  <si>
    <t>7649</t>
  </si>
  <si>
    <t>Starting at Thu Aug 29 2024 22:14:55 GMT-0400 (EDT)</t>
  </si>
  <si>
    <t>1lnacK-wSoBa_OaflwIGltRFBU3WG1EBq</t>
  </si>
  <si>
    <t>https://drive.google.com/file/d/1lnacK-wSoBa_OaflwIGltRFBU3WG1EBq/view?usp=drivesdk</t>
  </si>
  <si>
    <t>Document successfully created; Document successfully merged; PDF created; !!Error Sending Emails: Service invoked too many times for one day: email.; Manually run by ecertificate75@gmail.com; Timestamp: Sep 10 2024 9:41 AM</t>
  </si>
  <si>
    <t xml:space="preserve">WINDA SRI YANI </t>
  </si>
  <si>
    <t>windasriyani81@gmail.com</t>
  </si>
  <si>
    <t>7650</t>
  </si>
  <si>
    <t>1Rsa5YhGYN1inghHF9VbWZGiAsmKvX3MT</t>
  </si>
  <si>
    <t>https://drive.google.com/file/d/1Rsa5YhGYN1inghHF9VbWZGiAsmKvX3MT/view?usp=drivesdk</t>
  </si>
  <si>
    <t>SEPTIAN DWIANTI,A.Md.Keb</t>
  </si>
  <si>
    <t>fathiyamastur@gmail.com</t>
  </si>
  <si>
    <t>7651</t>
  </si>
  <si>
    <t>1RRESStRrNedbKc5vON9iCsbYa63LBUAd</t>
  </si>
  <si>
    <t>https://drive.google.com/file/d/1RRESStRrNedbKc5vON9iCsbYa63LBUAd/view?usp=drivesdk</t>
  </si>
  <si>
    <t xml:space="preserve">NURKHOLIK </t>
  </si>
  <si>
    <t>nurkholiklila@gmail.com</t>
  </si>
  <si>
    <t>7652</t>
  </si>
  <si>
    <t>1Ye4XWTMUFoRTEKgfxFMV6chty4-KuPhF</t>
  </si>
  <si>
    <t>https://drive.google.com/file/d/1Ye4XWTMUFoRTEKgfxFMV6chty4-KuPhF/view?usp=drivesdk</t>
  </si>
  <si>
    <t>TAMAN STEVIA, S.Sos., M.Si.</t>
  </si>
  <si>
    <t>tata.bee86@gmail.com</t>
  </si>
  <si>
    <t>7653</t>
  </si>
  <si>
    <t>1AkqMz-cRxckmVoNjAE67kA6UOXB0Yh7H</t>
  </si>
  <si>
    <t>https://drive.google.com/file/d/1AkqMz-cRxckmVoNjAE67kA6UOXB0Yh7H/view?usp=drivesdk</t>
  </si>
  <si>
    <t>Document successfully created; Document successfully merged; PDF created; !!Error Sending Emails: Service invoked too many times for one day: email.; Manually run by ecertificate75@gmail.com; Timestamp: Sep 10 2024 9:42 AM</t>
  </si>
  <si>
    <t>FITRI RAHMADEWI, A. MD. FARM</t>
  </si>
  <si>
    <t>rahmadewif3@gmail.com</t>
  </si>
  <si>
    <t>7654</t>
  </si>
  <si>
    <t>Starting at Thu Aug 29 2024 22:14:59 GMT-0400 (EDT)</t>
  </si>
  <si>
    <t>1OqQl9qFQhCsK-iPt66E-Ys8oULvdTZQN</t>
  </si>
  <si>
    <t>https://drive.google.com/file/d/1OqQl9qFQhCsK-iPt66E-Ys8oULvdTZQN/view?usp=drivesdk</t>
  </si>
  <si>
    <t>EMA AMALIA</t>
  </si>
  <si>
    <t>emaamalia6@gmail.com</t>
  </si>
  <si>
    <t>7655</t>
  </si>
  <si>
    <t>1z5pzeGy5R-qh9u_OVyzNCEwRk3-2QAT_</t>
  </si>
  <si>
    <t>https://drive.google.com/file/d/1z5pzeGy5R-qh9u_OVyzNCEwRk3-2QAT_/view?usp=drivesdk</t>
  </si>
  <si>
    <t>BUSMAN, S.E.</t>
  </si>
  <si>
    <t>Busmanembong@gmail.com</t>
  </si>
  <si>
    <t>7656</t>
  </si>
  <si>
    <t>1wyoA0QVkBDmfS4k_Qkrj7OkGIw-m6itd</t>
  </si>
  <si>
    <t>https://drive.google.com/file/d/1wyoA0QVkBDmfS4k_Qkrj7OkGIw-m6itd/view?usp=drivesdk</t>
  </si>
  <si>
    <t>SYAFRIL YANTO,SpOG, MARS</t>
  </si>
  <si>
    <t>syafrilyantoby@gmail.com</t>
  </si>
  <si>
    <t>7657</t>
  </si>
  <si>
    <t>Starting at Thu Aug 29 2024 22:15:01 GMT-0400 (EDT)</t>
  </si>
  <si>
    <t>1HI4ndIqGDRAeiBFlf-0-gScKLSHnhPPG</t>
  </si>
  <si>
    <t>https://drive.google.com/file/d/1HI4ndIqGDRAeiBFlf-0-gScKLSHnhPPG/view?usp=drivesdk</t>
  </si>
  <si>
    <t>Document successfully created; Document successfully merged; PDF created; Emails Sent: [To: syafrilyantoby@gmail.com]; Manually run by ecertificate75@gmail.com; Timestamp: Sep 10 2024 9:42 AM</t>
  </si>
  <si>
    <t xml:space="preserve">WELDAWATI </t>
  </si>
  <si>
    <t>weldawati1@gmail.com</t>
  </si>
  <si>
    <t>7658</t>
  </si>
  <si>
    <t>Starting at Thu Aug 29 2024 22:15:12 GMT-0400 (EDT)</t>
  </si>
  <si>
    <t>1xHWV7chmYoC1_kgMCu0cS--YIuuM72KV</t>
  </si>
  <si>
    <t>https://drive.google.com/file/d/1xHWV7chmYoC1_kgMCu0cS--YIuuM72KV/view?usp=drivesdk</t>
  </si>
  <si>
    <t>Document successfully created; Document successfully merged; PDF created; Emails Sent: [To: weldawati1@gmail.com]; Manually run by ecertificate75@gmail.com; Timestamp: Sep 10 2024 9:43 AM</t>
  </si>
  <si>
    <t>EVI HARYATI, A.MD.</t>
  </si>
  <si>
    <t>eviharyati1975@gmail.com</t>
  </si>
  <si>
    <t>7659</t>
  </si>
  <si>
    <t>1__rof0lk5r1b2XN_QClP1KGfqA-hdn6y</t>
  </si>
  <si>
    <t>https://drive.google.com/file/d/1__rof0lk5r1b2XN_QClP1KGfqA-hdn6y/view?usp=drivesdk</t>
  </si>
  <si>
    <t>Document successfully created; Document successfully merged; PDF created; Emails Sent: [To: eviharyati1975@gmail.com]; Manually run by ecertificate75@gmail.com; Timestamp: Sep 10 2024 9:43 AM</t>
  </si>
  <si>
    <t>MEISIANA HERI INDRIASTUTI, S.S.</t>
  </si>
  <si>
    <t>meymey26siana@gmail.com</t>
  </si>
  <si>
    <t>7660</t>
  </si>
  <si>
    <t>1JNpv2YNdF5T-VKBH_ntBD7PC3UTbw9Oh</t>
  </si>
  <si>
    <t>https://drive.google.com/file/d/1JNpv2YNdF5T-VKBH_ntBD7PC3UTbw9Oh/view?usp=drivesdk</t>
  </si>
  <si>
    <t>Document successfully created; Document successfully merged; PDF created; Emails Sent: [To: meymey26siana@gmail.com]; Manually run by ecertificate75@gmail.com; Timestamp: Sep 10 2024 9:43 AM</t>
  </si>
  <si>
    <t>MARIES RACHMAWATI</t>
  </si>
  <si>
    <t>mariesrachmawati@gmail.com</t>
  </si>
  <si>
    <t>7661</t>
  </si>
  <si>
    <t>1k8nNpeDwycVS4mHnWfdcF8vGpix_J8Gn</t>
  </si>
  <si>
    <t>https://drive.google.com/file/d/1k8nNpeDwycVS4mHnWfdcF8vGpix_J8Gn/view?usp=drivesdk</t>
  </si>
  <si>
    <t>Document successfully created; Document successfully merged; PDF created; Emails Sent: [To: mariesrachmawati@gmail.com]; Manually run by ecertificate75@gmail.com; Timestamp: Sep 10 2024 9:43 AM</t>
  </si>
  <si>
    <t xml:space="preserve">Dr Tutik Purwanti SpF </t>
  </si>
  <si>
    <t>tutikpurwanti4n6@gmail.com</t>
  </si>
  <si>
    <t>7662</t>
  </si>
  <si>
    <t>1GZuHe6qit7K8t8Pe9cmTP_TT26I8qBy9</t>
  </si>
  <si>
    <t>https://drive.google.com/file/d/1GZuHe6qit7K8t8Pe9cmTP_TT26I8qBy9/view?usp=drivesdk</t>
  </si>
  <si>
    <t>Document successfully created; Document successfully merged; PDF created; Emails Sent: [To: tutikpurwanti4n6@gmail.com]; Manually run by ecertificate75@gmail.com; Timestamp: Sep 10 2024 9:43 AM</t>
  </si>
  <si>
    <t>BASTIAH DULLAH SIDIK</t>
  </si>
  <si>
    <t>bastiahdullahsidik@gmail.com</t>
  </si>
  <si>
    <t>7663</t>
  </si>
  <si>
    <t>1jh5JXLXAGCSt9xxgrW_GMZmzMif6djIC</t>
  </si>
  <si>
    <t>https://drive.google.com/file/d/1jh5JXLXAGCSt9xxgrW_GMZmzMif6djIC/view?usp=drivesdk</t>
  </si>
  <si>
    <t>Document successfully created; Document successfully merged; PDF created; Emails Sent: [To: bastiahdullahsidik@gmail.com]; Manually run by ecertificate75@gmail.com; Timestamp: Sep 10 2024 9:44 AM</t>
  </si>
  <si>
    <t>INDRANI</t>
  </si>
  <si>
    <t>indranijenik@gmail.com</t>
  </si>
  <si>
    <t>7664</t>
  </si>
  <si>
    <t>Starting at Thu Aug 29 2024 22:15:15 GMT-0400 (EDT)</t>
  </si>
  <si>
    <t>1nkek5E0n3wrDYh4vecJHVcb9rqQKgm9d</t>
  </si>
  <si>
    <t>https://drive.google.com/file/d/1nkek5E0n3wrDYh4vecJHVcb9rqQKgm9d/view?usp=drivesdk</t>
  </si>
  <si>
    <t>Document successfully created; Document successfully merged; PDF created; Emails Sent: [To: indranijenik@gmail.com]; Manually run by ecertificate75@gmail.com; Timestamp: Sep 10 2024 9:44 AM</t>
  </si>
  <si>
    <t>WAGIMAN</t>
  </si>
  <si>
    <t>atuslantasrespati@gmail.com</t>
  </si>
  <si>
    <t>7665</t>
  </si>
  <si>
    <t>1v6dM8JmtcCMfRH-1tLslgOjTyjZYWHaO</t>
  </si>
  <si>
    <t>https://drive.google.com/file/d/1v6dM8JmtcCMfRH-1tLslgOjTyjZYWHaO/view?usp=drivesdk</t>
  </si>
  <si>
    <t>Document successfully created; Document successfully merged; PDF created; Emails Sent: [To: atuslantasrespati@gmail.com]; Manually run by ecertificate75@gmail.com; Timestamp: Sep 10 2024 9:44 AM</t>
  </si>
  <si>
    <t>JAWIRIAH</t>
  </si>
  <si>
    <t>Humairamaira450@gmail.com</t>
  </si>
  <si>
    <t>7666</t>
  </si>
  <si>
    <t>1bepGkOP74PM8RAAnzZ03KGVIvh0SyeEE</t>
  </si>
  <si>
    <t>https://drive.google.com/file/d/1bepGkOP74PM8RAAnzZ03KGVIvh0SyeEE/view?usp=drivesdk</t>
  </si>
  <si>
    <t>Document successfully created; Document successfully merged; PDF created; Emails Sent: [To: Humairamaira450@gmail.com]; Manually run by ecertificate75@gmail.com; Timestamp: Sep 10 2024 9:44 AM</t>
  </si>
  <si>
    <t>sugiharti123@gmail.com</t>
  </si>
  <si>
    <t>7667</t>
  </si>
  <si>
    <t>1gWGMYiuNstxt7MXg-i2TmIEcat_mk86T</t>
  </si>
  <si>
    <t>https://drive.google.com/file/d/1gWGMYiuNstxt7MXg-i2TmIEcat_mk86T/view?usp=drivesdk</t>
  </si>
  <si>
    <t>Document successfully created; Document successfully merged; PDF created; Emails Sent: [To: sugiharti123@gmail.com]; Manually run by ecertificate75@gmail.com; Timestamp: Sep 10 2024 9:44 AM</t>
  </si>
  <si>
    <t>YUNI BUDIONO</t>
  </si>
  <si>
    <t>desaorang333@gmail.com</t>
  </si>
  <si>
    <t>7668</t>
  </si>
  <si>
    <t>1okPda5dXKJ7t1GZcO7aEnXtrhVzzwi98</t>
  </si>
  <si>
    <t>https://drive.google.com/file/d/1okPda5dXKJ7t1GZcO7aEnXtrhVzzwi98/view?usp=drivesdk</t>
  </si>
  <si>
    <t>Document successfully created; Document successfully merged; PDF created; Emails Sent: [To: desaorang333@gmail.com]; Manually run by ecertificate75@gmail.com; Timestamp: Sep 10 2024 9:45 AM</t>
  </si>
  <si>
    <t>AGAM MAGDALENA SITORUS, S.KOM</t>
  </si>
  <si>
    <t>agam.sitorus78@gmail.com</t>
  </si>
  <si>
    <t>7669</t>
  </si>
  <si>
    <t>Starting at Thu Aug 29 2024 22:15:23 GMT-0400 (EDT)</t>
  </si>
  <si>
    <t>17v7y4GEobm1sascWmyVFwx-uF0h2hjZ7</t>
  </si>
  <si>
    <t>https://drive.google.com/file/d/17v7y4GEobm1sascWmyVFwx-uF0h2hjZ7/view?usp=drivesdk</t>
  </si>
  <si>
    <t>Document successfully created; Document successfully merged; PDF created; Emails Sent: [To: agam.sitorus78@gmail.com]; Manually run by ecertificate75@gmail.com; Timestamp: Sep 10 2024 9:45 AM</t>
  </si>
  <si>
    <t>SITIN BHAYANGKARA T.AGUNG</t>
  </si>
  <si>
    <t>siferasitin@gnail.com</t>
  </si>
  <si>
    <t>7670</t>
  </si>
  <si>
    <t>1wDRnYVrPimd2lQ4WWMY5K2wHZV3RveQG</t>
  </si>
  <si>
    <t>https://drive.google.com/file/d/1wDRnYVrPimd2lQ4WWMY5K2wHZV3RveQG/view?usp=drivesdk</t>
  </si>
  <si>
    <t>Document successfully created; Document successfully merged; PDF created; Emails Sent: [To: siferasitin@gnail.com]; Manually run by ecertificate75@gmail.com; Timestamp: Sep 10 2024 9:45 AM</t>
  </si>
  <si>
    <t>CITRA DEWI CAHYANTI</t>
  </si>
  <si>
    <t>citradhejiffa81@gmail.com</t>
  </si>
  <si>
    <t>7671</t>
  </si>
  <si>
    <t>1T8BAOPo-l7jE47tc_8cEIDWKiYQFFXfH</t>
  </si>
  <si>
    <t>https://drive.google.com/file/d/1T8BAOPo-l7jE47tc_8cEIDWKiYQFFXfH/view?usp=drivesdk</t>
  </si>
  <si>
    <t>Document successfully created; Document successfully merged; PDF created; Emails Sent: [To: citradhejiffa81@gmail.com]; Manually run by ecertificate75@gmail.com; Timestamp: Sep 10 2024 9:45 AM</t>
  </si>
  <si>
    <t>Mudjianto S.Kep.Ns</t>
  </si>
  <si>
    <t>mudjiantok123@gmail.com</t>
  </si>
  <si>
    <t>7672</t>
  </si>
  <si>
    <t>1lUq-TEw12TPqvGbLBfEOtgFcWCwlUccC</t>
  </si>
  <si>
    <t>https://drive.google.com/file/d/1lUq-TEw12TPqvGbLBfEOtgFcWCwlUccC/view?usp=drivesdk</t>
  </si>
  <si>
    <t>Document successfully created; Document successfully merged; PDF created; Emails Sent: [To: mudjiantok123@gmail.com]; Manually run by ecertificate75@gmail.com; Timestamp: Sep 10 2024 9:46 AM</t>
  </si>
  <si>
    <t>NORY R KANDOU</t>
  </si>
  <si>
    <t>norykandou@gmqil.com</t>
  </si>
  <si>
    <t>7673</t>
  </si>
  <si>
    <t>1p55Iag9Cftaj6nNCdZ0nqMHMs-YPcMHq</t>
  </si>
  <si>
    <t>https://drive.google.com/file/d/1p55Iag9Cftaj6nNCdZ0nqMHMs-YPcMHq/view?usp=drivesdk</t>
  </si>
  <si>
    <t>Document successfully created; Document successfully merged; PDF created; Emails Sent: [To: norykandou@gmqil.com]; Manually run by ecertificate75@gmail.com; Timestamp: Sep 10 2024 9:46 AM</t>
  </si>
  <si>
    <t>BINTI NUR'AINI</t>
  </si>
  <si>
    <t>bintinuraini@gmail.com</t>
  </si>
  <si>
    <t>7674</t>
  </si>
  <si>
    <t>Starting at Thu Aug 29 2024 22:15:26 GMT-0400 (EDT)</t>
  </si>
  <si>
    <t>1Re6se5KzrJ0quw9yofnW_9wuVZQ7AEb0</t>
  </si>
  <si>
    <t>https://drive.google.com/file/d/1Re6se5KzrJ0quw9yofnW_9wuVZQ7AEb0/view?usp=drivesdk</t>
  </si>
  <si>
    <t>Document successfully created; Document successfully merged; PDF created; Emails Sent: [To: bintinuraini@gmail.com]; Manually run by ecertificate75@gmail.com; Timestamp: Sep 10 2024 9:46 AM</t>
  </si>
  <si>
    <t>GESTY NUANSA FITRI, A.Md.</t>
  </si>
  <si>
    <t>gestynuansafitri@gmail.com</t>
  </si>
  <si>
    <t>7675</t>
  </si>
  <si>
    <t>Starting at Thu Aug 29 2024 22:15:36 GMT-0400 (EDT)</t>
  </si>
  <si>
    <t>1uSG-YKKHOAgvf2zSf_YKXjL9c4ai53o9</t>
  </si>
  <si>
    <t>https://drive.google.com/file/d/1uSG-YKKHOAgvf2zSf_YKXjL9c4ai53o9/view?usp=drivesdk</t>
  </si>
  <si>
    <t>Document successfully created; Document successfully merged; PDF created; Emails Sent: [To: gestynuansafitri@gmail.com]; Manually run by ecertificate75@gmail.com; Timestamp: Sep 10 2024 9:47 AM</t>
  </si>
  <si>
    <t>ELISABET MARIANA IKA SARI</t>
  </si>
  <si>
    <t>elisabetmarianakeuangan@gmail.com</t>
  </si>
  <si>
    <t>7676</t>
  </si>
  <si>
    <t>13viOavPXiQzuIS1T0vKlsVY74eK_40n2</t>
  </si>
  <si>
    <t>https://drive.google.com/file/d/13viOavPXiQzuIS1T0vKlsVY74eK_40n2/view?usp=drivesdk</t>
  </si>
  <si>
    <t>Document successfully created; Document successfully merged; PDF created; Emails Sent: [To: elisabetmarianakeuangan@gmail.com]; Manually run by ecertificate75@gmail.com; Timestamp: Sep 10 2024 9:47 AM</t>
  </si>
  <si>
    <t>NILA LUTFANA, AM.d.Kep</t>
  </si>
  <si>
    <t>nilalutfiana029@gmail.com</t>
  </si>
  <si>
    <t>7677</t>
  </si>
  <si>
    <t>10-m8-PQN9svNTTaiMFNud0QCzMG_uPZ0</t>
  </si>
  <si>
    <t>https://drive.google.com/file/d/10-m8-PQN9svNTTaiMFNud0QCzMG_uPZ0/view?usp=drivesdk</t>
  </si>
  <si>
    <t>Document successfully created; Document successfully merged; PDF created; Emails Sent: [To: nilalutfiana029@gmail.com]; Manually run by ecertificate75@gmail.com; Timestamp: Sep 10 2024 9:47 AM</t>
  </si>
  <si>
    <t>RATIH NURKUSUMA NINGRUM, SE</t>
  </si>
  <si>
    <t>rnurkusuma@gmail.com</t>
  </si>
  <si>
    <t>7678</t>
  </si>
  <si>
    <t>1hqWnVMtFPRpEJsjcFpCVMs0wD0K9QwUU</t>
  </si>
  <si>
    <t>https://drive.google.com/file/d/1hqWnVMtFPRpEJsjcFpCVMs0wD0K9QwUU/view?usp=drivesdk</t>
  </si>
  <si>
    <t>Document successfully created; Document successfully merged; PDF created; Emails Sent: [To: rnurkusuma@gmail.com]; Manually run by ecertificate75@gmail.com; Timestamp: Sep 10 2024 9:47 AM</t>
  </si>
  <si>
    <t>Ns.Karsiati.S.Kep</t>
  </si>
  <si>
    <t>atybone549@gmail.com</t>
  </si>
  <si>
    <t>7679</t>
  </si>
  <si>
    <t>19Nc0MmRSvXU9_HsGxeFnGMrsVbo3qFAJ</t>
  </si>
  <si>
    <t>https://drive.google.com/file/d/19Nc0MmRSvXU9_HsGxeFnGMrsVbo3qFAJ/view?usp=drivesdk</t>
  </si>
  <si>
    <t>Document successfully created; Document successfully merged; PDF created; Emails Sent: [To: atybone549@gmail.com]; Manually run by ecertificate75@gmail.com; Timestamp: Sep 10 2024 9:47 AM</t>
  </si>
  <si>
    <t>RADEN RACHMAH NUGRAHA</t>
  </si>
  <si>
    <t>gomacis@gmail.com</t>
  </si>
  <si>
    <t>7680</t>
  </si>
  <si>
    <t>1LMKo9tcpTR8yX9CvNxOjtuPTGN5Y-uE8</t>
  </si>
  <si>
    <t>https://drive.google.com/file/d/1LMKo9tcpTR8yX9CvNxOjtuPTGN5Y-uE8/view?usp=drivesdk</t>
  </si>
  <si>
    <t>Document successfully created; Document successfully merged; PDF created; Emails Sent: [To: gomacis@gmail.com]; Manually run by ecertificate75@gmail.com; Timestamp: Sep 10 2024 9:48 AM</t>
  </si>
  <si>
    <t>RUKMINI</t>
  </si>
  <si>
    <t>rukmini7805@gmail.com</t>
  </si>
  <si>
    <t>7681</t>
  </si>
  <si>
    <t>1YwKSBPWDDGRNbo1ALPihqUnmutjDSadt</t>
  </si>
  <si>
    <t>https://drive.google.com/file/d/1YwKSBPWDDGRNbo1ALPihqUnmutjDSadt/view?usp=drivesdk</t>
  </si>
  <si>
    <t>Document successfully created; Document successfully merged; PDF created; Emails Sent: [To: rukmini7805@gmail.com]; Manually run by ecertificate75@gmail.com; Timestamp: Sep 10 2024 9:48 AM</t>
  </si>
  <si>
    <t>JUNAIDY</t>
  </si>
  <si>
    <t>junaidy562@gmail.com</t>
  </si>
  <si>
    <t>7682</t>
  </si>
  <si>
    <t>11dHJ0Mwcmcqni0lwHPEH-sdbnZ1NIsik</t>
  </si>
  <si>
    <t>https://drive.google.com/file/d/11dHJ0Mwcmcqni0lwHPEH-sdbnZ1NIsik/view?usp=drivesdk</t>
  </si>
  <si>
    <t>Document successfully created; Document successfully merged; PDF created; Emails Sent: [To: junaidy562@gmail.com]; Manually run by ecertificate75@gmail.com; Timestamp: Sep 10 2024 9:48 AM</t>
  </si>
  <si>
    <t>SITTI AMINAH</t>
  </si>
  <si>
    <t>sitti.aminah19670110@gmail.com</t>
  </si>
  <si>
    <t>7683</t>
  </si>
  <si>
    <t>1-gjca09R-NrRkr7wX27Z4ySVFk2KeyxR</t>
  </si>
  <si>
    <t>https://drive.google.com/file/d/1-gjca09R-NrRkr7wX27Z4ySVFk2KeyxR/view?usp=drivesdk</t>
  </si>
  <si>
    <t>Document successfully created; Document successfully merged; PDF created; Emails Sent: [To: sitti.aminah19670110@gmail.com]; Manually run by ecertificate75@gmail.com; Timestamp: Sep 10 2024 9:48 AM</t>
  </si>
  <si>
    <t>WIDY HARI WIBOWO</t>
  </si>
  <si>
    <t>widy.syifa@gmail.com</t>
  </si>
  <si>
    <t>7684</t>
  </si>
  <si>
    <t>1YJ8cF8b-HHbATYEWU3r5ZHNyZ0-aJAuo</t>
  </si>
  <si>
    <t>https://drive.google.com/file/d/1YJ8cF8b-HHbATYEWU3r5ZHNyZ0-aJAuo/view?usp=drivesdk</t>
  </si>
  <si>
    <t>Document successfully created; Document successfully merged; PDF created; Emails Sent: [To: widy.syifa@gmail.com]; Manually run by ecertificate75@gmail.com; Timestamp: Sep 10 2024 9:49 AM</t>
  </si>
  <si>
    <t>WIDAKDO, S.E.</t>
  </si>
  <si>
    <t>widakdo83@gmail.com</t>
  </si>
  <si>
    <t>7685</t>
  </si>
  <si>
    <t>Starting at Thu Aug 29 2024 22:15:40 GMT-0400 (EDT)</t>
  </si>
  <si>
    <t>1HdRpApw0nJCr5FTki3ZAJOtDV7JZ7KsB</t>
  </si>
  <si>
    <t>https://drive.google.com/file/d/1HdRpApw0nJCr5FTki3ZAJOtDV7JZ7KsB/view?usp=drivesdk</t>
  </si>
  <si>
    <t>Document successfully created; Document successfully merged; PDF created; !!Error Sending Emails: Service invoked too many times for one day: email.; Manually run by ecertificate75@gmail.com; Timestamp: Sep 4 2024 4:37 AM</t>
  </si>
  <si>
    <t>DIDIK HERMAWANTO SH</t>
  </si>
  <si>
    <t>didikhermawanto81@gmail.com</t>
  </si>
  <si>
    <t>7686</t>
  </si>
  <si>
    <t>1jM3wU7fPfviHXRZfiBY_4xf3t_2K6AQS</t>
  </si>
  <si>
    <t>https://drive.google.com/file/d/1jM3wU7fPfviHXRZfiBY_4xf3t_2K6AQS/view?usp=drivesdk</t>
  </si>
  <si>
    <t>AMRINAWATI</t>
  </si>
  <si>
    <t>amrinawati07@gmail.com</t>
  </si>
  <si>
    <t>7687</t>
  </si>
  <si>
    <t>11_khvDifRVYw-2qZB7W_3DjS0bTgBWMC</t>
  </si>
  <si>
    <t>https://drive.google.com/file/d/11_khvDifRVYw-2qZB7W_3DjS0bTgBWMC/view?usp=drivesdk</t>
  </si>
  <si>
    <t>Document successfully created; Document successfully merged; PDF created; !!Error Sending Emails: Service invoked too many times for one day: email.; Manually run by ecertificate75@gmail.com; Timestamp: Sep 4 2024 4:38 AM</t>
  </si>
  <si>
    <t>YUNI PUJI RAHAYU.M.AK</t>
  </si>
  <si>
    <t>yuni.pujirahayu1@gmail.com</t>
  </si>
  <si>
    <t>7688</t>
  </si>
  <si>
    <t>Starting at Thu Aug 29 2024 22:15:46 GMT-0400 (EDT)</t>
  </si>
  <si>
    <t>1weGZQFEaVbnDXLMN495LR8zadE8qrxXL</t>
  </si>
  <si>
    <t>https://drive.google.com/file/d/1weGZQFEaVbnDXLMN495LR8zadE8qrxXL/view?usp=drivesdk</t>
  </si>
  <si>
    <t>KHOERIYAH,AMK</t>
  </si>
  <si>
    <t>khoiriyah0456@gmail.com</t>
  </si>
  <si>
    <t>7689</t>
  </si>
  <si>
    <t>Starting at Thu Aug 29 2024 22:15:48 GMT-0400 (EDT)</t>
  </si>
  <si>
    <t>1zcBonx1lpVnGERLDAPu8hBZn_Q7Lg5am</t>
  </si>
  <si>
    <t>https://drive.google.com/file/d/1zcBonx1lpVnGERLDAPu8hBZn_Q7Lg5am/view?usp=drivesdk</t>
  </si>
  <si>
    <t>SURATI</t>
  </si>
  <si>
    <t>ikhsanati@gmail.com</t>
  </si>
  <si>
    <t>7690</t>
  </si>
  <si>
    <t>1V26jUzNTtD5MD-n98__e0Gr6on3mfiY9</t>
  </si>
  <si>
    <t>https://drive.google.com/file/d/1V26jUzNTtD5MD-n98__e0Gr6on3mfiY9/view?usp=drivesdk</t>
  </si>
  <si>
    <t>Ns.Surika,S.Kep</t>
  </si>
  <si>
    <t>surikaamk@gmail.com</t>
  </si>
  <si>
    <t>7691</t>
  </si>
  <si>
    <t>Starting at Thu Aug 29 2024 22:15:52 GMT-0400 (EDT)</t>
  </si>
  <si>
    <t>1dn7S_uItfpTl1FX0liaYVSsqCIX8hDqO</t>
  </si>
  <si>
    <t>https://drive.google.com/file/d/1dn7S_uItfpTl1FX0liaYVSsqCIX8hDqO/view?usp=drivesdk</t>
  </si>
  <si>
    <t>Document successfully created; Document successfully merged; PDF created; !!Error Sending Emails: Service invoked too many times for one day: email.; Manually run by ecertificate75@gmail.com; Timestamp: Sep 4 2024 4:39 AM</t>
  </si>
  <si>
    <t>NANA SUTARNA</t>
  </si>
  <si>
    <t>sutarna68@gmail.com</t>
  </si>
  <si>
    <t>7692</t>
  </si>
  <si>
    <t>11p_8W5gMlQ41hl-_tiq4gqK0WG0XgrZq</t>
  </si>
  <si>
    <t>https://drive.google.com/file/d/11p_8W5gMlQ41hl-_tiq4gqK0WG0XgrZq/view?usp=drivesdk</t>
  </si>
  <si>
    <t>RIKHYADIN</t>
  </si>
  <si>
    <t>yadindin78@gmail.com</t>
  </si>
  <si>
    <t>7693</t>
  </si>
  <si>
    <t>Starting at Thu Aug 29 2024 22:15:58 GMT-0400 (EDT)</t>
  </si>
  <si>
    <t>1XdJoCOkklMiYDz6I8Sy8qH_7wBGtk110</t>
  </si>
  <si>
    <t>https://drive.google.com/file/d/1XdJoCOkklMiYDz6I8Sy8qH_7wBGtk110/view?usp=drivesdk</t>
  </si>
  <si>
    <t>ASNIATI YUSUF, S.E</t>
  </si>
  <si>
    <t>7694</t>
  </si>
  <si>
    <t>16px0zaTjEsAGuW0ZUXWV9GLV133vAks9</t>
  </si>
  <si>
    <t>https://drive.google.com/file/d/16px0zaTjEsAGuW0ZUXWV9GLV133vAks9/view?usp=drivesdk</t>
  </si>
  <si>
    <t>Polsk.siliragung@gmail.com</t>
  </si>
  <si>
    <t>7695</t>
  </si>
  <si>
    <t>Starting at Thu Aug 29 2024 22:16:00 GMT-0400 (EDT)</t>
  </si>
  <si>
    <t>1cov9BB9fVNHoVR_NXLuBt_qYS9Qy83vF</t>
  </si>
  <si>
    <t>https://drive.google.com/file/d/1cov9BB9fVNHoVR_NXLuBt_qYS9Qy83vF/view?usp=drivesdk</t>
  </si>
  <si>
    <t>Document successfully created; Document successfully merged; PDF created; !!Error Sending Emails: Service invoked too many times for one day: email.; Manually run by ecertificate75@gmail.com; Timestamp: Sep 4 2024 4:40 AM</t>
  </si>
  <si>
    <t>SUBUH PRIYANTO</t>
  </si>
  <si>
    <t>subuh.priyanto79@gmail.com</t>
  </si>
  <si>
    <t>7696</t>
  </si>
  <si>
    <t>Starting at Thu Aug 29 2024 22:16:03 GMT-0400 (EDT)</t>
  </si>
  <si>
    <t>14JPgdx56-p0SyBXNGglibXNUUZxtoZ2v</t>
  </si>
  <si>
    <t>https://drive.google.com/file/d/14JPgdx56-p0SyBXNGglibXNUUZxtoZ2v/view?usp=drivesdk</t>
  </si>
  <si>
    <t>MUHAMMAD SANUSI</t>
  </si>
  <si>
    <t>sanusi.lantas@gmail.com</t>
  </si>
  <si>
    <t>7697</t>
  </si>
  <si>
    <t>13Bjt_JDwI1m-JvNSwdezb1biZ1f3bxWN</t>
  </si>
  <si>
    <t>https://drive.google.com/file/d/13Bjt_JDwI1m-JvNSwdezb1biZ1f3bxWN/view?usp=drivesdk</t>
  </si>
  <si>
    <t xml:space="preserve">IVAN BAGUS KURNIAWAN </t>
  </si>
  <si>
    <t>ivanbaguskurniawan@gmail.com</t>
  </si>
  <si>
    <t>7698</t>
  </si>
  <si>
    <t>1-igyN0SE7idKFiP72gTggKQSAojq6v8z</t>
  </si>
  <si>
    <t>https://drive.google.com/file/d/1-igyN0SE7idKFiP72gTggKQSAojq6v8z/view?usp=drivesdk</t>
  </si>
  <si>
    <t xml:space="preserve">DR EVA NURDIYANTARI </t>
  </si>
  <si>
    <t>enurdiyantari@gmail.com</t>
  </si>
  <si>
    <t>7699</t>
  </si>
  <si>
    <t>14I9uy7rregWiSbIswClcfEslzAKE2IBd</t>
  </si>
  <si>
    <t>https://drive.google.com/file/d/14I9uy7rregWiSbIswClcfEslzAKE2IBd/view?usp=drivesdk</t>
  </si>
  <si>
    <t>Document successfully created; Document successfully merged; PDF created; !!Error Sending Emails: Service invoked too many times for one day: email.; Manually run by ecertificate75@gmail.com; Timestamp: Sep 4 2024 4:41 AM</t>
  </si>
  <si>
    <t>R.HERWONO SASONO S.sos</t>
  </si>
  <si>
    <t>herwono9670@gmail.com</t>
  </si>
  <si>
    <t>7700</t>
  </si>
  <si>
    <t>Starting at Thu Aug 29 2024 22:16:12 GMT-0400 (EDT)</t>
  </si>
  <si>
    <t>1ho7QsVRGz1JnmJ6ctBVXjA1kHVV_R3Vo</t>
  </si>
  <si>
    <t>https://drive.google.com/file/d/1ho7QsVRGz1JnmJ6ctBVXjA1kHVV_R3Vo/view?usp=drivesdk</t>
  </si>
  <si>
    <t>PESTA RAME ARUAN</t>
  </si>
  <si>
    <t>pestaaruan12@gmail.com</t>
  </si>
  <si>
    <t>7701</t>
  </si>
  <si>
    <t>Starting at Thu Aug 29 2024 22:16:14 GMT-0400 (EDT)</t>
  </si>
  <si>
    <t>1N-RqXAxv7wUlYMHzJ50cCr-sCl22Nw0T</t>
  </si>
  <si>
    <t>https://drive.google.com/file/d/1N-RqXAxv7wUlYMHzJ50cCr-sCl22Nw0T/view?usp=drivesdk</t>
  </si>
  <si>
    <t>EKO SUMARNO, S.H</t>
  </si>
  <si>
    <t>ekosmrn@gmail.com</t>
  </si>
  <si>
    <t>7702</t>
  </si>
  <si>
    <t>18l6lyY5_mUEhNgHM2e_AVd0iF4Wn4jES</t>
  </si>
  <si>
    <t>https://drive.google.com/file/d/18l6lyY5_mUEhNgHM2e_AVd0iF4Wn4jES/view?usp=drivesdk</t>
  </si>
  <si>
    <t>MOCH DYAFAR SODIQ, S.H.</t>
  </si>
  <si>
    <t>lutfiana.09@gmail.com</t>
  </si>
  <si>
    <t>7703</t>
  </si>
  <si>
    <t>1BnBqjJ28ZJdNwiuNB-OD6F7UlgpYTb8e</t>
  </si>
  <si>
    <t>https://drive.google.com/file/d/1BnBqjJ28ZJdNwiuNB-OD6F7UlgpYTb8e/view?usp=drivesdk</t>
  </si>
  <si>
    <t>Document successfully created; Document successfully merged; PDF created; !!Error Sending Emails: Service invoked too many times for one day: email.; Manually run by ecertificate75@gmail.com; Timestamp: Sep 4 2024 4:42 AM</t>
  </si>
  <si>
    <t xml:space="preserve">SALINDRI SAPTO DEWI </t>
  </si>
  <si>
    <t>salindrinuraini@gmail.com</t>
  </si>
  <si>
    <t>7704</t>
  </si>
  <si>
    <t>Starting at Thu Aug 29 2024 22:16:16 GMT-0400 (EDT)</t>
  </si>
  <si>
    <t>1sjGqP2wKgGVE5gLRmQSLo4ZZ4Jrj1y0P</t>
  </si>
  <si>
    <t>https://drive.google.com/file/d/1sjGqP2wKgGVE5gLRmQSLo4ZZ4Jrj1y0P/view?usp=drivesdk</t>
  </si>
  <si>
    <t>Document successfully created; Document successfully merged; PDF created; Emails Sent: [To: salindrinuraini@gmail.com]; Manually run by ecertificate75@gmail.com; Timestamp: Sep 10 2024 9:49 AM</t>
  </si>
  <si>
    <t xml:space="preserve">MUSDALIFAH T </t>
  </si>
  <si>
    <t>lifahmusda094@gmail.com</t>
  </si>
  <si>
    <t>7705</t>
  </si>
  <si>
    <t>Starting at Thu Aug 29 2024 22:16:19 GMT-0400 (EDT)</t>
  </si>
  <si>
    <t>10TReezfppc-z7ev01Y9oW7eleN3UQRMx</t>
  </si>
  <si>
    <t>https://drive.google.com/file/d/10TReezfppc-z7ev01Y9oW7eleN3UQRMx/view?usp=drivesdk</t>
  </si>
  <si>
    <t>Document successfully created; Document successfully merged; PDF created; Emails Sent: [To: lifahmusda094@gmail.com]; Manually run by ecertificate75@gmail.com; Timestamp: Sep 10 2024 9:49 AM</t>
  </si>
  <si>
    <t>PRIANTO</t>
  </si>
  <si>
    <t>riantterate@gmail.com</t>
  </si>
  <si>
    <t>7706</t>
  </si>
  <si>
    <t>14Yzmdf9fO4RPin3nbvhcqaeAjHWiMD2B</t>
  </si>
  <si>
    <t>https://drive.google.com/file/d/14Yzmdf9fO4RPin3nbvhcqaeAjHWiMD2B/view?usp=drivesdk</t>
  </si>
  <si>
    <t>Document successfully created; Document successfully merged; PDF created; Emails Sent: [To: riantterate@gmail.com]; Manually run by ecertificate75@gmail.com; Timestamp: Sep 10 2024 9:49 AM</t>
  </si>
  <si>
    <t>SIGIT HARI PRASETIYO, S.E., M.M.</t>
  </si>
  <si>
    <t>sigithari785@gmail.com</t>
  </si>
  <si>
    <t>7707</t>
  </si>
  <si>
    <t>Starting at Thu Aug 29 2024 22:16:26 GMT-0400 (EDT)</t>
  </si>
  <si>
    <t>1Ol52RBRkk12oziLYFmwrDZ5EgEusHTLd</t>
  </si>
  <si>
    <t>https://drive.google.com/file/d/1Ol52RBRkk12oziLYFmwrDZ5EgEusHTLd/view?usp=drivesdk</t>
  </si>
  <si>
    <t>Document successfully created; Document successfully merged; PDF created; Emails Sent: [To: sigithari785@gmail.com]; Manually run by ecertificate75@gmail.com; Timestamp: Sep 10 2024 9:50 AM</t>
  </si>
  <si>
    <t>EFRIKA MANURUNG, S.KOM</t>
  </si>
  <si>
    <t>apikamanru@gmail.com</t>
  </si>
  <si>
    <t>7708</t>
  </si>
  <si>
    <t>1B1fZtp_gyFKC_HkQZcIxhzSfUgcFdGv0</t>
  </si>
  <si>
    <t>https://drive.google.com/file/d/1B1fZtp_gyFKC_HkQZcIxhzSfUgcFdGv0/view?usp=drivesdk</t>
  </si>
  <si>
    <t>Document successfully created; Document successfully merged; PDF created; Emails Sent: [To: apikamanru@gmail.com]; Manually run by ecertificate75@gmail.com; Timestamp: Sep 10 2024 9:50 AM</t>
  </si>
  <si>
    <t>dr. YELLAW SUWIDARILAND</t>
  </si>
  <si>
    <t>yellawsuwidariland@gmail.com</t>
  </si>
  <si>
    <t>7709</t>
  </si>
  <si>
    <t>1cOnO6LZdSnHTUBfAchIG-NDqINIoanso</t>
  </si>
  <si>
    <t>https://drive.google.com/file/d/1cOnO6LZdSnHTUBfAchIG-NDqINIoanso/view?usp=drivesdk</t>
  </si>
  <si>
    <t>Document successfully created; Document successfully merged; PDF created; Emails Sent: [To: yellawsuwidariland@gmail.com]; Manually run by ecertificate75@gmail.com; Timestamp: Sep 10 2024 9:50 AM</t>
  </si>
  <si>
    <t>GURDANI</t>
  </si>
  <si>
    <t>tyaaaaa30@gmail.com</t>
  </si>
  <si>
    <t>7710</t>
  </si>
  <si>
    <t>1l4zA6JEWbvwSXAx_ppgyR3-dEmcz3YmQ</t>
  </si>
  <si>
    <t>https://drive.google.com/file/d/1l4zA6JEWbvwSXAx_ppgyR3-dEmcz3YmQ/view?usp=drivesdk</t>
  </si>
  <si>
    <t>Document successfully created; Document successfully merged; PDF created; Emails Sent: [To: tyaaaaa30@gmail.com]; Manually run by ecertificate75@gmail.com; Timestamp: Sep 10 2024 9:50 AM</t>
  </si>
  <si>
    <t>AHMAD ABIDIN</t>
  </si>
  <si>
    <t>ahmadabidin@gmail.com1278</t>
  </si>
  <si>
    <t>7711</t>
  </si>
  <si>
    <t>1jWpuuhoEwwV28AgAr-mppi2eHLaYGiV4</t>
  </si>
  <si>
    <t>https://drive.google.com/file/d/1jWpuuhoEwwV28AgAr-mppi2eHLaYGiV4/view?usp=drivesdk</t>
  </si>
  <si>
    <t>Document successfully created; Document successfully merged; PDF created; Emails Sent: [To: ahmadabidin@gmail.com1278]; Manually run by ecertificate75@gmail.com; Timestamp: Sep 10 2024 9:51 AM</t>
  </si>
  <si>
    <t>YAHYA BIN</t>
  </si>
  <si>
    <t>yahyayahyaya54@gmail.com</t>
  </si>
  <si>
    <t>7712</t>
  </si>
  <si>
    <t>1wZFyuHZxg0Tds4btbScXLJS1TrksicXe</t>
  </si>
  <si>
    <t>https://drive.google.com/file/d/1wZFyuHZxg0Tds4btbScXLJS1TrksicXe/view?usp=drivesdk</t>
  </si>
  <si>
    <t>Document successfully created; Document successfully merged; PDF created; Emails Sent: [To: yahyayahyaya54@gmail.com]; Manually run by ecertificate75@gmail.com; Timestamp: Sep 10 2024 9:51 AM</t>
  </si>
  <si>
    <t xml:space="preserve">PUTRI AROFA, S.M </t>
  </si>
  <si>
    <t>putriarf9@gmail.com</t>
  </si>
  <si>
    <t>7713</t>
  </si>
  <si>
    <t>Starting at Thu Aug 29 2024 22:16:33 GMT-0400 (EDT)</t>
  </si>
  <si>
    <t>1ETu43xyTzjbOoxpR1I9DUxUpZo0h8EjJ</t>
  </si>
  <si>
    <t>https://drive.google.com/file/d/1ETu43xyTzjbOoxpR1I9DUxUpZo0h8EjJ/view?usp=drivesdk</t>
  </si>
  <si>
    <t>Document successfully created; Document successfully merged; PDF created; Emails Sent: [To: putriarf9@gmail.com]; Manually run by ecertificate75@gmail.com; Timestamp: Sep 10 2024 9:51 AM</t>
  </si>
  <si>
    <t>PUJI SISWATI. SE</t>
  </si>
  <si>
    <t>jigihersis@gmail.com</t>
  </si>
  <si>
    <t>7714</t>
  </si>
  <si>
    <t>1GifzEl6Uf3l1asbOIWYvUYQ_1ovFaPQQ</t>
  </si>
  <si>
    <t>https://drive.google.com/file/d/1GifzEl6Uf3l1asbOIWYvUYQ_1ovFaPQQ/view?usp=drivesdk</t>
  </si>
  <si>
    <t>Document successfully created; Document successfully merged; PDF created; Emails Sent: [To: jigihersis@gmail.com]; Manually run by ecertificate75@gmail.com; Timestamp: Sep 10 2024 9:51 AM</t>
  </si>
  <si>
    <t>DRG AULIATI WULANDARI</t>
  </si>
  <si>
    <t>auliati.wulandari@gmail.com</t>
  </si>
  <si>
    <t>7715</t>
  </si>
  <si>
    <t>1wQkIWJAMh0LxSbMdK0Yb9gJ8p7gXUraO</t>
  </si>
  <si>
    <t>https://drive.google.com/file/d/1wQkIWJAMh0LxSbMdK0Yb9gJ8p7gXUraO/view?usp=drivesdk</t>
  </si>
  <si>
    <t>Document successfully created; Document successfully merged; PDF created; Emails Sent: [To: auliati.wulandari@gmail.com]; Manually run by ecertificate75@gmail.com; Timestamp: Sep 10 2024 9:52 AM</t>
  </si>
  <si>
    <t>YUSTINA SUWARNI</t>
  </si>
  <si>
    <t>yustinasuwarni123@gmail.com</t>
  </si>
  <si>
    <t>7716</t>
  </si>
  <si>
    <t>1dyNmHyE2WAH9h-4Fiw2H_3jqU8wDnHwU</t>
  </si>
  <si>
    <t>https://drive.google.com/file/d/1dyNmHyE2WAH9h-4Fiw2H_3jqU8wDnHwU/view?usp=drivesdk</t>
  </si>
  <si>
    <t>Document successfully created; Document successfully merged; PDF created; Emails Sent: [To: yustinasuwarni123@gmail.com]; Manually run by ecertificate75@gmail.com; Timestamp: Sep 10 2024 9:52 AM</t>
  </si>
  <si>
    <t>ADELIS FAJARWATI, A.Md.Kep, S.AP</t>
  </si>
  <si>
    <t>fajarwatiadelis@gmail.com</t>
  </si>
  <si>
    <t>7717</t>
  </si>
  <si>
    <t>1I18TVjvsLtyteVQJXCZIrxVSVU-IQ6Pi</t>
  </si>
  <si>
    <t>https://drive.google.com/file/d/1I18TVjvsLtyteVQJXCZIrxVSVU-IQ6Pi/view?usp=drivesdk</t>
  </si>
  <si>
    <t>Document successfully created; Document successfully merged; PDF created; Emails Sent: [To: fajarwatiadelis@gmail.com]; Manually run by ecertificate75@gmail.com; Timestamp: Sep 10 2024 9:52 AM</t>
  </si>
  <si>
    <t>litbang.polri@gmail.com</t>
  </si>
  <si>
    <t>7718</t>
  </si>
  <si>
    <t>1k35VBG7NOGSeBieIzVmda_9L7AXC-1SB</t>
  </si>
  <si>
    <t>https://drive.google.com/file/d/1k35VBG7NOGSeBieIzVmda_9L7AXC-1SB/view?usp=drivesdk</t>
  </si>
  <si>
    <t>Document successfully created; Document successfully merged; PDF created; Emails Sent: [To: litbang.polri@gmail.com]; Manually run by ecertificate75@gmail.com; Timestamp: Sep 10 2024 9:52 AM</t>
  </si>
  <si>
    <t>DIANA MARGAHAYUNI, S.A.P.</t>
  </si>
  <si>
    <t>diana.margahayuni@gmail.com</t>
  </si>
  <si>
    <t>7719</t>
  </si>
  <si>
    <t>Starting at Thu Aug 29 2024 22:16:36 GMT-0400 (EDT)</t>
  </si>
  <si>
    <t>1rJtACsCSBMMrPRdDBKUI8yZf2NVNs_5f</t>
  </si>
  <si>
    <t>https://drive.google.com/file/d/1rJtACsCSBMMrPRdDBKUI8yZf2NVNs_5f/view?usp=drivesdk</t>
  </si>
  <si>
    <t>Document successfully created; Document successfully merged; PDF created; Emails Sent: [To: diana.margahayuni@gmail.com]; Manually run by ecertificate75@gmail.com; Timestamp: Sep 10 2024 9:53 AM</t>
  </si>
  <si>
    <t>SUWARTI</t>
  </si>
  <si>
    <t>warti5920@gmail.com</t>
  </si>
  <si>
    <t>7720</t>
  </si>
  <si>
    <t>Starting at Thu Aug 29 2024 22:16:37 GMT-0400 (EDT)</t>
  </si>
  <si>
    <t>1sE0yvACfB7_FPbUtl14xtncsDcaXSfoM</t>
  </si>
  <si>
    <t>https://drive.google.com/file/d/1sE0yvACfB7_FPbUtl14xtncsDcaXSfoM/view?usp=drivesdk</t>
  </si>
  <si>
    <t>Document successfully created; Document successfully merged; PDF created; Emails Sent: [To: warti5920@gmail.com]; Manually run by ecertificate75@gmail.com; Timestamp: Sep 10 2024 9:53 AM</t>
  </si>
  <si>
    <t>ENDAH RETNANINGSIH</t>
  </si>
  <si>
    <t>endahret66@gmail.com</t>
  </si>
  <si>
    <t>7721</t>
  </si>
  <si>
    <t>1mRhAEKK622BdbfUvFHRpF0O8eHhJUhOi</t>
  </si>
  <si>
    <t>https://drive.google.com/file/d/1mRhAEKK622BdbfUvFHRpF0O8eHhJUhOi/view?usp=drivesdk</t>
  </si>
  <si>
    <t>Document successfully created; Document successfully merged; PDF created; Emails Sent: [To: endahret66@gmail.com]; Manually run by ecertificate75@gmail.com; Timestamp: Sep 10 2024 9:53 AM</t>
  </si>
  <si>
    <t>ERVINA NOVIANTI, S.A.P.</t>
  </si>
  <si>
    <t>ervinanovianti20@gmail.com</t>
  </si>
  <si>
    <t>7722</t>
  </si>
  <si>
    <t>1YCCwRxowzg3mjPjBKIem9ieTCqov1JXf</t>
  </si>
  <si>
    <t>https://drive.google.com/file/d/1YCCwRxowzg3mjPjBKIem9ieTCqov1JXf/view?usp=drivesdk</t>
  </si>
  <si>
    <t>Document successfully created; Document successfully merged; PDF created; Emails Sent: [To: ervinanovianti20@gmail.com]; Manually run by ecertificate75@gmail.com; Timestamp: Sep 10 2024 9:53 AM</t>
  </si>
  <si>
    <t>ANIZA LUSITA. S.Si</t>
  </si>
  <si>
    <t>lusita.annie@gmail.com</t>
  </si>
  <si>
    <t>7723</t>
  </si>
  <si>
    <t>Starting at Thu Aug 29 2024 22:16:44 GMT-0400 (EDT)</t>
  </si>
  <si>
    <t>10S3LLM_zx3WS1Qzu-iPLDKh-bI5uJ0H2</t>
  </si>
  <si>
    <t>https://drive.google.com/file/d/10S3LLM_zx3WS1Qzu-iPLDKh-bI5uJ0H2/view?usp=drivesdk</t>
  </si>
  <si>
    <t>Document successfully created; Document successfully merged; PDF created; Emails Sent: [To: lusita.annie@gmail.com]; Manually run by ecertificate75@gmail.com; Timestamp: Sep 10 2024 9:53 AM</t>
  </si>
  <si>
    <t>warijan11@gmail.com</t>
  </si>
  <si>
    <t>7724</t>
  </si>
  <si>
    <t>1xKjeU-2tyMFh2EzTJjReqeMqFjHFeqOr</t>
  </si>
  <si>
    <t>https://drive.google.com/file/d/1xKjeU-2tyMFh2EzTJjReqeMqFjHFeqOr/view?usp=drivesdk</t>
  </si>
  <si>
    <t>Document successfully created; Document successfully merged; PDF created; Emails Sent: [To: warijan11@gmail.com]; Manually run by ecertificate75@gmail.com; Timestamp: Sep 10 2024 9:54 AM</t>
  </si>
  <si>
    <t xml:space="preserve">SULISNING RINI </t>
  </si>
  <si>
    <t>sulisningrini@gmail.com</t>
  </si>
  <si>
    <t>7725</t>
  </si>
  <si>
    <t>1-pUMVQD0QbK37tK4_UWgsGOGuCNzZIO8</t>
  </si>
  <si>
    <t>https://drive.google.com/file/d/1-pUMVQD0QbK37tK4_UWgsGOGuCNzZIO8/view?usp=drivesdk</t>
  </si>
  <si>
    <t>Document successfully created; Document successfully merged; PDF created; Emails Sent: [To: sulisningrini@gmail.com]; Manually run by ecertificate75@gmail.com; Timestamp: Sep 10 2024 9:54 AM</t>
  </si>
  <si>
    <t>roedysdmpmj@gmail.com</t>
  </si>
  <si>
    <t>7726</t>
  </si>
  <si>
    <t>Starting at Thu Aug 29 2024 22:16:47 GMT-0400 (EDT)</t>
  </si>
  <si>
    <t>1zmcWPh5OjhnLbMBaF8Ftzt428JVIfzSc</t>
  </si>
  <si>
    <t>https://drive.google.com/file/d/1zmcWPh5OjhnLbMBaF8Ftzt428JVIfzSc/view?usp=drivesdk</t>
  </si>
  <si>
    <t>Document successfully created; Document successfully merged; PDF created; Emails Sent: [To: roedysdmpmj@gmail.com]; Manually run by ecertificate75@gmail.com; Timestamp: Sep 10 2024 9:54 AM</t>
  </si>
  <si>
    <t xml:space="preserve">SRI SUYANI </t>
  </si>
  <si>
    <t>yanisri3667@gmail.com</t>
  </si>
  <si>
    <t>7727</t>
  </si>
  <si>
    <t>Starting at Thu Aug 29 2024 22:16:49 GMT-0400 (EDT)</t>
  </si>
  <si>
    <t>1NUhLwm_0Tdbv_IzwAcbP8FKNbwZIiXK9</t>
  </si>
  <si>
    <t>https://drive.google.com/file/d/1NUhLwm_0Tdbv_IzwAcbP8FKNbwZIiXK9/view?usp=drivesdk</t>
  </si>
  <si>
    <t>Document successfully created; Document successfully merged; PDF created; Emails Sent: [To: yanisri3667@gmail.com]; Manually run by ecertificate75@gmail.com; Timestamp: Sep 10 2024 9:54 AM</t>
  </si>
  <si>
    <t xml:space="preserve">JENI ANA MANTOFANI </t>
  </si>
  <si>
    <t>jenianamantofani@gmail.com</t>
  </si>
  <si>
    <t>7728</t>
  </si>
  <si>
    <t>Starting at Thu Aug 29 2024 22:16:52 GMT-0400 (EDT)</t>
  </si>
  <si>
    <t>1tsZHtNKaPZegDwCDQ5IMeJKBrzz6OyXw</t>
  </si>
  <si>
    <t>https://drive.google.com/file/d/1tsZHtNKaPZegDwCDQ5IMeJKBrzz6OyXw/view?usp=drivesdk</t>
  </si>
  <si>
    <t>Document successfully created; Document successfully merged; PDF created; Emails Sent: [To: jenianamantofani@gmail.com]; Manually run by ecertificate75@gmail.com; Timestamp: Sep 10 2024 9:55 AM</t>
  </si>
  <si>
    <t xml:space="preserve">ROSKANAH </t>
  </si>
  <si>
    <t>roskanahpnsakpol90@gmail.com</t>
  </si>
  <si>
    <t>7729</t>
  </si>
  <si>
    <t>1pUfvCze0Gb1h0y3kc2SHPI7yu2KaIVRG</t>
  </si>
  <si>
    <t>https://drive.google.com/file/d/1pUfvCze0Gb1h0y3kc2SHPI7yu2KaIVRG/view?usp=drivesdk</t>
  </si>
  <si>
    <t>Document successfully created; Document successfully merged; PDF created; Emails Sent: [To: roskanahpnsakpol90@gmail.com]; Manually run by ecertificate75@gmail.com; Timestamp: Sep 10 2024 9:55 AM</t>
  </si>
  <si>
    <t xml:space="preserve">BUDI PRAYITNO </t>
  </si>
  <si>
    <t>clarista07@yahoo.com</t>
  </si>
  <si>
    <t>7730</t>
  </si>
  <si>
    <t>Starting at Thu Aug 29 2024 22:16:57 GMT-0400 (EDT)</t>
  </si>
  <si>
    <t>1ISslY2KSn94b5YtB2xza0wHoFe4zvnvg</t>
  </si>
  <si>
    <t>https://drive.google.com/file/d/1ISslY2KSn94b5YtB2xza0wHoFe4zvnvg/view?usp=drivesdk</t>
  </si>
  <si>
    <t>Document successfully created; Document successfully merged; PDF created; Emails Sent: [To: clarista07@yahoo.com]; Manually run by ecertificate75@gmail.com; Timestamp: Sep 10 2024 9:55 AM</t>
  </si>
  <si>
    <t>Jokosnts004@gmail.com</t>
  </si>
  <si>
    <t>7731</t>
  </si>
  <si>
    <t>1FH3f9ZqX75Cr9dNifDQDgMgzCAfcd0NP</t>
  </si>
  <si>
    <t>https://drive.google.com/file/d/1FH3f9ZqX75Cr9dNifDQDgMgzCAfcd0NP/view?usp=drivesdk</t>
  </si>
  <si>
    <t>Document successfully created; Document successfully merged; PDF created; Emails Sent: [To: Jokosnts004@gmail.com]; Manually run by ecertificate75@gmail.com; Timestamp: Sep 10 2024 9:55 AM</t>
  </si>
  <si>
    <t>ELIYA SARI PUSPA</t>
  </si>
  <si>
    <t>eliya.saripuspa01@gmail.com</t>
  </si>
  <si>
    <t>7732</t>
  </si>
  <si>
    <t>1lzK2KimTVvX9_2L_610SBxgaafffm6Fq</t>
  </si>
  <si>
    <t>https://drive.google.com/file/d/1lzK2KimTVvX9_2L_610SBxgaafffm6Fq/view?usp=drivesdk</t>
  </si>
  <si>
    <t>Document successfully created; Document successfully merged; PDF created; Emails Sent: [To: eliya.saripuspa01@gmail.com]; Manually run by ecertificate75@gmail.com; Timestamp: Sep 10 2024 9:56 AM</t>
  </si>
  <si>
    <t>RAHMAT WIDIYANTO</t>
  </si>
  <si>
    <t>rahmatwidiyanto308@gmail.com</t>
  </si>
  <si>
    <t>7733</t>
  </si>
  <si>
    <t>16Glu0U2seI8tHZGN1E1bDwty2Bvp-Apf</t>
  </si>
  <si>
    <t>https://drive.google.com/file/d/16Glu0U2seI8tHZGN1E1bDwty2Bvp-Apf/view?usp=drivesdk</t>
  </si>
  <si>
    <t>Document successfully created; Document successfully merged; PDF created; Emails Sent: [To: rahmatwidiyanto308@gmail.com]; Manually run by ecertificate75@gmail.com; Timestamp: Sep 10 2024 9:56 AM</t>
  </si>
  <si>
    <t xml:space="preserve">MOHAMAD SAMANTHA IRADI </t>
  </si>
  <si>
    <t>samanthakya2205@gmail.com</t>
  </si>
  <si>
    <t>7734</t>
  </si>
  <si>
    <t>1AIkA8z_VlZ4iKYEOlcZsJl2Q5GA2f_mV</t>
  </si>
  <si>
    <t>https://drive.google.com/file/d/1AIkA8z_VlZ4iKYEOlcZsJl2Q5GA2f_mV/view?usp=drivesdk</t>
  </si>
  <si>
    <t>Document successfully created; Document successfully merged; PDF created; Emails Sent: [To: samanthakya2205@gmail.com]; Manually run by ecertificate75@gmail.com; Timestamp: Sep 10 2024 9:56 AM</t>
  </si>
  <si>
    <t xml:space="preserve">NANY MARLIANA </t>
  </si>
  <si>
    <t>nani.krisna72@gmail.com</t>
  </si>
  <si>
    <t>7735</t>
  </si>
  <si>
    <t>1ZfOqKO--Gp8kD3JXBZS6fnyOWVRe4H96</t>
  </si>
  <si>
    <t>https://drive.google.com/file/d/1ZfOqKO--Gp8kD3JXBZS6fnyOWVRe4H96/view?usp=drivesdk</t>
  </si>
  <si>
    <t>Document successfully created; Document successfully merged; PDF created; Emails Sent: [To: nani.krisna72@gmail.com]; Manually run by ecertificate75@gmail.com; Timestamp: Sep 10 2024 9:56 AM</t>
  </si>
  <si>
    <t>SUMANTO</t>
  </si>
  <si>
    <t>mantodinar9@gmail.com</t>
  </si>
  <si>
    <t>7736</t>
  </si>
  <si>
    <t>1xcAzy7bf2flmGWm11IeaSR37568dTMcH</t>
  </si>
  <si>
    <t>https://drive.google.com/file/d/1xcAzy7bf2flmGWm11IeaSR37568dTMcH/view?usp=drivesdk</t>
  </si>
  <si>
    <t>Document successfully created; Document successfully merged; PDF created; Emails Sent: [To: mantodinar9@gmail.com]; Manually run by ecertificate75@gmail.com; Timestamp: Sep 10 2024 9:56 AM</t>
  </si>
  <si>
    <t>7737</t>
  </si>
  <si>
    <t>18W3sUV5iy4PdmnCMLS9_tBir3A1lmf_s</t>
  </si>
  <si>
    <t>https://drive.google.com/file/d/18W3sUV5iy4PdmnCMLS9_tBir3A1lmf_s/view?usp=drivesdk</t>
  </si>
  <si>
    <t>Document successfully created; Document successfully merged; PDF created; Emails Sent: [To: eka3777@gmail.com]; Manually run by ecertificate75@gmail.com; Timestamp: Sep 10 2024 9:57 AM</t>
  </si>
  <si>
    <t>DWI IRAWATI</t>
  </si>
  <si>
    <t>dwiirawati0210@gmail.com</t>
  </si>
  <si>
    <t>7738</t>
  </si>
  <si>
    <t>Starting at Thu Aug 29 2024 22:17:07 GMT-0400 (EDT)</t>
  </si>
  <si>
    <t>1kpFkKQ9IDwBGSYnbisHdREqLPm4VUih4</t>
  </si>
  <si>
    <t>https://drive.google.com/file/d/1kpFkKQ9IDwBGSYnbisHdREqLPm4VUih4/view?usp=drivesdk</t>
  </si>
  <si>
    <t>Document successfully created; Document successfully merged; PDF created; Emails Sent: [To: dwiirawati0210@gmail.com]; Manually run by ecertificate75@gmail.com; Timestamp: Sep 10 2024 9:57 AM</t>
  </si>
  <si>
    <t>SOLEHAN JAYA</t>
  </si>
  <si>
    <t>sholehanjaya830@mail.com</t>
  </si>
  <si>
    <t>7739</t>
  </si>
  <si>
    <t>1-eDV8wZXS4uy_bOX_5Tn9bx8y-hTrDp8</t>
  </si>
  <si>
    <t>https://drive.google.com/file/d/1-eDV8wZXS4uy_bOX_5Tn9bx8y-hTrDp8/view?usp=drivesdk</t>
  </si>
  <si>
    <t>Document successfully created; Document successfully merged; PDF created; Emails Sent: [To: sholehanjaya830@mail.com]; Manually run by ecertificate75@gmail.com; Timestamp: Sep 10 2024 9:57 AM</t>
  </si>
  <si>
    <t>ENDANG KURNIATI</t>
  </si>
  <si>
    <t>endangkurniati02@gmail.com</t>
  </si>
  <si>
    <t>7740</t>
  </si>
  <si>
    <t>1K7mD8SyNjnsdnpK8F3T-mqdRAUPILobQ</t>
  </si>
  <si>
    <t>https://drive.google.com/file/d/1K7mD8SyNjnsdnpK8F3T-mqdRAUPILobQ/view?usp=drivesdk</t>
  </si>
  <si>
    <t>Document successfully created; Document successfully merged; PDF created; Emails Sent: [To: endangkurniati02@gmail.com]; Manually run by ecertificate75@gmail.com; Timestamp: Sep 10 2024 9:57 AM</t>
  </si>
  <si>
    <t>FITRIAH, SKM</t>
  </si>
  <si>
    <t>fitri8077sf@gmail.com</t>
  </si>
  <si>
    <t>7741</t>
  </si>
  <si>
    <t>1iReRfqsa4cKuRL4aPie8XGDeuKy_RoAo</t>
  </si>
  <si>
    <t>https://drive.google.com/file/d/1iReRfqsa4cKuRL4aPie8XGDeuKy_RoAo/view?usp=drivesdk</t>
  </si>
  <si>
    <t>Document successfully created; Document successfully merged; PDF created; Emails Sent: [To: fitri8077sf@gmail.com]; Manually run by ecertificate75@gmail.com; Timestamp: Sep 10 2024 9:58 AM</t>
  </si>
  <si>
    <t>SUDINTA</t>
  </si>
  <si>
    <t>sudintabeber70@gmail.com</t>
  </si>
  <si>
    <t>7742</t>
  </si>
  <si>
    <t>1aqgHpJf3tDB3HOgVcQ7Acrx4C_9cZFXT</t>
  </si>
  <si>
    <t>https://drive.google.com/file/d/1aqgHpJf3tDB3HOgVcQ7Acrx4C_9cZFXT/view?usp=drivesdk</t>
  </si>
  <si>
    <t>Document successfully created; Document successfully merged; PDF created; Emails Sent: [To: sudintabeber70@gmail.com]; Manually run by ecertificate75@gmail.com; Timestamp: Sep 10 2024 9:58 AM</t>
  </si>
  <si>
    <t xml:space="preserve">Christina Tri Sulistiyani </t>
  </si>
  <si>
    <t>christinatri88@gmail.com</t>
  </si>
  <si>
    <t>7743</t>
  </si>
  <si>
    <t>Starting at Thu Aug 29 2024 22:17:09 GMT-0400 (EDT)</t>
  </si>
  <si>
    <t>14c7K132boJK7L8J-oYEwrVGDuEiJg1r-</t>
  </si>
  <si>
    <t>https://drive.google.com/file/d/14c7K132boJK7L8J-oYEwrVGDuEiJg1r-/view?usp=drivesdk</t>
  </si>
  <si>
    <t>Document successfully created; Document successfully merged; PDF created; Emails Sent: [To: christinatri88@gmail.com]; Manually run by ecertificate75@gmail.com; Timestamp: Sep 10 2024 9:58 AM</t>
  </si>
  <si>
    <t>sritambak68@gmail.com</t>
  </si>
  <si>
    <t>7744</t>
  </si>
  <si>
    <t>123x7-T8y-7XUJLBh0oFItOWaVY6LkwsP</t>
  </si>
  <si>
    <t>https://drive.google.com/file/d/123x7-T8y-7XUJLBh0oFItOWaVY6LkwsP/view?usp=drivesdk</t>
  </si>
  <si>
    <t>Document successfully created; Document successfully merged; PDF created; Emails Sent: [To: sritambak68@gmail.com]; Manually run by ecertificate75@gmail.com; Timestamp: Sep 10 2024 9:58 AM</t>
  </si>
  <si>
    <t>andreyansyah777@gmail.cim</t>
  </si>
  <si>
    <t>7745</t>
  </si>
  <si>
    <t>11YNMraMpZoIquuY1W_M5g-iwEv5WSIIi</t>
  </si>
  <si>
    <t>https://drive.google.com/file/d/11YNMraMpZoIquuY1W_M5g-iwEv5WSIIi/view?usp=drivesdk</t>
  </si>
  <si>
    <t>Document successfully created; Document successfully merged; PDF created; Emails Sent: [To: andreyansyah777@gmail.cim]; Manually run by ecertificate75@gmail.com; Timestamp: Sep 10 2024 9:59 AM</t>
  </si>
  <si>
    <t>NI NYOMAN GUNIATHI</t>
  </si>
  <si>
    <t>nym.guniathi@gmwil.com</t>
  </si>
  <si>
    <t>7746</t>
  </si>
  <si>
    <t>12pfjV4x3VHDShMigenwfIHU6mVCCrIa_</t>
  </si>
  <si>
    <t>https://drive.google.com/file/d/12pfjV4x3VHDShMigenwfIHU6mVCCrIa_/view?usp=drivesdk</t>
  </si>
  <si>
    <t>Document successfully created; Document successfully merged; PDF created; Emails Sent: [To: nym.guniathi@gmwil.com]; Manually run by ecertificate75@gmail.com; Timestamp: Sep 10 2024 9:59 AM</t>
  </si>
  <si>
    <t>EKO DEWI SULISTYOWATI</t>
  </si>
  <si>
    <t>ekodewisulistyowati81@gmail.com</t>
  </si>
  <si>
    <t>7747</t>
  </si>
  <si>
    <t>Starting at Thu Aug 29 2024 22:17:12 GMT-0400 (EDT)</t>
  </si>
  <si>
    <t>1gVxdvxb__VzoxEC60ePg7_kIDhJ0WrFB</t>
  </si>
  <si>
    <t>https://drive.google.com/file/d/1gVxdvxb__VzoxEC60ePg7_kIDhJ0WrFB/view?usp=drivesdk</t>
  </si>
  <si>
    <t>Document successfully created; Document successfully merged; PDF created; Emails Sent: [To: ekodewisulistyowati81@gmail.com]; Manually run by ecertificate75@gmail.com; Timestamp: Sep 10 2024 9:59 AM</t>
  </si>
  <si>
    <t>JULY AGUS PURBA, S.AP</t>
  </si>
  <si>
    <t>aza.july@gmail.com</t>
  </si>
  <si>
    <t>7748</t>
  </si>
  <si>
    <t>Starting at Thu Aug 29 2024 22:17:15 GMT-0400 (EDT)</t>
  </si>
  <si>
    <t>1FXeIAXE9NBuhUtSt2VcxV08HlO01qJnB</t>
  </si>
  <si>
    <t>https://drive.google.com/file/d/1FXeIAXE9NBuhUtSt2VcxV08HlO01qJnB/view?usp=drivesdk</t>
  </si>
  <si>
    <t>Document successfully created; Document successfully merged; PDF created; Emails Sent: [To: aza.july@gmail.com]; Manually run by ecertificate75@gmail.com; Timestamp: Sep 10 2024 9:59 AM</t>
  </si>
  <si>
    <t>YULIANTO</t>
  </si>
  <si>
    <t>yuliyanto.salatiga@gmail.com</t>
  </si>
  <si>
    <t>7749</t>
  </si>
  <si>
    <t>1w5WzvdTI5jIEgLlh4s39MYBBV4XdEVmr</t>
  </si>
  <si>
    <t>https://drive.google.com/file/d/1w5WzvdTI5jIEgLlh4s39MYBBV4XdEVmr/view?usp=drivesdk</t>
  </si>
  <si>
    <t>Document successfully created; Document successfully merged; PDF created; Emails Sent: [To: yuliyanto.salatiga@gmail.com]; Manually run by ecertificate75@gmail.com; Timestamp: Sep 10 2024 9:59 AM</t>
  </si>
  <si>
    <t xml:space="preserve">NATALIA KRESENSIA </t>
  </si>
  <si>
    <t>natalia.kresensia@yahoo.com</t>
  </si>
  <si>
    <t>7750</t>
  </si>
  <si>
    <t>12adgtkNstF11sB1-O9T6W8TVIVQ48JJg</t>
  </si>
  <si>
    <t>https://drive.google.com/file/d/12adgtkNstF11sB1-O9T6W8TVIVQ48JJg/view?usp=drivesdk</t>
  </si>
  <si>
    <t>Document successfully created; Document successfully merged; PDF created; Emails Sent: [To: natalia.kresensia@yahoo.com]; Manually run by ecertificate75@gmail.com; Timestamp: Sep 10 2024 9:59 AM</t>
  </si>
  <si>
    <t>NI PUTU NOVIYANI PIZZATO,SE</t>
  </si>
  <si>
    <t>novipiz85@gmail.com</t>
  </si>
  <si>
    <t>7751</t>
  </si>
  <si>
    <t>1EqK25mP--OrctP8x75vplnz65Fvqaeau</t>
  </si>
  <si>
    <t>https://drive.google.com/file/d/1EqK25mP--OrctP8x75vplnz65Fvqaeau/view?usp=drivesdk</t>
  </si>
  <si>
    <t>Document successfully created; Document successfully merged; PDF created; Emails Sent: [To: novipiz85@gmail.com]; Manually run by ecertificate75@gmail.com; Timestamp: Sep 10 2024 10:00 AM</t>
  </si>
  <si>
    <t xml:space="preserve">CUCUK INTORO </t>
  </si>
  <si>
    <t>cucukimtono@gmail.com</t>
  </si>
  <si>
    <t>7752</t>
  </si>
  <si>
    <t>Starting at Thu Aug 29 2024 22:17:22 GMT-0400 (EDT)</t>
  </si>
  <si>
    <t>1QtMrOxdrvcLQMIoSIdAGbx-Pt7adXVcs</t>
  </si>
  <si>
    <t>https://drive.google.com/file/d/1QtMrOxdrvcLQMIoSIdAGbx-Pt7adXVcs/view?usp=drivesdk</t>
  </si>
  <si>
    <t>Document successfully created; Document successfully merged; PDF created; Emails Sent: [To: cucukimtono@gmail.com]; Manually run by ecertificate75@gmail.com; Timestamp: Sep 10 2024 10:00 AM</t>
  </si>
  <si>
    <t>ALQADRI AMIRUDDIN, A.Md.Kom</t>
  </si>
  <si>
    <t>alqadri.amiruddin@gmail.com</t>
  </si>
  <si>
    <t>7753</t>
  </si>
  <si>
    <t>19GTehU7KpKJzk258iwlZcqoLExvUnsFK</t>
  </si>
  <si>
    <t>https://drive.google.com/file/d/19GTehU7KpKJzk258iwlZcqoLExvUnsFK/view?usp=drivesdk</t>
  </si>
  <si>
    <t>Document successfully created; Document successfully merged; PDF created; Emails Sent: [To: alqadri.amiruddin@gmail.com]; Manually run by ecertificate75@gmail.com; Timestamp: Sep 10 2024 10:00 AM</t>
  </si>
  <si>
    <t>MARSIYAH</t>
  </si>
  <si>
    <t>mjcell2327@gmail.com</t>
  </si>
  <si>
    <t>7754</t>
  </si>
  <si>
    <t>Starting at Thu Aug 29 2024 22:17:24 GMT-0400 (EDT)</t>
  </si>
  <si>
    <t>1kMEHgfGjg3YTHCumPwknPZRDuf-uguUA</t>
  </si>
  <si>
    <t>https://drive.google.com/file/d/1kMEHgfGjg3YTHCumPwknPZRDuf-uguUA/view?usp=drivesdk</t>
  </si>
  <si>
    <t>Document successfully created; Document successfully merged; PDF created; Emails Sent: [To: mjcell2327@gmail.com]; Manually run by ecertificate75@gmail.com; Timestamp: Sep 10 2024 10:00 AM</t>
  </si>
  <si>
    <t>SUSILO NUGROHO. S.E., M. M</t>
  </si>
  <si>
    <t>susilonugroho78@gmail.com</t>
  </si>
  <si>
    <t>7755</t>
  </si>
  <si>
    <t>1cf1wV82RG4ZCqwf355AO-xZSgdX41CR9</t>
  </si>
  <si>
    <t>https://drive.google.com/file/d/1cf1wV82RG4ZCqwf355AO-xZSgdX41CR9/view?usp=drivesdk</t>
  </si>
  <si>
    <t>Document successfully created; Document successfully merged; PDF created; Emails Sent: [To: susilonugroho78@gmail.com]; Manually run by ecertificate75@gmail.com; Timestamp: Sep 10 2024 10:01 AM</t>
  </si>
  <si>
    <t xml:space="preserve">CIPTO WIDODO </t>
  </si>
  <si>
    <t>cipto.widodo3@gmail.com</t>
  </si>
  <si>
    <t>7756</t>
  </si>
  <si>
    <t>Starting at Thu Aug 29 2024 22:17:35 GMT-0400 (EDT)</t>
  </si>
  <si>
    <t>1_QksZceg2Lcn7GBG4t71GAbycmO6jKYf</t>
  </si>
  <si>
    <t>https://drive.google.com/file/d/1_QksZceg2Lcn7GBG4t71GAbycmO6jKYf/view?usp=drivesdk</t>
  </si>
  <si>
    <t>Document successfully created; Document successfully merged; PDF created; Emails Sent: [To: cipto.widodo3@gmail.com]; Manually run by ecertificate75@gmail.com; Timestamp: Sep 10 2024 10:01 AM</t>
  </si>
  <si>
    <t xml:space="preserve">WIWIK SURYANI </t>
  </si>
  <si>
    <t>wiwiksuryani745@gmail.com</t>
  </si>
  <si>
    <t>7757</t>
  </si>
  <si>
    <t>1qwmr0PcKr2gBkPzTxeFhTzQpJmCAa03L</t>
  </si>
  <si>
    <t>https://drive.google.com/file/d/1qwmr0PcKr2gBkPzTxeFhTzQpJmCAa03L/view?usp=drivesdk</t>
  </si>
  <si>
    <t>Document successfully created; Document successfully merged; PDF created; Emails Sent: [To: wiwiksuryani745@gmail.com]; Manually run by ecertificate75@gmail.com; Timestamp: Sep 10 2024 10:01 AM</t>
  </si>
  <si>
    <t>desirajagukguk31@gmail.com</t>
  </si>
  <si>
    <t>7758</t>
  </si>
  <si>
    <t>1Aa3dP4V_0hSzTY33RL6_1K1aqH93_xZU</t>
  </si>
  <si>
    <t>https://drive.google.com/file/d/1Aa3dP4V_0hSzTY33RL6_1K1aqH93_xZU/view?usp=drivesdk</t>
  </si>
  <si>
    <t>Document successfully created; Document successfully merged; PDF created; Emails Sent: [To: desirajagukguk31@gmail.com]; Manually run by ecertificate75@gmail.com; Timestamp: Sep 10 2024 10:01 AM</t>
  </si>
  <si>
    <t>susiatipronojiwo1967@gmail.com</t>
  </si>
  <si>
    <t>7759</t>
  </si>
  <si>
    <t>1qyzuGF3fGxxRFur0zWmfYG4JzEjmLGFR</t>
  </si>
  <si>
    <t>https://drive.google.com/file/d/1qyzuGF3fGxxRFur0zWmfYG4JzEjmLGFR/view?usp=drivesdk</t>
  </si>
  <si>
    <t>Document successfully created; Document successfully merged; PDF created; Emails Sent: [To: susiatipronojiwo1967@gmail.com]; Manually run by ecertificate75@gmail.com; Timestamp: Sep 10 2024 10:01 AM</t>
  </si>
  <si>
    <t>IRSAN HADI</t>
  </si>
  <si>
    <t>irsanhadi710@gmail.com</t>
  </si>
  <si>
    <t>7760</t>
  </si>
  <si>
    <t>1rAqGbXaH02crPL4qGUzjykNxRYrnamts</t>
  </si>
  <si>
    <t>https://drive.google.com/file/d/1rAqGbXaH02crPL4qGUzjykNxRYrnamts/view?usp=drivesdk</t>
  </si>
  <si>
    <t>Document successfully created; Document successfully merged; PDF created; Emails Sent: [To: irsanhadi710@gmail.com]; Manually run by ecertificate75@gmail.com; Timestamp: Sep 10 2024 10:02 AM</t>
  </si>
  <si>
    <t>DWI PARTUTI</t>
  </si>
  <si>
    <t>depe3130@gmail.com</t>
  </si>
  <si>
    <t>7761</t>
  </si>
  <si>
    <t>1_sg1jn95bjoNNd3Xql8tBWD5_6mWxVo5</t>
  </si>
  <si>
    <t>https://drive.google.com/file/d/1_sg1jn95bjoNNd3Xql8tBWD5_6mWxVo5/view?usp=drivesdk</t>
  </si>
  <si>
    <t>Document successfully created; Document successfully merged; PDF created; Emails Sent: [To: depe3130@gmail.com]; Manually run by ecertificate75@gmail.com; Timestamp: Sep 10 2024 10:02 AM</t>
  </si>
  <si>
    <t>TRIAS ANDAYANI</t>
  </si>
  <si>
    <t>triasandayani29@gmail.com</t>
  </si>
  <si>
    <t>7762</t>
  </si>
  <si>
    <t>1rOGzvrdve1Qd166kpOIkKNZN3szR_ANZ</t>
  </si>
  <si>
    <t>https://drive.google.com/file/d/1rOGzvrdve1Qd166kpOIkKNZN3szR_ANZ/view?usp=drivesdk</t>
  </si>
  <si>
    <t>Document successfully created; Document successfully merged; PDF created; Emails Sent: [To: triasandayani29@gmail.com]; Manually run by ecertificate75@gmail.com; Timestamp: Sep 10 2024 10:02 AM</t>
  </si>
  <si>
    <t>PANGESTU HARIYADI, A. Md</t>
  </si>
  <si>
    <t>pangestu.hariyadi1@gmail.com</t>
  </si>
  <si>
    <t>7763</t>
  </si>
  <si>
    <t>1GWdziELBJM8pOSeNFLRKSgJhXtZfgz14</t>
  </si>
  <si>
    <t>https://drive.google.com/file/d/1GWdziELBJM8pOSeNFLRKSgJhXtZfgz14/view?usp=drivesdk</t>
  </si>
  <si>
    <t>Document successfully created; Document successfully merged; PDF created; Emails Sent: [To: pangestu.hariyadi1@gmail.com]; Manually run by ecertificate75@gmail.com; Timestamp: Sep 10 2024 10:03 AM</t>
  </si>
  <si>
    <t>YULIBERTI</t>
  </si>
  <si>
    <t>bertiyuliaqiila@gmail.com</t>
  </si>
  <si>
    <t>7764</t>
  </si>
  <si>
    <t>Starting at Thu Aug 29 2024 22:17:44 GMT-0400 (EDT)</t>
  </si>
  <si>
    <t>1_LlhqATmnJSl0VpncY9zy_kgl-e-UC0O</t>
  </si>
  <si>
    <t>https://drive.google.com/file/d/1_LlhqATmnJSl0VpncY9zy_kgl-e-UC0O/view?usp=drivesdk</t>
  </si>
  <si>
    <t>Document successfully created; Document successfully merged; PDF created; Emails Sent: [To: bertiyuliaqiila@gmail.com]; Manually run by ecertificate75@gmail.com; Timestamp: Sep 10 2024 10:03 AM</t>
  </si>
  <si>
    <t>ROSALINA</t>
  </si>
  <si>
    <t>evin.naufal@gmail.com</t>
  </si>
  <si>
    <t>7765</t>
  </si>
  <si>
    <t>1itTExdbxAuYGrebVcDFmAvxKKLzUa5Vv</t>
  </si>
  <si>
    <t>https://drive.google.com/file/d/1itTExdbxAuYGrebVcDFmAvxKKLzUa5Vv/view?usp=drivesdk</t>
  </si>
  <si>
    <t>Document successfully created; Document successfully merged; PDF created; Emails Sent: [To: evin.naufal@gmail.com]; Manually run by ecertificate75@gmail.com; Timestamp: Sep 10 2024 10:03 AM</t>
  </si>
  <si>
    <t>ETA RULIANA, S.Kep.Ns</t>
  </si>
  <si>
    <t>etaruliana74@gmail.com</t>
  </si>
  <si>
    <t>7766</t>
  </si>
  <si>
    <t>14qBWpUhZ6nt6KLJXfaYi1k_68uHM0YdI</t>
  </si>
  <si>
    <t>https://drive.google.com/file/d/14qBWpUhZ6nt6KLJXfaYi1k_68uHM0YdI/view?usp=drivesdk</t>
  </si>
  <si>
    <t>Document successfully created; Document successfully merged; PDF created; Emails Sent: [To: etaruliana74@gmail.com]; Manually run by ecertificate75@gmail.com; Timestamp: Sep 10 2024 10:03 AM</t>
  </si>
  <si>
    <t>YUNITA ANGGRAENI WIBOWO</t>
  </si>
  <si>
    <t>nieta.aljavawy@gmail.com</t>
  </si>
  <si>
    <t>7767</t>
  </si>
  <si>
    <t>1iBIEtZ1HUFnsRh1EontDfxAhq4_LrNg3</t>
  </si>
  <si>
    <t>https://drive.google.com/file/d/1iBIEtZ1HUFnsRh1EontDfxAhq4_LrNg3/view?usp=drivesdk</t>
  </si>
  <si>
    <t>Document successfully created; Document successfully merged; PDF created; Emails Sent: [To: nieta.aljavawy@gmail.com]; Manually run by ecertificate75@gmail.com; Timestamp: Sep 10 2024 10:03 AM</t>
  </si>
  <si>
    <t xml:space="preserve">ROSNALIA PURBA </t>
  </si>
  <si>
    <t>purbarosnalia@gmail.com</t>
  </si>
  <si>
    <t>7768</t>
  </si>
  <si>
    <t>1gznNUzpwPh4GMqYE5N41dCgUA7g2qJC_</t>
  </si>
  <si>
    <t>https://drive.google.com/file/d/1gznNUzpwPh4GMqYE5N41dCgUA7g2qJC_/view?usp=drivesdk</t>
  </si>
  <si>
    <t>Document successfully created; Document successfully merged; PDF created; Emails Sent: [To: purbarosnalia@gmail.com]; Manually run by ecertificate75@gmail.com; Timestamp: Sep 10 2024 10:04 AM</t>
  </si>
  <si>
    <t>SOLIKIN</t>
  </si>
  <si>
    <t>solikinsayadi@gmail.com</t>
  </si>
  <si>
    <t>7769</t>
  </si>
  <si>
    <t>Starting at Thu Aug 29 2024 22:17:47 GMT-0400 (EDT)</t>
  </si>
  <si>
    <t>1zkpkqZb08i12X11PVKKUfxgbzlWkdUpd</t>
  </si>
  <si>
    <t>https://drive.google.com/file/d/1zkpkqZb08i12X11PVKKUfxgbzlWkdUpd/view?usp=drivesdk</t>
  </si>
  <si>
    <t>Document successfully created; Document successfully merged; PDF created; Emails Sent: [To: solikinsayadi@gmail.com]; Manually run by ecertificate75@gmail.com; Timestamp: Sep 10 2024 10:04 AM</t>
  </si>
  <si>
    <t>AGUSTINI RUSTONO,S.H.</t>
  </si>
  <si>
    <t>bantenb51@gmail.com</t>
  </si>
  <si>
    <t>7770</t>
  </si>
  <si>
    <t>Starting at Thu Aug 29 2024 22:17:51 GMT-0400 (EDT)</t>
  </si>
  <si>
    <t>1Ra4n3uVkyUuX7RJt9daGW_x0wq7DtUKt</t>
  </si>
  <si>
    <t>https://drive.google.com/file/d/1Ra4n3uVkyUuX7RJt9daGW_x0wq7DtUKt/view?usp=drivesdk</t>
  </si>
  <si>
    <t>Document successfully created; Document successfully merged; PDF created; Emails Sent: [To: bantenb51@gmail.com]; Manually run by ecertificate75@gmail.com; Timestamp: Sep 10 2024 10:04 AM</t>
  </si>
  <si>
    <t>JULIANA</t>
  </si>
  <si>
    <t>julianajuli130768@gmail.com</t>
  </si>
  <si>
    <t>7771</t>
  </si>
  <si>
    <t>1HHG-jA4ZIqi51NzaRy146XFguBm1-zlx</t>
  </si>
  <si>
    <t>https://drive.google.com/file/d/1HHG-jA4ZIqi51NzaRy146XFguBm1-zlx/view?usp=drivesdk</t>
  </si>
  <si>
    <t>Document successfully created; Document successfully merged; PDF created; Emails Sent: [To: julianajuli130768@gmail.com]; Manually run by ecertificate75@gmail.com; Timestamp: Sep 10 2024 10:05 AM</t>
  </si>
  <si>
    <t>NS. DWI SETYO ANGGRAENI, S.KEP</t>
  </si>
  <si>
    <t>dwisetyoanggraeni@gmail.com</t>
  </si>
  <si>
    <t>7772</t>
  </si>
  <si>
    <t>1WIQWNxaSRCsKUr7C7ocfEaCgAWgbXYqC</t>
  </si>
  <si>
    <t>https://drive.google.com/file/d/1WIQWNxaSRCsKUr7C7ocfEaCgAWgbXYqC/view?usp=drivesdk</t>
  </si>
  <si>
    <t>Document successfully created; Document successfully merged; PDF created; Emails Sent: [To: dwisetyoanggraeni@gmail.com]; Manually run by ecertificate75@gmail.com; Timestamp: Sep 10 2024 10:05 AM</t>
  </si>
  <si>
    <t>SAMIN NOMIN</t>
  </si>
  <si>
    <t>nomin9sam@gmail.com</t>
  </si>
  <si>
    <t>7773</t>
  </si>
  <si>
    <t>1spTJiajX1owOje4vEyeqXEHBH6LV44t5</t>
  </si>
  <si>
    <t>https://drive.google.com/file/d/1spTJiajX1owOje4vEyeqXEHBH6LV44t5/view?usp=drivesdk</t>
  </si>
  <si>
    <t>Document successfully created; Document successfully merged; PDF created; Emails Sent: [To: nomin9sam@gmail.com]; Manually run by ecertificate75@gmail.com; Timestamp: Sep 10 2024 10:05 AM</t>
  </si>
  <si>
    <t>HASRY AGUNG NUGRAHA, S.T., M.M.</t>
  </si>
  <si>
    <t>hasry.agung@gmail.com</t>
  </si>
  <si>
    <t>7774</t>
  </si>
  <si>
    <t>11in1b49gWWOYgAJmqFu3IPLU-8ELG0Bf</t>
  </si>
  <si>
    <t>https://drive.google.com/file/d/11in1b49gWWOYgAJmqFu3IPLU-8ELG0Bf/view?usp=drivesdk</t>
  </si>
  <si>
    <t>Document successfully created; Document successfully merged; PDF created; Emails Sent: [To: hasry.agung@gmail.com]; Manually run by ecertificate75@gmail.com; Timestamp: Sep 10 2024 10:05 AM</t>
  </si>
  <si>
    <t>ARINI SORAYA</t>
  </si>
  <si>
    <t>arinisoraya24@gmail.com</t>
  </si>
  <si>
    <t>7775</t>
  </si>
  <si>
    <t>Starting at Thu Aug 29 2024 22:17:52 GMT-0400 (EDT)</t>
  </si>
  <si>
    <t>1Zo6z8Sfl1JjxuoKF7-lp_-50RjWfXHTk</t>
  </si>
  <si>
    <t>https://drive.google.com/file/d/1Zo6z8Sfl1JjxuoKF7-lp_-50RjWfXHTk/view?usp=drivesdk</t>
  </si>
  <si>
    <t>Document successfully created; Document successfully merged; PDF created; Emails Sent: [To: arinisoraya24@gmail.com]; Manually run by ecertificate75@gmail.com; Timestamp: Sep 10 2024 10:06 AM</t>
  </si>
  <si>
    <t>HOTMA LAMRIA SARMAULI SIANIPAR</t>
  </si>
  <si>
    <t>erlae195@gmail.com</t>
  </si>
  <si>
    <t>7776</t>
  </si>
  <si>
    <t>1rct_qkMSkxlJuREUz6hpIWgom5PlR_cq</t>
  </si>
  <si>
    <t>https://drive.google.com/file/d/1rct_qkMSkxlJuREUz6hpIWgom5PlR_cq/view?usp=drivesdk</t>
  </si>
  <si>
    <t>Document successfully created; Document successfully merged; PDF created; Emails Sent: [To: erlae195@gmail.com]; Manually run by ecertificate75@gmail.com; Timestamp: Sep 10 2024 10:06 AM</t>
  </si>
  <si>
    <t>BAGUS MAKSUM</t>
  </si>
  <si>
    <t>bagusmaksum1723@gmail.com</t>
  </si>
  <si>
    <t>7777</t>
  </si>
  <si>
    <t>Starting at Thu Aug 29 2024 22:17:56 GMT-0400 (EDT)</t>
  </si>
  <si>
    <t>1adekjFiONIQfwBmXz18cSCK-QlHhB9LB</t>
  </si>
  <si>
    <t>https://drive.google.com/file/d/1adekjFiONIQfwBmXz18cSCK-QlHhB9LB/view?usp=drivesdk</t>
  </si>
  <si>
    <t>Document successfully created; Document successfully merged; PDF created; !!Error Sending Emails: Service invoked too many times for one day: email.; Manually run by ecertificate75@gmail.com; Timestamp: Sep 10 2024 10:06 AM</t>
  </si>
  <si>
    <t>RAHMADIANA</t>
  </si>
  <si>
    <t>rahmadiana0319@gmail.com</t>
  </si>
  <si>
    <t>7778</t>
  </si>
  <si>
    <t>15s6FdZBG119pl0-id-fiblnwkZI7cC4V</t>
  </si>
  <si>
    <t>https://drive.google.com/file/d/15s6FdZBG119pl0-id-fiblnwkZI7cC4V/view?usp=drivesdk</t>
  </si>
  <si>
    <t>DHANNY IRAWAN S.E.</t>
  </si>
  <si>
    <t>dhanny82328@gmail.com</t>
  </si>
  <si>
    <t>7779</t>
  </si>
  <si>
    <t>Starting at Thu Aug 29 2024 22:17:58 GMT-0400 (EDT)</t>
  </si>
  <si>
    <t>1nl1WmS7hhDMRBm8t6DvIuORUuo-XaRfD</t>
  </si>
  <si>
    <t>https://drive.google.com/file/d/1nl1WmS7hhDMRBm8t6DvIuORUuo-XaRfD/view?usp=drivesdk</t>
  </si>
  <si>
    <t>Document successfully created; Document successfully merged; PDF created; !!Error Sending Emails: Service invoked too many times for one day: email.; Manually run by ecertificate75@gmail.com; Timestamp: Sep 10 2024 10:07 AM</t>
  </si>
  <si>
    <t>MULYANINGSIH</t>
  </si>
  <si>
    <t>mulyaningsihsasti@gmail.com</t>
  </si>
  <si>
    <t>7780</t>
  </si>
  <si>
    <t>17Fc7aGqXsWJlzxOToB6ICKNlMXKkMp9d</t>
  </si>
  <si>
    <t>https://drive.google.com/file/d/17Fc7aGqXsWJlzxOToB6ICKNlMXKkMp9d/view?usp=drivesdk</t>
  </si>
  <si>
    <t>EVYMULYAWATI</t>
  </si>
  <si>
    <t>evymulyawati1982@gmail.com</t>
  </si>
  <si>
    <t>7781</t>
  </si>
  <si>
    <t>1KwQTehe6e9kzdw9DJsvLh2QRNhwfUPgl</t>
  </si>
  <si>
    <t>https://drive.google.com/file/d/1KwQTehe6e9kzdw9DJsvLh2QRNhwfUPgl/view?usp=drivesdk</t>
  </si>
  <si>
    <t xml:space="preserve">SUHARNO </t>
  </si>
  <si>
    <t>Suharno565@gmail.com</t>
  </si>
  <si>
    <t>7782</t>
  </si>
  <si>
    <t>Starting at Thu Aug 29 2024 22:18:03 GMT-0400 (EDT)</t>
  </si>
  <si>
    <t>1thMU2yu3m6ycD2ucrEDkP9orlxvT5C6L</t>
  </si>
  <si>
    <t>https://drive.google.com/file/d/1thMU2yu3m6ycD2ucrEDkP9orlxvT5C6L/view?usp=drivesdk</t>
  </si>
  <si>
    <t>INDAH TRIYANI,AMK</t>
  </si>
  <si>
    <t>itriyani77@gmail.com</t>
  </si>
  <si>
    <t>7783</t>
  </si>
  <si>
    <t>1VsCxKeY9lLAoNnO4cqXxs7mFg2pukZyj</t>
  </si>
  <si>
    <t>https://drive.google.com/file/d/1VsCxKeY9lLAoNnO4cqXxs7mFg2pukZyj/view?usp=drivesdk</t>
  </si>
  <si>
    <t>Document successfully created; Document successfully merged; PDF created; !!Error Sending Emails: Service invoked too many times for one day: email.; Manually run by ecertificate75@gmail.com; Timestamp: Sep 10 2024 10:08 AM</t>
  </si>
  <si>
    <t>LUSIANA WIDYASTUTI, S. E</t>
  </si>
  <si>
    <t>lusianawidyastuti74@gmail.com</t>
  </si>
  <si>
    <t>7784</t>
  </si>
  <si>
    <t>Starting at Thu Aug 29 2024 22:18:04 GMT-0400 (EDT)</t>
  </si>
  <si>
    <t>1cYsh7yvNsYJjR7PhUmZWFuUIqaMZODL2</t>
  </si>
  <si>
    <t>https://drive.google.com/file/d/1cYsh7yvNsYJjR7PhUmZWFuUIqaMZODL2/view?usp=drivesdk</t>
  </si>
  <si>
    <t>CYSTINE NOVITA,S.KOM</t>
  </si>
  <si>
    <t>cystinenovita1973@gmail.com</t>
  </si>
  <si>
    <t>7785</t>
  </si>
  <si>
    <t>Starting at Thu Aug 29 2024 22:18:06 GMT-0400 (EDT)</t>
  </si>
  <si>
    <t>15TOMk4E_a6gWKlykaQIUNdMVqUmDGBFL</t>
  </si>
  <si>
    <t>https://drive.google.com/file/d/15TOMk4E_a6gWKlykaQIUNdMVqUmDGBFL/view?usp=drivesdk</t>
  </si>
  <si>
    <t>Document successfully created; Document successfully merged; PDF created; !!Error Sending Emails: Service invoked too many times for one day: email.; Run via form trigger as ecertificate75@gmail.com; Timestamp: Sep 4 2024 10:06 PM</t>
  </si>
  <si>
    <t>SRI SARIPAH NORMAWATI</t>
  </si>
  <si>
    <t>srisaripah1972@gmail.com</t>
  </si>
  <si>
    <t>7786</t>
  </si>
  <si>
    <t>1USGXHWfyUhlfef21axc5shY_jluHElYF</t>
  </si>
  <si>
    <t>https://drive.google.com/file/d/1USGXHWfyUhlfef21axc5shY_jluHElYF/view?usp=drivesdk</t>
  </si>
  <si>
    <t>DANANG ARI SETYAWAN,SKEP.NERS</t>
  </si>
  <si>
    <t>danangdanar234@gmail.com</t>
  </si>
  <si>
    <t>7787</t>
  </si>
  <si>
    <t>1No9NiXmp-crzDZ70X6FqrIRRKh4YKpbH</t>
  </si>
  <si>
    <t>https://drive.google.com/file/d/1No9NiXmp-crzDZ70X6FqrIRRKh4YKpbH/view?usp=drivesdk</t>
  </si>
  <si>
    <t>WARSITO</t>
  </si>
  <si>
    <t>warsitoyanma71@gmail.com</t>
  </si>
  <si>
    <t>7788</t>
  </si>
  <si>
    <t>1va0ymotaAgRww1LO3ulgMGTQVi-uT2tE</t>
  </si>
  <si>
    <t>https://drive.google.com/file/d/1va0ymotaAgRww1LO3ulgMGTQVi-uT2tE/view?usp=drivesdk</t>
  </si>
  <si>
    <t xml:space="preserve">SUBAGIYO </t>
  </si>
  <si>
    <t>anaklanangbumen@gmail.com</t>
  </si>
  <si>
    <t>7789</t>
  </si>
  <si>
    <t>Starting at Thu Aug 29 2024 22:18:15 GMT-0400 (EDT)</t>
  </si>
  <si>
    <t>119RcZySHoQwBGCcn8m0EvUI1P4mGqJO6</t>
  </si>
  <si>
    <t>https://drive.google.com/file/d/119RcZySHoQwBGCcn8m0EvUI1P4mGqJO6/view?usp=drivesdk</t>
  </si>
  <si>
    <t>ASIH SUKARSIH</t>
  </si>
  <si>
    <t>Sukarsih975@gmail.com</t>
  </si>
  <si>
    <t>7790</t>
  </si>
  <si>
    <t>1HwckzMrbaJa89IgR0t9Y4lG18e_x1g1n</t>
  </si>
  <si>
    <t>https://drive.google.com/file/d/1HwckzMrbaJa89IgR0t9Y4lG18e_x1g1n/view?usp=drivesdk</t>
  </si>
  <si>
    <t>SUWANDI</t>
  </si>
  <si>
    <t>suwandicirebon@gmail.com</t>
  </si>
  <si>
    <t>7791</t>
  </si>
  <si>
    <t>1BeurTtJK5fD9Hcdkg1DonauonyzwqJea</t>
  </si>
  <si>
    <t>https://drive.google.com/file/d/1BeurTtJK5fD9Hcdkg1DonauonyzwqJea/view?usp=drivesdk</t>
  </si>
  <si>
    <t>Document successfully created; Document successfully merged; PDF created; !!Error Sending Emails: Service invoked too many times for one day: email.; Run via form trigger as ecertificate75@gmail.com; Timestamp: Sep 4 2024 10:07 PM</t>
  </si>
  <si>
    <t>SINTOKO ADJI</t>
  </si>
  <si>
    <t>sintokoadji@gmail.com</t>
  </si>
  <si>
    <t>7792</t>
  </si>
  <si>
    <t>Starting at Thu Aug 29 2024 22:18:18 GMT-0400 (EDT)</t>
  </si>
  <si>
    <t>1NOzl-LzYAZwuHK7_CPsWrPi6ri1nNtdk</t>
  </si>
  <si>
    <t>https://drive.google.com/file/d/1NOzl-LzYAZwuHK7_CPsWrPi6ri1nNtdk/view?usp=drivesdk</t>
  </si>
  <si>
    <t>satnarkobareshumbahas@gmail.com</t>
  </si>
  <si>
    <t>7793</t>
  </si>
  <si>
    <t>1EqocpN06TCeQFn1LHz5CRVKMsLAwrL5D</t>
  </si>
  <si>
    <t>https://drive.google.com/file/d/1EqocpN06TCeQFn1LHz5CRVKMsLAwrL5D/view?usp=drivesdk</t>
  </si>
  <si>
    <t>RINA YOGI LESTARI, SE</t>
  </si>
  <si>
    <t>642157metrojaktim@gmail.com</t>
  </si>
  <si>
    <t>7794</t>
  </si>
  <si>
    <t>Starting at Thu Aug 29 2024 22:18:19 GMT-0400 (EDT)</t>
  </si>
  <si>
    <t>1pJqWKmG0U5qo9aqvbzlsoKQrXOsHP72v</t>
  </si>
  <si>
    <t>https://drive.google.com/file/d/1pJqWKmG0U5qo9aqvbzlsoKQrXOsHP72v/view?usp=drivesdk</t>
  </si>
  <si>
    <t>SITI NOOR HIDAYATI</t>
  </si>
  <si>
    <t>biro.sdm.polda.kalsel@gmail.com</t>
  </si>
  <si>
    <t>7795</t>
  </si>
  <si>
    <t>1Ql6Dw4V1_EcO9ZbxrX2F34_Ij3hKIZhc</t>
  </si>
  <si>
    <t>https://drive.google.com/file/d/1Ql6Dw4V1_EcO9ZbxrX2F34_Ij3hKIZhc/view?usp=drivesdk</t>
  </si>
  <si>
    <t>HINEKA SUSETYO</t>
  </si>
  <si>
    <t>krimsusjtg@gmail.com</t>
  </si>
  <si>
    <t>7796</t>
  </si>
  <si>
    <t>Starting at Thu Aug 29 2024 22:18:25 GMT-0400 (EDT)</t>
  </si>
  <si>
    <t>1wWUXRagyWt2tPkzbc--1LGFBOej3rXRO</t>
  </si>
  <si>
    <t>https://drive.google.com/file/d/1wWUXRagyWt2tPkzbc--1LGFBOej3rXRO/view?usp=drivesdk</t>
  </si>
  <si>
    <t>Document successfully created; Document successfully merged; PDF created; !!Error Sending Emails: Service invoked too many times for one day: email.; Run via form trigger as ecertificate75@gmail.com; Timestamp: Sep 4 2024 10:08 PM</t>
  </si>
  <si>
    <t>LILISETIYOWATI</t>
  </si>
  <si>
    <t>lilisetiyowati78@gmail.com</t>
  </si>
  <si>
    <t>7797</t>
  </si>
  <si>
    <t>Starting at Thu Aug 29 2024 22:18:29 GMT-0400 (EDT)</t>
  </si>
  <si>
    <t>1qUr9ByOBGJcIe6dzoGLPq_LIsv3jMp0a</t>
  </si>
  <si>
    <t>https://drive.google.com/file/d/1qUr9ByOBGJcIe6dzoGLPq_LIsv3jMp0a/view?usp=drivesdk</t>
  </si>
  <si>
    <t>MAHENDRASSO SUROSO</t>
  </si>
  <si>
    <t>mahendraso1283@gmail.com</t>
  </si>
  <si>
    <t>7798</t>
  </si>
  <si>
    <t>17aYX1804BF9wekNcFt9vF_aS6qKRg90L</t>
  </si>
  <si>
    <t>https://drive.google.com/file/d/17aYX1804BF9wekNcFt9vF_aS6qKRg90L/view?usp=drivesdk</t>
  </si>
  <si>
    <t>dr. AVIRA ADRISMA</t>
  </si>
  <si>
    <t>avira.wa@gmail.com</t>
  </si>
  <si>
    <t>7799</t>
  </si>
  <si>
    <t>Starting at Thu Aug 29 2024 22:18:32 GMT-0400 (EDT)</t>
  </si>
  <si>
    <t>1qjLDp9hSL3wYFqSMzy6AXeisxDq-bsFa</t>
  </si>
  <si>
    <t>https://drive.google.com/file/d/1qjLDp9hSL3wYFqSMzy6AXeisxDq-bsFa/view?usp=drivesdk</t>
  </si>
  <si>
    <t xml:space="preserve">NURUL JINAN </t>
  </si>
  <si>
    <t>jipi140379@gmail.com</t>
  </si>
  <si>
    <t>7800</t>
  </si>
  <si>
    <t>1fOB4nPPxJ3PIRA2dJzSnc4rmdxfjsFde</t>
  </si>
  <si>
    <t>https://drive.google.com/file/d/1fOB4nPPxJ3PIRA2dJzSnc4rmdxfjsFde/view?usp=drivesdk</t>
  </si>
  <si>
    <t>CHOIRUL HUDAYATI</t>
  </si>
  <si>
    <t>farahalif42@gmail.com</t>
  </si>
  <si>
    <t>7801</t>
  </si>
  <si>
    <t>1-PY5epSTMOyOl70ax6NyFHDnhUEaTSuK</t>
  </si>
  <si>
    <t>https://drive.google.com/file/d/1-PY5epSTMOyOl70ax6NyFHDnhUEaTSuK/view?usp=drivesdk</t>
  </si>
  <si>
    <t>Document successfully created; Document successfully merged; PDF created; !!Error Sending Emails: Service invoked too many times for one day: email.; Run via form trigger as ecertificate75@gmail.com; Timestamp: Sep 4 2024 10:09 PM</t>
  </si>
  <si>
    <t>EKO SETYORINI</t>
  </si>
  <si>
    <t>setyorininews@gmail.com</t>
  </si>
  <si>
    <t>7802</t>
  </si>
  <si>
    <t>Starting at Thu Aug 29 2024 22:18:36 GMT-0400 (EDT)</t>
  </si>
  <si>
    <t>1TwzLpfGU5LHIZreluV3f1cUautUHogAC</t>
  </si>
  <si>
    <t>https://drive.google.com/file/d/1TwzLpfGU5LHIZreluV3f1cUautUHogAC/view?usp=drivesdk</t>
  </si>
  <si>
    <t>KHAIRIL ANHAR</t>
  </si>
  <si>
    <t>sahrilanwar121@gmail.com</t>
  </si>
  <si>
    <t>7803</t>
  </si>
  <si>
    <t>1KbTJMhDnstvLx10apQqM1pSUnIVdp9_4</t>
  </si>
  <si>
    <t>https://drive.google.com/file/d/1KbTJMhDnstvLx10apQqM1pSUnIVdp9_4/view?usp=drivesdk</t>
  </si>
  <si>
    <t>VERRY VITARIADY, SE</t>
  </si>
  <si>
    <t>bebeypol11@gmail.com</t>
  </si>
  <si>
    <t>7804</t>
  </si>
  <si>
    <t>Starting at Thu Aug 29 2024 22:18:43 GMT-0400 (EDT)</t>
  </si>
  <si>
    <t>1tSSqzDxj1liw-gXGOBIaeRNcFnauskcE</t>
  </si>
  <si>
    <t>https://drive.google.com/file/d/1tSSqzDxj1liw-gXGOBIaeRNcFnauskcE/view?usp=drivesdk</t>
  </si>
  <si>
    <t xml:space="preserve">RASINNA BR PERANGIN ANGIN </t>
  </si>
  <si>
    <t>rasinnap@gmail.com</t>
  </si>
  <si>
    <t>7805</t>
  </si>
  <si>
    <t>Starting at Thu Aug 29 2024 22:18:47 GMT-0400 (EDT)</t>
  </si>
  <si>
    <t>1j-gPBGLFiDWaC9_JZVxX1C8Ny4ooIHDW</t>
  </si>
  <si>
    <t>https://drive.google.com/file/d/1j-gPBGLFiDWaC9_JZVxX1C8Ny4ooIHDW/view?usp=drivesdk</t>
  </si>
  <si>
    <t>Document successfully created; Document successfully merged; PDF created; !!Error Sending Emails: Service invoked too many times for one day: email.; Run via form trigger as ecertificate75@gmail.com; Timestamp: Sep 4 2024 10:10 PM</t>
  </si>
  <si>
    <t>YUNRITA SANTI</t>
  </si>
  <si>
    <t>yunritasanti3@gmail.com</t>
  </si>
  <si>
    <t>7806</t>
  </si>
  <si>
    <t>13GooB0nxMviOZ3AVbzGEWdTZqTBQIldd</t>
  </si>
  <si>
    <t>https://drive.google.com/file/d/13GooB0nxMviOZ3AVbzGEWdTZqTBQIldd/view?usp=drivesdk</t>
  </si>
  <si>
    <t>SUDJAIDI</t>
  </si>
  <si>
    <t>Sudjaidi2007@gmail.com</t>
  </si>
  <si>
    <t>7807</t>
  </si>
  <si>
    <t>1O8a6o8DJCAR0ocRbaH4k13LP7zU4WOFR</t>
  </si>
  <si>
    <t>https://drive.google.com/file/d/1O8a6o8DJCAR0ocRbaH4k13LP7zU4WOFR/view?usp=drivesdk</t>
  </si>
  <si>
    <t xml:space="preserve">NITA APRIYANTI </t>
  </si>
  <si>
    <t>nitaapriyanti0423@gmail.com</t>
  </si>
  <si>
    <t>7808</t>
  </si>
  <si>
    <t>Starting at Thu Aug 29 2024 22:18:54 GMT-0400 (EDT)</t>
  </si>
  <si>
    <t>1OFW-xy_G512jkPzkGacEkQKznGZVdME-</t>
  </si>
  <si>
    <t>https://drive.google.com/file/d/1OFW-xy_G512jkPzkGacEkQKznGZVdME-/view?usp=drivesdk</t>
  </si>
  <si>
    <t>MOCH SOLEH</t>
  </si>
  <si>
    <t>cak.soleh1968@gmail.com</t>
  </si>
  <si>
    <t>7809</t>
  </si>
  <si>
    <t>1w1Ccbflqw9C8qu-hOhdjeaBtAUsVTEa5</t>
  </si>
  <si>
    <t>https://drive.google.com/file/d/1w1Ccbflqw9C8qu-hOhdjeaBtAUsVTEa5/view?usp=drivesdk</t>
  </si>
  <si>
    <t>Document successfully created; Document successfully merged; PDF created; !!Error Sending Emails: Service invoked too many times for one day: email.; Run via form trigger as ecertificate75@gmail.com; Timestamp: Sep 4 2024 10:34 PM</t>
  </si>
  <si>
    <t>WAYAN SERIAWAN</t>
  </si>
  <si>
    <t>wayanseriawanbiu@gmail.com</t>
  </si>
  <si>
    <t>7810</t>
  </si>
  <si>
    <t>1d7CN-xKeFF5otG6ulvCdIguMQQvWijIk</t>
  </si>
  <si>
    <t>https://drive.google.com/file/d/1d7CN-xKeFF5otG6ulvCdIguMQQvWijIk/view?usp=drivesdk</t>
  </si>
  <si>
    <t xml:space="preserve">DEWI RETNO SUSANTI </t>
  </si>
  <si>
    <t>dewisikeu@gmail.com</t>
  </si>
  <si>
    <t>7811</t>
  </si>
  <si>
    <t>1d8wyu7iPtHAeAtZEueyve7JrZ4lFM_ER</t>
  </si>
  <si>
    <t>https://drive.google.com/file/d/1d8wyu7iPtHAeAtZEueyve7JrZ4lFM_ER/view?usp=drivesdk</t>
  </si>
  <si>
    <t>DEVI ANDRIANI</t>
  </si>
  <si>
    <t>devi.andrani073@gmail.com</t>
  </si>
  <si>
    <t>7812</t>
  </si>
  <si>
    <t>1da406UPcZ-44cGhX7crOt5j4pbyLUnOR</t>
  </si>
  <si>
    <t>https://drive.google.com/file/d/1da406UPcZ-44cGhX7crOt5j4pbyLUnOR/view?usp=drivesdk</t>
  </si>
  <si>
    <t>Document successfully created; Document successfully merged; PDF created; !!Error Sending Emails: Service invoked too many times for one day: email.; Run via form trigger as ecertificate75@gmail.com; Timestamp: Sep 4 2024 10:35 PM</t>
  </si>
  <si>
    <t>ELIDARNIS</t>
  </si>
  <si>
    <t>amielidarnis1975@gmail.com</t>
  </si>
  <si>
    <t>7813</t>
  </si>
  <si>
    <t>Starting at Thu Aug 29 2024 22:18:56 GMT-0400 (EDT)</t>
  </si>
  <si>
    <t>1LoB-0BOWMuGEc3g0swjhB_2S3f0fJcES</t>
  </si>
  <si>
    <t>https://drive.google.com/file/d/1LoB-0BOWMuGEc3g0swjhB_2S3f0fJcES/view?usp=drivesdk</t>
  </si>
  <si>
    <t xml:space="preserve">SRI RAHMAWATI </t>
  </si>
  <si>
    <t>srirahmawati.biddokkes@gmail.com</t>
  </si>
  <si>
    <t>7814</t>
  </si>
  <si>
    <t>1n_eu13j6ccRxt_K6jNziRFeql1J4wU1l</t>
  </si>
  <si>
    <t>https://drive.google.com/file/d/1n_eu13j6ccRxt_K6jNziRFeql1J4wU1l/view?usp=drivesdk</t>
  </si>
  <si>
    <t>PITER AGUNG KURNIAWAN S.KEP.NS</t>
  </si>
  <si>
    <t>piterpns1978@gmail.com</t>
  </si>
  <si>
    <t>7815</t>
  </si>
  <si>
    <t>Starting at Thu Aug 29 2024 22:19:06 GMT-0400 (EDT)</t>
  </si>
  <si>
    <t>1PhvwAbBup-R2EuihKPpR2JiLnxHIUU8R</t>
  </si>
  <si>
    <t>https://drive.google.com/file/d/1PhvwAbBup-R2EuihKPpR2JiLnxHIUU8R/view?usp=drivesdk</t>
  </si>
  <si>
    <t>SRI RAMADIAN MAHAYANTI DOTULONG</t>
  </si>
  <si>
    <t>sriramadiandotulong@gmail.com</t>
  </si>
  <si>
    <t>7816</t>
  </si>
  <si>
    <t>10uGUdvL0DaBOpXM1OWlYc8rhvfxEaogX</t>
  </si>
  <si>
    <t>https://drive.google.com/file/d/10uGUdvL0DaBOpXM1OWlYc8rhvfxEaogX/view?usp=drivesdk</t>
  </si>
  <si>
    <t>Document successfully created; Document successfully merged; PDF created; !!Error Sending Emails: Service invoked too many times for one day: email.; Run via form trigger as ecertificate75@gmail.com; Timestamp: Sep 4 2024 10:36 PM</t>
  </si>
  <si>
    <t>TRI PRASETYOWATI</t>
  </si>
  <si>
    <t>triprasetyowati90@gmail.com</t>
  </si>
  <si>
    <t>7817</t>
  </si>
  <si>
    <t>1eTPi5y0VRqwkH6vAg8Hz6U4C4BRXkI9b</t>
  </si>
  <si>
    <t>https://drive.google.com/file/d/1eTPi5y0VRqwkH6vAg8Hz6U4C4BRXkI9b/view?usp=drivesdk</t>
  </si>
  <si>
    <t>BASYARI</t>
  </si>
  <si>
    <t>basyari.68dal@gmail.com</t>
  </si>
  <si>
    <t>7818</t>
  </si>
  <si>
    <t>Starting at Thu Aug 29 2024 22:19:07 GMT-0400 (EDT)</t>
  </si>
  <si>
    <t>15I2V7ndhVazDjfbeZpFocTCJB68o1dh8</t>
  </si>
  <si>
    <t>https://drive.google.com/file/d/15I2V7ndhVazDjfbeZpFocTCJB68o1dh8/view?usp=drivesdk</t>
  </si>
  <si>
    <t>Document successfully created; Document successfully merged; PDF created; !!Error Sending Emails: Service invoked too many times for one day: email.; Run via form trigger as ecertificate75@gmail.com; Timestamp: Sep 4 2024 10:37 PM</t>
  </si>
  <si>
    <t>DWI RATNA WIDIYANTI, S.KM</t>
  </si>
  <si>
    <t>dwi06817@gmail.com</t>
  </si>
  <si>
    <t>7819</t>
  </si>
  <si>
    <t>1CVkB5MhYPBfCPXAedWb_ZBc1iaqsvDmM</t>
  </si>
  <si>
    <t>https://drive.google.com/file/d/1CVkB5MhYPBfCPXAedWb_ZBc1iaqsvDmM/view?usp=drivesdk</t>
  </si>
  <si>
    <t>DEASY EMILIYA</t>
  </si>
  <si>
    <t>deasyfatiin@gmail.com</t>
  </si>
  <si>
    <t>7820</t>
  </si>
  <si>
    <t>1WdhPVo3iAEOwoOhq9-GzAjc83QOnAsz3</t>
  </si>
  <si>
    <t>https://drive.google.com/file/d/1WdhPVo3iAEOwoOhq9-GzAjc83QOnAsz3/view?usp=drivesdk</t>
  </si>
  <si>
    <t>Document successfully created; Document successfully merged; PDF created; !!Error Sending Emails: Service invoked too many times for one day: email.; Run via form trigger as ecertificate75@gmail.com; Timestamp: Sep 4 2024 10:38 PM</t>
  </si>
  <si>
    <t>SUNARTY KONIYO</t>
  </si>
  <si>
    <t>sunartykoniyo1975@gmail.com</t>
  </si>
  <si>
    <t>7821</t>
  </si>
  <si>
    <t>Starting at Thu Aug 29 2024 22:19:10 GMT-0400 (EDT)</t>
  </si>
  <si>
    <t>1lPokY4zzSdWe9CZ7rS5nyLWx9-wuZCVI</t>
  </si>
  <si>
    <t>https://drive.google.com/file/d/1lPokY4zzSdWe9CZ7rS5nyLWx9-wuZCVI/view?usp=drivesdk</t>
  </si>
  <si>
    <t>NUNUNG WIDIAWATI</t>
  </si>
  <si>
    <t>nunungwidiawati71@gmail.com</t>
  </si>
  <si>
    <t>7822</t>
  </si>
  <si>
    <t>Starting at Thu Aug 29 2024 22:19:15 GMT-0400 (EDT)</t>
  </si>
  <si>
    <t>1Ob2dF4apjF5DPArQlKMaegRFVxVxPO5y</t>
  </si>
  <si>
    <t>https://drive.google.com/file/d/1Ob2dF4apjF5DPArQlKMaegRFVxVxPO5y/view?usp=drivesdk</t>
  </si>
  <si>
    <t>HASNAWATI Y., S.E., M.M.</t>
  </si>
  <si>
    <t>hasnawati280872@gmail.com</t>
  </si>
  <si>
    <t>7823</t>
  </si>
  <si>
    <t>Starting at Thu Aug 29 2024 22:19:21 GMT-0400 (EDT)</t>
  </si>
  <si>
    <t>1PT_GFolrDLSssJyhREC7hpvFxhl4wG5s</t>
  </si>
  <si>
    <t>https://drive.google.com/file/d/1PT_GFolrDLSssJyhREC7hpvFxhl4wG5s/view?usp=drivesdk</t>
  </si>
  <si>
    <t>Document successfully created; Document successfully merged; PDF created; !!Error Sending Emails: Service invoked too many times for one day: email.; Run via form trigger as ecertificate75@gmail.com; Timestamp: Sep 4 2024 11:31 PM</t>
  </si>
  <si>
    <t>RISTA ERVINA, A.M.G</t>
  </si>
  <si>
    <t>ristaervina@gmail.com</t>
  </si>
  <si>
    <t>7824</t>
  </si>
  <si>
    <t>1PoOhdpRnseKWkEUr3gzPGIiSwRtbTCAA</t>
  </si>
  <si>
    <t>https://drive.google.com/file/d/1PoOhdpRnseKWkEUr3gzPGIiSwRtbTCAA/view?usp=drivesdk</t>
  </si>
  <si>
    <t>I GUSTI AYU MADE SAWITRI</t>
  </si>
  <si>
    <t>madesawitri10@gmail.com</t>
  </si>
  <si>
    <t>7825</t>
  </si>
  <si>
    <t>1ixSKuRYyGNvGw8xiSD7dPCCHZO1E0ew_</t>
  </si>
  <si>
    <t>https://drive.google.com/file/d/1ixSKuRYyGNvGw8xiSD7dPCCHZO1E0ew_/view?usp=drivesdk</t>
  </si>
  <si>
    <t>SRI WIDIASTUTI SUSILOWATI</t>
  </si>
  <si>
    <t>sriwidiastuti076@gmail.com</t>
  </si>
  <si>
    <t>7826</t>
  </si>
  <si>
    <t>1KbQP9IceRHxa18qwoqrPAtNUa3hKixly</t>
  </si>
  <si>
    <t>https://drive.google.com/file/d/1KbQP9IceRHxa18qwoqrPAtNUa3hKixly/view?usp=drivesdk</t>
  </si>
  <si>
    <t>Document successfully created; Document successfully merged; PDF created; !!Error Sending Emails: Service invoked too many times for one day: email.; Run via form trigger as ecertificate75@gmail.com; Timestamp: Sep 4 2024 11:32 PM</t>
  </si>
  <si>
    <t>MARFIAN</t>
  </si>
  <si>
    <t>ondhemarfian@gmail.com</t>
  </si>
  <si>
    <t>7827</t>
  </si>
  <si>
    <t>Starting at Thu Aug 29 2024 22:19:25 GMT-0400 (EDT)</t>
  </si>
  <si>
    <t>1tp9Si-1rBJkrTotiHu8QP2uD5LjzT63X</t>
  </si>
  <si>
    <t>https://drive.google.com/file/d/1tp9Si-1rBJkrTotiHu8QP2uD5LjzT63X/view?usp=drivesdk</t>
  </si>
  <si>
    <t>SRI LESTARI, S. Kep.,Ns</t>
  </si>
  <si>
    <t>srilestari368395@gmail.com</t>
  </si>
  <si>
    <t>7828</t>
  </si>
  <si>
    <t>1lYtzbrNx2ELiD1fo6qFGkFJ13QIjV23Y</t>
  </si>
  <si>
    <t>https://drive.google.com/file/d/1lYtzbrNx2ELiD1fo6qFGkFJ13QIjV23Y/view?usp=drivesdk</t>
  </si>
  <si>
    <t>LELI HASTUTU</t>
  </si>
  <si>
    <t>lelihasti@gmai.com</t>
  </si>
  <si>
    <t>7829</t>
  </si>
  <si>
    <t>1l37PMfxa3q0WlneewB_QRNRUByA_NXr9</t>
  </si>
  <si>
    <t>https://drive.google.com/file/d/1l37PMfxa3q0WlneewB_QRNRUByA_NXr9/view?usp=drivesdk</t>
  </si>
  <si>
    <t>AIRLANGGA APRILIANTO TIMOR, S.ST</t>
  </si>
  <si>
    <t>anggap412ma@gmail.com</t>
  </si>
  <si>
    <t>7830</t>
  </si>
  <si>
    <t>1e68LQosKMbgfmZyHI4hMKfHLMOGU8DIa</t>
  </si>
  <si>
    <t>https://drive.google.com/file/d/1e68LQosKMbgfmZyHI4hMKfHLMOGU8DIa/view?usp=drivesdk</t>
  </si>
  <si>
    <t>SUNTIAR MAHOMBAR</t>
  </si>
  <si>
    <t>mahombar01@gmail.com</t>
  </si>
  <si>
    <t>7831</t>
  </si>
  <si>
    <t>Starting at Thu Aug 29 2024 22:19:33 GMT-0400 (EDT)</t>
  </si>
  <si>
    <t>1xtAcJYJTbtNXP4LKl9iN5CjreH0cOfsE</t>
  </si>
  <si>
    <t>https://drive.google.com/file/d/1xtAcJYJTbtNXP4LKl9iN5CjreH0cOfsE/view?usp=drivesdk</t>
  </si>
  <si>
    <t>Document successfully created; Document successfully merged; PDF created; !!Error Sending Emails: Service invoked too many times for one day: email.; Run via form trigger as ecertificate75@gmail.com; Timestamp: Sep 4 2024 11:33 PM</t>
  </si>
  <si>
    <t>IKA KURNIATI</t>
  </si>
  <si>
    <t>ikakurniati.ik@gmail.com</t>
  </si>
  <si>
    <t>7832</t>
  </si>
  <si>
    <t>1lT9OFHnnVhw_EFLoU2t5DaEDCdtr6eHn</t>
  </si>
  <si>
    <t>https://drive.google.com/file/d/1lT9OFHnnVhw_EFLoU2t5DaEDCdtr6eHn/view?usp=drivesdk</t>
  </si>
  <si>
    <t xml:space="preserve">LILI MARLINI </t>
  </si>
  <si>
    <t>lilimarlini0317@gmail.com</t>
  </si>
  <si>
    <t>7833</t>
  </si>
  <si>
    <t>19fyaVmuM1psxyXemue1CVOvveUKkCb9T</t>
  </si>
  <si>
    <t>https://drive.google.com/file/d/19fyaVmuM1psxyXemue1CVOvveUKkCb9T/view?usp=drivesdk</t>
  </si>
  <si>
    <t>ACHMAD SUFERIK</t>
  </si>
  <si>
    <t>achmadsuferik@gmail.com</t>
  </si>
  <si>
    <t>7834</t>
  </si>
  <si>
    <t>1gtT6L1RSqGP7eBzTjNA3N-to2poD_uTI</t>
  </si>
  <si>
    <t>https://drive.google.com/file/d/1gtT6L1RSqGP7eBzTjNA3N-to2poD_uTI/view?usp=drivesdk</t>
  </si>
  <si>
    <t>Document successfully created; Document successfully merged; PDF created; !!Error Sending Emails: Service invoked too many times for one day: email.; Run via form trigger as ecertificate75@gmail.com; Timestamp: Sep 4 2024 11:34 PM</t>
  </si>
  <si>
    <t>DINA YUNIATI P. A.Md</t>
  </si>
  <si>
    <t>dinayuniati05@gmail.com</t>
  </si>
  <si>
    <t>7835</t>
  </si>
  <si>
    <t>Starting at Thu Aug 29 2024 22:19:36 GMT-0400 (EDT)</t>
  </si>
  <si>
    <t>1U6ouyUBZ9KeU7wIaK-2Q_uHEfnI6pM8M</t>
  </si>
  <si>
    <t>https://drive.google.com/file/d/1U6ouyUBZ9KeU7wIaK-2Q_uHEfnI6pM8M/view?usp=drivesdk</t>
  </si>
  <si>
    <t>YULIANTI.A.Md</t>
  </si>
  <si>
    <t>mandaaja2233@gmail.com</t>
  </si>
  <si>
    <t>7836</t>
  </si>
  <si>
    <t>Starting at Thu Aug 29 2024 22:19:42 GMT-0400 (EDT)</t>
  </si>
  <si>
    <t>1n5PUBpsEZx5zbRLRaDMqt3LyMlXj69_g</t>
  </si>
  <si>
    <t>https://drive.google.com/file/d/1n5PUBpsEZx5zbRLRaDMqt3LyMlXj69_g/view?usp=drivesdk</t>
  </si>
  <si>
    <t>SUTRISNO WIDODO. S.E.</t>
  </si>
  <si>
    <t>kes.polreswonogiri@gmail.com</t>
  </si>
  <si>
    <t>7837</t>
  </si>
  <si>
    <t>1d7WI2NC0V2fn16DJsp6rr3hosMI7cf_0</t>
  </si>
  <si>
    <t>https://drive.google.com/file/d/1d7WI2NC0V2fn16DJsp6rr3hosMI7cf_0/view?usp=drivesdk</t>
  </si>
  <si>
    <t>CUT ISNAWATI</t>
  </si>
  <si>
    <t>cutisnawati.respidie@gmail.com</t>
  </si>
  <si>
    <t>7838</t>
  </si>
  <si>
    <t>13XXXu1sK6vjjXJmrGGPshcrW9SW_ekKn</t>
  </si>
  <si>
    <t>https://drive.google.com/file/d/13XXXu1sK6vjjXJmrGGPshcrW9SW_ekKn/view?usp=drivesdk</t>
  </si>
  <si>
    <t>Document successfully created; Document successfully merged; PDF created; !!Error Sending Emails: Service invoked too many times for one day: email.; Run via form trigger as ecertificate75@gmail.com; Timestamp: Sep 4 2024 11:35 PM</t>
  </si>
  <si>
    <t>DADANG SOEHARTO</t>
  </si>
  <si>
    <t>deriandriansyah75072@gmail.com</t>
  </si>
  <si>
    <t>7839</t>
  </si>
  <si>
    <t>Starting at Thu Aug 29 2024 22:19:48 GMT-0400 (EDT)</t>
  </si>
  <si>
    <t>1qpEDCY9Wmj2gauQzpUgyLHkzEeJp_wTv</t>
  </si>
  <si>
    <t>https://drive.google.com/file/d/1qpEDCY9Wmj2gauQzpUgyLHkzEeJp_wTv/view?usp=drivesdk</t>
  </si>
  <si>
    <t>Document successfully created; Document successfully merged; PDF created; !!Error Sending Emails: Service invoked too many times for one day: email.; Run via form trigger as ecertificate75@gmail.com; Timestamp: Sep 4 2024 11:37 PM</t>
  </si>
  <si>
    <t xml:space="preserve">VERAWATY, S.E. </t>
  </si>
  <si>
    <t>verawaty01121973@gmail.com</t>
  </si>
  <si>
    <t>7840</t>
  </si>
  <si>
    <t>1zhJx7i9mw4X3KZCIguPgJuII63JGdLBm</t>
  </si>
  <si>
    <t>https://drive.google.com/file/d/1zhJx7i9mw4X3KZCIguPgJuII63JGdLBm/view?usp=drivesdk</t>
  </si>
  <si>
    <t>SUMINO SETUM POLRI</t>
  </si>
  <si>
    <t>sumino1977@gmail.com</t>
  </si>
  <si>
    <t>7841</t>
  </si>
  <si>
    <t>1COZNp33s-o-UGxahiPvyMGMq-q6CYMKe</t>
  </si>
  <si>
    <t>https://drive.google.com/file/d/1COZNp33s-o-UGxahiPvyMGMq-q6CYMKe/view?usp=drivesdk</t>
  </si>
  <si>
    <t>Document successfully created; Document successfully merged; PDF created; !!Error Sending Emails: Service invoked too many times for one day: email.; Run via form trigger as ecertificate75@gmail.com; Timestamp: Sep 4 2024 11:38 PM</t>
  </si>
  <si>
    <t xml:space="preserve">MUSLIMIN </t>
  </si>
  <si>
    <t>musliminrspolda@gmail.com</t>
  </si>
  <si>
    <t>7842</t>
  </si>
  <si>
    <t>182KqOKp4n-UqaEzPqSAZfvANzDzfzBSB</t>
  </si>
  <si>
    <t>https://drive.google.com/file/d/182KqOKp4n-UqaEzPqSAZfvANzDzfzBSB/view?usp=drivesdk</t>
  </si>
  <si>
    <t xml:space="preserve">NORA NUSPITA </t>
  </si>
  <si>
    <t>noranuspita03@gmail.com</t>
  </si>
  <si>
    <t>7843</t>
  </si>
  <si>
    <t>Starting at Thu Aug 29 2024 22:19:52 GMT-0400 (EDT)</t>
  </si>
  <si>
    <t>1AYGOEF39pxGOfc3TeXMqLrWZtW0tfh7-</t>
  </si>
  <si>
    <t>https://drive.google.com/file/d/1AYGOEF39pxGOfc3TeXMqLrWZtW0tfh7-/view?usp=drivesdk</t>
  </si>
  <si>
    <t xml:space="preserve">FITRI LINA, AMK </t>
  </si>
  <si>
    <t>7844</t>
  </si>
  <si>
    <t>1BXJJJoXKCDswajq21pLqLjkxE_XNJJSU</t>
  </si>
  <si>
    <t>https://drive.google.com/file/d/1BXJJJoXKCDswajq21pLqLjkxE_XNJJSU/view?usp=drivesdk</t>
  </si>
  <si>
    <t>Document successfully created; Document successfully merged; PDF created; !!Error Sending Emails: Service invoked too many times for one day: email.; Run via form trigger as ecertificate75@gmail.com; Timestamp: Sep 4 2024 11:39 PM</t>
  </si>
  <si>
    <t>INDAH SAFITRI</t>
  </si>
  <si>
    <t>yndahsyafitri@gmail.com</t>
  </si>
  <si>
    <t>7845</t>
  </si>
  <si>
    <t>1mMej4aksjeah0IXojBGDEkJDs6D6ysvN</t>
  </si>
  <si>
    <t>https://drive.google.com/file/d/1mMej4aksjeah0IXojBGDEkJDs6D6ysvN/view?usp=drivesdk</t>
  </si>
  <si>
    <t>DESSI NATALIA, S.A.P.</t>
  </si>
  <si>
    <t>dessinatalia460@gmail.com</t>
  </si>
  <si>
    <t>7846</t>
  </si>
  <si>
    <t>1YCTUVS6xrQsd6ZQ5OTN6pqPTgcxE0Y9b</t>
  </si>
  <si>
    <t>https://drive.google.com/file/d/1YCTUVS6xrQsd6ZQ5OTN6pqPTgcxE0Y9b/view?usp=drivesdk</t>
  </si>
  <si>
    <t>nanodepsan864@gmail.com</t>
  </si>
  <si>
    <t>7847</t>
  </si>
  <si>
    <t>Starting at Thu Aug 29 2024 22:19:55 GMT-0400 (EDT)</t>
  </si>
  <si>
    <t>1JlTgsCKS5X3Vo7pY3UKmQX9Et027SKUi</t>
  </si>
  <si>
    <t>https://drive.google.com/file/d/1JlTgsCKS5X3Vo7pY3UKmQX9Et027SKUi/view?usp=drivesdk</t>
  </si>
  <si>
    <t>apt. INAYATI, S. Farm</t>
  </si>
  <si>
    <t>naeaatye24@gmail.com</t>
  </si>
  <si>
    <t>7848</t>
  </si>
  <si>
    <t>Starting at Thu Aug 29 2024 22:19:59 GMT-0400 (EDT)</t>
  </si>
  <si>
    <t>1BZJfZCpIX2fBeXWKu73e-TRAZKMixLaN</t>
  </si>
  <si>
    <t>https://drive.google.com/file/d/1BZJfZCpIX2fBeXWKu73e-TRAZKMixLaN/view?usp=drivesdk</t>
  </si>
  <si>
    <t>ALENG ADI CHANDRA,SKEP</t>
  </si>
  <si>
    <t>alengadichandra12@gmail.com</t>
  </si>
  <si>
    <t>7849</t>
  </si>
  <si>
    <t>Starting at Thu Aug 29 2024 22:20:03 GMT-0400 (EDT)</t>
  </si>
  <si>
    <t>1ypBZL1Qij1dLjZluVcMSiOvTXlOeq6qf</t>
  </si>
  <si>
    <t>https://drive.google.com/file/d/1ypBZL1Qij1dLjZluVcMSiOvTXlOeq6qf/view?usp=drivesdk</t>
  </si>
  <si>
    <t>Document successfully created; Document successfully merged; PDF created; !!Error Sending Emails: Service invoked too many times for one day: email.; Run via form trigger as ecertificate75@gmail.com; Timestamp: Sep 4 2024 11:40 PM</t>
  </si>
  <si>
    <t>AMBARWATI</t>
  </si>
  <si>
    <t>ambarwati68@gmail.com</t>
  </si>
  <si>
    <t>7850</t>
  </si>
  <si>
    <t>Starting at Thu Aug 29 2024 22:20:08 GMT-0400 (EDT)</t>
  </si>
  <si>
    <t>1qb6zhvKtSXq514LO02Ra4W5hpQz8TrGN</t>
  </si>
  <si>
    <t>https://drive.google.com/file/d/1qb6zhvKtSXq514LO02Ra4W5hpQz8TrGN/view?usp=drivesdk</t>
  </si>
  <si>
    <t xml:space="preserve">SRI PURWANTI </t>
  </si>
  <si>
    <t>sripurwanti0380@gmail.com</t>
  </si>
  <si>
    <t>7851</t>
  </si>
  <si>
    <t>1EEODjlaAlEB5HQu3Vtjixmv6cMdC3JJ8</t>
  </si>
  <si>
    <t>https://drive.google.com/file/d/1EEODjlaAlEB5HQu3Vtjixmv6cMdC3JJ8/view?usp=drivesdk</t>
  </si>
  <si>
    <t xml:space="preserve">SUDARMAJI </t>
  </si>
  <si>
    <t>hosnanbetul@gmail.com</t>
  </si>
  <si>
    <t>7852</t>
  </si>
  <si>
    <t>1k6TLexnGXZvrtiPvbdvLokYbUAmQ4Nn5</t>
  </si>
  <si>
    <t>https://drive.google.com/file/d/1k6TLexnGXZvrtiPvbdvLokYbUAmQ4Nn5/view?usp=drivesdk</t>
  </si>
  <si>
    <t>Document successfully created; Document successfully merged; PDF created; !!Error Sending Emails: Service invoked too many times for one day: email.; Run via form trigger as ecertificate75@gmail.com; Timestamp: Sep 4 2024 11:41 PM</t>
  </si>
  <si>
    <t>MOHAMAD MALIK</t>
  </si>
  <si>
    <t>pradhtyofatta@gmail.com</t>
  </si>
  <si>
    <t>7853</t>
  </si>
  <si>
    <t>Starting at Thu Aug 29 2024 22:20:12 GMT-0400 (EDT)</t>
  </si>
  <si>
    <t>1ix-KyQt640u8t55RsfqMxDPSUBOB21fv</t>
  </si>
  <si>
    <t>https://drive.google.com/file/d/1ix-KyQt640u8t55RsfqMxDPSUBOB21fv/view?usp=drivesdk</t>
  </si>
  <si>
    <t>Eko Adi Sampurno S.sos</t>
  </si>
  <si>
    <t>ekoadi2367@gmail.com</t>
  </si>
  <si>
    <t>7854</t>
  </si>
  <si>
    <t>Starting at Thu Aug 29 2024 22:20:15 GMT-0400 (EDT)</t>
  </si>
  <si>
    <t>1T--gfA1rhC9zt39TyntyHC6kNd7qkXBJ</t>
  </si>
  <si>
    <t>https://drive.google.com/file/d/1T--gfA1rhC9zt39TyntyHC6kNd7qkXBJ/view?usp=drivesdk</t>
  </si>
  <si>
    <t>Document successfully created; Document successfully merged; PDF created; !!Error Sending Emails: Service invoked too many times for one day: email.; Run via form trigger as ecertificate75@gmail.com; Timestamp: Sep 4 2024 11:42 PM</t>
  </si>
  <si>
    <t>AGUSTINI EKAWATI, S.E</t>
  </si>
  <si>
    <t>bundaekhaprasetyo@gmail.com</t>
  </si>
  <si>
    <t>7855</t>
  </si>
  <si>
    <t>17YEexEuJefjTFYDbPMNbl6J3XciRdyxl</t>
  </si>
  <si>
    <t>https://drive.google.com/file/d/17YEexEuJefjTFYDbPMNbl6J3XciRdyxl/view?usp=drivesdk</t>
  </si>
  <si>
    <t>ANAK AGUNG EPA DEWI</t>
  </si>
  <si>
    <t>a.a.epadewi@gmail.com</t>
  </si>
  <si>
    <t>7856</t>
  </si>
  <si>
    <t>Starting at Thu Aug 29 2024 22:20:19 GMT-0400 (EDT)</t>
  </si>
  <si>
    <t>1YtDTX2xfyPPE2rhuTT3fVnzmw7txwiLZ</t>
  </si>
  <si>
    <t>https://drive.google.com/file/d/1YtDTX2xfyPPE2rhuTT3fVnzmw7txwiLZ/view?usp=drivesdk</t>
  </si>
  <si>
    <t>yulianto81245@gmail.com</t>
  </si>
  <si>
    <t>7857</t>
  </si>
  <si>
    <t>1_hUWH-bU9azrQW2alz0nr3mcA4uYy0Ln</t>
  </si>
  <si>
    <t>https://drive.google.com/file/d/1_hUWH-bU9azrQW2alz0nr3mcA4uYy0Ln/view?usp=drivesdk</t>
  </si>
  <si>
    <t>MULYA ASTUTI, S. Keb</t>
  </si>
  <si>
    <t>mulyasweet17@gmail.com</t>
  </si>
  <si>
    <t>7858</t>
  </si>
  <si>
    <t>Starting at Thu Aug 29 2024 22:20:31 GMT-0400 (EDT)</t>
  </si>
  <si>
    <t>1oh3qQvnQm32v_p7Vh7LXQVIViUZy4eEx</t>
  </si>
  <si>
    <t>https://drive.google.com/file/d/1oh3qQvnQm32v_p7Vh7LXQVIViUZy4eEx/view?usp=drivesdk</t>
  </si>
  <si>
    <t>Document successfully created; Document successfully merged; PDF created; !!Error Sending Emails: Service invoked too many times for one day: email.; Run via form trigger as ecertificate75@gmail.com; Timestamp: Sep 4 2024 11:43 PM</t>
  </si>
  <si>
    <t>FEBRI HARI WAHYUDI,SKM.,SKEP</t>
  </si>
  <si>
    <t>haidarfadlan@gmail.com</t>
  </si>
  <si>
    <t>7859</t>
  </si>
  <si>
    <t>1ufXFXX60Jp7y00PwEalvQs43u1KQaGgq</t>
  </si>
  <si>
    <t>https://drive.google.com/file/d/1ufXFXX60Jp7y00PwEalvQs43u1KQaGgq/view?usp=drivesdk</t>
  </si>
  <si>
    <t>ANDRI LUKMAN MARA</t>
  </si>
  <si>
    <t>andrilukmanm@gmail.com</t>
  </si>
  <si>
    <t>7860</t>
  </si>
  <si>
    <t>1I4vbY_vWEKf5e8fs6Ju2QcYMyVuhTLFE</t>
  </si>
  <si>
    <t>https://drive.google.com/file/d/1I4vbY_vWEKf5e8fs6Ju2QcYMyVuhTLFE/view?usp=drivesdk</t>
  </si>
  <si>
    <t xml:space="preserve">SUHAILI </t>
  </si>
  <si>
    <t>elysuhaili935@gmail.com</t>
  </si>
  <si>
    <t>7861</t>
  </si>
  <si>
    <t>14T_nMC_k4S_0pwMAojRJH8ISpo0u3qoj</t>
  </si>
  <si>
    <t>https://drive.google.com/file/d/14T_nMC_k4S_0pwMAojRJH8ISpo0u3qoj/view?usp=drivesdk</t>
  </si>
  <si>
    <t>KHOLID NAWAWI</t>
  </si>
  <si>
    <t>kholid.nawawi15@gmail.com</t>
  </si>
  <si>
    <t>7862</t>
  </si>
  <si>
    <t>1v3jkSqjZjNHtKydocrAx0Tm41neqt4XY</t>
  </si>
  <si>
    <t>https://drive.google.com/file/d/1v3jkSqjZjNHtKydocrAx0Tm41neqt4XY/view?usp=drivesdk</t>
  </si>
  <si>
    <t>DIANA INDAH SARI</t>
  </si>
  <si>
    <t>indahdiana088@gmail.com</t>
  </si>
  <si>
    <t>7863</t>
  </si>
  <si>
    <t>1f3WK9dL_j_7HTzCZNuvjcgBPW1lE1_qq</t>
  </si>
  <si>
    <t>https://drive.google.com/file/d/1f3WK9dL_j_7HTzCZNuvjcgBPW1lE1_qq/view?usp=drivesdk</t>
  </si>
  <si>
    <t>Document successfully created; Document successfully merged; PDF created; !!Error Sending Emails: Service invoked too many times for one day: email.; Run via form trigger as ecertificate75@gmail.com; Timestamp: Sep 4 2024 11:44 PM</t>
  </si>
  <si>
    <t>HENY KUSMAYAWATI, S.H.</t>
  </si>
  <si>
    <t>henykusmaya116@gmail.com</t>
  </si>
  <si>
    <t>7864</t>
  </si>
  <si>
    <t>11jcX_mAA8aneiziUYvpgXlgrD11qwNcx</t>
  </si>
  <si>
    <t>https://drive.google.com/file/d/11jcX_mAA8aneiziUYvpgXlgrD11qwNcx/view?usp=drivesdk</t>
  </si>
  <si>
    <t>ROSTINA RITONGA</t>
  </si>
  <si>
    <t>rostina708@gimail.com</t>
  </si>
  <si>
    <t>7865</t>
  </si>
  <si>
    <t>1dvBRbWPjgLtAtLFz6U-wuSV5bg3gV_4d</t>
  </si>
  <si>
    <t>https://drive.google.com/file/d/1dvBRbWPjgLtAtLFz6U-wuSV5bg3gV_4d/view?usp=drivesdk</t>
  </si>
  <si>
    <t>ANITA SRI WAHYUNI DAULAY, S.E</t>
  </si>
  <si>
    <t>anita.tapsel@gmail.com</t>
  </si>
  <si>
    <t>7866</t>
  </si>
  <si>
    <t>Starting at Thu Aug 29 2024 22:20:33 GMT-0400 (EDT)</t>
  </si>
  <si>
    <t>1DS6Tjxoc2d0QObYoFONwVVHhTuDEMG0b</t>
  </si>
  <si>
    <t>https://drive.google.com/file/d/1DS6Tjxoc2d0QObYoFONwVVHhTuDEMG0b/view?usp=drivesdk</t>
  </si>
  <si>
    <t>sriastuti14jn@gmail.com</t>
  </si>
  <si>
    <t>7867</t>
  </si>
  <si>
    <t>Starting at Thu Aug 29 2024 22:20:34 GMT-0400 (EDT)</t>
  </si>
  <si>
    <t>1mYC-CIYey19s7LtHQ8o70h8G0rqTeoRd</t>
  </si>
  <si>
    <t>https://drive.google.com/file/d/1mYC-CIYey19s7LtHQ8o70h8G0rqTeoRd/view?usp=drivesdk</t>
  </si>
  <si>
    <t>Document successfully created; Document successfully merged; PDF created; !!Error Sending Emails: Service invoked too many times for one day: email.; Run via form trigger as ecertificate75@gmail.com; Timestamp: Sep 4 2024 11:45 PM</t>
  </si>
  <si>
    <t xml:space="preserve">HENI MAILASARI, A. Md. </t>
  </si>
  <si>
    <t>diarjasari2017@gmail.com</t>
  </si>
  <si>
    <t>7868</t>
  </si>
  <si>
    <t>1ouzshUZtUoBug_P9B--HmNYEmshPSu_T</t>
  </si>
  <si>
    <t>https://drive.google.com/file/d/1ouzshUZtUoBug_P9B--HmNYEmshPSu_T/view?usp=drivesdk</t>
  </si>
  <si>
    <t>SAFWAN ROZAN, S. H</t>
  </si>
  <si>
    <t>safwanrozan79@gmail.com</t>
  </si>
  <si>
    <t>7869</t>
  </si>
  <si>
    <t>1wwhVIFw8XITpdeFUMILidA2jk5VCvugu</t>
  </si>
  <si>
    <t>https://drive.google.com/file/d/1wwhVIFw8XITpdeFUMILidA2jk5VCvugu/view?usp=drivesdk</t>
  </si>
  <si>
    <t>MORINA LADJINTA</t>
  </si>
  <si>
    <t>inaiskharie@gmail.com</t>
  </si>
  <si>
    <t>7870</t>
  </si>
  <si>
    <t>18YL6JDNDoeFdpu7GdFBStoR7HHFU8smw</t>
  </si>
  <si>
    <t>https://drive.google.com/file/d/18YL6JDNDoeFdpu7GdFBStoR7HHFU8smw/view?usp=drivesdk</t>
  </si>
  <si>
    <t>ELFIAS LINDA</t>
  </si>
  <si>
    <t>elfiaslinda1527@gmail.com</t>
  </si>
  <si>
    <t>7871</t>
  </si>
  <si>
    <t>196tWRq0uCHUKGqbo_FwaYQAidAIL_yhr</t>
  </si>
  <si>
    <t>https://drive.google.com/file/d/196tWRq0uCHUKGqbo_FwaYQAidAIL_yhr/view?usp=drivesdk</t>
  </si>
  <si>
    <t>MASDALENA</t>
  </si>
  <si>
    <t>masdalenalen.@gail.co</t>
  </si>
  <si>
    <t>7872</t>
  </si>
  <si>
    <t>1d9vaSqTw0PccIqnGa-ZyIMhCUFcbBXyF</t>
  </si>
  <si>
    <t>https://drive.google.com/file/d/1d9vaSqTw0PccIqnGa-ZyIMhCUFcbBXyF/view?usp=drivesdk</t>
  </si>
  <si>
    <t>Document successfully created; Document successfully merged; PDF created; !!Error Sending Emails: Invalid email: masdalenalen.@gail.co; Run via form trigger as ecertificate75@gmail.com; Timestamp: Sep 4 2024 11:46 PM</t>
  </si>
  <si>
    <t>MAZMUR NOVERICH BATUARA,A.MD.KB.N.</t>
  </si>
  <si>
    <t>mazmurnoverichnainggolan@gmail.com</t>
  </si>
  <si>
    <t>7873</t>
  </si>
  <si>
    <t>1JsCiD80ajL3gwEocfV9E06m6XSLKR65y</t>
  </si>
  <si>
    <t>https://drive.google.com/file/d/1JsCiD80ajL3gwEocfV9E06m6XSLKR65y/view?usp=drivesdk</t>
  </si>
  <si>
    <t>Document successfully created; Document successfully merged; PDF created; !!Error Sending Emails: Service invoked too many times for one day: email.; Run via form trigger as ecertificate75@gmail.com; Timestamp: Sep 4 2024 11:46 PM</t>
  </si>
  <si>
    <t>IRMAYULIS</t>
  </si>
  <si>
    <t>Irmayulis69@gmail.com</t>
  </si>
  <si>
    <t>7874</t>
  </si>
  <si>
    <t>1ST3A6CElksJyLN7lLzne-B3JCSbhUV6H</t>
  </si>
  <si>
    <t>https://drive.google.com/file/d/1ST3A6CElksJyLN7lLzne-B3JCSbhUV6H/view?usp=drivesdk</t>
  </si>
  <si>
    <t>PARTINI</t>
  </si>
  <si>
    <t>tini.nwr@gmail.com</t>
  </si>
  <si>
    <t>7875</t>
  </si>
  <si>
    <t>Starting at Thu Aug 29 2024 22:20:38 GMT-0400 (EDT)</t>
  </si>
  <si>
    <t>1i1yGX4ebIesOna7Hy6u1x_dP44Gr77Sm</t>
  </si>
  <si>
    <t>https://drive.google.com/file/d/1i1yGX4ebIesOna7Hy6u1x_dP44Gr77Sm/view?usp=drivesdk</t>
  </si>
  <si>
    <t>SRI SETIANINGSIH</t>
  </si>
  <si>
    <t>setiya660@gmail.com</t>
  </si>
  <si>
    <t>7876</t>
  </si>
  <si>
    <t>1rcGkYp_LykmqgnZQV2DWAvZJ7hNQPO1f</t>
  </si>
  <si>
    <t>https://drive.google.com/file/d/1rcGkYp_LykmqgnZQV2DWAvZJ7hNQPO1f/view?usp=drivesdk</t>
  </si>
  <si>
    <t>SUSRIDAYENI</t>
  </si>
  <si>
    <t>susridayeni@gmail.com</t>
  </si>
  <si>
    <t>7877</t>
  </si>
  <si>
    <t>1fIotsDk0T7FaUGdZdXcNr_Kl8DSwCRfz</t>
  </si>
  <si>
    <t>https://drive.google.com/file/d/1fIotsDk0T7FaUGdZdXcNr_Kl8DSwCRfz/view?usp=drivesdk</t>
  </si>
  <si>
    <t>Document successfully created; Document successfully merged; PDF created; !!Error Sending Emails: Service invoked too many times for one day: email.; Run via form trigger as ecertificate75@gmail.com; Timestamp: Sep 4 2024 11:47 PM</t>
  </si>
  <si>
    <t xml:space="preserve">NANANG DWI MARTOPO </t>
  </si>
  <si>
    <t>nanang.dm74@gmail.com</t>
  </si>
  <si>
    <t>7878</t>
  </si>
  <si>
    <t>Starting at Thu Aug 29 2024 22:20:40 GMT-0400 (EDT)</t>
  </si>
  <si>
    <t>1uFA1ajK9aZ095LNq-dQUJI7u2vbDVNGr</t>
  </si>
  <si>
    <t>https://drive.google.com/file/d/1uFA1ajK9aZ095LNq-dQUJI7u2vbDVNGr/view?usp=drivesdk</t>
  </si>
  <si>
    <t>Document successfully created; Document successfully merged; PDF created; !!Error Sending Emails: Service invoked too many times for one day: email.; Run via form trigger as ecertificate75@gmail.com; Timestamp: Sep 4 2024 11:51 PM</t>
  </si>
  <si>
    <t>YULIA ARMAYANTI, S.Pd</t>
  </si>
  <si>
    <t>jcantik957@gmail.com</t>
  </si>
  <si>
    <t>7879</t>
  </si>
  <si>
    <t>Starting at Thu Aug 29 2024 22:20:49 GMT-0400 (EDT)</t>
  </si>
  <si>
    <t>1FwR9UrdkFZQV3W5WzhVcl9ZbSLqrnGFM</t>
  </si>
  <si>
    <t>https://drive.google.com/file/d/1FwR9UrdkFZQV3W5WzhVcl9ZbSLqrnGFM/view?usp=drivesdk</t>
  </si>
  <si>
    <t>RATIH SOFINI, A.md</t>
  </si>
  <si>
    <t>ratihsofini77@gmail.com</t>
  </si>
  <si>
    <t>7880</t>
  </si>
  <si>
    <t>1JEkg_FSmXM9FTK6GsyEiUSB13sm6YTiy</t>
  </si>
  <si>
    <t>https://drive.google.com/file/d/1JEkg_FSmXM9FTK6GsyEiUSB13sm6YTiy/view?usp=drivesdk</t>
  </si>
  <si>
    <t>Document successfully created; Document successfully merged; PDF created; !!Error Sending Emails: Service invoked too many times for one day: email.; Run via form trigger as ecertificate75@gmail.com; Timestamp: Sep 4 2024 11:52 PM</t>
  </si>
  <si>
    <t xml:space="preserve">RINA MAKAPUAN </t>
  </si>
  <si>
    <t>makapuanrina13@gmail.com</t>
  </si>
  <si>
    <t>7881</t>
  </si>
  <si>
    <t>1QbZ8oo2inVi9hKa4SFHqLufjt2jwp1np</t>
  </si>
  <si>
    <t>https://drive.google.com/file/d/1QbZ8oo2inVi9hKa4SFHqLufjt2jwp1np/view?usp=drivesdk</t>
  </si>
  <si>
    <t>ANAK AGUNG GEDE DALEM PEMAYUN</t>
  </si>
  <si>
    <t>dpemayun79@gmail.com</t>
  </si>
  <si>
    <t>7882</t>
  </si>
  <si>
    <t>1H4cD5HoR2R5Hzt2VMJQ5s7s4aFQ9Dm0M</t>
  </si>
  <si>
    <t>https://drive.google.com/file/d/1H4cD5HoR2R5Hzt2VMJQ5s7s4aFQ9Dm0M/view?usp=drivesdk</t>
  </si>
  <si>
    <t>SRI NASMIATI</t>
  </si>
  <si>
    <t>srinasmiati13@gmail.com</t>
  </si>
  <si>
    <t>7883</t>
  </si>
  <si>
    <t>1WjYBwwvZ81AfYIsrzqQc-eciKiOtnaZI</t>
  </si>
  <si>
    <t>https://drive.google.com/file/d/1WjYBwwvZ81AfYIsrzqQc-eciKiOtnaZI/view?usp=drivesdk</t>
  </si>
  <si>
    <t>DIDIK SUPRIYADI</t>
  </si>
  <si>
    <t>dick.jateng2013@gmail.com</t>
  </si>
  <si>
    <t>7884</t>
  </si>
  <si>
    <t>1HsOsyhbLGCT60Up7-CB6ixZcl1aoqSPE</t>
  </si>
  <si>
    <t>https://drive.google.com/file/d/1HsOsyhbLGCT60Up7-CB6ixZcl1aoqSPE/view?usp=drivesdk</t>
  </si>
  <si>
    <t>Document successfully created; Document successfully merged; PDF created; !!Error Sending Emails: Service invoked too many times for one day: email.; Run via form trigger as ecertificate75@gmail.com; Timestamp: Sep 4 2024 11:53 PM</t>
  </si>
  <si>
    <t>DESI MULIASARI, Am.AK</t>
  </si>
  <si>
    <t>ecizm2014@gmail.com</t>
  </si>
  <si>
    <t>7885</t>
  </si>
  <si>
    <t>1YG6VTO8bQ8aXYea5qkhqew45NtZNnzlb</t>
  </si>
  <si>
    <t>https://drive.google.com/file/d/1YG6VTO8bQ8aXYea5qkhqew45NtZNnzlb/view?usp=drivesdk</t>
  </si>
  <si>
    <t>DWI UNTORO</t>
  </si>
  <si>
    <t>faqihson@gmail.com</t>
  </si>
  <si>
    <t>7886</t>
  </si>
  <si>
    <t>17kKzH481j9CcbBdtWY5ZjYIvrdM3ZDti</t>
  </si>
  <si>
    <t>https://drive.google.com/file/d/17kKzH481j9CcbBdtWY5ZjYIvrdM3ZDti/view?usp=drivesdk</t>
  </si>
  <si>
    <t xml:space="preserve">NILA KERISNA CANIAGO </t>
  </si>
  <si>
    <t>nilakrisna2512@gmail.com</t>
  </si>
  <si>
    <t>7887</t>
  </si>
  <si>
    <t>1fkB5-Xq6vzCUCAgx6bWMAjKMuJiRd0Fm</t>
  </si>
  <si>
    <t>https://drive.google.com/file/d/1fkB5-Xq6vzCUCAgx6bWMAjKMuJiRd0Fm/view?usp=drivesdk</t>
  </si>
  <si>
    <t>Document successfully created; Document successfully merged; PDF created; !!Error Sending Emails: Service invoked too many times for one day: email.; Run via form trigger as ecertificate75@gmail.com; Timestamp: Sep 4 2024 11:54 PM</t>
  </si>
  <si>
    <t>AYON HENDRO SAPUTRO</t>
  </si>
  <si>
    <t>bantetareman@gmail.com</t>
  </si>
  <si>
    <t>7888</t>
  </si>
  <si>
    <t>1QkgCXcFqjB_UJO2gM2du8pPCOq3XtqbN</t>
  </si>
  <si>
    <t>https://drive.google.com/file/d/1QkgCXcFqjB_UJO2gM2du8pPCOq3XtqbN/view?usp=drivesdk</t>
  </si>
  <si>
    <t>7889</t>
  </si>
  <si>
    <t>Starting at Thu Aug 29 2024 22:20:52 GMT-0400 (EDT)</t>
  </si>
  <si>
    <t>1A73aH3aflAQQTbB8_TIwA_KG-oFKas2b</t>
  </si>
  <si>
    <t>https://drive.google.com/file/d/1A73aH3aflAQQTbB8_TIwA_KG-oFKas2b/view?usp=drivesdk</t>
  </si>
  <si>
    <t>RESKY.SOLON</t>
  </si>
  <si>
    <t>solonresky@gmail.com</t>
  </si>
  <si>
    <t>7890</t>
  </si>
  <si>
    <t>Starting at Thu Aug 29 2024 22:20:59 GMT-0400 (EDT)</t>
  </si>
  <si>
    <t>1teboZcn3-54_AvAeV-JVjGi2fTTpJnZx</t>
  </si>
  <si>
    <t>https://drive.google.com/file/d/1teboZcn3-54_AvAeV-JVjGi2fTTpJnZx/view?usp=drivesdk</t>
  </si>
  <si>
    <t>INDRA DEWI MAARUF</t>
  </si>
  <si>
    <t>indramaaruf@gmail.com</t>
  </si>
  <si>
    <t>7891</t>
  </si>
  <si>
    <t>1eHXBI_oW5P2T2SSWt50d7XBWD07NBw2t</t>
  </si>
  <si>
    <t>https://drive.google.com/file/d/1eHXBI_oW5P2T2SSWt50d7XBWD07NBw2t/view?usp=drivesdk</t>
  </si>
  <si>
    <t>Document successfully created; Document successfully merged; PDF created; !!Error Sending Emails: Service invoked too many times for one day: email.; Run via form trigger as ecertificate75@gmail.com; Timestamp: Sep 4 2024 11:55 PM</t>
  </si>
  <si>
    <t>NERLY TIURMA MAIDAH, AM.d</t>
  </si>
  <si>
    <t>marbunnerly@gmail.com</t>
  </si>
  <si>
    <t>7892</t>
  </si>
  <si>
    <t>1XXYeIE1XSrMifIrkRyPU6RVrsongZHJZ</t>
  </si>
  <si>
    <t>https://drive.google.com/file/d/1XXYeIE1XSrMifIrkRyPU6RVrsongZHJZ/view?usp=drivesdk</t>
  </si>
  <si>
    <t>WINDIANA</t>
  </si>
  <si>
    <t>windiyanna7@gmail.com</t>
  </si>
  <si>
    <t>7893</t>
  </si>
  <si>
    <t>Starting at Thu Aug 29 2024 22:21:07 GMT-0400 (EDT)</t>
  </si>
  <si>
    <t>1EFoK-t52GOR5-y7J3xbRoPA-MD9Y2NDH</t>
  </si>
  <si>
    <t>https://drive.google.com/file/d/1EFoK-t52GOR5-y7J3xbRoPA-MD9Y2NDH/view?usp=drivesdk</t>
  </si>
  <si>
    <t>sunaryo191078@gmail.com</t>
  </si>
  <si>
    <t>7894</t>
  </si>
  <si>
    <t>1sS8XfFdL-_DgyR5HSJ7P1UW8yNdVi_9F</t>
  </si>
  <si>
    <t>https://drive.google.com/file/d/1sS8XfFdL-_DgyR5HSJ7P1UW8yNdVi_9F/view?usp=drivesdk</t>
  </si>
  <si>
    <t>NETRA WELIZA</t>
  </si>
  <si>
    <t>lizahara253@gmail.com</t>
  </si>
  <si>
    <t>7895</t>
  </si>
  <si>
    <t>1mLCEnPQ8lVVFEeGgCvik89bpieliT1OP</t>
  </si>
  <si>
    <t>https://drive.google.com/file/d/1mLCEnPQ8lVVFEeGgCvik89bpieliT1OP/view?usp=drivesdk</t>
  </si>
  <si>
    <t>HENDRI</t>
  </si>
  <si>
    <t>hendrivevi77@gmail.com</t>
  </si>
  <si>
    <t>7896</t>
  </si>
  <si>
    <t>Starting at Thu Aug 29 2024 22:21:10 GMT-0400 (EDT)</t>
  </si>
  <si>
    <t>11Fk2hubzDG6-63sj-Y6F_AACAn0BAamY</t>
  </si>
  <si>
    <t>https://drive.google.com/file/d/11Fk2hubzDG6-63sj-Y6F_AACAn0BAamY/view?usp=drivesdk</t>
  </si>
  <si>
    <t>Document successfully created; Document successfully merged; PDF created; !!Error Sending Emails: Service invoked too many times for one day: email.; Run via form trigger as ecertificate75@gmail.com; Timestamp: Sep 4 2024 11:56 PM</t>
  </si>
  <si>
    <t>NOVIARITA</t>
  </si>
  <si>
    <t>noviarita230@gmail.com</t>
  </si>
  <si>
    <t>7897</t>
  </si>
  <si>
    <t>1Qx1v4F4eyhlxgNugQcX58OgDzXMku5LC</t>
  </si>
  <si>
    <t>https://drive.google.com/file/d/1Qx1v4F4eyhlxgNugQcX58OgDzXMku5LC/view?usp=drivesdk</t>
  </si>
  <si>
    <t>LELLY EKAWATI</t>
  </si>
  <si>
    <t>lelly.gievo87@gmail.com</t>
  </si>
  <si>
    <t>7898</t>
  </si>
  <si>
    <t>Starting at Thu Aug 29 2024 22:21:15 GMT-0400 (EDT)</t>
  </si>
  <si>
    <t>1FrPlm1TCzO9NlQHt4fx0Nl8-QHGhwMKH</t>
  </si>
  <si>
    <t>https://drive.google.com/file/d/1FrPlm1TCzO9NlQHt4fx0Nl8-QHGhwMKH/view?usp=drivesdk</t>
  </si>
  <si>
    <t>Document successfully created; Document successfully merged; PDF created; !!Error Sending Emails: Service invoked too many times for one day: email.; Run via form trigger as ecertificate75@gmail.com; Timestamp: Sep 4 2024 11:59 PM</t>
  </si>
  <si>
    <t>TRIANA PANJI HIDAYAT</t>
  </si>
  <si>
    <t>trianapanji@gmail.com</t>
  </si>
  <si>
    <t>7899</t>
  </si>
  <si>
    <t>Starting at Thu Aug 29 2024 22:21:21 GMT-0400 (EDT)</t>
  </si>
  <si>
    <t>1qWF1YIj4wiZAoxKS0ris0IiWreVxJGZH</t>
  </si>
  <si>
    <t>https://drive.google.com/file/d/1qWF1YIj4wiZAoxKS0ris0IiWreVxJGZH/view?usp=drivesdk</t>
  </si>
  <si>
    <t>ELISABET</t>
  </si>
  <si>
    <t>elisabetkisaran17@gmail.com</t>
  </si>
  <si>
    <t>7900</t>
  </si>
  <si>
    <t>1ue8Vxq-EJQJjmrOqxom2yUEStcejv-s4</t>
  </si>
  <si>
    <t>https://drive.google.com/file/d/1ue8Vxq-EJQJjmrOqxom2yUEStcejv-s4/view?usp=drivesdk</t>
  </si>
  <si>
    <t>TURASIH,S.H</t>
  </si>
  <si>
    <t>adhinugroho2019@gmail.com</t>
  </si>
  <si>
    <t>7901</t>
  </si>
  <si>
    <t>1o2LF5ibmaa4khHiaOGqwBHESQnqyIL09</t>
  </si>
  <si>
    <t>https://drive.google.com/file/d/1o2LF5ibmaa4khHiaOGqwBHESQnqyIL09/view?usp=drivesdk</t>
  </si>
  <si>
    <t>Document successfully created; Document successfully merged; PDF created; !!Error Sending Emails: Service invoked too many times for one day: email.; Run via form trigger as ecertificate75@gmail.com; Timestamp: Sep 5 2024 12:00 AM</t>
  </si>
  <si>
    <t>WENI AMELIA PUTRI, A.Md.Kep</t>
  </si>
  <si>
    <t>ameliaweni@yahoo.com</t>
  </si>
  <si>
    <t>7902</t>
  </si>
  <si>
    <t>Starting at Thu Aug 29 2024 22:21:26 GMT-0400 (EDT)</t>
  </si>
  <si>
    <t>1zI94pQybS_-LPVm0PJZE7t8zptsM6rOj</t>
  </si>
  <si>
    <t>https://drive.google.com/file/d/1zI94pQybS_-LPVm0PJZE7t8zptsM6rOj/view?usp=drivesdk</t>
  </si>
  <si>
    <t>YAYUK SUSANTI</t>
  </si>
  <si>
    <t>yayuksusanti.1971@gmail.com</t>
  </si>
  <si>
    <t>7903</t>
  </si>
  <si>
    <t>1aZj3JrmpeximZf7t0VxFc0-gTMNcJ2Am</t>
  </si>
  <si>
    <t>https://drive.google.com/file/d/1aZj3JrmpeximZf7t0VxFc0-gTMNcJ2Am/view?usp=drivesdk</t>
  </si>
  <si>
    <t xml:space="preserve">FITSER H.D. SIMBOLON </t>
  </si>
  <si>
    <t>fitsersimbolon@gmail.com</t>
  </si>
  <si>
    <t>7904</t>
  </si>
  <si>
    <t>1AbvgYWbtola5sqphvzUK4a2QCzAuSFZr</t>
  </si>
  <si>
    <t>https://drive.google.com/file/d/1AbvgYWbtola5sqphvzUK4a2QCzAuSFZr/view?usp=drivesdk</t>
  </si>
  <si>
    <t>MUGIONO</t>
  </si>
  <si>
    <t>mugiono389@gmail.com</t>
  </si>
  <si>
    <t>7905</t>
  </si>
  <si>
    <t>Starting at Thu Aug 29 2024 22:21:28 GMT-0400 (EDT)</t>
  </si>
  <si>
    <t>17rX595Scz-9tuZgdYNzLYNj8unRLTHOL</t>
  </si>
  <si>
    <t>https://drive.google.com/file/d/17rX595Scz-9tuZgdYNzLYNj8unRLTHOL/view?usp=drivesdk</t>
  </si>
  <si>
    <t>DIDIK PURYONO</t>
  </si>
  <si>
    <t>didikpuryono062@gmail.com</t>
  </si>
  <si>
    <t>7906</t>
  </si>
  <si>
    <t>1Ehc_grd_IzbGFoxRdqNni6LBwXPBxfxP</t>
  </si>
  <si>
    <t>https://drive.google.com/file/d/1Ehc_grd_IzbGFoxRdqNni6LBwXPBxfxP/view?usp=drivesdk</t>
  </si>
  <si>
    <t>ALMAR SIMANGUNSONG</t>
  </si>
  <si>
    <t>almarsimangunsong1966@gmail.com</t>
  </si>
  <si>
    <t>7907</t>
  </si>
  <si>
    <t>1bDZ61_YbVNdtiS1OF04RWKya5SHlnkJk</t>
  </si>
  <si>
    <t>https://drive.google.com/file/d/1bDZ61_YbVNdtiS1OF04RWKya5SHlnkJk/view?usp=drivesdk</t>
  </si>
  <si>
    <t>Document successfully created; Document successfully merged; PDF created; !!Error Sending Emails: Service invoked too many times for one day: email.; Run via form trigger as ecertificate75@gmail.com; Timestamp: Sep 5 2024 12:01 AM</t>
  </si>
  <si>
    <t>LILIK IRIANI</t>
  </si>
  <si>
    <t>lilikiriani1967@gmail.com</t>
  </si>
  <si>
    <t>7908</t>
  </si>
  <si>
    <t>1tWb612kumIK5ibWdCKuoP4RN01MW1rnj</t>
  </si>
  <si>
    <t>https://drive.google.com/file/d/1tWb612kumIK5ibWdCKuoP4RN01MW1rnj/view?usp=drivesdk</t>
  </si>
  <si>
    <t xml:space="preserve">ST.HASNAH </t>
  </si>
  <si>
    <t>azizhasnah2@gmail.com</t>
  </si>
  <si>
    <t>7909</t>
  </si>
  <si>
    <t>1C2nHqTEDYIGeCAU3doU3wxjUaXLEC8BC</t>
  </si>
  <si>
    <t>https://drive.google.com/file/d/1C2nHqTEDYIGeCAU3doU3wxjUaXLEC8BC/view?usp=drivesdk</t>
  </si>
  <si>
    <t>NESRI YENTI</t>
  </si>
  <si>
    <t>smarajaik@gmail.com</t>
  </si>
  <si>
    <t>7910</t>
  </si>
  <si>
    <t>13MT78wpfnAtjXAN7Ed8awW0Cjm4_CS3_</t>
  </si>
  <si>
    <t>https://drive.google.com/file/d/13MT78wpfnAtjXAN7Ed8awW0Cjm4_CS3_/view?usp=drivesdk</t>
  </si>
  <si>
    <t>ANDRIAS HENDARWIN AMBARITA, S.Kom., M.M.</t>
  </si>
  <si>
    <t>guratnitangan@gmail.com</t>
  </si>
  <si>
    <t>7911</t>
  </si>
  <si>
    <t>1rFW9_20upIKXlCxl9ZXgwvZQ5BBsi0SM</t>
  </si>
  <si>
    <t>https://drive.google.com/file/d/1rFW9_20upIKXlCxl9ZXgwvZQ5BBsi0SM/view?usp=drivesdk</t>
  </si>
  <si>
    <t>FAISAL ISWADI SH</t>
  </si>
  <si>
    <t>faisal.is5000@gmail.com</t>
  </si>
  <si>
    <t>7912</t>
  </si>
  <si>
    <t>Starting at Thu Aug 29 2024 22:21:31 GMT-0400 (EDT)</t>
  </si>
  <si>
    <t>1P42_i7pCD7dUJBdMgl0mz82iaNKfzfvY</t>
  </si>
  <si>
    <t>https://drive.google.com/file/d/1P42_i7pCD7dUJBdMgl0mz82iaNKfzfvY/view?usp=drivesdk</t>
  </si>
  <si>
    <t>Dra. TUKMADARA DEWI</t>
  </si>
  <si>
    <t>tukmadarad@gmail.com</t>
  </si>
  <si>
    <t>7913</t>
  </si>
  <si>
    <t>1vBPq-9an1wkomhxDUB4sRpCPmHg2ITDw</t>
  </si>
  <si>
    <t>https://drive.google.com/file/d/1vBPq-9an1wkomhxDUB4sRpCPmHg2ITDw/view?usp=drivesdk</t>
  </si>
  <si>
    <t>Document successfully created; Document successfully merged; PDF created; !!Error Sending Emails: Service invoked too many times for one day: email.; Run via form trigger as ecertificate75@gmail.com; Timestamp: Sep 5 2024 12:02 AM</t>
  </si>
  <si>
    <t>FERRIANDY RUSDIN</t>
  </si>
  <si>
    <t>ferri.pay7@gmail.com</t>
  </si>
  <si>
    <t>7914</t>
  </si>
  <si>
    <t>1kSECUpfbjLcm5LEjX9nNvizFpWn_FKMS</t>
  </si>
  <si>
    <t>https://drive.google.com/file/d/1kSECUpfbjLcm5LEjX9nNvizFpWn_FKMS/view?usp=drivesdk</t>
  </si>
  <si>
    <t>ALIMUDDIN USMAN</t>
  </si>
  <si>
    <t>alimuddinusman70@gmail.com</t>
  </si>
  <si>
    <t>7915</t>
  </si>
  <si>
    <t>Starting at Thu Aug 29 2024 22:21:36 GMT-0400 (EDT)</t>
  </si>
  <si>
    <t>12-RIAymZAzqUW3W-omHypuuaAkeeGDF0</t>
  </si>
  <si>
    <t>https://drive.google.com/file/d/12-RIAymZAzqUW3W-omHypuuaAkeeGDF0/view?usp=drivesdk</t>
  </si>
  <si>
    <t>BAMBANG SUROSO</t>
  </si>
  <si>
    <t>bambangsurosolmg@gmail.com</t>
  </si>
  <si>
    <t>7916</t>
  </si>
  <si>
    <t>13AhzPfrhSkGO9oIfFsjMwVX9djOUtX3s</t>
  </si>
  <si>
    <t>https://drive.google.com/file/d/13AhzPfrhSkGO9oIfFsjMwVX9djOUtX3s/view?usp=drivesdk</t>
  </si>
  <si>
    <t xml:space="preserve">NIRDAWATI </t>
  </si>
  <si>
    <t>nierdanafishasanjaya@gmail.com</t>
  </si>
  <si>
    <t>7917</t>
  </si>
  <si>
    <t>16klM-0NS8Dq6XxydycPTQvN5zTfL7Q2H</t>
  </si>
  <si>
    <t>https://drive.google.com/file/d/16klM-0NS8Dq6XxydycPTQvN5zTfL7Q2H/view?usp=drivesdk</t>
  </si>
  <si>
    <t>TUTIK WAHYUNI</t>
  </si>
  <si>
    <t>tutiwahyuni346@gmail.com</t>
  </si>
  <si>
    <t>7918</t>
  </si>
  <si>
    <t>Starting at Thu Aug 29 2024 22:21:42 GMT-0400 (EDT)</t>
  </si>
  <si>
    <t>1O9Wvcjou_iIZTyph9XpkMX7T9lMBUNpe</t>
  </si>
  <si>
    <t>https://drive.google.com/file/d/1O9Wvcjou_iIZTyph9XpkMX7T9lMBUNpe/view?usp=drivesdk</t>
  </si>
  <si>
    <t>Document successfully created; Document successfully merged; PDF created; !!Error Sending Emails: Service invoked too many times for one day: email.; Run via form trigger as ecertificate75@gmail.com; Timestamp: Sep 5 2024 12:03 AM</t>
  </si>
  <si>
    <t>JUMA'YAH</t>
  </si>
  <si>
    <t>mayajumayah683@gmail.com</t>
  </si>
  <si>
    <t>7919</t>
  </si>
  <si>
    <t>1zOu-PiDpN1MlpyKT7YR84zcHMyjsK47Y</t>
  </si>
  <si>
    <t>https://drive.google.com/file/d/1zOu-PiDpN1MlpyKT7YR84zcHMyjsK47Y/view?usp=drivesdk</t>
  </si>
  <si>
    <t>IIN HERENTIKA, S. Kep., Ns</t>
  </si>
  <si>
    <t>iinherentika03121979@gmail.com</t>
  </si>
  <si>
    <t>7920</t>
  </si>
  <si>
    <t>Starting at Thu Aug 29 2024 22:21:49 GMT-0400 (EDT)</t>
  </si>
  <si>
    <t>1pbqOr4aLjayy3XhIXl18-jpB13pFYkEf</t>
  </si>
  <si>
    <t>https://drive.google.com/file/d/1pbqOr4aLjayy3XhIXl18-jpB13pFYkEf/view?usp=drivesdk</t>
  </si>
  <si>
    <t>HARTATY, SS. M.Si.</t>
  </si>
  <si>
    <t>tatyrais8274@gmail.com</t>
  </si>
  <si>
    <t>7921</t>
  </si>
  <si>
    <t>1cDXxPXS4Vb4lM6oxfTygUjk1YEwlwZ6P</t>
  </si>
  <si>
    <t>https://drive.google.com/file/d/1cDXxPXS4Vb4lM6oxfTygUjk1YEwlwZ6P/view?usp=drivesdk</t>
  </si>
  <si>
    <t>ANDI SANTOSO, S.Kom</t>
  </si>
  <si>
    <t>go.andisantoso@gmail.com</t>
  </si>
  <si>
    <t>7922</t>
  </si>
  <si>
    <t>1S5BeovhIQg85MPXougHlHI3YG7giUvnw</t>
  </si>
  <si>
    <t>https://drive.google.com/file/d/1S5BeovhIQg85MPXougHlHI3YG7giUvnw/view?usp=drivesdk</t>
  </si>
  <si>
    <t>JUNAIDI, S.Ag.</t>
  </si>
  <si>
    <t>taufikkurrohman30@gmail.com</t>
  </si>
  <si>
    <t>7923</t>
  </si>
  <si>
    <t>Starting at Thu Aug 29 2024 22:21:59 GMT-0400 (EDT)</t>
  </si>
  <si>
    <t>1cZR4tpGp4ZoBAydGS-eyHXEwpRWaSAnM</t>
  </si>
  <si>
    <t>https://drive.google.com/file/d/1cZR4tpGp4ZoBAydGS-eyHXEwpRWaSAnM/view?usp=drivesdk</t>
  </si>
  <si>
    <t>Document successfully created; Document successfully merged; PDF created; !!Error Sending Emails: Service invoked too many times for one day: email.; Run via form trigger as ecertificate75@gmail.com; Timestamp: Sep 5 2024 12:04 AM</t>
  </si>
  <si>
    <t>SUHARTATI</t>
  </si>
  <si>
    <t>suhartatigefa81@gmail.com</t>
  </si>
  <si>
    <t>7924</t>
  </si>
  <si>
    <t>1tJT3zkd9ygO3IM8SOwqKYE0neEbhCTS6</t>
  </si>
  <si>
    <t>https://drive.google.com/file/d/1tJT3zkd9ygO3IM8SOwqKYE0neEbhCTS6/view?usp=drivesdk</t>
  </si>
  <si>
    <t>Document successfully created; Document successfully merged; PDF created; !!Error Sending Emails: Service invoked too many times for one day: email.; Run via form trigger as ecertificate75@gmail.com; Timestamp: Sep 5 2024 12:09 AM</t>
  </si>
  <si>
    <t>YUSUP PURWANTA</t>
  </si>
  <si>
    <t>pe.212yusup@gmail.com</t>
  </si>
  <si>
    <t>7925</t>
  </si>
  <si>
    <t>Starting at Thu Aug 29 2024 22:22:04 GMT-0400 (EDT)</t>
  </si>
  <si>
    <t>1bk99lrxM3fkgS9boAXEmC5ApH2DoIF7e</t>
  </si>
  <si>
    <t>https://drive.google.com/file/d/1bk99lrxM3fkgS9boAXEmC5ApH2DoIF7e/view?usp=drivesdk</t>
  </si>
  <si>
    <t>Document successfully created; Document successfully merged; PDF created; !!Error Sending Emails: Service invoked too many times for one day: email.; Run via form trigger as ecertificate75@gmail.com; Timestamp: Sep 5 2024 12:10 AM</t>
  </si>
  <si>
    <t>JOHANIS PAAIS S.E</t>
  </si>
  <si>
    <t>aispaais@gmail.com</t>
  </si>
  <si>
    <t>7926</t>
  </si>
  <si>
    <t>Starting at Thu Aug 29 2024 22:22:20 GMT-0400 (EDT)</t>
  </si>
  <si>
    <t>1Yq-2jyH02AsgWmhuKoUV7dcUuDh_q8jF</t>
  </si>
  <si>
    <t>https://drive.google.com/file/d/1Yq-2jyH02AsgWmhuKoUV7dcUuDh_q8jF/view?usp=drivesdk</t>
  </si>
  <si>
    <t>DIANA RACHMAWATI, A.Md., S.Pd</t>
  </si>
  <si>
    <t>drachma2002@gmail.com</t>
  </si>
  <si>
    <t>7927</t>
  </si>
  <si>
    <t>1inW0c5r4Wsq5EGvy6asiP88inUJYVIuH</t>
  </si>
  <si>
    <t>https://drive.google.com/file/d/1inW0c5r4Wsq5EGvy6asiP88inUJYVIuH/view?usp=drivesdk</t>
  </si>
  <si>
    <t>sulasmisulasmi030868@gmail.com</t>
  </si>
  <si>
    <t>7928</t>
  </si>
  <si>
    <t>16NmEBbSEy7_vctrdSzpAVDiUgkPYVIXv</t>
  </si>
  <si>
    <t>https://drive.google.com/file/d/16NmEBbSEy7_vctrdSzpAVDiUgkPYVIXv/view?usp=drivesdk</t>
  </si>
  <si>
    <t>BENU AZALI</t>
  </si>
  <si>
    <t>bangbenzz69@gmail.com</t>
  </si>
  <si>
    <t>7929</t>
  </si>
  <si>
    <t>1gjZc7QWfs_hJ_DBTZ6EFLXayVgGMvq_N</t>
  </si>
  <si>
    <t>https://drive.google.com/file/d/1gjZc7QWfs_hJ_DBTZ6EFLXayVgGMvq_N/view?usp=drivesdk</t>
  </si>
  <si>
    <t>I Wayan Rudi Harta</t>
  </si>
  <si>
    <t>rudiajuzz@gmail.con</t>
  </si>
  <si>
    <t>7930</t>
  </si>
  <si>
    <t>1o8Y8yKc5yX-c01nls7BlvXZCAL-m2N9d</t>
  </si>
  <si>
    <t>https://drive.google.com/file/d/1o8Y8yKc5yX-c01nls7BlvXZCAL-m2N9d/view?usp=drivesdk</t>
  </si>
  <si>
    <t>SERI MURTI SIREGAR</t>
  </si>
  <si>
    <t>serimurtisiregar@gmail.com</t>
  </si>
  <si>
    <t>7931</t>
  </si>
  <si>
    <t>1ORKFV2QkPykm23KsA-C8xsWA1ufg1rgu</t>
  </si>
  <si>
    <t>https://drive.google.com/file/d/1ORKFV2QkPykm23KsA-C8xsWA1ufg1rgu/view?usp=drivesdk</t>
  </si>
  <si>
    <t>WIDA NINGSIH</t>
  </si>
  <si>
    <t>widaaningsih311@gmail.com</t>
  </si>
  <si>
    <t>7932</t>
  </si>
  <si>
    <t>1DrjDanOFs2gU-6oQkgxruhwZusl9GGxQ</t>
  </si>
  <si>
    <t>https://drive.google.com/file/d/1DrjDanOFs2gU-6oQkgxruhwZusl9GGxQ/view?usp=drivesdk</t>
  </si>
  <si>
    <t>Document successfully created; Document successfully merged; PDF created; !!Error Sending Emails: Service invoked too many times for one day: email.; Run via form trigger as ecertificate75@gmail.com; Timestamp: Sep 5 2024 12:11 AM</t>
  </si>
  <si>
    <t>SARI DEWI UMIATI, S.KOM, M.Tr.A.P.</t>
  </si>
  <si>
    <t>sari.dewi83@gmail.com</t>
  </si>
  <si>
    <t>7933</t>
  </si>
  <si>
    <t>1PhQfJIx0idUJS85HDUfUioFRtLgHENz6</t>
  </si>
  <si>
    <t>https://drive.google.com/file/d/1PhQfJIx0idUJS85HDUfUioFRtLgHENz6/view?usp=drivesdk</t>
  </si>
  <si>
    <t xml:space="preserve">SUGIARTI </t>
  </si>
  <si>
    <t>sugiarti.hadi69@gmail.com</t>
  </si>
  <si>
    <t>7934</t>
  </si>
  <si>
    <t>1YZMHaykNJ09izy-DxgPhjMbXXyF4YKGF</t>
  </si>
  <si>
    <t>https://drive.google.com/file/d/1YZMHaykNJ09izy-DxgPhjMbXXyF4YKGF/view?usp=drivesdk</t>
  </si>
  <si>
    <t>YULIANTO PURNOMO SIDI, S.KOM</t>
  </si>
  <si>
    <t>19januari@gmail.com</t>
  </si>
  <si>
    <t>7935</t>
  </si>
  <si>
    <t>1MgNV4uTLdGH_4HeO0W_JtQQvLqu9_tRP</t>
  </si>
  <si>
    <t>https://drive.google.com/file/d/1MgNV4uTLdGH_4HeO0W_JtQQvLqu9_tRP/view?usp=drivesdk</t>
  </si>
  <si>
    <t>DEWIANTY. P. S.pd</t>
  </si>
  <si>
    <t>dewianty23@gmail.com</t>
  </si>
  <si>
    <t>7936</t>
  </si>
  <si>
    <t>Starting at Thu Aug 29 2024 22:22:24 GMT-0400 (EDT)</t>
  </si>
  <si>
    <t>1KPOBnrizpgb0AVCKAdLbE8uA6hGTjOLR</t>
  </si>
  <si>
    <t>https://drive.google.com/file/d/1KPOBnrizpgb0AVCKAdLbE8uA6hGTjOLR/view?usp=drivesdk</t>
  </si>
  <si>
    <t>ACHMAD MARDIANSYAH</t>
  </si>
  <si>
    <t>mardiansyah_83@yahoo.co.id</t>
  </si>
  <si>
    <t>7937</t>
  </si>
  <si>
    <t>1hNvxfux8oQWNyRQ8ikY3jUC7l81XIMSL</t>
  </si>
  <si>
    <t>https://drive.google.com/file/d/1hNvxfux8oQWNyRQ8ikY3jUC7l81XIMSL/view?usp=drivesdk</t>
  </si>
  <si>
    <t>riniprawitasari@gmail.com</t>
  </si>
  <si>
    <t>7938</t>
  </si>
  <si>
    <t>Starting at Thu Aug 29 2024 22:22:27 GMT-0400 (EDT)</t>
  </si>
  <si>
    <t>1OyZY9MRpLpEugCCKWxjqmOoX_3P8J8Oy</t>
  </si>
  <si>
    <t>https://drive.google.com/file/d/1OyZY9MRpLpEugCCKWxjqmOoX_3P8J8Oy/view?usp=drivesdk</t>
  </si>
  <si>
    <t>Document successfully created; Document successfully merged; PDF created; !!Error Sending Emails: Service invoked too many times for one day: email.; Run via form trigger as ecertificate75@gmail.com; Timestamp: Sep 5 2024 12:12 AM</t>
  </si>
  <si>
    <t>DAHRIWAN SIMAMORA</t>
  </si>
  <si>
    <t>perencanapolrestapteng@gmail.com</t>
  </si>
  <si>
    <t>7939</t>
  </si>
  <si>
    <t>Starting at Thu Aug 29 2024 22:22:29 GMT-0400 (EDT)</t>
  </si>
  <si>
    <t>1mAi3Z5L6NqP18hOSt7GEnoCduQevo2Kf</t>
  </si>
  <si>
    <t>https://drive.google.com/file/d/1mAi3Z5L6NqP18hOSt7GEnoCduQevo2Kf/view?usp=drivesdk</t>
  </si>
  <si>
    <t>TIOROMA SIMATUPANG</t>
  </si>
  <si>
    <t>tiosimatupang310@gmail.com</t>
  </si>
  <si>
    <t>7940</t>
  </si>
  <si>
    <t>1UOE3CNxQpAse5HdkRoZFzHQhcE5Fwea5</t>
  </si>
  <si>
    <t>https://drive.google.com/file/d/1UOE3CNxQpAse5HdkRoZFzHQhcE5Fwea5/view?usp=drivesdk</t>
  </si>
  <si>
    <t>SUYOKO</t>
  </si>
  <si>
    <t>yokodarwati@gmail.com</t>
  </si>
  <si>
    <t>7941</t>
  </si>
  <si>
    <t>Starting at Thu Aug 29 2024 22:22:34 GMT-0400 (EDT)</t>
  </si>
  <si>
    <t>1YgQQvxTYIajhvulDDl2hN295CkRmzj8H</t>
  </si>
  <si>
    <t>https://drive.google.com/file/d/1YgQQvxTYIajhvulDDl2hN295CkRmzj8H/view?usp=drivesdk</t>
  </si>
  <si>
    <t>YULIA RAHMAWATI, S.Sos.</t>
  </si>
  <si>
    <t>subbagrenminroopskb@gmail.com</t>
  </si>
  <si>
    <t>7942</t>
  </si>
  <si>
    <t>13o1n1rwfgi1Jo7XF2UzAjnr4vlVGRkW5</t>
  </si>
  <si>
    <t>https://drive.google.com/file/d/13o1n1rwfgi1Jo7XF2UzAjnr4vlVGRkW5/view?usp=drivesdk</t>
  </si>
  <si>
    <t>MAHDIN GAJA, S. Ag., M. Ag.</t>
  </si>
  <si>
    <t>mahdin71gaja@gmail.com</t>
  </si>
  <si>
    <t>7943</t>
  </si>
  <si>
    <t>Starting at Thu Aug 29 2024 22:22:40 GMT-0400 (EDT)</t>
  </si>
  <si>
    <t>1aSY5gD2vuUSVzN5smV849I_9Auxg0ek_</t>
  </si>
  <si>
    <t>https://drive.google.com/file/d/1aSY5gD2vuUSVzN5smV849I_9Auxg0ek_/view?usp=drivesdk</t>
  </si>
  <si>
    <t>FARIDA DINI YANTI</t>
  </si>
  <si>
    <t>farudadiniyanti67@gmail.com</t>
  </si>
  <si>
    <t>7944</t>
  </si>
  <si>
    <t>1bbVF_KkfDHBZdDzSiRVfXMqPEQv4-063</t>
  </si>
  <si>
    <t>https://drive.google.com/file/d/1bbVF_KkfDHBZdDzSiRVfXMqPEQv4-063/view?usp=drivesdk</t>
  </si>
  <si>
    <t>NOVIANTI SYAM,Am.Kep</t>
  </si>
  <si>
    <t>noviantisyam78@gmail.com</t>
  </si>
  <si>
    <t>7945</t>
  </si>
  <si>
    <t>1hSWWWNiaF5MBZz2GpdAPQ5WSp34KLvR5</t>
  </si>
  <si>
    <t>https://drive.google.com/file/d/1hSWWWNiaF5MBZz2GpdAPQ5WSp34KLvR5/view?usp=drivesdk</t>
  </si>
  <si>
    <t>tipidkor.poldametrojaya@gmail.com</t>
  </si>
  <si>
    <t>7946</t>
  </si>
  <si>
    <t>Starting at Thu Aug 29 2024 22:22:48 GMT-0400 (EDT)</t>
  </si>
  <si>
    <t>17L9e4LtSVWGocECCorN0wgrJ_3wtz25x</t>
  </si>
  <si>
    <t>https://drive.google.com/file/d/17L9e4LtSVWGocECCorN0wgrJ_3wtz25x/view?usp=drivesdk</t>
  </si>
  <si>
    <t>PAREL SiHITE</t>
  </si>
  <si>
    <t>pnsparelsihite@gmail.com</t>
  </si>
  <si>
    <t>7947</t>
  </si>
  <si>
    <t>1_tARdSmrXdAOkUctp6at7-7BWJtrAhXu</t>
  </si>
  <si>
    <t>https://drive.google.com/file/d/1_tARdSmrXdAOkUctp6at7-7BWJtrAhXu/view?usp=drivesdk</t>
  </si>
  <si>
    <t>NURHAYATI,S.KOM</t>
  </si>
  <si>
    <t>nurhayati.wibowo08@gmail.com</t>
  </si>
  <si>
    <t>7948</t>
  </si>
  <si>
    <t>1cCx3XFHZXswJSpm2W2kRCZaTMl-TkZEi</t>
  </si>
  <si>
    <t>https://drive.google.com/file/d/1cCx3XFHZXswJSpm2W2kRCZaTMl-TkZEi/view?usp=drivesdk</t>
  </si>
  <si>
    <t>JUHANANINGSIH</t>
  </si>
  <si>
    <t>nenghana83@gmail.com</t>
  </si>
  <si>
    <t>7949</t>
  </si>
  <si>
    <t>1CNYy-lt9OS0reE376tMP81vWsHEAr44-</t>
  </si>
  <si>
    <t>https://drive.google.com/file/d/1CNYy-lt9OS0reE376tMP81vWsHEAr44-/view?usp=drivesdk</t>
  </si>
  <si>
    <t>DR. SYAHIDATUL ARIFA</t>
  </si>
  <si>
    <t>syahidatularifa.ifa@gmail.com</t>
  </si>
  <si>
    <t>7950</t>
  </si>
  <si>
    <t>1NQKgsme7Luw8Qr6ls7AhQgfNMBNAX1Oq</t>
  </si>
  <si>
    <t>https://drive.google.com/file/d/1NQKgsme7Luw8Qr6ls7AhQgfNMBNAX1Oq/view?usp=drivesdk</t>
  </si>
  <si>
    <t>ENOK ROHAETI</t>
  </si>
  <si>
    <t>enokrohaeti1@gmail.com</t>
  </si>
  <si>
    <t>7951</t>
  </si>
  <si>
    <t>Starting at Thu Aug 29 2024 22:22:56 GMT-0400 (EDT)</t>
  </si>
  <si>
    <t>1-qbtTOis08tVw44UipxbcZwcelZdGc1t</t>
  </si>
  <si>
    <t>https://drive.google.com/file/d/1-qbtTOis08tVw44UipxbcZwcelZdGc1t/view?usp=drivesdk</t>
  </si>
  <si>
    <t>TITIK SULISTYANINGRUM</t>
  </si>
  <si>
    <t>titiksulistyaningrum363@gmail.com</t>
  </si>
  <si>
    <t>7952</t>
  </si>
  <si>
    <t>121ZeT8cDph1amH3-gtJm87kohZCRR4Q8</t>
  </si>
  <si>
    <t>https://drive.google.com/file/d/121ZeT8cDph1amH3-gtJm87kohZCRR4Q8/view?usp=drivesdk</t>
  </si>
  <si>
    <t>HARTOJO</t>
  </si>
  <si>
    <t>polsekbenowo86@gmail.com</t>
  </si>
  <si>
    <t>7953</t>
  </si>
  <si>
    <t>1RrH8lIfTbE_zX9Sg7KRp21EfY6et9Uic</t>
  </si>
  <si>
    <t>https://drive.google.com/file/d/1RrH8lIfTbE_zX9Sg7KRp21EfY6et9Uic/view?usp=drivesdk</t>
  </si>
  <si>
    <t>DEVY SIMANJUNTAK</t>
  </si>
  <si>
    <t>devylabor@gmail.com</t>
  </si>
  <si>
    <t>7954</t>
  </si>
  <si>
    <t>Starting at Thu Aug 29 2024 22:22:59 GMT-0400 (EDT)</t>
  </si>
  <si>
    <t>1zWhSWUW-RIfWHn58iA69OzVg42-CNU6x</t>
  </si>
  <si>
    <t>https://drive.google.com/file/d/1zWhSWUW-RIfWHn58iA69OzVg42-CNU6x/view?usp=drivesdk</t>
  </si>
  <si>
    <t>SUSANTI</t>
  </si>
  <si>
    <t>susantipong70@gmail.com</t>
  </si>
  <si>
    <t>7955</t>
  </si>
  <si>
    <t>10dM2juVyKjxleMZOnUlAsUE6y-48YT0b</t>
  </si>
  <si>
    <t>https://drive.google.com/file/d/10dM2juVyKjxleMZOnUlAsUE6y-48YT0b/view?usp=drivesdk</t>
  </si>
  <si>
    <t xml:space="preserve">MERI AGUSTINA, S. E. </t>
  </si>
  <si>
    <t>agustinameri82@gmail.com</t>
  </si>
  <si>
    <t>7956</t>
  </si>
  <si>
    <t>Starting at Thu Aug 29 2024 22:23:09 GMT-0400 (EDT)</t>
  </si>
  <si>
    <t>1LEEAM3X7ZA7uujvjPH5ANc0r1T5IZWWP</t>
  </si>
  <si>
    <t>https://drive.google.com/file/d/1LEEAM3X7ZA7uujvjPH5ANc0r1T5IZWWP/view?usp=drivesdk</t>
  </si>
  <si>
    <t>SRI ENDAH WAHYUNINGSIH</t>
  </si>
  <si>
    <t>endahw6712@gmail.com</t>
  </si>
  <si>
    <t>7957</t>
  </si>
  <si>
    <t>17iys05nDZXRaxkOe058b35epEBCFVmlJ</t>
  </si>
  <si>
    <t>https://drive.google.com/file/d/17iys05nDZXRaxkOe058b35epEBCFVmlJ/view?usp=drivesdk</t>
  </si>
  <si>
    <t xml:space="preserve">SUPARNO </t>
  </si>
  <si>
    <t>suparnoparno060272@gmail.com</t>
  </si>
  <si>
    <t>7958</t>
  </si>
  <si>
    <t>1SUnYGDDxXSvG3CDiAgVk8L8oBweUCPxi</t>
  </si>
  <si>
    <t>https://drive.google.com/file/d/1SUnYGDDxXSvG3CDiAgVk8L8oBweUCPxi/view?usp=drivesdk</t>
  </si>
  <si>
    <t xml:space="preserve">RIOMSI TRISINA </t>
  </si>
  <si>
    <t>riomsitrisinasimangunsong02@gmail.com</t>
  </si>
  <si>
    <t>7959</t>
  </si>
  <si>
    <t>1444FUZVsw2zEN6ivJamJiADM-UIENU3J</t>
  </si>
  <si>
    <t>https://drive.google.com/file/d/1444FUZVsw2zEN6ivJamJiADM-UIENU3J/view?usp=drivesdk</t>
  </si>
  <si>
    <t>ERIASTA SEBAYANG</t>
  </si>
  <si>
    <t>eriasta.sebayang88@gmail.com</t>
  </si>
  <si>
    <t>7960</t>
  </si>
  <si>
    <t>1P87i06tPnyQe5zj8LtdhUr1fPN7io9ry</t>
  </si>
  <si>
    <t>https://drive.google.com/file/d/1P87i06tPnyQe5zj8LtdhUr1fPN7io9ry/view?usp=drivesdk</t>
  </si>
  <si>
    <t>sugitogto49@gmail.com</t>
  </si>
  <si>
    <t>7961</t>
  </si>
  <si>
    <t>1JYGmwabAg85Q84eU1lTHNZ4KkSpZbeSP</t>
  </si>
  <si>
    <t>https://drive.google.com/file/d/1JYGmwabAg85Q84eU1lTHNZ4KkSpZbeSP/view?usp=drivesdk</t>
  </si>
  <si>
    <t>RAJIV HANURA, A.Md.Kep</t>
  </si>
  <si>
    <t>rajivhanuravod@gmail.com</t>
  </si>
  <si>
    <t>7962</t>
  </si>
  <si>
    <t>1Ec2SALKnTm1Z82F0ftp8gjj5n4E5rUcM</t>
  </si>
  <si>
    <t>https://drive.google.com/file/d/1Ec2SALKnTm1Z82F0ftp8gjj5n4E5rUcM/view?usp=drivesdk</t>
  </si>
  <si>
    <t>Hariyani,SE.MM</t>
  </si>
  <si>
    <t>hjhariyani07@gmail.com</t>
  </si>
  <si>
    <t>7963</t>
  </si>
  <si>
    <t>Starting at Thu Aug 29 2024 22:23:28 GMT-0400 (EDT)</t>
  </si>
  <si>
    <t>1GnN-Yv--6MAtFn1aNO9RENuKIbrWH-sJ</t>
  </si>
  <si>
    <t>https://drive.google.com/file/d/1GnN-Yv--6MAtFn1aNO9RENuKIbrWH-sJ/view?usp=drivesdk</t>
  </si>
  <si>
    <t xml:space="preserve">Wiwin Depita sari S.Tr.Keb </t>
  </si>
  <si>
    <t>wiwindepitasari1612@gmail.com</t>
  </si>
  <si>
    <t>7964</t>
  </si>
  <si>
    <t>1kZKiu8o_0VHNtJnOxPPF0R1Pbj-nulgQ</t>
  </si>
  <si>
    <t>https://drive.google.com/file/d/1kZKiu8o_0VHNtJnOxPPF0R1Pbj-nulgQ/view?usp=drivesdk</t>
  </si>
  <si>
    <t>RUSNANI</t>
  </si>
  <si>
    <t>rusnaniti123@gmail.com</t>
  </si>
  <si>
    <t>7965</t>
  </si>
  <si>
    <t>17-38mGhOB6ybaAO4HIbhZzsJGP6YNQR5</t>
  </si>
  <si>
    <t>https://drive.google.com/file/d/17-38mGhOB6ybaAO4HIbhZzsJGP6YNQR5/view?usp=drivesdk</t>
  </si>
  <si>
    <t>ASEP KUSNADI</t>
  </si>
  <si>
    <t>kusnadiasep057@gmail.com</t>
  </si>
  <si>
    <t>7966</t>
  </si>
  <si>
    <t>1AN_IAicSiwONZl6HKW9LD0DXsD_BYx9R</t>
  </si>
  <si>
    <t>https://drive.google.com/file/d/1AN_IAicSiwONZl6HKW9LD0DXsD_BYx9R/view?usp=drivesdk</t>
  </si>
  <si>
    <t>SUKAMTI,SE</t>
  </si>
  <si>
    <t>Sukamtinisukamtini@gmail.com</t>
  </si>
  <si>
    <t>7967</t>
  </si>
  <si>
    <t>Starting at Thu Aug 29 2024 22:23:33 GMT-0400 (EDT)</t>
  </si>
  <si>
    <t>1ou6tUQ3g8srG_mN4uMeEPTwEmjZt3yDJ</t>
  </si>
  <si>
    <t>https://drive.google.com/file/d/1ou6tUQ3g8srG_mN4uMeEPTwEmjZt3yDJ/view?usp=drivesdk</t>
  </si>
  <si>
    <t>FAUZIAH MAULIDDINA NOER, A.Md</t>
  </si>
  <si>
    <t>fauziahmauliddinanoer090992@gmail.com</t>
  </si>
  <si>
    <t>7968</t>
  </si>
  <si>
    <t>Starting at Thu Aug 29 2024 22:23:41 GMT-0400 (EDT)</t>
  </si>
  <si>
    <t>1amSwb3AI_Tt2C4Ivn3SlZhLpLXjzwXLA</t>
  </si>
  <si>
    <t>https://drive.google.com/file/d/1amSwb3AI_Tt2C4Ivn3SlZhLpLXjzwXLA/view?usp=drivesdk</t>
  </si>
  <si>
    <t xml:space="preserve">NANIK HARYATI </t>
  </si>
  <si>
    <t>nanik6575@gmail.com</t>
  </si>
  <si>
    <t>7969</t>
  </si>
  <si>
    <t>1VhsXd42XVuP9jRNdE4Xiwq-eee-RTbsk</t>
  </si>
  <si>
    <t>https://drive.google.com/file/d/1VhsXd42XVuP9jRNdE4Xiwq-eee-RTbsk/view?usp=drivesdk</t>
  </si>
  <si>
    <t>Wawan Ridwan Saeful</t>
  </si>
  <si>
    <t>wawan9328@gmail.com</t>
  </si>
  <si>
    <t>7970</t>
  </si>
  <si>
    <t>1GAxrAQBp2yN_X-UsIQUSReGGbWQ6fbbY</t>
  </si>
  <si>
    <t>https://drive.google.com/file/d/1GAxrAQBp2yN_X-UsIQUSReGGbWQ6fbbY/view?usp=drivesdk</t>
  </si>
  <si>
    <t>ERNAWATY NAINGGOLAN</t>
  </si>
  <si>
    <t>ernaawatii1996@gmail.com</t>
  </si>
  <si>
    <t>7971</t>
  </si>
  <si>
    <t>1WwfUAyYmRcduJ3webMhoEw6NAUYSHw8q</t>
  </si>
  <si>
    <t>https://drive.google.com/file/d/1WwfUAyYmRcduJ3webMhoEw6NAUYSHw8q/view?usp=drivesdk</t>
  </si>
  <si>
    <t>7972</t>
  </si>
  <si>
    <t>1sPg8lgRdv0YEY0Dtv6f3b-DbyEC1cMB7</t>
  </si>
  <si>
    <t>https://drive.google.com/file/d/1sPg8lgRdv0YEY0Dtv6f3b-DbyEC1cMB7/view?usp=drivesdk</t>
  </si>
  <si>
    <t>MUHAMAD ARIEF BUDIMAN</t>
  </si>
  <si>
    <t>damarputri2004@gmail.com</t>
  </si>
  <si>
    <t>7973</t>
  </si>
  <si>
    <t>1zZ9lzYvU9SpuDXpwa3kHqfu3X1AdbuhO</t>
  </si>
  <si>
    <t>https://drive.google.com/file/d/1zZ9lzYvU9SpuDXpwa3kHqfu3X1AdbuhO/view?usp=drivesdk</t>
  </si>
  <si>
    <t>FITRIA</t>
  </si>
  <si>
    <t>fitriatamsil77@gmail.com</t>
  </si>
  <si>
    <t>7974</t>
  </si>
  <si>
    <t>1W958W5rJHhliaXkw2pg1WYoTsW41_cH_</t>
  </si>
  <si>
    <t>https://drive.google.com/file/d/1W958W5rJHhliaXkw2pg1WYoTsW41_cH_/view?usp=drivesdk</t>
  </si>
  <si>
    <t>ESTI SIMANJUNTAK</t>
  </si>
  <si>
    <t>estisimanjuntak14@gmail.com</t>
  </si>
  <si>
    <t>7975</t>
  </si>
  <si>
    <t>1BQpx9RMm5WBv8FBHa2ZDi0w8XtypC03p</t>
  </si>
  <si>
    <t>https://drive.google.com/file/d/1BQpx9RMm5WBv8FBHa2ZDi0w8XtypC03p/view?usp=drivesdk</t>
  </si>
  <si>
    <t>LEONARD WATTIMENA</t>
  </si>
  <si>
    <t>leonardwattimena4@gmail.com</t>
  </si>
  <si>
    <t>7976</t>
  </si>
  <si>
    <t>1XXtRSAlMNdJeRecgZ_MGu8kRtNPb9DTK</t>
  </si>
  <si>
    <t>https://drive.google.com/file/d/1XXtRSAlMNdJeRecgZ_MGu8kRtNPb9DTK/view?usp=drivesdk</t>
  </si>
  <si>
    <t>HENNY TRI PURWATININGSIH</t>
  </si>
  <si>
    <t>purwatiningsihhennytri@gmail.com</t>
  </si>
  <si>
    <t>7977</t>
  </si>
  <si>
    <t>1qEZ2_Srs4Frl07hVFhjGcjvQEkYQVXen</t>
  </si>
  <si>
    <t>https://drive.google.com/file/d/1qEZ2_Srs4Frl07hVFhjGcjvQEkYQVXen/view?usp=drivesdk</t>
  </si>
  <si>
    <t xml:space="preserve">SAMSU BAHRI </t>
  </si>
  <si>
    <t>samsubahri82@gmail.com</t>
  </si>
  <si>
    <t>7978</t>
  </si>
  <si>
    <t>Starting at Thu Aug 29 2024 22:23:45 GMT-0400 (EDT)</t>
  </si>
  <si>
    <t>1_j95xSBj1ey-1glQpVv7kCFE9lDfNor8</t>
  </si>
  <si>
    <t>https://drive.google.com/file/d/1_j95xSBj1ey-1glQpVv7kCFE9lDfNor8/view?usp=drivesdk</t>
  </si>
  <si>
    <t>JOKO SUTRISNO.S</t>
  </si>
  <si>
    <t>jsutrisno160@gmail.com</t>
  </si>
  <si>
    <t>7979</t>
  </si>
  <si>
    <t>Starting at Thu Aug 29 2024 22:23:52 GMT-0400 (EDT)</t>
  </si>
  <si>
    <t>1_9wm9zXhRN7IqRMTQAxwjDjEbHG29bUt</t>
  </si>
  <si>
    <t>https://drive.google.com/file/d/1_9wm9zXhRN7IqRMTQAxwjDjEbHG29bUt/view?usp=drivesdk</t>
  </si>
  <si>
    <t>ERNA BUDIJATI</t>
  </si>
  <si>
    <t>budijatierna@gmail.com</t>
  </si>
  <si>
    <t>7980</t>
  </si>
  <si>
    <t>Starting at Thu Aug 29 2024 22:24:02 GMT-0400 (EDT)</t>
  </si>
  <si>
    <t>1bV8GFyEasMaAkBVuopz7pOOXQ-DRHoNe</t>
  </si>
  <si>
    <t>https://drive.google.com/file/d/1bV8GFyEasMaAkBVuopz7pOOXQ-DRHoNe/view?usp=drivesdk</t>
  </si>
  <si>
    <t>Document successfully created; Document successfully merged; PDF created; !!Error Sending Emails: Service invoked too many times for one day: email.; Run via form trigger as ecertificate75@gmail.com; Timestamp: Sep 4 2024 11:48 PM</t>
  </si>
  <si>
    <t>TRI WINDARI</t>
  </si>
  <si>
    <t>triwindari77@gmail.com</t>
  </si>
  <si>
    <t>7981</t>
  </si>
  <si>
    <t>14l0u9OfX-USCEsgG3ptEmMqLES1M0m2O</t>
  </si>
  <si>
    <t>https://drive.google.com/file/d/14l0u9OfX-USCEsgG3ptEmMqLES1M0m2O/view?usp=drivesdk</t>
  </si>
  <si>
    <t>KARUNIA, A.Md</t>
  </si>
  <si>
    <t>nia094491@gmail.com</t>
  </si>
  <si>
    <t>7982</t>
  </si>
  <si>
    <t>1YWDzu9bwVv2m1C5evtKfXY70wE-4El_Y</t>
  </si>
  <si>
    <t>https://drive.google.com/file/d/1YWDzu9bwVv2m1C5evtKfXY70wE-4El_Y/view?usp=drivesdk</t>
  </si>
  <si>
    <t>BERNI RATNANINGRUM, A.Md</t>
  </si>
  <si>
    <t>berninonik@gmail.com</t>
  </si>
  <si>
    <t>7983</t>
  </si>
  <si>
    <t>1jv4r4kj5C5hcb052AyX7KKIijwDoibxZ</t>
  </si>
  <si>
    <t>https://drive.google.com/file/d/1jv4r4kj5C5hcb052AyX7KKIijwDoibxZ/view?usp=drivesdk</t>
  </si>
  <si>
    <t>MUHAMMAD HAYADI</t>
  </si>
  <si>
    <t>mhd.hayadi@gmail.com</t>
  </si>
  <si>
    <t>7984</t>
  </si>
  <si>
    <t>1Uz80ozTldOL1-LELKCIYoolav8FqiwaN</t>
  </si>
  <si>
    <t>https://drive.google.com/file/d/1Uz80ozTldOL1-LELKCIYoolav8FqiwaN/view?usp=drivesdk</t>
  </si>
  <si>
    <t>JUNAIDI SYAKBAN, S.E., M.Ak.</t>
  </si>
  <si>
    <t>junbakung@gmail.com</t>
  </si>
  <si>
    <t>7985</t>
  </si>
  <si>
    <t>Starting at Thu Aug 29 2024 22:24:04 GMT-0400 (EDT)</t>
  </si>
  <si>
    <t>1r_0qnUmswrsoucmjJ25Gu3-k1Nqc9F8Y</t>
  </si>
  <si>
    <t>https://drive.google.com/file/d/1r_0qnUmswrsoucmjJ25Gu3-k1Nqc9F8Y/view?usp=drivesdk</t>
  </si>
  <si>
    <t>Document successfully created; Document successfully merged; PDF created; !!Error Sending Emails: Service invoked too many times for one day: email.; Run via form trigger as ecertificate75@gmail.com; Timestamp: Sep 4 2024 11:49 PM</t>
  </si>
  <si>
    <t>NINA MARDIANA</t>
  </si>
  <si>
    <t>aninmardiana@gmail.com</t>
  </si>
  <si>
    <t>7986</t>
  </si>
  <si>
    <t>14MMEeBJyx_7MCUrWi3MVpvmmJQZYjtMw</t>
  </si>
  <si>
    <t>https://drive.google.com/file/d/14MMEeBJyx_7MCUrWi3MVpvmmJQZYjtMw/view?usp=drivesdk</t>
  </si>
  <si>
    <t>R.IMRON ROSADI, A.Md.Far</t>
  </si>
  <si>
    <t>raden.imron1412@gmail.com</t>
  </si>
  <si>
    <t>7987</t>
  </si>
  <si>
    <t>Starting at Thu Aug 29 2024 22:24:06 GMT-0400 (EDT)</t>
  </si>
  <si>
    <t>1Sxjqsc65FTJDz-TkzAQa5Tg2bCwbhxH8</t>
  </si>
  <si>
    <t>https://drive.google.com/file/d/1Sxjqsc65FTJDz-TkzAQa5Tg2bCwbhxH8/view?usp=drivesdk</t>
  </si>
  <si>
    <t>mulyadiadi06698@gmail.com</t>
  </si>
  <si>
    <t>7988</t>
  </si>
  <si>
    <t>Starting at Thu Aug 29 2024 22:24:10 GMT-0400 (EDT)</t>
  </si>
  <si>
    <t>1y4koVZSCrx9nm5wW4-9qCoIQKTSPDe59</t>
  </si>
  <si>
    <t>https://drive.google.com/file/d/1y4koVZSCrx9nm5wW4-9qCoIQKTSPDe59/view?usp=drivesdk</t>
  </si>
  <si>
    <t>HOMBAR WIJAYANTO</t>
  </si>
  <si>
    <t>hombarwijayanto80@gmail.com</t>
  </si>
  <si>
    <t>7989</t>
  </si>
  <si>
    <t>Starting at Thu Aug 29 2024 22:24:11 GMT-0400 (EDT)</t>
  </si>
  <si>
    <t>1lFDxmGw-hleN_Qck2BfYatTkVercFQPl</t>
  </si>
  <si>
    <t>https://drive.google.com/file/d/1lFDxmGw-hleN_Qck2BfYatTkVercFQPl/view?usp=drivesdk</t>
  </si>
  <si>
    <t>7990</t>
  </si>
  <si>
    <t>Starting at Thu Aug 29 2024 22:24:13 GMT-0400 (EDT)</t>
  </si>
  <si>
    <t>1bFBNfNtoa2UKJcbKFgSVfrzNfgT2vvon</t>
  </si>
  <si>
    <t>https://drive.google.com/file/d/1bFBNfNtoa2UKJcbKFgSVfrzNfgT2vvon/view?usp=drivesdk</t>
  </si>
  <si>
    <t xml:space="preserve">DEDE ROSYATI </t>
  </si>
  <si>
    <t>dederosyati76@gmail.com</t>
  </si>
  <si>
    <t>7991</t>
  </si>
  <si>
    <t>Starting at Thu Aug 29 2024 22:24:18 GMT-0400 (EDT)</t>
  </si>
  <si>
    <t>1fdK7Jc0WTcTi2pvhmZjFhT4cARD1jEU2</t>
  </si>
  <si>
    <t>https://drive.google.com/file/d/1fdK7Jc0WTcTi2pvhmZjFhT4cARD1jEU2/view?usp=drivesdk</t>
  </si>
  <si>
    <t>INDAH SRI WINARTI</t>
  </si>
  <si>
    <t>indahsri090@gmail.com</t>
  </si>
  <si>
    <t>7992</t>
  </si>
  <si>
    <t>13O9P6da3lXhBbKT4HWsyXz76YgjS9Gfe</t>
  </si>
  <si>
    <t>https://drive.google.com/file/d/13O9P6da3lXhBbKT4HWsyXz76YgjS9Gfe/view?usp=drivesdk</t>
  </si>
  <si>
    <t>Document successfully created; Document successfully merged; PDF created; !!Error Sending Emails: Service invoked too many times for one day: email.; Run via form trigger as ecertificate75@gmail.com; Timestamp: Sep 5 2024 12:13 AM</t>
  </si>
  <si>
    <t>suprilogistik79@gmail.com</t>
  </si>
  <si>
    <t>7993</t>
  </si>
  <si>
    <t>1TFk-TYBSC6TVr-CMskeiMUWxHtCcMG4E</t>
  </si>
  <si>
    <t>https://drive.google.com/file/d/1TFk-TYBSC6TVr-CMskeiMUWxHtCcMG4E/view?usp=drivesdk</t>
  </si>
  <si>
    <t>SULISTIYONO</t>
  </si>
  <si>
    <t>ryantyo33@gmail.com</t>
  </si>
  <si>
    <t>7994</t>
  </si>
  <si>
    <t>Starting at Thu Aug 29 2024 22:24:24 GMT-0400 (EDT)</t>
  </si>
  <si>
    <t>1z_Ec3ZXE8S0Ck-ENvv01zRKgDcYFUa4C</t>
  </si>
  <si>
    <t>https://drive.google.com/file/d/1z_Ec3ZXE8S0Ck-ENvv01zRKgDcYFUa4C/view?usp=drivesdk</t>
  </si>
  <si>
    <t>SUSI FARIYATI</t>
  </si>
  <si>
    <t>susifariyati4@gmail.com</t>
  </si>
  <si>
    <t>7995</t>
  </si>
  <si>
    <t>1JfrvAuEpC4SeLcDmylRIh8dZ8-4QOiUw</t>
  </si>
  <si>
    <t>https://drive.google.com/file/d/1JfrvAuEpC4SeLcDmylRIh8dZ8-4QOiUw/view?usp=drivesdk</t>
  </si>
  <si>
    <t>Konny Liane Rako</t>
  </si>
  <si>
    <t>lianerako@gmail.com</t>
  </si>
  <si>
    <t>7996</t>
  </si>
  <si>
    <t>Starting at Thu Aug 29 2024 22:24:33 GMT-0400 (EDT)</t>
  </si>
  <si>
    <t>1nsnebywTsJKYQ1NeqJ8mPUcoR1IICp1-</t>
  </si>
  <si>
    <t>https://drive.google.com/file/d/1nsnebywTsJKYQ1NeqJ8mPUcoR1IICp1-/view?usp=drivesdk</t>
  </si>
  <si>
    <t>HENI WURYANDARI, S.KEP.NS</t>
  </si>
  <si>
    <t>heniwuri.rsb@gmail.com</t>
  </si>
  <si>
    <t>7997</t>
  </si>
  <si>
    <t>1T4BpNZzT9-6gx5vYnIMqsauxbXPTg-XO</t>
  </si>
  <si>
    <t>https://drive.google.com/file/d/1T4BpNZzT9-6gx5vYnIMqsauxbXPTg-XO/view?usp=drivesdk</t>
  </si>
  <si>
    <t>Document successfully created; Document successfully merged; PDF created; !!Error Sending Emails: Service invoked too many times for one day: email.; Run via form trigger as ecertificate75@gmail.com; Timestamp: Sep 5 2024 12:14 AM</t>
  </si>
  <si>
    <t>RETNO WULANDARI, S.E., M.M.</t>
  </si>
  <si>
    <t>en0wd.tn02@gmail.com</t>
  </si>
  <si>
    <t>7998</t>
  </si>
  <si>
    <t>1WCPN629alQ5eC8LDyUSoMrqRg8crNsFC</t>
  </si>
  <si>
    <t>https://drive.google.com/file/d/1WCPN629alQ5eC8LDyUSoMrqRg8crNsFC/view?usp=drivesdk</t>
  </si>
  <si>
    <t>Document successfully created; Document successfully merged; PDF created; !!Error Sending Emails: Service invoked too many times for one day: email.; Run via form trigger as ecertificate75@gmail.com; Timestamp: Sep 5 2024 12:35 AM</t>
  </si>
  <si>
    <t>SUTARNO</t>
  </si>
  <si>
    <t>sutarnoenggar67@gmail.com</t>
  </si>
  <si>
    <t>7999</t>
  </si>
  <si>
    <t>1m77Aev9_NaroKUNxY-Vgd5YMrpV8GO71</t>
  </si>
  <si>
    <t>https://drive.google.com/file/d/1m77Aev9_NaroKUNxY-Vgd5YMrpV8GO71/view?usp=drivesdk</t>
  </si>
  <si>
    <t>JEREMMY JANUARISHAK, A.MD.</t>
  </si>
  <si>
    <t>jjeremmy01@gmail.com</t>
  </si>
  <si>
    <t>8000</t>
  </si>
  <si>
    <t>1ZyeiFZM_GfnARML3bUqzx7XLZ8p6tGeN</t>
  </si>
  <si>
    <t>https://drive.google.com/file/d/1ZyeiFZM_GfnARML3bUqzx7XLZ8p6tGeN/view?usp=drivesdk</t>
  </si>
  <si>
    <t>WINDHY PUSPITANINGRUM</t>
  </si>
  <si>
    <t>windhy27@gmail.com</t>
  </si>
  <si>
    <t>8001</t>
  </si>
  <si>
    <t>1yfgLl8Ywh9pSS15IYiCVRiFDJ0cSjX6_</t>
  </si>
  <si>
    <t>https://drive.google.com/file/d/1yfgLl8Ywh9pSS15IYiCVRiFDJ0cSjX6_/view?usp=drivesdk</t>
  </si>
  <si>
    <t>IKA YULIANI</t>
  </si>
  <si>
    <t>ikayuliani752@gmail.com</t>
  </si>
  <si>
    <t>8002</t>
  </si>
  <si>
    <t>1W27yFV_VsPYixnQb6e0Ob9GNqOAUsJYL</t>
  </si>
  <si>
    <t>https://drive.google.com/file/d/1W27yFV_VsPYixnQb6e0Ob9GNqOAUsJYL/view?usp=drivesdk</t>
  </si>
  <si>
    <t xml:space="preserve">RADEN RORO MOEHARNINGSIH </t>
  </si>
  <si>
    <t>wahyudimistin@gmail.com</t>
  </si>
  <si>
    <t>8003</t>
  </si>
  <si>
    <t>Starting at Thu Aug 29 2024 22:24:37 GMT-0400 (EDT)</t>
  </si>
  <si>
    <t>1oDYiuq3BPFv4gyfLVf93eJljB6FiOHZt</t>
  </si>
  <si>
    <t>https://drive.google.com/file/d/1oDYiuq3BPFv4gyfLVf93eJljB6FiOHZt/view?usp=drivesdk</t>
  </si>
  <si>
    <t>Document successfully created; Document successfully merged; PDF created; !!Error Sending Emails: Service invoked too many times for one day: email.; Run via form trigger as ecertificate75@gmail.com; Timestamp: Sep 5 2024 12:36 AM</t>
  </si>
  <si>
    <t>ASNILA NURDALENA</t>
  </si>
  <si>
    <t>Asnila_bhay@yahoo.com</t>
  </si>
  <si>
    <t>8004</t>
  </si>
  <si>
    <t>1T1juoftFKMuh0tJ04BWbd3yj1NLA-_t0</t>
  </si>
  <si>
    <t>https://drive.google.com/file/d/1T1juoftFKMuh0tJ04BWbd3yj1NLA-_t0/view?usp=drivesdk</t>
  </si>
  <si>
    <t>SITI SENDARI</t>
  </si>
  <si>
    <t>sendaripuspitasari@gmail.com</t>
  </si>
  <si>
    <t>8005</t>
  </si>
  <si>
    <t>12pBmnXyyrNy3jx9V716A6q5SS8oVNzXp</t>
  </si>
  <si>
    <t>https://drive.google.com/file/d/12pBmnXyyrNy3jx9V716A6q5SS8oVNzXp/view?usp=drivesdk</t>
  </si>
  <si>
    <t>EKAYANTI KARTIKA</t>
  </si>
  <si>
    <t>ekayantikartika68@gmail.com</t>
  </si>
  <si>
    <t>8006</t>
  </si>
  <si>
    <t>Starting at Thu Aug 29 2024 22:24:47 GMT-0400 (EDT)</t>
  </si>
  <si>
    <t>1Pr8ut4ACKNlEIa4iNGh21T6nPmGpi4y6</t>
  </si>
  <si>
    <t>https://drive.google.com/file/d/1Pr8ut4ACKNlEIa4iNGh21T6nPmGpi4y6/view?usp=drivesdk</t>
  </si>
  <si>
    <t>sutrissium1977@gmail.com</t>
  </si>
  <si>
    <t>8007</t>
  </si>
  <si>
    <t>14RpgizISuVkmCXeSVOoOyuHz2WI8UTT8</t>
  </si>
  <si>
    <t>https://drive.google.com/file/d/14RpgizISuVkmCXeSVOoOyuHz2WI8UTT8/view?usp=drivesdk</t>
  </si>
  <si>
    <t>agustinawina2401@gmail.com</t>
  </si>
  <si>
    <t>8008</t>
  </si>
  <si>
    <t>Starting at Thu Aug 29 2024 22:24:52 GMT-0400 (EDT)</t>
  </si>
  <si>
    <t>1cCHJ_PVBN32hozdFBMArM2QTe0Dw7NlC</t>
  </si>
  <si>
    <t>https://drive.google.com/file/d/1cCHJ_PVBN32hozdFBMArM2QTe0Dw7NlC/view?usp=drivesdk</t>
  </si>
  <si>
    <t>SRI SUARTI</t>
  </si>
  <si>
    <t>Srisuarti159@gmail.com</t>
  </si>
  <si>
    <t>8009</t>
  </si>
  <si>
    <t>11ZDtMIX7tDlSerhFOCe9khWlmHdFBPkZ</t>
  </si>
  <si>
    <t>https://drive.google.com/file/d/11ZDtMIX7tDlSerhFOCe9khWlmHdFBPkZ/view?usp=drivesdk</t>
  </si>
  <si>
    <t>Document successfully created; Document successfully merged; PDF created; !!Error Sending Emails: Service invoked too many times for one day: email.; Run via form trigger as ecertificate75@gmail.com; Timestamp: Sep 5 2024 12:37 AM</t>
  </si>
  <si>
    <t>ROHMIYANTO</t>
  </si>
  <si>
    <t>romiyanto5869@gmail.com</t>
  </si>
  <si>
    <t>8010</t>
  </si>
  <si>
    <t>1EclLeSDoBofDkI_rZ6TRTUSfbi6pBg4Q</t>
  </si>
  <si>
    <t>https://drive.google.com/file/d/1EclLeSDoBofDkI_rZ6TRTUSfbi6pBg4Q/view?usp=drivesdk</t>
  </si>
  <si>
    <t>WIJI NURWIDAYATI, Amd. Kep</t>
  </si>
  <si>
    <t>wijinrsbk@gmail.com</t>
  </si>
  <si>
    <t>8011</t>
  </si>
  <si>
    <t>Starting at Thu Aug 29 2024 22:24:58 GMT-0400 (EDT)</t>
  </si>
  <si>
    <t>1hrvlJPN58btFp0Vp-fdqmjNKsW_AeLIr</t>
  </si>
  <si>
    <t>https://drive.google.com/file/d/1hrvlJPN58btFp0Vp-fdqmjNKsW_AeLIr/view?usp=drivesdk</t>
  </si>
  <si>
    <t>DWI ENDANG WINASIS</t>
  </si>
  <si>
    <t>endangd182@gmail.com</t>
  </si>
  <si>
    <t>8012</t>
  </si>
  <si>
    <t>1y_PB8trH7-2Up8OdzBptHr5kAbi3e8S-</t>
  </si>
  <si>
    <t>https://drive.google.com/file/d/1y_PB8trH7-2Up8OdzBptHr5kAbi3e8S-/view?usp=drivesdk</t>
  </si>
  <si>
    <t>HERMAN SUGIANTO</t>
  </si>
  <si>
    <t>hermansugianto1976@gmail.com</t>
  </si>
  <si>
    <t>8013</t>
  </si>
  <si>
    <t>Starting at Thu Aug 29 2024 22:25:01 GMT-0400 (EDT)</t>
  </si>
  <si>
    <t>1GTD2U0YrIjp7lB8k6IZV4NRjyH77SslU</t>
  </si>
  <si>
    <t>https://drive.google.com/file/d/1GTD2U0YrIjp7lB8k6IZV4NRjyH77SslU/view?usp=drivesdk</t>
  </si>
  <si>
    <t>SYAHBANI</t>
  </si>
  <si>
    <t>syahbani1976@gmail.com</t>
  </si>
  <si>
    <t>8014</t>
  </si>
  <si>
    <t>122mjHLHRn4Ok-7Lm06PYNRIXM6DBia9R</t>
  </si>
  <si>
    <t>https://drive.google.com/file/d/122mjHLHRn4Ok-7Lm06PYNRIXM6DBia9R/view?usp=drivesdk</t>
  </si>
  <si>
    <t>Document successfully created; Document successfully merged; PDF created; !!Error Sending Emails: Service invoked too many times for one day: email.; Run via form trigger as ecertificate75@gmail.com; Timestamp: Sep 5 2024 12:38 AM</t>
  </si>
  <si>
    <t>NORMAWATI, AMK</t>
  </si>
  <si>
    <t>normaharifuddin@gmail.com</t>
  </si>
  <si>
    <t>8015</t>
  </si>
  <si>
    <t>Starting at Thu Aug 29 2024 22:25:05 GMT-0400 (EDT)</t>
  </si>
  <si>
    <t>1eQY3IVzl7QyMbpgEymbmeEspP33J_f_Q</t>
  </si>
  <si>
    <t>https://drive.google.com/file/d/1eQY3IVzl7QyMbpgEymbmeEspP33J_f_Q/view?usp=drivesdk</t>
  </si>
  <si>
    <t>Document successfully created; Document successfully merged; PDF created; !!Error Sending Emails: Service invoked too many times for one day: email.; Run via form trigger as ecertificate75@gmail.com; Timestamp: Sep 5 2024 12:56 AM</t>
  </si>
  <si>
    <t xml:space="preserve">IDA SRI YULIATI, Amd Keb, SKM. </t>
  </si>
  <si>
    <t>idasriyuliati210@gmail.com</t>
  </si>
  <si>
    <t>8016</t>
  </si>
  <si>
    <t>1lfNniE6lI6JPEiqvPF_kt9rYO7fu-EnK</t>
  </si>
  <si>
    <t>https://drive.google.com/file/d/1lfNniE6lI6JPEiqvPF_kt9rYO7fu-EnK/view?usp=drivesdk</t>
  </si>
  <si>
    <t>Document successfully created; Document successfully merged; PDF created; !!Error Sending Emails: Service invoked too many times for one day: email.; Run via form trigger as ecertificate75@gmail.com; Timestamp: Sep 5 2024 12:57 AM</t>
  </si>
  <si>
    <t>KUWAT SUPRIYANTO</t>
  </si>
  <si>
    <t>supriyantokuwat165@gmail.com</t>
  </si>
  <si>
    <t>8017</t>
  </si>
  <si>
    <t>Starting at Thu Aug 29 2024 22:25:15 GMT-0400 (EDT)</t>
  </si>
  <si>
    <t>193jGZKmAMk7VHHn0bBE8PRhaajEu2qpH</t>
  </si>
  <si>
    <t>https://drive.google.com/file/d/193jGZKmAMk7VHHn0bBE8PRhaajEu2qpH/view?usp=drivesdk</t>
  </si>
  <si>
    <t>ERNA UMIARSIH</t>
  </si>
  <si>
    <t>ernaumiarsih64@mail.com</t>
  </si>
  <si>
    <t>8018</t>
  </si>
  <si>
    <t>1U7h4Dwu8lBN5b1k5R9CrlzZSoHwOtlSL</t>
  </si>
  <si>
    <t>https://drive.google.com/file/d/1U7h4Dwu8lBN5b1k5R9CrlzZSoHwOtlSL/view?usp=drivesdk</t>
  </si>
  <si>
    <t>SETIASIH</t>
  </si>
  <si>
    <t>setiasihluwes@gmail.com</t>
  </si>
  <si>
    <t>8019</t>
  </si>
  <si>
    <t>1Ck0vMstWkWVG44i3IZarcn5DMZ8TaN5g</t>
  </si>
  <si>
    <t>https://drive.google.com/file/d/1Ck0vMstWkWVG44i3IZarcn5DMZ8TaN5g/view?usp=drivesdk</t>
  </si>
  <si>
    <t>SYARIFAH ARTHA, SE</t>
  </si>
  <si>
    <t>arthaipeh@gmail.com</t>
  </si>
  <si>
    <t>8020</t>
  </si>
  <si>
    <t>1xthwScy-6HL1P43zOy7tWVSOlDXWmFC5</t>
  </si>
  <si>
    <t>https://drive.google.com/file/d/1xthwScy-6HL1P43zOy7tWVSOlDXWmFC5/view?usp=drivesdk</t>
  </si>
  <si>
    <t xml:space="preserve">URAY ZULKARNAIN, S.T., M.M. </t>
  </si>
  <si>
    <t>rayzul2004@gmail.com</t>
  </si>
  <si>
    <t>8021</t>
  </si>
  <si>
    <t>1g3tDk1bQpyhPNK1KDJF-kxWgM9KzpSRY</t>
  </si>
  <si>
    <t>https://drive.google.com/file/d/1g3tDk1bQpyhPNK1KDJF-kxWgM9KzpSRY/view?usp=drivesdk</t>
  </si>
  <si>
    <t>NS.SRI GUSTINI, S.KEP</t>
  </si>
  <si>
    <t>srigustini.tien@gmail.com</t>
  </si>
  <si>
    <t>8022</t>
  </si>
  <si>
    <t>Starting at Thu Aug 29 2024 22:25:19 GMT-0400 (EDT)</t>
  </si>
  <si>
    <t>1kqbzb8TdK-6TNZPASy8QbgrlmLoT-1mw</t>
  </si>
  <si>
    <t>https://drive.google.com/file/d/1kqbzb8TdK-6TNZPASy8QbgrlmLoT-1mw/view?usp=drivesdk</t>
  </si>
  <si>
    <t>ARMEMI</t>
  </si>
  <si>
    <t>bagkermaroopspoldariau@gmail.com</t>
  </si>
  <si>
    <t>8023</t>
  </si>
  <si>
    <t>1D6GJQBOi1Aw2BlrNTOt9lOOnGCS0dYSM</t>
  </si>
  <si>
    <t>https://drive.google.com/file/d/1D6GJQBOi1Aw2BlrNTOt9lOOnGCS0dYSM/view?usp=drivesdk</t>
  </si>
  <si>
    <t>Document successfully created; Document successfully merged; PDF created; !!Error Sending Emails: Service invoked too many times for one day: email.; Run via form trigger as ecertificate75@gmail.com; Timestamp: Sep 5 2024 12:58 AM</t>
  </si>
  <si>
    <t>NURMIN</t>
  </si>
  <si>
    <t>nurminbhodonk@gmail.com</t>
  </si>
  <si>
    <t>8024</t>
  </si>
  <si>
    <t>18pYtO-FAxVaCKuqjYNQPGTqgPr6Qz7zo</t>
  </si>
  <si>
    <t>https://drive.google.com/file/d/18pYtO-FAxVaCKuqjYNQPGTqgPr6Qz7zo/view?usp=drivesdk</t>
  </si>
  <si>
    <t>RITA LESTARI, S.Kep</t>
  </si>
  <si>
    <t>ritalestari2383@gmail.com</t>
  </si>
  <si>
    <t>8025</t>
  </si>
  <si>
    <t>Starting at Thu Aug 29 2024 22:25:31 GMT-0400 (EDT)</t>
  </si>
  <si>
    <t>1vDFnXs6dgG6wm33LkFno0OApXN2-z5Gk</t>
  </si>
  <si>
    <t>https://drive.google.com/file/d/1vDFnXs6dgG6wm33LkFno0OApXN2-z5Gk/view?usp=drivesdk</t>
  </si>
  <si>
    <t>ANNISAA PUTRI RIAYU</t>
  </si>
  <si>
    <t>annisaaputririayu@gmail.com</t>
  </si>
  <si>
    <t>8026</t>
  </si>
  <si>
    <t>1JDM8TvI-LBeNathYFB10OsY80KEdJGhC</t>
  </si>
  <si>
    <t>https://drive.google.com/file/d/1JDM8TvI-LBeNathYFB10OsY80KEdJGhC/view?usp=drivesdk</t>
  </si>
  <si>
    <t>SARAWI</t>
  </si>
  <si>
    <t>sakwewek@gmail.com</t>
  </si>
  <si>
    <t>8027</t>
  </si>
  <si>
    <t>1m_oc_P6t_Nrvj08O8sGR7NfkzkWwp1TK</t>
  </si>
  <si>
    <t>https://drive.google.com/file/d/1m_oc_P6t_Nrvj08O8sGR7NfkzkWwp1TK/view?usp=drivesdk</t>
  </si>
  <si>
    <t>ERLINA SARI HASIBUAN</t>
  </si>
  <si>
    <t>erlinasarihasibuan12@gmail.com</t>
  </si>
  <si>
    <t>8028</t>
  </si>
  <si>
    <t>1diHRLLis0KHe-AN5tj0EYWNT4JmOUXjF</t>
  </si>
  <si>
    <t>https://drive.google.com/file/d/1diHRLLis0KHe-AN5tj0EYWNT4JmOUXjF/view?usp=drivesdk</t>
  </si>
  <si>
    <t>MUSTIATI AMd. Keb</t>
  </si>
  <si>
    <t>mustiati78@gmail.com</t>
  </si>
  <si>
    <t>8029</t>
  </si>
  <si>
    <t>1JrEspmBO0iQaRqvWZBgb0EJbtCXEbAiz</t>
  </si>
  <si>
    <t>https://drive.google.com/file/d/1JrEspmBO0iQaRqvWZBgb0EJbtCXEbAiz/view?usp=drivesdk</t>
  </si>
  <si>
    <t>SANTA BERLIANA</t>
  </si>
  <si>
    <t>santapanjaitan11@gmail.com</t>
  </si>
  <si>
    <t>8030</t>
  </si>
  <si>
    <t>1WK1e2lLtVrRLfjMo7PQtCMdVKearRahD</t>
  </si>
  <si>
    <t>https://drive.google.com/file/d/1WK1e2lLtVrRLfjMo7PQtCMdVKearRahD/view?usp=drivesdk</t>
  </si>
  <si>
    <t>NOVERY DEDY SUSANTO</t>
  </si>
  <si>
    <t>noverydedysusanto@gmail.com</t>
  </si>
  <si>
    <t>8031</t>
  </si>
  <si>
    <t>1DYkRIzkEQohfm7z62szsd4e8H2MtLvEk</t>
  </si>
  <si>
    <t>https://drive.google.com/file/d/1DYkRIzkEQohfm7z62szsd4e8H2MtLvEk/view?usp=drivesdk</t>
  </si>
  <si>
    <t>wartiniwartini770@gmail.com</t>
  </si>
  <si>
    <t>8032</t>
  </si>
  <si>
    <t>Starting at Thu Aug 29 2024 22:25:41 GMT-0400 (EDT)</t>
  </si>
  <si>
    <t>1g7jZSN2vbheAMyAg4oCzJvejv8zIsmqY</t>
  </si>
  <si>
    <t>https://drive.google.com/file/d/1g7jZSN2vbheAMyAg4oCzJvejv8zIsmqY/view?usp=drivesdk</t>
  </si>
  <si>
    <t>DARIA Bin Toton</t>
  </si>
  <si>
    <t>arya.22.kiki@gmail.com</t>
  </si>
  <si>
    <t>8033</t>
  </si>
  <si>
    <t>1xI3Gb4aqUgZz4AJUoGYPs1mHt6rbcRHH</t>
  </si>
  <si>
    <t>https://drive.google.com/file/d/1xI3Gb4aqUgZz4AJUoGYPs1mHt6rbcRHH/view?usp=drivesdk</t>
  </si>
  <si>
    <t>JAELANI</t>
  </si>
  <si>
    <t>boyolalijaelani@gmail.com</t>
  </si>
  <si>
    <t>8034</t>
  </si>
  <si>
    <t>1QKJWlPBrD6dh3SSNBqv68Dle5aAn18E6</t>
  </si>
  <si>
    <t>https://drive.google.com/file/d/1QKJWlPBrD6dh3SSNBqv68Dle5aAn18E6/view?usp=drivesdk</t>
  </si>
  <si>
    <t xml:space="preserve">YULIYANTI KEMHAY </t>
  </si>
  <si>
    <t>yuliyantikemhay95@gmail.com</t>
  </si>
  <si>
    <t>8035</t>
  </si>
  <si>
    <t>Starting at Thu Aug 29 2024 22:25:45 GMT-0400 (EDT)</t>
  </si>
  <si>
    <t>1ftArdYz4c16HvtndAAIVMcscsP-hVw3u</t>
  </si>
  <si>
    <t>https://drive.google.com/file/d/1ftArdYz4c16HvtndAAIVMcscsP-hVw3u/view?usp=drivesdk</t>
  </si>
  <si>
    <t>SUSANTI, A.Md</t>
  </si>
  <si>
    <t>susanti270995@gmail.com</t>
  </si>
  <si>
    <t>8036</t>
  </si>
  <si>
    <t>Starting at Thu Aug 29 2024 22:25:48 GMT-0400 (EDT)</t>
  </si>
  <si>
    <t>157mGc5dBNsvgdEyRik6jhmRG9T3HWBZz</t>
  </si>
  <si>
    <t>https://drive.google.com/file/d/157mGc5dBNsvgdEyRik6jhmRG9T3HWBZz/view?usp=drivesdk</t>
  </si>
  <si>
    <t>ESTININGSIH</t>
  </si>
  <si>
    <t>rafifrasya19@gmail.com</t>
  </si>
  <si>
    <t>8037</t>
  </si>
  <si>
    <t>1f9UNKRBKDOcDvoH2_L5keKpav2kEIGAK</t>
  </si>
  <si>
    <t>https://drive.google.com/file/d/1f9UNKRBKDOcDvoH2_L5keKpav2kEIGAK/view?usp=drivesdk</t>
  </si>
  <si>
    <t>RITA HAYATI</t>
  </si>
  <si>
    <t>ritahayati869@gmail.com</t>
  </si>
  <si>
    <t>8038</t>
  </si>
  <si>
    <t>Starting at Thu Aug 29 2024 22:25:55 GMT-0400 (EDT)</t>
  </si>
  <si>
    <t>1QUB3XL6CXvHX6C9dxTm2Smk57_13nY7Z</t>
  </si>
  <si>
    <t>https://drive.google.com/file/d/1QUB3XL6CXvHX6C9dxTm2Smk57_13nY7Z/view?usp=drivesdk</t>
  </si>
  <si>
    <t>INDRAJAYA SAPUTRA, S.E.</t>
  </si>
  <si>
    <t>nabilindri1977@gmail.com</t>
  </si>
  <si>
    <t>8039</t>
  </si>
  <si>
    <t>1yy1b4MT_WSA5qoFFxCooPwhEZlZxtsWu</t>
  </si>
  <si>
    <t>https://drive.google.com/file/d/1yy1b4MT_WSA5qoFFxCooPwhEZlZxtsWu/view?usp=drivesdk</t>
  </si>
  <si>
    <t xml:space="preserve">AWALUDIN </t>
  </si>
  <si>
    <t>udinrorena.sulteng@gmail.com</t>
  </si>
  <si>
    <t>8040</t>
  </si>
  <si>
    <t>1raTo8PI3sIGHA8d9LS3nPaRZxcbk1YMO</t>
  </si>
  <si>
    <t>https://drive.google.com/file/d/1raTo8PI3sIGHA8d9LS3nPaRZxcbk1YMO/view?usp=drivesdk</t>
  </si>
  <si>
    <t>ASIH PRIHTIANI, SH</t>
  </si>
  <si>
    <t>pelangierkoe23@gmail.com</t>
  </si>
  <si>
    <t>8041</t>
  </si>
  <si>
    <t>1H8gqDHDu7iwRzWyaiw4HBSmN_vd7VGJc</t>
  </si>
  <si>
    <t>https://drive.google.com/file/d/1H8gqDHDu7iwRzWyaiw4HBSmN_vd7VGJc/view?usp=drivesdk</t>
  </si>
  <si>
    <t>SANTUNG</t>
  </si>
  <si>
    <t>santungsantung615@gmail.com</t>
  </si>
  <si>
    <t>8042</t>
  </si>
  <si>
    <t>174Yl54sVeqduj3Umfl9lOplDddl8yP99</t>
  </si>
  <si>
    <t>https://drive.google.com/file/d/174Yl54sVeqduj3Umfl9lOplDddl8yP99/view?usp=drivesdk</t>
  </si>
  <si>
    <t>NOVRINA SIHOMBING</t>
  </si>
  <si>
    <t>novrina85sihombing@gmail.com</t>
  </si>
  <si>
    <t>8043</t>
  </si>
  <si>
    <t>1OqzyY5M3VZ1tWSvBiJlnK9BKDhSEpbpn</t>
  </si>
  <si>
    <t>https://drive.google.com/file/d/1OqzyY5M3VZ1tWSvBiJlnK9BKDhSEpbpn/view?usp=drivesdk</t>
  </si>
  <si>
    <t>NURHIDA</t>
  </si>
  <si>
    <t>nurhida1972@gmail.com</t>
  </si>
  <si>
    <t>8044</t>
  </si>
  <si>
    <t>1loOacvpYmSKI8eBrRkrKs7N0IckPjuF9</t>
  </si>
  <si>
    <t>https://drive.google.com/file/d/1loOacvpYmSKI8eBrRkrKs7N0IckPjuF9/view?usp=drivesdk</t>
  </si>
  <si>
    <t xml:space="preserve">MARDIANA </t>
  </si>
  <si>
    <t>mardianajakarta2016@gmail.com</t>
  </si>
  <si>
    <t>8045</t>
  </si>
  <si>
    <t>Starting at Thu Aug 29 2024 22:26:03 GMT-0400 (EDT)</t>
  </si>
  <si>
    <t>1b1a2VGhPuWisoZaXsk3yOX0RYZlTyucw</t>
  </si>
  <si>
    <t>https://drive.google.com/file/d/1b1a2VGhPuWisoZaXsk3yOX0RYZlTyucw/view?usp=drivesdk</t>
  </si>
  <si>
    <t>SUHAERI</t>
  </si>
  <si>
    <t>dokpolpolrescianjur@gmail.com</t>
  </si>
  <si>
    <t>8046</t>
  </si>
  <si>
    <t>1jjznQ5poZ4GbddyRqmyRpA8kH-zVbDda</t>
  </si>
  <si>
    <t>https://drive.google.com/file/d/1jjznQ5poZ4GbddyRqmyRpA8kH-zVbDda/view?usp=drivesdk</t>
  </si>
  <si>
    <t>TRI NURI DAMAYANTI</t>
  </si>
  <si>
    <t>nuriayat@gmail.com</t>
  </si>
  <si>
    <t>8047</t>
  </si>
  <si>
    <t>Starting at Thu Aug 29 2024 22:26:06 GMT-0400 (EDT)</t>
  </si>
  <si>
    <t>1oRS_iklhV2u14b3IsMfdqbP7bBhtVVTC</t>
  </si>
  <si>
    <t>https://drive.google.com/file/d/1oRS_iklhV2u14b3IsMfdqbP7bBhtVVTC/view?usp=drivesdk</t>
  </si>
  <si>
    <t>sumantri6869@gmail.com</t>
  </si>
  <si>
    <t>8048</t>
  </si>
  <si>
    <t>18jFyrL9NGlC27C2mxCHF-qEJYvYR5xUB</t>
  </si>
  <si>
    <t>https://drive.google.com/file/d/18jFyrL9NGlC27C2mxCHF-qEJYvYR5xUB/view?usp=drivesdk</t>
  </si>
  <si>
    <t xml:space="preserve">SRI RAHYUNIK </t>
  </si>
  <si>
    <t>srirahyunik.1971@gmail.com</t>
  </si>
  <si>
    <t>8049</t>
  </si>
  <si>
    <t>1_rq3l1WWobTQ0ZzQwdcxKTDdnaILNVU4</t>
  </si>
  <si>
    <t>https://drive.google.com/file/d/1_rq3l1WWobTQ0ZzQwdcxKTDdnaILNVU4/view?usp=drivesdk</t>
  </si>
  <si>
    <t>jamilah1533@gmail.com</t>
  </si>
  <si>
    <t>8050</t>
  </si>
  <si>
    <t>Starting at Thu Aug 29 2024 22:26:11 GMT-0400 (EDT)</t>
  </si>
  <si>
    <t>1xcBIcoEeOEtMY9V0nIjjUTQuqQmhSAyp</t>
  </si>
  <si>
    <t>https://drive.google.com/file/d/1xcBIcoEeOEtMY9V0nIjjUTQuqQmhSAyp/view?usp=drivesdk</t>
  </si>
  <si>
    <t>DOLSE ANEKA DENDALUHE</t>
  </si>
  <si>
    <t>ddendaluhe@gmail.com</t>
  </si>
  <si>
    <t>8051</t>
  </si>
  <si>
    <t>1LX-5LLgVz4V9QhjS8ysrTec3ulzoh1iS</t>
  </si>
  <si>
    <t>https://drive.google.com/file/d/1LX-5LLgVz4V9QhjS8ysrTec3ulzoh1iS/view?usp=drivesdk</t>
  </si>
  <si>
    <t>RIZQA MAULIDA</t>
  </si>
  <si>
    <t>rizqamaulida18@gmail.com</t>
  </si>
  <si>
    <t>8052</t>
  </si>
  <si>
    <t>Starting at Thu Aug 29 2024 22:26:14 GMT-0400 (EDT)</t>
  </si>
  <si>
    <t>1_1ir64xZoBKQklLUh2sKvwItQLwYVkqQ</t>
  </si>
  <si>
    <t>https://drive.google.com/file/d/1_1ir64xZoBKQklLUh2sKvwItQLwYVkqQ/view?usp=drivesdk</t>
  </si>
  <si>
    <t>susantiindah328@gmail.com</t>
  </si>
  <si>
    <t>8053</t>
  </si>
  <si>
    <t>Starting at Thu Aug 29 2024 22:26:19 GMT-0400 (EDT)</t>
  </si>
  <si>
    <t>1ThBwoi9MpABE56DubSmA9QAFgo_3I53s</t>
  </si>
  <si>
    <t>https://drive.google.com/file/d/1ThBwoi9MpABE56DubSmA9QAFgo_3I53s/view?usp=drivesdk</t>
  </si>
  <si>
    <t>RITA PUSPARINI</t>
  </si>
  <si>
    <t>ritapuspariniigdrumkit@gmail.com</t>
  </si>
  <si>
    <t>8054</t>
  </si>
  <si>
    <t>Starting at Thu Aug 29 2024 22:26:22 GMT-0400 (EDT)</t>
  </si>
  <si>
    <t>17jCzz1IZHp_RD9UXhVsQE2anDDTLdRlJ</t>
  </si>
  <si>
    <t>https://drive.google.com/file/d/17jCzz1IZHp_RD9UXhVsQE2anDDTLdRlJ/view?usp=drivesdk</t>
  </si>
  <si>
    <t>CAHYANINGSIH, SKM</t>
  </si>
  <si>
    <t>cahyaningsihgunawan@gmail.com</t>
  </si>
  <si>
    <t>8055</t>
  </si>
  <si>
    <t>Starting at Thu Aug 29 2024 22:26:23 GMT-0400 (EDT)</t>
  </si>
  <si>
    <t>1aM8PQXaSiucHfOC3ula1LfTN2OmRFpeN</t>
  </si>
  <si>
    <t>https://drive.google.com/file/d/1aM8PQXaSiucHfOC3ula1LfTN2OmRFpeN/view?usp=drivesdk</t>
  </si>
  <si>
    <t>TRUMAN, S.E</t>
  </si>
  <si>
    <t>trumanjkt@gmail.com</t>
  </si>
  <si>
    <t>8056</t>
  </si>
  <si>
    <t>1q2hJEtrlIdJXDGvIrRFDl225jORkemnK</t>
  </si>
  <si>
    <t>https://drive.google.com/file/d/1q2hJEtrlIdJXDGvIrRFDl225jORkemnK/view?usp=drivesdk</t>
  </si>
  <si>
    <t>Document successfully created; Document successfully merged; PDF created; !!Error Sending Emails: Service invoked too many times for one day: email.; Manually run by ecertificate75@gmail.com; Timestamp: Sep 10 2024 10:09 AM</t>
  </si>
  <si>
    <t>MERY YUSSANTI, S.IKOM</t>
  </si>
  <si>
    <t>merywijaya.my@mail.com</t>
  </si>
  <si>
    <t>8057</t>
  </si>
  <si>
    <t>Starting at Thu Aug 29 2024 22:26:27 GMT-0400 (EDT)</t>
  </si>
  <si>
    <t>1T9zjdWf9sNwGy6K4mLpiqjplDN8A63nL</t>
  </si>
  <si>
    <t>https://drive.google.com/file/d/1T9zjdWf9sNwGy6K4mLpiqjplDN8A63nL/view?usp=drivesdk</t>
  </si>
  <si>
    <t>ENDANG SURYANI</t>
  </si>
  <si>
    <t>Ndanksuryani84@gmail.com</t>
  </si>
  <si>
    <t>8058</t>
  </si>
  <si>
    <t>1CECwFJDaFSvdNfB6eHJfrYAO17l0lJnc</t>
  </si>
  <si>
    <t>https://drive.google.com/file/d/1CECwFJDaFSvdNfB6eHJfrYAO17l0lJnc/view?usp=drivesdk</t>
  </si>
  <si>
    <t xml:space="preserve">DUDI IHSAN </t>
  </si>
  <si>
    <t>dudi.ihsan@gmail.com</t>
  </si>
  <si>
    <t>8059</t>
  </si>
  <si>
    <t>Starting at Thu Aug 29 2024 22:26:30 GMT-0400 (EDT)</t>
  </si>
  <si>
    <t>1eSLgo3BlixO80mcUxp_GQFAf9oGz72f6</t>
  </si>
  <si>
    <t>https://drive.google.com/file/d/1eSLgo3BlixO80mcUxp_GQFAf9oGz72f6/view?usp=drivesdk</t>
  </si>
  <si>
    <t>agussuryono634@gmail.com</t>
  </si>
  <si>
    <t>8060</t>
  </si>
  <si>
    <t>Starting at Thu Aug 29 2024 22:26:38 GMT-0400 (EDT)</t>
  </si>
  <si>
    <t>1co5FW07C6d_6qGJCb5GPr3QULraKEpCd</t>
  </si>
  <si>
    <t>https://drive.google.com/file/d/1co5FW07C6d_6qGJCb5GPr3QULraKEpCd/view?usp=drivesdk</t>
  </si>
  <si>
    <t>Document successfully created; Document successfully merged; PDF created; !!Error Sending Emails: Service invoked too many times for one day: email.; Manually run by ecertificate75@gmail.com; Timestamp: Sep 10 2024 10:10 AM</t>
  </si>
  <si>
    <t>YULI PERTIWI, S.E., M.M.</t>
  </si>
  <si>
    <t>pertiwi69@gmail.com</t>
  </si>
  <si>
    <t>8061</t>
  </si>
  <si>
    <t>1U0EXyEPxX8IuORq4Gr5cy_NHWB88urbD</t>
  </si>
  <si>
    <t>https://drive.google.com/file/d/1U0EXyEPxX8IuORq4Gr5cy_NHWB88urbD/view?usp=drivesdk</t>
  </si>
  <si>
    <t>SULISTIYANINGSIH</t>
  </si>
  <si>
    <t>annisa.mayzadira@gmail.com</t>
  </si>
  <si>
    <t>8062</t>
  </si>
  <si>
    <t>Starting at Thu Aug 29 2024 22:26:44 GMT-0400 (EDT)</t>
  </si>
  <si>
    <t>1M3Eo9LTIcuyILzI08Hm8AfiFC3aG3136</t>
  </si>
  <si>
    <t>https://drive.google.com/file/d/1M3Eo9LTIcuyILzI08Hm8AfiFC3aG3136/view?usp=drivesdk</t>
  </si>
  <si>
    <t>NANA SUHANA</t>
  </si>
  <si>
    <t>nanasuhana826@gmail.com</t>
  </si>
  <si>
    <t>8063</t>
  </si>
  <si>
    <t>Starting at Thu Aug 29 2024 22:26:46 GMT-0400 (EDT)</t>
  </si>
  <si>
    <t>14_1goQzxxJ_OcDNOh66LMVuqMiMxnsvu</t>
  </si>
  <si>
    <t>https://drive.google.com/file/d/14_1goQzxxJ_OcDNOh66LMVuqMiMxnsvu/view?usp=drivesdk</t>
  </si>
  <si>
    <t>IDA TRI PUSPASARI, S.E.</t>
  </si>
  <si>
    <t>ida.puspasari88@gmail.com</t>
  </si>
  <si>
    <t>8064</t>
  </si>
  <si>
    <t>1e1WfTpHZeMrnhHiadWlRiqQShiOIKihX</t>
  </si>
  <si>
    <t>https://drive.google.com/file/d/1e1WfTpHZeMrnhHiadWlRiqQShiOIKihX/view?usp=drivesdk</t>
  </si>
  <si>
    <t xml:space="preserve">Jenni Theresia Tampubolon </t>
  </si>
  <si>
    <t>jenny_theresia@rocketmail.com</t>
  </si>
  <si>
    <t>8065</t>
  </si>
  <si>
    <t>Starting at Thu Aug 29 2024 22:26:48 GMT-0400 (EDT)</t>
  </si>
  <si>
    <t>1aq5wzBDk-45-7yp9Egsnj4Cd0PKebO0b</t>
  </si>
  <si>
    <t>https://drive.google.com/file/d/1aq5wzBDk-45-7yp9Egsnj4Cd0PKebO0b/view?usp=drivesdk</t>
  </si>
  <si>
    <t>Document successfully created; Document successfully merged; PDF created; !!Error Sending Emails: Service invoked too many times for one day: email.; Manually run by ecertificate75@gmail.com; Timestamp: Sep 10 2024 10:11 AM</t>
  </si>
  <si>
    <t>ELITYA KRONIKA</t>
  </si>
  <si>
    <t>chronika05@gmail.com</t>
  </si>
  <si>
    <t>8066</t>
  </si>
  <si>
    <t>13bMX5mKH0oOLbIm9czbsun852XsyVJVf</t>
  </si>
  <si>
    <t>https://drive.google.com/file/d/13bMX5mKH0oOLbIm9czbsun852XsyVJVf/view?usp=drivesdk</t>
  </si>
  <si>
    <t>SUNARNI</t>
  </si>
  <si>
    <t>sunarni3169@gmail.com</t>
  </si>
  <si>
    <t>8067</t>
  </si>
  <si>
    <t>Starting at Thu Aug 29 2024 22:26:50 GMT-0400 (EDT)</t>
  </si>
  <si>
    <t>1l6tCTQ6GbtREOJ9m2XCmReGkk_SkAP6w</t>
  </si>
  <si>
    <t>https://drive.google.com/file/d/1l6tCTQ6GbtREOJ9m2XCmReGkk_SkAP6w/view?usp=drivesdk</t>
  </si>
  <si>
    <t>ARI JUMADI</t>
  </si>
  <si>
    <t>arijumadi1981@gmal.com</t>
  </si>
  <si>
    <t>8068</t>
  </si>
  <si>
    <t>Starting at Thu Aug 29 2024 22:26:52 GMT-0400 (EDT)</t>
  </si>
  <si>
    <t>1Te-3mHDMKTcgJijwvUbholC9bCbHwiGc</t>
  </si>
  <si>
    <t>https://drive.google.com/file/d/1Te-3mHDMKTcgJijwvUbholC9bCbHwiGc/view?usp=drivesdk</t>
  </si>
  <si>
    <t>Document successfully created; Document successfully merged; PDF created; !!Error Sending Emails: Service invoked too many times for one day: email.; Manually run by ecertificate75@gmail.com; Timestamp: Sep 10 2024 10:12 AM</t>
  </si>
  <si>
    <t>MATJURI</t>
  </si>
  <si>
    <t>juriyahoo1972@gmail.com</t>
  </si>
  <si>
    <t>8069</t>
  </si>
  <si>
    <t>Starting at Thu Aug 29 2024 22:26:55 GMT-0400 (EDT)</t>
  </si>
  <si>
    <t>1s4ppEUAJszp34wiaPOsfY1Ih6xYaTjSK</t>
  </si>
  <si>
    <t>https://drive.google.com/file/d/1s4ppEUAJszp34wiaPOsfY1Ih6xYaTjSK/view?usp=drivesdk</t>
  </si>
  <si>
    <t>NI KETUT MULIANI.S.AP</t>
  </si>
  <si>
    <t>mulianiputri1981@gmail.com</t>
  </si>
  <si>
    <t>8070</t>
  </si>
  <si>
    <t>Starting at Thu Aug 29 2024 22:27:00 GMT-0400 (EDT)</t>
  </si>
  <si>
    <t>1PoVy_j5DYQaDkmfE66QjPy2oRZ-HG0Yg</t>
  </si>
  <si>
    <t>https://drive.google.com/file/d/1PoVy_j5DYQaDkmfE66QjPy2oRZ-HG0Yg/view?usp=drivesdk</t>
  </si>
  <si>
    <t>MISS AVIANTI</t>
  </si>
  <si>
    <t>antiavianti16@gmail.com</t>
  </si>
  <si>
    <t>8071</t>
  </si>
  <si>
    <t>10ThlsPWvTCT4ZE6tBVeelv_v4jKL0n-L</t>
  </si>
  <si>
    <t>https://drive.google.com/file/d/10ThlsPWvTCT4ZE6tBVeelv_v4jKL0n-L/view?usp=drivesdk</t>
  </si>
  <si>
    <t>kurniatijakut@mail.com</t>
  </si>
  <si>
    <t>8072</t>
  </si>
  <si>
    <t>1ELWeKc7c29ObiKHHH-6QZJpWZ-pepw97</t>
  </si>
  <si>
    <t>https://drive.google.com/file/d/1ELWeKc7c29ObiKHHH-6QZJpWZ-pepw97/view?usp=drivesdk</t>
  </si>
  <si>
    <t>Document successfully created; Document successfully merged; PDF created; Emails Sent: [To: kurniatijakut@mail.com]; Manually run by ecertificate75@gmail.com; Timestamp: Sep 10 2024 10:13 AM</t>
  </si>
  <si>
    <t>ERNA PERWATI</t>
  </si>
  <si>
    <t>ernaperwati34@gmail.com</t>
  </si>
  <si>
    <t>8073</t>
  </si>
  <si>
    <t>Starting at Thu Aug 29 2024 22:27:07 GMT-0400 (EDT)</t>
  </si>
  <si>
    <t>1q_35VbdR9JyxBqZTWxZ0OnKxs8EeALe-</t>
  </si>
  <si>
    <t>https://drive.google.com/file/d/1q_35VbdR9JyxBqZTWxZ0OnKxs8EeALe-/view?usp=drivesdk</t>
  </si>
  <si>
    <t>Document successfully created; Document successfully merged; PDF created; !!Error Sending Emails: Service invoked too many times for one day: email.; Manually run by ecertificate75@gmail.com; Timestamp: Sep 10 2024 10:13 AM</t>
  </si>
  <si>
    <t>APRILIA SUWITO KARTUMI</t>
  </si>
  <si>
    <t>apriliasuwito@gmail.com</t>
  </si>
  <si>
    <t>8074</t>
  </si>
  <si>
    <t>1Hv_VAHj_pdBLYPCUtx5jQFR0TAIHF8Te</t>
  </si>
  <si>
    <t>https://drive.google.com/file/d/1Hv_VAHj_pdBLYPCUtx5jQFR0TAIHF8Te/view?usp=drivesdk</t>
  </si>
  <si>
    <t xml:space="preserve">SURIYANTI HARAHAP </t>
  </si>
  <si>
    <t>suriyantihrp123@gmail.com</t>
  </si>
  <si>
    <t>8075</t>
  </si>
  <si>
    <t>Starting at Thu Aug 29 2024 22:27:09 GMT-0400 (EDT)</t>
  </si>
  <si>
    <t>1gTLhBZFYW6FcbgxhUZS2F_LLYdx-zwwL</t>
  </si>
  <si>
    <t>https://drive.google.com/file/d/1gTLhBZFYW6FcbgxhUZS2F_LLYdx-zwwL/view?usp=drivesdk</t>
  </si>
  <si>
    <t>MUCHLIS EFFENDI</t>
  </si>
  <si>
    <t>muchliseffendi39@gmail.com</t>
  </si>
  <si>
    <t>8076</t>
  </si>
  <si>
    <t>Starting at Thu Aug 29 2024 22:27:19 GMT-0400 (EDT)</t>
  </si>
  <si>
    <t>1ChhHxw4tpmP9Xpez_XN4rrGdjsaRyhcu</t>
  </si>
  <si>
    <t>https://drive.google.com/file/d/1ChhHxw4tpmP9Xpez_XN4rrGdjsaRyhcu/view?usp=drivesdk</t>
  </si>
  <si>
    <t>Document successfully created; Document successfully merged; PDF created; !!Error Sending Emails: Service invoked too many times for one day: email.; Manually run by ecertificate75@gmail.com; Timestamp: Sep 10 2024 10:14 AM</t>
  </si>
  <si>
    <t>nurhayatihasan675@gmail.com</t>
  </si>
  <si>
    <t>8077</t>
  </si>
  <si>
    <t>1tSKD_KJSNX3SmJa4vYCHmflcaU5vc9LK</t>
  </si>
  <si>
    <t>https://drive.google.com/file/d/1tSKD_KJSNX3SmJa4vYCHmflcaU5vc9LK/view?usp=drivesdk</t>
  </si>
  <si>
    <t>ANTHON. THOMAS</t>
  </si>
  <si>
    <t>anthonthomas298@gmail.com</t>
  </si>
  <si>
    <t>8078</t>
  </si>
  <si>
    <t>Starting at Thu Aug 29 2024 22:27:25 GMT-0400 (EDT)</t>
  </si>
  <si>
    <t>1YI5joWxZhBXRqkgWEy7kpju6tYve_HVQ</t>
  </si>
  <si>
    <t>https://drive.google.com/file/d/1YI5joWxZhBXRqkgWEy7kpju6tYve_HVQ/view?usp=drivesdk</t>
  </si>
  <si>
    <t>NUR AINY</t>
  </si>
  <si>
    <t>nur.ainy2969@gmail.com</t>
  </si>
  <si>
    <t>8079</t>
  </si>
  <si>
    <t>Starting at Thu Aug 29 2024 22:27:29 GMT-0400 (EDT)</t>
  </si>
  <si>
    <t>1ykR1UM8RZX-TF6arEyyystOxLopwnhic</t>
  </si>
  <si>
    <t>https://drive.google.com/file/d/1ykR1UM8RZX-TF6arEyyystOxLopwnhic/view?usp=drivesdk</t>
  </si>
  <si>
    <t>IBRAHIM PANE, SH.</t>
  </si>
  <si>
    <t>ibrahimpane07@gmail.com</t>
  </si>
  <si>
    <t>8080</t>
  </si>
  <si>
    <t>Starting at Thu Aug 29 2024 22:27:32 GMT-0400 (EDT)</t>
  </si>
  <si>
    <t>1vph2T52iDvz336CH9x4LRB_ppJCDhDxF</t>
  </si>
  <si>
    <t>https://drive.google.com/file/d/1vph2T52iDvz336CH9x4LRB_ppJCDhDxF/view?usp=drivesdk</t>
  </si>
  <si>
    <t xml:space="preserve">ENDANG VERIYANI </t>
  </si>
  <si>
    <t>endangveriyani40@gmail.com</t>
  </si>
  <si>
    <t>8081</t>
  </si>
  <si>
    <t>1DsYWTkHArtJdRyWlng6e-17IKziJNhm2</t>
  </si>
  <si>
    <t>https://drive.google.com/file/d/1DsYWTkHArtJdRyWlng6e-17IKziJNhm2/view?usp=drivesdk</t>
  </si>
  <si>
    <t>Document successfully created; Document successfully merged; PDF created; !!Error Sending Emails: Service invoked too many times for one day: email.; Manually run by ecertificate75@gmail.com; Timestamp: Sep 10 2024 10:15 AM</t>
  </si>
  <si>
    <t xml:space="preserve">SUKISTIYANI </t>
  </si>
  <si>
    <t>sukistiyani75@gmail.com</t>
  </si>
  <si>
    <t>8082</t>
  </si>
  <si>
    <t>Starting at Thu Aug 29 2024 22:27:36 GMT-0400 (EDT)</t>
  </si>
  <si>
    <t>1K7-6ZWOqpaOF0ZV0rgrmugeNJ0A-PqKh</t>
  </si>
  <si>
    <t>https://drive.google.com/file/d/1K7-6ZWOqpaOF0ZV0rgrmugeNJ0A-PqKh/view?usp=drivesdk</t>
  </si>
  <si>
    <t xml:space="preserve">DESRIYENTI </t>
  </si>
  <si>
    <t>desriyenti1975@gmail.com</t>
  </si>
  <si>
    <t>8083</t>
  </si>
  <si>
    <t>Starting at Thu Aug 29 2024 22:27:37 GMT-0400 (EDT)</t>
  </si>
  <si>
    <t>1o4xixGKnsYtwspTPUVoOpuBqnZ_BbJ4o</t>
  </si>
  <si>
    <t>https://drive.google.com/file/d/1o4xixGKnsYtwspTPUVoOpuBqnZ_BbJ4o/view?usp=drivesdk</t>
  </si>
  <si>
    <t>DJATI PRASETYO</t>
  </si>
  <si>
    <t>ejotdjati.82@gmail.com</t>
  </si>
  <si>
    <t>8084</t>
  </si>
  <si>
    <t>Starting at Thu Aug 29 2024 22:27:44 GMT-0400 (EDT)</t>
  </si>
  <si>
    <t>1Fo9kbZhbcCad_aQ4uYXBoQROcuGbO5uZ</t>
  </si>
  <si>
    <t>https://drive.google.com/file/d/1Fo9kbZhbcCad_aQ4uYXBoQROcuGbO5uZ/view?usp=drivesdk</t>
  </si>
  <si>
    <t>Selfi Diana Sinaga</t>
  </si>
  <si>
    <t>klinikpolres.pematngsiantar@yahoo.com</t>
  </si>
  <si>
    <t>8085</t>
  </si>
  <si>
    <t>Starting at Thu Aug 29 2024 22:27:46 GMT-0400 (EDT)</t>
  </si>
  <si>
    <t>1me1ywc3rbCqdKwc3m6x_pOA7WcCttZNE</t>
  </si>
  <si>
    <t>https://drive.google.com/file/d/1me1ywc3rbCqdKwc3m6x_pOA7WcCttZNE/view?usp=drivesdk</t>
  </si>
  <si>
    <t>RATNAWATI. SE</t>
  </si>
  <si>
    <t>Ratnawatiabduh@gmail.com</t>
  </si>
  <si>
    <t>8086</t>
  </si>
  <si>
    <t>1QHp7anu0BIv4TuiaUuYN9sn0D8NhebWW</t>
  </si>
  <si>
    <t>https://drive.google.com/file/d/1QHp7anu0BIv4TuiaUuYN9sn0D8NhebWW/view?usp=drivesdk</t>
  </si>
  <si>
    <t>Document successfully created; Document successfully merged; PDF created; !!Error Sending Emails: Service invoked too many times for one day: email.; Manually run by ecertificate75@gmail.com; Timestamp: Sep 10 2024 10:16 AM</t>
  </si>
  <si>
    <t>ETI RAHAYUNINGSIH</t>
  </si>
  <si>
    <t>eti.rahayuningsih2014@gmail.com</t>
  </si>
  <si>
    <t>8087</t>
  </si>
  <si>
    <t>Starting at Thu Aug 29 2024 22:27:56 GMT-0400 (EDT)</t>
  </si>
  <si>
    <t>172a6bEEzl7tX-cgnuznnxj378IlF2xze</t>
  </si>
  <si>
    <t>https://drive.google.com/file/d/172a6bEEzl7tX-cgnuznnxj378IlF2xze/view?usp=drivesdk</t>
  </si>
  <si>
    <t>INDRIK SUSANTO</t>
  </si>
  <si>
    <t>indrikpolri@gmail.com</t>
  </si>
  <si>
    <t>8088</t>
  </si>
  <si>
    <t>Starting at Thu Aug 29 2024 22:28:08 GMT-0400 (EDT)</t>
  </si>
  <si>
    <t>19SFOzarGud9s0yecC50JN5uNHsPk90vk</t>
  </si>
  <si>
    <t>https://drive.google.com/file/d/19SFOzarGud9s0yecC50JN5uNHsPk90vk/view?usp=drivesdk</t>
  </si>
  <si>
    <t>I GUSTI NGURAH ARYA WIJAYA</t>
  </si>
  <si>
    <t>ignaryaw1976@gmail.com</t>
  </si>
  <si>
    <t>8089</t>
  </si>
  <si>
    <t>1LGVy8vHN1XTEOiw7OqyIT-H8rQJwlLzs</t>
  </si>
  <si>
    <t>https://drive.google.com/file/d/1LGVy8vHN1XTEOiw7OqyIT-H8rQJwlLzs/view?usp=drivesdk</t>
  </si>
  <si>
    <t>RAHUL MAY KARDO ALBERT DENIRO, A.Md.Ak.</t>
  </si>
  <si>
    <t>hutabarat1905@gmail.com</t>
  </si>
  <si>
    <t>8090</t>
  </si>
  <si>
    <t>11MFIPvMjS8N__sEoRuLRdqIGQhXjIHkh</t>
  </si>
  <si>
    <t>https://drive.google.com/file/d/11MFIPvMjS8N__sEoRuLRdqIGQhXjIHkh/view?usp=drivesdk</t>
  </si>
  <si>
    <t>YESSY MARYANI SILALAHI</t>
  </si>
  <si>
    <t>yessimayaranisilalahi@gmail.com</t>
  </si>
  <si>
    <t>8091</t>
  </si>
  <si>
    <t>Starting at Thu Aug 29 2024 22:28:13 GMT-0400 (EDT)</t>
  </si>
  <si>
    <t>1CEFMDDEUiYJN6_fx7TUSnlitn_sIzJd5</t>
  </si>
  <si>
    <t>https://drive.google.com/file/d/1CEFMDDEUiYJN6_fx7TUSnlitn_sIzJd5/view?usp=drivesdk</t>
  </si>
  <si>
    <t>Document successfully created; Document successfully merged; PDF created; !!Error Sending Emails: Service invoked too many times for one day: email.; Manually run by ecertificate75@gmail.com; Timestamp: Sep 10 2024 10:17 AM</t>
  </si>
  <si>
    <t>sitinjakdarma@gmail.com</t>
  </si>
  <si>
    <t>8092</t>
  </si>
  <si>
    <t>Starting at Thu Aug 29 2024 22:28:19 GMT-0400 (EDT)</t>
  </si>
  <si>
    <t>1ylfpbOTieYzMSdRtpASnJz6IhU5t_Fq-</t>
  </si>
  <si>
    <t>https://drive.google.com/file/d/1ylfpbOTieYzMSdRtpASnJz6IhU5t_Fq-/view?usp=drivesdk</t>
  </si>
  <si>
    <t>Dormaulina Pasaribu, S. ST., MKM</t>
  </si>
  <si>
    <t>dormaulina78@gmail.com</t>
  </si>
  <si>
    <t>8093</t>
  </si>
  <si>
    <t>1DddP6h8tVVC42qX_kLnocTBrM1EUgnx6</t>
  </si>
  <si>
    <t>https://drive.google.com/file/d/1DddP6h8tVVC42qX_kLnocTBrM1EUgnx6/view?usp=drivesdk</t>
  </si>
  <si>
    <t>Rinceu Kurniaty Agustin</t>
  </si>
  <si>
    <t>rinceufnf@gmail.com</t>
  </si>
  <si>
    <t>8094</t>
  </si>
  <si>
    <t>Starting at Thu Aug 29 2024 22:28:22 GMT-0400 (EDT)</t>
  </si>
  <si>
    <t>1yKGi9Mkiu87tdE0yIijVyYlhE4Dm6uwB</t>
  </si>
  <si>
    <t>https://drive.google.com/file/d/1yKGi9Mkiu87tdE0yIijVyYlhE4Dm6uwB/view?usp=drivesdk</t>
  </si>
  <si>
    <t>MUHAMMAD ABDULLAH SUBAKTI</t>
  </si>
  <si>
    <t>adoel.1986@gmail.com</t>
  </si>
  <si>
    <t>8095</t>
  </si>
  <si>
    <t>1KI3d_0VHXHgUWrC36NDq_BdbJ2EC_90c</t>
  </si>
  <si>
    <t>https://drive.google.com/file/d/1KI3d_0VHXHgUWrC36NDq_BdbJ2EC_90c/view?usp=drivesdk</t>
  </si>
  <si>
    <t xml:space="preserve">PESTARIANA SARAGIH </t>
  </si>
  <si>
    <t>pestarianasaragih1@gmail.com</t>
  </si>
  <si>
    <t>8096</t>
  </si>
  <si>
    <t>1hNB8b1GWlzc-t2Ed9mZb-eYQqFc8wUkq</t>
  </si>
  <si>
    <t>https://drive.google.com/file/d/1hNB8b1GWlzc-t2Ed9mZb-eYQqFc8wUkq/view?usp=drivesdk</t>
  </si>
  <si>
    <t>Document successfully created; Document successfully merged; PDF created; !!Error Sending Emails: Service invoked too many times for one day: email.; Manually run by ecertificate75@gmail.com; Timestamp: Sep 10 2024 10:18 AM</t>
  </si>
  <si>
    <t>JUNDARI ERLAWATI</t>
  </si>
  <si>
    <t>jundarierlawati@gmail.com</t>
  </si>
  <si>
    <t>8097</t>
  </si>
  <si>
    <t>1bZU5eRViRMC0S5ksp6rOmoxrQ5ebeXPa</t>
  </si>
  <si>
    <t>https://drive.google.com/file/d/1bZU5eRViRMC0S5ksp6rOmoxrQ5ebeXPa/view?usp=drivesdk</t>
  </si>
  <si>
    <t>EDY PURWANTO</t>
  </si>
  <si>
    <t>edypurwanto6804@gmail.com</t>
  </si>
  <si>
    <t>8098</t>
  </si>
  <si>
    <t>1pL9g8YyH1ivipVHDlRBKRYsBHs1p7cec</t>
  </si>
  <si>
    <t>https://drive.google.com/file/d/1pL9g8YyH1ivipVHDlRBKRYsBHs1p7cec/view?usp=drivesdk</t>
  </si>
  <si>
    <t>SRI MAHYANI</t>
  </si>
  <si>
    <t>srimahyani10@gmail.com</t>
  </si>
  <si>
    <t>8099</t>
  </si>
  <si>
    <t>1VKIz8fbSx8oTkCt-iAwNmVG2gjhJlGDb</t>
  </si>
  <si>
    <t>https://drive.google.com/file/d/1VKIz8fbSx8oTkCt-iAwNmVG2gjhJlGDb/view?usp=drivesdk</t>
  </si>
  <si>
    <t>Document successfully created; Document successfully merged; PDF created; !!Error Sending Emails: Service invoked too many times for one day: email.; Manually run by ecertificate75@gmail.com; Timestamp: Sep 10 2024 10:19 AM</t>
  </si>
  <si>
    <t>HENDRA GUNAWAN</t>
  </si>
  <si>
    <t>hg10021972@gmail.com</t>
  </si>
  <si>
    <t>8100</t>
  </si>
  <si>
    <t>Starting at Thu Aug 29 2024 22:28:25 GMT-0400 (EDT)</t>
  </si>
  <si>
    <t>1KFeHF0lI7Y1Kof7F0SnpxkhmQ1OE_PAM</t>
  </si>
  <si>
    <t>https://drive.google.com/file/d/1KFeHF0lI7Y1Kof7F0SnpxkhmQ1OE_PAM/view?usp=drivesdk</t>
  </si>
  <si>
    <t>SUGENG RAHARDJO</t>
  </si>
  <si>
    <t>SUGENG.RAHARDJO@GMAIL.COM</t>
  </si>
  <si>
    <t>8101</t>
  </si>
  <si>
    <t>1Z_dX8DncMn_KpxO7cwhGcBjOXZeO38su</t>
  </si>
  <si>
    <t>https://drive.google.com/file/d/1Z_dX8DncMn_KpxO7cwhGcBjOXZeO38su/view?usp=drivesdk</t>
  </si>
  <si>
    <t xml:space="preserve">YULIK KHOIRIYAH </t>
  </si>
  <si>
    <t>yulikkhoiriyah188@gmail.com</t>
  </si>
  <si>
    <t>8102</t>
  </si>
  <si>
    <t>Starting at Thu Aug 29 2024 22:28:28 GMT-0400 (EDT)</t>
  </si>
  <si>
    <t>1dX_SKPxq4BaOlveDZb1Rl_0v7MDY1IcF</t>
  </si>
  <si>
    <t>https://drive.google.com/file/d/1dX_SKPxq4BaOlveDZb1Rl_0v7MDY1IcF/view?usp=drivesdk</t>
  </si>
  <si>
    <t>NURMIYATI, S.T.</t>
  </si>
  <si>
    <t>yusuf061109@gmail.com</t>
  </si>
  <si>
    <t>8103</t>
  </si>
  <si>
    <t>Starting at Thu Aug 29 2024 22:28:30 GMT-0400 (EDT)</t>
  </si>
  <si>
    <t>114POBMqp0TbkrcUHdkxn-0wtU0DhA7dB</t>
  </si>
  <si>
    <t>https://drive.google.com/file/d/114POBMqp0TbkrcUHdkxn-0wtU0DhA7dB/view?usp=drivesdk</t>
  </si>
  <si>
    <t>Document successfully created; Document successfully merged; PDF created; !!Error Sending Emails: Service invoked too many times for one day: email.; Manually run by ecertificate75@gmail.com; Timestamp: Sep 10 2024 10:20 AM</t>
  </si>
  <si>
    <t>RINA RAHMAJANTI</t>
  </si>
  <si>
    <t>CPNS</t>
  </si>
  <si>
    <t>rinarahmajanti@gmail.com</t>
  </si>
  <si>
    <t>8104</t>
  </si>
  <si>
    <t>1F0iCptCQe_Wg657X0k9Oz32H4ZEe56Ox</t>
  </si>
  <si>
    <t>https://drive.google.com/file/d/1F0iCptCQe_Wg657X0k9Oz32H4ZEe56Ox/view?usp=drivesdk</t>
  </si>
  <si>
    <t>SUTINI</t>
  </si>
  <si>
    <t>sutinisukodonosidoarjo@gmail.com</t>
  </si>
  <si>
    <t>8105</t>
  </si>
  <si>
    <t>13zSe0UFMDu4F_zVnbw65i6rcNJaSyRd5</t>
  </si>
  <si>
    <t>https://drive.google.com/file/d/13zSe0UFMDu4F_zVnbw65i6rcNJaSyRd5/view?usp=drivesdk</t>
  </si>
  <si>
    <t>MUNADI, SE</t>
  </si>
  <si>
    <t>munadi89@yahoo.co.od</t>
  </si>
  <si>
    <t>8106</t>
  </si>
  <si>
    <t>Starting at Thu Aug 29 2024 22:28:40 GMT-0400 (EDT)</t>
  </si>
  <si>
    <t>1QcIeK7HwyI6T91PBBSCuPrQr7GSGBpZO</t>
  </si>
  <si>
    <t>https://drive.google.com/file/d/1QcIeK7HwyI6T91PBBSCuPrQr7GSGBpZO/view?usp=drivesdk</t>
  </si>
  <si>
    <t>Document successfully created; Document successfully merged; PDF created; !!Error Sending Emails: Service invoked too many times for one day: email.; Manually run by ecertificate75@gmail.com; Timestamp: Sep 10 2024 10:21 AM</t>
  </si>
  <si>
    <t xml:space="preserve">PUJIYONO </t>
  </si>
  <si>
    <t>pujiyono696@gmail.com</t>
  </si>
  <si>
    <t>8107</t>
  </si>
  <si>
    <t>17KplQKKfRDgL_xnqdZ2MwIAXiGNKV9pV</t>
  </si>
  <si>
    <t>https://drive.google.com/file/d/17KplQKKfRDgL_xnqdZ2MwIAXiGNKV9pV/view?usp=drivesdk</t>
  </si>
  <si>
    <t>agustinsri120880@gmail.com</t>
  </si>
  <si>
    <t>8108</t>
  </si>
  <si>
    <t>12FphcePOxGzpjSlYj1LCc2tOCrfn7V1H</t>
  </si>
  <si>
    <t>https://drive.google.com/file/d/12FphcePOxGzpjSlYj1LCc2tOCrfn7V1H/view?usp=drivesdk</t>
  </si>
  <si>
    <t>NURLAILA</t>
  </si>
  <si>
    <t>nurlailasyarif19031970@gmail.com</t>
  </si>
  <si>
    <t>8109</t>
  </si>
  <si>
    <t>Starting at Thu Aug 29 2024 22:28:46 GMT-0400 (EDT)</t>
  </si>
  <si>
    <t>1dcD9gSCR0Ddh1kyjQxjm7_8VYSGF5tt7</t>
  </si>
  <si>
    <t>https://drive.google.com/file/d/1dcD9gSCR0Ddh1kyjQxjm7_8VYSGF5tt7/view?usp=drivesdk</t>
  </si>
  <si>
    <t>taufikhidayatulloh1971@gmail.com</t>
  </si>
  <si>
    <t>8110</t>
  </si>
  <si>
    <t>Starting at Thu Aug 29 2024 22:28:52 GMT-0400 (EDT)</t>
  </si>
  <si>
    <t>1Sawfn57KPd86_pkQh5WUZ9mu_DsZmtSu</t>
  </si>
  <si>
    <t>https://drive.google.com/file/d/1Sawfn57KPd86_pkQh5WUZ9mu_DsZmtSu/view?usp=drivesdk</t>
  </si>
  <si>
    <t>IR. SALAWATI,M.A.P</t>
  </si>
  <si>
    <t>salwati0304@gmail.com</t>
  </si>
  <si>
    <t>8111</t>
  </si>
  <si>
    <t>Starting at Thu Aug 29 2024 22:28:55 GMT-0400 (EDT)</t>
  </si>
  <si>
    <t>1P2ZJNjPaoQvR-hpl-qVpFWPjKmciyIHs</t>
  </si>
  <si>
    <t>https://drive.google.com/file/d/1P2ZJNjPaoQvR-hpl-qVpFWPjKmciyIHs/view?usp=drivesdk</t>
  </si>
  <si>
    <t>Document successfully created; Document successfully merged; PDF created; !!Error Sending Emails: Service invoked too many times for one day: email.; Manually run by ecertificate75@gmail.com; Timestamp: Sep 10 2024 10:22 AM</t>
  </si>
  <si>
    <t>OOM KOMARIYAH</t>
  </si>
  <si>
    <t>oomkomariyah2612@gmail.com</t>
  </si>
  <si>
    <t>8112</t>
  </si>
  <si>
    <t>Starting at Thu Aug 29 2024 22:28:59 GMT-0400 (EDT)</t>
  </si>
  <si>
    <t>1UFrfl1S2jUzV02c2TSGwcEwWPWzAa6T9</t>
  </si>
  <si>
    <t>https://drive.google.com/file/d/1UFrfl1S2jUzV02c2TSGwcEwWPWzAa6T9/view?usp=drivesdk</t>
  </si>
  <si>
    <t>Tatik Windarti, Amd. Kep</t>
  </si>
  <si>
    <t>tkwindarti81@gmail.com</t>
  </si>
  <si>
    <t>8113</t>
  </si>
  <si>
    <t>1OkJ5A-ZYJQcPwR2EiFg2-yj0Er2mQkxZ</t>
  </si>
  <si>
    <t>https://drive.google.com/file/d/1OkJ5A-ZYJQcPwR2EiFg2-yj0Er2mQkxZ/view?usp=drivesdk</t>
  </si>
  <si>
    <t>SAMBAS</t>
  </si>
  <si>
    <t>sambastugulapangan@gmail.com</t>
  </si>
  <si>
    <t>8114</t>
  </si>
  <si>
    <t>1Zh8n9RoJW7wr7o6XyFoBLvFo-LI6vlea</t>
  </si>
  <si>
    <t>https://drive.google.com/file/d/1Zh8n9RoJW7wr7o6XyFoBLvFo-LI6vlea/view?usp=drivesdk</t>
  </si>
  <si>
    <t>Drh Nadia Kamila</t>
  </si>
  <si>
    <t>nadiational@gmail.com</t>
  </si>
  <si>
    <t>8115</t>
  </si>
  <si>
    <t>Starting at Thu Aug 29 2024 22:29:00 GMT-0400 (EDT)</t>
  </si>
  <si>
    <t>19M14AQxFS-_BoHWtzTL_tdfiQYl-UgQ8</t>
  </si>
  <si>
    <t>https://drive.google.com/file/d/19M14AQxFS-_BoHWtzTL_tdfiQYl-UgQ8/view?usp=drivesdk</t>
  </si>
  <si>
    <t>Document successfully created; Document successfully merged; PDF created; !!Error Sending Emails: Service invoked too many times for one day: email.; Manually run by ecertificate75@gmail.com; Timestamp: Sep 10 2024 10:23 AM</t>
  </si>
  <si>
    <t>NI WAYAN SUGITA</t>
  </si>
  <si>
    <t>niwayansugita@gmail.com</t>
  </si>
  <si>
    <t>8116</t>
  </si>
  <si>
    <t>Starting at Thu Aug 29 2024 22:29:03 GMT-0400 (EDT)</t>
  </si>
  <si>
    <t>1zYSmJHJufHGaNEDvS9NZSjDH7P0w280o</t>
  </si>
  <si>
    <t>https://drive.google.com/file/d/1zYSmJHJufHGaNEDvS9NZSjDH7P0w280o/view?usp=drivesdk</t>
  </si>
  <si>
    <t>RETNO WIDJAYANTI</t>
  </si>
  <si>
    <t>retnowid7@gmail.com</t>
  </si>
  <si>
    <t>8117</t>
  </si>
  <si>
    <t>Starting at Thu Aug 29 2024 22:29:06 GMT-0400 (EDT)</t>
  </si>
  <si>
    <t>1XH4XBEc4sjFR88incSAFOFzFXebI_WNG</t>
  </si>
  <si>
    <t>https://drive.google.com/file/d/1XH4XBEc4sjFR88incSAFOFzFXebI_WNG/view?usp=drivesdk</t>
  </si>
  <si>
    <t>FANNY YUANNITA ARDJAJA</t>
  </si>
  <si>
    <t>fannyyardjaja@gmail.com</t>
  </si>
  <si>
    <t>8118</t>
  </si>
  <si>
    <t>Starting at Thu Aug 29 2024 22:29:08 GMT-0400 (EDT)</t>
  </si>
  <si>
    <t>1nOYn6jtWXXvYW__pYuhDcZ3oSNKFT0JV</t>
  </si>
  <si>
    <t>https://drive.google.com/file/d/1nOYn6jtWXXvYW__pYuhDcZ3oSNKFT0JV/view?usp=drivesdk</t>
  </si>
  <si>
    <t>YUNITA, SE</t>
  </si>
  <si>
    <t>yunibayu146@gmail.com</t>
  </si>
  <si>
    <t>8119</t>
  </si>
  <si>
    <t>Starting at Thu Aug 29 2024 22:29:15 GMT-0400 (EDT)</t>
  </si>
  <si>
    <t>1IjRNXvUq5mjKuqXAa4TYrL0A7KGh0gq-</t>
  </si>
  <si>
    <t>https://drive.google.com/file/d/1IjRNXvUq5mjKuqXAa4TYrL0A7KGh0gq-/view?usp=drivesdk</t>
  </si>
  <si>
    <t>Document successfully created; Document successfully merged; PDF created; !!Error Sending Emails: Service invoked too many times for one day: email.; Manually run by ecertificate75@gmail.com; Timestamp: Sep 10 2024 10:24 AM</t>
  </si>
  <si>
    <t xml:space="preserve">SUCI RAHMADANI </t>
  </si>
  <si>
    <t>sucirahmadani1402@gmail.com</t>
  </si>
  <si>
    <t>8120</t>
  </si>
  <si>
    <t>Starting at Thu Aug 29 2024 22:29:18 GMT-0400 (EDT)</t>
  </si>
  <si>
    <t>1GBrZ6oVES03O276HjzKt1qAamo2l_C5C</t>
  </si>
  <si>
    <t>https://drive.google.com/file/d/1GBrZ6oVES03O276HjzKt1qAamo2l_C5C/view?usp=drivesdk</t>
  </si>
  <si>
    <t>WIWIK SAWITRI</t>
  </si>
  <si>
    <t>wiwik8315@gmail.com</t>
  </si>
  <si>
    <t>8121</t>
  </si>
  <si>
    <t>Starting at Thu Aug 29 2024 22:29:20 GMT-0400 (EDT)</t>
  </si>
  <si>
    <t>1HP6jwbSJLxsF_hCHRJmYnOnkM9NDG496</t>
  </si>
  <si>
    <t>https://drive.google.com/file/d/1HP6jwbSJLxsF_hCHRJmYnOnkM9NDG496/view?usp=drivesdk</t>
  </si>
  <si>
    <t>djogjanto@gmail.com</t>
  </si>
  <si>
    <t>8122</t>
  </si>
  <si>
    <t>Starting at Thu Aug 29 2024 22:29:25 GMT-0400 (EDT)</t>
  </si>
  <si>
    <t>1XcsGTKDAJmFlTmPGFljy5lT9D5AOwFhe</t>
  </si>
  <si>
    <t>https://drive.google.com/file/d/1XcsGTKDAJmFlTmPGFljy5lT9D5AOwFhe/view?usp=drivesdk</t>
  </si>
  <si>
    <t xml:space="preserve">WAGINO </t>
  </si>
  <si>
    <t>waginoyanma@gmail.com</t>
  </si>
  <si>
    <t>8123</t>
  </si>
  <si>
    <t>1jOPB76yDQZz6FQ38khhor2j43A3DNFqS</t>
  </si>
  <si>
    <t>https://drive.google.com/file/d/1jOPB76yDQZz6FQ38khhor2j43A3DNFqS/view?usp=drivesdk</t>
  </si>
  <si>
    <t>Document successfully created; Document successfully merged; PDF created; !!Error Sending Emails: Service invoked too many times for one day: email.; Manually run by ecertificate75@gmail.com; Timestamp: Sep 10 2024 10:25 AM</t>
  </si>
  <si>
    <t>irwansyah478@gmail.com</t>
  </si>
  <si>
    <t>8124</t>
  </si>
  <si>
    <t>Starting at Thu Aug 29 2024 22:29:29 GMT-0400 (EDT)</t>
  </si>
  <si>
    <t>149tUmhwt-KyEfrVP852iREP6Q3BdoRGo</t>
  </si>
  <si>
    <t>https://drive.google.com/file/d/149tUmhwt-KyEfrVP852iREP6Q3BdoRGo/view?usp=drivesdk</t>
  </si>
  <si>
    <t>AHMAD WIRAWAN</t>
  </si>
  <si>
    <t>aawirawan@gmail.com</t>
  </si>
  <si>
    <t>8125</t>
  </si>
  <si>
    <t>1hkR4tevLJkDgxbY-yHnl758mXq48Vpw6</t>
  </si>
  <si>
    <t>https://drive.google.com/file/d/1hkR4tevLJkDgxbY-yHnl758mXq48Vpw6/view?usp=drivesdk</t>
  </si>
  <si>
    <t>SAPDO SUNARNO</t>
  </si>
  <si>
    <t>sapzain1974@gmail.com</t>
  </si>
  <si>
    <t>8126</t>
  </si>
  <si>
    <t>Starting at Thu Aug 29 2024 22:29:31 GMT-0400 (EDT)</t>
  </si>
  <si>
    <t>1fFRrkgOq7wADHe1yECFk8aE5umpsMt-4</t>
  </si>
  <si>
    <t>https://drive.google.com/file/d/1fFRrkgOq7wADHe1yECFk8aE5umpsMt-4/view?usp=drivesdk</t>
  </si>
  <si>
    <t>DHENI RIDHA APIK UMIYANA, A.Md.</t>
  </si>
  <si>
    <t>dhenridhai@gnail.com</t>
  </si>
  <si>
    <t>8127</t>
  </si>
  <si>
    <t>1BXq01vjvx1S0LY5BgZjMOqbCj6WRRUvi</t>
  </si>
  <si>
    <t>https://drive.google.com/file/d/1BXq01vjvx1S0LY5BgZjMOqbCj6WRRUvi/view?usp=drivesdk</t>
  </si>
  <si>
    <t>Document successfully created; Document successfully merged; PDF created; !!Error Sending Emails: Service invoked too many times for one day: email.; Manually run by ecertificate75@gmail.com; Timestamp: Sep 10 2024 10:26 AM</t>
  </si>
  <si>
    <t>FEBRI ASMARANI, SH, MH</t>
  </si>
  <si>
    <t>febriasmarani99@gmail.com</t>
  </si>
  <si>
    <t>8128</t>
  </si>
  <si>
    <t>Starting at Thu Aug 29 2024 22:29:33 GMT-0400 (EDT)</t>
  </si>
  <si>
    <t>1lDEoIVt-SwLFizYoxoePQc9Ff5s2HHMx</t>
  </si>
  <si>
    <t>https://drive.google.com/file/d/1lDEoIVt-SwLFizYoxoePQc9Ff5s2HHMx/view?usp=drivesdk</t>
  </si>
  <si>
    <t xml:space="preserve">ROMAULI BR SIMARMATA </t>
  </si>
  <si>
    <t>ramauli20172017@gmail.com</t>
  </si>
  <si>
    <t>8129</t>
  </si>
  <si>
    <t>1YotbbwuNeKb56oXAqv1IX-g_s97mjW7a</t>
  </si>
  <si>
    <t>https://drive.google.com/file/d/1YotbbwuNeKb56oXAqv1IX-g_s97mjW7a/view?usp=drivesdk</t>
  </si>
  <si>
    <t>NUNING SETYOWAHYUNIK</t>
  </si>
  <si>
    <t>gnuning787@gmail.com</t>
  </si>
  <si>
    <t>8130</t>
  </si>
  <si>
    <t>1Uo_SkBKQteRa_6u-DVjKwGI_mOnAKWSx</t>
  </si>
  <si>
    <t>https://drive.google.com/file/d/1Uo_SkBKQteRa_6u-DVjKwGI_mOnAKWSx/view?usp=drivesdk</t>
  </si>
  <si>
    <t>RISNA YULIATY.R,SE</t>
  </si>
  <si>
    <t>rezkypratama011@gmail.com</t>
  </si>
  <si>
    <t>8131</t>
  </si>
  <si>
    <t>1AF6k3dovvYf77uU3jWiuHfQTWFIqO_xt</t>
  </si>
  <si>
    <t>https://drive.google.com/file/d/1AF6k3dovvYf77uU3jWiuHfQTWFIqO_xt/view?usp=drivesdk</t>
  </si>
  <si>
    <t>dr CHRISTY OCTARIA</t>
  </si>
  <si>
    <t>kautsarulung@gmail.com</t>
  </si>
  <si>
    <t>8132</t>
  </si>
  <si>
    <t>Starting at Thu Aug 29 2024 22:29:48 GMT-0400 (EDT)</t>
  </si>
  <si>
    <t>1BpyBnXn63HTIzb_l6JlZaubVQX8oWOls</t>
  </si>
  <si>
    <t>https://drive.google.com/file/d/1BpyBnXn63HTIzb_l6JlZaubVQX8oWOls/view?usp=drivesdk</t>
  </si>
  <si>
    <t>Document successfully created; Document successfully merged; PDF created; !!Error Sending Emails: Service invoked too many times for one day: email.; Manually run by ecertificate75@gmail.com; Timestamp: Sep 10 2024 10:27 AM</t>
  </si>
  <si>
    <t>YENY KHAIRANI, S. Psi</t>
  </si>
  <si>
    <t>yeny.urkes@gmail.com</t>
  </si>
  <si>
    <t>8133</t>
  </si>
  <si>
    <t>1OSkpuSFkDuQVhMM7Ua4UPc7e8ZvxoMmw</t>
  </si>
  <si>
    <t>https://drive.google.com/file/d/1OSkpuSFkDuQVhMM7Ua4UPc7e8ZvxoMmw/view?usp=drivesdk</t>
  </si>
  <si>
    <t>SATRIA CATUR NUGROHO S.E., M.M</t>
  </si>
  <si>
    <t>kartorejo@gmail.com</t>
  </si>
  <si>
    <t>8134</t>
  </si>
  <si>
    <t>1bdMPUUs1Okw8q8x7_SjHRlbbPlCV5exT</t>
  </si>
  <si>
    <t>https://drive.google.com/file/d/1bdMPUUs1Okw8q8x7_SjHRlbbPlCV5exT/view?usp=drivesdk</t>
  </si>
  <si>
    <t>AHMAD JAELANI</t>
  </si>
  <si>
    <t>ahmad.jaelani19860720@gmail.com</t>
  </si>
  <si>
    <t>8135</t>
  </si>
  <si>
    <t>1W14CN7nZMB8PhBJ6L-PQlTGqcXqfX0xb</t>
  </si>
  <si>
    <t>https://drive.google.com/file/d/1W14CN7nZMB8PhBJ6L-PQlTGqcXqfX0xb/view?usp=drivesdk</t>
  </si>
  <si>
    <t>ELLEN NURLIANA</t>
  </si>
  <si>
    <t>nurlianaellen@gmail.com</t>
  </si>
  <si>
    <t>8136</t>
  </si>
  <si>
    <t>1c8Bfs2NhzRD_vsOwsrjJqLCjTmhvLP06</t>
  </si>
  <si>
    <t>https://drive.google.com/file/d/1c8Bfs2NhzRD_vsOwsrjJqLCjTmhvLP06/view?usp=drivesdk</t>
  </si>
  <si>
    <t>ANGANDROWA GULO</t>
  </si>
  <si>
    <t>angandrowagulo389@gmail.com</t>
  </si>
  <si>
    <t>8137</t>
  </si>
  <si>
    <t>1jNEIykVwKBjEh9vQV9oh6IVwyB7avILv</t>
  </si>
  <si>
    <t>https://drive.google.com/file/d/1jNEIykVwKBjEh9vQV9oh6IVwyB7avILv/view?usp=drivesdk</t>
  </si>
  <si>
    <t>Document successfully created; Document successfully merged; PDF created; !!Error Sending Emails: Service invoked too many times for one day: email.; Manually run by ecertificate75@gmail.com; Timestamp: Sep 10 2024 10:28 AM</t>
  </si>
  <si>
    <t>ERLINA</t>
  </si>
  <si>
    <t>erlina71adi@gnail.com</t>
  </si>
  <si>
    <t>8138</t>
  </si>
  <si>
    <t>Starting at Thu Aug 29 2024 22:29:56 GMT-0400 (EDT)</t>
  </si>
  <si>
    <t>1JIKWdiBxdhjYcHX8M7qb-2YqwImfTPJk</t>
  </si>
  <si>
    <t>https://drive.google.com/file/d/1JIKWdiBxdhjYcHX8M7qb-2YqwImfTPJk/view?usp=drivesdk</t>
  </si>
  <si>
    <t>NURLELY</t>
  </si>
  <si>
    <t>nurlely1971@gmail.com</t>
  </si>
  <si>
    <t>8139</t>
  </si>
  <si>
    <t>1LN3H61iWOQIxC_UH1YchJL0dM543I7B5</t>
  </si>
  <si>
    <t>https://drive.google.com/file/d/1LN3H61iWOQIxC_UH1YchJL0dM543I7B5/view?usp=drivesdk</t>
  </si>
  <si>
    <t>JEREMI SABAM FERMANA SINAGA, A.Md.A.Pj.</t>
  </si>
  <si>
    <t>sinagajeremi1@gmail.com</t>
  </si>
  <si>
    <t>8140</t>
  </si>
  <si>
    <t>1Ffm6rYmauriEocWMaYiSJ38rHIiVFg10</t>
  </si>
  <si>
    <t>https://drive.google.com/file/d/1Ffm6rYmauriEocWMaYiSJ38rHIiVFg10/view?usp=drivesdk</t>
  </si>
  <si>
    <t>DEWI SULISTIYO WATI</t>
  </si>
  <si>
    <t>8141</t>
  </si>
  <si>
    <t>1lFPKbQMqbl7ljKV0fxWGgYR-8XpgbMXF</t>
  </si>
  <si>
    <t>https://drive.google.com/file/d/1lFPKbQMqbl7ljKV0fxWGgYR-8XpgbMXF/view?usp=drivesdk</t>
  </si>
  <si>
    <t>SUSILO RUDIOKO</t>
  </si>
  <si>
    <t>srudioko@gmail.com</t>
  </si>
  <si>
    <t>8142</t>
  </si>
  <si>
    <t>1OGIcz05p98AYQslsqtfSNNRERcf9pWUG</t>
  </si>
  <si>
    <t>https://drive.google.com/file/d/1OGIcz05p98AYQslsqtfSNNRERcf9pWUG/view?usp=drivesdk</t>
  </si>
  <si>
    <t>ADEK RAHMAT,A.Md.Kep</t>
  </si>
  <si>
    <t>adek.rahmat13@gmail.com</t>
  </si>
  <si>
    <t>8143</t>
  </si>
  <si>
    <t>1KWwOvFWNpqPyVGTV0QRnpl22ZMupD5_S</t>
  </si>
  <si>
    <t>https://drive.google.com/file/d/1KWwOvFWNpqPyVGTV0QRnpl22ZMupD5_S/view?usp=drivesdk</t>
  </si>
  <si>
    <t>ritajuniarnigultom@gmail.com</t>
  </si>
  <si>
    <t>8144</t>
  </si>
  <si>
    <t>1NCfsG7rVLQzkmeIQJ1Ej6pl7rvACVkd1</t>
  </si>
  <si>
    <t>https://drive.google.com/file/d/1NCfsG7rVLQzkmeIQJ1Ej6pl7rvACVkd1/view?usp=drivesdk</t>
  </si>
  <si>
    <t>DYAN HERAWATY SUPRAPTO</t>
  </si>
  <si>
    <t>dian.khbaskoro@gmail.com</t>
  </si>
  <si>
    <t>8145</t>
  </si>
  <si>
    <t>1bVKuvhB_yLrqFLTy98MJdsem2CwilojF</t>
  </si>
  <si>
    <t>https://drive.google.com/file/d/1bVKuvhB_yLrqFLTy98MJdsem2CwilojF/view?usp=drivesdk</t>
  </si>
  <si>
    <t>ANSORI</t>
  </si>
  <si>
    <t>putraansori044@gmail.com</t>
  </si>
  <si>
    <t>8146</t>
  </si>
  <si>
    <t>Starting at Thu Aug 29 2024 22:30:12 GMT-0400 (EDT)</t>
  </si>
  <si>
    <t>1pWu3aR0VHzqvXeESI2jB7i8wcf2fhDyr</t>
  </si>
  <si>
    <t>https://drive.google.com/file/d/1pWu3aR0VHzqvXeESI2jB7i8wcf2fhDyr/view?usp=drivesdk</t>
  </si>
  <si>
    <t xml:space="preserve">SULISTIANI </t>
  </si>
  <si>
    <t>tiani2813@gmail.com</t>
  </si>
  <si>
    <t>8147</t>
  </si>
  <si>
    <t>1dv7-rUi1vkXODMRRWfqto9Lerg5VcGob</t>
  </si>
  <si>
    <t>https://drive.google.com/file/d/1dv7-rUi1vkXODMRRWfqto9Lerg5VcGob/view?usp=drivesdk</t>
  </si>
  <si>
    <t>AKHMAD ROZI, AMD.KEP</t>
  </si>
  <si>
    <t>mudungdaratrt05@gmail.com</t>
  </si>
  <si>
    <t>8148</t>
  </si>
  <si>
    <t>1FPAahD32rk1SWOxPwekVWGv3pQAGcrwb</t>
  </si>
  <si>
    <t>https://drive.google.com/file/d/1FPAahD32rk1SWOxPwekVWGv3pQAGcrwb/view?usp=drivesdk</t>
  </si>
  <si>
    <t>TATI SISWANTI</t>
  </si>
  <si>
    <t>tatisiswanti71@gmail.com</t>
  </si>
  <si>
    <t>8149</t>
  </si>
  <si>
    <t>1_-ooSDR5DEDI5WxNuTrvPDdiTweMk4Kd</t>
  </si>
  <si>
    <t>https://drive.google.com/file/d/1_-ooSDR5DEDI5WxNuTrvPDdiTweMk4Kd/view?usp=drivesdk</t>
  </si>
  <si>
    <t>LELLY EKAWATI,A.Md</t>
  </si>
  <si>
    <t>8150</t>
  </si>
  <si>
    <t>1O3X-9Xak_RnISZX_wi3ewrZRDTnWFZNx</t>
  </si>
  <si>
    <t>https://drive.google.com/file/d/1O3X-9Xak_RnISZX_wi3ewrZRDTnWFZNx/view?usp=drivesdk</t>
  </si>
  <si>
    <t>HENRY JUSTIN WAURAN</t>
  </si>
  <si>
    <t>henrywauran@gmail.com</t>
  </si>
  <si>
    <t>8151</t>
  </si>
  <si>
    <t>1437PQlNDsYK59WuZNizWJ9InujSXYKfZ</t>
  </si>
  <si>
    <t>https://drive.google.com/file/d/1437PQlNDsYK59WuZNizWJ9InujSXYKfZ/view?usp=drivesdk</t>
  </si>
  <si>
    <t>KADEK ANGGA SATRIAWAN WIGUNA</t>
  </si>
  <si>
    <t>anggasatriawan.id47@gmail.com</t>
  </si>
  <si>
    <t>8152</t>
  </si>
  <si>
    <t>1O1B8DaUCxH0NRuZxsx-MczaDxgiLRrqQ</t>
  </si>
  <si>
    <t>https://drive.google.com/file/d/1O1B8DaUCxH0NRuZxsx-MczaDxgiLRrqQ/view?usp=drivesdk</t>
  </si>
  <si>
    <t>SUWANTO</t>
  </si>
  <si>
    <t>suwantokpm67@gmail.com</t>
  </si>
  <si>
    <t>8153</t>
  </si>
  <si>
    <t>1UMubi2XNrOs3ZgFDKimNVWGtqU_LPTS6</t>
  </si>
  <si>
    <t>https://drive.google.com/file/d/1UMubi2XNrOs3ZgFDKimNVWGtqU_LPTS6/view?usp=drivesdk</t>
  </si>
  <si>
    <t>FERONIKA SENEKE</t>
  </si>
  <si>
    <t>fseneke@gmail.com</t>
  </si>
  <si>
    <t>8154</t>
  </si>
  <si>
    <t>1Ll8TkxngslmrOfin8YyabJHTHkqVUpjc</t>
  </si>
  <si>
    <t>https://drive.google.com/file/d/1Ll8TkxngslmrOfin8YyabJHTHkqVUpjc/view?usp=drivesdk</t>
  </si>
  <si>
    <t>mesJomes6996@gmail.com</t>
  </si>
  <si>
    <t>8155</t>
  </si>
  <si>
    <t>Starting at Thu Aug 29 2024 22:30:31 GMT-0400 (EDT)</t>
  </si>
  <si>
    <t>1xvawWn3J-exMRAZJgDPA6uoTrmb1hE15</t>
  </si>
  <si>
    <t>https://drive.google.com/file/d/1xvawWn3J-exMRAZJgDPA6uoTrmb1hE15/view?usp=drivesdk</t>
  </si>
  <si>
    <t>RIA PIQRIA, SH</t>
  </si>
  <si>
    <t>riafikria1975@gmail.com</t>
  </si>
  <si>
    <t>8156</t>
  </si>
  <si>
    <t>1UZWLynkaEnlgeffLSAEW0ZemRobHM0i1</t>
  </si>
  <si>
    <t>https://drive.google.com/file/d/1UZWLynkaEnlgeffLSAEW0ZemRobHM0i1/view?usp=drivesdk</t>
  </si>
  <si>
    <t>WIDURININGSIH</t>
  </si>
  <si>
    <t>ninhsihwiduri06@gail.com</t>
  </si>
  <si>
    <t>8157</t>
  </si>
  <si>
    <t>1PIOZmhs8E7Ejhg6tjgp3tLuKy2sBt9ob</t>
  </si>
  <si>
    <t>https://drive.google.com/file/d/1PIOZmhs8E7Ejhg6tjgp3tLuKy2sBt9ob/view?usp=drivesdk</t>
  </si>
  <si>
    <t>SADIAH</t>
  </si>
  <si>
    <t>Sadiahismail1970@gmail.com</t>
  </si>
  <si>
    <t>8158</t>
  </si>
  <si>
    <t>1X167lXRuM2lrOsu9y0Ndkgv2LZs6ojoM</t>
  </si>
  <si>
    <t>https://drive.google.com/file/d/1X167lXRuM2lrOsu9y0Ndkgv2LZs6ojoM/view?usp=drivesdk</t>
  </si>
  <si>
    <t>SURYA FITRIANI, SH</t>
  </si>
  <si>
    <t>fitrysurya33@gmail.com</t>
  </si>
  <si>
    <t>8159</t>
  </si>
  <si>
    <t>1oTvdceDIcrs8hGdcyzt3V9Q3VdJ0qdL7</t>
  </si>
  <si>
    <t>https://drive.google.com/file/d/1oTvdceDIcrs8hGdcyzt3V9Q3VdJ0qdL7/view?usp=drivesdk</t>
  </si>
  <si>
    <t>HALIMAH</t>
  </si>
  <si>
    <t>halimahheri1973@gmail.com</t>
  </si>
  <si>
    <t>8160</t>
  </si>
  <si>
    <t>1ipET-drova9cxnqd8BEGC2CKvzatIfi5</t>
  </si>
  <si>
    <t>https://drive.google.com/file/d/1ipET-drova9cxnqd8BEGC2CKvzatIfi5/view?usp=drivesdk</t>
  </si>
  <si>
    <t>ENIK SUSANTI,S.Kep.,Ns</t>
  </si>
  <si>
    <t>eniksusanti05@gmail.com</t>
  </si>
  <si>
    <t>8161</t>
  </si>
  <si>
    <t>1VzjAXxKtl7rgIrZY5IvQJ939-FmXnUwq</t>
  </si>
  <si>
    <t>https://drive.google.com/file/d/1VzjAXxKtl7rgIrZY5IvQJ939-FmXnUwq/view?usp=drivesdk</t>
  </si>
  <si>
    <t>8162</t>
  </si>
  <si>
    <t>1Fb-l312FoirI-pXIqGOMzw_OROEqWkjc</t>
  </si>
  <si>
    <t>https://drive.google.com/file/d/1Fb-l312FoirI-pXIqGOMzw_OROEqWkjc/view?usp=drivesdk</t>
  </si>
  <si>
    <t>DEWI ARIANY, SH</t>
  </si>
  <si>
    <t>arianydewi7@gmail.com</t>
  </si>
  <si>
    <t>8163</t>
  </si>
  <si>
    <t>1gnpdDo0jpaxjEDgIzueEXqqeCvZVBR7o</t>
  </si>
  <si>
    <t>https://drive.google.com/file/d/1gnpdDo0jpaxjEDgIzueEXqqeCvZVBR7o/view?usp=drivesdk</t>
  </si>
  <si>
    <t xml:space="preserve">ASTANTRI SEPTIANI, A.Md </t>
  </si>
  <si>
    <t>tantry23@gmail.com</t>
  </si>
  <si>
    <t>8164</t>
  </si>
  <si>
    <t>Starting at Thu Aug 29 2024 22:30:34 GMT-0400 (EDT)</t>
  </si>
  <si>
    <t>1hanVvQutenjZc7hdNSra3-n3h-8rbynr</t>
  </si>
  <si>
    <t>https://drive.google.com/file/d/1hanVvQutenjZc7hdNSra3-n3h-8rbynr/view?usp=drivesdk</t>
  </si>
  <si>
    <t>ENI ASTUTI</t>
  </si>
  <si>
    <t>eniastuti230374@gmail.com</t>
  </si>
  <si>
    <t>8165</t>
  </si>
  <si>
    <t>Starting at Thu Aug 29 2024 22:31:00 GMT-0400 (EDT)</t>
  </si>
  <si>
    <t>1wsfiFEW4hXsrgcfEW--OZR2B9siX6Ad1</t>
  </si>
  <si>
    <t>https://drive.google.com/file/d/1wsfiFEW4hXsrgcfEW--OZR2B9siX6Ad1/view?usp=drivesdk</t>
  </si>
  <si>
    <t>DEWI NOVIASARI</t>
  </si>
  <si>
    <t>dewi1976.dn.dn@gmail.com</t>
  </si>
  <si>
    <t>8166</t>
  </si>
  <si>
    <t>1P-o1OQDtOKoDO6C33tEc7YZ1aMyt6b2o</t>
  </si>
  <si>
    <t>https://drive.google.com/file/d/1P-o1OQDtOKoDO6C33tEc7YZ1aMyt6b2o/view?usp=drivesdk</t>
  </si>
  <si>
    <t>ADI SETYOWATI</t>
  </si>
  <si>
    <t>adisetyowati98@gmail.com</t>
  </si>
  <si>
    <t>8167</t>
  </si>
  <si>
    <t>1kSj-puUakyd-0cXZqyXyFjglh_QTo71q</t>
  </si>
  <si>
    <t>https://drive.google.com/file/d/1kSj-puUakyd-0cXZqyXyFjglh_QTo71q/view?usp=drivesdk</t>
  </si>
  <si>
    <t>YAYUK SRI UTAMI</t>
  </si>
  <si>
    <t>yayuk.sri.utami@gmail.com</t>
  </si>
  <si>
    <t>8168</t>
  </si>
  <si>
    <t>1DlqR4pn6exhPIZTj-Gd_tU_q3rlJgCHf</t>
  </si>
  <si>
    <t>https://drive.google.com/file/d/1DlqR4pn6exhPIZTj-Gd_tU_q3rlJgCHf/view?usp=drivesdk</t>
  </si>
  <si>
    <t>SUYATMAN,S.Sos</t>
  </si>
  <si>
    <t>renayatman@gmail.com</t>
  </si>
  <si>
    <t>8169</t>
  </si>
  <si>
    <t>1l1bqbwVMtZsfVKL4Cu0syC6iZ7qnnYWw</t>
  </si>
  <si>
    <t>https://drive.google.com/file/d/1l1bqbwVMtZsfVKL4Cu0syC6iZ7qnnYWw/view?usp=drivesdk</t>
  </si>
  <si>
    <t>HASNILAWATI K</t>
  </si>
  <si>
    <t>hasnilawatikulle72@gmail.com</t>
  </si>
  <si>
    <t>8170</t>
  </si>
  <si>
    <t>15Zhm6FPehLgB1MfFaU9Qrgiy5-j7xLv9</t>
  </si>
  <si>
    <t>https://drive.google.com/file/d/15Zhm6FPehLgB1MfFaU9Qrgiy5-j7xLv9/view?usp=drivesdk</t>
  </si>
  <si>
    <t>Ns. MILA DESRIANI R, S.Kep</t>
  </si>
  <si>
    <t>miladesriani@gmail.com</t>
  </si>
  <si>
    <t>8171</t>
  </si>
  <si>
    <t>1otKvkITh65NBK_VVo0kCkVo9ZZYcMkxW</t>
  </si>
  <si>
    <t>https://drive.google.com/file/d/1otKvkITh65NBK_VVo0kCkVo9ZZYcMkxW/view?usp=drivesdk</t>
  </si>
  <si>
    <t>Ns.MARIATI.SKEP</t>
  </si>
  <si>
    <t>mariati96.ma@gmail.com</t>
  </si>
  <si>
    <t>8172</t>
  </si>
  <si>
    <t>1ZLtZBvRlJ2R_w0FrJZKEA5Syi1G8AATX</t>
  </si>
  <si>
    <t>https://drive.google.com/file/d/1ZLtZBvRlJ2R_w0FrJZKEA5Syi1G8AATX/view?usp=drivesdk</t>
  </si>
  <si>
    <t>YOHENDRA HELMI</t>
  </si>
  <si>
    <t>yohendrahelmi@gmail.com</t>
  </si>
  <si>
    <t>8173</t>
  </si>
  <si>
    <t>1BXJyOAHhTF6xFy2XqXrn1Moy5SG-dUi5</t>
  </si>
  <si>
    <t>https://drive.google.com/file/d/1BXJyOAHhTF6xFy2XqXrn1Moy5SG-dUi5/view?usp=drivesdk</t>
  </si>
  <si>
    <t>I WAYAN MUDIASA</t>
  </si>
  <si>
    <t>wayanmudiasa78@gmail.com</t>
  </si>
  <si>
    <t>8174</t>
  </si>
  <si>
    <t>1oowLNfUCPdrJIYsBmRL2Nh5MY7k_vGZX</t>
  </si>
  <si>
    <t>https://drive.google.com/file/d/1oowLNfUCPdrJIYsBmRL2Nh5MY7k_vGZX/view?usp=drivesdk</t>
  </si>
  <si>
    <t>ARBI MARNISA</t>
  </si>
  <si>
    <t>marnisasosbud@gmail.com</t>
  </si>
  <si>
    <t>8175</t>
  </si>
  <si>
    <t>1SSwFaKaX-C9xqmXRmdnfU7vFQigO99HI</t>
  </si>
  <si>
    <t>https://drive.google.com/file/d/1SSwFaKaX-C9xqmXRmdnfU7vFQigO99HI/view?usp=drivesdk</t>
  </si>
  <si>
    <t>Document successfully created; Document successfully merged; PDF created; !!Error Sending Emails: Service invoked too many times for one day: email.; Run via form trigger as ecertificate75@gmail.com; Timestamp: Sep 5 2024 12:59 AM</t>
  </si>
  <si>
    <t>ridwanaritonang244@gmail.com</t>
  </si>
  <si>
    <t>8176</t>
  </si>
  <si>
    <t>11qz62NlXisBWz-L505spCgNUKbL7_TaC</t>
  </si>
  <si>
    <t>https://drive.google.com/file/d/11qz62NlXisBWz-L505spCgNUKbL7_TaC/view?usp=drivesdk</t>
  </si>
  <si>
    <t>SALIMUN</t>
  </si>
  <si>
    <t>salimun1971@gmail.com</t>
  </si>
  <si>
    <t>8177</t>
  </si>
  <si>
    <t>1EzWt8_w71Ty0AgW1ZPc_REoqFbkcTKXw</t>
  </si>
  <si>
    <t>https://drive.google.com/file/d/1EzWt8_w71Ty0AgW1ZPc_REoqFbkcTKXw/view?usp=drivesdk</t>
  </si>
  <si>
    <t>YESSY HAEMAWATI, S.Kom.</t>
  </si>
  <si>
    <t>yessy.haemawati@gmail.com</t>
  </si>
  <si>
    <t>8178</t>
  </si>
  <si>
    <t>11pLeR1Jl4Cv5IE0tFRR9dpQbUcVof_Py</t>
  </si>
  <si>
    <t>https://drive.google.com/file/d/11pLeR1Jl4Cv5IE0tFRR9dpQbUcVof_Py/view?usp=drivesdk</t>
  </si>
  <si>
    <t>SRI ISNAENI PANCA SETIARINI</t>
  </si>
  <si>
    <t>isnaenisri74@gmail.com</t>
  </si>
  <si>
    <t>8179</t>
  </si>
  <si>
    <t>1fkP8YPJcsUUH9gxS9By1G1RFF7Aacngc</t>
  </si>
  <si>
    <t>https://drive.google.com/file/d/1fkP8YPJcsUUH9gxS9By1G1RFF7Aacngc/view?usp=drivesdk</t>
  </si>
  <si>
    <t>SISKA FEBRIANTY, S.E.</t>
  </si>
  <si>
    <t>sisca_kynara81@yahoo.co.id</t>
  </si>
  <si>
    <t>8180</t>
  </si>
  <si>
    <t>1hSJOQMWCq-FualCs85NWbQBQTP3AM9mv</t>
  </si>
  <si>
    <t>https://drive.google.com/file/d/1hSJOQMWCq-FualCs85NWbQBQTP3AM9mv/view?usp=drivesdk</t>
  </si>
  <si>
    <t>Document successfully created; Document successfully merged; PDF created; !!Error Sending Emails: Service invoked too many times for one day: email.; Run via form trigger as ecertificate75@gmail.com; Timestamp: Sep 5 2024 1:00 AM</t>
  </si>
  <si>
    <t>SARI ROMAITO SEPTIANI LUMBANTOBING</t>
  </si>
  <si>
    <t>sariseptianitobing6@gmail.com</t>
  </si>
  <si>
    <t>8181</t>
  </si>
  <si>
    <t>Starting at Thu Aug 29 2024 22:31:30 GMT-0400 (EDT)</t>
  </si>
  <si>
    <t>1H9mFZSE8Q4BcuRoZHkakumVIWBGXtmof</t>
  </si>
  <si>
    <t>https://drive.google.com/file/d/1H9mFZSE8Q4BcuRoZHkakumVIWBGXtmof/view?usp=drivesdk</t>
  </si>
  <si>
    <t>FITA ENDAH PRIHATIN</t>
  </si>
  <si>
    <t>fytagrez27@gmail.com</t>
  </si>
  <si>
    <t>8182</t>
  </si>
  <si>
    <t>1CptBPpf_XsN9Y9Qoz8ZrRpxla_LqFv6K</t>
  </si>
  <si>
    <t>https://drive.google.com/file/d/1CptBPpf_XsN9Y9Qoz8ZrRpxla_LqFv6K/view?usp=drivesdk</t>
  </si>
  <si>
    <t>DEDY YULI SETIONO</t>
  </si>
  <si>
    <t>dedysitigilang@gmail.com</t>
  </si>
  <si>
    <t>8183</t>
  </si>
  <si>
    <t>1k74j-7Ehy9xzKkXqkI7-Rv5eboR7Jc0N</t>
  </si>
  <si>
    <t>https://drive.google.com/file/d/1k74j-7Ehy9xzKkXqkI7-Rv5eboR7Jc0N/view?usp=drivesdk</t>
  </si>
  <si>
    <t xml:space="preserve">DEWAN RONIYUS PUTRA </t>
  </si>
  <si>
    <t>roniyus.dewan77@gmail.com</t>
  </si>
  <si>
    <t>8184</t>
  </si>
  <si>
    <t>1U5O6vdFwVnhIz-3LT1wsVnoAfJWEpVso</t>
  </si>
  <si>
    <t>https://drive.google.com/file/d/1U5O6vdFwVnhIz-3LT1wsVnoAfJWEpVso/view?usp=drivesdk</t>
  </si>
  <si>
    <t>SRI PUJIRI YANTINI</t>
  </si>
  <si>
    <t>sri.pujiriyantini@gmail.com</t>
  </si>
  <si>
    <t>8185</t>
  </si>
  <si>
    <t>1ETMBKJkpwSDmz0KOPQmQzX9n8kCyaKP5</t>
  </si>
  <si>
    <t>https://drive.google.com/file/d/1ETMBKJkpwSDmz0KOPQmQzX9n8kCyaKP5/view?usp=drivesdk</t>
  </si>
  <si>
    <t>Document successfully created; Document successfully merged; PDF created; Emails Sent: [To: sri.pujiriyantini@gmail.com]; Run via form trigger as ecertificate75@gmail.com; Timestamp: Sep 5 2024 2:17 AM</t>
  </si>
  <si>
    <t>TRIYANTI</t>
  </si>
  <si>
    <t>triyantofebrianto@gmail.com</t>
  </si>
  <si>
    <t>8186</t>
  </si>
  <si>
    <t>1xjK81OK_5YmeLuNlu3ROvMzbCFkCvpVf</t>
  </si>
  <si>
    <t>https://drive.google.com/file/d/1xjK81OK_5YmeLuNlu3ROvMzbCFkCvpVf/view?usp=drivesdk</t>
  </si>
  <si>
    <t>Document successfully created; Document successfully merged; PDF created; Emails Sent: [To: triyantofebrianto@gmail.com]; Run via form trigger as ecertificate75@gmail.com; Timestamp: Sep 5 2024 2:18 AM</t>
  </si>
  <si>
    <t xml:space="preserve">ERMA YULISTYAWATI </t>
  </si>
  <si>
    <t>ermayulistyawati@gmail.com</t>
  </si>
  <si>
    <t>8187</t>
  </si>
  <si>
    <t>1BISfl3PSQNUjOfEhDEk7h5Pve4LtQ98b</t>
  </si>
  <si>
    <t>https://drive.google.com/file/d/1BISfl3PSQNUjOfEhDEk7h5Pve4LtQ98b/view?usp=drivesdk</t>
  </si>
  <si>
    <t>Document successfully created; Document successfully merged; PDF created; Emails Sent: [To: ermayulistyawati@gmail.com]; Run via form trigger as ecertificate75@gmail.com; Timestamp: Sep 5 2024 2:18 AM</t>
  </si>
  <si>
    <t>DOROTHEA AGA KIRA, A.Md</t>
  </si>
  <si>
    <t>dagakira@gmail.com</t>
  </si>
  <si>
    <t>8188</t>
  </si>
  <si>
    <t>1EhAQN-b6U92e-Qd2ff0iIFbmsFFGfuka</t>
  </si>
  <si>
    <t>https://drive.google.com/file/d/1EhAQN-b6U92e-Qd2ff0iIFbmsFFGfuka/view?usp=drivesdk</t>
  </si>
  <si>
    <t>Document successfully created; Document successfully merged; PDF created; Emails Sent: [To: dagakira@gmail.com]; Run via form trigger as ecertificate75@gmail.com; Timestamp: Sep 5 2024 2:18 AM</t>
  </si>
  <si>
    <t xml:space="preserve">ASRI ASTUTI </t>
  </si>
  <si>
    <t>astutiasri69@gmail.com</t>
  </si>
  <si>
    <t>8189</t>
  </si>
  <si>
    <t>16p-FV3glH1VlrOtyILUmz9aePSsCayv-</t>
  </si>
  <si>
    <t>https://drive.google.com/file/d/16p-FV3glH1VlrOtyILUmz9aePSsCayv-/view?usp=drivesdk</t>
  </si>
  <si>
    <t>Document successfully created; Document successfully merged; PDF created; Emails Sent: [To: astutiasri69@gmail.com]; Run via form trigger as ecertificate75@gmail.com; Timestamp: Sep 5 2024 2:18 AM</t>
  </si>
  <si>
    <t>MERIDINA BR KEMBAREN, Amd.Kep</t>
  </si>
  <si>
    <t>kalihara86@gmail.com</t>
  </si>
  <si>
    <t>8190</t>
  </si>
  <si>
    <t>1PIYT7zveQlXGmj2Ka1-glpWSY1a_DK9G</t>
  </si>
  <si>
    <t>https://drive.google.com/file/d/1PIYT7zveQlXGmj2Ka1-glpWSY1a_DK9G/view?usp=drivesdk</t>
  </si>
  <si>
    <t>Document successfully created; Document successfully merged; PDF created; Emails Sent: [To: kalihara86@gmail.com]; Run via form trigger as ecertificate75@gmail.com; Timestamp: Sep 5 2024 2:18 AM</t>
  </si>
  <si>
    <t>RINI WIDIYA HASTUTI</t>
  </si>
  <si>
    <t>riniwh1973@gmail.com</t>
  </si>
  <si>
    <t>8191</t>
  </si>
  <si>
    <t>1cPIHmrkmmfAPFYZ90VchppP-Il9shlSX</t>
  </si>
  <si>
    <t>https://drive.google.com/file/d/1cPIHmrkmmfAPFYZ90VchppP-Il9shlSX/view?usp=drivesdk</t>
  </si>
  <si>
    <t>Document successfully created; Document successfully merged; PDF created; Emails Sent: [To: riniwh1973@gmail.com]; Run via form trigger as ecertificate75@gmail.com; Timestamp: Sep 5 2024 2:19 AM</t>
  </si>
  <si>
    <t>LINDA WIDIA,SH</t>
  </si>
  <si>
    <t>lindawy414@gmail.com</t>
  </si>
  <si>
    <t>8192</t>
  </si>
  <si>
    <t>1UqpNHR3sNIGsCSpLBupVzsfnnKBPOfcI</t>
  </si>
  <si>
    <t>https://drive.google.com/file/d/1UqpNHR3sNIGsCSpLBupVzsfnnKBPOfcI/view?usp=drivesdk</t>
  </si>
  <si>
    <t>Document successfully created; Document successfully merged; PDF created; Emails Sent: [To: lindawy414@gmail.com]; Run via form trigger as ecertificate75@gmail.com; Timestamp: Sep 5 2024 2:19 AM</t>
  </si>
  <si>
    <t>Sri Ratna Dewi</t>
  </si>
  <si>
    <t>ratnadewisri798@gmail.com</t>
  </si>
  <si>
    <t>8193</t>
  </si>
  <si>
    <t>Starting at Thu Aug 29 2024 22:31:39 GMT-0400 (EDT)</t>
  </si>
  <si>
    <t>1G5pcSxu84Il9BqLsb_6mad30suGhZrbs</t>
  </si>
  <si>
    <t>https://drive.google.com/file/d/1G5pcSxu84Il9BqLsb_6mad30suGhZrbs/view?usp=drivesdk</t>
  </si>
  <si>
    <t>Document successfully created; Document successfully merged; PDF created; Emails Sent: [To: ratnadewisri798@gmail.com]; Run via form trigger as ecertificate75@gmail.com; Timestamp: Sep 5 2024 2:19 AM</t>
  </si>
  <si>
    <t>NOVI WULANDARI, S.SI, M. BIOMED</t>
  </si>
  <si>
    <t>novijanuar.dna@gmail.com</t>
  </si>
  <si>
    <t>8194</t>
  </si>
  <si>
    <t>1NLxuwSA8nEgH5BPHNV1hI3i5EElFRuK5</t>
  </si>
  <si>
    <t>https://drive.google.com/file/d/1NLxuwSA8nEgH5BPHNV1hI3i5EElFRuK5/view?usp=drivesdk</t>
  </si>
  <si>
    <t>Document successfully created; Document successfully merged; PDF created; Emails Sent: [To: novijanuar.dna@gmail.com]; Run via form trigger as ecertificate75@gmail.com; Timestamp: Sep 5 2024 2:19 AM</t>
  </si>
  <si>
    <t>SRI SURATMI</t>
  </si>
  <si>
    <t>srisuratmi130172@gmail.com</t>
  </si>
  <si>
    <t>8195</t>
  </si>
  <si>
    <t>Starting at Thu Aug 29 2024 22:31:54 GMT-0400 (EDT)</t>
  </si>
  <si>
    <t>1AAwhmz5ZLl0w7L3tlEbUd1ktY0OUwVBT</t>
  </si>
  <si>
    <t>https://drive.google.com/file/d/1AAwhmz5ZLl0w7L3tlEbUd1ktY0OUwVBT/view?usp=drivesdk</t>
  </si>
  <si>
    <t>Document successfully created; Document successfully merged; PDF created; Emails Sent: [To: srisuratmi130172@gmail.com]; Run via form trigger as ecertificate75@gmail.com; Timestamp: Sep 5 2024 2:19 AM</t>
  </si>
  <si>
    <t>IRZAMSYAH</t>
  </si>
  <si>
    <t>irzams224@gmail.com</t>
  </si>
  <si>
    <t>8196</t>
  </si>
  <si>
    <t>1kSPbAC2C-lL-RPncnd9DMm_RnP-7adue</t>
  </si>
  <si>
    <t>https://drive.google.com/file/d/1kSPbAC2C-lL-RPncnd9DMm_RnP-7adue/view?usp=drivesdk</t>
  </si>
  <si>
    <t>Document successfully created; Document successfully merged; PDF created; Emails Sent: [To: irzams224@gmail.com]; Run via form trigger as ecertificate75@gmail.com; Timestamp: Sep 5 2024 2:19 AM</t>
  </si>
  <si>
    <t>JULI KUSWANTO</t>
  </si>
  <si>
    <t>julikuswanto@gmail.com</t>
  </si>
  <si>
    <t>8197</t>
  </si>
  <si>
    <t>16zBk0frRDGRj5oR1XJEWTISgnR4NXVJn</t>
  </si>
  <si>
    <t>https://drive.google.com/file/d/16zBk0frRDGRj5oR1XJEWTISgnR4NXVJn/view?usp=drivesdk</t>
  </si>
  <si>
    <t>Document successfully created; Document successfully merged; PDF created; Emails Sent: [To: julikuswanto@gmail.com]; Run via form trigger as ecertificate75@gmail.com; Timestamp: Sep 5 2024 2:20 AM</t>
  </si>
  <si>
    <t>YUNIDA MARNI</t>
  </si>
  <si>
    <t>yunida.1073@gmail.com</t>
  </si>
  <si>
    <t>8198</t>
  </si>
  <si>
    <t>1YKiu4kf8EzA8tbEVjRjUQvl1tsViPal4</t>
  </si>
  <si>
    <t>https://drive.google.com/file/d/1YKiu4kf8EzA8tbEVjRjUQvl1tsViPal4/view?usp=drivesdk</t>
  </si>
  <si>
    <t>Document successfully created; Document successfully merged; PDF created; Emails Sent: [To: yunida.1073@gmail.com]; Run via form trigger as ecertificate75@gmail.com; Timestamp: Sep 5 2024 2:35 AM</t>
  </si>
  <si>
    <t>herimastuti01@gmail.com</t>
  </si>
  <si>
    <t>8199</t>
  </si>
  <si>
    <t>1hPPpc1U-QQRcf5kcitELwgWTH__SCXpA</t>
  </si>
  <si>
    <t>https://drive.google.com/file/d/1hPPpc1U-QQRcf5kcitELwgWTH__SCXpA/view?usp=drivesdk</t>
  </si>
  <si>
    <t>Document successfully created; Document successfully merged; PDF created; Emails Sent: [To: herimastuti01@gmail.com]; Run via form trigger as ecertificate75@gmail.com; Timestamp: Sep 5 2024 2:35 AM</t>
  </si>
  <si>
    <t xml:space="preserve">SITI AMINAH, S.Kom. </t>
  </si>
  <si>
    <t>sweetyfadillah8@gmail.com</t>
  </si>
  <si>
    <t>8200</t>
  </si>
  <si>
    <t>1oVew9i-Tw3mYD6DdJ9PZFEDsrRT760iP</t>
  </si>
  <si>
    <t>https://drive.google.com/file/d/1oVew9i-Tw3mYD6DdJ9PZFEDsrRT760iP/view?usp=drivesdk</t>
  </si>
  <si>
    <t>Document successfully created; Document successfully merged; PDF created; Emails Sent: [To: sweetyfadillah8@gmail.com]; Run via form trigger as ecertificate75@gmail.com; Timestamp: Sep 5 2024 2:35 AM</t>
  </si>
  <si>
    <t>suryadi140107@gmail.com</t>
  </si>
  <si>
    <t>8201</t>
  </si>
  <si>
    <t>1ODv02-Y8ymOHQs1k0gNhOdmOSKyudCSM</t>
  </si>
  <si>
    <t>https://drive.google.com/file/d/1ODv02-Y8ymOHQs1k0gNhOdmOSKyudCSM/view?usp=drivesdk</t>
  </si>
  <si>
    <t>Document successfully created; Document successfully merged; PDF created; Emails Sent: [To: suryadi140107@gmail.com]; Run via form trigger as ecertificate75@gmail.com; Timestamp: Sep 5 2024 2:35 AM</t>
  </si>
  <si>
    <t>FEBRIANI PURWOASTUTI, S.E, M.M</t>
  </si>
  <si>
    <t>febri.filan@gmail.com</t>
  </si>
  <si>
    <t>8202</t>
  </si>
  <si>
    <t>1Iiy814PGzr642vDhZIs8TsCtLLmVmluL</t>
  </si>
  <si>
    <t>https://drive.google.com/file/d/1Iiy814PGzr642vDhZIs8TsCtLLmVmluL/view?usp=drivesdk</t>
  </si>
  <si>
    <t>Document successfully created; Document successfully merged; PDF created; Emails Sent: [To: febri.filan@gmail.com]; Run via form trigger as ecertificate75@gmail.com; Timestamp: Sep 5 2024 2:35 AM</t>
  </si>
  <si>
    <t>EKO SARDIYANTI</t>
  </si>
  <si>
    <t>ekosardiyanti98@gmail.com</t>
  </si>
  <si>
    <t>8203</t>
  </si>
  <si>
    <t>Starting at Thu Aug 29 2024 22:31:55 GMT-0400 (EDT)</t>
  </si>
  <si>
    <t>1VdaDjUJfi2jEpiEMZsC9dnouchRxSXHd</t>
  </si>
  <si>
    <t>https://drive.google.com/file/d/1VdaDjUJfi2jEpiEMZsC9dnouchRxSXHd/view?usp=drivesdk</t>
  </si>
  <si>
    <t>Document successfully created; Document successfully merged; PDF created; Emails Sent: [To: ekosardiyanti98@gmail.com]; Run via form trigger as ecertificate75@gmail.com; Timestamp: Sep 5 2024 2:36 AM</t>
  </si>
  <si>
    <t>HALIMAN</t>
  </si>
  <si>
    <t>haliman673@gmail.com</t>
  </si>
  <si>
    <t>8204</t>
  </si>
  <si>
    <t>164XjCJI7bmC6SuA5vunVbVOnSRa508XW</t>
  </si>
  <si>
    <t>https://drive.google.com/file/d/164XjCJI7bmC6SuA5vunVbVOnSRa508XW/view?usp=drivesdk</t>
  </si>
  <si>
    <t>Document successfully created; Document successfully merged; PDF created; Emails Sent: [To: haliman673@gmail.com]; Run via form trigger as ecertificate75@gmail.com; Timestamp: Sep 5 2024 2:36 AM</t>
  </si>
  <si>
    <t>8205</t>
  </si>
  <si>
    <t>Starting at Thu Aug 29 2024 22:31:59 GMT-0400 (EDT)</t>
  </si>
  <si>
    <t>1hlJaIf6x67d_WjHCgvTJEAwYnrHto4ko</t>
  </si>
  <si>
    <t>https://drive.google.com/file/d/1hlJaIf6x67d_WjHCgvTJEAwYnrHto4ko/view?usp=drivesdk</t>
  </si>
  <si>
    <t>Document successfully created; Document successfully merged; PDF created; Emails Sent: [To: enimarlina1976@gmail.com]; Run via form trigger as ecertificate75@gmail.com; Timestamp: Sep 5 2024 2:36 AM</t>
  </si>
  <si>
    <t>M YUNUS</t>
  </si>
  <si>
    <t>myunus250470@gmail.comcom</t>
  </si>
  <si>
    <t>8206</t>
  </si>
  <si>
    <t>1FaHyFAopIX3mNFp0ohMjoId1J3ox2J9U</t>
  </si>
  <si>
    <t>https://drive.google.com/file/d/1FaHyFAopIX3mNFp0ohMjoId1J3ox2J9U/view?usp=drivesdk</t>
  </si>
  <si>
    <t>Document successfully created; Document successfully merged; PDF created; Emails Sent: [To: myunus250470@gmail.comcom]; Run via form trigger as ecertificate75@gmail.com; Timestamp: Sep 5 2024 2:36 AM</t>
  </si>
  <si>
    <t>DESNIMAR Z.</t>
  </si>
  <si>
    <t>desnimar8okto@gmail.com</t>
  </si>
  <si>
    <t>8207</t>
  </si>
  <si>
    <t>Starting at Thu Aug 29 2024 22:32:03 GMT-0400 (EDT)</t>
  </si>
  <si>
    <t>14sPxoFnqCD0EZZOGFCE_1EaWP3YSGWuy</t>
  </si>
  <si>
    <t>https://drive.google.com/file/d/14sPxoFnqCD0EZZOGFCE_1EaWP3YSGWuy/view?usp=drivesdk</t>
  </si>
  <si>
    <t>Document successfully created; Document successfully merged; PDF created; Emails Sent: [To: desnimar8okto@gmail.com]; Run via form trigger as ecertificate75@gmail.com; Timestamp: Sep 5 2024 2:36 AM</t>
  </si>
  <si>
    <t>DWI ENDANG IIN MASTUTI, M.Pd</t>
  </si>
  <si>
    <t>raisya1315@gmail.com</t>
  </si>
  <si>
    <t>8208</t>
  </si>
  <si>
    <t>Starting at Thu Aug 29 2024 22:32:05 GMT-0400 (EDT)</t>
  </si>
  <si>
    <t>1TQe_xZ4JvDJytGb8CVfu_6m1qsCxLUuv</t>
  </si>
  <si>
    <t>https://drive.google.com/file/d/1TQe_xZ4JvDJytGb8CVfu_6m1qsCxLUuv/view?usp=drivesdk</t>
  </si>
  <si>
    <t>Document successfully created; Document successfully merged; PDF created; Emails Sent: [To: raisya1315@gmail.com]; Run via form trigger as ecertificate75@gmail.com; Timestamp: Sep 5 2024 2:37 AM</t>
  </si>
  <si>
    <t>MOHAMMAD AMIRULLAH</t>
  </si>
  <si>
    <t>amirtenis99@gmail.com</t>
  </si>
  <si>
    <t>8209</t>
  </si>
  <si>
    <t>Starting at Thu Aug 29 2024 22:32:08 GMT-0400 (EDT)</t>
  </si>
  <si>
    <t>1ZrNDRm9zJizQM1rZ7vRmTpxMd7ciHahi</t>
  </si>
  <si>
    <t>https://drive.google.com/file/d/1ZrNDRm9zJizQM1rZ7vRmTpxMd7ciHahi/view?usp=drivesdk</t>
  </si>
  <si>
    <t>Document successfully created; Document successfully merged; PDF created; Emails Sent: [To: amirtenis99@gmail.com]; Run via form trigger as ecertificate75@gmail.com; Timestamp: Sep 5 2024 2:37 AM</t>
  </si>
  <si>
    <t>BAHRINEL SIREGAR</t>
  </si>
  <si>
    <t>bahrinelsiregar@gmail.com</t>
  </si>
  <si>
    <t>8210</t>
  </si>
  <si>
    <t>Starting at Thu Aug 29 2024 22:32:09 GMT-0400 (EDT)</t>
  </si>
  <si>
    <t>1CKpxpiKAefzr1_CAf7LE3g9eRqUzKxEW</t>
  </si>
  <si>
    <t>https://drive.google.com/file/d/1CKpxpiKAefzr1_CAf7LE3g9eRqUzKxEW/view?usp=drivesdk</t>
  </si>
  <si>
    <t>Document successfully created; Document successfully merged; PDF created; Emails Sent: [To: bahrinelsiregar@gmail.com]; Run via form trigger as ecertificate75@gmail.com; Timestamp: Sep 5 2024 2:37 AM</t>
  </si>
  <si>
    <t>SYAFRIZAL</t>
  </si>
  <si>
    <t>rizal@gmail.com</t>
  </si>
  <si>
    <t>8211</t>
  </si>
  <si>
    <t>Starting at Thu Aug 29 2024 22:32:14 GMT-0400 (EDT)</t>
  </si>
  <si>
    <t>1IQGQtEhWT9vEbwOjWfEgD2PcGdoL8sWi</t>
  </si>
  <si>
    <t>https://drive.google.com/file/d/1IQGQtEhWT9vEbwOjWfEgD2PcGdoL8sWi/view?usp=drivesdk</t>
  </si>
  <si>
    <t>Document successfully created; Document successfully merged; PDF created; Emails Sent: [To: rizal@gmail.com]; Run via form trigger as ecertificate75@gmail.com; Timestamp: Sep 5 2024 2:37 AM</t>
  </si>
  <si>
    <t>AGUS WIJAYA, S.E</t>
  </si>
  <si>
    <t>arasywijaya@gmail.com</t>
  </si>
  <si>
    <t>8212</t>
  </si>
  <si>
    <t>1PxKAfHLqvLxyjtQBqIHdJkB5ONRvGWKK</t>
  </si>
  <si>
    <t>https://drive.google.com/file/d/1PxKAfHLqvLxyjtQBqIHdJkB5ONRvGWKK/view?usp=drivesdk</t>
  </si>
  <si>
    <t>Document successfully created; Document successfully merged; PDF created; Emails Sent: [To: arasywijaya@gmail.com]; Run via form trigger as ecertificate75@gmail.com; Timestamp: Sep 5 2024 2:37 AM</t>
  </si>
  <si>
    <t xml:space="preserve">MAHDIARA </t>
  </si>
  <si>
    <t>arra.mahdiara@gmail.com</t>
  </si>
  <si>
    <t>8213</t>
  </si>
  <si>
    <t>1yw8MTdPNmvPjQZgtkAjXYNyUo6K4ttCC</t>
  </si>
  <si>
    <t>https://drive.google.com/file/d/1yw8MTdPNmvPjQZgtkAjXYNyUo6K4ttCC/view?usp=drivesdk</t>
  </si>
  <si>
    <t>Document successfully created; Document successfully merged; PDF created; Emails Sent: [To: arra.mahdiara@gmail.com]; Run via form trigger as ecertificate75@gmail.com; Timestamp: Sep 5 2024 2:37 AM</t>
  </si>
  <si>
    <t>Asih Sunari, A.Md.</t>
  </si>
  <si>
    <t>asih.michelle@gmail.com</t>
  </si>
  <si>
    <t>8214</t>
  </si>
  <si>
    <t>1A3tF2qiQZ2GiYH3cT4GZyeofyg6lUd7X</t>
  </si>
  <si>
    <t>https://drive.google.com/file/d/1A3tF2qiQZ2GiYH3cT4GZyeofyg6lUd7X/view?usp=drivesdk</t>
  </si>
  <si>
    <t>Document successfully created; Document successfully merged; PDF created; Emails Sent: [To: asih.michelle@gmail.com]; Run via form trigger as ecertificate75@gmail.com; Timestamp: Sep 5 2024 2:38 AM</t>
  </si>
  <si>
    <t>UNAENY, S.PD</t>
  </si>
  <si>
    <t>unaenyjuaini@gmail.com</t>
  </si>
  <si>
    <t>8215</t>
  </si>
  <si>
    <t>Starting at Thu Aug 29 2024 22:32:17 GMT-0400 (EDT)</t>
  </si>
  <si>
    <t>1TCM28HaR6fYRjzF6RZtPl_blG_5mNw-F</t>
  </si>
  <si>
    <t>https://drive.google.com/file/d/1TCM28HaR6fYRjzF6RZtPl_blG_5mNw-F/view?usp=drivesdk</t>
  </si>
  <si>
    <t>Document successfully created; Document successfully merged; PDF created; Emails Sent: [To: unaenyjuaini@gmail.com]; Run via form trigger as ecertificate75@gmail.com; Timestamp: Sep 5 2024 2:38 AM</t>
  </si>
  <si>
    <t>handayanibrimob@gmail.com</t>
  </si>
  <si>
    <t>8216</t>
  </si>
  <si>
    <t>Starting at Thu Aug 29 2024 22:32:19 GMT-0400 (EDT)</t>
  </si>
  <si>
    <t>1hGyZFOALG4xrZSZmSJzEK2dP0QBn9HD0</t>
  </si>
  <si>
    <t>https://drive.google.com/file/d/1hGyZFOALG4xrZSZmSJzEK2dP0QBn9HD0/view?usp=drivesdk</t>
  </si>
  <si>
    <t>Document successfully created; Document successfully merged; PDF created; Emails Sent: [To: handayanibrimob@gmail.com]; Run via form trigger as ecertificate75@gmail.com; Timestamp: Sep 5 2024 2:38 AM</t>
  </si>
  <si>
    <t>YUNIA FITRIANI, S.E.</t>
  </si>
  <si>
    <t>yuniafitriani1985@gmail.com</t>
  </si>
  <si>
    <t>8217</t>
  </si>
  <si>
    <t>Starting at Thu Aug 29 2024 22:32:21 GMT-0400 (EDT)</t>
  </si>
  <si>
    <t>1sPgw3ftpjf9sVeUtLKS6TuMmOjq09xzn</t>
  </si>
  <si>
    <t>https://drive.google.com/file/d/1sPgw3ftpjf9sVeUtLKS6TuMmOjq09xzn/view?usp=drivesdk</t>
  </si>
  <si>
    <t>Document successfully created; Document successfully merged; PDF created; Emails Sent: [To: yuniafitriani1985@gmail.com]; Run via form trigger as ecertificate75@gmail.com; Timestamp: Sep 5 2024 2:38 AM</t>
  </si>
  <si>
    <t>RIA HARYAni</t>
  </si>
  <si>
    <t>riareskrim@gmail.com.67</t>
  </si>
  <si>
    <t>8218</t>
  </si>
  <si>
    <t>Starting at Thu Aug 29 2024 22:32:25 GMT-0400 (EDT)</t>
  </si>
  <si>
    <t>1lkUFdMR-0MJXZJ16pKqYF38H7tXu1dpU</t>
  </si>
  <si>
    <t>https://drive.google.com/file/d/1lkUFdMR-0MJXZJ16pKqYF38H7tXu1dpU/view?usp=drivesdk</t>
  </si>
  <si>
    <t>Document successfully created; Document successfully merged; PDF created; Emails Sent: [To: riareskrim@gmail.com.67]; Run via form trigger as ecertificate75@gmail.com; Timestamp: Sep 5 2024 2:38 AM</t>
  </si>
  <si>
    <t>dr. ANI KURNIANINGSIH, MM</t>
  </si>
  <si>
    <t>anikurnianingsih7@gmail.com</t>
  </si>
  <si>
    <t>8219</t>
  </si>
  <si>
    <t>Starting at Thu Aug 29 2024 22:32:30 GMT-0400 (EDT)</t>
  </si>
  <si>
    <t>1eIYtIbPZM1jWNso0275yEwS-TAszyKif</t>
  </si>
  <si>
    <t>https://drive.google.com/file/d/1eIYtIbPZM1jWNso0275yEwS-TAszyKif/view?usp=drivesdk</t>
  </si>
  <si>
    <t>Document successfully created; Document successfully merged; PDF created; Emails Sent: [To: anikurnianingsih7@gmail.com]; Run via form trigger as ecertificate75@gmail.com; Timestamp: Sep 5 2024 2:39 AM</t>
  </si>
  <si>
    <t xml:space="preserve">Fuad Filardhi Nugroho </t>
  </si>
  <si>
    <t>filardhi_n@yahoo.co.id</t>
  </si>
  <si>
    <t>8220</t>
  </si>
  <si>
    <t>14yYpcP8w7tAwnGJBJvVkSK4QnpA8NMvP</t>
  </si>
  <si>
    <t>https://drive.google.com/file/d/14yYpcP8w7tAwnGJBJvVkSK4QnpA8NMvP/view?usp=drivesdk</t>
  </si>
  <si>
    <t>Document successfully created; Document successfully merged; PDF created; Emails Sent: [To: filardhi_n@yahoo.co.id]; Run via form trigger as ecertificate75@gmail.com; Timestamp: Sep 5 2024 2:39 AM</t>
  </si>
  <si>
    <t>SAIMAN</t>
  </si>
  <si>
    <t>anggoro.saputro77@gmail.com</t>
  </si>
  <si>
    <t>8221</t>
  </si>
  <si>
    <t>Starting at Thu Aug 29 2024 22:32:35 GMT-0400 (EDT)</t>
  </si>
  <si>
    <t>1W1QI9Fu4cSDM6s_F0q0ajzdJh83qXzgX</t>
  </si>
  <si>
    <t>https://drive.google.com/file/d/1W1QI9Fu4cSDM6s_F0q0ajzdJh83qXzgX/view?usp=drivesdk</t>
  </si>
  <si>
    <t>Document successfully created; Document successfully merged; PDF created; Emails Sent: [To: anggoro.saputro77@gmail.com]; Run via form trigger as ecertificate75@gmail.com; Timestamp: Sep 5 2024 2:39 AM</t>
  </si>
  <si>
    <t>HARLY ALFARED, S.Kom</t>
  </si>
  <si>
    <t>harlyalfared@gmail.com</t>
  </si>
  <si>
    <t>8222</t>
  </si>
  <si>
    <t>1rFBZvaj6aTdJyPhkXdTq2PxnLEEDYPJk</t>
  </si>
  <si>
    <t>https://drive.google.com/file/d/1rFBZvaj6aTdJyPhkXdTq2PxnLEEDYPJk/view?usp=drivesdk</t>
  </si>
  <si>
    <t>Document successfully created; Document successfully merged; PDF created; Emails Sent: [To: harlyalfared@gmail.com]; Run via form trigger as ecertificate75@gmail.com; Timestamp: Sep 5 2024 2:39 AM</t>
  </si>
  <si>
    <t>hartati16sri@gmail.com</t>
  </si>
  <si>
    <t>8223</t>
  </si>
  <si>
    <t>1coe58-_Ik1PBWrgL7-3BmmXbEyXrQPIc</t>
  </si>
  <si>
    <t>https://drive.google.com/file/d/1coe58-_Ik1PBWrgL7-3BmmXbEyXrQPIc/view?usp=drivesdk</t>
  </si>
  <si>
    <t>Document successfully created; Document successfully merged; PDF created; Emails Sent: [To: hartati16sri@gmail.com]; Run via form trigger as ecertificate75@gmail.com; Timestamp: Sep 5 2024 2:39 AM</t>
  </si>
  <si>
    <t>SRI NURIDA</t>
  </si>
  <si>
    <t>sriajha2610@gmail.com</t>
  </si>
  <si>
    <t>8224</t>
  </si>
  <si>
    <t>Starting at Thu Aug 29 2024 22:32:38 GMT-0400 (EDT)</t>
  </si>
  <si>
    <t>1XMH2b8zabLhjPQN__fGfHvOGH3EP3z2-</t>
  </si>
  <si>
    <t>https://drive.google.com/file/d/1XMH2b8zabLhjPQN__fGfHvOGH3EP3z2-/view?usp=drivesdk</t>
  </si>
  <si>
    <t>Document successfully created; Document successfully merged; PDF created; Emails Sent: [To: sriajha2610@gmail.com]; Run via form trigger as ecertificate75@gmail.com; Timestamp: Sep 5 2024 2:39 AM</t>
  </si>
  <si>
    <t>APRLIA SUWITO KARTUMI</t>
  </si>
  <si>
    <t>8225</t>
  </si>
  <si>
    <t>1oeFd7w7xN2Y4lifiQts7AXq5taCFA_SC</t>
  </si>
  <si>
    <t>https://drive.google.com/file/d/1oeFd7w7xN2Y4lifiQts7AXq5taCFA_SC/view?usp=drivesdk</t>
  </si>
  <si>
    <t>Document successfully created; Document successfully merged; PDF created; Emails Sent: [To: apriliasuwito@gmail.com]; Run via form trigger as ecertificate75@gmail.com; Timestamp: Sep 5 2024 3:51 AM</t>
  </si>
  <si>
    <t>dr. MUHAMMAD IRVAN</t>
  </si>
  <si>
    <t>muhammadirvan9914@yahoo.com</t>
  </si>
  <si>
    <t>8226</t>
  </si>
  <si>
    <t>Starting at Thu Aug 29 2024 22:32:41 GMT-0400 (EDT)</t>
  </si>
  <si>
    <t>1UA9SF8bkTOXy8AS9qjHZwgiYVVUYzNXJ</t>
  </si>
  <si>
    <t>https://drive.google.com/file/d/1UA9SF8bkTOXy8AS9qjHZwgiYVVUYzNXJ/view?usp=drivesdk</t>
  </si>
  <si>
    <t>Document successfully created; Document successfully merged; PDF created; Emails Sent: [To: muhammadirvan9914@yahoo.com]; Run via form trigger as ecertificate75@gmail.com; Timestamp: Sep 5 2024 3:51 AM</t>
  </si>
  <si>
    <t xml:space="preserve">IKHSAN </t>
  </si>
  <si>
    <t>ezn5373@gmail.com</t>
  </si>
  <si>
    <t>8227</t>
  </si>
  <si>
    <t>Starting at Thu Aug 29 2024 22:32:49 GMT-0400 (EDT)</t>
  </si>
  <si>
    <t>1PW7HYHHtpWfpXAPpa8p-HHI6TsvWxsr8</t>
  </si>
  <si>
    <t>https://drive.google.com/file/d/1PW7HYHHtpWfpXAPpa8p-HHI6TsvWxsr8/view?usp=drivesdk</t>
  </si>
  <si>
    <t>Document successfully created; Document successfully merged; PDF created; Emails Sent: [To: ezn5373@gmail.com]; Run via form trigger as ecertificate75@gmail.com; Timestamp: Sep 5 2024 3:51 AM</t>
  </si>
  <si>
    <t>NURSIMA,SH</t>
  </si>
  <si>
    <t>nursimajambi2023@gmail.com</t>
  </si>
  <si>
    <t>8228</t>
  </si>
  <si>
    <t>1BNee0Qc68L_F3mTBbbfxrHPYzXVl4Ep8</t>
  </si>
  <si>
    <t>https://drive.google.com/file/d/1BNee0Qc68L_F3mTBbbfxrHPYzXVl4Ep8/view?usp=drivesdk</t>
  </si>
  <si>
    <t>Document successfully created; Document successfully merged; PDF created; Emails Sent: [To: nursimajambi2023@gmail.com]; Run via form trigger as ecertificate75@gmail.com; Timestamp: Sep 5 2024 3:51 AM</t>
  </si>
  <si>
    <t xml:space="preserve">ZUYYINAH </t>
  </si>
  <si>
    <t>zuyyinah.ina60@gmail.com</t>
  </si>
  <si>
    <t>8229</t>
  </si>
  <si>
    <t>1WqAp8xTDvsFdhSXSMJBHHSIa2ALejZiL</t>
  </si>
  <si>
    <t>https://drive.google.com/file/d/1WqAp8xTDvsFdhSXSMJBHHSIa2ALejZiL/view?usp=drivesdk</t>
  </si>
  <si>
    <t>Document successfully created; Document successfully merged; PDF created; Emails Sent: [To: zuyyinah.ina60@gmail.com]; Run via form trigger as ecertificate75@gmail.com; Timestamp: Sep 5 2024 3:51 AM</t>
  </si>
  <si>
    <t>BAMBANG EKOWARSO</t>
  </si>
  <si>
    <t>bambangekowarso@gmail.com</t>
  </si>
  <si>
    <t>8230</t>
  </si>
  <si>
    <t>15Cn1Z5HGe0ZwDJ83XrAtkwDUeONDMgQI</t>
  </si>
  <si>
    <t>https://drive.google.com/file/d/15Cn1Z5HGe0ZwDJ83XrAtkwDUeONDMgQI/view?usp=drivesdk</t>
  </si>
  <si>
    <t>Document successfully created; Document successfully merged; PDF created; Emails Sent: [To: bambangekowarso@gmail.com]; Run via form trigger as ecertificate75@gmail.com; Timestamp: Sep 5 2024 3:52 AM</t>
  </si>
  <si>
    <t>JUNIARTI, AMD.FARM</t>
  </si>
  <si>
    <t>junieartika@gmaii.com</t>
  </si>
  <si>
    <t>8231</t>
  </si>
  <si>
    <t>Starting at Thu Aug 29 2024 22:32:52 GMT-0400 (EDT)</t>
  </si>
  <si>
    <t>1ITraTG8IpmWl7oZDlXzq6Izsqn_nmmhv</t>
  </si>
  <si>
    <t>https://drive.google.com/file/d/1ITraTG8IpmWl7oZDlXzq6Izsqn_nmmhv/view?usp=drivesdk</t>
  </si>
  <si>
    <t>Document successfully created; Document successfully merged; PDF created; Emails Sent: [To: junieartika@gmaii.com]; Run via form trigger as ecertificate75@gmail.com; Timestamp: Sep 5 2024 3:52 AM</t>
  </si>
  <si>
    <t>SOLI II</t>
  </si>
  <si>
    <t>solisumenep@gmail.com</t>
  </si>
  <si>
    <t>8232</t>
  </si>
  <si>
    <t>1JoJCov5BCDMOZ_TTNE_zP1tR70u9ylcq</t>
  </si>
  <si>
    <t>https://drive.google.com/file/d/1JoJCov5BCDMOZ_TTNE_zP1tR70u9ylcq/view?usp=drivesdk</t>
  </si>
  <si>
    <t>Document successfully created; Document successfully merged; PDF created; Emails Sent: [To: solisumenep@gmail.com]; Run via form trigger as ecertificate75@gmail.com; Timestamp: Sep 5 2024 3:52 AM</t>
  </si>
  <si>
    <t>RAHMAWATY</t>
  </si>
  <si>
    <t>8233</t>
  </si>
  <si>
    <t>Starting at Thu Aug 29 2024 22:32:54 GMT-0400 (EDT)</t>
  </si>
  <si>
    <t>1bRbTzZUFVAg3NALjil1ryHQAFlkPcuIc</t>
  </si>
  <si>
    <t>https://drive.google.com/file/d/1bRbTzZUFVAg3NALjil1ryHQAFlkPcuIc/view?usp=drivesdk</t>
  </si>
  <si>
    <t>Document successfully created; Document successfully merged; PDF created; Emails Sent: [To: rahmafauji@gmail.com]; Run via form trigger as ecertificate75@gmail.com; Timestamp: Sep 5 2024 3:52 AM</t>
  </si>
  <si>
    <t>lovie_indry85@yahoo.co.id</t>
  </si>
  <si>
    <t>8234</t>
  </si>
  <si>
    <t>Starting at Thu Aug 29 2024 22:32:56 GMT-0400 (EDT)</t>
  </si>
  <si>
    <t>16XVejxdIMxkYgjAeWbQY08-FLFb1Ntqi</t>
  </si>
  <si>
    <t>https://drive.google.com/file/d/16XVejxdIMxkYgjAeWbQY08-FLFb1Ntqi/view?usp=drivesdk</t>
  </si>
  <si>
    <t>Document successfully created; Document successfully merged; PDF created; Emails Sent: [To: lovie_indry85@yahoo.co.id]; Run via form trigger as ecertificate75@gmail.com; Timestamp: Sep 5 2024 3:52 AM</t>
  </si>
  <si>
    <t>MOCHAMAD MUKHSININ, S.KOM.</t>
  </si>
  <si>
    <t>m.mukhsinin@gmail.com</t>
  </si>
  <si>
    <t>8235</t>
  </si>
  <si>
    <t>Starting at Thu Aug 29 2024 22:32:58 GMT-0400 (EDT)</t>
  </si>
  <si>
    <t>1Zkca-Mpe9uBD6vSfjJnr--pry9SoBXs0</t>
  </si>
  <si>
    <t>https://drive.google.com/file/d/1Zkca-Mpe9uBD6vSfjJnr--pry9SoBXs0/view?usp=drivesdk</t>
  </si>
  <si>
    <t>Document successfully created; Document successfully merged; PDF created; Emails Sent: [To: m.mukhsinin@gmail.com]; Run via form trigger as ecertificate75@gmail.com; Timestamp: Sep 5 2024 3:53 AM</t>
  </si>
  <si>
    <t>ASIDO BENARDO PARDAMEAN, S.Akun</t>
  </si>
  <si>
    <t>8236</t>
  </si>
  <si>
    <t>1G3dKH4j-RT_-WSIFm_URu2jo0My4DYSs</t>
  </si>
  <si>
    <t>https://drive.google.com/file/d/1G3dKH4j-RT_-WSIFm_URu2jo0My4DYSs/view?usp=drivesdk</t>
  </si>
  <si>
    <t>Document successfully created; Document successfully merged; PDF created; Emails Sent: [To: asido.bp@gmail.com]; Run via form trigger as ecertificate75@gmail.com; Timestamp: Sep 5 2024 3:53 AM</t>
  </si>
  <si>
    <t>YESNIDAR</t>
  </si>
  <si>
    <t>yessii1969@gmail.com</t>
  </si>
  <si>
    <t>8237</t>
  </si>
  <si>
    <t>Starting at Thu Aug 29 2024 22:33:04 GMT-0400 (EDT)</t>
  </si>
  <si>
    <t>1yeJGtSOHZ-D0mWuQUfZXhrPB2UUxjuW4</t>
  </si>
  <si>
    <t>https://drive.google.com/file/d/1yeJGtSOHZ-D0mWuQUfZXhrPB2UUxjuW4/view?usp=drivesdk</t>
  </si>
  <si>
    <t>Document successfully created; Document successfully merged; PDF created; Emails Sent: [To: yessii1969@gmail.com]; Run via form trigger as ecertificate75@gmail.com; Timestamp: Sep 5 2024 3:53 AM</t>
  </si>
  <si>
    <t>RITA YULIANA, S.H.</t>
  </si>
  <si>
    <t>ritayuli4n4@gmail.com</t>
  </si>
  <si>
    <t>8238</t>
  </si>
  <si>
    <t>1DyyRMCLSJFK33nC03chCNcq-fwYObW49</t>
  </si>
  <si>
    <t>https://drive.google.com/file/d/1DyyRMCLSJFK33nC03chCNcq-fwYObW49/view?usp=drivesdk</t>
  </si>
  <si>
    <t>Document successfully created; Document successfully merged; PDF created; Emails Sent: [To: ritayuli4n4@gmail.com]; Run via form trigger as ecertificate75@gmail.com; Timestamp: Sep 5 2024 3:53 AM</t>
  </si>
  <si>
    <t>RIKO, S.Kom</t>
  </si>
  <si>
    <t>ricoman343@gmail.com</t>
  </si>
  <si>
    <t>8239</t>
  </si>
  <si>
    <t>Starting at Thu Aug 29 2024 22:33:13 GMT-0400 (EDT)</t>
  </si>
  <si>
    <t>1UXdqVp7ftlK-d5RXxdlMQnMyoRPL2KXf</t>
  </si>
  <si>
    <t>https://drive.google.com/file/d/1UXdqVp7ftlK-d5RXxdlMQnMyoRPL2KXf/view?usp=drivesdk</t>
  </si>
  <si>
    <t>Document successfully created; Document successfully merged; PDF created; Emails Sent: [To: ricoman343@gmail.com]; Run via form trigger as ecertificate75@gmail.com; Timestamp: Sep 5 2024 3:53 AM</t>
  </si>
  <si>
    <t xml:space="preserve">WIDI BANGUN BINURWOTO </t>
  </si>
  <si>
    <t>fairel1114@gmail.com</t>
  </si>
  <si>
    <t>8240</t>
  </si>
  <si>
    <t>1fwQ0uGKIIy0ulFPObmSaTWel2Yj9IoDz</t>
  </si>
  <si>
    <t>https://drive.google.com/file/d/1fwQ0uGKIIy0ulFPObmSaTWel2Yj9IoDz/view?usp=drivesdk</t>
  </si>
  <si>
    <t>Document successfully created; Document successfully merged; PDF created; Emails Sent: [To: fairel1114@gmail.com]; Run via form trigger as ecertificate75@gmail.com; Timestamp: Sep 5 2024 4:48 AM</t>
  </si>
  <si>
    <t>SUPRAPTO</t>
  </si>
  <si>
    <t>suprapto.panti123@gmail.com</t>
  </si>
  <si>
    <t>8241</t>
  </si>
  <si>
    <t>1_YRdX_WtV0asu1AuMCHFhDitYYPVQZwy</t>
  </si>
  <si>
    <t>https://drive.google.com/file/d/1_YRdX_WtV0asu1AuMCHFhDitYYPVQZwy/view?usp=drivesdk</t>
  </si>
  <si>
    <t>Document successfully created; Document successfully merged; PDF created; Emails Sent: [To: suprapto.panti123@gmail.com]; Run via form trigger as ecertificate75@gmail.com; Timestamp: Sep 5 2024 4:48 AM</t>
  </si>
  <si>
    <t>ERLIYANTO</t>
  </si>
  <si>
    <t>erliyanto.samsat007@gmail.com</t>
  </si>
  <si>
    <t>8242</t>
  </si>
  <si>
    <t>1LF5NrAT8jUOG-zij37npBL7vhNJvcbBl</t>
  </si>
  <si>
    <t>https://drive.google.com/file/d/1LF5NrAT8jUOG-zij37npBL7vhNJvcbBl/view?usp=drivesdk</t>
  </si>
  <si>
    <t>Document successfully created; Document successfully merged; PDF created; Emails Sent: [To: erliyanto.samsat007@gmail.com]; Run via form trigger as ecertificate75@gmail.com; Timestamp: Sep 5 2024 4:49 AM</t>
  </si>
  <si>
    <t>SITI MUNAJAH</t>
  </si>
  <si>
    <t>munajah70@gmail.com</t>
  </si>
  <si>
    <t>8243</t>
  </si>
  <si>
    <t>Starting at Thu Aug 29 2024 22:33:17 GMT-0400 (EDT)</t>
  </si>
  <si>
    <t>1c4Ky2XMFHARueFKyPqCeetYGpn9CTpRw</t>
  </si>
  <si>
    <t>https://drive.google.com/file/d/1c4Ky2XMFHARueFKyPqCeetYGpn9CTpRw/view?usp=drivesdk</t>
  </si>
  <si>
    <t>Document successfully created; Document successfully merged; PDF created; Emails Sent: [To: munajah70@gmail.com]; Run via form trigger as ecertificate75@gmail.com; Timestamp: Sep 5 2024 4:49 AM</t>
  </si>
  <si>
    <t>DEWI SARTIKA SILALAHI</t>
  </si>
  <si>
    <t>wiwiksrilestari40@gmail.com</t>
  </si>
  <si>
    <t>8244</t>
  </si>
  <si>
    <t>Starting at Thu Aug 29 2024 22:33:19 GMT-0400 (EDT)</t>
  </si>
  <si>
    <t>1HjdRuGIjduSds_QzXXRoFMiBkkIyJ771</t>
  </si>
  <si>
    <t>https://drive.google.com/file/d/1HjdRuGIjduSds_QzXXRoFMiBkkIyJ771/view?usp=drivesdk</t>
  </si>
  <si>
    <t>NILA PUSPITASARI</t>
  </si>
  <si>
    <t>nilapus7282@gmail.com</t>
  </si>
  <si>
    <t>8245</t>
  </si>
  <si>
    <t>Starting at Thu Aug 29 2024 22:33:24 GMT-0400 (EDT)</t>
  </si>
  <si>
    <t>1_sVwBEZkQqhAGiaWjuZjmS-zVSIbFmE3</t>
  </si>
  <si>
    <t>https://drive.google.com/file/d/1_sVwBEZkQqhAGiaWjuZjmS-zVSIbFmE3/view?usp=drivesdk</t>
  </si>
  <si>
    <t>VEGA IRMAWATI</t>
  </si>
  <si>
    <t>vegamidwife80@gmail.com</t>
  </si>
  <si>
    <t>8246</t>
  </si>
  <si>
    <t>Starting at Thu Aug 29 2024 22:33:25 GMT-0400 (EDT)</t>
  </si>
  <si>
    <t>174wzGpRC0J8VUqlWP2IrAcpW8avaHYm8</t>
  </si>
  <si>
    <t>https://drive.google.com/file/d/174wzGpRC0J8VUqlWP2IrAcpW8avaHYm8/view?usp=drivesdk</t>
  </si>
  <si>
    <t>MAYA ANDINI</t>
  </si>
  <si>
    <t>andinimaya441@gmail.com</t>
  </si>
  <si>
    <t>8247</t>
  </si>
  <si>
    <t>Starting at Thu Aug 29 2024 22:33:32 GMT-0400 (EDT)</t>
  </si>
  <si>
    <t>1C7RQ45KfjHWNj4MgmGdfQ6SlTWAbFXcV</t>
  </si>
  <si>
    <t>https://drive.google.com/file/d/1C7RQ45KfjHWNj4MgmGdfQ6SlTWAbFXcV/view?usp=drivesdk</t>
  </si>
  <si>
    <t>KRESTO HIDAYAT AMINTOROGO</t>
  </si>
  <si>
    <t>rogokresto13@gmail.com</t>
  </si>
  <si>
    <t>8248</t>
  </si>
  <si>
    <t>1greLAg1omvRqMt5dHkPNrEeaU6KYmNAe</t>
  </si>
  <si>
    <t>https://drive.google.com/file/d/1greLAg1omvRqMt5dHkPNrEeaU6KYmNAe/view?usp=drivesdk</t>
  </si>
  <si>
    <t>Ketut Agus Paramartha S. Kep</t>
  </si>
  <si>
    <t>agusparamartha92@gmail.com</t>
  </si>
  <si>
    <t>8249</t>
  </si>
  <si>
    <t>Starting at Thu Aug 29 2024 22:33:44 GMT-0400 (EDT)</t>
  </si>
  <si>
    <t>1yIZWHhNqL0zya8vaEQUmmaVjHWGu3Kzq</t>
  </si>
  <si>
    <t>https://drive.google.com/file/d/1yIZWHhNqL0zya8vaEQUmmaVjHWGu3Kzq/view?usp=drivesdk</t>
  </si>
  <si>
    <t xml:space="preserve">SUJAYONO </t>
  </si>
  <si>
    <t>tunarta@gmail.com</t>
  </si>
  <si>
    <t>8250</t>
  </si>
  <si>
    <t>Starting at Thu Aug 29 2024 22:33:48 GMT-0400 (EDT)</t>
  </si>
  <si>
    <t>1sGtoKGLzen4ILnAyYgXf_M7cZEWOeBLN</t>
  </si>
  <si>
    <t>https://drive.google.com/file/d/1sGtoKGLzen4ILnAyYgXf_M7cZEWOeBLN/view?usp=drivesdk</t>
  </si>
  <si>
    <t>TINI SUHARTINI</t>
  </si>
  <si>
    <t>teencheu@yahoo.com</t>
  </si>
  <si>
    <t>8251</t>
  </si>
  <si>
    <t>1hoe0-0_GTmEE_LwpNC1I8gZ8JO_eSjDh</t>
  </si>
  <si>
    <t>https://drive.google.com/file/d/1hoe0-0_GTmEE_LwpNC1I8gZ8JO_eSjDh/view?usp=drivesdk</t>
  </si>
  <si>
    <t>HUSNAH SARI MAISYAROH TANJUNG</t>
  </si>
  <si>
    <t>husnasarit@gmail.com</t>
  </si>
  <si>
    <t>8252</t>
  </si>
  <si>
    <t>Starting at Thu Aug 29 2024 22:33:50 GMT-0400 (EDT)</t>
  </si>
  <si>
    <t>1llrAjhOn0hYUlbAC0wSCuursJmxmZlSD</t>
  </si>
  <si>
    <t>https://drive.google.com/file/d/1llrAjhOn0hYUlbAC0wSCuursJmxmZlSD/view?usp=drivesdk</t>
  </si>
  <si>
    <t>rembescodot@gmail.com</t>
  </si>
  <si>
    <t>8253</t>
  </si>
  <si>
    <t>1KYrUJot_KsiLCeafeOAdvnHjVaU3ONbS</t>
  </si>
  <si>
    <t>https://drive.google.com/file/d/1KYrUJot_KsiLCeafeOAdvnHjVaU3ONbS/view?usp=drivesdk</t>
  </si>
  <si>
    <t>INDRA RS</t>
  </si>
  <si>
    <t>indraedanee@gmail.com</t>
  </si>
  <si>
    <t>8254</t>
  </si>
  <si>
    <t>Starting at Thu Aug 29 2024 22:33:52 GMT-0400 (EDT)</t>
  </si>
  <si>
    <t>1Y6vmsm8MaRyVmESJ4S8KJ1tTa96oXzAv</t>
  </si>
  <si>
    <t>https://drive.google.com/file/d/1Y6vmsm8MaRyVmESJ4S8KJ1tTa96oXzAv/view?usp=drivesdk</t>
  </si>
  <si>
    <t>HARIYANTI</t>
  </si>
  <si>
    <t>zihanyanti17@gmail.com</t>
  </si>
  <si>
    <t>8255</t>
  </si>
  <si>
    <t>Starting at Thu Aug 29 2024 22:33:56 GMT-0400 (EDT)</t>
  </si>
  <si>
    <t>1F4QCdimksP_3QKwGOBay-Z4CQ9FtK18m</t>
  </si>
  <si>
    <t>https://drive.google.com/file/d/1F4QCdimksP_3QKwGOBay-Z4CQ9FtK18m/view?usp=drivesdk</t>
  </si>
  <si>
    <t>MURNI HUTAJULU, AMK</t>
  </si>
  <si>
    <t>murni.hutajulu84@yahoo.com</t>
  </si>
  <si>
    <t>8256</t>
  </si>
  <si>
    <t>Starting at Thu Aug 29 2024 22:33:59 GMT-0400 (EDT)</t>
  </si>
  <si>
    <t>12_AP8ZjTHxlz0r021U86NcWBlTp6gVeu</t>
  </si>
  <si>
    <t>https://drive.google.com/file/d/12_AP8ZjTHxlz0r021U86NcWBlTp6gVeu/view?usp=drivesdk</t>
  </si>
  <si>
    <t>Nila Wati.S.Pd</t>
  </si>
  <si>
    <t>nilaw3210@gmail.com</t>
  </si>
  <si>
    <t>8257</t>
  </si>
  <si>
    <t>Starting at Thu Aug 29 2024 22:34:01 GMT-0400 (EDT)</t>
  </si>
  <si>
    <t>1Glm3cz_8NnJIrf0FREgUdTNObZFK8nFg</t>
  </si>
  <si>
    <t>https://drive.google.com/file/d/1Glm3cz_8NnJIrf0FREgUdTNObZFK8nFg/view?usp=drivesdk</t>
  </si>
  <si>
    <t xml:space="preserve">MUJIYONO </t>
  </si>
  <si>
    <t>yonomujiyo10@gmail.com</t>
  </si>
  <si>
    <t>8258</t>
  </si>
  <si>
    <t>Starting at Thu Aug 29 2024 22:34:04 GMT-0400 (EDT)</t>
  </si>
  <si>
    <t>1Wp8DozapC1pKDGBDbnuk8BkBou_cA4iP</t>
  </si>
  <si>
    <t>https://drive.google.com/file/d/1Wp8DozapC1pKDGBDbnuk8BkBou_cA4iP/view?usp=drivesdk</t>
  </si>
  <si>
    <t>ENDANG SULISTIYO DWI RAHAYU</t>
  </si>
  <si>
    <t>endangyayuk71@gmail.com</t>
  </si>
  <si>
    <t>8259</t>
  </si>
  <si>
    <t>Starting at Thu Aug 29 2024 22:34:06 GMT-0400 (EDT)</t>
  </si>
  <si>
    <t>1JeVIVVYYQBNAZv_5Dh2QGKqKnelzGN1D</t>
  </si>
  <si>
    <t>https://drive.google.com/file/d/1JeVIVVYYQBNAZv_5Dh2QGKqKnelzGN1D/view?usp=drivesdk</t>
  </si>
  <si>
    <t>DIANA YANTI, S. KOM.</t>
  </si>
  <si>
    <t>dianayanti75@gmail.com</t>
  </si>
  <si>
    <t>8260</t>
  </si>
  <si>
    <t>Starting at Thu Aug 29 2024 22:34:09 GMT-0400 (EDT)</t>
  </si>
  <si>
    <t>1iMTr9F4N0trB9CoHG7AsS_X0Z5x9o2Qd</t>
  </si>
  <si>
    <t>https://drive.google.com/file/d/1iMTr9F4N0trB9CoHG7AsS_X0Z5x9o2Qd/view?usp=drivesdk</t>
  </si>
  <si>
    <t>MUHAMMAD RIDWAN KURNIAWAN</t>
  </si>
  <si>
    <t>kurni4w4n@gmail.com</t>
  </si>
  <si>
    <t>8261</t>
  </si>
  <si>
    <t>1h1v54QCgm_caaPZ6_DnzkVvwf3kp0S0z</t>
  </si>
  <si>
    <t>https://drive.google.com/file/d/1h1v54QCgm_caaPZ6_DnzkVvwf3kp0S0z/view?usp=drivesdk</t>
  </si>
  <si>
    <t>RUFINA, A.Md., S.A.P, M.A.P.</t>
  </si>
  <si>
    <t>ruf2678@gmail.com</t>
  </si>
  <si>
    <t>8262</t>
  </si>
  <si>
    <t>Starting at Thu Aug 29 2024 22:34:11 GMT-0400 (EDT)</t>
  </si>
  <si>
    <t>1EtLpPXqi0Unn6MrYEpYm6Yf-ep-NLceD</t>
  </si>
  <si>
    <t>https://drive.google.com/file/d/1EtLpPXqi0Unn6MrYEpYm6Yf-ep-NLceD/view?usp=drivesdk</t>
  </si>
  <si>
    <t xml:space="preserve">CATHARINA RETNO WARSUDIRINI </t>
  </si>
  <si>
    <t>catharina.retno1971@gmail.com</t>
  </si>
  <si>
    <t>8263</t>
  </si>
  <si>
    <t>Starting at Thu Aug 29 2024 22:34:18 GMT-0400 (EDT)</t>
  </si>
  <si>
    <t>1epMfe4qC8ahmwVGevWXmf-amakdXWmW4</t>
  </si>
  <si>
    <t>https://drive.google.com/file/d/1epMfe4qC8ahmwVGevWXmf-amakdXWmW4/view?usp=drivesdk</t>
  </si>
  <si>
    <t>DIAN MAYASARI, Am.Far</t>
  </si>
  <si>
    <t>nasyabil25@gmail.com</t>
  </si>
  <si>
    <t>8264</t>
  </si>
  <si>
    <t>1g6CiibMYcXlZgcHEm9wnCfGSvLaws0kr</t>
  </si>
  <si>
    <t>https://drive.google.com/file/d/1g6CiibMYcXlZgcHEm9wnCfGSvLaws0kr/view?usp=drivesdk</t>
  </si>
  <si>
    <t>DEDI PRAYETNO</t>
  </si>
  <si>
    <t>dediprayetno458@gmail.com</t>
  </si>
  <si>
    <t>8265</t>
  </si>
  <si>
    <t>Starting at Thu Aug 29 2024 22:34:21 GMT-0400 (EDT)</t>
  </si>
  <si>
    <t>1-QSJD6LlIOlAj0QqjpFk3P5w2MVoAzYE</t>
  </si>
  <si>
    <t>https://drive.google.com/file/d/1-QSJD6LlIOlAj0QqjpFk3P5w2MVoAzYE/view?usp=drivesdk</t>
  </si>
  <si>
    <t>ELIS LISDIATY</t>
  </si>
  <si>
    <t>elislisdiaty1968@gmail.com</t>
  </si>
  <si>
    <t>8266</t>
  </si>
  <si>
    <t>1FdHqo9tE6uEGd5tRXuEjpUPSfiatVID_</t>
  </si>
  <si>
    <t>https://drive.google.com/file/d/1FdHqo9tE6uEGd5tRXuEjpUPSfiatVID_/view?usp=drivesdk</t>
  </si>
  <si>
    <t>HASANIAH WAHIDAH</t>
  </si>
  <si>
    <t>hasaniah.87@gmail.com</t>
  </si>
  <si>
    <t>8267</t>
  </si>
  <si>
    <t>11RoRMwTeykT_N7OVPvs-ndhByTrArfqN</t>
  </si>
  <si>
    <t>https://drive.google.com/file/d/11RoRMwTeykT_N7OVPvs-ndhByTrArfqN/view?usp=drivesdk</t>
  </si>
  <si>
    <t>Aska Caroline, A.Md</t>
  </si>
  <si>
    <t>carolineaska79@gmail.com</t>
  </si>
  <si>
    <t>8268</t>
  </si>
  <si>
    <t>Starting at Thu Aug 29 2024 22:34:27 GMT-0400 (EDT)</t>
  </si>
  <si>
    <t>14GvXZ-F0oQwiiEiYL7GF4E1I-hT2RDBm</t>
  </si>
  <si>
    <t>https://drive.google.com/file/d/14GvXZ-F0oQwiiEiYL7GF4E1I-hT2RDBm/view?usp=drivesdk</t>
  </si>
  <si>
    <t>MASITAH, SH</t>
  </si>
  <si>
    <t>masitahitak@gmail.com</t>
  </si>
  <si>
    <t>8269</t>
  </si>
  <si>
    <t>1XbpbHrrudnbUJruYyuOS68KHSD6JafPF</t>
  </si>
  <si>
    <t>https://drive.google.com/file/d/1XbpbHrrudnbUJruYyuOS68KHSD6JafPF/view?usp=drivesdk</t>
  </si>
  <si>
    <t>ARIF HARTADI, S.H.</t>
  </si>
  <si>
    <t>arifhartadi0609@gmail.com</t>
  </si>
  <si>
    <t>8270</t>
  </si>
  <si>
    <t>1XBwSd7pUgN_DOKLhtzpKQqJiNDtVpdWp</t>
  </si>
  <si>
    <t>https://drive.google.com/file/d/1XBwSd7pUgN_DOKLhtzpKQqJiNDtVpdWp/view?usp=drivesdk</t>
  </si>
  <si>
    <t>hamidahsirait5@gmail.com</t>
  </si>
  <si>
    <t>8271</t>
  </si>
  <si>
    <t>1HDyvbT1Au7Ep_YzS35hO5xOR4fxQlPix</t>
  </si>
  <si>
    <t>https://drive.google.com/file/d/1HDyvbT1Au7Ep_YzS35hO5xOR4fxQlPix/view?usp=drivesdk</t>
  </si>
  <si>
    <t xml:space="preserve">ROSMIATI </t>
  </si>
  <si>
    <t>rosmiati.mks1969@gmail.com</t>
  </si>
  <si>
    <t>8272</t>
  </si>
  <si>
    <t>Starting at Thu Aug 29 2024 22:34:29 GMT-0400 (EDT)</t>
  </si>
  <si>
    <t>1rQFA3upxkK_jcEL8gUQG5jvx34iglIZp</t>
  </si>
  <si>
    <t>https://drive.google.com/file/d/1rQFA3upxkK_jcEL8gUQG5jvx34iglIZp/view?usp=drivesdk</t>
  </si>
  <si>
    <t>JOSKAM NATON LEKAHENA</t>
  </si>
  <si>
    <t>yossylekahena@gmail.com</t>
  </si>
  <si>
    <t>8273</t>
  </si>
  <si>
    <t>Starting at Thu Aug 29 2024 22:34:30 GMT-0400 (EDT)</t>
  </si>
  <si>
    <t>1KgjNF3H_H-w-8iT0tSHu0pzgsOgwca3K</t>
  </si>
  <si>
    <t>https://drive.google.com/file/d/1KgjNF3H_H-w-8iT0tSHu0pzgsOgwca3K/view?usp=drivesdk</t>
  </si>
  <si>
    <t>YUNIARTI, S. Kom</t>
  </si>
  <si>
    <t>yuyuniarti23@gmail.com</t>
  </si>
  <si>
    <t>8274</t>
  </si>
  <si>
    <t>1SP44-Pu0vTqnvgBkvBR7rJaF_jcRJOui</t>
  </si>
  <si>
    <t>https://drive.google.com/file/d/1SP44-Pu0vTqnvgBkvBR7rJaF_jcRJOui/view?usp=drivesdk</t>
  </si>
  <si>
    <t>ISMIYATI</t>
  </si>
  <si>
    <t>ismi.bpp@gmail.com</t>
  </si>
  <si>
    <t>8275</t>
  </si>
  <si>
    <t>Starting at Thu Aug 29 2024 22:34:32 GMT-0400 (EDT)</t>
  </si>
  <si>
    <t>14mAtibaTt0vDgynvMCKfD35F9XPWHtx4</t>
  </si>
  <si>
    <t>https://drive.google.com/file/d/14mAtibaTt0vDgynvMCKfD35F9XPWHtx4/view?usp=drivesdk</t>
  </si>
  <si>
    <t>HAMIAH</t>
  </si>
  <si>
    <t>miahamiah69@gmail.com</t>
  </si>
  <si>
    <t>8276</t>
  </si>
  <si>
    <t>Starting at Thu Aug 29 2024 22:34:42 GMT-0400 (EDT)</t>
  </si>
  <si>
    <t>1RMbNKBMdotBgAP6Qvf2cYOq-VoDclez0</t>
  </si>
  <si>
    <t>https://drive.google.com/file/d/1RMbNKBMdotBgAP6Qvf2cYOq-VoDclez0/view?usp=drivesdk</t>
  </si>
  <si>
    <t>ENDAH HANDAYANI</t>
  </si>
  <si>
    <t>endah17handayani@gmail.com</t>
  </si>
  <si>
    <t>8277</t>
  </si>
  <si>
    <t>Starting at Thu Aug 29 2024 22:34:44 GMT-0400 (EDT)</t>
  </si>
  <si>
    <t>1u-UEf5oTOtZpbV71yIuzz-IJUhp5nAY0</t>
  </si>
  <si>
    <t>https://drive.google.com/file/d/1u-UEf5oTOtZpbV71yIuzz-IJUhp5nAY0/view?usp=drivesdk</t>
  </si>
  <si>
    <t>Document successfully created; Document successfully merged; PDF created; !!Error Sending Emails: Service invoked too many times for one day: email.; Run via form trigger as ecertificate75@gmail.com; Timestamp: Sep 4 2024 11:57 PM</t>
  </si>
  <si>
    <t>MUH YUNUS</t>
  </si>
  <si>
    <t>muhy97060@gmail.com</t>
  </si>
  <si>
    <t>8278</t>
  </si>
  <si>
    <t>1Na5bPTdeFMulUiXno1CdZKI627iCeDQf</t>
  </si>
  <si>
    <t>https://drive.google.com/file/d/1Na5bPTdeFMulUiXno1CdZKI627iCeDQf/view?usp=drivesdk</t>
  </si>
  <si>
    <t>NURMI,S.Sos</t>
  </si>
  <si>
    <t>nurmihen@gmail.com</t>
  </si>
  <si>
    <t>8279</t>
  </si>
  <si>
    <t>1ZO70hajMzq1VndSDWPAZYkuvB-J79NDD</t>
  </si>
  <si>
    <t>https://drive.google.com/file/d/1ZO70hajMzq1VndSDWPAZYkuvB-J79NDD/view?usp=drivesdk</t>
  </si>
  <si>
    <t xml:space="preserve">IRA WIDYA SRI REZEKI </t>
  </si>
  <si>
    <t>irawidyasrirezeki@gmail.com</t>
  </si>
  <si>
    <t>8280</t>
  </si>
  <si>
    <t>1bNF2LtGxvMuzKSoTjn9XiDMzL2XqZWNs</t>
  </si>
  <si>
    <t>https://drive.google.com/file/d/1bNF2LtGxvMuzKSoTjn9XiDMzL2XqZWNs/view?usp=drivesdk</t>
  </si>
  <si>
    <t>Document successfully created; Document successfully merged; PDF created; !!Error Sending Emails: Service invoked too many times for one day: email.; Run via form trigger as ecertificate75@gmail.com; Timestamp: Sep 4 2024 11:58 PM</t>
  </si>
  <si>
    <t>MISNO MISNO</t>
  </si>
  <si>
    <t>mr.misno81@gmail.com</t>
  </si>
  <si>
    <t>8281</t>
  </si>
  <si>
    <t>Starting at Thu Aug 29 2024 22:34:48 GMT-0400 (EDT)</t>
  </si>
  <si>
    <t>1NDjmG9QR4dI4UvyxGPP8wISDHMoDp93m</t>
  </si>
  <si>
    <t>https://drive.google.com/file/d/1NDjmG9QR4dI4UvyxGPP8wISDHMoDp93m/view?usp=drivesdk</t>
  </si>
  <si>
    <t xml:space="preserve">HERNI KUSNIATI </t>
  </si>
  <si>
    <t>hernikusniati94@gmail.com</t>
  </si>
  <si>
    <t>8282</t>
  </si>
  <si>
    <t>Starting at Thu Aug 29 2024 22:34:50 GMT-0400 (EDT)</t>
  </si>
  <si>
    <t>1X-17miMt_f86s9ef2gKwlfsSqS8FtYVw</t>
  </si>
  <si>
    <t>https://drive.google.com/file/d/1X-17miMt_f86s9ef2gKwlfsSqS8FtYVw/view?usp=drivesdk</t>
  </si>
  <si>
    <t>A. JOENIATI</t>
  </si>
  <si>
    <t>alifahjoeniati@gmail.com</t>
  </si>
  <si>
    <t>8283</t>
  </si>
  <si>
    <t>15RxLYmD-8EnQKbnI_HveOIzbKUoXVR-J</t>
  </si>
  <si>
    <t>https://drive.google.com/file/d/15RxLYmD-8EnQKbnI_HveOIzbKUoXVR-J/view?usp=drivesdk</t>
  </si>
  <si>
    <t>TRIANI PADINGIAN</t>
  </si>
  <si>
    <t>trianipadingian@gmail.com</t>
  </si>
  <si>
    <t>8284</t>
  </si>
  <si>
    <t>Starting at Thu Aug 29 2024 22:34:56 GMT-0400 (EDT)</t>
  </si>
  <si>
    <t>1dzrhxd7zcjW6AI7q68gzfp9lsZwmLHay</t>
  </si>
  <si>
    <t>https://drive.google.com/file/d/1dzrhxd7zcjW6AI7q68gzfp9lsZwmLHay/view?usp=drivesdk</t>
  </si>
  <si>
    <t>SUYADI</t>
  </si>
  <si>
    <t>suyadipolo.1968@gmail.com</t>
  </si>
  <si>
    <t>8285</t>
  </si>
  <si>
    <t>Starting at Thu Aug 29 2024 22:35:03 GMT-0400 (EDT)</t>
  </si>
  <si>
    <t>1X8bVfAKubE7ntwGlti1Qq9uaMuvR4C7l</t>
  </si>
  <si>
    <t>https://drive.google.com/file/d/1X8bVfAKubE7ntwGlti1Qq9uaMuvR4C7l/view?usp=drivesdk</t>
  </si>
  <si>
    <t xml:space="preserve">WILMITRA ELMIZA </t>
  </si>
  <si>
    <t>wilmitraelmiza83@gmail.com</t>
  </si>
  <si>
    <t>8286</t>
  </si>
  <si>
    <t>Starting at Thu Aug 29 2024 22:35:06 GMT-0400 (EDT)</t>
  </si>
  <si>
    <t>1sO1UpGRvTKXPbN_rpe4oZBfcGLu8B8fz</t>
  </si>
  <si>
    <t>https://drive.google.com/file/d/1sO1UpGRvTKXPbN_rpe4oZBfcGLu8B8fz/view?usp=drivesdk</t>
  </si>
  <si>
    <t>DAMARASTA</t>
  </si>
  <si>
    <t>damarasta76@gmail.com</t>
  </si>
  <si>
    <t>8287</t>
  </si>
  <si>
    <t>Starting at Thu Aug 29 2024 22:35:11 GMT-0400 (EDT)</t>
  </si>
  <si>
    <t>1tBa_qWcXny3KsTds59fmOnpGCHXNGNX1</t>
  </si>
  <si>
    <t>https://drive.google.com/file/d/1tBa_qWcXny3KsTds59fmOnpGCHXNGNX1/view?usp=drivesdk</t>
  </si>
  <si>
    <t>sriwahyuni.agust@gmail.com</t>
  </si>
  <si>
    <t>8288</t>
  </si>
  <si>
    <t>Starting at Thu Aug 29 2024 22:35:15 GMT-0400 (EDT)</t>
  </si>
  <si>
    <t>16DqpJu1DvG7DrXgIq56OiZ75647uyvU_</t>
  </si>
  <si>
    <t>https://drive.google.com/file/d/16DqpJu1DvG7DrXgIq56OiZ75647uyvU_/view?usp=drivesdk</t>
  </si>
  <si>
    <t>HENNI PERTIWI, S.H.</t>
  </si>
  <si>
    <t>drivepnsdiy99@gmail.com</t>
  </si>
  <si>
    <t>8289</t>
  </si>
  <si>
    <t>1rzG1sAG-pBByFoHI_jsT5kE5BhoJ7FIe</t>
  </si>
  <si>
    <t>https://drive.google.com/file/d/1rzG1sAG-pBByFoHI_jsT5kE5BhoJ7FIe/view?usp=drivesdk</t>
  </si>
  <si>
    <t>omensuromen70@gmail.com</t>
  </si>
  <si>
    <t>8290</t>
  </si>
  <si>
    <t>1fkXthrdRQMiX2nViUJmkDyDU7J8RRWea</t>
  </si>
  <si>
    <t>https://drive.google.com/file/d/1fkXthrdRQMiX2nViUJmkDyDU7J8RRWea/view?usp=drivesdk</t>
  </si>
  <si>
    <t>KARIYONO</t>
  </si>
  <si>
    <t>kariyono1967@gmail.com</t>
  </si>
  <si>
    <t>8291</t>
  </si>
  <si>
    <t>Starting at Thu Aug 29 2024 22:35:17 GMT-0400 (EDT)</t>
  </si>
  <si>
    <t>1yyQ7RVgiaOFDUf8PaLDt05vR_96a0XO-</t>
  </si>
  <si>
    <t>https://drive.google.com/file/d/1yyQ7RVgiaOFDUf8PaLDt05vR_96a0XO-/view?usp=drivesdk</t>
  </si>
  <si>
    <t>EMMY EKOWATI</t>
  </si>
  <si>
    <t>emmyibrahim166@mail.com</t>
  </si>
  <si>
    <t>8292</t>
  </si>
  <si>
    <t>13RT3OUGhuJPwRc7q_fja2HUvajHXjU02</t>
  </si>
  <si>
    <t>https://drive.google.com/file/d/13RT3OUGhuJPwRc7q_fja2HUvajHXjU02/view?usp=drivesdk</t>
  </si>
  <si>
    <t>ANIDA SITUMORANG,S.Gz.</t>
  </si>
  <si>
    <t>anidasitumorang5@gmail.com</t>
  </si>
  <si>
    <t>8293</t>
  </si>
  <si>
    <t>Starting at Thu Aug 29 2024 22:35:21 GMT-0400 (EDT)</t>
  </si>
  <si>
    <t>1Hl_3YsCgT6S2hy27bEGiMetpUpxgoMje</t>
  </si>
  <si>
    <t>https://drive.google.com/file/d/1Hl_3YsCgT6S2hy27bEGiMetpUpxgoMje/view?usp=drivesdk</t>
  </si>
  <si>
    <t>RISMA NAPITUPULU</t>
  </si>
  <si>
    <t>risma.napitupulu69@gmail.com</t>
  </si>
  <si>
    <t>8294</t>
  </si>
  <si>
    <t>15c97WhS-mO9Vs4ZjBM2ssZDZ9aqAeoEr</t>
  </si>
  <si>
    <t>https://drive.google.com/file/d/15c97WhS-mO9Vs4ZjBM2ssZDZ9aqAeoEr/view?usp=drivesdk</t>
  </si>
  <si>
    <t>Document successfully created; Document successfully merged; PDF created; !!Error Sending Emails: Service invoked too many times for one day: email.; Run via form trigger as ecertificate75@gmail.com; Timestamp: Sep 5 2024 12:39 AM</t>
  </si>
  <si>
    <t>SANODO</t>
  </si>
  <si>
    <t>sanodo.sium.galawi@gmail.com</t>
  </si>
  <si>
    <t>8295</t>
  </si>
  <si>
    <t>1gtRlUOpv8AIxNba0EvUXNdKk8poUBT7N</t>
  </si>
  <si>
    <t>https://drive.google.com/file/d/1gtRlUOpv8AIxNba0EvUXNdKk8poUBT7N/view?usp=drivesdk</t>
  </si>
  <si>
    <t xml:space="preserve">NIKEN FITRANINGTYAS </t>
  </si>
  <si>
    <t>bapak.ichsanudin@gmail.com</t>
  </si>
  <si>
    <t>8296</t>
  </si>
  <si>
    <t>1P_puook-6eMAcU5iaf9aCBsnh1-dCxPF</t>
  </si>
  <si>
    <t>https://drive.google.com/file/d/1P_puook-6eMAcU5iaf9aCBsnh1-dCxPF/view?usp=drivesdk</t>
  </si>
  <si>
    <t xml:space="preserve">PARDIYANMA </t>
  </si>
  <si>
    <t>pardiyanma@gmail.com</t>
  </si>
  <si>
    <t>8297</t>
  </si>
  <si>
    <t>Starting at Thu Aug 29 2024 22:35:24 GMT-0400 (EDT)</t>
  </si>
  <si>
    <t>1IJhTWvX4iMc9I7JdYFfGQW__nJ5Icu17</t>
  </si>
  <si>
    <t>https://drive.google.com/file/d/1IJhTWvX4iMc9I7JdYFfGQW__nJ5Icu17/view?usp=drivesdk</t>
  </si>
  <si>
    <t>OKTARIA WULAN SAKTI,A.Md.Kep</t>
  </si>
  <si>
    <t>oktariawulansakti87@gmail.com</t>
  </si>
  <si>
    <t>8298</t>
  </si>
  <si>
    <t>Starting at Thu Aug 29 2024 22:35:26 GMT-0400 (EDT)</t>
  </si>
  <si>
    <t>1UAsK8vqnH19RQhuig-59AM1-rkxEvYsZ</t>
  </si>
  <si>
    <t>https://drive.google.com/file/d/1UAsK8vqnH19RQhuig-59AM1-rkxEvYsZ/view?usp=drivesdk</t>
  </si>
  <si>
    <t>VITA CATURWATI, AMD.KEB</t>
  </si>
  <si>
    <t>vitacaturwati88@gmail.com</t>
  </si>
  <si>
    <t>8299</t>
  </si>
  <si>
    <t>Starting at Thu Aug 29 2024 22:35:34 GMT-0400 (EDT)</t>
  </si>
  <si>
    <t>1FBTWkg1P5m3j2m-W0b65fws9nVFbKefd</t>
  </si>
  <si>
    <t>https://drive.google.com/file/d/1FBTWkg1P5m3j2m-W0b65fws9nVFbKefd/view?usp=drivesdk</t>
  </si>
  <si>
    <t>YUDI SUHARTONO</t>
  </si>
  <si>
    <t>yudi.suhartono17@gmail.com</t>
  </si>
  <si>
    <t>8300</t>
  </si>
  <si>
    <t>1qfG4WwuPWcTI3UyXO9Qv1PADlnEpJkZN</t>
  </si>
  <si>
    <t>https://drive.google.com/file/d/1qfG4WwuPWcTI3UyXO9Qv1PADlnEpJkZN/view?usp=drivesdk</t>
  </si>
  <si>
    <t>Document successfully created; Document successfully merged; PDF created; !!Error Sending Emails: Service invoked too many times for one day: email.; Run via form trigger as ecertificate75@gmail.com; Timestamp: Sep 5 2024 12:40 AM</t>
  </si>
  <si>
    <t>PUJI NOVITASARI</t>
  </si>
  <si>
    <t>pujinovitasari16@gmail.com</t>
  </si>
  <si>
    <t>8301</t>
  </si>
  <si>
    <t>Starting at Thu Aug 29 2024 22:35:40 GMT-0400 (EDT)</t>
  </si>
  <si>
    <t>1_mFLcUiDPpEdxdmkzaOa9wfL7dXvl6AN</t>
  </si>
  <si>
    <t>https://drive.google.com/file/d/1_mFLcUiDPpEdxdmkzaOa9wfL7dXvl6AN/view?usp=drivesdk</t>
  </si>
  <si>
    <t>AGENG PRATIWI, S.PD</t>
  </si>
  <si>
    <t>agengpratiwi68@gmail.com</t>
  </si>
  <si>
    <t>8302</t>
  </si>
  <si>
    <t>1UuxP-rLRANQfsWtlUGhpCU7KK_PFnj9b</t>
  </si>
  <si>
    <t>https://drive.google.com/file/d/1UuxP-rLRANQfsWtlUGhpCU7KK_PFnj9b/view?usp=drivesdk</t>
  </si>
  <si>
    <t>sunardijogja68@gmail.com</t>
  </si>
  <si>
    <t>8303</t>
  </si>
  <si>
    <t>1tC2E_YQgvfDQZjwptN3c30r9jVRrdMii</t>
  </si>
  <si>
    <t>https://drive.google.com/file/d/1tC2E_YQgvfDQZjwptN3c30r9jVRrdMii/view?usp=drivesdk</t>
  </si>
  <si>
    <t xml:space="preserve">EDI SAPTANA ST </t>
  </si>
  <si>
    <t>ag400v@gmail.com</t>
  </si>
  <si>
    <t>8304</t>
  </si>
  <si>
    <t>1Ieig6L2OZeSRPQqzQJPuuxVYoQ_UtpH2</t>
  </si>
  <si>
    <t>https://drive.google.com/file/d/1Ieig6L2OZeSRPQqzQJPuuxVYoQ_UtpH2/view?usp=drivesdk</t>
  </si>
  <si>
    <t>RETNO BUDI ASIH,S.E.,M.A.</t>
  </si>
  <si>
    <t>retno.drp.rhp@gmail.com</t>
  </si>
  <si>
    <t>8305</t>
  </si>
  <si>
    <t>1DJW6sKAaBGyxyOV9hjgdtvAsk07mK4ws</t>
  </si>
  <si>
    <t>https://drive.google.com/file/d/1DJW6sKAaBGyxyOV9hjgdtvAsk07mK4ws/view?usp=drivesdk</t>
  </si>
  <si>
    <t>Document successfully created; Document successfully merged; PDF created; !!Error Sending Emails: Service invoked too many times for one day: email.; Run via form trigger as ecertificate75@gmail.com; Timestamp: Sep 5 2024 12:41 AM</t>
  </si>
  <si>
    <t>SITI AMINAH, S. KOM</t>
  </si>
  <si>
    <t>sitiaminah2411@gmail.com</t>
  </si>
  <si>
    <t>8306</t>
  </si>
  <si>
    <t>Starting at Thu Aug 29 2024 22:36:04 GMT-0400 (EDT)</t>
  </si>
  <si>
    <t>1zV2fjBVemPlR-YtPDOsXWBh22ZbiriUr</t>
  </si>
  <si>
    <t>https://drive.google.com/file/d/1zV2fjBVemPlR-YtPDOsXWBh22ZbiriUr/view?usp=drivesdk</t>
  </si>
  <si>
    <t>SRI RUDI WINARNI</t>
  </si>
  <si>
    <t>ivanabdilahputri@gmail.com</t>
  </si>
  <si>
    <t>8307</t>
  </si>
  <si>
    <t>1JEJDOGDBzYA2JCOsS9ZCsIInt3xzE65j</t>
  </si>
  <si>
    <t>https://drive.google.com/file/d/1JEJDOGDBzYA2JCOsS9ZCsIInt3xzE65j/view?usp=drivesdk</t>
  </si>
  <si>
    <t>ROSDIANA</t>
  </si>
  <si>
    <t>rosediana1967@gmail.com</t>
  </si>
  <si>
    <t>8308</t>
  </si>
  <si>
    <t>1ZGWQxRr1rFgdh2xAsyqoLT-9X79H_zFR</t>
  </si>
  <si>
    <t>https://drive.google.com/file/d/1ZGWQxRr1rFgdh2xAsyqoLT-9X79H_zFR/view?usp=drivesdk</t>
  </si>
  <si>
    <t>EKO KUSWIRATNO</t>
  </si>
  <si>
    <t>Ekokuswiratno72@gmail.com</t>
  </si>
  <si>
    <t>8309</t>
  </si>
  <si>
    <t>1YGHisTO5JVP9NaKVfQ0fg8oAkrtFSXof</t>
  </si>
  <si>
    <t>https://drive.google.com/file/d/1YGHisTO5JVP9NaKVfQ0fg8oAkrtFSXof/view?usp=drivesdk</t>
  </si>
  <si>
    <t>SARTI.SE</t>
  </si>
  <si>
    <t>riswandamelfaa@gmail.com</t>
  </si>
  <si>
    <t>8310</t>
  </si>
  <si>
    <t>1DoCmEohAnD_UqsqNVuXTn8fS570tpx1F</t>
  </si>
  <si>
    <t>https://drive.google.com/file/d/1DoCmEohAnD_UqsqNVuXTn8fS570tpx1F/view?usp=drivesdk</t>
  </si>
  <si>
    <t>Document successfully created; Document successfully merged; PDF created; Emails Sent: [To: riswandamelfaa@gmail.com]; Run via form trigger as ecertificate75@gmail.com; Timestamp: Sep 5 2024 4:49 AM</t>
  </si>
  <si>
    <t>ARI TUMASKAP SARI S.KOM,M.M.</t>
  </si>
  <si>
    <t>aritumaskapsari@gmail.com</t>
  </si>
  <si>
    <t>8311</t>
  </si>
  <si>
    <t>1ctqCMa_toScP5fzVeVxr2Jb1rfXq8BFS</t>
  </si>
  <si>
    <t>https://drive.google.com/file/d/1ctqCMa_toScP5fzVeVxr2Jb1rfXq8BFS/view?usp=drivesdk</t>
  </si>
  <si>
    <t>Document successfully created; Document successfully merged; PDF created; Emails Sent: [To: aritumaskapsari@gmail.com]; Run via form trigger as ecertificate75@gmail.com; Timestamp: Sep 5 2024 4:49 AM</t>
  </si>
  <si>
    <t>YESI AFRIANTI, S.Tr.Par</t>
  </si>
  <si>
    <t>yessirani92@gmail.com</t>
  </si>
  <si>
    <t>8312</t>
  </si>
  <si>
    <t>Starting at Thu Aug 29 2024 22:36:11 GMT-0400 (EDT)</t>
  </si>
  <si>
    <t>1-AdAh5Boa_s17dxuLdf_2smR-yCJqmTp</t>
  </si>
  <si>
    <t>https://drive.google.com/file/d/1-AdAh5Boa_s17dxuLdf_2smR-yCJqmTp/view?usp=drivesdk</t>
  </si>
  <si>
    <t>Document successfully created; Document successfully merged; PDF created; Emails Sent: [To: yessirani92@gmail.com]; Run via form trigger as ecertificate75@gmail.com; Timestamp: Sep 5 2024 4:49 AM</t>
  </si>
  <si>
    <t>HADI SUPRIANTO</t>
  </si>
  <si>
    <t>hadi20021974@gmail.com</t>
  </si>
  <si>
    <t>8313</t>
  </si>
  <si>
    <t>Starting at Thu Aug 29 2024 22:36:20 GMT-0400 (EDT)</t>
  </si>
  <si>
    <t>156-YDDlJIigOePtwxe5Qaz4HCaOuik1I</t>
  </si>
  <si>
    <t>https://drive.google.com/file/d/156-YDDlJIigOePtwxe5Qaz4HCaOuik1I/view?usp=drivesdk</t>
  </si>
  <si>
    <t>Document successfully created; Document successfully merged; PDF created; Emails Sent: [To: hadi20021974@gmail.com]; Run via form trigger as ecertificate75@gmail.com; Timestamp: Sep 5 2024 4:50 AM</t>
  </si>
  <si>
    <t>AMNA BID TIK</t>
  </si>
  <si>
    <t>amnacindo@gmail.com</t>
  </si>
  <si>
    <t>8314</t>
  </si>
  <si>
    <t>1y6NAMqfG2QkjoG0A6M2LVojMU__6sBKE</t>
  </si>
  <si>
    <t>https://drive.google.com/file/d/1y6NAMqfG2QkjoG0A6M2LVojMU__6sBKE/view?usp=drivesdk</t>
  </si>
  <si>
    <t>Document successfully created; Document successfully merged; PDF created; Emails Sent: [To: amnacindo@gmail.com]; Run via form trigger as ecertificate75@gmail.com; Timestamp: Sep 5 2024 4:50 AM</t>
  </si>
  <si>
    <t>ROSMAWATI</t>
  </si>
  <si>
    <t>kakrosmawati01@gmail.com</t>
  </si>
  <si>
    <t>8315</t>
  </si>
  <si>
    <t>1FVHTCm_uZ1drRtmaU_zn_ZiP1KL3adAB</t>
  </si>
  <si>
    <t>https://drive.google.com/file/d/1FVHTCm_uZ1drRtmaU_zn_ZiP1KL3adAB/view?usp=drivesdk</t>
  </si>
  <si>
    <t>Document successfully created; Document successfully merged; PDF created; Emails Sent: [To: kakrosmawati01@gmail.com]; Run via form trigger as ecertificate75@gmail.com; Timestamp: Sep 5 2024 4:50 AM</t>
  </si>
  <si>
    <t>DEDY ARIRAWATI</t>
  </si>
  <si>
    <t>dedyarirawati@gmail.com</t>
  </si>
  <si>
    <t>8316</t>
  </si>
  <si>
    <t>Starting at Thu Aug 29 2024 22:36:25 GMT-0400 (EDT)</t>
  </si>
  <si>
    <t>1WRl7hjeq5ZZNQJBDP1VUccNDRYBF-Ghc</t>
  </si>
  <si>
    <t>https://drive.google.com/file/d/1WRl7hjeq5ZZNQJBDP1VUccNDRYBF-Ghc/view?usp=drivesdk</t>
  </si>
  <si>
    <t>Document successfully created; Document successfully merged; PDF created; Emails Sent: [To: dedyarirawati@gmail.com]; Run via form trigger as ecertificate75@gmail.com; Timestamp: Sep 5 2024 4:50 AM</t>
  </si>
  <si>
    <t>ROBBY NAIBAHO A.Md.Kom.</t>
  </si>
  <si>
    <t>robbynaibaho@gmail.com</t>
  </si>
  <si>
    <t>8317</t>
  </si>
  <si>
    <t>Starting at Thu Aug 29 2024 22:36:28 GMT-0400 (EDT)</t>
  </si>
  <si>
    <t>1c-xmNy0O8ApzLoHYH1q_bKxPwq-yRY73</t>
  </si>
  <si>
    <t>https://drive.google.com/file/d/1c-xmNy0O8ApzLoHYH1q_bKxPwq-yRY73/view?usp=drivesdk</t>
  </si>
  <si>
    <t>Document successfully created; Document successfully merged; PDF created; Emails Sent: [To: robbynaibaho@gmail.com]; Run via form trigger as ecertificate75@gmail.com; Timestamp: Sep 5 2024 4:50 AM</t>
  </si>
  <si>
    <t>Hikmah Ramadhanti, A.Md.Kes</t>
  </si>
  <si>
    <t>hikmahramadhanti98@gmail.com</t>
  </si>
  <si>
    <t>8318</t>
  </si>
  <si>
    <t>Starting at Thu Aug 29 2024 22:37:02 GMT-0400 (EDT)</t>
  </si>
  <si>
    <t>1pSr3jqb8c6QrAxoqziVhaNSYMXUdUXjo</t>
  </si>
  <si>
    <t>https://drive.google.com/file/d/1pSr3jqb8c6QrAxoqziVhaNSYMXUdUXjo/view?usp=drivesdk</t>
  </si>
  <si>
    <t>Document successfully created; Document successfully merged; PDF created; Emails Sent: [To: hikmahramadhanti98@gmail.com]; Run via form trigger as ecertificate75@gmail.com; Timestamp: Sep 5 2024 4:51 AM</t>
  </si>
  <si>
    <t>WAJIDI</t>
  </si>
  <si>
    <t>wajidi2007@gmail.com</t>
  </si>
  <si>
    <t>8319</t>
  </si>
  <si>
    <t>1Xp6Xk0b_Edfc-3-C_005Q8UfVGrP49w-</t>
  </si>
  <si>
    <t>https://drive.google.com/file/d/1Xp6Xk0b_Edfc-3-C_005Q8UfVGrP49w-/view?usp=drivesdk</t>
  </si>
  <si>
    <t>Document successfully created; Document successfully merged; PDF created; Emails Sent: [To: wajidi2007@gmail.com]; Run via form trigger as ecertificate75@gmail.com; Timestamp: Sep 5 2024 4:51 AM</t>
  </si>
  <si>
    <t>DINI VERINI LEONITA HARAHAP, S.KL</t>
  </si>
  <si>
    <t>diniverini@gmail.com</t>
  </si>
  <si>
    <t>8320</t>
  </si>
  <si>
    <t>185lpwZaPobB1VhgXauwH2cFvu69Er8C5</t>
  </si>
  <si>
    <t>https://drive.google.com/file/d/185lpwZaPobB1VhgXauwH2cFvu69Er8C5/view?usp=drivesdk</t>
  </si>
  <si>
    <t>Document successfully created; Document successfully merged; PDF created; Emails Sent: [To: diniverini@gmail.com]; Run via form trigger as ecertificate75@gmail.com; Timestamp: Sep 5 2024 4:51 AM</t>
  </si>
  <si>
    <t>RICHA ZULIANA</t>
  </si>
  <si>
    <t>richa8410@yahoo.com</t>
  </si>
  <si>
    <t>8321</t>
  </si>
  <si>
    <t>1WSpyncoqsORg5PURG6mF2FWS2dfAOUhw</t>
  </si>
  <si>
    <t>https://drive.google.com/file/d/1WSpyncoqsORg5PURG6mF2FWS2dfAOUhw/view?usp=drivesdk</t>
  </si>
  <si>
    <t>Document successfully created; Document successfully merged; PDF created; !!Error Sending Emails: Service invoked too many times for one day: email.; Run via form trigger as ecertificate75@gmail.com; Timestamp: Sep 5 2024 4:51 AM</t>
  </si>
  <si>
    <t>afri12frintang@gmail.com</t>
  </si>
  <si>
    <t>8322</t>
  </si>
  <si>
    <t>1zUiKJEZUVGRTYXtcLBR7EfMm-64B4Fha</t>
  </si>
  <si>
    <t>https://drive.google.com/file/d/1zUiKJEZUVGRTYXtcLBR7EfMm-64B4Fha/view?usp=drivesdk</t>
  </si>
  <si>
    <t>MAULANA JUNAIDI</t>
  </si>
  <si>
    <t>maulana0669@gmail.com</t>
  </si>
  <si>
    <t>8323</t>
  </si>
  <si>
    <t>1v4TvHY9Nl0vXh7uNXOkG33XNxGhJJCA4</t>
  </si>
  <si>
    <t>https://drive.google.com/file/d/1v4TvHY9Nl0vXh7uNXOkG33XNxGhJJCA4/view?usp=drivesdk</t>
  </si>
  <si>
    <t>YATMI, S.E.</t>
  </si>
  <si>
    <t>yatmii69@gmail.com</t>
  </si>
  <si>
    <t>8324</t>
  </si>
  <si>
    <t>1yUeGi0oa97vIHaU0TPKg1toRsg5VKWWx</t>
  </si>
  <si>
    <t>https://drive.google.com/file/d/1yUeGi0oa97vIHaU0TPKg1toRsg5VKWWx/view?usp=drivesdk</t>
  </si>
  <si>
    <t>Document successfully created; Document successfully merged; PDF created; !!Error Sending Emails: Service invoked too many times for one day: email.; Run via form trigger as ecertificate75@gmail.com; Timestamp: Sep 5 2024 4:52 AM</t>
  </si>
  <si>
    <t xml:space="preserve">Drs. OJIH PAHRURROJIH </t>
  </si>
  <si>
    <t>ojih.pahrurrojih11@gmail.com</t>
  </si>
  <si>
    <t>8325</t>
  </si>
  <si>
    <t>1RdCbJsnFZ3LfhvuR8zGw36R6E0wREpw4</t>
  </si>
  <si>
    <t>https://drive.google.com/file/d/1RdCbJsnFZ3LfhvuR8zGw36R6E0wREpw4/view?usp=drivesdk</t>
  </si>
  <si>
    <t>DEWI JULIAWATI, A.Md</t>
  </si>
  <si>
    <t>dewijulia2382@gmail.com</t>
  </si>
  <si>
    <t>8326</t>
  </si>
  <si>
    <t>1i5Ra2-tRKwGTXMTytff8Wros1iYAPbUh</t>
  </si>
  <si>
    <t>https://drive.google.com/file/d/1i5Ra2-tRKwGTXMTytff8Wros1iYAPbUh/view?usp=drivesdk</t>
  </si>
  <si>
    <t>Minaria Kristina B. Sinaga, S H.</t>
  </si>
  <si>
    <t>minacoy@yahoo.com</t>
  </si>
  <si>
    <t>8327</t>
  </si>
  <si>
    <t>1k3eC6paMd-vSowJt_KgYozMJTg7a-PtH</t>
  </si>
  <si>
    <t>https://drive.google.com/file/d/1k3eC6paMd-vSowJt_KgYozMJTg7a-PtH/view?usp=drivesdk</t>
  </si>
  <si>
    <t>Document successfully created; Document successfully merged; PDF created; !!Error Sending Emails: Service invoked too many times for one day: email.; Run via form trigger as ecertificate75@gmail.com; Timestamp: Sep 5 2024 6:04 AM</t>
  </si>
  <si>
    <t>GUNAWAN, S.SOS</t>
  </si>
  <si>
    <t>gunawanssos67@gmail.com</t>
  </si>
  <si>
    <t>8328</t>
  </si>
  <si>
    <t>1VhJ01bwSfW9K-pFexKcnXGGqeW610Wfk</t>
  </si>
  <si>
    <t>https://drive.google.com/file/d/1VhJ01bwSfW9K-pFexKcnXGGqeW610Wfk/view?usp=drivesdk</t>
  </si>
  <si>
    <t>Document successfully created; Document successfully merged; PDF created; !!Error Sending Emails: Service invoked too many times for one day: email.; Run via form trigger as ecertificate75@gmail.com; Timestamp: Sep 5 2024 6:05 AM</t>
  </si>
  <si>
    <t xml:space="preserve">Abdul Parhan, SE </t>
  </si>
  <si>
    <t>abdulparhan1@gmail.com</t>
  </si>
  <si>
    <t>8329</t>
  </si>
  <si>
    <t>1IJ65H7HuD6tzYLTmTQT_HcQU_U9qUv6L</t>
  </si>
  <si>
    <t>https://drive.google.com/file/d/1IJ65H7HuD6tzYLTmTQT_HcQU_U9qUv6L/view?usp=drivesdk</t>
  </si>
  <si>
    <t xml:space="preserve">GINANJAR </t>
  </si>
  <si>
    <t>rubyalthafi@gmail.com</t>
  </si>
  <si>
    <t>8330</t>
  </si>
  <si>
    <t>1iZkdITXe756sR2Sqgb2_S2P2hOsjv73f</t>
  </si>
  <si>
    <t>https://drive.google.com/file/d/1iZkdITXe756sR2Sqgb2_S2P2hOsjv73f/view?usp=drivesdk</t>
  </si>
  <si>
    <t>FHASIMALETY</t>
  </si>
  <si>
    <t>ditbinmaspoldasumsel@gmail.com</t>
  </si>
  <si>
    <t>8331</t>
  </si>
  <si>
    <t>16a0MqB6Vku-m3nIlN-KWoRhBYlqhT0Xi</t>
  </si>
  <si>
    <t>https://drive.google.com/file/d/16a0MqB6Vku-m3nIlN-KWoRhBYlqhT0Xi/view?usp=drivesdk</t>
  </si>
  <si>
    <t xml:space="preserve">NINIK MARLINA </t>
  </si>
  <si>
    <t>ninikmarlina1@gmail.com</t>
  </si>
  <si>
    <t>8332</t>
  </si>
  <si>
    <t>1OTDuRYb5FSOvRH8CMDiA2C9H-GTAm3MF</t>
  </si>
  <si>
    <t>https://drive.google.com/file/d/1OTDuRYb5FSOvRH8CMDiA2C9H-GTAm3MF/view?usp=drivesdk</t>
  </si>
  <si>
    <t>VERA SURYANI PAULINA, A.Md.</t>
  </si>
  <si>
    <t>verasuryati.paulina@gmail.com</t>
  </si>
  <si>
    <t>8333</t>
  </si>
  <si>
    <t>1-f53PlLcL5w3guvQqT7Ez3yZEBW_OFcm</t>
  </si>
  <si>
    <t>https://drive.google.com/file/d/1-f53PlLcL5w3guvQqT7Ez3yZEBW_OFcm/view?usp=drivesdk</t>
  </si>
  <si>
    <t>EFNI APRI JUMIASIH, S.M.</t>
  </si>
  <si>
    <t>efnibengkulu38@gmail.com</t>
  </si>
  <si>
    <t>8334</t>
  </si>
  <si>
    <t>Starting at Thu Aug 29 2024 22:37:22 GMT-0400 (EDT)</t>
  </si>
  <si>
    <t>1-Xg38tn1jPLJRJ_BMRkrCRRtlMwO0GHd</t>
  </si>
  <si>
    <t>https://drive.google.com/file/d/1-Xg38tn1jPLJRJ_BMRkrCRRtlMwO0GHd/view?usp=drivesdk</t>
  </si>
  <si>
    <t>ASMARA MURNI</t>
  </si>
  <si>
    <t>murniwahid25@gmsil.com</t>
  </si>
  <si>
    <t>8335</t>
  </si>
  <si>
    <t>1rZhznAv5vWBnrGEmX32Wu8BSyq86-ALz</t>
  </si>
  <si>
    <t>https://drive.google.com/file/d/1rZhznAv5vWBnrGEmX32Wu8BSyq86-ALz/view?usp=drivesdk</t>
  </si>
  <si>
    <t>Document successfully created; Document successfully merged; PDF created; !!Error Sending Emails: Service invoked too many times for one day: email.; Run via form trigger as ecertificate75@gmail.com; Timestamp: Sep 5 2024 6:06 AM</t>
  </si>
  <si>
    <t>ASNIMAL.M</t>
  </si>
  <si>
    <t>asnimal68@gmail.com</t>
  </si>
  <si>
    <t>8336</t>
  </si>
  <si>
    <t>1uM68HOZTY_2w1-1JsYu16AuIiJxV7MYK</t>
  </si>
  <si>
    <t>https://drive.google.com/file/d/1uM68HOZTY_2w1-1JsYu16AuIiJxV7MYK/view?usp=drivesdk</t>
  </si>
  <si>
    <t xml:space="preserve">RYNA SETYANINGSIH SUKEMI </t>
  </si>
  <si>
    <t>rynasetyaningsih13@gmail.com</t>
  </si>
  <si>
    <t>8337</t>
  </si>
  <si>
    <t>11DV5GpSsICEcHEZecuDpMZ-INjtIzDxA</t>
  </si>
  <si>
    <t>https://drive.google.com/file/d/11DV5GpSsICEcHEZecuDpMZ-INjtIzDxA/view?usp=drivesdk</t>
  </si>
  <si>
    <t>ARIF BUDI WAHONO</t>
  </si>
  <si>
    <t>arifsium26@gmail.com</t>
  </si>
  <si>
    <t>8338</t>
  </si>
  <si>
    <t>1A54Qdbl_bQPvANNLEMhlj0xxq-SkkU1m</t>
  </si>
  <si>
    <t>https://drive.google.com/file/d/1A54Qdbl_bQPvANNLEMhlj0xxq-SkkU1m/view?usp=drivesdk</t>
  </si>
  <si>
    <t>NUR AZIZAH, S.Pd</t>
  </si>
  <si>
    <t>zizahferry@gmail.com</t>
  </si>
  <si>
    <t>8339</t>
  </si>
  <si>
    <t>1zmNV2LeghpQX2PZ3_lb_aTXpAE5m8bq5</t>
  </si>
  <si>
    <t>https://drive.google.com/file/d/1zmNV2LeghpQX2PZ3_lb_aTXpAE5m8bq5/view?usp=drivesdk</t>
  </si>
  <si>
    <t>SITI zAHARA,S.Sos</t>
  </si>
  <si>
    <t>sarahzaian85@gmail.com</t>
  </si>
  <si>
    <t>8340</t>
  </si>
  <si>
    <t>1xThmKu5InrwFvsnmUMSuubkHPHRJI5Vb</t>
  </si>
  <si>
    <t>https://drive.google.com/file/d/1xThmKu5InrwFvsnmUMSuubkHPHRJI5Vb/view?usp=drivesdk</t>
  </si>
  <si>
    <t>Musita Eprida Sinaga</t>
  </si>
  <si>
    <t>musitasinaga@gmail.com</t>
  </si>
  <si>
    <t>8341</t>
  </si>
  <si>
    <t>1eb59hhb3PPOJnDuFuj-UtQ4iHgOmNvxT</t>
  </si>
  <si>
    <t>https://drive.google.com/file/d/1eb59hhb3PPOJnDuFuj-UtQ4iHgOmNvxT/view?usp=drivesdk</t>
  </si>
  <si>
    <t>RODIAH</t>
  </si>
  <si>
    <t>Rodiah.duah@gmail.com</t>
  </si>
  <si>
    <t>8342</t>
  </si>
  <si>
    <t>1vNvkKoNBohws1gmrTZbMKevuknuK8wg8</t>
  </si>
  <si>
    <t>https://drive.google.com/file/d/1vNvkKoNBohws1gmrTZbMKevuknuK8wg8/view?usp=drivesdk</t>
  </si>
  <si>
    <t>Document successfully created; Document successfully merged; PDF created; !!Error Sending Emails: Service invoked too many times for one day: email.; Run via form trigger as ecertificate75@gmail.com; Timestamp: Sep 5 2024 6:07 AM</t>
  </si>
  <si>
    <t>Ns Dien Novita, S.Kep</t>
  </si>
  <si>
    <t>diennovita249@gmail.com</t>
  </si>
  <si>
    <t>8343</t>
  </si>
  <si>
    <t>1DwvqFllIRQeQytWFeE1zCYSfPdKtdS4S</t>
  </si>
  <si>
    <t>https://drive.google.com/file/d/1DwvqFllIRQeQytWFeE1zCYSfPdKtdS4S/view?usp=drivesdk</t>
  </si>
  <si>
    <t>GINA FEPZIAH</t>
  </si>
  <si>
    <t>ginafepziah20@gmail.com</t>
  </si>
  <si>
    <t>8344</t>
  </si>
  <si>
    <t>1r_sV6NTBXPzyMew9uofAsZhdwO8atW14</t>
  </si>
  <si>
    <t>https://drive.google.com/file/d/1r_sV6NTBXPzyMew9uofAsZhdwO8atW14/view?usp=drivesdk</t>
  </si>
  <si>
    <t>TIA MAYLA SARI PUTRI, Am.Kep</t>
  </si>
  <si>
    <t>tiamaylasari@gmail.com</t>
  </si>
  <si>
    <t>8345</t>
  </si>
  <si>
    <t>14brldE49JauEKZqN-mt6HYe3WH7iAcMJ</t>
  </si>
  <si>
    <t>https://drive.google.com/file/d/14brldE49JauEKZqN-mt6HYe3WH7iAcMJ/view?usp=drivesdk</t>
  </si>
  <si>
    <t>MAKHDALENA FRANSISKA LUMBANTOBING, S.Pd</t>
  </si>
  <si>
    <t>magdalenalumbantobing2019@gmail.com</t>
  </si>
  <si>
    <t>8346</t>
  </si>
  <si>
    <t>1G1-KV0SEx9coH8_-fLSViynR0PZr007m</t>
  </si>
  <si>
    <t>https://drive.google.com/file/d/1G1-KV0SEx9coH8_-fLSViynR0PZr007m/view?usp=drivesdk</t>
  </si>
  <si>
    <t>ICE MAESAROH</t>
  </si>
  <si>
    <t>icemaesaroh1@gmail.com</t>
  </si>
  <si>
    <t>8347</t>
  </si>
  <si>
    <t>Starting at Thu Aug 29 2024 22:37:40 GMT-0400 (EDT)</t>
  </si>
  <si>
    <t>1_e5VCi_tIM13O8kN-7bLYmg9mGvcrSI2</t>
  </si>
  <si>
    <t>https://drive.google.com/file/d/1_e5VCi_tIM13O8kN-7bLYmg9mGvcrSI2/view?usp=drivesdk</t>
  </si>
  <si>
    <t>TEGAWATI A.Md.</t>
  </si>
  <si>
    <t>hearts2fine@yahoo.com</t>
  </si>
  <si>
    <t>8348</t>
  </si>
  <si>
    <t>16jvqJcuhuaoKaw_XT4RuUkWgViloI-Qy</t>
  </si>
  <si>
    <t>https://drive.google.com/file/d/16jvqJcuhuaoKaw_XT4RuUkWgViloI-Qy/view?usp=drivesdk</t>
  </si>
  <si>
    <t>Document successfully created; Document successfully merged; PDF created; !!Error Sending Emails: Service invoked too many times for one day: email.; Run via form trigger as ecertificate75@gmail.com; Timestamp: Sep 5 2024 6:08 AM</t>
  </si>
  <si>
    <t>YUSUF HAMBALI, S.Kom</t>
  </si>
  <si>
    <t>mikrotiklapan1@gmail.com</t>
  </si>
  <si>
    <t>8349</t>
  </si>
  <si>
    <t>1lsqSVBXNxW7v6LaOy-DRWvi6A_9Ph1U7</t>
  </si>
  <si>
    <t>https://drive.google.com/file/d/1lsqSVBXNxW7v6LaOy-DRWvi6A_9Ph1U7/view?usp=drivesdk</t>
  </si>
  <si>
    <t>LALU IRHAM</t>
  </si>
  <si>
    <t>laluirham6767@gmail.com</t>
  </si>
  <si>
    <t>8350</t>
  </si>
  <si>
    <t>1Tfp3KMjoll43CypAQmdQx4xtTR53XRVm</t>
  </si>
  <si>
    <t>https://drive.google.com/file/d/1Tfp3KMjoll43CypAQmdQx4xtTR53XRVm/view?usp=drivesdk</t>
  </si>
  <si>
    <t xml:space="preserve">SUCI ANNISA KHAIRANI </t>
  </si>
  <si>
    <t>jefrideejay88@gmail.com</t>
  </si>
  <si>
    <t>8351</t>
  </si>
  <si>
    <t>1ZM1NkVlXaIsQG5HnIqjFO2dYYIfoYIJD</t>
  </si>
  <si>
    <t>https://drive.google.com/file/d/1ZM1NkVlXaIsQG5HnIqjFO2dYYIfoYIJD/view?usp=drivesdk</t>
  </si>
  <si>
    <t>WASEMIN</t>
  </si>
  <si>
    <t>wasemin02@gmail.com</t>
  </si>
  <si>
    <t>8352</t>
  </si>
  <si>
    <t>1oCDwq9_uSgjtzziQ2uTNvz1bM1DBWcs4</t>
  </si>
  <si>
    <t>https://drive.google.com/file/d/1oCDwq9_uSgjtzziQ2uTNvz1bM1DBWcs4/view?usp=drivesdk</t>
  </si>
  <si>
    <t>ABDULLOH</t>
  </si>
  <si>
    <t>yuninurhaliza518@gmail.com</t>
  </si>
  <si>
    <t>8353</t>
  </si>
  <si>
    <t>Starting at Thu Aug 29 2024 22:37:49 GMT-0400 (EDT)</t>
  </si>
  <si>
    <t>1IABknWR6CN2fRhpMHY3i2XLKk4tnt4fm</t>
  </si>
  <si>
    <t>https://drive.google.com/file/d/1IABknWR6CN2fRhpMHY3i2XLKk4tnt4fm/view?usp=drivesdk</t>
  </si>
  <si>
    <t>Document successfully created; Document successfully merged; PDF created; !!Error Sending Emails: Service invoked too many times for one day: email.; Run via form trigger as ecertificate75@gmail.com; Timestamp: Sep 5 2024 6:09 AM</t>
  </si>
  <si>
    <t xml:space="preserve">ISHAQ HAMZAH SE </t>
  </si>
  <si>
    <t>muhdaffa334@gmail.com</t>
  </si>
  <si>
    <t>8354</t>
  </si>
  <si>
    <t>1IDp4DTWUg5DuzLXF0gA9re1ZLwKhwdu7</t>
  </si>
  <si>
    <t>https://drive.google.com/file/d/1IDp4DTWUg5DuzLXF0gA9re1ZLwKhwdu7/view?usp=drivesdk</t>
  </si>
  <si>
    <t>trihand420@gmail.com</t>
  </si>
  <si>
    <t>8355</t>
  </si>
  <si>
    <t>1Aa-CindrP6rY0qGakFunTmHVRPgJQyby</t>
  </si>
  <si>
    <t>https://drive.google.com/file/d/1Aa-CindrP6rY0qGakFunTmHVRPgJQyby/view?usp=drivesdk</t>
  </si>
  <si>
    <t>YULISMA AFRIANTI, SKep</t>
  </si>
  <si>
    <t>lisma88992@gmail.com</t>
  </si>
  <si>
    <t>8356</t>
  </si>
  <si>
    <t>1I0n2vh_OiL3Q09x2Grv697RjUpvktwll</t>
  </si>
  <si>
    <t>https://drive.google.com/file/d/1I0n2vh_OiL3Q09x2Grv697RjUpvktwll/view?usp=drivesdk</t>
  </si>
  <si>
    <t>DR FARAH DIBAH</t>
  </si>
  <si>
    <t>byfarahdibah@gmail.com</t>
  </si>
  <si>
    <t>8357</t>
  </si>
  <si>
    <t>1FcaqbMldtgXBjAQj4hmVjpM5yTw5DJPe</t>
  </si>
  <si>
    <t>https://drive.google.com/file/d/1FcaqbMldtgXBjAQj4hmVjpM5yTw5DJPe/view?usp=drivesdk</t>
  </si>
  <si>
    <t>WILHELMUS SANGA, S.E., M.M.</t>
  </si>
  <si>
    <t>wilhelmussanga.87@gmail.com</t>
  </si>
  <si>
    <t>8358</t>
  </si>
  <si>
    <t>1X_WaNs2Wp-80GTJYCWXKsiFjwhH7dqq9</t>
  </si>
  <si>
    <t>https://drive.google.com/file/d/1X_WaNs2Wp-80GTJYCWXKsiFjwhH7dqq9/view?usp=drivesdk</t>
  </si>
  <si>
    <t>8359</t>
  </si>
  <si>
    <t>1Rl0NDsuykKE2sisd24rhxaYvQBqbY0Wm</t>
  </si>
  <si>
    <t>https://drive.google.com/file/d/1Rl0NDsuykKE2sisd24rhxaYvQBqbY0Wm/view?usp=drivesdk</t>
  </si>
  <si>
    <t>ANDRI WALUYO</t>
  </si>
  <si>
    <t>alfawaow@gmail.com</t>
  </si>
  <si>
    <t>8360</t>
  </si>
  <si>
    <t>1ie6dG0i6jZ6-eki3DKT5U80-YXC8mp5m</t>
  </si>
  <si>
    <t>https://drive.google.com/file/d/1ie6dG0i6jZ6-eki3DKT5U80-YXC8mp5m/view?usp=drivesdk</t>
  </si>
  <si>
    <t>sripujinuryaningsih@gmail.com</t>
  </si>
  <si>
    <t>8361</t>
  </si>
  <si>
    <t>Starting at Thu Aug 29 2024 22:37:56 GMT-0400 (EDT)</t>
  </si>
  <si>
    <t>1E18KeKvlLXnDnDZIvWJ9cILv4Oc6G54-</t>
  </si>
  <si>
    <t>https://drive.google.com/file/d/1E18KeKvlLXnDnDZIvWJ9cILv4Oc6G54-/view?usp=drivesdk</t>
  </si>
  <si>
    <t>ANDRIANI, SH</t>
  </si>
  <si>
    <t>inwose17@gmail.com</t>
  </si>
  <si>
    <t>8362</t>
  </si>
  <si>
    <t>Starting at Thu Aug 29 2024 22:37:59 GMT-0400 (EDT)</t>
  </si>
  <si>
    <t>1NDnXZYVuD99KYJ_aQPvoF2TNhVLoDUFm</t>
  </si>
  <si>
    <t>https://drive.google.com/file/d/1NDnXZYVuD99KYJ_aQPvoF2TNhVLoDUFm/view?usp=drivesdk</t>
  </si>
  <si>
    <t>SUDIAMAN</t>
  </si>
  <si>
    <t>sudiaman234@gmail.com</t>
  </si>
  <si>
    <t>8363</t>
  </si>
  <si>
    <t>Starting at Thu Aug 29 2024 22:38:14 GMT-0400 (EDT)</t>
  </si>
  <si>
    <t>1Si6uES_HFE3Dfh8t45HgXUkkxYyRJMWI</t>
  </si>
  <si>
    <t>https://drive.google.com/file/d/1Si6uES_HFE3Dfh8t45HgXUkkxYyRJMWI/view?usp=drivesdk</t>
  </si>
  <si>
    <t>TATIK RAHAYU, S.E.M.H</t>
  </si>
  <si>
    <t>tatikrahayuu79@gmail.com</t>
  </si>
  <si>
    <t>8364</t>
  </si>
  <si>
    <t>1JxWNCF81ViIbNE0ReEZks7Ufqelds-9A</t>
  </si>
  <si>
    <t>https://drive.google.com/file/d/1JxWNCF81ViIbNE0ReEZks7Ufqelds-9A/view?usp=drivesdk</t>
  </si>
  <si>
    <t>NELDELA GRESIA BARASA</t>
  </si>
  <si>
    <t>neldelabarasa@gmail.com</t>
  </si>
  <si>
    <t>8365</t>
  </si>
  <si>
    <t>1EyvcnDzqunOYaVlrxnzA_JF7g3jYzhjL</t>
  </si>
  <si>
    <t>https://drive.google.com/file/d/1EyvcnDzqunOYaVlrxnzA_JF7g3jYzhjL/view?usp=drivesdk</t>
  </si>
  <si>
    <t>HINDRAWAN KRISTIYANTO</t>
  </si>
  <si>
    <t>hindrawankristianto@gmail.com</t>
  </si>
  <si>
    <t>8366</t>
  </si>
  <si>
    <t>1DMrEVE48DClNxc9bOWOF0qwUmPv1HMwX</t>
  </si>
  <si>
    <t>https://drive.google.com/file/d/1DMrEVE48DClNxc9bOWOF0qwUmPv1HMwX/view?usp=drivesdk</t>
  </si>
  <si>
    <t>HIKMAWATI.K</t>
  </si>
  <si>
    <t>hikmawati.091081@gmail.com</t>
  </si>
  <si>
    <t>8367</t>
  </si>
  <si>
    <t>1ycPt_J440zg7hsAdP1MlXy-CfV4wDvrb</t>
  </si>
  <si>
    <t>https://drive.google.com/file/d/1ycPt_J440zg7hsAdP1MlXy-CfV4wDvrb/view?usp=drivesdk</t>
  </si>
  <si>
    <t>siregarlisma27@gmail.com</t>
  </si>
  <si>
    <t>8368</t>
  </si>
  <si>
    <t>1oTWfAG0vhUmxQgjL2cnXDA9_fhLeOd-x</t>
  </si>
  <si>
    <t>https://drive.google.com/file/d/1oTWfAG0vhUmxQgjL2cnXDA9_fhLeOd-x/view?usp=drivesdk</t>
  </si>
  <si>
    <t>ENI HARTATI</t>
  </si>
  <si>
    <t>enihartati75@gmail.com</t>
  </si>
  <si>
    <t>8369</t>
  </si>
  <si>
    <t>1BnBx2YcfffzUe5UUbO4xsVSp7cLMJyjm</t>
  </si>
  <si>
    <t>https://drive.google.com/file/d/1BnBx2YcfffzUe5UUbO4xsVSp7cLMJyjm/view?usp=drivesdk</t>
  </si>
  <si>
    <t>WAHYUNI RANTI PRATIWI, SE, Ak</t>
  </si>
  <si>
    <t>wrantee@gmail.com</t>
  </si>
  <si>
    <t>8370</t>
  </si>
  <si>
    <t>Starting at Thu Aug 29 2024 22:38:17 GMT-0400 (EDT)</t>
  </si>
  <si>
    <t>1yHHm75kzRUAuovkN4ajC-iXew1UKWL25</t>
  </si>
  <si>
    <t>https://drive.google.com/file/d/1yHHm75kzRUAuovkN4ajC-iXew1UKWL25/view?usp=drivesdk</t>
  </si>
  <si>
    <t>ARIEFDA MUKTI WIJAYA, S.E.</t>
  </si>
  <si>
    <t>ariefdamukti@gmail.com</t>
  </si>
  <si>
    <t>8371</t>
  </si>
  <si>
    <t>Starting at Thu Aug 29 2024 22:38:21 GMT-0400 (EDT)</t>
  </si>
  <si>
    <t>1ozZQLPI7l6r3GCXqOciWtPLBR-QBq_9o</t>
  </si>
  <si>
    <t>https://drive.google.com/file/d/1ozZQLPI7l6r3GCXqOciWtPLBR-QBq_9o/view?usp=drivesdk</t>
  </si>
  <si>
    <t>GIRI DRAWARDANA</t>
  </si>
  <si>
    <t>giridrawardana75@gmail.com</t>
  </si>
  <si>
    <t>8372</t>
  </si>
  <si>
    <t>1dJ0NmOR3T1Apv3mLKhvBe7C1FIxNqc2Q</t>
  </si>
  <si>
    <t>https://drive.google.com/file/d/1dJ0NmOR3T1Apv3mLKhvBe7C1FIxNqc2Q/view?usp=drivesdk</t>
  </si>
  <si>
    <t>BEBRINA MUMAN, S.Kep</t>
  </si>
  <si>
    <t>Ayindjini@gmail.com</t>
  </si>
  <si>
    <t>8373</t>
  </si>
  <si>
    <t>1PoqI_lI1QEjfhf7VMPT_qm8bzdcUYods</t>
  </si>
  <si>
    <t>https://drive.google.com/file/d/1PoqI_lI1QEjfhf7VMPT_qm8bzdcUYods/view?usp=drivesdk</t>
  </si>
  <si>
    <t xml:space="preserve">SRI WALUYANI </t>
  </si>
  <si>
    <t>sriwaluyani75@gmail.com</t>
  </si>
  <si>
    <t>8374</t>
  </si>
  <si>
    <t>1NCRp4edBCqlM3jR29LMtrZkB6AKrW6WD</t>
  </si>
  <si>
    <t>https://drive.google.com/file/d/1NCRp4edBCqlM3jR29LMtrZkB6AKrW6WD/view?usp=drivesdk</t>
  </si>
  <si>
    <t>MUSTIKARENI</t>
  </si>
  <si>
    <t>mustikareni978@gmail.com</t>
  </si>
  <si>
    <t>8375</t>
  </si>
  <si>
    <t>1J9TRH2L5yUMzyDNTbkEuYKa1l5rA4UT_</t>
  </si>
  <si>
    <t>https://drive.google.com/file/d/1J9TRH2L5yUMzyDNTbkEuYKa1l5rA4UT_/view?usp=drivesdk</t>
  </si>
  <si>
    <t>IRNA DWI WAHYUNI, AMF., S.Ap.</t>
  </si>
  <si>
    <t>irnadwiw@gmail.com</t>
  </si>
  <si>
    <t>8376</t>
  </si>
  <si>
    <t>Starting at Thu Aug 29 2024 22:38:46 GMT-0400 (EDT)</t>
  </si>
  <si>
    <t>1ZUdIDZHVj2H5sqLMOTP1U2CD_L95qGLx</t>
  </si>
  <si>
    <t>https://drive.google.com/file/d/1ZUdIDZHVj2H5sqLMOTP1U2CD_L95qGLx/view?usp=drivesdk</t>
  </si>
  <si>
    <t>MARSELLA NOFIANTI, A.Md.Kes</t>
  </si>
  <si>
    <t>fianti.sellamar@gmail.com</t>
  </si>
  <si>
    <t>8377</t>
  </si>
  <si>
    <t>1covjbeuCsYH5JWddGQ5AMfmPcO4TZUlB</t>
  </si>
  <si>
    <t>https://drive.google.com/file/d/1covjbeuCsYH5JWddGQ5AMfmPcO4TZUlB/view?usp=drivesdk</t>
  </si>
  <si>
    <t>SITARESMI,M.Pd</t>
  </si>
  <si>
    <t>menujuhalal86@gmail.com</t>
  </si>
  <si>
    <t>8378</t>
  </si>
  <si>
    <t>1Ag5Y-KteqmdNKggDiBYDuL3SFrzKkg1r</t>
  </si>
  <si>
    <t>https://drive.google.com/file/d/1Ag5Y-KteqmdNKggDiBYDuL3SFrzKkg1r/view?usp=drivesdk</t>
  </si>
  <si>
    <t>NASRUDIN WIDODO</t>
  </si>
  <si>
    <t>nasnasrudin498@gmail.com</t>
  </si>
  <si>
    <t>8379</t>
  </si>
  <si>
    <t>1Avs_8Ujgbh95HTefaT7IIqqnyUDMu6Kd</t>
  </si>
  <si>
    <t>https://drive.google.com/file/d/1Avs_8Ujgbh95HTefaT7IIqqnyUDMu6Kd/view?usp=drivesdk</t>
  </si>
  <si>
    <t>RITA PURNAMA SARI</t>
  </si>
  <si>
    <t>ritapurnamasari1986@gmail.com</t>
  </si>
  <si>
    <t>8380</t>
  </si>
  <si>
    <t>17QVjBg6-3G2ibu79ScHM_0YkhWxYG15R</t>
  </si>
  <si>
    <t>https://drive.google.com/file/d/17QVjBg6-3G2ibu79ScHM_0YkhWxYG15R/view?usp=drivesdk</t>
  </si>
  <si>
    <t>SUGIYATI</t>
  </si>
  <si>
    <t>yatieka76@gmail.com</t>
  </si>
  <si>
    <t>8381</t>
  </si>
  <si>
    <t>1lmL2nUn4xLArnsoI75QSy8kPvDDgodvn</t>
  </si>
  <si>
    <t>https://drive.google.com/file/d/1lmL2nUn4xLArnsoI75QSy8kPvDDgodvn/view?usp=drivesdk</t>
  </si>
  <si>
    <t xml:space="preserve">NI PUTU AYU PUSPALA DEWI, A. Md. Kep. </t>
  </si>
  <si>
    <t>puspaladewi37@gmail.com</t>
  </si>
  <si>
    <t>8382</t>
  </si>
  <si>
    <t>Starting at Thu Aug 29 2024 22:38:48 GMT-0400 (EDT)</t>
  </si>
  <si>
    <t>1topvFxkeTpWKv-c2wrIQgJSV5a45rnaq</t>
  </si>
  <si>
    <t>https://drive.google.com/file/d/1topvFxkeTpWKv-c2wrIQgJSV5a45rnaq/view?usp=drivesdk</t>
  </si>
  <si>
    <t>dr.Satria Nita Pinta Karunia</t>
  </si>
  <si>
    <t>triakarunia@gmail.com</t>
  </si>
  <si>
    <t>8383</t>
  </si>
  <si>
    <t>Starting at Thu Aug 29 2024 22:38:50 GMT-0400 (EDT)</t>
  </si>
  <si>
    <t>1O_mVy_SoExBy60QZ4iDcPRx-tffY59om</t>
  </si>
  <si>
    <t>https://drive.google.com/file/d/1O_mVy_SoExBy60QZ4iDcPRx-tffY59om/view?usp=drivesdk</t>
  </si>
  <si>
    <t>SUWARIS</t>
  </si>
  <si>
    <t>suwaris71@gmail.com</t>
  </si>
  <si>
    <t>8384</t>
  </si>
  <si>
    <t>Starting at Thu Aug 29 2024 22:38:54 GMT-0400 (EDT)</t>
  </si>
  <si>
    <t>1zdgjYBeX9oEpo9Z29MZKpRkk4za3-SCJ</t>
  </si>
  <si>
    <t>https://drive.google.com/file/d/1zdgjYBeX9oEpo9Z29MZKpRkk4za3-SCJ/view?usp=drivesdk</t>
  </si>
  <si>
    <t>Ns.NIRWANA.S.Kep</t>
  </si>
  <si>
    <t>niroke82@gmail.com</t>
  </si>
  <si>
    <t>8385</t>
  </si>
  <si>
    <t>1XLJVBiS6gYQlbqXXRElL0ma6jlw4ZJ69</t>
  </si>
  <si>
    <t>https://drive.google.com/file/d/1XLJVBiS6gYQlbqXXRElL0ma6jlw4ZJ69/view?usp=drivesdk</t>
  </si>
  <si>
    <t>NI WAYAN MURTINI</t>
  </si>
  <si>
    <t>julia.murtini84@gmail.com</t>
  </si>
  <si>
    <t>8386</t>
  </si>
  <si>
    <t>Starting at Thu Aug 29 2024 22:38:59 GMT-0400 (EDT)</t>
  </si>
  <si>
    <t>18TZmymCRQDzqGrC65kVRmwY8YUC0iZe3</t>
  </si>
  <si>
    <t>https://drive.google.com/file/d/18TZmymCRQDzqGrC65kVRmwY8YUC0iZe3/view?usp=drivesdk</t>
  </si>
  <si>
    <t>MARTIKA, S.Sos</t>
  </si>
  <si>
    <t>tikaabkl@gmail.com</t>
  </si>
  <si>
    <t>8387</t>
  </si>
  <si>
    <t>Starting at Thu Aug 29 2024 22:39:04 GMT-0400 (EDT)</t>
  </si>
  <si>
    <t>1z2RjX_KVryUGTLTgft921JOoic0w4uEM</t>
  </si>
  <si>
    <t>https://drive.google.com/file/d/1z2RjX_KVryUGTLTgft921JOoic0w4uEM/view?usp=drivesdk</t>
  </si>
  <si>
    <t>Document successfully created; Document successfully merged; PDF created; !!Error Sending Emails: Service invoked too many times for one day: email.; Run via form trigger as ecertificate75@gmail.com; Timestamp: Sep 5 2024 6:10 AM</t>
  </si>
  <si>
    <t>NUR SUHAILAH, A. Md. Keb</t>
  </si>
  <si>
    <t>nursuhailahmasdar2@gmail.com</t>
  </si>
  <si>
    <t>8388</t>
  </si>
  <si>
    <t>1-BWobJKjQ3vpM0lAYffccAGyyVbqf4eD</t>
  </si>
  <si>
    <t>https://drive.google.com/file/d/1-BWobJKjQ3vpM0lAYffccAGyyVbqf4eD/view?usp=drivesdk</t>
  </si>
  <si>
    <t>DR. DENI NUGRAHA SPAN</t>
  </si>
  <si>
    <t>deninugraha3711@gmail.com</t>
  </si>
  <si>
    <t>8389</t>
  </si>
  <si>
    <t>1eYTbYO4Mpt4rgW8J1G0p9qmktIPBPTEW</t>
  </si>
  <si>
    <t>https://drive.google.com/file/d/1eYTbYO4Mpt4rgW8J1G0p9qmktIPBPTEW/view?usp=drivesdk</t>
  </si>
  <si>
    <t>MURNIYATI, S.E.</t>
  </si>
  <si>
    <t>umi.mahya@gmail.com</t>
  </si>
  <si>
    <t>8390</t>
  </si>
  <si>
    <t>1DSs4DL0GK4n7lkLVQbqCXt2yshs0zbNt</t>
  </si>
  <si>
    <t>https://drive.google.com/file/d/1DSs4DL0GK4n7lkLVQbqCXt2yshs0zbNt/view?usp=drivesdk</t>
  </si>
  <si>
    <t>AGUNG BUDI R</t>
  </si>
  <si>
    <t>polsektambaksari27@gmail.com</t>
  </si>
  <si>
    <t>8391</t>
  </si>
  <si>
    <t>Starting at Thu Aug 29 2024 22:39:07 GMT-0400 (EDT)</t>
  </si>
  <si>
    <t>1azTbY6HtDditeKDrN8egaW4IioBFwJx2</t>
  </si>
  <si>
    <t>https://drive.google.com/file/d/1azTbY6HtDditeKDrN8egaW4IioBFwJx2/view?usp=drivesdk</t>
  </si>
  <si>
    <t>Pristi Marta Ulina Hasibuan, S.E.</t>
  </si>
  <si>
    <t>pristihasibuan394@gmail.com</t>
  </si>
  <si>
    <t>8392</t>
  </si>
  <si>
    <t>Starting at Thu Aug 29 2024 22:39:13 GMT-0400 (EDT)</t>
  </si>
  <si>
    <t>1-b8H6RNwDL5jvBqaF_xfhUZ_0qev7hVa</t>
  </si>
  <si>
    <t>https://drive.google.com/file/d/1-b8H6RNwDL5jvBqaF_xfhUZ_0qev7hVa/view?usp=drivesdk</t>
  </si>
  <si>
    <t>Document successfully created; Document successfully merged; PDF created; !!Error Sending Emails: Service invoked too many times for one day: email.; Run via form trigger as ecertificate75@gmail.com; Timestamp: Sep 5 2024 6:11 AM</t>
  </si>
  <si>
    <t>SUDJIYATI</t>
  </si>
  <si>
    <t>jiyati24@gmail.com</t>
  </si>
  <si>
    <t>8393</t>
  </si>
  <si>
    <t>Starting at Thu Aug 29 2024 22:39:15 GMT-0400 (EDT)</t>
  </si>
  <si>
    <t>1XnkBMKB80YqFep9gYPobK8iLTVryMPDr</t>
  </si>
  <si>
    <t>https://drive.google.com/file/d/1XnkBMKB80YqFep9gYPobK8iLTVryMPDr/view?usp=drivesdk</t>
  </si>
  <si>
    <t>IPAH SARIPAH A.Md,Kep</t>
  </si>
  <si>
    <t>ipahsaripah1968@gmail.com</t>
  </si>
  <si>
    <t>8394</t>
  </si>
  <si>
    <t>1rei0oMc6c6hm_QThHmiazHAVFgNRWHna</t>
  </si>
  <si>
    <t>https://drive.google.com/file/d/1rei0oMc6c6hm_QThHmiazHAVFgNRWHna/view?usp=drivesdk</t>
  </si>
  <si>
    <t>NUR HOLIS, S.E.</t>
  </si>
  <si>
    <t>nurholis.bkl18@gmail.com</t>
  </si>
  <si>
    <t>8395</t>
  </si>
  <si>
    <t>Starting at Thu Aug 29 2024 22:39:20 GMT-0400 (EDT)</t>
  </si>
  <si>
    <t>1qvjgSzIuiQ0Kl2X7ybfN3W66k7qdgwFQ</t>
  </si>
  <si>
    <t>https://drive.google.com/file/d/1qvjgSzIuiQ0Kl2X7ybfN3W66k7qdgwFQ/view?usp=drivesdk</t>
  </si>
  <si>
    <t>ARMINA BUTAR BUTAR, S.E</t>
  </si>
  <si>
    <t>butarbutararmina@gmail.com</t>
  </si>
  <si>
    <t>8396</t>
  </si>
  <si>
    <t>1D8oK8Z5mc2YZap3HdckJkhxZWajAov3R</t>
  </si>
  <si>
    <t>https://drive.google.com/file/d/1D8oK8Z5mc2YZap3HdckJkhxZWajAov3R/view?usp=drivesdk</t>
  </si>
  <si>
    <t>LINGGA FILONA, S.PSI., M.M.</t>
  </si>
  <si>
    <t>filonalingga@gmail.com</t>
  </si>
  <si>
    <t>8397</t>
  </si>
  <si>
    <t>1_bZJOe82vZIRRQJjcjA3LV43-5z2QCG4</t>
  </si>
  <si>
    <t>https://drive.google.com/file/d/1_bZJOe82vZIRRQJjcjA3LV43-5z2QCG4/view?usp=drivesdk</t>
  </si>
  <si>
    <t>NINI GIMAWATI,S.Tr.Keb</t>
  </si>
  <si>
    <t>gimawatinini@gmail.com</t>
  </si>
  <si>
    <t>8398</t>
  </si>
  <si>
    <t>Starting at Thu Aug 29 2024 22:39:25 GMT-0400 (EDT)</t>
  </si>
  <si>
    <t>1o03e7RlDb6OpQibfIqeJ_7ZknEdBwVDg</t>
  </si>
  <si>
    <t>https://drive.google.com/file/d/1o03e7RlDb6OpQibfIqeJ_7ZknEdBwVDg/view?usp=drivesdk</t>
  </si>
  <si>
    <t>WINDY PRASTIWI, S.Kom., M.M.</t>
  </si>
  <si>
    <t>198401162008122001@polri.go.id</t>
  </si>
  <si>
    <t>8399</t>
  </si>
  <si>
    <t>Starting at Thu Aug 29 2024 22:39:27 GMT-0400 (EDT)</t>
  </si>
  <si>
    <t>15I2Jf1LjTnZQJXfPFnvk4xv486sOmjQ_</t>
  </si>
  <si>
    <t>https://drive.google.com/file/d/15I2Jf1LjTnZQJXfPFnvk4xv486sOmjQ_/view?usp=drivesdk</t>
  </si>
  <si>
    <t>AGUS SISWANTO</t>
  </si>
  <si>
    <t>agusbensat@gmail.com</t>
  </si>
  <si>
    <t>8400</t>
  </si>
  <si>
    <t>Starting at Thu Aug 29 2024 22:39:32 GMT-0400 (EDT)</t>
  </si>
  <si>
    <t>10ma-2gzmwWDAOZnAbOaGcZG083XETb_N</t>
  </si>
  <si>
    <t>https://drive.google.com/file/d/10ma-2gzmwWDAOZnAbOaGcZG083XETb_N/view?usp=drivesdk</t>
  </si>
  <si>
    <t>Tri Endang Widyanti</t>
  </si>
  <si>
    <t>triendan.widyanti@gmail.com</t>
  </si>
  <si>
    <t>8401</t>
  </si>
  <si>
    <t>Starting at Thu Aug 29 2024 22:39:33 GMT-0400 (EDT)</t>
  </si>
  <si>
    <t>1nYG7JS9MDjwXFiIrbna-fnD-L8klH5vC</t>
  </si>
  <si>
    <t>https://drive.google.com/file/d/1nYG7JS9MDjwXFiIrbna-fnD-L8klH5vC/view?usp=drivesdk</t>
  </si>
  <si>
    <t>YULIS ANTARI</t>
  </si>
  <si>
    <t>yulisantari23@gmail.com</t>
  </si>
  <si>
    <t>8402</t>
  </si>
  <si>
    <t>Starting at Thu Aug 29 2024 22:39:35 GMT-0400 (EDT)</t>
  </si>
  <si>
    <t>1iN8P8_TQGYdTggotuwQM9W53hQ2bI415</t>
  </si>
  <si>
    <t>https://drive.google.com/file/d/1iN8P8_TQGYdTggotuwQM9W53hQ2bI415/view?usp=drivesdk</t>
  </si>
  <si>
    <t>NOFRIMAYANTI, S.Kom</t>
  </si>
  <si>
    <t>alfayuma05@gmail.com</t>
  </si>
  <si>
    <t>8403</t>
  </si>
  <si>
    <t>Starting at Thu Aug 29 2024 22:39:37 GMT-0400 (EDT)</t>
  </si>
  <si>
    <t>1ckxhJCpr80Szu8sUF8eFZWGvaWv2f4Dy</t>
  </si>
  <si>
    <t>https://drive.google.com/file/d/1ckxhJCpr80Szu8sUF8eFZWGvaWv2f4Dy/view?usp=drivesdk</t>
  </si>
  <si>
    <t>EKA YULIANA HANTINING TYAS, A.Md. KEB</t>
  </si>
  <si>
    <t>eyuliana04822@gmail.com</t>
  </si>
  <si>
    <t>8404</t>
  </si>
  <si>
    <t>Starting at Thu Aug 29 2024 22:39:42 GMT-0400 (EDT)</t>
  </si>
  <si>
    <t>1-aUFr8DF-dxYx9U0OpOMRykT5xif2741</t>
  </si>
  <si>
    <t>https://drive.google.com/file/d/1-aUFr8DF-dxYx9U0OpOMRykT5xif2741/view?usp=drivesdk</t>
  </si>
  <si>
    <t>BAPAK KARNO</t>
  </si>
  <si>
    <t>revalinaintannr@gmail.com</t>
  </si>
  <si>
    <t>8405</t>
  </si>
  <si>
    <t>1o_LTiXWQr7i-q06ycu4TDaqjQ3_wwehp</t>
  </si>
  <si>
    <t>https://drive.google.com/file/d/1o_LTiXWQr7i-q06ycu4TDaqjQ3_wwehp/view?usp=drivesdk</t>
  </si>
  <si>
    <t>JUNAIDIN,SH</t>
  </si>
  <si>
    <t>Dilvan896@gmail.cim</t>
  </si>
  <si>
    <t>8406</t>
  </si>
  <si>
    <t>1jiHt8T6hFHbPuehOQCgSd-xTAcZ60NDH</t>
  </si>
  <si>
    <t>https://drive.google.com/file/d/1jiHt8T6hFHbPuehOQCgSd-xTAcZ60NDH/view?usp=drivesdk</t>
  </si>
  <si>
    <t xml:space="preserve">DAMERIA SIAGIAN </t>
  </si>
  <si>
    <t>dameriasiagian20@gmail.com</t>
  </si>
  <si>
    <t>8407</t>
  </si>
  <si>
    <t>Starting at Thu Aug 29 2024 22:39:47 GMT-0400 (EDT)</t>
  </si>
  <si>
    <t>1TBqhtHhSbtMp2s3--YV2AHV78o06bZSU</t>
  </si>
  <si>
    <t>https://drive.google.com/file/d/1TBqhtHhSbtMp2s3--YV2AHV78o06bZSU/view?usp=drivesdk</t>
  </si>
  <si>
    <t>RITA HERIANI, S.T.</t>
  </si>
  <si>
    <t>rita.heriani@gmail.com</t>
  </si>
  <si>
    <t>8408</t>
  </si>
  <si>
    <t>1HhaA0HzTizREPnx-FlynNpkKCGU1hXIG</t>
  </si>
  <si>
    <t>https://drive.google.com/file/d/1HhaA0HzTizREPnx-FlynNpkKCGU1hXIG/view?usp=drivesdk</t>
  </si>
  <si>
    <t>Ratna Yunus, S.Si</t>
  </si>
  <si>
    <t>ratnayunus123@gmail.com</t>
  </si>
  <si>
    <t>8409</t>
  </si>
  <si>
    <t>Starting at Thu Aug 29 2024 22:39:52 GMT-0400 (EDT)</t>
  </si>
  <si>
    <t>11bp-emWsJhso-HaHrkWsmGGasQJqdzTU</t>
  </si>
  <si>
    <t>https://drive.google.com/file/d/11bp-emWsJhso-HaHrkWsmGGasQJqdzTU/view?usp=drivesdk</t>
  </si>
  <si>
    <t>MULYANI, ST</t>
  </si>
  <si>
    <t>uminereysha@gmail.com</t>
  </si>
  <si>
    <t>8410</t>
  </si>
  <si>
    <t>1xwvRsB7roFaoYcjXalRM9I8WEwUr3ZZh</t>
  </si>
  <si>
    <t>https://drive.google.com/file/d/1xwvRsB7roFaoYcjXalRM9I8WEwUr3ZZh/view?usp=drivesdk</t>
  </si>
  <si>
    <t>YUYUN TRI YUNIARTI, SS</t>
  </si>
  <si>
    <t>yunpangkat@gmail.com</t>
  </si>
  <si>
    <t>8411</t>
  </si>
  <si>
    <t>1FCqIIRfMzQ7aqGVPHPEojh7sWEM1QQKl</t>
  </si>
  <si>
    <t>https://drive.google.com/file/d/1FCqIIRfMzQ7aqGVPHPEojh7sWEM1QQKl/view?usp=drivesdk</t>
  </si>
  <si>
    <t>NINIK HANDAYANI, Amd. Kep</t>
  </si>
  <si>
    <t>ninox80.nh@gmail.com</t>
  </si>
  <si>
    <t>8412</t>
  </si>
  <si>
    <t>1VVbGVKmmv2mdczEVjHGWIp8p3LnVfaZ7</t>
  </si>
  <si>
    <t>https://drive.google.com/file/d/1VVbGVKmmv2mdczEVjHGWIp8p3LnVfaZ7/view?usp=drivesdk</t>
  </si>
  <si>
    <t>YURNI.S.Pd</t>
  </si>
  <si>
    <t>yurni72@gmail.com</t>
  </si>
  <si>
    <t>8413</t>
  </si>
  <si>
    <t>Starting at Thu Aug 29 2024 22:39:53 GMT-0400 (EDT)</t>
  </si>
  <si>
    <t>1eMpXNoCsHRSbJcs9VXzn7029DwCrn06p</t>
  </si>
  <si>
    <t>https://drive.google.com/file/d/1eMpXNoCsHRSbJcs9VXzn7029DwCrn06p/view?usp=drivesdk</t>
  </si>
  <si>
    <t xml:space="preserve">ELIZABETH </t>
  </si>
  <si>
    <t>e.simangunsong01@gmail.com</t>
  </si>
  <si>
    <t>8414</t>
  </si>
  <si>
    <t>1ZXrqoa7NIGnvL9GrFFL3irRX8g9_T4Zn</t>
  </si>
  <si>
    <t>https://drive.google.com/file/d/1ZXrqoa7NIGnvL9GrFFL3irRX8g9_T4Zn/view?usp=drivesdk</t>
  </si>
  <si>
    <t>munandarbayu@gmail.com</t>
  </si>
  <si>
    <t>8415</t>
  </si>
  <si>
    <t>11rsMu6Wafey1Df0dTPcIiyYUFTv9CRX1</t>
  </si>
  <si>
    <t>https://drive.google.com/file/d/11rsMu6Wafey1Df0dTPcIiyYUFTv9CRX1/view?usp=drivesdk</t>
  </si>
  <si>
    <t>SUURYANTI MATLINA SILALAHI</t>
  </si>
  <si>
    <t>suryanti09silalahi@gmail.com</t>
  </si>
  <si>
    <t>8416</t>
  </si>
  <si>
    <t>1GA8SW8ImYGin9WvpZQnFB4sEdHZwim9n</t>
  </si>
  <si>
    <t>https://drive.google.com/file/d/1GA8SW8ImYGin9WvpZQnFB4sEdHZwim9n/view?usp=drivesdk</t>
  </si>
  <si>
    <t>NURSIANY., S. E., M. M., Ak</t>
  </si>
  <si>
    <t>nu3n.lovely@gmail.com</t>
  </si>
  <si>
    <t>8417</t>
  </si>
  <si>
    <t>Starting at Thu Aug 29 2024 22:39:56 GMT-0400 (EDT)</t>
  </si>
  <si>
    <t>1Tksk79Ev32kY_F0Ytx89u_yTExNbmVWJ</t>
  </si>
  <si>
    <t>https://drive.google.com/file/d/1Tksk79Ev32kY_F0Ytx89u_yTExNbmVWJ/view?usp=drivesdk</t>
  </si>
  <si>
    <t>SRI ARSIH</t>
  </si>
  <si>
    <t>sriarsih18@gmail.com</t>
  </si>
  <si>
    <t>8418</t>
  </si>
  <si>
    <t>1r3MeHj0VTbygA1T3UDg8dbrqqILDm0MQ</t>
  </si>
  <si>
    <t>https://drive.google.com/file/d/1r3MeHj0VTbygA1T3UDg8dbrqqILDm0MQ/view?usp=drivesdk</t>
  </si>
  <si>
    <t>Widi Supriyatno, SH</t>
  </si>
  <si>
    <t>Widisupriyatno31@gmail.com</t>
  </si>
  <si>
    <t>8419</t>
  </si>
  <si>
    <t>145YqOfNQpsZewQ2rdrMKcIsSajbpFReF</t>
  </si>
  <si>
    <t>https://drive.google.com/file/d/145YqOfNQpsZewQ2rdrMKcIsSajbpFReF/view?usp=drivesdk</t>
  </si>
  <si>
    <t>MELAWATI.SAp</t>
  </si>
  <si>
    <t>melazazie14@gmail.com</t>
  </si>
  <si>
    <t>8420</t>
  </si>
  <si>
    <t>Starting at Thu Aug 29 2024 22:40:28 GMT-0400 (EDT)</t>
  </si>
  <si>
    <t>16wmLu1i924qYZDnqGs_qXvIc2yfbZD0e</t>
  </si>
  <si>
    <t>https://drive.google.com/file/d/16wmLu1i924qYZDnqGs_qXvIc2yfbZD0e/view?usp=drivesdk</t>
  </si>
  <si>
    <t>Document successfully created; Document successfully merged; PDF created; !!Error Sending Emails: Service invoked too many times for one day: email.; Run via form trigger as ecertificate75@gmail.com; Timestamp: Sep 5 2024 6:12 AM</t>
  </si>
  <si>
    <t>BAIQ NURSEHAN</t>
  </si>
  <si>
    <t>baiqnursehan@gmail.com</t>
  </si>
  <si>
    <t>8421</t>
  </si>
  <si>
    <t>1-Dm1U8YSCRG0EF3zBfhmeLSb5MDPKNQI</t>
  </si>
  <si>
    <t>https://drive.google.com/file/d/1-Dm1U8YSCRG0EF3zBfhmeLSb5MDPKNQI/view?usp=drivesdk</t>
  </si>
  <si>
    <t xml:space="preserve">MARIATUL AZKIYA </t>
  </si>
  <si>
    <t>mariatulazkia15@gmail.com</t>
  </si>
  <si>
    <t>8422</t>
  </si>
  <si>
    <t>11w5gBhPUkYPyr9zzBI-D0J8TEOfQBBKx</t>
  </si>
  <si>
    <t>https://drive.google.com/file/d/11w5gBhPUkYPyr9zzBI-D0J8TEOfQBBKx/view?usp=drivesdk</t>
  </si>
  <si>
    <t>TRIYONO</t>
  </si>
  <si>
    <t>trya735@gmail.com</t>
  </si>
  <si>
    <t>8423</t>
  </si>
  <si>
    <t>1VEGHASsvcfy0Ux1yR43uiqJLlkVOIOl2</t>
  </si>
  <si>
    <t>https://drive.google.com/file/d/1VEGHASsvcfy0Ux1yR43uiqJLlkVOIOl2/view?usp=drivesdk</t>
  </si>
  <si>
    <t>MUNTAMAH</t>
  </si>
  <si>
    <t>muntamah1968@gmail.com</t>
  </si>
  <si>
    <t>8424</t>
  </si>
  <si>
    <t>1O_YS5rkVwz5lCXAnUCa5nvqm7-ikC095</t>
  </si>
  <si>
    <t>https://drive.google.com/file/d/1O_YS5rkVwz5lCXAnUCa5nvqm7-ikC095/view?usp=drivesdk</t>
  </si>
  <si>
    <t>SUSILAH</t>
  </si>
  <si>
    <t>susiimut77@gmail.com</t>
  </si>
  <si>
    <t>8425</t>
  </si>
  <si>
    <t>Starting at Thu Aug 29 2024 22:40:36 GMT-0400 (EDT)</t>
  </si>
  <si>
    <t>1qBgJFNYFJChK-I7qt0NdBYCL1YI_G4mK</t>
  </si>
  <si>
    <t>https://drive.google.com/file/d/1qBgJFNYFJChK-I7qt0NdBYCL1YI_G4mK/view?usp=drivesdk</t>
  </si>
  <si>
    <t>IMAM GASALI</t>
  </si>
  <si>
    <t>imamgasalisubden3a@gmail.com</t>
  </si>
  <si>
    <t>8426</t>
  </si>
  <si>
    <t>1l837ANu7ata9ezTMn7ycucOEUhNIGrH-</t>
  </si>
  <si>
    <t>https://drive.google.com/file/d/1l837ANu7ata9ezTMn7ycucOEUhNIGrH-/view?usp=drivesdk</t>
  </si>
  <si>
    <t>Document successfully created; Document successfully merged; PDF created; !!Error Sending Emails: Service invoked too many times for one day: email.; Run via form trigger as ecertificate75@gmail.com; Timestamp: Sep 5 2024 6:13 AM</t>
  </si>
  <si>
    <t>Titania Faudi Afifah</t>
  </si>
  <si>
    <t>titaniaafifah2906@gmail.com</t>
  </si>
  <si>
    <t>8427</t>
  </si>
  <si>
    <t>1geRb0xKzOsJkor0UlTxr5gA_UQnNMxoX</t>
  </si>
  <si>
    <t>https://drive.google.com/file/d/1geRb0xKzOsJkor0UlTxr5gA_UQnNMxoX/view?usp=drivesdk</t>
  </si>
  <si>
    <t>KADE NILA KUSUMA DEWI</t>
  </si>
  <si>
    <t>nilakusumadewi8@gmail.com</t>
  </si>
  <si>
    <t>8428</t>
  </si>
  <si>
    <t>1jrP7zIqyqebtj83QwV91lNqrcBYQD0A7</t>
  </si>
  <si>
    <t>https://drive.google.com/file/d/1jrP7zIqyqebtj83QwV91lNqrcBYQD0A7/view?usp=drivesdk</t>
  </si>
  <si>
    <t>FIRDAUS AKHIRNE</t>
  </si>
  <si>
    <t>firdausakhirne@gmail.com</t>
  </si>
  <si>
    <t>8429</t>
  </si>
  <si>
    <t>1jsqvBZZpteMgy1EB-BiOFTdrNNEyC9XR</t>
  </si>
  <si>
    <t>https://drive.google.com/file/d/1jsqvBZZpteMgy1EB-BiOFTdrNNEyC9XR/view?usp=drivesdk</t>
  </si>
  <si>
    <t>Retno Wulan Sari</t>
  </si>
  <si>
    <t>retnokanayaabidzar@gmail.com</t>
  </si>
  <si>
    <t>8430</t>
  </si>
  <si>
    <t>1JyzQOoXXaEFeYYWb3uu91UdKQC6V7M1V</t>
  </si>
  <si>
    <t>https://drive.google.com/file/d/1JyzQOoXXaEFeYYWb3uu91UdKQC6V7M1V/view?usp=drivesdk</t>
  </si>
  <si>
    <t>Document successfully created; Document successfully merged; PDF created; !!Error Sending Emails: Service invoked too many times for one day: email.; Run via form trigger as ecertificate75@gmail.com; Timestamp: Sep 5 2024 6:14 AM</t>
  </si>
  <si>
    <t>TRI WULAN AGUSTINA, A.Md.Kep</t>
  </si>
  <si>
    <t>triwulana@gmail.com</t>
  </si>
  <si>
    <t>8431</t>
  </si>
  <si>
    <t>Starting at Thu Aug 29 2024 22:40:38 GMT-0400 (EDT)</t>
  </si>
  <si>
    <t>1xfC-eNfTL1R-BpGeGnz4oKLLxsAUhqeq</t>
  </si>
  <si>
    <t>https://drive.google.com/file/d/1xfC-eNfTL1R-BpGeGnz4oKLLxsAUhqeq/view?usp=drivesdk</t>
  </si>
  <si>
    <t xml:space="preserve">SRI SURYANTI, SE </t>
  </si>
  <si>
    <t>sri.suryanti1973@gmail.com</t>
  </si>
  <si>
    <t>8432</t>
  </si>
  <si>
    <t>1rF2ELjF6kEtSPCg4h21F3h57va8UcaDH</t>
  </si>
  <si>
    <t>https://drive.google.com/file/d/1rF2ELjF6kEtSPCg4h21F3h57va8UcaDH/view?usp=drivesdk</t>
  </si>
  <si>
    <t>Document successfully created; Document successfully merged; PDF created; !!Error Sending Emails: Service invoked too many times for one day: email.; Run via form trigger as ecertificate75@gmail.com; Timestamp: Sep 5 2024 8:40 AM</t>
  </si>
  <si>
    <t>TEGUH HARTONO Amd. Kep</t>
  </si>
  <si>
    <t>teguh0581@gmail.com</t>
  </si>
  <si>
    <t>8433</t>
  </si>
  <si>
    <t>Starting at Thu Aug 29 2024 22:40:42 GMT-0400 (EDT)</t>
  </si>
  <si>
    <t>1USWJfWUnPhOBPHyd7_6jAOFssOgkRTAG</t>
  </si>
  <si>
    <t>https://drive.google.com/file/d/1USWJfWUnPhOBPHyd7_6jAOFssOgkRTAG/view?usp=drivesdk</t>
  </si>
  <si>
    <t>Document successfully created; Document successfully merged; PDF created; !!Error Sending Emails: Service invoked too many times for one day: email.; Run via form trigger as ecertificate75@gmail.com; Timestamp: Sep 5 2024 8:41 AM</t>
  </si>
  <si>
    <t>ADI KUSUMA, S. Kep. Ners</t>
  </si>
  <si>
    <t>adikusumaa79@gmail.com</t>
  </si>
  <si>
    <t>8434</t>
  </si>
  <si>
    <t>Starting at Thu Aug 29 2024 22:40:45 GMT-0400 (EDT)</t>
  </si>
  <si>
    <t>1e7LIgdVMLx362H8j39abt3UTr07Gljv5</t>
  </si>
  <si>
    <t>https://drive.google.com/file/d/1e7LIgdVMLx362H8j39abt3UTr07Gljv5/view?usp=drivesdk</t>
  </si>
  <si>
    <t>SYARIF HIDAYAT, A.Md.Gz</t>
  </si>
  <si>
    <t>syarifhidayat.kes@gmail.com</t>
  </si>
  <si>
    <t>8435</t>
  </si>
  <si>
    <t>Starting at Thu Aug 29 2024 22:40:48 GMT-0400 (EDT)</t>
  </si>
  <si>
    <t>1gaF0Dem2yo7N5EI63MP_XOwrAtgMUBg-</t>
  </si>
  <si>
    <t>https://drive.google.com/file/d/1gaF0Dem2yo7N5EI63MP_XOwrAtgMUBg-/view?usp=drivesdk</t>
  </si>
  <si>
    <t>MUHAMMAD ZAINURI</t>
  </si>
  <si>
    <t>mzainuri076@gmail.com</t>
  </si>
  <si>
    <t>8436</t>
  </si>
  <si>
    <t>Starting at Thu Aug 29 2024 22:40:49 GMT-0400 (EDT)</t>
  </si>
  <si>
    <t>1m-ro6vtPh9EWmFnxaS6GT2a_36hNY3cd</t>
  </si>
  <si>
    <t>https://drive.google.com/file/d/1m-ro6vtPh9EWmFnxaS6GT2a_36hNY3cd/view?usp=drivesdk</t>
  </si>
  <si>
    <t>DWI ASTUTIK</t>
  </si>
  <si>
    <t>dwiasgondes@gmail.com</t>
  </si>
  <si>
    <t>8437</t>
  </si>
  <si>
    <t>1fzeB5aVfEEo0b8mEvHKJm1ITB_PpxOxj</t>
  </si>
  <si>
    <t>https://drive.google.com/file/d/1fzeB5aVfEEo0b8mEvHKJm1ITB_PpxOxj/view?usp=drivesdk</t>
  </si>
  <si>
    <t>DWI APRILIA FATIMAH</t>
  </si>
  <si>
    <t>aprilia_fatimah@ymail.com</t>
  </si>
  <si>
    <t>8438</t>
  </si>
  <si>
    <t>Starting at Thu Aug 29 2024 22:40:52 GMT-0400 (EDT)</t>
  </si>
  <si>
    <t>1MtbmO4shvQovsJ0BbbkXJmXtufiWnVOH</t>
  </si>
  <si>
    <t>https://drive.google.com/file/d/1MtbmO4shvQovsJ0BbbkXJmXtufiWnVOH/view?usp=drivesdk</t>
  </si>
  <si>
    <t>Document successfully created; Document successfully merged; PDF created; !!Error Sending Emails: Service invoked too many times for one day: email.; Run via form trigger as ecertificate75@gmail.com; Timestamp: Sep 5 2024 8:42 AM</t>
  </si>
  <si>
    <t>RETNO HIDAYATI</t>
  </si>
  <si>
    <t>retnohida14@gmail.com</t>
  </si>
  <si>
    <t>8439</t>
  </si>
  <si>
    <t>Starting at Thu Aug 29 2024 22:41:03 GMT-0400 (EDT)</t>
  </si>
  <si>
    <t>1E3Lgu9MY6wzN16C763E1bPvB_PyvYX7H</t>
  </si>
  <si>
    <t>https://drive.google.com/file/d/1E3Lgu9MY6wzN16C763E1bPvB_PyvYX7H/view?usp=drivesdk</t>
  </si>
  <si>
    <t>LILLIS SITI ROHANAH, SE</t>
  </si>
  <si>
    <t>lilissr84148@gmail.com</t>
  </si>
  <si>
    <t>8440</t>
  </si>
  <si>
    <t>1Utt8R3EQ5lk4JeVP33w0dY9wKyyTMd0L</t>
  </si>
  <si>
    <t>https://drive.google.com/file/d/1Utt8R3EQ5lk4JeVP33w0dY9wKyyTMd0L/view?usp=drivesdk</t>
  </si>
  <si>
    <t>TATI YULIANI</t>
  </si>
  <si>
    <t>thybanten@gmail.com</t>
  </si>
  <si>
    <t>8441</t>
  </si>
  <si>
    <t>Starting at Thu Aug 29 2024 22:41:09 GMT-0400 (EDT)</t>
  </si>
  <si>
    <t>1fq5xv_GKwjL3810BFF1t4RjHo3mTMvG_</t>
  </si>
  <si>
    <t>https://drive.google.com/file/d/1fq5xv_GKwjL3810BFF1t4RjHo3mTMvG_/view?usp=drivesdk</t>
  </si>
  <si>
    <t>EFDALINDA</t>
  </si>
  <si>
    <t>efdalinda1970@gmail.com</t>
  </si>
  <si>
    <t>8442</t>
  </si>
  <si>
    <t>1KEwjTDy7RPJgEylYinhd11PQUoypFfcs</t>
  </si>
  <si>
    <t>https://drive.google.com/file/d/1KEwjTDy7RPJgEylYinhd11PQUoypFfcs/view?usp=drivesdk</t>
  </si>
  <si>
    <t>Hadija Duwila Amd</t>
  </si>
  <si>
    <t>duwilahadija@gmail.com</t>
  </si>
  <si>
    <t>8443</t>
  </si>
  <si>
    <t>Starting at Thu Aug 29 2024 22:41:14 GMT-0400 (EDT)</t>
  </si>
  <si>
    <t>1_sex9KGtmJMNgQzmzVJT_kGt3BeM5nXp</t>
  </si>
  <si>
    <t>https://drive.google.com/file/d/1_sex9KGtmJMNgQzmzVJT_kGt3BeM5nXp/view?usp=drivesdk</t>
  </si>
  <si>
    <t>HASBI, A. Md</t>
  </si>
  <si>
    <t>hasbisaktibingit@gmail.com</t>
  </si>
  <si>
    <t>8444</t>
  </si>
  <si>
    <t>Starting at Thu Aug 29 2024 22:41:17 GMT-0400 (EDT)</t>
  </si>
  <si>
    <t>1AscDMkxOyMyBaFzdcIKa_pTK5JyaJZRt</t>
  </si>
  <si>
    <t>https://drive.google.com/file/d/1AscDMkxOyMyBaFzdcIKa_pTK5JyaJZRt/view?usp=drivesdk</t>
  </si>
  <si>
    <t>Document successfully created; Document successfully merged; PDF created; !!Error Sending Emails: Service invoked too many times for one day: email.; Run via form trigger as ecertificate75@gmail.com; Timestamp: Sep 5 2024 8:43 AM</t>
  </si>
  <si>
    <t xml:space="preserve">SUCI WIDYA ASTUTI </t>
  </si>
  <si>
    <t>soeci.w2.sw@gmail.com</t>
  </si>
  <si>
    <t>8445</t>
  </si>
  <si>
    <t>Starting at Thu Aug 29 2024 22:41:23 GMT-0400 (EDT)</t>
  </si>
  <si>
    <t>1_9PiBvu9fz42b3Ad3zRDbtRyBKMYDkk-</t>
  </si>
  <si>
    <t>https://drive.google.com/file/d/1_9PiBvu9fz42b3Ad3zRDbtRyBKMYDkk-/view?usp=drivesdk</t>
  </si>
  <si>
    <t>NINIT VIVI PARAMITA</t>
  </si>
  <si>
    <t>celobesin@gmail.com</t>
  </si>
  <si>
    <t>8446</t>
  </si>
  <si>
    <t>1WzJa6kUjHQJ3vdiQ5cShG-z3-hf4ipbw</t>
  </si>
  <si>
    <t>https://drive.google.com/file/d/1WzJa6kUjHQJ3vdiQ5cShG-z3-hf4ipbw/view?usp=drivesdk</t>
  </si>
  <si>
    <t>HERAWATI.SM</t>
  </si>
  <si>
    <t>8447</t>
  </si>
  <si>
    <t>Starting at Thu Aug 29 2024 22:41:27 GMT-0400 (EDT)</t>
  </si>
  <si>
    <t>1vuoqr58FfKuBoN8n9Zy70ggY9xDiqU_V</t>
  </si>
  <si>
    <t>https://drive.google.com/file/d/1vuoqr58FfKuBoN8n9Zy70ggY9xDiqU_V/view?usp=drivesdk</t>
  </si>
  <si>
    <t>suryaniaulia1966@gmail.com</t>
  </si>
  <si>
    <t>8448</t>
  </si>
  <si>
    <t>1i24r0gHRALqZzFFH-ZYE8VLNop82FkV2</t>
  </si>
  <si>
    <t>https://drive.google.com/file/d/1i24r0gHRALqZzFFH-ZYE8VLNop82FkV2/view?usp=drivesdk</t>
  </si>
  <si>
    <t>TRI OKTIGUSTINA, A.Md.Kep</t>
  </si>
  <si>
    <t>trioktigustina88@gmail.com</t>
  </si>
  <si>
    <t>8449</t>
  </si>
  <si>
    <t>Starting at Thu Aug 29 2024 22:41:36 GMT-0400 (EDT)</t>
  </si>
  <si>
    <t>1TJVLle1CpHI6aq4H1V3Homxpbj-e0iLo</t>
  </si>
  <si>
    <t>https://drive.google.com/file/d/1TJVLle1CpHI6aq4H1V3Homxpbj-e0iLo/view?usp=drivesdk</t>
  </si>
  <si>
    <t>Document successfully created; Document successfully merged; PDF created; !!Error Sending Emails: Service invoked too many times for one day: email.; Run via form trigger as ecertificate75@gmail.com; Timestamp: Sep 5 2024 8:44 AM</t>
  </si>
  <si>
    <t>RATIH PARLINA, SM</t>
  </si>
  <si>
    <t>ratihparlina@gmail.com</t>
  </si>
  <si>
    <t>8450</t>
  </si>
  <si>
    <t>Starting at Thu Aug 29 2024 22:41:39 GMT-0400 (EDT)</t>
  </si>
  <si>
    <t>1zsmM1BP2ypNzsTEJQ1ywehFN9Gbg696p</t>
  </si>
  <si>
    <t>https://drive.google.com/file/d/1zsmM1BP2ypNzsTEJQ1ywehFN9Gbg696p/view?usp=drivesdk</t>
  </si>
  <si>
    <t>ELFRIDA SIJABAT, SKM</t>
  </si>
  <si>
    <t>8451</t>
  </si>
  <si>
    <t>Starting at Thu Aug 29 2024 22:41:55 GMT-0400 (EDT)</t>
  </si>
  <si>
    <t>132Mgtqy4BQXPHHUzWUlTPwQORRUMlFJ1</t>
  </si>
  <si>
    <t>https://drive.google.com/file/d/132Mgtqy4BQXPHHUzWUlTPwQORRUMlFJ1/view?usp=drivesdk</t>
  </si>
  <si>
    <t>HENY WIJAYANTI S.E</t>
  </si>
  <si>
    <t>henywijayanti67@gmail.com</t>
  </si>
  <si>
    <t>8452</t>
  </si>
  <si>
    <t>1lK94ZJf1G4dtiWCO-FcJZE5ERYRTgPbk</t>
  </si>
  <si>
    <t>https://drive.google.com/file/d/1lK94ZJf1G4dtiWCO-FcJZE5ERYRTgPbk/view?usp=drivesdk</t>
  </si>
  <si>
    <t>MAPPIARE</t>
  </si>
  <si>
    <t>uuppi9386@gmail.com</t>
  </si>
  <si>
    <t>8453</t>
  </si>
  <si>
    <t>1WxKZKQmv1-jnuERHq3JU_PZCRM2-eiFX</t>
  </si>
  <si>
    <t>https://drive.google.com/file/d/1WxKZKQmv1-jnuERHq3JU_PZCRM2-eiFX/view?usp=drivesdk</t>
  </si>
  <si>
    <t>Document successfully created; Document successfully merged; PDF created; !!Error Sending Emails: Service invoked too many times for one day: email.; Run via form trigger as ecertificate75@gmail.com; Timestamp: Sep 5 2024 10:58 AM</t>
  </si>
  <si>
    <t>RUSLI MARKUS</t>
  </si>
  <si>
    <t>ruslimarkus79@gmail.com</t>
  </si>
  <si>
    <t>8454</t>
  </si>
  <si>
    <t>1JyaecfbzOvYea8-7M0qsFZJXXVqWOGCg</t>
  </si>
  <si>
    <t>https://drive.google.com/file/d/1JyaecfbzOvYea8-7M0qsFZJXXVqWOGCg/view?usp=drivesdk</t>
  </si>
  <si>
    <t>HARIS WIYOKO, S.Kom</t>
  </si>
  <si>
    <t>7kanghar@gmail.com</t>
  </si>
  <si>
    <t>8455</t>
  </si>
  <si>
    <t>18wmGtId0ZT1-gh97RsgsQ0xElgPGBwCL</t>
  </si>
  <si>
    <t>https://drive.google.com/file/d/18wmGtId0ZT1-gh97RsgsQ0xElgPGBwCL/view?usp=drivesdk</t>
  </si>
  <si>
    <t>Document successfully created; Document successfully merged; PDF created; !!Error Sending Emails: Service invoked too many times for one day: email.; Run via form trigger as ecertificate75@gmail.com; Timestamp: Sep 5 2024 10:59 AM</t>
  </si>
  <si>
    <t>LENI PUSPAWATI</t>
  </si>
  <si>
    <t>lenipuspawati77@gmail.com</t>
  </si>
  <si>
    <t>8456</t>
  </si>
  <si>
    <t>1ypvnp7gKwdXn3MO7mVwUcgnMG5LnYYog</t>
  </si>
  <si>
    <t>https://drive.google.com/file/d/1ypvnp7gKwdXn3MO7mVwUcgnMG5LnYYog/view?usp=drivesdk</t>
  </si>
  <si>
    <t>MUHAMAD SUDIRMAN</t>
  </si>
  <si>
    <t>sudirman_sudi16@yahoo.com</t>
  </si>
  <si>
    <t>8457</t>
  </si>
  <si>
    <t>12S9v_nQLYptA-Ma7NgOkE4nLZ0e2S5dG</t>
  </si>
  <si>
    <t>https://drive.google.com/file/d/12S9v_nQLYptA-Ma7NgOkE4nLZ0e2S5dG/view?usp=drivesdk</t>
  </si>
  <si>
    <t>basuki7074@gmail.com</t>
  </si>
  <si>
    <t>8458</t>
  </si>
  <si>
    <t>Starting at Thu Aug 29 2024 22:42:03 GMT-0400 (EDT)</t>
  </si>
  <si>
    <t>1uXk3G8psb06AYA_wfr-IQBWYjJlOgXl8</t>
  </si>
  <si>
    <t>https://drive.google.com/file/d/1uXk3G8psb06AYA_wfr-IQBWYjJlOgXl8/view?usp=drivesdk</t>
  </si>
  <si>
    <t>SYAHRI BULAN. W</t>
  </si>
  <si>
    <t>idawafirbone@gmail.com</t>
  </si>
  <si>
    <t>8459</t>
  </si>
  <si>
    <t>1A1xpOHBTFcHKtnyjHIFV61QdChYZjlmh</t>
  </si>
  <si>
    <t>https://drive.google.com/file/d/1A1xpOHBTFcHKtnyjHIFV61QdChYZjlmh/view?usp=drivesdk</t>
  </si>
  <si>
    <t>SAULINA HUTASOIT SKM</t>
  </si>
  <si>
    <t>saulinahut123@gmail.com</t>
  </si>
  <si>
    <t>8460</t>
  </si>
  <si>
    <t>Starting at Thu Aug 29 2024 22:42:29 GMT-0400 (EDT)</t>
  </si>
  <si>
    <t>1AO-9eAHnoL39FEdyzTTF7GXVzNYcvHiW</t>
  </si>
  <si>
    <t>https://drive.google.com/file/d/1AO-9eAHnoL39FEdyzTTF7GXVzNYcvHiW/view?usp=drivesdk</t>
  </si>
  <si>
    <t>FADLAN</t>
  </si>
  <si>
    <t>ajofadlan1@gmail.com</t>
  </si>
  <si>
    <t>8461</t>
  </si>
  <si>
    <t>1J-GinPgWnlx9VQ6AaFSVU8smnEQXXQtY</t>
  </si>
  <si>
    <t>https://drive.google.com/file/d/1J-GinPgWnlx9VQ6AaFSVU8smnEQXXQtY/view?usp=drivesdk</t>
  </si>
  <si>
    <t>Shantie Srie Widowatie, S.S., M.Hum., M.Lit.</t>
  </si>
  <si>
    <t>shantiesw@gmail.com</t>
  </si>
  <si>
    <t>8462</t>
  </si>
  <si>
    <t>1vKwVw_McnI8eRs15pmUuBSKq1YvliWtA</t>
  </si>
  <si>
    <t>https://drive.google.com/file/d/1vKwVw_McnI8eRs15pmUuBSKq1YvliWtA/view?usp=drivesdk</t>
  </si>
  <si>
    <t>drg. NURUL NUFITRIJANI SUKARJA</t>
  </si>
  <si>
    <t>nurulnufitrijanis@gmail.com</t>
  </si>
  <si>
    <t>8463</t>
  </si>
  <si>
    <t>1AuO7mfig5TGIILC8oC2H19em4RVA7MoF</t>
  </si>
  <si>
    <t>https://drive.google.com/file/d/1AuO7mfig5TGIILC8oC2H19em4RVA7MoF/view?usp=drivesdk</t>
  </si>
  <si>
    <t>HAMIDAH NUR AJIZAH, A. Md. Rad</t>
  </si>
  <si>
    <t>hamidahajizah@gmail.com</t>
  </si>
  <si>
    <t>8464</t>
  </si>
  <si>
    <t>17Nh3NSFLDDf3hjSTum0Yd_iWg5ddNoyJ</t>
  </si>
  <si>
    <t>https://drive.google.com/file/d/17Nh3NSFLDDf3hjSTum0Yd_iWg5ddNoyJ/view?usp=drivesdk</t>
  </si>
  <si>
    <t>SUBAIDA</t>
  </si>
  <si>
    <t>subaidaaja08@gmail.com</t>
  </si>
  <si>
    <t>8465</t>
  </si>
  <si>
    <t>11kOCYaEwqfvVKlQDJ3N6wm4AhQux4Fze</t>
  </si>
  <si>
    <t>https://drive.google.com/file/d/11kOCYaEwqfvVKlQDJ3N6wm4AhQux4Fze/view?usp=drivesdk</t>
  </si>
  <si>
    <t xml:space="preserve">Nur Badrul Zaman </t>
  </si>
  <si>
    <t>badrul.sespim@gmail.com</t>
  </si>
  <si>
    <t>8466</t>
  </si>
  <si>
    <t>1cjZ1HynPZOd3g9jYdCLHw3inAcj9V4ZF</t>
  </si>
  <si>
    <t>https://drive.google.com/file/d/1cjZ1HynPZOd3g9jYdCLHw3inAcj9V4ZF/view?usp=drivesdk</t>
  </si>
  <si>
    <t>Apt. TITIN NURHAYATI, SFarm</t>
  </si>
  <si>
    <t>nurhayatititin1@gmail.com</t>
  </si>
  <si>
    <t>8467</t>
  </si>
  <si>
    <t>1Q4hz8QQivzJ7p2bKtWyFGVxnT8hdIxHG</t>
  </si>
  <si>
    <t>https://drive.google.com/file/d/1Q4hz8QQivzJ7p2bKtWyFGVxnT8hdIxHG/view?usp=drivesdk</t>
  </si>
  <si>
    <t>UNTUNG PRIYONO</t>
  </si>
  <si>
    <t>untungpriyono1124@gmail.com</t>
  </si>
  <si>
    <t>8468</t>
  </si>
  <si>
    <t>1onbmi1IzZDeLBhBrDObE-2-dCqIUI4N9</t>
  </si>
  <si>
    <t>https://drive.google.com/file/d/1onbmi1IzZDeLBhBrDObE-2-dCqIUI4N9/view?usp=drivesdk</t>
  </si>
  <si>
    <t>MARDIATI</t>
  </si>
  <si>
    <t>diahnofiandidiah@gmail.com</t>
  </si>
  <si>
    <t>8469</t>
  </si>
  <si>
    <t>1keWFaY2_vrbVY_vRKWvmPpV0CIKj8PCV</t>
  </si>
  <si>
    <t>https://drive.google.com/file/d/1keWFaY2_vrbVY_vRKWvmPpV0CIKj8PCV/view?usp=drivesdk</t>
  </si>
  <si>
    <t>AGUS WIDODO</t>
  </si>
  <si>
    <t>a.widodoanindya@gmail.com</t>
  </si>
  <si>
    <t>8470</t>
  </si>
  <si>
    <t>Starting at Thu Aug 29 2024 22:42:34 GMT-0400 (EDT)</t>
  </si>
  <si>
    <t>1an2u7MKZCOB6M-xDBKjRegV3uUvCjSaL</t>
  </si>
  <si>
    <t>https://drive.google.com/file/d/1an2u7MKZCOB6M-xDBKjRegV3uUvCjSaL/view?usp=drivesdk</t>
  </si>
  <si>
    <t>SUKANDI DAMANIK, A.Md</t>
  </si>
  <si>
    <t>damanik.sukandi@yahoo.co.id</t>
  </si>
  <si>
    <t>8471</t>
  </si>
  <si>
    <t>Starting at Thu Aug 29 2024 22:42:37 GMT-0400 (EDT)</t>
  </si>
  <si>
    <t>1LGDEqMGun528TysP96wuAjfzQQApoDP3</t>
  </si>
  <si>
    <t>https://drive.google.com/file/d/1LGDEqMGun528TysP96wuAjfzQQApoDP3/view?usp=drivesdk</t>
  </si>
  <si>
    <t>AGUS MULYONO ABI</t>
  </si>
  <si>
    <t>abiagusmulyono@gmail.com</t>
  </si>
  <si>
    <t>8472</t>
  </si>
  <si>
    <t>Starting at Thu Aug 29 2024 22:42:38 GMT-0400 (EDT)</t>
  </si>
  <si>
    <t>1nOz8Mz5iKnTs1oqe7Dzd1CGOFzjJ5OoZ</t>
  </si>
  <si>
    <t>https://drive.google.com/file/d/1nOz8Mz5iKnTs1oqe7Dzd1CGOFzjJ5OoZ/view?usp=drivesdk</t>
  </si>
  <si>
    <t>GATOT SISWADI</t>
  </si>
  <si>
    <t>gsiswadi@gmail.com</t>
  </si>
  <si>
    <t>8473</t>
  </si>
  <si>
    <t>Starting at Thu Aug 29 2024 22:42:46 GMT-0400 (EDT)</t>
  </si>
  <si>
    <t>1VPEzw2RsZHp3YZCCBHsOVj07AMsVzKEo</t>
  </si>
  <si>
    <t>https://drive.google.com/file/d/1VPEzw2RsZHp3YZCCBHsOVj07AMsVzKEo/view?usp=drivesdk</t>
  </si>
  <si>
    <t>PORTEN WERESTY</t>
  </si>
  <si>
    <t>portenweresty@gmail.com</t>
  </si>
  <si>
    <t>8474</t>
  </si>
  <si>
    <t>1Wpe6Hk1zepw_bDzffrLxVdxDiGq_iWFL</t>
  </si>
  <si>
    <t>https://drive.google.com/file/d/1Wpe6Hk1zepw_bDzffrLxVdxDiGq_iWFL/view?usp=drivesdk</t>
  </si>
  <si>
    <t>RISNAWATI LARODDING</t>
  </si>
  <si>
    <t>risnamalia85@gmail.com</t>
  </si>
  <si>
    <t>8475</t>
  </si>
  <si>
    <t>1oS_cUq8Z6w2L9Jya_sypb_9U0WALe_YG</t>
  </si>
  <si>
    <t>https://drive.google.com/file/d/1oS_cUq8Z6w2L9Jya_sypb_9U0WALe_YG/view?usp=drivesdk</t>
  </si>
  <si>
    <t>IKE MARDIYATI</t>
  </si>
  <si>
    <t>fadhillathief@gmail.com</t>
  </si>
  <si>
    <t>8476</t>
  </si>
  <si>
    <t>1HEQJv7qXTkBi6nTiym27m-XYSMqOnI7d</t>
  </si>
  <si>
    <t>https://drive.google.com/file/d/1HEQJv7qXTkBi6nTiym27m-XYSMqOnI7d/view?usp=drivesdk</t>
  </si>
  <si>
    <t xml:space="preserve">ISTI YUNITA </t>
  </si>
  <si>
    <t>istiyunita2284@gmail.com</t>
  </si>
  <si>
    <t>8477</t>
  </si>
  <si>
    <t>1OS5N9OaW5ehYOB5y8JyQTK_-h6osO65F</t>
  </si>
  <si>
    <t>https://drive.google.com/file/d/1OS5N9OaW5ehYOB5y8JyQTK_-h6osO65F/view?usp=drivesdk</t>
  </si>
  <si>
    <t>KUSUMA WIJAYA, S.KOM. M.M.</t>
  </si>
  <si>
    <t>kusumawijaya2013@gmail.com</t>
  </si>
  <si>
    <t>8478</t>
  </si>
  <si>
    <t>Starting at Thu Aug 29 2024 22:42:52 GMT-0400 (EDT)</t>
  </si>
  <si>
    <t>1YlLCiqi48KkipxBGUBy_ZefJDQ6HkCYC</t>
  </si>
  <si>
    <t>https://drive.google.com/file/d/1YlLCiqi48KkipxBGUBy_ZefJDQ6HkCYC/view?usp=drivesdk</t>
  </si>
  <si>
    <t>WIDODO BUDIDARMA</t>
  </si>
  <si>
    <t>dodokirana182@gmail.com</t>
  </si>
  <si>
    <t>8479</t>
  </si>
  <si>
    <t>Starting at Thu Aug 29 2024 22:42:56 GMT-0400 (EDT)</t>
  </si>
  <si>
    <t>1IfRLhgCW_pmx2-HSL0w93OaHEbEp04wz</t>
  </si>
  <si>
    <t>https://drive.google.com/file/d/1IfRLhgCW_pmx2-HSL0w93OaHEbEp04wz/view?usp=drivesdk</t>
  </si>
  <si>
    <t>NI MADE WIDIANTARI</t>
  </si>
  <si>
    <t>mdwidiantari70@gmail.com</t>
  </si>
  <si>
    <t>8480</t>
  </si>
  <si>
    <t>Starting at Thu Aug 29 2024 22:43:00 GMT-0400 (EDT)</t>
  </si>
  <si>
    <t>1zQ2-Q0-JTLv8atnPowJ7GCdYe1MMspYM</t>
  </si>
  <si>
    <t>https://drive.google.com/file/d/1zQ2-Q0-JTLv8atnPowJ7GCdYe1MMspYM/view?usp=drivesdk</t>
  </si>
  <si>
    <t>Document successfully created; Document successfully merged; PDF created; !!Error Sending Emails: Service invoked too many times for one day: email.; Run via form trigger as ecertificate75@gmail.com; Timestamp: Sep 5 2024 11:00 AM</t>
  </si>
  <si>
    <t>GANCAR TRI WICAKSONO</t>
  </si>
  <si>
    <t>ganca.side@gmail.com</t>
  </si>
  <si>
    <t>8481</t>
  </si>
  <si>
    <t>1LvpbGxNFSZizOSJxgRam4KJTbf1xUZBx</t>
  </si>
  <si>
    <t>https://drive.google.com/file/d/1LvpbGxNFSZizOSJxgRam4KJTbf1xUZBx/view?usp=drivesdk</t>
  </si>
  <si>
    <t>MISMARINA,S.Kep</t>
  </si>
  <si>
    <t>rinamisma78@gmail.com</t>
  </si>
  <si>
    <t>8482</t>
  </si>
  <si>
    <t>Starting at Thu Aug 29 2024 22:43:02 GMT-0400 (EDT)</t>
  </si>
  <si>
    <t>1e3AIUmb7mdC2pWut3UXrM4RIqyjjaE39</t>
  </si>
  <si>
    <t>https://drive.google.com/file/d/1e3AIUmb7mdC2pWut3UXrM4RIqyjjaE39/view?usp=drivesdk</t>
  </si>
  <si>
    <t>EKO YUDHI WIBIYANTO, SE</t>
  </si>
  <si>
    <t>yudhieazka@gmail.com</t>
  </si>
  <si>
    <t>8483</t>
  </si>
  <si>
    <t>1TnhI7ZCeDlQ8EIPV18Ka2nhQlCGxS5h1</t>
  </si>
  <si>
    <t>https://drive.google.com/file/d/1TnhI7ZCeDlQ8EIPV18Ka2nhQlCGxS5h1/view?usp=drivesdk</t>
  </si>
  <si>
    <t xml:space="preserve">DYAH KURNIATI </t>
  </si>
  <si>
    <t>raradyva2016@gmail.com</t>
  </si>
  <si>
    <t>8484</t>
  </si>
  <si>
    <t>Starting at Thu Aug 29 2024 22:43:05 GMT-0400 (EDT)</t>
  </si>
  <si>
    <t>1cLezxOajUbPttvy0x2yvyLHju6Yfq01q</t>
  </si>
  <si>
    <t>https://drive.google.com/file/d/1cLezxOajUbPttvy0x2yvyLHju6Yfq01q/view?usp=drivesdk</t>
  </si>
  <si>
    <t>Document successfully created; Document successfully merged; PDF created; !!Error Sending Emails: Service invoked too many times for one day: email.; Run via form trigger as ecertificate75@gmail.com; Timestamp: Sep 5 2024 11:01 AM</t>
  </si>
  <si>
    <t>GIANTODI SUNOKA, S.H., M.H.</t>
  </si>
  <si>
    <t>sunokazz@gmail.com</t>
  </si>
  <si>
    <t>8485</t>
  </si>
  <si>
    <t>Starting at Thu Aug 29 2024 22:43:11 GMT-0400 (EDT)</t>
  </si>
  <si>
    <t>17RisLCbK7k9iuRtlpud0AEQZtMJev-l_</t>
  </si>
  <si>
    <t>https://drive.google.com/file/d/17RisLCbK7k9iuRtlpud0AEQZtMJev-l_/view?usp=drivesdk</t>
  </si>
  <si>
    <t>tosiswabto357@gmail.com</t>
  </si>
  <si>
    <t>8486</t>
  </si>
  <si>
    <t>1TB5KnV1uv0BDXablRQn6U5cVNrIYZcqV</t>
  </si>
  <si>
    <t>https://drive.google.com/file/d/1TB5KnV1uv0BDXablRQn6U5cVNrIYZcqV/view?usp=drivesdk</t>
  </si>
  <si>
    <t>dr. Marta Puji Lestari</t>
  </si>
  <si>
    <t>martapuji87@gmail.com</t>
  </si>
  <si>
    <t>8487</t>
  </si>
  <si>
    <t>Starting at Thu Aug 29 2024 22:43:13 GMT-0400 (EDT)</t>
  </si>
  <si>
    <t>1ps3Vd2nkXyvfA4nGFkBeQtOlNcz46OGL</t>
  </si>
  <si>
    <t>https://drive.google.com/file/d/1ps3Vd2nkXyvfA4nGFkBeQtOlNcz46OGL/view?usp=drivesdk</t>
  </si>
  <si>
    <t>MUHAMMAD ARIFUDDIN</t>
  </si>
  <si>
    <t>ariefff.86@gmail.com</t>
  </si>
  <si>
    <t>8488</t>
  </si>
  <si>
    <t>Starting at Thu Aug 29 2024 22:43:15 GMT-0400 (EDT)</t>
  </si>
  <si>
    <t>1mH-FrLzz4vfj4ijro6VhWZa6R4meK2cN</t>
  </si>
  <si>
    <t>https://drive.google.com/file/d/1mH-FrLzz4vfj4ijro6VhWZa6R4meK2cN/view?usp=drivesdk</t>
  </si>
  <si>
    <t>RIKA PURWATI RIKA LUMBAN BATU S.Kom</t>
  </si>
  <si>
    <t>purwatirika26@gmail.com</t>
  </si>
  <si>
    <t>8489</t>
  </si>
  <si>
    <t>Starting at Thu Aug 29 2024 22:43:20 GMT-0400 (EDT)</t>
  </si>
  <si>
    <t>1dUE1mvgutz15XESHclM5IXjhm_J7FQnT</t>
  </si>
  <si>
    <t>https://drive.google.com/file/d/1dUE1mvgutz15XESHclM5IXjhm_J7FQnT/view?usp=drivesdk</t>
  </si>
  <si>
    <t>Document successfully created; Document successfully merged; PDF created; !!Error Sending Emails: Service invoked too many times for one day: email.; Run via form trigger as ecertificate75@gmail.com; Timestamp: Sep 5 2024 11:02 AM</t>
  </si>
  <si>
    <t>ARFIAN, S.E., M.E.</t>
  </si>
  <si>
    <t>arfianharumi@gmail.com</t>
  </si>
  <si>
    <t>8490</t>
  </si>
  <si>
    <t>1v6klET68sSCG5WHTsvI24kE9wG3KjXVF</t>
  </si>
  <si>
    <t>https://drive.google.com/file/d/1v6klET68sSCG5WHTsvI24kE9wG3KjXVF/view?usp=drivesdk</t>
  </si>
  <si>
    <t xml:space="preserve">KRIS WAHYUDI </t>
  </si>
  <si>
    <t>kriswahyudi2006@gmail.com</t>
  </si>
  <si>
    <t>8491</t>
  </si>
  <si>
    <t>Starting at Thu Aug 29 2024 22:43:22 GMT-0400 (EDT)</t>
  </si>
  <si>
    <t>1i36GpwMPWBqkuPhpRFDYyuUZP6AUpFqy</t>
  </si>
  <si>
    <t>https://drive.google.com/file/d/1i36GpwMPWBqkuPhpRFDYyuUZP6AUpFqy/view?usp=drivesdk</t>
  </si>
  <si>
    <t xml:space="preserve">ST.KALSUM </t>
  </si>
  <si>
    <t>Kalsum10041972@gmail.com</t>
  </si>
  <si>
    <t>8492</t>
  </si>
  <si>
    <t>1su193XB9zkWdG5yJ6S1A2KiLXq3ZO0nb</t>
  </si>
  <si>
    <t>https://drive.google.com/file/d/1su193XB9zkWdG5yJ6S1A2KiLXq3ZO0nb/view?usp=drivesdk</t>
  </si>
  <si>
    <t>SITARMIN</t>
  </si>
  <si>
    <t>samuelkuncoro207@gmail.com</t>
  </si>
  <si>
    <t>8493</t>
  </si>
  <si>
    <t>Starting at Thu Aug 29 2024 22:43:27 GMT-0400 (EDT)</t>
  </si>
  <si>
    <t>1cTfa17ixHaoRWAK5xTnfv9MaRCa0vPHq</t>
  </si>
  <si>
    <t>https://drive.google.com/file/d/1cTfa17ixHaoRWAK5xTnfv9MaRCa0vPHq/view?usp=drivesdk</t>
  </si>
  <si>
    <t>Document successfully created; Document successfully merged; PDF created; !!Error Sending Emails: Service invoked too many times for one day: email.; Run via form trigger as ecertificate75@gmail.com; Timestamp: Sep 5 2024 11:42 AM</t>
  </si>
  <si>
    <t>ALAMSYAH AHEM</t>
  </si>
  <si>
    <t>alamsyah.ahem73@gmail.com</t>
  </si>
  <si>
    <t>8494</t>
  </si>
  <si>
    <t>1LWBE5ADE1uMnqPJu6Bs9WKpY6CLF8Ohg</t>
  </si>
  <si>
    <t>https://drive.google.com/file/d/1LWBE5ADE1uMnqPJu6Bs9WKpY6CLF8Ohg/view?usp=drivesdk</t>
  </si>
  <si>
    <t xml:space="preserve">TRIO MARIA ATMIATI </t>
  </si>
  <si>
    <t>mariaatmiati74@gmail.com</t>
  </si>
  <si>
    <t>8495</t>
  </si>
  <si>
    <t>1X4Ar3MoWynBbiqzL4AigYksrNToQtdCj</t>
  </si>
  <si>
    <t>https://drive.google.com/file/d/1X4Ar3MoWynBbiqzL4AigYksrNToQtdCj/view?usp=drivesdk</t>
  </si>
  <si>
    <t>Document successfully created; Document successfully merged; PDF created; !!Error Sending Emails: Service invoked too many times for one day: email.; Run via form trigger as ecertificate75@gmail.com; Timestamp: Sep 5 2024 11:43 AM</t>
  </si>
  <si>
    <t>NI KETUT RENGKI</t>
  </si>
  <si>
    <t>ketutrengki@gmail.com</t>
  </si>
  <si>
    <t>8496</t>
  </si>
  <si>
    <t>1IrUBzqnUAQQVag7H5BWxLLtRoyktacJv</t>
  </si>
  <si>
    <t>https://drive.google.com/file/d/1IrUBzqnUAQQVag7H5BWxLLtRoyktacJv/view?usp=drivesdk</t>
  </si>
  <si>
    <t>MUKOWIMAH, Amd. Kep, SKM</t>
  </si>
  <si>
    <t>kemal.kamil01@gmail.com</t>
  </si>
  <si>
    <t>8497</t>
  </si>
  <si>
    <t>Starting at Thu Aug 29 2024 22:43:29 GMT-0400 (EDT)</t>
  </si>
  <si>
    <t>1nz6fn_fK4XqH_CZnAhh19nR9tjTZFBIU</t>
  </si>
  <si>
    <t>https://drive.google.com/file/d/1nz6fn_fK4XqH_CZnAhh19nR9tjTZFBIU/view?usp=drivesdk</t>
  </si>
  <si>
    <t xml:space="preserve">DUDUN KARNAWIJAYA </t>
  </si>
  <si>
    <t>dudunkarnawijaya@gmail.com</t>
  </si>
  <si>
    <t>8498</t>
  </si>
  <si>
    <t>Starting at Thu Aug 29 2024 22:43:31 GMT-0400 (EDT)</t>
  </si>
  <si>
    <t>1uDYVTU23vgJ6jJ7D0GIJZZ5ZP9HpWG8x</t>
  </si>
  <si>
    <t>https://drive.google.com/file/d/1uDYVTU23vgJ6jJ7D0GIJZZ5ZP9HpWG8x/view?usp=drivesdk</t>
  </si>
  <si>
    <t>TITI SULASTRI, S.SOS.</t>
  </si>
  <si>
    <t>henrymakagiantang@gmail.com</t>
  </si>
  <si>
    <t>8499</t>
  </si>
  <si>
    <t>Starting at Thu Aug 29 2024 22:43:39 GMT-0400 (EDT)</t>
  </si>
  <si>
    <t>1vQfXKAdVdReYbkEUaowBIbX_pCeYsk6X</t>
  </si>
  <si>
    <t>https://drive.google.com/file/d/1vQfXKAdVdReYbkEUaowBIbX_pCeYsk6X/view?usp=drivesdk</t>
  </si>
  <si>
    <t>Document successfully created; Document successfully merged; PDF created; !!Error Sending Emails: Service invoked too many times for one day: email.; Run via form trigger as ecertificate75@gmail.com; Timestamp: Sep 5 2024 11:44 AM</t>
  </si>
  <si>
    <t xml:space="preserve">SYAIFUL </t>
  </si>
  <si>
    <t>syaifulkoto75@gmail.com</t>
  </si>
  <si>
    <t>8500</t>
  </si>
  <si>
    <t>1VhgrsXZ0W4y_01I8Em7RtQJ_0C9I62uu</t>
  </si>
  <si>
    <t>https://drive.google.com/file/d/1VhgrsXZ0W4y_01I8Em7RtQJ_0C9I62uu/view?usp=drivesdk</t>
  </si>
  <si>
    <t>MELINDA BUDIARTI</t>
  </si>
  <si>
    <t>melindaabudiarti@gmail.com</t>
  </si>
  <si>
    <t>8501</t>
  </si>
  <si>
    <t>Starting at Thu Aug 29 2024 22:43:42 GMT-0400 (EDT)</t>
  </si>
  <si>
    <t>1NwsgyUFEZyRCoGd91A20Jfjq1dptitGw</t>
  </si>
  <si>
    <t>https://drive.google.com/file/d/1NwsgyUFEZyRCoGd91A20Jfjq1dptitGw/view?usp=drivesdk</t>
  </si>
  <si>
    <t xml:space="preserve">LENNY HANDAYANI </t>
  </si>
  <si>
    <t>lennypraya@gmail.com</t>
  </si>
  <si>
    <t>8502</t>
  </si>
  <si>
    <t>1SPt8aCnvfH3lPg3xKPZt8HMIUWUPlaZt</t>
  </si>
  <si>
    <t>https://drive.google.com/file/d/1SPt8aCnvfH3lPg3xKPZt8HMIUWUPlaZt/view?usp=drivesdk</t>
  </si>
  <si>
    <t>SUSI NOVI ANDRIYANI, S.E.</t>
  </si>
  <si>
    <t>mpiesweeth@gmail.com</t>
  </si>
  <si>
    <t>8503</t>
  </si>
  <si>
    <t>Starting at Thu Aug 29 2024 22:43:46 GMT-0400 (EDT)</t>
  </si>
  <si>
    <t>1Ynh02ZrHcYYfIGwMc9JubBzihY2mQQwP</t>
  </si>
  <si>
    <t>https://drive.google.com/file/d/1Ynh02ZrHcYYfIGwMc9JubBzihY2mQQwP/view?usp=drivesdk</t>
  </si>
  <si>
    <t>Document successfully created; Document successfully merged; PDF created; !!Error Sending Emails: Service invoked too many times for one day: email.; Run via form trigger as ecertificate75@gmail.com; Timestamp: Sep 5 2024 11:45 AM</t>
  </si>
  <si>
    <t>MUCHAMAD NURYANTO, S.E.</t>
  </si>
  <si>
    <t>nuryanto1218@gmail.com</t>
  </si>
  <si>
    <t>8504</t>
  </si>
  <si>
    <t>1oVy2XmdULyoTeWzM1UvaAOau7n_O3u57</t>
  </si>
  <si>
    <t>https://drive.google.com/file/d/1oVy2XmdULyoTeWzM1UvaAOau7n_O3u57/view?usp=drivesdk</t>
  </si>
  <si>
    <t>FAJAR ISTIONO, S.T</t>
  </si>
  <si>
    <t>istiono26@gmail.com</t>
  </si>
  <si>
    <t>8505</t>
  </si>
  <si>
    <t>1nIyDS9UHkpB5jqTmc3OUPIK6-_WvQAZB</t>
  </si>
  <si>
    <t>https://drive.google.com/file/d/1nIyDS9UHkpB5jqTmc3OUPIK6-_WvQAZB/view?usp=drivesdk</t>
  </si>
  <si>
    <t>MAMAY AMALIA</t>
  </si>
  <si>
    <t>rifaibagus@yahoo.com</t>
  </si>
  <si>
    <t>8506</t>
  </si>
  <si>
    <t>Starting at Thu Aug 29 2024 22:43:48 GMT-0400 (EDT)</t>
  </si>
  <si>
    <t>1Cqc4U7X9QWDLmtSA3H9JFHAjNxfs9nmJ</t>
  </si>
  <si>
    <t>https://drive.google.com/file/d/1Cqc4U7X9QWDLmtSA3H9JFHAjNxfs9nmJ/view?usp=drivesdk</t>
  </si>
  <si>
    <t>DR PRISKILA KRISTIAWAN</t>
  </si>
  <si>
    <t>priskilakristiawan@ymail.com</t>
  </si>
  <si>
    <t>8507</t>
  </si>
  <si>
    <t>1bKXVlKajtRMuHWjuNFa_eV9t-nJj_GCz</t>
  </si>
  <si>
    <t>https://drive.google.com/file/d/1bKXVlKajtRMuHWjuNFa_eV9t-nJj_GCz/view?usp=drivesdk</t>
  </si>
  <si>
    <t>Document successfully created; Document successfully merged; PDF created; !!Error Sending Emails: Service invoked too many times for one day: email.; Run via form trigger as ecertificate75@gmail.com; Timestamp: Sep 5 2024 11:46 AM</t>
  </si>
  <si>
    <t>DRG WAHYU WIRDANINGSIH</t>
  </si>
  <si>
    <t>ayu77wirdaningsih@gmail.com</t>
  </si>
  <si>
    <t>8508</t>
  </si>
  <si>
    <t>1c-xvHPRpspPh2wwpDlj01SWIar3LvhIs</t>
  </si>
  <si>
    <t>https://drive.google.com/file/d/1c-xvHPRpspPh2wwpDlj01SWIar3LvhIs/view?usp=drivesdk</t>
  </si>
  <si>
    <t>REZA FAHLEVI</t>
  </si>
  <si>
    <t>arfalila02@gmail.com</t>
  </si>
  <si>
    <t>8509</t>
  </si>
  <si>
    <t>Starting at Thu Aug 29 2024 22:43:56 GMT-0400 (EDT)</t>
  </si>
  <si>
    <t>1iBlo0r6l1AowD2OygN1YHrvwiIMAsK4u</t>
  </si>
  <si>
    <t>https://drive.google.com/file/d/1iBlo0r6l1AowD2OygN1YHrvwiIMAsK4u/view?usp=drivesdk</t>
  </si>
  <si>
    <t xml:space="preserve">TEGUH PRAMONO </t>
  </si>
  <si>
    <t>pramono.ty@gmail.com</t>
  </si>
  <si>
    <t>8510</t>
  </si>
  <si>
    <t>Starting at Thu Aug 29 2024 22:43:59 GMT-0400 (EDT)</t>
  </si>
  <si>
    <t>1OnLypR9RVuL7waEdHMV8nFTEhf7KIn_2</t>
  </si>
  <si>
    <t>https://drive.google.com/file/d/1OnLypR9RVuL7waEdHMV8nFTEhf7KIn_2/view?usp=drivesdk</t>
  </si>
  <si>
    <t>SUDARMAJI</t>
  </si>
  <si>
    <t>sudarmaji1971@gmail.com</t>
  </si>
  <si>
    <t>8511</t>
  </si>
  <si>
    <t>Starting at Thu Aug 29 2024 22:44:04 GMT-0400 (EDT)</t>
  </si>
  <si>
    <t>1vD4yOYvEyNo__h8Vs-piXBBWRMCknh20</t>
  </si>
  <si>
    <t>https://drive.google.com/file/d/1vD4yOYvEyNo__h8Vs-piXBBWRMCknh20/view?usp=drivesdk</t>
  </si>
  <si>
    <t>SALIMIN</t>
  </si>
  <si>
    <t>saliminlampungvivo@gmail.com</t>
  </si>
  <si>
    <t>8512</t>
  </si>
  <si>
    <t>Starting at Thu Aug 29 2024 22:44:11 GMT-0400 (EDT)</t>
  </si>
  <si>
    <t>1pQQ9Fv9A8mQyfszBaN9Gyspho7xFarw4</t>
  </si>
  <si>
    <t>https://drive.google.com/file/d/1pQQ9Fv9A8mQyfszBaN9Gyspho7xFarw4/view?usp=drivesdk</t>
  </si>
  <si>
    <t>Document successfully created; Document successfully merged; PDF created; !!Error Sending Emails: Service invoked too many times for one day: email.; Run via form trigger as ecertificate75@gmail.com; Timestamp: Sep 5 2024 11:47 AM</t>
  </si>
  <si>
    <t>I PUTU ARIANTA</t>
  </si>
  <si>
    <t>iputuarianta04@gmail.com</t>
  </si>
  <si>
    <t>8513</t>
  </si>
  <si>
    <t>Starting at Thu Aug 29 2024 22:44:12 GMT-0400 (EDT)</t>
  </si>
  <si>
    <t>1igyvc_DWqtMJyXHfVWj6GNTG2JeGYb9f</t>
  </si>
  <si>
    <t>https://drive.google.com/file/d/1igyvc_DWqtMJyXHfVWj6GNTG2JeGYb9f/view?usp=drivesdk</t>
  </si>
  <si>
    <t>Document successfully created; Document successfully merged; PDF created; !!Error Sending Emails: Service invoked too many times for one day: email.; Run via form trigger as ecertificate75@gmail.com; Timestamp: Sep 5 2024 7:52 PM</t>
  </si>
  <si>
    <t xml:space="preserve">Bustamil arifin AMD Rad </t>
  </si>
  <si>
    <t>bustamilarifin1006@gmail.com</t>
  </si>
  <si>
    <t>8514</t>
  </si>
  <si>
    <t>Starting at Thu Aug 29 2024 22:44:15 GMT-0400 (EDT)</t>
  </si>
  <si>
    <t>1uwhnW78F8cz8rwL9pmzsPDX15bYY_z3A</t>
  </si>
  <si>
    <t>https://drive.google.com/file/d/1uwhnW78F8cz8rwL9pmzsPDX15bYY_z3A/view?usp=drivesdk</t>
  </si>
  <si>
    <t>Document successfully created; Document successfully merged; PDF created; !!Error Sending Emails: Service invoked too many times for one day: email.; Run via form trigger as ecertificate75@gmail.com; Timestamp: Sep 5 2024 7:53 PM</t>
  </si>
  <si>
    <t>NURHAYATI.SKM</t>
  </si>
  <si>
    <t>nurhayatikartoyo67@gmail.com</t>
  </si>
  <si>
    <t>8515</t>
  </si>
  <si>
    <t>1yBtK0MY5eZ6YlekI0G3eI2PRFXgs3pUt</t>
  </si>
  <si>
    <t>https://drive.google.com/file/d/1yBtK0MY5eZ6YlekI0G3eI2PRFXgs3pUt/view?usp=drivesdk</t>
  </si>
  <si>
    <t>TITIN JULIANA</t>
  </si>
  <si>
    <t>titinjuliana170677@gmail.com</t>
  </si>
  <si>
    <t>8516</t>
  </si>
  <si>
    <t>Starting at Thu Aug 29 2024 22:44:19 GMT-0400 (EDT)</t>
  </si>
  <si>
    <t>114G8fNf950Xa50L5b8ym-S7Yosb7qRg6</t>
  </si>
  <si>
    <t>https://drive.google.com/file/d/114G8fNf950Xa50L5b8ym-S7Yosb7qRg6/view?usp=drivesdk</t>
  </si>
  <si>
    <t>ANDI AFIFF RESKY WIDJAYA S,SI M.M</t>
  </si>
  <si>
    <t>afifresky@gmail.com</t>
  </si>
  <si>
    <t>8517</t>
  </si>
  <si>
    <t>10uvcYwFExSHPn_qD10ac1WwYaurytk1o</t>
  </si>
  <si>
    <t>https://drive.google.com/file/d/10uvcYwFExSHPn_qD10ac1WwYaurytk1o/view?usp=drivesdk</t>
  </si>
  <si>
    <t>ERMANTO</t>
  </si>
  <si>
    <t>antoermanto61@gmail.com</t>
  </si>
  <si>
    <t>8518</t>
  </si>
  <si>
    <t>1e_7_I32TisdSSjUmPxgECcrWXFnI-eEz</t>
  </si>
  <si>
    <t>https://drive.google.com/file/d/1e_7_I32TisdSSjUmPxgECcrWXFnI-eEz/view?usp=drivesdk</t>
  </si>
  <si>
    <t>CUT MERIHANDAYANI</t>
  </si>
  <si>
    <t>memecutmee@gmail.com</t>
  </si>
  <si>
    <t>8519</t>
  </si>
  <si>
    <t>1ho3Ns6cXe9ZWvrjdU74flaastgH7-D2-</t>
  </si>
  <si>
    <t>https://drive.google.com/file/d/1ho3Ns6cXe9ZWvrjdU74flaastgH7-D2-/view?usp=drivesdk</t>
  </si>
  <si>
    <t>MARIA SATTU</t>
  </si>
  <si>
    <t>maryasattu@gmail.com</t>
  </si>
  <si>
    <t>8520</t>
  </si>
  <si>
    <t>Starting at Thu Aug 29 2024 22:44:21 GMT-0400 (EDT)</t>
  </si>
  <si>
    <t>1KHZgORktRQ54_cePz9Tf400B_qIO08dk</t>
  </si>
  <si>
    <t>https://drive.google.com/file/d/1KHZgORktRQ54_cePz9Tf400B_qIO08dk/view?usp=drivesdk</t>
  </si>
  <si>
    <t>HERU SULISTIYO</t>
  </si>
  <si>
    <t>herufree@gmail.com</t>
  </si>
  <si>
    <t>8521</t>
  </si>
  <si>
    <t>Starting at Thu Aug 29 2024 22:44:23 GMT-0400 (EDT)</t>
  </si>
  <si>
    <t>11A5VmnDHAfCL53koOMCcGW7R0KX4zEz1</t>
  </si>
  <si>
    <t>https://drive.google.com/file/d/11A5VmnDHAfCL53koOMCcGW7R0KX4zEz1/view?usp=drivesdk</t>
  </si>
  <si>
    <t>I MADE SUDIRA SH</t>
  </si>
  <si>
    <t>mddira02@mail.com</t>
  </si>
  <si>
    <t>8522</t>
  </si>
  <si>
    <t>Starting at Thu Aug 29 2024 22:44:25 GMT-0400 (EDT)</t>
  </si>
  <si>
    <t>1SpK54_aJLZv1kQXnmdhhSNVJOnNj6G1e</t>
  </si>
  <si>
    <t>https://drive.google.com/file/d/1SpK54_aJLZv1kQXnmdhhSNVJOnNj6G1e/view?usp=drivesdk</t>
  </si>
  <si>
    <t>LINAWATI</t>
  </si>
  <si>
    <t>linawati20011@gmail.com</t>
  </si>
  <si>
    <t>8523</t>
  </si>
  <si>
    <t>1BnVC7fW26p0-e2thzjtWiRdCsUveCIJ8</t>
  </si>
  <si>
    <t>https://drive.google.com/file/d/1BnVC7fW26p0-e2thzjtWiRdCsUveCIJ8/view?usp=drivesdk</t>
  </si>
  <si>
    <t>DR. NANUNG BUDI PRAKOSO SP.N.</t>
  </si>
  <si>
    <t>nanungbepe@gmail.com</t>
  </si>
  <si>
    <t>8524</t>
  </si>
  <si>
    <t>Starting at Thu Aug 29 2024 22:44:30 GMT-0400 (EDT)</t>
  </si>
  <si>
    <t>1sQskw_WcyxpHDJ5sPBT6xCyt1p57Mlh2</t>
  </si>
  <si>
    <t>https://drive.google.com/file/d/1sQskw_WcyxpHDJ5sPBT6xCyt1p57Mlh2/view?usp=drivesdk</t>
  </si>
  <si>
    <t>HENDRA MULYANA</t>
  </si>
  <si>
    <t>mulyanahebdra@gmail.com</t>
  </si>
  <si>
    <t>8525</t>
  </si>
  <si>
    <t>Starting at Thu Aug 29 2024 22:44:34 GMT-0400 (EDT)</t>
  </si>
  <si>
    <t>1aX-vGDBRmk5JlETsqeMFLFSb7MZMESj_</t>
  </si>
  <si>
    <t>https://drive.google.com/file/d/1aX-vGDBRmk5JlETsqeMFLFSb7MZMESj_/view?usp=drivesdk</t>
  </si>
  <si>
    <t>EKOSUPRIYANTO</t>
  </si>
  <si>
    <t>Ekokutakulon1979@gmail.com</t>
  </si>
  <si>
    <t>8526</t>
  </si>
  <si>
    <t>Starting at Thu Aug 29 2024 22:44:54 GMT-0400 (EDT)</t>
  </si>
  <si>
    <t>1SAdr3iHjkhEXbqjzSvfHcB2bjuVbmHUL</t>
  </si>
  <si>
    <t>https://drive.google.com/file/d/1SAdr3iHjkhEXbqjzSvfHcB2bjuVbmHUL/view?usp=drivesdk</t>
  </si>
  <si>
    <t>Riwasni,A.Md.Kep., SKM</t>
  </si>
  <si>
    <t>riwasnibiddokkes@gmail.com</t>
  </si>
  <si>
    <t>8527</t>
  </si>
  <si>
    <t>1MjL3uD08klBA0d3_MXpNGOvIdgYSBeYf</t>
  </si>
  <si>
    <t>https://drive.google.com/file/d/1MjL3uD08klBA0d3_MXpNGOvIdgYSBeYf/view?usp=drivesdk</t>
  </si>
  <si>
    <t>ASTRY EROSETYAWATI, Amd.Keb</t>
  </si>
  <si>
    <t>ziyanastry01@gmail.com</t>
  </si>
  <si>
    <t>8528</t>
  </si>
  <si>
    <t>1BdH11DpUpQmnMtSMQp4sDhBkyEbPgQAN</t>
  </si>
  <si>
    <t>https://drive.google.com/file/d/1BdH11DpUpQmnMtSMQp4sDhBkyEbPgQAN/view?usp=drivesdk</t>
  </si>
  <si>
    <t>ISWANDI</t>
  </si>
  <si>
    <t>Iswandiajja37@gimail.com</t>
  </si>
  <si>
    <t>8529</t>
  </si>
  <si>
    <t>1yrAlgFowNWGWQLCOwNGYCOGc9edokJ4x</t>
  </si>
  <si>
    <t>https://drive.google.com/file/d/1yrAlgFowNWGWQLCOwNGYCOGc9edokJ4x/view?usp=drivesdk</t>
  </si>
  <si>
    <t xml:space="preserve">CERIANA </t>
  </si>
  <si>
    <t>1983ceri@gmail.com</t>
  </si>
  <si>
    <t>8530</t>
  </si>
  <si>
    <t>1oiu4Yih-yGpc-Ch4E2nH1510z3KIncmX</t>
  </si>
  <si>
    <t>https://drive.google.com/file/d/1oiu4Yih-yGpc-Ch4E2nH1510z3KIncmX/view?usp=drivesdk</t>
  </si>
  <si>
    <t>SRISENDELY LAOHAN</t>
  </si>
  <si>
    <t>ssrisendely@gmail.com</t>
  </si>
  <si>
    <t>8531</t>
  </si>
  <si>
    <t>1kL0nMHnm4ToE85vyBPBwZ93Jm19uuivs</t>
  </si>
  <si>
    <t>https://drive.google.com/file/d/1kL0nMHnm4ToE85vyBPBwZ93Jm19uuivs/view?usp=drivesdk</t>
  </si>
  <si>
    <t>HOTMA  LAMRIA  SARMAULI  SIANIPAR</t>
  </si>
  <si>
    <t>8532</t>
  </si>
  <si>
    <t>11RbFNp50pw4JXnM5AzWpvcmwiovQTVZM</t>
  </si>
  <si>
    <t>https://drive.google.com/file/d/11RbFNp50pw4JXnM5AzWpvcmwiovQTVZM/view?usp=drivesdk</t>
  </si>
  <si>
    <t>SAKINAH LISTIARA, S.Kom.</t>
  </si>
  <si>
    <t>sl.riyanto86@gmail.com</t>
  </si>
  <si>
    <t>8533</t>
  </si>
  <si>
    <t>Starting at Thu Aug 29 2024 22:45:15 GMT-0400 (EDT)</t>
  </si>
  <si>
    <t>1-_PYoZqpoYz-Oj-EE7pMNIxY0KjSCqg3</t>
  </si>
  <si>
    <t>https://drive.google.com/file/d/1-_PYoZqpoYz-Oj-EE7pMNIxY0KjSCqg3/view?usp=drivesdk</t>
  </si>
  <si>
    <t>SINTA KURNIA SARI, SE., MM</t>
  </si>
  <si>
    <t>sinta.key@gmail.com</t>
  </si>
  <si>
    <t>8534</t>
  </si>
  <si>
    <t>165AYYUDLQiWpHBIaUSok6qD8A1077aA_</t>
  </si>
  <si>
    <t>https://drive.google.com/file/d/165AYYUDLQiWpHBIaUSok6qD8A1077aA_/view?usp=drivesdk</t>
  </si>
  <si>
    <t>sucijamiah69@gmail.com</t>
  </si>
  <si>
    <t>8535</t>
  </si>
  <si>
    <t>1OEYQK1fz_ZcoCXlbKFLNrBUifvbF4dXK</t>
  </si>
  <si>
    <t>https://drive.google.com/file/d/1OEYQK1fz_ZcoCXlbKFLNrBUifvbF4dXK/view?usp=drivesdk</t>
  </si>
  <si>
    <t>DINA ANDRIANI</t>
  </si>
  <si>
    <t>andriani.dina@gmail.com</t>
  </si>
  <si>
    <t>8536</t>
  </si>
  <si>
    <t>1u-v09bt6WrYunZjV_nOQ19Sr_y146ItL</t>
  </si>
  <si>
    <t>https://drive.google.com/file/d/1u-v09bt6WrYunZjV_nOQ19Sr_y146ItL/view?usp=drivesdk</t>
  </si>
  <si>
    <t>IVAN AGUSTA, S.I.P</t>
  </si>
  <si>
    <t>ivanvrc025@gmail.com</t>
  </si>
  <si>
    <t>8537</t>
  </si>
  <si>
    <t>1VDK2oFgehMQOJiaRIkymG7fMs59ZA0wf</t>
  </si>
  <si>
    <t>https://drive.google.com/file/d/1VDK2oFgehMQOJiaRIkymG7fMs59ZA0wf/view?usp=drivesdk</t>
  </si>
  <si>
    <t>MUSTAQFIRIN</t>
  </si>
  <si>
    <t>mustaqfirin1974@gmail.com</t>
  </si>
  <si>
    <t>8538</t>
  </si>
  <si>
    <t>1el87JNiGuyofmYErcG7Dh03ix7_LspmP</t>
  </si>
  <si>
    <t>https://drive.google.com/file/d/1el87JNiGuyofmYErcG7Dh03ix7_LspmP/view?usp=drivesdk</t>
  </si>
  <si>
    <t>paurmin.rensewu@gmail.com</t>
  </si>
  <si>
    <t>8539</t>
  </si>
  <si>
    <t>1vpA-dZmrTDdHZY-dxYJVEMTYA-2MOMvG</t>
  </si>
  <si>
    <t>https://drive.google.com/file/d/1vpA-dZmrTDdHZY-dxYJVEMTYA-2MOMvG/view?usp=drivesdk</t>
  </si>
  <si>
    <t>NOVITARIA. S</t>
  </si>
  <si>
    <t>novitariasubing133@gmail.com</t>
  </si>
  <si>
    <t>8540</t>
  </si>
  <si>
    <t>1IVzVMwiH4iJZSpOG1L2n-t0dSnX6L1Wh</t>
  </si>
  <si>
    <t>https://drive.google.com/file/d/1IVzVMwiH4iJZSpOG1L2n-t0dSnX6L1Wh/view?usp=drivesdk</t>
  </si>
  <si>
    <t>ASLIYAH</t>
  </si>
  <si>
    <t>asliyapardi@gmail.com</t>
  </si>
  <si>
    <t>8541</t>
  </si>
  <si>
    <t>1t506KitMxK5OpozQ2sPdsrA_C1Ylv1R3</t>
  </si>
  <si>
    <t>https://drive.google.com/file/d/1t506KitMxK5OpozQ2sPdsrA_C1Ylv1R3/view?usp=drivesdk</t>
  </si>
  <si>
    <t>Andi Ikhmasabaniyah, S.Kep</t>
  </si>
  <si>
    <t>andiikhma78@gmail.com</t>
  </si>
  <si>
    <t>8542</t>
  </si>
  <si>
    <t>Starting at Thu Aug 29 2024 22:45:20 GMT-0400 (EDT)</t>
  </si>
  <si>
    <t>1QVR1zyw83j4TNQJzfM8mrI58Igcpg39x</t>
  </si>
  <si>
    <t>https://drive.google.com/file/d/1QVR1zyw83j4TNQJzfM8mrI58Igcpg39x/view?usp=drivesdk</t>
  </si>
  <si>
    <t>DESI CANDRA DEWI, S. Kep</t>
  </si>
  <si>
    <t>desicand60@gmail.com</t>
  </si>
  <si>
    <t>8543</t>
  </si>
  <si>
    <t>Starting at Thu Aug 29 2024 22:45:32 GMT-0400 (EDT)</t>
  </si>
  <si>
    <t>1QmBbPdjT5PkbQmNthYprETFxTEJJjItr</t>
  </si>
  <si>
    <t>https://drive.google.com/file/d/1QmBbPdjT5PkbQmNthYprETFxTEJJjItr/view?usp=drivesdk</t>
  </si>
  <si>
    <t xml:space="preserve">ENDAH ARNINGSIH </t>
  </si>
  <si>
    <t>endah.arningsih02@gmail.com</t>
  </si>
  <si>
    <t>8544</t>
  </si>
  <si>
    <t>1fTVONI-40-WvoylAkbXlmHEDgtj8PqBs</t>
  </si>
  <si>
    <t>https://drive.google.com/file/d/1fTVONI-40-WvoylAkbXlmHEDgtj8PqBs/view?usp=drivesdk</t>
  </si>
  <si>
    <t>JANUARI HUTAGAOL, S.T., M.M.</t>
  </si>
  <si>
    <t>Januarihutagalsdmntt@gmail.com</t>
  </si>
  <si>
    <t>8545</t>
  </si>
  <si>
    <t>1Bs_vsek8lprp4qfkafN32B8YVX8oipnn</t>
  </si>
  <si>
    <t>https://drive.google.com/file/d/1Bs_vsek8lprp4qfkafN32B8YVX8oipnn/view?usp=drivesdk</t>
  </si>
  <si>
    <t>HASNAH</t>
  </si>
  <si>
    <t>hasnahtriono68@email.com</t>
  </si>
  <si>
    <t>8546</t>
  </si>
  <si>
    <t>1rPkkBfeKWPrl341WOe6mY4QuDUDuzu0d</t>
  </si>
  <si>
    <t>https://drive.google.com/file/d/1rPkkBfeKWPrl341WOe6mY4QuDUDuzu0d/view?usp=drivesdk</t>
  </si>
  <si>
    <t>hartinifadhil@gmail.com</t>
  </si>
  <si>
    <t>8547</t>
  </si>
  <si>
    <t>1DIGJ5eHJbtVjDFsTcPQGk4Hhb49gCEPc</t>
  </si>
  <si>
    <t>https://drive.google.com/file/d/1DIGJ5eHJbtVjDFsTcPQGk4Hhb49gCEPc/view?usp=drivesdk</t>
  </si>
  <si>
    <t>JOHN B. KAKISINA</t>
  </si>
  <si>
    <t>umarsahupala71@gmail.com</t>
  </si>
  <si>
    <t>8548</t>
  </si>
  <si>
    <t>Starting at Thu Aug 29 2024 22:45:48 GMT-0400 (EDT)</t>
  </si>
  <si>
    <t>1sdomlHD4D9TQzz_DuZof_DUxjxnTCw9P</t>
  </si>
  <si>
    <t>https://drive.google.com/file/d/1sdomlHD4D9TQzz_DuZof_DUxjxnTCw9P/view?usp=drivesdk</t>
  </si>
  <si>
    <t>Document successfully created; Document successfully merged; PDF created; !!Error Sending Emails: Service invoked too many times for one day: email.; Run via form trigger as ecertificate75@gmail.com; Timestamp: Sep 5 2024 7:54 PM</t>
  </si>
  <si>
    <t>RATNA MIYATI,S.H.</t>
  </si>
  <si>
    <t>ratna.83.rm@gmail.com</t>
  </si>
  <si>
    <t>8549</t>
  </si>
  <si>
    <t>1-M4s0dImYha9uwvRyxieFv07La23b6y3</t>
  </si>
  <si>
    <t>https://drive.google.com/file/d/1-M4s0dImYha9uwvRyxieFv07La23b6y3/view?usp=drivesdk</t>
  </si>
  <si>
    <t xml:space="preserve">NI MADE HERMAYUNI </t>
  </si>
  <si>
    <t>madehermayuni@gmail.com</t>
  </si>
  <si>
    <t>8550</t>
  </si>
  <si>
    <t>1OX9AV5RIxl-obSOJWYRQvfVTTY9je24Z</t>
  </si>
  <si>
    <t>https://drive.google.com/file/d/1OX9AV5RIxl-obSOJWYRQvfVTTY9je24Z/view?usp=drivesdk</t>
  </si>
  <si>
    <t>RISKIN ADE PUTRI,Amd.Kep.,SKM</t>
  </si>
  <si>
    <t>riskinbanatau09@gmail.com</t>
  </si>
  <si>
    <t>8551</t>
  </si>
  <si>
    <t>Starting at Thu Aug 29 2024 22:45:56 GMT-0400 (EDT)</t>
  </si>
  <si>
    <t>1dZtlW_zJs4WaaV_77RwnhC5CCYJzzN5q</t>
  </si>
  <si>
    <t>https://drive.google.com/file/d/1dZtlW_zJs4WaaV_77RwnhC5CCYJzzN5q/view?usp=drivesdk</t>
  </si>
  <si>
    <t>Idawati Amd. Keb</t>
  </si>
  <si>
    <t>watiida185@gmail.com</t>
  </si>
  <si>
    <t>8552</t>
  </si>
  <si>
    <t>17GCXbMlX6SF9N3WR1V322pm5tUP8BCyK</t>
  </si>
  <si>
    <t>https://drive.google.com/file/d/17GCXbMlX6SF9N3WR1V322pm5tUP8BCyK/view?usp=drivesdk</t>
  </si>
  <si>
    <t>Document successfully created; Document successfully merged; PDF created; !!Error Sending Emails: Service invoked too many times for one day: email.; Run via form trigger as ecertificate75@gmail.com; Timestamp: Sep 5 2024 7:55 PM</t>
  </si>
  <si>
    <t xml:space="preserve">RATNA KASIM PANIGORO </t>
  </si>
  <si>
    <t>ratna.kasim.panigoro@gmail.com</t>
  </si>
  <si>
    <t>8553</t>
  </si>
  <si>
    <t>Starting at Thu Aug 29 2024 22:46:08 GMT-0400 (EDT)</t>
  </si>
  <si>
    <t>14epJ5btXJ9H44vWXpyCmgr5tE6C2UtYP</t>
  </si>
  <si>
    <t>https://drive.google.com/file/d/14epJ5btXJ9H44vWXpyCmgr5tE6C2UtYP/view?usp=drivesdk</t>
  </si>
  <si>
    <t xml:space="preserve">FATHORRAHMAN </t>
  </si>
  <si>
    <t>rahmanfathor86@gmail.com</t>
  </si>
  <si>
    <t>8554</t>
  </si>
  <si>
    <t>1FGbr0P2gzhf6yYefoBV1wwAt8v_vH3Ty</t>
  </si>
  <si>
    <t>https://drive.google.com/file/d/1FGbr0P2gzhf6yYefoBV1wwAt8v_vH3Ty/view?usp=drivesdk</t>
  </si>
  <si>
    <t>SRI MULYANI AMD.AK</t>
  </si>
  <si>
    <t>srimulyaniatmojo2502@gmaill.com</t>
  </si>
  <si>
    <t>8555</t>
  </si>
  <si>
    <t>15-RBVgHgx1H8dGqoqSvUmloE_dn3YYHx</t>
  </si>
  <si>
    <t>https://drive.google.com/file/d/15-RBVgHgx1H8dGqoqSvUmloE_dn3YYHx/view?usp=drivesdk</t>
  </si>
  <si>
    <t>Document successfully created; Document successfully merged; PDF created; !!Error Sending Emails: Service invoked too many times for one day: email.; Run via form trigger as ecertificate75@gmail.com; Timestamp: Sep 5 2024 7:56 PM</t>
  </si>
  <si>
    <t>LINDA INDRIYATIE, A.Md.</t>
  </si>
  <si>
    <t>linda.indrayati71@gmail.com</t>
  </si>
  <si>
    <t>8556</t>
  </si>
  <si>
    <t>15tRbiZ7M6MTfgAOR3V2ogxcNHdA6oTsy</t>
  </si>
  <si>
    <t>https://drive.google.com/file/d/15tRbiZ7M6MTfgAOR3V2ogxcNHdA6oTsy/view?usp=drivesdk</t>
  </si>
  <si>
    <t>SIHABUDIN</t>
  </si>
  <si>
    <t>bagverifkumpol@gmail.com</t>
  </si>
  <si>
    <t>8557</t>
  </si>
  <si>
    <t>1EcLcxI7AZ753NLS45FfQ2MB3gGkhcyuR</t>
  </si>
  <si>
    <t>https://drive.google.com/file/d/1EcLcxI7AZ753NLS45FfQ2MB3gGkhcyuR/view?usp=drivesdk</t>
  </si>
  <si>
    <t>ANASTASIA MITAN</t>
  </si>
  <si>
    <t>anasumbawa1972@gmail.com</t>
  </si>
  <si>
    <t>8558</t>
  </si>
  <si>
    <t>1Mrc5gRk59f4r2ej7oiukTy805E9tamvj</t>
  </si>
  <si>
    <t>https://drive.google.com/file/d/1Mrc5gRk59f4r2ej7oiukTy805E9tamvj/view?usp=drivesdk</t>
  </si>
  <si>
    <t>SYAH PUTRA PURBA,S.H</t>
  </si>
  <si>
    <t>syahputrapurba187@gmail.com</t>
  </si>
  <si>
    <t>8559</t>
  </si>
  <si>
    <t>Starting at Thu Aug 29 2024 22:46:11 GMT-0400 (EDT)</t>
  </si>
  <si>
    <t>1REX-kUpp88huuCKViJS62SR4g2Gj4Hxr</t>
  </si>
  <si>
    <t>https://drive.google.com/file/d/1REX-kUpp88huuCKViJS62SR4g2Gj4Hxr/view?usp=drivesdk</t>
  </si>
  <si>
    <t>Document successfully created; Document successfully merged; PDF created; !!Error Sending Emails: Service invoked too many times for one day: email.; Run via form trigger as ecertificate75@gmail.com; Timestamp: Sep 5 2024 7:57 PM</t>
  </si>
  <si>
    <t>TRI HARYANTI</t>
  </si>
  <si>
    <t>triharyanti180270@gmail.com</t>
  </si>
  <si>
    <t>8560</t>
  </si>
  <si>
    <t>1WHp6fqtMhU6DAg1X0vYj_m7aQfdwGgx7</t>
  </si>
  <si>
    <t>https://drive.google.com/file/d/1WHp6fqtMhU6DAg1X0vYj_m7aQfdwGgx7/view?usp=drivesdk</t>
  </si>
  <si>
    <t>Document successfully created; Document successfully merged; PDF created; !!Error Sending Emails: Service invoked too many times for one day: email.; Run via form trigger as ecertificate75@gmail.com; Timestamp: Sep 5 2024 9:57 PM</t>
  </si>
  <si>
    <t>GILANG GANTINA</t>
  </si>
  <si>
    <t>gilangboegil@gmail.com</t>
  </si>
  <si>
    <t>8561</t>
  </si>
  <si>
    <t>Starting at Thu Aug 29 2024 22:46:19 GMT-0400 (EDT)</t>
  </si>
  <si>
    <t>1wZnZ1HQTA5iCgxQzMmB28l4HQ9vkfjtU</t>
  </si>
  <si>
    <t>https://drive.google.com/file/d/1wZnZ1HQTA5iCgxQzMmB28l4HQ9vkfjtU/view?usp=drivesdk</t>
  </si>
  <si>
    <t>MUHIDIN S.Ag</t>
  </si>
  <si>
    <t>dinpk37@gmail.com</t>
  </si>
  <si>
    <t>8562</t>
  </si>
  <si>
    <t>1rxJNz6h_bIhRM4I-1jixFmy0oNHb2_dI</t>
  </si>
  <si>
    <t>https://drive.google.com/file/d/1rxJNz6h_bIhRM4I-1jixFmy0oNHb2_dI/view?usp=drivesdk</t>
  </si>
  <si>
    <t>rosalina.alif@gmail.com</t>
  </si>
  <si>
    <t>8563</t>
  </si>
  <si>
    <t>Starting at Thu Aug 29 2024 22:46:33 GMT-0400 (EDT)</t>
  </si>
  <si>
    <t>1PPIRq0lIT5GkPrN-9iJu8x-JY_UbuGKG</t>
  </si>
  <si>
    <t>https://drive.google.com/file/d/1PPIRq0lIT5GkPrN-9iJu8x-JY_UbuGKG/view?usp=drivesdk</t>
  </si>
  <si>
    <t>LISTIYO WEDOWATI</t>
  </si>
  <si>
    <t>wedowati15@gmail.com</t>
  </si>
  <si>
    <t>8564</t>
  </si>
  <si>
    <t>1F5wKqFj3AWvDotSOcvv31TssHTtw_Daz</t>
  </si>
  <si>
    <t>https://drive.google.com/file/d/1F5wKqFj3AWvDotSOcvv31TssHTtw_Daz/view?usp=drivesdk</t>
  </si>
  <si>
    <t>Document successfully created; Document successfully merged; PDF created; !!Error Sending Emails: Service invoked too many times for one day: email.; Run via form trigger as ecertificate75@gmail.com; Timestamp: Sep 5 2024 9:58 PM</t>
  </si>
  <si>
    <t>SARINI RASYID</t>
  </si>
  <si>
    <t>sarinirasyidnining@gmail.com</t>
  </si>
  <si>
    <t>8565</t>
  </si>
  <si>
    <t>Starting at Thu Aug 29 2024 22:46:38 GMT-0400 (EDT)</t>
  </si>
  <si>
    <t>1NyCaAS-wMdAi2jgWv76Q2op2pQv6z4uE</t>
  </si>
  <si>
    <t>https://drive.google.com/file/d/1NyCaAS-wMdAi2jgWv76Q2op2pQv6z4uE/view?usp=drivesdk</t>
  </si>
  <si>
    <t>MARTINA APRILIA MODA BT, A.MD.T.</t>
  </si>
  <si>
    <t>apriliabt4319@gmail.com</t>
  </si>
  <si>
    <t>8566</t>
  </si>
  <si>
    <t>1q8xs5lwVAPa-EA8ZBa5xKfM6CC8jEBc1</t>
  </si>
  <si>
    <t>https://drive.google.com/file/d/1q8xs5lwVAPa-EA8ZBa5xKfM6CC8jEBc1/view?usp=drivesdk</t>
  </si>
  <si>
    <t>DIDIT PRATIWI</t>
  </si>
  <si>
    <t>pratiwididit73@gmail.com</t>
  </si>
  <si>
    <t>8567</t>
  </si>
  <si>
    <t>1i0AK1q9zm0K_CYfFMANvMSS_zLAjhUTp</t>
  </si>
  <si>
    <t>https://drive.google.com/file/d/1i0AK1q9zm0K_CYfFMANvMSS_zLAjhUTp/view?usp=drivesdk</t>
  </si>
  <si>
    <t>Document successfully created; Document successfully merged; PDF created; !!Error Sending Emails: Service invoked too many times for one day: email.; Run via form trigger as ecertificate75@gmail.com; Timestamp: Sep 5 2024 9:59 PM</t>
  </si>
  <si>
    <t>DIANA MUFIDA PUTRI</t>
  </si>
  <si>
    <t>Dianamufida81@gmail.com</t>
  </si>
  <si>
    <t>8568</t>
  </si>
  <si>
    <t>1RgeUC1TC_UqsviBybBB5qyj7RTvDm4lb</t>
  </si>
  <si>
    <t>https://drive.google.com/file/d/1RgeUC1TC_UqsviBybBB5qyj7RTvDm4lb/view?usp=drivesdk</t>
  </si>
  <si>
    <t>dr. ARI DEWI SUESTYANI, M.M.</t>
  </si>
  <si>
    <t>ditakik2737@gmail.com</t>
  </si>
  <si>
    <t>8569</t>
  </si>
  <si>
    <t>Starting at Thu Aug 29 2024 22:46:42 GMT-0400 (EDT)</t>
  </si>
  <si>
    <t>1Kqo7luCqSs9uueZx4EnK0Y4lU9GM6jAg</t>
  </si>
  <si>
    <t>https://drive.google.com/file/d/1Kqo7luCqSs9uueZx4EnK0Y4lU9GM6jAg/view?usp=drivesdk</t>
  </si>
  <si>
    <t>Document successfully created; Document successfully merged; PDF created; !!Error Sending Emails: Service invoked too many times for one day: email.; Run via form trigger as ecertificate75@gmail.com; Timestamp: Sep 5 2024 10:00 PM</t>
  </si>
  <si>
    <t>Johanis Chris Tomy rondonuwu</t>
  </si>
  <si>
    <t>johanischris71@gmail.com</t>
  </si>
  <si>
    <t>8570</t>
  </si>
  <si>
    <t>1ZTXv0EJGjsB0JUWW91wh7d1uR_jK7ExA</t>
  </si>
  <si>
    <t>https://drive.google.com/file/d/1ZTXv0EJGjsB0JUWW91wh7d1uR_jK7ExA/view?usp=drivesdk</t>
  </si>
  <si>
    <t>EDI SASMITO, A.Md.AK</t>
  </si>
  <si>
    <t>edisasmito27@gmail.com</t>
  </si>
  <si>
    <t>8571</t>
  </si>
  <si>
    <t>1g9I7iHkzB8kxUAsFaOezK3qUyQJ8C6Eb</t>
  </si>
  <si>
    <t>https://drive.google.com/file/d/1g9I7iHkzB8kxUAsFaOezK3qUyQJ8C6Eb/view?usp=drivesdk</t>
  </si>
  <si>
    <t>WENDAH RIANINGSIH</t>
  </si>
  <si>
    <t>wendahrianingsih@gmail.com</t>
  </si>
  <si>
    <t>8572</t>
  </si>
  <si>
    <t>10YrUjxgSx9o_zL-kqGoUpl4sICX3JPji</t>
  </si>
  <si>
    <t>https://drive.google.com/file/d/10YrUjxgSx9o_zL-kqGoUpl4sICX3JPji/view?usp=drivesdk</t>
  </si>
  <si>
    <t>Document successfully created; Document successfully merged; PDF created; !!Error Sending Emails: Service invoked too many times for one day: email.; Run via form trigger as ecertificate75@gmail.com; Timestamp: Sep 5 2024 10:01 PM</t>
  </si>
  <si>
    <t>YUNITA TRI PRASETYANINGRUM, S.Ak.</t>
  </si>
  <si>
    <t>yunita_20@ymail.com</t>
  </si>
  <si>
    <t>8573</t>
  </si>
  <si>
    <t>1Vn4vdkplTm8ojEVX9yfpQBzMEUb88GDm</t>
  </si>
  <si>
    <t>https://drive.google.com/file/d/1Vn4vdkplTm8ojEVX9yfpQBzMEUb88GDm/view?usp=drivesdk</t>
  </si>
  <si>
    <t>KUSTININGSIH</t>
  </si>
  <si>
    <t>kusti2018@gmail.com</t>
  </si>
  <si>
    <t>8574</t>
  </si>
  <si>
    <t>Starting at Thu Aug 29 2024 22:46:47 GMT-0400 (EDT)</t>
  </si>
  <si>
    <t>1QjAuWxvGfdLUTb5NNtJ2ymGkousDULUR</t>
  </si>
  <si>
    <t>https://drive.google.com/file/d/1QjAuWxvGfdLUTb5NNtJ2ymGkousDULUR/view?usp=drivesdk</t>
  </si>
  <si>
    <t>JONI R., S.Pd.</t>
  </si>
  <si>
    <t>jonirspt@gmail.com</t>
  </si>
  <si>
    <t>8575</t>
  </si>
  <si>
    <t>18CFGR6y4IEVRObpjdjZmjbg0ZxJmsTJr</t>
  </si>
  <si>
    <t>https://drive.google.com/file/d/18CFGR6y4IEVRObpjdjZmjbg0ZxJmsTJr/view?usp=drivesdk</t>
  </si>
  <si>
    <t>Document successfully created; Document successfully merged; PDF created; !!Error Sending Emails: Service invoked too many times for one day: email.; Run via form trigger as ecertificate75@gmail.com; Timestamp: Sep 5 2024 10:02 PM</t>
  </si>
  <si>
    <t>INDRAKA WAHYU FITRIANTO SE</t>
  </si>
  <si>
    <t>indrakawf@gmail.com</t>
  </si>
  <si>
    <t>8576</t>
  </si>
  <si>
    <t>11bwp3-DNg6rLda8m-tv_PpOHsXJTfmqM</t>
  </si>
  <si>
    <t>https://drive.google.com/file/d/11bwp3-DNg6rLda8m-tv_PpOHsXJTfmqM/view?usp=drivesdk</t>
  </si>
  <si>
    <t>Document successfully created; Document successfully merged; PDF created; !!Error Sending Emails: Service invoked too many times for one day: email.; Run via form trigger as ecertificate75@gmail.com; Timestamp: Sep 5 2024 10:23 PM</t>
  </si>
  <si>
    <t xml:space="preserve">SRI WEDARI </t>
  </si>
  <si>
    <t>wedari.nyoman@gmail.com</t>
  </si>
  <si>
    <t>8577</t>
  </si>
  <si>
    <t>Starting at Thu Aug 29 2024 22:46:50 GMT-0400 (EDT)</t>
  </si>
  <si>
    <t>1CgFYh_ig9i6DoFdZToi99SuwgtDo13Bc</t>
  </si>
  <si>
    <t>https://drive.google.com/file/d/1CgFYh_ig9i6DoFdZToi99SuwgtDo13Bc/view?usp=drivesdk</t>
  </si>
  <si>
    <t>LUKMAN HAKIM</t>
  </si>
  <si>
    <t>loekman.tea30@gmail.com</t>
  </si>
  <si>
    <t>8578</t>
  </si>
  <si>
    <t>Starting at Thu Aug 29 2024 22:46:56 GMT-0400 (EDT)</t>
  </si>
  <si>
    <t>1NTfY4uVjW8sA5TQml0KxAktJBi0yXCrE</t>
  </si>
  <si>
    <t>https://drive.google.com/file/d/1NTfY4uVjW8sA5TQml0KxAktJBi0yXCrE/view?usp=drivesdk</t>
  </si>
  <si>
    <t>HARY PRAKOSO</t>
  </si>
  <si>
    <t>rikosantiago@gmail.com</t>
  </si>
  <si>
    <t>8579</t>
  </si>
  <si>
    <t>1laaO815qCWWSp8f43Z6_HjUxC9Q0sgYb</t>
  </si>
  <si>
    <t>https://drive.google.com/file/d/1laaO815qCWWSp8f43Z6_HjUxC9Q0sgYb/view?usp=drivesdk</t>
  </si>
  <si>
    <t>junaidi71@gmail.com</t>
  </si>
  <si>
    <t>8580</t>
  </si>
  <si>
    <t>1VeRwNTDk3KRDZxijHbaQpDfsR3r3JBlv</t>
  </si>
  <si>
    <t>https://drive.google.com/file/d/1VeRwNTDk3KRDZxijHbaQpDfsR3r3JBlv/view?usp=drivesdk</t>
  </si>
  <si>
    <t>SURIPNo</t>
  </si>
  <si>
    <t>yantienami27@gmail.com</t>
  </si>
  <si>
    <t>8581</t>
  </si>
  <si>
    <t>1HhopmfKkH6aBdJlT9LWLhPxvt3y92MsF</t>
  </si>
  <si>
    <t>https://drive.google.com/file/d/1HhopmfKkH6aBdJlT9LWLhPxvt3y92MsF/view?usp=drivesdk</t>
  </si>
  <si>
    <t>Document successfully created; Document successfully merged; PDF created; !!Error Sending Emails: Service invoked too many times for one day: email.; Run via form trigger as ecertificate75@gmail.com; Timestamp: Sep 5 2024 10:24 PM</t>
  </si>
  <si>
    <t>FRISKA SANTI</t>
  </si>
  <si>
    <t>icha59331@gmail.com</t>
  </si>
  <si>
    <t>8582</t>
  </si>
  <si>
    <t>Starting at Thu Aug 29 2024 22:47:01 GMT-0400 (EDT)</t>
  </si>
  <si>
    <t>1MtC9OzrhhBILnyi3Nx4eki0md8cqr5SQ</t>
  </si>
  <si>
    <t>https://drive.google.com/file/d/1MtC9OzrhhBILnyi3Nx4eki0md8cqr5SQ/view?usp=drivesdk</t>
  </si>
  <si>
    <t>LUMIANI, A.Md.Kep</t>
  </si>
  <si>
    <t>lumiani1990@gmail.com</t>
  </si>
  <si>
    <t>8583</t>
  </si>
  <si>
    <t>Starting at Thu Aug 29 2024 22:47:14 GMT-0400 (EDT)</t>
  </si>
  <si>
    <t>1tX2y2OCAx9kFXLE0mIJDuMDw5izvqzwA</t>
  </si>
  <si>
    <t>https://drive.google.com/file/d/1tX2y2OCAx9kFXLE0mIJDuMDw5izvqzwA/view?usp=drivesdk</t>
  </si>
  <si>
    <t>PUJI RETNANINGSIH</t>
  </si>
  <si>
    <t>pujiretnaningsih13@gmail.com</t>
  </si>
  <si>
    <t>8584</t>
  </si>
  <si>
    <t>Starting at Thu Aug 29 2024 22:47:19 GMT-0400 (EDT)</t>
  </si>
  <si>
    <t>1iWXK0a_6F30Gp_AXFlCZTGrJN_jPReo2</t>
  </si>
  <si>
    <t>https://drive.google.com/file/d/1iWXK0a_6F30Gp_AXFlCZTGrJN_jPReo2/view?usp=drivesdk</t>
  </si>
  <si>
    <t>gushelmi123@gmail.com</t>
  </si>
  <si>
    <t>8585</t>
  </si>
  <si>
    <t>Starting at Thu Aug 29 2024 22:47:23 GMT-0400 (EDT)</t>
  </si>
  <si>
    <t>1KNdiDrZM1eDqH2h8MA3Dar5mwMT5dX8s</t>
  </si>
  <si>
    <t>https://drive.google.com/file/d/1KNdiDrZM1eDqH2h8MA3Dar5mwMT5dX8s/view?usp=drivesdk</t>
  </si>
  <si>
    <t xml:space="preserve">LILIS NURHAYATININGSIH </t>
  </si>
  <si>
    <t>lilisnurhayatiningsih@gmail.com</t>
  </si>
  <si>
    <t>8586</t>
  </si>
  <si>
    <t>Starting at Thu Aug 29 2024 22:47:24 GMT-0400 (EDT)</t>
  </si>
  <si>
    <t>1GBpkAE_TbH42ElPaJucp28NPM5SGXdCb</t>
  </si>
  <si>
    <t>https://drive.google.com/file/d/1GBpkAE_TbH42ElPaJucp28NPM5SGXdCb/view?usp=drivesdk</t>
  </si>
  <si>
    <t>Document successfully created; Document successfully merged; PDF created; !!Error Sending Emails: Service invoked too many times for one day: email.; Run via form trigger as ecertificate75@gmail.com; Timestamp: Sep 5 2024 10:25 PM</t>
  </si>
  <si>
    <t>MIFTA HULJANNAH, A.Md. Kep</t>
  </si>
  <si>
    <t>miftahuljannah0000996@gmail.com</t>
  </si>
  <si>
    <t>8587</t>
  </si>
  <si>
    <t>Starting at Thu Aug 29 2024 22:47:26 GMT-0400 (EDT)</t>
  </si>
  <si>
    <t>1nZ0OfG31h8JBraEVM9PUG1AlXsPH-0BF</t>
  </si>
  <si>
    <t>https://drive.google.com/file/d/1nZ0OfG31h8JBraEVM9PUG1AlXsPH-0BF/view?usp=drivesdk</t>
  </si>
  <si>
    <t>J. AGUS PRASETYO</t>
  </si>
  <si>
    <t>agusprass163@gmail.com</t>
  </si>
  <si>
    <t>8588</t>
  </si>
  <si>
    <t>1-64bF4LmCSH6b11JTNaXV47AZhVIJ6fS</t>
  </si>
  <si>
    <t>https://drive.google.com/file/d/1-64bF4LmCSH6b11JTNaXV47AZhVIJ6fS/view?usp=drivesdk</t>
  </si>
  <si>
    <t>RATNA TAHIR</t>
  </si>
  <si>
    <t>ratnatahir355@gmail.com</t>
  </si>
  <si>
    <t>8589</t>
  </si>
  <si>
    <t>Starting at Thu Aug 29 2024 22:47:45 GMT-0400 (EDT)</t>
  </si>
  <si>
    <t>1Z8E-hXiGcd_HjW7vrYHpoooIRKiyAVET</t>
  </si>
  <si>
    <t>https://drive.google.com/file/d/1Z8E-hXiGcd_HjW7vrYHpoooIRKiyAVET/view?usp=drivesdk</t>
  </si>
  <si>
    <t>susanti78ik@mail.com</t>
  </si>
  <si>
    <t>8590</t>
  </si>
  <si>
    <t>Starting at Thu Aug 29 2024 22:47:47 GMT-0400 (EDT)</t>
  </si>
  <si>
    <t>1e4U_LOkM7MPa6XpIeb3dK8R7r1_LNR13</t>
  </si>
  <si>
    <t>https://drive.google.com/file/d/1e4U_LOkM7MPa6XpIeb3dK8R7r1_LNR13/view?usp=drivesdk</t>
  </si>
  <si>
    <t>HANDAYANI</t>
  </si>
  <si>
    <t>handayaniabbas75@gmail.com</t>
  </si>
  <si>
    <t>8591</t>
  </si>
  <si>
    <t>Starting at Thu Aug 29 2024 22:47:50 GMT-0400 (EDT)</t>
  </si>
  <si>
    <t>1am61q_MFDDu1nvJRp_fxLvgWBCiRoXst</t>
  </si>
  <si>
    <t>https://drive.google.com/file/d/1am61q_MFDDu1nvJRp_fxLvgWBCiRoXst/view?usp=drivesdk</t>
  </si>
  <si>
    <t>Document successfully created; Document successfully merged; PDF created; !!Error Sending Emails: Service invoked too many times for one day: email.; Run via form trigger as ecertificate75@gmail.com; Timestamp: Sep 5 2024 10:26 PM</t>
  </si>
  <si>
    <t>SIGIT NENDYO PRANOWO</t>
  </si>
  <si>
    <t>sigitnendyo@gmail.com</t>
  </si>
  <si>
    <t>8592</t>
  </si>
  <si>
    <t>Starting at Thu Aug 29 2024 22:47:58 GMT-0400 (EDT)</t>
  </si>
  <si>
    <t>1ZIdONmWrV1CUFnrXSgXp9p94klqZoTu-</t>
  </si>
  <si>
    <t>https://drive.google.com/file/d/1ZIdONmWrV1CUFnrXSgXp9p94klqZoTu-/view?usp=drivesdk</t>
  </si>
  <si>
    <t>RIA DARLIA, A.Md.</t>
  </si>
  <si>
    <t>rdarlia1@gmail.com</t>
  </si>
  <si>
    <t>8593</t>
  </si>
  <si>
    <t>1odkZVvC2ph-MxJnwcXavlA4pHGUWunLa</t>
  </si>
  <si>
    <t>https://drive.google.com/file/d/1odkZVvC2ph-MxJnwcXavlA4pHGUWunLa/view?usp=drivesdk</t>
  </si>
  <si>
    <t>HERI SANTOSO</t>
  </si>
  <si>
    <t>8594</t>
  </si>
  <si>
    <t>1AwE78uXb6Cln-1a5JRDbxLKInaLQRLM-</t>
  </si>
  <si>
    <t>https://drive.google.com/file/d/1AwE78uXb6Cln-1a5JRDbxLKInaLQRLM-/view?usp=drivesdk</t>
  </si>
  <si>
    <t>SUSI LASTUTI,S.SOS</t>
  </si>
  <si>
    <t>susilastuti20@gmail.com</t>
  </si>
  <si>
    <t>8595</t>
  </si>
  <si>
    <t>1m0MrmnYPQIEe1epaanfT9Eq2DlEWqwhh</t>
  </si>
  <si>
    <t>https://drive.google.com/file/d/1m0MrmnYPQIEe1epaanfT9Eq2DlEWqwhh/view?usp=drivesdk</t>
  </si>
  <si>
    <t>Document successfully created; Document successfully merged; PDF created; !!Error Sending Emails: Service invoked too many times for one day: email.; Run via form trigger as ecertificate75@gmail.com; Timestamp: Sep 5 2024 10:27 PM</t>
  </si>
  <si>
    <t>JULI EKO SOEMADIANTO, S.Sos., M.M.</t>
  </si>
  <si>
    <t>juliekosoemadianto@gmail.com</t>
  </si>
  <si>
    <t>8596</t>
  </si>
  <si>
    <t>1yARJypFaNtTeCsYZMTCodErvScNvMbeY</t>
  </si>
  <si>
    <t>https://drive.google.com/file/d/1yARJypFaNtTeCsYZMTCodErvScNvMbeY/view?usp=drivesdk</t>
  </si>
  <si>
    <t>MUHAMMAD NAIM, S.IP, M.H</t>
  </si>
  <si>
    <t>m.abrar.naim8810@gmail.com</t>
  </si>
  <si>
    <t>8597</t>
  </si>
  <si>
    <t>Starting at Thu Aug 29 2024 22:48:00 GMT-0400 (EDT)</t>
  </si>
  <si>
    <t>1Pvd0v-zlrlS2rIP7CB8xr_qqVmXzOWFQ</t>
  </si>
  <si>
    <t>https://drive.google.com/file/d/1Pvd0v-zlrlS2rIP7CB8xr_qqVmXzOWFQ/view?usp=drivesdk</t>
  </si>
  <si>
    <t>JAYA MASBUN</t>
  </si>
  <si>
    <t>jaya.plg999@gmail.com</t>
  </si>
  <si>
    <t>8598</t>
  </si>
  <si>
    <t>10TPhy_Z4yEXiQvYhndvlj3ihX3D51y5a</t>
  </si>
  <si>
    <t>https://drive.google.com/file/d/10TPhy_Z4yEXiQvYhndvlj3ihX3D51y5a/view?usp=drivesdk</t>
  </si>
  <si>
    <t>SUSI, A.MD</t>
  </si>
  <si>
    <t>susi.skom@gmail.com</t>
  </si>
  <si>
    <t>8599</t>
  </si>
  <si>
    <t>Starting at Thu Aug 29 2024 22:48:03 GMT-0400 (EDT)</t>
  </si>
  <si>
    <t>1PfjCAcQglaaCXpXfoAWL6JrW99V-Z_eu</t>
  </si>
  <si>
    <t>https://drive.google.com/file/d/1PfjCAcQglaaCXpXfoAWL6JrW99V-Z_eu/view?usp=drivesdk</t>
  </si>
  <si>
    <t>Document successfully created; Document successfully merged; PDF created; !!Error Sending Emails: Service invoked too many times for one day: email.; Run via form trigger as ecertificate75@gmail.com; Timestamp: Sep 5 2024 11:49 PM</t>
  </si>
  <si>
    <t xml:space="preserve">MERI ARI SAPUTRI </t>
  </si>
  <si>
    <t>cawijaya306@gmail.com</t>
  </si>
  <si>
    <t>8600</t>
  </si>
  <si>
    <t>1e1ILKG6Fzi6Vkk3veD8HRHlgIDlYvkwh</t>
  </si>
  <si>
    <t>https://drive.google.com/file/d/1e1ILKG6Fzi6Vkk3veD8HRHlgIDlYvkwh/view?usp=drivesdk</t>
  </si>
  <si>
    <t>JUNIAR.S.Psi</t>
  </si>
  <si>
    <t>juniarjuniar995@gmail.com</t>
  </si>
  <si>
    <t>8601</t>
  </si>
  <si>
    <t>Starting at Thu Aug 29 2024 22:48:08 GMT-0400 (EDT)</t>
  </si>
  <si>
    <t>1sVlnzbiz1DqhDCh1Pa7KkcpVgEW31-nb</t>
  </si>
  <si>
    <t>https://drive.google.com/file/d/1sVlnzbiz1DqhDCh1Pa7KkcpVgEW31-nb/view?usp=drivesdk</t>
  </si>
  <si>
    <t>HJ. ANGGREATY</t>
  </si>
  <si>
    <t>bagsdmdalpers@gmail.com</t>
  </si>
  <si>
    <t>8602</t>
  </si>
  <si>
    <t>1Hw1mFoYi5sYhEk5oUFPOP5fQzSGR4ntn</t>
  </si>
  <si>
    <t>https://drive.google.com/file/d/1Hw1mFoYi5sYhEk5oUFPOP5fQzSGR4ntn/view?usp=drivesdk</t>
  </si>
  <si>
    <t>WILSON YORIMOT DJAMI TUKA, A.Md.</t>
  </si>
  <si>
    <t>wilsonyorimot@gmail.com</t>
  </si>
  <si>
    <t>8603</t>
  </si>
  <si>
    <t>Starting at Thu Aug 29 2024 22:48:14 GMT-0400 (EDT)</t>
  </si>
  <si>
    <t>1f6F5XARwJfrvklknpFEWv8fzYrlp3GJS</t>
  </si>
  <si>
    <t>https://drive.google.com/file/d/1f6F5XARwJfrvklknpFEWv8fzYrlp3GJS/view?usp=drivesdk</t>
  </si>
  <si>
    <t>Document successfully created; Document successfully merged; PDF created; !!Error Sending Emails: Service invoked too many times for one day: email.; Run via form trigger as ecertificate75@gmail.com; Timestamp: Sep 5 2024 11:50 PM</t>
  </si>
  <si>
    <t>ZALHAQKI ALFIN AMD KES.SE</t>
  </si>
  <si>
    <t>zalhaqkialfin1@gmail.com</t>
  </si>
  <si>
    <t>8604</t>
  </si>
  <si>
    <t>1w8SZELnhl4zDvmyh58NQ697m6doodHtQ</t>
  </si>
  <si>
    <t>https://drive.google.com/file/d/1w8SZELnhl4zDvmyh58NQ697m6doodHtQ/view?usp=drivesdk</t>
  </si>
  <si>
    <t xml:space="preserve">BURHANUDIN </t>
  </si>
  <si>
    <t>burriffat@gmail.com</t>
  </si>
  <si>
    <t>8605</t>
  </si>
  <si>
    <t>Starting at Thu Aug 29 2024 22:48:15 GMT-0400 (EDT)</t>
  </si>
  <si>
    <t>15TvdH-LAg4qxU_YvC4MUI-YjcmtytIYc</t>
  </si>
  <si>
    <t>https://drive.google.com/file/d/15TvdH-LAg4qxU_YvC4MUI-YjcmtytIYc/view?usp=drivesdk</t>
  </si>
  <si>
    <t>FAUZIAH ISWANDI A.Md Kep</t>
  </si>
  <si>
    <t>fauziahiswandi5964@gmail.com</t>
  </si>
  <si>
    <t>8606</t>
  </si>
  <si>
    <t>Starting at Thu Aug 29 2024 22:48:41 GMT-0400 (EDT)</t>
  </si>
  <si>
    <t>1IkcEcHPWit-fuyhVYS_gUE39cke9R_3V</t>
  </si>
  <si>
    <t>https://drive.google.com/file/d/1IkcEcHPWit-fuyhVYS_gUE39cke9R_3V/view?usp=drivesdk</t>
  </si>
  <si>
    <t>NUNUK HARTININGSIH</t>
  </si>
  <si>
    <t>nunukhhartiningsih@gmail.com</t>
  </si>
  <si>
    <t>8607</t>
  </si>
  <si>
    <t>118tTfLr1aXOPWCBjsHlT9Lsi5FvqrNRO</t>
  </si>
  <si>
    <t>https://drive.google.com/file/d/118tTfLr1aXOPWCBjsHlT9Lsi5FvqrNRO/view?usp=drivesdk</t>
  </si>
  <si>
    <t>spripimpolri6@gmail.com</t>
  </si>
  <si>
    <t>8608</t>
  </si>
  <si>
    <t>1DsbFOfPlV41zqk6lcuf0gahb5un5Ve4O</t>
  </si>
  <si>
    <t>https://drive.google.com/file/d/1DsbFOfPlV41zqk6lcuf0gahb5un5Ve4O/view?usp=drivesdk</t>
  </si>
  <si>
    <t xml:space="preserve">I WAYAN MARDIKA </t>
  </si>
  <si>
    <t>mardikawayan873@gmail.com</t>
  </si>
  <si>
    <t>8609</t>
  </si>
  <si>
    <t>1fmXpux9v0ZUJSP692aRrNc3LJckHLiAm</t>
  </si>
  <si>
    <t>https://drive.google.com/file/d/1fmXpux9v0ZUJSP692aRrNc3LJckHLiAm/view?usp=drivesdk</t>
  </si>
  <si>
    <t>Document successfully created; Document successfully merged; PDF created; !!Error Sending Emails: Service invoked too many times for one day: email.; Run via form trigger as ecertificate75@gmail.com; Timestamp: Sep 5 2024 11:51 PM</t>
  </si>
  <si>
    <t>MARYUNI SYAM</t>
  </si>
  <si>
    <t>maryunisyam21@gmail.com</t>
  </si>
  <si>
    <t>8610</t>
  </si>
  <si>
    <t>1BpYuWb7MMmubfvRP9ub9FIJtLM2ZrmrX</t>
  </si>
  <si>
    <t>https://drive.google.com/file/d/1BpYuWb7MMmubfvRP9ub9FIJtLM2ZrmrX/view?usp=drivesdk</t>
  </si>
  <si>
    <t>AGUS PRANANDA</t>
  </si>
  <si>
    <t>agusprananda2018@gmail.com</t>
  </si>
  <si>
    <t>8611</t>
  </si>
  <si>
    <t>1v7D8PrxxwGxuRRmzCHN40Dc_L2vFZ2tz</t>
  </si>
  <si>
    <t>https://drive.google.com/file/d/1v7D8PrxxwGxuRRmzCHN40Dc_L2vFZ2tz/view?usp=drivesdk</t>
  </si>
  <si>
    <t>YEMI RINA LAMBANI</t>
  </si>
  <si>
    <t>richarddareda@gmail.com</t>
  </si>
  <si>
    <t>8612</t>
  </si>
  <si>
    <t>Starting at Thu Aug 29 2024 22:48:53 GMT-0400 (EDT)</t>
  </si>
  <si>
    <t>1zc6eG4n2RjhfKCvGKPlHRt4odL19bSoC</t>
  </si>
  <si>
    <t>https://drive.google.com/file/d/1zc6eG4n2RjhfKCvGKPlHRt4odL19bSoC/view?usp=drivesdk</t>
  </si>
  <si>
    <t>PURWANTORO</t>
  </si>
  <si>
    <t>purw6376@gmail.com</t>
  </si>
  <si>
    <t>8613</t>
  </si>
  <si>
    <t>Starting at Thu Aug 29 2024 22:49:00 GMT-0400 (EDT)</t>
  </si>
  <si>
    <t>1IhHVqWWwnfKfBfgF1G9Xd0uFpQzTJDuB</t>
  </si>
  <si>
    <t>https://drive.google.com/file/d/1IhHVqWWwnfKfBfgF1G9Xd0uFpQzTJDuB/view?usp=drivesdk</t>
  </si>
  <si>
    <t>SUSEKTININGSIH, SH</t>
  </si>
  <si>
    <t>susitata48@yahoo.com</t>
  </si>
  <si>
    <t>8614</t>
  </si>
  <si>
    <t>1u8YMJrYf8KBVoMiosMLktelGwGOFUo9J</t>
  </si>
  <si>
    <t>https://drive.google.com/file/d/1u8YMJrYf8KBVoMiosMLktelGwGOFUo9J/view?usp=drivesdk</t>
  </si>
  <si>
    <t xml:space="preserve">OTONG SUWARJO </t>
  </si>
  <si>
    <t>suwarjoo@gmail.com</t>
  </si>
  <si>
    <t>8615</t>
  </si>
  <si>
    <t>1NsHDBXv7WcTGxdUNM6np6x8BMvW4TpNs</t>
  </si>
  <si>
    <t>https://drive.google.com/file/d/1NsHDBXv7WcTGxdUNM6np6x8BMvW4TpNs/view?usp=drivesdk</t>
  </si>
  <si>
    <t>Document successfully created; Document successfully merged; PDF created; !!Error Sending Emails: Service invoked too many times for one day: email.; Run via form trigger as ecertificate75@gmail.com; Timestamp: Sep 5 2024 11:52 PM</t>
  </si>
  <si>
    <t>IRAYANA, dr</t>
  </si>
  <si>
    <t>budhy61@gmail.com</t>
  </si>
  <si>
    <t>8616</t>
  </si>
  <si>
    <t>Starting at Thu Aug 29 2024 22:49:01 GMT-0400 (EDT)</t>
  </si>
  <si>
    <t>16-qtSrIbLGeD8xoYB1WLeEz-H0eOYon2</t>
  </si>
  <si>
    <t>https://drive.google.com/file/d/16-qtSrIbLGeD8xoYB1WLeEz-H0eOYon2/view?usp=drivesdk</t>
  </si>
  <si>
    <t xml:space="preserve">NINING AFRIANI </t>
  </si>
  <si>
    <t>nining.afriani79@gmail.com</t>
  </si>
  <si>
    <t>8617</t>
  </si>
  <si>
    <t>Starting at Thu Aug 29 2024 22:49:17 GMT-0400 (EDT)</t>
  </si>
  <si>
    <t>1lli4dGehyY-Q4TCy2GHpH7_HORAvsOIu</t>
  </si>
  <si>
    <t>https://drive.google.com/file/d/1lli4dGehyY-Q4TCy2GHpH7_HORAvsOIu/view?usp=drivesdk</t>
  </si>
  <si>
    <t>ERNA SRI ASIH</t>
  </si>
  <si>
    <t>erna151968@gmail.com</t>
  </si>
  <si>
    <t>8618</t>
  </si>
  <si>
    <t>1Vwx2BcalspRZD_kg_CKsghe4fn7jTOLR</t>
  </si>
  <si>
    <t>https://drive.google.com/file/d/1Vwx2BcalspRZD_kg_CKsghe4fn7jTOLR/view?usp=drivesdk</t>
  </si>
  <si>
    <t>SELVI U TALIB</t>
  </si>
  <si>
    <t>ssel9003@gmail.com</t>
  </si>
  <si>
    <t>8619</t>
  </si>
  <si>
    <t>1kJThUpfAus3c7sXLCO4JbEZ39A3qbiwi</t>
  </si>
  <si>
    <t>https://drive.google.com/file/d/1kJThUpfAus3c7sXLCO4JbEZ39A3qbiwi/view?usp=drivesdk</t>
  </si>
  <si>
    <t>DJUHARWATI</t>
  </si>
  <si>
    <t>juharwati@gmail.com</t>
  </si>
  <si>
    <t>8620</t>
  </si>
  <si>
    <t>1ANNMAS5OHORUF6GHp-ml9pA4e2dnd34y</t>
  </si>
  <si>
    <t>https://drive.google.com/file/d/1ANNMAS5OHORUF6GHp-ml9pA4e2dnd34y/view?usp=drivesdk</t>
  </si>
  <si>
    <t>Document successfully created; Document successfully merged; PDF created; !!Error Sending Emails: Service invoked too many times for one day: email.; Run via form trigger as ecertificate75@gmail.com; Timestamp: Sep 5 2024 11:53 PM</t>
  </si>
  <si>
    <t>NGATINO, S.E., M.M</t>
  </si>
  <si>
    <t>ngatinobimantoro@gmail.com</t>
  </si>
  <si>
    <t>8621</t>
  </si>
  <si>
    <t>1-9FTfZCPML06H0qZ6di-i1tOOgAjAi_9</t>
  </si>
  <si>
    <t>https://drive.google.com/file/d/1-9FTfZCPML06H0qZ6di-i1tOOgAjAi_9/view?usp=drivesdk</t>
  </si>
  <si>
    <t>PARDOMUAN SAGALA</t>
  </si>
  <si>
    <t>pardomuanspn@gmail.com</t>
  </si>
  <si>
    <t>8622</t>
  </si>
  <si>
    <t>1TCO4wq6e-jzXfAjw1FQWUsSgLc5pbs7H</t>
  </si>
  <si>
    <t>https://drive.google.com/file/d/1TCO4wq6e-jzXfAjw1FQWUsSgLc5pbs7H/view?usp=drivesdk</t>
  </si>
  <si>
    <t xml:space="preserve">VINDA ANGGRAENI </t>
  </si>
  <si>
    <t>anggraeni0885@gmail.com</t>
  </si>
  <si>
    <t>8623</t>
  </si>
  <si>
    <t>13Li6yUVx_UL_vOSjtVQNK4qFJ_tQoQhJ</t>
  </si>
  <si>
    <t>https://drive.google.com/file/d/13Li6yUVx_UL_vOSjtVQNK4qFJ_tQoQhJ/view?usp=drivesdk</t>
  </si>
  <si>
    <t>RAHMADANI, S.H</t>
  </si>
  <si>
    <t>drahma099@gmail.com</t>
  </si>
  <si>
    <t>8624</t>
  </si>
  <si>
    <t>1-qFMESEQTn_RZcEYElXeHCJHYwQkcvqx</t>
  </si>
  <si>
    <t>https://drive.google.com/file/d/1-qFMESEQTn_RZcEYElXeHCJHYwQkcvqx/view?usp=drivesdk</t>
  </si>
  <si>
    <t>EKA PUTRI OLVIANI, A.MD.FAR</t>
  </si>
  <si>
    <t>ekaolviani94@gmail.com</t>
  </si>
  <si>
    <t>8625</t>
  </si>
  <si>
    <t>Starting at Thu Aug 29 2024 22:49:28 GMT-0400 (EDT)</t>
  </si>
  <si>
    <t>1OVahyO82pCT6u8f4wDQ026EFSkVf8Hq7</t>
  </si>
  <si>
    <t>https://drive.google.com/file/d/1OVahyO82pCT6u8f4wDQ026EFSkVf8Hq7/view?usp=drivesdk</t>
  </si>
  <si>
    <t>Document successfully created; Document successfully merged; PDF created; !!Error Sending Emails: Service invoked too many times for one day: email.; Run via form trigger as ecertificate75@gmail.com; Timestamp: Sep 5 2024 11:54 PM</t>
  </si>
  <si>
    <t>TEGUH DWIYANTO</t>
  </si>
  <si>
    <t>teguhdwiyanto7@gmail.com</t>
  </si>
  <si>
    <t>8626</t>
  </si>
  <si>
    <t>16gTUZ8XMFMWhJuG8_ogGSsRjlgg4Fk_x</t>
  </si>
  <si>
    <t>https://drive.google.com/file/d/16gTUZ8XMFMWhJuG8_ogGSsRjlgg4Fk_x/view?usp=drivesdk</t>
  </si>
  <si>
    <t>Document successfully created; Document successfully merged; PDF created; !!Error Sending Emails: Service invoked too many times for one day: email.; Run via form trigger as ecertificate75@gmail.com; Timestamp: Sep 5 2024 11:57 PM</t>
  </si>
  <si>
    <t>MEITY.BAKARY1975@gmail.com</t>
  </si>
  <si>
    <t>8627</t>
  </si>
  <si>
    <t>1T6SFJaFVdNFaUxVc4Pm9n6kRUuRvfNjN</t>
  </si>
  <si>
    <t>https://drive.google.com/file/d/1T6SFJaFVdNFaUxVc4Pm9n6kRUuRvfNjN/view?usp=drivesdk</t>
  </si>
  <si>
    <t>DESAK MADE OKA ANDAYANI</t>
  </si>
  <si>
    <t>handayani76.hy@gmail.com</t>
  </si>
  <si>
    <t>8628</t>
  </si>
  <si>
    <t>1VZPRxegSQBcsnTJgIBNaT_ptclCSjeap</t>
  </si>
  <si>
    <t>https://drive.google.com/file/d/1VZPRxegSQBcsnTJgIBNaT_ptclCSjeap/view?usp=drivesdk</t>
  </si>
  <si>
    <t>ERIAN DANI</t>
  </si>
  <si>
    <t>mae.aya2008@gmail.com</t>
  </si>
  <si>
    <t>8629</t>
  </si>
  <si>
    <t>1ws5TeMtig6We-tcgoBc2K3jcPiMo5_0m</t>
  </si>
  <si>
    <t>https://drive.google.com/file/d/1ws5TeMtig6We-tcgoBc2K3jcPiMo5_0m/view?usp=drivesdk</t>
  </si>
  <si>
    <t>ADE SURYATNA AMD KEP</t>
  </si>
  <si>
    <t>adesuryatna779@gmail.com</t>
  </si>
  <si>
    <t>8630</t>
  </si>
  <si>
    <t>1c8wjMb-muPX5xtJjepgpKNu3hQ0_LiHZ</t>
  </si>
  <si>
    <t>https://drive.google.com/file/d/1c8wjMb-muPX5xtJjepgpKNu3hQ0_LiHZ/view?usp=drivesdk</t>
  </si>
  <si>
    <t xml:space="preserve">MARCE LUIN </t>
  </si>
  <si>
    <t>marceluin275@gmail.com</t>
  </si>
  <si>
    <t>8631</t>
  </si>
  <si>
    <t>Starting at Thu Aug 29 2024 22:49:33 GMT-0400 (EDT)</t>
  </si>
  <si>
    <t>1qM4P765J4zPXL4rvMPPwuZlHzKNAmUIF</t>
  </si>
  <si>
    <t>https://drive.google.com/file/d/1qM4P765J4zPXL4rvMPPwuZlHzKNAmUIF/view?usp=drivesdk</t>
  </si>
  <si>
    <t>Document successfully created; Document successfully merged; PDF created; !!Error Sending Emails: Service invoked too many times for one day: email.; Run via form trigger as ecertificate75@gmail.com; Timestamp: Sep 5 2024 11:58 PM</t>
  </si>
  <si>
    <t>DODY PURNAWAN</t>
  </si>
  <si>
    <t>dozoth@yahoo.com</t>
  </si>
  <si>
    <t>8632</t>
  </si>
  <si>
    <t>10XMjOhmNKKN_tCzG6lH29W4zlp4wB5al</t>
  </si>
  <si>
    <t>https://drive.google.com/file/d/10XMjOhmNKKN_tCzG6lH29W4zlp4wB5al/view?usp=drivesdk</t>
  </si>
  <si>
    <t>LUSNA DWIVA</t>
  </si>
  <si>
    <t>lusnadwiva@gmai.com</t>
  </si>
  <si>
    <t>8633</t>
  </si>
  <si>
    <t>1cV9X1-s8JlXlNs1oVje3fkMNdfnaXf4Q</t>
  </si>
  <si>
    <t>https://drive.google.com/file/d/1cV9X1-s8JlXlNs1oVje3fkMNdfnaXf4Q/view?usp=drivesdk</t>
  </si>
  <si>
    <t>LENI MEILINDA, S.M.</t>
  </si>
  <si>
    <t>bagrenresbrebes@gmail.com</t>
  </si>
  <si>
    <t>8634</t>
  </si>
  <si>
    <t>Starting at Thu Aug 29 2024 22:49:43 GMT-0400 (EDT)</t>
  </si>
  <si>
    <t>1eXMFuniy-fzYTzWImo-mONLHBT66WatH</t>
  </si>
  <si>
    <t>https://drive.google.com/file/d/1eXMFuniy-fzYTzWImo-mONLHBT66WatH/view?usp=drivesdk</t>
  </si>
  <si>
    <t>NURUL HIDAYATI,A.Md.Kep</t>
  </si>
  <si>
    <t>hidayatinurul624@gmail.com</t>
  </si>
  <si>
    <t>8635</t>
  </si>
  <si>
    <t>188z7pBzb4XKSzlI59hr9MGNz-Z5fIrwI</t>
  </si>
  <si>
    <t>https://drive.google.com/file/d/188z7pBzb4XKSzlI59hr9MGNz-Z5fIrwI/view?usp=drivesdk</t>
  </si>
  <si>
    <t>MUHLIS HASIM SIREGAR</t>
  </si>
  <si>
    <t>muhlishasimsiregar@gmail.com</t>
  </si>
  <si>
    <t>8636</t>
  </si>
  <si>
    <t>Starting at Thu Aug 29 2024 22:49:52 GMT-0400 (EDT)</t>
  </si>
  <si>
    <t>13oEFaSIEcxCz8WKM8V-3LY0HwA7bhaXb</t>
  </si>
  <si>
    <t>https://drive.google.com/file/d/13oEFaSIEcxCz8WKM8V-3LY0HwA7bhaXb/view?usp=drivesdk</t>
  </si>
  <si>
    <t>trisnongawi76@gmail.com</t>
  </si>
  <si>
    <t>8637</t>
  </si>
  <si>
    <t>1FAofsrummbMGLQVa91Gxm7qgdC07OSg6</t>
  </si>
  <si>
    <t>https://drive.google.com/file/d/1FAofsrummbMGLQVa91Gxm7qgdC07OSg6/view?usp=drivesdk</t>
  </si>
  <si>
    <t>Document successfully created; Document successfully merged; PDF created; !!Error Sending Emails: Service invoked too many times for one day: email.; Run via form trigger as ecertificate75@gmail.com; Timestamp: Sep 5 2024 11:59 PM</t>
  </si>
  <si>
    <t>RINA HANDAYANI,S.Si</t>
  </si>
  <si>
    <t>rrinahandayanii83@gmail.com</t>
  </si>
  <si>
    <t>8638</t>
  </si>
  <si>
    <t>1Vr9vZIOtUWMpE4xJJr9NVyHyFG1fTUyX</t>
  </si>
  <si>
    <t>https://drive.google.com/file/d/1Vr9vZIOtUWMpE4xJJr9NVyHyFG1fTUyX/view?usp=drivesdk</t>
  </si>
  <si>
    <t>IDA AYU PUTRI, S.A.P.</t>
  </si>
  <si>
    <t>idaayuputri4@gmail.com</t>
  </si>
  <si>
    <t>8639</t>
  </si>
  <si>
    <t>Starting at Thu Aug 29 2024 22:50:12 GMT-0400 (EDT)</t>
  </si>
  <si>
    <t>12HA2bscG3zsUPzIBj0GeIcKOT4zhCmUJ</t>
  </si>
  <si>
    <t>https://drive.google.com/file/d/12HA2bscG3zsUPzIBj0GeIcKOT4zhCmUJ/view?usp=drivesdk</t>
  </si>
  <si>
    <t>RETNO KUSUMANINGRUM</t>
  </si>
  <si>
    <t>retnokusumaningrum72@g.mail</t>
  </si>
  <si>
    <t>8640</t>
  </si>
  <si>
    <t>1jnwta5IJ5uzEeKgWCQ7OFjFdmSu-6iTS</t>
  </si>
  <si>
    <t>https://drive.google.com/file/d/1jnwta5IJ5uzEeKgWCQ7OFjFdmSu-6iTS/view?usp=drivesdk</t>
  </si>
  <si>
    <t>HINDUNSEJATI</t>
  </si>
  <si>
    <t>hindunsejati@gmail.com</t>
  </si>
  <si>
    <t>8641</t>
  </si>
  <si>
    <t>1jCWi4oQzgkiEiKgM-3nA6VmFbN8TQcJ_</t>
  </si>
  <si>
    <t>https://drive.google.com/file/d/1jCWi4oQzgkiEiKgM-3nA6VmFbN8TQcJ_/view?usp=drivesdk</t>
  </si>
  <si>
    <t>srirahayupdg123@gmail.com</t>
  </si>
  <si>
    <t>8642</t>
  </si>
  <si>
    <t>1Y8WtMSwyOVMurv_UhSzMozeGSQJRoiAG</t>
  </si>
  <si>
    <t>https://drive.google.com/file/d/1Y8WtMSwyOVMurv_UhSzMozeGSQJRoiAG/view?usp=drivesdk</t>
  </si>
  <si>
    <t>SITI ROSMAWATY PARDEDE</t>
  </si>
  <si>
    <t>sitirosmawatypardede@gmail.com</t>
  </si>
  <si>
    <t>8643</t>
  </si>
  <si>
    <t>1c-EqGS4cI939RpPdOPQOjBuPbu0Qj-iA</t>
  </si>
  <si>
    <t>https://drive.google.com/file/d/1c-EqGS4cI939RpPdOPQOjBuPbu0Qj-iA/view?usp=drivesdk</t>
  </si>
  <si>
    <t>Document successfully created; Document successfully merged; PDF created; !!Error Sending Emails: Service invoked too many times for one day: email.; Run via form trigger as ecertificate75@gmail.com; Timestamp: Sep 6 2024 12:00 AM</t>
  </si>
  <si>
    <t>SUTINAH</t>
  </si>
  <si>
    <t>yanmasutinah@gmail.com</t>
  </si>
  <si>
    <t>8644</t>
  </si>
  <si>
    <t>1Zz5F-6C6s7xs0NoH0vkziRVwNLGQlu2A</t>
  </si>
  <si>
    <t>https://drive.google.com/file/d/1Zz5F-6C6s7xs0NoH0vkziRVwNLGQlu2A/view?usp=drivesdk</t>
  </si>
  <si>
    <t>MUHADI, S.T., M.Pd.</t>
  </si>
  <si>
    <t>leoviohadi7808@gmail.com</t>
  </si>
  <si>
    <t>8645</t>
  </si>
  <si>
    <t>1zMwFFPKzb2QFYNIrqzKmhqLZ-HzB7lxA</t>
  </si>
  <si>
    <t>https://drive.google.com/file/d/1zMwFFPKzb2QFYNIrqzKmhqLZ-HzB7lxA/view?usp=drivesdk</t>
  </si>
  <si>
    <t>8646</t>
  </si>
  <si>
    <t>1KOZLhUMw7QygWR1QWPOJ6sD5CVbJj4xs</t>
  </si>
  <si>
    <t>https://drive.google.com/file/d/1KOZLhUMw7QygWR1QWPOJ6sD5CVbJj4xs/view?usp=drivesdk</t>
  </si>
  <si>
    <t xml:space="preserve">Edi Narso Agus Indramanto </t>
  </si>
  <si>
    <t>indrafirstasteven@gmail.com</t>
  </si>
  <si>
    <t>8647</t>
  </si>
  <si>
    <t>1-4eBaGkr5p16rrtVZb7nuiZ0jM6FdIxD</t>
  </si>
  <si>
    <t>https://drive.google.com/file/d/1-4eBaGkr5p16rrtVZb7nuiZ0jM6FdIxD/view?usp=drivesdk</t>
  </si>
  <si>
    <t xml:space="preserve">SRI RAHAYU NINGSIH </t>
  </si>
  <si>
    <t>srirahayuningsih1984@gmail.com</t>
  </si>
  <si>
    <t>8648</t>
  </si>
  <si>
    <t>Starting at Thu Aug 29 2024 22:50:24 GMT-0400 (EDT)</t>
  </si>
  <si>
    <t>1ke0eFWXYHESixQLWJ37fStnMozqVlmd-</t>
  </si>
  <si>
    <t>https://drive.google.com/file/d/1ke0eFWXYHESixQLWJ37fStnMozqVlmd-/view?usp=drivesdk</t>
  </si>
  <si>
    <t>MARIA B AMBARITA</t>
  </si>
  <si>
    <t>mamatiyu80@g.mail.com</t>
  </si>
  <si>
    <t>8649</t>
  </si>
  <si>
    <t>1K5wpRSx73RWBa7ccd4Ew9tJwg1WgKN99</t>
  </si>
  <si>
    <t>https://drive.google.com/file/d/1K5wpRSx73RWBa7ccd4Ew9tJwg1WgKN99/view?usp=drivesdk</t>
  </si>
  <si>
    <t>Document successfully created; Document successfully merged; PDF created; !!Error Sending Emails: Service invoked too many times for one day: email.; Run via form trigger as ecertificate75@gmail.com; Timestamp: Sep 6 2024 12:01 AM</t>
  </si>
  <si>
    <t>ERLIN ESA KURNIA</t>
  </si>
  <si>
    <t>erlinesakurnia1979@gmail.com</t>
  </si>
  <si>
    <t>8650</t>
  </si>
  <si>
    <t>1EmUknVhsbYaTNTV2hkyhHBBtsxGU2N2k</t>
  </si>
  <si>
    <t>https://drive.google.com/file/d/1EmUknVhsbYaTNTV2hkyhHBBtsxGU2N2k/view?usp=drivesdk</t>
  </si>
  <si>
    <t>HARWATI</t>
  </si>
  <si>
    <t>harwati2810@gmail.com</t>
  </si>
  <si>
    <t>8651</t>
  </si>
  <si>
    <t>1jBubtHdfKVK0xcDxNzAm-JOJMM1qzLiw</t>
  </si>
  <si>
    <t>https://drive.google.com/file/d/1jBubtHdfKVK0xcDxNzAm-JOJMM1qzLiw/view?usp=drivesdk</t>
  </si>
  <si>
    <t xml:space="preserve">WIWIT WIDIASTUTI </t>
  </si>
  <si>
    <t>ncewiwit86@gmail.com</t>
  </si>
  <si>
    <t>8652</t>
  </si>
  <si>
    <t>1x5BUNGNRF6niv_KukW7l_v2yJMpZI3Fi</t>
  </si>
  <si>
    <t>https://drive.google.com/file/d/1x5BUNGNRF6niv_KukW7l_v2yJMpZI3Fi/view?usp=drivesdk</t>
  </si>
  <si>
    <t>M. SANDOYO, S.Kom, M.H.</t>
  </si>
  <si>
    <t>goronntalosand@gmail.com</t>
  </si>
  <si>
    <t>8653</t>
  </si>
  <si>
    <t>1y3j2mkVhHoj-hoohYvTvpEvfhflQ5AX6</t>
  </si>
  <si>
    <t>https://drive.google.com/file/d/1y3j2mkVhHoj-hoohYvTvpEvfhflQ5AX6/view?usp=drivesdk</t>
  </si>
  <si>
    <t>Document successfully created; Document successfully merged; PDF created; !!Error Sending Emails: Service invoked too many times for one day: email.; Run via form trigger as ecertificate75@gmail.com; Timestamp: Sep 6 2024 12:02 AM</t>
  </si>
  <si>
    <t>AZIZAH, S.H.</t>
  </si>
  <si>
    <t>zizash15@gmail.com</t>
  </si>
  <si>
    <t>8654</t>
  </si>
  <si>
    <t>17Srvmawls1_g5aP5uT7PD_8HHFPxg17n</t>
  </si>
  <si>
    <t>https://drive.google.com/file/d/17Srvmawls1_g5aP5uT7PD_8HHFPxg17n/view?usp=drivesdk</t>
  </si>
  <si>
    <t>Monica Ivony Uly</t>
  </si>
  <si>
    <t>ivonyuly@gmail.com</t>
  </si>
  <si>
    <t>8655</t>
  </si>
  <si>
    <t>1xJlk9klKUkebyjvtavKar7utprXXHfts</t>
  </si>
  <si>
    <t>https://drive.google.com/file/d/1xJlk9klKUkebyjvtavKar7utprXXHfts/view?usp=drivesdk</t>
  </si>
  <si>
    <t>ACHMAD NUR ABIDIN, Amd., Gz</t>
  </si>
  <si>
    <t>achmadnurabidin10@gmail.com</t>
  </si>
  <si>
    <t>8656</t>
  </si>
  <si>
    <t>Starting at Thu Aug 29 2024 22:50:32 GMT-0400 (EDT)</t>
  </si>
  <si>
    <t>1N5OH5J_ht6zx2FZzmjaWWY-TPVZ8NZNl</t>
  </si>
  <si>
    <t>https://drive.google.com/file/d/1N5OH5J_ht6zx2FZzmjaWWY-TPVZ8NZNl/view?usp=drivesdk</t>
  </si>
  <si>
    <t>Document successfully created; Document successfully merged; PDF created; !!Error Sending Emails: Service invoked too many times for one day: email.; Run via form trigger as ecertificate75@gmail.com; Timestamp: Sep 6 2024 12:03 AM</t>
  </si>
  <si>
    <t>DASTIANI</t>
  </si>
  <si>
    <t>dastianim@gmaul.com</t>
  </si>
  <si>
    <t>8657</t>
  </si>
  <si>
    <t>Starting at Thu Aug 29 2024 22:50:38 GMT-0400 (EDT)</t>
  </si>
  <si>
    <t>1IoUW9MKaMyC789DQW2NQBcm-J86mrRiZ</t>
  </si>
  <si>
    <t>https://drive.google.com/file/d/1IoUW9MKaMyC789DQW2NQBcm-J86mrRiZ/view?usp=drivesdk</t>
  </si>
  <si>
    <t>SRI TARNI</t>
  </si>
  <si>
    <t>sriteguh75@gmail.com</t>
  </si>
  <si>
    <t>8658</t>
  </si>
  <si>
    <t>Starting at Thu Aug 29 2024 22:50:40 GMT-0400 (EDT)</t>
  </si>
  <si>
    <t>1I0DlQyEcsaCl_Tm7OC8au3a9QzkerB3R</t>
  </si>
  <si>
    <t>https://drive.google.com/file/d/1I0DlQyEcsaCl_Tm7OC8au3a9QzkerB3R/view?usp=drivesdk</t>
  </si>
  <si>
    <t>BUDOYO</t>
  </si>
  <si>
    <t>budoyoerna123@gmail.com</t>
  </si>
  <si>
    <t>8659</t>
  </si>
  <si>
    <t>Starting at Thu Aug 29 2024 22:50:47 GMT-0400 (EDT)</t>
  </si>
  <si>
    <t>1cXNpqh5Kp4MoIPjbx1oDh4DZBbjWVGUi</t>
  </si>
  <si>
    <t>https://drive.google.com/file/d/1cXNpqh5Kp4MoIPjbx1oDh4DZBbjWVGUi/view?usp=drivesdk</t>
  </si>
  <si>
    <t>INDRA LIVAYANTI, S.ADM</t>
  </si>
  <si>
    <t>livayanti4@gmail.com</t>
  </si>
  <si>
    <t>8660</t>
  </si>
  <si>
    <t>Starting at Thu Aug 29 2024 22:50:53 GMT-0400 (EDT)</t>
  </si>
  <si>
    <t>1cpFc4JjNP3d3sSEsY9rALccD8xR3jaFC</t>
  </si>
  <si>
    <t>https://drive.google.com/file/d/1cpFc4JjNP3d3sSEsY9rALccD8xR3jaFC/view?usp=drivesdk</t>
  </si>
  <si>
    <t>Document successfully created; Document successfully merged; PDF created; !!Error Sending Emails: Service invoked too many times for one day: email.; Run via form trigger as ecertificate75@gmail.com; Timestamp: Sep 6 2024 12:04 AM</t>
  </si>
  <si>
    <t>ANITA ROCHMAWATI</t>
  </si>
  <si>
    <t>salmanbimo@gmail.com</t>
  </si>
  <si>
    <t>8661</t>
  </si>
  <si>
    <t>1-6Dt2_tFtqgoyt2WTNMZ76EfYhe_kLjN</t>
  </si>
  <si>
    <t>https://drive.google.com/file/d/1-6Dt2_tFtqgoyt2WTNMZ76EfYhe_kLjN/view?usp=drivesdk</t>
  </si>
  <si>
    <t>hartini.b69@gmail.com</t>
  </si>
  <si>
    <t>8662</t>
  </si>
  <si>
    <t>134NHDy5nA35hYw7DzEXinsVl-hlcP0vc</t>
  </si>
  <si>
    <t>https://drive.google.com/file/d/134NHDy5nA35hYw7DzEXinsVl-hlcP0vc/view?usp=drivesdk</t>
  </si>
  <si>
    <t>RAIWANSYAH PUTRA</t>
  </si>
  <si>
    <t>raiwan1969@gmail.com</t>
  </si>
  <si>
    <t>8663</t>
  </si>
  <si>
    <t>Starting at Thu Aug 29 2024 22:50:56 GMT-0400 (EDT)</t>
  </si>
  <si>
    <t>1GQaUXLk-QKLIwWTnfClVSZcwffHvQqQe</t>
  </si>
  <si>
    <t>https://drive.google.com/file/d/1GQaUXLk-QKLIwWTnfClVSZcwffHvQqQe/view?usp=drivesdk</t>
  </si>
  <si>
    <t>Yuli Astuti, S.PdI</t>
  </si>
  <si>
    <t>tutitapiannanto@gmail.com</t>
  </si>
  <si>
    <t>8664</t>
  </si>
  <si>
    <t>Starting at Thu Aug 29 2024 22:51:09 GMT-0400 (EDT)</t>
  </si>
  <si>
    <t>1cvEcvhk0INYOlgm_QVtwG2DSCK_kX8Bn</t>
  </si>
  <si>
    <t>https://drive.google.com/file/d/1cvEcvhk0INYOlgm_QVtwG2DSCK_kX8Bn/view?usp=drivesdk</t>
  </si>
  <si>
    <t>FITRIYSH</t>
  </si>
  <si>
    <t>fitriyahfit29@mail.com</t>
  </si>
  <si>
    <t>8665</t>
  </si>
  <si>
    <t>1-482JLCMj9iVZLgCFOAhBLsjASMqp7Jk</t>
  </si>
  <si>
    <t>https://drive.google.com/file/d/1-482JLCMj9iVZLgCFOAhBLsjASMqp7Jk/view?usp=drivesdk</t>
  </si>
  <si>
    <t>Document successfully created; Document successfully merged; PDF created; !!Error Sending Emails: Service invoked too many times for one day: email.; Run via form trigger as ecertificate75@gmail.com; Timestamp: Sep 6 2024 12:05 AM</t>
  </si>
  <si>
    <t>NASRUN</t>
  </si>
  <si>
    <t>condokpandak@gmail.com</t>
  </si>
  <si>
    <t>8666</t>
  </si>
  <si>
    <t>Starting at Thu Aug 29 2024 22:51:11 GMT-0400 (EDT)</t>
  </si>
  <si>
    <t>1nZWutmem7zaISfMOhPrCu2Ox33ox7ECc</t>
  </si>
  <si>
    <t>https://drive.google.com/file/d/1nZWutmem7zaISfMOhPrCu2Ox33ox7ECc/view?usp=drivesdk</t>
  </si>
  <si>
    <t>EMAH MARLINA</t>
  </si>
  <si>
    <t>emah.marlina71@gmail.com</t>
  </si>
  <si>
    <t>8667</t>
  </si>
  <si>
    <t>1f5IPtMyS1LNChYKLZOvkmppN1SoNsWSp</t>
  </si>
  <si>
    <t>https://drive.google.com/file/d/1f5IPtMyS1LNChYKLZOvkmppN1SoNsWSp/view?usp=drivesdk</t>
  </si>
  <si>
    <t>DEWI LESTARI, S.Pd.</t>
  </si>
  <si>
    <t>dewilestari.ibu3anak@gmail.com</t>
  </si>
  <si>
    <t>8668</t>
  </si>
  <si>
    <t>171q8PYtr5Ny1QMU1_n5vB3HToRzV_gHd</t>
  </si>
  <si>
    <t>https://drive.google.com/file/d/171q8PYtr5Ny1QMU1_n5vB3HToRzV_gHd/view?usp=drivesdk</t>
  </si>
  <si>
    <t>SITI SYACHKOMAH</t>
  </si>
  <si>
    <t>syachkomahsiti@gmail.com</t>
  </si>
  <si>
    <t>8669</t>
  </si>
  <si>
    <t>1cM1bNjtumQ5mLbluwUH4iY2CxxSk1_xM</t>
  </si>
  <si>
    <t>https://drive.google.com/file/d/1cM1bNjtumQ5mLbluwUH4iY2CxxSk1_xM/view?usp=drivesdk</t>
  </si>
  <si>
    <t>Document successfully created; Document successfully merged; PDF created; !!Error Sending Emails: Service invoked too many times for one day: email.; Run via form trigger as ecertificate75@gmail.com; Timestamp: Sep 6 2024 12:06 AM</t>
  </si>
  <si>
    <t>JUARI, S.H.</t>
  </si>
  <si>
    <t>nnugroho775@gmail.com</t>
  </si>
  <si>
    <t>8670</t>
  </si>
  <si>
    <t>Starting at Thu Aug 29 2024 22:51:20 GMT-0400 (EDT)</t>
  </si>
  <si>
    <t>1KD_SAJ3D5D9jETQOK6zSa-pnycnSvAFR</t>
  </si>
  <si>
    <t>https://drive.google.com/file/d/1KD_SAJ3D5D9jETQOK6zSa-pnycnSvAFR/view?usp=drivesdk</t>
  </si>
  <si>
    <t>HENY APRIYANTI</t>
  </si>
  <si>
    <t>henybundaraja@gmail.com</t>
  </si>
  <si>
    <t>8671</t>
  </si>
  <si>
    <t>1dI3cWcUlWts-9KDTvkvShf4rkk--prYH</t>
  </si>
  <si>
    <t>https://drive.google.com/file/d/1dI3cWcUlWts-9KDTvkvShf4rkk--prYH/view?usp=drivesdk</t>
  </si>
  <si>
    <t>EDI SISWANTO, S.Sos</t>
  </si>
  <si>
    <t>Bouncezze@gmail.com</t>
  </si>
  <si>
    <t>8672</t>
  </si>
  <si>
    <t>Starting at Thu Aug 29 2024 22:51:23 GMT-0400 (EDT)</t>
  </si>
  <si>
    <t>1ao-2nv0k-tPXsjXIRAN0K1OOis7V3acF</t>
  </si>
  <si>
    <t>https://drive.google.com/file/d/1ao-2nv0k-tPXsjXIRAN0K1OOis7V3acF/view?usp=drivesdk</t>
  </si>
  <si>
    <t>RIZQAL KHAFIDO RAHMAN</t>
  </si>
  <si>
    <t>Rizqal246@gmail.com</t>
  </si>
  <si>
    <t>8673</t>
  </si>
  <si>
    <t>Starting at Thu Aug 29 2024 22:51:31 GMT-0400 (EDT)</t>
  </si>
  <si>
    <t>1aWcHwPOR5EZK8GbBQ-K7Ne2zeRnzkQXF</t>
  </si>
  <si>
    <t>https://drive.google.com/file/d/1aWcHwPOR5EZK8GbBQ-K7Ne2zeRnzkQXF/view?usp=drivesdk</t>
  </si>
  <si>
    <t>Document successfully created; Document successfully merged; PDF created; !!Error Sending Emails: Service invoked too many times for one day: email.; Run via form trigger as ecertificate75@gmail.com; Timestamp: Sep 6 2024 12:07 AM</t>
  </si>
  <si>
    <t>FAHROZI</t>
  </si>
  <si>
    <t>fahrozirozi942@gmail.com</t>
  </si>
  <si>
    <t>8674</t>
  </si>
  <si>
    <t>1EzZvXa3PBrgCDRkYhgf0QSLCd-RVNK0Q</t>
  </si>
  <si>
    <t>https://drive.google.com/file/d/1EzZvXa3PBrgCDRkYhgf0QSLCd-RVNK0Q/view?usp=drivesdk</t>
  </si>
  <si>
    <t>SRI DWIJANTI ANDAYA MUKTI A.Md</t>
  </si>
  <si>
    <t>sridwijanti76@gmail.com</t>
  </si>
  <si>
    <t>8675</t>
  </si>
  <si>
    <t>Starting at Thu Aug 29 2024 22:51:44 GMT-0400 (EDT)</t>
  </si>
  <si>
    <t>1S7pfv8IYxoo49-x6gNpVVA9-eQQ5h-Jr</t>
  </si>
  <si>
    <t>https://drive.google.com/file/d/1S7pfv8IYxoo49-x6gNpVVA9-eQQ5h-Jr/view?usp=drivesdk</t>
  </si>
  <si>
    <t>Document successfully created; Document successfully merged; PDF created; !!Error Sending Emails: Service invoked too many times for one day: email.; Run via form trigger as ecertificate75@gmail.com; Timestamp: Sep 6 2024 12:15 AM</t>
  </si>
  <si>
    <t>Sumaryati, Amd. Keb</t>
  </si>
  <si>
    <t>sumaryati26041989@gmail.com</t>
  </si>
  <si>
    <t>8676</t>
  </si>
  <si>
    <t>19bd3KLV55-L1UP4vOvJqC3fvoh2x_55q</t>
  </si>
  <si>
    <t>https://drive.google.com/file/d/19bd3KLV55-L1UP4vOvJqC3fvoh2x_55q/view?usp=drivesdk</t>
  </si>
  <si>
    <t>ASIDO BENARDO PARDAMEAN</t>
  </si>
  <si>
    <t>zonaintegritasbidkeupoldajabar@gmail.com</t>
  </si>
  <si>
    <t>8677</t>
  </si>
  <si>
    <t>Starting at Thu Aug 29 2024 22:51:56 GMT-0400 (EDT)</t>
  </si>
  <si>
    <t>1Jbt2mCQ4mrzcmY7WR-Ha7gTsGVVkTqMw</t>
  </si>
  <si>
    <t>https://drive.google.com/file/d/1Jbt2mCQ4mrzcmY7WR-Ha7gTsGVVkTqMw/view?usp=drivesdk</t>
  </si>
  <si>
    <t>ANANTO PRATIKNO, A.Md.</t>
  </si>
  <si>
    <t>sanovananto@gmail.com</t>
  </si>
  <si>
    <t>8678</t>
  </si>
  <si>
    <t>1juXMpm9CAPFDJjwNvItIGZ5oZ4pa9ZEJ</t>
  </si>
  <si>
    <t>https://drive.google.com/file/d/1juXMpm9CAPFDJjwNvItIGZ5oZ4pa9ZEJ/view?usp=drivesdk</t>
  </si>
  <si>
    <t>ERITA PIALA SINAGA, Amd.Kep</t>
  </si>
  <si>
    <t>eritapiala73@gmail.com</t>
  </si>
  <si>
    <t>8679</t>
  </si>
  <si>
    <t>Starting at Thu Aug 29 2024 22:51:57 GMT-0400 (EDT)</t>
  </si>
  <si>
    <t>1smvJIOIOWoLDXMXZ46CCrWMfMfcQVJG5</t>
  </si>
  <si>
    <t>https://drive.google.com/file/d/1smvJIOIOWoLDXMXZ46CCrWMfMfcQVJG5/view?usp=drivesdk</t>
  </si>
  <si>
    <t>Document successfully created; Document successfully merged; PDF created; !!Error Sending Emails: Service invoked too many times for one day: email.; Run via form trigger as ecertificate75@gmail.com; Timestamp: Sep 6 2024 12:16 AM</t>
  </si>
  <si>
    <t>HULFAH FARIANA S.H.</t>
  </si>
  <si>
    <t>ddora8427@gmail.com</t>
  </si>
  <si>
    <t>8680</t>
  </si>
  <si>
    <t>Starting at Thu Aug 29 2024 22:52:12 GMT-0400 (EDT)</t>
  </si>
  <si>
    <t>1LCbaphB5Cg9tFLRF1K0Y_hjBQcLVMZDV</t>
  </si>
  <si>
    <t>https://drive.google.com/file/d/1LCbaphB5Cg9tFLRF1K0Y_hjBQcLVMZDV/view?usp=drivesdk</t>
  </si>
  <si>
    <t>BALMER VICTOR PANGARIBUAN</t>
  </si>
  <si>
    <t>8681</t>
  </si>
  <si>
    <t>1iZk2zb5m3xpzQrMvoNWaCgDJR-DUCrPZ</t>
  </si>
  <si>
    <t>https://drive.google.com/file/d/1iZk2zb5m3xpzQrMvoNWaCgDJR-DUCrPZ/view?usp=drivesdk</t>
  </si>
  <si>
    <t>RADEN AYU SRI HASTUTI, S.Tr.Keb., SKM</t>
  </si>
  <si>
    <t>srihastutiradenayu@gmail.com</t>
  </si>
  <si>
    <t>8682</t>
  </si>
  <si>
    <t>1RJlK34g1IYmEmtiLXp4gGv2L49sER2qy</t>
  </si>
  <si>
    <t>https://drive.google.com/file/d/1RJlK34g1IYmEmtiLXp4gGv2L49sER2qy/view?usp=drivesdk</t>
  </si>
  <si>
    <t>Document successfully created; Document successfully merged; PDF created; !!Error Sending Emails: Service invoked too many times for one day: email.; Run via form trigger as ecertificate75@gmail.com; Timestamp: Sep 6 2024 12:17 AM</t>
  </si>
  <si>
    <t>sukartini.tini1973@gmail.com</t>
  </si>
  <si>
    <t>8683</t>
  </si>
  <si>
    <t>Starting at Thu Aug 29 2024 22:52:21 GMT-0400 (EDT)</t>
  </si>
  <si>
    <t>1GoEUAO7JkV-UO0jn_oRtGyR2V_PYncLD</t>
  </si>
  <si>
    <t>https://drive.google.com/file/d/1GoEUAO7JkV-UO0jn_oRtGyR2V_PYncLD/view?usp=drivesdk</t>
  </si>
  <si>
    <t xml:space="preserve">DWI PRABAYU NIKENTARI, A.Md. </t>
  </si>
  <si>
    <t>nikentari87@gmail.com</t>
  </si>
  <si>
    <t>8684</t>
  </si>
  <si>
    <t>1QBQvZIegR2IClgQf9gWMNawgjSKbCzyo</t>
  </si>
  <si>
    <t>https://drive.google.com/file/d/1QBQvZIegR2IClgQf9gWMNawgjSKbCzyo/view?usp=drivesdk</t>
  </si>
  <si>
    <t>DELAVENTA SIMANJUNTAK S.E.</t>
  </si>
  <si>
    <t>delasimanjuntak2@gmail.com</t>
  </si>
  <si>
    <t>8685</t>
  </si>
  <si>
    <t>Starting at Thu Aug 29 2024 22:52:43 GMT-0400 (EDT)</t>
  </si>
  <si>
    <t>1J9u8LPRFiUNwfmFzoqtkGk19ZNbrSyww</t>
  </si>
  <si>
    <t>https://drive.google.com/file/d/1J9u8LPRFiUNwfmFzoqtkGk19ZNbrSyww/view?usp=drivesdk</t>
  </si>
  <si>
    <t>Document successfully created; Document successfully merged; PDF created; !!Error Sending Emails: Service invoked too many times for one day: email.; Run via form trigger as ecertificate75@gmail.com; Timestamp: Sep 6 2024 12:18 AM</t>
  </si>
  <si>
    <t xml:space="preserve">ORDI HABEL KAMLASI, Amd. Kep, </t>
  </si>
  <si>
    <t>ordikamlasi@gmail.com</t>
  </si>
  <si>
    <t>8686</t>
  </si>
  <si>
    <t>1cKu_a3Zld6md917re23ShrNCOftYN3JV</t>
  </si>
  <si>
    <t>https://drive.google.com/file/d/1cKu_a3Zld6md917re23ShrNCOftYN3JV/view?usp=drivesdk</t>
  </si>
  <si>
    <t>Made Ngurah Debi Dwipayana Putra</t>
  </si>
  <si>
    <t>dwipayana92@gmail.com</t>
  </si>
  <si>
    <t>8687</t>
  </si>
  <si>
    <t>Starting at Thu Aug 29 2024 22:52:51 GMT-0400 (EDT)</t>
  </si>
  <si>
    <t>1bdlOZ2lFQBsnpVTw8x3P5FPkWP4KbwNI</t>
  </si>
  <si>
    <t>https://drive.google.com/file/d/1bdlOZ2lFQBsnpVTw8x3P5FPkWP4KbwNI/view?usp=drivesdk</t>
  </si>
  <si>
    <t>DR. NOFITA NORMALASARI</t>
  </si>
  <si>
    <t>nofitan@gmail.com</t>
  </si>
  <si>
    <t>8688</t>
  </si>
  <si>
    <t>1rVYxinBZ3FkY4dvdmI81VhzUCzIn8rzT</t>
  </si>
  <si>
    <t>https://drive.google.com/file/d/1rVYxinBZ3FkY4dvdmI81VhzUCzIn8rzT/view?usp=drivesdk</t>
  </si>
  <si>
    <t xml:space="preserve">Evi Irawati Sianturi </t>
  </si>
  <si>
    <t>eviirawatisianturi@gmail.com</t>
  </si>
  <si>
    <t>8689</t>
  </si>
  <si>
    <t>Starting at Thu Aug 29 2024 22:52:59 GMT-0400 (EDT)</t>
  </si>
  <si>
    <t>17hUVh1bxoDHtZnw-Wz8CvFA14r1S-srk</t>
  </si>
  <si>
    <t>https://drive.google.com/file/d/17hUVh1bxoDHtZnw-Wz8CvFA14r1S-srk/view?usp=drivesdk</t>
  </si>
  <si>
    <t>Document successfully created; Document successfully merged; PDF created; !!Error Sending Emails: Service invoked too many times for one day: email.; Run via form trigger as ecertificate75@gmail.com; Timestamp: Sep 6 2024 12:19 AM</t>
  </si>
  <si>
    <t>HAERIAH</t>
  </si>
  <si>
    <t>Cylafariz@gmail.com</t>
  </si>
  <si>
    <t>8690</t>
  </si>
  <si>
    <t>1xRo4mVSSS9NLcJoOatzhu1CHR0o2NO7l</t>
  </si>
  <si>
    <t>https://drive.google.com/file/d/1xRo4mVSSS9NLcJoOatzhu1CHR0o2NO7l/view?usp=drivesdk</t>
  </si>
  <si>
    <t>subbagdalperskra@gmail.com</t>
  </si>
  <si>
    <t>8691</t>
  </si>
  <si>
    <t>Starting at Thu Aug 29 2024 22:53:03 GMT-0400 (EDT)</t>
  </si>
  <si>
    <t>1wqJjbCYMUZDLUvK4TGmRQsaDLw_uZUds</t>
  </si>
  <si>
    <t>https://drive.google.com/file/d/1wqJjbCYMUZDLUvK4TGmRQsaDLw_uZUds/view?usp=drivesdk</t>
  </si>
  <si>
    <t>WAHYU ESTIKOMAH</t>
  </si>
  <si>
    <t>ayupoda@gmail.com</t>
  </si>
  <si>
    <t>8692</t>
  </si>
  <si>
    <t>1-1KYfoBLMJ4x5m6PMWAX8hTrSy_nPFyI</t>
  </si>
  <si>
    <t>https://drive.google.com/file/d/1-1KYfoBLMJ4x5m6PMWAX8hTrSy_nPFyI/view?usp=drivesdk</t>
  </si>
  <si>
    <t>Document successfully created; Document successfully merged; PDF created; !!Error Sending Emails: Service invoked too many times for one day: email.; Run via form trigger as ecertificate75@gmail.com; Timestamp: Sep 6 2024 12:20 AM</t>
  </si>
  <si>
    <t>DARYANTO, SE</t>
  </si>
  <si>
    <t>daryantoadmojo@gmail.com</t>
  </si>
  <si>
    <t>8693</t>
  </si>
  <si>
    <t>1iNVtZLVm-5gI3yZL8-CrjBemE_CcTcOx</t>
  </si>
  <si>
    <t>https://drive.google.com/file/d/1iNVtZLVm-5gI3yZL8-CrjBemE_CcTcOx/view?usp=drivesdk</t>
  </si>
  <si>
    <t>Document successfully created; Document successfully merged; PDF created; !!Error Sending Emails: Service invoked too many times for one day: email.; Run via form trigger as ecertificate75@gmail.com; Timestamp: Sep 6 2024 12:53 AM</t>
  </si>
  <si>
    <t>ENDI SUHENDI</t>
  </si>
  <si>
    <t>wanksth2014@gmail.com</t>
  </si>
  <si>
    <t>8694</t>
  </si>
  <si>
    <t>Starting at Thu Aug 29 2024 22:53:07 GMT-0400 (EDT)</t>
  </si>
  <si>
    <t>1MuwbJs9nW9eVzDvoVJBsNqPmVb3CUxlp</t>
  </si>
  <si>
    <t>https://drive.google.com/file/d/1MuwbJs9nW9eVzDvoVJBsNqPmVb3CUxlp/view?usp=drivesdk</t>
  </si>
  <si>
    <t>IMAM MUQODAR, S.E.</t>
  </si>
  <si>
    <t>imam.mq2015@gmail.com</t>
  </si>
  <si>
    <t>8695</t>
  </si>
  <si>
    <t>Starting at Thu Aug 29 2024 22:53:19 GMT-0400 (EDT)</t>
  </si>
  <si>
    <t>127eLpkUNqFviIrx8I9Crw0RYC_irpkxv</t>
  </si>
  <si>
    <t>https://drive.google.com/file/d/127eLpkUNqFviIrx8I9Crw0RYC_irpkxv/view?usp=drivesdk</t>
  </si>
  <si>
    <t xml:space="preserve">RATNA CHRISDIANA </t>
  </si>
  <si>
    <t>ratnachrisdiana@gmail.com</t>
  </si>
  <si>
    <t>8696</t>
  </si>
  <si>
    <t>1V77RhePR3Q2cnhNfL8pf4X8Ej3T-XoW-</t>
  </si>
  <si>
    <t>https://drive.google.com/file/d/1V77RhePR3Q2cnhNfL8pf4X8Ej3T-XoW-/view?usp=drivesdk</t>
  </si>
  <si>
    <t>TRISNA DWI WULANDARIK</t>
  </si>
  <si>
    <t>trisnajayapura622@gmail.com</t>
  </si>
  <si>
    <t>8697</t>
  </si>
  <si>
    <t>Starting at Thu Aug 29 2024 22:53:36 GMT-0400 (EDT)</t>
  </si>
  <si>
    <t>19PZSdmjrCDiz4uvBK_dWwrrV0I8N8HDh</t>
  </si>
  <si>
    <t>https://drive.google.com/file/d/19PZSdmjrCDiz4uvBK_dWwrrV0I8N8HDh/view?usp=drivesdk</t>
  </si>
  <si>
    <t>Document successfully created; Document successfully merged; PDF created; !!Error Sending Emails: Service invoked too many times for one day: email.; Run via form trigger as ecertificate75@gmail.com; Timestamp: Sep 6 2024 12:54 AM</t>
  </si>
  <si>
    <t>FITRI MARIA SIMANJUNTAK, S.Kom</t>
  </si>
  <si>
    <t>mariafitri43@gmail.com</t>
  </si>
  <si>
    <t>8698</t>
  </si>
  <si>
    <t>1oyl1jBGDxb1zP7pf13-_A__YjE2eTUzY</t>
  </si>
  <si>
    <t>https://drive.google.com/file/d/1oyl1jBGDxb1zP7pf13-_A__YjE2eTUzY/view?usp=drivesdk</t>
  </si>
  <si>
    <t>FAHNILA RASYID</t>
  </si>
  <si>
    <t>fahnilarasyid77@gmail.com</t>
  </si>
  <si>
    <t>8699</t>
  </si>
  <si>
    <t>1sZX4elg-8jL4i6JjXqMJ9wpX9mNoxQiN</t>
  </si>
  <si>
    <t>https://drive.google.com/file/d/1sZX4elg-8jL4i6JjXqMJ9wpX9mNoxQiN/view?usp=drivesdk</t>
  </si>
  <si>
    <t>NURYANA CAHAYAWATI, SE</t>
  </si>
  <si>
    <t>nuryanawabprof@gmail.com</t>
  </si>
  <si>
    <t>8700</t>
  </si>
  <si>
    <t>Starting at Thu Aug 29 2024 22:53:41 GMT-0400 (EDT)</t>
  </si>
  <si>
    <t>1MO1zvwPZFQr3bqseCk4x5ed1amcJpjo4</t>
  </si>
  <si>
    <t>https://drive.google.com/file/d/1MO1zvwPZFQr3bqseCk4x5ed1amcJpjo4/view?usp=drivesdk</t>
  </si>
  <si>
    <t>SANTI EKA MUTIA, S.E.</t>
  </si>
  <si>
    <t>santikamutia@gmail.com</t>
  </si>
  <si>
    <t>8701</t>
  </si>
  <si>
    <t>1r3uECoiweTW5MTD8JxzBEHO5VarrZ6Fm</t>
  </si>
  <si>
    <t>https://drive.google.com/file/d/1r3uECoiweTW5MTD8JxzBEHO5VarrZ6Fm/view?usp=drivesdk</t>
  </si>
  <si>
    <t>ERVINA</t>
  </si>
  <si>
    <t>ervina.bw2015@gmail.com</t>
  </si>
  <si>
    <t>8702</t>
  </si>
  <si>
    <t>Starting at Thu Aug 29 2024 22:53:43 GMT-0400 (EDT)</t>
  </si>
  <si>
    <t>1NfZoEojYo6l__r4M_BZJCY0gsr5HWjkP</t>
  </si>
  <si>
    <t>https://drive.google.com/file/d/1NfZoEojYo6l__r4M_BZJCY0gsr5HWjkP/view?usp=drivesdk</t>
  </si>
  <si>
    <t>DR. NISA LADYASARI</t>
  </si>
  <si>
    <t>nisaladyasari.fk@gmail.com</t>
  </si>
  <si>
    <t>8703</t>
  </si>
  <si>
    <t>Starting at Thu Aug 29 2024 22:53:49 GMT-0400 (EDT)</t>
  </si>
  <si>
    <t>13rVOBuv1nK0mqgWwXjgZ_OIWN31mhMYx</t>
  </si>
  <si>
    <t>https://drive.google.com/file/d/13rVOBuv1nK0mqgWwXjgZ_OIWN31mhMYx/view?usp=drivesdk</t>
  </si>
  <si>
    <t>DESSY DAME YANTI.,Amd.Kep</t>
  </si>
  <si>
    <t>echydames@gmail.com</t>
  </si>
  <si>
    <t>8704</t>
  </si>
  <si>
    <t>Starting at Thu Aug 29 2024 22:53:56 GMT-0400 (EDT)</t>
  </si>
  <si>
    <t>1NYpO4VzyqmIQPDI_gUQLfolFKUoJvwn-</t>
  </si>
  <si>
    <t>https://drive.google.com/file/d/1NYpO4VzyqmIQPDI_gUQLfolFKUoJvwn-/view?usp=drivesdk</t>
  </si>
  <si>
    <t xml:space="preserve">Faris Adyani Anamisa </t>
  </si>
  <si>
    <t>elsa1.raifa2@gmail.com</t>
  </si>
  <si>
    <t>8705</t>
  </si>
  <si>
    <t>Starting at Thu Aug 29 2024 22:53:58 GMT-0400 (EDT)</t>
  </si>
  <si>
    <t>1i-MoystIpI9xEN6hdqU_WZdpPOFjZ2aL</t>
  </si>
  <si>
    <t>https://drive.google.com/file/d/1i-MoystIpI9xEN6hdqU_WZdpPOFjZ2aL/view?usp=drivesdk</t>
  </si>
  <si>
    <t>dr I NYOMAN DARSANA M BIOMED S.p.N</t>
  </si>
  <si>
    <t>ndar1977@gmail.com</t>
  </si>
  <si>
    <t>8706</t>
  </si>
  <si>
    <t>Starting at Thu Aug 29 2024 22:54:04 GMT-0400 (EDT)</t>
  </si>
  <si>
    <t>1J0z0FnhcksbUG6kyFDdnXbUf2K6ilUwe</t>
  </si>
  <si>
    <t>https://drive.google.com/file/d/1J0z0FnhcksbUG6kyFDdnXbUf2K6ilUwe/view?usp=drivesdk</t>
  </si>
  <si>
    <t>sisi.anriz@gmail.com</t>
  </si>
  <si>
    <t>8707</t>
  </si>
  <si>
    <t>Starting at Thu Aug 29 2024 22:54:06 GMT-0400 (EDT)</t>
  </si>
  <si>
    <t>1m3HsiFuzTx2fR2NMQ5uln6OuLpZ_JMhv</t>
  </si>
  <si>
    <t>https://drive.google.com/file/d/1m3HsiFuzTx2fR2NMQ5uln6OuLpZ_JMhv/view?usp=drivesdk</t>
  </si>
  <si>
    <t>ERINA ARIYANI</t>
  </si>
  <si>
    <t>ariyani.erina@gmail.com</t>
  </si>
  <si>
    <t>8708</t>
  </si>
  <si>
    <t>Starting at Thu Aug 29 2024 22:54:20 GMT-0400 (EDT)</t>
  </si>
  <si>
    <t>1oM47pddroAMcX2LRXMLBDMPZnaY6hl4G</t>
  </si>
  <si>
    <t>https://drive.google.com/file/d/1oM47pddroAMcX2LRXMLBDMPZnaY6hl4G/view?usp=drivesdk</t>
  </si>
  <si>
    <t>IRNI HASTUTI, SE.,MM</t>
  </si>
  <si>
    <t>irni29@gmail.com</t>
  </si>
  <si>
    <t>8709</t>
  </si>
  <si>
    <t>1awcNfZk-29oPeQxxIFOovME-PcVs_uJv</t>
  </si>
  <si>
    <t>https://drive.google.com/file/d/1awcNfZk-29oPeQxxIFOovME-PcVs_uJv/view?usp=drivesdk</t>
  </si>
  <si>
    <t>RAKHMAD ZENI ATMAKA</t>
  </si>
  <si>
    <t>zen.paijo@gmail.com</t>
  </si>
  <si>
    <t>8710</t>
  </si>
  <si>
    <t>1NIxndNnvejIXbNXD72jWZlF8fHqjwYuN</t>
  </si>
  <si>
    <t>https://drive.google.com/file/d/1NIxndNnvejIXbNXD72jWZlF8fHqjwYuN/view?usp=drivesdk</t>
  </si>
  <si>
    <t>ALVA F. M. MANUPUTTY, S.H.</t>
  </si>
  <si>
    <t>alfa.man72@gmail.com</t>
  </si>
  <si>
    <t>8711</t>
  </si>
  <si>
    <t>Starting at Thu Aug 29 2024 22:54:28 GMT-0400 (EDT)</t>
  </si>
  <si>
    <t>1bE3LJhEMyQz_A87iTuv3EQ5nlUSB38JN</t>
  </si>
  <si>
    <t>https://drive.google.com/file/d/1bE3LJhEMyQz_A87iTuv3EQ5nlUSB38JN/view?usp=drivesdk</t>
  </si>
  <si>
    <t>ETY KUNTARI</t>
  </si>
  <si>
    <t>etykuntari82@gmail.com</t>
  </si>
  <si>
    <t>8712</t>
  </si>
  <si>
    <t>Starting at Thu Aug 29 2024 22:54:30 GMT-0400 (EDT)</t>
  </si>
  <si>
    <t>1ecv7nTIRdmvpQfyULPvNsWSiSewtfi5f</t>
  </si>
  <si>
    <t>https://drive.google.com/file/d/1ecv7nTIRdmvpQfyULPvNsWSiSewtfi5f/view?usp=drivesdk</t>
  </si>
  <si>
    <t>Document successfully created; Document successfully merged; PDF created; !!Error Sending Emails: Service invoked too many times for one day: email.; Run via form trigger as ecertificate75@gmail.com; Timestamp: Sep 5 2024 11:55 PM</t>
  </si>
  <si>
    <t>RADEN AJENG VIVI YUNITASARI, A.Md. Farm</t>
  </si>
  <si>
    <t>vivi.yunitasari1309@gmail.com</t>
  </si>
  <si>
    <t>8713</t>
  </si>
  <si>
    <t>Starting at Thu Aug 29 2024 22:54:40 GMT-0400 (EDT)</t>
  </si>
  <si>
    <t>1ZElZOqFHDW7LHW8AES7ycNZYKqTayb7x</t>
  </si>
  <si>
    <t>https://drive.google.com/file/d/1ZElZOqFHDW7LHW8AES7ycNZYKqTayb7x/view?usp=drivesdk</t>
  </si>
  <si>
    <t>MARIANI, S.H.</t>
  </si>
  <si>
    <t>muaddas62@gmail.com</t>
  </si>
  <si>
    <t>8714</t>
  </si>
  <si>
    <t>Starting at Thu Aug 29 2024 22:54:45 GMT-0400 (EDT)</t>
  </si>
  <si>
    <t>1j-VQ580H0cR6cn6fTT23tBKfjY7qo6JR</t>
  </si>
  <si>
    <t>https://drive.google.com/file/d/1j-VQ580H0cR6cn6fTT23tBKfjY7qo6JR/view?usp=drivesdk</t>
  </si>
  <si>
    <t xml:space="preserve">ARIYANTO, S.KOM </t>
  </si>
  <si>
    <t>aryanto.pensat@gmail.com</t>
  </si>
  <si>
    <t>8715</t>
  </si>
  <si>
    <t>Starting at Thu Aug 29 2024 22:54:47 GMT-0400 (EDT)</t>
  </si>
  <si>
    <t>1_xuQMugukdNraEC4P-hddzFmRuFXuUCH</t>
  </si>
  <si>
    <t>https://drive.google.com/file/d/1_xuQMugukdNraEC4P-hddzFmRuFXuUCH/view?usp=drivesdk</t>
  </si>
  <si>
    <t>MOCH PONIMAN</t>
  </si>
  <si>
    <t>mochponiman68@gmail.com</t>
  </si>
  <si>
    <t>8716</t>
  </si>
  <si>
    <t>Starting at Thu Aug 29 2024 22:54:49 GMT-0400 (EDT)</t>
  </si>
  <si>
    <t>1OLu4v05XmLGl-5PuN-ygxzGUsapOSc-n</t>
  </si>
  <si>
    <t>https://drive.google.com/file/d/1OLu4v05XmLGl-5PuN-ygxzGUsapOSc-n/view?usp=drivesdk</t>
  </si>
  <si>
    <t>SUWARDI</t>
  </si>
  <si>
    <t>suwardibobi@gmail.com</t>
  </si>
  <si>
    <t>8717</t>
  </si>
  <si>
    <t>1SL3By9jTsJ1MwxhOkisC1ZANQvr62Gl6</t>
  </si>
  <si>
    <t>https://drive.google.com/file/d/1SL3By9jTsJ1MwxhOkisC1ZANQvr62Gl6/view?usp=drivesdk</t>
  </si>
  <si>
    <t>Document successfully created; Document successfully merged; PDF created; !!Error Sending Emails: Service invoked too many times for one day: email.; Run via form trigger as ecertificate75@gmail.com; Timestamp: Sep 5 2024 11:56 PM</t>
  </si>
  <si>
    <t>Agus Budhi Santoso</t>
  </si>
  <si>
    <t>thalitanursantoso@gmail.com</t>
  </si>
  <si>
    <t>8718</t>
  </si>
  <si>
    <t>Starting at Thu Aug 29 2024 22:54:52 GMT-0400 (EDT)</t>
  </si>
  <si>
    <t>1zGr62GiqCGAqFgxXsMluoCg9ppfZlmWV</t>
  </si>
  <si>
    <t>https://drive.google.com/file/d/1zGr62GiqCGAqFgxXsMluoCg9ppfZlmWV/view?usp=drivesdk</t>
  </si>
  <si>
    <t>8719</t>
  </si>
  <si>
    <t>Starting at Thu Aug 29 2024 22:54:55 GMT-0400 (EDT)</t>
  </si>
  <si>
    <t>1-AlPOF7xmnG6ssFbvCg863VKJPgFi79t</t>
  </si>
  <si>
    <t>https://drive.google.com/file/d/1-AlPOF7xmnG6ssFbvCg863VKJPgFi79t/view?usp=drivesdk</t>
  </si>
  <si>
    <t>SUPRIANI</t>
  </si>
  <si>
    <t>anie.aura10@gmail.com</t>
  </si>
  <si>
    <t>8720</t>
  </si>
  <si>
    <t>Starting at Thu Aug 29 2024 22:54:58 GMT-0400 (EDT)</t>
  </si>
  <si>
    <t>1EkRRzXuV5d4YYRors3EOA95fCWeqikBz</t>
  </si>
  <si>
    <t>https://drive.google.com/file/d/1EkRRzXuV5d4YYRors3EOA95fCWeqikBz/view?usp=drivesdk</t>
  </si>
  <si>
    <t>SRINGATI</t>
  </si>
  <si>
    <t>sringatipati@gmail.com</t>
  </si>
  <si>
    <t>8721</t>
  </si>
  <si>
    <t>Starting at Thu Aug 29 2024 22:57:22 GMT-0400 (EDT)</t>
  </si>
  <si>
    <t>1KxvABr7rk0bB-P8Dxf6uQQEzNnvjUt7Q</t>
  </si>
  <si>
    <t>https://drive.google.com/file/d/1KxvABr7rk0bB-P8Dxf6uQQEzNnvjUt7Q/view?usp=drivesdk</t>
  </si>
  <si>
    <t>NUR BUJANG ISKANDAR</t>
  </si>
  <si>
    <t>nurbujang@gmail.com</t>
  </si>
  <si>
    <t>8722</t>
  </si>
  <si>
    <t>1pN7_c6hO5dq0AoZkV3gdU_bxwVookV6_</t>
  </si>
  <si>
    <t>https://drive.google.com/file/d/1pN7_c6hO5dq0AoZkV3gdU_bxwVookV6_/view?usp=drivesdk</t>
  </si>
  <si>
    <t xml:space="preserve">RINA KURNIAWATI </t>
  </si>
  <si>
    <t>rinakurniawati1970@gmail.com</t>
  </si>
  <si>
    <t>8723</t>
  </si>
  <si>
    <t>1SuwJeJRHEIlnvEMWthQX8JDO89x1EgRz</t>
  </si>
  <si>
    <t>https://drive.google.com/file/d/1SuwJeJRHEIlnvEMWthQX8JDO89x1EgRz/view?usp=drivesdk</t>
  </si>
  <si>
    <t>ELPINA RITONGA</t>
  </si>
  <si>
    <t>elvinaritonga79@gmail.com</t>
  </si>
  <si>
    <t>8724</t>
  </si>
  <si>
    <t>1PJ6BI5Nn5JV7e2hU3zRacSVm4ecH6_D3</t>
  </si>
  <si>
    <t>https://drive.google.com/file/d/1PJ6BI5Nn5JV7e2hU3zRacSVm4ecH6_D3/view?usp=drivesdk</t>
  </si>
  <si>
    <t xml:space="preserve">WIDYA HASTUTI </t>
  </si>
  <si>
    <t>widyaaastuti029@gmail.com</t>
  </si>
  <si>
    <t>8725</t>
  </si>
  <si>
    <t>1CThZSc61LSX_QXF87NmvCvOmWT2K8_Ra</t>
  </si>
  <si>
    <t>https://drive.google.com/file/d/1CThZSc61LSX_QXF87NmvCvOmWT2K8_Ra/view?usp=drivesdk</t>
  </si>
  <si>
    <t>Document successfully created; Document successfully merged; PDF created; !!Error Sending Emails: Service invoked too many times for one day: email.; Run via form trigger as ecertificate75@gmail.com; Timestamp: Sep 6 2024 12:55 AM</t>
  </si>
  <si>
    <t>FITRA HAYATI, S.E.</t>
  </si>
  <si>
    <t>fitra86.fh@gmail.com</t>
  </si>
  <si>
    <t>8726</t>
  </si>
  <si>
    <t>1YelpAaGN9HS_6Krqjh_2TPj-prxCntb6</t>
  </si>
  <si>
    <t>https://drive.google.com/file/d/1YelpAaGN9HS_6Krqjh_2TPj-prxCntb6/view?usp=drivesdk</t>
  </si>
  <si>
    <t>SRI SUMARMI</t>
  </si>
  <si>
    <t>srisumarmi@gmail.com</t>
  </si>
  <si>
    <t>8727</t>
  </si>
  <si>
    <t>1UbsJU2kvW6NXgxuWoD5KznAaQ-yz2WA8</t>
  </si>
  <si>
    <t>https://drive.google.com/file/d/1UbsJU2kvW6NXgxuWoD5KznAaQ-yz2WA8/view?usp=drivesdk</t>
  </si>
  <si>
    <t>8728</t>
  </si>
  <si>
    <t>1NLLV8vSXgXLQ3QVHObb9Dhi3gKnwSuto</t>
  </si>
  <si>
    <t>https://drive.google.com/file/d/1NLLV8vSXgXLQ3QVHObb9Dhi3gKnwSuto/view?usp=drivesdk</t>
  </si>
  <si>
    <t>LINCOLN MANALU</t>
  </si>
  <si>
    <t>lincolnmanalu922@gmail.com</t>
  </si>
  <si>
    <t>8729</t>
  </si>
  <si>
    <t>1kcEmE551KYE4JTGk9JfHgchg9NYJmsJb</t>
  </si>
  <si>
    <t>https://drive.google.com/file/d/1kcEmE551KYE4JTGk9JfHgchg9NYJmsJb/view?usp=drivesdk</t>
  </si>
  <si>
    <t>Document successfully created; Document successfully merged; PDF created; !!Error Sending Emails: Service invoked too many times for one day: email.; Run via form trigger as ecertificate75@gmail.com; Timestamp: Sep 6 2024 12:56 AM</t>
  </si>
  <si>
    <t>FRANSISCUS XAVERIUS CHARLIE GUSTAF NURAK</t>
  </si>
  <si>
    <t>kaka.alick@gmail.com</t>
  </si>
  <si>
    <t>8730</t>
  </si>
  <si>
    <t>1rrQE366EwSQIqUC0N6PWw1paiLEdbTr6</t>
  </si>
  <si>
    <t>https://drive.google.com/file/d/1rrQE366EwSQIqUC0N6PWw1paiLEdbTr6/view?usp=drivesdk</t>
  </si>
  <si>
    <t>ASTUTIK, S.E.</t>
  </si>
  <si>
    <t>tutiktutik250@gmail.com</t>
  </si>
  <si>
    <t>8731</t>
  </si>
  <si>
    <t>1gs1MEhH8ByGE55YZx1Y9lOyFgTj2Oajr</t>
  </si>
  <si>
    <t>https://drive.google.com/file/d/1gs1MEhH8ByGE55YZx1Y9lOyFgTj2Oajr/view?usp=drivesdk</t>
  </si>
  <si>
    <t>JIRATIN,A.Md.Keb</t>
  </si>
  <si>
    <t>jiratin3@gmail.com</t>
  </si>
  <si>
    <t>8732</t>
  </si>
  <si>
    <t>1zPNM4b3CfS46_OD2D1i1JF79QjRKKh3h</t>
  </si>
  <si>
    <t>https://drive.google.com/file/d/1zPNM4b3CfS46_OD2D1i1JF79QjRKKh3h/view?usp=drivesdk</t>
  </si>
  <si>
    <t>Document successfully created; Document successfully merged; PDF created; !!Error Sending Emails: Service invoked too many times for one day: email.; Run via form trigger as ecertificate75@gmail.com; Timestamp: Sep 6 2024 12:57 AM</t>
  </si>
  <si>
    <t>Chalvin Van Duminggus Anugerahno, Amd. Kep</t>
  </si>
  <si>
    <t>anugerahno@gmail.com</t>
  </si>
  <si>
    <t>8733</t>
  </si>
  <si>
    <t>1cOZVLlbplNPHa2FcBFlOfJ9btv4nkmXq</t>
  </si>
  <si>
    <t>https://drive.google.com/file/d/1cOZVLlbplNPHa2FcBFlOfJ9btv4nkmXq/view?usp=drivesdk</t>
  </si>
  <si>
    <t>DEDI DAHLAN</t>
  </si>
  <si>
    <t>dahlandedi2@gmail.com</t>
  </si>
  <si>
    <t>8734</t>
  </si>
  <si>
    <t>1gKhx-cMN00PFd3EwqLHbqVksN6HCY0nH</t>
  </si>
  <si>
    <t>https://drive.google.com/file/d/1gKhx-cMN00PFd3EwqLHbqVksN6HCY0nH/view?usp=drivesdk</t>
  </si>
  <si>
    <t>TASLIMAH</t>
  </si>
  <si>
    <t>imah18850@gmail.com</t>
  </si>
  <si>
    <t>8735</t>
  </si>
  <si>
    <t>1dHOUSVp-fb8V_QMf9Oy6ikX4IGe0wUBm</t>
  </si>
  <si>
    <t>https://drive.google.com/file/d/1dHOUSVp-fb8V_QMf9Oy6ikX4IGe0wUBm/view?usp=drivesdk</t>
  </si>
  <si>
    <t>Document successfully created; Document successfully merged; PDF created; Emails Sent: [To: imah18850@gmail.com]; Run via form trigger as ecertificate75@gmail.com; Timestamp: Sep 6 2024 2:37 AM</t>
  </si>
  <si>
    <t>Sigiet Subiyantoro, Amd.Tek, S.M.</t>
  </si>
  <si>
    <t>lumajangsigit@gmail.com</t>
  </si>
  <si>
    <t>8736</t>
  </si>
  <si>
    <t>1s-5w30MSVHJbb58UVtjf8qglrvujrMBq</t>
  </si>
  <si>
    <t>https://drive.google.com/file/d/1s-5w30MSVHJbb58UVtjf8qglrvujrMBq/view?usp=drivesdk</t>
  </si>
  <si>
    <t>Document successfully created; Document successfully merged; PDF created; Emails Sent: [To: lumajangsigit@gmail.com]; Run via form trigger as ecertificate75@gmail.com; Timestamp: Sep 6 2024 2:37 AM</t>
  </si>
  <si>
    <t>ERWIN FATHULLAH HARIWIJAYA</t>
  </si>
  <si>
    <t>erwinfathullah@gmail.com</t>
  </si>
  <si>
    <t>8737</t>
  </si>
  <si>
    <t>1PgQlXMd5dE9tEcaSdmV5C69C8Ln6RXAp</t>
  </si>
  <si>
    <t>https://drive.google.com/file/d/1PgQlXMd5dE9tEcaSdmV5C69C8Ln6RXAp/view?usp=drivesdk</t>
  </si>
  <si>
    <t>Document successfully created; Document successfully merged; PDF created; Emails Sent: [To: erwinfathullah@gmail.com]; Run via form trigger as ecertificate75@gmail.com; Timestamp: Sep 6 2024 2:37 AM</t>
  </si>
  <si>
    <t>JEFRI SYAM</t>
  </si>
  <si>
    <t>jefri_heey@yahoo.com</t>
  </si>
  <si>
    <t>8738</t>
  </si>
  <si>
    <t>1VmWiSoaMKWPQ_f1MonKXWxR2IaB9cI0C</t>
  </si>
  <si>
    <t>https://drive.google.com/file/d/1VmWiSoaMKWPQ_f1MonKXWxR2IaB9cI0C/view?usp=drivesdk</t>
  </si>
  <si>
    <t>Document successfully created; Document successfully merged; PDF created; Emails Sent: [To: jefri_heey@yahoo.com]; Run via form trigger as ecertificate75@gmail.com; Timestamp: Sep 6 2024 2:37 AM</t>
  </si>
  <si>
    <t>FAJAR HARIYANTO</t>
  </si>
  <si>
    <t>fajarykb81@gmail.com</t>
  </si>
  <si>
    <t>8739</t>
  </si>
  <si>
    <t>12TNuoKTBtn-mfPgiGqfe8kUNjpVeeAFG</t>
  </si>
  <si>
    <t>https://drive.google.com/file/d/12TNuoKTBtn-mfPgiGqfe8kUNjpVeeAFG/view?usp=drivesdk</t>
  </si>
  <si>
    <t>Document successfully created; Document successfully merged; PDF created; Emails Sent: [To: fajarykb81@gmail.com]; Run via form trigger as ecertificate75@gmail.com; Timestamp: Sep 6 2024 2:38 AM</t>
  </si>
  <si>
    <t>DENNY, AMK</t>
  </si>
  <si>
    <t>dennog07@gmail.com</t>
  </si>
  <si>
    <t>8740</t>
  </si>
  <si>
    <t>1_fFnCDOvFd9E1CNxnxxO4VYLIkmvFKUa</t>
  </si>
  <si>
    <t>https://drive.google.com/file/d/1_fFnCDOvFd9E1CNxnxxO4VYLIkmvFKUa/view?usp=drivesdk</t>
  </si>
  <si>
    <t>Document successfully created; Document successfully merged; PDF created; Emails Sent: [To: dennog07@gmail.com]; Run via form trigger as ecertificate75@gmail.com; Timestamp: Sep 6 2024 2:38 AM</t>
  </si>
  <si>
    <t>PURWINANTI</t>
  </si>
  <si>
    <t>purwinanti2017@gmail.com</t>
  </si>
  <si>
    <t>8741</t>
  </si>
  <si>
    <t>1gmTUXXaAz5ST81Ik2fw2LqFF3qyo8s1o</t>
  </si>
  <si>
    <t>https://drive.google.com/file/d/1gmTUXXaAz5ST81Ik2fw2LqFF3qyo8s1o/view?usp=drivesdk</t>
  </si>
  <si>
    <t>Document successfully created; Document successfully merged; PDF created; Emails Sent: [To: purwinanti2017@gmail.com]; Run via form trigger as ecertificate75@gmail.com; Timestamp: Sep 6 2024 2:38 AM</t>
  </si>
  <si>
    <t>KURNIADI</t>
  </si>
  <si>
    <t>dikurnia022@gmail.com</t>
  </si>
  <si>
    <t>8742</t>
  </si>
  <si>
    <t>19k_bC4ebjOo5duZRGjfvjaQNhPGzSIDP</t>
  </si>
  <si>
    <t>https://drive.google.com/file/d/19k_bC4ebjOo5duZRGjfvjaQNhPGzSIDP/view?usp=drivesdk</t>
  </si>
  <si>
    <t>Document successfully created; Document successfully merged; PDF created; Emails Sent: [To: dikurnia022@gmail.com]; Run via form trigger as ecertificate75@gmail.com; Timestamp: Sep 6 2024 2:38 AM</t>
  </si>
  <si>
    <t>NILAWATI</t>
  </si>
  <si>
    <t>nwati6896@gmail.com</t>
  </si>
  <si>
    <t>8743</t>
  </si>
  <si>
    <t>1JOMDkDMQNAiTHWtjcMDoaX8sBr6qQw1h</t>
  </si>
  <si>
    <t>https://drive.google.com/file/d/1JOMDkDMQNAiTHWtjcMDoaX8sBr6qQw1h/view?usp=drivesdk</t>
  </si>
  <si>
    <t>Document successfully created; Document successfully merged; PDF created; Emails Sent: [To: nwati6896@gmail.com]; Run via form trigger as ecertificate75@gmail.com; Timestamp: Sep 6 2024 2:38 AM</t>
  </si>
  <si>
    <t>YATI SUMYATI,S.E.</t>
  </si>
  <si>
    <t>yatididik28@gmail.com</t>
  </si>
  <si>
    <t>8744</t>
  </si>
  <si>
    <t>16IjvnOugomU9_p395o5psVlQcbCceLl_</t>
  </si>
  <si>
    <t>https://drive.google.com/file/d/16IjvnOugomU9_p395o5psVlQcbCceLl_/view?usp=drivesdk</t>
  </si>
  <si>
    <t>Document successfully created; Document successfully merged; PDF created; Emails Sent: [To: yatididik28@gmail.com]; Run via form trigger as ecertificate75@gmail.com; Timestamp: Sep 6 2024 2:38 AM</t>
  </si>
  <si>
    <t>LUSIANA</t>
  </si>
  <si>
    <t>lusianahsy@gmail.com</t>
  </si>
  <si>
    <t>8745</t>
  </si>
  <si>
    <t>1K6Ml8ljzb8acwIVSsApDT2rblAtY41VC</t>
  </si>
  <si>
    <t>https://drive.google.com/file/d/1K6Ml8ljzb8acwIVSsApDT2rblAtY41VC/view?usp=drivesdk</t>
  </si>
  <si>
    <t>Document successfully created; Document successfully merged; PDF created; Emails Sent: [To: lusianahsy@gmail.com]; Run via form trigger as ecertificate75@gmail.com; Timestamp: Sep 6 2024 2:39 AM</t>
  </si>
  <si>
    <t>Selvi Ariani, S.H., M.Si.</t>
  </si>
  <si>
    <t>chastolani270117@gmail.com</t>
  </si>
  <si>
    <t>8746</t>
  </si>
  <si>
    <t>1c1vNvu1qU-vvkYv-Ic90q-nMW4M4-JX5</t>
  </si>
  <si>
    <t>https://drive.google.com/file/d/1c1vNvu1qU-vvkYv-Ic90q-nMW4M4-JX5/view?usp=drivesdk</t>
  </si>
  <si>
    <t>Document successfully created; Document successfully merged; PDF created; Emails Sent: [To: chastolani270117@gmail.com]; Run via form trigger as ecertificate75@gmail.com; Timestamp: Sep 6 2024 2:39 AM</t>
  </si>
  <si>
    <t xml:space="preserve">SURANTO </t>
  </si>
  <si>
    <t>surantosekayam10@gmail.com</t>
  </si>
  <si>
    <t>8747</t>
  </si>
  <si>
    <t>1-nZekrTkQpRF2iccLMaRKRNh2SadoaFI</t>
  </si>
  <si>
    <t>https://drive.google.com/file/d/1-nZekrTkQpRF2iccLMaRKRNh2SadoaFI/view?usp=drivesdk</t>
  </si>
  <si>
    <t>Document successfully created; Document successfully merged; PDF created; Emails Sent: [To: surantosekayam10@gmail.com]; Run via form trigger as ecertificate75@gmail.com; Timestamp: Sep 6 2024 2:39 AM</t>
  </si>
  <si>
    <t>SUBRAWADI, S.Sos</t>
  </si>
  <si>
    <t>subrawadi@gmail.com</t>
  </si>
  <si>
    <t>8748</t>
  </si>
  <si>
    <t>1QD4bhAUgVsJOMKRz2sWK3WbRHIXrXhhL</t>
  </si>
  <si>
    <t>https://drive.google.com/file/d/1QD4bhAUgVsJOMKRz2sWK3WbRHIXrXhhL/view?usp=drivesdk</t>
  </si>
  <si>
    <t>Document successfully created; Document successfully merged; PDF created; Emails Sent: [To: subrawadi@gmail.com]; Run via form trigger as ecertificate75@gmail.com; Timestamp: Sep 6 2024 2:39 AM</t>
  </si>
  <si>
    <t>SUTIYA</t>
  </si>
  <si>
    <t>sutiya1970@gmail.com</t>
  </si>
  <si>
    <t>8749</t>
  </si>
  <si>
    <t>1NwHPgJFcLyRswjZALB6TOHPH0cHUx29B</t>
  </si>
  <si>
    <t>https://drive.google.com/file/d/1NwHPgJFcLyRswjZALB6TOHPH0cHUx29B/view?usp=drivesdk</t>
  </si>
  <si>
    <t>Document successfully created; Document successfully merged; PDF created; Emails Sent: [To: sutiya1970@gmail.com]; Run via form trigger as ecertificate75@gmail.com; Timestamp: Sep 6 2024 2:39 AM</t>
  </si>
  <si>
    <t>APRIANA FAJARWATI</t>
  </si>
  <si>
    <t>maniezt.nana52@gmail.com</t>
  </si>
  <si>
    <t>8750</t>
  </si>
  <si>
    <t>1jmPiFpXl_CDQ9Ze6H5FXrruz47JQRWjr</t>
  </si>
  <si>
    <t>https://drive.google.com/file/d/1jmPiFpXl_CDQ9Ze6H5FXrruz47JQRWjr/view?usp=drivesdk</t>
  </si>
  <si>
    <t>Document successfully created; Document successfully merged; PDF created; Emails Sent: [To: maniezt.nana52@gmail.com]; Run via form trigger as ecertificate75@gmail.com; Timestamp: Sep 6 2024 2:40 AM</t>
  </si>
  <si>
    <t xml:space="preserve">YUNIAWAN ISKANDAR </t>
  </si>
  <si>
    <t>yuniawan678@gmail.com</t>
  </si>
  <si>
    <t>8751</t>
  </si>
  <si>
    <t>1MILoFsNsAaGdR2U6kmGqhjDJcHe3qKNy</t>
  </si>
  <si>
    <t>https://drive.google.com/file/d/1MILoFsNsAaGdR2U6kmGqhjDJcHe3qKNy/view?usp=drivesdk</t>
  </si>
  <si>
    <t>Document successfully created; Document successfully merged; PDF created; Emails Sent: [To: yuniawan678@gmail.com]; Run via form trigger as ecertificate75@gmail.com; Timestamp: Sep 6 2024 2:40 AM</t>
  </si>
  <si>
    <t>ENDANG KUSWATI</t>
  </si>
  <si>
    <t>endang78kuswati@gmail.com</t>
  </si>
  <si>
    <t>8752</t>
  </si>
  <si>
    <t>1fXIN-mSkeSbtM1zk27RNaMBTcXtNPD1Z</t>
  </si>
  <si>
    <t>https://drive.google.com/file/d/1fXIN-mSkeSbtM1zk27RNaMBTcXtNPD1Z/view?usp=drivesdk</t>
  </si>
  <si>
    <t>Document successfully created; Document successfully merged; PDF created; Emails Sent: [To: endang78kuswati@gmail.com]; Run via form trigger as ecertificate75@gmail.com; Timestamp: Sep 6 2024 2:40 AM</t>
  </si>
  <si>
    <t>Ni Luh Ketut Komala Dewi,Amd.Kep.,S.Kep</t>
  </si>
  <si>
    <t>ketutdewi83@gmail.com</t>
  </si>
  <si>
    <t>8753</t>
  </si>
  <si>
    <t>Starting at Thu Aug 29 2024 22:57:27 GMT-0400 (EDT)</t>
  </si>
  <si>
    <t>1MXQwN92_Ss-LmjNd6DGD4R2s8_8S21-z</t>
  </si>
  <si>
    <t>https://drive.google.com/file/d/1MXQwN92_Ss-LmjNd6DGD4R2s8_8S21-z/view?usp=drivesdk</t>
  </si>
  <si>
    <t>Document successfully created; Document successfully merged; PDF created; Emails Sent: [To: ketutdewi83@gmail.com]; Run via form trigger as ecertificate75@gmail.com; Timestamp: Sep 6 2024 2:40 AM</t>
  </si>
  <si>
    <t>SATORI</t>
  </si>
  <si>
    <t>toriqryan@gmail.com</t>
  </si>
  <si>
    <t>8754</t>
  </si>
  <si>
    <t>1G3r0xiRCfk1CkhrJYINhgAjFn8kInS5D</t>
  </si>
  <si>
    <t>https://drive.google.com/file/d/1G3r0xiRCfk1CkhrJYINhgAjFn8kInS5D/view?usp=drivesdk</t>
  </si>
  <si>
    <t>Document successfully created; Document successfully merged; PDF created; Emails Sent: [To: toriqryan@gmail.com]; Run via form trigger as ecertificate75@gmail.com; Timestamp: Sep 6 2024 2:40 AM</t>
  </si>
  <si>
    <t>ACHMAD NURCHOLIK, S.SI, M.M.</t>
  </si>
  <si>
    <t>anurcholik@gmail.com</t>
  </si>
  <si>
    <t>8755</t>
  </si>
  <si>
    <t>Starting at Thu Aug 29 2024 22:57:32 GMT-0400 (EDT)</t>
  </si>
  <si>
    <t>1zzuwbBT7XHTeoQpxrUZHBTzXq5QIY1SP</t>
  </si>
  <si>
    <t>https://drive.google.com/file/d/1zzuwbBT7XHTeoQpxrUZHBTzXq5QIY1SP/view?usp=drivesdk</t>
  </si>
  <si>
    <t>Document successfully created; Document successfully merged; PDF created; Emails Sent: [To: anurcholik@gmail.com]; Run via form trigger as ecertificate75@gmail.com; Timestamp: Sep 6 2024 2:40 AM</t>
  </si>
  <si>
    <t>8756</t>
  </si>
  <si>
    <t>Starting at Thu Aug 29 2024 22:57:42 GMT-0400 (EDT)</t>
  </si>
  <si>
    <t>1AR6siu_tIXvLQfC1Kbj6CcQYbjrpSiOs</t>
  </si>
  <si>
    <t>https://drive.google.com/file/d/1AR6siu_tIXvLQfC1Kbj6CcQYbjrpSiOs/view?usp=drivesdk</t>
  </si>
  <si>
    <t>Document successfully created; Document successfully merged; PDF created; Emails Sent: [To: titiksulistyaningrum363@gmail.com]; Run via form trigger as ecertificate75@gmail.com; Timestamp: Sep 6 2024 2:41 AM</t>
  </si>
  <si>
    <t>AHMAD FIKRI HADI, M.Hum</t>
  </si>
  <si>
    <t>afikrihadi@gmail.com</t>
  </si>
  <si>
    <t>8757</t>
  </si>
  <si>
    <t>Starting at Thu Aug 29 2024 22:57:44 GMT-0400 (EDT)</t>
  </si>
  <si>
    <t>1SaIU6rRHibHMk01H4EJrUQ6wzic0j-SG</t>
  </si>
  <si>
    <t>https://drive.google.com/file/d/1SaIU6rRHibHMk01H4EJrUQ6wzic0j-SG/view?usp=drivesdk</t>
  </si>
  <si>
    <t>Document successfully created; Document successfully merged; PDF created; Emails Sent: [To: afikrihadi@gmail.com]; Run via form trigger as ecertificate75@gmail.com; Timestamp: Sep 6 2024 2:41 AM</t>
  </si>
  <si>
    <t>TITIN CANDRA HANAPI, SE</t>
  </si>
  <si>
    <t>candrahanapititin@gmail.com</t>
  </si>
  <si>
    <t>8758</t>
  </si>
  <si>
    <t>16uUC-T6xroVQQ-CLP0XeUfki2NrBw--j</t>
  </si>
  <si>
    <t>https://drive.google.com/file/d/16uUC-T6xroVQQ-CLP0XeUfki2NrBw--j/view?usp=drivesdk</t>
  </si>
  <si>
    <t>Document successfully created; Document successfully merged; PDF created; Emails Sent: [To: candrahanapititin@gmail.com]; Run via form trigger as ecertificate75@gmail.com; Timestamp: Sep 6 2024 2:41 AM</t>
  </si>
  <si>
    <t>IKHDA ISWATIN HASANAH</t>
  </si>
  <si>
    <t>iswatinikhda06@gmail.com</t>
  </si>
  <si>
    <t>8759</t>
  </si>
  <si>
    <t>Starting at Thu Aug 29 2024 22:57:47 GMT-0400 (EDT)</t>
  </si>
  <si>
    <t>19DwqNxIRx7YAursANtXfqDaMlOlCbmOU</t>
  </si>
  <si>
    <t>https://drive.google.com/file/d/19DwqNxIRx7YAursANtXfqDaMlOlCbmOU/view?usp=drivesdk</t>
  </si>
  <si>
    <t>Document successfully created; Document successfully merged; PDF created; Emails Sent: [To: iswatinikhda06@gmail.com]; Run via form trigger as ecertificate75@gmail.com; Timestamp: Sep 6 2024 2:41 AM</t>
  </si>
  <si>
    <t>RACHMAWATY KURNIASARI, S.Farm.,Apt</t>
  </si>
  <si>
    <t>rachmawatykurniasari@gmail.com</t>
  </si>
  <si>
    <t>8760</t>
  </si>
  <si>
    <t>Starting at Thu Aug 29 2024 22:57:50 GMT-0400 (EDT)</t>
  </si>
  <si>
    <t>1OuBdfVQthBGm4EvDA5RIwmIp5LUozrbm</t>
  </si>
  <si>
    <t>https://drive.google.com/file/d/1OuBdfVQthBGm4EvDA5RIwmIp5LUozrbm/view?usp=drivesdk</t>
  </si>
  <si>
    <t>Document successfully created; Document successfully merged; PDF created; Emails Sent: [To: rachmawatykurniasari@gmail.com]; Run via form trigger as ecertificate75@gmail.com; Timestamp: Sep 6 2024 2:41 AM</t>
  </si>
  <si>
    <t>LENNY FITRIA INDRAYANI</t>
  </si>
  <si>
    <t>lennyfitria1@gmail.com</t>
  </si>
  <si>
    <t>8761</t>
  </si>
  <si>
    <t>1A-6c6vsiN63Dtr09p9rRJ_amitgIUvQf</t>
  </si>
  <si>
    <t>https://drive.google.com/file/d/1A-6c6vsiN63Dtr09p9rRJ_amitgIUvQf/view?usp=drivesdk</t>
  </si>
  <si>
    <t>Document successfully created; Document successfully merged; PDF created; Emails Sent: [To: lennyfitria1@gmail.com]; Run via form trigger as ecertificate75@gmail.com; Timestamp: Sep 6 2024 2:41 AM</t>
  </si>
  <si>
    <t>HERLINA KARIM, S.Si., Apt.,M.Adm.Kes</t>
  </si>
  <si>
    <t>linafapuji@gmail.com</t>
  </si>
  <si>
    <t>8762</t>
  </si>
  <si>
    <t>Starting at Thu Aug 29 2024 22:57:52 GMT-0400 (EDT)</t>
  </si>
  <si>
    <t>1BAofIuwW0XXUQbpCoe-wla-3wn5HTkgr</t>
  </si>
  <si>
    <t>https://drive.google.com/file/d/1BAofIuwW0XXUQbpCoe-wla-3wn5HTkgr/view?usp=drivesdk</t>
  </si>
  <si>
    <t>Document successfully created; Document successfully merged; PDF created; Emails Sent: [To: linafapuji@gmail.com]; Run via form trigger as ecertificate75@gmail.com; Timestamp: Sep 6 2024 2:59 AM</t>
  </si>
  <si>
    <t>FERRY RUSTIAWAN, AMd</t>
  </si>
  <si>
    <t>ferryrustiawan80@gmail.com</t>
  </si>
  <si>
    <t>8763</t>
  </si>
  <si>
    <t>1SMcjsmlIXytK25xkTm1EO6kk2tmOlRvv</t>
  </si>
  <si>
    <t>https://drive.google.com/file/d/1SMcjsmlIXytK25xkTm1EO6kk2tmOlRvv/view?usp=drivesdk</t>
  </si>
  <si>
    <t>Document successfully created; Document successfully merged; PDF created; Emails Sent: [To: ferryrustiawan80@gmail.com]; Run via form trigger as ecertificate75@gmail.com; Timestamp: Sep 6 2024 2:59 AM</t>
  </si>
  <si>
    <t>MARLIANA TAMI</t>
  </si>
  <si>
    <t>yasmineayunda132@gmail.com</t>
  </si>
  <si>
    <t>8764</t>
  </si>
  <si>
    <t>1aYcuUegZb1tqc4cMT1AJ1qLF7A6jpEAd</t>
  </si>
  <si>
    <t>https://drive.google.com/file/d/1aYcuUegZb1tqc4cMT1AJ1qLF7A6jpEAd/view?usp=drivesdk</t>
  </si>
  <si>
    <t>Document successfully created; Document successfully merged; PDF created; Emails Sent: [To: yasmineayunda132@gmail.com]; Run via form trigger as ecertificate75@gmail.com; Timestamp: Sep 6 2024 3:00 AM</t>
  </si>
  <si>
    <t>DIAN ANGGRAINI</t>
  </si>
  <si>
    <t>anggrainidian1648@gmail.com</t>
  </si>
  <si>
    <t>8765</t>
  </si>
  <si>
    <t>Starting at Thu Aug 29 2024 22:57:55 GMT-0400 (EDT)</t>
  </si>
  <si>
    <t>1AvTaNepxL9hrbulpLASQra8S9FSyLO74</t>
  </si>
  <si>
    <t>https://drive.google.com/file/d/1AvTaNepxL9hrbulpLASQra8S9FSyLO74/view?usp=drivesdk</t>
  </si>
  <si>
    <t>Document successfully created; Document successfully merged; PDF created; Emails Sent: [To: anggrainidian1648@gmail.com]; Run via form trigger as ecertificate75@gmail.com; Timestamp: Sep 6 2024 3:00 AM</t>
  </si>
  <si>
    <t>TRIYATNO NUGROHO, A.Md.</t>
  </si>
  <si>
    <t>triyatno.nugroho85@gmail.com</t>
  </si>
  <si>
    <t>8766</t>
  </si>
  <si>
    <t>Starting at Thu Aug 29 2024 22:58:02 GMT-0400 (EDT)</t>
  </si>
  <si>
    <t>1GgGbllta1J3f2YDiHMkCxAZvD8XnnJbr</t>
  </si>
  <si>
    <t>https://drive.google.com/file/d/1GgGbllta1J3f2YDiHMkCxAZvD8XnnJbr/view?usp=drivesdk</t>
  </si>
  <si>
    <t>Document successfully created; Document successfully merged; PDF created; Emails Sent: [To: triyatno.nugroho85@gmail.com]; Run via form trigger as ecertificate75@gmail.com; Timestamp: Sep 6 2024 3:00 AM</t>
  </si>
  <si>
    <t xml:space="preserve">TOTO PRASETIO </t>
  </si>
  <si>
    <t>toto.aja@gmail.com</t>
  </si>
  <si>
    <t>8767</t>
  </si>
  <si>
    <t>Starting at Thu Aug 29 2024 22:58:13 GMT-0400 (EDT)</t>
  </si>
  <si>
    <t>1DJ_xAmgqi5Mbz9YIxgsLD-ChkWR-xpBh</t>
  </si>
  <si>
    <t>https://drive.google.com/file/d/1DJ_xAmgqi5Mbz9YIxgsLD-ChkWR-xpBh/view?usp=drivesdk</t>
  </si>
  <si>
    <t>Document successfully created; Document successfully merged; PDF created; Emails Sent: [To: toto.aja@gmail.com]; Run via form trigger as ecertificate75@gmail.com; Timestamp: Sep 6 2024 3:00 AM</t>
  </si>
  <si>
    <t>Massario Fransano Mairuhu</t>
  </si>
  <si>
    <t>mmairuhu@gmail.com</t>
  </si>
  <si>
    <t>8768</t>
  </si>
  <si>
    <t>Starting at Thu Aug 29 2024 22:58:16 GMT-0400 (EDT)</t>
  </si>
  <si>
    <t>1yRO7YbSNrn6t6Jm-UovQnesPkZUOXvJq</t>
  </si>
  <si>
    <t>https://drive.google.com/file/d/1yRO7YbSNrn6t6Jm-UovQnesPkZUOXvJq/view?usp=drivesdk</t>
  </si>
  <si>
    <t>Document successfully created; Document successfully merged; PDF created; Emails Sent: [To: mmairuhu@gmail.com]; Run via form trigger as ecertificate75@gmail.com; Timestamp: Sep 6 2024 3:01 AM</t>
  </si>
  <si>
    <t>RINI TRI ISMIYATI, S. H., M. M</t>
  </si>
  <si>
    <t>rinitriismiyati@gmail.com</t>
  </si>
  <si>
    <t>8769</t>
  </si>
  <si>
    <t>Starting at Thu Aug 29 2024 22:58:24 GMT-0400 (EDT)</t>
  </si>
  <si>
    <t>1RP5HMojJcPvMjWBXVB4gSEt5bhXYz-je</t>
  </si>
  <si>
    <t>https://drive.google.com/file/d/1RP5HMojJcPvMjWBXVB4gSEt5bhXYz-je/view?usp=drivesdk</t>
  </si>
  <si>
    <t>Document successfully created; Document successfully merged; PDF created; Emails Sent: [To: rinitriismiyati@gmail.com]; Run via form trigger as ecertificate75@gmail.com; Timestamp: Sep 6 2024 3:01 AM</t>
  </si>
  <si>
    <t>Drs. AGUNG PURBAWANTO</t>
  </si>
  <si>
    <t>agungpurbawanto12@gmail.com</t>
  </si>
  <si>
    <t>8770</t>
  </si>
  <si>
    <t>1p5cUHuwFq35MC-I5yvDyHtd564iEzzsS</t>
  </si>
  <si>
    <t>https://drive.google.com/file/d/1p5cUHuwFq35MC-I5yvDyHtd564iEzzsS/view?usp=drivesdk</t>
  </si>
  <si>
    <t>Document successfully created; Document successfully merged; PDF created; Emails Sent: [To: agungpurbawanto12@gmail.com]; Run via form trigger as ecertificate75@gmail.com; Timestamp: Sep 6 2024 3:01 AM</t>
  </si>
  <si>
    <t>AAN MARDJONO</t>
  </si>
  <si>
    <t>aan.mardjono@gmail.com</t>
  </si>
  <si>
    <t>8771</t>
  </si>
  <si>
    <t>1u2aNhwc2760DzGv4pW8_WQ_ZAYbYlSI0</t>
  </si>
  <si>
    <t>https://drive.google.com/file/d/1u2aNhwc2760DzGv4pW8_WQ_ZAYbYlSI0/view?usp=drivesdk</t>
  </si>
  <si>
    <t>Document successfully created; Document successfully merged; PDF created; Emails Sent: [To: aan.mardjono@gmail.com]; Run via form trigger as ecertificate75@gmail.com; Timestamp: Sep 6 2024 3:01 AM</t>
  </si>
  <si>
    <t>FITRI PRAMESTI, S.PD</t>
  </si>
  <si>
    <t>fitrispd39@admin.paud.belajar.id</t>
  </si>
  <si>
    <t>8772</t>
  </si>
  <si>
    <t>1d1NUAmQdUGzozvPS3Qqk82DP5rUaeXo_</t>
  </si>
  <si>
    <t>https://drive.google.com/file/d/1d1NUAmQdUGzozvPS3Qqk82DP5rUaeXo_/view?usp=drivesdk</t>
  </si>
  <si>
    <t>Document successfully created; Document successfully merged; PDF created; Emails Sent: [To: fitrispd39@admin.paud.belajar.id]; Run via form trigger as ecertificate75@gmail.com; Timestamp: Sep 6 2024 3:02 AM</t>
  </si>
  <si>
    <t>dr. Indri Aderni, M. Biomed</t>
  </si>
  <si>
    <t>indriaderni@gmail.com</t>
  </si>
  <si>
    <t>8773</t>
  </si>
  <si>
    <t>1CBBmUPawXyvkCigjKdZEaSAfSgbRMnXp</t>
  </si>
  <si>
    <t>https://drive.google.com/file/d/1CBBmUPawXyvkCigjKdZEaSAfSgbRMnXp/view?usp=drivesdk</t>
  </si>
  <si>
    <t>Document successfully created; Document successfully merged; PDF created; Emails Sent: [To: indriaderni@gmail.com]; Run via form trigger as ecertificate75@gmail.com; Timestamp: Sep 6 2024 3:02 AM</t>
  </si>
  <si>
    <t xml:space="preserve">PARINA </t>
  </si>
  <si>
    <t>parinajambi@gmail.com</t>
  </si>
  <si>
    <t>8774</t>
  </si>
  <si>
    <t>Starting at Thu Aug 29 2024 22:58:26 GMT-0400 (EDT)</t>
  </si>
  <si>
    <t>1wHMwtAEFeYBoRU6-Fe1ARL5L8xeMa_7l</t>
  </si>
  <si>
    <t>https://drive.google.com/file/d/1wHMwtAEFeYBoRU6-Fe1ARL5L8xeMa_7l/view?usp=drivesdk</t>
  </si>
  <si>
    <t>Document successfully created; Document successfully merged; PDF created; Emails Sent: [To: parinajambi@gmail.com]; Run via form trigger as ecertificate75@gmail.com; Timestamp: Sep 6 2024 3:02 AM</t>
  </si>
  <si>
    <t>UTAMININGSIH</t>
  </si>
  <si>
    <t>uutaminingsih67@gmail.com</t>
  </si>
  <si>
    <t>8775</t>
  </si>
  <si>
    <t>Starting at Thu Aug 29 2024 22:58:29 GMT-0400 (EDT)</t>
  </si>
  <si>
    <t>161VXuLUjg-CYm-9V_VkKLw40YsBoWb2U</t>
  </si>
  <si>
    <t>https://drive.google.com/file/d/161VXuLUjg-CYm-9V_VkKLw40YsBoWb2U/view?usp=drivesdk</t>
  </si>
  <si>
    <t>Document successfully created; Document successfully merged; PDF created; Emails Sent: [To: uutaminingsih67@gmail.com]; Run via form trigger as ecertificate75@gmail.com; Timestamp: Sep 6 2024 3:02 AM</t>
  </si>
  <si>
    <t>LAMODI</t>
  </si>
  <si>
    <t>lamlamdi69@gmail.com</t>
  </si>
  <si>
    <t>8776</t>
  </si>
  <si>
    <t>Starting at Thu Aug 29 2024 22:58:33 GMT-0400 (EDT)</t>
  </si>
  <si>
    <t>1dxdTB01muw7Ab9IiNG-s76i3MsYxSv-5</t>
  </si>
  <si>
    <t>https://drive.google.com/file/d/1dxdTB01muw7Ab9IiNG-s76i3MsYxSv-5/view?usp=drivesdk</t>
  </si>
  <si>
    <t>Document successfully created; Document successfully merged; PDF created; Emails Sent: [To: lamlamdi69@gmail.com]; Run via form trigger as ecertificate75@gmail.com; Timestamp: Sep 6 2024 3:02 AM</t>
  </si>
  <si>
    <t>adeharti99960@gmail.com</t>
  </si>
  <si>
    <t>8777</t>
  </si>
  <si>
    <t>179HJaefMsRNz9d0fUbd1-RTomsaIW3p0</t>
  </si>
  <si>
    <t>https://drive.google.com/file/d/179HJaefMsRNz9d0fUbd1-RTomsaIW3p0/view?usp=drivesdk</t>
  </si>
  <si>
    <t>Document successfully created; Document successfully merged; PDF created; Emails Sent: [To: adeharti99960@gmail.com]; Run via form trigger as ecertificate75@gmail.com; Timestamp: Sep 6 2024 3:03 AM</t>
  </si>
  <si>
    <t>I NYOMAN WARDANA</t>
  </si>
  <si>
    <t>nyomanwardana1234@gmail.com</t>
  </si>
  <si>
    <t>8778</t>
  </si>
  <si>
    <t>Starting at Thu Aug 29 2024 22:58:38 GMT-0400 (EDT)</t>
  </si>
  <si>
    <t>1VeT8BvhyCCnYQWJhy7nc9ZWRmgNgScdD</t>
  </si>
  <si>
    <t>https://drive.google.com/file/d/1VeT8BvhyCCnYQWJhy7nc9ZWRmgNgScdD/view?usp=drivesdk</t>
  </si>
  <si>
    <t>Document successfully created; Document successfully merged; PDF created; Emails Sent: [To: nyomanwardana1234@gmail.com]; Run via form trigger as ecertificate75@gmail.com; Timestamp: Sep 6 2024 3:03 AM</t>
  </si>
  <si>
    <t>supriyanto01368@gmail.com</t>
  </si>
  <si>
    <t>8779</t>
  </si>
  <si>
    <t>13Q5vnL1bejsTuVkyA4ZQ11JW-uH8emYR</t>
  </si>
  <si>
    <t>https://drive.google.com/file/d/13Q5vnL1bejsTuVkyA4ZQ11JW-uH8emYR/view?usp=drivesdk</t>
  </si>
  <si>
    <t>Document successfully created; Document successfully merged; PDF created; Emails Sent: [To: supriyanto01368@gmail.com]; Run via form trigger as ecertificate75@gmail.com; Timestamp: Sep 6 2024 3:03 AM</t>
  </si>
  <si>
    <t>NURMALA SITORUS ,SKM.,MKM.</t>
  </si>
  <si>
    <t>nurmalasitorus2@gmail.com</t>
  </si>
  <si>
    <t>8780</t>
  </si>
  <si>
    <t>Starting at Thu Aug 29 2024 22:58:40 GMT-0400 (EDT)</t>
  </si>
  <si>
    <t>1mLiGWLLHU_1wVBpAtvEoz1mvVviDQmAw</t>
  </si>
  <si>
    <t>https://drive.google.com/file/d/1mLiGWLLHU_1wVBpAtvEoz1mvVviDQmAw/view?usp=drivesdk</t>
  </si>
  <si>
    <t>Document successfully created; Document successfully merged; PDF created; Emails Sent: [To: nurmalasitorus2@gmail.com]; Run via form trigger as ecertificate75@gmail.com; Timestamp: Sep 6 2024 3:03 AM</t>
  </si>
  <si>
    <t>AMBAR KURNIASARI, S.T.</t>
  </si>
  <si>
    <t>ambar_kurniasari@yahoo.com</t>
  </si>
  <si>
    <t>8781</t>
  </si>
  <si>
    <t>Starting at Thu Aug 29 2024 22:58:47 GMT-0400 (EDT)</t>
  </si>
  <si>
    <t>1VvTYpEIuPI7GVlPer2DPoztP1-ilEWg6</t>
  </si>
  <si>
    <t>https://drive.google.com/file/d/1VvTYpEIuPI7GVlPer2DPoztP1-ilEWg6/view?usp=drivesdk</t>
  </si>
  <si>
    <t>Document successfully created; Document successfully merged; PDF created; Emails Sent: [To: ambar_kurniasari@yahoo.com]; Run via form trigger as ecertificate75@gmail.com; Timestamp: Sep 6 2024 3:04 AM</t>
  </si>
  <si>
    <t xml:space="preserve">NURJANAH SSI APT </t>
  </si>
  <si>
    <t>bunnaren78@gmail.com</t>
  </si>
  <si>
    <t>8782</t>
  </si>
  <si>
    <t>1l4vAJ1HwSdY098F0XzNFmBjN0CH8Y6US</t>
  </si>
  <si>
    <t>https://drive.google.com/file/d/1l4vAJ1HwSdY098F0XzNFmBjN0CH8Y6US/view?usp=drivesdk</t>
  </si>
  <si>
    <t>Document successfully created; Document successfully merged; PDF created; Emails Sent: [To: bunnaren78@gmail.com]; Run via form trigger as ecertificate75@gmail.com; Timestamp: Sep 6 2024 3:25 AM</t>
  </si>
  <si>
    <t>AISAH,AMK</t>
  </si>
  <si>
    <t>aisahnurse@gmail.com</t>
  </si>
  <si>
    <t>8783</t>
  </si>
  <si>
    <t>Starting at Thu Aug 29 2024 22:59:19 GMT-0400 (EDT)</t>
  </si>
  <si>
    <t>1fG-IzjKgQzQAdASrs1MdEZrADkGtD9dz</t>
  </si>
  <si>
    <t>https://drive.google.com/file/d/1fG-IzjKgQzQAdASrs1MdEZrADkGtD9dz/view?usp=drivesdk</t>
  </si>
  <si>
    <t>Document successfully created; Document successfully merged; PDF created; Emails Sent: [To: aisahnurse@gmail.com]; Run via form trigger as ecertificate75@gmail.com; Timestamp: Sep 6 2024 3:25 AM</t>
  </si>
  <si>
    <t>Romega Sri H Sinaga</t>
  </si>
  <si>
    <t>sinagaromega@gmail.com</t>
  </si>
  <si>
    <t>8784</t>
  </si>
  <si>
    <t>195tzgty_Niy4T11xiLxa_-3319k3xtm5</t>
  </si>
  <si>
    <t>https://drive.google.com/file/d/195tzgty_Niy4T11xiLxa_-3319k3xtm5/view?usp=drivesdk</t>
  </si>
  <si>
    <t>Document successfully created; Document successfully merged; PDF created; Emails Sent: [To: sinagaromega@gmail.com]; Run via form trigger as ecertificate75@gmail.com; Timestamp: Sep 6 2024 3:25 AM</t>
  </si>
  <si>
    <t>ROSIDQ BR SITINJAK, AMDKEB</t>
  </si>
  <si>
    <t>sitinjakrosida@gmail.com</t>
  </si>
  <si>
    <t>8785</t>
  </si>
  <si>
    <t>19XzRrXamh2_SF6jm7M5KfDoJlGRwjtWU</t>
  </si>
  <si>
    <t>https://drive.google.com/file/d/19XzRrXamh2_SF6jm7M5KfDoJlGRwjtWU/view?usp=drivesdk</t>
  </si>
  <si>
    <t>Document successfully created; Document successfully merged; PDF created; Emails Sent: [To: sitinjakrosida@gmail.com]; Run via form trigger as ecertificate75@gmail.com; Timestamp: Sep 6 2024 3:26 AM</t>
  </si>
  <si>
    <t>DURJANI</t>
  </si>
  <si>
    <t>durjanidurjani19@gmail.com</t>
  </si>
  <si>
    <t>8786</t>
  </si>
  <si>
    <t>1YLgJyccUVYTG26QZj9D312JgkXtbnZIw</t>
  </si>
  <si>
    <t>https://drive.google.com/file/d/1YLgJyccUVYTG26QZj9D312JgkXtbnZIw/view?usp=drivesdk</t>
  </si>
  <si>
    <t>Document successfully created; Document successfully merged; PDF created; Emails Sent: [To: durjanidurjani19@gmail.com]; Run via form trigger as ecertificate75@gmail.com; Timestamp: Sep 6 2024 3:26 AM</t>
  </si>
  <si>
    <t>iland.afiets@gmail.com</t>
  </si>
  <si>
    <t>8787</t>
  </si>
  <si>
    <t>1imVzo-Dg3bcHFSFGPVSvGqOvu7KIz49E</t>
  </si>
  <si>
    <t>https://drive.google.com/file/d/1imVzo-Dg3bcHFSFGPVSvGqOvu7KIz49E/view?usp=drivesdk</t>
  </si>
  <si>
    <t>Document successfully created; Document successfully merged; PDF created; Emails Sent: [To: iland.afiets@gmail.com]; Run via form trigger as ecertificate75@gmail.com; Timestamp: Sep 6 2024 3:26 AM</t>
  </si>
  <si>
    <t>RASNIATY SAPSUHA</t>
  </si>
  <si>
    <t>rasniatyspsh@gmail.com</t>
  </si>
  <si>
    <t>8788</t>
  </si>
  <si>
    <t>1IG85nnQgt6mEevYf3DnzmWzoB_45UhZ0</t>
  </si>
  <si>
    <t>https://drive.google.com/file/d/1IG85nnQgt6mEevYf3DnzmWzoB_45UhZ0/view?usp=drivesdk</t>
  </si>
  <si>
    <t>Document successfully created; Document successfully merged; PDF created; Emails Sent: [To: rasniatyspsh@gmail.com]; Run via form trigger as ecertificate75@gmail.com; Timestamp: Sep 6 2024 3:26 AM</t>
  </si>
  <si>
    <t>ROHMAD AFRIAWAN</t>
  </si>
  <si>
    <t>riawan78@gmail.com</t>
  </si>
  <si>
    <t>8789</t>
  </si>
  <si>
    <t>15awGZ6S7dZY5XwpTR7v8LGtl6hVKqz53</t>
  </si>
  <si>
    <t>https://drive.google.com/file/d/15awGZ6S7dZY5XwpTR7v8LGtl6hVKqz53/view?usp=drivesdk</t>
  </si>
  <si>
    <t>Document successfully created; Document successfully merged; PDF created; Emails Sent: [To: riawan78@gmail.com]; Run via form trigger as ecertificate75@gmail.com; Timestamp: Sep 6 2024 3:27 AM</t>
  </si>
  <si>
    <t>IRA PITRIA, A.Md.Kep</t>
  </si>
  <si>
    <t>irapitria22@gmail.com</t>
  </si>
  <si>
    <t>8790</t>
  </si>
  <si>
    <t>Starting at Thu Aug 29 2024 22:59:33 GMT-0400 (EDT)</t>
  </si>
  <si>
    <t>1slUZGrLCRdpQWWN5EwzUGqOD-PGT_ijI</t>
  </si>
  <si>
    <t>https://drive.google.com/file/d/1slUZGrLCRdpQWWN5EwzUGqOD-PGT_ijI/view?usp=drivesdk</t>
  </si>
  <si>
    <t>Document successfully created; Document successfully merged; PDF created; Emails Sent: [To: irapitria22@gmail.com]; Run via form trigger as ecertificate75@gmail.com; Timestamp: Sep 6 2024 3:27 AM</t>
  </si>
  <si>
    <t xml:space="preserve">IMAM MAKRUF </t>
  </si>
  <si>
    <t>mr.imammaruf@gmail.com</t>
  </si>
  <si>
    <t>8791</t>
  </si>
  <si>
    <t>1jsUcYnDqAAqV0ppKTM5xBd6hyCrPaTsb</t>
  </si>
  <si>
    <t>https://drive.google.com/file/d/1jsUcYnDqAAqV0ppKTM5xBd6hyCrPaTsb/view?usp=drivesdk</t>
  </si>
  <si>
    <t>Document successfully created; Document successfully merged; PDF created; Emails Sent: [To: mr.imammaruf@gmail.com]; Run via form trigger as ecertificate75@gmail.com; Timestamp: Sep 6 2024 3:27 AM</t>
  </si>
  <si>
    <t>SUCI KURNIAWATI, S.Kep</t>
  </si>
  <si>
    <t>suchysnaily@gmail.com</t>
  </si>
  <si>
    <t>8792</t>
  </si>
  <si>
    <t>1kZ9JLCkR3K_dSm9QcGMhh5CakHnXOi_f</t>
  </si>
  <si>
    <t>https://drive.google.com/file/d/1kZ9JLCkR3K_dSm9QcGMhh5CakHnXOi_f/view?usp=drivesdk</t>
  </si>
  <si>
    <t>Document successfully created; Document successfully merged; PDF created; Emails Sent: [To: suchysnaily@gmail.com]; Run via form trigger as ecertificate75@gmail.com; Timestamp: Sep 6 2024 3:27 AM</t>
  </si>
  <si>
    <t>8793</t>
  </si>
  <si>
    <t>Starting at Thu Aug 29 2024 23:00:05 GMT-0400 (EDT)</t>
  </si>
  <si>
    <t>1qfOx0uL2-BVt0fN6W4vp9_l5zmVrWBbB</t>
  </si>
  <si>
    <t>https://drive.google.com/file/d/1qfOx0uL2-BVt0fN6W4vp9_l5zmVrWBbB/view?usp=drivesdk</t>
  </si>
  <si>
    <t>Document successfully created; Document successfully merged; PDF created; Emails Sent: [To: shadenjulian@gmail.com]; Run via form trigger as ecertificate75@gmail.com; Timestamp: Sep 6 2024 3:27 AM</t>
  </si>
  <si>
    <t>BUDI SUSILO</t>
  </si>
  <si>
    <t>budis907@gmail.com</t>
  </si>
  <si>
    <t>8794</t>
  </si>
  <si>
    <t>1SYy3K43GiwPOb-x1aVzTqTMqehhU_pCx</t>
  </si>
  <si>
    <t>https://drive.google.com/file/d/1SYy3K43GiwPOb-x1aVzTqTMqehhU_pCx/view?usp=drivesdk</t>
  </si>
  <si>
    <t>Document successfully created; Document successfully merged; PDF created; Emails Sent: [To: budis907@gmail.com]; Run via form trigger as ecertificate75@gmail.com; Timestamp: Sep 6 2024 3:28 AM</t>
  </si>
  <si>
    <t>DIAH AYU</t>
  </si>
  <si>
    <t>diahayu.pns@gmail.com</t>
  </si>
  <si>
    <t>8795</t>
  </si>
  <si>
    <t>1R_03mKUoAvA5Q_9I-FAC_zSHuRKmv45o</t>
  </si>
  <si>
    <t>https://drive.google.com/file/d/1R_03mKUoAvA5Q_9I-FAC_zSHuRKmv45o/view?usp=drivesdk</t>
  </si>
  <si>
    <t>Document successfully created; Document successfully merged; PDF created; Emails Sent: [To: diahayu.pns@gmail.com]; Run via form trigger as ecertificate75@gmail.com; Timestamp: Sep 6 2024 3:28 AM</t>
  </si>
  <si>
    <t>YUDI PERWIRA</t>
  </si>
  <si>
    <t>Bagolyudi21@gmail.com</t>
  </si>
  <si>
    <t>8796</t>
  </si>
  <si>
    <t>1VOIABFVMUAfFnSvDSS_He6y1ZuTCZZCD</t>
  </si>
  <si>
    <t>https://drive.google.com/file/d/1VOIABFVMUAfFnSvDSS_He6y1ZuTCZZCD/view?usp=drivesdk</t>
  </si>
  <si>
    <t>Document successfully created; Document successfully merged; PDF created; Emails Sent: [To: Bagolyudi21@gmail.com]; Run via form trigger as ecertificate75@gmail.com; Timestamp: Sep 6 2024 3:28 AM</t>
  </si>
  <si>
    <t>dr. HANSEL TIMOTHY GINTING</t>
  </si>
  <si>
    <t>hanseltimothy@hotmail.com</t>
  </si>
  <si>
    <t>8797</t>
  </si>
  <si>
    <t>17sVHnoaViQTbV1l5pQ9CSNEmYNg-Roi4</t>
  </si>
  <si>
    <t>https://drive.google.com/file/d/17sVHnoaViQTbV1l5pQ9CSNEmYNg-Roi4/view?usp=drivesdk</t>
  </si>
  <si>
    <t>Document successfully created; Document successfully merged; PDF created; Emails Sent: [To: hanseltimothy@hotmail.com]; Run via form trigger as ecertificate75@gmail.com; Timestamp: Sep 6 2024 3:28 AM</t>
  </si>
  <si>
    <t>YOTO MARGONO</t>
  </si>
  <si>
    <t>yotomargono21@gmsil.com</t>
  </si>
  <si>
    <t>8798</t>
  </si>
  <si>
    <t>1XBt0zIjFkZ16EuBI1RJvde2XwmcqJqrA</t>
  </si>
  <si>
    <t>https://drive.google.com/file/d/1XBt0zIjFkZ16EuBI1RJvde2XwmcqJqrA/view?usp=drivesdk</t>
  </si>
  <si>
    <t>Document successfully created; Document successfully merged; PDF created; Emails Sent: [To: yotomargono21@gmsil.com]; Run via form trigger as ecertificate75@gmail.com; Timestamp: Sep 6 2024 3:29 AM</t>
  </si>
  <si>
    <t>ZAINUL ARIFIEN</t>
  </si>
  <si>
    <t>ariesfian2015@gmail.com</t>
  </si>
  <si>
    <t>8799</t>
  </si>
  <si>
    <t>1W4RxizC_u0BXuxn3YqERA0EZtpWC5mah</t>
  </si>
  <si>
    <t>https://drive.google.com/file/d/1W4RxizC_u0BXuxn3YqERA0EZtpWC5mah/view?usp=drivesdk</t>
  </si>
  <si>
    <t>Document successfully created; Document successfully merged; PDF created; Emails Sent: [To: ariesfian2015@gmail.com]; Run via form trigger as ecertificate75@gmail.com; Timestamp: Sep 6 2024 3:29 AM</t>
  </si>
  <si>
    <t xml:space="preserve">AHMAD ABD RAHMAN </t>
  </si>
  <si>
    <t>amatnini23@gmail.com</t>
  </si>
  <si>
    <t>8800</t>
  </si>
  <si>
    <t>17p6f0Icxd57rkkPQ04mOazK-LoX23Wud</t>
  </si>
  <si>
    <t>https://drive.google.com/file/d/17p6f0Icxd57rkkPQ04mOazK-LoX23Wud/view?usp=drivesdk</t>
  </si>
  <si>
    <t>Document successfully created; Document successfully merged; PDF created; Emails Sent: [To: amatnini23@gmail.com]; Run via form trigger as ecertificate75@gmail.com; Timestamp: Sep 6 2024 3:29 AM</t>
  </si>
  <si>
    <t>SURANI</t>
  </si>
  <si>
    <t>surani2704@gmail.com</t>
  </si>
  <si>
    <t>8801</t>
  </si>
  <si>
    <t>1mj_yi0l98CI5yNS4AnlWRNNn9N7H9vnP</t>
  </si>
  <si>
    <t>https://drive.google.com/file/d/1mj_yi0l98CI5yNS4AnlWRNNn9N7H9vnP/view?usp=drivesdk</t>
  </si>
  <si>
    <t>Document successfully created; Document successfully merged; PDF created; Emails Sent: [To: surani2704@gmail.com]; Run via form trigger as ecertificate75@gmail.com; Timestamp: Sep 6 2024 3:29 AM</t>
  </si>
  <si>
    <t>ASNIDA PUTRI</t>
  </si>
  <si>
    <t>asnidaputri445@gmail.com</t>
  </si>
  <si>
    <t>8802</t>
  </si>
  <si>
    <t>1YA0iMm4-4zr74Gc_TmM-X-lCzpDNLLuD</t>
  </si>
  <si>
    <t>https://drive.google.com/file/d/1YA0iMm4-4zr74Gc_TmM-X-lCzpDNLLuD/view?usp=drivesdk</t>
  </si>
  <si>
    <t>Document successfully created; Document successfully merged; PDF created; Emails Sent: [To: asnidaputri445@gmail.com]; Run via form trigger as ecertificate75@gmail.com; Timestamp: Sep 6 2024 3:29 AM</t>
  </si>
  <si>
    <t>SUHORO</t>
  </si>
  <si>
    <t>suhorodprs@gmail.com</t>
  </si>
  <si>
    <t>8803</t>
  </si>
  <si>
    <t>1Ceg0LQTreDPkZXQjxSRUNY3RsDzBAAOq</t>
  </si>
  <si>
    <t>https://drive.google.com/file/d/1Ceg0LQTreDPkZXQjxSRUNY3RsDzBAAOq/view?usp=drivesdk</t>
  </si>
  <si>
    <t>Document successfully created; Document successfully merged; PDF created; Emails Sent: [To: suhorodprs@gmail.com]; Run via form trigger as ecertificate75@gmail.com; Timestamp: Sep 6 2024 4:28 AM</t>
  </si>
  <si>
    <t xml:space="preserve">IKA SULASWATY </t>
  </si>
  <si>
    <t>aliiyahcantikgitu@gmail.com</t>
  </si>
  <si>
    <t>8804</t>
  </si>
  <si>
    <t>1NdfJJsvHr8e7yBlundn_rLjY96HPLB3J</t>
  </si>
  <si>
    <t>https://drive.google.com/file/d/1NdfJJsvHr8e7yBlundn_rLjY96HPLB3J/view?usp=drivesdk</t>
  </si>
  <si>
    <t>Document successfully created; Document successfully merged; PDF created; Emails Sent: [To: aliiyahcantikgitu@gmail.com]; Run via form trigger as ecertificate75@gmail.com; Timestamp: Sep 6 2024 4:29 AM</t>
  </si>
  <si>
    <t>RATNA WAHYUNINGRATI, S.E.,M.Si</t>
  </si>
  <si>
    <t>ratnawahyuningrati@gmail.com</t>
  </si>
  <si>
    <t>8805</t>
  </si>
  <si>
    <t>1CzIIVrg9ai8qMo0HDmN2jsp8_fnVdGpk</t>
  </si>
  <si>
    <t>https://drive.google.com/file/d/1CzIIVrg9ai8qMo0HDmN2jsp8_fnVdGpk/view?usp=drivesdk</t>
  </si>
  <si>
    <t>Document successfully created; Document successfully merged; PDF created; Emails Sent: [To: ratnawahyuningrati@gmail.com]; Run via form trigger as ecertificate75@gmail.com; Timestamp: Sep 6 2024 4:29 AM</t>
  </si>
  <si>
    <t>I GEDE MADE ARYA RISKI ADITYA PUTRA</t>
  </si>
  <si>
    <t>aryariski19@gmail.com</t>
  </si>
  <si>
    <t>8806</t>
  </si>
  <si>
    <t>Starting at Thu Aug 29 2024 23:00:44 GMT-0400 (EDT)</t>
  </si>
  <si>
    <t>1avGuhu5F47YXFv6VqzmV1Dq_HpfjSIoz</t>
  </si>
  <si>
    <t>https://drive.google.com/file/d/1avGuhu5F47YXFv6VqzmV1Dq_HpfjSIoz/view?usp=drivesdk</t>
  </si>
  <si>
    <t>Document successfully created; Document successfully merged; PDF created; Emails Sent: [To: aryariski19@gmail.com]; Run via form trigger as ecertificate75@gmail.com; Timestamp: Sep 6 2024 4:29 AM</t>
  </si>
  <si>
    <t>EMY SULISTYOWATI</t>
  </si>
  <si>
    <t>dukeanyaprabujendra@gmail.com</t>
  </si>
  <si>
    <t>8807</t>
  </si>
  <si>
    <t>1g_XtfncyaEYzGOeGMIeOUy-0TlQMHPqM</t>
  </si>
  <si>
    <t>https://drive.google.com/file/d/1g_XtfncyaEYzGOeGMIeOUy-0TlQMHPqM/view?usp=drivesdk</t>
  </si>
  <si>
    <t>Document successfully created; Document successfully merged; PDF created; Emails Sent: [To: dukeanyaprabujendra@gmail.com]; Run via form trigger as ecertificate75@gmail.com; Timestamp: Sep 6 2024 4:29 AM</t>
  </si>
  <si>
    <t>ERWIN DIANA</t>
  </si>
  <si>
    <t>erwdiana@gmail.com</t>
  </si>
  <si>
    <t>8808</t>
  </si>
  <si>
    <t>1Hm40GrVeZi-cF2mPktiEXfPlYm_3Crk4</t>
  </si>
  <si>
    <t>https://drive.google.com/file/d/1Hm40GrVeZi-cF2mPktiEXfPlYm_3Crk4/view?usp=drivesdk</t>
  </si>
  <si>
    <t>Document successfully created; Document successfully merged; PDF created; Emails Sent: [To: erwdiana@gmail.com]; Run via form trigger as ecertificate75@gmail.com; Timestamp: Sep 6 2024 4:30 AM</t>
  </si>
  <si>
    <t>SUWONO</t>
  </si>
  <si>
    <t>suwonowono7575@gmail.com</t>
  </si>
  <si>
    <t>8809</t>
  </si>
  <si>
    <t>1FVMkjet2ErIaCce-Xfh3vdoMEx-0N6sC</t>
  </si>
  <si>
    <t>https://drive.google.com/file/d/1FVMkjet2ErIaCce-Xfh3vdoMEx-0N6sC/view?usp=drivesdk</t>
  </si>
  <si>
    <t>Document successfully created; Document successfully merged; PDF created; Emails Sent: [To: suwonowono7575@gmail.com]; Run via form trigger as ecertificate75@gmail.com; Timestamp: Sep 6 2024 4:30 AM</t>
  </si>
  <si>
    <t>suyatnomujib@gmail.com</t>
  </si>
  <si>
    <t>8810</t>
  </si>
  <si>
    <t>11XHLhni-hsbBUWpQC7BIirdKX4ZB8a0w</t>
  </si>
  <si>
    <t>https://drive.google.com/file/d/11XHLhni-hsbBUWpQC7BIirdKX4ZB8a0w/view?usp=drivesdk</t>
  </si>
  <si>
    <t>Document successfully created; Document successfully merged; PDF created; Emails Sent: [To: suyatnomujib@gmail.com]; Run via form trigger as ecertificate75@gmail.com; Timestamp: Sep 6 2024 4:30 AM</t>
  </si>
  <si>
    <t>RISKI TRI SEPTIANITA,SE</t>
  </si>
  <si>
    <t>kikieazza11@gmail.com</t>
  </si>
  <si>
    <t>8811</t>
  </si>
  <si>
    <t>1tjuWFNOYjglVLrL2Tv3PcA_qBR_a852l</t>
  </si>
  <si>
    <t>https://drive.google.com/file/d/1tjuWFNOYjglVLrL2Tv3PcA_qBR_a852l/view?usp=drivesdk</t>
  </si>
  <si>
    <t>Document successfully created; Document successfully merged; PDF created; Emails Sent: [To: kikieazza11@gmail.com]; Run via form trigger as ecertificate75@gmail.com; Timestamp: Sep 6 2024 4:30 AM</t>
  </si>
  <si>
    <t>JULINARTI</t>
  </si>
  <si>
    <t>yulinartisbr@gmail.com</t>
  </si>
  <si>
    <t>8812</t>
  </si>
  <si>
    <t>1sbjGhBHJsKrIpPFOI-K2dQyChFzDpJEe</t>
  </si>
  <si>
    <t>https://drive.google.com/file/d/1sbjGhBHJsKrIpPFOI-K2dQyChFzDpJEe/view?usp=drivesdk</t>
  </si>
  <si>
    <t>Document successfully created; Document successfully merged; PDF created; Emails Sent: [To: yulinartisbr@gmail.com]; Run via form trigger as ecertificate75@gmail.com; Timestamp: Sep 6 2024 4:30 AM</t>
  </si>
  <si>
    <t>LIA AFRINA</t>
  </si>
  <si>
    <t>lia_afrina@yahoo.com</t>
  </si>
  <si>
    <t>8813</t>
  </si>
  <si>
    <t>1hYsvX6M2JYKevqNSFJS_c2IFaYDssdjf</t>
  </si>
  <si>
    <t>https://drive.google.com/file/d/1hYsvX6M2JYKevqNSFJS_c2IFaYDssdjf/view?usp=drivesdk</t>
  </si>
  <si>
    <t>Document successfully created; Document successfully merged; PDF created; Emails Sent: [To: lia_afrina@yahoo.com]; Run via form trigger as ecertificate75@gmail.com; Timestamp: Sep 6 2024 4:31 AM</t>
  </si>
  <si>
    <t>REFTA WIJAYA</t>
  </si>
  <si>
    <t>wijayarepta987@gmail.com</t>
  </si>
  <si>
    <t>8814</t>
  </si>
  <si>
    <t>1rFa42CtipVYJ7jV9iRfvvultG7NhZjIi</t>
  </si>
  <si>
    <t>https://drive.google.com/file/d/1rFa42CtipVYJ7jV9iRfvvultG7NhZjIi/view?usp=drivesdk</t>
  </si>
  <si>
    <t>Document successfully created; Document successfully merged; PDF created; Emails Sent: [To: wijayarepta987@gmail.com]; Run via form trigger as ecertificate75@gmail.com; Timestamp: Sep 6 2024 4:31 AM</t>
  </si>
  <si>
    <t>DRG. WISNU ADHIYOSO</t>
  </si>
  <si>
    <t>wisnu.adhiyoso@gmail.com</t>
  </si>
  <si>
    <t>8815</t>
  </si>
  <si>
    <t>156W9GtQNAVIJ-CmUHHNnlVfP9zuK9i4b</t>
  </si>
  <si>
    <t>https://drive.google.com/file/d/156W9GtQNAVIJ-CmUHHNnlVfP9zuK9i4b/view?usp=drivesdk</t>
  </si>
  <si>
    <t>Document successfully created; Document successfully merged; PDF created; Emails Sent: [To: wisnu.adhiyoso@gmail.com]; Run via form trigger as ecertificate75@gmail.com; Timestamp: Sep 6 2024 4:31 AM</t>
  </si>
  <si>
    <t xml:space="preserve">Een Rohaeni Sadily </t>
  </si>
  <si>
    <t>eenrohaenisadili1978@gmail.com</t>
  </si>
  <si>
    <t>8816</t>
  </si>
  <si>
    <t>1p1_gKUMf1MLjdu0Nx6qs_gv-H6scpCzi</t>
  </si>
  <si>
    <t>https://drive.google.com/file/d/1p1_gKUMf1MLjdu0Nx6qs_gv-H6scpCzi/view?usp=drivesdk</t>
  </si>
  <si>
    <t>Document successfully created; Document successfully merged; PDF created; Emails Sent: [To: eenrohaenisadili1978@gmail.com]; Run via form trigger as ecertificate75@gmail.com; Timestamp: Sep 6 2024 4:31 AM</t>
  </si>
  <si>
    <t xml:space="preserve">dr. Adriana Virani Jeumpa </t>
  </si>
  <si>
    <t>adrianavjeumpa@gmail.com</t>
  </si>
  <si>
    <t>8817</t>
  </si>
  <si>
    <t>1aVpYt30vp9ZQu64s5G5c_-OvoTyNrsey</t>
  </si>
  <si>
    <t>https://drive.google.com/file/d/1aVpYt30vp9ZQu64s5G5c_-OvoTyNrsey/view?usp=drivesdk</t>
  </si>
  <si>
    <t>Document successfully created; Document successfully merged; PDF created; Emails Sent: [To: adrianavjeumpa@gmail.com]; Run via form trigger as ecertificate75@gmail.com; Timestamp: Sep 6 2024 4:32 AM</t>
  </si>
  <si>
    <t>SITI AMANAH, S.Kep</t>
  </si>
  <si>
    <t>samanah17@gmail.com</t>
  </si>
  <si>
    <t>8818</t>
  </si>
  <si>
    <t>Starting at Thu Aug 29 2024 23:01:08 GMT-0400 (EDT)</t>
  </si>
  <si>
    <t>1l9uU0XG7rbw-0rXyp4UpNS-Z-uDskmiy</t>
  </si>
  <si>
    <t>https://drive.google.com/file/d/1l9uU0XG7rbw-0rXyp4UpNS-Z-uDskmiy/view?usp=drivesdk</t>
  </si>
  <si>
    <t>Document successfully created; Document successfully merged; PDF created; Emails Sent: [To: samanah17@gmail.com]; Run via form trigger as ecertificate75@gmail.com; Timestamp: Sep 6 2024 4:32 AM</t>
  </si>
  <si>
    <t xml:space="preserve">NORA DWI PUTRI </t>
  </si>
  <si>
    <t>noradwiputri1@gmail.com</t>
  </si>
  <si>
    <t>8819</t>
  </si>
  <si>
    <t>14CEOBMg0nab8x2GMnYNqxn3fMDABZ96i</t>
  </si>
  <si>
    <t>https://drive.google.com/file/d/14CEOBMg0nab8x2GMnYNqxn3fMDABZ96i/view?usp=drivesdk</t>
  </si>
  <si>
    <t>Document successfully created; Document successfully merged; PDF created; Emails Sent: [To: noradwiputri1@gmail.com]; Run via form trigger as ecertificate75@gmail.com; Timestamp: Sep 6 2024 4:32 AM</t>
  </si>
  <si>
    <t>SUTRISNA</t>
  </si>
  <si>
    <t>sutrisnasutrisna53@gmail.com</t>
  </si>
  <si>
    <t>8820</t>
  </si>
  <si>
    <t>1C6w2djyab8i0fHOtqP8EnTVmm3MF7wsl</t>
  </si>
  <si>
    <t>https://drive.google.com/file/d/1C6w2djyab8i0fHOtqP8EnTVmm3MF7wsl/view?usp=drivesdk</t>
  </si>
  <si>
    <t>Document successfully created; Document successfully merged; PDF created; Emails Sent: [To: sutrisnasutrisna53@gmail.com]; Run via form trigger as ecertificate75@gmail.com; Timestamp: Sep 6 2024 4:32 AM</t>
  </si>
  <si>
    <t xml:space="preserve">AKHMAD RAMDHANI, A.MD </t>
  </si>
  <si>
    <t>ramdhani71.ra@gmail.com</t>
  </si>
  <si>
    <t>8821</t>
  </si>
  <si>
    <t>14VGIkVO_sOLkPlPSSdTY8ysBj2R4ykII</t>
  </si>
  <si>
    <t>https://drive.google.com/file/d/14VGIkVO_sOLkPlPSSdTY8ysBj2R4ykII/view?usp=drivesdk</t>
  </si>
  <si>
    <t>Document successfully created; Document successfully merged; PDF created; Emails Sent: [To: ramdhani71.ra@gmail.com]; Run via form trigger as ecertificate75@gmail.com; Timestamp: Sep 6 2024 4:32 AM</t>
  </si>
  <si>
    <t>KARTOo</t>
  </si>
  <si>
    <t>kartotugu@gmail.com</t>
  </si>
  <si>
    <t>8822</t>
  </si>
  <si>
    <t>14DrVTZ7YkFmqsRfBs7OWnHmxDgfiabBI</t>
  </si>
  <si>
    <t>https://drive.google.com/file/d/14DrVTZ7YkFmqsRfBs7OWnHmxDgfiabBI/view?usp=drivesdk</t>
  </si>
  <si>
    <t>Document successfully created; Document successfully merged; PDF created; Emails Sent: [To: kartotugu@gmail.com]; Run via form trigger as ecertificate75@gmail.com; Timestamp: Sep 6 2024 4:33 AM</t>
  </si>
  <si>
    <t xml:space="preserve">SYAHRIL ANWAR </t>
  </si>
  <si>
    <t>anwarismail060@gmail.com</t>
  </si>
  <si>
    <t>8823</t>
  </si>
  <si>
    <t>1xa-9TxI1FGNrEuL2yme0I9DQGKFQ4WVb</t>
  </si>
  <si>
    <t>https://drive.google.com/file/d/1xa-9TxI1FGNrEuL2yme0I9DQGKFQ4WVb/view?usp=drivesdk</t>
  </si>
  <si>
    <t>Document successfully created; Document successfully merged; PDF created; Emails Sent: [To: anwarismail060@gmail.com]; Run via form trigger as ecertificate75@gmail.com; Timestamp: Sep 6 2024 4:33 AM</t>
  </si>
  <si>
    <t xml:space="preserve">YUSTINA </t>
  </si>
  <si>
    <t>yusbilaspn1212@gmail.com</t>
  </si>
  <si>
    <t>8824</t>
  </si>
  <si>
    <t>163Mrx38SLcRNEl7sS7N1HgxyfgSmPuEX</t>
  </si>
  <si>
    <t>https://drive.google.com/file/d/163Mrx38SLcRNEl7sS7N1HgxyfgSmPuEX/view?usp=drivesdk</t>
  </si>
  <si>
    <t>Document successfully created; Document successfully merged; PDF created; Emails Sent: [To: yusbilaspn1212@gmail.com]; Run via form trigger as ecertificate75@gmail.com; Timestamp: Sep 6 2024 4:33 AM</t>
  </si>
  <si>
    <t xml:space="preserve">RINI ANGGRAINI </t>
  </si>
  <si>
    <t>anggrainirini636@gmail.com</t>
  </si>
  <si>
    <t>8825</t>
  </si>
  <si>
    <t>1DfwK0FjRpDGot6dyEEJGJBBcVNp4EPNT</t>
  </si>
  <si>
    <t>https://drive.google.com/file/d/1DfwK0FjRpDGot6dyEEJGJBBcVNp4EPNT/view?usp=drivesdk</t>
  </si>
  <si>
    <t>Document successfully created; Document successfully merged; PDF created; Emails Sent: [To: anggrainirini636@gmail.com]; Run via form trigger as ecertificate75@gmail.com; Timestamp: Sep 6 2024 10:06 AM</t>
  </si>
  <si>
    <t>Sutrisno, AMK. An</t>
  </si>
  <si>
    <t>sutrisno3681@gmail.com</t>
  </si>
  <si>
    <t>8826</t>
  </si>
  <si>
    <t>1CKC7ZvILidU2neENsziP-SdaLifudvEZ</t>
  </si>
  <si>
    <t>https://drive.google.com/file/d/1CKC7ZvILidU2neENsziP-SdaLifudvEZ/view?usp=drivesdk</t>
  </si>
  <si>
    <t>Document successfully created; Document successfully merged; PDF created; Emails Sent: [To: sutrisno3681@gmail.com]; Run via form trigger as ecertificate75@gmail.com; Timestamp: Sep 6 2024 10:06 AM</t>
  </si>
  <si>
    <t xml:space="preserve">WARTIWARTI </t>
  </si>
  <si>
    <t>watisantos25@gmail.com</t>
  </si>
  <si>
    <t>8827</t>
  </si>
  <si>
    <t>Starting at Thu Aug 29 2024 23:01:13 GMT-0400 (EDT)</t>
  </si>
  <si>
    <t>1vSFRH1zXgr_-kc4xmaw_XzQ0DoDz-ew6</t>
  </si>
  <si>
    <t>https://drive.google.com/file/d/1vSFRH1zXgr_-kc4xmaw_XzQ0DoDz-ew6/view?usp=drivesdk</t>
  </si>
  <si>
    <t>Document successfully created; Document successfully merged; PDF created; Emails Sent: [To: watisantos25@gmail.com]; Run via form trigger as ecertificate75@gmail.com; Timestamp: Sep 6 2024 10:06 AM</t>
  </si>
  <si>
    <t>RIA SUSANTI, S.E.</t>
  </si>
  <si>
    <t>faeyza3103@gmail.com</t>
  </si>
  <si>
    <t>8828</t>
  </si>
  <si>
    <t>Starting at Thu Aug 29 2024 23:01:24 GMT-0400 (EDT)</t>
  </si>
  <si>
    <t>1dgdQ7uY6_YqyTaXkiEtZ6LsuKy2oFJy8</t>
  </si>
  <si>
    <t>https://drive.google.com/file/d/1dgdQ7uY6_YqyTaXkiEtZ6LsuKy2oFJy8/view?usp=drivesdk</t>
  </si>
  <si>
    <t>Document successfully created; Document successfully merged; PDF created; Emails Sent: [To: faeyza3103@gmail.com]; Run via form trigger as ecertificate75@gmail.com; Timestamp: Sep 6 2024 10:06 AM</t>
  </si>
  <si>
    <t xml:space="preserve">HERU KARYANTO </t>
  </si>
  <si>
    <t>herukaryanto379@gmail.com</t>
  </si>
  <si>
    <t>8829</t>
  </si>
  <si>
    <t>Starting at Thu Aug 29 2024 23:01:28 GMT-0400 (EDT)</t>
  </si>
  <si>
    <t>1slfYfoq6ay2BmrNo1EFjNBao0mFtuvJo</t>
  </si>
  <si>
    <t>https://drive.google.com/file/d/1slfYfoq6ay2BmrNo1EFjNBao0mFtuvJo/view?usp=drivesdk</t>
  </si>
  <si>
    <t>Document successfully created; Document successfully merged; PDF created; Emails Sent: [To: herukaryanto379@gmail.com]; Run via form trigger as ecertificate75@gmail.com; Timestamp: Sep 6 2024 10:07 AM</t>
  </si>
  <si>
    <t>ANA ARDIATI</t>
  </si>
  <si>
    <t>anaardiati3@gmail.com</t>
  </si>
  <si>
    <t>8830</t>
  </si>
  <si>
    <t>Starting at Thu Aug 29 2024 23:01:31 GMT-0400 (EDT)</t>
  </si>
  <si>
    <t>1v-LlKKAzmHBqIwSohIphrEE3VUFB2Uqu</t>
  </si>
  <si>
    <t>https://drive.google.com/file/d/1v-LlKKAzmHBqIwSohIphrEE3VUFB2Uqu/view?usp=drivesdk</t>
  </si>
  <si>
    <t>Document successfully created; Document successfully merged; PDF created; Emails Sent: [To: anaardiati3@gmail.com]; Run via form trigger as ecertificate75@gmail.com; Timestamp: Sep 6 2024 10:07 AM</t>
  </si>
  <si>
    <t>SYAH PUTRI NAINGGOLAN</t>
  </si>
  <si>
    <t>putrikisaran329@gmail.com</t>
  </si>
  <si>
    <t>8831</t>
  </si>
  <si>
    <t>Starting at Thu Aug 29 2024 23:01:43 GMT-0400 (EDT)</t>
  </si>
  <si>
    <t>1yBpLSiLI6UAZ2NE47Hbf-dMs5oDpufUp</t>
  </si>
  <si>
    <t>https://drive.google.com/file/d/1yBpLSiLI6UAZ2NE47Hbf-dMs5oDpufUp/view?usp=drivesdk</t>
  </si>
  <si>
    <t>Document successfully created; Document successfully merged; PDF created; !!Error Sending Emails: Service invoked too many times for one day: email.; Run via form trigger as ecertificate75@gmail.com; Timestamp: Sep 6 2024 10:07 AM</t>
  </si>
  <si>
    <t>Ifqi Nahdliati, SE</t>
  </si>
  <si>
    <t>ifqi.nahdijati@gmail.com</t>
  </si>
  <si>
    <t>8832</t>
  </si>
  <si>
    <t>Starting at Thu Aug 29 2024 23:01:45 GMT-0400 (EDT)</t>
  </si>
  <si>
    <t>1s__1gKK2LpOsxdaUgBNngsDfjgzGcKve</t>
  </si>
  <si>
    <t>https://drive.google.com/file/d/1s__1gKK2LpOsxdaUgBNngsDfjgzGcKve/view?usp=drivesdk</t>
  </si>
  <si>
    <t>DIANA ANDAYANI, S.K.M., M.M.</t>
  </si>
  <si>
    <t>Dianaandayani55@yahoo.co.id</t>
  </si>
  <si>
    <t>8833</t>
  </si>
  <si>
    <t>1jKgFJWKvgoISjFKDrLrbhS0UPDxM73TK</t>
  </si>
  <si>
    <t>https://drive.google.com/file/d/1jKgFJWKvgoISjFKDrLrbhS0UPDxM73TK/view?usp=drivesdk</t>
  </si>
  <si>
    <t>DENSUS 88 AT POLRI</t>
  </si>
  <si>
    <t>WISNU BUDI KURNIAWAN, S.M.</t>
  </si>
  <si>
    <t>wisnoewae@yahoo.com</t>
  </si>
  <si>
    <t>8834</t>
  </si>
  <si>
    <t>1iHCF3-0Ps4gWEzs9ND-UvPeF7-nc9bHH</t>
  </si>
  <si>
    <t>https://drive.google.com/file/d/1iHCF3-0Ps4gWEzs9ND-UvPeF7-nc9bHH/view?usp=drivesdk</t>
  </si>
  <si>
    <t>Document successfully created; Document successfully merged; PDF created; !!Error Sending Emails: Service invoked too many times for one day: email.; Run via form trigger as ecertificate75@gmail.com; Timestamp: Sep 6 2024 10:08 AM</t>
  </si>
  <si>
    <t>SUWARNI, S.PD., MH.</t>
  </si>
  <si>
    <t>suwarni.wwg@gmail.com</t>
  </si>
  <si>
    <t>8835</t>
  </si>
  <si>
    <t>Starting at Thu Aug 29 2024 23:01:48 GMT-0400 (EDT)</t>
  </si>
  <si>
    <t>1G-JKBJvmiAry-xf0JqQ5aCK7BTbbb_5W</t>
  </si>
  <si>
    <t>https://drive.google.com/file/d/1G-JKBJvmiAry-xf0JqQ5aCK7BTbbb_5W/view?usp=drivesdk</t>
  </si>
  <si>
    <t>HANIFAH</t>
  </si>
  <si>
    <t>hanifaudin@gmail.com</t>
  </si>
  <si>
    <t>8836</t>
  </si>
  <si>
    <t>Starting at Thu Aug 29 2024 23:01:50 GMT-0400 (EDT)</t>
  </si>
  <si>
    <t>11ZX6jbcjuaTFiRGDP_043FP9SexxhWZR</t>
  </si>
  <si>
    <t>https://drive.google.com/file/d/11ZX6jbcjuaTFiRGDP_043FP9SexxhWZR/view?usp=drivesdk</t>
  </si>
  <si>
    <t>SAMSINAR,S.H</t>
  </si>
  <si>
    <t>Samsinar25@gmail.com</t>
  </si>
  <si>
    <t>8837</t>
  </si>
  <si>
    <t>Starting at Thu Aug 29 2024 23:01:52 GMT-0400 (EDT)</t>
  </si>
  <si>
    <t>1j63-URK2kKbXpj17NUJRjiwLJjpOmXfu</t>
  </si>
  <si>
    <t>https://drive.google.com/file/d/1j63-URK2kKbXpj17NUJRjiwLJjpOmXfu/view?usp=drivesdk</t>
  </si>
  <si>
    <t>DADANG</t>
  </si>
  <si>
    <t>dadangedo29@gmail.com</t>
  </si>
  <si>
    <t>8838</t>
  </si>
  <si>
    <t>12ASovLfZ6deV5bzGjjWZowd8V6-7wiQR</t>
  </si>
  <si>
    <t>https://drive.google.com/file/d/12ASovLfZ6deV5bzGjjWZowd8V6-7wiQR/view?usp=drivesdk</t>
  </si>
  <si>
    <t>Document successfully created; Document successfully merged; PDF created; !!Error Sending Emails: Service invoked too many times for one day: email.; Run via form trigger as ecertificate75@gmail.com; Timestamp: Sep 6 2024 10:09 AM</t>
  </si>
  <si>
    <t>AHMAD FAISAL</t>
  </si>
  <si>
    <t>isal40135@gmail.com</t>
  </si>
  <si>
    <t>8839</t>
  </si>
  <si>
    <t>Starting at Thu Aug 29 2024 23:01:55 GMT-0400 (EDT)</t>
  </si>
  <si>
    <t>1hrq0L6INLhvVNxRaIsY0-_EuBKSZou0a</t>
  </si>
  <si>
    <t>https://drive.google.com/file/d/1hrq0L6INLhvVNxRaIsY0-_EuBKSZou0a/view?usp=drivesdk</t>
  </si>
  <si>
    <t>I MADE SARI WIRA ADA</t>
  </si>
  <si>
    <t>mswaada@gmail.com</t>
  </si>
  <si>
    <t>8840</t>
  </si>
  <si>
    <t>1Y3OfFvvxkXJCYfYj6YS6HEakGQtHTytn</t>
  </si>
  <si>
    <t>https://drive.google.com/file/d/1Y3OfFvvxkXJCYfYj6YS6HEakGQtHTytn/view?usp=drivesdk</t>
  </si>
  <si>
    <t xml:space="preserve">AMELIA LUKE </t>
  </si>
  <si>
    <t>ameliasonyaluke@gmail.com</t>
  </si>
  <si>
    <t>8841</t>
  </si>
  <si>
    <t>Starting at Thu Aug 29 2024 23:01:57 GMT-0400 (EDT)</t>
  </si>
  <si>
    <t>1zmNa0b48UmtYjAEkAlU-05v2qb4Frwew</t>
  </si>
  <si>
    <t>https://drive.google.com/file/d/1zmNa0b48UmtYjAEkAlU-05v2qb4Frwew/view?usp=drivesdk</t>
  </si>
  <si>
    <t>NURMINA, S.SOS</t>
  </si>
  <si>
    <t>noorfuadi99@gmail.com</t>
  </si>
  <si>
    <t>8842</t>
  </si>
  <si>
    <t>Starting at Thu Aug 29 2024 23:01:59 GMT-0400 (EDT)</t>
  </si>
  <si>
    <t>1Nkt_oJjS10KqSzRjmGclTfFTXG-nu42I</t>
  </si>
  <si>
    <t>https://drive.google.com/file/d/1Nkt_oJjS10KqSzRjmGclTfFTXG-nu42I/view?usp=drivesdk</t>
  </si>
  <si>
    <t>SIGIT HARIYANTO</t>
  </si>
  <si>
    <t>sigihariyanto794@gmail.com</t>
  </si>
  <si>
    <t>8843</t>
  </si>
  <si>
    <t>1yKsBcKIefkkXlVrf-FTHCvWPhnFch43b</t>
  </si>
  <si>
    <t>https://drive.google.com/file/d/1yKsBcKIefkkXlVrf-FTHCvWPhnFch43b/view?usp=drivesdk</t>
  </si>
  <si>
    <t>Document successfully created; Document successfully merged; PDF created; !!Error Sending Emails: Service invoked too many times for one day: email.; Run via form trigger as ecertificate75@gmail.com; Timestamp: Sep 6 2024 10:10 AM</t>
  </si>
  <si>
    <t>IWAN KURNIAWAN,SE.,M.Ak</t>
  </si>
  <si>
    <t>iwanmichay157@gmail.com</t>
  </si>
  <si>
    <t>8844</t>
  </si>
  <si>
    <t>Starting at Thu Aug 29 2024 23:02:10 GMT-0400 (EDT)</t>
  </si>
  <si>
    <t>1QbzYXnIHFCUfX4sHwoxa-6erBCFeS-s0</t>
  </si>
  <si>
    <t>https://drive.google.com/file/d/1QbzYXnIHFCUfX4sHwoxa-6erBCFeS-s0/view?usp=drivesdk</t>
  </si>
  <si>
    <t>ANIS ULFA</t>
  </si>
  <si>
    <t>anispns@gmail.com</t>
  </si>
  <si>
    <t>8845</t>
  </si>
  <si>
    <t>1R509FsfdQfD8QUXgSytYESYwka0hpquh</t>
  </si>
  <si>
    <t>https://drive.google.com/file/d/1R509FsfdQfD8QUXgSytYESYwka0hpquh/view?usp=drivesdk</t>
  </si>
  <si>
    <t>PALELLERI</t>
  </si>
  <si>
    <t>ikasariasriani@gmail.com</t>
  </si>
  <si>
    <t>8846</t>
  </si>
  <si>
    <t>1P7mc05EsA0k7FUaixiqzAxbx6k2LrASr</t>
  </si>
  <si>
    <t>https://drive.google.com/file/d/1P7mc05EsA0k7FUaixiqzAxbx6k2LrASr/view?usp=drivesdk</t>
  </si>
  <si>
    <t>KASMA DEWI YANTI</t>
  </si>
  <si>
    <t>kasmadewiyanti40@gmail.com</t>
  </si>
  <si>
    <t>8847</t>
  </si>
  <si>
    <t>Starting at Thu Aug 29 2024 23:02:15 GMT-0400 (EDT)</t>
  </si>
  <si>
    <t>1riIRzhndOoH5NYll3UhDpt-Mdp3Ppaf1</t>
  </si>
  <si>
    <t>https://drive.google.com/file/d/1riIRzhndOoH5NYll3UhDpt-Mdp3Ppaf1/view?usp=drivesdk</t>
  </si>
  <si>
    <t>YAYAT SUPRIATNA, S.Kep.,Ners</t>
  </si>
  <si>
    <t>yayat.supriatna076@gmail.com</t>
  </si>
  <si>
    <t>8848</t>
  </si>
  <si>
    <t>1JcoxDDtRHXFAcXyUo040b_DVX1Ql5Qa2</t>
  </si>
  <si>
    <t>https://drive.google.com/file/d/1JcoxDDtRHXFAcXyUo040b_DVX1Ql5Qa2/view?usp=drivesdk</t>
  </si>
  <si>
    <t>TITI AIZA</t>
  </si>
  <si>
    <t>titiaiza1986@gmail.com</t>
  </si>
  <si>
    <t>8849</t>
  </si>
  <si>
    <t>1e9sTPCm6vHNVzVbhVYc1YW4vbSCXCkWB</t>
  </si>
  <si>
    <t>https://drive.google.com/file/d/1e9sTPCm6vHNVzVbhVYc1YW4vbSCXCkWB/view?usp=drivesdk</t>
  </si>
  <si>
    <t>Document successfully created; Document successfully merged; PDF created; Emails Sent: [To: titiaiza1986@gmail.com]; Run via form trigger as ecertificate75@gmail.com; Timestamp: Sep 8 2024 5:26 AM</t>
  </si>
  <si>
    <t>EEP KOSWARA AMD.KEP</t>
  </si>
  <si>
    <t>eep.koswara@gmail.com</t>
  </si>
  <si>
    <t>8850</t>
  </si>
  <si>
    <t>1MQK36iiCAxPTcvSPEG3ELuGA5TtebgDv</t>
  </si>
  <si>
    <t>https://drive.google.com/file/d/1MQK36iiCAxPTcvSPEG3ELuGA5TtebgDv/view?usp=drivesdk</t>
  </si>
  <si>
    <t>Document successfully created; Document successfully merged; PDF created; Emails Sent: [To: eep.koswara@gmail.com]; Run via form trigger as ecertificate75@gmail.com; Timestamp: Sep 8 2024 5:27 AM</t>
  </si>
  <si>
    <t>TRI MARYANI</t>
  </si>
  <si>
    <t>treemaryani08@gmail.com</t>
  </si>
  <si>
    <t>8851</t>
  </si>
  <si>
    <t>Starting at Thu Aug 29 2024 23:03:11 GMT-0400 (EDT)</t>
  </si>
  <si>
    <t>1t2kuRtjRJTo5UKbloahpiMt70TRaQpKn</t>
  </si>
  <si>
    <t>https://drive.google.com/file/d/1t2kuRtjRJTo5UKbloahpiMt70TRaQpKn/view?usp=drivesdk</t>
  </si>
  <si>
    <t>Document successfully created; Document successfully merged; PDF created; Emails Sent: [To: treemaryani08@gmail.com]; Run via form trigger as ecertificate75@gmail.com; Timestamp: Sep 8 2024 5:27 AM</t>
  </si>
  <si>
    <t>CHOLIFAH</t>
  </si>
  <si>
    <t>cholifahsugiyarto@gmail.com</t>
  </si>
  <si>
    <t>8852</t>
  </si>
  <si>
    <t>1OeUp6iypZybtSfPt6yOeuC8a6DVaVKnE</t>
  </si>
  <si>
    <t>https://drive.google.com/file/d/1OeUp6iypZybtSfPt6yOeuC8a6DVaVKnE/view?usp=drivesdk</t>
  </si>
  <si>
    <t>Document successfully created; Document successfully merged; PDF created; Emails Sent: [To: cholifahsugiyarto@gmail.com]; Run via form trigger as ecertificate75@gmail.com; Timestamp: Sep 8 2024 5:27 AM</t>
  </si>
  <si>
    <t>dr. Budi Prasetyo Sp.An</t>
  </si>
  <si>
    <t>tyoanest@gmail.com</t>
  </si>
  <si>
    <t>8853</t>
  </si>
  <si>
    <t>1QDXzxOmKBhH4sJXTCh_w2gn31urYjLgm</t>
  </si>
  <si>
    <t>https://drive.google.com/file/d/1QDXzxOmKBhH4sJXTCh_w2gn31urYjLgm/view?usp=drivesdk</t>
  </si>
  <si>
    <t>Document successfully created; Document successfully merged; PDF created; Emails Sent: [To: tyoanest@gmail.com]; Run via form trigger as ecertificate75@gmail.com; Timestamp: Sep 8 2024 5:27 AM</t>
  </si>
  <si>
    <t>SITA ARYANTI HARSONO,A.Md,Keb</t>
  </si>
  <si>
    <t>sitaarynt@gmail.com</t>
  </si>
  <si>
    <t>8854</t>
  </si>
  <si>
    <t>1l5D-LTNOd24hEHBUCsZkDRyYstnpgBv9</t>
  </si>
  <si>
    <t>https://drive.google.com/file/d/1l5D-LTNOd24hEHBUCsZkDRyYstnpgBv9/view?usp=drivesdk</t>
  </si>
  <si>
    <t>Document successfully created; Document successfully merged; PDF created; Emails Sent: [To: sitaarynt@gmail.com]; Run via form trigger as ecertificate75@gmail.com; Timestamp: Sep 8 2024 5:28 AM</t>
  </si>
  <si>
    <t>JULI FITRIANI, SKM</t>
  </si>
  <si>
    <t>julifitriani@gmail.com</t>
  </si>
  <si>
    <t>8855</t>
  </si>
  <si>
    <t>1wJlcIe3lmwgLQRbFUc-bSgzpiGaiAbkn</t>
  </si>
  <si>
    <t>https://drive.google.com/file/d/1wJlcIe3lmwgLQRbFUc-bSgzpiGaiAbkn/view?usp=drivesdk</t>
  </si>
  <si>
    <t>Document successfully created; Document successfully merged; PDF created; Emails Sent: [To: julifitriani@gmail.com]; Run via form trigger as ecertificate75@gmail.com; Timestamp: Sep 8 2024 5:28 AM</t>
  </si>
  <si>
    <t>WAHYU CIPTO</t>
  </si>
  <si>
    <t>wahyucipto78@gmail.com</t>
  </si>
  <si>
    <t>8856</t>
  </si>
  <si>
    <t>1odP9A7axJdzOgf-t-zv23jB4B6OI8xNG</t>
  </si>
  <si>
    <t>https://drive.google.com/file/d/1odP9A7axJdzOgf-t-zv23jB4B6OI8xNG/view?usp=drivesdk</t>
  </si>
  <si>
    <t>Document successfully created; Document successfully merged; PDF created; Emails Sent: [To: wahyucipto78@gmail.com]; Run via form trigger as ecertificate75@gmail.com; Timestamp: Sep 8 2024 5:28 AM</t>
  </si>
  <si>
    <t>NOVIYANTI HIDAYAT, SM</t>
  </si>
  <si>
    <t>novi94.nh@gmail.com</t>
  </si>
  <si>
    <t>8857</t>
  </si>
  <si>
    <t>1RlUTdzEhyJ6h8FRki9EGfeOcEbJY0gi_</t>
  </si>
  <si>
    <t>https://drive.google.com/file/d/1RlUTdzEhyJ6h8FRki9EGfeOcEbJY0gi_/view?usp=drivesdk</t>
  </si>
  <si>
    <t>Document successfully created; Document successfully merged; PDF created; Emails Sent: [To: novi94.nh@gmail.com]; Run via form trigger as ecertificate75@gmail.com; Timestamp: Sep 8 2024 5:28 AM</t>
  </si>
  <si>
    <t>DEDY TRI HARTOTO, S.KOM., M.H.</t>
  </si>
  <si>
    <t>dedytri74@gmail.com</t>
  </si>
  <si>
    <t>8858</t>
  </si>
  <si>
    <t>13LyTqgd2PEOQHCVWgVcrWAlrfRIWj34Y</t>
  </si>
  <si>
    <t>https://drive.google.com/file/d/13LyTqgd2PEOQHCVWgVcrWAlrfRIWj34Y/view?usp=drivesdk</t>
  </si>
  <si>
    <t>Document successfully created; Document successfully merged; PDF created; Emails Sent: [To: dedytri74@gmail.com]; Run via form trigger as ecertificate75@gmail.com; Timestamp: Sep 8 2024 5:28 AM</t>
  </si>
  <si>
    <t>FITRI KESUMANTA ANGGRAINI BANGUN,SST</t>
  </si>
  <si>
    <t>fitribangun177@gmail.com</t>
  </si>
  <si>
    <t>8859</t>
  </si>
  <si>
    <t>1KEKcvT-ThAQQyByikTllnjoPkeBZ_XMp</t>
  </si>
  <si>
    <t>https://drive.google.com/file/d/1KEKcvT-ThAQQyByikTllnjoPkeBZ_XMp/view?usp=drivesdk</t>
  </si>
  <si>
    <t>Document successfully created; Document successfully merged; PDF created; Emails Sent: [To: fitribangun177@gmail.com]; Run via form trigger as ecertificate75@gmail.com; Timestamp: Sep 8 2024 5:29 AM</t>
  </si>
  <si>
    <t>PATRIA TUNGGA DEWA, S.T.</t>
  </si>
  <si>
    <t>patriatunggadewa@gmail.com</t>
  </si>
  <si>
    <t>8860</t>
  </si>
  <si>
    <t>15GaU7MIX7312oQZGz0CgsGRTr1LDsCEl</t>
  </si>
  <si>
    <t>https://drive.google.com/file/d/15GaU7MIX7312oQZGz0CgsGRTr1LDsCEl/view?usp=drivesdk</t>
  </si>
  <si>
    <t>Document successfully created; Document successfully merged; PDF created; Emails Sent: [To: patriatunggadewa@gmail.com]; Run via form trigger as ecertificate75@gmail.com; Timestamp: Sep 8 2024 5:29 AM</t>
  </si>
  <si>
    <t>RAHMA ELIANA S. Psi</t>
  </si>
  <si>
    <t>rahmaeliana81@gmail.com</t>
  </si>
  <si>
    <t>8861</t>
  </si>
  <si>
    <t>1Jk6HXBFTKqQRx5sCjk6nrGndBfkd1RUJ</t>
  </si>
  <si>
    <t>https://drive.google.com/file/d/1Jk6HXBFTKqQRx5sCjk6nrGndBfkd1RUJ/view?usp=drivesdk</t>
  </si>
  <si>
    <t>Document successfully created; Document successfully merged; PDF created; Emails Sent: [To: rahmaeliana81@gmail.com]; Run via form trigger as ecertificate75@gmail.com; Timestamp: Sep 8 2024 5:29 AM</t>
  </si>
  <si>
    <t>SISWANTORO, S.E.</t>
  </si>
  <si>
    <t>siswantoro2008@gmail.com</t>
  </si>
  <si>
    <t>8862</t>
  </si>
  <si>
    <t>1FdrWEenC7FMyZwVa9j-k8yB1OCwnc25b</t>
  </si>
  <si>
    <t>https://drive.google.com/file/d/1FdrWEenC7FMyZwVa9j-k8yB1OCwnc25b/view?usp=drivesdk</t>
  </si>
  <si>
    <t>Document successfully created; Document successfully merged; PDF created; Emails Sent: [To: siswantoro2008@gmail.com]; Run via form trigger as ecertificate75@gmail.com; Timestamp: Sep 8 2024 5:29 AM</t>
  </si>
  <si>
    <t>YAYAN CHRISTIAN NUGROHO, A.Md.</t>
  </si>
  <si>
    <t>copal.coplak@gmail.com</t>
  </si>
  <si>
    <t>8863</t>
  </si>
  <si>
    <t>1y1gC-a2_BFtKH9ktVVnixeVJ8a0smeNg</t>
  </si>
  <si>
    <t>https://drive.google.com/file/d/1y1gC-a2_BFtKH9ktVVnixeVJ8a0smeNg/view?usp=drivesdk</t>
  </si>
  <si>
    <t>Document successfully created; Document successfully merged; PDF created; Emails Sent: [To: copal.coplak@gmail.com]; Run via form trigger as ecertificate75@gmail.com; Timestamp: Sep 8 2024 5:30 AM</t>
  </si>
  <si>
    <t>SUJIYATI</t>
  </si>
  <si>
    <t>sujiyati19@gmail.com</t>
  </si>
  <si>
    <t>8864</t>
  </si>
  <si>
    <t>10o9p7XukRB-vbb6ryx_hit4S4lyerY1c</t>
  </si>
  <si>
    <t>https://drive.google.com/file/d/10o9p7XukRB-vbb6ryx_hit4S4lyerY1c/view?usp=drivesdk</t>
  </si>
  <si>
    <t>Document successfully created; Document successfully merged; PDF created; Emails Sent: [To: sujiyati19@gmail.com]; Run via form trigger as ecertificate75@gmail.com; Timestamp: Sep 8 2024 5:30 AM</t>
  </si>
  <si>
    <t>SITMI, A.Md</t>
  </si>
  <si>
    <t>fitri86sarnubi@gmail.com</t>
  </si>
  <si>
    <t>8865</t>
  </si>
  <si>
    <t>Starting at Thu Aug 29 2024 23:03:14 GMT-0400 (EDT)</t>
  </si>
  <si>
    <t>16uzz3xle_6yuxr4j-C8SMwT4otDZL553</t>
  </si>
  <si>
    <t>https://drive.google.com/file/d/16uzz3xle_6yuxr4j-C8SMwT4otDZL553/view?usp=drivesdk</t>
  </si>
  <si>
    <t>Document successfully created; Document successfully merged; PDF created; Emails Sent: [To: fitri86sarnubi@gmail.com]; Run via form trigger as ecertificate75@gmail.com; Timestamp: Sep 8 2024 5:30 AM</t>
  </si>
  <si>
    <t>ANI SURYANI</t>
  </si>
  <si>
    <t>ani_suryani_rs@ymail.com</t>
  </si>
  <si>
    <t>8866</t>
  </si>
  <si>
    <t>1zSc5P0DHmwIHpCqpRiSDYB18xOJP6wF1</t>
  </si>
  <si>
    <t>https://drive.google.com/file/d/1zSc5P0DHmwIHpCqpRiSDYB18xOJP6wF1/view?usp=drivesdk</t>
  </si>
  <si>
    <t>Document successfully created; Document successfully merged; PDF created; Emails Sent: [To: ani_suryani_rs@ymail.com]; Run via form trigger as ecertificate75@gmail.com; Timestamp: Sep 8 2024 5:30 AM</t>
  </si>
  <si>
    <t>DADAN EKA HENDRAWAN</t>
  </si>
  <si>
    <t>dadanhendrawan29@gmail.com</t>
  </si>
  <si>
    <t>8867</t>
  </si>
  <si>
    <t>Starting at Thu Aug 29 2024 23:03:17 GMT-0400 (EDT)</t>
  </si>
  <si>
    <t>1DUhVoNJWIC-7rw19fQzquICpogcu0YJG</t>
  </si>
  <si>
    <t>https://drive.google.com/file/d/1DUhVoNJWIC-7rw19fQzquICpogcu0YJG/view?usp=drivesdk</t>
  </si>
  <si>
    <t>Document successfully created; Document successfully merged; PDF created; Emails Sent: [To: dadanhendrawan29@gmail.com]; Run via form trigger as ecertificate75@gmail.com; Timestamp: Sep 8 2024 5:31 AM</t>
  </si>
  <si>
    <t>ASEP RIATMAJA</t>
  </si>
  <si>
    <t>asepriatmaja@gmail.com</t>
  </si>
  <si>
    <t>8868</t>
  </si>
  <si>
    <t>Starting at Thu Aug 29 2024 23:03:21 GMT-0400 (EDT)</t>
  </si>
  <si>
    <t>12VRo-0EPOHlTn8MIPWcgfz013O1oHREs</t>
  </si>
  <si>
    <t>https://drive.google.com/file/d/12VRo-0EPOHlTn8MIPWcgfz013O1oHREs/view?usp=drivesdk</t>
  </si>
  <si>
    <t>Document successfully created; Document successfully merged; PDF created; Emails Sent: [To: asepriatmaja@gmail.com]; Run via form trigger as ecertificate75@gmail.com; Timestamp: Sep 8 2024 5:31 AM</t>
  </si>
  <si>
    <t>ALI FATARI</t>
  </si>
  <si>
    <t>alifatari1968@gmail.com</t>
  </si>
  <si>
    <t>8869</t>
  </si>
  <si>
    <t>135ypwqxkIfYMVchwMqy-1EJ63WfwRoqI</t>
  </si>
  <si>
    <t>https://drive.google.com/file/d/135ypwqxkIfYMVchwMqy-1EJ63WfwRoqI/view?usp=drivesdk</t>
  </si>
  <si>
    <t>Document successfully created; Document successfully merged; PDF created; Emails Sent: [To: alifatari1968@gmail.com]; Run via form trigger as ecertificate75@gmail.com; Timestamp: Sep 8 2024 5:31 AM</t>
  </si>
  <si>
    <t xml:space="preserve">JULISTINA </t>
  </si>
  <si>
    <t>julissukri05@gmail.com</t>
  </si>
  <si>
    <t>8870</t>
  </si>
  <si>
    <t>Starting at Thu Aug 29 2024 23:03:27 GMT-0400 (EDT)</t>
  </si>
  <si>
    <t>1OXRjkRwQ9xgV0RNa9joUg0qM8-DQ8DH6</t>
  </si>
  <si>
    <t>https://drive.google.com/file/d/1OXRjkRwQ9xgV0RNa9joUg0qM8-DQ8DH6/view?usp=drivesdk</t>
  </si>
  <si>
    <t>Document successfully created; Document successfully merged; PDF created; Emails Sent: [To: julissukri05@gmail.com]; Run via form trigger as ecertificate75@gmail.com; Timestamp: Sep 8 2024 8:00 PM</t>
  </si>
  <si>
    <t>ASRA APRIYANTI</t>
  </si>
  <si>
    <t>asraapriyanti@gmail.com</t>
  </si>
  <si>
    <t>8871</t>
  </si>
  <si>
    <t>1y4cyvCp7BmxOMujVPFQzJU60lNRMYuoO</t>
  </si>
  <si>
    <t>https://drive.google.com/file/d/1y4cyvCp7BmxOMujVPFQzJU60lNRMYuoO/view?usp=drivesdk</t>
  </si>
  <si>
    <t>Document successfully created; Document successfully merged; PDF created; Emails Sent: [To: asraapriyanti@gmail.com]; Run via form trigger as ecertificate75@gmail.com; Timestamp: Sep 8 2024 8:01 PM</t>
  </si>
  <si>
    <t>Drg WENY HERAWATI</t>
  </si>
  <si>
    <t>wenyherawati2014@gmail.com</t>
  </si>
  <si>
    <t>8872</t>
  </si>
  <si>
    <t>1ChETB6G2vCrc0hmFYE3aulmn0X_cGJzP</t>
  </si>
  <si>
    <t>https://drive.google.com/file/d/1ChETB6G2vCrc0hmFYE3aulmn0X_cGJzP/view?usp=drivesdk</t>
  </si>
  <si>
    <t>Document successfully created; Document successfully merged; PDF created; Emails Sent: [To: wenyherawati2014@gmail.com]; Run via form trigger as ecertificate75@gmail.com; Timestamp: Sep 8 2024 8:01 PM</t>
  </si>
  <si>
    <t>SAGAL SAHARA HUTAGALUNG, SE</t>
  </si>
  <si>
    <t>Sagalhutagalung@gmail.com</t>
  </si>
  <si>
    <t>8873</t>
  </si>
  <si>
    <t>Starting at Thu Aug 29 2024 23:03:32 GMT-0400 (EDT)</t>
  </si>
  <si>
    <t>19BR9Zgrl8TfuYiuTa61J-ibDKKT0yHq5</t>
  </si>
  <si>
    <t>https://drive.google.com/file/d/19BR9Zgrl8TfuYiuTa61J-ibDKKT0yHq5/view?usp=drivesdk</t>
  </si>
  <si>
    <t>Document successfully created; Document successfully merged; PDF created; Emails Sent: [To: Sagalhutagalung@gmail.com]; Run via form trigger as ecertificate75@gmail.com; Timestamp: Sep 8 2024 8:01 PM</t>
  </si>
  <si>
    <t>HERMAN, S.E.</t>
  </si>
  <si>
    <t>hermansaputra947@gmail.com</t>
  </si>
  <si>
    <t>8874</t>
  </si>
  <si>
    <t>Starting at Thu Aug 29 2024 23:03:41 GMT-0400 (EDT)</t>
  </si>
  <si>
    <t>1CFhSRLycjGK81YT5hxMw8rtCFfGxr6NQ</t>
  </si>
  <si>
    <t>https://drive.google.com/file/d/1CFhSRLycjGK81YT5hxMw8rtCFfGxr6NQ/view?usp=drivesdk</t>
  </si>
  <si>
    <t>Document successfully created; Document successfully merged; PDF created; Emails Sent: [To: hermansaputra947@gmail.com]; Run via form trigger as ecertificate75@gmail.com; Timestamp: Sep 8 2024 8:01 PM</t>
  </si>
  <si>
    <t>NENENG HERAWATI, Amd.Farm</t>
  </si>
  <si>
    <t>nenengherawati2108@gmail.com</t>
  </si>
  <si>
    <t>8875</t>
  </si>
  <si>
    <t>1mbVEqfBM_f7TOibUl_E4aCRLlR6kHMhK</t>
  </si>
  <si>
    <t>https://drive.google.com/file/d/1mbVEqfBM_f7TOibUl_E4aCRLlR6kHMhK/view?usp=drivesdk</t>
  </si>
  <si>
    <t>Document successfully created; Document successfully merged; PDF created; Emails Sent: [To: nenengherawati2108@gmail.com]; Run via form trigger as ecertificate75@gmail.com; Timestamp: Sep 8 2024 8:01 PM</t>
  </si>
  <si>
    <t>NOVA DEWI SULISTIANINGSIH</t>
  </si>
  <si>
    <t>nonoov.19@gmail.com</t>
  </si>
  <si>
    <t>8876</t>
  </si>
  <si>
    <t>1p5hng9lpF0-NdP9ROAhfay6YEwzyFnpD</t>
  </si>
  <si>
    <t>https://drive.google.com/file/d/1p5hng9lpF0-NdP9ROAhfay6YEwzyFnpD/view?usp=drivesdk</t>
  </si>
  <si>
    <t>Document successfully created; Document successfully merged; PDF created; Emails Sent: [To: nonoov.19@gmail.com]; Run via form trigger as ecertificate75@gmail.com; Timestamp: Sep 8 2024 8:02 PM</t>
  </si>
  <si>
    <t>INDAH PANGASTUTI,SSI.APT</t>
  </si>
  <si>
    <t>indahpriyo21@gmail.com</t>
  </si>
  <si>
    <t>8877</t>
  </si>
  <si>
    <t>Starting at Thu Aug 29 2024 23:03:57 GMT-0400 (EDT)</t>
  </si>
  <si>
    <t>1SQZZv7Q9xo9s89BFx_i7a0c4p-NYN8yN</t>
  </si>
  <si>
    <t>https://drive.google.com/file/d/1SQZZv7Q9xo9s89BFx_i7a0c4p-NYN8yN/view?usp=drivesdk</t>
  </si>
  <si>
    <t>Document successfully created; Document successfully merged; PDF created; Emails Sent: [To: indahpriyo21@gmail.com]; Run via form trigger as ecertificate75@gmail.com; Timestamp: Sep 8 2024 8:02 PM</t>
  </si>
  <si>
    <t>SRI UTAMI WILUJENG</t>
  </si>
  <si>
    <t>sriutamiwilujeng@gmail.com</t>
  </si>
  <si>
    <t>8878</t>
  </si>
  <si>
    <t>12KtU8NsGUOPbVkocCMIcEwaXvhLZckbU</t>
  </si>
  <si>
    <t>https://drive.google.com/file/d/12KtU8NsGUOPbVkocCMIcEwaXvhLZckbU/view?usp=drivesdk</t>
  </si>
  <si>
    <t>Document successfully created; Document successfully merged; PDF created; Emails Sent: [To: sriutamiwilujeng@gmail.com]; Run via form trigger as ecertificate75@gmail.com; Timestamp: Sep 8 2024 8:02 PM</t>
  </si>
  <si>
    <t>sis946252@gmail.com</t>
  </si>
  <si>
    <t>8879</t>
  </si>
  <si>
    <t>1hc_74s7TlV7w9rP7xDEmKtrQxHBrt1eL</t>
  </si>
  <si>
    <t>https://drive.google.com/file/d/1hc_74s7TlV7w9rP7xDEmKtrQxHBrt1eL/view?usp=drivesdk</t>
  </si>
  <si>
    <t>Document successfully created; Document successfully merged; PDF created; Emails Sent: [To: sis946252@gmail.com]; Run via form trigger as ecertificate75@gmail.com; Timestamp: Sep 8 2024 8:02 PM</t>
  </si>
  <si>
    <t>rologpoldasumbar@gmail.com</t>
  </si>
  <si>
    <t>8880</t>
  </si>
  <si>
    <t>15J1E8KeqKQSy3IDcQgQMyR4kESnSj6LL</t>
  </si>
  <si>
    <t>https://drive.google.com/file/d/15J1E8KeqKQSy3IDcQgQMyR4kESnSj6LL/view?usp=drivesdk</t>
  </si>
  <si>
    <t>Document successfully created; Document successfully merged; PDF created; Emails Sent: [To: rologpoldasumbar@gmail.com]; Run via form trigger as ecertificate75@gmail.com; Timestamp: Sep 8 2024 8:02 PM</t>
  </si>
  <si>
    <t>DWI MEGA HANDAYANI, S.E.</t>
  </si>
  <si>
    <t>naura180486@gmail.com</t>
  </si>
  <si>
    <t>8881</t>
  </si>
  <si>
    <t>1oy4AgvYZ4kBoQpwHP1qy4cx2fia5CdSc</t>
  </si>
  <si>
    <t>https://drive.google.com/file/d/1oy4AgvYZ4kBoQpwHP1qy4cx2fia5CdSc/view?usp=drivesdk</t>
  </si>
  <si>
    <t>Document successfully created; Document successfully merged; PDF created; Emails Sent: [To: naura180486@gmail.com]; Run via form trigger as ecertificate75@gmail.com; Timestamp: Sep 8 2024 8:03 PM</t>
  </si>
  <si>
    <t>agus79nurcahyono@gmail.com</t>
  </si>
  <si>
    <t>8882</t>
  </si>
  <si>
    <t>1dI58E-VOJmebpUUdPrTEqu1dDhboatbh</t>
  </si>
  <si>
    <t>https://drive.google.com/file/d/1dI58E-VOJmebpUUdPrTEqu1dDhboatbh/view?usp=drivesdk</t>
  </si>
  <si>
    <t>Document successfully created; Document successfully merged; PDF created; Emails Sent: [To: agus79nurcahyono@gmail.com]; Run via form trigger as ecertificate75@gmail.com; Timestamp: Sep 8 2024 8:03 PM</t>
  </si>
  <si>
    <t>jayasibarani1982@gmail.com</t>
  </si>
  <si>
    <t>8883</t>
  </si>
  <si>
    <t>Starting at Thu Aug 29 2024 23:04:11 GMT-0400 (EDT)</t>
  </si>
  <si>
    <t>1fEXJl0heKS7LaLYWqWkhaHouJkvMlA04</t>
  </si>
  <si>
    <t>https://drive.google.com/file/d/1fEXJl0heKS7LaLYWqWkhaHouJkvMlA04/view?usp=drivesdk</t>
  </si>
  <si>
    <t>Document successfully created; Document successfully merged; PDF created; Emails Sent: [To: jayasibarani1982@gmail.com]; Run via form trigger as ecertificate75@gmail.com; Timestamp: Sep 8 2024 8:03 PM</t>
  </si>
  <si>
    <t>srimulyantisri8@gmail.com</t>
  </si>
  <si>
    <t>8884</t>
  </si>
  <si>
    <t>Starting at Thu Aug 29 2024 23:04:21 GMT-0400 (EDT)</t>
  </si>
  <si>
    <t>1JkWp-b3yD4TfN4Hhm9advbk3k7N4SKNF</t>
  </si>
  <si>
    <t>https://drive.google.com/file/d/1JkWp-b3yD4TfN4Hhm9advbk3k7N4SKNF/view?usp=drivesdk</t>
  </si>
  <si>
    <t>Document successfully created; Document successfully merged; PDF created; Emails Sent: [To: srimulyantisri8@gmail.com]; Run via form trigger as ecertificate75@gmail.com; Timestamp: Sep 8 2024 8:03 PM</t>
  </si>
  <si>
    <t>DESY AGUSTINA</t>
  </si>
  <si>
    <t>desyagustina1717@gmail.com</t>
  </si>
  <si>
    <t>8885</t>
  </si>
  <si>
    <t>1srG7fMPZqI45dhz25B1nGz_xIvHD2YYL</t>
  </si>
  <si>
    <t>https://drive.google.com/file/d/1srG7fMPZqI45dhz25B1nGz_xIvHD2YYL/view?usp=drivesdk</t>
  </si>
  <si>
    <t>Document successfully created; Document successfully merged; PDF created; Emails Sent: [To: desyagustina1717@gmail.com]; Run via form trigger as ecertificate75@gmail.com; Timestamp: Sep 8 2024 8:03 PM</t>
  </si>
  <si>
    <t>Rani Lastriani. AMD.KEP</t>
  </si>
  <si>
    <t>ranilastriani88@gmail.com</t>
  </si>
  <si>
    <t>8886</t>
  </si>
  <si>
    <t>1zvuqHXj2NU4T-CyP5dNNBzeJA73H-8OJ</t>
  </si>
  <si>
    <t>https://drive.google.com/file/d/1zvuqHXj2NU4T-CyP5dNNBzeJA73H-8OJ/view?usp=drivesdk</t>
  </si>
  <si>
    <t>Document successfully created; Document successfully merged; PDF created; Emails Sent: [To: ranilastriani88@gmail.com]; Run via form trigger as ecertificate75@gmail.com; Timestamp: Sep 8 2024 8:04 PM</t>
  </si>
  <si>
    <t xml:space="preserve">TRI MUDJIANTI </t>
  </si>
  <si>
    <t>adheurie13@gmail.com</t>
  </si>
  <si>
    <t>8887</t>
  </si>
  <si>
    <t>Starting at Thu Aug 29 2024 23:04:23 GMT-0400 (EDT)</t>
  </si>
  <si>
    <t>10HMu9VE_i6xUBOcZ1TyacUo0oaZ6Ohed</t>
  </si>
  <si>
    <t>https://drive.google.com/file/d/10HMu9VE_i6xUBOcZ1TyacUo0oaZ6Ohed/view?usp=drivesdk</t>
  </si>
  <si>
    <t>Document successfully created; Document successfully merged; PDF created; Emails Sent: [To: adheurie13@gmail.com]; Run via form trigger as ecertificate75@gmail.com; Timestamp: Sep 8 2024 8:04 PM</t>
  </si>
  <si>
    <t>RISKA RAHAYU</t>
  </si>
  <si>
    <t>ikorahayu1313@gmail.com</t>
  </si>
  <si>
    <t>8888</t>
  </si>
  <si>
    <t>Starting at Thu Aug 29 2024 23:04:37 GMT-0400 (EDT)</t>
  </si>
  <si>
    <t>1RDqYasszjfdyNEsT-BZlItrLbrojewqO</t>
  </si>
  <si>
    <t>https://drive.google.com/file/d/1RDqYasszjfdyNEsT-BZlItrLbrojewqO/view?usp=drivesdk</t>
  </si>
  <si>
    <t>Document successfully created; Document successfully merged; PDF created; Emails Sent: [To: ikorahayu1313@gmail.com]; Run via form trigger as ecertificate75@gmail.com; Timestamp: Sep 8 2024 8:04 PM</t>
  </si>
  <si>
    <t>IDHA BESARI</t>
  </si>
  <si>
    <t>dhaibes@gmail.co</t>
  </si>
  <si>
    <t>8889</t>
  </si>
  <si>
    <t>1kH2abEGatterjZ36lYGTbTSfQ_ipgcpz</t>
  </si>
  <si>
    <t>https://drive.google.com/file/d/1kH2abEGatterjZ36lYGTbTSfQ_ipgcpz/view?usp=drivesdk</t>
  </si>
  <si>
    <t>Document successfully created; Document successfully merged; PDF created; Emails Sent: [To: dhaibes@gmail.co]; Run via form trigger as ecertificate75@gmail.com; Timestamp: Sep 8 2024 8:04 PM</t>
  </si>
  <si>
    <t>LENNI NIASTI SIHOMBING</t>
  </si>
  <si>
    <t>lennyhombing08@gmail.com</t>
  </si>
  <si>
    <t>8890</t>
  </si>
  <si>
    <t>1Dwp5Gh7Hxh2KfJHuHNYSyH24zqb_5z1W</t>
  </si>
  <si>
    <t>https://drive.google.com/file/d/1Dwp5Gh7Hxh2KfJHuHNYSyH24zqb_5z1W/view?usp=drivesdk</t>
  </si>
  <si>
    <t>Document successfully created; Document successfully merged; PDF created; Emails Sent: [To: lennyhombing08@gmail.com]; Run via form trigger as ecertificate75@gmail.com; Timestamp: Sep 8 2024 8:04 PM</t>
  </si>
  <si>
    <t>DIANA IRNA KRISWAN</t>
  </si>
  <si>
    <t>panimbadyana@gmail.com</t>
  </si>
  <si>
    <t>8891</t>
  </si>
  <si>
    <t>1t93vgRvgMJqq7zaUKpNkbDIOr9sPXS3S</t>
  </si>
  <si>
    <t>https://drive.google.com/file/d/1t93vgRvgMJqq7zaUKpNkbDIOr9sPXS3S/view?usp=drivesdk</t>
  </si>
  <si>
    <t>Document successfully created; Document successfully merged; PDF created; Emails Sent: [To: panimbadyana@gmail.com]; Run via form trigger as ecertificate75@gmail.com; Timestamp: Sep 8 2024 8:05 PM</t>
  </si>
  <si>
    <t>WISNU KRISNAMURTI</t>
  </si>
  <si>
    <t>wisnukrisnamurti@gmail.com</t>
  </si>
  <si>
    <t>8892</t>
  </si>
  <si>
    <t>Starting at Thu Aug 29 2024 23:04:40 GMT-0400 (EDT)</t>
  </si>
  <si>
    <t>1gPhiZOOaIIgQT-UkZX8dPbDjeTE4jQvw</t>
  </si>
  <si>
    <t>https://drive.google.com/file/d/1gPhiZOOaIIgQT-UkZX8dPbDjeTE4jQvw/view?usp=drivesdk</t>
  </si>
  <si>
    <t>Document successfully created; Document successfully merged; PDF created; Emails Sent: [To: wisnukrisnamurti@gmail.com]; Run via form trigger as ecertificate75@gmail.com; Timestamp: Sep 8 2024 8:05 PM</t>
  </si>
  <si>
    <t>ETTY BUDI SETYAWATI, A.Md.Keb</t>
  </si>
  <si>
    <t>ettybudi.ml151@gmail.com</t>
  </si>
  <si>
    <t>8893</t>
  </si>
  <si>
    <t>Starting at Thu Aug 29 2024 23:04:45 GMT-0400 (EDT)</t>
  </si>
  <si>
    <t>1hTi28lvbl8QD4q5Fh8GDzUimEYdeuhL6</t>
  </si>
  <si>
    <t>https://drive.google.com/file/d/1hTi28lvbl8QD4q5Fh8GDzUimEYdeuhL6/view?usp=drivesdk</t>
  </si>
  <si>
    <t>Document successfully created; Document successfully merged; PDF created; Emails Sent: [To: ettybudi.ml151@gmail.com]; Run via form trigger as ecertificate75@gmail.com; Timestamp: Sep 8 2024 8:05 PM</t>
  </si>
  <si>
    <t>NUR CHOMIS</t>
  </si>
  <si>
    <t>nurchomismojokerto@gmail.com</t>
  </si>
  <si>
    <t>8894</t>
  </si>
  <si>
    <t>Starting at Thu Aug 29 2024 23:04:47 GMT-0400 (EDT)</t>
  </si>
  <si>
    <t>1PvEnVjPL7PBP85IDo7SvZFc5AscBINzu</t>
  </si>
  <si>
    <t>https://drive.google.com/file/d/1PvEnVjPL7PBP85IDo7SvZFc5AscBINzu/view?usp=drivesdk</t>
  </si>
  <si>
    <t>Document successfully created; Document successfully merged; PDF created; Emails Sent: [To: nurchomismojokerto@gmail.com]; Run via form trigger as ecertificate75@gmail.com; Timestamp: Sep 8 2024 8:05 PM</t>
  </si>
  <si>
    <t xml:space="preserve">ALI ROCHMAT </t>
  </si>
  <si>
    <t>richmatali74@gmail.com</t>
  </si>
  <si>
    <t>8895</t>
  </si>
  <si>
    <t>1zZIGnOvkj1-UhJxgqyWCmOZk-vjTLp6i</t>
  </si>
  <si>
    <t>https://drive.google.com/file/d/1zZIGnOvkj1-UhJxgqyWCmOZk-vjTLp6i/view?usp=drivesdk</t>
  </si>
  <si>
    <t>Document successfully created; Document successfully merged; PDF created; Emails Sent: [To: richmatali74@gmail.com]; Run via form trigger as ecertificate75@gmail.com; Timestamp: Sep 8 2024 8:10 PM</t>
  </si>
  <si>
    <t xml:space="preserve">SUSWANINGSIH </t>
  </si>
  <si>
    <t>ningsihsuswa@gmail.com</t>
  </si>
  <si>
    <t>8896</t>
  </si>
  <si>
    <t>Starting at Thu Aug 29 2024 23:04:55 GMT-0400 (EDT)</t>
  </si>
  <si>
    <t>10cqoyaiEwnZoVCMlthJp9wjKdQRSrez-</t>
  </si>
  <si>
    <t>https://drive.google.com/file/d/10cqoyaiEwnZoVCMlthJp9wjKdQRSrez-/view?usp=drivesdk</t>
  </si>
  <si>
    <t>Document successfully created; Document successfully merged; PDF created; Emails Sent: [To: ningsihsuswa@gmail.com]; Run via form trigger as ecertificate75@gmail.com; Timestamp: Sep 8 2024 8:10 PM</t>
  </si>
  <si>
    <t>FITRIANI.SH</t>
  </si>
  <si>
    <t>fitriani28069@gmail.com</t>
  </si>
  <si>
    <t>8897</t>
  </si>
  <si>
    <t>Starting at Thu Aug 29 2024 23:04:57 GMT-0400 (EDT)</t>
  </si>
  <si>
    <t>1m2palHvZS2-WB-fgVBltqSYDehlDvRc2</t>
  </si>
  <si>
    <t>https://drive.google.com/file/d/1m2palHvZS2-WB-fgVBltqSYDehlDvRc2/view?usp=drivesdk</t>
  </si>
  <si>
    <t>Document successfully created; Document successfully merged; PDF created; Emails Sent: [To: fitriani28069@gmail.com]; Run via form trigger as ecertificate75@gmail.com; Timestamp: Sep 8 2024 8:10 PM</t>
  </si>
  <si>
    <t>dr. FX Joko Narwanto</t>
  </si>
  <si>
    <t>yofrajona.narwanto@gmail.com</t>
  </si>
  <si>
    <t>8898</t>
  </si>
  <si>
    <t>1c-t8kEAZ77YvKks5SPy3YqKwwWIo4ZvB</t>
  </si>
  <si>
    <t>https://drive.google.com/file/d/1c-t8kEAZ77YvKks5SPy3YqKwwWIo4ZvB/view?usp=drivesdk</t>
  </si>
  <si>
    <t>Document successfully created; Document successfully merged; PDF created; Emails Sent: [To: yofrajona.narwanto@gmail.com]; Run via form trigger as ecertificate75@gmail.com; Timestamp: Sep 8 2024 8:10 PM</t>
  </si>
  <si>
    <t>ARI WULANDARI,S.M</t>
  </si>
  <si>
    <t>upitmelati@gmail.com</t>
  </si>
  <si>
    <t>8899</t>
  </si>
  <si>
    <t>Starting at Thu Aug 29 2024 23:05:03 GMT-0400 (EDT)</t>
  </si>
  <si>
    <t>18Cru1bMa428pe_5xAoxlK7fSpdQF2d1a</t>
  </si>
  <si>
    <t>https://drive.google.com/file/d/18Cru1bMa428pe_5xAoxlK7fSpdQF2d1a/view?usp=drivesdk</t>
  </si>
  <si>
    <t>Document successfully created; Document successfully merged; PDF created; Emails Sent: [To: upitmelati@gmail.com]; Run via form trigger as ecertificate75@gmail.com; Timestamp: Sep 8 2024 8:10 PM</t>
  </si>
  <si>
    <t>DEDEN NURJAYA</t>
  </si>
  <si>
    <t>deden.ceko69@gmail.com</t>
  </si>
  <si>
    <t>8900</t>
  </si>
  <si>
    <t>Starting at Thu Aug 29 2024 23:05:19 GMT-0400 (EDT)</t>
  </si>
  <si>
    <t>1Sx9ID8E_wBk62YFtaREQMKOiITvLcP7g</t>
  </si>
  <si>
    <t>https://drive.google.com/file/d/1Sx9ID8E_wBk62YFtaREQMKOiITvLcP7g/view?usp=drivesdk</t>
  </si>
  <si>
    <t>Document successfully created; Document successfully merged; PDF created; Emails Sent: [To: deden.ceko69@gmail.com]; Run via form trigger as ecertificate75@gmail.com; Timestamp: Sep 8 2024 8:11 PM</t>
  </si>
  <si>
    <t>sutinahbaari@gmail.com</t>
  </si>
  <si>
    <t>8901</t>
  </si>
  <si>
    <t>12H7mMi_8ADVO9wNXrXJwAyTqhFLmXivL</t>
  </si>
  <si>
    <t>https://drive.google.com/file/d/12H7mMi_8ADVO9wNXrXJwAyTqhFLmXivL/view?usp=drivesdk</t>
  </si>
  <si>
    <t>Document successfully created; Document successfully merged; PDF created; Emails Sent: [To: sutinahbaari@gmail.com]; Run via form trigger as ecertificate75@gmail.com; Timestamp: Sep 8 2024 8:11 PM</t>
  </si>
  <si>
    <t>ARI WIDIANINGRUM,S.H.</t>
  </si>
  <si>
    <t>ari.1strnb@gmail.com</t>
  </si>
  <si>
    <t>8902</t>
  </si>
  <si>
    <t>1IRPVM0c6PGZyIuiVQDl8BnsWV6U-dNF6</t>
  </si>
  <si>
    <t>https://drive.google.com/file/d/1IRPVM0c6PGZyIuiVQDl8BnsWV6U-dNF6/view?usp=drivesdk</t>
  </si>
  <si>
    <t>Document successfully created; Document successfully merged; PDF created; Emails Sent: [To: ari.1strnb@gmail.com]; Run via form trigger as ecertificate75@gmail.com; Timestamp: Sep 8 2024 8:11 PM</t>
  </si>
  <si>
    <t>HERIA UTAMI</t>
  </si>
  <si>
    <t>heriautamip@gmail.com</t>
  </si>
  <si>
    <t>8903</t>
  </si>
  <si>
    <t>Starting at Thu Aug 29 2024 23:05:21 GMT-0400 (EDT)</t>
  </si>
  <si>
    <t>1TgBeZtyRlSnlyUCOYd8IjM4vJeZfRJyp</t>
  </si>
  <si>
    <t>https://drive.google.com/file/d/1TgBeZtyRlSnlyUCOYd8IjM4vJeZfRJyp/view?usp=drivesdk</t>
  </si>
  <si>
    <t>Document successfully created; Document successfully merged; PDF created; Emails Sent: [To: heriautamip@gmail.com]; Run via form trigger as ecertificate75@gmail.com; Timestamp: Sep 8 2024 8:11 PM</t>
  </si>
  <si>
    <t>8904</t>
  </si>
  <si>
    <t>1B-Ro_PfAkKbL5EkUEOhw1Zc2zTW81Q4r</t>
  </si>
  <si>
    <t>https://drive.google.com/file/d/1B-Ro_PfAkKbL5EkUEOhw1Zc2zTW81Q4r/view?usp=drivesdk</t>
  </si>
  <si>
    <t>Document successfully created; Document successfully merged; PDF created; Emails Sent: [To: noga.kurniawan@gmail.com]; Run via form trigger as ecertificate75@gmail.com; Timestamp: Sep 8 2024 8:12 PM</t>
  </si>
  <si>
    <t>PURWO YUDO WIBOWO</t>
  </si>
  <si>
    <t>wibowoyudo2023@gmail.com</t>
  </si>
  <si>
    <t>8905</t>
  </si>
  <si>
    <t>Starting at Thu Aug 29 2024 23:05:39 GMT-0400 (EDT)</t>
  </si>
  <si>
    <t>1v_N6_PJt8RHRX-_TovY3Tc1UoK5hHhd0</t>
  </si>
  <si>
    <t>https://drive.google.com/file/d/1v_N6_PJt8RHRX-_TovY3Tc1UoK5hHhd0/view?usp=drivesdk</t>
  </si>
  <si>
    <t>Document successfully created; Document successfully merged; PDF created; Emails Sent: [To: wibowoyudo2023@gmail.com]; Run via form trigger as ecertificate75@gmail.com; Timestamp: Sep 8 2024 8:12 PM</t>
  </si>
  <si>
    <t>SUSIANINGSIH</t>
  </si>
  <si>
    <t>susianingsih20@g.com</t>
  </si>
  <si>
    <t>8906</t>
  </si>
  <si>
    <t>1UeCs54xRN4Xahq8Z84UGLKQ9IsHp1gN5</t>
  </si>
  <si>
    <t>https://drive.google.com/file/d/1UeCs54xRN4Xahq8Z84UGLKQ9IsHp1gN5/view?usp=drivesdk</t>
  </si>
  <si>
    <t>Document successfully created; Document successfully merged; PDF created; Emails Sent: [To: susianingsih20@g.com]; Run via form trigger as ecertificate75@gmail.com; Timestamp: Sep 8 2024 8:12 PM</t>
  </si>
  <si>
    <t>JUNIATI SITUMORANG</t>
  </si>
  <si>
    <t>juniatistmrg@gmail.com</t>
  </si>
  <si>
    <t>8907</t>
  </si>
  <si>
    <t>Starting at Thu Aug 29 2024 23:05:48 GMT-0400 (EDT)</t>
  </si>
  <si>
    <t>1KWsQ5Gs22UoeBAAqe9KOjGf7CWlLfVBP</t>
  </si>
  <si>
    <t>https://drive.google.com/file/d/1KWsQ5Gs22UoeBAAqe9KOjGf7CWlLfVBP/view?usp=drivesdk</t>
  </si>
  <si>
    <t>Document successfully created; Document successfully merged; PDF created; Emails Sent: [To: juniatistmrg@gmail.com]; Run via form trigger as ecertificate75@gmail.com; Timestamp: Sep 8 2024 8:12 PM</t>
  </si>
  <si>
    <t>DEDI KURNIADI</t>
  </si>
  <si>
    <t>dedikurniadi.spnpmj@gmail.com</t>
  </si>
  <si>
    <t>8908</t>
  </si>
  <si>
    <t>1a88o5UNGaCvOgqlXzOSbNbkjunRZ1rRP</t>
  </si>
  <si>
    <t>https://drive.google.com/file/d/1a88o5UNGaCvOgqlXzOSbNbkjunRZ1rRP/view?usp=drivesdk</t>
  </si>
  <si>
    <t>Document successfully created; Document successfully merged; PDF created; Emails Sent: [To: dedikurniadi.spnpmj@gmail.com]; Run via form trigger as ecertificate75@gmail.com; Timestamp: Sep 8 2024 8:12 PM</t>
  </si>
  <si>
    <t>ENI SUSILOWATI, S.E., M.M.</t>
  </si>
  <si>
    <t>ren.binmasjtg@gmail.com</t>
  </si>
  <si>
    <t>8909</t>
  </si>
  <si>
    <t>Starting at Thu Aug 29 2024 23:05:55 GMT-0400 (EDT)</t>
  </si>
  <si>
    <t>1rBfTp6L17oAlKIXxvjOzA_95JZFhYVPY</t>
  </si>
  <si>
    <t>https://drive.google.com/file/d/1rBfTp6L17oAlKIXxvjOzA_95JZFhYVPY/view?usp=drivesdk</t>
  </si>
  <si>
    <t>Document successfully created; Document successfully merged; PDF created; Emails Sent: [To: ren.binmasjtg@gmail.com]; Run via form trigger as ecertificate75@gmail.com; Timestamp: Sep 8 2024 8:13 PM</t>
  </si>
  <si>
    <t>MUHAMMAD OGIE SYAPUTRA</t>
  </si>
  <si>
    <t>ogimuhamad20@gmail.com</t>
  </si>
  <si>
    <t>8910</t>
  </si>
  <si>
    <t>16K3dVUlWIux_ruOjGpMQvTmLPIpyjpUo</t>
  </si>
  <si>
    <t>https://drive.google.com/file/d/16K3dVUlWIux_ruOjGpMQvTmLPIpyjpUo/view?usp=drivesdk</t>
  </si>
  <si>
    <t>Document successfully created; Document successfully merged; PDF created; Emails Sent: [To: ogimuhamad20@gmail.com]; Run via form trigger as ecertificate75@gmail.com; Timestamp: Sep 8 2024 8:13 PM</t>
  </si>
  <si>
    <t>TURMINI S. K. M</t>
  </si>
  <si>
    <t>turminiani1212@gmail.com</t>
  </si>
  <si>
    <t>8911</t>
  </si>
  <si>
    <t>Starting at Thu Aug 29 2024 23:06:08 GMT-0400 (EDT)</t>
  </si>
  <si>
    <t>1jVYli1cSjCra7J2ntvndbMc6w7_NCNBr</t>
  </si>
  <si>
    <t>https://drive.google.com/file/d/1jVYli1cSjCra7J2ntvndbMc6w7_NCNBr/view?usp=drivesdk</t>
  </si>
  <si>
    <t>Document successfully created; Document successfully merged; PDF created; Emails Sent: [To: turminiani1212@gmail.com]; Run via form trigger as ecertificate75@gmail.com; Timestamp: Sep 8 2024 8:13 PM</t>
  </si>
  <si>
    <t>8912</t>
  </si>
  <si>
    <t>1LjkzAimXkXo7CX0_o3oxIKvFO87DRtBp</t>
  </si>
  <si>
    <t>https://drive.google.com/file/d/1LjkzAimXkXo7CX0_o3oxIKvFO87DRtBp/view?usp=drivesdk</t>
  </si>
  <si>
    <t>Document successfully created; Document successfully merged; PDF created; Emails Sent: [To: dodi.m1973@gmail.com]; Run via form trigger as ecertificate75@gmail.com; Timestamp: Sep 8 2024 8:13 PM</t>
  </si>
  <si>
    <t>SARAH DESTIRA SANDI, S.H.</t>
  </si>
  <si>
    <t>sarahdestira@gmail.com</t>
  </si>
  <si>
    <t>8913</t>
  </si>
  <si>
    <t>1NXFl4iSNHw-HGIujGhCqHG0g5IaGckuA</t>
  </si>
  <si>
    <t>https://drive.google.com/file/d/1NXFl4iSNHw-HGIujGhCqHG0g5IaGckuA/view?usp=drivesdk</t>
  </si>
  <si>
    <t>Document successfully created; Document successfully merged; PDF created; Emails Sent: [To: sarahdestira@gmail.com]; Run via form trigger as ecertificate75@gmail.com; Timestamp: Sep 8 2024 8:13 PM</t>
  </si>
  <si>
    <t>SRI RIAHMAYANI,S.S.Kom</t>
  </si>
  <si>
    <t>sryahsaragih@gmail.com</t>
  </si>
  <si>
    <t>8914</t>
  </si>
  <si>
    <t>Starting at Thu Aug 29 2024 23:06:16 GMT-0400 (EDT)</t>
  </si>
  <si>
    <t>1p4JoLJVO7-M7-MKJ_BwQhcrpCiy2KzO6</t>
  </si>
  <si>
    <t>https://drive.google.com/file/d/1p4JoLJVO7-M7-MKJ_BwQhcrpCiy2KzO6/view?usp=drivesdk</t>
  </si>
  <si>
    <t>Document successfully created; Document successfully merged; PDF created; Emails Sent: [To: sryahsaragih@gmail.com]; Run via form trigger as ecertificate75@gmail.com; Timestamp: Sep 8 2024 8:14 PM</t>
  </si>
  <si>
    <t>DEWI SUPRAPTI, S.Tr.Keb, Bdn</t>
  </si>
  <si>
    <t>supraptidewi@gmail.com</t>
  </si>
  <si>
    <t>8915</t>
  </si>
  <si>
    <t>Starting at Thu Aug 29 2024 23:06:27 GMT-0400 (EDT)</t>
  </si>
  <si>
    <t>10Tf5mGt9mq1sOn8n8ouTIk55l0iggi67</t>
  </si>
  <si>
    <t>https://drive.google.com/file/d/10Tf5mGt9mq1sOn8n8ouTIk55l0iggi67/view?usp=drivesdk</t>
  </si>
  <si>
    <t>Document successfully created; Document successfully merged; PDF created; Emails Sent: [To: supraptidewi@gmail.com]; Run via form trigger as ecertificate75@gmail.com; Timestamp: Sep 8 2024 8:14 PM</t>
  </si>
  <si>
    <t>VIVIT SISWANTY</t>
  </si>
  <si>
    <t>siswantyvivit@gmail.com</t>
  </si>
  <si>
    <t>8916</t>
  </si>
  <si>
    <t>1hjYKS1d_9ffhz6Os9XHd5ckKekXHdI2r</t>
  </si>
  <si>
    <t>https://drive.google.com/file/d/1hjYKS1d_9ffhz6Os9XHd5ckKekXHdI2r/view?usp=drivesdk</t>
  </si>
  <si>
    <t>Document successfully created; Document successfully merged; PDF created; Emails Sent: [To: siswantyvivit@gmail.com]; Run via form trigger as ecertificate75@gmail.com; Timestamp: Sep 8 2024 8:14 PM</t>
  </si>
  <si>
    <t>PUTERA GILANG RAMADHAN, S.KOM</t>
  </si>
  <si>
    <t>putera.gilang@gmail.com</t>
  </si>
  <si>
    <t>8917</t>
  </si>
  <si>
    <t>Starting at Thu Aug 29 2024 23:06:43 GMT-0400 (EDT)</t>
  </si>
  <si>
    <t>1OTqhaBPbTmcjhDlh-_7U7UkphuC89L0o</t>
  </si>
  <si>
    <t>https://drive.google.com/file/d/1OTqhaBPbTmcjhDlh-_7U7UkphuC89L0o/view?usp=drivesdk</t>
  </si>
  <si>
    <t>Document successfully created; Document successfully merged; PDF created; !!Error Sending Emails: Service invoked too many times for one day: email.; Run via form trigger as ecertificate75@gmail.com; Timestamp: Sep 8 2024 8:14 PM</t>
  </si>
  <si>
    <t>wmega8618@gmail.com</t>
  </si>
  <si>
    <t>8918</t>
  </si>
  <si>
    <t>1VhE9SG6fSSiIDReDgieGeFpAQyrle_fL</t>
  </si>
  <si>
    <t>https://drive.google.com/file/d/1VhE9SG6fSSiIDReDgieGeFpAQyrle_fL/view?usp=drivesdk</t>
  </si>
  <si>
    <t>SEPTI YULIANA TOYIB, A.MK</t>
  </si>
  <si>
    <t>septi.yuliana87@gmail.com</t>
  </si>
  <si>
    <t>8919</t>
  </si>
  <si>
    <t>Starting at Thu Aug 29 2024 23:06:46 GMT-0400 (EDT)</t>
  </si>
  <si>
    <t>1cK-u9u8wkwjWv3T3Y5vBBR8VaoNtz-ZZ</t>
  </si>
  <si>
    <t>https://drive.google.com/file/d/1cK-u9u8wkwjWv3T3Y5vBBR8VaoNtz-ZZ/view?usp=drivesdk</t>
  </si>
  <si>
    <t>Document successfully created; Document successfully merged; PDF created; !!Error Sending Emails: Service invoked too many times for one day: email.; Run via form trigger as ecertificate75@gmail.com; Timestamp: Sep 8 2024 8:19 PM</t>
  </si>
  <si>
    <t>MIA DESY PUSPITHA</t>
  </si>
  <si>
    <t>miapuspitha450@gmail.com</t>
  </si>
  <si>
    <t>8920</t>
  </si>
  <si>
    <t>Starting at Thu Aug 29 2024 23:06:58 GMT-0400 (EDT)</t>
  </si>
  <si>
    <t>1X_1aLXtZlxQ_YLZHWi29w9I4q35nG00j</t>
  </si>
  <si>
    <t>https://drive.google.com/file/d/1X_1aLXtZlxQ_YLZHWi29w9I4q35nG00j/view?usp=drivesdk</t>
  </si>
  <si>
    <t xml:space="preserve">ANIK RIKANAH, Amd.Kep. </t>
  </si>
  <si>
    <t>anik8265@gmail.com</t>
  </si>
  <si>
    <t>8921</t>
  </si>
  <si>
    <t>1JaI7IPLikNP--z2C5o7v2nXbLvoAyxZ8</t>
  </si>
  <si>
    <t>https://drive.google.com/file/d/1JaI7IPLikNP--z2C5o7v2nXbLvoAyxZ8/view?usp=drivesdk</t>
  </si>
  <si>
    <t>Document successfully created; Document successfully merged; PDF created; !!Error Sending Emails: Service invoked too many times for one day: email.; Run via form trigger as ecertificate75@gmail.com; Timestamp: Sep 8 2024 8:20 PM</t>
  </si>
  <si>
    <t>Ni Ketut Adnyawati, A.Md.Kep.</t>
  </si>
  <si>
    <t>niketutadnyawati7@gmail.com</t>
  </si>
  <si>
    <t>8922</t>
  </si>
  <si>
    <t>13hLkTK1iVDr-Ra4ZIVS6NbJQbVwLPehx</t>
  </si>
  <si>
    <t>https://drive.google.com/file/d/13hLkTK1iVDr-Ra4ZIVS6NbJQbVwLPehx/view?usp=drivesdk</t>
  </si>
  <si>
    <t>RUSMILAH, S.E.</t>
  </si>
  <si>
    <t>rusmilafee@gmail.com</t>
  </si>
  <si>
    <t>8923</t>
  </si>
  <si>
    <t>Starting at Thu Aug 29 2024 23:07:09 GMT-0400 (EDT)</t>
  </si>
  <si>
    <t>1DIzsPsOdb6RelACsVOr03QVBy0iY70Lb</t>
  </si>
  <si>
    <t>https://drive.google.com/file/d/1DIzsPsOdb6RelACsVOr03QVBy0iY70Lb/view?usp=drivesdk</t>
  </si>
  <si>
    <t xml:space="preserve">MURNI SIMANJUNTAK </t>
  </si>
  <si>
    <t>murniminoriasimanjuntak@gmail.com</t>
  </si>
  <si>
    <t>8924</t>
  </si>
  <si>
    <t>1VQ27RLzlgVx9ZDjCo7DvNTzTFl1zjgi-</t>
  </si>
  <si>
    <t>https://drive.google.com/file/d/1VQ27RLzlgVx9ZDjCo7DvNTzTFl1zjgi-/view?usp=drivesdk</t>
  </si>
  <si>
    <t>SULIS PRIYONO</t>
  </si>
  <si>
    <t>sulispriyono03@gmail.com</t>
  </si>
  <si>
    <t>8925</t>
  </si>
  <si>
    <t>1jbuoLq3geE3TJznqH6KF5JWYMMA9uf_G</t>
  </si>
  <si>
    <t>https://drive.google.com/file/d/1jbuoLq3geE3TJznqH6KF5JWYMMA9uf_G/view?usp=drivesdk</t>
  </si>
  <si>
    <t>ARY IRMA NURPURI</t>
  </si>
  <si>
    <t>putri0190@gmail.com</t>
  </si>
  <si>
    <t>8926</t>
  </si>
  <si>
    <t>Starting at Thu Aug 29 2024 23:07:11 GMT-0400 (EDT)</t>
  </si>
  <si>
    <t>11IOWo_7LvW4UlGjyrHWGgVTSDsW3bObn</t>
  </si>
  <si>
    <t>https://drive.google.com/file/d/11IOWo_7LvW4UlGjyrHWGgVTSDsW3bObn/view?usp=drivesdk</t>
  </si>
  <si>
    <t>UMRONI</t>
  </si>
  <si>
    <t>um.roonie263@gmail.com</t>
  </si>
  <si>
    <t>8927</t>
  </si>
  <si>
    <t>Starting at Thu Aug 29 2024 23:07:18 GMT-0400 (EDT)</t>
  </si>
  <si>
    <t>1kvpXLE8cccy_Un1YfeKGOIT1_99is9Kj</t>
  </si>
  <si>
    <t>https://drive.google.com/file/d/1kvpXLE8cccy_Un1YfeKGOIT1_99is9Kj/view?usp=drivesdk</t>
  </si>
  <si>
    <t>Document successfully created; Document successfully merged; PDF created; !!Error Sending Emails: Service invoked too many times for one day: email.; Run via form trigger as ecertificate75@gmail.com; Timestamp: Sep 8 2024 8:21 PM</t>
  </si>
  <si>
    <t>NIMATU SHODRI, S.E.</t>
  </si>
  <si>
    <t>rifdasyakira@gmail.com</t>
  </si>
  <si>
    <t>8928</t>
  </si>
  <si>
    <t>1Y1EiJRRNBfBi6LjIbi7OgIIyeGcc8GTd</t>
  </si>
  <si>
    <t>https://drive.google.com/file/d/1Y1EiJRRNBfBi6LjIbi7OgIIyeGcc8GTd/view?usp=drivesdk</t>
  </si>
  <si>
    <t>HARI SOEBENO</t>
  </si>
  <si>
    <t>harisalam.lmg@gmail.com</t>
  </si>
  <si>
    <t>8929</t>
  </si>
  <si>
    <t>Starting at Thu Aug 29 2024 23:07:23 GMT-0400 (EDT)</t>
  </si>
  <si>
    <t>1QOJVtpYi4UeZEexYnuJzmFb0DqQF-kfL</t>
  </si>
  <si>
    <t>https://drive.google.com/file/d/1QOJVtpYi4UeZEexYnuJzmFb0DqQF-kfL/view?usp=drivesdk</t>
  </si>
  <si>
    <t>PUJIATININGSIH</t>
  </si>
  <si>
    <t>pujiatiningsih1973@gmail.com</t>
  </si>
  <si>
    <t>8930</t>
  </si>
  <si>
    <t>1HeHn7D0vQkdvA8uvxVCWSYsAdYxeV-Qt</t>
  </si>
  <si>
    <t>https://drive.google.com/file/d/1HeHn7D0vQkdvA8uvxVCWSYsAdYxeV-Qt/view?usp=drivesdk</t>
  </si>
  <si>
    <t xml:space="preserve">SULISTYAWAN </t>
  </si>
  <si>
    <t>sulisbindarori@gmail.com</t>
  </si>
  <si>
    <t>8931</t>
  </si>
  <si>
    <t>Starting at Thu Aug 29 2024 23:07:34 GMT-0400 (EDT)</t>
  </si>
  <si>
    <t>1JUnpSwnR2WSAdx1ts1Pt3a2TsHnqiAAw</t>
  </si>
  <si>
    <t>https://drive.google.com/file/d/1JUnpSwnR2WSAdx1ts1Pt3a2TsHnqiAAw/view?usp=drivesdk</t>
  </si>
  <si>
    <t>ZAIPUL HANI</t>
  </si>
  <si>
    <t>zaipul.hani1984@gmai.com</t>
  </si>
  <si>
    <t>8932</t>
  </si>
  <si>
    <t>15i-nZio1DUcUASOnm4vX7ox2r898KW7j</t>
  </si>
  <si>
    <t>https://drive.google.com/file/d/15i-nZio1DUcUASOnm4vX7ox2r898KW7j/view?usp=drivesdk</t>
  </si>
  <si>
    <t>TUKIJAN</t>
  </si>
  <si>
    <t>tukijan110602@gmail.com</t>
  </si>
  <si>
    <t>8933</t>
  </si>
  <si>
    <t>1FDFV7jERUtRSqlLy1q9kjq0tzIUVie_-</t>
  </si>
  <si>
    <t>https://drive.google.com/file/d/1FDFV7jERUtRSqlLy1q9kjq0tzIUVie_-/view?usp=drivesdk</t>
  </si>
  <si>
    <t>Document successfully created; Document successfully merged; PDF created; !!Error Sending Emails: Service invoked too many times for one day: email.; Run via form trigger as ecertificate75@gmail.com; Timestamp: Sep 8 2024 8:22 PM</t>
  </si>
  <si>
    <t>NINI FARTINI, S.Kep., Ners</t>
  </si>
  <si>
    <t>klinikm8bhayangkara@yahoo.com</t>
  </si>
  <si>
    <t>8934</t>
  </si>
  <si>
    <t>Starting at Thu Aug 29 2024 23:07:52 GMT-0400 (EDT)</t>
  </si>
  <si>
    <t>1c6sSFsKRe0wQIpd0znCFBvx5AJbdHAtw</t>
  </si>
  <si>
    <t>https://drive.google.com/file/d/1c6sSFsKRe0wQIpd0znCFBvx5AJbdHAtw/view?usp=drivesdk</t>
  </si>
  <si>
    <t>ROSNANDA SUKMAWATI,S.Kep</t>
  </si>
  <si>
    <t>nsnda290789@gmail.com</t>
  </si>
  <si>
    <t>8935</t>
  </si>
  <si>
    <t>1XYpWqXcA-escrokcqOv3RyPnhNxSl3zg</t>
  </si>
  <si>
    <t>https://drive.google.com/file/d/1XYpWqXcA-escrokcqOv3RyPnhNxSl3zg/view?usp=drivesdk</t>
  </si>
  <si>
    <t>Ns.HEPPYARIANI BR SARAGIH S Kep</t>
  </si>
  <si>
    <t>heppyariani77@gmail.com</t>
  </si>
  <si>
    <t>8936</t>
  </si>
  <si>
    <t>Starting at Thu Aug 29 2024 23:08:01 GMT-0400 (EDT)</t>
  </si>
  <si>
    <t>1OMOq2o49gPXc3qIXijMEwYgRz5aM6pRC</t>
  </si>
  <si>
    <t>https://drive.google.com/file/d/1OMOq2o49gPXc3qIXijMEwYgRz5aM6pRC/view?usp=drivesdk</t>
  </si>
  <si>
    <t>HARI OKTAPIYANTO</t>
  </si>
  <si>
    <t>lee.hari78@gmail.com</t>
  </si>
  <si>
    <t>8937</t>
  </si>
  <si>
    <t>1jLBfljcY74vuQ0rswzWTYmb0Y2nX3VOp</t>
  </si>
  <si>
    <t>https://drive.google.com/file/d/1jLBfljcY74vuQ0rswzWTYmb0Y2nX3VOp/view?usp=drivesdk</t>
  </si>
  <si>
    <t>FERY FEBIARTO</t>
  </si>
  <si>
    <t>fery_bochari@yahoo.co.id</t>
  </si>
  <si>
    <t>8938</t>
  </si>
  <si>
    <t>Starting at Thu Aug 29 2024 23:08:13 GMT-0400 (EDT)</t>
  </si>
  <si>
    <t>1NgF6dA_7XZ2fQe0fMWdYea3OzBf5vaB5</t>
  </si>
  <si>
    <t>https://drive.google.com/file/d/1NgF6dA_7XZ2fQe0fMWdYea3OzBf5vaB5/view?usp=drivesdk</t>
  </si>
  <si>
    <t>suparman02101971@gmail.com</t>
  </si>
  <si>
    <t>8939</t>
  </si>
  <si>
    <t>Starting at Thu Aug 29 2024 23:08:18 GMT-0400 (EDT)</t>
  </si>
  <si>
    <t>1Cna8Wxu4UHhNgj2NV5f0KJyypKh-px08</t>
  </si>
  <si>
    <t>https://drive.google.com/file/d/1Cna8Wxu4UHhNgj2NV5f0KJyypKh-px08/view?usp=drivesdk</t>
  </si>
  <si>
    <t>Document successfully created; Document successfully merged; PDF created; !!Error Sending Emails: Service invoked too many times for one day: email.; Run via form trigger as ecertificate75@gmail.com; Timestamp: Sep 8 2024 8:23 PM</t>
  </si>
  <si>
    <t>Endang Warni, A.Md</t>
  </si>
  <si>
    <t>endangwarni.habibi.@gmail.com</t>
  </si>
  <si>
    <t>8940</t>
  </si>
  <si>
    <t>Starting at Thu Aug 29 2024 23:08:21 GMT-0400 (EDT)</t>
  </si>
  <si>
    <t>1rt7dpVybpH-qHBDqIqQXfDBTuOUtggHo</t>
  </si>
  <si>
    <t>https://drive.google.com/file/d/1rt7dpVybpH-qHBDqIqQXfDBTuOUtggHo/view?usp=drivesdk</t>
  </si>
  <si>
    <t>Document successfully created; Document successfully merged; PDF created; !!Error Sending Emails: Invalid email: endangwarni.habibi.@gmail.com; Run via form trigger as ecertificate75@gmail.com; Timestamp: Sep 8 2024 8:23 PM</t>
  </si>
  <si>
    <t>IIN OKTRI YANTI, A.Md.</t>
  </si>
  <si>
    <t>iinoktriyanti@gmail.com</t>
  </si>
  <si>
    <t>8941</t>
  </si>
  <si>
    <t>Starting at Thu Aug 29 2024 23:08:26 GMT-0400 (EDT)</t>
  </si>
  <si>
    <t>1fgGimlBwOEwFl1BBAC2ajfr0cDqTmOqp</t>
  </si>
  <si>
    <t>https://drive.google.com/file/d/1fgGimlBwOEwFl1BBAC2ajfr0cDqTmOqp/view?usp=drivesdk</t>
  </si>
  <si>
    <t>SITI MASRIFAH</t>
  </si>
  <si>
    <t>masrifahsiti83@gmail.com</t>
  </si>
  <si>
    <t>8942</t>
  </si>
  <si>
    <t>Starting at Thu Aug 29 2024 23:08:42 GMT-0400 (EDT)</t>
  </si>
  <si>
    <t>1hrs8G7Un_EjZ0A5ScSHtyMLtYGBRteG6</t>
  </si>
  <si>
    <t>https://drive.google.com/file/d/1hrs8G7Un_EjZ0A5ScSHtyMLtYGBRteG6/view?usp=drivesdk</t>
  </si>
  <si>
    <t>MUHAMMAD HAIKAL, S.E.</t>
  </si>
  <si>
    <t>haik4l.eoagold@gmail.com</t>
  </si>
  <si>
    <t>8943</t>
  </si>
  <si>
    <t>1eMeAAwpAd1LAl1YBAp5zGIaqOJA0TDMx</t>
  </si>
  <si>
    <t>https://drive.google.com/file/d/1eMeAAwpAd1LAl1YBAp5zGIaqOJA0TDMx/view?usp=drivesdk</t>
  </si>
  <si>
    <t>EMIYATI SRI WAHYUNI,AMF</t>
  </si>
  <si>
    <t>bundashaqueena76@gmail.com</t>
  </si>
  <si>
    <t>8944</t>
  </si>
  <si>
    <t>Starting at Thu Aug 29 2024 23:08:44 GMT-0400 (EDT)</t>
  </si>
  <si>
    <t>1LOPBdvNmQvkZZqGyAzyD_QNWm6qzvBbS</t>
  </si>
  <si>
    <t>https://drive.google.com/file/d/1LOPBdvNmQvkZZqGyAzyD_QNWm6qzvBbS/view?usp=drivesdk</t>
  </si>
  <si>
    <t>Document successfully created; Document successfully merged; PDF created; !!Error Sending Emails: Service invoked too many times for one day: email.; Run via form trigger as ecertificate75@gmail.com; Timestamp: Sep 8 2024 8:24 PM</t>
  </si>
  <si>
    <t xml:space="preserve">NUR HAYATI NASUTION </t>
  </si>
  <si>
    <t>endangtri2021@gmail.com</t>
  </si>
  <si>
    <t>8945</t>
  </si>
  <si>
    <t>Starting at Thu Aug 29 2024 23:08:51 GMT-0400 (EDT)</t>
  </si>
  <si>
    <t>1B9IBPbdpKyKBcz1nNMMjuiLGyrHFIwg6</t>
  </si>
  <si>
    <t>https://drive.google.com/file/d/1B9IBPbdpKyKBcz1nNMMjuiLGyrHFIwg6/view?usp=drivesdk</t>
  </si>
  <si>
    <t>SHANTY CAROLINA, AMK</t>
  </si>
  <si>
    <t>scarolina145@gmail.com</t>
  </si>
  <si>
    <t>8946</t>
  </si>
  <si>
    <t>Starting at Thu Aug 29 2024 23:08:54 GMT-0400 (EDT)</t>
  </si>
  <si>
    <t>18yuHBAQduMxHCjo3SioS4ACnVRcwTE1L</t>
  </si>
  <si>
    <t>https://drive.google.com/file/d/18yuHBAQduMxHCjo3SioS4ACnVRcwTE1L/view?usp=drivesdk</t>
  </si>
  <si>
    <t>Document successfully created; Document successfully merged; PDF created; !!Error Sending Emails: Service invoked too many times for one day: email.; Run via form trigger as ecertificate75@gmail.com; Timestamp: Sep 8 2024 10:19 PM</t>
  </si>
  <si>
    <t xml:space="preserve">AISAH SOLIHAH </t>
  </si>
  <si>
    <t>aisahsolihah0602@gmail.com</t>
  </si>
  <si>
    <t>8947</t>
  </si>
  <si>
    <t>Starting at Thu Aug 29 2024 23:08:58 GMT-0400 (EDT)</t>
  </si>
  <si>
    <t>1B4seRZ3pq4kFtvUH0SRWcd2X-m916y70</t>
  </si>
  <si>
    <t>https://drive.google.com/file/d/1B4seRZ3pq4kFtvUH0SRWcd2X-m916y70/view?usp=drivesdk</t>
  </si>
  <si>
    <t>SITI HIKMAH, S.Ak.</t>
  </si>
  <si>
    <t>sitipentaka@gmail.com</t>
  </si>
  <si>
    <t>8948</t>
  </si>
  <si>
    <t>Starting at Thu Aug 29 2024 23:09:57 GMT-0400 (EDT)</t>
  </si>
  <si>
    <t>1aU9y9v7i7BZMA-Xl5qGraO4Neo8rKsvf</t>
  </si>
  <si>
    <t>https://drive.google.com/file/d/1aU9y9v7i7BZMA-Xl5qGraO4Neo8rKsvf/view?usp=drivesdk</t>
  </si>
  <si>
    <t>SRI HARDJANTO</t>
  </si>
  <si>
    <t>srihardjanto210270@gmail.com</t>
  </si>
  <si>
    <t>8949</t>
  </si>
  <si>
    <t>147HEED0LVvqBZVJGsZHz28ueeIaTxNf9</t>
  </si>
  <si>
    <t>https://drive.google.com/file/d/147HEED0LVvqBZVJGsZHz28ueeIaTxNf9/view?usp=drivesdk</t>
  </si>
  <si>
    <t xml:space="preserve">Tri Atmi Rahayu </t>
  </si>
  <si>
    <t>triatmi.rahayu87@gmail.com</t>
  </si>
  <si>
    <t>8950</t>
  </si>
  <si>
    <t>1LavE3veUkq-qoRtPqw5_BCsXjGTdetMT</t>
  </si>
  <si>
    <t>https://drive.google.com/file/d/1LavE3veUkq-qoRtPqw5_BCsXjGTdetMT/view?usp=drivesdk</t>
  </si>
  <si>
    <t>PUAD RIPAUDIN</t>
  </si>
  <si>
    <t>puadripaudin88@gmail.com</t>
  </si>
  <si>
    <t>8951</t>
  </si>
  <si>
    <t>1tFi8csOsbbW2ADqYtr7BOhTxZGZX-p7e</t>
  </si>
  <si>
    <t>https://drive.google.com/file/d/1tFi8csOsbbW2ADqYtr7BOhTxZGZX-p7e/view?usp=drivesdk</t>
  </si>
  <si>
    <t>NUSLAH</t>
  </si>
  <si>
    <t>nuslah28@gmail.com</t>
  </si>
  <si>
    <t>8952</t>
  </si>
  <si>
    <t>1fAsisg2uGnCXtI-H4ZsOEqdy6JunvVfU</t>
  </si>
  <si>
    <t>https://drive.google.com/file/d/1fAsisg2uGnCXtI-H4ZsOEqdy6JunvVfU/view?usp=drivesdk</t>
  </si>
  <si>
    <t>Document successfully created; Document successfully merged; PDF created; !!Error Sending Emails: Service invoked too many times for one day: email.; Run via form trigger as ecertificate75@gmail.com; Timestamp: Sep 8 2024 10:20 PM</t>
  </si>
  <si>
    <t>WARSONO</t>
  </si>
  <si>
    <t>henynono76@gmail.com</t>
  </si>
  <si>
    <t>8953</t>
  </si>
  <si>
    <t>1zvjJhGs8UYRMA8lJbVu3UgZE27QKLCtO</t>
  </si>
  <si>
    <t>https://drive.google.com/file/d/1zvjJhGs8UYRMA8lJbVu3UgZE27QKLCtO/view?usp=drivesdk</t>
  </si>
  <si>
    <t>APRIANI KARTIKASARI, S.E.</t>
  </si>
  <si>
    <t>akhtar.toshi06@gmail.com</t>
  </si>
  <si>
    <t>8954</t>
  </si>
  <si>
    <t>1pyX0LXOduTnpbhMZqpEOXOp61P9bzjT6</t>
  </si>
  <si>
    <t>https://drive.google.com/file/d/1pyX0LXOduTnpbhMZqpEOXOp61P9bzjT6/view?usp=drivesdk</t>
  </si>
  <si>
    <t>mtofa9465@gmail.com</t>
  </si>
  <si>
    <t>8955</t>
  </si>
  <si>
    <t>1tAZeeBCpgtwckJXf8cPDD9-ST0XfiKDA</t>
  </si>
  <si>
    <t>https://drive.google.com/file/d/1tAZeeBCpgtwckJXf8cPDD9-ST0XfiKDA/view?usp=drivesdk</t>
  </si>
  <si>
    <t>EMPINA SILITONGA</t>
  </si>
  <si>
    <t>empinasilitonga@gmail.com</t>
  </si>
  <si>
    <t>8956</t>
  </si>
  <si>
    <t>1M3BX56FnGPfZZDLw6_qY4ExWfBaGIs8H</t>
  </si>
  <si>
    <t>https://drive.google.com/file/d/1M3BX56FnGPfZZDLw6_qY4ExWfBaGIs8H/view?usp=drivesdk</t>
  </si>
  <si>
    <t>SAPTAJI TRI RAHADIYANTO, S.M.</t>
  </si>
  <si>
    <t>sl3plus@gmail.com</t>
  </si>
  <si>
    <t>8957</t>
  </si>
  <si>
    <t>1CiDo0jqpLEgQxgBjVeJPdfx37jYr959E</t>
  </si>
  <si>
    <t>https://drive.google.com/file/d/1CiDo0jqpLEgQxgBjVeJPdfx37jYr959E/view?usp=drivesdk</t>
  </si>
  <si>
    <t>DIDIK WAHYU SETYAWAN, S.M.</t>
  </si>
  <si>
    <t>ganendr4@gmail.com</t>
  </si>
  <si>
    <t>8958</t>
  </si>
  <si>
    <t>1NbmsE4L0SPKW9O7s-pzFAQosmeSloCTu</t>
  </si>
  <si>
    <t>https://drive.google.com/file/d/1NbmsE4L0SPKW9O7s-pzFAQosmeSloCTu/view?usp=drivesdk</t>
  </si>
  <si>
    <t>HARJANTO, S.T.</t>
  </si>
  <si>
    <t>myjmaillog@gmail.com</t>
  </si>
  <si>
    <t>8959</t>
  </si>
  <si>
    <t>1t19wuIhEWDgBb3VPHIdB45tjQOk6r6EO</t>
  </si>
  <si>
    <t>https://drive.google.com/file/d/1t19wuIhEWDgBb3VPHIdB45tjQOk6r6EO/view?usp=drivesdk</t>
  </si>
  <si>
    <t>Document successfully created; Document successfully merged; PDF created; !!Error Sending Emails: Service invoked too many times for one day: email.; Run via form trigger as ecertificate75@gmail.com; Timestamp: Sep 8 2024 10:21 PM</t>
  </si>
  <si>
    <t>yuninurhaliza518@gmsil.com</t>
  </si>
  <si>
    <t>8960</t>
  </si>
  <si>
    <t>1VZXz6w78MLDpVIUzx3qZdGP--7fwwYIX</t>
  </si>
  <si>
    <t>https://drive.google.com/file/d/1VZXz6w78MLDpVIUzx3qZdGP--7fwwYIX/view?usp=drivesdk</t>
  </si>
  <si>
    <t>MULYO HARTONO</t>
  </si>
  <si>
    <t>buyung1965@gmail.com</t>
  </si>
  <si>
    <t>8961</t>
  </si>
  <si>
    <t>1uSnABermSJGWNf1oC3CV8Oha0vuH8zoR</t>
  </si>
  <si>
    <t>https://drive.google.com/file/d/1uSnABermSJGWNf1oC3CV8Oha0vuH8zoR/view?usp=drivesdk</t>
  </si>
  <si>
    <t>dr.Ichdinavia Harsaya, Sp.KJ</t>
  </si>
  <si>
    <t>ichdinavia1979@gmail.com</t>
  </si>
  <si>
    <t>8962</t>
  </si>
  <si>
    <t>1apRpY9HaUWKOaTxy3UkT1gvyv1k4gAOM</t>
  </si>
  <si>
    <t>https://drive.google.com/file/d/1apRpY9HaUWKOaTxy3UkT1gvyv1k4gAOM/view?usp=drivesdk</t>
  </si>
  <si>
    <t>ANWAR AHMAD.S.Pd</t>
  </si>
  <si>
    <t>auraananda2810@gmail.com</t>
  </si>
  <si>
    <t>8963</t>
  </si>
  <si>
    <t>18Hk2kAY3lCaOO6nOu0rOZvrwcmz38YQ9</t>
  </si>
  <si>
    <t>https://drive.google.com/file/d/18Hk2kAY3lCaOO6nOu0rOZvrwcmz38YQ9/view?usp=drivesdk</t>
  </si>
  <si>
    <t>IRYANI ROSMULIA</t>
  </si>
  <si>
    <t>iryanirosmulia@gmail.com</t>
  </si>
  <si>
    <t>8964</t>
  </si>
  <si>
    <t>1E7RnxSrgaVospjWu1m_b0lR-pyUAPI8k</t>
  </si>
  <si>
    <t>https://drive.google.com/file/d/1E7RnxSrgaVospjWu1m_b0lR-pyUAPI8k/view?usp=drivesdk</t>
  </si>
  <si>
    <t>UMIYATUN</t>
  </si>
  <si>
    <t>umiyatun1167@gmail.com</t>
  </si>
  <si>
    <t>8965</t>
  </si>
  <si>
    <t>1ENOCQcUQkF1TU6KrZNbLjSza-b8w-JT5</t>
  </si>
  <si>
    <t>https://drive.google.com/file/d/1ENOCQcUQkF1TU6KrZNbLjSza-b8w-JT5/view?usp=drivesdk</t>
  </si>
  <si>
    <t>Document successfully created; Document successfully merged; PDF created; !!Error Sending Emails: Service invoked too many times for one day: email.; Run via form trigger as ecertificate75@gmail.com; Timestamp: Sep 8 2024 10:22 PM</t>
  </si>
  <si>
    <t>UCi SANUSi</t>
  </si>
  <si>
    <t>uci125076@gmail.com</t>
  </si>
  <si>
    <t>8966</t>
  </si>
  <si>
    <t>1sZt0Z7o6HD8UUUwPUBOPchW7-KFs06QO</t>
  </si>
  <si>
    <t>https://drive.google.com/file/d/1sZt0Z7o6HD8UUUwPUBOPchW7-KFs06QO/view?usp=drivesdk</t>
  </si>
  <si>
    <t>SITI HOTIDJAH</t>
  </si>
  <si>
    <t>sitihotijah831@gmail.com</t>
  </si>
  <si>
    <t>8967</t>
  </si>
  <si>
    <t>1Gok57ua3ISYwgKJGszkLx4U4QaVuhgbZ</t>
  </si>
  <si>
    <t>https://drive.google.com/file/d/1Gok57ua3ISYwgKJGszkLx4U4QaVuhgbZ/view?usp=drivesdk</t>
  </si>
  <si>
    <t>NANI PRIHANDARI, A. Md</t>
  </si>
  <si>
    <t>marellkayla@gmail.com</t>
  </si>
  <si>
    <t>8968</t>
  </si>
  <si>
    <t>Starting at Thu Aug 29 2024 23:10:07 GMT-0400 (EDT)</t>
  </si>
  <si>
    <t>1Xha9HK_2l3ognxnNn2gHiPDQkycnT1rV</t>
  </si>
  <si>
    <t>https://drive.google.com/file/d/1Xha9HK_2l3ognxnNn2gHiPDQkycnT1rV/view?usp=drivesdk</t>
  </si>
  <si>
    <t>FITRIYONO</t>
  </si>
  <si>
    <t>opietreskrim7@gmail.com</t>
  </si>
  <si>
    <t>8969</t>
  </si>
  <si>
    <t>Starting at Thu Aug 29 2024 23:10:45 GMT-0400 (EDT)</t>
  </si>
  <si>
    <t>1KJIbxJMGT4GPrS8UoSIAGI6rI63AU3mU</t>
  </si>
  <si>
    <t>https://drive.google.com/file/d/1KJIbxJMGT4GPrS8UoSIAGI6rI63AU3mU/view?usp=drivesdk</t>
  </si>
  <si>
    <t>ERMA SURYANI</t>
  </si>
  <si>
    <t>ermasuryani438@gmail.com</t>
  </si>
  <si>
    <t>8970</t>
  </si>
  <si>
    <t>1Op9PmqwLT22dErVBnnTPYCmcKSQOdBtD</t>
  </si>
  <si>
    <t>https://drive.google.com/file/d/1Op9PmqwLT22dErVBnnTPYCmcKSQOdBtD/view?usp=drivesdk</t>
  </si>
  <si>
    <t>DAMRI PASARIBU</t>
  </si>
  <si>
    <t>natalimutiarayemimaaruan@gmail.com</t>
  </si>
  <si>
    <t>8971</t>
  </si>
  <si>
    <t>1YpkMTOQnIUm6HfEXhesvIClUKKEn3dX1</t>
  </si>
  <si>
    <t>https://drive.google.com/file/d/1YpkMTOQnIUm6HfEXhesvIClUKKEn3dX1/view?usp=drivesdk</t>
  </si>
  <si>
    <t>Document successfully created; Document successfully merged; PDF created; !!Error Sending Emails: Service invoked too many times for one day: email.; Run via form trigger as ecertificate75@gmail.com; Timestamp: Sep 8 2024 10:23 PM</t>
  </si>
  <si>
    <t>ELLY AMBAR WINANTI</t>
  </si>
  <si>
    <t>ellyambar03@gmail.com</t>
  </si>
  <si>
    <t>8972</t>
  </si>
  <si>
    <t>1nGA60H-fpUAfj2ggZD8dL9RIuS9SER6a</t>
  </si>
  <si>
    <t>https://drive.google.com/file/d/1nGA60H-fpUAfj2ggZD8dL9RIuS9SER6a/view?usp=drivesdk</t>
  </si>
  <si>
    <t>ELVERIA SILAEN</t>
  </si>
  <si>
    <t>elveriasilaenpolres100@gmail.com</t>
  </si>
  <si>
    <t>8973</t>
  </si>
  <si>
    <t>1BjlUt4LxOVf1HJ8B1hIwP13xVLQ_m7dt</t>
  </si>
  <si>
    <t>https://drive.google.com/file/d/1BjlUt4LxOVf1HJ8B1hIwP13xVLQ_m7dt/view?usp=drivesdk</t>
  </si>
  <si>
    <t>HERLIANAH</t>
  </si>
  <si>
    <t>herliayanalet@gmain.com</t>
  </si>
  <si>
    <t>8974</t>
  </si>
  <si>
    <t>1vebC2z6Xrzw_CKEBi7PVG6O_eik48usv</t>
  </si>
  <si>
    <t>https://drive.google.com/file/d/1vebC2z6Xrzw_CKEBi7PVG6O_eik48usv/view?usp=drivesdk</t>
  </si>
  <si>
    <t>AVNINAWATI,S.E.</t>
  </si>
  <si>
    <t>ninadiaz8081@gmail.com</t>
  </si>
  <si>
    <t>8975</t>
  </si>
  <si>
    <t>10qJWscwOyptjMiMiecIj1oxg49LMSnKk</t>
  </si>
  <si>
    <t>https://drive.google.com/file/d/10qJWscwOyptjMiMiecIj1oxg49LMSnKk/view?usp=drivesdk</t>
  </si>
  <si>
    <t>Ns Imelda,S Kep</t>
  </si>
  <si>
    <t>imeldaamel1980@gmail.com</t>
  </si>
  <si>
    <t>8976</t>
  </si>
  <si>
    <t>1ZpcBYSfw7GTrHcbFn4eDuovgAI01MyqE</t>
  </si>
  <si>
    <t>https://drive.google.com/file/d/1ZpcBYSfw7GTrHcbFn4eDuovgAI01MyqE/view?usp=drivesdk</t>
  </si>
  <si>
    <t>Document successfully created; Document successfully merged; PDF created; !!Error Sending Emails: Service invoked too many times for one day: email.; Run via form trigger as ecertificate75@gmail.com; Timestamp: Sep 8 2024 11:53 PM</t>
  </si>
  <si>
    <t>ENDANG AGUSTINI</t>
  </si>
  <si>
    <t>endangagustini19700@g.com</t>
  </si>
  <si>
    <t>8977</t>
  </si>
  <si>
    <t>1Q3BtZ0lS6651w72lpFIYOEvbOs_UDbSP</t>
  </si>
  <si>
    <t>https://drive.google.com/file/d/1Q3BtZ0lS6651w72lpFIYOEvbOs_UDbSP/view?usp=drivesdk</t>
  </si>
  <si>
    <t>DANI SUGIARTO</t>
  </si>
  <si>
    <t>sugiartotulen885@gmail.com</t>
  </si>
  <si>
    <t>8978</t>
  </si>
  <si>
    <t>1hHCAwEvQaWAhuBlTj5NAuUvhT7tIlhUl</t>
  </si>
  <si>
    <t>https://drive.google.com/file/d/1hHCAwEvQaWAhuBlTj5NAuUvhT7tIlhUl/view?usp=drivesdk</t>
  </si>
  <si>
    <t>VINA MARDIANA AMD KEP</t>
  </si>
  <si>
    <t>vinamardiana1010@gmail.com</t>
  </si>
  <si>
    <t>8979</t>
  </si>
  <si>
    <t>1cVIHbKhV-QbS6fD5173IKpQM1Grc4YR9</t>
  </si>
  <si>
    <t>https://drive.google.com/file/d/1cVIHbKhV-QbS6fD5173IKpQM1Grc4YR9/view?usp=drivesdk</t>
  </si>
  <si>
    <t>LESTARI PRIHATININGSIH, S.E.</t>
  </si>
  <si>
    <t>prihatiningsihlestari@gmail.com</t>
  </si>
  <si>
    <t>8980</t>
  </si>
  <si>
    <t>10F8wTv_TqMBdCXXPUNsNIxegiPtNvVph</t>
  </si>
  <si>
    <t>https://drive.google.com/file/d/10F8wTv_TqMBdCXXPUNsNIxegiPtNvVph/view?usp=drivesdk</t>
  </si>
  <si>
    <t>Document successfully created; Document successfully merged; PDF created; !!Error Sending Emails: Service invoked too many times for one day: email.; Run via form trigger as ecertificate75@gmail.com; Timestamp: Sep 8 2024 11:54 PM</t>
  </si>
  <si>
    <t>Dwi Susanti, SAP</t>
  </si>
  <si>
    <t>muhammadiyahdwisusanti@gmail.com</t>
  </si>
  <si>
    <t>8981</t>
  </si>
  <si>
    <t>Starting at Thu Aug 29 2024 23:11:05 GMT-0400 (EDT)</t>
  </si>
  <si>
    <t>13ipG8kCwfS5CKMaLslutel_3yTqdw5N-</t>
  </si>
  <si>
    <t>https://drive.google.com/file/d/13ipG8kCwfS5CKMaLslutel_3yTqdw5N-/view?usp=drivesdk</t>
  </si>
  <si>
    <t>W. SETYAJI KUSUMA WARDANI</t>
  </si>
  <si>
    <t>BRIPKA</t>
  </si>
  <si>
    <t>radenayuaji@gmail.com</t>
  </si>
  <si>
    <t>8982</t>
  </si>
  <si>
    <t>Starting at Thu Aug 29 2024 23:11:18 GMT-0400 (EDT)</t>
  </si>
  <si>
    <t>1LPXsgWAAXZVaCnrlJCshogNX3LwYXdGg</t>
  </si>
  <si>
    <t>https://drive.google.com/file/d/1LPXsgWAAXZVaCnrlJCshogNX3LwYXdGg/view?usp=drivesdk</t>
  </si>
  <si>
    <t>JIHAN S KABALMAY, A.Md.Kep</t>
  </si>
  <si>
    <t>jihanlale0@gmail.com</t>
  </si>
  <si>
    <t>8983</t>
  </si>
  <si>
    <t>1Xz9Cpex39znifPgrD_AiSS0PbDFW78lI</t>
  </si>
  <si>
    <t>https://drive.google.com/file/d/1Xz9Cpex39znifPgrD_AiSS0PbDFW78lI/view?usp=drivesdk</t>
  </si>
  <si>
    <t>YUNIANTO PRASETYO,S.E.</t>
  </si>
  <si>
    <t>yuni71.pol@gmail.com</t>
  </si>
  <si>
    <t>8984</t>
  </si>
  <si>
    <t>1CBScbJmJCOK6hgYF6bZ2mxPLrQ4VQ5W9</t>
  </si>
  <si>
    <t>https://drive.google.com/file/d/1CBScbJmJCOK6hgYF6bZ2mxPLrQ4VQ5W9/view?usp=drivesdk</t>
  </si>
  <si>
    <t>Document successfully created; Document successfully merged; PDF created; !!Error Sending Emails: Service invoked too many times for one day: email.; Run via form trigger as ecertificate75@gmail.com; Timestamp: Sep 8 2024 11:55 PM</t>
  </si>
  <si>
    <t>MUHAMAD HIDAYAT, S.Kom.</t>
  </si>
  <si>
    <t>alghazali.hidayat69@gmail.com</t>
  </si>
  <si>
    <t>8985</t>
  </si>
  <si>
    <t>Starting at Thu Aug 29 2024 23:11:29 GMT-0400 (EDT)</t>
  </si>
  <si>
    <t>1F0XlhMP_tKz-rPrWO3weU6wvfWu029DP</t>
  </si>
  <si>
    <t>https://drive.google.com/file/d/1F0XlhMP_tKz-rPrWO3weU6wvfWu029DP/view?usp=drivesdk</t>
  </si>
  <si>
    <t>ENDA MULYADIN</t>
  </si>
  <si>
    <t>mulyadinenda1977@gmail.com</t>
  </si>
  <si>
    <t>8986</t>
  </si>
  <si>
    <t>Starting at Thu Aug 29 2024 23:11:37 GMT-0400 (EDT)</t>
  </si>
  <si>
    <t>1Hl4RrP2VZTJuJc9X1o5OU50_i89374-A</t>
  </si>
  <si>
    <t>https://drive.google.com/file/d/1Hl4RrP2VZTJuJc9X1o5OU50_i89374-A/view?usp=drivesdk</t>
  </si>
  <si>
    <t>ROSMARIYA NADAPDAP</t>
  </si>
  <si>
    <t>rosmariyadapdap@gmail.com</t>
  </si>
  <si>
    <t>8987</t>
  </si>
  <si>
    <t>15PDryQWSrpsq-z4BPo2-tvwO5BpqRxSn</t>
  </si>
  <si>
    <t>https://drive.google.com/file/d/15PDryQWSrpsq-z4BPo2-tvwO5BpqRxSn/view?usp=drivesdk</t>
  </si>
  <si>
    <t>NGAISAH ROKHAINI</t>
  </si>
  <si>
    <t>Ngaisahrokah@gmail.com</t>
  </si>
  <si>
    <t>8988</t>
  </si>
  <si>
    <t>Starting at Thu Aug 29 2024 23:11:40 GMT-0400 (EDT)</t>
  </si>
  <si>
    <t>1XouZzWDwkbfrjSplgx5kJiAdSQpFBvEL</t>
  </si>
  <si>
    <t>https://drive.google.com/file/d/1XouZzWDwkbfrjSplgx5kJiAdSQpFBvEL/view?usp=drivesdk</t>
  </si>
  <si>
    <t>dr NANCY BUMBUNAN M. SIRAIT, MARS</t>
  </si>
  <si>
    <t>nancysirait9@gmail.com</t>
  </si>
  <si>
    <t>8989</t>
  </si>
  <si>
    <t>Starting at Thu Aug 29 2024 23:11:42 GMT-0400 (EDT)</t>
  </si>
  <si>
    <t>1OnoiKpBRhwnLej1XsMFzAtqBrG_gn3U-</t>
  </si>
  <si>
    <t>https://drive.google.com/file/d/1OnoiKpBRhwnLej1XsMFzAtqBrG_gn3U-/view?usp=drivesdk</t>
  </si>
  <si>
    <t>Document successfully created; Document successfully merged; PDF created; !!Error Sending Emails: Service invoked too many times for one day: email.; Run via form trigger as ecertificate75@gmail.com; Timestamp: Sep 8 2024 11:56 PM</t>
  </si>
  <si>
    <t>NURFAIDAH</t>
  </si>
  <si>
    <t>nurnitia@gmail.com</t>
  </si>
  <si>
    <t>8990</t>
  </si>
  <si>
    <t>Starting at Thu Aug 29 2024 23:11:46 GMT-0400 (EDT)</t>
  </si>
  <si>
    <t>1gL8bT0ZsRgUGjJol3JIA5MFJbcWJb7Xx</t>
  </si>
  <si>
    <t>https://drive.google.com/file/d/1gL8bT0ZsRgUGjJol3JIA5MFJbcWJb7Xx/view?usp=drivesdk</t>
  </si>
  <si>
    <t>PEPI ALAM MUKTI</t>
  </si>
  <si>
    <t>pepialammukti29@gmail.com</t>
  </si>
  <si>
    <t>8991</t>
  </si>
  <si>
    <t>Starting at Thu Aug 29 2024 23:11:55 GMT-0400 (EDT)</t>
  </si>
  <si>
    <t>1eEcOlDc_AEgLPycC4KJR75kMI7eww6nU</t>
  </si>
  <si>
    <t>https://drive.google.com/file/d/1eEcOlDc_AEgLPycC4KJR75kMI7eww6nU/view?usp=drivesdk</t>
  </si>
  <si>
    <t>IQRARIANI</t>
  </si>
  <si>
    <t>iqrariani@gmail.com</t>
  </si>
  <si>
    <t>8992</t>
  </si>
  <si>
    <t>Starting at Thu Aug 29 2024 23:12:08 GMT-0400 (EDT)</t>
  </si>
  <si>
    <t>1BLgmolgMjY3-odgxnlpaVqWksOdCoaw7</t>
  </si>
  <si>
    <t>https://drive.google.com/file/d/1BLgmolgMjY3-odgxnlpaVqWksOdCoaw7/view?usp=drivesdk</t>
  </si>
  <si>
    <t>MINCE SUS SAMOLA, S.Kom</t>
  </si>
  <si>
    <t>sus.samola@gmail.com</t>
  </si>
  <si>
    <t>8993</t>
  </si>
  <si>
    <t>Starting at Thu Aug 29 2024 23:12:13 GMT-0400 (EDT)</t>
  </si>
  <si>
    <t>1KALztKCvqK4NeujgJvKrLAGzoTCIwDC4</t>
  </si>
  <si>
    <t>https://drive.google.com/file/d/1KALztKCvqK4NeujgJvKrLAGzoTCIwDC4/view?usp=drivesdk</t>
  </si>
  <si>
    <t>Document successfully created; Document successfully merged; PDF created; !!Error Sending Emails: Service invoked too many times for one day: email.; Run via form trigger as ecertificate75@gmail.com; Timestamp: Sep 8 2024 11:57 PM</t>
  </si>
  <si>
    <t>FUAD NUR ISBANDIYAH</t>
  </si>
  <si>
    <t>fuadnuris85@gmail.com</t>
  </si>
  <si>
    <t>8994</t>
  </si>
  <si>
    <t>1TPYS5Wpxd_M_zGHnZLmxgCx0BEQxhany</t>
  </si>
  <si>
    <t>https://drive.google.com/file/d/1TPYS5Wpxd_M_zGHnZLmxgCx0BEQxhany/view?usp=drivesdk</t>
  </si>
  <si>
    <t>Hanna Marfili Aini, A.Md.Kep</t>
  </si>
  <si>
    <t>hannamarfiliaini@gmail.com</t>
  </si>
  <si>
    <t>8995</t>
  </si>
  <si>
    <t>Starting at Thu Aug 29 2024 23:12:23 GMT-0400 (EDT)</t>
  </si>
  <si>
    <t>1Lg5hPuc9Y0FQvN9J4jV1VR3VnX9hX_f2</t>
  </si>
  <si>
    <t>https://drive.google.com/file/d/1Lg5hPuc9Y0FQvN9J4jV1VR3VnX9hX_f2/view?usp=drivesdk</t>
  </si>
  <si>
    <t>Document successfully created; Document successfully merged; PDF created; Emails Sent: [To: hannamarfiliaini@gmail.com]; Run via form trigger as ecertificate75@gmail.com; Timestamp: Sep 8 2024 8:11 PM</t>
  </si>
  <si>
    <t>NUR AZIZAH,A.MD.KEP</t>
  </si>
  <si>
    <t>ezi2azizah@gmail.com</t>
  </si>
  <si>
    <t>8996</t>
  </si>
  <si>
    <t>Starting at Thu Aug 29 2024 23:12:28 GMT-0400 (EDT)</t>
  </si>
  <si>
    <t>18PJR2HLBZPlFr2En3iumlDp7NbASTDuS</t>
  </si>
  <si>
    <t>https://drive.google.com/file/d/18PJR2HLBZPlFr2En3iumlDp7NbASTDuS/view?usp=drivesdk</t>
  </si>
  <si>
    <t>Document successfully created; Document successfully merged; PDF created; Emails Sent: [To: ezi2azizah@gmail.com]; Run via form trigger as ecertificate75@gmail.com; Timestamp: Sep 8 2024 8:11 PM</t>
  </si>
  <si>
    <t>SAMSU HIDAYAT</t>
  </si>
  <si>
    <t>samsuhidayatt@gmail.com</t>
  </si>
  <si>
    <t>8997</t>
  </si>
  <si>
    <t>1owhBcIIMhkKpmj6-GtoEbTRSFArdi8Sf</t>
  </si>
  <si>
    <t>https://drive.google.com/file/d/1owhBcIIMhkKpmj6-GtoEbTRSFArdi8Sf/view?usp=drivesdk</t>
  </si>
  <si>
    <t>Document successfully created; Document successfully merged; PDF created; Emails Sent: [To: samsuhidayatt@gmail.com]; Run via form trigger as ecertificate75@gmail.com; Timestamp: Sep 8 2024 8:11 PM</t>
  </si>
  <si>
    <t>Erni Mudjijati, S.Pd., S.Sos</t>
  </si>
  <si>
    <t>ernimoe@gmail.com</t>
  </si>
  <si>
    <t>8998</t>
  </si>
  <si>
    <t>Starting at Thu Aug 29 2024 23:12:31 GMT-0400 (EDT)</t>
  </si>
  <si>
    <t>1A_PdcEAf1gbmFn1hssWx3PvFreZ4hUWR</t>
  </si>
  <si>
    <t>https://drive.google.com/file/d/1A_PdcEAf1gbmFn1hssWx3PvFreZ4hUWR/view?usp=drivesdk</t>
  </si>
  <si>
    <t>Document successfully created; Document successfully merged; PDF created; Emails Sent: [To: ernimoe@gmail.com]; Run via form trigger as ecertificate75@gmail.com; Timestamp: Sep 8 2024 8:11 PM</t>
  </si>
  <si>
    <t>MELI IRDAYANI</t>
  </si>
  <si>
    <t>meliirdayani2020@gmail.com</t>
  </si>
  <si>
    <t>8999</t>
  </si>
  <si>
    <t>Starting at Thu Aug 29 2024 23:12:41 GMT-0400 (EDT)</t>
  </si>
  <si>
    <t>1YrFDwhs3zUZ2zdnVch_UI6c-zfMPytQ4</t>
  </si>
  <si>
    <t>https://drive.google.com/file/d/1YrFDwhs3zUZ2zdnVch_UI6c-zfMPytQ4/view?usp=drivesdk</t>
  </si>
  <si>
    <t>Document successfully created; Document successfully merged; PDF created; Emails Sent: [To: meliirdayani2020@gmail.com]; Run via form trigger as ecertificate75@gmail.com; Timestamp: Sep 8 2024 8:12 PM</t>
  </si>
  <si>
    <t>SONY GONDO SUTRISNO</t>
  </si>
  <si>
    <t>rositasellad@gmail.com</t>
  </si>
  <si>
    <t>9000</t>
  </si>
  <si>
    <t>Starting at Thu Aug 29 2024 23:12:45 GMT-0400 (EDT)</t>
  </si>
  <si>
    <t>13wsKgybJvCw6n5LxzqU_4oyT01zaRKjg</t>
  </si>
  <si>
    <t>https://drive.google.com/file/d/13wsKgybJvCw6n5LxzqU_4oyT01zaRKjg/view?usp=drivesdk</t>
  </si>
  <si>
    <t>Document successfully created; Document successfully merged; PDF created; Emails Sent: [To: rositasellad@gmail.com]; Run via form trigger as ecertificate75@gmail.com; Timestamp: Sep 8 2024 8:12 PM</t>
  </si>
  <si>
    <t>ISWATI</t>
  </si>
  <si>
    <t>iswati.bkl17@gmail.com</t>
  </si>
  <si>
    <t>9001</t>
  </si>
  <si>
    <t>1MCL_I6eTC3tsOfpaT6wH79X6JAO0gdYz</t>
  </si>
  <si>
    <t>https://drive.google.com/file/d/1MCL_I6eTC3tsOfpaT6wH79X6JAO0gdYz/view?usp=drivesdk</t>
  </si>
  <si>
    <t>Document successfully created; Document successfully merged; PDF created; Emails Sent: [To: iswati.bkl17@gmail.com]; Run via form trigger as ecertificate75@gmail.com; Timestamp: Sep 8 2024 8:12 PM</t>
  </si>
  <si>
    <t>MUJI PRAYITNO</t>
  </si>
  <si>
    <t>mujek1973@gmail.com</t>
  </si>
  <si>
    <t>9002</t>
  </si>
  <si>
    <t>14uLvfS21tQuflYTv4z4U6e5xOGWU5mh9</t>
  </si>
  <si>
    <t>https://drive.google.com/file/d/14uLvfS21tQuflYTv4z4U6e5xOGWU5mh9/view?usp=drivesdk</t>
  </si>
  <si>
    <t>Document successfully created; Document successfully merged; PDF created; Emails Sent: [To: mujek1973@gmail.com]; Run via form trigger as ecertificate75@gmail.com; Timestamp: Sep 8 2024 8:12 PM</t>
  </si>
  <si>
    <t>JENEMAN TOMASOA</t>
  </si>
  <si>
    <t>janemantomasoa23@gmail.com</t>
  </si>
  <si>
    <t>9003</t>
  </si>
  <si>
    <t>Starting at Thu Aug 29 2024 23:12:52 GMT-0400 (EDT)</t>
  </si>
  <si>
    <t>1M2lAim0HEogMCa2PYh21SeUI6DS7oXcG</t>
  </si>
  <si>
    <t>https://drive.google.com/file/d/1M2lAim0HEogMCa2PYh21SeUI6DS7oXcG/view?usp=drivesdk</t>
  </si>
  <si>
    <t>Document successfully created; Document successfully merged; PDF created; Emails Sent: [To: janemantomasoa23@gmail.com]; Run via form trigger as ecertificate75@gmail.com; Timestamp: Sep 8 2024 8:12 PM</t>
  </si>
  <si>
    <t>NS PURNAMASARI.S.KEP</t>
  </si>
  <si>
    <t>purnamas4ri2015@gmail.com</t>
  </si>
  <si>
    <t>9004</t>
  </si>
  <si>
    <t>1Rr3FRiaDOye4A_4eo34GhNsRO1FhQwvs</t>
  </si>
  <si>
    <t>https://drive.google.com/file/d/1Rr3FRiaDOye4A_4eo34GhNsRO1FhQwvs/view?usp=drivesdk</t>
  </si>
  <si>
    <t>Document successfully created; Document successfully merged; PDF created; Emails Sent: [To: purnamas4ri2015@gmail.com]; Run via form trigger as ecertificate75@gmail.com; Timestamp: Sep 8 2024 8:13 PM</t>
  </si>
  <si>
    <t>AGUSTININGTYAS DWI HARINI, S.H.</t>
  </si>
  <si>
    <t>agustiningtyas.dh@gmail.com</t>
  </si>
  <si>
    <t>9005</t>
  </si>
  <si>
    <t>1fs93p6nJfs2_EHNqVrXREdG9dICSa66D</t>
  </si>
  <si>
    <t>https://drive.google.com/file/d/1fs93p6nJfs2_EHNqVrXREdG9dICSa66D/view?usp=drivesdk</t>
  </si>
  <si>
    <t>Document successfully created; Document successfully merged; PDF created; Emails Sent: [To: agustiningtyas.dh@gmail.com]; Run via form trigger as ecertificate75@gmail.com; Timestamp: Sep 8 2024 8:13 PM</t>
  </si>
  <si>
    <t>Safruddin1074@gmail.com</t>
  </si>
  <si>
    <t>9006</t>
  </si>
  <si>
    <t>Starting at Thu Aug 29 2024 23:12:56 GMT-0400 (EDT)</t>
  </si>
  <si>
    <t>1HWGA-0y1Vr9n74QFRDLOoXuuECETYMXq</t>
  </si>
  <si>
    <t>https://drive.google.com/file/d/1HWGA-0y1Vr9n74QFRDLOoXuuECETYMXq/view?usp=drivesdk</t>
  </si>
  <si>
    <t>Document successfully created; Document successfully merged; PDF created; Emails Sent: [To: Safruddin1074@gmail.com]; Run via form trigger as ecertificate75@gmail.com; Timestamp: Sep 8 2024 8:13 PM</t>
  </si>
  <si>
    <t>UDIN WAHYUDIN</t>
  </si>
  <si>
    <t>daenkce11801@gmail.com</t>
  </si>
  <si>
    <t>9007</t>
  </si>
  <si>
    <t>Starting at Thu Aug 29 2024 23:12:59 GMT-0400 (EDT)</t>
  </si>
  <si>
    <t>1jA3UvZKx76bh33d42nA5hjSmTZjgQUjf</t>
  </si>
  <si>
    <t>https://drive.google.com/file/d/1jA3UvZKx76bh33d42nA5hjSmTZjgQUjf/view?usp=drivesdk</t>
  </si>
  <si>
    <t>Document successfully created; Document successfully merged; PDF created; Emails Sent: [To: daenkce11801@gmail.com]; Run via form trigger as ecertificate75@gmail.com; Timestamp: Sep 8 2024 8:13 PM</t>
  </si>
  <si>
    <t>Dra. SITI SUHARTININGSIH</t>
  </si>
  <si>
    <t>sitisuhartiningsih68@gmail.com</t>
  </si>
  <si>
    <t>9008</t>
  </si>
  <si>
    <t>Starting at Thu Aug 29 2024 23:13:01 GMT-0400 (EDT)</t>
  </si>
  <si>
    <t>1vDWw-_nXUJ-NbhwQfSMfVF2_hdjHgr4r</t>
  </si>
  <si>
    <t>https://drive.google.com/file/d/1vDWw-_nXUJ-NbhwQfSMfVF2_hdjHgr4r/view?usp=drivesdk</t>
  </si>
  <si>
    <t>Document successfully created; Document successfully merged; PDF created; Emails Sent: [To: sitisuhartiningsih68@gmail.com]; Run via form trigger as ecertificate75@gmail.com; Timestamp: Sep 8 2024 8:13 PM</t>
  </si>
  <si>
    <t>DESI ANGGERAINI</t>
  </si>
  <si>
    <t>deasee187@gmail.com</t>
  </si>
  <si>
    <t>9009</t>
  </si>
  <si>
    <t>Starting at Thu Aug 29 2024 23:13:04 GMT-0400 (EDT)</t>
  </si>
  <si>
    <t>1Vj-OmDgE4ZcnJJVuajXRCOsaXPwVlZGj</t>
  </si>
  <si>
    <t>https://drive.google.com/file/d/1Vj-OmDgE4ZcnJJVuajXRCOsaXPwVlZGj/view?usp=drivesdk</t>
  </si>
  <si>
    <t>Document successfully created; Document successfully merged; PDF created; Emails Sent: [To: deasee187@gmail.com]; Run via form trigger as ecertificate75@gmail.com; Timestamp: Sep 8 2024 8:14 PM</t>
  </si>
  <si>
    <t>SRI MARLIANTI</t>
  </si>
  <si>
    <t>srimarlianti.1969@gmail.com</t>
  </si>
  <si>
    <t>9010</t>
  </si>
  <si>
    <t>Starting at Thu Aug 29 2024 23:13:07 GMT-0400 (EDT)</t>
  </si>
  <si>
    <t>1QXbXGJGcbJpKzRd1PVutWrEWG63S6y5x</t>
  </si>
  <si>
    <t>https://drive.google.com/file/d/1QXbXGJGcbJpKzRd1PVutWrEWG63S6y5x/view?usp=drivesdk</t>
  </si>
  <si>
    <t>Document successfully created; Document successfully merged; PDF created; Emails Sent: [To: srimarlianti.1969@gmail.com]; Run via form trigger as ecertificate75@gmail.com; Timestamp: Sep 8 2024 8:14 PM</t>
  </si>
  <si>
    <t>NUR MEYNI, A. Md. Kep</t>
  </si>
  <si>
    <t>meyninur@gmail.com</t>
  </si>
  <si>
    <t>9011</t>
  </si>
  <si>
    <t>1Ai_PqQY65vhs4af5IPGZO8IyQHOtdiD5</t>
  </si>
  <si>
    <t>https://drive.google.com/file/d/1Ai_PqQY65vhs4af5IPGZO8IyQHOtdiD5/view?usp=drivesdk</t>
  </si>
  <si>
    <t>Document successfully created; Document successfully merged; PDF created; Emails Sent: [To: meyninur@gmail.com]; Run via form trigger as ecertificate75@gmail.com; Timestamp: Sep 8 2024 8:14 PM</t>
  </si>
  <si>
    <t>REFRINALDI</t>
  </si>
  <si>
    <t>refrinaldi140220@gmail.com</t>
  </si>
  <si>
    <t>9012</t>
  </si>
  <si>
    <t>1IPegXUttVGhttO-zEAhgcPlQ4ch1DFm_</t>
  </si>
  <si>
    <t>https://drive.google.com/file/d/1IPegXUttVGhttO-zEAhgcPlQ4ch1DFm_/view?usp=drivesdk</t>
  </si>
  <si>
    <t xml:space="preserve">THERESIA SUSILOWATI </t>
  </si>
  <si>
    <t>theresiasusilowati73@gmail.com</t>
  </si>
  <si>
    <t>9013</t>
  </si>
  <si>
    <t>1IDmpwA-r8tjzFv2z5rKFIR-_sBk4RRs5</t>
  </si>
  <si>
    <t>https://drive.google.com/file/d/1IDmpwA-r8tjzFv2z5rKFIR-_sBk4RRs5/view?usp=drivesdk</t>
  </si>
  <si>
    <t>PURNOMO SULISTYONO PRABOOWO</t>
  </si>
  <si>
    <t>purnomosupraakulupa7368@gmail.com</t>
  </si>
  <si>
    <t>9014</t>
  </si>
  <si>
    <t>Starting at Thu Aug 29 2024 23:13:17 GMT-0400 (EDT)</t>
  </si>
  <si>
    <t>14CoHUTtTlfa6yIy4lzGw7ubgyNEN8wxC</t>
  </si>
  <si>
    <t>https://drive.google.com/file/d/14CoHUTtTlfa6yIy4lzGw7ubgyNEN8wxC/view?usp=drivesdk</t>
  </si>
  <si>
    <t>Document successfully created; Document successfully merged; PDF created; !!Error Sending Emails: Service invoked too many times for one day: email.; Run via form trigger as ecertificate75@gmail.com; Timestamp: Sep 8 2024 8:15 PM</t>
  </si>
  <si>
    <t>RIASARI, A.Md.</t>
  </si>
  <si>
    <t>riasari7086@gmail.com</t>
  </si>
  <si>
    <t>9015</t>
  </si>
  <si>
    <t>Starting at Thu Aug 29 2024 23:15:44 GMT-0400 (EDT)</t>
  </si>
  <si>
    <t>1mLIm2eKsi6Y1PpEl4--5ZSlas_IW9KfB</t>
  </si>
  <si>
    <t>https://drive.google.com/file/d/1mLIm2eKsi6Y1PpEl4--5ZSlas_IW9KfB/view?usp=drivesdk</t>
  </si>
  <si>
    <t>ENDANG SEDAYU</t>
  </si>
  <si>
    <t>sedayu1801@gmail.com</t>
  </si>
  <si>
    <t>9016</t>
  </si>
  <si>
    <t>1qLhLL2w67yNx9YLZaIshO7ereAyfIT-M</t>
  </si>
  <si>
    <t>https://drive.google.com/file/d/1qLhLL2w67yNx9YLZaIshO7ereAyfIT-M/view?usp=drivesdk</t>
  </si>
  <si>
    <t>JEKSON MELVIN TAMBUNAN, Amd FT</t>
  </si>
  <si>
    <t>jeksonmelvin@gmail.com</t>
  </si>
  <si>
    <t>9017</t>
  </si>
  <si>
    <t>1C0JRbQvq22h1UkpXo6jGxOGOr2jjhwbn</t>
  </si>
  <si>
    <t>https://drive.google.com/file/d/1C0JRbQvq22h1UkpXo6jGxOGOr2jjhwbn/view?usp=drivesdk</t>
  </si>
  <si>
    <t>SORAYAH</t>
  </si>
  <si>
    <t>sorayah.spnpmj@gmail.com</t>
  </si>
  <si>
    <t>9018</t>
  </si>
  <si>
    <t>1vINY1CEXfk5w87gdvBTcBxYTVepXXX0z</t>
  </si>
  <si>
    <t>https://drive.google.com/file/d/1vINY1CEXfk5w87gdvBTcBxYTVepXXX0z/view?usp=drivesdk</t>
  </si>
  <si>
    <t>I MADE SUMERTA</t>
  </si>
  <si>
    <t>imade01111976@gmail.com</t>
  </si>
  <si>
    <t>9019</t>
  </si>
  <si>
    <t>1B3NlT5rXlwdHVuV5Ea4MHQlnjMg3KTXy</t>
  </si>
  <si>
    <t>https://drive.google.com/file/d/1B3NlT5rXlwdHVuV5Ea4MHQlnjMg3KTXy/view?usp=drivesdk</t>
  </si>
  <si>
    <t>ZURWANA</t>
  </si>
  <si>
    <t>zurwana.zurwa@gmail.com</t>
  </si>
  <si>
    <t>9020</t>
  </si>
  <si>
    <t>1hh2_gy3AG994bumgKfhqUB2MDI5cyudA</t>
  </si>
  <si>
    <t>https://drive.google.com/file/d/1hh2_gy3AG994bumgKfhqUB2MDI5cyudA/view?usp=drivesdk</t>
  </si>
  <si>
    <t>Document successfully created; Document successfully merged; PDF created; !!Error Sending Emails: Service invoked too many times for one day: email.; Run via form trigger as ecertificate75@gmail.com; Timestamp: Sep 8 2024 8:16 PM</t>
  </si>
  <si>
    <t>FATISOKHI GEA</t>
  </si>
  <si>
    <t>fatisokhigea1967@gmail.com</t>
  </si>
  <si>
    <t>9021</t>
  </si>
  <si>
    <t>1bpeE69p65I4jFJ7BYcjkLreDIQbgBTP5</t>
  </si>
  <si>
    <t>https://drive.google.com/file/d/1bpeE69p65I4jFJ7BYcjkLreDIQbgBTP5/view?usp=drivesdk</t>
  </si>
  <si>
    <t>MENIK PRIHATINNINGSIH,AMK</t>
  </si>
  <si>
    <t>prihatinningsihmenik@gmail.com</t>
  </si>
  <si>
    <t>9022</t>
  </si>
  <si>
    <t>1b-r1k-ZL16UxmK14UW-bArV7yh3-UJnK</t>
  </si>
  <si>
    <t>https://drive.google.com/file/d/1b-r1k-ZL16UxmK14UW-bArV7yh3-UJnK/view?usp=drivesdk</t>
  </si>
  <si>
    <t>Document successfully created; Document successfully merged; PDF created; Emails Sent: [To: prihatinningsihmenik@gmail.com]; Manually run by ecertificate75@gmail.com; Timestamp: Sep 9 2024 9:42 AM</t>
  </si>
  <si>
    <t>NI PUTU JULI KUSUMA DEWI</t>
  </si>
  <si>
    <t>Kusuma886688dewi@gmail.com</t>
  </si>
  <si>
    <t>9023</t>
  </si>
  <si>
    <t>1Ynb7ZD_jbZ9f1nFXHJpkkb9DjSHna784</t>
  </si>
  <si>
    <t>https://drive.google.com/file/d/1Ynb7ZD_jbZ9f1nFXHJpkkb9DjSHna784/view?usp=drivesdk</t>
  </si>
  <si>
    <t>Document successfully created; Document successfully merged; PDF created; Emails Sent: [To: Kusuma886688dewi@gmail.com]; Manually run by ecertificate75@gmail.com; Timestamp: Sep 9 2024 9:43 AM</t>
  </si>
  <si>
    <t>EDIH KUSYADI</t>
  </si>
  <si>
    <t>edihkusyadi@gmail.com</t>
  </si>
  <si>
    <t>9024</t>
  </si>
  <si>
    <t>1b3pH_lN2UTJ9Qx9MVtva7n5UrMNz_mYp</t>
  </si>
  <si>
    <t>https://drive.google.com/file/d/1b3pH_lN2UTJ9Qx9MVtva7n5UrMNz_mYp/view?usp=drivesdk</t>
  </si>
  <si>
    <t>Document successfully created; Document successfully merged; PDF created; Emails Sent: [To: edihkusyadi@gmail.com]; Manually run by ecertificate75@gmail.com; Timestamp: Sep 9 2024 9:43 AM</t>
  </si>
  <si>
    <t xml:space="preserve">Ahmad Lutfi, S.I.Kom </t>
  </si>
  <si>
    <t>ahmad.lutfi00786@gmail.com</t>
  </si>
  <si>
    <t>9025</t>
  </si>
  <si>
    <t>1wC2EjV_8U_NHxj8TzjaiZsbTVD4Uj7OJ</t>
  </si>
  <si>
    <t>https://drive.google.com/file/d/1wC2EjV_8U_NHxj8TzjaiZsbTVD4Uj7OJ/view?usp=drivesdk</t>
  </si>
  <si>
    <t>Document successfully created; Document successfully merged; PDF created; Emails Sent: [To: ahmad.lutfi00786@gmail.com]; Manually run by ecertificate75@gmail.com; Timestamp: Sep 9 2024 9:43 AM</t>
  </si>
  <si>
    <t>NOFLIN AMD KEP</t>
  </si>
  <si>
    <t>noflinsaudale@gmail.com</t>
  </si>
  <si>
    <t>9026</t>
  </si>
  <si>
    <t>1Ib6jCdX59RP_MXF8aS0gspllZswFOtPM</t>
  </si>
  <si>
    <t>https://drive.google.com/file/d/1Ib6jCdX59RP_MXF8aS0gspllZswFOtPM/view?usp=drivesdk</t>
  </si>
  <si>
    <t>Document successfully created; Document successfully merged; PDF created; Emails Sent: [To: noflinsaudale@gmail.com]; Manually run by ecertificate75@gmail.com; Timestamp: Sep 9 2024 9:44 AM</t>
  </si>
  <si>
    <t>YANIZAR</t>
  </si>
  <si>
    <t>yanizarpamobvit.kalbar67@gmail.com</t>
  </si>
  <si>
    <t>9027</t>
  </si>
  <si>
    <t>1lvxfsh9cPC0NasEelLDNhxAMf1gobrLq</t>
  </si>
  <si>
    <t>https://drive.google.com/file/d/1lvxfsh9cPC0NasEelLDNhxAMf1gobrLq/view?usp=drivesdk</t>
  </si>
  <si>
    <t>Document successfully created; Document successfully merged; PDF created; Emails Sent: [To: yanizarpamobvit.kalbar67@gmail.com]; Manually run by ecertificate75@gmail.com; Timestamp: Sep 9 2024 9:44 AM</t>
  </si>
  <si>
    <t>NURLELA ANDRIANI</t>
  </si>
  <si>
    <t>lelaandriani776@gmail.com</t>
  </si>
  <si>
    <t>9028</t>
  </si>
  <si>
    <t>1fycOQ5sIGR1FG-JH80b72ZizBHzqjbye</t>
  </si>
  <si>
    <t>https://drive.google.com/file/d/1fycOQ5sIGR1FG-JH80b72ZizBHzqjbye/view?usp=drivesdk</t>
  </si>
  <si>
    <t>Document successfully created; Document successfully merged; PDF created; Emails Sent: [To: lelaandriani776@gmail.com]; Manually run by ecertificate75@gmail.com; Timestamp: Sep 9 2024 9:44 AM</t>
  </si>
  <si>
    <t xml:space="preserve">SASRI NOLA SUGESTY </t>
  </si>
  <si>
    <t>sasrinolasugesty@gmail.com</t>
  </si>
  <si>
    <t>9029</t>
  </si>
  <si>
    <t>1f8T_q4wiaQ__EjYb1wdtZt9B7uSHxE-f</t>
  </si>
  <si>
    <t>https://drive.google.com/file/d/1f8T_q4wiaQ__EjYb1wdtZt9B7uSHxE-f/view?usp=drivesdk</t>
  </si>
  <si>
    <t>Document successfully created; Document successfully merged; PDF created; Emails Sent: [To: sasrinolasugesty@gmail.com]; Manually run by ecertificate75@gmail.com; Timestamp: Sep 9 2024 9:44 AM</t>
  </si>
  <si>
    <t>Rosi Nur Laila, AMd.Keb</t>
  </si>
  <si>
    <t>rosinur33@gmail.com</t>
  </si>
  <si>
    <t>9030</t>
  </si>
  <si>
    <t>1x-nwAX_ijwFlfnoyH3-evAzHiAotOsNg</t>
  </si>
  <si>
    <t>https://drive.google.com/file/d/1x-nwAX_ijwFlfnoyH3-evAzHiAotOsNg/view?usp=drivesdk</t>
  </si>
  <si>
    <t>Document successfully created; Document successfully merged; PDF created; Emails Sent: [To: rosinur33@gmail.com]; Manually run by ecertificate75@gmail.com; Timestamp: Sep 9 2024 9:45 AM</t>
  </si>
  <si>
    <t>ZULIFANDRO DHARMA PURBA, A.Md.</t>
  </si>
  <si>
    <t>zulidharma.purba@gmail.com</t>
  </si>
  <si>
    <t>9031</t>
  </si>
  <si>
    <t>1ZH3xWb0dwaOvy-KGNSSFv8kUOf_9Ec5m</t>
  </si>
  <si>
    <t>https://drive.google.com/file/d/1ZH3xWb0dwaOvy-KGNSSFv8kUOf_9Ec5m/view?usp=drivesdk</t>
  </si>
  <si>
    <t>Document successfully created; Document successfully merged; PDF created; Emails Sent: [To: zulidharma.purba@gmail.com]; Manually run by ecertificate75@gmail.com; Timestamp: Sep 9 2024 9:45 AM</t>
  </si>
  <si>
    <t>DWI MUJI RAHAYU</t>
  </si>
  <si>
    <t>dwimujirahayu58@gmail.com</t>
  </si>
  <si>
    <t>9032</t>
  </si>
  <si>
    <t>14t-ZVbKc3u_pXi2hBLrHJURfpJf__CCS</t>
  </si>
  <si>
    <t>https://drive.google.com/file/d/14t-ZVbKc3u_pXi2hBLrHJURfpJf__CCS/view?usp=drivesdk</t>
  </si>
  <si>
    <t>Document successfully created; Document successfully merged; PDF created; Emails Sent: [To: dwimujirahayu58@gmail.com]; Manually run by ecertificate75@gmail.com; Timestamp: Sep 9 2024 9:45 AM</t>
  </si>
  <si>
    <t>BAMBANG SUHARJA, S.T.</t>
  </si>
  <si>
    <t>bambangeny69@gmail.com</t>
  </si>
  <si>
    <t>9033</t>
  </si>
  <si>
    <t>1x_-lcduVUKIH_h_rLwOgMFDOqWsNXAL0</t>
  </si>
  <si>
    <t>https://drive.google.com/file/d/1x_-lcduVUKIH_h_rLwOgMFDOqWsNXAL0/view?usp=drivesdk</t>
  </si>
  <si>
    <t>Document successfully created; Document successfully merged; PDF created; Emails Sent: [To: bambangeny69@gmail.com]; Manually run by ecertificate75@gmail.com; Timestamp: Sep 9 2024 9:45 AM</t>
  </si>
  <si>
    <t>ERI KARTIKA, A.Md</t>
  </si>
  <si>
    <t>sailorjupiter.2211@gmail.com</t>
  </si>
  <si>
    <t>9034</t>
  </si>
  <si>
    <t>1-RDyrmNK2tRs0xut119PJ69QOT59_FAP</t>
  </si>
  <si>
    <t>https://drive.google.com/file/d/1-RDyrmNK2tRs0xut119PJ69QOT59_FAP/view?usp=drivesdk</t>
  </si>
  <si>
    <t>Document successfully created; Document successfully merged; PDF created; Emails Sent: [To: sailorjupiter.2211@gmail.com]; Manually run by ecertificate75@gmail.com; Timestamp: Sep 9 2024 9:46 AM</t>
  </si>
  <si>
    <t>EKO HENDRA CIPTA</t>
  </si>
  <si>
    <t>ekohendracipta@gmail.com</t>
  </si>
  <si>
    <t>9035</t>
  </si>
  <si>
    <t>1m8y8prWDrZj9ZfiIN6eAZjB7BLlp10Sw</t>
  </si>
  <si>
    <t>https://drive.google.com/file/d/1m8y8prWDrZj9ZfiIN6eAZjB7BLlp10Sw/view?usp=drivesdk</t>
  </si>
  <si>
    <t>Document successfully created; Document successfully merged; PDF created; Emails Sent: [To: ekohendracipta@gmail.com]; Manually run by ecertificate75@gmail.com; Timestamp: Sep 9 2024 9:46 AM</t>
  </si>
  <si>
    <t>pradhityofatta@gmail.com</t>
  </si>
  <si>
    <t>9036</t>
  </si>
  <si>
    <t>10qDoC7yoNOXwS2pJUinvbZWfraJ1nzwF</t>
  </si>
  <si>
    <t>https://drive.google.com/file/d/10qDoC7yoNOXwS2pJUinvbZWfraJ1nzwF/view?usp=drivesdk</t>
  </si>
  <si>
    <t>Document successfully created; Document successfully merged; PDF created; Emails Sent: [To: pradhityofatta@gmail.com]; Manually run by ecertificate75@gmail.com; Timestamp: Sep 9 2024 9:46 AM</t>
  </si>
  <si>
    <t>MULATIFAH</t>
  </si>
  <si>
    <t>mulatifah8@gmail.com</t>
  </si>
  <si>
    <t>9037</t>
  </si>
  <si>
    <t>1T-X5aaCCj725mckjuw5niMI_aRj8JfEA</t>
  </si>
  <si>
    <t>https://drive.google.com/file/d/1T-X5aaCCj725mckjuw5niMI_aRj8JfEA/view?usp=drivesdk</t>
  </si>
  <si>
    <t>Document successfully created; Document successfully merged; PDF created; Emails Sent: [To: mulatifah8@gmail.com]; Manually run by ecertificate75@gmail.com; Timestamp: Sep 9 2024 9:46 AM</t>
  </si>
  <si>
    <t>ABDUL AZIS</t>
  </si>
  <si>
    <t>azisabdulah5758@gmail.com</t>
  </si>
  <si>
    <t>9038</t>
  </si>
  <si>
    <t>1Ixnc6RsBbnT9xO5Lxpd_x8IESxdfgDLN</t>
  </si>
  <si>
    <t>https://drive.google.com/file/d/1Ixnc6RsBbnT9xO5Lxpd_x8IESxdfgDLN/view?usp=drivesdk</t>
  </si>
  <si>
    <t>Document successfully created; Document successfully merged; PDF created; Emails Sent: [To: azisabdulah5758@gmail.com]; Manually run by ecertificate75@gmail.com; Timestamp: Sep 9 2024 9:47 AM</t>
  </si>
  <si>
    <t>MAGDALENA MARDIANI MANURUNG, SKM</t>
  </si>
  <si>
    <t>dianmanurungg@gmail.com</t>
  </si>
  <si>
    <t>9039</t>
  </si>
  <si>
    <t>1QN-gAEOYQOUtlMLuqkEKG9wDt3NE_YQY</t>
  </si>
  <si>
    <t>https://drive.google.com/file/d/1QN-gAEOYQOUtlMLuqkEKG9wDt3NE_YQY/view?usp=drivesdk</t>
  </si>
  <si>
    <t>Document successfully created; Document successfully merged; PDF created; Emails Sent: [To: dianmanurungg@gmail.com]; Manually run by ecertificate75@gmail.com; Timestamp: Sep 9 2024 9:47 AM</t>
  </si>
  <si>
    <t>HARYADI ICHSAN, S.Kom</t>
  </si>
  <si>
    <t>hichsan@gmail.com</t>
  </si>
  <si>
    <t>9040</t>
  </si>
  <si>
    <t>1HHx-qdFIyn2TI_qVtgwtbbjqVqAxQia9</t>
  </si>
  <si>
    <t>https://drive.google.com/file/d/1HHx-qdFIyn2TI_qVtgwtbbjqVqAxQia9/view?usp=drivesdk</t>
  </si>
  <si>
    <t>Document successfully created; Document successfully merged; PDF created; Emails Sent: [To: hichsan@gmail.com]; Manually run by ecertificate75@gmail.com; Timestamp: Sep 9 2024 9:47 AM</t>
  </si>
  <si>
    <t>PITRIA AGUSTINA, S.M</t>
  </si>
  <si>
    <t>fitriafadli81@gmail.com</t>
  </si>
  <si>
    <t>9041</t>
  </si>
  <si>
    <t>1uksfAUD7m9Ms8YjI9bftDHY4VsPAGF7g</t>
  </si>
  <si>
    <t>https://drive.google.com/file/d/1uksfAUD7m9Ms8YjI9bftDHY4VsPAGF7g/view?usp=drivesdk</t>
  </si>
  <si>
    <t>Document successfully created; Document successfully merged; PDF created; Emails Sent: [To: fitriafadli81@gmail.com]; Manually run by ecertificate75@gmail.com; Timestamp: Sep 9 2024 9:47 AM</t>
  </si>
  <si>
    <t>Septi Ryana Andaresta</t>
  </si>
  <si>
    <t>sptandaresta@gmail.com</t>
  </si>
  <si>
    <t>9042</t>
  </si>
  <si>
    <t>1agprY4Bj5twsjbODaZzWYuVuiGd5T_94</t>
  </si>
  <si>
    <t>https://drive.google.com/file/d/1agprY4Bj5twsjbODaZzWYuVuiGd5T_94/view?usp=drivesdk</t>
  </si>
  <si>
    <t>ANNISA ISTIQOMAH, A.Md. Kep</t>
  </si>
  <si>
    <t>annisaistiqomah09@gmail.com</t>
  </si>
  <si>
    <t>9043</t>
  </si>
  <si>
    <t>1duhdA1h-ID5LjHQmCx_D-nZI-TyIWd-Q</t>
  </si>
  <si>
    <t>https://drive.google.com/file/d/1duhdA1h-ID5LjHQmCx_D-nZI-TyIWd-Q/view?usp=drivesdk</t>
  </si>
  <si>
    <t>ALASTA TARIGAN</t>
  </si>
  <si>
    <t>alastatarigan@gmail.com</t>
  </si>
  <si>
    <t>9044</t>
  </si>
  <si>
    <t>1ovm6Eygydh03d0AU1Sbodia6loROuERo</t>
  </si>
  <si>
    <t>https://drive.google.com/file/d/1ovm6Eygydh03d0AU1Sbodia6loROuERo/view?usp=drivesdk</t>
  </si>
  <si>
    <t>Document successfully created; Document successfully merged; PDF created; !!Error Sending Emails: Service invoked too many times for one day: email.; Manually run by ecertificate75@gmail.com; Timestamp: Sep 10 2024 10:29 AM</t>
  </si>
  <si>
    <t>ISNAINI DAMAYANTI</t>
  </si>
  <si>
    <t>isnainid67@gmail.com</t>
  </si>
  <si>
    <t>9045</t>
  </si>
  <si>
    <t>1fjGd-qGykAJIFNk37P3Y8B5DkB6bFJU8</t>
  </si>
  <si>
    <t>https://drive.google.com/file/d/1fjGd-qGykAJIFNk37P3Y8B5DkB6bFJU8/view?usp=drivesdk</t>
  </si>
  <si>
    <t xml:space="preserve">TIO MARIANA </t>
  </si>
  <si>
    <t>tiomariana123@gmail.com</t>
  </si>
  <si>
    <t>9046</t>
  </si>
  <si>
    <t>1qQCKfIk0O8b7xVrKzvr5IzPB8PXikMt5</t>
  </si>
  <si>
    <t>https://drive.google.com/file/d/1qQCKfIk0O8b7xVrKzvr5IzPB8PXikMt5/view?usp=drivesdk</t>
  </si>
  <si>
    <t>hadisuryo1978@gmail.com</t>
  </si>
  <si>
    <t>9047</t>
  </si>
  <si>
    <t>1hAC40M1wHjO9aaNEVEb8meSKxr0k3uQ-</t>
  </si>
  <si>
    <t>https://drive.google.com/file/d/1hAC40M1wHjO9aaNEVEb8meSKxr0k3uQ-/view?usp=drivesdk</t>
  </si>
  <si>
    <t>ADENAN</t>
  </si>
  <si>
    <t>adenan75@gmail.com</t>
  </si>
  <si>
    <t>9048</t>
  </si>
  <si>
    <t>Starting at Thu Aug 29 2024 23:15:47 GMT-0400 (EDT)</t>
  </si>
  <si>
    <t>1XbFP3jD3bcp6xWAF1NDCTAEeiTBsvJuB</t>
  </si>
  <si>
    <t>https://drive.google.com/file/d/1XbFP3jD3bcp6xWAF1NDCTAEeiTBsvJuB/view?usp=drivesdk</t>
  </si>
  <si>
    <t>DARIUS</t>
  </si>
  <si>
    <t>darius.tnj66@gmail.com</t>
  </si>
  <si>
    <t>9049</t>
  </si>
  <si>
    <t>Starting at Thu Aug 29 2024 23:15:50 GMT-0400 (EDT)</t>
  </si>
  <si>
    <t>1zyFMqjyuSPG-kkvo7bu_fmLxJ64WQfyq</t>
  </si>
  <si>
    <t>https://drive.google.com/file/d/1zyFMqjyuSPG-kkvo7bu_fmLxJ64WQfyq/view?usp=drivesdk</t>
  </si>
  <si>
    <t>Document successfully created; Document successfully merged; PDF created; !!Error Sending Emails: Service invoked too many times for one day: email.; Manually run by ecertificate75@gmail.com; Timestamp: Sep 10 2024 10:30 AM</t>
  </si>
  <si>
    <t>joko0221js1977@gmail.com</t>
  </si>
  <si>
    <t>9050</t>
  </si>
  <si>
    <t>Starting at Thu Aug 29 2024 23:15:55 GMT-0400 (EDT)</t>
  </si>
  <si>
    <t>1uhzqawluHzTnnE4nHFkwBBs_HnbATBQJ</t>
  </si>
  <si>
    <t>https://drive.google.com/file/d/1uhzqawluHzTnnE4nHFkwBBs_HnbATBQJ/view?usp=drivesdk</t>
  </si>
  <si>
    <t>TRIONO, S.E.</t>
  </si>
  <si>
    <t>trionoakpol@gmail.com</t>
  </si>
  <si>
    <t>9051</t>
  </si>
  <si>
    <t>Starting at Thu Aug 29 2024 23:16:02 GMT-0400 (EDT)</t>
  </si>
  <si>
    <t>1BIT6HI68PHCNqhjra2oH3auiHzrQ0Dr_</t>
  </si>
  <si>
    <t>https://drive.google.com/file/d/1BIT6HI68PHCNqhjra2oH3auiHzrQ0Dr_/view?usp=drivesdk</t>
  </si>
  <si>
    <t>haryantosumda@gmail.com</t>
  </si>
  <si>
    <t>9052</t>
  </si>
  <si>
    <t>Starting at Thu Aug 29 2024 23:16:10 GMT-0400 (EDT)</t>
  </si>
  <si>
    <t>1X5c2JPIHpWRqDCcs96_6HMPGWZw7EAkT</t>
  </si>
  <si>
    <t>https://drive.google.com/file/d/1X5c2JPIHpWRqDCcs96_6HMPGWZw7EAkT/view?usp=drivesdk</t>
  </si>
  <si>
    <t>MINARIA SIAHAAN AMR.</t>
  </si>
  <si>
    <t>minaria.siahaan24@gmail.com</t>
  </si>
  <si>
    <t>9053</t>
  </si>
  <si>
    <t>Starting at Thu Aug 29 2024 23:16:18 GMT-0400 (EDT)</t>
  </si>
  <si>
    <t>1AnPMpdlCEmeRFJEZxtTynzO--E6qgUFB</t>
  </si>
  <si>
    <t>https://drive.google.com/file/d/1AnPMpdlCEmeRFJEZxtTynzO--E6qgUFB/view?usp=drivesdk</t>
  </si>
  <si>
    <t>Document successfully created; Document successfully merged; PDF created; !!Error Sending Emails: Service invoked too many times for one day: email.; Manually run by ecertificate75@gmail.com; Timestamp: Sep 10 2024 10:31 AM</t>
  </si>
  <si>
    <t>DERRY FAIZAL, A.Md.</t>
  </si>
  <si>
    <t>derryfaizal9@gmail.com</t>
  </si>
  <si>
    <t>9054</t>
  </si>
  <si>
    <t>1qu4nOG_zwQ9MG29rdjIdN-VE2chj8Vbt</t>
  </si>
  <si>
    <t>https://drive.google.com/file/d/1qu4nOG_zwQ9MG29rdjIdN-VE2chj8Vbt/view?usp=drivesdk</t>
  </si>
  <si>
    <t>BASRIYANTO</t>
  </si>
  <si>
    <t>basribkl@gmail.com</t>
  </si>
  <si>
    <t>9055</t>
  </si>
  <si>
    <t>Starting at Thu Aug 29 2024 23:16:27 GMT-0400 (EDT)</t>
  </si>
  <si>
    <t>134aftjCWRRp9Qb3B9XEL3KSJbJdY0KR7</t>
  </si>
  <si>
    <t>https://drive.google.com/file/d/134aftjCWRRp9Qb3B9XEL3KSJbJdY0KR7/view?usp=drivesdk</t>
  </si>
  <si>
    <t>UDIN SAPRUDIN</t>
  </si>
  <si>
    <t>asliorangkuningan@gmail.com</t>
  </si>
  <si>
    <t>9056</t>
  </si>
  <si>
    <t>Starting at Thu Aug 29 2024 23:16:29 GMT-0400 (EDT)</t>
  </si>
  <si>
    <t>1T59FBCYebe5ztDrUumzcWbcBgds20kkC</t>
  </si>
  <si>
    <t>https://drive.google.com/file/d/1T59FBCYebe5ztDrUumzcWbcBgds20kkC/view?usp=drivesdk</t>
  </si>
  <si>
    <t>ERIK PUSPITA SARI</t>
  </si>
  <si>
    <t>erikpuspita7799@gmail.com</t>
  </si>
  <si>
    <t>9057</t>
  </si>
  <si>
    <t>Starting at Thu Aug 29 2024 23:16:33 GMT-0400 (EDT)</t>
  </si>
  <si>
    <t>1busYYbtOZPMLgRIGWck1LsfLI2q4Z_L5</t>
  </si>
  <si>
    <t>https://drive.google.com/file/d/1busYYbtOZPMLgRIGWck1LsfLI2q4Z_L5/view?usp=drivesdk</t>
  </si>
  <si>
    <t>PNS SANTO</t>
  </si>
  <si>
    <t>santocerme@gmail.com</t>
  </si>
  <si>
    <t>9058</t>
  </si>
  <si>
    <t>1vnIruCc0S9YL881EaL2cQ5HgeAbO74gl</t>
  </si>
  <si>
    <t>https://drive.google.com/file/d/1vnIruCc0S9YL881EaL2cQ5HgeAbO74gl/view?usp=drivesdk</t>
  </si>
  <si>
    <t>Document successfully created; Document successfully merged; PDF created; !!Error Sending Emails: Service invoked too many times for one day: email.; Manually run by ecertificate75@gmail.com; Timestamp: Sep 10 2024 10:32 AM</t>
  </si>
  <si>
    <t>I WAYAN MUDASTRA</t>
  </si>
  <si>
    <t>wayanmudastra1968@gmail.com</t>
  </si>
  <si>
    <t>9059</t>
  </si>
  <si>
    <t>Starting at Thu Aug 29 2024 23:16:38 GMT-0400 (EDT)</t>
  </si>
  <si>
    <t>1Kmmr8vxq05RmKPlgaTAuEs9FoJIb-Bmi</t>
  </si>
  <si>
    <t>https://drive.google.com/file/d/1Kmmr8vxq05RmKPlgaTAuEs9FoJIb-Bmi/view?usp=drivesdk</t>
  </si>
  <si>
    <t>HERI SETYONO</t>
  </si>
  <si>
    <t>setyonoheri712@gmail.com</t>
  </si>
  <si>
    <t>9060</t>
  </si>
  <si>
    <t>1r8BOw5lk376G7_Xn7D3xOXqVFykjFobM</t>
  </si>
  <si>
    <t>https://drive.google.com/file/d/1r8BOw5lk376G7_Xn7D3xOXqVFykjFobM/view?usp=drivesdk</t>
  </si>
  <si>
    <t xml:space="preserve">HENDI SUKOCO, S. Hum. </t>
  </si>
  <si>
    <t>h3ndys@gmail.com</t>
  </si>
  <si>
    <t>9061</t>
  </si>
  <si>
    <t>Starting at Thu Aug 29 2024 23:17:03 GMT-0400 (EDT)</t>
  </si>
  <si>
    <t>1GcX4frV9UptUtCBwzPXizbM29-PnjiiF</t>
  </si>
  <si>
    <t>https://drive.google.com/file/d/1GcX4frV9UptUtCBwzPXizbM29-PnjiiF/view?usp=drivesdk</t>
  </si>
  <si>
    <t>ANI SULISTIOWATI</t>
  </si>
  <si>
    <t>asulistiowati147@gmail.com</t>
  </si>
  <si>
    <t>9062</t>
  </si>
  <si>
    <t>18UKLJ0jzXcNsYQN_5YEw539zg2-701TU</t>
  </si>
  <si>
    <t>https://drive.google.com/file/d/18UKLJ0jzXcNsYQN_5YEw539zg2-701TU/view?usp=drivesdk</t>
  </si>
  <si>
    <t>Document successfully created; Document successfully merged; PDF created; !!Error Sending Emails: Service invoked too many times for one day: email.; Manually run by ecertificate75@gmail.com; Timestamp: Sep 10 2024 10:33 AM</t>
  </si>
  <si>
    <t>drg. INTARTININGSIH</t>
  </si>
  <si>
    <t>iin.santoso2@gmail.com</t>
  </si>
  <si>
    <t>9063</t>
  </si>
  <si>
    <t>1XwBhiZivntdExw0WAmrXR6kOsp8-3M12</t>
  </si>
  <si>
    <t>https://drive.google.com/file/d/1XwBhiZivntdExw0WAmrXR6kOsp8-3M12/view?usp=drivesdk</t>
  </si>
  <si>
    <t xml:space="preserve">NUR WAHYUDI </t>
  </si>
  <si>
    <t>irsyadtamam@gmail.com</t>
  </si>
  <si>
    <t>9064</t>
  </si>
  <si>
    <t>13DLnmBqsQw7XuW8onKSP1VMHIoS1MhE0</t>
  </si>
  <si>
    <t>https://drive.google.com/file/d/13DLnmBqsQw7XuW8onKSP1VMHIoS1MhE0/view?usp=drivesdk</t>
  </si>
  <si>
    <t xml:space="preserve">FABIAN DWARA HENDRA ADI </t>
  </si>
  <si>
    <t>bianakpol@gmail.com</t>
  </si>
  <si>
    <t>9065</t>
  </si>
  <si>
    <t>1Wf9KebKE2K7apr17fySgtFmN-4nm-wIy</t>
  </si>
  <si>
    <t>https://drive.google.com/file/d/1Wf9KebKE2K7apr17fySgtFmN-4nm-wIy/view?usp=drivesdk</t>
  </si>
  <si>
    <t>VICY DIANTO, S.KOM</t>
  </si>
  <si>
    <t>vicydianto@gmail.com</t>
  </si>
  <si>
    <t>9066</t>
  </si>
  <si>
    <t>1KuVb32yDYZ_9GAcf5dm7659eVryD6arZ</t>
  </si>
  <si>
    <t>https://drive.google.com/file/d/1KuVb32yDYZ_9GAcf5dm7659eVryD6arZ/view?usp=drivesdk</t>
  </si>
  <si>
    <t>MUHAMMAD SUAEB SUNUSI, S.AG.</t>
  </si>
  <si>
    <t>suaibsunusi74@gmail.com</t>
  </si>
  <si>
    <t>9067</t>
  </si>
  <si>
    <t>Starting at Thu Aug 29 2024 23:17:21 GMT-0400 (EDT)</t>
  </si>
  <si>
    <t>1FFH1TeODorkHqAszk0q-XsdpRFCph5r3</t>
  </si>
  <si>
    <t>https://drive.google.com/file/d/1FFH1TeODorkHqAszk0q-XsdpRFCph5r3/view?usp=drivesdk</t>
  </si>
  <si>
    <t>Document successfully created; Document successfully merged; PDF created; !!Error Sending Emails: Service invoked too many times for one day: email.; Manually run by ecertificate75@gmail.com; Timestamp: Sep 10 2024 10:34 AM</t>
  </si>
  <si>
    <t>RAHMAWATY MARPAUNG</t>
  </si>
  <si>
    <t>rahmawatymrp@gmail.com</t>
  </si>
  <si>
    <t>9068</t>
  </si>
  <si>
    <t>Starting at Thu Aug 29 2024 23:17:30 GMT-0400 (EDT)</t>
  </si>
  <si>
    <t>1bXicCWTXNqpSyPQuMFIyZi3ac0k1nDJD</t>
  </si>
  <si>
    <t>https://drive.google.com/file/d/1bXicCWTXNqpSyPQuMFIyZi3ac0k1nDJD/view?usp=drivesdk</t>
  </si>
  <si>
    <t>EMILDA</t>
  </si>
  <si>
    <t>shoppingh828@gmail.com</t>
  </si>
  <si>
    <t>9069</t>
  </si>
  <si>
    <t>1pnK_kJVdGZgFIgPqYnNGgh4Hvgv-tabJ</t>
  </si>
  <si>
    <t>https://drive.google.com/file/d/1pnK_kJVdGZgFIgPqYnNGgh4Hvgv-tabJ/view?usp=drivesdk</t>
  </si>
  <si>
    <t>PERATEWI</t>
  </si>
  <si>
    <t>pperatewi@gmail.com</t>
  </si>
  <si>
    <t>9070</t>
  </si>
  <si>
    <t>Starting at Thu Aug 29 2024 23:17:43 GMT-0400 (EDT)</t>
  </si>
  <si>
    <t>1xcYOboJ8Y__Kw_oZbYIPG_6WJz_OOXbS</t>
  </si>
  <si>
    <t>https://drive.google.com/file/d/1xcYOboJ8Y__Kw_oZbYIPG_6WJz_OOXbS/view?usp=drivesdk</t>
  </si>
  <si>
    <t>Document successfully created; Document successfully merged; PDF created; Emails Sent: [To: pperatewi@gmail.com]; Manually run by ecertificate75@gmail.com; Timestamp: Sep 10 2024 10:35 AM</t>
  </si>
  <si>
    <t>AHMAD ROHIYAT</t>
  </si>
  <si>
    <t>fiathifahnara74@gmail.com</t>
  </si>
  <si>
    <t>9071</t>
  </si>
  <si>
    <t>1I24qX8PBhjZXiusO0quca7JEITHFy4te</t>
  </si>
  <si>
    <t>https://drive.google.com/file/d/1I24qX8PBhjZXiusO0quca7JEITHFy4te/view?usp=drivesdk</t>
  </si>
  <si>
    <t>Document successfully created; Document successfully merged; PDF created; !!Error Sending Emails: Service invoked too many times for one day: email.; Manually run by ecertificate75@gmail.com; Timestamp: Sep 10 2024 10:35 AM</t>
  </si>
  <si>
    <t>VERA OKTAVIA,S.sos</t>
  </si>
  <si>
    <t>oktavera728@gmail.com</t>
  </si>
  <si>
    <t>9072</t>
  </si>
  <si>
    <t>1TgTyimK4bKzT0z4dxtzmAbl5EayayYXH</t>
  </si>
  <si>
    <t>https://drive.google.com/file/d/1TgTyimK4bKzT0z4dxtzmAbl5EayayYXH/view?usp=drivesdk</t>
  </si>
  <si>
    <t>WAGINAH</t>
  </si>
  <si>
    <t>gina507.jambi@gmail.com</t>
  </si>
  <si>
    <t>9073</t>
  </si>
  <si>
    <t>Starting at Thu Aug 29 2024 23:17:57 GMT-0400 (EDT)</t>
  </si>
  <si>
    <t>1UA-0VJUNbbQWvVGOTWiM7Y4W6zeF4uB_</t>
  </si>
  <si>
    <t>https://drive.google.com/file/d/1UA-0VJUNbbQWvVGOTWiM7Y4W6zeF4uB_/view?usp=drivesdk</t>
  </si>
  <si>
    <t>LUIS EKATISKAYUNITA S.Kom</t>
  </si>
  <si>
    <t>luisekatiskayunita1102@gmail.com</t>
  </si>
  <si>
    <t>9074</t>
  </si>
  <si>
    <t>1vrIMhf5Koh3peHwKp20KXH3_gqv0GFrH</t>
  </si>
  <si>
    <t>https://drive.google.com/file/d/1vrIMhf5Koh3peHwKp20KXH3_gqv0GFrH/view?usp=drivesdk</t>
  </si>
  <si>
    <t>ASTRID ANNISA, S.E., M.E.</t>
  </si>
  <si>
    <t>astridhasta@gmail.com</t>
  </si>
  <si>
    <t>9075</t>
  </si>
  <si>
    <t>16j9Z6voINrhFdtB8TwJxvqRul-mIYip8</t>
  </si>
  <si>
    <t>https://drive.google.com/file/d/16j9Z6voINrhFdtB8TwJxvqRul-mIYip8/view?usp=drivesdk</t>
  </si>
  <si>
    <t>Document successfully created; Document successfully merged; PDF created; !!Error Sending Emails: Service invoked too many times for one day: email.; Manually run by ecertificate75@gmail.com; Timestamp: Sep 10 2024 10:36 AM</t>
  </si>
  <si>
    <t>ADITYA ARIE WIBOWO, SE</t>
  </si>
  <si>
    <t>taudden@gmail.com</t>
  </si>
  <si>
    <t>9076</t>
  </si>
  <si>
    <t>1yBF72gi6I0t3jF_fF3g2KY9C4Fvc_RUp</t>
  </si>
  <si>
    <t>https://drive.google.com/file/d/1yBF72gi6I0t3jF_fF3g2KY9C4Fvc_RUp/view?usp=drivesdk</t>
  </si>
  <si>
    <t>HENNY HARTANTY</t>
  </si>
  <si>
    <t>hennyiskandar77@gmail.com</t>
  </si>
  <si>
    <t>9077</t>
  </si>
  <si>
    <t>Starting at Thu Aug 29 2024 23:18:10 GMT-0400 (EDT)</t>
  </si>
  <si>
    <t>1IJgjrm5RcBrKVbeSdlvFmX-JIZgRS2KO</t>
  </si>
  <si>
    <t>https://drive.google.com/file/d/1IJgjrm5RcBrKVbeSdlvFmX-JIZgRS2KO/view?usp=drivesdk</t>
  </si>
  <si>
    <t>drh Grace Tabitha Tenggi Olihta</t>
  </si>
  <si>
    <t>simatupang.grace.30@gmail.com</t>
  </si>
  <si>
    <t>9078</t>
  </si>
  <si>
    <t>Starting at Thu Aug 29 2024 23:18:15 GMT-0400 (EDT)</t>
  </si>
  <si>
    <t>1hwhn_fgl5x7YDE1L2A8tJpuDl6tRt-VL</t>
  </si>
  <si>
    <t>https://drive.google.com/file/d/1hwhn_fgl5x7YDE1L2A8tJpuDl6tRt-VL/view?usp=drivesdk</t>
  </si>
  <si>
    <t>Document successfully created; Document successfully merged; PDF created; !!Error Sending Emails: Service invoked too many times for one day: email.; Manually run by ecertificate75@gmail.com; Timestamp: Sep 10 2024 10:37 AM</t>
  </si>
  <si>
    <t>BAYU DWI ARDI WIDODO</t>
  </si>
  <si>
    <t>bangbay.bd@gmail.com</t>
  </si>
  <si>
    <t>9079</t>
  </si>
  <si>
    <t>Starting at Thu Aug 29 2024 23:18:22 GMT-0400 (EDT)</t>
  </si>
  <si>
    <t>1Y7R_SLd8ygLd0gzepyCY88hCQ7KN3RkW</t>
  </si>
  <si>
    <t>https://drive.google.com/file/d/1Y7R_SLd8ygLd0gzepyCY88hCQ7KN3RkW/view?usp=drivesdk</t>
  </si>
  <si>
    <t>GUSTI AYU WATI DIANTARI</t>
  </si>
  <si>
    <t>igstayuwati68@gmail.com</t>
  </si>
  <si>
    <t>9080</t>
  </si>
  <si>
    <t>1Ix3Z47A0GGsjGIX0OH9Ja63V9x1cxr1q</t>
  </si>
  <si>
    <t>https://drive.google.com/file/d/1Ix3Z47A0GGsjGIX0OH9Ja63V9x1cxr1q/view?usp=drivesdk</t>
  </si>
  <si>
    <t>9081</t>
  </si>
  <si>
    <t>Starting at Thu Aug 29 2024 23:18:26 GMT-0400 (EDT)</t>
  </si>
  <si>
    <t>1LOEmUeEc5zgAGFJCVUTs06zi43VlzXgj</t>
  </si>
  <si>
    <t>https://drive.google.com/file/d/1LOEmUeEc5zgAGFJCVUTs06zi43VlzXgj/view?usp=drivesdk</t>
  </si>
  <si>
    <t xml:space="preserve">RETNO PUDJI LESTARI, AMK </t>
  </si>
  <si>
    <t>retnop39@gmail.com</t>
  </si>
  <si>
    <t>9082</t>
  </si>
  <si>
    <t>Starting at Thu Aug 29 2024 23:18:31 GMT-0400 (EDT)</t>
  </si>
  <si>
    <t>1SEc6sLcWSgyv1VuQ0rXISDdQnXYGxiT5</t>
  </si>
  <si>
    <t>https://drive.google.com/file/d/1SEc6sLcWSgyv1VuQ0rXISDdQnXYGxiT5/view?usp=drivesdk</t>
  </si>
  <si>
    <t>Document successfully created; Document successfully merged; PDF created; !!Error Sending Emails: Service invoked too many times for one day: email.; Manually run by ecertificate75@gmail.com; Timestamp: Sep 10 2024 10:38 AM</t>
  </si>
  <si>
    <t>HERRY TRI HANDOKO</t>
  </si>
  <si>
    <t>masbeb01@gmail.com</t>
  </si>
  <si>
    <t>9083</t>
  </si>
  <si>
    <t>Starting at Thu Aug 29 2024 23:18:33 GMT-0400 (EDT)</t>
  </si>
  <si>
    <t>1NrZIqMBJK9IXgB-dig2GGeJF-svood_2</t>
  </si>
  <si>
    <t>https://drive.google.com/file/d/1NrZIqMBJK9IXgB-dig2GGeJF-svood_2/view?usp=drivesdk</t>
  </si>
  <si>
    <t>dr. DIEN SUSANDIENI WANUDYOJATI</t>
  </si>
  <si>
    <t>dieni.sulistyo@gmail.com</t>
  </si>
  <si>
    <t>9084</t>
  </si>
  <si>
    <t>1aW40L0cvFn3DzY4pQIU-q5JsyhAnjZP9</t>
  </si>
  <si>
    <t>https://drive.google.com/file/d/1aW40L0cvFn3DzY4pQIU-q5JsyhAnjZP9/view?usp=drivesdk</t>
  </si>
  <si>
    <t>DEDI MULYADI AMD AK</t>
  </si>
  <si>
    <t>dedimulyadi485@gmail.com</t>
  </si>
  <si>
    <t>9085</t>
  </si>
  <si>
    <t>Starting at Thu Aug 29 2024 23:18:48 GMT-0400 (EDT)</t>
  </si>
  <si>
    <t>1B_wTCeQ0yfpq62R1jJw2OUVIVSM7Se2D</t>
  </si>
  <si>
    <t>https://drive.google.com/file/d/1B_wTCeQ0yfpq62R1jJw2OUVIVSM7Se2D/view?usp=drivesdk</t>
  </si>
  <si>
    <t>SHYNTA</t>
  </si>
  <si>
    <t>atayasinta@gmail.com</t>
  </si>
  <si>
    <t>9086</t>
  </si>
  <si>
    <t>Starting at Thu Aug 29 2024 23:18:51 GMT-0400 (EDT)</t>
  </si>
  <si>
    <t>1mWiNL_0nABMPoxqZWpnYOxBTeTnwj6ul</t>
  </si>
  <si>
    <t>https://drive.google.com/file/d/1mWiNL_0nABMPoxqZWpnYOxBTeTnwj6ul/view?usp=drivesdk</t>
  </si>
  <si>
    <t>HERNINGTYAS PUSPA KUMALA, A.Md</t>
  </si>
  <si>
    <t>herningtyaspuspakumala@gmail.com</t>
  </si>
  <si>
    <t>9087</t>
  </si>
  <si>
    <t>Starting at Thu Aug 29 2024 23:19:23 GMT-0400 (EDT)</t>
  </si>
  <si>
    <t>1T0zcQN46khhXly2xU3NBD9EZGssVKDPn</t>
  </si>
  <si>
    <t>https://drive.google.com/file/d/1T0zcQN46khhXly2xU3NBD9EZGssVKDPn/view?usp=drivesdk</t>
  </si>
  <si>
    <t>Document successfully created; Document successfully merged; PDF created; !!Error Sending Emails: Service invoked too many times for one day: email.; Manually run by ecertificate75@gmail.com; Timestamp: Sep 10 2024 10:39 AM</t>
  </si>
  <si>
    <t>SHILVIA SOLVARINA, SKM</t>
  </si>
  <si>
    <t>solvarina@gmail.com</t>
  </si>
  <si>
    <t>9088</t>
  </si>
  <si>
    <t>11s075Utx5W4Hbet5uX_o6BjNai_JQ5YV</t>
  </si>
  <si>
    <t>https://drive.google.com/file/d/11s075Utx5W4Hbet5uX_o6BjNai_JQ5YV/view?usp=drivesdk</t>
  </si>
  <si>
    <t>Werawati. Popondo, s. Farm</t>
  </si>
  <si>
    <t>wpopondo@gmail.com</t>
  </si>
  <si>
    <t>9089</t>
  </si>
  <si>
    <t>Starting at Thu Aug 29 2024 23:19:46 GMT-0400 (EDT)</t>
  </si>
  <si>
    <t>1Ee_1cAV1UE-Fy76zwIL92vcs_87Rnp-G</t>
  </si>
  <si>
    <t>https://drive.google.com/file/d/1Ee_1cAV1UE-Fy76zwIL92vcs_87Rnp-G/view?usp=drivesdk</t>
  </si>
  <si>
    <t>SONAJI,AMF</t>
  </si>
  <si>
    <t>sonsonaji@gmail.com</t>
  </si>
  <si>
    <t>9090</t>
  </si>
  <si>
    <t>145h6Lgl1HRWIJrXU8bRoesrWqyTHDNwy</t>
  </si>
  <si>
    <t>https://drive.google.com/file/d/145h6Lgl1HRWIJrXU8bRoesrWqyTHDNwy/view?usp=drivesdk</t>
  </si>
  <si>
    <t>JUNAIDI,S.H</t>
  </si>
  <si>
    <t>junaidiedi1171@gmail.com</t>
  </si>
  <si>
    <t>9091</t>
  </si>
  <si>
    <t>1TwlWqcpfysfYDWN2kwlZxrFvONyANspC</t>
  </si>
  <si>
    <t>https://drive.google.com/file/d/1TwlWqcpfysfYDWN2kwlZxrFvONyANspC/view?usp=drivesdk</t>
  </si>
  <si>
    <t>RISNANINGSIH, AMK</t>
  </si>
  <si>
    <t>risnaningsih7711@gmail.com</t>
  </si>
  <si>
    <t>9092</t>
  </si>
  <si>
    <t>1cs7hUTcseN15cqWCZXSXAlG0wjOtiD20</t>
  </si>
  <si>
    <t>https://drive.google.com/file/d/1cs7hUTcseN15cqWCZXSXAlG0wjOtiD20/view?usp=drivesdk</t>
  </si>
  <si>
    <t>Document successfully created; Document successfully merged; PDF created; !!Error Sending Emails: Service invoked too many times for one day: email.; Manually run by ecertificate75@gmail.com; Timestamp: Sep 10 2024 10:40 AM</t>
  </si>
  <si>
    <t>drg. AKHMADI PRABOWO, MMRS</t>
  </si>
  <si>
    <t>akhmadi.prabowo@gmail.com</t>
  </si>
  <si>
    <t>9093</t>
  </si>
  <si>
    <t>1Iq0oGMxQNB8x7kVTkTmoQKONNiBY7sl7</t>
  </si>
  <si>
    <t>https://drive.google.com/file/d/1Iq0oGMxQNB8x7kVTkTmoQKONNiBY7sl7/view?usp=drivesdk</t>
  </si>
  <si>
    <t xml:space="preserve">DRA. MARJALENA </t>
  </si>
  <si>
    <t>marjalena0707@gmail.com</t>
  </si>
  <si>
    <t>9094</t>
  </si>
  <si>
    <t>Starting at Thu Aug 29 2024 23:20:02 GMT-0400 (EDT)</t>
  </si>
  <si>
    <t>19MNzH9ueHKPukwUMia-aQ4K8SJ1Woipa</t>
  </si>
  <si>
    <t>https://drive.google.com/file/d/19MNzH9ueHKPukwUMia-aQ4K8SJ1Woipa/view?usp=drivesdk</t>
  </si>
  <si>
    <t>Sundari.yanto1967@gmail.com</t>
  </si>
  <si>
    <t>9095</t>
  </si>
  <si>
    <t>1BXSChwGTwPogfiodegboOVQzh_F11X9o</t>
  </si>
  <si>
    <t>https://drive.google.com/file/d/1BXSChwGTwPogfiodegboOVQzh_F11X9o/view?usp=drivesdk</t>
  </si>
  <si>
    <t>Document successfully created; Document successfully merged; PDF created; Emails Sent: [To: Sundari.yanto1967@gmail.com]; Run via form trigger as ecertificate75@gmail.com; Timestamp: Sep 8 2024 8:12 PM</t>
  </si>
  <si>
    <t>EFVI APRIANTI, A.Md., S.Ak.</t>
  </si>
  <si>
    <t>efviaprianti@gmail.com</t>
  </si>
  <si>
    <t>9096</t>
  </si>
  <si>
    <t>Starting at Thu Aug 29 2024 23:20:15 GMT-0400 (EDT)</t>
  </si>
  <si>
    <t>1AjpCHMRKH5SJAMmJzfBjGLBgh9ncX1CW</t>
  </si>
  <si>
    <t>https://drive.google.com/file/d/1AjpCHMRKH5SJAMmJzfBjGLBgh9ncX1CW/view?usp=drivesdk</t>
  </si>
  <si>
    <t>Document successfully created; Document successfully merged; PDF created; Emails Sent: [To: efviaprianti@gmail.com]; Run via form trigger as ecertificate75@gmail.com; Timestamp: Sep 8 2024 8:12 PM</t>
  </si>
  <si>
    <t>MUHAMMAD HUSEN</t>
  </si>
  <si>
    <t>fafasefarafa@gmail.com</t>
  </si>
  <si>
    <t>9097</t>
  </si>
  <si>
    <t>1mlPFE_5yaiyS7CRLrRQgio3-NJsb-YKb</t>
  </si>
  <si>
    <t>https://drive.google.com/file/d/1mlPFE_5yaiyS7CRLrRQgio3-NJsb-YKb/view?usp=drivesdk</t>
  </si>
  <si>
    <t>Document successfully created; Document successfully merged; PDF created; Emails Sent: [To: fafasefarafa@gmail.com]; Run via form trigger as ecertificate75@gmail.com; Timestamp: Sep 8 2024 8:13 PM</t>
  </si>
  <si>
    <t>zahiraaliyah85@gmail.com</t>
  </si>
  <si>
    <t>9098</t>
  </si>
  <si>
    <t>17dHAveHmHmbBv9ZuvCiZohOtQ0t7kyL4</t>
  </si>
  <si>
    <t>https://drive.google.com/file/d/17dHAveHmHmbBv9ZuvCiZohOtQ0t7kyL4/view?usp=drivesdk</t>
  </si>
  <si>
    <t>Document successfully created; Document successfully merged; PDF created; Emails Sent: [To: zahiraaliyah85@gmail.com]; Run via form trigger as ecertificate75@gmail.com; Timestamp: Sep 8 2024 8:13 PM</t>
  </si>
  <si>
    <t>HERI SUSANTO, S.H., M.A.P.</t>
  </si>
  <si>
    <t>resprob@gmail.com</t>
  </si>
  <si>
    <t>9099</t>
  </si>
  <si>
    <t>Starting at Thu Aug 29 2024 23:20:22 GMT-0400 (EDT)</t>
  </si>
  <si>
    <t>1v8uRJPIy8x5zoLbHUMOUEU8ftKwygAyn</t>
  </si>
  <si>
    <t>https://drive.google.com/file/d/1v8uRJPIy8x5zoLbHUMOUEU8ftKwygAyn/view?usp=drivesdk</t>
  </si>
  <si>
    <t>Document successfully created; Document successfully merged; PDF created; Emails Sent: [To: resprob@gmail.com]; Run via form trigger as ecertificate75@gmail.com; Timestamp: Sep 8 2024 8:13 PM</t>
  </si>
  <si>
    <t>RINO SETIYADI, S.E.</t>
  </si>
  <si>
    <t>rinosetiyadi1990@gmail.com</t>
  </si>
  <si>
    <t>9100</t>
  </si>
  <si>
    <t>1s5hRuKSkQbFCAJ6aybfxgChNviA3od8x</t>
  </si>
  <si>
    <t>https://drive.google.com/file/d/1s5hRuKSkQbFCAJ6aybfxgChNviA3od8x/view?usp=drivesdk</t>
  </si>
  <si>
    <t>Document successfully created; Document successfully merged; PDF created; Emails Sent: [To: rinosetiyadi1990@gmail.com]; Run via form trigger as ecertificate75@gmail.com; Timestamp: Sep 8 2024 8:13 PM</t>
  </si>
  <si>
    <t>SAUT PANGIHUTAN SIMANGUNSONG</t>
  </si>
  <si>
    <t>sautpangihutansimangunsong@gmail.com</t>
  </si>
  <si>
    <t>9101</t>
  </si>
  <si>
    <t>Starting at Thu Aug 29 2024 23:20:35 GMT-0400 (EDT)</t>
  </si>
  <si>
    <t>1w9L94RzmSR_X2GNyz7HUFOutQt_O6sax</t>
  </si>
  <si>
    <t>https://drive.google.com/file/d/1w9L94RzmSR_X2GNyz7HUFOutQt_O6sax/view?usp=drivesdk</t>
  </si>
  <si>
    <t>Document successfully created; Document successfully merged; PDF created; Emails Sent: [To: sautpangihutansimangunsong@gmail.com]; Run via form trigger as ecertificate75@gmail.com; Timestamp: Sep 8 2024 8:13 PM</t>
  </si>
  <si>
    <t xml:space="preserve">KURDI.SH </t>
  </si>
  <si>
    <t>Kurdi58856@gmail.com</t>
  </si>
  <si>
    <t>9102</t>
  </si>
  <si>
    <t>Starting at Thu Aug 29 2024 23:21:04 GMT-0400 (EDT)</t>
  </si>
  <si>
    <t>1EgF2tgEzvBOWwuGQFbnDsxoBA0zM6YfP</t>
  </si>
  <si>
    <t>https://drive.google.com/file/d/1EgF2tgEzvBOWwuGQFbnDsxoBA0zM6YfP/view?usp=drivesdk</t>
  </si>
  <si>
    <t>Document successfully created; Document successfully merged; PDF created; Emails Sent: [To: Kurdi58856@gmail.com]; Run via form trigger as ecertificate75@gmail.com; Timestamp: Sep 8 2024 8:14 PM</t>
  </si>
  <si>
    <t>PENDA DETI YULIAWATI, S.Kom., M.Cs</t>
  </si>
  <si>
    <t>detymore@gmail.com</t>
  </si>
  <si>
    <t>9103</t>
  </si>
  <si>
    <t>1tJYpdEEqB7K9MzAZADTrwOk7cDazC1-P</t>
  </si>
  <si>
    <t>https://drive.google.com/file/d/1tJYpdEEqB7K9MzAZADTrwOk7cDazC1-P/view?usp=drivesdk</t>
  </si>
  <si>
    <t>Document successfully created; Document successfully merged; PDF created; Emails Sent: [To: detymore@gmail.com]; Run via form trigger as ecertificate75@gmail.com; Timestamp: Sep 8 2024 8:14 PM</t>
  </si>
  <si>
    <t>DIDIK SUHARTONO</t>
  </si>
  <si>
    <t>didiks1967@gmail.com</t>
  </si>
  <si>
    <t>9104</t>
  </si>
  <si>
    <t>1X37IhLM-o-MX_P2z8n3ydjhjLqSOGbeL</t>
  </si>
  <si>
    <t>https://drive.google.com/file/d/1X37IhLM-o-MX_P2z8n3ydjhjLqSOGbeL/view?usp=drivesdk</t>
  </si>
  <si>
    <t>Document successfully created; Document successfully merged; PDF created; Emails Sent: [To: didiks1967@gmail.com]; Run via form trigger as ecertificate75@gmail.com; Timestamp: Sep 8 2024 8:14 PM</t>
  </si>
  <si>
    <t>SANGKOT HUMISAR NAINGGOLAN, S.H.</t>
  </si>
  <si>
    <t>parhusip@gmail.com</t>
  </si>
  <si>
    <t>9105</t>
  </si>
  <si>
    <t>1A9vpZJT2hA6DHts2i7BeD7FM6g7B5ftc</t>
  </si>
  <si>
    <t>https://drive.google.com/file/d/1A9vpZJT2hA6DHts2i7BeD7FM6g7B5ftc/view?usp=drivesdk</t>
  </si>
  <si>
    <t>Document successfully created; Document successfully merged; PDF created; Emails Sent: [To: parhusip@gmail.com]; Run via form trigger as ecertificate75@gmail.com; Timestamp: Sep 8 2024 8:14 PM</t>
  </si>
  <si>
    <t>BUDI YANTO</t>
  </si>
  <si>
    <t>budy5031@gmail.com</t>
  </si>
  <si>
    <t>9106</t>
  </si>
  <si>
    <t>1m0aDGZiawLYot1CPpfgX8XYPCgvxNp_p</t>
  </si>
  <si>
    <t>https://drive.google.com/file/d/1m0aDGZiawLYot1CPpfgX8XYPCgvxNp_p/view?usp=drivesdk</t>
  </si>
  <si>
    <t>Document successfully created; Document successfully merged; PDF created; Emails Sent: [To: budy5031@gmail.com]; Run via form trigger as ecertificate75@gmail.com; Timestamp: Sep 8 2024 8:14 PM</t>
  </si>
  <si>
    <t>RUDI PRASETIA.,AMD.AK</t>
  </si>
  <si>
    <t>rudiprasetia97@gmail.com</t>
  </si>
  <si>
    <t>9107</t>
  </si>
  <si>
    <t>1z3Vew_ZNJeIK0EOgaW6_UbW2sTHdGIYT</t>
  </si>
  <si>
    <t>https://drive.google.com/file/d/1z3Vew_ZNJeIK0EOgaW6_UbW2sTHdGIYT/view?usp=drivesdk</t>
  </si>
  <si>
    <t>HERU PRABOWO</t>
  </si>
  <si>
    <t>heruprabowo400@yahoo.com</t>
  </si>
  <si>
    <t>9108</t>
  </si>
  <si>
    <t>1IXyBO1vUfqSY5kRefORrESiCuQZYWzsu</t>
  </si>
  <si>
    <t>https://drive.google.com/file/d/1IXyBO1vUfqSY5kRefORrESiCuQZYWzsu/view?usp=drivesdk</t>
  </si>
  <si>
    <t>BENGKY DEWI AGUSTINa</t>
  </si>
  <si>
    <t>bengkydewi80@gmail.com</t>
  </si>
  <si>
    <t>9109</t>
  </si>
  <si>
    <t>1JFcu8zQg8pmxIS96mL3UfGBXhfFxFbPW</t>
  </si>
  <si>
    <t>https://drive.google.com/file/d/1JFcu8zQg8pmxIS96mL3UfGBXhfFxFbPW/view?usp=drivesdk</t>
  </si>
  <si>
    <t>SYAFARYANTO</t>
  </si>
  <si>
    <t>syafaryanto32@gmail.com</t>
  </si>
  <si>
    <t>9110</t>
  </si>
  <si>
    <t>Starting at Thu Aug 29 2024 23:21:14 GMT-0400 (EDT)</t>
  </si>
  <si>
    <t>1KU9b0DH0qydIyPDJvM-Y5QS5mxnkWUO7</t>
  </si>
  <si>
    <t>https://drive.google.com/file/d/1KU9b0DH0qydIyPDJvM-Y5QS5mxnkWUO7/view?usp=drivesdk</t>
  </si>
  <si>
    <t xml:space="preserve">ITA NURIYAH </t>
  </si>
  <si>
    <t>itanuriyah@gmail.com</t>
  </si>
  <si>
    <t>9111</t>
  </si>
  <si>
    <t>Starting at Thu Aug 29 2024 23:21:20 GMT-0400 (EDT)</t>
  </si>
  <si>
    <t>132gA2nlgpBoCZX3WzQTQifbnyDe0YPp8</t>
  </si>
  <si>
    <t>https://drive.google.com/file/d/132gA2nlgpBoCZX3WzQTQifbnyDe0YPp8/view?usp=drivesdk</t>
  </si>
  <si>
    <t>RATIH PARLINA. SM</t>
  </si>
  <si>
    <t>9112</t>
  </si>
  <si>
    <t>11f3qNan_v-rStZZDniy03A_6FoF4UUsh</t>
  </si>
  <si>
    <t>https://drive.google.com/file/d/11f3qNan_v-rStZZDniy03A_6FoF4UUsh/view?usp=drivesdk</t>
  </si>
  <si>
    <t>HENI ZULIANA</t>
  </si>
  <si>
    <t>henizuliana@gmail.com</t>
  </si>
  <si>
    <t>9113</t>
  </si>
  <si>
    <t>Starting at Thu Aug 29 2024 23:21:28 GMT-0400 (EDT)</t>
  </si>
  <si>
    <t>1bvXOUdhSu4uCbBTSjXJi_nU9KiDdKQUi</t>
  </si>
  <si>
    <t>https://drive.google.com/file/d/1bvXOUdhSu4uCbBTSjXJi_nU9KiDdKQUi/view?usp=drivesdk</t>
  </si>
  <si>
    <t>YULIANTI SRI MINDARTI</t>
  </si>
  <si>
    <t>yuliantisrimindarti@gmail.com</t>
  </si>
  <si>
    <t>9114</t>
  </si>
  <si>
    <t>Starting at Thu Aug 29 2024 23:21:34 GMT-0400 (EDT)</t>
  </si>
  <si>
    <t>1IY_getbo0813rRwyGfXJM-jzgbgtuJv3</t>
  </si>
  <si>
    <t>https://drive.google.com/file/d/1IY_getbo0813rRwyGfXJM-jzgbgtuJv3/view?usp=drivesdk</t>
  </si>
  <si>
    <t>SAPTO SETYO WIBOWO S.Ak</t>
  </si>
  <si>
    <t>taza.madran@gmail.com</t>
  </si>
  <si>
    <t>9115</t>
  </si>
  <si>
    <t>1mDGgAr6uqR9Di1No3NcHPJKF4Wrj5iq0</t>
  </si>
  <si>
    <t>https://drive.google.com/file/d/1mDGgAr6uqR9Di1No3NcHPJKF4Wrj5iq0/view?usp=drivesdk</t>
  </si>
  <si>
    <t>RESKI MUHARLIS, AMK</t>
  </si>
  <si>
    <t>reskimuharlis11@gmail.com</t>
  </si>
  <si>
    <t>9116</t>
  </si>
  <si>
    <t>Starting at Thu Aug 29 2024 23:21:39 GMT-0400 (EDT)</t>
  </si>
  <si>
    <t>1ri-tyfyqF8hI4lcgBZooUjDJWn85q58R</t>
  </si>
  <si>
    <t>https://drive.google.com/file/d/1ri-tyfyqF8hI4lcgBZooUjDJWn85q58R/view?usp=drivesdk</t>
  </si>
  <si>
    <t>HASBUL AZIZI</t>
  </si>
  <si>
    <t>hasbulazizi17@gmail.com</t>
  </si>
  <si>
    <t>9117</t>
  </si>
  <si>
    <t>1T1aG-6SV_K2tSwyRnCkCC-pAcbASmgN-</t>
  </si>
  <si>
    <t>https://drive.google.com/file/d/1T1aG-6SV_K2tSwyRnCkCC-pAcbASmgN-/view?usp=drivesdk</t>
  </si>
  <si>
    <t>ARMI APRILA, A.Md.Kes.</t>
  </si>
  <si>
    <t>armiaprl15@gmail.com</t>
  </si>
  <si>
    <t>9118</t>
  </si>
  <si>
    <t>1q2N6JZpOuTBEBF7IiQnpGgQT0pY_BBQ3</t>
  </si>
  <si>
    <t>https://drive.google.com/file/d/1q2N6JZpOuTBEBF7IiQnpGgQT0pY_BBQ3/view?usp=drivesdk</t>
  </si>
  <si>
    <t>thotopnspolda@gmail.com</t>
  </si>
  <si>
    <t>9119</t>
  </si>
  <si>
    <t>Starting at Thu Aug 29 2024 23:21:45 GMT-0400 (EDT)</t>
  </si>
  <si>
    <t>1FCc1a9Oi6o-qBE7uKl5P70OU27Ta9mCj</t>
  </si>
  <si>
    <t>https://drive.google.com/file/d/1FCc1a9Oi6o-qBE7uKl5P70OU27Ta9mCj/view?usp=drivesdk</t>
  </si>
  <si>
    <t>Document successfully created; Document successfully merged; PDF created; !!Error Sending Emails: Service invoked too many times for one day: email.; Run via form trigger as ecertificate75@gmail.com; Timestamp: Sep 8 2024 8:17 PM</t>
  </si>
  <si>
    <t>PUPUT WIJAYANTI,AMD,FARM</t>
  </si>
  <si>
    <t>putwijayanti@gmail.com</t>
  </si>
  <si>
    <t>9120</t>
  </si>
  <si>
    <t>Starting at Thu Aug 29 2024 23:21:54 GMT-0400 (EDT)</t>
  </si>
  <si>
    <t>1D_Xp-LMdAZUnOmwYAzcdoFoKXpw76x09</t>
  </si>
  <si>
    <t>https://drive.google.com/file/d/1D_Xp-LMdAZUnOmwYAzcdoFoKXpw76x09/view?usp=drivesdk</t>
  </si>
  <si>
    <t>RIZKI SETIADI, S.E.</t>
  </si>
  <si>
    <t>rizky.setiadi.rs@gmail.com</t>
  </si>
  <si>
    <t>9121</t>
  </si>
  <si>
    <t>Starting at Thu Aug 29 2024 23:22:09 GMT-0400 (EDT)</t>
  </si>
  <si>
    <t>1PLDhFIwnriA922qiapCImAROO_uNX_nw</t>
  </si>
  <si>
    <t>https://drive.google.com/file/d/1PLDhFIwnriA922qiapCImAROO_uNX_nw/view?usp=drivesdk</t>
  </si>
  <si>
    <t>dianmayasari2021@gmail.com</t>
  </si>
  <si>
    <t>9122</t>
  </si>
  <si>
    <t>Starting at Thu Aug 29 2024 23:23:51 GMT-0400 (EDT)</t>
  </si>
  <si>
    <t>1gneAdioE2WFNTfAksoXba--0ufi-oZI6</t>
  </si>
  <si>
    <t>https://drive.google.com/file/d/1gneAdioE2WFNTfAksoXba--0ufi-oZI6/view?usp=drivesdk</t>
  </si>
  <si>
    <t>KURNIA DEWI, AMD. KEP</t>
  </si>
  <si>
    <t>kurnios5@gmail.com</t>
  </si>
  <si>
    <t>9123</t>
  </si>
  <si>
    <t>16ydT1OI6eDtqoO5OrNNmm3MzwJauFwD5</t>
  </si>
  <si>
    <t>https://drive.google.com/file/d/16ydT1OI6eDtqoO5OrNNmm3MzwJauFwD5/view?usp=drivesdk</t>
  </si>
  <si>
    <t>Document successfully created; Document successfully merged; PDF created; !!Error Sending Emails: Service invoked too many times for one day: email.; Manually run by ecertificate75@gmail.com; Timestamp: Sep 10 2024 10:41 AM</t>
  </si>
  <si>
    <t xml:space="preserve">JULIANA M. P. BARU BENGNGU </t>
  </si>
  <si>
    <t>jbsarmento1@gmail.com</t>
  </si>
  <si>
    <t>9124</t>
  </si>
  <si>
    <t>1rq0iv5LAqImgWHSOTY2-d7V5GcI3BlF5</t>
  </si>
  <si>
    <t>https://drive.google.com/file/d/1rq0iv5LAqImgWHSOTY2-d7V5GcI3BlF5/view?usp=drivesdk</t>
  </si>
  <si>
    <t>YATI NURHAYATI, AMD.AK</t>
  </si>
  <si>
    <t>ynurhayati84@gmail.com</t>
  </si>
  <si>
    <t>9125</t>
  </si>
  <si>
    <t>1Yx2hp9ys9obVAuPM3QDUumOXpBkabX8q</t>
  </si>
  <si>
    <t>https://drive.google.com/file/d/1Yx2hp9ys9obVAuPM3QDUumOXpBkabX8q/view?usp=drivesdk</t>
  </si>
  <si>
    <t xml:space="preserve">AULIA RAHMI CANIAGO </t>
  </si>
  <si>
    <t>auliarahmicaniago2000@gmail.com</t>
  </si>
  <si>
    <t>9126</t>
  </si>
  <si>
    <t>1nCzSIFFDZlcGyPB-ZsUp1_uD8FLp6bl6</t>
  </si>
  <si>
    <t>https://drive.google.com/file/d/1nCzSIFFDZlcGyPB-ZsUp1_uD8FLp6bl6/view?usp=drivesdk</t>
  </si>
  <si>
    <t>SUPANGAT</t>
  </si>
  <si>
    <t>pangat1984@gmail.com</t>
  </si>
  <si>
    <t>9127</t>
  </si>
  <si>
    <t>1uh0p_vNfqrr3FuCq5zcUpb1mT0bRibYi</t>
  </si>
  <si>
    <t>https://drive.google.com/file/d/1uh0p_vNfqrr3FuCq5zcUpb1mT0bRibYi/view?usp=drivesdk</t>
  </si>
  <si>
    <t>Document successfully created; Document successfully merged; PDF created; !!Error Sending Emails: Service invoked too many times for one day: email.; Manually run by ecertificate75@gmail.com; Timestamp: Sep 10 2024 10:42 AM</t>
  </si>
  <si>
    <t>DEDY CHANDRA</t>
  </si>
  <si>
    <t>chandranasution73@gmail.com</t>
  </si>
  <si>
    <t>9128</t>
  </si>
  <si>
    <t>1PT21SFd9gp3jTWmXSAPASbUCr2dHGFxJ</t>
  </si>
  <si>
    <t>https://drive.google.com/file/d/1PT21SFd9gp3jTWmXSAPASbUCr2dHGFxJ/view?usp=drivesdk</t>
  </si>
  <si>
    <t>SRI RAHMADANI, S.M.</t>
  </si>
  <si>
    <t>siwas.skh@gmail.com</t>
  </si>
  <si>
    <t>9129</t>
  </si>
  <si>
    <t>1LuOMQ3RxHuaoeaUVzQ9wJMv1mMZ6VNXi</t>
  </si>
  <si>
    <t>https://drive.google.com/file/d/1LuOMQ3RxHuaoeaUVzQ9wJMv1mMZ6VNXi/view?usp=drivesdk</t>
  </si>
  <si>
    <t>AGUNG RIADI</t>
  </si>
  <si>
    <t>Agungriyadi204@gimail.com</t>
  </si>
  <si>
    <t>9130</t>
  </si>
  <si>
    <t>1bM9Plhx9G-YLaiXchleDkjNBtejBSFE_</t>
  </si>
  <si>
    <t>https://drive.google.com/file/d/1bM9Plhx9G-YLaiXchleDkjNBtejBSFE_/view?usp=drivesdk</t>
  </si>
  <si>
    <t>LIANA GORETTIE ILAN, S.E.</t>
  </si>
  <si>
    <t>lianagorettie@gmail.com</t>
  </si>
  <si>
    <t>9131</t>
  </si>
  <si>
    <t>1w7sdl0DzjyJ05cKZiBjbBub-WF-2Lprz</t>
  </si>
  <si>
    <t>https://drive.google.com/file/d/1w7sdl0DzjyJ05cKZiBjbBub-WF-2Lprz/view?usp=drivesdk</t>
  </si>
  <si>
    <t>NGASIRAN</t>
  </si>
  <si>
    <t>polsektegalsari.sby@gmail.com</t>
  </si>
  <si>
    <t>9132</t>
  </si>
  <si>
    <t>1KiwLPqG_TLcAM0jhriez0ZBAyI98hrZZ</t>
  </si>
  <si>
    <t>https://drive.google.com/file/d/1KiwLPqG_TLcAM0jhriez0ZBAyI98hrZZ/view?usp=drivesdk</t>
  </si>
  <si>
    <t>Document successfully created; Document successfully merged; PDF created; !!Error Sending Emails: Service invoked too many times for one day: email.; Manually run by ecertificate75@gmail.com; Timestamp: Sep 10 2024 10:43 AM</t>
  </si>
  <si>
    <t>DEPRI MUHARAM ADIYANTO</t>
  </si>
  <si>
    <t>depriano15@gmail.com</t>
  </si>
  <si>
    <t>9133</t>
  </si>
  <si>
    <t>1jHeS-On8M1KjcH9gIUYOQupSoTHVNkDI</t>
  </si>
  <si>
    <t>https://drive.google.com/file/d/1jHeS-On8M1KjcH9gIUYOQupSoTHVNkDI/view?usp=drivesdk</t>
  </si>
  <si>
    <t>KHAIRUNNISA ZURIYATULKARIMAH, S.Tr.Kes</t>
  </si>
  <si>
    <t>khairunnisazuriyatulkarimah@gmail.com</t>
  </si>
  <si>
    <t>9134</t>
  </si>
  <si>
    <t>1C6oMw2P7uIxGvuXyk_u1yUW5Nz2XK5Cd</t>
  </si>
  <si>
    <t>https://drive.google.com/file/d/1C6oMw2P7uIxGvuXyk_u1yUW5Nz2XK5Cd/view?usp=drivesdk</t>
  </si>
  <si>
    <t>BUNYAMIN</t>
  </si>
  <si>
    <t>naniyamin22@gmail.com</t>
  </si>
  <si>
    <t>9135</t>
  </si>
  <si>
    <t>1Xy2n9ICe-jSVUkiR0rQn1-cY_igQYWt9</t>
  </si>
  <si>
    <t>https://drive.google.com/file/d/1Xy2n9ICe-jSVUkiR0rQn1-cY_igQYWt9/view?usp=drivesdk</t>
  </si>
  <si>
    <t>MUKIYO</t>
  </si>
  <si>
    <t>masyok.fatimah@gmail.com</t>
  </si>
  <si>
    <t>9136</t>
  </si>
  <si>
    <t>1_PO3eXWujKE1ikquQfgmWlj8hEnOo9MU</t>
  </si>
  <si>
    <t>https://drive.google.com/file/d/1_PO3eXWujKE1ikquQfgmWlj8hEnOo9MU/view?usp=drivesdk</t>
  </si>
  <si>
    <t>AZUAN FERRY</t>
  </si>
  <si>
    <t>azuanferry@gmail.com</t>
  </si>
  <si>
    <t>9137</t>
  </si>
  <si>
    <t>1msg7Kqp5l8jtnUsTLZnvMarLHRSudlqH</t>
  </si>
  <si>
    <t>https://drive.google.com/file/d/1msg7Kqp5l8jtnUsTLZnvMarLHRSudlqH/view?usp=drivesdk</t>
  </si>
  <si>
    <t>Document successfully created; Document successfully merged; PDF created; !!Error Sending Emails: Service invoked too many times for one day: email.; Manually run by ecertificate75@gmail.com; Timestamp: Sep 10 2024 10:44 AM</t>
  </si>
  <si>
    <t>ELFRIDA HUTAPEA. S. Sos</t>
  </si>
  <si>
    <t>elfridahutapea723@gmail.com</t>
  </si>
  <si>
    <t>9138</t>
  </si>
  <si>
    <t>1Obur4MK75L-8HU4EzNyUSv2sFsOhi6NL</t>
  </si>
  <si>
    <t>https://drive.google.com/file/d/1Obur4MK75L-8HU4EzNyUSv2sFsOhi6NL/view?usp=drivesdk</t>
  </si>
  <si>
    <t>srihartati210879@gmail.com</t>
  </si>
  <si>
    <t>9139</t>
  </si>
  <si>
    <t>1eg8dWkazpMRkn2pqW2d4tegyC-65DpoI</t>
  </si>
  <si>
    <t>https://drive.google.com/file/d/1eg8dWkazpMRkn2pqW2d4tegyC-65DpoI/view?usp=drivesdk</t>
  </si>
  <si>
    <t>RENI YULIANTI</t>
  </si>
  <si>
    <t>reeneeyulianti@gmail.com</t>
  </si>
  <si>
    <t>9140</t>
  </si>
  <si>
    <t>1tgAV7TuhxwacykijDOX5QGsJs4_3147Q</t>
  </si>
  <si>
    <t>https://drive.google.com/file/d/1tgAV7TuhxwacykijDOX5QGsJs4_3147Q/view?usp=drivesdk</t>
  </si>
  <si>
    <t>TRI KARTININGSIH</t>
  </si>
  <si>
    <t>trikartiningsih2121@gmail.com</t>
  </si>
  <si>
    <t>9141</t>
  </si>
  <si>
    <t>1Lc_ZJBdkd9WWX3kTELWYYHUt6yiYq0tp</t>
  </si>
  <si>
    <t>https://drive.google.com/file/d/1Lc_ZJBdkd9WWX3kTELWYYHUt6yiYq0tp/view?usp=drivesdk</t>
  </si>
  <si>
    <t>Document successfully created; Document successfully merged; PDF created; !!Error Sending Emails: Service invoked too many times for one day: email.; Manually run by ecertificate75@gmail.com; Timestamp: Sep 10 2024 10:45 AM</t>
  </si>
  <si>
    <t>GUSTIMAR MURNI</t>
  </si>
  <si>
    <t>gustimar1967@gmail.com</t>
  </si>
  <si>
    <t>9142</t>
  </si>
  <si>
    <t>Starting at Thu Aug 29 2024 23:24:27 GMT-0400 (EDT)</t>
  </si>
  <si>
    <t>14ZzBC9s47E8qgoMfHacFCpsZCZbVTyXp</t>
  </si>
  <si>
    <t>https://drive.google.com/file/d/14ZzBC9s47E8qgoMfHacFCpsZCZbVTyXp/view?usp=drivesdk</t>
  </si>
  <si>
    <t>DRG FADILA KEMALA DWI RAMADHANI RUSLAN</t>
  </si>
  <si>
    <t>fadilakemaladwi@gmail.com</t>
  </si>
  <si>
    <t>9143</t>
  </si>
  <si>
    <t>1vSLB4XBvPM1PF0m5ilbiadFTfdNLowo6</t>
  </si>
  <si>
    <t>https://drive.google.com/file/d/1vSLB4XBvPM1PF0m5ilbiadFTfdNLowo6/view?usp=drivesdk</t>
  </si>
  <si>
    <t>RETNO ANDAYANI,A.Md.Kep</t>
  </si>
  <si>
    <t>retnoramdan79@gmail.com</t>
  </si>
  <si>
    <t>9144</t>
  </si>
  <si>
    <t>1uQgGyezpDevKdy3zAauUve19JBcMJuPr</t>
  </si>
  <si>
    <t>https://drive.google.com/file/d/1uQgGyezpDevKdy3zAauUve19JBcMJuPr/view?usp=drivesdk</t>
  </si>
  <si>
    <t>HAJRUL ABDILLAH</t>
  </si>
  <si>
    <t>hajrul.min@gmail.com</t>
  </si>
  <si>
    <t>9145</t>
  </si>
  <si>
    <t>1X5e9hFZllqPDNU5Zw60FlGpRSPvm1PgX</t>
  </si>
  <si>
    <t>https://drive.google.com/file/d/1X5e9hFZllqPDNU5Zw60FlGpRSPvm1PgX/view?usp=drivesdk</t>
  </si>
  <si>
    <t>AGUSTINAWATI</t>
  </si>
  <si>
    <t>tintina386@gmail.com</t>
  </si>
  <si>
    <t>9146</t>
  </si>
  <si>
    <t>1r7Oc_FlRTdHkJYxTLq4tNAMJmXoQD_Q6</t>
  </si>
  <si>
    <t>https://drive.google.com/file/d/1r7Oc_FlRTdHkJYxTLq4tNAMJmXoQD_Q6/view?usp=drivesdk</t>
  </si>
  <si>
    <t>Document successfully created; Document successfully merged; PDF created; !!Error Sending Emails: Service invoked too many times for one day: email.; Manually run by ecertificate75@gmail.com; Timestamp: Sep 10 2024 10:46 AM</t>
  </si>
  <si>
    <t>RAHAYU WIDYASTUTI, A.Md.</t>
  </si>
  <si>
    <t>rahayuwidya4@gmail.com</t>
  </si>
  <si>
    <t>9147</t>
  </si>
  <si>
    <t>1FUFvS03nJk7TEix8fk_2ZI2VKNYodABn</t>
  </si>
  <si>
    <t>https://drive.google.com/file/d/1FUFvS03nJk7TEix8fk_2ZI2VKNYodABn/view?usp=drivesdk</t>
  </si>
  <si>
    <t>BAMBANG PRIHONO</t>
  </si>
  <si>
    <t>bamvang096@gmail.com</t>
  </si>
  <si>
    <t>9148</t>
  </si>
  <si>
    <t>1pqGb7e5vq3mivA7-tgRbmfc7D4_Cor1Y</t>
  </si>
  <si>
    <t>https://drive.google.com/file/d/1pqGb7e5vq3mivA7-tgRbmfc7D4_Cor1Y/view?usp=drivesdk</t>
  </si>
  <si>
    <t>ISMAINI</t>
  </si>
  <si>
    <t>9149</t>
  </si>
  <si>
    <t>17Bme0lVSkxeNN3aX4BXip1NA2kVqel-o</t>
  </si>
  <si>
    <t>https://drive.google.com/file/d/17Bme0lVSkxeNN3aX4BXip1NA2kVqel-o/view?usp=drivesdk</t>
  </si>
  <si>
    <t>Document successfully created; Document successfully merged; PDF created; Emails Sent: [To: kordikrsbm@gmail.com]; Run via form trigger as ecertificate75@gmail.com; Timestamp: Sep 10 2024 4:01 AM</t>
  </si>
  <si>
    <t>NURUL WIDIYAWATI</t>
  </si>
  <si>
    <t>nurulwidiyawati25@gmail.com</t>
  </si>
  <si>
    <t>9150</t>
  </si>
  <si>
    <t>Starting at Thu Aug 29 2024 23:24:30 GMT-0400 (EDT)</t>
  </si>
  <si>
    <t>18RBpYbvTuxo9xQmYtxRdVcc_gRy78R6E</t>
  </si>
  <si>
    <t>https://drive.google.com/file/d/18RBpYbvTuxo9xQmYtxRdVcc_gRy78R6E/view?usp=drivesdk</t>
  </si>
  <si>
    <t>Document successfully created; Document successfully merged; PDF created; Emails Sent: [To: nurulwidiyawati25@gmail.com]; Run via form trigger as ecertificate75@gmail.com; Timestamp: Sep 10 2024 4:01 AM</t>
  </si>
  <si>
    <t>MOH. SHOLEH, S.AG., MH</t>
  </si>
  <si>
    <t>abimandiri270@gmail.com</t>
  </si>
  <si>
    <t>9151</t>
  </si>
  <si>
    <t>Starting at Thu Aug 29 2024 23:24:37 GMT-0400 (EDT)</t>
  </si>
  <si>
    <t>1-u4_znnFwdwUD0QmDFnV8fHRLTcNQLVj</t>
  </si>
  <si>
    <t>https://drive.google.com/file/d/1-u4_znnFwdwUD0QmDFnV8fHRLTcNQLVj/view?usp=drivesdk</t>
  </si>
  <si>
    <t>Document successfully created; Document successfully merged; PDF created; Emails Sent: [To: abimandiri270@gmail.com]; Run via form trigger as ecertificate75@gmail.com; Timestamp: Sep 10 2024 4:02 AM</t>
  </si>
  <si>
    <t>PRATIWI KUSUMAWARDANI, A.Md, Farm</t>
  </si>
  <si>
    <t>wardanitiwi93@gmail.com</t>
  </si>
  <si>
    <t>9152</t>
  </si>
  <si>
    <t>Starting at Thu Aug 29 2024 23:24:45 GMT-0400 (EDT)</t>
  </si>
  <si>
    <t>1MTPvYfNYxIBJEEncF_kNJlsEcRd-AIfl</t>
  </si>
  <si>
    <t>https://drive.google.com/file/d/1MTPvYfNYxIBJEEncF_kNJlsEcRd-AIfl/view?usp=drivesdk</t>
  </si>
  <si>
    <t>Document successfully created; Document successfully merged; PDF created; Emails Sent: [To: wardanitiwi93@gmail.com]; Run via form trigger as ecertificate75@gmail.com; Timestamp: Sep 10 2024 4:02 AM</t>
  </si>
  <si>
    <t>9153</t>
  </si>
  <si>
    <t>Starting at Thu Aug 29 2024 23:24:51 GMT-0400 (EDT)</t>
  </si>
  <si>
    <t>1wgH1MzNA0v31VFIBQNu7GH1GU6HxDmAS</t>
  </si>
  <si>
    <t>https://drive.google.com/file/d/1wgH1MzNA0v31VFIBQNu7GH1GU6HxDmAS/view?usp=drivesdk</t>
  </si>
  <si>
    <t>Document successfully created; Document successfully merged; PDF created; Emails Sent: [To: robby.irwansyah2015@gmail.com]; Run via form trigger as ecertificate75@gmail.com; Timestamp: Sep 10 2024 4:02 AM</t>
  </si>
  <si>
    <t>DEWI MAULANI FAJAR, S.KOM</t>
  </si>
  <si>
    <t>dewi_maulani@yahoo.com</t>
  </si>
  <si>
    <t>9154</t>
  </si>
  <si>
    <t>Starting at Thu Aug 29 2024 23:24:59 GMT-0400 (EDT)</t>
  </si>
  <si>
    <t>11p0QQs2QQv_qQ0uFDqmbw4fZFbu2oRFO</t>
  </si>
  <si>
    <t>https://drive.google.com/file/d/11p0QQs2QQv_qQ0uFDqmbw4fZFbu2oRFO/view?usp=drivesdk</t>
  </si>
  <si>
    <t>Document successfully created; Document successfully merged; PDF created; Emails Sent: [To: dewi_maulani@yahoo.com]; Run via form trigger as ecertificate75@gmail.com; Timestamp: Sep 10 2024 4:02 AM</t>
  </si>
  <si>
    <t>NOR HANDIAH ROUSITA, SE</t>
  </si>
  <si>
    <t>norhandiah@gmail.com</t>
  </si>
  <si>
    <t>9155</t>
  </si>
  <si>
    <t>Starting at Thu Aug 29 2024 23:25:03 GMT-0400 (EDT)</t>
  </si>
  <si>
    <t>1suW9M_qp6Pqrcy_qWbbpN70H8A33pkjp</t>
  </si>
  <si>
    <t>https://drive.google.com/file/d/1suW9M_qp6Pqrcy_qWbbpN70H8A33pkjp/view?usp=drivesdk</t>
  </si>
  <si>
    <t>Document successfully created; Document successfully merged; PDF created; Emails Sent: [To: norhandiah@gmail.com]; Run via form trigger as ecertificate75@gmail.com; Timestamp: Sep 10 2024 4:03 AM</t>
  </si>
  <si>
    <t>LALU SIRHU ATMA, A.MD</t>
  </si>
  <si>
    <t>lalusirhu@gmail.com</t>
  </si>
  <si>
    <t>9156</t>
  </si>
  <si>
    <t>Starting at Thu Aug 29 2024 23:25:10 GMT-0400 (EDT)</t>
  </si>
  <si>
    <t>1VD1A08IXYMWqUuh5DG6ceWfkWEYiLCKk</t>
  </si>
  <si>
    <t>https://drive.google.com/file/d/1VD1A08IXYMWqUuh5DG6ceWfkWEYiLCKk/view?usp=drivesdk</t>
  </si>
  <si>
    <t>Document successfully created; Document successfully merged; PDF created; Emails Sent: [To: lalusirhu@gmail.com]; Run via form trigger as ecertificate75@gmail.com; Timestamp: Sep 10 2024 4:03 AM</t>
  </si>
  <si>
    <t>BETTY HUTAGAOL, SKM</t>
  </si>
  <si>
    <t>betyhutagaol@gmail.com</t>
  </si>
  <si>
    <t>9157</t>
  </si>
  <si>
    <t>1mfIob9dHVUjsfxAUtQKkF1O9Qv2jYgE7</t>
  </si>
  <si>
    <t>https://drive.google.com/file/d/1mfIob9dHVUjsfxAUtQKkF1O9Qv2jYgE7/view?usp=drivesdk</t>
  </si>
  <si>
    <t>Document successfully created; Document successfully merged; PDF created; Emails Sent: [To: betyhutagaol@gmail.com]; Run via form trigger as ecertificate75@gmail.com; Timestamp: Sep 10 2024 4:03 AM</t>
  </si>
  <si>
    <t xml:space="preserve">TUTI SULISTIAWATI </t>
  </si>
  <si>
    <t>tutisulistiawati7@gmail.com</t>
  </si>
  <si>
    <t>9158</t>
  </si>
  <si>
    <t>Starting at Thu Aug 29 2024 23:25:15 GMT-0400 (EDT)</t>
  </si>
  <si>
    <t>1mEveDgHS2LYctE_XZ73bfpQFbbabPzI1</t>
  </si>
  <si>
    <t>https://drive.google.com/file/d/1mEveDgHS2LYctE_XZ73bfpQFbbabPzI1/view?usp=drivesdk</t>
  </si>
  <si>
    <t>Document successfully created; Document successfully merged; PDF created; Emails Sent: [To: tutisulistiawati7@gmail.com]; Run via form trigger as ecertificate75@gmail.com; Timestamp: Sep 10 2024 4:03 AM</t>
  </si>
  <si>
    <t xml:space="preserve">AHMAD BUDIMAN </t>
  </si>
  <si>
    <t>ahmadbudimanokeh@gmail.com</t>
  </si>
  <si>
    <t>9159</t>
  </si>
  <si>
    <t>1P_Dt1gr388AmdVym-V67clpWc0scrI7o</t>
  </si>
  <si>
    <t>https://drive.google.com/file/d/1P_Dt1gr388AmdVym-V67clpWc0scrI7o/view?usp=drivesdk</t>
  </si>
  <si>
    <t>Document successfully created; Document successfully merged; PDF created; Emails Sent: [To: ahmadbudimanokeh@gmail.com]; Run via form trigger as ecertificate75@gmail.com; Timestamp: Sep 10 2024 4:03 AM</t>
  </si>
  <si>
    <t>AISYAH NURAINI PRAMANA PUTRI, S.Tr.Kes</t>
  </si>
  <si>
    <t>aisyahnrni81@gmail.com</t>
  </si>
  <si>
    <t>9160</t>
  </si>
  <si>
    <t>Starting at Thu Aug 29 2024 23:26:24 GMT-0400 (EDT)</t>
  </si>
  <si>
    <t>1sZu_a5TDBfitevGqBDHPYsoJ6yjCvM-v</t>
  </si>
  <si>
    <t>https://drive.google.com/file/d/1sZu_a5TDBfitevGqBDHPYsoJ6yjCvM-v/view?usp=drivesdk</t>
  </si>
  <si>
    <t>Document successfully created; Document successfully merged; PDF created; Emails Sent: [To: aisyahnrni81@gmail.com]; Run via form trigger as ecertificate75@gmail.com; Timestamp: Sep 10 2024 4:04 AM</t>
  </si>
  <si>
    <t>SITI SAMSUL HIDAYATI,</t>
  </si>
  <si>
    <t>atikhidayati25@gmail.com</t>
  </si>
  <si>
    <t>9161</t>
  </si>
  <si>
    <t>1w3bBhGXOWCa5hgDUy5luZI8XnAtgGoKB</t>
  </si>
  <si>
    <t>https://drive.google.com/file/d/1w3bBhGXOWCa5hgDUy5luZI8XnAtgGoKB/view?usp=drivesdk</t>
  </si>
  <si>
    <t>Document successfully created; Document successfully merged; PDF created; Emails Sent: [To: atikhidayati25@gmail.com]; Run via form trigger as ecertificate75@gmail.com; Timestamp: Sep 10 2024 4:04 AM</t>
  </si>
  <si>
    <t>9162</t>
  </si>
  <si>
    <t>1athul8e5Yb_gFOUkrvpWLmAcpkjUKk3m</t>
  </si>
  <si>
    <t>https://drive.google.com/file/d/1athul8e5Yb_gFOUkrvpWLmAcpkjUKk3m/view?usp=drivesdk</t>
  </si>
  <si>
    <t>Document successfully created; Document successfully merged; PDF created; Emails Sent: [To: sugiyanti050575@gmail.com]; Run via form trigger as ecertificate75@gmail.com; Timestamp: Sep 10 2024 4:04 AM</t>
  </si>
  <si>
    <t>FERI WATTIMURI</t>
  </si>
  <si>
    <t>ferrywattimuri@yahoo.co.id</t>
  </si>
  <si>
    <t>9163</t>
  </si>
  <si>
    <t>1SDZzyPg0eQx8NjjnpiWOiXXOEFqwvu69</t>
  </si>
  <si>
    <t>https://drive.google.com/file/d/1SDZzyPg0eQx8NjjnpiWOiXXOEFqwvu69/view?usp=drivesdk</t>
  </si>
  <si>
    <t>Document successfully created; Document successfully merged; PDF created; Emails Sent: [To: ferrywattimuri@yahoo.co.id]; Run via form trigger as ecertificate75@gmail.com; Timestamp: Sep 10 2024 4:04 AM</t>
  </si>
  <si>
    <t>KUSWITO</t>
  </si>
  <si>
    <t>kuswitohadi70@gmail.com</t>
  </si>
  <si>
    <t>9164</t>
  </si>
  <si>
    <t>1DNnvOrFKittl-SUjcSn0YKB2bp_JrVu_</t>
  </si>
  <si>
    <t>https://drive.google.com/file/d/1DNnvOrFKittl-SUjcSn0YKB2bp_JrVu_/view?usp=drivesdk</t>
  </si>
  <si>
    <t>Document successfully created; Document successfully merged; PDF created; Emails Sent: [To: kuswitohadi70@gmail.com]; Run via form trigger as ecertificate75@gmail.com; Timestamp: Sep 10 2024 4:04 AM</t>
  </si>
  <si>
    <t>KRISTINA YULIANA KURNIAWATI,AMd.Far</t>
  </si>
  <si>
    <t>kristinayuliana11@gmail.com</t>
  </si>
  <si>
    <t>9165</t>
  </si>
  <si>
    <t>12fixV6d-fE94Hs-yDrqQXuim3n7j6ick</t>
  </si>
  <si>
    <t>https://drive.google.com/file/d/12fixV6d-fE94Hs-yDrqQXuim3n7j6ick/view?usp=drivesdk</t>
  </si>
  <si>
    <t>Document successfully created; Document successfully merged; PDF created; Emails Sent: [To: kristinayuliana11@gmail.com]; Run via form trigger as ecertificate75@gmail.com; Timestamp: Sep 10 2024 4:05 AM</t>
  </si>
  <si>
    <t xml:space="preserve">Mochamad Alif Mulyanto </t>
  </si>
  <si>
    <t>alif.mulyanto@gmail.com</t>
  </si>
  <si>
    <t>9166</t>
  </si>
  <si>
    <t>1JZVp2S2-OafbDMg0kKKL6M-YFe7B-tTV</t>
  </si>
  <si>
    <t>https://drive.google.com/file/d/1JZVp2S2-OafbDMg0kKKL6M-YFe7B-tTV/view?usp=drivesdk</t>
  </si>
  <si>
    <t>Document successfully created; Document successfully merged; PDF created; Emails Sent: [To: alif.mulyanto@gmail.com]; Run via form trigger as ecertificate75@gmail.com; Timestamp: Sep 10 2024 4:05 AM</t>
  </si>
  <si>
    <t>drg. HIDHA LILY AFINA</t>
  </si>
  <si>
    <t>hidhalily24@gmail.com</t>
  </si>
  <si>
    <t>9167</t>
  </si>
  <si>
    <t>1M3YpN9rUmZ5chuPalT_NnAaHuqexYeST</t>
  </si>
  <si>
    <t>https://drive.google.com/file/d/1M3YpN9rUmZ5chuPalT_NnAaHuqexYeST/view?usp=drivesdk</t>
  </si>
  <si>
    <t>Document successfully created; Document successfully merged; PDF created; Emails Sent: [To: hidhalily24@gmail.com]; Run via form trigger as ecertificate75@gmail.com; Timestamp: Sep 10 2024 4:05 AM</t>
  </si>
  <si>
    <t>RULLY JANRY WOWOR</t>
  </si>
  <si>
    <t>rully.wowor76@gmail.com</t>
  </si>
  <si>
    <t>9168</t>
  </si>
  <si>
    <t>1EMdIt_D-TVGi-OJGOcQZcuFkcM2FXxyF</t>
  </si>
  <si>
    <t>https://drive.google.com/file/d/1EMdIt_D-TVGi-OJGOcQZcuFkcM2FXxyF/view?usp=drivesdk</t>
  </si>
  <si>
    <t>Document successfully created; Document successfully merged; PDF created; Emails Sent: [To: rully.wowor76@gmail.com]; Run via form trigger as ecertificate75@gmail.com; Timestamp: Sep 10 2024 4:05 AM</t>
  </si>
  <si>
    <t>UPIK SUMENI</t>
  </si>
  <si>
    <t>upikutama12@gmail.com</t>
  </si>
  <si>
    <t>9169</t>
  </si>
  <si>
    <t>1PoTzdleN1OveSCnAIiwn7nYHM-8sFHiz</t>
  </si>
  <si>
    <t>https://drive.google.com/file/d/1PoTzdleN1OveSCnAIiwn7nYHM-8sFHiz/view?usp=drivesdk</t>
  </si>
  <si>
    <t>Document successfully created; Document successfully merged; PDF created; Emails Sent: [To: upikutama12@gmail.com]; Run via form trigger as ecertificate75@gmail.com; Timestamp: Sep 10 2024 4:05 AM</t>
  </si>
  <si>
    <t>SITI MULYANINGSIH</t>
  </si>
  <si>
    <t>sitimulyaningsih70@gmail.com</t>
  </si>
  <si>
    <t>9170</t>
  </si>
  <si>
    <t>1rivtJuFeNTs7qK2C3eFtB8o4pE0cfFiB</t>
  </si>
  <si>
    <t>https://drive.google.com/file/d/1rivtJuFeNTs7qK2C3eFtB8o4pE0cfFiB/view?usp=drivesdk</t>
  </si>
  <si>
    <t>Document successfully created; Document successfully merged; PDF created; Emails Sent: [To: sitimulyaningsih70@gmail.com]; Run via form trigger as ecertificate75@gmail.com; Timestamp: Sep 10 2024 4:06 AM</t>
  </si>
  <si>
    <t>HERMAN, S.H.</t>
  </si>
  <si>
    <t>herman.emmank18@gmail.com</t>
  </si>
  <si>
    <t>9171</t>
  </si>
  <si>
    <t>1kbBZA4lVVitcIG3Z0YtZqauw98UaQscn</t>
  </si>
  <si>
    <t>https://drive.google.com/file/d/1kbBZA4lVVitcIG3Z0YtZqauw98UaQscn/view?usp=drivesdk</t>
  </si>
  <si>
    <t>Document successfully created; Document successfully merged; PDF created; Emails Sent: [To: herman.emmank18@gmail.com]; Run via form trigger as ecertificate75@gmail.com; Timestamp: Sep 10 2024 4:06 AM</t>
  </si>
  <si>
    <t>YIMMI MIMARIA</t>
  </si>
  <si>
    <t>mimariayimmi@gmail.com</t>
  </si>
  <si>
    <t>9172</t>
  </si>
  <si>
    <t>Starting at Thu Aug 29 2024 23:26:50 GMT-0400 (EDT)</t>
  </si>
  <si>
    <t>1c4qZttJg9jxzZEZhtDonBaq1RvBcKcRO</t>
  </si>
  <si>
    <t>https://drive.google.com/file/d/1c4qZttJg9jxzZEZhtDonBaq1RvBcKcRO/view?usp=drivesdk</t>
  </si>
  <si>
    <t>Document successfully created; Document successfully merged; PDF created; Emails Sent: [To: mimariayimmi@gmail.com]; Run via form trigger as ecertificate75@gmail.com; Timestamp: Sep 10 2024 4:06 AM</t>
  </si>
  <si>
    <t>TITIN SARTINA</t>
  </si>
  <si>
    <t>titinsartin1080@gmail.com</t>
  </si>
  <si>
    <t>9173</t>
  </si>
  <si>
    <t>1sLRUKj9QxSFox0xQkh8qeYWH_-dBtXVw</t>
  </si>
  <si>
    <t>https://drive.google.com/file/d/1sLRUKj9QxSFox0xQkh8qeYWH_-dBtXVw/view?usp=drivesdk</t>
  </si>
  <si>
    <t>Document successfully created; Document successfully merged; PDF created; Emails Sent: [To: titinsartin1080@gmail.com]; Run via form trigger as ecertificate75@gmail.com; Timestamp: Sep 10 2024 9:16 AM</t>
  </si>
  <si>
    <t>IRMAWATI MASSE, S.Farm,M.Tr.A.P</t>
  </si>
  <si>
    <t>irmawati.masse74@gmail.com</t>
  </si>
  <si>
    <t>9174</t>
  </si>
  <si>
    <t>1eZZmmAMTrWILHRttHUuLvF90jKGZaTYg</t>
  </si>
  <si>
    <t>https://drive.google.com/file/d/1eZZmmAMTrWILHRttHUuLvF90jKGZaTYg/view?usp=drivesdk</t>
  </si>
  <si>
    <t>Document successfully created; Document successfully merged; PDF created; Emails Sent: [To: irmawati.masse74@gmail.com]; Run via form trigger as ecertificate75@gmail.com; Timestamp: Sep 10 2024 9:17 AM</t>
  </si>
  <si>
    <t>DEWI NURDINI,AMD. FARM</t>
  </si>
  <si>
    <t>nurdinidewi6@gmail.com</t>
  </si>
  <si>
    <t>9175</t>
  </si>
  <si>
    <t>1Di54R8jB0UStfaCCUN9t9O5-kXkq0GPq</t>
  </si>
  <si>
    <t>https://drive.google.com/file/d/1Di54R8jB0UStfaCCUN9t9O5-kXkq0GPq/view?usp=drivesdk</t>
  </si>
  <si>
    <t>Document successfully created; Document successfully merged; PDF created; Emails Sent: [To: nurdinidewi6@gmail.com]; Run via form trigger as ecertificate75@gmail.com; Timestamp: Sep 10 2024 9:17 AM</t>
  </si>
  <si>
    <t>SRI HIKMAH, A.Md.Kep</t>
  </si>
  <si>
    <t>srihikmahn@gmail.com</t>
  </si>
  <si>
    <t>9176</t>
  </si>
  <si>
    <t>Starting at Thu Aug 29 2024 23:27:05 GMT-0400 (EDT)</t>
  </si>
  <si>
    <t>1SAiNdRoexqR3zHn3WszaNd8Fao5CSzVo</t>
  </si>
  <si>
    <t>https://drive.google.com/file/d/1SAiNdRoexqR3zHn3WszaNd8Fao5CSzVo/view?usp=drivesdk</t>
  </si>
  <si>
    <t>Document successfully created; Document successfully merged; PDF created; Emails Sent: [To: srihikmahn@gmail.com]; Run via form trigger as ecertificate75@gmail.com; Timestamp: Sep 10 2024 9:17 AM</t>
  </si>
  <si>
    <t>rosbuzzer@gmail.com</t>
  </si>
  <si>
    <t>9177</t>
  </si>
  <si>
    <t>Starting at Thu Aug 29 2024 23:27:30 GMT-0400 (EDT)</t>
  </si>
  <si>
    <t>1X7AZ9ZiVC6r1qBxjAaT0kxLAp9XDm-Oj</t>
  </si>
  <si>
    <t>https://drive.google.com/file/d/1X7AZ9ZiVC6r1qBxjAaT0kxLAp9XDm-Oj/view?usp=drivesdk</t>
  </si>
  <si>
    <t>Document successfully created; Document successfully merged; PDF created; Emails Sent: [To: rosbuzzer@gmail.com]; Run via form trigger as ecertificate75@gmail.com; Timestamp: Sep 10 2024 9:17 AM</t>
  </si>
  <si>
    <t>PRIMA ABRIAN, S.Kom</t>
  </si>
  <si>
    <t>primaabrian@gmail.com</t>
  </si>
  <si>
    <t>9178</t>
  </si>
  <si>
    <t>Starting at Thu Aug 29 2024 23:27:35 GMT-0400 (EDT)</t>
  </si>
  <si>
    <t>1jEZIWZdzmUxrlUlOo8NLFfp6VLe9uhsY</t>
  </si>
  <si>
    <t>https://drive.google.com/file/d/1jEZIWZdzmUxrlUlOo8NLFfp6VLe9uhsY/view?usp=drivesdk</t>
  </si>
  <si>
    <t>Document successfully created; Document successfully merged; PDF created; Emails Sent: [To: primaabrian@gmail.com]; Run via form trigger as ecertificate75@gmail.com; Timestamp: Sep 10 2024 9:17 AM</t>
  </si>
  <si>
    <t>ISNAINI DWI NOVIANTO</t>
  </si>
  <si>
    <t>isnainidwx@gmail.com</t>
  </si>
  <si>
    <t>9179</t>
  </si>
  <si>
    <t>Starting at Thu Aug 29 2024 23:27:37 GMT-0400 (EDT)</t>
  </si>
  <si>
    <t>166n89KehPwuUZwiNdOsTc_Y6DiW48pCg</t>
  </si>
  <si>
    <t>https://drive.google.com/file/d/166n89KehPwuUZwiNdOsTc_Y6DiW48pCg/view?usp=drivesdk</t>
  </si>
  <si>
    <t>Document successfully created; Document successfully merged; PDF created; Emails Sent: [To: isnainidwx@gmail.com]; Run via form trigger as ecertificate75@gmail.com; Timestamp: Sep 10 2024 9:18 AM</t>
  </si>
  <si>
    <t xml:space="preserve">Kurnia Widia Nova </t>
  </si>
  <si>
    <t>kurniawidianova@gmail.com</t>
  </si>
  <si>
    <t>9180</t>
  </si>
  <si>
    <t>Starting at Thu Aug 29 2024 23:27:45 GMT-0400 (EDT)</t>
  </si>
  <si>
    <t>1Gh-mpdIYFVlFcQbdX5hNXI166SQYhJe8</t>
  </si>
  <si>
    <t>https://drive.google.com/file/d/1Gh-mpdIYFVlFcQbdX5hNXI166SQYhJe8/view?usp=drivesdk</t>
  </si>
  <si>
    <t>Document successfully created; Document successfully merged; PDF created; Emails Sent: [To: kurniawidianova@gmail.com]; Run via form trigger as ecertificate75@gmail.com; Timestamp: Sep 10 2024 9:18 AM</t>
  </si>
  <si>
    <t>TEGUH PRIONO</t>
  </si>
  <si>
    <t>teguhpriono09091968@gmail.com</t>
  </si>
  <si>
    <t>9181</t>
  </si>
  <si>
    <t>Starting at Thu Aug 29 2024 23:27:52 GMT-0400 (EDT)</t>
  </si>
  <si>
    <t>1WH5odjdPAf__BzMebrGP6I8E9WuZ1NwS</t>
  </si>
  <si>
    <t>https://drive.google.com/file/d/1WH5odjdPAf__BzMebrGP6I8E9WuZ1NwS/view?usp=drivesdk</t>
  </si>
  <si>
    <t>Document successfully created; Document successfully merged; PDF created; Emails Sent: [To: teguhpriono09091968@gmail.com]; Run via form trigger as ecertificate75@gmail.com; Timestamp: Sep 10 2024 9:18 AM</t>
  </si>
  <si>
    <t>DR IKRIMA</t>
  </si>
  <si>
    <t>9182</t>
  </si>
  <si>
    <t>16dEaBXuGLBOEsPnq9wIRqzx5ovOWTFBF</t>
  </si>
  <si>
    <t>https://drive.google.com/file/d/16dEaBXuGLBOEsPnq9wIRqzx5ovOWTFBF/view?usp=drivesdk</t>
  </si>
  <si>
    <t>Document successfully created; Document successfully merged; PDF created; Emails Sent: [To: dr.ikrima.rsbi@gmail.com]; Run via form trigger as ecertificate75@gmail.com; Timestamp: Sep 10 2024 9:19 AM</t>
  </si>
  <si>
    <t>SRI YUNIARTI, S.E.</t>
  </si>
  <si>
    <t>yuniarti1774@gmail.com</t>
  </si>
  <si>
    <t>9183</t>
  </si>
  <si>
    <t>Starting at Thu Aug 29 2024 23:28:05 GMT-0400 (EDT)</t>
  </si>
  <si>
    <t>16bnU28pXoMULRM5y9UZXCH1G4H5reZIG</t>
  </si>
  <si>
    <t>https://drive.google.com/file/d/16bnU28pXoMULRM5y9UZXCH1G4H5reZIG/view?usp=drivesdk</t>
  </si>
  <si>
    <t>Document successfully created; Document successfully merged; PDF created; Emails Sent: [To: yuniarti1774@gmail.com]; Run via form trigger as ecertificate75@gmail.com; Timestamp: Sep 10 2024 9:19 AM</t>
  </si>
  <si>
    <t>KUSAERI</t>
  </si>
  <si>
    <t>saerieri76@gmail.com</t>
  </si>
  <si>
    <t>9184</t>
  </si>
  <si>
    <t>Starting at Thu Aug 29 2024 23:28:11 GMT-0400 (EDT)</t>
  </si>
  <si>
    <t>1o9RMNw-AagVgs1rFhEKfLRVd93kC0uDj</t>
  </si>
  <si>
    <t>https://drive.google.com/file/d/1o9RMNw-AagVgs1rFhEKfLRVd93kC0uDj/view?usp=drivesdk</t>
  </si>
  <si>
    <t>Document successfully created; Document successfully merged; PDF created; Emails Sent: [To: saerieri76@gmail.com]; Run via form trigger as ecertificate75@gmail.com; Timestamp: Sep 10 2024 9:19 AM</t>
  </si>
  <si>
    <t>tekkompapua@gmail.com</t>
  </si>
  <si>
    <t>9185</t>
  </si>
  <si>
    <t>Starting at Thu Aug 29 2024 23:28:14 GMT-0400 (EDT)</t>
  </si>
  <si>
    <t>18ofEoH-SZolxkVmTJGTDfyJzZo8fZzrJ</t>
  </si>
  <si>
    <t>https://drive.google.com/file/d/18ofEoH-SZolxkVmTJGTDfyJzZo8fZzrJ/view?usp=drivesdk</t>
  </si>
  <si>
    <t>Document successfully created; Document successfully merged; PDF created; Emails Sent: [To: tekkompapua@gmail.com]; Run via form trigger as ecertificate75@gmail.com; Timestamp: Sep 10 2024 9:19 AM</t>
  </si>
  <si>
    <t>FARAH AURELA, A.Md.Kom.</t>
  </si>
  <si>
    <t>rifqianugrahchannel@gmail.com</t>
  </si>
  <si>
    <t>9186</t>
  </si>
  <si>
    <t>1AWUZ7ZYnbBXAchhG9M3m51feDgXDJqKS</t>
  </si>
  <si>
    <t>https://drive.google.com/file/d/1AWUZ7ZYnbBXAchhG9M3m51feDgXDJqKS/view?usp=drivesdk</t>
  </si>
  <si>
    <t>Document successfully created; Document successfully merged; PDF created; Emails Sent: [To: rifqianugrahchannel@gmail.com]; Run via form trigger as ecertificate75@gmail.com; Timestamp: Sep 10 2024 9:20 AM</t>
  </si>
  <si>
    <t xml:space="preserve">YENI SARLIJA </t>
  </si>
  <si>
    <t>sarlijayeni@gmail.com</t>
  </si>
  <si>
    <t>9187</t>
  </si>
  <si>
    <t>Starting at Thu Aug 29 2024 23:28:19 GMT-0400 (EDT)</t>
  </si>
  <si>
    <t>1CqiUdMqv5Y9H3jnRXicZOW0Lq3AaqKdD</t>
  </si>
  <si>
    <t>https://drive.google.com/file/d/1CqiUdMqv5Y9H3jnRXicZOW0Lq3AaqKdD/view?usp=drivesdk</t>
  </si>
  <si>
    <t>Document successfully created; Document successfully merged; PDF created; Emails Sent: [To: sarlijayeni@gmail.com]; Run via form trigger as ecertificate75@gmail.com; Timestamp: Sep 10 2024 9:20 AM</t>
  </si>
  <si>
    <t>RAMDANI</t>
  </si>
  <si>
    <t>ramdanimedan762@gmail.com</t>
  </si>
  <si>
    <t>9188</t>
  </si>
  <si>
    <t>1SFMhrLpbwCTQRw_thseoKhWvdM4YAeJv</t>
  </si>
  <si>
    <t>https://drive.google.com/file/d/1SFMhrLpbwCTQRw_thseoKhWvdM4YAeJv/view?usp=drivesdk</t>
  </si>
  <si>
    <t>Document successfully created; Document successfully merged; PDF created; Emails Sent: [To: ramdanimedan762@gmail.com]; Run via form trigger as ecertificate75@gmail.com; Timestamp: Sep 10 2024 9:20 AM</t>
  </si>
  <si>
    <t>PENGDA AYUB</t>
  </si>
  <si>
    <t>ayub39058@gmail.com</t>
  </si>
  <si>
    <t>9189</t>
  </si>
  <si>
    <t>Starting at Thu Aug 29 2024 23:28:54 GMT-0400 (EDT)</t>
  </si>
  <si>
    <t>1aoShLTapmBxPPGVD7RngZxHN3smVUolv</t>
  </si>
  <si>
    <t>https://drive.google.com/file/d/1aoShLTapmBxPPGVD7RngZxHN3smVUolv/view?usp=drivesdk</t>
  </si>
  <si>
    <t>Document successfully created; Document successfully merged; PDF created; Emails Sent: [To: ayub39058@gmail.com]; Run via form trigger as ecertificate75@gmail.com; Timestamp: Sep 10 2024 9:20 AM</t>
  </si>
  <si>
    <t>ARIF HIDAYANTO, S.E., M.Ak.</t>
  </si>
  <si>
    <t>sumda.spripimtb12@gmail.com</t>
  </si>
  <si>
    <t>9190</t>
  </si>
  <si>
    <t>1O4ZyviVg6tpsQ1u37DMQMgnE0EQkfQ5v</t>
  </si>
  <si>
    <t>https://drive.google.com/file/d/1O4ZyviVg6tpsQ1u37DMQMgnE0EQkfQ5v/view?usp=drivesdk</t>
  </si>
  <si>
    <t>Document successfully created; Document successfully merged; PDF created; Emails Sent: [To: sumda.spripimtb12@gmail.com]; Run via form trigger as ecertificate75@gmail.com; Timestamp: Sep 10 2024 9:21 AM</t>
  </si>
  <si>
    <t>REYMESTA AMBARITA, S. KOM</t>
  </si>
  <si>
    <t>sumda.samosir@gmail.com</t>
  </si>
  <si>
    <t>9191</t>
  </si>
  <si>
    <t>1iB9I7OUilXnDNME9qvIAeCVTGmPnCMaK</t>
  </si>
  <si>
    <t>https://drive.google.com/file/d/1iB9I7OUilXnDNME9qvIAeCVTGmPnCMaK/view?usp=drivesdk</t>
  </si>
  <si>
    <t>Document successfully created; Document successfully merged; PDF created; Emails Sent: [To: sumda.samosir@gmail.com]; Run via form trigger as ecertificate75@gmail.com; Timestamp: Sep 10 2024 9:21 AM</t>
  </si>
  <si>
    <t>Ns.Kartini,S.Kep</t>
  </si>
  <si>
    <t>arifkartini1@gmail.com</t>
  </si>
  <si>
    <t>9192</t>
  </si>
  <si>
    <t>1Z4om66aCSanVQsSgPq98K08iB_P7krUo</t>
  </si>
  <si>
    <t>https://drive.google.com/file/d/1Z4om66aCSanVQsSgPq98K08iB_P7krUo/view?usp=drivesdk</t>
  </si>
  <si>
    <t>Document successfully created; Document successfully merged; PDF created; Emails Sent: [To: arifkartini1@gmail.com]; Run via form trigger as ecertificate75@gmail.com; Timestamp: Sep 10 2024 9:21 AM</t>
  </si>
  <si>
    <t>RIZKYA RAMADHANTI, A.Md. Kep.</t>
  </si>
  <si>
    <t>rizkyaramadhantiabdn@gmail.com</t>
  </si>
  <si>
    <t>9193</t>
  </si>
  <si>
    <t>1YYNfs0YDsda_1R-C7JaMI5MyBXcb1MZH</t>
  </si>
  <si>
    <t>https://drive.google.com/file/d/1YYNfs0YDsda_1R-C7JaMI5MyBXcb1MZH/view?usp=drivesdk</t>
  </si>
  <si>
    <t>Document successfully created; Document successfully merged; PDF created; Emails Sent: [To: rizkyaramadhantiabdn@gmail.com]; Manually run by ecertificate75@gmail.com; Timestamp: Sep 10 2024 9:30 AM</t>
  </si>
  <si>
    <t>NUR FARIDA SURYANI</t>
  </si>
  <si>
    <t>suryaninurfarida@gmail.com</t>
  </si>
  <si>
    <t>9194</t>
  </si>
  <si>
    <t>Starting at Thu Aug 29 2024 23:29:18 GMT-0400 (EDT)</t>
  </si>
  <si>
    <t>1kChTI2XOqUBXZQSPeRzfJp89aYzojhH0</t>
  </si>
  <si>
    <t>https://drive.google.com/file/d/1kChTI2XOqUBXZQSPeRzfJp89aYzojhH0/view?usp=drivesdk</t>
  </si>
  <si>
    <t>Document successfully created; Document successfully merged; PDF created; Emails Sent: [To: suryaninurfarida@gmail.com]; Manually run by ecertificate75@gmail.com; Timestamp: Sep 10 2024 9:30 AM</t>
  </si>
  <si>
    <t>dr. DIAH DEWI ANGGRAENI</t>
  </si>
  <si>
    <t>diahdewi.anggraeni@gmail.com</t>
  </si>
  <si>
    <t>9195</t>
  </si>
  <si>
    <t>1Hmay7_jZ9u4YQ7fl7ceaYZk6wQSFrQk-</t>
  </si>
  <si>
    <t>https://drive.google.com/file/d/1Hmay7_jZ9u4YQ7fl7ceaYZk6wQSFrQk-/view?usp=drivesdk</t>
  </si>
  <si>
    <t>Document successfully created; Document successfully merged; PDF created; Emails Sent: [To: diahdewi.anggraeni@gmail.com]; Manually run by ecertificate75@gmail.com; Timestamp: Sep 10 2024 9:30 AM</t>
  </si>
  <si>
    <t>KABUL ABADI</t>
  </si>
  <si>
    <t>kabulabadi3@gmil.com</t>
  </si>
  <si>
    <t>9196</t>
  </si>
  <si>
    <t>Starting at Thu Aug 29 2024 23:29:34 GMT-0400 (EDT)</t>
  </si>
  <si>
    <t>1LiBpz8-O0q_p5-JNjdaL0vlrqjIOvJON</t>
  </si>
  <si>
    <t>https://drive.google.com/file/d/1LiBpz8-O0q_p5-JNjdaL0vlrqjIOvJON/view?usp=drivesdk</t>
  </si>
  <si>
    <t>Document successfully created; Document successfully merged; PDF created; Emails Sent: [To: kabulabadi3@gmil.com]; Manually run by ecertificate75@gmail.com; Timestamp: Sep 10 2024 9:30 AM</t>
  </si>
  <si>
    <t>PURNAMA MANIK</t>
  </si>
  <si>
    <t>purnamamanik632@gmail.com</t>
  </si>
  <si>
    <t>9197</t>
  </si>
  <si>
    <t>1fbkC35b_UdCVu-nTqSSq1EmjtKDIMaIq</t>
  </si>
  <si>
    <t>https://drive.google.com/file/d/1fbkC35b_UdCVu-nTqSSq1EmjtKDIMaIq/view?usp=drivesdk</t>
  </si>
  <si>
    <t>Document successfully created; Document successfully merged; PDF created; Emails Sent: [To: purnamamanik632@gmail.com]; Manually run by ecertificate75@gmail.com; Timestamp: Sep 10 2024 9:31 AM</t>
  </si>
  <si>
    <t>pri010376@gmail.com</t>
  </si>
  <si>
    <t>9198</t>
  </si>
  <si>
    <t>15LE5MzSOfvQE2menmYSnuzxxPt0P0tty</t>
  </si>
  <si>
    <t>https://drive.google.com/file/d/15LE5MzSOfvQE2menmYSnuzxxPt0P0tty/view?usp=drivesdk</t>
  </si>
  <si>
    <t>Document successfully created; Document successfully merged; PDF created; Emails Sent: [To: pri010376@gmail.com]; Manually run by ecertificate75@gmail.com; Timestamp: Sep 10 2024 9:31 AM</t>
  </si>
  <si>
    <t>SUNARTI,S.Kep.Ners</t>
  </si>
  <si>
    <t>sunarti.nganjuk@gmail.com</t>
  </si>
  <si>
    <t>9199</t>
  </si>
  <si>
    <t>1FHy-m5v1X3aJGy8Rw0rt17OHvwNzmLzg</t>
  </si>
  <si>
    <t>https://drive.google.com/file/d/1FHy-m5v1X3aJGy8Rw0rt17OHvwNzmLzg/view?usp=drivesdk</t>
  </si>
  <si>
    <t>Document successfully created; Document successfully merged; PDF created; Emails Sent: [To: sunarti.nganjuk@gmail.com]; Manually run by ecertificate75@gmail.com; Timestamp: Sep 10 2024 9:31 AM</t>
  </si>
  <si>
    <t>Dian Anggraeni, S.Sos</t>
  </si>
  <si>
    <t>diananggraeniss90@gmail.com</t>
  </si>
  <si>
    <t>9200</t>
  </si>
  <si>
    <t>15usX331Vl0gtVB_q1z_meR1S7XEKAULS</t>
  </si>
  <si>
    <t>https://drive.google.com/file/d/15usX331Vl0gtVB_q1z_meR1S7XEKAULS/view?usp=drivesdk</t>
  </si>
  <si>
    <t>Document successfully created; Document successfully merged; PDF created; Emails Sent: [To: diananggraeniss90@gmail.com]; Manually run by ecertificate75@gmail.com; Timestamp: Sep 10 2024 9:31 AM</t>
  </si>
  <si>
    <t>EUNIKE CHRISTINA ELFARINI, S.E.</t>
  </si>
  <si>
    <t>kareninabutarbutarsd@gmail.com</t>
  </si>
  <si>
    <t>9201</t>
  </si>
  <si>
    <t>1raj6EJUXzAW7X6LpMwrIKT6gRF8YHosD</t>
  </si>
  <si>
    <t>https://drive.google.com/file/d/1raj6EJUXzAW7X6LpMwrIKT6gRF8YHosD/view?usp=drivesdk</t>
  </si>
  <si>
    <t>Document successfully created; Document successfully merged; PDF created; Emails Sent: [To: kareninabutarbutarsd@gmail.com]; Manually run by ecertificate75@gmail.com; Timestamp: Sep 10 2024 9:31 AM</t>
  </si>
  <si>
    <t>MAMAN NUROHMAN</t>
  </si>
  <si>
    <t>maman.nurohman86@gmail.com</t>
  </si>
  <si>
    <t>9202</t>
  </si>
  <si>
    <t>1749iVMf_TOLmCpf_5gnuBhCebUPZDQRt</t>
  </si>
  <si>
    <t>https://drive.google.com/file/d/1749iVMf_TOLmCpf_5gnuBhCebUPZDQRt/view?usp=drivesdk</t>
  </si>
  <si>
    <t>Document successfully created; Document successfully merged; PDF created; Emails Sent: [To: maman.nurohman86@gmail.com]; Manually run by ecertificate75@gmail.com; Timestamp: Sep 10 2024 9:32 AM</t>
  </si>
  <si>
    <t>AMBRANSYAH</t>
  </si>
  <si>
    <t>ambransyah04@gmail.com</t>
  </si>
  <si>
    <t>9203</t>
  </si>
  <si>
    <t>1g_YiGggyH6rHZiue2VCdJQJW1zW5l1xg</t>
  </si>
  <si>
    <t>https://drive.google.com/file/d/1g_YiGggyH6rHZiue2VCdJQJW1zW5l1xg/view?usp=drivesdk</t>
  </si>
  <si>
    <t>Document successfully created; Document successfully merged; PDF created; Emails Sent: [To: ambransyah04@gmail.com]; Manually run by ecertificate75@gmail.com; Timestamp: Sep 10 2024 9:32 AM</t>
  </si>
  <si>
    <t>MITA SIRINGO RINGO S. Kep. Ners</t>
  </si>
  <si>
    <t>mitaringo82@gmail.com</t>
  </si>
  <si>
    <t>9204</t>
  </si>
  <si>
    <t>Starting at Thu Aug 29 2024 23:30:14 GMT-0400 (EDT)</t>
  </si>
  <si>
    <t>13i4XzU8wYsEAAvop-nXuug6WDxBi1PmU</t>
  </si>
  <si>
    <t>https://drive.google.com/file/d/13i4XzU8wYsEAAvop-nXuug6WDxBi1PmU/view?usp=drivesdk</t>
  </si>
  <si>
    <t>Document successfully created; Document successfully merged; PDF created; Emails Sent: [To: mitaringo82@gmail.com]; Manually run by ecertificate75@gmail.com; Timestamp: Sep 10 2024 9:32 AM</t>
  </si>
  <si>
    <t xml:space="preserve">DWI AMBARWATI </t>
  </si>
  <si>
    <t>ambar290479@gmail.com</t>
  </si>
  <si>
    <t>9205</t>
  </si>
  <si>
    <t>1HmkE0WG87GNUoSWg5V3N6e6HDMiFFmAm</t>
  </si>
  <si>
    <t>https://drive.google.com/file/d/1HmkE0WG87GNUoSWg5V3N6e6HDMiFFmAm/view?usp=drivesdk</t>
  </si>
  <si>
    <t>Document successfully created; Document successfully merged; PDF created; Emails Sent: [To: ambar290479@gmail.com]; Manually run by ecertificate75@gmail.com; Timestamp: Sep 10 2024 9:32 AM</t>
  </si>
  <si>
    <t>NASYIR, S. Sos</t>
  </si>
  <si>
    <t>nasyirnasyir2@gmail.com</t>
  </si>
  <si>
    <t>9206</t>
  </si>
  <si>
    <t>1jx1tbf6skMe6_br2uscONmade9XPcUpo</t>
  </si>
  <si>
    <t>https://drive.google.com/file/d/1jx1tbf6skMe6_br2uscONmade9XPcUpo/view?usp=drivesdk</t>
  </si>
  <si>
    <t>Document successfully created; Document successfully merged; PDF created; !!Error Sending Emails: Service invoked too many times for one day: email.; Manually run by ecertificate75@gmail.com; Timestamp: Sep 10 2024 9:33 AM</t>
  </si>
  <si>
    <t>SINTA ARI WATININGSIH, A.Md.</t>
  </si>
  <si>
    <t>christinaari.can@gmail.com</t>
  </si>
  <si>
    <t>9207</t>
  </si>
  <si>
    <t>1oqLxs_12ntTmW9hEdQma_opZiXbHmoC_</t>
  </si>
  <si>
    <t>https://drive.google.com/file/d/1oqLxs_12ntTmW9hEdQma_opZiXbHmoC_/view?usp=drivesdk</t>
  </si>
  <si>
    <t>RONY SIAGIAN</t>
  </si>
  <si>
    <t>ronysiagian2009@gmail.com</t>
  </si>
  <si>
    <t>9208</t>
  </si>
  <si>
    <t>1MHi6zZB_aZbTQ9fX1kmFjsIxPZM36HtT</t>
  </si>
  <si>
    <t>https://drive.google.com/file/d/1MHi6zZB_aZbTQ9fX1kmFjsIxPZM36HtT/view?usp=drivesdk</t>
  </si>
  <si>
    <t>EKO MISWONO, S. Kom</t>
  </si>
  <si>
    <t>miswonoeeko@gmail.com</t>
  </si>
  <si>
    <t>9209</t>
  </si>
  <si>
    <t>14kvYiuRJCnv8Y__iye1kTvIfKnKN1z9W</t>
  </si>
  <si>
    <t>https://drive.google.com/file/d/14kvYiuRJCnv8Y__iye1kTvIfKnKN1z9W/view?usp=drivesdk</t>
  </si>
  <si>
    <t>SIPRIANUS DESA. AMD. KEP</t>
  </si>
  <si>
    <t>sipridesa@gmail.com</t>
  </si>
  <si>
    <t>9210</t>
  </si>
  <si>
    <t>1wzLjzQ23q3uqpP8I1ZwDjbWrmvQQ4vSa</t>
  </si>
  <si>
    <t>https://drive.google.com/file/d/1wzLjzQ23q3uqpP8I1ZwDjbWrmvQQ4vSa/view?usp=drivesdk</t>
  </si>
  <si>
    <t>ALAMSAH</t>
  </si>
  <si>
    <t>alamsyahgarut3@gmail.com</t>
  </si>
  <si>
    <t>9211</t>
  </si>
  <si>
    <t>13WP4XDJ_NKFolR6JB5EUI17LcOJf3E1s</t>
  </si>
  <si>
    <t>https://drive.google.com/file/d/13WP4XDJ_NKFolR6JB5EUI17LcOJf3E1s/view?usp=drivesdk</t>
  </si>
  <si>
    <t>Document successfully created; Document successfully merged; PDF created; !!Error Sending Emails: Service invoked too many times for one day: email.; Manually run by ecertificate75@gmail.com; Timestamp: Sep 10 2024 9:34 AM</t>
  </si>
  <si>
    <t>CAHAYA MELATI HUTABARAT, Am.Keb</t>
  </si>
  <si>
    <t>cahayahutabarat1990@gmail.com</t>
  </si>
  <si>
    <t>9212</t>
  </si>
  <si>
    <t>Starting at Thu Aug 29 2024 23:30:40 GMT-0400 (EDT)</t>
  </si>
  <si>
    <t>15FRs_Bi68U8S7iRWH9lj8Mhtambyfsmx</t>
  </si>
  <si>
    <t>https://drive.google.com/file/d/15FRs_Bi68U8S7iRWH9lj8Mhtambyfsmx/view?usp=drivesdk</t>
  </si>
  <si>
    <t>dr SITI ANUGERAH SARAH MULIAWATI N</t>
  </si>
  <si>
    <t>sitianugerahsarah@gmail.com</t>
  </si>
  <si>
    <t>9213</t>
  </si>
  <si>
    <t>1dcvZZSABC-EiYjFPpB-WRjqF0wXZRrgS</t>
  </si>
  <si>
    <t>https://drive.google.com/file/d/1dcvZZSABC-EiYjFPpB-WRjqF0wXZRrgS/view?usp=drivesdk</t>
  </si>
  <si>
    <t>MARTINI HANDAYANI, S.E.</t>
  </si>
  <si>
    <t>martinihandayani04@gmail.com</t>
  </si>
  <si>
    <t>9214</t>
  </si>
  <si>
    <t>1072fxuj7ZDhd3DUPK1KjUUufnUmxO7ES</t>
  </si>
  <si>
    <t>https://drive.google.com/file/d/1072fxuj7ZDhd3DUPK1KjUUufnUmxO7ES/view?usp=drivesdk</t>
  </si>
  <si>
    <t xml:space="preserve">AKHMAD MA'MUN </t>
  </si>
  <si>
    <t>miftahalimamun@mhs.uingusdur.ac.id</t>
  </si>
  <si>
    <t>9215</t>
  </si>
  <si>
    <t>Starting at Thu Aug 29 2024 23:31:01 GMT-0400 (EDT)</t>
  </si>
  <si>
    <t>1AcFbIEBcKczvemvEEaReVy8Bgzn4aZDR</t>
  </si>
  <si>
    <t>https://drive.google.com/file/d/1AcFbIEBcKczvemvEEaReVy8Bgzn4aZDR/view?usp=drivesdk</t>
  </si>
  <si>
    <t>AIDA RATNAWATI, A.Md.Kep</t>
  </si>
  <si>
    <t>aidaratnawati@gmail.com</t>
  </si>
  <si>
    <t>9216</t>
  </si>
  <si>
    <t>Starting at Thu Aug 29 2024 23:31:05 GMT-0400 (EDT)</t>
  </si>
  <si>
    <t>1Mjjg9Enfp0ruBsO9VyKG1Zhr2100adAZ</t>
  </si>
  <si>
    <t>https://drive.google.com/file/d/1Mjjg9Enfp0ruBsO9VyKG1Zhr2100adAZ/view?usp=drivesdk</t>
  </si>
  <si>
    <t xml:space="preserve">ADNAN SYARIF </t>
  </si>
  <si>
    <t>adnansyarif317@gmail.com</t>
  </si>
  <si>
    <t>9217</t>
  </si>
  <si>
    <t>Starting at Thu Aug 29 2024 23:31:08 GMT-0400 (EDT)</t>
  </si>
  <si>
    <t>1nDLzQVFJDnuW0kxt8E5K8f2COePOsQm3</t>
  </si>
  <si>
    <t>https://drive.google.com/file/d/1nDLzQVFJDnuW0kxt8E5K8f2COePOsQm3/view?usp=drivesdk</t>
  </si>
  <si>
    <t>NOVIA ANDINI, A. Md. Farm</t>
  </si>
  <si>
    <t>noviaandini614@gmail.com</t>
  </si>
  <si>
    <t>9218</t>
  </si>
  <si>
    <t>Starting at Thu Aug 29 2024 23:31:15 GMT-0400 (EDT)</t>
  </si>
  <si>
    <t>1hYxL0c04jZyU2AXeV47SObd1cynNgnKa</t>
  </si>
  <si>
    <t>https://drive.google.com/file/d/1hYxL0c04jZyU2AXeV47SObd1cynNgnKa/view?usp=drivesdk</t>
  </si>
  <si>
    <t>Document successfully created; Document successfully merged; PDF created; !!Error Sending Emails: Service invoked too many times for one day: email.; Manually run by ecertificate75@gmail.com; Timestamp: Sep 10 2024 10:47 AM</t>
  </si>
  <si>
    <t>WARSIAH</t>
  </si>
  <si>
    <t>wwarsiah5@gmail.com</t>
  </si>
  <si>
    <t>9219</t>
  </si>
  <si>
    <t>Starting at Thu Aug 29 2024 23:31:18 GMT-0400 (EDT)</t>
  </si>
  <si>
    <t>1ldOTP-7hEFMMMggWv0oM6MWz9vTKlmCF</t>
  </si>
  <si>
    <t>https://drive.google.com/file/d/1ldOTP-7hEFMMMggWv0oM6MWz9vTKlmCF/view?usp=drivesdk</t>
  </si>
  <si>
    <t>DR. DIEN SUSANDIENA WANUDYOJATI</t>
  </si>
  <si>
    <t>dien.susandieni@gmail.com</t>
  </si>
  <si>
    <t>9220</t>
  </si>
  <si>
    <t>1KYdZ1HkBYdIKmuxuLsQgBmrrRuZkGg8e</t>
  </si>
  <si>
    <t>https://drive.google.com/file/d/1KYdZ1HkBYdIKmuxuLsQgBmrrRuZkGg8e/view?usp=drivesdk</t>
  </si>
  <si>
    <t>Document successfully created; Document successfully merged; PDF created; Emails Sent: [To: dien.susandieni@gmail.com]; Manually run by ecertificate75@gmail.com; Timestamp: Sep 16 2024 8:38 PM</t>
  </si>
  <si>
    <t>IDA BAGUS PUTRA ADNYANA</t>
  </si>
  <si>
    <t>adnyanagusde5@gmail.com</t>
  </si>
  <si>
    <t>9221</t>
  </si>
  <si>
    <t>Starting at Thu Aug 29 2024 23:31:20 GMT-0400 (EDT)</t>
  </si>
  <si>
    <t>1kXdjF17cDPT5PV4TShSrw3kbEgQ1caN7</t>
  </si>
  <si>
    <t>https://drive.google.com/file/d/1kXdjF17cDPT5PV4TShSrw3kbEgQ1caN7/view?usp=drivesdk</t>
  </si>
  <si>
    <t>Document successfully created; Document successfully merged; PDF created; Emails Sent: [To: adnyanagusde5@gmail.com]; Manually run by ecertificate75@gmail.com; Timestamp: Sep 16 2024 8:38 PM</t>
  </si>
  <si>
    <t>DRH. RAHAYU WIDIANINGSIH</t>
  </si>
  <si>
    <t>rahayuwidianingsih7@gmail.com</t>
  </si>
  <si>
    <t>9222</t>
  </si>
  <si>
    <t>Starting at Thu Aug 29 2024 23:31:29 GMT-0400 (EDT)</t>
  </si>
  <si>
    <t>1iTX0BFA55CADRwoE0aPxcddRlG1VrBZM</t>
  </si>
  <si>
    <t>https://drive.google.com/file/d/1iTX0BFA55CADRwoE0aPxcddRlG1VrBZM/view?usp=drivesdk</t>
  </si>
  <si>
    <t>Document successfully created; Document successfully merged; PDF created; Emails Sent: [To: rahayuwidianingsih7@gmail.com]; Manually run by ecertificate75@gmail.com; Timestamp: Sep 16 2024 8:38 PM</t>
  </si>
  <si>
    <t xml:space="preserve">IBU YANI </t>
  </si>
  <si>
    <t>yani49879@gmail.com</t>
  </si>
  <si>
    <t>9223</t>
  </si>
  <si>
    <t>Starting at Thu Aug 29 2024 23:31:34 GMT-0400 (EDT)</t>
  </si>
  <si>
    <t>1PdlDIKULBkwC5qWSlM6LrFf7N8GjNL8V</t>
  </si>
  <si>
    <t>https://drive.google.com/file/d/1PdlDIKULBkwC5qWSlM6LrFf7N8GjNL8V/view?usp=drivesdk</t>
  </si>
  <si>
    <t>Document successfully created; Document successfully merged; PDF created; Emails Sent: [To: yani49879@gmail.com]; Manually run by ecertificate75@gmail.com; Timestamp: Sep 16 2024 8:38 PM</t>
  </si>
  <si>
    <t>AFNI ANGGRIANI JACOB, S.Kep</t>
  </si>
  <si>
    <t>afnianggriyani@gmail.com</t>
  </si>
  <si>
    <t>9224</t>
  </si>
  <si>
    <t>Starting at Thu Aug 29 2024 23:31:38 GMT-0400 (EDT)</t>
  </si>
  <si>
    <t>1IPlFnLqKxTNEk5OEgxYvg7O6t7RwMOPB</t>
  </si>
  <si>
    <t>https://drive.google.com/file/d/1IPlFnLqKxTNEk5OEgxYvg7O6t7RwMOPB/view?usp=drivesdk</t>
  </si>
  <si>
    <t>Document successfully created; Document successfully merged; PDF created; Emails Sent: [To: afnianggriyani@gmail.com]; Manually run by ecertificate75@gmail.com; Timestamp: Sep 16 2024 8:39 PM</t>
  </si>
  <si>
    <t>SANTI NURSUSANTI</t>
  </si>
  <si>
    <t>santinursusanti15@gmail.com</t>
  </si>
  <si>
    <t>9225</t>
  </si>
  <si>
    <t>Starting at Thu Aug 29 2024 23:31:48 GMT-0400 (EDT)</t>
  </si>
  <si>
    <t>10v_UujDy0KhILOb3-dtZ7yVrH078L7Dy</t>
  </si>
  <si>
    <t>https://drive.google.com/file/d/10v_UujDy0KhILOb3-dtZ7yVrH078L7Dy/view?usp=drivesdk</t>
  </si>
  <si>
    <t>Document successfully created; Document successfully merged; PDF created; Emails Sent: [To: santinursusanti15@gmail.com]; Manually run by ecertificate75@gmail.com; Timestamp: Sep 16 2024 8:39 PM</t>
  </si>
  <si>
    <t>SARMUN</t>
  </si>
  <si>
    <t>sarmunsarangan8@gmail.com</t>
  </si>
  <si>
    <t>9226</t>
  </si>
  <si>
    <t>Starting at Thu Aug 29 2024 23:32:01 GMT-0400 (EDT)</t>
  </si>
  <si>
    <t>1XMFDr5P3IP4rsiajPTx2EfO31x3gZEMJ</t>
  </si>
  <si>
    <t>https://drive.google.com/file/d/1XMFDr5P3IP4rsiajPTx2EfO31x3gZEMJ/view?usp=drivesdk</t>
  </si>
  <si>
    <t>Document successfully created; Document successfully merged; PDF created; Emails Sent: [To: sarmunsarangan8@gmail.com]; Manually run by ecertificate75@gmail.com; Timestamp: Sep 16 2024 8:39 PM</t>
  </si>
  <si>
    <t>ERIZAL K</t>
  </si>
  <si>
    <t>erizalkacak1@gmail.com</t>
  </si>
  <si>
    <t>9227</t>
  </si>
  <si>
    <t>1cjsJ1sq2O829x90cza8eZlbbUhEt-FF6</t>
  </si>
  <si>
    <t>https://drive.google.com/file/d/1cjsJ1sq2O829x90cza8eZlbbUhEt-FF6/view?usp=drivesdk</t>
  </si>
  <si>
    <t>Document successfully created; Document successfully merged; PDF created; Emails Sent: [To: erizalkacak1@gmail.com]; Manually run by ecertificate75@gmail.com; Timestamp: Sep 16 2024 8:39 PM</t>
  </si>
  <si>
    <t>BETTY APRIANI,SE</t>
  </si>
  <si>
    <t>bettyapriani83@gmail.com</t>
  </si>
  <si>
    <t>9228</t>
  </si>
  <si>
    <t>Starting at Thu Aug 29 2024 23:32:08 GMT-0400 (EDT)</t>
  </si>
  <si>
    <t>1Lx_xYCASmIwiMJ7BXbpiGsX6-i4_RHd0</t>
  </si>
  <si>
    <t>https://drive.google.com/file/d/1Lx_xYCASmIwiMJ7BXbpiGsX6-i4_RHd0/view?usp=drivesdk</t>
  </si>
  <si>
    <t>Document successfully created; Document successfully merged; PDF created; Emails Sent: [To: bettyapriani83@gmail.com]; Manually run by ecertificate75@gmail.com; Timestamp: Sep 16 2024 8:40 PM</t>
  </si>
  <si>
    <t>DADANG SULAEMAN</t>
  </si>
  <si>
    <t>dsulaeman.1603@gmail.com</t>
  </si>
  <si>
    <t>9229</t>
  </si>
  <si>
    <t>Starting at Thu Aug 29 2024 23:32:15 GMT-0400 (EDT)</t>
  </si>
  <si>
    <t>1QUpS9QYO6LbEJDG19tUGNRTDVp9GphbY</t>
  </si>
  <si>
    <t>https://drive.google.com/file/d/1QUpS9QYO6LbEJDG19tUGNRTDVp9GphbY/view?usp=drivesdk</t>
  </si>
  <si>
    <t>Document successfully created; Document successfully merged; PDF created; Emails Sent: [To: dsulaeman.1603@gmail.com]; Manually run by ecertificate75@gmail.com; Timestamp: Sep 16 2024 8:40 PM</t>
  </si>
  <si>
    <t>ISTIQOMAH</t>
  </si>
  <si>
    <t>istiqomah050771@gmail.com</t>
  </si>
  <si>
    <t>9230</t>
  </si>
  <si>
    <t>Starting at Thu Aug 29 2024 23:32:22 GMT-0400 (EDT)</t>
  </si>
  <si>
    <t>1CNQ6lF07LoJam73DJzyzFbskXrRlqB_T</t>
  </si>
  <si>
    <t>https://drive.google.com/file/d/1CNQ6lF07LoJam73DJzyzFbskXrRlqB_T/view?usp=drivesdk</t>
  </si>
  <si>
    <t>Document successfully created; Document successfully merged; PDF created; Emails Sent: [To: istiqomah050771@gmail.com]; Manually run by ecertificate75@gmail.com; Timestamp: Sep 16 2024 8:40 PM</t>
  </si>
  <si>
    <t>FITRI ROMADANTI</t>
  </si>
  <si>
    <t>romadantifitri1@gmail.com</t>
  </si>
  <si>
    <t>9231</t>
  </si>
  <si>
    <t>Starting at Thu Aug 29 2024 23:32:32 GMT-0400 (EDT)</t>
  </si>
  <si>
    <t>1r0msmJ0EFP5KtJoYI3r03cGyocBUu9C4</t>
  </si>
  <si>
    <t>https://drive.google.com/file/d/1r0msmJ0EFP5KtJoYI3r03cGyocBUu9C4/view?usp=drivesdk</t>
  </si>
  <si>
    <t>Document successfully created; Document successfully merged; PDF created; Emails Sent: [To: romadantifitri1@gmail.com]; Manually run by ecertificate75@gmail.com; Timestamp: Sep 16 2024 8:40 PM</t>
  </si>
  <si>
    <t>RATNA MULIANI</t>
  </si>
  <si>
    <t>ratna.tamarest@gmail.com</t>
  </si>
  <si>
    <t>9232</t>
  </si>
  <si>
    <t>Starting at Thu Aug 29 2024 23:32:40 GMT-0400 (EDT)</t>
  </si>
  <si>
    <t>1d0v-dXz8W-xOXg0rNJz6FQs1hzdXU8j1</t>
  </si>
  <si>
    <t>https://drive.google.com/file/d/1d0v-dXz8W-xOXg0rNJz6FQs1hzdXU8j1/view?usp=drivesdk</t>
  </si>
  <si>
    <t>Document successfully created; Document successfully merged; PDF created; Emails Sent: [To: ratna.tamarest@gmail.com]; Manually run by ecertificate75@gmail.com; Timestamp: Sep 16 2024 8:41 PM</t>
  </si>
  <si>
    <t>MARGARETA ELIN</t>
  </si>
  <si>
    <t>margaretaelin97@gmail.com</t>
  </si>
  <si>
    <t>9233</t>
  </si>
  <si>
    <t>Starting at Thu Aug 29 2024 23:32:45 GMT-0400 (EDT)</t>
  </si>
  <si>
    <t>1B2MYdVlXozHhQyaSbP_zpu1cmmUHvmra</t>
  </si>
  <si>
    <t>https://drive.google.com/file/d/1B2MYdVlXozHhQyaSbP_zpu1cmmUHvmra/view?usp=drivesdk</t>
  </si>
  <si>
    <t>Document successfully created; Document successfully merged; PDF created; Emails Sent: [To: margaretaelin97@gmail.com]; Manually run by ecertificate75@gmail.com; Timestamp: Sep 16 2024 8:42 PM</t>
  </si>
  <si>
    <t>ENGLIS PANDIANGAN</t>
  </si>
  <si>
    <t>englis.pandiangan@gmail.com</t>
  </si>
  <si>
    <t>9234</t>
  </si>
  <si>
    <t>Starting at Thu Aug 29 2024 23:32:48 GMT-0400 (EDT)</t>
  </si>
  <si>
    <t>1J9pm39-TVpiyFC6WIaNzHhZb4n5IM0RI</t>
  </si>
  <si>
    <t>https://drive.google.com/file/d/1J9pm39-TVpiyFC6WIaNzHhZb4n5IM0RI/view?usp=drivesdk</t>
  </si>
  <si>
    <t>Document successfully created; Document successfully merged; PDF created; Emails Sent: [To: englis.pandiangan@gmail.com]; Manually run by ecertificate75@gmail.com; Timestamp: Sep 16 2024 8:43 PM</t>
  </si>
  <si>
    <t>DITA SURYA AGUNG WIJAYA</t>
  </si>
  <si>
    <t>satgasbidhumas@gmail.com</t>
  </si>
  <si>
    <t>9235</t>
  </si>
  <si>
    <t>Starting at Thu Aug 29 2024 23:32:52 GMT-0400 (EDT)</t>
  </si>
  <si>
    <t>10rV0HmJc_pU5eKWP_6LXejOoKq59ldAY</t>
  </si>
  <si>
    <t>https://drive.google.com/file/d/10rV0HmJc_pU5eKWP_6LXejOoKq59ldAY/view?usp=drivesdk</t>
  </si>
  <si>
    <t>Document successfully created; Document successfully merged; PDF created; Emails Sent: [To: satgasbidhumas@gmail.com]; Manually run by ecertificate75@gmail.com; Timestamp: Sep 16 2024 8:43 PM</t>
  </si>
  <si>
    <t xml:space="preserve">ELIS SUHARTINI </t>
  </si>
  <si>
    <t>elis13suhartini@gmail.com</t>
  </si>
  <si>
    <t>9236</t>
  </si>
  <si>
    <t>14SQ7FdmnegHAtGmA4pz34sQSmanh6JKN</t>
  </si>
  <si>
    <t>https://drive.google.com/file/d/14SQ7FdmnegHAtGmA4pz34sQSmanh6JKN/view?usp=drivesdk</t>
  </si>
  <si>
    <t>Document successfully created; Document successfully merged; PDF created; Emails Sent: [To: elis13suhartini@gmail.com]; Manually run by ecertificate75@gmail.com; Timestamp: Sep 16 2024 8:43 PM</t>
  </si>
  <si>
    <t>VAIS FEBRI PRANGGONO</t>
  </si>
  <si>
    <t>vais@stik-ptik.ac.id</t>
  </si>
  <si>
    <t>9237</t>
  </si>
  <si>
    <t>1oiT_0dwQe0Oq6e0n4tixmXh27fsalEDk</t>
  </si>
  <si>
    <t>https://drive.google.com/file/d/1oiT_0dwQe0Oq6e0n4tixmXh27fsalEDk/view?usp=drivesdk</t>
  </si>
  <si>
    <t>Document successfully created; Document successfully merged; PDF created; Emails Sent: [To: vais@stik-ptik.ac.id]; Manually run by ecertificate75@gmail.com; Timestamp: Sep 16 2024 8:44 PM</t>
  </si>
  <si>
    <t>JULI ELFRIDA SITEPU</t>
  </si>
  <si>
    <t>laraati2014@gmail.com</t>
  </si>
  <si>
    <t>9238</t>
  </si>
  <si>
    <t>1iFVDu4v4Ss8p3_hVtvY8C5dwtniCx3di</t>
  </si>
  <si>
    <t>https://drive.google.com/file/d/1iFVDu4v4Ss8p3_hVtvY8C5dwtniCx3di/view?usp=drivesdk</t>
  </si>
  <si>
    <t>Document successfully created; Document successfully merged; PDF created; Emails Sent: [To: laraati2014@gmail.com]; Manually run by ecertificate75@gmail.com; Timestamp: Sep 16 2024 8:44 PM</t>
  </si>
  <si>
    <t>DR. RIO ADI SARIDEWI</t>
  </si>
  <si>
    <t>saridewirio@gmail.com</t>
  </si>
  <si>
    <t>9239</t>
  </si>
  <si>
    <t>Starting at Thu Aug 29 2024 23:33:01 GMT-0400 (EDT)</t>
  </si>
  <si>
    <t>12EL0hOvBEEaWV-Jw_ibSgll4Hl4wHrKC</t>
  </si>
  <si>
    <t>https://drive.google.com/file/d/12EL0hOvBEEaWV-Jw_ibSgll4Hl4wHrKC/view?usp=drivesdk</t>
  </si>
  <si>
    <t>Document successfully created; Document successfully merged; PDF created; Emails Sent: [To: saridewirio@gmail.com]; Manually run by ecertificate75@gmail.com; Timestamp: Sep 16 2024 8:44 PM</t>
  </si>
  <si>
    <t>SAFRIZAL</t>
  </si>
  <si>
    <t>safrizal.ustadz@gmail.com</t>
  </si>
  <si>
    <t>9240</t>
  </si>
  <si>
    <t>Starting at Thu Aug 29 2024 23:35:21 GMT-0400 (EDT)</t>
  </si>
  <si>
    <t>1F5c8MG8xpQCv5NgZg-xFpvZeXCvU_-yg</t>
  </si>
  <si>
    <t>https://drive.google.com/file/d/1F5c8MG8xpQCv5NgZg-xFpvZeXCvU_-yg/view?usp=drivesdk</t>
  </si>
  <si>
    <t>Document successfully created; Document successfully merged; PDF created; Emails Sent: [To: safrizal.ustadz@gmail.com]; Manually run by ecertificate75@gmail.com; Timestamp: Sep 16 2024 8:45 PM</t>
  </si>
  <si>
    <t xml:space="preserve">JUHAINI </t>
  </si>
  <si>
    <t>juhainigubuklajut@gmail.com</t>
  </si>
  <si>
    <t>9241</t>
  </si>
  <si>
    <t>1hIR62CVmU7rlUKciAj7E3LrksST5Bnqo</t>
  </si>
  <si>
    <t>https://drive.google.com/file/d/1hIR62CVmU7rlUKciAj7E3LrksST5Bnqo/view?usp=drivesdk</t>
  </si>
  <si>
    <t>Document successfully created; Document successfully merged; PDF created; Emails Sent: [To: juhainigubuklajut@gmail.com]; Manually run by ecertificate75@gmail.com; Timestamp: Sep 16 2024 8:45 PM</t>
  </si>
  <si>
    <t>ASTI SYAHIDA RIDWAN, A.Md.Kep</t>
  </si>
  <si>
    <t>astisr0@gmail.com</t>
  </si>
  <si>
    <t>9242</t>
  </si>
  <si>
    <t>1jaOhdtCPXYgj5Gk3kQhDP6ceDK2cAMHw</t>
  </si>
  <si>
    <t>https://drive.google.com/file/d/1jaOhdtCPXYgj5Gk3kQhDP6ceDK2cAMHw/view?usp=drivesdk</t>
  </si>
  <si>
    <t>Document successfully created; Document successfully merged; PDF created; Emails Sent: [To: astisr0@gmail.com]; Manually run by ecertificate75@gmail.com; Timestamp: Sep 16 2024 8:45 PM</t>
  </si>
  <si>
    <t>WIDYA WATI, SKM.,MM</t>
  </si>
  <si>
    <t>widyawatironi@gmail.com</t>
  </si>
  <si>
    <t>9243</t>
  </si>
  <si>
    <t>1egezC04C__b3RaeTOzYmsT8bDLxIHxyC</t>
  </si>
  <si>
    <t>https://drive.google.com/file/d/1egezC04C__b3RaeTOzYmsT8bDLxIHxyC/view?usp=drivesdk</t>
  </si>
  <si>
    <t>Document successfully created; Document successfully merged; PDF created; Emails Sent: [To: widyawatironi@gmail.com]; Manually run by ecertificate75@gmail.com; Timestamp: Sep 16 2024 8:45 PM</t>
  </si>
  <si>
    <t>DYAN ARYA MAULANA</t>
  </si>
  <si>
    <t>dyanarya06@gmail.com</t>
  </si>
  <si>
    <t>9244</t>
  </si>
  <si>
    <t>1XZjhyAEFL9pK-yc3GOo8mRO4v8qyVOYp</t>
  </si>
  <si>
    <t>https://drive.google.com/file/d/1XZjhyAEFL9pK-yc3GOo8mRO4v8qyVOYp/view?usp=drivesdk</t>
  </si>
  <si>
    <t>Document successfully created; Document successfully merged; PDF created; Emails Sent: [To: dyanarya06@gmail.com]; Manually run by ecertificate75@gmail.com; Timestamp: Sep 16 2024 8:46 PM</t>
  </si>
  <si>
    <t>ADI UTOMO</t>
  </si>
  <si>
    <t>adiutomo1923@gmail.com</t>
  </si>
  <si>
    <t>9245</t>
  </si>
  <si>
    <t>1e5MqBkS9dH0XhLKbfE1hsk13D9vAcAPB</t>
  </si>
  <si>
    <t>https://drive.google.com/file/d/1e5MqBkS9dH0XhLKbfE1hsk13D9vAcAPB/view?usp=drivesdk</t>
  </si>
  <si>
    <t>Document successfully created; Document successfully merged; PDF created; Emails Sent: [To: adiutomo1923@gmail.com]; Manually run by ecertificate75@gmail.com; Timestamp: Sep 16 2024 8:46 PM</t>
  </si>
  <si>
    <t>GAGUK ANDIK SUCAHYO</t>
  </si>
  <si>
    <t>gagukscy@gmail.com</t>
  </si>
  <si>
    <t>9246</t>
  </si>
  <si>
    <t>1Uwn0kc1_9O5iTmJF9oQ3zegqAH1LKZ-0</t>
  </si>
  <si>
    <t>https://drive.google.com/file/d/1Uwn0kc1_9O5iTmJF9oQ3zegqAH1LKZ-0/view?usp=drivesdk</t>
  </si>
  <si>
    <t>Document successfully created; Document successfully merged; PDF created; Emails Sent: [To: gagukscy@gmail.com]; Manually run by ecertificate75@gmail.com; Timestamp: Sep 16 2024 8:46 PM</t>
  </si>
  <si>
    <t>NOOR ISNAWATI</t>
  </si>
  <si>
    <t>isnawatinoor@gmail.com</t>
  </si>
  <si>
    <t>9247</t>
  </si>
  <si>
    <t>1RgKeb32Mt_I-bRp4Rrb4-bTU6c7VL738</t>
  </si>
  <si>
    <t>https://drive.google.com/file/d/1RgKeb32Mt_I-bRp4Rrb4-bTU6c7VL738/view?usp=drivesdk</t>
  </si>
  <si>
    <t>Document successfully created; Document successfully merged; PDF created; Emails Sent: [To: isnawatinoor@gmail.com]; Manually run by ecertificate75@gmail.com; Timestamp: Sep 16 2024 8:47 PM</t>
  </si>
  <si>
    <t>HILDA VERA BR. LUMBAN GAOL</t>
  </si>
  <si>
    <t>verahilda892@g.com</t>
  </si>
  <si>
    <t>9248</t>
  </si>
  <si>
    <t>1jAQIb93WKV3eSgdEiAN-rfN7ZfMI0a5A</t>
  </si>
  <si>
    <t>https://drive.google.com/file/d/1jAQIb93WKV3eSgdEiAN-rfN7ZfMI0a5A/view?usp=drivesdk</t>
  </si>
  <si>
    <t>Document successfully created; Document successfully merged; PDF created; Emails Sent: [To: verahilda892@g.com]; Manually run by ecertificate75@gmail.com; Timestamp: Sep 16 2024 8:47 PM</t>
  </si>
  <si>
    <t>Yanti Enita Br Ginting,S.Kep.Ners</t>
  </si>
  <si>
    <t>yantibrginting@gmail.com</t>
  </si>
  <si>
    <t>9249</t>
  </si>
  <si>
    <t>1GlQ-7m5K7Zsj0zAUxmcBPAb7-cnLcGu9</t>
  </si>
  <si>
    <t>https://drive.google.com/file/d/1GlQ-7m5K7Zsj0zAUxmcBPAb7-cnLcGu9/view?usp=drivesdk</t>
  </si>
  <si>
    <t>Document successfully created; Document successfully merged; PDF created; Emails Sent: [To: yantibrginting@gmail.com]; Manually run by ecertificate75@gmail.com; Timestamp: Sep 16 2024 8:47 PM</t>
  </si>
  <si>
    <t>FIRMAN MAULIDI</t>
  </si>
  <si>
    <t>firman.maulidi14@gmail.com</t>
  </si>
  <si>
    <t>9250</t>
  </si>
  <si>
    <t>1ZEOawJkIQ8dIbkE74uds2qeJWPvq8D9-</t>
  </si>
  <si>
    <t>https://drive.google.com/file/d/1ZEOawJkIQ8dIbkE74uds2qeJWPvq8D9-/view?usp=drivesdk</t>
  </si>
  <si>
    <t>Document successfully created; Document successfully merged; PDF created; Emails Sent: [To: firman.maulidi14@gmail.com]; Manually run by ecertificate75@gmail.com; Timestamp: Sep 16 2024 8:48 PM</t>
  </si>
  <si>
    <t xml:space="preserve">SYOFIA HASAN </t>
  </si>
  <si>
    <t>syofiahasan1309@gmail.com</t>
  </si>
  <si>
    <t>9251</t>
  </si>
  <si>
    <t>1BFgbB4zQj5s_Vn_MC1GrZDnax7NXkeN5</t>
  </si>
  <si>
    <t>https://drive.google.com/file/d/1BFgbB4zQj5s_Vn_MC1GrZDnax7NXkeN5/view?usp=drivesdk</t>
  </si>
  <si>
    <t>Document successfully created; Document successfully merged; PDF created; Emails Sent: [To: syofiahasan1309@gmail.com]; Manually run by ecertificate75@gmail.com; Timestamp: Sep 16 2024 8:48 PM</t>
  </si>
  <si>
    <t>YENI FITRI YANTI</t>
  </si>
  <si>
    <t>yeni72941@gmail.com</t>
  </si>
  <si>
    <t>9252</t>
  </si>
  <si>
    <t>Starting at Mon Sep 16 2024 20:43:20 GMT-0400 (EDT)</t>
  </si>
  <si>
    <t>SUSILA MUNTAPINGAH</t>
  </si>
  <si>
    <t>urtupuskeu@gmail.com</t>
  </si>
  <si>
    <t>9253</t>
  </si>
  <si>
    <t>dr.DEWI SRI BUDIARTI SETYANINGSIH,MARS</t>
  </si>
  <si>
    <t>dr.dewisribudiarti@gmail.com</t>
  </si>
  <si>
    <t>9254</t>
  </si>
  <si>
    <t>DIANA RIHASTUTI, S.KOM., M.M.</t>
  </si>
  <si>
    <t>dheanaryaz@gmail.com</t>
  </si>
  <si>
    <t>9255</t>
  </si>
  <si>
    <t>Starting at Thu Aug 29 2024 23:35:26 GMT-0400 (EDT)</t>
  </si>
  <si>
    <t xml:space="preserve">ASANDI ISYANTORO </t>
  </si>
  <si>
    <t>asandiisyantoro@gmail.com</t>
  </si>
  <si>
    <t>9256</t>
  </si>
  <si>
    <t>Starting at Thu Aug 29 2024 23:35:34 GMT-0400 (EDT)</t>
  </si>
  <si>
    <t>RIWAN SIMANJUNTAK</t>
  </si>
  <si>
    <t>riwan.simanjuntak@gmail.com</t>
  </si>
  <si>
    <t>9257</t>
  </si>
  <si>
    <t>dr. Elynda Vidiyana Ekawati, MARS</t>
  </si>
  <si>
    <t>elynda1982@gmail.com</t>
  </si>
  <si>
    <t>9258</t>
  </si>
  <si>
    <t>Starting at Thu Aug 29 2024 23:37:55 GMT-0400 (EDT)</t>
  </si>
  <si>
    <t>FIKRI ANDRIANSYAH</t>
  </si>
  <si>
    <t>fikriandriansyah0410@gmail.com</t>
  </si>
  <si>
    <t>9259</t>
  </si>
  <si>
    <t>BAMBANG ADIWASKITO</t>
  </si>
  <si>
    <t>adibambang288@gmail.com</t>
  </si>
  <si>
    <t>9260</t>
  </si>
  <si>
    <t>SUMARDI</t>
  </si>
  <si>
    <t>fitriamardi19@gmail.com</t>
  </si>
  <si>
    <t>9261</t>
  </si>
  <si>
    <t>KASMA PILOMONU, S.Sos</t>
  </si>
  <si>
    <t>kevinbutarbutarsd@gmail.com</t>
  </si>
  <si>
    <t>9262</t>
  </si>
  <si>
    <t xml:space="preserve">LILIS NUR FITRIA </t>
  </si>
  <si>
    <t>lilis.nf93@gmail.com</t>
  </si>
  <si>
    <t>9263</t>
  </si>
  <si>
    <t>HASNANI</t>
  </si>
  <si>
    <t>nanifia98@gmail.com</t>
  </si>
  <si>
    <t>9264</t>
  </si>
  <si>
    <t>LENDRAWATI,AMPK</t>
  </si>
  <si>
    <t>watilendra192@gmail.com</t>
  </si>
  <si>
    <t>9265</t>
  </si>
  <si>
    <t>ELMI ARUM</t>
  </si>
  <si>
    <t>elmyarum@gmail.com</t>
  </si>
  <si>
    <t>9266</t>
  </si>
  <si>
    <t>IKRAM DARSON DJIU</t>
  </si>
  <si>
    <t>ikramdarsondjiu@gmail.com</t>
  </si>
  <si>
    <t>9267</t>
  </si>
  <si>
    <t>JUMAENANG.M</t>
  </si>
  <si>
    <t>jumaenangmadjid@gmail.con</t>
  </si>
  <si>
    <t>9268</t>
  </si>
  <si>
    <t>YAYAN BASTIAN</t>
  </si>
  <si>
    <t>bastianyayan15@gmail.com</t>
  </si>
  <si>
    <t>9269</t>
  </si>
  <si>
    <t>YONDA HERTAFRIANA, S.Kom</t>
  </si>
  <si>
    <t>topengperak35@gmail.com</t>
  </si>
  <si>
    <t>9270</t>
  </si>
  <si>
    <t>WAHYU IKE NURJANAH</t>
  </si>
  <si>
    <t>ditasurya@gmail.com</t>
  </si>
  <si>
    <t>9271</t>
  </si>
  <si>
    <t xml:space="preserve">HUNA MUHAMAD SADELI </t>
  </si>
  <si>
    <t>sadelihunak@gmail.com</t>
  </si>
  <si>
    <t>9272</t>
  </si>
  <si>
    <t>DAUD TRI KURNAIN, S.Kom.</t>
  </si>
  <si>
    <t>daudkurnain@gmail.com</t>
  </si>
  <si>
    <t>9273</t>
  </si>
  <si>
    <t>apt. MARSELANI KOLOBINTI , S.Farm</t>
  </si>
  <si>
    <t>lanikolobinti@gmail.com</t>
  </si>
  <si>
    <t>9274</t>
  </si>
  <si>
    <t>VIRDA YUSNITASARI</t>
  </si>
  <si>
    <t>vyusnitasari@gmail.com</t>
  </si>
  <si>
    <t>9275</t>
  </si>
  <si>
    <t>HUNAINAH</t>
  </si>
  <si>
    <t>hunainahrinto@gmail.com</t>
  </si>
  <si>
    <t>9276</t>
  </si>
  <si>
    <t>9277</t>
  </si>
  <si>
    <t>RONNY AMD</t>
  </si>
  <si>
    <t>pengaturrpnny@gmail.com</t>
  </si>
  <si>
    <t>9278</t>
  </si>
  <si>
    <t>DEWI ARYANA SUSANTI, S.H.</t>
  </si>
  <si>
    <t>aryanadewi230@gmail.com</t>
  </si>
  <si>
    <t>9279</t>
  </si>
  <si>
    <t>Starting at Thu Aug 29 2024 23:38:06 GMT-0400 (EDT)</t>
  </si>
  <si>
    <t>Dia Ayu Cahyaningtiyas</t>
  </si>
  <si>
    <t>diaayucahya@gmail.com</t>
  </si>
  <si>
    <t>9280</t>
  </si>
  <si>
    <t>Starting at Thu Aug 29 2024 23:38:13 GMT-0400 (EDT)</t>
  </si>
  <si>
    <t>MUHAMAD RIZAL GINANTO, S.Kep</t>
  </si>
  <si>
    <t>mrizal.ginanto@gmail.com</t>
  </si>
  <si>
    <t>9281</t>
  </si>
  <si>
    <t>ARI SETYAWATI</t>
  </si>
  <si>
    <t>ariechibi@gmail.com</t>
  </si>
  <si>
    <t>9282</t>
  </si>
  <si>
    <t>Starting at Thu Aug 29 2024 23:38:15 GMT-0400 (EDT)</t>
  </si>
  <si>
    <t>MARWATI, SE</t>
  </si>
  <si>
    <t>marwati.1978.wati@gmail.com</t>
  </si>
  <si>
    <t>9283</t>
  </si>
  <si>
    <t>Ns.ESI SUSILAWATI, S.Kep</t>
  </si>
  <si>
    <t>esisusilawati1978@gmail.com</t>
  </si>
  <si>
    <t>9284</t>
  </si>
  <si>
    <t>Starting at Thu Aug 29 2024 23:38:27 GMT-0400 (EDT)</t>
  </si>
  <si>
    <t>ASEP KURNIAWAN</t>
  </si>
  <si>
    <t>asepkurniawan0879@gmil.com</t>
  </si>
  <si>
    <t>9285</t>
  </si>
  <si>
    <t>HIZKIAL BESSIE, A.Md.T</t>
  </si>
  <si>
    <t>bhizkial@gmail.com</t>
  </si>
  <si>
    <t>9286</t>
  </si>
  <si>
    <t>Starting at Thu Aug 29 2024 23:38:37 GMT-0400 (EDT)</t>
  </si>
  <si>
    <t>Ai Rosmayati,AMK</t>
  </si>
  <si>
    <t>airosma1181@gmail.com</t>
  </si>
  <si>
    <t>9287</t>
  </si>
  <si>
    <t>Starting at Thu Aug 29 2024 23:38:41 GMT-0400 (EDT)</t>
  </si>
  <si>
    <t>MUNAWAROH</t>
  </si>
  <si>
    <t>munawarohmunawaroh744@gmail.com</t>
  </si>
  <si>
    <t>9288</t>
  </si>
  <si>
    <t>RISDIANA WK</t>
  </si>
  <si>
    <t>roswk17@gmmail.com</t>
  </si>
  <si>
    <t>9289</t>
  </si>
  <si>
    <t>Starting at Thu Aug 29 2024 23:38:44 GMT-0400 (EDT)</t>
  </si>
  <si>
    <t>AGUS SRIYANA</t>
  </si>
  <si>
    <t>Suryananda706@gmail.com</t>
  </si>
  <si>
    <t>9290</t>
  </si>
  <si>
    <t>Starting at Thu Aug 29 2024 23:38:47 GMT-0400 (EDT)</t>
  </si>
  <si>
    <t>Fridha Wulan Ayuningsih, S.E.</t>
  </si>
  <si>
    <t>bundabelinda87@gmail.com</t>
  </si>
  <si>
    <t>9291</t>
  </si>
  <si>
    <t xml:space="preserve">DESY HARIANI </t>
  </si>
  <si>
    <t>desyhariani80@gmail.com</t>
  </si>
  <si>
    <t>9292</t>
  </si>
  <si>
    <t>Starting at Thu Aug 29 2024 23:40:06 GMT-0400 (EDT)</t>
  </si>
  <si>
    <t>Ordi Habel Kamlasi,Amd.Kep,</t>
  </si>
  <si>
    <t>kamlasiordi@gmail.com</t>
  </si>
  <si>
    <t>9293</t>
  </si>
  <si>
    <t>DJOHANBINTOROADI</t>
  </si>
  <si>
    <t>djohanbintoroa84@gmail.com</t>
  </si>
  <si>
    <t>9294</t>
  </si>
  <si>
    <t>NUGRAHADI N. SATRIA, M.AP.</t>
  </si>
  <si>
    <t>keliexs@gmail.com</t>
  </si>
  <si>
    <t>9295</t>
  </si>
  <si>
    <t>ROTUA PARULIAN</t>
  </si>
  <si>
    <t>rotuaparulian944@gmail.com</t>
  </si>
  <si>
    <t>9296</t>
  </si>
  <si>
    <t>dr. Retno Hartanti, Sp. KFR</t>
  </si>
  <si>
    <t>retnob9@gmail.com</t>
  </si>
  <si>
    <t>9297</t>
  </si>
  <si>
    <t>DEVI SUSANTI</t>
  </si>
  <si>
    <t>devisusanti057@gmail.com</t>
  </si>
  <si>
    <t>9298</t>
  </si>
  <si>
    <t>IKE PUJI WINARNI</t>
  </si>
  <si>
    <t>ikepujiwinarni@gmail.com</t>
  </si>
  <si>
    <t>9299</t>
  </si>
  <si>
    <t>Starting at Thu Aug 29 2024 23:41:06 GMT-0400 (EDT)</t>
  </si>
  <si>
    <t>HEGATRAPULINA BR GINTING</t>
  </si>
  <si>
    <t>hegatrapulinaginting@gmail.com</t>
  </si>
  <si>
    <t>9300</t>
  </si>
  <si>
    <t>MUSWARNI</t>
  </si>
  <si>
    <t>muswarni70@gmail.com</t>
  </si>
  <si>
    <t>9301</t>
  </si>
  <si>
    <t>AHMAD ZAINUDIN RIFANI</t>
  </si>
  <si>
    <t>kenshincyber@gmail.com</t>
  </si>
  <si>
    <t>9302</t>
  </si>
  <si>
    <t>ROSKOMALA</t>
  </si>
  <si>
    <t>roskomala67@gmail.com</t>
  </si>
  <si>
    <t>9303</t>
  </si>
  <si>
    <t>JOKO MARYOTO</t>
  </si>
  <si>
    <t>djmaryoto99@gmail.com</t>
  </si>
  <si>
    <t>9304</t>
  </si>
  <si>
    <t>sucipto.trglk1967@gmail.com</t>
  </si>
  <si>
    <t>9305</t>
  </si>
  <si>
    <t>lukydyah2015@gmail.com</t>
  </si>
  <si>
    <t>9306</t>
  </si>
  <si>
    <t>YULIYANA YUSUF, A.MD</t>
  </si>
  <si>
    <t>bilalalgifari50@gmail.com</t>
  </si>
  <si>
    <t>9307</t>
  </si>
  <si>
    <t>IRNANINGSIH  ALIWU</t>
  </si>
  <si>
    <t>irnaningsih.aliwu81@gmail.com</t>
  </si>
  <si>
    <t>9308</t>
  </si>
  <si>
    <t>IDA AYU KOMANG SWARTIKA</t>
  </si>
  <si>
    <t>idaayukmswartika@gmail.com</t>
  </si>
  <si>
    <t>9309</t>
  </si>
  <si>
    <t>SITI ZAHRAH</t>
  </si>
  <si>
    <t>zsiti0345@gmail.con</t>
  </si>
  <si>
    <t>9310</t>
  </si>
  <si>
    <t>Starting at Thu Aug 29 2024 23:41:11 GMT-0400 (EDT)</t>
  </si>
  <si>
    <t>dr. Ellen Seprilia Sujiman</t>
  </si>
  <si>
    <t>ellenseprilia05@gmail.com</t>
  </si>
  <si>
    <t>9311</t>
  </si>
  <si>
    <t>Starting at Thu Aug 29 2024 23:41:31 GMT-0400 (EDT)</t>
  </si>
  <si>
    <t>11vnGgLVebASHlBdxwCtCpofZij6DaMqo</t>
  </si>
  <si>
    <t>https://drive.google.com/file/d/11vnGgLVebASHlBdxwCtCpofZij6DaMqo/view?usp=drivesdk</t>
  </si>
  <si>
    <t>Document successfully created; Document successfully merged; PDF created; !!Error Sending Emails: Service invoked too many times for one day: email.; Run via form trigger as ecertificate75@gmail.com; Timestamp: Sep 10 2024 10:21 PM</t>
  </si>
  <si>
    <t>ANAK AGUNG GEDE ALANGKAJENG</t>
  </si>
  <si>
    <t>anakagungalka@gamail.com</t>
  </si>
  <si>
    <t>9312</t>
  </si>
  <si>
    <t>1YzvycmT3RDZwfqN86GDdNQbZLUz33p4e</t>
  </si>
  <si>
    <t>https://drive.google.com/file/d/1YzvycmT3RDZwfqN86GDdNQbZLUz33p4e/view?usp=drivesdk</t>
  </si>
  <si>
    <t>RIKA NURWANTI A.Md.Kep</t>
  </si>
  <si>
    <t>rikameida.rm@gmail.com</t>
  </si>
  <si>
    <t>9313</t>
  </si>
  <si>
    <t>Starting at Thu Aug 29 2024 23:41:58 GMT-0400 (EDT)</t>
  </si>
  <si>
    <t>12BcQqhJa8RsJZs-aGivRDw1MuLzVqM2c</t>
  </si>
  <si>
    <t>https://drive.google.com/file/d/12BcQqhJa8RsJZs-aGivRDw1MuLzVqM2c/view?usp=drivesdk</t>
  </si>
  <si>
    <t>RIDAWATI LIMBONG</t>
  </si>
  <si>
    <t>ridawatilimbong2020@gmail.com</t>
  </si>
  <si>
    <t>9314</t>
  </si>
  <si>
    <t>Starting at Thu Aug 29 2024 23:42:01 GMT-0400 (EDT)</t>
  </si>
  <si>
    <t>1JqlBfAXoi3lxUfd6sKQ7V6oFtCLOOSln</t>
  </si>
  <si>
    <t>https://drive.google.com/file/d/1JqlBfAXoi3lxUfd6sKQ7V6oFtCLOOSln/view?usp=drivesdk</t>
  </si>
  <si>
    <t>ARLISNA, S.E.</t>
  </si>
  <si>
    <t>arlisna.yayang76@gmail.com</t>
  </si>
  <si>
    <t>9315</t>
  </si>
  <si>
    <t>Starting at Thu Aug 29 2024 23:42:06 GMT-0400 (EDT)</t>
  </si>
  <si>
    <t>15F3NSYMAlKGhKJfjedp67yTAwmaT821e</t>
  </si>
  <si>
    <t>https://drive.google.com/file/d/15F3NSYMAlKGhKJfjedp67yTAwmaT821e/view?usp=drivesdk</t>
  </si>
  <si>
    <t>SYAADAH, S.E.</t>
  </si>
  <si>
    <t>syaadah2012@gmail.com</t>
  </si>
  <si>
    <t>9316</t>
  </si>
  <si>
    <t>Starting at Thu Aug 29 2024 23:42:17 GMT-0400 (EDT)</t>
  </si>
  <si>
    <t>1A1NFVX_oWx9MFS0r40VDvmciBs_za3Eb</t>
  </si>
  <si>
    <t>https://drive.google.com/file/d/1A1NFVX_oWx9MFS0r40VDvmciBs_za3Eb/view?usp=drivesdk</t>
  </si>
  <si>
    <t>Document successfully created; Document successfully merged; PDF created; !!Error Sending Emails: Service invoked too many times for one day: email.; Run via form trigger as ecertificate75@gmail.com; Timestamp: Sep 10 2024 10:22 PM</t>
  </si>
  <si>
    <t>DUDI IHSAN</t>
  </si>
  <si>
    <t>9317</t>
  </si>
  <si>
    <t>1_7Tqz414S34SEEvl0I_UtIhDHQ3a5Xy-</t>
  </si>
  <si>
    <t>https://drive.google.com/file/d/1_7Tqz414S34SEEvl0I_UtIhDHQ3a5Xy-/view?usp=drivesdk</t>
  </si>
  <si>
    <t>MUHAMMAD RIFANI, A. Md.Kep</t>
  </si>
  <si>
    <t>fanila14.mr@gmail.com</t>
  </si>
  <si>
    <t>9318</t>
  </si>
  <si>
    <t>Starting at Thu Aug 29 2024 23:42:43 GMT-0400 (EDT)</t>
  </si>
  <si>
    <t>1TEvbO5sx2b9DBwIs0_ooW0-rqc1XdQN1</t>
  </si>
  <si>
    <t>https://drive.google.com/file/d/1TEvbO5sx2b9DBwIs0_ooW0-rqc1XdQN1/view?usp=drivesdk</t>
  </si>
  <si>
    <t>EDI AMANTO</t>
  </si>
  <si>
    <t>ediamanto80@gmail.com</t>
  </si>
  <si>
    <t>9319</t>
  </si>
  <si>
    <t>1meTzR0vkPlvFsFcihprC0Qq9i4sWsp_m</t>
  </si>
  <si>
    <t>https://drive.google.com/file/d/1meTzR0vkPlvFsFcihprC0Qq9i4sWsp_m/view?usp=drivesdk</t>
  </si>
  <si>
    <t>SAFARUDDIN</t>
  </si>
  <si>
    <t>safaruddinreskrim@gmail.com</t>
  </si>
  <si>
    <t>9320</t>
  </si>
  <si>
    <t>1Ehw-nrDhskdsX3uot5L5yz6NRn4zrWa2</t>
  </si>
  <si>
    <t>https://drive.google.com/file/d/1Ehw-nrDhskdsX3uot5L5yz6NRn4zrWa2/view?usp=drivesdk</t>
  </si>
  <si>
    <t xml:space="preserve">NGASIRAN </t>
  </si>
  <si>
    <t>the.run8668@gmail.com</t>
  </si>
  <si>
    <t>9321</t>
  </si>
  <si>
    <t>11oa6GoZlG7EzQ0BeriCs-OypLpuinH4B</t>
  </si>
  <si>
    <t>https://drive.google.com/file/d/11oa6GoZlG7EzQ0BeriCs-OypLpuinH4B/view?usp=drivesdk</t>
  </si>
  <si>
    <t>Ilham Bahtiar, S.Kep., Ners</t>
  </si>
  <si>
    <t>bahtiarilham3098@gmail.com</t>
  </si>
  <si>
    <t>9322</t>
  </si>
  <si>
    <t>1VBSQlP0wrT0EWxP9NaTEF534zw6bC5N4</t>
  </si>
  <si>
    <t>https://drive.google.com/file/d/1VBSQlP0wrT0EWxP9NaTEF534zw6bC5N4/view?usp=drivesdk</t>
  </si>
  <si>
    <t>ESSI SANTIDJA, S.AK</t>
  </si>
  <si>
    <t>subbiddalverifbidkeusultra@gmail.com</t>
  </si>
  <si>
    <t>9323</t>
  </si>
  <si>
    <t>Starting at Thu Aug 29 2024 23:42:48 GMT-0400 (EDT)</t>
  </si>
  <si>
    <t>1EThAW19njPOYbjLw3AL92ySDr_TwBeZU</t>
  </si>
  <si>
    <t>https://drive.google.com/file/d/1EThAW19njPOYbjLw3AL92ySDr_TwBeZU/view?usp=drivesdk</t>
  </si>
  <si>
    <t>Document successfully created; Document successfully merged; PDF created; !!Error Sending Emails: Service invoked too many times for one day: email.; Run via form trigger as ecertificate75@gmail.com; Timestamp: Sep 10 2024 10:23 PM</t>
  </si>
  <si>
    <t>SURATMAN</t>
  </si>
  <si>
    <t>ssuratman939@gmail.com</t>
  </si>
  <si>
    <t>9324</t>
  </si>
  <si>
    <t>1_SkPLPMhO4l16CHq0eGRcNg7i1QeQbZF</t>
  </si>
  <si>
    <t>https://drive.google.com/file/d/1_SkPLPMhO4l16CHq0eGRcNg7i1QeQbZF/view?usp=drivesdk</t>
  </si>
  <si>
    <t>DENI HAFNI</t>
  </si>
  <si>
    <t>denihafni1@gmail.com</t>
  </si>
  <si>
    <t>9325</t>
  </si>
  <si>
    <t>1hNiEIwFUXcUw8YQaAllveAlvF0aa9tuJ</t>
  </si>
  <si>
    <t>https://drive.google.com/file/d/1hNiEIwFUXcUw8YQaAllveAlvF0aa9tuJ/view?usp=drivesdk</t>
  </si>
  <si>
    <t>RIZKIYANTO</t>
  </si>
  <si>
    <t>rizkiyantoleset@gmail.com</t>
  </si>
  <si>
    <t>9326</t>
  </si>
  <si>
    <t>Starting at Thu Aug 29 2024 23:45:11 GMT-0400 (EDT)</t>
  </si>
  <si>
    <t>1LqVBUUb6vSLaOaPMGohEkqxe7lDBLOiX</t>
  </si>
  <si>
    <t>https://drive.google.com/file/d/1LqVBUUb6vSLaOaPMGohEkqxe7lDBLOiX/view?usp=drivesdk</t>
  </si>
  <si>
    <t>MUHAMMAD IHSAN HILMI, A. Md. Kep</t>
  </si>
  <si>
    <t>ihsan92hilmi@gmail.com</t>
  </si>
  <si>
    <t>9327</t>
  </si>
  <si>
    <t>1xZXclYvPmW2eOkR9yheov8NRucq1tX4Y</t>
  </si>
  <si>
    <t>https://drive.google.com/file/d/1xZXclYvPmW2eOkR9yheov8NRucq1tX4Y/view?usp=drivesdk</t>
  </si>
  <si>
    <t>Dian Nilasari, AMd. Keb</t>
  </si>
  <si>
    <t>9328</t>
  </si>
  <si>
    <t>181517NkRN8wxkmEL8tAnhO4JSF_5_nCn</t>
  </si>
  <si>
    <t>https://drive.google.com/file/d/181517NkRN8wxkmEL8tAnhO4JSF_5_nCn/view?usp=drivesdk</t>
  </si>
  <si>
    <t>LLUSYANA</t>
  </si>
  <si>
    <t>lusyanakosasih@gmail.com</t>
  </si>
  <si>
    <t>9329</t>
  </si>
  <si>
    <t>10r8ofs7c8vMy0NqAWlIsqnw05wGVJBCj</t>
  </si>
  <si>
    <t>https://drive.google.com/file/d/10r8ofs7c8vMy0NqAWlIsqnw05wGVJBCj/view?usp=drivesdk</t>
  </si>
  <si>
    <t>FIRDAUS, A.Md.</t>
  </si>
  <si>
    <t>firdaus.zulkarnaen21@gmail.com</t>
  </si>
  <si>
    <t>9330</t>
  </si>
  <si>
    <t>1w6ZE3puBHNVuhg_s_niYj-jYcObx6ICo</t>
  </si>
  <si>
    <t>https://drive.google.com/file/d/1w6ZE3puBHNVuhg_s_niYj-jYcObx6ICo/view?usp=drivesdk</t>
  </si>
  <si>
    <t>Document successfully created; Document successfully merged; PDF created; !!Error Sending Emails: Service invoked too many times for one day: email.; Run via form trigger as ecertificate75@gmail.com; Timestamp: Sep 10 2024 10:24 PM</t>
  </si>
  <si>
    <t>TETTI KOMARIA SIREGAR</t>
  </si>
  <si>
    <t>tettikomaria70@gmail.com</t>
  </si>
  <si>
    <t>9331</t>
  </si>
  <si>
    <t>1JiFayqfOyWyCqAc8pHnOUupTrD3TCIzX</t>
  </si>
  <si>
    <t>https://drive.google.com/file/d/1JiFayqfOyWyCqAc8pHnOUupTrD3TCIzX/view?usp=drivesdk</t>
  </si>
  <si>
    <t>DEWI IRVAYANI HARIANASTUTI, SE</t>
  </si>
  <si>
    <t>Irvayanidewi@gmail.com</t>
  </si>
  <si>
    <t>9332</t>
  </si>
  <si>
    <t>1xMtj-ezmrq0PB26D7RF2f03x662keZhZ</t>
  </si>
  <si>
    <t>https://drive.google.com/file/d/1xMtj-ezmrq0PB26D7RF2f03x662keZhZ/view?usp=drivesdk</t>
  </si>
  <si>
    <t>WESTINUGROHO.SP.d</t>
  </si>
  <si>
    <t>pakwestinugroho@gmail.com</t>
  </si>
  <si>
    <t>9333</t>
  </si>
  <si>
    <t>12ikxmQw02kQ7de9TrRDW-QIdOk0jQR5i</t>
  </si>
  <si>
    <t>https://drive.google.com/file/d/12ikxmQw02kQ7de9TrRDW-QIdOk0jQR5i/view?usp=drivesdk</t>
  </si>
  <si>
    <t>salmanbimo191@gmail.com</t>
  </si>
  <si>
    <t>9334</t>
  </si>
  <si>
    <t>1zNY_uf2dSz2g75pXKE1XQXb9Oho_Jmak</t>
  </si>
  <si>
    <t>https://drive.google.com/file/d/1zNY_uf2dSz2g75pXKE1XQXb9Oho_Jmak/view?usp=drivesdk</t>
  </si>
  <si>
    <t>ROSITA DIAN PURNA</t>
  </si>
  <si>
    <t>roro.sitadian@gmail.com</t>
  </si>
  <si>
    <t>9335</t>
  </si>
  <si>
    <t>1WTBpKVJS4-WS6MMhH0KvwoGzm2vvbQi_</t>
  </si>
  <si>
    <t>https://drive.google.com/file/d/1WTBpKVJS4-WS6MMhH0KvwoGzm2vvbQi_/view?usp=drivesdk</t>
  </si>
  <si>
    <t>ERIK WAHYU AGUNG WIBOWO, S.M.</t>
  </si>
  <si>
    <t>subbagprasintal@gmail.com</t>
  </si>
  <si>
    <t>9336</t>
  </si>
  <si>
    <t>10yiKAMJnsqIXc47i8Rq9nsMiU-ncdtob</t>
  </si>
  <si>
    <t>https://drive.google.com/file/d/10yiKAMJnsqIXc47i8Rq9nsMiU-ncdtob/view?usp=drivesdk</t>
  </si>
  <si>
    <t>Document successfully created; Document successfully merged; PDF created; !!Error Sending Emails: Service invoked too many times for one day: email.; Run via form trigger as ecertificate75@gmail.com; Timestamp: Sep 10 2024 10:25 PM</t>
  </si>
  <si>
    <t>JULIANI HASIBUAN, S.E.</t>
  </si>
  <si>
    <t>juliani.hasibuan1111@gmail.com</t>
  </si>
  <si>
    <t>9337</t>
  </si>
  <si>
    <t>11wb5ui5j-OvAmmqI4V19C1QlhjIukCLQ</t>
  </si>
  <si>
    <t>https://drive.google.com/file/d/11wb5ui5j-OvAmmqI4V19C1QlhjIukCLQ/view?usp=drivesdk</t>
  </si>
  <si>
    <t>Nurhayani Lubis, S.Sos.</t>
  </si>
  <si>
    <t>nurlubis70@gmail.com</t>
  </si>
  <si>
    <t>9338</t>
  </si>
  <si>
    <t>1IMrE8vByFWOfk3nf0I1wu8s5zoiF2Ey6</t>
  </si>
  <si>
    <t>https://drive.google.com/file/d/1IMrE8vByFWOfk3nf0I1wu8s5zoiF2Ey6/view?usp=drivesdk</t>
  </si>
  <si>
    <t xml:space="preserve">JODI RYAN SETYAWAN </t>
  </si>
  <si>
    <t>metropoles.jodi@gmail.com</t>
  </si>
  <si>
    <t>9339</t>
  </si>
  <si>
    <t>1sV-HfLQXH0Y6U_eUE4tM1JU5UROQ7fDG</t>
  </si>
  <si>
    <t>https://drive.google.com/file/d/1sV-HfLQXH0Y6U_eUE4tM1JU5UROQ7fDG/view?usp=drivesdk</t>
  </si>
  <si>
    <t>Ns.Rikawati,S.Kep</t>
  </si>
  <si>
    <t>rikawati.mudaris@gmail.com</t>
  </si>
  <si>
    <t>9340</t>
  </si>
  <si>
    <t>1rGMZcjq8iEy-UwztVlez_wh2DHRDrQPv</t>
  </si>
  <si>
    <t>https://drive.google.com/file/d/1rGMZcjq8iEy-UwztVlez_wh2DHRDrQPv/view?usp=drivesdk</t>
  </si>
  <si>
    <t xml:space="preserve">PENGATUR TK I ASIAH </t>
  </si>
  <si>
    <t>subbagrenminbiroopsjambi@gmail.com</t>
  </si>
  <si>
    <t>9341</t>
  </si>
  <si>
    <t>Starting at Thu Aug 29 2024 23:45:22 GMT-0400 (EDT)</t>
  </si>
  <si>
    <t>1XM5ED4iqBJWwTzw2VfUd-IlMoPUpII-5</t>
  </si>
  <si>
    <t>https://drive.google.com/file/d/1XM5ED4iqBJWwTzw2VfUd-IlMoPUpII-5/view?usp=drivesdk</t>
  </si>
  <si>
    <t>Document successfully created; Document successfully merged; PDF created; !!Error Sending Emails: Service invoked too many times for one day: email.; Run via form trigger as ecertificate75@gmail.com; Timestamp: Sep 10 2024 10:26 PM</t>
  </si>
  <si>
    <t>INRENO SELVI NOVERIA, SKM</t>
  </si>
  <si>
    <t>Inreno75@gmail.com</t>
  </si>
  <si>
    <t>9342</t>
  </si>
  <si>
    <t>Starting at Thu Aug 29 2024 23:45:33 GMT-0400 (EDT)</t>
  </si>
  <si>
    <t>15JcUb2OFPb-CoKRsXTje59NxfMTYLuTq</t>
  </si>
  <si>
    <t>https://drive.google.com/file/d/15JcUb2OFPb-CoKRsXTje59NxfMTYLuTq/view?usp=drivesdk</t>
  </si>
  <si>
    <t xml:space="preserve">MARIATI </t>
  </si>
  <si>
    <t>mariati69spn@gmail.com</t>
  </si>
  <si>
    <t>9343</t>
  </si>
  <si>
    <t>Starting at Thu Aug 29 2024 23:45:35 GMT-0400 (EDT)</t>
  </si>
  <si>
    <t>1yac-SL2DCFjZk6EoV8FfPrBWAf5tBzSJ</t>
  </si>
  <si>
    <t>https://drive.google.com/file/d/1yac-SL2DCFjZk6EoV8FfPrBWAf5tBzSJ/view?usp=drivesdk</t>
  </si>
  <si>
    <t>Document successfully created; Document successfully merged; PDF created; !!Error Sending Emails: Service invoked too many times for one day: email.; Run via form trigger as ecertificate75@gmail.com; Timestamp: Sep 10 2024 10:38 PM</t>
  </si>
  <si>
    <t xml:space="preserve">LILIS SIHOMBING </t>
  </si>
  <si>
    <t>lilissihombing258@gmail.com</t>
  </si>
  <si>
    <t>9344</t>
  </si>
  <si>
    <t>Starting at Thu Aug 29 2024 23:45:38 GMT-0400 (EDT)</t>
  </si>
  <si>
    <t>1ukpWMOdjDcd7LKzaR4B58_8kf_9SupI8</t>
  </si>
  <si>
    <t>https://drive.google.com/file/d/1ukpWMOdjDcd7LKzaR4B58_8kf_9SupI8/view?usp=drivesdk</t>
  </si>
  <si>
    <t>BERNARDUS RATNA SETYAWARDOYO, S.E.</t>
  </si>
  <si>
    <t>brsetya1974@gmail.com</t>
  </si>
  <si>
    <t>9345</t>
  </si>
  <si>
    <t>Starting at Thu Aug 29 2024 23:45:41 GMT-0400 (EDT)</t>
  </si>
  <si>
    <t>1I-klxc_VpZRgoWMwj86P1T_EvGGVbLbh</t>
  </si>
  <si>
    <t>https://drive.google.com/file/d/1I-klxc_VpZRgoWMwj86P1T_EvGGVbLbh/view?usp=drivesdk</t>
  </si>
  <si>
    <t>Document successfully created; Document successfully merged; PDF created; !!Error Sending Emails: Service invoked too many times for one day: email.; Run via form trigger as ecertificate75@gmail.com; Timestamp: Sep 10 2024 10:39 PM</t>
  </si>
  <si>
    <t>IIN INDRI TRIYANA</t>
  </si>
  <si>
    <t>ellosyang@gmail.com</t>
  </si>
  <si>
    <t>9346</t>
  </si>
  <si>
    <t>Starting at Thu Aug 29 2024 23:45:43 GMT-0400 (EDT)</t>
  </si>
  <si>
    <t>1vp2LStJqpz7aiQTclma0JfzjoZm_F98U</t>
  </si>
  <si>
    <t>https://drive.google.com/file/d/1vp2LStJqpz7aiQTclma0JfzjoZm_F98U/view?usp=drivesdk</t>
  </si>
  <si>
    <t>ANDRIAS DWI S</t>
  </si>
  <si>
    <t>andriasdwi81@gmail.com</t>
  </si>
  <si>
    <t>9347</t>
  </si>
  <si>
    <t>Starting at Thu Aug 29 2024 23:45:46 GMT-0400 (EDT)</t>
  </si>
  <si>
    <t>18KF1gzZU6XJk3408EVvD-I9KtmLyml-d</t>
  </si>
  <si>
    <t>https://drive.google.com/file/d/18KF1gzZU6XJk3408EVvD-I9KtmLyml-d/view?usp=drivesdk</t>
  </si>
  <si>
    <t>WAHIDA TAHIR</t>
  </si>
  <si>
    <t>ida.respalopo@gmail.com</t>
  </si>
  <si>
    <t>9348</t>
  </si>
  <si>
    <t>Starting at Thu Aug 29 2024 23:45:49 GMT-0400 (EDT)</t>
  </si>
  <si>
    <t>1xdat1-mv9FOPKcke-Pd1D4hZMWKjmDfh</t>
  </si>
  <si>
    <t>https://drive.google.com/file/d/1xdat1-mv9FOPKcke-Pd1D4hZMWKjmDfh/view?usp=drivesdk</t>
  </si>
  <si>
    <t xml:space="preserve">NANI YULIANI, AMD AK </t>
  </si>
  <si>
    <t>yulianinani0512@gmail.com</t>
  </si>
  <si>
    <t>9349</t>
  </si>
  <si>
    <t>Starting at Thu Aug 29 2024 23:45:53 GMT-0400 (EDT)</t>
  </si>
  <si>
    <t>1dNjMBHUOPOc2CoNBEcoechA_6wTtrywO</t>
  </si>
  <si>
    <t>https://drive.google.com/file/d/1dNjMBHUOPOc2CoNBEcoechA_6wTtrywO/view?usp=drivesdk</t>
  </si>
  <si>
    <t>Document successfully created; Document successfully merged; PDF created; !!Error Sending Emails: Service invoked too many times for one day: email.; Run via form trigger as ecertificate75@gmail.com; Timestamp: Sep 10 2024 10:40 PM</t>
  </si>
  <si>
    <t xml:space="preserve">Agus Kusnadi Skep Ners </t>
  </si>
  <si>
    <t>kusnadiagus43@gmail.com</t>
  </si>
  <si>
    <t>9350</t>
  </si>
  <si>
    <t>1ZsJw9tUOxxp8gM7sovWVJtKjTNWyg0cn</t>
  </si>
  <si>
    <t>https://drive.google.com/file/d/1ZsJw9tUOxxp8gM7sovWVJtKjTNWyg0cn/view?usp=drivesdk</t>
  </si>
  <si>
    <t>ESSI SANTIDJA</t>
  </si>
  <si>
    <t>essisantidja@gmail.com</t>
  </si>
  <si>
    <t>9351</t>
  </si>
  <si>
    <t>Starting at Thu Aug 29 2024 23:48:10 GMT-0400 (EDT)</t>
  </si>
  <si>
    <t>1H8XCcqBe7dHGY1hrd3Wxl-CkLZygGnUh</t>
  </si>
  <si>
    <t>https://drive.google.com/file/d/1H8XCcqBe7dHGY1hrd3Wxl-CkLZygGnUh/view?usp=drivesdk</t>
  </si>
  <si>
    <t>Ns. ICHSANI HARLIANTI, S.Kep.</t>
  </si>
  <si>
    <t>harliantiichsani@gmail.com</t>
  </si>
  <si>
    <t>9352</t>
  </si>
  <si>
    <t>1kjEYGyZpkaL2NLPU7tz_hBk_rhx4kLI0</t>
  </si>
  <si>
    <t>https://drive.google.com/file/d/1kjEYGyZpkaL2NLPU7tz_hBk_rhx4kLI0/view?usp=drivesdk</t>
  </si>
  <si>
    <t>ERMA MARDIANA</t>
  </si>
  <si>
    <t>ermamardiana.apt@gmail.com</t>
  </si>
  <si>
    <t>9353</t>
  </si>
  <si>
    <t>1My_glytp87gY-c0oQwbfmFJU2Ylo7-xk</t>
  </si>
  <si>
    <t>https://drive.google.com/file/d/1My_glytp87gY-c0oQwbfmFJU2Ylo7-xk/view?usp=drivesdk</t>
  </si>
  <si>
    <t>Document successfully created; Document successfully merged; PDF created; !!Error Sending Emails: Service invoked too many times for one day: email.; Run via form trigger as ecertificate75@gmail.com; Timestamp: Sep 10 2024 10:41 PM</t>
  </si>
  <si>
    <t>SUBAGIYO</t>
  </si>
  <si>
    <t>subagiyoyanma@gmail.com</t>
  </si>
  <si>
    <t>9354</t>
  </si>
  <si>
    <t>17TJNwHBYnAFc0XVaPWWDXqx26dHoy8nF</t>
  </si>
  <si>
    <t>https://drive.google.com/file/d/17TJNwHBYnAFc0XVaPWWDXqx26dHoy8nF/view?usp=drivesdk</t>
  </si>
  <si>
    <t>EFI KARTIKASARI</t>
  </si>
  <si>
    <t>efikartikasari748@gmail.com</t>
  </si>
  <si>
    <t>9355</t>
  </si>
  <si>
    <t>1vR0NWnI0zZxzYe1Z930ShhBIxFI-7rSf</t>
  </si>
  <si>
    <t>https://drive.google.com/file/d/1vR0NWnI0zZxzYe1Z930ShhBIxFI-7rSf/view?usp=drivesdk</t>
  </si>
  <si>
    <t>Afrinny Roesmawaty, S.Si., M.A.</t>
  </si>
  <si>
    <t>afrinny0509@gmail.com</t>
  </si>
  <si>
    <t>9356</t>
  </si>
  <si>
    <t>1rSkx0be2MjN-b6ZCWzA3PjaN_4zCfTA8</t>
  </si>
  <si>
    <t>https://drive.google.com/file/d/1rSkx0be2MjN-b6ZCWzA3PjaN_4zCfTA8/view?usp=drivesdk</t>
  </si>
  <si>
    <t xml:space="preserve">HANDONO </t>
  </si>
  <si>
    <t>handonowijaya1@gmail.com</t>
  </si>
  <si>
    <t>9357</t>
  </si>
  <si>
    <t>1YnDCaFEUoavD7tfuUwRWP0_k_qTNc3do</t>
  </si>
  <si>
    <t>https://drive.google.com/file/d/1YnDCaFEUoavD7tfuUwRWP0_k_qTNc3do/view?usp=drivesdk</t>
  </si>
  <si>
    <t>ANANG PRASETYO,W DRG</t>
  </si>
  <si>
    <t>drg_tyo@yahoo.co.id</t>
  </si>
  <si>
    <t>9358</t>
  </si>
  <si>
    <t>1aiQRrvPUDehGu1QHjG1BLgmncZwsLGKe</t>
  </si>
  <si>
    <t>https://drive.google.com/file/d/1aiQRrvPUDehGu1QHjG1BLgmncZwsLGKe/view?usp=drivesdk</t>
  </si>
  <si>
    <t>Document successfully created; Document successfully merged; PDF created; !!Error Sending Emails: Service invoked too many times for one day: email.; Run via form trigger as ecertificate75@gmail.com; Timestamp: Sep 10 2024 10:42 PM</t>
  </si>
  <si>
    <t>PAGIARTO</t>
  </si>
  <si>
    <t>giartosentono@gmail.com</t>
  </si>
  <si>
    <t>9359</t>
  </si>
  <si>
    <t>1rIG7YTtk608LIKR7ZLv6tgg3eH5AsSs1</t>
  </si>
  <si>
    <t>https://drive.google.com/file/d/1rIG7YTtk608LIKR7ZLv6tgg3eH5AsSs1/view?usp=drivesdk</t>
  </si>
  <si>
    <t>DESMAN HALAWA</t>
  </si>
  <si>
    <t>desmanhalawa487@gmail.com</t>
  </si>
  <si>
    <t>9360</t>
  </si>
  <si>
    <t>1Jq7S2fMTqupSY1pg_EBHr6UYwUqSKwa-</t>
  </si>
  <si>
    <t>https://drive.google.com/file/d/1Jq7S2fMTqupSY1pg_EBHr6UYwUqSKwa-/view?usp=drivesdk</t>
  </si>
  <si>
    <t>MERDIANA TAMBUN</t>
  </si>
  <si>
    <t>merdianatambun@gmail.com</t>
  </si>
  <si>
    <t>9361</t>
  </si>
  <si>
    <t>1k99jkVimOdSujBGANtiCRu3AYMqI5Wr7</t>
  </si>
  <si>
    <t>https://drive.google.com/file/d/1k99jkVimOdSujBGANtiCRu3AYMqI5Wr7/view?usp=drivesdk</t>
  </si>
  <si>
    <t>FITRI MUDJI ANDRIJANI</t>
  </si>
  <si>
    <t>fitrimudjiandrijani@gmail.com</t>
  </si>
  <si>
    <t>9362</t>
  </si>
  <si>
    <t>1AqDZf7eYUWAAhKggagspmxOH36cydZdq</t>
  </si>
  <si>
    <t>https://drive.google.com/file/d/1AqDZf7eYUWAAhKggagspmxOH36cydZdq/view?usp=drivesdk</t>
  </si>
  <si>
    <t>Document successfully created; Document successfully merged; PDF created; !!Error Sending Emails: Service invoked too many times for one day: email.; Run via form trigger as ecertificate75@gmail.com; Timestamp: Sep 10 2024 10:43 PM</t>
  </si>
  <si>
    <t xml:space="preserve">ERNAWATI </t>
  </si>
  <si>
    <t>ernawati010471@gmail.com</t>
  </si>
  <si>
    <t>9363</t>
  </si>
  <si>
    <t>1gGI9RYz85qG-F73k8NmuuRUoX7cw2UFg</t>
  </si>
  <si>
    <t>https://drive.google.com/file/d/1gGI9RYz85qG-F73k8NmuuRUoX7cw2UFg/view?usp=drivesdk</t>
  </si>
  <si>
    <t>Document successfully created; Document successfully merged; PDF created; !!Error Sending Emails: Service invoked too many times for one day: email.; Run via form trigger as ecertificate75@gmail.com; Timestamp: Sep 11 2024 7:56 AM</t>
  </si>
  <si>
    <t>BALUNIKA,S.TH</t>
  </si>
  <si>
    <t>balunika64@gmail.com</t>
  </si>
  <si>
    <t>9364</t>
  </si>
  <si>
    <t>1Ep7pKc2m1N6ewWWFGPkk1vbP7PKvDZPR</t>
  </si>
  <si>
    <t>https://drive.google.com/file/d/1Ep7pKc2m1N6ewWWFGPkk1vbP7PKvDZPR/view?usp=drivesdk</t>
  </si>
  <si>
    <t>SYAHRASMITA, SPd</t>
  </si>
  <si>
    <t>syahrasmita@gmail.com</t>
  </si>
  <si>
    <t>9365</t>
  </si>
  <si>
    <t>1WOSDgCk2qFzvh6IRFSOUnD_wEUEJoof0</t>
  </si>
  <si>
    <t>https://drive.google.com/file/d/1WOSDgCk2qFzvh6IRFSOUnD_wEUEJoof0/view?usp=drivesdk</t>
  </si>
  <si>
    <t>HANIFAN FARID AFIFI</t>
  </si>
  <si>
    <t>hanifanfarid@gmail.com</t>
  </si>
  <si>
    <t>9366</t>
  </si>
  <si>
    <t>158HMQOwGLhVgKyvPdp4W8KnVhi_hnrKV</t>
  </si>
  <si>
    <t>https://drive.google.com/file/d/158HMQOwGLhVgKyvPdp4W8KnVhi_hnrKV/view?usp=drivesdk</t>
  </si>
  <si>
    <t>9367</t>
  </si>
  <si>
    <t>16W9ZUj5FYM5yu-tVekS1k1_ntG3cTwy7</t>
  </si>
  <si>
    <t>https://drive.google.com/file/d/16W9ZUj5FYM5yu-tVekS1k1_ntG3cTwy7/view?usp=drivesdk</t>
  </si>
  <si>
    <t xml:space="preserve">Haslianah.S.Si.,Apt, M.Adm.Kes </t>
  </si>
  <si>
    <t>anatayu901@gmail.com</t>
  </si>
  <si>
    <t>9368</t>
  </si>
  <si>
    <t>1imlRX8z-rzhum68Q6as4ZxqEhE9v_sIZ</t>
  </si>
  <si>
    <t>https://drive.google.com/file/d/1imlRX8z-rzhum68Q6as4ZxqEhE9v_sIZ/view?usp=drivesdk</t>
  </si>
  <si>
    <t>Document successfully created; Document successfully merged; PDF created; !!Error Sending Emails: Service invoked too many times for one day: email.; Run via form trigger as ecertificate75@gmail.com; Timestamp: Sep 11 2024 7:57 AM</t>
  </si>
  <si>
    <t>GIPAR HAMDANI, A.Md.Ak.</t>
  </si>
  <si>
    <t>giparhamdani@gmail.com</t>
  </si>
  <si>
    <t>9369</t>
  </si>
  <si>
    <t>1m63dkUVm1UfMyUCVcb0zZKa1ul65-HvU</t>
  </si>
  <si>
    <t>https://drive.google.com/file/d/1m63dkUVm1UfMyUCVcb0zZKa1ul65-HvU/view?usp=drivesdk</t>
  </si>
  <si>
    <t>Sony Arifin SH MM</t>
  </si>
  <si>
    <t>edomanopo168@gmail.com</t>
  </si>
  <si>
    <t>9370</t>
  </si>
  <si>
    <t>Starting at Thu Aug 29 2024 23:48:33 GMT-0400 (EDT)</t>
  </si>
  <si>
    <t>1dvCL2URw8k7-70tJSlCiSgEQyZK5rRjo</t>
  </si>
  <si>
    <t>https://drive.google.com/file/d/1dvCL2URw8k7-70tJSlCiSgEQyZK5rRjo/view?usp=drivesdk</t>
  </si>
  <si>
    <t>AGUSRIANI A PUROKO</t>
  </si>
  <si>
    <t>agusrianipuroko@gmail.com</t>
  </si>
  <si>
    <t>9371</t>
  </si>
  <si>
    <t>Starting at Thu Aug 29 2024 23:49:16 GMT-0400 (EDT)</t>
  </si>
  <si>
    <t>1gG8aBu0xsrlTyZ8gMkUqhCKFzeH9rpEm</t>
  </si>
  <si>
    <t>https://drive.google.com/file/d/1gG8aBu0xsrlTyZ8gMkUqhCKFzeH9rpEm/view?usp=drivesdk</t>
  </si>
  <si>
    <t>DIAN AFFANA</t>
  </si>
  <si>
    <t>dian.affana9@gmail.com</t>
  </si>
  <si>
    <t>9372</t>
  </si>
  <si>
    <t>18FwMShaiNbjU3tGqvvQ0SKRiS2FAOecZ</t>
  </si>
  <si>
    <t>https://drive.google.com/file/d/18FwMShaiNbjU3tGqvvQ0SKRiS2FAOecZ/view?usp=drivesdk</t>
  </si>
  <si>
    <t>ENDANG SRI HARTINI S. Pd</t>
  </si>
  <si>
    <t>endangstihartini280267@gmail.com</t>
  </si>
  <si>
    <t>9373</t>
  </si>
  <si>
    <t>Starting at Thu Aug 29 2024 23:49:25 GMT-0400 (EDT)</t>
  </si>
  <si>
    <t>1tkTY9ABjznhp6Fg7uGHyQYVClogL-s01</t>
  </si>
  <si>
    <t>https://drive.google.com/file/d/1tkTY9ABjznhp6Fg7uGHyQYVClogL-s01/view?usp=drivesdk</t>
  </si>
  <si>
    <t xml:space="preserve">LINDANINGSIH </t>
  </si>
  <si>
    <t>lindaningsihn12@gmail.com</t>
  </si>
  <si>
    <t>9374</t>
  </si>
  <si>
    <t>1fmojyKLKhMZ4ptGy_LfPZEx2LpDyvMns</t>
  </si>
  <si>
    <t>https://drive.google.com/file/d/1fmojyKLKhMZ4ptGy_LfPZEx2LpDyvMns/view?usp=drivesdk</t>
  </si>
  <si>
    <t>Document successfully created; Document successfully merged; PDF created; !!Error Sending Emails: Service invoked too many times for one day: email.; Run via form trigger as ecertificate75@gmail.com; Timestamp: Sep 11 2024 7:58 AM</t>
  </si>
  <si>
    <t>DESYA APRILIA SARI, AMK</t>
  </si>
  <si>
    <t>desyaas980415@gmail.com</t>
  </si>
  <si>
    <t>9375</t>
  </si>
  <si>
    <t>1tHcxJuIzs3Uqwmpgaj-_92qJ4u4ZrmKm</t>
  </si>
  <si>
    <t>https://drive.google.com/file/d/1tHcxJuIzs3Uqwmpgaj-_92qJ4u4ZrmKm/view?usp=drivesdk</t>
  </si>
  <si>
    <t>SANDHY ADITYA ARSADANA,S.Kep</t>
  </si>
  <si>
    <t>sandhyarjuna2@gmail.com</t>
  </si>
  <si>
    <t>9376</t>
  </si>
  <si>
    <t>Starting at Thu Aug 29 2024 23:49:53 GMT-0400 (EDT)</t>
  </si>
  <si>
    <t>1dh3Zeix4KGnFQZKnZzS6DV7at960610Y</t>
  </si>
  <si>
    <t>https://drive.google.com/file/d/1dh3Zeix4KGnFQZKnZzS6DV7at960610Y/view?usp=drivesdk</t>
  </si>
  <si>
    <t>NAZARIZAL, AMd</t>
  </si>
  <si>
    <t>nazarizal78@gmail.com</t>
  </si>
  <si>
    <t>9377</t>
  </si>
  <si>
    <t>1lKdS8ufO81j4dNTBoNiFN4Mma_IO__P7</t>
  </si>
  <si>
    <t>https://drive.google.com/file/d/1lKdS8ufO81j4dNTBoNiFN4Mma_IO__P7/view?usp=drivesdk</t>
  </si>
  <si>
    <t>Dra. MUNARTI EMALIA</t>
  </si>
  <si>
    <t>emaliainesha@gmail.com</t>
  </si>
  <si>
    <t>9378</t>
  </si>
  <si>
    <t>1QR7Nf5VrePes2H1Eu8wC7fao2vUYBmKL</t>
  </si>
  <si>
    <t>https://drive.google.com/file/d/1QR7Nf5VrePes2H1Eu8wC7fao2vUYBmKL/view?usp=drivesdk</t>
  </si>
  <si>
    <t>PENDA RAHMADANI,S.H</t>
  </si>
  <si>
    <t>9379</t>
  </si>
  <si>
    <t>1f1W8hjzPIAAWOrUq1z2e1tBOthWh66tt</t>
  </si>
  <si>
    <t>https://drive.google.com/file/d/1f1W8hjzPIAAWOrUq1z2e1tBOthWh66tt/view?usp=drivesdk</t>
  </si>
  <si>
    <t>Document successfully created; Document successfully merged; PDF created; !!Error Sending Emails: Service invoked too many times for one day: email.; Run via form trigger as ecertificate75@gmail.com; Timestamp: Sep 11 2024 7:59 AM</t>
  </si>
  <si>
    <t>9380</t>
  </si>
  <si>
    <t>11VgLgsgiWIBKKUCycsDtQU94laVOW9uf</t>
  </si>
  <si>
    <t>https://drive.google.com/file/d/11VgLgsgiWIBKKUCycsDtQU94laVOW9uf/view?usp=drivesdk</t>
  </si>
  <si>
    <t>YULI FITRI YANTI, S.Psi</t>
  </si>
  <si>
    <t>yulifirtiyanti01@gmail.com</t>
  </si>
  <si>
    <t>9381</t>
  </si>
  <si>
    <t>Starting at Thu Aug 29 2024 23:50:01 GMT-0400 (EDT)</t>
  </si>
  <si>
    <t>1bSPLUmnWCc7YrIwNRoTMJ7MqxQChrUqQ</t>
  </si>
  <si>
    <t>https://drive.google.com/file/d/1bSPLUmnWCc7YrIwNRoTMJ7MqxQChrUqQ/view?usp=drivesdk</t>
  </si>
  <si>
    <t xml:space="preserve">JULIARNI SALEH </t>
  </si>
  <si>
    <t>juliarni81@gmail.com</t>
  </si>
  <si>
    <t>9382</t>
  </si>
  <si>
    <t>Starting at Thu Aug 29 2024 23:50:03 GMT-0400 (EDT)</t>
  </si>
  <si>
    <t>1jqbsZjY70gLPuDIe6igLtKEfRJrNHRHy</t>
  </si>
  <si>
    <t>https://drive.google.com/file/d/1jqbsZjY70gLPuDIe6igLtKEfRJrNHRHy/view?usp=drivesdk</t>
  </si>
  <si>
    <t>dewiwahyuniardi@gmail.com</t>
  </si>
  <si>
    <t>9383</t>
  </si>
  <si>
    <t>Starting at Thu Aug 29 2024 23:50:13 GMT-0400 (EDT)</t>
  </si>
  <si>
    <t>1-rFRD1Y844iHK-BDaRysmOxD7CtCMm0e</t>
  </si>
  <si>
    <t>https://drive.google.com/file/d/1-rFRD1Y844iHK-BDaRysmOxD7CtCMm0e/view?usp=drivesdk</t>
  </si>
  <si>
    <t>EVI Hikmawati, S.Kep</t>
  </si>
  <si>
    <t>evoye83@gmail.com</t>
  </si>
  <si>
    <t>9384</t>
  </si>
  <si>
    <t>1yId1JWWuj2eSOfp_SEByXqPaJjtNt1Ff</t>
  </si>
  <si>
    <t>https://drive.google.com/file/d/1yId1JWWuj2eSOfp_SEByXqPaJjtNt1Ff/view?usp=drivesdk</t>
  </si>
  <si>
    <t>Document successfully created; Document successfully merged; PDF created; !!Error Sending Emails: Service invoked too many times for one day: email.; Run via form trigger as ecertificate75@gmail.com; Timestamp: Sep 11 2024 8:00 AM</t>
  </si>
  <si>
    <t>Sugik1277@mail.com</t>
  </si>
  <si>
    <t>9385</t>
  </si>
  <si>
    <t>Starting at Thu Aug 29 2024 23:50:49 GMT-0400 (EDT)</t>
  </si>
  <si>
    <t>1le8rysiPMGHg1824V1CMtP2qT-28PP0M</t>
  </si>
  <si>
    <t>https://drive.google.com/file/d/1le8rysiPMGHg1824V1CMtP2qT-28PP0M/view?usp=drivesdk</t>
  </si>
  <si>
    <t>EVA FARIDA, SE</t>
  </si>
  <si>
    <t>faridaeva657@qmail.com</t>
  </si>
  <si>
    <t>9386</t>
  </si>
  <si>
    <t>1PMR74LzqanVcbZHkalaqqdAE5whh81UX</t>
  </si>
  <si>
    <t>https://drive.google.com/file/d/1PMR74LzqanVcbZHkalaqqdAE5whh81UX/view?usp=drivesdk</t>
  </si>
  <si>
    <t xml:space="preserve">ASMARANI BR GINTING </t>
  </si>
  <si>
    <t>asmaranibrginting@gmail.com</t>
  </si>
  <si>
    <t>9387</t>
  </si>
  <si>
    <t>1EssF8syqMPwy2oBr0aAHKCO143Mwbynt</t>
  </si>
  <si>
    <t>https://drive.google.com/file/d/1EssF8syqMPwy2oBr0aAHKCO143Mwbynt/view?usp=drivesdk</t>
  </si>
  <si>
    <t>TITIK NUR RAMADHON, A. Md. Kom.</t>
  </si>
  <si>
    <t>titiknurramadhon28@gmail.com</t>
  </si>
  <si>
    <t>9388</t>
  </si>
  <si>
    <t>1RmRw-a2PpCwIA9mf_Er2vJz8N9YDktJo</t>
  </si>
  <si>
    <t>https://drive.google.com/file/d/1RmRw-a2PpCwIA9mf_Er2vJz8N9YDktJo/view?usp=drivesdk</t>
  </si>
  <si>
    <t>HASDAENAH, S. farm</t>
  </si>
  <si>
    <t>hasdaenahdhena@gmail.com</t>
  </si>
  <si>
    <t>9389</t>
  </si>
  <si>
    <t>Starting at Thu Aug 29 2024 23:50:54 GMT-0400 (EDT)</t>
  </si>
  <si>
    <t>1CD6DEErRJP1E6JvxVbvtvjIfiXZzeoYu</t>
  </si>
  <si>
    <t>https://drive.google.com/file/d/1CD6DEErRJP1E6JvxVbvtvjIfiXZzeoYu/view?usp=drivesdk</t>
  </si>
  <si>
    <t>Document successfully created; Document successfully merged; PDF created; Emails Sent: [To: hasdaenahdhena@gmail.com]; Run via form trigger as ecertificate75@gmail.com; Timestamp: Sep 11 2024 10:47 PM</t>
  </si>
  <si>
    <t>MIRA BUDIARTI, SE</t>
  </si>
  <si>
    <t>budiartimira@gmail.com</t>
  </si>
  <si>
    <t>9390</t>
  </si>
  <si>
    <t>Starting at Thu Aug 29 2024 23:51:01 GMT-0400 (EDT)</t>
  </si>
  <si>
    <t>1H7WBJXPKqwysg9XVd-6utHvwbHQGh9oq</t>
  </si>
  <si>
    <t>https://drive.google.com/file/d/1H7WBJXPKqwysg9XVd-6utHvwbHQGh9oq/view?usp=drivesdk</t>
  </si>
  <si>
    <t>Document successfully created; Document successfully merged; PDF created; Emails Sent: [To: budiartimira@gmail.com]; Run via form trigger as ecertificate75@gmail.com; Timestamp: Sep 11 2024 10:48 PM</t>
  </si>
  <si>
    <t>ADI SURYADININGRAT</t>
  </si>
  <si>
    <t>Adideep69@gmail.com</t>
  </si>
  <si>
    <t>9391</t>
  </si>
  <si>
    <t>Starting at Thu Aug 29 2024 23:51:03 GMT-0400 (EDT)</t>
  </si>
  <si>
    <t>1rOaboaoIwYFTICfZmMvvFw06vhQOy6J8</t>
  </si>
  <si>
    <t>https://drive.google.com/file/d/1rOaboaoIwYFTICfZmMvvFw06vhQOy6J8/view?usp=drivesdk</t>
  </si>
  <si>
    <t>Document successfully created; Document successfully merged; PDF created; Emails Sent: [To: Adideep69@gmail.com]; Run via form trigger as ecertificate75@gmail.com; Timestamp: Sep 11 2024 10:48 PM</t>
  </si>
  <si>
    <t>DIAN HERAWATI</t>
  </si>
  <si>
    <t>naurahasmara@gmail.com</t>
  </si>
  <si>
    <t>9392</t>
  </si>
  <si>
    <t>Starting at Thu Aug 29 2024 23:51:34 GMT-0400 (EDT)</t>
  </si>
  <si>
    <t>1CVqVp_AVSyVkJxLdS_K1Brl_uqfpAEu1</t>
  </si>
  <si>
    <t>https://drive.google.com/file/d/1CVqVp_AVSyVkJxLdS_K1Brl_uqfpAEu1/view?usp=drivesdk</t>
  </si>
  <si>
    <t>Document successfully created; Document successfully merged; PDF created; Emails Sent: [To: naurahasmara@gmail.com]; Run via form trigger as ecertificate75@gmail.com; Timestamp: Sep 11 2024 10:48 PM</t>
  </si>
  <si>
    <t>joel.zulkarnain@gmail.com</t>
  </si>
  <si>
    <t>9393</t>
  </si>
  <si>
    <t>1ctZmBidz1L1FBapuKZndLiQq-c2H3vUL</t>
  </si>
  <si>
    <t>https://drive.google.com/file/d/1ctZmBidz1L1FBapuKZndLiQq-c2H3vUL/view?usp=drivesdk</t>
  </si>
  <si>
    <t>Document successfully created; Document successfully merged; PDF created; Emails Sent: [To: joel.zulkarnain@gmail.com]; Run via form trigger as ecertificate75@gmail.com; Timestamp: Sep 11 2024 10:48 PM</t>
  </si>
  <si>
    <t>Hj.NURAINI S.kep Ns</t>
  </si>
  <si>
    <t>nuraini02081974@gmail.com</t>
  </si>
  <si>
    <t>9394</t>
  </si>
  <si>
    <t>1jKhkER2hgmNDBULhSvihUt8BfFKoKDQA</t>
  </si>
  <si>
    <t>https://drive.google.com/file/d/1jKhkER2hgmNDBULhSvihUt8BfFKoKDQA/view?usp=drivesdk</t>
  </si>
  <si>
    <t>Document successfully created; Document successfully merged; PDF created; Emails Sent: [To: nuraini02081974@gmail.com]; Run via form trigger as ecertificate75@gmail.com; Timestamp: Sep 11 2024 10:48 PM</t>
  </si>
  <si>
    <t>Titin Rachmiyati Asril</t>
  </si>
  <si>
    <t>titinrachmiyati75@gmail.com</t>
  </si>
  <si>
    <t>9395</t>
  </si>
  <si>
    <t>Starting at Thu Aug 29 2024 23:52:43 GMT-0400 (EDT)</t>
  </si>
  <si>
    <t>1FEhbr3CHIVYSkIwt1EpQ-p1pZSDpufJZ</t>
  </si>
  <si>
    <t>https://drive.google.com/file/d/1FEhbr3CHIVYSkIwt1EpQ-p1pZSDpufJZ/view?usp=drivesdk</t>
  </si>
  <si>
    <t>Document successfully created; Document successfully merged; PDF created; Emails Sent: [To: titinrachmiyati75@gmail.com]; Run via form trigger as ecertificate75@gmail.com; Timestamp: Sep 11 2024 10:49 PM</t>
  </si>
  <si>
    <t>9396</t>
  </si>
  <si>
    <t>1VdO52XsUvx2Ii6ofnVaQAiEIxONMrKPV</t>
  </si>
  <si>
    <t>https://drive.google.com/file/d/1VdO52XsUvx2Ii6ofnVaQAiEIxONMrKPV/view?usp=drivesdk</t>
  </si>
  <si>
    <t>Document successfully created; Document successfully merged; PDF created; Emails Sent: [To: tutik.bdk@gmail.com]; Run via form trigger as ecertificate75@gmail.com; Timestamp: Sep 11 2024 10:49 PM</t>
  </si>
  <si>
    <t>SRIYANI</t>
  </si>
  <si>
    <t>mbaksri883@gmail.com</t>
  </si>
  <si>
    <t>9397</t>
  </si>
  <si>
    <t>1KB37CO8HBemjGZuwFkSVNC2LQXmC1_DE</t>
  </si>
  <si>
    <t>https://drive.google.com/file/d/1KB37CO8HBemjGZuwFkSVNC2LQXmC1_DE/view?usp=drivesdk</t>
  </si>
  <si>
    <t>Document successfully created; Document successfully merged; PDF created; Emails Sent: [To: mbaksri883@gmail.com]; Run via form trigger as ecertificate75@gmail.com; Timestamp: Sep 11 2024 10:49 PM</t>
  </si>
  <si>
    <t xml:space="preserve">Sandi Ika Fitrianto </t>
  </si>
  <si>
    <t>fitriantosandi@gmail.com</t>
  </si>
  <si>
    <t>9398</t>
  </si>
  <si>
    <t>15wPPFgGV3Qv2mO8_K_j9ZRYdwkH5Omll</t>
  </si>
  <si>
    <t>https://drive.google.com/file/d/15wPPFgGV3Qv2mO8_K_j9ZRYdwkH5Omll/view?usp=drivesdk</t>
  </si>
  <si>
    <t>Document successfully created; Document successfully merged; PDF created; Emails Sent: [To: fitriantosandi@gmail.com]; Run via form trigger as ecertificate75@gmail.com; Timestamp: Sep 11 2024 10:49 PM</t>
  </si>
  <si>
    <t>ERVA YUNITA, S.H</t>
  </si>
  <si>
    <t>yunitaerva@gmail.com</t>
  </si>
  <si>
    <t>9399</t>
  </si>
  <si>
    <t>1Dk-YpP4XS_GrwBgDEiBWV97WQqyt2wcP</t>
  </si>
  <si>
    <t>https://drive.google.com/file/d/1Dk-YpP4XS_GrwBgDEiBWV97WQqyt2wcP/view?usp=drivesdk</t>
  </si>
  <si>
    <t>Document successfully created; Document successfully merged; PDF created; Emails Sent: [To: yunitaerva@gmail.com]; Run via form trigger as ecertificate75@gmail.com; Timestamp: Sep 11 2024 10:50 PM</t>
  </si>
  <si>
    <t>NI PUTU YUNI ASTUTI</t>
  </si>
  <si>
    <t>yuniiastutii07@gmail.com</t>
  </si>
  <si>
    <t>9400</t>
  </si>
  <si>
    <t>1G-4UoLinjB9X48_haBMVTsaaHhJV-14T</t>
  </si>
  <si>
    <t>https://drive.google.com/file/d/1G-4UoLinjB9X48_haBMVTsaaHhJV-14T/view?usp=drivesdk</t>
  </si>
  <si>
    <t>Document successfully created; Document successfully merged; PDF created; Emails Sent: [To: yuniiastutii07@gmail.com]; Run via form trigger as ecertificate75@gmail.com; Timestamp: Sep 11 2024 10:50 PM</t>
  </si>
  <si>
    <t>Asnaeni, S.Si. Apt. M. Adm. Kes</t>
  </si>
  <si>
    <t>asnaeni.rahul@gmail.com</t>
  </si>
  <si>
    <t>9401</t>
  </si>
  <si>
    <t>1_AbXPv3-CeCp_4Qd1WUWmAqz0kAx8IJ2</t>
  </si>
  <si>
    <t>https://drive.google.com/file/d/1_AbXPv3-CeCp_4Qd1WUWmAqz0kAx8IJ2/view?usp=drivesdk</t>
  </si>
  <si>
    <t>Document successfully created; Document successfully merged; PDF created; Emails Sent: [To: asnaeni.rahul@gmail.com]; Run via form trigger as ecertificate75@gmail.com; Timestamp: Sep 11 2024 10:50 PM</t>
  </si>
  <si>
    <t>CHRISTINA SUARNINGSIH, S. Kep, Ns</t>
  </si>
  <si>
    <t>nevi8375@gmail.com</t>
  </si>
  <si>
    <t>9402</t>
  </si>
  <si>
    <t>1ZAoTEyqapyU-lLEwRbWLCWS4M1H6wvhA</t>
  </si>
  <si>
    <t>https://drive.google.com/file/d/1ZAoTEyqapyU-lLEwRbWLCWS4M1H6wvhA/view?usp=drivesdk</t>
  </si>
  <si>
    <t>Document successfully created; Document successfully merged; PDF created; Emails Sent: [To: nevi8375@gmail.com]; Run via form trigger as ecertificate75@gmail.com; Timestamp: Sep 11 2024 10:50 PM</t>
  </si>
  <si>
    <t>YULIANI</t>
  </si>
  <si>
    <t>yuli35943@gmail.com</t>
  </si>
  <si>
    <t>9403</t>
  </si>
  <si>
    <t>1lksuISqqyKzGO6I1xyaUgB_r6_gnEmek</t>
  </si>
  <si>
    <t>https://drive.google.com/file/d/1lksuISqqyKzGO6I1xyaUgB_r6_gnEmek/view?usp=drivesdk</t>
  </si>
  <si>
    <t>Document successfully created; Document successfully merged; PDF created; Emails Sent: [To: yuli35943@gmail.com]; Run via form trigger as ecertificate75@gmail.com; Timestamp: Sep 11 2024 10:51 PM</t>
  </si>
  <si>
    <t>HENDRIWATI</t>
  </si>
  <si>
    <t>hendriwati893@gmail.com</t>
  </si>
  <si>
    <t>9404</t>
  </si>
  <si>
    <t>1nCn7sJoowjHUSisY7x0-ZvqXBWgmZc1m</t>
  </si>
  <si>
    <t>https://drive.google.com/file/d/1nCn7sJoowjHUSisY7x0-ZvqXBWgmZc1m/view?usp=drivesdk</t>
  </si>
  <si>
    <t>Document successfully created; Document successfully merged; PDF created; Emails Sent: [To: hendriwati893@gmail.com]; Run via form trigger as ecertificate75@gmail.com; Timestamp: Sep 11 2024 10:51 PM</t>
  </si>
  <si>
    <t>NUR RAHMA HASAN</t>
  </si>
  <si>
    <t>hasannurrahma@gmail.com</t>
  </si>
  <si>
    <t>9405</t>
  </si>
  <si>
    <t>Starting at Thu Aug 29 2024 23:52:56 GMT-0400 (EDT)</t>
  </si>
  <si>
    <t>1aXV4a8-w4vdgGT5BEQ-pKMlpbU43oqD4</t>
  </si>
  <si>
    <t>https://drive.google.com/file/d/1aXV4a8-w4vdgGT5BEQ-pKMlpbU43oqD4/view?usp=drivesdk</t>
  </si>
  <si>
    <t>Document successfully created; Document successfully merged; PDF created; Emails Sent: [To: hasannurrahma@gmail.com]; Run via form trigger as ecertificate75@gmail.com; Timestamp: Sep 11 2024 10:51 PM</t>
  </si>
  <si>
    <t>NUR KHAMZIH ACHMAD</t>
  </si>
  <si>
    <t>anhci83.aa@gmail.com</t>
  </si>
  <si>
    <t>9406</t>
  </si>
  <si>
    <t>Starting at Thu Aug 29 2024 23:53:23 GMT-0400 (EDT)</t>
  </si>
  <si>
    <t>15Apf8FM_QFrkYLA9hkv4UvneISsje4Lf</t>
  </si>
  <si>
    <t>https://drive.google.com/file/d/15Apf8FM_QFrkYLA9hkv4UvneISsje4Lf/view?usp=drivesdk</t>
  </si>
  <si>
    <t>Document successfully created; Document successfully merged; PDF created; Emails Sent: [To: anhci83.aa@gmail.com]; Run via form trigger as ecertificate75@gmail.com; Timestamp: Sep 11 2024 10:51 PM</t>
  </si>
  <si>
    <t xml:space="preserve">MEILAN SARI </t>
  </si>
  <si>
    <t>meilanisari300@gmail.com</t>
  </si>
  <si>
    <t>9407</t>
  </si>
  <si>
    <t>Starting at Thu Aug 29 2024 23:53:26 GMT-0400 (EDT)</t>
  </si>
  <si>
    <t>1PiKCLCBc83iRUYfBUB9MqrumNBll7ijV</t>
  </si>
  <si>
    <t>https://drive.google.com/file/d/1PiKCLCBc83iRUYfBUB9MqrumNBll7ijV/view?usp=drivesdk</t>
  </si>
  <si>
    <t>Document successfully created; Document successfully merged; PDF created; Emails Sent: [To: meilanisari300@gmail.com]; Run via form trigger as ecertificate75@gmail.com; Timestamp: Sep 11 2024 10:51 PM</t>
  </si>
  <si>
    <t>NUR EKOWATI</t>
  </si>
  <si>
    <t>nurekowati12@gmail.com</t>
  </si>
  <si>
    <t>9408</t>
  </si>
  <si>
    <t>Starting at Thu Aug 29 2024 23:53:32 GMT-0400 (EDT)</t>
  </si>
  <si>
    <t>1V7i7C2ltuZEpYAKzeFn17Rg79JZ7Z4oB</t>
  </si>
  <si>
    <t>https://drive.google.com/file/d/1V7i7C2ltuZEpYAKzeFn17Rg79JZ7Z4oB/view?usp=drivesdk</t>
  </si>
  <si>
    <t>Document successfully created; Document successfully merged; PDF created; Emails Sent: [To: nurekowati12@gmail.com]; Run via form trigger as ecertificate75@gmail.com; Timestamp: Sep 11 2024 10:52 PM</t>
  </si>
  <si>
    <t>bangpelor456@gmail.com</t>
  </si>
  <si>
    <t>9409</t>
  </si>
  <si>
    <t>Starting at Thu Aug 29 2024 23:53:40 GMT-0400 (EDT)</t>
  </si>
  <si>
    <t>17PXUGHcTZpvNrPXBsA5YEmDediTk_VxA</t>
  </si>
  <si>
    <t>https://drive.google.com/file/d/17PXUGHcTZpvNrPXBsA5YEmDediTk_VxA/view?usp=drivesdk</t>
  </si>
  <si>
    <t>Document successfully created; Document successfully merged; PDF created; Emails Sent: [To: bangpelor456@gmail.com]; Run via form trigger as ecertificate75@gmail.com; Timestamp: Sep 11 2024 10:52 PM</t>
  </si>
  <si>
    <t>dannangsaputro06@gmail.com</t>
  </si>
  <si>
    <t>9410</t>
  </si>
  <si>
    <t>Starting at Thu Aug 29 2024 23:54:01 GMT-0400 (EDT)</t>
  </si>
  <si>
    <t>1VtL8U5EYfX9xEkafm1Tz-_Ofi2ECKsuN</t>
  </si>
  <si>
    <t>https://drive.google.com/file/d/1VtL8U5EYfX9xEkafm1Tz-_Ofi2ECKsuN/view?usp=drivesdk</t>
  </si>
  <si>
    <t>Document successfully created; Document successfully merged; PDF created; Emails Sent: [To: dannangsaputro06@gmail.com]; Run via form trigger as ecertificate75@gmail.com; Timestamp: Sep 11 2024 11:14 PM</t>
  </si>
  <si>
    <t>SUHARNO, S.E.</t>
  </si>
  <si>
    <t>suharno.rena@gmail.com</t>
  </si>
  <si>
    <t>9411</t>
  </si>
  <si>
    <t>Starting at Thu Aug 29 2024 23:54:04 GMT-0400 (EDT)</t>
  </si>
  <si>
    <t>1sk6EYJaxi6wCs2bEjYUHuLeC82Tknwc-</t>
  </si>
  <si>
    <t>https://drive.google.com/file/d/1sk6EYJaxi6wCs2bEjYUHuLeC82Tknwc-/view?usp=drivesdk</t>
  </si>
  <si>
    <t>Document successfully created; Document successfully merged; PDF created; Emails Sent: [To: suharno.rena@gmail.com]; Run via form trigger as ecertificate75@gmail.com; Timestamp: Sep 11 2024 11:14 PM</t>
  </si>
  <si>
    <t>DEVI MARLIANA S.M</t>
  </si>
  <si>
    <t>devimarliana30@gmail.com</t>
  </si>
  <si>
    <t>9412</t>
  </si>
  <si>
    <t>Starting at Thu Aug 29 2024 23:56:03 GMT-0400 (EDT)</t>
  </si>
  <si>
    <t>1YEpoKJuAfovkmwZHlWqwT4-iw9GDa_rj</t>
  </si>
  <si>
    <t>https://drive.google.com/file/d/1YEpoKJuAfovkmwZHlWqwT4-iw9GDa_rj/view?usp=drivesdk</t>
  </si>
  <si>
    <t>Document successfully created; Document successfully merged; PDF created; Emails Sent: [To: devimarliana30@gmail.com]; Run via form trigger as ecertificate75@gmail.com; Timestamp: Sep 11 2024 11:15 PM</t>
  </si>
  <si>
    <t>DEWI MEMMY HALOHO, A.Md</t>
  </si>
  <si>
    <t>dewimemmy@gmail.com</t>
  </si>
  <si>
    <t>9413</t>
  </si>
  <si>
    <t>1SDYYGSVquasRIb65Pw01XJQoIDQUBYcZ</t>
  </si>
  <si>
    <t>https://drive.google.com/file/d/1SDYYGSVquasRIb65Pw01XJQoIDQUBYcZ/view?usp=drivesdk</t>
  </si>
  <si>
    <t>Document successfully created; Document successfully merged; PDF created; Emails Sent: [To: dewimemmy@gmail.com]; Run via form trigger as ecertificate75@gmail.com; Timestamp: Sep 11 2024 11:15 PM</t>
  </si>
  <si>
    <t>ELMI YUMNAH, S.K.M</t>
  </si>
  <si>
    <t>Elmidiki.71@gmail.com</t>
  </si>
  <si>
    <t>9414</t>
  </si>
  <si>
    <t>1eZCIPY7m3MxJdrMexR1GYbXNYGr6fbPd</t>
  </si>
  <si>
    <t>https://drive.google.com/file/d/1eZCIPY7m3MxJdrMexR1GYbXNYGr6fbPd/view?usp=drivesdk</t>
  </si>
  <si>
    <t>Document successfully created; Document successfully merged; PDF created; Emails Sent: [To: Elmidiki.71@gmail.com]; Run via form trigger as ecertificate75@gmail.com; Timestamp: Sep 11 2024 11:15 PM</t>
  </si>
  <si>
    <t>NUR ISTIQOMARIYAH</t>
  </si>
  <si>
    <t>marsyaarista2014@gmail.com</t>
  </si>
  <si>
    <t>9415</t>
  </si>
  <si>
    <t>1A_odFt5jrJAkFOAcm90d2efOD4DPdly2</t>
  </si>
  <si>
    <t>https://drive.google.com/file/d/1A_odFt5jrJAkFOAcm90d2efOD4DPdly2/view?usp=drivesdk</t>
  </si>
  <si>
    <t>Document successfully created; Document successfully merged; PDF created; Emails Sent: [To: marsyaarista2014@gmail.com]; Run via form trigger as ecertificate75@gmail.com; Timestamp: Sep 11 2024 11:15 PM</t>
  </si>
  <si>
    <t>IQBAL TEGUH</t>
  </si>
  <si>
    <t>Burriffat@mail.com</t>
  </si>
  <si>
    <t>9416</t>
  </si>
  <si>
    <t>1a8bq53rG3C-gUexka4j13FP7aS2ASVSd</t>
  </si>
  <si>
    <t>https://drive.google.com/file/d/1a8bq53rG3C-gUexka4j13FP7aS2ASVSd/view?usp=drivesdk</t>
  </si>
  <si>
    <t>Document successfully created; Document successfully merged; PDF created; Emails Sent: [To: Burriffat@mail.com]; Run via form trigger as ecertificate75@gmail.com; Timestamp: Sep 11 2024 11:16 PM</t>
  </si>
  <si>
    <t>Oktaviana Risma Putri</t>
  </si>
  <si>
    <t>oktavianarisma8@gmail.com</t>
  </si>
  <si>
    <t>9417</t>
  </si>
  <si>
    <t>15pPK0mToGTmjj-Ei8gpsffELZOODITMU</t>
  </si>
  <si>
    <t>https://drive.google.com/file/d/15pPK0mToGTmjj-Ei8gpsffELZOODITMU/view?usp=drivesdk</t>
  </si>
  <si>
    <t>Document successfully created; Document successfully merged; PDF created; Emails Sent: [To: oktavianarisma8@gmail.com]; Run via form trigger as ecertificate75@gmail.com; Timestamp: Sep 11 2024 11:16 PM</t>
  </si>
  <si>
    <t>PUTRI ADITA WAHONO A.Md.Kep.</t>
  </si>
  <si>
    <t>putriaditawahono@gmail.com</t>
  </si>
  <si>
    <t>9418</t>
  </si>
  <si>
    <t>1rH4ZI6Nv9Ups9uQh42PPyJKqd8ooczkP</t>
  </si>
  <si>
    <t>https://drive.google.com/file/d/1rH4ZI6Nv9Ups9uQh42PPyJKqd8ooczkP/view?usp=drivesdk</t>
  </si>
  <si>
    <t>Document successfully created; Document successfully merged; PDF created; Emails Sent: [To: putriaditawahono@gmail.com]; Run via form trigger as ecertificate75@gmail.com; Timestamp: Sep 11 2024 11:16 PM</t>
  </si>
  <si>
    <t>9419</t>
  </si>
  <si>
    <t>1ucRHAbDlcNkI5cgzbv5ViXHQnyG22-jN</t>
  </si>
  <si>
    <t>https://drive.google.com/file/d/1ucRHAbDlcNkI5cgzbv5ViXHQnyG22-jN/view?usp=drivesdk</t>
  </si>
  <si>
    <t>Document successfully created; Document successfully merged; PDF created; Emails Sent: [To: mellyruswida1234@gmail.com]; Run via form trigger as ecertificate75@gmail.com; Timestamp: Sep 11 2024 11:16 PM</t>
  </si>
  <si>
    <t>NURMALA SARI</t>
  </si>
  <si>
    <t>sarisarpras@gmail.com</t>
  </si>
  <si>
    <t>9420</t>
  </si>
  <si>
    <t>10SYWKqwsBQlGAO9IW0WKqtzXjn2Xn36d</t>
  </si>
  <si>
    <t>https://drive.google.com/file/d/10SYWKqwsBQlGAO9IW0WKqtzXjn2Xn36d/view?usp=drivesdk</t>
  </si>
  <si>
    <t>Document successfully created; Document successfully merged; PDF created; Emails Sent: [To: sarisarpras@gmail.com]; Run via form trigger as ecertificate75@gmail.com; Timestamp: Sep 11 2024 11:17 PM</t>
  </si>
  <si>
    <t>ALMANAR. SE</t>
  </si>
  <si>
    <t>almanar.1610035@gmail.com</t>
  </si>
  <si>
    <t>9421</t>
  </si>
  <si>
    <t>1dDcrRb341HvjB_vdzIcOz7EwbQ_NeY52</t>
  </si>
  <si>
    <t>https://drive.google.com/file/d/1dDcrRb341HvjB_vdzIcOz7EwbQ_NeY52/view?usp=drivesdk</t>
  </si>
  <si>
    <t>Document successfully created; Document successfully merged; PDF created; Emails Sent: [To: almanar.1610035@gmail.com]; Run via form trigger as ecertificate75@gmail.com; Timestamp: Sep 11 2024 11:17 PM</t>
  </si>
  <si>
    <t>AAN SULISTIYORINI</t>
  </si>
  <si>
    <t>aansulistiyorini@gmai.lcom</t>
  </si>
  <si>
    <t>9422</t>
  </si>
  <si>
    <t>1-YBU97XEM4ykDwYQc6EiZZJh7oT02AqG</t>
  </si>
  <si>
    <t>https://drive.google.com/file/d/1-YBU97XEM4ykDwYQc6EiZZJh7oT02AqG/view?usp=drivesdk</t>
  </si>
  <si>
    <t>Document successfully created; Document successfully merged; PDF created; Emails Sent: [To: aansulistiyorini@gmai.lcom]; Run via form trigger as ecertificate75@gmail.com; Timestamp: Sep 11 2024 11:17 PM</t>
  </si>
  <si>
    <t>NUR FILDZAH HIDAYATI, A.Md KES</t>
  </si>
  <si>
    <t>nfildzah17@gmail.com</t>
  </si>
  <si>
    <t>9423</t>
  </si>
  <si>
    <t>1Ll0sTMRaN4c9MogWrWYnMzgcbv0JOUCJ</t>
  </si>
  <si>
    <t>https://drive.google.com/file/d/1Ll0sTMRaN4c9MogWrWYnMzgcbv0JOUCJ/view?usp=drivesdk</t>
  </si>
  <si>
    <t>Document successfully created; Document successfully merged; PDF created; Emails Sent: [To: nfildzah17@gmail.com]; Run via form trigger as ecertificate75@gmail.com; Timestamp: Sep 11 2024 11:18 PM</t>
  </si>
  <si>
    <t>Anak Agung Sri Agung Eka Ratna Dewi</t>
  </si>
  <si>
    <t>agungdewi0011@gmail.com</t>
  </si>
  <si>
    <t>9424</t>
  </si>
  <si>
    <t>1qHpfcvI4pzrzTBDYCu7awRUmNjtNcdJP</t>
  </si>
  <si>
    <t>https://drive.google.com/file/d/1qHpfcvI4pzrzTBDYCu7awRUmNjtNcdJP/view?usp=drivesdk</t>
  </si>
  <si>
    <t>Document successfully created; Document successfully merged; PDF created; Emails Sent: [To: agungdewi0011@gmail.com]; Run via form trigger as ecertificate75@gmail.com; Timestamp: Sep 11 2024 11:18 PM</t>
  </si>
  <si>
    <t>Wuln Anggarini Wahyu Safitri</t>
  </si>
  <si>
    <t>anggarini40@gmail.com</t>
  </si>
  <si>
    <t>9425</t>
  </si>
  <si>
    <t>1D2FviEnS15fEBLS-tuXeJLZcYx2wtHZl</t>
  </si>
  <si>
    <t>https://drive.google.com/file/d/1D2FviEnS15fEBLS-tuXeJLZcYx2wtHZl/view?usp=drivesdk</t>
  </si>
  <si>
    <t>Document successfully created; Document successfully merged; PDF created; Emails Sent: [To: anggarini40@gmail.com]; Run via form trigger as ecertificate75@gmail.com; Timestamp: Sep 11 2024 11:18 PM</t>
  </si>
  <si>
    <t>ANDI ATIKA</t>
  </si>
  <si>
    <t>andiatika1967@gmail.com</t>
  </si>
  <si>
    <t>9426</t>
  </si>
  <si>
    <t>1XEkj9N6yR8LrkAsfzF68j4tdzRTAQ4K5</t>
  </si>
  <si>
    <t>https://drive.google.com/file/d/1XEkj9N6yR8LrkAsfzF68j4tdzRTAQ4K5/view?usp=drivesdk</t>
  </si>
  <si>
    <t>Document successfully created; Document successfully merged; PDF created; Emails Sent: [To: andiatika1967@gmail.com]; Run via form trigger as ecertificate75@gmail.com; Timestamp: Sep 11 2024 11:18 PM</t>
  </si>
  <si>
    <t>ATILISA GEA</t>
  </si>
  <si>
    <t>atilisagea@gmail.com</t>
  </si>
  <si>
    <t>9427</t>
  </si>
  <si>
    <t>1zVYfuXg_nE-GIC606vgDQsV7cscO2f0E</t>
  </si>
  <si>
    <t>https://drive.google.com/file/d/1zVYfuXg_nE-GIC606vgDQsV7cscO2f0E/view?usp=drivesdk</t>
  </si>
  <si>
    <t>Document successfully created; Document successfully merged; PDF created; Emails Sent: [To: atilisagea@gmail.com]; Run via form trigger as ecertificate75@gmail.com; Timestamp: Sep 11 2024 11:19 PM</t>
  </si>
  <si>
    <t>MUHAMMAD ILMI HIDAYATULLAH A.Md.Kep.</t>
  </si>
  <si>
    <t>dayatilmi7@gmail.com</t>
  </si>
  <si>
    <t>9428</t>
  </si>
  <si>
    <t>Starting at Thu Aug 29 2024 23:56:22 GMT-0400 (EDT)</t>
  </si>
  <si>
    <t>1IQJ4GN5S8YbL4vR_F7lLLwuvFcm7INFe</t>
  </si>
  <si>
    <t>https://drive.google.com/file/d/1IQJ4GN5S8YbL4vR_F7lLLwuvFcm7INFe/view?usp=drivesdk</t>
  </si>
  <si>
    <t>Document successfully created; Document successfully merged; PDF created; Emails Sent: [To: dayatilmi7@gmail.com]; Run via form trigger as ecertificate75@gmail.com; Timestamp: Sep 11 2024 11:30 PM</t>
  </si>
  <si>
    <t>ELISABETH HERAWATI SIAHAAN</t>
  </si>
  <si>
    <t>intelkamsimalungun@gmail.com</t>
  </si>
  <si>
    <t>9429</t>
  </si>
  <si>
    <t>1SSgaJNuw_svGOdbKIp3gBt7aSIWBsPyB</t>
  </si>
  <si>
    <t>https://drive.google.com/file/d/1SSgaJNuw_svGOdbKIp3gBt7aSIWBsPyB/view?usp=drivesdk</t>
  </si>
  <si>
    <t>Document successfully created; Document successfully merged; PDF created; Emails Sent: [To: intelkamsimalungun@gmail.com]; Run via form trigger as ecertificate75@gmail.com; Timestamp: Sep 11 2024 11:30 PM</t>
  </si>
  <si>
    <t>TRI AINUN UMAIYAH, A.Md.Kep.</t>
  </si>
  <si>
    <t>triainun477@gmail.com</t>
  </si>
  <si>
    <t>9430</t>
  </si>
  <si>
    <t>1TPh-PNF88JR0iGIAj56_EpnznImujnJ1</t>
  </si>
  <si>
    <t>https://drive.google.com/file/d/1TPh-PNF88JR0iGIAj56_EpnznImujnJ1/view?usp=drivesdk</t>
  </si>
  <si>
    <t>Document successfully created; Document successfully merged; PDF created; Emails Sent: [To: triainun477@gmail.com]; Run via form trigger as ecertificate75@gmail.com; Timestamp: Sep 11 2024 11:31 PM</t>
  </si>
  <si>
    <t>NURBAYA</t>
  </si>
  <si>
    <t>bunur02556@gmail.com</t>
  </si>
  <si>
    <t>9431</t>
  </si>
  <si>
    <t>1IR51C8RY8pGhCcpOZra5T7DUThv6J9YI</t>
  </si>
  <si>
    <t>https://drive.google.com/file/d/1IR51C8RY8pGhCcpOZra5T7DUThv6J9YI/view?usp=drivesdk</t>
  </si>
  <si>
    <t>Document successfully created; Document successfully merged; PDF created; Emails Sent: [To: bunur02556@gmail.com]; Run via form trigger as ecertificate75@gmail.com; Timestamp: Sep 11 2024 11:31 PM</t>
  </si>
  <si>
    <t>RACHMA ULFA AFNI, A.Md. Kep</t>
  </si>
  <si>
    <t>rchmulfa@gmail.com</t>
  </si>
  <si>
    <t>9432</t>
  </si>
  <si>
    <t>1F0UcychVGeroVTkseurWx_b-RSLrOWUK</t>
  </si>
  <si>
    <t>https://drive.google.com/file/d/1F0UcychVGeroVTkseurWx_b-RSLrOWUK/view?usp=drivesdk</t>
  </si>
  <si>
    <t>Document successfully created; Document successfully merged; PDF created; Emails Sent: [To: rchmulfa@gmail.com]; Run via form trigger as ecertificate75@gmail.com; Timestamp: Sep 11 2024 11:31 PM</t>
  </si>
  <si>
    <t>JAMES PATMOS YONGGULEMBA, S.Sos</t>
  </si>
  <si>
    <t>jamesyonggulemba@gmail.com</t>
  </si>
  <si>
    <t>9433</t>
  </si>
  <si>
    <t>Starting at Thu Aug 29 2024 23:56:30 GMT-0400 (EDT)</t>
  </si>
  <si>
    <t>1RuBfLn8jRWi2IIHcYEdbEI9ePVjbJDU_</t>
  </si>
  <si>
    <t>https://drive.google.com/file/d/1RuBfLn8jRWi2IIHcYEdbEI9ePVjbJDU_/view?usp=drivesdk</t>
  </si>
  <si>
    <t>Document successfully created; Document successfully merged; PDF created; Emails Sent: [To: jamesyonggulemba@gmail.com]; Run via form trigger as ecertificate75@gmail.com; Timestamp: Sep 11 2024 11:31 PM</t>
  </si>
  <si>
    <t>OLVIE PANGKEREGO</t>
  </si>
  <si>
    <t>olviepangkerego6@mail.com</t>
  </si>
  <si>
    <t>9434</t>
  </si>
  <si>
    <t>Starting at Thu Aug 29 2024 23:56:39 GMT-0400 (EDT)</t>
  </si>
  <si>
    <t>1VpiNHOsXQAmcjL63u0iqnAa0xvyHTvJC</t>
  </si>
  <si>
    <t>https://drive.google.com/file/d/1VpiNHOsXQAmcjL63u0iqnAa0xvyHTvJC/view?usp=drivesdk</t>
  </si>
  <si>
    <t>Document successfully created; Document successfully merged; PDF created; Emails Sent: [To: olviepangkerego6@mail.com]; Run via form trigger as ecertificate75@gmail.com; Timestamp: Sep 11 2024 11:32 PM</t>
  </si>
  <si>
    <t>DESI MULIYANA, S.Pi</t>
  </si>
  <si>
    <t>arsipelektronikbagopstahun2022@gmail.com</t>
  </si>
  <si>
    <t>9435</t>
  </si>
  <si>
    <t>17G38SU-j1cdFOEg1pnXYI82bc0kr3JMQ</t>
  </si>
  <si>
    <t>https://drive.google.com/file/d/17G38SU-j1cdFOEg1pnXYI82bc0kr3JMQ/view?usp=drivesdk</t>
  </si>
  <si>
    <t>Document successfully created; Document successfully merged; PDF created; Emails Sent: [To: arsipelektronikbagopstahun2022@gmail.com]; Run via form trigger as ecertificate75@gmail.com; Timestamp: Sep 11 2024 11:32 PM</t>
  </si>
  <si>
    <t>FARAH TIFANNY AISYAH ANINDYA PUTRI, A.Md.Kes</t>
  </si>
  <si>
    <t>farahtifanny5@gmail.com</t>
  </si>
  <si>
    <t>9436</t>
  </si>
  <si>
    <t>Starting at Thu Aug 29 2024 23:56:44 GMT-0400 (EDT)</t>
  </si>
  <si>
    <t>15QTfueGEHWk1ocBM0SWZKn35dziM6g3Y</t>
  </si>
  <si>
    <t>https://drive.google.com/file/d/15QTfueGEHWk1ocBM0SWZKn35dziM6g3Y/view?usp=drivesdk</t>
  </si>
  <si>
    <t>Document successfully created; Document successfully merged; PDF created; Emails Sent: [To: farahtifanny5@gmail.com]; Run via form trigger as ecertificate75@gmail.com; Timestamp: Sep 11 2024 11:32 PM</t>
  </si>
  <si>
    <t xml:space="preserve">TEUKU RIZKY HADIPUTRA </t>
  </si>
  <si>
    <t>teuku.rizky.h@mail.ugm.ac.id</t>
  </si>
  <si>
    <t>9437</t>
  </si>
  <si>
    <t>Starting at Thu Aug 29 2024 23:56:50 GMT-0400 (EDT)</t>
  </si>
  <si>
    <t>14uvL3C4pEmVOZkgWN_bm999GRBBGjtOt</t>
  </si>
  <si>
    <t>https://drive.google.com/file/d/14uvL3C4pEmVOZkgWN_bm999GRBBGjtOt/view?usp=drivesdk</t>
  </si>
  <si>
    <t>Document successfully created; Document successfully merged; PDF created; Emails Sent: [To: teuku.rizky.h@mail.ugm.ac.id]; Run via form trigger as ecertificate75@gmail.com; Timestamp: Sep 11 2024 11:32 PM</t>
  </si>
  <si>
    <t>NIMAS AYU PUSPITA SARI</t>
  </si>
  <si>
    <t>nimasayups@gmail.com</t>
  </si>
  <si>
    <t>9438</t>
  </si>
  <si>
    <t>Starting at Thu Aug 29 2024 23:56:55 GMT-0400 (EDT)</t>
  </si>
  <si>
    <t>1abvnA1q0PRcCSUhNH3yDZvM0ndhL8aEn</t>
  </si>
  <si>
    <t>https://drive.google.com/file/d/1abvnA1q0PRcCSUhNH3yDZvM0ndhL8aEn/view?usp=drivesdk</t>
  </si>
  <si>
    <t>Document successfully created; Document successfully merged; PDF created; Emails Sent: [To: nimasayups@gmail.com]; Run via form trigger as ecertificate75@gmail.com; Timestamp: Sep 11 2024 11:33 PM</t>
  </si>
  <si>
    <t>SLAMETSIM53@GMAIL.COM</t>
  </si>
  <si>
    <t>9439</t>
  </si>
  <si>
    <t>Starting at Thu Aug 29 2024 23:57:13 GMT-0400 (EDT)</t>
  </si>
  <si>
    <t>1p5X0W5Dikw-n9TIpWOQ7sMXSYBxENkP5</t>
  </si>
  <si>
    <t>https://drive.google.com/file/d/1p5X0W5Dikw-n9TIpWOQ7sMXSYBxENkP5/view?usp=drivesdk</t>
  </si>
  <si>
    <t>Document successfully created; Document successfully merged; PDF created; Emails Sent: [To: SLAMETSIM53@GMAIL.COM]; Run via form trigger as ecertificate75@gmail.com; Timestamp: Sep 11 2024 11:33 PM</t>
  </si>
  <si>
    <t>Hermyta Yuniawaty Labaka</t>
  </si>
  <si>
    <t>mytatiti@gmail.com</t>
  </si>
  <si>
    <t>9440</t>
  </si>
  <si>
    <t>Starting at Thu Aug 29 2024 23:57:18 GMT-0400 (EDT)</t>
  </si>
  <si>
    <t>1IVslTXkhkvbZ-mbrHxM8Bfoetxp-vYG7</t>
  </si>
  <si>
    <t>https://drive.google.com/file/d/1IVslTXkhkvbZ-mbrHxM8Bfoetxp-vYG7/view?usp=drivesdk</t>
  </si>
  <si>
    <t>Document successfully created; Document successfully merged; PDF created; Emails Sent: [To: mytatiti@gmail.com]; Run via form trigger as ecertificate75@gmail.com; Timestamp: Sep 11 2024 11:33 PM</t>
  </si>
  <si>
    <t xml:space="preserve">MARTHEN TANGGO </t>
  </si>
  <si>
    <t>marthen.tanggo@gmai.com</t>
  </si>
  <si>
    <t>9441</t>
  </si>
  <si>
    <t>Starting at Thu Aug 29 2024 23:59:39 GMT-0400 (EDT)</t>
  </si>
  <si>
    <t>1c5Ew2mIktxc06fjMB9o_WY6vLvkR3moy</t>
  </si>
  <si>
    <t>https://drive.google.com/file/d/1c5Ew2mIktxc06fjMB9o_WY6vLvkR3moy/view?usp=drivesdk</t>
  </si>
  <si>
    <t>Document successfully created; Document successfully merged; PDF created; Emails Sent: [To: marthen.tanggo@gmai.com]; Run via form trigger as ecertificate75@gmail.com; Timestamp: Sep 11 2024 11:33 PM</t>
  </si>
  <si>
    <t xml:space="preserve">INA SETIAWATI </t>
  </si>
  <si>
    <t>innewaty29.husni@gmail.com</t>
  </si>
  <si>
    <t>9442</t>
  </si>
  <si>
    <t>19lluNMkcGyba3duDWTx6WJTddPhmtntx</t>
  </si>
  <si>
    <t>https://drive.google.com/file/d/19lluNMkcGyba3duDWTx6WJTddPhmtntx/view?usp=drivesdk</t>
  </si>
  <si>
    <t>Document successfully created; Document successfully merged; PDF created; Emails Sent: [To: innewaty29.husni@gmail.com]; Run via form trigger as ecertificate75@gmail.com; Timestamp: Sep 11 2024 11:34 PM</t>
  </si>
  <si>
    <t xml:space="preserve">Ni Wayan Arikusnadi </t>
  </si>
  <si>
    <t>arikusnadi170580@gmail.com</t>
  </si>
  <si>
    <t>9443</t>
  </si>
  <si>
    <t>11wdHYUEcTWN1kRaDrrkaPLz7JhSJIIgQ</t>
  </si>
  <si>
    <t>https://drive.google.com/file/d/11wdHYUEcTWN1kRaDrrkaPLz7JhSJIIgQ/view?usp=drivesdk</t>
  </si>
  <si>
    <t>Document successfully created; Document successfully merged; PDF created; Emails Sent: [To: arikusnadi170580@gmail.com]; Run via form trigger as ecertificate75@gmail.com; Timestamp: Sep 11 2024 11:34 PM</t>
  </si>
  <si>
    <t>FRIDA FUJIASTUTI</t>
  </si>
  <si>
    <t>fridafujiastuti@gmail.com</t>
  </si>
  <si>
    <t>9444</t>
  </si>
  <si>
    <t>1GI7mVHaOjZSJitv10X5ie5niWZr7B3xb</t>
  </si>
  <si>
    <t>https://drive.google.com/file/d/1GI7mVHaOjZSJitv10X5ie5niWZr7B3xb/view?usp=drivesdk</t>
  </si>
  <si>
    <t>Document successfully created; Document successfully merged; PDF created; Emails Sent: [To: fridafujiastuti@gmail.com]; Run via form trigger as ecertificate75@gmail.com; Timestamp: Sep 11 2024 11:34 PM</t>
  </si>
  <si>
    <t>mahmudsholeh74@gmail.com</t>
  </si>
  <si>
    <t>9445</t>
  </si>
  <si>
    <t>1Wq7LZgyearf_shdFJ_asIlR5SIqN2ONl</t>
  </si>
  <si>
    <t>https://drive.google.com/file/d/1Wq7LZgyearf_shdFJ_asIlR5SIqN2ONl/view?usp=drivesdk</t>
  </si>
  <si>
    <t>Document successfully created; Document successfully merged; PDF created; Emails Sent: [To: mahmudsholeh74@gmail.com]; Run via form trigger as ecertificate75@gmail.com; Timestamp: Sep 11 2024 11:34 PM</t>
  </si>
  <si>
    <t>COSMAS SENO PRASETYO, A.Md.Ak.</t>
  </si>
  <si>
    <t>cosmassenooffice@gmail.com</t>
  </si>
  <si>
    <t>9446</t>
  </si>
  <si>
    <t>1K_9dQtC9M1uZrAD8yQHbLSM7PaEoqrlV</t>
  </si>
  <si>
    <t>https://drive.google.com/file/d/1K_9dQtC9M1uZrAD8yQHbLSM7PaEoqrlV/view?usp=drivesdk</t>
  </si>
  <si>
    <t>Document successfully created; Document successfully merged; PDF created; Emails Sent: [To: cosmassenooffice@gmail.com]; Run via form trigger as ecertificate75@gmail.com; Timestamp: Sep 11 2024 11:34 PM</t>
  </si>
  <si>
    <t>UJANG KURNIAWAN JAYA</t>
  </si>
  <si>
    <t>ujkurnia0602@gmail.com</t>
  </si>
  <si>
    <t>9447</t>
  </si>
  <si>
    <t>1p-UOb-L_708hnx1xQOvCqAX8JFWw4ZHn</t>
  </si>
  <si>
    <t>https://drive.google.com/file/d/1p-UOb-L_708hnx1xQOvCqAX8JFWw4ZHn/view?usp=drivesdk</t>
  </si>
  <si>
    <t>Document successfully created; Document successfully merged; PDF created; Emails Sent: [To: ujkurnia0602@gmail.com]; Run via form trigger as ecertificate75@gmail.com; Timestamp: Sep 11 2024 11:35 PM</t>
  </si>
  <si>
    <t>IRFAN S KOM</t>
  </si>
  <si>
    <t>irfanmus29@gmail.com</t>
  </si>
  <si>
    <t>9448</t>
  </si>
  <si>
    <t>1KfLM5I6oOZs6Mhw1xeeuL9PR-xY0Cb0U</t>
  </si>
  <si>
    <t>https://drive.google.com/file/d/1KfLM5I6oOZs6Mhw1xeeuL9PR-xY0Cb0U/view?usp=drivesdk</t>
  </si>
  <si>
    <t>Document successfully created; Document successfully merged; PDF created; Emails Sent: [To: irfanmus29@gmail.com]; Run via form trigger as ecertificate75@gmail.com; Timestamp: Sep 11 2024 11:39 PM</t>
  </si>
  <si>
    <t>TRIAS RATNA SARI.,A.Md.KG</t>
  </si>
  <si>
    <t>triasratna9@gmail.com</t>
  </si>
  <si>
    <t>9449</t>
  </si>
  <si>
    <t>1btkiOK2xBa6q1gjDlgtD9Ox3Vs60EIke</t>
  </si>
  <si>
    <t>https://drive.google.com/file/d/1btkiOK2xBa6q1gjDlgtD9Ox3Vs60EIke/view?usp=drivesdk</t>
  </si>
  <si>
    <t>Document successfully created; Document successfully merged; PDF created; Emails Sent: [To: triasratna9@gmail.com]; Run via form trigger as ecertificate75@gmail.com; Timestamp: Sep 11 2024 11:39 PM</t>
  </si>
  <si>
    <t>DRG. I MADE YUDHA ASMARA, MM.</t>
  </si>
  <si>
    <t>yudhaasmara392@gmail.com</t>
  </si>
  <si>
    <t>9450</t>
  </si>
  <si>
    <t>1GExuV1jOLwJLul5sysp1qZUkDwSSWq0r</t>
  </si>
  <si>
    <t>https://drive.google.com/file/d/1GExuV1jOLwJLul5sysp1qZUkDwSSWq0r/view?usp=drivesdk</t>
  </si>
  <si>
    <t>Document successfully created; Document successfully merged; PDF created; Emails Sent: [To: yudhaasmara392@gmail.com]; Run via form trigger as ecertificate75@gmail.com; Timestamp: Sep 11 2024 11:39 PM</t>
  </si>
  <si>
    <t>CAHYA ISTIANA PRATIWI SUWARNO</t>
  </si>
  <si>
    <t>cahya.ryuki@gmail.com</t>
  </si>
  <si>
    <t>9451</t>
  </si>
  <si>
    <t>1eKtRGTW6VNviK3hXeUcrlT8FHfKnFzbN</t>
  </si>
  <si>
    <t>https://drive.google.com/file/d/1eKtRGTW6VNviK3hXeUcrlT8FHfKnFzbN/view?usp=drivesdk</t>
  </si>
  <si>
    <t>Document successfully created; Document successfully merged; PDF created; Emails Sent: [To: cahya.ryuki@gmail.com]; Run via form trigger as ecertificate75@gmail.com; Timestamp: Sep 11 2024 11:40 PM</t>
  </si>
  <si>
    <t>DADAN RAMDANI, A.Md.</t>
  </si>
  <si>
    <t>dadanrahmdanitujuh@gmail.com</t>
  </si>
  <si>
    <t>9452</t>
  </si>
  <si>
    <t>1YX6lI1oX3EXcudjB6VNY6aDZRKnoaiip</t>
  </si>
  <si>
    <t>https://drive.google.com/file/d/1YX6lI1oX3EXcudjB6VNY6aDZRKnoaiip/view?usp=drivesdk</t>
  </si>
  <si>
    <t>Document successfully created; Document successfully merged; PDF created; Emails Sent: [To: dadanrahmdanitujuh@gmail.com]; Run via form trigger as ecertificate75@gmail.com; Timestamp: Sep 11 2024 11:40 PM</t>
  </si>
  <si>
    <t>TUTI KARMILASARI</t>
  </si>
  <si>
    <t>tuti.bagsumda@gmail.com</t>
  </si>
  <si>
    <t>9453</t>
  </si>
  <si>
    <t>1UnFCf5MFEjHDlzQ3tsptImBhpOqBmyf3</t>
  </si>
  <si>
    <t>https://drive.google.com/file/d/1UnFCf5MFEjHDlzQ3tsptImBhpOqBmyf3/view?usp=drivesdk</t>
  </si>
  <si>
    <t>Document successfully created; Document successfully merged; PDF created; Emails Sent: [To: tuti.bagsumda@gmail.com]; Run via form trigger as ecertificate75@gmail.com; Timestamp: Sep 11 2024 11:40 PM</t>
  </si>
  <si>
    <t>datatikrestajbi@gmail.com</t>
  </si>
  <si>
    <t>9454</t>
  </si>
  <si>
    <t>1St0h2FJvtzSPGwB6BnUNZPns6faW8d8Q</t>
  </si>
  <si>
    <t>https://drive.google.com/file/d/1St0h2FJvtzSPGwB6BnUNZPns6faW8d8Q/view?usp=drivesdk</t>
  </si>
  <si>
    <t>Document successfully created; Document successfully merged; PDF created; Emails Sent: [To: datatikrestajbi@gmail.com]; Run via form trigger as ecertificate75@gmail.com; Timestamp: Sep 11 2024 11:40 PM</t>
  </si>
  <si>
    <t>DESMILINDA</t>
  </si>
  <si>
    <t>desmilinda68@gmail.com</t>
  </si>
  <si>
    <t>9455</t>
  </si>
  <si>
    <t>1F8AlLKccQCbbVyUqj58DX85YXt56v26r</t>
  </si>
  <si>
    <t>https://drive.google.com/file/d/1F8AlLKccQCbbVyUqj58DX85YXt56v26r/view?usp=drivesdk</t>
  </si>
  <si>
    <t>Document successfully created; Document successfully merged; PDF created; Emails Sent: [To: desmilinda68@gmail.com]; Run via form trigger as ecertificate75@gmail.com; Timestamp: Sep 11 2024 11:41 PM</t>
  </si>
  <si>
    <t>santijading@gmail.com</t>
  </si>
  <si>
    <t>9456</t>
  </si>
  <si>
    <t>18GBDWLTcxctzC4eI7Yye7Cp8LpRZi7fU</t>
  </si>
  <si>
    <t>https://drive.google.com/file/d/18GBDWLTcxctzC4eI7Yye7Cp8LpRZi7fU/view?usp=drivesdk</t>
  </si>
  <si>
    <t>Document successfully created; Document successfully merged; PDF created; Emails Sent: [To: santijading@gmail.com]; Run via form trigger as ecertificate75@gmail.com; Timestamp: Sep 11 2024 11:41 PM</t>
  </si>
  <si>
    <t>9457</t>
  </si>
  <si>
    <t>125lAU3TzfjMMs0RvKux7KBavyKJg5j6I</t>
  </si>
  <si>
    <t>https://drive.google.com/file/d/125lAU3TzfjMMs0RvKux7KBavyKJg5j6I/view?usp=drivesdk</t>
  </si>
  <si>
    <t>Document successfully created; Document successfully merged; PDF created; Emails Sent: [To: yogipolrestajambi@gmail.com]; Run via form trigger as ecertificate75@gmail.com; Timestamp: Sep 11 2024 11:41 PM</t>
  </si>
  <si>
    <t>MERRY AFNI AFRIANNI,AMK</t>
  </si>
  <si>
    <t>merryafni2015@gmail.com</t>
  </si>
  <si>
    <t>9458</t>
  </si>
  <si>
    <t>1xvy1JkYzn3FlQFx9ofYwsegbdStjdp6p</t>
  </si>
  <si>
    <t>https://drive.google.com/file/d/1xvy1JkYzn3FlQFx9ofYwsegbdStjdp6p/view?usp=drivesdk</t>
  </si>
  <si>
    <t>Document successfully created; Document successfully merged; PDF created; Emails Sent: [To: merryafni2015@gmail.com]; Run via form trigger as ecertificate75@gmail.com; Timestamp: Sep 11 2024 11:41 PM</t>
  </si>
  <si>
    <t>BETTY TAMBUNAN</t>
  </si>
  <si>
    <t>bettytambunan2112@gmail.com</t>
  </si>
  <si>
    <t>9459</t>
  </si>
  <si>
    <t>1aAqeds2LSUvu8GYpA5CVsh5QHOtxdFGt</t>
  </si>
  <si>
    <t>https://drive.google.com/file/d/1aAqeds2LSUvu8GYpA5CVsh5QHOtxdFGt/view?usp=drivesdk</t>
  </si>
  <si>
    <t>Document successfully created; Document successfully merged; PDF created; Emails Sent: [To: bettytambunan2112@gmail.com]; Run via form trigger as ecertificate75@gmail.com; Timestamp: Sep 11 2024 11:42 PM</t>
  </si>
  <si>
    <t>ELISABETH ELSE</t>
  </si>
  <si>
    <t>elisabethelse78@gmail.com</t>
  </si>
  <si>
    <t>9460</t>
  </si>
  <si>
    <t>1jIjv2S1TBPwyoMxHR9oBx9rd-K-g_DQT</t>
  </si>
  <si>
    <t>https://drive.google.com/file/d/1jIjv2S1TBPwyoMxHR9oBx9rd-K-g_DQT/view?usp=drivesdk</t>
  </si>
  <si>
    <t>Document successfully created; Document successfully merged; PDF created; Emails Sent: [To: elisabethelse78@gmail.com]; Run via form trigger as ecertificate75@gmail.com; Timestamp: Sep 11 2024 11:42 PM</t>
  </si>
  <si>
    <t>ERLY NIRA SUGIARTI</t>
  </si>
  <si>
    <t>erly.nira@gmail.com</t>
  </si>
  <si>
    <t>9461</t>
  </si>
  <si>
    <t>1_JiD5zeorwqeYwEx-SuY8mUFtOSolitE</t>
  </si>
  <si>
    <t>https://drive.google.com/file/d/1_JiD5zeorwqeYwEx-SuY8mUFtOSolitE/view?usp=drivesdk</t>
  </si>
  <si>
    <t>Document successfully created; Document successfully merged; PDF created; Emails Sent: [To: erly.nira@gmail.com]; Run via form trigger as ecertificate75@gmail.com; Timestamp: Sep 11 2024 11:42 PM</t>
  </si>
  <si>
    <t>WANDI AJA</t>
  </si>
  <si>
    <t>wandiwenny@gmail.com</t>
  </si>
  <si>
    <t>9462</t>
  </si>
  <si>
    <t>1v8aEf2w0imcSl0kqHJNLRO-Q2sJB98F6</t>
  </si>
  <si>
    <t>https://drive.google.com/file/d/1v8aEf2w0imcSl0kqHJNLRO-Q2sJB98F6/view?usp=drivesdk</t>
  </si>
  <si>
    <t>Document successfully created; Document successfully merged; PDF created; Emails Sent: [To: wandiwenny@gmail.com]; Run via form trigger as ecertificate75@gmail.com; Timestamp: Sep 11 2024 11:43 PM</t>
  </si>
  <si>
    <t>sdmpusdiksabhara@gmail.com</t>
  </si>
  <si>
    <t>9463</t>
  </si>
  <si>
    <t>1O--B7XzLSOu-PqMHQIgKoRByTtu82zvQ</t>
  </si>
  <si>
    <t>https://drive.google.com/file/d/1O--B7XzLSOu-PqMHQIgKoRByTtu82zvQ/view?usp=drivesdk</t>
  </si>
  <si>
    <t>Document successfully created; Document successfully merged; PDF created; Emails Sent: [To: sdmpusdiksabhara@gmail.com]; Run via form trigger as ecertificate75@gmail.com; Timestamp: Sep 11 2024 11:43 PM</t>
  </si>
  <si>
    <t>HERU ANDI PURNOMO</t>
  </si>
  <si>
    <t>andiobvit@gmail.com</t>
  </si>
  <si>
    <t>9464</t>
  </si>
  <si>
    <t>1jjR8ilu4PEQ1E63uHeUT9LQIRqOaQ8a6</t>
  </si>
  <si>
    <t>https://drive.google.com/file/d/1jjR8ilu4PEQ1E63uHeUT9LQIRqOaQ8a6/view?usp=drivesdk</t>
  </si>
  <si>
    <t>Document successfully created; Document successfully merged; PDF created; Emails Sent: [To: andiobvit@gmail.com]; Run via form trigger as ecertificate75@gmail.com; Timestamp: Sep 11 2024 11:43 PM</t>
  </si>
  <si>
    <t>THOHARI, S.Ag, M.Pd</t>
  </si>
  <si>
    <t>subbagdalpers.sdmrestaska@gmail.com</t>
  </si>
  <si>
    <t>9465</t>
  </si>
  <si>
    <t>1bi3oXM7nVuGbJuA4tqcJ2OyqNd9tRW1w</t>
  </si>
  <si>
    <t>https://drive.google.com/file/d/1bi3oXM7nVuGbJuA4tqcJ2OyqNd9tRW1w/view?usp=drivesdk</t>
  </si>
  <si>
    <t>Document successfully created; Document successfully merged; PDF created; Emails Sent: [To: subbagdalpers.sdmrestaska@gmail.com]; Run via form trigger as ecertificate75@gmail.com; Timestamp: Sep 11 2024 11:43 PM</t>
  </si>
  <si>
    <t>9466</t>
  </si>
  <si>
    <t>1cyOsxwvr0_WmUCeYhUODiLq_hAZbErK-</t>
  </si>
  <si>
    <t>https://drive.google.com/file/d/1cyOsxwvr0_WmUCeYhUODiLq_hAZbErK-/view?usp=drivesdk</t>
  </si>
  <si>
    <t>Document successfully created; Document successfully merged; PDF created; Emails Sent: [To: riadali95@gmail.com]; Run via form trigger as ecertificate75@gmail.com; Timestamp: Sep 11 2024 11:47 PM</t>
  </si>
  <si>
    <t>BELLA WAHYUNIATI A.Md.Kep</t>
  </si>
  <si>
    <t>bellawahyuniati@gmail.com</t>
  </si>
  <si>
    <t>9467</t>
  </si>
  <si>
    <t>1s5NluK7xCdRnR1LgdaIO6KNbtUHQb5En</t>
  </si>
  <si>
    <t>https://drive.google.com/file/d/1s5NluK7xCdRnR1LgdaIO6KNbtUHQb5En/view?usp=drivesdk</t>
  </si>
  <si>
    <t>Document successfully created; Document successfully merged; PDF created; Emails Sent: [To: bellawahyuniati@gmail.com]; Run via form trigger as ecertificate75@gmail.com; Timestamp: Sep 11 2024 11:47 PM</t>
  </si>
  <si>
    <t>HABSAH JUMIATI. M, S.SOS</t>
  </si>
  <si>
    <t>Achachyka@gmail.com</t>
  </si>
  <si>
    <t>9468</t>
  </si>
  <si>
    <t>106dJdzHF3ZKU8LsZcog2Bq2_3w9AvNzW</t>
  </si>
  <si>
    <t>https://drive.google.com/file/d/106dJdzHF3ZKU8LsZcog2Bq2_3w9AvNzW/view?usp=drivesdk</t>
  </si>
  <si>
    <t>Document successfully created; Document successfully merged; PDF created; Emails Sent: [To: Achachyka@gmail.com]; Run via form trigger as ecertificate75@gmail.com; Timestamp: Sep 11 2024 11:47 PM</t>
  </si>
  <si>
    <t>METANIA HERMAWATI ISTANTO, AMD</t>
  </si>
  <si>
    <t>niameta19@gmail.com</t>
  </si>
  <si>
    <t>9469</t>
  </si>
  <si>
    <t>Starting at Thu Aug 29 2024 23:59:44 GMT-0400 (EDT)</t>
  </si>
  <si>
    <t>1994OuevZojR0BSRWMsjawPkiTOzprm_i</t>
  </si>
  <si>
    <t>https://drive.google.com/file/d/1994OuevZojR0BSRWMsjawPkiTOzprm_i/view?usp=drivesdk</t>
  </si>
  <si>
    <t>Document successfully created; Document successfully merged; PDF created; Emails Sent: [To: niameta19@gmail.com]; Run via form trigger as ecertificate75@gmail.com; Timestamp: Sep 11 2024 11:48 PM</t>
  </si>
  <si>
    <t>AGUS SUPRIYADI, ST., MM</t>
  </si>
  <si>
    <t>aradenbagus@gmail.com</t>
  </si>
  <si>
    <t>9470</t>
  </si>
  <si>
    <t>Starting at Thu Aug 29 2024 23:59:55 GMT-0400 (EDT)</t>
  </si>
  <si>
    <t>1Von1u5xKdxX6tmhELntUM49EX9bjBJlX</t>
  </si>
  <si>
    <t>https://drive.google.com/file/d/1Von1u5xKdxX6tmhELntUM49EX9bjBJlX/view?usp=drivesdk</t>
  </si>
  <si>
    <t>Document successfully created; Document successfully merged; PDF created; Emails Sent: [To: aradenbagus@gmail.com]; Run via form trigger as ecertificate75@gmail.com; Timestamp: Sep 11 2024 11:48 PM</t>
  </si>
  <si>
    <t>SUPRIANI,S.FARM</t>
  </si>
  <si>
    <t>rianiadam77@gmail.com</t>
  </si>
  <si>
    <t>9471</t>
  </si>
  <si>
    <t>Starting at Fri Aug 30 2024 00:00:11 GMT-0400 (EDT)</t>
  </si>
  <si>
    <t>1Z0kOECW2Hg_8JyMBaKxuLIM1WhbZBhkc</t>
  </si>
  <si>
    <t>https://drive.google.com/file/d/1Z0kOECW2Hg_8JyMBaKxuLIM1WhbZBhkc/view?usp=drivesdk</t>
  </si>
  <si>
    <t>Document successfully created; Document successfully merged; PDF created; Emails Sent: [To: rianiadam77@gmail.com]; Run via form trigger as ecertificate75@gmail.com; Timestamp: Sep 11 2024 11:48 PM</t>
  </si>
  <si>
    <t>SRI MAHDALENA</t>
  </si>
  <si>
    <t>mirwansiagiansiagian@gmail.com</t>
  </si>
  <si>
    <t>9472</t>
  </si>
  <si>
    <t>Starting at Fri Aug 30 2024 00:00:16 GMT-0400 (EDT)</t>
  </si>
  <si>
    <t>1MWlI8oPGdqV8i0Ih5bvcZX8Ub3ftbzJB</t>
  </si>
  <si>
    <t>https://drive.google.com/file/d/1MWlI8oPGdqV8i0Ih5bvcZX8Ub3ftbzJB/view?usp=drivesdk</t>
  </si>
  <si>
    <t>Document successfully created; Document successfully merged; PDF created; Emails Sent: [To: mirwansiagiansiagian@gmail.com]; Run via form trigger as ecertificate75@gmail.com; Timestamp: Sep 11 2024 11:48 PM</t>
  </si>
  <si>
    <t>arianto132432@gmail.com</t>
  </si>
  <si>
    <t>9473</t>
  </si>
  <si>
    <t>Starting at Fri Aug 30 2024 00:00:30 GMT-0400 (EDT)</t>
  </si>
  <si>
    <t>1gSb2BXvg7723FlSZqtrNMdaKf_Ha_q6q</t>
  </si>
  <si>
    <t>https://drive.google.com/file/d/1gSb2BXvg7723FlSZqtrNMdaKf_Ha_q6q/view?usp=drivesdk</t>
  </si>
  <si>
    <t>Document successfully created; Document successfully merged; PDF created; Emails Sent: [To: arianto132432@gmail.com]; Run via form trigger as ecertificate75@gmail.com; Timestamp: Sep 11 2024 11:49 PM</t>
  </si>
  <si>
    <t>SYAMSIAH S KEP NS</t>
  </si>
  <si>
    <t>syamsiahbhayangkara@gmail.com</t>
  </si>
  <si>
    <t>9474</t>
  </si>
  <si>
    <t>Starting at Fri Aug 30 2024 00:00:43 GMT-0400 (EDT)</t>
  </si>
  <si>
    <t>19KJGKesEJmZKoylLkHJX1PN3RMGUUHhe</t>
  </si>
  <si>
    <t>https://drive.google.com/file/d/19KJGKesEJmZKoylLkHJX1PN3RMGUUHhe/view?usp=drivesdk</t>
  </si>
  <si>
    <t>Document successfully created; Document successfully merged; PDF created; Emails Sent: [To: syamsiahbhayangkara@gmail.com]; Run via form trigger as ecertificate75@gmail.com; Timestamp: Sep 11 2024 11:49 PM</t>
  </si>
  <si>
    <t>NURMASITI</t>
  </si>
  <si>
    <t>nurmaditi170870@gmail.com</t>
  </si>
  <si>
    <t>9475</t>
  </si>
  <si>
    <t>1udGpicr89syXSA3KlCWv3HLS8FpQM1A_</t>
  </si>
  <si>
    <t>https://drive.google.com/file/d/1udGpicr89syXSA3KlCWv3HLS8FpQM1A_/view?usp=drivesdk</t>
  </si>
  <si>
    <t>Document successfully created; Document successfully merged; PDF created; Emails Sent: [To: nurmaditi170870@gmail.com]; Run via form trigger as ecertificate75@gmail.com; Timestamp: Sep 11 2024 11:49 PM</t>
  </si>
  <si>
    <t>SUGENG</t>
  </si>
  <si>
    <t>sugengwene@gmail.com</t>
  </si>
  <si>
    <t>9476</t>
  </si>
  <si>
    <t>1T626IAel4zUgU2gtgAatdFHJ_acgrHsj</t>
  </si>
  <si>
    <t>https://drive.google.com/file/d/1T626IAel4zUgU2gtgAatdFHJ_acgrHsj/view?usp=drivesdk</t>
  </si>
  <si>
    <t>Document successfully created; Document successfully merged; PDF created; Emails Sent: [To: sugengwene@gmail.com]; Run via form trigger as ecertificate75@gmail.com; Timestamp: Sep 11 2024 11:49 PM</t>
  </si>
  <si>
    <t>SRI MUSTIANI</t>
  </si>
  <si>
    <t>srimustiani@gmail.com</t>
  </si>
  <si>
    <t>9477</t>
  </si>
  <si>
    <t>Starting at Fri Aug 30 2024 00:00:53 GMT-0400 (EDT)</t>
  </si>
  <si>
    <t>13qrZpSggw0OgCa3C4gjg-I2yq5IAZyI8</t>
  </si>
  <si>
    <t>https://drive.google.com/file/d/13qrZpSggw0OgCa3C4gjg-I2yq5IAZyI8/view?usp=drivesdk</t>
  </si>
  <si>
    <t>Document successfully created; Document successfully merged; PDF created; Emails Sent: [To: srimustiani@gmail.com]; Run via form trigger as ecertificate75@gmail.com; Timestamp: Sep 11 2024 11:50 PM</t>
  </si>
  <si>
    <t>RESA SAPARIYAH, S.E.</t>
  </si>
  <si>
    <t>Icha5513@gmail.com</t>
  </si>
  <si>
    <t>9478</t>
  </si>
  <si>
    <t>14vA733Tr6wPhW951-MZD9-WRFcb5EQzI</t>
  </si>
  <si>
    <t>https://drive.google.com/file/d/14vA733Tr6wPhW951-MZD9-WRFcb5EQzI/view?usp=drivesdk</t>
  </si>
  <si>
    <t>Document successfully created; Document successfully merged; PDF created; Emails Sent: [To: Icha5513@gmail.com]; Run via form trigger as ecertificate75@gmail.com; Timestamp: Sep 11 2024 11:50 PM</t>
  </si>
  <si>
    <t>SRI MARLINA KAROKARO</t>
  </si>
  <si>
    <t>srimarlina711@gmail.com</t>
  </si>
  <si>
    <t>9479</t>
  </si>
  <si>
    <t>Starting at Fri Aug 30 2024 00:00:58 GMT-0400 (EDT)</t>
  </si>
  <si>
    <t>1qeONQfzaVIAgC21ywG0ZBFuJeBEjdYDe</t>
  </si>
  <si>
    <t>https://drive.google.com/file/d/1qeONQfzaVIAgC21ywG0ZBFuJeBEjdYDe/view?usp=drivesdk</t>
  </si>
  <si>
    <t>Document successfully created; Document successfully merged; PDF created; Emails Sent: [To: srimarlina711@gmail.com]; Run via form trigger as ecertificate75@gmail.com; Timestamp: Sep 11 2024 11:50 PM</t>
  </si>
  <si>
    <t>mawardi.adi1711@gmail.com</t>
  </si>
  <si>
    <t>9480</t>
  </si>
  <si>
    <t>1dfbexrkTGAKd3socg7_PTQvaN6h9DU32</t>
  </si>
  <si>
    <t>https://drive.google.com/file/d/1dfbexrkTGAKd3socg7_PTQvaN6h9DU32/view?usp=drivesdk</t>
  </si>
  <si>
    <t>Document successfully created; Document successfully merged; PDF created; Emails Sent: [To: mawardi.adi1711@gmail.com]; Run via form trigger as ecertificate75@gmail.com; Timestamp: Sep 11 2024 11:50 PM</t>
  </si>
  <si>
    <t>MUJAYADAH, S.H.</t>
  </si>
  <si>
    <t>gemilang4145@gmail.com</t>
  </si>
  <si>
    <t>9481</t>
  </si>
  <si>
    <t>Starting at Fri Aug 30 2024 00:01:02 GMT-0400 (EDT)</t>
  </si>
  <si>
    <t>1b0N_27_fmOAqbh02grc4Nd_EnliPSJhp</t>
  </si>
  <si>
    <t>https://drive.google.com/file/d/1b0N_27_fmOAqbh02grc4Nd_EnliPSJhp/view?usp=drivesdk</t>
  </si>
  <si>
    <t>Document successfully created; Document successfully merged; PDF created; Emails Sent: [To: gemilang4145@gmail.com]; Run via form trigger as ecertificate75@gmail.com; Timestamp: Sep 11 2024 11:51 PM</t>
  </si>
  <si>
    <t>Hilda Afni Alindia</t>
  </si>
  <si>
    <t>hildaakbar222@gmail.com</t>
  </si>
  <si>
    <t>9482</t>
  </si>
  <si>
    <t>Starting at Fri Aug 30 2024 00:03:22 GMT-0400 (EDT)</t>
  </si>
  <si>
    <t>1ZxVYp74MiMQfj9YswSdsLntEIu8u0dn5</t>
  </si>
  <si>
    <t>https://drive.google.com/file/d/1ZxVYp74MiMQfj9YswSdsLntEIu8u0dn5/view?usp=drivesdk</t>
  </si>
  <si>
    <t>Document successfully created; Document successfully merged; PDF created; Emails Sent: [To: hildaakbar222@gmail.com]; Run via form trigger as ecertificate75@gmail.com; Timestamp: Sep 11 2024 11:51 PM</t>
  </si>
  <si>
    <t>ANDRI WINOTO</t>
  </si>
  <si>
    <t>winawinata7315@gmail.com</t>
  </si>
  <si>
    <t>9483</t>
  </si>
  <si>
    <t>1wYmXYpfYxhzm8616FDzSMSHA2QMLCiyn</t>
  </si>
  <si>
    <t>https://drive.google.com/file/d/1wYmXYpfYxhzm8616FDzSMSHA2QMLCiyn/view?usp=drivesdk</t>
  </si>
  <si>
    <t>Document successfully created; Document successfully merged; PDF created; !!Error Sending Emails: Service invoked too many times for one day: email.; Run via form trigger as ecertificate75@gmail.com; Timestamp: Sep 11 2024 11:51 PM</t>
  </si>
  <si>
    <t>ANITA YULIANTI</t>
  </si>
  <si>
    <t>yuliantia444@gmail.com</t>
  </si>
  <si>
    <t>9484</t>
  </si>
  <si>
    <t>1gVv3RKOoOEbrApd7QzR1Swo2L68OSkTp</t>
  </si>
  <si>
    <t>https://drive.google.com/file/d/1gVv3RKOoOEbrApd7QzR1Swo2L68OSkTp/view?usp=drivesdk</t>
  </si>
  <si>
    <t>SRIWULAN FEBRIANI HADININGSIH</t>
  </si>
  <si>
    <t>adhitya1915@gmail.com</t>
  </si>
  <si>
    <t>9485</t>
  </si>
  <si>
    <t>1q_fcmWwLGT9qBbrEVeTXA3rMP4vJ8bC1</t>
  </si>
  <si>
    <t>https://drive.google.com/file/d/1q_fcmWwLGT9qBbrEVeTXA3rMP4vJ8bC1/view?usp=drivesdk</t>
  </si>
  <si>
    <t>TOTOK HARTANTO</t>
  </si>
  <si>
    <t>kenziefaeza@gmail.com</t>
  </si>
  <si>
    <t>9486</t>
  </si>
  <si>
    <t>1S0tC_KGXuSebD3V30_qW7FyW2w-Gc_Mg</t>
  </si>
  <si>
    <t>https://drive.google.com/file/d/1S0tC_KGXuSebD3V30_qW7FyW2w-Gc_Mg/view?usp=drivesdk</t>
  </si>
  <si>
    <t>Document successfully created; Document successfully merged; PDF created; !!Error Sending Emails: Service invoked too many times for one day: email.; Run via form trigger as ecertificate75@gmail.com; Timestamp: Sep 11 2024 11:52 PM</t>
  </si>
  <si>
    <t>ISYE NURSAMKA, S.Si</t>
  </si>
  <si>
    <t>isyenursamka@gmail.com</t>
  </si>
  <si>
    <t>9487</t>
  </si>
  <si>
    <t>1En4ESGLc8y-wRLZwuDqRZ2wr9ZlDWzc6</t>
  </si>
  <si>
    <t>https://drive.google.com/file/d/1En4ESGLc8y-wRLZwuDqRZ2wr9ZlDWzc6/view?usp=drivesdk</t>
  </si>
  <si>
    <t>Document successfully created; Document successfully merged; PDF created; Emails Sent: [To: isyenursamka@gmail.com]; Run via form trigger as ecertificate75@gmail.com; Timestamp: Sep 12 2024 5:42 AM</t>
  </si>
  <si>
    <t>BENGET</t>
  </si>
  <si>
    <t>benget70spn@gmail.com</t>
  </si>
  <si>
    <t>9488</t>
  </si>
  <si>
    <t>1cPcWs5wUEqTvwQKQ1pv0SWTmIef2X8Kz</t>
  </si>
  <si>
    <t>https://drive.google.com/file/d/1cPcWs5wUEqTvwQKQ1pv0SWTmIef2X8Kz/view?usp=drivesdk</t>
  </si>
  <si>
    <t>Document successfully created; Document successfully merged; PDF created; !!Error Sending Emails: Service invoked too many times for one day: email.; Run via form trigger as ecertificate75@gmail.com; Timestamp: Sep 12 2024 5:42 AM</t>
  </si>
  <si>
    <t>DANIELI LAOLI</t>
  </si>
  <si>
    <t>daniellqoli2209@gmail.com</t>
  </si>
  <si>
    <t>9489</t>
  </si>
  <si>
    <t>1kJD0EeQQ-hAEgCc0xQGUXRTmEwNTxSzD</t>
  </si>
  <si>
    <t>https://drive.google.com/file/d/1kJD0EeQQ-hAEgCc0xQGUXRTmEwNTxSzD/view?usp=drivesdk</t>
  </si>
  <si>
    <t>AGUNG NUGROHO S, S.Kom</t>
  </si>
  <si>
    <t>aghetea28@gmail.com</t>
  </si>
  <si>
    <t>9490</t>
  </si>
  <si>
    <t>1EWtHC9qjWDqYYmg60gKtJAvi6z_981n-</t>
  </si>
  <si>
    <t>https://drive.google.com/file/d/1EWtHC9qjWDqYYmg60gKtJAvi6z_981n-/view?usp=drivesdk</t>
  </si>
  <si>
    <t>dr. CANTI WIDHARISASTRA, Sp.Rad</t>
  </si>
  <si>
    <t>cantiwidharisastra@gmail.com</t>
  </si>
  <si>
    <t>9491</t>
  </si>
  <si>
    <t>1d7RvZoYCnBMrS04yZ2xyVR1u8guO92px</t>
  </si>
  <si>
    <t>https://drive.google.com/file/d/1d7RvZoYCnBMrS04yZ2xyVR1u8guO92px/view?usp=drivesdk</t>
  </si>
  <si>
    <t>Document successfully created; Document successfully merged; PDF created; !!Error Sending Emails: Service invoked too many times for one day: email.; Run via form trigger as ecertificate75@gmail.com; Timestamp: Sep 12 2024 5:43 AM</t>
  </si>
  <si>
    <t>APIDIN</t>
  </si>
  <si>
    <t>apidin84@gmail.com</t>
  </si>
  <si>
    <t>9492</t>
  </si>
  <si>
    <t>1PacZtBBJLAdcB5I7NhUAwKMtAvSURSbF</t>
  </si>
  <si>
    <t>https://drive.google.com/file/d/1PacZtBBJLAdcB5I7NhUAwKMtAvSURSbF/view?usp=drivesdk</t>
  </si>
  <si>
    <t>DAMETIAR NOVASTI SILITONGA, S.E.,M.M.</t>
  </si>
  <si>
    <t>dnovasti@gmail.com</t>
  </si>
  <si>
    <t>9493</t>
  </si>
  <si>
    <t>1bznKs6PUrlnpXu7QlxvQbSiLD9uyIJB7</t>
  </si>
  <si>
    <t>https://drive.google.com/file/d/1bznKs6PUrlnpXu7QlxvQbSiLD9uyIJB7/view?usp=drivesdk</t>
  </si>
  <si>
    <t>DR MARYAM M.ADM KES SPGK</t>
  </si>
  <si>
    <t>maryam_ad@yahoo.com</t>
  </si>
  <si>
    <t>9494</t>
  </si>
  <si>
    <t>1N_326jHbTSQH8FDMVyPAl3BV1FCwdvTE</t>
  </si>
  <si>
    <t>https://drive.google.com/file/d/1N_326jHbTSQH8FDMVyPAl3BV1FCwdvTE/view?usp=drivesdk</t>
  </si>
  <si>
    <t>FIRDAUS YAHYA, SE, MM</t>
  </si>
  <si>
    <t>Firyahyaku@gmail.com</t>
  </si>
  <si>
    <t>9495</t>
  </si>
  <si>
    <t>18opzeC6zKUc8x1BT-ez3aEEtwaDcrfB3</t>
  </si>
  <si>
    <t>https://drive.google.com/file/d/18opzeC6zKUc8x1BT-ez3aEEtwaDcrfB3/view?usp=drivesdk</t>
  </si>
  <si>
    <t>Document successfully created; Document successfully merged; PDF created; !!Error Sending Emails: Service invoked too many times for one day: email.; Run via form trigger as ecertificate75@gmail.com; Timestamp: Sep 12 2024 5:44 AM</t>
  </si>
  <si>
    <t>SITI ALIYATUL IMAMAH, S.Tr.Kes</t>
  </si>
  <si>
    <t>imamahhh@gmail.com</t>
  </si>
  <si>
    <t>9496</t>
  </si>
  <si>
    <t>1le9m0djSbeJ-VshDu8mKLoe4tTC8yGti</t>
  </si>
  <si>
    <t>https://drive.google.com/file/d/1le9m0djSbeJ-VshDu8mKLoe4tTC8yGti/view?usp=drivesdk</t>
  </si>
  <si>
    <t>ELVI SANTOE S.KM</t>
  </si>
  <si>
    <t>elvisantoe1978@gmail.com</t>
  </si>
  <si>
    <t>9497</t>
  </si>
  <si>
    <t>1ARHFv38QdADTkcBYeqGar-sBQw7xLEvY</t>
  </si>
  <si>
    <t>https://drive.google.com/file/d/1ARHFv38QdADTkcBYeqGar-sBQw7xLEvY/view?usp=drivesdk</t>
  </si>
  <si>
    <t>9498</t>
  </si>
  <si>
    <t>1CnJe1BX_8Gy8IeSd-UdeodpnjqzmYZ6b</t>
  </si>
  <si>
    <t>https://drive.google.com/file/d/1CnJe1BX_8Gy8IeSd-UdeodpnjqzmYZ6b/view?usp=drivesdk</t>
  </si>
  <si>
    <t>Masna, S. Kep, Ns</t>
  </si>
  <si>
    <t>abadimasna@gmail.com</t>
  </si>
  <si>
    <t>9499</t>
  </si>
  <si>
    <t>1ZfU6ZOfZUw4nN60kZ0_6uE4aQ3lQWjlx</t>
  </si>
  <si>
    <t>https://drive.google.com/file/d/1ZfU6ZOfZUw4nN60kZ0_6uE4aQ3lQWjlx/view?usp=drivesdk</t>
  </si>
  <si>
    <t>HERLINDA DWI ARISKA, S.Tr.Kes.</t>
  </si>
  <si>
    <t>herlinda.d.ariska@gmail.com</t>
  </si>
  <si>
    <t>9500</t>
  </si>
  <si>
    <t>1BvJHvBHkD5E2p7viDqEAfXMNF_bktYuo</t>
  </si>
  <si>
    <t>https://drive.google.com/file/d/1BvJHvBHkD5E2p7viDqEAfXMNF_bktYuo/view?usp=drivesdk</t>
  </si>
  <si>
    <t>Document successfully created; Document successfully merged; PDF created; !!Error Sending Emails: Service invoked too many times for one day: email.; Run via form trigger as ecertificate75@gmail.com; Timestamp: Sep 12 2024 5:45 AM</t>
  </si>
  <si>
    <t>HERI SAMSURI, AMK</t>
  </si>
  <si>
    <t>raniapkp17@gmail.com</t>
  </si>
  <si>
    <t>9501</t>
  </si>
  <si>
    <t>1M2OCvAof946OzwFGL8gSdyw2O55Ndo86</t>
  </si>
  <si>
    <t>https://drive.google.com/file/d/1M2OCvAof946OzwFGL8gSdyw2O55Ndo86/view?usp=drivesdk</t>
  </si>
  <si>
    <t>9502</t>
  </si>
  <si>
    <t>19BlhKo5vFdTO34Ss-eU3YYSAgoCyl3Dc</t>
  </si>
  <si>
    <t>https://drive.google.com/file/d/19BlhKo5vFdTO34Ss-eU3YYSAgoCyl3Dc/view?usp=drivesdk</t>
  </si>
  <si>
    <t>NOOR AINY KHAIRIYAH</t>
  </si>
  <si>
    <t>noorainy27@gmail.com</t>
  </si>
  <si>
    <t>9503</t>
  </si>
  <si>
    <t>1nWOoCYKs-KUMHhfIC3MiGwlrxfEi5keB</t>
  </si>
  <si>
    <t>https://drive.google.com/file/d/1nWOoCYKs-KUMHhfIC3MiGwlrxfEi5keB/view?usp=drivesdk</t>
  </si>
  <si>
    <t>apt. FAHLI ARFIMAZ</t>
  </si>
  <si>
    <t>fahliarfimaz@gmail.com</t>
  </si>
  <si>
    <t>9504</t>
  </si>
  <si>
    <t>1jBw-K8E-bMysWLCMJOqfXZxTgv6NpMLe</t>
  </si>
  <si>
    <t>https://drive.google.com/file/d/1jBw-K8E-bMysWLCMJOqfXZxTgv6NpMLe/view?usp=drivesdk</t>
  </si>
  <si>
    <t>Document successfully created; Document successfully merged; PDF created; !!Error Sending Emails: Service invoked too many times for one day: email.; Run via form trigger as ecertificate75@gmail.com; Timestamp: Sep 12 2024 5:46 AM</t>
  </si>
  <si>
    <t>LUSIANS</t>
  </si>
  <si>
    <t>lusianaindrawibawa5540@gmail.com</t>
  </si>
  <si>
    <t>9505</t>
  </si>
  <si>
    <t>1rLEHcUUqr-lx77mPztBiX8kmXBOJWjdw</t>
  </si>
  <si>
    <t>https://drive.google.com/file/d/1rLEHcUUqr-lx77mPztBiX8kmXBOJWjdw/view?usp=drivesdk</t>
  </si>
  <si>
    <t>JOHAN,S.Pd</t>
  </si>
  <si>
    <t>yopafaldima291@gmail.com</t>
  </si>
  <si>
    <t>9506</t>
  </si>
  <si>
    <t>1_YRILD57NsOCGMbOPSrKallo_x_BrKfQ</t>
  </si>
  <si>
    <t>https://drive.google.com/file/d/1_YRILD57NsOCGMbOPSrKallo_x_BrKfQ/view?usp=drivesdk</t>
  </si>
  <si>
    <t>Document successfully created; Document successfully merged; PDF created; Emails Sent: [To: yopafaldima291@gmail.com]; Manually run by ecertificate75@gmail.com; Timestamp: Sep 16 2024 8:32 PM</t>
  </si>
  <si>
    <t>gunadig650@gmail.com</t>
  </si>
  <si>
    <t>9507</t>
  </si>
  <si>
    <t>Starting at Fri Aug 30 2024 00:03:25 GMT-0400 (EDT)</t>
  </si>
  <si>
    <t>1_x6su0ZbpT01RBv34C5f7GEWvg6SLrDe</t>
  </si>
  <si>
    <t>https://drive.google.com/file/d/1_x6su0ZbpT01RBv34C5f7GEWvg6SLrDe/view?usp=drivesdk</t>
  </si>
  <si>
    <t>Document successfully created; Document successfully merged; PDF created; Emails Sent: [To: gunadig650@gmail.com]; Manually run by ecertificate75@gmail.com; Timestamp: Sep 16 2024 8:32 PM</t>
  </si>
  <si>
    <t>apt. FEMY LINGGI ALLO, S.Farm</t>
  </si>
  <si>
    <t>tipoms@gmail.com</t>
  </si>
  <si>
    <t>9508</t>
  </si>
  <si>
    <t>Starting at Fri Aug 30 2024 00:03:30 GMT-0400 (EDT)</t>
  </si>
  <si>
    <t>1yhF6rThJbHfiUFh9GVIKdY6RqAmkECE4</t>
  </si>
  <si>
    <t>https://drive.google.com/file/d/1yhF6rThJbHfiUFh9GVIKdY6RqAmkECE4/view?usp=drivesdk</t>
  </si>
  <si>
    <t>Document successfully created; Document successfully merged; PDF created; Emails Sent: [To: tipoms@gmail.com]; Manually run by ecertificate75@gmail.com; Timestamp: Sep 16 2024 8:33 PM</t>
  </si>
  <si>
    <t>Yunnita Retno Wulan, A.Md.Keb.</t>
  </si>
  <si>
    <t>yunnitaretnowulan@gmail.com</t>
  </si>
  <si>
    <t>9509</t>
  </si>
  <si>
    <t>Starting at Fri Aug 30 2024 00:03:32 GMT-0400 (EDT)</t>
  </si>
  <si>
    <t>1anNN-GUxDHuX7T8M6Tl4Frboo_3bPCnq</t>
  </si>
  <si>
    <t>https://drive.google.com/file/d/1anNN-GUxDHuX7T8M6Tl4Frboo_3bPCnq/view?usp=drivesdk</t>
  </si>
  <si>
    <t>Document successfully created; Document successfully merged; PDF created; Emails Sent: [To: yunnitaretnowulan@gmail.com]; Manually run by ecertificate75@gmail.com; Timestamp: Sep 16 2024 8:33 PM</t>
  </si>
  <si>
    <t>WIWIK DWI YULIWANTI</t>
  </si>
  <si>
    <t>bundawiwik17@gmail.com</t>
  </si>
  <si>
    <t>9510</t>
  </si>
  <si>
    <t>Starting at Fri Aug 30 2024 00:03:57 GMT-0400 (EDT)</t>
  </si>
  <si>
    <t>1FhwzLN1OLwDT3p4qihtkgGaCOLCmf5qs</t>
  </si>
  <si>
    <t>https://drive.google.com/file/d/1FhwzLN1OLwDT3p4qihtkgGaCOLCmf5qs/view?usp=drivesdk</t>
  </si>
  <si>
    <t>Document successfully created; Document successfully merged; PDF created; Emails Sent: [To: bundawiwik17@gmail.com]; Manually run by ecertificate75@gmail.com; Timestamp: Sep 16 2024 8:33 PM</t>
  </si>
  <si>
    <t>9511</t>
  </si>
  <si>
    <t>1BxrlZOgejSw1X8CbrSu1DPM4_c6diPJZ</t>
  </si>
  <si>
    <t>https://drive.google.com/file/d/1BxrlZOgejSw1X8CbrSu1DPM4_c6diPJZ/view?usp=drivesdk</t>
  </si>
  <si>
    <t>Document successfully created; Document successfully merged; PDF created; Emails Sent: [To: andiobvit@gmail.com]; Manually run by ecertificate75@gmail.com; Timestamp: Sep 16 2024 8:33 PM</t>
  </si>
  <si>
    <t>SITI JULIASTUTI</t>
  </si>
  <si>
    <t>tutijuliaatuti1974@gmail.com</t>
  </si>
  <si>
    <t>9512</t>
  </si>
  <si>
    <t>Starting at Fri Aug 30 2024 00:04:33 GMT-0400 (EDT)</t>
  </si>
  <si>
    <t>1-KwQGrejXoX3t2MbRvVHAgOQ3N2LyjN2</t>
  </si>
  <si>
    <t>https://drive.google.com/file/d/1-KwQGrejXoX3t2MbRvVHAgOQ3N2LyjN2/view?usp=drivesdk</t>
  </si>
  <si>
    <t>Document successfully created; Document successfully merged; PDF created; Emails Sent: [To: tutijuliaatuti1974@gmail.com]; Manually run by ecertificate75@gmail.com; Timestamp: Sep 16 2024 8:34 PM</t>
  </si>
  <si>
    <t>HAMRIANI R</t>
  </si>
  <si>
    <t>Hamrianirachman@gmail.com</t>
  </si>
  <si>
    <t>9513</t>
  </si>
  <si>
    <t>1wioftHKrUn31MOjgDgigCE2_rfs-K-L_</t>
  </si>
  <si>
    <t>https://drive.google.com/file/d/1wioftHKrUn31MOjgDgigCE2_rfs-K-L_/view?usp=drivesdk</t>
  </si>
  <si>
    <t>Document successfully created; Document successfully merged; PDF created; Emails Sent: [To: Hamrianirachman@gmail.com]; Manually run by ecertificate75@gmail.com; Timestamp: Sep 16 2024 8:34 PM</t>
  </si>
  <si>
    <t>AWANG RIA FARIDA</t>
  </si>
  <si>
    <t>awangriafarida@gmail.com</t>
  </si>
  <si>
    <t>9514</t>
  </si>
  <si>
    <t>1E8ZwCFrPX9G_qaPZBeFDvYoSg9EeIACL</t>
  </si>
  <si>
    <t>https://drive.google.com/file/d/1E8ZwCFrPX9G_qaPZBeFDvYoSg9EeIACL/view?usp=drivesdk</t>
  </si>
  <si>
    <t>Document successfully created; Document successfully merged; PDF created; Emails Sent: [To: awangriafarida@gmail.com]; Manually run by ecertificate75@gmail.com; Timestamp: Sep 16 2024 8:34 PM</t>
  </si>
  <si>
    <t>ARDIAN FIRMANSYAH, AMd.Kep</t>
  </si>
  <si>
    <t>iansyah.prime9@gmail.com</t>
  </si>
  <si>
    <t>9515</t>
  </si>
  <si>
    <t>1CjEoaG0cCbqK5pZgMHJfeqTlZ30QMmCT</t>
  </si>
  <si>
    <t>https://drive.google.com/file/d/1CjEoaG0cCbqK5pZgMHJfeqTlZ30QMmCT/view?usp=drivesdk</t>
  </si>
  <si>
    <t>Document successfully created; Document successfully merged; PDF created; Emails Sent: [To: iansyah.prime9@gmail.com]; Manually run by ecertificate75@gmail.com; Timestamp: Sep 16 2024 8:34 PM</t>
  </si>
  <si>
    <t>LENI IRMAYANTI</t>
  </si>
  <si>
    <t>leni.bagsumda@gmail.com</t>
  </si>
  <si>
    <t>9516</t>
  </si>
  <si>
    <t>1UYEhw02BdogytnmLU20M4fnHzMXpTcJF</t>
  </si>
  <si>
    <t>https://drive.google.com/file/d/1UYEhw02BdogytnmLU20M4fnHzMXpTcJF/view?usp=drivesdk</t>
  </si>
  <si>
    <t>Document successfully created; Document successfully merged; PDF created; Emails Sent: [To: leni.bagsumda@gmail.com]; Manually run by ecertificate75@gmail.com; Timestamp: Sep 16 2024 8:35 PM</t>
  </si>
  <si>
    <t>SONADI</t>
  </si>
  <si>
    <t>rsbporong@gmail.com</t>
  </si>
  <si>
    <t>9517</t>
  </si>
  <si>
    <t>1YPRFr9Q9oob41ETq7e8uzgLKZbY99RLo</t>
  </si>
  <si>
    <t>https://drive.google.com/file/d/1YPRFr9Q9oob41ETq7e8uzgLKZbY99RLo/view?usp=drivesdk</t>
  </si>
  <si>
    <t>Document successfully created; Document successfully merged; PDF created; Emails Sent: [To: rsbporong@gmail.com]; Manually run by ecertificate75@gmail.com; Timestamp: Sep 16 2024 8:35 PM</t>
  </si>
  <si>
    <t>INDRA PUTRA SISWA</t>
  </si>
  <si>
    <t>indraputra.satlantas@gmail.com</t>
  </si>
  <si>
    <t>9518</t>
  </si>
  <si>
    <t>Starting at Fri Aug 30 2024 00:04:54 GMT-0400 (EDT)</t>
  </si>
  <si>
    <t>15yEaLAKclQRZJoPr-kC7rGXoXUoqcsrj</t>
  </si>
  <si>
    <t>https://drive.google.com/file/d/15yEaLAKclQRZJoPr-kC7rGXoXUoqcsrj/view?usp=drivesdk</t>
  </si>
  <si>
    <t>Document successfully created; Document successfully merged; PDF created; Emails Sent: [To: indraputra.satlantas@gmail.com]; Manually run by ecertificate75@gmail.com; Timestamp: Sep 16 2024 8:35 PM</t>
  </si>
  <si>
    <t>Krissantus Genapan Tukan</t>
  </si>
  <si>
    <t>kikitukan@gmail.com</t>
  </si>
  <si>
    <t>9519</t>
  </si>
  <si>
    <t>1j3J7ndpOW_OIFAu9uyZeORJMnywcIYc4</t>
  </si>
  <si>
    <t>https://drive.google.com/file/d/1j3J7ndpOW_OIFAu9uyZeORJMnywcIYc4/view?usp=drivesdk</t>
  </si>
  <si>
    <t>Document successfully created; Document successfully merged; PDF created; Emails Sent: [To: kikitukan@gmail.com]; Manually run by ecertificate75@gmail.com; Timestamp: Sep 16 2024 8:35 PM</t>
  </si>
  <si>
    <t>RORY TRI YUDHA PANSERA, SE, MH.</t>
  </si>
  <si>
    <t>rorypansera@gmail.com</t>
  </si>
  <si>
    <t>9520</t>
  </si>
  <si>
    <t>Starting at Fri Aug 30 2024 00:05:02 GMT-0400 (EDT)</t>
  </si>
  <si>
    <t>1Jbvi6m6sTWZdKY_v0W4tPV83i6uj2obB</t>
  </si>
  <si>
    <t>https://drive.google.com/file/d/1Jbvi6m6sTWZdKY_v0W4tPV83i6uj2obB/view?usp=drivesdk</t>
  </si>
  <si>
    <t>Document successfully created; Document successfully merged; PDF created; Emails Sent: [To: rorypansera@gmail.com]; Manually run by ecertificate75@gmail.com; Timestamp: Sep 16 2024 8:36 PM</t>
  </si>
  <si>
    <t>ALVIAN FEBRYANTO, A.Md.</t>
  </si>
  <si>
    <t>alvianfebryanto@gmail.com</t>
  </si>
  <si>
    <t>9521</t>
  </si>
  <si>
    <t>1kkQecQUjjZQqiLj-Z8-dFVLxtss1Clx9</t>
  </si>
  <si>
    <t>https://drive.google.com/file/d/1kkQecQUjjZQqiLj-Z8-dFVLxtss1Clx9/view?usp=drivesdk</t>
  </si>
  <si>
    <t>Document successfully created; Document successfully merged; PDF created; Emails Sent: [To: alvianfebryanto@gmail.com]; Manually run by ecertificate75@gmail.com; Timestamp: Sep 16 2024 8:36 PM</t>
  </si>
  <si>
    <t xml:space="preserve">INDRIYANTI </t>
  </si>
  <si>
    <t>Indriyantii1274@gmail.com</t>
  </si>
  <si>
    <t>9522</t>
  </si>
  <si>
    <t>1TX8IDUY1quBM8ly8NjA_YcBp5ITb2qPo</t>
  </si>
  <si>
    <t>https://drive.google.com/file/d/1TX8IDUY1quBM8ly8NjA_YcBp5ITb2qPo/view?usp=drivesdk</t>
  </si>
  <si>
    <t>Document successfully created; Document successfully merged; PDF created; Emails Sent: [To: Indriyantii1274@gmail.com]; Manually run by ecertificate75@gmail.com; Timestamp: Sep 16 2024 8:36 PM</t>
  </si>
  <si>
    <t xml:space="preserve">AFFAN KUSRIANTO, S.H. </t>
  </si>
  <si>
    <t>affankusrianto09@gmail.com</t>
  </si>
  <si>
    <t>9523</t>
  </si>
  <si>
    <t>1FSu2gqAzGua2tFNebAL2WFAFRiKZH-gs</t>
  </si>
  <si>
    <t>https://drive.google.com/file/d/1FSu2gqAzGua2tFNebAL2WFAFRiKZH-gs/view?usp=drivesdk</t>
  </si>
  <si>
    <t>Document successfully created; Document successfully merged; PDF created; Emails Sent: [To: affankusrianto09@gmail.com]; Manually run by ecertificate75@gmail.com; Timestamp: Sep 16 2024 8:37 PM</t>
  </si>
  <si>
    <t xml:space="preserve">SAHARUDDIN </t>
  </si>
  <si>
    <t>sahar.one20@gmail.com</t>
  </si>
  <si>
    <t>9524</t>
  </si>
  <si>
    <t>Starting at Fri Aug 30 2024 00:05:41 GMT-0400 (EDT)</t>
  </si>
  <si>
    <t>1WHZpB_i-5VIdDBEWo3nCVX4y0RJF2U0T</t>
  </si>
  <si>
    <t>https://drive.google.com/file/d/1WHZpB_i-5VIdDBEWo3nCVX4y0RJF2U0T/view?usp=drivesdk</t>
  </si>
  <si>
    <t>Document successfully created; Document successfully merged; PDF created; Emails Sent: [To: sahar.one20@gmail.com]; Manually run by ecertificate75@gmail.com; Timestamp: Sep 16 2024 8:37 PM</t>
  </si>
  <si>
    <t>9525</t>
  </si>
  <si>
    <t>1JxAyqXiX_IPrsoDz0ie4slvp8LeQf4lS</t>
  </si>
  <si>
    <t>https://drive.google.com/file/d/1JxAyqXiX_IPrsoDz0ie4slvp8LeQf4lS/view?usp=drivesdk</t>
  </si>
  <si>
    <t>Document successfully created; Document successfully merged; PDF created; Emails Sent: [To: yaminmuhammad097@gmail.com]; Manually run by ecertificate75@gmail.com; Timestamp: Sep 16 2024 8:37 PM</t>
  </si>
  <si>
    <t>ANAK AGUNG MADE YULIA PERMATASARI, A.Md.Kep</t>
  </si>
  <si>
    <t>agungyulia21@gmail.com</t>
  </si>
  <si>
    <t>9526</t>
  </si>
  <si>
    <t xml:space="preserve">AIMATUL MUSDHALIFAH </t>
  </si>
  <si>
    <t>aimatulm01@gmail.com</t>
  </si>
  <si>
    <t>9527</t>
  </si>
  <si>
    <t>ANDINA AYU PRATIWI</t>
  </si>
  <si>
    <t>andinapratiwi45@gmail.com</t>
  </si>
  <si>
    <t>9528</t>
  </si>
  <si>
    <t>JEPRI, A.Md.</t>
  </si>
  <si>
    <t>jepri.jpri@gmail.com</t>
  </si>
  <si>
    <t>9529</t>
  </si>
  <si>
    <t>NANA, SE</t>
  </si>
  <si>
    <t>nnannaaaaa@gmail.com</t>
  </si>
  <si>
    <t>9530</t>
  </si>
  <si>
    <t>Starting at Fri Aug 30 2024 00:05:51 GMT-0400 (EDT)</t>
  </si>
  <si>
    <t>INDAH PUJI LESTARI</t>
  </si>
  <si>
    <t>indahpuji42@gmail.com</t>
  </si>
  <si>
    <t>9531</t>
  </si>
  <si>
    <t xml:space="preserve">ENY MUFFARIYANTI </t>
  </si>
  <si>
    <t>enymuf80@gmail.com</t>
  </si>
  <si>
    <t>9532</t>
  </si>
  <si>
    <t>ASRIANI LUBIS</t>
  </si>
  <si>
    <t>asrianilubis00@gmail.com</t>
  </si>
  <si>
    <t>9533</t>
  </si>
  <si>
    <t>Starting at Fri Aug 30 2024 00:05:54 GMT-0400 (EDT)</t>
  </si>
  <si>
    <t>NUR INDAH PRESTIYAWATI, S. Tr. Keb</t>
  </si>
  <si>
    <t>nur.indah.prestyawati@gmail.com</t>
  </si>
  <si>
    <t>9534</t>
  </si>
  <si>
    <t>ROSMINI S.KEP NS</t>
  </si>
  <si>
    <t>rosminiamin78@gmail.com</t>
  </si>
  <si>
    <t>9535</t>
  </si>
  <si>
    <t>Starting at Fri Aug 30 2024 00:06:19 GMT-0400 (EDT)</t>
  </si>
  <si>
    <t xml:space="preserve">VERONIKA ADRYANA THERESYA TURNIP </t>
  </si>
  <si>
    <t>veronikaturnipturnip@gmail.com</t>
  </si>
  <si>
    <t>9536</t>
  </si>
  <si>
    <t xml:space="preserve">ADI GUNAWAN </t>
  </si>
  <si>
    <t>adigunawan08.ag@gmail.com</t>
  </si>
  <si>
    <t>9537</t>
  </si>
  <si>
    <t>9538</t>
  </si>
  <si>
    <t>AKRIM, S.M</t>
  </si>
  <si>
    <t>akrimakrim583@gmail.com</t>
  </si>
  <si>
    <t>9539</t>
  </si>
  <si>
    <t>SINDI KANIA DEWI</t>
  </si>
  <si>
    <t>sindikaniad@gmail.com</t>
  </si>
  <si>
    <t>9540</t>
  </si>
  <si>
    <t>Starting at Fri Aug 30 2024 00:06:23 GMT-0400 (EDT)</t>
  </si>
  <si>
    <t>M YAFIST KENNEDY</t>
  </si>
  <si>
    <t>yafistsultan@gmail.com</t>
  </si>
  <si>
    <t>9541</t>
  </si>
  <si>
    <t>ANWAR MUSHADAD, SH</t>
  </si>
  <si>
    <t>anwarmushadad26@gmail.com</t>
  </si>
  <si>
    <t>9542</t>
  </si>
  <si>
    <t>Starting at Fri Aug 30 2024 00:06:26 GMT-0400 (EDT)</t>
  </si>
  <si>
    <t>SITTI RAHMAH</t>
  </si>
  <si>
    <t>lirayantibutar2@gmail.com</t>
  </si>
  <si>
    <t>9543</t>
  </si>
  <si>
    <t>Starting at Fri Aug 30 2024 00:06:41 GMT-0400 (EDT)</t>
  </si>
  <si>
    <t>RINATNI,AMD.Kep</t>
  </si>
  <si>
    <t>rinarinatni77@gmail.com</t>
  </si>
  <si>
    <t>9544</t>
  </si>
  <si>
    <t>NACHRYA LANURU, SKM</t>
  </si>
  <si>
    <t>nachryalanuru1973@gmail.com</t>
  </si>
  <si>
    <t>9545</t>
  </si>
  <si>
    <t>Srihandayani1378@gmail.com</t>
  </si>
  <si>
    <t>9546</t>
  </si>
  <si>
    <t>Starting at Fri Aug 30 2024 00:06:57 GMT-0400 (EDT)</t>
  </si>
  <si>
    <t>JUSTRI KARMINI</t>
  </si>
  <si>
    <t>justrikarmini51@gmail.com</t>
  </si>
  <si>
    <t>9547</t>
  </si>
  <si>
    <t>AINA LUBIS</t>
  </si>
  <si>
    <t>ainalubis78@gmail.com</t>
  </si>
  <si>
    <t>9548</t>
  </si>
  <si>
    <t>Starting at Fri Aug 30 2024 00:07:07 GMT-0400 (EDT)</t>
  </si>
  <si>
    <t>Muhammad Firman Arif</t>
  </si>
  <si>
    <t>ariefconspiracy@gmail.com</t>
  </si>
  <si>
    <t>9549</t>
  </si>
  <si>
    <t>ENDANG SUKASIH</t>
  </si>
  <si>
    <t>sahlafr888@gmail.com</t>
  </si>
  <si>
    <t>9550</t>
  </si>
  <si>
    <t>Starting at Mon Sep 16 2024 20:32:30 GMT-0400 (EDT)</t>
  </si>
  <si>
    <t xml:space="preserve">RUKMINI </t>
  </si>
  <si>
    <t>rukminisukimin@gmail.com</t>
  </si>
  <si>
    <t>9551</t>
  </si>
  <si>
    <t>Starting at Fri Aug 30 2024 00:07:19 GMT-0400 (EDT)</t>
  </si>
  <si>
    <t>NIZMA, A.md</t>
  </si>
  <si>
    <t>nizma050284@gmail.com</t>
  </si>
  <si>
    <t>9552</t>
  </si>
  <si>
    <t xml:space="preserve">SUWONDO </t>
  </si>
  <si>
    <t>wondohj@gmail.com</t>
  </si>
  <si>
    <t>9553</t>
  </si>
  <si>
    <t>dr. MEIKA YUSUF WIBOWO</t>
  </si>
  <si>
    <t>krisra.skyline86@gmail.com</t>
  </si>
  <si>
    <t>9554</t>
  </si>
  <si>
    <t>Starting at Fri Aug 30 2024 00:07:45 GMT-0400 (EDT)</t>
  </si>
  <si>
    <t>HERMIN JULIJANTI, S.H.</t>
  </si>
  <si>
    <t>julijantihermin@gmail.com</t>
  </si>
  <si>
    <t>9555</t>
  </si>
  <si>
    <t>MILA KARMILA,S.Kep.Ns</t>
  </si>
  <si>
    <t>karmilatamsir@gmail.com</t>
  </si>
  <si>
    <t>9556</t>
  </si>
  <si>
    <t>Starting at Fri Aug 30 2024 00:08:17 GMT-0400 (EDT)</t>
  </si>
  <si>
    <t>RIDO RISKI</t>
  </si>
  <si>
    <t>ridoriski.90@gmail.com</t>
  </si>
  <si>
    <t>9557</t>
  </si>
  <si>
    <t>BETI DALEME</t>
  </si>
  <si>
    <t>betirsb1974@gmail.com</t>
  </si>
  <si>
    <t>9558</t>
  </si>
  <si>
    <t>WAHYU INDAH MIFTAKHUL FITRIYAH, AMD KEB</t>
  </si>
  <si>
    <t>wahyuindah021975@gmail.com</t>
  </si>
  <si>
    <t>9559</t>
  </si>
  <si>
    <t>Starting at Fri Aug 30 2024 00:08:29 GMT-0400 (EDT)</t>
  </si>
  <si>
    <t>WINDA RESQY Amd Keb</t>
  </si>
  <si>
    <t>windaresqy123@gmail.com</t>
  </si>
  <si>
    <t>9560</t>
  </si>
  <si>
    <t>EMMI SUFIATIN,Amd.Kep</t>
  </si>
  <si>
    <t>emmisufi@gmail.com</t>
  </si>
  <si>
    <t>9561</t>
  </si>
  <si>
    <t>SUMARSIH</t>
  </si>
  <si>
    <t>netta13nessa@gmail.com</t>
  </si>
  <si>
    <t>9562</t>
  </si>
  <si>
    <t>Starting at Fri Aug 30 2024 00:08:36 GMT-0400 (EDT)</t>
  </si>
  <si>
    <t>SITI ZAHRA</t>
  </si>
  <si>
    <t>zsiti0345@gmail.com</t>
  </si>
  <si>
    <t>9563</t>
  </si>
  <si>
    <t>NI KETUT WIRATI.,A.Md.Keb</t>
  </si>
  <si>
    <t>kwikkwikwirati123@gmail.com</t>
  </si>
  <si>
    <t>9564</t>
  </si>
  <si>
    <t>Starting at Fri Aug 30 2024 00:08:38 GMT-0400 (EDT)</t>
  </si>
  <si>
    <t>ENDRA BAYU</t>
  </si>
  <si>
    <t>data.endrabayu@gmail.com</t>
  </si>
  <si>
    <t>9565</t>
  </si>
  <si>
    <t>Starting at Fri Aug 30 2024 00:08:42 GMT-0400 (EDT)</t>
  </si>
  <si>
    <t>HENI HARIYATI, SE</t>
  </si>
  <si>
    <t>henihariyati1972@gmail.com</t>
  </si>
  <si>
    <t>9566</t>
  </si>
  <si>
    <t>Starting at Fri Aug 30 2024 00:08:45 GMT-0400 (EDT)</t>
  </si>
  <si>
    <t>Atik Jumiati, SH, MH</t>
  </si>
  <si>
    <t>atikaura75@gmail.com</t>
  </si>
  <si>
    <t>9567</t>
  </si>
  <si>
    <t xml:space="preserve">I KETUT WIRNATA </t>
  </si>
  <si>
    <t>k01062014@gmail.com</t>
  </si>
  <si>
    <t>9568</t>
  </si>
  <si>
    <t>Starting at Fri Aug 30 2024 00:08:48 GMT-0400 (EDT)</t>
  </si>
  <si>
    <t>Nono Aprianto, AMd</t>
  </si>
  <si>
    <t>sasukejzeu1@gmail.com</t>
  </si>
  <si>
    <t>9569</t>
  </si>
  <si>
    <t>Starting at Fri Aug 30 2024 00:08:55 GMT-0400 (EDT)</t>
  </si>
  <si>
    <t>BUCHAIRI</t>
  </si>
  <si>
    <t>buchairieri123@gmal.com</t>
  </si>
  <si>
    <t>9570</t>
  </si>
  <si>
    <t>Starting at Fri Aug 30 2024 00:08:57 GMT-0400 (EDT)</t>
  </si>
  <si>
    <t>MUHAMMAD FATONI</t>
  </si>
  <si>
    <t>felixfaieuz2@gmail.com</t>
  </si>
  <si>
    <t>9571</t>
  </si>
  <si>
    <t>PIPIET RATRIE KURNIA YANTIE</t>
  </si>
  <si>
    <t>pipiet.kyantie@gmail.com</t>
  </si>
  <si>
    <t>9572</t>
  </si>
  <si>
    <t>Starting at Fri Aug 30 2024 00:09:17 GMT-0400 (EDT)</t>
  </si>
  <si>
    <t>NOFRIZAL, S. AP</t>
  </si>
  <si>
    <t>nofrizal855@gmail.com</t>
  </si>
  <si>
    <t>9573</t>
  </si>
  <si>
    <t>Starting at Fri Aug 30 2024 00:09:27 GMT-0400 (EDT)</t>
  </si>
  <si>
    <t>9574</t>
  </si>
  <si>
    <t>Starting at Fri Aug 30 2024 00:09:56 GMT-0400 (EDT)</t>
  </si>
  <si>
    <t>kasmawatirs1968@gmail.com</t>
  </si>
  <si>
    <t>9575</t>
  </si>
  <si>
    <t>PARIS WALTER PARDOSI</t>
  </si>
  <si>
    <t>pardosiparis9@gmail.com</t>
  </si>
  <si>
    <t>9576</t>
  </si>
  <si>
    <t>Starting at Fri Aug 30 2024 00:10:12 GMT-0400 (EDT)</t>
  </si>
  <si>
    <t xml:space="preserve">dr IWAN KISWAHJUDI </t>
  </si>
  <si>
    <t>kiswahjudi@gmail.com</t>
  </si>
  <si>
    <t>9577</t>
  </si>
  <si>
    <t>MUSNIATI,S.kep,Ns</t>
  </si>
  <si>
    <t>musniati1982@gmail.com</t>
  </si>
  <si>
    <t>9578</t>
  </si>
  <si>
    <t>NI LUH FITRI DHARMAWATI, S.E</t>
  </si>
  <si>
    <t>fitriniluh@gmail.com</t>
  </si>
  <si>
    <t>9579</t>
  </si>
  <si>
    <t>Starting at Fri Aug 30 2024 00:10:25 GMT-0400 (EDT)</t>
  </si>
  <si>
    <t xml:space="preserve">NURDIYANTO </t>
  </si>
  <si>
    <t>owabongman@gmail.com</t>
  </si>
  <si>
    <t>9580</t>
  </si>
  <si>
    <t>Starting at Fri Aug 30 2024 00:10:36 GMT-0400 (EDT)</t>
  </si>
  <si>
    <t>GALUH LARASATI, AMD. KEB.</t>
  </si>
  <si>
    <t>galuhlarast@gmail.com</t>
  </si>
  <si>
    <t>9581</t>
  </si>
  <si>
    <t>Starting at Fri Aug 30 2024 00:10:50 GMT-0400 (EDT)</t>
  </si>
  <si>
    <t>DARMAWAN WIJAYA</t>
  </si>
  <si>
    <t>hendraspri1977@gmail.com</t>
  </si>
  <si>
    <t>9582</t>
  </si>
  <si>
    <t>ROSADALIMA ALU, S.I.P.</t>
  </si>
  <si>
    <t>rosdalimaalu@gmail.com</t>
  </si>
  <si>
    <t>9583</t>
  </si>
  <si>
    <t>MAYASARI ADI WAHYUNI</t>
  </si>
  <si>
    <t>yuni170273@gmai.coml</t>
  </si>
  <si>
    <t>9584</t>
  </si>
  <si>
    <t>Starting at Fri Aug 30 2024 00:10:51 GMT-0400 (EDT)</t>
  </si>
  <si>
    <t>NI LUH SUSIYATI</t>
  </si>
  <si>
    <t>nilugsusiyati@gmail.com</t>
  </si>
  <si>
    <t>9585</t>
  </si>
  <si>
    <t>Starting at Fri Aug 30 2024 00:11:27 GMT-0400 (EDT)</t>
  </si>
  <si>
    <t xml:space="preserve">Yossy Rhoza Nova </t>
  </si>
  <si>
    <t>yossyrhozanova@gmail.com</t>
  </si>
  <si>
    <t>9586</t>
  </si>
  <si>
    <t>FITRA RIZAYANI</t>
  </si>
  <si>
    <t>fitrarizayani@gmail.com</t>
  </si>
  <si>
    <t>9587</t>
  </si>
  <si>
    <t>9588</t>
  </si>
  <si>
    <t>PENGDA ISNI</t>
  </si>
  <si>
    <t>isnikumis@gamil.com</t>
  </si>
  <si>
    <t>9589</t>
  </si>
  <si>
    <t>Ns.Victory,S.Kep</t>
  </si>
  <si>
    <t>vivictory82@gmail.com</t>
  </si>
  <si>
    <t>9590</t>
  </si>
  <si>
    <t>Starting at Fri Aug 30 2024 00:11:36 GMT-0400 (EDT)</t>
  </si>
  <si>
    <t>RETNA SARI</t>
  </si>
  <si>
    <t>retnasari17@gmail.com</t>
  </si>
  <si>
    <t>9591</t>
  </si>
  <si>
    <t>Starting at Fri Aug 30 2024 00:11:41 GMT-0400 (EDT)</t>
  </si>
  <si>
    <t>duaribuduabelas.2019@gmail.com</t>
  </si>
  <si>
    <t>9592</t>
  </si>
  <si>
    <t>Starting at Fri Aug 30 2024 00:11:54 GMT-0400 (EDT)</t>
  </si>
  <si>
    <t>Sendy Liesta Marine</t>
  </si>
  <si>
    <t>sendyliesta.sby123@gmail.com</t>
  </si>
  <si>
    <t>9593</t>
  </si>
  <si>
    <t>Starting at Fri Aug 30 2024 00:12:01 GMT-0400 (EDT)</t>
  </si>
  <si>
    <t>NUREDA Amd. Keb</t>
  </si>
  <si>
    <t>nureda2202@gmail.com</t>
  </si>
  <si>
    <t>9594</t>
  </si>
  <si>
    <t>HUSEN, S.M.</t>
  </si>
  <si>
    <t>ucenkkasep81@gmail.com</t>
  </si>
  <si>
    <t>9595</t>
  </si>
  <si>
    <t>Starting at Fri Aug 30 2024 00:12:30 GMT-0400 (EDT)</t>
  </si>
  <si>
    <t>GERTRUDZ SRIWAHYUNI, A.Md.Farm</t>
  </si>
  <si>
    <t>riniadmision@gmail.com</t>
  </si>
  <si>
    <t>9596</t>
  </si>
  <si>
    <t>Ade Nurul Hani'ah</t>
  </si>
  <si>
    <t>fadehaniah@gmail.com</t>
  </si>
  <si>
    <t>9597</t>
  </si>
  <si>
    <t>ROCHMAD M. Pd I</t>
  </si>
  <si>
    <t>rochmadfuzi@gmail.com</t>
  </si>
  <si>
    <t>9598</t>
  </si>
  <si>
    <t>SAPURIH</t>
  </si>
  <si>
    <t>sapuritukdana@gmail.com</t>
  </si>
  <si>
    <t>9599</t>
  </si>
  <si>
    <t>Starting at Fri Aug 30 2024 00:14:19 GMT-0400 (EDT)</t>
  </si>
  <si>
    <t>CHUDORI</t>
  </si>
  <si>
    <t>gemilang05@gmail.com</t>
  </si>
  <si>
    <t>9600</t>
  </si>
  <si>
    <t>ELISABETH PM</t>
  </si>
  <si>
    <t>elisabethpm58@gmail.com</t>
  </si>
  <si>
    <t>9601</t>
  </si>
  <si>
    <t>ASTRI GINAWATI</t>
  </si>
  <si>
    <t>astriginawati5@gmail.com</t>
  </si>
  <si>
    <t>9602</t>
  </si>
  <si>
    <t>yanmajabar@gmail.com</t>
  </si>
  <si>
    <t>9603</t>
  </si>
  <si>
    <t>SITI SUDARYANTI</t>
  </si>
  <si>
    <t>sudaryanti.siti.ss@gmail.com</t>
  </si>
  <si>
    <t>9604</t>
  </si>
  <si>
    <t>DWI KURNIASIH</t>
  </si>
  <si>
    <t>dwikurniasihwijayanto@gmail.com</t>
  </si>
  <si>
    <t>9605</t>
  </si>
  <si>
    <t xml:space="preserve">JUFRISON </t>
  </si>
  <si>
    <t>jufrisonson@gmail.com</t>
  </si>
  <si>
    <t>9606</t>
  </si>
  <si>
    <t>1GFUNbHbiQynRI2ep9km8Dp8e5Kr5E7U-</t>
  </si>
  <si>
    <t>https://drive.google.com/file/d/1GFUNbHbiQynRI2ep9km8Dp8e5Kr5E7U-/view?usp=drivesdk</t>
  </si>
  <si>
    <t>Document successfully created; Document successfully merged; PDF created; Emails Sent: [To: jufrisonson@gmail.com]; Run via form trigger as ecertificate75@gmail.com; Timestamp: Sep 16 2024 9:56 PM</t>
  </si>
  <si>
    <t>SUJONO</t>
  </si>
  <si>
    <t>suyonosium33@gmail.com</t>
  </si>
  <si>
    <t>9607</t>
  </si>
  <si>
    <t>1N67V27TDPa4L1T3MRCwtZPxCp5q7ZXIn</t>
  </si>
  <si>
    <t>https://drive.google.com/file/d/1N67V27TDPa4L1T3MRCwtZPxCp5q7ZXIn/view?usp=drivesdk</t>
  </si>
  <si>
    <t>Document successfully created; Document successfully merged; PDF created; Emails Sent: [To: suyonosium33@gmail.com]; Run via form trigger as ecertificate75@gmail.com; Timestamp: Sep 16 2024 9:56 PM</t>
  </si>
  <si>
    <t>YUSMAN NUR ADIYAKSA</t>
  </si>
  <si>
    <t>yusytr34185@gmail.com</t>
  </si>
  <si>
    <t>9608</t>
  </si>
  <si>
    <t>16yKO-ngNkd0413hUZdlzy2jEByqzfGel</t>
  </si>
  <si>
    <t>https://drive.google.com/file/d/16yKO-ngNkd0413hUZdlzy2jEByqzfGel/view?usp=drivesdk</t>
  </si>
  <si>
    <t>Document successfully created; Document successfully merged; PDF created; Emails Sent: [To: yusytr34185@gmail.com]; Run via form trigger as ecertificate75@gmail.com; Timestamp: Sep 16 2024 9:56 PM</t>
  </si>
  <si>
    <t>RATNA DEWI KOMALA, S.Ak</t>
  </si>
  <si>
    <t>rarnadewikomala888@gmail.com</t>
  </si>
  <si>
    <t>9609</t>
  </si>
  <si>
    <t>1pC4zPjEsaXmx0NGuMLVdL_IG88k6ImPO</t>
  </si>
  <si>
    <t>https://drive.google.com/file/d/1pC4zPjEsaXmx0NGuMLVdL_IG88k6ImPO/view?usp=drivesdk</t>
  </si>
  <si>
    <t>Document successfully created; Document successfully merged; PDF created; Emails Sent: [To: rarnadewikomala888@gmail.com]; Run via form trigger as ecertificate75@gmail.com; Timestamp: Sep 16 2024 9:57 PM</t>
  </si>
  <si>
    <t>ERNA SURISGIANTI</t>
  </si>
  <si>
    <t>detasemenbravo1@gmail.com</t>
  </si>
  <si>
    <t>9610</t>
  </si>
  <si>
    <t>1Y1Bh5aM2zJ1ylI_E52xVJfdEpV4xWkWE</t>
  </si>
  <si>
    <t>https://drive.google.com/file/d/1Y1Bh5aM2zJ1ylI_E52xVJfdEpV4xWkWE/view?usp=drivesdk</t>
  </si>
  <si>
    <t>Document successfully created; Document successfully merged; PDF created; Emails Sent: [To: detasemenbravo1@gmail.com]; Run via form trigger as ecertificate75@gmail.com; Timestamp: Sep 16 2024 9:57 PM</t>
  </si>
  <si>
    <t>DIANDRA ARISTANA</t>
  </si>
  <si>
    <t>aristanadiandra@gmail.com</t>
  </si>
  <si>
    <t>9611</t>
  </si>
  <si>
    <t>18VzIek__lUisHLwjmFlkmguXTsP9eUau</t>
  </si>
  <si>
    <t>https://drive.google.com/file/d/18VzIek__lUisHLwjmFlkmguXTsP9eUau/view?usp=drivesdk</t>
  </si>
  <si>
    <t>Document successfully created; Document successfully merged; PDF created; Emails Sent: [To: aristanadiandra@gmail.com]; Run via form trigger as ecertificate75@gmail.com; Timestamp: Sep 16 2024 9:57 PM</t>
  </si>
  <si>
    <t>ARIF SETYANTO, AMD. KES</t>
  </si>
  <si>
    <t>arifsetyanto45@gmail.com</t>
  </si>
  <si>
    <t>9612</t>
  </si>
  <si>
    <t>10Yho3GFLWEZhm2Sh3njNalGI94AKdgnz</t>
  </si>
  <si>
    <t>https://drive.google.com/file/d/10Yho3GFLWEZhm2Sh3njNalGI94AKdgnz/view?usp=drivesdk</t>
  </si>
  <si>
    <t>Document successfully created; Document successfully merged; PDF created; Emails Sent: [To: arifsetyanto45@gmail.com]; Run via form trigger as ecertificate75@gmail.com; Timestamp: Sep 16 2024 9:57 PM</t>
  </si>
  <si>
    <t>RONI SUMITRO</t>
  </si>
  <si>
    <t>sumitro846@gmail.com</t>
  </si>
  <si>
    <t>9613</t>
  </si>
  <si>
    <t>1sM-HTz-mNCgF4mNalDs2DC8wO7CIOpNt</t>
  </si>
  <si>
    <t>https://drive.google.com/file/d/1sM-HTz-mNCgF4mNalDs2DC8wO7CIOpNt/view?usp=drivesdk</t>
  </si>
  <si>
    <t>Document successfully created; Document successfully merged; PDF created; Emails Sent: [To: sumitro846@gmail.com]; Run via form trigger as ecertificate75@gmail.com; Timestamp: Sep 16 2024 9:58 PM</t>
  </si>
  <si>
    <t>9614</t>
  </si>
  <si>
    <t>1UCOEkWvaRIQNBOY3vrG_SPErWDHZjDgc</t>
  </si>
  <si>
    <t>https://drive.google.com/file/d/1UCOEkWvaRIQNBOY3vrG_SPErWDHZjDgc/view?usp=drivesdk</t>
  </si>
  <si>
    <t>Document successfully created; Document successfully merged; PDF created; Emails Sent: [To: serimurtisiregar@gmail.com]; Run via form trigger as ecertificate75@gmail.com; Timestamp: Sep 16 2024 9:58 PM</t>
  </si>
  <si>
    <t>I GUSTI AGUNG AYU SRIASTUTI, A. Md. Kep</t>
  </si>
  <si>
    <t>sriastuti19700@gmail.com</t>
  </si>
  <si>
    <t>9615</t>
  </si>
  <si>
    <t>1iAtzxjxWDg6e3LvjucoM_W_h3jgyzyLc</t>
  </si>
  <si>
    <t>https://drive.google.com/file/d/1iAtzxjxWDg6e3LvjucoM_W_h3jgyzyLc/view?usp=drivesdk</t>
  </si>
  <si>
    <t>Document successfully created; Document successfully merged; PDF created; Emails Sent: [To: sriastuti19700@gmail.com]; Run via form trigger as ecertificate75@gmail.com; Timestamp: Sep 16 2024 9:58 PM</t>
  </si>
  <si>
    <t>HERI SETIAWAN, A.Md.Ft</t>
  </si>
  <si>
    <t>herisethyawan@gmail.com</t>
  </si>
  <si>
    <t>9616</t>
  </si>
  <si>
    <t>1titxqF_VJNSZn9rd9G_o_gc1N1yfBiMp</t>
  </si>
  <si>
    <t>https://drive.google.com/file/d/1titxqF_VJNSZn9rd9G_o_gc1N1yfBiMp/view?usp=drivesdk</t>
  </si>
  <si>
    <t>Document successfully created; Document successfully merged; PDF created; Emails Sent: [To: herisethyawan@gmail.com]; Run via form trigger as ecertificate75@gmail.com; Timestamp: Sep 16 2024 9:58 PM</t>
  </si>
  <si>
    <t>UMMI IRAWATI A.Md.Keb</t>
  </si>
  <si>
    <t>ummi.irawati74@gmail.com</t>
  </si>
  <si>
    <t>9617</t>
  </si>
  <si>
    <t>1iB_eqQ4605PGFgtj85vyqrxo2t4lOxXx</t>
  </si>
  <si>
    <t>https://drive.google.com/file/d/1iB_eqQ4605PGFgtj85vyqrxo2t4lOxXx/view?usp=drivesdk</t>
  </si>
  <si>
    <t>Document successfully created; Document successfully merged; PDF created; Emails Sent: [To: ummi.irawati74@gmail.com]; Run via form trigger as ecertificate75@gmail.com; Timestamp: Sep 16 2024 9:59 PM</t>
  </si>
  <si>
    <t>ROMA ULI SITUMORANG</t>
  </si>
  <si>
    <t>romauli434@gmail.com</t>
  </si>
  <si>
    <t>9618</t>
  </si>
  <si>
    <t>1HPsJugCnC9egQ293Hg6gYZMGnTgl4ku7</t>
  </si>
  <si>
    <t>https://drive.google.com/file/d/1HPsJugCnC9egQ293Hg6gYZMGnTgl4ku7/view?usp=drivesdk</t>
  </si>
  <si>
    <t>Document successfully created; Document successfully merged; PDF created; Emails Sent: [To: romauli434@gmail.com]; Run via form trigger as ecertificate75@gmail.com; Timestamp: Sep 16 2024 9:59 PM</t>
  </si>
  <si>
    <t>MURNI MARMIATI</t>
  </si>
  <si>
    <t>mmarmiati@gmail.com</t>
  </si>
  <si>
    <t>9619</t>
  </si>
  <si>
    <t>Starting at Fri Aug 30 2024 00:14:27 GMT-0400 (EDT)</t>
  </si>
  <si>
    <t>1wiVZJfPaANmH_vN4ZSFMXfLepkWmmO74</t>
  </si>
  <si>
    <t>https://drive.google.com/file/d/1wiVZJfPaANmH_vN4ZSFMXfLepkWmmO74/view?usp=drivesdk</t>
  </si>
  <si>
    <t>Document successfully created; Document successfully merged; PDF created; Emails Sent: [To: mmarmiati@gmail.com]; Run via form trigger as ecertificate75@gmail.com; Timestamp: Sep 16 2024 9:59 PM</t>
  </si>
  <si>
    <t>KHANISYAH ISTIQOMAH, A.Md.Kep</t>
  </si>
  <si>
    <t>khanisyah.108@gmail.com</t>
  </si>
  <si>
    <t>9620</t>
  </si>
  <si>
    <t>Starting at Fri Aug 30 2024 00:14:34 GMT-0400 (EDT)</t>
  </si>
  <si>
    <t>1aPFx3rI2sZUgMft2sSe62mNSg9uoDWNJ</t>
  </si>
  <si>
    <t>https://drive.google.com/file/d/1aPFx3rI2sZUgMft2sSe62mNSg9uoDWNJ/view?usp=drivesdk</t>
  </si>
  <si>
    <t>Document successfully created; Document successfully merged; PDF created; Emails Sent: [To: khanisyah.108@gmail.com]; Run via form trigger as ecertificate75@gmail.com; Timestamp: Sep 16 2024 9:59 PM</t>
  </si>
  <si>
    <t>9621</t>
  </si>
  <si>
    <t>Starting at Fri Aug 30 2024 00:15:33 GMT-0400 (EDT)</t>
  </si>
  <si>
    <t>1zrk7Wzwbgd8Sdsl8RApTGoyCdm7a5pQa</t>
  </si>
  <si>
    <t>https://drive.google.com/file/d/1zrk7Wzwbgd8Sdsl8RApTGoyCdm7a5pQa/view?usp=drivesdk</t>
  </si>
  <si>
    <t>Document successfully created; Document successfully merged; PDF created; Emails Sent: [To: nurhayati.sri1973@gmail.com]; Run via form trigger as ecertificate75@gmail.com; Timestamp: Sep 16 2024 10:00 PM</t>
  </si>
  <si>
    <t>9622</t>
  </si>
  <si>
    <t>1Zh7Exq_3Wbala_sQ24RXUkyG_cvyqeXL</t>
  </si>
  <si>
    <t>https://drive.google.com/file/d/1Zh7Exq_3Wbala_sQ24RXUkyG_cvyqeXL/view?usp=drivesdk</t>
  </si>
  <si>
    <t>Document successfully created; Document successfully merged; PDF created; Emails Sent: [To: sucijamiah69@gmail.com]; Run via form trigger as ecertificate75@gmail.com; Timestamp: Sep 16 2024 10:00 PM</t>
  </si>
  <si>
    <t>SIGIT WIDYANTORO</t>
  </si>
  <si>
    <t>sigit.widyantoro1984@gmail.com</t>
  </si>
  <si>
    <t>9623</t>
  </si>
  <si>
    <t>1FxvNm0MpQyPo0_-pZUoC8D6fznf56Y1o</t>
  </si>
  <si>
    <t>https://drive.google.com/file/d/1FxvNm0MpQyPo0_-pZUoC8D6fznf56Y1o/view?usp=drivesdk</t>
  </si>
  <si>
    <t>Document successfully created; Document successfully merged; PDF created; Emails Sent: [To: sigit.widyantoro1984@gmail.com]; Run via form trigger as ecertificate75@gmail.com; Timestamp: Sep 16 2024 10:00 PM</t>
  </si>
  <si>
    <t>HUDMAN</t>
  </si>
  <si>
    <t>hudman.polair@mail.com</t>
  </si>
  <si>
    <t>9624</t>
  </si>
  <si>
    <t>1eSadTG1tXugOdxbmKq1mILsMWS_iX6H0</t>
  </si>
  <si>
    <t>https://drive.google.com/file/d/1eSadTG1tXugOdxbmKq1mILsMWS_iX6H0/view?usp=drivesdk</t>
  </si>
  <si>
    <t>Document successfully created; Document successfully merged; PDF created; Emails Sent: [To: hudman.polair@mail.com]; Run via form trigger as ecertificate75@gmail.com; Timestamp: Sep 16 2024 10:00 PM</t>
  </si>
  <si>
    <t>CAMELIA DERITA</t>
  </si>
  <si>
    <t>ribelbelia240@gmail.com</t>
  </si>
  <si>
    <t>9625</t>
  </si>
  <si>
    <t>15ZmmzxOHS3eqd4kzOu21jxchJuxosXAf</t>
  </si>
  <si>
    <t>https://drive.google.com/file/d/15ZmmzxOHS3eqd4kzOu21jxchJuxosXAf/view?usp=drivesdk</t>
  </si>
  <si>
    <t>Document successfully created; Document successfully merged; PDF created; Emails Sent: [To: ribelbelia240@gmail.com]; Run via form trigger as ecertificate75@gmail.com; Timestamp: Sep 16 2024 10:00 PM</t>
  </si>
  <si>
    <t>FUAD NGAZIZ SANTOSA, S.KOM.</t>
  </si>
  <si>
    <t>ngaziz02@gmail.com</t>
  </si>
  <si>
    <t>9626</t>
  </si>
  <si>
    <t>12Qtoj20MtZwPEJY6yi_M_lL5o8gpx7Hm</t>
  </si>
  <si>
    <t>https://drive.google.com/file/d/12Qtoj20MtZwPEJY6yi_M_lL5o8gpx7Hm/view?usp=drivesdk</t>
  </si>
  <si>
    <t>Document successfully created; Document successfully merged; PDF created; Emails Sent: [To: ngaziz02@gmail.com]; Run via form trigger as ecertificate75@gmail.com; Timestamp: Sep 16 2024 10:01 PM</t>
  </si>
  <si>
    <t>Drg NOVI RATNA KUSUMAWATI</t>
  </si>
  <si>
    <t>kusumawatinoviratna@gmail.com</t>
  </si>
  <si>
    <t>9627</t>
  </si>
  <si>
    <t>1QR_ma6kPOR8C0AmQXsaEXRVxJ4sHCU3W</t>
  </si>
  <si>
    <t>https://drive.google.com/file/d/1QR_ma6kPOR8C0AmQXsaEXRVxJ4sHCU3W/view?usp=drivesdk</t>
  </si>
  <si>
    <t>Document successfully created; Document successfully merged; PDF created; Emails Sent: [To: kusumawatinoviratna@gmail.com]; Run via form trigger as ecertificate75@gmail.com; Timestamp: Sep 16 2024 10:04 PM</t>
  </si>
  <si>
    <t>dr. YENI SEFFIYANTI</t>
  </si>
  <si>
    <t>fakhrii.seffy.yusuf@gmail.com</t>
  </si>
  <si>
    <t>9628</t>
  </si>
  <si>
    <t>1T02St_sqnZ13zwRoBuRSmi3Pma_89nJP</t>
  </si>
  <si>
    <t>https://drive.google.com/file/d/1T02St_sqnZ13zwRoBuRSmi3Pma_89nJP/view?usp=drivesdk</t>
  </si>
  <si>
    <t>Document successfully created; Document successfully merged; PDF created; Emails Sent: [To: fakhrii.seffy.yusuf@gmail.com]; Run via form trigger as ecertificate75@gmail.com; Timestamp: Sep 16 2024 10:05 PM</t>
  </si>
  <si>
    <t>RETNO ARIANTI.A.Md.Far</t>
  </si>
  <si>
    <t>retnoarianti19@gmail.com</t>
  </si>
  <si>
    <t>9629</t>
  </si>
  <si>
    <t>1mdoTNiYZ3l5FGGLiLJMF4UOJZxihUosO</t>
  </si>
  <si>
    <t>https://drive.google.com/file/d/1mdoTNiYZ3l5FGGLiLJMF4UOJZxihUosO/view?usp=drivesdk</t>
  </si>
  <si>
    <t>Document successfully created; Document successfully merged; PDF created; Emails Sent: [To: retnoarianti19@gmail.com]; Run via form trigger as ecertificate75@gmail.com; Timestamp: Sep 16 2024 10:05 PM</t>
  </si>
  <si>
    <t xml:space="preserve">OMA JUANDA </t>
  </si>
  <si>
    <t>omajuanda613@gmail.com</t>
  </si>
  <si>
    <t>9630</t>
  </si>
  <si>
    <t>1kHzD53h7u8y0AEEnlOa3pBM_yJQEBpuD</t>
  </si>
  <si>
    <t>https://drive.google.com/file/d/1kHzD53h7u8y0AEEnlOa3pBM_yJQEBpuD/view?usp=drivesdk</t>
  </si>
  <si>
    <t>Document successfully created; Document successfully merged; PDF created; Emails Sent: [To: omajuanda613@gmail.com]; Run via form trigger as ecertificate75@gmail.com; Timestamp: Sep 16 2024 10:05 PM</t>
  </si>
  <si>
    <t>EMYDIATI TRIWANINGRUM NEGARAWATI, AMD</t>
  </si>
  <si>
    <t>emydiatiningrum42451@gmail.com</t>
  </si>
  <si>
    <t>9631</t>
  </si>
  <si>
    <t>1AFvtzXmGK7AazbMG6Y80VGHPqirnGX0E</t>
  </si>
  <si>
    <t>https://drive.google.com/file/d/1AFvtzXmGK7AazbMG6Y80VGHPqirnGX0E/view?usp=drivesdk</t>
  </si>
  <si>
    <t>Document successfully created; Document successfully merged; PDF created; Emails Sent: [To: emydiatiningrum42451@gmail.com]; Run via form trigger as ecertificate75@gmail.com; Timestamp: Sep 16 2024 10:06 PM</t>
  </si>
  <si>
    <t>SARMAN</t>
  </si>
  <si>
    <t>sarmanmjs1967@gmail.com</t>
  </si>
  <si>
    <t>9632</t>
  </si>
  <si>
    <t>1HBA6AHxaJc7us7xXdQ_NsXVpoYIe4B3n</t>
  </si>
  <si>
    <t>https://drive.google.com/file/d/1HBA6AHxaJc7us7xXdQ_NsXVpoYIe4B3n/view?usp=drivesdk</t>
  </si>
  <si>
    <t>Document successfully created; Document successfully merged; PDF created; Emails Sent: [To: sarmanmjs1967@gmail.com]; Run via form trigger as ecertificate75@gmail.com; Timestamp: Sep 16 2024 10:06 PM</t>
  </si>
  <si>
    <t>TUTI WARDANI</t>
  </si>
  <si>
    <t>tutiwardani179@gmail.com</t>
  </si>
  <si>
    <t>9633</t>
  </si>
  <si>
    <t>Starting at Fri Aug 30 2024 00:15:43 GMT-0400 (EDT)</t>
  </si>
  <si>
    <t>1GJ28HLCaIF92V3NtQrzZtwebvVcX-TI3</t>
  </si>
  <si>
    <t>https://drive.google.com/file/d/1GJ28HLCaIF92V3NtQrzZtwebvVcX-TI3/view?usp=drivesdk</t>
  </si>
  <si>
    <t>Document successfully created; Document successfully merged; PDF created; Emails Sent: [To: tutiwardani179@gmail.com]; Run via form trigger as ecertificate75@gmail.com; Timestamp: Sep 16 2024 10:06 PM</t>
  </si>
  <si>
    <t>WIWIN PURBIANTO SKep.Ns</t>
  </si>
  <si>
    <t>wiwinpurbianto22@gmail.com</t>
  </si>
  <si>
    <t>9634</t>
  </si>
  <si>
    <t>1FGwfHO2x-EtvxOwb5fL1gk_jR4nPelY7</t>
  </si>
  <si>
    <t>https://drive.google.com/file/d/1FGwfHO2x-EtvxOwb5fL1gk_jR4nPelY7/view?usp=drivesdk</t>
  </si>
  <si>
    <t>Document successfully created; Document successfully merged; PDF created; Emails Sent: [To: wiwinpurbianto22@gmail.com]; Run via form trigger as ecertificate75@gmail.com; Timestamp: Sep 16 2024 10:06 PM</t>
  </si>
  <si>
    <t>MEY NUR ANNISA</t>
  </si>
  <si>
    <t>meynurannisaaa@gmail.com</t>
  </si>
  <si>
    <t>9635</t>
  </si>
  <si>
    <t>Starting at Fri Aug 30 2024 00:15:54 GMT-0400 (EDT)</t>
  </si>
  <si>
    <t>1i6DUau_P79sXr8aSIUrWuKcK0KFJtikv</t>
  </si>
  <si>
    <t>https://drive.google.com/file/d/1i6DUau_P79sXr8aSIUrWuKcK0KFJtikv/view?usp=drivesdk</t>
  </si>
  <si>
    <t>Document successfully created; Document successfully merged; PDF created; Emails Sent: [To: meynurannisaaa@gmail.com]; Run via form trigger as ecertificate75@gmail.com; Timestamp: Sep 16 2024 10:06 PM</t>
  </si>
  <si>
    <t>DALAN MULI TARIGAN</t>
  </si>
  <si>
    <t>dalantarigan6@gmail.com</t>
  </si>
  <si>
    <t>9636</t>
  </si>
  <si>
    <t>Starting at Fri Aug 30 2024 00:15:58 GMT-0400 (EDT)</t>
  </si>
  <si>
    <t>1dFjVzZghHlAhoTdun2VmyCP-r45uQ8sV</t>
  </si>
  <si>
    <t>https://drive.google.com/file/d/1dFjVzZghHlAhoTdun2VmyCP-r45uQ8sV/view?usp=drivesdk</t>
  </si>
  <si>
    <t>Document successfully created; Document successfully merged; PDF created; Emails Sent: [To: dalantarigan6@gmail.com]; Run via form trigger as ecertificate75@gmail.com; Timestamp: Sep 16 2024 10:07 PM</t>
  </si>
  <si>
    <t xml:space="preserve">WIYANTO </t>
  </si>
  <si>
    <t>yantowiyanto2@gmail.com</t>
  </si>
  <si>
    <t>9637</t>
  </si>
  <si>
    <t>1RJeSF0QNcVPwSgt_Zq64kKnjKzPbzcoi</t>
  </si>
  <si>
    <t>https://drive.google.com/file/d/1RJeSF0QNcVPwSgt_Zq64kKnjKzPbzcoi/view?usp=drivesdk</t>
  </si>
  <si>
    <t>Document successfully created; Document successfully merged; PDF created; Emails Sent: [To: yantowiyanto2@gmail.com]; Run via form trigger as ecertificate75@gmail.com; Timestamp: Sep 16 2024 10:07 PM</t>
  </si>
  <si>
    <t>LYA NOVYA</t>
  </si>
  <si>
    <t>lyanovyasm@gmail.com</t>
  </si>
  <si>
    <t>9638</t>
  </si>
  <si>
    <t>Starting at Fri Aug 30 2024 00:16:19 GMT-0400 (EDT)</t>
  </si>
  <si>
    <t>1mw7rdkF0jfDuoze3OYVB5j5UJ3DW06_4</t>
  </si>
  <si>
    <t>https://drive.google.com/file/d/1mw7rdkF0jfDuoze3OYVB5j5UJ3DW06_4/view?usp=drivesdk</t>
  </si>
  <si>
    <t>Document successfully created; Document successfully merged; PDF created; !!Error Sending Emails: Service invoked too many times for one day: email.; Run via form trigger as ecertificate75@gmail.com; Timestamp: Sep 16 2024 10:07 PM</t>
  </si>
  <si>
    <t>ANITA KUMALASARI</t>
  </si>
  <si>
    <t>anitakumalasari18@gmail.com</t>
  </si>
  <si>
    <t>9639</t>
  </si>
  <si>
    <t>Starting at Fri Aug 30 2024 00:16:30 GMT-0400 (EDT)</t>
  </si>
  <si>
    <t>10BVsBJy8NtIjdoZMf2339OcOfpeeVf9T</t>
  </si>
  <si>
    <t>https://drive.google.com/file/d/10BVsBJy8NtIjdoZMf2339OcOfpeeVf9T/view?usp=drivesdk</t>
  </si>
  <si>
    <t>BINTANG ARFIS TANI, Amd. Kep</t>
  </si>
  <si>
    <t>poenyabintangkoe@gmail.com</t>
  </si>
  <si>
    <t>9640</t>
  </si>
  <si>
    <t>1ELQrWc8GWoZt2fDc-efkQcwmIZIXgLY0</t>
  </si>
  <si>
    <t>https://drive.google.com/file/d/1ELQrWc8GWoZt2fDc-efkQcwmIZIXgLY0/view?usp=drivesdk</t>
  </si>
  <si>
    <t>Document successfully created; Document successfully merged; PDF created; !!Error Sending Emails: Service invoked too many times for one day: email.; Run via form trigger as ecertificate75@gmail.com; Timestamp: Sep 16 2024 10:08 PM</t>
  </si>
  <si>
    <t>Jeanne Suryani Waha, S.Kep.,Ns</t>
  </si>
  <si>
    <t>jjwaha@gmail.com</t>
  </si>
  <si>
    <t>9641</t>
  </si>
  <si>
    <t>1wtzRZpFs6v08xPptfTHShz8pPI62zkvi</t>
  </si>
  <si>
    <t>https://drive.google.com/file/d/1wtzRZpFs6v08xPptfTHShz8pPI62zkvi/view?usp=drivesdk</t>
  </si>
  <si>
    <t>drg HADI WIJOYO M.Kes.</t>
  </si>
  <si>
    <t>wijoyohadi82@gmail.com</t>
  </si>
  <si>
    <t>9642</t>
  </si>
  <si>
    <t>1KApX4h2X9JsTFXcNn558BC6KO9Y3u86h</t>
  </si>
  <si>
    <t>https://drive.google.com/file/d/1KApX4h2X9JsTFXcNn558BC6KO9Y3u86h/view?usp=drivesdk</t>
  </si>
  <si>
    <t>NADIA SEPTY DYANI</t>
  </si>
  <si>
    <t>nadyasubagya@gmail.com</t>
  </si>
  <si>
    <t>9643</t>
  </si>
  <si>
    <t>Starting at Fri Aug 30 2024 00:16:41 GMT-0400 (EDT)</t>
  </si>
  <si>
    <t>1Gq3XIe_mPw4PDSW5xLf7FH0SPPV-rZVQ</t>
  </si>
  <si>
    <t>https://drive.google.com/file/d/1Gq3XIe_mPw4PDSW5xLf7FH0SPPV-rZVQ/view?usp=drivesdk</t>
  </si>
  <si>
    <t>9644</t>
  </si>
  <si>
    <t>18-OLquMwpGVgVc0dgtariYzD2yxLl_r_</t>
  </si>
  <si>
    <t>https://drive.google.com/file/d/18-OLquMwpGVgVc0dgtariYzD2yxLl_r_/view?usp=drivesdk</t>
  </si>
  <si>
    <t>Document successfully created; Document successfully merged; PDF created; !!Error Sending Emails: Service invoked too many times for one day: email.; Run via form trigger as ecertificate75@gmail.com; Timestamp: Sep 16 2024 10:09 PM</t>
  </si>
  <si>
    <t>DARMANSAH</t>
  </si>
  <si>
    <t>syahd46@gmail.com</t>
  </si>
  <si>
    <t>9645</t>
  </si>
  <si>
    <t>Starting at Fri Aug 30 2024 00:16:58 GMT-0400 (EDT)</t>
  </si>
  <si>
    <t>1RuxCBj88yKGEsBxBr29kznHMZoHU1iil</t>
  </si>
  <si>
    <t>https://drive.google.com/file/d/1RuxCBj88yKGEsBxBr29kznHMZoHU1iil/view?usp=drivesdk</t>
  </si>
  <si>
    <t>NUR ANISAH, S. Kep. Ns</t>
  </si>
  <si>
    <t>nannisa174@gmail.com</t>
  </si>
  <si>
    <t>9646</t>
  </si>
  <si>
    <t>Starting at Fri Aug 30 2024 00:17:04 GMT-0400 (EDT)</t>
  </si>
  <si>
    <t>1KMABFr59IqyPDCadY5bwB2cFs49YPyQx</t>
  </si>
  <si>
    <t>https://drive.google.com/file/d/1KMABFr59IqyPDCadY5bwB2cFs49YPyQx/view?usp=drivesdk</t>
  </si>
  <si>
    <t xml:space="preserve">DRG HABIBAH </t>
  </si>
  <si>
    <t>drghabibah@gmail.com</t>
  </si>
  <si>
    <t>9647</t>
  </si>
  <si>
    <t>Starting at Fri Aug 30 2024 00:17:49 GMT-0400 (EDT)</t>
  </si>
  <si>
    <t>1sXQD4oc1KpqVpwyD_kbZRT_bh_1rl9BT</t>
  </si>
  <si>
    <t>https://drive.google.com/file/d/1sXQD4oc1KpqVpwyD_kbZRT_bh_1rl9BT/view?usp=drivesdk</t>
  </si>
  <si>
    <t>KHAIRIL ANWAR, S.T</t>
  </si>
  <si>
    <t>bidtikalteng@gmail.com</t>
  </si>
  <si>
    <t>9648</t>
  </si>
  <si>
    <t>1gcwgq608wkwSy3RvIHTGfwhauCRTeheg</t>
  </si>
  <si>
    <t>https://drive.google.com/file/d/1gcwgq608wkwSy3RvIHTGfwhauCRTeheg/view?usp=drivesdk</t>
  </si>
  <si>
    <t>Drs. LUTHER TANDIARA</t>
  </si>
  <si>
    <t>luthertandiara30@gmail.com</t>
  </si>
  <si>
    <t>9649</t>
  </si>
  <si>
    <t>1RKM3-ptOPglQWa8KcqaVJvVBqTIJkd-D</t>
  </si>
  <si>
    <t>https://drive.google.com/file/d/1RKM3-ptOPglQWa8KcqaVJvVBqTIJkd-D/view?usp=drivesdk</t>
  </si>
  <si>
    <t>Document successfully created; Document successfully merged; PDF created; !!Error Sending Emails: Service invoked too many times for one day: email.; Run via form trigger as ecertificate75@gmail.com; Timestamp: Sep 16 2024 10:25 PM</t>
  </si>
  <si>
    <t>NURUL YULIDA RAHMATIKA, STr. Kes</t>
  </si>
  <si>
    <t>nurulyulidarahmatika@gmail.com</t>
  </si>
  <si>
    <t>9650</t>
  </si>
  <si>
    <t>1Hh9IbcSj1bOcE0UQ1UUt3AvHPZoGxbUb</t>
  </si>
  <si>
    <t>https://drive.google.com/file/d/1Hh9IbcSj1bOcE0UQ1UUt3AvHPZoGxbUb/view?usp=drivesdk</t>
  </si>
  <si>
    <t>SISWATI, S. KEP</t>
  </si>
  <si>
    <t>siswati3041@gmail.com</t>
  </si>
  <si>
    <t>9651</t>
  </si>
  <si>
    <t>1n-HFGFbkOFQyZmhK_nA6zVLxyxfVslQR</t>
  </si>
  <si>
    <t>https://drive.google.com/file/d/1n-HFGFbkOFQyZmhK_nA6zVLxyxfVslQR/view?usp=drivesdk</t>
  </si>
  <si>
    <t>Document successfully created; Document successfully merged; PDF created; !!Error Sending Emails: Service invoked too many times for one day: email.; Run via form trigger as ecertificate75@gmail.com; Timestamp: Sep 16 2024 10:26 PM</t>
  </si>
  <si>
    <t>MISBACHUL MUNIR, S.KOM</t>
  </si>
  <si>
    <t>el.misbach@gmail.com</t>
  </si>
  <si>
    <t>9652</t>
  </si>
  <si>
    <t>1wqP8FarDZ-lhaSWeDH3CICqwBe5x9859</t>
  </si>
  <si>
    <t>https://drive.google.com/file/d/1wqP8FarDZ-lhaSWeDH3CICqwBe5x9859/view?usp=drivesdk</t>
  </si>
  <si>
    <t>NANIK SULISTIYOWATI,S.Kep.Ns</t>
  </si>
  <si>
    <t>naniksulistyowati26@gmail.com</t>
  </si>
  <si>
    <t>9653</t>
  </si>
  <si>
    <t>1qeNA8mPBz8GrGFfvwrzIFg1r6g3OLgGV</t>
  </si>
  <si>
    <t>https://drive.google.com/file/d/1qeNA8mPBz8GrGFfvwrzIFg1r6g3OLgGV/view?usp=drivesdk</t>
  </si>
  <si>
    <t xml:space="preserve">DESY PUJIATININGTYAS </t>
  </si>
  <si>
    <t>tyasdesi3@gmail.com</t>
  </si>
  <si>
    <t>9654</t>
  </si>
  <si>
    <t>14PER_BA_lGvdwnqcZjLTUis_UbSV-tkG</t>
  </si>
  <si>
    <t>https://drive.google.com/file/d/14PER_BA_lGvdwnqcZjLTUis_UbSV-tkG/view?usp=drivesdk</t>
  </si>
  <si>
    <t>SRI SUNDARI, S. Farm</t>
  </si>
  <si>
    <t>srie.sundari81@gmail.com</t>
  </si>
  <si>
    <t>9655</t>
  </si>
  <si>
    <t>18dcPdH_j43diuDNwsIKiLpTeoXc_aJu9</t>
  </si>
  <si>
    <t>https://drive.google.com/file/d/18dcPdH_j43diuDNwsIKiLpTeoXc_aJu9/view?usp=drivesdk</t>
  </si>
  <si>
    <t>Document successfully created; Document successfully merged; PDF created; !!Error Sending Emails: Service invoked too many times for one day: email.; Run via form trigger as ecertificate75@gmail.com; Timestamp: Sep 16 2024 10:27 PM</t>
  </si>
  <si>
    <t>SITI AISYAH</t>
  </si>
  <si>
    <t>sitiaisyah21041967@gmail.com</t>
  </si>
  <si>
    <t>9656</t>
  </si>
  <si>
    <t>1hzvrGeYCBxcu0C_bUFUcVIR6ylgjVDP4</t>
  </si>
  <si>
    <t>https://drive.google.com/file/d/1hzvrGeYCBxcu0C_bUFUcVIR6ylgjVDP4/view?usp=drivesdk</t>
  </si>
  <si>
    <t>SITI SYADIAH</t>
  </si>
  <si>
    <t>sitisyadiah080@gmail.com</t>
  </si>
  <si>
    <t>9657</t>
  </si>
  <si>
    <t>1akthBqN5TgktVrVkdsUi-1ChczNtooev</t>
  </si>
  <si>
    <t>https://drive.google.com/file/d/1akthBqN5TgktVrVkdsUi-1ChczNtooev/view?usp=drivesdk</t>
  </si>
  <si>
    <t>SITI NURUL FAUZIAH, A. Md. Kep</t>
  </si>
  <si>
    <t>snurul18@gmail.com</t>
  </si>
  <si>
    <t>9658</t>
  </si>
  <si>
    <t>1vTG0o95v_228WgGEjzGqMKJiHImpyEm8</t>
  </si>
  <si>
    <t>https://drive.google.com/file/d/1vTG0o95v_228WgGEjzGqMKJiHImpyEm8/view?usp=drivesdk</t>
  </si>
  <si>
    <t>NYENYEP MUDIARTI, S.E., M.M.</t>
  </si>
  <si>
    <t>nyenyepmudiarti78@gmail.com</t>
  </si>
  <si>
    <t>9659</t>
  </si>
  <si>
    <t>Starting at Fri Aug 30 2024 00:18:34 GMT-0400 (EDT)</t>
  </si>
  <si>
    <t>10bPUNeVGjxMfzkBlgx-DfdQxAo2PrYh2</t>
  </si>
  <si>
    <t>https://drive.google.com/file/d/10bPUNeVGjxMfzkBlgx-DfdQxAo2PrYh2/view?usp=drivesdk</t>
  </si>
  <si>
    <t xml:space="preserve">EVI JULIANINGSIH </t>
  </si>
  <si>
    <t>evoynugraha24@gmail.com</t>
  </si>
  <si>
    <t>9660</t>
  </si>
  <si>
    <t>1SdEm1zrd9vdO0sUAFhLkaPAopGeFXyFg</t>
  </si>
  <si>
    <t>https://drive.google.com/file/d/1SdEm1zrd9vdO0sUAFhLkaPAopGeFXyFg/view?usp=drivesdk</t>
  </si>
  <si>
    <t>Document successfully created; Document successfully merged; PDF created; !!Error Sending Emails: Service invoked too many times for one day: email.; Run via form trigger as ecertificate75@gmail.com; Timestamp: Sep 16 2024 10:28 PM</t>
  </si>
  <si>
    <t xml:space="preserve">AMADON MORFIANO </t>
  </si>
  <si>
    <t>amadonmorfiano@gmail.com</t>
  </si>
  <si>
    <t>9661</t>
  </si>
  <si>
    <t>11Yh5j7QrRy03cHQ-hOdrsqSR7u9JreeZ</t>
  </si>
  <si>
    <t>https://drive.google.com/file/d/11Yh5j7QrRy03cHQ-hOdrsqSR7u9JreeZ/view?usp=drivesdk</t>
  </si>
  <si>
    <t>AIDA ROMAINA, A.Md. Keb., S.K.M</t>
  </si>
  <si>
    <t>romaina614@gmail.com</t>
  </si>
  <si>
    <t>9662</t>
  </si>
  <si>
    <t>1R9llylEdXxuNi-vykyF4IeVRJ8a3JRbz</t>
  </si>
  <si>
    <t>https://drive.google.com/file/d/1R9llylEdXxuNi-vykyF4IeVRJ8a3JRbz/view?usp=drivesdk</t>
  </si>
  <si>
    <t>NOORMAN RUDIMAN</t>
  </si>
  <si>
    <t>norman.resdpk@gmail.com</t>
  </si>
  <si>
    <t>9663</t>
  </si>
  <si>
    <t>1aCxStzt7EDirWSBuiaCVpQ5YRNBtqavm</t>
  </si>
  <si>
    <t>https://drive.google.com/file/d/1aCxStzt7EDirWSBuiaCVpQ5YRNBtqavm/view?usp=drivesdk</t>
  </si>
  <si>
    <t xml:space="preserve">ANDI RINI ANGRIANI </t>
  </si>
  <si>
    <t>andirinianggriani86@gmail.com</t>
  </si>
  <si>
    <t>9664</t>
  </si>
  <si>
    <t>1O2Fbirulr095rU5HyjsVOxjsMcWuA-d0</t>
  </si>
  <si>
    <t>https://drive.google.com/file/d/1O2Fbirulr095rU5HyjsVOxjsMcWuA-d0/view?usp=drivesdk</t>
  </si>
  <si>
    <t>Document successfully created; Document successfully merged; PDF created; !!Error Sending Emails: Service invoked too many times for one day: email.; Run via form trigger as ecertificate75@gmail.com; Timestamp: Sep 16 2024 10:29 PM</t>
  </si>
  <si>
    <t>LULU LESTARI AMD</t>
  </si>
  <si>
    <t>luzhenx@gmail.com</t>
  </si>
  <si>
    <t>9665</t>
  </si>
  <si>
    <t>1Fh80GNriE5npiWpUudI9Yr6SM_ENah18</t>
  </si>
  <si>
    <t>https://drive.google.com/file/d/1Fh80GNriE5npiWpUudI9Yr6SM_ENah18/view?usp=drivesdk</t>
  </si>
  <si>
    <t>ROHANI,SKM</t>
  </si>
  <si>
    <t>rohaniiskandar17@gmail.com</t>
  </si>
  <si>
    <t>9666</t>
  </si>
  <si>
    <t>Starting at Fri Aug 30 2024 00:18:39 GMT-0400 (EDT)</t>
  </si>
  <si>
    <t>1grtz2q67jdnRe5YaImSn-bdfpwflCLLa</t>
  </si>
  <si>
    <t>https://drive.google.com/file/d/1grtz2q67jdnRe5YaImSn-bdfpwflCLLa/view?usp=drivesdk</t>
  </si>
  <si>
    <t>DEWI MARIYA ULFAH SE MM</t>
  </si>
  <si>
    <t>dewimariyaulfah@gmail.com</t>
  </si>
  <si>
    <t>9667</t>
  </si>
  <si>
    <t>Starting at Fri Aug 30 2024 00:18:52 GMT-0400 (EDT)</t>
  </si>
  <si>
    <t>1pPqconJFTNJ5BGIoe_0bh2555nq4Hj-b</t>
  </si>
  <si>
    <t>https://drive.google.com/file/d/1pPqconJFTNJ5BGIoe_0bh2555nq4Hj-b/view?usp=drivesdk</t>
  </si>
  <si>
    <t>NURDIN ABDULLAH</t>
  </si>
  <si>
    <t>bonykd19@gmail.com</t>
  </si>
  <si>
    <t>9668</t>
  </si>
  <si>
    <t>13d0Ee7RntrXc3ysY22_R7KfGNhANbaxA</t>
  </si>
  <si>
    <t>https://drive.google.com/file/d/13d0Ee7RntrXc3ysY22_R7KfGNhANbaxA/view?usp=drivesdk</t>
  </si>
  <si>
    <t>Document successfully created; Document successfully merged; PDF created; !!Error Sending Emails: Service invoked too many times for one day: email.; Run via form trigger as ecertificate75@gmail.com; Timestamp: Sep 16 2024 10:30 PM</t>
  </si>
  <si>
    <t>RITA VICOLAWATI</t>
  </si>
  <si>
    <t>alfandrak@gmail.com</t>
  </si>
  <si>
    <t>9669</t>
  </si>
  <si>
    <t>Starting at Fri Aug 30 2024 00:19:05 GMT-0400 (EDT)</t>
  </si>
  <si>
    <t>1k2U_wHqDGYDKS06IKZMa_FTX06Ouq2Wm</t>
  </si>
  <si>
    <t>https://drive.google.com/file/d/1k2U_wHqDGYDKS06IKZMa_FTX06Ouq2Wm/view?usp=drivesdk</t>
  </si>
  <si>
    <t>L RAHMAD KURNIADI</t>
  </si>
  <si>
    <t>lalu.edhie.88@gmail.com</t>
  </si>
  <si>
    <t>9670</t>
  </si>
  <si>
    <t>1HTyHDkQvU3bEifi_Z8tT9hK-XhNTbt6y</t>
  </si>
  <si>
    <t>https://drive.google.com/file/d/1HTyHDkQvU3bEifi_Z8tT9hK-XhNTbt6y/view?usp=drivesdk</t>
  </si>
  <si>
    <t>Document successfully created; Document successfully merged; PDF created; !!Error Sending Emails: Service invoked too many times for one day: email.; Run via form trigger as ecertificate75@gmail.com; Timestamp: Sep 16 2024 10:41 PM</t>
  </si>
  <si>
    <t>Cytra Aneka Sari, S.T. Gz</t>
  </si>
  <si>
    <t>anekacytra34929@gmail.com</t>
  </si>
  <si>
    <t>9671</t>
  </si>
  <si>
    <t>1-wEpulQEHuRv7tkQsm6w6I1BgEF1rQ_a</t>
  </si>
  <si>
    <t>https://drive.google.com/file/d/1-wEpulQEHuRv7tkQsm6w6I1BgEF1rQ_a/view?usp=drivesdk</t>
  </si>
  <si>
    <t>Document successfully created; Document successfully merged; PDF created; !!Error Sending Emails: Service invoked too many times for one day: email.; Run via form trigger as ecertificate75@gmail.com; Timestamp: Sep 16 2024 10:42 PM</t>
  </si>
  <si>
    <t>MARTHINUS.SALMON SH</t>
  </si>
  <si>
    <t>marthinussalmontinus@gmail.com</t>
  </si>
  <si>
    <t>9672</t>
  </si>
  <si>
    <t>Starting at Fri Aug 30 2024 00:19:21 GMT-0400 (EDT)</t>
  </si>
  <si>
    <t>1ijg-Ba2VU_MR14z8vYaqo0WM0po_5Lg9</t>
  </si>
  <si>
    <t>https://drive.google.com/file/d/1ijg-Ba2VU_MR14z8vYaqo0WM0po_5Lg9/view?usp=drivesdk</t>
  </si>
  <si>
    <t>TIODOR SILABAN</t>
  </si>
  <si>
    <t>juspensilaban08@gmail.com</t>
  </si>
  <si>
    <t>9673</t>
  </si>
  <si>
    <t>Starting at Fri Aug 30 2024 00:19:40 GMT-0400 (EDT)</t>
  </si>
  <si>
    <t>1seCHFA3syc-yPUbKvEtM1w7zN-oFaVIE</t>
  </si>
  <si>
    <t>https://drive.google.com/file/d/1seCHFA3syc-yPUbKvEtM1w7zN-oFaVIE/view?usp=drivesdk</t>
  </si>
  <si>
    <t>IMELDA PRATIWI</t>
  </si>
  <si>
    <t>imeldapratiwi1986@gmail.com</t>
  </si>
  <si>
    <t>9674</t>
  </si>
  <si>
    <t>Starting at Fri Aug 30 2024 00:19:45 GMT-0400 (EDT)</t>
  </si>
  <si>
    <t>1e65xOZy_WFS5C5LOs_-sjdy8MVvrh1dr</t>
  </si>
  <si>
    <t>https://drive.google.com/file/d/1e65xOZy_WFS5C5LOs_-sjdy8MVvrh1dr/view?usp=drivesdk</t>
  </si>
  <si>
    <t>KURNIA DEWI ERNAWATI,SPd</t>
  </si>
  <si>
    <t>kurniadewiernawati@gmail.com</t>
  </si>
  <si>
    <t>9675</t>
  </si>
  <si>
    <t>Starting at Fri Aug 30 2024 00:19:50 GMT-0400 (EDT)</t>
  </si>
  <si>
    <t>1iF6-J6Ww3jGkxSc2rn6nSpDWJXH5-0Aj</t>
  </si>
  <si>
    <t>https://drive.google.com/file/d/1iF6-J6Ww3jGkxSc2rn6nSpDWJXH5-0Aj/view?usp=drivesdk</t>
  </si>
  <si>
    <t xml:space="preserve">LASIDI </t>
  </si>
  <si>
    <t>lasidi79@gmail.com</t>
  </si>
  <si>
    <t>9676</t>
  </si>
  <si>
    <t>Starting at Fri Aug 30 2024 00:20:18 GMT-0400 (EDT)</t>
  </si>
  <si>
    <t>1X8RKjH2y5PEMWrhCs9JoXWUcdjv9tSiO</t>
  </si>
  <si>
    <t>https://drive.google.com/file/d/1X8RKjH2y5PEMWrhCs9JoXWUcdjv9tSiO/view?usp=drivesdk</t>
  </si>
  <si>
    <t>Document successfully created; Document successfully merged; PDF created; !!Error Sending Emails: Service invoked too many times for one day: email.; Run via form trigger as ecertificate75@gmail.com; Timestamp: Sep 16 2024 10:43 PM</t>
  </si>
  <si>
    <t>watirahmawati0810@gmail.com</t>
  </si>
  <si>
    <t>9677</t>
  </si>
  <si>
    <t>Starting at Fri Aug 30 2024 00:20:32 GMT-0400 (EDT)</t>
  </si>
  <si>
    <t>1ZtrZunyE6nX3ez-I7QySbxeazGWQVN2D</t>
  </si>
  <si>
    <t>https://drive.google.com/file/d/1ZtrZunyE6nX3ez-I7QySbxeazGWQVN2D/view?usp=drivesdk</t>
  </si>
  <si>
    <t>YUNITA SARIDEWI</t>
  </si>
  <si>
    <t>9678</t>
  </si>
  <si>
    <t>Starting at Fri Aug 30 2024 00:20:37 GMT-0400 (EDT)</t>
  </si>
  <si>
    <t>1ZwjD0LFZRph1J4KR6_WLv3g0y7icnjby</t>
  </si>
  <si>
    <t>https://drive.google.com/file/d/1ZwjD0LFZRph1J4KR6_WLv3g0y7icnjby/view?usp=drivesdk</t>
  </si>
  <si>
    <t>MEGA PERWARNI</t>
  </si>
  <si>
    <t>mega.bangun71@gmail.com</t>
  </si>
  <si>
    <t>9679</t>
  </si>
  <si>
    <t>1uu29M2Krc7srm4q0-xeD7szH9XmtxTk1</t>
  </si>
  <si>
    <t>https://drive.google.com/file/d/1uu29M2Krc7srm4q0-xeD7szH9XmtxTk1/view?usp=drivesdk</t>
  </si>
  <si>
    <t>AKHMAD SODIKIN</t>
  </si>
  <si>
    <t>akhmad.sodikin15@gmail.com</t>
  </si>
  <si>
    <t>9680</t>
  </si>
  <si>
    <t>1T9aAwZGzQ_rJhFAKg5J0FI5-xIJAcIkJ</t>
  </si>
  <si>
    <t>https://drive.google.com/file/d/1T9aAwZGzQ_rJhFAKg5J0FI5-xIJAcIkJ/view?usp=drivesdk</t>
  </si>
  <si>
    <t>HANDIKA MURTI,A. MF</t>
  </si>
  <si>
    <t>akidhan111@gmail.com</t>
  </si>
  <si>
    <t>9681</t>
  </si>
  <si>
    <t>1I9aLlD9ohs2Bk69Q0NODxPzCuyVs5m8y</t>
  </si>
  <si>
    <t>https://drive.google.com/file/d/1I9aLlD9ohs2Bk69Q0NODxPzCuyVs5m8y/view?usp=drivesdk</t>
  </si>
  <si>
    <t>Document successfully created; Document successfully merged; PDF created; !!Error Sending Emails: Service invoked too many times for one day: email.; Run via form trigger as ecertificate75@gmail.com; Timestamp: Sep 16 2024 10:44 PM</t>
  </si>
  <si>
    <t>BUANG SISWANDI</t>
  </si>
  <si>
    <t>buangsiswandi2@gmail.com</t>
  </si>
  <si>
    <t>9682</t>
  </si>
  <si>
    <t>Starting at Fri Aug 30 2024 00:20:47 GMT-0400 (EDT)</t>
  </si>
  <si>
    <t>1patcZpejSl3vuy7hg4KcEQjltZsDthh2</t>
  </si>
  <si>
    <t>https://drive.google.com/file/d/1patcZpejSl3vuy7hg4KcEQjltZsDthh2/view?usp=drivesdk</t>
  </si>
  <si>
    <t xml:space="preserve">BAMBANG SURYANTO </t>
  </si>
  <si>
    <t>bambangsuyt1@gmail.com</t>
  </si>
  <si>
    <t>9683</t>
  </si>
  <si>
    <t>1rXPxp46pP1Ss8_5EuHleamvNuzaaUhty</t>
  </si>
  <si>
    <t>https://drive.google.com/file/d/1rXPxp46pP1Ss8_5EuHleamvNuzaaUhty/view?usp=drivesdk</t>
  </si>
  <si>
    <t xml:space="preserve">EKA MISDIHANTINI Amd keb </t>
  </si>
  <si>
    <t>ekavysca1@gmail.com</t>
  </si>
  <si>
    <t>9684</t>
  </si>
  <si>
    <t>Starting at Fri Aug 30 2024 00:20:55 GMT-0400 (EDT)</t>
  </si>
  <si>
    <t>1ZGoi78lNF9FuSWngUwtWYnSf6eJeZnK7</t>
  </si>
  <si>
    <t>https://drive.google.com/file/d/1ZGoi78lNF9FuSWngUwtWYnSf6eJeZnK7/view?usp=drivesdk</t>
  </si>
  <si>
    <t>NYOMAN AYU MUSTIKA PUTRI</t>
  </si>
  <si>
    <t>mustikaputri95@gmail.com</t>
  </si>
  <si>
    <t>9685</t>
  </si>
  <si>
    <t>Starting at Fri Aug 30 2024 00:21:25 GMT-0400 (EDT)</t>
  </si>
  <si>
    <t>1yTUJjgBhmTcPvUrOHKuGphfT9iyW06Cl</t>
  </si>
  <si>
    <t>https://drive.google.com/file/d/1yTUJjgBhmTcPvUrOHKuGphfT9iyW06Cl/view?usp=drivesdk</t>
  </si>
  <si>
    <t>Document successfully created; Document successfully merged; PDF created; !!Error Sending Emails: Service invoked too many times for one day: email.; Run via form trigger as ecertificate75@gmail.com; Timestamp: Sep 16 2024 10:45 PM</t>
  </si>
  <si>
    <t>NITO PRIYO SAPUTRO</t>
  </si>
  <si>
    <t>naeto.neto@gmail.com</t>
  </si>
  <si>
    <t>9686</t>
  </si>
  <si>
    <t>1Nydvtk9Ajp0MnvmsfyywFuuzbmvosYTC</t>
  </si>
  <si>
    <t>https://drive.google.com/file/d/1Nydvtk9Ajp0MnvmsfyywFuuzbmvosYTC/view?usp=drivesdk</t>
  </si>
  <si>
    <t xml:space="preserve">RESMI PRIYANTI </t>
  </si>
  <si>
    <t>mbaresmipolres@gmail.com</t>
  </si>
  <si>
    <t>9687</t>
  </si>
  <si>
    <t>Starting at Fri Aug 30 2024 00:21:30 GMT-0400 (EDT)</t>
  </si>
  <si>
    <t>1iwCdG7ynfS8JUP4Fk_4qS2SG-APtm26Q</t>
  </si>
  <si>
    <t>https://drive.google.com/file/d/1iwCdG7ynfS8JUP4Fk_4qS2SG-APtm26Q/view?usp=drivesdk</t>
  </si>
  <si>
    <t>ISTIQOMAH NUR WAHYUNI, A.Md.Kom.</t>
  </si>
  <si>
    <t>wnistiqomah17@gmail.com</t>
  </si>
  <si>
    <t>9688</t>
  </si>
  <si>
    <t>1J_fGbnQ5SLSXrd0GFjpjmoRnsn1eVoMA</t>
  </si>
  <si>
    <t>https://drive.google.com/file/d/1J_fGbnQ5SLSXrd0GFjpjmoRnsn1eVoMA/view?usp=drivesdk</t>
  </si>
  <si>
    <t>FRANSEDA EFENDI</t>
  </si>
  <si>
    <t>fransedafendi@gmail.com</t>
  </si>
  <si>
    <t>9689</t>
  </si>
  <si>
    <t>Starting at Fri Aug 30 2024 00:21:37 GMT-0400 (EDT)</t>
  </si>
  <si>
    <t>1YXLt12HzoF58la4ldeG1UWr5_G9hJuMW</t>
  </si>
  <si>
    <t>https://drive.google.com/file/d/1YXLt12HzoF58la4ldeG1UWr5_G9hJuMW/view?usp=drivesdk</t>
  </si>
  <si>
    <t>JETRI ISMAWATI, ST</t>
  </si>
  <si>
    <t>jetri.ismawati@gmail.com</t>
  </si>
  <si>
    <t>9690</t>
  </si>
  <si>
    <t>Starting at Fri Aug 30 2024 00:23:56 GMT-0400 (EDT)</t>
  </si>
  <si>
    <t>12WegLIY_zo3ZTmO9rjmmn5fQ1i8sCREC</t>
  </si>
  <si>
    <t>https://drive.google.com/file/d/12WegLIY_zo3ZTmO9rjmmn5fQ1i8sCREC/view?usp=drivesdk</t>
  </si>
  <si>
    <t>Document successfully created; Document successfully merged; PDF created; !!Error Sending Emails: Service invoked too many times for one day: email.; Run via form trigger as ecertificate75@gmail.com; Timestamp: Sep 16 2024 10:46 PM</t>
  </si>
  <si>
    <t>MARJUDIN</t>
  </si>
  <si>
    <t>marjudin151216@gmail.com</t>
  </si>
  <si>
    <t>9691</t>
  </si>
  <si>
    <t>1Lv1ZBWeV42S7kMxRTHJ83QEkTG911cte</t>
  </si>
  <si>
    <t>https://drive.google.com/file/d/1Lv1ZBWeV42S7kMxRTHJ83QEkTG911cte/view?usp=drivesdk</t>
  </si>
  <si>
    <t>Dr. WENDA ANTHONIE. S.Psi.,MARS</t>
  </si>
  <si>
    <t>wend4nthon1e@gmail.com</t>
  </si>
  <si>
    <t>9692</t>
  </si>
  <si>
    <t>1CBDlJ0kT9pMMaYcxXk4ajK5qVDi7btJ5</t>
  </si>
  <si>
    <t>https://drive.google.com/file/d/1CBDlJ0kT9pMMaYcxXk4ajK5qVDi7btJ5/view?usp=drivesdk</t>
  </si>
  <si>
    <t>minsabharatapteng@gmail.com</t>
  </si>
  <si>
    <t>9693</t>
  </si>
  <si>
    <t>1mkqU8bXYZ8vEl6EreTDyJ_sufiER0Xvz</t>
  </si>
  <si>
    <t>https://drive.google.com/file/d/1mkqU8bXYZ8vEl6EreTDyJ_sufiER0Xvz/view?usp=drivesdk</t>
  </si>
  <si>
    <t>Document successfully created; Document successfully merged; PDF created; !!Error Sending Emails: Service invoked too many times for one day: email.; Run via form trigger as ecertificate75@gmail.com; Timestamp: Sep 16 2024 10:56 PM</t>
  </si>
  <si>
    <t>NYOMAN BUDIASIH</t>
  </si>
  <si>
    <t>nyomanbudiasihfc@gmail.com</t>
  </si>
  <si>
    <t>9694</t>
  </si>
  <si>
    <t>16JWY3rGiXgN70Kwyzwqzo_owzFmE_zjG</t>
  </si>
  <si>
    <t>https://drive.google.com/file/d/16JWY3rGiXgN70Kwyzwqzo_owzFmE_zjG/view?usp=drivesdk</t>
  </si>
  <si>
    <t xml:space="preserve">ROCHMAN KURNIANTO </t>
  </si>
  <si>
    <t>kurnianto.rochman120788@gmail.com</t>
  </si>
  <si>
    <t>9695</t>
  </si>
  <si>
    <t>1EAMiwfS39d-NnVVPIqOMII_LrP0_BEbA</t>
  </si>
  <si>
    <t>https://drive.google.com/file/d/1EAMiwfS39d-NnVVPIqOMII_LrP0_BEbA/view?usp=drivesdk</t>
  </si>
  <si>
    <t>Document successfully created; Document successfully merged; PDF created; !!Error Sending Emails: Service invoked too many times for one day: email.; Run via form trigger as ecertificate75@gmail.com; Timestamp: Sep 16 2024 10:57 PM</t>
  </si>
  <si>
    <t>TENRI SANNA. A.Md. Akun.</t>
  </si>
  <si>
    <t>bagrenkolut@gmail.com</t>
  </si>
  <si>
    <t>9696</t>
  </si>
  <si>
    <t>1NqtIxNGbRBCzlhUzjaSnYvZgSuCOva6-</t>
  </si>
  <si>
    <t>https://drive.google.com/file/d/1NqtIxNGbRBCzlhUzjaSnYvZgSuCOva6-/view?usp=drivesdk</t>
  </si>
  <si>
    <t>ALDI SETYA BUDI</t>
  </si>
  <si>
    <t>aldiss1224@gmail.com</t>
  </si>
  <si>
    <t>9697</t>
  </si>
  <si>
    <t>13khMI5_VYe4oUjF0YaRzZ2GNdiYcZqA0</t>
  </si>
  <si>
    <t>https://drive.google.com/file/d/13khMI5_VYe4oUjF0YaRzZ2GNdiYcZqA0/view?usp=drivesdk</t>
  </si>
  <si>
    <t>SUDARTO WIDODO</t>
  </si>
  <si>
    <t>sudartowidodo2@gmail.com</t>
  </si>
  <si>
    <t>9698</t>
  </si>
  <si>
    <t>1Rjc4cTMXBeoDKlimqPLeR7SGslxJui7m</t>
  </si>
  <si>
    <t>https://drive.google.com/file/d/1Rjc4cTMXBeoDKlimqPLeR7SGslxJui7m/view?usp=drivesdk</t>
  </si>
  <si>
    <t>MASHUDI, S.kep, Ns, S.H</t>
  </si>
  <si>
    <t>mashudi2061@gmail.com</t>
  </si>
  <si>
    <t>9699</t>
  </si>
  <si>
    <t>1JKs3zUMMSOkIspFZg7kHgyYarwZPbu14</t>
  </si>
  <si>
    <t>https://drive.google.com/file/d/1JKs3zUMMSOkIspFZg7kHgyYarwZPbu14/view?usp=drivesdk</t>
  </si>
  <si>
    <t>Document successfully created; Document successfully merged; PDF created; !!Error Sending Emails: Service invoked too many times for one day: email.; Run via form trigger as ecertificate75@gmail.com; Timestamp: Sep 16 2024 10:58 PM</t>
  </si>
  <si>
    <t>PASKALIS YENINOVITA SARI</t>
  </si>
  <si>
    <t>paskaliryeninovotasari@gmail.com</t>
  </si>
  <si>
    <t>9700</t>
  </si>
  <si>
    <t>13MVaji6C6by8v1Qif-TqUh88AA7MjhBD</t>
  </si>
  <si>
    <t>https://drive.google.com/file/d/13MVaji6C6by8v1Qif-TqUh88AA7MjhBD/view?usp=drivesdk</t>
  </si>
  <si>
    <t>oshee.luce@gmail.com</t>
  </si>
  <si>
    <t>9701</t>
  </si>
  <si>
    <t>1YKwJFiE0tCe1Bm0fg8_maKHB-z1HwfDu</t>
  </si>
  <si>
    <t>https://drive.google.com/file/d/1YKwJFiE0tCe1Bm0fg8_maKHB-z1HwfDu/view?usp=drivesdk</t>
  </si>
  <si>
    <t>silo.dzaqy@gmail.com</t>
  </si>
  <si>
    <t>9702</t>
  </si>
  <si>
    <t>1mCPpIzrN-_8anjjbWTjWoit-seA4jkvy</t>
  </si>
  <si>
    <t>https://drive.google.com/file/d/1mCPpIzrN-_8anjjbWTjWoit-seA4jkvy/view?usp=drivesdk</t>
  </si>
  <si>
    <t>FARID HALIMI, S.I.P, M.Sos</t>
  </si>
  <si>
    <t>canvas.86aja@gmail.com</t>
  </si>
  <si>
    <t>9703</t>
  </si>
  <si>
    <t>1izUZDdVesmBzMVTrod8wSR6l5k_19hGa</t>
  </si>
  <si>
    <t>https://drive.google.com/file/d/1izUZDdVesmBzMVTrod8wSR6l5k_19hGa/view?usp=drivesdk</t>
  </si>
  <si>
    <t>Document successfully created; Document successfully merged; PDF created; !!Error Sending Emails: Service invoked too many times for one day: email.; Run via form trigger as ecertificate75@gmail.com; Timestamp: Sep 16 2024 10:59 PM</t>
  </si>
  <si>
    <t xml:space="preserve">ATI SURYATI </t>
  </si>
  <si>
    <t>atisuryati903@gmail.com</t>
  </si>
  <si>
    <t>9704</t>
  </si>
  <si>
    <t>Starting at Fri Aug 30 2024 00:24:05 GMT-0400 (EDT)</t>
  </si>
  <si>
    <t>1b9gEvtqUBCdEY001Vl366P5lvYPHvlh9</t>
  </si>
  <si>
    <t>https://drive.google.com/file/d/1b9gEvtqUBCdEY001Vl366P5lvYPHvlh9/view?usp=drivesdk</t>
  </si>
  <si>
    <t>kitirtojiwo@gmail.com</t>
  </si>
  <si>
    <t>9705</t>
  </si>
  <si>
    <t>Starting at Fri Aug 30 2024 00:24:07 GMT-0400 (EDT)</t>
  </si>
  <si>
    <t>1zPR4YwZxFe6bFHsE0TROxw9YGVkzl5eh</t>
  </si>
  <si>
    <t>https://drive.google.com/file/d/1zPR4YwZxFe6bFHsE0TROxw9YGVkzl5eh/view?usp=drivesdk</t>
  </si>
  <si>
    <t>Document successfully created; Document successfully merged; PDF created; !!Error Sending Emails: Service invoked too many times for one day: email.; Run via form trigger as ecertificate75@gmail.com; Timestamp: Sep 16 2024 11:00 PM</t>
  </si>
  <si>
    <t>SRI ANDAYANI</t>
  </si>
  <si>
    <t>andayani.cute78@gmail.com</t>
  </si>
  <si>
    <t>9706</t>
  </si>
  <si>
    <t>Starting at Fri Aug 30 2024 00:24:09 GMT-0400 (EDT)</t>
  </si>
  <si>
    <t>1QB1sB0yuZHf-5r5MkaRuGDglzWDwL1Lp</t>
  </si>
  <si>
    <t>https://drive.google.com/file/d/1QB1sB0yuZHf-5r5MkaRuGDglzWDwL1Lp/view?usp=drivesdk</t>
  </si>
  <si>
    <t>SUPRIYATIN</t>
  </si>
  <si>
    <t>supriyatin7575@gmail.com</t>
  </si>
  <si>
    <t>9707</t>
  </si>
  <si>
    <t>Starting at Fri Aug 30 2024 00:24:16 GMT-0400 (EDT)</t>
  </si>
  <si>
    <t>1DB2ssmNtq3StTldij8rLoQII9hco2fiO</t>
  </si>
  <si>
    <t>https://drive.google.com/file/d/1DB2ssmNtq3StTldij8rLoQII9hco2fiO/view?usp=drivesdk</t>
  </si>
  <si>
    <t>Yusi Hariyumanti HS</t>
  </si>
  <si>
    <t>umay14fast@gmail.com</t>
  </si>
  <si>
    <t>9708</t>
  </si>
  <si>
    <t>Starting at Fri Aug 30 2024 00:26:31 GMT-0400 (EDT)</t>
  </si>
  <si>
    <t>1bUY_QJPI2mEaZ-e5uc7zUcR5xdXlK6lQ</t>
  </si>
  <si>
    <t>https://drive.google.com/file/d/1bUY_QJPI2mEaZ-e5uc7zUcR5xdXlK6lQ/view?usp=drivesdk</t>
  </si>
  <si>
    <t>agungsetiawan830507@gmail.com</t>
  </si>
  <si>
    <t>9709</t>
  </si>
  <si>
    <t>178I2RlZeV105TY6icwZJ8yLrIP7DQapS</t>
  </si>
  <si>
    <t>https://drive.google.com/file/d/178I2RlZeV105TY6icwZJ8yLrIP7DQapS/view?usp=drivesdk</t>
  </si>
  <si>
    <t>Document successfully created; Document successfully merged; PDF created; !!Error Sending Emails: Service invoked too many times for one day: email.; Run via form trigger as ecertificate75@gmail.com; Timestamp: Sep 16 2024 11:01 PM</t>
  </si>
  <si>
    <t>ENDAH TETI YULIANI. S.H</t>
  </si>
  <si>
    <t>endahtety@gmail.com</t>
  </si>
  <si>
    <t>9710</t>
  </si>
  <si>
    <t>1SULyH-bZMt1fkDc8J-P45Y7jx9d5XYQ0</t>
  </si>
  <si>
    <t>https://drive.google.com/file/d/1SULyH-bZMt1fkDc8J-P45Y7jx9d5XYQ0/view?usp=drivesdk</t>
  </si>
  <si>
    <t>Document successfully created; Document successfully merged; PDF created; !!Error Sending Emails: Service invoked too many times for one day: email.; Run via form trigger as ecertificate75@gmail.com; Timestamp: Sep 16 2024 11:15 PM</t>
  </si>
  <si>
    <t>ADE SOLEHA EKAWATI</t>
  </si>
  <si>
    <t>adeekawati11@gmail.com</t>
  </si>
  <si>
    <t>9711</t>
  </si>
  <si>
    <t>15UO3Y8lWI8M8a5WopexMOambSxc6bU1E</t>
  </si>
  <si>
    <t>https://drive.google.com/file/d/15UO3Y8lWI8M8a5WopexMOambSxc6bU1E/view?usp=drivesdk</t>
  </si>
  <si>
    <t>sahlurkepri@gmail.com</t>
  </si>
  <si>
    <t>9712</t>
  </si>
  <si>
    <t>1DVOmNbmEn2q2umvoShiACWqxBKN_-wZS</t>
  </si>
  <si>
    <t>https://drive.google.com/file/d/1DVOmNbmEn2q2umvoShiACWqxBKN_-wZS/view?usp=drivesdk</t>
  </si>
  <si>
    <t>ANDI TENRI CITRA LATIFA, S. Tr. Rad</t>
  </si>
  <si>
    <t>andrhy160395@gmail.com</t>
  </si>
  <si>
    <t>9713</t>
  </si>
  <si>
    <t>1RlNGhU1rCueVMDsa7hu1uL9mtv3A0Hpm</t>
  </si>
  <si>
    <t>https://drive.google.com/file/d/1RlNGhU1rCueVMDsa7hu1uL9mtv3A0Hpm/view?usp=drivesdk</t>
  </si>
  <si>
    <t>Document successfully created; Document successfully merged; PDF created; !!Error Sending Emails: Service invoked too many times for one day: email.; Run via form trigger as ecertificate75@gmail.com; Timestamp: Sep 16 2024 11:16 PM</t>
  </si>
  <si>
    <t>sismiartititin@gmail.com</t>
  </si>
  <si>
    <t>9714</t>
  </si>
  <si>
    <t>1-KG6SbpeeCGP32DCUTom-xPjRuj9oytb</t>
  </si>
  <si>
    <t>https://drive.google.com/file/d/1-KG6SbpeeCGP32DCUTom-xPjRuj9oytb/view?usp=drivesdk</t>
  </si>
  <si>
    <t>dr. SHERA NADHILA SETYO BISONO</t>
  </si>
  <si>
    <t>sheranadhila@gmail.com</t>
  </si>
  <si>
    <t>9715</t>
  </si>
  <si>
    <t>1Hh3hoSHMEmPg69rTEcZLnIYJth6Cww7L</t>
  </si>
  <si>
    <t>https://drive.google.com/file/d/1Hh3hoSHMEmPg69rTEcZLnIYJth6Cww7L/view?usp=drivesdk</t>
  </si>
  <si>
    <t>SALASIAH YAHYA, S.Sos</t>
  </si>
  <si>
    <t>ekinerjasalasiahy@gmail.com</t>
  </si>
  <si>
    <t>9716</t>
  </si>
  <si>
    <t>1rEJ1HmNOE5vB5dcKHPch3hwrsn9CRyQ3</t>
  </si>
  <si>
    <t>https://drive.google.com/file/d/1rEJ1HmNOE5vB5dcKHPch3hwrsn9CRyQ3/view?usp=drivesdk</t>
  </si>
  <si>
    <t>sindiding@gmail.com</t>
  </si>
  <si>
    <t>9717</t>
  </si>
  <si>
    <t>15y3eKyT6MCXvG7eSvAv6hQYJSCBjr0ph</t>
  </si>
  <si>
    <t>https://drive.google.com/file/d/15y3eKyT6MCXvG7eSvAv6hQYJSCBjr0ph/view?usp=drivesdk</t>
  </si>
  <si>
    <t>Document successfully created; Document successfully merged; PDF created; !!Error Sending Emails: Service invoked too many times for one day: email.; Run via form trigger as ecertificate75@gmail.com; Timestamp: Sep 16 2024 11:17 PM</t>
  </si>
  <si>
    <t xml:space="preserve">ARI RIZKIAH </t>
  </si>
  <si>
    <t>aririzkiah911@gmail.com</t>
  </si>
  <si>
    <t>9718</t>
  </si>
  <si>
    <t>Starting at Fri Aug 30 2024 00:26:56 GMT-0400 (EDT)</t>
  </si>
  <si>
    <t>1T8KUxFA47qL7KPDI05iwKJg5NP1gruXW</t>
  </si>
  <si>
    <t>https://drive.google.com/file/d/1T8KUxFA47qL7KPDI05iwKJg5NP1gruXW/view?usp=drivesdk</t>
  </si>
  <si>
    <t>NONO APRIANTO</t>
  </si>
  <si>
    <t>nono_aprianto@gmail.com</t>
  </si>
  <si>
    <t>9719</t>
  </si>
  <si>
    <t>Starting at Fri Aug 30 2024 00:27:07 GMT-0400 (EDT)</t>
  </si>
  <si>
    <t>1fDRa22L-sjHTvcCEbJsPx38IdHC8h1q7</t>
  </si>
  <si>
    <t>https://drive.google.com/file/d/1fDRa22L-sjHTvcCEbJsPx38IdHC8h1q7/view?usp=drivesdk</t>
  </si>
  <si>
    <t>NS ADRIANI WUISAN, S.KEP</t>
  </si>
  <si>
    <t>adrianiwuisan86@gmail.com</t>
  </si>
  <si>
    <t>9720</t>
  </si>
  <si>
    <t>Starting at Fri Aug 30 2024 00:27:19 GMT-0400 (EDT)</t>
  </si>
  <si>
    <t>1mw770XLT01P-bPuRXIxMHYxc-hWXsRUe</t>
  </si>
  <si>
    <t>https://drive.google.com/file/d/1mw770XLT01P-bPuRXIxMHYxc-hWXsRUe/view?usp=drivesdk</t>
  </si>
  <si>
    <t>EFIE FRANSINA OTAY</t>
  </si>
  <si>
    <t>bagrenbinjai@gmail.com</t>
  </si>
  <si>
    <t>9721</t>
  </si>
  <si>
    <t>Starting at Fri Aug 30 2024 00:27:25 GMT-0400 (EDT)</t>
  </si>
  <si>
    <t>1-xpPMOpkA_6MKRJI2C1gxEu9JrFC2ErF</t>
  </si>
  <si>
    <t>https://drive.google.com/file/d/1-xpPMOpkA_6MKRJI2C1gxEu9JrFC2ErF/view?usp=drivesdk</t>
  </si>
  <si>
    <t>Document successfully created; Document successfully merged; PDF created; !!Error Sending Emails: Service invoked too many times for one day: email.; Run via form trigger as ecertificate75@gmail.com; Timestamp: Sep 16 2024 11:18 PM</t>
  </si>
  <si>
    <t>RINA SUKARTI TAMARARIHA</t>
  </si>
  <si>
    <t>rinatamarariha88@gmail.com</t>
  </si>
  <si>
    <t>9722</t>
  </si>
  <si>
    <t>1pSEOTDP38lhIE35FkgGvdzipmZErVXUp</t>
  </si>
  <si>
    <t>https://drive.google.com/file/d/1pSEOTDP38lhIE35FkgGvdzipmZErVXUp/view?usp=drivesdk</t>
  </si>
  <si>
    <t>JOHARIA, S E</t>
  </si>
  <si>
    <t>johariajohari@gmail.com</t>
  </si>
  <si>
    <t>9723</t>
  </si>
  <si>
    <t>Starting at Fri Aug 30 2024 00:27:54 GMT-0400 (EDT)</t>
  </si>
  <si>
    <t>1RsjZ9TqqL_SHB8GNCvKLJe66YPwWRQLv</t>
  </si>
  <si>
    <t>https://drive.google.com/file/d/1RsjZ9TqqL_SHB8GNCvKLJe66YPwWRQLv/view?usp=drivesdk</t>
  </si>
  <si>
    <t>YOVIE SISCHASARI</t>
  </si>
  <si>
    <t>alwayziovee@gmail.com</t>
  </si>
  <si>
    <t>9724</t>
  </si>
  <si>
    <t>1QUgpDZxn6SGJkP5gS5Aou5fnlAz1r3DR</t>
  </si>
  <si>
    <t>https://drive.google.com/file/d/1QUgpDZxn6SGJkP5gS5Aou5fnlAz1r3DR/view?usp=drivesdk</t>
  </si>
  <si>
    <t>SRI SULISTIYOWATI</t>
  </si>
  <si>
    <t>sri_sulistiyowati@yahoo.co.id</t>
  </si>
  <si>
    <t>9725</t>
  </si>
  <si>
    <t>Starting at Fri Aug 30 2024 00:28:11 GMT-0400 (EDT)</t>
  </si>
  <si>
    <t>1_FPYf6XJB4keJbOPsgRZp91VbMbq2hAO</t>
  </si>
  <si>
    <t>https://drive.google.com/file/d/1_FPYf6XJB4keJbOPsgRZp91VbMbq2hAO/view?usp=drivesdk</t>
  </si>
  <si>
    <t>Document successfully created; Document successfully merged; PDF created; !!Error Sending Emails: Service invoked too many times for one day: email.; Run via form trigger as ecertificate75@gmail.com; Timestamp: Sep 16 2024 11:19 PM</t>
  </si>
  <si>
    <t>SRI WAHYUNI, S.Sos.</t>
  </si>
  <si>
    <t>sriwahyuni.710527@gmail.com</t>
  </si>
  <si>
    <t>9726</t>
  </si>
  <si>
    <t>1pDhqwm9bYPggW1Y7MI5ciUr4qsNojsyC</t>
  </si>
  <si>
    <t>https://drive.google.com/file/d/1pDhqwm9bYPggW1Y7MI5ciUr4qsNojsyC/view?usp=drivesdk</t>
  </si>
  <si>
    <t>RASNI BASRI SST. SKM.MKES</t>
  </si>
  <si>
    <t>rasnibasri22@gmail.com</t>
  </si>
  <si>
    <t>9727</t>
  </si>
  <si>
    <t>Starting at Fri Aug 30 2024 00:28:21 GMT-0400 (EDT)</t>
  </si>
  <si>
    <t>1HKHkkSWsF4P4-XNzBMTXTz4hUCGzkwcI</t>
  </si>
  <si>
    <t>https://drive.google.com/file/d/1HKHkkSWsF4P4-XNzBMTXTz4hUCGzkwcI/view?usp=drivesdk</t>
  </si>
  <si>
    <t>Document successfully created; Document successfully merged; PDF created; Emails Sent: [To: rasnibasri22@gmail.com]; Run via form trigger as ecertificate75@gmail.com; Timestamp: Sep 16 2024 10:05 PM</t>
  </si>
  <si>
    <t xml:space="preserve">ANI FITASARI SUHARYATI </t>
  </si>
  <si>
    <t>ani.rafif08@gmail.com</t>
  </si>
  <si>
    <t>9728</t>
  </si>
  <si>
    <t>1ErjPoKlPSIpfanmShnW7EYyxl-wnyrzy</t>
  </si>
  <si>
    <t>https://drive.google.com/file/d/1ErjPoKlPSIpfanmShnW7EYyxl-wnyrzy/view?usp=drivesdk</t>
  </si>
  <si>
    <t>Document successfully created; Document successfully merged; PDF created; Emails Sent: [To: ani.rafif08@gmail.com]; Run via form trigger as ecertificate75@gmail.com; Timestamp: Sep 16 2024 10:05 PM</t>
  </si>
  <si>
    <t xml:space="preserve">BEBIKA ZULKARNAEN </t>
  </si>
  <si>
    <t>bebika.zulkarnaen86@gmail.com</t>
  </si>
  <si>
    <t>9729</t>
  </si>
  <si>
    <t>1SM7uh1XNi0u3Xzl4QhVLXGG8lhozzvch</t>
  </si>
  <si>
    <t>https://drive.google.com/file/d/1SM7uh1XNi0u3Xzl4QhVLXGG8lhozzvch/view?usp=drivesdk</t>
  </si>
  <si>
    <t>Document successfully created; Document successfully merged; PDF created; Emails Sent: [To: bebika.zulkarnaen86@gmail.com]; Run via form trigger as ecertificate75@gmail.com; Timestamp: Sep 16 2024 10:05 PM</t>
  </si>
  <si>
    <t>AFANDI S.KOM</t>
  </si>
  <si>
    <t>andimaya76@gmail.com</t>
  </si>
  <si>
    <t>9730</t>
  </si>
  <si>
    <t>Starting at Fri Aug 30 2024 00:28:44 GMT-0400 (EDT)</t>
  </si>
  <si>
    <t>1Bx0ohRzODZtHWbwPlaqNWlSoPf_uyXjP</t>
  </si>
  <si>
    <t>https://drive.google.com/file/d/1Bx0ohRzODZtHWbwPlaqNWlSoPf_uyXjP/view?usp=drivesdk</t>
  </si>
  <si>
    <t>Document successfully created; Document successfully merged; PDF created; Emails Sent: [To: andimaya76@gmail.com]; Run via form trigger as ecertificate75@gmail.com; Timestamp: Sep 16 2024 10:05 PM</t>
  </si>
  <si>
    <t>FANY FRISTIKA VERA, A.Md.Kep</t>
  </si>
  <si>
    <t>fanyfristikav@gmail.com</t>
  </si>
  <si>
    <t>9731</t>
  </si>
  <si>
    <t>Starting at Fri Aug 30 2024 00:28:53 GMT-0400 (EDT)</t>
  </si>
  <si>
    <t>1Nl7ZG40uyKHf5j6cDAc3m3tdl1N8IkfB</t>
  </si>
  <si>
    <t>https://drive.google.com/file/d/1Nl7ZG40uyKHf5j6cDAc3m3tdl1N8IkfB/view?usp=drivesdk</t>
  </si>
  <si>
    <t>Document successfully created; Document successfully merged; PDF created; Emails Sent: [To: fanyfristikav@gmail.com]; Run via form trigger as ecertificate75@gmail.com; Timestamp: Sep 16 2024 10:05 PM</t>
  </si>
  <si>
    <t xml:space="preserve">SYAMSUAR </t>
  </si>
  <si>
    <t>syamsuar196811@gmail.com</t>
  </si>
  <si>
    <t>9732</t>
  </si>
  <si>
    <t>Starting at Fri Aug 30 2024 00:28:58 GMT-0400 (EDT)</t>
  </si>
  <si>
    <t>1b6NwIq2jfLdVukWwe7iRxDWhQIthSKTK</t>
  </si>
  <si>
    <t>https://drive.google.com/file/d/1b6NwIq2jfLdVukWwe7iRxDWhQIthSKTK/view?usp=drivesdk</t>
  </si>
  <si>
    <t>Document successfully created; Document successfully merged; PDF created; Emails Sent: [To: syamsuar196811@gmail.com]; Run via form trigger as ecertificate75@gmail.com; Timestamp: Sep 16 2024 10:06 PM</t>
  </si>
  <si>
    <t>SYARIFUDIN ABDILLAH, A.Md. TEM.</t>
  </si>
  <si>
    <t>syarifudin9.zone@gmail.com</t>
  </si>
  <si>
    <t>9733</t>
  </si>
  <si>
    <t>1REfzFlWYLaOUWyFfrHhAcIG85FePkOVi</t>
  </si>
  <si>
    <t>https://drive.google.com/file/d/1REfzFlWYLaOUWyFfrHhAcIG85FePkOVi/view?usp=drivesdk</t>
  </si>
  <si>
    <t>Document successfully created; Document successfully merged; PDF created; Emails Sent: [To: syarifudin9.zone@gmail.com]; Run via form trigger as ecertificate75@gmail.com; Timestamp: Sep 16 2024 10:06 PM</t>
  </si>
  <si>
    <t>PAULUS RENARDI SITORUS, S.E.</t>
  </si>
  <si>
    <t>sitorus.xiv@gmail.com</t>
  </si>
  <si>
    <t>9734</t>
  </si>
  <si>
    <t>Starting at Fri Aug 30 2024 00:29:17 GMT-0400 (EDT)</t>
  </si>
  <si>
    <t>1vDn-hlpNfZZHkuuzJf5t8N7Nuz0_kTYu</t>
  </si>
  <si>
    <t>https://drive.google.com/file/d/1vDn-hlpNfZZHkuuzJf5t8N7Nuz0_kTYu/view?usp=drivesdk</t>
  </si>
  <si>
    <t>Document successfully created; Document successfully merged; PDF created; Emails Sent: [To: sitorus.xiv@gmail.com]; Run via form trigger as ecertificate75@gmail.com; Timestamp: Sep 16 2024 10:06 PM</t>
  </si>
  <si>
    <t>DESMIWATI</t>
  </si>
  <si>
    <t>desmiwati994@gmail.com</t>
  </si>
  <si>
    <t>9735</t>
  </si>
  <si>
    <t>1RBV6dMkITdJMN-fYCzPsl7mwnESTKBoQ</t>
  </si>
  <si>
    <t>https://drive.google.com/file/d/1RBV6dMkITdJMN-fYCzPsl7mwnESTKBoQ/view?usp=drivesdk</t>
  </si>
  <si>
    <t>Document successfully created; Document successfully merged; PDF created; Emails Sent: [To: desmiwati994@gmail.com]; Run via form trigger as ecertificate75@gmail.com; Timestamp: Sep 16 2024 10:06 PM</t>
  </si>
  <si>
    <t>SYAHRIA.L SKM</t>
  </si>
  <si>
    <t>syahrialabiru@gmail.com</t>
  </si>
  <si>
    <t>9736</t>
  </si>
  <si>
    <t>Starting at Fri Aug 30 2024 00:29:27 GMT-0400 (EDT)</t>
  </si>
  <si>
    <t>1Pg5zUcIC-HeGL1LqS3YCaDExRIVe6KhA</t>
  </si>
  <si>
    <t>https://drive.google.com/file/d/1Pg5zUcIC-HeGL1LqS3YCaDExRIVe6KhA/view?usp=drivesdk</t>
  </si>
  <si>
    <t>Document successfully created; Document successfully merged; PDF created; Emails Sent: [To: syahrialabiru@gmail.com]; Run via form trigger as ecertificate75@gmail.com; Timestamp: Sep 16 2024 10:07 PM</t>
  </si>
  <si>
    <t>PATAHUDDIN,S.Kep,NS</t>
  </si>
  <si>
    <t>patahuddin1975@gmail.com</t>
  </si>
  <si>
    <t>9737</t>
  </si>
  <si>
    <t>Starting at Fri Aug 30 2024 00:29:50 GMT-0400 (EDT)</t>
  </si>
  <si>
    <t>1uRqwztma2UEhxGHlzMS0cFEjxKKCeuU2</t>
  </si>
  <si>
    <t>https://drive.google.com/file/d/1uRqwztma2UEhxGHlzMS0cFEjxKKCeuU2/view?usp=drivesdk</t>
  </si>
  <si>
    <t>Document successfully created; Document successfully merged; PDF created; Emails Sent: [To: patahuddin1975@gmail.com]; Run via form trigger as ecertificate75@gmail.com; Timestamp: Sep 16 2024 10:07 PM</t>
  </si>
  <si>
    <t>ADI GUNAWAN</t>
  </si>
  <si>
    <t>bagrenbinjai90@gmail.com</t>
  </si>
  <si>
    <t>9738</t>
  </si>
  <si>
    <t>1nC7kRnLL6Hzbh6b4Y0S1K0xHV3IjBdJn</t>
  </si>
  <si>
    <t>https://drive.google.com/file/d/1nC7kRnLL6Hzbh6b4Y0S1K0xHV3IjBdJn/view?usp=drivesdk</t>
  </si>
  <si>
    <t>Document successfully created; Document successfully merged; PDF created; Emails Sent: [To: bagrenbinjai90@gmail.com]; Run via form trigger as ecertificate75@gmail.com; Timestamp: Sep 16 2024 10:07 PM</t>
  </si>
  <si>
    <t>JOHANNES SIHALOHO</t>
  </si>
  <si>
    <t>johannessihaloho88@gmail.com</t>
  </si>
  <si>
    <t>9739</t>
  </si>
  <si>
    <t>1p7TTGJojjIFJLBF-8Oa1IhGSsPW5B2cx</t>
  </si>
  <si>
    <t>https://drive.google.com/file/d/1p7TTGJojjIFJLBF-8Oa1IhGSsPW5B2cx/view?usp=drivesdk</t>
  </si>
  <si>
    <t>Document successfully created; Document successfully merged; PDF created; Emails Sent: [To: johannessihaloho88@gmail.com]; Run via form trigger as ecertificate75@gmail.com; Timestamp: Sep 16 2024 10:07 PM</t>
  </si>
  <si>
    <t>YULI KISTIYANI</t>
  </si>
  <si>
    <t>yulikistiani807@gmail.com</t>
  </si>
  <si>
    <t>9740</t>
  </si>
  <si>
    <t>19zRcDwN0ydaznY5B7m9ZYENmhTIR4VvF</t>
  </si>
  <si>
    <t>https://drive.google.com/file/d/19zRcDwN0ydaznY5B7m9ZYENmhTIR4VvF/view?usp=drivesdk</t>
  </si>
  <si>
    <t>Document successfully created; Document successfully merged; PDF created; Emails Sent: [To: yulikistiani807@gmail.com]; Run via form trigger as ecertificate75@gmail.com; Timestamp: Sep 16 2024 10:07 PM</t>
  </si>
  <si>
    <t>suhartiniae86@gmail.com</t>
  </si>
  <si>
    <t>9741</t>
  </si>
  <si>
    <t>Starting at Fri Aug 30 2024 00:29:55 GMT-0400 (EDT)</t>
  </si>
  <si>
    <t>146LCQcrtciQnqp69wzq8q57Rh-cXeczV</t>
  </si>
  <si>
    <t>https://drive.google.com/file/d/146LCQcrtciQnqp69wzq8q57Rh-cXeczV/view?usp=drivesdk</t>
  </si>
  <si>
    <t>Document successfully created; Document successfully merged; PDF created; Emails Sent: [To: suhartiniae86@gmail.com]; Run via form trigger as ecertificate75@gmail.com; Timestamp: Sep 16 2024 10:07 PM</t>
  </si>
  <si>
    <t>SULASTRI MANULLANG</t>
  </si>
  <si>
    <t>manullangsulastri340@gmail.com</t>
  </si>
  <si>
    <t>9742</t>
  </si>
  <si>
    <t>Starting at Fri Aug 30 2024 00:30:07 GMT-0400 (EDT)</t>
  </si>
  <si>
    <t>1L-lvidxZMdyzo520z-CGAAY66lqoBiZE</t>
  </si>
  <si>
    <t>https://drive.google.com/file/d/1L-lvidxZMdyzo520z-CGAAY66lqoBiZE/view?usp=drivesdk</t>
  </si>
  <si>
    <t>WIWI ANGGRAENI</t>
  </si>
  <si>
    <t>wiwi123.wa@gmail.com</t>
  </si>
  <si>
    <t>9743</t>
  </si>
  <si>
    <t>Starting at Fri Aug 30 2024 00:30:34 GMT-0400 (EDT)</t>
  </si>
  <si>
    <t>1mdxSgAF-YVi8wwre3WeS9O2FtZONQAs0</t>
  </si>
  <si>
    <t>https://drive.google.com/file/d/1mdxSgAF-YVi8wwre3WeS9O2FtZONQAs0/view?usp=drivesdk</t>
  </si>
  <si>
    <t>ANDRORI MAYA GITA SARI</t>
  </si>
  <si>
    <t>androri.simbolon@gmail.com</t>
  </si>
  <si>
    <t>9744</t>
  </si>
  <si>
    <t>18Mf_PKFM2jSnEjjpfXZAgUqVSjzRbOMs</t>
  </si>
  <si>
    <t>https://drive.google.com/file/d/18Mf_PKFM2jSnEjjpfXZAgUqVSjzRbOMs/view?usp=drivesdk</t>
  </si>
  <si>
    <t>Al ICHMALA</t>
  </si>
  <si>
    <t>ichmala244@gmail.com</t>
  </si>
  <si>
    <t>9745</t>
  </si>
  <si>
    <t>Starting at Fri Aug 30 2024 00:30:47 GMT-0400 (EDT)</t>
  </si>
  <si>
    <t>1SGM8u3QaZAtqvIY0PUZPAVVR_BRvPGtw</t>
  </si>
  <si>
    <t>https://drive.google.com/file/d/1SGM8u3QaZAtqvIY0PUZPAVVR_BRvPGtw/view?usp=drivesdk</t>
  </si>
  <si>
    <t>YODELA NURMALASARI, A.Md. Kep.</t>
  </si>
  <si>
    <t>nurmalasariyodela@gmail.com</t>
  </si>
  <si>
    <t>9746</t>
  </si>
  <si>
    <t>1c5KLBWWD6jP-FoaJinxBC40z6McAwe2E</t>
  </si>
  <si>
    <t>https://drive.google.com/file/d/1c5KLBWWD6jP-FoaJinxBC40z6McAwe2E/view?usp=drivesdk</t>
  </si>
  <si>
    <t>9747</t>
  </si>
  <si>
    <t>10ADheCU2QByFKF96vqkO3Y0szpS9-ij8</t>
  </si>
  <si>
    <t>https://drive.google.com/file/d/10ADheCU2QByFKF96vqkO3Y0szpS9-ij8/view?usp=drivesdk</t>
  </si>
  <si>
    <t>EFI KURNIAWATI, S.I.P., M.H</t>
  </si>
  <si>
    <t>efiintel@gmail.com</t>
  </si>
  <si>
    <t>9748</t>
  </si>
  <si>
    <t>1Bt09jCpkl2vI8DAmiDmN6vaUS_HoEw1G</t>
  </si>
  <si>
    <t>https://drive.google.com/file/d/1Bt09jCpkl2vI8DAmiDmN6vaUS_HoEw1G/view?usp=drivesdk</t>
  </si>
  <si>
    <t>WINDI MEISA ROSELLINI, Amd.Kom</t>
  </si>
  <si>
    <t>9749</t>
  </si>
  <si>
    <t>1oRY3b1NxGpqKLE80TrEN8vcMzVvermN7</t>
  </si>
  <si>
    <t>https://drive.google.com/file/d/1oRY3b1NxGpqKLE80TrEN8vcMzVvermN7/view?usp=drivesdk</t>
  </si>
  <si>
    <t>TIWI WULANDARI LUMATO</t>
  </si>
  <si>
    <t>wulandarilumatotiwi@gmail.com</t>
  </si>
  <si>
    <t>9750</t>
  </si>
  <si>
    <t>Starting at Fri Aug 30 2024 00:30:56 GMT-0400 (EDT)</t>
  </si>
  <si>
    <t>1QNLILaLsM38RIFVFV1gnKd78kECiboLk</t>
  </si>
  <si>
    <t>https://drive.google.com/file/d/1QNLILaLsM38RIFVFV1gnKd78kECiboLk/view?usp=drivesdk</t>
  </si>
  <si>
    <t>GIAN BASKARA. S.H.</t>
  </si>
  <si>
    <t>gianbaskaraq@gmail.com</t>
  </si>
  <si>
    <t>9751</t>
  </si>
  <si>
    <t>Starting at Fri Aug 30 2024 00:31:01 GMT-0400 (EDT)</t>
  </si>
  <si>
    <t>1GitWMZ65GdtkB_EowBXC96ng1fVokucW</t>
  </si>
  <si>
    <t>https://drive.google.com/file/d/1GitWMZ65GdtkB_EowBXC96ng1fVokucW/view?usp=drivesdk</t>
  </si>
  <si>
    <t>ADITYA PRATAMA PUTRA</t>
  </si>
  <si>
    <t>paditya400@gmail.com</t>
  </si>
  <si>
    <t>9752</t>
  </si>
  <si>
    <t>Starting at Fri Aug 30 2024 00:33:26 GMT-0400 (EDT)</t>
  </si>
  <si>
    <t>1SJKSaeiM_t2GJPC6CKPqvzNDyklhVbVp</t>
  </si>
  <si>
    <t>https://drive.google.com/file/d/1SJKSaeiM_t2GJPC6CKPqvzNDyklhVbVp/view?usp=drivesdk</t>
  </si>
  <si>
    <t>NUR QOMARIAH S.ST</t>
  </si>
  <si>
    <t>qomariah1892@gmail.com</t>
  </si>
  <si>
    <t>9753</t>
  </si>
  <si>
    <t>1JqekOTag68OlPzJPe2BDa_cgWNpEfIj0</t>
  </si>
  <si>
    <t>https://drive.google.com/file/d/1JqekOTag68OlPzJPe2BDa_cgWNpEfIj0/view?usp=drivesdk</t>
  </si>
  <si>
    <t>RIZA ANENDA</t>
  </si>
  <si>
    <t>rizaanenda@gnail.com</t>
  </si>
  <si>
    <t>9754</t>
  </si>
  <si>
    <t>1Tlxicc1lHxfOZuLbZDL4K9VoU9haJUev</t>
  </si>
  <si>
    <t>https://drive.google.com/file/d/1Tlxicc1lHxfOZuLbZDL4K9VoU9haJUev/view?usp=drivesdk</t>
  </si>
  <si>
    <t>MOHAMAD HARYANTO</t>
  </si>
  <si>
    <t>sagitariusharyanto3c07@gmail.com</t>
  </si>
  <si>
    <t>9755</t>
  </si>
  <si>
    <t>1LD68EyoghvTXa17mDXPGDN4srS8iDGOv</t>
  </si>
  <si>
    <t>https://drive.google.com/file/d/1LD68EyoghvTXa17mDXPGDN4srS8iDGOv/view?usp=drivesdk</t>
  </si>
  <si>
    <t>YUNI YUROISAH</t>
  </si>
  <si>
    <t>yuniyuroisah@gmail.com</t>
  </si>
  <si>
    <t>9756</t>
  </si>
  <si>
    <t>1DbDaGn5wdW98fRSbj1Xo4TOS-iR1w08a</t>
  </si>
  <si>
    <t>https://drive.google.com/file/d/1DbDaGn5wdW98fRSbj1Xo4TOS-iR1w08a/view?usp=drivesdk</t>
  </si>
  <si>
    <t>Indra Mulyawan, A.Md.</t>
  </si>
  <si>
    <t>indra.mulyawan05@gmail.com</t>
  </si>
  <si>
    <t>9757</t>
  </si>
  <si>
    <t>1l4HHPlkyWLx-V7absjs2NjLKLpusgWzK</t>
  </si>
  <si>
    <t>https://drive.google.com/file/d/1l4HHPlkyWLx-V7absjs2NjLKLpusgWzK/view?usp=drivesdk</t>
  </si>
  <si>
    <t>Document successfully created; Document successfully merged; PDF created; !!Error Sending Emails: Service invoked too many times for one day: email.; Run via form trigger as ecertificate75@gmail.com; Timestamp: Sep 16 2024 11:20 PM</t>
  </si>
  <si>
    <t>TINCE SIBORO, S.Kom, M.Si</t>
  </si>
  <si>
    <t>tincesiboro@gmail.com</t>
  </si>
  <si>
    <t>9758</t>
  </si>
  <si>
    <t>1LZ0N0AA6vmXNCqylzKCNXm50n3tqjB_L</t>
  </si>
  <si>
    <t>https://drive.google.com/file/d/1LZ0N0AA6vmXNCqylzKCNXm50n3tqjB_L/view?usp=drivesdk</t>
  </si>
  <si>
    <t>Document successfully created; Document successfully merged; PDF created; !!Error Sending Emails: Service invoked too many times for one day: email.; Run via form trigger as ecertificate75@gmail.com; Timestamp: Sep 17 2024 12:36 AM</t>
  </si>
  <si>
    <t>HAIRUNNISA ALI, S.FARM., M.SI</t>
  </si>
  <si>
    <t>ichaali999@gmail.com</t>
  </si>
  <si>
    <t>9759</t>
  </si>
  <si>
    <t>1sCPqeRchm0y_7Xid8v7qBHxLjbENS-8a</t>
  </si>
  <si>
    <t>https://drive.google.com/file/d/1sCPqeRchm0y_7Xid8v7qBHxLjbENS-8a/view?usp=drivesdk</t>
  </si>
  <si>
    <t>Document successfully created; Document successfully merged; PDF created; !!Error Sending Emails: Service invoked too many times for one day: email.; Run via form trigger as ecertificate75@gmail.com; Timestamp: Sep 17 2024 12:37 AM</t>
  </si>
  <si>
    <t>sutrisno.garjo@gmail.com</t>
  </si>
  <si>
    <t>9760</t>
  </si>
  <si>
    <t>1gsucMFZ774P7ThzmpyZWN2DjdZL7miZb</t>
  </si>
  <si>
    <t>https://drive.google.com/file/d/1gsucMFZ774P7ThzmpyZWN2DjdZL7miZb/view?usp=drivesdk</t>
  </si>
  <si>
    <t xml:space="preserve">RUSITA </t>
  </si>
  <si>
    <t>rusita978@gmail.com</t>
  </si>
  <si>
    <t>9761</t>
  </si>
  <si>
    <t>1M2VKYOEL3eExDYfR6u0HC_KKwdQg-PBX</t>
  </si>
  <si>
    <t>https://drive.google.com/file/d/1M2VKYOEL3eExDYfR6u0HC_KKwdQg-PBX/view?usp=drivesdk</t>
  </si>
  <si>
    <t>9762</t>
  </si>
  <si>
    <t>1J-WpBdYHST35Wbr61QJs5zEjzJSv4Xgx</t>
  </si>
  <si>
    <t>https://drive.google.com/file/d/1J-WpBdYHST35Wbr61QJs5zEjzJSv4Xgx/view?usp=drivesdk</t>
  </si>
  <si>
    <t>LILIK SUHARTATIK</t>
  </si>
  <si>
    <t>liliksuhartatik254@gmail.com</t>
  </si>
  <si>
    <t>9763</t>
  </si>
  <si>
    <t>1YG3EINFGZ_CqU7W82pF1PrXbHj9lVPHm</t>
  </si>
  <si>
    <t>https://drive.google.com/file/d/1YG3EINFGZ_CqU7W82pF1PrXbHj9lVPHm/view?usp=drivesdk</t>
  </si>
  <si>
    <t>HELVITA MASUNENENG</t>
  </si>
  <si>
    <t>helvitamasuneneg8@gmail.com</t>
  </si>
  <si>
    <t>9764</t>
  </si>
  <si>
    <t>Starting at Fri Aug 30 2024 00:33:49 GMT-0400 (EDT)</t>
  </si>
  <si>
    <t>1i5AwJCi9c_5e8HfBjUQQuTAdio7fUycR</t>
  </si>
  <si>
    <t>https://drive.google.com/file/d/1i5AwJCi9c_5e8HfBjUQQuTAdio7fUycR/view?usp=drivesdk</t>
  </si>
  <si>
    <t>Document successfully created; Document successfully merged; PDF created; !!Error Sending Emails: Service invoked too many times for one day: email.; Run via form trigger as ecertificate75@gmail.com; Timestamp: Sep 17 2024 12:38 AM</t>
  </si>
  <si>
    <t>NANA RUSMANA</t>
  </si>
  <si>
    <t>rusmana24.nana@gmail.com</t>
  </si>
  <si>
    <t>9765</t>
  </si>
  <si>
    <t>Starting at Fri Aug 30 2024 00:33:51 GMT-0400 (EDT)</t>
  </si>
  <si>
    <t>1PS0hutbJF-O7q5K8el9v-F-kztzQVMzM</t>
  </si>
  <si>
    <t>https://drive.google.com/file/d/1PS0hutbJF-O7q5K8el9v-F-kztzQVMzM/view?usp=drivesdk</t>
  </si>
  <si>
    <t>santaberlianap@gmail.com</t>
  </si>
  <si>
    <t>9766</t>
  </si>
  <si>
    <t>Starting at Fri Aug 30 2024 00:33:56 GMT-0400 (EDT)</t>
  </si>
  <si>
    <t>1eC3ov8UZizoSKJL6mjpdUTDYKegWgFZS</t>
  </si>
  <si>
    <t>https://drive.google.com/file/d/1eC3ov8UZizoSKJL6mjpdUTDYKegWgFZS/view?usp=drivesdk</t>
  </si>
  <si>
    <t>LPUH PUTU ARI LESTARI</t>
  </si>
  <si>
    <t>arilestarisapna@gmail.com</t>
  </si>
  <si>
    <t>9767</t>
  </si>
  <si>
    <t>1qhyf6ZHX_E5KMMvdK8iyKhnZRjSv5ou0</t>
  </si>
  <si>
    <t>https://drive.google.com/file/d/1qhyf6ZHX_E5KMMvdK8iyKhnZRjSv5ou0/view?usp=drivesdk</t>
  </si>
  <si>
    <t>ASTRIA SARI</t>
  </si>
  <si>
    <t>sariastria23@gmail.com</t>
  </si>
  <si>
    <t>9768</t>
  </si>
  <si>
    <t>Starting at Fri Aug 30 2024 00:34:00 GMT-0400 (EDT)</t>
  </si>
  <si>
    <t>1rlhJXCuN4KsoyeHaoPsVz2DieabbAcIA</t>
  </si>
  <si>
    <t>https://drive.google.com/file/d/1rlhJXCuN4KsoyeHaoPsVz2DieabbAcIA/view?usp=drivesdk</t>
  </si>
  <si>
    <t xml:space="preserve">ZAITUN RAHMAWATI </t>
  </si>
  <si>
    <t>uunthaha@gmail.com</t>
  </si>
  <si>
    <t>9769</t>
  </si>
  <si>
    <t>Starting at Fri Aug 30 2024 00:36:25 GMT-0400 (EDT)</t>
  </si>
  <si>
    <t>1PWGalsUYts_EyUgcAZEdcLOI444g7pQH</t>
  </si>
  <si>
    <t>https://drive.google.com/file/d/1PWGalsUYts_EyUgcAZEdcLOI444g7pQH/view?usp=drivesdk</t>
  </si>
  <si>
    <t>Document successfully created; Document successfully merged; PDF created; !!Error Sending Emails: Service invoked too many times for one day: email.; Run via form trigger as ecertificate75@gmail.com; Timestamp: Sep 17 2024 12:39 AM</t>
  </si>
  <si>
    <t>DONI SISWANTO</t>
  </si>
  <si>
    <t>doniesiswanto@gmail.com</t>
  </si>
  <si>
    <t>9770</t>
  </si>
  <si>
    <t>1t52qN2uHtbIi5cmyiI_uUs3mZJD7Zpi6</t>
  </si>
  <si>
    <t>https://drive.google.com/file/d/1t52qN2uHtbIi5cmyiI_uUs3mZJD7Zpi6/view?usp=drivesdk</t>
  </si>
  <si>
    <t>Ns. IRA TRIO WAHYUNI, M.Tr.kEP</t>
  </si>
  <si>
    <t>iratriow78@gmail.com</t>
  </si>
  <si>
    <t>9771</t>
  </si>
  <si>
    <t>1dqS8rgbp7VIvm2Go1oNOxdg9uWlZm-PW</t>
  </si>
  <si>
    <t>https://drive.google.com/file/d/1dqS8rgbp7VIvm2Go1oNOxdg9uWlZm-PW/view?usp=drivesdk</t>
  </si>
  <si>
    <t>Document successfully created; Document successfully merged; PDF created; !!Error Sending Emails: Service invoked too many times for one day: email.; Run via form trigger as ecertificate75@gmail.com; Timestamp: Sep 17 2024 12:40 AM</t>
  </si>
  <si>
    <t>SRI ANIK, S.H., M.H.</t>
  </si>
  <si>
    <t>dindalaura82@gmail.com</t>
  </si>
  <si>
    <t>9772</t>
  </si>
  <si>
    <t>1b44y5-hz-qrhatAsKNJex2qa8QzALaeC</t>
  </si>
  <si>
    <t>https://drive.google.com/file/d/1b44y5-hz-qrhatAsKNJex2qa8QzALaeC/view?usp=drivesdk</t>
  </si>
  <si>
    <t>AGUS SUMBODO</t>
  </si>
  <si>
    <t>Agussumbodo96001@gmail.com</t>
  </si>
  <si>
    <t>9773</t>
  </si>
  <si>
    <t>1Nozpdfx8W7NTmnX5iCZ6m1RI0zA3j2j2</t>
  </si>
  <si>
    <t>https://drive.google.com/file/d/1Nozpdfx8W7NTmnX5iCZ6m1RI0zA3j2j2/view?usp=drivesdk</t>
  </si>
  <si>
    <t>skmrosdiana1973@gmail.com</t>
  </si>
  <si>
    <t>9774</t>
  </si>
  <si>
    <t>1XZUgufUMsE1FR34Yf1deRtP5gIs8mguX</t>
  </si>
  <si>
    <t>https://drive.google.com/file/d/1XZUgufUMsE1FR34Yf1deRtP5gIs8mguX/view?usp=drivesdk</t>
  </si>
  <si>
    <t xml:space="preserve">DIDIK SUPRIYANTO </t>
  </si>
  <si>
    <t>didik037@gmail.com</t>
  </si>
  <si>
    <t>9775</t>
  </si>
  <si>
    <t>1wvLR7qtT_o5-Y-AFTpaPVd4ndTP_Pc8O</t>
  </si>
  <si>
    <t>https://drive.google.com/file/d/1wvLR7qtT_o5-Y-AFTpaPVd4ndTP_Pc8O/view?usp=drivesdk</t>
  </si>
  <si>
    <t>Document successfully created; Document successfully merged; PDF created; !!Error Sending Emails: Service invoked too many times for one day: email.; Run via form trigger as ecertificate75@gmail.com; Timestamp: Sep 17 2024 12:41 AM</t>
  </si>
  <si>
    <t>NI KETUT ARTINI</t>
  </si>
  <si>
    <t>artiketut5@gmail.com</t>
  </si>
  <si>
    <t>9776</t>
  </si>
  <si>
    <t>1Rt1eljeoPkk5nX0TelNqxwzB7TZYy5l4</t>
  </si>
  <si>
    <t>https://drive.google.com/file/d/1Rt1eljeoPkk5nX0TelNqxwzB7TZYy5l4/view?usp=drivesdk</t>
  </si>
  <si>
    <t>HASRAWATY DAMAN.SKEP.NS</t>
  </si>
  <si>
    <t>hasrawaty.daman20@gmail.com</t>
  </si>
  <si>
    <t>9777</t>
  </si>
  <si>
    <t>1PtllOCo_2G6LtpiHzU2Fqay019AmI322</t>
  </si>
  <si>
    <t>https://drive.google.com/file/d/1PtllOCo_2G6LtpiHzU2Fqay019AmI322/view?usp=drivesdk</t>
  </si>
  <si>
    <t>Document successfully created; Document successfully merged; PDF created; !!Error Sending Emails: Service invoked too many times for one day: email.; Run via form trigger as ecertificate75@gmail.com; Timestamp: Sep 17 2024 1:41 AM</t>
  </si>
  <si>
    <t>DWI SUHARYOTO</t>
  </si>
  <si>
    <t>suharyotodwi@gmail.com</t>
  </si>
  <si>
    <t>9778</t>
  </si>
  <si>
    <t>1kF0o2cLgfC-xDv6zi6FFL-vwX_5y6izH</t>
  </si>
  <si>
    <t>https://drive.google.com/file/d/1kF0o2cLgfC-xDv6zi6FFL-vwX_5y6izH/view?usp=drivesdk</t>
  </si>
  <si>
    <t>Document successfully created; Document successfully merged; PDF created; !!Error Sending Emails: Service invoked too many times for one day: email.; Run via form trigger as ecertificate75@gmail.com; Timestamp: Sep 17 2024 1:42 AM</t>
  </si>
  <si>
    <t>TIURLINA NAPITUPULU</t>
  </si>
  <si>
    <t>tiurlina.napitupulu1979@gmail.com</t>
  </si>
  <si>
    <t>9779</t>
  </si>
  <si>
    <t>Starting at Fri Aug 30 2024 00:36:32 GMT-0400 (EDT)</t>
  </si>
  <si>
    <t>1QYU_J7n2hkVaqABvc2hP6BmpI9gQQxQO</t>
  </si>
  <si>
    <t>https://drive.google.com/file/d/1QYU_J7n2hkVaqABvc2hP6BmpI9gQQxQO/view?usp=drivesdk</t>
  </si>
  <si>
    <t>sulistyowati2167@gmail.com</t>
  </si>
  <si>
    <t>9780</t>
  </si>
  <si>
    <t>Starting at Fri Aug 30 2024 00:36:44 GMT-0400 (EDT)</t>
  </si>
  <si>
    <t>1XQmLIG-4tujyOfGqLnIE3-huesx9NfCD</t>
  </si>
  <si>
    <t>https://drive.google.com/file/d/1XQmLIG-4tujyOfGqLnIE3-huesx9NfCD/view?usp=drivesdk</t>
  </si>
  <si>
    <t xml:space="preserve">RIRIN DWI NURYANTI </t>
  </si>
  <si>
    <t>ririndwi613@gmail.com</t>
  </si>
  <si>
    <t>9781</t>
  </si>
  <si>
    <t>Starting at Fri Aug 30 2024 00:36:49 GMT-0400 (EDT)</t>
  </si>
  <si>
    <t>1-oZeibk8VSeb7Mwct1PEdF58Kv79yEfA</t>
  </si>
  <si>
    <t>https://drive.google.com/file/d/1-oZeibk8VSeb7Mwct1PEdF58Kv79yEfA/view?usp=drivesdk</t>
  </si>
  <si>
    <t>THEOPHILIA P. PETTA, AMD</t>
  </si>
  <si>
    <t>telpet08@gmail.com</t>
  </si>
  <si>
    <t>9782</t>
  </si>
  <si>
    <t>1kXE4c1zQkv0iZ98Q-0NvirTEbPhQqdxt</t>
  </si>
  <si>
    <t>https://drive.google.com/file/d/1kXE4c1zQkv0iZ98Q-0NvirTEbPhQqdxt/view?usp=drivesdk</t>
  </si>
  <si>
    <t>Document successfully created; Document successfully merged; PDF created; !!Error Sending Emails: Service invoked too many times for one day: email.; Run via form trigger as ecertificate75@gmail.com; Timestamp: Sep 17 2024 1:43 AM</t>
  </si>
  <si>
    <t xml:space="preserve">SUNARTI </t>
  </si>
  <si>
    <t>sunarti.rudi@gmail.com</t>
  </si>
  <si>
    <t>9783</t>
  </si>
  <si>
    <t>Starting at Fri Aug 30 2024 00:37:12 GMT-0400 (EDT)</t>
  </si>
  <si>
    <t>1mbAP_4vJwASW7Jh5Vr9Yrwh1HCL_KWrf</t>
  </si>
  <si>
    <t>https://drive.google.com/file/d/1mbAP_4vJwASW7Jh5Vr9Yrwh1HCL_KWrf/view?usp=drivesdk</t>
  </si>
  <si>
    <t>KARTIKA PRIHATINING TYAS</t>
  </si>
  <si>
    <t>ikkatyas5@gmail.com</t>
  </si>
  <si>
    <t>9784</t>
  </si>
  <si>
    <t>Starting at Fri Aug 30 2024 00:38:02 GMT-0400 (EDT)</t>
  </si>
  <si>
    <t>1tCU7vN7E_L4PH1shpwzo_eaeKTXVR3IF</t>
  </si>
  <si>
    <t>https://drive.google.com/file/d/1tCU7vN7E_L4PH1shpwzo_eaeKTXVR3IF/view?usp=drivesdk</t>
  </si>
  <si>
    <t>M. SYAFI'I</t>
  </si>
  <si>
    <t>polsekgubengsby@gmail.com</t>
  </si>
  <si>
    <t>9785</t>
  </si>
  <si>
    <t>104AW4BYKrJeblz_keEYazXrsLcwa9Evi</t>
  </si>
  <si>
    <t>https://drive.google.com/file/d/104AW4BYKrJeblz_keEYazXrsLcwa9Evi/view?usp=drivesdk</t>
  </si>
  <si>
    <t>BUSMAN, S. E</t>
  </si>
  <si>
    <t>busmanembong@gmail.com</t>
  </si>
  <si>
    <t>9786</t>
  </si>
  <si>
    <t>1zTCZlZJnNxaG3h50Gta8vIwC1h5bhfgo</t>
  </si>
  <si>
    <t>https://drive.google.com/file/d/1zTCZlZJnNxaG3h50Gta8vIwC1h5bhfgo/view?usp=drivesdk</t>
  </si>
  <si>
    <t>JUMIANA</t>
  </si>
  <si>
    <t>JUMIANA06061986@GMAIL.COM</t>
  </si>
  <si>
    <t>9787</t>
  </si>
  <si>
    <t>Starting at Fri Aug 30 2024 00:38:55 GMT-0400 (EDT)</t>
  </si>
  <si>
    <t>16rBCydHPCQjxr89gq8qbW4oEWYjzeLG-</t>
  </si>
  <si>
    <t>https://drive.google.com/file/d/16rBCydHPCQjxr89gq8qbW4oEWYjzeLG-/view?usp=drivesdk</t>
  </si>
  <si>
    <t>Document successfully created; Document successfully merged; PDF created; !!Error Sending Emails: Service invoked too many times for one day: email.; Run via form trigger as ecertificate75@gmail.com; Timestamp: Sep 17 2024 1:44 AM</t>
  </si>
  <si>
    <t>MARGA LICHU HISTORYA, S. E</t>
  </si>
  <si>
    <t>lealichu@gmail.com</t>
  </si>
  <si>
    <t>9788</t>
  </si>
  <si>
    <t>10QmKzt-zVrmQK7yHI-1_2ZWAUg2gKt9H</t>
  </si>
  <si>
    <t>https://drive.google.com/file/d/10QmKzt-zVrmQK7yHI-1_2ZWAUg2gKt9H/view?usp=drivesdk</t>
  </si>
  <si>
    <t>SANTI SRI WIDAYANTI</t>
  </si>
  <si>
    <t>santiasepdedi@gmail.com</t>
  </si>
  <si>
    <t>9789</t>
  </si>
  <si>
    <t>1MSKvhDaXZrZQXOeKmZgKCsDvZLksj9a6</t>
  </si>
  <si>
    <t>https://drive.google.com/file/d/1MSKvhDaXZrZQXOeKmZgKCsDvZLksj9a6/view?usp=drivesdk</t>
  </si>
  <si>
    <t>ENDAH DIDIK TRIASTUTI,S.E.,M.H</t>
  </si>
  <si>
    <t>endahdt.1981@gmail.com</t>
  </si>
  <si>
    <t>9790</t>
  </si>
  <si>
    <t>Starting at Fri Aug 30 2024 00:39:01 GMT-0400 (EDT)</t>
  </si>
  <si>
    <t>1llFxqiRyZBlzG1lPCCGhpCb4Teje2fZ8</t>
  </si>
  <si>
    <t>https://drive.google.com/file/d/1llFxqiRyZBlzG1lPCCGhpCb4Teje2fZ8/view?usp=drivesdk</t>
  </si>
  <si>
    <t>YENNY DEBY JANIS</t>
  </si>
  <si>
    <t>yennyjanis42@gmail.com</t>
  </si>
  <si>
    <t>9791</t>
  </si>
  <si>
    <t>Starting at Fri Aug 30 2024 00:39:11 GMT-0400 (EDT)</t>
  </si>
  <si>
    <t>1htuFCXfMnWafThPG8Gbk-WIi-33eq9gD</t>
  </si>
  <si>
    <t>https://drive.google.com/file/d/1htuFCXfMnWafThPG8Gbk-WIi-33eq9gD/view?usp=drivesdk</t>
  </si>
  <si>
    <t>Document successfully created; Document successfully merged; PDF created; !!Error Sending Emails: Service invoked too many times for one day: email.; Run via form trigger as ecertificate75@gmail.com; Timestamp: Sep 17 2024 1:45 AM</t>
  </si>
  <si>
    <t>Apt. Vinach Anggriyani, S. Farm</t>
  </si>
  <si>
    <t>vinach.farmasi38@gmail.com</t>
  </si>
  <si>
    <t>9792</t>
  </si>
  <si>
    <t>Starting at Fri Aug 30 2024 00:39:36 GMT-0400 (EDT)</t>
  </si>
  <si>
    <t>1paEPedp66BgDNw3OvpaJ8NNp0SydlXaB</t>
  </si>
  <si>
    <t>https://drive.google.com/file/d/1paEPedp66BgDNw3OvpaJ8NNp0SydlXaB/view?usp=drivesdk</t>
  </si>
  <si>
    <t>DAMARIS DATU RANTE</t>
  </si>
  <si>
    <t>urlatresjprkota@gmail.com</t>
  </si>
  <si>
    <t>9793</t>
  </si>
  <si>
    <t>Starting at Fri Aug 30 2024 00:39:48 GMT-0400 (EDT)</t>
  </si>
  <si>
    <t>1u9gh-aAm9KGHlbvXVWwRI1gtVft07dpB</t>
  </si>
  <si>
    <t>https://drive.google.com/file/d/1u9gh-aAm9KGHlbvXVWwRI1gtVft07dpB/view?usp=drivesdk</t>
  </si>
  <si>
    <t>HENFRIK</t>
  </si>
  <si>
    <t>hendrikendi1972@gmail.com</t>
  </si>
  <si>
    <t>9794</t>
  </si>
  <si>
    <t>Starting at Fri Aug 30 2024 00:40:13 GMT-0400 (EDT)</t>
  </si>
  <si>
    <t>12b07Th97FsALErUPMu1MuKvWj92zKSPH</t>
  </si>
  <si>
    <t>https://drive.google.com/file/d/12b07Th97FsALErUPMu1MuKvWj92zKSPH/view?usp=drivesdk</t>
  </si>
  <si>
    <t>ISTICHOMAH</t>
  </si>
  <si>
    <t>ichomah91@gmail.com</t>
  </si>
  <si>
    <t>9795</t>
  </si>
  <si>
    <t>Starting at Fri Aug 30 2024 00:41:26 GMT-0400 (EDT)</t>
  </si>
  <si>
    <t>1TnQzxIyN376HQCUZeI5FTuZmS7k2MHg8</t>
  </si>
  <si>
    <t>https://drive.google.com/file/d/1TnQzxIyN376HQCUZeI5FTuZmS7k2MHg8/view?usp=drivesdk</t>
  </si>
  <si>
    <t xml:space="preserve">Nur Asiah Jamil </t>
  </si>
  <si>
    <t>nurasiahjamil.yudi@gmail.com</t>
  </si>
  <si>
    <t>9796</t>
  </si>
  <si>
    <t>1YkuW6DcZeE26tFATklH4YBu8dhDKu3VE</t>
  </si>
  <si>
    <t>https://drive.google.com/file/d/1YkuW6DcZeE26tFATklH4YBu8dhDKu3VE/view?usp=drivesdk</t>
  </si>
  <si>
    <t>Document successfully created; Document successfully merged; PDF created; !!Error Sending Emails: Service invoked too many times for one day: email.; Run via form trigger as ecertificate75@gmail.com; Timestamp: Sep 17 2024 1:46 AM</t>
  </si>
  <si>
    <t>ZUHARIYAH SALIM</t>
  </si>
  <si>
    <t>zuhariyah@yahoo.com</t>
  </si>
  <si>
    <t>9797</t>
  </si>
  <si>
    <t>Starting at Fri Aug 30 2024 00:41:36 GMT-0400 (EDT)</t>
  </si>
  <si>
    <t>1luRk8iJBq3WwSAMxCp84hhdIPCeJ2Ft3</t>
  </si>
  <si>
    <t>https://drive.google.com/file/d/1luRk8iJBq3WwSAMxCp84hhdIPCeJ2Ft3/view?usp=drivesdk</t>
  </si>
  <si>
    <t>saenal06@gmail.com</t>
  </si>
  <si>
    <t>9798</t>
  </si>
  <si>
    <t>Starting at Fri Aug 30 2024 00:41:40 GMT-0400 (EDT)</t>
  </si>
  <si>
    <t>1SFF9QpoBBMXf65Ke9zcAA8-P7cMYfL-r</t>
  </si>
  <si>
    <t>https://drive.google.com/file/d/1SFF9QpoBBMXf65Ke9zcAA8-P7cMYfL-r/view?usp=drivesdk</t>
  </si>
  <si>
    <t>Document successfully created; Document successfully merged; PDF created; !!Error Sending Emails: Service invoked too many times for one day: email.; Run via form trigger as ecertificate75@gmail.com; Timestamp: Sep 17 2024 3:40 AM</t>
  </si>
  <si>
    <t>MAHADI JAYA SUHENDRA</t>
  </si>
  <si>
    <t>mahadi.jayasuhendra01001@polri.go.id</t>
  </si>
  <si>
    <t>9799</t>
  </si>
  <si>
    <t>1dOh12FzdCGTFFkwccuw0O97Ili0X2CRK</t>
  </si>
  <si>
    <t>https://drive.google.com/file/d/1dOh12FzdCGTFFkwccuw0O97Ili0X2CRK/view?usp=drivesdk</t>
  </si>
  <si>
    <t>Document successfully created; Document successfully merged; PDF created; !!Error Sending Emails: Service invoked too many times for one day: email.; Run via form trigger as ecertificate75@gmail.com; Timestamp: Sep 17 2024 3:41 AM</t>
  </si>
  <si>
    <t>MOCHAMAD YUSUP</t>
  </si>
  <si>
    <t>mochamadyusup1970@gmail.com</t>
  </si>
  <si>
    <t>9800</t>
  </si>
  <si>
    <t>Starting at Fri Aug 30 2024 00:42:42 GMT-0400 (EDT)</t>
  </si>
  <si>
    <t>1_jnM9uOEOECBdTXdlCBU_s7478xdJHLX</t>
  </si>
  <si>
    <t>https://drive.google.com/file/d/1_jnM9uOEOECBdTXdlCBU_s7478xdJHLX/view?usp=drivesdk</t>
  </si>
  <si>
    <t>SUSILAWATI, SKM</t>
  </si>
  <si>
    <t>susiilyas14@gmail.com</t>
  </si>
  <si>
    <t>9801</t>
  </si>
  <si>
    <t>1611SOIfHiVhBSf--UsHikp84kOQUOd3P</t>
  </si>
  <si>
    <t>https://drive.google.com/file/d/1611SOIfHiVhBSf--UsHikp84kOQUOd3P/view?usp=drivesdk</t>
  </si>
  <si>
    <t>MARIA ULFAH</t>
  </si>
  <si>
    <t>lalu.indra2013@gmail.com</t>
  </si>
  <si>
    <t>9802</t>
  </si>
  <si>
    <t>Starting at Fri Aug 30 2024 00:43:15 GMT-0400 (EDT)</t>
  </si>
  <si>
    <t>1avih9kzT-SGHr7i1Du0gqEPr6RzN_bjR</t>
  </si>
  <si>
    <t>https://drive.google.com/file/d/1avih9kzT-SGHr7i1Du0gqEPr6RzN_bjR/view?usp=drivesdk</t>
  </si>
  <si>
    <t>YOSSY ZULVIANTI H</t>
  </si>
  <si>
    <t>Harahapyossy530@gmail.com</t>
  </si>
  <si>
    <t>9803</t>
  </si>
  <si>
    <t>1PCn1VQghIgij12gi1fieYTuKcUxrK48b</t>
  </si>
  <si>
    <t>https://drive.google.com/file/d/1PCn1VQghIgij12gi1fieYTuKcUxrK48b/view?usp=drivesdk</t>
  </si>
  <si>
    <t>Document successfully created; Document successfully merged; PDF created; !!Error Sending Emails: Service invoked too many times for one day: email.; Run via form trigger as ecertificate75@gmail.com; Timestamp: Sep 17 2024 3:42 AM</t>
  </si>
  <si>
    <t>ANISAH</t>
  </si>
  <si>
    <t>nisasibolga@gmail.com</t>
  </si>
  <si>
    <t>9804</t>
  </si>
  <si>
    <t>Starting at Fri Aug 30 2024 00:43:19 GMT-0400 (EDT)</t>
  </si>
  <si>
    <t>1zpz1Efaariv5Ia17xgLZKGvnn7zKHmE4</t>
  </si>
  <si>
    <t>https://drive.google.com/file/d/1zpz1Efaariv5Ia17xgLZKGvnn7zKHmE4/view?usp=drivesdk</t>
  </si>
  <si>
    <t>YURNITA, S.M. M.Si</t>
  </si>
  <si>
    <t>yurnita35@gmail.com</t>
  </si>
  <si>
    <t>9805</t>
  </si>
  <si>
    <t>Starting at Fri Aug 30 2024 00:43:43 GMT-0400 (EDT)</t>
  </si>
  <si>
    <t>1zWcQtOIBnNgUem2cgyka0PofNC6jP8Eh</t>
  </si>
  <si>
    <t>https://drive.google.com/file/d/1zWcQtOIBnNgUem2cgyka0PofNC6jP8Eh/view?usp=drivesdk</t>
  </si>
  <si>
    <t>AMELIA POHAN</t>
  </si>
  <si>
    <t>amelia.pooh30@gmail.con</t>
  </si>
  <si>
    <t>9806</t>
  </si>
  <si>
    <t>1j0E5OahA2mofAbGMscytsV96vFS9hy5L</t>
  </si>
  <si>
    <t>https://drive.google.com/file/d/1j0E5OahA2mofAbGMscytsV96vFS9hy5L/view?usp=drivesdk</t>
  </si>
  <si>
    <t>Denik Isnu Wardani</t>
  </si>
  <si>
    <t>denikisnuwardani574@gmail.com</t>
  </si>
  <si>
    <t>9807</t>
  </si>
  <si>
    <t>Starting at Fri Aug 30 2024 00:43:52 GMT-0400 (EDT)</t>
  </si>
  <si>
    <t>1rvqgFf-akoK7XBxZBWMO44HhgiqpMJPM</t>
  </si>
  <si>
    <t>https://drive.google.com/file/d/1rvqgFf-akoK7XBxZBWMO44HhgiqpMJPM/view?usp=drivesdk</t>
  </si>
  <si>
    <t>SUPATMIATI,S.K.M</t>
  </si>
  <si>
    <t>miadiklit2310@gmail.com</t>
  </si>
  <si>
    <t>9808</t>
  </si>
  <si>
    <t>Starting at Fri Aug 30 2024 00:44:04 GMT-0400 (EDT)</t>
  </si>
  <si>
    <t>16tqWIwer_mNCJ2cXyR0a0mx5haX8Y_H_</t>
  </si>
  <si>
    <t>https://drive.google.com/file/d/16tqWIwer_mNCJ2cXyR0a0mx5haX8Y_H_/view?usp=drivesdk</t>
  </si>
  <si>
    <t>Document successfully created; Document successfully merged; PDF created; !!Error Sending Emails: Service invoked too many times for one day: email.; Run via form trigger as ecertificate75@gmail.com; Timestamp: Sep 17 2024 3:43 AM</t>
  </si>
  <si>
    <t>urkeubirosdmpoldasumut@gmail.com</t>
  </si>
  <si>
    <t>9809</t>
  </si>
  <si>
    <t>Starting at Fri Aug 30 2024 00:44:17 GMT-0400 (EDT)</t>
  </si>
  <si>
    <t>1P_e9Qwr8t_OFctt2KRC0GpdVvR0U9Fon</t>
  </si>
  <si>
    <t>https://drive.google.com/file/d/1P_e9Qwr8t_OFctt2KRC0GpdVvR0U9Fon/view?usp=drivesdk</t>
  </si>
  <si>
    <t>NI NYOMAN SUNDARIANTI,S.Sos</t>
  </si>
  <si>
    <t>chocolatos79@gmail.com</t>
  </si>
  <si>
    <t>9810</t>
  </si>
  <si>
    <t>1esrccPMN83XAEevO3C_pm2HBSQspUjTE</t>
  </si>
  <si>
    <t>https://drive.google.com/file/d/1esrccPMN83XAEevO3C_pm2HBSQspUjTE/view?usp=drivesdk</t>
  </si>
  <si>
    <t>LAILIYAH</t>
  </si>
  <si>
    <t>lailiyah22001@polri.go.id</t>
  </si>
  <si>
    <t>9811</t>
  </si>
  <si>
    <t>1Iv6-yEImvXbzEFaVc0vcaIym6MCePeU1</t>
  </si>
  <si>
    <t>https://drive.google.com/file/d/1Iv6-yEImvXbzEFaVc0vcaIym6MCePeU1/view?usp=drivesdk</t>
  </si>
  <si>
    <t>DARTI, S.E.</t>
  </si>
  <si>
    <t>darti_coy@yahoo.co.id</t>
  </si>
  <si>
    <t>9812</t>
  </si>
  <si>
    <t>Starting at Fri Aug 30 2024 00:44:36 GMT-0400 (EDT)</t>
  </si>
  <si>
    <t>1SV1ZklxqAyCSjYs_MDTWM_ptXcYX78yx</t>
  </si>
  <si>
    <t>https://drive.google.com/file/d/1SV1ZklxqAyCSjYs_MDTWM_ptXcYX78yx/view?usp=drivesdk</t>
  </si>
  <si>
    <t>Document successfully created; Document successfully merged; PDF created; !!Error Sending Emails: Service invoked too many times for one day: email.; Run via form trigger as ecertificate75@gmail.com; Timestamp: Sep 17 2024 3:44 AM</t>
  </si>
  <si>
    <t>9813</t>
  </si>
  <si>
    <t>1Qdt9dPOJMjWfeRBvuBbBAW6LVBq_o7ps</t>
  </si>
  <si>
    <t>https://drive.google.com/file/d/1Qdt9dPOJMjWfeRBvuBbBAW6LVBq_o7ps/view?usp=drivesdk</t>
  </si>
  <si>
    <t>ZUL ELMI</t>
  </si>
  <si>
    <t>nemireskrim@gmail.com</t>
  </si>
  <si>
    <t>9814</t>
  </si>
  <si>
    <t>Starting at Fri Aug 30 2024 00:45:16 GMT-0400 (EDT)</t>
  </si>
  <si>
    <t>1aoGlFzO8M8DL-6-ahzwKKJApf6Bu8ThI</t>
  </si>
  <si>
    <t>https://drive.google.com/file/d/1aoGlFzO8M8DL-6-ahzwKKJApf6Bu8ThI/view?usp=drivesdk</t>
  </si>
  <si>
    <t>SOEGENG WAHJUDI</t>
  </si>
  <si>
    <t>soegeng68@gmail.com</t>
  </si>
  <si>
    <t>9815</t>
  </si>
  <si>
    <t>1SCvA_R_xVYU9pJG6shFhjWGWcF2kF85O</t>
  </si>
  <si>
    <t>https://drive.google.com/file/d/1SCvA_R_xVYU9pJG6shFhjWGWcF2kF85O/view?usp=drivesdk</t>
  </si>
  <si>
    <t>RUSTANI SIRAIT, S.KM</t>
  </si>
  <si>
    <t>thirzacatherine@gmail.com</t>
  </si>
  <si>
    <t>9816</t>
  </si>
  <si>
    <t>Starting at Fri Aug 30 2024 00:45:22 GMT-0400 (EDT)</t>
  </si>
  <si>
    <t>1YEBDb-3w1vuIJyNKXXVPNhchh3OwuS2Z</t>
  </si>
  <si>
    <t>https://drive.google.com/file/d/1YEBDb-3w1vuIJyNKXXVPNhchh3OwuS2Z/view?usp=drivesdk</t>
  </si>
  <si>
    <t>Document successfully created; Document successfully merged; PDF created; !!Error Sending Emails: Service invoked too many times for one day: email.; Run via form trigger as ecertificate75@gmail.com; Timestamp: Sep 17 2024 3:45 AM</t>
  </si>
  <si>
    <t>ADI ROSADIAN, SE</t>
  </si>
  <si>
    <t>adi.rosadian96@gmail.con</t>
  </si>
  <si>
    <t>9817</t>
  </si>
  <si>
    <t>Starting at Fri Aug 30 2024 00:45:52 GMT-0400 (EDT)</t>
  </si>
  <si>
    <t>1Ki6k6qMvduBDJkF4qd1kHdOOf9oZBF5V</t>
  </si>
  <si>
    <t>https://drive.google.com/file/d/1Ki6k6qMvduBDJkF4qd1kHdOOf9oZBF5V/view?usp=drivesdk</t>
  </si>
  <si>
    <t>Intan Cahyanti Sugianto, S.Kep.,Ns</t>
  </si>
  <si>
    <t>intancahyantisugianto@gmail.com</t>
  </si>
  <si>
    <t>9818</t>
  </si>
  <si>
    <t>15QhPVWHIvaurNqK63ICqXowa2-SBs-Ud</t>
  </si>
  <si>
    <t>https://drive.google.com/file/d/15QhPVWHIvaurNqK63ICqXowa2-SBs-Ud/view?usp=drivesdk</t>
  </si>
  <si>
    <t>Document successfully created; Document successfully merged; PDF created; !!Error Sending Emails: Service invoked too many times for one day: email.; Run via form trigger as ecertificate75@gmail.com; Timestamp: Sep 17 2024 9:42 AM</t>
  </si>
  <si>
    <t xml:space="preserve">MAKHFIRAH </t>
  </si>
  <si>
    <t>9819</t>
  </si>
  <si>
    <t>Starting at Fri Aug 30 2024 00:45:58 GMT-0400 (EDT)</t>
  </si>
  <si>
    <t>1UahZRZYgkoy3BDr5IHKANROa5IlKTUx8</t>
  </si>
  <si>
    <t>https://drive.google.com/file/d/1UahZRZYgkoy3BDr5IHKANROa5IlKTUx8/view?usp=drivesdk</t>
  </si>
  <si>
    <t>BAKRI BAKRI</t>
  </si>
  <si>
    <t>bakri.rsb30@gmail.com</t>
  </si>
  <si>
    <t>9820</t>
  </si>
  <si>
    <t>Starting at Fri Aug 30 2024 00:46:14 GMT-0400 (EDT)</t>
  </si>
  <si>
    <t>1tJlZmFrclUQJcKXqv8WZ5hUIjtwyXAm3</t>
  </si>
  <si>
    <t>https://drive.google.com/file/d/1tJlZmFrclUQJcKXqv8WZ5hUIjtwyXAm3/view?usp=drivesdk</t>
  </si>
  <si>
    <t>MOHAMMAD KHOIRUL, S.H.</t>
  </si>
  <si>
    <t>ppkresmalang@gmail.com</t>
  </si>
  <si>
    <t>9821</t>
  </si>
  <si>
    <t>Starting at Fri Aug 30 2024 00:46:40 GMT-0400 (EDT)</t>
  </si>
  <si>
    <t>1a8DRPZX1SnSeTTz5Bh_KXoYKLL8pPCqj</t>
  </si>
  <si>
    <t>https://drive.google.com/file/d/1a8DRPZX1SnSeTTz5Bh_KXoYKLL8pPCqj/view?usp=drivesdk</t>
  </si>
  <si>
    <t>PERDIN</t>
  </si>
  <si>
    <t>din.ghina78@gmail.com</t>
  </si>
  <si>
    <t>9822</t>
  </si>
  <si>
    <t>1g8wCWUiDuIakCOV45NCRmTxv8URCBaaN</t>
  </si>
  <si>
    <t>https://drive.google.com/file/d/1g8wCWUiDuIakCOV45NCRmTxv8URCBaaN/view?usp=drivesdk</t>
  </si>
  <si>
    <t>Document successfully created; Document successfully merged; PDF created; !!Error Sending Emails: Service invoked too many times for one day: email.; Run via form trigger as ecertificate75@gmail.com; Timestamp: Sep 17 2024 9:43 AM</t>
  </si>
  <si>
    <t xml:space="preserve">SITI MUNAWAROH </t>
  </si>
  <si>
    <t>sitim5798@gmail.com</t>
  </si>
  <si>
    <t>9823</t>
  </si>
  <si>
    <t>Starting at Fri Aug 30 2024 00:46:45 GMT-0400 (EDT)</t>
  </si>
  <si>
    <t>1X0apLeRgB6IhZRtb2Z-AZJOrexTK-ASc</t>
  </si>
  <si>
    <t>https://drive.google.com/file/d/1X0apLeRgB6IhZRtb2Z-AZJOrexTK-ASc/view?usp=drivesdk</t>
  </si>
  <si>
    <t>AGUS WALUYO</t>
  </si>
  <si>
    <t>luckyluck030376@gmail.com</t>
  </si>
  <si>
    <t>9824</t>
  </si>
  <si>
    <t>Starting at Fri Aug 30 2024 00:47:05 GMT-0400 (EDT)</t>
  </si>
  <si>
    <t>1gmW9FegJU-10RWeXPgRs-aVvSS9Ud7Y3</t>
  </si>
  <si>
    <t>https://drive.google.com/file/d/1gmW9FegJU-10RWeXPgRs-aVvSS9Ud7Y3/view?usp=drivesdk</t>
  </si>
  <si>
    <t>PRATIWI AGUSTINE, A.Md.A.K</t>
  </si>
  <si>
    <t>pratiwiagustine22@gmail.com</t>
  </si>
  <si>
    <t>9825</t>
  </si>
  <si>
    <t>1vnPOj5TPqzblIfGiM51-Sr6PwrL0FidF</t>
  </si>
  <si>
    <t>https://drive.google.com/file/d/1vnPOj5TPqzblIfGiM51-Sr6PwrL0FidF/view?usp=drivesdk</t>
  </si>
  <si>
    <t>Document successfully created; Document successfully merged; PDF created; !!Error Sending Emails: Service invoked too many times for one day: email.; Run via form trigger as ecertificate75@gmail.com; Timestamp: Sep 17 2024 9:44 AM</t>
  </si>
  <si>
    <t>LAPARDI PADANG</t>
  </si>
  <si>
    <t>strajemen05pb@gmail.com</t>
  </si>
  <si>
    <t>9826</t>
  </si>
  <si>
    <t>Starting at Fri Aug 30 2024 00:47:21 GMT-0400 (EDT)</t>
  </si>
  <si>
    <t>1dFmgi9cnSda6eznvQkeBYJAw3V5aUJjj</t>
  </si>
  <si>
    <t>https://drive.google.com/file/d/1dFmgi9cnSda6eznvQkeBYJAw3V5aUJjj/view?usp=drivesdk</t>
  </si>
  <si>
    <t>9827</t>
  </si>
  <si>
    <t>Starting at Fri Aug 30 2024 00:47:27 GMT-0400 (EDT)</t>
  </si>
  <si>
    <t>1y6lyfaAbKBHLJw0Wp-A-sPQi-43oGhOw</t>
  </si>
  <si>
    <t>https://drive.google.com/file/d/1y6lyfaAbKBHLJw0Wp-A-sPQi-43oGhOw/view?usp=drivesdk</t>
  </si>
  <si>
    <t>Hj.ASNIA SAIS, S.ST.M.Kes</t>
  </si>
  <si>
    <t>hj.asniasaid170579@gmail.com</t>
  </si>
  <si>
    <t>9828</t>
  </si>
  <si>
    <t>Starting at Fri Aug 30 2024 00:48:10 GMT-0400 (EDT)</t>
  </si>
  <si>
    <t>1munHMwlqW_GaesOTR_DVePeuVgzXBH34</t>
  </si>
  <si>
    <t>https://drive.google.com/file/d/1munHMwlqW_GaesOTR_DVePeuVgzXBH34/view?usp=drivesdk</t>
  </si>
  <si>
    <t>dr. RATNA MINANDA FITRYANI</t>
  </si>
  <si>
    <t>ratna.minanda@gmail.com</t>
  </si>
  <si>
    <t>9829</t>
  </si>
  <si>
    <t>1FdZEpZOu-qEO3SziEpnoPEoDoQqtSyFy</t>
  </si>
  <si>
    <t>https://drive.google.com/file/d/1FdZEpZOu-qEO3SziEpnoPEoDoQqtSyFy/view?usp=drivesdk</t>
  </si>
  <si>
    <t>RISTIANA WIDHIASTUTI, S.E., M.M.</t>
  </si>
  <si>
    <t>ristianawidhi76@gmail.com</t>
  </si>
  <si>
    <t>9830</t>
  </si>
  <si>
    <t>Starting at Fri Aug 30 2024 00:48:30 GMT-0400 (EDT)</t>
  </si>
  <si>
    <t>199Vg770XUX1aP2NcmLtRTVWt-2sR7aKi</t>
  </si>
  <si>
    <t>https://drive.google.com/file/d/199Vg770XUX1aP2NcmLtRTVWt-2sR7aKi/view?usp=drivesdk</t>
  </si>
  <si>
    <t>Document successfully created; Document successfully merged; PDF created; !!Error Sending Emails: Service invoked too many times for one day: email.; Run via form trigger as ecertificate75@gmail.com; Timestamp: Sep 17 2024 9:45 AM</t>
  </si>
  <si>
    <t>SUHATIMA,S.H.</t>
  </si>
  <si>
    <t>9831</t>
  </si>
  <si>
    <t>Starting at Fri Aug 30 2024 00:48:51 GMT-0400 (EDT)</t>
  </si>
  <si>
    <t>1XrtYKVhMFZVuDrEKcLBK_R2QDAASvTqW</t>
  </si>
  <si>
    <t>https://drive.google.com/file/d/1XrtYKVhMFZVuDrEKcLBK_R2QDAASvTqW/view?usp=drivesdk</t>
  </si>
  <si>
    <t>SYNTIA EMILYA, A.MK</t>
  </si>
  <si>
    <t>emilyasyntia@gmail.com</t>
  </si>
  <si>
    <t>9832</t>
  </si>
  <si>
    <t>1mAp4-4RhLr_NJ-j4fr7YzyOw2iaMgc4R</t>
  </si>
  <si>
    <t>https://drive.google.com/file/d/1mAp4-4RhLr_NJ-j4fr7YzyOw2iaMgc4R/view?usp=drivesdk</t>
  </si>
  <si>
    <t>Dyah Retno Palupi</t>
  </si>
  <si>
    <t>dyahpalupi0803@gmail.com</t>
  </si>
  <si>
    <t>9833</t>
  </si>
  <si>
    <t>Starting at Fri Aug 30 2024 00:51:11 GMT-0400 (EDT)</t>
  </si>
  <si>
    <t>1v2qielo-cwy_FoavxSFMAG36ell3fsu_</t>
  </si>
  <si>
    <t>https://drive.google.com/file/d/1v2qielo-cwy_FoavxSFMAG36ell3fsu_/view?usp=drivesdk</t>
  </si>
  <si>
    <t>MARITA GRATIA ALLEINE RIRY, S.E.</t>
  </si>
  <si>
    <t>maritaresbogorkota@gmail.com</t>
  </si>
  <si>
    <t>9834</t>
  </si>
  <si>
    <t>16dtzYl6h2kn08pbmTbEd_qtwz6_5rGAl</t>
  </si>
  <si>
    <t>https://drive.google.com/file/d/16dtzYl6h2kn08pbmTbEd_qtwz6_5rGAl/view?usp=drivesdk</t>
  </si>
  <si>
    <t>Document successfully created; Document successfully merged; PDF created; !!Error Sending Emails: Service invoked too many times for one day: email.; Run via form trigger as ecertificate75@gmail.com; Timestamp: Sep 17 2024 9:46 AM</t>
  </si>
  <si>
    <t>LYNA MARLYNA DIPL.RAD</t>
  </si>
  <si>
    <t>marlynarizki@gmail.com</t>
  </si>
  <si>
    <t>9835</t>
  </si>
  <si>
    <t>1OmHURoZi6dKeUA0Fahnr9wXRtHI2_BG0</t>
  </si>
  <si>
    <t>https://drive.google.com/file/d/1OmHURoZi6dKeUA0Fahnr9wXRtHI2_BG0/view?usp=drivesdk</t>
  </si>
  <si>
    <t>MITA YULIAWATI, A.Md.Gizi</t>
  </si>
  <si>
    <t>yuliawatimita96@gmail.com</t>
  </si>
  <si>
    <t>9836</t>
  </si>
  <si>
    <t>1BeigvsIfOLtzEqP7JqYOjMGp8QjN-xCz</t>
  </si>
  <si>
    <t>https://drive.google.com/file/d/1BeigvsIfOLtzEqP7JqYOjMGp8QjN-xCz/view?usp=drivesdk</t>
  </si>
  <si>
    <t>JENNI KALLOLANGI</t>
  </si>
  <si>
    <t>jenni1401jenni@gmail.com</t>
  </si>
  <si>
    <t>9837</t>
  </si>
  <si>
    <t>1ltTKJ30Z9H5m_P4JOCs0DTCdwwNoMX_2</t>
  </si>
  <si>
    <t>https://drive.google.com/file/d/1ltTKJ30Z9H5m_P4JOCs0DTCdwwNoMX_2/view?usp=drivesdk</t>
  </si>
  <si>
    <t>Document successfully created; Document successfully merged; PDF created; Emails Sent: [To: jenni1401jenni@gmail.com]; Run via form trigger as ecertificate75@gmail.com; Timestamp: Sep 17 2024 9:51 PM</t>
  </si>
  <si>
    <t>Retno Dharmayanti A. Md</t>
  </si>
  <si>
    <t>retnodharmayantii@gmail.com</t>
  </si>
  <si>
    <t>9838</t>
  </si>
  <si>
    <t>1fvg0gq38OWncWXguBWZ5CfUk34thisaV</t>
  </si>
  <si>
    <t>https://drive.google.com/file/d/1fvg0gq38OWncWXguBWZ5CfUk34thisaV/view?usp=drivesdk</t>
  </si>
  <si>
    <t>Document successfully created; Document successfully merged; PDF created; Emails Sent: [To: retnodharmayantii@gmail.com]; Run via form trigger as ecertificate75@gmail.com; Timestamp: Sep 17 2024 9:51 PM</t>
  </si>
  <si>
    <t>SITTI ARAFAH</t>
  </si>
  <si>
    <t>sittiarafah1983@gmail.com</t>
  </si>
  <si>
    <t>9839</t>
  </si>
  <si>
    <t>1OKqtVtqulBdpUcVtrIjSYOT1s5_iDzND</t>
  </si>
  <si>
    <t>https://drive.google.com/file/d/1OKqtVtqulBdpUcVtrIjSYOT1s5_iDzND/view?usp=drivesdk</t>
  </si>
  <si>
    <t>Document successfully created; Document successfully merged; PDF created; Emails Sent: [To: sittiarafah1983@gmail.com]; Run via form trigger as ecertificate75@gmail.com; Timestamp: Sep 17 2024 9:51 PM</t>
  </si>
  <si>
    <t>ILHAM.SE</t>
  </si>
  <si>
    <t>ilhammanda26@gmail.com</t>
  </si>
  <si>
    <t>9840</t>
  </si>
  <si>
    <t>1PdTtZLNn_zQOxlDdegHSKnB-ZSerQ154</t>
  </si>
  <si>
    <t>https://drive.google.com/file/d/1PdTtZLNn_zQOxlDdegHSKnB-ZSerQ154/view?usp=drivesdk</t>
  </si>
  <si>
    <t>Document successfully created; Document successfully merged; PDF created; Emails Sent: [To: ilhammanda26@gmail.com]; Run via form trigger as ecertificate75@gmail.com; Timestamp: Sep 17 2024 9:51 PM</t>
  </si>
  <si>
    <t>Abdul Rokim, Amd.kep</t>
  </si>
  <si>
    <t>abdulrokim151@gmail.com</t>
  </si>
  <si>
    <t>9841</t>
  </si>
  <si>
    <t>Starting at Fri Aug 30 2024 00:52:47 GMT-0400 (EDT)</t>
  </si>
  <si>
    <t>1TV3CVgh_VOWJWgH54SkS1ZFyabvIQJBt</t>
  </si>
  <si>
    <t>https://drive.google.com/file/d/1TV3CVgh_VOWJWgH54SkS1ZFyabvIQJBt/view?usp=drivesdk</t>
  </si>
  <si>
    <t>Document successfully created; Document successfully merged; PDF created; Emails Sent: [To: abdulrokim151@gmail.com]; Run via form trigger as ecertificate75@gmail.com; Timestamp: Sep 17 2024 9:51 PM</t>
  </si>
  <si>
    <t>SULIT STYONO BUDI PRAKOSO, A.Md</t>
  </si>
  <si>
    <t>budiprakoso5757@gmail.com</t>
  </si>
  <si>
    <t>9842</t>
  </si>
  <si>
    <t>1tE9B0cIdrwOZzB2reRtAuonpAF3kX-nZ</t>
  </si>
  <si>
    <t>https://drive.google.com/file/d/1tE9B0cIdrwOZzB2reRtAuonpAF3kX-nZ/view?usp=drivesdk</t>
  </si>
  <si>
    <t>Document successfully created; Document successfully merged; PDF created; Emails Sent: [To: budiprakoso5757@gmail.com]; Run via form trigger as ecertificate75@gmail.com; Timestamp: Sep 17 2024 9:52 PM</t>
  </si>
  <si>
    <t>dyotata10@gmail.com</t>
  </si>
  <si>
    <t>9843</t>
  </si>
  <si>
    <t>18eR0ni2KbFfQwuEBz2Ox0ngD85QqfrPR</t>
  </si>
  <si>
    <t>https://drive.google.com/file/d/18eR0ni2KbFfQwuEBz2Ox0ngD85QqfrPR/view?usp=drivesdk</t>
  </si>
  <si>
    <t>Document successfully created; Document successfully merged; PDF created; Emails Sent: [To: dyotata10@gmail.com]; Run via form trigger as ecertificate75@gmail.com; Timestamp: Sep 17 2024 9:52 PM</t>
  </si>
  <si>
    <t>DARMIATI,SKM</t>
  </si>
  <si>
    <t>darmikahar@gmail.com</t>
  </si>
  <si>
    <t>9844</t>
  </si>
  <si>
    <t>1X0y8Cc5616qddQ9ypXVitco8gW5sSfOr</t>
  </si>
  <si>
    <t>https://drive.google.com/file/d/1X0y8Cc5616qddQ9ypXVitco8gW5sSfOr/view?usp=drivesdk</t>
  </si>
  <si>
    <t>Document successfully created; Document successfully merged; PDF created; Emails Sent: [To: darmikahar@gmail.com]; Run via form trigger as ecertificate75@gmail.com; Timestamp: Sep 17 2024 9:52 PM</t>
  </si>
  <si>
    <t>ASMIYATI,SKM</t>
  </si>
  <si>
    <t>asmiyatiasmi75@gmail.com</t>
  </si>
  <si>
    <t>9845</t>
  </si>
  <si>
    <t>1oROcjcCA92cDFiMeX86SWjK3T8I-fZBe</t>
  </si>
  <si>
    <t>https://drive.google.com/file/d/1oROcjcCA92cDFiMeX86SWjK3T8I-fZBe/view?usp=drivesdk</t>
  </si>
  <si>
    <t>Document successfully created; Document successfully merged; PDF created; Emails Sent: [To: asmiyatiasmi75@gmail.com]; Run via form trigger as ecertificate75@gmail.com; Timestamp: Sep 17 2024 9:52 PM</t>
  </si>
  <si>
    <t>RINI MUTIARAWATI</t>
  </si>
  <si>
    <t>bundarini083@gmail.com</t>
  </si>
  <si>
    <t>9846</t>
  </si>
  <si>
    <t>1Df9URegSS_xuyUrjaC5IhG2zhz2Rbr_g</t>
  </si>
  <si>
    <t>https://drive.google.com/file/d/1Df9URegSS_xuyUrjaC5IhG2zhz2Rbr_g/view?usp=drivesdk</t>
  </si>
  <si>
    <t>Document successfully created; Document successfully merged; PDF created; Emails Sent: [To: bundarini083@gmail.com]; Run via form trigger as ecertificate75@gmail.com; Timestamp: Sep 17 2024 9:52 PM</t>
  </si>
  <si>
    <t>ELVANA LAELASARI, SE</t>
  </si>
  <si>
    <t>elvanalaelasari@gmail.com</t>
  </si>
  <si>
    <t>9847</t>
  </si>
  <si>
    <t>15RjU9ZzcwXD_dM90Mfql9LmE90M-YqH5</t>
  </si>
  <si>
    <t>https://drive.google.com/file/d/15RjU9ZzcwXD_dM90Mfql9LmE90M-YqH5/view?usp=drivesdk</t>
  </si>
  <si>
    <t>Document successfully created; Document successfully merged; PDF created; Emails Sent: [To: elvanalaelasari@gmail.com]; Run via form trigger as ecertificate75@gmail.com; Timestamp: Sep 17 2024 9:52 PM</t>
  </si>
  <si>
    <t>dr. Fitri Yusnitasari, Sp. Rad. MM</t>
  </si>
  <si>
    <t>yusnitasarifitri@gmail.com</t>
  </si>
  <si>
    <t>9848</t>
  </si>
  <si>
    <t>Starting at Fri Aug 30 2024 00:53:34 GMT-0400 (EDT)</t>
  </si>
  <si>
    <t>1KKQTyV_8xEt959N5KNDSQXVM1oZBTpvD</t>
  </si>
  <si>
    <t>https://drive.google.com/file/d/1KKQTyV_8xEt959N5KNDSQXVM1oZBTpvD/view?usp=drivesdk</t>
  </si>
  <si>
    <t>Document successfully created; Document successfully merged; PDF created; Emails Sent: [To: yusnitasarifitri@gmail.com]; Run via form trigger as ecertificate75@gmail.com; Timestamp: Sep 17 2024 9:53 PM</t>
  </si>
  <si>
    <t>DWI YUSRIANI YUSUF</t>
  </si>
  <si>
    <t>dwiyy37@gmail.com</t>
  </si>
  <si>
    <t>9849</t>
  </si>
  <si>
    <t>1HrY6U_vk8_f8U6YmrWoY40hp41mGQE17</t>
  </si>
  <si>
    <t>https://drive.google.com/file/d/1HrY6U_vk8_f8U6YmrWoY40hp41mGQE17/view?usp=drivesdk</t>
  </si>
  <si>
    <t>Document successfully created; Document successfully merged; PDF created; Emails Sent: [To: dwiyy37@gmail.com]; Run via form trigger as ecertificate75@gmail.com; Timestamp: Sep 17 2024 9:53 PM</t>
  </si>
  <si>
    <t>ELI NURAENI</t>
  </si>
  <si>
    <t>elinuraeni472@gmail.com</t>
  </si>
  <si>
    <t>9850</t>
  </si>
  <si>
    <t>1Quu82EnQR_K6GyGYaFKDf5MpGdRhUgZU</t>
  </si>
  <si>
    <t>https://drive.google.com/file/d/1Quu82EnQR_K6GyGYaFKDf5MpGdRhUgZU/view?usp=drivesdk</t>
  </si>
  <si>
    <t>Document successfully created; Document successfully merged; PDF created; Emails Sent: [To: elinuraeni472@gmail.com]; Run via form trigger as ecertificate75@gmail.com; Timestamp: Sep 17 2024 9:53 PM</t>
  </si>
  <si>
    <t>DEWI MERDEKA WATI</t>
  </si>
  <si>
    <t>merdekawatidewi1@gmail.com</t>
  </si>
  <si>
    <t>9851</t>
  </si>
  <si>
    <t>1RHCK9z4goLDovAbU8cKssbO9otgbIEt4</t>
  </si>
  <si>
    <t>https://drive.google.com/file/d/1RHCK9z4goLDovAbU8cKssbO9otgbIEt4/view?usp=drivesdk</t>
  </si>
  <si>
    <t>Document successfully created; Document successfully merged; PDF created; Emails Sent: [To: merdekawatidewi1@gmail.com]; Run via form trigger as ecertificate75@gmail.com; Timestamp: Sep 17 2024 9:53 PM</t>
  </si>
  <si>
    <t xml:space="preserve">FERNIDA SUSIYANTI. S. E. </t>
  </si>
  <si>
    <t>logsusi3@gmail.com</t>
  </si>
  <si>
    <t>9852</t>
  </si>
  <si>
    <t>1n4wp8UHbIyPzS-uoeqsEFORm1Tggqnkw</t>
  </si>
  <si>
    <t>https://drive.google.com/file/d/1n4wp8UHbIyPzS-uoeqsEFORm1Tggqnkw/view?usp=drivesdk</t>
  </si>
  <si>
    <t>Document successfully created; Document successfully merged; PDF created; Emails Sent: [To: logsusi3@gmail.com]; Run via form trigger as ecertificate75@gmail.com; Timestamp: Sep 17 2024 9:53 PM</t>
  </si>
  <si>
    <t>maritanoniie26@gmail.com</t>
  </si>
  <si>
    <t>9853</t>
  </si>
  <si>
    <t>Starting at Fri Aug 30 2024 00:53:48 GMT-0400 (EDT)</t>
  </si>
  <si>
    <t>1Yt9V6pwCshB06W3zqfuETAdRCnfVuKDZ</t>
  </si>
  <si>
    <t>https://drive.google.com/file/d/1Yt9V6pwCshB06W3zqfuETAdRCnfVuKDZ/view?usp=drivesdk</t>
  </si>
  <si>
    <t>Document successfully created; Document successfully merged; PDF created; Emails Sent: [To: maritanoniie26@gmail.com]; Run via form trigger as ecertificate75@gmail.com; Timestamp: Sep 17 2024 9:54 PM</t>
  </si>
  <si>
    <t>AGUS BASUKI</t>
  </si>
  <si>
    <t>agbasuki54@gmail.com</t>
  </si>
  <si>
    <t>9854</t>
  </si>
  <si>
    <t>Starting at Fri Aug 30 2024 00:53:55 GMT-0400 (EDT)</t>
  </si>
  <si>
    <t>16RiwGZhEoQrmfYfJAWTUwCDyc6aRzoIl</t>
  </si>
  <si>
    <t>https://drive.google.com/file/d/16RiwGZhEoQrmfYfJAWTUwCDyc6aRzoIl/view?usp=drivesdk</t>
  </si>
  <si>
    <t>Document successfully created; Document successfully merged; PDF created; Emails Sent: [To: agbasuki54@gmail.com]; Run via form trigger as ecertificate75@gmail.com; Timestamp: Sep 17 2024 9:54 PM</t>
  </si>
  <si>
    <t>STEVANIA SANDRELY SE</t>
  </si>
  <si>
    <t>benypebrianto1@gmail.com</t>
  </si>
  <si>
    <t>9855</t>
  </si>
  <si>
    <t>Starting at Fri Aug 30 2024 00:54:22 GMT-0400 (EDT)</t>
  </si>
  <si>
    <t>1xnvEaABJh2yNMSWcE-wZQfn15Mg6NmKt</t>
  </si>
  <si>
    <t>https://drive.google.com/file/d/1xnvEaABJh2yNMSWcE-wZQfn15Mg6NmKt/view?usp=drivesdk</t>
  </si>
  <si>
    <t>Document successfully created; Document successfully merged; PDF created; Emails Sent: [To: benypebrianto1@gmail.com]; Run via form trigger as ecertificate75@gmail.com; Timestamp: Sep 17 2024 9:54 PM</t>
  </si>
  <si>
    <t>SUPRIHATIN</t>
  </si>
  <si>
    <t>atin67juni@gmail.com</t>
  </si>
  <si>
    <t>9856</t>
  </si>
  <si>
    <t>Starting at Fri Aug 30 2024 00:54:27 GMT-0400 (EDT)</t>
  </si>
  <si>
    <t>1eUftBEhuOgYCn0O-MIqC9yvu1ZC0RzML</t>
  </si>
  <si>
    <t>https://drive.google.com/file/d/1eUftBEhuOgYCn0O-MIqC9yvu1ZC0RzML/view?usp=drivesdk</t>
  </si>
  <si>
    <t>Document successfully created; Document successfully merged; PDF created; Emails Sent: [To: atin67juni@gmail.com]; Run via form trigger as ecertificate75@gmail.com; Timestamp: Sep 17 2024 9:54 PM</t>
  </si>
  <si>
    <t>ANDAREAS</t>
  </si>
  <si>
    <t>andareastappang968@gmail.com</t>
  </si>
  <si>
    <t>9857</t>
  </si>
  <si>
    <t>Starting at Fri Aug 30 2024 00:55:05 GMT-0400 (EDT)</t>
  </si>
  <si>
    <t>1M-Q4W71sdaFQrKuWzoun4V4vGRAD3m-7</t>
  </si>
  <si>
    <t>https://drive.google.com/file/d/1M-Q4W71sdaFQrKuWzoun4V4vGRAD3m-7/view?usp=drivesdk</t>
  </si>
  <si>
    <t>Document successfully created; Document successfully merged; PDF created; Emails Sent: [To: andareastappang968@gmail.com]; Run via form trigger as ecertificate75@gmail.com; Timestamp: Sep 17 2024 9:54 PM</t>
  </si>
  <si>
    <t>FRITSANNA FONATABA</t>
  </si>
  <si>
    <t>germany.fon23@gmail.com</t>
  </si>
  <si>
    <t>9858</t>
  </si>
  <si>
    <t>Starting at Fri Aug 30 2024 00:55:08 GMT-0400 (EDT)</t>
  </si>
  <si>
    <t>1Oy23x4Yvq-eqh_Cyta_R6LOJkPsKEdBD</t>
  </si>
  <si>
    <t>https://drive.google.com/file/d/1Oy23x4Yvq-eqh_Cyta_R6LOJkPsKEdBD/view?usp=drivesdk</t>
  </si>
  <si>
    <t>Document successfully created; Document successfully merged; PDF created; Emails Sent: [To: germany.fon23@gmail.com]; Run via form trigger as ecertificate75@gmail.com; Timestamp: Sep 17 2024 9:55 PM</t>
  </si>
  <si>
    <t>GANJAR AROHMAN, AMK</t>
  </si>
  <si>
    <t>ganjar.arohman90@gmail.com</t>
  </si>
  <si>
    <t>9859</t>
  </si>
  <si>
    <t>Starting at Fri Aug 30 2024 00:56:20 GMT-0400 (EDT)</t>
  </si>
  <si>
    <t>1UQ71ZFENL0xjrdhFLbv3sWc-IhsIDPJs</t>
  </si>
  <si>
    <t>https://drive.google.com/file/d/1UQ71ZFENL0xjrdhFLbv3sWc-IhsIDPJs/view?usp=drivesdk</t>
  </si>
  <si>
    <t>Document successfully created; Document successfully merged; PDF created; Emails Sent: [To: ganjar.arohman90@gmail.com]; Run via form trigger as ecertificate75@gmail.com; Timestamp: Sep 17 2024 9:55 PM</t>
  </si>
  <si>
    <t>ismailmailjkt1967@gmail.com</t>
  </si>
  <si>
    <t>9860</t>
  </si>
  <si>
    <t>1D5PxJ8S4XFCJJeyjMcrRl8lTNsfVh22u</t>
  </si>
  <si>
    <t>https://drive.google.com/file/d/1D5PxJ8S4XFCJJeyjMcrRl8lTNsfVh22u/view?usp=drivesdk</t>
  </si>
  <si>
    <t>Document successfully created; Document successfully merged; PDF created; Emails Sent: [To: ismailmailjkt1967@gmail.com]; Run via form trigger as ecertificate75@gmail.com; Timestamp: Sep 17 2024 9:55 PM</t>
  </si>
  <si>
    <t>SATRIANI S.KEP.NS</t>
  </si>
  <si>
    <t>satriani.unju@gmail.com</t>
  </si>
  <si>
    <t>9861</t>
  </si>
  <si>
    <t>1WEoYPIl30wPslaqt7h0PGnXre6zBnNzC</t>
  </si>
  <si>
    <t>https://drive.google.com/file/d/1WEoYPIl30wPslaqt7h0PGnXre6zBnNzC/view?usp=drivesdk</t>
  </si>
  <si>
    <t>Document successfully created; Document successfully merged; PDF created; Emails Sent: [To: satriani.unju@gmail.com]; Run via form trigger as ecertificate75@gmail.com; Timestamp: Sep 17 2024 9:55 PM</t>
  </si>
  <si>
    <t>NS. AZRIDA AFRIANA ISHAK, SKM, S.KEP</t>
  </si>
  <si>
    <t>bundataya@gmail.com</t>
  </si>
  <si>
    <t>9862</t>
  </si>
  <si>
    <t>Starting at Fri Aug 30 2024 00:56:24 GMT-0400 (EDT)</t>
  </si>
  <si>
    <t>15K0RHQaF9SYliwOtAeD4S-Sd67lsrb-v</t>
  </si>
  <si>
    <t>https://drive.google.com/file/d/15K0RHQaF9SYliwOtAeD4S-Sd67lsrb-v/view?usp=drivesdk</t>
  </si>
  <si>
    <t>Document successfully created; Document successfully merged; PDF created; Emails Sent: [To: bundataya@gmail.com]; Run via form trigger as ecertificate75@gmail.com; Timestamp: Sep 17 2024 9:55 PM</t>
  </si>
  <si>
    <t>HERRY POERWANTO</t>
  </si>
  <si>
    <t>herrypurw@gmail.com</t>
  </si>
  <si>
    <t>9863</t>
  </si>
  <si>
    <t>Starting at Fri Aug 30 2024 00:56:32 GMT-0400 (EDT)</t>
  </si>
  <si>
    <t>1j-eVLaEf4RHQyeBR3KoRUd1rDdFfWfat</t>
  </si>
  <si>
    <t>https://drive.google.com/file/d/1j-eVLaEf4RHQyeBR3KoRUd1rDdFfWfat/view?usp=drivesdk</t>
  </si>
  <si>
    <t>Document successfully created; Document successfully merged; PDF created; Emails Sent: [To: herrypurw@gmail.com]; Run via form trigger as ecertificate75@gmail.com; Timestamp: Sep 17 2024 10:00 PM</t>
  </si>
  <si>
    <t>NURSALAM SATARAL</t>
  </si>
  <si>
    <t>nursalamsataral2@gmail.com</t>
  </si>
  <si>
    <t>9864</t>
  </si>
  <si>
    <t>Starting at Fri Aug 30 2024 00:56:39 GMT-0400 (EDT)</t>
  </si>
  <si>
    <t>1jsCr4Jxlu14ElhS76M8dlL4lRLx23Ybl</t>
  </si>
  <si>
    <t>https://drive.google.com/file/d/1jsCr4Jxlu14ElhS76M8dlL4lRLx23Ybl/view?usp=drivesdk</t>
  </si>
  <si>
    <t>Document successfully created; Document successfully merged; PDF created; Emails Sent: [To: nursalamsataral2@gmail.com]; Run via form trigger as ecertificate75@gmail.com; Timestamp: Sep 17 2024 10:00 PM</t>
  </si>
  <si>
    <t>HERTINA LUMBANTORUAN</t>
  </si>
  <si>
    <t>hertinalumban2003toruan@gmail.com</t>
  </si>
  <si>
    <t>9865</t>
  </si>
  <si>
    <t>Starting at Fri Aug 30 2024 00:57:06 GMT-0400 (EDT)</t>
  </si>
  <si>
    <t>1ACnJ8FDV4D0kmvZJ54YnRHK2jj8KHXcW</t>
  </si>
  <si>
    <t>https://drive.google.com/file/d/1ACnJ8FDV4D0kmvZJ54YnRHK2jj8KHXcW/view?usp=drivesdk</t>
  </si>
  <si>
    <t>Document successfully created; Document successfully merged; PDF created; Emails Sent: [To: hertinalumban2003toruan@gmail.com]; Run via form trigger as ecertificate75@gmail.com; Timestamp: Sep 17 2024 10:01 PM</t>
  </si>
  <si>
    <t>ACHMAD YUSUP</t>
  </si>
  <si>
    <t>achmad.yusup371@gmail.com</t>
  </si>
  <si>
    <t>9866</t>
  </si>
  <si>
    <t>Starting at Fri Aug 30 2024 00:57:40 GMT-0400 (EDT)</t>
  </si>
  <si>
    <t>1F_KgVfSb_SkMSVQ6GCgSJ5RLA55o5ss4</t>
  </si>
  <si>
    <t>https://drive.google.com/file/d/1F_KgVfSb_SkMSVQ6GCgSJ5RLA55o5ss4/view?usp=drivesdk</t>
  </si>
  <si>
    <t>Document successfully created; Document successfully merged; PDF created; Emails Sent: [To: achmad.yusup371@gmail.com]; Run via form trigger as ecertificate75@gmail.com; Timestamp: Sep 17 2024 10:01 PM</t>
  </si>
  <si>
    <t>HASMAWATI  S.KEP.NS</t>
  </si>
  <si>
    <t>hasmawati866@gamil.com</t>
  </si>
  <si>
    <t>9867</t>
  </si>
  <si>
    <t>1_oQ7fKCvUZIhCdG9pSy6mUOT6Q_e2Axq</t>
  </si>
  <si>
    <t>https://drive.google.com/file/d/1_oQ7fKCvUZIhCdG9pSy6mUOT6Q_e2Axq/view?usp=drivesdk</t>
  </si>
  <si>
    <t>Document successfully created; Document successfully merged; PDF created; Emails Sent: [To: hasmawati866@gamil.com]; Run via form trigger as ecertificate75@gmail.com; Timestamp: Sep 17 2024 10:01 PM</t>
  </si>
  <si>
    <t>IRSYA TITIS ZURACHMAN,A.Md.Kes.Gi.</t>
  </si>
  <si>
    <t>irsyatitiszurachman@gmail.com</t>
  </si>
  <si>
    <t>9868</t>
  </si>
  <si>
    <t>1mNKmRULF2qYv-yhdZmAwAsVaIPAS-9od</t>
  </si>
  <si>
    <t>https://drive.google.com/file/d/1mNKmRULF2qYv-yhdZmAwAsVaIPAS-9od/view?usp=drivesdk</t>
  </si>
  <si>
    <t>Document successfully created; Document successfully merged; PDF created; Emails Sent: [To: irsyatitiszurachman@gmail.com]; Run via form trigger as ecertificate75@gmail.com; Timestamp: Sep 17 2024 10:01 PM</t>
  </si>
  <si>
    <t>ARSELARINDANG S,S.Gz</t>
  </si>
  <si>
    <t>arselarindang@gmail.com</t>
  </si>
  <si>
    <t>9869</t>
  </si>
  <si>
    <t>1B5w1bgdHw0mkR6UDhULPTqB4PLNjTDlh</t>
  </si>
  <si>
    <t>https://drive.google.com/file/d/1B5w1bgdHw0mkR6UDhULPTqB4PLNjTDlh/view?usp=drivesdk</t>
  </si>
  <si>
    <t>Document successfully created; Document successfully merged; PDF created; Emails Sent: [To: arselarindang@gmail.com]; Run via form trigger as ecertificate75@gmail.com; Timestamp: Sep 17 2024 10:01 PM</t>
  </si>
  <si>
    <t>sutrisno241269@gimail.com</t>
  </si>
  <si>
    <t>9870</t>
  </si>
  <si>
    <t>Starting at Fri Aug 30 2024 00:57:52 GMT-0400 (EDT)</t>
  </si>
  <si>
    <t>1588WOwifW1z3ks_m3fjk-HCi9Au0QL_-</t>
  </si>
  <si>
    <t>https://drive.google.com/file/d/1588WOwifW1z3ks_m3fjk-HCi9Au0QL_-/view?usp=drivesdk</t>
  </si>
  <si>
    <t>Document successfully created; Document successfully merged; PDF created; Emails Sent: [To: sutrisno241269@gimail.com]; Run via form trigger as ecertificate75@gmail.com; Timestamp: Sep 17 2024 10:02 PM</t>
  </si>
  <si>
    <t>FAJAR RIKE PRATIWI,S.Kep.Ns</t>
  </si>
  <si>
    <t>fajarpratiwi27@gmail.com</t>
  </si>
  <si>
    <t>9871</t>
  </si>
  <si>
    <t>Starting at Fri Aug 30 2024 00:58:05 GMT-0400 (EDT)</t>
  </si>
  <si>
    <t>18wLbmirSVJoVU4T0-K6eAkr_VGpHmHey</t>
  </si>
  <si>
    <t>https://drive.google.com/file/d/18wLbmirSVJoVU4T0-K6eAkr_VGpHmHey/view?usp=drivesdk</t>
  </si>
  <si>
    <t>Document successfully created; Document successfully merged; PDF created; Emails Sent: [To: fajarpratiwi27@gmail.com]; Run via form trigger as ecertificate75@gmail.com; Timestamp: Sep 17 2024 10:02 PM</t>
  </si>
  <si>
    <t>SAPTO WAHYU NUGROHO</t>
  </si>
  <si>
    <t>sapto89.hw@gmail.com</t>
  </si>
  <si>
    <t>9872</t>
  </si>
  <si>
    <t>Starting at Fri Aug 30 2024 00:59:04 GMT-0400 (EDT)</t>
  </si>
  <si>
    <t>1IP9vIAMA4iYcd0vkxo-Ml63P6KtespGj</t>
  </si>
  <si>
    <t>https://drive.google.com/file/d/1IP9vIAMA4iYcd0vkxo-Ml63P6KtespGj/view?usp=drivesdk</t>
  </si>
  <si>
    <t>Document successfully created; Document successfully merged; PDF created; Emails Sent: [To: sapto89.hw@gmail.com]; Run via form trigger as ecertificate75@gmail.com; Timestamp: Sep 17 2024 10:02 PM</t>
  </si>
  <si>
    <t>RAJA OLOAN DAULAY, S. Kom</t>
  </si>
  <si>
    <t>rajaoloandaulayy712@gmail.com</t>
  </si>
  <si>
    <t>9873</t>
  </si>
  <si>
    <t>Starting at Fri Aug 30 2024 00:59:17 GMT-0400 (EDT)</t>
  </si>
  <si>
    <t>1eVn1uJOSuZM9i06tlZ-a-5f8WWPlneH8</t>
  </si>
  <si>
    <t>https://drive.google.com/file/d/1eVn1uJOSuZM9i06tlZ-a-5f8WWPlneH8/view?usp=drivesdk</t>
  </si>
  <si>
    <t>Document successfully created; Document successfully merged; PDF created; Emails Sent: [To: rajaoloandaulayy712@gmail.com]; Run via form trigger as ecertificate75@gmail.com; Timestamp: Sep 17 2024 10:02 PM</t>
  </si>
  <si>
    <t>ELBINA NAPITUPULU</t>
  </si>
  <si>
    <t>napitupuluelbina@gmail.com</t>
  </si>
  <si>
    <t>9874</t>
  </si>
  <si>
    <t>1XJ8DbUtwfClA8tjTi-CuMUOIjAJuRmby</t>
  </si>
  <si>
    <t>https://drive.google.com/file/d/1XJ8DbUtwfClA8tjTi-CuMUOIjAJuRmby/view?usp=drivesdk</t>
  </si>
  <si>
    <t>Document successfully created; Document successfully merged; PDF created; Emails Sent: [To: napitupuluelbina@gmail.com]; Run via form trigger as ecertificate75@gmail.com; Timestamp: Sep 17 2024 10:02 PM</t>
  </si>
  <si>
    <t>ARFIAN, S.E., M.E</t>
  </si>
  <si>
    <t>bagrenprogarsultra@gmail.com</t>
  </si>
  <si>
    <t>9875</t>
  </si>
  <si>
    <t>Starting at Fri Aug 30 2024 00:59:21 GMT-0400 (EDT)</t>
  </si>
  <si>
    <t>1pDecx0XeTl2LFUfUKe76-xKf441QArRI</t>
  </si>
  <si>
    <t>https://drive.google.com/file/d/1pDecx0XeTl2LFUfUKe76-xKf441QArRI/view?usp=drivesdk</t>
  </si>
  <si>
    <t>Document successfully created; Document successfully merged; PDF created; Emails Sent: [To: bagrenprogarsultra@gmail.com]; Run via form trigger as ecertificate75@gmail.com; Timestamp: Sep 17 2024 10:03 PM</t>
  </si>
  <si>
    <t>EVA NURMAWANI SIMANJUNTAK</t>
  </si>
  <si>
    <t>evajuntak848@gmail.com</t>
  </si>
  <si>
    <t>9876</t>
  </si>
  <si>
    <t>Starting at Fri Aug 30 2024 00:59:42 GMT-0400 (EDT)</t>
  </si>
  <si>
    <t>1QKNprk_xYxJw1RG7VSGJ8pzT8P--fNEo</t>
  </si>
  <si>
    <t>https://drive.google.com/file/d/1QKNprk_xYxJw1RG7VSGJ8pzT8P--fNEo/view?usp=drivesdk</t>
  </si>
  <si>
    <t>Document successfully created; Document successfully merged; PDF created; Emails Sent: [To: evajuntak848@gmail.com]; Run via form trigger as ecertificate75@gmail.com; Timestamp: Sep 17 2024 10:03 PM</t>
  </si>
  <si>
    <t>TAUFAN EKA PUTRA, S.Kom., M.Adm.SDA</t>
  </si>
  <si>
    <t>taufandroidx@gmail.com</t>
  </si>
  <si>
    <t>9877</t>
  </si>
  <si>
    <t>1WnLj3Q0o--otuLe7fUxci02WzRG0AYgQ</t>
  </si>
  <si>
    <t>https://drive.google.com/file/d/1WnLj3Q0o--otuLe7fUxci02WzRG0AYgQ/view?usp=drivesdk</t>
  </si>
  <si>
    <t>Document successfully created; Document successfully merged; PDF created; Emails Sent: [To: taufandroidx@gmail.com]; Run via form trigger as ecertificate75@gmail.com; Timestamp: Sep 17 2024 10:03 PM</t>
  </si>
  <si>
    <t>BREVMANA ANUGRAH PRIMULYANTO</t>
  </si>
  <si>
    <t>primulyantobrevmana@gmail.com</t>
  </si>
  <si>
    <t>9878</t>
  </si>
  <si>
    <t>Starting at Fri Aug 30 2024 00:59:47 GMT-0400 (EDT)</t>
  </si>
  <si>
    <t>1E11goQby61Cy6gJUM5vDvPQUhruMpCMC</t>
  </si>
  <si>
    <t>https://drive.google.com/file/d/1E11goQby61Cy6gJUM5vDvPQUhruMpCMC/view?usp=drivesdk</t>
  </si>
  <si>
    <t>Document successfully created; Document successfully merged; PDF created; Emails Sent: [To: primulyantobrevmana@gmail.com]; Run via form trigger as ecertificate75@gmail.com; Timestamp: Sep 17 2024 10:03 PM</t>
  </si>
  <si>
    <t>IIM IMAS MUNAWAROH,S.KEP., NERS</t>
  </si>
  <si>
    <t>iimimasmunawaroh1@gmail.com</t>
  </si>
  <si>
    <t>9879</t>
  </si>
  <si>
    <t>Starting at Fri Aug 30 2024 00:59:59 GMT-0400 (EDT)</t>
  </si>
  <si>
    <t>1SmnUN4ABjA36a53lVGToJQZ4i-V-rUUC</t>
  </si>
  <si>
    <t>https://drive.google.com/file/d/1SmnUN4ABjA36a53lVGToJQZ4i-V-rUUC/view?usp=drivesdk</t>
  </si>
  <si>
    <t>Document successfully created; Document successfully merged; PDF created; Emails Sent: [To: iimimasmunawaroh1@gmail.com]; Run via form trigger as ecertificate75@gmail.com; Timestamp: Sep 17 2024 10:03 PM</t>
  </si>
  <si>
    <t>HADI PURBAYA. AMK</t>
  </si>
  <si>
    <t>hadipurbaya12@gmai.com</t>
  </si>
  <si>
    <t>9880</t>
  </si>
  <si>
    <t>Starting at Fri Aug 30 2024 01:00:44 GMT-0400 (EDT)</t>
  </si>
  <si>
    <t>10ISnDfw6vuBQYtBYWF0QS3HfHYXw1De3</t>
  </si>
  <si>
    <t>https://drive.google.com/file/d/10ISnDfw6vuBQYtBYWF0QS3HfHYXw1De3/view?usp=drivesdk</t>
  </si>
  <si>
    <t>Document successfully created; Document successfully merged; PDF created; Emails Sent: [To: hadipurbaya12@gmai.com]; Run via form trigger as ecertificate75@gmail.com; Timestamp: Sep 17 2024 10:04 PM</t>
  </si>
  <si>
    <t>SRI SUNDARI, S.IKom</t>
  </si>
  <si>
    <t>sun.ndari1979@gmail.com</t>
  </si>
  <si>
    <t>9881</t>
  </si>
  <si>
    <t>Starting at Fri Aug 30 2024 01:01:09 GMT-0400 (EDT)</t>
  </si>
  <si>
    <t>1-o-ArNgqeo3OZnd2o2z92V1FE1aQN1vp</t>
  </si>
  <si>
    <t>https://drive.google.com/file/d/1-o-ArNgqeo3OZnd2o2z92V1FE1aQN1vp/view?usp=drivesdk</t>
  </si>
  <si>
    <t>Document successfully created; Document successfully merged; PDF created; Emails Sent: [To: sun.ndari1979@gmail.com]; Run via form trigger as ecertificate75@gmail.com; Timestamp: Sep 17 2024 10:04 PM</t>
  </si>
  <si>
    <t>ALTIKA MITVASARI PULUNGAN</t>
  </si>
  <si>
    <t>ikamitvasari@gmail.com</t>
  </si>
  <si>
    <t>9882</t>
  </si>
  <si>
    <t>Starting at Fri Aug 30 2024 01:01:27 GMT-0400 (EDT)</t>
  </si>
  <si>
    <t>1WaeNHAOshps9Teq7JUrXN1tAydgDmZ4c</t>
  </si>
  <si>
    <t>https://drive.google.com/file/d/1WaeNHAOshps9Teq7JUrXN1tAydgDmZ4c/view?usp=drivesdk</t>
  </si>
  <si>
    <t>Document successfully created; Document successfully merged; PDF created; Emails Sent: [To: ikamitvasari@gmail.com]; Run via form trigger as ecertificate75@gmail.com; Timestamp: Sep 17 2024 10:04 PM</t>
  </si>
  <si>
    <t>DR. RANY WAISYA</t>
  </si>
  <si>
    <t>rhanie_waisya@yahoo.com</t>
  </si>
  <si>
    <t>9883</t>
  </si>
  <si>
    <t>Starting at Fri Aug 30 2024 01:01:45 GMT-0400 (EDT)</t>
  </si>
  <si>
    <t>1-92IhgcZz9qfiSf5clp4kPzN9Wjg451z</t>
  </si>
  <si>
    <t>https://drive.google.com/file/d/1-92IhgcZz9qfiSf5clp4kPzN9Wjg451z/view?usp=drivesdk</t>
  </si>
  <si>
    <t>Document successfully created; Document successfully merged; PDF created; Emails Sent: [To: rhanie_waisya@yahoo.com]; Run via form trigger as ecertificate75@gmail.com; Timestamp: Sep 17 2024 10:04 PM</t>
  </si>
  <si>
    <t>PARNI HARIYANTI</t>
  </si>
  <si>
    <t>yan.yanthi.yy@gmail.com</t>
  </si>
  <si>
    <t>9884</t>
  </si>
  <si>
    <t>Starting at Fri Aug 30 2024 01:01:50 GMT-0400 (EDT)</t>
  </si>
  <si>
    <t>1gjxbvjFl5bu1jCUQV2lfk5lWRtu7ZCu0</t>
  </si>
  <si>
    <t>https://drive.google.com/file/d/1gjxbvjFl5bu1jCUQV2lfk5lWRtu7ZCu0/view?usp=drivesdk</t>
  </si>
  <si>
    <t>Document successfully created; Document successfully merged; PDF created; Emails Sent: [To: yan.yanthi.yy@gmail.com]; Run via form trigger as ecertificate75@gmail.com; Timestamp: Sep 17 2024 10:04 PM</t>
  </si>
  <si>
    <t>FAUZIAH</t>
  </si>
  <si>
    <t>fauziahkamil81@gmail.com</t>
  </si>
  <si>
    <t>9885</t>
  </si>
  <si>
    <t>Starting at Fri Aug 30 2024 01:02:07 GMT-0400 (EDT)</t>
  </si>
  <si>
    <t>1ZK4gNBP92ifdAGP1ESejC9V_MRs1N9AQ</t>
  </si>
  <si>
    <t>https://drive.google.com/file/d/1ZK4gNBP92ifdAGP1ESejC9V_MRs1N9AQ/view?usp=drivesdk</t>
  </si>
  <si>
    <t>Document successfully created; Document successfully merged; PDF created; Emails Sent: [To: fauziahkamil81@gmail.com]; Run via form trigger as ecertificate75@gmail.com; Timestamp: Sep 17 2024 10:04 PM</t>
  </si>
  <si>
    <t>NI PUTU SRI RAHAYU, A.Md.Keb</t>
  </si>
  <si>
    <t>niputusrirahayu568@gmail.com</t>
  </si>
  <si>
    <t>9886</t>
  </si>
  <si>
    <t>Starting at Fri Aug 30 2024 01:02:33 GMT-0400 (EDT)</t>
  </si>
  <si>
    <t>1d69OxxQIVcTC0C3kbPnjKf3ST4tNnLem</t>
  </si>
  <si>
    <t>https://drive.google.com/file/d/1d69OxxQIVcTC0C3kbPnjKf3ST4tNnLem/view?usp=drivesdk</t>
  </si>
  <si>
    <t>Document successfully created; Document successfully merged; PDF created; Emails Sent: [To: niputusrirahayu568@gmail.com]; Run via form trigger as ecertificate75@gmail.com; Timestamp: Sep 17 2024 10:05 PM</t>
  </si>
  <si>
    <t>abonnurhayati@gmail.com</t>
  </si>
  <si>
    <t>9887</t>
  </si>
  <si>
    <t>Starting at Fri Aug 30 2024 01:04:22 GMT-0400 (EDT)</t>
  </si>
  <si>
    <t>1xfybhhFeZbxKg4_a4cFOjLgZwsti2Ggt</t>
  </si>
  <si>
    <t>https://drive.google.com/file/d/1xfybhhFeZbxKg4_a4cFOjLgZwsti2Ggt/view?usp=drivesdk</t>
  </si>
  <si>
    <t>Document successfully created; Document successfully merged; PDF created; Emails Sent: [To: abonnurhayati@gmail.com]; Run via form trigger as ecertificate75@gmail.com; Timestamp: Sep 17 2024 10:05 PM</t>
  </si>
  <si>
    <t>APT. NERRY ANDRIYANI, S.SI.</t>
  </si>
  <si>
    <t>nerryandriyani20@gmail.com</t>
  </si>
  <si>
    <t>9888</t>
  </si>
  <si>
    <t>15ZIJbWkaQZ7d5h38ZSj0yNTe2Y6yqpoq</t>
  </si>
  <si>
    <t>https://drive.google.com/file/d/15ZIJbWkaQZ7d5h38ZSj0yNTe2Y6yqpoq/view?usp=drivesdk</t>
  </si>
  <si>
    <t>Document successfully created; Document successfully merged; PDF created; Emails Sent: [To: nerryandriyani20@gmail.com]; Run via form trigger as ecertificate75@gmail.com; Timestamp: Sep 17 2024 10:05 PM</t>
  </si>
  <si>
    <t>RESIANA WIDYA UTAMI, AMD. KEP</t>
  </si>
  <si>
    <t>resianawidyautami23@gmail.com</t>
  </si>
  <si>
    <t>9889</t>
  </si>
  <si>
    <t>1otB6W91Mx53W6hH22MnT4B1CrvQj8HOM</t>
  </si>
  <si>
    <t>https://drive.google.com/file/d/1otB6W91Mx53W6hH22MnT4B1CrvQj8HOM/view?usp=drivesdk</t>
  </si>
  <si>
    <t>Document successfully created; Document successfully merged; PDF created; Emails Sent: [To: resianawidyautami23@gmail.com]; Run via form trigger as ecertificate75@gmail.com; Timestamp: Sep 17 2024 10:30 PM</t>
  </si>
  <si>
    <t>IMAM MARIYO</t>
  </si>
  <si>
    <t>imammaryo07@gmail.com</t>
  </si>
  <si>
    <t>9890</t>
  </si>
  <si>
    <t>Starting at Fri Aug 30 2024 01:04:29 GMT-0400 (EDT)</t>
  </si>
  <si>
    <t>11WOogM_bNiZCELNhltFY4iB7-ENUoJja</t>
  </si>
  <si>
    <t>https://drive.google.com/file/d/11WOogM_bNiZCELNhltFY4iB7-ENUoJja/view?usp=drivesdk</t>
  </si>
  <si>
    <t>Document successfully created; Document successfully merged; PDF created; Emails Sent: [To: imammaryo07@gmail.com]; Run via form trigger as ecertificate75@gmail.com; Timestamp: Sep 17 2024 10:30 PM</t>
  </si>
  <si>
    <t>JUNAENA</t>
  </si>
  <si>
    <t>cikosikeu@gmail.com</t>
  </si>
  <si>
    <t>9891</t>
  </si>
  <si>
    <t>Starting at Fri Aug 30 2024 01:05:35 GMT-0400 (EDT)</t>
  </si>
  <si>
    <t>1tlX2IK1CpRsAKPoCwcYhDG82qXz1qdxc</t>
  </si>
  <si>
    <t>https://drive.google.com/file/d/1tlX2IK1CpRsAKPoCwcYhDG82qXz1qdxc/view?usp=drivesdk</t>
  </si>
  <si>
    <t>Document successfully created; Document successfully merged; PDF created; Emails Sent: [To: cikosikeu@gmail.com]; Run via form trigger as ecertificate75@gmail.com; Timestamp: Sep 17 2024 10:30 PM</t>
  </si>
  <si>
    <t>NUMMER RISWAN GULTOM</t>
  </si>
  <si>
    <t>nummerriswan52@gmail.com</t>
  </si>
  <si>
    <t>9892</t>
  </si>
  <si>
    <t>Starting at Fri Aug 30 2024 01:05:57 GMT-0400 (EDT)</t>
  </si>
  <si>
    <t>1OnHiVNDOvBo1nMxtORbLxN-zJYBoZ5K8</t>
  </si>
  <si>
    <t>https://drive.google.com/file/d/1OnHiVNDOvBo1nMxtORbLxN-zJYBoZ5K8/view?usp=drivesdk</t>
  </si>
  <si>
    <t>Document successfully created; Document successfully merged; PDF created; Emails Sent: [To: nummerriswan52@gmail.com]; Run via form trigger as ecertificate75@gmail.com; Timestamp: Sep 17 2024 10:31 PM</t>
  </si>
  <si>
    <t xml:space="preserve">NURAIN BAKARI, A.MD </t>
  </si>
  <si>
    <t>ainbakari3@gmail.com</t>
  </si>
  <si>
    <t>9893</t>
  </si>
  <si>
    <t>Starting at Fri Aug 30 2024 01:06:22 GMT-0400 (EDT)</t>
  </si>
  <si>
    <t>1DOX7LGEa77OioIPVCwVChVLEjxdLdGhL</t>
  </si>
  <si>
    <t>https://drive.google.com/file/d/1DOX7LGEa77OioIPVCwVChVLEjxdLdGhL/view?usp=drivesdk</t>
  </si>
  <si>
    <t>Document successfully created; Document successfully merged; PDF created; Emails Sent: [To: ainbakari3@gmail.com]; Run via form trigger as ecertificate75@gmail.com; Timestamp: Sep 17 2024 10:31 PM</t>
  </si>
  <si>
    <t>TARMINTO</t>
  </si>
  <si>
    <t>Tarminto.bik@gmail.com</t>
  </si>
  <si>
    <t>9894</t>
  </si>
  <si>
    <t>Starting at Fri Aug 30 2024 01:07:03 GMT-0400 (EDT)</t>
  </si>
  <si>
    <t>1IQncWnjgfWq7UGZnpqROdnuRROLQW6Re</t>
  </si>
  <si>
    <t>https://drive.google.com/file/d/1IQncWnjgfWq7UGZnpqROdnuRROLQW6Re/view?usp=drivesdk</t>
  </si>
  <si>
    <t>Document successfully created; Document successfully merged; PDF created; Emails Sent: [To: Tarminto.bik@gmail.com]; Run via form trigger as ecertificate75@gmail.com; Timestamp: Sep 17 2024 10:31 PM</t>
  </si>
  <si>
    <t>DEBBY CYNTIA</t>
  </si>
  <si>
    <t>debbramli75@gmail.com</t>
  </si>
  <si>
    <t>9895</t>
  </si>
  <si>
    <t>Starting at Fri Aug 30 2024 01:07:09 GMT-0400 (EDT)</t>
  </si>
  <si>
    <t>1cRCNE2gt5-XMPpV1gXWRuvPgfURkmOf4</t>
  </si>
  <si>
    <t>https://drive.google.com/file/d/1cRCNE2gt5-XMPpV1gXWRuvPgfURkmOf4/view?usp=drivesdk</t>
  </si>
  <si>
    <t>Document successfully created; Document successfully merged; PDF created; Emails Sent: [To: debbramli75@gmail.com]; Run via form trigger as ecertificate75@gmail.com; Timestamp: Sep 17 2024 10:31 PM</t>
  </si>
  <si>
    <t>HASNA BIRANA, S.S</t>
  </si>
  <si>
    <t>hasnabirana86@gmail.com</t>
  </si>
  <si>
    <t>9896</t>
  </si>
  <si>
    <t>Starting at Fri Aug 30 2024 01:08:11 GMT-0400 (EDT)</t>
  </si>
  <si>
    <t>1Wp6gJyjNWapCOemP0FET2scLflnl6dbG</t>
  </si>
  <si>
    <t>https://drive.google.com/file/d/1Wp6gJyjNWapCOemP0FET2scLflnl6dbG/view?usp=drivesdk</t>
  </si>
  <si>
    <t>Document successfully created; Document successfully merged; PDF created; Emails Sent: [To: hasnabirana86@gmail.com]; Run via form trigger as ecertificate75@gmail.com; Timestamp: Sep 17 2024 10:32 PM</t>
  </si>
  <si>
    <t>LISBET DORNITA MARPAUNG</t>
  </si>
  <si>
    <t>lisbetdornita2@gmail.com</t>
  </si>
  <si>
    <t>9897</t>
  </si>
  <si>
    <t>1LVIDIw0jSsLfzLKVC1aRraSlbr9RkFbf</t>
  </si>
  <si>
    <t>https://drive.google.com/file/d/1LVIDIw0jSsLfzLKVC1aRraSlbr9RkFbf/view?usp=drivesdk</t>
  </si>
  <si>
    <t>Document successfully created; Document successfully merged; PDF created; Emails Sent: [To: lisbetdornita2@gmail.com]; Run via form trigger as ecertificate75@gmail.com; Timestamp: Sep 17 2024 10:32 PM</t>
  </si>
  <si>
    <t>RIMA DEWI MAWARNI A. Md. Kes</t>
  </si>
  <si>
    <t>rimadewimawarni06@gmail.com</t>
  </si>
  <si>
    <t>9898</t>
  </si>
  <si>
    <t>Starting at Fri Aug 30 2024 01:08:31 GMT-0400 (EDT)</t>
  </si>
  <si>
    <t>1xNoOzJ8v6f7C0BGm7whGAMMcYeuEv5jy</t>
  </si>
  <si>
    <t>https://drive.google.com/file/d/1xNoOzJ8v6f7C0BGm7whGAMMcYeuEv5jy/view?usp=drivesdk</t>
  </si>
  <si>
    <t>Document successfully created; Document successfully merged; PDF created; Emails Sent: [To: rimadewimawarni06@gmail.com]; Run via form trigger as ecertificate75@gmail.com; Timestamp: Sep 17 2024 10:32 PM</t>
  </si>
  <si>
    <t>TUTY ERNAWATY</t>
  </si>
  <si>
    <t>ernawati6868@gmail.com</t>
  </si>
  <si>
    <t>9899</t>
  </si>
  <si>
    <t>1HCLqQZ9x-h0JNjEGTXKvsKG9eOX1VKgW</t>
  </si>
  <si>
    <t>https://drive.google.com/file/d/1HCLqQZ9x-h0JNjEGTXKvsKG9eOX1VKgW/view?usp=drivesdk</t>
  </si>
  <si>
    <t>Document successfully created; Document successfully merged; PDF created; Emails Sent: [To: ernawati6868@gmail.com]; Run via form trigger as ecertificate75@gmail.com; Timestamp: Sep 17 2024 10:32 PM</t>
  </si>
  <si>
    <t>KRISTANTI , S.Sos</t>
  </si>
  <si>
    <t>kristanti.ptik@gmail.com</t>
  </si>
  <si>
    <t>9900</t>
  </si>
  <si>
    <t>Starting at Fri Aug 30 2024 01:08:50 GMT-0400 (EDT)</t>
  </si>
  <si>
    <t>1BLlJfrrniORBPb9DcWYfLLeltTkiqARm</t>
  </si>
  <si>
    <t>https://drive.google.com/file/d/1BLlJfrrniORBPb9DcWYfLLeltTkiqARm/view?usp=drivesdk</t>
  </si>
  <si>
    <t>Document successfully created; Document successfully merged; PDF created; Emails Sent: [To: kristanti.ptik@gmail.com]; Run via form trigger as ecertificate75@gmail.com; Timestamp: Sep 17 2024 10:33 PM</t>
  </si>
  <si>
    <t>SYARIF HAFANDI</t>
  </si>
  <si>
    <t>9901</t>
  </si>
  <si>
    <t>1nXPQ_wgzsi9G4d7M3opXGX0xZGoGPKdn</t>
  </si>
  <si>
    <t>https://drive.google.com/file/d/1nXPQ_wgzsi9G4d7M3opXGX0xZGoGPKdn/view?usp=drivesdk</t>
  </si>
  <si>
    <t>Document successfully created; Document successfully merged; PDF created; Emails Sent: [To: syarifhafandi88@gmail.com]; Run via form trigger as ecertificate75@gmail.com; Timestamp: Sep 17 2024 10:33 PM</t>
  </si>
  <si>
    <t>NARSIYUSTI, AMG</t>
  </si>
  <si>
    <t>narsinyst@gmail.com</t>
  </si>
  <si>
    <t>9902</t>
  </si>
  <si>
    <t>Starting at Fri Aug 30 2024 01:10:09 GMT-0400 (EDT)</t>
  </si>
  <si>
    <t>1bpPTt1TzxUoPdRFVj1TzJvPKU2TTRXRj</t>
  </si>
  <si>
    <t>https://drive.google.com/file/d/1bpPTt1TzxUoPdRFVj1TzJvPKU2TTRXRj/view?usp=drivesdk</t>
  </si>
  <si>
    <t>Document successfully created; Document successfully merged; PDF created; Emails Sent: [To: narsinyst@gmail.com]; Run via form trigger as ecertificate75@gmail.com; Timestamp: Sep 17 2024 10:33 PM</t>
  </si>
  <si>
    <t>MARIA ENDA</t>
  </si>
  <si>
    <t>mariaenda7@gmail.com</t>
  </si>
  <si>
    <t>9903</t>
  </si>
  <si>
    <t>Starting at Fri Aug 30 2024 01:10:17 GMT-0400 (EDT)</t>
  </si>
  <si>
    <t>1WGgYCHstjditwqkP1tn4-nKJvf9UuWi8</t>
  </si>
  <si>
    <t>https://drive.google.com/file/d/1WGgYCHstjditwqkP1tn4-nKJvf9UuWi8/view?usp=drivesdk</t>
  </si>
  <si>
    <t>Document successfully created; Document successfully merged; PDF created; Emails Sent: [To: mariaenda7@gmail.com]; Run via form trigger as ecertificate75@gmail.com; Timestamp: Sep 17 2024 10:33 PM</t>
  </si>
  <si>
    <t>DIYAH PRASETIYORINI,A.Md</t>
  </si>
  <si>
    <t>diah400@gmail.com</t>
  </si>
  <si>
    <t>9904</t>
  </si>
  <si>
    <t>Starting at Fri Aug 30 2024 01:10:55 GMT-0400 (EDT)</t>
  </si>
  <si>
    <t>1afgu2GeyfV8U3l3Zv79tySLI6htNa6q3</t>
  </si>
  <si>
    <t>https://drive.google.com/file/d/1afgu2GeyfV8U3l3Zv79tySLI6htNa6q3/view?usp=drivesdk</t>
  </si>
  <si>
    <t>Document successfully created; Document successfully merged; PDF created; Emails Sent: [To: diah400@gmail.com]; Run via form trigger as ecertificate75@gmail.com; Timestamp: Sep 17 2024 10:33 PM</t>
  </si>
  <si>
    <t>drg. ESKA DIANTI, Sp.KG</t>
  </si>
  <si>
    <t>eskadianti@gmail.com</t>
  </si>
  <si>
    <t>9905</t>
  </si>
  <si>
    <t>1QUm7-X5Q0vf9i4w4CYtFc9OsauHSmpS-</t>
  </si>
  <si>
    <t>https://drive.google.com/file/d/1QUm7-X5Q0vf9i4w4CYtFc9OsauHSmpS-/view?usp=drivesdk</t>
  </si>
  <si>
    <t>Document successfully created; Document successfully merged; PDF created; Emails Sent: [To: eskadianti@gmail.com]; Run via form trigger as ecertificate75@gmail.com; Timestamp: Sep 17 2024 10:34 PM</t>
  </si>
  <si>
    <t>Anita Sari, A.Md.Kep</t>
  </si>
  <si>
    <t>anitasari@gmail.com</t>
  </si>
  <si>
    <t>9906</t>
  </si>
  <si>
    <t>Starting at Fri Aug 30 2024 01:11:00 GMT-0400 (EDT)</t>
  </si>
  <si>
    <t>11huj-ft1fuMfk-rZcG_rZC-_Rbea2-ah</t>
  </si>
  <si>
    <t>https://drive.google.com/file/d/11huj-ft1fuMfk-rZcG_rZC-_Rbea2-ah/view?usp=drivesdk</t>
  </si>
  <si>
    <t>Document successfully created; Document successfully merged; PDF created; Emails Sent: [To: anitasari@gmail.com]; Run via form trigger as ecertificate75@gmail.com; Timestamp: Sep 17 2024 10:34 PM</t>
  </si>
  <si>
    <t>9907</t>
  </si>
  <si>
    <t>1mVSy68dQ8tBAEGfjmzBrimxte5igQYjT</t>
  </si>
  <si>
    <t>https://drive.google.com/file/d/1mVSy68dQ8tBAEGfjmzBrimxte5igQYjT/view?usp=drivesdk</t>
  </si>
  <si>
    <t>Document successfully created; Document successfully merged; PDF created; Emails Sent: [To: nugraha.banu.s@gmail.com]; Run via form trigger as ecertificate75@gmail.com; Timestamp: Sep 17 2024 10:34 PM</t>
  </si>
  <si>
    <t>SUYATLI, S.AG</t>
  </si>
  <si>
    <t>suyatlibagsumda@gmail.com</t>
  </si>
  <si>
    <t>9908</t>
  </si>
  <si>
    <t>1jfjyY0RDNZ1Os_cB_IqbGkdsIyNeijIX</t>
  </si>
  <si>
    <t>https://drive.google.com/file/d/1jfjyY0RDNZ1Os_cB_IqbGkdsIyNeijIX/view?usp=drivesdk</t>
  </si>
  <si>
    <t>Document successfully created; Document successfully merged; PDF created; Emails Sent: [To: suyatlibagsumda@gmail.com]; Run via form trigger as ecertificate75@gmail.com; Timestamp: Sep 17 2024 10:34 PM</t>
  </si>
  <si>
    <t>NITA WITARI</t>
  </si>
  <si>
    <t>bagsdm.polresnganjuk@gmail.com</t>
  </si>
  <si>
    <t>9909</t>
  </si>
  <si>
    <t>Starting at Fri Aug 30 2024 01:11:50 GMT-0400 (EDT)</t>
  </si>
  <si>
    <t>113U_4h79I2k8UnMIlacgnB70aBLQDepQ</t>
  </si>
  <si>
    <t>https://drive.google.com/file/d/113U_4h79I2k8UnMIlacgnB70aBLQDepQ/view?usp=drivesdk</t>
  </si>
  <si>
    <t>Document successfully created; Document successfully merged; PDF created; Emails Sent: [To: bagsdm.polresnganjuk@gmail.com]; Run via form trigger as ecertificate75@gmail.com; Timestamp: Sep 17 2024 10:34 PM</t>
  </si>
  <si>
    <t>EMI WULANDARI</t>
  </si>
  <si>
    <t>emiwulandari830@gmail.com</t>
  </si>
  <si>
    <t>9910</t>
  </si>
  <si>
    <t>Starting at Fri Aug 30 2024 01:13:30 GMT-0400 (EDT)</t>
  </si>
  <si>
    <t>1rkQWch3iv_3bQkF-rexAOaU56_AActbG</t>
  </si>
  <si>
    <t>https://drive.google.com/file/d/1rkQWch3iv_3bQkF-rexAOaU56_AActbG/view?usp=drivesdk</t>
  </si>
  <si>
    <t>Document successfully created; Document successfully merged; PDF created; Emails Sent: [To: emiwulandari830@gmail.com]; Run via form trigger as ecertificate75@gmail.com; Timestamp: Sep 17 2024 10:35 PM</t>
  </si>
  <si>
    <t>SITI NUR HALIMAH</t>
  </si>
  <si>
    <t>siumpolsekgiribwi275@gmail.com</t>
  </si>
  <si>
    <t>9911</t>
  </si>
  <si>
    <t>13V5tmodJN7Kjy2vWk9V2N4BCoCQ2hf_b</t>
  </si>
  <si>
    <t>https://drive.google.com/file/d/13V5tmodJN7Kjy2vWk9V2N4BCoCQ2hf_b/view?usp=drivesdk</t>
  </si>
  <si>
    <t>Document successfully created; Document successfully merged; PDF created; Emails Sent: [To: siumpolsekgiribwi275@gmail.com]; Run via form trigger as ecertificate75@gmail.com; Timestamp: Sep 17 2024 10:38 PM</t>
  </si>
  <si>
    <t>NiA KURNIATI Amd Kep</t>
  </si>
  <si>
    <t>niakurniatinia09@gmail.com</t>
  </si>
  <si>
    <t>9912</t>
  </si>
  <si>
    <t>Starting at Fri Aug 30 2024 01:13:35 GMT-0400 (EDT)</t>
  </si>
  <si>
    <t>1XSu7s1uEKNAnd3YOLgwh_0TVm7h_ai1k</t>
  </si>
  <si>
    <t>https://drive.google.com/file/d/1XSu7s1uEKNAnd3YOLgwh_0TVm7h_ai1k/view?usp=drivesdk</t>
  </si>
  <si>
    <t>Document successfully created; Document successfully merged; PDF created; !!Error Sending Emails: Service invoked too many times for one day: email.; Run via form trigger as ecertificate75@gmail.com; Timestamp: Sep 17 2024 10:38 PM</t>
  </si>
  <si>
    <t>SRI INDAYATI</t>
  </si>
  <si>
    <t>sriindayati271172@gmail.com</t>
  </si>
  <si>
    <t>9913</t>
  </si>
  <si>
    <t>Starting at Fri Aug 30 2024 01:14:02 GMT-0400 (EDT)</t>
  </si>
  <si>
    <t>1BDExTEh5AFxXU4-F4XlonKyXv46XPCsV</t>
  </si>
  <si>
    <t>https://drive.google.com/file/d/1BDExTEh5AFxXU4-F4XlonKyXv46XPCsV/view?usp=drivesdk</t>
  </si>
  <si>
    <t>DONNY ARYANSYAH, S.E.</t>
  </si>
  <si>
    <t>arkanauqail39@gmail.com</t>
  </si>
  <si>
    <t>9914</t>
  </si>
  <si>
    <t>1zeip2tBW9ouHw3mYbOFO31cthjy9SuXl</t>
  </si>
  <si>
    <t>https://drive.google.com/file/d/1zeip2tBW9ouHw3mYbOFO31cthjy9SuXl/view?usp=drivesdk</t>
  </si>
  <si>
    <t>PRIMA IRFAN YUSMANTO</t>
  </si>
  <si>
    <t>primmairfan@gmail.com</t>
  </si>
  <si>
    <t>9915</t>
  </si>
  <si>
    <t>1LvwAh3vlwM9zMbzjP7C3OaYB6sCTIGX7</t>
  </si>
  <si>
    <t>https://drive.google.com/file/d/1LvwAh3vlwM9zMbzjP7C3OaYB6sCTIGX7/view?usp=drivesdk</t>
  </si>
  <si>
    <t>MAULINA PURNAMAWATI, S.Adm</t>
  </si>
  <si>
    <t>maulinalina620@gmail.com</t>
  </si>
  <si>
    <t>9916</t>
  </si>
  <si>
    <t>Starting at Fri Aug 30 2024 01:15:09 GMT-0400 (EDT)</t>
  </si>
  <si>
    <t>1bjFYivT70Sbdzahhldn6N8V_YWia6eUQ</t>
  </si>
  <si>
    <t>https://drive.google.com/file/d/1bjFYivT70Sbdzahhldn6N8V_YWia6eUQ/view?usp=drivesdk</t>
  </si>
  <si>
    <t>Document successfully created; Document successfully merged; PDF created; !!Error Sending Emails: Service invoked too many times for one day: email.; Run via form trigger as ecertificate75@gmail.com; Timestamp: Sep 17 2024 10:39 PM</t>
  </si>
  <si>
    <t>SULVIANA, S.KEP, NS</t>
  </si>
  <si>
    <t>sulviana.ners81@gmail.com</t>
  </si>
  <si>
    <t>9917</t>
  </si>
  <si>
    <t>12a-NFARf0VR-lpinM9VeL5oPRD7FENVz</t>
  </si>
  <si>
    <t>https://drive.google.com/file/d/12a-NFARf0VR-lpinM9VeL5oPRD7FENVz/view?usp=drivesdk</t>
  </si>
  <si>
    <t>Juliana Manik, S. Sos</t>
  </si>
  <si>
    <t>juliana220775@gmail.com</t>
  </si>
  <si>
    <t>9918</t>
  </si>
  <si>
    <t>1qTC7Rl4QbjEwiQqxeD17rIm0uImUYv8v</t>
  </si>
  <si>
    <t>https://drive.google.com/file/d/1qTC7Rl4QbjEwiQqxeD17rIm0uImUYv8v/view?usp=drivesdk</t>
  </si>
  <si>
    <t>FIRDA RAHMATULHUSNA S KAMALUDDIN, A.Md.Kep</t>
  </si>
  <si>
    <t>firdarahma1312@gmail.com</t>
  </si>
  <si>
    <t>9919</t>
  </si>
  <si>
    <t>1Z4aOhUH-_zHwZgsnmn1pC6qvYU9uxUnj</t>
  </si>
  <si>
    <t>https://drive.google.com/file/d/1Z4aOhUH-_zHwZgsnmn1pC6qvYU9uxUnj/view?usp=drivesdk</t>
  </si>
  <si>
    <t>YUNI ROMELA</t>
  </si>
  <si>
    <t>yuniromela@gmail.com</t>
  </si>
  <si>
    <t>9920</t>
  </si>
  <si>
    <t>Starting at Fri Aug 30 2024 01:15:39 GMT-0400 (EDT)</t>
  </si>
  <si>
    <t>1LLEJfKI7C66hJavhSKGWCbYTXFPDkQW6</t>
  </si>
  <si>
    <t>https://drive.google.com/file/d/1LLEJfKI7C66hJavhSKGWCbYTXFPDkQW6/view?usp=drivesdk</t>
  </si>
  <si>
    <t>Document successfully created; Document successfully merged; PDF created; !!Error Sending Emails: Service invoked too many times for one day: email.; Run via form trigger as ecertificate75@gmail.com; Timestamp: Sep 17 2024 10:40 PM</t>
  </si>
  <si>
    <t>NI WAYAN BAGIARI</t>
  </si>
  <si>
    <t>wayanbagiari001@gmail.com</t>
  </si>
  <si>
    <t>9921</t>
  </si>
  <si>
    <t>Starting at Fri Aug 30 2024 01:15:54 GMT-0400 (EDT)</t>
  </si>
  <si>
    <t>1jsVqYLpbC2PIut12g2mePW8bE-9zsMNd</t>
  </si>
  <si>
    <t>https://drive.google.com/file/d/1jsVqYLpbC2PIut12g2mePW8bE-9zsMNd/view?usp=drivesdk</t>
  </si>
  <si>
    <t xml:space="preserve">ENIK YULIANI </t>
  </si>
  <si>
    <t>enikyuliani16@gmail.com</t>
  </si>
  <si>
    <t>9922</t>
  </si>
  <si>
    <t>Starting at Fri Aug 30 2024 01:16:28 GMT-0400 (EDT)</t>
  </si>
  <si>
    <t>19szWrPVBMov-wGpSmg4tpPHc2woHopiH</t>
  </si>
  <si>
    <t>https://drive.google.com/file/d/19szWrPVBMov-wGpSmg4tpPHc2woHopiH/view?usp=drivesdk</t>
  </si>
  <si>
    <t>Document successfully created; Document successfully merged; PDF created; !!Error Sending Emails: Service invoked too many times for one day: email.; Run via form trigger as ecertificate75@gmail.com; Timestamp: Sep 17 2024 10:41 PM</t>
  </si>
  <si>
    <t>suharti082017@gmail.com</t>
  </si>
  <si>
    <t>9923</t>
  </si>
  <si>
    <t>Starting at Fri Aug 30 2024 01:18:16 GMT-0400 (EDT)</t>
  </si>
  <si>
    <t>1Vt3f4QZ1ULJVQhP1OskicOtZu5DNTXLb</t>
  </si>
  <si>
    <t>https://drive.google.com/file/d/1Vt3f4QZ1ULJVQhP1OskicOtZu5DNTXLb/view?usp=drivesdk</t>
  </si>
  <si>
    <t>nurbita946@gmail.com</t>
  </si>
  <si>
    <t>9924</t>
  </si>
  <si>
    <t>1oJ6snn9HUTLfoyv81E3lBBC4cZywRF0F</t>
  </si>
  <si>
    <t>https://drive.google.com/file/d/1oJ6snn9HUTLfoyv81E3lBBC4cZywRF0F/view?usp=drivesdk</t>
  </si>
  <si>
    <t>ELITA ISTYOWATI</t>
  </si>
  <si>
    <t>elita.83cantikmanis@gmsil.com</t>
  </si>
  <si>
    <t>9925</t>
  </si>
  <si>
    <t>1ldLq6SJIb8JAcJfnyz7T42E_txjQ8wW_</t>
  </si>
  <si>
    <t>https://drive.google.com/file/d/1ldLq6SJIb8JAcJfnyz7T42E_txjQ8wW_/view?usp=drivesdk</t>
  </si>
  <si>
    <t>ZAHROH</t>
  </si>
  <si>
    <t>zahroh120469@gmail.com</t>
  </si>
  <si>
    <t>9926</t>
  </si>
  <si>
    <t>Starting at Fri Aug 30 2024 01:18:50 GMT-0400 (EDT)</t>
  </si>
  <si>
    <t>1tIxHirys1lti5iTer2yae2ZZCq8Kn93N</t>
  </si>
  <si>
    <t>https://drive.google.com/file/d/1tIxHirys1lti5iTer2yae2ZZCq8Kn93N/view?usp=drivesdk</t>
  </si>
  <si>
    <t>Ikha Tyas Miatiyanti</t>
  </si>
  <si>
    <t>ikhatyasm@gmail.com</t>
  </si>
  <si>
    <t>9927</t>
  </si>
  <si>
    <t>Starting at Fri Aug 30 2024 01:22:10 GMT-0400 (EDT)</t>
  </si>
  <si>
    <t>1vn3i35Z_vn5ID77b-LsFwNPE4SU_WGdY</t>
  </si>
  <si>
    <t>https://drive.google.com/file/d/1vn3i35Z_vn5ID77b-LsFwNPE4SU_WGdY/view?usp=drivesdk</t>
  </si>
  <si>
    <t>Document successfully created; Document successfully merged; PDF created; !!Error Sending Emails: Service invoked too many times for one day: email.; Run via form trigger as ecertificate75@gmail.com; Timestamp: Sep 17 2024 10:42 PM</t>
  </si>
  <si>
    <t>NURUL TRISTIATI., S.T., M.H</t>
  </si>
  <si>
    <t>nurul.tristiati@gmail.com</t>
  </si>
  <si>
    <t>9928</t>
  </si>
  <si>
    <t>1aDiUt-SPDb2VtMIdHvfT16oieulJLQkh</t>
  </si>
  <si>
    <t>https://drive.google.com/file/d/1aDiUt-SPDb2VtMIdHvfT16oieulJLQkh/view?usp=drivesdk</t>
  </si>
  <si>
    <t>DELYANA KANA KADJA,S.H</t>
  </si>
  <si>
    <t>delyanakadja@gmail.com</t>
  </si>
  <si>
    <t>9929</t>
  </si>
  <si>
    <t>1Lo-lpg5tjt2iO_BOhKvEdJUpMU0qW0Ub</t>
  </si>
  <si>
    <t>https://drive.google.com/file/d/1Lo-lpg5tjt2iO_BOhKvEdJUpMU0qW0Ub/view?usp=drivesdk</t>
  </si>
  <si>
    <t>RISBOWO</t>
  </si>
  <si>
    <t>risbowo170@gmail.com</t>
  </si>
  <si>
    <t>9930</t>
  </si>
  <si>
    <t>Starting at Fri Aug 30 2024 01:22:15 GMT-0400 (EDT)</t>
  </si>
  <si>
    <t>1F_cb5Rf28_LIyrTr6kFD17qI88JPQX6P</t>
  </si>
  <si>
    <t>https://drive.google.com/file/d/1F_cb5Rf28_LIyrTr6kFD17qI88JPQX6P/view?usp=drivesdk</t>
  </si>
  <si>
    <t>Document successfully created; Document successfully merged; PDF created; !!Error Sending Emails: Service invoked too many times for one day: email.; Run via form trigger as ecertificate75@gmail.com; Timestamp: Sep 18 2024 1:14 AM</t>
  </si>
  <si>
    <t>9931</t>
  </si>
  <si>
    <t>Starting at Fri Aug 30 2024 01:22:22 GMT-0400 (EDT)</t>
  </si>
  <si>
    <t>1jyznXzV0Cp02lzkjQHZw88oH9eTIH0X5</t>
  </si>
  <si>
    <t>https://drive.google.com/file/d/1jyznXzV0Cp02lzkjQHZw88oH9eTIH0X5/view?usp=drivesdk</t>
  </si>
  <si>
    <t>R. Irma Nofiana K.,AMKG</t>
  </si>
  <si>
    <t>irmanofiana026@gmail.com</t>
  </si>
  <si>
    <t>9932</t>
  </si>
  <si>
    <t>12FO0-WeomhUfhD1ulKjuqLLUpHHsBJrY</t>
  </si>
  <si>
    <t>https://drive.google.com/file/d/12FO0-WeomhUfhD1ulKjuqLLUpHHsBJrY/view?usp=drivesdk</t>
  </si>
  <si>
    <t>IKA TRIMAKNA</t>
  </si>
  <si>
    <t>ikacemani16@gmail.com</t>
  </si>
  <si>
    <t>9933</t>
  </si>
  <si>
    <t>Starting at Fri Aug 30 2024 01:22:35 GMT-0400 (EDT)</t>
  </si>
  <si>
    <t>1cwdq3EIECBV8nbdDyFsWDrSKS59febz1</t>
  </si>
  <si>
    <t>https://drive.google.com/file/d/1cwdq3EIECBV8nbdDyFsWDrSKS59febz1/view?usp=drivesdk</t>
  </si>
  <si>
    <t>Document successfully created; Document successfully merged; PDF created; !!Error Sending Emails: Service invoked too many times for one day: email.; Run via form trigger as ecertificate75@gmail.com; Timestamp: Sep 18 2024 1:15 AM</t>
  </si>
  <si>
    <t>APRIDA, SE</t>
  </si>
  <si>
    <t>guntraz90@gmail.com</t>
  </si>
  <si>
    <t>9934</t>
  </si>
  <si>
    <t>Starting at Fri Aug 30 2024 01:22:52 GMT-0400 (EDT)</t>
  </si>
  <si>
    <t>1KkT6d-LvHUi6WnUkTulte-1zmRaDsCFk</t>
  </si>
  <si>
    <t>https://drive.google.com/file/d/1KkT6d-LvHUi6WnUkTulte-1zmRaDsCFk/view?usp=drivesdk</t>
  </si>
  <si>
    <t>OKTAVIA JUMIATI SOMANTRI. AMKG</t>
  </si>
  <si>
    <t>via_mfik@yahoo.com</t>
  </si>
  <si>
    <t>9935</t>
  </si>
  <si>
    <t>Starting at Fri Aug 30 2024 01:23:03 GMT-0400 (EDT)</t>
  </si>
  <si>
    <t>16dvvQBLkY4u2X-vdL7dhLTLnkJsucruT</t>
  </si>
  <si>
    <t>https://drive.google.com/file/d/16dvvQBLkY4u2X-vdL7dhLTLnkJsucruT/view?usp=drivesdk</t>
  </si>
  <si>
    <t>SITI WASLIA ADE, A.Md.Kep</t>
  </si>
  <si>
    <t>Sitiwasliaade92@gmail.com</t>
  </si>
  <si>
    <t>9936</t>
  </si>
  <si>
    <t>Starting at Fri Aug 30 2024 01:23:36 GMT-0400 (EDT)</t>
  </si>
  <si>
    <t>14updcOKe-5C14WI555Kj5ninUHg_dCCS</t>
  </si>
  <si>
    <t>https://drive.google.com/file/d/14updcOKe-5C14WI555Kj5ninUHg_dCCS/view?usp=drivesdk</t>
  </si>
  <si>
    <t>effendiwiraraja@gmail.com</t>
  </si>
  <si>
    <t>9937</t>
  </si>
  <si>
    <t>Starting at Fri Aug 30 2024 01:25:54 GMT-0400 (EDT)</t>
  </si>
  <si>
    <t>12jo7-EBVDHKdA1a_FEloBVaKMrLTfgE6</t>
  </si>
  <si>
    <t>https://drive.google.com/file/d/12jo7-EBVDHKdA1a_FEloBVaKMrLTfgE6/view?usp=drivesdk</t>
  </si>
  <si>
    <t>Document successfully created; Document successfully merged; PDF created; Emails Sent: [To: effendiwiraraja@gmail.com]; Run via form trigger as ecertificate75@gmail.com; Timestamp: Sep 17 2024 9:53 PM</t>
  </si>
  <si>
    <t>APT.DWI YUNIATI,S.FARM</t>
  </si>
  <si>
    <t>yuniyuni512@yahoo.co.id</t>
  </si>
  <si>
    <t>9938</t>
  </si>
  <si>
    <t>1G8nNqjX9jyv4rrYmyNCD3sft0ooM63yI</t>
  </si>
  <si>
    <t>https://drive.google.com/file/d/1G8nNqjX9jyv4rrYmyNCD3sft0ooM63yI/view?usp=drivesdk</t>
  </si>
  <si>
    <t>Document successfully created; Document successfully merged; PDF created; Emails Sent: [To: yuniyuni512@yahoo.co.id]; Run via form trigger as ecertificate75@gmail.com; Timestamp: Sep 17 2024 9:53 PM</t>
  </si>
  <si>
    <t>WITONO</t>
  </si>
  <si>
    <t>witono087@gmail.com</t>
  </si>
  <si>
    <t>9939</t>
  </si>
  <si>
    <t>140WVRQ3H_h2Nc_OMOWkGQ5D6jrnf4pgk</t>
  </si>
  <si>
    <t>https://drive.google.com/file/d/140WVRQ3H_h2Nc_OMOWkGQ5D6jrnf4pgk/view?usp=drivesdk</t>
  </si>
  <si>
    <t>Document successfully created; Document successfully merged; PDF created; Emails Sent: [To: witono087@gmail.com]; Run via form trigger as ecertificate75@gmail.com; Timestamp: Sep 17 2024 9:53 PM</t>
  </si>
  <si>
    <t>SRI HARDANI</t>
  </si>
  <si>
    <t>srihardana75@gmail.com</t>
  </si>
  <si>
    <t>9940</t>
  </si>
  <si>
    <t>Starting at Fri Aug 30 2024 01:26:01 GMT-0400 (EDT)</t>
  </si>
  <si>
    <t>13q540xnxpAUX4xa8GM0rNKZlHGgZCZ2S</t>
  </si>
  <si>
    <t>https://drive.google.com/file/d/13q540xnxpAUX4xa8GM0rNKZlHGgZCZ2S/view?usp=drivesdk</t>
  </si>
  <si>
    <t>Document successfully created; Document successfully merged; PDF created; Emails Sent: [To: srihardana75@gmail.com]; Run via form trigger as ecertificate75@gmail.com; Timestamp: Sep 17 2024 9:53 PM</t>
  </si>
  <si>
    <t>SONI DWI CAHYONO</t>
  </si>
  <si>
    <t>sonicahyono77@gmail.com</t>
  </si>
  <si>
    <t>9941</t>
  </si>
  <si>
    <t>Starting at Fri Aug 30 2024 01:26:47 GMT-0400 (EDT)</t>
  </si>
  <si>
    <t>1LAq137wsUeCgG6mBVUnWAmA8Ah7qF07o</t>
  </si>
  <si>
    <t>https://drive.google.com/file/d/1LAq137wsUeCgG6mBVUnWAmA8Ah7qF07o/view?usp=drivesdk</t>
  </si>
  <si>
    <t>Document successfully created; Document successfully merged; PDF created; Emails Sent: [To: sonicahyono77@gmail.com]; Run via form trigger as ecertificate75@gmail.com; Timestamp: Sep 17 2024 9:53 PM</t>
  </si>
  <si>
    <t xml:space="preserve">RAHMADINAR </t>
  </si>
  <si>
    <t>ayudiaaamanda@gmail.com</t>
  </si>
  <si>
    <t>9942</t>
  </si>
  <si>
    <t>1wgKXaU6mphD83c8yMNdj04Ecm_U6ni3B</t>
  </si>
  <si>
    <t>https://drive.google.com/file/d/1wgKXaU6mphD83c8yMNdj04Ecm_U6ni3B/view?usp=drivesdk</t>
  </si>
  <si>
    <t>Document successfully created; Document successfully merged; PDF created; Emails Sent: [To: ayudiaaamanda@gmail.com]; Run via form trigger as ecertificate75@gmail.com; Timestamp: Sep 17 2024 9:54 PM</t>
  </si>
  <si>
    <t>SULISTYOWATI, S.E., M.M.</t>
  </si>
  <si>
    <t>sulistyowati.othe@gmail.com</t>
  </si>
  <si>
    <t>9943</t>
  </si>
  <si>
    <t>Starting at Fri Aug 30 2024 01:26:57 GMT-0400 (EDT)</t>
  </si>
  <si>
    <t>1br90xvH4VCGgpsmItsWn1sSxWa9fa4GU</t>
  </si>
  <si>
    <t>https://drive.google.com/file/d/1br90xvH4VCGgpsmItsWn1sSxWa9fa4GU/view?usp=drivesdk</t>
  </si>
  <si>
    <t>Document successfully created; Document successfully merged; PDF created; Emails Sent: [To: sulistyowati.othe@gmail.com]; Run via form trigger as ecertificate75@gmail.com; Timestamp: Sep 17 2024 9:54 PM</t>
  </si>
  <si>
    <t>ymalaranggeng@gmail.com</t>
  </si>
  <si>
    <t>9944</t>
  </si>
  <si>
    <t>Starting at Fri Aug 30 2024 01:27:08 GMT-0400 (EDT)</t>
  </si>
  <si>
    <t>1qT6-W-Dc_Y5oBRNcXlylXW7usTUp7bhy</t>
  </si>
  <si>
    <t>https://drive.google.com/file/d/1qT6-W-Dc_Y5oBRNcXlylXW7usTUp7bhy/view?usp=drivesdk</t>
  </si>
  <si>
    <t>Document successfully created; Document successfully merged; PDF created; Emails Sent: [To: ymalaranggeng@gmail.com]; Run via form trigger as ecertificate75@gmail.com; Timestamp: Sep 17 2024 9:54 PM</t>
  </si>
  <si>
    <t>YUSMAINAR</t>
  </si>
  <si>
    <t>yusmainar156@gmail.com</t>
  </si>
  <si>
    <t>9945</t>
  </si>
  <si>
    <t>Starting at Fri Aug 30 2024 01:28:56 GMT-0400 (EDT)</t>
  </si>
  <si>
    <t>1aqdyuphAjCzcQ84zvg_X2UX2ioFhSTVS</t>
  </si>
  <si>
    <t>https://drive.google.com/file/d/1aqdyuphAjCzcQ84zvg_X2UX2ioFhSTVS/view?usp=drivesdk</t>
  </si>
  <si>
    <t>Document successfully created; Document successfully merged; PDF created; Emails Sent: [To: yusmainar156@gmail.com]; Run via form trigger as ecertificate75@gmail.com; Timestamp: Sep 17 2024 9:54 PM</t>
  </si>
  <si>
    <t>9946</t>
  </si>
  <si>
    <t>Starting at Fri Aug 30 2024 01:29:26 GMT-0400 (EDT)</t>
  </si>
  <si>
    <t>1tMRlcN7ARlon3K-pLOC9JTfiD-nRtEZl</t>
  </si>
  <si>
    <t>https://drive.google.com/file/d/1tMRlcN7ARlon3K-pLOC9JTfiD-nRtEZl/view?usp=drivesdk</t>
  </si>
  <si>
    <t>Document successfully created; Document successfully merged; PDF created; Emails Sent: [To: rajaoloandaulayy712@gmail.com]; Run via form trigger as ecertificate75@gmail.com; Timestamp: Sep 17 2024 9:55 PM</t>
  </si>
  <si>
    <t>ENI PUJI LESTARI</t>
  </si>
  <si>
    <t>nadhifhafiz07@gmail.com</t>
  </si>
  <si>
    <t>9947</t>
  </si>
  <si>
    <t>1oCHacW90jdHb71pO1Ejp-hX1k3n-rVzU</t>
  </si>
  <si>
    <t>https://drive.google.com/file/d/1oCHacW90jdHb71pO1Ejp-hX1k3n-rVzU/view?usp=drivesdk</t>
  </si>
  <si>
    <t>Document successfully created; Document successfully merged; PDF created; Emails Sent: [To: nadhifhafiz07@gmail.com]; Run via form trigger as ecertificate75@gmail.com; Timestamp: Sep 17 2024 9:55 PM</t>
  </si>
  <si>
    <t>ROULINA SINAGA, S.H.</t>
  </si>
  <si>
    <t>roulinasinaga6@gmail.com</t>
  </si>
  <si>
    <t>9948</t>
  </si>
  <si>
    <t>1Z6nUmZPHor1-F-cI0ae00VuyaU1nbDtC</t>
  </si>
  <si>
    <t>https://drive.google.com/file/d/1Z6nUmZPHor1-F-cI0ae00VuyaU1nbDtC/view?usp=drivesdk</t>
  </si>
  <si>
    <t>Document successfully created; Document successfully merged; PDF created; Emails Sent: [To: roulinasinaga6@gmail.com]; Run via form trigger as ecertificate75@gmail.com; Timestamp: Sep 17 2024 9:55 PM</t>
  </si>
  <si>
    <t>ANGGUN MULYANA S.KEP.,NERS</t>
  </si>
  <si>
    <t>Angguncexo@gmail.com</t>
  </si>
  <si>
    <t>9949</t>
  </si>
  <si>
    <t>Starting at Fri Aug 30 2024 01:29:50 GMT-0400 (EDT)</t>
  </si>
  <si>
    <t>1Cj3NL0VsRAvtw8mOx4wvpdpKJQhK2Lvk</t>
  </si>
  <si>
    <t>https://drive.google.com/file/d/1Cj3NL0VsRAvtw8mOx4wvpdpKJQhK2Lvk/view?usp=drivesdk</t>
  </si>
  <si>
    <t>Document successfully created; Document successfully merged; PDF created; Emails Sent: [To: Angguncexo@gmail.com]; Run via form trigger as ecertificate75@gmail.com; Timestamp: Sep 17 2024 9:55 PM</t>
  </si>
  <si>
    <t>NI LUH GEDE CANDRA ASTUTI</t>
  </si>
  <si>
    <t>niluhcandraastuti@gmail.com</t>
  </si>
  <si>
    <t>9950</t>
  </si>
  <si>
    <t>Starting at Fri Aug 30 2024 01:30:08 GMT-0400 (EDT)</t>
  </si>
  <si>
    <t>1EyCEfyWAuWRTKN3sXQNTIoHH-5e34vXa</t>
  </si>
  <si>
    <t>https://drive.google.com/file/d/1EyCEfyWAuWRTKN3sXQNTIoHH-5e34vXa/view?usp=drivesdk</t>
  </si>
  <si>
    <t>Document successfully created; Document successfully merged; PDF created; Emails Sent: [To: niluhcandraastuti@gmail.com]; Run via form trigger as ecertificate75@gmail.com; Timestamp: Sep 17 2024 9:56 PM</t>
  </si>
  <si>
    <t>YANU ARIYANTO</t>
  </si>
  <si>
    <t>yanukepbabel@gmail.com</t>
  </si>
  <si>
    <t>9951</t>
  </si>
  <si>
    <t>Starting at Fri Aug 30 2024 01:30:42 GMT-0400 (EDT)</t>
  </si>
  <si>
    <t>165uxRcHpqdYKgG7q6cTUccVTAoFAL7M6</t>
  </si>
  <si>
    <t>https://drive.google.com/file/d/165uxRcHpqdYKgG7q6cTUccVTAoFAL7M6/view?usp=drivesdk</t>
  </si>
  <si>
    <t>Document successfully created; Document successfully merged; PDF created; Emails Sent: [To: yanukepbabel@gmail.com]; Run via form trigger as ecertificate75@gmail.com; Timestamp: Sep 17 2024 9:56 PM</t>
  </si>
  <si>
    <t>BELLINA, Amd. Kep</t>
  </si>
  <si>
    <t>bellinabangka97@gmail.con</t>
  </si>
  <si>
    <t>9952</t>
  </si>
  <si>
    <t>Starting at Fri Aug 30 2024 01:30:51 GMT-0400 (EDT)</t>
  </si>
  <si>
    <t>1VNxsCEnZiiDTyJ4ZrDtVB0Y3fg9BVLGw</t>
  </si>
  <si>
    <t>https://drive.google.com/file/d/1VNxsCEnZiiDTyJ4ZrDtVB0Y3fg9BVLGw/view?usp=drivesdk</t>
  </si>
  <si>
    <t>Document successfully created; Document successfully merged; PDF created; Emails Sent: [To: bellinabangka97@gmail.con]; Run via form trigger as ecertificate75@gmail.com; Timestamp: Sep 17 2024 9:56 PM</t>
  </si>
  <si>
    <t>ASN DARMAWANTI</t>
  </si>
  <si>
    <t>wantydarma780@gmail.com</t>
  </si>
  <si>
    <t>9953</t>
  </si>
  <si>
    <t>Starting at Fri Aug 30 2024 01:31:11 GMT-0400 (EDT)</t>
  </si>
  <si>
    <t>1gzuWZqpW-J6yLHAhYN1dUWrzrznKC-b3</t>
  </si>
  <si>
    <t>https://drive.google.com/file/d/1gzuWZqpW-J6yLHAhYN1dUWrzrznKC-b3/view?usp=drivesdk</t>
  </si>
  <si>
    <t>Document successfully created; Document successfully merged; PDF created; Emails Sent: [To: wantydarma780@gmail.com]; Run via form trigger as ecertificate75@gmail.com; Timestamp: Sep 17 2024 9:56 PM</t>
  </si>
  <si>
    <t>JUWINARTI</t>
  </si>
  <si>
    <t>wiequeena@gmail.com</t>
  </si>
  <si>
    <t>9954</t>
  </si>
  <si>
    <t>Starting at Fri Aug 30 2024 01:33:11 GMT-0400 (EDT)</t>
  </si>
  <si>
    <t>1Omr0I0N6ZyqkC7jbcLfdwHjXpw-193z-</t>
  </si>
  <si>
    <t>https://drive.google.com/file/d/1Omr0I0N6ZyqkC7jbcLfdwHjXpw-193z-/view?usp=drivesdk</t>
  </si>
  <si>
    <t>Document successfully created; Document successfully merged; PDF created; Emails Sent: [To: wiequeena@gmail.com]; Run via form trigger as ecertificate75@gmail.com; Timestamp: Sep 17 2024 9:57 PM</t>
  </si>
  <si>
    <t>WIWIK TRINIINGSIH,S.Kep.Ns</t>
  </si>
  <si>
    <t>wiwik.triningsih@gmail.com</t>
  </si>
  <si>
    <t>9955</t>
  </si>
  <si>
    <t>1YXQFMXvTwRoLHZ7P4gCX16iS5oeeHV8-</t>
  </si>
  <si>
    <t>https://drive.google.com/file/d/1YXQFMXvTwRoLHZ7P4gCX16iS5oeeHV8-/view?usp=drivesdk</t>
  </si>
  <si>
    <t>Document successfully created; Document successfully merged; PDF created; Emails Sent: [To: wiwik.triningsih@gmail.com]; Run via form trigger as ecertificate75@gmail.com; Timestamp: Sep 17 2024 9:57 PM</t>
  </si>
  <si>
    <t>WUZAR, S.Ag</t>
  </si>
  <si>
    <t>wizarlubis12@gmail.com</t>
  </si>
  <si>
    <t>9956</t>
  </si>
  <si>
    <t>Starting at Fri Aug 30 2024 01:33:34 GMT-0400 (EDT)</t>
  </si>
  <si>
    <t>1n3oQZOLM0jIQY8cdlz8ujLjCQGbXT1qT</t>
  </si>
  <si>
    <t>https://drive.google.com/file/d/1n3oQZOLM0jIQY8cdlz8ujLjCQGbXT1qT/view?usp=drivesdk</t>
  </si>
  <si>
    <t>Document successfully created; Document successfully merged; PDF created; Emails Sent: [To: wizarlubis12@gmail.com]; Run via form trigger as ecertificate75@gmail.com; Timestamp: Sep 17 2024 9:57 PM</t>
  </si>
  <si>
    <t>ANDRYAN PRASETYO</t>
  </si>
  <si>
    <t>andryanprassetyo23@gmail.com</t>
  </si>
  <si>
    <t>9957</t>
  </si>
  <si>
    <t>1DVC_ItrAy9eU67j6kKZHgMvRhv5wVJYd</t>
  </si>
  <si>
    <t>https://drive.google.com/file/d/1DVC_ItrAy9eU67j6kKZHgMvRhv5wVJYd/view?usp=drivesdk</t>
  </si>
  <si>
    <t>Document successfully created; Document successfully merged; PDF created; Emails Sent: [To: andryanprassetyo23@gmail.com]; Run via form trigger as ecertificate75@gmail.com; Timestamp: Sep 17 2024 9:57 PM</t>
  </si>
  <si>
    <t>ABDUL  RAHIM</t>
  </si>
  <si>
    <t>ar1176074@gmail.com</t>
  </si>
  <si>
    <t>9958</t>
  </si>
  <si>
    <t>Starting at Fri Aug 30 2024 01:33:48 GMT-0400 (EDT)</t>
  </si>
  <si>
    <t>1k33Ya9hIn2w2y_k4CgBlJdWYKywYxJKE</t>
  </si>
  <si>
    <t>https://drive.google.com/file/d/1k33Ya9hIn2w2y_k4CgBlJdWYKywYxJKE/view?usp=drivesdk</t>
  </si>
  <si>
    <t>Titik Wahyu Agustiningsih S. Kep, Ners</t>
  </si>
  <si>
    <t>titik.wahyu09@gmail.com</t>
  </si>
  <si>
    <t>9959</t>
  </si>
  <si>
    <t>Starting at Fri Aug 30 2024 01:34:58 GMT-0400 (EDT)</t>
  </si>
  <si>
    <t>1Z3BQvEvfsI0MaxbT4Cqf1-ViJks8B19g</t>
  </si>
  <si>
    <t>https://drive.google.com/file/d/1Z3BQvEvfsI0MaxbT4Cqf1-ViJks8B19g/view?usp=drivesdk</t>
  </si>
  <si>
    <t>Document successfully created; Document successfully merged; PDF created; !!Error Sending Emails: Service invoked too many times for one day: email.; Run via form trigger as ecertificate75@gmail.com; Timestamp: Sep 18 2024 1:16 AM</t>
  </si>
  <si>
    <t>9960</t>
  </si>
  <si>
    <t>1GxYYSZt6taZw5DQrlEmcpg5rFZBhis8X</t>
  </si>
  <si>
    <t>https://drive.google.com/file/d/1GxYYSZt6taZw5DQrlEmcpg5rFZBhis8X/view?usp=drivesdk</t>
  </si>
  <si>
    <t>ASWELMI</t>
  </si>
  <si>
    <t>well.n.eri49@gmail.com</t>
  </si>
  <si>
    <t>9961</t>
  </si>
  <si>
    <t>Starting at Fri Aug 30 2024 01:35:58 GMT-0400 (EDT)</t>
  </si>
  <si>
    <t>1We0dESepj7tx13SbyQCncAmJ1cxHCQNL</t>
  </si>
  <si>
    <t>https://drive.google.com/file/d/1We0dESepj7tx13SbyQCncAmJ1cxHCQNL/view?usp=drivesdk</t>
  </si>
  <si>
    <t>SRI SUPRAPTI</t>
  </si>
  <si>
    <t>srisuprapti592@gmail.com</t>
  </si>
  <si>
    <t>9962</t>
  </si>
  <si>
    <t>Starting at Fri Aug 30 2024 01:36:46 GMT-0400 (EDT)</t>
  </si>
  <si>
    <t>1Xb2RWXjaqON1IAUTFB3kntTQsQ4urS47</t>
  </si>
  <si>
    <t>https://drive.google.com/file/d/1Xb2RWXjaqON1IAUTFB3kntTQsQ4urS47/view?usp=drivesdk</t>
  </si>
  <si>
    <t>NASIRIN</t>
  </si>
  <si>
    <t>nasirin.benasta@gmail.com</t>
  </si>
  <si>
    <t>9963</t>
  </si>
  <si>
    <t>1KO6ZS_lq3q2cV1VXHwXTZQNP4-ctlPLc</t>
  </si>
  <si>
    <t>https://drive.google.com/file/d/1KO6ZS_lq3q2cV1VXHwXTZQNP4-ctlPLc/view?usp=drivesdk</t>
  </si>
  <si>
    <t>Document successfully created; Document successfully merged; PDF created; !!Error Sending Emails: Service invoked too many times for one day: email.; Run via form trigger as ecertificate75@gmail.com; Timestamp: Sep 18 2024 1:17 AM</t>
  </si>
  <si>
    <t>RININURJANAH</t>
  </si>
  <si>
    <t>rininurjanah54@gmail.com</t>
  </si>
  <si>
    <t>9964</t>
  </si>
  <si>
    <t>Starting at Fri Aug 30 2024 01:37:02 GMT-0400 (EDT)</t>
  </si>
  <si>
    <t>1k9z-gXHlGFsfP-amv5_nsLb9mJA5cfcx</t>
  </si>
  <si>
    <t>https://drive.google.com/file/d/1k9z-gXHlGFsfP-amv5_nsLb9mJA5cfcx/view?usp=drivesdk</t>
  </si>
  <si>
    <t>MARNO MENAUNG</t>
  </si>
  <si>
    <t>marnomenaung28@gmail.com</t>
  </si>
  <si>
    <t>9965</t>
  </si>
  <si>
    <t>Starting at Fri Aug 30 2024 01:38:38 GMT-0400 (EDT)</t>
  </si>
  <si>
    <t>14nUMyQz7NVQ7rqtrMmbzl5e6eFVjTFC4</t>
  </si>
  <si>
    <t>https://drive.google.com/file/d/14nUMyQz7NVQ7rqtrMmbzl5e6eFVjTFC4/view?usp=drivesdk</t>
  </si>
  <si>
    <t xml:space="preserve">REGINA HERMINA NDADA DARA </t>
  </si>
  <si>
    <t>regina.dara85@gmail.com</t>
  </si>
  <si>
    <t>9966</t>
  </si>
  <si>
    <t>1Bx_SDAAB-zBIVbVEXWBW_YNl4l7KUcc4</t>
  </si>
  <si>
    <t>https://drive.google.com/file/d/1Bx_SDAAB-zBIVbVEXWBW_YNl4l7KUcc4/view?usp=drivesdk</t>
  </si>
  <si>
    <t>Cut Desy Abdiyani, A. Md. Kep</t>
  </si>
  <si>
    <t>cutdesya@gmail.com</t>
  </si>
  <si>
    <t>9967</t>
  </si>
  <si>
    <t>Starting at Fri Aug 30 2024 01:38:51 GMT-0400 (EDT)</t>
  </si>
  <si>
    <t>1mSdJAuVsRUTkMty9wQLBwIv3ycUlHALz</t>
  </si>
  <si>
    <t>https://drive.google.com/file/d/1mSdJAuVsRUTkMty9wQLBwIv3ycUlHALz/view?usp=drivesdk</t>
  </si>
  <si>
    <t>KURNIATIN</t>
  </si>
  <si>
    <t>kurniatin0705@gmail.com</t>
  </si>
  <si>
    <t>9968</t>
  </si>
  <si>
    <t>Starting at Fri Aug 30 2024 01:39:27 GMT-0400 (EDT)</t>
  </si>
  <si>
    <t>19b9LaH1ZbIZElfhcZPreL2sVZleUOOmW</t>
  </si>
  <si>
    <t>https://drive.google.com/file/d/19b9LaH1ZbIZElfhcZPreL2sVZleUOOmW/view?usp=drivesdk</t>
  </si>
  <si>
    <t>Document successfully created; Document successfully merged; PDF created; !!Error Sending Emails: Service invoked too many times for one day: email.; Run via form trigger as ecertificate75@gmail.com; Timestamp: Sep 18 2024 1:18 AM</t>
  </si>
  <si>
    <t>SOFYAN EFFENDY, SE., MM</t>
  </si>
  <si>
    <t>sofyannabil27@gamil.com</t>
  </si>
  <si>
    <t>9969</t>
  </si>
  <si>
    <t>Starting at Fri Aug 30 2024 01:41:08 GMT-0400 (EDT)</t>
  </si>
  <si>
    <t>1TTdxOadx0DdY-g-D-2IxI7-YtrhB59JU</t>
  </si>
  <si>
    <t>https://drive.google.com/file/d/1TTdxOadx0DdY-g-D-2IxI7-YtrhB59JU/view?usp=drivesdk</t>
  </si>
  <si>
    <t>9970</t>
  </si>
  <si>
    <t>Starting at Fri Aug 30 2024 01:41:54 GMT-0400 (EDT)</t>
  </si>
  <si>
    <t>1vPe2KI7lEij5eiborgst0i684Z8Yr8oB</t>
  </si>
  <si>
    <t>https://drive.google.com/file/d/1vPe2KI7lEij5eiborgst0i684Z8Yr8oB/view?usp=drivesdk</t>
  </si>
  <si>
    <t>RUSTAM EFFENDI</t>
  </si>
  <si>
    <t>rustameffendipolres@gmail.com</t>
  </si>
  <si>
    <t>9971</t>
  </si>
  <si>
    <t>1nv1d7HbcvFZmSml35KpPbVu3mMujJz-G</t>
  </si>
  <si>
    <t>https://drive.google.com/file/d/1nv1d7HbcvFZmSml35KpPbVu3mMujJz-G/view?usp=drivesdk</t>
  </si>
  <si>
    <t>AGUS SANTOSO.S.T.</t>
  </si>
  <si>
    <t>kilboyagjv1234@gmail.com</t>
  </si>
  <si>
    <t>9972</t>
  </si>
  <si>
    <t>Starting at Fri Aug 30 2024 01:42:06 GMT-0400 (EDT)</t>
  </si>
  <si>
    <t>1SKk3p1G54gx6zNvpSyq9VFAYsv8cYYwI</t>
  </si>
  <si>
    <t>https://drive.google.com/file/d/1SKk3p1G54gx6zNvpSyq9VFAYsv8cYYwI/view?usp=drivesdk</t>
  </si>
  <si>
    <t>Document successfully created; Document successfully merged; PDF created; !!Error Sending Emails: Service invoked too many times for one day: email.; Run via form trigger as ecertificate75@gmail.com; Timestamp: Sep 18 2024 1:19 AM</t>
  </si>
  <si>
    <t>9973</t>
  </si>
  <si>
    <t>Starting at Fri Aug 30 2024 01:42:42 GMT-0400 (EDT)</t>
  </si>
  <si>
    <t>1eKOoY-btjOEhNeJhQkXLObAtrnxwjNyP</t>
  </si>
  <si>
    <t>https://drive.google.com/file/d/1eKOoY-btjOEhNeJhQkXLObAtrnxwjNyP/view?usp=drivesdk</t>
  </si>
  <si>
    <t>CHOMSATUN URIFAH</t>
  </si>
  <si>
    <t>urifah.aim@gmail.com</t>
  </si>
  <si>
    <t>9974</t>
  </si>
  <si>
    <t>Starting at Fri Aug 30 2024 01:43:44 GMT-0400 (EDT)</t>
  </si>
  <si>
    <t>12a8-LJB98zLqyIFyL-nQy0bcgmQ5mVeP</t>
  </si>
  <si>
    <t>https://drive.google.com/file/d/12a8-LJB98zLqyIFyL-nQy0bcgmQ5mVeP/view?usp=drivesdk</t>
  </si>
  <si>
    <t>FARIDA ARYANI</t>
  </si>
  <si>
    <t>faridaaryani1713@gmail.com</t>
  </si>
  <si>
    <t>9975</t>
  </si>
  <si>
    <t>Starting at Fri Aug 30 2024 01:43:53 GMT-0400 (EDT)</t>
  </si>
  <si>
    <t>1P5FaY1LTWQksFmNiwSDHdvRUmcLiHwSW</t>
  </si>
  <si>
    <t>https://drive.google.com/file/d/1P5FaY1LTWQksFmNiwSDHdvRUmcLiHwSW/view?usp=drivesdk</t>
  </si>
  <si>
    <t>Document successfully created; Document successfully merged; PDF created; !!Error Sending Emails: Service invoked too many times for one day: email.; Run via form trigger as ecertificate75@gmail.com; Timestamp: Sep 18 2024 1:20 AM</t>
  </si>
  <si>
    <t>vaniacitra61@gmail.com</t>
  </si>
  <si>
    <t>9976</t>
  </si>
  <si>
    <t>Starting at Fri Aug 30 2024 01:44:56 GMT-0400 (EDT)</t>
  </si>
  <si>
    <t>1N9p3B011bSU1Tmi2RfM7I7K0Xq2UWI4M</t>
  </si>
  <si>
    <t>https://drive.google.com/file/d/1N9p3B011bSU1Tmi2RfM7I7K0Xq2UWI4M/view?usp=drivesdk</t>
  </si>
  <si>
    <t xml:space="preserve">TONI BUSTONI </t>
  </si>
  <si>
    <t>dwiasri0705@gmail.com</t>
  </si>
  <si>
    <t>9977</t>
  </si>
  <si>
    <t>1SVY25ILy86OrKnzJmGpRkg8NWfv2yjEi</t>
  </si>
  <si>
    <t>https://drive.google.com/file/d/1SVY25ILy86OrKnzJmGpRkg8NWfv2yjEi/view?usp=drivesdk</t>
  </si>
  <si>
    <t>AGUS JUNIANTO</t>
  </si>
  <si>
    <t>agusjunianto04@gmail.com</t>
  </si>
  <si>
    <t>9978</t>
  </si>
  <si>
    <t>Starting at Fri Aug 30 2024 01:45:04 GMT-0400 (EDT)</t>
  </si>
  <si>
    <t>1JOJucVHs_EhmxKNf1D3sxBFlZgdXfmPh</t>
  </si>
  <si>
    <t>https://drive.google.com/file/d/1JOJucVHs_EhmxKNf1D3sxBFlZgdXfmPh/view?usp=drivesdk</t>
  </si>
  <si>
    <t>FARIDA HAERANI, A.Md.</t>
  </si>
  <si>
    <t>faridasiswoyo@gmail.com</t>
  </si>
  <si>
    <t>9979</t>
  </si>
  <si>
    <t>19tEPC2uULVZRDMyWZCZQoKmgBKtyVpQM</t>
  </si>
  <si>
    <t>https://drive.google.com/file/d/19tEPC2uULVZRDMyWZCZQoKmgBKtyVpQM/view?usp=drivesdk</t>
  </si>
  <si>
    <t>OKTARINA S.Kep</t>
  </si>
  <si>
    <t>Oktarinaputri29@gmail.com</t>
  </si>
  <si>
    <t>9980</t>
  </si>
  <si>
    <t>Starting at Fri Aug 30 2024 01:45:30 GMT-0400 (EDT)</t>
  </si>
  <si>
    <t>1UJyOzodnB5tBWWSzm6biPLAerZn-A1vi</t>
  </si>
  <si>
    <t>https://drive.google.com/file/d/1UJyOzodnB5tBWWSzm6biPLAerZn-A1vi/view?usp=drivesdk</t>
  </si>
  <si>
    <t>Document successfully created; Document successfully merged; PDF created; !!Error Sending Emails: Service invoked too many times for one day: email.; Run via form trigger as ecertificate75@gmail.com; Timestamp: Sep 18 2024 1:21 AM</t>
  </si>
  <si>
    <t>Rinny Aprilianty Mokodompit, Amd. Far</t>
  </si>
  <si>
    <t>rinny.aprilianty@gmail.com</t>
  </si>
  <si>
    <t>9981</t>
  </si>
  <si>
    <t>Starting at Fri Aug 30 2024 01:45:55 GMT-0400 (EDT)</t>
  </si>
  <si>
    <t>1TpwLBwk9_7uGsZuSvheRtcb-OsnPpmaC</t>
  </si>
  <si>
    <t>https://drive.google.com/file/d/1TpwLBwk9_7uGsZuSvheRtcb-OsnPpmaC/view?usp=drivesdk</t>
  </si>
  <si>
    <t>FARIDA HERMANSYAH. Am. Keb</t>
  </si>
  <si>
    <t>iydhanaufal10113@gmail.com</t>
  </si>
  <si>
    <t>9982</t>
  </si>
  <si>
    <t>Starting at Fri Aug 30 2024 01:46:05 GMT-0400 (EDT)</t>
  </si>
  <si>
    <t>1C6ONuO8YDkM5sUqGRx48NWlmWX8gUs53</t>
  </si>
  <si>
    <t>https://drive.google.com/file/d/1C6ONuO8YDkM5sUqGRx48NWlmWX8gUs53/view?usp=drivesdk</t>
  </si>
  <si>
    <t>Ns. NYOTO, S.Kep.,M.Tr.Kep</t>
  </si>
  <si>
    <t>9983</t>
  </si>
  <si>
    <t>Starting at Fri Aug 30 2024 01:48:31 GMT-0400 (EDT)</t>
  </si>
  <si>
    <t>1vrVxlFZhlvOpB0qXy91PqPyfdYQtuFxP</t>
  </si>
  <si>
    <t>https://drive.google.com/file/d/1vrVxlFZhlvOpB0qXy91PqPyfdYQtuFxP/view?usp=drivesdk</t>
  </si>
  <si>
    <t>JUNEDI F. SAHETAPY</t>
  </si>
  <si>
    <t>3dy.sahetapy@gmail.com</t>
  </si>
  <si>
    <t>9984</t>
  </si>
  <si>
    <t>1WA3y0L-fc08OIducLXCfeCFqENAbEa_S</t>
  </si>
  <si>
    <t>https://drive.google.com/file/d/1WA3y0L-fc08OIducLXCfeCFqENAbEa_S/view?usp=drivesdk</t>
  </si>
  <si>
    <t>S A L M I N I</t>
  </si>
  <si>
    <t>salmini.jk79@gmail.com</t>
  </si>
  <si>
    <t>9985</t>
  </si>
  <si>
    <t>Starting at Fri Aug 30 2024 01:48:59 GMT-0400 (EDT)</t>
  </si>
  <si>
    <t>1bpEw3P3J_-XzfcMRoTvI7MRKWiRuNupW</t>
  </si>
  <si>
    <t>https://drive.google.com/file/d/1bpEw3P3J_-XzfcMRoTvI7MRKWiRuNupW/view?usp=drivesdk</t>
  </si>
  <si>
    <t>Document successfully created; Document successfully merged; PDF created; !!Error Sending Emails: Service invoked too many times for one day: email.; Run via form trigger as ecertificate75@gmail.com; Timestamp: Sep 18 2024 1:22 AM</t>
  </si>
  <si>
    <t>KUSMIYATUN</t>
  </si>
  <si>
    <t>kusmiyatun15@gmail.com</t>
  </si>
  <si>
    <t>9986</t>
  </si>
  <si>
    <t>1CprQR1CmYasUEbcJyDsQmm2KDT6z4jcY</t>
  </si>
  <si>
    <t>https://drive.google.com/file/d/1CprQR1CmYasUEbcJyDsQmm2KDT6z4jcY/view?usp=drivesdk</t>
  </si>
  <si>
    <t>JUMARDI</t>
  </si>
  <si>
    <t>jumardiumar79@gmail.com</t>
  </si>
  <si>
    <t>9987</t>
  </si>
  <si>
    <t>1YzxfF9DPjzWOTuLhBQaUX04csHVbD1UH</t>
  </si>
  <si>
    <t>https://drive.google.com/file/d/1YzxfF9DPjzWOTuLhBQaUX04csHVbD1UH/view?usp=drivesdk</t>
  </si>
  <si>
    <t xml:space="preserve">MIA DESY PUSPITHA, AMK </t>
  </si>
  <si>
    <t>puspithamia@gmail.com</t>
  </si>
  <si>
    <t>9988</t>
  </si>
  <si>
    <t>Starting at Fri Aug 30 2024 01:49:59 GMT-0400 (EDT)</t>
  </si>
  <si>
    <t>1Bv1aTBXrpZXE2c5yJFnf3_xYibK9n8aD</t>
  </si>
  <si>
    <t>https://drive.google.com/file/d/1Bv1aTBXrpZXE2c5yJFnf3_xYibK9n8aD/view?usp=drivesdk</t>
  </si>
  <si>
    <t>AGUSTINA LATUIHAMALLO</t>
  </si>
  <si>
    <t>goslatu76@gmail.com</t>
  </si>
  <si>
    <t>9989</t>
  </si>
  <si>
    <t>Starting at Fri Aug 30 2024 01:51:32 GMT-0400 (EDT)</t>
  </si>
  <si>
    <t>1UXOZ6kXJD_yo0dri0C0PQnhKg9WtM-Wr</t>
  </si>
  <si>
    <t>https://drive.google.com/file/d/1UXOZ6kXJD_yo0dri0C0PQnhKg9WtM-Wr/view?usp=drivesdk</t>
  </si>
  <si>
    <t>dr. WENI SANTIWI</t>
  </si>
  <si>
    <t>euisawhen@gmail.com</t>
  </si>
  <si>
    <t>9990</t>
  </si>
  <si>
    <t>1mVUz7Kg3oxEQOG1EP4K6Z5wrSHwFSPp1</t>
  </si>
  <si>
    <t>https://drive.google.com/file/d/1mVUz7Kg3oxEQOG1EP4K6Z5wrSHwFSPp1/view?usp=drivesdk</t>
  </si>
  <si>
    <t>Document successfully created; Document successfully merged; PDF created; !!Error Sending Emails: Service invoked too many times for one day: email.; Run via form trigger as ecertificate75@gmail.com; Timestamp: Sep 18 2024 1:23 AM</t>
  </si>
  <si>
    <t>hotijah1971@gmail.com</t>
  </si>
  <si>
    <t>9991</t>
  </si>
  <si>
    <t>Starting at Fri Aug 30 2024 01:52:10 GMT-0400 (EDT)</t>
  </si>
  <si>
    <t>1DiVxYwm4z3LXo0Z0EAxAu0j3qIDBywMv</t>
  </si>
  <si>
    <t>https://drive.google.com/file/d/1DiVxYwm4z3LXo0Z0EAxAu0j3qIDBywMv/view?usp=drivesdk</t>
  </si>
  <si>
    <t>KARMILA</t>
  </si>
  <si>
    <t>mylaags@gmail.com</t>
  </si>
  <si>
    <t>9992</t>
  </si>
  <si>
    <t>1UOumIZ2SVAAt1mHrX8Q98s1CLjBK7FwB</t>
  </si>
  <si>
    <t>https://drive.google.com/file/d/1UOumIZ2SVAAt1mHrX8Q98s1CLjBK7FwB/view?usp=drivesdk</t>
  </si>
  <si>
    <t>dr. Nadya Nurbany Rafman</t>
  </si>
  <si>
    <t>nadyadea5@yahoo.com</t>
  </si>
  <si>
    <t>9993</t>
  </si>
  <si>
    <t>Starting at Fri Aug 30 2024 01:54:33 GMT-0400 (EDT)</t>
  </si>
  <si>
    <t>1RWIL1K9JKG7uJb6hs0S4hX-2RXxxyjIz</t>
  </si>
  <si>
    <t>https://drive.google.com/file/d/1RWIL1K9JKG7uJb6hs0S4hX-2RXxxyjIz/view?usp=drivesdk</t>
  </si>
  <si>
    <t>TIKA CHANDRA VIJAYANTI, A. Md. Kep</t>
  </si>
  <si>
    <t>9994</t>
  </si>
  <si>
    <t>103vxCnDBUhTkY1CT6NMoSJ3wg5Jemopo</t>
  </si>
  <si>
    <t>https://drive.google.com/file/d/103vxCnDBUhTkY1CT6NMoSJ3wg5Jemopo/view?usp=drivesdk</t>
  </si>
  <si>
    <t>Document successfully created; Document successfully merged; PDF created; !!Error Sending Emails: Service invoked too many times for one day: email.; Run via form trigger as ecertificate75@gmail.com; Timestamp: Sep 18 2024 1:24 AM</t>
  </si>
  <si>
    <t>9995</t>
  </si>
  <si>
    <t>1ZABm6iNw528AB9fLtW-zfzBRU9VC1hb3</t>
  </si>
  <si>
    <t>https://drive.google.com/file/d/1ZABm6iNw528AB9fLtW-zfzBRU9VC1hb3/view?usp=drivesdk</t>
  </si>
  <si>
    <t>Document successfully created; Document successfully merged; PDF created; !!Error Sending Emails: Service invoked too many times for one day: email.; Run via form trigger as ecertificate75@gmail.com; Timestamp: Sep 18 2024 3:12 AM</t>
  </si>
  <si>
    <t>SAHARIA SAMSU, S.E.</t>
  </si>
  <si>
    <t>samsu.saharia@gmail.com</t>
  </si>
  <si>
    <t>9996</t>
  </si>
  <si>
    <t>Starting at Fri Aug 30 2024 01:54:53 GMT-0400 (EDT)</t>
  </si>
  <si>
    <t>1d9eIOX-Y4tph3WiPSbcF3zyKrPAemGCc</t>
  </si>
  <si>
    <t>https://drive.google.com/file/d/1d9eIOX-Y4tph3WiPSbcF3zyKrPAemGCc/view?usp=drivesdk</t>
  </si>
  <si>
    <t>BASUKI BASTIAR</t>
  </si>
  <si>
    <t>basukibastiar@gmail.com</t>
  </si>
  <si>
    <t>9997</t>
  </si>
  <si>
    <t>Starting at Fri Aug 30 2024 01:55:31 GMT-0400 (EDT)</t>
  </si>
  <si>
    <t>17IAbbDX9PVvoTXzxkKBkGKGw1wiTKkh1</t>
  </si>
  <si>
    <t>https://drive.google.com/file/d/17IAbbDX9PVvoTXzxkKBkGKGw1wiTKkh1/view?usp=drivesdk</t>
  </si>
  <si>
    <t>Document successfully created; Document successfully merged; PDF created; !!Error Sending Emails: Service invoked too many times for one day: email.; Run via form trigger as ecertificate75@gmail.com; Timestamp: Sep 18 2024 3:13 AM</t>
  </si>
  <si>
    <t>aryanitwieens@gmail.com</t>
  </si>
  <si>
    <t>9998</t>
  </si>
  <si>
    <t>1qGKBBHiVxm5URU5CqXn5s8Jh1f7vFYd9</t>
  </si>
  <si>
    <t>https://drive.google.com/file/d/1qGKBBHiVxm5URU5CqXn5s8Jh1f7vFYd9/view?usp=drivesdk</t>
  </si>
  <si>
    <t xml:space="preserve">MOHAMAD AYUB </t>
  </si>
  <si>
    <t>ayubslerok73@gmail.com</t>
  </si>
  <si>
    <t>9999</t>
  </si>
  <si>
    <t>Starting at Fri Aug 30 2024 01:57:40 GMT-0400 (EDT)</t>
  </si>
  <si>
    <t>1Xsd1FsCpsbblZdTF5mgxvJPlQ2ILKkR4</t>
  </si>
  <si>
    <t>https://drive.google.com/file/d/1Xsd1FsCpsbblZdTF5mgxvJPlQ2ILKkR4/view?usp=drivesdk</t>
  </si>
  <si>
    <t>HARIYANI,SE.MM</t>
  </si>
  <si>
    <t>10000</t>
  </si>
  <si>
    <t>1OOdvlCMXHm-nEuIuPXdgWIynZlsTRAi4</t>
  </si>
  <si>
    <t>https://drive.google.com/file/d/1OOdvlCMXHm-nEuIuPXdgWIynZlsTRAi4/view?usp=drivesdk</t>
  </si>
  <si>
    <t>Ni Putu Desy Puspitasari, Amd. Kep</t>
  </si>
  <si>
    <t>putudesy13@gmail.com</t>
  </si>
  <si>
    <t>10001</t>
  </si>
  <si>
    <t>1HLI6ldHDB_H1cz-LJeU3tADaHdyp_cLG</t>
  </si>
  <si>
    <t>https://drive.google.com/file/d/1HLI6ldHDB_H1cz-LJeU3tADaHdyp_cLG/view?usp=drivesdk</t>
  </si>
  <si>
    <t>Document successfully created; Document successfully merged; PDF created; !!Error Sending Emails: Service invoked too many times for one day: email.; Run via form trigger as ecertificate75@gmail.com; Timestamp: Sep 18 2024 3:14 AM</t>
  </si>
  <si>
    <t>NUNUNG KOMALASARI</t>
  </si>
  <si>
    <t>nunungkomalasari81@gmail.com</t>
  </si>
  <si>
    <t>10002</t>
  </si>
  <si>
    <t>Starting at Fri Aug 30 2024 01:59:07 GMT-0400 (EDT)</t>
  </si>
  <si>
    <t>1Y-BspwvSNZcqR3FfdGncmmyOM-X0fjIw</t>
  </si>
  <si>
    <t>https://drive.google.com/file/d/1Y-BspwvSNZcqR3FfdGncmmyOM-X0fjIw/view?usp=drivesdk</t>
  </si>
  <si>
    <t>SYAHRUL1985ISMAIL@GMAIL.COM</t>
  </si>
  <si>
    <t>10003</t>
  </si>
  <si>
    <t>Starting at Fri Aug 30 2024 02:00:00 GMT-0400 (EDT)</t>
  </si>
  <si>
    <t>1UyYy-63vUTfM3dpm-5krCHeiiQIYXMnM</t>
  </si>
  <si>
    <t>https://drive.google.com/file/d/1UyYy-63vUTfM3dpm-5krCHeiiQIYXMnM/view?usp=drivesdk</t>
  </si>
  <si>
    <t>10004</t>
  </si>
  <si>
    <t>Starting at Fri Aug 30 2024 02:00:09 GMT-0400 (EDT)</t>
  </si>
  <si>
    <t>1RCo9fptBrdkwLKZpWEyX7LgeugLgMTpB</t>
  </si>
  <si>
    <t>https://drive.google.com/file/d/1RCo9fptBrdkwLKZpWEyX7LgeugLgMTpB/view?usp=drivesdk</t>
  </si>
  <si>
    <t>IKA MEITY KAMALIA DOENI</t>
  </si>
  <si>
    <t>ikadoeni@gmail.com</t>
  </si>
  <si>
    <t>10005</t>
  </si>
  <si>
    <t>1pi4__i4YlcTVdIhNUaz0UirtFFEwa189</t>
  </si>
  <si>
    <t>https://drive.google.com/file/d/1pi4__i4YlcTVdIhNUaz0UirtFFEwa189/view?usp=drivesdk</t>
  </si>
  <si>
    <t>Document successfully created; Document successfully merged; PDF created; !!Error Sending Emails: Service invoked too many times for one day: email.; Run via form trigger as ecertificate75@gmail.com; Timestamp: Sep 18 2024 3:15 AM</t>
  </si>
  <si>
    <t>RINA MARITASARI, AMK</t>
  </si>
  <si>
    <t>rinamaritasari12345@gmail.com</t>
  </si>
  <si>
    <t>10006</t>
  </si>
  <si>
    <t>Starting at Fri Aug 30 2024 02:00:24 GMT-0400 (EDT)</t>
  </si>
  <si>
    <t>18brSVyUlPF_xJslDD89CpvmW50SK0xBb</t>
  </si>
  <si>
    <t>https://drive.google.com/file/d/18brSVyUlPF_xJslDD89CpvmW50SK0xBb/view?usp=drivesdk</t>
  </si>
  <si>
    <t>DJUMAIN</t>
  </si>
  <si>
    <t>10007</t>
  </si>
  <si>
    <t>Starting at Fri Aug 30 2024 02:01:31 GMT-0400 (EDT)</t>
  </si>
  <si>
    <t>1Rf_XgSw9rvYnM25oKb52puPn8AayUBX0</t>
  </si>
  <si>
    <t>https://drive.google.com/file/d/1Rf_XgSw9rvYnM25oKb52puPn8AayUBX0/view?usp=drivesdk</t>
  </si>
  <si>
    <t xml:space="preserve">CHRISTINE PERMATA SARIDEWI, A. Md. Farm. </t>
  </si>
  <si>
    <t>christinepermata.manalu@gmail.com</t>
  </si>
  <si>
    <t>10008</t>
  </si>
  <si>
    <t>Starting at Fri Aug 30 2024 02:04:33 GMT-0400 (EDT)</t>
  </si>
  <si>
    <t>1VjWbdqBWed_2DWSuLdNuiu3juYqz9deC</t>
  </si>
  <si>
    <t>https://drive.google.com/file/d/1VjWbdqBWed_2DWSuLdNuiu3juYqz9deC/view?usp=drivesdk</t>
  </si>
  <si>
    <t>10009</t>
  </si>
  <si>
    <t>Starting at Fri Aug 30 2024 02:06:29 GMT-0400 (EDT)</t>
  </si>
  <si>
    <t>1hjl5GpZG7o_F0KUov7MFKhH735TqU27P</t>
  </si>
  <si>
    <t>https://drive.google.com/file/d/1hjl5GpZG7o_F0KUov7MFKhH735TqU27P/view?usp=drivesdk</t>
  </si>
  <si>
    <t xml:space="preserve">SITI ROHANNUM </t>
  </si>
  <si>
    <t>sitirohannum.73psp@gmail.com</t>
  </si>
  <si>
    <t>10010</t>
  </si>
  <si>
    <t>Starting at Fri Aug 30 2024 02:07:04 GMT-0400 (EDT)</t>
  </si>
  <si>
    <t>11v6wuX2yURHjjqfemzMqi2po9z9ulgLI</t>
  </si>
  <si>
    <t>https://drive.google.com/file/d/11v6wuX2yURHjjqfemzMqi2po9z9ulgLI/view?usp=drivesdk</t>
  </si>
  <si>
    <t>Document successfully created; Document successfully merged; PDF created; !!Error Sending Emails: Service invoked too many times for one day: email.; Run via form trigger as ecertificate75@gmail.com; Timestamp: Sep 18 2024 3:16 AM</t>
  </si>
  <si>
    <t>DESI ANDRIANI, S.GZ., M.M.</t>
  </si>
  <si>
    <t>andrianidesi97@gmail.com</t>
  </si>
  <si>
    <t>10011</t>
  </si>
  <si>
    <t>Starting at Fri Aug 30 2024 02:07:44 GMT-0400 (EDT)</t>
  </si>
  <si>
    <t>18bRPYW_vj636URVCOcMim3CzDm1rOMf7</t>
  </si>
  <si>
    <t>https://drive.google.com/file/d/18bRPYW_vj636URVCOcMim3CzDm1rOMf7/view?usp=drivesdk</t>
  </si>
  <si>
    <t>NEELTJE JEHUBJANAN</t>
  </si>
  <si>
    <t>ibueta686@gmail.com</t>
  </si>
  <si>
    <t>10012</t>
  </si>
  <si>
    <t>Starting at Fri Aug 30 2024 02:08:14 GMT-0400 (EDT)</t>
  </si>
  <si>
    <t>1OQ5NZzB7MYX-SDmZtPwpCGH6rfqoE3Ew</t>
  </si>
  <si>
    <t>https://drive.google.com/file/d/1OQ5NZzB7MYX-SDmZtPwpCGH6rfqoE3Ew/view?usp=drivesdk</t>
  </si>
  <si>
    <t>JULI NUR CHUMALAH, A.Md.,Kep.</t>
  </si>
  <si>
    <t>julinurc25@gmail.com</t>
  </si>
  <si>
    <t>10013</t>
  </si>
  <si>
    <t>Starting at Fri Aug 30 2024 02:08:40 GMT-0400 (EDT)</t>
  </si>
  <si>
    <t>1JBt95dbimMTckliqyfPWUUa7s-5JSVxs</t>
  </si>
  <si>
    <t>https://drive.google.com/file/d/1JBt95dbimMTckliqyfPWUUa7s-5JSVxs/view?usp=drivesdk</t>
  </si>
  <si>
    <t>YALESTRI SETYOWATI</t>
  </si>
  <si>
    <t>yalestrisetyowati@gmail.com</t>
  </si>
  <si>
    <t>10014</t>
  </si>
  <si>
    <t>Starting at Fri Aug 30 2024 02:09:25 GMT-0400 (EDT)</t>
  </si>
  <si>
    <t>1oVrGj2P_GR3iKBd40p5lWkJnc9ZSU7ks</t>
  </si>
  <si>
    <t>https://drive.google.com/file/d/1oVrGj2P_GR3iKBd40p5lWkJnc9ZSU7ks/view?usp=drivesdk</t>
  </si>
  <si>
    <t>Document successfully created; Document successfully merged; PDF created; !!Error Sending Emails: Service invoked too many times for one day: email.; Run via form trigger as ecertificate75@gmail.com; Timestamp: Sep 18 2024 3:17 AM</t>
  </si>
  <si>
    <t>IMAM TAUFIQ</t>
  </si>
  <si>
    <t>taufiqimambjn@gmail.com</t>
  </si>
  <si>
    <t>10015</t>
  </si>
  <si>
    <t>Starting at Fri Aug 30 2024 02:09:59 GMT-0400 (EDT)</t>
  </si>
  <si>
    <t>1FvYygIxHplBexdT66hLIPgG5vT49PV24</t>
  </si>
  <si>
    <t>https://drive.google.com/file/d/1FvYygIxHplBexdT66hLIPgG5vT49PV24/view?usp=drivesdk</t>
  </si>
  <si>
    <t>Document successfully created; Document successfully merged; PDF created; Emails Sent: [To: taufiqimambjn@gmail.com]; Run via form trigger as ecertificate75@gmail.com; Timestamp: Sep 18 2024 11:15 PM</t>
  </si>
  <si>
    <t>ELISMAN GINTING</t>
  </si>
  <si>
    <t>elisman.ginting.@gmail.com</t>
  </si>
  <si>
    <t>10016</t>
  </si>
  <si>
    <t>Starting at Fri Aug 30 2024 02:11:16 GMT-0400 (EDT)</t>
  </si>
  <si>
    <t>1L110i6GAAQop3xbVBg0XQ0ism3ROB-hl</t>
  </si>
  <si>
    <t>https://drive.google.com/file/d/1L110i6GAAQop3xbVBg0XQ0ism3ROB-hl/view?usp=drivesdk</t>
  </si>
  <si>
    <t>Document successfully created; Document successfully merged; PDF created; !!Error Sending Emails: Invalid email: elisman.ginting.@gmail.com; Run via form trigger as ecertificate75@gmail.com; Timestamp: Sep 18 2024 11:15 PM</t>
  </si>
  <si>
    <t>AGUS DWI SASONO</t>
  </si>
  <si>
    <t>adwissdm@gmail.com</t>
  </si>
  <si>
    <t>10017</t>
  </si>
  <si>
    <t>1E1VZGg8CbxU2g62O3NKsUY2F0bhFmTv1</t>
  </si>
  <si>
    <t>https://drive.google.com/file/d/1E1VZGg8CbxU2g62O3NKsUY2F0bhFmTv1/view?usp=drivesdk</t>
  </si>
  <si>
    <t>Document successfully created; Document successfully merged; PDF created; Emails Sent: [To: adwissdm@gmail.com]; Run via form trigger as ecertificate75@gmail.com; Timestamp: Sep 18 2024 11:16 PM</t>
  </si>
  <si>
    <t>HALIMAH TUSSAKDIAH</t>
  </si>
  <si>
    <t>halimahtussadiah589@gmail.com</t>
  </si>
  <si>
    <t>10018</t>
  </si>
  <si>
    <t>1J3S33N33JDQKXYf18GD4LRPMsapIPfAQ</t>
  </si>
  <si>
    <t>https://drive.google.com/file/d/1J3S33N33JDQKXYf18GD4LRPMsapIPfAQ/view?usp=drivesdk</t>
  </si>
  <si>
    <t>Document successfully created; Document successfully merged; PDF created; Emails Sent: [To: halimahtussadiah589@gmail.com]; Run via form trigger as ecertificate75@gmail.com; Timestamp: Sep 18 2024 11:16 PM</t>
  </si>
  <si>
    <t>LIZA WARMAIDA</t>
  </si>
  <si>
    <t>lizawarmaida15@gmail.com</t>
  </si>
  <si>
    <t>10019</t>
  </si>
  <si>
    <t>Starting at Fri Aug 30 2024 02:11:52 GMT-0400 (EDT)</t>
  </si>
  <si>
    <t>1OI9JxM4dgcD7mS5f0legUowzL4WaPz34</t>
  </si>
  <si>
    <t>https://drive.google.com/file/d/1OI9JxM4dgcD7mS5f0legUowzL4WaPz34/view?usp=drivesdk</t>
  </si>
  <si>
    <t>Document successfully created; Document successfully merged; PDF created; Emails Sent: [To: lizawarmaida15@gmail.com]; Run via form trigger as ecertificate75@gmail.com; Timestamp: Sep 18 2024 11:16 PM</t>
  </si>
  <si>
    <t>MASYITAH</t>
  </si>
  <si>
    <t>10020</t>
  </si>
  <si>
    <t>Starting at Fri Aug 30 2024 02:14:01 GMT-0400 (EDT)</t>
  </si>
  <si>
    <t>1_8WLEkeJfJAHyQ65OCn9-pyxO55RRuZT</t>
  </si>
  <si>
    <t>https://drive.google.com/file/d/1_8WLEkeJfJAHyQ65OCn9-pyxO55RRuZT/view?usp=drivesdk</t>
  </si>
  <si>
    <t>Document successfully created; Document successfully merged; PDF created; Emails Sent: [To: itamasyitah28@gmail.com]; Run via form trigger as ecertificate75@gmail.com; Timestamp: Sep 18 2024 11:16 PM</t>
  </si>
  <si>
    <t>emma.sarijingga@gmail.com</t>
  </si>
  <si>
    <t>10021</t>
  </si>
  <si>
    <t>1_Zd8kzy2MgpwUQ-WD3VvgYEiXm1vOJr6</t>
  </si>
  <si>
    <t>https://drive.google.com/file/d/1_Zd8kzy2MgpwUQ-WD3VvgYEiXm1vOJr6/view?usp=drivesdk</t>
  </si>
  <si>
    <t>Document successfully created; Document successfully merged; PDF created; Emails Sent: [To: emma.sarijingga@gmail.com]; Run via form trigger as ecertificate75@gmail.com; Timestamp: Sep 18 2024 11:17 PM</t>
  </si>
  <si>
    <t xml:space="preserve">YULI TERIANI </t>
  </si>
  <si>
    <t>musayulii@gmail.com</t>
  </si>
  <si>
    <t>10022</t>
  </si>
  <si>
    <t>1cseBMln5K9eqDsesPToBiMlDgxCkqWKB</t>
  </si>
  <si>
    <t>https://drive.google.com/file/d/1cseBMln5K9eqDsesPToBiMlDgxCkqWKB/view?usp=drivesdk</t>
  </si>
  <si>
    <t>Document successfully created; Document successfully merged; PDF created; Emails Sent: [To: musayulii@gmail.com]; Run via form trigger as ecertificate75@gmail.com; Timestamp: Sep 18 2024 11:17 PM</t>
  </si>
  <si>
    <t>FREIN PARIS MOTARA</t>
  </si>
  <si>
    <t>freinparism@gmail.com</t>
  </si>
  <si>
    <t>10023</t>
  </si>
  <si>
    <t>Starting at Fri Aug 30 2024 02:14:42 GMT-0400 (EDT)</t>
  </si>
  <si>
    <t>1hVw_P73CkGmv-PjDagwHqiLEIagV5I9V</t>
  </si>
  <si>
    <t>https://drive.google.com/file/d/1hVw_P73CkGmv-PjDagwHqiLEIagV5I9V/view?usp=drivesdk</t>
  </si>
  <si>
    <t>Document successfully created; Document successfully merged; PDF created; Emails Sent: [To: freinparism@gmail.com]; Run via form trigger as ecertificate75@gmail.com; Timestamp: Sep 18 2024 11:17 PM</t>
  </si>
  <si>
    <t>RAKHMAD BANGUN WISMANTO, S.M</t>
  </si>
  <si>
    <t>bangun.wisma@gmail.com</t>
  </si>
  <si>
    <t>10024</t>
  </si>
  <si>
    <t>1NifuG9PmJk6QlgzNVedTV7NyvP10aZPn</t>
  </si>
  <si>
    <t>https://drive.google.com/file/d/1NifuG9PmJk6QlgzNVedTV7NyvP10aZPn/view?usp=drivesdk</t>
  </si>
  <si>
    <t>Document successfully created; Document successfully merged; PDF created; Emails Sent: [To: bangun.wisma@gmail.com]; Run via form trigger as ecertificate75@gmail.com; Timestamp: Sep 18 2024 11:17 PM</t>
  </si>
  <si>
    <t>MULIA SANI</t>
  </si>
  <si>
    <t>muliasani040581@gmail.com</t>
  </si>
  <si>
    <t>10025</t>
  </si>
  <si>
    <t>Starting at Fri Aug 30 2024 02:15:33 GMT-0400 (EDT)</t>
  </si>
  <si>
    <t>1RdDQMIEoqgIxjM4CwmWRUrzmv2iVr0Eu</t>
  </si>
  <si>
    <t>https://drive.google.com/file/d/1RdDQMIEoqgIxjM4CwmWRUrzmv2iVr0Eu/view?usp=drivesdk</t>
  </si>
  <si>
    <t>Document successfully created; Document successfully merged; PDF created; Emails Sent: [To: muliasani040581@gmail.com]; Run via form trigger as ecertificate75@gmail.com; Timestamp: Sep 18 2024 11:17 PM</t>
  </si>
  <si>
    <t>RINI LESTARI. SE.MM</t>
  </si>
  <si>
    <t>dhienda79@gmail.com</t>
  </si>
  <si>
    <t>10026</t>
  </si>
  <si>
    <t>1QEiGqMj6I3wCiIna1_zxj0V1OOnKVvGC</t>
  </si>
  <si>
    <t>https://drive.google.com/file/d/1QEiGqMj6I3wCiIna1_zxj0V1OOnKVvGC/view?usp=drivesdk</t>
  </si>
  <si>
    <t>Document successfully created; Document successfully merged; PDF created; Emails Sent: [To: dhienda79@gmail.com]; Run via form trigger as ecertificate75@gmail.com; Timestamp: Sep 18 2024 11:18 PM</t>
  </si>
  <si>
    <t>TUTIK HARIANI</t>
  </si>
  <si>
    <t>thinun.hariani@gmail.com</t>
  </si>
  <si>
    <t>10027</t>
  </si>
  <si>
    <t>Starting at Fri Aug 30 2024 02:16:12 GMT-0400 (EDT)</t>
  </si>
  <si>
    <t>1ghU4WJ8bjYYu2UICOEGmfLjZh9OIHP6R</t>
  </si>
  <si>
    <t>https://drive.google.com/file/d/1ghU4WJ8bjYYu2UICOEGmfLjZh9OIHP6R/view?usp=drivesdk</t>
  </si>
  <si>
    <t>Document successfully created; Document successfully merged; PDF created; Emails Sent: [To: thinun.hariani@gmail.com]; Run via form trigger as ecertificate75@gmail.com; Timestamp: Sep 18 2024 11:18 PM</t>
  </si>
  <si>
    <t>SINTA DEWI IRAWATY</t>
  </si>
  <si>
    <t>sintadewi1245@gmail.com</t>
  </si>
  <si>
    <t>10028</t>
  </si>
  <si>
    <t>Starting at Fri Aug 30 2024 02:19:01 GMT-0400 (EDT)</t>
  </si>
  <si>
    <t>1Virq1jQoelIo6wc2-ZZGQ6FTptRTvYnN</t>
  </si>
  <si>
    <t>https://drive.google.com/file/d/1Virq1jQoelIo6wc2-ZZGQ6FTptRTvYnN/view?usp=drivesdk</t>
  </si>
  <si>
    <t>Document successfully created; Document successfully merged; PDF created; Emails Sent: [To: sintadewi1245@gmail.com]; Run via form trigger as ecertificate75@gmail.com; Timestamp: Sep 18 2024 11:18 PM</t>
  </si>
  <si>
    <t>DR R WIKEN PRAMUDITA S</t>
  </si>
  <si>
    <t>lollypops.wiken@gmail.com</t>
  </si>
  <si>
    <t>10029</t>
  </si>
  <si>
    <t>Starting at Fri Aug 30 2024 02:19:15 GMT-0400 (EDT)</t>
  </si>
  <si>
    <t>1KfzTe6ivy5P2FEAjDRrSx_JYGZjf7uPH</t>
  </si>
  <si>
    <t>https://drive.google.com/file/d/1KfzTe6ivy5P2FEAjDRrSx_JYGZjf7uPH/view?usp=drivesdk</t>
  </si>
  <si>
    <t>Document successfully created; Document successfully merged; PDF created; Emails Sent: [To: lollypops.wiken@gmail.com]; Run via form trigger as ecertificate75@gmail.com; Timestamp: Sep 18 2024 11:18 PM</t>
  </si>
  <si>
    <t>JENRI SUSANTO GULO, Am. Kep</t>
  </si>
  <si>
    <t>jenrisusanto89@gmail.com</t>
  </si>
  <si>
    <t>10030</t>
  </si>
  <si>
    <t>Starting at Fri Aug 30 2024 02:19:30 GMT-0400 (EDT)</t>
  </si>
  <si>
    <t>1Zg88hpEXRbz7GOj5q6OkUWOgp8ptIfiF</t>
  </si>
  <si>
    <t>https://drive.google.com/file/d/1Zg88hpEXRbz7GOj5q6OkUWOgp8ptIfiF/view?usp=drivesdk</t>
  </si>
  <si>
    <t>Document successfully created; Document successfully merged; PDF created; Emails Sent: [To: jenrisusanto89@gmail.com]; Run via form trigger as ecertificate75@gmail.com; Timestamp: Sep 18 2024 11:18 PM</t>
  </si>
  <si>
    <t>RR DHIKA PUTRI NUGRAHANI, A.Md.Kep</t>
  </si>
  <si>
    <t>rrdhikap@gmail.com</t>
  </si>
  <si>
    <t>10031</t>
  </si>
  <si>
    <t>Starting at Fri Aug 30 2024 02:19:39 GMT-0400 (EDT)</t>
  </si>
  <si>
    <t>1HIvk_0_jFUe7obr_OxWIxmgAVRR2R6rD</t>
  </si>
  <si>
    <t>https://drive.google.com/file/d/1HIvk_0_jFUe7obr_OxWIxmgAVRR2R6rD/view?usp=drivesdk</t>
  </si>
  <si>
    <t>Document successfully created; Document successfully merged; PDF created; Emails Sent: [To: rrdhikap@gmail.com]; Run via form trigger as ecertificate75@gmail.com; Timestamp: Sep 18 2024 11:19 PM</t>
  </si>
  <si>
    <t>bagmin.tabes@gmail.com</t>
  </si>
  <si>
    <t>10032</t>
  </si>
  <si>
    <t>Starting at Fri Aug 30 2024 02:19:56 GMT-0400 (EDT)</t>
  </si>
  <si>
    <t>1khTbUMV_68AnT5MrX-Lt-9TV2SYZCWB4</t>
  </si>
  <si>
    <t>https://drive.google.com/file/d/1khTbUMV_68AnT5MrX-Lt-9TV2SYZCWB4/view?usp=drivesdk</t>
  </si>
  <si>
    <t>Document successfully created; Document successfully merged; PDF created; Emails Sent: [To: bagmin.tabes@gmail.com]; Run via form trigger as ecertificate75@gmail.com; Timestamp: Sep 18 2024 11:19 PM</t>
  </si>
  <si>
    <t>RIA DAKHIRAH, AMd.RM</t>
  </si>
  <si>
    <t>riadakhirah@gmail.com</t>
  </si>
  <si>
    <t>10033</t>
  </si>
  <si>
    <t>Starting at Fri Aug 30 2024 02:20:28 GMT-0400 (EDT)</t>
  </si>
  <si>
    <t>1gZN9ZmmvWJsqkOKRJSshSCXmY49DGHfa</t>
  </si>
  <si>
    <t>https://drive.google.com/file/d/1gZN9ZmmvWJsqkOKRJSshSCXmY49DGHfa/view?usp=drivesdk</t>
  </si>
  <si>
    <t>Document successfully created; Document successfully merged; PDF created; Emails Sent: [To: riadakhirah@gmail.com]; Run via form trigger as ecertificate75@gmail.com; Timestamp: Sep 18 2024 11:19 PM</t>
  </si>
  <si>
    <t>SRI UTARI</t>
  </si>
  <si>
    <t>utarisru815@gmail.com</t>
  </si>
  <si>
    <t>10034</t>
  </si>
  <si>
    <t>Starting at Fri Aug 30 2024 02:22:19 GMT-0400 (EDT)</t>
  </si>
  <si>
    <t>1V19iS_QVxMIjADkV731lvPCLjltVOPlF</t>
  </si>
  <si>
    <t>https://drive.google.com/file/d/1V19iS_QVxMIjADkV731lvPCLjltVOPlF/view?usp=drivesdk</t>
  </si>
  <si>
    <t>Document successfully created; Document successfully merged; PDF created; Emails Sent: [To: utarisru815@gmail.com]; Run via form trigger as ecertificate75@gmail.com; Timestamp: Sep 18 2024 11:19 PM</t>
  </si>
  <si>
    <t>NOVITA HERLIANA, S.Trb.Keb., S.K.M.</t>
  </si>
  <si>
    <t>novitaherliana174@gmail.com</t>
  </si>
  <si>
    <t>10035</t>
  </si>
  <si>
    <t>1Mcb2zfDPGoOkhvtlgrUGofn2QKWnqDvQ</t>
  </si>
  <si>
    <t>https://drive.google.com/file/d/1Mcb2zfDPGoOkhvtlgrUGofn2QKWnqDvQ/view?usp=drivesdk</t>
  </si>
  <si>
    <t>Document successfully created; Document successfully merged; PDF created; Emails Sent: [To: novitaherliana174@gmail.com]; Run via form trigger as ecertificate75@gmail.com; Timestamp: Sep 18 2024 11:20 PM</t>
  </si>
  <si>
    <t xml:space="preserve">SRI YULIAWATI </t>
  </si>
  <si>
    <t>sriyuliawati.sy@gmail.com</t>
  </si>
  <si>
    <t>10036</t>
  </si>
  <si>
    <t>Starting at Fri Aug 30 2024 02:22:41 GMT-0400 (EDT)</t>
  </si>
  <si>
    <t>116AucOXP84HTTkxD6R2kTyDwDYbSavpF</t>
  </si>
  <si>
    <t>https://drive.google.com/file/d/116AucOXP84HTTkxD6R2kTyDwDYbSavpF/view?usp=drivesdk</t>
  </si>
  <si>
    <t>Document successfully created; Document successfully merged; PDF created; Emails Sent: [To: sriyuliawati.sy@gmail.com]; Run via form trigger as ecertificate75@gmail.com; Timestamp: Sep 18 2024 11:20 PM</t>
  </si>
  <si>
    <t>Sugionokotamalang@gmail.com</t>
  </si>
  <si>
    <t>10037</t>
  </si>
  <si>
    <t>Starting at Fri Aug 30 2024 02:22:58 GMT-0400 (EDT)</t>
  </si>
  <si>
    <t>14lSyIVgMr4LDg6VoBUOEFImQTMFBR_Zi</t>
  </si>
  <si>
    <t>https://drive.google.com/file/d/14lSyIVgMr4LDg6VoBUOEFImQTMFBR_Zi/view?usp=drivesdk</t>
  </si>
  <si>
    <t>Document successfully created; Document successfully merged; PDF created; Emails Sent: [To: Sugionokotamalang@gmail.com]; Run via form trigger as ecertificate75@gmail.com; Timestamp: Sep 18 2024 11:37 PM</t>
  </si>
  <si>
    <t>Linda Wiji Astuti</t>
  </si>
  <si>
    <t>soelhd@gmail.com</t>
  </si>
  <si>
    <t>10038</t>
  </si>
  <si>
    <t>Starting at Fri Aug 30 2024 02:24:18 GMT-0400 (EDT)</t>
  </si>
  <si>
    <t>12QTwgzGV98Fz5Rg7qXjxNEBEivL7f7sz</t>
  </si>
  <si>
    <t>https://drive.google.com/file/d/12QTwgzGV98Fz5Rg7qXjxNEBEivL7f7sz/view?usp=drivesdk</t>
  </si>
  <si>
    <t>Document successfully created; Document successfully merged; PDF created; Emails Sent: [To: soelhd@gmail.com]; Run via form trigger as ecertificate75@gmail.com; Timestamp: Sep 18 2024 11:37 PM</t>
  </si>
  <si>
    <t>WELAS SUDJATMIKO</t>
  </si>
  <si>
    <t>welassujatmiko@gmail.com</t>
  </si>
  <si>
    <t>10039</t>
  </si>
  <si>
    <t>Starting at Fri Aug 30 2024 02:24:29 GMT-0400 (EDT)</t>
  </si>
  <si>
    <t>1CTnHrjzj4zpmajD65S00Qw_xEjND4AvM</t>
  </si>
  <si>
    <t>https://drive.google.com/file/d/1CTnHrjzj4zpmajD65S00Qw_xEjND4AvM/view?usp=drivesdk</t>
  </si>
  <si>
    <t>Document successfully created; Document successfully merged; PDF created; Emails Sent: [To: welassujatmiko@gmail.com]; Run via form trigger as ecertificate75@gmail.com; Timestamp: Sep 18 2024 11:38 PM</t>
  </si>
  <si>
    <t>SRI WIRATNI</t>
  </si>
  <si>
    <t>resgianyarbagren@gmail.com</t>
  </si>
  <si>
    <t>10040</t>
  </si>
  <si>
    <t>Starting at Fri Aug 30 2024 02:25:12 GMT-0400 (EDT)</t>
  </si>
  <si>
    <t>12qRwi-N-IW68P2aA_Bdx-m-hxuMusAaG</t>
  </si>
  <si>
    <t>https://drive.google.com/file/d/12qRwi-N-IW68P2aA_Bdx-m-hxuMusAaG/view?usp=drivesdk</t>
  </si>
  <si>
    <t>Document successfully created; Document successfully merged; PDF created; Emails Sent: [To: resgianyarbagren@gmail.com]; Run via form trigger as ecertificate75@gmail.com; Timestamp: Sep 18 2024 11:38 PM</t>
  </si>
  <si>
    <t>MUHAMMAD TAUFIK,S.T.,M.T.</t>
  </si>
  <si>
    <t>opexone1978@gmail.com</t>
  </si>
  <si>
    <t>10041</t>
  </si>
  <si>
    <t>Starting at Fri Aug 30 2024 02:25:18 GMT-0400 (EDT)</t>
  </si>
  <si>
    <t>1yg4XHe18xKpYeaeuA08Cy2QpyjsnVtKS</t>
  </si>
  <si>
    <t>https://drive.google.com/file/d/1yg4XHe18xKpYeaeuA08Cy2QpyjsnVtKS/view?usp=drivesdk</t>
  </si>
  <si>
    <t>Document successfully created; Document successfully merged; PDF created; Emails Sent: [To: opexone1978@gmail.com]; Run via form trigger as ecertificate75@gmail.com; Timestamp: Sep 18 2024 11:38 PM</t>
  </si>
  <si>
    <t>ZARDI DARMAWAN, S.T</t>
  </si>
  <si>
    <t>tuanzardi1972@gmail.com</t>
  </si>
  <si>
    <t>10042</t>
  </si>
  <si>
    <t>Starting at Fri Aug 30 2024 02:26:13 GMT-0400 (EDT)</t>
  </si>
  <si>
    <t>1tMqQ_J1CyPYj06z4aQm_PDQPnzdu4uXC</t>
  </si>
  <si>
    <t>https://drive.google.com/file/d/1tMqQ_J1CyPYj06z4aQm_PDQPnzdu4uXC/view?usp=drivesdk</t>
  </si>
  <si>
    <t>Document successfully created; Document successfully merged; PDF created; Emails Sent: [To: tuanzardi1972@gmail.com]; Run via form trigger as ecertificate75@gmail.com; Timestamp: Sep 18 2024 11:38 PM</t>
  </si>
  <si>
    <t>HERY DJOKO SISWOJO</t>
  </si>
  <si>
    <t>herysiswojo1971@gmail.com</t>
  </si>
  <si>
    <t>10043</t>
  </si>
  <si>
    <t>1MX-xzR2Y-jUriYd560J6NzyeUhhNgXB2</t>
  </si>
  <si>
    <t>https://drive.google.com/file/d/1MX-xzR2Y-jUriYd560J6NzyeUhhNgXB2/view?usp=drivesdk</t>
  </si>
  <si>
    <t>Document successfully created; Document successfully merged; PDF created; Emails Sent: [To: herysiswojo1971@gmail.com]; Run via form trigger as ecertificate75@gmail.com; Timestamp: Sep 18 2024 11:38 PM</t>
  </si>
  <si>
    <t>Ns.TITIN SUHERTATI, S.Kep</t>
  </si>
  <si>
    <t>titin.suhertati76@gmail.com</t>
  </si>
  <si>
    <t>10044</t>
  </si>
  <si>
    <t>Starting at Fri Aug 30 2024 02:26:46 GMT-0400 (EDT)</t>
  </si>
  <si>
    <t>1RJAbjhs0X7eIQ7z9XujO6xi8KvXjkJF6</t>
  </si>
  <si>
    <t>https://drive.google.com/file/d/1RJAbjhs0X7eIQ7z9XujO6xi8KvXjkJF6/view?usp=drivesdk</t>
  </si>
  <si>
    <t>Document successfully created; Document successfully merged; PDF created; Emails Sent: [To: titin.suhertati76@gmail.com]; Run via form trigger as ecertificate75@gmail.com; Timestamp: Sep 18 2024 11:39 PM</t>
  </si>
  <si>
    <t>YESSI ILFIRAHMI. S.PSI</t>
  </si>
  <si>
    <t>yessi_ilfirahmi@yahoo.com</t>
  </si>
  <si>
    <t>10045</t>
  </si>
  <si>
    <t>Starting at Fri Aug 30 2024 02:29:39 GMT-0400 (EDT)</t>
  </si>
  <si>
    <t>13Ppgev8s2BUlBKWOEHTnuDWmGPHhQGpt</t>
  </si>
  <si>
    <t>https://drive.google.com/file/d/13Ppgev8s2BUlBKWOEHTnuDWmGPHhQGpt/view?usp=drivesdk</t>
  </si>
  <si>
    <t>Document successfully created; Document successfully merged; PDF created; Emails Sent: [To: yessi_ilfirahmi@yahoo.com]; Run via form trigger as ecertificate75@gmail.com; Timestamp: Sep 18 2024 11:39 PM</t>
  </si>
  <si>
    <t>MAPINDI</t>
  </si>
  <si>
    <t>mapindimapindi552@gmail.com</t>
  </si>
  <si>
    <t>10046</t>
  </si>
  <si>
    <t>1PdGZB4hdxqGuhSw5GuH1rJ310jMQlAta</t>
  </si>
  <si>
    <t>https://drive.google.com/file/d/1PdGZB4hdxqGuhSw5GuH1rJ310jMQlAta/view?usp=drivesdk</t>
  </si>
  <si>
    <t>Document successfully created; Document successfully merged; PDF created; Emails Sent: [To: mapindimapindi552@gmail.com]; Run via form trigger as ecertificate75@gmail.com; Timestamp: Sep 18 2024 11:39 PM</t>
  </si>
  <si>
    <t>HARI WAHYUDI</t>
  </si>
  <si>
    <t>hariw244@gmail.com</t>
  </si>
  <si>
    <t>10047</t>
  </si>
  <si>
    <t>Starting at Fri Aug 30 2024 02:29:51 GMT-0400 (EDT)</t>
  </si>
  <si>
    <t>1anZBoiodTqdJwXDyDGCvFb3P3g9yg7U2</t>
  </si>
  <si>
    <t>https://drive.google.com/file/d/1anZBoiodTqdJwXDyDGCvFb3P3g9yg7U2/view?usp=drivesdk</t>
  </si>
  <si>
    <t>Document successfully created; Document successfully merged; PDF created; Emails Sent: [To: hariw244@gmail.com]; Run via form trigger as ecertificate75@gmail.com; Timestamp: Sep 18 2024 11:39 PM</t>
  </si>
  <si>
    <t>SUGIHARTO ADIBOWONO</t>
  </si>
  <si>
    <t>adisuwandhi@gmail.com</t>
  </si>
  <si>
    <t>10048</t>
  </si>
  <si>
    <t>Starting at Fri Aug 30 2024 02:31:55 GMT-0400 (EDT)</t>
  </si>
  <si>
    <t>193fJyc3mOHakyDXG_4JuhP8GLAJKv5io</t>
  </si>
  <si>
    <t>https://drive.google.com/file/d/193fJyc3mOHakyDXG_4JuhP8GLAJKv5io/view?usp=drivesdk</t>
  </si>
  <si>
    <t>Document successfully created; Document successfully merged; PDF created; Emails Sent: [To: adisuwandhi@gmail.com]; Run via form trigger as ecertificate75@gmail.com; Timestamp: Sep 18 2024 11:40 PM</t>
  </si>
  <si>
    <t>SRI ANDRIANI</t>
  </si>
  <si>
    <t>sriandriani1412@gmail.com</t>
  </si>
  <si>
    <t>10049</t>
  </si>
  <si>
    <t>1idUAG38TJYuSeTkxasXyZkTxaz2YaGCb</t>
  </si>
  <si>
    <t>https://drive.google.com/file/d/1idUAG38TJYuSeTkxasXyZkTxaz2YaGCb/view?usp=drivesdk</t>
  </si>
  <si>
    <t>Document successfully created; Document successfully merged; PDF created; Emails Sent: [To: sriandriani1412@gmail.com]; Run via form trigger as ecertificate75@gmail.com; Timestamp: Sep 18 2024 11:40 PM</t>
  </si>
  <si>
    <t>LINDAWATI  Amd RO</t>
  </si>
  <si>
    <t>aisyahlutfiah23@gmail.com</t>
  </si>
  <si>
    <t>10050</t>
  </si>
  <si>
    <t>Starting at Fri Aug 30 2024 02:32:06 GMT-0400 (EDT)</t>
  </si>
  <si>
    <t>1uxGFVbkLVGGE_rlzco-Hv0jivUGHil1_</t>
  </si>
  <si>
    <t>https://drive.google.com/file/d/1uxGFVbkLVGGE_rlzco-Hv0jivUGHil1_/view?usp=drivesdk</t>
  </si>
  <si>
    <t>Document successfully created; Document successfully merged; PDF created; Emails Sent: [To: aisyahlutfiah23@gmail.com]; Run via form trigger as ecertificate75@gmail.com; Timestamp: Sep 18 2024 11:40 PM</t>
  </si>
  <si>
    <t xml:space="preserve">RUSMINI </t>
  </si>
  <si>
    <t>alwi.rusmini@gmail.com</t>
  </si>
  <si>
    <t>10051</t>
  </si>
  <si>
    <t>Starting at Fri Aug 30 2024 02:32:35 GMT-0400 (EDT)</t>
  </si>
  <si>
    <t>1wDlG8D8BiAUTSEfviqqIdbJTlK7ZXF_Z</t>
  </si>
  <si>
    <t>https://drive.google.com/file/d/1wDlG8D8BiAUTSEfviqqIdbJTlK7ZXF_Z/view?usp=drivesdk</t>
  </si>
  <si>
    <t>Document successfully created; Document successfully merged; PDF created; Emails Sent: [To: alwi.rusmini@gmail.com]; Run via form trigger as ecertificate75@gmail.com; Timestamp: Sep 18 2024 11:40 PM</t>
  </si>
  <si>
    <t>Engkar Karda Firdaus</t>
  </si>
  <si>
    <t>kardafirdaus47@gmail.com</t>
  </si>
  <si>
    <t>10052</t>
  </si>
  <si>
    <t>1E8pQ-huUVoEgyNOodqQfUSzrdVZuuiK8</t>
  </si>
  <si>
    <t>https://drive.google.com/file/d/1E8pQ-huUVoEgyNOodqQfUSzrdVZuuiK8/view?usp=drivesdk</t>
  </si>
  <si>
    <t>Document successfully created; Document successfully merged; PDF created; Emails Sent: [To: kardafirdaus47@gmail.com]; Run via form trigger as ecertificate75@gmail.com; Timestamp: Sep 18 2024 11:40 PM</t>
  </si>
  <si>
    <t>10053</t>
  </si>
  <si>
    <t>Starting at Fri Aug 30 2024 02:32:59 GMT-0400 (EDT)</t>
  </si>
  <si>
    <t>1WkclHjbBGAKGLnWacCa34FSmaKJEOUGA</t>
  </si>
  <si>
    <t>https://drive.google.com/file/d/1WkclHjbBGAKGLnWacCa34FSmaKJEOUGA/view?usp=drivesdk</t>
  </si>
  <si>
    <t>Document successfully created; Document successfully merged; PDF created; Emails Sent: [To: freinparism@gmail.com]; Run via form trigger as ecertificate75@gmail.com; Timestamp: Sep 18 2024 11:41 PM</t>
  </si>
  <si>
    <t xml:space="preserve">MUHAMMAD DZULHAIDAR </t>
  </si>
  <si>
    <t>ironman189999@gmail.com</t>
  </si>
  <si>
    <t>10054</t>
  </si>
  <si>
    <t>Starting at Fri Aug 30 2024 02:34:37 GMT-0400 (EDT)</t>
  </si>
  <si>
    <t>1V6amPIUhPv3w0123eae1gec4rX4o8T8u</t>
  </si>
  <si>
    <t>https://drive.google.com/file/d/1V6amPIUhPv3w0123eae1gec4rX4o8T8u/view?usp=drivesdk</t>
  </si>
  <si>
    <t>Document successfully created; Document successfully merged; PDF created; Emails Sent: [To: ironman189999@gmail.com]; Run via form trigger as ecertificate75@gmail.com; Timestamp: Sep 18 2024 11:41 PM</t>
  </si>
  <si>
    <t>Drs Ananto Pardijono</t>
  </si>
  <si>
    <t>Anantopardijono88@gmail.com</t>
  </si>
  <si>
    <t>10055</t>
  </si>
  <si>
    <t>Starting at Fri Aug 30 2024 02:35:36 GMT-0400 (EDT)</t>
  </si>
  <si>
    <t>1JRUehZXHon-vluaunv4Rtqly9sDE-7-o</t>
  </si>
  <si>
    <t>https://drive.google.com/file/d/1JRUehZXHon-vluaunv4Rtqly9sDE-7-o/view?usp=drivesdk</t>
  </si>
  <si>
    <t>Document successfully created; Document successfully merged; PDF created; Emails Sent: [To: Anantopardijono88@gmail.com]; Run via form trigger as ecertificate75@gmail.com; Timestamp: Sep 18 2024 11:41 PM</t>
  </si>
  <si>
    <t>SJAIFUL BACHRI</t>
  </si>
  <si>
    <t>sjaiful55@gmail.com</t>
  </si>
  <si>
    <t>10056</t>
  </si>
  <si>
    <t>Starting at Fri Aug 30 2024 02:36:31 GMT-0400 (EDT)</t>
  </si>
  <si>
    <t>1bUulKWaMV7nVnumw62nz-Koe240xANqO</t>
  </si>
  <si>
    <t>https://drive.google.com/file/d/1bUulKWaMV7nVnumw62nz-Koe240xANqO/view?usp=drivesdk</t>
  </si>
  <si>
    <t>Document successfully created; Document successfully merged; PDF created; Emails Sent: [To: sjaiful55@gmail.com]; Run via form trigger as ecertificate75@gmail.com; Timestamp: Sep 18 2024 11:41 PM</t>
  </si>
  <si>
    <t>ELIS JULAEHA, S.E., M.I.P</t>
  </si>
  <si>
    <t>aleziaoppo@gmail.com</t>
  </si>
  <si>
    <t>10057</t>
  </si>
  <si>
    <t>Starting at Fri Aug 30 2024 02:37:56 GMT-0400 (EDT)</t>
  </si>
  <si>
    <t>1wI8A9uP8widrnIJVO7Yab4Yjtpr_bJYW</t>
  </si>
  <si>
    <t>https://drive.google.com/file/d/1wI8A9uP8widrnIJVO7Yab4Yjtpr_bJYW/view?usp=drivesdk</t>
  </si>
  <si>
    <t>Document successfully created; Document successfully merged; PDF created; Emails Sent: [To: aleziaoppo@gmail.com]; Run via form trigger as ecertificate75@gmail.com; Timestamp: Sep 18 2024 11:42 PM</t>
  </si>
  <si>
    <t>NOLIK DWI ATMONO, S.E., M.E.</t>
  </si>
  <si>
    <t>nolikdwiatmono@google.com</t>
  </si>
  <si>
    <t>10058</t>
  </si>
  <si>
    <t>1Flm3G-4foheYaKtREfm4oz6ssDlKsJtU</t>
  </si>
  <si>
    <t>https://drive.google.com/file/d/1Flm3G-4foheYaKtREfm4oz6ssDlKsJtU/view?usp=drivesdk</t>
  </si>
  <si>
    <t>Document successfully created; Document successfully merged; PDF created; Emails Sent: [To: nolikdwiatmono@google.com]; Run via form trigger as ecertificate75@gmail.com; Timestamp: Sep 19 2024 1:10 AM</t>
  </si>
  <si>
    <t>HANDRIANSYAH, S.E.</t>
  </si>
  <si>
    <t>ansyahhandri.81@gmail.com</t>
  </si>
  <si>
    <t>10059</t>
  </si>
  <si>
    <t>Starting at Fri Aug 30 2024 02:38:08 GMT-0400 (EDT)</t>
  </si>
  <si>
    <t>1QfZUe9XAVWtysmstVQ5UcS09CbmY-Jln</t>
  </si>
  <si>
    <t>https://drive.google.com/file/d/1QfZUe9XAVWtysmstVQ5UcS09CbmY-Jln/view?usp=drivesdk</t>
  </si>
  <si>
    <t>Document successfully created; Document successfully merged; PDF created; Emails Sent: [To: ansyahhandri.81@gmail.com]; Run via form trigger as ecertificate75@gmail.com; Timestamp: Sep 19 2024 1:10 AM</t>
  </si>
  <si>
    <t>MUHAMMAD AROFIQ</t>
  </si>
  <si>
    <t>marofiq1981@gmail.com</t>
  </si>
  <si>
    <t>10060</t>
  </si>
  <si>
    <t>Starting at Fri Aug 30 2024 02:38:13 GMT-0400 (EDT)</t>
  </si>
  <si>
    <t>1jJANCoUIsv46lzIjaUpNwCsxDOeTH1ln</t>
  </si>
  <si>
    <t>https://drive.google.com/file/d/1jJANCoUIsv46lzIjaUpNwCsxDOeTH1ln/view?usp=drivesdk</t>
  </si>
  <si>
    <t>Document successfully created; Document successfully merged; PDF created; Emails Sent: [To: marofiq1981@gmail.com]; Run via form trigger as ecertificate75@gmail.com; Timestamp: Sep 19 2024 1:10 AM</t>
  </si>
  <si>
    <t xml:space="preserve">H. RUSTAN, S. H. I., M. H. </t>
  </si>
  <si>
    <t>h.rustan25@gmail.com</t>
  </si>
  <si>
    <t>10061</t>
  </si>
  <si>
    <t>Starting at Fri Aug 30 2024 02:38:21 GMT-0400 (EDT)</t>
  </si>
  <si>
    <t>17IbSQ3_y2vOQFmxQYjo0uflFJzvUkF7U</t>
  </si>
  <si>
    <t>https://drive.google.com/file/d/17IbSQ3_y2vOQFmxQYjo0uflFJzvUkF7U/view?usp=drivesdk</t>
  </si>
  <si>
    <t>Document successfully created; Document successfully merged; PDF created; Emails Sent: [To: h.rustan25@gmail.com]; Run via form trigger as ecertificate75@gmail.com; Timestamp: Sep 19 2024 1:10 AM</t>
  </si>
  <si>
    <t>RETNA WULAN</t>
  </si>
  <si>
    <t>nenechan242@gmail.com</t>
  </si>
  <si>
    <t>10062</t>
  </si>
  <si>
    <t>Starting at Fri Aug 30 2024 02:39:54 GMT-0400 (EDT)</t>
  </si>
  <si>
    <t>188aJzUDpYjf7UHWzEd9aUKsq7z6Th2ED</t>
  </si>
  <si>
    <t>https://drive.google.com/file/d/188aJzUDpYjf7UHWzEd9aUKsq7z6Th2ED/view?usp=drivesdk</t>
  </si>
  <si>
    <t>Document successfully created; Document successfully merged; PDF created; Emails Sent: [To: nenechan242@gmail.com]; Run via form trigger as ecertificate75@gmail.com; Timestamp: Sep 19 2024 1:11 AM</t>
  </si>
  <si>
    <t>herisugiarto120@gmail.com</t>
  </si>
  <si>
    <t>10063</t>
  </si>
  <si>
    <t>Starting at Fri Aug 30 2024 02:40:35 GMT-0400 (EDT)</t>
  </si>
  <si>
    <t>13HC1syFRKkU7d6HOx2gZRK7vfixtfYK1</t>
  </si>
  <si>
    <t>https://drive.google.com/file/d/13HC1syFRKkU7d6HOx2gZRK7vfixtfYK1/view?usp=drivesdk</t>
  </si>
  <si>
    <t>Document successfully created; Document successfully merged; PDF created; Emails Sent: [To: herisugiarto120@gmail.com]; Run via form trigger as ecertificate75@gmail.com; Timestamp: Sep 19 2024 1:11 AM</t>
  </si>
  <si>
    <t>EFI KUSUMAWATI, S.T.</t>
  </si>
  <si>
    <t>baglogistikreswk@gmail.com</t>
  </si>
  <si>
    <t>10064</t>
  </si>
  <si>
    <t>Starting at Fri Aug 30 2024 02:46:01 GMT-0400 (EDT)</t>
  </si>
  <si>
    <t>1EjkvmO0vR5AKxNU9gCllHtMIqAU_w4sp</t>
  </si>
  <si>
    <t>https://drive.google.com/file/d/1EjkvmO0vR5AKxNU9gCllHtMIqAU_w4sp/view?usp=drivesdk</t>
  </si>
  <si>
    <t>Document successfully created; Document successfully merged; PDF created; Emails Sent: [To: baglogistikreswk@gmail.com]; Run via form trigger as ecertificate75@gmail.com; Timestamp: Sep 19 2024 1:11 AM</t>
  </si>
  <si>
    <t xml:space="preserve">BIMO PRIOTOMO </t>
  </si>
  <si>
    <t>rafaadeliopriotomo@gmail.com</t>
  </si>
  <si>
    <t>10065</t>
  </si>
  <si>
    <t>1HI8TnXume9Aa4p7rionFh1anbfK8NAuw</t>
  </si>
  <si>
    <t>https://drive.google.com/file/d/1HI8TnXume9Aa4p7rionFh1anbfK8NAuw/view?usp=drivesdk</t>
  </si>
  <si>
    <t>Document successfully created; Document successfully merged; PDF created; Emails Sent: [To: rafaadeliopriotomo@gmail.com]; Run via form trigger as ecertificate75@gmail.com; Timestamp: Sep 19 2024 1:11 AM</t>
  </si>
  <si>
    <t>AHKMAD HERMAWAN, S. KOM</t>
  </si>
  <si>
    <t>ahkmadhermawan@gmail.com</t>
  </si>
  <si>
    <t>10066</t>
  </si>
  <si>
    <t>Starting at Fri Aug 30 2024 02:48:43 GMT-0400 (EDT)</t>
  </si>
  <si>
    <t>1eFSpNL5i6NznJH1nyZmvU7bLE6H6Do-a</t>
  </si>
  <si>
    <t>https://drive.google.com/file/d/1eFSpNL5i6NznJH1nyZmvU7bLE6H6Do-a/view?usp=drivesdk</t>
  </si>
  <si>
    <t>Document successfully created; Document successfully merged; PDF created; Emails Sent: [To: ahkmadhermawan@gmail.com]; Run via form trigger as ecertificate75@gmail.com; Timestamp: Sep 19 2024 1:12 AM</t>
  </si>
  <si>
    <t>NOORITASARI, S.H.</t>
  </si>
  <si>
    <t>nooritasari200604@gmail.com</t>
  </si>
  <si>
    <t>10067</t>
  </si>
  <si>
    <t>1uFdcDgXEaI7PCrMttR1pfpLYN1V9R2Er</t>
  </si>
  <si>
    <t>https://drive.google.com/file/d/1uFdcDgXEaI7PCrMttR1pfpLYN1V9R2Er/view?usp=drivesdk</t>
  </si>
  <si>
    <t>Document successfully created; Document successfully merged; PDF created; Emails Sent: [To: nooritasari200604@gmail.com]; Run via form trigger as ecertificate75@gmail.com; Timestamp: Sep 19 2024 1:12 AM</t>
  </si>
  <si>
    <t>RADENA ZALUKHU</t>
  </si>
  <si>
    <t>radenazalukhu47@gmail.com</t>
  </si>
  <si>
    <t>10068</t>
  </si>
  <si>
    <t>1nSHV4do0EAKzn6HsiS9tH8JRj6L-4I-9</t>
  </si>
  <si>
    <t>https://drive.google.com/file/d/1nSHV4do0EAKzn6HsiS9tH8JRj6L-4I-9/view?usp=drivesdk</t>
  </si>
  <si>
    <t>Document successfully created; Document successfully merged; PDF created; Emails Sent: [To: radenazalukhu47@gmail.com]; Run via form trigger as ecertificate75@gmail.com; Timestamp: Sep 19 2024 1:12 AM</t>
  </si>
  <si>
    <t>SAEFFA SARIFAH, SKep</t>
  </si>
  <si>
    <t>saeffasarifah@gmail.com</t>
  </si>
  <si>
    <t>10069</t>
  </si>
  <si>
    <t>Starting at Fri Aug 30 2024 02:50:11 GMT-0400 (EDT)</t>
  </si>
  <si>
    <t>1n5gYIHsg1lZcxOIUAJdDS7MVj-OCzdFd</t>
  </si>
  <si>
    <t>https://drive.google.com/file/d/1n5gYIHsg1lZcxOIUAJdDS7MVj-OCzdFd/view?usp=drivesdk</t>
  </si>
  <si>
    <t>Document successfully created; Document successfully merged; PDF created; Emails Sent: [To: saeffasarifah@gmail.com]; Run via form trigger as ecertificate75@gmail.com; Timestamp: Sep 19 2024 1:13 AM</t>
  </si>
  <si>
    <t>KARLINA, S.I.Kom</t>
  </si>
  <si>
    <t>cakirakuuu@gmail.com</t>
  </si>
  <si>
    <t>10070</t>
  </si>
  <si>
    <t>1zjCFq0M_tI6cVELe8CI-MCc7VWD-5R1t</t>
  </si>
  <si>
    <t>https://drive.google.com/file/d/1zjCFq0M_tI6cVELe8CI-MCc7VWD-5R1t/view?usp=drivesdk</t>
  </si>
  <si>
    <t>Document successfully created; Document successfully merged; PDF created; Emails Sent: [To: cakirakuuu@gmail.com]; Run via form trigger as ecertificate75@gmail.com; Timestamp: Sep 19 2024 1:13 AM</t>
  </si>
  <si>
    <t>WELI MARJONO, ST</t>
  </si>
  <si>
    <t>eliejona@gmail.com</t>
  </si>
  <si>
    <t>10071</t>
  </si>
  <si>
    <t>Starting at Fri Aug 30 2024 02:50:26 GMT-0400 (EDT)</t>
  </si>
  <si>
    <t>1Qu0C-VlGshES6Pf8TOEMFHyIWgEQtVpV</t>
  </si>
  <si>
    <t>https://drive.google.com/file/d/1Qu0C-VlGshES6Pf8TOEMFHyIWgEQtVpV/view?usp=drivesdk</t>
  </si>
  <si>
    <t>Document successfully created; Document successfully merged; PDF created; Emails Sent: [To: eliejona@gmail.com]; Run via form trigger as ecertificate75@gmail.com; Timestamp: Sep 19 2024 1:13 AM</t>
  </si>
  <si>
    <t>MUHAMMAD ICHWAN,SS., MPd.</t>
  </si>
  <si>
    <t>kyairck@gmail.com</t>
  </si>
  <si>
    <t>10072</t>
  </si>
  <si>
    <t>Starting at Fri Aug 30 2024 02:50:57 GMT-0400 (EDT)</t>
  </si>
  <si>
    <t>1vEiw0kmcoHn6kid2x_IBdteMHSnwgyIl</t>
  </si>
  <si>
    <t>https://drive.google.com/file/d/1vEiw0kmcoHn6kid2x_IBdteMHSnwgyIl/view?usp=drivesdk</t>
  </si>
  <si>
    <t>Document successfully created; Document successfully merged; PDF created; Emails Sent: [To: kyairck@gmail.com]; Run via form trigger as ecertificate75@gmail.com; Timestamp: Sep 19 2024 1:13 AM</t>
  </si>
  <si>
    <t>RAZALI</t>
  </si>
  <si>
    <t>razalirazali873@gmail.com</t>
  </si>
  <si>
    <t>10073</t>
  </si>
  <si>
    <t>Starting at Fri Aug 30 2024 02:51:25 GMT-0400 (EDT)</t>
  </si>
  <si>
    <t>10HQik9MjrZwPfdbV8FIxN_TEMXtOb7eJ</t>
  </si>
  <si>
    <t>https://drive.google.com/file/d/10HQik9MjrZwPfdbV8FIxN_TEMXtOb7eJ/view?usp=drivesdk</t>
  </si>
  <si>
    <t>Document successfully created; Document successfully merged; PDF created; Emails Sent: [To: razalirazali873@gmail.com]; Run via form trigger as ecertificate75@gmail.com; Timestamp: Sep 19 2024 1:14 AM</t>
  </si>
  <si>
    <t>SUKARTI</t>
  </si>
  <si>
    <t>10074</t>
  </si>
  <si>
    <t>Starting at Fri Aug 30 2024 02:52:16 GMT-0400 (EDT)</t>
  </si>
  <si>
    <t>1XtwxGhceuBXsDNmQcDvebPkgoGnAr-DM</t>
  </si>
  <si>
    <t>https://drive.google.com/file/d/1XtwxGhceuBXsDNmQcDvebPkgoGnAr-DM/view?usp=drivesdk</t>
  </si>
  <si>
    <t>Document successfully created; Document successfully merged; PDF created; Emails Sent: [To: sukartisukarti17@gmail.com]; Run via form trigger as ecertificate75@gmail.com; Timestamp: Sep 19 2024 1:14 AM</t>
  </si>
  <si>
    <t>FRANIKA VIONA, ST</t>
  </si>
  <si>
    <t>franikaviona82@gmail.com</t>
  </si>
  <si>
    <t>10075</t>
  </si>
  <si>
    <t>1QvLrxPQPLnvGEd3eA4EJAhidzNx-mn80</t>
  </si>
  <si>
    <t>https://drive.google.com/file/d/1QvLrxPQPLnvGEd3eA4EJAhidzNx-mn80/view?usp=drivesdk</t>
  </si>
  <si>
    <t>Document successfully created; Document successfully merged; PDF created; Emails Sent: [To: franikaviona82@gmail.com]; Run via form trigger as ecertificate75@gmail.com; Timestamp: Sep 19 2024 1:14 AM</t>
  </si>
  <si>
    <t>nurhadi197021@gmail.com</t>
  </si>
  <si>
    <t>10076</t>
  </si>
  <si>
    <t>17c_Qjoc9w86g9xZ6KBI3eXos23jQnm7g</t>
  </si>
  <si>
    <t>https://drive.google.com/file/d/17c_Qjoc9w86g9xZ6KBI3eXos23jQnm7g/view?usp=drivesdk</t>
  </si>
  <si>
    <t>Document successfully created; Document successfully merged; PDF created; Emails Sent: [To: nurhadi197021@gmail.com]; Run via form trigger as ecertificate75@gmail.com; Timestamp: Sep 19 2024 3:01 AM</t>
  </si>
  <si>
    <t>LINDA WIJI ASTUTI, SPd</t>
  </si>
  <si>
    <t>resjepara@gmail.com</t>
  </si>
  <si>
    <t>10077</t>
  </si>
  <si>
    <t>Starting at Fri Aug 30 2024 02:53:07 GMT-0400 (EDT)</t>
  </si>
  <si>
    <t>11ikXzKa3yFFuflaO07GoDDMoL6paU_U2</t>
  </si>
  <si>
    <t>https://drive.google.com/file/d/11ikXzKa3yFFuflaO07GoDDMoL6paU_U2/view?usp=drivesdk</t>
  </si>
  <si>
    <t>Document successfully created; Document successfully merged; PDF created; Emails Sent: [To: resjepara@gmail.com]; Run via form trigger as ecertificate75@gmail.com; Timestamp: Sep 19 2024 3:01 AM</t>
  </si>
  <si>
    <t>VHIRA NURJUMARETA, A.Md.Kes</t>
  </si>
  <si>
    <t>vhirahendra@gmail.com</t>
  </si>
  <si>
    <t>10078</t>
  </si>
  <si>
    <t>Starting at Fri Aug 30 2024 02:53:35 GMT-0400 (EDT)</t>
  </si>
  <si>
    <t>1GzzSge-fkir1QNHA6o_P4MKU2clNsTTe</t>
  </si>
  <si>
    <t>https://drive.google.com/file/d/1GzzSge-fkir1QNHA6o_P4MKU2clNsTTe/view?usp=drivesdk</t>
  </si>
  <si>
    <t>Document successfully created; Document successfully merged; PDF created; Emails Sent: [To: vhirahendra@gmail.com]; Run via form trigger as ecertificate75@gmail.com; Timestamp: Sep 19 2024 3:01 AM</t>
  </si>
  <si>
    <t>dr. SAVITRI WULAN AGUSTIN</t>
  </si>
  <si>
    <t>cappietori.86@gmail.com</t>
  </si>
  <si>
    <t>10079</t>
  </si>
  <si>
    <t>1yOcj4TK2ttsS7-kq4fMvXY2PFLRHCB6j</t>
  </si>
  <si>
    <t>https://drive.google.com/file/d/1yOcj4TK2ttsS7-kq4fMvXY2PFLRHCB6j/view?usp=drivesdk</t>
  </si>
  <si>
    <t>Document successfully created; Document successfully merged; PDF created; Emails Sent: [To: cappietori.86@gmail.com]; Run via form trigger as ecertificate75@gmail.com; Timestamp: Sep 19 2024 3:02 AM</t>
  </si>
  <si>
    <t>ARISTA TRI LESTARI,S.KEP.,NS</t>
  </si>
  <si>
    <t>aristatrilestari18@gmail.com</t>
  </si>
  <si>
    <t>10080</t>
  </si>
  <si>
    <t>Starting at Fri Aug 30 2024 02:54:52 GMT-0400 (EDT)</t>
  </si>
  <si>
    <t>1PiAKzACps3S-QgjF0b-yf0wsUnsf-H6z</t>
  </si>
  <si>
    <t>https://drive.google.com/file/d/1PiAKzACps3S-QgjF0b-yf0wsUnsf-H6z/view?usp=drivesdk</t>
  </si>
  <si>
    <t>Document successfully created; Document successfully merged; PDF created; Emails Sent: [To: aristatrilestari18@gmail.com]; Run via form trigger as ecertificate75@gmail.com; Timestamp: Sep 19 2024 3:02 AM</t>
  </si>
  <si>
    <t>Ni Ketut Suardani</t>
  </si>
  <si>
    <t>suardaniketut78@gmail.com</t>
  </si>
  <si>
    <t>10081</t>
  </si>
  <si>
    <t>Starting at Fri Aug 30 2024 02:55:24 GMT-0400 (EDT)</t>
  </si>
  <si>
    <t>16z9jbmmFqI2bP7os54QPFr3UgmbKJNGX</t>
  </si>
  <si>
    <t>https://drive.google.com/file/d/16z9jbmmFqI2bP7os54QPFr3UgmbKJNGX/view?usp=drivesdk</t>
  </si>
  <si>
    <t>Document successfully created; Document successfully merged; PDF created; Emails Sent: [To: suardaniketut78@gmail.com]; Run via form trigger as ecertificate75@gmail.com; Timestamp: Sep 19 2024 3:02 AM</t>
  </si>
  <si>
    <t>YULIANTI, S.E.</t>
  </si>
  <si>
    <t>yuliantijambi07@gmail.com</t>
  </si>
  <si>
    <t>10082</t>
  </si>
  <si>
    <t>Starting at Fri Aug 30 2024 02:56:32 GMT-0400 (EDT)</t>
  </si>
  <si>
    <t>1sGPcZTpYL6Hi1S_8CJ70RKxEeXUUm6_d</t>
  </si>
  <si>
    <t>https://drive.google.com/file/d/1sGPcZTpYL6Hi1S_8CJ70RKxEeXUUm6_d/view?usp=drivesdk</t>
  </si>
  <si>
    <t>Document successfully created; Document successfully merged; PDF created; Emails Sent: [To: yuliantijambi07@gmail.com]; Run via form trigger as ecertificate75@gmail.com; Timestamp: Sep 19 2024 3:02 AM</t>
  </si>
  <si>
    <t>MASRIL</t>
  </si>
  <si>
    <t>laharumasril@gmail.com</t>
  </si>
  <si>
    <t>10083</t>
  </si>
  <si>
    <t>10S8xvaA-EyAw4ZnznjdXj4gVn65cpPDT</t>
  </si>
  <si>
    <t>https://drive.google.com/file/d/10S8xvaA-EyAw4ZnznjdXj4gVn65cpPDT/view?usp=drivesdk</t>
  </si>
  <si>
    <t>Document successfully created; Document successfully merged; PDF created; Emails Sent: [To: laharumasril@gmail.com]; Run via form trigger as ecertificate75@gmail.com; Timestamp: Sep 19 2024 3:02 AM</t>
  </si>
  <si>
    <t>witonokamini@gmail.com</t>
  </si>
  <si>
    <t>10084</t>
  </si>
  <si>
    <t>Starting at Fri Aug 30 2024 02:56:54 GMT-0400 (EDT)</t>
  </si>
  <si>
    <t>1x08tA4bYdr8Bq6kxmHs6IHdbmNa7k9mW</t>
  </si>
  <si>
    <t>https://drive.google.com/file/d/1x08tA4bYdr8Bq6kxmHs6IHdbmNa7k9mW/view?usp=drivesdk</t>
  </si>
  <si>
    <t>Document successfully created; Document successfully merged; PDF created; Emails Sent: [To: witonokamini@gmail.com]; Run via form trigger as ecertificate75@gmail.com; Timestamp: Sep 19 2024 3:02 AM</t>
  </si>
  <si>
    <t>TJUTJU SUARSA</t>
  </si>
  <si>
    <t>suarsa_tjutju@yahoo.co.id</t>
  </si>
  <si>
    <t>10085</t>
  </si>
  <si>
    <t>Starting at Fri Aug 30 2024 02:58:21 GMT-0400 (EDT)</t>
  </si>
  <si>
    <t>1ffGJzfbMVHGcWPoZToZSW-sC-AEE5uK1</t>
  </si>
  <si>
    <t>https://drive.google.com/file/d/1ffGJzfbMVHGcWPoZToZSW-sC-AEE5uK1/view?usp=drivesdk</t>
  </si>
  <si>
    <t>Document successfully created; Document successfully merged; PDF created; Emails Sent: [To: suarsa_tjutju@yahoo.co.id]; Run via form trigger as ecertificate75@gmail.com; Timestamp: Sep 19 2024 3:03 AM</t>
  </si>
  <si>
    <t>SUSI RUMAYANTI</t>
  </si>
  <si>
    <t>susirumayanti@gmail.com</t>
  </si>
  <si>
    <t>10086</t>
  </si>
  <si>
    <t>Starting at Fri Aug 30 2024 02:59:20 GMT-0400 (EDT)</t>
  </si>
  <si>
    <t>1GJmyytPAKpU9X0V6ScPQn6b1eaqSBx4b</t>
  </si>
  <si>
    <t>https://drive.google.com/file/d/1GJmyytPAKpU9X0V6ScPQn6b1eaqSBx4b/view?usp=drivesdk</t>
  </si>
  <si>
    <t>Document successfully created; Document successfully merged; PDF created; Emails Sent: [To: susirumayanti@gmail.com]; Run via form trigger as ecertificate75@gmail.com; Timestamp: Sep 19 2024 3:03 AM</t>
  </si>
  <si>
    <t xml:space="preserve">HARI PRASETYO UMAR </t>
  </si>
  <si>
    <t>haryumar88@gmail.com</t>
  </si>
  <si>
    <t>10087</t>
  </si>
  <si>
    <t>1cdQKFl_hv_RfnIs9rfVDkfh09JI2LPPm</t>
  </si>
  <si>
    <t>https://drive.google.com/file/d/1cdQKFl_hv_RfnIs9rfVDkfh09JI2LPPm/view?usp=drivesdk</t>
  </si>
  <si>
    <t>Document successfully created; Document successfully merged; PDF created; Emails Sent: [To: haryumar88@gmail.com]; Run via form trigger as ecertificate75@gmail.com; Timestamp: Sep 19 2024 3:03 AM</t>
  </si>
  <si>
    <t>ARI DWI SURYANDARI</t>
  </si>
  <si>
    <t>aridwi4573@gmail.com</t>
  </si>
  <si>
    <t>10088</t>
  </si>
  <si>
    <t>Starting at Fri Aug 30 2024 02:59:35 GMT-0400 (EDT)</t>
  </si>
  <si>
    <t>12JvXMvjDNKJ61BflzjbknH0HFOCdub5t</t>
  </si>
  <si>
    <t>https://drive.google.com/file/d/12JvXMvjDNKJ61BflzjbknH0HFOCdub5t/view?usp=drivesdk</t>
  </si>
  <si>
    <t>Document successfully created; Document successfully merged; PDF created; Emails Sent: [To: aridwi4573@gmail.com]; Run via form trigger as ecertificate75@gmail.com; Timestamp: Sep 19 2024 3:03 AM</t>
  </si>
  <si>
    <t>HERI SARWAKA</t>
  </si>
  <si>
    <t>herisarwaka74@gmail.com</t>
  </si>
  <si>
    <t>10089</t>
  </si>
  <si>
    <t>Starting at Fri Aug 30 2024 03:00:25 GMT-0400 (EDT)</t>
  </si>
  <si>
    <t>1qxEvA0q4QJiv4teifYSDgKLBLqf45cDB</t>
  </si>
  <si>
    <t>https://drive.google.com/file/d/1qxEvA0q4QJiv4teifYSDgKLBLqf45cDB/view?usp=drivesdk</t>
  </si>
  <si>
    <t>Document successfully created; Document successfully merged; PDF created; Emails Sent: [To: herisarwaka74@gmail.com]; Run via form trigger as ecertificate75@gmail.com; Timestamp: Sep 19 2024 3:03 AM</t>
  </si>
  <si>
    <t xml:space="preserve">EDY KUSNADI </t>
  </si>
  <si>
    <t>edy75kusnadi@gmail.com</t>
  </si>
  <si>
    <t>10090</t>
  </si>
  <si>
    <t>Starting at Fri Aug 30 2024 03:01:46 GMT-0400 (EDT)</t>
  </si>
  <si>
    <t>1bLKkA_hcX-LQEVbD7dsRTj7mlIIBCoZK</t>
  </si>
  <si>
    <t>https://drive.google.com/file/d/1bLKkA_hcX-LQEVbD7dsRTj7mlIIBCoZK/view?usp=drivesdk</t>
  </si>
  <si>
    <t>Document successfully created; Document successfully merged; PDF created; Emails Sent: [To: edy75kusnadi@gmail.com]; Run via form trigger as ecertificate75@gmail.com; Timestamp: Sep 19 2024 3:03 AM</t>
  </si>
  <si>
    <t>m45safii1979@gmail.com</t>
  </si>
  <si>
    <t>10091</t>
  </si>
  <si>
    <t>Starting at Fri Aug 30 2024 03:01:59 GMT-0400 (EDT)</t>
  </si>
  <si>
    <t>1qUqCBVkBgfXeuvzY233WrDzYTelp26t_</t>
  </si>
  <si>
    <t>https://drive.google.com/file/d/1qUqCBVkBgfXeuvzY233WrDzYTelp26t_/view?usp=drivesdk</t>
  </si>
  <si>
    <t>Document successfully created; Document successfully merged; PDF created; Emails Sent: [To: m45safii1979@gmail.com]; Run via form trigger as ecertificate75@gmail.com; Timestamp: Sep 19 2024 3:04 AM</t>
  </si>
  <si>
    <t>LULUK KHOLIFAH,SE</t>
  </si>
  <si>
    <t>llkkholifah@gmail.com</t>
  </si>
  <si>
    <t>10092</t>
  </si>
  <si>
    <t>Starting at Fri Aug 30 2024 03:02:09 GMT-0400 (EDT)</t>
  </si>
  <si>
    <t>1uf9UyfDxfzmm8XisyfkA7a88R7nCHz1U</t>
  </si>
  <si>
    <t>https://drive.google.com/file/d/1uf9UyfDxfzmm8XisyfkA7a88R7nCHz1U/view?usp=drivesdk</t>
  </si>
  <si>
    <t>Document successfully created; Document successfully merged; PDF created; Emails Sent: [To: llkkholifah@gmail.com]; Run via form trigger as ecertificate75@gmail.com; Timestamp: Sep 19 2024 3:04 AM</t>
  </si>
  <si>
    <t>hy357364@gmail.com</t>
  </si>
  <si>
    <t>10093</t>
  </si>
  <si>
    <t>Starting at Fri Aug 30 2024 03:04:04 GMT-0400 (EDT)</t>
  </si>
  <si>
    <t>1x3TtXmfO2Due27Vlfk92auLzTNWD0BEF</t>
  </si>
  <si>
    <t>https://drive.google.com/file/d/1x3TtXmfO2Due27Vlfk92auLzTNWD0BEF/view?usp=drivesdk</t>
  </si>
  <si>
    <t>Document successfully created; Document successfully merged; PDF created; Emails Sent: [To: hy357364@gmail.com]; Run via form trigger as ecertificate75@gmail.com; Timestamp: Sep 19 2024 3:04 AM</t>
  </si>
  <si>
    <t>hasan.crbn90@gmail.com</t>
  </si>
  <si>
    <t>10094</t>
  </si>
  <si>
    <t>Starting at Fri Aug 30 2024 03:06:41 GMT-0400 (EDT)</t>
  </si>
  <si>
    <t>1KmtfpXeS_tDZiaylfJFy6tgusPAF2mtm</t>
  </si>
  <si>
    <t>https://drive.google.com/file/d/1KmtfpXeS_tDZiaylfJFy6tgusPAF2mtm/view?usp=drivesdk</t>
  </si>
  <si>
    <t>Document successfully created; Document successfully merged; PDF created; Emails Sent: [To: hasan.crbn90@gmail.com]; Run via form trigger as ecertificate75@gmail.com; Timestamp: Sep 19 2024 3:04 AM</t>
  </si>
  <si>
    <t>AYI MAHPUDIN</t>
  </si>
  <si>
    <t>ayinahpudin74@gmail.com</t>
  </si>
  <si>
    <t>10095</t>
  </si>
  <si>
    <t>1xp4QNg3QWxwiv3u6JfxEJNVxgkX3GPyX</t>
  </si>
  <si>
    <t>https://drive.google.com/file/d/1xp4QNg3QWxwiv3u6JfxEJNVxgkX3GPyX/view?usp=drivesdk</t>
  </si>
  <si>
    <t>Document successfully created; Document successfully merged; PDF created; Emails Sent: [To: ayinahpudin74@gmail.com]; Run via form trigger as ecertificate75@gmail.com; Timestamp: Sep 19 2024 3:04 AM</t>
  </si>
  <si>
    <t>renminditreskrimum09@gmail.com</t>
  </si>
  <si>
    <t>10096</t>
  </si>
  <si>
    <t>Starting at Fri Aug 30 2024 03:06:48 GMT-0400 (EDT)</t>
  </si>
  <si>
    <t>1t8_JAWhhp8wjVqZ3cjT3L4exLw7q98F5</t>
  </si>
  <si>
    <t>https://drive.google.com/file/d/1t8_JAWhhp8wjVqZ3cjT3L4exLw7q98F5/view?usp=drivesdk</t>
  </si>
  <si>
    <t>Document successfully created; Document successfully merged; PDF created; Emails Sent: [To: renminditreskrimum09@gmail.com]; Run via form trigger as ecertificate75@gmail.com; Timestamp: Sep 19 2024 3:04 AM</t>
  </si>
  <si>
    <t>IDA RIANA</t>
  </si>
  <si>
    <t>idariana65@gmail.com</t>
  </si>
  <si>
    <t>10097</t>
  </si>
  <si>
    <t>Starting at Fri Aug 30 2024 03:08:12 GMT-0400 (EDT)</t>
  </si>
  <si>
    <t>1baoogEjWJqYDGdUw_i8sgqsDUILo3sMq</t>
  </si>
  <si>
    <t>https://drive.google.com/file/d/1baoogEjWJqYDGdUw_i8sgqsDUILo3sMq/view?usp=drivesdk</t>
  </si>
  <si>
    <t>Document successfully created; Document successfully merged; PDF created; Emails Sent: [To: idariana65@gmail.com]; Run via form trigger as ecertificate75@gmail.com; Timestamp: Sep 19 2024 3:04 AM</t>
  </si>
  <si>
    <t>drg. LILY SHARON TAMPUBOLON</t>
  </si>
  <si>
    <t>lilysharont@gmail.com</t>
  </si>
  <si>
    <t>10098</t>
  </si>
  <si>
    <t>Starting at Fri Aug 30 2024 03:08:54 GMT-0400 (EDT)</t>
  </si>
  <si>
    <t>1bXSDxF8Y9mQJHo8wGT5IKxPEj2dTHF-y</t>
  </si>
  <si>
    <t>https://drive.google.com/file/d/1bXSDxF8Y9mQJHo8wGT5IKxPEj2dTHF-y/view?usp=drivesdk</t>
  </si>
  <si>
    <t>Document successfully created; Document successfully merged; PDF created; Emails Sent: [To: lilysharont@gmail.com]; Run via form trigger as ecertificate75@gmail.com; Timestamp: Sep 19 2024 3:05 AM</t>
  </si>
  <si>
    <t>EVI IRAWATI</t>
  </si>
  <si>
    <t>eirawati39@gmail.com</t>
  </si>
  <si>
    <t>10099</t>
  </si>
  <si>
    <t>Starting at Fri Aug 30 2024 03:11:31 GMT-0400 (EDT)</t>
  </si>
  <si>
    <t>1y5mvRKLUTJ2505vR5dWc581psTs-pGXe</t>
  </si>
  <si>
    <t>https://drive.google.com/file/d/1y5mvRKLUTJ2505vR5dWc581psTs-pGXe/view?usp=drivesdk</t>
  </si>
  <si>
    <t>Document successfully created; Document successfully merged; PDF created; Emails Sent: [To: eirawati39@gmail.com]; Run via form trigger as ecertificate75@gmail.com; Timestamp: Sep 19 2024 3:05 AM</t>
  </si>
  <si>
    <t>SURIATI, SH</t>
  </si>
  <si>
    <t>namimeiliani@gmail.com</t>
  </si>
  <si>
    <t>10100</t>
  </si>
  <si>
    <t>Starting at Fri Aug 30 2024 03:12:18 GMT-0400 (EDT)</t>
  </si>
  <si>
    <t>196uJ-Dp-4wqJdfuiQKJ46gXkOADpLIN0</t>
  </si>
  <si>
    <t>https://drive.google.com/file/d/196uJ-Dp-4wqJdfuiQKJ46gXkOADpLIN0/view?usp=drivesdk</t>
  </si>
  <si>
    <t>Document successfully created; Document successfully merged; PDF created; Emails Sent: [To: namimeiliani@gmail.com]; Run via form trigger as ecertificate75@gmail.com; Timestamp: Sep 19 2024 3:05 AM</t>
  </si>
  <si>
    <t>10101</t>
  </si>
  <si>
    <t>Starting at Fri Aug 30 2024 03:12:59 GMT-0400 (EDT)</t>
  </si>
  <si>
    <t>1XQwNEDwfbxpVvkzV64T4xPnu9aCUVWPw</t>
  </si>
  <si>
    <t>https://drive.google.com/file/d/1XQwNEDwfbxpVvkzV64T4xPnu9aCUVWPw/view?usp=drivesdk</t>
  </si>
  <si>
    <t>Document successfully created; Document successfully merged; PDF created; Emails Sent: [To: sucijamiah69@gmail.com]; Run via form trigger as ecertificate75@gmail.com; Timestamp: Sep 19 2024 3:05 AM</t>
  </si>
  <si>
    <t>LUKMAN NURHALIM</t>
  </si>
  <si>
    <t>lukmannurhalim4@gmail.com</t>
  </si>
  <si>
    <t>10102</t>
  </si>
  <si>
    <t>Starting at Fri Aug 30 2024 03:13:32 GMT-0400 (EDT)</t>
  </si>
  <si>
    <t>1UXnMVy83L2ia7gpxyS5YiL_WTsj07zoa</t>
  </si>
  <si>
    <t>https://drive.google.com/file/d/1UXnMVy83L2ia7gpxyS5YiL_WTsj07zoa/view?usp=drivesdk</t>
  </si>
  <si>
    <t>Document successfully created; Document successfully merged; PDF created; Emails Sent: [To: lukmannurhalim4@gmail.com]; Run via form trigger as ecertificate75@gmail.com; Timestamp: Sep 19 2024 3:05 AM</t>
  </si>
  <si>
    <t>TATI JULITA, S.E</t>
  </si>
  <si>
    <t>tatijulita79@gmail.com</t>
  </si>
  <si>
    <t>10103</t>
  </si>
  <si>
    <t>Starting at Fri Aug 30 2024 03:14:00 GMT-0400 (EDT)</t>
  </si>
  <si>
    <t>141x65cZgslcCRycfGmPlDJPMhcIcDeTy</t>
  </si>
  <si>
    <t>https://drive.google.com/file/d/141x65cZgslcCRycfGmPlDJPMhcIcDeTy/view?usp=drivesdk</t>
  </si>
  <si>
    <t>Document successfully created; Document successfully merged; PDF created; Emails Sent: [To: tatijulita79@gmail.com]; Run via form trigger as ecertificate75@gmail.com; Timestamp: Sep 19 2024 3:05 AM</t>
  </si>
  <si>
    <t>RISDA ERVINA, A. Md. Kep</t>
  </si>
  <si>
    <t>risdaervina31@gmail.com</t>
  </si>
  <si>
    <t>10104</t>
  </si>
  <si>
    <t>1bR-MQhefz467oBwJxTMLusjloUkeWqiM</t>
  </si>
  <si>
    <t>https://drive.google.com/file/d/1bR-MQhefz467oBwJxTMLusjloUkeWqiM/view?usp=drivesdk</t>
  </si>
  <si>
    <t>Document successfully created; Document successfully merged; PDF created; Emails Sent: [To: risdaervina31@gmail.com]; Run via form trigger as ecertificate75@gmail.com; Timestamp: Sep 19 2024 3:05 AM</t>
  </si>
  <si>
    <t>SRI ASTUTI, S.Kep.Ns</t>
  </si>
  <si>
    <t>astutiharsono15@gmail.com</t>
  </si>
  <si>
    <t>10105</t>
  </si>
  <si>
    <t>Starting at Fri Aug 30 2024 03:15:04 GMT-0400 (EDT)</t>
  </si>
  <si>
    <t>1shrnnhTtUTIqBpvANirr29l3Iw_j6J8l</t>
  </si>
  <si>
    <t>https://drive.google.com/file/d/1shrnnhTtUTIqBpvANirr29l3Iw_j6J8l/view?usp=drivesdk</t>
  </si>
  <si>
    <t>Document successfully created; Document successfully merged; PDF created; Emails Sent: [To: astutiharsono15@gmail.com]; Run via form trigger as ecertificate75@gmail.com; Timestamp: Sep 19 2024 3:06 AM</t>
  </si>
  <si>
    <t>TATANG SURYANA</t>
  </si>
  <si>
    <t>tatangsuryana1969@gmail.com</t>
  </si>
  <si>
    <t>10106</t>
  </si>
  <si>
    <t>Starting at Fri Aug 30 2024 03:16:53 GMT-0400 (EDT)</t>
  </si>
  <si>
    <t>1eYUhZdWJRGLoOEE6lE2xl8avYvZCc67p</t>
  </si>
  <si>
    <t>https://drive.google.com/file/d/1eYUhZdWJRGLoOEE6lE2xl8avYvZCc67p/view?usp=drivesdk</t>
  </si>
  <si>
    <t>Document successfully created; Document successfully merged; PDF created; Emails Sent: [To: tatangsuryana1969@gmail.com]; Run via form trigger as ecertificate75@gmail.com; Timestamp: Sep 19 2024 3:06 AM</t>
  </si>
  <si>
    <t>NI NYOMAN ARI TRI WAHYUNI</t>
  </si>
  <si>
    <t>atw.aritriwahyuni@gmail.com</t>
  </si>
  <si>
    <t>10107</t>
  </si>
  <si>
    <t>Starting at Fri Aug 30 2024 03:17:51 GMT-0400 (EDT)</t>
  </si>
  <si>
    <t>1LL5MGvRmhKPGjEPfWf9dn9ki43g84G3v</t>
  </si>
  <si>
    <t>https://drive.google.com/file/d/1LL5MGvRmhKPGjEPfWf9dn9ki43g84G3v/view?usp=drivesdk</t>
  </si>
  <si>
    <t>Document successfully created; Document successfully merged; PDF created; Emails Sent: [To: atw.aritriwahyuni@gmail.com]; Run via form trigger as ecertificate75@gmail.com; Timestamp: Sep 19 2024 3:06 AM</t>
  </si>
  <si>
    <t>MEILINA WULANDARI, A.Md</t>
  </si>
  <si>
    <t>meylina81.mw@gmail.com</t>
  </si>
  <si>
    <t>10108</t>
  </si>
  <si>
    <t>Starting at Fri Aug 30 2024 03:20:05 GMT-0400 (EDT)</t>
  </si>
  <si>
    <t>1W5mrsA7EjSvnWTfb5XoDwGD5tuvRwKb0</t>
  </si>
  <si>
    <t>https://drive.google.com/file/d/1W5mrsA7EjSvnWTfb5XoDwGD5tuvRwKb0/view?usp=drivesdk</t>
  </si>
  <si>
    <t>Document successfully created; Document successfully merged; PDF created; Emails Sent: [To: meylina81.mw@gmail.com]; Run via form trigger as ecertificate75@gmail.com; Timestamp: Sep 19 2024 9:41 AM</t>
  </si>
  <si>
    <t>10109</t>
  </si>
  <si>
    <t>1M7BQbxdV00wmT5Ah28Jfb_4gsnGTFvfl</t>
  </si>
  <si>
    <t>https://drive.google.com/file/d/1M7BQbxdV00wmT5Ah28Jfb_4gsnGTFvfl/view?usp=drivesdk</t>
  </si>
  <si>
    <t>Document successfully created; Document successfully merged; PDF created; Emails Sent: [To: yayahermika@gmail.com]; Run via form trigger as ecertificate75@gmail.com; Timestamp: Sep 19 2024 9:41 AM</t>
  </si>
  <si>
    <t xml:space="preserve">MAY DIYAH SETYO RINI </t>
  </si>
  <si>
    <t>maydyahsetyorini88@gmail.com</t>
  </si>
  <si>
    <t>10110</t>
  </si>
  <si>
    <t>Starting at Fri Aug 30 2024 03:20:32 GMT-0400 (EDT)</t>
  </si>
  <si>
    <t>1gOoO69224yVETYZKV_8a2EWv6-D6ianG</t>
  </si>
  <si>
    <t>https://drive.google.com/file/d/1gOoO69224yVETYZKV_8a2EWv6-D6ianG/view?usp=drivesdk</t>
  </si>
  <si>
    <t>Document successfully created; Document successfully merged; PDF created; Emails Sent: [To: maydyahsetyorini88@gmail.com]; Run via form trigger as ecertificate75@gmail.com; Timestamp: Sep 19 2024 9:42 AM</t>
  </si>
  <si>
    <t>suratno0105@gmail.com</t>
  </si>
  <si>
    <t>10111</t>
  </si>
  <si>
    <t>Starting at Fri Aug 30 2024 03:20:48 GMT-0400 (EDT)</t>
  </si>
  <si>
    <t>1lEXuEj_lH1fc0PWtAsgLXJKBmOWEt6gu</t>
  </si>
  <si>
    <t>https://drive.google.com/file/d/1lEXuEj_lH1fc0PWtAsgLXJKBmOWEt6gu/view?usp=drivesdk</t>
  </si>
  <si>
    <t>Document successfully created; Document successfully merged; PDF created; Emails Sent: [To: suratno0105@gmail.com]; Run via form trigger as ecertificate75@gmail.com; Timestamp: Sep 19 2024 9:42 AM</t>
  </si>
  <si>
    <t>SERVA MUTHIA.SH.MM</t>
  </si>
  <si>
    <t>rapssmooth1955@gmail.com</t>
  </si>
  <si>
    <t>10112</t>
  </si>
  <si>
    <t>Starting at Fri Aug 30 2024 03:21:10 GMT-0400 (EDT)</t>
  </si>
  <si>
    <t>1OitBj5r_66z-NZsTC4Hut270LcDU6I0r</t>
  </si>
  <si>
    <t>https://drive.google.com/file/d/1OitBj5r_66z-NZsTC4Hut270LcDU6I0r/view?usp=drivesdk</t>
  </si>
  <si>
    <t>Document successfully created; Document successfully merged; PDF created; !!Error Sending Emails: Service invoked too many times for one day: email.; Run via form trigger as ecertificate75@gmail.com; Timestamp: Sep 19 2024 9:42 AM</t>
  </si>
  <si>
    <t xml:space="preserve">LEMBANG SUKO BINARTO </t>
  </si>
  <si>
    <t>lembangsuko@gmail.com</t>
  </si>
  <si>
    <t>10113</t>
  </si>
  <si>
    <t>Starting at Fri Aug 30 2024 03:22:26 GMT-0400 (EDT)</t>
  </si>
  <si>
    <t>1IIoLajTrjufyWciJUbl2hG4yo_DTQjmm</t>
  </si>
  <si>
    <t>https://drive.google.com/file/d/1IIoLajTrjufyWciJUbl2hG4yo_DTQjmm/view?usp=drivesdk</t>
  </si>
  <si>
    <t>PRAMONO DWI SASMITO.S.Gz</t>
  </si>
  <si>
    <t>10114</t>
  </si>
  <si>
    <t>Starting at Fri Aug 30 2024 03:24:44 GMT-0400 (EDT)</t>
  </si>
  <si>
    <t>1DfL5_yN1-wNZ2BdZ0hQTBx9xcl9y3ODJ</t>
  </si>
  <si>
    <t>https://drive.google.com/file/d/1DfL5_yN1-wNZ2BdZ0hQTBx9xcl9y3ODJ/view?usp=drivesdk</t>
  </si>
  <si>
    <t>10115</t>
  </si>
  <si>
    <t>Starting at Fri Aug 30 2024 03:25:18 GMT-0400 (EDT)</t>
  </si>
  <si>
    <t>1INTS5npI24cvpIVUgvzrwISkGu1hpHQl</t>
  </si>
  <si>
    <t>https://drive.google.com/file/d/1INTS5npI24cvpIVUgvzrwISkGu1hpHQl/view?usp=drivesdk</t>
  </si>
  <si>
    <t>Document successfully created; Document successfully merged; PDF created; !!Error Sending Emails: Service invoked too many times for one day: email.; Run via form trigger as ecertificate75@gmail.com; Timestamp: Sep 19 2024 9:43 AM</t>
  </si>
  <si>
    <t>SITI AISYAH INDRAYANI</t>
  </si>
  <si>
    <t>siti.aisah.indrayani@gmail.com</t>
  </si>
  <si>
    <t>10116</t>
  </si>
  <si>
    <t>1cK5BXMaD_eAybt9duqmpcVWOOel0ABAz</t>
  </si>
  <si>
    <t>https://drive.google.com/file/d/1cK5BXMaD_eAybt9duqmpcVWOOel0ABAz/view?usp=drivesdk</t>
  </si>
  <si>
    <t>AGUS BUDIYANTO Amd.Kep</t>
  </si>
  <si>
    <t>agusbudiyanto92@gmail.com</t>
  </si>
  <si>
    <t>10117</t>
  </si>
  <si>
    <t>Starting at Fri Aug 30 2024 03:25:40 GMT-0400 (EDT)</t>
  </si>
  <si>
    <t>1Ap-eRiBOEmioEifd7mTMndlGyUwbXYMM</t>
  </si>
  <si>
    <t>https://drive.google.com/file/d/1Ap-eRiBOEmioEifd7mTMndlGyUwbXYMM/view?usp=drivesdk</t>
  </si>
  <si>
    <t>FINE ANISA HANDAYATI, S.Farm, Apt.</t>
  </si>
  <si>
    <t>fineanisa11@gmail.com</t>
  </si>
  <si>
    <t>10118</t>
  </si>
  <si>
    <t>Starting at Fri Aug 30 2024 03:26:49 GMT-0400 (EDT)</t>
  </si>
  <si>
    <t>13jGPjLHfH50QLVZn91gsaBYmrpASGyLG</t>
  </si>
  <si>
    <t>https://drive.google.com/file/d/13jGPjLHfH50QLVZn91gsaBYmrpASGyLG/view?usp=drivesdk</t>
  </si>
  <si>
    <t>kaurmintu.subbagrenmin.sdm@gmail.com</t>
  </si>
  <si>
    <t>10119</t>
  </si>
  <si>
    <t>Starting at Fri Aug 30 2024 03:27:03 GMT-0400 (EDT)</t>
  </si>
  <si>
    <t>16kzCKhxQXuVcgANMrTfe1syG_JibwxJb</t>
  </si>
  <si>
    <t>https://drive.google.com/file/d/16kzCKhxQXuVcgANMrTfe1syG_JibwxJb/view?usp=drivesdk</t>
  </si>
  <si>
    <t>INDRA MAWALDI PRATAM, S.M.</t>
  </si>
  <si>
    <t>indrartmc@gmail.com</t>
  </si>
  <si>
    <t>10120</t>
  </si>
  <si>
    <t>Starting at Fri Aug 30 2024 03:28:36 GMT-0400 (EDT)</t>
  </si>
  <si>
    <t>1ru6w7rtY-strEupPRjKEhOwTBNJDLQPP</t>
  </si>
  <si>
    <t>https://drive.google.com/file/d/1ru6w7rtY-strEupPRjKEhOwTBNJDLQPP/view?usp=drivesdk</t>
  </si>
  <si>
    <t>RAHMAT SUPRIYANTO, S.Farm., Apt.</t>
  </si>
  <si>
    <t>rahmatsupriyanto73@gmail.com</t>
  </si>
  <si>
    <t>10121</t>
  </si>
  <si>
    <t>Starting at Fri Aug 30 2024 03:29:55 GMT-0400 (EDT)</t>
  </si>
  <si>
    <t>15qkc4PP1lH6_4jAokjyUr5zZMWIaP-b2</t>
  </si>
  <si>
    <t>https://drive.google.com/file/d/15qkc4PP1lH6_4jAokjyUr5zZMWIaP-b2/view?usp=drivesdk</t>
  </si>
  <si>
    <t>Document successfully created; Document successfully merged; PDF created; !!Error Sending Emails: Service invoked too many times for one day: email.; Run via form trigger as ecertificate75@gmail.com; Timestamp: Sep 19 2024 9:44 AM</t>
  </si>
  <si>
    <t>DESY IDA TOBING</t>
  </si>
  <si>
    <t>desyida0@gmail.com</t>
  </si>
  <si>
    <t>10122</t>
  </si>
  <si>
    <t>Starting at Fri Aug 30 2024 03:32:29 GMT-0400 (EDT)</t>
  </si>
  <si>
    <t>1jCMpIq1mZpHifO4JORuL3ZAQdSVxwwVN</t>
  </si>
  <si>
    <t>https://drive.google.com/file/d/1jCMpIq1mZpHifO4JORuL3ZAQdSVxwwVN/view?usp=drivesdk</t>
  </si>
  <si>
    <t>NI GD EKA SAPUTRI, A.Md.Kep</t>
  </si>
  <si>
    <t>nigedeekasaputri1605@gmail.com</t>
  </si>
  <si>
    <t>10123</t>
  </si>
  <si>
    <t>1cjquqb80Q268RtCOFbUkZghszuZKYBuQ</t>
  </si>
  <si>
    <t>https://drive.google.com/file/d/1cjquqb80Q268RtCOFbUkZghszuZKYBuQ/view?usp=drivesdk</t>
  </si>
  <si>
    <t>ETIK MARGIYATI</t>
  </si>
  <si>
    <t>margiyatie@gmail.com</t>
  </si>
  <si>
    <t>10124</t>
  </si>
  <si>
    <t>1dk8cUAUJavj6A_p8W6intqjRArzlSWa4</t>
  </si>
  <si>
    <t>https://drive.google.com/file/d/1dk8cUAUJavj6A_p8W6intqjRArzlSWa4/view?usp=drivesdk</t>
  </si>
  <si>
    <t>SURIADI</t>
  </si>
  <si>
    <t>suriadiumai@gmail.com</t>
  </si>
  <si>
    <t>10125</t>
  </si>
  <si>
    <t>Starting at Fri Aug 30 2024 03:32:53 GMT-0400 (EDT)</t>
  </si>
  <si>
    <t>1T9FHNprlzSKP3mIt5-HLtxqOgunc6e0v</t>
  </si>
  <si>
    <t>https://drive.google.com/file/d/1T9FHNprlzSKP3mIt5-HLtxqOgunc6e0v/view?usp=drivesdk</t>
  </si>
  <si>
    <t>KRIS VEDYASTUTI, A.Md.Kep</t>
  </si>
  <si>
    <t>krisvedya7@gmail.com</t>
  </si>
  <si>
    <t>10126</t>
  </si>
  <si>
    <t>Starting at Fri Aug 30 2024 03:33:58 GMT-0400 (EDT)</t>
  </si>
  <si>
    <t>172So-nLC2vihU_GmhEXGCk_uWv8E-Eyn</t>
  </si>
  <si>
    <t>https://drive.google.com/file/d/172So-nLC2vihU_GmhEXGCk_uWv8E-Eyn/view?usp=drivesdk</t>
  </si>
  <si>
    <t>Document successfully created; Document successfully merged; PDF created; !!Error Sending Emails: Service invoked too many times for one day: email.; Run via form trigger as ecertificate75@gmail.com; Timestamp: Sep 19 2024 9:45 AM</t>
  </si>
  <si>
    <t>NURUL HIDAYATI</t>
  </si>
  <si>
    <t>nurulhidayati2160@gmail.com</t>
  </si>
  <si>
    <t>10127</t>
  </si>
  <si>
    <t>Starting at Fri Aug 30 2024 03:34:09 GMT-0400 (EDT)</t>
  </si>
  <si>
    <t>1WSVJTOTKGoYGRgkg28vI95bd1ByrJTmk</t>
  </si>
  <si>
    <t>https://drive.google.com/file/d/1WSVJTOTKGoYGRgkg28vI95bd1ByrJTmk/view?usp=drivesdk</t>
  </si>
  <si>
    <t>WITA SITI FAUZIAH, S.Pd</t>
  </si>
  <si>
    <t>witasfauziah@gmail.com</t>
  </si>
  <si>
    <t>10128</t>
  </si>
  <si>
    <t>Starting at Fri Aug 30 2024 03:34:56 GMT-0400 (EDT)</t>
  </si>
  <si>
    <t>1BWFsz_NydKc-38-TbMaSXnT1zWMswACU</t>
  </si>
  <si>
    <t>https://drive.google.com/file/d/1BWFsz_NydKc-38-TbMaSXnT1zWMswACU/view?usp=drivesdk</t>
  </si>
  <si>
    <t>h312m4n_76@yahoo.co.id</t>
  </si>
  <si>
    <t>10129</t>
  </si>
  <si>
    <t>Starting at Fri Aug 30 2024 03:36:49 GMT-0400 (EDT)</t>
  </si>
  <si>
    <t>1FFFYhaozQcwWLRkM8RKR0u_aRiYT7IJS</t>
  </si>
  <si>
    <t>https://drive.google.com/file/d/1FFFYhaozQcwWLRkM8RKR0u_aRiYT7IJS/view?usp=drivesdk</t>
  </si>
  <si>
    <t>WIJI RAHAYU AMD. KEP</t>
  </si>
  <si>
    <t>wijirahayu4@gmail.com</t>
  </si>
  <si>
    <t>10130</t>
  </si>
  <si>
    <t>Starting at Fri Aug 30 2024 03:39:14 GMT-0400 (EDT)</t>
  </si>
  <si>
    <t>1QNwlOBlQtUduvZZ4EuW1olPo2xJ9sJ82</t>
  </si>
  <si>
    <t>https://drive.google.com/file/d/1QNwlOBlQtUduvZZ4EuW1olPo2xJ9sJ82/view?usp=drivesdk</t>
  </si>
  <si>
    <t>DINA HINDAYANI, SE</t>
  </si>
  <si>
    <t>dinahindayani123@gmail.com</t>
  </si>
  <si>
    <t>10131</t>
  </si>
  <si>
    <t>1OOIIh_Ibn4pvPBjTwflQmt4PdlzzYFVl</t>
  </si>
  <si>
    <t>https://drive.google.com/file/d/1OOIIh_Ibn4pvPBjTwflQmt4PdlzzYFVl/view?usp=drivesdk</t>
  </si>
  <si>
    <t>fatmawatisimatupang69@gmail.com</t>
  </si>
  <si>
    <t>10132</t>
  </si>
  <si>
    <t>Starting at Fri Aug 30 2024 03:42:29 GMT-0400 (EDT)</t>
  </si>
  <si>
    <t>1zlR-sY88kqn-d7WWdLPl_E5N2io_e8e1</t>
  </si>
  <si>
    <t>https://drive.google.com/file/d/1zlR-sY88kqn-d7WWdLPl_E5N2io_e8e1/view?usp=drivesdk</t>
  </si>
  <si>
    <t>Document successfully created; Document successfully merged; PDF created; !!Error Sending Emails: Service invoked too many times for one day: email.; Run via form trigger as ecertificate75@gmail.com; Timestamp: Sep 19 2024 9:46 AM</t>
  </si>
  <si>
    <t>RIZKA ADELLA MUTIARA, A.Md.Kep</t>
  </si>
  <si>
    <t>rizkaadellam@gmail.com</t>
  </si>
  <si>
    <t>10133</t>
  </si>
  <si>
    <t>Starting at Fri Aug 30 2024 03:42:47 GMT-0400 (EDT)</t>
  </si>
  <si>
    <t>1c7N4jsFFGgr96fSs_xmI3W06EwxauY_i</t>
  </si>
  <si>
    <t>https://drive.google.com/file/d/1c7N4jsFFGgr96fSs_xmI3W06EwxauY_i/view?usp=drivesdk</t>
  </si>
  <si>
    <t>PUTU NOPI SUARTATI, A.Md.Kep.</t>
  </si>
  <si>
    <t>snupijegeg@gmai.com</t>
  </si>
  <si>
    <t>10134</t>
  </si>
  <si>
    <t>Starting at Fri Aug 30 2024 03:44:35 GMT-0400 (EDT)</t>
  </si>
  <si>
    <t>1MgC8NHPsXvdgHP8dWHWqSQOszaTJC9k8</t>
  </si>
  <si>
    <t>https://drive.google.com/file/d/1MgC8NHPsXvdgHP8dWHWqSQOszaTJC9k8/view?usp=drivesdk</t>
  </si>
  <si>
    <t>Nurjanahsoekarno@gmail.com</t>
  </si>
  <si>
    <t>10135</t>
  </si>
  <si>
    <t>1l9gryjWbbcrUdTqCrq-1lkMRZkAjCfA_</t>
  </si>
  <si>
    <t>https://drive.google.com/file/d/1l9gryjWbbcrUdTqCrq-1lkMRZkAjCfA_/view?usp=drivesdk</t>
  </si>
  <si>
    <t>Document successfully created; Document successfully merged; PDF created; !!Error Sending Emails: Service invoked too many times for one day: email.; Run via form trigger as ecertificate75@gmail.com; Timestamp: Sep 19 2024 7:22 PM</t>
  </si>
  <si>
    <t>DADANG VIVIT LUKIYANTO</t>
  </si>
  <si>
    <t>dadanglukiyanto779@gmail.com</t>
  </si>
  <si>
    <t>10136</t>
  </si>
  <si>
    <t>Starting at Fri Aug 30 2024 03:45:29 GMT-0400 (EDT)</t>
  </si>
  <si>
    <t>1yYMh75nNQCRvMgbicZaDOrbFXgIQKe2n</t>
  </si>
  <si>
    <t>https://drive.google.com/file/d/1yYMh75nNQCRvMgbicZaDOrbFXgIQKe2n/view?usp=drivesdk</t>
  </si>
  <si>
    <t>Document successfully created; Document successfully merged; PDF created; !!Error Sending Emails: Service invoked too many times for one day: email.; Run via form trigger as ecertificate75@gmail.com; Timestamp: Sep 19 2024 7:23 PM</t>
  </si>
  <si>
    <t>LAMRIA HASUDUNGAN br. TUMANGGOR</t>
  </si>
  <si>
    <t>lamriaritumanggor16mei@gmail.com</t>
  </si>
  <si>
    <t>10137</t>
  </si>
  <si>
    <t>Starting at Fri Aug 30 2024 03:46:03 GMT-0400 (EDT)</t>
  </si>
  <si>
    <t>1a_zkLpqRXd0Xqt5-3prxAdkm7aFkjQkY</t>
  </si>
  <si>
    <t>https://drive.google.com/file/d/1a_zkLpqRXd0Xqt5-3prxAdkm7aFkjQkY/view?usp=drivesdk</t>
  </si>
  <si>
    <t xml:space="preserve">DEWI ULFAH </t>
  </si>
  <si>
    <t>ulfah9061@gmail.com</t>
  </si>
  <si>
    <t>10138</t>
  </si>
  <si>
    <t>Starting at Fri Aug 30 2024 03:46:20 GMT-0400 (EDT)</t>
  </si>
  <si>
    <t>1HuWWGY9OsOJj2WcM6dvQGAK4QsGgqg_t</t>
  </si>
  <si>
    <t>https://drive.google.com/file/d/1HuWWGY9OsOJj2WcM6dvQGAK4QsGgqg_t/view?usp=drivesdk</t>
  </si>
  <si>
    <t>ISHAK A</t>
  </si>
  <si>
    <t>ishakanggoro09396@gmail.com</t>
  </si>
  <si>
    <t>10139</t>
  </si>
  <si>
    <t>Starting at Fri Aug 30 2024 03:48:27 GMT-0400 (EDT)</t>
  </si>
  <si>
    <t>1lJ6HSyAnWxDb113sfr_utbJE4CL8B4p4</t>
  </si>
  <si>
    <t>https://drive.google.com/file/d/1lJ6HSyAnWxDb113sfr_utbJE4CL8B4p4/view?usp=drivesdk</t>
  </si>
  <si>
    <t xml:space="preserve">MAINUR </t>
  </si>
  <si>
    <t>mainursafii@gmail.com</t>
  </si>
  <si>
    <t>10140</t>
  </si>
  <si>
    <t>1RUdIjCa4ThDyGp8pU9pad2LTNLJucvQf</t>
  </si>
  <si>
    <t>https://drive.google.com/file/d/1RUdIjCa4ThDyGp8pU9pad2LTNLJucvQf/view?usp=drivesdk</t>
  </si>
  <si>
    <t>ANITA SRI WAHYUNI DAULAY</t>
  </si>
  <si>
    <t>padangbolakpolsek@gmail.com</t>
  </si>
  <si>
    <t>10141</t>
  </si>
  <si>
    <t>Starting at Fri Aug 30 2024 03:53:30 GMT-0400 (EDT)</t>
  </si>
  <si>
    <t>1S1w9vYL-akSEJ0R7vToFQWxuXnWkGhB2</t>
  </si>
  <si>
    <t>https://drive.google.com/file/d/1S1w9vYL-akSEJ0R7vToFQWxuXnWkGhB2/view?usp=drivesdk</t>
  </si>
  <si>
    <t>Document successfully created; Document successfully merged; PDF created; !!Error Sending Emails: Service invoked too many times for one day: email.; Run via form trigger as ecertificate75@gmail.com; Timestamp: Sep 19 2024 7:24 PM</t>
  </si>
  <si>
    <t xml:space="preserve">KUSWANTO </t>
  </si>
  <si>
    <t>anjasmoro.59@gmail.com</t>
  </si>
  <si>
    <t>10142</t>
  </si>
  <si>
    <t>1fi8YQESJ9E7QJ2GvXarfpcu_noovuo5W</t>
  </si>
  <si>
    <t>https://drive.google.com/file/d/1fi8YQESJ9E7QJ2GvXarfpcu_noovuo5W/view?usp=drivesdk</t>
  </si>
  <si>
    <t>NI WAYAN WEDA KUSUMAWATI, S E.</t>
  </si>
  <si>
    <t>niwayan_wedakusumawati@yahoo.com</t>
  </si>
  <si>
    <t>10143</t>
  </si>
  <si>
    <t>Starting at Fri Aug 30 2024 03:55:35 GMT-0400 (EDT)</t>
  </si>
  <si>
    <t>1VuwWwGgq9v77MC2RGGd-C-cGFqFl4HGm</t>
  </si>
  <si>
    <t>https://drive.google.com/file/d/1VuwWwGgq9v77MC2RGGd-C-cGFqFl4HGm/view?usp=drivesdk</t>
  </si>
  <si>
    <t>ndarnandar2@gmail.com</t>
  </si>
  <si>
    <t>10144</t>
  </si>
  <si>
    <t>1MrVsAT_8ydkHFDobiaCrmhcIKYErXQZf</t>
  </si>
  <si>
    <t>https://drive.google.com/file/d/1MrVsAT_8ydkHFDobiaCrmhcIKYErXQZf/view?usp=drivesdk</t>
  </si>
  <si>
    <t>dr. I DESAK KAYAN LESTI DINIARI</t>
  </si>
  <si>
    <t>desaklesti@gmail.com</t>
  </si>
  <si>
    <t>10145</t>
  </si>
  <si>
    <t>15m1kM7w_2w-y2HBUMWTjwz2TVCdxP70U</t>
  </si>
  <si>
    <t>https://drive.google.com/file/d/15m1kM7w_2w-y2HBUMWTjwz2TVCdxP70U/view?usp=drivesdk</t>
  </si>
  <si>
    <t>ANGGRAINI</t>
  </si>
  <si>
    <t>anggrainisarika701@gmail.com</t>
  </si>
  <si>
    <t>10146</t>
  </si>
  <si>
    <t>Starting at Fri Aug 30 2024 03:56:13 GMT-0400 (EDT)</t>
  </si>
  <si>
    <t>1k7uQZcAS2uBel5OFnTjJrn7JCrpYjg1I</t>
  </si>
  <si>
    <t>https://drive.google.com/file/d/1k7uQZcAS2uBel5OFnTjJrn7JCrpYjg1I/view?usp=drivesdk</t>
  </si>
  <si>
    <t>SURIATI,SH</t>
  </si>
  <si>
    <t>irma46302@gmail.com</t>
  </si>
  <si>
    <t>10147</t>
  </si>
  <si>
    <t>Starting at Fri Aug 30 2024 03:56:47 GMT-0400 (EDT)</t>
  </si>
  <si>
    <t>1GEePeR8HkdLlUo6LA7zS1xQju7mQJkqf</t>
  </si>
  <si>
    <t>https://drive.google.com/file/d/1GEePeR8HkdLlUo6LA7zS1xQju7mQJkqf/view?usp=drivesdk</t>
  </si>
  <si>
    <t>Document successfully created; Document successfully merged; PDF created; !!Error Sending Emails: Service invoked too many times for one day: email.; Run via form trigger as ecertificate75@gmail.com; Timestamp: Sep 19 2024 7:25 PM</t>
  </si>
  <si>
    <t>I WAYAN KAWIARTA</t>
  </si>
  <si>
    <t>kawiarta78@gmail.com</t>
  </si>
  <si>
    <t>10148</t>
  </si>
  <si>
    <t>Starting at Fri Aug 30 2024 03:58:14 GMT-0400 (EDT)</t>
  </si>
  <si>
    <t>1mdUAPTIFDADeLLQpaFNWzOC5DtOESGY0</t>
  </si>
  <si>
    <t>https://drive.google.com/file/d/1mdUAPTIFDADeLLQpaFNWzOC5DtOESGY0/view?usp=drivesdk</t>
  </si>
  <si>
    <t>dr Urai Rani Fatmawasi</t>
  </si>
  <si>
    <t>dokterraniurai@gmail.com</t>
  </si>
  <si>
    <t>10149</t>
  </si>
  <si>
    <t>Starting at Fri Aug 30 2024 03:58:46 GMT-0400 (EDT)</t>
  </si>
  <si>
    <t>1TqQ2mnir8qfSj9LAjkf0bDAofSIgYAgG</t>
  </si>
  <si>
    <t>https://drive.google.com/file/d/1TqQ2mnir8qfSj9LAjkf0bDAofSIgYAgG/view?usp=drivesdk</t>
  </si>
  <si>
    <t>HENI HURIYANTI  AMK.KEP S.AP</t>
  </si>
  <si>
    <t>henihuriyan@gmail.com</t>
  </si>
  <si>
    <t>10150</t>
  </si>
  <si>
    <t>Starting at Fri Aug 30 2024 03:59:32 GMT-0400 (EDT)</t>
  </si>
  <si>
    <t>18XPlQkUCqkCJWJJR1AHKpx800JwdS-lO</t>
  </si>
  <si>
    <t>https://drive.google.com/file/d/18XPlQkUCqkCJWJJR1AHKpx800JwdS-lO/view?usp=drivesdk</t>
  </si>
  <si>
    <t xml:space="preserve">ZUHARI ARDHIANSYAH </t>
  </si>
  <si>
    <t>ardhiianone58@gmail.com</t>
  </si>
  <si>
    <t>10151</t>
  </si>
  <si>
    <t>Starting at Fri Aug 30 2024 04:02:24 GMT-0400 (EDT)</t>
  </si>
  <si>
    <t>1pGo8qcr75qxtKbjdxKQtA_WKDyLfjudL</t>
  </si>
  <si>
    <t>https://drive.google.com/file/d/1pGo8qcr75qxtKbjdxKQtA_WKDyLfjudL/view?usp=drivesdk</t>
  </si>
  <si>
    <t>NANANG KASIM, S.Kom.</t>
  </si>
  <si>
    <t>nanangk.ti16@gmail.com</t>
  </si>
  <si>
    <t>10152</t>
  </si>
  <si>
    <t>Starting at Fri Aug 30 2024 04:03:03 GMT-0400 (EDT)</t>
  </si>
  <si>
    <t>1TrHIZfrZfuHewnehoUg014Q3fVZzRhBt</t>
  </si>
  <si>
    <t>https://drive.google.com/file/d/1TrHIZfrZfuHewnehoUg014Q3fVZzRhBt/view?usp=drivesdk</t>
  </si>
  <si>
    <t>dr. IKHSAN MAULANA</t>
  </si>
  <si>
    <t>ikhsanmaulana96@gmail.com</t>
  </si>
  <si>
    <t>10153</t>
  </si>
  <si>
    <t>Starting at Fri Aug 30 2024 04:03:21 GMT-0400 (EDT)</t>
  </si>
  <si>
    <t>1xXIMKdwLlEniE8im-_LLpGDy6-GXZfCh</t>
  </si>
  <si>
    <t>https://drive.google.com/file/d/1xXIMKdwLlEniE8im-_LLpGDy6-GXZfCh/view?usp=drivesdk</t>
  </si>
  <si>
    <t>Document successfully created; Document successfully merged; PDF created; !!Error Sending Emails: Service invoked too many times for one day: email.; Run via form trigger as ecertificate75@gmail.com; Timestamp: Sep 19 2024 7:26 PM</t>
  </si>
  <si>
    <t>SLAMET BUDIYANTO</t>
  </si>
  <si>
    <t>slametbudiyanto78@gmail.com</t>
  </si>
  <si>
    <t>10154</t>
  </si>
  <si>
    <t>Starting at Fri Aug 30 2024 04:08:12 GMT-0400 (EDT)</t>
  </si>
  <si>
    <t>1xcjapjReT6Q7oAL4XnbodcVb788ifpAC</t>
  </si>
  <si>
    <t>https://drive.google.com/file/d/1xcjapjReT6Q7oAL4XnbodcVb788ifpAC/view?usp=drivesdk</t>
  </si>
  <si>
    <t>GLORIA DIANA PRICILIA MATONDANG,A.Md</t>
  </si>
  <si>
    <t>gloriadiana27@gmail.com</t>
  </si>
  <si>
    <t>10155</t>
  </si>
  <si>
    <t>1yfT77rEo4nPGDsRntN2nRjl8NntqakR4</t>
  </si>
  <si>
    <t>https://drive.google.com/file/d/1yfT77rEo4nPGDsRntN2nRjl8NntqakR4/view?usp=drivesdk</t>
  </si>
  <si>
    <t>NOVEMARIL, S.Kom. M.M</t>
  </si>
  <si>
    <t>pepen02.dna@gmail.com</t>
  </si>
  <si>
    <t>10156</t>
  </si>
  <si>
    <t>Starting at Fri Aug 30 2024 04:13:18 GMT-0400 (EDT)</t>
  </si>
  <si>
    <t>1hsMfWcEHwl5qUoAuJ9jNaqFsI4uFB5BW</t>
  </si>
  <si>
    <t>https://drive.google.com/file/d/1hsMfWcEHwl5qUoAuJ9jNaqFsI4uFB5BW/view?usp=drivesdk</t>
  </si>
  <si>
    <t>YESREEL KEN MOCODASER</t>
  </si>
  <si>
    <t>yesreelkenshi@gmail.com</t>
  </si>
  <si>
    <t>10157</t>
  </si>
  <si>
    <t>Starting at Fri Aug 30 2024 04:15:16 GMT-0400 (EDT)</t>
  </si>
  <si>
    <t>1PBnHJwp2BdS5bTviKeZsKpIY4pVSFmEp</t>
  </si>
  <si>
    <t>https://drive.google.com/file/d/1PBnHJwp2BdS5bTviKeZsKpIY4pVSFmEp/view?usp=drivesdk</t>
  </si>
  <si>
    <t>HJ. MEGAWATY. W</t>
  </si>
  <si>
    <t>jasmaida.sadari@gmail.com</t>
  </si>
  <si>
    <t>10158</t>
  </si>
  <si>
    <t>Starting at Fri Aug 30 2024 04:17:08 GMT-0400 (EDT)</t>
  </si>
  <si>
    <t>1HhcHXqwGlUDhWyDUgTCgUTmRItmKyXZp</t>
  </si>
  <si>
    <t>https://drive.google.com/file/d/1HhcHXqwGlUDhWyDUgTCgUTmRItmKyXZp/view?usp=drivesdk</t>
  </si>
  <si>
    <t>Document successfully created; Document successfully merged; PDF created; !!Error Sending Emails: Service invoked too many times for one day: email.; Run via form trigger as ecertificate75@gmail.com; Timestamp: Sep 19 2024 7:27 PM</t>
  </si>
  <si>
    <t>DYAH PERTAMASARI</t>
  </si>
  <si>
    <t>dyahpertamasari@gmail.com</t>
  </si>
  <si>
    <t>10159</t>
  </si>
  <si>
    <t>Starting at Fri Aug 30 2024 04:21:00 GMT-0400 (EDT)</t>
  </si>
  <si>
    <t>1LXgC0F39zAM1yIb7vBEPROSyI0v-G0NX</t>
  </si>
  <si>
    <t>https://drive.google.com/file/d/1LXgC0F39zAM1yIb7vBEPROSyI0v-G0NX/view?usp=drivesdk</t>
  </si>
  <si>
    <t>RINI TRI ISMIYATI, S.H., M.M</t>
  </si>
  <si>
    <t>10160</t>
  </si>
  <si>
    <t>1MUya6Fjps_yowD7ePsLwljbS0LUSer6H</t>
  </si>
  <si>
    <t>https://drive.google.com/file/d/1MUya6Fjps_yowD7ePsLwljbS0LUSer6H/view?usp=drivesdk</t>
  </si>
  <si>
    <t>liaafrina2006@gmail.com</t>
  </si>
  <si>
    <t>10161</t>
  </si>
  <si>
    <t>Starting at Fri Aug 30 2024 04:22:14 GMT-0400 (EDT)</t>
  </si>
  <si>
    <t>1By-zxiOWH4zHWanTpstHGqa285ZfnKG6</t>
  </si>
  <si>
    <t>https://drive.google.com/file/d/1By-zxiOWH4zHWanTpstHGqa285ZfnKG6/view?usp=drivesdk</t>
  </si>
  <si>
    <t>IWAN CARTENS BUIDA</t>
  </si>
  <si>
    <t>iwanbuida1977@gmail.com</t>
  </si>
  <si>
    <t>10162</t>
  </si>
  <si>
    <t>Starting at Fri Aug 30 2024 04:25:50 GMT-0400 (EDT)</t>
  </si>
  <si>
    <t>1uE3aOe6TVdEZZaFxgOQzqTVKPW3Yrfy7</t>
  </si>
  <si>
    <t>https://drive.google.com/file/d/1uE3aOe6TVdEZZaFxgOQzqTVKPW3Yrfy7/view?usp=drivesdk</t>
  </si>
  <si>
    <t>Document successfully created; Document successfully merged; PDF created; !!Error Sending Emails: Service invoked too many times for one day: email.; Run via form trigger as ecertificate75@gmail.com; Timestamp: Sep 19 2024 9:22 PM</t>
  </si>
  <si>
    <t xml:space="preserve">ZUBIYAN MUNANDAR, A.Md.Kep. </t>
  </si>
  <si>
    <t>zubiyanmunandar05@gmail.com</t>
  </si>
  <si>
    <t>10163</t>
  </si>
  <si>
    <t>Starting at Fri Aug 30 2024 04:26:42 GMT-0400 (EDT)</t>
  </si>
  <si>
    <t>1CB42-YENI5gSOLzMazxsb-5eEY87yQ1r</t>
  </si>
  <si>
    <t>https://drive.google.com/file/d/1CB42-YENI5gSOLzMazxsb-5eEY87yQ1r/view?usp=drivesdk</t>
  </si>
  <si>
    <t>demilhannote9@gmail.com</t>
  </si>
  <si>
    <t>10164</t>
  </si>
  <si>
    <t>Starting at Fri Aug 30 2024 04:26:56 GMT-0400 (EDT)</t>
  </si>
  <si>
    <t>1M31J_SC8_cSm9uHAgQ3B2J5QQElit7jj</t>
  </si>
  <si>
    <t>https://drive.google.com/file/d/1M31J_SC8_cSm9uHAgQ3B2J5QQElit7jj/view?usp=drivesdk</t>
  </si>
  <si>
    <t>SUNENGSIH</t>
  </si>
  <si>
    <t>sunengsih280871@gmail.com</t>
  </si>
  <si>
    <t>10165</t>
  </si>
  <si>
    <t>Starting at Fri Aug 30 2024 04:28:11 GMT-0400 (EDT)</t>
  </si>
  <si>
    <t>19-Ob08sA9LotqOc79BeBAvafzsy2_fVV</t>
  </si>
  <si>
    <t>https://drive.google.com/file/d/19-Ob08sA9LotqOc79BeBAvafzsy2_fVV/view?usp=drivesdk</t>
  </si>
  <si>
    <t>Document successfully created; Document successfully merged; PDF created; !!Error Sending Emails: Service invoked too many times for one day: email.; Run via form trigger as ecertificate75@gmail.com; Timestamp: Sep 19 2024 9:23 PM</t>
  </si>
  <si>
    <t>ZARKAWI SATRIA AKBAR</t>
  </si>
  <si>
    <t>zarkawi488@gmail.com</t>
  </si>
  <si>
    <t>10166</t>
  </si>
  <si>
    <t>Starting at Fri Aug 30 2024 04:28:40 GMT-0400 (EDT)</t>
  </si>
  <si>
    <t>1m2wd32g_ZXaniI9DGQlKAM3qDs6jAaEx</t>
  </si>
  <si>
    <t>https://drive.google.com/file/d/1m2wd32g_ZXaniI9DGQlKAM3qDs6jAaEx/view?usp=drivesdk</t>
  </si>
  <si>
    <t>TRI WIGATI</t>
  </si>
  <si>
    <t>triwigati67@gmail.com</t>
  </si>
  <si>
    <t>10167</t>
  </si>
  <si>
    <t>Starting at Fri Aug 30 2024 04:29:19 GMT-0400 (EDT)</t>
  </si>
  <si>
    <t>1ak7kULlw3S4Bt-AqkUENbRIaEPnFS820</t>
  </si>
  <si>
    <t>https://drive.google.com/file/d/1ak7kULlw3S4Bt-AqkUENbRIaEPnFS820/view?usp=drivesdk</t>
  </si>
  <si>
    <t>KASDONO,SE,MH</t>
  </si>
  <si>
    <t>kasdono9@gmail.com</t>
  </si>
  <si>
    <t>10168</t>
  </si>
  <si>
    <t>Starting at Fri Aug 30 2024 04:30:00 GMT-0400 (EDT)</t>
  </si>
  <si>
    <t>1EOIXrdBgy7oArzdAPj392eM7cR-UtIS4</t>
  </si>
  <si>
    <t>https://drive.google.com/file/d/1EOIXrdBgy7oArzdAPj392eM7cR-UtIS4/view?usp=drivesdk</t>
  </si>
  <si>
    <t>Baiq Misra Hidayati</t>
  </si>
  <si>
    <t>baiqmisrahiyati@gmail.cim</t>
  </si>
  <si>
    <t>10169</t>
  </si>
  <si>
    <t>Starting at Fri Aug 30 2024 04:36:35 GMT-0400 (EDT)</t>
  </si>
  <si>
    <t>1Iar-40bJX_WsLTzNL9IMTZ7nh9IiBPfa</t>
  </si>
  <si>
    <t>https://drive.google.com/file/d/1Iar-40bJX_WsLTzNL9IMTZ7nh9IiBPfa/view?usp=drivesdk</t>
  </si>
  <si>
    <t>Document successfully created; Document successfully merged; PDF created; !!Error Sending Emails: Service invoked too many times for one day: email.; Run via form trigger as ecertificate75@gmail.com; Timestamp: Sep 19 2024 9:24 PM</t>
  </si>
  <si>
    <t>SRIJATI</t>
  </si>
  <si>
    <t>srijati212@gmail.com</t>
  </si>
  <si>
    <t>10170</t>
  </si>
  <si>
    <t>Starting at Fri Aug 30 2024 04:39:37 GMT-0400 (EDT)</t>
  </si>
  <si>
    <t>1Srbk9G63q3ZLGbXCOox2VQZ_lvgdBOyZ</t>
  </si>
  <si>
    <t>https://drive.google.com/file/d/1Srbk9G63q3ZLGbXCOox2VQZ_lvgdBOyZ/view?usp=drivesdk</t>
  </si>
  <si>
    <t>MUHAIMI</t>
  </si>
  <si>
    <t>emiprime789@gmail.com</t>
  </si>
  <si>
    <t>10171</t>
  </si>
  <si>
    <t>Starting at Fri Aug 30 2024 04:41:41 GMT-0400 (EDT)</t>
  </si>
  <si>
    <t>1rMjZIwvJ7TTLcSAAdjlwU3Udeg4Q2hG1</t>
  </si>
  <si>
    <t>https://drive.google.com/file/d/1rMjZIwvJ7TTLcSAAdjlwU3Udeg4Q2hG1/view?usp=drivesdk</t>
  </si>
  <si>
    <t>PUPUT LESTARI</t>
  </si>
  <si>
    <t>puputl570@gmail.com</t>
  </si>
  <si>
    <t>10172</t>
  </si>
  <si>
    <t>Starting at Fri Aug 30 2024 04:45:32 GMT-0400 (EDT)</t>
  </si>
  <si>
    <t>1xYJcG3tKHWk4n0Dl4HUEbZjhs35JdYK7</t>
  </si>
  <si>
    <t>https://drive.google.com/file/d/1xYJcG3tKHWk4n0Dl4HUEbZjhs35JdYK7/view?usp=drivesdk</t>
  </si>
  <si>
    <t>Document successfully created; Document successfully merged; PDF created; !!Error Sending Emails: Service invoked too many times for one day: email.; Run via form trigger as ecertificate75@gmail.com; Timestamp: Sep 19 2024 9:25 PM</t>
  </si>
  <si>
    <t>kinerjapns.poldasumut@gmail.com</t>
  </si>
  <si>
    <t>10173</t>
  </si>
  <si>
    <t>Starting at Fri Aug 30 2024 04:48:33 GMT-0400 (EDT)</t>
  </si>
  <si>
    <t>1jRumkoX9a6_qFr9vJljKx1GqUsKDrhIf</t>
  </si>
  <si>
    <t>https://drive.google.com/file/d/1jRumkoX9a6_qFr9vJljKx1GqUsKDrhIf/view?usp=drivesdk</t>
  </si>
  <si>
    <t>DORTHEA E S. SASOENG</t>
  </si>
  <si>
    <t>estersasoeng811@gmail.com</t>
  </si>
  <si>
    <t>10174</t>
  </si>
  <si>
    <t>Starting at Fri Aug 30 2024 04:50:44 GMT-0400 (EDT)</t>
  </si>
  <si>
    <t>1qqFFv1Vqw38oPMdx0l3FZVbAfRgLk_U-</t>
  </si>
  <si>
    <t>https://drive.google.com/file/d/1qqFFv1Vqw38oPMdx0l3FZVbAfRgLk_U-/view?usp=drivesdk</t>
  </si>
  <si>
    <t>ROMMELS LOKONGBANUA BAWOLE</t>
  </si>
  <si>
    <t>romelsbawole@gmail.com</t>
  </si>
  <si>
    <t>10175</t>
  </si>
  <si>
    <t>Starting at Fri Aug 30 2024 04:50:49 GMT-0400 (EDT)</t>
  </si>
  <si>
    <t>1dBOfuBJ9WXujwzhgIFIszCHV9m0i37_G</t>
  </si>
  <si>
    <t>https://drive.google.com/file/d/1dBOfuBJ9WXujwzhgIFIszCHV9m0i37_G/view?usp=drivesdk</t>
  </si>
  <si>
    <t>ZULAIKA APRIYANTI, AMD.KEB</t>
  </si>
  <si>
    <t>zulaikaapriyanti06@gmail.com</t>
  </si>
  <si>
    <t>10176</t>
  </si>
  <si>
    <t>1qtvfZ10yAo5uSBcbpk0fvAhR0zXaqhwR</t>
  </si>
  <si>
    <t>https://drive.google.com/file/d/1qtvfZ10yAo5uSBcbpk0fvAhR0zXaqhwR/view?usp=drivesdk</t>
  </si>
  <si>
    <t>Document successfully created; Document successfully merged; PDF created; !!Error Sending Emails: Service invoked too many times for one day: email.; Run via form trigger as ecertificate75@gmail.com; Timestamp: Sep 19 2024 9:26 PM</t>
  </si>
  <si>
    <t>DRG. PUSPA YUWI, M.H.</t>
  </si>
  <si>
    <t>puspa.yuwiku@gmail.com</t>
  </si>
  <si>
    <t>10177</t>
  </si>
  <si>
    <t>Starting at Fri Aug 30 2024 04:51:19 GMT-0400 (EDT)</t>
  </si>
  <si>
    <t>1sXtrp8FL3xlbxskOx95WSWt4ApXd0uh2</t>
  </si>
  <si>
    <t>https://drive.google.com/file/d/1sXtrp8FL3xlbxskOx95WSWt4ApXd0uh2/view?usp=drivesdk</t>
  </si>
  <si>
    <t>Suci Juwainah, A. Md. Kep</t>
  </si>
  <si>
    <t>juwainahsuci@gmail.com</t>
  </si>
  <si>
    <t>10178</t>
  </si>
  <si>
    <t>Starting at Fri Aug 30 2024 04:54:54 GMT-0400 (EDT)</t>
  </si>
  <si>
    <t>16wPVGyOrF5v3uuk907OpRoeK3y9djWHi</t>
  </si>
  <si>
    <t>https://drive.google.com/file/d/16wPVGyOrF5v3uuk907OpRoeK3y9djWHi/view?usp=drivesdk</t>
  </si>
  <si>
    <t>IDA FARIDA</t>
  </si>
  <si>
    <t>Amandaaulina26@gmail.com</t>
  </si>
  <si>
    <t>10179</t>
  </si>
  <si>
    <t>Starting at Fri Aug 30 2024 04:59:21 GMT-0400 (EDT)</t>
  </si>
  <si>
    <t>1vnLLduUyWRvLlGaRrphbJp5lfN34as50</t>
  </si>
  <si>
    <t>https://drive.google.com/file/d/1vnLLduUyWRvLlGaRrphbJp5lfN34as50/view?usp=drivesdk</t>
  </si>
  <si>
    <t>Document successfully created; Document successfully merged; PDF created; !!Error Sending Emails: Service invoked too many times for one day: email.; Run via form trigger as ecertificate75@gmail.com; Timestamp: Sep 19 2024 9:27 PM</t>
  </si>
  <si>
    <t>MAR I MAR I</t>
  </si>
  <si>
    <t>hpuppies545@gmail.com</t>
  </si>
  <si>
    <t>10180</t>
  </si>
  <si>
    <t>Starting at Fri Aug 30 2024 04:59:39 GMT-0400 (EDT)</t>
  </si>
  <si>
    <t>1UUQ2oNGY9iPebx4xl7Am_UVclv2MtuTe</t>
  </si>
  <si>
    <t>https://drive.google.com/file/d/1UUQ2oNGY9iPebx4xl7Am_UVclv2MtuTe/view?usp=drivesdk</t>
  </si>
  <si>
    <t>10181</t>
  </si>
  <si>
    <t>Starting at Fri Aug 30 2024 05:02:25 GMT-0400 (EDT)</t>
  </si>
  <si>
    <t>1-0JBD8L7W0kbICS8uRt4ZuZVgElPTRBp</t>
  </si>
  <si>
    <t>https://drive.google.com/file/d/1-0JBD8L7W0kbICS8uRt4ZuZVgElPTRBp/view?usp=drivesdk</t>
  </si>
  <si>
    <t>Document successfully created; Document successfully merged; PDF created; !!Error Sending Emails: Service invoked too many times for one day: email.; Run via form trigger as ecertificate75@gmail.com; Timestamp: Sep 19 2024 10:00 PM</t>
  </si>
  <si>
    <t>YOANOVITA, S. KOM</t>
  </si>
  <si>
    <t>jolumut123@gmail.com</t>
  </si>
  <si>
    <t>10182</t>
  </si>
  <si>
    <t>Starting at Fri Aug 30 2024 05:11:38 GMT-0400 (EDT)</t>
  </si>
  <si>
    <t>1ja7ClfiVqPkW1PGe4snHeN7cClbJsSOJ</t>
  </si>
  <si>
    <t>https://drive.google.com/file/d/1ja7ClfiVqPkW1PGe4snHeN7cClbJsSOJ/view?usp=drivesdk</t>
  </si>
  <si>
    <t>AKHMAD MA'MUN</t>
  </si>
  <si>
    <t>10183</t>
  </si>
  <si>
    <t>Starting at Fri Aug 30 2024 05:12:39 GMT-0400 (EDT)</t>
  </si>
  <si>
    <t>1Ax0GVvGku9uqthLDSwsDU7R2fEA6pMHK</t>
  </si>
  <si>
    <t>https://drive.google.com/file/d/1Ax0GVvGku9uqthLDSwsDU7R2fEA6pMHK/view?usp=drivesdk</t>
  </si>
  <si>
    <t>sudrajata805@gmail.com</t>
  </si>
  <si>
    <t>10184</t>
  </si>
  <si>
    <t>Starting at Fri Aug 30 2024 05:26:34 GMT-0400 (EDT)</t>
  </si>
  <si>
    <t>1mdXf4-Lsj9VD6e_pht_EHXq2W7d_j4QO</t>
  </si>
  <si>
    <t>https://drive.google.com/file/d/1mdXf4-Lsj9VD6e_pht_EHXq2W7d_j4QO/view?usp=drivesdk</t>
  </si>
  <si>
    <t>10185</t>
  </si>
  <si>
    <t>Starting at Fri Aug 30 2024 05:26:43 GMT-0400 (EDT)</t>
  </si>
  <si>
    <t>1rRl4xRjsXpF7Hv0j2fI7FfunkaHxE4kI</t>
  </si>
  <si>
    <t>https://drive.google.com/file/d/1rRl4xRjsXpF7Hv0j2fI7FfunkaHxE4kI/view?usp=drivesdk</t>
  </si>
  <si>
    <t>Yogi Agung Purnomo</t>
  </si>
  <si>
    <t>papaazka71@gmail.com</t>
  </si>
  <si>
    <t>10186</t>
  </si>
  <si>
    <t>Starting at Fri Aug 30 2024 05:28:35 GMT-0400 (EDT)</t>
  </si>
  <si>
    <t>1LLYXsW1aQHWyZsIrupExRZ8GIlKfW2jg</t>
  </si>
  <si>
    <t>https://drive.google.com/file/d/1LLYXsW1aQHWyZsIrupExRZ8GIlKfW2jg/view?usp=drivesdk</t>
  </si>
  <si>
    <t>HENTIYA WAHYUNI</t>
  </si>
  <si>
    <t>hentiyaw@gmail.com</t>
  </si>
  <si>
    <t>10187</t>
  </si>
  <si>
    <t>1NK2KAbrn-fxl4gG1L4m2EOvNGkSURFDr</t>
  </si>
  <si>
    <t>https://drive.google.com/file/d/1NK2KAbrn-fxl4gG1L4m2EOvNGkSURFDr/view?usp=drivesdk</t>
  </si>
  <si>
    <t>Document successfully created; Document successfully merged; PDF created; !!Error Sending Emails: Service invoked too many times for one day: email.; Run via form trigger as ecertificate75@gmail.com; Timestamp: Sep 19 2024 10:01 PM</t>
  </si>
  <si>
    <t>HAJRAHWATI</t>
  </si>
  <si>
    <t>hajrahwati1969@gmail.com</t>
  </si>
  <si>
    <t>10188</t>
  </si>
  <si>
    <t>Starting at Fri Aug 30 2024 05:29:54 GMT-0400 (EDT)</t>
  </si>
  <si>
    <t>1Hf0WHhiNd443HByMEDYR16oTH63veuFP</t>
  </si>
  <si>
    <t>https://drive.google.com/file/d/1Hf0WHhiNd443HByMEDYR16oTH63veuFP/view?usp=drivesdk</t>
  </si>
  <si>
    <t>DESI BUKARI</t>
  </si>
  <si>
    <t>desi.riadi@gmail.com</t>
  </si>
  <si>
    <t>10189</t>
  </si>
  <si>
    <t>Starting at Fri Aug 30 2024 05:31:01 GMT-0400 (EDT)</t>
  </si>
  <si>
    <t>1tPicw_Qfz2PZn_eqvFbbExpojbICF5mV</t>
  </si>
  <si>
    <t>https://drive.google.com/file/d/1tPicw_Qfz2PZn_eqvFbbExpojbICF5mV/view?usp=drivesdk</t>
  </si>
  <si>
    <t>DEDI HIDAYAT</t>
  </si>
  <si>
    <t>deddyhidayat1094@gmail.com</t>
  </si>
  <si>
    <t>10190</t>
  </si>
  <si>
    <t>1jyhoxDJOXVBAHnV6UsP2L1ErLUQKkfHW</t>
  </si>
  <si>
    <t>https://drive.google.com/file/d/1jyhoxDJOXVBAHnV6UsP2L1ErLUQKkfHW/view?usp=drivesdk</t>
  </si>
  <si>
    <t>ASEP SUHENDI. S.Pd.MMPd. M.Si</t>
  </si>
  <si>
    <t>asepsuhendi2013@gmail.com</t>
  </si>
  <si>
    <t>10191</t>
  </si>
  <si>
    <t>Starting at Fri Aug 30 2024 05:31:44 GMT-0400 (EDT)</t>
  </si>
  <si>
    <t>163PyQKNyndyxtO9-S_526_-_-n3db_6q</t>
  </si>
  <si>
    <t>https://drive.google.com/file/d/163PyQKNyndyxtO9-S_526_-_-n3db_6q/view?usp=drivesdk</t>
  </si>
  <si>
    <t>IVAN AGUSTA</t>
  </si>
  <si>
    <t>vanlaa1018@gmail.com</t>
  </si>
  <si>
    <t>10192</t>
  </si>
  <si>
    <t>Starting at Fri Aug 30 2024 05:36:07 GMT-0400 (EDT)</t>
  </si>
  <si>
    <t>1ntO-8lwatqOlkJQMMH_aqz0o-dvnHl1H</t>
  </si>
  <si>
    <t>https://drive.google.com/file/d/1ntO-8lwatqOlkJQMMH_aqz0o-dvnHl1H/view?usp=drivesdk</t>
  </si>
  <si>
    <t>Document successfully created; Document successfully merged; PDF created; !!Error Sending Emails: Service invoked too many times for one day: email.; Run via form trigger as ecertificate75@gmail.com; Timestamp: Sep 19 2024 10:02 PM</t>
  </si>
  <si>
    <t>SARI MIRAYANTI SAHLAN, SE, MM</t>
  </si>
  <si>
    <t>sarimirayanti08@gmail.com</t>
  </si>
  <si>
    <t>10193</t>
  </si>
  <si>
    <t>Starting at Fri Aug 30 2024 05:47:56 GMT-0400 (EDT)</t>
  </si>
  <si>
    <t>1Gm_HmhanKQnbGxCOSdtKZLKqklAhDlm0</t>
  </si>
  <si>
    <t>https://drive.google.com/file/d/1Gm_HmhanKQnbGxCOSdtKZLKqklAhDlm0/view?usp=drivesdk</t>
  </si>
  <si>
    <t xml:space="preserve">UMMI MUAIMAN FADLILAH </t>
  </si>
  <si>
    <t>ummimuaiman@gmail.com</t>
  </si>
  <si>
    <t>10194</t>
  </si>
  <si>
    <t>Starting at Fri Aug 30 2024 06:01:39 GMT-0400 (EDT)</t>
  </si>
  <si>
    <t>1Mw-_dZEYqI1wQ-x_cvaKK9IiniKl1_91</t>
  </si>
  <si>
    <t>https://drive.google.com/file/d/1Mw-_dZEYqI1wQ-x_cvaKK9IiniKl1_91/view?usp=drivesdk</t>
  </si>
  <si>
    <t xml:space="preserve">MULIATI SKM </t>
  </si>
  <si>
    <t>dizyamuliadizya@gmail.com</t>
  </si>
  <si>
    <t>10195</t>
  </si>
  <si>
    <t>Starting at Fri Aug 30 2024 06:06:55 GMT-0400 (EDT)</t>
  </si>
  <si>
    <t>1i3897EopXGYaQF1yehYR41Gmm-FpRCBP</t>
  </si>
  <si>
    <t>https://drive.google.com/file/d/1i3897EopXGYaQF1yehYR41Gmm-FpRCBP/view?usp=drivesdk</t>
  </si>
  <si>
    <t>MERI WIJAYA</t>
  </si>
  <si>
    <t>meriwijaya13@gmail.com</t>
  </si>
  <si>
    <t>10196</t>
  </si>
  <si>
    <t>Starting at Fri Aug 30 2024 06:09:31 GMT-0400 (EDT)</t>
  </si>
  <si>
    <t>1omzx-PLxrTdAds9umQTC_djXt4t8QWtF</t>
  </si>
  <si>
    <t>https://drive.google.com/file/d/1omzx-PLxrTdAds9umQTC_djXt4t8QWtF/view?usp=drivesdk</t>
  </si>
  <si>
    <t>SARIO SUHARI,AMR</t>
  </si>
  <si>
    <t>rioradiologi@gmail.com</t>
  </si>
  <si>
    <t>10197</t>
  </si>
  <si>
    <t>Starting at Fri Aug 30 2024 06:12:16 GMT-0400 (EDT)</t>
  </si>
  <si>
    <t>1eBqVu2Jy6l7v4Rk7acNbMD7aiX63IG-g</t>
  </si>
  <si>
    <t>https://drive.google.com/file/d/1eBqVu2Jy6l7v4Rk7acNbMD7aiX63IG-g/view?usp=drivesdk</t>
  </si>
  <si>
    <t>Riska Intania Sofwan</t>
  </si>
  <si>
    <t>riskaintanias@gmail.com</t>
  </si>
  <si>
    <t>10198</t>
  </si>
  <si>
    <t>Starting at Fri Aug 30 2024 06:18:01 GMT-0400 (EDT)</t>
  </si>
  <si>
    <t>1_ePn3bVdHQeiGGsTFbTlMEnz1padcvzZ</t>
  </si>
  <si>
    <t>https://drive.google.com/file/d/1_ePn3bVdHQeiGGsTFbTlMEnz1padcvzZ/view?usp=drivesdk</t>
  </si>
  <si>
    <t>Document successfully created; Document successfully merged; PDF created; !!Error Sending Emails: Service invoked too many times for one day: email.; Run via form trigger as ecertificate75@gmail.com; Timestamp: Sep 19 2024 10:03 PM</t>
  </si>
  <si>
    <t>Ni Nyoman Suharti, SE.</t>
  </si>
  <si>
    <t>akunutamaigedeamertayoga120610@gmail.com</t>
  </si>
  <si>
    <t>10199</t>
  </si>
  <si>
    <t>Starting at Fri Aug 30 2024 06:22:33 GMT-0400 (EDT)</t>
  </si>
  <si>
    <t>1amYmdjfgyIRBxlk-kdvccWBfN9N-T5v0</t>
  </si>
  <si>
    <t>https://drive.google.com/file/d/1amYmdjfgyIRBxlk-kdvccWBfN9N-T5v0/view?usp=drivesdk</t>
  </si>
  <si>
    <t>SAPARUDDIN</t>
  </si>
  <si>
    <t>10200</t>
  </si>
  <si>
    <t>Starting at Fri Aug 30 2024 06:23:26 GMT-0400 (EDT)</t>
  </si>
  <si>
    <t>1JH4Ze5cSyrXF-ihHIBPTNQ9oiOtp_uc1</t>
  </si>
  <si>
    <t>https://drive.google.com/file/d/1JH4Ze5cSyrXF-ihHIBPTNQ9oiOtp_uc1/view?usp=drivesdk</t>
  </si>
  <si>
    <t>IRA PUSPITAWATI, S.Kom</t>
  </si>
  <si>
    <t>puspitawati.ira@gmail.com</t>
  </si>
  <si>
    <t>10201</t>
  </si>
  <si>
    <t>1zFMpQglcfeQu4el-o_aO0gtqoVThPuOa</t>
  </si>
  <si>
    <t>https://drive.google.com/file/d/1zFMpQglcfeQu4el-o_aO0gtqoVThPuOa/view?usp=drivesdk</t>
  </si>
  <si>
    <t>SUCI PRIHATINI,SE</t>
  </si>
  <si>
    <t>uchi.uchay.67@gmail.com</t>
  </si>
  <si>
    <t>10202</t>
  </si>
  <si>
    <t>Starting at Fri Aug 30 2024 06:34:53 GMT-0400 (EDT)</t>
  </si>
  <si>
    <t>1lawC2B9IuesOEHMU1LjJkkPyyHnFu-6L</t>
  </si>
  <si>
    <t>https://drive.google.com/file/d/1lawC2B9IuesOEHMU1LjJkkPyyHnFu-6L/view?usp=drivesdk</t>
  </si>
  <si>
    <t>GIDIO MARBUN</t>
  </si>
  <si>
    <t>dion8305@gmail.com</t>
  </si>
  <si>
    <t>10203</t>
  </si>
  <si>
    <t>Starting at Fri Aug 30 2024 06:37:11 GMT-0400 (EDT)</t>
  </si>
  <si>
    <t>1PywUogS7PmpPsVjtJrPVDeK3mj8a793Z</t>
  </si>
  <si>
    <t>https://drive.google.com/file/d/1PywUogS7PmpPsVjtJrPVDeK3mj8a793Z/view?usp=drivesdk</t>
  </si>
  <si>
    <t>Document successfully created; Document successfully merged; PDF created; !!Error Sending Emails: Service invoked too many times for one day: email.; Run via form trigger as ecertificate75@gmail.com; Timestamp: Sep 19 2024 10:04 PM</t>
  </si>
  <si>
    <t>ARTAULI SILALAHI, S.E.</t>
  </si>
  <si>
    <t>ulisilalahi74@gmail.com</t>
  </si>
  <si>
    <t>10204</t>
  </si>
  <si>
    <t>Starting at Fri Aug 30 2024 06:37:44 GMT-0400 (EDT)</t>
  </si>
  <si>
    <t>11d99ziNBLoeNI2QyQltZKEFQBWhDj3JZ</t>
  </si>
  <si>
    <t>https://drive.google.com/file/d/11d99ziNBLoeNI2QyQltZKEFQBWhDj3JZ/view?usp=drivesdk</t>
  </si>
  <si>
    <t>10205</t>
  </si>
  <si>
    <t>Starting at Fri Aug 30 2024 06:46:01 GMT-0400 (EDT)</t>
  </si>
  <si>
    <t>19gVjVyV5klQQovU5RzTtntTku-vb4AGP</t>
  </si>
  <si>
    <t>https://drive.google.com/file/d/19gVjVyV5klQQovU5RzTtntTku-vb4AGP/view?usp=drivesdk</t>
  </si>
  <si>
    <t>UMRAH, S.E</t>
  </si>
  <si>
    <t>umrah.idrus@gmail.com</t>
  </si>
  <si>
    <t>10206</t>
  </si>
  <si>
    <t>Starting at Fri Aug 30 2024 06:51:10 GMT-0400 (EDT)</t>
  </si>
  <si>
    <t>1FE_AO_kKFNVHiQJBpkbkmPPCuMhk15ft</t>
  </si>
  <si>
    <t>https://drive.google.com/file/d/1FE_AO_kKFNVHiQJBpkbkmPPCuMhk15ft/view?usp=drivesdk</t>
  </si>
  <si>
    <t>rosmiatiwaskan@gmail.com</t>
  </si>
  <si>
    <t>10207</t>
  </si>
  <si>
    <t>1VpOf6e5nYt600nhbUmeGGpL3frmcMfJC</t>
  </si>
  <si>
    <t>https://drive.google.com/file/d/1VpOf6e5nYt600nhbUmeGGpL3frmcMfJC/view?usp=drivesdk</t>
  </si>
  <si>
    <t>Document successfully created; Document successfully merged; PDF created; !!Error Sending Emails: Service invoked too many times for one day: email.; Run via form trigger as ecertificate75@gmail.com; Timestamp: Sep 19 2024 10:34 PM</t>
  </si>
  <si>
    <t>NURUL ISLAMIAH,SE</t>
  </si>
  <si>
    <t>nurul.islami876@gmail.com</t>
  </si>
  <si>
    <t>10208</t>
  </si>
  <si>
    <t>Starting at Fri Aug 30 2024 06:53:22 GMT-0400 (EDT)</t>
  </si>
  <si>
    <t>1_6tiDEd1HVrqNwL6kre6iRtvFDpyy6Yl</t>
  </si>
  <si>
    <t>https://drive.google.com/file/d/1_6tiDEd1HVrqNwL6kre6iRtvFDpyy6Yl/view?usp=drivesdk</t>
  </si>
  <si>
    <t>wildannn1978@gmail.com</t>
  </si>
  <si>
    <t>10209</t>
  </si>
  <si>
    <t>Starting at Fri Aug 30 2024 06:58:10 GMT-0400 (EDT)</t>
  </si>
  <si>
    <t>13tHyabeLlzo4bLw4M4J6vHc8249zjVER</t>
  </si>
  <si>
    <t>https://drive.google.com/file/d/13tHyabeLlzo4bLw4M4J6vHc8249zjVER/view?usp=drivesdk</t>
  </si>
  <si>
    <t>JURINAH</t>
  </si>
  <si>
    <t>jurinahmamadinda@gmail.com</t>
  </si>
  <si>
    <t>10210</t>
  </si>
  <si>
    <t>Starting at Fri Aug 30 2024 07:02:43 GMT-0400 (EDT)</t>
  </si>
  <si>
    <t>1MSK-FwYMQvp_jHZh4tnob1PpyRGbUaTw</t>
  </si>
  <si>
    <t>https://drive.google.com/file/d/1MSK-FwYMQvp_jHZh4tnob1PpyRGbUaTw/view?usp=drivesdk</t>
  </si>
  <si>
    <t xml:space="preserve">ZENAB BAKARI DUE </t>
  </si>
  <si>
    <t>nenadue6@gmail.com</t>
  </si>
  <si>
    <t>10211</t>
  </si>
  <si>
    <t>Starting at Fri Aug 30 2024 07:04:36 GMT-0400 (EDT)</t>
  </si>
  <si>
    <t>1_gdEmYo4bzQwJVizezF2kRFmrN3PuEuX</t>
  </si>
  <si>
    <t>https://drive.google.com/file/d/1_gdEmYo4bzQwJVizezF2kRFmrN3PuEuX/view?usp=drivesdk</t>
  </si>
  <si>
    <t>DRG. TAN FONNY</t>
  </si>
  <si>
    <t>tanfony69@gmail.com</t>
  </si>
  <si>
    <t>10212</t>
  </si>
  <si>
    <t>Starting at Fri Aug 30 2024 07:05:22 GMT-0400 (EDT)</t>
  </si>
  <si>
    <t>1bG1Exg61thRjWqG5N6iRDzK2dgyEWTa4</t>
  </si>
  <si>
    <t>https://drive.google.com/file/d/1bG1Exg61thRjWqG5N6iRDzK2dgyEWTa4/view?usp=drivesdk</t>
  </si>
  <si>
    <t>Document successfully created; Document successfully merged; PDF created; !!Error Sending Emails: Service invoked too many times for one day: email.; Run via form trigger as ecertificate75@gmail.com; Timestamp: Sep 19 2024 10:35 PM</t>
  </si>
  <si>
    <t xml:space="preserve">AFRINAL NASUTION </t>
  </si>
  <si>
    <t>Afrinalnst199@gmail.coma</t>
  </si>
  <si>
    <t>10213</t>
  </si>
  <si>
    <t>Starting at Fri Aug 30 2024 07:21:59 GMT-0400 (EDT)</t>
  </si>
  <si>
    <t>1eD5xWPdK7N4FSr-NCuTTMnu7oSwmFYxM</t>
  </si>
  <si>
    <t>https://drive.google.com/file/d/1eD5xWPdK7N4FSr-NCuTTMnu7oSwmFYxM/view?usp=drivesdk</t>
  </si>
  <si>
    <t>pinasthiko2912@gmail.com</t>
  </si>
  <si>
    <t>10214</t>
  </si>
  <si>
    <t>Starting at Fri Aug 30 2024 07:33:05 GMT-0400 (EDT)</t>
  </si>
  <si>
    <t>17aFmn_aSiDlsbFQ4QFhHfcIJSzOYCZf6</t>
  </si>
  <si>
    <t>https://drive.google.com/file/d/17aFmn_aSiDlsbFQ4QFhHfcIJSzOYCZf6/view?usp=drivesdk</t>
  </si>
  <si>
    <t>GUNAWAN HARIYANTO SE</t>
  </si>
  <si>
    <t>gunawan150169@gmail.com</t>
  </si>
  <si>
    <t>10215</t>
  </si>
  <si>
    <t>https://drive.google.com/file/d/10ocHAcLM4ZnFxvgQ8HXvCawg6WqLIx7F/view?usp=drivesdk</t>
  </si>
  <si>
    <t>Document successfully created; Document successfully merged; PDF created; !!Error Sending Emails: Service invoked too many times for one day: email.; Run via form trigger as ecertificate75@gmail.com; Timestamp: Aug 30 2024 7:39 AM</t>
  </si>
  <si>
    <t>10ocHAcLM4ZnFxvgQ8HXvCawg6WqLIx7F</t>
  </si>
  <si>
    <t>1uk58lRuimV1NbFkA1FqMa1NK2voLQs6s</t>
  </si>
  <si>
    <t>https://drive.google.com/file/d/1uk58lRuimV1NbFkA1FqMa1NK2voLQs6s/view?usp=drivesdk</t>
  </si>
  <si>
    <t>10216</t>
  </si>
  <si>
    <t>Starting at Fri Aug 30 2024 07:49:22 GMT-0400 (EDT)</t>
  </si>
  <si>
    <t>1-jXd25pluLD6Ip7PySJCXA9aYeMSgKGR</t>
  </si>
  <si>
    <t>https://drive.google.com/file/d/1-jXd25pluLD6Ip7PySJCXA9aYeMSgKGR/view?usp=drivesdk</t>
  </si>
  <si>
    <t>Document successfully created; Document successfully merged; PDF created; !!Error Sending Emails: Service invoked too many times for one day: email.; Run via form trigger as ecertificate75@gmail.com; Timestamp: Sep 19 2024 10:36 PM</t>
  </si>
  <si>
    <t>BAIS ADIPUTRA, S.Pd., M.H.</t>
  </si>
  <si>
    <t>Baisadiputra1985@gmail.com</t>
  </si>
  <si>
    <t>10217</t>
  </si>
  <si>
    <t>Starting at Fri Aug 30 2024 07:52:43 GMT-0400 (EDT)</t>
  </si>
  <si>
    <t>1_Nu3x1LM8C99GR78KynBlDPdlzMRU1Cw</t>
  </si>
  <si>
    <t>https://drive.google.com/file/d/1_Nu3x1LM8C99GR78KynBlDPdlzMRU1Cw/view?usp=drivesdk</t>
  </si>
  <si>
    <t>RISMA BARIMBING</t>
  </si>
  <si>
    <t>tsbitner24@gmail.com</t>
  </si>
  <si>
    <t>10218</t>
  </si>
  <si>
    <t>Starting at Fri Aug 30 2024 08:17:01 GMT-0400 (EDT)</t>
  </si>
  <si>
    <t>14Eu_DHp-wc4QYD52FWlEm7mgMDrtSRye</t>
  </si>
  <si>
    <t>https://drive.google.com/file/d/14Eu_DHp-wc4QYD52FWlEm7mgMDrtSRye/view?usp=drivesdk</t>
  </si>
  <si>
    <t>EKO UTOMO, S.H</t>
  </si>
  <si>
    <t>indraimut39@gmail.com</t>
  </si>
  <si>
    <t>10219</t>
  </si>
  <si>
    <t>1FNp7YnSmo972h6_fCmA4CcYXmdvhNlsx</t>
  </si>
  <si>
    <t>https://drive.google.com/file/d/1FNp7YnSmo972h6_fCmA4CcYXmdvhNlsx/view?usp=drivesdk</t>
  </si>
  <si>
    <t>BADERAINI</t>
  </si>
  <si>
    <t>baderaini33@gmail.com</t>
  </si>
  <si>
    <t>10220</t>
  </si>
  <si>
    <t>1zeqzodaKudHM_SX1mR-ovCklu09IqzoT</t>
  </si>
  <si>
    <t>https://drive.google.com/file/d/1zeqzodaKudHM_SX1mR-ovCklu09IqzoT/view?usp=drivesdk</t>
  </si>
  <si>
    <t>JUHARDIN, S.H.</t>
  </si>
  <si>
    <t>juhardinsoppeng@gmail.com</t>
  </si>
  <si>
    <t>10221</t>
  </si>
  <si>
    <t>Starting at Fri Aug 30 2024 08:21:26 GMT-0400 (EDT)</t>
  </si>
  <si>
    <t>1Nknj9a0u1gnUnpkuDEo2UVbEzwtC64eQ</t>
  </si>
  <si>
    <t>https://drive.google.com/file/d/1Nknj9a0u1gnUnpkuDEo2UVbEzwtC64eQ/view?usp=drivesdk</t>
  </si>
  <si>
    <t>Document successfully created; Document successfully merged; PDF created; !!Error Sending Emails: Service invoked too many times for one day: email.; Run via form trigger as ecertificate75@gmail.com; Timestamp: Sep 19 2024 10:37 PM</t>
  </si>
  <si>
    <t>dahniarhrp11@gmail.com</t>
  </si>
  <si>
    <t>10222</t>
  </si>
  <si>
    <t>1kHDY-lRym3xKKlV1J1NUvrQaavFz-Jqy</t>
  </si>
  <si>
    <t>https://drive.google.com/file/d/1kHDY-lRym3xKKlV1J1NUvrQaavFz-Jqy/view?usp=drivesdk</t>
  </si>
  <si>
    <t xml:space="preserve">HARYANTO </t>
  </si>
  <si>
    <t>10223</t>
  </si>
  <si>
    <t>Starting at Fri Aug 30 2024 08:32:08 GMT-0400 (EDT)</t>
  </si>
  <si>
    <t>1JgMI3i7jtAR5RR2yeBr07xvRm-6gdtzk</t>
  </si>
  <si>
    <t>https://drive.google.com/file/d/1JgMI3i7jtAR5RR2yeBr07xvRm-6gdtzk/view?usp=drivesdk</t>
  </si>
  <si>
    <t>PARIJAL</t>
  </si>
  <si>
    <t>parijalamd.kep@gmail.com</t>
  </si>
  <si>
    <t>10224</t>
  </si>
  <si>
    <t>1n-2Ss9s4DdXj8AAVdGQKmHrXEdVuECYv</t>
  </si>
  <si>
    <t>https://drive.google.com/file/d/1n-2Ss9s4DdXj8AAVdGQKmHrXEdVuECYv/view?usp=drivesdk</t>
  </si>
  <si>
    <t>DARPIN SIPAHUTAR</t>
  </si>
  <si>
    <t>darpinsipahutar@gmail.com</t>
  </si>
  <si>
    <t>10225</t>
  </si>
  <si>
    <t>Starting at Fri Aug 30 2024 08:45:43 GMT-0400 (EDT)</t>
  </si>
  <si>
    <t>1rRiA-4IIISAMKQXa0pfm4uSmNTO1V06W</t>
  </si>
  <si>
    <t>https://drive.google.com/file/d/1rRiA-4IIISAMKQXa0pfm4uSmNTO1V06W/view?usp=drivesdk</t>
  </si>
  <si>
    <t>Document successfully created; Document successfully merged; PDF created; !!Error Sending Emails: Service invoked too many times for one day: email.; Run via form trigger as ecertificate75@gmail.com; Timestamp: Sep 19 2024 10:38 PM</t>
  </si>
  <si>
    <t>MINHAR B.</t>
  </si>
  <si>
    <t>minhar833@gmail.com</t>
  </si>
  <si>
    <t>10226</t>
  </si>
  <si>
    <t>Starting at Fri Aug 30 2024 09:38:41 GMT-0400 (EDT)</t>
  </si>
  <si>
    <t>1A1kG120hksvI4yJEI2wOO2IezJTDhWXG</t>
  </si>
  <si>
    <t>https://drive.google.com/file/d/1A1kG120hksvI4yJEI2wOO2IezJTDhWXG/view?usp=drivesdk</t>
  </si>
  <si>
    <t>dr. JESSICA CHRISTIEN SIHOTANG</t>
  </si>
  <si>
    <t>jessica.sihotang@gmail.com</t>
  </si>
  <si>
    <t>10227</t>
  </si>
  <si>
    <t>1OZ1bVQkvB0Rvw6bIjKYzHybuGwHVXLi5</t>
  </si>
  <si>
    <t>https://drive.google.com/file/d/1OZ1bVQkvB0Rvw6bIjKYzHybuGwHVXLi5/view?usp=drivesdk</t>
  </si>
  <si>
    <t>SRI YUNIATI</t>
  </si>
  <si>
    <t>sriyuniati657@gmail.com</t>
  </si>
  <si>
    <t>10228</t>
  </si>
  <si>
    <t>Starting at Fri Aug 30 2024 09:40:00 GMT-0400 (EDT)</t>
  </si>
  <si>
    <t>1BLQYh1ZBqqhFQ5-YHE47RA624y4VKUoi</t>
  </si>
  <si>
    <t>https://drive.google.com/file/d/1BLQYh1ZBqqhFQ5-YHE47RA624y4VKUoi/view?usp=drivesdk</t>
  </si>
  <si>
    <t>muliadsdm@gmal.com</t>
  </si>
  <si>
    <t>10229</t>
  </si>
  <si>
    <t>Starting at Fri Aug 30 2024 09:48:54 GMT-0400 (EDT)</t>
  </si>
  <si>
    <t>MEIDIYONO</t>
  </si>
  <si>
    <t>mediyonoplg@gmail.com</t>
  </si>
  <si>
    <t>10230</t>
  </si>
  <si>
    <t>sutrisnowidodo212@gmail.com</t>
  </si>
  <si>
    <t>10231</t>
  </si>
  <si>
    <t>Starting at Fri Aug 30 2024 10:21:43 GMT-0400 (EDT)</t>
  </si>
  <si>
    <t>MASRIDA</t>
  </si>
  <si>
    <t>masrida088@gmail.com</t>
  </si>
  <si>
    <t>10232</t>
  </si>
  <si>
    <t>NOVALIA, S.Pd.</t>
  </si>
  <si>
    <t>10233</t>
  </si>
  <si>
    <t>Starting at Fri Aug 30 2024 10:45:08 GMT-0400 (EDT)</t>
  </si>
  <si>
    <t>DJATI PRASETYO, SE</t>
  </si>
  <si>
    <t>ejotdjati.2022@gmail.com</t>
  </si>
  <si>
    <t>10234</t>
  </si>
  <si>
    <t>Starting at Fri Aug 30 2024 12:49:22 GMT-0400 (EDT)</t>
  </si>
  <si>
    <t>198211142011011001@gmail.com</t>
  </si>
  <si>
    <t>10235</t>
  </si>
  <si>
    <t>YANTO ARIYANTO</t>
  </si>
  <si>
    <t>yantoariyanto2021@gmail.com</t>
  </si>
  <si>
    <t>10236</t>
  </si>
  <si>
    <t>HANA ERVINA, A.Md.,Farm</t>
  </si>
  <si>
    <t>hanaervina94@gmail.com</t>
  </si>
  <si>
    <t>10237</t>
  </si>
  <si>
    <t>https://drive.google.com/file/d/1Q6xq1eljUtN1vgSm9LHxm9-grEw9zI4w/view?usp=drivesdk</t>
  </si>
  <si>
    <t>Document successfully created; Document successfully merged; PDF created; Emails Sent: [To: hanaervina94@gmail.com]; Run via form trigger as ecertificate75@gmail.com; Timestamp: Aug 30 2024 8:55 PM</t>
  </si>
  <si>
    <t>1Q6xq1eljUtN1vgSm9LHxm9-grEw9zI4w</t>
  </si>
  <si>
    <t>NILA KURNIA</t>
  </si>
  <si>
    <t>nilakurnia30@gmail.com</t>
  </si>
  <si>
    <t>10238</t>
  </si>
  <si>
    <t>https://drive.google.com/file/d/1BcwDlHyD05JB_7DvMUXVR075qim9zJvj/view?usp=drivesdk</t>
  </si>
  <si>
    <t>Document successfully created; Document successfully merged; PDF created; Emails Sent: [To: nilakurnia30@gmail.com]; Run via form trigger as ecertificate75@gmail.com; Timestamp: Aug 30 2024 8:55 PM</t>
  </si>
  <si>
    <t>1BcwDlHyD05JB_7DvMUXVR075qim9zJvj</t>
  </si>
  <si>
    <t>EKO BUDIYANTO</t>
  </si>
  <si>
    <t>budiantoe914@gmail.com</t>
  </si>
  <si>
    <t>10239</t>
  </si>
  <si>
    <t>https://drive.google.com/file/d/1E6-70qwOy69rKmA7xj83i0qXeWky55z-/view?usp=drivesdk</t>
  </si>
  <si>
    <t>Document successfully created; Document successfully merged; PDF created; Emails Sent: [To: budiantoe914@gmail.com]; Run via form trigger as ecertificate75@gmail.com; Timestamp: Aug 30 2024 8:55 PM</t>
  </si>
  <si>
    <t>1E6-70qwOy69rKmA7xj83i0qXeWky55z-</t>
  </si>
  <si>
    <t>10240</t>
  </si>
  <si>
    <t>https://drive.google.com/file/d/1TzVicaLRbzFqxBbFXAGO3tb81Cgf4EWc/view?usp=drivesdk</t>
  </si>
  <si>
    <t>Document successfully created; Document successfully merged; PDF created; Emails Sent: [To: nurhappi1973@gmail.com]; Run via form trigger as ecertificate75@gmail.com; Timestamp: Aug 30 2024 8:55 PM</t>
  </si>
  <si>
    <t>1TzVicaLRbzFqxBbFXAGO3tb81Cgf4EWc</t>
  </si>
  <si>
    <t>HERI SUSIANTO</t>
  </si>
  <si>
    <t>heri.susianto@ymail.com</t>
  </si>
  <si>
    <t>10241</t>
  </si>
  <si>
    <t>https://drive.google.com/file/d/1_kWyM2x_b2WFFjka9FvHjh6WdoaQLGgj/view?usp=drivesdk</t>
  </si>
  <si>
    <t>Document successfully created; Document successfully merged; PDF created; Emails Sent: [To: heri.susianto@ymail.com]; Run via form trigger as ecertificate75@gmail.com; Timestamp: Aug 30 2024 8:56 PM</t>
  </si>
  <si>
    <t>1_kWyM2x_b2WFFjka9FvHjh6WdoaQLGgj</t>
  </si>
  <si>
    <t>apt. MUHAMMAD FAISHAL AKBAR, S. Farm</t>
  </si>
  <si>
    <t>faishalakb@gmail.com</t>
  </si>
  <si>
    <t>10242</t>
  </si>
  <si>
    <t>https://drive.google.com/file/d/1zHGBs-k25s1QzZTutNVxpiiTv-lz_zNB/view?usp=drivesdk</t>
  </si>
  <si>
    <t>Document successfully created; Document successfully merged; PDF created; Emails Sent: [To: faishalakb@gmail.com]; Run via form trigger as ecertificate75@gmail.com; Timestamp: Aug 30 2024 8:56 PM</t>
  </si>
  <si>
    <t>1zHGBs-k25s1QzZTutNVxpiiTv-lz_zNB</t>
  </si>
  <si>
    <t>USMAN HIDAYAT, S.H., M.A.P</t>
  </si>
  <si>
    <t>usmanhidayat1972@gmail.com</t>
  </si>
  <si>
    <t>10243</t>
  </si>
  <si>
    <t>https://drive.google.com/file/d/1EWz-iOC2SltDLXS2zxIm7_ejQfoqLiAm/view?usp=drivesdk</t>
  </si>
  <si>
    <t>Document successfully created; Document successfully merged; PDF created; Emails Sent: [To: usmanhidayat1972@gmail.com]; Run via form trigger as ecertificate75@gmail.com; Timestamp: Aug 30 2024 9:08 PM</t>
  </si>
  <si>
    <t>1EWz-iOC2SltDLXS2zxIm7_ejQfoqLiAm</t>
  </si>
  <si>
    <t>SYOFYAN</t>
  </si>
  <si>
    <t>tipolrestapadang@gmail.com</t>
  </si>
  <si>
    <t>10244</t>
  </si>
  <si>
    <t>https://drive.google.com/file/d/1cIxK7Rm_tFCBTaelwnRDPIngI6pj0Ioq/view?usp=drivesdk</t>
  </si>
  <si>
    <t>Document successfully created; Document successfully merged; PDF created; Emails Sent: [To: tipolrestapadang@gmail.com]; Run via form trigger as ecertificate75@gmail.com; Timestamp: Aug 30 2024 9:14 PM</t>
  </si>
  <si>
    <t>1cIxK7Rm_tFCBTaelwnRDPIngI6pj0Ioq</t>
  </si>
  <si>
    <t>I GDE BAYU PRATAMA, A.MD.KEP.</t>
  </si>
  <si>
    <t>bayunamikaze12@gmail.com</t>
  </si>
  <si>
    <t>10245</t>
  </si>
  <si>
    <t>https://drive.google.com/file/d/1UpoUXYfwkmcgwd7XoXKyanGss5N7Zs1d/view?usp=drivesdk</t>
  </si>
  <si>
    <t>Document successfully created; Document successfully merged; PDF created; Emails Sent: [To: bayunamikaze12@gmail.com]; Run via form trigger as ecertificate75@gmail.com; Timestamp: Aug 30 2024 9:22 PM</t>
  </si>
  <si>
    <t>1UpoUXYfwkmcgwd7XoXKyanGss5N7Zs1d</t>
  </si>
  <si>
    <t>EDDY SYAHPUTRA. S.AP</t>
  </si>
  <si>
    <t>eddyp967@gmail.com</t>
  </si>
  <si>
    <t>10246</t>
  </si>
  <si>
    <t>https://drive.google.com/file/d/1ZPJ7GVUXlSUEp1CxKqKnDPTAuISWaabC/view?usp=drivesdk</t>
  </si>
  <si>
    <t>Document successfully created; Document successfully merged; PDF created; Emails Sent: [To: eddyp967@gmail.com]; Run via form trigger as ecertificate75@gmail.com; Timestamp: Aug 30 2024 9:27 PM</t>
  </si>
  <si>
    <t>1ZPJ7GVUXlSUEp1CxKqKnDPTAuISWaabC</t>
  </si>
  <si>
    <t>10247</t>
  </si>
  <si>
    <t>https://drive.google.com/file/d/1px7_LyhA98yt3sjxaulXGuIx7bsnNQ04/view?usp=drivesdk</t>
  </si>
  <si>
    <t>1px7_LyhA98yt3sjxaulXGuIx7bsnNQ04</t>
  </si>
  <si>
    <t>ROLANIA.S.E</t>
  </si>
  <si>
    <t>rolania12@gmail.com</t>
  </si>
  <si>
    <t>10248</t>
  </si>
  <si>
    <t>https://drive.google.com/file/d/1HzUcRCo389fYvQ8kMGa5-O_JWAq5RCg1/view?usp=drivesdk</t>
  </si>
  <si>
    <t>1HzUcRCo389fYvQ8kMGa5-O_JWAq5RCg1</t>
  </si>
  <si>
    <t>PONTINAWATI, SE</t>
  </si>
  <si>
    <t>pontinawati051@gmail.com</t>
  </si>
  <si>
    <t>10249</t>
  </si>
  <si>
    <t>https://drive.google.com/file/d/1oRmWP4quj6mwyLRuw1EkNf5GPHqOw0on/view?usp=drivesdk</t>
  </si>
  <si>
    <t>Document successfully created; Document successfully merged; PDF created; Emails Sent: [To: pontinawati051@gmail.com]; Run via form trigger as ecertificate75@gmail.com; Timestamp: Aug 30 2024 10:41 PM</t>
  </si>
  <si>
    <t>1oRmWP4quj6mwyLRuw1EkNf5GPHqOw0on</t>
  </si>
  <si>
    <t>ZAINAL P</t>
  </si>
  <si>
    <t>mirasusi814@gmail.com</t>
  </si>
  <si>
    <t>10250</t>
  </si>
  <si>
    <t>https://drive.google.com/file/d/1VM1bha237xuc02EP8kSze6PPrqUf-1OL/view?usp=drivesdk</t>
  </si>
  <si>
    <t>1VM1bha237xuc02EP8kSze6PPrqUf-1OL</t>
  </si>
  <si>
    <t>SUJOKO</t>
  </si>
  <si>
    <t>jokokdjokodr44930@gmail.com</t>
  </si>
  <si>
    <t>10251</t>
  </si>
  <si>
    <t>https://drive.google.com/file/d/1ijJw0NPS0Nn_M6qlM7lEjATJP_MoEMU3/view?usp=drivesdk</t>
  </si>
  <si>
    <t>Document successfully created; Document successfully merged; PDF created; Emails Sent: [To: jokokdjokodr44930@gmail.com]; Run via form trigger as ecertificate75@gmail.com; Timestamp: Aug 30 2024 11:27 PM</t>
  </si>
  <si>
    <t>1ijJw0NPS0Nn_M6qlM7lEjATJP_MoEMU3</t>
  </si>
  <si>
    <t>MARYANTO</t>
  </si>
  <si>
    <t>maryantoyanma@gmail.com</t>
  </si>
  <si>
    <t>10252</t>
  </si>
  <si>
    <t>https://drive.google.com/file/d/1GOA3sfK5sBqw5qZIro_I32MIag-kg3K1/view?usp=drivesdk</t>
  </si>
  <si>
    <t>1GOA3sfK5sBqw5qZIro_I32MIag-kg3K1</t>
  </si>
  <si>
    <t>MARGARETA SANTA NIAGA</t>
  </si>
  <si>
    <t>margaretasantaniaga@gmail.com</t>
  </si>
  <si>
    <t>10253</t>
  </si>
  <si>
    <t>https://drive.google.com/file/d/1QfsFosOtlHgjMSkTy62gANCdz8NjCFz7/view?usp=drivesdk</t>
  </si>
  <si>
    <t>1QfsFosOtlHgjMSkTy62gANCdz8NjCFz7</t>
  </si>
  <si>
    <t xml:space="preserve">ELFIAGUSTIAN </t>
  </si>
  <si>
    <t>agustianelfi@gmail.come</t>
  </si>
  <si>
    <t>10254</t>
  </si>
  <si>
    <t>https://drive.google.com/file/d/1YvW57mHbXO41GRs8YlmP_1uKS5NCukm8/view?usp=drivesdk</t>
  </si>
  <si>
    <t>Document successfully created; Document successfully merged; PDF created; Emails Sent: [To: agustianelfi@gmail.come]; Run via form trigger as ecertificate75@gmail.com; Timestamp: Aug 31 2024 12:28 AM</t>
  </si>
  <si>
    <t>1YvW57mHbXO41GRs8YlmP_1uKS5NCukm8</t>
  </si>
  <si>
    <t>NI MADE RASMITA OKTAVIANI, A.Md.Kep.</t>
  </si>
  <si>
    <t>maderasmita66@gmail.com</t>
  </si>
  <si>
    <t>10255</t>
  </si>
  <si>
    <t>https://drive.google.com/file/d/1EOdz_dSxHb8g3-MLOwvAs9nI554BfU0B/view?usp=drivesdk</t>
  </si>
  <si>
    <t>Document successfully created; Document successfully merged; PDF created; Emails Sent: [To: maderasmita66@gmail.com]; Run via form trigger as ecertificate75@gmail.com; Timestamp: Aug 31 2024 1:14 AM</t>
  </si>
  <si>
    <t>1EOdz_dSxHb8g3-MLOwvAs9nI554BfU0B</t>
  </si>
  <si>
    <t>ERINA ARIYANI, Amd.Keb</t>
  </si>
  <si>
    <t>ahmadrasmin7@gmail.com</t>
  </si>
  <si>
    <t>10256</t>
  </si>
  <si>
    <t>https://drive.google.com/file/d/1GGO9a7lud2-e1wEh8jwIT6xWIzjjeBSB/view?usp=drivesdk</t>
  </si>
  <si>
    <t>1GGO9a7lud2-e1wEh8jwIT6xWIzjjeBSB</t>
  </si>
  <si>
    <t>MUHAMMAD DONNY KUSUMA, A.Md.Kep</t>
  </si>
  <si>
    <t>donikusuma367@gmail.com</t>
  </si>
  <si>
    <t>10257</t>
  </si>
  <si>
    <t>https://drive.google.com/file/d/1ooh415FM2Wz6KX05quDljlZ8s4YetSzm/view?usp=drivesdk</t>
  </si>
  <si>
    <t>Document successfully created; Document successfully merged; PDF created; !!Error Sending Emails: Service invoked too many times for one day: email.; Run via form trigger as ecertificate75@gmail.com; Timestamp: Aug 31 2024 2:36 AM</t>
  </si>
  <si>
    <t>1ooh415FM2Wz6KX05quDljlZ8s4YetSzm</t>
  </si>
  <si>
    <t>dr TRIANA HERMEILASIH</t>
  </si>
  <si>
    <t>trianahermin022@gmail.com</t>
  </si>
  <si>
    <t>10258</t>
  </si>
  <si>
    <t>https://drive.google.com/file/d/1eiu44uPsfkvKXPR85rPun-QZkZwiwM-9/view?usp=drivesdk</t>
  </si>
  <si>
    <t>Document successfully created; Document successfully merged; PDF created; !!Error Sending Emails: Service invoked too many times for one day: email.; Run via form trigger as ecertificate75@gmail.com; Timestamp: Aug 31 2024 3:55 AM</t>
  </si>
  <si>
    <t>1eiu44uPsfkvKXPR85rPun-QZkZwiwM-9</t>
  </si>
  <si>
    <t>ZULDARMI</t>
  </si>
  <si>
    <t>zuldarmi72@gmail.com</t>
  </si>
  <si>
    <t>10259</t>
  </si>
  <si>
    <t>https://drive.google.com/file/d/1ET_4TXJ4Ty8SKGSjG2awUq325DFhKZuY/view?usp=drivesdk</t>
  </si>
  <si>
    <t>1ET_4TXJ4Ty8SKGSjG2awUq325DFhKZuY</t>
  </si>
  <si>
    <t>FELLYCIA DEWI INTAN KRISTIANI, A.Md.Ak.</t>
  </si>
  <si>
    <t>Fellyciaintan07@gmail.com</t>
  </si>
  <si>
    <t>10260</t>
  </si>
  <si>
    <t>https://drive.google.com/file/d/1N3gaLi7Wi0StEJ_qhcO_5cuxK61Blxob/view?usp=drivesdk</t>
  </si>
  <si>
    <t>1N3gaLi7Wi0StEJ_qhcO_5cuxK61Blxob</t>
  </si>
  <si>
    <t>MARDIANA, SE</t>
  </si>
  <si>
    <t>mardiana1989diana@gmail.com</t>
  </si>
  <si>
    <t>10261</t>
  </si>
  <si>
    <t>https://drive.google.com/file/d/1lcL1qKK0g5CKlGk99UfriTOAvUesa9pZ/view?usp=drivesdk</t>
  </si>
  <si>
    <t>Document successfully created; Document successfully merged; PDF created; !!Error Sending Emails: Service invoked too many times for one day: email.; Run via form trigger as ecertificate75@gmail.com; Timestamp: Aug 31 2024 8:36 AM</t>
  </si>
  <si>
    <t>1lcL1qKK0g5CKlGk99UfriTOAvUesa9pZ</t>
  </si>
  <si>
    <t>adzkiasamha060115@gmail.com</t>
  </si>
  <si>
    <t>10262</t>
  </si>
  <si>
    <t>https://drive.google.com/file/d/1QTxTwt5DpkCYzgwIdttPUQL8JeMNcHiY/view?usp=drivesdk</t>
  </si>
  <si>
    <t>1QTxTwt5DpkCYzgwIdttPUQL8JeMNcHiY</t>
  </si>
  <si>
    <t>YUNNITA RETNO WULAN, A.MD.KEB.</t>
  </si>
  <si>
    <t>belvania.arsyfa22@gmail.com</t>
  </si>
  <si>
    <t>10263</t>
  </si>
  <si>
    <t>https://drive.google.com/file/d/1b64pZmHINavTCho9JqtKZKYOrdC0v5YS/view?usp=drivesdk</t>
  </si>
  <si>
    <t>1b64pZmHINavTCho9JqtKZKYOrdC0v5YS</t>
  </si>
  <si>
    <t>dr. Vina Nofian Tomi</t>
  </si>
  <si>
    <t>v1nanofiantomi@gmail.com</t>
  </si>
  <si>
    <t>10264</t>
  </si>
  <si>
    <t>https://drive.google.com/file/d/1OcGL2gq5RpfltrFbF14VQd9JbOqTU9W5/view?usp=drivesdk</t>
  </si>
  <si>
    <t>Document successfully created; Document successfully merged; PDF created; !!Error Sending Emails: Service invoked too many times for one day: email.; Run via form trigger as ecertificate75@gmail.com; Timestamp: Aug 31 2024 8:06 PM</t>
  </si>
  <si>
    <t>1OcGL2gq5RpfltrFbF14VQd9JbOqTU9W5</t>
  </si>
  <si>
    <t xml:space="preserve">ATIK SETYORINI </t>
  </si>
  <si>
    <t>atiksetyorini75@gmail.com</t>
  </si>
  <si>
    <t>10265</t>
  </si>
  <si>
    <t>https://drive.google.com/file/d/17cqmYxlLLXZmD4dmZ9tBT1F7CqEDFGgG/view?usp=drivesdk</t>
  </si>
  <si>
    <t>Document successfully created; Document successfully merged; PDF created; Emails Sent: [To: atiksetyorini75@gmail.com]; Run via form trigger as ecertificate75@gmail.com; Timestamp: Sep 1 2024 1:56 AM</t>
  </si>
  <si>
    <t>17cqmYxlLLXZmD4dmZ9tBT1F7CqEDFGgG</t>
  </si>
  <si>
    <t>SISTHA PRATISTHA, A.MD, SE</t>
  </si>
  <si>
    <t>sisthaknowyou@gmail.com</t>
  </si>
  <si>
    <t>10266</t>
  </si>
  <si>
    <t>https://drive.google.com/file/d/1B6eoD2J7TKnbGc7jLHG1eVk2YSb-qZGz/view?usp=drivesdk</t>
  </si>
  <si>
    <t>Document successfully created; Document successfully merged; PDF created; Emails Sent: [To: sisthaknowyou@gmail.com]; Run via form trigger as ecertificate75@gmail.com; Timestamp: Sep 1 2024 2:39 AM</t>
  </si>
  <si>
    <t>1B6eoD2J7TKnbGc7jLHG1eVk2YSb-qZGz</t>
  </si>
  <si>
    <t>RENI YUNITA</t>
  </si>
  <si>
    <t>reniyunita1981@gmail.com</t>
  </si>
  <si>
    <t>10267</t>
  </si>
  <si>
    <t>https://drive.google.com/file/d/15BNeGkzoBHtgOHosEK7ReZho7G9HtzB7/view?usp=drivesdk</t>
  </si>
  <si>
    <t>Document successfully created; Document successfully merged; PDF created; Emails Sent: [To: reniyunita1981@gmail.com]; Run via form trigger as ecertificate75@gmail.com; Timestamp: Sep 1 2024 3:12 AM</t>
  </si>
  <si>
    <t>15BNeGkzoBHtgOHosEK7ReZho7G9HtzB7</t>
  </si>
  <si>
    <t>MASYHURI, SIP</t>
  </si>
  <si>
    <t>tiacaem94@gmail.com</t>
  </si>
  <si>
    <t>10268</t>
  </si>
  <si>
    <t>https://drive.google.com/file/d/1TJnJAwX5q1mr0qPwiiPTUYd1U_Kiv-kr/view?usp=drivesdk</t>
  </si>
  <si>
    <t>Document successfully created; Document successfully merged; PDF created; Emails Sent: [To: tiacaem94@gmail.com]; Run via form trigger as ecertificate75@gmail.com; Timestamp: Sep 1 2024 5:31 AM</t>
  </si>
  <si>
    <t>1TJnJAwX5q1mr0qPwiiPTUYd1U_Kiv-kr</t>
  </si>
  <si>
    <t>HAMZAH CHUSAENI,SH</t>
  </si>
  <si>
    <t>hamzahchusaeni@gmail.com</t>
  </si>
  <si>
    <t>10269</t>
  </si>
  <si>
    <t>https://drive.google.com/file/d/1pmhhh9-sN0atmCU_hmGd_Yh3A9TRmZwY/view?usp=drivesdk</t>
  </si>
  <si>
    <t>Document successfully created; Document successfully merged; PDF created; Emails Sent: [To: hamzahchusaeni@gmail.com]; Run via form trigger as ecertificate75@gmail.com; Timestamp: Sep 1 2024 7:59 PM</t>
  </si>
  <si>
    <t>1pmhhh9-sN0atmCU_hmGd_Yh3A9TRmZwY</t>
  </si>
  <si>
    <t>mikohardian5@gmail.com</t>
  </si>
  <si>
    <t>10270</t>
  </si>
  <si>
    <t>https://drive.google.com/file/d/1K1mDpN1pqcsvfv42xWHq9sfqV_eCR_VC/view?usp=drivesdk</t>
  </si>
  <si>
    <t>Document successfully created; Document successfully merged; PDF created; Emails Sent: [To: mikohardian5@gmail.com]; Run via form trigger as ecertificate75@gmail.com; Timestamp: Sep 1 2024 10:15 PM</t>
  </si>
  <si>
    <t>1K1mDpN1pqcsvfv42xWHq9sfqV_eCR_VC</t>
  </si>
  <si>
    <t>dosti.simajuntak@gmail.com</t>
  </si>
  <si>
    <t>10271</t>
  </si>
  <si>
    <t>https://drive.google.com/file/d/1SKISsAEB-k8mF0gK9rCmq8Qt4FEwd3v-/view?usp=drivesdk</t>
  </si>
  <si>
    <t>Document successfully created; Document successfully merged; PDF created; Emails Sent: [To: dosti.simajuntak@gmail.com]; Run via form trigger as ecertificate75@gmail.com; Timestamp: Sep 1 2024 10:46 PM</t>
  </si>
  <si>
    <t>1SKISsAEB-k8mF0gK9rCmq8Qt4FEwd3v-</t>
  </si>
  <si>
    <t>riskandar2202@gmail.com</t>
  </si>
  <si>
    <t>10272</t>
  </si>
  <si>
    <t>https://drive.google.com/file/d/1-qlsZTIvHr3I_ZwI6s_uV30a0nvHv1I0/view?usp=drivesdk</t>
  </si>
  <si>
    <t>Document successfully created; Document successfully merged; PDF created; Emails Sent: [To: riskandar2202@gmail.com]; Run via form trigger as ecertificate75@gmail.com; Timestamp: Sep 1 2024 10:52 PM</t>
  </si>
  <si>
    <t>1-qlsZTIvHr3I_ZwI6s_uV30a0nvHv1I0</t>
  </si>
  <si>
    <t>wanis136969@gmail.com</t>
  </si>
  <si>
    <t>10273</t>
  </si>
  <si>
    <t>https://drive.google.com/file/d/1OvcPY91lPM8YjNhb7VoHe9o6vZH3H2_1/view?usp=drivesdk</t>
  </si>
  <si>
    <t>Document successfully created; Document successfully merged; PDF created; Emails Sent: [To: wanis136969@gmail.com]; Run via form trigger as ecertificate75@gmail.com; Timestamp: Sep 1 2024 11:47 PM</t>
  </si>
  <si>
    <t>1OvcPY91lPM8YjNhb7VoHe9o6vZH3H2_1</t>
  </si>
  <si>
    <t>ASIH KUSWIATIN</t>
  </si>
  <si>
    <t>Ciwong1401@gmail.com</t>
  </si>
  <si>
    <t>10274</t>
  </si>
  <si>
    <t>https://drive.google.com/file/d/1_hHcid4pbJO8LmN7djSdFYFKYQsNFcrj/view?usp=drivesdk</t>
  </si>
  <si>
    <t>Document successfully created; Document successfully merged; PDF created; Emails Sent: [To: Ciwong1401@gmail.com]; Run via form trigger as ecertificate75@gmail.com; Timestamp: Sep 2 2024 1:26 AM</t>
  </si>
  <si>
    <t>1_hHcid4pbJO8LmN7djSdFYFKYQsNFcrj</t>
  </si>
  <si>
    <t>sultanariel78@gmail.com</t>
  </si>
  <si>
    <t>10275</t>
  </si>
  <si>
    <t>https://drive.google.com/file/d/171VTtElhyYi9CSZOmBdW47VewjiDrfKq/view?usp=drivesdk</t>
  </si>
  <si>
    <t>Document successfully created; Document successfully merged; PDF created; Emails Sent: [To: sultanariel78@gmail.com]; Run via form trigger as ecertificate75@gmail.com; Timestamp: Sep 2 2024 2:03 AM</t>
  </si>
  <si>
    <t>171VTtElhyYi9CSZOmBdW47VewjiDrfKq</t>
  </si>
  <si>
    <t>HENDRA EKA PRASTYAWAN, S.Farm,Apt</t>
  </si>
  <si>
    <t>hendraekapapt2005@gmail.com</t>
  </si>
  <si>
    <t>10276</t>
  </si>
  <si>
    <t>https://drive.google.com/file/d/1PGdjePcujwELyp_YmGaMBxik2dOyPQBA/view?usp=drivesdk</t>
  </si>
  <si>
    <t>Document successfully created; Document successfully merged; PDF created; Emails Sent: [To: hendraekapapt2005@gmail.com]; Run via form trigger as ecertificate75@gmail.com; Timestamp: Sep 2 2024 5:02 AM</t>
  </si>
  <si>
    <t>1PGdjePcujwELyp_YmGaMBxik2dOyPQBA</t>
  </si>
  <si>
    <t>igbalguanteng0027@gmail.com</t>
  </si>
  <si>
    <t>10277</t>
  </si>
  <si>
    <t>https://drive.google.com/file/d/1xRIaTghkLuJx21POGDiS5qQwCHQ7lRIP/view?usp=drivesdk</t>
  </si>
  <si>
    <t>Document successfully created; Document successfully merged; PDF created; Emails Sent: [To: igbalguanteng0027@gmail.com]; Run via form trigger as ecertificate75@gmail.com; Timestamp: Sep 2 2024 7:16 AM</t>
  </si>
  <si>
    <t>1xRIaTghkLuJx21POGDiS5qQwCHQ7lRIP</t>
  </si>
  <si>
    <t>zakymubarok2007@gmail.com</t>
  </si>
  <si>
    <t>10278</t>
  </si>
  <si>
    <t>https://drive.google.com/file/d/1lZW6csHlWB-k25ydAB6i_4pjMlcP9Fpf/view?usp=drivesdk</t>
  </si>
  <si>
    <t>1lZW6csHlWB-k25ydAB6i_4pjMlcP9Fpf</t>
  </si>
  <si>
    <t>HULMAN SIDAURUK</t>
  </si>
  <si>
    <t>sidaurukhulman@gmail.com</t>
  </si>
  <si>
    <t>10279</t>
  </si>
  <si>
    <t>https://drive.google.com/file/d/1Cn42-2wWThEQ8out0yB7K2NCQr6i7PzH/view?usp=drivesdk</t>
  </si>
  <si>
    <t>1Cn42-2wWThEQ8out0yB7K2NCQr6i7PzH</t>
  </si>
  <si>
    <t>GIANTODI SUNOKA</t>
  </si>
  <si>
    <t>10280</t>
  </si>
  <si>
    <t>https://drive.google.com/file/d/1OEcAlfhvC6mMuGjZcLNWq4gawr9xDRgT/view?usp=drivesdk</t>
  </si>
  <si>
    <t>Document successfully created; Document successfully merged; PDF created; Emails Sent: [To: sunokazz@gmail.com]; Run via form trigger as ecertificate75@gmail.com; Timestamp: Sep 2 2024 9:33 PM</t>
  </si>
  <si>
    <t>1OEcAlfhvC6mMuGjZcLNWq4gawr9xDRgT</t>
  </si>
  <si>
    <t>MARVITA PUJIASTUTI,S.Kep.,Ns</t>
  </si>
  <si>
    <t>vitapujiastuti47@gmail.com</t>
  </si>
  <si>
    <t>10281</t>
  </si>
  <si>
    <t>https://drive.google.com/file/d/1u-EdbeM2CbM9HjLXG5HZdNJOqOG-hJ_1/view?usp=drivesdk</t>
  </si>
  <si>
    <t>Document successfully created; Document successfully merged; PDF created; Emails Sent: [To: vitapujiastuti47@gmail.com]; Run via form trigger as ecertificate75@gmail.com; Timestamp: Sep 2 2024 10:02 PM</t>
  </si>
  <si>
    <t>1u-EdbeM2CbM9HjLXG5HZdNJOqOG-hJ_1</t>
  </si>
  <si>
    <t>10282</t>
  </si>
  <si>
    <t>https://drive.google.com/file/d/18T0g8OWvMRWcQeVV_g-WshsuYjIGgajU/view?usp=drivesdk</t>
  </si>
  <si>
    <t>Document successfully created; Document successfully merged; PDF created; !!Error Sending Emails: Service invoked too many times for one day: email.; Run via form trigger as ecertificate75@gmail.com; Timestamp: Sep 3 2024 12:33 AM</t>
  </si>
  <si>
    <t>18T0g8OWvMRWcQeVV_g-WshsuYjIGgajU</t>
  </si>
  <si>
    <t>NURHADIJAH</t>
  </si>
  <si>
    <t>afizahnur21@gmail.com</t>
  </si>
  <si>
    <t>10283</t>
  </si>
  <si>
    <t>https://drive.google.com/file/d/1ItPQQdnNIpns1s4GTo_i98AxsPjI8TZ3/view?usp=drivesdk</t>
  </si>
  <si>
    <t>1ItPQQdnNIpns1s4GTo_i98AxsPjI8TZ3</t>
  </si>
  <si>
    <t>ASTRID ANNISA, S. E., M.E.</t>
  </si>
  <si>
    <t>sugipret@gmail.com</t>
  </si>
  <si>
    <t>10284</t>
  </si>
  <si>
    <t>https://drive.google.com/file/d/1ZIwsa4D4XYVZ088oHyrXwx_BAC2pTwXM/view?usp=drivesdk</t>
  </si>
  <si>
    <t>Document successfully created; Document successfully merged; PDF created; Emails Sent: [To: sugipret@gmail.com]; Run via form trigger as ecertificate75@gmail.com; Timestamp: Sep 3 2024 4:00 AM</t>
  </si>
  <si>
    <t>1ZIwsa4D4XYVZ088oHyrXwx_BAC2pTwXM</t>
  </si>
  <si>
    <t>BUDIMAN USIA</t>
  </si>
  <si>
    <t>budimanusia2@gmail.com</t>
  </si>
  <si>
    <t>10285</t>
  </si>
  <si>
    <t>https://drive.google.com/file/d/1afygtB8yeg9qlcqyQbmCZLQiqg6oSNeb/view?usp=drivesdk</t>
  </si>
  <si>
    <t>Document successfully created; Document successfully merged; PDF created; Emails Sent: [To: budimanusia2@gmail.com]; Run via form trigger as ecertificate75@gmail.com; Timestamp: Sep 3 2024 5:30 AM</t>
  </si>
  <si>
    <t>1afygtB8yeg9qlcqyQbmCZLQiqg6oSNeb</t>
  </si>
  <si>
    <t>dr. SHINTA YULIANA</t>
  </si>
  <si>
    <t>yshinta83@gmail.com</t>
  </si>
  <si>
    <t>10286</t>
  </si>
  <si>
    <t>https://drive.google.com/file/d/1hipwmJJHOUWHlz1WxyqJgKJQPBnG6SWG/view?usp=drivesdk</t>
  </si>
  <si>
    <t>Document successfully created; Document successfully merged; PDF created; Emails Sent: [To: yshinta83@gmail.com]; Run via form trigger as ecertificate75@gmail.com; Timestamp: Sep 3 2024 6:29 AM</t>
  </si>
  <si>
    <t>1hipwmJJHOUWHlz1WxyqJgKJQPBnG6SWG</t>
  </si>
  <si>
    <t>10287</t>
  </si>
  <si>
    <t>https://drive.google.com/file/d/16IIfrrKqicT2-BDZ8UshRRjvfVv3SMlz/view?usp=drivesdk</t>
  </si>
  <si>
    <t>16IIfrrKqicT2-BDZ8UshRRjvfVv3SMlz</t>
  </si>
  <si>
    <t>WAHYUDI,SE</t>
  </si>
  <si>
    <t>wahyudipermana1881@gmail.com</t>
  </si>
  <si>
    <t>10288</t>
  </si>
  <si>
    <t>https://drive.google.com/file/d/1VPTQAo4aMYDjUmDWz6IAbO9Vlhi0kgIp/view?usp=drivesdk</t>
  </si>
  <si>
    <t>Document successfully created; Document successfully merged; PDF created; !!Error Sending Emails: Service invoked too many times for one day: email.; Run via form trigger as ecertificate75@gmail.com; Timestamp: Sep 3 2024 6:22 PM</t>
  </si>
  <si>
    <t>1VPTQAo4aMYDjUmDWz6IAbO9Vlhi0kgIp</t>
  </si>
  <si>
    <t>MARIYANI, S.E.</t>
  </si>
  <si>
    <t>epancingan3@gmail.com</t>
  </si>
  <si>
    <t>10289</t>
  </si>
  <si>
    <t>https://drive.google.com/file/d/1NmYnekAXT0Mzk0X1zIJNKKKS4Ayjbvp7/view?usp=drivesdk</t>
  </si>
  <si>
    <t>Document successfully created; Document successfully merged; PDF created; Emails Sent: [To: epancingan3@gmail.com]; Run via form trigger as ecertificate75@gmail.com; Timestamp: Sep 3 2024 8:12 PM</t>
  </si>
  <si>
    <t>1NmYnekAXT0Mzk0X1zIJNKKKS4Ayjbvp7</t>
  </si>
  <si>
    <t>DEDI SUPRIADI</t>
  </si>
  <si>
    <t>dedi1212supriadi@gmail.com</t>
  </si>
  <si>
    <t>10290</t>
  </si>
  <si>
    <t>https://drive.google.com/file/d/105O_sHT1k_ukJWe_pVXALDC2beV9tvtt/view?usp=drivesdk</t>
  </si>
  <si>
    <t>105O_sHT1k_ukJWe_pVXALDC2beV9tvtt</t>
  </si>
  <si>
    <t>10291</t>
  </si>
  <si>
    <t>https://drive.google.com/file/d/1uYk7U1Kjh_D954J8zbyYNGNPCgYdxgjr/view?usp=drivesdk</t>
  </si>
  <si>
    <t>Document successfully created; Document successfully merged; PDF created; !!Error Sending Emails: Service invoked too many times for one day: email.; Run via form trigger as ecertificate75@gmail.com; Timestamp: Sep 4 2024 12:35 AM</t>
  </si>
  <si>
    <t>1uYk7U1Kjh_D954J8zbyYNGNPCgYdxgjr</t>
  </si>
  <si>
    <t>TITIK NUR RAMADHON, A.Md., Kom.</t>
  </si>
  <si>
    <t>watperspoldajambi@gmail.com</t>
  </si>
  <si>
    <t>10292</t>
  </si>
  <si>
    <t>https://drive.google.com/file/d/1J4pKijyXBU-pmadatXRrg6uSIKxFXBDF/view?usp=drivesdk</t>
  </si>
  <si>
    <t>Document successfully created; Document successfully merged; PDF created; Emails Sent: [To: watperspoldajambi@gmail.com]; Run via form trigger as ecertificate75@gmail.com; Timestamp: Sep 4 2024 12:52 AM</t>
  </si>
  <si>
    <t>1J4pKijyXBU-pmadatXRrg6uSIKxFXBDF</t>
  </si>
  <si>
    <t>dr.YENNY RIANI</t>
  </si>
  <si>
    <t>yenny_riani@ymail.com</t>
  </si>
  <si>
    <t>10293</t>
  </si>
  <si>
    <t>https://drive.google.com/file/d/11d-IMD4aYKn6NT-gmJ3sIaCOX5xJy1pg/view?usp=drivesdk</t>
  </si>
  <si>
    <t>11d-IMD4aYKn6NT-gmJ3sIaCOX5xJy1pg</t>
  </si>
  <si>
    <t>drsyahputri@gmail.com</t>
  </si>
  <si>
    <t>10294</t>
  </si>
  <si>
    <t>https://drive.google.com/file/d/1eHrvNFRi0MSquX1r1pBd1mRhNHE211Wk/view?usp=drivesdk</t>
  </si>
  <si>
    <t>1eHrvNFRi0MSquX1r1pBd1mRhNHE211Wk</t>
  </si>
  <si>
    <t>Apt. Romlan, S. Farm</t>
  </si>
  <si>
    <t>10295</t>
  </si>
  <si>
    <t>https://drive.google.com/file/d/1AZdHmBzRb8gAeSXeRDrnCL5rYAoDe7aj/view?usp=drivesdk</t>
  </si>
  <si>
    <t>Document successfully created; Document successfully merged; PDF created; !!Error Sending Emails: Service invoked too many times for one day: email.; Run via form trigger as ecertificate75@gmail.com; Timestamp: Sep 4 2024 10:05 PM</t>
  </si>
  <si>
    <t>1AZdHmBzRb8gAeSXeRDrnCL5rYAoDe7aj</t>
  </si>
  <si>
    <t>yaminradjab0994@gmail.com</t>
  </si>
  <si>
    <t>10296</t>
  </si>
  <si>
    <t>https://drive.google.com/file/d/1MAZ07TautdAZIZk15D5I5mhppHuXthP3/view?usp=drivesdk</t>
  </si>
  <si>
    <t>Document successfully created; Document successfully merged; PDF created; Emails Sent: [To: yaminradjab0994@gmail.com]; Run via form trigger as ecertificate75@gmail.com; Timestamp: Sep 4 2024 10:33 PM</t>
  </si>
  <si>
    <t>1MAZ07TautdAZIZk15D5I5mhppHuXthP3</t>
  </si>
  <si>
    <t>Febiola Hesty Amanupunyo</t>
  </si>
  <si>
    <t>hestyamq98@gmail.com</t>
  </si>
  <si>
    <t>10297</t>
  </si>
  <si>
    <t>https://drive.google.com/file/d/1mdc_fAiCkn_WxnInjIUCCuYbYGbR559T/view?usp=drivesdk</t>
  </si>
  <si>
    <t>Document successfully created; Document successfully merged; PDF created; Emails Sent: [To: hestyamq98@gmail.com]; Run via form trigger as ecertificate75@gmail.com; Timestamp: Sep 4 2024 11:30 PM</t>
  </si>
  <si>
    <t>1mdc_fAiCkn_WxnInjIUCCuYbYGbR559T</t>
  </si>
  <si>
    <t>OKVIANTI, S.Pd</t>
  </si>
  <si>
    <t>okvio.okvio@gmail.com</t>
  </si>
  <si>
    <t>10298</t>
  </si>
  <si>
    <t>https://drive.google.com/file/d/1nJ784Xc4KWmojBDbsccWpnqS986TCP_8/view?usp=drivesdk</t>
  </si>
  <si>
    <t>1nJ784Xc4KWmojBDbsccWpnqS986TCP_8</t>
  </si>
  <si>
    <t>EDDY WIJAYA SUKATENDEL, SE,MM</t>
  </si>
  <si>
    <t>10299</t>
  </si>
  <si>
    <t>https://drive.google.com/file/d/1zy485e4ygp8vNB6SenHH47RK5FThooaO/view?usp=drivesdk</t>
  </si>
  <si>
    <t>Document successfully created; Document successfully merged; PDF created; Emails Sent: [To: jaytendel@yahoo.com]; Run via form trigger as ecertificate75@gmail.com; Timestamp: Sep 4 2024 11:39 PM</t>
  </si>
  <si>
    <t>1zy485e4ygp8vNB6SenHH47RK5FThooaO</t>
  </si>
  <si>
    <t>EMMIRIDAWATI BR BUKIT SKM,MKM</t>
  </si>
  <si>
    <t>emmibukit@gmail.com</t>
  </si>
  <si>
    <t>10300</t>
  </si>
  <si>
    <t>https://drive.google.com/file/d/1OuuFTljBrHjwwa4QIrQ_CJ6Qra44QC8j/view?usp=drivesdk</t>
  </si>
  <si>
    <t>1OuuFTljBrHjwwa4QIrQ_CJ6Qra44QC8j</t>
  </si>
  <si>
    <t>MUHAMMAD KIKI ARDIANSYAH SE</t>
  </si>
  <si>
    <t>kikyardiansyah69@gmail.com</t>
  </si>
  <si>
    <t>10301</t>
  </si>
  <si>
    <t>https://drive.google.com/file/d/1aQfTG4EgoRVmXanLMb3AxfGJw_dNSluk/view?usp=drivesdk</t>
  </si>
  <si>
    <t>1aQfTG4EgoRVmXanLMb3AxfGJw_dNSluk</t>
  </si>
  <si>
    <t>MELDA AGNES MANUHUTU</t>
  </si>
  <si>
    <t>meldamanuhutu17@gmail.com</t>
  </si>
  <si>
    <t>10302</t>
  </si>
  <si>
    <t>https://drive.google.com/file/d/1axh3FIw2tVuNwtkCnkV_dbeW6u5xafya/view?usp=drivesdk</t>
  </si>
  <si>
    <t>1axh3FIw2tVuNwtkCnkV_dbeW6u5xafya</t>
  </si>
  <si>
    <t>YULI RAHMI, S.S.</t>
  </si>
  <si>
    <t>yulirahmi69@gmail.com</t>
  </si>
  <si>
    <t>10303</t>
  </si>
  <si>
    <t>https://drive.google.com/file/d/14_XKHbDfdTa45MZwNTtmXFOtqO3BG5s7/view?usp=drivesdk</t>
  </si>
  <si>
    <t>14_XKHbDfdTa45MZwNTtmXFOtqO3BG5s7</t>
  </si>
  <si>
    <t>MUHAMMAD ILHAM AMINNULLAH LUBIS</t>
  </si>
  <si>
    <t>aminlubis798@gmail.com</t>
  </si>
  <si>
    <t>10304</t>
  </si>
  <si>
    <t>https://drive.google.com/file/d/1Zomuq_LMH0iP1rkhKThehwyKVIIt3Z7y/view?usp=drivesdk</t>
  </si>
  <si>
    <t>Document successfully created; Document successfully merged; PDF created; Emails Sent: [To: aminlubis798@gmail.com]; Run via form trigger as ecertificate75@gmail.com; Timestamp: Sep 4 2024 11:43 PM</t>
  </si>
  <si>
    <t>1Zomuq_LMH0iP1rkhKThehwyKVIIt3Z7y</t>
  </si>
  <si>
    <t xml:space="preserve">MELFA FARIDA PANGARIBUAN, SKEP </t>
  </si>
  <si>
    <t>melfa2707@gmail.com</t>
  </si>
  <si>
    <t>10305</t>
  </si>
  <si>
    <t>https://drive.google.com/file/d/1o5cPwb1OoTqpWOo5x3Alm7-_DNKfh2OX/view?usp=drivesdk</t>
  </si>
  <si>
    <t>1o5cPwb1OoTqpWOo5x3Alm7-_DNKfh2OX</t>
  </si>
  <si>
    <t>10306</t>
  </si>
  <si>
    <t>https://drive.google.com/file/d/1ibhL9EZnWf4cn7l5auCjU1kdbL7amdAx/view?usp=drivesdk</t>
  </si>
  <si>
    <t>1ibhL9EZnWf4cn7l5auCjU1kdbL7amdAx</t>
  </si>
  <si>
    <t>Ririn Pebrina Br Marpaung, S.Kom</t>
  </si>
  <si>
    <t>ririn.pebrina89@gmail.com</t>
  </si>
  <si>
    <t>10307</t>
  </si>
  <si>
    <t>https://drive.google.com/file/d/1dhoFHvt2N28AQa3TgXxUIaDMbf2FKdoa/view?usp=drivesdk</t>
  </si>
  <si>
    <t>1dhoFHvt2N28AQa3TgXxUIaDMbf2FKdoa</t>
  </si>
  <si>
    <t>Mariafu Ladede, S.Kep., S.H</t>
  </si>
  <si>
    <t>maryafuladede08@gmail.com</t>
  </si>
  <si>
    <t>10308</t>
  </si>
  <si>
    <t>https://drive.google.com/file/d/17qNRnj3RIKCJoONK-02nsSoLwHWeVvKl/view?usp=drivesdk</t>
  </si>
  <si>
    <t>Document successfully created; Document successfully merged; PDF created; Emails Sent: [To: maryafuladede08@gmail.com]; Run via form trigger as ecertificate75@gmail.com; Timestamp: Sep 4 2024 11:51 PM</t>
  </si>
  <si>
    <t>17qNRnj3RIKCJoONK-02nsSoLwHWeVvKl</t>
  </si>
  <si>
    <t xml:space="preserve">Betty Nuriani Saragih </t>
  </si>
  <si>
    <t>bettynsaragih26@gmail.com</t>
  </si>
  <si>
    <t>10309</t>
  </si>
  <si>
    <t>https://drive.google.com/file/d/1RZ3M7uNi0K1sUy__9jBsx2hM6AwmaTTc/view?usp=drivesdk</t>
  </si>
  <si>
    <t>1RZ3M7uNi0K1sUy__9jBsx2hM6AwmaTTc</t>
  </si>
  <si>
    <t>DHARMA BAKTI AMD.Kep</t>
  </si>
  <si>
    <t>darmabakti1203@gmail.com</t>
  </si>
  <si>
    <t>10310</t>
  </si>
  <si>
    <t>https://drive.google.com/file/d/12JDVgYhNRK8iXpsPCTjDL-l3V94QTVXl/view?usp=drivesdk</t>
  </si>
  <si>
    <t>12JDVgYhNRK8iXpsPCTjDL-l3V94QTVXl</t>
  </si>
  <si>
    <t>polsekstabatreslkt@gmail.com</t>
  </si>
  <si>
    <t>10311</t>
  </si>
  <si>
    <t>https://drive.google.com/file/d/1IKCI_N8ePo1cLoJ2iNTujKwSXnuHjWYT/view?usp=drivesdk</t>
  </si>
  <si>
    <t>1IKCI_N8ePo1cLoJ2iNTujKwSXnuHjWYT</t>
  </si>
  <si>
    <t>10312</t>
  </si>
  <si>
    <t>https://drive.google.com/file/d/18tvLHDE0rQLD832JRK4BbMHFswjo-wTv/view?usp=drivesdk</t>
  </si>
  <si>
    <t>18tvLHDE0rQLD832JRK4BbMHFswjo-wTv</t>
  </si>
  <si>
    <t>srihandayani090722@gmail.com</t>
  </si>
  <si>
    <t>10313</t>
  </si>
  <si>
    <t>https://drive.google.com/file/d/19jPtx5o9VsP531OVNNmXvrKw5soo8paG/view?usp=drivesdk</t>
  </si>
  <si>
    <t>Document successfully created; Document successfully merged; PDF created; !!Error Sending Emails: Service invoked too many times for one day: email.; Run via form trigger as ecertificate75@gmail.com; Timestamp: Sep 5 2024 12:08 AM</t>
  </si>
  <si>
    <t>19jPtx5o9VsP531OVNNmXvrKw5soo8paG</t>
  </si>
  <si>
    <t>ABDI DARMA</t>
  </si>
  <si>
    <t>darmaabdi53@gmail.com</t>
  </si>
  <si>
    <t>10314</t>
  </si>
  <si>
    <t>https://drive.google.com/file/d/10kwQBV7Bgq72KL-S-2vEPl9pCvjvCDJO/view?usp=drivesdk</t>
  </si>
  <si>
    <t>10kwQBV7Bgq72KL-S-2vEPl9pCvjvCDJO</t>
  </si>
  <si>
    <t>DHARMA BAKTI Amd.Kep</t>
  </si>
  <si>
    <t>10315</t>
  </si>
  <si>
    <t>https://drive.google.com/file/d/1Uo2sUeA6L0jnoahmslCcE6mlEBb6LaWo/view?usp=drivesdk</t>
  </si>
  <si>
    <t>1Uo2sUeA6L0jnoahmslCcE6mlEBb6LaWo</t>
  </si>
  <si>
    <t>JURAIDA MATONDANG</t>
  </si>
  <si>
    <t>juraidamatondang@Gmail.com</t>
  </si>
  <si>
    <t>10316</t>
  </si>
  <si>
    <t>https://drive.google.com/file/d/1_qeLt2mpdypykQ_criKSYqp3HkcSt3AY/view?usp=drivesdk</t>
  </si>
  <si>
    <t>1_qeLt2mpdypykQ_criKSYqp3HkcSt3AY</t>
  </si>
  <si>
    <t>TAUFIK SUYONO, A.MD. KEP</t>
  </si>
  <si>
    <t>onoanjeng@gmail.com</t>
  </si>
  <si>
    <t>10317</t>
  </si>
  <si>
    <t>https://drive.google.com/file/d/1zLaLcZlDzSst1reimRy8LPSCu1ZwIWn1/view?usp=drivesdk</t>
  </si>
  <si>
    <t>1zLaLcZlDzSst1reimRy8LPSCu1ZwIWn1</t>
  </si>
  <si>
    <t>LAMTIUR HOTMARIANAINGGOLAN</t>
  </si>
  <si>
    <t>10318</t>
  </si>
  <si>
    <t>https://drive.google.com/file/d/1WT9kHBW3Bn2K1JRR6kqeDhZhEAhQdqcR/view?usp=drivesdk</t>
  </si>
  <si>
    <t>1WT9kHBW3Bn2K1JRR6kqeDhZhEAhQdqcR</t>
  </si>
  <si>
    <t>TONY IRAWAN</t>
  </si>
  <si>
    <t>toniirawan1978@gmail.com</t>
  </si>
  <si>
    <t>10319</t>
  </si>
  <si>
    <t>https://drive.google.com/file/d/11Zrqrvdpmm_iJMVLc_L5vGaoeclx_jtf/view?usp=drivesdk</t>
  </si>
  <si>
    <t>Document successfully created; Document successfully merged; PDF created; !!Error Sending Emails: Service invoked too many times for one day: email.; Run via form trigger as ecertificate75@gmail.com; Timestamp: Sep 5 2024 12:33 AM</t>
  </si>
  <si>
    <t>11Zrqrvdpmm_iJMVLc_L5vGaoeclx_jtf</t>
  </si>
  <si>
    <t>sartikasilalahi81@gmail.com</t>
  </si>
  <si>
    <t>10320</t>
  </si>
  <si>
    <t>https://drive.google.com/file/d/10Cmx1e8sLuq5Puoi7V8D9kFK-8TUt159/view?usp=drivesdk</t>
  </si>
  <si>
    <t>10Cmx1e8sLuq5Puoi7V8D9kFK-8TUt159</t>
  </si>
  <si>
    <t>10321</t>
  </si>
  <si>
    <t>https://drive.google.com/file/d/1f7AxZDAZyGvKxvV-LtzZKKNoMES6eG_R/view?usp=drivesdk</t>
  </si>
  <si>
    <t>1f7AxZDAZyGvKxvV-LtzZKKNoMES6eG_R</t>
  </si>
  <si>
    <t>SRI MUJIATI, S.H</t>
  </si>
  <si>
    <t>srimujiatisuwono@gmail.com</t>
  </si>
  <si>
    <t>10322</t>
  </si>
  <si>
    <t>https://drive.google.com/file/d/1s9sWgdPXYnmcnEoC3Ju_V23QeCvQ4rxo/view?usp=drivesdk</t>
  </si>
  <si>
    <t>1s9sWgdPXYnmcnEoC3Ju_V23QeCvQ4rxo</t>
  </si>
  <si>
    <t>RUPI'AH DAMANIK</t>
  </si>
  <si>
    <t>rupiahdamanik25@gmail.com</t>
  </si>
  <si>
    <t>10323</t>
  </si>
  <si>
    <t>https://drive.google.com/file/d/1GWmZI-V7QImJhL5AfSgrlVrngn0HrTJR/view?usp=drivesdk</t>
  </si>
  <si>
    <t>1GWmZI-V7QImJhL5AfSgrlVrngn0HrTJR</t>
  </si>
  <si>
    <t>10324</t>
  </si>
  <si>
    <t>https://drive.google.com/file/d/1QG_TGlRRHHwHsDpBJ2LBmvwANZnVeokX/view?usp=drivesdk</t>
  </si>
  <si>
    <t>1QG_TGlRRHHwHsDpBJ2LBmvwANZnVeokX</t>
  </si>
  <si>
    <t>afriyanti11@gmail.com</t>
  </si>
  <si>
    <t>10325</t>
  </si>
  <si>
    <t>https://drive.google.com/file/d/1kEkUyoD9oH15MxCgCpphygFIpkF4nn0j/view?usp=drivesdk</t>
  </si>
  <si>
    <t>Document successfully created; Document successfully merged; PDF created; !!Error Sending Emails: Service invoked too many times for one day: email.; Run via form trigger as ecertificate75@gmail.com; Timestamp: Sep 5 2024 12:34 AM</t>
  </si>
  <si>
    <t>1kEkUyoD9oH15MxCgCpphygFIpkF4nn0j</t>
  </si>
  <si>
    <t>10326</t>
  </si>
  <si>
    <t>https://drive.google.com/file/d/12szsR75Nm5JlXDDEqgA6mdlgWrgP-JA3/view?usp=drivesdk</t>
  </si>
  <si>
    <t>12szsR75Nm5JlXDDEqgA6mdlgWrgP-JA3</t>
  </si>
  <si>
    <t xml:space="preserve">TIMTINA DEWI SARI </t>
  </si>
  <si>
    <t>timtinadewisari@gmail.com</t>
  </si>
  <si>
    <t>10327</t>
  </si>
  <si>
    <t>https://drive.google.com/file/d/1oyC8SH7zf7dJIVBqsd19xcjMwGf59vy6/view?usp=drivesdk</t>
  </si>
  <si>
    <t>1oyC8SH7zf7dJIVBqsd19xcjMwGf59vy6</t>
  </si>
  <si>
    <t>10328</t>
  </si>
  <si>
    <t>https://drive.google.com/file/d/1XcdElY_olHz117PtnsrGXsI4-4NFVqao/view?usp=drivesdk</t>
  </si>
  <si>
    <t>1XcdElY_olHz117PtnsrGXsI4-4NFVqao</t>
  </si>
  <si>
    <t>10329</t>
  </si>
  <si>
    <t>https://drive.google.com/file/d/11JXGxuH4AkP186pMVJN1hVHrznPx7aXZ/view?usp=drivesdk</t>
  </si>
  <si>
    <t>11JXGxuH4AkP186pMVJN1hVHrznPx7aXZ</t>
  </si>
  <si>
    <t>TONGGO C SITORUS</t>
  </si>
  <si>
    <t>christinesitorus73@gmail.com</t>
  </si>
  <si>
    <t>10330</t>
  </si>
  <si>
    <t>https://drive.google.com/file/d/1rdLuHAaW2PuXIqqOHv8vUw4KteqqBdLT/view?usp=drivesdk</t>
  </si>
  <si>
    <t>1rdLuHAaW2PuXIqqOHv8vUw4KteqqBdLT</t>
  </si>
  <si>
    <t>SILVI KHAIRANI</t>
  </si>
  <si>
    <t>silvikhairani77@gmail.com</t>
  </si>
  <si>
    <t>10331</t>
  </si>
  <si>
    <t>https://drive.google.com/file/d/12Sb7F_2h7IA5REOfTY_-16db2jbtFylU/view?usp=drivesdk</t>
  </si>
  <si>
    <t>12Sb7F_2h7IA5REOfTY_-16db2jbtFylU</t>
  </si>
  <si>
    <t>tatangwindianto2010@gmail.com</t>
  </si>
  <si>
    <t>10332</t>
  </si>
  <si>
    <t>https://drive.google.com/file/d/1P9fuPvgX9NkCEhQKC0lNqo_WrWdOJ-z_/view?usp=drivesdk</t>
  </si>
  <si>
    <t>1P9fuPvgX9NkCEhQKC0lNqo_WrWdOJ-z_</t>
  </si>
  <si>
    <t>SELFI DIANA SINAGA</t>
  </si>
  <si>
    <t>klinikpolres.pematangsiantar@yahoo.com</t>
  </si>
  <si>
    <t>10333</t>
  </si>
  <si>
    <t>https://drive.google.com/file/d/1RFfnYuRMY1lTFDVMuUWuVs2WOVF3m5vI/view?usp=drivesdk</t>
  </si>
  <si>
    <t>1RFfnYuRMY1lTFDVMuUWuVs2WOVF3m5vI</t>
  </si>
  <si>
    <t>SUBUR, S.Ag., M.Pd.</t>
  </si>
  <si>
    <t>renbidkumpoldsumut@gmail.com</t>
  </si>
  <si>
    <t>10334</t>
  </si>
  <si>
    <t>https://drive.google.com/file/d/1qqBQ6dd-A4CTCauJMOgxzmmSiR7lyHUt/view?usp=drivesdk</t>
  </si>
  <si>
    <t>1qqBQ6dd-A4CTCauJMOgxzmmSiR7lyHUt</t>
  </si>
  <si>
    <t>EVILINA MUNTHE</t>
  </si>
  <si>
    <t>muntheevilina@gmail.com</t>
  </si>
  <si>
    <t>10335</t>
  </si>
  <si>
    <t>https://drive.google.com/file/d/1V6xI59HDf_9Hmn59TfrxZhBSlN9epCp_/view?usp=drivesdk</t>
  </si>
  <si>
    <t>Document successfully created; Document successfully merged; PDF created; !!Error Sending Emails: Service invoked too many times for one day: email.; Run via form trigger as ecertificate75@gmail.com; Timestamp: Sep 5 2024 12:55 AM</t>
  </si>
  <si>
    <t>1V6xI59HDf_9Hmn59TfrxZhBSlN9epCp_</t>
  </si>
  <si>
    <t>sulastrimanullang28@gmail.com</t>
  </si>
  <si>
    <t>10336</t>
  </si>
  <si>
    <t>https://drive.google.com/file/d/1dExloF7g6SbJDBU-kFqizbnPArv77nBY/view?usp=drivesdk</t>
  </si>
  <si>
    <t>1dExloF7g6SbJDBU-kFqizbnPArv77nBY</t>
  </si>
  <si>
    <t>NINIK WAHYUNI, S.E., M.M.</t>
  </si>
  <si>
    <t>ninik.nwyuni@gmail.com</t>
  </si>
  <si>
    <t>10337</t>
  </si>
  <si>
    <t>https://drive.google.com/file/d/1GMKPWr5RWiE3lhJhiV6n5xkeAN3HK-rh/view?usp=drivesdk</t>
  </si>
  <si>
    <t>1GMKPWr5RWiE3lhJhiV6n5xkeAN3HK-rh</t>
  </si>
  <si>
    <t xml:space="preserve">ARIFIN HUTASOIT </t>
  </si>
  <si>
    <t>arifinHutasoit87@gmail.com</t>
  </si>
  <si>
    <t>10338</t>
  </si>
  <si>
    <t>https://drive.google.com/file/d/1M0OAGT740U2XTTMCkuJUV8EwpGQHmcj_/view?usp=drivesdk</t>
  </si>
  <si>
    <t>1M0OAGT740U2XTTMCkuJUV8EwpGQHmcj_</t>
  </si>
  <si>
    <t>propampolresta@gmail.com</t>
  </si>
  <si>
    <t>10339</t>
  </si>
  <si>
    <t>https://drive.google.com/file/d/1U9NwoJtdcx4ThnbGodyYvSnCzWAc5J8j/view?usp=drivesdk</t>
  </si>
  <si>
    <t>1U9NwoJtdcx4ThnbGodyYvSnCzWAc5J8j</t>
  </si>
  <si>
    <t>TIODOR M. SILABAN</t>
  </si>
  <si>
    <t>satresnarkobatapteng@gmail.com</t>
  </si>
  <si>
    <t>10340</t>
  </si>
  <si>
    <t>https://drive.google.com/file/d/1TyS4-syRX5KjqWsu4vB4DJNaik1aEBrd/view?usp=drivesdk</t>
  </si>
  <si>
    <t>1TyS4-syRX5KjqWsu4vB4DJNaik1aEBrd</t>
  </si>
  <si>
    <t>GIDION MARBUN</t>
  </si>
  <si>
    <t>10341</t>
  </si>
  <si>
    <t>https://drive.google.com/file/d/16l9Jvb2WkvN-gVLpFopcVaFtZ0R3VAld/view?usp=drivesdk</t>
  </si>
  <si>
    <t>16l9Jvb2WkvN-gVLpFopcVaFtZ0R3VAld</t>
  </si>
  <si>
    <t>rahmahsitti67@gmail.com</t>
  </si>
  <si>
    <t>10342</t>
  </si>
  <si>
    <t>https://drive.google.com/file/d/1B7BcOzNQtRUldy_v4e7mNH1bcDulRFz-/view?usp=drivesdk</t>
  </si>
  <si>
    <t>1B7BcOzNQtRUldy_v4e7mNH1bcDulRFz-</t>
  </si>
  <si>
    <t>RAHMA YUSRO BATUBARA,S.S</t>
  </si>
  <si>
    <t>rahmabatu66@gmail.com</t>
  </si>
  <si>
    <t>10343</t>
  </si>
  <si>
    <t>https://drive.google.com/file/d/13Sx1Ab3laL9T_kIKRvVSnzeZp6IxJuzq/view?usp=drivesdk</t>
  </si>
  <si>
    <t>Document successfully created; Document successfully merged; PDF created; Emails Sent: [To: rahmabatu66@gmail.com]; Run via form trigger as ecertificate75@gmail.com; Timestamp: Sep 5 2024 2:15 AM</t>
  </si>
  <si>
    <t>13Sx1Ab3laL9T_kIKRvVSnzeZp6IxJuzq</t>
  </si>
  <si>
    <t>LELI HASTUTI, S.E.</t>
  </si>
  <si>
    <t>mahreznawia2626@gmail.com</t>
  </si>
  <si>
    <t>10344</t>
  </si>
  <si>
    <t>https://drive.google.com/file/d/1-kp5KbILBjV_YFPlIgC-H27IObgKI-AO/view?usp=drivesdk</t>
  </si>
  <si>
    <t>Document successfully created; Document successfully merged; PDF created; Emails Sent: [To: mahreznawia2626@gmail.com]; Run via form trigger as ecertificate75@gmail.com; Timestamp: Sep 5 2024 2:15 AM</t>
  </si>
  <si>
    <t>1-kp5KbILBjV_YFPlIgC-H27IObgKI-AO</t>
  </si>
  <si>
    <t>YUSNAN SEPRIADI GINTING</t>
  </si>
  <si>
    <t>yusnansep2410@gmail.com</t>
  </si>
  <si>
    <t>10345</t>
  </si>
  <si>
    <t>https://drive.google.com/file/d/1E-ktRzJHv3mbB3ArJCpk82ML_B1iMDiD/view?usp=drivesdk</t>
  </si>
  <si>
    <t>Document successfully created; Document successfully merged; PDF created; Emails Sent: [To: yusnansep2410@gmail.com]; Run via form trigger as ecertificate75@gmail.com; Timestamp: Sep 5 2024 2:15 AM</t>
  </si>
  <si>
    <t>1E-ktRzJHv3mbB3ArJCpk82ML_B1iMDiD</t>
  </si>
  <si>
    <t>DHARMA BAKTI, Amd.Kep</t>
  </si>
  <si>
    <t>10346</t>
  </si>
  <si>
    <t>https://drive.google.com/file/d/1DRko8JzLrHrcr6dBZPrtwqAY4vtmgbbV/view?usp=drivesdk</t>
  </si>
  <si>
    <t>Document successfully created; Document successfully merged; PDF created; Emails Sent: [To: darmabakti1203@gmail.com]; Run via form trigger as ecertificate75@gmail.com; Timestamp: Sep 5 2024 2:15 AM</t>
  </si>
  <si>
    <t>1DRko8JzLrHrcr6dBZPrtwqAY4vtmgbbV</t>
  </si>
  <si>
    <t>ANDRIANI,SH</t>
  </si>
  <si>
    <t>indriandriani169@gmail.com</t>
  </si>
  <si>
    <t>10347</t>
  </si>
  <si>
    <t>https://drive.google.com/file/d/1D1KoKE0WDW4xsxCV5PxKIP-7eB82-KSG/view?usp=drivesdk</t>
  </si>
  <si>
    <t>Document successfully created; Document successfully merged; PDF created; Emails Sent: [To: indriandriani169@gmail.com]; Run via form trigger as ecertificate75@gmail.com; Timestamp: Sep 5 2024 2:15 AM</t>
  </si>
  <si>
    <t>1D1KoKE0WDW4xsxCV5PxKIP-7eB82-KSG</t>
  </si>
  <si>
    <t>10348</t>
  </si>
  <si>
    <t>https://drive.google.com/file/d/1oSgtdURCcCn9h3mhLQYKT1e6V4TdAKx2/view?usp=drivesdk</t>
  </si>
  <si>
    <t>Document successfully created; Document successfully merged; PDF created; Emails Sent: [To: ermasutinasution26@gmail.com]; Run via form trigger as ecertificate75@gmail.com; Timestamp: Sep 5 2024 2:16 AM</t>
  </si>
  <si>
    <t>1oSgtdURCcCn9h3mhLQYKT1e6V4TdAKx2</t>
  </si>
  <si>
    <t>10349</t>
  </si>
  <si>
    <t>https://drive.google.com/file/d/1h-88jWmXA2dvHgIxmemBlbJ1trSJgWBK/view?usp=drivesdk</t>
  </si>
  <si>
    <t>Document successfully created; Document successfully merged; PDF created; Emails Sent: [To: sulastrimanullang28@gmail.com]; Run via form trigger as ecertificate75@gmail.com; Timestamp: Sep 5 2024 2:16 AM</t>
  </si>
  <si>
    <t>1h-88jWmXA2dvHgIxmemBlbJ1trSJgWBK</t>
  </si>
  <si>
    <t>LUCIANA ADELINA HASIBUAN</t>
  </si>
  <si>
    <t>Luciana1302@gmail.com</t>
  </si>
  <si>
    <t>10350</t>
  </si>
  <si>
    <t>https://drive.google.com/file/d/17KtAXNK-VJUMDgvVEEBTLGcTYbHLD_SQ/view?usp=drivesdk</t>
  </si>
  <si>
    <t>Document successfully created; Document successfully merged; PDF created; Emails Sent: [To: Luciana1302@gmail.com]; Run via form trigger as ecertificate75@gmail.com; Timestamp: Sep 5 2024 2:16 AM</t>
  </si>
  <si>
    <t>17KtAXNK-VJUMDgvVEEBTLGcTYbHLD_SQ</t>
  </si>
  <si>
    <t>IMELDA SIREGAR,SKM</t>
  </si>
  <si>
    <t>imeldasiregar2706@gmail.com</t>
  </si>
  <si>
    <t>10351</t>
  </si>
  <si>
    <t>https://drive.google.com/file/d/1sI5Yq3nJE1xYG1-zQxkgXizFYK5wsMPa/view?usp=drivesdk</t>
  </si>
  <si>
    <t>Document successfully created; Document successfully merged; PDF created; Emails Sent: [To: imeldasiregar2706@gmail.com]; Run via form trigger as ecertificate75@gmail.com; Timestamp: Sep 5 2024 2:16 AM</t>
  </si>
  <si>
    <t>1sI5Yq3nJE1xYG1-zQxkgXizFYK5wsMPa</t>
  </si>
  <si>
    <t>LENGGA SARI LUBIS</t>
  </si>
  <si>
    <t>lubislengga@gmail.com</t>
  </si>
  <si>
    <t>10352</t>
  </si>
  <si>
    <t>https://drive.google.com/file/d/1UHn5bMyar6rgrJuCluuiNS_aHGOgCjY9/view?usp=drivesdk</t>
  </si>
  <si>
    <t>Document successfully created; Document successfully merged; PDF created; Emails Sent: [To: lubislengga@gmail.com]; Run via form trigger as ecertificate75@gmail.com; Timestamp: Sep 5 2024 2:16 AM</t>
  </si>
  <si>
    <t>1UHn5bMyar6rgrJuCluuiNS_aHGOgCjY9</t>
  </si>
  <si>
    <t>WAHYUDIN JAFAR</t>
  </si>
  <si>
    <t>wahyudinjafar92@gmail.com</t>
  </si>
  <si>
    <t>10353</t>
  </si>
  <si>
    <t>https://drive.google.com/file/d/1b7HPvviHq39SA3Ko3K_FuwGM3engF5yt/view?usp=drivesdk</t>
  </si>
  <si>
    <t>Document successfully created; Document successfully merged; PDF created; Emails Sent: [To: wahyudinjafar92@gmail.com]; Run via form trigger as ecertificate75@gmail.com; Timestamp: Sep 5 2024 2:17 AM</t>
  </si>
  <si>
    <t>1b7HPvviHq39SA3Ko3K_FuwGM3engF5yt</t>
  </si>
  <si>
    <t>SITI ROHANNUM</t>
  </si>
  <si>
    <t>10354</t>
  </si>
  <si>
    <t>https://drive.google.com/file/d/1rqFyEiIZTq4zWE0bcSxW5b9JmkukUuel/view?usp=drivesdk</t>
  </si>
  <si>
    <t>Document successfully created; Document successfully merged; PDF created; Emails Sent: [To: sitirohannum.73psp@gmail.com]; Run via form trigger as ecertificate75@gmail.com; Timestamp: Sep 5 2024 2:17 AM</t>
  </si>
  <si>
    <t>1rqFyEiIZTq4zWE0bcSxW5b9JmkukUuel</t>
  </si>
  <si>
    <t>NUR NAILAH</t>
  </si>
  <si>
    <t>iigustiputantara@gmail.com</t>
  </si>
  <si>
    <t>10355</t>
  </si>
  <si>
    <t>https://drive.google.com/file/d/16Ybm8Lgbn1kp1R9x0ryA5Ufj68DC5ce0/view?usp=drivesdk</t>
  </si>
  <si>
    <t>Document successfully created; Document successfully merged; PDF created; Emails Sent: [To: iigustiputantara@gmail.com]; Run via form trigger as ecertificate75@gmail.com; Timestamp: Sep 5 2024 2:17 AM</t>
  </si>
  <si>
    <t>16Ybm8Lgbn1kp1R9x0ryA5Ufj68DC5ce0</t>
  </si>
  <si>
    <t>anggasatriawan.id04@gmail.com</t>
  </si>
  <si>
    <t>10356</t>
  </si>
  <si>
    <t>https://drive.google.com/file/d/1YnV22bT05uK6XzNcVKWWRGyC2EGIGAIl/view?usp=drivesdk</t>
  </si>
  <si>
    <t>Document successfully created; Document successfully merged; PDF created; Emails Sent: [To: anggasatriawan.id04@gmail.com]; Run via form trigger as ecertificate75@gmail.com; Timestamp: Sep 5 2024 2:17 AM</t>
  </si>
  <si>
    <t>1YnV22bT05uK6XzNcVKWWRGyC2EGIGAIl</t>
  </si>
  <si>
    <t xml:space="preserve">JAN SABARMEN SARAGIH </t>
  </si>
  <si>
    <t>jansabarmens@gmail.com</t>
  </si>
  <si>
    <t>10357</t>
  </si>
  <si>
    <t>https://drive.google.com/file/d/1jRxKsULr2bFo71yjs_6A3WyGP83ry0dB/view?usp=drivesdk</t>
  </si>
  <si>
    <t>Document successfully created; Document successfully merged; PDF created; Emails Sent: [To: jansabarmens@gmail.com]; Run via form trigger as ecertificate75@gmail.com; Timestamp: Sep 5 2024 2:34 AM</t>
  </si>
  <si>
    <t>1jRxKsULr2bFo71yjs_6A3WyGP83ry0dB</t>
  </si>
  <si>
    <t>10358</t>
  </si>
  <si>
    <t>https://drive.google.com/file/d/14abLvuI6ZWvSIVGmXGxL1v9Nz0dH-yqY/view?usp=drivesdk</t>
  </si>
  <si>
    <t>Document successfully created; Document successfully merged; PDF created; Emails Sent: [To: aminlubis798@gmail.com]; Run via form trigger as ecertificate75@gmail.com; Timestamp: Sep 5 2024 3:48 AM</t>
  </si>
  <si>
    <t>14abLvuI6ZWvSIVGmXGxL1v9Nz0dH-yqY</t>
  </si>
  <si>
    <t>ERNI AIDA TUMANGGOR</t>
  </si>
  <si>
    <t>ernitumanggor123@gmail.com</t>
  </si>
  <si>
    <t>10359</t>
  </si>
  <si>
    <t>https://drive.google.com/file/d/1LUYspi6CaB_ewaMqqeAqY79GuFHSZm7s/view?usp=drivesdk</t>
  </si>
  <si>
    <t>Document successfully created; Document successfully merged; PDF created; Emails Sent: [To: ernitumanggor123@gmail.com]; Run via form trigger as ecertificate75@gmail.com; Timestamp: Sep 5 2024 3:49 AM</t>
  </si>
  <si>
    <t>1LUYspi6CaB_ewaMqqeAqY79GuFHSZm7s</t>
  </si>
  <si>
    <t>10360</t>
  </si>
  <si>
    <t>https://drive.google.com/file/d/12vwpDUA-KfAyYQLCdNyMJqyqyOzZk_e_/view?usp=drivesdk</t>
  </si>
  <si>
    <t>Document successfully created; Document successfully merged; PDF created; Emails Sent: [To: rukianimarpaung@gmail.com]; Run via form trigger as ecertificate75@gmail.com; Timestamp: Sep 5 2024 3:49 AM</t>
  </si>
  <si>
    <t>12vwpDUA-KfAyYQLCdNyMJqyqyOzZk_e_</t>
  </si>
  <si>
    <t>NURSIAH MANIK</t>
  </si>
  <si>
    <t>nursiahmanik@gmail.com</t>
  </si>
  <si>
    <t>10361</t>
  </si>
  <si>
    <t>https://drive.google.com/file/d/1R8dJkyrWRQLSZxP_cTOJRelCL9c1RiUM/view?usp=drivesdk</t>
  </si>
  <si>
    <t>Document successfully created; Document successfully merged; PDF created; Emails Sent: [To: nursiahmanik@gmail.com]; Run via form trigger as ecertificate75@gmail.com; Timestamp: Sep 5 2024 3:49 AM</t>
  </si>
  <si>
    <t>1R8dJkyrWRQLSZxP_cTOJRelCL9c1RiUM</t>
  </si>
  <si>
    <t>DESITA SARI</t>
  </si>
  <si>
    <t>desitasari68@gmail.com</t>
  </si>
  <si>
    <t>10362</t>
  </si>
  <si>
    <t>https://drive.google.com/file/d/17i0oiD2f_M7v5r8KPO692duy31qEr_Y8/view?usp=drivesdk</t>
  </si>
  <si>
    <t>Document successfully created; Document successfully merged; PDF created; Emails Sent: [To: desitasari68@gmail.com]; Run via form trigger as ecertificate75@gmail.com; Timestamp: Sep 5 2024 3:49 AM</t>
  </si>
  <si>
    <t>17i0oiD2f_M7v5r8KPO692duy31qEr_Y8</t>
  </si>
  <si>
    <t>JUMPA MALEM GINTING</t>
  </si>
  <si>
    <t>10363</t>
  </si>
  <si>
    <t>https://drive.google.com/file/d/18hS5xAzHJzSZpAQ71n7OlUt9M_0mP0pf/view?usp=drivesdk</t>
  </si>
  <si>
    <t>Document successfully created; Document successfully merged; PDF created; Emails Sent: [To: jumpamalemginting76@gmail.com]; Run via form trigger as ecertificate75@gmail.com; Timestamp: Sep 5 2024 3:49 AM</t>
  </si>
  <si>
    <t>18hS5xAzHJzSZpAQ71n7OlUt9M_0mP0pf</t>
  </si>
  <si>
    <t xml:space="preserve">RISWANUDDIN HARAHAP </t>
  </si>
  <si>
    <t>riswanharahap2101@gmail.com</t>
  </si>
  <si>
    <t>10364</t>
  </si>
  <si>
    <t>https://drive.google.com/file/d/1YBDFS1g3e-w4QbtQhlezL3uJ5gV9xTal/view?usp=drivesdk</t>
  </si>
  <si>
    <t>Document successfully created; Document successfully merged; PDF created; Emails Sent: [To: riswanharahap2101@gmail.com]; Run via form trigger as ecertificate75@gmail.com; Timestamp: Sep 5 2024 3:50 AM</t>
  </si>
  <si>
    <t>1YBDFS1g3e-w4QbtQhlezL3uJ5gV9xTal</t>
  </si>
  <si>
    <t>HERRI SULISTIONO</t>
  </si>
  <si>
    <t>herrisulistiono26@gmail.com</t>
  </si>
  <si>
    <t>10365</t>
  </si>
  <si>
    <t>https://drive.google.com/file/d/1q6o_Qxbi6atqYT8ybz6scNpUxEAKM04q/view?usp=drivesdk</t>
  </si>
  <si>
    <t>Document successfully created; Document successfully merged; PDF created; Emails Sent: [To: herrisulistiono26@gmail.com]; Run via form trigger as ecertificate75@gmail.com; Timestamp: Sep 5 2024 3:50 AM</t>
  </si>
  <si>
    <t>1q6o_Qxbi6atqYT8ybz6scNpUxEAKM04q</t>
  </si>
  <si>
    <t>dr LAILATUSY SYIFA</t>
  </si>
  <si>
    <t>ahmadshyifa@gmail.com</t>
  </si>
  <si>
    <t>10366</t>
  </si>
  <si>
    <t>https://drive.google.com/file/d/1HY3OPtCzWgPBY6Pb6LZettsuNZcKfa3-/view?usp=drivesdk</t>
  </si>
  <si>
    <t>Document successfully created; Document successfully merged; PDF created; Emails Sent: [To: ahmadshyifa@gmail.com]; Run via form trigger as ecertificate75@gmail.com; Timestamp: Sep 5 2024 3:50 AM</t>
  </si>
  <si>
    <t>1HY3OPtCzWgPBY6Pb6LZettsuNZcKfa3-</t>
  </si>
  <si>
    <t>abdulmu2010@gmail.com</t>
  </si>
  <si>
    <t>10367</t>
  </si>
  <si>
    <t>https://drive.google.com/file/d/1wZVIljWXLHy5x2Om6CMr9R5ou8-c460m/view?usp=drivesdk</t>
  </si>
  <si>
    <t>Document successfully created; Document successfully merged; PDF created; Emails Sent: [To: abdulmu2010@gmail.com]; Run via form trigger as ecertificate75@gmail.com; Timestamp: Sep 5 2024 3:50 AM</t>
  </si>
  <si>
    <t>1wZVIljWXLHy5x2Om6CMr9R5ou8-c460m</t>
  </si>
  <si>
    <t>alastatarigan@yahoo.com</t>
  </si>
  <si>
    <t>10368</t>
  </si>
  <si>
    <t>https://drive.google.com/file/d/1mkfG79E9ZBFREebtTOALzl0OYSx9e2vK/view?usp=drivesdk</t>
  </si>
  <si>
    <t>Document successfully created; Document successfully merged; PDF created; Emails Sent: [To: alastatarigan@yahoo.com]; Run via form trigger as ecertificate75@gmail.com; Timestamp: Sep 5 2024 3:50 AM</t>
  </si>
  <si>
    <t>1mkfG79E9ZBFREebtTOALzl0OYSx9e2vK</t>
  </si>
  <si>
    <t>BALMER VICTOR PANGARIBUAN SE</t>
  </si>
  <si>
    <t>10369</t>
  </si>
  <si>
    <t>https://drive.google.com/file/d/1YIm-hET3jDExiWkpK8qENwb0vqIpno-E/view?usp=drivesdk</t>
  </si>
  <si>
    <t>Document successfully created; Document successfully merged; PDF created; Emails Sent: [To: balmervictorpangaribuan@gmail.com]; Run via form trigger as ecertificate75@gmail.com; Timestamp: Sep 5 2024 4:47 AM</t>
  </si>
  <si>
    <t>1YIm-hET3jDExiWkpK8qENwb0vqIpno-E</t>
  </si>
  <si>
    <t>desitasari196872@gmail.com</t>
  </si>
  <si>
    <t>10370</t>
  </si>
  <si>
    <t>https://drive.google.com/file/d/1j6XaOJgEuC1B6WofSEYET4IoT7mRZBcU/view?usp=drivesdk</t>
  </si>
  <si>
    <t>Document successfully created; Document successfully merged; PDF created; Emails Sent: [To: desitasari196872@gmail.com]; Run via form trigger as ecertificate75@gmail.com; Timestamp: Sep 5 2024 4:47 AM</t>
  </si>
  <si>
    <t>1j6XaOJgEuC1B6WofSEYET4IoT7mRZBcU</t>
  </si>
  <si>
    <t>RAMLAN SARAGIH</t>
  </si>
  <si>
    <t>ramlansaragih1234@gmail.com</t>
  </si>
  <si>
    <t>10371</t>
  </si>
  <si>
    <t>https://drive.google.com/file/d/1TviQccfzZ8TnddOo5pmCy5vXOvMN2L7r/view?usp=drivesdk</t>
  </si>
  <si>
    <t>Document successfully created; Document successfully merged; PDF created; Emails Sent: [To: ramlansaragih1234@gmail.com]; Run via form trigger as ecertificate75@gmail.com; Timestamp: Sep 5 2024 4:48 AM</t>
  </si>
  <si>
    <t>1TviQccfzZ8TnddOo5pmCy5vXOvMN2L7r</t>
  </si>
  <si>
    <t>RAMLAN SAEAGIH</t>
  </si>
  <si>
    <t>10372</t>
  </si>
  <si>
    <t>https://drive.google.com/file/d/1fTG1bXtcFDth63UCJwDdS-kCmCBw6WEI/view?usp=drivesdk</t>
  </si>
  <si>
    <t>1fTG1bXtcFDth63UCJwDdS-kCmCBw6WEI</t>
  </si>
  <si>
    <t>SYAHPUTRI NAINGGOLAN</t>
  </si>
  <si>
    <t>putriputriajja32@gmail.com</t>
  </si>
  <si>
    <t>10373</t>
  </si>
  <si>
    <t>https://drive.google.com/file/d/1B5-VBu5r9RI9hYYq7Hr7CFx-qgwg26Al/view?usp=drivesdk</t>
  </si>
  <si>
    <t>Document successfully created; Document successfully merged; PDF created; Emails Sent: [To: putriputriajja32@gmail.com]; Run via form trigger as ecertificate75@gmail.com; Timestamp: Sep 5 2024 4:48 AM</t>
  </si>
  <si>
    <t>1B5-VBu5r9RI9hYYq7Hr7CFx-qgwg26Al</t>
  </si>
  <si>
    <t>DANIEL SEMBIRING</t>
  </si>
  <si>
    <t>daniels800123@gmail.com</t>
  </si>
  <si>
    <t>10374</t>
  </si>
  <si>
    <t>https://drive.google.com/file/d/1HmY_US1WPNul9ZKwW96xnSxSQaf7NXdU/view?usp=drivesdk</t>
  </si>
  <si>
    <t>Document successfully created; Document successfully merged; PDF created; Emails Sent: [To: daniels800123@gmail.com]; Run via form trigger as ecertificate75@gmail.com; Timestamp: Sep 5 2024 6:04 AM</t>
  </si>
  <si>
    <t>1HmY_US1WPNul9ZKwW96xnSxSQaf7NXdU</t>
  </si>
  <si>
    <t>AGUS SUTANTO, A.Md</t>
  </si>
  <si>
    <t>agus19.sutanto@gmail.com</t>
  </si>
  <si>
    <t>10375</t>
  </si>
  <si>
    <t>https://drive.google.com/file/d/1TE7opshS4jR2F0pMCrQrL3KsFIvmgtA6/view?usp=drivesdk</t>
  </si>
  <si>
    <t>1TE7opshS4jR2F0pMCrQrL3KsFIvmgtA6</t>
  </si>
  <si>
    <t>drg. Dian Rickyrianto Azis</t>
  </si>
  <si>
    <t>rickyriantoazis@gmail.com</t>
  </si>
  <si>
    <t>10376</t>
  </si>
  <si>
    <t>https://drive.google.com/file/d/1m1v7QYTUSUqijrZgyOz8-BnymI2AW166/view?usp=drivesdk</t>
  </si>
  <si>
    <t>1m1v7QYTUSUqijrZgyOz8-BnymI2AW166</t>
  </si>
  <si>
    <t>SAFARUDDIM</t>
  </si>
  <si>
    <t>10377</t>
  </si>
  <si>
    <t>https://drive.google.com/file/d/1J0OmGdBWSvdMd_I33W5ngHjI-WcjRMrt/view?usp=drivesdk</t>
  </si>
  <si>
    <t>1J0OmGdBWSvdMd_I33W5ngHjI-WcjRMrt</t>
  </si>
  <si>
    <t>AHMAD NURIADIN</t>
  </si>
  <si>
    <t>10378</t>
  </si>
  <si>
    <t>https://drive.google.com/file/d/11o8aidWPR6HXWaUT-VjhvO1GDzeSOM_f/view?usp=drivesdk</t>
  </si>
  <si>
    <t>11o8aidWPR6HXWaUT-VjhvO1GDzeSOM_f</t>
  </si>
  <si>
    <t>LUMA SURYANI SIMANGUNSONG</t>
  </si>
  <si>
    <t>lumasuryani878@gmail.com</t>
  </si>
  <si>
    <t>10379</t>
  </si>
  <si>
    <t>https://drive.google.com/file/d/1dHroSgdBV7HqhI6HBR0RD01Oi1mug4cS/view?usp=drivesdk</t>
  </si>
  <si>
    <t>Document successfully created; Document successfully merged; PDF created; Emails Sent: [To: lumasuryani878@gmail.com]; Run via form trigger as ecertificate75@gmail.com; Timestamp: Sep 5 2024 6:09 AM</t>
  </si>
  <si>
    <t>1dHroSgdBV7HqhI6HBR0RD01Oi1mug4cS</t>
  </si>
  <si>
    <t>Alasta Br Tarigan</t>
  </si>
  <si>
    <t>10380</t>
  </si>
  <si>
    <t>https://drive.google.com/file/d/1AMZmKHj-fzLzTNfOHS0kshdxE4tAj16R/view?usp=drivesdk</t>
  </si>
  <si>
    <t>Document successfully created; Document successfully merged; PDF created; !!Error Sending Emails: Service invoked too many times for one day: email.; Run via form trigger as ecertificate75@gmail.com; Timestamp: Sep 5 2024 8:39 AM</t>
  </si>
  <si>
    <t>1AMZmKHj-fzLzTNfOHS0kshdxE4tAj16R</t>
  </si>
  <si>
    <t>LELI HASTUTI,SE</t>
  </si>
  <si>
    <t>lelihastutie@gmail.com</t>
  </si>
  <si>
    <t>10381</t>
  </si>
  <si>
    <t>https://drive.google.com/file/d/1r10AosIhFd1I0uXbZnAykF-CtTi2bo2Q/view?usp=drivesdk</t>
  </si>
  <si>
    <t>1r10AosIhFd1I0uXbZnAykF-CtTi2bo2Q</t>
  </si>
  <si>
    <t>YUSNIAR AFNI LUBIS</t>
  </si>
  <si>
    <t>yusniarafni@gmail.com</t>
  </si>
  <si>
    <t>10382</t>
  </si>
  <si>
    <t>https://drive.google.com/file/d/1-a4vERTaGtLz3cBPQxmgXKRsk8bO7RLI/view?usp=drivesdk</t>
  </si>
  <si>
    <t>1-a4vERTaGtLz3cBPQxmgXKRsk8bO7RLI</t>
  </si>
  <si>
    <t>APT. RACHMAWATY KURNIASARI, S.FARM</t>
  </si>
  <si>
    <t>watierasyadi@gmail.com</t>
  </si>
  <si>
    <t>10383</t>
  </si>
  <si>
    <t>https://drive.google.com/file/d/1Y1CXShwsWSWEs95NFZ-_o5S8QE5Yy2vJ/view?usp=drivesdk</t>
  </si>
  <si>
    <t>1Y1CXShwsWSWEs95NFZ-_o5S8QE5Yy2vJ</t>
  </si>
  <si>
    <t>Roida Krisanty Hutasoit</t>
  </si>
  <si>
    <t>krisantyroida@gmail.com</t>
  </si>
  <si>
    <t>10384</t>
  </si>
  <si>
    <t>https://drive.google.com/file/d/12YZ2FLMrTAft0ryMxj-rE6RC3nyBtjmd/view?usp=drivesdk</t>
  </si>
  <si>
    <t>12YZ2FLMrTAft0ryMxj-rE6RC3nyBtjmd</t>
  </si>
  <si>
    <t>APT RACHMAWATY KURNIASARI, S.FARM</t>
  </si>
  <si>
    <t>fatmawatiali761@gmail.com</t>
  </si>
  <si>
    <t>10385</t>
  </si>
  <si>
    <t>https://drive.google.com/file/d/1drfbfmZm-XZMbOcOEpdYcW3EYQlgugJe/view?usp=drivesdk</t>
  </si>
  <si>
    <t>1drfbfmZm-XZMbOcOEpdYcW3EYQlgugJe</t>
  </si>
  <si>
    <t xml:space="preserve">NURHAWARI NASUTION </t>
  </si>
  <si>
    <t>nurhawarinst@gmail.com</t>
  </si>
  <si>
    <t>10386</t>
  </si>
  <si>
    <t>https://drive.google.com/file/d/1ac1_HIHAjAi8cAZ-ZbSc-FJKdRvyO3QY/view?usp=drivesdk</t>
  </si>
  <si>
    <t>1ac1_HIHAjAi8cAZ-ZbSc-FJKdRvyO3QY</t>
  </si>
  <si>
    <t>KRISTINA DESLIANA SIEGAR, SKM</t>
  </si>
  <si>
    <t>10387</t>
  </si>
  <si>
    <t>https://drive.google.com/file/d/19bkfFCWZilKKwOnHsgl5o14xDIXrV_Ht/view?usp=drivesdk</t>
  </si>
  <si>
    <t>Document successfully created; Document successfully merged; PDF created; Emails Sent: [To: kristina.desliana74@gmail.com]; Run via form trigger as ecertificate75@gmail.com; Timestamp: Sep 5 2024 10:57 AM</t>
  </si>
  <si>
    <t>19bkfFCWZilKKwOnHsgl5o14xDIXrV_Ht</t>
  </si>
  <si>
    <t>ROSANNY PURBA</t>
  </si>
  <si>
    <t>rosannypurba69@gmail.com</t>
  </si>
  <si>
    <t>10388</t>
  </si>
  <si>
    <t>https://drive.google.com/file/d/11gn1hSgmBE8MgVJQNI60Be5RxiYjMiim/view?usp=drivesdk</t>
  </si>
  <si>
    <t>11gn1hSgmBE8MgVJQNI60Be5RxiYjMiim</t>
  </si>
  <si>
    <t xml:space="preserve">Mesni Waty Purba </t>
  </si>
  <si>
    <t>mesnipurba@gmail.com</t>
  </si>
  <si>
    <t>10389</t>
  </si>
  <si>
    <t>https://drive.google.com/file/d/1NN2lY1oC7gM9UITgdGm6mIbY4gbph4V6/view?usp=drivesdk</t>
  </si>
  <si>
    <t>Document successfully created; Document successfully merged; PDF created; Emails Sent: [To: mesnipurba@gmail.com]; Run via form trigger as ecertificate75@gmail.com; Timestamp: Sep 5 2024 11:42 AM</t>
  </si>
  <si>
    <t>1NN2lY1oC7gM9UITgdGm6mIbY4gbph4V6</t>
  </si>
  <si>
    <t>ANDI YOSEP ARISTON</t>
  </si>
  <si>
    <t>andiyosep0303@gmail.com</t>
  </si>
  <si>
    <t>10390</t>
  </si>
  <si>
    <t>https://drive.google.com/file/d/1ZuS9HnVVhsRbRhCsfU-BsTrQ6-N3DWut/view?usp=drivesdk</t>
  </si>
  <si>
    <t>Document successfully created; Document successfully merged; PDF created; Emails Sent: [To: andiyosep0303@gmail.com]; Run via form trigger as ecertificate75@gmail.com; Timestamp: Sep 5 2024 7:52 PM</t>
  </si>
  <si>
    <t>1ZuS9HnVVhsRbRhCsfU-BsTrQ6-N3DWut</t>
  </si>
  <si>
    <t>ARIANTO</t>
  </si>
  <si>
    <t>ariantokaryo1970@gmail.com</t>
  </si>
  <si>
    <t>10391</t>
  </si>
  <si>
    <t>https://drive.google.com/file/d/1HnkGK6_4_qLCbSidnqDPc4n1DeemZFqA/view?usp=drivesdk</t>
  </si>
  <si>
    <t>1HnkGK6_4_qLCbSidnqDPc4n1DeemZFqA</t>
  </si>
  <si>
    <t>10392</t>
  </si>
  <si>
    <t>https://drive.google.com/file/d/1Ox6o-N3xWhR5TC0JKGjkRckzWDuGMP-M/view?usp=drivesdk</t>
  </si>
  <si>
    <t>Document successfully created; Document successfully merged; PDF created; Emails Sent: [To: englis.pandiangan@gmail.com]; Run via form trigger as ecertificate75@gmail.com; Timestamp: Sep 5 2024 9:56 PM</t>
  </si>
  <si>
    <t>1Ox6o-N3xWhR5TC0JKGjkRckzWDuGMP-M</t>
  </si>
  <si>
    <t>NURSANTI SIAGIAN</t>
  </si>
  <si>
    <t>nursantisiagian811@gmail.com</t>
  </si>
  <si>
    <t>10393</t>
  </si>
  <si>
    <t>https://drive.google.com/file/d/1-U3uV7iAaDPGAufJoQM5F9h5sziEltlN/view?usp=drivesdk</t>
  </si>
  <si>
    <t>Document successfully created; Document successfully merged; PDF created; !!Error Sending Emails: Service invoked too many times for one day: email.; Run via form trigger as ecertificate75@gmail.com; Timestamp: Sep 5 2024 10:22 PM</t>
  </si>
  <si>
    <t>1-U3uV7iAaDPGAufJoQM5F9h5sziEltlN</t>
  </si>
  <si>
    <t>ELMI YUMNAH.S.K.M</t>
  </si>
  <si>
    <t>elmidki.71@gmail.com</t>
  </si>
  <si>
    <t>10394</t>
  </si>
  <si>
    <t>https://drive.google.com/file/d/14HaFNIpteqRIqKxZ81dZgGqAJYA0s4pz/view?usp=drivesdk</t>
  </si>
  <si>
    <t>14HaFNIpteqRIqKxZ81dZgGqAJYA0s4pz</t>
  </si>
  <si>
    <t>ainaa5760@gmail.com</t>
  </si>
  <si>
    <t>10395</t>
  </si>
  <si>
    <t>https://drive.google.com/file/d/1u1-PBjWaSeRE40CVSWrAO00F0rHY9pPE/view?usp=drivesdk</t>
  </si>
  <si>
    <t>1u1-PBjWaSeRE40CVSWrAO00F0rHY9pPE</t>
  </si>
  <si>
    <t>urlatbagsumda22@gmail.com</t>
  </si>
  <si>
    <t>10396</t>
  </si>
  <si>
    <t>https://drive.google.com/file/d/1QqljdlY56qYcorteAiGc95TDQwn3_u5a/view?usp=drivesdk</t>
  </si>
  <si>
    <t>1QqljdlY56qYcorteAiGc95TDQwn3_u5a</t>
  </si>
  <si>
    <t xml:space="preserve">MASHURI AR </t>
  </si>
  <si>
    <t>armashuri12@gmail.com</t>
  </si>
  <si>
    <t>10397</t>
  </si>
  <si>
    <t>https://drive.google.com/file/d/1JFqCBAUUrTznf1mt5-eJEKnTWCtpw8iL/view?usp=drivesdk</t>
  </si>
  <si>
    <t>1JFqCBAUUrTznf1mt5-eJEKnTWCtpw8iL</t>
  </si>
  <si>
    <t>10398</t>
  </si>
  <si>
    <t>https://drive.google.com/file/d/1kv6KaLBbQXbY6bQRqEIhvYgNZs261ERn/view?usp=drivesdk</t>
  </si>
  <si>
    <t>Document successfully created; Document successfully merged; PDF created; !!Error Sending Emails: Service invoked too many times for one day: email.; Run via form trigger as ecertificate75@gmail.com; Timestamp: Sep 6 2024 12:14 AM</t>
  </si>
  <si>
    <t>1kv6KaLBbQXbY6bQRqEIhvYgNZs261ERn</t>
  </si>
  <si>
    <t>rikisitanggang79@gmail.com</t>
  </si>
  <si>
    <t>10399</t>
  </si>
  <si>
    <t>https://drive.google.com/file/d/1_CtBLfZGfRbVCRFGao7caBnPP6Cpc1j0/view?usp=drivesdk</t>
  </si>
  <si>
    <t>Document successfully created; Document successfully merged; PDF created; !!Error Sending Emails: Service invoked too many times for one day: email.; Run via form trigger as ecertificate75@gmail.com; Timestamp: Sep 6 2024 12:52 AM</t>
  </si>
  <si>
    <t>1_CtBLfZGfRbVCRFGao7caBnPP6Cpc1j0</t>
  </si>
  <si>
    <t xml:space="preserve">BUDI SANTOSO </t>
  </si>
  <si>
    <t>pakbudi1313@gmail.com</t>
  </si>
  <si>
    <t>10400</t>
  </si>
  <si>
    <t>https://drive.google.com/file/d/1DgsOvyhyjghNyK4Z0FM1Sq7Ju33pZISg/view?usp=drivesdk</t>
  </si>
  <si>
    <t>Document successfully created; Document successfully merged; PDF created; Emails Sent: [To: pakbudi1313@gmail.com]; Run via form trigger as ecertificate75@gmail.com; Timestamp: Sep 6 2024 2:37 AM</t>
  </si>
  <si>
    <t>1DgsOvyhyjghNyK4Z0FM1Sq7Ju33pZISg</t>
  </si>
  <si>
    <t>desmiwatidesmiwati994@gmail.com</t>
  </si>
  <si>
    <t>10401</t>
  </si>
  <si>
    <t>https://drive.google.com/file/d/1OOL7QStCzoCVHUFaUTaDOsyNjcG5zeIi/view?usp=drivesdk</t>
  </si>
  <si>
    <t>Document successfully created; Document successfully merged; PDF created; Emails Sent: [To: desmiwatidesmiwati994@gmail.com]; Run via form trigger as ecertificate75@gmail.com; Timestamp: Sep 6 2024 2:59 AM</t>
  </si>
  <si>
    <t>1OOL7QStCzoCVHUFaUTaDOsyNjcG5zeIi</t>
  </si>
  <si>
    <t>yusufrianto776@gmail.com</t>
  </si>
  <si>
    <t>10402</t>
  </si>
  <si>
    <t>https://drive.google.com/file/d/1vY8IHOtGQtBg7taQGa1vftajBIbIVwEE/view?usp=drivesdk</t>
  </si>
  <si>
    <t>Document successfully created; Document successfully merged; PDF created; Emails Sent: [To: yusufrianto776@gmail.com]; Run via form trigger as ecertificate75@gmail.com; Timestamp: Sep 6 2024 3:24 AM</t>
  </si>
  <si>
    <t>1vY8IHOtGQtBg7taQGa1vftajBIbIVwEE</t>
  </si>
  <si>
    <t>10403</t>
  </si>
  <si>
    <t>https://drive.google.com/file/d/189U7IMssRWuZe4O4g93qzLKvowVzX1Vw/view?usp=drivesdk</t>
  </si>
  <si>
    <t>Document successfully created; Document successfully merged; PDF created; Emails Sent: [To: evajuntak848@gmail.com]; Run via form trigger as ecertificate75@gmail.com; Timestamp: Sep 6 2024 4:28 AM</t>
  </si>
  <si>
    <t>189U7IMssRWuZe4O4g93qzLKvowVzX1Vw</t>
  </si>
  <si>
    <t>10404</t>
  </si>
  <si>
    <t>https://drive.google.com/file/d/1d7IvZ7ilrtla81UdRWREyEY-RHT9nMvx/view?usp=drivesdk</t>
  </si>
  <si>
    <t>Document successfully created; Document successfully merged; PDF created; Emails Sent: [To: ritajenni2@gmail.com]; Run via form trigger as ecertificate75@gmail.com; Timestamp: Sep 6 2024 10:05 AM</t>
  </si>
  <si>
    <t>1d7IvZ7ilrtla81UdRWREyEY-RHT9nMvx</t>
  </si>
  <si>
    <t>HILDA VERA Br LUMBAN GAOL</t>
  </si>
  <si>
    <t>verahilda892@gmail.com</t>
  </si>
  <si>
    <t>10405</t>
  </si>
  <si>
    <t>https://drive.google.com/file/d/1p4D9YEjdoU58KKZ6Lag9v9lXR6aGMY0C/view?usp=drivesdk</t>
  </si>
  <si>
    <t>Document successfully created; Document successfully merged; PDF created; Emails Sent: [To: verahilda892@gmail.com]; Run via form trigger as ecertificate75@gmail.com; Timestamp: Sep 8 2024 5:26 AM</t>
  </si>
  <si>
    <t>1p4D9YEjdoU58KKZ6Lag9v9lXR6aGMY0C</t>
  </si>
  <si>
    <t>ALDINA NURALIM</t>
  </si>
  <si>
    <t>Aldinanuralim@gmail.com</t>
  </si>
  <si>
    <t>10406</t>
  </si>
  <si>
    <t>https://drive.google.com/file/d/1JDKL5cto8QGhTUK_rpbbka-VccrsIWm2/view?usp=drivesdk</t>
  </si>
  <si>
    <t>Document successfully created; Document successfully merged; PDF created; Emails Sent: [To: Aldinanuralim@gmail.com]; Run via form trigger as ecertificate75@gmail.com; Timestamp: Sep 8 2024 8:00 PM</t>
  </si>
  <si>
    <t>1JDKL5cto8QGhTUK_rpbbka-VccrsIWm2</t>
  </si>
  <si>
    <t>ADRIANTO A. IBRAHIM, A.Md.Kep</t>
  </si>
  <si>
    <t>riannalii8500@gmail.com</t>
  </si>
  <si>
    <t>10407</t>
  </si>
  <si>
    <t>https://drive.google.com/file/d/1A0Cpm50IGVm5p5tJXFwHNKPhmNhvEIL4/view?usp=drivesdk</t>
  </si>
  <si>
    <t>Document successfully created; Document successfully merged; PDF created; Emails Sent: [To: riannalii8500@gmail.com]; Run via form trigger as ecertificate75@gmail.com; Timestamp: Sep 8 2024 8:09 PM</t>
  </si>
  <si>
    <t>1A0Cpm50IGVm5p5tJXFwHNKPhmNhvEIL4</t>
  </si>
  <si>
    <t>SAHID Hi. AHMAD, S.Kep., Ns.</t>
  </si>
  <si>
    <t>instalasifarmasirsbternate@gmail.com</t>
  </si>
  <si>
    <t>10408</t>
  </si>
  <si>
    <t>https://drive.google.com/file/d/1zn31q2hl7ly4j97y7xSb9MCJhVUI6hA3/view?usp=drivesdk</t>
  </si>
  <si>
    <t>Document successfully created; Document successfully merged; PDF created; Emails Sent: [To: instalasifarmasirsbternate@gmail.com]; Run via form trigger as ecertificate75@gmail.com; Timestamp: Sep 8 2024 8:11 PM</t>
  </si>
  <si>
    <t>1zn31q2hl7ly4j97y7xSb9MCJhVUI6hA3</t>
  </si>
  <si>
    <t>SITI MARWA</t>
  </si>
  <si>
    <t>sitimarwa029@gmail.com</t>
  </si>
  <si>
    <t>10409</t>
  </si>
  <si>
    <t>https://drive.google.com/file/d/1K_Dmw0aXBzl1sY7Jsw0G18TsahVDkrmC/view?usp=drivesdk</t>
  </si>
  <si>
    <t>Document successfully created; Document successfully merged; PDF created; Emails Sent: [To: sitimarwa029@gmail.com]; Run via form trigger as ecertificate75@gmail.com; Timestamp: Sep 8 2024 8:12 PM</t>
  </si>
  <si>
    <t>1K_Dmw0aXBzl1sY7Jsw0G18TsahVDkrmC</t>
  </si>
  <si>
    <t>apt. TRISNO SAPUTRA, S.Farm.</t>
  </si>
  <si>
    <t>kespol.biddokkesmalut@gmail.com</t>
  </si>
  <si>
    <t>10410</t>
  </si>
  <si>
    <t>https://drive.google.com/file/d/1PWBtnoGo8trXqI0lEg3Jie9QxUmLwVzF/view?usp=drivesdk</t>
  </si>
  <si>
    <t>Document successfully created; Document successfully merged; PDF created; Emails Sent: [To: kespol.biddokkesmalut@gmail.com]; Run via form trigger as ecertificate75@gmail.com; Timestamp: Sep 8 2024 8:19 PM</t>
  </si>
  <si>
    <t>1PWBtnoGo8trXqI0lEg3Jie9QxUmLwVzF</t>
  </si>
  <si>
    <t>gurdaniopsnal@gmail.com</t>
  </si>
  <si>
    <t>10411</t>
  </si>
  <si>
    <t>https://drive.google.com/file/d/1wyufUA3xN58MDj2udAtj50cDM59SkFU1/view?usp=drivesdk</t>
  </si>
  <si>
    <t>Document successfully created; Document successfully merged; PDF created; Emails Sent: [To: gurdaniopsnal@gmail.com]; Run via form trigger as ecertificate75@gmail.com; Timestamp: Sep 8 2024 10:18 PM</t>
  </si>
  <si>
    <t>1wyufUA3xN58MDj2udAtj50cDM59SkFU1</t>
  </si>
  <si>
    <t>urkespolresbinjai@gmail.com</t>
  </si>
  <si>
    <t>10412</t>
  </si>
  <si>
    <t>https://drive.google.com/file/d/1mN1OuHmaPvYN-zI8aGQb2FzIHpOyWqxb/view?usp=drivesdk</t>
  </si>
  <si>
    <t>Document successfully created; Document successfully merged; PDF created; Emails Sent: [To: urkespolresbinjai@gmail.com]; Run via form trigger as ecertificate75@gmail.com; Timestamp: Sep 8 2024 11:52 PM</t>
  </si>
  <si>
    <t>1mN1OuHmaPvYN-zI8aGQb2FzIHpOyWqxb</t>
  </si>
  <si>
    <t>10413</t>
  </si>
  <si>
    <t>https://drive.google.com/file/d/1JgOdXBeCmEG4vYzeuTATM31gl_Z5XXQ1/view?usp=drivesdk</t>
  </si>
  <si>
    <t>Document successfully created; Document successfully merged; PDF created; Emails Sent: [To: pormaidasimanjuntak0701@gmail.com]; Run via form trigger as ecertificate75@gmail.com; Timestamp: Sep 10 2024 4:01 AM</t>
  </si>
  <si>
    <t>1JgOdXBeCmEG4vYzeuTATM31gl_Z5XXQ1</t>
  </si>
  <si>
    <t>10414</t>
  </si>
  <si>
    <t>https://drive.google.com/file/d/1-_Sf7hZUDKzq_5N0_xq4O6J_4Fi-_9fs/view?usp=drivesdk</t>
  </si>
  <si>
    <t>Document successfully created; Document successfully merged; PDF created; Emails Sent: [To: rahmabatu66@gmail.com]; Run via form trigger as ecertificate75@gmail.com; Timestamp: Sep 10 2024 9:16 AM</t>
  </si>
  <si>
    <t>1-_Sf7hZUDKzq_5N0_xq4O6J_4Fi-_9fs</t>
  </si>
  <si>
    <t>renokuoppo73@gmail.com</t>
  </si>
  <si>
    <t>10415</t>
  </si>
  <si>
    <t>https://drive.google.com/file/d/1FbkKiHJ3jmr-OjXhsury4QnfWf_D-iFJ/view?usp=drivesdk</t>
  </si>
  <si>
    <t>Document successfully created; Document successfully merged; PDF created; Emails Sent: [To: renokuoppo73@gmail.com]; Run via form trigger as ecertificate75@gmail.com; Timestamp: Sep 10 2024 10:21 PM</t>
  </si>
  <si>
    <t>1FbkKiHJ3jmr-OjXhsury4QnfWf_D-iFJ</t>
  </si>
  <si>
    <t>FRIZA ALFARID</t>
  </si>
  <si>
    <t>frizaalfarid85@gmail.com</t>
  </si>
  <si>
    <t>10416</t>
  </si>
  <si>
    <t>https://drive.google.com/file/d/1IjnIJ2FWA6smprIqAsIatgtYOT12qCrG/view?usp=drivesdk</t>
  </si>
  <si>
    <t>Document successfully created; Document successfully merged; PDF created; Emails Sent: [To: frizaalfarid85@gmail.com]; Run via form trigger as ecertificate75@gmail.com; Timestamp: Sep 10 2024 10:38 PM</t>
  </si>
  <si>
    <t>1IjnIJ2FWA6smprIqAsIatgtYOT12qCrG</t>
  </si>
  <si>
    <t>GUNTUR WIJAYA KESUMA, S.T., M.Si</t>
  </si>
  <si>
    <t>jaaaMz@gmail.com</t>
  </si>
  <si>
    <t>10417</t>
  </si>
  <si>
    <t>https://drive.google.com/file/d/1K6f_jUwwFJ3Aj3GLY6PQC6Xp66-VmtKZ/view?usp=drivesdk</t>
  </si>
  <si>
    <t>Document successfully created; Document successfully merged; PDF created; Emails Sent: [To: jaaaMz@gmail.com]; Run via form trigger as ecertificate75@gmail.com; Timestamp: Sep 11 2024 7:55 AM</t>
  </si>
  <si>
    <t>1K6f_jUwwFJ3Aj3GLY6PQC6Xp66-VmtKZ</t>
  </si>
  <si>
    <t>KAMISARI, S.H.</t>
  </si>
  <si>
    <t>kamisari1974@gmail.com</t>
  </si>
  <si>
    <t>10418</t>
  </si>
  <si>
    <t>https://drive.google.com/file/d/1Z6LO8Gqv8fxdYmoqMJtMHnS2GVuKsZPU/view?usp=drivesdk</t>
  </si>
  <si>
    <t>Document successfully created; Document successfully merged; PDF created; Emails Sent: [To: kamisari1974@gmail.com]; Run via form trigger as ecertificate75@gmail.com; Timestamp: Sep 11 2024 10:47 PM</t>
  </si>
  <si>
    <t>1Z6LO8Gqv8fxdYmoqMJtMHnS2GVuKsZPU</t>
  </si>
  <si>
    <t>SABAR PRASTOWO</t>
  </si>
  <si>
    <t>sabarprastowo4@gmail.com</t>
  </si>
  <si>
    <t>10419</t>
  </si>
  <si>
    <t>https://drive.google.com/file/d/1i3eUrnGf8x9sWMHLkvxxNNHGdEu11wlS/view?usp=drivesdk</t>
  </si>
  <si>
    <t>Document successfully created; Document successfully merged; PDF created; Emails Sent: [To: sabarprastowo4@gmail.com]; Run via form trigger as ecertificate75@gmail.com; Timestamp: Sep 11 2024 11:14 PM</t>
  </si>
  <si>
    <t>1i3eUrnGf8x9sWMHLkvxxNNHGdEu11wlS</t>
  </si>
  <si>
    <t>TARKOo</t>
  </si>
  <si>
    <t>tarkospnpwt@gmail.com</t>
  </si>
  <si>
    <t>10420</t>
  </si>
  <si>
    <t>https://drive.google.com/file/d/1VObxIFXxk21EPs-hIzrg_mzTjVnTvI5Z/view?usp=drivesdk</t>
  </si>
  <si>
    <t>Document successfully created; Document successfully merged; PDF created; Emails Sent: [To: tarkospnpwt@gmail.com]; Run via form trigger as ecertificate75@gmail.com; Timestamp: Sep 11 2024 11:30 PM</t>
  </si>
  <si>
    <t>1VObxIFXxk21EPs-hIzrg_mzTjVnTvI5Z</t>
  </si>
  <si>
    <t>YUSUF FATKHUROHMAN</t>
  </si>
  <si>
    <t>yfrohman@gmail.com</t>
  </si>
  <si>
    <t>10421</t>
  </si>
  <si>
    <t>https://drive.google.com/file/d/1BnwSqm1cv4LUmjLR87HrG-FiQPHGvPaJ/view?usp=drivesdk</t>
  </si>
  <si>
    <t>Document successfully created; Document successfully merged; PDF created; Emails Sent: [To: yfrohman@gmail.com]; Run via form trigger as ecertificate75@gmail.com; Timestamp: Sep 11 2024 11:38 PM</t>
  </si>
  <si>
    <t>1BnwSqm1cv4LUmjLR87HrG-FiQPHGvPaJ</t>
  </si>
  <si>
    <t>HASYIM ADNAN</t>
  </si>
  <si>
    <t>hasyimadnan1985@gmail.com</t>
  </si>
  <si>
    <t>10422</t>
  </si>
  <si>
    <t>https://drive.google.com/file/d/1ZCgTR0i7fyFI1QRx9Xpc0uStn6g38RKT/view?usp=drivesdk</t>
  </si>
  <si>
    <t>Document successfully created; Document successfully merged; PDF created; Emails Sent: [To: hasyimadnan1985@gmail.com]; Run via form trigger as ecertificate75@gmail.com; Timestamp: Sep 11 2024 11:47 PM</t>
  </si>
  <si>
    <t>1ZCgTR0i7fyFI1QRx9Xpc0uStn6g38RKT</t>
  </si>
  <si>
    <t xml:space="preserve">UDA BGS ARTHA JAYA, S. PD. H. </t>
  </si>
  <si>
    <t>agusartha1979@gmail.com</t>
  </si>
  <si>
    <t>10423</t>
  </si>
  <si>
    <t>https://drive.google.com/file/d/1qmQwjYjQoRoFvWqUyLUIoSKYOEiNAKjc/view?usp=drivesdk</t>
  </si>
  <si>
    <t>Document successfully created; Document successfully merged; PDF created; Emails Sent: [To: agusartha1979@gmail.com]; Run via form trigger as ecertificate75@gmail.com; Timestamp: Sep 12 2024 5:41 AM</t>
  </si>
  <si>
    <t>1qmQwjYjQoRoFvWqUyLUIoSKYOEiNAKjc</t>
  </si>
  <si>
    <t>SAFARI</t>
  </si>
  <si>
    <t>safarialfaridzi@gmail.com</t>
  </si>
  <si>
    <t>10424</t>
  </si>
  <si>
    <t>https://drive.google.com/file/d/1GTHkbdKyR0Ej4FaUTnSjy1kuqgCZvwmJ/view?usp=drivesdk</t>
  </si>
  <si>
    <t>Document successfully created; Document successfully merged; PDF created; Emails Sent: [To: safarialfaridzi@gmail.com]; Run via form trigger as ecertificate75@gmail.com; Timestamp: Sep 16 2024 9:56 PM</t>
  </si>
  <si>
    <t>1GTHkbdKyR0Ej4FaUTnSjy1kuqgCZvwmJ</t>
  </si>
  <si>
    <t>POLRESBONDOWOSO.SDM@gmail.com</t>
  </si>
  <si>
    <t>10425</t>
  </si>
  <si>
    <t>https://drive.google.com/file/d/1Oowyz4GBDCC3TKlj4eBbZwHqMDbwRodm/view?usp=drivesdk</t>
  </si>
  <si>
    <t>Document successfully created; Document successfully merged; PDF created; Emails Sent: [To: POLRESBONDOWOSO.SDM@gmail.com]; Run via form trigger as ecertificate75@gmail.com; Timestamp: Sep 16 2024 10:04 PM</t>
  </si>
  <si>
    <t>1Oowyz4GBDCC3TKlj4eBbZwHqMDbwRodm</t>
  </si>
  <si>
    <t xml:space="preserve">FUJI ASTUTI </t>
  </si>
  <si>
    <t>astutifuji1982@gmail.com</t>
  </si>
  <si>
    <t>10426</t>
  </si>
  <si>
    <t>https://drive.google.com/file/d/1QsuOyaBhA3EU7d6XsN4KkvDZRmFl05s8/view?usp=drivesdk</t>
  </si>
  <si>
    <t>Document successfully created; Document successfully merged; PDF created; Emails Sent: [To: astutifuji1982@gmail.com]; Run via form trigger as ecertificate75@gmail.com; Timestamp: Sep 16 2024 10:04 PM</t>
  </si>
  <si>
    <t>1QsuOyaBhA3EU7d6XsN4KkvDZRmFl05s8</t>
  </si>
  <si>
    <t>NARTOo</t>
  </si>
  <si>
    <t>nartoseton@gmail.com</t>
  </si>
  <si>
    <t>10427</t>
  </si>
  <si>
    <t>https://drive.google.com/file/d/1TLOuWU2dqdHIJz4KQOrjLSL1nPDLFYgc/view?usp=drivesdk</t>
  </si>
  <si>
    <t>Document successfully created; Document successfully merged; PDF created; Emails Sent: [To: nartoseton@gmail.com]; Run via form trigger as ecertificate75@gmail.com; Timestamp: Sep 16 2024 10:25 PM</t>
  </si>
  <si>
    <t>1TLOuWU2dqdHIJz4KQOrjLSL1nPDLFYgc</t>
  </si>
  <si>
    <t>ADI SUBERKAT</t>
  </si>
  <si>
    <t>adisuberkat@gmail.com</t>
  </si>
  <si>
    <t>10428</t>
  </si>
  <si>
    <t>https://drive.google.com/file/d/16dYPi5T5nerUWWemi1i7IhS2pWHPQjyX/view?usp=drivesdk</t>
  </si>
  <si>
    <t>16dYPi5T5nerUWWemi1i7IhS2pWHPQjyX</t>
  </si>
  <si>
    <t>valerinasabrinaarya@gmail.com</t>
  </si>
  <si>
    <t>10429</t>
  </si>
  <si>
    <t>https://drive.google.com/file/d/1hNvTWVkedWPTVSaFq5aioeTjY0MfxcWw/view?usp=drivesdk</t>
  </si>
  <si>
    <t>Document successfully created; Document successfully merged; PDF created; Emails Sent: [To: valerinasabrinaarya@gmail.com]; Run via form trigger as ecertificate75@gmail.com; Timestamp: Sep 16 2024 10:56 PM</t>
  </si>
  <si>
    <t>1hNvTWVkedWPTVSaFq5aioeTjY0MfxcWw</t>
  </si>
  <si>
    <t>indahpujie18@gmail.com</t>
  </si>
  <si>
    <t>10430</t>
  </si>
  <si>
    <t>https://drive.google.com/file/d/16AmIm8EZsxJVOeR1JfHn6W0L7o0XA_YM/view?usp=drivesdk</t>
  </si>
  <si>
    <t>Document successfully created; Document successfully merged; PDF created; Emails Sent: [To: indahpujie18@gmail.com]; Run via form trigger as ecertificate75@gmail.com; Timestamp: Sep 16 2024 11:15 PM</t>
  </si>
  <si>
    <t>16AmIm8EZsxJVOeR1JfHn6W0L7o0XA_YM</t>
  </si>
  <si>
    <t>SARJIYANTI</t>
  </si>
  <si>
    <t>sardianti65@gmail.com</t>
  </si>
  <si>
    <t>10431</t>
  </si>
  <si>
    <t>https://drive.google.com/file/d/1fKBcgr-1FXfBxrSo1bv_JiLmq_8Inx5I/view?usp=drivesdk</t>
  </si>
  <si>
    <t>Document successfully created; Document successfully merged; PDF created; Emails Sent: [To: sardianti65@gmail.com]; Run via form trigger as ecertificate75@gmail.com; Timestamp: Sep 17 2024 12:36 AM</t>
  </si>
  <si>
    <t>1fKBcgr-1FXfBxrSo1bv_JiLmq_8Inx5I</t>
  </si>
  <si>
    <t>10432</t>
  </si>
  <si>
    <t>https://drive.google.com/file/d/1nLQJhczYmTy7Zj7snY8X05CJR6PyZj1w/view?usp=drivesdk</t>
  </si>
  <si>
    <t>1nLQJhczYmTy7Zj7snY8X05CJR6PyZj1w</t>
  </si>
  <si>
    <t>yustriyani.xiomi@gmail.com</t>
  </si>
  <si>
    <t>10433</t>
  </si>
  <si>
    <t>https://drive.google.com/file/d/1GHZkbtXX5Pa60zLmak63h3llGDEnLLbg/view?usp=drivesdk</t>
  </si>
  <si>
    <t>Document successfully created; Document successfully merged; PDF created; Emails Sent: [To: yustriyani.xiomi@gmail.com]; Run via form trigger as ecertificate75@gmail.com; Timestamp: Sep 17 2024 1:41 AM</t>
  </si>
  <si>
    <t>1GHZkbtXX5Pa60zLmak63h3llGDEnLLbg</t>
  </si>
  <si>
    <t>ALFIA LUDU</t>
  </si>
  <si>
    <t>calistanacita@gmail.com</t>
  </si>
  <si>
    <t>10434</t>
  </si>
  <si>
    <t>https://drive.google.com/file/d/1On0WuoBvjqM9ATBCaPJurAEzYDwtotpj/view?usp=drivesdk</t>
  </si>
  <si>
    <t>1On0WuoBvjqM9ATBCaPJurAEzYDwtotpj</t>
  </si>
  <si>
    <t>BASMALENTA</t>
  </si>
  <si>
    <t>basmalentasembiring@gmail.com</t>
  </si>
  <si>
    <t>10435</t>
  </si>
  <si>
    <t>https://drive.google.com/file/d/1TjVKhRFcWhRzSgwxGnH1kDyiZDiameXk/view?usp=drivesdk</t>
  </si>
  <si>
    <t>Document successfully created; Document successfully merged; PDF created; !!Error Sending Emails: Service invoked too many times for one day: email.; Run via form trigger as ecertificate75@gmail.com; Timestamp: Sep 17 2024 9:41 AM</t>
  </si>
  <si>
    <t>1TjVKhRFcWhRzSgwxGnH1kDyiZDiameXk</t>
  </si>
  <si>
    <t>10436</t>
  </si>
  <si>
    <t>https://drive.google.com/file/d/1wb6eYwWmHDIkhxAoAJvL3IQRYcr0uEva/view?usp=drivesdk</t>
  </si>
  <si>
    <t>Document successfully created; Document successfully merged; PDF created; Emails Sent: [To: werlydarintah12@gmail.com]; Run via form trigger as ecertificate75@gmail.com; Timestamp: Sep 17 2024 9:50 PM</t>
  </si>
  <si>
    <t>1wb6eYwWmHDIkhxAoAJvL3IQRYcr0uEva</t>
  </si>
  <si>
    <t>ARMIA, A.</t>
  </si>
  <si>
    <t>Armiamia043@gmail.com</t>
  </si>
  <si>
    <t>10437</t>
  </si>
  <si>
    <t>https://drive.google.com/file/d/14xUo0qMalJrOSXnMDfEkhDQCiPyKaRNE/view?usp=drivesdk</t>
  </si>
  <si>
    <t>Document successfully created; Document successfully merged; PDF created; Emails Sent: [To: Armiamia043@gmail.com]; Run via form trigger as ecertificate75@gmail.com; Timestamp: Sep 17 2024 9:52 PM</t>
  </si>
  <si>
    <t>14xUo0qMalJrOSXnMDfEkhDQCiPyKaRNE</t>
  </si>
  <si>
    <t>NYOMAN AYU MUSTIKA PUTRI, A.Md. Ak.</t>
  </si>
  <si>
    <t>10438</t>
  </si>
  <si>
    <t>https://drive.google.com/file/d/1qdMsEAJ1FJgSCc6cS5--FSJKbp6ZGzvv/view?usp=drivesdk</t>
  </si>
  <si>
    <t>Document successfully created; Document successfully merged; PDF created; Emails Sent: [To: mustikaputri95@gmail.com]; Run via form trigger as ecertificate75@gmail.com; Timestamp: Sep 17 2024 10:00 PM</t>
  </si>
  <si>
    <t>1qdMsEAJ1FJgSCc6cS5--FSJKbp6ZGzvv</t>
  </si>
  <si>
    <t>Sella Novalia Risakotta, Amd.Kep</t>
  </si>
  <si>
    <t>sellanovalia03@gmail.com</t>
  </si>
  <si>
    <t>10439</t>
  </si>
  <si>
    <t>https://drive.google.com/file/d/1FsqJjVAqtIEBmoF1IwDie_2uy8uikhii/view?usp=drivesdk</t>
  </si>
  <si>
    <t>Document successfully created; Document successfully merged; PDF created; Emails Sent: [To: sellanovalia03@gmail.com]; Run via form trigger as ecertificate75@gmail.com; Timestamp: Sep 17 2024 10:30 PM</t>
  </si>
  <si>
    <t>1FsqJjVAqtIEBmoF1IwDie_2uy8uikhii</t>
  </si>
  <si>
    <t>IRA AGUSTINA</t>
  </si>
  <si>
    <t>ira.agustina1982@gmail.com</t>
  </si>
  <si>
    <t>10440</t>
  </si>
  <si>
    <t>https://drive.google.com/file/d/1LVZCja1s0cwUsKGZIlCVxOA0MqQgui1u/view?usp=drivesdk</t>
  </si>
  <si>
    <t>Document successfully created; Document successfully merged; PDF created; Emails Sent: [To: ira.agustina1982@gmail.com]; Run via form trigger as ecertificate75@gmail.com; Timestamp: Sep 17 2024 10:37 PM</t>
  </si>
  <si>
    <t>1LVZCja1s0cwUsKGZIlCVxOA0MqQgui1u</t>
  </si>
  <si>
    <t>Ratna Dewi Komala, S.Ak.</t>
  </si>
  <si>
    <t>ratnadewikomala888@gmail.com</t>
  </si>
  <si>
    <t>10441</t>
  </si>
  <si>
    <t>https://drive.google.com/file/d/1YONc6XJ-l2HhGoGa4uRgbvu6A3oG3mFc/view?usp=drivesdk</t>
  </si>
  <si>
    <t>Document successfully created; Document successfully merged; PDF created; Emails Sent: [To: ratnadewikomala888@gmail.com]; Run via form trigger as ecertificate75@gmail.com; Timestamp: Sep 18 2024 1:14 AM</t>
  </si>
  <si>
    <t>1YONc6XJ-l2HhGoGa4uRgbvu6A3oG3mFc</t>
  </si>
  <si>
    <t>REFMA ZULINA</t>
  </si>
  <si>
    <t>kresnapadangpariaman001@gmail.com</t>
  </si>
  <si>
    <t>10442</t>
  </si>
  <si>
    <t>https://drive.google.com/file/d/18Ecwar5oXw4E2JD1Wq5HHFgdUBeY2mc4/view?usp=drivesdk</t>
  </si>
  <si>
    <t>Document successfully created; Document successfully merged; PDF created; Emails Sent: [To: kresnapadangpariaman001@gmail.com]; Run via form trigger as ecertificate75@gmail.com; Timestamp: Sep 18 2024 1:19 AM</t>
  </si>
  <si>
    <t>18Ecwar5oXw4E2JD1Wq5HHFgdUBeY2mc4</t>
  </si>
  <si>
    <t>10443</t>
  </si>
  <si>
    <t>https://drive.google.com/file/d/1TqPmEHqqYH8FqNcoBFaVKkFpDUwzHR2W/view?usp=drivesdk</t>
  </si>
  <si>
    <t>Document successfully created; Document successfully merged; PDF created; Emails Sent: [To: dary4ni@gmail.com]; Run via form trigger as ecertificate75@gmail.com; Timestamp: Sep 18 2024 3:12 AM</t>
  </si>
  <si>
    <t>1TqPmEHqqYH8FqNcoBFaVKkFpDUwzHR2W</t>
  </si>
  <si>
    <t>10444</t>
  </si>
  <si>
    <t>https://drive.google.com/file/d/121TvihU2n5ah0Uu9tMIHBIoOTnALxTl4/view?usp=drivesdk</t>
  </si>
  <si>
    <t>Document successfully created; Document successfully merged; PDF created; Emails Sent: [To: elasumarni724@gmail.com]; Run via form trigger as ecertificate75@gmail.com; Timestamp: Sep 18 2024 11:15 PM</t>
  </si>
  <si>
    <t>121TvihU2n5ah0Uu9tMIHBIoOTnALxTl4</t>
  </si>
  <si>
    <t>ENTIN WISMARIATIN, S.SOS</t>
  </si>
  <si>
    <t>entinwisma12@gmail.com</t>
  </si>
  <si>
    <t>10445</t>
  </si>
  <si>
    <t>https://drive.google.com/file/d/1iQbBWWT4zvQvIPyoPTRRHA7ykr29VwBl/view?usp=drivesdk</t>
  </si>
  <si>
    <t>Document successfully created; Document successfully merged; PDF created; Emails Sent: [To: entinwisma12@gmail.com]; Run via form trigger as ecertificate75@gmail.com; Timestamp: Sep 18 2024 11:37 PM</t>
  </si>
  <si>
    <t>1iQbBWWT4zvQvIPyoPTRRHA7ykr29VwBl</t>
  </si>
  <si>
    <t xml:space="preserve">KARIMUN </t>
  </si>
  <si>
    <t>k43805309@gmail.com</t>
  </si>
  <si>
    <t>10446</t>
  </si>
  <si>
    <t>https://drive.google.com/file/d/1XhFvac1pseKYEaNqzL1b0QCS2aEJCDzH/view?usp=drivesdk</t>
  </si>
  <si>
    <t>Document successfully created; Document successfully merged; PDF created; Emails Sent: [To: k43805309@gmail.com]; Run via form trigger as ecertificate75@gmail.com; Timestamp: Sep 19 2024 1:09 AM</t>
  </si>
  <si>
    <t>1XhFvac1pseKYEaNqzL1b0QCS2aEJCDzH</t>
  </si>
  <si>
    <t>DRS TURUT</t>
  </si>
  <si>
    <t>turutyuliati25@gmail.com</t>
  </si>
  <si>
    <t>10447</t>
  </si>
  <si>
    <t>https://drive.google.com/file/d/1K4Dhp7wgt6a_H7oRuFs2vlqLAVeQ7aXw/view?usp=drivesdk</t>
  </si>
  <si>
    <t>Document successfully created; Document successfully merged; PDF created; Emails Sent: [To: turutyuliati25@gmail.com]; Run via form trigger as ecertificate75@gmail.com; Timestamp: Sep 19 2024 3:01 AM</t>
  </si>
  <si>
    <t>1K4Dhp7wgt6a_H7oRuFs2vlqLAVeQ7aXw</t>
  </si>
  <si>
    <t>SOKHIBI, S.Ag.</t>
  </si>
  <si>
    <t>sekolahpolisipwt@gmail.com</t>
  </si>
  <si>
    <t>10448</t>
  </si>
  <si>
    <t>https://drive.google.com/file/d/1oyrbYM3AdwY_ZLV3EuuFs4XmggtqztuA/view?usp=drivesdk</t>
  </si>
  <si>
    <t>Document successfully created; Document successfully merged; PDF created; Emails Sent: [To: sekolahpolisipwt@gmail.com]; Run via form trigger as ecertificate75@gmail.com; Timestamp: Sep 19 2024 9:41 AM</t>
  </si>
  <si>
    <t>1oyrbYM3AdwY_ZLV3EuuFs4XmggtqztuA</t>
  </si>
  <si>
    <t>SYAHRIAL FEEFNDI</t>
  </si>
  <si>
    <t>Syahrialeffendi78@gmail.com</t>
  </si>
  <si>
    <t>10449</t>
  </si>
  <si>
    <t>https://drive.google.com/file/d/145WY8GLCTYu9KF-MeC5x1QCsCvrhcD0T/view?usp=drivesdk</t>
  </si>
  <si>
    <t>145WY8GLCTYu9KF-MeC5x1QCsCvrhcD0T</t>
  </si>
  <si>
    <t>rajumas61@gmail.com</t>
  </si>
  <si>
    <t>10450</t>
  </si>
  <si>
    <t>https://drive.google.com/file/d/1vCQjnp-h_KtuL2UhH64c4kd9qGylUytA/view?usp=drivesdk</t>
  </si>
  <si>
    <t>Document successfully created; Document successfully merged; PDF created; Emails Sent: [To: rajumas61@gmail.com]; Run via form trigger as ecertificate75@gmail.com; Timestamp: Sep 19 2024 9:22 PM</t>
  </si>
  <si>
    <t>1vCQjnp-h_KtuL2UhH64c4kd9qGylUytA</t>
  </si>
  <si>
    <t>HARI SOEBAGYA, S.S.</t>
  </si>
  <si>
    <t>urminspnpoldajtg@gmail.com</t>
  </si>
  <si>
    <t>10451</t>
  </si>
  <si>
    <t>https://drive.google.com/file/d/10KlW4VoebeX0hOakuch_8j5L9xlha3Vk/view?usp=drivesdk</t>
  </si>
  <si>
    <t>Document successfully created; Document successfully merged; PDF created; !!Error Sending Emails: Service invoked too many times for one day: email.; Run via form trigger as ecertificate75@gmail.com; Timestamp: Sep 19 2024 9:59 PM</t>
  </si>
  <si>
    <t>10KlW4VoebeX0hOakuch_8j5L9xlha3Vk</t>
  </si>
  <si>
    <t>harisoebagya0123@gmail.com</t>
  </si>
  <si>
    <t>10452</t>
  </si>
  <si>
    <t>https://drive.google.com/file/d/1wRqSlt5_wtQHKM5KJwxREq6021s0S8VF/view?usp=drivesdk</t>
  </si>
  <si>
    <t>Document successfully created; Document successfully merged; PDF created; Emails Sent: [To: harisoebagya0123@gmail.com]; Run via form trigger as ecertificate75@gmail.com; Timestamp: Sep 19 2024 10:33 PM</t>
  </si>
  <si>
    <t>1wRqSlt5_wtQHKM5KJwxREq6021s0S8VF</t>
  </si>
  <si>
    <t>autocratn</t>
  </si>
  <si>
    <t>autocratp</t>
  </si>
  <si>
    <t>dataSheetName</t>
  </si>
  <si>
    <t>"Copy of Form Responses 1"</t>
  </si>
  <si>
    <t>v</t>
  </si>
  <si>
    <t>"5.1"</t>
  </si>
  <si>
    <t>dataSheetId</t>
  </si>
  <si>
    <t>"1.527246005E9"</t>
  </si>
  <si>
    <t>updateTime</t>
  </si>
  <si>
    <t>"1.725123734604E12"</t>
  </si>
  <si>
    <t>Job ID</t>
  </si>
  <si>
    <t>Job Name</t>
  </si>
  <si>
    <t>Template ID</t>
  </si>
  <si>
    <t>Data Sheet ID</t>
  </si>
  <si>
    <t>Header Row</t>
  </si>
  <si>
    <t>First Data Row</t>
  </si>
  <si>
    <t>File Name</t>
  </si>
  <si>
    <t>File Type</t>
  </si>
  <si>
    <t>Share As</t>
  </si>
  <si>
    <t>Folders</t>
  </si>
  <si>
    <t>Dynamic Folder Reference</t>
  </si>
  <si>
    <t>Conditionals</t>
  </si>
  <si>
    <t>Mode</t>
  </si>
  <si>
    <t>Append Breaks</t>
  </si>
  <si>
    <t>Tags</t>
  </si>
  <si>
    <t>Run On Time Trigger</t>
  </si>
  <si>
    <t>Time Trigger Frequency</t>
  </si>
  <si>
    <t>Run On Form Trigger</t>
  </si>
  <si>
    <t>Send Email And Share</t>
  </si>
  <si>
    <t>Email To</t>
  </si>
  <si>
    <t>Email CC</t>
  </si>
  <si>
    <t>Email BCC</t>
  </si>
  <si>
    <t>Email Reply To</t>
  </si>
  <si>
    <t>Email No Reply</t>
  </si>
  <si>
    <t>Email Subject</t>
  </si>
  <si>
    <t>Email Body</t>
  </si>
  <si>
    <t>Prevent Resharing</t>
  </si>
  <si>
    <t>Time Trigger Timestamp</t>
  </si>
  <si>
    <t>Form Trigger Timestamp</t>
  </si>
  <si>
    <t>_1724598283704</t>
  </si>
  <si>
    <t>SERTIFIKAT ONLINE</t>
  </si>
  <si>
    <t>1NoJ-M0sYJkfcBvESk4iYNKYcKNAtgXr9KfFouqFJTTQ</t>
  </si>
  <si>
    <t>&lt;&lt;ID&gt;&gt;_&lt;&lt;NAMA LENGKAP&gt;&gt; SERTIFIKAT BerAKHLAK</t>
  </si>
  <si>
    <t>PDF</t>
  </si>
  <si>
    <t>["1OWzctx_dmvrq7qSgTUJB2-Ceaxc8HRRW"]</t>
  </si>
  <si>
    <t>[]</t>
  </si>
  <si>
    <t>MULTIPLE_OUTPUT</t>
  </si>
  <si>
    <t>[{"tag":"PANGKAT","type":"STANDARD","details":{"isUnmapped":false,"headerMap":"PANGKAT"}},{"tag":"NAMA","type":"STANDARD","details":{"isUnmapped":false,"headerMap":"NAMA LENGKAP"}},{"tag":"ID","type":"STANDARD","details":{"isUnmapped":false,"headerMap":"ID"}}]</t>
  </si>
  <si>
    <t>&lt;&lt;Email Address&gt;&gt;</t>
  </si>
  <si>
    <t>Sertifikat - &lt;&lt;NAMA LENGKAP&gt;&gt;</t>
  </si>
  <si>
    <t>ASN BerAKHLAK BANGGA MELAYANI BANGSA. Silahkan Download Materi pada link https://bit.ly/MateriIPASN-SosialisasiCoreValueASNBerAKHLAK. Terimakasih</t>
  </si>
  <si>
    <t>2024-09-20T02:33:42.995Z</t>
  </si>
  <si>
    <t>_1725066677630</t>
  </si>
  <si>
    <t>SERTIFIKAT ONLINE-2</t>
  </si>
  <si>
    <t>&lt;&lt;ID&gt;&gt;_&lt;&lt;NAMA LENGKAP&gt;&gt; _ SERTIFIKAT BerAKHLAK</t>
  </si>
  <si>
    <t>2024-09-20T02:38:43.048Z</t>
  </si>
  <si>
    <t>_1725093122775</t>
  </si>
  <si>
    <t>SERTIFIKAT ONLINE-3</t>
  </si>
  <si>
    <t>&lt;&lt;ID&gt;&gt;_&lt;&lt;NAMA LENGKAP&gt;&gt; SERTIFIKAT BIMTEK IPASN-BerAKHLAK</t>
  </si>
  <si>
    <t>Terimakasih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</si>
</sst>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b/>
      <i/>
      <color rgb="FF000000"/>
      <name val="Arial"/>
      <scheme val="minor"/>
    </font>
    <font>
      <u/>
      <color rgb="FF0000FF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  <xf borderId="0" fillId="2" fontId="2" numFmtId="0" xfId="0" applyAlignment="1" applyFill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3" numFmtId="0" xfId="0" applyAlignment="1" applyFont="1">
      <alignment readingOrder="0"/>
    </xf>
    <xf borderId="0" fillId="0" fontId="4" numFmtId="0" xfId="0" applyFont="1"/>
    <xf borderId="0" fillId="0" fontId="5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drive.google.com/file/d/1zr8JuT0STzD6z3Hwr06gcpWzb_eg-N9B/view?usp=drivesdk" TargetMode="External"/><Relationship Id="rId9618" Type="http://schemas.openxmlformats.org/officeDocument/2006/relationships/hyperlink" Target="https://drive.google.com/file/d/1fuCF8vgfEVr3i7If31z5E3iBl648bjwt/view?usp=drivesdk" TargetMode="External"/><Relationship Id="rId9619" Type="http://schemas.openxmlformats.org/officeDocument/2006/relationships/hyperlink" Target="https://drive.google.com/file/d/1IWDYAuCzWyntkn4gbcrN04gLLq_foN9e/view?usp=drivesdk" TargetMode="External"/><Relationship Id="rId9613" Type="http://schemas.openxmlformats.org/officeDocument/2006/relationships/hyperlink" Target="https://drive.google.com/file/d/1xvgSvx9noErrF83XdgGpVyIjIu1Drj5j/view?usp=drivesdk" TargetMode="External"/><Relationship Id="rId9614" Type="http://schemas.openxmlformats.org/officeDocument/2006/relationships/hyperlink" Target="https://drive.google.com/file/d/1Oo6I_-XfWVQdZ0twyP2hrw9Kp37CHLAD/view?usp=drivesdk" TargetMode="External"/><Relationship Id="rId9615" Type="http://schemas.openxmlformats.org/officeDocument/2006/relationships/hyperlink" Target="https://drive.google.com/file/d/1p58-DRByk9B-WQqq_sRJEVtqzWC5rKqz/view?usp=drivesdk" TargetMode="External"/><Relationship Id="rId9616" Type="http://schemas.openxmlformats.org/officeDocument/2006/relationships/hyperlink" Target="https://drive.google.com/file/d/1w5i4zX0b4ysX9NeYD5aQbFfzxHYPWJKt/view?usp=drivesdk" TargetMode="External"/><Relationship Id="rId9610" Type="http://schemas.openxmlformats.org/officeDocument/2006/relationships/hyperlink" Target="https://drive.google.com/file/d/14cQlPX-8G75BOtbFONGKuCn8kQDnyGfn/view?usp=drivesdk" TargetMode="External"/><Relationship Id="rId9611" Type="http://schemas.openxmlformats.org/officeDocument/2006/relationships/hyperlink" Target="https://drive.google.com/file/d/1zMdDDWcPimJaOHbXiEDl5MwgZ7vobigr/view?usp=drivesdk" TargetMode="External"/><Relationship Id="rId9612" Type="http://schemas.openxmlformats.org/officeDocument/2006/relationships/hyperlink" Target="https://drive.google.com/file/d/1IVq18pfXXYzOQ9IXEcdjNA6gV6lzCRf9/view?usp=drivesdk" TargetMode="External"/><Relationship Id="rId9606" Type="http://schemas.openxmlformats.org/officeDocument/2006/relationships/hyperlink" Target="https://drive.google.com/file/d/11WRmiJEKEKbdnRg97ySCEnpSlfqLCROP/view?usp=drivesdk" TargetMode="External"/><Relationship Id="rId9607" Type="http://schemas.openxmlformats.org/officeDocument/2006/relationships/hyperlink" Target="https://drive.google.com/file/d/1tuDxP1a8347W5W5XOeEd1uiZsvS0nLbg/view?usp=drivesdk" TargetMode="External"/><Relationship Id="rId9608" Type="http://schemas.openxmlformats.org/officeDocument/2006/relationships/hyperlink" Target="https://drive.google.com/file/d/1XDZMKO1pD3y-z-0gzGUo8XLnlS0mvgWY/view?usp=drivesdk" TargetMode="External"/><Relationship Id="rId9609" Type="http://schemas.openxmlformats.org/officeDocument/2006/relationships/hyperlink" Target="https://drive.google.com/file/d/1gFIp1iT0Yd5QYE91IvvPSkeGBTiQ4jxQ/view?usp=drivesdk" TargetMode="External"/><Relationship Id="rId9602" Type="http://schemas.openxmlformats.org/officeDocument/2006/relationships/hyperlink" Target="https://drive.google.com/file/d/1a8KBa-oCwJBPTOvsGIaByS0ht3ynGOpD/view?usp=drivesdk" TargetMode="External"/><Relationship Id="rId9603" Type="http://schemas.openxmlformats.org/officeDocument/2006/relationships/hyperlink" Target="https://drive.google.com/file/d/1QfdQOhuPCve0NldycKaOF_fq3paHHUQq/view?usp=drivesdk" TargetMode="External"/><Relationship Id="rId9604" Type="http://schemas.openxmlformats.org/officeDocument/2006/relationships/hyperlink" Target="https://drive.google.com/file/d/1lLDHPi_mvANliJKlZ0HXwAg7lUi68-NW/view?usp=drivesdk" TargetMode="External"/><Relationship Id="rId9605" Type="http://schemas.openxmlformats.org/officeDocument/2006/relationships/hyperlink" Target="https://drive.google.com/file/d/1hDAZbzYlaFUY-T1J9Q-PT4kyWWCzXpap/view?usp=drivesdk" TargetMode="External"/><Relationship Id="rId9600" Type="http://schemas.openxmlformats.org/officeDocument/2006/relationships/hyperlink" Target="https://drive.google.com/file/d/1fM2N8-ehh3F3480xvvbDYQYoXfX-EpL7/view?usp=drivesdk" TargetMode="External"/><Relationship Id="rId9601" Type="http://schemas.openxmlformats.org/officeDocument/2006/relationships/hyperlink" Target="https://drive.google.com/file/d/1d8ygs7o_liCirmr5Kfi4q-3q5xlyqFd2/view?usp=drivesdk" TargetMode="External"/><Relationship Id="rId8309" Type="http://schemas.openxmlformats.org/officeDocument/2006/relationships/hyperlink" Target="https://drive.google.com/file/d/1r-odt4b8qNpyqcAOSp9lT22B52lVHbea/view?usp=drivesdk" TargetMode="External"/><Relationship Id="rId8308" Type="http://schemas.openxmlformats.org/officeDocument/2006/relationships/hyperlink" Target="https://drive.google.com/file/d/1rwY2HdRTCIrUlHDoIX_tWOlR-I8xkJ6N/view?usp=drivesdk" TargetMode="External"/><Relationship Id="rId9639" Type="http://schemas.openxmlformats.org/officeDocument/2006/relationships/hyperlink" Target="https://drive.google.com/file/d/1bTixDunF2b4kUo5jWPjxNmccSiiWA3RA/view?usp=drivesdk" TargetMode="External"/><Relationship Id="rId9630" Type="http://schemas.openxmlformats.org/officeDocument/2006/relationships/hyperlink" Target="https://drive.google.com/file/d/1xPhjoHkcYZOt_4KgshQ6ddsAnVVV73Wf/view?usp=drivesdk" TargetMode="External"/><Relationship Id="rId8303" Type="http://schemas.openxmlformats.org/officeDocument/2006/relationships/hyperlink" Target="https://drive.google.com/file/d/1YkJyeU6zIjD3eLorE74Vqlihi5iHBDxQ/view?usp=drivesdk" TargetMode="External"/><Relationship Id="rId9635" Type="http://schemas.openxmlformats.org/officeDocument/2006/relationships/hyperlink" Target="https://drive.google.com/file/d/1uTKcglXWKMawdtnQCOmjKDJ4FkBM73Mb/view?usp=drivesdk" TargetMode="External"/><Relationship Id="rId8302" Type="http://schemas.openxmlformats.org/officeDocument/2006/relationships/hyperlink" Target="https://drive.google.com/file/d/1LtoY7XAAJg96PHOmJriRl7EaVS01EreP/view?usp=drivesdk" TargetMode="External"/><Relationship Id="rId9636" Type="http://schemas.openxmlformats.org/officeDocument/2006/relationships/hyperlink" Target="https://drive.google.com/file/d/1aU7qQHeMmxHPQA1L2Cq0UhTMVWPv24AQ/view?usp=drivesdk" TargetMode="External"/><Relationship Id="rId8301" Type="http://schemas.openxmlformats.org/officeDocument/2006/relationships/hyperlink" Target="https://drive.google.com/file/d/13WNAp12olBCkEwMmHOgCCdWUOWWAgFsK/view?usp=drivesdk" TargetMode="External"/><Relationship Id="rId9637" Type="http://schemas.openxmlformats.org/officeDocument/2006/relationships/hyperlink" Target="https://drive.google.com/file/d/1X0HVYhCKu-k_xZVC8lfOxGGT2-2FFevn/view?usp=drivesdk" TargetMode="External"/><Relationship Id="rId8300" Type="http://schemas.openxmlformats.org/officeDocument/2006/relationships/hyperlink" Target="https://drive.google.com/file/d/1ZIvzn2FaDuXju5HUPE7NabNKlFTjT0Uo/view?usp=drivesdk" TargetMode="External"/><Relationship Id="rId9638" Type="http://schemas.openxmlformats.org/officeDocument/2006/relationships/hyperlink" Target="https://drive.google.com/file/d/1FLAXjS6rMAK5zH_vAKtCOfnjut4PCLWn/view?usp=drivesdk" TargetMode="External"/><Relationship Id="rId8307" Type="http://schemas.openxmlformats.org/officeDocument/2006/relationships/hyperlink" Target="https://drive.google.com/file/d/1woFNE8A1vVjZu_0eR3IP9r6qcyv80rB1/view?usp=drivesdk" TargetMode="External"/><Relationship Id="rId9631" Type="http://schemas.openxmlformats.org/officeDocument/2006/relationships/hyperlink" Target="https://drive.google.com/file/d/1CxmCzd7_JjrIBRnf6MKQnFNjixds8nol/view?usp=drivesdk" TargetMode="External"/><Relationship Id="rId8306" Type="http://schemas.openxmlformats.org/officeDocument/2006/relationships/hyperlink" Target="https://drive.google.com/file/d/1zAVhHCQbLfX4PI4BSaiUzC5lDoAaGZ_b/view?usp=drivesdk" TargetMode="External"/><Relationship Id="rId9632" Type="http://schemas.openxmlformats.org/officeDocument/2006/relationships/hyperlink" Target="https://drive.google.com/file/d/1LrStdvXaCAVk-4zAU40SPxZUJDUdPK3a/view?usp=drivesdk" TargetMode="External"/><Relationship Id="rId8305" Type="http://schemas.openxmlformats.org/officeDocument/2006/relationships/hyperlink" Target="https://drive.google.com/file/d/1ObElUEC6ZpCKv-95OI-_AnR_lwsoa5Uj/view?usp=drivesdk" TargetMode="External"/><Relationship Id="rId9633" Type="http://schemas.openxmlformats.org/officeDocument/2006/relationships/hyperlink" Target="https://drive.google.com/file/d/1vdnwyWcL_NBg157vNdp_AZZOVJyMxShD/view?usp=drivesdk" TargetMode="External"/><Relationship Id="rId8304" Type="http://schemas.openxmlformats.org/officeDocument/2006/relationships/hyperlink" Target="https://drive.google.com/file/d/1P_Y1OWtgDBHujI_Z0GDbD9UdiJgfCXAv/view?usp=drivesdk" TargetMode="External"/><Relationship Id="rId9634" Type="http://schemas.openxmlformats.org/officeDocument/2006/relationships/hyperlink" Target="https://drive.google.com/file/d/1YBtIFkvkP6SnHB7xLzzhmuqZl-dIX_Z1/view?usp=drivesdk" TargetMode="External"/><Relationship Id="rId9628" Type="http://schemas.openxmlformats.org/officeDocument/2006/relationships/hyperlink" Target="https://drive.google.com/file/d/1piwlfmiWe9SlTu5DPQI7QgSI8-bAPEYY/view?usp=drivesdk" TargetMode="External"/><Relationship Id="rId9629" Type="http://schemas.openxmlformats.org/officeDocument/2006/relationships/hyperlink" Target="https://drive.google.com/file/d/1lqbr_9dFTC50mH9G3Oyw7YiT4ch_HhVf/view?usp=drivesdk" TargetMode="External"/><Relationship Id="rId9624" Type="http://schemas.openxmlformats.org/officeDocument/2006/relationships/hyperlink" Target="https://drive.google.com/file/d/1Rg776lBOjxJZD9Wy6YL8pGvcAiqyI8El/view?usp=drivesdk" TargetMode="External"/><Relationship Id="rId9625" Type="http://schemas.openxmlformats.org/officeDocument/2006/relationships/hyperlink" Target="https://drive.google.com/file/d/1imxT2XgtD7NNLPSg2wGlHYGLckDc1QSM/view?usp=drivesdk" TargetMode="External"/><Relationship Id="rId9626" Type="http://schemas.openxmlformats.org/officeDocument/2006/relationships/hyperlink" Target="https://drive.google.com/file/d/1qZtdqP5bakjxlBP9Tbg0oPBM-s9s3GOH/view?usp=drivesdk" TargetMode="External"/><Relationship Id="rId9627" Type="http://schemas.openxmlformats.org/officeDocument/2006/relationships/hyperlink" Target="https://drive.google.com/file/d/1fbYEkeAZeID7y-b5sJH6qXqCcl7ugwsU/view?usp=drivesdk" TargetMode="External"/><Relationship Id="rId9620" Type="http://schemas.openxmlformats.org/officeDocument/2006/relationships/hyperlink" Target="https://drive.google.com/file/d/1Acb0mqKG_IFeF8FkQ6TjVRgBmemuJzX2/view?usp=drivesdk" TargetMode="External"/><Relationship Id="rId9621" Type="http://schemas.openxmlformats.org/officeDocument/2006/relationships/hyperlink" Target="https://drive.google.com/file/d/17nPOMQ7Z694mBwWffsJTJHY5GtZm4lXo/view?usp=drivesdk" TargetMode="External"/><Relationship Id="rId9622" Type="http://schemas.openxmlformats.org/officeDocument/2006/relationships/hyperlink" Target="https://drive.google.com/file/d/1cY74p8NtE7uLKz8REfTxWmeqNu-wwdSV/view?usp=drivesdk" TargetMode="External"/><Relationship Id="rId9623" Type="http://schemas.openxmlformats.org/officeDocument/2006/relationships/hyperlink" Target="https://drive.google.com/file/d/1VXBzbzrxPn0e7j08fKrV4SSsaxwldsqk/view?usp=drivesdk" TargetMode="External"/><Relationship Id="rId13807" Type="http://schemas.openxmlformats.org/officeDocument/2006/relationships/hyperlink" Target="https://drive.google.com/file/d/1vCQjnp-h_KtuL2UhH64c4kd9qGylUytA/view?usp=drivesdk" TargetMode="External"/><Relationship Id="rId13808" Type="http://schemas.openxmlformats.org/officeDocument/2006/relationships/hyperlink" Target="https://drive.google.com/file/d/10KlW4VoebeX0hOakuch_8j5L9xlha3Vk/view?usp=drivesdk" TargetMode="External"/><Relationship Id="rId13809" Type="http://schemas.openxmlformats.org/officeDocument/2006/relationships/hyperlink" Target="https://drive.google.com/file/d/1wRqSlt5_wtQHKM5KJwxREq6021s0S8VF/view?usp=drivesdk" TargetMode="External"/><Relationship Id="rId13803" Type="http://schemas.openxmlformats.org/officeDocument/2006/relationships/hyperlink" Target="https://drive.google.com/file/d/1XhFvac1pseKYEaNqzL1b0QCS2aEJCDzH/view?usp=drivesdk" TargetMode="External"/><Relationship Id="rId13804" Type="http://schemas.openxmlformats.org/officeDocument/2006/relationships/hyperlink" Target="https://drive.google.com/file/d/1K4Dhp7wgt6a_H7oRuFs2vlqLAVeQ7aXw/view?usp=drivesdk" TargetMode="External"/><Relationship Id="rId13805" Type="http://schemas.openxmlformats.org/officeDocument/2006/relationships/hyperlink" Target="https://drive.google.com/file/d/1oyrbYM3AdwY_ZLV3EuuFs4XmggtqztuA/view?usp=drivesdk" TargetMode="External"/><Relationship Id="rId13806" Type="http://schemas.openxmlformats.org/officeDocument/2006/relationships/hyperlink" Target="https://drive.google.com/file/d/145WY8GLCTYu9KF-MeC5x1QCsCvrhcD0T/view?usp=drivesdk" TargetMode="External"/><Relationship Id="rId13800" Type="http://schemas.openxmlformats.org/officeDocument/2006/relationships/hyperlink" Target="https://drive.google.com/file/d/1TqPmEHqqYH8FqNcoBFaVKkFpDUwzHR2W/view?usp=drivesdk" TargetMode="External"/><Relationship Id="rId13801" Type="http://schemas.openxmlformats.org/officeDocument/2006/relationships/hyperlink" Target="https://drive.google.com/file/d/121TvihU2n5ah0Uu9tMIHBIoOTnALxTl4/view?usp=drivesdk" TargetMode="External"/><Relationship Id="rId13802" Type="http://schemas.openxmlformats.org/officeDocument/2006/relationships/hyperlink" Target="https://drive.google.com/file/d/1iQbBWWT4zvQvIPyoPTRRHA7ykr29VwBl/view?usp=drivesdk" TargetMode="External"/><Relationship Id="rId13810" Type="http://schemas.openxmlformats.org/officeDocument/2006/relationships/drawing" Target="../drawings/drawing1.xml"/><Relationship Id="rId7030" Type="http://schemas.openxmlformats.org/officeDocument/2006/relationships/hyperlink" Target="https://drive.google.com/file/d/1Qcaxuwe9cV7ppfmqOk90Ifp6tOb3f4HN/view?usp=drivesdk" TargetMode="External"/><Relationship Id="rId8361" Type="http://schemas.openxmlformats.org/officeDocument/2006/relationships/hyperlink" Target="https://drive.google.com/file/d/1yQkktw0u8C86O36QTdEKTDspBP7Q4Viw/view?usp=drivesdk" TargetMode="External"/><Relationship Id="rId9693" Type="http://schemas.openxmlformats.org/officeDocument/2006/relationships/hyperlink" Target="https://drive.google.com/file/d/1IwCsuJqGWSuMq2Vc8nEMgE1KR-uNbFl7/view?usp=drivesdk" TargetMode="External"/><Relationship Id="rId8360" Type="http://schemas.openxmlformats.org/officeDocument/2006/relationships/hyperlink" Target="https://drive.google.com/file/d/1twd_3Kagax3qqKDlWbqELnFffOWf6aL9/view?usp=drivesdk" TargetMode="External"/><Relationship Id="rId9694" Type="http://schemas.openxmlformats.org/officeDocument/2006/relationships/hyperlink" Target="https://drive.google.com/file/d/17SCcJLLymeLYt-M_vhXGn2iiufjgKjQo/view?usp=drivesdk" TargetMode="External"/><Relationship Id="rId9695" Type="http://schemas.openxmlformats.org/officeDocument/2006/relationships/hyperlink" Target="https://drive.google.com/file/d/1NLt0MJq_4rdAtiT0YrkVsE3bals-ZmHj/view?usp=drivesdk" TargetMode="External"/><Relationship Id="rId9696" Type="http://schemas.openxmlformats.org/officeDocument/2006/relationships/hyperlink" Target="https://drive.google.com/file/d/1SgOeDwtsmvUf2l4mi3vEYHIO2yYen94x/view?usp=drivesdk" TargetMode="External"/><Relationship Id="rId7034" Type="http://schemas.openxmlformats.org/officeDocument/2006/relationships/hyperlink" Target="https://drive.google.com/file/d/1fVPvsZ2kSsKab_3eHLKSo4SdZfPBiAxX/view?usp=drivesdk" TargetMode="External"/><Relationship Id="rId8365" Type="http://schemas.openxmlformats.org/officeDocument/2006/relationships/hyperlink" Target="https://drive.google.com/file/d/1liYBVa1wXAgKNDUYmyseq8TRktPcwkKY/view?usp=drivesdk" TargetMode="External"/><Relationship Id="rId7033" Type="http://schemas.openxmlformats.org/officeDocument/2006/relationships/hyperlink" Target="https://drive.google.com/file/d/1VrjdNjPffxE87oMrVN71mnT_2ChykLXj/view?usp=drivesdk" TargetMode="External"/><Relationship Id="rId8364" Type="http://schemas.openxmlformats.org/officeDocument/2006/relationships/hyperlink" Target="https://drive.google.com/file/d/1HNY0g8s6UC-1vNJJKfWOTmyzbVgwZtJ9/view?usp=drivesdk" TargetMode="External"/><Relationship Id="rId9690" Type="http://schemas.openxmlformats.org/officeDocument/2006/relationships/hyperlink" Target="https://drive.google.com/file/d/1ry8xn65aCDbL5dE0WALXXxQvb2woi0N9/view?usp=drivesdk" TargetMode="External"/><Relationship Id="rId7032" Type="http://schemas.openxmlformats.org/officeDocument/2006/relationships/hyperlink" Target="https://drive.google.com/file/d/1CbN6s8AVMndrOGkfeWho7y8QRYOCw9Hf/view?usp=drivesdk" TargetMode="External"/><Relationship Id="rId8363" Type="http://schemas.openxmlformats.org/officeDocument/2006/relationships/hyperlink" Target="https://drive.google.com/file/d/1saZu24roTU0g7UKgurj29wymHW9vfv1R/view?usp=drivesdk" TargetMode="External"/><Relationship Id="rId9691" Type="http://schemas.openxmlformats.org/officeDocument/2006/relationships/hyperlink" Target="https://drive.google.com/file/d/1klaHwadDaemRWadNItggmNtZoSnpDPoQ/view?usp=drivesdk" TargetMode="External"/><Relationship Id="rId7031" Type="http://schemas.openxmlformats.org/officeDocument/2006/relationships/hyperlink" Target="https://drive.google.com/file/d/1OkD9YD_R7nXkc5epY_8G66BwFZz2WwkB/view?usp=drivesdk" TargetMode="External"/><Relationship Id="rId8362" Type="http://schemas.openxmlformats.org/officeDocument/2006/relationships/hyperlink" Target="https://drive.google.com/file/d/1dQnN58_AAXxBs0y3uh-zKIpG4xdaN8T7/view?usp=drivesdk" TargetMode="External"/><Relationship Id="rId9692" Type="http://schemas.openxmlformats.org/officeDocument/2006/relationships/hyperlink" Target="https://drive.google.com/file/d/1KgoZw-GKVn46U6y3sXzpNnd_rcGDrSJk/view?usp=drivesdk" TargetMode="External"/><Relationship Id="rId7038" Type="http://schemas.openxmlformats.org/officeDocument/2006/relationships/hyperlink" Target="https://drive.google.com/file/d/1CtoBBsLFp3QJJYOZjljjRewrc5TNGybY/view?usp=drivesdk" TargetMode="External"/><Relationship Id="rId8369" Type="http://schemas.openxmlformats.org/officeDocument/2006/relationships/hyperlink" Target="https://drive.google.com/file/d/1vKyKpB35CnYWH_yAJuVChHjzB1mRG1Ng/view?usp=drivesdk" TargetMode="External"/><Relationship Id="rId7037" Type="http://schemas.openxmlformats.org/officeDocument/2006/relationships/hyperlink" Target="https://drive.google.com/file/d/1FkrX0uYXWlCEmfbe7N2p9u54zNLvEy0-/view?usp=drivesdk" TargetMode="External"/><Relationship Id="rId8368" Type="http://schemas.openxmlformats.org/officeDocument/2006/relationships/hyperlink" Target="http://novita.s.si" TargetMode="External"/><Relationship Id="rId7036" Type="http://schemas.openxmlformats.org/officeDocument/2006/relationships/hyperlink" Target="https://drive.google.com/file/d/1ObGnqWp0j18O8FOfj_H7rE1p935YLiYp/view?usp=drivesdk" TargetMode="External"/><Relationship Id="rId8367" Type="http://schemas.openxmlformats.org/officeDocument/2006/relationships/hyperlink" Target="https://drive.google.com/file/d/1bWsJ9SHoX84oEUpm_2R3p9kjQ-0BF_nF/view?usp=drivesdk" TargetMode="External"/><Relationship Id="rId7035" Type="http://schemas.openxmlformats.org/officeDocument/2006/relationships/hyperlink" Target="https://drive.google.com/file/d/1gBw8xHb0BIuGYBToSDoB6if9f80z8Oun/view?usp=drivesdk" TargetMode="External"/><Relationship Id="rId8366" Type="http://schemas.openxmlformats.org/officeDocument/2006/relationships/hyperlink" Target="https://drive.google.com/file/d/174Oh29cDQb1ngpIMyOuam6iMXzFbHNAW/view?usp=drivesdk" TargetMode="External"/><Relationship Id="rId9697" Type="http://schemas.openxmlformats.org/officeDocument/2006/relationships/hyperlink" Target="https://drive.google.com/file/d/1hRCXwp8WmWV2vm643ZvODwpumbK01enU/view?usp=drivesdk" TargetMode="External"/><Relationship Id="rId9698" Type="http://schemas.openxmlformats.org/officeDocument/2006/relationships/hyperlink" Target="https://drive.google.com/file/d/1HRFIV9W_uaYBkvU1ea6uqsIsOagrG0tX/view?usp=drivesdk" TargetMode="External"/><Relationship Id="rId9699" Type="http://schemas.openxmlformats.org/officeDocument/2006/relationships/hyperlink" Target="https://drive.google.com/file/d/1_2LX1E5GcA387CQE9gWd_nmfubV9na0S/view?usp=drivesdk" TargetMode="External"/><Relationship Id="rId7039" Type="http://schemas.openxmlformats.org/officeDocument/2006/relationships/hyperlink" Target="https://drive.google.com/file/d/1rXiVjbOpcnUDbCHn7V0PWiGlQiH6Cqlw/view?usp=drivesdk" TargetMode="External"/><Relationship Id="rId8350" Type="http://schemas.openxmlformats.org/officeDocument/2006/relationships/hyperlink" Target="https://drive.google.com/file/d/16R0mezSUQcfueip6R0K21RiIpCW1vLuc/view?usp=drivesdk" TargetMode="External"/><Relationship Id="rId9682" Type="http://schemas.openxmlformats.org/officeDocument/2006/relationships/hyperlink" Target="https://drive.google.com/file/d/1f2X4XHcXFSp7iFaAAIh4JgesydBpEIz3/view?usp=drivesdk" TargetMode="External"/><Relationship Id="rId9683" Type="http://schemas.openxmlformats.org/officeDocument/2006/relationships/hyperlink" Target="https://drive.google.com/file/d/1W_Snm_EYFfgdsp2y7b4kpHgk9AZCcV8W/view?usp=drivesdk" TargetMode="External"/><Relationship Id="rId9684" Type="http://schemas.openxmlformats.org/officeDocument/2006/relationships/hyperlink" Target="https://drive.google.com/file/d/1So3TB-GyDSJY9lYnMzPPSQwu4ZwMNF_n/view?usp=drivesdk" TargetMode="External"/><Relationship Id="rId9685" Type="http://schemas.openxmlformats.org/officeDocument/2006/relationships/hyperlink" Target="https://drive.google.com/file/d/1667XS_5D3PDv1CUNcrAZibkcmBfSQQBi/view?usp=drivesdk" TargetMode="External"/><Relationship Id="rId7023" Type="http://schemas.openxmlformats.org/officeDocument/2006/relationships/hyperlink" Target="https://drive.google.com/file/d/112M3PwvoexIvVU5om-YLFrZqK-jH3Uvt/view?usp=drivesdk" TargetMode="External"/><Relationship Id="rId8354" Type="http://schemas.openxmlformats.org/officeDocument/2006/relationships/hyperlink" Target="https://drive.google.com/file/d/1487ZXCYQ6Ma98KG1_cSYOAxH6JYAcHih/view?usp=drivesdk" TargetMode="External"/><Relationship Id="rId7022" Type="http://schemas.openxmlformats.org/officeDocument/2006/relationships/hyperlink" Target="https://drive.google.com/file/d/1z4CFGuiR14Xm73ZwzdY2oCqB4Cqx5ySH/view?usp=drivesdk" TargetMode="External"/><Relationship Id="rId8353" Type="http://schemas.openxmlformats.org/officeDocument/2006/relationships/hyperlink" Target="https://drive.google.com/file/d/1WtgsdUGjS76JkP0tnSFtpQ4rdmGYcKDZ/view?usp=drivesdk" TargetMode="External"/><Relationship Id="rId7021" Type="http://schemas.openxmlformats.org/officeDocument/2006/relationships/hyperlink" Target="https://drive.google.com/file/d/1Bi04JlihCUe2ZGTXXZm03cYR2GD9YBUi/view?usp=drivesdk" TargetMode="External"/><Relationship Id="rId8352" Type="http://schemas.openxmlformats.org/officeDocument/2006/relationships/hyperlink" Target="https://drive.google.com/file/d/1ePBEDQP_RG__dBBQo7r0lI2zm3G3XRe5/view?usp=drivesdk" TargetMode="External"/><Relationship Id="rId9680" Type="http://schemas.openxmlformats.org/officeDocument/2006/relationships/hyperlink" Target="https://drive.google.com/file/d/1jHD_qXRMOdo9ZdOVVcS8ABAnnQIj3FMV/view?usp=drivesdk" TargetMode="External"/><Relationship Id="rId7020" Type="http://schemas.openxmlformats.org/officeDocument/2006/relationships/hyperlink" Target="https://drive.google.com/file/d/1qgnivEIJn48H77XCzNrGUIWfan5QmOsw/view?usp=drivesdk" TargetMode="External"/><Relationship Id="rId8351" Type="http://schemas.openxmlformats.org/officeDocument/2006/relationships/hyperlink" Target="https://drive.google.com/file/d/1CkWIZfpbQBfM2IGQnJ_tmthTvqCjXmKB/view?usp=drivesdk" TargetMode="External"/><Relationship Id="rId9681" Type="http://schemas.openxmlformats.org/officeDocument/2006/relationships/hyperlink" Target="https://drive.google.com/file/d/1r9V8V6oiIv8riBO9ZPA8gDsi1jue5LxX/view?usp=drivesdk" TargetMode="External"/><Relationship Id="rId7027" Type="http://schemas.openxmlformats.org/officeDocument/2006/relationships/hyperlink" Target="https://drive.google.com/file/d/1j31p5eGYqpofK6mzwfzcQYnK6h8IFuUZ/view?usp=drivesdk" TargetMode="External"/><Relationship Id="rId8358" Type="http://schemas.openxmlformats.org/officeDocument/2006/relationships/hyperlink" Target="https://drive.google.com/file/d/1n1XpXYfiumCcr7QNrNAH05XSSx8ehfrM/view?usp=drivesdk" TargetMode="External"/><Relationship Id="rId7026" Type="http://schemas.openxmlformats.org/officeDocument/2006/relationships/hyperlink" Target="https://drive.google.com/file/d/1UtZdP86E1_i-G5vSmS5NdASP-ZjIeUah/view?usp=drivesdk" TargetMode="External"/><Relationship Id="rId8357" Type="http://schemas.openxmlformats.org/officeDocument/2006/relationships/hyperlink" Target="https://drive.google.com/file/d/1d8KcYmIZgdRXIbe5ckbW2gx9q9mqyJa_/view?usp=drivesdk" TargetMode="External"/><Relationship Id="rId7025" Type="http://schemas.openxmlformats.org/officeDocument/2006/relationships/hyperlink" Target="https://drive.google.com/file/d/10LTl5P8FvkTMlwMLGjRkrMn1zc7057p_/view?usp=drivesdk" TargetMode="External"/><Relationship Id="rId8356" Type="http://schemas.openxmlformats.org/officeDocument/2006/relationships/hyperlink" Target="https://drive.google.com/file/d/1qdYotW4NPoSBpRU3fX1Eb7x171rm4QMC/view?usp=drivesdk" TargetMode="External"/><Relationship Id="rId7024" Type="http://schemas.openxmlformats.org/officeDocument/2006/relationships/hyperlink" Target="https://drive.google.com/file/d/1nxDMeFkCxq8IVJrCmFBR0UdvEGa7w8n2/view?usp=drivesdk" TargetMode="External"/><Relationship Id="rId8355" Type="http://schemas.openxmlformats.org/officeDocument/2006/relationships/hyperlink" Target="https://drive.google.com/file/d/1zF5s09HmnAAM_bcvKeeRlHACEPeLIxXB/view?usp=drivesdk" TargetMode="External"/><Relationship Id="rId9686" Type="http://schemas.openxmlformats.org/officeDocument/2006/relationships/hyperlink" Target="https://drive.google.com/file/d/1rkwTm9HyD3uPKC17phTWGcZtUKmCDy2Z/view?usp=drivesdk" TargetMode="External"/><Relationship Id="rId9687" Type="http://schemas.openxmlformats.org/officeDocument/2006/relationships/hyperlink" Target="https://drive.google.com/file/d/1fptEq7HYE4BjdPA6TxNQ3i4eRxyMDAmw/view?usp=drivesdk" TargetMode="External"/><Relationship Id="rId7029" Type="http://schemas.openxmlformats.org/officeDocument/2006/relationships/hyperlink" Target="https://drive.google.com/file/d/19S0AFJrOvPRVzVIBKJ4b0Yee9vvJmR-L/view?usp=drivesdk" TargetMode="External"/><Relationship Id="rId9688" Type="http://schemas.openxmlformats.org/officeDocument/2006/relationships/hyperlink" Target="https://drive.google.com/file/d/1MtwInkDc1HWRuJGyQ-81ylCC93sdrBzX/view?usp=drivesdk" TargetMode="External"/><Relationship Id="rId7028" Type="http://schemas.openxmlformats.org/officeDocument/2006/relationships/hyperlink" Target="https://drive.google.com/file/d/1pdVscXYj8he65IO9EqDmE7gYUv80OeUc/view?usp=drivesdk" TargetMode="External"/><Relationship Id="rId8359" Type="http://schemas.openxmlformats.org/officeDocument/2006/relationships/hyperlink" Target="https://drive.google.com/file/d/1VIsbNG6FsleYLhUyJPovF9kFSat1Xw51/view?usp=drivesdk" TargetMode="External"/><Relationship Id="rId9689" Type="http://schemas.openxmlformats.org/officeDocument/2006/relationships/hyperlink" Target="https://drive.google.com/file/d/17qtHCgTFZqU_Cnu10ehS0T8df87uLDq_/view?usp=drivesdk" TargetMode="External"/><Relationship Id="rId8390" Type="http://schemas.openxmlformats.org/officeDocument/2006/relationships/hyperlink" Target="https://drive.google.com/file/d/19qKOZ9pCm8KdWXDumewlXOOCilBGP0wU/view?usp=drivesdk" TargetMode="External"/><Relationship Id="rId7052" Type="http://schemas.openxmlformats.org/officeDocument/2006/relationships/hyperlink" Target="https://drive.google.com/file/d/1PwsRVCsbbuj5i-9UBHh7aMOo2OULzmtL/view?usp=drivesdk" TargetMode="External"/><Relationship Id="rId8383" Type="http://schemas.openxmlformats.org/officeDocument/2006/relationships/hyperlink" Target="https://drive.google.com/file/d/1iza1IExjP_B5G48PdYHLq12jSz8n2lS3/view?usp=drivesdk" TargetMode="External"/><Relationship Id="rId7051" Type="http://schemas.openxmlformats.org/officeDocument/2006/relationships/hyperlink" Target="https://drive.google.com/file/d/1X5XkwGQdFiAC96A42opR359P9u6X9uAS/view?usp=drivesdk" TargetMode="External"/><Relationship Id="rId8382" Type="http://schemas.openxmlformats.org/officeDocument/2006/relationships/hyperlink" Target="https://drive.google.com/file/d/13BGzkFXxhCnjDCbr3rjXOrfhfuzaB1BC/view?usp=drivesdk" TargetMode="External"/><Relationship Id="rId7050" Type="http://schemas.openxmlformats.org/officeDocument/2006/relationships/hyperlink" Target="https://drive.google.com/file/d/1YWmZFU3XCvasBNvAmr53TIzVpgC4W94W/view?usp=drivesdk" TargetMode="External"/><Relationship Id="rId8381" Type="http://schemas.openxmlformats.org/officeDocument/2006/relationships/hyperlink" Target="https://drive.google.com/file/d/1c9cmPFSevxw2uJ8kM0edwENJTvRWyQsJ/view?usp=drivesdk" TargetMode="External"/><Relationship Id="rId8380" Type="http://schemas.openxmlformats.org/officeDocument/2006/relationships/hyperlink" Target="https://drive.google.com/file/d/1ozFZELD-gzXnUE3g4QA5mx1FJ_rLdexk/view?usp=drivesdk" TargetMode="External"/><Relationship Id="rId7056" Type="http://schemas.openxmlformats.org/officeDocument/2006/relationships/hyperlink" Target="https://drive.google.com/file/d/1Ka1-M3H3xYFBO1PuHLlgUn0NPuzAhDcf/view?usp=drivesdk" TargetMode="External"/><Relationship Id="rId8387" Type="http://schemas.openxmlformats.org/officeDocument/2006/relationships/hyperlink" Target="https://drive.google.com/file/d/1SL0PbTSBoSTvAl6w-WyGpguB9ZtanyEY/view?usp=drivesdk" TargetMode="External"/><Relationship Id="rId7055" Type="http://schemas.openxmlformats.org/officeDocument/2006/relationships/hyperlink" Target="https://drive.google.com/file/d/1UvhgICWIzbA2V8dNkfR-Y9IDuIjDd23p/view?usp=drivesdk" TargetMode="External"/><Relationship Id="rId8386" Type="http://schemas.openxmlformats.org/officeDocument/2006/relationships/hyperlink" Target="https://drive.google.com/file/d/1Wi0B5RFgT2ZmsForsd0mfTBWeUwrfgop/view?usp=drivesdk" TargetMode="External"/><Relationship Id="rId7054" Type="http://schemas.openxmlformats.org/officeDocument/2006/relationships/hyperlink" Target="https://drive.google.com/file/d/1oYjS7uslf8Mq6nR5C6Wo3gmydcOUej9r/view?usp=drivesdk" TargetMode="External"/><Relationship Id="rId8385" Type="http://schemas.openxmlformats.org/officeDocument/2006/relationships/hyperlink" Target="https://drive.google.com/file/d/1slJWwUrawhrRUW5DEV_e0ZCyUne_QRXL/view?usp=drivesdk" TargetMode="External"/><Relationship Id="rId7053" Type="http://schemas.openxmlformats.org/officeDocument/2006/relationships/hyperlink" Target="https://drive.google.com/file/d/1Z7bWcg84DGDCl05wJ0tDB57Slpl_zQJY/view?usp=drivesdk" TargetMode="External"/><Relationship Id="rId8384" Type="http://schemas.openxmlformats.org/officeDocument/2006/relationships/hyperlink" Target="https://drive.google.com/file/d/1fxvhB3q2Ts1q9UrrMMtNFjh4cpefRbS3/view?usp=drivesdk" TargetMode="External"/><Relationship Id="rId7059" Type="http://schemas.openxmlformats.org/officeDocument/2006/relationships/hyperlink" Target="https://drive.google.com/file/d/1ekWG2Sj6_aKHDQfgsBJuQoH3B8nHFdyq/view?usp=drivesdk" TargetMode="External"/><Relationship Id="rId7058" Type="http://schemas.openxmlformats.org/officeDocument/2006/relationships/hyperlink" Target="https://drive.google.com/file/d/1BmOHv1uqGVF_pHrlWCDhgPUsVBxgXyfG/view?usp=drivesdk" TargetMode="External"/><Relationship Id="rId8389" Type="http://schemas.openxmlformats.org/officeDocument/2006/relationships/hyperlink" Target="https://drive.google.com/file/d/16BkcIMqo8TJBd_itm-6qjV4b5bnW993j/view?usp=drivesdk" TargetMode="External"/><Relationship Id="rId7057" Type="http://schemas.openxmlformats.org/officeDocument/2006/relationships/hyperlink" Target="https://drive.google.com/file/d/13-YVqPEKIRk9wH7NfcwpgVr9UAX5O29z/view?usp=drivesdk" TargetMode="External"/><Relationship Id="rId8388" Type="http://schemas.openxmlformats.org/officeDocument/2006/relationships/hyperlink" Target="https://drive.google.com/file/d/1HbKyOe43OW0huUVUCztaTmgoT1BCPzwD/view?usp=drivesdk" TargetMode="External"/><Relationship Id="rId7041" Type="http://schemas.openxmlformats.org/officeDocument/2006/relationships/hyperlink" Target="https://drive.google.com/file/d/1ZI4LHmywRQKK-c0T_3IDj-_34-SJ4E2W/view?usp=drivesdk" TargetMode="External"/><Relationship Id="rId8372" Type="http://schemas.openxmlformats.org/officeDocument/2006/relationships/hyperlink" Target="https://drive.google.com/file/d/1BLNdxVgwbrIWnveIrNdN2Q6wBJXmqPWJ/view?usp=drivesdk" TargetMode="External"/><Relationship Id="rId7040" Type="http://schemas.openxmlformats.org/officeDocument/2006/relationships/hyperlink" Target="https://drive.google.com/file/d/1IFHNEMl4cmVXJ2bR0og4GDMApR9zyLpo/view?usp=drivesdk" TargetMode="External"/><Relationship Id="rId8371" Type="http://schemas.openxmlformats.org/officeDocument/2006/relationships/hyperlink" Target="https://drive.google.com/file/d/1y286l_BFQMgWdeCBBkOBE17j-hWHSreX/view?usp=drivesdk" TargetMode="External"/><Relationship Id="rId8370" Type="http://schemas.openxmlformats.org/officeDocument/2006/relationships/hyperlink" Target="https://drive.google.com/file/d/1ToEq5soXUR04_Iwn5jPozZGIupWa2tKR/view?usp=drivesdk" TargetMode="External"/><Relationship Id="rId7045" Type="http://schemas.openxmlformats.org/officeDocument/2006/relationships/hyperlink" Target="https://drive.google.com/file/d/1WxcfurRPlXuzJLFxbtCEbiSDt0rPlWea/view?usp=drivesdk" TargetMode="External"/><Relationship Id="rId8376" Type="http://schemas.openxmlformats.org/officeDocument/2006/relationships/hyperlink" Target="https://drive.google.com/file/d/1cv5CCZ6VZ05jxa9xEsjSdFZ7x1jmJRyi/view?usp=drivesdk" TargetMode="External"/><Relationship Id="rId7044" Type="http://schemas.openxmlformats.org/officeDocument/2006/relationships/hyperlink" Target="https://drive.google.com/file/d/1Dsyktes32IRARzRu_us5M9kWnErxRUfc/view?usp=drivesdk" TargetMode="External"/><Relationship Id="rId8375" Type="http://schemas.openxmlformats.org/officeDocument/2006/relationships/hyperlink" Target="https://drive.google.com/file/d/14nH0CFjif1_lJOb3PMhowEQkUXwC3N9-/view?usp=drivesdk" TargetMode="External"/><Relationship Id="rId7043" Type="http://schemas.openxmlformats.org/officeDocument/2006/relationships/hyperlink" Target="https://drive.google.com/file/d/1BTJ1oB_a-lT9Z3JVtQprtDHsHWYuAeDF/view?usp=drivesdk" TargetMode="External"/><Relationship Id="rId8374" Type="http://schemas.openxmlformats.org/officeDocument/2006/relationships/hyperlink" Target="https://drive.google.com/file/d/1_uvQX3zPwOUtLEYbFDHMxekWT-Y5d-Pv/view?usp=drivesdk" TargetMode="External"/><Relationship Id="rId7042" Type="http://schemas.openxmlformats.org/officeDocument/2006/relationships/hyperlink" Target="https://drive.google.com/file/d/1qe6Nje5ncVsXRBNPlsJnrd00z4CuzULK/view?usp=drivesdk" TargetMode="External"/><Relationship Id="rId8373" Type="http://schemas.openxmlformats.org/officeDocument/2006/relationships/hyperlink" Target="https://drive.google.com/file/d/13s1QX0OGPkUdCgH6Jdos0BE13bPJyMCx/view?usp=drivesdk" TargetMode="External"/><Relationship Id="rId7049" Type="http://schemas.openxmlformats.org/officeDocument/2006/relationships/hyperlink" Target="https://drive.google.com/file/d/1LJyCjj3QF2waSWiTqQjCSWxcm6CwJZKh/view?usp=drivesdk" TargetMode="External"/><Relationship Id="rId7048" Type="http://schemas.openxmlformats.org/officeDocument/2006/relationships/hyperlink" Target="https://drive.google.com/file/d/1S3cVvztyUmaNd6azOrMK05fqNsm9qoL0/view?usp=drivesdk" TargetMode="External"/><Relationship Id="rId8379" Type="http://schemas.openxmlformats.org/officeDocument/2006/relationships/hyperlink" Target="https://drive.google.com/file/d/1nmNZF3z4YbRMMNHDwFhhpECPTNcfxTtK/view?usp=drivesdk" TargetMode="External"/><Relationship Id="rId7047" Type="http://schemas.openxmlformats.org/officeDocument/2006/relationships/hyperlink" Target="https://drive.google.com/file/d/1Itf4Psso4jIN7re5rtVkYJtL76MVPlsV/view?usp=drivesdk" TargetMode="External"/><Relationship Id="rId8378" Type="http://schemas.openxmlformats.org/officeDocument/2006/relationships/hyperlink" Target="https://drive.google.com/file/d/1nPK1dEGVCw9PREQCRBjD8VNcwWluXfuI/view?usp=drivesdk" TargetMode="External"/><Relationship Id="rId7046" Type="http://schemas.openxmlformats.org/officeDocument/2006/relationships/hyperlink" Target="https://drive.google.com/file/d/1l-xuF2_Q6ijPiwJxlMGaARCtwfc7dgYo/view?usp=drivesdk" TargetMode="External"/><Relationship Id="rId8377" Type="http://schemas.openxmlformats.org/officeDocument/2006/relationships/hyperlink" Target="https://drive.google.com/file/d/1R83sA42S9v_5_Ffw1lH2TKJWYk1oiHYv/view?usp=drivesdk" TargetMode="External"/><Relationship Id="rId9650" Type="http://schemas.openxmlformats.org/officeDocument/2006/relationships/hyperlink" Target="https://drive.google.com/file/d/1TRWh1Z6I8DGk_XnwFd53_r_7eCZ7lXXQ/view?usp=drivesdk" TargetMode="External"/><Relationship Id="rId9651" Type="http://schemas.openxmlformats.org/officeDocument/2006/relationships/hyperlink" Target="https://drive.google.com/file/d/10jbKII5JRAbnFbNh-Aek1MKCrJzdSTF9/view?usp=drivesdk" TargetMode="External"/><Relationship Id="rId9652" Type="http://schemas.openxmlformats.org/officeDocument/2006/relationships/hyperlink" Target="https://drive.google.com/file/d/11ypr9pK-vanls3EN1pqR5A81qhUWUlE0/view?usp=drivesdk" TargetMode="External"/><Relationship Id="rId8321" Type="http://schemas.openxmlformats.org/officeDocument/2006/relationships/hyperlink" Target="https://drive.google.com/file/d/1v4QML8zUrSCMC7BWsJ3INaPFdRG1GLyd/view?usp=drivesdk" TargetMode="External"/><Relationship Id="rId8320" Type="http://schemas.openxmlformats.org/officeDocument/2006/relationships/hyperlink" Target="https://drive.google.com/file/d/1vVuY9EJbbvICQY53MMegZqwwgpnnsDxg/view?usp=drivesdk" TargetMode="External"/><Relationship Id="rId8325" Type="http://schemas.openxmlformats.org/officeDocument/2006/relationships/hyperlink" Target="https://drive.google.com/file/d/19bBJ-GqCgG_Cwlxo6Mm542vz-PfB32am/view?usp=drivesdk" TargetMode="External"/><Relationship Id="rId9657" Type="http://schemas.openxmlformats.org/officeDocument/2006/relationships/hyperlink" Target="https://drive.google.com/file/d/17JxnvBYeIUjpt51w9A6daLN7iohKc57t/view?usp=drivesdk" TargetMode="External"/><Relationship Id="rId8324" Type="http://schemas.openxmlformats.org/officeDocument/2006/relationships/hyperlink" Target="https://drive.google.com/file/d/1uoEpyikIJGxyxaHjtyFZZ6u0I51blzsw/view?usp=drivesdk" TargetMode="External"/><Relationship Id="rId9658" Type="http://schemas.openxmlformats.org/officeDocument/2006/relationships/hyperlink" Target="https://drive.google.com/file/d/1YaG1QBBQ1sXpSfR3NdG574W1hiwS2WUJ/view?usp=drivesdk" TargetMode="External"/><Relationship Id="rId8323" Type="http://schemas.openxmlformats.org/officeDocument/2006/relationships/hyperlink" Target="https://drive.google.com/file/d/1D9bpfwewT6MYvqNvEC4vX-2Pi2MtAugp/view?usp=drivesdk" TargetMode="External"/><Relationship Id="rId9659" Type="http://schemas.openxmlformats.org/officeDocument/2006/relationships/hyperlink" Target="https://drive.google.com/file/d/1-CAOXc30me2dOVUB8W2wSjd1s7Hc1QGR/view?usp=drivesdk" TargetMode="External"/><Relationship Id="rId8322" Type="http://schemas.openxmlformats.org/officeDocument/2006/relationships/hyperlink" Target="https://drive.google.com/file/d/1ZaNvsn0gz9NDFsYnBllLvun6Z96XXUaD/view?usp=drivesdk" TargetMode="External"/><Relationship Id="rId8329" Type="http://schemas.openxmlformats.org/officeDocument/2006/relationships/hyperlink" Target="https://drive.google.com/file/d/1x1bW-8xiHQ7Rc3qCDWUNuqOYK_XMYvs7/view?usp=drivesdk" TargetMode="External"/><Relationship Id="rId9653" Type="http://schemas.openxmlformats.org/officeDocument/2006/relationships/hyperlink" Target="https://drive.google.com/file/d/1GwYL3XP4V9DP88wJqXMXpfNmWD8oQfHY/view?usp=drivesdk" TargetMode="External"/><Relationship Id="rId8328" Type="http://schemas.openxmlformats.org/officeDocument/2006/relationships/hyperlink" Target="https://drive.google.com/file/d/1P5-p3o3XHA6QPC_MDSSDAxpCgnRQKtup/view?usp=drivesdk" TargetMode="External"/><Relationship Id="rId9654" Type="http://schemas.openxmlformats.org/officeDocument/2006/relationships/hyperlink" Target="https://drive.google.com/file/d/1jjN86rmgVJ9TgmsBQlFDY7Uni7OGrb9L/view?usp=drivesdk" TargetMode="External"/><Relationship Id="rId8327" Type="http://schemas.openxmlformats.org/officeDocument/2006/relationships/hyperlink" Target="https://drive.google.com/file/d/1C5yda6JGDO056yTNkJTkH1NNU5mxJ3ME/view?usp=drivesdk" TargetMode="External"/><Relationship Id="rId9655" Type="http://schemas.openxmlformats.org/officeDocument/2006/relationships/hyperlink" Target="https://drive.google.com/file/d/1fYXP6HIJN-WO9ulau-3FV7yHWMDpy-ha/view?usp=drivesdk" TargetMode="External"/><Relationship Id="rId8326" Type="http://schemas.openxmlformats.org/officeDocument/2006/relationships/hyperlink" Target="https://drive.google.com/file/d/1zGvMYRjO4PgDJmdcAE2zT-gccoMvW2C7/view?usp=drivesdk" TargetMode="External"/><Relationship Id="rId9656" Type="http://schemas.openxmlformats.org/officeDocument/2006/relationships/hyperlink" Target="https://drive.google.com/file/d/1322OOQcjz75djGnsfjNlQ1ITzy0YOCos/view?usp=drivesdk" TargetMode="External"/><Relationship Id="rId8319" Type="http://schemas.openxmlformats.org/officeDocument/2006/relationships/hyperlink" Target="https://drive.google.com/file/d/1IsyOpM2-bIDctT9bwM8uWe0sEKSWCAas/view?usp=drivesdk" TargetMode="External"/><Relationship Id="rId9640" Type="http://schemas.openxmlformats.org/officeDocument/2006/relationships/hyperlink" Target="https://drive.google.com/file/d/1qU4Gh-zaJmUJFB0S15eaHIDDUawkOWhV/view?usp=drivesdk" TargetMode="External"/><Relationship Id="rId9641" Type="http://schemas.openxmlformats.org/officeDocument/2006/relationships/hyperlink" Target="https://drive.google.com/file/d/1l2k_IdIS9awjyLFMfa-uUuC4HoJ80jql/view?usp=drivesdk" TargetMode="External"/><Relationship Id="rId8310" Type="http://schemas.openxmlformats.org/officeDocument/2006/relationships/hyperlink" Target="https://drive.google.com/file/d/1axnJxt6XggsMUhVVG_1Uxo2auuyVk23S/view?usp=drivesdk" TargetMode="External"/><Relationship Id="rId8314" Type="http://schemas.openxmlformats.org/officeDocument/2006/relationships/hyperlink" Target="https://drive.google.com/file/d/1xtEiSoBmsN-xIUSb_eT6K5BNIJGvQMkN/view?usp=drivesdk" TargetMode="External"/><Relationship Id="rId9646" Type="http://schemas.openxmlformats.org/officeDocument/2006/relationships/hyperlink" Target="https://drive.google.com/file/d/1WiRpKiVEvWKArq1QF5fiK_AUmYTX75By/view?usp=drivesdk" TargetMode="External"/><Relationship Id="rId8313" Type="http://schemas.openxmlformats.org/officeDocument/2006/relationships/hyperlink" Target="https://drive.google.com/file/d/1e7_DyW3RZTLyRr5ADqLOXwKZc2rImbWf/view?usp=drivesdk" TargetMode="External"/><Relationship Id="rId9647" Type="http://schemas.openxmlformats.org/officeDocument/2006/relationships/hyperlink" Target="https://drive.google.com/file/d/1mKQilpPWlpKDWuypDfC_g2lpTmnMupEs/view?usp=drivesdk" TargetMode="External"/><Relationship Id="rId8312" Type="http://schemas.openxmlformats.org/officeDocument/2006/relationships/hyperlink" Target="https://drive.google.com/file/d/1jy0vW6GMDc8vYss1tvXcwPwhcvcpZ6DH/view?usp=drivesdk" TargetMode="External"/><Relationship Id="rId9648" Type="http://schemas.openxmlformats.org/officeDocument/2006/relationships/hyperlink" Target="https://drive.google.com/file/d/1ANER_DhiowruWSlMpDsZ47FUNFje1nVG/view?usp=drivesdk" TargetMode="External"/><Relationship Id="rId8311" Type="http://schemas.openxmlformats.org/officeDocument/2006/relationships/hyperlink" Target="https://drive.google.com/file/d/1lJ-i6ncxCz648B7IwoIIH7ldq36uYtRS/view?usp=drivesdk" TargetMode="External"/><Relationship Id="rId9649" Type="http://schemas.openxmlformats.org/officeDocument/2006/relationships/hyperlink" Target="https://drive.google.com/file/d/1k9VEb9HLktWWQD9Mictn9b0_uvWMmRbP/view?usp=drivesdk" TargetMode="External"/><Relationship Id="rId8318" Type="http://schemas.openxmlformats.org/officeDocument/2006/relationships/hyperlink" Target="https://drive.google.com/file/d/1qdLQJEDcS9bt3ZJoVtPWW2WfuBFacTnA/view?usp=drivesdk" TargetMode="External"/><Relationship Id="rId9642" Type="http://schemas.openxmlformats.org/officeDocument/2006/relationships/hyperlink" Target="https://drive.google.com/file/d/1QJhFqP3lxikUxD5e4z_LZVqT_qco5leK/view?usp=drivesdk" TargetMode="External"/><Relationship Id="rId8317" Type="http://schemas.openxmlformats.org/officeDocument/2006/relationships/hyperlink" Target="https://drive.google.com/file/d/1GtlfWihito3PgJ74Up7Hac3t1I8QlScs/view?usp=drivesdk" TargetMode="External"/><Relationship Id="rId9643" Type="http://schemas.openxmlformats.org/officeDocument/2006/relationships/hyperlink" Target="https://drive.google.com/file/d/1L8ebYa7mrg04bkO31yes78SZtOgaPLYB/view?usp=drivesdk" TargetMode="External"/><Relationship Id="rId8316" Type="http://schemas.openxmlformats.org/officeDocument/2006/relationships/hyperlink" Target="https://drive.google.com/file/d/1-RqXiVweH_L8jfRjVkwP7t2rhWlLa1fX/view?usp=drivesdk" TargetMode="External"/><Relationship Id="rId9644" Type="http://schemas.openxmlformats.org/officeDocument/2006/relationships/hyperlink" Target="https://drive.google.com/file/d/1id2eysW1KehhQ_HhIQNj3TN4pB4aJi5X/view?usp=drivesdk" TargetMode="External"/><Relationship Id="rId8315" Type="http://schemas.openxmlformats.org/officeDocument/2006/relationships/hyperlink" Target="https://drive.google.com/file/d/1-z3YK5fPcP2E4axlNsucGpDBoe-p1tY-/view?usp=drivesdk" TargetMode="External"/><Relationship Id="rId9645" Type="http://schemas.openxmlformats.org/officeDocument/2006/relationships/hyperlink" Target="https://drive.google.com/file/d/1N1cxd59ptKhmbIMKse5MViNiM47kCTcG/view?usp=drivesdk" TargetMode="External"/><Relationship Id="rId9671" Type="http://schemas.openxmlformats.org/officeDocument/2006/relationships/hyperlink" Target="https://drive.google.com/file/d/1F4GhbxMnywXOeJZ2srxRILNiA6xGblan/view?usp=drivesdk" TargetMode="External"/><Relationship Id="rId9672" Type="http://schemas.openxmlformats.org/officeDocument/2006/relationships/hyperlink" Target="https://drive.google.com/file/d/1SPUGrXyCOUl8VbPuHl5WQ-Uv2gte8a8M/view?usp=drivesdk" TargetMode="External"/><Relationship Id="rId9673" Type="http://schemas.openxmlformats.org/officeDocument/2006/relationships/hyperlink" Target="https://drive.google.com/file/d/1lUMDXy6FXnomMpvQ7_rsts-gL7A86xic/view?usp=drivesdk" TargetMode="External"/><Relationship Id="rId9674" Type="http://schemas.openxmlformats.org/officeDocument/2006/relationships/hyperlink" Target="https://drive.google.com/file/d/1ocVYAef5s_LeH-oHMG2Mh-uMX5ZLWZcz/view?usp=drivesdk" TargetMode="External"/><Relationship Id="rId7012" Type="http://schemas.openxmlformats.org/officeDocument/2006/relationships/hyperlink" Target="https://drive.google.com/file/d/1RbiddI90cmnzmE_p34vqa9CU4-j-Vjme/view?usp=drivesdk" TargetMode="External"/><Relationship Id="rId8343" Type="http://schemas.openxmlformats.org/officeDocument/2006/relationships/hyperlink" Target="https://drive.google.com/file/d/1nquKOugk_wY8xHqi-C9-FMFzcHPh-ir4/view?usp=drivesdk" TargetMode="External"/><Relationship Id="rId7011" Type="http://schemas.openxmlformats.org/officeDocument/2006/relationships/hyperlink" Target="https://drive.google.com/file/d/1eP8FjrxXCxFNZuF2AZ9FsWbUDxI9tFSc/view?usp=drivesdk" TargetMode="External"/><Relationship Id="rId8342" Type="http://schemas.openxmlformats.org/officeDocument/2006/relationships/hyperlink" Target="https://drive.google.com/file/d/1flyqCQkguVcB8DsDeXoWTyLPa5S4t-65/view?usp=drivesdk" TargetMode="External"/><Relationship Id="rId7010" Type="http://schemas.openxmlformats.org/officeDocument/2006/relationships/hyperlink" Target="https://drive.google.com/file/d/1zFSOMFaiOR9-jNWwR0D8i5byj3dOTCZG/view?usp=drivesdk" TargetMode="External"/><Relationship Id="rId8341" Type="http://schemas.openxmlformats.org/officeDocument/2006/relationships/hyperlink" Target="https://drive.google.com/file/d/1jNnfjE7b3HmKc4wH0gWoIBGPo65PFXQx/view?usp=drivesdk" TargetMode="External"/><Relationship Id="rId8340" Type="http://schemas.openxmlformats.org/officeDocument/2006/relationships/hyperlink" Target="https://drive.google.com/file/d/19_x4UDY7zbe8Ho33OnPTBMgUAujOk0GK/view?usp=drivesdk" TargetMode="External"/><Relationship Id="rId9670" Type="http://schemas.openxmlformats.org/officeDocument/2006/relationships/hyperlink" Target="https://drive.google.com/file/d/14YkHed-BfCN3qEgqJYwpntTuSjQPsLV1/view?usp=drivesdk" TargetMode="External"/><Relationship Id="rId7016" Type="http://schemas.openxmlformats.org/officeDocument/2006/relationships/hyperlink" Target="https://drive.google.com/file/d/1mmZWTLyEKGuTud9wEOZ20kqBtSoc6ech/view?usp=drivesdk" TargetMode="External"/><Relationship Id="rId8347" Type="http://schemas.openxmlformats.org/officeDocument/2006/relationships/hyperlink" Target="https://drive.google.com/file/d/1KpdnlOybf6zU0nCrXk60Hrc6BjclhY76/view?usp=drivesdk" TargetMode="External"/><Relationship Id="rId9679" Type="http://schemas.openxmlformats.org/officeDocument/2006/relationships/hyperlink" Target="https://drive.google.com/file/d/1HIoq9mefusUt2Bf5C1_FMhIMmQPx4OpE/view?usp=drivesdk" TargetMode="External"/><Relationship Id="rId7015" Type="http://schemas.openxmlformats.org/officeDocument/2006/relationships/hyperlink" Target="https://drive.google.com/file/d/1pZeYPehkbL-N0WzzccxCO1QO7__Ot-H5/view?usp=drivesdk" TargetMode="External"/><Relationship Id="rId8346" Type="http://schemas.openxmlformats.org/officeDocument/2006/relationships/hyperlink" Target="https://drive.google.com/file/d/11ThW5omk2T_dvk2ixPp1QPxI0n7DsYTb/view?usp=drivesdk" TargetMode="External"/><Relationship Id="rId7014" Type="http://schemas.openxmlformats.org/officeDocument/2006/relationships/hyperlink" Target="https://drive.google.com/file/d/1ZUXF3Tm1fVND6ZvcrmR1zxz4ZteLwKE_/view?usp=drivesdk" TargetMode="External"/><Relationship Id="rId8345" Type="http://schemas.openxmlformats.org/officeDocument/2006/relationships/hyperlink" Target="https://drive.google.com/file/d/1_qgafNw3ePZH6ELFxPwvKcfT6dZ6-VE1/view?usp=drivesdk" TargetMode="External"/><Relationship Id="rId7013" Type="http://schemas.openxmlformats.org/officeDocument/2006/relationships/hyperlink" Target="https://drive.google.com/file/d/1AlrKt-6vrPNIt98ut19OLxDmXIk5m7jr/view?usp=drivesdk" TargetMode="External"/><Relationship Id="rId8344" Type="http://schemas.openxmlformats.org/officeDocument/2006/relationships/hyperlink" Target="https://drive.google.com/file/d/1gfdzi32joJRsi_7p4Urg3n2T4AiXM1Ia/view?usp=drivesdk" TargetMode="External"/><Relationship Id="rId9675" Type="http://schemas.openxmlformats.org/officeDocument/2006/relationships/hyperlink" Target="https://drive.google.com/file/d/1kGVLtw8cT-G1ZN4h4e_k63KbNVwskMV0/view?usp=drivesdk" TargetMode="External"/><Relationship Id="rId7019" Type="http://schemas.openxmlformats.org/officeDocument/2006/relationships/hyperlink" Target="https://drive.google.com/file/d/1jCnapzq-QAPpUq20U5N8Z4j8gUZcqMkC/view?usp=drivesdk" TargetMode="External"/><Relationship Id="rId9676" Type="http://schemas.openxmlformats.org/officeDocument/2006/relationships/hyperlink" Target="https://drive.google.com/file/d/1iyB8RlJwkALvu90yrsd2d0NmkjqMfyYf/view?usp=drivesdk" TargetMode="External"/><Relationship Id="rId7018" Type="http://schemas.openxmlformats.org/officeDocument/2006/relationships/hyperlink" Target="https://drive.google.com/file/d/1P9HchQh0Et04gaA6whQ0IkrrX6BKDzAJ/view?usp=drivesdk" TargetMode="External"/><Relationship Id="rId8349" Type="http://schemas.openxmlformats.org/officeDocument/2006/relationships/hyperlink" Target="https://drive.google.com/file/d/1ECjJTm8Y2x9RQ-5Ek31GqAb8gS93Hu9G/view?usp=drivesdk" TargetMode="External"/><Relationship Id="rId9677" Type="http://schemas.openxmlformats.org/officeDocument/2006/relationships/hyperlink" Target="https://drive.google.com/file/d/1_fPWdWmyBfJFPouIGVaVCDIcV1BR5xS1/view?usp=drivesdk" TargetMode="External"/><Relationship Id="rId7017" Type="http://schemas.openxmlformats.org/officeDocument/2006/relationships/hyperlink" Target="https://drive.google.com/file/d/1wmTKvfAPG3FfDI1oacpg47WaWfPL3C6H/view?usp=drivesdk" TargetMode="External"/><Relationship Id="rId8348" Type="http://schemas.openxmlformats.org/officeDocument/2006/relationships/hyperlink" Target="https://drive.google.com/file/d/1m3kCLKC_YMxVH585nS_F6dUFue627yil/view?usp=drivesdk" TargetMode="External"/><Relationship Id="rId9678" Type="http://schemas.openxmlformats.org/officeDocument/2006/relationships/hyperlink" Target="https://drive.google.com/file/d/1ArY8ZWL8y5m4lXCaqPTm0YzGXlUim01t/view?usp=drivesdk" TargetMode="External"/><Relationship Id="rId9660" Type="http://schemas.openxmlformats.org/officeDocument/2006/relationships/hyperlink" Target="https://drive.google.com/file/d/1AdVXtF_8ypttQlPXW7ban1H59Ce1ngfG/view?usp=drivesdk" TargetMode="External"/><Relationship Id="rId9661" Type="http://schemas.openxmlformats.org/officeDocument/2006/relationships/hyperlink" Target="https://drive.google.com/file/d/1Mptzxr90zQ9SXTkO3EX9AZ1w7f-1eFPq/view?usp=drivesdk" TargetMode="External"/><Relationship Id="rId9662" Type="http://schemas.openxmlformats.org/officeDocument/2006/relationships/hyperlink" Target="https://drive.google.com/file/d/1iXvs8HnvEOMLYGoLtsQPhghj-WA1xAD_/view?usp=drivesdk" TargetMode="External"/><Relationship Id="rId9663" Type="http://schemas.openxmlformats.org/officeDocument/2006/relationships/hyperlink" Target="https://drive.google.com/file/d/19hev1D96hktNbWz9jeb9h22DJ3jCUJPH/view?usp=drivesdk" TargetMode="External"/><Relationship Id="rId7001" Type="http://schemas.openxmlformats.org/officeDocument/2006/relationships/hyperlink" Target="https://drive.google.com/file/d/1tdgsUs9kNe9axs65Bc5HTuMbmhdQEpLw/view?usp=drivesdk" TargetMode="External"/><Relationship Id="rId8332" Type="http://schemas.openxmlformats.org/officeDocument/2006/relationships/hyperlink" Target="https://drive.google.com/file/d/1Phkuci3vNfHZt62qiXL3N1rFPQ7UtE3p/view?usp=drivesdk" TargetMode="External"/><Relationship Id="rId7000" Type="http://schemas.openxmlformats.org/officeDocument/2006/relationships/hyperlink" Target="https://drive.google.com/file/d/1JkBRAXUr-tXUA7bd4FYsSzUOepTOc3j-/view?usp=drivesdk" TargetMode="External"/><Relationship Id="rId8331" Type="http://schemas.openxmlformats.org/officeDocument/2006/relationships/hyperlink" Target="https://drive.google.com/file/d/1bxVFS0UHjYpAX-YVZkZkVZ988hmwEt6T/view?usp=drivesdk" TargetMode="External"/><Relationship Id="rId8330" Type="http://schemas.openxmlformats.org/officeDocument/2006/relationships/hyperlink" Target="https://drive.google.com/file/d/1FfbOZT63LlYcEPQdXDRzF1Ls-pkFv31G/view?usp=drivesdk" TargetMode="External"/><Relationship Id="rId7005" Type="http://schemas.openxmlformats.org/officeDocument/2006/relationships/hyperlink" Target="https://drive.google.com/file/d/144QdRE-rifiaw5kgKx7RtYBZcmnTcEWj/view?usp=drivesdk" TargetMode="External"/><Relationship Id="rId8336" Type="http://schemas.openxmlformats.org/officeDocument/2006/relationships/hyperlink" Target="https://drive.google.com/file/d/1z2YIgNjSHEO0VwOzM84hrFPaGKTthhAB/view?usp=drivesdk" TargetMode="External"/><Relationship Id="rId9668" Type="http://schemas.openxmlformats.org/officeDocument/2006/relationships/hyperlink" Target="https://drive.google.com/file/d/1y-25-rtvsyv3_3_YnpBXKg_mNF7c044o/view?usp=drivesdk" TargetMode="External"/><Relationship Id="rId7004" Type="http://schemas.openxmlformats.org/officeDocument/2006/relationships/hyperlink" Target="https://drive.google.com/file/d/1vropu3rP7YqzN7kxEWBlYb5kw-IUHqTA/view?usp=drivesdk" TargetMode="External"/><Relationship Id="rId8335" Type="http://schemas.openxmlformats.org/officeDocument/2006/relationships/hyperlink" Target="https://drive.google.com/file/d/11plNrIDwWnA4uD5Bv0wCyQ9vWaO3-Wih/view?usp=drivesdk" TargetMode="External"/><Relationship Id="rId9669" Type="http://schemas.openxmlformats.org/officeDocument/2006/relationships/hyperlink" Target="https://drive.google.com/file/d/12z74YdGUOq8DEo97LzUtaDG64JnbqZjt/view?usp=drivesdk" TargetMode="External"/><Relationship Id="rId7003" Type="http://schemas.openxmlformats.org/officeDocument/2006/relationships/hyperlink" Target="https://drive.google.com/file/d/1MuydHvfOSFbS4CExkvmwnS_MvH7eyXqh/view?usp=drivesdk" TargetMode="External"/><Relationship Id="rId8334" Type="http://schemas.openxmlformats.org/officeDocument/2006/relationships/hyperlink" Target="https://drive.google.com/file/d/1gRln_AUAVSP4wFAKc1djG3_ke57Nk-bk/view?usp=drivesdk" TargetMode="External"/><Relationship Id="rId7002" Type="http://schemas.openxmlformats.org/officeDocument/2006/relationships/hyperlink" Target="https://drive.google.com/file/d/1kmbBnDF3H5wL7YjOh5aU3I7nPsHYY_Hw/view?usp=drivesdk" TargetMode="External"/><Relationship Id="rId8333" Type="http://schemas.openxmlformats.org/officeDocument/2006/relationships/hyperlink" Target="https://drive.google.com/file/d/19iL79xi0D76NSVT3CKZRc2ysqIZRqFyE/view?usp=drivesdk" TargetMode="External"/><Relationship Id="rId7009" Type="http://schemas.openxmlformats.org/officeDocument/2006/relationships/hyperlink" Target="https://drive.google.com/file/d/13_OOXeinTXbyBtjeI8LMwgP15xjk4Kcx/view?usp=drivesdk" TargetMode="External"/><Relationship Id="rId9664" Type="http://schemas.openxmlformats.org/officeDocument/2006/relationships/hyperlink" Target="https://drive.google.com/file/d/1M354TLME3DrfrvlqCyFZpmsOsJfKuECb/view?usp=drivesdk" TargetMode="External"/><Relationship Id="rId7008" Type="http://schemas.openxmlformats.org/officeDocument/2006/relationships/hyperlink" Target="https://drive.google.com/file/d/1jbQ1j1I93LJhQ4zlcBptvFHPw4lRoemN/view?usp=drivesdk" TargetMode="External"/><Relationship Id="rId8339" Type="http://schemas.openxmlformats.org/officeDocument/2006/relationships/hyperlink" Target="https://drive.google.com/file/d/1R_c5-JAXOlS-qbXud5QVHRNbC9XuAO_0/view?usp=drivesdk" TargetMode="External"/><Relationship Id="rId9665" Type="http://schemas.openxmlformats.org/officeDocument/2006/relationships/hyperlink" Target="https://drive.google.com/file/d/1oivmb0dHRiX08rOdTl2zWzf93AsUZeOG/view?usp=drivesdk" TargetMode="External"/><Relationship Id="rId7007" Type="http://schemas.openxmlformats.org/officeDocument/2006/relationships/hyperlink" Target="https://drive.google.com/file/d/1RYC13hjwWkDLv-V1RxsQypvj3Ta9Lm5p/view?usp=drivesdk" TargetMode="External"/><Relationship Id="rId8338" Type="http://schemas.openxmlformats.org/officeDocument/2006/relationships/hyperlink" Target="https://drive.google.com/file/d/18Zcra6ppZa4gO9_4Jx1-ulWwdC1K6Fkn/view?usp=drivesdk" TargetMode="External"/><Relationship Id="rId9666" Type="http://schemas.openxmlformats.org/officeDocument/2006/relationships/hyperlink" Target="https://drive.google.com/file/d/1vG7Il64L7jqvxmEo6cQKoOR63UAplRg6/view?usp=drivesdk" TargetMode="External"/><Relationship Id="rId7006" Type="http://schemas.openxmlformats.org/officeDocument/2006/relationships/hyperlink" Target="https://drive.google.com/file/d/1IuUrtHwc61rqyvbf0hYBGIjOcj2W0TfT/view?usp=drivesdk" TargetMode="External"/><Relationship Id="rId8337" Type="http://schemas.openxmlformats.org/officeDocument/2006/relationships/hyperlink" Target="https://drive.google.com/file/d/1LR8q5CuBF_J1BlIy3kZkZgbWskFnvYVm/view?usp=drivesdk" TargetMode="External"/><Relationship Id="rId9667" Type="http://schemas.openxmlformats.org/officeDocument/2006/relationships/hyperlink" Target="https://drive.google.com/file/d/1v3sVQNkYIvSzIsLBXN2I-wroTjhOhe_1/view?usp=drivesdk" TargetMode="External"/><Relationship Id="rId11271" Type="http://schemas.openxmlformats.org/officeDocument/2006/relationships/hyperlink" Target="https://drive.google.com/file/d/1Zo6z8Sfl1JjxuoKF7-lp_-50RjWfXHTk/view?usp=drivesdk" TargetMode="External"/><Relationship Id="rId11270" Type="http://schemas.openxmlformats.org/officeDocument/2006/relationships/hyperlink" Target="https://drive.google.com/file/d/11in1b49gWWOYgAJmqFu3IPLU-8ELG0Bf/view?usp=drivesdk" TargetMode="External"/><Relationship Id="rId11269" Type="http://schemas.openxmlformats.org/officeDocument/2006/relationships/hyperlink" Target="https://drive.google.com/file/d/1spTJiajX1owOje4vEyeqXEHBH6LV44t5/view?usp=drivesdk" TargetMode="External"/><Relationship Id="rId11264" Type="http://schemas.openxmlformats.org/officeDocument/2006/relationships/hyperlink" Target="https://drive.google.com/file/d/1gznNUzpwPh4GMqYE5N41dCgUA7g2qJC_/view?usp=drivesdk" TargetMode="External"/><Relationship Id="rId12595" Type="http://schemas.openxmlformats.org/officeDocument/2006/relationships/hyperlink" Target="https://drive.google.com/file/d/1BXSChwGTwPogfiodegboOVQzh_F11X9o/view?usp=drivesdk" TargetMode="External"/><Relationship Id="rId11263" Type="http://schemas.openxmlformats.org/officeDocument/2006/relationships/hyperlink" Target="https://drive.google.com/file/d/1iBIEtZ1HUFnsRh1EontDfxAhq4_LrNg3/view?usp=drivesdk" TargetMode="External"/><Relationship Id="rId12594" Type="http://schemas.openxmlformats.org/officeDocument/2006/relationships/hyperlink" Target="https://drive.google.com/file/d/19MNzH9ueHKPukwUMia-aQ4K8SJ1Woipa/view?usp=drivesdk" TargetMode="External"/><Relationship Id="rId11262" Type="http://schemas.openxmlformats.org/officeDocument/2006/relationships/hyperlink" Target="https://drive.google.com/file/d/14qBWpUhZ6nt6KLJXfaYi1k_68uHM0YdI/view?usp=drivesdk" TargetMode="External"/><Relationship Id="rId12593" Type="http://schemas.openxmlformats.org/officeDocument/2006/relationships/hyperlink" Target="https://drive.google.com/file/d/1Iq0oGMxQNB8x7kVTkTmoQKONNiBY7sl7/view?usp=drivesdk" TargetMode="External"/><Relationship Id="rId11261" Type="http://schemas.openxmlformats.org/officeDocument/2006/relationships/hyperlink" Target="https://drive.google.com/file/d/1itTExdbxAuYGrebVcDFmAvxKKLzUa5Vv/view?usp=drivesdk" TargetMode="External"/><Relationship Id="rId12592" Type="http://schemas.openxmlformats.org/officeDocument/2006/relationships/hyperlink" Target="https://drive.google.com/file/d/1cs7hUTcseN15cqWCZXSXAlG0wjOtiD20/view?usp=drivesdk" TargetMode="External"/><Relationship Id="rId11268" Type="http://schemas.openxmlformats.org/officeDocument/2006/relationships/hyperlink" Target="https://drive.google.com/file/d/1WIQWNxaSRCsKUr7C7ocfEaCgAWgbXYqC/view?usp=drivesdk" TargetMode="External"/><Relationship Id="rId12599" Type="http://schemas.openxmlformats.org/officeDocument/2006/relationships/hyperlink" Target="https://drive.google.com/file/d/1v8uRJPIy8x5zoLbHUMOUEU8ftKwygAyn/view?usp=drivesdk" TargetMode="External"/><Relationship Id="rId11267" Type="http://schemas.openxmlformats.org/officeDocument/2006/relationships/hyperlink" Target="https://drive.google.com/file/d/1HHG-jA4ZIqi51NzaRy146XFguBm1-zlx/view?usp=drivesdk" TargetMode="External"/><Relationship Id="rId12598" Type="http://schemas.openxmlformats.org/officeDocument/2006/relationships/hyperlink" Target="https://drive.google.com/file/d/17dHAveHmHmbBv9ZuvCiZohOtQ0t7kyL4/view?usp=drivesdk" TargetMode="External"/><Relationship Id="rId11266" Type="http://schemas.openxmlformats.org/officeDocument/2006/relationships/hyperlink" Target="https://drive.google.com/file/d/1Ra4n3uVkyUuX7RJt9daGW_x0wq7DtUKt/view?usp=drivesdk" TargetMode="External"/><Relationship Id="rId12597" Type="http://schemas.openxmlformats.org/officeDocument/2006/relationships/hyperlink" Target="https://drive.google.com/file/d/1mlPFE_5yaiyS7CRLrRQgio3-NJsb-YKb/view?usp=drivesdk" TargetMode="External"/><Relationship Id="rId11265" Type="http://schemas.openxmlformats.org/officeDocument/2006/relationships/hyperlink" Target="https://drive.google.com/file/d/1zkpkqZb08i12X11PVKKUfxgbzlWkdUpd/view?usp=drivesdk" TargetMode="External"/><Relationship Id="rId12596" Type="http://schemas.openxmlformats.org/officeDocument/2006/relationships/hyperlink" Target="https://drive.google.com/file/d/1AjpCHMRKH5SJAMmJzfBjGLBgh9ncX1CW/view?usp=drivesdk" TargetMode="External"/><Relationship Id="rId11282" Type="http://schemas.openxmlformats.org/officeDocument/2006/relationships/hyperlink" Target="https://drive.google.com/file/d/1USGXHWfyUhlfef21axc5shY_jluHElYF/view?usp=drivesdk" TargetMode="External"/><Relationship Id="rId11281" Type="http://schemas.openxmlformats.org/officeDocument/2006/relationships/hyperlink" Target="https://drive.google.com/file/d/15TOMk4E_a6gWKlykaQIUNdMVqUmDGBFL/view?usp=drivesdk" TargetMode="External"/><Relationship Id="rId11280" Type="http://schemas.openxmlformats.org/officeDocument/2006/relationships/hyperlink" Target="https://drive.google.com/file/d/1cYsh7yvNsYJjR7PhUmZWFuUIqaMZODL2/view?usp=drivesdk" TargetMode="External"/><Relationship Id="rId11275" Type="http://schemas.openxmlformats.org/officeDocument/2006/relationships/hyperlink" Target="https://drive.google.com/file/d/1nl1WmS7hhDMRBm8t6DvIuORUuo-XaRfD/view?usp=drivesdk" TargetMode="External"/><Relationship Id="rId11274" Type="http://schemas.openxmlformats.org/officeDocument/2006/relationships/hyperlink" Target="https://drive.google.com/file/d/15s6FdZBG119pl0-id-fiblnwkZI7cC4V/view?usp=drivesdk" TargetMode="External"/><Relationship Id="rId11273" Type="http://schemas.openxmlformats.org/officeDocument/2006/relationships/hyperlink" Target="https://drive.google.com/file/d/1adekjFiONIQfwBmXz18cSCK-QlHhB9LB/view?usp=drivesdk" TargetMode="External"/><Relationship Id="rId11272" Type="http://schemas.openxmlformats.org/officeDocument/2006/relationships/hyperlink" Target="https://drive.google.com/file/d/1rct_qkMSkxlJuREUz6hpIWgom5PlR_cq/view?usp=drivesdk" TargetMode="External"/><Relationship Id="rId11279" Type="http://schemas.openxmlformats.org/officeDocument/2006/relationships/hyperlink" Target="https://drive.google.com/file/d/1VsCxKeY9lLAoNnO4cqXxs7mFg2pukZyj/view?usp=drivesdk" TargetMode="External"/><Relationship Id="rId11278" Type="http://schemas.openxmlformats.org/officeDocument/2006/relationships/hyperlink" Target="https://drive.google.com/file/d/1thMU2yu3m6ycD2ucrEDkP9orlxvT5C6L/view?usp=drivesdk" TargetMode="External"/><Relationship Id="rId11277" Type="http://schemas.openxmlformats.org/officeDocument/2006/relationships/hyperlink" Target="https://drive.google.com/file/d/1KwQTehe6e9kzdw9DJsvLh2QRNhwfUPgl/view?usp=drivesdk" TargetMode="External"/><Relationship Id="rId11276" Type="http://schemas.openxmlformats.org/officeDocument/2006/relationships/hyperlink" Target="https://drive.google.com/file/d/17Fc7aGqXsWJlzxOToB6ICKNlMXKkMp9d/view?usp=drivesdk" TargetMode="External"/><Relationship Id="rId12580" Type="http://schemas.openxmlformats.org/officeDocument/2006/relationships/hyperlink" Target="https://drive.google.com/file/d/1Ix3Z47A0GGsjGIX0OH9Ja63V9x1cxr1q/view?usp=drivesdk" TargetMode="External"/><Relationship Id="rId11249" Type="http://schemas.openxmlformats.org/officeDocument/2006/relationships/hyperlink" Target="https://drive.google.com/file/d/19GTehU7KpKJzk258iwlZcqoLExvUnsFK/view?usp=drivesdk" TargetMode="External"/><Relationship Id="rId11248" Type="http://schemas.openxmlformats.org/officeDocument/2006/relationships/hyperlink" Target="https://drive.google.com/file/d/1QtMrOxdrvcLQMIoSIdAGbx-Pt7adXVcs/view?usp=drivesdk" TargetMode="External"/><Relationship Id="rId12579" Type="http://schemas.openxmlformats.org/officeDocument/2006/relationships/hyperlink" Target="https://drive.google.com/file/d/1Y7R_SLd8ygLd0gzepyCY88hCQ7KN3RkW/view?usp=drivesdk" TargetMode="External"/><Relationship Id="rId11247" Type="http://schemas.openxmlformats.org/officeDocument/2006/relationships/hyperlink" Target="https://drive.google.com/file/d/1EqK25mP--OrctP8x75vplnz65Fvqaeau/view?usp=drivesdk" TargetMode="External"/><Relationship Id="rId12578" Type="http://schemas.openxmlformats.org/officeDocument/2006/relationships/hyperlink" Target="https://drive.google.com/file/d/1hwhn_fgl5x7YDE1L2A8tJpuDl6tRt-VL/view?usp=drivesdk" TargetMode="External"/><Relationship Id="rId11242" Type="http://schemas.openxmlformats.org/officeDocument/2006/relationships/hyperlink" Target="https://drive.google.com/file/d/12pfjV4x3VHDShMigenwfIHU6mVCCrIa_/view?usp=drivesdk" TargetMode="External"/><Relationship Id="rId12573" Type="http://schemas.openxmlformats.org/officeDocument/2006/relationships/hyperlink" Target="https://drive.google.com/file/d/1UA-0VJUNbbQWvVGOTWiM7Y4W6zeF4uB_/view?usp=drivesdk" TargetMode="External"/><Relationship Id="rId11241" Type="http://schemas.openxmlformats.org/officeDocument/2006/relationships/hyperlink" Target="https://drive.google.com/file/d/11YNMraMpZoIquuY1W_M5g-iwEv5WSIIi/view?usp=drivesdk" TargetMode="External"/><Relationship Id="rId12572" Type="http://schemas.openxmlformats.org/officeDocument/2006/relationships/hyperlink" Target="https://drive.google.com/file/d/1TgTyimK4bKzT0z4dxtzmAbl5EayayYXH/view?usp=drivesdk" TargetMode="External"/><Relationship Id="rId11240" Type="http://schemas.openxmlformats.org/officeDocument/2006/relationships/hyperlink" Target="https://drive.google.com/file/d/123x7-T8y-7XUJLBh0oFItOWaVY6LkwsP/view?usp=drivesdk" TargetMode="External"/><Relationship Id="rId12571" Type="http://schemas.openxmlformats.org/officeDocument/2006/relationships/hyperlink" Target="https://drive.google.com/file/d/1I24qX8PBhjZXiusO0quca7JEITHFy4te/view?usp=drivesdk" TargetMode="External"/><Relationship Id="rId12570" Type="http://schemas.openxmlformats.org/officeDocument/2006/relationships/hyperlink" Target="https://drive.google.com/file/d/1xcYOboJ8Y__Kw_oZbYIPG_6WJz_OOXbS/view?usp=drivesdk" TargetMode="External"/><Relationship Id="rId11246" Type="http://schemas.openxmlformats.org/officeDocument/2006/relationships/hyperlink" Target="https://drive.google.com/file/d/12adgtkNstF11sB1-O9T6W8TVIVQ48JJg/view?usp=drivesdk" TargetMode="External"/><Relationship Id="rId12577" Type="http://schemas.openxmlformats.org/officeDocument/2006/relationships/hyperlink" Target="https://drive.google.com/file/d/1IJgjrm5RcBrKVbeSdlvFmX-JIZgRS2KO/view?usp=drivesdk" TargetMode="External"/><Relationship Id="rId11245" Type="http://schemas.openxmlformats.org/officeDocument/2006/relationships/hyperlink" Target="https://drive.google.com/file/d/1w5WzvdTI5jIEgLlh4s39MYBBV4XdEVmr/view?usp=drivesdk" TargetMode="External"/><Relationship Id="rId12576" Type="http://schemas.openxmlformats.org/officeDocument/2006/relationships/hyperlink" Target="https://drive.google.com/file/d/1yBF72gi6I0t3jF_fF3g2KY9C4Fvc_RUp/view?usp=drivesdk" TargetMode="External"/><Relationship Id="rId11244" Type="http://schemas.openxmlformats.org/officeDocument/2006/relationships/hyperlink" Target="https://drive.google.com/file/d/1FXeIAXE9NBuhUtSt2VcxV08HlO01qJnB/view?usp=drivesdk" TargetMode="External"/><Relationship Id="rId12575" Type="http://schemas.openxmlformats.org/officeDocument/2006/relationships/hyperlink" Target="https://drive.google.com/file/d/16j9Z6voINrhFdtB8TwJxvqRul-mIYip8/view?usp=drivesdk" TargetMode="External"/><Relationship Id="rId11243" Type="http://schemas.openxmlformats.org/officeDocument/2006/relationships/hyperlink" Target="https://drive.google.com/file/d/1gVxdvxb__VzoxEC60ePg7_kIDhJ0WrFB/view?usp=drivesdk" TargetMode="External"/><Relationship Id="rId12574" Type="http://schemas.openxmlformats.org/officeDocument/2006/relationships/hyperlink" Target="https://drive.google.com/file/d/1vrIMhf5Koh3peHwKp20KXH3_gqv0GFrH/view?usp=drivesdk" TargetMode="External"/><Relationship Id="rId11260" Type="http://schemas.openxmlformats.org/officeDocument/2006/relationships/hyperlink" Target="https://drive.google.com/file/d/1_LlhqATmnJSl0VpncY9zy_kgl-e-UC0O/view?usp=drivesdk" TargetMode="External"/><Relationship Id="rId12591" Type="http://schemas.openxmlformats.org/officeDocument/2006/relationships/hyperlink" Target="https://drive.google.com/file/d/1TwlWqcpfysfYDWN2kwlZxrFvONyANspC/view?usp=drivesdk" TargetMode="External"/><Relationship Id="rId12590" Type="http://schemas.openxmlformats.org/officeDocument/2006/relationships/hyperlink" Target="https://drive.google.com/file/d/145h6Lgl1HRWIJrXU8bRoesrWqyTHDNwy/view?usp=drivesdk" TargetMode="External"/><Relationship Id="rId11259" Type="http://schemas.openxmlformats.org/officeDocument/2006/relationships/hyperlink" Target="https://drive.google.com/file/d/1GWdziELBJM8pOSeNFLRKSgJhXtZfgz14/view?usp=drivesdk" TargetMode="External"/><Relationship Id="rId11258" Type="http://schemas.openxmlformats.org/officeDocument/2006/relationships/hyperlink" Target="https://drive.google.com/file/d/1rOGzvrdve1Qd166kpOIkKNZN3szR_ANZ/view?usp=drivesdk" TargetMode="External"/><Relationship Id="rId12589" Type="http://schemas.openxmlformats.org/officeDocument/2006/relationships/hyperlink" Target="https://drive.google.com/file/d/1Ee_1cAV1UE-Fy76zwIL92vcs_87Rnp-G/view?usp=drivesdk" TargetMode="External"/><Relationship Id="rId11253" Type="http://schemas.openxmlformats.org/officeDocument/2006/relationships/hyperlink" Target="https://drive.google.com/file/d/1qwmr0PcKr2gBkPzTxeFhTzQpJmCAa03L/view?usp=drivesdk" TargetMode="External"/><Relationship Id="rId12584" Type="http://schemas.openxmlformats.org/officeDocument/2006/relationships/hyperlink" Target="https://drive.google.com/file/d/1aW40L0cvFn3DzY4pQIU-q5JsyhAnjZP9/view?usp=drivesdk" TargetMode="External"/><Relationship Id="rId11252" Type="http://schemas.openxmlformats.org/officeDocument/2006/relationships/hyperlink" Target="https://drive.google.com/file/d/1_QksZceg2Lcn7GBG4t71GAbycmO6jKYf/view?usp=drivesdk" TargetMode="External"/><Relationship Id="rId12583" Type="http://schemas.openxmlformats.org/officeDocument/2006/relationships/hyperlink" Target="https://drive.google.com/file/d/1NrZIqMBJK9IXgB-dig2GGeJF-svood_2/view?usp=drivesdk" TargetMode="External"/><Relationship Id="rId11251" Type="http://schemas.openxmlformats.org/officeDocument/2006/relationships/hyperlink" Target="https://drive.google.com/file/d/1cf1wV82RG4ZCqwf355AO-xZSgdX41CR9/view?usp=drivesdk" TargetMode="External"/><Relationship Id="rId12582" Type="http://schemas.openxmlformats.org/officeDocument/2006/relationships/hyperlink" Target="https://drive.google.com/file/d/1SEc6sLcWSgyv1VuQ0rXISDdQnXYGxiT5/view?usp=drivesdk" TargetMode="External"/><Relationship Id="rId11250" Type="http://schemas.openxmlformats.org/officeDocument/2006/relationships/hyperlink" Target="https://drive.google.com/file/d/1kMEHgfGjg3YTHCumPwknPZRDuf-uguUA/view?usp=drivesdk" TargetMode="External"/><Relationship Id="rId12581" Type="http://schemas.openxmlformats.org/officeDocument/2006/relationships/hyperlink" Target="https://drive.google.com/file/d/1LOEmUeEc5zgAGFJCVUTs06zi43VlzXgj/view?usp=drivesdk" TargetMode="External"/><Relationship Id="rId11257" Type="http://schemas.openxmlformats.org/officeDocument/2006/relationships/hyperlink" Target="https://drive.google.com/file/d/1_sg1jn95bjoNNd3Xql8tBWD5_6mWxVo5/view?usp=drivesdk" TargetMode="External"/><Relationship Id="rId12588" Type="http://schemas.openxmlformats.org/officeDocument/2006/relationships/hyperlink" Target="https://drive.google.com/file/d/11s075Utx5W4Hbet5uX_o6BjNai_JQ5YV/view?usp=drivesdk" TargetMode="External"/><Relationship Id="rId11256" Type="http://schemas.openxmlformats.org/officeDocument/2006/relationships/hyperlink" Target="https://drive.google.com/file/d/1rAqGbXaH02crPL4qGUzjykNxRYrnamts/view?usp=drivesdk" TargetMode="External"/><Relationship Id="rId12587" Type="http://schemas.openxmlformats.org/officeDocument/2006/relationships/hyperlink" Target="https://drive.google.com/file/d/1T0zcQN46khhXly2xU3NBD9EZGssVKDPn/view?usp=drivesdk" TargetMode="External"/><Relationship Id="rId11255" Type="http://schemas.openxmlformats.org/officeDocument/2006/relationships/hyperlink" Target="https://drive.google.com/file/d/1qyzuGF3fGxxRFur0zWmfYG4JzEjmLGFR/view?usp=drivesdk" TargetMode="External"/><Relationship Id="rId12586" Type="http://schemas.openxmlformats.org/officeDocument/2006/relationships/hyperlink" Target="https://drive.google.com/file/d/1mWiNL_0nABMPoxqZWpnYOxBTeTnwj6ul/view?usp=drivesdk" TargetMode="External"/><Relationship Id="rId11254" Type="http://schemas.openxmlformats.org/officeDocument/2006/relationships/hyperlink" Target="https://drive.google.com/file/d/1Aa3dP4V_0hSzTY33RL6_1K1aqH93_xZU/view?usp=drivesdk" TargetMode="External"/><Relationship Id="rId12585" Type="http://schemas.openxmlformats.org/officeDocument/2006/relationships/hyperlink" Target="https://drive.google.com/file/d/1B_wTCeQ0yfpq62R1jJw2OUVIVSM7Se2D/view?usp=drivesdk" TargetMode="External"/><Relationship Id="rId7081" Type="http://schemas.openxmlformats.org/officeDocument/2006/relationships/hyperlink" Target="https://drive.google.com/file/d/1mUGyYw4N5YNc2jHfldZyrX23cFCtP2hG/view?usp=drivesdk" TargetMode="External"/><Relationship Id="rId7080" Type="http://schemas.openxmlformats.org/officeDocument/2006/relationships/hyperlink" Target="https://drive.google.com/file/d/12HXxDh9MSx-Ws3ZZUuA64IBhTX55vbiM/view?usp=drivesdk" TargetMode="External"/><Relationship Id="rId7074" Type="http://schemas.openxmlformats.org/officeDocument/2006/relationships/hyperlink" Target="https://drive.google.com/file/d/1mB1PraeuTs9-MRUCvI5u8kVUndaY0B7l/view?usp=drivesdk" TargetMode="External"/><Relationship Id="rId7073" Type="http://schemas.openxmlformats.org/officeDocument/2006/relationships/hyperlink" Target="https://drive.google.com/file/d/1-26JAaxNKKVcXBbL-Db15kLxndm2Zrq3/view?usp=drivesdk" TargetMode="External"/><Relationship Id="rId7072" Type="http://schemas.openxmlformats.org/officeDocument/2006/relationships/hyperlink" Target="https://drive.google.com/file/d/11w-mcHnOks5DP-4XGvZE0gS5Yue8ezbl/view?usp=drivesdk" TargetMode="External"/><Relationship Id="rId7071" Type="http://schemas.openxmlformats.org/officeDocument/2006/relationships/hyperlink" Target="https://drive.google.com/file/d/1Hq5mqS9MyiIwY4dalwygORi2uK0Ewx_M/view?usp=drivesdk" TargetMode="External"/><Relationship Id="rId7078" Type="http://schemas.openxmlformats.org/officeDocument/2006/relationships/hyperlink" Target="https://drive.google.com/file/d/1CkMmNLOQssnBellhjz2Ul65Kt-Lutgsd/view?usp=drivesdk" TargetMode="External"/><Relationship Id="rId7077" Type="http://schemas.openxmlformats.org/officeDocument/2006/relationships/hyperlink" Target="https://drive.google.com/file/d/11I6Bb6QQ-WQlAdcIBsYNi1g7OUk2gLjz/view?usp=drivesdk" TargetMode="External"/><Relationship Id="rId7076" Type="http://schemas.openxmlformats.org/officeDocument/2006/relationships/hyperlink" Target="https://drive.google.com/file/d/1OsY4DWAOOEkfSXncUwd7AS2rHS-X-jk6/view?usp=drivesdk" TargetMode="External"/><Relationship Id="rId7075" Type="http://schemas.openxmlformats.org/officeDocument/2006/relationships/hyperlink" Target="https://drive.google.com/file/d/1sGQKLg5-0-P1um44LrHm6UvLR5fQkcHP/view?usp=drivesdk" TargetMode="External"/><Relationship Id="rId7079" Type="http://schemas.openxmlformats.org/officeDocument/2006/relationships/hyperlink" Target="https://drive.google.com/file/d/1KvcrNbArnPgoSobvIyz-Cwxq6VQiC3Jz/view?usp=drivesdk" TargetMode="External"/><Relationship Id="rId7070" Type="http://schemas.openxmlformats.org/officeDocument/2006/relationships/hyperlink" Target="https://drive.google.com/file/d/15MTutpTyXXaD1R9H5J7XOGJLPFd-hY_u/view?usp=drivesdk" TargetMode="External"/><Relationship Id="rId7063" Type="http://schemas.openxmlformats.org/officeDocument/2006/relationships/hyperlink" Target="https://drive.google.com/file/d/1fhN9G_0UfBy8pn-eqdzErd8mmzu_dvSr/view?usp=drivesdk" TargetMode="External"/><Relationship Id="rId8394" Type="http://schemas.openxmlformats.org/officeDocument/2006/relationships/hyperlink" Target="https://drive.google.com/file/d/1C3GPknOmahOCT7IWiDEQvp8Vq_onGrsR/view?usp=drivesdk" TargetMode="External"/><Relationship Id="rId7062" Type="http://schemas.openxmlformats.org/officeDocument/2006/relationships/hyperlink" Target="https://drive.google.com/file/d/1vkGaSckwF9PErUM1pMa7An9Lkq2m6hfa/view?usp=drivesdk" TargetMode="External"/><Relationship Id="rId8393" Type="http://schemas.openxmlformats.org/officeDocument/2006/relationships/hyperlink" Target="https://drive.google.com/file/d/1w831XEDt4cv_OPYnqGo5EAAlw7v0xd8-/view?usp=drivesdk" TargetMode="External"/><Relationship Id="rId7061" Type="http://schemas.openxmlformats.org/officeDocument/2006/relationships/hyperlink" Target="https://drive.google.com/file/d/1gXMWWiAQDnUofCCJQgtcp5yZGWbAZNt5/view?usp=drivesdk" TargetMode="External"/><Relationship Id="rId8392" Type="http://schemas.openxmlformats.org/officeDocument/2006/relationships/hyperlink" Target="https://drive.google.com/file/d/1F5Di-CnqDTJ3OmCGQWJfD7tBGqS0CNOr/view?usp=drivesdk" TargetMode="External"/><Relationship Id="rId7060" Type="http://schemas.openxmlformats.org/officeDocument/2006/relationships/hyperlink" Target="https://drive.google.com/file/d/1OUwXctrFQGO3GQJABW70Aj04otQ5X81g/view?usp=drivesdk" TargetMode="External"/><Relationship Id="rId8391" Type="http://schemas.openxmlformats.org/officeDocument/2006/relationships/hyperlink" Target="https://drive.google.com/file/d/1IQaQaD7N8NdPdChqJWnHYt1giW2ENstl/view?usp=drivesdk" TargetMode="External"/><Relationship Id="rId7067" Type="http://schemas.openxmlformats.org/officeDocument/2006/relationships/hyperlink" Target="https://drive.google.com/file/d/17--srMRr1ZV6TLUjuQO8XnQULmzb4IPB/view?usp=drivesdk" TargetMode="External"/><Relationship Id="rId8398" Type="http://schemas.openxmlformats.org/officeDocument/2006/relationships/hyperlink" Target="https://drive.google.com/file/d/1aviG2FQSCHipyA-bJwUx2lLva6AfpSYh/view?usp=drivesdk" TargetMode="External"/><Relationship Id="rId7066" Type="http://schemas.openxmlformats.org/officeDocument/2006/relationships/hyperlink" Target="https://drive.google.com/file/d/1J_8n0HfQif5GnSERVgI7uVru-QrRxxtc/view?usp=drivesdk" TargetMode="External"/><Relationship Id="rId8397" Type="http://schemas.openxmlformats.org/officeDocument/2006/relationships/hyperlink" Target="https://drive.google.com/file/d/16-PgM7JfV3ebmeburLPY1I057fllquU3/view?usp=drivesdk" TargetMode="External"/><Relationship Id="rId7065" Type="http://schemas.openxmlformats.org/officeDocument/2006/relationships/hyperlink" Target="https://drive.google.com/file/d/1X9D-Fy9uCRk1xESKF82xLPXJWsCpJb67/view?usp=drivesdk" TargetMode="External"/><Relationship Id="rId8396" Type="http://schemas.openxmlformats.org/officeDocument/2006/relationships/hyperlink" Target="https://drive.google.com/file/d/1-6B5TsDay7fEfMPnDrHVRsmpYlWnUwBD/view?usp=drivesdk" TargetMode="External"/><Relationship Id="rId7064" Type="http://schemas.openxmlformats.org/officeDocument/2006/relationships/hyperlink" Target="https://drive.google.com/file/d/1ZMFLfXExNKRxTn6DG3gdlrvkerT_gwdG/view?usp=drivesdk" TargetMode="External"/><Relationship Id="rId8395" Type="http://schemas.openxmlformats.org/officeDocument/2006/relationships/hyperlink" Target="https://drive.google.com/file/d/1W6DQXgDhvKRDnueij-fWw9OV3Zv8dZPs/view?usp=drivesdk" TargetMode="External"/><Relationship Id="rId7069" Type="http://schemas.openxmlformats.org/officeDocument/2006/relationships/hyperlink" Target="https://drive.google.com/file/d/1AQvhChSZxPt-_-wldHZcT6n3p5PxKzOh/view?usp=drivesdk" TargetMode="External"/><Relationship Id="rId7068" Type="http://schemas.openxmlformats.org/officeDocument/2006/relationships/hyperlink" Target="https://drive.google.com/file/d/1Scr-vu9xkwcEhHerGku2a2g73GYzCnvZ/view?usp=drivesdk" TargetMode="External"/><Relationship Id="rId8399" Type="http://schemas.openxmlformats.org/officeDocument/2006/relationships/hyperlink" Target="https://drive.google.com/file/d/1JQ7L7BA-7SkOQX6XeSdfK37qy_62EyH5/view?usp=drivesdk" TargetMode="External"/><Relationship Id="rId11293" Type="http://schemas.openxmlformats.org/officeDocument/2006/relationships/hyperlink" Target="https://drive.google.com/file/d/1qUr9ByOBGJcIe6dzoGLPq_LIsv3jMp0a/view?usp=drivesdk" TargetMode="External"/><Relationship Id="rId11292" Type="http://schemas.openxmlformats.org/officeDocument/2006/relationships/hyperlink" Target="https://drive.google.com/file/d/1wWUXRagyWt2tPkzbc--1LGFBOej3rXRO/view?usp=drivesdk" TargetMode="External"/><Relationship Id="rId11291" Type="http://schemas.openxmlformats.org/officeDocument/2006/relationships/hyperlink" Target="https://drive.google.com/file/d/1Ql6Dw4V1_EcO9ZbxrX2F34_Ij3hKIZhc/view?usp=drivesdk" TargetMode="External"/><Relationship Id="rId11290" Type="http://schemas.openxmlformats.org/officeDocument/2006/relationships/hyperlink" Target="https://drive.google.com/file/d/1pJqWKmG0U5qo9aqvbzlsoKQrXOsHP72v/view?usp=drivesdk" TargetMode="External"/><Relationship Id="rId7096" Type="http://schemas.openxmlformats.org/officeDocument/2006/relationships/hyperlink" Target="https://drive.google.com/file/d/1Lrl9l6bLC1SUTQsSGdqEnbbpfXOV8Lhk/view?usp=drivesdk" TargetMode="External"/><Relationship Id="rId7095" Type="http://schemas.openxmlformats.org/officeDocument/2006/relationships/hyperlink" Target="https://drive.google.com/file/d/1Jk8uEXJSXBhyCOYzCDYstfG_7W4WQRto/view?usp=drivesdk" TargetMode="External"/><Relationship Id="rId7094" Type="http://schemas.openxmlformats.org/officeDocument/2006/relationships/hyperlink" Target="https://drive.google.com/file/d/1ReCZ33tsxDUXqwb3eFjZJ6ls5OcwD2TX/view?usp=drivesdk" TargetMode="External"/><Relationship Id="rId7093" Type="http://schemas.openxmlformats.org/officeDocument/2006/relationships/hyperlink" Target="https://drive.google.com/file/d/10ASuffngNbwx2v7CgamjTwZRBmnEBihj/view?usp=drivesdk" TargetMode="External"/><Relationship Id="rId7099" Type="http://schemas.openxmlformats.org/officeDocument/2006/relationships/hyperlink" Target="https://drive.google.com/file/d/1b2PkfCeAGvgpgdp2gCA2-hrmLKV30u3P/view?usp=drivesdk" TargetMode="External"/><Relationship Id="rId7098" Type="http://schemas.openxmlformats.org/officeDocument/2006/relationships/hyperlink" Target="https://drive.google.com/file/d/1oxqeh4e6UlOPlsBe9f8bHP05vzImCeX1/view?usp=drivesdk" TargetMode="External"/><Relationship Id="rId7097" Type="http://schemas.openxmlformats.org/officeDocument/2006/relationships/hyperlink" Target="https://drive.google.com/file/d/1c5l6O_9iRwGKA1pxvHLE9qriFxrxDmyy/view?usp=drivesdk" TargetMode="External"/><Relationship Id="rId11286" Type="http://schemas.openxmlformats.org/officeDocument/2006/relationships/hyperlink" Target="https://drive.google.com/file/d/1HwckzMrbaJa89IgR0t9Y4lG18e_x1g1n/view?usp=drivesdk" TargetMode="External"/><Relationship Id="rId11285" Type="http://schemas.openxmlformats.org/officeDocument/2006/relationships/hyperlink" Target="https://drive.google.com/file/d/119RcZySHoQwBGCcn8m0EvUI1P4mGqJO6/view?usp=drivesdk" TargetMode="External"/><Relationship Id="rId11284" Type="http://schemas.openxmlformats.org/officeDocument/2006/relationships/hyperlink" Target="https://drive.google.com/file/d/1va0ymotaAgRww1LO3ulgMGTQVi-uT2tE/view?usp=drivesdk" TargetMode="External"/><Relationship Id="rId11283" Type="http://schemas.openxmlformats.org/officeDocument/2006/relationships/hyperlink" Target="https://drive.google.com/file/d/1No9NiXmp-crzDZ70X6FqrIRRKh4YKpbH/view?usp=drivesdk" TargetMode="External"/><Relationship Id="rId11289" Type="http://schemas.openxmlformats.org/officeDocument/2006/relationships/hyperlink" Target="https://drive.google.com/file/d/1EqocpN06TCeQFn1LHz5CRVKMsLAwrL5D/view?usp=drivesdk" TargetMode="External"/><Relationship Id="rId11288" Type="http://schemas.openxmlformats.org/officeDocument/2006/relationships/hyperlink" Target="https://drive.google.com/file/d/1NOzl-LzYAZwuHK7_CPsWrPi6ri1nNtdk/view?usp=drivesdk" TargetMode="External"/><Relationship Id="rId11287" Type="http://schemas.openxmlformats.org/officeDocument/2006/relationships/hyperlink" Target="https://drive.google.com/file/d/1BeurTtJK5fD9Hcdkg1DonauonyzwqJea/view?usp=drivesdk" TargetMode="External"/><Relationship Id="rId7092" Type="http://schemas.openxmlformats.org/officeDocument/2006/relationships/hyperlink" Target="https://drive.google.com/file/d/1JHdPHoHApy4cFx2UH0fKyOVUdCCU2kCO/view?usp=drivesdk" TargetMode="External"/><Relationship Id="rId7091" Type="http://schemas.openxmlformats.org/officeDocument/2006/relationships/hyperlink" Target="https://drive.google.com/file/d/1hPOBvEf9tIyoOWh4fauiucv0kzJbiZNZ/view?usp=drivesdk" TargetMode="External"/><Relationship Id="rId7090" Type="http://schemas.openxmlformats.org/officeDocument/2006/relationships/hyperlink" Target="https://drive.google.com/file/d/1rP9Z28xCZwWvnt1j7O0eSVpiYqN_G4HO/view?usp=drivesdk" TargetMode="External"/><Relationship Id="rId7085" Type="http://schemas.openxmlformats.org/officeDocument/2006/relationships/hyperlink" Target="https://drive.google.com/file/d/1JM8rLxUnrqDz8xrJK3RKL3q-cbLCmFj6/view?usp=drivesdk" TargetMode="External"/><Relationship Id="rId7084" Type="http://schemas.openxmlformats.org/officeDocument/2006/relationships/hyperlink" Target="https://drive.google.com/file/d/1wIu_-pwaryZg62NUegT_XR5p4Bp6zdPb/view?usp=drivesdk" TargetMode="External"/><Relationship Id="rId7083" Type="http://schemas.openxmlformats.org/officeDocument/2006/relationships/hyperlink" Target="https://drive.google.com/file/d/1FX54Uvk_wDj0gH7FRHNFeBWHaWyfXT0D/view?usp=drivesdk" TargetMode="External"/><Relationship Id="rId7082" Type="http://schemas.openxmlformats.org/officeDocument/2006/relationships/hyperlink" Target="https://drive.google.com/file/d/1yeFNzSnFlCSE3KDQtgDnAGpaI6JTQNGM/view?usp=drivesdk" TargetMode="External"/><Relationship Id="rId7089" Type="http://schemas.openxmlformats.org/officeDocument/2006/relationships/hyperlink" Target="https://drive.google.com/file/d/1melIDPc3h5nLX_u29qvNgHOTBjBWW8kZ/view?usp=drivesdk" TargetMode="External"/><Relationship Id="rId7088" Type="http://schemas.openxmlformats.org/officeDocument/2006/relationships/hyperlink" Target="https://drive.google.com/file/d/1Rlg9zL2ds9D0Vwb-f2ywPzTzHJh84CUa/view?usp=drivesdk" TargetMode="External"/><Relationship Id="rId7087" Type="http://schemas.openxmlformats.org/officeDocument/2006/relationships/hyperlink" Target="https://drive.google.com/file/d/1FlsJNSkLxDxUT_JYMI72OnpMi-pGE2ce/view?usp=drivesdk" TargetMode="External"/><Relationship Id="rId7086" Type="http://schemas.openxmlformats.org/officeDocument/2006/relationships/hyperlink" Target="https://drive.google.com/file/d/1mryhRqSTUGXTLM53nDWILz0juBfNNXAv/view?usp=drivesdk" TargetMode="External"/><Relationship Id="rId11297" Type="http://schemas.openxmlformats.org/officeDocument/2006/relationships/hyperlink" Target="https://drive.google.com/file/d/1-PY5epSTMOyOl70ax6NyFHDnhUEaTSuK/view?usp=drivesdk" TargetMode="External"/><Relationship Id="rId11296" Type="http://schemas.openxmlformats.org/officeDocument/2006/relationships/hyperlink" Target="https://drive.google.com/file/d/1fOB4nPPxJ3PIRA2dJzSnc4rmdxfjsFde/view?usp=drivesdk" TargetMode="External"/><Relationship Id="rId11295" Type="http://schemas.openxmlformats.org/officeDocument/2006/relationships/hyperlink" Target="https://drive.google.com/file/d/1qjLDp9hSL3wYFqSMzy6AXeisxDq-bsFa/view?usp=drivesdk" TargetMode="External"/><Relationship Id="rId11294" Type="http://schemas.openxmlformats.org/officeDocument/2006/relationships/hyperlink" Target="https://drive.google.com/file/d/17aYX1804BF9wekNcFt9vF_aS6qKRg90L/view?usp=drivesdk" TargetMode="External"/><Relationship Id="rId11299" Type="http://schemas.openxmlformats.org/officeDocument/2006/relationships/hyperlink" Target="https://drive.google.com/file/d/1KbTJMhDnstvLx10apQqM1pSUnIVdp9_4/view?usp=drivesdk" TargetMode="External"/><Relationship Id="rId11298" Type="http://schemas.openxmlformats.org/officeDocument/2006/relationships/hyperlink" Target="https://drive.google.com/file/d/1TwzLpfGU5LHIZreluV3f1cUautUHogAC/view?usp=drivesdk" TargetMode="External"/><Relationship Id="rId12515" Type="http://schemas.openxmlformats.org/officeDocument/2006/relationships/hyperlink" Target="https://drive.google.com/file/d/1mLIm2eKsi6Y1PpEl4--5ZSlas_IW9KfB/view?usp=drivesdk" TargetMode="External"/><Relationship Id="rId12514" Type="http://schemas.openxmlformats.org/officeDocument/2006/relationships/hyperlink" Target="https://drive.google.com/file/d/14CoHUTtTlfa6yIy4lzGw7ubgyNEN8wxC/view?usp=drivesdk" TargetMode="External"/><Relationship Id="rId12513" Type="http://schemas.openxmlformats.org/officeDocument/2006/relationships/hyperlink" Target="https://drive.google.com/file/d/1IDmpwA-r8tjzFv2z5rKFIR-_sBk4RRs5/view?usp=drivesdk" TargetMode="External"/><Relationship Id="rId12512" Type="http://schemas.openxmlformats.org/officeDocument/2006/relationships/hyperlink" Target="https://drive.google.com/file/d/1IPegXUttVGhttO-zEAhgcPlQ4ch1DFm_/view?usp=drivesdk" TargetMode="External"/><Relationship Id="rId12519" Type="http://schemas.openxmlformats.org/officeDocument/2006/relationships/hyperlink" Target="https://drive.google.com/file/d/1B3NlT5rXlwdHVuV5Ea4MHQlnjMg3KTXy/view?usp=drivesdk" TargetMode="External"/><Relationship Id="rId12518" Type="http://schemas.openxmlformats.org/officeDocument/2006/relationships/hyperlink" Target="https://drive.google.com/file/d/1vINY1CEXfk5w87gdvBTcBxYTVepXXX0z/view?usp=drivesdk" TargetMode="External"/><Relationship Id="rId12517" Type="http://schemas.openxmlformats.org/officeDocument/2006/relationships/hyperlink" Target="https://drive.google.com/file/d/1C0JRbQvq22h1UkpXo6jGxOGOr2jjhwbn/view?usp=drivesdk" TargetMode="External"/><Relationship Id="rId12516" Type="http://schemas.openxmlformats.org/officeDocument/2006/relationships/hyperlink" Target="https://drive.google.com/file/d/1qLhLL2w67yNx9YLZaIshO7ereAyfIT-M/view?usp=drivesdk" TargetMode="External"/><Relationship Id="rId12511" Type="http://schemas.openxmlformats.org/officeDocument/2006/relationships/hyperlink" Target="https://drive.google.com/file/d/1Ai_PqQY65vhs4af5IPGZO8IyQHOtdiD5/view?usp=drivesdk" TargetMode="External"/><Relationship Id="rId12510" Type="http://schemas.openxmlformats.org/officeDocument/2006/relationships/hyperlink" Target="https://drive.google.com/file/d/1QXbXGJGcbJpKzRd1PVutWrEWG63S6y5x/view?usp=drivesdk" TargetMode="External"/><Relationship Id="rId12526" Type="http://schemas.openxmlformats.org/officeDocument/2006/relationships/hyperlink" Target="https://drive.google.com/file/d/1Ib6jCdX59RP_MXF8aS0gspllZswFOtPM/view?usp=drivesdk" TargetMode="External"/><Relationship Id="rId12525" Type="http://schemas.openxmlformats.org/officeDocument/2006/relationships/hyperlink" Target="https://drive.google.com/file/d/1wC2EjV_8U_NHxj8TzjaiZsbTVD4Uj7OJ/view?usp=drivesdk" TargetMode="External"/><Relationship Id="rId12524" Type="http://schemas.openxmlformats.org/officeDocument/2006/relationships/hyperlink" Target="https://drive.google.com/file/d/1b3pH_lN2UTJ9Qx9MVtva7n5UrMNz_mYp/view?usp=drivesdk" TargetMode="External"/><Relationship Id="rId12523" Type="http://schemas.openxmlformats.org/officeDocument/2006/relationships/hyperlink" Target="https://drive.google.com/file/d/1Ynb7ZD_jbZ9f1nFXHJpkkb9DjSHna784/view?usp=drivesdk" TargetMode="External"/><Relationship Id="rId12529" Type="http://schemas.openxmlformats.org/officeDocument/2006/relationships/hyperlink" Target="https://drive.google.com/file/d/1f8T_q4wiaQ__EjYb1wdtZt9B7uSHxE-f/view?usp=drivesdk" TargetMode="External"/><Relationship Id="rId12528" Type="http://schemas.openxmlformats.org/officeDocument/2006/relationships/hyperlink" Target="https://drive.google.com/file/d/1fycOQ5sIGR1FG-JH80b72ZizBHzqjbye/view?usp=drivesdk" TargetMode="External"/><Relationship Id="rId12527" Type="http://schemas.openxmlformats.org/officeDocument/2006/relationships/hyperlink" Target="https://drive.google.com/file/d/1lvxfsh9cPC0NasEelLDNhxAMf1gobrLq/view?usp=drivesdk" TargetMode="External"/><Relationship Id="rId12522" Type="http://schemas.openxmlformats.org/officeDocument/2006/relationships/hyperlink" Target="https://drive.google.com/file/d/1b-r1k-ZL16UxmK14UW-bArV7yh3-UJnK/view?usp=drivesdk" TargetMode="External"/><Relationship Id="rId12521" Type="http://schemas.openxmlformats.org/officeDocument/2006/relationships/hyperlink" Target="https://drive.google.com/file/d/1bpeE69p65I4jFJ7BYcjkLreDIQbgBTP5/view?usp=drivesdk" TargetMode="External"/><Relationship Id="rId12520" Type="http://schemas.openxmlformats.org/officeDocument/2006/relationships/hyperlink" Target="https://drive.google.com/file/d/1hh2_gy3AG994bumgKfhqUB2MDI5cyudA/view?usp=drivesdk" TargetMode="External"/><Relationship Id="rId12509" Type="http://schemas.openxmlformats.org/officeDocument/2006/relationships/hyperlink" Target="https://drive.google.com/file/d/1Vj-OmDgE4ZcnJJVuajXRCOsaXPwVlZGj/view?usp=drivesdk" TargetMode="External"/><Relationship Id="rId12504" Type="http://schemas.openxmlformats.org/officeDocument/2006/relationships/hyperlink" Target="https://drive.google.com/file/d/1Rr3FRiaDOye4A_4eo34GhNsRO1FhQwvs/view?usp=drivesdk" TargetMode="External"/><Relationship Id="rId12503" Type="http://schemas.openxmlformats.org/officeDocument/2006/relationships/hyperlink" Target="https://drive.google.com/file/d/1M2lAim0HEogMCa2PYh21SeUI6DS7oXcG/view?usp=drivesdk" TargetMode="External"/><Relationship Id="rId12502" Type="http://schemas.openxmlformats.org/officeDocument/2006/relationships/hyperlink" Target="https://drive.google.com/file/d/14uLvfS21tQuflYTv4z4U6e5xOGWU5mh9/view?usp=drivesdk" TargetMode="External"/><Relationship Id="rId12501" Type="http://schemas.openxmlformats.org/officeDocument/2006/relationships/hyperlink" Target="https://drive.google.com/file/d/1MCL_I6eTC3tsOfpaT6wH79X6JAO0gdYz/view?usp=drivesdk" TargetMode="External"/><Relationship Id="rId12508" Type="http://schemas.openxmlformats.org/officeDocument/2006/relationships/hyperlink" Target="https://drive.google.com/file/d/1vDWw-_nXUJ-NbhwQfSMfVF2_hdjHgr4r/view?usp=drivesdk" TargetMode="External"/><Relationship Id="rId12507" Type="http://schemas.openxmlformats.org/officeDocument/2006/relationships/hyperlink" Target="https://drive.google.com/file/d/1jA3UvZKx76bh33d42nA5hjSmTZjgQUjf/view?usp=drivesdk" TargetMode="External"/><Relationship Id="rId12506" Type="http://schemas.openxmlformats.org/officeDocument/2006/relationships/hyperlink" Target="https://drive.google.com/file/d/1HWGA-0y1Vr9n74QFRDLOoXuuECETYMXq/view?usp=drivesdk" TargetMode="External"/><Relationship Id="rId12505" Type="http://schemas.openxmlformats.org/officeDocument/2006/relationships/hyperlink" Target="https://drive.google.com/file/d/1fs93p6nJfs2_EHNqVrXREdG9dICSa66D/view?usp=drivesdk" TargetMode="External"/><Relationship Id="rId12500" Type="http://schemas.openxmlformats.org/officeDocument/2006/relationships/hyperlink" Target="https://drive.google.com/file/d/13wsKgybJvCw6n5LxzqU_4oyT01zaRKjg/view?usp=drivesdk" TargetMode="External"/><Relationship Id="rId11228" Type="http://schemas.openxmlformats.org/officeDocument/2006/relationships/hyperlink" Target="https://drive.google.com/file/d/1lzK2KimTVvX9_2L_610SBxgaafffm6Fq/view?usp=drivesdk" TargetMode="External"/><Relationship Id="rId12559" Type="http://schemas.openxmlformats.org/officeDocument/2006/relationships/hyperlink" Target="https://drive.google.com/file/d/1Kmmr8vxq05RmKPlgaTAuEs9FoJIb-Bmi/view?usp=drivesdk" TargetMode="External"/><Relationship Id="rId11227" Type="http://schemas.openxmlformats.org/officeDocument/2006/relationships/hyperlink" Target="https://drive.google.com/file/d/1FH3f9ZqX75Cr9dNifDQDgMgzCAfcd0NP/view?usp=drivesdk" TargetMode="External"/><Relationship Id="rId12558" Type="http://schemas.openxmlformats.org/officeDocument/2006/relationships/hyperlink" Target="https://drive.google.com/file/d/1vnIruCc0S9YL881EaL2cQ5HgeAbO74gl/view?usp=drivesdk" TargetMode="External"/><Relationship Id="rId11226" Type="http://schemas.openxmlformats.org/officeDocument/2006/relationships/hyperlink" Target="https://drive.google.com/file/d/1ISslY2KSn94b5YtB2xza0wHoFe4zvnvg/view?usp=drivesdk" TargetMode="External"/><Relationship Id="rId12557" Type="http://schemas.openxmlformats.org/officeDocument/2006/relationships/hyperlink" Target="https://drive.google.com/file/d/1busYYbtOZPMLgRIGWck1LsfLI2q4Z_L5/view?usp=drivesdk" TargetMode="External"/><Relationship Id="rId11225" Type="http://schemas.openxmlformats.org/officeDocument/2006/relationships/hyperlink" Target="https://drive.google.com/file/d/1pUfvCze0Gb1h0y3kc2SHPI7yu2KaIVRG/view?usp=drivesdk" TargetMode="External"/><Relationship Id="rId12556" Type="http://schemas.openxmlformats.org/officeDocument/2006/relationships/hyperlink" Target="https://drive.google.com/file/d/1T59FBCYebe5ztDrUumzcWbcBgds20kkC/view?usp=drivesdk" TargetMode="External"/><Relationship Id="rId11229" Type="http://schemas.openxmlformats.org/officeDocument/2006/relationships/hyperlink" Target="https://drive.google.com/file/d/16Glu0U2seI8tHZGN1E1bDwty2Bvp-Apf/view?usp=drivesdk" TargetMode="External"/><Relationship Id="rId11220" Type="http://schemas.openxmlformats.org/officeDocument/2006/relationships/hyperlink" Target="https://drive.google.com/file/d/1xKjeU-2tyMFh2EzTJjReqeMqFjHFeqOr/view?usp=drivesdk" TargetMode="External"/><Relationship Id="rId12551" Type="http://schemas.openxmlformats.org/officeDocument/2006/relationships/hyperlink" Target="https://drive.google.com/file/d/1BIT6HI68PHCNqhjra2oH3auiHzrQ0Dr_/view?usp=drivesdk" TargetMode="External"/><Relationship Id="rId12550" Type="http://schemas.openxmlformats.org/officeDocument/2006/relationships/hyperlink" Target="https://drive.google.com/file/d/1uhzqawluHzTnnE4nHFkwBBs_HnbATBQJ/view?usp=drivesdk" TargetMode="External"/><Relationship Id="rId11224" Type="http://schemas.openxmlformats.org/officeDocument/2006/relationships/hyperlink" Target="https://drive.google.com/file/d/1tsZHtNKaPZegDwCDQ5IMeJKBrzz6OyXw/view?usp=drivesdk" TargetMode="External"/><Relationship Id="rId12555" Type="http://schemas.openxmlformats.org/officeDocument/2006/relationships/hyperlink" Target="https://drive.google.com/file/d/134aftjCWRRp9Qb3B9XEL3KSJbJdY0KR7/view?usp=drivesdk" TargetMode="External"/><Relationship Id="rId11223" Type="http://schemas.openxmlformats.org/officeDocument/2006/relationships/hyperlink" Target="https://drive.google.com/file/d/1NUhLwm_0Tdbv_IzwAcbP8FKNbwZIiXK9/view?usp=drivesdk" TargetMode="External"/><Relationship Id="rId12554" Type="http://schemas.openxmlformats.org/officeDocument/2006/relationships/hyperlink" Target="https://drive.google.com/file/d/1qu4nOG_zwQ9MG29rdjIdN-VE2chj8Vbt/view?usp=drivesdk" TargetMode="External"/><Relationship Id="rId11222" Type="http://schemas.openxmlformats.org/officeDocument/2006/relationships/hyperlink" Target="https://drive.google.com/file/d/1zmcWPh5OjhnLbMBaF8Ftzt428JVIfzSc/view?usp=drivesdk" TargetMode="External"/><Relationship Id="rId12553" Type="http://schemas.openxmlformats.org/officeDocument/2006/relationships/hyperlink" Target="https://drive.google.com/file/d/1AnPMpdlCEmeRFJEZxtTynzO--E6qgUFB/view?usp=drivesdk" TargetMode="External"/><Relationship Id="rId11221" Type="http://schemas.openxmlformats.org/officeDocument/2006/relationships/hyperlink" Target="https://drive.google.com/file/d/1-pUMVQD0QbK37tK4_UWgsGOGuCNzZIO8/view?usp=drivesdk" TargetMode="External"/><Relationship Id="rId12552" Type="http://schemas.openxmlformats.org/officeDocument/2006/relationships/hyperlink" Target="https://drive.google.com/file/d/1X5c2JPIHpWRqDCcs96_6HMPGWZw7EAkT/view?usp=drivesdk" TargetMode="External"/><Relationship Id="rId11239" Type="http://schemas.openxmlformats.org/officeDocument/2006/relationships/hyperlink" Target="https://drive.google.com/file/d/14c7K132boJK7L8J-oYEwrVGDuEiJg1r-/view?usp=drivesdk" TargetMode="External"/><Relationship Id="rId11238" Type="http://schemas.openxmlformats.org/officeDocument/2006/relationships/hyperlink" Target="https://drive.google.com/file/d/1aqgHpJf3tDB3HOgVcQ7Acrx4C_9cZFXT/view?usp=drivesdk" TargetMode="External"/><Relationship Id="rId12569" Type="http://schemas.openxmlformats.org/officeDocument/2006/relationships/hyperlink" Target="https://drive.google.com/file/d/1pnK_kJVdGZgFIgPqYnNGgh4Hvgv-tabJ/view?usp=drivesdk" TargetMode="External"/><Relationship Id="rId11237" Type="http://schemas.openxmlformats.org/officeDocument/2006/relationships/hyperlink" Target="https://drive.google.com/file/d/1iReRfqsa4cKuRL4aPie8XGDeuKy_RoAo/view?usp=drivesdk" TargetMode="External"/><Relationship Id="rId12568" Type="http://schemas.openxmlformats.org/officeDocument/2006/relationships/hyperlink" Target="https://drive.google.com/file/d/1bXicCWTXNqpSyPQuMFIyZi3ac0k1nDJD/view?usp=drivesdk" TargetMode="External"/><Relationship Id="rId11236" Type="http://schemas.openxmlformats.org/officeDocument/2006/relationships/hyperlink" Target="https://drive.google.com/file/d/1K7mD8SyNjnsdnpK8F3T-mqdRAUPILobQ/view?usp=drivesdk" TargetMode="External"/><Relationship Id="rId12567" Type="http://schemas.openxmlformats.org/officeDocument/2006/relationships/hyperlink" Target="https://drive.google.com/file/d/1FFH1TeODorkHqAszk0q-XsdpRFCph5r3/view?usp=drivesdk" TargetMode="External"/><Relationship Id="rId11231" Type="http://schemas.openxmlformats.org/officeDocument/2006/relationships/hyperlink" Target="https://drive.google.com/file/d/1ZfOqKO--Gp8kD3JXBZS6fnyOWVRe4H96/view?usp=drivesdk" TargetMode="External"/><Relationship Id="rId12562" Type="http://schemas.openxmlformats.org/officeDocument/2006/relationships/hyperlink" Target="https://drive.google.com/file/d/18UKLJ0jzXcNsYQN_5YEw539zg2-701TU/view?usp=drivesdk" TargetMode="External"/><Relationship Id="rId11230" Type="http://schemas.openxmlformats.org/officeDocument/2006/relationships/hyperlink" Target="https://drive.google.com/file/d/1AIkA8z_VlZ4iKYEOlcZsJl2Q5GA2f_mV/view?usp=drivesdk" TargetMode="External"/><Relationship Id="rId12561" Type="http://schemas.openxmlformats.org/officeDocument/2006/relationships/hyperlink" Target="https://drive.google.com/file/d/1GcX4frV9UptUtCBwzPXizbM29-PnjiiF/view?usp=drivesdk" TargetMode="External"/><Relationship Id="rId12560" Type="http://schemas.openxmlformats.org/officeDocument/2006/relationships/hyperlink" Target="https://drive.google.com/file/d/1r8BOw5lk376G7_Xn7D3xOXqVFykjFobM/view?usp=drivesdk" TargetMode="External"/><Relationship Id="rId11235" Type="http://schemas.openxmlformats.org/officeDocument/2006/relationships/hyperlink" Target="https://drive.google.com/file/d/1-eDV8wZXS4uy_bOX_5Tn9bx8y-hTrDp8/view?usp=drivesdk" TargetMode="External"/><Relationship Id="rId12566" Type="http://schemas.openxmlformats.org/officeDocument/2006/relationships/hyperlink" Target="https://drive.google.com/file/d/1KuVb32yDYZ_9GAcf5dm7659eVryD6arZ/view?usp=drivesdk" TargetMode="External"/><Relationship Id="rId11234" Type="http://schemas.openxmlformats.org/officeDocument/2006/relationships/hyperlink" Target="https://drive.google.com/file/d/1kpFkKQ9IDwBGSYnbisHdREqLPm4VUih4/view?usp=drivesdk" TargetMode="External"/><Relationship Id="rId12565" Type="http://schemas.openxmlformats.org/officeDocument/2006/relationships/hyperlink" Target="https://drive.google.com/file/d/1Wf9KebKE2K7apr17fySgtFmN-4nm-wIy/view?usp=drivesdk" TargetMode="External"/><Relationship Id="rId11233" Type="http://schemas.openxmlformats.org/officeDocument/2006/relationships/hyperlink" Target="https://drive.google.com/file/d/18W3sUV5iy4PdmnCMLS9_tBir3A1lmf_s/view?usp=drivesdk" TargetMode="External"/><Relationship Id="rId12564" Type="http://schemas.openxmlformats.org/officeDocument/2006/relationships/hyperlink" Target="https://drive.google.com/file/d/13DLnmBqsQw7XuW8onKSP1VMHIoS1MhE0/view?usp=drivesdk" TargetMode="External"/><Relationship Id="rId11232" Type="http://schemas.openxmlformats.org/officeDocument/2006/relationships/hyperlink" Target="https://drive.google.com/file/d/1xcAzy7bf2flmGWm11IeaSR37568dTMcH/view?usp=drivesdk" TargetMode="External"/><Relationship Id="rId12563" Type="http://schemas.openxmlformats.org/officeDocument/2006/relationships/hyperlink" Target="https://drive.google.com/file/d/1XwBhiZivntdExw0WAmrXR6kOsp8-3M12/view?usp=drivesdk" TargetMode="External"/><Relationship Id="rId11206" Type="http://schemas.openxmlformats.org/officeDocument/2006/relationships/hyperlink" Target="https://drive.google.com/file/d/1l4zA6JEWbvwSXAx_ppgyR3-dEmcz3YmQ/view?usp=drivesdk" TargetMode="External"/><Relationship Id="rId12537" Type="http://schemas.openxmlformats.org/officeDocument/2006/relationships/hyperlink" Target="https://drive.google.com/file/d/1T-X5aaCCj725mckjuw5niMI_aRj8JfEA/view?usp=drivesdk" TargetMode="External"/><Relationship Id="rId11205" Type="http://schemas.openxmlformats.org/officeDocument/2006/relationships/hyperlink" Target="https://drive.google.com/file/d/1cOnO6LZdSnHTUBfAchIG-NDqINIoanso/view?usp=drivesdk" TargetMode="External"/><Relationship Id="rId12536" Type="http://schemas.openxmlformats.org/officeDocument/2006/relationships/hyperlink" Target="https://drive.google.com/file/d/10qDoC7yoNOXwS2pJUinvbZWfraJ1nzwF/view?usp=drivesdk" TargetMode="External"/><Relationship Id="rId11204" Type="http://schemas.openxmlformats.org/officeDocument/2006/relationships/hyperlink" Target="https://drive.google.com/file/d/1B1fZtp_gyFKC_HkQZcIxhzSfUgcFdGv0/view?usp=drivesdk" TargetMode="External"/><Relationship Id="rId12535" Type="http://schemas.openxmlformats.org/officeDocument/2006/relationships/hyperlink" Target="https://drive.google.com/file/d/1m8y8prWDrZj9ZfiIN6eAZjB7BLlp10Sw/view?usp=drivesdk" TargetMode="External"/><Relationship Id="rId11203" Type="http://schemas.openxmlformats.org/officeDocument/2006/relationships/hyperlink" Target="https://drive.google.com/file/d/1Ol52RBRkk12oziLYFmwrDZ5EgEusHTLd/view?usp=drivesdk" TargetMode="External"/><Relationship Id="rId12534" Type="http://schemas.openxmlformats.org/officeDocument/2006/relationships/hyperlink" Target="https://drive.google.com/file/d/1-RDyrmNK2tRs0xut119PJ69QOT59_FAP/view?usp=drivesdk" TargetMode="External"/><Relationship Id="rId11209" Type="http://schemas.openxmlformats.org/officeDocument/2006/relationships/hyperlink" Target="https://drive.google.com/file/d/1ETu43xyTzjbOoxpR1I9DUxUpZo0h8EjJ/view?usp=drivesdk" TargetMode="External"/><Relationship Id="rId11208" Type="http://schemas.openxmlformats.org/officeDocument/2006/relationships/hyperlink" Target="https://drive.google.com/file/d/1wZFyuHZxg0Tds4btbScXLJS1TrksicXe/view?usp=drivesdk" TargetMode="External"/><Relationship Id="rId12539" Type="http://schemas.openxmlformats.org/officeDocument/2006/relationships/hyperlink" Target="https://drive.google.com/file/d/1QN-gAEOYQOUtlMLuqkEKG9wDt3NE_YQY/view?usp=drivesdk" TargetMode="External"/><Relationship Id="rId11207" Type="http://schemas.openxmlformats.org/officeDocument/2006/relationships/hyperlink" Target="https://drive.google.com/file/d/1jWpuuhoEwwV28AgAr-mppi2eHLaYGiV4/view?usp=drivesdk" TargetMode="External"/><Relationship Id="rId12538" Type="http://schemas.openxmlformats.org/officeDocument/2006/relationships/hyperlink" Target="https://drive.google.com/file/d/1Ixnc6RsBbnT9xO5Lxpd_x8IESxdfgDLN/view?usp=drivesdk" TargetMode="External"/><Relationship Id="rId11202" Type="http://schemas.openxmlformats.org/officeDocument/2006/relationships/hyperlink" Target="https://drive.google.com/file/d/14Yzmdf9fO4RPin3nbvhcqaeAjHWiMD2B/view?usp=drivesdk" TargetMode="External"/><Relationship Id="rId12533" Type="http://schemas.openxmlformats.org/officeDocument/2006/relationships/hyperlink" Target="https://drive.google.com/file/d/1x_-lcduVUKIH_h_rLwOgMFDOqWsNXAL0/view?usp=drivesdk" TargetMode="External"/><Relationship Id="rId11201" Type="http://schemas.openxmlformats.org/officeDocument/2006/relationships/hyperlink" Target="https://drive.google.com/file/d/10TReezfppc-z7ev01Y9oW7eleN3UQRMx/view?usp=drivesdk" TargetMode="External"/><Relationship Id="rId12532" Type="http://schemas.openxmlformats.org/officeDocument/2006/relationships/hyperlink" Target="https://drive.google.com/file/d/14t-ZVbKc3u_pXi2hBLrHJURfpJf__CCS/view?usp=drivesdk" TargetMode="External"/><Relationship Id="rId11200" Type="http://schemas.openxmlformats.org/officeDocument/2006/relationships/hyperlink" Target="https://drive.google.com/file/d/1sjGqP2wKgGVE5gLRmQSLo4ZZ4Jrj1y0P/view?usp=drivesdk" TargetMode="External"/><Relationship Id="rId12531" Type="http://schemas.openxmlformats.org/officeDocument/2006/relationships/hyperlink" Target="https://drive.google.com/file/d/1ZH3xWb0dwaOvy-KGNSSFv8kUOf_9Ec5m/view?usp=drivesdk" TargetMode="External"/><Relationship Id="rId12530" Type="http://schemas.openxmlformats.org/officeDocument/2006/relationships/hyperlink" Target="https://drive.google.com/file/d/1x-nwAX_ijwFlfnoyH3-evAzHiAotOsNg/view?usp=drivesdk" TargetMode="External"/><Relationship Id="rId11217" Type="http://schemas.openxmlformats.org/officeDocument/2006/relationships/hyperlink" Target="https://drive.google.com/file/d/1mRhAEKK622BdbfUvFHRpF0O8eHhJUhOi/view?usp=drivesdk" TargetMode="External"/><Relationship Id="rId12548" Type="http://schemas.openxmlformats.org/officeDocument/2006/relationships/hyperlink" Target="https://drive.google.com/file/d/1XbFP3jD3bcp6xWAF1NDCTAEeiTBsvJuB/view?usp=drivesdk" TargetMode="External"/><Relationship Id="rId11216" Type="http://schemas.openxmlformats.org/officeDocument/2006/relationships/hyperlink" Target="https://drive.google.com/file/d/1sE0yvACfB7_FPbUtl14xtncsDcaXSfoM/view?usp=drivesdk" TargetMode="External"/><Relationship Id="rId12547" Type="http://schemas.openxmlformats.org/officeDocument/2006/relationships/hyperlink" Target="https://drive.google.com/file/d/1hAC40M1wHjO9aaNEVEb8meSKxr0k3uQ-/view?usp=drivesdk" TargetMode="External"/><Relationship Id="rId11215" Type="http://schemas.openxmlformats.org/officeDocument/2006/relationships/hyperlink" Target="https://drive.google.com/file/d/1rJtACsCSBMMrPRdDBKUI8yZf2NVNs_5f/view?usp=drivesdk" TargetMode="External"/><Relationship Id="rId12546" Type="http://schemas.openxmlformats.org/officeDocument/2006/relationships/hyperlink" Target="https://drive.google.com/file/d/1qQCKfIk0O8b7xVrKzvr5IzPB8PXikMt5/view?usp=drivesdk" TargetMode="External"/><Relationship Id="rId11214" Type="http://schemas.openxmlformats.org/officeDocument/2006/relationships/hyperlink" Target="https://drive.google.com/file/d/1k35VBG7NOGSeBieIzVmda_9L7AXC-1SB/view?usp=drivesdk" TargetMode="External"/><Relationship Id="rId12545" Type="http://schemas.openxmlformats.org/officeDocument/2006/relationships/hyperlink" Target="https://drive.google.com/file/d/1fjGd-qGykAJIFNk37P3Y8B5DkB6bFJU8/view?usp=drivesdk" TargetMode="External"/><Relationship Id="rId11219" Type="http://schemas.openxmlformats.org/officeDocument/2006/relationships/hyperlink" Target="https://drive.google.com/file/d/10S3LLM_zx3WS1Qzu-iPLDKh-bI5uJ0H2/view?usp=drivesdk" TargetMode="External"/><Relationship Id="rId11218" Type="http://schemas.openxmlformats.org/officeDocument/2006/relationships/hyperlink" Target="https://drive.google.com/file/d/1YCCwRxowzg3mjPjBKIem9ieTCqov1JXf/view?usp=drivesdk" TargetMode="External"/><Relationship Id="rId12549" Type="http://schemas.openxmlformats.org/officeDocument/2006/relationships/hyperlink" Target="https://drive.google.com/file/d/1zyFMqjyuSPG-kkvo7bu_fmLxJ64WQfyq/view?usp=drivesdk" TargetMode="External"/><Relationship Id="rId12540" Type="http://schemas.openxmlformats.org/officeDocument/2006/relationships/hyperlink" Target="https://drive.google.com/file/d/1HHx-qdFIyn2TI_qVtgwtbbjqVqAxQia9/view?usp=drivesdk" TargetMode="External"/><Relationship Id="rId11213" Type="http://schemas.openxmlformats.org/officeDocument/2006/relationships/hyperlink" Target="https://drive.google.com/file/d/1I18TVjvsLtyteVQJXCZIrxVSVU-IQ6Pi/view?usp=drivesdk" TargetMode="External"/><Relationship Id="rId12544" Type="http://schemas.openxmlformats.org/officeDocument/2006/relationships/hyperlink" Target="https://drive.google.com/file/d/1ovm6Eygydh03d0AU1Sbodia6loROuERo/view?usp=drivesdk" TargetMode="External"/><Relationship Id="rId11212" Type="http://schemas.openxmlformats.org/officeDocument/2006/relationships/hyperlink" Target="https://drive.google.com/file/d/1dyNmHyE2WAH9h-4Fiw2H_3jqU8wDnHwU/view?usp=drivesdk" TargetMode="External"/><Relationship Id="rId12543" Type="http://schemas.openxmlformats.org/officeDocument/2006/relationships/hyperlink" Target="https://drive.google.com/file/d/1duhdA1h-ID5LjHQmCx_D-nZI-TyIWd-Q/view?usp=drivesdk" TargetMode="External"/><Relationship Id="rId11211" Type="http://schemas.openxmlformats.org/officeDocument/2006/relationships/hyperlink" Target="https://drive.google.com/file/d/1wQkIWJAMh0LxSbMdK0Yb9gJ8p7gXUraO/view?usp=drivesdk" TargetMode="External"/><Relationship Id="rId12542" Type="http://schemas.openxmlformats.org/officeDocument/2006/relationships/hyperlink" Target="https://drive.google.com/file/d/1agprY4Bj5twsjbODaZzWYuVuiGd5T_94/view?usp=drivesdk" TargetMode="External"/><Relationship Id="rId11210" Type="http://schemas.openxmlformats.org/officeDocument/2006/relationships/hyperlink" Target="https://drive.google.com/file/d/1GifzEl6Uf3l1asbOIWYvUYQ_1ovFaPQQ/view?usp=drivesdk" TargetMode="External"/><Relationship Id="rId12541" Type="http://schemas.openxmlformats.org/officeDocument/2006/relationships/hyperlink" Target="https://drive.google.com/file/d/1uksfAUD7m9Ms8YjI9bftDHY4VsPAGF7g/view?usp=drivesdk" TargetMode="External"/><Relationship Id="rId8409" Type="http://schemas.openxmlformats.org/officeDocument/2006/relationships/hyperlink" Target="https://drive.google.com/file/d/1RLF2FKQANgQ45tpQ9nFUt-SpZXxxDpuQ/view?usp=drivesdk" TargetMode="External"/><Relationship Id="rId8408" Type="http://schemas.openxmlformats.org/officeDocument/2006/relationships/hyperlink" Target="https://drive.google.com/file/d/1JfHIq3BCBOfWktWgTuh7cxjAl_L-ayew/view?usp=drivesdk" TargetMode="External"/><Relationship Id="rId8407" Type="http://schemas.openxmlformats.org/officeDocument/2006/relationships/hyperlink" Target="https://drive.google.com/file/d/1eTLe3HT8nCBcQwCPkaT7C5LviPGDWOCE/view?usp=drivesdk" TargetMode="External"/><Relationship Id="rId9738" Type="http://schemas.openxmlformats.org/officeDocument/2006/relationships/hyperlink" Target="https://drive.google.com/file/d/1KtriNJnWNn003POooRLFg8BJ__xH6QGI/view?usp=drivesdk" TargetMode="External"/><Relationship Id="rId9739" Type="http://schemas.openxmlformats.org/officeDocument/2006/relationships/hyperlink" Target="https://drive.google.com/file/d/1z6QxKvmKhdrBVJH5VghEM-NI56B75r1m/view?usp=drivesdk" TargetMode="External"/><Relationship Id="rId8402" Type="http://schemas.openxmlformats.org/officeDocument/2006/relationships/hyperlink" Target="https://drive.google.com/file/d/1V7y2TQJgrPDol_zqZCDugGy3k70Q4qIO/view?usp=drivesdk" TargetMode="External"/><Relationship Id="rId9734" Type="http://schemas.openxmlformats.org/officeDocument/2006/relationships/hyperlink" Target="https://drive.google.com/file/d/120EF93upnEhYxEbyvCfrBsNKA4Jo2NTw/view?usp=drivesdk" TargetMode="External"/><Relationship Id="rId8401" Type="http://schemas.openxmlformats.org/officeDocument/2006/relationships/hyperlink" Target="https://drive.google.com/file/d/1MK7OQyYpjluX6-M_--E5dwLl0A8klsYI/view?usp=drivesdk" TargetMode="External"/><Relationship Id="rId9735" Type="http://schemas.openxmlformats.org/officeDocument/2006/relationships/hyperlink" Target="https://drive.google.com/file/d/1uCAoU4z9BIELUrUOsgt1xy8nhR0EJK-l/view?usp=drivesdk" TargetMode="External"/><Relationship Id="rId8400" Type="http://schemas.openxmlformats.org/officeDocument/2006/relationships/hyperlink" Target="https://drive.google.com/file/d/15G5Z1oS2L4yROtKx9QAOgzI4Oz47_Kmm/view?usp=drivesdk" TargetMode="External"/><Relationship Id="rId9736" Type="http://schemas.openxmlformats.org/officeDocument/2006/relationships/hyperlink" Target="https://drive.google.com/file/d/1FJySEpuWzsiuweVWiAutsHsA6vchOAM5/view?usp=drivesdk" TargetMode="External"/><Relationship Id="rId9737" Type="http://schemas.openxmlformats.org/officeDocument/2006/relationships/hyperlink" Target="https://drive.google.com/file/d/1fbyqoSgw1UZmVsut4ponU0-Gh1_iP1-q/view?usp=drivesdk" TargetMode="External"/><Relationship Id="rId8406" Type="http://schemas.openxmlformats.org/officeDocument/2006/relationships/hyperlink" Target="https://drive.google.com/file/d/1AwXtx8UOyH2hYE6185Noq6bOmU1U6dqB/view?usp=drivesdk" TargetMode="External"/><Relationship Id="rId9730" Type="http://schemas.openxmlformats.org/officeDocument/2006/relationships/hyperlink" Target="https://drive.google.com/file/d/1B3B-KacdsTs5foKxmpkOoWIqa_sg72Eo/view?usp=drivesdk" TargetMode="External"/><Relationship Id="rId8405" Type="http://schemas.openxmlformats.org/officeDocument/2006/relationships/hyperlink" Target="https://drive.google.com/file/d/1CukwYPB89fPdmyHk6pmP18s3ausvxzOd/view?usp=drivesdk" TargetMode="External"/><Relationship Id="rId9731" Type="http://schemas.openxmlformats.org/officeDocument/2006/relationships/hyperlink" Target="https://drive.google.com/file/d/1HU9BwVKOguKDxQ95QGX0rgBaCsW2mmyd/view?usp=drivesdk" TargetMode="External"/><Relationship Id="rId8404" Type="http://schemas.openxmlformats.org/officeDocument/2006/relationships/hyperlink" Target="https://drive.google.com/file/d/128A75CAybc3a7XzmzcH8SyvKePgB9u3F/view?usp=drivesdk" TargetMode="External"/><Relationship Id="rId9732" Type="http://schemas.openxmlformats.org/officeDocument/2006/relationships/hyperlink" Target="https://drive.google.com/file/d/1OWZ9lOozqmP1_ijDvEIVNwH-TJrupAxc/view?usp=drivesdk" TargetMode="External"/><Relationship Id="rId8403" Type="http://schemas.openxmlformats.org/officeDocument/2006/relationships/hyperlink" Target="https://drive.google.com/file/d/1FjXdf8c_Sx2cZoNgsttoUEddRYMrNYEy/view?usp=drivesdk" TargetMode="External"/><Relationship Id="rId9733" Type="http://schemas.openxmlformats.org/officeDocument/2006/relationships/hyperlink" Target="https://drive.google.com/file/d/1CA87W4D8FE6L2lxLPsi1ibZWqVxUfD3F/view?usp=drivesdk" TargetMode="External"/><Relationship Id="rId9727" Type="http://schemas.openxmlformats.org/officeDocument/2006/relationships/hyperlink" Target="https://drive.google.com/file/d/1hwFGzUWAnWvD-WPwLjDKoJxYDN90qGnY/view?usp=drivesdk" TargetMode="External"/><Relationship Id="rId9728" Type="http://schemas.openxmlformats.org/officeDocument/2006/relationships/hyperlink" Target="https://drive.google.com/file/d/1A3Cx7FbBsBJxxj-8QiHxsJTnMuHSl1tK/view?usp=drivesdk" TargetMode="External"/><Relationship Id="rId9729" Type="http://schemas.openxmlformats.org/officeDocument/2006/relationships/hyperlink" Target="https://drive.google.com/file/d/1MtnXhPcnKdUp1fh19qrt_jDZfpezdNPp/view?usp=drivesdk" TargetMode="External"/><Relationship Id="rId9723" Type="http://schemas.openxmlformats.org/officeDocument/2006/relationships/hyperlink" Target="https://drive.google.com/file/d/1YHqC7i-li3NDVph6sNnaabxwlgLg1BlU/view?usp=drivesdk" TargetMode="External"/><Relationship Id="rId9724" Type="http://schemas.openxmlformats.org/officeDocument/2006/relationships/hyperlink" Target="https://drive.google.com/file/d/1ja8OJnZbhAQX42iipIkxrdftMAybiLDK/view?usp=drivesdk" TargetMode="External"/><Relationship Id="rId9725" Type="http://schemas.openxmlformats.org/officeDocument/2006/relationships/hyperlink" Target="https://drive.google.com/file/d/1ya1997ctmflUHoM1BMRSpaW_4-a_6nYv/view?usp=drivesdk" TargetMode="External"/><Relationship Id="rId9726" Type="http://schemas.openxmlformats.org/officeDocument/2006/relationships/hyperlink" Target="https://drive.google.com/file/d/1E6flrbxzCKyTnv1W9dUf7Zf90fPxPZIJ/view?usp=drivesdk" TargetMode="External"/><Relationship Id="rId9720" Type="http://schemas.openxmlformats.org/officeDocument/2006/relationships/hyperlink" Target="https://drive.google.com/file/d/1rEUGkyrbnb2eUQd9CiP3-wiRZhlYy1MX/view?usp=drivesdk" TargetMode="External"/><Relationship Id="rId9721" Type="http://schemas.openxmlformats.org/officeDocument/2006/relationships/hyperlink" Target="https://drive.google.com/file/d/1RLxkKOV9VLQxozFYgnP7a8E_I_RSSkqZ/view?usp=drivesdk" TargetMode="External"/><Relationship Id="rId9722" Type="http://schemas.openxmlformats.org/officeDocument/2006/relationships/hyperlink" Target="https://drive.google.com/file/d/1FHT3gi7AaEhpuRKA2NSInEiYgq8w8bs-/view?usp=drivesdk" TargetMode="External"/><Relationship Id="rId8429" Type="http://schemas.openxmlformats.org/officeDocument/2006/relationships/hyperlink" Target="https://drive.google.com/file/d/1Gh2evcnNer-obEb8bUaLil3gXaECEWGb/view?usp=drivesdk" TargetMode="External"/><Relationship Id="rId9750" Type="http://schemas.openxmlformats.org/officeDocument/2006/relationships/hyperlink" Target="https://drive.google.com/file/d/1tPZEH7uklInvaBtYXyCeAJYihirR_MAH/view?usp=drivesdk" TargetMode="External"/><Relationship Id="rId9751" Type="http://schemas.openxmlformats.org/officeDocument/2006/relationships/hyperlink" Target="https://drive.google.com/file/d/1UOVhRkA2BWABIIqyOo57-YeyF9uHgE9e/view?usp=drivesdk" TargetMode="External"/><Relationship Id="rId8420" Type="http://schemas.openxmlformats.org/officeDocument/2006/relationships/hyperlink" Target="https://drive.google.com/file/d/1wWn0NP6oQxkmKVoLEixGiW5lk2eSj8ct/view?usp=drivesdk" TargetMode="External"/><Relationship Id="rId8424" Type="http://schemas.openxmlformats.org/officeDocument/2006/relationships/hyperlink" Target="https://drive.google.com/file/d/1dgKilGfvJZ5cy6Bh8OmpoOwLYvawFsvH/view?usp=drivesdk" TargetMode="External"/><Relationship Id="rId9756" Type="http://schemas.openxmlformats.org/officeDocument/2006/relationships/hyperlink" Target="https://drive.google.com/file/d/10CoHCWMkJItXJNTlXdiHpkxbpUvlr5pv/view?usp=drivesdk" TargetMode="External"/><Relationship Id="rId8423" Type="http://schemas.openxmlformats.org/officeDocument/2006/relationships/hyperlink" Target="https://drive.google.com/file/d/1onXWdaNBE43jP1lrgOUOHm9DdhCD_lai/view?usp=drivesdk" TargetMode="External"/><Relationship Id="rId9757" Type="http://schemas.openxmlformats.org/officeDocument/2006/relationships/hyperlink" Target="https://drive.google.com/file/d/1haQeNa6vkQxN9deSEmMQsi546DCMpIBG/view?usp=drivesdk" TargetMode="External"/><Relationship Id="rId8422" Type="http://schemas.openxmlformats.org/officeDocument/2006/relationships/hyperlink" Target="https://drive.google.com/file/d/10GfrH1w1nLOHNl4oVw-jIPG6pJQhmuVW/view?usp=drivesdk" TargetMode="External"/><Relationship Id="rId9758" Type="http://schemas.openxmlformats.org/officeDocument/2006/relationships/hyperlink" Target="https://drive.google.com/file/d/19F48SAv0kqv6cZnyt4HvprsaPh2huLE9/view?usp=drivesdk" TargetMode="External"/><Relationship Id="rId8421" Type="http://schemas.openxmlformats.org/officeDocument/2006/relationships/hyperlink" Target="https://drive.google.com/file/d/1jYCUj-JcSW26KV-9ujYL_8uDOeY-ag4d/view?usp=drivesdk" TargetMode="External"/><Relationship Id="rId9759" Type="http://schemas.openxmlformats.org/officeDocument/2006/relationships/hyperlink" Target="https://drive.google.com/file/d/1suGusRjkaUgSy0xcaF6yRFbervlWO0jc/view?usp=drivesdk" TargetMode="External"/><Relationship Id="rId8428" Type="http://schemas.openxmlformats.org/officeDocument/2006/relationships/hyperlink" Target="https://drive.google.com/file/d/1uUMdd-lyzw9zMZAMuZpm51a-S-1KcVbx/view?usp=drivesdk" TargetMode="External"/><Relationship Id="rId9752" Type="http://schemas.openxmlformats.org/officeDocument/2006/relationships/hyperlink" Target="https://drive.google.com/file/d/1MyKgyzz9tNlI_hj3DH5LMSXtPE-GGWVH/view?usp=drivesdk" TargetMode="External"/><Relationship Id="rId8427" Type="http://schemas.openxmlformats.org/officeDocument/2006/relationships/hyperlink" Target="https://drive.google.com/file/d/1JAO44goTMW6HJz7qy1DwkijgmIZKkxvB/view?usp=drivesdk" TargetMode="External"/><Relationship Id="rId9753" Type="http://schemas.openxmlformats.org/officeDocument/2006/relationships/hyperlink" Target="https://drive.google.com/file/d/1Z_l1g6-7QNtlDZ6hk9hCLxQiibcLGECj/view?usp=drivesdk" TargetMode="External"/><Relationship Id="rId8426" Type="http://schemas.openxmlformats.org/officeDocument/2006/relationships/hyperlink" Target="https://drive.google.com/file/d/1iAmdqNtP6AWS1siM-y8heMcc8ChP1B32/view?usp=drivesdk" TargetMode="External"/><Relationship Id="rId9754" Type="http://schemas.openxmlformats.org/officeDocument/2006/relationships/hyperlink" Target="https://drive.google.com/file/d/1VuGdJnDuUxVrN-Fi0hArQVu4piRxkpLc/view?usp=drivesdk" TargetMode="External"/><Relationship Id="rId8425" Type="http://schemas.openxmlformats.org/officeDocument/2006/relationships/hyperlink" Target="https://drive.google.com/file/d/1hbAQ0wHX2fOYdDVoyZxnHhgT6t-oDzis/view?usp=drivesdk" TargetMode="External"/><Relationship Id="rId9755" Type="http://schemas.openxmlformats.org/officeDocument/2006/relationships/hyperlink" Target="https://drive.google.com/file/d/1j8FpfIQdJg-MZJq6KMzqIxHnsLwlv_jD/view?usp=drivesdk" TargetMode="External"/><Relationship Id="rId8419" Type="http://schemas.openxmlformats.org/officeDocument/2006/relationships/hyperlink" Target="https://drive.google.com/file/d/1ogC7bX99_8iVcwmzGcTK1McsVE10AnJT/view?usp=drivesdk" TargetMode="External"/><Relationship Id="rId8418" Type="http://schemas.openxmlformats.org/officeDocument/2006/relationships/hyperlink" Target="https://drive.google.com/file/d/1vwvEHZyBctWCJQUEbdciPk63ALIn0mEh/view?usp=drivesdk" TargetMode="External"/><Relationship Id="rId9749" Type="http://schemas.openxmlformats.org/officeDocument/2006/relationships/hyperlink" Target="https://drive.google.com/file/d/1UyQm3YOQFIiR1u0ueWd-9iSyjeDZlP2y/view?usp=drivesdk" TargetMode="External"/><Relationship Id="rId9740" Type="http://schemas.openxmlformats.org/officeDocument/2006/relationships/hyperlink" Target="https://drive.google.com/file/d/1TowAeqKEfocGp257EoeB4EehAvgoDtKO/view?usp=drivesdk" TargetMode="External"/><Relationship Id="rId8413" Type="http://schemas.openxmlformats.org/officeDocument/2006/relationships/hyperlink" Target="https://drive.google.com/file/d/13iaFKLCxQoFq3xnoC7iw3od-0bSUEJaQ/view?usp=drivesdk" TargetMode="External"/><Relationship Id="rId9745" Type="http://schemas.openxmlformats.org/officeDocument/2006/relationships/hyperlink" Target="https://drive.google.com/file/d/1PjRgqJn6y4s8aJ9zSbcZ4lPMSQeU33yO/view?usp=drivesdk" TargetMode="External"/><Relationship Id="rId8412" Type="http://schemas.openxmlformats.org/officeDocument/2006/relationships/hyperlink" Target="https://drive.google.com/file/d/1Ql-BtGnO64tV-Cp2_ubESs-2A91Uz1ey/view?usp=drivesdk" TargetMode="External"/><Relationship Id="rId9746" Type="http://schemas.openxmlformats.org/officeDocument/2006/relationships/hyperlink" Target="https://drive.google.com/file/d/1uVOe5u7pzLy6hB1X2TbjZfUkiBhSSq44/view?usp=drivesdk" TargetMode="External"/><Relationship Id="rId8411" Type="http://schemas.openxmlformats.org/officeDocument/2006/relationships/hyperlink" Target="https://drive.google.com/file/d/1Jk7io0MeI0uGHk9KkvtHFRV8oeJVN61H/view?usp=drivesdk" TargetMode="External"/><Relationship Id="rId9747" Type="http://schemas.openxmlformats.org/officeDocument/2006/relationships/hyperlink" Target="https://drive.google.com/file/d/1op3MEEjRsSGM8HaU7EjqVrmqliCes2bT/view?usp=drivesdk" TargetMode="External"/><Relationship Id="rId8410" Type="http://schemas.openxmlformats.org/officeDocument/2006/relationships/hyperlink" Target="https://drive.google.com/file/d/1DhcMW64D3ZUOsQc0X79ScGVKKa3iarRg/view?usp=drivesdk" TargetMode="External"/><Relationship Id="rId9748" Type="http://schemas.openxmlformats.org/officeDocument/2006/relationships/hyperlink" Target="https://drive.google.com/file/d/1g6yFpkfz0d_iKMCk2s9r-UHWmoEt2b6K/view?usp=drivesdk" TargetMode="External"/><Relationship Id="rId8417" Type="http://schemas.openxmlformats.org/officeDocument/2006/relationships/hyperlink" Target="https://drive.google.com/file/d/1DX9UYxPAKQWD6TRP8HHuAYjTysTHkbFz/view?usp=drivesdk" TargetMode="External"/><Relationship Id="rId9741" Type="http://schemas.openxmlformats.org/officeDocument/2006/relationships/hyperlink" Target="https://drive.google.com/file/d/1B_eZRp6V6hjO8ra2ihOFjz9cVIF7nMZB/view?usp=drivesdk" TargetMode="External"/><Relationship Id="rId8416" Type="http://schemas.openxmlformats.org/officeDocument/2006/relationships/hyperlink" Target="https://drive.google.com/file/d/147jBqCNZnKGjPnv1bIr_tqCRfrd7XsJv/view?usp=drivesdk" TargetMode="External"/><Relationship Id="rId9742" Type="http://schemas.openxmlformats.org/officeDocument/2006/relationships/hyperlink" Target="https://drive.google.com/file/d/1ULejt2_7EOgKW9MemtbWBoLgbFkH_iRo/view?usp=drivesdk" TargetMode="External"/><Relationship Id="rId8415" Type="http://schemas.openxmlformats.org/officeDocument/2006/relationships/hyperlink" Target="https://drive.google.com/file/d/1x7OhideDaIdm-pu8zmu9CWXFOSDG1v8m/view?usp=drivesdk" TargetMode="External"/><Relationship Id="rId9743" Type="http://schemas.openxmlformats.org/officeDocument/2006/relationships/hyperlink" Target="https://drive.google.com/file/d/1J2DNnrO6B3_w-azGW9QbpOd3utrv4VEp/view?usp=drivesdk" TargetMode="External"/><Relationship Id="rId8414" Type="http://schemas.openxmlformats.org/officeDocument/2006/relationships/hyperlink" Target="https://drive.google.com/file/d/1xvmy5Rxda9qmfDGlvspDTC0vYfT8W8NT/view?usp=drivesdk" TargetMode="External"/><Relationship Id="rId9744" Type="http://schemas.openxmlformats.org/officeDocument/2006/relationships/hyperlink" Target="https://drive.google.com/file/d/1ajXuua9tCqfwpHUxdfGeKgbtPkpxl3i9/view?usp=drivesdk" TargetMode="External"/><Relationship Id="rId9716" Type="http://schemas.openxmlformats.org/officeDocument/2006/relationships/hyperlink" Target="https://drive.google.com/file/d/1ZLeslnaHBzVLWidrpOyxrt4kyPnw5N93/view?usp=drivesdk" TargetMode="External"/><Relationship Id="rId9717" Type="http://schemas.openxmlformats.org/officeDocument/2006/relationships/hyperlink" Target="https://drive.google.com/file/d/15xvZQZQ4w1SNBzW-ud5Dv6-UkMcXCE9c/view?usp=drivesdk" TargetMode="External"/><Relationship Id="rId9718" Type="http://schemas.openxmlformats.org/officeDocument/2006/relationships/hyperlink" Target="https://drive.google.com/file/d/1Ye8NlI03NacEkSGoqNlQm_h9uDeCj5dA/view?usp=drivesdk" TargetMode="External"/><Relationship Id="rId9719" Type="http://schemas.openxmlformats.org/officeDocument/2006/relationships/hyperlink" Target="https://drive.google.com/file/d/15SnsH6hwVeDBxpSCbcZHY4-CpYjSI3Xt/view?usp=drivesdk" TargetMode="External"/><Relationship Id="rId9712" Type="http://schemas.openxmlformats.org/officeDocument/2006/relationships/hyperlink" Target="https://drive.google.com/file/d/1TS8-zLhSbvZR-cknXKrLMDBDJRoHXGeD/view?usp=drivesdk" TargetMode="External"/><Relationship Id="rId9713" Type="http://schemas.openxmlformats.org/officeDocument/2006/relationships/hyperlink" Target="https://drive.google.com/file/d/1XQ9u5PISfHyIqXdBGK05OGgW2wC0l3k2/view?usp=drivesdk" TargetMode="External"/><Relationship Id="rId9714" Type="http://schemas.openxmlformats.org/officeDocument/2006/relationships/hyperlink" Target="https://drive.google.com/file/d/1iHfN_0VfxHdvo6pVh63K5CE7wo52ProT/view?usp=drivesdk" TargetMode="External"/><Relationship Id="rId9715" Type="http://schemas.openxmlformats.org/officeDocument/2006/relationships/hyperlink" Target="https://drive.google.com/file/d/1yuBCXSsu8D7wPHsaQF-7yfYDM19viwGe/view?usp=drivesdk" TargetMode="External"/><Relationship Id="rId9710" Type="http://schemas.openxmlformats.org/officeDocument/2006/relationships/hyperlink" Target="https://drive.google.com/file/d/1bzHhBFpqASUEeSsy2gir6PUU2Exxj_T8/view?usp=drivesdk" TargetMode="External"/><Relationship Id="rId9711" Type="http://schemas.openxmlformats.org/officeDocument/2006/relationships/hyperlink" Target="https://drive.google.com/file/d/1fCd-jghopThOBMK2Ci1NPV-gmNXTeCm9/view?usp=drivesdk" TargetMode="External"/><Relationship Id="rId9709" Type="http://schemas.openxmlformats.org/officeDocument/2006/relationships/hyperlink" Target="https://drive.google.com/file/d/1FTDjhGJ8ZzIhoqtdb9_Dj-2aVh6aILhi/view?usp=drivesdk" TargetMode="External"/><Relationship Id="rId9705" Type="http://schemas.openxmlformats.org/officeDocument/2006/relationships/hyperlink" Target="https://drive.google.com/file/d/1chmSzmRsBopo_xYVmCQ3aR3tDitT1_mN/view?usp=drivesdk" TargetMode="External"/><Relationship Id="rId9706" Type="http://schemas.openxmlformats.org/officeDocument/2006/relationships/hyperlink" Target="https://drive.google.com/file/d/1P2PZ2Q8w-tURDWqzz-ap4IEj7rB8rvyQ/view?usp=drivesdk" TargetMode="External"/><Relationship Id="rId9707" Type="http://schemas.openxmlformats.org/officeDocument/2006/relationships/hyperlink" Target="https://drive.google.com/file/d/1MNBrRXWFbQm2gKLElvUjy6_DARVLNIic/view?usp=drivesdk" TargetMode="External"/><Relationship Id="rId9708" Type="http://schemas.openxmlformats.org/officeDocument/2006/relationships/hyperlink" Target="https://drive.google.com/file/d/1RXhxjuHgOS78rkph63s9_ZnbUzUrDpp2/view?usp=drivesdk" TargetMode="External"/><Relationship Id="rId9701" Type="http://schemas.openxmlformats.org/officeDocument/2006/relationships/hyperlink" Target="https://drive.google.com/file/d/1kOSExmOv88RkTYcdCC4pu_i4tEuSBZh3/view?usp=drivesdk" TargetMode="External"/><Relationship Id="rId9702" Type="http://schemas.openxmlformats.org/officeDocument/2006/relationships/hyperlink" Target="https://drive.google.com/file/d/1ogSxZHVLgFtiKqqq3We3zjKG33CbC357/view?usp=drivesdk" TargetMode="External"/><Relationship Id="rId9703" Type="http://schemas.openxmlformats.org/officeDocument/2006/relationships/hyperlink" Target="https://drive.google.com/file/d/1Q-BAH58h04SFWP0GtzuDLHZAoD0Vm-Ry/view?usp=drivesdk" TargetMode="External"/><Relationship Id="rId9704" Type="http://schemas.openxmlformats.org/officeDocument/2006/relationships/hyperlink" Target="https://drive.google.com/file/d/1Bt4uJotcA-Jr6NH6BjhxWIufCrZSqDbE/view?usp=drivesdk" TargetMode="External"/><Relationship Id="rId9700" Type="http://schemas.openxmlformats.org/officeDocument/2006/relationships/hyperlink" Target="https://drive.google.com/file/d/1OYPBxRc3VkDbewaCqtYy3VnLOTPRZDk6/view?usp=drivesdk" TargetMode="External"/><Relationship Id="rId7151" Type="http://schemas.openxmlformats.org/officeDocument/2006/relationships/hyperlink" Target="https://drive.google.com/file/d/1g2gy0epuT4pNoj-uKKB6slUP6BDiQjHK/view?usp=drivesdk" TargetMode="External"/><Relationship Id="rId8482" Type="http://schemas.openxmlformats.org/officeDocument/2006/relationships/hyperlink" Target="https://drive.google.com/file/d/1pBYhElJE2ua0cETMJvsvV85V3uqwwyYh/view?usp=drivesdk" TargetMode="External"/><Relationship Id="rId7150" Type="http://schemas.openxmlformats.org/officeDocument/2006/relationships/hyperlink" Target="https://drive.google.com/file/d/1upwUH1hirD2S3yVqnKYwxjtHhrqe9Vu9/view?usp=drivesdk" TargetMode="External"/><Relationship Id="rId8481" Type="http://schemas.openxmlformats.org/officeDocument/2006/relationships/hyperlink" Target="https://drive.google.com/file/d/1X4ePoP7G70kUhsDH90ypS6cZAFVauVZp/view?usp=drivesdk" TargetMode="External"/><Relationship Id="rId8480" Type="http://schemas.openxmlformats.org/officeDocument/2006/relationships/hyperlink" Target="https://drive.google.com/file/d/1ZQ-_tWxhoJ5DrbZF2IUdUIG_AqhFr1Bq/view?usp=drivesdk" TargetMode="External"/><Relationship Id="rId7155" Type="http://schemas.openxmlformats.org/officeDocument/2006/relationships/hyperlink" Target="https://drive.google.com/file/d/13xm6je0pO8yGWwuiIaUwCp7gM2kZeWXn/view?usp=drivesdk" TargetMode="External"/><Relationship Id="rId8486" Type="http://schemas.openxmlformats.org/officeDocument/2006/relationships/hyperlink" Target="https://drive.google.com/file/d/13Kdt3O6Dwg9NMnWc0wMJt2oLR0_dnMn4/view?usp=drivesdk" TargetMode="External"/><Relationship Id="rId7154" Type="http://schemas.openxmlformats.org/officeDocument/2006/relationships/hyperlink" Target="https://drive.google.com/file/d/1PNGEWq0m0iDdlXCZweLUkWfK71TngyqG/view?usp=drivesdk" TargetMode="External"/><Relationship Id="rId8485" Type="http://schemas.openxmlformats.org/officeDocument/2006/relationships/hyperlink" Target="https://drive.google.com/file/d/1w8Vzi0INm4JFdHv8ta5tKPCqXOxYxzM2/view?usp=drivesdk" TargetMode="External"/><Relationship Id="rId7153" Type="http://schemas.openxmlformats.org/officeDocument/2006/relationships/hyperlink" Target="https://drive.google.com/file/d/1_W8-N71dBTd5P_YzYiW8Y_5bwbWesLYc/view?usp=drivesdk" TargetMode="External"/><Relationship Id="rId8484" Type="http://schemas.openxmlformats.org/officeDocument/2006/relationships/hyperlink" Target="https://drive.google.com/file/d/1NLA6TX_jw-OKyT9uP_z6Pr2g2odd_jPE/view?usp=drivesdk" TargetMode="External"/><Relationship Id="rId7152" Type="http://schemas.openxmlformats.org/officeDocument/2006/relationships/hyperlink" Target="https://drive.google.com/file/d/1LEHgqJOLI7ekH_2dE1_r1hzfbGSx_7HK/view?usp=drivesdk" TargetMode="External"/><Relationship Id="rId8483" Type="http://schemas.openxmlformats.org/officeDocument/2006/relationships/hyperlink" Target="https://drive.google.com/file/d/1OwnVNzZDeSRKMqLB_I3bTwFe9IqruDAC/view?usp=drivesdk" TargetMode="External"/><Relationship Id="rId7159" Type="http://schemas.openxmlformats.org/officeDocument/2006/relationships/hyperlink" Target="https://drive.google.com/file/d/1TyrYp1ti71ng5bzcRfulzkZ9AUliH6HO/view?usp=drivesdk" TargetMode="External"/><Relationship Id="rId7158" Type="http://schemas.openxmlformats.org/officeDocument/2006/relationships/hyperlink" Target="https://drive.google.com/file/d/1Gf-U9DkIyE0Wf_LGY5wI6zGTnNFn1Fhc/view?usp=drivesdk" TargetMode="External"/><Relationship Id="rId8489" Type="http://schemas.openxmlformats.org/officeDocument/2006/relationships/hyperlink" Target="https://drive.google.com/file/d/1FF5Z8PCQNSDrLytkNk3F2PSq-tH_sJic/view?usp=drivesdk" TargetMode="External"/><Relationship Id="rId7157" Type="http://schemas.openxmlformats.org/officeDocument/2006/relationships/hyperlink" Target="https://drive.google.com/file/d/1ejbVAZrRNs9U7hLZw8DDdN61xCfE5UKx/view?usp=drivesdk" TargetMode="External"/><Relationship Id="rId8488" Type="http://schemas.openxmlformats.org/officeDocument/2006/relationships/hyperlink" Target="https://drive.google.com/file/d/1DHMVrNBMWwUl2NOG4AzjZRt-vKb9D9ri/view?usp=drivesdk" TargetMode="External"/><Relationship Id="rId7156" Type="http://schemas.openxmlformats.org/officeDocument/2006/relationships/hyperlink" Target="https://drive.google.com/file/d/1yy3PuNOMTS09c-3kvzXjsGg65uG9AqZa/view?usp=drivesdk" TargetMode="External"/><Relationship Id="rId8487" Type="http://schemas.openxmlformats.org/officeDocument/2006/relationships/hyperlink" Target="https://drive.google.com/file/d/13xUlOWearJfSKMC9TOIFeo9DoY5yZ655/view?usp=drivesdk" TargetMode="External"/><Relationship Id="rId7140" Type="http://schemas.openxmlformats.org/officeDocument/2006/relationships/hyperlink" Target="https://drive.google.com/file/d/1tlAgemFvRhKVMSJy5wIlDK-qhGi18qwM/view?usp=drivesdk" TargetMode="External"/><Relationship Id="rId8471" Type="http://schemas.openxmlformats.org/officeDocument/2006/relationships/hyperlink" Target="https://drive.google.com/file/d/11iajMgAQA4AoHmp4SVyjBanFfBnfUeNc/view?usp=drivesdk" TargetMode="External"/><Relationship Id="rId8470" Type="http://schemas.openxmlformats.org/officeDocument/2006/relationships/hyperlink" Target="https://drive.google.com/file/d/1d37LqwvrSP2RB_H3Z21Bib48eN8bP0v6/view?usp=drivesdk" TargetMode="External"/><Relationship Id="rId7144" Type="http://schemas.openxmlformats.org/officeDocument/2006/relationships/hyperlink" Target="https://drive.google.com/file/d/1hh5JM3MpwOricWlsjsZ2ElQC1q48Os6p/view?usp=drivesdk" TargetMode="External"/><Relationship Id="rId8475" Type="http://schemas.openxmlformats.org/officeDocument/2006/relationships/hyperlink" Target="https://drive.google.com/file/d/1uG54-WUizwWr0GuARyZr9WYCw9RIFYW_/view?usp=drivesdk" TargetMode="External"/><Relationship Id="rId7143" Type="http://schemas.openxmlformats.org/officeDocument/2006/relationships/hyperlink" Target="https://drive.google.com/file/d/1qtOT3xJuMp9pglbCyV6ya20TXHowVFEW/view?usp=drivesdk" TargetMode="External"/><Relationship Id="rId8474" Type="http://schemas.openxmlformats.org/officeDocument/2006/relationships/hyperlink" Target="https://drive.google.com/file/d/11Q-0rOOCtim5nW_ANbNJLkJdTqfAuYxW/view?usp=drivesdk" TargetMode="External"/><Relationship Id="rId7142" Type="http://schemas.openxmlformats.org/officeDocument/2006/relationships/hyperlink" Target="https://drive.google.com/file/d/1xXSGc0sjbokO08R_egg2C8BxsbJJdowb/view?usp=drivesdk" TargetMode="External"/><Relationship Id="rId8473" Type="http://schemas.openxmlformats.org/officeDocument/2006/relationships/hyperlink" Target="https://drive.google.com/file/d/1RSpVtiAgsd4C9IakNgY4JANB_1tVWGlQ/view?usp=drivesdk" TargetMode="External"/><Relationship Id="rId7141" Type="http://schemas.openxmlformats.org/officeDocument/2006/relationships/hyperlink" Target="https://drive.google.com/file/d/1FlXX8BjjQF89ZJn2gT6Rk09Uw8zBo15O/view?usp=drivesdk" TargetMode="External"/><Relationship Id="rId8472" Type="http://schemas.openxmlformats.org/officeDocument/2006/relationships/hyperlink" Target="https://drive.google.com/file/d/1to3JFOxiGWk32DQzV2sinTMBkAvSXgxF/view?usp=drivesdk" TargetMode="External"/><Relationship Id="rId7148" Type="http://schemas.openxmlformats.org/officeDocument/2006/relationships/hyperlink" Target="https://drive.google.com/file/d/1T7-0LDRubgbikCryU5hcdvddlaMG6sJW/view?usp=drivesdk" TargetMode="External"/><Relationship Id="rId8479" Type="http://schemas.openxmlformats.org/officeDocument/2006/relationships/hyperlink" Target="https://drive.google.com/file/d/1PidVYQmQVsV4Xrz6lKAC9JPmNiihls7Q/view?usp=drivesdk" TargetMode="External"/><Relationship Id="rId7147" Type="http://schemas.openxmlformats.org/officeDocument/2006/relationships/hyperlink" Target="https://drive.google.com/file/d/1Ctd5QG3XbGy-oCO8aODyXt4ujFQnyBRS/view?usp=drivesdk" TargetMode="External"/><Relationship Id="rId8478" Type="http://schemas.openxmlformats.org/officeDocument/2006/relationships/hyperlink" Target="https://drive.google.com/file/d/1hKZx3qyvvY6sfJRd3IqMqitNxSiHOM99/view?usp=drivesdk" TargetMode="External"/><Relationship Id="rId7146" Type="http://schemas.openxmlformats.org/officeDocument/2006/relationships/hyperlink" Target="https://drive.google.com/file/d/1STgggQZbZiurUWzcSPDFk7YzYQ2H97cr/view?usp=drivesdk" TargetMode="External"/><Relationship Id="rId8477" Type="http://schemas.openxmlformats.org/officeDocument/2006/relationships/hyperlink" Target="https://drive.google.com/file/d/1T5qGLXIJ86Y3rFoGsF7nF2o0sCfqFY5b/view?usp=drivesdk" TargetMode="External"/><Relationship Id="rId7145" Type="http://schemas.openxmlformats.org/officeDocument/2006/relationships/hyperlink" Target="https://drive.google.com/file/d/1MzgzgJf00zfMHb6g2CFEra4XATPGMZat/view?usp=drivesdk" TargetMode="External"/><Relationship Id="rId8476" Type="http://schemas.openxmlformats.org/officeDocument/2006/relationships/hyperlink" Target="https://drive.google.com/file/d/1izXQj57VAKhZCvl466f4lFoq0Mtknic5/view?usp=drivesdk" TargetMode="External"/><Relationship Id="rId7149" Type="http://schemas.openxmlformats.org/officeDocument/2006/relationships/hyperlink" Target="https://drive.google.com/file/d/1Hi7mIZgFmElB8-sFhFHfDJm3zUJhhMyX/view?usp=drivesdk" TargetMode="External"/><Relationship Id="rId11091" Type="http://schemas.openxmlformats.org/officeDocument/2006/relationships/hyperlink" Target="https://drive.google.com/file/d/1smglz3OJGMNpGdricR1oJ6VFvrDLitiT/view?usp=drivesdk" TargetMode="External"/><Relationship Id="rId11090" Type="http://schemas.openxmlformats.org/officeDocument/2006/relationships/hyperlink" Target="https://drive.google.com/file/d/1S-RBr4cXQ5sg5NnM4ZCY8tc1B4odA9nv/view?usp=drivesdk" TargetMode="External"/><Relationship Id="rId11095" Type="http://schemas.openxmlformats.org/officeDocument/2006/relationships/hyperlink" Target="https://drive.google.com/file/d/1hygxrGq8LzxAfp3im8lMOgWi14SUhXPa/view?usp=drivesdk" TargetMode="External"/><Relationship Id="rId11094" Type="http://schemas.openxmlformats.org/officeDocument/2006/relationships/hyperlink" Target="https://drive.google.com/file/d/1M3ldcyAykOur1_aA3UNEtSPES6dEGXmj/view?usp=drivesdk" TargetMode="External"/><Relationship Id="rId11093" Type="http://schemas.openxmlformats.org/officeDocument/2006/relationships/hyperlink" Target="https://drive.google.com/file/d/1utkmDfceJ4-lA9ZKshamlK_mHyPUNtMw/view?usp=drivesdk" TargetMode="External"/><Relationship Id="rId11092" Type="http://schemas.openxmlformats.org/officeDocument/2006/relationships/hyperlink" Target="https://drive.google.com/file/d/1gIc5MojJqqOhUwo1LYAzS-9q3Qt80hsD/view?usp=drivesdk" TargetMode="External"/><Relationship Id="rId7180" Type="http://schemas.openxmlformats.org/officeDocument/2006/relationships/hyperlink" Target="https://drive.google.com/file/d/1zXTzEVedDrfAh2ZE4JDr0x7r1aSieeN1/view?usp=drivesdk" TargetMode="External"/><Relationship Id="rId7173" Type="http://schemas.openxmlformats.org/officeDocument/2006/relationships/hyperlink" Target="https://drive.google.com/file/d/1I_f4ZnhWEJ5dMv8bp1FTzYDEiA-YR-jg/view?usp=drivesdk" TargetMode="External"/><Relationship Id="rId7172" Type="http://schemas.openxmlformats.org/officeDocument/2006/relationships/hyperlink" Target="https://drive.google.com/file/d/1lesmlKrSudqOxsO9PEL258oMpjKiohyj/view?usp=drivesdk" TargetMode="External"/><Relationship Id="rId7171" Type="http://schemas.openxmlformats.org/officeDocument/2006/relationships/hyperlink" Target="https://drive.google.com/file/d/1ZReK3b68tFR8UVymTkbdniFFRjBgMU9m/view?usp=drivesdk" TargetMode="External"/><Relationship Id="rId7170" Type="http://schemas.openxmlformats.org/officeDocument/2006/relationships/hyperlink" Target="https://drive.google.com/file/d/14O4BkPACa5dRGT93viSuVj7rZr9AGLEz/view?usp=drivesdk" TargetMode="External"/><Relationship Id="rId7177" Type="http://schemas.openxmlformats.org/officeDocument/2006/relationships/hyperlink" Target="https://drive.google.com/file/d/1x3boOocAEIMAGEzFPlEsSJvOh1TSxd8e/view?usp=drivesdk" TargetMode="External"/><Relationship Id="rId7176" Type="http://schemas.openxmlformats.org/officeDocument/2006/relationships/hyperlink" Target="https://drive.google.com/file/d/18I4GKCXz7iQ1ZGah5Uu9o_vQleDuskxl/view?usp=drivesdk" TargetMode="External"/><Relationship Id="rId7175" Type="http://schemas.openxmlformats.org/officeDocument/2006/relationships/hyperlink" Target="https://drive.google.com/file/d/19rq8-AhYoPlRVOt9LEMJbS3THo6sEgtw/view?usp=drivesdk" TargetMode="External"/><Relationship Id="rId7174" Type="http://schemas.openxmlformats.org/officeDocument/2006/relationships/hyperlink" Target="https://drive.google.com/file/d/1WE6rcitHuHuax_Um643aDwLz1dpPytdb/view?usp=drivesdk" TargetMode="External"/><Relationship Id="rId11088" Type="http://schemas.openxmlformats.org/officeDocument/2006/relationships/hyperlink" Target="https://drive.google.com/file/d/18rHeQLalgQhQk-dhouARCJnFUgP-n4Oi/view?usp=drivesdk" TargetMode="External"/><Relationship Id="rId11087" Type="http://schemas.openxmlformats.org/officeDocument/2006/relationships/hyperlink" Target="https://drive.google.com/file/d/1Hv_CuJVvUrBJwUUqcSVnRUOLtZq6wJu7/view?usp=drivesdk" TargetMode="External"/><Relationship Id="rId7179" Type="http://schemas.openxmlformats.org/officeDocument/2006/relationships/hyperlink" Target="https://drive.google.com/file/d/1EOByyi_u-u1yYZkrYIV9DVGb3FeBNjRy/view?usp=drivesdk" TargetMode="External"/><Relationship Id="rId11086" Type="http://schemas.openxmlformats.org/officeDocument/2006/relationships/hyperlink" Target="https://drive.google.com/file/d/1HAG3xv_g7AvPSm9goHAsyDs2HEpN2K_t/view?usp=drivesdk" TargetMode="External"/><Relationship Id="rId7178" Type="http://schemas.openxmlformats.org/officeDocument/2006/relationships/hyperlink" Target="https://drive.google.com/file/d/1ba4z0pdokVOTHlVtTdKM8BKptrKIfv3w/view?usp=drivesdk" TargetMode="External"/><Relationship Id="rId11085" Type="http://schemas.openxmlformats.org/officeDocument/2006/relationships/hyperlink" Target="https://drive.google.com/file/d/1OARyXUyDDOe1sbYqcHkQS-OwN2yJ4jdp/view?usp=drivesdk" TargetMode="External"/><Relationship Id="rId11089" Type="http://schemas.openxmlformats.org/officeDocument/2006/relationships/hyperlink" Target="https://drive.google.com/file/d/1I0cfoTJZGBPzTaWyInI7qlgc9fLE_05-/view?usp=drivesdk" TargetMode="External"/><Relationship Id="rId7162" Type="http://schemas.openxmlformats.org/officeDocument/2006/relationships/hyperlink" Target="https://drive.google.com/file/d/1Cx0IR7zWQdQrwpr-ZowFdbdjCLEGNJJi/view?usp=drivesdk" TargetMode="External"/><Relationship Id="rId8493" Type="http://schemas.openxmlformats.org/officeDocument/2006/relationships/hyperlink" Target="https://drive.google.com/file/d/1T-5GyFPTL-gv8146Mol1bOYzy5zsXLN7/view?usp=drivesdk" TargetMode="External"/><Relationship Id="rId7161" Type="http://schemas.openxmlformats.org/officeDocument/2006/relationships/hyperlink" Target="https://drive.google.com/file/d/1fU8A8Xu-_YTS4yU6hPb2cVP4J8f3Gqko/view?usp=drivesdk" TargetMode="External"/><Relationship Id="rId8492" Type="http://schemas.openxmlformats.org/officeDocument/2006/relationships/hyperlink" Target="https://drive.google.com/file/d/12M415gfvCWl8M2gZvjuqS1DPs6Ta7Kgx/view?usp=drivesdk" TargetMode="External"/><Relationship Id="rId7160" Type="http://schemas.openxmlformats.org/officeDocument/2006/relationships/hyperlink" Target="https://drive.google.com/file/d/1cNzKe7uMnHsSRoWNrKO1o39-9jFtPDbg/view?usp=drivesdk" TargetMode="External"/><Relationship Id="rId8491" Type="http://schemas.openxmlformats.org/officeDocument/2006/relationships/hyperlink" Target="https://drive.google.com/file/d/1GaRWCmhCnpL7H7VYAMDN4M8IAdjkzMIt/view?usp=drivesdk" TargetMode="External"/><Relationship Id="rId8490" Type="http://schemas.openxmlformats.org/officeDocument/2006/relationships/hyperlink" Target="https://drive.google.com/file/d/1e3HakraW370kNfYMN_RaiKqJN3D9TVOv/view?usp=drivesdk" TargetMode="External"/><Relationship Id="rId7166" Type="http://schemas.openxmlformats.org/officeDocument/2006/relationships/hyperlink" Target="https://drive.google.com/file/d/1qG6gI1OvvS1xJ6-G0rSe08Y5p9clBlds/view?usp=drivesdk" TargetMode="External"/><Relationship Id="rId8497" Type="http://schemas.openxmlformats.org/officeDocument/2006/relationships/hyperlink" Target="https://drive.google.com/file/d/1HCE1wzWmrTy57_IOG7T2GcpxKCBC5vWd/view?usp=drivesdk" TargetMode="External"/><Relationship Id="rId7165" Type="http://schemas.openxmlformats.org/officeDocument/2006/relationships/hyperlink" Target="https://drive.google.com/file/d/1MrgyBIQS0TIS4HL20tNQTKO52h8gV-wg/view?usp=drivesdk" TargetMode="External"/><Relationship Id="rId8496" Type="http://schemas.openxmlformats.org/officeDocument/2006/relationships/hyperlink" Target="https://drive.google.com/file/d/1Z8JDQ6BZhJ4_C1p4B2NDhl0om095o36i/view?usp=drivesdk" TargetMode="External"/><Relationship Id="rId7164" Type="http://schemas.openxmlformats.org/officeDocument/2006/relationships/hyperlink" Target="https://drive.google.com/file/d/1h9rixVoWX3xHESjhzMX7__ISNMiRNz37/view?usp=drivesdk" TargetMode="External"/><Relationship Id="rId8495" Type="http://schemas.openxmlformats.org/officeDocument/2006/relationships/hyperlink" Target="https://drive.google.com/file/d/13Bv5fP5QHUl1prnVltaz8D6Lt8q5MEt0/view?usp=drivesdk" TargetMode="External"/><Relationship Id="rId7163" Type="http://schemas.openxmlformats.org/officeDocument/2006/relationships/hyperlink" Target="https://drive.google.com/file/d/17RcH0QSXnyL9IQF1v9o6ApZSMWO-i1-K/view?usp=drivesdk" TargetMode="External"/><Relationship Id="rId8494" Type="http://schemas.openxmlformats.org/officeDocument/2006/relationships/hyperlink" Target="https://drive.google.com/file/d/1Dooj5OiOaahnKuN-GyiTmH3z4Kxz2uAd/view?usp=drivesdk" TargetMode="External"/><Relationship Id="rId11099" Type="http://schemas.openxmlformats.org/officeDocument/2006/relationships/hyperlink" Target="https://drive.google.com/file/d/1zGXh29fE18pcybvQZjfSJxOytNyG2k3a/view?usp=drivesdk" TargetMode="External"/><Relationship Id="rId7169" Type="http://schemas.openxmlformats.org/officeDocument/2006/relationships/hyperlink" Target="https://drive.google.com/file/d/1iYMjHCGyi_qR4qMCyKHTQrQSTFeolOhJ/view?usp=drivesdk" TargetMode="External"/><Relationship Id="rId11098" Type="http://schemas.openxmlformats.org/officeDocument/2006/relationships/hyperlink" Target="https://drive.google.com/file/d/1Ea6b1Ou5zzMCr9Jj3SEwhx0WUIZIdNXJ/view?usp=drivesdk" TargetMode="External"/><Relationship Id="rId7168" Type="http://schemas.openxmlformats.org/officeDocument/2006/relationships/hyperlink" Target="https://drive.google.com/file/d/18Ac1HDh9wHYSsYerxX2vRVz-XD4D5Hzn/view?usp=drivesdk" TargetMode="External"/><Relationship Id="rId8499" Type="http://schemas.openxmlformats.org/officeDocument/2006/relationships/hyperlink" Target="https://drive.google.com/file/d/149akmiz0x0S_-_By7VM8IK30kU8w7RQx/view?usp=drivesdk" TargetMode="External"/><Relationship Id="rId11097" Type="http://schemas.openxmlformats.org/officeDocument/2006/relationships/hyperlink" Target="https://drive.google.com/file/d/1JREuNSyKmw5HGDiVsNsgX338zTa43mHs/view?usp=drivesdk" TargetMode="External"/><Relationship Id="rId7167" Type="http://schemas.openxmlformats.org/officeDocument/2006/relationships/hyperlink" Target="https://drive.google.com/file/d/1UneiM9Hh2mQgDGtuPC6KgCib-6h9GshM/view?usp=drivesdk" TargetMode="External"/><Relationship Id="rId8498" Type="http://schemas.openxmlformats.org/officeDocument/2006/relationships/hyperlink" Target="https://drive.google.com/file/d/1jZZ5HRtgd49ZFmsIp8M-ca8Xlpbl2SiX/view?usp=drivesdk" TargetMode="External"/><Relationship Id="rId11096" Type="http://schemas.openxmlformats.org/officeDocument/2006/relationships/hyperlink" Target="https://drive.google.com/file/d/1q2_plajrdP6F4Kn20XDKj09_NdSEmGVX/view?usp=drivesdk" TargetMode="External"/><Relationship Id="rId9770" Type="http://schemas.openxmlformats.org/officeDocument/2006/relationships/hyperlink" Target="https://drive.google.com/file/d/1mrfIF6F_S9YYQZLKkA16MLO4PYdVxUhT/view?usp=drivesdk" TargetMode="External"/><Relationship Id="rId9771" Type="http://schemas.openxmlformats.org/officeDocument/2006/relationships/hyperlink" Target="https://drive.google.com/file/d/1PElyns1rcyX1bGWs8xrCcQRgZ7bdj1XK/view?usp=drivesdk" TargetMode="External"/><Relationship Id="rId9772" Type="http://schemas.openxmlformats.org/officeDocument/2006/relationships/hyperlink" Target="https://drive.google.com/file/d/147blIdBZZ2qqmV_KoQDM1d1u46kNwm-L/view?usp=drivesdk" TargetMode="External"/><Relationship Id="rId9773" Type="http://schemas.openxmlformats.org/officeDocument/2006/relationships/hyperlink" Target="https://drive.google.com/file/d/1Nu5PtAOoamMSxhgxiswV_ag5QtMDi38d/view?usp=drivesdk" TargetMode="External"/><Relationship Id="rId7111" Type="http://schemas.openxmlformats.org/officeDocument/2006/relationships/hyperlink" Target="https://drive.google.com/file/d/11DTUEQsKAh3AE4xnSWviqKrssbZymP9A/view?usp=drivesdk" TargetMode="External"/><Relationship Id="rId8442" Type="http://schemas.openxmlformats.org/officeDocument/2006/relationships/hyperlink" Target="https://drive.google.com/file/d/1_oIrHVYZY_qhoWopF2cHFJ-fa9sT-nXw/view?usp=drivesdk" TargetMode="External"/><Relationship Id="rId7110" Type="http://schemas.openxmlformats.org/officeDocument/2006/relationships/hyperlink" Target="https://drive.google.com/file/d/1QF3mZvfQq-RLgcRo60HPyMVX0a2-STTy/view?usp=drivesdk" TargetMode="External"/><Relationship Id="rId8441" Type="http://schemas.openxmlformats.org/officeDocument/2006/relationships/hyperlink" Target="https://drive.google.com/file/d/1ucFiDPhSVUnZPct6dCE5-jsrKTCCTsF2/view?usp=drivesdk" TargetMode="External"/><Relationship Id="rId8440" Type="http://schemas.openxmlformats.org/officeDocument/2006/relationships/hyperlink" Target="https://drive.google.com/file/d/17HcxkDjquzVe-R0QTSulPuYqY5cGsZq6/view?usp=drivesdk" TargetMode="External"/><Relationship Id="rId7115" Type="http://schemas.openxmlformats.org/officeDocument/2006/relationships/hyperlink" Target="https://drive.google.com/file/d/1P18_vYPkjWV4LQneLyhxf0oW7xiabN_L/view?usp=drivesdk" TargetMode="External"/><Relationship Id="rId8446" Type="http://schemas.openxmlformats.org/officeDocument/2006/relationships/hyperlink" Target="https://drive.google.com/file/d/1TNPkbFFvg-i2hL_9t-SNYG-qjV_bJ0Wu/view?usp=drivesdk" TargetMode="External"/><Relationship Id="rId9778" Type="http://schemas.openxmlformats.org/officeDocument/2006/relationships/hyperlink" Target="https://drive.google.com/file/d/1NUAM9ZLJsyADYKhvieclBGtRkg9xjcnB/view?usp=drivesdk" TargetMode="External"/><Relationship Id="rId7114" Type="http://schemas.openxmlformats.org/officeDocument/2006/relationships/hyperlink" Target="https://drive.google.com/file/d/1m9ZKL60mUFzAiLvRPquRFj1Q8KldkfuN/view?usp=drivesdk" TargetMode="External"/><Relationship Id="rId8445" Type="http://schemas.openxmlformats.org/officeDocument/2006/relationships/hyperlink" Target="https://drive.google.com/file/d/11bL0sxnw87TAGZcmFM52xm-Pkk8CIfje/view?usp=drivesdk" TargetMode="External"/><Relationship Id="rId9779" Type="http://schemas.openxmlformats.org/officeDocument/2006/relationships/hyperlink" Target="https://drive.google.com/file/d/1Q27rQ1IqwFWCOkCneG4Uu1k3JyVxoWnn/view?usp=drivesdk" TargetMode="External"/><Relationship Id="rId7113" Type="http://schemas.openxmlformats.org/officeDocument/2006/relationships/hyperlink" Target="https://drive.google.com/file/d/1DYOAxvD2t408KYhYihAc-zb7ZefdtyEM/view?usp=drivesdk" TargetMode="External"/><Relationship Id="rId8444" Type="http://schemas.openxmlformats.org/officeDocument/2006/relationships/hyperlink" Target="https://drive.google.com/file/d/1Pct8jpFn2qToK0k1PprS90S5WR83VYSC/view?usp=drivesdk" TargetMode="External"/><Relationship Id="rId7112" Type="http://schemas.openxmlformats.org/officeDocument/2006/relationships/hyperlink" Target="https://drive.google.com/file/d/138XS91MSmV4HvQ_ILwcte13bO5TzWXJk/view?usp=drivesdk" TargetMode="External"/><Relationship Id="rId8443" Type="http://schemas.openxmlformats.org/officeDocument/2006/relationships/hyperlink" Target="https://drive.google.com/file/d/1LcN0ecWFDF812hsIVtKIDyJVNKVyWnF2/view?usp=drivesdk" TargetMode="External"/><Relationship Id="rId7119" Type="http://schemas.openxmlformats.org/officeDocument/2006/relationships/hyperlink" Target="https://drive.google.com/file/d/1s9Gpc9sSceW7hthcBE3e0sCpRsk0o7nm/view?usp=drivesdk" TargetMode="External"/><Relationship Id="rId9774" Type="http://schemas.openxmlformats.org/officeDocument/2006/relationships/hyperlink" Target="https://drive.google.com/file/d/19gszoRJnWRGKUCKsbYGvhuJpvEx7WpCW/view?usp=drivesdk" TargetMode="External"/><Relationship Id="rId7118" Type="http://schemas.openxmlformats.org/officeDocument/2006/relationships/hyperlink" Target="https://drive.google.com/file/d/1y3-9cUwoXGoDBFyV_Bcw6Wa_zhUjghb4/view?usp=drivesdk" TargetMode="External"/><Relationship Id="rId8449" Type="http://schemas.openxmlformats.org/officeDocument/2006/relationships/hyperlink" Target="https://drive.google.com/file/d/17EyJRtpG9MPfHwmPJb3kYlYIQN3U9-DJ/view?usp=drivesdk" TargetMode="External"/><Relationship Id="rId9775" Type="http://schemas.openxmlformats.org/officeDocument/2006/relationships/hyperlink" Target="https://drive.google.com/file/d/17RdIjWSYWy0HYukgvwlHcVPbY7lHS2UU/view?usp=drivesdk" TargetMode="External"/><Relationship Id="rId7117" Type="http://schemas.openxmlformats.org/officeDocument/2006/relationships/hyperlink" Target="https://drive.google.com/file/d/14qojSh3TZ3PAFKQUGCqGgOCY-FLxAYgB/view?usp=drivesdk" TargetMode="External"/><Relationship Id="rId8448" Type="http://schemas.openxmlformats.org/officeDocument/2006/relationships/hyperlink" Target="https://drive.google.com/file/d/1fcD3rBHo2rmBTFow19-mY90lK-o_9tvJ/view?usp=drivesdk" TargetMode="External"/><Relationship Id="rId9776" Type="http://schemas.openxmlformats.org/officeDocument/2006/relationships/hyperlink" Target="https://drive.google.com/file/d/1ap1TqijSakwBYuJyJXU4LJQw4Fp7GA1A/view?usp=drivesdk" TargetMode="External"/><Relationship Id="rId7116" Type="http://schemas.openxmlformats.org/officeDocument/2006/relationships/hyperlink" Target="https://drive.google.com/file/d/16B-MrkrfxLjSLBjtR0-1op2NroIuT4XN/view?usp=drivesdk" TargetMode="External"/><Relationship Id="rId8447" Type="http://schemas.openxmlformats.org/officeDocument/2006/relationships/hyperlink" Target="https://drive.google.com/file/d/14gySI9VoKfmNlf9RGv0ONiRsbi8hWmm6/view?usp=drivesdk" TargetMode="External"/><Relationship Id="rId9777" Type="http://schemas.openxmlformats.org/officeDocument/2006/relationships/hyperlink" Target="https://drive.google.com/file/d/13fxLvJZYMHuobYQGshCcVK2we2eGs9Ik/view?usp=drivesdk" TargetMode="External"/><Relationship Id="rId7109" Type="http://schemas.openxmlformats.org/officeDocument/2006/relationships/hyperlink" Target="https://drive.google.com/file/d/16_UVxyNEOS9pepPiUcuvhyKJjplLoQ32/view?usp=drivesdk" TargetMode="External"/><Relationship Id="rId9760" Type="http://schemas.openxmlformats.org/officeDocument/2006/relationships/hyperlink" Target="https://drive.google.com/file/d/1FWunpIxRvX6oqFsFPOkENkH5RJdwsNVK/view?usp=drivesdk" TargetMode="External"/><Relationship Id="rId9761" Type="http://schemas.openxmlformats.org/officeDocument/2006/relationships/hyperlink" Target="https://drive.google.com/file/d/1nRKeWi-VusEgfYL0oDqUfazQ-cuDJ2gG/view?usp=drivesdk" TargetMode="External"/><Relationship Id="rId9762" Type="http://schemas.openxmlformats.org/officeDocument/2006/relationships/hyperlink" Target="https://drive.google.com/file/d/19YWIUvGOtnDXWYKCjJt6tr565buxr79L/view?usp=drivesdk" TargetMode="External"/><Relationship Id="rId7100" Type="http://schemas.openxmlformats.org/officeDocument/2006/relationships/hyperlink" Target="https://drive.google.com/file/d/1mCEJRn4HVykNluZOszm24-DjntCFxo0F/view?usp=drivesdk" TargetMode="External"/><Relationship Id="rId8431" Type="http://schemas.openxmlformats.org/officeDocument/2006/relationships/hyperlink" Target="https://drive.google.com/file/d/1UWBpEiwPhrjh55I5hAYUx2uYa6MHJ_aX/view?usp=drivesdk" TargetMode="External"/><Relationship Id="rId8430" Type="http://schemas.openxmlformats.org/officeDocument/2006/relationships/hyperlink" Target="https://drive.google.com/file/d/1U1qemRQUjZLnBeclN13TsnLylGW0rrOz/view?usp=drivesdk" TargetMode="External"/><Relationship Id="rId7104" Type="http://schemas.openxmlformats.org/officeDocument/2006/relationships/hyperlink" Target="https://drive.google.com/file/d/1WHdRr_44zPDhSRELPQ0rriWeoDbRMNrx/view?usp=drivesdk" TargetMode="External"/><Relationship Id="rId8435" Type="http://schemas.openxmlformats.org/officeDocument/2006/relationships/hyperlink" Target="https://drive.google.com/file/d/125Hqw2qTS93BBiJMg5A_cPvucEKazfjl/view?usp=drivesdk" TargetMode="External"/><Relationship Id="rId9767" Type="http://schemas.openxmlformats.org/officeDocument/2006/relationships/hyperlink" Target="https://drive.google.com/file/d/1ltIGdlFC3XeKI51U3pUq94xPOZXyxkxL/view?usp=drivesdk" TargetMode="External"/><Relationship Id="rId7103" Type="http://schemas.openxmlformats.org/officeDocument/2006/relationships/hyperlink" Target="https://drive.google.com/file/d/13J2_K_f4dSZpuyLeWzCyQw_BkGUl6GEf/view?usp=drivesdk" TargetMode="External"/><Relationship Id="rId8434" Type="http://schemas.openxmlformats.org/officeDocument/2006/relationships/hyperlink" Target="https://drive.google.com/file/d/14cyznhmGquwl6eo5qBMW3Q514EDo7ta2/view?usp=drivesdk" TargetMode="External"/><Relationship Id="rId9768" Type="http://schemas.openxmlformats.org/officeDocument/2006/relationships/hyperlink" Target="https://drive.google.com/file/d/1gP_0ns8oZXkBeOBq1XdTHthQ5ArofSja/view?usp=drivesdk" TargetMode="External"/><Relationship Id="rId7102" Type="http://schemas.openxmlformats.org/officeDocument/2006/relationships/hyperlink" Target="https://drive.google.com/file/d/12Bah3KtMzGMV0P1kxZb3UhvKC1FIiBMv/view?usp=drivesdk" TargetMode="External"/><Relationship Id="rId8433" Type="http://schemas.openxmlformats.org/officeDocument/2006/relationships/hyperlink" Target="https://drive.google.com/file/d/1tzcX5I-xFjKuwBL7ZEJUw-OXEzT5Naw9/view?usp=drivesdk" TargetMode="External"/><Relationship Id="rId9769" Type="http://schemas.openxmlformats.org/officeDocument/2006/relationships/hyperlink" Target="https://drive.google.com/file/d/1ZNaU-LA-xHkW5ha51_fGmpldIv1LLZoz/view?usp=drivesdk" TargetMode="External"/><Relationship Id="rId7101" Type="http://schemas.openxmlformats.org/officeDocument/2006/relationships/hyperlink" Target="https://drive.google.com/file/d/1MCnrPTsQQQHtSgA8ABN2koKeg9_OHTXr/view?usp=drivesdk" TargetMode="External"/><Relationship Id="rId8432" Type="http://schemas.openxmlformats.org/officeDocument/2006/relationships/hyperlink" Target="https://drive.google.com/file/d/14l_v2ehd9bT-gYluCFUk860b0vjheCks/view?usp=drivesdk" TargetMode="External"/><Relationship Id="rId7108" Type="http://schemas.openxmlformats.org/officeDocument/2006/relationships/hyperlink" Target="https://drive.google.com/file/d/1UpcmFk2477Ef3bmyX8lNk69fADFRKC8s/view?usp=drivesdk" TargetMode="External"/><Relationship Id="rId8439" Type="http://schemas.openxmlformats.org/officeDocument/2006/relationships/hyperlink" Target="https://drive.google.com/file/d/12DW45I30fNulS9D2dQXoiURFOFN9M1yy/view?usp=drivesdk" TargetMode="External"/><Relationship Id="rId9763" Type="http://schemas.openxmlformats.org/officeDocument/2006/relationships/hyperlink" Target="https://drive.google.com/file/d/1rCBsNWiFhxseCfBB9MH25SqaHYB11J0S/view?usp=drivesdk" TargetMode="External"/><Relationship Id="rId7107" Type="http://schemas.openxmlformats.org/officeDocument/2006/relationships/hyperlink" Target="https://drive.google.com/file/d/1t1Pah3mdEo8N02xsmS5GdKkuxJMecyGx/view?usp=drivesdk" TargetMode="External"/><Relationship Id="rId8438" Type="http://schemas.openxmlformats.org/officeDocument/2006/relationships/hyperlink" Target="https://drive.google.com/file/d/1FkDoBPWs6ydMdDll9Yj_E2eb57b0O_qE/view?usp=drivesdk" TargetMode="External"/><Relationship Id="rId9764" Type="http://schemas.openxmlformats.org/officeDocument/2006/relationships/hyperlink" Target="https://drive.google.com/file/d/18CjMRvtaxW_DLPIXm_b_Qre21Hiqtb8h/view?usp=drivesdk" TargetMode="External"/><Relationship Id="rId7106" Type="http://schemas.openxmlformats.org/officeDocument/2006/relationships/hyperlink" Target="https://drive.google.com/file/d/1ovLjZlMPjiV-HZqWveaG81qWgR57vnOI/view?usp=drivesdk" TargetMode="External"/><Relationship Id="rId8437" Type="http://schemas.openxmlformats.org/officeDocument/2006/relationships/hyperlink" Target="https://drive.google.com/file/d/1d-ASStw_h1Nh2RVn_ktu_0XP-HgrAX63/view?usp=drivesdk" TargetMode="External"/><Relationship Id="rId9765" Type="http://schemas.openxmlformats.org/officeDocument/2006/relationships/hyperlink" Target="https://drive.google.com/file/d/16p1wbpZqvEdBgJ0Tz3kJ0F6urrxbYVAz/view?usp=drivesdk" TargetMode="External"/><Relationship Id="rId7105" Type="http://schemas.openxmlformats.org/officeDocument/2006/relationships/hyperlink" Target="https://drive.google.com/file/d/1Rt9PODutJfh7eK6zCpO07eLBfdX1HYLd/view?usp=drivesdk" TargetMode="External"/><Relationship Id="rId8436" Type="http://schemas.openxmlformats.org/officeDocument/2006/relationships/hyperlink" Target="https://drive.google.com/file/d/15n8OKEgEc6XprC6a6OWWe6qE1qvNiYZB/view?usp=drivesdk" TargetMode="External"/><Relationship Id="rId9766" Type="http://schemas.openxmlformats.org/officeDocument/2006/relationships/hyperlink" Target="https://drive.google.com/file/d/1cNrnmsB-4gzwDpkx5DJJIyhTJIDsnfI-/view?usp=drivesdk" TargetMode="External"/><Relationship Id="rId8460" Type="http://schemas.openxmlformats.org/officeDocument/2006/relationships/hyperlink" Target="https://drive.google.com/file/d/1QA-pCUREbEoGjBSuW7g2X1piSrsN12Tf/view?usp=drivesdk" TargetMode="External"/><Relationship Id="rId9792" Type="http://schemas.openxmlformats.org/officeDocument/2006/relationships/hyperlink" Target="https://drive.google.com/file/d/1zszeL5f2Pho-T_StUM8tRatK1RYDt0BB/view?usp=drivesdk" TargetMode="External"/><Relationship Id="rId9793" Type="http://schemas.openxmlformats.org/officeDocument/2006/relationships/hyperlink" Target="https://drive.google.com/file/d/1MfuxctEl7bPHGTqgs3RkV6JCoidQTD5G/view?usp=drivesdk" TargetMode="External"/><Relationship Id="rId9794" Type="http://schemas.openxmlformats.org/officeDocument/2006/relationships/hyperlink" Target="https://drive.google.com/file/d/1a0j2muowzaSCvrMsfzeKivMFIQNT5CS2/view?usp=drivesdk" TargetMode="External"/><Relationship Id="rId9795" Type="http://schemas.openxmlformats.org/officeDocument/2006/relationships/hyperlink" Target="https://drive.google.com/file/d/1KboPoxNu6YTjP3Xhoy5V06w8jr_akThp/view?usp=drivesdk" TargetMode="External"/><Relationship Id="rId7133" Type="http://schemas.openxmlformats.org/officeDocument/2006/relationships/hyperlink" Target="https://drive.google.com/file/d/1HERXb2N_a5jLLgv56AojRw2F2xWBvBT6/view?usp=drivesdk" TargetMode="External"/><Relationship Id="rId8464" Type="http://schemas.openxmlformats.org/officeDocument/2006/relationships/hyperlink" Target="https://drive.google.com/file/d/1qSTddSi2I7Kz1rFoWmbaFzxWqoOS7Q4t/view?usp=drivesdk" TargetMode="External"/><Relationship Id="rId7132" Type="http://schemas.openxmlformats.org/officeDocument/2006/relationships/hyperlink" Target="https://drive.google.com/file/d/1IY1TTGhIwWlIuYGK4NO4me4R2Uj2uEGk/view?usp=drivesdk" TargetMode="External"/><Relationship Id="rId8463" Type="http://schemas.openxmlformats.org/officeDocument/2006/relationships/hyperlink" Target="https://drive.google.com/file/d/1GlVjV5GdTOlcMrXENRWjiCUUlmzuD96T/view?usp=drivesdk" TargetMode="External"/><Relationship Id="rId7131" Type="http://schemas.openxmlformats.org/officeDocument/2006/relationships/hyperlink" Target="https://drive.google.com/file/d/1GyruqO0cpkdI3O7yM-0ojaynkZdPhD8f/view?usp=drivesdk" TargetMode="External"/><Relationship Id="rId8462" Type="http://schemas.openxmlformats.org/officeDocument/2006/relationships/hyperlink" Target="https://drive.google.com/file/d/1hVx7-87ZbGDM6FWKAxDl295PUGzvc7iz/view?usp=drivesdk" TargetMode="External"/><Relationship Id="rId9790" Type="http://schemas.openxmlformats.org/officeDocument/2006/relationships/hyperlink" Target="https://drive.google.com/file/d/1tJWhjURM-9CGNEqjoXeFjsPTpVdTxgND/view?usp=drivesdk" TargetMode="External"/><Relationship Id="rId7130" Type="http://schemas.openxmlformats.org/officeDocument/2006/relationships/hyperlink" Target="https://drive.google.com/file/d/13_7GTBvAwdmDZWOG1XEIiyCLF9zPL8wM/view?usp=drivesdk" TargetMode="External"/><Relationship Id="rId8461" Type="http://schemas.openxmlformats.org/officeDocument/2006/relationships/hyperlink" Target="https://drive.google.com/file/d/11zw7Ltx_ru3JctY_0Cya6QhYPLhSWiKO/view?usp=drivesdk" TargetMode="External"/><Relationship Id="rId9791" Type="http://schemas.openxmlformats.org/officeDocument/2006/relationships/hyperlink" Target="https://drive.google.com/file/d/1vH5Db0xKSsApEynmjeKUI_h1BOoyLa7K/view?usp=drivesdk" TargetMode="External"/><Relationship Id="rId7137" Type="http://schemas.openxmlformats.org/officeDocument/2006/relationships/hyperlink" Target="https://drive.google.com/file/d/1R2mJn-2V-i93uQDQiKe62-TiQkj_wgIb/view?usp=drivesdk" TargetMode="External"/><Relationship Id="rId8468" Type="http://schemas.openxmlformats.org/officeDocument/2006/relationships/hyperlink" Target="https://drive.google.com/file/d/1wXrXaqxEOFqvGXM8ji2phTXSu59s4cKu/view?usp=drivesdk" TargetMode="External"/><Relationship Id="rId7136" Type="http://schemas.openxmlformats.org/officeDocument/2006/relationships/hyperlink" Target="https://drive.google.com/file/d/1ZdkVWZZ2jKzaqeLnM_e4fo4DCKwTslB-/view?usp=drivesdk" TargetMode="External"/><Relationship Id="rId8467" Type="http://schemas.openxmlformats.org/officeDocument/2006/relationships/hyperlink" Target="https://drive.google.com/file/d/1h540qfZB13K7Xy0xxXCgZjIDT_ZUzcvv/view?usp=drivesdk" TargetMode="External"/><Relationship Id="rId7135" Type="http://schemas.openxmlformats.org/officeDocument/2006/relationships/hyperlink" Target="https://drive.google.com/file/d/1JZ6sHAeFOCKjWmRzG8csPe2BVI9T2sAX/view?usp=drivesdk" TargetMode="External"/><Relationship Id="rId8466" Type="http://schemas.openxmlformats.org/officeDocument/2006/relationships/hyperlink" Target="https://drive.google.com/file/d/1SXl3GQQNpB6YqMBebWRWrq5IGaG6v9ac/view?usp=drivesdk" TargetMode="External"/><Relationship Id="rId7134" Type="http://schemas.openxmlformats.org/officeDocument/2006/relationships/hyperlink" Target="https://drive.google.com/file/d/1Y8xb8gr8UVR2lhLLOfq5b4RvVXgGx8yE/view?usp=drivesdk" TargetMode="External"/><Relationship Id="rId8465" Type="http://schemas.openxmlformats.org/officeDocument/2006/relationships/hyperlink" Target="https://drive.google.com/file/d/1hobpGj5cMfjEkPh_DN1M7uKfJgcnVtMl/view?usp=drivesdk" TargetMode="External"/><Relationship Id="rId9796" Type="http://schemas.openxmlformats.org/officeDocument/2006/relationships/hyperlink" Target="https://drive.google.com/file/d/1JP9Fdee4X3Hfl1leHSP4bqKWnsbtInzm/view?usp=drivesdk" TargetMode="External"/><Relationship Id="rId9797" Type="http://schemas.openxmlformats.org/officeDocument/2006/relationships/hyperlink" Target="https://drive.google.com/file/d/1t_c88d9HJtmYTiJUK-bgKMPOsjaCjBVR/view?usp=drivesdk" TargetMode="External"/><Relationship Id="rId7139" Type="http://schemas.openxmlformats.org/officeDocument/2006/relationships/hyperlink" Target="https://drive.google.com/file/d/1HQPmB41WbaTyXFvnJ8mnGsLuDGkhxRck/view?usp=drivesdk" TargetMode="External"/><Relationship Id="rId9798" Type="http://schemas.openxmlformats.org/officeDocument/2006/relationships/hyperlink" Target="https://drive.google.com/file/d/12NmIokzXJWTU8sH5TXOp0Y7U02mPL-L-/view?usp=drivesdk" TargetMode="External"/><Relationship Id="rId7138" Type="http://schemas.openxmlformats.org/officeDocument/2006/relationships/hyperlink" Target="https://drive.google.com/file/d/1-lmHk8SzNkN-Cf0uFxoLgegym-W9BZlS/view?usp=drivesdk" TargetMode="External"/><Relationship Id="rId8469" Type="http://schemas.openxmlformats.org/officeDocument/2006/relationships/hyperlink" Target="https://drive.google.com/file/d/1XtPcHlz4vOaL4aU2v0rqLCVWk3HfjjsP/view?usp=drivesdk" TargetMode="External"/><Relationship Id="rId9799" Type="http://schemas.openxmlformats.org/officeDocument/2006/relationships/hyperlink" Target="https://drive.google.com/file/d/16fIsZsU65pVzBzxCwfMYuSwGdut8XHAX/view?usp=drivesdk" TargetMode="External"/><Relationship Id="rId9781" Type="http://schemas.openxmlformats.org/officeDocument/2006/relationships/hyperlink" Target="https://drive.google.com/file/d/1bnZ4E6Q8X1MxF5yJaz7Rg89rLN5UAMl4/view?usp=drivesdk" TargetMode="External"/><Relationship Id="rId9782" Type="http://schemas.openxmlformats.org/officeDocument/2006/relationships/hyperlink" Target="https://drive.google.com/file/d/14sX4FlEvh4OyDCeCkaJoHlC8xt56uJ4A/view?usp=drivesdk" TargetMode="External"/><Relationship Id="rId9783" Type="http://schemas.openxmlformats.org/officeDocument/2006/relationships/hyperlink" Target="https://drive.google.com/file/d/1gZudMHDkBlU6S9sQGcFQ5FsVxOBwozf7/view?usp=drivesdk" TargetMode="External"/><Relationship Id="rId9784" Type="http://schemas.openxmlformats.org/officeDocument/2006/relationships/hyperlink" Target="https://drive.google.com/file/d/1ABVQkXAgD80sk8vyKaTGr7tdL18x4bew/view?usp=drivesdk" TargetMode="External"/><Relationship Id="rId7122" Type="http://schemas.openxmlformats.org/officeDocument/2006/relationships/hyperlink" Target="https://drive.google.com/file/d/16H4abKDGxbrPHvVm8RKD1FFbcuri0IEZ/view?usp=drivesdk" TargetMode="External"/><Relationship Id="rId8453" Type="http://schemas.openxmlformats.org/officeDocument/2006/relationships/hyperlink" Target="https://drive.google.com/file/d/1VFj3G7AiH9G3Fd4hcPBD9LS1k0sSC7fa/view?usp=drivesdk" TargetMode="External"/><Relationship Id="rId7121" Type="http://schemas.openxmlformats.org/officeDocument/2006/relationships/hyperlink" Target="https://drive.google.com/file/d/1MYD9rC3x_0kJWHpJFCMKGzJpBA5HBkl3/view?usp=drivesdk" TargetMode="External"/><Relationship Id="rId8452" Type="http://schemas.openxmlformats.org/officeDocument/2006/relationships/hyperlink" Target="https://drive.google.com/file/d/1Bs1wRi52Rca9mmyBqtPulfrk1DqrOTZG/view?usp=drivesdk" TargetMode="External"/><Relationship Id="rId7120" Type="http://schemas.openxmlformats.org/officeDocument/2006/relationships/hyperlink" Target="https://drive.google.com/file/d/1SkwCxQuraO_wmuOhfsF4q3LHMXUOYKlk/view?usp=drivesdk" TargetMode="External"/><Relationship Id="rId8451" Type="http://schemas.openxmlformats.org/officeDocument/2006/relationships/hyperlink" Target="https://drive.google.com/file/d/1lQiFIigaabJ3Nc0Bp7W4NnZlcEAH22bz/view?usp=drivesdk" TargetMode="External"/><Relationship Id="rId8450" Type="http://schemas.openxmlformats.org/officeDocument/2006/relationships/hyperlink" Target="https://drive.google.com/file/d/1vzO2ylqxa543hdAlrUeCvOTO50r-41WV/view?usp=drivesdk" TargetMode="External"/><Relationship Id="rId9780" Type="http://schemas.openxmlformats.org/officeDocument/2006/relationships/hyperlink" Target="https://drive.google.com/file/d/1ZrYjlTzsZnQbB4d4PVZrc-b3-yp6ENPM/view?usp=drivesdk" TargetMode="External"/><Relationship Id="rId7126" Type="http://schemas.openxmlformats.org/officeDocument/2006/relationships/hyperlink" Target="https://drive.google.com/file/d/1ULKf0NH1u-1UO4VJE55v-gqZtlZgrY4T/view?usp=drivesdk" TargetMode="External"/><Relationship Id="rId8457" Type="http://schemas.openxmlformats.org/officeDocument/2006/relationships/hyperlink" Target="https://drive.google.com/file/d/1hPfX2b5hFEjNUy46XCMnn2XIlH69xpBF/view?usp=drivesdk" TargetMode="External"/><Relationship Id="rId9789" Type="http://schemas.openxmlformats.org/officeDocument/2006/relationships/hyperlink" Target="https://drive.google.com/file/d/1F6SyDv98bjjBi2AFJRcVCHfa54s2gpZq/view?usp=drivesdk" TargetMode="External"/><Relationship Id="rId7125" Type="http://schemas.openxmlformats.org/officeDocument/2006/relationships/hyperlink" Target="https://drive.google.com/file/d/1MdAdjfJkMNEZbameoY8zuhdEHgaQNU6z/view?usp=drivesdk" TargetMode="External"/><Relationship Id="rId8456" Type="http://schemas.openxmlformats.org/officeDocument/2006/relationships/hyperlink" Target="https://drive.google.com/file/d/1cIRUbUAuI2ofkNyvw2tGoryRz5Mel_OY/view?usp=drivesdk" TargetMode="External"/><Relationship Id="rId7124" Type="http://schemas.openxmlformats.org/officeDocument/2006/relationships/hyperlink" Target="https://drive.google.com/file/d/12S_Ts5Oml3MvlJmpEgGgfkT8Ju79tIKU/view?usp=drivesdk" TargetMode="External"/><Relationship Id="rId8455" Type="http://schemas.openxmlformats.org/officeDocument/2006/relationships/hyperlink" Target="https://drive.google.com/file/d/1coXhJpKZqehSFndI_zMMIV6HwxVIrEXh/view?usp=drivesdk" TargetMode="External"/><Relationship Id="rId7123" Type="http://schemas.openxmlformats.org/officeDocument/2006/relationships/hyperlink" Target="https://drive.google.com/file/d/1aCvB2CWKpbwR4OSf6_71Ceplsun3Kkrr/view?usp=drivesdk" TargetMode="External"/><Relationship Id="rId8454" Type="http://schemas.openxmlformats.org/officeDocument/2006/relationships/hyperlink" Target="https://drive.google.com/file/d/1IM9XmFq2OwK9iTNW9kdWhPbKX4lQAZC8/view?usp=drivesdk" TargetMode="External"/><Relationship Id="rId9785" Type="http://schemas.openxmlformats.org/officeDocument/2006/relationships/hyperlink" Target="https://drive.google.com/file/d/1ABMz7a6TXOOIE2r_rMf5KhkaUeJQCspu/view?usp=drivesdk" TargetMode="External"/><Relationship Id="rId7129" Type="http://schemas.openxmlformats.org/officeDocument/2006/relationships/hyperlink" Target="https://drive.google.com/file/d/1wC6hmDqeK-gUbV6-RnvbuEXLzA6f165b/view?usp=drivesdk" TargetMode="External"/><Relationship Id="rId9786" Type="http://schemas.openxmlformats.org/officeDocument/2006/relationships/hyperlink" Target="https://drive.google.com/file/d/1J4b1fxSLJ4C1sL2j_DpeTNaQPXd5-yvG/view?usp=drivesdk" TargetMode="External"/><Relationship Id="rId7128" Type="http://schemas.openxmlformats.org/officeDocument/2006/relationships/hyperlink" Target="https://drive.google.com/file/d/16CM5NXXRryVatYVHQIN4NtyeNExokURd/view?usp=drivesdk" TargetMode="External"/><Relationship Id="rId8459" Type="http://schemas.openxmlformats.org/officeDocument/2006/relationships/hyperlink" Target="https://drive.google.com/file/d/13Od8Jx3T1CgLcy9m6k81bvqnYj5SfokD/view?usp=drivesdk" TargetMode="External"/><Relationship Id="rId9787" Type="http://schemas.openxmlformats.org/officeDocument/2006/relationships/hyperlink" Target="https://drive.google.com/file/d/12ELsioCTIZbZJUxeftV900mkSgOpUoHs/view?usp=drivesdk" TargetMode="External"/><Relationship Id="rId7127" Type="http://schemas.openxmlformats.org/officeDocument/2006/relationships/hyperlink" Target="https://drive.google.com/file/d/1v5IdnspGr5YzfqNLSmGydOuJ5huK2NJ8/view?usp=drivesdk" TargetMode="External"/><Relationship Id="rId8458" Type="http://schemas.openxmlformats.org/officeDocument/2006/relationships/hyperlink" Target="https://drive.google.com/file/d/1_cOtXw2zcThO5GNwl0B7iDV9JwGyVNNT/view?usp=drivesdk" TargetMode="External"/><Relationship Id="rId9788" Type="http://schemas.openxmlformats.org/officeDocument/2006/relationships/hyperlink" Target="https://drive.google.com/file/d/1ykNdC7CTDfWP3_C5lAAg-Rf8hjJ_Uat6/view?usp=drivesdk" TargetMode="External"/><Relationship Id="rId11150" Type="http://schemas.openxmlformats.org/officeDocument/2006/relationships/hyperlink" Target="https://drive.google.com/file/d/1OqQl9qFQhCsK-iPt66E-Ys8oULvdTZQN/view?usp=drivesdk" TargetMode="External"/><Relationship Id="rId12481" Type="http://schemas.openxmlformats.org/officeDocument/2006/relationships/hyperlink" Target="https://drive.google.com/file/d/13ipG8kCwfS5CKMaLslutel_3yTqdw5N-/view?usp=drivesdk" TargetMode="External"/><Relationship Id="rId12480" Type="http://schemas.openxmlformats.org/officeDocument/2006/relationships/hyperlink" Target="https://drive.google.com/file/d/10F8wTv_TqMBdCXXPUNsNIxegiPtNvVph/view?usp=drivesdk" TargetMode="External"/><Relationship Id="rId11149" Type="http://schemas.openxmlformats.org/officeDocument/2006/relationships/hyperlink" Target="https://drive.google.com/file/d/1AkqMz-cRxckmVoNjAE67kA6UOXB0Yh7H/view?usp=drivesdk" TargetMode="External"/><Relationship Id="rId11148" Type="http://schemas.openxmlformats.org/officeDocument/2006/relationships/hyperlink" Target="https://drive.google.com/file/d/1Ye4XWTMUFoRTEKgfxFMV6chty4-KuPhF/view?usp=drivesdk" TargetMode="External"/><Relationship Id="rId12479" Type="http://schemas.openxmlformats.org/officeDocument/2006/relationships/hyperlink" Target="https://drive.google.com/file/d/1cVIHbKhV-QbS6fD5173IKpQM1Grc4YR9/view?usp=drivesdk" TargetMode="External"/><Relationship Id="rId11143" Type="http://schemas.openxmlformats.org/officeDocument/2006/relationships/hyperlink" Target="https://drive.google.com/file/d/1_tD9kRAN2pXL3dQSC0x_aIEjckPDWVZ2/view?usp=drivesdk" TargetMode="External"/><Relationship Id="rId12474" Type="http://schemas.openxmlformats.org/officeDocument/2006/relationships/hyperlink" Target="https://drive.google.com/file/d/1vebC2z6Xrzw_CKEBi7PVG6O_eik48usv/view?usp=drivesdk" TargetMode="External"/><Relationship Id="rId11142" Type="http://schemas.openxmlformats.org/officeDocument/2006/relationships/hyperlink" Target="https://drive.google.com/file/d/1eEo8f6OKQHzWfxIixN7FbSuBy-w3mGCg/view?usp=drivesdk" TargetMode="External"/><Relationship Id="rId12473" Type="http://schemas.openxmlformats.org/officeDocument/2006/relationships/hyperlink" Target="https://drive.google.com/file/d/1BjlUt4LxOVf1HJ8B1hIwP13xVLQ_m7dt/view?usp=drivesdk" TargetMode="External"/><Relationship Id="rId11141" Type="http://schemas.openxmlformats.org/officeDocument/2006/relationships/hyperlink" Target="https://drive.google.com/file/d/16T5PVL0-AxH0ZTupY_TNphaxT3wL_YyX/view?usp=drivesdk" TargetMode="External"/><Relationship Id="rId12472" Type="http://schemas.openxmlformats.org/officeDocument/2006/relationships/hyperlink" Target="https://drive.google.com/file/d/1nGA60H-fpUAfj2ggZD8dL9RIuS9SER6a/view?usp=drivesdk" TargetMode="External"/><Relationship Id="rId11140" Type="http://schemas.openxmlformats.org/officeDocument/2006/relationships/hyperlink" Target="https://drive.google.com/file/d/1IWDBv1ZgyBgnbEecjdkrTs2QsNZOV9C8/view?usp=drivesdk" TargetMode="External"/><Relationship Id="rId12471" Type="http://schemas.openxmlformats.org/officeDocument/2006/relationships/hyperlink" Target="https://drive.google.com/file/d/1YpkMTOQnIUm6HfEXhesvIClUKKEn3dX1/view?usp=drivesdk" TargetMode="External"/><Relationship Id="rId11147" Type="http://schemas.openxmlformats.org/officeDocument/2006/relationships/hyperlink" Target="https://drive.google.com/file/d/1RRESStRrNedbKc5vON9iCsbYa63LBUAd/view?usp=drivesdk" TargetMode="External"/><Relationship Id="rId12478" Type="http://schemas.openxmlformats.org/officeDocument/2006/relationships/hyperlink" Target="https://drive.google.com/file/d/1hHCAwEvQaWAhuBlTj5NAuUvhT7tIlhUl/view?usp=drivesdk" TargetMode="External"/><Relationship Id="rId11146" Type="http://schemas.openxmlformats.org/officeDocument/2006/relationships/hyperlink" Target="https://drive.google.com/file/d/1Rsa5YhGYN1inghHF9VbWZGiAsmKvX3MT/view?usp=drivesdk" TargetMode="External"/><Relationship Id="rId12477" Type="http://schemas.openxmlformats.org/officeDocument/2006/relationships/hyperlink" Target="https://drive.google.com/file/d/1Q3BtZ0lS6651w72lpFIYOEvbOs_UDbSP/view?usp=drivesdk" TargetMode="External"/><Relationship Id="rId11145" Type="http://schemas.openxmlformats.org/officeDocument/2006/relationships/hyperlink" Target="https://drive.google.com/file/d/1lnacK-wSoBa_OaflwIGltRFBU3WG1EBq/view?usp=drivesdk" TargetMode="External"/><Relationship Id="rId12476" Type="http://schemas.openxmlformats.org/officeDocument/2006/relationships/hyperlink" Target="https://drive.google.com/file/d/1ZpcBYSfw7GTrHcbFn4eDuovgAI01MyqE/view?usp=drivesdk" TargetMode="External"/><Relationship Id="rId11144" Type="http://schemas.openxmlformats.org/officeDocument/2006/relationships/hyperlink" Target="https://drive.google.com/file/d/15Mv61pHLybB7a8THoZr61_qDazO2nxmD/view?usp=drivesdk" TargetMode="External"/><Relationship Id="rId12475" Type="http://schemas.openxmlformats.org/officeDocument/2006/relationships/hyperlink" Target="https://drive.google.com/file/d/10qJWscwOyptjMiMiecIj1oxg49LMSnKk/view?usp=drivesdk" TargetMode="External"/><Relationship Id="rId11161" Type="http://schemas.openxmlformats.org/officeDocument/2006/relationships/hyperlink" Target="https://drive.google.com/file/d/1v6dM8JmtcCMfRH-1tLslgOjTyjZYWHaO/view?usp=drivesdk" TargetMode="External"/><Relationship Id="rId12492" Type="http://schemas.openxmlformats.org/officeDocument/2006/relationships/hyperlink" Target="https://drive.google.com/file/d/1BLgmolgMjY3-odgxnlpaVqWksOdCoaw7/view?usp=drivesdk" TargetMode="External"/><Relationship Id="rId11160" Type="http://schemas.openxmlformats.org/officeDocument/2006/relationships/hyperlink" Target="https://drive.google.com/file/d/1nkek5E0n3wrDYh4vecJHVcb9rqQKgm9d/view?usp=drivesdk" TargetMode="External"/><Relationship Id="rId12491" Type="http://schemas.openxmlformats.org/officeDocument/2006/relationships/hyperlink" Target="https://drive.google.com/file/d/1eEcOlDc_AEgLPycC4KJR75kMI7eww6nU/view?usp=drivesdk" TargetMode="External"/><Relationship Id="rId12490" Type="http://schemas.openxmlformats.org/officeDocument/2006/relationships/hyperlink" Target="https://drive.google.com/file/d/1gL8bT0ZsRgUGjJol3JIA5MFJbcWJb7Xx/view?usp=drivesdk" TargetMode="External"/><Relationship Id="rId11159" Type="http://schemas.openxmlformats.org/officeDocument/2006/relationships/hyperlink" Target="https://drive.google.com/file/d/1jh5JXLXAGCSt9xxgrW_GMZmzMif6djIC/view?usp=drivesdk" TargetMode="External"/><Relationship Id="rId11154" Type="http://schemas.openxmlformats.org/officeDocument/2006/relationships/hyperlink" Target="https://drive.google.com/file/d/1xHWV7chmYoC1_kgMCu0cS--YIuuM72KV/view?usp=drivesdk" TargetMode="External"/><Relationship Id="rId12485" Type="http://schemas.openxmlformats.org/officeDocument/2006/relationships/hyperlink" Target="https://drive.google.com/file/d/1F0XlhMP_tKz-rPrWO3weU6wvfWu029DP/view?usp=drivesdk" TargetMode="External"/><Relationship Id="rId11153" Type="http://schemas.openxmlformats.org/officeDocument/2006/relationships/hyperlink" Target="https://drive.google.com/file/d/1HI4ndIqGDRAeiBFlf-0-gScKLSHnhPPG/view?usp=drivesdk" TargetMode="External"/><Relationship Id="rId12484" Type="http://schemas.openxmlformats.org/officeDocument/2006/relationships/hyperlink" Target="https://drive.google.com/file/d/1CBScbJmJCOK6hgYF6bZ2mxPLrQ4VQ5W9/view?usp=drivesdk" TargetMode="External"/><Relationship Id="rId11152" Type="http://schemas.openxmlformats.org/officeDocument/2006/relationships/hyperlink" Target="https://drive.google.com/file/d/1wyoA0QVkBDmfS4k_Qkrj7OkGIw-m6itd/view?usp=drivesdk" TargetMode="External"/><Relationship Id="rId12483" Type="http://schemas.openxmlformats.org/officeDocument/2006/relationships/hyperlink" Target="https://drive.google.com/file/d/1Xz9Cpex39znifPgrD_AiSS0PbDFW78lI/view?usp=drivesdk" TargetMode="External"/><Relationship Id="rId11151" Type="http://schemas.openxmlformats.org/officeDocument/2006/relationships/hyperlink" Target="https://drive.google.com/file/d/1z5pzeGy5R-qh9u_OVyzNCEwRk3-2QAT_/view?usp=drivesdk" TargetMode="External"/><Relationship Id="rId12482" Type="http://schemas.openxmlformats.org/officeDocument/2006/relationships/hyperlink" Target="https://drive.google.com/file/d/1LPXsgWAAXZVaCnrlJCshogNX3LwYXdGg/view?usp=drivesdk" TargetMode="External"/><Relationship Id="rId11158" Type="http://schemas.openxmlformats.org/officeDocument/2006/relationships/hyperlink" Target="https://drive.google.com/file/d/1GZuHe6qit7K8t8Pe9cmTP_TT26I8qBy9/view?usp=drivesdk" TargetMode="External"/><Relationship Id="rId12489" Type="http://schemas.openxmlformats.org/officeDocument/2006/relationships/hyperlink" Target="https://drive.google.com/file/d/1OnoiKpBRhwnLej1XsMFzAtqBrG_gn3U-/view?usp=drivesdk" TargetMode="External"/><Relationship Id="rId11157" Type="http://schemas.openxmlformats.org/officeDocument/2006/relationships/hyperlink" Target="https://drive.google.com/file/d/1k8nNpeDwycVS4mHnWfdcF8vGpix_J8Gn/view?usp=drivesdk" TargetMode="External"/><Relationship Id="rId12488" Type="http://schemas.openxmlformats.org/officeDocument/2006/relationships/hyperlink" Target="https://drive.google.com/file/d/1XouZzWDwkbfrjSplgx5kJiAdSQpFBvEL/view?usp=drivesdk" TargetMode="External"/><Relationship Id="rId11156" Type="http://schemas.openxmlformats.org/officeDocument/2006/relationships/hyperlink" Target="https://drive.google.com/file/d/1JNpv2YNdF5T-VKBH_ntBD7PC3UTbw9Oh/view?usp=drivesdk" TargetMode="External"/><Relationship Id="rId12487" Type="http://schemas.openxmlformats.org/officeDocument/2006/relationships/hyperlink" Target="https://drive.google.com/file/d/15PDryQWSrpsq-z4BPo2-tvwO5BpqRxSn/view?usp=drivesdk" TargetMode="External"/><Relationship Id="rId11155" Type="http://schemas.openxmlformats.org/officeDocument/2006/relationships/hyperlink" Target="https://drive.google.com/file/d/1__rof0lk5r1b2XN_QClP1KGfqA-hdn6y/view?usp=drivesdk" TargetMode="External"/><Relationship Id="rId12486" Type="http://schemas.openxmlformats.org/officeDocument/2006/relationships/hyperlink" Target="https://drive.google.com/file/d/1Hl4RrP2VZTJuJc9X1o5OU50_i89374-A/view?usp=drivesdk" TargetMode="External"/><Relationship Id="rId13790" Type="http://schemas.openxmlformats.org/officeDocument/2006/relationships/hyperlink" Target="https://drive.google.com/file/d/1GHZkbtXX5Pa60zLmak63h3llGDEnLLbg/view?usp=drivesdk" TargetMode="External"/><Relationship Id="rId11129" Type="http://schemas.openxmlformats.org/officeDocument/2006/relationships/hyperlink" Target="https://drive.google.com/file/d/1cImed_11yQgFB6iawwDra45thp7Ru8Xh/view?usp=drivesdk" TargetMode="External"/><Relationship Id="rId11128" Type="http://schemas.openxmlformats.org/officeDocument/2006/relationships/hyperlink" Target="https://drive.google.com/file/d/1LHdxuWX1K_EhIwJNOnGJYtqIUXP98n7_/view?usp=drivesdk" TargetMode="External"/><Relationship Id="rId12459" Type="http://schemas.openxmlformats.org/officeDocument/2006/relationships/hyperlink" Target="https://drive.google.com/file/d/1t19wuIhEWDgBb3VPHIdB45tjQOk6r6EO/view?usp=drivesdk" TargetMode="External"/><Relationship Id="rId11127" Type="http://schemas.openxmlformats.org/officeDocument/2006/relationships/hyperlink" Target="https://drive.google.com/file/d/1JSdhbANA1Mx-1bHDCfmNr1OMI8lH5qEO/view?usp=drivesdk" TargetMode="External"/><Relationship Id="rId12458" Type="http://schemas.openxmlformats.org/officeDocument/2006/relationships/hyperlink" Target="https://drive.google.com/file/d/1NbmsE4L0SPKW9O7s-pzFAQosmeSloCTu/view?usp=drivesdk" TargetMode="External"/><Relationship Id="rId11126" Type="http://schemas.openxmlformats.org/officeDocument/2006/relationships/hyperlink" Target="https://drive.google.com/file/d/1G2UhtK4o6jkoRCR14FlRbNXpwvdqgcBq/view?usp=drivesdk" TargetMode="External"/><Relationship Id="rId12457" Type="http://schemas.openxmlformats.org/officeDocument/2006/relationships/hyperlink" Target="https://drive.google.com/file/d/1CiDo0jqpLEgQxgBjVeJPdfx37jYr959E/view?usp=drivesdk" TargetMode="External"/><Relationship Id="rId13788" Type="http://schemas.openxmlformats.org/officeDocument/2006/relationships/hyperlink" Target="https://drive.google.com/file/d/1fKBcgr-1FXfBxrSo1bv_JiLmq_8Inx5I/view?usp=drivesdk" TargetMode="External"/><Relationship Id="rId13789" Type="http://schemas.openxmlformats.org/officeDocument/2006/relationships/hyperlink" Target="https://drive.google.com/file/d/1nLQJhczYmTy7Zj7snY8X05CJR6PyZj1w/view?usp=drivesdk" TargetMode="External"/><Relationship Id="rId11121" Type="http://schemas.openxmlformats.org/officeDocument/2006/relationships/hyperlink" Target="https://drive.google.com/file/d/1rOZLlCsPd5m-I-YWIfjWVqrGEnEriQjz/view?usp=drivesdk" TargetMode="External"/><Relationship Id="rId12452" Type="http://schemas.openxmlformats.org/officeDocument/2006/relationships/hyperlink" Target="https://drive.google.com/file/d/1fAsisg2uGnCXtI-H4ZsOEqdy6JunvVfU/view?usp=drivesdk" TargetMode="External"/><Relationship Id="rId13784" Type="http://schemas.openxmlformats.org/officeDocument/2006/relationships/hyperlink" Target="https://drive.google.com/file/d/1TLOuWU2dqdHIJz4KQOrjLSL1nPDLFYgc/view?usp=drivesdk" TargetMode="External"/><Relationship Id="rId11120" Type="http://schemas.openxmlformats.org/officeDocument/2006/relationships/hyperlink" Target="https://drive.google.com/file/d/16vZn9UUavoMDH2-4lDyUFo0cxKVZtqWJ/view?usp=drivesdk" TargetMode="External"/><Relationship Id="rId12451" Type="http://schemas.openxmlformats.org/officeDocument/2006/relationships/hyperlink" Target="https://drive.google.com/file/d/1tFi8csOsbbW2ADqYtr7BOhTxZGZX-p7e/view?usp=drivesdk" TargetMode="External"/><Relationship Id="rId13785" Type="http://schemas.openxmlformats.org/officeDocument/2006/relationships/hyperlink" Target="https://drive.google.com/file/d/16dYPi5T5nerUWWemi1i7IhS2pWHPQjyX/view?usp=drivesdk" TargetMode="External"/><Relationship Id="rId12450" Type="http://schemas.openxmlformats.org/officeDocument/2006/relationships/hyperlink" Target="https://drive.google.com/file/d/1LavE3veUkq-qoRtPqw5_BCsXjGTdetMT/view?usp=drivesdk" TargetMode="External"/><Relationship Id="rId13786" Type="http://schemas.openxmlformats.org/officeDocument/2006/relationships/hyperlink" Target="https://drive.google.com/file/d/1hNvTWVkedWPTVSaFq5aioeTjY0MfxcWw/view?usp=drivesdk" TargetMode="External"/><Relationship Id="rId13787" Type="http://schemas.openxmlformats.org/officeDocument/2006/relationships/hyperlink" Target="https://drive.google.com/file/d/16AmIm8EZsxJVOeR1JfHn6W0L7o0XA_YM/view?usp=drivesdk" TargetMode="External"/><Relationship Id="rId11125" Type="http://schemas.openxmlformats.org/officeDocument/2006/relationships/hyperlink" Target="https://drive.google.com/file/d/1rhFXRsNjfhkZPd8EPiHmdKe27jsmOVN4/view?usp=drivesdk" TargetMode="External"/><Relationship Id="rId12456" Type="http://schemas.openxmlformats.org/officeDocument/2006/relationships/hyperlink" Target="https://drive.google.com/file/d/1M3BX56FnGPfZZDLw6_qY4ExWfBaGIs8H/view?usp=drivesdk" TargetMode="External"/><Relationship Id="rId13780" Type="http://schemas.openxmlformats.org/officeDocument/2006/relationships/hyperlink" Target="https://drive.google.com/file/d/1qmQwjYjQoRoFvWqUyLUIoSKYOEiNAKjc/view?usp=drivesdk" TargetMode="External"/><Relationship Id="rId11124" Type="http://schemas.openxmlformats.org/officeDocument/2006/relationships/hyperlink" Target="https://drive.google.com/file/d/1oeZEg4q-vocfJBUHnI0QgeFLVAkwKg7_/view?usp=drivesdk" TargetMode="External"/><Relationship Id="rId12455" Type="http://schemas.openxmlformats.org/officeDocument/2006/relationships/hyperlink" Target="https://drive.google.com/file/d/1tAZeeBCpgtwckJXf8cPDD9-ST0XfiKDA/view?usp=drivesdk" TargetMode="External"/><Relationship Id="rId13781" Type="http://schemas.openxmlformats.org/officeDocument/2006/relationships/hyperlink" Target="https://drive.google.com/file/d/1GTHkbdKyR0Ej4FaUTnSjy1kuqgCZvwmJ/view?usp=drivesdk" TargetMode="External"/><Relationship Id="rId11123" Type="http://schemas.openxmlformats.org/officeDocument/2006/relationships/hyperlink" Target="https://drive.google.com/file/d/1QcAx2RwvVll0_YcfoYMDkt5x6DgJ7UsG/view?usp=drivesdk" TargetMode="External"/><Relationship Id="rId12454" Type="http://schemas.openxmlformats.org/officeDocument/2006/relationships/hyperlink" Target="https://drive.google.com/file/d/1pyX0LXOduTnpbhMZqpEOXOp61P9bzjT6/view?usp=drivesdk" TargetMode="External"/><Relationship Id="rId13782" Type="http://schemas.openxmlformats.org/officeDocument/2006/relationships/hyperlink" Target="https://drive.google.com/file/d/1Oowyz4GBDCC3TKlj4eBbZwHqMDbwRodm/view?usp=drivesdk" TargetMode="External"/><Relationship Id="rId11122" Type="http://schemas.openxmlformats.org/officeDocument/2006/relationships/hyperlink" Target="https://drive.google.com/file/d/13udmOtZtQHGgEPxIW7403G6B-wZhGeHM/view?usp=drivesdk" TargetMode="External"/><Relationship Id="rId12453" Type="http://schemas.openxmlformats.org/officeDocument/2006/relationships/hyperlink" Target="https://drive.google.com/file/d/1zvjJhGs8UYRMA8lJbVu3UgZE27QKLCtO/view?usp=drivesdk" TargetMode="External"/><Relationship Id="rId13783" Type="http://schemas.openxmlformats.org/officeDocument/2006/relationships/hyperlink" Target="https://drive.google.com/file/d/1QsuOyaBhA3EU7d6XsN4KkvDZRmFl05s8/view?usp=drivesdk" TargetMode="External"/><Relationship Id="rId12470" Type="http://schemas.openxmlformats.org/officeDocument/2006/relationships/hyperlink" Target="https://drive.google.com/file/d/1Op9PmqwLT22dErVBnnTPYCmcKSQOdBtD/view?usp=drivesdk" TargetMode="External"/><Relationship Id="rId11139" Type="http://schemas.openxmlformats.org/officeDocument/2006/relationships/hyperlink" Target="https://drive.google.com/file/d/1hT-vQUkObIPBhaZam6yIsTZDzTCEnkIu/view?usp=drivesdk" TargetMode="External"/><Relationship Id="rId11138" Type="http://schemas.openxmlformats.org/officeDocument/2006/relationships/hyperlink" Target="https://drive.google.com/file/d/16rwiXme1Xx4zZK_VxdlVIt_i_zRmwCuZ/view?usp=drivesdk" TargetMode="External"/><Relationship Id="rId12469" Type="http://schemas.openxmlformats.org/officeDocument/2006/relationships/hyperlink" Target="https://drive.google.com/file/d/1KJIbxJMGT4GPrS8UoSIAGI6rI63AU3mU/view?usp=drivesdk" TargetMode="External"/><Relationship Id="rId11137" Type="http://schemas.openxmlformats.org/officeDocument/2006/relationships/hyperlink" Target="https://drive.google.com/file/d/17jhLrAHkkvHOYdNsLGRRwQ24XkuUG8V_/view?usp=drivesdk" TargetMode="External"/><Relationship Id="rId12468" Type="http://schemas.openxmlformats.org/officeDocument/2006/relationships/hyperlink" Target="https://drive.google.com/file/d/1Xha9HK_2l3ognxnNn2gHiPDQkycnT1rV/view?usp=drivesdk" TargetMode="External"/><Relationship Id="rId13799" Type="http://schemas.openxmlformats.org/officeDocument/2006/relationships/hyperlink" Target="https://drive.google.com/file/d/18Ecwar5oXw4E2JD1Wq5HHFgdUBeY2mc4/view?usp=drivesdk" TargetMode="External"/><Relationship Id="rId11132" Type="http://schemas.openxmlformats.org/officeDocument/2006/relationships/hyperlink" Target="https://drive.google.com/file/d/1OKClCkhqjocbe9hftmV8Y2SHXJqEopfo/view?usp=drivesdk" TargetMode="External"/><Relationship Id="rId12463" Type="http://schemas.openxmlformats.org/officeDocument/2006/relationships/hyperlink" Target="https://drive.google.com/file/d/18Hk2kAY3lCaOO6nOu0rOZvrwcmz38YQ9/view?usp=drivesdk" TargetMode="External"/><Relationship Id="rId13795" Type="http://schemas.openxmlformats.org/officeDocument/2006/relationships/hyperlink" Target="https://drive.google.com/file/d/1qdMsEAJ1FJgSCc6cS5--FSJKbp6ZGzvv/view?usp=drivesdk" TargetMode="External"/><Relationship Id="rId11131" Type="http://schemas.openxmlformats.org/officeDocument/2006/relationships/hyperlink" Target="https://drive.google.com/file/d/1bUo-cJlgfwAGB5SyI5rHpeVDaDt9VpOJ/view?usp=drivesdk" TargetMode="External"/><Relationship Id="rId12462" Type="http://schemas.openxmlformats.org/officeDocument/2006/relationships/hyperlink" Target="https://drive.google.com/file/d/1apRpY9HaUWKOaTxy3UkT1gvyv1k4gAOM/view?usp=drivesdk" TargetMode="External"/><Relationship Id="rId13796" Type="http://schemas.openxmlformats.org/officeDocument/2006/relationships/hyperlink" Target="https://drive.google.com/file/d/1FsqJjVAqtIEBmoF1IwDie_2uy8uikhii/view?usp=drivesdk" TargetMode="External"/><Relationship Id="rId11130" Type="http://schemas.openxmlformats.org/officeDocument/2006/relationships/hyperlink" Target="https://drive.google.com/file/d/1dtDfJIQIAld5IqwgvBUGkm9Cu_H2Zcbe/view?usp=drivesdk" TargetMode="External"/><Relationship Id="rId12461" Type="http://schemas.openxmlformats.org/officeDocument/2006/relationships/hyperlink" Target="https://drive.google.com/file/d/1uSnABermSJGWNf1oC3CV8Oha0vuH8zoR/view?usp=drivesdk" TargetMode="External"/><Relationship Id="rId13797" Type="http://schemas.openxmlformats.org/officeDocument/2006/relationships/hyperlink" Target="https://drive.google.com/file/d/1LVZCja1s0cwUsKGZIlCVxOA0MqQgui1u/view?usp=drivesdk" TargetMode="External"/><Relationship Id="rId12460" Type="http://schemas.openxmlformats.org/officeDocument/2006/relationships/hyperlink" Target="https://drive.google.com/file/d/1VZXz6w78MLDpVIUzx3qZdGP--7fwwYIX/view?usp=drivesdk" TargetMode="External"/><Relationship Id="rId13798" Type="http://schemas.openxmlformats.org/officeDocument/2006/relationships/hyperlink" Target="https://drive.google.com/file/d/1YONc6XJ-l2HhGoGa4uRgbvu6A3oG3mFc/view?usp=drivesdk" TargetMode="External"/><Relationship Id="rId11136" Type="http://schemas.openxmlformats.org/officeDocument/2006/relationships/hyperlink" Target="https://drive.google.com/file/d/1PdER3PIb4HN9jlwqUssLfi26lSteG0Tb/view?usp=drivesdk" TargetMode="External"/><Relationship Id="rId12467" Type="http://schemas.openxmlformats.org/officeDocument/2006/relationships/hyperlink" Target="https://drive.google.com/file/d/1Gok57ua3ISYwgKJGszkLx4U4QaVuhgbZ/view?usp=drivesdk" TargetMode="External"/><Relationship Id="rId13791" Type="http://schemas.openxmlformats.org/officeDocument/2006/relationships/hyperlink" Target="https://drive.google.com/file/d/1On0WuoBvjqM9ATBCaPJurAEzYDwtotpj/view?usp=drivesdk" TargetMode="External"/><Relationship Id="rId11135" Type="http://schemas.openxmlformats.org/officeDocument/2006/relationships/hyperlink" Target="https://drive.google.com/file/d/1G0zUZGfW3n0LxGK-vNyTGR54NgyNsi2c/view?usp=drivesdk" TargetMode="External"/><Relationship Id="rId12466" Type="http://schemas.openxmlformats.org/officeDocument/2006/relationships/hyperlink" Target="https://drive.google.com/file/d/1sZt0Z7o6HD8UUUwPUBOPchW7-KFs06QO/view?usp=drivesdk" TargetMode="External"/><Relationship Id="rId13792" Type="http://schemas.openxmlformats.org/officeDocument/2006/relationships/hyperlink" Target="https://drive.google.com/file/d/1TjVKhRFcWhRzSgwxGnH1kDyiZDiameXk/view?usp=drivesdk" TargetMode="External"/><Relationship Id="rId11134" Type="http://schemas.openxmlformats.org/officeDocument/2006/relationships/hyperlink" Target="https://drive.google.com/file/d/1Ond1mjCLhYrcJZ1OdAt34VvJLL0R4SpX/view?usp=drivesdk" TargetMode="External"/><Relationship Id="rId12465" Type="http://schemas.openxmlformats.org/officeDocument/2006/relationships/hyperlink" Target="https://drive.google.com/file/d/1ENOCQcUQkF1TU6KrZNbLjSza-b8w-JT5/view?usp=drivesdk" TargetMode="External"/><Relationship Id="rId13793" Type="http://schemas.openxmlformats.org/officeDocument/2006/relationships/hyperlink" Target="https://drive.google.com/file/d/1wb6eYwWmHDIkhxAoAJvL3IQRYcr0uEva/view?usp=drivesdk" TargetMode="External"/><Relationship Id="rId11133" Type="http://schemas.openxmlformats.org/officeDocument/2006/relationships/hyperlink" Target="https://drive.google.com/file/d/1vJ4F7ElkkkZdF_M7UoJPkwuNiYzR512A/view?usp=drivesdk" TargetMode="External"/><Relationship Id="rId12464" Type="http://schemas.openxmlformats.org/officeDocument/2006/relationships/hyperlink" Target="https://drive.google.com/file/d/1E7RnxSrgaVospjWu1m_b0lR-pyUAPI8k/view?usp=drivesdk" TargetMode="External"/><Relationship Id="rId13794" Type="http://schemas.openxmlformats.org/officeDocument/2006/relationships/hyperlink" Target="https://drive.google.com/file/d/14xUo0qMalJrOSXnMDfEkhDQCiPyKaRNE/view?usp=drivesdk" TargetMode="External"/><Relationship Id="rId11190" Type="http://schemas.openxmlformats.org/officeDocument/2006/relationships/hyperlink" Target="https://drive.google.com/file/d/16px0zaTjEsAGuW0ZUXWV9GLV133vAks9/view?usp=drivesdk" TargetMode="External"/><Relationship Id="rId11194" Type="http://schemas.openxmlformats.org/officeDocument/2006/relationships/hyperlink" Target="https://drive.google.com/file/d/1-igyN0SE7idKFiP72gTggKQSAojq6v8z/view?usp=drivesdk" TargetMode="External"/><Relationship Id="rId11193" Type="http://schemas.openxmlformats.org/officeDocument/2006/relationships/hyperlink" Target="https://drive.google.com/file/d/13Bjt_JDwI1m-JvNSwdezb1biZ1f3bxWN/view?usp=drivesdk" TargetMode="External"/><Relationship Id="rId11192" Type="http://schemas.openxmlformats.org/officeDocument/2006/relationships/hyperlink" Target="https://drive.google.com/file/d/14JPgdx56-p0SyBXNGglibXNUUZxtoZ2v/view?usp=drivesdk" TargetMode="External"/><Relationship Id="rId11191" Type="http://schemas.openxmlformats.org/officeDocument/2006/relationships/hyperlink" Target="https://drive.google.com/file/d/1cov9BB9fVNHoVR_NXLuBt_qYS9Qy83vF/view?usp=drivesdk" TargetMode="External"/><Relationship Id="rId7195" Type="http://schemas.openxmlformats.org/officeDocument/2006/relationships/hyperlink" Target="https://drive.google.com/file/d/1aAYLP5YfMQPtNhlC1O-vzxcc6Qm201hF/view?usp=drivesdk" TargetMode="External"/><Relationship Id="rId7194" Type="http://schemas.openxmlformats.org/officeDocument/2006/relationships/hyperlink" Target="https://drive.google.com/file/d/1NiWsSogOL0e2SemX96R-wrC9xGHPYxYc/view?usp=drivesdk" TargetMode="External"/><Relationship Id="rId7193" Type="http://schemas.openxmlformats.org/officeDocument/2006/relationships/hyperlink" Target="https://drive.google.com/file/d/1l2J7uy0NZbe2xXh92SlgbVLy0iu1futU/view?usp=drivesdk" TargetMode="External"/><Relationship Id="rId7192" Type="http://schemas.openxmlformats.org/officeDocument/2006/relationships/hyperlink" Target="https://drive.google.com/file/d/1gtfa7BIYIvRJC3lSCi9N7PU-R_HtdRDF/view?usp=drivesdk" TargetMode="External"/><Relationship Id="rId7199" Type="http://schemas.openxmlformats.org/officeDocument/2006/relationships/hyperlink" Target="https://drive.google.com/file/d/1gHnmLO57q-Sdg3mdRRP24-4wjtGXyjOU/view?usp=drivesdk" TargetMode="External"/><Relationship Id="rId7198" Type="http://schemas.openxmlformats.org/officeDocument/2006/relationships/hyperlink" Target="https://drive.google.com/file/d/1vPcE9WRSAJHeNtx3djVSqaYkOgEa-zcd/view?usp=drivesdk" TargetMode="External"/><Relationship Id="rId7197" Type="http://schemas.openxmlformats.org/officeDocument/2006/relationships/hyperlink" Target="https://drive.google.com/file/d/1map2Omx1dQH__noTLnaeJeaXco5Ieu4k/view?usp=drivesdk" TargetMode="External"/><Relationship Id="rId7196" Type="http://schemas.openxmlformats.org/officeDocument/2006/relationships/hyperlink" Target="https://drive.google.com/file/d/1Ji9gqAyTEcGt86Eyw0h-FbbM3T5821zA/view?usp=drivesdk" TargetMode="External"/><Relationship Id="rId11187" Type="http://schemas.openxmlformats.org/officeDocument/2006/relationships/hyperlink" Target="https://drive.google.com/file/d/1dn7S_uItfpTl1FX0liaYVSsqCIX8hDqO/view?usp=drivesdk" TargetMode="External"/><Relationship Id="rId11186" Type="http://schemas.openxmlformats.org/officeDocument/2006/relationships/hyperlink" Target="https://drive.google.com/file/d/1V26jUzNTtD5MD-n98__e0Gr6on3mfiY9/view?usp=drivesdk" TargetMode="External"/><Relationship Id="rId11185" Type="http://schemas.openxmlformats.org/officeDocument/2006/relationships/hyperlink" Target="https://drive.google.com/file/d/1zcBonx1lpVnGERLDAPu8hBZn_Q7Lg5am/view?usp=drivesdk" TargetMode="External"/><Relationship Id="rId11184" Type="http://schemas.openxmlformats.org/officeDocument/2006/relationships/hyperlink" Target="https://drive.google.com/file/d/1weGZQFEaVbnDXLMN495LR8zadE8qrxXL/view?usp=drivesdk" TargetMode="External"/><Relationship Id="rId11189" Type="http://schemas.openxmlformats.org/officeDocument/2006/relationships/hyperlink" Target="https://drive.google.com/file/d/1XdJoCOkklMiYDz6I8Sy8qH_7wBGtk110/view?usp=drivesdk" TargetMode="External"/><Relationship Id="rId11188" Type="http://schemas.openxmlformats.org/officeDocument/2006/relationships/hyperlink" Target="https://drive.google.com/file/d/11p_8W5gMlQ41hl-_tiq4gqK0WG0XgrZq/view?usp=drivesdk" TargetMode="External"/><Relationship Id="rId7191" Type="http://schemas.openxmlformats.org/officeDocument/2006/relationships/hyperlink" Target="https://drive.google.com/file/d/1UegLZZgR1kx66N8tuMWdeu3593Iaqli4/view?usp=drivesdk" TargetMode="External"/><Relationship Id="rId7190" Type="http://schemas.openxmlformats.org/officeDocument/2006/relationships/hyperlink" Target="https://drive.google.com/file/d/1U4Bl8JPAhzP-p7NvQi1Fhx02Y57-zs94/view?usp=drivesdk" TargetMode="External"/><Relationship Id="rId7184" Type="http://schemas.openxmlformats.org/officeDocument/2006/relationships/hyperlink" Target="https://drive.google.com/file/d/1T9HxMpf9xKb9b_chdN_j8_Je6SrgfCaa/view?usp=drivesdk" TargetMode="External"/><Relationship Id="rId7183" Type="http://schemas.openxmlformats.org/officeDocument/2006/relationships/hyperlink" Target="https://drive.google.com/file/d/1dL5nX1dp36UL4K0JSd3n2reRsb6vhOxq/view?usp=drivesdk" TargetMode="External"/><Relationship Id="rId7182" Type="http://schemas.openxmlformats.org/officeDocument/2006/relationships/hyperlink" Target="https://drive.google.com/file/d/1g-ti8seZ9_-YSf6MOb25i6ZqkZPXO_cH/view?usp=drivesdk" TargetMode="External"/><Relationship Id="rId7181" Type="http://schemas.openxmlformats.org/officeDocument/2006/relationships/hyperlink" Target="https://drive.google.com/file/d/1ZXtO1Mvq7uYem7r-ssYxlT4DorVC_Nqn/view?usp=drivesdk" TargetMode="External"/><Relationship Id="rId7188" Type="http://schemas.openxmlformats.org/officeDocument/2006/relationships/hyperlink" Target="https://drive.google.com/file/d/11Dj01w34uHxA50qFY0vUbE_Huav8OHdJ/view?usp=drivesdk" TargetMode="External"/><Relationship Id="rId7187" Type="http://schemas.openxmlformats.org/officeDocument/2006/relationships/hyperlink" Target="https://drive.google.com/file/d/1JqBrtEVYNmfxdNKsuSozXIKT7xScc-Mp/view?usp=drivesdk" TargetMode="External"/><Relationship Id="rId7186" Type="http://schemas.openxmlformats.org/officeDocument/2006/relationships/hyperlink" Target="https://drive.google.com/file/d/1FjlvPgFlJnZQ1KkY5Z-g_E9X7vubSiYD/view?usp=drivesdk" TargetMode="External"/><Relationship Id="rId7185" Type="http://schemas.openxmlformats.org/officeDocument/2006/relationships/hyperlink" Target="https://drive.google.com/file/d/1JILKkl9yi412eQHz7RfQlkewfc6ttIXa/view?usp=drivesdk" TargetMode="External"/><Relationship Id="rId11198" Type="http://schemas.openxmlformats.org/officeDocument/2006/relationships/hyperlink" Target="https://drive.google.com/file/d/18l6lyY5_mUEhNgHM2e_AVd0iF4Wn4jES/view?usp=drivesdk" TargetMode="External"/><Relationship Id="rId11197" Type="http://schemas.openxmlformats.org/officeDocument/2006/relationships/hyperlink" Target="https://drive.google.com/file/d/1N-RqXAxv7wUlYMHzJ50cCr-sCl22Nw0T/view?usp=drivesdk" TargetMode="External"/><Relationship Id="rId11196" Type="http://schemas.openxmlformats.org/officeDocument/2006/relationships/hyperlink" Target="https://drive.google.com/file/d/1ho7QsVRGz1JnmJ6ctBVXjA1kHVV_R3Vo/view?usp=drivesdk" TargetMode="External"/><Relationship Id="rId7189" Type="http://schemas.openxmlformats.org/officeDocument/2006/relationships/hyperlink" Target="https://drive.google.com/file/d/1v1GVV2qA-tmJZMVTfGEGm08b_ihkjT_r/view?usp=drivesdk" TargetMode="External"/><Relationship Id="rId11195" Type="http://schemas.openxmlformats.org/officeDocument/2006/relationships/hyperlink" Target="https://drive.google.com/file/d/14I9uy7rregWiSbIswClcfEslzAKE2IBd/view?usp=drivesdk" TargetMode="External"/><Relationship Id="rId11199" Type="http://schemas.openxmlformats.org/officeDocument/2006/relationships/hyperlink" Target="https://drive.google.com/file/d/1BnBqjJ28ZJdNwiuNB-OD6F7UlgpYTb8e/view?usp=drivesdk" TargetMode="External"/><Relationship Id="rId11172" Type="http://schemas.openxmlformats.org/officeDocument/2006/relationships/hyperlink" Target="https://drive.google.com/file/d/13viOavPXiQzuIS1T0vKlsVY74eK_40n2/view?usp=drivesdk" TargetMode="External"/><Relationship Id="rId11171" Type="http://schemas.openxmlformats.org/officeDocument/2006/relationships/hyperlink" Target="https://drive.google.com/file/d/1uSG-YKKHOAgvf2zSf_YKXjL9c4ai53o9/view?usp=drivesdk" TargetMode="External"/><Relationship Id="rId11170" Type="http://schemas.openxmlformats.org/officeDocument/2006/relationships/hyperlink" Target="https://drive.google.com/file/d/1Re6se5KzrJ0quw9yofnW_9wuVZQ7AEb0/view?usp=drivesdk" TargetMode="External"/><Relationship Id="rId11165" Type="http://schemas.openxmlformats.org/officeDocument/2006/relationships/hyperlink" Target="https://drive.google.com/file/d/17v7y4GEobm1sascWmyVFwx-uF0h2hjZ7/view?usp=drivesdk" TargetMode="External"/><Relationship Id="rId12496" Type="http://schemas.openxmlformats.org/officeDocument/2006/relationships/hyperlink" Target="https://drive.google.com/file/d/18PJR2HLBZPlFr2En3iumlDp7NbASTDuS/view?usp=drivesdk" TargetMode="External"/><Relationship Id="rId11164" Type="http://schemas.openxmlformats.org/officeDocument/2006/relationships/hyperlink" Target="https://drive.google.com/file/d/1okPda5dXKJ7t1GZcO7aEnXtrhVzzwi98/view?usp=drivesdk" TargetMode="External"/><Relationship Id="rId12495" Type="http://schemas.openxmlformats.org/officeDocument/2006/relationships/hyperlink" Target="https://drive.google.com/file/d/1Lg5hPuc9Y0FQvN9J4jV1VR3VnX9hX_f2/view?usp=drivesdk" TargetMode="External"/><Relationship Id="rId11163" Type="http://schemas.openxmlformats.org/officeDocument/2006/relationships/hyperlink" Target="https://drive.google.com/file/d/1gWGMYiuNstxt7MXg-i2TmIEcat_mk86T/view?usp=drivesdk" TargetMode="External"/><Relationship Id="rId12494" Type="http://schemas.openxmlformats.org/officeDocument/2006/relationships/hyperlink" Target="https://drive.google.com/file/d/1TPYS5Wpxd_M_zGHnZLmxgCx0BEQxhany/view?usp=drivesdk" TargetMode="External"/><Relationship Id="rId11162" Type="http://schemas.openxmlformats.org/officeDocument/2006/relationships/hyperlink" Target="https://drive.google.com/file/d/1bepGkOP74PM8RAAnzZ03KGVIvh0SyeEE/view?usp=drivesdk" TargetMode="External"/><Relationship Id="rId12493" Type="http://schemas.openxmlformats.org/officeDocument/2006/relationships/hyperlink" Target="https://drive.google.com/file/d/1KALztKCvqK4NeujgJvKrLAGzoTCIwDC4/view?usp=drivesdk" TargetMode="External"/><Relationship Id="rId11169" Type="http://schemas.openxmlformats.org/officeDocument/2006/relationships/hyperlink" Target="https://drive.google.com/file/d/1p55Iag9Cftaj6nNCdZ0nqMHMs-YPcMHq/view?usp=drivesdk" TargetMode="External"/><Relationship Id="rId11168" Type="http://schemas.openxmlformats.org/officeDocument/2006/relationships/hyperlink" Target="https://drive.google.com/file/d/1lUq-TEw12TPqvGbLBfEOtgFcWCwlUccC/view?usp=drivesdk" TargetMode="External"/><Relationship Id="rId12499" Type="http://schemas.openxmlformats.org/officeDocument/2006/relationships/hyperlink" Target="https://drive.google.com/file/d/1YrFDwhs3zUZ2zdnVch_UI6c-zfMPytQ4/view?usp=drivesdk" TargetMode="External"/><Relationship Id="rId11167" Type="http://schemas.openxmlformats.org/officeDocument/2006/relationships/hyperlink" Target="https://drive.google.com/file/d/1T8BAOPo-l7jE47tc_8cEIDWKiYQFFXfH/view?usp=drivesdk" TargetMode="External"/><Relationship Id="rId12498" Type="http://schemas.openxmlformats.org/officeDocument/2006/relationships/hyperlink" Target="https://drive.google.com/file/d/1A_PdcEAf1gbmFn1hssWx3PvFreZ4hUWR/view?usp=drivesdk" TargetMode="External"/><Relationship Id="rId11166" Type="http://schemas.openxmlformats.org/officeDocument/2006/relationships/hyperlink" Target="https://drive.google.com/file/d/1wDRnYVrPimd2lQ4WWMY5K2wHZV3RveQG/view?usp=drivesdk" TargetMode="External"/><Relationship Id="rId12497" Type="http://schemas.openxmlformats.org/officeDocument/2006/relationships/hyperlink" Target="https://drive.google.com/file/d/1owhBcIIMhkKpmj6-GtoEbTRSFArdi8Sf/view?usp=drivesdk" TargetMode="External"/><Relationship Id="rId11183" Type="http://schemas.openxmlformats.org/officeDocument/2006/relationships/hyperlink" Target="https://drive.google.com/file/d/11_khvDifRVYw-2qZB7W_3DjS0bTgBWMC/view?usp=drivesdk" TargetMode="External"/><Relationship Id="rId11182" Type="http://schemas.openxmlformats.org/officeDocument/2006/relationships/hyperlink" Target="https://drive.google.com/file/d/1jM3wU7fPfviHXRZfiBY_4xf3t_2K6AQS/view?usp=drivesdk" TargetMode="External"/><Relationship Id="rId11181" Type="http://schemas.openxmlformats.org/officeDocument/2006/relationships/hyperlink" Target="https://drive.google.com/file/d/1HdRpApw0nJCr5FTki3ZAJOtDV7JZ7KsB/view?usp=drivesdk" TargetMode="External"/><Relationship Id="rId11180" Type="http://schemas.openxmlformats.org/officeDocument/2006/relationships/hyperlink" Target="https://drive.google.com/file/d/1YJ8cF8b-HHbATYEWU3r5ZHNyZ0-aJAuo/view?usp=drivesdk" TargetMode="External"/><Relationship Id="rId11176" Type="http://schemas.openxmlformats.org/officeDocument/2006/relationships/hyperlink" Target="https://drive.google.com/file/d/1LMKo9tcpTR8yX9CvNxOjtuPTGN5Y-uE8/view?usp=drivesdk" TargetMode="External"/><Relationship Id="rId11175" Type="http://schemas.openxmlformats.org/officeDocument/2006/relationships/hyperlink" Target="https://drive.google.com/file/d/19Nc0MmRSvXU9_HsGxeFnGMrsVbo3qFAJ/view?usp=drivesdk" TargetMode="External"/><Relationship Id="rId11174" Type="http://schemas.openxmlformats.org/officeDocument/2006/relationships/hyperlink" Target="https://drive.google.com/file/d/1hqWnVMtFPRpEJsjcFpCVMs0wD0K9QwUU/view?usp=drivesdk" TargetMode="External"/><Relationship Id="rId11173" Type="http://schemas.openxmlformats.org/officeDocument/2006/relationships/hyperlink" Target="https://drive.google.com/file/d/10-m8-PQN9svNTTaiMFNud0QCzMG_uPZ0/view?usp=drivesdk" TargetMode="External"/><Relationship Id="rId11179" Type="http://schemas.openxmlformats.org/officeDocument/2006/relationships/hyperlink" Target="https://drive.google.com/file/d/1-gjca09R-NrRkr7wX27Z4ySVFk2KeyxR/view?usp=drivesdk" TargetMode="External"/><Relationship Id="rId11178" Type="http://schemas.openxmlformats.org/officeDocument/2006/relationships/hyperlink" Target="https://drive.google.com/file/d/11dHJ0Mwcmcqni0lwHPEH-sdbnZ1NIsik/view?usp=drivesdk" TargetMode="External"/><Relationship Id="rId11177" Type="http://schemas.openxmlformats.org/officeDocument/2006/relationships/hyperlink" Target="https://drive.google.com/file/d/1YwKSBPWDDGRNbo1ALPihqUnmutjDSadt/view?usp=drivesdk" TargetMode="External"/><Relationship Id="rId13726" Type="http://schemas.openxmlformats.org/officeDocument/2006/relationships/hyperlink" Target="https://drive.google.com/file/d/1YIm-hET3jDExiWkpK8qENwb0vqIpno-E/view?usp=drivesdk" TargetMode="External"/><Relationship Id="rId13727" Type="http://schemas.openxmlformats.org/officeDocument/2006/relationships/hyperlink" Target="https://drive.google.com/file/d/1j6XaOJgEuC1B6WofSEYET4IoT7mRZBcU/view?usp=drivesdk" TargetMode="External"/><Relationship Id="rId13728" Type="http://schemas.openxmlformats.org/officeDocument/2006/relationships/hyperlink" Target="https://drive.google.com/file/d/1TviQccfzZ8TnddOo5pmCy5vXOvMN2L7r/view?usp=drivesdk" TargetMode="External"/><Relationship Id="rId13729" Type="http://schemas.openxmlformats.org/officeDocument/2006/relationships/hyperlink" Target="https://drive.google.com/file/d/1fTG1bXtcFDth63UCJwDdS-kCmCBw6WEI/view?usp=drivesdk" TargetMode="External"/><Relationship Id="rId13722" Type="http://schemas.openxmlformats.org/officeDocument/2006/relationships/hyperlink" Target="https://drive.google.com/file/d/1q6o_Qxbi6atqYT8ybz6scNpUxEAKM04q/view?usp=drivesdk" TargetMode="External"/><Relationship Id="rId13723" Type="http://schemas.openxmlformats.org/officeDocument/2006/relationships/hyperlink" Target="https://drive.google.com/file/d/1HY3OPtCzWgPBY6Pb6LZettsuNZcKfa3-/view?usp=drivesdk" TargetMode="External"/><Relationship Id="rId13724" Type="http://schemas.openxmlformats.org/officeDocument/2006/relationships/hyperlink" Target="https://drive.google.com/file/d/1wZVIljWXLHy5x2Om6CMr9R5ou8-c460m/view?usp=drivesdk" TargetMode="External"/><Relationship Id="rId13725" Type="http://schemas.openxmlformats.org/officeDocument/2006/relationships/hyperlink" Target="https://drive.google.com/file/d/1mkfG79E9ZBFREebtTOALzl0OYSx9e2vK/view?usp=drivesdk" TargetMode="External"/><Relationship Id="rId13720" Type="http://schemas.openxmlformats.org/officeDocument/2006/relationships/hyperlink" Target="https://drive.google.com/file/d/18hS5xAzHJzSZpAQ71n7OlUt9M_0mP0pf/view?usp=drivesdk" TargetMode="External"/><Relationship Id="rId13721" Type="http://schemas.openxmlformats.org/officeDocument/2006/relationships/hyperlink" Target="https://drive.google.com/file/d/1YBDFS1g3e-w4QbtQhlezL3uJ5gV9xTal/view?usp=drivesdk" TargetMode="External"/><Relationship Id="rId12405" Type="http://schemas.openxmlformats.org/officeDocument/2006/relationships/hyperlink" Target="https://drive.google.com/file/d/1v_N6_PJt8RHRX-_TovY3Tc1UoK5hHhd0/view?usp=drivesdk" TargetMode="External"/><Relationship Id="rId13737" Type="http://schemas.openxmlformats.org/officeDocument/2006/relationships/hyperlink" Target="https://drive.google.com/file/d/1AMZmKHj-fzLzTNfOHS0kshdxE4tAj16R/view?usp=drivesdk" TargetMode="External"/><Relationship Id="rId12404" Type="http://schemas.openxmlformats.org/officeDocument/2006/relationships/hyperlink" Target="https://drive.google.com/file/d/1B-Ro_PfAkKbL5EkUEOhw1Zc2zTW81Q4r/view?usp=drivesdk" TargetMode="External"/><Relationship Id="rId13738" Type="http://schemas.openxmlformats.org/officeDocument/2006/relationships/hyperlink" Target="https://drive.google.com/file/d/1r10AosIhFd1I0uXbZnAykF-CtTi2bo2Q/view?usp=drivesdk" TargetMode="External"/><Relationship Id="rId12403" Type="http://schemas.openxmlformats.org/officeDocument/2006/relationships/hyperlink" Target="https://drive.google.com/file/d/1TgBeZtyRlSnlyUCOYd8IjM4vJeZfRJyp/view?usp=drivesdk" TargetMode="External"/><Relationship Id="rId13739" Type="http://schemas.openxmlformats.org/officeDocument/2006/relationships/hyperlink" Target="https://drive.google.com/file/d/1-a4vERTaGtLz3cBPQxmgXKRsk8bO7RLI/view?usp=drivesdk" TargetMode="External"/><Relationship Id="rId12402" Type="http://schemas.openxmlformats.org/officeDocument/2006/relationships/hyperlink" Target="https://drive.google.com/file/d/1IRPVM0c6PGZyIuiVQDl8BnsWV6U-dNF6/view?usp=drivesdk" TargetMode="External"/><Relationship Id="rId12409" Type="http://schemas.openxmlformats.org/officeDocument/2006/relationships/hyperlink" Target="https://drive.google.com/file/d/1rBfTp6L17oAlKIXxvjOzA_95JZFhYVPY/view?usp=drivesdk" TargetMode="External"/><Relationship Id="rId13733" Type="http://schemas.openxmlformats.org/officeDocument/2006/relationships/hyperlink" Target="https://drive.google.com/file/d/1m1v7QYTUSUqijrZgyOz8-BnymI2AW166/view?usp=drivesdk" TargetMode="External"/><Relationship Id="rId12408" Type="http://schemas.openxmlformats.org/officeDocument/2006/relationships/hyperlink" Target="https://drive.google.com/file/d/1a88o5UNGaCvOgqlXzOSbNbkjunRZ1rRP/view?usp=drivesdk" TargetMode="External"/><Relationship Id="rId13734" Type="http://schemas.openxmlformats.org/officeDocument/2006/relationships/hyperlink" Target="https://drive.google.com/file/d/1J0OmGdBWSvdMd_I33W5ngHjI-WcjRMrt/view?usp=drivesdk" TargetMode="External"/><Relationship Id="rId12407" Type="http://schemas.openxmlformats.org/officeDocument/2006/relationships/hyperlink" Target="https://drive.google.com/file/d/1KWsQ5Gs22UoeBAAqe9KOjGf7CWlLfVBP/view?usp=drivesdk" TargetMode="External"/><Relationship Id="rId13735" Type="http://schemas.openxmlformats.org/officeDocument/2006/relationships/hyperlink" Target="https://drive.google.com/file/d/11o8aidWPR6HXWaUT-VjhvO1GDzeSOM_f/view?usp=drivesdk" TargetMode="External"/><Relationship Id="rId12406" Type="http://schemas.openxmlformats.org/officeDocument/2006/relationships/hyperlink" Target="https://drive.google.com/file/d/1UeCs54xRN4Xahq8Z84UGLKQ9IsHp1gN5/view?usp=drivesdk" TargetMode="External"/><Relationship Id="rId13736" Type="http://schemas.openxmlformats.org/officeDocument/2006/relationships/hyperlink" Target="https://drive.google.com/file/d/1dHroSgdBV7HqhI6HBR0RD01Oi1mug4cS/view?usp=drivesdk" TargetMode="External"/><Relationship Id="rId13730" Type="http://schemas.openxmlformats.org/officeDocument/2006/relationships/hyperlink" Target="https://drive.google.com/file/d/1B5-VBu5r9RI9hYYq7Hr7CFx-qgwg26Al/view?usp=drivesdk" TargetMode="External"/><Relationship Id="rId13731" Type="http://schemas.openxmlformats.org/officeDocument/2006/relationships/hyperlink" Target="https://drive.google.com/file/d/1HmY_US1WPNul9ZKwW96xnSxSQaf7NXdU/view?usp=drivesdk" TargetMode="External"/><Relationship Id="rId13732" Type="http://schemas.openxmlformats.org/officeDocument/2006/relationships/hyperlink" Target="https://drive.google.com/file/d/1TE7opshS4jR2F0pMCrQrL3KsFIvmgtA6/view?usp=drivesdk" TargetMode="External"/><Relationship Id="rId12401" Type="http://schemas.openxmlformats.org/officeDocument/2006/relationships/hyperlink" Target="https://drive.google.com/file/d/12H7mMi_8ADVO9wNXrXJwAyTqhFLmXivL/view?usp=drivesdk" TargetMode="External"/><Relationship Id="rId12400" Type="http://schemas.openxmlformats.org/officeDocument/2006/relationships/hyperlink" Target="https://drive.google.com/file/d/1Sx9ID8E_wBk62YFtaREQMKOiITvLcP7g/view?usp=drivesdk" TargetMode="External"/><Relationship Id="rId13708" Type="http://schemas.openxmlformats.org/officeDocument/2006/relationships/hyperlink" Target="https://drive.google.com/file/d/1sI5Yq3nJE1xYG1-zQxkgXizFYK5wsMPa/view?usp=drivesdk" TargetMode="External"/><Relationship Id="rId13709" Type="http://schemas.openxmlformats.org/officeDocument/2006/relationships/hyperlink" Target="https://drive.google.com/file/d/1UHn5bMyar6rgrJuCluuiNS_aHGOgCjY9/view?usp=drivesdk" TargetMode="External"/><Relationship Id="rId13704" Type="http://schemas.openxmlformats.org/officeDocument/2006/relationships/hyperlink" Target="https://drive.google.com/file/d/1D1KoKE0WDW4xsxCV5PxKIP-7eB82-KSG/view?usp=drivesdk" TargetMode="External"/><Relationship Id="rId13705" Type="http://schemas.openxmlformats.org/officeDocument/2006/relationships/hyperlink" Target="https://drive.google.com/file/d/1oSgtdURCcCn9h3mhLQYKT1e6V4TdAKx2/view?usp=drivesdk" TargetMode="External"/><Relationship Id="rId13706" Type="http://schemas.openxmlformats.org/officeDocument/2006/relationships/hyperlink" Target="https://drive.google.com/file/d/1h-88jWmXA2dvHgIxmemBlbJ1trSJgWBK/view?usp=drivesdk" TargetMode="External"/><Relationship Id="rId13707" Type="http://schemas.openxmlformats.org/officeDocument/2006/relationships/hyperlink" Target="https://drive.google.com/file/d/17KtAXNK-VJUMDgvVEEBTLGcTYbHLD_SQ/view?usp=drivesdk" TargetMode="External"/><Relationship Id="rId13700" Type="http://schemas.openxmlformats.org/officeDocument/2006/relationships/hyperlink" Target="https://drive.google.com/file/d/13Sx1Ab3laL9T_kIKRvVSnzeZp6IxJuzq/view?usp=drivesdk" TargetMode="External"/><Relationship Id="rId13701" Type="http://schemas.openxmlformats.org/officeDocument/2006/relationships/hyperlink" Target="https://drive.google.com/file/d/1-kp5KbILBjV_YFPlIgC-H27IObgKI-AO/view?usp=drivesdk" TargetMode="External"/><Relationship Id="rId13702" Type="http://schemas.openxmlformats.org/officeDocument/2006/relationships/hyperlink" Target="https://drive.google.com/file/d/1E-ktRzJHv3mbB3ArJCpk82ML_B1iMDiD/view?usp=drivesdk" TargetMode="External"/><Relationship Id="rId13703" Type="http://schemas.openxmlformats.org/officeDocument/2006/relationships/hyperlink" Target="https://drive.google.com/file/d/1DRko8JzLrHrcr6dBZPrtwqAY4vtmgbbV/view?usp=drivesdk" TargetMode="External"/><Relationship Id="rId13719" Type="http://schemas.openxmlformats.org/officeDocument/2006/relationships/hyperlink" Target="https://drive.google.com/file/d/17i0oiD2f_M7v5r8KPO692duy31qEr_Y8/view?usp=drivesdk" TargetMode="External"/><Relationship Id="rId13715" Type="http://schemas.openxmlformats.org/officeDocument/2006/relationships/hyperlink" Target="https://drive.google.com/file/d/14abLvuI6ZWvSIVGmXGxL1v9Nz0dH-yqY/view?usp=drivesdk" TargetMode="External"/><Relationship Id="rId13716" Type="http://schemas.openxmlformats.org/officeDocument/2006/relationships/hyperlink" Target="https://drive.google.com/file/d/1LUYspi6CaB_ewaMqqeAqY79GuFHSZm7s/view?usp=drivesdk" TargetMode="External"/><Relationship Id="rId13717" Type="http://schemas.openxmlformats.org/officeDocument/2006/relationships/hyperlink" Target="https://drive.google.com/file/d/12vwpDUA-KfAyYQLCdNyMJqyqyOzZk_e_/view?usp=drivesdk" TargetMode="External"/><Relationship Id="rId13718" Type="http://schemas.openxmlformats.org/officeDocument/2006/relationships/hyperlink" Target="https://drive.google.com/file/d/1R8dJkyrWRQLSZxP_cTOJRelCL9c1RiUM/view?usp=drivesdk" TargetMode="External"/><Relationship Id="rId13711" Type="http://schemas.openxmlformats.org/officeDocument/2006/relationships/hyperlink" Target="https://drive.google.com/file/d/1rqFyEiIZTq4zWE0bcSxW5b9JmkukUuel/view?usp=drivesdk" TargetMode="External"/><Relationship Id="rId13712" Type="http://schemas.openxmlformats.org/officeDocument/2006/relationships/hyperlink" Target="https://drive.google.com/file/d/16Ybm8Lgbn1kp1R9x0ryA5Ufj68DC5ce0/view?usp=drivesdk" TargetMode="External"/><Relationship Id="rId13713" Type="http://schemas.openxmlformats.org/officeDocument/2006/relationships/hyperlink" Target="https://drive.google.com/file/d/1YnV22bT05uK6XzNcVKWWRGyC2EGIGAIl/view?usp=drivesdk" TargetMode="External"/><Relationship Id="rId13714" Type="http://schemas.openxmlformats.org/officeDocument/2006/relationships/hyperlink" Target="https://drive.google.com/file/d/1jRxKsULr2bFo71yjs_6A3WyGP83ry0dB/view?usp=drivesdk" TargetMode="External"/><Relationship Id="rId13710" Type="http://schemas.openxmlformats.org/officeDocument/2006/relationships/hyperlink" Target="https://drive.google.com/file/d/1b7HPvviHq39SA3Ko3K_FuwGM3engF5yt/view?usp=drivesdk" TargetMode="External"/><Relationship Id="rId11107" Type="http://schemas.openxmlformats.org/officeDocument/2006/relationships/hyperlink" Target="https://drive.google.com/file/d/1Pv85C6uY4MBGWBzMhyZXnAo6-y7XigUB/view?usp=drivesdk" TargetMode="External"/><Relationship Id="rId12438" Type="http://schemas.openxmlformats.org/officeDocument/2006/relationships/hyperlink" Target="https://drive.google.com/file/d/1NgF6dA_7XZ2fQe0fMWdYea3OzBf5vaB5/view?usp=drivesdk" TargetMode="External"/><Relationship Id="rId11106" Type="http://schemas.openxmlformats.org/officeDocument/2006/relationships/hyperlink" Target="https://drive.google.com/file/d/1tHft9EPYGkR1U7fD9P01ADmEizpCpQWg/view?usp=drivesdk" TargetMode="External"/><Relationship Id="rId12437" Type="http://schemas.openxmlformats.org/officeDocument/2006/relationships/hyperlink" Target="https://drive.google.com/file/d/1jLBfljcY74vuQ0rswzWTYmb0Y2nX3VOp/view?usp=drivesdk" TargetMode="External"/><Relationship Id="rId11105" Type="http://schemas.openxmlformats.org/officeDocument/2006/relationships/hyperlink" Target="https://drive.google.com/file/d/1W3eT0woifT7LWb9ZTbPZ5UiHKqmV-hXf/view?usp=drivesdk" TargetMode="External"/><Relationship Id="rId12436" Type="http://schemas.openxmlformats.org/officeDocument/2006/relationships/hyperlink" Target="https://drive.google.com/file/d/1OMOq2o49gPXc3qIXijMEwYgRz5aM6pRC/view?usp=drivesdk" TargetMode="External"/><Relationship Id="rId11104" Type="http://schemas.openxmlformats.org/officeDocument/2006/relationships/hyperlink" Target="https://drive.google.com/file/d/1VbN1hGKl3zJSS0l_epS5dnMpBmDQ9xQm/view?usp=drivesdk" TargetMode="External"/><Relationship Id="rId12435" Type="http://schemas.openxmlformats.org/officeDocument/2006/relationships/hyperlink" Target="https://drive.google.com/file/d/1XYpWqXcA-escrokcqOv3RyPnhNxSl3zg/view?usp=drivesdk" TargetMode="External"/><Relationship Id="rId13766" Type="http://schemas.openxmlformats.org/officeDocument/2006/relationships/hyperlink" Target="https://drive.google.com/file/d/1K_Dmw0aXBzl1sY7Jsw0G18TsahVDkrmC/view?usp=drivesdk" TargetMode="External"/><Relationship Id="rId13767" Type="http://schemas.openxmlformats.org/officeDocument/2006/relationships/hyperlink" Target="https://drive.google.com/file/d/1PWBtnoGo8trXqI0lEg3Jie9QxUmLwVzF/view?usp=drivesdk" TargetMode="External"/><Relationship Id="rId11109" Type="http://schemas.openxmlformats.org/officeDocument/2006/relationships/hyperlink" Target="https://drive.google.com/file/d/1OES-zkpCorUIgiFd0gtZcU_2SKYDdw1s/view?usp=drivesdk" TargetMode="External"/><Relationship Id="rId13768" Type="http://schemas.openxmlformats.org/officeDocument/2006/relationships/hyperlink" Target="https://drive.google.com/file/d/1wyufUA3xN58MDj2udAtj50cDM59SkFU1/view?usp=drivesdk" TargetMode="External"/><Relationship Id="rId11108" Type="http://schemas.openxmlformats.org/officeDocument/2006/relationships/hyperlink" Target="https://drive.google.com/file/d/1Dt4kP3Ho_e84W6aHRFuv3RiJOxizhw1x/view?usp=drivesdk" TargetMode="External"/><Relationship Id="rId12439" Type="http://schemas.openxmlformats.org/officeDocument/2006/relationships/hyperlink" Target="https://drive.google.com/file/d/1Cna8Wxu4UHhNgj2NV5f0KJyypKh-px08/view?usp=drivesdk" TargetMode="External"/><Relationship Id="rId13769" Type="http://schemas.openxmlformats.org/officeDocument/2006/relationships/hyperlink" Target="https://drive.google.com/file/d/1mN1OuHmaPvYN-zI8aGQb2FzIHpOyWqxb/view?usp=drivesdk" TargetMode="External"/><Relationship Id="rId12430" Type="http://schemas.openxmlformats.org/officeDocument/2006/relationships/hyperlink" Target="https://drive.google.com/file/d/1HeHn7D0vQkdvA8uvxVCWSYsAdYxeV-Qt/view?usp=drivesdk" TargetMode="External"/><Relationship Id="rId13762" Type="http://schemas.openxmlformats.org/officeDocument/2006/relationships/hyperlink" Target="https://drive.google.com/file/d/1p4D9YEjdoU58KKZ6Lag9v9lXR6aGMY0C/view?usp=drivesdk" TargetMode="External"/><Relationship Id="rId13763" Type="http://schemas.openxmlformats.org/officeDocument/2006/relationships/hyperlink" Target="https://drive.google.com/file/d/1JDKL5cto8QGhTUK_rpbbka-VccrsIWm2/view?usp=drivesdk" TargetMode="External"/><Relationship Id="rId13764" Type="http://schemas.openxmlformats.org/officeDocument/2006/relationships/hyperlink" Target="https://drive.google.com/file/d/1A0Cpm50IGVm5p5tJXFwHNKPhmNhvEIL4/view?usp=drivesdk" TargetMode="External"/><Relationship Id="rId13765" Type="http://schemas.openxmlformats.org/officeDocument/2006/relationships/hyperlink" Target="https://drive.google.com/file/d/1zn31q2hl7ly4j97y7xSb9MCJhVUI6hA3/view?usp=drivesdk" TargetMode="External"/><Relationship Id="rId11103" Type="http://schemas.openxmlformats.org/officeDocument/2006/relationships/hyperlink" Target="https://drive.google.com/file/d/1VmUhOnxhXVoC8VFG8EdJxh5a6ta9WCSX/view?usp=drivesdk" TargetMode="External"/><Relationship Id="rId12434" Type="http://schemas.openxmlformats.org/officeDocument/2006/relationships/hyperlink" Target="https://drive.google.com/file/d/1c6sSFsKRe0wQIpd0znCFBvx5AJbdHAtw/view?usp=drivesdk" TargetMode="External"/><Relationship Id="rId11102" Type="http://schemas.openxmlformats.org/officeDocument/2006/relationships/hyperlink" Target="https://drive.google.com/file/d/1PxxR9YAUPkyO6ptLhozA7JDUuB3G_0Ay/view?usp=drivesdk" TargetMode="External"/><Relationship Id="rId12433" Type="http://schemas.openxmlformats.org/officeDocument/2006/relationships/hyperlink" Target="https://drive.google.com/file/d/1FDFV7jERUtRSqlLy1q9kjq0tzIUVie_-/view?usp=drivesdk" TargetMode="External"/><Relationship Id="rId11101" Type="http://schemas.openxmlformats.org/officeDocument/2006/relationships/hyperlink" Target="https://drive.google.com/file/d/1iU7FgqVhM0BV-T4IGNMxt7Cugiv4_niO/view?usp=drivesdk" TargetMode="External"/><Relationship Id="rId12432" Type="http://schemas.openxmlformats.org/officeDocument/2006/relationships/hyperlink" Target="https://drive.google.com/file/d/15i-nZio1DUcUASOnm4vX7ox2r898KW7j/view?usp=drivesdk" TargetMode="External"/><Relationship Id="rId13760" Type="http://schemas.openxmlformats.org/officeDocument/2006/relationships/hyperlink" Target="https://drive.google.com/file/d/189U7IMssRWuZe4O4g93qzLKvowVzX1Vw/view?usp=drivesdk" TargetMode="External"/><Relationship Id="rId11100" Type="http://schemas.openxmlformats.org/officeDocument/2006/relationships/hyperlink" Target="https://drive.google.com/file/d/1w99OCE_YLKIG1-Cf6UpDBzD4He0W3Vxq/view?usp=drivesdk" TargetMode="External"/><Relationship Id="rId12431" Type="http://schemas.openxmlformats.org/officeDocument/2006/relationships/hyperlink" Target="https://drive.google.com/file/d/1JUnpSwnR2WSAdx1ts1Pt3a2TsHnqiAAw/view?usp=drivesdk" TargetMode="External"/><Relationship Id="rId13761" Type="http://schemas.openxmlformats.org/officeDocument/2006/relationships/hyperlink" Target="https://drive.google.com/file/d/1d7IvZ7ilrtla81UdRWREyEY-RHT9nMvx/view?usp=drivesdk" TargetMode="External"/><Relationship Id="rId11118" Type="http://schemas.openxmlformats.org/officeDocument/2006/relationships/hyperlink" Target="https://drive.google.com/file/d/1otrSIAacJDLKP29m8oFM3FMk-eCS4Rb4/view?usp=drivesdk" TargetMode="External"/><Relationship Id="rId12449" Type="http://schemas.openxmlformats.org/officeDocument/2006/relationships/hyperlink" Target="https://drive.google.com/file/d/147HEED0LVvqBZVJGsZHz28ueeIaTxNf9/view?usp=drivesdk" TargetMode="External"/><Relationship Id="rId11117" Type="http://schemas.openxmlformats.org/officeDocument/2006/relationships/hyperlink" Target="https://drive.google.com/file/d/1IarOv9nAZlejGjSWMVPmrtySKHaU6Ms2/view?usp=drivesdk" TargetMode="External"/><Relationship Id="rId12448" Type="http://schemas.openxmlformats.org/officeDocument/2006/relationships/hyperlink" Target="https://drive.google.com/file/d/1aU9y9v7i7BZMA-Xl5qGraO4Neo8rKsvf/view?usp=drivesdk" TargetMode="External"/><Relationship Id="rId11116" Type="http://schemas.openxmlformats.org/officeDocument/2006/relationships/hyperlink" Target="https://drive.google.com/file/d/18q3hmtQaUVKbSKQha5ZHvFK4XN-fHTwg/view?usp=drivesdk" TargetMode="External"/><Relationship Id="rId12447" Type="http://schemas.openxmlformats.org/officeDocument/2006/relationships/hyperlink" Target="https://drive.google.com/file/d/1B4seRZ3pq4kFtvUH0SRWcd2X-m916y70/view?usp=drivesdk" TargetMode="External"/><Relationship Id="rId11115" Type="http://schemas.openxmlformats.org/officeDocument/2006/relationships/hyperlink" Target="https://drive.google.com/file/d/16ctSK5Y2oRs5pykvNtMR7kp8tyZGD6nJ/view?usp=drivesdk" TargetMode="External"/><Relationship Id="rId12446" Type="http://schemas.openxmlformats.org/officeDocument/2006/relationships/hyperlink" Target="https://drive.google.com/file/d/18yuHBAQduMxHCjo3SioS4ACnVRcwTE1L/view?usp=drivesdk" TargetMode="External"/><Relationship Id="rId13777" Type="http://schemas.openxmlformats.org/officeDocument/2006/relationships/hyperlink" Target="https://drive.google.com/file/d/1VObxIFXxk21EPs-hIzrg_mzTjVnTvI5Z/view?usp=drivesdk" TargetMode="External"/><Relationship Id="rId13778" Type="http://schemas.openxmlformats.org/officeDocument/2006/relationships/hyperlink" Target="https://drive.google.com/file/d/1BnwSqm1cv4LUmjLR87HrG-FiQPHGvPaJ/view?usp=drivesdk" TargetMode="External"/><Relationship Id="rId13779" Type="http://schemas.openxmlformats.org/officeDocument/2006/relationships/hyperlink" Target="https://drive.google.com/file/d/1ZCgTR0i7fyFI1QRx9Xpc0uStn6g38RKT/view?usp=drivesdk" TargetMode="External"/><Relationship Id="rId11119" Type="http://schemas.openxmlformats.org/officeDocument/2006/relationships/hyperlink" Target="https://drive.google.com/file/d/1M0olncBXozB2STWHjHU1IHIWM6qcgIe9/view?usp=drivesdk" TargetMode="External"/><Relationship Id="rId11110" Type="http://schemas.openxmlformats.org/officeDocument/2006/relationships/hyperlink" Target="https://drive.google.com/file/d/1pYI9ktppOHMY3lKiloxcK-hR6Q6l8-XH/view?usp=drivesdk" TargetMode="External"/><Relationship Id="rId12441" Type="http://schemas.openxmlformats.org/officeDocument/2006/relationships/hyperlink" Target="https://drive.google.com/file/d/1fgGimlBwOEwFl1BBAC2ajfr0cDqTmOqp/view?usp=drivesdk" TargetMode="External"/><Relationship Id="rId13773" Type="http://schemas.openxmlformats.org/officeDocument/2006/relationships/hyperlink" Target="https://drive.google.com/file/d/1IjnIJ2FWA6smprIqAsIatgtYOT12qCrG/view?usp=drivesdk" TargetMode="External"/><Relationship Id="rId12440" Type="http://schemas.openxmlformats.org/officeDocument/2006/relationships/hyperlink" Target="https://drive.google.com/file/d/1rt7dpVybpH-qHBDqIqQXfDBTuOUtggHo/view?usp=drivesdk" TargetMode="External"/><Relationship Id="rId13774" Type="http://schemas.openxmlformats.org/officeDocument/2006/relationships/hyperlink" Target="https://drive.google.com/file/d/1K6f_jUwwFJ3Aj3GLY6PQC6Xp66-VmtKZ/view?usp=drivesdk" TargetMode="External"/><Relationship Id="rId13775" Type="http://schemas.openxmlformats.org/officeDocument/2006/relationships/hyperlink" Target="https://drive.google.com/file/d/1Z6LO8Gqv8fxdYmoqMJtMHnS2GVuKsZPU/view?usp=drivesdk" TargetMode="External"/><Relationship Id="rId13776" Type="http://schemas.openxmlformats.org/officeDocument/2006/relationships/hyperlink" Target="https://drive.google.com/file/d/1i3eUrnGf8x9sWMHLkvxxNNHGdEu11wlS/view?usp=drivesdk" TargetMode="External"/><Relationship Id="rId11114" Type="http://schemas.openxmlformats.org/officeDocument/2006/relationships/hyperlink" Target="https://drive.google.com/file/d/1_JlJ0QnUaZPT-uRomTC8Uq-U_RMawr_1/view?usp=drivesdk" TargetMode="External"/><Relationship Id="rId12445" Type="http://schemas.openxmlformats.org/officeDocument/2006/relationships/hyperlink" Target="https://drive.google.com/file/d/1B9IBPbdpKyKBcz1nNMMjuiLGyrHFIwg6/view?usp=drivesdk" TargetMode="External"/><Relationship Id="rId11113" Type="http://schemas.openxmlformats.org/officeDocument/2006/relationships/hyperlink" Target="https://drive.google.com/file/d/1rXwbJ6zzpS9j41T8YVAZBM_fUAo_WUC6/view?usp=drivesdk" TargetMode="External"/><Relationship Id="rId12444" Type="http://schemas.openxmlformats.org/officeDocument/2006/relationships/hyperlink" Target="https://drive.google.com/file/d/1LOPBdvNmQvkZZqGyAzyD_QNWm6qzvBbS/view?usp=drivesdk" TargetMode="External"/><Relationship Id="rId13770" Type="http://schemas.openxmlformats.org/officeDocument/2006/relationships/hyperlink" Target="https://drive.google.com/file/d/1JgOdXBeCmEG4vYzeuTATM31gl_Z5XXQ1/view?usp=drivesdk" TargetMode="External"/><Relationship Id="rId11112" Type="http://schemas.openxmlformats.org/officeDocument/2006/relationships/hyperlink" Target="https://drive.google.com/file/d/1g6jatmJunS8jAWu5Mypi6XIyBL98Fljc/view?usp=drivesdk" TargetMode="External"/><Relationship Id="rId12443" Type="http://schemas.openxmlformats.org/officeDocument/2006/relationships/hyperlink" Target="https://drive.google.com/file/d/1eMeAAwpAd1LAl1YBAp5zGIaqOJA0TDMx/view?usp=drivesdk" TargetMode="External"/><Relationship Id="rId13771" Type="http://schemas.openxmlformats.org/officeDocument/2006/relationships/hyperlink" Target="https://drive.google.com/file/d/1-_Sf7hZUDKzq_5N0_xq4O6J_4Fi-_9fs/view?usp=drivesdk" TargetMode="External"/><Relationship Id="rId11111" Type="http://schemas.openxmlformats.org/officeDocument/2006/relationships/hyperlink" Target="https://drive.google.com/file/d/1pXDrXIA-AEh24GpROIpw1PZAzddc9_oZ/view?usp=drivesdk" TargetMode="External"/><Relationship Id="rId12442" Type="http://schemas.openxmlformats.org/officeDocument/2006/relationships/hyperlink" Target="https://drive.google.com/file/d/1hrs8G7Un_EjZ0A5ScSHtyMLtYGBRteG6/view?usp=drivesdk" TargetMode="External"/><Relationship Id="rId13772" Type="http://schemas.openxmlformats.org/officeDocument/2006/relationships/hyperlink" Target="https://drive.google.com/file/d/1FbkKiHJ3jmr-OjXhsury4QnfWf_D-iFJ/view?usp=drivesdk" TargetMode="External"/><Relationship Id="rId12416" Type="http://schemas.openxmlformats.org/officeDocument/2006/relationships/hyperlink" Target="https://drive.google.com/file/d/1hjYKS1d_9ffhz6Os9XHd5ckKekXHdI2r/view?usp=drivesdk" TargetMode="External"/><Relationship Id="rId13748" Type="http://schemas.openxmlformats.org/officeDocument/2006/relationships/hyperlink" Target="https://drive.google.com/file/d/1HnkGK6_4_qLCbSidnqDPc4n1DeemZFqA/view?usp=drivesdk" TargetMode="External"/><Relationship Id="rId12415" Type="http://schemas.openxmlformats.org/officeDocument/2006/relationships/hyperlink" Target="https://drive.google.com/file/d/10Tf5mGt9mq1sOn8n8ouTIk55l0iggi67/view?usp=drivesdk" TargetMode="External"/><Relationship Id="rId13749" Type="http://schemas.openxmlformats.org/officeDocument/2006/relationships/hyperlink" Target="https://drive.google.com/file/d/1Ox6o-N3xWhR5TC0JKGjkRckzWDuGMP-M/view?usp=drivesdk" TargetMode="External"/><Relationship Id="rId12414" Type="http://schemas.openxmlformats.org/officeDocument/2006/relationships/hyperlink" Target="https://drive.google.com/file/d/1p4JoLJVO7-M7-MKJ_BwQhcrpCiy2KzO6/view?usp=drivesdk" TargetMode="External"/><Relationship Id="rId12413" Type="http://schemas.openxmlformats.org/officeDocument/2006/relationships/hyperlink" Target="https://drive.google.com/file/d/1NXFl4iSNHw-HGIujGhCqHG0g5IaGckuA/view?usp=drivesdk" TargetMode="External"/><Relationship Id="rId13744" Type="http://schemas.openxmlformats.org/officeDocument/2006/relationships/hyperlink" Target="https://drive.google.com/file/d/19bkfFCWZilKKwOnHsgl5o14xDIXrV_Ht/view?usp=drivesdk" TargetMode="External"/><Relationship Id="rId12419" Type="http://schemas.openxmlformats.org/officeDocument/2006/relationships/hyperlink" Target="https://drive.google.com/file/d/1cK-u9u8wkwjWv3T3Y5vBBR8VaoNtz-ZZ/view?usp=drivesdk" TargetMode="External"/><Relationship Id="rId13745" Type="http://schemas.openxmlformats.org/officeDocument/2006/relationships/hyperlink" Target="https://drive.google.com/file/d/11gn1hSgmBE8MgVJQNI60Be5RxiYjMiim/view?usp=drivesdk" TargetMode="External"/><Relationship Id="rId12418" Type="http://schemas.openxmlformats.org/officeDocument/2006/relationships/hyperlink" Target="https://drive.google.com/file/d/1VhE9SG6fSSiIDReDgieGeFpAQyrle_fL/view?usp=drivesdk" TargetMode="External"/><Relationship Id="rId13746" Type="http://schemas.openxmlformats.org/officeDocument/2006/relationships/hyperlink" Target="https://drive.google.com/file/d/1NN2lY1oC7gM9UITgdGm6mIbY4gbph4V6/view?usp=drivesdk" TargetMode="External"/><Relationship Id="rId12417" Type="http://schemas.openxmlformats.org/officeDocument/2006/relationships/hyperlink" Target="https://drive.google.com/file/d/1OTqhaBPbTmcjhDlh-_7U7UkphuC89L0o/view?usp=drivesdk" TargetMode="External"/><Relationship Id="rId13747" Type="http://schemas.openxmlformats.org/officeDocument/2006/relationships/hyperlink" Target="https://drive.google.com/file/d/1ZuS9HnVVhsRbRhCsfU-BsTrQ6-N3DWut/view?usp=drivesdk" TargetMode="External"/><Relationship Id="rId13740" Type="http://schemas.openxmlformats.org/officeDocument/2006/relationships/hyperlink" Target="https://drive.google.com/file/d/1Y1CXShwsWSWEs95NFZ-_o5S8QE5Yy2vJ/view?usp=drivesdk" TargetMode="External"/><Relationship Id="rId13741" Type="http://schemas.openxmlformats.org/officeDocument/2006/relationships/hyperlink" Target="https://drive.google.com/file/d/12YZ2FLMrTAft0ryMxj-rE6RC3nyBtjmd/view?usp=drivesdk" TargetMode="External"/><Relationship Id="rId13742" Type="http://schemas.openxmlformats.org/officeDocument/2006/relationships/hyperlink" Target="https://drive.google.com/file/d/1drfbfmZm-XZMbOcOEpdYcW3EYQlgugJe/view?usp=drivesdk" TargetMode="External"/><Relationship Id="rId13743" Type="http://schemas.openxmlformats.org/officeDocument/2006/relationships/hyperlink" Target="https://drive.google.com/file/d/1ac1_HIHAjAi8cAZ-ZbSc-FJKdRvyO3QY/view?usp=drivesdk" TargetMode="External"/><Relationship Id="rId12412" Type="http://schemas.openxmlformats.org/officeDocument/2006/relationships/hyperlink" Target="https://drive.google.com/file/d/1LjkzAimXkXo7CX0_o3oxIKvFO87DRtBp/view?usp=drivesdk" TargetMode="External"/><Relationship Id="rId12411" Type="http://schemas.openxmlformats.org/officeDocument/2006/relationships/hyperlink" Target="https://drive.google.com/file/d/1jVYli1cSjCra7J2ntvndbMc6w7_NCNBr/view?usp=drivesdk" TargetMode="External"/><Relationship Id="rId12410" Type="http://schemas.openxmlformats.org/officeDocument/2006/relationships/hyperlink" Target="https://drive.google.com/file/d/16K3dVUlWIux_ruOjGpMQvTmLPIpyjpUo/view?usp=drivesdk" TargetMode="External"/><Relationship Id="rId12427" Type="http://schemas.openxmlformats.org/officeDocument/2006/relationships/hyperlink" Target="https://drive.google.com/file/d/1kvpXLE8cccy_Un1YfeKGOIT1_99is9Kj/view?usp=drivesdk" TargetMode="External"/><Relationship Id="rId13759" Type="http://schemas.openxmlformats.org/officeDocument/2006/relationships/hyperlink" Target="https://drive.google.com/file/d/1vY8IHOtGQtBg7taQGa1vftajBIbIVwEE/view?usp=drivesdk" TargetMode="External"/><Relationship Id="rId12426" Type="http://schemas.openxmlformats.org/officeDocument/2006/relationships/hyperlink" Target="https://drive.google.com/file/d/11IOWo_7LvW4UlGjyrHWGgVTSDsW3bObn/view?usp=drivesdk" TargetMode="External"/><Relationship Id="rId12425" Type="http://schemas.openxmlformats.org/officeDocument/2006/relationships/hyperlink" Target="https://drive.google.com/file/d/1jbuoLq3geE3TJznqH6KF5JWYMMA9uf_G/view?usp=drivesdk" TargetMode="External"/><Relationship Id="rId12424" Type="http://schemas.openxmlformats.org/officeDocument/2006/relationships/hyperlink" Target="https://drive.google.com/file/d/1VQ27RLzlgVx9ZDjCo7DvNTzTFl1zjgi-/view?usp=drivesdk" TargetMode="External"/><Relationship Id="rId13755" Type="http://schemas.openxmlformats.org/officeDocument/2006/relationships/hyperlink" Target="https://drive.google.com/file/d/1kv6KaLBbQXbY6bQRqEIhvYgNZs261ERn/view?usp=drivesdk" TargetMode="External"/><Relationship Id="rId13756" Type="http://schemas.openxmlformats.org/officeDocument/2006/relationships/hyperlink" Target="https://drive.google.com/file/d/1_CtBLfZGfRbVCRFGao7caBnPP6Cpc1j0/view?usp=drivesdk" TargetMode="External"/><Relationship Id="rId12429" Type="http://schemas.openxmlformats.org/officeDocument/2006/relationships/hyperlink" Target="https://drive.google.com/file/d/1QOJVtpYi4UeZEexYnuJzmFb0DqQF-kfL/view?usp=drivesdk" TargetMode="External"/><Relationship Id="rId13757" Type="http://schemas.openxmlformats.org/officeDocument/2006/relationships/hyperlink" Target="https://drive.google.com/file/d/1DgsOvyhyjghNyK4Z0FM1Sq7Ju33pZISg/view?usp=drivesdk" TargetMode="External"/><Relationship Id="rId12428" Type="http://schemas.openxmlformats.org/officeDocument/2006/relationships/hyperlink" Target="https://drive.google.com/file/d/1Y1EiJRRNBfBi6LjIbi7OgIIyeGcc8GTd/view?usp=drivesdk" TargetMode="External"/><Relationship Id="rId13758" Type="http://schemas.openxmlformats.org/officeDocument/2006/relationships/hyperlink" Target="https://drive.google.com/file/d/1OOL7QStCzoCVHUFaUTaDOsyNjcG5zeIi/view?usp=drivesdk" TargetMode="External"/><Relationship Id="rId13751" Type="http://schemas.openxmlformats.org/officeDocument/2006/relationships/hyperlink" Target="https://drive.google.com/file/d/14HaFNIpteqRIqKxZ81dZgGqAJYA0s4pz/view?usp=drivesdk" TargetMode="External"/><Relationship Id="rId13752" Type="http://schemas.openxmlformats.org/officeDocument/2006/relationships/hyperlink" Target="https://drive.google.com/file/d/1u1-PBjWaSeRE40CVSWrAO00F0rHY9pPE/view?usp=drivesdk" TargetMode="External"/><Relationship Id="rId13753" Type="http://schemas.openxmlformats.org/officeDocument/2006/relationships/hyperlink" Target="https://drive.google.com/file/d/1QqljdlY56qYcorteAiGc95TDQwn3_u5a/view?usp=drivesdk" TargetMode="External"/><Relationship Id="rId13754" Type="http://schemas.openxmlformats.org/officeDocument/2006/relationships/hyperlink" Target="https://drive.google.com/file/d/1JFqCBAUUrTznf1mt5-eJEKnTWCtpw8iL/view?usp=drivesdk" TargetMode="External"/><Relationship Id="rId12423" Type="http://schemas.openxmlformats.org/officeDocument/2006/relationships/hyperlink" Target="https://drive.google.com/file/d/1DIzsPsOdb6RelACsVOr03QVBy0iY70Lb/view?usp=drivesdk" TargetMode="External"/><Relationship Id="rId12422" Type="http://schemas.openxmlformats.org/officeDocument/2006/relationships/hyperlink" Target="https://drive.google.com/file/d/13hLkTK1iVDr-Ra4ZIVS6NbJQbVwLPehx/view?usp=drivesdk" TargetMode="External"/><Relationship Id="rId12421" Type="http://schemas.openxmlformats.org/officeDocument/2006/relationships/hyperlink" Target="https://drive.google.com/file/d/1JaI7IPLikNP--z2C5o7v2nXbLvoAyxZ8/view?usp=drivesdk" TargetMode="External"/><Relationship Id="rId12420" Type="http://schemas.openxmlformats.org/officeDocument/2006/relationships/hyperlink" Target="https://drive.google.com/file/d/1X_1aLXtZlxQ_YLZHWi29w9I4q35nG00j/view?usp=drivesdk" TargetMode="External"/><Relationship Id="rId13750" Type="http://schemas.openxmlformats.org/officeDocument/2006/relationships/hyperlink" Target="https://drive.google.com/file/d/1-U3uV7iAaDPGAufJoQM5F9h5sziEltlN/view?usp=drivesdk" TargetMode="External"/><Relationship Id="rId8529" Type="http://schemas.openxmlformats.org/officeDocument/2006/relationships/hyperlink" Target="https://drive.google.com/file/d/1u6-rlfJwJFbRccjR6_jOnGhduoK-m3sy/view?usp=drivesdk" TargetMode="External"/><Relationship Id="rId8528" Type="http://schemas.openxmlformats.org/officeDocument/2006/relationships/hyperlink" Target="https://drive.google.com/file/d/12SG9g7Q9E29f6hv3kt_qDOdn8vsaN-OD/view?usp=drivesdk" TargetMode="External"/><Relationship Id="rId9859" Type="http://schemas.openxmlformats.org/officeDocument/2006/relationships/hyperlink" Target="https://drive.google.com/file/d/1uT_JlLbtlyc9fv_bEdX3UV9v7tv7T2pN/view?usp=drivesdk" TargetMode="External"/><Relationship Id="rId9850" Type="http://schemas.openxmlformats.org/officeDocument/2006/relationships/hyperlink" Target="https://drive.google.com/file/d/1mV0bNOKCpIXdmS6pnNrTr-c2FlaMJU-I/view?usp=drivesdk" TargetMode="External"/><Relationship Id="rId8523" Type="http://schemas.openxmlformats.org/officeDocument/2006/relationships/hyperlink" Target="https://drive.google.com/file/d/1jRnuE8Opia1DnO2Z8I2ERJkghUAu0V61/view?usp=drivesdk" TargetMode="External"/><Relationship Id="rId9855" Type="http://schemas.openxmlformats.org/officeDocument/2006/relationships/hyperlink" Target="https://drive.google.com/file/d/1waUyFiBGdxeoZc-GhW4QxKzm1OVa-Pi4/view?usp=drivesdk" TargetMode="External"/><Relationship Id="rId8522" Type="http://schemas.openxmlformats.org/officeDocument/2006/relationships/hyperlink" Target="https://drive.google.com/file/d/1vmgdOzZ9f2NwFFIBZ0Eg1eO6SXMCPT-4/view?usp=drivesdk" TargetMode="External"/><Relationship Id="rId9856" Type="http://schemas.openxmlformats.org/officeDocument/2006/relationships/hyperlink" Target="https://drive.google.com/file/d/1o0Hc6PF2-JyvjcrlMtwaPnexhGeipShN/view?usp=drivesdk" TargetMode="External"/><Relationship Id="rId8521" Type="http://schemas.openxmlformats.org/officeDocument/2006/relationships/hyperlink" Target="https://drive.google.com/file/d/1jPdarxhAoAumun1nwFSH-8RD-54F8DiC/view?usp=drivesdk" TargetMode="External"/><Relationship Id="rId9857" Type="http://schemas.openxmlformats.org/officeDocument/2006/relationships/hyperlink" Target="http://heriyanto.sm" TargetMode="External"/><Relationship Id="rId8520" Type="http://schemas.openxmlformats.org/officeDocument/2006/relationships/hyperlink" Target="https://drive.google.com/file/d/1kD4MdRKDtBFRF7qJhUOUAzYyyQZYn9Hg/view?usp=drivesdk" TargetMode="External"/><Relationship Id="rId9858" Type="http://schemas.openxmlformats.org/officeDocument/2006/relationships/hyperlink" Target="https://drive.google.com/file/d/12r5X3TUCLqzueyvYMYQMGJhnZ_FWgAte/view?usp=drivesdk" TargetMode="External"/><Relationship Id="rId8527" Type="http://schemas.openxmlformats.org/officeDocument/2006/relationships/hyperlink" Target="https://drive.google.com/file/d/1_MovZyhRcLGh2H0MH2B7rnobBX6-7_j-/view?usp=drivesdk" TargetMode="External"/><Relationship Id="rId9851" Type="http://schemas.openxmlformats.org/officeDocument/2006/relationships/hyperlink" Target="https://drive.google.com/file/d/1_4ajx4xYoHsrCLlaZrPn7wyY0OTFOKeC/view?usp=drivesdk" TargetMode="External"/><Relationship Id="rId8526" Type="http://schemas.openxmlformats.org/officeDocument/2006/relationships/hyperlink" Target="https://drive.google.com/file/d/1RKQzTAQCrwcnJS14eOVJdyDs_KjCndgv/view?usp=drivesdk" TargetMode="External"/><Relationship Id="rId9852" Type="http://schemas.openxmlformats.org/officeDocument/2006/relationships/hyperlink" Target="https://drive.google.com/file/d/1THanlgYh87H1igXfwdJupiQkvhXLXh4-/view?usp=drivesdk" TargetMode="External"/><Relationship Id="rId8525" Type="http://schemas.openxmlformats.org/officeDocument/2006/relationships/hyperlink" Target="https://drive.google.com/file/d/1zjs8MmImVtwMiIoPxYCb_8ON-abca4OR/view?usp=drivesdk" TargetMode="External"/><Relationship Id="rId9853" Type="http://schemas.openxmlformats.org/officeDocument/2006/relationships/hyperlink" Target="https://drive.google.com/file/d/1FpQikbYTL3lxvhvyIHFS0rWrVjSb1v5q/view?usp=drivesdk" TargetMode="External"/><Relationship Id="rId8524" Type="http://schemas.openxmlformats.org/officeDocument/2006/relationships/hyperlink" Target="https://drive.google.com/file/d/18GdovVVj3yUZeVkOaGSsvMZgTCit9UWB/view?usp=drivesdk" TargetMode="External"/><Relationship Id="rId9854" Type="http://schemas.openxmlformats.org/officeDocument/2006/relationships/hyperlink" Target="https://drive.google.com/file/d/18ybQS8IcfcV6Hln5vD61umso11N7TfJF/view?usp=drivesdk" TargetMode="External"/><Relationship Id="rId8519" Type="http://schemas.openxmlformats.org/officeDocument/2006/relationships/hyperlink" Target="https://drive.google.com/file/d/1fZTwLp0PVJYMedf7wLnjhiTgwzPUldVx/view?usp=drivesdk" TargetMode="External"/><Relationship Id="rId8518" Type="http://schemas.openxmlformats.org/officeDocument/2006/relationships/hyperlink" Target="https://drive.google.com/file/d/11LQG1WBduRbQz78eefm4sj7XXqeYP_IR/view?usp=drivesdk" TargetMode="External"/><Relationship Id="rId8517" Type="http://schemas.openxmlformats.org/officeDocument/2006/relationships/hyperlink" Target="https://drive.google.com/file/d/1YQ_L2E8VXWdcCeO5I41LOLMG26IytQ_N/view?usp=drivesdk" TargetMode="External"/><Relationship Id="rId9848" Type="http://schemas.openxmlformats.org/officeDocument/2006/relationships/hyperlink" Target="https://drive.google.com/file/d/1VqeDxTQ5FQuaXpHaLfiARMSiXZ6C1DbU/view?usp=drivesdk" TargetMode="External"/><Relationship Id="rId9849" Type="http://schemas.openxmlformats.org/officeDocument/2006/relationships/hyperlink" Target="https://drive.google.com/file/d/11qhcbK3n1PQD2NN4fU1wkt6JKfjN1Qwy/view?usp=drivesdk" TargetMode="External"/><Relationship Id="rId8512" Type="http://schemas.openxmlformats.org/officeDocument/2006/relationships/hyperlink" Target="https://drive.google.com/file/d/1TIFyCf1Z71aYfWXxJ5P4LDbJeBSZNcqu/view?usp=drivesdk" TargetMode="External"/><Relationship Id="rId9844" Type="http://schemas.openxmlformats.org/officeDocument/2006/relationships/hyperlink" Target="https://drive.google.com/file/d/1UWFS4RG_bHBwmLyp_72hr23Ea5O4-JTg/view?usp=drivesdk" TargetMode="External"/><Relationship Id="rId8511" Type="http://schemas.openxmlformats.org/officeDocument/2006/relationships/hyperlink" Target="https://drive.google.com/file/d/1XLV-WcJCwV7rnQ8mYYc5hI-oJCZ_XgcH/view?usp=drivesdk" TargetMode="External"/><Relationship Id="rId9845" Type="http://schemas.openxmlformats.org/officeDocument/2006/relationships/hyperlink" Target="https://drive.google.com/file/d/1v1i8GW5cVBEG99zMw7_twLlZZH5vAuVu/view?usp=drivesdk" TargetMode="External"/><Relationship Id="rId8510" Type="http://schemas.openxmlformats.org/officeDocument/2006/relationships/hyperlink" Target="https://drive.google.com/file/d/1jbUNE0SwEMfGT34umJpXy1PFoX_70_KH/view?usp=drivesdk" TargetMode="External"/><Relationship Id="rId9846" Type="http://schemas.openxmlformats.org/officeDocument/2006/relationships/hyperlink" Target="https://drive.google.com/file/d/1jUJXs7kmcg2tNAkaQT6ze-pBy727c7wY/view?usp=drivesdk" TargetMode="External"/><Relationship Id="rId9847" Type="http://schemas.openxmlformats.org/officeDocument/2006/relationships/hyperlink" Target="https://drive.google.com/file/d/1n2aK25hSFFR49St2ee7oDFgI8A_66U5R/view?usp=drivesdk" TargetMode="External"/><Relationship Id="rId8516" Type="http://schemas.openxmlformats.org/officeDocument/2006/relationships/hyperlink" Target="https://drive.google.com/file/d/1b9AigD3zUqVxfkzudxDm0hKa4TKE-pyB/view?usp=drivesdk" TargetMode="External"/><Relationship Id="rId9840" Type="http://schemas.openxmlformats.org/officeDocument/2006/relationships/hyperlink" Target="https://drive.google.com/file/d/1iLzATLV7vTG5YFhjoZz_cbE0Zl7koOgY/view?usp=drivesdk" TargetMode="External"/><Relationship Id="rId8515" Type="http://schemas.openxmlformats.org/officeDocument/2006/relationships/hyperlink" Target="https://drive.google.com/file/d/1ZZ_TcENdTP_CGDd9kH0pOoOkPUnqCwNL/view?usp=drivesdk" TargetMode="External"/><Relationship Id="rId9841" Type="http://schemas.openxmlformats.org/officeDocument/2006/relationships/hyperlink" Target="https://drive.google.com/file/d/1WveYshn4tDWS4mjUos9QN5BfK00WnUX2/view?usp=drivesdk" TargetMode="External"/><Relationship Id="rId8514" Type="http://schemas.openxmlformats.org/officeDocument/2006/relationships/hyperlink" Target="https://drive.google.com/file/d/1ZM0rArSQYs8w5goH8DZqR9W1yf8gpXM1/view?usp=drivesdk" TargetMode="External"/><Relationship Id="rId9842" Type="http://schemas.openxmlformats.org/officeDocument/2006/relationships/hyperlink" Target="https://drive.google.com/file/d/1Wawc4yxrdu75KK5aCZXDeU0rFFmfJbv5/view?usp=drivesdk" TargetMode="External"/><Relationship Id="rId8513" Type="http://schemas.openxmlformats.org/officeDocument/2006/relationships/hyperlink" Target="https://drive.google.com/file/d/1vMVgP84aCW2Fkid4WjF6y8jDetI17Fx0/view?usp=drivesdk" TargetMode="External"/><Relationship Id="rId9843" Type="http://schemas.openxmlformats.org/officeDocument/2006/relationships/hyperlink" Target="https://drive.google.com/file/d/1GxqWaqdPn67bEGbK5reWyCtXA-_hM9rj/view?usp=drivesdk" TargetMode="External"/><Relationship Id="rId7219" Type="http://schemas.openxmlformats.org/officeDocument/2006/relationships/hyperlink" Target="https://drive.google.com/file/d/1gMulNruW3k8LG5Xqx_nho2TZkiHHJLq4/view?usp=drivesdk" TargetMode="External"/><Relationship Id="rId9870" Type="http://schemas.openxmlformats.org/officeDocument/2006/relationships/hyperlink" Target="https://drive.google.com/file/d/1liAFyHaLsD8WEkwjee5UZ77Tzy78KklE/view?usp=drivesdk" TargetMode="External"/><Relationship Id="rId9871" Type="http://schemas.openxmlformats.org/officeDocument/2006/relationships/hyperlink" Target="https://drive.google.com/file/d/1dYC7OZ6d2384kcESm5Bn8GZW4K930wJ-/view?usp=drivesdk" TargetMode="External"/><Relationship Id="rId9872" Type="http://schemas.openxmlformats.org/officeDocument/2006/relationships/hyperlink" Target="https://drive.google.com/file/d/1bNXFxKXioWy-qSLtKCPrydnHd67sZinh/view?usp=drivesdk" TargetMode="External"/><Relationship Id="rId7210" Type="http://schemas.openxmlformats.org/officeDocument/2006/relationships/hyperlink" Target="https://drive.google.com/file/d/12rRST68asyq5JKGAw3dhF2fCtvFjwGBl/view?usp=drivesdk" TargetMode="External"/><Relationship Id="rId8541" Type="http://schemas.openxmlformats.org/officeDocument/2006/relationships/hyperlink" Target="https://drive.google.com/file/d/1K2IyylMMMrxO7iQhoEZTSaWchFikXdBs/view?usp=drivesdk" TargetMode="External"/><Relationship Id="rId8540" Type="http://schemas.openxmlformats.org/officeDocument/2006/relationships/hyperlink" Target="https://drive.google.com/file/d/1b16B56pG-6zWjwZGsDGE8DWsnLgH3RwU/view?usp=drivesdk" TargetMode="External"/><Relationship Id="rId7214" Type="http://schemas.openxmlformats.org/officeDocument/2006/relationships/hyperlink" Target="https://drive.google.com/file/d/1u2h5LcvorYrzQMNb2OxtWkW0D8ObpyxL/view?usp=drivesdk" TargetMode="External"/><Relationship Id="rId8545" Type="http://schemas.openxmlformats.org/officeDocument/2006/relationships/hyperlink" Target="https://drive.google.com/file/d/1moPJbkPC9WA_vnKFD9_buKTVnO0A-pmz/view?usp=drivesdk" TargetMode="External"/><Relationship Id="rId9877" Type="http://schemas.openxmlformats.org/officeDocument/2006/relationships/hyperlink" Target="https://drive.google.com/file/d/1_IqQD2NFLpFE4Z5ASEVqypl2Ak0_G24y/view?usp=drivesdk" TargetMode="External"/><Relationship Id="rId7213" Type="http://schemas.openxmlformats.org/officeDocument/2006/relationships/hyperlink" Target="https://drive.google.com/file/d/17rAilmZO21L78PZNUDPkQmZCiBomT3f5/view?usp=drivesdk" TargetMode="External"/><Relationship Id="rId8544" Type="http://schemas.openxmlformats.org/officeDocument/2006/relationships/hyperlink" Target="https://drive.google.com/file/d/1-bhwjvfh0mYrbMZjROmvckQgoynTlr2t/view?usp=drivesdk" TargetMode="External"/><Relationship Id="rId9878" Type="http://schemas.openxmlformats.org/officeDocument/2006/relationships/hyperlink" Target="https://drive.google.com/file/d/1JbhllONlk8ujkMfO4CVG36yM6ErDFG0_/view?usp=drivesdk" TargetMode="External"/><Relationship Id="rId7212" Type="http://schemas.openxmlformats.org/officeDocument/2006/relationships/hyperlink" Target="https://drive.google.com/file/d/1rKMWzKISB32fxzzOU0q4crzK-djGxx1Z/view?usp=drivesdk" TargetMode="External"/><Relationship Id="rId8543" Type="http://schemas.openxmlformats.org/officeDocument/2006/relationships/hyperlink" Target="https://drive.google.com/file/d/11D3b2jQBqMm0WpbgDCx2H3YVk6yV1Z9G/view?usp=drivesdk" TargetMode="External"/><Relationship Id="rId9879" Type="http://schemas.openxmlformats.org/officeDocument/2006/relationships/hyperlink" Target="https://drive.google.com/file/d/17Xx-iypm4cZJWrYnVPxViATgesQs11d6/view?usp=drivesdk" TargetMode="External"/><Relationship Id="rId7211" Type="http://schemas.openxmlformats.org/officeDocument/2006/relationships/hyperlink" Target="https://drive.google.com/file/d/19YKBzS4gMQ12-V80uvWCdCvzxWcTMeDX/view?usp=drivesdk" TargetMode="External"/><Relationship Id="rId8542" Type="http://schemas.openxmlformats.org/officeDocument/2006/relationships/hyperlink" Target="https://drive.google.com/file/d/1pUpB4MPDYF-_XUrHhldz9Rr4sxetJ4_C/view?usp=drivesdk" TargetMode="External"/><Relationship Id="rId7218" Type="http://schemas.openxmlformats.org/officeDocument/2006/relationships/hyperlink" Target="https://drive.google.com/file/d/1-oH5bXDFSVM-lfZH1a1GjB3Md7GJ8AnW/view?usp=drivesdk" TargetMode="External"/><Relationship Id="rId8549" Type="http://schemas.openxmlformats.org/officeDocument/2006/relationships/hyperlink" Target="https://drive.google.com/file/d/1Lo6PibgLAMiCJdJBPJ-GK-zBcHXw3fKO/view?usp=drivesdk" TargetMode="External"/><Relationship Id="rId9873" Type="http://schemas.openxmlformats.org/officeDocument/2006/relationships/hyperlink" Target="https://drive.google.com/file/d/1A4YBwx_jmEQT5Kr89aH1e9dHYWtcbf6V/view?usp=drivesdk" TargetMode="External"/><Relationship Id="rId7217" Type="http://schemas.openxmlformats.org/officeDocument/2006/relationships/hyperlink" Target="https://drive.google.com/file/d/1LA1T6E21_Arvle2J55CkOjMAw5IURBu6/view?usp=drivesdk" TargetMode="External"/><Relationship Id="rId8548" Type="http://schemas.openxmlformats.org/officeDocument/2006/relationships/hyperlink" Target="https://drive.google.com/file/d/1RCdYZ3IqYTNyMC1O5RxggHXpSnMI970o/view?usp=drivesdk" TargetMode="External"/><Relationship Id="rId9874" Type="http://schemas.openxmlformats.org/officeDocument/2006/relationships/hyperlink" Target="https://drive.google.com/file/d/1-2EYyGsK9MMRer63JFDKWVHFTUa_-XX9/view?usp=drivesdk" TargetMode="External"/><Relationship Id="rId7216" Type="http://schemas.openxmlformats.org/officeDocument/2006/relationships/hyperlink" Target="https://drive.google.com/file/d/1m-5WLSuaLb6_2H08D34jAbs7ya94gwET/view?usp=drivesdk" TargetMode="External"/><Relationship Id="rId8547" Type="http://schemas.openxmlformats.org/officeDocument/2006/relationships/hyperlink" Target="https://drive.google.com/file/d/1Ip2rX4Me30gbrFn_JBostbYi-A-ew6rJ/view?usp=drivesdk" TargetMode="External"/><Relationship Id="rId9875" Type="http://schemas.openxmlformats.org/officeDocument/2006/relationships/hyperlink" Target="https://drive.google.com/file/d/1YR8CtmUTHKzGRkG-56IE0qtO5n-zFSdH/view?usp=drivesdk" TargetMode="External"/><Relationship Id="rId7215" Type="http://schemas.openxmlformats.org/officeDocument/2006/relationships/hyperlink" Target="https://drive.google.com/file/d/1EYXD3-fNy-_0uAt_QQMH9tyF0KVe22et/view?usp=drivesdk" TargetMode="External"/><Relationship Id="rId8546" Type="http://schemas.openxmlformats.org/officeDocument/2006/relationships/hyperlink" Target="https://drive.google.com/file/d/1A65zJFQM-rBr5N3c50ObBbbtzZbAcL1Y/view?usp=drivesdk" TargetMode="External"/><Relationship Id="rId9876" Type="http://schemas.openxmlformats.org/officeDocument/2006/relationships/hyperlink" Target="https://drive.google.com/file/d/1L_P7_y7mEKdcXd8ZDYnOiXFSabkeXx9h/view?usp=drivesdk" TargetMode="External"/><Relationship Id="rId7209" Type="http://schemas.openxmlformats.org/officeDocument/2006/relationships/hyperlink" Target="https://drive.google.com/file/d/1qFl-oRXOa5ME1UauKUV8JUG18Lvqjihg/view?usp=drivesdk" TargetMode="External"/><Relationship Id="rId7208" Type="http://schemas.openxmlformats.org/officeDocument/2006/relationships/hyperlink" Target="https://drive.google.com/file/d/1DtVUj-pXK_jbaXmFWi815svntZ4uF120/view?usp=drivesdk" TargetMode="External"/><Relationship Id="rId8539" Type="http://schemas.openxmlformats.org/officeDocument/2006/relationships/hyperlink" Target="https://drive.google.com/file/d/1EzcfMl9mvfNh6HJaKiHMOmMibUlasXLT/view?usp=drivesdk" TargetMode="External"/><Relationship Id="rId9860" Type="http://schemas.openxmlformats.org/officeDocument/2006/relationships/hyperlink" Target="https://drive.google.com/file/d/1shHcWGil0X_4uU_IyM6eiMTd-jbxuzBH/view?usp=drivesdk" TargetMode="External"/><Relationship Id="rId9861" Type="http://schemas.openxmlformats.org/officeDocument/2006/relationships/hyperlink" Target="https://drive.google.com/file/d/19MXGa7c46-RiRT8ttnXddEEOtA6-_tka/view?usp=drivesdk" TargetMode="External"/><Relationship Id="rId8530" Type="http://schemas.openxmlformats.org/officeDocument/2006/relationships/hyperlink" Target="https://drive.google.com/file/d/1qETrpbL9FOaO1ujMRw_tYxitIxeGblyP/view?usp=drivesdk" TargetMode="External"/><Relationship Id="rId7203" Type="http://schemas.openxmlformats.org/officeDocument/2006/relationships/hyperlink" Target="https://drive.google.com/file/d/1GsK0vP3pcBsPrG_5234gNWrWYvzri1A6/view?usp=drivesdk" TargetMode="External"/><Relationship Id="rId8534" Type="http://schemas.openxmlformats.org/officeDocument/2006/relationships/hyperlink" Target="https://drive.google.com/file/d/17BjAVPPpLrPCBhXZ6QYRm2cKtmQthAr8/view?usp=drivesdk" TargetMode="External"/><Relationship Id="rId9866" Type="http://schemas.openxmlformats.org/officeDocument/2006/relationships/hyperlink" Target="https://drive.google.com/file/d/1Bofe5IXKerVI-15Wla2a8zLrblg13Tmb/view?usp=drivesdk" TargetMode="External"/><Relationship Id="rId7202" Type="http://schemas.openxmlformats.org/officeDocument/2006/relationships/hyperlink" Target="https://drive.google.com/file/d/1xi6cNN6hctIBTSI5-RGmZgl4Zhw0g95L/view?usp=drivesdk" TargetMode="External"/><Relationship Id="rId8533" Type="http://schemas.openxmlformats.org/officeDocument/2006/relationships/hyperlink" Target="https://drive.google.com/file/d/1woYbVoaKZ3XDgZs3u1dJK-ZDptqzxsb6/view?usp=drivesdk" TargetMode="External"/><Relationship Id="rId9867" Type="http://schemas.openxmlformats.org/officeDocument/2006/relationships/hyperlink" Target="https://drive.google.com/file/d/1PZSxcLY-G55x4wmI7W3_t5vFjVcHgajh/view?usp=drivesdk" TargetMode="External"/><Relationship Id="rId7201" Type="http://schemas.openxmlformats.org/officeDocument/2006/relationships/hyperlink" Target="https://drive.google.com/file/d/1a52lrPdnCIFKAZmlnD4PqRMqj5zVnD4X/view?usp=drivesdk" TargetMode="External"/><Relationship Id="rId8532" Type="http://schemas.openxmlformats.org/officeDocument/2006/relationships/hyperlink" Target="https://drive.google.com/file/d/1jxq8923BC4Rxdv1235vfdCINS2Yy6zoH/view?usp=drivesdk" TargetMode="External"/><Relationship Id="rId9868" Type="http://schemas.openxmlformats.org/officeDocument/2006/relationships/hyperlink" Target="https://drive.google.com/file/d/1_9aBb986shnRfdupdFTcfE8s6FOLuC1T/view?usp=drivesdk" TargetMode="External"/><Relationship Id="rId7200" Type="http://schemas.openxmlformats.org/officeDocument/2006/relationships/hyperlink" Target="https://drive.google.com/file/d/16FpOZVFDF5EpSgNo4tbYL0zQEOKnXqr3/view?usp=drivesdk" TargetMode="External"/><Relationship Id="rId8531" Type="http://schemas.openxmlformats.org/officeDocument/2006/relationships/hyperlink" Target="https://drive.google.com/file/d/10iP5Z3tARo1CB2R3NxgaZ85CeNQ4nway/view?usp=drivesdk" TargetMode="External"/><Relationship Id="rId9869" Type="http://schemas.openxmlformats.org/officeDocument/2006/relationships/hyperlink" Target="https://drive.google.com/file/d/13hRocJwAKOmU4RHnwmVJkTix8bg0-59q/view?usp=drivesdk" TargetMode="External"/><Relationship Id="rId7207" Type="http://schemas.openxmlformats.org/officeDocument/2006/relationships/hyperlink" Target="https://drive.google.com/file/d/1J_Kn5WPkq-Bhkvt7vKtxsWbF0stYgZLF/view?usp=drivesdk" TargetMode="External"/><Relationship Id="rId8538" Type="http://schemas.openxmlformats.org/officeDocument/2006/relationships/hyperlink" Target="https://drive.google.com/file/d/1QxvpcMQwYDSfKVp2YGg4kkPf9P1VJr7x/view?usp=drivesdk" TargetMode="External"/><Relationship Id="rId9862" Type="http://schemas.openxmlformats.org/officeDocument/2006/relationships/hyperlink" Target="https://drive.google.com/file/d/1Qxi0dr4z54u7M0Wu63RQZwCZgXpkpcuK/view?usp=drivesdk" TargetMode="External"/><Relationship Id="rId7206" Type="http://schemas.openxmlformats.org/officeDocument/2006/relationships/hyperlink" Target="https://drive.google.com/file/d/1ryhf0A5sCRreQl-7DDVZ-Txg2-qgbGIF/view?usp=drivesdk" TargetMode="External"/><Relationship Id="rId8537" Type="http://schemas.openxmlformats.org/officeDocument/2006/relationships/hyperlink" Target="https://drive.google.com/file/d/134RAuxUhxcRtx1wF_756hYCRVaSdUFHS/view?usp=drivesdk" TargetMode="External"/><Relationship Id="rId9863" Type="http://schemas.openxmlformats.org/officeDocument/2006/relationships/hyperlink" Target="https://drive.google.com/file/d/1u7_bG_nCj2v4c8sVLQd96Z-rwXBVmdKU/view?usp=drivesdk" TargetMode="External"/><Relationship Id="rId7205" Type="http://schemas.openxmlformats.org/officeDocument/2006/relationships/hyperlink" Target="https://drive.google.com/file/d/1ICkbp0AAPFE_c9iEyA4C74j2geb-2sB6/view?usp=drivesdk" TargetMode="External"/><Relationship Id="rId8536" Type="http://schemas.openxmlformats.org/officeDocument/2006/relationships/hyperlink" Target="https://drive.google.com/file/d/1S96ZyGtZq1KO230IVXnxf6MV375kHsgN/view?usp=drivesdk" TargetMode="External"/><Relationship Id="rId9864" Type="http://schemas.openxmlformats.org/officeDocument/2006/relationships/hyperlink" Target="https://drive.google.com/file/d/1QXMGv-XI1u7gbQ5FISWxmnbY-VHPqkdW/view?usp=drivesdk" TargetMode="External"/><Relationship Id="rId7204" Type="http://schemas.openxmlformats.org/officeDocument/2006/relationships/hyperlink" Target="https://drive.google.com/file/d/1atvln6Hz1SfaIEnh9EYVKwfqx6-68EtD/view?usp=drivesdk" TargetMode="External"/><Relationship Id="rId8535" Type="http://schemas.openxmlformats.org/officeDocument/2006/relationships/hyperlink" Target="https://drive.google.com/file/d/1aC4MdgYerhjn157_lNFBR98W3gxQfNKe/view?usp=drivesdk" TargetMode="External"/><Relationship Id="rId9865" Type="http://schemas.openxmlformats.org/officeDocument/2006/relationships/hyperlink" Target="https://drive.google.com/file/d/17CGYe_Vc5OILdHYQol0GdYqFeM8X7nqm/view?usp=drivesdk" TargetMode="External"/><Relationship Id="rId9819" Type="http://schemas.openxmlformats.org/officeDocument/2006/relationships/hyperlink" Target="https://drive.google.com/file/d/1TfnHlpTAt2N-QWNZ-BeGrQ4LRRxrC0ny/view?usp=drivesdk" TargetMode="External"/><Relationship Id="rId9815" Type="http://schemas.openxmlformats.org/officeDocument/2006/relationships/hyperlink" Target="https://drive.google.com/file/d/1mKFL9xpHENc2mfva8RDPWCp1Lvn4TwYi/view?usp=drivesdk" TargetMode="External"/><Relationship Id="rId9816" Type="http://schemas.openxmlformats.org/officeDocument/2006/relationships/hyperlink" Target="https://drive.google.com/file/d/17Oe8MfUdRjKcdmvqjQrAA9pe3Wf4Pbxr/view?usp=drivesdk" TargetMode="External"/><Relationship Id="rId9817" Type="http://schemas.openxmlformats.org/officeDocument/2006/relationships/hyperlink" Target="https://drive.google.com/file/d/1_IkeqnH_DiScOWMMd6-mnMBGxvNjaW6m/view?usp=drivesdk" TargetMode="External"/><Relationship Id="rId9818" Type="http://schemas.openxmlformats.org/officeDocument/2006/relationships/hyperlink" Target="https://drive.google.com/file/d/1vU_tO2nVa3-rrkK-on94FNzeUQuBMuiD/view?usp=drivesdk" TargetMode="External"/><Relationship Id="rId12719" Type="http://schemas.openxmlformats.org/officeDocument/2006/relationships/hyperlink" Target="https://drive.google.com/file/d/1hYxL0c04jZyU2AXeV47SObd1cynNgnKa/view?usp=drivesdk" TargetMode="External"/><Relationship Id="rId12718" Type="http://schemas.openxmlformats.org/officeDocument/2006/relationships/hyperlink" Target="https://drive.google.com/file/d/1nDLzQVFJDnuW0kxt8E5K8f2COePOsQm3/view?usp=drivesdk" TargetMode="External"/><Relationship Id="rId12713" Type="http://schemas.openxmlformats.org/officeDocument/2006/relationships/hyperlink" Target="https://drive.google.com/file/d/15FRs_Bi68U8S7iRWH9lj8Mhtambyfsmx/view?usp=drivesdk" TargetMode="External"/><Relationship Id="rId12712" Type="http://schemas.openxmlformats.org/officeDocument/2006/relationships/hyperlink" Target="https://drive.google.com/file/d/13WP4XDJ_NKFolR6JB5EUI17LcOJf3E1s/view?usp=drivesdk" TargetMode="External"/><Relationship Id="rId12711" Type="http://schemas.openxmlformats.org/officeDocument/2006/relationships/hyperlink" Target="https://drive.google.com/file/d/1wzLjzQ23q3uqpP8I1ZwDjbWrmvQQ4vSa/view?usp=drivesdk" TargetMode="External"/><Relationship Id="rId12710" Type="http://schemas.openxmlformats.org/officeDocument/2006/relationships/hyperlink" Target="https://drive.google.com/file/d/14kvYiuRJCnv8Y__iye1kTvIfKnKN1z9W/view?usp=drivesdk" TargetMode="External"/><Relationship Id="rId12717" Type="http://schemas.openxmlformats.org/officeDocument/2006/relationships/hyperlink" Target="https://drive.google.com/file/d/1Mjjg9Enfp0ruBsO9VyKG1Zhr2100adAZ/view?usp=drivesdk" TargetMode="External"/><Relationship Id="rId12716" Type="http://schemas.openxmlformats.org/officeDocument/2006/relationships/hyperlink" Target="https://drive.google.com/file/d/1AcFbIEBcKczvemvEEaReVy8Bgzn4aZDR/view?usp=drivesdk" TargetMode="External"/><Relationship Id="rId12715" Type="http://schemas.openxmlformats.org/officeDocument/2006/relationships/hyperlink" Target="https://drive.google.com/file/d/1072fxuj7ZDhd3DUPK1KjUUufnUmxO7ES/view?usp=drivesdk" TargetMode="External"/><Relationship Id="rId12714" Type="http://schemas.openxmlformats.org/officeDocument/2006/relationships/hyperlink" Target="https://drive.google.com/file/d/1dcvZZSABC-EiYjFPpB-WRjqF0wXZRrgS/view?usp=drivesdk" TargetMode="External"/><Relationship Id="rId9811" Type="http://schemas.openxmlformats.org/officeDocument/2006/relationships/hyperlink" Target="https://drive.google.com/file/d/13cXDZiBPaAaFHR7PQ0I_uBKva7UVvTg8/view?usp=drivesdk" TargetMode="External"/><Relationship Id="rId9812" Type="http://schemas.openxmlformats.org/officeDocument/2006/relationships/hyperlink" Target="https://drive.google.com/file/d/1keR2VjsKiG6cozzDtH_ZsuhBokIzAoTW/view?usp=drivesdk" TargetMode="External"/><Relationship Id="rId9813" Type="http://schemas.openxmlformats.org/officeDocument/2006/relationships/hyperlink" Target="https://drive.google.com/file/d/1nNwfEQ_jQEwLoN7CU__9NSOC5Oj4mFkZ/view?usp=drivesdk" TargetMode="External"/><Relationship Id="rId9814" Type="http://schemas.openxmlformats.org/officeDocument/2006/relationships/hyperlink" Target="https://drive.google.com/file/d/1V4_VrcKg8PvQugDIh6MzOpBBA4xy-nOD/view?usp=drivesdk" TargetMode="External"/><Relationship Id="rId9810" Type="http://schemas.openxmlformats.org/officeDocument/2006/relationships/hyperlink" Target="https://drive.google.com/file/d/1hxMxbDwEISCKY5_iJg7Avro_TDZ-rIPU/view?usp=drivesdk" TargetMode="External"/><Relationship Id="rId9808" Type="http://schemas.openxmlformats.org/officeDocument/2006/relationships/hyperlink" Target="https://drive.google.com/file/d/1GkHBGD7G7cnAnmt-H74MYk9wzGL2QYZ_/view?usp=drivesdk" TargetMode="External"/><Relationship Id="rId9809" Type="http://schemas.openxmlformats.org/officeDocument/2006/relationships/hyperlink" Target="https://drive.google.com/file/d/1rNjTQgGDjxbMox4U8X7HVhNvWAbIcngz/view?usp=drivesdk" TargetMode="External"/><Relationship Id="rId9804" Type="http://schemas.openxmlformats.org/officeDocument/2006/relationships/hyperlink" Target="https://drive.google.com/file/d/1mdT9G5Q21re_w5aZGO9cq_32h0nMZN18/view?usp=drivesdk" TargetMode="External"/><Relationship Id="rId9805" Type="http://schemas.openxmlformats.org/officeDocument/2006/relationships/hyperlink" Target="https://drive.google.com/file/d/1yxdAPcaO61XPheTF-BPegUqMFAzlhULS/view?usp=drivesdk" TargetMode="External"/><Relationship Id="rId9806" Type="http://schemas.openxmlformats.org/officeDocument/2006/relationships/hyperlink" Target="https://drive.google.com/file/d/14APNk1QtzdCAGhp09EFGbM5XDh7j1CVv/view?usp=drivesdk" TargetMode="External"/><Relationship Id="rId9807" Type="http://schemas.openxmlformats.org/officeDocument/2006/relationships/hyperlink" Target="https://drive.google.com/file/d/1EboaJ03vNgBA68jMHXiG-f9WoYeA3HhO/view?usp=drivesdk" TargetMode="External"/><Relationship Id="rId12729" Type="http://schemas.openxmlformats.org/officeDocument/2006/relationships/hyperlink" Target="https://drive.google.com/file/d/1Lx_xYCASmIwiMJ7BXbpiGsX6-i4_RHd0/view?usp=drivesdk" TargetMode="External"/><Relationship Id="rId12724" Type="http://schemas.openxmlformats.org/officeDocument/2006/relationships/hyperlink" Target="https://drive.google.com/file/d/1PdlDIKULBkwC5qWSlM6LrFf7N8GjNL8V/view?usp=drivesdk" TargetMode="External"/><Relationship Id="rId12723" Type="http://schemas.openxmlformats.org/officeDocument/2006/relationships/hyperlink" Target="https://drive.google.com/file/d/1iTX0BFA55CADRwoE0aPxcddRlG1VrBZM/view?usp=drivesdk" TargetMode="External"/><Relationship Id="rId12722" Type="http://schemas.openxmlformats.org/officeDocument/2006/relationships/hyperlink" Target="https://drive.google.com/file/d/1kXdjF17cDPT5PV4TShSrw3kbEgQ1caN7/view?usp=drivesdk" TargetMode="External"/><Relationship Id="rId12721" Type="http://schemas.openxmlformats.org/officeDocument/2006/relationships/hyperlink" Target="https://drive.google.com/file/d/1KYdZ1HkBYdIKmuxuLsQgBmrrRuZkGg8e/view?usp=drivesdk" TargetMode="External"/><Relationship Id="rId12728" Type="http://schemas.openxmlformats.org/officeDocument/2006/relationships/hyperlink" Target="https://drive.google.com/file/d/1cjsJ1sq2O829x90cza8eZlbbUhEt-FF6/view?usp=drivesdk" TargetMode="External"/><Relationship Id="rId12727" Type="http://schemas.openxmlformats.org/officeDocument/2006/relationships/hyperlink" Target="https://drive.google.com/file/d/1XMFDr5P3IP4rsiajPTx2EfO31x3gZEMJ/view?usp=drivesdk" TargetMode="External"/><Relationship Id="rId12726" Type="http://schemas.openxmlformats.org/officeDocument/2006/relationships/hyperlink" Target="https://drive.google.com/file/d/10v_UujDy0KhILOb3-dtZ7yVrH078L7Dy/view?usp=drivesdk" TargetMode="External"/><Relationship Id="rId12725" Type="http://schemas.openxmlformats.org/officeDocument/2006/relationships/hyperlink" Target="https://drive.google.com/file/d/1IPlFnLqKxTNEk5OEgxYvg7O6t7RwMOPB/view?usp=drivesdk" TargetMode="External"/><Relationship Id="rId9800" Type="http://schemas.openxmlformats.org/officeDocument/2006/relationships/hyperlink" Target="https://drive.google.com/file/d/17mZz9qn7vx1GN4Ce5NSLVPdSuq9XDk5V/view?usp=drivesdk" TargetMode="External"/><Relationship Id="rId9801" Type="http://schemas.openxmlformats.org/officeDocument/2006/relationships/hyperlink" Target="https://drive.google.com/file/d/10oudFQC67CyvfSBD5j-kCMMVxRRxfkEm/view?usp=drivesdk" TargetMode="External"/><Relationship Id="rId9802" Type="http://schemas.openxmlformats.org/officeDocument/2006/relationships/hyperlink" Target="https://drive.google.com/file/d/1iODW-yKKwGUeHxVImme4v89MhgyObiGI/view?usp=drivesdk" TargetMode="External"/><Relationship Id="rId9803" Type="http://schemas.openxmlformats.org/officeDocument/2006/relationships/hyperlink" Target="https://drive.google.com/file/d/14LmVOwvvq3EBXquaIQ-MIjkeXoWWSN2B/view?usp=drivesdk" TargetMode="External"/><Relationship Id="rId12720" Type="http://schemas.openxmlformats.org/officeDocument/2006/relationships/hyperlink" Target="https://drive.google.com/file/d/1ldOTP-7hEFMMMggWv0oM6MWz9vTKlmCF/view?usp=drivesdk" TargetMode="External"/><Relationship Id="rId8509" Type="http://schemas.openxmlformats.org/officeDocument/2006/relationships/hyperlink" Target="https://drive.google.com/file/d/1CI1-spUDKIHRSbwH7No-uNUsgsXyVpVg/view?usp=drivesdk" TargetMode="External"/><Relationship Id="rId8508" Type="http://schemas.openxmlformats.org/officeDocument/2006/relationships/hyperlink" Target="https://drive.google.com/file/d/1zaZtrcPhr_493TJULn_n7urW6hPp437T/view?usp=drivesdk" TargetMode="External"/><Relationship Id="rId8507" Type="http://schemas.openxmlformats.org/officeDocument/2006/relationships/hyperlink" Target="https://drive.google.com/file/d/1ySpy4KeaHjZ2JV45h-QM6wbANoIWKMrv/view?usp=drivesdk" TargetMode="External"/><Relationship Id="rId8506" Type="http://schemas.openxmlformats.org/officeDocument/2006/relationships/hyperlink" Target="https://drive.google.com/file/d/1e5hBXJzE3Mak2EtubHUgKIGDEJoBtwoG/view?usp=drivesdk" TargetMode="External"/><Relationship Id="rId9837" Type="http://schemas.openxmlformats.org/officeDocument/2006/relationships/hyperlink" Target="https://drive.google.com/file/d/1-cPiyaQmB6LPSvdhEvl5rZGq1Pi_caw7/view?usp=drivesdk" TargetMode="External"/><Relationship Id="rId9838" Type="http://schemas.openxmlformats.org/officeDocument/2006/relationships/hyperlink" Target="https://drive.google.com/file/d/1bwSJMqt6dvmxGItmnH-ux34ZcYAWubpN/view?usp=drivesdk" TargetMode="External"/><Relationship Id="rId9839" Type="http://schemas.openxmlformats.org/officeDocument/2006/relationships/hyperlink" Target="https://drive.google.com/file/d/1-RLak_pLH8_bYZuuDe8KjmborBxMmG2-/view?usp=drivesdk" TargetMode="External"/><Relationship Id="rId8501" Type="http://schemas.openxmlformats.org/officeDocument/2006/relationships/hyperlink" Target="https://drive.google.com/file/d/1bR82uYlElKH8fJNS4zrcn1VdknWVEbLS/view?usp=drivesdk" TargetMode="External"/><Relationship Id="rId9833" Type="http://schemas.openxmlformats.org/officeDocument/2006/relationships/hyperlink" Target="https://drive.google.com/file/d/1iE7mG1bQHa7tXMozxZnoWAQFbDMeYx8z/view?usp=drivesdk" TargetMode="External"/><Relationship Id="rId8500" Type="http://schemas.openxmlformats.org/officeDocument/2006/relationships/hyperlink" Target="https://drive.google.com/file/d/18gUhZmmfHzs5ReajWZ2aZ-akRG-mLKco/view?usp=drivesdk" TargetMode="External"/><Relationship Id="rId9834" Type="http://schemas.openxmlformats.org/officeDocument/2006/relationships/hyperlink" Target="https://drive.google.com/file/d/1LLEfVPqCYBaIhjRNQMJHEfqnHvkLlPdT/view?usp=drivesdk" TargetMode="External"/><Relationship Id="rId9835" Type="http://schemas.openxmlformats.org/officeDocument/2006/relationships/hyperlink" Target="https://drive.google.com/file/d/1JMMTti6f4aSpayR0WPvXikU942Ae90PQ/view?usp=drivesdk" TargetMode="External"/><Relationship Id="rId9836" Type="http://schemas.openxmlformats.org/officeDocument/2006/relationships/hyperlink" Target="https://drive.google.com/file/d/1AxowUgfzpUN6gndn6-55gyPa4r6mEmRt/view?usp=drivesdk" TargetMode="External"/><Relationship Id="rId8505" Type="http://schemas.openxmlformats.org/officeDocument/2006/relationships/hyperlink" Target="https://drive.google.com/file/d/10w8UQqA0Y3w2Mq5uYULzKfPpaJ8EZcdc/view?usp=drivesdk" TargetMode="External"/><Relationship Id="rId8504" Type="http://schemas.openxmlformats.org/officeDocument/2006/relationships/hyperlink" Target="https://drive.google.com/file/d/1MYj73MDpyP68-agFMCzCbTwPXMUH_ncW/view?usp=drivesdk" TargetMode="External"/><Relationship Id="rId9830" Type="http://schemas.openxmlformats.org/officeDocument/2006/relationships/hyperlink" Target="https://drive.google.com/file/d/1YbNrvlWNy1vU87-iSTHcw661NFXqYK0N/view?usp=drivesdk" TargetMode="External"/><Relationship Id="rId8503" Type="http://schemas.openxmlformats.org/officeDocument/2006/relationships/hyperlink" Target="https://drive.google.com/file/d/1C5a79B3nurqmgkMMbOQJyBVRrEBa2LYq/view?usp=drivesdk" TargetMode="External"/><Relationship Id="rId9831" Type="http://schemas.openxmlformats.org/officeDocument/2006/relationships/hyperlink" Target="https://drive.google.com/file/d/1MIG2P8acOjN4udxVukWdjXkml5KGOihE/view?usp=drivesdk" TargetMode="External"/><Relationship Id="rId8502" Type="http://schemas.openxmlformats.org/officeDocument/2006/relationships/hyperlink" Target="https://drive.google.com/file/d/14XcZnc_psI2ddLg9z5EH1vtfGpenFAdi/view?usp=drivesdk" TargetMode="External"/><Relationship Id="rId9832" Type="http://schemas.openxmlformats.org/officeDocument/2006/relationships/hyperlink" Target="https://drive.google.com/file/d/1t9-QYoLGVTpPLBf2bZVoySfRILRBFts7/view?usp=drivesdk" TargetMode="External"/><Relationship Id="rId9826" Type="http://schemas.openxmlformats.org/officeDocument/2006/relationships/hyperlink" Target="https://drive.google.com/file/d/1fPa4l3vxGq-zhDACBUcsdtmcBKEFDs9b/view?usp=drivesdk" TargetMode="External"/><Relationship Id="rId9827" Type="http://schemas.openxmlformats.org/officeDocument/2006/relationships/hyperlink" Target="https://drive.google.com/file/d/1QwYpWo4yYoMES4D18Jpkeq4P3wevAv8F/view?usp=drivesdk" TargetMode="External"/><Relationship Id="rId9828" Type="http://schemas.openxmlformats.org/officeDocument/2006/relationships/hyperlink" Target="https://drive.google.com/file/d/1oDOTlT3MpGiuW6KLOp0OGUxh-fLGMNsY/view?usp=drivesdk" TargetMode="External"/><Relationship Id="rId9829" Type="http://schemas.openxmlformats.org/officeDocument/2006/relationships/hyperlink" Target="https://drive.google.com/file/d/1ByemP7LqJSZJUtAe1JlY7BR5pD2XjTs9/view?usp=drivesdk" TargetMode="External"/><Relationship Id="rId12709" Type="http://schemas.openxmlformats.org/officeDocument/2006/relationships/hyperlink" Target="https://drive.google.com/file/d/1MHi6zZB_aZbTQ9fX1kmFjsIxPZM36HtT/view?usp=drivesdk" TargetMode="External"/><Relationship Id="rId12708" Type="http://schemas.openxmlformats.org/officeDocument/2006/relationships/hyperlink" Target="https://drive.google.com/file/d/1oqLxs_12ntTmW9hEdQma_opZiXbHmoC_/view?usp=drivesdk" TargetMode="External"/><Relationship Id="rId12707" Type="http://schemas.openxmlformats.org/officeDocument/2006/relationships/hyperlink" Target="https://drive.google.com/file/d/1jx1tbf6skMe6_br2uscONmade9XPcUpo/view?usp=drivesdk" TargetMode="External"/><Relationship Id="rId12702" Type="http://schemas.openxmlformats.org/officeDocument/2006/relationships/hyperlink" Target="https://drive.google.com/file/d/1raj6EJUXzAW7X6LpMwrIKT6gRF8YHosD/view?usp=drivesdk" TargetMode="External"/><Relationship Id="rId12701" Type="http://schemas.openxmlformats.org/officeDocument/2006/relationships/hyperlink" Target="https://drive.google.com/file/d/15usX331Vl0gtVB_q1z_meR1S7XEKAULS/view?usp=drivesdk" TargetMode="External"/><Relationship Id="rId12700" Type="http://schemas.openxmlformats.org/officeDocument/2006/relationships/hyperlink" Target="https://drive.google.com/file/d/1FHy-m5v1X3aJGy8Rw0rt17OHvwNzmLzg/view?usp=drivesdk" TargetMode="External"/><Relationship Id="rId12706" Type="http://schemas.openxmlformats.org/officeDocument/2006/relationships/hyperlink" Target="https://drive.google.com/file/d/1HmkE0WG87GNUoSWg5V3N6e6HDMiFFmAm/view?usp=drivesdk" TargetMode="External"/><Relationship Id="rId12705" Type="http://schemas.openxmlformats.org/officeDocument/2006/relationships/hyperlink" Target="https://drive.google.com/file/d/13i4XzU8wYsEAAvop-nXuug6WDxBi1PmU/view?usp=drivesdk" TargetMode="External"/><Relationship Id="rId12704" Type="http://schemas.openxmlformats.org/officeDocument/2006/relationships/hyperlink" Target="https://drive.google.com/file/d/1g_YiGggyH6rHZiue2VCdJQJW1zW5l1xg/view?usp=drivesdk" TargetMode="External"/><Relationship Id="rId12703" Type="http://schemas.openxmlformats.org/officeDocument/2006/relationships/hyperlink" Target="https://drive.google.com/file/d/1749iVMf_TOLmCpf_5gnuBhCebUPZDQRt/view?usp=drivesdk" TargetMode="External"/><Relationship Id="rId9822" Type="http://schemas.openxmlformats.org/officeDocument/2006/relationships/hyperlink" Target="https://drive.google.com/file/d/1nG7FhwE2gU7jHN2CT0g6HzGTdkOlV7q0/view?usp=drivesdk" TargetMode="External"/><Relationship Id="rId9823" Type="http://schemas.openxmlformats.org/officeDocument/2006/relationships/hyperlink" Target="https://drive.google.com/file/d/1GOb5J65dZPXR2HqqJMX8MHcjLfBY9HMO/view?usp=drivesdk" TargetMode="External"/><Relationship Id="rId9824" Type="http://schemas.openxmlformats.org/officeDocument/2006/relationships/hyperlink" Target="https://drive.google.com/file/d/1kljsz6WQkhiJQ0-4CjUAhzwu_FqXkz-y/view?usp=drivesdk" TargetMode="External"/><Relationship Id="rId9825" Type="http://schemas.openxmlformats.org/officeDocument/2006/relationships/hyperlink" Target="https://drive.google.com/file/d/10aAz70jx7kho_EZCU3HCf-vWfA5xHkQp/view?usp=drivesdk" TargetMode="External"/><Relationship Id="rId9820" Type="http://schemas.openxmlformats.org/officeDocument/2006/relationships/hyperlink" Target="https://drive.google.com/file/d/1sKHnUyynW_u39wiqeZ43pI6JxebvU6_0/view?usp=drivesdk" TargetMode="External"/><Relationship Id="rId9821" Type="http://schemas.openxmlformats.org/officeDocument/2006/relationships/hyperlink" Target="https://drive.google.com/file/d/1mwo7GI1sQEKGT-HK5Ni-5Z9l9_IttzLb/view?usp=drivesdk" TargetMode="External"/><Relationship Id="rId7272" Type="http://schemas.openxmlformats.org/officeDocument/2006/relationships/hyperlink" Target="https://drive.google.com/file/d/1nSDY3vmTiatq9jM_8Zrs2C1LkUU3DxFY/view?usp=drivesdk" TargetMode="External"/><Relationship Id="rId7271" Type="http://schemas.openxmlformats.org/officeDocument/2006/relationships/hyperlink" Target="https://drive.google.com/file/d/1oKH-sdnYe0Lbe_SLKsmGiLtCq12mf25w/view?usp=drivesdk" TargetMode="External"/><Relationship Id="rId7270" Type="http://schemas.openxmlformats.org/officeDocument/2006/relationships/hyperlink" Target="https://drive.google.com/file/d/1HuW25CSlisyv05Mdbz9RRXMcPs6svHD2/view?usp=drivesdk" TargetMode="External"/><Relationship Id="rId7276" Type="http://schemas.openxmlformats.org/officeDocument/2006/relationships/hyperlink" Target="https://drive.google.com/file/d/1Or-51F5C-7AVmz90gWLgbAuWxhAoSLf2/view?usp=drivesdk" TargetMode="External"/><Relationship Id="rId7275" Type="http://schemas.openxmlformats.org/officeDocument/2006/relationships/hyperlink" Target="https://drive.google.com/file/d/1fMkf3NkGtFEakitVz8uxkCkgZpJ4g3HR/view?usp=drivesdk" TargetMode="External"/><Relationship Id="rId7274" Type="http://schemas.openxmlformats.org/officeDocument/2006/relationships/hyperlink" Target="https://drive.google.com/file/d/19o3HZoeRNTeMQOBBHoYD_Sz5fuWst4B6/view?usp=drivesdk" TargetMode="External"/><Relationship Id="rId7273" Type="http://schemas.openxmlformats.org/officeDocument/2006/relationships/hyperlink" Target="https://drive.google.com/file/d/1OG_pGDsGFbZphp_FPeMEHnSScIWMXQmx/view?usp=drivesdk" TargetMode="External"/><Relationship Id="rId7279" Type="http://schemas.openxmlformats.org/officeDocument/2006/relationships/hyperlink" Target="https://drive.google.com/file/d/1MTzJAO64_FSCGUdb4_DfA4aWLgG-EmI1/view?usp=drivesdk" TargetMode="External"/><Relationship Id="rId7278" Type="http://schemas.openxmlformats.org/officeDocument/2006/relationships/hyperlink" Target="https://drive.google.com/file/d/1B9aM2VxtezW_BJWMHy572jYNj9agHdW7/view?usp=drivesdk" TargetMode="External"/><Relationship Id="rId7277" Type="http://schemas.openxmlformats.org/officeDocument/2006/relationships/hyperlink" Target="https://drive.google.com/file/d/1bEMr6LA-_XeMtaJYYfsDFtYTPi-Cwark/view?usp=drivesdk" TargetMode="External"/><Relationship Id="rId7261" Type="http://schemas.openxmlformats.org/officeDocument/2006/relationships/hyperlink" Target="https://drive.google.com/file/d/1v2JMr_ka2Hf6l2X2C4h1IDBGS1NKOxeu/view?usp=drivesdk" TargetMode="External"/><Relationship Id="rId8592" Type="http://schemas.openxmlformats.org/officeDocument/2006/relationships/hyperlink" Target="https://drive.google.com/file/d/1K_AGHVdKDhQTwjtvggAvQKxha8UJiQpc/view?usp=drivesdk" TargetMode="External"/><Relationship Id="rId7260" Type="http://schemas.openxmlformats.org/officeDocument/2006/relationships/hyperlink" Target="https://drive.google.com/file/d/1neKpLk8yv-9ZY32FpzS7-iEsWf0n52wu/view?usp=drivesdk" TargetMode="External"/><Relationship Id="rId8591" Type="http://schemas.openxmlformats.org/officeDocument/2006/relationships/hyperlink" Target="https://drive.google.com/file/d/1VuHb9GaCbZjleVdhToERAD3kWncagoWl/view?usp=drivesdk" TargetMode="External"/><Relationship Id="rId8590" Type="http://schemas.openxmlformats.org/officeDocument/2006/relationships/hyperlink" Target="https://drive.google.com/file/d/1Lf-w3izHhMkUsiVvmJWAysEYTdB2OqlC/view?usp=drivesdk" TargetMode="External"/><Relationship Id="rId7265" Type="http://schemas.openxmlformats.org/officeDocument/2006/relationships/hyperlink" Target="https://drive.google.com/file/d/1IiZOMZCGhBsBlVMF_hG_EmK5fL9EG4rw/view?usp=drivesdk" TargetMode="External"/><Relationship Id="rId8596" Type="http://schemas.openxmlformats.org/officeDocument/2006/relationships/hyperlink" Target="https://drive.google.com/file/d/1HMmeZ-oYGZ4EyboGQbHCzWYr7aarBpW0/view?usp=drivesdk" TargetMode="External"/><Relationship Id="rId7264" Type="http://schemas.openxmlformats.org/officeDocument/2006/relationships/hyperlink" Target="https://drive.google.com/file/d/1G3CLs0nCUnx5-ER9gAULXggUr_4PiuAg/view?usp=drivesdk" TargetMode="External"/><Relationship Id="rId8595" Type="http://schemas.openxmlformats.org/officeDocument/2006/relationships/hyperlink" Target="https://drive.google.com/file/d/12kLMznMAJC95dsUFIJAfmP1wOB0HAIGE/view?usp=drivesdk" TargetMode="External"/><Relationship Id="rId7263" Type="http://schemas.openxmlformats.org/officeDocument/2006/relationships/hyperlink" Target="https://drive.google.com/file/d/18bPNC53_e4J2wfUYp6SOjgrLxmxwcT8Y/view?usp=drivesdk" TargetMode="External"/><Relationship Id="rId8594" Type="http://schemas.openxmlformats.org/officeDocument/2006/relationships/hyperlink" Target="https://drive.google.com/file/d/1Z1lHMFQ2fiCu2EIsHL32LjBqca-1BXT0/view?usp=drivesdk" TargetMode="External"/><Relationship Id="rId7262" Type="http://schemas.openxmlformats.org/officeDocument/2006/relationships/hyperlink" Target="https://drive.google.com/file/d/1W26yOZlkP1LfXZ7S5b70mXlzfjtw14Mf/view?usp=drivesdk" TargetMode="External"/><Relationship Id="rId8593" Type="http://schemas.openxmlformats.org/officeDocument/2006/relationships/hyperlink" Target="https://drive.google.com/file/d/1HL6WnTgCy-x8FaJTcYm9QaoCvAOyU8QX/view?usp=drivesdk" TargetMode="External"/><Relationship Id="rId7269" Type="http://schemas.openxmlformats.org/officeDocument/2006/relationships/hyperlink" Target="https://drive.google.com/file/d/1o2QBDNjmOLQJy-s2Y8B-i0G7BtibmP39/view?usp=drivesdk" TargetMode="External"/><Relationship Id="rId7268" Type="http://schemas.openxmlformats.org/officeDocument/2006/relationships/hyperlink" Target="https://drive.google.com/file/d/1SNNeXu1cfYWUI45o77ZSA3AQHtBgUPJt/view?usp=drivesdk" TargetMode="External"/><Relationship Id="rId8599" Type="http://schemas.openxmlformats.org/officeDocument/2006/relationships/hyperlink" Target="https://drive.google.com/file/d/1qOLJc5bkdy311YmAmyixM9uKo5oHnw6A/view?usp=drivesdk" TargetMode="External"/><Relationship Id="rId7267" Type="http://schemas.openxmlformats.org/officeDocument/2006/relationships/hyperlink" Target="https://drive.google.com/file/d/1bVnJCIg6ASnHOocQ_BO4SboeZ7A7Opl8/view?usp=drivesdk" TargetMode="External"/><Relationship Id="rId8598" Type="http://schemas.openxmlformats.org/officeDocument/2006/relationships/hyperlink" Target="https://drive.google.com/file/d/1zcLQfYFEj_b3Ictez9WK2wyE6JlmFuBP/view?usp=drivesdk" TargetMode="External"/><Relationship Id="rId7266" Type="http://schemas.openxmlformats.org/officeDocument/2006/relationships/hyperlink" Target="https://drive.google.com/file/d/1IvJteFCj802Gqes1yB-UDGGW5xPQP-Pp/view?usp=drivesdk" TargetMode="External"/><Relationship Id="rId8597" Type="http://schemas.openxmlformats.org/officeDocument/2006/relationships/hyperlink" Target="https://drive.google.com/file/d/1C2dPU60j29ehSFZv0wR22rDveYIfqfvT/view?usp=drivesdk" TargetMode="External"/><Relationship Id="rId7294" Type="http://schemas.openxmlformats.org/officeDocument/2006/relationships/hyperlink" Target="https://drive.google.com/file/d/1gXNxHSWvFSjsgD2EoyNviD9G6wLS6C2K/view?usp=drivesdk" TargetMode="External"/><Relationship Id="rId7293" Type="http://schemas.openxmlformats.org/officeDocument/2006/relationships/hyperlink" Target="https://drive.google.com/file/d/16bsVANB_PRiFNlmeq_vLLUeOwljve01p/view?usp=drivesdk" TargetMode="External"/><Relationship Id="rId7292" Type="http://schemas.openxmlformats.org/officeDocument/2006/relationships/hyperlink" Target="https://drive.google.com/file/d/1Bp6zxP9M04uIm1cf-LEu3vYn2l7tRYPG/view?usp=drivesdk" TargetMode="External"/><Relationship Id="rId7291" Type="http://schemas.openxmlformats.org/officeDocument/2006/relationships/hyperlink" Target="https://drive.google.com/file/d/1KZ2Pif2eG87FISpVETjiWhWVKUGhdFYb/view?usp=drivesdk" TargetMode="External"/><Relationship Id="rId7298" Type="http://schemas.openxmlformats.org/officeDocument/2006/relationships/hyperlink" Target="https://drive.google.com/file/d/1D0Fgtl0cNVY17xwmRsnc-RgIkxK4bmAG/view?usp=drivesdk" TargetMode="External"/><Relationship Id="rId7297" Type="http://schemas.openxmlformats.org/officeDocument/2006/relationships/hyperlink" Target="https://drive.google.com/file/d/1GobKRgCOeP4tx1mtBu1gM4qJkCv3g1ja/view?usp=drivesdk" TargetMode="External"/><Relationship Id="rId7296" Type="http://schemas.openxmlformats.org/officeDocument/2006/relationships/hyperlink" Target="https://drive.google.com/file/d/19m_xh7OebdBn9WJ6Fb8lv6aAODzZC4pD/view?usp=drivesdk" TargetMode="External"/><Relationship Id="rId7295" Type="http://schemas.openxmlformats.org/officeDocument/2006/relationships/hyperlink" Target="https://drive.google.com/file/d/1nM1aYcE9nirNetHydw6dfBYVNnLlHr5g/view?usp=drivesdk" TargetMode="External"/><Relationship Id="rId7299" Type="http://schemas.openxmlformats.org/officeDocument/2006/relationships/hyperlink" Target="https://drive.google.com/file/d/1ZqGwVvPQnSlaEmCRrOQKkAcv6yqEY_1F/view?usp=drivesdk" TargetMode="External"/><Relationship Id="rId7290" Type="http://schemas.openxmlformats.org/officeDocument/2006/relationships/hyperlink" Target="https://drive.google.com/file/d/187LpnklAc-wIGscd7unLU9HcQVianwmy/view?usp=drivesdk" TargetMode="External"/><Relationship Id="rId7283" Type="http://schemas.openxmlformats.org/officeDocument/2006/relationships/hyperlink" Target="https://drive.google.com/file/d/1rkvp5NLEhjxrJhY1ieg9pfA3d_yIlcJV/view?usp=drivesdk" TargetMode="External"/><Relationship Id="rId7282" Type="http://schemas.openxmlformats.org/officeDocument/2006/relationships/hyperlink" Target="https://drive.google.com/file/d/1dBbrQ8n52YWKSEJ_eU2MfPtL8KDpDv0W/view?usp=drivesdk" TargetMode="External"/><Relationship Id="rId7281" Type="http://schemas.openxmlformats.org/officeDocument/2006/relationships/hyperlink" Target="https://drive.google.com/file/d/1mTDg3ovw0ufZO9pmRyX19_0AA6FfiYBc/view?usp=drivesdk" TargetMode="External"/><Relationship Id="rId7280" Type="http://schemas.openxmlformats.org/officeDocument/2006/relationships/hyperlink" Target="https://drive.google.com/file/d/1dcGaJRYP09L-IMP1tFkzDWtLoCWDE7Xq/view?usp=drivesdk" TargetMode="External"/><Relationship Id="rId7287" Type="http://schemas.openxmlformats.org/officeDocument/2006/relationships/hyperlink" Target="https://drive.google.com/file/d/1T4IOY6CLMEGZEGxIava5q93dAalArzdd/view?usp=drivesdk" TargetMode="External"/><Relationship Id="rId7286" Type="http://schemas.openxmlformats.org/officeDocument/2006/relationships/hyperlink" Target="https://drive.google.com/file/d/10ppAIQ67bq9QUPV1B3xI6wJAZ3mLy8mF/view?usp=drivesdk" TargetMode="External"/><Relationship Id="rId7285" Type="http://schemas.openxmlformats.org/officeDocument/2006/relationships/hyperlink" Target="https://drive.google.com/file/d/1hLwH25eKLk6EJYuBJpwgd02wb1OX61I2/view?usp=drivesdk" TargetMode="External"/><Relationship Id="rId7284" Type="http://schemas.openxmlformats.org/officeDocument/2006/relationships/hyperlink" Target="https://drive.google.com/file/d/14Uop2_yoBIgAodj-2Xm4vSlihVrdKFsT/view?usp=drivesdk" TargetMode="External"/><Relationship Id="rId7289" Type="http://schemas.openxmlformats.org/officeDocument/2006/relationships/hyperlink" Target="https://drive.google.com/file/d/1sPWdadOgRrRqN2Emf6jjBfKenZfzLu3r/view?usp=drivesdk" TargetMode="External"/><Relationship Id="rId7288" Type="http://schemas.openxmlformats.org/officeDocument/2006/relationships/hyperlink" Target="https://drive.google.com/file/d/1a2SMVHJGvWYVKJSLhvADpZlAUTutMojU/view?usp=drivesdk" TargetMode="External"/><Relationship Id="rId9891" Type="http://schemas.openxmlformats.org/officeDocument/2006/relationships/hyperlink" Target="https://drive.google.com/file/d/10KvDAY9z3ZspbuO8mYffkIigEarnPACA/view?usp=drivesdk" TargetMode="External"/><Relationship Id="rId9892" Type="http://schemas.openxmlformats.org/officeDocument/2006/relationships/hyperlink" Target="https://drive.google.com/file/d/1pXpxOeTwX7DJoy4ahyVOZstZKBBJuVic/view?usp=drivesdk" TargetMode="External"/><Relationship Id="rId9893" Type="http://schemas.openxmlformats.org/officeDocument/2006/relationships/hyperlink" Target="https://drive.google.com/file/d/1L7c2NUG4FMtXoRlUNyELfGl_8YKbbZyN/view?usp=drivesdk" TargetMode="External"/><Relationship Id="rId9894" Type="http://schemas.openxmlformats.org/officeDocument/2006/relationships/hyperlink" Target="https://drive.google.com/file/d/1JTIFJHc6vQsUHB0FP8mX39w7Ma9w4SIG/view?usp=drivesdk" TargetMode="External"/><Relationship Id="rId7232" Type="http://schemas.openxmlformats.org/officeDocument/2006/relationships/hyperlink" Target="https://drive.google.com/file/d/1w1gq7Ir__MHKDNREaAbAxqUm65fBH5Tt/view?usp=drivesdk" TargetMode="External"/><Relationship Id="rId8563" Type="http://schemas.openxmlformats.org/officeDocument/2006/relationships/hyperlink" Target="https://drive.google.com/file/d/1oFuPeo3dqKiwLIgGElneyL2sWxGwML5P/view?usp=drivesdk" TargetMode="External"/><Relationship Id="rId7231" Type="http://schemas.openxmlformats.org/officeDocument/2006/relationships/hyperlink" Target="https://drive.google.com/file/d/1m8ST6DvfPuyKNeug1Qpaqru_tPgZnoqJ/view?usp=drivesdk" TargetMode="External"/><Relationship Id="rId8562" Type="http://schemas.openxmlformats.org/officeDocument/2006/relationships/hyperlink" Target="https://drive.google.com/file/d/15pRiXIXbwUxyd1d4HiDyVAXFpq3WeJKI/view?usp=drivesdk" TargetMode="External"/><Relationship Id="rId7230" Type="http://schemas.openxmlformats.org/officeDocument/2006/relationships/hyperlink" Target="https://drive.google.com/file/d/12hTI2KcPpUHOWLxuYkq9m-l9zWGa_W2O/view?usp=drivesdk" TargetMode="External"/><Relationship Id="rId8561" Type="http://schemas.openxmlformats.org/officeDocument/2006/relationships/hyperlink" Target="https://drive.google.com/file/d/1qUueb21Enhy-RzZjm_RXqjzZobqOrYBH/view?usp=drivesdk" TargetMode="External"/><Relationship Id="rId8560" Type="http://schemas.openxmlformats.org/officeDocument/2006/relationships/hyperlink" Target="https://drive.google.com/file/d/14Y_97c61qWc97KMQOcB-SFoiPR9L-Q7e/view?usp=drivesdk" TargetMode="External"/><Relationship Id="rId9890" Type="http://schemas.openxmlformats.org/officeDocument/2006/relationships/hyperlink" Target="https://drive.google.com/file/d/1C4G5kz9KhJxzBgA4tzZc83Xey2txXTHw/view?usp=drivesdk" TargetMode="External"/><Relationship Id="rId7236" Type="http://schemas.openxmlformats.org/officeDocument/2006/relationships/hyperlink" Target="https://drive.google.com/file/d/1uHtaa7RZ3-WRRt2oSOsq9RiV4SI_pwZR/view?usp=drivesdk" TargetMode="External"/><Relationship Id="rId8567" Type="http://schemas.openxmlformats.org/officeDocument/2006/relationships/hyperlink" Target="https://drive.google.com/file/d/1awRCIWn_o6d1rirIi10BaPQ-OPkrC9Ma/view?usp=drivesdk" TargetMode="External"/><Relationship Id="rId9899" Type="http://schemas.openxmlformats.org/officeDocument/2006/relationships/hyperlink" Target="https://drive.google.com/file/d/1MCpUEFhy9picvFjULE10AFve-U5ovk1h/view?usp=drivesdk" TargetMode="External"/><Relationship Id="rId7235" Type="http://schemas.openxmlformats.org/officeDocument/2006/relationships/hyperlink" Target="https://drive.google.com/file/d/17Aq_ZxgpYMbD6650iJI22F-SMh7U0z62/view?usp=drivesdk" TargetMode="External"/><Relationship Id="rId8566" Type="http://schemas.openxmlformats.org/officeDocument/2006/relationships/hyperlink" Target="https://drive.google.com/file/d/1alofqc6dndcc-B9rV-g1VuWJAMMICHi3/view?usp=drivesdk" TargetMode="External"/><Relationship Id="rId7234" Type="http://schemas.openxmlformats.org/officeDocument/2006/relationships/hyperlink" Target="https://drive.google.com/file/d/1Tpxw4RVUlniyHg_ydjzfHJz7D54K69TQ/view?usp=drivesdk" TargetMode="External"/><Relationship Id="rId8565" Type="http://schemas.openxmlformats.org/officeDocument/2006/relationships/hyperlink" Target="https://drive.google.com/file/d/15jkm4l7geS32kCumsie-QfkZwtRCNgXX/view?usp=drivesdk" TargetMode="External"/><Relationship Id="rId7233" Type="http://schemas.openxmlformats.org/officeDocument/2006/relationships/hyperlink" Target="https://drive.google.com/file/d/1KrKFuG6nMsZrcwU5-HrJAxmSdRQsm4N2/view?usp=drivesdk" TargetMode="External"/><Relationship Id="rId8564" Type="http://schemas.openxmlformats.org/officeDocument/2006/relationships/hyperlink" Target="https://drive.google.com/file/d/1edp-4b7UREqgw_9t5SHloQLdGvHWDz_G/view?usp=drivesdk" TargetMode="External"/><Relationship Id="rId9895" Type="http://schemas.openxmlformats.org/officeDocument/2006/relationships/hyperlink" Target="https://drive.google.com/file/d/1GMLyrsVXEVrhy0g0pKrZkGeoczDNzcQE/view?usp=drivesdk" TargetMode="External"/><Relationship Id="rId7239" Type="http://schemas.openxmlformats.org/officeDocument/2006/relationships/hyperlink" Target="https://drive.google.com/file/d/1ABblFA4k-uvcDGeE7lPRvf50CDbF58m0/view?usp=drivesdk" TargetMode="External"/><Relationship Id="rId9896" Type="http://schemas.openxmlformats.org/officeDocument/2006/relationships/hyperlink" Target="https://drive.google.com/file/d/1T1lbqnF9nvLFFVi3vQ5jL6RjJv827O20/view?usp=drivesdk" TargetMode="External"/><Relationship Id="rId7238" Type="http://schemas.openxmlformats.org/officeDocument/2006/relationships/hyperlink" Target="https://drive.google.com/file/d/1Ps0UkrO2kUWyO3HX6Uw45k5SwhQQAXch/view?usp=drivesdk" TargetMode="External"/><Relationship Id="rId8569" Type="http://schemas.openxmlformats.org/officeDocument/2006/relationships/hyperlink" Target="https://drive.google.com/file/d/1nJA8XBoHmtPhbRQjVd1ADB0eaTXoVUNM/view?usp=drivesdk" TargetMode="External"/><Relationship Id="rId9897" Type="http://schemas.openxmlformats.org/officeDocument/2006/relationships/hyperlink" Target="https://drive.google.com/file/d/1KLdyD1YW8SN9COIg7ElxJNQbVQD847WX/view?usp=drivesdk" TargetMode="External"/><Relationship Id="rId7237" Type="http://schemas.openxmlformats.org/officeDocument/2006/relationships/hyperlink" Target="https://drive.google.com/file/d/1yim4cyv9xu6MsdTmb4DZqmgqqAAd4nkM/view?usp=drivesdk" TargetMode="External"/><Relationship Id="rId8568" Type="http://schemas.openxmlformats.org/officeDocument/2006/relationships/hyperlink" Target="https://drive.google.com/file/d/1L9PKlBVYWXGcHX8cWJqtJlDhBxaSmGVP/view?usp=drivesdk" TargetMode="External"/><Relationship Id="rId9898" Type="http://schemas.openxmlformats.org/officeDocument/2006/relationships/hyperlink" Target="https://drive.google.com/file/d/1VN5Z5lbZHp8NQMmdPzXk476TDr3F3E3Y/view?usp=drivesdk" TargetMode="External"/><Relationship Id="rId9880" Type="http://schemas.openxmlformats.org/officeDocument/2006/relationships/hyperlink" Target="https://drive.google.com/file/d/1GIpDxZ5Q_-dDvpv2558igumpWtTcax4Q/view?usp=drivesdk" TargetMode="External"/><Relationship Id="rId9881" Type="http://schemas.openxmlformats.org/officeDocument/2006/relationships/hyperlink" Target="https://drive.google.com/file/d/1pjlxla615Jmp3PBNooMPo3CESgxhMdSP/view?usp=drivesdk" TargetMode="External"/><Relationship Id="rId9882" Type="http://schemas.openxmlformats.org/officeDocument/2006/relationships/hyperlink" Target="https://drive.google.com/file/d/1EGu0SYSsFdIl1rf8q8dN_xkjtxGEBX6V/view?usp=drivesdk" TargetMode="External"/><Relationship Id="rId9883" Type="http://schemas.openxmlformats.org/officeDocument/2006/relationships/hyperlink" Target="https://drive.google.com/file/d/13wTrtlDjMINwsy3hRrJ6hIfcJBisQjDM/view?usp=drivesdk" TargetMode="External"/><Relationship Id="rId7221" Type="http://schemas.openxmlformats.org/officeDocument/2006/relationships/hyperlink" Target="https://drive.google.com/file/d/1xHWb-zkq1j9sASeIYCdPDwxifIYf4hn3/view?usp=drivesdk" TargetMode="External"/><Relationship Id="rId8552" Type="http://schemas.openxmlformats.org/officeDocument/2006/relationships/hyperlink" Target="https://drive.google.com/file/d/1vP0bVgj2altdXaa_CXYI0KIJ74C3SeM6/view?usp=drivesdk" TargetMode="External"/><Relationship Id="rId7220" Type="http://schemas.openxmlformats.org/officeDocument/2006/relationships/hyperlink" Target="https://drive.google.com/file/d/1FJd2tIzArwyfOXoWBcBRidkpMs_x8bA5/view?usp=drivesdk" TargetMode="External"/><Relationship Id="rId8551" Type="http://schemas.openxmlformats.org/officeDocument/2006/relationships/hyperlink" Target="https://drive.google.com/file/d/1CG1JcYlGb3HASGZRVYZDig0lYY_GUGlM/view?usp=drivesdk" TargetMode="External"/><Relationship Id="rId8550" Type="http://schemas.openxmlformats.org/officeDocument/2006/relationships/hyperlink" Target="https://drive.google.com/file/d/1ZAGrnLRsHEP1YKkV9q6qv0PoTwRnZHZ7/view?usp=drivesdk" TargetMode="External"/><Relationship Id="rId7225" Type="http://schemas.openxmlformats.org/officeDocument/2006/relationships/hyperlink" Target="https://drive.google.com/file/d/19q69swwiDEYgPxeBsITB3HOHUIP9PzET/view?usp=drivesdk" TargetMode="External"/><Relationship Id="rId8556" Type="http://schemas.openxmlformats.org/officeDocument/2006/relationships/hyperlink" Target="https://drive.google.com/file/d/1Vmp8rIkc6VB1J3XpNDaBtzLRXsiglKR9/view?usp=drivesdk" TargetMode="External"/><Relationship Id="rId9888" Type="http://schemas.openxmlformats.org/officeDocument/2006/relationships/hyperlink" Target="https://drive.google.com/file/d/1eMyzU01GsLE2lp5hqR7FjPy1CYMlMdxH/view?usp=drivesdk" TargetMode="External"/><Relationship Id="rId7224" Type="http://schemas.openxmlformats.org/officeDocument/2006/relationships/hyperlink" Target="https://drive.google.com/file/d/18MOSlRso2PYIe4YtWA3_woUJjqd5iQ68/view?usp=drivesdk" TargetMode="External"/><Relationship Id="rId8555" Type="http://schemas.openxmlformats.org/officeDocument/2006/relationships/hyperlink" Target="https://drive.google.com/file/d/1z52OtpU8JH1qKYb333CnSx__2PL_g68S/view?usp=drivesdk" TargetMode="External"/><Relationship Id="rId9889" Type="http://schemas.openxmlformats.org/officeDocument/2006/relationships/hyperlink" Target="https://drive.google.com/file/d/1wL82eiiRrtfTovOdH2NiEllUo1N5cf1d/view?usp=drivesdk" TargetMode="External"/><Relationship Id="rId7223" Type="http://schemas.openxmlformats.org/officeDocument/2006/relationships/hyperlink" Target="https://drive.google.com/file/d/14n0DFK18D3cGpBFZVMrrRWFmtY-4qaqX/view?usp=drivesdk" TargetMode="External"/><Relationship Id="rId8554" Type="http://schemas.openxmlformats.org/officeDocument/2006/relationships/hyperlink" Target="https://drive.google.com/file/d/1BJLlFvUiHNyh3bkWFrQqzLiy7JyX1e8G/view?usp=drivesdk" TargetMode="External"/><Relationship Id="rId7222" Type="http://schemas.openxmlformats.org/officeDocument/2006/relationships/hyperlink" Target="https://drive.google.com/file/d/1DRCg9oETRASjR5ebcndffgFxVn5fqYZm/view?usp=drivesdk" TargetMode="External"/><Relationship Id="rId8553" Type="http://schemas.openxmlformats.org/officeDocument/2006/relationships/hyperlink" Target="https://drive.google.com/file/d/1poYB9dukLmQnO76nZ9-OTdGUIgVLpAAa/view?usp=drivesdk" TargetMode="External"/><Relationship Id="rId7229" Type="http://schemas.openxmlformats.org/officeDocument/2006/relationships/hyperlink" Target="https://drive.google.com/file/d/1kqvSXIYmYlXbkCuHDDZA_Z4n4CxTEFj-/view?usp=drivesdk" TargetMode="External"/><Relationship Id="rId9884" Type="http://schemas.openxmlformats.org/officeDocument/2006/relationships/hyperlink" Target="https://drive.google.com/file/d/1s-LyIwbwEryWPnodG9enAotbaxtv2N2j/view?usp=drivesdk" TargetMode="External"/><Relationship Id="rId7228" Type="http://schemas.openxmlformats.org/officeDocument/2006/relationships/hyperlink" Target="https://drive.google.com/file/d/1XHTQmOzWfEm_LmpKWLuFhCyz1pXRxjMk/view?usp=drivesdk" TargetMode="External"/><Relationship Id="rId8559" Type="http://schemas.openxmlformats.org/officeDocument/2006/relationships/hyperlink" Target="https://drive.google.com/file/d/1Q_G17xfWO-7HvvjeuApMi8z06mfH6AQ0/view?usp=drivesdk" TargetMode="External"/><Relationship Id="rId9885" Type="http://schemas.openxmlformats.org/officeDocument/2006/relationships/hyperlink" Target="https://drive.google.com/file/d/1RUjwqO9gURJSYH1gMhlNWsvRDfF59vzY/view?usp=drivesdk" TargetMode="External"/><Relationship Id="rId7227" Type="http://schemas.openxmlformats.org/officeDocument/2006/relationships/hyperlink" Target="https://drive.google.com/file/d/1Pfqk8QkYBdnUZAnG0UqtXO5ahsbzQR9p/view?usp=drivesdk" TargetMode="External"/><Relationship Id="rId8558" Type="http://schemas.openxmlformats.org/officeDocument/2006/relationships/hyperlink" Target="https://drive.google.com/file/d/1bqrdk7cwgc3NTwEzhoTbhkjRiD_jlo2u/view?usp=drivesdk" TargetMode="External"/><Relationship Id="rId9886" Type="http://schemas.openxmlformats.org/officeDocument/2006/relationships/hyperlink" Target="https://drive.google.com/file/d/1rb44Ejjt8KwvGovTVaIBB8uoNYzGcnXk/view?usp=drivesdk" TargetMode="External"/><Relationship Id="rId7226" Type="http://schemas.openxmlformats.org/officeDocument/2006/relationships/hyperlink" Target="https://drive.google.com/file/d/1Ar_qYMXbPAmR_-4mJECNg47TCFF-urk_/view?usp=drivesdk" TargetMode="External"/><Relationship Id="rId8557" Type="http://schemas.openxmlformats.org/officeDocument/2006/relationships/hyperlink" Target="https://drive.google.com/file/d/1Pd85swJP7EaMk4bY647pBJIkgG3PrKjo/view?usp=drivesdk" TargetMode="External"/><Relationship Id="rId9887" Type="http://schemas.openxmlformats.org/officeDocument/2006/relationships/hyperlink" Target="https://drive.google.com/file/d/1g_1UB0xvzfEaUVgUCjgipHkNorhUAdw1/view?usp=drivesdk" TargetMode="External"/><Relationship Id="rId7250" Type="http://schemas.openxmlformats.org/officeDocument/2006/relationships/hyperlink" Target="https://drive.google.com/file/d/1KJ8bAizvFaK3a6d3mo7J8ValMTm3cyB4/view?usp=drivesdk" TargetMode="External"/><Relationship Id="rId8581" Type="http://schemas.openxmlformats.org/officeDocument/2006/relationships/hyperlink" Target="https://drive.google.com/file/d/1Usl-MwiPgxbBvHosSfWgMfh_MlyNbNRO/view?usp=drivesdk" TargetMode="External"/><Relationship Id="rId8580" Type="http://schemas.openxmlformats.org/officeDocument/2006/relationships/hyperlink" Target="https://drive.google.com/file/d/1t9c5GYH_SLl-a_EqNMjpLBjnGw_Xo4qJ/view?usp=drivesdk" TargetMode="External"/><Relationship Id="rId7254" Type="http://schemas.openxmlformats.org/officeDocument/2006/relationships/hyperlink" Target="https://drive.google.com/file/d/1tlwBK9Yt5v4S-eFZVB-9GgU2vbhp-sn7/view?usp=drivesdk" TargetMode="External"/><Relationship Id="rId8585" Type="http://schemas.openxmlformats.org/officeDocument/2006/relationships/hyperlink" Target="https://drive.google.com/file/d/1U0YuGtZw9m79KPPCpAmxANDaCASrk32U/view?usp=drivesdk" TargetMode="External"/><Relationship Id="rId7253" Type="http://schemas.openxmlformats.org/officeDocument/2006/relationships/hyperlink" Target="https://drive.google.com/file/d/19BqU0Sh3nUf8Fq3L5QKcaAdAJmbVvC2a/view?usp=drivesdk" TargetMode="External"/><Relationship Id="rId8584" Type="http://schemas.openxmlformats.org/officeDocument/2006/relationships/hyperlink" Target="https://drive.google.com/file/d/1qvTTqmFuVGwe80Ca3KchKuANbf_o-4i0/view?usp=drivesdk" TargetMode="External"/><Relationship Id="rId7252" Type="http://schemas.openxmlformats.org/officeDocument/2006/relationships/hyperlink" Target="https://drive.google.com/file/d/1N8YO0cEF647J8Ok0YdTKC1B0xBbRgtQj/view?usp=drivesdk" TargetMode="External"/><Relationship Id="rId8583" Type="http://schemas.openxmlformats.org/officeDocument/2006/relationships/hyperlink" Target="https://drive.google.com/file/d/1mcNkwsSgL3RxVvOj3H81w5QLbF0mzv_F/view?usp=drivesdk" TargetMode="External"/><Relationship Id="rId7251" Type="http://schemas.openxmlformats.org/officeDocument/2006/relationships/hyperlink" Target="https://drive.google.com/file/d/1hHdbfh--l28JEBxa9lk0Mu703iBbUShf/view?usp=drivesdk" TargetMode="External"/><Relationship Id="rId8582" Type="http://schemas.openxmlformats.org/officeDocument/2006/relationships/hyperlink" Target="https://drive.google.com/file/d/1Lb--S46g2mfDE4KB1Oa7dwcHzz2OPRyb/view?usp=drivesdk" TargetMode="External"/><Relationship Id="rId7258" Type="http://schemas.openxmlformats.org/officeDocument/2006/relationships/hyperlink" Target="https://drive.google.com/file/d/19JqWc4tN0IRs5xE7sZbD2DCbSisSzuJ7/view?usp=drivesdk" TargetMode="External"/><Relationship Id="rId8589" Type="http://schemas.openxmlformats.org/officeDocument/2006/relationships/hyperlink" Target="https://drive.google.com/file/d/1h07wMB5mDNy8hdPDUp_IgpUHXqhH8erM/view?usp=drivesdk" TargetMode="External"/><Relationship Id="rId7257" Type="http://schemas.openxmlformats.org/officeDocument/2006/relationships/hyperlink" Target="https://drive.google.com/file/d/14FGZyg1GkGzAB6z7EUoIOpu2PBiekoQG/view?usp=drivesdk" TargetMode="External"/><Relationship Id="rId8588" Type="http://schemas.openxmlformats.org/officeDocument/2006/relationships/hyperlink" Target="https://drive.google.com/file/d/1EyfSKum5FtBjeL78gQBzoDn5Cq5EMbjt/view?usp=drivesdk" TargetMode="External"/><Relationship Id="rId7256" Type="http://schemas.openxmlformats.org/officeDocument/2006/relationships/hyperlink" Target="https://drive.google.com/file/d/1k4UmjVD2Xim7Z-oFTqGjUqxHenChishs/view?usp=drivesdk" TargetMode="External"/><Relationship Id="rId8587" Type="http://schemas.openxmlformats.org/officeDocument/2006/relationships/hyperlink" Target="https://drive.google.com/file/d/1r_exsAxbzd_PzoRJ-1KFAdHNPHdGzZ32/view?usp=drivesdk" TargetMode="External"/><Relationship Id="rId7255" Type="http://schemas.openxmlformats.org/officeDocument/2006/relationships/hyperlink" Target="https://drive.google.com/file/d/1__fF8Rqymu0J89vppyFqzNg-rmOIRMmz/view?usp=drivesdk" TargetMode="External"/><Relationship Id="rId8586" Type="http://schemas.openxmlformats.org/officeDocument/2006/relationships/hyperlink" Target="https://drive.google.com/file/d/1qTDQG5WbHaXECS26lkYNV_g22fq77jJW/view?usp=drivesdk" TargetMode="External"/><Relationship Id="rId7259" Type="http://schemas.openxmlformats.org/officeDocument/2006/relationships/hyperlink" Target="https://drive.google.com/file/d/1UOAMcIyblebLqzoCQaB5kLDnW3OOhUDa/view?usp=drivesdk" TargetMode="External"/><Relationship Id="rId8570" Type="http://schemas.openxmlformats.org/officeDocument/2006/relationships/hyperlink" Target="https://drive.google.com/file/d/1vDdtyJpiuDdK_mEey1FXDpzVSuGIY4G-/view?usp=drivesdk" TargetMode="External"/><Relationship Id="rId7243" Type="http://schemas.openxmlformats.org/officeDocument/2006/relationships/hyperlink" Target="https://drive.google.com/file/d/1o65wiofAgFWB8sybMOxuFQ4gtzdbXUEE/view?usp=drivesdk" TargetMode="External"/><Relationship Id="rId8574" Type="http://schemas.openxmlformats.org/officeDocument/2006/relationships/hyperlink" Target="https://drive.google.com/file/d/1NTqp_6aoNUNR_OHGNYQwp6s9EedWegP1/view?usp=drivesdk" TargetMode="External"/><Relationship Id="rId7242" Type="http://schemas.openxmlformats.org/officeDocument/2006/relationships/hyperlink" Target="https://drive.google.com/file/d/1h8cJQ9QkLJR5jHxVPa7Urg8l5lVOlcFq/view?usp=drivesdk" TargetMode="External"/><Relationship Id="rId8573" Type="http://schemas.openxmlformats.org/officeDocument/2006/relationships/hyperlink" Target="https://drive.google.com/file/d/1YTP9lkWbVNEt3sJYqg4M6wwDNPAz3ABt/view?usp=drivesdk" TargetMode="External"/><Relationship Id="rId7241" Type="http://schemas.openxmlformats.org/officeDocument/2006/relationships/hyperlink" Target="https://drive.google.com/file/d/1ZTVZCgmxVte7Q2DpvqNSVLP3ZazhJ8gk/view?usp=drivesdk" TargetMode="External"/><Relationship Id="rId8572" Type="http://schemas.openxmlformats.org/officeDocument/2006/relationships/hyperlink" Target="https://drive.google.com/file/d/1VCnFLuMTkrFuwVMK-9LhC5GxOD5yEz6k/view?usp=drivesdk" TargetMode="External"/><Relationship Id="rId7240" Type="http://schemas.openxmlformats.org/officeDocument/2006/relationships/hyperlink" Target="https://drive.google.com/file/d/1xLBmZ9-2nOTJ7_RMl_Fhh2lOeJVWjHXh/view?usp=drivesdk" TargetMode="External"/><Relationship Id="rId8571" Type="http://schemas.openxmlformats.org/officeDocument/2006/relationships/hyperlink" Target="https://drive.google.com/file/d/1mjTj7B4BWXEbZDmUMCV3DfGI6EH53PoQ/view?usp=drivesdk" TargetMode="External"/><Relationship Id="rId7247" Type="http://schemas.openxmlformats.org/officeDocument/2006/relationships/hyperlink" Target="https://drive.google.com/file/d/1SIVAs4G47w8DdB_abzsWvg84M2EJOhrZ/view?usp=drivesdk" TargetMode="External"/><Relationship Id="rId8578" Type="http://schemas.openxmlformats.org/officeDocument/2006/relationships/hyperlink" Target="https://drive.google.com/file/d/1ojv5N7u5xHmxhTjvQ7kmgc4zg-Dl69AT/view?usp=drivesdk" TargetMode="External"/><Relationship Id="rId7246" Type="http://schemas.openxmlformats.org/officeDocument/2006/relationships/hyperlink" Target="https://drive.google.com/file/d/1hmiOqSdfi01fAIifLnjU1G7sS6VEwoXu/view?usp=drivesdk" TargetMode="External"/><Relationship Id="rId8577" Type="http://schemas.openxmlformats.org/officeDocument/2006/relationships/hyperlink" Target="https://drive.google.com/file/d/1qB6skwr4IHNkFJcgwpEYzA984lUfhR97/view?usp=drivesdk" TargetMode="External"/><Relationship Id="rId7245" Type="http://schemas.openxmlformats.org/officeDocument/2006/relationships/hyperlink" Target="https://drive.google.com/file/d/1CLjICkwGiNE9mbDA0IxfuoqbE3McJBXr/view?usp=drivesdk" TargetMode="External"/><Relationship Id="rId8576" Type="http://schemas.openxmlformats.org/officeDocument/2006/relationships/hyperlink" Target="https://drive.google.com/file/d/1fW75bTvXq-JQlGW8POKrbkzBR40QfbA_/view?usp=drivesdk" TargetMode="External"/><Relationship Id="rId7244" Type="http://schemas.openxmlformats.org/officeDocument/2006/relationships/hyperlink" Target="https://drive.google.com/file/d/1pf6NMX40bI8JFl1cvu7jr7ycqe-Z2iiG/view?usp=drivesdk" TargetMode="External"/><Relationship Id="rId8575" Type="http://schemas.openxmlformats.org/officeDocument/2006/relationships/hyperlink" Target="https://drive.google.com/file/d/1ckVnX0Ubnt_NQUUE4c42x2PQXWuDXOrC/view?usp=drivesdk" TargetMode="External"/><Relationship Id="rId7249" Type="http://schemas.openxmlformats.org/officeDocument/2006/relationships/hyperlink" Target="https://drive.google.com/file/d/1YSU2zZTIL9AZEreIPBS9JuMaMBd570Tr/view?usp=drivesdk" TargetMode="External"/><Relationship Id="rId7248" Type="http://schemas.openxmlformats.org/officeDocument/2006/relationships/hyperlink" Target="https://drive.google.com/file/d/1sjD7044Jnm_lMXBJ2JEfwXqOjPQQuNPo/view?usp=drivesdk" TargetMode="External"/><Relationship Id="rId8579" Type="http://schemas.openxmlformats.org/officeDocument/2006/relationships/hyperlink" Target="https://drive.google.com/file/d/1k-ur6kf6HlNYxqqVVx7uKsw-ULdjqWgA/view?usp=drivesdk" TargetMode="External"/><Relationship Id="rId10181" Type="http://schemas.openxmlformats.org/officeDocument/2006/relationships/hyperlink" Target="https://drive.google.com/file/d/1GVf0cy_D7meqB3KaYDvOetMWbcRvGkv9/view?usp=drivesdk" TargetMode="External"/><Relationship Id="rId10182" Type="http://schemas.openxmlformats.org/officeDocument/2006/relationships/hyperlink" Target="https://drive.google.com/file/d/1j5upB_X3pJQDkrHUYxE22wDU_xCohe6Y/view?usp=drivesdk" TargetMode="External"/><Relationship Id="rId10180" Type="http://schemas.openxmlformats.org/officeDocument/2006/relationships/hyperlink" Target="https://drive.google.com/file/d/1EoAEHfhm4HJlStZ_S4q30zc78pvbpYtl/view?usp=drivesdk" TargetMode="External"/><Relationship Id="rId10174" Type="http://schemas.openxmlformats.org/officeDocument/2006/relationships/hyperlink" Target="https://drive.google.com/file/d/1j5RMdYtGQRtgH7_u3Mm3S2F-BTDHvjbr/view?usp=drivesdk" TargetMode="External"/><Relationship Id="rId10175" Type="http://schemas.openxmlformats.org/officeDocument/2006/relationships/hyperlink" Target="https://drive.google.com/file/d/1siDoMBVDLo7A9vCk8k8I_-GwQKFJDBdM/view?usp=drivesdk" TargetMode="External"/><Relationship Id="rId10172" Type="http://schemas.openxmlformats.org/officeDocument/2006/relationships/hyperlink" Target="https://drive.google.com/file/d/132H0chjeI7jtFASZ6CGnlJqHAHwSbwKa/view?usp=drivesdk" TargetMode="External"/><Relationship Id="rId10173" Type="http://schemas.openxmlformats.org/officeDocument/2006/relationships/hyperlink" Target="https://drive.google.com/file/d/1G13X9ReiOKys2V6D_nwiF1m8BCy6i8hl/view?usp=drivesdk" TargetMode="External"/><Relationship Id="rId10178" Type="http://schemas.openxmlformats.org/officeDocument/2006/relationships/hyperlink" Target="https://drive.google.com/file/d/1BBpY7-dfTHo09NKI3JZhb33dQv-mZAgR/view?usp=drivesdk" TargetMode="External"/><Relationship Id="rId10179" Type="http://schemas.openxmlformats.org/officeDocument/2006/relationships/hyperlink" Target="https://drive.google.com/file/d/1-MZKO_kEY1TiIVC_2cy0FwCXs7sVp1Ph/view?usp=drivesdk" TargetMode="External"/><Relationship Id="rId10176" Type="http://schemas.openxmlformats.org/officeDocument/2006/relationships/hyperlink" Target="https://drive.google.com/file/d/13DCwPuD5Gkitiz3p1lQMaS_RihdR8BRL/view?usp=drivesdk" TargetMode="External"/><Relationship Id="rId10177" Type="http://schemas.openxmlformats.org/officeDocument/2006/relationships/hyperlink" Target="https://drive.google.com/file/d/1yG_8tjR2pxvbtcchDTEcL52-dyfnJuiB/view?usp=drivesdk" TargetMode="External"/><Relationship Id="rId10192" Type="http://schemas.openxmlformats.org/officeDocument/2006/relationships/hyperlink" Target="https://drive.google.com/file/d/1qgo2wpN-vGnpGW4FBLEyhiBetmNNw9jZ/view?usp=drivesdk" TargetMode="External"/><Relationship Id="rId10193" Type="http://schemas.openxmlformats.org/officeDocument/2006/relationships/hyperlink" Target="https://drive.google.com/file/d/1rQDGObhbos7VTerVqsveWZ-IM_iVn-0o/view?usp=drivesdk" TargetMode="External"/><Relationship Id="rId10190" Type="http://schemas.openxmlformats.org/officeDocument/2006/relationships/hyperlink" Target="https://drive.google.com/file/d/1qhO6IKVSWXNE5OEOmP8ZaM3nfMirMfH3/view?usp=drivesdk" TargetMode="External"/><Relationship Id="rId10191" Type="http://schemas.openxmlformats.org/officeDocument/2006/relationships/hyperlink" Target="https://drive.google.com/file/d/1e0hTIEngtICbuVqGxBma-qQsIyMRuoyv/view?usp=drivesdk" TargetMode="External"/><Relationship Id="rId10185" Type="http://schemas.openxmlformats.org/officeDocument/2006/relationships/hyperlink" Target="https://drive.google.com/file/d/1QvUAe9N1c5Op4e_OOjRC_FpGOckEpNxT/view?usp=drivesdk" TargetMode="External"/><Relationship Id="rId10186" Type="http://schemas.openxmlformats.org/officeDocument/2006/relationships/hyperlink" Target="https://drive.google.com/file/d/1ItG3P7e6Zu-MFPHXkP_5GtOv0eCDD3y8/view?usp=drivesdk" TargetMode="External"/><Relationship Id="rId10183" Type="http://schemas.openxmlformats.org/officeDocument/2006/relationships/hyperlink" Target="https://drive.google.com/file/d/1359M1LoITRqBjCtRS-zQiZCl0LmvACcA/view?usp=drivesdk" TargetMode="External"/><Relationship Id="rId10184" Type="http://schemas.openxmlformats.org/officeDocument/2006/relationships/hyperlink" Target="https://drive.google.com/file/d/1Zfi-OmhT7FO-sUxrFJS-q0ACyA0jKh-9/view?usp=drivesdk" TargetMode="External"/><Relationship Id="rId10189" Type="http://schemas.openxmlformats.org/officeDocument/2006/relationships/hyperlink" Target="https://drive.google.com/file/d/1eon2ffx4LRswY-A0MQAXc90fQSNhKbai/view?usp=drivesdk" TargetMode="External"/><Relationship Id="rId10187" Type="http://schemas.openxmlformats.org/officeDocument/2006/relationships/hyperlink" Target="https://drive.google.com/file/d/19iMSZEgFgRFtxSe_OOd3OXkRiD2CmnWF/view?usp=drivesdk" TargetMode="External"/><Relationship Id="rId10188" Type="http://schemas.openxmlformats.org/officeDocument/2006/relationships/hyperlink" Target="https://drive.google.com/file/d/1uvOZ1_ZKO9ZYyhEeMVp4at5a9YYVFmDf/view?usp=drivesdk" TargetMode="External"/><Relationship Id="rId11491" Type="http://schemas.openxmlformats.org/officeDocument/2006/relationships/hyperlink" Target="https://drive.google.com/file/d/1z_Ec3ZXE8S0Ck-ENvv01zRKgDcYFUa4C/view?usp=drivesdk" TargetMode="External"/><Relationship Id="rId10160" Type="http://schemas.openxmlformats.org/officeDocument/2006/relationships/hyperlink" Target="https://drive.google.com/file/d/1hpLjrnQHwcHsN9hGDkBSRZKveGx0Y3ev/view?usp=drivesdk" TargetMode="External"/><Relationship Id="rId11490" Type="http://schemas.openxmlformats.org/officeDocument/2006/relationships/hyperlink" Target="https://drive.google.com/file/d/1TFk-TYBSC6TVr-CMskeiMUWxHtCcMG4E/view?usp=drivesdk" TargetMode="External"/><Relationship Id="rId10158" Type="http://schemas.openxmlformats.org/officeDocument/2006/relationships/hyperlink" Target="https://drive.google.com/file/d/1tuMki4Qcua9GSUpqqRAFvejLWSiK8e81/view?usp=drivesdk" TargetMode="External"/><Relationship Id="rId10159" Type="http://schemas.openxmlformats.org/officeDocument/2006/relationships/hyperlink" Target="https://drive.google.com/file/d/1DxyDCFAhcWKdMkDLqVMR9p10kfUf5oV-/view?usp=drivesdk" TargetMode="External"/><Relationship Id="rId11489" Type="http://schemas.openxmlformats.org/officeDocument/2006/relationships/hyperlink" Target="https://drive.google.com/file/d/13O9P6da3lXhBbKT4HWsyXz76YgjS9Gfe/view?usp=drivesdk" TargetMode="External"/><Relationship Id="rId10152" Type="http://schemas.openxmlformats.org/officeDocument/2006/relationships/hyperlink" Target="https://drive.google.com/file/d/1dRumq3b5u5Zczu1dKNj0AL_PXTaQ7SY0/view?usp=drivesdk" TargetMode="External"/><Relationship Id="rId11484" Type="http://schemas.openxmlformats.org/officeDocument/2006/relationships/hyperlink" Target="https://drive.google.com/file/d/1Sxjqsc65FTJDz-TkzAQa5Tg2bCwbhxH8/view?usp=drivesdk" TargetMode="External"/><Relationship Id="rId10153" Type="http://schemas.openxmlformats.org/officeDocument/2006/relationships/hyperlink" Target="https://drive.google.com/file/d/1u-wPHyfjXlV5l2siZsocjAy8nBBKKYNN/view?usp=drivesdk" TargetMode="External"/><Relationship Id="rId11483" Type="http://schemas.openxmlformats.org/officeDocument/2006/relationships/hyperlink" Target="https://drive.google.com/file/d/14MMEeBJyx_7MCUrWi3MVpvmmJQZYjtMw/view?usp=drivesdk" TargetMode="External"/><Relationship Id="rId10150" Type="http://schemas.openxmlformats.org/officeDocument/2006/relationships/hyperlink" Target="https://drive.google.com/file/d/16QuB-IPcw6GDy1v6tRAh8I-17ZDs0mQU/view?usp=drivesdk" TargetMode="External"/><Relationship Id="rId11482" Type="http://schemas.openxmlformats.org/officeDocument/2006/relationships/hyperlink" Target="https://drive.google.com/file/d/1r_0qnUmswrsoucmjJ25Gu3-k1Nqc9F8Y/view?usp=drivesdk" TargetMode="External"/><Relationship Id="rId10151" Type="http://schemas.openxmlformats.org/officeDocument/2006/relationships/hyperlink" Target="https://drive.google.com/file/d/11OG03NsoResNVfNR2HIfnSvRm6q_Fapz/view?usp=drivesdk" TargetMode="External"/><Relationship Id="rId11481" Type="http://schemas.openxmlformats.org/officeDocument/2006/relationships/hyperlink" Target="https://drive.google.com/file/d/1Uz80ozTldOL1-LELKCIYoolav8FqiwaN/view?usp=drivesdk" TargetMode="External"/><Relationship Id="rId10156" Type="http://schemas.openxmlformats.org/officeDocument/2006/relationships/hyperlink" Target="https://drive.google.com/file/d/1eplMFUiEmTDCvuRQ0gqRpz5Nw2eZrBQW/view?usp=drivesdk" TargetMode="External"/><Relationship Id="rId11488" Type="http://schemas.openxmlformats.org/officeDocument/2006/relationships/hyperlink" Target="https://drive.google.com/file/d/1fdK7Jc0WTcTi2pvhmZjFhT4cARD1jEU2/view?usp=drivesdk" TargetMode="External"/><Relationship Id="rId10157" Type="http://schemas.openxmlformats.org/officeDocument/2006/relationships/hyperlink" Target="https://drive.google.com/file/d/1ZI1kHsl0xi2TgBQu1vzgkRLEY2F0_9vk/view?usp=drivesdk" TargetMode="External"/><Relationship Id="rId11487" Type="http://schemas.openxmlformats.org/officeDocument/2006/relationships/hyperlink" Target="https://drive.google.com/file/d/1bFBNfNtoa2UKJcbKFgSVfrzNfgT2vvon/view?usp=drivesdk" TargetMode="External"/><Relationship Id="rId10154" Type="http://schemas.openxmlformats.org/officeDocument/2006/relationships/hyperlink" Target="https://drive.google.com/file/d/1glbhQrEOvUq4dQ5oLqgUW_bX2E0-NttC/view?usp=drivesdk" TargetMode="External"/><Relationship Id="rId11486" Type="http://schemas.openxmlformats.org/officeDocument/2006/relationships/hyperlink" Target="https://drive.google.com/file/d/1lFDxmGw-hleN_Qck2BfYatTkVercFQPl/view?usp=drivesdk" TargetMode="External"/><Relationship Id="rId10155" Type="http://schemas.openxmlformats.org/officeDocument/2006/relationships/hyperlink" Target="https://drive.google.com/file/d/1k6jKgaMzVfaXsoAi_s28GXhl7JGx_DGc/view?usp=drivesdk" TargetMode="External"/><Relationship Id="rId11485" Type="http://schemas.openxmlformats.org/officeDocument/2006/relationships/hyperlink" Target="https://drive.google.com/file/d/1y4koVZSCrx9nm5wW4-9qCoIQKTSPDe59/view?usp=drivesdk" TargetMode="External"/><Relationship Id="rId10170" Type="http://schemas.openxmlformats.org/officeDocument/2006/relationships/hyperlink" Target="https://drive.google.com/file/d/1H9pCGfAoxBoM0w3BZ6OSF0R22YLheeT6/view?usp=drivesdk" TargetMode="External"/><Relationship Id="rId10171" Type="http://schemas.openxmlformats.org/officeDocument/2006/relationships/hyperlink" Target="https://drive.google.com/file/d/1Ze8WraioRqH0q9ue9rYmKoTW4IFZ9KFI/view?usp=drivesdk" TargetMode="External"/><Relationship Id="rId10169" Type="http://schemas.openxmlformats.org/officeDocument/2006/relationships/hyperlink" Target="https://drive.google.com/file/d/1GuwV0SgB-KnCLVtRxt_Jv9aMoH7PgYDs/view?usp=drivesdk" TargetMode="External"/><Relationship Id="rId10163" Type="http://schemas.openxmlformats.org/officeDocument/2006/relationships/hyperlink" Target="https://drive.google.com/file/d/1-HqHIO4FcdY3LK9CzOWgtZl6Ak3oykqG/view?usp=drivesdk" TargetMode="External"/><Relationship Id="rId11495" Type="http://schemas.openxmlformats.org/officeDocument/2006/relationships/hyperlink" Target="https://drive.google.com/file/d/1WCPN629alQ5eC8LDyUSoMrqRg8crNsFC/view?usp=drivesdk" TargetMode="External"/><Relationship Id="rId10164" Type="http://schemas.openxmlformats.org/officeDocument/2006/relationships/hyperlink" Target="https://drive.google.com/file/d/1xB488UM_HCTbGVC_nTmZIVv4CuwJrnP0/view?usp=drivesdk" TargetMode="External"/><Relationship Id="rId11494" Type="http://schemas.openxmlformats.org/officeDocument/2006/relationships/hyperlink" Target="https://drive.google.com/file/d/1T4BpNZzT9-6gx5vYnIMqsauxbXPTg-XO/view?usp=drivesdk" TargetMode="External"/><Relationship Id="rId10161" Type="http://schemas.openxmlformats.org/officeDocument/2006/relationships/hyperlink" Target="https://drive.google.com/file/d/14BRcohfI7ucubXaiMEPvT0hrU-oIODcr/view?usp=drivesdk" TargetMode="External"/><Relationship Id="rId11493" Type="http://schemas.openxmlformats.org/officeDocument/2006/relationships/hyperlink" Target="https://drive.google.com/file/d/1nsnebywTsJKYQ1NeqJ8mPUcoR1IICp1-/view?usp=drivesdk" TargetMode="External"/><Relationship Id="rId10162" Type="http://schemas.openxmlformats.org/officeDocument/2006/relationships/hyperlink" Target="https://drive.google.com/file/d/1dKvU0ff_E6vVFur0q2z23PTFBEZ48svf/view?usp=drivesdk" TargetMode="External"/><Relationship Id="rId11492" Type="http://schemas.openxmlformats.org/officeDocument/2006/relationships/hyperlink" Target="https://drive.google.com/file/d/1JfrvAuEpC4SeLcDmylRIh8dZ8-4QOiUw/view?usp=drivesdk" TargetMode="External"/><Relationship Id="rId10167" Type="http://schemas.openxmlformats.org/officeDocument/2006/relationships/hyperlink" Target="https://drive.google.com/file/d/1cg-A8si01v24hZKFSnS_iqgRWBttqMJx/view?usp=drivesdk" TargetMode="External"/><Relationship Id="rId11499" Type="http://schemas.openxmlformats.org/officeDocument/2006/relationships/hyperlink" Target="https://drive.google.com/file/d/1W27yFV_VsPYixnQb6e0Ob9GNqOAUsJYL/view?usp=drivesdk" TargetMode="External"/><Relationship Id="rId10168" Type="http://schemas.openxmlformats.org/officeDocument/2006/relationships/hyperlink" Target="https://drive.google.com/file/d/12u7Nt-3Ffy25L3THtEGeqanRM07-fxnE/view?usp=drivesdk" TargetMode="External"/><Relationship Id="rId11498" Type="http://schemas.openxmlformats.org/officeDocument/2006/relationships/hyperlink" Target="https://drive.google.com/file/d/1yfgLl8Ywh9pSS15IYiCVRiFDJ0cSjX6_/view?usp=drivesdk" TargetMode="External"/><Relationship Id="rId10165" Type="http://schemas.openxmlformats.org/officeDocument/2006/relationships/hyperlink" Target="https://drive.google.com/file/d/1OpdUFM7L9k9K8ypj8tP61u7ItquG09iQ/view?usp=drivesdk" TargetMode="External"/><Relationship Id="rId11497" Type="http://schemas.openxmlformats.org/officeDocument/2006/relationships/hyperlink" Target="https://drive.google.com/file/d/1ZyeiFZM_GfnARML3bUqzx7XLZ8p6tGeN/view?usp=drivesdk" TargetMode="External"/><Relationship Id="rId10166" Type="http://schemas.openxmlformats.org/officeDocument/2006/relationships/hyperlink" Target="https://drive.google.com/file/d/1gB9XO7wM2yUJpwWmY5Bh6fe5nSwxSdGy/view?usp=drivesdk" TargetMode="External"/><Relationship Id="rId11496" Type="http://schemas.openxmlformats.org/officeDocument/2006/relationships/hyperlink" Target="https://drive.google.com/file/d/1m77Aev9_NaroKUNxY-Vgd5YMrpV8GO71/view?usp=drivesdk" TargetMode="External"/><Relationship Id="rId10196" Type="http://schemas.openxmlformats.org/officeDocument/2006/relationships/hyperlink" Target="https://drive.google.com/file/d/1-KTUJPG9dWjfQoYCjj58837fhIJTZTag/view?usp=drivesdk" TargetMode="External"/><Relationship Id="rId10197" Type="http://schemas.openxmlformats.org/officeDocument/2006/relationships/hyperlink" Target="https://drive.google.com/file/d/1oAO1o160nk5Oyz7oDOhYCXka7IHTkFLZ/view?usp=drivesdk" TargetMode="External"/><Relationship Id="rId10194" Type="http://schemas.openxmlformats.org/officeDocument/2006/relationships/hyperlink" Target="https://drive.google.com/file/d/1VX1xnpVVt2b2t1FRba8IRZdVXV5V_uMy/view?usp=drivesdk" TargetMode="External"/><Relationship Id="rId10195" Type="http://schemas.openxmlformats.org/officeDocument/2006/relationships/hyperlink" Target="https://drive.google.com/file/d/1_OuZTIFZ8I6-OzeBGyhJwD-mFWcRDHrw/view?usp=drivesdk" TargetMode="External"/><Relationship Id="rId10198" Type="http://schemas.openxmlformats.org/officeDocument/2006/relationships/hyperlink" Target="https://drive.google.com/file/d/1cLWCN_74Y0R5Ggk3WYEcH0Ld2Nv7AIrj/view?usp=drivesdk" TargetMode="External"/><Relationship Id="rId10199" Type="http://schemas.openxmlformats.org/officeDocument/2006/relationships/hyperlink" Target="https://drive.google.com/file/d/1ti9Np2AC_nrMSSQT6eeQxM3WVmvYMUbz/view?usp=drivesdk" TargetMode="External"/><Relationship Id="rId11426" Type="http://schemas.openxmlformats.org/officeDocument/2006/relationships/hyperlink" Target="https://drive.google.com/file/d/1gjZc7QWfs_hJ_DBTZ6EFLXayVgGMvq_N/view?usp=drivesdk" TargetMode="External"/><Relationship Id="rId12757" Type="http://schemas.openxmlformats.org/officeDocument/2006/relationships/hyperlink" Target="https://drive.google.com/file/d/15F3NSYMAlKGhKJfjedp67yTAwmaT821e/view?usp=drivesdk" TargetMode="External"/><Relationship Id="rId11425" Type="http://schemas.openxmlformats.org/officeDocument/2006/relationships/hyperlink" Target="https://drive.google.com/file/d/16NmEBbSEy7_vctrdSzpAVDiUgkPYVIXv/view?usp=drivesdk" TargetMode="External"/><Relationship Id="rId12756" Type="http://schemas.openxmlformats.org/officeDocument/2006/relationships/hyperlink" Target="https://drive.google.com/file/d/1JqlBfAXoi3lxUfd6sKQ7V6oFtCLOOSln/view?usp=drivesdk" TargetMode="External"/><Relationship Id="rId11424" Type="http://schemas.openxmlformats.org/officeDocument/2006/relationships/hyperlink" Target="https://drive.google.com/file/d/1inW0c5r4Wsq5EGvy6asiP88inUJYVIuH/view?usp=drivesdk" TargetMode="External"/><Relationship Id="rId12755" Type="http://schemas.openxmlformats.org/officeDocument/2006/relationships/hyperlink" Target="https://drive.google.com/file/d/12BcQqhJa8RsJZs-aGivRDw1MuLzVqM2c/view?usp=drivesdk" TargetMode="External"/><Relationship Id="rId11423" Type="http://schemas.openxmlformats.org/officeDocument/2006/relationships/hyperlink" Target="https://drive.google.com/file/d/1Yq-2jyH02AsgWmhuKoUV7dcUuDh_q8jF/view?usp=drivesdk" TargetMode="External"/><Relationship Id="rId12754" Type="http://schemas.openxmlformats.org/officeDocument/2006/relationships/hyperlink" Target="https://drive.google.com/file/d/1YzvycmT3RDZwfqN86GDdNQbZLUz33p4e/view?usp=drivesdk" TargetMode="External"/><Relationship Id="rId11429" Type="http://schemas.openxmlformats.org/officeDocument/2006/relationships/hyperlink" Target="https://drive.google.com/file/d/1DrjDanOFs2gU-6oQkgxruhwZusl9GGxQ/view?usp=drivesdk" TargetMode="External"/><Relationship Id="rId11428" Type="http://schemas.openxmlformats.org/officeDocument/2006/relationships/hyperlink" Target="https://drive.google.com/file/d/1ORKFV2QkPykm23KsA-C8xsWA1ufg1rgu/view?usp=drivesdk" TargetMode="External"/><Relationship Id="rId12759" Type="http://schemas.openxmlformats.org/officeDocument/2006/relationships/hyperlink" Target="https://drive.google.com/file/d/1_7Tqz414S34SEEvl0I_UtIhDHQ3a5Xy-/view?usp=drivesdk" TargetMode="External"/><Relationship Id="rId11427" Type="http://schemas.openxmlformats.org/officeDocument/2006/relationships/hyperlink" Target="https://drive.google.com/file/d/1o8Y8yKc5yX-c01nls7BlvXZCAL-m2N9d/view?usp=drivesdk" TargetMode="External"/><Relationship Id="rId12758" Type="http://schemas.openxmlformats.org/officeDocument/2006/relationships/hyperlink" Target="https://drive.google.com/file/d/1A1NFVX_oWx9MFS0r40VDvmciBs_za3Eb/view?usp=drivesdk" TargetMode="External"/><Relationship Id="rId11422" Type="http://schemas.openxmlformats.org/officeDocument/2006/relationships/hyperlink" Target="https://drive.google.com/file/d/1bk99lrxM3fkgS9boAXEmC5ApH2DoIF7e/view?usp=drivesdk" TargetMode="External"/><Relationship Id="rId12753" Type="http://schemas.openxmlformats.org/officeDocument/2006/relationships/hyperlink" Target="https://drive.google.com/file/d/11vnGgLVebASHlBdxwCtCpofZij6DaMqo/view?usp=drivesdk" TargetMode="External"/><Relationship Id="rId11421" Type="http://schemas.openxmlformats.org/officeDocument/2006/relationships/hyperlink" Target="https://drive.google.com/file/d/1tJT3zkd9ygO3IM8SOwqKYE0neEbhCTS6/view?usp=drivesdk" TargetMode="External"/><Relationship Id="rId12752" Type="http://schemas.openxmlformats.org/officeDocument/2006/relationships/hyperlink" Target="https://drive.google.com/file/d/1BFgbB4zQj5s_Vn_MC1GrZDnax7NXkeN5/view?usp=drivesdk" TargetMode="External"/><Relationship Id="rId11420" Type="http://schemas.openxmlformats.org/officeDocument/2006/relationships/hyperlink" Target="https://drive.google.com/file/d/1cZR4tpGp4ZoBAydGS-eyHXEwpRWaSAnM/view?usp=drivesdk" TargetMode="External"/><Relationship Id="rId12751" Type="http://schemas.openxmlformats.org/officeDocument/2006/relationships/hyperlink" Target="https://drive.google.com/file/d/1ZEOawJkIQ8dIbkE74uds2qeJWPvq8D9-/view?usp=drivesdk" TargetMode="External"/><Relationship Id="rId12750" Type="http://schemas.openxmlformats.org/officeDocument/2006/relationships/hyperlink" Target="https://drive.google.com/file/d/1GlQ-7m5K7Zsj0zAUxmcBPAb7-cnLcGu9/view?usp=drivesdk" TargetMode="External"/><Relationship Id="rId10105" Type="http://schemas.openxmlformats.org/officeDocument/2006/relationships/hyperlink" Target="https://drive.google.com/file/d/1C9Ar9lCnrn8S5HSniN8A6WKDIL6vTnfr/view?usp=drivesdk" TargetMode="External"/><Relationship Id="rId11437" Type="http://schemas.openxmlformats.org/officeDocument/2006/relationships/hyperlink" Target="https://drive.google.com/file/d/1UOE3CNxQpAse5HdkRoZFzHQhcE5Fwea5/view?usp=drivesdk" TargetMode="External"/><Relationship Id="rId12768" Type="http://schemas.openxmlformats.org/officeDocument/2006/relationships/hyperlink" Target="https://drive.google.com/file/d/1LqVBUUb6vSLaOaPMGohEkqxe7lDBLOiX/view?usp=drivesdk" TargetMode="External"/><Relationship Id="rId10106" Type="http://schemas.openxmlformats.org/officeDocument/2006/relationships/hyperlink" Target="https://drive.google.com/file/d/1tgLR1RbzBxllyUsWHj07ZgRGchOhiO4a/view?usp=drivesdk" TargetMode="External"/><Relationship Id="rId11436" Type="http://schemas.openxmlformats.org/officeDocument/2006/relationships/hyperlink" Target="https://drive.google.com/file/d/1mAi3Z5L6NqP18hOSt7GEnoCduQevo2Kf/view?usp=drivesdk" TargetMode="External"/><Relationship Id="rId12767" Type="http://schemas.openxmlformats.org/officeDocument/2006/relationships/hyperlink" Target="https://drive.google.com/file/d/1hNiEIwFUXcUw8YQaAllveAlvF0aa9tuJ/view?usp=drivesdk" TargetMode="External"/><Relationship Id="rId10103" Type="http://schemas.openxmlformats.org/officeDocument/2006/relationships/hyperlink" Target="https://drive.google.com/file/d/14X4t8rfL9Z3c8kHxJwRIGu9qzVL4r8e5/view?usp=drivesdk" TargetMode="External"/><Relationship Id="rId11435" Type="http://schemas.openxmlformats.org/officeDocument/2006/relationships/hyperlink" Target="https://drive.google.com/file/d/1OyZY9MRpLpEugCCKWxjqmOoX_3P8J8Oy/view?usp=drivesdk" TargetMode="External"/><Relationship Id="rId12766" Type="http://schemas.openxmlformats.org/officeDocument/2006/relationships/hyperlink" Target="https://drive.google.com/file/d/1_SkPLPMhO4l16CHq0eGRcNg7i1QeQbZF/view?usp=drivesdk" TargetMode="External"/><Relationship Id="rId10104" Type="http://schemas.openxmlformats.org/officeDocument/2006/relationships/hyperlink" Target="https://drive.google.com/file/d/1UrxE5GF6IrlPtW4INDFahnVw3ic97QJH/view?usp=drivesdk" TargetMode="External"/><Relationship Id="rId11434" Type="http://schemas.openxmlformats.org/officeDocument/2006/relationships/hyperlink" Target="https://drive.google.com/file/d/1hNvxfux8oQWNyRQ8ikY3jUC7l81XIMSL/view?usp=drivesdk" TargetMode="External"/><Relationship Id="rId12765" Type="http://schemas.openxmlformats.org/officeDocument/2006/relationships/hyperlink" Target="https://drive.google.com/file/d/1EThAW19njPOYbjLw3AL92ySDr_TwBeZU/view?usp=drivesdk" TargetMode="External"/><Relationship Id="rId10109" Type="http://schemas.openxmlformats.org/officeDocument/2006/relationships/hyperlink" Target="https://drive.google.com/file/d/1Gak2n8kqZh5h45kn_6Ja6q47QluG-VJJ/view?usp=drivesdk" TargetMode="External"/><Relationship Id="rId10107" Type="http://schemas.openxmlformats.org/officeDocument/2006/relationships/hyperlink" Target="https://drive.google.com/file/d/1q45-glOF0c9-oy8O1vXY4HVq0lzLNDfQ/view?usp=drivesdk" TargetMode="External"/><Relationship Id="rId11439" Type="http://schemas.openxmlformats.org/officeDocument/2006/relationships/hyperlink" Target="https://drive.google.com/file/d/13o1n1rwfgi1Jo7XF2UzAjnr4vlVGRkW5/view?usp=drivesdk" TargetMode="External"/><Relationship Id="rId10108" Type="http://schemas.openxmlformats.org/officeDocument/2006/relationships/hyperlink" Target="https://drive.google.com/file/d/1cHrm0bvTS_rjwbanP8ryKVRxWzvdNIMx/view?usp=drivesdk" TargetMode="External"/><Relationship Id="rId11438" Type="http://schemas.openxmlformats.org/officeDocument/2006/relationships/hyperlink" Target="https://drive.google.com/file/d/1YgQQvxTYIajhvulDDl2hN295CkRmzj8H/view?usp=drivesdk" TargetMode="External"/><Relationship Id="rId12769" Type="http://schemas.openxmlformats.org/officeDocument/2006/relationships/hyperlink" Target="https://drive.google.com/file/d/1xZXclYvPmW2eOkR9yheov8NRucq1tX4Y/view?usp=drivesdk" TargetMode="External"/><Relationship Id="rId12760" Type="http://schemas.openxmlformats.org/officeDocument/2006/relationships/hyperlink" Target="https://drive.google.com/file/d/1TEvbO5sx2b9DBwIs0_ooW0-rqc1XdQN1/view?usp=drivesdk" TargetMode="External"/><Relationship Id="rId10101" Type="http://schemas.openxmlformats.org/officeDocument/2006/relationships/hyperlink" Target="https://drive.google.com/file/d/1GPvOUbV2Ga4fNTej8l9QfPafS_wrhrL_/view?usp=drivesdk" TargetMode="External"/><Relationship Id="rId11433" Type="http://schemas.openxmlformats.org/officeDocument/2006/relationships/hyperlink" Target="https://drive.google.com/file/d/1KPOBnrizpgb0AVCKAdLbE8uA6hGTjOLR/view?usp=drivesdk" TargetMode="External"/><Relationship Id="rId12764" Type="http://schemas.openxmlformats.org/officeDocument/2006/relationships/hyperlink" Target="https://drive.google.com/file/d/1VBSQlP0wrT0EWxP9NaTEF534zw6bC5N4/view?usp=drivesdk" TargetMode="External"/><Relationship Id="rId10102" Type="http://schemas.openxmlformats.org/officeDocument/2006/relationships/hyperlink" Target="https://drive.google.com/file/d/1HiqndNqxoCpLilnzJPmQu1BzJrCWIkdl/view?usp=drivesdk" TargetMode="External"/><Relationship Id="rId11432" Type="http://schemas.openxmlformats.org/officeDocument/2006/relationships/hyperlink" Target="https://drive.google.com/file/d/1MgNV4uTLdGH_4HeO0W_JtQQvLqu9_tRP/view?usp=drivesdk" TargetMode="External"/><Relationship Id="rId12763" Type="http://schemas.openxmlformats.org/officeDocument/2006/relationships/hyperlink" Target="https://drive.google.com/file/d/11oa6GoZlG7EzQ0BeriCs-OypLpuinH4B/view?usp=drivesdk" TargetMode="External"/><Relationship Id="rId11431" Type="http://schemas.openxmlformats.org/officeDocument/2006/relationships/hyperlink" Target="https://drive.google.com/file/d/1YZMHaykNJ09izy-DxgPhjMbXXyF4YKGF/view?usp=drivesdk" TargetMode="External"/><Relationship Id="rId12762" Type="http://schemas.openxmlformats.org/officeDocument/2006/relationships/hyperlink" Target="https://drive.google.com/file/d/1Ehw-nrDhskdsX3uot5L5yz6NRn4zrWa2/view?usp=drivesdk" TargetMode="External"/><Relationship Id="rId10100" Type="http://schemas.openxmlformats.org/officeDocument/2006/relationships/hyperlink" Target="https://drive.google.com/file/d/1Azxe2uyaZVP3pTBBkmo-qhZde9Mjgsz-/view?usp=drivesdk" TargetMode="External"/><Relationship Id="rId11430" Type="http://schemas.openxmlformats.org/officeDocument/2006/relationships/hyperlink" Target="https://drive.google.com/file/d/1PhQfJIx0idUJS85HDUfUioFRtLgHENz6/view?usp=drivesdk" TargetMode="External"/><Relationship Id="rId12761" Type="http://schemas.openxmlformats.org/officeDocument/2006/relationships/hyperlink" Target="https://drive.google.com/file/d/1meTzR0vkPlvFsFcihprC0Qq9i4sWsp_m/view?usp=drivesdk" TargetMode="External"/><Relationship Id="rId9918" Type="http://schemas.openxmlformats.org/officeDocument/2006/relationships/hyperlink" Target="https://drive.google.com/file/d/18WbEnJrP4UuBrXhc81uDXhGdZB51gcyt/view?usp=drivesdk" TargetMode="External"/><Relationship Id="rId9919" Type="http://schemas.openxmlformats.org/officeDocument/2006/relationships/hyperlink" Target="https://drive.google.com/file/d/1llckqj8nmhZe5YDmJ6ajb8dQbXTl0X5X/view?usp=drivesdk" TargetMode="External"/><Relationship Id="rId9914" Type="http://schemas.openxmlformats.org/officeDocument/2006/relationships/hyperlink" Target="https://drive.google.com/file/d/1Zweb7POekzQROjINaTz7dTmwYZEVSgYj/view?usp=drivesdk" TargetMode="External"/><Relationship Id="rId9915" Type="http://schemas.openxmlformats.org/officeDocument/2006/relationships/hyperlink" Target="https://drive.google.com/file/d/17AitsHsvbB3aTOB15kySWtZmBMNz9Eeo/view?usp=drivesdk" TargetMode="External"/><Relationship Id="rId9916" Type="http://schemas.openxmlformats.org/officeDocument/2006/relationships/hyperlink" Target="https://drive.google.com/file/d/1YpD85gNqz2flNl4HuRadUHKt6GVb4w3G/view?usp=drivesdk" TargetMode="External"/><Relationship Id="rId9917" Type="http://schemas.openxmlformats.org/officeDocument/2006/relationships/hyperlink" Target="http://zulmaniar.sm" TargetMode="External"/><Relationship Id="rId11409" Type="http://schemas.openxmlformats.org/officeDocument/2006/relationships/hyperlink" Target="https://drive.google.com/file/d/1P42_i7pCD7dUJBdMgl0mz82iaNKfzfvY/view?usp=drivesdk" TargetMode="External"/><Relationship Id="rId11404" Type="http://schemas.openxmlformats.org/officeDocument/2006/relationships/hyperlink" Target="https://drive.google.com/file/d/1bDZ61_YbVNdtiS1OF04RWKya5SHlnkJk/view?usp=drivesdk" TargetMode="External"/><Relationship Id="rId12735" Type="http://schemas.openxmlformats.org/officeDocument/2006/relationships/hyperlink" Target="https://drive.google.com/file/d/1J9pm39-TVpiyFC6WIaNzHhZb4n5IM0RI/view?usp=drivesdk" TargetMode="External"/><Relationship Id="rId11403" Type="http://schemas.openxmlformats.org/officeDocument/2006/relationships/hyperlink" Target="https://drive.google.com/file/d/1Ehc_grd_IzbGFoxRdqNni6LBwXPBxfxP/view?usp=drivesdk" TargetMode="External"/><Relationship Id="rId12734" Type="http://schemas.openxmlformats.org/officeDocument/2006/relationships/hyperlink" Target="https://drive.google.com/file/d/1B2MYdVlXozHhQyaSbP_zpu1cmmUHvmra/view?usp=drivesdk" TargetMode="External"/><Relationship Id="rId11402" Type="http://schemas.openxmlformats.org/officeDocument/2006/relationships/hyperlink" Target="https://drive.google.com/file/d/17rX595Scz-9tuZgdYNzLYNj8unRLTHOL/view?usp=drivesdk" TargetMode="External"/><Relationship Id="rId12733" Type="http://schemas.openxmlformats.org/officeDocument/2006/relationships/hyperlink" Target="https://drive.google.com/file/d/1d0v-dXz8W-xOXg0rNJz6FQs1hzdXU8j1/view?usp=drivesdk" TargetMode="External"/><Relationship Id="rId11401" Type="http://schemas.openxmlformats.org/officeDocument/2006/relationships/hyperlink" Target="https://drive.google.com/file/d/1AbvgYWbtola5sqphvzUK4a2QCzAuSFZr/view?usp=drivesdk" TargetMode="External"/><Relationship Id="rId12732" Type="http://schemas.openxmlformats.org/officeDocument/2006/relationships/hyperlink" Target="https://drive.google.com/file/d/1r0msmJ0EFP5KtJoYI3r03cGyocBUu9C4/view?usp=drivesdk" TargetMode="External"/><Relationship Id="rId11408" Type="http://schemas.openxmlformats.org/officeDocument/2006/relationships/hyperlink" Target="https://drive.google.com/file/d/1rFW9_20upIKXlCxl9ZXgwvZQ5BBsi0SM/view?usp=drivesdk" TargetMode="External"/><Relationship Id="rId12739" Type="http://schemas.openxmlformats.org/officeDocument/2006/relationships/hyperlink" Target="https://drive.google.com/file/d/1iFVDu4v4Ss8p3_hVtvY8C5dwtniCx3di/view?usp=drivesdk" TargetMode="External"/><Relationship Id="rId11407" Type="http://schemas.openxmlformats.org/officeDocument/2006/relationships/hyperlink" Target="https://drive.google.com/file/d/13MT78wpfnAtjXAN7Ed8awW0Cjm4_CS3_/view?usp=drivesdk" TargetMode="External"/><Relationship Id="rId12738" Type="http://schemas.openxmlformats.org/officeDocument/2006/relationships/hyperlink" Target="https://drive.google.com/file/d/1oiT_0dwQe0Oq6e0n4tixmXh27fsalEDk/view?usp=drivesdk" TargetMode="External"/><Relationship Id="rId11406" Type="http://schemas.openxmlformats.org/officeDocument/2006/relationships/hyperlink" Target="https://drive.google.com/file/d/1C2nHqTEDYIGeCAU3doU3wxjUaXLEC8BC/view?usp=drivesdk" TargetMode="External"/><Relationship Id="rId12737" Type="http://schemas.openxmlformats.org/officeDocument/2006/relationships/hyperlink" Target="https://drive.google.com/file/d/14SQ7FdmnegHAtGmA4pz34sQSmanh6JKN/view?usp=drivesdk" TargetMode="External"/><Relationship Id="rId11405" Type="http://schemas.openxmlformats.org/officeDocument/2006/relationships/hyperlink" Target="https://drive.google.com/file/d/1tWb612kumIK5ibWdCKuoP4RN01MW1rnj/view?usp=drivesdk" TargetMode="External"/><Relationship Id="rId12736" Type="http://schemas.openxmlformats.org/officeDocument/2006/relationships/hyperlink" Target="https://drive.google.com/file/d/10rV0HmJc_pU5eKWP_6LXejOoKq59ldAY/view?usp=drivesdk" TargetMode="External"/><Relationship Id="rId9910" Type="http://schemas.openxmlformats.org/officeDocument/2006/relationships/hyperlink" Target="https://drive.google.com/file/d/1wkZBvqNEAfO8Im6YdEUSXTU5efrEqfia/view?usp=drivesdk" TargetMode="External"/><Relationship Id="rId9911" Type="http://schemas.openxmlformats.org/officeDocument/2006/relationships/hyperlink" Target="https://drive.google.com/file/d/10ZNoQ53hC90okg146JqvZfROqA8LUNiX/view?usp=drivesdk" TargetMode="External"/><Relationship Id="rId9912" Type="http://schemas.openxmlformats.org/officeDocument/2006/relationships/hyperlink" Target="https://drive.google.com/file/d/1bHDKqfi7hkGOHEcuFUMOJXYEdcwI3tFW/view?usp=drivesdk" TargetMode="External"/><Relationship Id="rId9913" Type="http://schemas.openxmlformats.org/officeDocument/2006/relationships/hyperlink" Target="https://drive.google.com/file/d/1OugdeyMvfIay8YOqeQQjk4C7v-RNKUr-/view?usp=drivesdk" TargetMode="External"/><Relationship Id="rId11400" Type="http://schemas.openxmlformats.org/officeDocument/2006/relationships/hyperlink" Target="https://drive.google.com/file/d/1aZj3JrmpeximZf7t0VxFc0-gTMNcJ2Am/view?usp=drivesdk" TargetMode="External"/><Relationship Id="rId12731" Type="http://schemas.openxmlformats.org/officeDocument/2006/relationships/hyperlink" Target="https://drive.google.com/file/d/1CNQ6lF07LoJam73DJzyzFbskXrRlqB_T/view?usp=drivesdk" TargetMode="External"/><Relationship Id="rId12730" Type="http://schemas.openxmlformats.org/officeDocument/2006/relationships/hyperlink" Target="https://drive.google.com/file/d/1QUpS9QYO6LbEJDG19tUGNRTDVp9GphbY/view?usp=drivesdk" TargetMode="External"/><Relationship Id="rId9907" Type="http://schemas.openxmlformats.org/officeDocument/2006/relationships/hyperlink" Target="https://drive.google.com/file/d/1r8pp0uosORg8qR6vO5oNfYPd2gMBLsKL/view?usp=drivesdk" TargetMode="External"/><Relationship Id="rId9908" Type="http://schemas.openxmlformats.org/officeDocument/2006/relationships/hyperlink" Target="https://drive.google.com/file/d/1wW9ggCDwrBp2A2xFqpXEFaSjae9iO6FF/view?usp=drivesdk" TargetMode="External"/><Relationship Id="rId9909" Type="http://schemas.openxmlformats.org/officeDocument/2006/relationships/hyperlink" Target="https://drive.google.com/file/d/1cNDI9T9v5Dyhr-3IvplSQoxMjXeDj-48/view?usp=drivesdk" TargetMode="External"/><Relationship Id="rId9903" Type="http://schemas.openxmlformats.org/officeDocument/2006/relationships/hyperlink" Target="https://drive.google.com/file/d/1l1SXmAmTGaxYbVeJce9arf8gdM20fjNw/view?usp=drivesdk" TargetMode="External"/><Relationship Id="rId9904" Type="http://schemas.openxmlformats.org/officeDocument/2006/relationships/hyperlink" Target="https://drive.google.com/file/d/1DXGrCKBQ311ikDHYuoqp_B2f84DKRc34/view?usp=drivesdk" TargetMode="External"/><Relationship Id="rId9905" Type="http://schemas.openxmlformats.org/officeDocument/2006/relationships/hyperlink" Target="https://drive.google.com/file/d/15mu8dIIGzjI620HbPguD9qWfq87j7Xgv/view?usp=drivesdk" TargetMode="External"/><Relationship Id="rId9906" Type="http://schemas.openxmlformats.org/officeDocument/2006/relationships/hyperlink" Target="https://drive.google.com/file/d/1ZUl6kf8Q3qgAG0-Hr4pARHpNEp3dTRX3/view?usp=drivesdk" TargetMode="External"/><Relationship Id="rId11415" Type="http://schemas.openxmlformats.org/officeDocument/2006/relationships/hyperlink" Target="https://drive.google.com/file/d/1O9Wvcjou_iIZTyph9XpkMX7T9lMBUNpe/view?usp=drivesdk" TargetMode="External"/><Relationship Id="rId12746" Type="http://schemas.openxmlformats.org/officeDocument/2006/relationships/hyperlink" Target="https://drive.google.com/file/d/1e5MqBkS9dH0XhLKbfE1hsk13D9vAcAPB/view?usp=drivesdk" TargetMode="External"/><Relationship Id="rId11414" Type="http://schemas.openxmlformats.org/officeDocument/2006/relationships/hyperlink" Target="https://drive.google.com/file/d/16klM-0NS8Dq6XxydycPTQvN5zTfL7Q2H/view?usp=drivesdk" TargetMode="External"/><Relationship Id="rId12745" Type="http://schemas.openxmlformats.org/officeDocument/2006/relationships/hyperlink" Target="https://drive.google.com/file/d/1XZjhyAEFL9pK-yc3GOo8mRO4v8qyVOYp/view?usp=drivesdk" TargetMode="External"/><Relationship Id="rId11413" Type="http://schemas.openxmlformats.org/officeDocument/2006/relationships/hyperlink" Target="https://drive.google.com/file/d/13AhzPfrhSkGO9oIfFsjMwVX9djOUtX3s/view?usp=drivesdk" TargetMode="External"/><Relationship Id="rId12744" Type="http://schemas.openxmlformats.org/officeDocument/2006/relationships/hyperlink" Target="https://drive.google.com/file/d/1egezC04C__b3RaeTOzYmsT8bDLxIHxyC/view?usp=drivesdk" TargetMode="External"/><Relationship Id="rId11412" Type="http://schemas.openxmlformats.org/officeDocument/2006/relationships/hyperlink" Target="https://drive.google.com/file/d/12-RIAymZAzqUW3W-omHypuuaAkeeGDF0/view?usp=drivesdk" TargetMode="External"/><Relationship Id="rId12743" Type="http://schemas.openxmlformats.org/officeDocument/2006/relationships/hyperlink" Target="https://drive.google.com/file/d/1jaOhdtCPXYgj5Gk3kQhDP6ceDK2cAMHw/view?usp=drivesdk" TargetMode="External"/><Relationship Id="rId11419" Type="http://schemas.openxmlformats.org/officeDocument/2006/relationships/hyperlink" Target="https://drive.google.com/file/d/1S5BeovhIQg85MPXougHlHI3YG7giUvnw/view?usp=drivesdk" TargetMode="External"/><Relationship Id="rId11418" Type="http://schemas.openxmlformats.org/officeDocument/2006/relationships/hyperlink" Target="https://drive.google.com/file/d/1cDXxPXS4Vb4lM6oxfTygUjk1YEwlwZ6P/view?usp=drivesdk" TargetMode="External"/><Relationship Id="rId12749" Type="http://schemas.openxmlformats.org/officeDocument/2006/relationships/hyperlink" Target="https://drive.google.com/file/d/1jAQIb93WKV3eSgdEiAN-rfN7ZfMI0a5A/view?usp=drivesdk" TargetMode="External"/><Relationship Id="rId11417" Type="http://schemas.openxmlformats.org/officeDocument/2006/relationships/hyperlink" Target="https://drive.google.com/file/d/1pbqOr4aLjayy3XhIXl18-jpB13pFYkEf/view?usp=drivesdk" TargetMode="External"/><Relationship Id="rId12748" Type="http://schemas.openxmlformats.org/officeDocument/2006/relationships/hyperlink" Target="https://drive.google.com/file/d/1RgKeb32Mt_I-bRp4Rrb4-bTU6c7VL738/view?usp=drivesdk" TargetMode="External"/><Relationship Id="rId11416" Type="http://schemas.openxmlformats.org/officeDocument/2006/relationships/hyperlink" Target="https://drive.google.com/file/d/1zOu-PiDpN1MlpyKT7YR84zcHMyjsK47Y/view?usp=drivesdk" TargetMode="External"/><Relationship Id="rId12747" Type="http://schemas.openxmlformats.org/officeDocument/2006/relationships/hyperlink" Target="https://drive.google.com/file/d/1Uwn0kc1_9O5iTmJF9oQ3zegqAH1LKZ-0/view?usp=drivesdk" TargetMode="External"/><Relationship Id="rId9900" Type="http://schemas.openxmlformats.org/officeDocument/2006/relationships/hyperlink" Target="https://drive.google.com/file/d/12puzQBQsF03w-MWyVDNpm0bzV3VakpzO/view?usp=drivesdk" TargetMode="External"/><Relationship Id="rId9901" Type="http://schemas.openxmlformats.org/officeDocument/2006/relationships/hyperlink" Target="https://drive.google.com/file/d/1I7UoOnoFnw8LKSj17XvJr_lRorilfBpG/view?usp=drivesdk" TargetMode="External"/><Relationship Id="rId9902" Type="http://schemas.openxmlformats.org/officeDocument/2006/relationships/hyperlink" Target="https://drive.google.com/file/d/18gB3kHZ98Cams7T-7uPU7l1sg1t7YskB/view?usp=drivesdk" TargetMode="External"/><Relationship Id="rId11411" Type="http://schemas.openxmlformats.org/officeDocument/2006/relationships/hyperlink" Target="https://drive.google.com/file/d/1kSECUpfbjLcm5LEjX9nNvizFpWn_FKMS/view?usp=drivesdk" TargetMode="External"/><Relationship Id="rId12742" Type="http://schemas.openxmlformats.org/officeDocument/2006/relationships/hyperlink" Target="https://drive.google.com/file/d/1hIR62CVmU7rlUKciAj7E3LrksST5Bnqo/view?usp=drivesdk" TargetMode="External"/><Relationship Id="rId11410" Type="http://schemas.openxmlformats.org/officeDocument/2006/relationships/hyperlink" Target="https://drive.google.com/file/d/1vBPq-9an1wkomhxDUB4sRpCPmHg2ITDw/view?usp=drivesdk" TargetMode="External"/><Relationship Id="rId12741" Type="http://schemas.openxmlformats.org/officeDocument/2006/relationships/hyperlink" Target="https://drive.google.com/file/d/1F5c8MG8xpQCv5NgZg-xFpvZeXCvU_-yg/view?usp=drivesdk" TargetMode="External"/><Relationship Id="rId12740" Type="http://schemas.openxmlformats.org/officeDocument/2006/relationships/hyperlink" Target="https://drive.google.com/file/d/12EL0hOvBEEaWV-Jw_ibSgll4Hl4wHrKC/view?usp=drivesdk" TargetMode="External"/><Relationship Id="rId10138" Type="http://schemas.openxmlformats.org/officeDocument/2006/relationships/hyperlink" Target="https://drive.google.com/file/d/1dp5hRtKI00lyAwAoaQPE2-2olOn8MvvV/view?usp=drivesdk" TargetMode="External"/><Relationship Id="rId10139" Type="http://schemas.openxmlformats.org/officeDocument/2006/relationships/hyperlink" Target="https://drive.google.com/file/d/1VKHNPsV0nVIdeAnn-F1Mm0ECVcpsWimx/view?usp=drivesdk" TargetMode="External"/><Relationship Id="rId11469" Type="http://schemas.openxmlformats.org/officeDocument/2006/relationships/hyperlink" Target="https://drive.google.com/file/d/1sPg8lgRdv0YEY0Dtv6f3b-DbyEC1cMB7/view?usp=drivesdk" TargetMode="External"/><Relationship Id="rId10136" Type="http://schemas.openxmlformats.org/officeDocument/2006/relationships/hyperlink" Target="https://drive.google.com/file/d/1-jQabvM6DP0PHstfmfvKS1tDLie_2IR2/view?usp=drivesdk" TargetMode="External"/><Relationship Id="rId11468" Type="http://schemas.openxmlformats.org/officeDocument/2006/relationships/hyperlink" Target="https://drive.google.com/file/d/1WwfUAyYmRcduJ3webMhoEw6NAUYSHw8q/view?usp=drivesdk" TargetMode="External"/><Relationship Id="rId12799" Type="http://schemas.openxmlformats.org/officeDocument/2006/relationships/hyperlink" Target="https://drive.google.com/file/d/1YnDCaFEUoavD7tfuUwRWP0_k_qTNc3do/view?usp=drivesdk" TargetMode="External"/><Relationship Id="rId10137" Type="http://schemas.openxmlformats.org/officeDocument/2006/relationships/hyperlink" Target="https://drive.google.com/file/d/136fCeAncOvysPUgySJ9JnKMCKNhnDUWz/view?usp=drivesdk" TargetMode="External"/><Relationship Id="rId11467" Type="http://schemas.openxmlformats.org/officeDocument/2006/relationships/hyperlink" Target="https://drive.google.com/file/d/1GAxrAQBp2yN_X-UsIQUSReGGbWQ6fbbY/view?usp=drivesdk" TargetMode="External"/><Relationship Id="rId12798" Type="http://schemas.openxmlformats.org/officeDocument/2006/relationships/hyperlink" Target="https://drive.google.com/file/d/1rSkx0be2MjN-b6ZCWzA3PjaN_4zCfTA8/view?usp=drivesdk" TargetMode="External"/><Relationship Id="rId10130" Type="http://schemas.openxmlformats.org/officeDocument/2006/relationships/hyperlink" Target="https://drive.google.com/file/d/12TftOjhTBMStFqhwj3ylVDAiBqb2drPU/view?usp=drivesdk" TargetMode="External"/><Relationship Id="rId11462" Type="http://schemas.openxmlformats.org/officeDocument/2006/relationships/hyperlink" Target="https://drive.google.com/file/d/17-38mGhOB6ybaAO4HIbhZzsJGP6YNQR5/view?usp=drivesdk" TargetMode="External"/><Relationship Id="rId12793" Type="http://schemas.openxmlformats.org/officeDocument/2006/relationships/hyperlink" Target="https://drive.google.com/file/d/1H8XCcqBe7dHGY1hrd3Wxl-CkLZygGnUh/view?usp=drivesdk" TargetMode="External"/><Relationship Id="rId10131" Type="http://schemas.openxmlformats.org/officeDocument/2006/relationships/hyperlink" Target="https://drive.google.com/file/d/1S92XUnncXIXiikEX-CcnCvpufh_6WZf3/view?usp=drivesdk" TargetMode="External"/><Relationship Id="rId11461" Type="http://schemas.openxmlformats.org/officeDocument/2006/relationships/hyperlink" Target="https://drive.google.com/file/d/1kZKiu8o_0VHNtJnOxPPF0R1Pbj-nulgQ/view?usp=drivesdk" TargetMode="External"/><Relationship Id="rId12792" Type="http://schemas.openxmlformats.org/officeDocument/2006/relationships/hyperlink" Target="https://drive.google.com/file/d/1ZsJw9tUOxxp8gM7sovWVJtKjTNWyg0cn/view?usp=drivesdk" TargetMode="External"/><Relationship Id="rId11460" Type="http://schemas.openxmlformats.org/officeDocument/2006/relationships/hyperlink" Target="https://drive.google.com/file/d/1GnN-Yv--6MAtFn1aNO9RENuKIbrWH-sJ/view?usp=drivesdk" TargetMode="External"/><Relationship Id="rId12791" Type="http://schemas.openxmlformats.org/officeDocument/2006/relationships/hyperlink" Target="https://drive.google.com/file/d/1dNjMBHUOPOc2CoNBEcoechA_6wTtrywO/view?usp=drivesdk" TargetMode="External"/><Relationship Id="rId12790" Type="http://schemas.openxmlformats.org/officeDocument/2006/relationships/hyperlink" Target="https://drive.google.com/file/d/1xdat1-mv9FOPKcke-Pd1D4hZMWKjmDfh/view?usp=drivesdk" TargetMode="External"/><Relationship Id="rId10134" Type="http://schemas.openxmlformats.org/officeDocument/2006/relationships/hyperlink" Target="https://drive.google.com/file/d/1JnV-V165WPKZUq7C-rvviIsU9qWQk-KP/view?usp=drivesdk" TargetMode="External"/><Relationship Id="rId11466" Type="http://schemas.openxmlformats.org/officeDocument/2006/relationships/hyperlink" Target="https://drive.google.com/file/d/1VhsXd42XVuP9jRNdE4Xiwq-eee-RTbsk/view?usp=drivesdk" TargetMode="External"/><Relationship Id="rId12797" Type="http://schemas.openxmlformats.org/officeDocument/2006/relationships/hyperlink" Target="https://drive.google.com/file/d/1vR0NWnI0zZxzYe1Z930ShhBIxFI-7rSf/view?usp=drivesdk" TargetMode="External"/><Relationship Id="rId10135" Type="http://schemas.openxmlformats.org/officeDocument/2006/relationships/hyperlink" Target="https://drive.google.com/file/d/1RkM_TVOB2BlISPOApn57aQ9A8onqHXqb/view?usp=drivesdk" TargetMode="External"/><Relationship Id="rId11465" Type="http://schemas.openxmlformats.org/officeDocument/2006/relationships/hyperlink" Target="https://drive.google.com/file/d/1amSwb3AI_Tt2C4Ivn3SlZhLpLXjzwXLA/view?usp=drivesdk" TargetMode="External"/><Relationship Id="rId12796" Type="http://schemas.openxmlformats.org/officeDocument/2006/relationships/hyperlink" Target="https://drive.google.com/file/d/17TJNwHBYnAFc0XVaPWWDXqx26dHoy8nF/view?usp=drivesdk" TargetMode="External"/><Relationship Id="rId10132" Type="http://schemas.openxmlformats.org/officeDocument/2006/relationships/hyperlink" Target="https://drive.google.com/file/d/1IvC0A3N86ADXiV0LT8rMFDCc8U5RIz9b/view?usp=drivesdk" TargetMode="External"/><Relationship Id="rId11464" Type="http://schemas.openxmlformats.org/officeDocument/2006/relationships/hyperlink" Target="https://drive.google.com/file/d/1ou6tUQ3g8srG_mN4uMeEPTwEmjZt3yDJ/view?usp=drivesdk" TargetMode="External"/><Relationship Id="rId12795" Type="http://schemas.openxmlformats.org/officeDocument/2006/relationships/hyperlink" Target="https://drive.google.com/file/d/1My_glytp87gY-c0oQwbfmFJU2Ylo7-xk/view?usp=drivesdk" TargetMode="External"/><Relationship Id="rId10133" Type="http://schemas.openxmlformats.org/officeDocument/2006/relationships/hyperlink" Target="https://drive.google.com/file/d/1LjOqwYaz5bOPu-_g48KgMaZeJGwCAUkM/view?usp=drivesdk" TargetMode="External"/><Relationship Id="rId11463" Type="http://schemas.openxmlformats.org/officeDocument/2006/relationships/hyperlink" Target="https://drive.google.com/file/d/1AN_IAicSiwONZl6HKW9LD0DXsD_BYx9R/view?usp=drivesdk" TargetMode="External"/><Relationship Id="rId12794" Type="http://schemas.openxmlformats.org/officeDocument/2006/relationships/hyperlink" Target="https://drive.google.com/file/d/1kjEYGyZpkaL2NLPU7tz_hBk_rhx4kLI0/view?usp=drivesdk" TargetMode="External"/><Relationship Id="rId11480" Type="http://schemas.openxmlformats.org/officeDocument/2006/relationships/hyperlink" Target="https://drive.google.com/file/d/1jv4r4kj5C5hcb052AyX7KKIijwDoibxZ/view?usp=drivesdk" TargetMode="External"/><Relationship Id="rId10149" Type="http://schemas.openxmlformats.org/officeDocument/2006/relationships/hyperlink" Target="https://drive.google.com/file/d/1-GtSYN-ynSYS2FNxHeTDsagHLOyAvVOc/view?usp=drivesdk" TargetMode="External"/><Relationship Id="rId10147" Type="http://schemas.openxmlformats.org/officeDocument/2006/relationships/hyperlink" Target="https://drive.google.com/file/d/1u8OVdunTnxXld75iHcJCF7viArEL9YmL/view?usp=drivesdk" TargetMode="External"/><Relationship Id="rId11479" Type="http://schemas.openxmlformats.org/officeDocument/2006/relationships/hyperlink" Target="https://drive.google.com/file/d/1YWDzu9bwVv2m1C5evtKfXY70wE-4El_Y/view?usp=drivesdk" TargetMode="External"/><Relationship Id="rId10148" Type="http://schemas.openxmlformats.org/officeDocument/2006/relationships/hyperlink" Target="https://drive.google.com/file/d/1ZpW7FiOlpeA0YXaI4OZXO9cA2C7gkJTO/view?usp=drivesdk" TargetMode="External"/><Relationship Id="rId11478" Type="http://schemas.openxmlformats.org/officeDocument/2006/relationships/hyperlink" Target="https://drive.google.com/file/d/14l0u9OfX-USCEsgG3ptEmMqLES1M0m2O/view?usp=drivesdk" TargetMode="External"/><Relationship Id="rId10141" Type="http://schemas.openxmlformats.org/officeDocument/2006/relationships/hyperlink" Target="https://drive.google.com/file/d/13OiC-91f18cTK4YxlrKnWu3WzWXa4QEq/view?usp=drivesdk" TargetMode="External"/><Relationship Id="rId11473" Type="http://schemas.openxmlformats.org/officeDocument/2006/relationships/hyperlink" Target="https://drive.google.com/file/d/1XXtRSAlMNdJeRecgZ_MGu8kRtNPb9DTK/view?usp=drivesdk" TargetMode="External"/><Relationship Id="rId10142" Type="http://schemas.openxmlformats.org/officeDocument/2006/relationships/hyperlink" Target="https://drive.google.com/file/d/1CFe-ZWrGNNSoGGNFTqfQifY1Q2ySqSVY/view?usp=drivesdk" TargetMode="External"/><Relationship Id="rId11472" Type="http://schemas.openxmlformats.org/officeDocument/2006/relationships/hyperlink" Target="https://drive.google.com/file/d/1BQpx9RMm5WBv8FBHa2ZDi0w8XtypC03p/view?usp=drivesdk" TargetMode="External"/><Relationship Id="rId11471" Type="http://schemas.openxmlformats.org/officeDocument/2006/relationships/hyperlink" Target="https://drive.google.com/file/d/1W958W5rJHhliaXkw2pg1WYoTsW41_cH_/view?usp=drivesdk" TargetMode="External"/><Relationship Id="rId10140" Type="http://schemas.openxmlformats.org/officeDocument/2006/relationships/hyperlink" Target="https://drive.google.com/file/d/1_2sGhxFbjbsjL4kVs-01_0jnbtXtj2C6/view?usp=drivesdk" TargetMode="External"/><Relationship Id="rId11470" Type="http://schemas.openxmlformats.org/officeDocument/2006/relationships/hyperlink" Target="https://drive.google.com/file/d/1zZ9lzYvU9SpuDXpwa3kHqfu3X1AdbuhO/view?usp=drivesdk" TargetMode="External"/><Relationship Id="rId10145" Type="http://schemas.openxmlformats.org/officeDocument/2006/relationships/hyperlink" Target="https://drive.google.com/file/d/17ntuT5mEr69TSJvr5Va0_n4gEGL052yJ/view?usp=drivesdk" TargetMode="External"/><Relationship Id="rId11477" Type="http://schemas.openxmlformats.org/officeDocument/2006/relationships/hyperlink" Target="https://drive.google.com/file/d/1bV8GFyEasMaAkBVuopz7pOOXQ-DRHoNe/view?usp=drivesdk" TargetMode="External"/><Relationship Id="rId10146" Type="http://schemas.openxmlformats.org/officeDocument/2006/relationships/hyperlink" Target="https://drive.google.com/file/d/1WkQ3yUhlCH6cUXejZNswUqCsupLEB4fw/view?usp=drivesdk" TargetMode="External"/><Relationship Id="rId11476" Type="http://schemas.openxmlformats.org/officeDocument/2006/relationships/hyperlink" Target="https://drive.google.com/file/d/1_9wm9zXhRN7IqRMTQAxwjDjEbHG29bUt/view?usp=drivesdk" TargetMode="External"/><Relationship Id="rId10143" Type="http://schemas.openxmlformats.org/officeDocument/2006/relationships/hyperlink" Target="https://drive.google.com/file/d/184JlxDD2wmL7S9Ip2VPj4aEj3M9aUi28/view?usp=drivesdk" TargetMode="External"/><Relationship Id="rId11475" Type="http://schemas.openxmlformats.org/officeDocument/2006/relationships/hyperlink" Target="https://drive.google.com/file/d/1_j95xSBj1ey-1glQpVv7kCFE9lDfNor8/view?usp=drivesdk" TargetMode="External"/><Relationship Id="rId10144" Type="http://schemas.openxmlformats.org/officeDocument/2006/relationships/hyperlink" Target="https://drive.google.com/file/d/1HmNKzOLh6m0nEoVJ-SpWVOgMyZubK1YB/view?usp=drivesdk" TargetMode="External"/><Relationship Id="rId11474" Type="http://schemas.openxmlformats.org/officeDocument/2006/relationships/hyperlink" Target="https://drive.google.com/file/d/1qEZ2_Srs4Frl07hVFhjGcjvQEkYQVXen/view?usp=drivesdk" TargetMode="External"/><Relationship Id="rId10116" Type="http://schemas.openxmlformats.org/officeDocument/2006/relationships/hyperlink" Target="https://drive.google.com/file/d/1JdgOHa6rWr4vT5Goa-uD2E6Oz0-A23Mu/view?usp=drivesdk" TargetMode="External"/><Relationship Id="rId11448" Type="http://schemas.openxmlformats.org/officeDocument/2006/relationships/hyperlink" Target="https://drive.google.com/file/d/1-qbtTOis08tVw44UipxbcZwcelZdGc1t/view?usp=drivesdk" TargetMode="External"/><Relationship Id="rId12779" Type="http://schemas.openxmlformats.org/officeDocument/2006/relationships/hyperlink" Target="https://drive.google.com/file/d/11wb5ui5j-OvAmmqI4V19C1QlhjIukCLQ/view?usp=drivesdk" TargetMode="External"/><Relationship Id="rId10117" Type="http://schemas.openxmlformats.org/officeDocument/2006/relationships/hyperlink" Target="https://drive.google.com/file/d/1FDbSQi7rMqgh53xL2GzDE6CTWxBxzYVm/view?usp=drivesdk" TargetMode="External"/><Relationship Id="rId11447" Type="http://schemas.openxmlformats.org/officeDocument/2006/relationships/hyperlink" Target="https://drive.google.com/file/d/1NQKgsme7Luw8Qr6ls7AhQgfNMBNAX1Oq/view?usp=drivesdk" TargetMode="External"/><Relationship Id="rId12778" Type="http://schemas.openxmlformats.org/officeDocument/2006/relationships/hyperlink" Target="https://drive.google.com/file/d/10yiKAMJnsqIXc47i8Rq9nsMiU-ncdtob/view?usp=drivesdk" TargetMode="External"/><Relationship Id="rId10114" Type="http://schemas.openxmlformats.org/officeDocument/2006/relationships/hyperlink" Target="https://drive.google.com/file/d/1fURFN_vFteYegLJCFD-iVtbQlf0_APQZ/view?usp=drivesdk" TargetMode="External"/><Relationship Id="rId11446" Type="http://schemas.openxmlformats.org/officeDocument/2006/relationships/hyperlink" Target="https://drive.google.com/file/d/1CNYy-lt9OS0reE376tMP81vWsHEAr44-/view?usp=drivesdk" TargetMode="External"/><Relationship Id="rId12777" Type="http://schemas.openxmlformats.org/officeDocument/2006/relationships/hyperlink" Target="https://drive.google.com/file/d/1WTBpKVJS4-WS6MMhH0KvwoGzm2vvbQi_/view?usp=drivesdk" TargetMode="External"/><Relationship Id="rId10115" Type="http://schemas.openxmlformats.org/officeDocument/2006/relationships/hyperlink" Target="https://drive.google.com/file/d/1Y_bz4cvznj7fvqAFMSceobMLD3ZqLNzF/view?usp=drivesdk" TargetMode="External"/><Relationship Id="rId11445" Type="http://schemas.openxmlformats.org/officeDocument/2006/relationships/hyperlink" Target="https://drive.google.com/file/d/1cCx3XFHZXswJSpm2W2kRCZaTMl-TkZEi/view?usp=drivesdk" TargetMode="External"/><Relationship Id="rId12776" Type="http://schemas.openxmlformats.org/officeDocument/2006/relationships/hyperlink" Target="https://drive.google.com/file/d/1zNY_uf2dSz2g75pXKE1XQXb9Oho_Jmak/view?usp=drivesdk" TargetMode="External"/><Relationship Id="rId10118" Type="http://schemas.openxmlformats.org/officeDocument/2006/relationships/hyperlink" Target="https://drive.google.com/file/d/1BJKD3oeqRUvUkrYkg6QfzLtduOAiW0kI/view?usp=drivesdk" TargetMode="External"/><Relationship Id="rId10119" Type="http://schemas.openxmlformats.org/officeDocument/2006/relationships/hyperlink" Target="https://drive.google.com/file/d/12UfCkUXG_BPmWv5W1TXSeoDjMw02WUwV/view?usp=drivesdk" TargetMode="External"/><Relationship Id="rId11449" Type="http://schemas.openxmlformats.org/officeDocument/2006/relationships/hyperlink" Target="https://drive.google.com/file/d/121ZeT8cDph1amH3-gtJm87kohZCRR4Q8/view?usp=drivesdk" TargetMode="External"/><Relationship Id="rId11440" Type="http://schemas.openxmlformats.org/officeDocument/2006/relationships/hyperlink" Target="https://drive.google.com/file/d/1aSY5gD2vuUSVzN5smV849I_9Auxg0ek_/view?usp=drivesdk" TargetMode="External"/><Relationship Id="rId12771" Type="http://schemas.openxmlformats.org/officeDocument/2006/relationships/hyperlink" Target="https://drive.google.com/file/d/10r8ofs7c8vMy0NqAWlIsqnw05wGVJBCj/view?usp=drivesdk" TargetMode="External"/><Relationship Id="rId12770" Type="http://schemas.openxmlformats.org/officeDocument/2006/relationships/hyperlink" Target="https://drive.google.com/file/d/181517NkRN8wxkmEL8tAnhO4JSF_5_nCn/view?usp=drivesdk" TargetMode="External"/><Relationship Id="rId10112" Type="http://schemas.openxmlformats.org/officeDocument/2006/relationships/hyperlink" Target="https://drive.google.com/file/d/10azCXVa7Z9NjfcWiB0yFXROHU3Qx5f-x/view?usp=drivesdk" TargetMode="External"/><Relationship Id="rId11444" Type="http://schemas.openxmlformats.org/officeDocument/2006/relationships/hyperlink" Target="https://drive.google.com/file/d/1_tARdSmrXdAOkUctp6at7-7BWJtrAhXu/view?usp=drivesdk" TargetMode="External"/><Relationship Id="rId12775" Type="http://schemas.openxmlformats.org/officeDocument/2006/relationships/hyperlink" Target="https://drive.google.com/file/d/12ikxmQw02kQ7de9TrRDW-QIdOk0jQR5i/view?usp=drivesdk" TargetMode="External"/><Relationship Id="rId10113" Type="http://schemas.openxmlformats.org/officeDocument/2006/relationships/hyperlink" Target="https://drive.google.com/file/d/1F2gR84_1__NdE4BUYiIzaFeg441JLUXz/view?usp=drivesdk" TargetMode="External"/><Relationship Id="rId11443" Type="http://schemas.openxmlformats.org/officeDocument/2006/relationships/hyperlink" Target="https://drive.google.com/file/d/17L9e4LtSVWGocECCorN0wgrJ_3wtz25x/view?usp=drivesdk" TargetMode="External"/><Relationship Id="rId12774" Type="http://schemas.openxmlformats.org/officeDocument/2006/relationships/hyperlink" Target="https://drive.google.com/file/d/1xMtj-ezmrq0PB26D7RF2f03x662keZhZ/view?usp=drivesdk" TargetMode="External"/><Relationship Id="rId10110" Type="http://schemas.openxmlformats.org/officeDocument/2006/relationships/hyperlink" Target="https://drive.google.com/file/d/1TMIpUitQznNGf-K9NVsd8frnd2lslAhS/view?usp=drivesdk" TargetMode="External"/><Relationship Id="rId11442" Type="http://schemas.openxmlformats.org/officeDocument/2006/relationships/hyperlink" Target="https://drive.google.com/file/d/1hSWWWNiaF5MBZz2GpdAPQ5WSp34KLvR5/view?usp=drivesdk" TargetMode="External"/><Relationship Id="rId12773" Type="http://schemas.openxmlformats.org/officeDocument/2006/relationships/hyperlink" Target="https://drive.google.com/file/d/1JiFayqfOyWyCqAc8pHnOUupTrD3TCIzX/view?usp=drivesdk" TargetMode="External"/><Relationship Id="rId10111" Type="http://schemas.openxmlformats.org/officeDocument/2006/relationships/hyperlink" Target="https://drive.google.com/file/d/16XC66w1g9TfOFktR8kDUbVDtW7KfCxzO/view?usp=drivesdk" TargetMode="External"/><Relationship Id="rId11441" Type="http://schemas.openxmlformats.org/officeDocument/2006/relationships/hyperlink" Target="https://drive.google.com/file/d/1bbVF_KkfDHBZdDzSiRVfXMqPEQv4-063/view?usp=drivesdk" TargetMode="External"/><Relationship Id="rId12772" Type="http://schemas.openxmlformats.org/officeDocument/2006/relationships/hyperlink" Target="https://drive.google.com/file/d/1w6ZE3puBHNVuhg_s_niYj-jYcObx6ICo/view?usp=drivesdk" TargetMode="External"/><Relationship Id="rId10127" Type="http://schemas.openxmlformats.org/officeDocument/2006/relationships/hyperlink" Target="https://drive.google.com/file/d/11zF6PvBBYym9aRLyaRpPgH1uGnBzpsDD/view?usp=drivesdk" TargetMode="External"/><Relationship Id="rId11459" Type="http://schemas.openxmlformats.org/officeDocument/2006/relationships/hyperlink" Target="https://drive.google.com/file/d/1Ec2SALKnTm1Z82F0ftp8gjj5n4E5rUcM/view?usp=drivesdk" TargetMode="External"/><Relationship Id="rId10128" Type="http://schemas.openxmlformats.org/officeDocument/2006/relationships/hyperlink" Target="https://drive.google.com/file/d/1SgxIyUzN0-sp4OqrZzHrNCZK_OloXoCf/view?usp=drivesdk" TargetMode="External"/><Relationship Id="rId11458" Type="http://schemas.openxmlformats.org/officeDocument/2006/relationships/hyperlink" Target="https://drive.google.com/file/d/1JYGmwabAg85Q84eU1lTHNZ4KkSpZbeSP/view?usp=drivesdk" TargetMode="External"/><Relationship Id="rId12789" Type="http://schemas.openxmlformats.org/officeDocument/2006/relationships/hyperlink" Target="https://drive.google.com/file/d/18KF1gzZU6XJk3408EVvD-I9KtmLyml-d/view?usp=drivesdk" TargetMode="External"/><Relationship Id="rId10125" Type="http://schemas.openxmlformats.org/officeDocument/2006/relationships/hyperlink" Target="https://drive.google.com/file/d/1mtqjTErMqThT9QU1cidmnGZkLF-cuC-_/view?usp=drivesdk" TargetMode="External"/><Relationship Id="rId11457" Type="http://schemas.openxmlformats.org/officeDocument/2006/relationships/hyperlink" Target="https://drive.google.com/file/d/1P87i06tPnyQe5zj8LtdhUr1fPN7io9ry/view?usp=drivesdk" TargetMode="External"/><Relationship Id="rId12788" Type="http://schemas.openxmlformats.org/officeDocument/2006/relationships/hyperlink" Target="https://drive.google.com/file/d/1vp2LStJqpz7aiQTclma0JfzjoZm_F98U/view?usp=drivesdk" TargetMode="External"/><Relationship Id="rId10126" Type="http://schemas.openxmlformats.org/officeDocument/2006/relationships/hyperlink" Target="https://drive.google.com/file/d/1wwfhAXWnT2yTS3FtcsQO8S7d9U_xAqji/view?usp=drivesdk" TargetMode="External"/><Relationship Id="rId11456" Type="http://schemas.openxmlformats.org/officeDocument/2006/relationships/hyperlink" Target="https://drive.google.com/file/d/1444FUZVsw2zEN6ivJamJiADM-UIENU3J/view?usp=drivesdk" TargetMode="External"/><Relationship Id="rId12787" Type="http://schemas.openxmlformats.org/officeDocument/2006/relationships/hyperlink" Target="https://drive.google.com/file/d/1I-klxc_VpZRgoWMwj86P1T_EvGGVbLbh/view?usp=drivesdk" TargetMode="External"/><Relationship Id="rId10129" Type="http://schemas.openxmlformats.org/officeDocument/2006/relationships/hyperlink" Target="https://drive.google.com/file/d/1yBFbw3m1l8kYjXOtnnLSpoTMLz7gXfjs/view?usp=drivesdk" TargetMode="External"/><Relationship Id="rId11451" Type="http://schemas.openxmlformats.org/officeDocument/2006/relationships/hyperlink" Target="https://drive.google.com/file/d/1zWhSWUW-RIfWHn58iA69OzVg42-CNU6x/view?usp=drivesdk" TargetMode="External"/><Relationship Id="rId12782" Type="http://schemas.openxmlformats.org/officeDocument/2006/relationships/hyperlink" Target="https://drive.google.com/file/d/1rGMZcjq8iEy-UwztVlez_wh2DHRDrQPv/view?usp=drivesdk" TargetMode="External"/><Relationship Id="rId10120" Type="http://schemas.openxmlformats.org/officeDocument/2006/relationships/hyperlink" Target="https://drive.google.com/file/d/1tFNziUXsE0eo52LTFXAxekzlBiPYs4Sy/view?usp=drivesdk" TargetMode="External"/><Relationship Id="rId11450" Type="http://schemas.openxmlformats.org/officeDocument/2006/relationships/hyperlink" Target="https://drive.google.com/file/d/1RrH8lIfTbE_zX9Sg7KRp21EfY6et9Uic/view?usp=drivesdk" TargetMode="External"/><Relationship Id="rId12781" Type="http://schemas.openxmlformats.org/officeDocument/2006/relationships/hyperlink" Target="https://drive.google.com/file/d/1sV-HfLQXH0Y6U_eUE4tM1JU5UROQ7fDG/view?usp=drivesdk" TargetMode="External"/><Relationship Id="rId12780" Type="http://schemas.openxmlformats.org/officeDocument/2006/relationships/hyperlink" Target="https://drive.google.com/file/d/1IMrE8vByFWOfk3nf0I1wu8s5zoiF2Ey6/view?usp=drivesdk" TargetMode="External"/><Relationship Id="rId10123" Type="http://schemas.openxmlformats.org/officeDocument/2006/relationships/hyperlink" Target="https://drive.google.com/file/d/1HgOLeav0OakyTKqCdUW35pdJIOQ95kw4/view?usp=drivesdk" TargetMode="External"/><Relationship Id="rId11455" Type="http://schemas.openxmlformats.org/officeDocument/2006/relationships/hyperlink" Target="https://drive.google.com/file/d/1SUnYGDDxXSvG3CDiAgVk8L8oBweUCPxi/view?usp=drivesdk" TargetMode="External"/><Relationship Id="rId12786" Type="http://schemas.openxmlformats.org/officeDocument/2006/relationships/hyperlink" Target="https://drive.google.com/file/d/1ukpWMOdjDcd7LKzaR4B58_8kf_9SupI8/view?usp=drivesdk" TargetMode="External"/><Relationship Id="rId10124" Type="http://schemas.openxmlformats.org/officeDocument/2006/relationships/hyperlink" Target="https://drive.google.com/file/d/1SM-he2Z7JBV4RBthd3BT_nk0-95e5oRb/view?usp=drivesdk" TargetMode="External"/><Relationship Id="rId11454" Type="http://schemas.openxmlformats.org/officeDocument/2006/relationships/hyperlink" Target="https://drive.google.com/file/d/17iys05nDZXRaxkOe058b35epEBCFVmlJ/view?usp=drivesdk" TargetMode="External"/><Relationship Id="rId12785" Type="http://schemas.openxmlformats.org/officeDocument/2006/relationships/hyperlink" Target="https://drive.google.com/file/d/1yac-SL2DCFjZk6EoV8FfPrBWAf5tBzSJ/view?usp=drivesdk" TargetMode="External"/><Relationship Id="rId10121" Type="http://schemas.openxmlformats.org/officeDocument/2006/relationships/hyperlink" Target="https://drive.google.com/file/d/1YeC2iFnN9edjVyJqORDeUCroy9NtLWVZ/view?usp=drivesdk" TargetMode="External"/><Relationship Id="rId11453" Type="http://schemas.openxmlformats.org/officeDocument/2006/relationships/hyperlink" Target="https://drive.google.com/file/d/1LEEAM3X7ZA7uujvjPH5ANc0r1T5IZWWP/view?usp=drivesdk" TargetMode="External"/><Relationship Id="rId12784" Type="http://schemas.openxmlformats.org/officeDocument/2006/relationships/hyperlink" Target="https://drive.google.com/file/d/15JcUb2OFPb-CoKRsXTje59NxfMTYLuTq/view?usp=drivesdk" TargetMode="External"/><Relationship Id="rId10122" Type="http://schemas.openxmlformats.org/officeDocument/2006/relationships/hyperlink" Target="https://drive.google.com/file/d/1qJtbmNFAqnGBPu7Rr4NNbEHzkVD6Hc6n/view?usp=drivesdk" TargetMode="External"/><Relationship Id="rId11452" Type="http://schemas.openxmlformats.org/officeDocument/2006/relationships/hyperlink" Target="https://drive.google.com/file/d/10dM2juVyKjxleMZOnUlAsUE6y-48YT0b/view?usp=drivesdk" TargetMode="External"/><Relationship Id="rId12783" Type="http://schemas.openxmlformats.org/officeDocument/2006/relationships/hyperlink" Target="https://drive.google.com/file/d/1XM5ED4iqBJWwTzw2VfUd-IlMoPUpII-5/view?usp=drivesdk" TargetMode="External"/><Relationship Id="rId7319" Type="http://schemas.openxmlformats.org/officeDocument/2006/relationships/hyperlink" Target="https://drive.google.com/file/d/1ATWy8SfL-2bfEVPkTxvUXmft2nAd1dLd/view?usp=drivesdk" TargetMode="External"/><Relationship Id="rId7318" Type="http://schemas.openxmlformats.org/officeDocument/2006/relationships/hyperlink" Target="https://drive.google.com/file/d/1Dl116V8Bkob5uUUkPuzIvO9GDpIC1Iyf/view?usp=drivesdk" TargetMode="External"/><Relationship Id="rId8649" Type="http://schemas.openxmlformats.org/officeDocument/2006/relationships/hyperlink" Target="https://drive.google.com/file/d/15PRLkzVcp6oebRxvnIcsJXSBXLYijqtG/view?usp=drivesdk" TargetMode="External"/><Relationship Id="rId9970" Type="http://schemas.openxmlformats.org/officeDocument/2006/relationships/hyperlink" Target="https://drive.google.com/file/d/1Dsk2g1F8vtyU8Bd1wIuLBvdiZKWheVTv/view?usp=drivesdk" TargetMode="External"/><Relationship Id="rId9971" Type="http://schemas.openxmlformats.org/officeDocument/2006/relationships/hyperlink" Target="https://drive.google.com/file/d/11RDVcM1BDjFk5ZnpY4NKv7sGPBMUTRTa/view?usp=drivesdk" TargetMode="External"/><Relationship Id="rId8640" Type="http://schemas.openxmlformats.org/officeDocument/2006/relationships/hyperlink" Target="https://drive.google.com/file/d/1gZydSrSkH1LJXOEd5USZq9sSeqaQk5zr/view?usp=drivesdk" TargetMode="External"/><Relationship Id="rId7313" Type="http://schemas.openxmlformats.org/officeDocument/2006/relationships/hyperlink" Target="https://drive.google.com/file/d/1WyWUvCayAW_IIHmLa4Dc7S3p_ax-mnnJ/view?usp=drivesdk" TargetMode="External"/><Relationship Id="rId8644" Type="http://schemas.openxmlformats.org/officeDocument/2006/relationships/hyperlink" Target="https://drive.google.com/file/d/1qHMv1dYoeuJq4qLdevMaGT93vCvK_m4_/view?usp=drivesdk" TargetMode="External"/><Relationship Id="rId9976" Type="http://schemas.openxmlformats.org/officeDocument/2006/relationships/hyperlink" Target="https://drive.google.com/file/d/1axvditX6TUHLw3NVfPTV191dSxT_7Bj9/view?usp=drivesdk" TargetMode="External"/><Relationship Id="rId7312" Type="http://schemas.openxmlformats.org/officeDocument/2006/relationships/hyperlink" Target="https://drive.google.com/file/d/113SWlCb4V-qeuTzV8MtNHtpJi59kDBkJ/view?usp=drivesdk" TargetMode="External"/><Relationship Id="rId8643" Type="http://schemas.openxmlformats.org/officeDocument/2006/relationships/hyperlink" Target="https://drive.google.com/file/d/1jmhFKvOTU5TayVr69vibLVzUA_oBJuh6/view?usp=drivesdk" TargetMode="External"/><Relationship Id="rId9977" Type="http://schemas.openxmlformats.org/officeDocument/2006/relationships/hyperlink" Target="https://drive.google.com/file/d/1dK3KDnfNgI4IrVyyIr1WbK63tg8kGR0x/view?usp=drivesdk" TargetMode="External"/><Relationship Id="rId7311" Type="http://schemas.openxmlformats.org/officeDocument/2006/relationships/hyperlink" Target="https://drive.google.com/file/d/1b0MQHrALSbZRZSh-1K7VDrGJ_7DpQTjj/view?usp=drivesdk" TargetMode="External"/><Relationship Id="rId8642" Type="http://schemas.openxmlformats.org/officeDocument/2006/relationships/hyperlink" Target="https://drive.google.com/file/d/1-GXoIWXiSSB_93kD_hwV-kOBYBff0GOq/view?usp=drivesdk" TargetMode="External"/><Relationship Id="rId9978" Type="http://schemas.openxmlformats.org/officeDocument/2006/relationships/hyperlink" Target="https://drive.google.com/file/d/18_8vxtSO6lU1gxl6Yyu0XrS0eSK3VXWC/view?usp=drivesdk" TargetMode="External"/><Relationship Id="rId7310" Type="http://schemas.openxmlformats.org/officeDocument/2006/relationships/hyperlink" Target="https://drive.google.com/file/d/16lqBAhYkdlGvG9jgP1CwFOtxaD2Uo08Q/view?usp=drivesdk" TargetMode="External"/><Relationship Id="rId8641" Type="http://schemas.openxmlformats.org/officeDocument/2006/relationships/hyperlink" Target="https://drive.google.com/file/d/1nJn3EmhLAOrnpTRH7MNirhVDQzf6gV6p/view?usp=drivesdk" TargetMode="External"/><Relationship Id="rId9979" Type="http://schemas.openxmlformats.org/officeDocument/2006/relationships/hyperlink" Target="https://drive.google.com/file/d/1bD7pqqxnao9K1dXveWDz3kKog06k_XbW/view?usp=drivesdk" TargetMode="External"/><Relationship Id="rId7317" Type="http://schemas.openxmlformats.org/officeDocument/2006/relationships/hyperlink" Target="https://drive.google.com/file/d/1jlfo-2Cx8YDizwS3UOCy8wW6h-Dy6x_m/view?usp=drivesdk" TargetMode="External"/><Relationship Id="rId8648" Type="http://schemas.openxmlformats.org/officeDocument/2006/relationships/hyperlink" Target="https://drive.google.com/file/d/15FPMrxL73-dll8C0HvZITcnIkdFUXANI/view?usp=drivesdk" TargetMode="External"/><Relationship Id="rId9972" Type="http://schemas.openxmlformats.org/officeDocument/2006/relationships/hyperlink" Target="https://drive.google.com/file/d/15XUwqYzkUkLmTzA1qs2vwk4KgCQrMi8a/view?usp=drivesdk" TargetMode="External"/><Relationship Id="rId7316" Type="http://schemas.openxmlformats.org/officeDocument/2006/relationships/hyperlink" Target="https://drive.google.com/file/d/1JkwFmiHOCPhXLLqVSde9JsX5Xi560UHk/view?usp=drivesdk" TargetMode="External"/><Relationship Id="rId8647" Type="http://schemas.openxmlformats.org/officeDocument/2006/relationships/hyperlink" Target="https://drive.google.com/file/d/1xz51qLGqOcYTf-cYPEZfcs33JhZPHTj0/view?usp=drivesdk" TargetMode="External"/><Relationship Id="rId9973" Type="http://schemas.openxmlformats.org/officeDocument/2006/relationships/hyperlink" Target="https://drive.google.com/file/d/1wNgxDMD41XuNx9wXTuHVYVUycIdYM_6h/view?usp=drivesdk" TargetMode="External"/><Relationship Id="rId7315" Type="http://schemas.openxmlformats.org/officeDocument/2006/relationships/hyperlink" Target="https://drive.google.com/file/d/1zTvtMBIfuva6CBQO2yTGXSoE2GDouDeX/view?usp=drivesdk" TargetMode="External"/><Relationship Id="rId8646" Type="http://schemas.openxmlformats.org/officeDocument/2006/relationships/hyperlink" Target="https://drive.google.com/file/d/1ESR9aG-XdqtunU-b6ihWEzC5XNBslGdv/view?usp=drivesdk" TargetMode="External"/><Relationship Id="rId9974" Type="http://schemas.openxmlformats.org/officeDocument/2006/relationships/hyperlink" Target="https://drive.google.com/file/d/1C2Bj7UclvSFn0Er7UHFsD0G97YJwA3V2/view?usp=drivesdk" TargetMode="External"/><Relationship Id="rId7314" Type="http://schemas.openxmlformats.org/officeDocument/2006/relationships/hyperlink" Target="https://drive.google.com/file/d/1HQw0y16vRCfMTG_g6kHeAbjAW9TdoemL/view?usp=drivesdk" TargetMode="External"/><Relationship Id="rId8645" Type="http://schemas.openxmlformats.org/officeDocument/2006/relationships/hyperlink" Target="https://drive.google.com/file/d/1BlhnVv5J4mwHO59h2KGHqb3dkRh1vSZ5/view?usp=drivesdk" TargetMode="External"/><Relationship Id="rId9975" Type="http://schemas.openxmlformats.org/officeDocument/2006/relationships/hyperlink" Target="https://drive.google.com/file/d/1rOPwhwNOgctIHYqr5cOCNGK3HZcSEezN/view?usp=drivesdk" TargetMode="External"/><Relationship Id="rId7309" Type="http://schemas.openxmlformats.org/officeDocument/2006/relationships/hyperlink" Target="https://drive.google.com/file/d/1DvD0tfr7fnxKZfGySOHJmsbNzGIsuDkS/view?usp=drivesdk" TargetMode="External"/><Relationship Id="rId7308" Type="http://schemas.openxmlformats.org/officeDocument/2006/relationships/hyperlink" Target="https://drive.google.com/file/d/1iY2y5EmXDks7EbieuOVMD9h8sCCEKDdf/view?usp=drivesdk" TargetMode="External"/><Relationship Id="rId8639" Type="http://schemas.openxmlformats.org/officeDocument/2006/relationships/hyperlink" Target="https://drive.google.com/file/d/1zi9umAc_XlH3yr0XduiVvDQyJg4D0W-K/view?usp=drivesdk" TargetMode="External"/><Relationship Id="rId7307" Type="http://schemas.openxmlformats.org/officeDocument/2006/relationships/hyperlink" Target="https://drive.google.com/file/d/1Q1KCia3C351edrHmQPlwvEWoXiehrOBz/view?usp=drivesdk" TargetMode="External"/><Relationship Id="rId8638" Type="http://schemas.openxmlformats.org/officeDocument/2006/relationships/hyperlink" Target="https://drive.google.com/file/d/1qUDRa3r9XsvMYxs5twDoUDv45L618BPc/view?usp=drivesdk" TargetMode="External"/><Relationship Id="rId9969" Type="http://schemas.openxmlformats.org/officeDocument/2006/relationships/hyperlink" Target="https://drive.google.com/file/d/1Kl6h7sWgSqqREMujfsh-b5AWUVjIHvZD/view?usp=drivesdk" TargetMode="External"/><Relationship Id="rId9960" Type="http://schemas.openxmlformats.org/officeDocument/2006/relationships/hyperlink" Target="https://drive.google.com/file/d/1puhFdrT3nFGd7VshCdygL-yF5fsCTgBN/view?usp=drivesdk" TargetMode="External"/><Relationship Id="rId7302" Type="http://schemas.openxmlformats.org/officeDocument/2006/relationships/hyperlink" Target="https://drive.google.com/file/d/1V8eALJACOU6lSYoYPVvjL_VAdJhaUqm_/view?usp=drivesdk" TargetMode="External"/><Relationship Id="rId8633" Type="http://schemas.openxmlformats.org/officeDocument/2006/relationships/hyperlink" Target="https://drive.google.com/file/d/1lgmygyAW5aOqIIxCC4XgC_tMJZstthId/view?usp=drivesdk" TargetMode="External"/><Relationship Id="rId9965" Type="http://schemas.openxmlformats.org/officeDocument/2006/relationships/hyperlink" Target="https://drive.google.com/file/d/1OOhNCCOEM3LtPFFZPDxCWWhOgrZnZzzj/view?usp=drivesdk" TargetMode="External"/><Relationship Id="rId7301" Type="http://schemas.openxmlformats.org/officeDocument/2006/relationships/hyperlink" Target="https://drive.google.com/file/d/1kj35geTaiSMD8IZ9e3hEBOAtyUIT21Fw/view?usp=drivesdk" TargetMode="External"/><Relationship Id="rId8632" Type="http://schemas.openxmlformats.org/officeDocument/2006/relationships/hyperlink" Target="https://drive.google.com/file/d/1Xh8NSJ8q2_UpSiiVmplufmqReQDpi5HI/view?usp=drivesdk" TargetMode="External"/><Relationship Id="rId9966" Type="http://schemas.openxmlformats.org/officeDocument/2006/relationships/hyperlink" Target="https://drive.google.com/file/d/1--wh-d24rQZ_W9Z058VuQssbV0X5myVU/view?usp=drivesdk" TargetMode="External"/><Relationship Id="rId7300" Type="http://schemas.openxmlformats.org/officeDocument/2006/relationships/hyperlink" Target="https://drive.google.com/file/d/1gW4r5-02VJ4MdIuE8CqcW0GewozK_DfD/view?usp=drivesdk" TargetMode="External"/><Relationship Id="rId8631" Type="http://schemas.openxmlformats.org/officeDocument/2006/relationships/hyperlink" Target="https://drive.google.com/file/d/1Qip0Yuum7XVsNPDPJ1uVRRbEvnseLB6p/view?usp=drivesdk" TargetMode="External"/><Relationship Id="rId9967" Type="http://schemas.openxmlformats.org/officeDocument/2006/relationships/hyperlink" Target="https://drive.google.com/file/d/1aLm6_4EMgALDeeJr7Bxw11V-d4LcLiz6/view?usp=drivesdk" TargetMode="External"/><Relationship Id="rId8630" Type="http://schemas.openxmlformats.org/officeDocument/2006/relationships/hyperlink" Target="https://drive.google.com/file/d/1UE3Ps8IfovGcLEea0jt2z9GevQm06M5G/view?usp=drivesdk" TargetMode="External"/><Relationship Id="rId9968" Type="http://schemas.openxmlformats.org/officeDocument/2006/relationships/hyperlink" Target="https://drive.google.com/file/d/1OrEVcoX-4yBItzYKBE3d4QOxncBdcEoY/view?usp=drivesdk" TargetMode="External"/><Relationship Id="rId7306" Type="http://schemas.openxmlformats.org/officeDocument/2006/relationships/hyperlink" Target="https://drive.google.com/file/d/1cTm6KAjL0FQBya1ICav1QPDileimOjw6/view?usp=drivesdk" TargetMode="External"/><Relationship Id="rId8637" Type="http://schemas.openxmlformats.org/officeDocument/2006/relationships/hyperlink" Target="https://drive.google.com/file/d/1IZ-Rc3E35E75fNj-1sQ739Sw9WxeChFk/view?usp=drivesdk" TargetMode="External"/><Relationship Id="rId9961" Type="http://schemas.openxmlformats.org/officeDocument/2006/relationships/hyperlink" Target="https://drive.google.com/file/d/1JVKCAZXwkkNfiv6yUeKIbXL-QGDwStQF/view?usp=drivesdk" TargetMode="External"/><Relationship Id="rId7305" Type="http://schemas.openxmlformats.org/officeDocument/2006/relationships/hyperlink" Target="https://drive.google.com/file/d/1pI99CbdQPNnhax9XTIMMTmCphf-CsrGU/view?usp=drivesdk" TargetMode="External"/><Relationship Id="rId8636" Type="http://schemas.openxmlformats.org/officeDocument/2006/relationships/hyperlink" Target="https://drive.google.com/file/d/1uAhrjhj5fsplzdZOV0888iu3n2DAOBH0/view?usp=drivesdk" TargetMode="External"/><Relationship Id="rId9962" Type="http://schemas.openxmlformats.org/officeDocument/2006/relationships/hyperlink" Target="https://drive.google.com/file/d/19vmuALqskIhpRkT_78DD9KVV0Ilb4sen/view?usp=drivesdk" TargetMode="External"/><Relationship Id="rId7304" Type="http://schemas.openxmlformats.org/officeDocument/2006/relationships/hyperlink" Target="https://drive.google.com/file/d/1zyFwqCbM6b8bJscC8Hi8jyhwOg-WOFIM/view?usp=drivesdk" TargetMode="External"/><Relationship Id="rId8635" Type="http://schemas.openxmlformats.org/officeDocument/2006/relationships/hyperlink" Target="https://drive.google.com/file/d/15GjnCtnoUauf27igTbRLsPAkZtzSPMfW/view?usp=drivesdk" TargetMode="External"/><Relationship Id="rId9963" Type="http://schemas.openxmlformats.org/officeDocument/2006/relationships/hyperlink" Target="https://drive.google.com/file/d/1AKQ3UTcw0zKgQb4X0ZfqbfFqHDB7VM1Z/view?usp=drivesdk" TargetMode="External"/><Relationship Id="rId7303" Type="http://schemas.openxmlformats.org/officeDocument/2006/relationships/hyperlink" Target="https://drive.google.com/file/d/1LDIY3YKfkJT0is7yqVHqsMqaBGeRbE52/view?usp=drivesdk" TargetMode="External"/><Relationship Id="rId8634" Type="http://schemas.openxmlformats.org/officeDocument/2006/relationships/hyperlink" Target="https://drive.google.com/file/d/1skvxrbds-ax9ni8sx5-I0dguSmYE3h9L/view?usp=drivesdk" TargetMode="External"/><Relationship Id="rId9964" Type="http://schemas.openxmlformats.org/officeDocument/2006/relationships/hyperlink" Target="https://drive.google.com/file/d/17ZuBoXlSI3XRREbVK12TtOCZCqDUPBsQ/view?usp=drivesdk" TargetMode="External"/><Relationship Id="rId6009" Type="http://schemas.openxmlformats.org/officeDocument/2006/relationships/hyperlink" Target="https://drive.google.com/file/d/1pLP6EpIwJU-I2upr89SNW7UigiG8l4bs/view?usp=drivesdk" TargetMode="External"/><Relationship Id="rId9990" Type="http://schemas.openxmlformats.org/officeDocument/2006/relationships/hyperlink" Target="https://drive.google.com/file/d/1hH56qeot9gNLV6EY0hoavoC6sw3kAzmx/view?usp=drivesdk" TargetMode="External"/><Relationship Id="rId9991" Type="http://schemas.openxmlformats.org/officeDocument/2006/relationships/hyperlink" Target="https://drive.google.com/file/d/1DPjbRVAa5heIoHYfSKRllrDWEiHxpLEQ/view?usp=drivesdk" TargetMode="External"/><Relationship Id="rId9992" Type="http://schemas.openxmlformats.org/officeDocument/2006/relationships/hyperlink" Target="https://drive.google.com/file/d/1OLNdyMetPFt3eaosPLuEs-52bbAzBalb/view?usp=drivesdk" TargetMode="External"/><Relationship Id="rId9993" Type="http://schemas.openxmlformats.org/officeDocument/2006/relationships/hyperlink" Target="https://drive.google.com/file/d/1WcjIC2hF0SFyVa193PJVWRWWSJWc01Gm/view?usp=drivesdk" TargetMode="External"/><Relationship Id="rId7331" Type="http://schemas.openxmlformats.org/officeDocument/2006/relationships/hyperlink" Target="https://drive.google.com/file/d/1wreXBd_v5uImthx0GqRlTCHiqleKR_kc/view?usp=drivesdk" TargetMode="External"/><Relationship Id="rId8662" Type="http://schemas.openxmlformats.org/officeDocument/2006/relationships/hyperlink" Target="https://drive.google.com/file/d/1SGqeFW5dKdJEe3w2mZJY6D1jNS5-WMmX/view?usp=drivesdk" TargetMode="External"/><Relationship Id="rId6000" Type="http://schemas.openxmlformats.org/officeDocument/2006/relationships/hyperlink" Target="https://drive.google.com/file/d/1Enwv6sOpzjJDpnliaqu7mlO6QtMFoNRO/view?usp=drivesdk" TargetMode="External"/><Relationship Id="rId7330" Type="http://schemas.openxmlformats.org/officeDocument/2006/relationships/hyperlink" Target="https://drive.google.com/file/d/1rJ8Ej4E4a9lCIUtpLztKS389LAZNuvXo/view?usp=drivesdk" TargetMode="External"/><Relationship Id="rId8661" Type="http://schemas.openxmlformats.org/officeDocument/2006/relationships/hyperlink" Target="https://drive.google.com/file/d/1TBrw03lRNutPB9Q6v11UEVLgJw6rnu-P/view?usp=drivesdk" TargetMode="External"/><Relationship Id="rId8660" Type="http://schemas.openxmlformats.org/officeDocument/2006/relationships/hyperlink" Target="https://drive.google.com/file/d/1XuL9iqDsD414sdGLczxBDu4Tg_2kfVeR/view?usp=drivesdk" TargetMode="External"/><Relationship Id="rId6003" Type="http://schemas.openxmlformats.org/officeDocument/2006/relationships/hyperlink" Target="https://drive.google.com/file/d/1TwgrYDEAhnuYtAJJg6CG2sKGCmkNbdNv/view?usp=drivesdk" TargetMode="External"/><Relationship Id="rId7335" Type="http://schemas.openxmlformats.org/officeDocument/2006/relationships/hyperlink" Target="https://drive.google.com/file/d/1qWD16qcWyPb9wWiA4h1MOl_UAO6D3zcw/view?usp=drivesdk" TargetMode="External"/><Relationship Id="rId8666" Type="http://schemas.openxmlformats.org/officeDocument/2006/relationships/hyperlink" Target="https://drive.google.com/file/d/1OHxhodmzlwaHT4ZxwtDRicCHxBKW9M0e/view?usp=drivesdk" TargetMode="External"/><Relationship Id="rId9998" Type="http://schemas.openxmlformats.org/officeDocument/2006/relationships/hyperlink" Target="https://drive.google.com/file/d/1r1nYEiAxtdHNv22RH6gj1ykcZoQtQN0P/view?usp=drivesdk" TargetMode="External"/><Relationship Id="rId6004" Type="http://schemas.openxmlformats.org/officeDocument/2006/relationships/hyperlink" Target="https://drive.google.com/file/d/12bG-hKpLeU-jMhDDkTzfcCM7RfoepJHC/view?usp=drivesdk" TargetMode="External"/><Relationship Id="rId7334" Type="http://schemas.openxmlformats.org/officeDocument/2006/relationships/hyperlink" Target="https://drive.google.com/file/d/1YG1IJpG2T4W9liqWlBUAnogxWS08iute/view?usp=drivesdk" TargetMode="External"/><Relationship Id="rId8665" Type="http://schemas.openxmlformats.org/officeDocument/2006/relationships/hyperlink" Target="https://drive.google.com/file/d/1O1zpSEuP56-s64sXLM4m2j3sV0-SrP2-/view?usp=drivesdk" TargetMode="External"/><Relationship Id="rId9999" Type="http://schemas.openxmlformats.org/officeDocument/2006/relationships/hyperlink" Target="https://drive.google.com/file/d/1i17ymQ70ZUxD2a3aBszpqz8UbjWO1Odp/view?usp=drivesdk" TargetMode="External"/><Relationship Id="rId6001" Type="http://schemas.openxmlformats.org/officeDocument/2006/relationships/hyperlink" Target="https://drive.google.com/file/d/1FvTZ6I-4750rZTfEcN8ZjM32p9u9mMS4/view?usp=drivesdk" TargetMode="External"/><Relationship Id="rId7333" Type="http://schemas.openxmlformats.org/officeDocument/2006/relationships/hyperlink" Target="https://drive.google.com/file/d/1_aDoC6q-gETwSPepPv7oV0RRrdHjySZ7/view?usp=drivesdk" TargetMode="External"/><Relationship Id="rId8664" Type="http://schemas.openxmlformats.org/officeDocument/2006/relationships/hyperlink" Target="https://drive.google.com/file/d/1weckMJGyy8TTGgenTQvxHu41jzb72bDP/view?usp=drivesdk" TargetMode="External"/><Relationship Id="rId6002" Type="http://schemas.openxmlformats.org/officeDocument/2006/relationships/hyperlink" Target="https://drive.google.com/file/d/1ZYOpoR7h5TfTA9MOVM0-vuVcQFHbfrxx/view?usp=drivesdk" TargetMode="External"/><Relationship Id="rId7332" Type="http://schemas.openxmlformats.org/officeDocument/2006/relationships/hyperlink" Target="https://drive.google.com/file/d/1yXwkR8hkSY8HqcWvB0FmhhrP7mNGjkoL/view?usp=drivesdk" TargetMode="External"/><Relationship Id="rId8663" Type="http://schemas.openxmlformats.org/officeDocument/2006/relationships/hyperlink" Target="https://drive.google.com/file/d/1Y7ns62slGhb0RC5-2yrboa7j6rFRF9Jd/view?usp=drivesdk" TargetMode="External"/><Relationship Id="rId6007" Type="http://schemas.openxmlformats.org/officeDocument/2006/relationships/hyperlink" Target="https://drive.google.com/file/d/1UYxydCrUuB140zxce3ISWgP9oHGBgeAz/view?usp=drivesdk" TargetMode="External"/><Relationship Id="rId7339" Type="http://schemas.openxmlformats.org/officeDocument/2006/relationships/hyperlink" Target="https://drive.google.com/file/d/1KcW-XmH6AyTt4Gz5PSIB-yNV4ntIzynd/view?usp=drivesdk" TargetMode="External"/><Relationship Id="rId9994" Type="http://schemas.openxmlformats.org/officeDocument/2006/relationships/hyperlink" Target="https://drive.google.com/file/d/1JS-lU263gNlyUVfjv1niY9NgzX9m5DYT/view?usp=drivesdk" TargetMode="External"/><Relationship Id="rId6008" Type="http://schemas.openxmlformats.org/officeDocument/2006/relationships/hyperlink" Target="https://drive.google.com/file/d/1EzxmttJhvklntFzi9Xiz6_3KTAGo9bs6/view?usp=drivesdk" TargetMode="External"/><Relationship Id="rId7338" Type="http://schemas.openxmlformats.org/officeDocument/2006/relationships/hyperlink" Target="https://drive.google.com/file/d/1s3HWmEDeI7gXfqJyBhZNhzxfp6QlI4jX/view?usp=drivesdk" TargetMode="External"/><Relationship Id="rId8669" Type="http://schemas.openxmlformats.org/officeDocument/2006/relationships/hyperlink" Target="https://drive.google.com/file/d/1OIBpU806OVohx4O1vQ7UXy9_1EdqgWCC/view?usp=drivesdk" TargetMode="External"/><Relationship Id="rId9995" Type="http://schemas.openxmlformats.org/officeDocument/2006/relationships/hyperlink" Target="https://drive.google.com/file/d/1HQKIUq6btgOetWDqj5rm0gqXNlkjTYhX/view?usp=drivesdk" TargetMode="External"/><Relationship Id="rId6005" Type="http://schemas.openxmlformats.org/officeDocument/2006/relationships/hyperlink" Target="https://drive.google.com/file/d/1vrpHWHkqNTYJg5aDQe39oHOBSvI2o3gZ/view?usp=drivesdk" TargetMode="External"/><Relationship Id="rId7337" Type="http://schemas.openxmlformats.org/officeDocument/2006/relationships/hyperlink" Target="https://drive.google.com/file/d/1OejxG93ELpsG7vRpkFahYTcckjWV296k/view?usp=drivesdk" TargetMode="External"/><Relationship Id="rId8668" Type="http://schemas.openxmlformats.org/officeDocument/2006/relationships/hyperlink" Target="https://drive.google.com/file/d/15ONc6emzfZOaEBERWtU9-1GHcc7yQpsP/view?usp=drivesdk" TargetMode="External"/><Relationship Id="rId9996" Type="http://schemas.openxmlformats.org/officeDocument/2006/relationships/hyperlink" Target="https://drive.google.com/file/d/1te7eZ3QPA-iHHrBo5YxqCOD7emCcmNMV/view?usp=drivesdk" TargetMode="External"/><Relationship Id="rId6006" Type="http://schemas.openxmlformats.org/officeDocument/2006/relationships/hyperlink" Target="https://drive.google.com/file/d/1qQ7Sh6iY5nL0JgB96ielQx-lxS8dlWOd/view?usp=drivesdk" TargetMode="External"/><Relationship Id="rId7336" Type="http://schemas.openxmlformats.org/officeDocument/2006/relationships/hyperlink" Target="https://drive.google.com/file/d/16imI7PCFUV1J-a1Nppilfg-f_yET-3o0/view?usp=drivesdk" TargetMode="External"/><Relationship Id="rId8667" Type="http://schemas.openxmlformats.org/officeDocument/2006/relationships/hyperlink" Target="https://drive.google.com/file/d/1ruLrP-Xt5QVk2UjAcXVDzoaQbpYFWwsf/view?usp=drivesdk" TargetMode="External"/><Relationship Id="rId9997" Type="http://schemas.openxmlformats.org/officeDocument/2006/relationships/hyperlink" Target="https://drive.google.com/file/d/1JGkhr2we1OBcUzMB_-Y7vR47OhA8PEcc/view?usp=drivesdk" TargetMode="External"/><Relationship Id="rId7329" Type="http://schemas.openxmlformats.org/officeDocument/2006/relationships/hyperlink" Target="https://drive.google.com/file/d/1HCq9DLXw8LltfjzCCO-C022TnfLH83-n/view?usp=drivesdk" TargetMode="External"/><Relationship Id="rId9980" Type="http://schemas.openxmlformats.org/officeDocument/2006/relationships/hyperlink" Target="https://drive.google.com/file/d/1vWX8q73iZno3o2znC8eS7f0WkdsqSQaB/view?usp=drivesdk" TargetMode="External"/><Relationship Id="rId9981" Type="http://schemas.openxmlformats.org/officeDocument/2006/relationships/hyperlink" Target="https://drive.google.com/file/d/1Lmr9_oxVGeTA4uvjvE58A3MWeOiAF8x2/view?usp=drivesdk" TargetMode="External"/><Relationship Id="rId9982" Type="http://schemas.openxmlformats.org/officeDocument/2006/relationships/hyperlink" Target="https://drive.google.com/file/d/1brxyssEjDG7S4lkHGBAeN2TVUoB50E_l/view?usp=drivesdk" TargetMode="External"/><Relationship Id="rId7320" Type="http://schemas.openxmlformats.org/officeDocument/2006/relationships/hyperlink" Target="https://drive.google.com/file/d/18SfdNlxYBDmRIWAprt6nzC7f8c-LqhA5/view?usp=drivesdk" TargetMode="External"/><Relationship Id="rId8651" Type="http://schemas.openxmlformats.org/officeDocument/2006/relationships/hyperlink" Target="https://drive.google.com/file/d/1b9V-x_Bxfs84ZA_jjdPyNif9K7XQ5-ma/view?usp=drivesdk" TargetMode="External"/><Relationship Id="rId8650" Type="http://schemas.openxmlformats.org/officeDocument/2006/relationships/hyperlink" Target="https://drive.google.com/file/d/1_jxTGI3Z9gOCD-gXuKT8iGa6O_X2WPAl/view?usp=drivesdk" TargetMode="External"/><Relationship Id="rId7324" Type="http://schemas.openxmlformats.org/officeDocument/2006/relationships/hyperlink" Target="https://drive.google.com/file/d/15nhRISHy6tzexNc1FB1QoIgiQFg9n7IG/view?usp=drivesdk" TargetMode="External"/><Relationship Id="rId8655" Type="http://schemas.openxmlformats.org/officeDocument/2006/relationships/hyperlink" Target="https://drive.google.com/file/d/1S1NCzqMfKSrNzHYJG2Zhh2W5P7pFQXMl/view?usp=drivesdk" TargetMode="External"/><Relationship Id="rId9987" Type="http://schemas.openxmlformats.org/officeDocument/2006/relationships/hyperlink" Target="https://drive.google.com/file/d/1SMo6FR2bWn0qzssJFxqt_Vyp0u1MY7ZM/view?usp=drivesdk" TargetMode="External"/><Relationship Id="rId7323" Type="http://schemas.openxmlformats.org/officeDocument/2006/relationships/hyperlink" Target="https://drive.google.com/file/d/1WF_ZLHgUI4X131zNo9VbrY0iN9qfDQ8z/view?usp=drivesdk" TargetMode="External"/><Relationship Id="rId8654" Type="http://schemas.openxmlformats.org/officeDocument/2006/relationships/hyperlink" Target="https://drive.google.com/file/d/1HGNZPr9_GKouZ_FHuHho_m3BJ56Qetji/view?usp=drivesdk" TargetMode="External"/><Relationship Id="rId9988" Type="http://schemas.openxmlformats.org/officeDocument/2006/relationships/hyperlink" Target="https://drive.google.com/file/d/1vxGYxKcmKOUzsGYmPFF_RNUnKH7UyN0D/view?usp=drivesdk" TargetMode="External"/><Relationship Id="rId7322" Type="http://schemas.openxmlformats.org/officeDocument/2006/relationships/hyperlink" Target="https://drive.google.com/file/d/1M7NCFV2T1EqHLQ_b7p-YPHnRodcoHs_e/view?usp=drivesdk" TargetMode="External"/><Relationship Id="rId8653" Type="http://schemas.openxmlformats.org/officeDocument/2006/relationships/hyperlink" Target="https://drive.google.com/file/d/1T36QKsMc0fhqZkzAQ64Ydm0TQdNAfDct/view?usp=drivesdk" TargetMode="External"/><Relationship Id="rId9989" Type="http://schemas.openxmlformats.org/officeDocument/2006/relationships/hyperlink" Target="https://drive.google.com/file/d/1Zwrm_jJdXTk5NSlDfW7qh7NoxFLXE0QS/view?usp=drivesdk" TargetMode="External"/><Relationship Id="rId7321" Type="http://schemas.openxmlformats.org/officeDocument/2006/relationships/hyperlink" Target="https://drive.google.com/file/d/120rDci8m1flVx_BqjEeT4BfrRD_71n94/view?usp=drivesdk" TargetMode="External"/><Relationship Id="rId8652" Type="http://schemas.openxmlformats.org/officeDocument/2006/relationships/hyperlink" Target="https://drive.google.com/file/d/1Rn4-NaZgpQmfJUpl7gD_nsXW6GmUJeqD/view?usp=drivesdk" TargetMode="External"/><Relationship Id="rId7328" Type="http://schemas.openxmlformats.org/officeDocument/2006/relationships/hyperlink" Target="https://drive.google.com/file/d/1EIAB-KeYkZmsfJZuHVh0SR1DjBv0z8AB/view?usp=drivesdk" TargetMode="External"/><Relationship Id="rId8659" Type="http://schemas.openxmlformats.org/officeDocument/2006/relationships/hyperlink" Target="https://drive.google.com/file/d/1YTX1eG_KDnH6gsh9qGvUA28vhssrY0wv/view?usp=drivesdk" TargetMode="External"/><Relationship Id="rId9983" Type="http://schemas.openxmlformats.org/officeDocument/2006/relationships/hyperlink" Target="https://drive.google.com/file/d/1bVMVec6AFKmxh3AwCJFogJreIDfJuqLE/view?usp=drivesdk" TargetMode="External"/><Relationship Id="rId7327" Type="http://schemas.openxmlformats.org/officeDocument/2006/relationships/hyperlink" Target="https://drive.google.com/file/d/1tboQGoyrE04QAvT1FoefYoxB7RUYqvlt/view?usp=drivesdk" TargetMode="External"/><Relationship Id="rId8658" Type="http://schemas.openxmlformats.org/officeDocument/2006/relationships/hyperlink" Target="https://drive.google.com/file/d/1GD8GON9pJQ0Ju510100oYJ2yLrVDL-UB/view?usp=drivesdk" TargetMode="External"/><Relationship Id="rId9984" Type="http://schemas.openxmlformats.org/officeDocument/2006/relationships/hyperlink" Target="https://drive.google.com/file/d/1g-UwRyg3Mu4rVLwFSwV_SNQUx7c_uxnp/view?usp=drivesdk" TargetMode="External"/><Relationship Id="rId7326" Type="http://schemas.openxmlformats.org/officeDocument/2006/relationships/hyperlink" Target="https://drive.google.com/file/d/1H1Bsa_JKDGbiTCJzRCmUkrGKb4Dk-4q7/view?usp=drivesdk" TargetMode="External"/><Relationship Id="rId8657" Type="http://schemas.openxmlformats.org/officeDocument/2006/relationships/hyperlink" Target="https://drive.google.com/file/d/1g5nr89gkONrbC-QytDRqSdgpbeSgl4oM/view?usp=drivesdk" TargetMode="External"/><Relationship Id="rId9985" Type="http://schemas.openxmlformats.org/officeDocument/2006/relationships/hyperlink" Target="https://drive.google.com/file/d/1RRxbC03I9EQhzr8OglecGh9OysabcE8C/view?usp=drivesdk" TargetMode="External"/><Relationship Id="rId7325" Type="http://schemas.openxmlformats.org/officeDocument/2006/relationships/hyperlink" Target="https://drive.google.com/file/d/19wuSepHdrQs14STUGoXEYdC0awYuutqX/view?usp=drivesdk" TargetMode="External"/><Relationship Id="rId8656" Type="http://schemas.openxmlformats.org/officeDocument/2006/relationships/hyperlink" Target="https://drive.google.com/file/d/1_sCYzpi4iBFxex7tp948M_G380Kgk_Sk/view?usp=drivesdk" TargetMode="External"/><Relationship Id="rId9986" Type="http://schemas.openxmlformats.org/officeDocument/2006/relationships/hyperlink" Target="https://drive.google.com/file/d/1QGcXKrhI7MFvJl2oepVEDRXCpvPjwTR-/view?usp=drivesdk" TargetMode="External"/><Relationship Id="rId8608" Type="http://schemas.openxmlformats.org/officeDocument/2006/relationships/hyperlink" Target="https://drive.google.com/file/d/1GO_fFucDNHWn7pQtnuRWBbNoaOjfXXMR/view?usp=drivesdk" TargetMode="External"/><Relationship Id="rId8607" Type="http://schemas.openxmlformats.org/officeDocument/2006/relationships/hyperlink" Target="https://drive.google.com/file/d/1IYtuuvg5tXpMJr6fCFPzxy-iZvq8Q5kB/view?usp=drivesdk" TargetMode="External"/><Relationship Id="rId8606" Type="http://schemas.openxmlformats.org/officeDocument/2006/relationships/hyperlink" Target="https://drive.google.com/file/d/1DNLKcdnNBjhf_WdP1jdrAbwwijvlQF8C/view?usp=drivesdk" TargetMode="External"/><Relationship Id="rId8605" Type="http://schemas.openxmlformats.org/officeDocument/2006/relationships/hyperlink" Target="https://drive.google.com/file/d/1xuAd03lAUrWkqM59CbtWSr-Eq5oAfem9/view?usp=drivesdk" TargetMode="External"/><Relationship Id="rId9936" Type="http://schemas.openxmlformats.org/officeDocument/2006/relationships/hyperlink" Target="https://drive.google.com/file/d/1Nzv0szgp4gO8PylZdNaC3QaZ0ggWPxGT/view?usp=drivesdk" TargetMode="External"/><Relationship Id="rId9937" Type="http://schemas.openxmlformats.org/officeDocument/2006/relationships/hyperlink" Target="https://drive.google.com/file/d/1WNc_Jb89Re15g2ZjrQiXPe3dNaOPziiw/view?usp=drivesdk" TargetMode="External"/><Relationship Id="rId9938" Type="http://schemas.openxmlformats.org/officeDocument/2006/relationships/hyperlink" Target="https://drive.google.com/file/d/1dPSE62ditPRjdjDFqSh7Z5pSwNirW9WO/view?usp=drivesdk" TargetMode="External"/><Relationship Id="rId8609" Type="http://schemas.openxmlformats.org/officeDocument/2006/relationships/hyperlink" Target="https://drive.google.com/file/d/1CQ-oa46yU2bNj4NWGaztf6drin2OyuG-/view?usp=drivesdk" TargetMode="External"/><Relationship Id="rId9939" Type="http://schemas.openxmlformats.org/officeDocument/2006/relationships/hyperlink" Target="https://drive.google.com/file/d/1fESzFf0sueCCTdXxptfPeIixpd1vjsE0/view?usp=drivesdk" TargetMode="External"/><Relationship Id="rId8600" Type="http://schemas.openxmlformats.org/officeDocument/2006/relationships/hyperlink" Target="https://drive.google.com/file/d/1vJYSv-P60gpSHX0Q7qCSAX7t4T1Z0fX5/view?usp=drivesdk" TargetMode="External"/><Relationship Id="rId9932" Type="http://schemas.openxmlformats.org/officeDocument/2006/relationships/hyperlink" Target="https://drive.google.com/file/d/1O-QkBWt_uf5FcgZXEy0VM6-CAnxf4BZz/view?usp=drivesdk" TargetMode="External"/><Relationship Id="rId9933" Type="http://schemas.openxmlformats.org/officeDocument/2006/relationships/hyperlink" Target="https://drive.google.com/file/d/15oEdNoCqZkEtHKNBjg6MWmO5JNyTod74/view?usp=drivesdk" TargetMode="External"/><Relationship Id="rId9934" Type="http://schemas.openxmlformats.org/officeDocument/2006/relationships/hyperlink" Target="https://drive.google.com/file/d/1BCUoPVg6b1Vn4pZ32R_mJLeGzocJTGSa/view?usp=drivesdk" TargetMode="External"/><Relationship Id="rId9935" Type="http://schemas.openxmlformats.org/officeDocument/2006/relationships/hyperlink" Target="https://drive.google.com/file/d/10SJqvzODDQDEiSaBRBnHY2NvjHKVdO3N/view?usp=drivesdk" TargetMode="External"/><Relationship Id="rId8604" Type="http://schemas.openxmlformats.org/officeDocument/2006/relationships/hyperlink" Target="https://drive.google.com/file/d/1q8L-9z9zySNASl1p3SOUn2jB5AiTkVgc/view?usp=drivesdk" TargetMode="External"/><Relationship Id="rId8603" Type="http://schemas.openxmlformats.org/officeDocument/2006/relationships/hyperlink" Target="https://drive.google.com/file/d/1g8AglO5PJlwMe_UNjQnKLGnQ8jww4EIF/view?usp=drivesdk" TargetMode="External"/><Relationship Id="rId8602" Type="http://schemas.openxmlformats.org/officeDocument/2006/relationships/hyperlink" Target="https://drive.google.com/file/d/12_dNAjh1H0wPANCu6Men8uv7n8QM4VZG/view?usp=drivesdk" TargetMode="External"/><Relationship Id="rId9930" Type="http://schemas.openxmlformats.org/officeDocument/2006/relationships/hyperlink" Target="https://drive.google.com/file/d/1MwIdENHSaozby8XXizorpYncLZp9bQOG/view?usp=drivesdk" TargetMode="External"/><Relationship Id="rId8601" Type="http://schemas.openxmlformats.org/officeDocument/2006/relationships/hyperlink" Target="https://drive.google.com/file/d/1ceTH8FLykA6iirDcFEmznlLlNJ8fYvYq/view?usp=drivesdk" TargetMode="External"/><Relationship Id="rId9931" Type="http://schemas.openxmlformats.org/officeDocument/2006/relationships/hyperlink" Target="https://drive.google.com/file/d/1P25j0RqpzMep7gKerPldLBdjI1aE_h05/view?usp=drivesdk" TargetMode="External"/><Relationship Id="rId9929" Type="http://schemas.openxmlformats.org/officeDocument/2006/relationships/hyperlink" Target="https://drive.google.com/file/d/1QAeiPMGIBv45hpz4pAan-5gDP-Ci7USe/view?usp=drivesdk" TargetMode="External"/><Relationship Id="rId9925" Type="http://schemas.openxmlformats.org/officeDocument/2006/relationships/hyperlink" Target="https://drive.google.com/file/d/17HZzSwvK0eC0Tt4HtEhR7cMs_B25u43g/view?usp=drivesdk" TargetMode="External"/><Relationship Id="rId9926" Type="http://schemas.openxmlformats.org/officeDocument/2006/relationships/hyperlink" Target="https://drive.google.com/file/d/1kz1w0iFmDB4kjmH_xNCM13I1cTovJO8S/view?usp=drivesdk" TargetMode="External"/><Relationship Id="rId9927" Type="http://schemas.openxmlformats.org/officeDocument/2006/relationships/hyperlink" Target="https://drive.google.com/file/d/1SgHUKBNl5luUylPYC07LmLjnnl_lhX94/view?usp=drivesdk" TargetMode="External"/><Relationship Id="rId9928" Type="http://schemas.openxmlformats.org/officeDocument/2006/relationships/hyperlink" Target="https://drive.google.com/file/d/1RT6go4vrnS6Fp1X-8x-rK_kNhtyQuDNl/view?usp=drivesdk" TargetMode="External"/><Relationship Id="rId12609" Type="http://schemas.openxmlformats.org/officeDocument/2006/relationships/hyperlink" Target="https://drive.google.com/file/d/1IXyBO1vUfqSY5kRefORrESiCuQZYWzsu/view?usp=drivesdk" TargetMode="External"/><Relationship Id="rId12608" Type="http://schemas.openxmlformats.org/officeDocument/2006/relationships/hyperlink" Target="https://drive.google.com/file/d/1z3Vew_ZNJeIK0EOgaW6_UbW2sTHdGIYT/view?usp=drivesdk" TargetMode="External"/><Relationship Id="rId12603" Type="http://schemas.openxmlformats.org/officeDocument/2006/relationships/hyperlink" Target="https://drive.google.com/file/d/1EgF2tgEzvBOWwuGQFbnDsxoBA0zM6YfP/view?usp=drivesdk" TargetMode="External"/><Relationship Id="rId12602" Type="http://schemas.openxmlformats.org/officeDocument/2006/relationships/hyperlink" Target="http://kurdi.sh" TargetMode="External"/><Relationship Id="rId12601" Type="http://schemas.openxmlformats.org/officeDocument/2006/relationships/hyperlink" Target="https://drive.google.com/file/d/1w9L94RzmSR_X2GNyz7HUFOutQt_O6sax/view?usp=drivesdk" TargetMode="External"/><Relationship Id="rId12600" Type="http://schemas.openxmlformats.org/officeDocument/2006/relationships/hyperlink" Target="https://drive.google.com/file/d/1s5hRuKSkQbFCAJ6aybfxgChNviA3od8x/view?usp=drivesdk" TargetMode="External"/><Relationship Id="rId12607" Type="http://schemas.openxmlformats.org/officeDocument/2006/relationships/hyperlink" Target="https://drive.google.com/file/d/1m0aDGZiawLYot1CPpfgX8XYPCgvxNp_p/view?usp=drivesdk" TargetMode="External"/><Relationship Id="rId12606" Type="http://schemas.openxmlformats.org/officeDocument/2006/relationships/hyperlink" Target="https://drive.google.com/file/d/1A9vpZJT2hA6DHts2i7BeD7FM6g7B5ftc/view?usp=drivesdk" TargetMode="External"/><Relationship Id="rId12605" Type="http://schemas.openxmlformats.org/officeDocument/2006/relationships/hyperlink" Target="https://drive.google.com/file/d/1X37IhLM-o-MX_P2z8n3ydjhjLqSOGbeL/view?usp=drivesdk" TargetMode="External"/><Relationship Id="rId12604" Type="http://schemas.openxmlformats.org/officeDocument/2006/relationships/hyperlink" Target="https://drive.google.com/file/d/1tJYpdEEqB7K9MzAZADTrwOk7cDazC1-P/view?usp=drivesdk" TargetMode="External"/><Relationship Id="rId9921" Type="http://schemas.openxmlformats.org/officeDocument/2006/relationships/hyperlink" Target="https://drive.google.com/file/d/1hRPZKMGxzDFqXvSan2UVZ4L9-BLMgFf4/view?usp=drivesdk" TargetMode="External"/><Relationship Id="rId9922" Type="http://schemas.openxmlformats.org/officeDocument/2006/relationships/hyperlink" Target="https://drive.google.com/file/d/1lsctiEQjuu64-DvPRz0AAqy4WHK8ymHN/view?usp=drivesdk" TargetMode="External"/><Relationship Id="rId9923" Type="http://schemas.openxmlformats.org/officeDocument/2006/relationships/hyperlink" Target="https://drive.google.com/file/d/1aOL1aRcQ9-3ODPnO6apXTjK7auZiIsTe/view?usp=drivesdk" TargetMode="External"/><Relationship Id="rId9924" Type="http://schemas.openxmlformats.org/officeDocument/2006/relationships/hyperlink" Target="https://drive.google.com/file/d/1yeNrjlN6IpHf1lkkUESdqnva-JUE1xRv/view?usp=drivesdk" TargetMode="External"/><Relationship Id="rId9920" Type="http://schemas.openxmlformats.org/officeDocument/2006/relationships/hyperlink" Target="https://drive.google.com/file/d/18mTslgEUKK4sLEjCUBXoc2xZetiUvgUm/view?usp=drivesdk" TargetMode="External"/><Relationship Id="rId8629" Type="http://schemas.openxmlformats.org/officeDocument/2006/relationships/hyperlink" Target="https://drive.google.com/file/d/1WDPmKM530iUYpUTN8IbxLEarR8fkTjrJ/view?usp=drivesdk" TargetMode="External"/><Relationship Id="rId8628" Type="http://schemas.openxmlformats.org/officeDocument/2006/relationships/hyperlink" Target="https://drive.google.com/file/d/1TKnQTa3mXcd9yYIh3AEffu9zLTuO3hfb/view?usp=drivesdk" TargetMode="External"/><Relationship Id="rId8627" Type="http://schemas.openxmlformats.org/officeDocument/2006/relationships/hyperlink" Target="https://drive.google.com/file/d/1hYqaqxFPA4Sh0PHU0KDaOlVvJn5kD7jt/view?usp=drivesdk" TargetMode="External"/><Relationship Id="rId9958" Type="http://schemas.openxmlformats.org/officeDocument/2006/relationships/hyperlink" Target="https://drive.google.com/file/d/1re_4Lv3RIKaIu1UNkChcojRPJe-jF8TX/view?usp=drivesdk" TargetMode="External"/><Relationship Id="rId9959" Type="http://schemas.openxmlformats.org/officeDocument/2006/relationships/hyperlink" Target="https://drive.google.com/file/d/1l6NjdPFUhFprOzuKpGhpBeblxh7l3r9F/view?usp=drivesdk" TargetMode="External"/><Relationship Id="rId8622" Type="http://schemas.openxmlformats.org/officeDocument/2006/relationships/hyperlink" Target="https://drive.google.com/file/d/1BhlggkGvEyE9EPVAmFGcrWymx4Fu_PlC/view?usp=drivesdk" TargetMode="External"/><Relationship Id="rId9954" Type="http://schemas.openxmlformats.org/officeDocument/2006/relationships/hyperlink" Target="https://drive.google.com/file/d/1g-nRZGdMhn0aXBimtGjW4uTt2Wa5tDSb/view?usp=drivesdk" TargetMode="External"/><Relationship Id="rId8621" Type="http://schemas.openxmlformats.org/officeDocument/2006/relationships/hyperlink" Target="https://drive.google.com/file/d/1Tg0Nhjcqv48wM1kpFR_jKdaMI17mmAGd/view?usp=drivesdk" TargetMode="External"/><Relationship Id="rId9955" Type="http://schemas.openxmlformats.org/officeDocument/2006/relationships/hyperlink" Target="https://drive.google.com/file/d/1GghfKplqFFjxSdUBYvxnLrKBH0xfQT2A/view?usp=drivesdk" TargetMode="External"/><Relationship Id="rId8620" Type="http://schemas.openxmlformats.org/officeDocument/2006/relationships/hyperlink" Target="https://drive.google.com/file/d/1CRMXuY4-BpEJgAyMiYGsGk5onyO-hRxh/view?usp=drivesdk" TargetMode="External"/><Relationship Id="rId9956" Type="http://schemas.openxmlformats.org/officeDocument/2006/relationships/hyperlink" Target="https://drive.google.com/file/d/1Ig5vB7XNt_nXIV_4QldBz7VZenawX0WE/view?usp=drivesdk" TargetMode="External"/><Relationship Id="rId9957" Type="http://schemas.openxmlformats.org/officeDocument/2006/relationships/hyperlink" Target="https://drive.google.com/file/d/1vymSP-PWwRNyCdgLUShiads3FHP3khNK/view?usp=drivesdk" TargetMode="External"/><Relationship Id="rId8626" Type="http://schemas.openxmlformats.org/officeDocument/2006/relationships/hyperlink" Target="https://drive.google.com/file/d/1Yqt1wxa0e56PxwvBSNzLNiQSQdT8kXAR/view?usp=drivesdk" TargetMode="External"/><Relationship Id="rId9950" Type="http://schemas.openxmlformats.org/officeDocument/2006/relationships/hyperlink" Target="https://drive.google.com/file/d/1o9NS9ZgQrpdgcvdroO24COXlBpxt0IoT/view?usp=drivesdk" TargetMode="External"/><Relationship Id="rId8625" Type="http://schemas.openxmlformats.org/officeDocument/2006/relationships/hyperlink" Target="https://drive.google.com/file/d/1HkGrDuorUAdhh9uWlUmySBUuFZoJL6v7/view?usp=drivesdk" TargetMode="External"/><Relationship Id="rId9951" Type="http://schemas.openxmlformats.org/officeDocument/2006/relationships/hyperlink" Target="https://drive.google.com/file/d/1fDASqMl4KrE6TQbQB7_d00OcW0kNTiM0/view?usp=drivesdk" TargetMode="External"/><Relationship Id="rId8624" Type="http://schemas.openxmlformats.org/officeDocument/2006/relationships/hyperlink" Target="https://drive.google.com/file/d/158FusSjJ4O4WpKtfovYwsFBxfzVzVh0L/view?usp=drivesdk" TargetMode="External"/><Relationship Id="rId9952" Type="http://schemas.openxmlformats.org/officeDocument/2006/relationships/hyperlink" Target="https://drive.google.com/file/d/1ipThUL4aq6fx5qKhCsEPKzHVNTVfllpB/view?usp=drivesdk" TargetMode="External"/><Relationship Id="rId8623" Type="http://schemas.openxmlformats.org/officeDocument/2006/relationships/hyperlink" Target="https://drive.google.com/file/d/1qEX8kAY5YgYcMUMP_moNN74kOfFR2k-b/view?usp=drivesdk" TargetMode="External"/><Relationship Id="rId9953" Type="http://schemas.openxmlformats.org/officeDocument/2006/relationships/hyperlink" Target="https://drive.google.com/file/d/1lyIVb88AVtfa4w-wRkZgpdrlkkQhIBou/view?usp=drivesdk" TargetMode="External"/><Relationship Id="rId8619" Type="http://schemas.openxmlformats.org/officeDocument/2006/relationships/hyperlink" Target="https://drive.google.com/file/d/1aeg1vhhz6Yeke9WpijCxxapEFbP1QDXM/view?usp=drivesdk" TargetMode="External"/><Relationship Id="rId8618" Type="http://schemas.openxmlformats.org/officeDocument/2006/relationships/hyperlink" Target="https://drive.google.com/file/d/1N0xGfO02E9Xor_Omp-wZvHNswQ_l3LY2/view?usp=drivesdk" TargetMode="External"/><Relationship Id="rId8617" Type="http://schemas.openxmlformats.org/officeDocument/2006/relationships/hyperlink" Target="https://drive.google.com/file/d/1_md3U7igo7HmlwYPNlxjMWAMO0BAfjuJ/view?usp=drivesdk" TargetMode="External"/><Relationship Id="rId8616" Type="http://schemas.openxmlformats.org/officeDocument/2006/relationships/hyperlink" Target="https://drive.google.com/file/d/1dC7rIKTd3JYlZ-oXPxthNo1NA-OM-kdQ/view?usp=drivesdk" TargetMode="External"/><Relationship Id="rId9947" Type="http://schemas.openxmlformats.org/officeDocument/2006/relationships/hyperlink" Target="https://drive.google.com/file/d/1Lr5hNq3qC23DPRbNPGu6Lu58n_lFNiN8/view?usp=drivesdk" TargetMode="External"/><Relationship Id="rId9948" Type="http://schemas.openxmlformats.org/officeDocument/2006/relationships/hyperlink" Target="https://drive.google.com/file/d/1oYh-mi5LtFUNSkilVASr5rfXZEXOJwGw/view?usp=drivesdk" TargetMode="External"/><Relationship Id="rId9949" Type="http://schemas.openxmlformats.org/officeDocument/2006/relationships/hyperlink" Target="https://drive.google.com/file/d/1Ynn4MZ-aNZPho9vVQg3Xwar-kOfJkHHT/view?usp=drivesdk" TargetMode="External"/><Relationship Id="rId8611" Type="http://schemas.openxmlformats.org/officeDocument/2006/relationships/hyperlink" Target="https://drive.google.com/file/d/1u61vLX1WDgamTsWB8BbdWVWvUqmgdzrz/view?usp=drivesdk" TargetMode="External"/><Relationship Id="rId9943" Type="http://schemas.openxmlformats.org/officeDocument/2006/relationships/hyperlink" Target="https://drive.google.com/file/d/1IVkbsF6yhfbSc01rRj4tOBEpfPTUse0P/view?usp=drivesdk" TargetMode="External"/><Relationship Id="rId8610" Type="http://schemas.openxmlformats.org/officeDocument/2006/relationships/hyperlink" Target="https://drive.google.com/file/d/1Ayz1CyKkd45EnNISe3yFTR0hN7PUajW1/view?usp=drivesdk" TargetMode="External"/><Relationship Id="rId9944" Type="http://schemas.openxmlformats.org/officeDocument/2006/relationships/hyperlink" Target="https://drive.google.com/file/d/1l3gHJrZnBfwcOL__i9Dwxo6xW5mW77at/view?usp=drivesdk" TargetMode="External"/><Relationship Id="rId9945" Type="http://schemas.openxmlformats.org/officeDocument/2006/relationships/hyperlink" Target="https://drive.google.com/file/d/1Ke68d6Ovz8PJ4BqfV6lb2hkNeVCqls_i/view?usp=drivesdk" TargetMode="External"/><Relationship Id="rId9946" Type="http://schemas.openxmlformats.org/officeDocument/2006/relationships/hyperlink" Target="https://drive.google.com/file/d/1dknAIaSmQOgXvdRMwiuxGYhZk5XqDDKR/view?usp=drivesdk" TargetMode="External"/><Relationship Id="rId8615" Type="http://schemas.openxmlformats.org/officeDocument/2006/relationships/hyperlink" Target="https://drive.google.com/file/d/1EIzW_xdXZaosHvmjtalWrEf6zDL46cmi/view?usp=drivesdk" TargetMode="External"/><Relationship Id="rId8614" Type="http://schemas.openxmlformats.org/officeDocument/2006/relationships/hyperlink" Target="https://drive.google.com/file/d/1BC02CH68BmGICnVAgYg48OQgaGn7JYWS/view?usp=drivesdk" TargetMode="External"/><Relationship Id="rId9940" Type="http://schemas.openxmlformats.org/officeDocument/2006/relationships/hyperlink" Target="https://drive.google.com/file/d/1dViRanV44_dnNW1ygJCFl04HTn7DKWxr/view?usp=drivesdk" TargetMode="External"/><Relationship Id="rId8613" Type="http://schemas.openxmlformats.org/officeDocument/2006/relationships/hyperlink" Target="https://drive.google.com/file/d/11wdjr-ahzI92vxpIrj38Fpmiuge0uL3Z/view?usp=drivesdk" TargetMode="External"/><Relationship Id="rId9941" Type="http://schemas.openxmlformats.org/officeDocument/2006/relationships/hyperlink" Target="https://drive.google.com/file/d/1nZ5c3WaJnhazehIoeJemGYtCRHiwzbFw/view?usp=drivesdk" TargetMode="External"/><Relationship Id="rId8612" Type="http://schemas.openxmlformats.org/officeDocument/2006/relationships/hyperlink" Target="https://drive.google.com/file/d/1QR4CzHOeXth5RY3a6Xwav_COLW970sKv/view?usp=drivesdk" TargetMode="External"/><Relationship Id="rId9942" Type="http://schemas.openxmlformats.org/officeDocument/2006/relationships/hyperlink" Target="https://drive.google.com/file/d/1NeDuQd9Tx-QqMs6wUGUCvqT2IDa6ZNtT/view?usp=drivesdk" TargetMode="External"/><Relationship Id="rId6061" Type="http://schemas.openxmlformats.org/officeDocument/2006/relationships/hyperlink" Target="https://drive.google.com/file/d/18Af4TlhZA8jTlt8Us8eBaFmLpXsQFDsD/view?usp=drivesdk" TargetMode="External"/><Relationship Id="rId7393" Type="http://schemas.openxmlformats.org/officeDocument/2006/relationships/hyperlink" Target="https://drive.google.com/file/d/1B0KYFlcJvwrXMFLOe70uhaWQsHOG-liR/view?usp=drivesdk" TargetMode="External"/><Relationship Id="rId6062" Type="http://schemas.openxmlformats.org/officeDocument/2006/relationships/hyperlink" Target="https://drive.google.com/file/d/1OaNmPUoi_SVUIqiFlilFKEFd0fqTRFS_/view?usp=drivesdk" TargetMode="External"/><Relationship Id="rId7392" Type="http://schemas.openxmlformats.org/officeDocument/2006/relationships/hyperlink" Target="https://drive.google.com/file/d/1GK6JERlD-1AyvXxAVRXX4BceuXDR4-Oy/view?usp=drivesdk" TargetMode="External"/><Relationship Id="rId7391" Type="http://schemas.openxmlformats.org/officeDocument/2006/relationships/hyperlink" Target="https://drive.google.com/file/d/1z7KScLqD86tNz9v6CEgZtYPJnOXMEqFi/view?usp=drivesdk" TargetMode="External"/><Relationship Id="rId6060" Type="http://schemas.openxmlformats.org/officeDocument/2006/relationships/hyperlink" Target="https://drive.google.com/file/d/1fPjFJYZk0XNgKSrFTwtQBe2hMLJiXpJM/view?usp=drivesdk" TargetMode="External"/><Relationship Id="rId7390" Type="http://schemas.openxmlformats.org/officeDocument/2006/relationships/hyperlink" Target="https://drive.google.com/file/d/1ibSy-VDgLk5h52gNV5SjWdWIP4-5RTc0/view?usp=drivesdk" TargetMode="External"/><Relationship Id="rId6065" Type="http://schemas.openxmlformats.org/officeDocument/2006/relationships/hyperlink" Target="https://drive.google.com/file/d/16FkWqLv_rxZFljPsw8hKaJGLidLRVCza/view?usp=drivesdk" TargetMode="External"/><Relationship Id="rId7397" Type="http://schemas.openxmlformats.org/officeDocument/2006/relationships/hyperlink" Target="https://drive.google.com/file/d/1Ll1hninY4LameMCQ8Stn122Js_DDmkYl/view?usp=drivesdk" TargetMode="External"/><Relationship Id="rId6066" Type="http://schemas.openxmlformats.org/officeDocument/2006/relationships/hyperlink" Target="https://drive.google.com/file/d/1VnyKElh4Fnd2WzfaP1gGP2lqeu8dZDCf/view?usp=drivesdk" TargetMode="External"/><Relationship Id="rId7396" Type="http://schemas.openxmlformats.org/officeDocument/2006/relationships/hyperlink" Target="https://drive.google.com/file/d/1YuHUjMHifApkUs8IMda905wHmJAdXgP4/view?usp=drivesdk" TargetMode="External"/><Relationship Id="rId6063" Type="http://schemas.openxmlformats.org/officeDocument/2006/relationships/hyperlink" Target="https://drive.google.com/file/d/1gLWzlaIjuFkdWR7Rt5YEnYxusDIBwOaf/view?usp=drivesdk" TargetMode="External"/><Relationship Id="rId7395" Type="http://schemas.openxmlformats.org/officeDocument/2006/relationships/hyperlink" Target="https://drive.google.com/file/d/1-qmIah39e-p-VitJe_Zwo22ULsWHnu_D/view?usp=drivesdk" TargetMode="External"/><Relationship Id="rId6064" Type="http://schemas.openxmlformats.org/officeDocument/2006/relationships/hyperlink" Target="https://drive.google.com/file/d/1GAN4PUNuBhk-0zLAeDfHGlgUo9QCs_Gd/view?usp=drivesdk" TargetMode="External"/><Relationship Id="rId7394" Type="http://schemas.openxmlformats.org/officeDocument/2006/relationships/hyperlink" Target="https://drive.google.com/file/d/1bIeZ6oqYz6StmvT0zuDlMb-TFp2J7OCD/view?usp=drivesdk" TargetMode="External"/><Relationship Id="rId6069" Type="http://schemas.openxmlformats.org/officeDocument/2006/relationships/hyperlink" Target="https://drive.google.com/file/d/17yA6XmG9NkDrtJJqrQ3W--gjdjvbe0Cb/view?usp=drivesdk" TargetMode="External"/><Relationship Id="rId6067" Type="http://schemas.openxmlformats.org/officeDocument/2006/relationships/hyperlink" Target="https://drive.google.com/file/d/1RfVDWd-H7b4JqyZzCEVrrzxNPUguHxvT/view?usp=drivesdk" TargetMode="External"/><Relationship Id="rId7399" Type="http://schemas.openxmlformats.org/officeDocument/2006/relationships/hyperlink" Target="https://drive.google.com/file/d/1qy8QFRYT-LF8oepfcMfFduudlwiprg3y/view?usp=drivesdk" TargetMode="External"/><Relationship Id="rId6068" Type="http://schemas.openxmlformats.org/officeDocument/2006/relationships/hyperlink" Target="https://drive.google.com/file/d/1ChnZIDIuWRRN5wharVKQjKEWZoMTa85Y/view?usp=drivesdk" TargetMode="External"/><Relationship Id="rId7398" Type="http://schemas.openxmlformats.org/officeDocument/2006/relationships/hyperlink" Target="https://drive.google.com/file/d/1H8zj1RcCtyesNfBvTeEvueA4J8phQ_Kg/view?usp=drivesdk" TargetMode="External"/><Relationship Id="rId6050" Type="http://schemas.openxmlformats.org/officeDocument/2006/relationships/hyperlink" Target="https://drive.google.com/file/d/16bfVrXAgizyEa6ahf0xazX02RRplbsul/view?usp=drivesdk" TargetMode="External"/><Relationship Id="rId7382" Type="http://schemas.openxmlformats.org/officeDocument/2006/relationships/hyperlink" Target="https://drive.google.com/file/d/1WFmEHf2twwsjzjD_LvWUUmNNcnPtGJVx/view?usp=drivesdk" TargetMode="External"/><Relationship Id="rId6051" Type="http://schemas.openxmlformats.org/officeDocument/2006/relationships/hyperlink" Target="https://drive.google.com/file/d/1YQMSudcwYwvrVzlC81JVmtqIMtasYpME/view?usp=drivesdk" TargetMode="External"/><Relationship Id="rId7381" Type="http://schemas.openxmlformats.org/officeDocument/2006/relationships/hyperlink" Target="https://drive.google.com/file/d/1qLl1gx8Gv4HU3PHGwU6ivRL86FODleoo/view?usp=drivesdk" TargetMode="External"/><Relationship Id="rId7380" Type="http://schemas.openxmlformats.org/officeDocument/2006/relationships/hyperlink" Target="https://drive.google.com/file/d/1TQVFIoGiKwKgEftQarVMt3RAvzkmw3cZ/view?usp=drivesdk" TargetMode="External"/><Relationship Id="rId6054" Type="http://schemas.openxmlformats.org/officeDocument/2006/relationships/hyperlink" Target="https://drive.google.com/file/d/15m80RfnGX1sbygemfGYhM9lQ07mRfzAU/view?usp=drivesdk" TargetMode="External"/><Relationship Id="rId7386" Type="http://schemas.openxmlformats.org/officeDocument/2006/relationships/hyperlink" Target="https://drive.google.com/file/d/1X4rO3tfQKLKUt1iK4yRzMDOaaIJUZaQo/view?usp=drivesdk" TargetMode="External"/><Relationship Id="rId6055" Type="http://schemas.openxmlformats.org/officeDocument/2006/relationships/hyperlink" Target="https://drive.google.com/file/d/1AQ_ciiDkNKxxtnryuc5EE_ONUT8U-cpj/view?usp=drivesdk" TargetMode="External"/><Relationship Id="rId7385" Type="http://schemas.openxmlformats.org/officeDocument/2006/relationships/hyperlink" Target="https://drive.google.com/file/d/1EiYH6n6tl_WUsP13iQelYQmkM19t_GfM/view?usp=drivesdk" TargetMode="External"/><Relationship Id="rId6052" Type="http://schemas.openxmlformats.org/officeDocument/2006/relationships/hyperlink" Target="https://drive.google.com/file/d/1q1wu3mrSdUAkXYuI8nT87ZhqC_6V9e1v/view?usp=drivesdk" TargetMode="External"/><Relationship Id="rId7384" Type="http://schemas.openxmlformats.org/officeDocument/2006/relationships/hyperlink" Target="https://drive.google.com/file/d/1puScNg_Qsa0s6O90LDWD4gzjqyCCxK04/view?usp=drivesdk" TargetMode="External"/><Relationship Id="rId6053" Type="http://schemas.openxmlformats.org/officeDocument/2006/relationships/hyperlink" Target="https://drive.google.com/file/d/1GIlkdWvRS5SDdK7cODBbAmV_T4_s1Ed2/view?usp=drivesdk" TargetMode="External"/><Relationship Id="rId7383" Type="http://schemas.openxmlformats.org/officeDocument/2006/relationships/hyperlink" Target="https://drive.google.com/file/d/1QPVbul5P8rF8n5qJvfUD93WwzFfhtnkp/view?usp=drivesdk" TargetMode="External"/><Relationship Id="rId6058" Type="http://schemas.openxmlformats.org/officeDocument/2006/relationships/hyperlink" Target="https://drive.google.com/file/d/15ISlGzpQAwV9nOhOGqJc5KLv-CP-XrBD/view?usp=drivesdk" TargetMode="External"/><Relationship Id="rId6059" Type="http://schemas.openxmlformats.org/officeDocument/2006/relationships/hyperlink" Target="http://yulismawati.s.st" TargetMode="External"/><Relationship Id="rId7389" Type="http://schemas.openxmlformats.org/officeDocument/2006/relationships/hyperlink" Target="https://drive.google.com/file/d/1yg4nMS-jfMYR0iLA5OO84MqB-CFD6OZW/view?usp=drivesdk" TargetMode="External"/><Relationship Id="rId6056" Type="http://schemas.openxmlformats.org/officeDocument/2006/relationships/hyperlink" Target="https://drive.google.com/file/d/1NuP5xj7J9xzp6MFaV7FFsX4yHLKOmc_n/view?usp=drivesdk" TargetMode="External"/><Relationship Id="rId7388" Type="http://schemas.openxmlformats.org/officeDocument/2006/relationships/hyperlink" Target="https://drive.google.com/file/d/1yQRpwmQbE-KWphq4Ap7j3Og7zxZf-lQa/view?usp=drivesdk" TargetMode="External"/><Relationship Id="rId6057" Type="http://schemas.openxmlformats.org/officeDocument/2006/relationships/hyperlink" Target="https://drive.google.com/file/d/1XIP8AyZDDhs3cASFloVOvPBlDVjGopx0/view?usp=drivesdk" TargetMode="External"/><Relationship Id="rId7387" Type="http://schemas.openxmlformats.org/officeDocument/2006/relationships/hyperlink" Target="https://drive.google.com/file/d/1hrm1lIB4rW-NWdLuy82rnlWw5LTS1lMm/view?usp=drivesdk" TargetMode="External"/><Relationship Id="rId6090" Type="http://schemas.openxmlformats.org/officeDocument/2006/relationships/hyperlink" Target="https://drive.google.com/file/d/1ukYNjnNULbhG3Q9qqS7jv31SHH3X4i84/view?usp=drivesdk" TargetMode="External"/><Relationship Id="rId6091" Type="http://schemas.openxmlformats.org/officeDocument/2006/relationships/hyperlink" Target="https://drive.google.com/file/d/1kt1XPKcUu1JtjL6iHxB2c3ctMiPQJbqy/view?usp=drivesdk" TargetMode="External"/><Relationship Id="rId6083" Type="http://schemas.openxmlformats.org/officeDocument/2006/relationships/hyperlink" Target="https://drive.google.com/file/d/1doaVVbTdCBnjhQmNRnDqXyHC8lfMhpQM/view?usp=drivesdk" TargetMode="External"/><Relationship Id="rId6084" Type="http://schemas.openxmlformats.org/officeDocument/2006/relationships/hyperlink" Target="https://drive.google.com/file/d/1ovC24Se8s4sbwHh1rCezZfSCtUQ7Dbtp/view?usp=drivesdk" TargetMode="External"/><Relationship Id="rId6081" Type="http://schemas.openxmlformats.org/officeDocument/2006/relationships/hyperlink" Target="https://drive.google.com/file/d/1gsDf1J-s2VRJ599O5_9O7Vjv6-DFT0Yn/view?usp=drivesdk" TargetMode="External"/><Relationship Id="rId6082" Type="http://schemas.openxmlformats.org/officeDocument/2006/relationships/hyperlink" Target="https://drive.google.com/file/d/1SSM037jm1mESmGkBYykCWCpfqejhRJnm/view?usp=drivesdk" TargetMode="External"/><Relationship Id="rId6087" Type="http://schemas.openxmlformats.org/officeDocument/2006/relationships/hyperlink" Target="https://drive.google.com/file/d/1kJLnUMoYixv2KcU2Ah2hazxqiJ_B3YX4/view?usp=drivesdk" TargetMode="External"/><Relationship Id="rId6088" Type="http://schemas.openxmlformats.org/officeDocument/2006/relationships/hyperlink" Target="https://drive.google.com/file/d/1xGG-hZTCgeXfqDbcjH40Gc3RiGksDkld/view?usp=drivesdk" TargetMode="External"/><Relationship Id="rId6085" Type="http://schemas.openxmlformats.org/officeDocument/2006/relationships/hyperlink" Target="https://drive.google.com/file/d/1rw3isTx7O5t11EOqtz0rawI7HZNya4Yo/view?usp=drivesdk" TargetMode="External"/><Relationship Id="rId6086" Type="http://schemas.openxmlformats.org/officeDocument/2006/relationships/hyperlink" Target="https://drive.google.com/file/d/1XDDXqBU2x2KegXMCjz4czWt79hR8nl8V/view?usp=drivesdk" TargetMode="External"/><Relationship Id="rId6089" Type="http://schemas.openxmlformats.org/officeDocument/2006/relationships/hyperlink" Target="https://drive.google.com/file/d/1ikXSZGiQjLWVK_RU-tOJwUbfZ7OqrS-t/view?usp=drivesdk" TargetMode="External"/><Relationship Id="rId6080" Type="http://schemas.openxmlformats.org/officeDocument/2006/relationships/hyperlink" Target="https://drive.google.com/file/d/1r1b2I43IFdjBe0jLN879pBFKhBJE35A1/view?usp=drivesdk" TargetMode="External"/><Relationship Id="rId6072" Type="http://schemas.openxmlformats.org/officeDocument/2006/relationships/hyperlink" Target="https://drive.google.com/file/d/1Ej8UcWCgp-OV-u3zUG9eDwbt8ZlvLskr/view?usp=drivesdk" TargetMode="External"/><Relationship Id="rId6073" Type="http://schemas.openxmlformats.org/officeDocument/2006/relationships/hyperlink" Target="https://drive.google.com/file/d/1fI6FAJ-FdovTS1xteBxcC0cTwcm8dKIJ/view?usp=drivesdk" TargetMode="External"/><Relationship Id="rId6070" Type="http://schemas.openxmlformats.org/officeDocument/2006/relationships/hyperlink" Target="https://drive.google.com/file/d/1MsP_twmx6636EyKx8halilxKC2O9aN71/view?usp=drivesdk" TargetMode="External"/><Relationship Id="rId6071" Type="http://schemas.openxmlformats.org/officeDocument/2006/relationships/hyperlink" Target="https://drive.google.com/file/d/17oyI5L9gIfX2O3ijUKvc5xDik6gZ2czh/view?usp=drivesdk" TargetMode="External"/><Relationship Id="rId6076" Type="http://schemas.openxmlformats.org/officeDocument/2006/relationships/hyperlink" Target="https://drive.google.com/file/d/1IphfJiPXJdFgObzk9a7Cgr08JmkNcvCP/view?usp=drivesdk" TargetMode="External"/><Relationship Id="rId6077" Type="http://schemas.openxmlformats.org/officeDocument/2006/relationships/hyperlink" Target="https://drive.google.com/file/d/1K8-yMnkHH5QERM23hcL5BVxMzsWwu99j/view?usp=drivesdk" TargetMode="External"/><Relationship Id="rId6074" Type="http://schemas.openxmlformats.org/officeDocument/2006/relationships/hyperlink" Target="https://drive.google.com/file/d/1DQH42feRszJJWXxEEBJoIbtFiiIOv1uG/view?usp=drivesdk" TargetMode="External"/><Relationship Id="rId6075" Type="http://schemas.openxmlformats.org/officeDocument/2006/relationships/hyperlink" Target="https://drive.google.com/file/d/1_XM_XneHxUbFbKQ3Rw2_wuDzlyapGzwP/view?usp=drivesdk" TargetMode="External"/><Relationship Id="rId6078" Type="http://schemas.openxmlformats.org/officeDocument/2006/relationships/hyperlink" Target="https://drive.google.com/file/d/19TQF6YwKRx2hXliJ_FV26F-DkgEE7G2t/view?usp=drivesdk" TargetMode="External"/><Relationship Id="rId6079" Type="http://schemas.openxmlformats.org/officeDocument/2006/relationships/hyperlink" Target="https://drive.google.com/file/d/1wpgbLUszObm3DthsVMBaD2_E-0_6CWs1/view?usp=drivesdk" TargetMode="External"/><Relationship Id="rId8680" Type="http://schemas.openxmlformats.org/officeDocument/2006/relationships/hyperlink" Target="https://drive.google.com/file/d/1i7ua8QjF2h-bh-__PW2iWDrQ_Cg15CHB/view?usp=drivesdk" TargetMode="External"/><Relationship Id="rId6021" Type="http://schemas.openxmlformats.org/officeDocument/2006/relationships/hyperlink" Target="https://drive.google.com/file/d/1fBKvWIvl9pyoOs6sacQcx4csiLk-7pxR/view?usp=drivesdk" TargetMode="External"/><Relationship Id="rId7353" Type="http://schemas.openxmlformats.org/officeDocument/2006/relationships/hyperlink" Target="https://drive.google.com/file/d/1iax6JY_WNTVtB_dWTovsUDSORxkXi2wT/view?usp=drivesdk" TargetMode="External"/><Relationship Id="rId8684" Type="http://schemas.openxmlformats.org/officeDocument/2006/relationships/hyperlink" Target="https://drive.google.com/file/d/1fLWewmAPfm0gXc1CxQKqprWKFXtJGE7g/view?usp=drivesdk" TargetMode="External"/><Relationship Id="rId6022" Type="http://schemas.openxmlformats.org/officeDocument/2006/relationships/hyperlink" Target="https://drive.google.com/file/d/1G74MNUOcoZhRp6kRQQsxukdrSqhppdlH/view?usp=drivesdk" TargetMode="External"/><Relationship Id="rId7352" Type="http://schemas.openxmlformats.org/officeDocument/2006/relationships/hyperlink" Target="https://drive.google.com/file/d/1IA346XQ7SYczwS_1ilDxs8xX-dy5Of5n/view?usp=drivesdk" TargetMode="External"/><Relationship Id="rId8683" Type="http://schemas.openxmlformats.org/officeDocument/2006/relationships/hyperlink" Target="https://drive.google.com/file/d/1bTrOI6mcSjF5MNHegHVYAfAH2e1zOFgE/view?usp=drivesdk" TargetMode="External"/><Relationship Id="rId7351" Type="http://schemas.openxmlformats.org/officeDocument/2006/relationships/hyperlink" Target="https://drive.google.com/file/d/1te_uxfAUhDDiL7jbI7rMyBxSn5VRZsRk/view?usp=drivesdk" TargetMode="External"/><Relationship Id="rId8682" Type="http://schemas.openxmlformats.org/officeDocument/2006/relationships/hyperlink" Target="https://drive.google.com/file/d/1zrEtOZeJVibyiiy-ctjteAB43fwhgqFA/view?usp=drivesdk" TargetMode="External"/><Relationship Id="rId6020" Type="http://schemas.openxmlformats.org/officeDocument/2006/relationships/hyperlink" Target="https://drive.google.com/file/d/1v8CATc8-oa09dEF49Yi3UrxkYwwv9Bvz/view?usp=drivesdk" TargetMode="External"/><Relationship Id="rId7350" Type="http://schemas.openxmlformats.org/officeDocument/2006/relationships/hyperlink" Target="https://drive.google.com/file/d/1OEmOp7Wc76jTwKBIoNQF4O1O44ScIcWJ/view?usp=drivesdk" TargetMode="External"/><Relationship Id="rId8681" Type="http://schemas.openxmlformats.org/officeDocument/2006/relationships/hyperlink" Target="https://drive.google.com/file/d/1Fl_KZtYX-7m3o6scvoIZEUJ34QX18IXf/view?usp=drivesdk" TargetMode="External"/><Relationship Id="rId6025" Type="http://schemas.openxmlformats.org/officeDocument/2006/relationships/hyperlink" Target="https://drive.google.com/file/d/17F75UEa-4hzb-4Uyz5DQj3GjqkO8G1n5/view?usp=drivesdk" TargetMode="External"/><Relationship Id="rId7357" Type="http://schemas.openxmlformats.org/officeDocument/2006/relationships/hyperlink" Target="https://drive.google.com/file/d/1psXKsVytq4voaH3yOU3nFzFSXd6MWHxN/view?usp=drivesdk" TargetMode="External"/><Relationship Id="rId8688" Type="http://schemas.openxmlformats.org/officeDocument/2006/relationships/hyperlink" Target="https://drive.google.com/file/d/1bBhzE0UrvBCGCrvjznVx1k_BW6phsZkm/view?usp=drivesdk" TargetMode="External"/><Relationship Id="rId6026" Type="http://schemas.openxmlformats.org/officeDocument/2006/relationships/hyperlink" Target="https://drive.google.com/file/d/1U74To4ZiUtROI8MvTLHA4BzOFVGgOvIy/view?usp=drivesdk" TargetMode="External"/><Relationship Id="rId7356" Type="http://schemas.openxmlformats.org/officeDocument/2006/relationships/hyperlink" Target="https://drive.google.com/file/d/17rC2oETDzp6-6nolSS-D6nCNDleS3GsS/view?usp=drivesdk" TargetMode="External"/><Relationship Id="rId8687" Type="http://schemas.openxmlformats.org/officeDocument/2006/relationships/hyperlink" Target="https://drive.google.com/file/d/1gqbAGBRA59j6bdZ69tYBPnePHFnOq42Z/view?usp=drivesdk" TargetMode="External"/><Relationship Id="rId6023" Type="http://schemas.openxmlformats.org/officeDocument/2006/relationships/hyperlink" Target="https://drive.google.com/file/d/1lnX_gGJhokcYf2nK80rullX-H1LYL6d0/view?usp=drivesdk" TargetMode="External"/><Relationship Id="rId7355" Type="http://schemas.openxmlformats.org/officeDocument/2006/relationships/hyperlink" Target="https://drive.google.com/file/d/1aBvlpc9WE5VMsAATUOEzFgxNaRLTxJBV/view?usp=drivesdk" TargetMode="External"/><Relationship Id="rId8686" Type="http://schemas.openxmlformats.org/officeDocument/2006/relationships/hyperlink" Target="https://drive.google.com/file/d/1S2HVqC4AWwlm6kfSeLv0qn8N8lfl9RPq/view?usp=drivesdk" TargetMode="External"/><Relationship Id="rId6024" Type="http://schemas.openxmlformats.org/officeDocument/2006/relationships/hyperlink" Target="https://drive.google.com/file/d/1_PEo4bzOFoeyceEOl65borYld9XimGmo/view?usp=drivesdk" TargetMode="External"/><Relationship Id="rId7354" Type="http://schemas.openxmlformats.org/officeDocument/2006/relationships/hyperlink" Target="https://drive.google.com/file/d/1tGoTmWKtSiahtvgnxcIQjbIZqRf8cXfF/view?usp=drivesdk" TargetMode="External"/><Relationship Id="rId8685" Type="http://schemas.openxmlformats.org/officeDocument/2006/relationships/hyperlink" Target="https://drive.google.com/file/d/10D586iKo_tcX7Fcx-T3TMh1uDwiCqmrS/view?usp=drivesdk" TargetMode="External"/><Relationship Id="rId6029" Type="http://schemas.openxmlformats.org/officeDocument/2006/relationships/hyperlink" Target="https://drive.google.com/file/d/1q_VC5hLs27N_fkPIA37VLwKlV43B0YBL/view?usp=drivesdk" TargetMode="External"/><Relationship Id="rId6027" Type="http://schemas.openxmlformats.org/officeDocument/2006/relationships/hyperlink" Target="https://drive.google.com/file/d/1EYiDoNlIvxBC4gCSs3V43yfkL2rtx2As/view?usp=drivesdk" TargetMode="External"/><Relationship Id="rId7359" Type="http://schemas.openxmlformats.org/officeDocument/2006/relationships/hyperlink" Target="https://drive.google.com/file/d/1qr-jyfRxl6L1qor_DpfQmcNj5ZDb9WTO/view?usp=drivesdk" TargetMode="External"/><Relationship Id="rId6028" Type="http://schemas.openxmlformats.org/officeDocument/2006/relationships/hyperlink" Target="https://drive.google.com/file/d/1jEK_l2HNRW4lpfpb6-4IbxEGR60vaGqc/view?usp=drivesdk" TargetMode="External"/><Relationship Id="rId7358" Type="http://schemas.openxmlformats.org/officeDocument/2006/relationships/hyperlink" Target="https://drive.google.com/file/d/17VDYLfj_iY0H3pATf-5aexQquR8a0Sv5/view?usp=drivesdk" TargetMode="External"/><Relationship Id="rId8689" Type="http://schemas.openxmlformats.org/officeDocument/2006/relationships/hyperlink" Target="https://drive.google.com/file/d/1MONXFYVUwwGm11UBn2J2-DqQztY49sOH/view?usp=drivesdk" TargetMode="External"/><Relationship Id="rId6010" Type="http://schemas.openxmlformats.org/officeDocument/2006/relationships/hyperlink" Target="https://drive.google.com/file/d/11tpV-81twAI_AQAA8lhSkuJV_7KuZkT9/view?usp=drivesdk" TargetMode="External"/><Relationship Id="rId7342" Type="http://schemas.openxmlformats.org/officeDocument/2006/relationships/hyperlink" Target="https://drive.google.com/file/d/15W814H1ZIFtyebY6c5oHcK273NGsPzuk/view?usp=drivesdk" TargetMode="External"/><Relationship Id="rId8673" Type="http://schemas.openxmlformats.org/officeDocument/2006/relationships/hyperlink" Target="https://drive.google.com/file/d/1vlcC-hdNdnGnqXhyAZboG1kafgEFhUC0/view?usp=drivesdk" TargetMode="External"/><Relationship Id="rId6011" Type="http://schemas.openxmlformats.org/officeDocument/2006/relationships/hyperlink" Target="https://drive.google.com/file/d/1fjm1JvvXnAMrgZ2LU5w0mZI7i9tHU9sO/view?usp=drivesdk" TargetMode="External"/><Relationship Id="rId7341" Type="http://schemas.openxmlformats.org/officeDocument/2006/relationships/hyperlink" Target="https://drive.google.com/file/d/1mIAqdZy20SXeAtt5kfUm_aoxNHbUOBPU/view?usp=drivesdk" TargetMode="External"/><Relationship Id="rId8672" Type="http://schemas.openxmlformats.org/officeDocument/2006/relationships/hyperlink" Target="https://drive.google.com/file/d/1rryvt02AZIkJKtOdoGd3awyUB5BiHPDV/view?usp=drivesdk" TargetMode="External"/><Relationship Id="rId7340" Type="http://schemas.openxmlformats.org/officeDocument/2006/relationships/hyperlink" Target="https://drive.google.com/file/d/1aD1fdlpTFt8-6TdS7lPuZzivlihGV3DH/view?usp=drivesdk" TargetMode="External"/><Relationship Id="rId8671" Type="http://schemas.openxmlformats.org/officeDocument/2006/relationships/hyperlink" Target="https://drive.google.com/file/d/1WwkRuHgh_FElBD0rpMPpRsmU4dIxvB9c/view?usp=drivesdk" TargetMode="External"/><Relationship Id="rId8670" Type="http://schemas.openxmlformats.org/officeDocument/2006/relationships/hyperlink" Target="https://drive.google.com/file/d/1Qh5VqYHlNrmsSa-eXRzYbcX8e57DXnq5/view?usp=drivesdk" TargetMode="External"/><Relationship Id="rId6014" Type="http://schemas.openxmlformats.org/officeDocument/2006/relationships/hyperlink" Target="https://drive.google.com/file/d/1QSMMaS0vkUilQMFm1Rx3vFapWQJVb8vq/view?usp=drivesdk" TargetMode="External"/><Relationship Id="rId7346" Type="http://schemas.openxmlformats.org/officeDocument/2006/relationships/hyperlink" Target="https://drive.google.com/file/d/1hIob9XTmgd_VeMxLzCETRURJiQIvi4lz/view?usp=drivesdk" TargetMode="External"/><Relationship Id="rId8677" Type="http://schemas.openxmlformats.org/officeDocument/2006/relationships/hyperlink" Target="https://drive.google.com/file/d/1tpwfFW9WHH36Wz8I73CpoTV01OYoKm0E/view?usp=drivesdk" TargetMode="External"/><Relationship Id="rId6015" Type="http://schemas.openxmlformats.org/officeDocument/2006/relationships/hyperlink" Target="https://drive.google.com/file/d/1A634yY16lxWmTpkVp5y0kBrp14UBU5g7/view?usp=drivesdk" TargetMode="External"/><Relationship Id="rId7345" Type="http://schemas.openxmlformats.org/officeDocument/2006/relationships/hyperlink" Target="https://drive.google.com/file/d/1cfZyJ8kZ48bMQFhcmanlWTHv-CXnImpb/view?usp=drivesdk" TargetMode="External"/><Relationship Id="rId8676" Type="http://schemas.openxmlformats.org/officeDocument/2006/relationships/hyperlink" Target="https://drive.google.com/file/d/1GZ0uIhWVxKRjJhbPpZyftIS4GlgsFjPX/view?usp=drivesdk" TargetMode="External"/><Relationship Id="rId6012" Type="http://schemas.openxmlformats.org/officeDocument/2006/relationships/hyperlink" Target="https://drive.google.com/file/d/1wsrEqE-PaMPiq3ReKrE40Zd5miuAvK4c/view?usp=drivesdk" TargetMode="External"/><Relationship Id="rId7344" Type="http://schemas.openxmlformats.org/officeDocument/2006/relationships/hyperlink" Target="https://drive.google.com/file/d/1IuRD82p0p2rCaymtJMEAP4Ps3gKXhLhj/view?usp=drivesdk" TargetMode="External"/><Relationship Id="rId8675" Type="http://schemas.openxmlformats.org/officeDocument/2006/relationships/hyperlink" Target="https://drive.google.com/file/d/1IfRYjpx9sD-SJnuQ4QSNP82ZqOXUJ6Jh/view?usp=drivesdk" TargetMode="External"/><Relationship Id="rId6013" Type="http://schemas.openxmlformats.org/officeDocument/2006/relationships/hyperlink" Target="https://drive.google.com/file/d/1BLmCczIjlmzBw7zNnwghZWM9XucGdHSz/view?usp=drivesdk" TargetMode="External"/><Relationship Id="rId7343" Type="http://schemas.openxmlformats.org/officeDocument/2006/relationships/hyperlink" Target="https://drive.google.com/file/d/1bFKSsMKHcpu5R2k7YFLVsPeUp4Ej3CrF/view?usp=drivesdk" TargetMode="External"/><Relationship Id="rId8674" Type="http://schemas.openxmlformats.org/officeDocument/2006/relationships/hyperlink" Target="https://drive.google.com/file/d/1ksRmWcRSXw3DXd2p-Z433WfvSV8ndq7W/view?usp=drivesdk" TargetMode="External"/><Relationship Id="rId6018" Type="http://schemas.openxmlformats.org/officeDocument/2006/relationships/hyperlink" Target="https://drive.google.com/file/d/1gcc6gXVN0wW7sCqSYsSizsTpvGxDPW3K/view?usp=drivesdk" TargetMode="External"/><Relationship Id="rId6019" Type="http://schemas.openxmlformats.org/officeDocument/2006/relationships/hyperlink" Target="https://drive.google.com/file/d/1mUjzACLFe_SR2I1fyEXECUD2VeSW5u_A/view?usp=drivesdk" TargetMode="External"/><Relationship Id="rId7349" Type="http://schemas.openxmlformats.org/officeDocument/2006/relationships/hyperlink" Target="https://drive.google.com/file/d/1Mda6fLMYIEKzEQTAFRflM3H3vDxZZWPA/view?usp=drivesdk" TargetMode="External"/><Relationship Id="rId6016" Type="http://schemas.openxmlformats.org/officeDocument/2006/relationships/hyperlink" Target="https://drive.google.com/file/d/1SgDhyf45d69Nf03xReTvXGlGjKDsUqJN/view?usp=drivesdk" TargetMode="External"/><Relationship Id="rId7348" Type="http://schemas.openxmlformats.org/officeDocument/2006/relationships/hyperlink" Target="https://drive.google.com/file/d/1iVTlZk8FEhtulcoz3Tsf__HgefsaHgSq/view?usp=drivesdk" TargetMode="External"/><Relationship Id="rId8679" Type="http://schemas.openxmlformats.org/officeDocument/2006/relationships/hyperlink" Target="https://drive.google.com/file/d/1QtJpsuqgWxVTjsSTDVxql8epGC2WzqBm/view?usp=drivesdk" TargetMode="External"/><Relationship Id="rId6017" Type="http://schemas.openxmlformats.org/officeDocument/2006/relationships/hyperlink" Target="https://drive.google.com/file/d/1IUxDIIzelT_117p4lcMi2vWxo_0mo5TY/view?usp=drivesdk" TargetMode="External"/><Relationship Id="rId7347" Type="http://schemas.openxmlformats.org/officeDocument/2006/relationships/hyperlink" Target="https://drive.google.com/file/d/1laG3hOJ6exB7bz0lRU3D3TnlkyFzqhUd/view?usp=drivesdk" TargetMode="External"/><Relationship Id="rId8678" Type="http://schemas.openxmlformats.org/officeDocument/2006/relationships/hyperlink" Target="https://drive.google.com/file/d/1kQfrGc6cvwz3WoPCBkb6iZnEIX0hGU7B/view?usp=drivesdk" TargetMode="External"/><Relationship Id="rId7371" Type="http://schemas.openxmlformats.org/officeDocument/2006/relationships/hyperlink" Target="https://drive.google.com/file/d/1FJqGMAomuNVgz83uGyq7ggE8-MTb7VQY/view?usp=drivesdk" TargetMode="External"/><Relationship Id="rId6040" Type="http://schemas.openxmlformats.org/officeDocument/2006/relationships/hyperlink" Target="https://drive.google.com/file/d/1ooVZGZ8mXmP2Gt3gll2JxGJ4vOER8dLB/view?usp=drivesdk" TargetMode="External"/><Relationship Id="rId7370" Type="http://schemas.openxmlformats.org/officeDocument/2006/relationships/hyperlink" Target="https://drive.google.com/file/d/1lPqi-xaZwWnf17zl5C5LJYqyOERnvPkr/view?usp=drivesdk" TargetMode="External"/><Relationship Id="rId6043" Type="http://schemas.openxmlformats.org/officeDocument/2006/relationships/hyperlink" Target="https://drive.google.com/file/d/1OjAQUpUptLdOtxuL7hB8sc5b0kXQxlZ3/view?usp=drivesdk" TargetMode="External"/><Relationship Id="rId7375" Type="http://schemas.openxmlformats.org/officeDocument/2006/relationships/hyperlink" Target="https://drive.google.com/file/d/12nJkfkWV8d_eZBg6hWbwmIGc54DTLQRj/view?usp=drivesdk" TargetMode="External"/><Relationship Id="rId6044" Type="http://schemas.openxmlformats.org/officeDocument/2006/relationships/hyperlink" Target="https://drive.google.com/file/d/1Wu3XjyJ55yFINgeraylCx2JCjeLlVoGn/view?usp=drivesdk" TargetMode="External"/><Relationship Id="rId7374" Type="http://schemas.openxmlformats.org/officeDocument/2006/relationships/hyperlink" Target="https://drive.google.com/file/d/1Vl4-aBXIx63OWTZPiKFRyjiL5E2XcwD9/view?usp=drivesdk" TargetMode="External"/><Relationship Id="rId6041" Type="http://schemas.openxmlformats.org/officeDocument/2006/relationships/hyperlink" Target="https://drive.google.com/file/d/1gdh1mIaRw6bZdFA36dXWTDKbU8MQKLVr/view?usp=drivesdk" TargetMode="External"/><Relationship Id="rId7373" Type="http://schemas.openxmlformats.org/officeDocument/2006/relationships/hyperlink" Target="https://drive.google.com/file/d/1xKRxX49y_CaDI7LOdn-j1kaGne-Ssqsb/view?usp=drivesdk" TargetMode="External"/><Relationship Id="rId6042" Type="http://schemas.openxmlformats.org/officeDocument/2006/relationships/hyperlink" Target="https://drive.google.com/file/d/1wkO9UzGW7FY7inLup0S_HTg7mWBNmt_5/view?usp=drivesdk" TargetMode="External"/><Relationship Id="rId7372" Type="http://schemas.openxmlformats.org/officeDocument/2006/relationships/hyperlink" Target="https://drive.google.com/file/d/1fqCzvjoCion5caRNmvMOmtbfk2wlfGOf/view?usp=drivesdk" TargetMode="External"/><Relationship Id="rId6047" Type="http://schemas.openxmlformats.org/officeDocument/2006/relationships/hyperlink" Target="https://drive.google.com/file/d/1L_37NWPDtzqUEoK4Uu7u5KmjnK7FabMJ/view?usp=drivesdk" TargetMode="External"/><Relationship Id="rId7379" Type="http://schemas.openxmlformats.org/officeDocument/2006/relationships/hyperlink" Target="https://drive.google.com/file/d/1MY7bc9sRJu7tvCUd3AriTsWytUMpX79p/view?usp=drivesdk" TargetMode="External"/><Relationship Id="rId6048" Type="http://schemas.openxmlformats.org/officeDocument/2006/relationships/hyperlink" Target="https://drive.google.com/file/d/1VODx4jCt4KE08uP07uI-A2DE9C2Mof3A/view?usp=drivesdk" TargetMode="External"/><Relationship Id="rId7378" Type="http://schemas.openxmlformats.org/officeDocument/2006/relationships/hyperlink" Target="https://drive.google.com/file/d/1Y8-3KmKiw-u6G-BI2pkkF50UhLwP0K3j/view?usp=drivesdk" TargetMode="External"/><Relationship Id="rId6045" Type="http://schemas.openxmlformats.org/officeDocument/2006/relationships/hyperlink" Target="https://drive.google.com/file/d/1iZLXzsQwgwdVel0JollsQLeDZrJIHUL1/view?usp=drivesdk" TargetMode="External"/><Relationship Id="rId7377" Type="http://schemas.openxmlformats.org/officeDocument/2006/relationships/hyperlink" Target="https://drive.google.com/file/d/1xwXdnZnLmFOcATnKw5kDnPPHCVjuU-F6/view?usp=drivesdk" TargetMode="External"/><Relationship Id="rId6046" Type="http://schemas.openxmlformats.org/officeDocument/2006/relationships/hyperlink" Target="https://drive.google.com/file/d/1cCjFH2RfrCw2y3yfYj5aMcgZiBp2myFH/view?usp=drivesdk" TargetMode="External"/><Relationship Id="rId7376" Type="http://schemas.openxmlformats.org/officeDocument/2006/relationships/hyperlink" Target="https://drive.google.com/file/d/1Ru6i4X5aSdC9Z6tRrNvK_wDMFtS321Eq/view?usp=drivesdk" TargetMode="External"/><Relationship Id="rId6049" Type="http://schemas.openxmlformats.org/officeDocument/2006/relationships/hyperlink" Target="https://drive.google.com/file/d/1gm714b_iJJba3cg7WKIA7CBmXLzwlwYy/view?usp=drivesdk" TargetMode="External"/><Relationship Id="rId7360" Type="http://schemas.openxmlformats.org/officeDocument/2006/relationships/hyperlink" Target="https://drive.google.com/file/d/1htExWLl84mOZT-6XSHkqu-lIikKVmNqe/view?usp=drivesdk" TargetMode="External"/><Relationship Id="rId8691" Type="http://schemas.openxmlformats.org/officeDocument/2006/relationships/hyperlink" Target="https://drive.google.com/file/d/1hSs5iGl3y_1UZy-Zk-hFFQcgbGAcdYIF/view?usp=drivesdk" TargetMode="External"/><Relationship Id="rId8690" Type="http://schemas.openxmlformats.org/officeDocument/2006/relationships/hyperlink" Target="https://drive.google.com/file/d/1uc0QlUqNYzTowL6RNOqgAFcPkGhpfPJD/view?usp=drivesdk" TargetMode="External"/><Relationship Id="rId6032" Type="http://schemas.openxmlformats.org/officeDocument/2006/relationships/hyperlink" Target="https://drive.google.com/file/d/1IwVYCIrCh2I8GlI1UzZEPZ0bKtFXhj8v/view?usp=drivesdk" TargetMode="External"/><Relationship Id="rId7364" Type="http://schemas.openxmlformats.org/officeDocument/2006/relationships/hyperlink" Target="https://drive.google.com/file/d/1ROQx1HeuS7LJAziWBT28358BfKa1OTUv/view?usp=drivesdk" TargetMode="External"/><Relationship Id="rId8695" Type="http://schemas.openxmlformats.org/officeDocument/2006/relationships/hyperlink" Target="https://drive.google.com/file/d/1glejdznkta62cTE2doBh-r_JeqzOS8xY/view?usp=drivesdk" TargetMode="External"/><Relationship Id="rId6033" Type="http://schemas.openxmlformats.org/officeDocument/2006/relationships/hyperlink" Target="https://drive.google.com/file/d/1N8N_Yy7DVvXL7yr56TolMfHJv8UEiSb0/view?usp=drivesdk" TargetMode="External"/><Relationship Id="rId7363" Type="http://schemas.openxmlformats.org/officeDocument/2006/relationships/hyperlink" Target="https://drive.google.com/file/d/1k9OK3nmPeJUtJ92DnQDxYS91YkiNv4B-/view?usp=drivesdk" TargetMode="External"/><Relationship Id="rId8694" Type="http://schemas.openxmlformats.org/officeDocument/2006/relationships/hyperlink" Target="https://drive.google.com/file/d/1yK6aFfGg7RolIXBZxAavOF1FD30QBo-r/view?usp=drivesdk" TargetMode="External"/><Relationship Id="rId6030" Type="http://schemas.openxmlformats.org/officeDocument/2006/relationships/hyperlink" Target="https://drive.google.com/file/d/103DePo5_xq9lc4SjhETYkmMzosqGq86F/view?usp=drivesdk" TargetMode="External"/><Relationship Id="rId7362" Type="http://schemas.openxmlformats.org/officeDocument/2006/relationships/hyperlink" Target="https://drive.google.com/file/d/1Mm_BiG3Z00N_j-m9i7i9v5UCgdkN5i7f/view?usp=drivesdk" TargetMode="External"/><Relationship Id="rId8693" Type="http://schemas.openxmlformats.org/officeDocument/2006/relationships/hyperlink" Target="https://drive.google.com/file/d/1Rn72ZDd56lja7fp68YvQnxm_EeUpVyTf/view?usp=drivesdk" TargetMode="External"/><Relationship Id="rId6031" Type="http://schemas.openxmlformats.org/officeDocument/2006/relationships/hyperlink" Target="https://drive.google.com/file/d/1ffcrMZNKyNRkgkw45U56tnLO808Al0w9/view?usp=drivesdk" TargetMode="External"/><Relationship Id="rId7361" Type="http://schemas.openxmlformats.org/officeDocument/2006/relationships/hyperlink" Target="https://drive.google.com/file/d/1bFZCDTq0DARZZ--hevr6Ox_JjtpzWfsU/view?usp=drivesdk" TargetMode="External"/><Relationship Id="rId8692" Type="http://schemas.openxmlformats.org/officeDocument/2006/relationships/hyperlink" Target="https://drive.google.com/file/d/1z33KYCvEgvwuGqcDSnVWL7Cp_WhqEczI/view?usp=drivesdk" TargetMode="External"/><Relationship Id="rId6036" Type="http://schemas.openxmlformats.org/officeDocument/2006/relationships/hyperlink" Target="https://drive.google.com/file/d/1w8LOISQH1XGHLFBMi8sjlaIyp5fRURi4/view?usp=drivesdk" TargetMode="External"/><Relationship Id="rId7368" Type="http://schemas.openxmlformats.org/officeDocument/2006/relationships/hyperlink" Target="https://drive.google.com/file/d/18KK8of4mFnFVBLP3_GCKoUND57XRoskh/view?usp=drivesdk" TargetMode="External"/><Relationship Id="rId8699" Type="http://schemas.openxmlformats.org/officeDocument/2006/relationships/hyperlink" Target="https://drive.google.com/file/d/1FKcxObxUPisyO5IhzFvp2GN0YSVgvh0j/view?usp=drivesdk" TargetMode="External"/><Relationship Id="rId6037" Type="http://schemas.openxmlformats.org/officeDocument/2006/relationships/hyperlink" Target="https://drive.google.com/file/d/1442kDmdf0AcZN7ofLxkXmSxdwmWRZfcg/view?usp=drivesdk" TargetMode="External"/><Relationship Id="rId7367" Type="http://schemas.openxmlformats.org/officeDocument/2006/relationships/hyperlink" Target="https://drive.google.com/file/d/1dund-meAKwWhzi8L6UvCbkji-uZiLFuH/view?usp=drivesdk" TargetMode="External"/><Relationship Id="rId8698" Type="http://schemas.openxmlformats.org/officeDocument/2006/relationships/hyperlink" Target="https://drive.google.com/file/d/13ZX2omjNIME_08C_PRjEgecybA55NW3d/view?usp=drivesdk" TargetMode="External"/><Relationship Id="rId6034" Type="http://schemas.openxmlformats.org/officeDocument/2006/relationships/hyperlink" Target="https://drive.google.com/file/d/1W86Q7tJds0KibaBzcpnr65gvVB6gVBtT/view?usp=drivesdk" TargetMode="External"/><Relationship Id="rId7366" Type="http://schemas.openxmlformats.org/officeDocument/2006/relationships/hyperlink" Target="https://drive.google.com/file/d/1QHyC2Klb7bodDCulMxEuXlyBjfmvQ7VZ/view?usp=drivesdk" TargetMode="External"/><Relationship Id="rId8697" Type="http://schemas.openxmlformats.org/officeDocument/2006/relationships/hyperlink" Target="https://drive.google.com/file/d/1K8C-swHhr9k2DHALh1p4DHYiPqfTsbML/view?usp=drivesdk" TargetMode="External"/><Relationship Id="rId6035" Type="http://schemas.openxmlformats.org/officeDocument/2006/relationships/hyperlink" Target="https://drive.google.com/file/d/1IHTZLRB3m18f4OvKRly7DvxgqThGUnqu/view?usp=drivesdk" TargetMode="External"/><Relationship Id="rId7365" Type="http://schemas.openxmlformats.org/officeDocument/2006/relationships/hyperlink" Target="https://drive.google.com/file/d/1qRRe-DP1-YjxEJBHFAQJ7ptbeg_qhtLX/view?usp=drivesdk" TargetMode="External"/><Relationship Id="rId8696" Type="http://schemas.openxmlformats.org/officeDocument/2006/relationships/hyperlink" Target="https://drive.google.com/file/d/1LLFskY-_fSyQRfGh9QKw-ijHY33l7TCN/view?usp=drivesdk" TargetMode="External"/><Relationship Id="rId6038" Type="http://schemas.openxmlformats.org/officeDocument/2006/relationships/hyperlink" Target="https://drive.google.com/file/d/1AvHuO0hy9EwRPQ9wlZ5yiNqPWNAqx1nh/view?usp=drivesdk" TargetMode="External"/><Relationship Id="rId6039" Type="http://schemas.openxmlformats.org/officeDocument/2006/relationships/hyperlink" Target="https://drive.google.com/file/d/1S6GIJz9fwuDaVp9QC8ivKuxqfcmbedfU/view?usp=drivesdk" TargetMode="External"/><Relationship Id="rId7369" Type="http://schemas.openxmlformats.org/officeDocument/2006/relationships/hyperlink" Target="https://drive.google.com/file/d/1SqR06cJ8f9sS9V3zyAk1WG11QZnducxL/view?usp=drivesdk" TargetMode="External"/><Relationship Id="rId10060" Type="http://schemas.openxmlformats.org/officeDocument/2006/relationships/hyperlink" Target="https://drive.google.com/file/d/1alq1SXlz83E-XMNmsrN8q3VVVlNaQaA3/view?usp=drivesdk" TargetMode="External"/><Relationship Id="rId11392" Type="http://schemas.openxmlformats.org/officeDocument/2006/relationships/hyperlink" Target="https://drive.google.com/file/d/1mLCEnPQ8lVVFEeGgCvik89bpieliT1OP/view?usp=drivesdk" TargetMode="External"/><Relationship Id="rId10061" Type="http://schemas.openxmlformats.org/officeDocument/2006/relationships/hyperlink" Target="https://drive.google.com/file/d/1_VFk8UFaQMJHym0IDm71GYqFL7IuLYlZ/view?usp=drivesdk" TargetMode="External"/><Relationship Id="rId11391" Type="http://schemas.openxmlformats.org/officeDocument/2006/relationships/hyperlink" Target="https://drive.google.com/file/d/1sS8XfFdL-_DgyR5HSJ7P1UW8yNdVi_9F/view?usp=drivesdk" TargetMode="External"/><Relationship Id="rId11390" Type="http://schemas.openxmlformats.org/officeDocument/2006/relationships/hyperlink" Target="https://drive.google.com/file/d/1EFoK-t52GOR5-y7J3xbRoPA-MD9Y2NDH/view?usp=drivesdk" TargetMode="External"/><Relationship Id="rId10059" Type="http://schemas.openxmlformats.org/officeDocument/2006/relationships/hyperlink" Target="https://drive.google.com/file/d/1QfJ6a2RC8_rTCVRqjLgUbmBE-rG1qqq_/view?usp=drivesdk" TargetMode="External"/><Relationship Id="rId10053" Type="http://schemas.openxmlformats.org/officeDocument/2006/relationships/hyperlink" Target="https://drive.google.com/file/d/1Qj4oVCl1TfpBuv3Q4weUvTSBH0X-YRRj/view?usp=drivesdk" TargetMode="External"/><Relationship Id="rId11385" Type="http://schemas.openxmlformats.org/officeDocument/2006/relationships/hyperlink" Target="https://drive.google.com/file/d/1QkgCXcFqjB_UJO2gM2du8pPCOq3XtqbN/view?usp=drivesdk" TargetMode="External"/><Relationship Id="rId10054" Type="http://schemas.openxmlformats.org/officeDocument/2006/relationships/hyperlink" Target="https://drive.google.com/file/d/1GTTTThIPy3SK4t6oLsiNhfKKcg4567qd/view?usp=drivesdk" TargetMode="External"/><Relationship Id="rId11384" Type="http://schemas.openxmlformats.org/officeDocument/2006/relationships/hyperlink" Target="https://drive.google.com/file/d/1fkB5-Xq6vzCUCAgx6bWMAjKMuJiRd0Fm/view?usp=drivesdk" TargetMode="External"/><Relationship Id="rId10051" Type="http://schemas.openxmlformats.org/officeDocument/2006/relationships/hyperlink" Target="https://drive.google.com/file/d/1VVsw_-K6K3HOO3UGCM5LFwcbwQo3rJ9F/view?usp=drivesdk" TargetMode="External"/><Relationship Id="rId11383" Type="http://schemas.openxmlformats.org/officeDocument/2006/relationships/hyperlink" Target="https://drive.google.com/file/d/17kKzH481j9CcbBdtWY5ZjYIvrdM3ZDti/view?usp=drivesdk" TargetMode="External"/><Relationship Id="rId10052" Type="http://schemas.openxmlformats.org/officeDocument/2006/relationships/hyperlink" Target="https://drive.google.com/file/d/1buKnogP9pRXtmCjOpO81-trJs7lP9EdO/view?usp=drivesdk" TargetMode="External"/><Relationship Id="rId11382" Type="http://schemas.openxmlformats.org/officeDocument/2006/relationships/hyperlink" Target="https://drive.google.com/file/d/1YG6VTO8bQ8aXYea5qkhqew45NtZNnzlb/view?usp=drivesdk" TargetMode="External"/><Relationship Id="rId10057" Type="http://schemas.openxmlformats.org/officeDocument/2006/relationships/hyperlink" Target="https://drive.google.com/file/d/1aahugIkkseLMCUmVgAf-4nYHiPbq01Na/view?usp=drivesdk" TargetMode="External"/><Relationship Id="rId11389" Type="http://schemas.openxmlformats.org/officeDocument/2006/relationships/hyperlink" Target="https://drive.google.com/file/d/1XXYeIE1XSrMifIrkRyPU6RVrsongZHJZ/view?usp=drivesdk" TargetMode="External"/><Relationship Id="rId10058" Type="http://schemas.openxmlformats.org/officeDocument/2006/relationships/hyperlink" Target="https://drive.google.com/file/d/1NSsOf5fsnhJB55wS7XWS8AJhVstcID_K/view?usp=drivesdk" TargetMode="External"/><Relationship Id="rId11388" Type="http://schemas.openxmlformats.org/officeDocument/2006/relationships/hyperlink" Target="https://drive.google.com/file/d/1eHXBI_oW5P2T2SSWt50d7XBWD07NBw2t/view?usp=drivesdk" TargetMode="External"/><Relationship Id="rId10055" Type="http://schemas.openxmlformats.org/officeDocument/2006/relationships/hyperlink" Target="https://drive.google.com/file/d/17nVA6H3wIGneY2k9BAH9XoLHPjso5H-Z/view?usp=drivesdk" TargetMode="External"/><Relationship Id="rId11387" Type="http://schemas.openxmlformats.org/officeDocument/2006/relationships/hyperlink" Target="https://drive.google.com/file/d/1teboZcn3-54_AvAeV-JVjGi2fTTpJnZx/view?usp=drivesdk" TargetMode="External"/><Relationship Id="rId10056" Type="http://schemas.openxmlformats.org/officeDocument/2006/relationships/hyperlink" Target="https://drive.google.com/file/d/1RYrNarBGLv-3ima7a6F3255Npef9Z8Wl/view?usp=drivesdk" TargetMode="External"/><Relationship Id="rId11386" Type="http://schemas.openxmlformats.org/officeDocument/2006/relationships/hyperlink" Target="https://drive.google.com/file/d/1A73aH3aflAQQTbB8_TIwA_KG-oFKas2b/view?usp=drivesdk" TargetMode="External"/><Relationship Id="rId10071" Type="http://schemas.openxmlformats.org/officeDocument/2006/relationships/hyperlink" Target="https://drive.google.com/file/d/1ov_e1-7vGF-Dw8XqDv8S8XlJmVRJX3Fa/view?usp=drivesdk" TargetMode="External"/><Relationship Id="rId10072" Type="http://schemas.openxmlformats.org/officeDocument/2006/relationships/hyperlink" Target="https://drive.google.com/file/d/1g6fu9QLJnW5xr11wqIIy475Mx5MfNjxU/view?usp=drivesdk" TargetMode="External"/><Relationship Id="rId10070" Type="http://schemas.openxmlformats.org/officeDocument/2006/relationships/hyperlink" Target="https://drive.google.com/file/d/1xya0v_0HSNLvv4zK2lEPHi_zL1PG7S5f/view?usp=drivesdk" TargetMode="External"/><Relationship Id="rId10064" Type="http://schemas.openxmlformats.org/officeDocument/2006/relationships/hyperlink" Target="https://drive.google.com/file/d/1hPd8O7oqYyM3fIuIP0HNiLas9j3NBMf4/view?usp=drivesdk" TargetMode="External"/><Relationship Id="rId11396" Type="http://schemas.openxmlformats.org/officeDocument/2006/relationships/hyperlink" Target="https://drive.google.com/file/d/1qWF1YIj4wiZAoxKS0ris0IiWreVxJGZH/view?usp=drivesdk" TargetMode="External"/><Relationship Id="rId10065" Type="http://schemas.openxmlformats.org/officeDocument/2006/relationships/hyperlink" Target="https://drive.google.com/file/d/1mNJ9bU--9nQvPgjVwiVfqyUb_-naajGW/view?usp=drivesdk" TargetMode="External"/><Relationship Id="rId11395" Type="http://schemas.openxmlformats.org/officeDocument/2006/relationships/hyperlink" Target="https://drive.google.com/file/d/1FrPlm1TCzO9NlQHt4fx0Nl8-QHGhwMKH/view?usp=drivesdk" TargetMode="External"/><Relationship Id="rId10062" Type="http://schemas.openxmlformats.org/officeDocument/2006/relationships/hyperlink" Target="https://drive.google.com/file/d/1-o-cYaimWm7CvMmEHHo4zd4Lw5jE6QUm/view?usp=drivesdk" TargetMode="External"/><Relationship Id="rId11394" Type="http://schemas.openxmlformats.org/officeDocument/2006/relationships/hyperlink" Target="https://drive.google.com/file/d/1Qx1v4F4eyhlxgNugQcX58OgDzXMku5LC/view?usp=drivesdk" TargetMode="External"/><Relationship Id="rId10063" Type="http://schemas.openxmlformats.org/officeDocument/2006/relationships/hyperlink" Target="https://drive.google.com/file/d/1-YRtud0jYk3raJNBKwPH7tmMKEr6Txsl/view?usp=drivesdk" TargetMode="External"/><Relationship Id="rId11393" Type="http://schemas.openxmlformats.org/officeDocument/2006/relationships/hyperlink" Target="https://drive.google.com/file/d/11Fk2hubzDG6-63sj-Y6F_AACAn0BAamY/view?usp=drivesdk" TargetMode="External"/><Relationship Id="rId10068" Type="http://schemas.openxmlformats.org/officeDocument/2006/relationships/hyperlink" Target="https://drive.google.com/file/d/19yuwwJ9MOPBLgwTT9IYssB1yaOntO7iD/view?usp=drivesdk" TargetMode="External"/><Relationship Id="rId10069" Type="http://schemas.openxmlformats.org/officeDocument/2006/relationships/hyperlink" Target="https://drive.google.com/file/d/1GsTdt2Gz8yd1ce8VaqaxVvUYrMg05fFW/view?usp=drivesdk" TargetMode="External"/><Relationship Id="rId11399" Type="http://schemas.openxmlformats.org/officeDocument/2006/relationships/hyperlink" Target="https://drive.google.com/file/d/1zI94pQybS_-LPVm0PJZE7t8zptsM6rOj/view?usp=drivesdk" TargetMode="External"/><Relationship Id="rId10066" Type="http://schemas.openxmlformats.org/officeDocument/2006/relationships/hyperlink" Target="https://drive.google.com/file/d/1xjxsQYzUagA3lAcHj77gy9AWZ8Y2MPAS/view?usp=drivesdk" TargetMode="External"/><Relationship Id="rId11398" Type="http://schemas.openxmlformats.org/officeDocument/2006/relationships/hyperlink" Target="https://drive.google.com/file/d/1o2LF5ibmaa4khHiaOGqwBHESQnqyIL09/view?usp=drivesdk" TargetMode="External"/><Relationship Id="rId10067" Type="http://schemas.openxmlformats.org/officeDocument/2006/relationships/hyperlink" Target="https://drive.google.com/file/d/1gZpA4pxbtHHE73HY-sjU4JsyjwtGqdD_/view?usp=drivesdk" TargetMode="External"/><Relationship Id="rId11397" Type="http://schemas.openxmlformats.org/officeDocument/2006/relationships/hyperlink" Target="https://drive.google.com/file/d/1ue8Vxq-EJQJjmrOqxom2yUEStcejv-s4/view?usp=drivesdk" TargetMode="External"/><Relationship Id="rId11370" Type="http://schemas.openxmlformats.org/officeDocument/2006/relationships/hyperlink" Target="https://drive.google.com/file/d/1JsCiD80ajL3gwEocfV9E06m6XSLKR65y/view?usp=drivesdk" TargetMode="External"/><Relationship Id="rId10039" Type="http://schemas.openxmlformats.org/officeDocument/2006/relationships/hyperlink" Target="https://drive.google.com/file/d/1ARJxLE7fLzBBidNMdwBE3F7S9rp25qbf/view?usp=drivesdk" TargetMode="External"/><Relationship Id="rId10037" Type="http://schemas.openxmlformats.org/officeDocument/2006/relationships/hyperlink" Target="https://drive.google.com/file/d/1nrsziCE2NgK521tMTASuP4tYq031gM6R/view?usp=drivesdk" TargetMode="External"/><Relationship Id="rId11369" Type="http://schemas.openxmlformats.org/officeDocument/2006/relationships/hyperlink" Target="https://drive.google.com/file/d/1d9vaSqTw0PccIqnGa-ZyIMhCUFcbBXyF/view?usp=drivesdk" TargetMode="External"/><Relationship Id="rId10038" Type="http://schemas.openxmlformats.org/officeDocument/2006/relationships/hyperlink" Target="https://drive.google.com/file/d/17nApRzBIXUCQeGjJjdp0Zl4U78JJZurQ/view?usp=drivesdk" TargetMode="External"/><Relationship Id="rId11368" Type="http://schemas.openxmlformats.org/officeDocument/2006/relationships/hyperlink" Target="https://drive.google.com/file/d/196tWRq0uCHUKGqbo_FwaYQAidAIL_yhr/view?usp=drivesdk" TargetMode="External"/><Relationship Id="rId12699" Type="http://schemas.openxmlformats.org/officeDocument/2006/relationships/hyperlink" Target="https://drive.google.com/file/d/15LE5MzSOfvQE2menmYSnuzxxPt0P0tty/view?usp=drivesdk" TargetMode="External"/><Relationship Id="rId10031" Type="http://schemas.openxmlformats.org/officeDocument/2006/relationships/hyperlink" Target="https://drive.google.com/file/d/1pb0LX9QiRvaPszbVHJFogp5XhDqlcH5x/view?usp=drivesdk" TargetMode="External"/><Relationship Id="rId11363" Type="http://schemas.openxmlformats.org/officeDocument/2006/relationships/hyperlink" Target="https://drive.google.com/file/d/1DS6Tjxoc2d0QObYoFONwVVHhTuDEMG0b/view?usp=drivesdk" TargetMode="External"/><Relationship Id="rId12694" Type="http://schemas.openxmlformats.org/officeDocument/2006/relationships/hyperlink" Target="https://drive.google.com/file/d/1YYNfs0YDsda_1R-C7JaMI5MyBXcb1MZH/view?usp=drivesdk" TargetMode="External"/><Relationship Id="rId10032" Type="http://schemas.openxmlformats.org/officeDocument/2006/relationships/hyperlink" Target="https://drive.google.com/file/d/1JpJagDbl-FtNXJvrCkICuu9WeiElj4xU/view?usp=drivesdk" TargetMode="External"/><Relationship Id="rId11362" Type="http://schemas.openxmlformats.org/officeDocument/2006/relationships/hyperlink" Target="https://drive.google.com/file/d/1dvBRbWPjgLtAtLFz6U-wuSV5bg3gV_4d/view?usp=drivesdk" TargetMode="External"/><Relationship Id="rId12693" Type="http://schemas.openxmlformats.org/officeDocument/2006/relationships/hyperlink" Target="https://drive.google.com/file/d/1Z4om66aCSanVQsSgPq98K08iB_P7krUo/view?usp=drivesdk" TargetMode="External"/><Relationship Id="rId11361" Type="http://schemas.openxmlformats.org/officeDocument/2006/relationships/hyperlink" Target="https://drive.google.com/file/d/11jcX_mAA8aneiziUYvpgXlgrD11qwNcx/view?usp=drivesdk" TargetMode="External"/><Relationship Id="rId12692" Type="http://schemas.openxmlformats.org/officeDocument/2006/relationships/hyperlink" Target="https://drive.google.com/file/d/1iB9I7OUilXnDNME9qvIAeCVTGmPnCMaK/view?usp=drivesdk" TargetMode="External"/><Relationship Id="rId10030" Type="http://schemas.openxmlformats.org/officeDocument/2006/relationships/hyperlink" Target="https://drive.google.com/file/d/10xYIsQ0IfGy2ekhdR6KgDyi4FjyKdKjl/view?usp=drivesdk" TargetMode="External"/><Relationship Id="rId11360" Type="http://schemas.openxmlformats.org/officeDocument/2006/relationships/hyperlink" Target="https://drive.google.com/file/d/1f3WK9dL_j_7HTzCZNuvjcgBPW1lE1_qq/view?usp=drivesdk" TargetMode="External"/><Relationship Id="rId12691" Type="http://schemas.openxmlformats.org/officeDocument/2006/relationships/hyperlink" Target="https://drive.google.com/file/d/1O4ZyviVg6tpsQ1u37DMQMgnE0EQkfQ5v/view?usp=drivesdk" TargetMode="External"/><Relationship Id="rId10035" Type="http://schemas.openxmlformats.org/officeDocument/2006/relationships/hyperlink" Target="https://drive.google.com/file/d/1ck7atN9dKIYcpdqMNFNhgOGfaCk1FIsR/view?usp=drivesdk" TargetMode="External"/><Relationship Id="rId11367" Type="http://schemas.openxmlformats.org/officeDocument/2006/relationships/hyperlink" Target="https://drive.google.com/file/d/18YL6JDNDoeFdpu7GdFBStoR7HHFU8smw/view?usp=drivesdk" TargetMode="External"/><Relationship Id="rId12698" Type="http://schemas.openxmlformats.org/officeDocument/2006/relationships/hyperlink" Target="https://drive.google.com/file/d/1fbkC35b_UdCVu-nTqSSq1EmjtKDIMaIq/view?usp=drivesdk" TargetMode="External"/><Relationship Id="rId10036" Type="http://schemas.openxmlformats.org/officeDocument/2006/relationships/hyperlink" Target="https://drive.google.com/file/d/1JzzKGYC5Zzx5Wi6S_bOhHfAqhLpvwY4f/view?usp=drivesdk" TargetMode="External"/><Relationship Id="rId11366" Type="http://schemas.openxmlformats.org/officeDocument/2006/relationships/hyperlink" Target="https://drive.google.com/file/d/1wwhVIFw8XITpdeFUMILidA2jk5VCvugu/view?usp=drivesdk" TargetMode="External"/><Relationship Id="rId12697" Type="http://schemas.openxmlformats.org/officeDocument/2006/relationships/hyperlink" Target="https://drive.google.com/file/d/1LiBpz8-O0q_p5-JNjdaL0vlrqjIOvJON/view?usp=drivesdk" TargetMode="External"/><Relationship Id="rId10033" Type="http://schemas.openxmlformats.org/officeDocument/2006/relationships/hyperlink" Target="https://drive.google.com/file/d/158veLVEREEZA5A0zPw2431TL9SHXFqVX/view?usp=drivesdk" TargetMode="External"/><Relationship Id="rId11365" Type="http://schemas.openxmlformats.org/officeDocument/2006/relationships/hyperlink" Target="https://drive.google.com/file/d/1ouzshUZtUoBug_P9B--HmNYEmshPSu_T/view?usp=drivesdk" TargetMode="External"/><Relationship Id="rId12696" Type="http://schemas.openxmlformats.org/officeDocument/2006/relationships/hyperlink" Target="https://drive.google.com/file/d/1Hmay7_jZ9u4YQ7fl7ceaYZk6wQSFrQk-/view?usp=drivesdk" TargetMode="External"/><Relationship Id="rId10034" Type="http://schemas.openxmlformats.org/officeDocument/2006/relationships/hyperlink" Target="https://drive.google.com/file/d/1kDSTjBJMT9CmGkGIWwRJTh85_QejiGm4/view?usp=drivesdk" TargetMode="External"/><Relationship Id="rId11364" Type="http://schemas.openxmlformats.org/officeDocument/2006/relationships/hyperlink" Target="https://drive.google.com/file/d/1mYC-CIYey19s7LtHQ8o70h8G0rqTeoRd/view?usp=drivesdk" TargetMode="External"/><Relationship Id="rId12695" Type="http://schemas.openxmlformats.org/officeDocument/2006/relationships/hyperlink" Target="https://drive.google.com/file/d/1kChTI2XOqUBXZQSPeRzfJp89aYzojhH0/view?usp=drivesdk" TargetMode="External"/><Relationship Id="rId11381" Type="http://schemas.openxmlformats.org/officeDocument/2006/relationships/hyperlink" Target="https://drive.google.com/file/d/1HsOsyhbLGCT60Up7-CB6ixZcl1aoqSPE/view?usp=drivesdk" TargetMode="External"/><Relationship Id="rId10050" Type="http://schemas.openxmlformats.org/officeDocument/2006/relationships/hyperlink" Target="https://drive.google.com/file/d/1ra5rEMACujkyydIDf_RaU6IFp_9e2dbt/view?usp=drivesdk" TargetMode="External"/><Relationship Id="rId11380" Type="http://schemas.openxmlformats.org/officeDocument/2006/relationships/hyperlink" Target="https://drive.google.com/file/d/1WjYBwwvZ81AfYIsrzqQc-eciKiOtnaZI/view?usp=drivesdk" TargetMode="External"/><Relationship Id="rId10048" Type="http://schemas.openxmlformats.org/officeDocument/2006/relationships/hyperlink" Target="https://drive.google.com/file/d/1V2wJVFxtSUWe9JvBiyVikh6B4boj254c/view?usp=drivesdk" TargetMode="External"/><Relationship Id="rId10049" Type="http://schemas.openxmlformats.org/officeDocument/2006/relationships/hyperlink" Target="https://drive.google.com/file/d/1PZKfmkbkqST6qX8KxZCL0GCdoytFZDi4/view?usp=drivesdk" TargetMode="External"/><Relationship Id="rId11379" Type="http://schemas.openxmlformats.org/officeDocument/2006/relationships/hyperlink" Target="https://drive.google.com/file/d/1H4cD5HoR2R5Hzt2VMJQ5s7s4aFQ9Dm0M/view?usp=drivesdk" TargetMode="External"/><Relationship Id="rId10042" Type="http://schemas.openxmlformats.org/officeDocument/2006/relationships/hyperlink" Target="https://drive.google.com/file/d/1-UMxjpo1IwDrHrN9cps4svdQkDrsY6I7/view?usp=drivesdk" TargetMode="External"/><Relationship Id="rId11374" Type="http://schemas.openxmlformats.org/officeDocument/2006/relationships/hyperlink" Target="https://drive.google.com/file/d/1fIotsDk0T7FaUGdZdXcNr_Kl8DSwCRfz/view?usp=drivesdk" TargetMode="External"/><Relationship Id="rId10043" Type="http://schemas.openxmlformats.org/officeDocument/2006/relationships/hyperlink" Target="https://drive.google.com/file/d/1kw5cgCcmDd_RG5m6zbgXDES6Noz4JpVz/view?usp=drivesdk" TargetMode="External"/><Relationship Id="rId11373" Type="http://schemas.openxmlformats.org/officeDocument/2006/relationships/hyperlink" Target="https://drive.google.com/file/d/1rcGkYp_LykmqgnZQV2DWAvZJ7hNQPO1f/view?usp=drivesdk" TargetMode="External"/><Relationship Id="rId10040" Type="http://schemas.openxmlformats.org/officeDocument/2006/relationships/hyperlink" Target="https://drive.google.com/file/d/1gM6Mp9rRshkJ6wmkcfShfkxsosTSq_j2/view?usp=drivesdk" TargetMode="External"/><Relationship Id="rId11372" Type="http://schemas.openxmlformats.org/officeDocument/2006/relationships/hyperlink" Target="https://drive.google.com/file/d/1i1yGX4ebIesOna7Hy6u1x_dP44Gr77Sm/view?usp=drivesdk" TargetMode="External"/><Relationship Id="rId10041" Type="http://schemas.openxmlformats.org/officeDocument/2006/relationships/hyperlink" Target="https://drive.google.com/file/d/1q9tOVhxZaF-j9z18aSV9vTZAXOOo_ELm/view?usp=drivesdk" TargetMode="External"/><Relationship Id="rId11371" Type="http://schemas.openxmlformats.org/officeDocument/2006/relationships/hyperlink" Target="https://drive.google.com/file/d/1ST3A6CElksJyLN7lLzne-B3JCSbhUV6H/view?usp=drivesdk" TargetMode="External"/><Relationship Id="rId10046" Type="http://schemas.openxmlformats.org/officeDocument/2006/relationships/hyperlink" Target="https://drive.google.com/file/d/1PFrP0p0vHxYBQF4Qf_SVkiRGOFKbfCgJ/view?usp=drivesdk" TargetMode="External"/><Relationship Id="rId11378" Type="http://schemas.openxmlformats.org/officeDocument/2006/relationships/hyperlink" Target="https://drive.google.com/file/d/1QbZ8oo2inVi9hKa4SFHqLufjt2jwp1np/view?usp=drivesdk" TargetMode="External"/><Relationship Id="rId10047" Type="http://schemas.openxmlformats.org/officeDocument/2006/relationships/hyperlink" Target="https://drive.google.com/file/d/1sAMBsiVz_qiwfx9jwjFMgSYLdd81L_VQ/view?usp=drivesdk" TargetMode="External"/><Relationship Id="rId11377" Type="http://schemas.openxmlformats.org/officeDocument/2006/relationships/hyperlink" Target="https://drive.google.com/file/d/1JEkg_FSmXM9FTK6GsyEiUSB13sm6YTiy/view?usp=drivesdk" TargetMode="External"/><Relationship Id="rId10044" Type="http://schemas.openxmlformats.org/officeDocument/2006/relationships/hyperlink" Target="https://drive.google.com/file/d/1e6b54ZciDGmTjp7M9CRZQgW99Vrl-sJM/view?usp=drivesdk" TargetMode="External"/><Relationship Id="rId11376" Type="http://schemas.openxmlformats.org/officeDocument/2006/relationships/hyperlink" Target="https://drive.google.com/file/d/1FwR9UrdkFZQV3W5WzhVcl9ZbSLqrnGFM/view?usp=drivesdk" TargetMode="External"/><Relationship Id="rId10045" Type="http://schemas.openxmlformats.org/officeDocument/2006/relationships/hyperlink" Target="https://drive.google.com/file/d/1QlOTB7UKUOqa99w6bwFtXL87LW1QWYFQ/view?usp=drivesdk" TargetMode="External"/><Relationship Id="rId11375" Type="http://schemas.openxmlformats.org/officeDocument/2006/relationships/hyperlink" Target="https://drive.google.com/file/d/1uFA1ajK9aZ095LNq-dQUJI7u2vbDVNGr/view?usp=drivesdk" TargetMode="External"/><Relationship Id="rId10097" Type="http://schemas.openxmlformats.org/officeDocument/2006/relationships/hyperlink" Target="https://drive.google.com/file/d/1qpzZ4JtUEknTo2cQpLZj4EPE9JOTEEfj/view?usp=drivesdk" TargetMode="External"/><Relationship Id="rId10098" Type="http://schemas.openxmlformats.org/officeDocument/2006/relationships/hyperlink" Target="https://drive.google.com/file/d/1LGKc0-jopG54aT3-XN92iEPSaVmP6C0c/view?usp=drivesdk" TargetMode="External"/><Relationship Id="rId10095" Type="http://schemas.openxmlformats.org/officeDocument/2006/relationships/hyperlink" Target="https://drive.google.com/file/d/19rySIVXMTEcwFAyWwnSsbzeWAa-xLRSA/view?usp=drivesdk" TargetMode="External"/><Relationship Id="rId10096" Type="http://schemas.openxmlformats.org/officeDocument/2006/relationships/hyperlink" Target="https://drive.google.com/file/d/1oqBOHZYYUVXhsbHkqG5kXGVRvfYJ661i/view?usp=drivesdk" TargetMode="External"/><Relationship Id="rId10099" Type="http://schemas.openxmlformats.org/officeDocument/2006/relationships/hyperlink" Target="https://drive.google.com/file/d/1En66rPp35h2En-AxWHFYtsstFkdoBPgX/view?usp=drivesdk" TargetMode="External"/><Relationship Id="rId6094" Type="http://schemas.openxmlformats.org/officeDocument/2006/relationships/hyperlink" Target="https://drive.google.com/file/d/1UDu6z91BzXWDRVxgIT4laCjaT9fpcGzs/view?usp=drivesdk" TargetMode="External"/><Relationship Id="rId6095" Type="http://schemas.openxmlformats.org/officeDocument/2006/relationships/hyperlink" Target="https://drive.google.com/file/d/1D8pNeRa-ZxMvoQYL7-0YCW8faECNTLo5/view?usp=drivesdk" TargetMode="External"/><Relationship Id="rId6092" Type="http://schemas.openxmlformats.org/officeDocument/2006/relationships/hyperlink" Target="https://drive.google.com/file/d/1XjtTRibu1J9dhcldizlUUJVfyma4bd5J/view?usp=drivesdk" TargetMode="External"/><Relationship Id="rId6093" Type="http://schemas.openxmlformats.org/officeDocument/2006/relationships/hyperlink" Target="https://drive.google.com/file/d/142qThMpioz9iWR0UiV-NBDHXjB68gM57/view?usp=drivesdk" TargetMode="External"/><Relationship Id="rId6098" Type="http://schemas.openxmlformats.org/officeDocument/2006/relationships/hyperlink" Target="https://drive.google.com/file/d/13H5jqQ_nC-JLSeFeLX3oqnla4y1yPoAU/view?usp=drivesdk" TargetMode="External"/><Relationship Id="rId6099" Type="http://schemas.openxmlformats.org/officeDocument/2006/relationships/hyperlink" Target="https://drive.google.com/file/d/1gTsHr1C0Vteg-D7342C1kzZJ_aFtqosL/view?usp=drivesdk" TargetMode="External"/><Relationship Id="rId6096" Type="http://schemas.openxmlformats.org/officeDocument/2006/relationships/hyperlink" Target="https://drive.google.com/file/d/1t3siBIcFJmd8zonqJ1OxLWUogstcpIFZ/view?usp=drivesdk" TargetMode="External"/><Relationship Id="rId6097" Type="http://schemas.openxmlformats.org/officeDocument/2006/relationships/hyperlink" Target="https://drive.google.com/file/d/1VHSOxXVz-Y6hE2EGyh0f68h1Q5R6tSKW/view?usp=drivesdk" TargetMode="External"/><Relationship Id="rId10082" Type="http://schemas.openxmlformats.org/officeDocument/2006/relationships/hyperlink" Target="https://drive.google.com/file/d/1BsG7W_fIj6FfsJWka0Dv4PlOxHqx8BJY/view?usp=drivesdk" TargetMode="External"/><Relationship Id="rId10083" Type="http://schemas.openxmlformats.org/officeDocument/2006/relationships/hyperlink" Target="https://drive.google.com/file/d/1vgiIsM0Wb83lO-qs0iENX_Fet5DKkj1R/view?usp=drivesdk" TargetMode="External"/><Relationship Id="rId10080" Type="http://schemas.openxmlformats.org/officeDocument/2006/relationships/hyperlink" Target="https://drive.google.com/file/d/1qMe5gvgc5kFD44q3tD__P0d8wv6SH-lX/view?usp=drivesdk" TargetMode="External"/><Relationship Id="rId10081" Type="http://schemas.openxmlformats.org/officeDocument/2006/relationships/hyperlink" Target="https://drive.google.com/file/d/1hzQcC4nGrV3Uv3Y6qAW6I-LNRAPN-swc/view?usp=drivesdk" TargetMode="External"/><Relationship Id="rId10075" Type="http://schemas.openxmlformats.org/officeDocument/2006/relationships/hyperlink" Target="https://drive.google.com/file/d/1Q3SnphIdv7F0pXvy9t4muAU3aCbxiJUJ/view?usp=drivesdk" TargetMode="External"/><Relationship Id="rId10076" Type="http://schemas.openxmlformats.org/officeDocument/2006/relationships/hyperlink" Target="https://drive.google.com/file/d/1-RHn_opfVvsNLOTmEiEy4ATTupSk0gYF/view?usp=drivesdk" TargetMode="External"/><Relationship Id="rId10073" Type="http://schemas.openxmlformats.org/officeDocument/2006/relationships/hyperlink" Target="https://drive.google.com/file/d/1LpDqE_OT7Wn9RVYUSvZHZyV4kJh7tqJh/view?usp=drivesdk" TargetMode="External"/><Relationship Id="rId10074" Type="http://schemas.openxmlformats.org/officeDocument/2006/relationships/hyperlink" Target="https://drive.google.com/file/d/1F_r1B_rffrtaVnv74v-9VGkl96Fe8loz/view?usp=drivesdk" TargetMode="External"/><Relationship Id="rId10079" Type="http://schemas.openxmlformats.org/officeDocument/2006/relationships/hyperlink" Target="https://drive.google.com/file/d/1JK-vd9G69Wq5BscEx8e-HjxxLG7Z7TtC/view?usp=drivesdk" TargetMode="External"/><Relationship Id="rId10077" Type="http://schemas.openxmlformats.org/officeDocument/2006/relationships/hyperlink" Target="https://drive.google.com/file/d/1cHNWQo4sBEJUim3jBwDO9gA3brZQ0Wzs/view?usp=drivesdk" TargetMode="External"/><Relationship Id="rId10078" Type="http://schemas.openxmlformats.org/officeDocument/2006/relationships/hyperlink" Target="https://drive.google.com/file/d/1QXZJPKe_tn_t8CfSh-nrc2jrHo0Uqfsd/view?usp=drivesdk" TargetMode="External"/><Relationship Id="rId10090" Type="http://schemas.openxmlformats.org/officeDocument/2006/relationships/hyperlink" Target="https://drive.google.com/file/d/1RtR5fRuH2aoBPcilqh3FLPnlCOaJYCC0/view?usp=drivesdk" TargetMode="External"/><Relationship Id="rId10093" Type="http://schemas.openxmlformats.org/officeDocument/2006/relationships/hyperlink" Target="https://drive.google.com/file/d/1V1eool5fcGpfwDXpTrJuhZolG_H2XCi2/view?usp=drivesdk" TargetMode="External"/><Relationship Id="rId10094" Type="http://schemas.openxmlformats.org/officeDocument/2006/relationships/hyperlink" Target="https://drive.google.com/file/d/1jfHOg463_pBp8B3FYRWGf2m_S7xI0FsR/view?usp=drivesdk" TargetMode="External"/><Relationship Id="rId10091" Type="http://schemas.openxmlformats.org/officeDocument/2006/relationships/hyperlink" Target="https://drive.google.com/file/d/16L-43-tKIoPwF5FgF7j8rajEaR8AMEUe/view?usp=drivesdk" TargetMode="External"/><Relationship Id="rId10092" Type="http://schemas.openxmlformats.org/officeDocument/2006/relationships/hyperlink" Target="https://drive.google.com/file/d/1-PhkSKp9m_rdh3XU494rHRa1gehzc8Fh/view?usp=drivesdk" TargetMode="External"/><Relationship Id="rId10086" Type="http://schemas.openxmlformats.org/officeDocument/2006/relationships/hyperlink" Target="https://drive.google.com/file/d/1VHoMM_ogfs8e82mEoymeITtxMoSrjEML/view?usp=drivesdk" TargetMode="External"/><Relationship Id="rId10087" Type="http://schemas.openxmlformats.org/officeDocument/2006/relationships/hyperlink" Target="https://drive.google.com/file/d/10XUGYiPOGaLTluoiGL2kAwsnSX6pU2bm/view?usp=drivesdk" TargetMode="External"/><Relationship Id="rId10084" Type="http://schemas.openxmlformats.org/officeDocument/2006/relationships/hyperlink" Target="https://drive.google.com/file/d/1d75muSkNAOkZ_aH3-VrTMefIW382uvFz/view?usp=drivesdk" TargetMode="External"/><Relationship Id="rId10085" Type="http://schemas.openxmlformats.org/officeDocument/2006/relationships/hyperlink" Target="https://drive.google.com/file/d/1at-UTfTPahk09_9Ysag4GeDIgLFpxaHg/view?usp=drivesdk" TargetMode="External"/><Relationship Id="rId10088" Type="http://schemas.openxmlformats.org/officeDocument/2006/relationships/hyperlink" Target="https://drive.google.com/file/d/1NbIXLFnjG9plFI1jvduzH5aORVlhR2Zj/view?usp=drivesdk" TargetMode="External"/><Relationship Id="rId10089" Type="http://schemas.openxmlformats.org/officeDocument/2006/relationships/hyperlink" Target="https://drive.google.com/file/d/1aY-6u2yAeubpfR_fq58989-btV7GcZry/view?usp=drivesdk" TargetMode="External"/><Relationship Id="rId11305" Type="http://schemas.openxmlformats.org/officeDocument/2006/relationships/hyperlink" Target="https://drive.google.com/file/d/1w1Ccbflqw9C8qu-hOhdjeaBtAUsVTEa5/view?usp=drivesdk" TargetMode="External"/><Relationship Id="rId12636" Type="http://schemas.openxmlformats.org/officeDocument/2006/relationships/hyperlink" Target="https://drive.google.com/file/d/1Xy2n9ICe-jSVUkiR0rQn1-cY_igQYWt9/view?usp=drivesdk" TargetMode="External"/><Relationship Id="rId11304" Type="http://schemas.openxmlformats.org/officeDocument/2006/relationships/hyperlink" Target="https://drive.google.com/file/d/1OFW-xy_G512jkPzkGacEkQKznGZVdME-/view?usp=drivesdk" TargetMode="External"/><Relationship Id="rId12635" Type="http://schemas.openxmlformats.org/officeDocument/2006/relationships/hyperlink" Target="https://drive.google.com/file/d/1C6oMw2P7uIxGvuXyk_u1yUW5Nz2XK5Cd/view?usp=drivesdk" TargetMode="External"/><Relationship Id="rId11303" Type="http://schemas.openxmlformats.org/officeDocument/2006/relationships/hyperlink" Target="https://drive.google.com/file/d/1O8a6o8DJCAR0ocRbaH4k13LP7zU4WOFR/view?usp=drivesdk" TargetMode="External"/><Relationship Id="rId12634" Type="http://schemas.openxmlformats.org/officeDocument/2006/relationships/hyperlink" Target="https://drive.google.com/file/d/1jHeS-On8M1KjcH9gIUYOQupSoTHVNkDI/view?usp=drivesdk" TargetMode="External"/><Relationship Id="rId11302" Type="http://schemas.openxmlformats.org/officeDocument/2006/relationships/hyperlink" Target="https://drive.google.com/file/d/13GooB0nxMviOZ3AVbzGEWdTZqTBQIldd/view?usp=drivesdk" TargetMode="External"/><Relationship Id="rId12633" Type="http://schemas.openxmlformats.org/officeDocument/2006/relationships/hyperlink" Target="https://drive.google.com/file/d/1KiwLPqG_TLcAM0jhriez0ZBAyI98hrZZ/view?usp=drivesdk" TargetMode="External"/><Relationship Id="rId11309" Type="http://schemas.openxmlformats.org/officeDocument/2006/relationships/hyperlink" Target="https://drive.google.com/file/d/1LoB-0BOWMuGEc3g0swjhB_2S3f0fJcES/view?usp=drivesdk" TargetMode="External"/><Relationship Id="rId11308" Type="http://schemas.openxmlformats.org/officeDocument/2006/relationships/hyperlink" Target="https://drive.google.com/file/d/1da406UPcZ-44cGhX7crOt5j4pbyLUnOR/view?usp=drivesdk" TargetMode="External"/><Relationship Id="rId12639" Type="http://schemas.openxmlformats.org/officeDocument/2006/relationships/hyperlink" Target="https://drive.google.com/file/d/1Obur4MK75L-8HU4EzNyUSv2sFsOhi6NL/view?usp=drivesdk" TargetMode="External"/><Relationship Id="rId11307" Type="http://schemas.openxmlformats.org/officeDocument/2006/relationships/hyperlink" Target="https://drive.google.com/file/d/1d8wyu7iPtHAeAtZEueyve7JrZ4lFM_ER/view?usp=drivesdk" TargetMode="External"/><Relationship Id="rId12638" Type="http://schemas.openxmlformats.org/officeDocument/2006/relationships/hyperlink" Target="https://drive.google.com/file/d/1msg7Kqp5l8jtnUsTLZnvMarLHRSudlqH/view?usp=drivesdk" TargetMode="External"/><Relationship Id="rId11306" Type="http://schemas.openxmlformats.org/officeDocument/2006/relationships/hyperlink" Target="https://drive.google.com/file/d/1d7CN-xKeFF5otG6ulvCdIguMQQvWijIk/view?usp=drivesdk" TargetMode="External"/><Relationship Id="rId12637" Type="http://schemas.openxmlformats.org/officeDocument/2006/relationships/hyperlink" Target="https://drive.google.com/file/d/1_PO3eXWujKE1ikquQfgmWlj8hEnOo9MU/view?usp=drivesdk" TargetMode="External"/><Relationship Id="rId11301" Type="http://schemas.openxmlformats.org/officeDocument/2006/relationships/hyperlink" Target="https://drive.google.com/file/d/1j-gPBGLFiDWaC9_JZVxX1C8Ny4ooIHDW/view?usp=drivesdk" TargetMode="External"/><Relationship Id="rId12632" Type="http://schemas.openxmlformats.org/officeDocument/2006/relationships/hyperlink" Target="https://drive.google.com/file/d/1w7sdl0DzjyJ05cKZiBjbBub-WF-2Lprz/view?usp=drivesdk" TargetMode="External"/><Relationship Id="rId11300" Type="http://schemas.openxmlformats.org/officeDocument/2006/relationships/hyperlink" Target="https://drive.google.com/file/d/1tSSqzDxj1liw-gXGOBIaeRNcFnauskcE/view?usp=drivesdk" TargetMode="External"/><Relationship Id="rId12631" Type="http://schemas.openxmlformats.org/officeDocument/2006/relationships/hyperlink" Target="https://drive.google.com/file/d/1bM9Plhx9G-YLaiXchleDkjNBtejBSFE_/view?usp=drivesdk" TargetMode="External"/><Relationship Id="rId12630" Type="http://schemas.openxmlformats.org/officeDocument/2006/relationships/hyperlink" Target="https://drive.google.com/file/d/1LuOMQ3RxHuaoeaUVzQ9wJMv1mMZ6VNXi/view?usp=drivesdk" TargetMode="External"/><Relationship Id="rId11316" Type="http://schemas.openxmlformats.org/officeDocument/2006/relationships/hyperlink" Target="https://drive.google.com/file/d/1WdhPVo3iAEOwoOhq9-GzAjc83QOnAsz3/view?usp=drivesdk" TargetMode="External"/><Relationship Id="rId12647" Type="http://schemas.openxmlformats.org/officeDocument/2006/relationships/hyperlink" Target="https://drive.google.com/file/d/1r7Oc_FlRTdHkJYxTLq4tNAMJmXoQD_Q6/view?usp=drivesdk" TargetMode="External"/><Relationship Id="rId11315" Type="http://schemas.openxmlformats.org/officeDocument/2006/relationships/hyperlink" Target="https://drive.google.com/file/d/1CVkB5MhYPBfCPXAedWb_ZBc1iaqsvDmM/view?usp=drivesdk" TargetMode="External"/><Relationship Id="rId12646" Type="http://schemas.openxmlformats.org/officeDocument/2006/relationships/hyperlink" Target="https://drive.google.com/file/d/1X5e9hFZllqPDNU5Zw60FlGpRSPvm1PgX/view?usp=drivesdk" TargetMode="External"/><Relationship Id="rId11314" Type="http://schemas.openxmlformats.org/officeDocument/2006/relationships/hyperlink" Target="https://drive.google.com/file/d/15I2V7ndhVazDjfbeZpFocTCJB68o1dh8/view?usp=drivesdk" TargetMode="External"/><Relationship Id="rId12645" Type="http://schemas.openxmlformats.org/officeDocument/2006/relationships/hyperlink" Target="https://drive.google.com/file/d/1uQgGyezpDevKdy3zAauUve19JBcMJuPr/view?usp=drivesdk" TargetMode="External"/><Relationship Id="rId11313" Type="http://schemas.openxmlformats.org/officeDocument/2006/relationships/hyperlink" Target="https://drive.google.com/file/d/1eTPi5y0VRqwkH6vAg8Hz6U4C4BRXkI9b/view?usp=drivesdk" TargetMode="External"/><Relationship Id="rId12644" Type="http://schemas.openxmlformats.org/officeDocument/2006/relationships/hyperlink" Target="https://drive.google.com/file/d/1vSLB4XBvPM1PF0m5ilbiadFTfdNLowo6/view?usp=drivesdk" TargetMode="External"/><Relationship Id="rId11319" Type="http://schemas.openxmlformats.org/officeDocument/2006/relationships/hyperlink" Target="https://drive.google.com/file/d/1PT_GFolrDLSssJyhREC7hpvFxhl4wG5s/view?usp=drivesdk" TargetMode="External"/><Relationship Id="rId11318" Type="http://schemas.openxmlformats.org/officeDocument/2006/relationships/hyperlink" Target="https://drive.google.com/file/d/1Ob2dF4apjF5DPArQlKMaegRFVxVxPO5y/view?usp=drivesdk" TargetMode="External"/><Relationship Id="rId12649" Type="http://schemas.openxmlformats.org/officeDocument/2006/relationships/hyperlink" Target="https://drive.google.com/file/d/1pqGb7e5vq3mivA7-tgRbmfc7D4_Cor1Y/view?usp=drivesdk" TargetMode="External"/><Relationship Id="rId11317" Type="http://schemas.openxmlformats.org/officeDocument/2006/relationships/hyperlink" Target="https://drive.google.com/file/d/1lPokY4zzSdWe9CZ7rS5nyLWx9-wuZCVI/view?usp=drivesdk" TargetMode="External"/><Relationship Id="rId12648" Type="http://schemas.openxmlformats.org/officeDocument/2006/relationships/hyperlink" Target="https://drive.google.com/file/d/1FUFvS03nJk7TEix8fk_2ZI2VKNYodABn/view?usp=drivesdk" TargetMode="External"/><Relationship Id="rId11312" Type="http://schemas.openxmlformats.org/officeDocument/2006/relationships/hyperlink" Target="https://drive.google.com/file/d/10uGUdvL0DaBOpXM1OWlYc8rhvfxEaogX/view?usp=drivesdk" TargetMode="External"/><Relationship Id="rId12643" Type="http://schemas.openxmlformats.org/officeDocument/2006/relationships/hyperlink" Target="https://drive.google.com/file/d/14ZzBC9s47E8qgoMfHacFCpsZCZbVTyXp/view?usp=drivesdk" TargetMode="External"/><Relationship Id="rId11311" Type="http://schemas.openxmlformats.org/officeDocument/2006/relationships/hyperlink" Target="https://drive.google.com/file/d/1PhvwAbBup-R2EuihKPpR2JiLnxHIUU8R/view?usp=drivesdk" TargetMode="External"/><Relationship Id="rId12642" Type="http://schemas.openxmlformats.org/officeDocument/2006/relationships/hyperlink" Target="https://drive.google.com/file/d/1Lc_ZJBdkd9WWX3kTELWYYHUt6yiYq0tp/view?usp=drivesdk" TargetMode="External"/><Relationship Id="rId11310" Type="http://schemas.openxmlformats.org/officeDocument/2006/relationships/hyperlink" Target="https://drive.google.com/file/d/1n_eu13j6ccRxt_K6jNziRFeql1J4wU1l/view?usp=drivesdk" TargetMode="External"/><Relationship Id="rId12641" Type="http://schemas.openxmlformats.org/officeDocument/2006/relationships/hyperlink" Target="https://drive.google.com/file/d/1tgAV7TuhxwacykijDOX5QGsJs4_3147Q/view?usp=drivesdk" TargetMode="External"/><Relationship Id="rId12640" Type="http://schemas.openxmlformats.org/officeDocument/2006/relationships/hyperlink" Target="https://drive.google.com/file/d/1eg8dWkazpMRkn2pqW2d4tegyC-65DpoI/view?usp=drivesdk" TargetMode="External"/><Relationship Id="rId8707" Type="http://schemas.openxmlformats.org/officeDocument/2006/relationships/hyperlink" Target="https://drive.google.com/file/d/1CgxAosg97ZNyzKotLGTsY0t2MaxK9wht/view?usp=drivesdk" TargetMode="External"/><Relationship Id="rId8706" Type="http://schemas.openxmlformats.org/officeDocument/2006/relationships/hyperlink" Target="https://drive.google.com/file/d/1SFxHKTd-hiEb-Qf3DOTtReavDuj_lj7Z/view?usp=drivesdk" TargetMode="External"/><Relationship Id="rId8705" Type="http://schemas.openxmlformats.org/officeDocument/2006/relationships/hyperlink" Target="https://drive.google.com/file/d/1LcmxaSuRmDHWew-e4p1BxcDE3TXOoDNG/view?usp=drivesdk" TargetMode="External"/><Relationship Id="rId8704" Type="http://schemas.openxmlformats.org/officeDocument/2006/relationships/hyperlink" Target="https://drive.google.com/file/d/1wslFe9OK8OE6NbH2pc_I0YTSgmrf8PpO/view?usp=drivesdk" TargetMode="External"/><Relationship Id="rId8709" Type="http://schemas.openxmlformats.org/officeDocument/2006/relationships/hyperlink" Target="https://drive.google.com/file/d/1b-cXOtw1e_V8XIcOhkpDt-qqQV51zYoo/view?usp=drivesdk" TargetMode="External"/><Relationship Id="rId8708" Type="http://schemas.openxmlformats.org/officeDocument/2006/relationships/hyperlink" Target="https://drive.google.com/file/d/1Hl16iNcuyQOllBFX47YW366WHU7Nm3kl/view?usp=drivesdk" TargetMode="External"/><Relationship Id="rId12619" Type="http://schemas.openxmlformats.org/officeDocument/2006/relationships/hyperlink" Target="https://drive.google.com/file/d/1q2N6JZpOuTBEBF7IiQnpGgQT0pY_BBQ3/view?usp=drivesdk" TargetMode="External"/><Relationship Id="rId12614" Type="http://schemas.openxmlformats.org/officeDocument/2006/relationships/hyperlink" Target="https://drive.google.com/file/d/1bvXOUdhSu4uCbBTSjXJi_nU9KiDdKQUi/view?usp=drivesdk" TargetMode="External"/><Relationship Id="rId12613" Type="http://schemas.openxmlformats.org/officeDocument/2006/relationships/hyperlink" Target="https://drive.google.com/file/d/11f3qNan_v-rStZZDniy03A_6FoF4UUsh/view?usp=drivesdk" TargetMode="External"/><Relationship Id="rId12612" Type="http://schemas.openxmlformats.org/officeDocument/2006/relationships/hyperlink" Target="https://drive.google.com/file/d/132gA2nlgpBoCZX3WzQTQifbnyDe0YPp8/view?usp=drivesdk" TargetMode="External"/><Relationship Id="rId12611" Type="http://schemas.openxmlformats.org/officeDocument/2006/relationships/hyperlink" Target="https://drive.google.com/file/d/1KU9b0DH0qydIyPDJvM-Y5QS5mxnkWUO7/view?usp=drivesdk" TargetMode="External"/><Relationship Id="rId12618" Type="http://schemas.openxmlformats.org/officeDocument/2006/relationships/hyperlink" Target="https://drive.google.com/file/d/1T1aG-6SV_K2tSwyRnCkCC-pAcbASmgN-/view?usp=drivesdk" TargetMode="External"/><Relationship Id="rId12617" Type="http://schemas.openxmlformats.org/officeDocument/2006/relationships/hyperlink" Target="https://drive.google.com/file/d/1ri-tyfyqF8hI4lcgBZooUjDJWn85q58R/view?usp=drivesdk" TargetMode="External"/><Relationship Id="rId12616" Type="http://schemas.openxmlformats.org/officeDocument/2006/relationships/hyperlink" Target="https://drive.google.com/file/d/1mDGgAr6uqR9Di1No3NcHPJKF4Wrj5iq0/view?usp=drivesdk" TargetMode="External"/><Relationship Id="rId12615" Type="http://schemas.openxmlformats.org/officeDocument/2006/relationships/hyperlink" Target="https://drive.google.com/file/d/1IY_getbo0813rRwyGfXJM-jzgbgtuJv3/view?usp=drivesdk" TargetMode="External"/><Relationship Id="rId8703" Type="http://schemas.openxmlformats.org/officeDocument/2006/relationships/hyperlink" Target="https://drive.google.com/file/d/1RfHT9taEyG1U-VbLz1gozUZKX_rP-St2/view?usp=drivesdk" TargetMode="External"/><Relationship Id="rId12610" Type="http://schemas.openxmlformats.org/officeDocument/2006/relationships/hyperlink" Target="https://drive.google.com/file/d/1JFcu8zQg8pmxIS96mL3UfGBXhfFxFbPW/view?usp=drivesdk" TargetMode="External"/><Relationship Id="rId8702" Type="http://schemas.openxmlformats.org/officeDocument/2006/relationships/hyperlink" Target="https://drive.google.com/file/d/1FhtTSHsk_4eypTTSPaHNjFuTFKESaoYg/view?usp=drivesdk" TargetMode="External"/><Relationship Id="rId8701" Type="http://schemas.openxmlformats.org/officeDocument/2006/relationships/hyperlink" Target="https://drive.google.com/file/d/1tVFmZwPNe2Q0pE0Mrw-hGBO0QTDpkn0z/view?usp=drivesdk" TargetMode="External"/><Relationship Id="rId8700" Type="http://schemas.openxmlformats.org/officeDocument/2006/relationships/hyperlink" Target="https://drive.google.com/file/d/1iv1KofNbRPVqwNZbfoInvOSczwPOEeGx/view?usp=drivesdk" TargetMode="External"/><Relationship Id="rId12625" Type="http://schemas.openxmlformats.org/officeDocument/2006/relationships/hyperlink" Target="https://drive.google.com/file/d/1rq0iv5LAqImgWHSOTY2-d7V5GcI3BlF5/view?usp=drivesdk" TargetMode="External"/><Relationship Id="rId12624" Type="http://schemas.openxmlformats.org/officeDocument/2006/relationships/hyperlink" Target="https://drive.google.com/file/d/16ydT1OI6eDtqoO5OrNNmm3MzwJauFwD5/view?usp=drivesdk" TargetMode="External"/><Relationship Id="rId12623" Type="http://schemas.openxmlformats.org/officeDocument/2006/relationships/hyperlink" Target="https://drive.google.com/file/d/1gneAdioE2WFNTfAksoXba--0ufi-oZI6/view?usp=drivesdk" TargetMode="External"/><Relationship Id="rId12622" Type="http://schemas.openxmlformats.org/officeDocument/2006/relationships/hyperlink" Target="https://drive.google.com/file/d/1PLDhFIwnriA922qiapCImAROO_uNX_nw/view?usp=drivesdk" TargetMode="External"/><Relationship Id="rId12629" Type="http://schemas.openxmlformats.org/officeDocument/2006/relationships/hyperlink" Target="https://drive.google.com/file/d/1PT21SFd9gp3jTWmXSAPASbUCr2dHGFxJ/view?usp=drivesdk" TargetMode="External"/><Relationship Id="rId12628" Type="http://schemas.openxmlformats.org/officeDocument/2006/relationships/hyperlink" Target="https://drive.google.com/file/d/1uh0p_vNfqrr3FuCq5zcUpb1mT0bRibYi/view?usp=drivesdk" TargetMode="External"/><Relationship Id="rId12627" Type="http://schemas.openxmlformats.org/officeDocument/2006/relationships/hyperlink" Target="https://drive.google.com/file/d/1nCzSIFFDZlcGyPB-ZsUp1_uD8FLp6bl6/view?usp=drivesdk" TargetMode="External"/><Relationship Id="rId12626" Type="http://schemas.openxmlformats.org/officeDocument/2006/relationships/hyperlink" Target="https://drive.google.com/file/d/1Yx2hp9ys9obVAuPM3QDUumOXpBkabX8q/view?usp=drivesdk" TargetMode="External"/><Relationship Id="rId12621" Type="http://schemas.openxmlformats.org/officeDocument/2006/relationships/hyperlink" Target="https://drive.google.com/file/d/1D_Xp-LMdAZUnOmwYAzcdoFoKXpw76x09/view?usp=drivesdk" TargetMode="External"/><Relationship Id="rId12620" Type="http://schemas.openxmlformats.org/officeDocument/2006/relationships/hyperlink" Target="https://drive.google.com/file/d/1FCc1a9Oi6o-qBE7uKl5P70OU27Ta9mCj/view?usp=drivesdk" TargetMode="External"/><Relationship Id="rId10017" Type="http://schemas.openxmlformats.org/officeDocument/2006/relationships/hyperlink" Target="https://drive.google.com/file/d/1WxesvkveM6KZMNEkxGkd2XvqL5IpjelH/view?usp=drivesdk" TargetMode="External"/><Relationship Id="rId11349" Type="http://schemas.openxmlformats.org/officeDocument/2006/relationships/hyperlink" Target="https://drive.google.com/file/d/1k6TLexnGXZvrtiPvbdvLokYbUAmQ4Nn5/view?usp=drivesdk" TargetMode="External"/><Relationship Id="rId10018" Type="http://schemas.openxmlformats.org/officeDocument/2006/relationships/hyperlink" Target="https://drive.google.com/file/d/1qaIzhObA03-CW-pTt98dE-yTfY5re2Qs/view?usp=drivesdk" TargetMode="External"/><Relationship Id="rId11348" Type="http://schemas.openxmlformats.org/officeDocument/2006/relationships/hyperlink" Target="https://drive.google.com/file/d/1EEODjlaAlEB5HQu3Vtjixmv6cMdC3JJ8/view?usp=drivesdk" TargetMode="External"/><Relationship Id="rId12679" Type="http://schemas.openxmlformats.org/officeDocument/2006/relationships/hyperlink" Target="https://drive.google.com/file/d/1jEZIWZdzmUxrlUlOo8NLFfp6VLe9uhsY/view?usp=drivesdk" TargetMode="External"/><Relationship Id="rId10015" Type="http://schemas.openxmlformats.org/officeDocument/2006/relationships/hyperlink" Target="https://drive.google.com/file/d/1psQzVS5Ik2d_JHKlTx7nAmVTrJAdISzB/view?usp=drivesdk" TargetMode="External"/><Relationship Id="rId11347" Type="http://schemas.openxmlformats.org/officeDocument/2006/relationships/hyperlink" Target="https://drive.google.com/file/d/1qb6zhvKtSXq514LO02Ra4W5hpQz8TrGN/view?usp=drivesdk" TargetMode="External"/><Relationship Id="rId12678" Type="http://schemas.openxmlformats.org/officeDocument/2006/relationships/hyperlink" Target="https://drive.google.com/file/d/1X7AZ9ZiVC6r1qBxjAaT0kxLAp9XDm-Oj/view?usp=drivesdk" TargetMode="External"/><Relationship Id="rId10016" Type="http://schemas.openxmlformats.org/officeDocument/2006/relationships/hyperlink" Target="https://drive.google.com/file/d/1cS72Gmrv1CebuLrBqeyyN7joABa04vUD/view?usp=drivesdk" TargetMode="External"/><Relationship Id="rId11346" Type="http://schemas.openxmlformats.org/officeDocument/2006/relationships/hyperlink" Target="https://drive.google.com/file/d/1ypBZL1Qij1dLjZluVcMSiOvTXlOeq6qf/view?usp=drivesdk" TargetMode="External"/><Relationship Id="rId12677" Type="http://schemas.openxmlformats.org/officeDocument/2006/relationships/hyperlink" Target="https://drive.google.com/file/d/1SAiNdRoexqR3zHn3WszaNd8Fao5CSzVo/view?usp=drivesdk" TargetMode="External"/><Relationship Id="rId10019" Type="http://schemas.openxmlformats.org/officeDocument/2006/relationships/hyperlink" Target="https://drive.google.com/file/d/1EFOKcmsXA_gQECUpzuu-q2npGAdfFQi5/view?usp=drivesdk" TargetMode="External"/><Relationship Id="rId11341" Type="http://schemas.openxmlformats.org/officeDocument/2006/relationships/hyperlink" Target="https://drive.google.com/file/d/1BXJJJoXKCDswajq21pLqLjkxE_XNJJSU/view?usp=drivesdk" TargetMode="External"/><Relationship Id="rId12672" Type="http://schemas.openxmlformats.org/officeDocument/2006/relationships/hyperlink" Target="https://drive.google.com/file/d/1kbBZA4lVVitcIG3Z0YtZqauw98UaQscn/view?usp=drivesdk" TargetMode="External"/><Relationship Id="rId10010" Type="http://schemas.openxmlformats.org/officeDocument/2006/relationships/hyperlink" Target="https://drive.google.com/file/d/1kuvKddCE-ktQepJYZ9x6f7p8zxS5yj_l/view?usp=drivesdk" TargetMode="External"/><Relationship Id="rId11340" Type="http://schemas.openxmlformats.org/officeDocument/2006/relationships/hyperlink" Target="https://drive.google.com/file/d/1AYGOEF39pxGOfc3TeXMqLrWZtW0tfh7-/view?usp=drivesdk" TargetMode="External"/><Relationship Id="rId12671" Type="http://schemas.openxmlformats.org/officeDocument/2006/relationships/hyperlink" Target="https://drive.google.com/file/d/1rivtJuFeNTs7qK2C3eFtB8o4pE0cfFiB/view?usp=drivesdk" TargetMode="External"/><Relationship Id="rId12670" Type="http://schemas.openxmlformats.org/officeDocument/2006/relationships/hyperlink" Target="https://drive.google.com/file/d/1PoTzdleN1OveSCnAIiwn7nYHM-8sFHiz/view?usp=drivesdk" TargetMode="External"/><Relationship Id="rId10013" Type="http://schemas.openxmlformats.org/officeDocument/2006/relationships/hyperlink" Target="https://drive.google.com/file/d/1RyB3BURzV19oCOpdnN_23N2uPYdSiwjT/view?usp=drivesdk" TargetMode="External"/><Relationship Id="rId11345" Type="http://schemas.openxmlformats.org/officeDocument/2006/relationships/hyperlink" Target="https://drive.google.com/file/d/1BZJfZCpIX2fBeXWKu73e-TRAZKMixLaN/view?usp=drivesdk" TargetMode="External"/><Relationship Id="rId12676" Type="http://schemas.openxmlformats.org/officeDocument/2006/relationships/hyperlink" Target="https://drive.google.com/file/d/1Di54R8jB0UStfaCCUN9t9O5-kXkq0GPq/view?usp=drivesdk" TargetMode="External"/><Relationship Id="rId10014" Type="http://schemas.openxmlformats.org/officeDocument/2006/relationships/hyperlink" Target="https://drive.google.com/file/d/1WAwuR4GMJODaqxqfJU55Z_4K6Wvp_UlH/view?usp=drivesdk" TargetMode="External"/><Relationship Id="rId11344" Type="http://schemas.openxmlformats.org/officeDocument/2006/relationships/hyperlink" Target="https://drive.google.com/file/d/1JlTgsCKS5X3Vo7pY3UKmQX9Et027SKUi/view?usp=drivesdk" TargetMode="External"/><Relationship Id="rId12675" Type="http://schemas.openxmlformats.org/officeDocument/2006/relationships/hyperlink" Target="https://drive.google.com/file/d/1eZZmmAMTrWILHRttHUuLvF90jKGZaTYg/view?usp=drivesdk" TargetMode="External"/><Relationship Id="rId10011" Type="http://schemas.openxmlformats.org/officeDocument/2006/relationships/hyperlink" Target="https://drive.google.com/file/d/16dev_XFDAFVNUjSBveR3ZsOLukYBVLI2/view?usp=drivesdk" TargetMode="External"/><Relationship Id="rId11343" Type="http://schemas.openxmlformats.org/officeDocument/2006/relationships/hyperlink" Target="https://drive.google.com/file/d/1YCTUVS6xrQsd6ZQ5OTN6pqPTgcxE0Y9b/view?usp=drivesdk" TargetMode="External"/><Relationship Id="rId12674" Type="http://schemas.openxmlformats.org/officeDocument/2006/relationships/hyperlink" Target="https://drive.google.com/file/d/1sLRUKj9QxSFox0xQkh8qeYWH_-dBtXVw/view?usp=drivesdk" TargetMode="External"/><Relationship Id="rId10012" Type="http://schemas.openxmlformats.org/officeDocument/2006/relationships/hyperlink" Target="https://drive.google.com/file/d/1i1EyiceC0UTZ2e4UjTcSs4wjBEHQOFZi/view?usp=drivesdk" TargetMode="External"/><Relationship Id="rId11342" Type="http://schemas.openxmlformats.org/officeDocument/2006/relationships/hyperlink" Target="https://drive.google.com/file/d/1mMej4aksjeah0IXojBGDEkJDs6D6ysvN/view?usp=drivesdk" TargetMode="External"/><Relationship Id="rId12673" Type="http://schemas.openxmlformats.org/officeDocument/2006/relationships/hyperlink" Target="https://drive.google.com/file/d/1c4qZttJg9jxzZEZhtDonBaq1RvBcKcRO/view?usp=drivesdk" TargetMode="External"/><Relationship Id="rId12690" Type="http://schemas.openxmlformats.org/officeDocument/2006/relationships/hyperlink" Target="https://drive.google.com/file/d/1aoShLTapmBxPPGVD7RngZxHN3smVUolv/view?usp=drivesdk" TargetMode="External"/><Relationship Id="rId10028" Type="http://schemas.openxmlformats.org/officeDocument/2006/relationships/hyperlink" Target="https://drive.google.com/file/d/1pHeBEe804h-TN5Qe0VYvbuhLhV6iho4P/view?usp=drivesdk" TargetMode="External"/><Relationship Id="rId10029" Type="http://schemas.openxmlformats.org/officeDocument/2006/relationships/hyperlink" Target="https://drive.google.com/file/d/1NkpMENA96v_AcCO1fqtEv989HeqUIi6R/view?usp=drivesdk" TargetMode="External"/><Relationship Id="rId11359" Type="http://schemas.openxmlformats.org/officeDocument/2006/relationships/hyperlink" Target="https://drive.google.com/file/d/1v3jkSqjZjNHtKydocrAx0Tm41neqt4XY/view?usp=drivesdk" TargetMode="External"/><Relationship Id="rId10026" Type="http://schemas.openxmlformats.org/officeDocument/2006/relationships/hyperlink" Target="https://drive.google.com/file/d/1GqJ_0KCXi93mHVusX2cTNQGaTXV7pdes/view?usp=drivesdk" TargetMode="External"/><Relationship Id="rId11358" Type="http://schemas.openxmlformats.org/officeDocument/2006/relationships/hyperlink" Target="https://drive.google.com/file/d/14T_nMC_k4S_0pwMAojRJH8ISpo0u3qoj/view?usp=drivesdk" TargetMode="External"/><Relationship Id="rId12689" Type="http://schemas.openxmlformats.org/officeDocument/2006/relationships/hyperlink" Target="https://drive.google.com/file/d/1SFMhrLpbwCTQRw_thseoKhWvdM4YAeJv/view?usp=drivesdk" TargetMode="External"/><Relationship Id="rId10027" Type="http://schemas.openxmlformats.org/officeDocument/2006/relationships/hyperlink" Target="https://drive.google.com/file/d/1JOCRrPHIQg-tOxSHjWupPmTbZSDvNxls/view?usp=drivesdk" TargetMode="External"/><Relationship Id="rId11357" Type="http://schemas.openxmlformats.org/officeDocument/2006/relationships/hyperlink" Target="https://drive.google.com/file/d/1I4vbY_vWEKf5e8fs6Ju2QcYMyVuhTLFE/view?usp=drivesdk" TargetMode="External"/><Relationship Id="rId12688" Type="http://schemas.openxmlformats.org/officeDocument/2006/relationships/hyperlink" Target="https://drive.google.com/file/d/1CqiUdMqv5Y9H3jnRXicZOW0Lq3AaqKdD/view?usp=drivesdk" TargetMode="External"/><Relationship Id="rId10020" Type="http://schemas.openxmlformats.org/officeDocument/2006/relationships/hyperlink" Target="https://drive.google.com/file/d/1CYILjUjqK81lxAh3QmMRfRxprxDZdcMY/view?usp=drivesdk" TargetMode="External"/><Relationship Id="rId11352" Type="http://schemas.openxmlformats.org/officeDocument/2006/relationships/hyperlink" Target="https://drive.google.com/file/d/17YEexEuJefjTFYDbPMNbl6J3XciRdyxl/view?usp=drivesdk" TargetMode="External"/><Relationship Id="rId12683" Type="http://schemas.openxmlformats.org/officeDocument/2006/relationships/hyperlink" Target="https://drive.google.com/file/d/16dEaBXuGLBOEsPnq9wIRqzx5ovOWTFBF/view?usp=drivesdk" TargetMode="External"/><Relationship Id="rId10021" Type="http://schemas.openxmlformats.org/officeDocument/2006/relationships/hyperlink" Target="https://drive.google.com/file/d/1LZ5EEWjzrm8CG--IJgr559esBw-fqm5S/view?usp=drivesdk" TargetMode="External"/><Relationship Id="rId11351" Type="http://schemas.openxmlformats.org/officeDocument/2006/relationships/hyperlink" Target="https://drive.google.com/file/d/1T--gfA1rhC9zt39TyntyHC6kNd7qkXBJ/view?usp=drivesdk" TargetMode="External"/><Relationship Id="rId12682" Type="http://schemas.openxmlformats.org/officeDocument/2006/relationships/hyperlink" Target="https://drive.google.com/file/d/1WH5odjdPAf__BzMebrGP6I8E9WuZ1NwS/view?usp=drivesdk" TargetMode="External"/><Relationship Id="rId11350" Type="http://schemas.openxmlformats.org/officeDocument/2006/relationships/hyperlink" Target="https://drive.google.com/file/d/1ix-KyQt640u8t55RsfqMxDPSUBOB21fv/view?usp=drivesdk" TargetMode="External"/><Relationship Id="rId12681" Type="http://schemas.openxmlformats.org/officeDocument/2006/relationships/hyperlink" Target="https://drive.google.com/file/d/1Gh-mpdIYFVlFcQbdX5hNXI166SQYhJe8/view?usp=drivesdk" TargetMode="External"/><Relationship Id="rId12680" Type="http://schemas.openxmlformats.org/officeDocument/2006/relationships/hyperlink" Target="https://drive.google.com/file/d/166n89KehPwuUZwiNdOsTc_Y6DiW48pCg/view?usp=drivesdk" TargetMode="External"/><Relationship Id="rId10024" Type="http://schemas.openxmlformats.org/officeDocument/2006/relationships/hyperlink" Target="https://drive.google.com/file/d/1-IGjF1fqOls4MCEZ_-OTV9u63EEpgcNo/view?usp=drivesdk" TargetMode="External"/><Relationship Id="rId11356" Type="http://schemas.openxmlformats.org/officeDocument/2006/relationships/hyperlink" Target="https://drive.google.com/file/d/1ufXFXX60Jp7y00PwEalvQs43u1KQaGgq/view?usp=drivesdk" TargetMode="External"/><Relationship Id="rId12687" Type="http://schemas.openxmlformats.org/officeDocument/2006/relationships/hyperlink" Target="https://drive.google.com/file/d/1AWUZ7ZYnbBXAchhG9M3m51feDgXDJqKS/view?usp=drivesdk" TargetMode="External"/><Relationship Id="rId10025" Type="http://schemas.openxmlformats.org/officeDocument/2006/relationships/hyperlink" Target="https://drive.google.com/file/d/1FK6kfoO204Z_zYfM_oMQuKrJkE6OuBTD/view?usp=drivesdk" TargetMode="External"/><Relationship Id="rId11355" Type="http://schemas.openxmlformats.org/officeDocument/2006/relationships/hyperlink" Target="https://drive.google.com/file/d/1oh3qQvnQm32v_p7Vh7LXQVIViUZy4eEx/view?usp=drivesdk" TargetMode="External"/><Relationship Id="rId12686" Type="http://schemas.openxmlformats.org/officeDocument/2006/relationships/hyperlink" Target="https://drive.google.com/file/d/18ofEoH-SZolxkVmTJGTDfyJzZo8fZzrJ/view?usp=drivesdk" TargetMode="External"/><Relationship Id="rId10022" Type="http://schemas.openxmlformats.org/officeDocument/2006/relationships/hyperlink" Target="https://drive.google.com/file/d/18RcutYarrVY4UXj5H-ag3zk3RH8Hw3_y/view?usp=drivesdk" TargetMode="External"/><Relationship Id="rId11354" Type="http://schemas.openxmlformats.org/officeDocument/2006/relationships/hyperlink" Target="https://drive.google.com/file/d/1_hUWH-bU9azrQW2alz0nr3mcA4uYy0Ln/view?usp=drivesdk" TargetMode="External"/><Relationship Id="rId12685" Type="http://schemas.openxmlformats.org/officeDocument/2006/relationships/hyperlink" Target="https://drive.google.com/file/d/1o9RMNw-AagVgs1rFhEKfLRVd93kC0uDj/view?usp=drivesdk" TargetMode="External"/><Relationship Id="rId10023" Type="http://schemas.openxmlformats.org/officeDocument/2006/relationships/hyperlink" Target="https://drive.google.com/file/d/1u0jFweUfEIQpLoTtyYkSjxqmdmm12uBk/view?usp=drivesdk" TargetMode="External"/><Relationship Id="rId11353" Type="http://schemas.openxmlformats.org/officeDocument/2006/relationships/hyperlink" Target="https://drive.google.com/file/d/1YtDTX2xfyPPE2rhuTT3fVnzmw7txwiLZ/view?usp=drivesdk" TargetMode="External"/><Relationship Id="rId12684" Type="http://schemas.openxmlformats.org/officeDocument/2006/relationships/hyperlink" Target="https://drive.google.com/file/d/16bnU28pXoMULRM5y9UZXCH1G4H5reZIG/view?usp=drivesdk" TargetMode="External"/><Relationship Id="rId11327" Type="http://schemas.openxmlformats.org/officeDocument/2006/relationships/hyperlink" Target="https://drive.google.com/file/d/1xtAcJYJTbtNXP4LKl9iN5CjreH0cOfsE/view?usp=drivesdk" TargetMode="External"/><Relationship Id="rId12658" Type="http://schemas.openxmlformats.org/officeDocument/2006/relationships/hyperlink" Target="https://drive.google.com/file/d/1mfIob9dHVUjsfxAUtQKkF1O9Qv2jYgE7/view?usp=drivesdk" TargetMode="External"/><Relationship Id="rId11326" Type="http://schemas.openxmlformats.org/officeDocument/2006/relationships/hyperlink" Target="https://drive.google.com/file/d/1e68LQosKMbgfmZyHI4hMKfHLMOGU8DIa/view?usp=drivesdk" TargetMode="External"/><Relationship Id="rId12657" Type="http://schemas.openxmlformats.org/officeDocument/2006/relationships/hyperlink" Target="https://drive.google.com/file/d/1VD1A08IXYMWqUuh5DG6ceWfkWEYiLCKk/view?usp=drivesdk" TargetMode="External"/><Relationship Id="rId11325" Type="http://schemas.openxmlformats.org/officeDocument/2006/relationships/hyperlink" Target="https://drive.google.com/file/d/1l37PMfxa3q0WlneewB_QRNRUByA_NXr9/view?usp=drivesdk" TargetMode="External"/><Relationship Id="rId12656" Type="http://schemas.openxmlformats.org/officeDocument/2006/relationships/hyperlink" Target="https://drive.google.com/file/d/1suW9M_qp6Pqrcy_qWbbpN70H8A33pkjp/view?usp=drivesdk" TargetMode="External"/><Relationship Id="rId11324" Type="http://schemas.openxmlformats.org/officeDocument/2006/relationships/hyperlink" Target="https://drive.google.com/file/d/1lYtzbrNx2ELiD1fo6qFGkFJ13QIjV23Y/view?usp=drivesdk" TargetMode="External"/><Relationship Id="rId12655" Type="http://schemas.openxmlformats.org/officeDocument/2006/relationships/hyperlink" Target="https://drive.google.com/file/d/11p0QQs2QQv_qQ0uFDqmbw4fZFbu2oRFO/view?usp=drivesdk" TargetMode="External"/><Relationship Id="rId11329" Type="http://schemas.openxmlformats.org/officeDocument/2006/relationships/hyperlink" Target="https://drive.google.com/file/d/19fyaVmuM1psxyXemue1CVOvveUKkCb9T/view?usp=drivesdk" TargetMode="External"/><Relationship Id="rId11328" Type="http://schemas.openxmlformats.org/officeDocument/2006/relationships/hyperlink" Target="https://drive.google.com/file/d/1lT9OFHnnVhw_EFLoU2t5DaEDCdtr6eHn/view?usp=drivesdk" TargetMode="External"/><Relationship Id="rId12659" Type="http://schemas.openxmlformats.org/officeDocument/2006/relationships/hyperlink" Target="https://drive.google.com/file/d/1mEveDgHS2LYctE_XZ73bfpQFbbabPzI1/view?usp=drivesdk" TargetMode="External"/><Relationship Id="rId12650" Type="http://schemas.openxmlformats.org/officeDocument/2006/relationships/hyperlink" Target="https://drive.google.com/file/d/17Bme0lVSkxeNN3aX4BXip1NA2kVqel-o/view?usp=drivesdk" TargetMode="External"/><Relationship Id="rId11323" Type="http://schemas.openxmlformats.org/officeDocument/2006/relationships/hyperlink" Target="https://drive.google.com/file/d/1tp9Si-1rBJkrTotiHu8QP2uD5LjzT63X/view?usp=drivesdk" TargetMode="External"/><Relationship Id="rId12654" Type="http://schemas.openxmlformats.org/officeDocument/2006/relationships/hyperlink" Target="https://drive.google.com/file/d/1wgH1MzNA0v31VFIBQNu7GH1GU6HxDmAS/view?usp=drivesdk" TargetMode="External"/><Relationship Id="rId11322" Type="http://schemas.openxmlformats.org/officeDocument/2006/relationships/hyperlink" Target="https://drive.google.com/file/d/1KbQP9IceRHxa18qwoqrPAtNUa3hKixly/view?usp=drivesdk" TargetMode="External"/><Relationship Id="rId12653" Type="http://schemas.openxmlformats.org/officeDocument/2006/relationships/hyperlink" Target="https://drive.google.com/file/d/1MTPvYfNYxIBJEEncF_kNJlsEcRd-AIfl/view?usp=drivesdk" TargetMode="External"/><Relationship Id="rId11321" Type="http://schemas.openxmlformats.org/officeDocument/2006/relationships/hyperlink" Target="https://drive.google.com/file/d/1ixSKuRYyGNvGw8xiSD7dPCCHZO1E0ew_/view?usp=drivesdk" TargetMode="External"/><Relationship Id="rId12652" Type="http://schemas.openxmlformats.org/officeDocument/2006/relationships/hyperlink" Target="https://drive.google.com/file/d/1-u4_znnFwdwUD0QmDFnV8fHRLTcNQLVj/view?usp=drivesdk" TargetMode="External"/><Relationship Id="rId11320" Type="http://schemas.openxmlformats.org/officeDocument/2006/relationships/hyperlink" Target="https://drive.google.com/file/d/1PoOhdpRnseKWkEUr3gzPGIiSwRtbTCAA/view?usp=drivesdk" TargetMode="External"/><Relationship Id="rId12651" Type="http://schemas.openxmlformats.org/officeDocument/2006/relationships/hyperlink" Target="https://drive.google.com/file/d/18RBpYbvTuxo9xQmYtxRdVcc_gRy78R6E/view?usp=drivesdk" TargetMode="External"/><Relationship Id="rId10006" Type="http://schemas.openxmlformats.org/officeDocument/2006/relationships/hyperlink" Target="https://drive.google.com/file/d/1S5_Vyg2BHuPNMcIxS_B6hDScRPqI4gqL/view?usp=drivesdk" TargetMode="External"/><Relationship Id="rId11338" Type="http://schemas.openxmlformats.org/officeDocument/2006/relationships/hyperlink" Target="https://drive.google.com/file/d/1COZNp33s-o-UGxahiPvyMGMq-q6CYMKe/view?usp=drivesdk" TargetMode="External"/><Relationship Id="rId12669" Type="http://schemas.openxmlformats.org/officeDocument/2006/relationships/hyperlink" Target="https://drive.google.com/file/d/1EMdIt_D-TVGi-OJGOcQZcuFkcM2FXxyF/view?usp=drivesdk" TargetMode="External"/><Relationship Id="rId10007" Type="http://schemas.openxmlformats.org/officeDocument/2006/relationships/hyperlink" Target="https://drive.google.com/file/d/1RLcmJ5TgagrdCXZNpunXW51xvLrBtR5t/view?usp=drivesdk" TargetMode="External"/><Relationship Id="rId11337" Type="http://schemas.openxmlformats.org/officeDocument/2006/relationships/hyperlink" Target="https://drive.google.com/file/d/1zhJx7i9mw4X3KZCIguPgJuII63JGdLBm/view?usp=drivesdk" TargetMode="External"/><Relationship Id="rId12668" Type="http://schemas.openxmlformats.org/officeDocument/2006/relationships/hyperlink" Target="https://drive.google.com/file/d/1M3YpN9rUmZ5chuPalT_NnAaHuqexYeST/view?usp=drivesdk" TargetMode="External"/><Relationship Id="rId10004" Type="http://schemas.openxmlformats.org/officeDocument/2006/relationships/hyperlink" Target="https://drive.google.com/file/d/10TLqZ0K05x5jHtcl4YUyVUQ7Olo_eHSO/view?usp=drivesdk" TargetMode="External"/><Relationship Id="rId11336" Type="http://schemas.openxmlformats.org/officeDocument/2006/relationships/hyperlink" Target="https://drive.google.com/file/d/1qpEDCY9Wmj2gauQzpUgyLHkzEeJp_wTv/view?usp=drivesdk" TargetMode="External"/><Relationship Id="rId12667" Type="http://schemas.openxmlformats.org/officeDocument/2006/relationships/hyperlink" Target="https://drive.google.com/file/d/1JZVp2S2-OafbDMg0kKKL6M-YFe7B-tTV/view?usp=drivesdk" TargetMode="External"/><Relationship Id="rId10005" Type="http://schemas.openxmlformats.org/officeDocument/2006/relationships/hyperlink" Target="https://drive.google.com/file/d/1coOml6PyHqgIY1IEU5Wp20nJ_ptjsABn/view?usp=drivesdk" TargetMode="External"/><Relationship Id="rId11335" Type="http://schemas.openxmlformats.org/officeDocument/2006/relationships/hyperlink" Target="https://drive.google.com/file/d/13XXXu1sK6vjjXJmrGGPshcrW9SW_ekKn/view?usp=drivesdk" TargetMode="External"/><Relationship Id="rId12666" Type="http://schemas.openxmlformats.org/officeDocument/2006/relationships/hyperlink" Target="https://drive.google.com/file/d/12fixV6d-fE94Hs-yDrqQXuim3n7j6ick/view?usp=drivesdk" TargetMode="External"/><Relationship Id="rId10008" Type="http://schemas.openxmlformats.org/officeDocument/2006/relationships/hyperlink" Target="https://drive.google.com/file/d/1JLHQv7AZKajzE4CMu3963TX6XK8mPnve/view?usp=drivesdk" TargetMode="External"/><Relationship Id="rId10009" Type="http://schemas.openxmlformats.org/officeDocument/2006/relationships/hyperlink" Target="https://drive.google.com/file/d/1pt1nqjoUBFmJl-krP85yaBbQzCD1XoNE/view?usp=drivesdk" TargetMode="External"/><Relationship Id="rId11339" Type="http://schemas.openxmlformats.org/officeDocument/2006/relationships/hyperlink" Target="https://drive.google.com/file/d/182KqOKp4n-UqaEzPqSAZfvANzDzfzBSB/view?usp=drivesdk" TargetMode="External"/><Relationship Id="rId11330" Type="http://schemas.openxmlformats.org/officeDocument/2006/relationships/hyperlink" Target="https://drive.google.com/file/d/1gtT6L1RSqGP7eBzTjNA3N-to2poD_uTI/view?usp=drivesdk" TargetMode="External"/><Relationship Id="rId12661" Type="http://schemas.openxmlformats.org/officeDocument/2006/relationships/hyperlink" Target="https://drive.google.com/file/d/1sZu_a5TDBfitevGqBDHPYsoJ6yjCvM-v/view?usp=drivesdk" TargetMode="External"/><Relationship Id="rId12660" Type="http://schemas.openxmlformats.org/officeDocument/2006/relationships/hyperlink" Target="https://drive.google.com/file/d/1P_Dt1gr388AmdVym-V67clpWc0scrI7o/view?usp=drivesdk" TargetMode="External"/><Relationship Id="rId10002" Type="http://schemas.openxmlformats.org/officeDocument/2006/relationships/hyperlink" Target="https://drive.google.com/file/d/1OCVeM10NowhK_iSMOfY_Vriwgx3n5rHL/view?usp=drivesdk" TargetMode="External"/><Relationship Id="rId11334" Type="http://schemas.openxmlformats.org/officeDocument/2006/relationships/hyperlink" Target="https://drive.google.com/file/d/1d7WI2NC0V2fn16DJsp6rr3hosMI7cf_0/view?usp=drivesdk" TargetMode="External"/><Relationship Id="rId12665" Type="http://schemas.openxmlformats.org/officeDocument/2006/relationships/hyperlink" Target="https://drive.google.com/file/d/1DNnvOrFKittl-SUjcSn0YKB2bp_JrVu_/view?usp=drivesdk" TargetMode="External"/><Relationship Id="rId10003" Type="http://schemas.openxmlformats.org/officeDocument/2006/relationships/hyperlink" Target="https://drive.google.com/file/d/1xOrqEYUbl9ra3f5t7FHwEoGWZ0xlaM9h/view?usp=drivesdk" TargetMode="External"/><Relationship Id="rId11333" Type="http://schemas.openxmlformats.org/officeDocument/2006/relationships/hyperlink" Target="https://drive.google.com/file/d/1n5PUBpsEZx5zbRLRaDMqt3LyMlXj69_g/view?usp=drivesdk" TargetMode="External"/><Relationship Id="rId12664" Type="http://schemas.openxmlformats.org/officeDocument/2006/relationships/hyperlink" Target="https://drive.google.com/file/d/1SDZzyPg0eQx8NjjnpiWOiXXOEFqwvu69/view?usp=drivesdk" TargetMode="External"/><Relationship Id="rId10000" Type="http://schemas.openxmlformats.org/officeDocument/2006/relationships/hyperlink" Target="https://drive.google.com/file/d/1UBZXCH8S9qu8fICkuaIHkj9J579az4KK/view?usp=drivesdk" TargetMode="External"/><Relationship Id="rId11332" Type="http://schemas.openxmlformats.org/officeDocument/2006/relationships/hyperlink" Target="http://yulianti.a.md" TargetMode="External"/><Relationship Id="rId12663" Type="http://schemas.openxmlformats.org/officeDocument/2006/relationships/hyperlink" Target="https://drive.google.com/file/d/1athul8e5Yb_gFOUkrvpWLmAcpkjUKk3m/view?usp=drivesdk" TargetMode="External"/><Relationship Id="rId10001" Type="http://schemas.openxmlformats.org/officeDocument/2006/relationships/hyperlink" Target="https://drive.google.com/file/d/1nAfMtoqpUKKlVwTtkAaFZpF_ZGt-uWid/view?usp=drivesdk" TargetMode="External"/><Relationship Id="rId11331" Type="http://schemas.openxmlformats.org/officeDocument/2006/relationships/hyperlink" Target="https://drive.google.com/file/d/1U6ouyUBZ9KeU7wIaK-2Q_uHEfnI6pM8M/view?usp=drivesdk" TargetMode="External"/><Relationship Id="rId12662" Type="http://schemas.openxmlformats.org/officeDocument/2006/relationships/hyperlink" Target="https://drive.google.com/file/d/1w3bBhGXOWCa5hgDUy5luZI8XnAtgGoKB/view?usp=drivesdk" TargetMode="External"/><Relationship Id="rId12919" Type="http://schemas.openxmlformats.org/officeDocument/2006/relationships/hyperlink" Target="https://drive.google.com/file/d/1T626IAel4zUgU2gtgAatdFHJ_acgrHsj/view?usp=drivesdk" TargetMode="External"/><Relationship Id="rId12918" Type="http://schemas.openxmlformats.org/officeDocument/2006/relationships/hyperlink" Target="https://drive.google.com/file/d/1udGpicr89syXSA3KlCWv3HLS8FpQM1A_/view?usp=drivesdk" TargetMode="External"/><Relationship Id="rId12917" Type="http://schemas.openxmlformats.org/officeDocument/2006/relationships/hyperlink" Target="https://drive.google.com/file/d/19KJGKesEJmZKoylLkHJX1PN3RMGUUHhe/view?usp=drivesdk" TargetMode="External"/><Relationship Id="rId12916" Type="http://schemas.openxmlformats.org/officeDocument/2006/relationships/hyperlink" Target="https://drive.google.com/file/d/1gSb2BXvg7723FlSZqtrNMdaKf_Ha_q6q/view?usp=drivesdk" TargetMode="External"/><Relationship Id="rId12911" Type="http://schemas.openxmlformats.org/officeDocument/2006/relationships/hyperlink" Target="https://drive.google.com/file/d/106dJdzHF3ZKU8LsZcog2Bq2_3w9AvNzW/view?usp=drivesdk" TargetMode="External"/><Relationship Id="rId12910" Type="http://schemas.openxmlformats.org/officeDocument/2006/relationships/hyperlink" Target="https://drive.google.com/file/d/1s5NluK7xCdRnR1LgdaIO6KNbtUHQb5En/view?usp=drivesdk" TargetMode="External"/><Relationship Id="rId12915" Type="http://schemas.openxmlformats.org/officeDocument/2006/relationships/hyperlink" Target="https://drive.google.com/file/d/1MWlI8oPGdqV8i0Ih5bvcZX8Ub3ftbzJB/view?usp=drivesdk" TargetMode="External"/><Relationship Id="rId12914" Type="http://schemas.openxmlformats.org/officeDocument/2006/relationships/hyperlink" Target="https://drive.google.com/file/d/1Z0kOECW2Hg_8JyMBaKxuLIM1WhbZBhkc/view?usp=drivesdk" TargetMode="External"/><Relationship Id="rId12913" Type="http://schemas.openxmlformats.org/officeDocument/2006/relationships/hyperlink" Target="https://drive.google.com/file/d/1Von1u5xKdxX6tmhELntUM49EX9bjBJlX/view?usp=drivesdk" TargetMode="External"/><Relationship Id="rId12912" Type="http://schemas.openxmlformats.org/officeDocument/2006/relationships/hyperlink" Target="https://drive.google.com/file/d/1994OuevZojR0BSRWMsjawPkiTOzprm_i/view?usp=drivesdk" TargetMode="External"/><Relationship Id="rId12929" Type="http://schemas.openxmlformats.org/officeDocument/2006/relationships/hyperlink" Target="https://drive.google.com/file/d/1S0tC_KGXuSebD3V30_qW7FyW2w-Gc_Mg/view?usp=drivesdk" TargetMode="External"/><Relationship Id="rId12928" Type="http://schemas.openxmlformats.org/officeDocument/2006/relationships/hyperlink" Target="https://drive.google.com/file/d/1q_fcmWwLGT9qBbrEVeTXA3rMP4vJ8bC1/view?usp=drivesdk" TargetMode="External"/><Relationship Id="rId12927" Type="http://schemas.openxmlformats.org/officeDocument/2006/relationships/hyperlink" Target="https://drive.google.com/file/d/1gVv3RKOoOEbrApd7QzR1Swo2L68OSkTp/view?usp=drivesdk" TargetMode="External"/><Relationship Id="rId12922" Type="http://schemas.openxmlformats.org/officeDocument/2006/relationships/hyperlink" Target="https://drive.google.com/file/d/1qeONQfzaVIAgC21ywG0ZBFuJeBEjdYDe/view?usp=drivesdk" TargetMode="External"/><Relationship Id="rId12921" Type="http://schemas.openxmlformats.org/officeDocument/2006/relationships/hyperlink" Target="https://drive.google.com/file/d/14vA733Tr6wPhW951-MZD9-WRFcb5EQzI/view?usp=drivesdk" TargetMode="External"/><Relationship Id="rId12920" Type="http://schemas.openxmlformats.org/officeDocument/2006/relationships/hyperlink" Target="https://drive.google.com/file/d/13qrZpSggw0OgCa3C4gjg-I2yq5IAZyI8/view?usp=drivesdk" TargetMode="External"/><Relationship Id="rId12926" Type="http://schemas.openxmlformats.org/officeDocument/2006/relationships/hyperlink" Target="https://drive.google.com/file/d/1wYmXYpfYxhzm8616FDzSMSHA2QMLCiyn/view?usp=drivesdk" TargetMode="External"/><Relationship Id="rId12925" Type="http://schemas.openxmlformats.org/officeDocument/2006/relationships/hyperlink" Target="https://drive.google.com/file/d/1ZxVYp74MiMQfj9YswSdsLntEIu8u0dn5/view?usp=drivesdk" TargetMode="External"/><Relationship Id="rId12924" Type="http://schemas.openxmlformats.org/officeDocument/2006/relationships/hyperlink" Target="https://drive.google.com/file/d/1b0N_27_fmOAqbh02grc4Nd_EnliPSJhp/view?usp=drivesdk" TargetMode="External"/><Relationship Id="rId12923" Type="http://schemas.openxmlformats.org/officeDocument/2006/relationships/hyperlink" Target="https://drive.google.com/file/d/1dfbexrkTGAKd3socg7_PTQvaN6h9DU32/view?usp=drivesdk" TargetMode="External"/><Relationship Id="rId12908" Type="http://schemas.openxmlformats.org/officeDocument/2006/relationships/hyperlink" Target="https://drive.google.com/file/d/1bi3oXM7nVuGbJuA4tqcJ2OyqNd9tRW1w/view?usp=drivesdk" TargetMode="External"/><Relationship Id="rId12907" Type="http://schemas.openxmlformats.org/officeDocument/2006/relationships/hyperlink" Target="https://drive.google.com/file/d/1jjR8ilu4PEQ1E63uHeUT9LQIRqOaQ8a6/view?usp=drivesdk" TargetMode="External"/><Relationship Id="rId12906" Type="http://schemas.openxmlformats.org/officeDocument/2006/relationships/hyperlink" Target="https://drive.google.com/file/d/1O--B7XzLSOu-PqMHQIgKoRByTtu82zvQ/view?usp=drivesdk" TargetMode="External"/><Relationship Id="rId12905" Type="http://schemas.openxmlformats.org/officeDocument/2006/relationships/hyperlink" Target="https://drive.google.com/file/d/1v8aEf2w0imcSl0kqHJNLRO-Q2sJB98F6/view?usp=drivesdk" TargetMode="External"/><Relationship Id="rId12909" Type="http://schemas.openxmlformats.org/officeDocument/2006/relationships/hyperlink" Target="https://drive.google.com/file/d/1cyOsxwvr0_WmUCeYhUODiLq_hAZbErK-/view?usp=drivesdk" TargetMode="External"/><Relationship Id="rId12900" Type="http://schemas.openxmlformats.org/officeDocument/2006/relationships/hyperlink" Target="https://drive.google.com/file/d/125lAU3TzfjMMs0RvKux7KBavyKJg5j6I/view?usp=drivesdk" TargetMode="External"/><Relationship Id="rId12904" Type="http://schemas.openxmlformats.org/officeDocument/2006/relationships/hyperlink" Target="https://drive.google.com/file/d/1_JiD5zeorwqeYwEx-SuY8mUFtOSolitE/view?usp=drivesdk" TargetMode="External"/><Relationship Id="rId12903" Type="http://schemas.openxmlformats.org/officeDocument/2006/relationships/hyperlink" Target="https://drive.google.com/file/d/1jIjv2S1TBPwyoMxHR9oBx9rd-K-g_DQT/view?usp=drivesdk" TargetMode="External"/><Relationship Id="rId12902" Type="http://schemas.openxmlformats.org/officeDocument/2006/relationships/hyperlink" Target="https://drive.google.com/file/d/1aAqeds2LSUvu8GYpA5CVsh5QHOtxdFGt/view?usp=drivesdk" TargetMode="External"/><Relationship Id="rId12901" Type="http://schemas.openxmlformats.org/officeDocument/2006/relationships/hyperlink" Target="https://drive.google.com/file/d/1xvy1JkYzn3FlQFx9ofYwsegbdStjdp6p/view?usp=drivesdk" TargetMode="External"/><Relationship Id="rId11629" Type="http://schemas.openxmlformats.org/officeDocument/2006/relationships/hyperlink" Target="https://drive.google.com/file/d/1BpyBnXn63HTIzb_l6JlZaubVQX8oWOls/view?usp=drivesdk" TargetMode="External"/><Relationship Id="rId11624" Type="http://schemas.openxmlformats.org/officeDocument/2006/relationships/hyperlink" Target="https://drive.google.com/file/d/1BXq01vjvx1S0LY5BgZjMOqbCj6WRRUvi/view?usp=drivesdk" TargetMode="External"/><Relationship Id="rId12955" Type="http://schemas.openxmlformats.org/officeDocument/2006/relationships/hyperlink" Target="https://drive.google.com/file/d/1-KwQGrejXoX3t2MbRvVHAgOQ3N2LyjN2/view?usp=drivesdk" TargetMode="External"/><Relationship Id="rId11623" Type="http://schemas.openxmlformats.org/officeDocument/2006/relationships/hyperlink" Target="https://drive.google.com/file/d/1fFRrkgOq7wADHe1yECFk8aE5umpsMt-4/view?usp=drivesdk" TargetMode="External"/><Relationship Id="rId12954" Type="http://schemas.openxmlformats.org/officeDocument/2006/relationships/hyperlink" Target="https://drive.google.com/file/d/1BxrlZOgejSw1X8CbrSu1DPM4_c6diPJZ/view?usp=drivesdk" TargetMode="External"/><Relationship Id="rId11622" Type="http://schemas.openxmlformats.org/officeDocument/2006/relationships/hyperlink" Target="https://drive.google.com/file/d/1hkR4tevLJkDgxbY-yHnl758mXq48Vpw6/view?usp=drivesdk" TargetMode="External"/><Relationship Id="rId12953" Type="http://schemas.openxmlformats.org/officeDocument/2006/relationships/hyperlink" Target="https://drive.google.com/file/d/1FhwzLN1OLwDT3p4qihtkgGaCOLCmf5qs/view?usp=drivesdk" TargetMode="External"/><Relationship Id="rId11621" Type="http://schemas.openxmlformats.org/officeDocument/2006/relationships/hyperlink" Target="https://drive.google.com/file/d/149tUmhwt-KyEfrVP852iREP6Q3BdoRGo/view?usp=drivesdk" TargetMode="External"/><Relationship Id="rId12952" Type="http://schemas.openxmlformats.org/officeDocument/2006/relationships/hyperlink" Target="https://drive.google.com/file/d/1anNN-GUxDHuX7T8M6Tl4Frboo_3bPCnq/view?usp=drivesdk" TargetMode="External"/><Relationship Id="rId11628" Type="http://schemas.openxmlformats.org/officeDocument/2006/relationships/hyperlink" Target="https://drive.google.com/file/d/1AF6k3dovvYf77uU3jWiuHfQTWFIqO_xt/view?usp=drivesdk" TargetMode="External"/><Relationship Id="rId12959" Type="http://schemas.openxmlformats.org/officeDocument/2006/relationships/hyperlink" Target="https://drive.google.com/file/d/1UYEhw02BdogytnmLU20M4fnHzMXpTcJF/view?usp=drivesdk" TargetMode="External"/><Relationship Id="rId11627" Type="http://schemas.openxmlformats.org/officeDocument/2006/relationships/hyperlink" Target="https://drive.google.com/file/d/1Uo_SkBKQteRa_6u-DVjKwGI_mOnAKWSx/view?usp=drivesdk" TargetMode="External"/><Relationship Id="rId12958" Type="http://schemas.openxmlformats.org/officeDocument/2006/relationships/hyperlink" Target="https://drive.google.com/file/d/1CjEoaG0cCbqK5pZgMHJfeqTlZ30QMmCT/view?usp=drivesdk" TargetMode="External"/><Relationship Id="rId11626" Type="http://schemas.openxmlformats.org/officeDocument/2006/relationships/hyperlink" Target="https://drive.google.com/file/d/1YotbbwuNeKb56oXAqv1IX-g_s97mjW7a/view?usp=drivesdk" TargetMode="External"/><Relationship Id="rId12957" Type="http://schemas.openxmlformats.org/officeDocument/2006/relationships/hyperlink" Target="https://drive.google.com/file/d/1E8ZwCFrPX9G_qaPZBeFDvYoSg9EeIACL/view?usp=drivesdk" TargetMode="External"/><Relationship Id="rId11625" Type="http://schemas.openxmlformats.org/officeDocument/2006/relationships/hyperlink" Target="https://drive.google.com/file/d/1lDEoIVt-SwLFizYoxoePQc9Ff5s2HHMx/view?usp=drivesdk" TargetMode="External"/><Relationship Id="rId12956" Type="http://schemas.openxmlformats.org/officeDocument/2006/relationships/hyperlink" Target="https://drive.google.com/file/d/1wioftHKrUn31MOjgDgigCE2_rfs-K-L_/view?usp=drivesdk" TargetMode="External"/><Relationship Id="rId11620" Type="http://schemas.openxmlformats.org/officeDocument/2006/relationships/hyperlink" Target="https://drive.google.com/file/d/1jOPB76yDQZz6FQ38khhor2j43A3DNFqS/view?usp=drivesdk" TargetMode="External"/><Relationship Id="rId12951" Type="http://schemas.openxmlformats.org/officeDocument/2006/relationships/hyperlink" Target="https://drive.google.com/file/d/1yhF6rThJbHfiUFh9GVIKdY6RqAmkECE4/view?usp=drivesdk" TargetMode="External"/><Relationship Id="rId12950" Type="http://schemas.openxmlformats.org/officeDocument/2006/relationships/hyperlink" Target="https://drive.google.com/file/d/1_x6su0ZbpT01RBv34C5f7GEWvg6SLrDe/view?usp=drivesdk" TargetMode="External"/><Relationship Id="rId10309" Type="http://schemas.openxmlformats.org/officeDocument/2006/relationships/hyperlink" Target="https://drive.google.com/file/d/1TwHrqNKdwEuRd7Ijr7Duqdq6pKJ30A7Z/view?usp=drivesdk" TargetMode="External"/><Relationship Id="rId10303" Type="http://schemas.openxmlformats.org/officeDocument/2006/relationships/hyperlink" Target="https://drive.google.com/file/d/1E_snopsMsEMNumZaeqCoHcAsiZKDO85S/view?usp=drivesdk" TargetMode="External"/><Relationship Id="rId11635" Type="http://schemas.openxmlformats.org/officeDocument/2006/relationships/hyperlink" Target="https://drive.google.com/file/d/1JIKWdiBxdhjYcHX8M7qb-2YqwImfTPJk/view?usp=drivesdk" TargetMode="External"/><Relationship Id="rId12966" Type="http://schemas.openxmlformats.org/officeDocument/2006/relationships/hyperlink" Target="https://drive.google.com/file/d/1FSu2gqAzGua2tFNebAL2WFAFRiKZH-gs/view?usp=drivesdk" TargetMode="External"/><Relationship Id="rId10304" Type="http://schemas.openxmlformats.org/officeDocument/2006/relationships/hyperlink" Target="https://drive.google.com/file/d/15mkVj3o9ypYjvBs2fosKphlwLsmGojBM/view?usp=drivesdk" TargetMode="External"/><Relationship Id="rId11634" Type="http://schemas.openxmlformats.org/officeDocument/2006/relationships/hyperlink" Target="https://drive.google.com/file/d/1jNEIykVwKBjEh9vQV9oh6IVwyB7avILv/view?usp=drivesdk" TargetMode="External"/><Relationship Id="rId12965" Type="http://schemas.openxmlformats.org/officeDocument/2006/relationships/hyperlink" Target="https://drive.google.com/file/d/1TX8IDUY1quBM8ly8NjA_YcBp5ITb2qPo/view?usp=drivesdk" TargetMode="External"/><Relationship Id="rId10301" Type="http://schemas.openxmlformats.org/officeDocument/2006/relationships/hyperlink" Target="https://drive.google.com/file/d/1GxpiOJHuuzBrHR-p8wpUmBaUKHm3G_gq/view?usp=drivesdk" TargetMode="External"/><Relationship Id="rId11633" Type="http://schemas.openxmlformats.org/officeDocument/2006/relationships/hyperlink" Target="https://drive.google.com/file/d/1c8Bfs2NhzRD_vsOwsrjJqLCjTmhvLP06/view?usp=drivesdk" TargetMode="External"/><Relationship Id="rId12964" Type="http://schemas.openxmlformats.org/officeDocument/2006/relationships/hyperlink" Target="https://drive.google.com/file/d/1kkQecQUjjZQqiLj-Z8-dFVLxtss1Clx9/view?usp=drivesdk" TargetMode="External"/><Relationship Id="rId10302" Type="http://schemas.openxmlformats.org/officeDocument/2006/relationships/hyperlink" Target="https://drive.google.com/file/d/1GCdHW-oIVd-4JGVZ4C0J49WRBJoQvfYE/view?usp=drivesdk" TargetMode="External"/><Relationship Id="rId11632" Type="http://schemas.openxmlformats.org/officeDocument/2006/relationships/hyperlink" Target="https://drive.google.com/file/d/1W14CN7nZMB8PhBJ6L-PQlTGqcXqfX0xb/view?usp=drivesdk" TargetMode="External"/><Relationship Id="rId12963" Type="http://schemas.openxmlformats.org/officeDocument/2006/relationships/hyperlink" Target="https://drive.google.com/file/d/1Jbvi6m6sTWZdKY_v0W4tPV83i6uj2obB/view?usp=drivesdk" TargetMode="External"/><Relationship Id="rId10307" Type="http://schemas.openxmlformats.org/officeDocument/2006/relationships/hyperlink" Target="https://drive.google.com/file/d/1n3DozH3brsGLvpbHVM2toOAldjRcgWPf/view?usp=drivesdk" TargetMode="External"/><Relationship Id="rId11639" Type="http://schemas.openxmlformats.org/officeDocument/2006/relationships/hyperlink" Target="https://drive.google.com/file/d/1OGIcz05p98AYQslsqtfSNNRERcf9pWUG/view?usp=drivesdk" TargetMode="External"/><Relationship Id="rId10308" Type="http://schemas.openxmlformats.org/officeDocument/2006/relationships/hyperlink" Target="https://drive.google.com/file/d/1Yg4-iCFmq3-KXbVy26dOe6LgrFj_EtSl/view?usp=drivesdk" TargetMode="External"/><Relationship Id="rId11638" Type="http://schemas.openxmlformats.org/officeDocument/2006/relationships/hyperlink" Target="https://drive.google.com/file/d/1lFPKbQMqbl7ljKV0fxWGgYR-8XpgbMXF/view?usp=drivesdk" TargetMode="External"/><Relationship Id="rId12969" Type="http://schemas.openxmlformats.org/officeDocument/2006/relationships/hyperlink" Target="https://drive.google.com/file/d/1GFUNbHbiQynRI2ep9km8Dp8e5Kr5E7U-/view?usp=drivesdk" TargetMode="External"/><Relationship Id="rId10305" Type="http://schemas.openxmlformats.org/officeDocument/2006/relationships/hyperlink" Target="https://drive.google.com/file/d/1-y6tdvTB8QB0sh9U6aieAZGeh3b11xwS/view?usp=drivesdk" TargetMode="External"/><Relationship Id="rId11637" Type="http://schemas.openxmlformats.org/officeDocument/2006/relationships/hyperlink" Target="https://drive.google.com/file/d/1Ffm6rYmauriEocWMaYiSJ38rHIiVFg10/view?usp=drivesdk" TargetMode="External"/><Relationship Id="rId12968" Type="http://schemas.openxmlformats.org/officeDocument/2006/relationships/hyperlink" Target="https://drive.google.com/file/d/1JxAyqXiX_IPrsoDz0ie4slvp8LeQf4lS/view?usp=drivesdk" TargetMode="External"/><Relationship Id="rId10306" Type="http://schemas.openxmlformats.org/officeDocument/2006/relationships/hyperlink" Target="https://drive.google.com/file/d/1AiyPy-xUSojzM4Uol2AFfl2b-ps5DIB6/view?usp=drivesdk" TargetMode="External"/><Relationship Id="rId11636" Type="http://schemas.openxmlformats.org/officeDocument/2006/relationships/hyperlink" Target="https://drive.google.com/file/d/1LN3H61iWOQIxC_UH1YchJL0dM543I7B5/view?usp=drivesdk" TargetMode="External"/><Relationship Id="rId12967" Type="http://schemas.openxmlformats.org/officeDocument/2006/relationships/hyperlink" Target="https://drive.google.com/file/d/1WHZpB_i-5VIdDBEWo3nCVX4y0RJF2U0T/view?usp=drivesdk" TargetMode="External"/><Relationship Id="rId11631" Type="http://schemas.openxmlformats.org/officeDocument/2006/relationships/hyperlink" Target="https://drive.google.com/file/d/1bdMPUUs1Okw8q8x7_SjHRlbbPlCV5exT/view?usp=drivesdk" TargetMode="External"/><Relationship Id="rId12962" Type="http://schemas.openxmlformats.org/officeDocument/2006/relationships/hyperlink" Target="https://drive.google.com/file/d/1j3J7ndpOW_OIFAu9uyZeORJMnywcIYc4/view?usp=drivesdk" TargetMode="External"/><Relationship Id="rId10300" Type="http://schemas.openxmlformats.org/officeDocument/2006/relationships/hyperlink" Target="https://drive.google.com/file/d/1wLFC2lnD1tPq1gC09rNdDSa2Rv4SOMUf/view?usp=drivesdk" TargetMode="External"/><Relationship Id="rId11630" Type="http://schemas.openxmlformats.org/officeDocument/2006/relationships/hyperlink" Target="https://drive.google.com/file/d/1OSkpuSFkDuQVhMM7Ua4UPc7e8ZvxoMmw/view?usp=drivesdk" TargetMode="External"/><Relationship Id="rId12961" Type="http://schemas.openxmlformats.org/officeDocument/2006/relationships/hyperlink" Target="https://drive.google.com/file/d/15yEaLAKclQRZJoPr-kC7rGXoXUoqcsrj/view?usp=drivesdk" TargetMode="External"/><Relationship Id="rId12960" Type="http://schemas.openxmlformats.org/officeDocument/2006/relationships/hyperlink" Target="https://drive.google.com/file/d/1YPRFr9Q9oob41ETq7e8uzgLKZbY99RLo/view?usp=drivesdk" TargetMode="External"/><Relationship Id="rId11609" Type="http://schemas.openxmlformats.org/officeDocument/2006/relationships/hyperlink" Target="https://drive.google.com/file/d/1UFrfl1S2jUzV02c2TSGwcEwWPWzAa6T9/view?usp=drivesdk" TargetMode="External"/><Relationship Id="rId11608" Type="http://schemas.openxmlformats.org/officeDocument/2006/relationships/hyperlink" Target="https://drive.google.com/file/d/1P2ZJNjPaoQvR-hpl-qVpFWPjKmciyIHs/view?usp=drivesdk" TargetMode="External"/><Relationship Id="rId12939" Type="http://schemas.openxmlformats.org/officeDocument/2006/relationships/hyperlink" Target="https://drive.google.com/file/d/1le9m0djSbeJ-VshDu8mKLoe4tTC8yGti/view?usp=drivesdk" TargetMode="External"/><Relationship Id="rId11607" Type="http://schemas.openxmlformats.org/officeDocument/2006/relationships/hyperlink" Target="https://drive.google.com/file/d/1Sawfn57KPd86_pkQh5WUZ9mu_DsZmtSu/view?usp=drivesdk" TargetMode="External"/><Relationship Id="rId12938" Type="http://schemas.openxmlformats.org/officeDocument/2006/relationships/hyperlink" Target="https://drive.google.com/file/d/18opzeC6zKUc8x1BT-ez3aEEtwaDcrfB3/view?usp=drivesdk" TargetMode="External"/><Relationship Id="rId11602" Type="http://schemas.openxmlformats.org/officeDocument/2006/relationships/hyperlink" Target="https://drive.google.com/file/d/13zSe0UFMDu4F_zVnbw65i6rcNJaSyRd5/view?usp=drivesdk" TargetMode="External"/><Relationship Id="rId12933" Type="http://schemas.openxmlformats.org/officeDocument/2006/relationships/hyperlink" Target="https://drive.google.com/file/d/1EWtHC9qjWDqYYmg60gKtJAvi6z_981n-/view?usp=drivesdk" TargetMode="External"/><Relationship Id="rId11601" Type="http://schemas.openxmlformats.org/officeDocument/2006/relationships/hyperlink" Target="https://drive.google.com/file/d/1F0iCptCQe_Wg657X0k9Oz32H4ZEe56Ox/view?usp=drivesdk" TargetMode="External"/><Relationship Id="rId12932" Type="http://schemas.openxmlformats.org/officeDocument/2006/relationships/hyperlink" Target="https://drive.google.com/file/d/1kJD0EeQQ-hAEgCc0xQGUXRTmEwNTxSzD/view?usp=drivesdk" TargetMode="External"/><Relationship Id="rId11600" Type="http://schemas.openxmlformats.org/officeDocument/2006/relationships/hyperlink" Target="https://drive.google.com/file/d/114POBMqp0TbkrcUHdkxn-0wtU0DhA7dB/view?usp=drivesdk" TargetMode="External"/><Relationship Id="rId12931" Type="http://schemas.openxmlformats.org/officeDocument/2006/relationships/hyperlink" Target="https://drive.google.com/file/d/1cPcWs5wUEqTvwQKQ1pv0SWTmIef2X8Kz/view?usp=drivesdk" TargetMode="External"/><Relationship Id="rId12930" Type="http://schemas.openxmlformats.org/officeDocument/2006/relationships/hyperlink" Target="https://drive.google.com/file/d/1En4ESGLc8y-wRLZwuDqRZ2wr9ZlDWzc6/view?usp=drivesdk" TargetMode="External"/><Relationship Id="rId11606" Type="http://schemas.openxmlformats.org/officeDocument/2006/relationships/hyperlink" Target="https://drive.google.com/file/d/1dcD9gSCR0Ddh1kyjQxjm7_8VYSGF5tt7/view?usp=drivesdk" TargetMode="External"/><Relationship Id="rId12937" Type="http://schemas.openxmlformats.org/officeDocument/2006/relationships/hyperlink" Target="https://drive.google.com/file/d/1N_326jHbTSQH8FDMVyPAl3BV1FCwdvTE/view?usp=drivesdk" TargetMode="External"/><Relationship Id="rId11605" Type="http://schemas.openxmlformats.org/officeDocument/2006/relationships/hyperlink" Target="https://drive.google.com/file/d/12FphcePOxGzpjSlYj1LCc2tOCrfn7V1H/view?usp=drivesdk" TargetMode="External"/><Relationship Id="rId12936" Type="http://schemas.openxmlformats.org/officeDocument/2006/relationships/hyperlink" Target="https://drive.google.com/file/d/1bznKs6PUrlnpXu7QlxvQbSiLD9uyIJB7/view?usp=drivesdk" TargetMode="External"/><Relationship Id="rId11604" Type="http://schemas.openxmlformats.org/officeDocument/2006/relationships/hyperlink" Target="https://drive.google.com/file/d/17KplQKKfRDgL_xnqdZ2MwIAXiGNKV9pV/view?usp=drivesdk" TargetMode="External"/><Relationship Id="rId12935" Type="http://schemas.openxmlformats.org/officeDocument/2006/relationships/hyperlink" Target="https://drive.google.com/file/d/1PacZtBBJLAdcB5I7NhUAwKMtAvSURSbF/view?usp=drivesdk" TargetMode="External"/><Relationship Id="rId11603" Type="http://schemas.openxmlformats.org/officeDocument/2006/relationships/hyperlink" Target="https://drive.google.com/file/d/1QcIeK7HwyI6T91PBBSCuPrQr7GSGBpZO/view?usp=drivesdk" TargetMode="External"/><Relationship Id="rId12934" Type="http://schemas.openxmlformats.org/officeDocument/2006/relationships/hyperlink" Target="https://drive.google.com/file/d/1d7RvZoYCnBMrS04yZ2xyVR1u8guO92px/view?usp=drivesdk" TargetMode="External"/><Relationship Id="rId11619" Type="http://schemas.openxmlformats.org/officeDocument/2006/relationships/hyperlink" Target="https://drive.google.com/file/d/1XcsGTKDAJmFlTmPGFljy5lT9D5AOwFhe/view?usp=drivesdk" TargetMode="External"/><Relationship Id="rId11618" Type="http://schemas.openxmlformats.org/officeDocument/2006/relationships/hyperlink" Target="https://drive.google.com/file/d/1HP6jwbSJLxsF_hCHRJmYnOnkM9NDG496/view?usp=drivesdk" TargetMode="External"/><Relationship Id="rId12949" Type="http://schemas.openxmlformats.org/officeDocument/2006/relationships/hyperlink" Target="https://drive.google.com/file/d/1_YRILD57NsOCGMbOPSrKallo_x_BrKfQ/view?usp=drivesdk" TargetMode="External"/><Relationship Id="rId11613" Type="http://schemas.openxmlformats.org/officeDocument/2006/relationships/hyperlink" Target="https://drive.google.com/file/d/1zYSmJHJufHGaNEDvS9NZSjDH7P0w280o/view?usp=drivesdk" TargetMode="External"/><Relationship Id="rId12944" Type="http://schemas.openxmlformats.org/officeDocument/2006/relationships/hyperlink" Target="https://drive.google.com/file/d/1M2OCvAof946OzwFGL8gSdyw2O55Ndo86/view?usp=drivesdk" TargetMode="External"/><Relationship Id="rId11612" Type="http://schemas.openxmlformats.org/officeDocument/2006/relationships/hyperlink" Target="https://drive.google.com/file/d/19M14AQxFS-_BoHWtzTL_tdfiQYl-UgQ8/view?usp=drivesdk" TargetMode="External"/><Relationship Id="rId12943" Type="http://schemas.openxmlformats.org/officeDocument/2006/relationships/hyperlink" Target="https://drive.google.com/file/d/1BvJHvBHkD5E2p7viDqEAfXMNF_bktYuo/view?usp=drivesdk" TargetMode="External"/><Relationship Id="rId11611" Type="http://schemas.openxmlformats.org/officeDocument/2006/relationships/hyperlink" Target="https://drive.google.com/file/d/1Zh8n9RoJW7wr7o6XyFoBLvFo-LI6vlea/view?usp=drivesdk" TargetMode="External"/><Relationship Id="rId12942" Type="http://schemas.openxmlformats.org/officeDocument/2006/relationships/hyperlink" Target="https://drive.google.com/file/d/1ZfU6ZOfZUw4nN60kZ0_6uE4aQ3lQWjlx/view?usp=drivesdk" TargetMode="External"/><Relationship Id="rId11610" Type="http://schemas.openxmlformats.org/officeDocument/2006/relationships/hyperlink" Target="https://drive.google.com/file/d/1OkJ5A-ZYJQcPwR2EiFg2-yj0Er2mQkxZ/view?usp=drivesdk" TargetMode="External"/><Relationship Id="rId12941" Type="http://schemas.openxmlformats.org/officeDocument/2006/relationships/hyperlink" Target="https://drive.google.com/file/d/1CnJe1BX_8Gy8IeSd-UdeodpnjqzmYZ6b/view?usp=drivesdk" TargetMode="External"/><Relationship Id="rId11617" Type="http://schemas.openxmlformats.org/officeDocument/2006/relationships/hyperlink" Target="https://drive.google.com/file/d/1GBrZ6oVES03O276HjzKt1qAamo2l_C5C/view?usp=drivesdk" TargetMode="External"/><Relationship Id="rId12948" Type="http://schemas.openxmlformats.org/officeDocument/2006/relationships/hyperlink" Target="https://drive.google.com/file/d/1rLEHcUUqr-lx77mPztBiX8kmXBOJWjdw/view?usp=drivesdk" TargetMode="External"/><Relationship Id="rId11616" Type="http://schemas.openxmlformats.org/officeDocument/2006/relationships/hyperlink" Target="https://drive.google.com/file/d/1IjRNXvUq5mjKuqXAa4TYrL0A7KGh0gq-/view?usp=drivesdk" TargetMode="External"/><Relationship Id="rId12947" Type="http://schemas.openxmlformats.org/officeDocument/2006/relationships/hyperlink" Target="https://drive.google.com/file/d/1jBw-K8E-bMysWLCMJOqfXZxTgv6NpMLe/view?usp=drivesdk" TargetMode="External"/><Relationship Id="rId11615" Type="http://schemas.openxmlformats.org/officeDocument/2006/relationships/hyperlink" Target="https://drive.google.com/file/d/1nOYn6jtWXXvYW__pYuhDcZ3oSNKFT0JV/view?usp=drivesdk" TargetMode="External"/><Relationship Id="rId12946" Type="http://schemas.openxmlformats.org/officeDocument/2006/relationships/hyperlink" Target="https://drive.google.com/file/d/1nWOoCYKs-KUMHhfIC3MiGwlrxfEi5keB/view?usp=drivesdk" TargetMode="External"/><Relationship Id="rId11614" Type="http://schemas.openxmlformats.org/officeDocument/2006/relationships/hyperlink" Target="https://drive.google.com/file/d/1XH4XBEc4sjFR88incSAFOFzFXebI_WNG/view?usp=drivesdk" TargetMode="External"/><Relationship Id="rId12945" Type="http://schemas.openxmlformats.org/officeDocument/2006/relationships/hyperlink" Target="https://drive.google.com/file/d/19BlhKo5vFdTO34Ss-eU3YYSAgoCyl3Dc/view?usp=drivesdk" TargetMode="External"/><Relationship Id="rId12940" Type="http://schemas.openxmlformats.org/officeDocument/2006/relationships/hyperlink" Target="https://drive.google.com/file/d/1ARHFv38QdADTkcBYeqGar-sBQw7xLEvY/view?usp=drivesdk" TargetMode="External"/><Relationship Id="rId9210" Type="http://schemas.openxmlformats.org/officeDocument/2006/relationships/hyperlink" Target="https://drive.google.com/file/d/1kXCDEogR6SLFW28bzO-c5IbztJcHTNvW/view?usp=drivesdk" TargetMode="External"/><Relationship Id="rId9211" Type="http://schemas.openxmlformats.org/officeDocument/2006/relationships/hyperlink" Target="https://drive.google.com/file/d/1JhcOr_beWxta3MHkJWiOdWnhmpLjv0rl/view?usp=drivesdk" TargetMode="External"/><Relationship Id="rId9212" Type="http://schemas.openxmlformats.org/officeDocument/2006/relationships/hyperlink" Target="https://drive.google.com/file/d/1a52hlMxKbpEuJBufZ00Ws48YAZRvdkSg/view?usp=drivesdk" TargetMode="External"/><Relationship Id="rId9217" Type="http://schemas.openxmlformats.org/officeDocument/2006/relationships/hyperlink" Target="https://drive.google.com/file/d/1oWG7cvgJfeNKQAsj8Xkc8x9D6W7hb4p9/view?usp=drivesdk" TargetMode="External"/><Relationship Id="rId9218" Type="http://schemas.openxmlformats.org/officeDocument/2006/relationships/hyperlink" Target="https://drive.google.com/file/d/1btTcw1cdF__GptqE8XY--3X83H9Vemg6/view?usp=drivesdk" TargetMode="External"/><Relationship Id="rId9219" Type="http://schemas.openxmlformats.org/officeDocument/2006/relationships/hyperlink" Target="https://drive.google.com/file/d/1WYCyp7b4greGe9FqwYOWc17UFZDSs8lP/view?usp=drivesdk" TargetMode="External"/><Relationship Id="rId9213" Type="http://schemas.openxmlformats.org/officeDocument/2006/relationships/hyperlink" Target="https://drive.google.com/file/d/1XjIYHZOMMKYL9kR3HI83n0DuDnPv_EsG/view?usp=drivesdk" TargetMode="External"/><Relationship Id="rId9214" Type="http://schemas.openxmlformats.org/officeDocument/2006/relationships/hyperlink" Target="https://drive.google.com/file/d/15-WdRKVEsguYlhkZnJ10ul8CN718T0Tv/view?usp=drivesdk" TargetMode="External"/><Relationship Id="rId9215" Type="http://schemas.openxmlformats.org/officeDocument/2006/relationships/hyperlink" Target="https://drive.google.com/file/d/18a2KaXA183o8csEqWol2My-x10xF1Bx-/view?usp=drivesdk" TargetMode="External"/><Relationship Id="rId9216" Type="http://schemas.openxmlformats.org/officeDocument/2006/relationships/hyperlink" Target="https://drive.google.com/file/d/1ng7ekn_BE3h3tyHCI3QjdZoKtwn8b2c2/view?usp=drivesdk" TargetMode="External"/><Relationship Id="rId9200" Type="http://schemas.openxmlformats.org/officeDocument/2006/relationships/hyperlink" Target="https://drive.google.com/file/d/16QBLa7rITAVRbMxIqBlIM3ztHY1TvjZK/view?usp=drivesdk" TargetMode="External"/><Relationship Id="rId9201" Type="http://schemas.openxmlformats.org/officeDocument/2006/relationships/hyperlink" Target="https://drive.google.com/file/d/1_yW754yY1Y72nzHIphCnpirlekQsZek9/view?usp=drivesdk" TargetMode="External"/><Relationship Id="rId9206" Type="http://schemas.openxmlformats.org/officeDocument/2006/relationships/hyperlink" Target="https://drive.google.com/file/d/1-Ip0iuDo7JierJuNfEumFsJ7B_x0bfYz/view?usp=drivesdk" TargetMode="External"/><Relationship Id="rId9207" Type="http://schemas.openxmlformats.org/officeDocument/2006/relationships/hyperlink" Target="https://drive.google.com/file/d/1yIvIT9oRredGaIVB0aRm-OQHz6OneEV7/view?usp=drivesdk" TargetMode="External"/><Relationship Id="rId9208" Type="http://schemas.openxmlformats.org/officeDocument/2006/relationships/hyperlink" Target="https://drive.google.com/file/d/1u4xuwMO7g4Wlwt2NAZF7a6iBommJO0_P/view?usp=drivesdk" TargetMode="External"/><Relationship Id="rId9209" Type="http://schemas.openxmlformats.org/officeDocument/2006/relationships/hyperlink" Target="https://drive.google.com/file/d/1L9HkZ2NReLq5HpMLbpvM1BdV_al0JfjV/view?usp=drivesdk" TargetMode="External"/><Relationship Id="rId9202" Type="http://schemas.openxmlformats.org/officeDocument/2006/relationships/hyperlink" Target="https://drive.google.com/file/d/1rGW9MAb0KAyDNy1sLCKAqmk45AXH8XKt/view?usp=drivesdk" TargetMode="External"/><Relationship Id="rId9203" Type="http://schemas.openxmlformats.org/officeDocument/2006/relationships/hyperlink" Target="https://drive.google.com/file/d/1cSbbbqN-8cDS_w3fdqn6lIKYUSvAH-Rv/view?usp=drivesdk" TargetMode="External"/><Relationship Id="rId9204" Type="http://schemas.openxmlformats.org/officeDocument/2006/relationships/hyperlink" Target="https://drive.google.com/file/d/1Ik8M8xM_VfnPVT_1cEVu9bY5bKlBhjZ5/view?usp=drivesdk" TargetMode="External"/><Relationship Id="rId9205" Type="http://schemas.openxmlformats.org/officeDocument/2006/relationships/hyperlink" Target="https://drive.google.com/file/d/1LXzwpfm6rt44TouKec4s9W1wlX97p_z1/view?usp=drivesdk" TargetMode="External"/><Relationship Id="rId9231" Type="http://schemas.openxmlformats.org/officeDocument/2006/relationships/hyperlink" Target="https://drive.google.com/file/d/1uLKEH2wAVdExLsCnSWLjVJOEUrDhPywP/view?usp=drivesdk" TargetMode="External"/><Relationship Id="rId9232" Type="http://schemas.openxmlformats.org/officeDocument/2006/relationships/hyperlink" Target="https://drive.google.com/file/d/1HwYbeeAHoItWLePmlCVfkAvi--_C78kz/view?usp=drivesdk" TargetMode="External"/><Relationship Id="rId9233" Type="http://schemas.openxmlformats.org/officeDocument/2006/relationships/hyperlink" Target="https://drive.google.com/file/d/1lI3MBd7W-PZEDWY-uI9V3NfDoXaJWyxR/view?usp=drivesdk" TargetMode="External"/><Relationship Id="rId9234" Type="http://schemas.openxmlformats.org/officeDocument/2006/relationships/hyperlink" Target="https://drive.google.com/file/d/18LABJgKa2Ne7L9vjejD14gkX2cVeyksS/view?usp=drivesdk" TargetMode="External"/><Relationship Id="rId9230" Type="http://schemas.openxmlformats.org/officeDocument/2006/relationships/hyperlink" Target="https://drive.google.com/file/d/1PKdGJTss1EkTnqVI6Pd9UGXlENG9cxWx/view?usp=drivesdk" TargetMode="External"/><Relationship Id="rId9239" Type="http://schemas.openxmlformats.org/officeDocument/2006/relationships/hyperlink" Target="https://drive.google.com/file/d/1rVsJZOe6kBPc8Le4XU-lkd89mxaRSwjw/view?usp=drivesdk" TargetMode="External"/><Relationship Id="rId9235" Type="http://schemas.openxmlformats.org/officeDocument/2006/relationships/hyperlink" Target="https://drive.google.com/file/d/13kHcaeqCh56JwzokBTmKek5MFpGPipWz/view?usp=drivesdk" TargetMode="External"/><Relationship Id="rId9236" Type="http://schemas.openxmlformats.org/officeDocument/2006/relationships/hyperlink" Target="https://drive.google.com/file/d/1inQ2B-uttn0kuqtBu7Q5wiXZjsdjQF5I/view?usp=drivesdk" TargetMode="External"/><Relationship Id="rId9237" Type="http://schemas.openxmlformats.org/officeDocument/2006/relationships/hyperlink" Target="https://drive.google.com/file/d/1fTeMN662kwaACrE4gudoaiXWSlVCy5B-/view?usp=drivesdk" TargetMode="External"/><Relationship Id="rId9238" Type="http://schemas.openxmlformats.org/officeDocument/2006/relationships/hyperlink" Target="https://drive.google.com/file/d/1K-T_1bzhppJwK896mspMbkZuZ5QSXWVI/view?usp=drivesdk" TargetMode="External"/><Relationship Id="rId9220" Type="http://schemas.openxmlformats.org/officeDocument/2006/relationships/hyperlink" Target="https://drive.google.com/file/d/1I38_OFdMYMPLbTdYyVFkMgnMKcpsX1jS/view?usp=drivesdk" TargetMode="External"/><Relationship Id="rId9221" Type="http://schemas.openxmlformats.org/officeDocument/2006/relationships/hyperlink" Target="https://drive.google.com/file/d/1OZL0mnf1mqvEg3vKcA70AdaRPMPkUFDE/view?usp=drivesdk" TargetMode="External"/><Relationship Id="rId9222" Type="http://schemas.openxmlformats.org/officeDocument/2006/relationships/hyperlink" Target="https://drive.google.com/file/d/1XnE6EcTP1cg1Ipt2KLtyRotoi1JofaIV/view?usp=drivesdk" TargetMode="External"/><Relationship Id="rId9223" Type="http://schemas.openxmlformats.org/officeDocument/2006/relationships/hyperlink" Target="https://drive.google.com/file/d/1cvPp7fJhTKZYIvkVAHYV1t0EZtBKwTMI/view?usp=drivesdk" TargetMode="External"/><Relationship Id="rId9228" Type="http://schemas.openxmlformats.org/officeDocument/2006/relationships/hyperlink" Target="https://drive.google.com/file/d/1f_VvKVGs6sHmOVATfKg5Ts9SFH034cGB/view?usp=drivesdk" TargetMode="External"/><Relationship Id="rId9229" Type="http://schemas.openxmlformats.org/officeDocument/2006/relationships/hyperlink" Target="https://drive.google.com/file/d/1T4A7h1_CeycBX2X9Ei82RqT_7THz2SXg/view?usp=drivesdk" TargetMode="External"/><Relationship Id="rId9224" Type="http://schemas.openxmlformats.org/officeDocument/2006/relationships/hyperlink" Target="https://drive.google.com/file/d/1l4XwS9NqrzPuMDIKaK_rqk0YZDF3xyud/view?usp=drivesdk" TargetMode="External"/><Relationship Id="rId9225" Type="http://schemas.openxmlformats.org/officeDocument/2006/relationships/hyperlink" Target="https://drive.google.com/file/d/11Z_g4zuJcBlTBMY-XuDW77Zrefsqx_D5/view?usp=drivesdk" TargetMode="External"/><Relationship Id="rId9226" Type="http://schemas.openxmlformats.org/officeDocument/2006/relationships/hyperlink" Target="https://drive.google.com/file/d/1z8Y-RkwCCFSLVK3CeO-r14YBCMJ0sXnw/view?usp=drivesdk" TargetMode="External"/><Relationship Id="rId9227" Type="http://schemas.openxmlformats.org/officeDocument/2006/relationships/hyperlink" Target="https://drive.google.com/file/d/1nemvsIc-Nx22ds9-XZZCRVPdz-IS-V-7/view?usp=drivesdk" TargetMode="External"/><Relationship Id="rId9297" Type="http://schemas.openxmlformats.org/officeDocument/2006/relationships/hyperlink" Target="https://drive.google.com/file/d/1aOc_H8yflvLlIfJiG0fkBeeM5H_7mYvH/view?usp=drivesdk" TargetMode="External"/><Relationship Id="rId9298" Type="http://schemas.openxmlformats.org/officeDocument/2006/relationships/hyperlink" Target="https://drive.google.com/file/d/1yOZ6WFIyiLbVSfBaXjocy24hMg5mRf_0/view?usp=drivesdk" TargetMode="External"/><Relationship Id="rId9299" Type="http://schemas.openxmlformats.org/officeDocument/2006/relationships/hyperlink" Target="https://drive.google.com/file/d/16HGkpWAlYkkpVSSbGmdyxHKkeENfygMT/view?usp=drivesdk" TargetMode="External"/><Relationship Id="rId9293" Type="http://schemas.openxmlformats.org/officeDocument/2006/relationships/hyperlink" Target="https://drive.google.com/file/d/1DxhX9h5yib8XrDJhEr0xVzcwwDtu29sK/view?usp=drivesdk" TargetMode="External"/><Relationship Id="rId9294" Type="http://schemas.openxmlformats.org/officeDocument/2006/relationships/hyperlink" Target="https://drive.google.com/file/d/1HVGawcBEtm_xBdVJbFKqFUjzblsg1Jp1/view?usp=drivesdk" TargetMode="External"/><Relationship Id="rId9295" Type="http://schemas.openxmlformats.org/officeDocument/2006/relationships/hyperlink" Target="https://drive.google.com/file/d/1Jp6uIWf8tRxj2SULX9aRisObZTV7I2ID/view?usp=drivesdk" TargetMode="External"/><Relationship Id="rId9296" Type="http://schemas.openxmlformats.org/officeDocument/2006/relationships/hyperlink" Target="https://drive.google.com/file/d/1kHusqef-wIiDiOAI2dUzg-XdsTTV423T/view?usp=drivesdk" TargetMode="External"/><Relationship Id="rId9290" Type="http://schemas.openxmlformats.org/officeDocument/2006/relationships/hyperlink" Target="https://drive.google.com/file/d/1j79iVTUnAb2uA0rx4Uh5LP_ahRLnIhRR/view?usp=drivesdk" TargetMode="External"/><Relationship Id="rId9291" Type="http://schemas.openxmlformats.org/officeDocument/2006/relationships/hyperlink" Target="https://drive.google.com/file/d/1FUkBcGbJGf_OgS7zU8ceApKNVsvoyCgv/view?usp=drivesdk" TargetMode="External"/><Relationship Id="rId9292" Type="http://schemas.openxmlformats.org/officeDocument/2006/relationships/hyperlink" Target="https://drive.google.com/file/d/1f9yli-vxP8YoZaeezmcO4kzBh-Jwu9mw/view?usp=drivesdk" TargetMode="External"/><Relationship Id="rId9286" Type="http://schemas.openxmlformats.org/officeDocument/2006/relationships/hyperlink" Target="https://drive.google.com/file/d/1ClKaL4kGjaxgaTPPinYyJfLBRU5--1bw/view?usp=drivesdk" TargetMode="External"/><Relationship Id="rId9287" Type="http://schemas.openxmlformats.org/officeDocument/2006/relationships/hyperlink" Target="https://drive.google.com/file/d/1K_1QAphjYpguw1pKtgflzizT4-tSlUpu/view?usp=drivesdk" TargetMode="External"/><Relationship Id="rId9288" Type="http://schemas.openxmlformats.org/officeDocument/2006/relationships/hyperlink" Target="https://drive.google.com/file/d/1zkKE_T7AEu0tPDJDRUynvPrVp1CjL38I/view?usp=drivesdk" TargetMode="External"/><Relationship Id="rId9289" Type="http://schemas.openxmlformats.org/officeDocument/2006/relationships/hyperlink" Target="https://drive.google.com/file/d/1HZjvzg9x4umS4kuqBbPB1UgB4rPPs840/view?usp=drivesdk" TargetMode="External"/><Relationship Id="rId9282" Type="http://schemas.openxmlformats.org/officeDocument/2006/relationships/hyperlink" Target="https://drive.google.com/file/d/14rTdWGf4IK537z5rmLl4W1VMO5qGmT1w/view?usp=drivesdk" TargetMode="External"/><Relationship Id="rId9283" Type="http://schemas.openxmlformats.org/officeDocument/2006/relationships/hyperlink" Target="https://drive.google.com/file/d/1eOzItbweKBR3PS01i5qSvED_q0phb3Y_/view?usp=drivesdk" TargetMode="External"/><Relationship Id="rId9284" Type="http://schemas.openxmlformats.org/officeDocument/2006/relationships/hyperlink" Target="https://drive.google.com/file/d/1sVZ7nIynT7Kmr5X-VcpTeT0Il2jGT1fU/view?usp=drivesdk" TargetMode="External"/><Relationship Id="rId9285" Type="http://schemas.openxmlformats.org/officeDocument/2006/relationships/hyperlink" Target="https://drive.google.com/file/d/1BiOfXOeBjzVHjDVLC0EyH4Upj5V-ygp8/view?usp=drivesdk" TargetMode="External"/><Relationship Id="rId10394" Type="http://schemas.openxmlformats.org/officeDocument/2006/relationships/hyperlink" Target="https://drive.google.com/file/d/19LMjfx1Tg8gCask3X7ALEbTEGiDhN96B/view?usp=drivesdk" TargetMode="External"/><Relationship Id="rId10395" Type="http://schemas.openxmlformats.org/officeDocument/2006/relationships/hyperlink" Target="https://drive.google.com/file/d/18KLa2GoqMQsxc_kfYIWmn3PiNkZhfer_/view?usp=drivesdk" TargetMode="External"/><Relationship Id="rId10392" Type="http://schemas.openxmlformats.org/officeDocument/2006/relationships/hyperlink" Target="https://drive.google.com/file/d/1q8swVNjzKOPHNHuPTL5d3QWW5idebGmh/view?usp=drivesdk" TargetMode="External"/><Relationship Id="rId10393" Type="http://schemas.openxmlformats.org/officeDocument/2006/relationships/hyperlink" Target="https://drive.google.com/file/d/1c-wRjCReRBuHdNqqPdVZkHdHgBGoHpHK/view?usp=drivesdk" TargetMode="External"/><Relationship Id="rId10398" Type="http://schemas.openxmlformats.org/officeDocument/2006/relationships/hyperlink" Target="https://drive.google.com/file/d/1G-Ivyy3jU9aSHqMzPDhr_nwuohGLFH_Q/view?usp=drivesdk" TargetMode="External"/><Relationship Id="rId10399" Type="http://schemas.openxmlformats.org/officeDocument/2006/relationships/hyperlink" Target="https://drive.google.com/file/d/1EUfsvHWFXuuRobp3W9poHwi75bgDZBJx/view?usp=drivesdk" TargetMode="External"/><Relationship Id="rId10396" Type="http://schemas.openxmlformats.org/officeDocument/2006/relationships/hyperlink" Target="https://drive.google.com/file/d/1FUnnJDe-Lkvx_llz2VmXRjnpQ0d7XZHJ/view?usp=drivesdk" TargetMode="External"/><Relationship Id="rId10397" Type="http://schemas.openxmlformats.org/officeDocument/2006/relationships/hyperlink" Target="https://drive.google.com/file/d/1D4wUPM_Ey_WeqCWJHw_lamjzsLrdS3mU/view?usp=drivesdk" TargetMode="External"/><Relationship Id="rId9253" Type="http://schemas.openxmlformats.org/officeDocument/2006/relationships/hyperlink" Target="https://drive.google.com/file/d/1cUc8nTcPR82mNv1LyWySi5eEy1PQ24v_/view?usp=drivesdk" TargetMode="External"/><Relationship Id="rId9254" Type="http://schemas.openxmlformats.org/officeDocument/2006/relationships/hyperlink" Target="https://drive.google.com/file/d/1WuGojS1twTO49XOIq4cKCj0iLcnwN6qd/view?usp=drivesdk" TargetMode="External"/><Relationship Id="rId9255" Type="http://schemas.openxmlformats.org/officeDocument/2006/relationships/hyperlink" Target="https://drive.google.com/file/d/11fjm1uRxboJCWFzvBihkAqr4Z70NhrIN/view?usp=drivesdk" TargetMode="External"/><Relationship Id="rId9256" Type="http://schemas.openxmlformats.org/officeDocument/2006/relationships/hyperlink" Target="https://drive.google.com/file/d/1QfoEfGDDL6LbN3scAE7fgD1-36qb810g/view?usp=drivesdk" TargetMode="External"/><Relationship Id="rId9250" Type="http://schemas.openxmlformats.org/officeDocument/2006/relationships/hyperlink" Target="https://drive.google.com/file/d/1UKUS7Z-ujVBGUHORIRFVXy55O4lU4lHX/view?usp=drivesdk" TargetMode="External"/><Relationship Id="rId9251" Type="http://schemas.openxmlformats.org/officeDocument/2006/relationships/hyperlink" Target="https://drive.google.com/file/d/1-BVejvauybY0yYvyqxDsETL1HuDsUH25/view?usp=drivesdk" TargetMode="External"/><Relationship Id="rId9252" Type="http://schemas.openxmlformats.org/officeDocument/2006/relationships/hyperlink" Target="https://drive.google.com/file/d/19PzYgtwsaqiHrZ8OXHipWGmCvezDzoiZ/view?usp=drivesdk" TargetMode="External"/><Relationship Id="rId9257" Type="http://schemas.openxmlformats.org/officeDocument/2006/relationships/hyperlink" Target="https://drive.google.com/file/d/1-f1g2vzCXn_Fhb7mHIhI-WlayrY2uwp3/view?usp=drivesdk" TargetMode="External"/><Relationship Id="rId9258" Type="http://schemas.openxmlformats.org/officeDocument/2006/relationships/hyperlink" Target="https://drive.google.com/file/d/1lNpIEykFISRb4SZJZpIOs0akbUUuWfS8/view?usp=drivesdk" TargetMode="External"/><Relationship Id="rId9259" Type="http://schemas.openxmlformats.org/officeDocument/2006/relationships/hyperlink" Target="https://drive.google.com/file/d/1eNgRDcfegOfhPwmDvxgPCUpMAT1nH2Lq/view?usp=drivesdk" TargetMode="External"/><Relationship Id="rId9242" Type="http://schemas.openxmlformats.org/officeDocument/2006/relationships/hyperlink" Target="https://drive.google.com/file/d/1jngORW0T2ATXQ79vmccPqeLO7E8mMHd_/view?usp=drivesdk" TargetMode="External"/><Relationship Id="rId9243" Type="http://schemas.openxmlformats.org/officeDocument/2006/relationships/hyperlink" Target="https://drive.google.com/file/d/1cvJ6p5BVwG1sW5uA_HphyDL2n6GWx8ww/view?usp=drivesdk" TargetMode="External"/><Relationship Id="rId9244" Type="http://schemas.openxmlformats.org/officeDocument/2006/relationships/hyperlink" Target="https://drive.google.com/file/d/1N59C86yRoYjzTlPEmT29ZZIqtLfM3xUN/view?usp=drivesdk" TargetMode="External"/><Relationship Id="rId9245" Type="http://schemas.openxmlformats.org/officeDocument/2006/relationships/hyperlink" Target="https://drive.google.com/file/d/15kmg8mrEoNAkn-TV_K01-NfBPSP9Xyy6/view?usp=drivesdk" TargetMode="External"/><Relationship Id="rId9240" Type="http://schemas.openxmlformats.org/officeDocument/2006/relationships/hyperlink" Target="https://drive.google.com/file/d/1DAUgqOcQnOFaXEQYWzJsOy6m7Y1jkOfG/view?usp=drivesdk" TargetMode="External"/><Relationship Id="rId9241" Type="http://schemas.openxmlformats.org/officeDocument/2006/relationships/hyperlink" Target="https://drive.google.com/file/d/1hVw-kfAOr_xTKUE2_9zO2nrh5ChSAp-X/view?usp=drivesdk" TargetMode="External"/><Relationship Id="rId9246" Type="http://schemas.openxmlformats.org/officeDocument/2006/relationships/hyperlink" Target="https://drive.google.com/file/d/1j16f-BULYqVBi34ANgbUwPxD3hcFiatI/view?usp=drivesdk" TargetMode="External"/><Relationship Id="rId9247" Type="http://schemas.openxmlformats.org/officeDocument/2006/relationships/hyperlink" Target="https://drive.google.com/file/d/16reVXS2tBUdsP4ND56-geA8jpjFfpqoF/view?usp=drivesdk" TargetMode="External"/><Relationship Id="rId9248" Type="http://schemas.openxmlformats.org/officeDocument/2006/relationships/hyperlink" Target="https://drive.google.com/file/d/12TixvCevLFh61yFGl4nCtMbg-ig-qVEW/view?usp=drivesdk" TargetMode="External"/><Relationship Id="rId9249" Type="http://schemas.openxmlformats.org/officeDocument/2006/relationships/hyperlink" Target="https://drive.google.com/file/d/1ieubctekPEo72iRi8GqmYeBN2Bxiux8C/view?usp=drivesdk" TargetMode="External"/><Relationship Id="rId9280" Type="http://schemas.openxmlformats.org/officeDocument/2006/relationships/hyperlink" Target="https://drive.google.com/file/d/1FU4MVbbyrEItVnVdcW3G_HTFQUDGijEy/view?usp=drivesdk" TargetMode="External"/><Relationship Id="rId9281" Type="http://schemas.openxmlformats.org/officeDocument/2006/relationships/hyperlink" Target="https://drive.google.com/file/d/1SY5rT0JADNEGBeouFFzziYTUUNx1rgvq/view?usp=drivesdk" TargetMode="External"/><Relationship Id="rId9275" Type="http://schemas.openxmlformats.org/officeDocument/2006/relationships/hyperlink" Target="https://drive.google.com/file/d/1jOO6wVY7Rd95usePAK0QIc_cexi5oYok/view?usp=drivesdk" TargetMode="External"/><Relationship Id="rId9276" Type="http://schemas.openxmlformats.org/officeDocument/2006/relationships/hyperlink" Target="https://drive.google.com/file/d/1jKRqjYr51KIPleOjhXAUkztzZeJr1bh2/view?usp=drivesdk" TargetMode="External"/><Relationship Id="rId9277" Type="http://schemas.openxmlformats.org/officeDocument/2006/relationships/hyperlink" Target="https://drive.google.com/file/d/14kNUVnDtOMvgFs9jXEiTujOcLtVbKhTu/view?usp=drivesdk" TargetMode="External"/><Relationship Id="rId9278" Type="http://schemas.openxmlformats.org/officeDocument/2006/relationships/hyperlink" Target="https://drive.google.com/file/d/1UMPzB_QWrQZVoSyCdWYOZ1tgQT4xqvcc/view?usp=drivesdk" TargetMode="External"/><Relationship Id="rId9271" Type="http://schemas.openxmlformats.org/officeDocument/2006/relationships/hyperlink" Target="https://drive.google.com/file/d/1ZNaC6TyY1fu4ahMymZUFxs29CDnobDVv/view?usp=drivesdk" TargetMode="External"/><Relationship Id="rId9272" Type="http://schemas.openxmlformats.org/officeDocument/2006/relationships/hyperlink" Target="https://drive.google.com/file/d/1aLOMLvoWUTP1DI26e3sInUjqyvDJBVDQ/view?usp=drivesdk" TargetMode="External"/><Relationship Id="rId9273" Type="http://schemas.openxmlformats.org/officeDocument/2006/relationships/hyperlink" Target="https://drive.google.com/file/d/1p4FUucYpSRwq8hgGbJKAau8x6IJQ1FZn/view?usp=drivesdk" TargetMode="External"/><Relationship Id="rId9274" Type="http://schemas.openxmlformats.org/officeDocument/2006/relationships/hyperlink" Target="https://drive.google.com/file/d/1cQ0lcyjAzYg7ZtfGNvyEcxCOcG5-jUdo/view?usp=drivesdk" TargetMode="External"/><Relationship Id="rId9279" Type="http://schemas.openxmlformats.org/officeDocument/2006/relationships/hyperlink" Target="https://drive.google.com/file/d/1-f10tc99_17o1XseVIvnnWUP_ysM-5_H/view?usp=drivesdk" TargetMode="External"/><Relationship Id="rId9270" Type="http://schemas.openxmlformats.org/officeDocument/2006/relationships/hyperlink" Target="https://drive.google.com/file/d/1MRPsa2QODEwp1d10-u56eBOlPo2Xl8_-/view?usp=drivesdk" TargetMode="External"/><Relationship Id="rId9264" Type="http://schemas.openxmlformats.org/officeDocument/2006/relationships/hyperlink" Target="https://drive.google.com/file/d/1l6aNkHaUo7s8U5OYpggobdVhXsM4s18h/view?usp=drivesdk" TargetMode="External"/><Relationship Id="rId9265" Type="http://schemas.openxmlformats.org/officeDocument/2006/relationships/hyperlink" Target="https://drive.google.com/file/d/1KluJgiJJ-Abvqdz8cbMgFcnuPwq08bRo/view?usp=drivesdk" TargetMode="External"/><Relationship Id="rId9266" Type="http://schemas.openxmlformats.org/officeDocument/2006/relationships/hyperlink" Target="https://drive.google.com/file/d/1AkbecOk6QQNJSYs4mGZfeaSFQHOmk9_o/view?usp=drivesdk" TargetMode="External"/><Relationship Id="rId9267" Type="http://schemas.openxmlformats.org/officeDocument/2006/relationships/hyperlink" Target="https://drive.google.com/file/d/1utBDV1aN0fGX1hsvFzHJKk4KLyQXIBwj/view?usp=drivesdk" TargetMode="External"/><Relationship Id="rId9260" Type="http://schemas.openxmlformats.org/officeDocument/2006/relationships/hyperlink" Target="https://drive.google.com/file/d/13Nb8iWiJh5wsOltVe2RAWV5_qOWg93AJ/view?usp=drivesdk" TargetMode="External"/><Relationship Id="rId9261" Type="http://schemas.openxmlformats.org/officeDocument/2006/relationships/hyperlink" Target="https://drive.google.com/file/d/1HMdw7LipPs0ACNwAkACNl14_gzIuQusJ/view?usp=drivesdk" TargetMode="External"/><Relationship Id="rId9262" Type="http://schemas.openxmlformats.org/officeDocument/2006/relationships/hyperlink" Target="https://drive.google.com/file/d/1LQo2ttJqYJ7_ynXKAX0TwK6wiWNxlHhD/view?usp=drivesdk" TargetMode="External"/><Relationship Id="rId9263" Type="http://schemas.openxmlformats.org/officeDocument/2006/relationships/hyperlink" Target="https://drive.google.com/file/d/1zYMNFJoC3sxew23TvyMHxBQ0y598xece/view?usp=drivesdk" TargetMode="External"/><Relationship Id="rId9268" Type="http://schemas.openxmlformats.org/officeDocument/2006/relationships/hyperlink" Target="https://drive.google.com/file/d/1ICXm2PZjWLSU4VgKLru9d9ivFH_vBoOS/view?usp=drivesdk" TargetMode="External"/><Relationship Id="rId9269" Type="http://schemas.openxmlformats.org/officeDocument/2006/relationships/hyperlink" Target="https://drive.google.com/file/d/1NbfZPWMiwtipcu3H0SwIbHmNzqw5zhiA/view?usp=drivesdk" TargetMode="External"/><Relationship Id="rId10336" Type="http://schemas.openxmlformats.org/officeDocument/2006/relationships/hyperlink" Target="https://drive.google.com/file/d/14eL3aNkzCcUqlkIeT8VWAvuHqdPHnLgF/view?usp=drivesdk" TargetMode="External"/><Relationship Id="rId11668" Type="http://schemas.openxmlformats.org/officeDocument/2006/relationships/hyperlink" Target="https://drive.google.com/file/d/1otKvkITh65NBK_VVo0kCkVo9ZZYcMkxW/view?usp=drivesdk" TargetMode="External"/><Relationship Id="rId12999" Type="http://schemas.openxmlformats.org/officeDocument/2006/relationships/hyperlink" Target="https://drive.google.com/file/d/1dFjVzZghHlAhoTdun2VmyCP-r45uQ8sV/view?usp=drivesdk" TargetMode="External"/><Relationship Id="rId10337" Type="http://schemas.openxmlformats.org/officeDocument/2006/relationships/hyperlink" Target="https://drive.google.com/file/d/17ifpaxRpkwLKhX8_6vOEcoDbFDiNJ5gU/view?usp=drivesdk" TargetMode="External"/><Relationship Id="rId11667" Type="http://schemas.openxmlformats.org/officeDocument/2006/relationships/hyperlink" Target="https://drive.google.com/file/d/15Zhm6FPehLgB1MfFaU9Qrgiy5-j7xLv9/view?usp=drivesdk" TargetMode="External"/><Relationship Id="rId12998" Type="http://schemas.openxmlformats.org/officeDocument/2006/relationships/hyperlink" Target="https://drive.google.com/file/d/1i6DUau_P79sXr8aSIUrWuKcK0KFJtikv/view?usp=drivesdk" TargetMode="External"/><Relationship Id="rId10334" Type="http://schemas.openxmlformats.org/officeDocument/2006/relationships/hyperlink" Target="https://drive.google.com/file/d/1LPdy36qi_Mmsg52d-5i_tft_CC8ojZJj/view?usp=drivesdk" TargetMode="External"/><Relationship Id="rId11666" Type="http://schemas.openxmlformats.org/officeDocument/2006/relationships/hyperlink" Target="https://drive.google.com/file/d/1l1bqbwVMtZsfVKL4Cu0syC6iZ7qnnYWw/view?usp=drivesdk" TargetMode="External"/><Relationship Id="rId12997" Type="http://schemas.openxmlformats.org/officeDocument/2006/relationships/hyperlink" Target="https://drive.google.com/file/d/1FGwfHO2x-EtvxOwb5fL1gk_jR4nPelY7/view?usp=drivesdk" TargetMode="External"/><Relationship Id="rId10335" Type="http://schemas.openxmlformats.org/officeDocument/2006/relationships/hyperlink" Target="https://drive.google.com/file/d/1It5-5TkmkiL_XSd_WgaqU65KYBgU_CDK/view?usp=drivesdk" TargetMode="External"/><Relationship Id="rId11665" Type="http://schemas.openxmlformats.org/officeDocument/2006/relationships/hyperlink" Target="https://drive.google.com/file/d/1DlqR4pn6exhPIZTj-Gd_tU_q3rlJgCHf/view?usp=drivesdk" TargetMode="External"/><Relationship Id="rId12996" Type="http://schemas.openxmlformats.org/officeDocument/2006/relationships/hyperlink" Target="https://drive.google.com/file/d/1GJ28HLCaIF92V3NtQrzZtwebvVcX-TI3/view?usp=drivesdk" TargetMode="External"/><Relationship Id="rId10338" Type="http://schemas.openxmlformats.org/officeDocument/2006/relationships/hyperlink" Target="https://drive.google.com/file/d/12jrmvTcp68Z4WMToKX8bkJovMt6n_xTg/view?usp=drivesdk" TargetMode="External"/><Relationship Id="rId10339" Type="http://schemas.openxmlformats.org/officeDocument/2006/relationships/hyperlink" Target="https://drive.google.com/file/d/1eiSusy5EEsWWOZoyG6gPM5OOL-ekRg-M/view?usp=drivesdk" TargetMode="External"/><Relationship Id="rId11669" Type="http://schemas.openxmlformats.org/officeDocument/2006/relationships/hyperlink" Target="https://drive.google.com/file/d/1ZLtZBvRlJ2R_w0FrJZKEA5Syi1G8AATX/view?usp=drivesdk" TargetMode="External"/><Relationship Id="rId11660" Type="http://schemas.openxmlformats.org/officeDocument/2006/relationships/hyperlink" Target="https://drive.google.com/file/d/1gnpdDo0jpaxjEDgIzueEXqqeCvZVBR7o/view?usp=drivesdk" TargetMode="External"/><Relationship Id="rId12991" Type="http://schemas.openxmlformats.org/officeDocument/2006/relationships/hyperlink" Target="https://drive.google.com/file/d/1T02St_sqnZ13zwRoBuRSmi3Pma_89nJP/view?usp=drivesdk" TargetMode="External"/><Relationship Id="rId12990" Type="http://schemas.openxmlformats.org/officeDocument/2006/relationships/hyperlink" Target="https://drive.google.com/file/d/1QR_ma6kPOR8C0AmQXsaEXRVxJ4sHCU3W/view?usp=drivesdk" TargetMode="External"/><Relationship Id="rId10332" Type="http://schemas.openxmlformats.org/officeDocument/2006/relationships/hyperlink" Target="https://drive.google.com/file/d/1Dxa0yOymILrzCRVzN8JrXrUVmK4QnQv0/view?usp=drivesdk" TargetMode="External"/><Relationship Id="rId11664" Type="http://schemas.openxmlformats.org/officeDocument/2006/relationships/hyperlink" Target="https://drive.google.com/file/d/1kSj-puUakyd-0cXZqyXyFjglh_QTo71q/view?usp=drivesdk" TargetMode="External"/><Relationship Id="rId12995" Type="http://schemas.openxmlformats.org/officeDocument/2006/relationships/hyperlink" Target="https://drive.google.com/file/d/1HBA6AHxaJc7us7xXdQ_NsXVpoYIe4B3n/view?usp=drivesdk" TargetMode="External"/><Relationship Id="rId10333" Type="http://schemas.openxmlformats.org/officeDocument/2006/relationships/hyperlink" Target="https://drive.google.com/file/d/1fb5f8sY0YnjyOReE7vEoMnmCEyW7jH_-/view?usp=drivesdk" TargetMode="External"/><Relationship Id="rId11663" Type="http://schemas.openxmlformats.org/officeDocument/2006/relationships/hyperlink" Target="https://drive.google.com/file/d/1P-o1OQDtOKoDO6C33tEc7YZ1aMyt6b2o/view?usp=drivesdk" TargetMode="External"/><Relationship Id="rId12994" Type="http://schemas.openxmlformats.org/officeDocument/2006/relationships/hyperlink" Target="https://drive.google.com/file/d/1AFvtzXmGK7AazbMG6Y80VGHPqirnGX0E/view?usp=drivesdk" TargetMode="External"/><Relationship Id="rId10330" Type="http://schemas.openxmlformats.org/officeDocument/2006/relationships/hyperlink" Target="https://drive.google.com/file/d/1lxaR6H6p-PVA4E5R3lWAHLNr2NN7585a/view?usp=drivesdk" TargetMode="External"/><Relationship Id="rId11662" Type="http://schemas.openxmlformats.org/officeDocument/2006/relationships/hyperlink" Target="https://drive.google.com/file/d/1wsfiFEW4hXsrgcfEW--OZR2B9siX6Ad1/view?usp=drivesdk" TargetMode="External"/><Relationship Id="rId12993" Type="http://schemas.openxmlformats.org/officeDocument/2006/relationships/hyperlink" Target="https://drive.google.com/file/d/1kHzD53h7u8y0AEEnlOa3pBM_yJQEBpuD/view?usp=drivesdk" TargetMode="External"/><Relationship Id="rId10331" Type="http://schemas.openxmlformats.org/officeDocument/2006/relationships/hyperlink" Target="https://drive.google.com/file/d/1uvOas0moXHcBcdEnZC8dK1x7bjXN0j5P/view?usp=drivesdk" TargetMode="External"/><Relationship Id="rId11661" Type="http://schemas.openxmlformats.org/officeDocument/2006/relationships/hyperlink" Target="https://drive.google.com/file/d/1hanVvQutenjZc7hdNSra3-n3h-8rbynr/view?usp=drivesdk" TargetMode="External"/><Relationship Id="rId12992" Type="http://schemas.openxmlformats.org/officeDocument/2006/relationships/hyperlink" Target="https://drive.google.com/file/d/1mdoTNiYZ3l5FGGLiLJMF4UOJZxihUosO/view?usp=drivesdk" TargetMode="External"/><Relationship Id="rId10347" Type="http://schemas.openxmlformats.org/officeDocument/2006/relationships/hyperlink" Target="https://drive.google.com/file/d/1qVsUAFlkwDLV1oTu_4_Laxkf2xIwbRVE/view?usp=drivesdk" TargetMode="External"/><Relationship Id="rId11679" Type="http://schemas.openxmlformats.org/officeDocument/2006/relationships/hyperlink" Target="https://drive.google.com/file/d/1CptBPpf_XsN9Y9Qoz8ZrRpxla_LqFv6K/view?usp=drivesdk" TargetMode="External"/><Relationship Id="rId10348" Type="http://schemas.openxmlformats.org/officeDocument/2006/relationships/hyperlink" Target="https://drive.google.com/file/d/1Rc_nPvd017-ZfEsB1f4Db6JaNm-DWCP3/view?usp=drivesdk" TargetMode="External"/><Relationship Id="rId11678" Type="http://schemas.openxmlformats.org/officeDocument/2006/relationships/hyperlink" Target="https://drive.google.com/file/d/1H9mFZSE8Q4BcuRoZHkakumVIWBGXtmof/view?usp=drivesdk" TargetMode="External"/><Relationship Id="rId10345" Type="http://schemas.openxmlformats.org/officeDocument/2006/relationships/hyperlink" Target="https://drive.google.com/file/d/1tWApyJVvsEOoNjaE5-dfRWvgQK2Ny-E3/view?usp=drivesdk" TargetMode="External"/><Relationship Id="rId11677" Type="http://schemas.openxmlformats.org/officeDocument/2006/relationships/hyperlink" Target="https://drive.google.com/file/d/1hSJOQMWCq-FualCs85NWbQBQTP3AM9mv/view?usp=drivesdk" TargetMode="External"/><Relationship Id="rId10346" Type="http://schemas.openxmlformats.org/officeDocument/2006/relationships/hyperlink" Target="https://drive.google.com/file/d/1lRckifYeJiNbbJ-1icZT1_PBfTpfretc/view?usp=drivesdk" TargetMode="External"/><Relationship Id="rId11676" Type="http://schemas.openxmlformats.org/officeDocument/2006/relationships/hyperlink" Target="https://drive.google.com/file/d/1fkP8YPJcsUUH9gxS9By1G1RFF7Aacngc/view?usp=drivesdk" TargetMode="External"/><Relationship Id="rId10349" Type="http://schemas.openxmlformats.org/officeDocument/2006/relationships/hyperlink" Target="https://drive.google.com/file/d/14HYgwFP9DC-j-81O21sBZ-sTjejxSwuC/view?usp=drivesdk" TargetMode="External"/><Relationship Id="rId11671" Type="http://schemas.openxmlformats.org/officeDocument/2006/relationships/hyperlink" Target="https://drive.google.com/file/d/1oowLNfUCPdrJIYsBmRL2Nh5MY7k_vGZX/view?usp=drivesdk" TargetMode="External"/><Relationship Id="rId10340" Type="http://schemas.openxmlformats.org/officeDocument/2006/relationships/hyperlink" Target="https://drive.google.com/file/d/1FuTapVsGk79M2Mo5gWHbQD_icDhSpZsU/view?usp=drivesdk" TargetMode="External"/><Relationship Id="rId11670" Type="http://schemas.openxmlformats.org/officeDocument/2006/relationships/hyperlink" Target="https://drive.google.com/file/d/1BXJyOAHhTF6xFy2XqXrn1Moy5SG-dUi5/view?usp=drivesdk" TargetMode="External"/><Relationship Id="rId10343" Type="http://schemas.openxmlformats.org/officeDocument/2006/relationships/hyperlink" Target="https://drive.google.com/file/d/1aa9oaHLREjLP5i0E2a8xGu53ecyCrycb/view?usp=drivesdk" TargetMode="External"/><Relationship Id="rId11675" Type="http://schemas.openxmlformats.org/officeDocument/2006/relationships/hyperlink" Target="https://drive.google.com/file/d/11pLeR1Jl4Cv5IE0tFRR9dpQbUcVof_Py/view?usp=drivesdk" TargetMode="External"/><Relationship Id="rId10344" Type="http://schemas.openxmlformats.org/officeDocument/2006/relationships/hyperlink" Target="https://drive.google.com/file/d/1IJu2XUfAGTnaAFgcz7LKmhI5XZqPjNuI/view?usp=drivesdk" TargetMode="External"/><Relationship Id="rId11674" Type="http://schemas.openxmlformats.org/officeDocument/2006/relationships/hyperlink" Target="https://drive.google.com/file/d/1EzWt8_w71Ty0AgW1ZPc_REoqFbkcTKXw/view?usp=drivesdk" TargetMode="External"/><Relationship Id="rId10341" Type="http://schemas.openxmlformats.org/officeDocument/2006/relationships/hyperlink" Target="https://drive.google.com/file/d/1JcQnc9Tr4W0BAW-RmFH-M9bBgE8H3JI2/view?usp=drivesdk" TargetMode="External"/><Relationship Id="rId11673" Type="http://schemas.openxmlformats.org/officeDocument/2006/relationships/hyperlink" Target="https://drive.google.com/file/d/11qz62NlXisBWz-L505spCgNUKbL7_TaC/view?usp=drivesdk" TargetMode="External"/><Relationship Id="rId10342" Type="http://schemas.openxmlformats.org/officeDocument/2006/relationships/hyperlink" Target="https://drive.google.com/file/d/13UhAHDcjKQp_aai1k_1a5PmgPxkED-R1/view?usp=drivesdk" TargetMode="External"/><Relationship Id="rId11672" Type="http://schemas.openxmlformats.org/officeDocument/2006/relationships/hyperlink" Target="https://drive.google.com/file/d/1SSwFaKaX-C9xqmXRmdnfU7vFQigO99HI/view?usp=drivesdk" TargetMode="External"/><Relationship Id="rId10314" Type="http://schemas.openxmlformats.org/officeDocument/2006/relationships/hyperlink" Target="https://drive.google.com/file/d/1OSLdhQ9wEo6gkDN2NTXvHi8ISgrpMNal/view?usp=drivesdk" TargetMode="External"/><Relationship Id="rId11646" Type="http://schemas.openxmlformats.org/officeDocument/2006/relationships/hyperlink" Target="https://drive.google.com/file/d/1_-ooSDR5DEDI5WxNuTrvPDdiTweMk4Kd/view?usp=drivesdk" TargetMode="External"/><Relationship Id="rId12977" Type="http://schemas.openxmlformats.org/officeDocument/2006/relationships/hyperlink" Target="https://drive.google.com/file/d/1UCOEkWvaRIQNBOY3vrG_SPErWDHZjDgc/view?usp=drivesdk" TargetMode="External"/><Relationship Id="rId10315" Type="http://schemas.openxmlformats.org/officeDocument/2006/relationships/hyperlink" Target="https://drive.google.com/file/d/1wHoZnmhB_ECzsSEfv464zXXzD0Kmw_Li/view?usp=drivesdk" TargetMode="External"/><Relationship Id="rId11645" Type="http://schemas.openxmlformats.org/officeDocument/2006/relationships/hyperlink" Target="https://drive.google.com/file/d/1FPAahD32rk1SWOxPwekVWGv3pQAGcrwb/view?usp=drivesdk" TargetMode="External"/><Relationship Id="rId12976" Type="http://schemas.openxmlformats.org/officeDocument/2006/relationships/hyperlink" Target="https://drive.google.com/file/d/1sM-HTz-mNCgF4mNalDs2DC8wO7CIOpNt/view?usp=drivesdk" TargetMode="External"/><Relationship Id="rId10312" Type="http://schemas.openxmlformats.org/officeDocument/2006/relationships/hyperlink" Target="https://drive.google.com/file/d/1-Wu00aDSsB13anqrz3hUngWJ9azjQWVx/view?usp=drivesdk" TargetMode="External"/><Relationship Id="rId11644" Type="http://schemas.openxmlformats.org/officeDocument/2006/relationships/hyperlink" Target="https://drive.google.com/file/d/1dv7-rUi1vkXODMRRWfqto9Lerg5VcGob/view?usp=drivesdk" TargetMode="External"/><Relationship Id="rId12975" Type="http://schemas.openxmlformats.org/officeDocument/2006/relationships/hyperlink" Target="https://drive.google.com/file/d/10Yho3GFLWEZhm2Sh3njNalGI94AKdgnz/view?usp=drivesdk" TargetMode="External"/><Relationship Id="rId10313" Type="http://schemas.openxmlformats.org/officeDocument/2006/relationships/hyperlink" Target="https://drive.google.com/file/d/1MeFcd7Vvvj-SASbF8whzJomyc-nnCy01/view?usp=drivesdk" TargetMode="External"/><Relationship Id="rId11643" Type="http://schemas.openxmlformats.org/officeDocument/2006/relationships/hyperlink" Target="https://drive.google.com/file/d/1pWu3aR0VHzqvXeESI2jB7i8wcf2fhDyr/view?usp=drivesdk" TargetMode="External"/><Relationship Id="rId12974" Type="http://schemas.openxmlformats.org/officeDocument/2006/relationships/hyperlink" Target="https://drive.google.com/file/d/18VzIek__lUisHLwjmFlkmguXTsP9eUau/view?usp=drivesdk" TargetMode="External"/><Relationship Id="rId10318" Type="http://schemas.openxmlformats.org/officeDocument/2006/relationships/hyperlink" Target="https://drive.google.com/file/d/1rChQ16ndsq2czDV2MUB9fCsPIRlK5-nO/view?usp=drivesdk" TargetMode="External"/><Relationship Id="rId10319" Type="http://schemas.openxmlformats.org/officeDocument/2006/relationships/hyperlink" Target="https://drive.google.com/file/d/1Suqc2pNRd89xdSizSOABiyQO2SQ4QSEQ/view?usp=drivesdk" TargetMode="External"/><Relationship Id="rId11649" Type="http://schemas.openxmlformats.org/officeDocument/2006/relationships/hyperlink" Target="https://drive.google.com/file/d/1O1B8DaUCxH0NRuZxsx-MczaDxgiLRrqQ/view?usp=drivesdk" TargetMode="External"/><Relationship Id="rId10316" Type="http://schemas.openxmlformats.org/officeDocument/2006/relationships/hyperlink" Target="https://drive.google.com/file/d/14eo7XvvAR0BJHBSWqefUiJ9P4iYISs6v/view?usp=drivesdk" TargetMode="External"/><Relationship Id="rId11648" Type="http://schemas.openxmlformats.org/officeDocument/2006/relationships/hyperlink" Target="https://drive.google.com/file/d/1437PQlNDsYK59WuZNizWJ9InujSXYKfZ/view?usp=drivesdk" TargetMode="External"/><Relationship Id="rId12979" Type="http://schemas.openxmlformats.org/officeDocument/2006/relationships/hyperlink" Target="https://drive.google.com/file/d/1titxqF_VJNSZn9rd9G_o_gc1N1yfBiMp/view?usp=drivesdk" TargetMode="External"/><Relationship Id="rId10317" Type="http://schemas.openxmlformats.org/officeDocument/2006/relationships/hyperlink" Target="https://drive.google.com/file/d/1r3RHjXJKg77rmowQbRI3OjWXvUZWaFdg/view?usp=drivesdk" TargetMode="External"/><Relationship Id="rId11647" Type="http://schemas.openxmlformats.org/officeDocument/2006/relationships/hyperlink" Target="https://drive.google.com/file/d/1O3X-9Xak_RnISZX_wi3ewrZRDTnWFZNx/view?usp=drivesdk" TargetMode="External"/><Relationship Id="rId12978" Type="http://schemas.openxmlformats.org/officeDocument/2006/relationships/hyperlink" Target="https://drive.google.com/file/d/1iAtzxjxWDg6e3LvjucoM_W_h3jgyzyLc/view?usp=drivesdk" TargetMode="External"/><Relationship Id="rId10310" Type="http://schemas.openxmlformats.org/officeDocument/2006/relationships/hyperlink" Target="https://drive.google.com/file/d/1scT8ueAdz9INCbaH54uBhqzkICe0tuEL/view?usp=drivesdk" TargetMode="External"/><Relationship Id="rId11642" Type="http://schemas.openxmlformats.org/officeDocument/2006/relationships/hyperlink" Target="https://drive.google.com/file/d/1bVKuvhB_yLrqFLTy98MJdsem2CwilojF/view?usp=drivesdk" TargetMode="External"/><Relationship Id="rId12973" Type="http://schemas.openxmlformats.org/officeDocument/2006/relationships/hyperlink" Target="https://drive.google.com/file/d/1Y1Bh5aM2zJ1ylI_E52xVJfdEpV4xWkWE/view?usp=drivesdk" TargetMode="External"/><Relationship Id="rId10311" Type="http://schemas.openxmlformats.org/officeDocument/2006/relationships/hyperlink" Target="https://drive.google.com/file/d/1m_B5oSi1JIxPJgTWthsRUb8CE4ITlMVC/view?usp=drivesdk" TargetMode="External"/><Relationship Id="rId11641" Type="http://schemas.openxmlformats.org/officeDocument/2006/relationships/hyperlink" Target="https://drive.google.com/file/d/1NCfsG7rVLQzkmeIQJ1Ej6pl7rvACVkd1/view?usp=drivesdk" TargetMode="External"/><Relationship Id="rId12972" Type="http://schemas.openxmlformats.org/officeDocument/2006/relationships/hyperlink" Target="https://drive.google.com/file/d/1pC4zPjEsaXmx0NGuMLVdL_IG88k6ImPO/view?usp=drivesdk" TargetMode="External"/><Relationship Id="rId11640" Type="http://schemas.openxmlformats.org/officeDocument/2006/relationships/hyperlink" Target="https://drive.google.com/file/d/1KWwOvFWNpqPyVGTV0QRnpl22ZMupD5_S/view?usp=drivesdk" TargetMode="External"/><Relationship Id="rId12971" Type="http://schemas.openxmlformats.org/officeDocument/2006/relationships/hyperlink" Target="https://drive.google.com/file/d/16yKO-ngNkd0413hUZdlzy2jEByqzfGel/view?usp=drivesdk" TargetMode="External"/><Relationship Id="rId12970" Type="http://schemas.openxmlformats.org/officeDocument/2006/relationships/hyperlink" Target="https://drive.google.com/file/d/1N67V27TDPa4L1T3MRCwtZPxCp5q7ZXIn/view?usp=drivesdk" TargetMode="External"/><Relationship Id="rId10325" Type="http://schemas.openxmlformats.org/officeDocument/2006/relationships/hyperlink" Target="https://drive.google.com/file/d/1uUaYjA4ttlVhVW1yn6xGT3J3QuzsXLlS/view?usp=drivesdk" TargetMode="External"/><Relationship Id="rId11657" Type="http://schemas.openxmlformats.org/officeDocument/2006/relationships/hyperlink" Target="https://drive.google.com/file/d/1ipET-drova9cxnqd8BEGC2CKvzatIfi5/view?usp=drivesdk" TargetMode="External"/><Relationship Id="rId12988" Type="http://schemas.openxmlformats.org/officeDocument/2006/relationships/hyperlink" Target="https://drive.google.com/file/d/15ZmmzxOHS3eqd4kzOu21jxchJuxosXAf/view?usp=drivesdk" TargetMode="External"/><Relationship Id="rId10326" Type="http://schemas.openxmlformats.org/officeDocument/2006/relationships/hyperlink" Target="https://drive.google.com/file/d/13KUc5HLY9OgKvs13vC59Dme-ICQ7HuI0/view?usp=drivesdk" TargetMode="External"/><Relationship Id="rId11656" Type="http://schemas.openxmlformats.org/officeDocument/2006/relationships/hyperlink" Target="https://drive.google.com/file/d/1oTvdceDIcrs8hGdcyzt3V9Q3VdJ0qdL7/view?usp=drivesdk" TargetMode="External"/><Relationship Id="rId12987" Type="http://schemas.openxmlformats.org/officeDocument/2006/relationships/hyperlink" Target="https://drive.google.com/file/d/1eSadTG1tXugOdxbmKq1mILsMWS_iX6H0/view?usp=drivesdk" TargetMode="External"/><Relationship Id="rId10323" Type="http://schemas.openxmlformats.org/officeDocument/2006/relationships/hyperlink" Target="https://drive.google.com/file/d/1vzBE-aJVaTJKQvJ6MhOCw5NtQTy9k8_X/view?usp=drivesdk" TargetMode="External"/><Relationship Id="rId11655" Type="http://schemas.openxmlformats.org/officeDocument/2006/relationships/hyperlink" Target="https://drive.google.com/file/d/1X167lXRuM2lrOsu9y0Ndkgv2LZs6ojoM/view?usp=drivesdk" TargetMode="External"/><Relationship Id="rId12986" Type="http://schemas.openxmlformats.org/officeDocument/2006/relationships/hyperlink" Target="https://drive.google.com/file/d/1FxvNm0MpQyPo0_-pZUoC8D6fznf56Y1o/view?usp=drivesdk" TargetMode="External"/><Relationship Id="rId10324" Type="http://schemas.openxmlformats.org/officeDocument/2006/relationships/hyperlink" Target="https://drive.google.com/file/d/1rmmgs9rXBlOtu1OW6A3tM63zDftFidTQ/view?usp=drivesdk" TargetMode="External"/><Relationship Id="rId11654" Type="http://schemas.openxmlformats.org/officeDocument/2006/relationships/hyperlink" Target="https://drive.google.com/file/d/1PIOZmhs8E7Ejhg6tjgp3tLuKy2sBt9ob/view?usp=drivesdk" TargetMode="External"/><Relationship Id="rId12985" Type="http://schemas.openxmlformats.org/officeDocument/2006/relationships/hyperlink" Target="https://drive.google.com/file/d/1Zh7Exq_3Wbala_sQ24RXUkyG_cvyqeXL/view?usp=drivesdk" TargetMode="External"/><Relationship Id="rId10329" Type="http://schemas.openxmlformats.org/officeDocument/2006/relationships/hyperlink" Target="https://drive.google.com/file/d/1b39-CYZub4XpYVKDn6UNu6VAWZaEK-QY/view?usp=drivesdk" TargetMode="External"/><Relationship Id="rId10327" Type="http://schemas.openxmlformats.org/officeDocument/2006/relationships/hyperlink" Target="https://drive.google.com/file/d/1SXLgBh4ZZBbZbBWWXBVH0QUn_lfQbMKS/view?usp=drivesdk" TargetMode="External"/><Relationship Id="rId11659" Type="http://schemas.openxmlformats.org/officeDocument/2006/relationships/hyperlink" Target="https://drive.google.com/file/d/1Fb-l312FoirI-pXIqGOMzw_OROEqWkjc/view?usp=drivesdk" TargetMode="External"/><Relationship Id="rId10328" Type="http://schemas.openxmlformats.org/officeDocument/2006/relationships/hyperlink" Target="https://drive.google.com/file/d/1xbtgtGtqO8o_bdKYWaIPjUlRP9FCV5wd/view?usp=drivesdk" TargetMode="External"/><Relationship Id="rId11658" Type="http://schemas.openxmlformats.org/officeDocument/2006/relationships/hyperlink" Target="https://drive.google.com/file/d/1VzjAXxKtl7rgIrZY5IvQJ939-FmXnUwq/view?usp=drivesdk" TargetMode="External"/><Relationship Id="rId12989" Type="http://schemas.openxmlformats.org/officeDocument/2006/relationships/hyperlink" Target="https://drive.google.com/file/d/12Qtoj20MtZwPEJY6yi_M_lL5o8gpx7Hm/view?usp=drivesdk" TargetMode="External"/><Relationship Id="rId12980" Type="http://schemas.openxmlformats.org/officeDocument/2006/relationships/hyperlink" Target="https://drive.google.com/file/d/1iB_eqQ4605PGFgtj85vyqrxo2t4lOxXx/view?usp=drivesdk" TargetMode="External"/><Relationship Id="rId10321" Type="http://schemas.openxmlformats.org/officeDocument/2006/relationships/hyperlink" Target="https://drive.google.com/file/d/1ypJgmvU0Saq8co1O8izjkH5D3l6XJthS/view?usp=drivesdk" TargetMode="External"/><Relationship Id="rId11653" Type="http://schemas.openxmlformats.org/officeDocument/2006/relationships/hyperlink" Target="https://drive.google.com/file/d/1UZWLynkaEnlgeffLSAEW0ZemRobHM0i1/view?usp=drivesdk" TargetMode="External"/><Relationship Id="rId12984" Type="http://schemas.openxmlformats.org/officeDocument/2006/relationships/hyperlink" Target="https://drive.google.com/file/d/1zrk7Wzwbgd8Sdsl8RApTGoyCdm7a5pQa/view?usp=drivesdk" TargetMode="External"/><Relationship Id="rId10322" Type="http://schemas.openxmlformats.org/officeDocument/2006/relationships/hyperlink" Target="https://drive.google.com/file/d/1Ns8P3A4CzHBS73LN-71AvMMq834tTehf/view?usp=drivesdk" TargetMode="External"/><Relationship Id="rId11652" Type="http://schemas.openxmlformats.org/officeDocument/2006/relationships/hyperlink" Target="https://drive.google.com/file/d/1xvawWn3J-exMRAZJgDPA6uoTrmb1hE15/view?usp=drivesdk" TargetMode="External"/><Relationship Id="rId12983" Type="http://schemas.openxmlformats.org/officeDocument/2006/relationships/hyperlink" Target="https://drive.google.com/file/d/1aPFx3rI2sZUgMft2sSe62mNSg9uoDWNJ/view?usp=drivesdk" TargetMode="External"/><Relationship Id="rId11651" Type="http://schemas.openxmlformats.org/officeDocument/2006/relationships/hyperlink" Target="https://drive.google.com/file/d/1Ll8TkxngslmrOfin8YyabJHTHkqVUpjc/view?usp=drivesdk" TargetMode="External"/><Relationship Id="rId12982" Type="http://schemas.openxmlformats.org/officeDocument/2006/relationships/hyperlink" Target="https://drive.google.com/file/d/1wiVZJfPaANmH_vN4ZSFMXfLepkWmmO74/view?usp=drivesdk" TargetMode="External"/><Relationship Id="rId10320" Type="http://schemas.openxmlformats.org/officeDocument/2006/relationships/hyperlink" Target="https://drive.google.com/file/d/1spyCg6nPb8rVuw5LGyVsEuB7TXs1ahk2/view?usp=drivesdk" TargetMode="External"/><Relationship Id="rId11650" Type="http://schemas.openxmlformats.org/officeDocument/2006/relationships/hyperlink" Target="https://drive.google.com/file/d/1UMubi2XNrOs3ZgFDKimNVWGtqU_LPTS6/view?usp=drivesdk" TargetMode="External"/><Relationship Id="rId12981" Type="http://schemas.openxmlformats.org/officeDocument/2006/relationships/hyperlink" Target="https://drive.google.com/file/d/1HPsJugCnC9egQ293Hg6gYZMGnTgl4ku7/view?usp=drivesdk" TargetMode="External"/><Relationship Id="rId10380" Type="http://schemas.openxmlformats.org/officeDocument/2006/relationships/hyperlink" Target="https://drive.google.com/file/d/1alxV313QVW-gI78vqjAwaJMcsVCBUzOj/view?usp=drivesdk" TargetMode="External"/><Relationship Id="rId10378" Type="http://schemas.openxmlformats.org/officeDocument/2006/relationships/hyperlink" Target="https://drive.google.com/file/d/1wsCcxoNjsowdYItW81eH5sOXrE9qdWkA/view?usp=drivesdk" TargetMode="External"/><Relationship Id="rId10379" Type="http://schemas.openxmlformats.org/officeDocument/2006/relationships/hyperlink" Target="https://drive.google.com/file/d/1Z3XL0ZwCMjtjeIlSiYM0sbxlm7OnQmpM/view?usp=drivesdk" TargetMode="External"/><Relationship Id="rId10372" Type="http://schemas.openxmlformats.org/officeDocument/2006/relationships/hyperlink" Target="https://drive.google.com/file/d/1PDH0vT-Rc_wmLbIAr_FMAM2yzKgKuTdN/view?usp=drivesdk" TargetMode="External"/><Relationship Id="rId10373" Type="http://schemas.openxmlformats.org/officeDocument/2006/relationships/hyperlink" Target="https://drive.google.com/file/d/1PK5crFtjROOWNGdzs9k6TbtlAtPL3XXw/view?usp=drivesdk" TargetMode="External"/><Relationship Id="rId10370" Type="http://schemas.openxmlformats.org/officeDocument/2006/relationships/hyperlink" Target="https://drive.google.com/file/d/11jZYokdRJJuO5pBac9deAjef28S-OERb/view?usp=drivesdk" TargetMode="External"/><Relationship Id="rId10371" Type="http://schemas.openxmlformats.org/officeDocument/2006/relationships/hyperlink" Target="https://drive.google.com/file/d/18OXQudrJH1EzobF3uksLKOU7tga0f7lD/view?usp=drivesdk" TargetMode="External"/><Relationship Id="rId10376" Type="http://schemas.openxmlformats.org/officeDocument/2006/relationships/hyperlink" Target="https://drive.google.com/file/d/1eIDCFrRexuUzkSxFYjO7UCFqBpLUSCw7/view?usp=drivesdk" TargetMode="External"/><Relationship Id="rId10377" Type="http://schemas.openxmlformats.org/officeDocument/2006/relationships/hyperlink" Target="https://drive.google.com/file/d/1lEEAmalGkLZzcWXBNgqg0NT3OngfiTm6/view?usp=drivesdk" TargetMode="External"/><Relationship Id="rId10374" Type="http://schemas.openxmlformats.org/officeDocument/2006/relationships/hyperlink" Target="http://ervina.se" TargetMode="External"/><Relationship Id="rId10375" Type="http://schemas.openxmlformats.org/officeDocument/2006/relationships/hyperlink" Target="https://drive.google.com/file/d/1dVozA-F63Zl-6RnXik1EKqsRnCuBbDsM/view?usp=drivesdk" TargetMode="External"/><Relationship Id="rId10390" Type="http://schemas.openxmlformats.org/officeDocument/2006/relationships/hyperlink" Target="https://drive.google.com/file/d/1tXXbuL6Vl-VjWSCDXQeuvqHpimzUIslf/view?usp=drivesdk" TargetMode="External"/><Relationship Id="rId10391" Type="http://schemas.openxmlformats.org/officeDocument/2006/relationships/hyperlink" Target="https://drive.google.com/file/d/1wdFom_5bVlvXSbJ9dOqinwJ69VRQZNIq/view?usp=drivesdk" TargetMode="External"/><Relationship Id="rId10389" Type="http://schemas.openxmlformats.org/officeDocument/2006/relationships/hyperlink" Target="https://drive.google.com/file/d/1T_2AiqGMpwTfDcyaPUXqQExf6bbJvPvP/view?usp=drivesdk" TargetMode="External"/><Relationship Id="rId10383" Type="http://schemas.openxmlformats.org/officeDocument/2006/relationships/hyperlink" Target="https://drive.google.com/file/d/1q4YFr6iuM9utZY95TdXdqnHTf3pMnYFV/view?usp=drivesdk" TargetMode="External"/><Relationship Id="rId10384" Type="http://schemas.openxmlformats.org/officeDocument/2006/relationships/hyperlink" Target="https://drive.google.com/file/d/11iiwt0quvxO0alDKtAgrGfIV7j4m9bqe/view?usp=drivesdk" TargetMode="External"/><Relationship Id="rId10381" Type="http://schemas.openxmlformats.org/officeDocument/2006/relationships/hyperlink" Target="https://drive.google.com/file/d/14XPnTgOcym4sdD_TYA1KcVEJP7STVNfr/view?usp=drivesdk" TargetMode="External"/><Relationship Id="rId10382" Type="http://schemas.openxmlformats.org/officeDocument/2006/relationships/hyperlink" Target="https://drive.google.com/file/d/1Da9WCDGrvC0CBro2nNkoM0M8lcoqO2YH/view?usp=drivesdk" TargetMode="External"/><Relationship Id="rId10387" Type="http://schemas.openxmlformats.org/officeDocument/2006/relationships/hyperlink" Target="https://drive.google.com/file/d/1hBSVK810vUmdPgm22db6KTCNEiSDt4sf/view?usp=drivesdk" TargetMode="External"/><Relationship Id="rId10388" Type="http://schemas.openxmlformats.org/officeDocument/2006/relationships/hyperlink" Target="https://drive.google.com/file/d/1kyhIiLDOr4WsW_2OPH3daGRrGlZEX63-/view?usp=drivesdk" TargetMode="External"/><Relationship Id="rId10385" Type="http://schemas.openxmlformats.org/officeDocument/2006/relationships/hyperlink" Target="https://drive.google.com/file/d/1zNEsxU5d6xBxEAG_AdbopvwYDunA6bMB/view?usp=drivesdk" TargetMode="External"/><Relationship Id="rId10386" Type="http://schemas.openxmlformats.org/officeDocument/2006/relationships/hyperlink" Target="https://drive.google.com/file/d/1Wf8FyTwpEaSfI-xrhji4dWGvXeOH_993/view?usp=drivesdk" TargetMode="External"/><Relationship Id="rId10358" Type="http://schemas.openxmlformats.org/officeDocument/2006/relationships/hyperlink" Target="https://drive.google.com/file/d/174u2R1pu_Eej4JID_IV4NvAzFw5rYCZG/view?usp=drivesdk" TargetMode="External"/><Relationship Id="rId10359" Type="http://schemas.openxmlformats.org/officeDocument/2006/relationships/hyperlink" Target="https://drive.google.com/file/d/1Ev6ITbk39aXYf3av--kCa__cBQ7knE0f/view?usp=drivesdk" TargetMode="External"/><Relationship Id="rId11689" Type="http://schemas.openxmlformats.org/officeDocument/2006/relationships/hyperlink" Target="https://drive.google.com/file/d/1UqpNHR3sNIGsCSpLBupVzsfnnKBPOfcI/view?usp=drivesdk" TargetMode="External"/><Relationship Id="rId10356" Type="http://schemas.openxmlformats.org/officeDocument/2006/relationships/hyperlink" Target="https://drive.google.com/file/d/1oNArFhFbaJudKTNWzt9BtCpRvDPGsnrO/view?usp=drivesdk" TargetMode="External"/><Relationship Id="rId11688" Type="http://schemas.openxmlformats.org/officeDocument/2006/relationships/hyperlink" Target="https://drive.google.com/file/d/1cPIHmrkmmfAPFYZ90VchppP-Il9shlSX/view?usp=drivesdk" TargetMode="External"/><Relationship Id="rId10357" Type="http://schemas.openxmlformats.org/officeDocument/2006/relationships/hyperlink" Target="https://drive.google.com/file/d/1bPfFPcJQACoLPKkbQ4M3TnLnWle9g4fA/view?usp=drivesdk" TargetMode="External"/><Relationship Id="rId11687" Type="http://schemas.openxmlformats.org/officeDocument/2006/relationships/hyperlink" Target="https://drive.google.com/file/d/1PIYT7zveQlXGmj2Ka1-glpWSY1a_DK9G/view?usp=drivesdk" TargetMode="External"/><Relationship Id="rId10350" Type="http://schemas.openxmlformats.org/officeDocument/2006/relationships/hyperlink" Target="https://drive.google.com/file/d/12z2btrqQj409PyWciUBMyqGijRHQsVsF/view?usp=drivesdk" TargetMode="External"/><Relationship Id="rId11682" Type="http://schemas.openxmlformats.org/officeDocument/2006/relationships/hyperlink" Target="https://drive.google.com/file/d/1ETMBKJkpwSDmz0KOPQmQzX9n8kCyaKP5/view?usp=drivesdk" TargetMode="External"/><Relationship Id="rId10351" Type="http://schemas.openxmlformats.org/officeDocument/2006/relationships/hyperlink" Target="https://drive.google.com/file/d/1vnbHI1SfHRIUVlm_5eRdpgcLEE4iqvvc/view?usp=drivesdk" TargetMode="External"/><Relationship Id="rId11681" Type="http://schemas.openxmlformats.org/officeDocument/2006/relationships/hyperlink" Target="https://drive.google.com/file/d/1U5O6vdFwVnhIz-3LT1wsVnoAfJWEpVso/view?usp=drivesdk" TargetMode="External"/><Relationship Id="rId11680" Type="http://schemas.openxmlformats.org/officeDocument/2006/relationships/hyperlink" Target="https://drive.google.com/file/d/1k74j-7Ehy9xzKkXqkI7-Rv5eboR7Jc0N/view?usp=drivesdk" TargetMode="External"/><Relationship Id="rId10354" Type="http://schemas.openxmlformats.org/officeDocument/2006/relationships/hyperlink" Target="https://drive.google.com/file/d/1TPR4huWJQ1PlTPp8cKBxSyQGPtSuE5U-/view?usp=drivesdk" TargetMode="External"/><Relationship Id="rId11686" Type="http://schemas.openxmlformats.org/officeDocument/2006/relationships/hyperlink" Target="https://drive.google.com/file/d/16p-FV3glH1VlrOtyILUmz9aePSsCayv-/view?usp=drivesdk" TargetMode="External"/><Relationship Id="rId10355" Type="http://schemas.openxmlformats.org/officeDocument/2006/relationships/hyperlink" Target="https://drive.google.com/file/d/1Vy-YLwKPW0kFO176cKhc18VzRf7vyTLu/view?usp=drivesdk" TargetMode="External"/><Relationship Id="rId11685" Type="http://schemas.openxmlformats.org/officeDocument/2006/relationships/hyperlink" Target="https://drive.google.com/file/d/1EhAQN-b6U92e-Qd2ff0iIFbmsFFGfuka/view?usp=drivesdk" TargetMode="External"/><Relationship Id="rId10352" Type="http://schemas.openxmlformats.org/officeDocument/2006/relationships/hyperlink" Target="https://drive.google.com/file/d/1e0osGVZP1vTQdRHq47m1PYMgNh7SBNmy/view?usp=drivesdk" TargetMode="External"/><Relationship Id="rId11684" Type="http://schemas.openxmlformats.org/officeDocument/2006/relationships/hyperlink" Target="https://drive.google.com/file/d/1BISfl3PSQNUjOfEhDEk7h5Pve4LtQ98b/view?usp=drivesdk" TargetMode="External"/><Relationship Id="rId10353" Type="http://schemas.openxmlformats.org/officeDocument/2006/relationships/hyperlink" Target="https://drive.google.com/file/d/1fwuAs9TgkKEaxKCzFEuzKNgO28SWIU4B/view?usp=drivesdk" TargetMode="External"/><Relationship Id="rId11683" Type="http://schemas.openxmlformats.org/officeDocument/2006/relationships/hyperlink" Target="https://drive.google.com/file/d/1xjK81OK_5YmeLuNlu3ROvMzbCFkCvpVf/view?usp=drivesdk" TargetMode="External"/><Relationship Id="rId10369" Type="http://schemas.openxmlformats.org/officeDocument/2006/relationships/hyperlink" Target="https://drive.google.com/file/d/10BDlnOpq_EMGNkingQq0T0GMW1PX-bME/view?usp=drivesdk" TargetMode="External"/><Relationship Id="rId10367" Type="http://schemas.openxmlformats.org/officeDocument/2006/relationships/hyperlink" Target="https://drive.google.com/file/d/18P0ACX0QZeplpV14bAS3qrC54RG5d5kL/view?usp=drivesdk" TargetMode="External"/><Relationship Id="rId11699" Type="http://schemas.openxmlformats.org/officeDocument/2006/relationships/hyperlink" Target="https://drive.google.com/file/d/1Iiy814PGzr642vDhZIs8TsCtLLmVmluL/view?usp=drivesdk" TargetMode="External"/><Relationship Id="rId10368" Type="http://schemas.openxmlformats.org/officeDocument/2006/relationships/hyperlink" Target="https://drive.google.com/file/d/1g2i5Zgir-AKOknGNuIiJ-YSGFvmtiTPc/view?usp=drivesdk" TargetMode="External"/><Relationship Id="rId11698" Type="http://schemas.openxmlformats.org/officeDocument/2006/relationships/hyperlink" Target="https://drive.google.com/file/d/1ODv02-Y8ymOHQs1k0gNhOdmOSKyudCSM/view?usp=drivesdk" TargetMode="External"/><Relationship Id="rId10361" Type="http://schemas.openxmlformats.org/officeDocument/2006/relationships/hyperlink" Target="https://drive.google.com/file/d/12l9nNe8VN6ji1tslEjc4ujzAdioDzAUj/view?usp=drivesdk" TargetMode="External"/><Relationship Id="rId11693" Type="http://schemas.openxmlformats.org/officeDocument/2006/relationships/hyperlink" Target="https://drive.google.com/file/d/1kSPbAC2C-lL-RPncnd9DMm_RnP-7adue/view?usp=drivesdk" TargetMode="External"/><Relationship Id="rId10362" Type="http://schemas.openxmlformats.org/officeDocument/2006/relationships/hyperlink" Target="https://drive.google.com/file/d/1NKV4MyfBtu_034b35paaFLQ-qzFhz56r/view?usp=drivesdk" TargetMode="External"/><Relationship Id="rId11692" Type="http://schemas.openxmlformats.org/officeDocument/2006/relationships/hyperlink" Target="https://drive.google.com/file/d/1AAwhmz5ZLl0w7L3tlEbUd1ktY0OUwVBT/view?usp=drivesdk" TargetMode="External"/><Relationship Id="rId11691" Type="http://schemas.openxmlformats.org/officeDocument/2006/relationships/hyperlink" Target="https://drive.google.com/file/d/1NLxuwSA8nEgH5BPHNV1hI3i5EElFRuK5/view?usp=drivesdk" TargetMode="External"/><Relationship Id="rId10360" Type="http://schemas.openxmlformats.org/officeDocument/2006/relationships/hyperlink" Target="https://drive.google.com/file/d/1XZig4h3cYQk4mMf3AZqAYj40K6gtju40/view?usp=drivesdk" TargetMode="External"/><Relationship Id="rId11690" Type="http://schemas.openxmlformats.org/officeDocument/2006/relationships/hyperlink" Target="https://drive.google.com/file/d/1G5pcSxu84Il9BqLsb_6mad30suGhZrbs/view?usp=drivesdk" TargetMode="External"/><Relationship Id="rId10365" Type="http://schemas.openxmlformats.org/officeDocument/2006/relationships/hyperlink" Target="https://drive.google.com/file/d/1Wie4pb1BLnpeGwzYz6VFIoXvGjIYLlDi/view?usp=drivesdk" TargetMode="External"/><Relationship Id="rId11697" Type="http://schemas.openxmlformats.org/officeDocument/2006/relationships/hyperlink" Target="https://drive.google.com/file/d/1oVew9i-Tw3mYD6DdJ9PZFEDsrRT760iP/view?usp=drivesdk" TargetMode="External"/><Relationship Id="rId10366" Type="http://schemas.openxmlformats.org/officeDocument/2006/relationships/hyperlink" Target="https://drive.google.com/file/d/1uP9NF9ShzfVXmHxvMuLTkJ654AzEZSBW/view?usp=drivesdk" TargetMode="External"/><Relationship Id="rId11696" Type="http://schemas.openxmlformats.org/officeDocument/2006/relationships/hyperlink" Target="https://drive.google.com/file/d/1hPPpc1U-QQRcf5kcitELwgWTH__SCXpA/view?usp=drivesdk" TargetMode="External"/><Relationship Id="rId10363" Type="http://schemas.openxmlformats.org/officeDocument/2006/relationships/hyperlink" Target="https://drive.google.com/file/d/1WibVzbdbaNNONzKgo7n6RlT-U1DUPax8/view?usp=drivesdk" TargetMode="External"/><Relationship Id="rId11695" Type="http://schemas.openxmlformats.org/officeDocument/2006/relationships/hyperlink" Target="https://drive.google.com/file/d/1YKiu4kf8EzA8tbEVjRjUQvl1tsViPal4/view?usp=drivesdk" TargetMode="External"/><Relationship Id="rId10364" Type="http://schemas.openxmlformats.org/officeDocument/2006/relationships/hyperlink" Target="https://drive.google.com/file/d/1lVbblXTrgt5FYUAXRp7wMn0DmlOnZSrD/view?usp=drivesdk" TargetMode="External"/><Relationship Id="rId11694" Type="http://schemas.openxmlformats.org/officeDocument/2006/relationships/hyperlink" Target="https://drive.google.com/file/d/16zBk0frRDGRj5oR1XJEWTISgnR4NXVJn/view?usp=drivesdk" TargetMode="External"/><Relationship Id="rId12809" Type="http://schemas.openxmlformats.org/officeDocument/2006/relationships/hyperlink" Target="https://drive.google.com/file/d/16W9ZUj5FYM5yu-tVekS1k1_ntG3cTwy7/view?usp=drivesdk" TargetMode="External"/><Relationship Id="rId12808" Type="http://schemas.openxmlformats.org/officeDocument/2006/relationships/hyperlink" Target="https://drive.google.com/file/d/158HMQOwGLhVgKyvPdp4W8KnVhi_hnrKV/view?usp=drivesdk" TargetMode="External"/><Relationship Id="rId12807" Type="http://schemas.openxmlformats.org/officeDocument/2006/relationships/hyperlink" Target="https://drive.google.com/file/d/1WOSDgCk2qFzvh6IRFSOUnD_wEUEJoof0/view?usp=drivesdk" TargetMode="External"/><Relationship Id="rId12806" Type="http://schemas.openxmlformats.org/officeDocument/2006/relationships/hyperlink" Target="https://drive.google.com/file/d/1Ep7pKc2m1N6ewWWFGPkk1vbP7PKvDZPR/view?usp=drivesdk" TargetMode="External"/><Relationship Id="rId12801" Type="http://schemas.openxmlformats.org/officeDocument/2006/relationships/hyperlink" Target="https://drive.google.com/file/d/1rIG7YTtk608LIKR7ZLv6tgg3eH5AsSs1/view?usp=drivesdk" TargetMode="External"/><Relationship Id="rId12800" Type="http://schemas.openxmlformats.org/officeDocument/2006/relationships/hyperlink" Target="https://drive.google.com/file/d/1aiQRrvPUDehGu1QHjG1BLgmncZwsLGKe/view?usp=drivesdk" TargetMode="External"/><Relationship Id="rId12805" Type="http://schemas.openxmlformats.org/officeDocument/2006/relationships/hyperlink" Target="https://drive.google.com/file/d/1gGI9RYz85qG-F73k8NmuuRUoX7cw2UFg/view?usp=drivesdk" TargetMode="External"/><Relationship Id="rId12804" Type="http://schemas.openxmlformats.org/officeDocument/2006/relationships/hyperlink" Target="https://drive.google.com/file/d/1AqDZf7eYUWAAhKggagspmxOH36cydZdq/view?usp=drivesdk" TargetMode="External"/><Relationship Id="rId12803" Type="http://schemas.openxmlformats.org/officeDocument/2006/relationships/hyperlink" Target="https://drive.google.com/file/d/1k99jkVimOdSujBGANtiCRu3AYMqI5Wr7/view?usp=drivesdk" TargetMode="External"/><Relationship Id="rId12802" Type="http://schemas.openxmlformats.org/officeDocument/2006/relationships/hyperlink" Target="https://drive.google.com/file/d/1Jq7S2fMTqupSY1pg_EBHr6UYwUqSKwa-/view?usp=drivesdk" TargetMode="External"/><Relationship Id="rId11509" Type="http://schemas.openxmlformats.org/officeDocument/2006/relationships/hyperlink" Target="https://drive.google.com/file/d/1y_PB8trH7-2Up8OdzBptHr5kAbi3e8S-/view?usp=drivesdk" TargetMode="External"/><Relationship Id="rId11508" Type="http://schemas.openxmlformats.org/officeDocument/2006/relationships/hyperlink" Target="https://drive.google.com/file/d/1hrvlJPN58btFp0Vp-fdqmjNKsW_AeLIr/view?usp=drivesdk" TargetMode="External"/><Relationship Id="rId12839" Type="http://schemas.openxmlformats.org/officeDocument/2006/relationships/hyperlink" Target="https://drive.google.com/file/d/1VdO52XsUvx2Ii6ofnVaQAiEIxONMrKPV/view?usp=drivesdk" TargetMode="External"/><Relationship Id="rId11503" Type="http://schemas.openxmlformats.org/officeDocument/2006/relationships/hyperlink" Target="https://drive.google.com/file/d/1Pr8ut4ACKNlEIa4iNGh21T6nPmGpi4y6/view?usp=drivesdk" TargetMode="External"/><Relationship Id="rId12834" Type="http://schemas.openxmlformats.org/officeDocument/2006/relationships/hyperlink" Target="https://drive.google.com/file/d/1CVqVp_AVSyVkJxLdS_K1Brl_uqfpAEu1/view?usp=drivesdk" TargetMode="External"/><Relationship Id="rId11502" Type="http://schemas.openxmlformats.org/officeDocument/2006/relationships/hyperlink" Target="https://drive.google.com/file/d/12pBmnXyyrNy3jx9V716A6q5SS8oVNzXp/view?usp=drivesdk" TargetMode="External"/><Relationship Id="rId12833" Type="http://schemas.openxmlformats.org/officeDocument/2006/relationships/hyperlink" Target="https://drive.google.com/file/d/1rOaboaoIwYFTICfZmMvvFw06vhQOy6J8/view?usp=drivesdk" TargetMode="External"/><Relationship Id="rId11501" Type="http://schemas.openxmlformats.org/officeDocument/2006/relationships/hyperlink" Target="https://drive.google.com/file/d/1T1juoftFKMuh0tJ04BWbd3yj1NLA-_t0/view?usp=drivesdk" TargetMode="External"/><Relationship Id="rId12832" Type="http://schemas.openxmlformats.org/officeDocument/2006/relationships/hyperlink" Target="https://drive.google.com/file/d/1H7WBJXPKqwysg9XVd-6utHvwbHQGh9oq/view?usp=drivesdk" TargetMode="External"/><Relationship Id="rId11500" Type="http://schemas.openxmlformats.org/officeDocument/2006/relationships/hyperlink" Target="https://drive.google.com/file/d/1oDYiuq3BPFv4gyfLVf93eJljB6FiOHZt/view?usp=drivesdk" TargetMode="External"/><Relationship Id="rId12831" Type="http://schemas.openxmlformats.org/officeDocument/2006/relationships/hyperlink" Target="https://drive.google.com/file/d/1CD6DEErRJP1E6JvxVbvtvjIfiXZzeoYu/view?usp=drivesdk" TargetMode="External"/><Relationship Id="rId11507" Type="http://schemas.openxmlformats.org/officeDocument/2006/relationships/hyperlink" Target="https://drive.google.com/file/d/1EclLeSDoBofDkI_rZ6TRTUSfbi6pBg4Q/view?usp=drivesdk" TargetMode="External"/><Relationship Id="rId12838" Type="http://schemas.openxmlformats.org/officeDocument/2006/relationships/hyperlink" Target="http://sulastutik.sh" TargetMode="External"/><Relationship Id="rId11506" Type="http://schemas.openxmlformats.org/officeDocument/2006/relationships/hyperlink" Target="https://drive.google.com/file/d/11ZDtMIX7tDlSerhFOCe9khWlmHdFBPkZ/view?usp=drivesdk" TargetMode="External"/><Relationship Id="rId12837" Type="http://schemas.openxmlformats.org/officeDocument/2006/relationships/hyperlink" Target="https://drive.google.com/file/d/1FEhbr3CHIVYSkIwt1EpQ-p1pZSDpufJZ/view?usp=drivesdk" TargetMode="External"/><Relationship Id="rId11505" Type="http://schemas.openxmlformats.org/officeDocument/2006/relationships/hyperlink" Target="https://drive.google.com/file/d/1cCHJ_PVBN32hozdFBMArM2QTe0Dw7NlC/view?usp=drivesdk" TargetMode="External"/><Relationship Id="rId12836" Type="http://schemas.openxmlformats.org/officeDocument/2006/relationships/hyperlink" Target="https://drive.google.com/file/d/1jKhkER2hgmNDBULhSvihUt8BfFKoKDQA/view?usp=drivesdk" TargetMode="External"/><Relationship Id="rId11504" Type="http://schemas.openxmlformats.org/officeDocument/2006/relationships/hyperlink" Target="https://drive.google.com/file/d/14RpgizISuVkmCXeSVOoOyuHz2WI8UTT8/view?usp=drivesdk" TargetMode="External"/><Relationship Id="rId12835" Type="http://schemas.openxmlformats.org/officeDocument/2006/relationships/hyperlink" Target="https://drive.google.com/file/d/1ctZmBidz1L1FBapuKZndLiQq-c2H3vUL/view?usp=drivesdk" TargetMode="External"/><Relationship Id="rId12830" Type="http://schemas.openxmlformats.org/officeDocument/2006/relationships/hyperlink" Target="https://drive.google.com/file/d/1RmRw-a2PpCwIA9mf_Er2vJz8N9YDktJo/view?usp=drivesdk" TargetMode="External"/><Relationship Id="rId11519" Type="http://schemas.openxmlformats.org/officeDocument/2006/relationships/hyperlink" Target="https://drive.google.com/file/d/1kqbzb8TdK-6TNZPASy8QbgrlmLoT-1mw/view?usp=drivesdk" TargetMode="External"/><Relationship Id="rId11514" Type="http://schemas.openxmlformats.org/officeDocument/2006/relationships/hyperlink" Target="https://drive.google.com/file/d/193jGZKmAMk7VHHn0bBE8PRhaajEu2qpH/view?usp=drivesdk" TargetMode="External"/><Relationship Id="rId12845" Type="http://schemas.openxmlformats.org/officeDocument/2006/relationships/hyperlink" Target="https://drive.google.com/file/d/1ZAoTEyqapyU-lLEwRbWLCWS4M1H6wvhA/view?usp=drivesdk" TargetMode="External"/><Relationship Id="rId11513" Type="http://schemas.openxmlformats.org/officeDocument/2006/relationships/hyperlink" Target="https://drive.google.com/file/d/1lfNniE6lI6JPEiqvPF_kt9rYO7fu-EnK/view?usp=drivesdk" TargetMode="External"/><Relationship Id="rId12844" Type="http://schemas.openxmlformats.org/officeDocument/2006/relationships/hyperlink" Target="https://drive.google.com/file/d/1_AbXPv3-CeCp_4Qd1WUWmAqz0kAx8IJ2/view?usp=drivesdk" TargetMode="External"/><Relationship Id="rId11512" Type="http://schemas.openxmlformats.org/officeDocument/2006/relationships/hyperlink" Target="https://drive.google.com/file/d/1eQY3IVzl7QyMbpgEymbmeEspP33J_f_Q/view?usp=drivesdk" TargetMode="External"/><Relationship Id="rId12843" Type="http://schemas.openxmlformats.org/officeDocument/2006/relationships/hyperlink" Target="https://drive.google.com/file/d/1G-4UoLinjB9X48_haBMVTsaaHhJV-14T/view?usp=drivesdk" TargetMode="External"/><Relationship Id="rId11511" Type="http://schemas.openxmlformats.org/officeDocument/2006/relationships/hyperlink" Target="https://drive.google.com/file/d/122mjHLHRn4Ok-7Lm06PYNRIXM6DBia9R/view?usp=drivesdk" TargetMode="External"/><Relationship Id="rId12842" Type="http://schemas.openxmlformats.org/officeDocument/2006/relationships/hyperlink" Target="https://drive.google.com/file/d/1Dk-YpP4XS_GrwBgDEiBWV97WQqyt2wcP/view?usp=drivesdk" TargetMode="External"/><Relationship Id="rId11518" Type="http://schemas.openxmlformats.org/officeDocument/2006/relationships/hyperlink" Target="https://drive.google.com/file/d/1g3tDk1bQpyhPNK1KDJF-kxWgM9KzpSRY/view?usp=drivesdk" TargetMode="External"/><Relationship Id="rId12849" Type="http://schemas.openxmlformats.org/officeDocument/2006/relationships/hyperlink" Target="https://drive.google.com/file/d/15Apf8FM_QFrkYLA9hkv4UvneISsje4Lf/view?usp=drivesdk" TargetMode="External"/><Relationship Id="rId11517" Type="http://schemas.openxmlformats.org/officeDocument/2006/relationships/hyperlink" Target="https://drive.google.com/file/d/1xthwScy-6HL1P43zOy7tWVSOlDXWmFC5/view?usp=drivesdk" TargetMode="External"/><Relationship Id="rId12848" Type="http://schemas.openxmlformats.org/officeDocument/2006/relationships/hyperlink" Target="https://drive.google.com/file/d/1aXV4a8-w4vdgGT5BEQ-pKMlpbU43oqD4/view?usp=drivesdk" TargetMode="External"/><Relationship Id="rId11516" Type="http://schemas.openxmlformats.org/officeDocument/2006/relationships/hyperlink" Target="https://drive.google.com/file/d/1Ck0vMstWkWVG44i3IZarcn5DMZ8TaN5g/view?usp=drivesdk" TargetMode="External"/><Relationship Id="rId12847" Type="http://schemas.openxmlformats.org/officeDocument/2006/relationships/hyperlink" Target="https://drive.google.com/file/d/1nCn7sJoowjHUSisY7x0-ZvqXBWgmZc1m/view?usp=drivesdk" TargetMode="External"/><Relationship Id="rId11515" Type="http://schemas.openxmlformats.org/officeDocument/2006/relationships/hyperlink" Target="https://drive.google.com/file/d/1U7h4Dwu8lBN5b1k5R9CrlzZSoHwOtlSL/view?usp=drivesdk" TargetMode="External"/><Relationship Id="rId12846" Type="http://schemas.openxmlformats.org/officeDocument/2006/relationships/hyperlink" Target="https://drive.google.com/file/d/1lksuISqqyKzGO6I1xyaUgB_r6_gnEmek/view?usp=drivesdk" TargetMode="External"/><Relationship Id="rId11510" Type="http://schemas.openxmlformats.org/officeDocument/2006/relationships/hyperlink" Target="https://drive.google.com/file/d/1GTD2U0YrIjp7lB8k6IZV4NRjyH77SslU/view?usp=drivesdk" TargetMode="External"/><Relationship Id="rId12841" Type="http://schemas.openxmlformats.org/officeDocument/2006/relationships/hyperlink" Target="https://drive.google.com/file/d/15wPPFgGV3Qv2mO8_K_j9ZRYdwkH5Omll/view?usp=drivesdk" TargetMode="External"/><Relationship Id="rId12840" Type="http://schemas.openxmlformats.org/officeDocument/2006/relationships/hyperlink" Target="https://drive.google.com/file/d/1KB37CO8HBemjGZuwFkSVNC2LQXmC1_DE/view?usp=drivesdk" TargetMode="External"/><Relationship Id="rId12819" Type="http://schemas.openxmlformats.org/officeDocument/2006/relationships/hyperlink" Target="https://drive.google.com/file/d/1lKdS8ufO81j4dNTBoNiFN4Mma_IO__P7/view?usp=drivesdk" TargetMode="External"/><Relationship Id="rId12818" Type="http://schemas.openxmlformats.org/officeDocument/2006/relationships/hyperlink" Target="https://drive.google.com/file/d/1dh3Zeix4KGnFQZKnZzS6DV7at960610Y/view?usp=drivesdk" TargetMode="External"/><Relationship Id="rId12817" Type="http://schemas.openxmlformats.org/officeDocument/2006/relationships/hyperlink" Target="https://drive.google.com/file/d/1tHcxJuIzs3Uqwmpgaj-_92qJ4u4ZrmKm/view?usp=drivesdk" TargetMode="External"/><Relationship Id="rId12812" Type="http://schemas.openxmlformats.org/officeDocument/2006/relationships/hyperlink" Target="https://drive.google.com/file/d/1dvCL2URw8k7-70tJSlCiSgEQyZK5rRjo/view?usp=drivesdk" TargetMode="External"/><Relationship Id="rId12811" Type="http://schemas.openxmlformats.org/officeDocument/2006/relationships/hyperlink" Target="https://drive.google.com/file/d/1m63dkUVm1UfMyUCVcb0zZKa1ul65-HvU/view?usp=drivesdk" TargetMode="External"/><Relationship Id="rId12810" Type="http://schemas.openxmlformats.org/officeDocument/2006/relationships/hyperlink" Target="https://drive.google.com/file/d/1imlRX8z-rzhum68Q6as4ZxqEhE9v_sIZ/view?usp=drivesdk" TargetMode="External"/><Relationship Id="rId12816" Type="http://schemas.openxmlformats.org/officeDocument/2006/relationships/hyperlink" Target="https://drive.google.com/file/d/1fmojyKLKhMZ4ptGy_LfPZEx2LpDyvMns/view?usp=drivesdk" TargetMode="External"/><Relationship Id="rId12815" Type="http://schemas.openxmlformats.org/officeDocument/2006/relationships/hyperlink" Target="https://drive.google.com/file/d/1tkTY9ABjznhp6Fg7uGHyQYVClogL-s01/view?usp=drivesdk" TargetMode="External"/><Relationship Id="rId12814" Type="http://schemas.openxmlformats.org/officeDocument/2006/relationships/hyperlink" Target="https://drive.google.com/file/d/18FwMShaiNbjU3tGqvvQ0SKRiS2FAOecZ/view?usp=drivesdk" TargetMode="External"/><Relationship Id="rId12813" Type="http://schemas.openxmlformats.org/officeDocument/2006/relationships/hyperlink" Target="https://drive.google.com/file/d/1gG8aBu0xsrlTyZ8gMkUqhCKFzeH9rpEm/view?usp=drivesdk" TargetMode="External"/><Relationship Id="rId12829" Type="http://schemas.openxmlformats.org/officeDocument/2006/relationships/hyperlink" Target="https://drive.google.com/file/d/1EssF8syqMPwy2oBr0aAHKCO143Mwbynt/view?usp=drivesdk" TargetMode="External"/><Relationship Id="rId12828" Type="http://schemas.openxmlformats.org/officeDocument/2006/relationships/hyperlink" Target="https://drive.google.com/file/d/1PMR74LzqanVcbZHkalaqqdAE5whh81UX/view?usp=drivesdk" TargetMode="External"/><Relationship Id="rId12823" Type="http://schemas.openxmlformats.org/officeDocument/2006/relationships/hyperlink" Target="https://drive.google.com/file/d/1bSPLUmnWCc7YrIwNRoTMJ7MqxQChrUqQ/view?usp=drivesdk" TargetMode="External"/><Relationship Id="rId12822" Type="http://schemas.openxmlformats.org/officeDocument/2006/relationships/hyperlink" Target="https://drive.google.com/file/d/11VgLgsgiWIBKKUCycsDtQU94laVOW9uf/view?usp=drivesdk" TargetMode="External"/><Relationship Id="rId12821" Type="http://schemas.openxmlformats.org/officeDocument/2006/relationships/hyperlink" Target="https://drive.google.com/file/d/1f1W8hjzPIAAWOrUq1z2e1tBOthWh66tt/view?usp=drivesdk" TargetMode="External"/><Relationship Id="rId12820" Type="http://schemas.openxmlformats.org/officeDocument/2006/relationships/hyperlink" Target="https://drive.google.com/file/d/1QR7Nf5VrePes2H1Eu8wC7fao2vUYBmKL/view?usp=drivesdk" TargetMode="External"/><Relationship Id="rId12827" Type="http://schemas.openxmlformats.org/officeDocument/2006/relationships/hyperlink" Target="https://drive.google.com/file/d/1le8rysiPMGHg1824V1CMtP2qT-28PP0M/view?usp=drivesdk" TargetMode="External"/><Relationship Id="rId12826" Type="http://schemas.openxmlformats.org/officeDocument/2006/relationships/hyperlink" Target="https://drive.google.com/file/d/1yId1JWWuj2eSOfp_SEByXqPaJjtNt1Ff/view?usp=drivesdk" TargetMode="External"/><Relationship Id="rId12825" Type="http://schemas.openxmlformats.org/officeDocument/2006/relationships/hyperlink" Target="https://drive.google.com/file/d/1-rFRD1Y844iHK-BDaRysmOxD7CtCMm0e/view?usp=drivesdk" TargetMode="External"/><Relationship Id="rId12824" Type="http://schemas.openxmlformats.org/officeDocument/2006/relationships/hyperlink" Target="https://drive.google.com/file/d/1jqbsZjY70gLPuDIe6igLtKEfRJrNHRHy/view?usp=drivesdk" TargetMode="External"/><Relationship Id="rId9330" Type="http://schemas.openxmlformats.org/officeDocument/2006/relationships/hyperlink" Target="https://drive.google.com/file/d/13Ib7ppkEvw34DPFynwoNoYxUUeyVoBfr/view?usp=drivesdk" TargetMode="External"/><Relationship Id="rId9331" Type="http://schemas.openxmlformats.org/officeDocument/2006/relationships/hyperlink" Target="https://drive.google.com/file/d/1_ZzKS0IgE1ETOyxsu1k4asclOAjOLBhg/view?usp=drivesdk" TargetMode="External"/><Relationship Id="rId9332" Type="http://schemas.openxmlformats.org/officeDocument/2006/relationships/hyperlink" Target="https://drive.google.com/file/d/1l0MfcCLqRrIuJ7u2mMHCqSuJRLGjVzNm/view?usp=drivesdk" TargetMode="External"/><Relationship Id="rId9333" Type="http://schemas.openxmlformats.org/officeDocument/2006/relationships/hyperlink" Target="https://drive.google.com/file/d/1MTr5b9AtSOW8zPOc8F-z_MR9jFqZPOui/view?usp=drivesdk" TargetMode="External"/><Relationship Id="rId8002" Type="http://schemas.openxmlformats.org/officeDocument/2006/relationships/hyperlink" Target="https://drive.google.com/file/d/1-viwKPPxIQDA3-43dR4PhxBTdi7177dj/view?usp=drivesdk" TargetMode="External"/><Relationship Id="rId8001" Type="http://schemas.openxmlformats.org/officeDocument/2006/relationships/hyperlink" Target="https://drive.google.com/file/d/1uOh1dOCyQNFiKY_eMRxTVI_0VOSUGZTN/view?usp=drivesdk" TargetMode="External"/><Relationship Id="rId8000" Type="http://schemas.openxmlformats.org/officeDocument/2006/relationships/hyperlink" Target="https://drive.google.com/file/d/17j7rXU7-598edmzUTZeozy5FhQivevAL/view?usp=drivesdk" TargetMode="External"/><Relationship Id="rId8006" Type="http://schemas.openxmlformats.org/officeDocument/2006/relationships/hyperlink" Target="https://drive.google.com/file/d/19vt9lNKAEgIHiEvwK_1yg2KVMR7tLwZ9/view?usp=drivesdk" TargetMode="External"/><Relationship Id="rId9338" Type="http://schemas.openxmlformats.org/officeDocument/2006/relationships/hyperlink" Target="https://drive.google.com/file/d/1Fwr8N2kNsGdLTu7Afty9EwBbdwctzXFn/view?usp=drivesdk" TargetMode="External"/><Relationship Id="rId8005" Type="http://schemas.openxmlformats.org/officeDocument/2006/relationships/hyperlink" Target="https://drive.google.com/file/d/1Cwfbg1NYptmf9dfduD7P8TMev4_dBevr/view?usp=drivesdk" TargetMode="External"/><Relationship Id="rId9339" Type="http://schemas.openxmlformats.org/officeDocument/2006/relationships/hyperlink" Target="https://drive.google.com/file/d/1Tp0ETOeKNhR_r9Pne8v4T7xpjWHPAjwf/view?usp=drivesdk" TargetMode="External"/><Relationship Id="rId8004" Type="http://schemas.openxmlformats.org/officeDocument/2006/relationships/hyperlink" Target="https://drive.google.com/file/d/1IXg1CmhvLyWtKDXo6PEeZY9Sa6ly4upV/view?usp=drivesdk" TargetMode="External"/><Relationship Id="rId8003" Type="http://schemas.openxmlformats.org/officeDocument/2006/relationships/hyperlink" Target="https://drive.google.com/file/d/1ux2yvRKWY8I-ATp4HMlV_LSCEHfordE1/view?usp=drivesdk" TargetMode="External"/><Relationship Id="rId9334" Type="http://schemas.openxmlformats.org/officeDocument/2006/relationships/hyperlink" Target="https://drive.google.com/file/d/1MD_2TdtqwRu6jdmuPy38dl4qW6yJ8i-m/view?usp=drivesdk" TargetMode="External"/><Relationship Id="rId8009" Type="http://schemas.openxmlformats.org/officeDocument/2006/relationships/hyperlink" Target="https://drive.google.com/file/d/1SGCrsZSpXJ8AqR5lSVEKxFuLPXl_9TXt/view?usp=drivesdk" TargetMode="External"/><Relationship Id="rId9335" Type="http://schemas.openxmlformats.org/officeDocument/2006/relationships/hyperlink" Target="https://drive.google.com/file/d/1G-pADcUpp2lM29B5pIdQOZsPC1rVwIbi/view?usp=drivesdk" TargetMode="External"/><Relationship Id="rId8008" Type="http://schemas.openxmlformats.org/officeDocument/2006/relationships/hyperlink" Target="https://drive.google.com/file/d/1Goo_4HFsZ-mLsQSOTcrjNu7zncQhKo0K/view?usp=drivesdk" TargetMode="External"/><Relationship Id="rId9336" Type="http://schemas.openxmlformats.org/officeDocument/2006/relationships/hyperlink" Target="https://drive.google.com/file/d/1k4vN2xuYL1Em22VYyU9qAdDj7XmczgBn/view?usp=drivesdk" TargetMode="External"/><Relationship Id="rId8007" Type="http://schemas.openxmlformats.org/officeDocument/2006/relationships/hyperlink" Target="https://drive.google.com/file/d/1A21yKJ9tkLl21uA9S9I16byvHOkxzCaq/view?usp=drivesdk" TargetMode="External"/><Relationship Id="rId9337" Type="http://schemas.openxmlformats.org/officeDocument/2006/relationships/hyperlink" Target="https://drive.google.com/file/d/1Y1isgSYkS2bQ0U7llvLyu3ftJcutQGxk/view?usp=drivesdk" TargetMode="External"/><Relationship Id="rId9320" Type="http://schemas.openxmlformats.org/officeDocument/2006/relationships/hyperlink" Target="https://drive.google.com/file/d/1BCk-CWyuS-QO157Rz-K7XzemDBHsMgqx/view?usp=drivesdk" TargetMode="External"/><Relationship Id="rId9321" Type="http://schemas.openxmlformats.org/officeDocument/2006/relationships/hyperlink" Target="https://drive.google.com/file/d/1q_qu54TmLeT-7fJEikDgVxyt_ryMXDQD/view?usp=drivesdk" TargetMode="External"/><Relationship Id="rId9322" Type="http://schemas.openxmlformats.org/officeDocument/2006/relationships/hyperlink" Target="https://drive.google.com/file/d/1ZQDgb_rjljKbghFRhpHv2S7rJRd1yC0Q/view?usp=drivesdk" TargetMode="External"/><Relationship Id="rId9327" Type="http://schemas.openxmlformats.org/officeDocument/2006/relationships/hyperlink" Target="https://drive.google.com/file/d/1LqMToYeFPL7ZVyKiOwEyJ_Q3Mw7HHPxw/view?usp=drivesdk" TargetMode="External"/><Relationship Id="rId9328" Type="http://schemas.openxmlformats.org/officeDocument/2006/relationships/hyperlink" Target="https://drive.google.com/file/d/1dWpIrcTXKa3BW8lUTIy8njGFmvtUskl6/view?usp=drivesdk" TargetMode="External"/><Relationship Id="rId9329" Type="http://schemas.openxmlformats.org/officeDocument/2006/relationships/hyperlink" Target="https://drive.google.com/file/d/124urw0MrVOd98rNnVu5pRKZUuKwMbTir/view?usp=drivesdk" TargetMode="External"/><Relationship Id="rId9323" Type="http://schemas.openxmlformats.org/officeDocument/2006/relationships/hyperlink" Target="https://drive.google.com/file/d/142mlkvbbkSsTmcQoCwbkcW7qFN1TAbSF/view?usp=drivesdk" TargetMode="External"/><Relationship Id="rId9324" Type="http://schemas.openxmlformats.org/officeDocument/2006/relationships/hyperlink" Target="https://drive.google.com/file/d/11vq2299CFe9_xXxUJg6gWnDtX4Xjl5_X/view?usp=drivesdk" TargetMode="External"/><Relationship Id="rId9325" Type="http://schemas.openxmlformats.org/officeDocument/2006/relationships/hyperlink" Target="https://drive.google.com/file/d/19au3yDWtYRE9H36-vgxQd7lDT7ruLFfI/view?usp=drivesdk" TargetMode="External"/><Relationship Id="rId9326" Type="http://schemas.openxmlformats.org/officeDocument/2006/relationships/hyperlink" Target="https://drive.google.com/file/d/1xEXRXalxaGe0dnIYgDFnwFJGfR0NJSwu/view?usp=drivesdk" TargetMode="External"/><Relationship Id="rId8020" Type="http://schemas.openxmlformats.org/officeDocument/2006/relationships/hyperlink" Target="https://drive.google.com/file/d/1Ti_-poYj4JE0Mhdj1VnPpkbRcWxjCKXy/view?usp=drivesdk" TargetMode="External"/><Relationship Id="rId9352" Type="http://schemas.openxmlformats.org/officeDocument/2006/relationships/hyperlink" Target="https://drive.google.com/file/d/1K-N9YM4A8QjtcJ8Vl54_h74-Ze9lSYBh/view?usp=drivesdk" TargetMode="External"/><Relationship Id="rId9353" Type="http://schemas.openxmlformats.org/officeDocument/2006/relationships/hyperlink" Target="https://drive.google.com/file/d/1kdXQGBfNNYp26gL-nOMgYdN8ICmWATvA/view?usp=drivesdk" TargetMode="External"/><Relationship Id="rId9354" Type="http://schemas.openxmlformats.org/officeDocument/2006/relationships/hyperlink" Target="https://drive.google.com/file/d/1zzCeHfTqCeQnuxNAMSZ6OZmrc6T9bpgr/view?usp=drivesdk" TargetMode="External"/><Relationship Id="rId9355" Type="http://schemas.openxmlformats.org/officeDocument/2006/relationships/hyperlink" Target="https://drive.google.com/file/d/1-zcgk5vNtif6MoT72-6uhfacAaHTyEH0/view?usp=drivesdk" TargetMode="External"/><Relationship Id="rId8024" Type="http://schemas.openxmlformats.org/officeDocument/2006/relationships/hyperlink" Target="https://drive.google.com/file/d/1H6U__j93H_PnKQy2hCb6xRrfJ2CxNJtG/view?usp=drivesdk" TargetMode="External"/><Relationship Id="rId8023" Type="http://schemas.openxmlformats.org/officeDocument/2006/relationships/hyperlink" Target="https://drive.google.com/file/d/1lS1tBxgnjn2n72C3p2znLyRXUbMHFo3Y/view?usp=drivesdk" TargetMode="External"/><Relationship Id="rId8022" Type="http://schemas.openxmlformats.org/officeDocument/2006/relationships/hyperlink" Target="https://drive.google.com/file/d/1U-pkepmUBIxpAV2bAevZEi-3QZPpeEP8/view?usp=drivesdk" TargetMode="External"/><Relationship Id="rId9350" Type="http://schemas.openxmlformats.org/officeDocument/2006/relationships/hyperlink" Target="https://drive.google.com/file/d/1Wds9W5OaH_NXxCNz17ldK1jLbtvNqxKG/view?usp=drivesdk" TargetMode="External"/><Relationship Id="rId8021" Type="http://schemas.openxmlformats.org/officeDocument/2006/relationships/hyperlink" Target="https://drive.google.com/file/d/1MsYwViWbtES7hkr6yvy0zvy9u8oCGx_q/view?usp=drivesdk" TargetMode="External"/><Relationship Id="rId9351" Type="http://schemas.openxmlformats.org/officeDocument/2006/relationships/hyperlink" Target="https://drive.google.com/file/d/1j6-40KsHq6wk-J1y-Wyxj9H8Ngb1y3In/view?usp=drivesdk" TargetMode="External"/><Relationship Id="rId8028" Type="http://schemas.openxmlformats.org/officeDocument/2006/relationships/hyperlink" Target="https://drive.google.com/file/d/1POdDq4O4gZ5WR4k-muZdR5xSOrIXyBAe/view?usp=drivesdk" TargetMode="External"/><Relationship Id="rId8027" Type="http://schemas.openxmlformats.org/officeDocument/2006/relationships/hyperlink" Target="https://drive.google.com/file/d/1hHBb8Udeopxld_15fn0vmqa6A_8hFowx/view?usp=drivesdk" TargetMode="External"/><Relationship Id="rId8026" Type="http://schemas.openxmlformats.org/officeDocument/2006/relationships/hyperlink" Target="https://drive.google.com/file/d/1Gjeeje5XF51HptaiNSq5K2dmwcglYdVd/view?usp=drivesdk" TargetMode="External"/><Relationship Id="rId8025" Type="http://schemas.openxmlformats.org/officeDocument/2006/relationships/hyperlink" Target="https://drive.google.com/file/d/1AKZtcGDGY_3oJrGzWGvazWbluxTiI0AW/view?usp=drivesdk" TargetMode="External"/><Relationship Id="rId9356" Type="http://schemas.openxmlformats.org/officeDocument/2006/relationships/hyperlink" Target="https://drive.google.com/file/d/1YAKQbsNfmnDKegkNOVqgaEUkA9TCrofB/view?usp=drivesdk" TargetMode="External"/><Relationship Id="rId9357" Type="http://schemas.openxmlformats.org/officeDocument/2006/relationships/hyperlink" Target="https://drive.google.com/file/d/1smjO5Whu16uY3_la9eVFJpKMobSNNwpk/view?usp=drivesdk" TargetMode="External"/><Relationship Id="rId9358" Type="http://schemas.openxmlformats.org/officeDocument/2006/relationships/hyperlink" Target="https://drive.google.com/file/d/191q9wi2mLxRJdg59d07lord80BdWM3bJ/view?usp=drivesdk" TargetMode="External"/><Relationship Id="rId8029" Type="http://schemas.openxmlformats.org/officeDocument/2006/relationships/hyperlink" Target="https://drive.google.com/file/d/1BnjXCJzAonE_Kb8VBrSpALHd7MzNCOWh/view?usp=drivesdk" TargetMode="External"/><Relationship Id="rId9359" Type="http://schemas.openxmlformats.org/officeDocument/2006/relationships/hyperlink" Target="https://drive.google.com/file/d/1G0y-0twB97N63QOZ0k76FpFr-5w6C8m0/view?usp=drivesdk" TargetMode="External"/><Relationship Id="rId9341" Type="http://schemas.openxmlformats.org/officeDocument/2006/relationships/hyperlink" Target="https://drive.google.com/file/d/14iXdmEPru1cGq_m-nPf3jYWMkkgmarC9/view?usp=drivesdk" TargetMode="External"/><Relationship Id="rId9342" Type="http://schemas.openxmlformats.org/officeDocument/2006/relationships/hyperlink" Target="https://drive.google.com/file/d/1QxJZcPcZNk9C0iPIfZUX6PXqKtmDZQoW/view?usp=drivesdk" TargetMode="External"/><Relationship Id="rId9343" Type="http://schemas.openxmlformats.org/officeDocument/2006/relationships/hyperlink" Target="https://drive.google.com/file/d/1cdg5q17B5g1_D5qxaCqk6JLuF65C1V7d/view?usp=drivesdk" TargetMode="External"/><Relationship Id="rId9344" Type="http://schemas.openxmlformats.org/officeDocument/2006/relationships/hyperlink" Target="https://drive.google.com/file/d/1gZgjq_1H48zcew4kN0nr9r4isdQfJQZC/view?usp=drivesdk" TargetMode="External"/><Relationship Id="rId8013" Type="http://schemas.openxmlformats.org/officeDocument/2006/relationships/hyperlink" Target="https://drive.google.com/file/d/14vpud6aaUM4JjjC7kwEufCzwSw7MVU1N/view?usp=drivesdk" TargetMode="External"/><Relationship Id="rId8012" Type="http://schemas.openxmlformats.org/officeDocument/2006/relationships/hyperlink" Target="https://drive.google.com/file/d/1Q39hyj3B9AUW-dVbcnfWjlBczAicJV5m/view?usp=drivesdk" TargetMode="External"/><Relationship Id="rId8011" Type="http://schemas.openxmlformats.org/officeDocument/2006/relationships/hyperlink" Target="https://drive.google.com/file/d/1R0PlS4wI5-DkUjFOejEAxq1YXKAdb_U4/view?usp=drivesdk" TargetMode="External"/><Relationship Id="rId8010" Type="http://schemas.openxmlformats.org/officeDocument/2006/relationships/hyperlink" Target="https://drive.google.com/file/d/1brf40ucByIqmHlwCpxxQZVHhSstGHb0V/view?usp=drivesdk" TargetMode="External"/><Relationship Id="rId9340" Type="http://schemas.openxmlformats.org/officeDocument/2006/relationships/hyperlink" Target="https://drive.google.com/file/d/1bJ9eE5H6tOUZ9sgG0ER_qwhaUQhpapnZ/view?usp=drivesdk" TargetMode="External"/><Relationship Id="rId8017" Type="http://schemas.openxmlformats.org/officeDocument/2006/relationships/hyperlink" Target="https://drive.google.com/file/d/11APU70uRJ4VA8jCQlsQJXy15S-wEi5N0/view?usp=drivesdk" TargetMode="External"/><Relationship Id="rId9349" Type="http://schemas.openxmlformats.org/officeDocument/2006/relationships/hyperlink" Target="https://drive.google.com/file/d/1lgbpP6bhG8GJvto0V7nblaPLmN4e42fi/view?usp=drivesdk" TargetMode="External"/><Relationship Id="rId8016" Type="http://schemas.openxmlformats.org/officeDocument/2006/relationships/hyperlink" Target="https://drive.google.com/file/d/1PEyKv9i_XWxiTP4GH-r0R6zZp33Inysb/view?usp=drivesdk" TargetMode="External"/><Relationship Id="rId8015" Type="http://schemas.openxmlformats.org/officeDocument/2006/relationships/hyperlink" Target="https://drive.google.com/file/d/1qNtLRUAq245BGgD7ZZJkJWc1SW5r3BU9/view?usp=drivesdk" TargetMode="External"/><Relationship Id="rId8014" Type="http://schemas.openxmlformats.org/officeDocument/2006/relationships/hyperlink" Target="https://drive.google.com/file/d/11eqUr9VEg3ZTvIIB6cWjJJ7qEpIS9swr/view?usp=drivesdk" TargetMode="External"/><Relationship Id="rId9345" Type="http://schemas.openxmlformats.org/officeDocument/2006/relationships/hyperlink" Target="https://drive.google.com/file/d/1Pu1HLnNEYNKHuLAoIUp-8WOoku6L5tO_/view?usp=drivesdk" TargetMode="External"/><Relationship Id="rId9346" Type="http://schemas.openxmlformats.org/officeDocument/2006/relationships/hyperlink" Target="https://drive.google.com/file/d/1x1IKByCakZHOet2PbasHSdaOV2HD-x6t/view?usp=drivesdk" TargetMode="External"/><Relationship Id="rId8019" Type="http://schemas.openxmlformats.org/officeDocument/2006/relationships/hyperlink" Target="https://drive.google.com/file/d/1pM7U1vuFxxPerEtsWnJC4Nu--ryIjHIN/view?usp=drivesdk" TargetMode="External"/><Relationship Id="rId9347" Type="http://schemas.openxmlformats.org/officeDocument/2006/relationships/hyperlink" Target="https://drive.google.com/file/d/1O4IzYpigbld43Tr6S1pfLVWbHLotQadF/view?usp=drivesdk" TargetMode="External"/><Relationship Id="rId8018" Type="http://schemas.openxmlformats.org/officeDocument/2006/relationships/hyperlink" Target="https://drive.google.com/file/d/1cXAFItQRYfwc1e1IYlof0WkIi0f-MJKb/view?usp=drivesdk" TargetMode="External"/><Relationship Id="rId9348" Type="http://schemas.openxmlformats.org/officeDocument/2006/relationships/hyperlink" Target="https://drive.google.com/file/d/1BpdFXwZSC_j0cCEbI1W979sFipvzLcv2/view?usp=drivesdk" TargetMode="External"/><Relationship Id="rId9310" Type="http://schemas.openxmlformats.org/officeDocument/2006/relationships/hyperlink" Target="https://drive.google.com/file/d/1QiTvdOVLrxlupP2lsO7X7lLRDHkATCnX/view?usp=drivesdk" TargetMode="External"/><Relationship Id="rId9311" Type="http://schemas.openxmlformats.org/officeDocument/2006/relationships/hyperlink" Target="https://drive.google.com/file/d/1YeCMp3CphW-K1gocEisjOLMoYWo8v02v/view?usp=drivesdk" TargetMode="External"/><Relationship Id="rId9316" Type="http://schemas.openxmlformats.org/officeDocument/2006/relationships/hyperlink" Target="https://drive.google.com/file/d/1HMt7mSJTopS-ymY0sNWbd2VkyOp-f83Q/view?usp=drivesdk" TargetMode="External"/><Relationship Id="rId9317" Type="http://schemas.openxmlformats.org/officeDocument/2006/relationships/hyperlink" Target="https://drive.google.com/file/d/1plaHUewJOw7V41LFNKk1cOS8_rIeBXfC/view?usp=drivesdk" TargetMode="External"/><Relationship Id="rId9318" Type="http://schemas.openxmlformats.org/officeDocument/2006/relationships/hyperlink" Target="https://drive.google.com/file/d/1Zobj_jHFaQNfZRVghWOtUDEAyVt8sMdW/view?usp=drivesdk" TargetMode="External"/><Relationship Id="rId9319" Type="http://schemas.openxmlformats.org/officeDocument/2006/relationships/hyperlink" Target="https://drive.google.com/file/d/1vk_hCgyDnkvK0llPYGJrPkaWt0FCbO86/view?usp=drivesdk" TargetMode="External"/><Relationship Id="rId9312" Type="http://schemas.openxmlformats.org/officeDocument/2006/relationships/hyperlink" Target="https://drive.google.com/file/d/1EBqMmFL-42Q3HRf1FbWKvf8EfgBfKn6F/view?usp=drivesdk" TargetMode="External"/><Relationship Id="rId9313" Type="http://schemas.openxmlformats.org/officeDocument/2006/relationships/hyperlink" Target="https://drive.google.com/file/d/1ePB1oeSBOG7FioN3eebogdbnWvZX_Dku/view?usp=drivesdk" TargetMode="External"/><Relationship Id="rId9314" Type="http://schemas.openxmlformats.org/officeDocument/2006/relationships/hyperlink" Target="https://drive.google.com/file/d/1XH_yQK8eWn3vESr6SECFdKpyieUuS02d/view?usp=drivesdk" TargetMode="External"/><Relationship Id="rId9315" Type="http://schemas.openxmlformats.org/officeDocument/2006/relationships/hyperlink" Target="https://drive.google.com/file/d/1NSlwRBQt8J9pXolELF82NOcAaOK5EQAd/view?usp=drivesdk" TargetMode="External"/><Relationship Id="rId9309" Type="http://schemas.openxmlformats.org/officeDocument/2006/relationships/hyperlink" Target="https://drive.google.com/file/d/1qQwfmuy3xFzj1-OtLNJNL8L3KB2XX4K3/view?usp=drivesdk" TargetMode="External"/><Relationship Id="rId9300" Type="http://schemas.openxmlformats.org/officeDocument/2006/relationships/hyperlink" Target="https://drive.google.com/file/d/1DMb4orgY6-jusroIpRX5EZtdGLyeEKoi/view?usp=drivesdk" TargetMode="External"/><Relationship Id="rId9305" Type="http://schemas.openxmlformats.org/officeDocument/2006/relationships/hyperlink" Target="https://drive.google.com/file/d/1tyDzE74gzeVF2fAqIjPj9zIt0RmrdHXk/view?usp=drivesdk" TargetMode="External"/><Relationship Id="rId9306" Type="http://schemas.openxmlformats.org/officeDocument/2006/relationships/hyperlink" Target="https://drive.google.com/file/d/1c9LkXsvbwLBh_-qgr3S4APLeuHo10gSS/view?usp=drivesdk" TargetMode="External"/><Relationship Id="rId9307" Type="http://schemas.openxmlformats.org/officeDocument/2006/relationships/hyperlink" Target="https://drive.google.com/file/d/1X4ZfcHyF4U_BlwpAWVfmj7zpeD8Fz6wT/view?usp=drivesdk" TargetMode="External"/><Relationship Id="rId9308" Type="http://schemas.openxmlformats.org/officeDocument/2006/relationships/hyperlink" Target="https://drive.google.com/file/d/1BQbVO5lfAW8eIuKV4QHOqoZH1XLOb1uW/view?usp=drivesdk" TargetMode="External"/><Relationship Id="rId9301" Type="http://schemas.openxmlformats.org/officeDocument/2006/relationships/hyperlink" Target="https://drive.google.com/file/d/1ISU_Omawv19Q6z6PNBfatPn2aZdH2I2j/view?usp=drivesdk" TargetMode="External"/><Relationship Id="rId9302" Type="http://schemas.openxmlformats.org/officeDocument/2006/relationships/hyperlink" Target="https://drive.google.com/file/d/1R1wMTrEnnpwUYEZlcC847cHRxrYCRDe-/view?usp=drivesdk" TargetMode="External"/><Relationship Id="rId9303" Type="http://schemas.openxmlformats.org/officeDocument/2006/relationships/hyperlink" Target="https://drive.google.com/file/d/1grlMC94KFiQ0JGp_uim3pMAEMX-MwRpg/view?usp=drivesdk" TargetMode="External"/><Relationship Id="rId9304" Type="http://schemas.openxmlformats.org/officeDocument/2006/relationships/hyperlink" Target="https://drive.google.com/file/d/1-tLmCPKUOs5smd8IgtxwhC_byrWfC_cu/view?usp=drivesdk" TargetMode="External"/><Relationship Id="rId8093" Type="http://schemas.openxmlformats.org/officeDocument/2006/relationships/hyperlink" Target="https://drive.google.com/file/d/1bPe0NqqkMWx57DEiuE8S_Ef0EAPVKhng/view?usp=drivesdk" TargetMode="External"/><Relationship Id="rId8092" Type="http://schemas.openxmlformats.org/officeDocument/2006/relationships/hyperlink" Target="https://drive.google.com/file/d/13j_X-uFu7Gso0Cry6E-a98SGPxCN9Yas/view?usp=drivesdk" TargetMode="External"/><Relationship Id="rId8091" Type="http://schemas.openxmlformats.org/officeDocument/2006/relationships/hyperlink" Target="https://drive.google.com/file/d/1RD4Gu5ISlRsoUyRZOwJQYjHXwYHy1qPG/view?usp=drivesdk" TargetMode="External"/><Relationship Id="rId8090" Type="http://schemas.openxmlformats.org/officeDocument/2006/relationships/hyperlink" Target="https://drive.google.com/file/d/1BDWplzS6ruvPagIJRdNdxT2-sqx5GH3Q/view?usp=drivesdk" TargetMode="External"/><Relationship Id="rId8086" Type="http://schemas.openxmlformats.org/officeDocument/2006/relationships/hyperlink" Target="https://drive.google.com/file/d/1DFYjBLyQOhu0IRdho5HhyWZ2iCapRGTT/view?usp=drivesdk" TargetMode="External"/><Relationship Id="rId8085" Type="http://schemas.openxmlformats.org/officeDocument/2006/relationships/hyperlink" Target="https://drive.google.com/file/d/1hoEIF8I_KC1-UP_21hi7RPePifkZ_aCf/view?usp=drivesdk" TargetMode="External"/><Relationship Id="rId8084" Type="http://schemas.openxmlformats.org/officeDocument/2006/relationships/hyperlink" Target="https://drive.google.com/file/d/1yGAfTjKElEK95k9c4w7UsSbsEiYV3bKw/view?usp=drivesdk" TargetMode="External"/><Relationship Id="rId8083" Type="http://schemas.openxmlformats.org/officeDocument/2006/relationships/hyperlink" Target="https://drive.google.com/file/d/11h3x322LXNKhPaOAOdFaIjOZO2m8eWLE/view?usp=drivesdk" TargetMode="External"/><Relationship Id="rId8089" Type="http://schemas.openxmlformats.org/officeDocument/2006/relationships/hyperlink" Target="https://drive.google.com/file/d/1Z8E9wJKHt8RqcbMHMHKqX_Ri3JobpXZ9/view?usp=drivesdk" TargetMode="External"/><Relationship Id="rId8088" Type="http://schemas.openxmlformats.org/officeDocument/2006/relationships/hyperlink" Target="https://drive.google.com/file/d/1ebqmLCTvJPR9RQZDkb4BzgtBpaOj8CR0/view?usp=drivesdk" TargetMode="External"/><Relationship Id="rId8087" Type="http://schemas.openxmlformats.org/officeDocument/2006/relationships/hyperlink" Target="https://drive.google.com/file/d/1qXSTb0hVKGcecYj2_eFCvZIyje6yc8GT/view?usp=drivesdk" TargetMode="External"/><Relationship Id="rId10295" Type="http://schemas.openxmlformats.org/officeDocument/2006/relationships/hyperlink" Target="https://drive.google.com/file/d/1WX-Pyzxw5ujHPU1Wh-j5V9NKDwErfG4W/view?usp=drivesdk" TargetMode="External"/><Relationship Id="rId10296" Type="http://schemas.openxmlformats.org/officeDocument/2006/relationships/hyperlink" Target="https://drive.google.com/file/d/12OXwaxYAShYAsy9C9sOgcS1J-CnvqUWU/view?usp=drivesdk" TargetMode="External"/><Relationship Id="rId10293" Type="http://schemas.openxmlformats.org/officeDocument/2006/relationships/hyperlink" Target="https://drive.google.com/file/d/19_I6rc3CPZWl9uTzZP4sU9v7aUE2hIPS/view?usp=drivesdk" TargetMode="External"/><Relationship Id="rId10294" Type="http://schemas.openxmlformats.org/officeDocument/2006/relationships/hyperlink" Target="https://drive.google.com/file/d/1gNM4e5r9Xlx1z51zu6IxGSQGHaRzUHvb/view?usp=drivesdk" TargetMode="External"/><Relationship Id="rId10299" Type="http://schemas.openxmlformats.org/officeDocument/2006/relationships/hyperlink" Target="https://drive.google.com/file/d/1X-Wrwd47HgIiy5_AjtT4RlxTE-5IW_vE/view?usp=drivesdk" TargetMode="External"/><Relationship Id="rId10297" Type="http://schemas.openxmlformats.org/officeDocument/2006/relationships/hyperlink" Target="https://drive.google.com/file/d/19zNKq8zKqtB21j9KAjgUhq1NhECUA19B/view?usp=drivesdk" TargetMode="External"/><Relationship Id="rId10298" Type="http://schemas.openxmlformats.org/officeDocument/2006/relationships/hyperlink" Target="https://drive.google.com/file/d/1flYvercmYB3nR4GPnGTyQZkJ17s7dE5v/view?usp=drivesdk" TargetMode="External"/><Relationship Id="rId8082" Type="http://schemas.openxmlformats.org/officeDocument/2006/relationships/hyperlink" Target="https://drive.google.com/file/d/1Egre4N2gMnPti4LjgO4JNTB-zMXINh4b/view?usp=drivesdk" TargetMode="External"/><Relationship Id="rId8081" Type="http://schemas.openxmlformats.org/officeDocument/2006/relationships/hyperlink" Target="https://drive.google.com/file/d/164iS1NDbnFkqxFysSX9zGfEaTu3bkO1p/view?usp=drivesdk" TargetMode="External"/><Relationship Id="rId8080" Type="http://schemas.openxmlformats.org/officeDocument/2006/relationships/hyperlink" Target="https://drive.google.com/file/d/1L4NyvyRxcO_AilbqCRwfX_fMX9dBJEr8/view?usp=drivesdk" TargetMode="External"/><Relationship Id="rId8075" Type="http://schemas.openxmlformats.org/officeDocument/2006/relationships/hyperlink" Target="https://drive.google.com/file/d/1urgF0YEME_9H-t7MgjWoUGOShA79gQYd/view?usp=drivesdk" TargetMode="External"/><Relationship Id="rId8074" Type="http://schemas.openxmlformats.org/officeDocument/2006/relationships/hyperlink" Target="https://drive.google.com/file/d/1ypxzvaOiOJx9LhU3YmBiEgsCX5NuHeaT/view?usp=drivesdk" TargetMode="External"/><Relationship Id="rId8073" Type="http://schemas.openxmlformats.org/officeDocument/2006/relationships/hyperlink" Target="https://drive.google.com/file/d/14ZSlvn1SqJr1qUg6wNTMJdY-_GsZirNN/view?usp=drivesdk" TargetMode="External"/><Relationship Id="rId8072" Type="http://schemas.openxmlformats.org/officeDocument/2006/relationships/hyperlink" Target="https://drive.google.com/file/d/15ZsQbs0Jd2FlQWTBoKi4ZaknLd-ZiFMC/view?usp=drivesdk" TargetMode="External"/><Relationship Id="rId8079" Type="http://schemas.openxmlformats.org/officeDocument/2006/relationships/hyperlink" Target="https://drive.google.com/file/d/1sNj1pweCTLJcGNR6fTi50jZJatIaTxgj/view?usp=drivesdk" TargetMode="External"/><Relationship Id="rId8078" Type="http://schemas.openxmlformats.org/officeDocument/2006/relationships/hyperlink" Target="https://drive.google.com/file/d/1dtvYpBxC3n4u4kE0fv52EsF1AUHSmpSf/view?usp=drivesdk" TargetMode="External"/><Relationship Id="rId8077" Type="http://schemas.openxmlformats.org/officeDocument/2006/relationships/hyperlink" Target="https://drive.google.com/file/d/1P_3nGj9nKObsLRQ5tXx-eofL-XlEC8ff/view?usp=drivesdk" TargetMode="External"/><Relationship Id="rId8076" Type="http://schemas.openxmlformats.org/officeDocument/2006/relationships/hyperlink" Target="https://drive.google.com/file/d/1YdIxCdDSc-ChVvt3yXY9SyjATYOnwtOw/view?usp=drivesdk" TargetMode="External"/><Relationship Id="rId10280" Type="http://schemas.openxmlformats.org/officeDocument/2006/relationships/hyperlink" Target="https://drive.google.com/file/d/1uJJNXvhb4wMBcNYbVSkiVS2MLfe5q5-1/view?usp=drivesdk" TargetMode="External"/><Relationship Id="rId10281" Type="http://schemas.openxmlformats.org/officeDocument/2006/relationships/hyperlink" Target="https://drive.google.com/file/d/1mSEI35TpeNm4vPw5FOengko-5a2o5Jge/view?usp=drivesdk" TargetMode="External"/><Relationship Id="rId10279" Type="http://schemas.openxmlformats.org/officeDocument/2006/relationships/hyperlink" Target="https://drive.google.com/file/d/11Q6KqQz4gwZYRdmv1lObfIUWjW4n8gKN/view?usp=drivesdk" TargetMode="External"/><Relationship Id="rId10273" Type="http://schemas.openxmlformats.org/officeDocument/2006/relationships/hyperlink" Target="https://drive.google.com/file/d/1Joy55HV0NU1sw71JQlNA_uiqCA1I73FK/view?usp=drivesdk" TargetMode="External"/><Relationship Id="rId10274" Type="http://schemas.openxmlformats.org/officeDocument/2006/relationships/hyperlink" Target="https://drive.google.com/file/d/1nwDAw1lOL9uijPu2Xog-QDnYHRDAfwUD/view?usp=drivesdk" TargetMode="External"/><Relationship Id="rId10271" Type="http://schemas.openxmlformats.org/officeDocument/2006/relationships/hyperlink" Target="https://drive.google.com/file/d/1zhARwBZlbsaeGlpxMwJSSnkqLQACl4ih/view?usp=drivesdk" TargetMode="External"/><Relationship Id="rId10272" Type="http://schemas.openxmlformats.org/officeDocument/2006/relationships/hyperlink" Target="https://drive.google.com/file/d/1jpQxOoptGClcWXhjPEQIy0QJvn0PEU2I/view?usp=drivesdk" TargetMode="External"/><Relationship Id="rId10277" Type="http://schemas.openxmlformats.org/officeDocument/2006/relationships/hyperlink" Target="https://drive.google.com/file/d/1jAUFkY6PLSXbPHPQSoM4S_KQsss6IcGP/view?usp=drivesdk" TargetMode="External"/><Relationship Id="rId10278" Type="http://schemas.openxmlformats.org/officeDocument/2006/relationships/hyperlink" Target="https://drive.google.com/file/d/1Qf0aDZjvaZq-dti3d_t1OOk4RIW6ddkw/view?usp=drivesdk" TargetMode="External"/><Relationship Id="rId10275" Type="http://schemas.openxmlformats.org/officeDocument/2006/relationships/hyperlink" Target="https://drive.google.com/file/d/1ifLsKWoVjdfrUAlBa0VVQ2iqDZMnSNlr/view?usp=drivesdk" TargetMode="External"/><Relationship Id="rId10276" Type="http://schemas.openxmlformats.org/officeDocument/2006/relationships/hyperlink" Target="https://drive.google.com/file/d/1A2TiLTVI4NPRusHGt5OIv6pPEV5jDp6Z/view?usp=drivesdk" TargetMode="External"/><Relationship Id="rId10291" Type="http://schemas.openxmlformats.org/officeDocument/2006/relationships/hyperlink" Target="https://drive.google.com/file/d/1HRu9jUng4dvQVLRicyccxVfTXm-2Nsx5/view?usp=drivesdk" TargetMode="External"/><Relationship Id="rId10292" Type="http://schemas.openxmlformats.org/officeDocument/2006/relationships/hyperlink" Target="https://drive.google.com/file/d/1F0IpxkAamLipnOjGrPjZrm-LzOTBl9p-/view?usp=drivesdk" TargetMode="External"/><Relationship Id="rId10290" Type="http://schemas.openxmlformats.org/officeDocument/2006/relationships/hyperlink" Target="https://drive.google.com/file/d/1zA28YIWCEjIaCzjEUzPyqxb4Te2kKK68/view?usp=drivesdk" TargetMode="External"/><Relationship Id="rId8097" Type="http://schemas.openxmlformats.org/officeDocument/2006/relationships/hyperlink" Target="https://drive.google.com/file/d/1I__9LVDofyYCHYh5mLFtG4yKWUY1eLEc/view?usp=drivesdk" TargetMode="External"/><Relationship Id="rId8096" Type="http://schemas.openxmlformats.org/officeDocument/2006/relationships/hyperlink" Target="https://drive.google.com/file/d/1k_jVbiqyzmq0BPwf6pP-IectOfgD0pOx/view?usp=drivesdk" TargetMode="External"/><Relationship Id="rId8095" Type="http://schemas.openxmlformats.org/officeDocument/2006/relationships/hyperlink" Target="https://drive.google.com/file/d/1jwNjMURlEmVijY26DOVV1x3a-iZtD7UJ/view?usp=drivesdk" TargetMode="External"/><Relationship Id="rId8094" Type="http://schemas.openxmlformats.org/officeDocument/2006/relationships/hyperlink" Target="https://drive.google.com/file/d/1uEYO_BYPPmuTJhosSY8HxdMetRRp2pZT/view?usp=drivesdk" TargetMode="External"/><Relationship Id="rId8099" Type="http://schemas.openxmlformats.org/officeDocument/2006/relationships/hyperlink" Target="https://drive.google.com/file/d/1kA8c4egtEBU9DrA1p8n7Uf5s0G6D_O0E/view?usp=drivesdk" TargetMode="External"/><Relationship Id="rId8098" Type="http://schemas.openxmlformats.org/officeDocument/2006/relationships/hyperlink" Target="https://drive.google.com/file/d/1U-s7iV2pAEji9oNmM9ShOYm-71OtZHxW/view?usp=drivesdk" TargetMode="External"/><Relationship Id="rId10284" Type="http://schemas.openxmlformats.org/officeDocument/2006/relationships/hyperlink" Target="https://drive.google.com/file/d/17pFRqWrxBv0oT33VRDMbCA4OQuNA--68/view?usp=drivesdk" TargetMode="External"/><Relationship Id="rId10285" Type="http://schemas.openxmlformats.org/officeDocument/2006/relationships/hyperlink" Target="https://drive.google.com/file/d/1o7RYNwwpHpKTQiCi2pchKRIIEqUj286Y/view?usp=drivesdk" TargetMode="External"/><Relationship Id="rId10282" Type="http://schemas.openxmlformats.org/officeDocument/2006/relationships/hyperlink" Target="https://drive.google.com/file/d/1-lflXrVNe0AdNSDZYlLRg1wJ_opDqOpn/view?usp=drivesdk" TargetMode="External"/><Relationship Id="rId10283" Type="http://schemas.openxmlformats.org/officeDocument/2006/relationships/hyperlink" Target="https://drive.google.com/file/d/144m8fyg4sJYGMNzbVuM_JafrGnnNVPa7/view?usp=drivesdk" TargetMode="External"/><Relationship Id="rId10288" Type="http://schemas.openxmlformats.org/officeDocument/2006/relationships/hyperlink" Target="https://drive.google.com/file/d/1Kn-cQCDezwGWagsNGA24hi9qI9NVQHW1/view?usp=drivesdk" TargetMode="External"/><Relationship Id="rId10289" Type="http://schemas.openxmlformats.org/officeDocument/2006/relationships/hyperlink" Target="https://drive.google.com/file/d/10rvkPJL_KwCdixI0dLUsgvAnDg0sCcsy/view?usp=drivesdk" TargetMode="External"/><Relationship Id="rId10286" Type="http://schemas.openxmlformats.org/officeDocument/2006/relationships/hyperlink" Target="https://drive.google.com/file/d/1e7JqCPJWG6-2nv95jAaWOVXLTSjpdPNB/view?usp=drivesdk" TargetMode="External"/><Relationship Id="rId10287" Type="http://schemas.openxmlformats.org/officeDocument/2006/relationships/hyperlink" Target="https://drive.google.com/file/d/14F6BwzjgMCeUEAdzPEnuw8GBIzk2q-L2/view?usp=drivesdk" TargetMode="External"/><Relationship Id="rId9380" Type="http://schemas.openxmlformats.org/officeDocument/2006/relationships/hyperlink" Target="https://drive.google.com/file/d/1ZFfRQB-L4zsrPg_rehjDj28qKu0m_AYz/view?usp=drivesdk" TargetMode="External"/><Relationship Id="rId8042" Type="http://schemas.openxmlformats.org/officeDocument/2006/relationships/hyperlink" Target="https://drive.google.com/file/d/15EkPeBDN5tWdFQJBTNaeA46sqPueGWQu/view?usp=drivesdk" TargetMode="External"/><Relationship Id="rId9374" Type="http://schemas.openxmlformats.org/officeDocument/2006/relationships/hyperlink" Target="https://drive.google.com/file/d/1nrFo7yFr4upW5p8A3K3-TI2DsCZKh9xt/view?usp=drivesdk" TargetMode="External"/><Relationship Id="rId8041" Type="http://schemas.openxmlformats.org/officeDocument/2006/relationships/hyperlink" Target="https://drive.google.com/file/d/1BTOENILw9aODlmAZ3ZlAeagBtup0INOL/view?usp=drivesdk" TargetMode="External"/><Relationship Id="rId9375" Type="http://schemas.openxmlformats.org/officeDocument/2006/relationships/hyperlink" Target="https://drive.google.com/file/d/13S8NYGu9d3ZRnd8oFbDfS_BL76R-0Jrb/view?usp=drivesdk" TargetMode="External"/><Relationship Id="rId8040" Type="http://schemas.openxmlformats.org/officeDocument/2006/relationships/hyperlink" Target="https://drive.google.com/file/d/1YKBvb6pHzkXucgnRDiJLS-CFTu1IgP9H/view?usp=drivesdk" TargetMode="External"/><Relationship Id="rId9376" Type="http://schemas.openxmlformats.org/officeDocument/2006/relationships/hyperlink" Target="https://drive.google.com/file/d/1rcrWIpkXaXIIFf8-7wjcG9tOEbA485gx/view?usp=drivesdk" TargetMode="External"/><Relationship Id="rId9377" Type="http://schemas.openxmlformats.org/officeDocument/2006/relationships/hyperlink" Target="https://drive.google.com/file/d/1e8FNPuvT46dCMCQatNJ61R0hAJi1AVLY/view?usp=drivesdk" TargetMode="External"/><Relationship Id="rId8046" Type="http://schemas.openxmlformats.org/officeDocument/2006/relationships/hyperlink" Target="https://drive.google.com/file/d/16h7CvsZ4xGlCqcz-id8xXR2bPSN8UjdZ/view?usp=drivesdk" TargetMode="External"/><Relationship Id="rId9370" Type="http://schemas.openxmlformats.org/officeDocument/2006/relationships/hyperlink" Target="https://drive.google.com/file/d/1aGd5WzFcM65jekftrlP139ghKlFjALP1/view?usp=drivesdk" TargetMode="External"/><Relationship Id="rId8045" Type="http://schemas.openxmlformats.org/officeDocument/2006/relationships/hyperlink" Target="https://drive.google.com/file/d/1kRS49MQkcoqCHBO-y3Cn1T0Nz6qYdJnn/view?usp=drivesdk" TargetMode="External"/><Relationship Id="rId9371" Type="http://schemas.openxmlformats.org/officeDocument/2006/relationships/hyperlink" Target="https://drive.google.com/file/d/1HoVxUbOt0FImox-TJBteUh4ksg7a2nRE/view?usp=drivesdk" TargetMode="External"/><Relationship Id="rId8044" Type="http://schemas.openxmlformats.org/officeDocument/2006/relationships/hyperlink" Target="https://drive.google.com/file/d/1BVcqYiA8zCuHjDbhtKLZ1R4a58j6R8US/view?usp=drivesdk" TargetMode="External"/><Relationship Id="rId9372" Type="http://schemas.openxmlformats.org/officeDocument/2006/relationships/hyperlink" Target="https://drive.google.com/file/d/1c-qbIl9u1Cjy8Du-ftnB2eYmOFJMYnxA/view?usp=drivesdk" TargetMode="External"/><Relationship Id="rId8043" Type="http://schemas.openxmlformats.org/officeDocument/2006/relationships/hyperlink" Target="https://drive.google.com/file/d/1-pY9SAxYFzszecMQCFjJ_OUvmVFLDeiF/view?usp=drivesdk" TargetMode="External"/><Relationship Id="rId9373" Type="http://schemas.openxmlformats.org/officeDocument/2006/relationships/hyperlink" Target="https://drive.google.com/file/d/1IFsSrlXC1eqG_K6vKgxQfyobTvBzyzee/view?usp=drivesdk" TargetMode="External"/><Relationship Id="rId8049" Type="http://schemas.openxmlformats.org/officeDocument/2006/relationships/hyperlink" Target="https://drive.google.com/file/d/1BrhYiiwIt-YClC0FJdpSng1Ah0Kx7ZVG/view?usp=drivesdk" TargetMode="External"/><Relationship Id="rId8048" Type="http://schemas.openxmlformats.org/officeDocument/2006/relationships/hyperlink" Target="https://drive.google.com/file/d/18FcOS-S9Sfy8S3AEA42j-zLyw4yEP6K9/view?usp=drivesdk" TargetMode="External"/><Relationship Id="rId8047" Type="http://schemas.openxmlformats.org/officeDocument/2006/relationships/hyperlink" Target="https://drive.google.com/file/d/1zriFw1x_aBO4LYS0Xdb3v3WWHm7tNAw9/view?usp=drivesdk" TargetMode="External"/><Relationship Id="rId9378" Type="http://schemas.openxmlformats.org/officeDocument/2006/relationships/hyperlink" Target="https://drive.google.com/file/d/1bendlbWedrkVldOb0-U1R58vCiAulw4a/view?usp=drivesdk" TargetMode="External"/><Relationship Id="rId9379" Type="http://schemas.openxmlformats.org/officeDocument/2006/relationships/hyperlink" Target="https://drive.google.com/file/d/1r4V2tMAk3wrrqdg00inJ-pIZjC-j9__e/view?usp=drivesdk" TargetMode="External"/><Relationship Id="rId8031" Type="http://schemas.openxmlformats.org/officeDocument/2006/relationships/hyperlink" Target="https://drive.google.com/file/d/1fkdeSTMbA5_eeV7zmQnBpgf1acAX34v5/view?usp=drivesdk" TargetMode="External"/><Relationship Id="rId9363" Type="http://schemas.openxmlformats.org/officeDocument/2006/relationships/hyperlink" Target="https://drive.google.com/file/d/1TXeMZRjKKs4FCd7g7pRClFZ_y0h8YFzX/view?usp=drivesdk" TargetMode="External"/><Relationship Id="rId8030" Type="http://schemas.openxmlformats.org/officeDocument/2006/relationships/hyperlink" Target="https://drive.google.com/file/d/1XxgvZ64sAwJO4ECYdDtEmThQ8VmVM9eg/view?usp=drivesdk" TargetMode="External"/><Relationship Id="rId9364" Type="http://schemas.openxmlformats.org/officeDocument/2006/relationships/hyperlink" Target="https://drive.google.com/file/d/1XW4uIIHasi0IY6FbBZgE5uWP8zzPg_I2/view?usp=drivesdk" TargetMode="External"/><Relationship Id="rId9365" Type="http://schemas.openxmlformats.org/officeDocument/2006/relationships/hyperlink" Target="https://drive.google.com/file/d/1AOnm4wk-XJ98DEaYFi08GGywvDzlGvUc/view?usp=drivesdk" TargetMode="External"/><Relationship Id="rId9366" Type="http://schemas.openxmlformats.org/officeDocument/2006/relationships/hyperlink" Target="https://drive.google.com/file/d/1LceY5FmD-Dbqg-DEcNEompL910Tzg6Br/view?usp=drivesdk" TargetMode="External"/><Relationship Id="rId8035" Type="http://schemas.openxmlformats.org/officeDocument/2006/relationships/hyperlink" Target="https://drive.google.com/file/d/18k765H20vareeR03RrNxM3GfaKHyx5Zq/view?usp=drivesdk" TargetMode="External"/><Relationship Id="rId8034" Type="http://schemas.openxmlformats.org/officeDocument/2006/relationships/hyperlink" Target="https://drive.google.com/file/d/15dxu3zspe7LkBMkGq2okvM9sqqfhqRJl/view?usp=drivesdk" TargetMode="External"/><Relationship Id="rId9360" Type="http://schemas.openxmlformats.org/officeDocument/2006/relationships/hyperlink" Target="https://drive.google.com/file/d/1se1Jcf6RJpJv-nJVjlByzKQNU9Jt_0YZ/view?usp=drivesdk" TargetMode="External"/><Relationship Id="rId8033" Type="http://schemas.openxmlformats.org/officeDocument/2006/relationships/hyperlink" Target="https://drive.google.com/file/d/1Mosi74qcvxifnPmEdsUe496ByKY_XqVG/view?usp=drivesdk" TargetMode="External"/><Relationship Id="rId9361" Type="http://schemas.openxmlformats.org/officeDocument/2006/relationships/hyperlink" Target="https://drive.google.com/file/d/1rqMYh3MnjB2p1dFLA6dCWS21X3CYsb_h/view?usp=drivesdk" TargetMode="External"/><Relationship Id="rId8032" Type="http://schemas.openxmlformats.org/officeDocument/2006/relationships/hyperlink" Target="https://drive.google.com/file/d/1GkKkclruu8DDa7Q7PPh20B465Grto3wx/view?usp=drivesdk" TargetMode="External"/><Relationship Id="rId9362" Type="http://schemas.openxmlformats.org/officeDocument/2006/relationships/hyperlink" Target="https://drive.google.com/file/d/19GDsFwvpA4WVnQXHi6tMKBNms4uDotBB/view?usp=drivesdk" TargetMode="External"/><Relationship Id="rId8039" Type="http://schemas.openxmlformats.org/officeDocument/2006/relationships/hyperlink" Target="https://drive.google.com/file/d/1Y_Kj_aEfU4RCYj0gduboSWVxkipGfab9/view?usp=drivesdk" TargetMode="External"/><Relationship Id="rId8038" Type="http://schemas.openxmlformats.org/officeDocument/2006/relationships/hyperlink" Target="https://drive.google.com/file/d/1S9o6vqrUe-yFOE0MwtRJCB-s-A7OBQ2Z/view?usp=drivesdk" TargetMode="External"/><Relationship Id="rId8037" Type="http://schemas.openxmlformats.org/officeDocument/2006/relationships/hyperlink" Target="https://drive.google.com/file/d/1emfQGRXxXhg9R-G5hcZd-A2D-D_lVznQ/view?usp=drivesdk" TargetMode="External"/><Relationship Id="rId8036" Type="http://schemas.openxmlformats.org/officeDocument/2006/relationships/hyperlink" Target="https://drive.google.com/file/d/12VYmRGeDggvD5O6b5o9jsis2sLQhrpFp/view?usp=drivesdk" TargetMode="External"/><Relationship Id="rId9367" Type="http://schemas.openxmlformats.org/officeDocument/2006/relationships/hyperlink" Target="https://drive.google.com/file/d/1NWNof2GYLKng7Ytv32vtUbqD477qEYmR/view?usp=drivesdk" TargetMode="External"/><Relationship Id="rId9368" Type="http://schemas.openxmlformats.org/officeDocument/2006/relationships/hyperlink" Target="https://drive.google.com/file/d/1fzH6IDYXqjQvC2H_T0ZK7ItWAQrSAEt4/view?usp=drivesdk" TargetMode="External"/><Relationship Id="rId9369" Type="http://schemas.openxmlformats.org/officeDocument/2006/relationships/hyperlink" Target="https://drive.google.com/file/d/17D2XB4b60VWoxkD2ncbYoQsrJ7TXOSCZ/view?usp=drivesdk" TargetMode="External"/><Relationship Id="rId8071" Type="http://schemas.openxmlformats.org/officeDocument/2006/relationships/hyperlink" Target="https://drive.google.com/file/d/1Ut-_tqnrUwCCQPrn8Io2H7ERLHGbsUtF/view?usp=drivesdk" TargetMode="External"/><Relationship Id="rId8070" Type="http://schemas.openxmlformats.org/officeDocument/2006/relationships/hyperlink" Target="https://drive.google.com/file/d/1CLm1iVA8Pu9Tq6sWMwAu_je8gECYSV6_/view?usp=drivesdk" TargetMode="External"/><Relationship Id="rId8064" Type="http://schemas.openxmlformats.org/officeDocument/2006/relationships/hyperlink" Target="https://drive.google.com/file/d/1MiYXsdzcAbUQDwldKslYa5QPTwQXbcr6/view?usp=drivesdk" TargetMode="External"/><Relationship Id="rId9396" Type="http://schemas.openxmlformats.org/officeDocument/2006/relationships/hyperlink" Target="https://drive.google.com/file/d/1MCjgCjXf1iRvDD0dg8KPCfI3wSXGv6rI/view?usp=drivesdk" TargetMode="External"/><Relationship Id="rId8063" Type="http://schemas.openxmlformats.org/officeDocument/2006/relationships/hyperlink" Target="https://drive.google.com/file/d/1RcAz8tdXZvf3HeCiNmFiBpeWMXuOIQWw/view?usp=drivesdk" TargetMode="External"/><Relationship Id="rId9397" Type="http://schemas.openxmlformats.org/officeDocument/2006/relationships/hyperlink" Target="https://drive.google.com/file/d/1ZLbKX-enwqguiu-x9-Yz8oIDyJriDdqX/view?usp=drivesdk" TargetMode="External"/><Relationship Id="rId8062" Type="http://schemas.openxmlformats.org/officeDocument/2006/relationships/hyperlink" Target="https://drive.google.com/file/d/1_TxJPl5tK_F6LeVmoCdt9fgPCYOjHzwU/view?usp=drivesdk" TargetMode="External"/><Relationship Id="rId9398" Type="http://schemas.openxmlformats.org/officeDocument/2006/relationships/hyperlink" Target="https://drive.google.com/file/d/1K91s2W7om1ZV41iTfvH3PEMXj5H-NLtt/view?usp=drivesdk" TargetMode="External"/><Relationship Id="rId8061" Type="http://schemas.openxmlformats.org/officeDocument/2006/relationships/hyperlink" Target="https://drive.google.com/file/d/1-x9x_xgBzv4K46TgxxSijwfVJj4I-uYD/view?usp=drivesdk" TargetMode="External"/><Relationship Id="rId9399" Type="http://schemas.openxmlformats.org/officeDocument/2006/relationships/hyperlink" Target="https://drive.google.com/file/d/1KVfLNVrJHO1sk3xN-ZHqtMkEj8Q2_1FS/view?usp=drivesdk" TargetMode="External"/><Relationship Id="rId8068" Type="http://schemas.openxmlformats.org/officeDocument/2006/relationships/hyperlink" Target="https://drive.google.com/file/d/1yJ9JGY615ad4PAYcJza6fCV_hqXHQ_Cr/view?usp=drivesdk" TargetMode="External"/><Relationship Id="rId9392" Type="http://schemas.openxmlformats.org/officeDocument/2006/relationships/hyperlink" Target="https://drive.google.com/file/d/1GU3JOilIbXYVZzgcUN4QB0ktxv2u0RzV/view?usp=drivesdk" TargetMode="External"/><Relationship Id="rId8067" Type="http://schemas.openxmlformats.org/officeDocument/2006/relationships/hyperlink" Target="https://drive.google.com/file/d/1YIyEr4qJWoU463EoFBbCy2AoWjTC0Sd3/view?usp=drivesdk" TargetMode="External"/><Relationship Id="rId9393" Type="http://schemas.openxmlformats.org/officeDocument/2006/relationships/hyperlink" Target="https://drive.google.com/file/d/1VHxsw-iYPRRvjjf4lxXYEHgeaRqxPHpA/view?usp=drivesdk" TargetMode="External"/><Relationship Id="rId8066" Type="http://schemas.openxmlformats.org/officeDocument/2006/relationships/hyperlink" Target="https://drive.google.com/file/d/1lAPJez6UU4Cb8Hhqs1N-lGqFzALa4jGz/view?usp=drivesdk" TargetMode="External"/><Relationship Id="rId9394" Type="http://schemas.openxmlformats.org/officeDocument/2006/relationships/hyperlink" Target="https://drive.google.com/file/d/1e2pAqXppjnnhJPhGiQAKpgmF-XMCKn-o/view?usp=drivesdk" TargetMode="External"/><Relationship Id="rId8065" Type="http://schemas.openxmlformats.org/officeDocument/2006/relationships/hyperlink" Target="https://drive.google.com/file/d/16ZQcwY9XDSPq27lt7se4qMQNAZLGyb20/view?usp=drivesdk" TargetMode="External"/><Relationship Id="rId9395" Type="http://schemas.openxmlformats.org/officeDocument/2006/relationships/hyperlink" Target="https://drive.google.com/file/d/1oaf8hYGPN_zKYSdpD355OF8CQXWHykyx/view?usp=drivesdk" TargetMode="External"/><Relationship Id="rId8069" Type="http://schemas.openxmlformats.org/officeDocument/2006/relationships/hyperlink" Target="https://drive.google.com/file/d/1A0jI-xJW8r-VxyBFkGwoMnnltEphGvw-/view?usp=drivesdk" TargetMode="External"/><Relationship Id="rId9390" Type="http://schemas.openxmlformats.org/officeDocument/2006/relationships/hyperlink" Target="https://drive.google.com/file/d/1tWqVF3Yq9hsBEbRE6PZyBMIoTqxt7uUf/view?usp=drivesdk" TargetMode="External"/><Relationship Id="rId9391" Type="http://schemas.openxmlformats.org/officeDocument/2006/relationships/hyperlink" Target="https://drive.google.com/file/d/1WtkRegQ7TkRIf-X0SskZiNk1xDTwXx3y/view?usp=drivesdk" TargetMode="External"/><Relationship Id="rId8060" Type="http://schemas.openxmlformats.org/officeDocument/2006/relationships/hyperlink" Target="https://drive.google.com/file/d/1dhwzKg_ZseazvYULY80cwp90glrU-xUY/view?usp=drivesdk" TargetMode="External"/><Relationship Id="rId8053" Type="http://schemas.openxmlformats.org/officeDocument/2006/relationships/hyperlink" Target="https://drive.google.com/file/d/1R5K279YEo1hhs3xXfD28_crePOjgcOxE/view?usp=drivesdk" TargetMode="External"/><Relationship Id="rId9385" Type="http://schemas.openxmlformats.org/officeDocument/2006/relationships/hyperlink" Target="https://drive.google.com/file/d/12jgTGnYySJI0o1NK6UIOmc4s8wsSjj6M/view?usp=drivesdk" TargetMode="External"/><Relationship Id="rId8052" Type="http://schemas.openxmlformats.org/officeDocument/2006/relationships/hyperlink" Target="https://drive.google.com/file/d/1j-ke6x44JTC-At8ljBQPuRz4CnhcBXpt/view?usp=drivesdk" TargetMode="External"/><Relationship Id="rId9386" Type="http://schemas.openxmlformats.org/officeDocument/2006/relationships/hyperlink" Target="https://drive.google.com/file/d/1RFvPemIpoKsR3c2Of3E4lwcVJrq9vo_e/view?usp=drivesdk" TargetMode="External"/><Relationship Id="rId8051" Type="http://schemas.openxmlformats.org/officeDocument/2006/relationships/hyperlink" Target="https://drive.google.com/file/d/1gmzm742bvSPzHsKT7U6-hiDeQwBMF7gd/view?usp=drivesdk" TargetMode="External"/><Relationship Id="rId9387" Type="http://schemas.openxmlformats.org/officeDocument/2006/relationships/hyperlink" Target="https://drive.google.com/file/d/1SRXcdYuXk8E_12yZZcll7hNz74e913IP/view?usp=drivesdk" TargetMode="External"/><Relationship Id="rId8050" Type="http://schemas.openxmlformats.org/officeDocument/2006/relationships/hyperlink" Target="https://drive.google.com/file/d/1U3yEgNUNA859GfIeeS4duQZKeNpZro8E/view?usp=drivesdk" TargetMode="External"/><Relationship Id="rId9388" Type="http://schemas.openxmlformats.org/officeDocument/2006/relationships/hyperlink" Target="https://drive.google.com/file/d/1uckcfhB0FiS9vobG2pVuUhdkPDwH2Gs8/view?usp=drivesdk" TargetMode="External"/><Relationship Id="rId8057" Type="http://schemas.openxmlformats.org/officeDocument/2006/relationships/hyperlink" Target="https://drive.google.com/file/d/11V79Tk-OOxgbmQRshOemyI9Wjtk9VT8O/view?usp=drivesdk" TargetMode="External"/><Relationship Id="rId9381" Type="http://schemas.openxmlformats.org/officeDocument/2006/relationships/hyperlink" Target="https://drive.google.com/file/d/1VZpBZDL_X9utVxY_AOJVK1jIQ6TZN6w8/view?usp=drivesdk" TargetMode="External"/><Relationship Id="rId8056" Type="http://schemas.openxmlformats.org/officeDocument/2006/relationships/hyperlink" Target="https://drive.google.com/file/d/1lK3RqolHIYuGVKyQD7FTbFDP8uJIRsuo/view?usp=drivesdk" TargetMode="External"/><Relationship Id="rId9382" Type="http://schemas.openxmlformats.org/officeDocument/2006/relationships/hyperlink" Target="https://drive.google.com/file/d/1T_qV3vR2BGaIUlMsiJwWE92sP6op67TY/view?usp=drivesdk" TargetMode="External"/><Relationship Id="rId8055" Type="http://schemas.openxmlformats.org/officeDocument/2006/relationships/hyperlink" Target="https://drive.google.com/file/d/1b4xsHfLHzngkih9s1UnsOLPSS-yYesvp/view?usp=drivesdk" TargetMode="External"/><Relationship Id="rId9383" Type="http://schemas.openxmlformats.org/officeDocument/2006/relationships/hyperlink" Target="https://drive.google.com/file/d/1dCvOjfpKUg3GYXAZMDlpxjO-ldZJDwvA/view?usp=drivesdk" TargetMode="External"/><Relationship Id="rId8054" Type="http://schemas.openxmlformats.org/officeDocument/2006/relationships/hyperlink" Target="https://drive.google.com/file/d/1ijPY3hnvjEnBwzpwDFnHXCRIRr8OIz-0/view?usp=drivesdk" TargetMode="External"/><Relationship Id="rId9384" Type="http://schemas.openxmlformats.org/officeDocument/2006/relationships/hyperlink" Target="https://drive.google.com/file/d/1zzgmNCYLo-m8CY_BJubrXOJhSI6vu6C4/view?usp=drivesdk" TargetMode="External"/><Relationship Id="rId8059" Type="http://schemas.openxmlformats.org/officeDocument/2006/relationships/hyperlink" Target="https://drive.google.com/file/d/1IJEquzJkqPij8epA5mbnYXYvwmZwJpOf/view?usp=drivesdk" TargetMode="External"/><Relationship Id="rId8058" Type="http://schemas.openxmlformats.org/officeDocument/2006/relationships/hyperlink" Target="https://drive.google.com/file/d/1FqdQcG7Vv6_9Ard5fDbLiAaNS1gs9_fO/view?usp=drivesdk" TargetMode="External"/><Relationship Id="rId9389" Type="http://schemas.openxmlformats.org/officeDocument/2006/relationships/hyperlink" Target="https://drive.google.com/file/d/1tHFXUu0iFXZVoPoYO2n5udMwEKrogSYm/view?usp=drivesdk" TargetMode="External"/><Relationship Id="rId10215" Type="http://schemas.openxmlformats.org/officeDocument/2006/relationships/hyperlink" Target="https://drive.google.com/file/d/1nCAjz-Uk2Y5FJ4LVIaWtkZrNXR_K5NUM/view?usp=drivesdk" TargetMode="External"/><Relationship Id="rId11547" Type="http://schemas.openxmlformats.org/officeDocument/2006/relationships/hyperlink" Target="https://drive.google.com/file/d/1xcBIcoEeOEtMY9V0nIjjUTQuqQmhSAyp/view?usp=drivesdk" TargetMode="External"/><Relationship Id="rId12878" Type="http://schemas.openxmlformats.org/officeDocument/2006/relationships/hyperlink" Target="https://drive.google.com/file/d/17G38SU-j1cdFOEg1pnXYI82bc0kr3JMQ/view?usp=drivesdk" TargetMode="External"/><Relationship Id="rId10216" Type="http://schemas.openxmlformats.org/officeDocument/2006/relationships/hyperlink" Target="https://drive.google.com/file/d/1Be8nCiDLaEFI5KpKPtD6Pw5ImBB_afb8/view?usp=drivesdk" TargetMode="External"/><Relationship Id="rId11546" Type="http://schemas.openxmlformats.org/officeDocument/2006/relationships/hyperlink" Target="https://drive.google.com/file/d/1_rq3l1WWobTQ0ZzQwdcxKTDdnaILNVU4/view?usp=drivesdk" TargetMode="External"/><Relationship Id="rId12877" Type="http://schemas.openxmlformats.org/officeDocument/2006/relationships/hyperlink" Target="https://drive.google.com/file/d/1VpiNHOsXQAmcjL63u0iqnAa0xvyHTvJC/view?usp=drivesdk" TargetMode="External"/><Relationship Id="rId10213" Type="http://schemas.openxmlformats.org/officeDocument/2006/relationships/hyperlink" Target="https://drive.google.com/file/d/17knh7s2HOlWbfg4hfOvYM2AL0__EeNxB/view?usp=drivesdk" TargetMode="External"/><Relationship Id="rId11545" Type="http://schemas.openxmlformats.org/officeDocument/2006/relationships/hyperlink" Target="https://drive.google.com/file/d/18jFyrL9NGlC27C2mxCHF-qEJYvYR5xUB/view?usp=drivesdk" TargetMode="External"/><Relationship Id="rId12876" Type="http://schemas.openxmlformats.org/officeDocument/2006/relationships/hyperlink" Target="https://drive.google.com/file/d/1RuBfLn8jRWi2IIHcYEdbEI9ePVjbJDU_/view?usp=drivesdk" TargetMode="External"/><Relationship Id="rId10214" Type="http://schemas.openxmlformats.org/officeDocument/2006/relationships/hyperlink" Target="https://drive.google.com/file/d/1STkqn8AyTgdM_yvNZEAgRcsqtjx3I-fk/view?usp=drivesdk" TargetMode="External"/><Relationship Id="rId11544" Type="http://schemas.openxmlformats.org/officeDocument/2006/relationships/hyperlink" Target="https://drive.google.com/file/d/1oRS_iklhV2u14b3IsMfdqbP7bBhtVVTC/view?usp=drivesdk" TargetMode="External"/><Relationship Id="rId12875" Type="http://schemas.openxmlformats.org/officeDocument/2006/relationships/hyperlink" Target="https://drive.google.com/file/d/1F0UcychVGeroVTkseurWx_b-RSLrOWUK/view?usp=drivesdk" TargetMode="External"/><Relationship Id="rId10219" Type="http://schemas.openxmlformats.org/officeDocument/2006/relationships/hyperlink" Target="https://drive.google.com/file/d/1luNUW388Pozr1DPG-MnlA2uKk-ur74qG/view?usp=drivesdk" TargetMode="External"/><Relationship Id="rId10217" Type="http://schemas.openxmlformats.org/officeDocument/2006/relationships/hyperlink" Target="https://drive.google.com/file/d/1U3xOPi1abEpcNwetTO1mO30KSfrFVDCJ/view?usp=drivesdk" TargetMode="External"/><Relationship Id="rId11549" Type="http://schemas.openxmlformats.org/officeDocument/2006/relationships/hyperlink" Target="https://drive.google.com/file/d/1_1ir64xZoBKQklLUh2sKvwItQLwYVkqQ/view?usp=drivesdk" TargetMode="External"/><Relationship Id="rId10218" Type="http://schemas.openxmlformats.org/officeDocument/2006/relationships/hyperlink" Target="https://drive.google.com/file/d/14UbhupyKM_HGSZlVkRlb_HOfkzv84NJL/view?usp=drivesdk" TargetMode="External"/><Relationship Id="rId11548" Type="http://schemas.openxmlformats.org/officeDocument/2006/relationships/hyperlink" Target="https://drive.google.com/file/d/1LX-5LLgVz4V9QhjS8ysrTec3ulzoh1iS/view?usp=drivesdk" TargetMode="External"/><Relationship Id="rId12879" Type="http://schemas.openxmlformats.org/officeDocument/2006/relationships/hyperlink" Target="https://drive.google.com/file/d/15QTfueGEHWk1ocBM0SWZKn35dziM6g3Y/view?usp=drivesdk" TargetMode="External"/><Relationship Id="rId12870" Type="http://schemas.openxmlformats.org/officeDocument/2006/relationships/hyperlink" Target="https://drive.google.com/file/d/1zVYfuXg_nE-GIC606vgDQsV7cscO2f0E/view?usp=drivesdk" TargetMode="External"/><Relationship Id="rId10211" Type="http://schemas.openxmlformats.org/officeDocument/2006/relationships/hyperlink" Target="https://drive.google.com/file/d/1u66lTH2jVjAAKwp5A-kA2SfGWQxrCdnq/view?usp=drivesdk" TargetMode="External"/><Relationship Id="rId11543" Type="http://schemas.openxmlformats.org/officeDocument/2006/relationships/hyperlink" Target="https://drive.google.com/file/d/1jjznQ5poZ4GbddyRqmyRpA8kH-zVbDda/view?usp=drivesdk" TargetMode="External"/><Relationship Id="rId12874" Type="http://schemas.openxmlformats.org/officeDocument/2006/relationships/hyperlink" Target="https://drive.google.com/file/d/1IR51C8RY8pGhCcpOZra5T7DUThv6J9YI/view?usp=drivesdk" TargetMode="External"/><Relationship Id="rId10212" Type="http://schemas.openxmlformats.org/officeDocument/2006/relationships/hyperlink" Target="https://drive.google.com/file/d/10nEeyH-HiPr-s_6GM1Ycy4OvhBk3NpFW/view?usp=drivesdk" TargetMode="External"/><Relationship Id="rId11542" Type="http://schemas.openxmlformats.org/officeDocument/2006/relationships/hyperlink" Target="https://drive.google.com/file/d/1b1a2VGhPuWisoZaXsk3yOX0RYZlTyucw/view?usp=drivesdk" TargetMode="External"/><Relationship Id="rId12873" Type="http://schemas.openxmlformats.org/officeDocument/2006/relationships/hyperlink" Target="https://drive.google.com/file/d/1TPh-PNF88JR0iGIAj56_EpnznImujnJ1/view?usp=drivesdk" TargetMode="External"/><Relationship Id="rId11541" Type="http://schemas.openxmlformats.org/officeDocument/2006/relationships/hyperlink" Target="https://drive.google.com/file/d/1loOacvpYmSKI8eBrRkrKs7N0IckPjuF9/view?usp=drivesdk" TargetMode="External"/><Relationship Id="rId12872" Type="http://schemas.openxmlformats.org/officeDocument/2006/relationships/hyperlink" Target="https://drive.google.com/file/d/1SSgaJNuw_svGOdbKIp3gBt7aSIWBsPyB/view?usp=drivesdk" TargetMode="External"/><Relationship Id="rId10210" Type="http://schemas.openxmlformats.org/officeDocument/2006/relationships/hyperlink" Target="https://drive.google.com/file/d/1aaaClY7s5p5Uj-8Xb22OZ-vJMPdXdiY3/view?usp=drivesdk" TargetMode="External"/><Relationship Id="rId11540" Type="http://schemas.openxmlformats.org/officeDocument/2006/relationships/hyperlink" Target="https://drive.google.com/file/d/1OqzyY5M3VZ1tWSvBiJlnK9BKDhSEpbpn/view?usp=drivesdk" TargetMode="External"/><Relationship Id="rId12871" Type="http://schemas.openxmlformats.org/officeDocument/2006/relationships/hyperlink" Target="https://drive.google.com/file/d/1IQJ4GN5S8YbL4vR_F7lLLwuvFcm7INFe/view?usp=drivesdk" TargetMode="External"/><Relationship Id="rId10226" Type="http://schemas.openxmlformats.org/officeDocument/2006/relationships/hyperlink" Target="https://drive.google.com/file/d/11HpC3fc4_GPZtlgIUGNCCGZxQ_swmukp/view?usp=drivesdk" TargetMode="External"/><Relationship Id="rId11558" Type="http://schemas.openxmlformats.org/officeDocument/2006/relationships/hyperlink" Target="https://drive.google.com/file/d/1U0EXyEPxX8IuORq4Gr5cy_NHWB88urbD/view?usp=drivesdk" TargetMode="External"/><Relationship Id="rId12889" Type="http://schemas.openxmlformats.org/officeDocument/2006/relationships/hyperlink" Target="https://drive.google.com/file/d/1K_9dQtC9M1uZrAD8yQHbLSM7PaEoqrlV/view?usp=drivesdk" TargetMode="External"/><Relationship Id="rId10227" Type="http://schemas.openxmlformats.org/officeDocument/2006/relationships/hyperlink" Target="https://drive.google.com/file/d/173ggnoH1Tm1w4LNKq-TiSg8qBRtjSOoH/view?usp=drivesdk" TargetMode="External"/><Relationship Id="rId11557" Type="http://schemas.openxmlformats.org/officeDocument/2006/relationships/hyperlink" Target="https://drive.google.com/file/d/1co5FW07C6d_6qGJCb5GPr3QULraKEpCd/view?usp=drivesdk" TargetMode="External"/><Relationship Id="rId12888" Type="http://schemas.openxmlformats.org/officeDocument/2006/relationships/hyperlink" Target="https://drive.google.com/file/d/1Wq7LZgyearf_shdFJ_asIlR5SIqN2ONl/view?usp=drivesdk" TargetMode="External"/><Relationship Id="rId10224" Type="http://schemas.openxmlformats.org/officeDocument/2006/relationships/hyperlink" Target="https://drive.google.com/file/d/19RPSHNbkZd-AMRjNZqaaAD2XSZ33pl9b/view?usp=drivesdk" TargetMode="External"/><Relationship Id="rId11556" Type="http://schemas.openxmlformats.org/officeDocument/2006/relationships/hyperlink" Target="https://drive.google.com/file/d/1eSLgo3BlixO80mcUxp_GQFAf9oGz72f6/view?usp=drivesdk" TargetMode="External"/><Relationship Id="rId12887" Type="http://schemas.openxmlformats.org/officeDocument/2006/relationships/hyperlink" Target="https://drive.google.com/file/d/1GI7mVHaOjZSJitv10X5ie5niWZr7B3xb/view?usp=drivesdk" TargetMode="External"/><Relationship Id="rId10225" Type="http://schemas.openxmlformats.org/officeDocument/2006/relationships/hyperlink" Target="https://drive.google.com/file/d/1f7diuG1phAANdJc0yysessMVhg40YlRY/view?usp=drivesdk" TargetMode="External"/><Relationship Id="rId11555" Type="http://schemas.openxmlformats.org/officeDocument/2006/relationships/hyperlink" Target="https://drive.google.com/file/d/1CECwFJDaFSvdNfB6eHJfrYAO17l0lJnc/view?usp=drivesdk" TargetMode="External"/><Relationship Id="rId12886" Type="http://schemas.openxmlformats.org/officeDocument/2006/relationships/hyperlink" Target="https://drive.google.com/file/d/11wdHYUEcTWN1kRaDrrkaPLz7JhSJIIgQ/view?usp=drivesdk" TargetMode="External"/><Relationship Id="rId10228" Type="http://schemas.openxmlformats.org/officeDocument/2006/relationships/hyperlink" Target="https://drive.google.com/file/d/1YMhCUfH_6zgIO239jL7j7zApLjchjpMz/view?usp=drivesdk" TargetMode="External"/><Relationship Id="rId10229" Type="http://schemas.openxmlformats.org/officeDocument/2006/relationships/hyperlink" Target="https://drive.google.com/file/d/1tT-i7pI2vUM76KEjfCGkBqhfUmuJQBZA/view?usp=drivesdk" TargetMode="External"/><Relationship Id="rId11559" Type="http://schemas.openxmlformats.org/officeDocument/2006/relationships/hyperlink" Target="https://drive.google.com/file/d/1M3Eo9LTIcuyILzI08Hm8AfiFC3aG3136/view?usp=drivesdk" TargetMode="External"/><Relationship Id="rId11550" Type="http://schemas.openxmlformats.org/officeDocument/2006/relationships/hyperlink" Target="https://drive.google.com/file/d/1ThBwoi9MpABE56DubSmA9QAFgo_3I53s/view?usp=drivesdk" TargetMode="External"/><Relationship Id="rId12881" Type="http://schemas.openxmlformats.org/officeDocument/2006/relationships/hyperlink" Target="https://drive.google.com/file/d/1abvnA1q0PRcCSUhNH3yDZvM0ndhL8aEn/view?usp=drivesdk" TargetMode="External"/><Relationship Id="rId12880" Type="http://schemas.openxmlformats.org/officeDocument/2006/relationships/hyperlink" Target="https://drive.google.com/file/d/14uvL3C4pEmVOZkgWN_bm999GRBBGjtOt/view?usp=drivesdk" TargetMode="External"/><Relationship Id="rId10222" Type="http://schemas.openxmlformats.org/officeDocument/2006/relationships/hyperlink" Target="https://drive.google.com/file/d/1VGqEVyZ3zCzTjMdTbh2u81KRvfF1oqII/view?usp=drivesdk" TargetMode="External"/><Relationship Id="rId11554" Type="http://schemas.openxmlformats.org/officeDocument/2006/relationships/hyperlink" Target="https://drive.google.com/file/d/1T9zjdWf9sNwGy6K4mLpiqjplDN8A63nL/view?usp=drivesdk" TargetMode="External"/><Relationship Id="rId12885" Type="http://schemas.openxmlformats.org/officeDocument/2006/relationships/hyperlink" Target="https://drive.google.com/file/d/19lluNMkcGyba3duDWTx6WJTddPhmtntx/view?usp=drivesdk" TargetMode="External"/><Relationship Id="rId10223" Type="http://schemas.openxmlformats.org/officeDocument/2006/relationships/hyperlink" Target="https://drive.google.com/file/d/1cGOfmteuENqUA2pIymb6y4IU1Rwxyqt4/view?usp=drivesdk" TargetMode="External"/><Relationship Id="rId11553" Type="http://schemas.openxmlformats.org/officeDocument/2006/relationships/hyperlink" Target="https://drive.google.com/file/d/1q2hJEtrlIdJXDGvIrRFDl225jORkemnK/view?usp=drivesdk" TargetMode="External"/><Relationship Id="rId12884" Type="http://schemas.openxmlformats.org/officeDocument/2006/relationships/hyperlink" Target="https://drive.google.com/file/d/1c5Ew2mIktxc06fjMB9o_WY6vLvkR3moy/view?usp=drivesdk" TargetMode="External"/><Relationship Id="rId10220" Type="http://schemas.openxmlformats.org/officeDocument/2006/relationships/hyperlink" Target="https://drive.google.com/file/d/1nVRwN6uo74WvKKdEadDMBll93XPNFz1I/view?usp=drivesdk" TargetMode="External"/><Relationship Id="rId11552" Type="http://schemas.openxmlformats.org/officeDocument/2006/relationships/hyperlink" Target="https://drive.google.com/file/d/1aM8PQXaSiucHfOC3ula1LfTN2OmRFpeN/view?usp=drivesdk" TargetMode="External"/><Relationship Id="rId12883" Type="http://schemas.openxmlformats.org/officeDocument/2006/relationships/hyperlink" Target="https://drive.google.com/file/d/1IVslTXkhkvbZ-mbrHxM8Bfoetxp-vYG7/view?usp=drivesdk" TargetMode="External"/><Relationship Id="rId10221" Type="http://schemas.openxmlformats.org/officeDocument/2006/relationships/hyperlink" Target="https://drive.google.com/file/d/15aWtFT_tVe8-BmO77J1QFhfRiq420eDO/view?usp=drivesdk" TargetMode="External"/><Relationship Id="rId11551" Type="http://schemas.openxmlformats.org/officeDocument/2006/relationships/hyperlink" Target="https://drive.google.com/file/d/17jCzz1IZHp_RD9UXhVsQE2anDDTLdRlJ/view?usp=drivesdk" TargetMode="External"/><Relationship Id="rId12882" Type="http://schemas.openxmlformats.org/officeDocument/2006/relationships/hyperlink" Target="https://drive.google.com/file/d/1p5X0W5Dikw-n9TIpWOQ7sMXSYBxENkP5/view?usp=drivesdk" TargetMode="External"/><Relationship Id="rId11525" Type="http://schemas.openxmlformats.org/officeDocument/2006/relationships/hyperlink" Target="https://drive.google.com/file/d/1diHRLLis0KHe-AN5tj0EYWNT4JmOUXjF/view?usp=drivesdk" TargetMode="External"/><Relationship Id="rId12856" Type="http://schemas.openxmlformats.org/officeDocument/2006/relationships/hyperlink" Target="https://drive.google.com/file/d/1SDYYGSVquasRIb65Pw01XJQoIDQUBYcZ/view?usp=drivesdk" TargetMode="External"/><Relationship Id="rId11524" Type="http://schemas.openxmlformats.org/officeDocument/2006/relationships/hyperlink" Target="https://drive.google.com/file/d/1m_oc_P6t_Nrvj08O8sGR7NfkzkWwp1TK/view?usp=drivesdk" TargetMode="External"/><Relationship Id="rId12855" Type="http://schemas.openxmlformats.org/officeDocument/2006/relationships/hyperlink" Target="https://drive.google.com/file/d/1YEpoKJuAfovkmwZHlWqwT4-iw9GDa_rj/view?usp=drivesdk" TargetMode="External"/><Relationship Id="rId11523" Type="http://schemas.openxmlformats.org/officeDocument/2006/relationships/hyperlink" Target="https://drive.google.com/file/d/1JDM8TvI-LBeNathYFB10OsY80KEdJGhC/view?usp=drivesdk" TargetMode="External"/><Relationship Id="rId12854" Type="http://schemas.openxmlformats.org/officeDocument/2006/relationships/hyperlink" Target="https://drive.google.com/file/d/1sk6EYJaxi6wCs2bEjYUHuLeC82Tknwc-/view?usp=drivesdk" TargetMode="External"/><Relationship Id="rId11522" Type="http://schemas.openxmlformats.org/officeDocument/2006/relationships/hyperlink" Target="https://drive.google.com/file/d/1vDFnXs6dgG6wm33LkFno0OApXN2-z5Gk/view?usp=drivesdk" TargetMode="External"/><Relationship Id="rId12853" Type="http://schemas.openxmlformats.org/officeDocument/2006/relationships/hyperlink" Target="https://drive.google.com/file/d/1VtL8U5EYfX9xEkafm1Tz-_Ofi2ECKsuN/view?usp=drivesdk" TargetMode="External"/><Relationship Id="rId11529" Type="http://schemas.openxmlformats.org/officeDocument/2006/relationships/hyperlink" Target="https://drive.google.com/file/d/1g7jZSN2vbheAMyAg4oCzJvejv8zIsmqY/view?usp=drivesdk" TargetMode="External"/><Relationship Id="rId11528" Type="http://schemas.openxmlformats.org/officeDocument/2006/relationships/hyperlink" Target="https://drive.google.com/file/d/1DYkRIzkEQohfm7z62szsd4e8H2MtLvEk/view?usp=drivesdk" TargetMode="External"/><Relationship Id="rId12859" Type="http://schemas.openxmlformats.org/officeDocument/2006/relationships/hyperlink" Target="https://drive.google.com/file/d/1a8bq53rG3C-gUexka4j13FP7aS2ASVSd/view?usp=drivesdk" TargetMode="External"/><Relationship Id="rId11527" Type="http://schemas.openxmlformats.org/officeDocument/2006/relationships/hyperlink" Target="https://drive.google.com/file/d/1WK1e2lLtVrRLfjMo7PQtCMdVKearRahD/view?usp=drivesdk" TargetMode="External"/><Relationship Id="rId12858" Type="http://schemas.openxmlformats.org/officeDocument/2006/relationships/hyperlink" Target="https://drive.google.com/file/d/1A_odFt5jrJAkFOAcm90d2efOD4DPdly2/view?usp=drivesdk" TargetMode="External"/><Relationship Id="rId11526" Type="http://schemas.openxmlformats.org/officeDocument/2006/relationships/hyperlink" Target="https://drive.google.com/file/d/1JrEspmBO0iQaRqvWZBgb0EJbtCXEbAiz/view?usp=drivesdk" TargetMode="External"/><Relationship Id="rId12857" Type="http://schemas.openxmlformats.org/officeDocument/2006/relationships/hyperlink" Target="https://drive.google.com/file/d/1eZCIPY7m3MxJdrMexR1GYbXNYGr6fbPd/view?usp=drivesdk" TargetMode="External"/><Relationship Id="rId11521" Type="http://schemas.openxmlformats.org/officeDocument/2006/relationships/hyperlink" Target="https://drive.google.com/file/d/18pYtO-FAxVaCKuqjYNQPGTqgPr6Qz7zo/view?usp=drivesdk" TargetMode="External"/><Relationship Id="rId12852" Type="http://schemas.openxmlformats.org/officeDocument/2006/relationships/hyperlink" Target="https://drive.google.com/file/d/17PXUGHcTZpvNrPXBsA5YEmDediTk_VxA/view?usp=drivesdk" TargetMode="External"/><Relationship Id="rId11520" Type="http://schemas.openxmlformats.org/officeDocument/2006/relationships/hyperlink" Target="https://drive.google.com/file/d/1D6GJQBOi1Aw2BlrNTOt9lOOnGCS0dYSM/view?usp=drivesdk" TargetMode="External"/><Relationship Id="rId12851" Type="http://schemas.openxmlformats.org/officeDocument/2006/relationships/hyperlink" Target="https://drive.google.com/file/d/1V7i7C2ltuZEpYAKzeFn17Rg79JZ7Z4oB/view?usp=drivesdk" TargetMode="External"/><Relationship Id="rId12850" Type="http://schemas.openxmlformats.org/officeDocument/2006/relationships/hyperlink" Target="https://drive.google.com/file/d/1PiKCLCBc83iRUYfBUB9MqrumNBll7ijV/view?usp=drivesdk" TargetMode="External"/><Relationship Id="rId10204" Type="http://schemas.openxmlformats.org/officeDocument/2006/relationships/hyperlink" Target="https://drive.google.com/file/d/1Y90Oi1plLSbBhu72PDx5PqkLn6Ctq1QB/view?usp=drivesdk" TargetMode="External"/><Relationship Id="rId11536" Type="http://schemas.openxmlformats.org/officeDocument/2006/relationships/hyperlink" Target="https://drive.google.com/file/d/1yy1b4MT_WSA5qoFFxCooPwhEZlZxtsWu/view?usp=drivesdk" TargetMode="External"/><Relationship Id="rId12867" Type="http://schemas.openxmlformats.org/officeDocument/2006/relationships/hyperlink" Target="https://drive.google.com/file/d/1qHpfcvI4pzrzTBDYCu7awRUmNjtNcdJP/view?usp=drivesdk" TargetMode="External"/><Relationship Id="rId10205" Type="http://schemas.openxmlformats.org/officeDocument/2006/relationships/hyperlink" Target="https://drive.google.com/file/d/1GHYrngJHT0dlEyWL8ShRdtjxJ1YIrBZQ/view?usp=drivesdk" TargetMode="External"/><Relationship Id="rId11535" Type="http://schemas.openxmlformats.org/officeDocument/2006/relationships/hyperlink" Target="https://drive.google.com/file/d/1QUB3XL6CXvHX6C9dxTm2Smk57_13nY7Z/view?usp=drivesdk" TargetMode="External"/><Relationship Id="rId12866" Type="http://schemas.openxmlformats.org/officeDocument/2006/relationships/hyperlink" Target="https://drive.google.com/file/d/1Ll0sTMRaN4c9MogWrWYnMzgcbv0JOUCJ/view?usp=drivesdk" TargetMode="External"/><Relationship Id="rId10202" Type="http://schemas.openxmlformats.org/officeDocument/2006/relationships/hyperlink" Target="https://drive.google.com/file/d/1y5px5h6q1AktWWVgyR0mUU5Snqcam-yi/view?usp=drivesdk" TargetMode="External"/><Relationship Id="rId11534" Type="http://schemas.openxmlformats.org/officeDocument/2006/relationships/hyperlink" Target="https://drive.google.com/file/d/1f9UNKRBKDOcDvoH2_L5keKpav2kEIGAK/view?usp=drivesdk" TargetMode="External"/><Relationship Id="rId12865" Type="http://schemas.openxmlformats.org/officeDocument/2006/relationships/hyperlink" Target="https://drive.google.com/file/d/1-YBU97XEM4ykDwYQc6EiZZJh7oT02AqG/view?usp=drivesdk" TargetMode="External"/><Relationship Id="rId10203" Type="http://schemas.openxmlformats.org/officeDocument/2006/relationships/hyperlink" Target="https://drive.google.com/file/d/1saXDGt0csR-Yj2PPa8SJg8ate9uhzQVI/view?usp=drivesdk" TargetMode="External"/><Relationship Id="rId11533" Type="http://schemas.openxmlformats.org/officeDocument/2006/relationships/hyperlink" Target="https://drive.google.com/file/d/157mGc5dBNsvgdEyRik6jhmRG9T3HWBZz/view?usp=drivesdk" TargetMode="External"/><Relationship Id="rId12864" Type="http://schemas.openxmlformats.org/officeDocument/2006/relationships/hyperlink" Target="https://drive.google.com/file/d/1dDcrRb341HvjB_vdzIcOz7EwbQ_NeY52/view?usp=drivesdk" TargetMode="External"/><Relationship Id="rId10208" Type="http://schemas.openxmlformats.org/officeDocument/2006/relationships/hyperlink" Target="https://drive.google.com/file/d/1vq-SbfDCKcYHi38qsnLCZot76hO3NiTG/view?usp=drivesdk" TargetMode="External"/><Relationship Id="rId10209" Type="http://schemas.openxmlformats.org/officeDocument/2006/relationships/hyperlink" Target="https://drive.google.com/file/d/1BUfn8PyRTz8MjJSI7rMcThXqBTGJGAca/view?usp=drivesdk" TargetMode="External"/><Relationship Id="rId11539" Type="http://schemas.openxmlformats.org/officeDocument/2006/relationships/hyperlink" Target="https://drive.google.com/file/d/174Yl54sVeqduj3Umfl9lOplDddl8yP99/view?usp=drivesdk" TargetMode="External"/><Relationship Id="rId10206" Type="http://schemas.openxmlformats.org/officeDocument/2006/relationships/hyperlink" Target="https://drive.google.com/file/d/1z6V_7iLzE8j1_3WedduAPYibCrQPxpRi/view?usp=drivesdk" TargetMode="External"/><Relationship Id="rId11538" Type="http://schemas.openxmlformats.org/officeDocument/2006/relationships/hyperlink" Target="https://drive.google.com/file/d/1H8gqDHDu7iwRzWyaiw4HBSmN_vd7VGJc/view?usp=drivesdk" TargetMode="External"/><Relationship Id="rId12869" Type="http://schemas.openxmlformats.org/officeDocument/2006/relationships/hyperlink" Target="https://drive.google.com/file/d/1XEkj9N6yR8LrkAsfzF68j4tdzRTAQ4K5/view?usp=drivesdk" TargetMode="External"/><Relationship Id="rId10207" Type="http://schemas.openxmlformats.org/officeDocument/2006/relationships/hyperlink" Target="https://drive.google.com/file/d/1goNQ_FVT15BR3RQB5XHCru3GdDTqHhjM/view?usp=drivesdk" TargetMode="External"/><Relationship Id="rId11537" Type="http://schemas.openxmlformats.org/officeDocument/2006/relationships/hyperlink" Target="https://drive.google.com/file/d/1raTo8PI3sIGHA8d9LS3nPaRZxcbk1YMO/view?usp=drivesdk" TargetMode="External"/><Relationship Id="rId12868" Type="http://schemas.openxmlformats.org/officeDocument/2006/relationships/hyperlink" Target="https://drive.google.com/file/d/1D2FviEnS15fEBLS-tuXeJLZcYx2wtHZl/view?usp=drivesdk" TargetMode="External"/><Relationship Id="rId10200" Type="http://schemas.openxmlformats.org/officeDocument/2006/relationships/hyperlink" Target="https://drive.google.com/file/d/1SWymkQGYCz-A37tO0UJG0S2j_vGqgv3X/view?usp=drivesdk" TargetMode="External"/><Relationship Id="rId11532" Type="http://schemas.openxmlformats.org/officeDocument/2006/relationships/hyperlink" Target="https://drive.google.com/file/d/1ftArdYz4c16HvtndAAIVMcscsP-hVw3u/view?usp=drivesdk" TargetMode="External"/><Relationship Id="rId12863" Type="http://schemas.openxmlformats.org/officeDocument/2006/relationships/hyperlink" Target="https://drive.google.com/file/d/10SYWKqwsBQlGAO9IW0WKqtzXjn2Xn36d/view?usp=drivesdk" TargetMode="External"/><Relationship Id="rId10201" Type="http://schemas.openxmlformats.org/officeDocument/2006/relationships/hyperlink" Target="https://drive.google.com/file/d/1m9pb0_JJ9JpZMaFxRowi3njL3Y5mC03t/view?usp=drivesdk" TargetMode="External"/><Relationship Id="rId11531" Type="http://schemas.openxmlformats.org/officeDocument/2006/relationships/hyperlink" Target="https://drive.google.com/file/d/1QKJWlPBrD6dh3SSNBqv68Dle5aAn18E6/view?usp=drivesdk" TargetMode="External"/><Relationship Id="rId12862" Type="http://schemas.openxmlformats.org/officeDocument/2006/relationships/hyperlink" Target="https://drive.google.com/file/d/1ucRHAbDlcNkI5cgzbv5ViXHQnyG22-jN/view?usp=drivesdk" TargetMode="External"/><Relationship Id="rId11530" Type="http://schemas.openxmlformats.org/officeDocument/2006/relationships/hyperlink" Target="https://drive.google.com/file/d/1xI3Gb4aqUgZz4AJUoGYPs1mHt6rbcRHH/view?usp=drivesdk" TargetMode="External"/><Relationship Id="rId12861" Type="http://schemas.openxmlformats.org/officeDocument/2006/relationships/hyperlink" Target="https://drive.google.com/file/d/1rH4ZI6Nv9Ups9uQh42PPyJKqd8ooczkP/view?usp=drivesdk" TargetMode="External"/><Relationship Id="rId12860" Type="http://schemas.openxmlformats.org/officeDocument/2006/relationships/hyperlink" Target="https://drive.google.com/file/d/15pPK0mToGTmjj-Ei8gpsffELZOODITMU/view?usp=drivesdk" TargetMode="External"/><Relationship Id="rId11590" Type="http://schemas.openxmlformats.org/officeDocument/2006/relationships/hyperlink" Target="https://drive.google.com/file/d/1DddP6h8tVVC42qX_kLnocTBrM1EUgnx6/view?usp=drivesdk" TargetMode="External"/><Relationship Id="rId10259" Type="http://schemas.openxmlformats.org/officeDocument/2006/relationships/hyperlink" Target="https://drive.google.com/file/d/1XPvtnd4IWi8bTD9m4PorXyYSDfbHsMMa/view?usp=drivesdk" TargetMode="External"/><Relationship Id="rId10257" Type="http://schemas.openxmlformats.org/officeDocument/2006/relationships/hyperlink" Target="https://drive.google.com/file/d/1juaOxSKlMecLZ6QrQBQDBwfLqklne6sJ/view?usp=drivesdk" TargetMode="External"/><Relationship Id="rId11589" Type="http://schemas.openxmlformats.org/officeDocument/2006/relationships/hyperlink" Target="https://drive.google.com/file/d/1ylfpbOTieYzMSdRtpASnJz6IhU5t_Fq-/view?usp=drivesdk" TargetMode="External"/><Relationship Id="rId10258" Type="http://schemas.openxmlformats.org/officeDocument/2006/relationships/hyperlink" Target="https://drive.google.com/file/d/1P_9FqS3iIT40CNRkoiruJO9SXQXwSjuT/view?usp=drivesdk" TargetMode="External"/><Relationship Id="rId11588" Type="http://schemas.openxmlformats.org/officeDocument/2006/relationships/hyperlink" Target="https://drive.google.com/file/d/1CEFMDDEUiYJN6_fx7TUSnlitn_sIzJd5/view?usp=drivesdk" TargetMode="External"/><Relationship Id="rId10251" Type="http://schemas.openxmlformats.org/officeDocument/2006/relationships/hyperlink" Target="https://drive.google.com/file/d/1gPTIpjClu0ZJ_57q_r5mFOwi8HGCrXQA/view?usp=drivesdk" TargetMode="External"/><Relationship Id="rId11583" Type="http://schemas.openxmlformats.org/officeDocument/2006/relationships/hyperlink" Target="https://drive.google.com/file/d/1QHp7anu0BIv4TuiaUuYN9sn0D8NhebWW/view?usp=drivesdk" TargetMode="External"/><Relationship Id="rId10252" Type="http://schemas.openxmlformats.org/officeDocument/2006/relationships/hyperlink" Target="https://drive.google.com/file/d/1Rn-AOeft0lEA4HLnOpcRzlcPHkoVObKy/view?usp=drivesdk" TargetMode="External"/><Relationship Id="rId11582" Type="http://schemas.openxmlformats.org/officeDocument/2006/relationships/hyperlink" Target="https://drive.google.com/file/d/1me1ywc3rbCqdKwc3m6x_pOA7WcCttZNE/view?usp=drivesdk" TargetMode="External"/><Relationship Id="rId11581" Type="http://schemas.openxmlformats.org/officeDocument/2006/relationships/hyperlink" Target="https://drive.google.com/file/d/1Fo9kbZhbcCad_aQ4uYXBoQROcuGbO5uZ/view?usp=drivesdk" TargetMode="External"/><Relationship Id="rId10250" Type="http://schemas.openxmlformats.org/officeDocument/2006/relationships/hyperlink" Target="https://drive.google.com/file/d/1SdE3kvA4pOOqaYebf0D7_9UEkMW09wV-/view?usp=drivesdk" TargetMode="External"/><Relationship Id="rId11580" Type="http://schemas.openxmlformats.org/officeDocument/2006/relationships/hyperlink" Target="https://drive.google.com/file/d/1o4xixGKnsYtwspTPUVoOpuBqnZ_BbJ4o/view?usp=drivesdk" TargetMode="External"/><Relationship Id="rId10255" Type="http://schemas.openxmlformats.org/officeDocument/2006/relationships/hyperlink" Target="https://drive.google.com/file/d/14tLnN7HHef601-z3M47P0AyyZouGwy8E/view?usp=drivesdk" TargetMode="External"/><Relationship Id="rId11587" Type="http://schemas.openxmlformats.org/officeDocument/2006/relationships/hyperlink" Target="https://drive.google.com/file/d/11MFIPvMjS8N__sEoRuLRdqIGQhXjIHkh/view?usp=drivesdk" TargetMode="External"/><Relationship Id="rId10256" Type="http://schemas.openxmlformats.org/officeDocument/2006/relationships/hyperlink" Target="https://drive.google.com/file/d/1H1wQTewWd_OqLipTAZrlHlD-mD6tZXKv/view?usp=drivesdk" TargetMode="External"/><Relationship Id="rId11586" Type="http://schemas.openxmlformats.org/officeDocument/2006/relationships/hyperlink" Target="https://drive.google.com/file/d/1LGVy8vHN1XTEOiw7OqyIT-H8rQJwlLzs/view?usp=drivesdk" TargetMode="External"/><Relationship Id="rId10253" Type="http://schemas.openxmlformats.org/officeDocument/2006/relationships/hyperlink" Target="https://drive.google.com/file/d/15D809kqRwT1PWgY3XRTVgN_obT2kF0qQ/view?usp=drivesdk" TargetMode="External"/><Relationship Id="rId11585" Type="http://schemas.openxmlformats.org/officeDocument/2006/relationships/hyperlink" Target="https://drive.google.com/file/d/19SFOzarGud9s0yecC50JN5uNHsPk90vk/view?usp=drivesdk" TargetMode="External"/><Relationship Id="rId10254" Type="http://schemas.openxmlformats.org/officeDocument/2006/relationships/hyperlink" Target="https://drive.google.com/file/d/1vhb3zJJlSeM-V9oWFOSLMkrD66Ojd2PN/view?usp=drivesdk" TargetMode="External"/><Relationship Id="rId11584" Type="http://schemas.openxmlformats.org/officeDocument/2006/relationships/hyperlink" Target="https://drive.google.com/file/d/172a6bEEzl7tX-cgnuznnxj378IlF2xze/view?usp=drivesdk" TargetMode="External"/><Relationship Id="rId10270" Type="http://schemas.openxmlformats.org/officeDocument/2006/relationships/hyperlink" Target="https://drive.google.com/file/d/1KC-Fh_nk_FYbbTmnc034TYpcMPIXKEo1/view?usp=drivesdk" TargetMode="External"/><Relationship Id="rId10268" Type="http://schemas.openxmlformats.org/officeDocument/2006/relationships/hyperlink" Target="https://drive.google.com/file/d/1AqNjU6W_yDz1SgReYTz55yC-mpzr2WsJ/view?usp=drivesdk" TargetMode="External"/><Relationship Id="rId10269" Type="http://schemas.openxmlformats.org/officeDocument/2006/relationships/hyperlink" Target="https://drive.google.com/file/d/1aF_uzRdVJXDZgB0OfdAvx0cSCAp4Zyzn/view?usp=drivesdk" TargetMode="External"/><Relationship Id="rId11599" Type="http://schemas.openxmlformats.org/officeDocument/2006/relationships/hyperlink" Target="https://drive.google.com/file/d/1dX_SKPxq4BaOlveDZb1Rl_0v7MDY1IcF/view?usp=drivesdk" TargetMode="External"/><Relationship Id="rId10262" Type="http://schemas.openxmlformats.org/officeDocument/2006/relationships/hyperlink" Target="https://drive.google.com/file/d/1Hvgan2rHJlQDiF2GkcJ-wSkHMkXpjnAG/view?usp=drivesdk" TargetMode="External"/><Relationship Id="rId11594" Type="http://schemas.openxmlformats.org/officeDocument/2006/relationships/hyperlink" Target="https://drive.google.com/file/d/1bZU5eRViRMC0S5ksp6rOmoxrQ5ebeXPa/view?usp=drivesdk" TargetMode="External"/><Relationship Id="rId10263" Type="http://schemas.openxmlformats.org/officeDocument/2006/relationships/hyperlink" Target="https://drive.google.com/file/d/1Flh3MCEeENRfDNmA09q-pWidRq8JUS78/view?usp=drivesdk" TargetMode="External"/><Relationship Id="rId11593" Type="http://schemas.openxmlformats.org/officeDocument/2006/relationships/hyperlink" Target="https://drive.google.com/file/d/1hNB8b1GWlzc-t2Ed9mZb-eYQqFc8wUkq/view?usp=drivesdk" TargetMode="External"/><Relationship Id="rId10260" Type="http://schemas.openxmlformats.org/officeDocument/2006/relationships/hyperlink" Target="https://drive.google.com/file/d/18QXtJUxuY7Q8iFcIStAEDjJD9UdTkxqe/view?usp=drivesdk" TargetMode="External"/><Relationship Id="rId11592" Type="http://schemas.openxmlformats.org/officeDocument/2006/relationships/hyperlink" Target="https://drive.google.com/file/d/1KI3d_0VHXHgUWrC36NDq_BdbJ2EC_90c/view?usp=drivesdk" TargetMode="External"/><Relationship Id="rId10261" Type="http://schemas.openxmlformats.org/officeDocument/2006/relationships/hyperlink" Target="https://drive.google.com/file/d/11UIicGbMS6NTxeRxNfmVECaZhM2PisyZ/view?usp=drivesdk" TargetMode="External"/><Relationship Id="rId11591" Type="http://schemas.openxmlformats.org/officeDocument/2006/relationships/hyperlink" Target="https://drive.google.com/file/d/1yKGi9Mkiu87tdE0yIijVyYlhE4Dm6uwB/view?usp=drivesdk" TargetMode="External"/><Relationship Id="rId10266" Type="http://schemas.openxmlformats.org/officeDocument/2006/relationships/hyperlink" Target="https://drive.google.com/file/d/11TB85syLWOJfIybA30_3irB4i0hzOXG2/view?usp=drivesdk" TargetMode="External"/><Relationship Id="rId11598" Type="http://schemas.openxmlformats.org/officeDocument/2006/relationships/hyperlink" Target="https://drive.google.com/file/d/1Z_dX8DncMn_KpxO7cwhGcBjOXZeO38su/view?usp=drivesdk" TargetMode="External"/><Relationship Id="rId10267" Type="http://schemas.openxmlformats.org/officeDocument/2006/relationships/hyperlink" Target="https://drive.google.com/file/d/1ivmw5AF_N-aAENwJ6NFJ76WkchxEUbNK/view?usp=drivesdk" TargetMode="External"/><Relationship Id="rId11597" Type="http://schemas.openxmlformats.org/officeDocument/2006/relationships/hyperlink" Target="https://drive.google.com/file/d/1KFeHF0lI7Y1Kof7F0SnpxkhmQ1OE_PAM/view?usp=drivesdk" TargetMode="External"/><Relationship Id="rId10264" Type="http://schemas.openxmlformats.org/officeDocument/2006/relationships/hyperlink" Target="https://drive.google.com/file/d/1ma4-nUX9_qpsoelk5HAdfXM3Pl1dQlh9/view?usp=drivesdk" TargetMode="External"/><Relationship Id="rId11596" Type="http://schemas.openxmlformats.org/officeDocument/2006/relationships/hyperlink" Target="https://drive.google.com/file/d/1VKIz8fbSx8oTkCt-iAwNmVG2gjhJlGDb/view?usp=drivesdk" TargetMode="External"/><Relationship Id="rId10265" Type="http://schemas.openxmlformats.org/officeDocument/2006/relationships/hyperlink" Target="https://drive.google.com/file/d/1ZUkS_x8hB2l8ZJ7RtpfeZ4_CaPOKkXqH/view?usp=drivesdk" TargetMode="External"/><Relationship Id="rId11595" Type="http://schemas.openxmlformats.org/officeDocument/2006/relationships/hyperlink" Target="https://drive.google.com/file/d/1pL9g8YyH1ivipVHDlRBKRYsBHs1p7cec/view?usp=drivesdk" TargetMode="External"/><Relationship Id="rId10237" Type="http://schemas.openxmlformats.org/officeDocument/2006/relationships/hyperlink" Target="https://drive.google.com/file/d/1TOjln0zCLl2UK74O6gLyVUORRoyF3ik1/view?usp=drivesdk" TargetMode="External"/><Relationship Id="rId11569" Type="http://schemas.openxmlformats.org/officeDocument/2006/relationships/hyperlink" Target="https://drive.google.com/file/d/1ELWeKc7c29ObiKHHH-6QZJpWZ-pepw97/view?usp=drivesdk" TargetMode="External"/><Relationship Id="rId10238" Type="http://schemas.openxmlformats.org/officeDocument/2006/relationships/hyperlink" Target="https://drive.google.com/file/d/127v8nilI4LQioxTQhouwG_toEdGnEHnj/view?usp=drivesdk" TargetMode="External"/><Relationship Id="rId11568" Type="http://schemas.openxmlformats.org/officeDocument/2006/relationships/hyperlink" Target="https://drive.google.com/file/d/10ThlsPWvTCT4ZE6tBVeelv_v4jKL0n-L/view?usp=drivesdk" TargetMode="External"/><Relationship Id="rId12899" Type="http://schemas.openxmlformats.org/officeDocument/2006/relationships/hyperlink" Target="https://drive.google.com/file/d/18GBDWLTcxctzC4eI7Yye7Cp8LpRZi7fU/view?usp=drivesdk" TargetMode="External"/><Relationship Id="rId10235" Type="http://schemas.openxmlformats.org/officeDocument/2006/relationships/hyperlink" Target="https://drive.google.com/file/d/1J55ii_SknZpSqPZ62iT87jNG3dbr_5Wr/view?usp=drivesdk" TargetMode="External"/><Relationship Id="rId11567" Type="http://schemas.openxmlformats.org/officeDocument/2006/relationships/hyperlink" Target="https://drive.google.com/file/d/1PoVy_j5DYQaDkmfE66QjPy2oRZ-HG0Yg/view?usp=drivesdk" TargetMode="External"/><Relationship Id="rId12898" Type="http://schemas.openxmlformats.org/officeDocument/2006/relationships/hyperlink" Target="https://drive.google.com/file/d/1F8AlLKccQCbbVyUqj58DX85YXt56v26r/view?usp=drivesdk" TargetMode="External"/><Relationship Id="rId10236" Type="http://schemas.openxmlformats.org/officeDocument/2006/relationships/hyperlink" Target="https://drive.google.com/file/d/1WIBB7Ge4UCBTzsgdevOdZO0qb8Fw68Gg/view?usp=drivesdk" TargetMode="External"/><Relationship Id="rId11566" Type="http://schemas.openxmlformats.org/officeDocument/2006/relationships/hyperlink" Target="https://drive.google.com/file/d/1s4ppEUAJszp34wiaPOsfY1Ih6xYaTjSK/view?usp=drivesdk" TargetMode="External"/><Relationship Id="rId12897" Type="http://schemas.openxmlformats.org/officeDocument/2006/relationships/hyperlink" Target="https://drive.google.com/file/d/1St0h2FJvtzSPGwB6BnUNZPns6faW8d8Q/view?usp=drivesdk" TargetMode="External"/><Relationship Id="rId10239" Type="http://schemas.openxmlformats.org/officeDocument/2006/relationships/hyperlink" Target="https://drive.google.com/file/d/152IH-Xr3znYhQphDOR-1WuT2GnJ_MIaW/view?usp=drivesdk" TargetMode="External"/><Relationship Id="rId11561" Type="http://schemas.openxmlformats.org/officeDocument/2006/relationships/hyperlink" Target="https://drive.google.com/file/d/1e1WfTpHZeMrnhHiadWlRiqQShiOIKihX/view?usp=drivesdk" TargetMode="External"/><Relationship Id="rId12892" Type="http://schemas.openxmlformats.org/officeDocument/2006/relationships/hyperlink" Target="https://drive.google.com/file/d/1btkiOK2xBa6q1gjDlgtD9Ox3Vs60EIke/view?usp=drivesdk" TargetMode="External"/><Relationship Id="rId10230" Type="http://schemas.openxmlformats.org/officeDocument/2006/relationships/hyperlink" Target="https://drive.google.com/file/d/1bm8p7TtdJeXPTA9IgbkhWLmc-p-_k9FM/view?usp=drivesdk" TargetMode="External"/><Relationship Id="rId11560" Type="http://schemas.openxmlformats.org/officeDocument/2006/relationships/hyperlink" Target="https://drive.google.com/file/d/14_1goQzxxJ_OcDNOh66LMVuqMiMxnsvu/view?usp=drivesdk" TargetMode="External"/><Relationship Id="rId12891" Type="http://schemas.openxmlformats.org/officeDocument/2006/relationships/hyperlink" Target="https://drive.google.com/file/d/1KfLM5I6oOZs6Mhw1xeeuL9PR-xY0Cb0U/view?usp=drivesdk" TargetMode="External"/><Relationship Id="rId12890" Type="http://schemas.openxmlformats.org/officeDocument/2006/relationships/hyperlink" Target="https://drive.google.com/file/d/1p-UOb-L_708hnx1xQOvCqAX8JFWw4ZHn/view?usp=drivesdk" TargetMode="External"/><Relationship Id="rId10233" Type="http://schemas.openxmlformats.org/officeDocument/2006/relationships/hyperlink" Target="https://drive.google.com/file/d/182JRQb1gcu0sxBU4P0U9XsBr2BN4B5q8/view?usp=drivesdk" TargetMode="External"/><Relationship Id="rId11565" Type="http://schemas.openxmlformats.org/officeDocument/2006/relationships/hyperlink" Target="https://drive.google.com/file/d/1Te-3mHDMKTcgJijwvUbholC9bCbHwiGc/view?usp=drivesdk" TargetMode="External"/><Relationship Id="rId12896" Type="http://schemas.openxmlformats.org/officeDocument/2006/relationships/hyperlink" Target="https://drive.google.com/file/d/1UnFCf5MFEjHDlzQ3tsptImBhpOqBmyf3/view?usp=drivesdk" TargetMode="External"/><Relationship Id="rId10234" Type="http://schemas.openxmlformats.org/officeDocument/2006/relationships/hyperlink" Target="https://drive.google.com/file/d/1IS4_9IEy3tVrfohwxwLA_-fuFbL4q6TI/view?usp=drivesdk" TargetMode="External"/><Relationship Id="rId11564" Type="http://schemas.openxmlformats.org/officeDocument/2006/relationships/hyperlink" Target="https://drive.google.com/file/d/1l6tCTQ6GbtREOJ9m2XCmReGkk_SkAP6w/view?usp=drivesdk" TargetMode="External"/><Relationship Id="rId12895" Type="http://schemas.openxmlformats.org/officeDocument/2006/relationships/hyperlink" Target="https://drive.google.com/file/d/1YX6lI1oX3EXcudjB6VNY6aDZRKnoaiip/view?usp=drivesdk" TargetMode="External"/><Relationship Id="rId10231" Type="http://schemas.openxmlformats.org/officeDocument/2006/relationships/hyperlink" Target="https://drive.google.com/file/d/1pUx0syi1b_SlT96ZywUJTLJblB6NvCmj/view?usp=drivesdk" TargetMode="External"/><Relationship Id="rId11563" Type="http://schemas.openxmlformats.org/officeDocument/2006/relationships/hyperlink" Target="https://drive.google.com/file/d/13bMX5mKH0oOLbIm9czbsun852XsyVJVf/view?usp=drivesdk" TargetMode="External"/><Relationship Id="rId12894" Type="http://schemas.openxmlformats.org/officeDocument/2006/relationships/hyperlink" Target="https://drive.google.com/file/d/1eKtRGTW6VNviK3hXeUcrlT8FHfKnFzbN/view?usp=drivesdk" TargetMode="External"/><Relationship Id="rId10232" Type="http://schemas.openxmlformats.org/officeDocument/2006/relationships/hyperlink" Target="https://drive.google.com/file/d/1-CwdBB1xanOUzKYHARjcRC8u7JX9bT4v/view?usp=drivesdk" TargetMode="External"/><Relationship Id="rId11562" Type="http://schemas.openxmlformats.org/officeDocument/2006/relationships/hyperlink" Target="https://drive.google.com/file/d/1aq5wzBDk-45-7yp9Egsnj4Cd0PKebO0b/view?usp=drivesdk" TargetMode="External"/><Relationship Id="rId12893" Type="http://schemas.openxmlformats.org/officeDocument/2006/relationships/hyperlink" Target="https://drive.google.com/file/d/1GExuV1jOLwJLul5sysp1qZUkDwSSWq0r/view?usp=drivesdk" TargetMode="External"/><Relationship Id="rId10248" Type="http://schemas.openxmlformats.org/officeDocument/2006/relationships/hyperlink" Target="https://drive.google.com/file/d/1ICleNpyR8ZDLqgcVN8an8yzKvqz88JmL/view?usp=drivesdk" TargetMode="External"/><Relationship Id="rId10249" Type="http://schemas.openxmlformats.org/officeDocument/2006/relationships/hyperlink" Target="https://drive.google.com/file/d/1We_B62yq48nexu6Q_ya4bDcmphBWt103/view?usp=drivesdk" TargetMode="External"/><Relationship Id="rId11579" Type="http://schemas.openxmlformats.org/officeDocument/2006/relationships/hyperlink" Target="https://drive.google.com/file/d/1K7-6ZWOqpaOF0ZV0rgrmugeNJ0A-PqKh/view?usp=drivesdk" TargetMode="External"/><Relationship Id="rId10246" Type="http://schemas.openxmlformats.org/officeDocument/2006/relationships/hyperlink" Target="https://drive.google.com/file/d/1l4f5bKwdEgLPQx5wBcU4zf-DE7asmVF6/view?usp=drivesdk" TargetMode="External"/><Relationship Id="rId11578" Type="http://schemas.openxmlformats.org/officeDocument/2006/relationships/hyperlink" Target="https://drive.google.com/file/d/1DsYWTkHArtJdRyWlng6e-17IKziJNhm2/view?usp=drivesdk" TargetMode="External"/><Relationship Id="rId10247" Type="http://schemas.openxmlformats.org/officeDocument/2006/relationships/hyperlink" Target="https://drive.google.com/file/d/1yEqAvvNdOev_GSU572EZoiPgQRNar_Nz/view?usp=drivesdk" TargetMode="External"/><Relationship Id="rId11577" Type="http://schemas.openxmlformats.org/officeDocument/2006/relationships/hyperlink" Target="https://drive.google.com/file/d/1vph2T52iDvz336CH9x4LRB_ppJCDhDxF/view?usp=drivesdk" TargetMode="External"/><Relationship Id="rId10240" Type="http://schemas.openxmlformats.org/officeDocument/2006/relationships/hyperlink" Target="https://drive.google.com/file/d/1fRcb6KUhUAYAp_T7qwnUomw8O4e-Fnwz/view?usp=drivesdk" TargetMode="External"/><Relationship Id="rId11572" Type="http://schemas.openxmlformats.org/officeDocument/2006/relationships/hyperlink" Target="https://drive.google.com/file/d/1gTLhBZFYW6FcbgxhUZS2F_LLYdx-zwwL/view?usp=drivesdk" TargetMode="External"/><Relationship Id="rId10241" Type="http://schemas.openxmlformats.org/officeDocument/2006/relationships/hyperlink" Target="https://drive.google.com/file/d/1b2CsPJfxsDYSjz1ofEVTGsnSufg0kXYm/view?usp=drivesdk" TargetMode="External"/><Relationship Id="rId11571" Type="http://schemas.openxmlformats.org/officeDocument/2006/relationships/hyperlink" Target="https://drive.google.com/file/d/1Hv_VAHj_pdBLYPCUtx5jQFR0TAIHF8Te/view?usp=drivesdk" TargetMode="External"/><Relationship Id="rId11570" Type="http://schemas.openxmlformats.org/officeDocument/2006/relationships/hyperlink" Target="https://drive.google.com/file/d/1q_35VbdR9JyxBqZTWxZ0OnKxs8EeALe-/view?usp=drivesdk" TargetMode="External"/><Relationship Id="rId10244" Type="http://schemas.openxmlformats.org/officeDocument/2006/relationships/hyperlink" Target="https://drive.google.com/file/d/1IZEtucHwkFV391VyNcXxSd88v_7xCB4-/view?usp=drivesdk" TargetMode="External"/><Relationship Id="rId11576" Type="http://schemas.openxmlformats.org/officeDocument/2006/relationships/hyperlink" Target="https://drive.google.com/file/d/1ykR1UM8RZX-TF6arEyyystOxLopwnhic/view?usp=drivesdk" TargetMode="External"/><Relationship Id="rId10245" Type="http://schemas.openxmlformats.org/officeDocument/2006/relationships/hyperlink" Target="https://drive.google.com/file/d/1Dj3S6SPp_rLBxe4SBT7q6o7F4irhstzp/view?usp=drivesdk" TargetMode="External"/><Relationship Id="rId11575" Type="http://schemas.openxmlformats.org/officeDocument/2006/relationships/hyperlink" Target="https://drive.google.com/file/d/1YI5joWxZhBXRqkgWEy7kpju6tYve_HVQ/view?usp=drivesdk" TargetMode="External"/><Relationship Id="rId10242" Type="http://schemas.openxmlformats.org/officeDocument/2006/relationships/hyperlink" Target="https://drive.google.com/file/d/1RM6WjeJ0x7XgQHF73q-0qXkpUksBtM75/view?usp=drivesdk" TargetMode="External"/><Relationship Id="rId11574" Type="http://schemas.openxmlformats.org/officeDocument/2006/relationships/hyperlink" Target="https://drive.google.com/file/d/1tSKD_KJSNX3SmJa4vYCHmflcaU5vc9LK/view?usp=drivesdk" TargetMode="External"/><Relationship Id="rId10243" Type="http://schemas.openxmlformats.org/officeDocument/2006/relationships/hyperlink" Target="https://drive.google.com/file/d/195oingHiYZpicCmAHVhzQ-obG7BiJhJm/view?usp=drivesdk" TargetMode="External"/><Relationship Id="rId11573" Type="http://schemas.openxmlformats.org/officeDocument/2006/relationships/hyperlink" Target="https://drive.google.com/file/d/1ChhHxw4tpmP9Xpez_XN4rrGdjsaRyhcu/view?usp=drivesdk" TargetMode="External"/><Relationship Id="rId190" Type="http://schemas.openxmlformats.org/officeDocument/2006/relationships/hyperlink" Target="https://drive.google.com/file/d/1zhFzLxMqoWmL1onimjOsCoY9JZOJgXiY/view?usp=drivesdk" TargetMode="External"/><Relationship Id="rId194" Type="http://schemas.openxmlformats.org/officeDocument/2006/relationships/hyperlink" Target="https://drive.google.com/file/d/1YJREIh9CKFQQe3BLu2XuL5yNj2o1h9Uj/view?usp=drivesdk" TargetMode="External"/><Relationship Id="rId193" Type="http://schemas.openxmlformats.org/officeDocument/2006/relationships/hyperlink" Target="https://drive.google.com/file/d/1k37wEgYSnpdWwKvHZkcyMxyugCTd2exn/view?usp=drivesdk" TargetMode="External"/><Relationship Id="rId192" Type="http://schemas.openxmlformats.org/officeDocument/2006/relationships/hyperlink" Target="https://drive.google.com/file/d/1yVJ8wv6tf6PMucOHcEzuXH6mL3prTPtb/view?usp=drivesdk" TargetMode="External"/><Relationship Id="rId191" Type="http://schemas.openxmlformats.org/officeDocument/2006/relationships/hyperlink" Target="https://drive.google.com/file/d/12Gwz3uxAt2q0Cy1i05ZWaGJ9PFAvdskM/view?usp=drivesdk" TargetMode="External"/><Relationship Id="rId11829" Type="http://schemas.openxmlformats.org/officeDocument/2006/relationships/hyperlink" Target="https://drive.google.com/file/d/16a0MqB6Vku-m3nIlN-KWoRhBYlqhT0Xi/view?usp=drivesdk" TargetMode="External"/><Relationship Id="rId11828" Type="http://schemas.openxmlformats.org/officeDocument/2006/relationships/hyperlink" Target="https://drive.google.com/file/d/1iZkdITXe756sR2Sqgb2_S2P2hOsjv73f/view?usp=drivesdk" TargetMode="External"/><Relationship Id="rId11827" Type="http://schemas.openxmlformats.org/officeDocument/2006/relationships/hyperlink" Target="https://drive.google.com/file/d/1IJ65H7HuD6tzYLTmTQT_HcQU_U9qUv6L/view?usp=drivesdk" TargetMode="External"/><Relationship Id="rId11822" Type="http://schemas.openxmlformats.org/officeDocument/2006/relationships/hyperlink" Target="https://drive.google.com/file/d/1yUeGi0oa97vIHaU0TPKg1toRsg5VKWWx/view?usp=drivesdk" TargetMode="External"/><Relationship Id="rId11821" Type="http://schemas.openxmlformats.org/officeDocument/2006/relationships/hyperlink" Target="https://drive.google.com/file/d/1v4TvHY9Nl0vXh7uNXOkG33XNxGhJJCA4/view?usp=drivesdk" TargetMode="External"/><Relationship Id="rId11820" Type="http://schemas.openxmlformats.org/officeDocument/2006/relationships/hyperlink" Target="https://drive.google.com/file/d/1zUiKJEZUVGRTYXtcLBR7EfMm-64B4Fha/view?usp=drivesdk" TargetMode="External"/><Relationship Id="rId11826" Type="http://schemas.openxmlformats.org/officeDocument/2006/relationships/hyperlink" Target="https://drive.google.com/file/d/1VhJ01bwSfW9K-pFexKcnXGGqeW610Wfk/view?usp=drivesdk" TargetMode="External"/><Relationship Id="rId11825" Type="http://schemas.openxmlformats.org/officeDocument/2006/relationships/hyperlink" Target="https://drive.google.com/file/d/1k3eC6paMd-vSowJt_KgYozMJTg7a-PtH/view?usp=drivesdk" TargetMode="External"/><Relationship Id="rId11824" Type="http://schemas.openxmlformats.org/officeDocument/2006/relationships/hyperlink" Target="https://drive.google.com/file/d/1i5Ra2-tRKwGTXMTytff8Wros1iYAPbUh/view?usp=drivesdk" TargetMode="External"/><Relationship Id="rId11823" Type="http://schemas.openxmlformats.org/officeDocument/2006/relationships/hyperlink" Target="https://drive.google.com/file/d/1RdCbJsnFZ3LfhvuR8zGw36R6E0wREpw4/view?usp=drivesdk" TargetMode="External"/><Relationship Id="rId187" Type="http://schemas.openxmlformats.org/officeDocument/2006/relationships/hyperlink" Target="https://drive.google.com/file/d/17mu0my2mq4ZtJ_dxjZwh0_Rynaq8-fMT/view?usp=drivesdk" TargetMode="External"/><Relationship Id="rId186" Type="http://schemas.openxmlformats.org/officeDocument/2006/relationships/hyperlink" Target="https://drive.google.com/file/d/1XvI2MtAzaHKpABIJ_gp3T10OyIGmnbVX/view?usp=drivesdk" TargetMode="External"/><Relationship Id="rId185" Type="http://schemas.openxmlformats.org/officeDocument/2006/relationships/hyperlink" Target="https://drive.google.com/file/d/1Te99aNiodkhExG5RKC65f3RzeiFxZmvi/view?usp=drivesdk" TargetMode="External"/><Relationship Id="rId184" Type="http://schemas.openxmlformats.org/officeDocument/2006/relationships/hyperlink" Target="https://drive.google.com/file/d/1gPhQpB2OLWR4SYV22bz6VNa0Tuw8XC_6/view?usp=drivesdk" TargetMode="External"/><Relationship Id="rId189" Type="http://schemas.openxmlformats.org/officeDocument/2006/relationships/hyperlink" Target="https://drive.google.com/file/d/19nBLulfjQYET4XSAcHtiwT6jyWP0jfWh/view?usp=drivesdk" TargetMode="External"/><Relationship Id="rId188" Type="http://schemas.openxmlformats.org/officeDocument/2006/relationships/hyperlink" Target="https://drive.google.com/file/d/1ftmwvd2FUOITDBPtRzhlxStf1XevHIDw/view?usp=drivesdk" TargetMode="External"/><Relationship Id="rId183" Type="http://schemas.openxmlformats.org/officeDocument/2006/relationships/hyperlink" Target="https://drive.google.com/file/d/1fyLjhHVU0ZmjMN6Hx22cJa3ejxl4hWKQ/view?usp=drivesdk" TargetMode="External"/><Relationship Id="rId182" Type="http://schemas.openxmlformats.org/officeDocument/2006/relationships/hyperlink" Target="https://drive.google.com/file/d/15hLSBAnSkU9WykK0R-cn-rPRZPtAT4XR/view?usp=drivesdk" TargetMode="External"/><Relationship Id="rId181" Type="http://schemas.openxmlformats.org/officeDocument/2006/relationships/hyperlink" Target="https://drive.google.com/file/d/1ghplGOcNZhs3um1hJJXeEqy3cpd6M8rY/view?usp=drivesdk" TargetMode="External"/><Relationship Id="rId180" Type="http://schemas.openxmlformats.org/officeDocument/2006/relationships/hyperlink" Target="https://drive.google.com/file/d/11KnLcd607GKFvg31FT_KEjIYO9JtJE_K/view?usp=drivesdk" TargetMode="External"/><Relationship Id="rId10509" Type="http://schemas.openxmlformats.org/officeDocument/2006/relationships/hyperlink" Target="https://drive.google.com/file/d/1w7D3d0vpPaH26w0yIbHS1UnGq45ulMfk/view?usp=drivesdk" TargetMode="External"/><Relationship Id="rId10507" Type="http://schemas.openxmlformats.org/officeDocument/2006/relationships/hyperlink" Target="https://drive.google.com/file/d/1ycPodahfeubFLCUhIfkypktb1i1pRLQc/view?usp=drivesdk" TargetMode="External"/><Relationship Id="rId11839" Type="http://schemas.openxmlformats.org/officeDocument/2006/relationships/hyperlink" Target="https://drive.google.com/file/d/1eb59hhb3PPOJnDuFuj-UtQ4iHgOmNvxT/view?usp=drivesdk" TargetMode="External"/><Relationship Id="rId10508" Type="http://schemas.openxmlformats.org/officeDocument/2006/relationships/hyperlink" Target="https://drive.google.com/file/d/1NLKPgdv54Y29n13kCFkrCm2qD2P2dKz2/view?usp=drivesdk" TargetMode="External"/><Relationship Id="rId11838" Type="http://schemas.openxmlformats.org/officeDocument/2006/relationships/hyperlink" Target="https://drive.google.com/file/d/1xThmKu5InrwFvsnmUMSuubkHPHRJI5Vb/view?usp=drivesdk" TargetMode="External"/><Relationship Id="rId10501" Type="http://schemas.openxmlformats.org/officeDocument/2006/relationships/hyperlink" Target="https://drive.google.com/file/d/1QcFjkdGBt9RDfJDX6A0kwn1xbBMPYKh-/view?usp=drivesdk" TargetMode="External"/><Relationship Id="rId11833" Type="http://schemas.openxmlformats.org/officeDocument/2006/relationships/hyperlink" Target="https://drive.google.com/file/d/1rZhznAv5vWBnrGEmX32Wu8BSyq86-ALz/view?usp=drivesdk" TargetMode="External"/><Relationship Id="rId10502" Type="http://schemas.openxmlformats.org/officeDocument/2006/relationships/hyperlink" Target="https://drive.google.com/file/d/1KTlBV9ZVB6DMOuluOXHHfkxeb1gODHVY/view?usp=drivesdk" TargetMode="External"/><Relationship Id="rId11832" Type="http://schemas.openxmlformats.org/officeDocument/2006/relationships/hyperlink" Target="https://drive.google.com/file/d/1-Xg38tn1jPLJRJ_BMRkrCRRtlMwO0GHd/view?usp=drivesdk" TargetMode="External"/><Relationship Id="rId11831" Type="http://schemas.openxmlformats.org/officeDocument/2006/relationships/hyperlink" Target="https://drive.google.com/file/d/1-f53PlLcL5w3guvQqT7Ez3yZEBW_OFcm/view?usp=drivesdk" TargetMode="External"/><Relationship Id="rId10500" Type="http://schemas.openxmlformats.org/officeDocument/2006/relationships/hyperlink" Target="https://drive.google.com/file/d/1dX4Pmp8Cuegwjgak9YaeN-dlo1s0nMcI/view?usp=drivesdk" TargetMode="External"/><Relationship Id="rId11830" Type="http://schemas.openxmlformats.org/officeDocument/2006/relationships/hyperlink" Target="https://drive.google.com/file/d/1OTDuRYb5FSOvRH8CMDiA2C9H-GTAm3MF/view?usp=drivesdk" TargetMode="External"/><Relationship Id="rId10505" Type="http://schemas.openxmlformats.org/officeDocument/2006/relationships/hyperlink" Target="https://drive.google.com/file/d/1ybJR4yn5AJKCmh7rVw7QB7ORwrH6N4EN/view?usp=drivesdk" TargetMode="External"/><Relationship Id="rId11837" Type="http://schemas.openxmlformats.org/officeDocument/2006/relationships/hyperlink" Target="https://drive.google.com/file/d/1zmNV2LeghpQX2PZ3_lb_aTXpAE5m8bq5/view?usp=drivesdk" TargetMode="External"/><Relationship Id="rId10506" Type="http://schemas.openxmlformats.org/officeDocument/2006/relationships/hyperlink" Target="https://drive.google.com/file/d/1shqhHz72vPnI_UdflZsYEDn-1TUT5E96/view?usp=drivesdk" TargetMode="External"/><Relationship Id="rId11836" Type="http://schemas.openxmlformats.org/officeDocument/2006/relationships/hyperlink" Target="https://drive.google.com/file/d/1A54Qdbl_bQPvANNLEMhlj0xxq-SkkU1m/view?usp=drivesdk" TargetMode="External"/><Relationship Id="rId10503" Type="http://schemas.openxmlformats.org/officeDocument/2006/relationships/hyperlink" Target="https://drive.google.com/file/d/1T-RfZlNwO-of9bHveVvHtHLSShMTp8hJ/view?usp=drivesdk" TargetMode="External"/><Relationship Id="rId11835" Type="http://schemas.openxmlformats.org/officeDocument/2006/relationships/hyperlink" Target="https://drive.google.com/file/d/11DV5GpSsICEcHEZecuDpMZ-INjtIzDxA/view?usp=drivesdk" TargetMode="External"/><Relationship Id="rId10504" Type="http://schemas.openxmlformats.org/officeDocument/2006/relationships/hyperlink" Target="https://drive.google.com/file/d/1UQUNk6kZ7QTglw6o-99237zGJNiVgCyn/view?usp=drivesdk" TargetMode="External"/><Relationship Id="rId11834" Type="http://schemas.openxmlformats.org/officeDocument/2006/relationships/hyperlink" Target="https://drive.google.com/file/d/1uM68HOZTY_2w1-1JsYu16AuIiJxV7MYK/view?usp=drivesdk" TargetMode="External"/><Relationship Id="rId176" Type="http://schemas.openxmlformats.org/officeDocument/2006/relationships/hyperlink" Target="https://drive.google.com/file/d/1ONWy0OssiUpCDSsRIu5RumE39980C2PU/view?usp=drivesdk" TargetMode="External"/><Relationship Id="rId175" Type="http://schemas.openxmlformats.org/officeDocument/2006/relationships/hyperlink" Target="https://drive.google.com/file/d/1_fTYL9LpMvKWe0YlRXyy9ssiyASYSsE7/view?usp=drivesdk" TargetMode="External"/><Relationship Id="rId174" Type="http://schemas.openxmlformats.org/officeDocument/2006/relationships/hyperlink" Target="https://drive.google.com/file/d/1UIkOXcM3vTsAeaRAb5yB12j1ssGX4QqP/view?usp=drivesdk" TargetMode="External"/><Relationship Id="rId173" Type="http://schemas.openxmlformats.org/officeDocument/2006/relationships/hyperlink" Target="https://drive.google.com/file/d/1n476lA8IcnElccO4t1ly2UHNK3qC-iB4/view?usp=drivesdk" TargetMode="External"/><Relationship Id="rId179" Type="http://schemas.openxmlformats.org/officeDocument/2006/relationships/hyperlink" Target="https://drive.google.com/file/d/15DPjSg_8tM2jAjmIfiNnikunXuQp1h58/view?usp=drivesdk" TargetMode="External"/><Relationship Id="rId178" Type="http://schemas.openxmlformats.org/officeDocument/2006/relationships/hyperlink" Target="https://drive.google.com/file/d/1Ra6lh1RvvOOfOoL269VZ6Y5ja4GV8MV_/view?usp=drivesdk" TargetMode="External"/><Relationship Id="rId177" Type="http://schemas.openxmlformats.org/officeDocument/2006/relationships/hyperlink" Target="https://drive.google.com/file/d/1dRmWfrMtUzovkfvqys05FKvn25cfjq23/view?usp=drivesdk" TargetMode="External"/><Relationship Id="rId11808" Type="http://schemas.openxmlformats.org/officeDocument/2006/relationships/hyperlink" Target="https://drive.google.com/file/d/1DoCmEohAnD_UqsqNVuXTn8fS570tpx1F/view?usp=drivesdk" TargetMode="External"/><Relationship Id="rId11807" Type="http://schemas.openxmlformats.org/officeDocument/2006/relationships/hyperlink" Target="http://sarti.se" TargetMode="External"/><Relationship Id="rId11806" Type="http://schemas.openxmlformats.org/officeDocument/2006/relationships/hyperlink" Target="https://drive.google.com/file/d/1YGHisTO5JVP9NaKVfQ0fg8oAkrtFSXof/view?usp=drivesdk" TargetMode="External"/><Relationship Id="rId11805" Type="http://schemas.openxmlformats.org/officeDocument/2006/relationships/hyperlink" Target="https://drive.google.com/file/d/1ZGWQxRr1rFgdh2xAsyqoLT-9X79H_zFR/view?usp=drivesdk" TargetMode="External"/><Relationship Id="rId11809" Type="http://schemas.openxmlformats.org/officeDocument/2006/relationships/hyperlink" Target="https://drive.google.com/file/d/1ctqCMa_toScP5fzVeVxr2Jb1rfXq8BFS/view?usp=drivesdk" TargetMode="External"/><Relationship Id="rId11800" Type="http://schemas.openxmlformats.org/officeDocument/2006/relationships/hyperlink" Target="https://drive.google.com/file/d/1tC2E_YQgvfDQZjwptN3c30r9jVRrdMii/view?usp=drivesdk" TargetMode="External"/><Relationship Id="rId11804" Type="http://schemas.openxmlformats.org/officeDocument/2006/relationships/hyperlink" Target="https://drive.google.com/file/d/1JEJDOGDBzYA2JCOsS9ZCsIInt3xzE65j/view?usp=drivesdk" TargetMode="External"/><Relationship Id="rId11803" Type="http://schemas.openxmlformats.org/officeDocument/2006/relationships/hyperlink" Target="https://drive.google.com/file/d/1zV2fjBVemPlR-YtPDOsXWBh22ZbiriUr/view?usp=drivesdk" TargetMode="External"/><Relationship Id="rId11802" Type="http://schemas.openxmlformats.org/officeDocument/2006/relationships/hyperlink" Target="https://drive.google.com/file/d/1DJW6sKAaBGyxyOV9hjgdtvAsk07mK4ws/view?usp=drivesdk" TargetMode="External"/><Relationship Id="rId11801" Type="http://schemas.openxmlformats.org/officeDocument/2006/relationships/hyperlink" Target="https://drive.google.com/file/d/1Ieig6L2OZeSRPQqzQJPuuxVYoQ_UtpH2/view?usp=drivesdk" TargetMode="External"/><Relationship Id="rId11819" Type="http://schemas.openxmlformats.org/officeDocument/2006/relationships/hyperlink" Target="https://drive.google.com/file/d/1WSpyncoqsORg5PURG6mF2FWS2dfAOUhw/view?usp=drivesdk" TargetMode="External"/><Relationship Id="rId11818" Type="http://schemas.openxmlformats.org/officeDocument/2006/relationships/hyperlink" Target="https://drive.google.com/file/d/185lpwZaPobB1VhgXauwH2cFvu69Er8C5/view?usp=drivesdk" TargetMode="External"/><Relationship Id="rId11817" Type="http://schemas.openxmlformats.org/officeDocument/2006/relationships/hyperlink" Target="https://drive.google.com/file/d/1Xp6Xk0b_Edfc-3-C_005Q8UfVGrP49w-/view?usp=drivesdk" TargetMode="External"/><Relationship Id="rId11816" Type="http://schemas.openxmlformats.org/officeDocument/2006/relationships/hyperlink" Target="https://drive.google.com/file/d/1pSr3jqb8c6QrAxoqziVhaNSYMXUdUXjo/view?usp=drivesdk" TargetMode="External"/><Relationship Id="rId11811" Type="http://schemas.openxmlformats.org/officeDocument/2006/relationships/hyperlink" Target="https://drive.google.com/file/d/156-YDDlJIigOePtwxe5Qaz4HCaOuik1I/view?usp=drivesdk" TargetMode="External"/><Relationship Id="rId11810" Type="http://schemas.openxmlformats.org/officeDocument/2006/relationships/hyperlink" Target="https://drive.google.com/file/d/1-AdAh5Boa_s17dxuLdf_2smR-yCJqmTp/view?usp=drivesdk" TargetMode="External"/><Relationship Id="rId11815" Type="http://schemas.openxmlformats.org/officeDocument/2006/relationships/hyperlink" Target="https://drive.google.com/file/d/1c-xmNy0O8ApzLoHYH1q_bKxPwq-yRY73/view?usp=drivesdk" TargetMode="External"/><Relationship Id="rId11814" Type="http://schemas.openxmlformats.org/officeDocument/2006/relationships/hyperlink" Target="https://drive.google.com/file/d/1WRl7hjeq5ZZNQJBDP1VUccNDRYBF-Ghc/view?usp=drivesdk" TargetMode="External"/><Relationship Id="rId11813" Type="http://schemas.openxmlformats.org/officeDocument/2006/relationships/hyperlink" Target="https://drive.google.com/file/d/1FVHTCm_uZ1drRtmaU_zn_ZiP1KL3adAB/view?usp=drivesdk" TargetMode="External"/><Relationship Id="rId11812" Type="http://schemas.openxmlformats.org/officeDocument/2006/relationships/hyperlink" Target="https://drive.google.com/file/d/1y6NAMqfG2QkjoG0A6M2LVojMU__6sBKE/view?usp=drivesdk" TargetMode="External"/><Relationship Id="rId198" Type="http://schemas.openxmlformats.org/officeDocument/2006/relationships/hyperlink" Target="https://drive.google.com/file/d/1nbhTj7FRPmSDpk_iJMbrMBlmnm2xuwIf/view?usp=drivesdk" TargetMode="External"/><Relationship Id="rId197" Type="http://schemas.openxmlformats.org/officeDocument/2006/relationships/hyperlink" Target="https://drive.google.com/file/d/16awhK9YYFF-GETG2yXUN1ertYt1jXDc_/view?usp=drivesdk" TargetMode="External"/><Relationship Id="rId196" Type="http://schemas.openxmlformats.org/officeDocument/2006/relationships/hyperlink" Target="https://drive.google.com/file/d/1MN0RZ6bm-MSRtpY3FQk5IOPRlqz2EYNw/view?usp=drivesdk" TargetMode="External"/><Relationship Id="rId195" Type="http://schemas.openxmlformats.org/officeDocument/2006/relationships/hyperlink" Target="https://drive.google.com/file/d/1OnLHVAKFaHE-rnfoRVnPd_cETk6GUEt8/view?usp=drivesdk" TargetMode="External"/><Relationship Id="rId199" Type="http://schemas.openxmlformats.org/officeDocument/2006/relationships/hyperlink" Target="https://drive.google.com/file/d/1xipLiJ83zyLBhCdK4T2f7FYZViPPRh3T/view?usp=drivesdk" TargetMode="External"/><Relationship Id="rId150" Type="http://schemas.openxmlformats.org/officeDocument/2006/relationships/hyperlink" Target="https://drive.google.com/file/d/1REw-DfaL4MfhwfjfXa6zZjA28G-_Dyhx/view?usp=drivesdk" TargetMode="External"/><Relationship Id="rId10534" Type="http://schemas.openxmlformats.org/officeDocument/2006/relationships/hyperlink" Target="https://drive.google.com/file/d/1aHvsgBnugm-efvUizelMu2WBGFPu1gPe/view?usp=drivesdk" TargetMode="External"/><Relationship Id="rId11866" Type="http://schemas.openxmlformats.org/officeDocument/2006/relationships/hyperlink" Target="https://drive.google.com/file/d/1oTWfAG0vhUmxQgjL2cnXDA9_fhLeOd-x/view?usp=drivesdk" TargetMode="External"/><Relationship Id="rId10535" Type="http://schemas.openxmlformats.org/officeDocument/2006/relationships/hyperlink" Target="https://drive.google.com/file/d/1lC2Np7B9-pSjokPhZEm6EopUXFdMtOuq/view?usp=drivesdk" TargetMode="External"/><Relationship Id="rId11865" Type="http://schemas.openxmlformats.org/officeDocument/2006/relationships/hyperlink" Target="https://drive.google.com/file/d/1ycPt_J440zg7hsAdP1MlXy-CfV4wDvrb/view?usp=drivesdk" TargetMode="External"/><Relationship Id="rId149" Type="http://schemas.openxmlformats.org/officeDocument/2006/relationships/hyperlink" Target="https://drive.google.com/file/d/16VQ0PFknYq9Uu5w1vzHsDJa8Ng--l-D3/view?usp=drivesdk" TargetMode="External"/><Relationship Id="rId10532" Type="http://schemas.openxmlformats.org/officeDocument/2006/relationships/hyperlink" Target="https://drive.google.com/file/d/1ACI7ize7GumQ3p9h5jMJWHsV7xcy6IpW/view?usp=drivesdk" TargetMode="External"/><Relationship Id="rId11864" Type="http://schemas.openxmlformats.org/officeDocument/2006/relationships/hyperlink" Target="https://drive.google.com/file/d/1DMrEVE48DClNxc9bOWOF0qwUmPv1HMwX/view?usp=drivesdk" TargetMode="External"/><Relationship Id="rId148" Type="http://schemas.openxmlformats.org/officeDocument/2006/relationships/hyperlink" Target="https://drive.google.com/file/d/1iiePQ0_2CCX7mzjMPtTRvK8-32kkf6Wk/view?usp=drivesdk" TargetMode="External"/><Relationship Id="rId10533" Type="http://schemas.openxmlformats.org/officeDocument/2006/relationships/hyperlink" Target="https://drive.google.com/file/d/1wIKA_Fj2BdivYHlcU4dpaq7vG3b76GcP/view?usp=drivesdk" TargetMode="External"/><Relationship Id="rId11863" Type="http://schemas.openxmlformats.org/officeDocument/2006/relationships/hyperlink" Target="https://drive.google.com/file/d/1EyvcnDzqunOYaVlrxnzA_JF7g3jYzhjL/view?usp=drivesdk" TargetMode="External"/><Relationship Id="rId10538" Type="http://schemas.openxmlformats.org/officeDocument/2006/relationships/hyperlink" Target="https://drive.google.com/file/d/1X2OuIZKieA7Hm-rAYKPudyVIEzg_VK1H/view?usp=drivesdk" TargetMode="External"/><Relationship Id="rId10539" Type="http://schemas.openxmlformats.org/officeDocument/2006/relationships/hyperlink" Target="https://drive.google.com/file/d/1tereHp-FpX4GZlU1DKp_Kh1IpcxIhmzj/view?usp=drivesdk" TargetMode="External"/><Relationship Id="rId11869" Type="http://schemas.openxmlformats.org/officeDocument/2006/relationships/hyperlink" Target="https://drive.google.com/file/d/1ozZQLPI7l6r3GCXqOciWtPLBR-QBq_9o/view?usp=drivesdk" TargetMode="External"/><Relationship Id="rId10536" Type="http://schemas.openxmlformats.org/officeDocument/2006/relationships/hyperlink" Target="https://drive.google.com/file/d/1PHUkYP5L79aBmxO7L5nhOhMA06CSJFwQ/view?usp=drivesdk" TargetMode="External"/><Relationship Id="rId11868" Type="http://schemas.openxmlformats.org/officeDocument/2006/relationships/hyperlink" Target="https://drive.google.com/file/d/1yHHm75kzRUAuovkN4ajC-iXew1UKWL25/view?usp=drivesdk" TargetMode="External"/><Relationship Id="rId10537" Type="http://schemas.openxmlformats.org/officeDocument/2006/relationships/hyperlink" Target="https://drive.google.com/file/d/1lxTCa-15aZCZpwr6TZojSEG6-FB1v6Mo/view?usp=drivesdk" TargetMode="External"/><Relationship Id="rId11867" Type="http://schemas.openxmlformats.org/officeDocument/2006/relationships/hyperlink" Target="https://drive.google.com/file/d/1BnBx2YcfffzUe5UUbO4xsVSp7cLMJyjm/view?usp=drivesdk" TargetMode="External"/><Relationship Id="rId143" Type="http://schemas.openxmlformats.org/officeDocument/2006/relationships/hyperlink" Target="https://drive.google.com/file/d/1JcD0wOiZ6i2vdcEOVvk-2zlzAROgypOd/view?usp=drivesdk" TargetMode="External"/><Relationship Id="rId142" Type="http://schemas.openxmlformats.org/officeDocument/2006/relationships/hyperlink" Target="https://drive.google.com/file/d/1s6sigVtCnpZKXM2ENgRQ9r7p8FF5n2-u/view?usp=drivesdk" TargetMode="External"/><Relationship Id="rId141" Type="http://schemas.openxmlformats.org/officeDocument/2006/relationships/hyperlink" Target="https://drive.google.com/file/d/1RwfyWQa5ZwoLdQDMnibqb5KgQPGx_8Lr/view?usp=drivesdk" TargetMode="External"/><Relationship Id="rId140" Type="http://schemas.openxmlformats.org/officeDocument/2006/relationships/hyperlink" Target="https://drive.google.com/file/d/1BatxnLiNFLKmLjp-5EC6VmAumxbU5M2Q/view?usp=drivesdk" TargetMode="External"/><Relationship Id="rId147" Type="http://schemas.openxmlformats.org/officeDocument/2006/relationships/hyperlink" Target="https://drive.google.com/file/d/1kNwT0wmSMljam06oaNI053pWHyoudaLH/view?usp=drivesdk" TargetMode="External"/><Relationship Id="rId10530" Type="http://schemas.openxmlformats.org/officeDocument/2006/relationships/hyperlink" Target="https://drive.google.com/file/d/1uAIb-qrwbtuIooj9d_pDRgw7X5JZHbOC/view?usp=drivesdk" TargetMode="External"/><Relationship Id="rId11862" Type="http://schemas.openxmlformats.org/officeDocument/2006/relationships/hyperlink" Target="https://drive.google.com/file/d/1JxWNCF81ViIbNE0ReEZks7Ufqelds-9A/view?usp=drivesdk" TargetMode="External"/><Relationship Id="rId146" Type="http://schemas.openxmlformats.org/officeDocument/2006/relationships/hyperlink" Target="https://drive.google.com/file/d/1nhEU6Dpw2mglDNOgVSlheN6X_CE-keNJ/view?usp=drivesdk" TargetMode="External"/><Relationship Id="rId10531" Type="http://schemas.openxmlformats.org/officeDocument/2006/relationships/hyperlink" Target="https://drive.google.com/file/d/1WFlcqL47tFTNooid4Our3QPbuB0g-lSO/view?usp=drivesdk" TargetMode="External"/><Relationship Id="rId11861" Type="http://schemas.openxmlformats.org/officeDocument/2006/relationships/hyperlink" Target="https://drive.google.com/file/d/1Si6uES_HFE3Dfh8t45HgXUkkxYyRJMWI/view?usp=drivesdk" TargetMode="External"/><Relationship Id="rId145" Type="http://schemas.openxmlformats.org/officeDocument/2006/relationships/hyperlink" Target="https://drive.google.com/file/d/1BxzHI88T-W9l0GUpwNKSYrv-UPj4OcJG/view?usp=drivesdk" TargetMode="External"/><Relationship Id="rId11860" Type="http://schemas.openxmlformats.org/officeDocument/2006/relationships/hyperlink" Target="https://drive.google.com/file/d/1NDnXZYVuD99KYJ_aQPvoF2TNhVLoDUFm/view?usp=drivesdk" TargetMode="External"/><Relationship Id="rId144" Type="http://schemas.openxmlformats.org/officeDocument/2006/relationships/hyperlink" Target="https://drive.google.com/file/d/1ho2cBZ9PkaPlSKCAEAIJye-vB-RH0hsE/view?usp=drivesdk" TargetMode="External"/><Relationship Id="rId10545" Type="http://schemas.openxmlformats.org/officeDocument/2006/relationships/hyperlink" Target="https://drive.google.com/file/d/1IRf65ttMwnL1mOKCcSZCWKklV7F-zWaN/view?usp=drivesdk" TargetMode="External"/><Relationship Id="rId11877" Type="http://schemas.openxmlformats.org/officeDocument/2006/relationships/hyperlink" Target="https://drive.google.com/file/d/1Avs_8Ujgbh95HTefaT7IIqqnyUDMu6Kd/view?usp=drivesdk" TargetMode="External"/><Relationship Id="rId139" Type="http://schemas.openxmlformats.org/officeDocument/2006/relationships/hyperlink" Target="https://drive.google.com/file/d/1_72PSniTFtlTuWK-m-J9DdZ6q7qwA7K0/view?usp=drivesdk" TargetMode="External"/><Relationship Id="rId10546" Type="http://schemas.openxmlformats.org/officeDocument/2006/relationships/hyperlink" Target="https://drive.google.com/file/d/17MlIyrDe7IQhljglCEaEfpFpSSRLMrIv/view?usp=drivesdk" TargetMode="External"/><Relationship Id="rId11876" Type="http://schemas.openxmlformats.org/officeDocument/2006/relationships/hyperlink" Target="https://drive.google.com/file/d/1Ag5Y-KteqmdNKggDiBYDuL3SFrzKkg1r/view?usp=drivesdk" TargetMode="External"/><Relationship Id="rId138" Type="http://schemas.openxmlformats.org/officeDocument/2006/relationships/hyperlink" Target="https://drive.google.com/file/d/13xlrudbtnL5e15FGt_LeMuvx7jNMkWHP/view?usp=drivesdk" TargetMode="External"/><Relationship Id="rId10543" Type="http://schemas.openxmlformats.org/officeDocument/2006/relationships/hyperlink" Target="https://drive.google.com/file/d/1pf5jdt-czPBqACjw_dnlWuzzYEilnmGW/view?usp=drivesdk" TargetMode="External"/><Relationship Id="rId11875" Type="http://schemas.openxmlformats.org/officeDocument/2006/relationships/hyperlink" Target="https://drive.google.com/file/d/1covjbeuCsYH5JWddGQ5AMfmPcO4TZUlB/view?usp=drivesdk" TargetMode="External"/><Relationship Id="rId137" Type="http://schemas.openxmlformats.org/officeDocument/2006/relationships/hyperlink" Target="https://drive.google.com/file/d/13IxwqWJhU73JTXEwgh3MB3p0NB92KfDX/view?usp=drivesdk" TargetMode="External"/><Relationship Id="rId10544" Type="http://schemas.openxmlformats.org/officeDocument/2006/relationships/hyperlink" Target="https://drive.google.com/file/d/1zC8JogGgvGMb-uL3grvkPFlBDF0HQ-za/view?usp=drivesdk" TargetMode="External"/><Relationship Id="rId11874" Type="http://schemas.openxmlformats.org/officeDocument/2006/relationships/hyperlink" Target="https://drive.google.com/file/d/1ZUdIDZHVj2H5sqLMOTP1U2CD_L95qGLx/view?usp=drivesdk" TargetMode="External"/><Relationship Id="rId10549" Type="http://schemas.openxmlformats.org/officeDocument/2006/relationships/hyperlink" Target="https://drive.google.com/file/d/1EC-bffimTnwbdIUnp4tluMXJNri9o6Jk/view?usp=drivesdk" TargetMode="External"/><Relationship Id="rId10547" Type="http://schemas.openxmlformats.org/officeDocument/2006/relationships/hyperlink" Target="https://drive.google.com/file/d/1SVKyVZR9nhJB7YUrAeU2exriCPqumSFL/view?usp=drivesdk" TargetMode="External"/><Relationship Id="rId11879" Type="http://schemas.openxmlformats.org/officeDocument/2006/relationships/hyperlink" Target="https://drive.google.com/file/d/1lmL2nUn4xLArnsoI75QSy8kPvDDgodvn/view?usp=drivesdk" TargetMode="External"/><Relationship Id="rId10548" Type="http://schemas.openxmlformats.org/officeDocument/2006/relationships/hyperlink" Target="https://drive.google.com/file/d/115fn-3IfzJ5-j14yYxhM3vV39sLdKIas/view?usp=drivesdk" TargetMode="External"/><Relationship Id="rId11878" Type="http://schemas.openxmlformats.org/officeDocument/2006/relationships/hyperlink" Target="https://drive.google.com/file/d/17QVjBg6-3G2ibu79ScHM_0YkhWxYG15R/view?usp=drivesdk" TargetMode="External"/><Relationship Id="rId132" Type="http://schemas.openxmlformats.org/officeDocument/2006/relationships/hyperlink" Target="https://drive.google.com/file/d/1S6qH7Yu16CSxiv_IPiYVl7u9p5sCHUYG/view?usp=drivesdk" TargetMode="External"/><Relationship Id="rId131" Type="http://schemas.openxmlformats.org/officeDocument/2006/relationships/hyperlink" Target="https://drive.google.com/file/d/1RdQ2mA8Tr5PKPVUBgf7saVK57QChMQyR/view?usp=drivesdk" TargetMode="External"/><Relationship Id="rId130" Type="http://schemas.openxmlformats.org/officeDocument/2006/relationships/hyperlink" Target="https://drive.google.com/file/d/1X4hQ35hJyz3zIuAV9VK7AYXog_5VqecP/view?usp=drivesdk" TargetMode="External"/><Relationship Id="rId136" Type="http://schemas.openxmlformats.org/officeDocument/2006/relationships/hyperlink" Target="https://drive.google.com/file/d/1ki-a9Cs3qt0CrIGsts77z20N6Bw_2SSr/view?usp=drivesdk" TargetMode="External"/><Relationship Id="rId10541" Type="http://schemas.openxmlformats.org/officeDocument/2006/relationships/hyperlink" Target="https://drive.google.com/file/d/1h9q1PlIRBVKnrP1RmnJ_awDtVtejh6Me/view?usp=drivesdk" TargetMode="External"/><Relationship Id="rId11873" Type="http://schemas.openxmlformats.org/officeDocument/2006/relationships/hyperlink" Target="https://drive.google.com/file/d/1J9TRH2L5yUMzyDNTbkEuYKa1l5rA4UT_/view?usp=drivesdk" TargetMode="External"/><Relationship Id="rId135" Type="http://schemas.openxmlformats.org/officeDocument/2006/relationships/hyperlink" Target="https://drive.google.com/file/d/1nezBFzcrya-erVtCZO8EF-Ut6IJso1c0/view?usp=drivesdk" TargetMode="External"/><Relationship Id="rId10542" Type="http://schemas.openxmlformats.org/officeDocument/2006/relationships/hyperlink" Target="https://drive.google.com/file/d/1iNdEBFykQ-AkZE0jNGqdqsChKeYCqim4/view?usp=drivesdk" TargetMode="External"/><Relationship Id="rId11872" Type="http://schemas.openxmlformats.org/officeDocument/2006/relationships/hyperlink" Target="https://drive.google.com/file/d/1NCRp4edBCqlM3jR29LMtrZkB6AKrW6WD/view?usp=drivesdk" TargetMode="External"/><Relationship Id="rId134" Type="http://schemas.openxmlformats.org/officeDocument/2006/relationships/hyperlink" Target="https://drive.google.com/file/d/1lQn-rnllCOasIdV_zAy8RbXplgk8Ku-o/view?usp=drivesdk" TargetMode="External"/><Relationship Id="rId11871" Type="http://schemas.openxmlformats.org/officeDocument/2006/relationships/hyperlink" Target="https://drive.google.com/file/d/1PoqI_lI1QEjfhf7VMPT_qm8bzdcUYods/view?usp=drivesdk" TargetMode="External"/><Relationship Id="rId133" Type="http://schemas.openxmlformats.org/officeDocument/2006/relationships/hyperlink" Target="https://drive.google.com/file/d/1cJ7CQgN-K30aaVWkT-Er53WS-_OsPQPy/view?usp=drivesdk" TargetMode="External"/><Relationship Id="rId10540" Type="http://schemas.openxmlformats.org/officeDocument/2006/relationships/hyperlink" Target="https://drive.google.com/file/d/17wwO5zSrl1but6_KW6QPxAyRTwbKMBx2/view?usp=drivesdk" TargetMode="External"/><Relationship Id="rId11870" Type="http://schemas.openxmlformats.org/officeDocument/2006/relationships/hyperlink" Target="https://drive.google.com/file/d/1dJ0NmOR3T1Apv3mLKhvBe7C1FIxNqc2Q/view?usp=drivesdk" TargetMode="External"/><Relationship Id="rId172" Type="http://schemas.openxmlformats.org/officeDocument/2006/relationships/hyperlink" Target="https://drive.google.com/file/d/1g31JBWg67oopca4K7_YGrQK4DYdxJ0Oj/view?usp=drivesdk" TargetMode="External"/><Relationship Id="rId171" Type="http://schemas.openxmlformats.org/officeDocument/2006/relationships/hyperlink" Target="https://drive.google.com/file/d/1MT2rmV3XPQ47vyH12K1sqYOpZLAEMr6q/view?usp=drivesdk" TargetMode="External"/><Relationship Id="rId170" Type="http://schemas.openxmlformats.org/officeDocument/2006/relationships/hyperlink" Target="https://drive.google.com/file/d/1UA8mR2h6hnfnQjmtqewjJ9J-fgl8N6iu/view?usp=drivesdk" TargetMode="External"/><Relationship Id="rId10518" Type="http://schemas.openxmlformats.org/officeDocument/2006/relationships/hyperlink" Target="https://drive.google.com/file/d/1sBFiTVtiinoO_kAcqOkEBKthhne6zNv9/view?usp=drivesdk" TargetMode="External"/><Relationship Id="rId10519" Type="http://schemas.openxmlformats.org/officeDocument/2006/relationships/hyperlink" Target="https://drive.google.com/file/d/177SOxIbLEifKZLH0Do8FykZZnf-89g-w/view?usp=drivesdk" TargetMode="External"/><Relationship Id="rId11849" Type="http://schemas.openxmlformats.org/officeDocument/2006/relationships/hyperlink" Target="https://drive.google.com/file/d/1ZM1NkVlXaIsQG5HnIqjFO2dYYIfoYIJD/view?usp=drivesdk" TargetMode="External"/><Relationship Id="rId10512" Type="http://schemas.openxmlformats.org/officeDocument/2006/relationships/hyperlink" Target="https://drive.google.com/file/d/12TO-ZvtHIK7qQaAxlW-cCzk9QOYbixF2/view?usp=drivesdk" TargetMode="External"/><Relationship Id="rId11844" Type="http://schemas.openxmlformats.org/officeDocument/2006/relationships/hyperlink" Target="https://drive.google.com/file/d/1G1-KV0SEx9coH8_-fLSViynR0PZr007m/view?usp=drivesdk" TargetMode="External"/><Relationship Id="rId10513" Type="http://schemas.openxmlformats.org/officeDocument/2006/relationships/hyperlink" Target="https://drive.google.com/file/d/1tVJ2uzsdnrHn363wTqE1GvUruVV_w5Vp/view?usp=drivesdk" TargetMode="External"/><Relationship Id="rId11843" Type="http://schemas.openxmlformats.org/officeDocument/2006/relationships/hyperlink" Target="https://drive.google.com/file/d/14brldE49JauEKZqN-mt6HYe3WH7iAcMJ/view?usp=drivesdk" TargetMode="External"/><Relationship Id="rId10510" Type="http://schemas.openxmlformats.org/officeDocument/2006/relationships/hyperlink" Target="https://drive.google.com/file/d/1YMv9ZgeE-PKTqRi9MzYspSDllOTBEB6H/view?usp=drivesdk" TargetMode="External"/><Relationship Id="rId11842" Type="http://schemas.openxmlformats.org/officeDocument/2006/relationships/hyperlink" Target="https://drive.google.com/file/d/1r_sV6NTBXPzyMew9uofAsZhdwO8atW14/view?usp=drivesdk" TargetMode="External"/><Relationship Id="rId10511" Type="http://schemas.openxmlformats.org/officeDocument/2006/relationships/hyperlink" Target="https://drive.google.com/file/d/11u_0GEbRzg0Zv3zIlJDdFUEs86t9dd-H/view?usp=drivesdk" TargetMode="External"/><Relationship Id="rId11841" Type="http://schemas.openxmlformats.org/officeDocument/2006/relationships/hyperlink" Target="https://drive.google.com/file/d/1DwvqFllIRQeQytWFeE1zCYSfPdKtdS4S/view?usp=drivesdk" TargetMode="External"/><Relationship Id="rId10516" Type="http://schemas.openxmlformats.org/officeDocument/2006/relationships/hyperlink" Target="https://drive.google.com/file/d/1n9xrClG6R1FqcbGVH5RNecE2DlrXcLEG/view?usp=drivesdk" TargetMode="External"/><Relationship Id="rId11848" Type="http://schemas.openxmlformats.org/officeDocument/2006/relationships/hyperlink" Target="https://drive.google.com/file/d/1Tfp3KMjoll43CypAQmdQx4xtTR53XRVm/view?usp=drivesdk" TargetMode="External"/><Relationship Id="rId10517" Type="http://schemas.openxmlformats.org/officeDocument/2006/relationships/hyperlink" Target="https://drive.google.com/file/d/1_iuSwZuV-WFE0y3o5PrZ7oQjwBH5OoLo/view?usp=drivesdk" TargetMode="External"/><Relationship Id="rId11847" Type="http://schemas.openxmlformats.org/officeDocument/2006/relationships/hyperlink" Target="https://drive.google.com/file/d/1lsqSVBXNxW7v6LaOy-DRWvi6A_9Ph1U7/view?usp=drivesdk" TargetMode="External"/><Relationship Id="rId10514" Type="http://schemas.openxmlformats.org/officeDocument/2006/relationships/hyperlink" Target="https://drive.google.com/file/d/1h1pjDrFKQFn0-BDHS5lOJU0QWxJ3c2C_/view?usp=drivesdk" TargetMode="External"/><Relationship Id="rId11846" Type="http://schemas.openxmlformats.org/officeDocument/2006/relationships/hyperlink" Target="https://drive.google.com/file/d/16jvqJcuhuaoKaw_XT4RuUkWgViloI-Qy/view?usp=drivesdk" TargetMode="External"/><Relationship Id="rId10515" Type="http://schemas.openxmlformats.org/officeDocument/2006/relationships/hyperlink" Target="https://drive.google.com/file/d/1r5Dsxu1K-U_1ZRQjRAsgHQ2_xtTwRKt8/view?usp=drivesdk" TargetMode="External"/><Relationship Id="rId11845" Type="http://schemas.openxmlformats.org/officeDocument/2006/relationships/hyperlink" Target="https://drive.google.com/file/d/1_e5VCi_tIM13O8kN-7bLYmg9mGvcrSI2/view?usp=drivesdk" TargetMode="External"/><Relationship Id="rId165" Type="http://schemas.openxmlformats.org/officeDocument/2006/relationships/hyperlink" Target="https://drive.google.com/file/d/1vZWt7PZQ-BJ6UbBfnIIcARD5iqxPPKWn/view?usp=drivesdk" TargetMode="External"/><Relationship Id="rId164" Type="http://schemas.openxmlformats.org/officeDocument/2006/relationships/hyperlink" Target="https://drive.google.com/file/d/1IFpJmtb33wN6s0CM1eIJtITPAFnDf6B1/view?usp=drivesdk" TargetMode="External"/><Relationship Id="rId163" Type="http://schemas.openxmlformats.org/officeDocument/2006/relationships/hyperlink" Target="https://drive.google.com/file/d/1Q562loPl8eo8IrNiQrDsemb7ufBgELXb/view?usp=drivesdk" TargetMode="External"/><Relationship Id="rId162" Type="http://schemas.openxmlformats.org/officeDocument/2006/relationships/hyperlink" Target="https://drive.google.com/file/d/10ASPo0Ych_-FmkVKuZ2pU1prjgJzsZTz/view?usp=drivesdk" TargetMode="External"/><Relationship Id="rId169" Type="http://schemas.openxmlformats.org/officeDocument/2006/relationships/hyperlink" Target="https://drive.google.com/file/d/1SAPUlah8xOKlVw_LasihBh2gqphb44Ik/view?usp=drivesdk" TargetMode="External"/><Relationship Id="rId11840" Type="http://schemas.openxmlformats.org/officeDocument/2006/relationships/hyperlink" Target="https://drive.google.com/file/d/1vNvkKoNBohws1gmrTZbMKevuknuK8wg8/view?usp=drivesdk" TargetMode="External"/><Relationship Id="rId168" Type="http://schemas.openxmlformats.org/officeDocument/2006/relationships/hyperlink" Target="https://drive.google.com/file/d/1vx7LFgy-4UPRAH0BFwHv5VmVcl5NCIfF/view?usp=drivesdk" TargetMode="External"/><Relationship Id="rId167" Type="http://schemas.openxmlformats.org/officeDocument/2006/relationships/hyperlink" Target="https://drive.google.com/file/d/1l1jf7ZbRzlTuS1hpbIFN3AQ8LbeXb0tX/view?usp=drivesdk" TargetMode="External"/><Relationship Id="rId166" Type="http://schemas.openxmlformats.org/officeDocument/2006/relationships/hyperlink" Target="https://drive.google.com/file/d/1GRKuMe4sR3sVW9gSmPc9JX2oSQYwsUz4/view?usp=drivesdk" TargetMode="External"/><Relationship Id="rId161" Type="http://schemas.openxmlformats.org/officeDocument/2006/relationships/hyperlink" Target="https://drive.google.com/file/d/1W_CRPV3d4oG_VVVKRGN04cQ4bUNmEYi8/view?usp=drivesdk" TargetMode="External"/><Relationship Id="rId160" Type="http://schemas.openxmlformats.org/officeDocument/2006/relationships/hyperlink" Target="https://drive.google.com/file/d/1Z9wigMSHJMOdaDbDD7crDXRi06Lt3LNE/view?usp=drivesdk" TargetMode="External"/><Relationship Id="rId10529" Type="http://schemas.openxmlformats.org/officeDocument/2006/relationships/hyperlink" Target="https://drive.google.com/file/d/142CMAUEdnxFqByL_PsHgvtBnJ9f78V3F/view?usp=drivesdk" TargetMode="External"/><Relationship Id="rId10523" Type="http://schemas.openxmlformats.org/officeDocument/2006/relationships/hyperlink" Target="https://drive.google.com/file/d/1CsayqE4hn15ZvBh23FeY4kAia_U5TrEx/view?usp=drivesdk" TargetMode="External"/><Relationship Id="rId11855" Type="http://schemas.openxmlformats.org/officeDocument/2006/relationships/hyperlink" Target="https://drive.google.com/file/d/1FcaqbMldtgXBjAQj4hmVjpM5yTw5DJPe/view?usp=drivesdk" TargetMode="External"/><Relationship Id="rId10524" Type="http://schemas.openxmlformats.org/officeDocument/2006/relationships/hyperlink" Target="https://drive.google.com/file/d/1-HA8dskAxqNCc-Jk38LvnIbMm_NamVnI/view?usp=drivesdk" TargetMode="External"/><Relationship Id="rId11854" Type="http://schemas.openxmlformats.org/officeDocument/2006/relationships/hyperlink" Target="https://drive.google.com/file/d/1I0n2vh_OiL3Q09x2Grv697RjUpvktwll/view?usp=drivesdk" TargetMode="External"/><Relationship Id="rId10521" Type="http://schemas.openxmlformats.org/officeDocument/2006/relationships/hyperlink" Target="https://drive.google.com/file/d/1QHqGm53vv55sbgGGIaVGdDt7Sf6CI_UP/view?usp=drivesdk" TargetMode="External"/><Relationship Id="rId11853" Type="http://schemas.openxmlformats.org/officeDocument/2006/relationships/hyperlink" Target="https://drive.google.com/file/d/1Aa-CindrP6rY0qGakFunTmHVRPgJQyby/view?usp=drivesdk" TargetMode="External"/><Relationship Id="rId159" Type="http://schemas.openxmlformats.org/officeDocument/2006/relationships/hyperlink" Target="https://drive.google.com/file/d/1X0UvOlklhPF6CgrEW_SvkGA1qS2E6IEg/view?usp=drivesdk" TargetMode="External"/><Relationship Id="rId10522" Type="http://schemas.openxmlformats.org/officeDocument/2006/relationships/hyperlink" Target="https://drive.google.com/file/d/1zuXHkQG4tclJruYqEnmdrf8L1Ylb29Da/view?usp=drivesdk" TargetMode="External"/><Relationship Id="rId11852" Type="http://schemas.openxmlformats.org/officeDocument/2006/relationships/hyperlink" Target="https://drive.google.com/file/d/1IDp4DTWUg5DuzLXF0gA9re1ZLwKhwdu7/view?usp=drivesdk" TargetMode="External"/><Relationship Id="rId10527" Type="http://schemas.openxmlformats.org/officeDocument/2006/relationships/hyperlink" Target="https://drive.google.com/file/d/18ZO3FK3JrLu3g2zsXWICvsGD98aRChOd/view?usp=drivesdk" TargetMode="External"/><Relationship Id="rId11859" Type="http://schemas.openxmlformats.org/officeDocument/2006/relationships/hyperlink" Target="https://drive.google.com/file/d/1E18KeKvlLXnDnDZIvWJ9cILv4Oc6G54-/view?usp=drivesdk" TargetMode="External"/><Relationship Id="rId10528" Type="http://schemas.openxmlformats.org/officeDocument/2006/relationships/hyperlink" Target="https://drive.google.com/file/d/1jKMoRdgY4W-ENcc35Uj5_FP3a0amy8W7/view?usp=drivesdk" TargetMode="External"/><Relationship Id="rId11858" Type="http://schemas.openxmlformats.org/officeDocument/2006/relationships/hyperlink" Target="https://drive.google.com/file/d/1ie6dG0i6jZ6-eki3DKT5U80-YXC8mp5m/view?usp=drivesdk" TargetMode="External"/><Relationship Id="rId10525" Type="http://schemas.openxmlformats.org/officeDocument/2006/relationships/hyperlink" Target="https://drive.google.com/file/d/1lG8r91Nmz7ifs8Qhy5SaW1yHU3rv7HgY/view?usp=drivesdk" TargetMode="External"/><Relationship Id="rId11857" Type="http://schemas.openxmlformats.org/officeDocument/2006/relationships/hyperlink" Target="https://drive.google.com/file/d/1Rl0NDsuykKE2sisd24rhxaYvQBqbY0Wm/view?usp=drivesdk" TargetMode="External"/><Relationship Id="rId10526" Type="http://schemas.openxmlformats.org/officeDocument/2006/relationships/hyperlink" Target="https://drive.google.com/file/d/10mXYA7WheKhjtvICqgua74DDiZqArxWl/view?usp=drivesdk" TargetMode="External"/><Relationship Id="rId11856" Type="http://schemas.openxmlformats.org/officeDocument/2006/relationships/hyperlink" Target="https://drive.google.com/file/d/1X_WaNs2Wp-80GTJYCWXKsiFjwhH7dqq9/view?usp=drivesdk" TargetMode="External"/><Relationship Id="rId154" Type="http://schemas.openxmlformats.org/officeDocument/2006/relationships/hyperlink" Target="https://drive.google.com/file/d/1f9vr7fO-sWcIjS6MufZkohqsKOmH0u8Z/view?usp=drivesdk" TargetMode="External"/><Relationship Id="rId153" Type="http://schemas.openxmlformats.org/officeDocument/2006/relationships/hyperlink" Target="https://drive.google.com/file/d/1PshVxZ7myHKtAsd8-anwxD6F3g1hivBI/view?usp=drivesdk" TargetMode="External"/><Relationship Id="rId152" Type="http://schemas.openxmlformats.org/officeDocument/2006/relationships/hyperlink" Target="https://drive.google.com/file/d/15GJMYoT-x-ndJLhfZzaLseu_mva55jK0/view?usp=drivesdk" TargetMode="External"/><Relationship Id="rId151" Type="http://schemas.openxmlformats.org/officeDocument/2006/relationships/hyperlink" Target="https://drive.google.com/file/d/1Z9Hi592aqIzJNuyFaPxXZ2nELKdGAHp3/view?usp=drivesdk" TargetMode="External"/><Relationship Id="rId158" Type="http://schemas.openxmlformats.org/officeDocument/2006/relationships/hyperlink" Target="https://drive.google.com/file/d/16pz2EFnLHzP8yHyAGyIqNrg-zgbKh6rQ/view?usp=drivesdk" TargetMode="External"/><Relationship Id="rId11851" Type="http://schemas.openxmlformats.org/officeDocument/2006/relationships/hyperlink" Target="https://drive.google.com/file/d/1IABknWR6CN2fRhpMHY3i2XLKk4tnt4fm/view?usp=drivesdk" TargetMode="External"/><Relationship Id="rId157" Type="http://schemas.openxmlformats.org/officeDocument/2006/relationships/hyperlink" Target="https://drive.google.com/file/d/1q-onVtIbR1_mKUkv-3h8tlh0XXWec_MJ/view?usp=drivesdk" TargetMode="External"/><Relationship Id="rId10520" Type="http://schemas.openxmlformats.org/officeDocument/2006/relationships/hyperlink" Target="https://drive.google.com/file/d/1TSo63D40e52xgC-AvHd1Smfo7ye4DtWp/view?usp=drivesdk" TargetMode="External"/><Relationship Id="rId11850" Type="http://schemas.openxmlformats.org/officeDocument/2006/relationships/hyperlink" Target="https://drive.google.com/file/d/1oCDwq9_uSgjtzziQ2uTNvz1bM1DBWcs4/view?usp=drivesdk" TargetMode="External"/><Relationship Id="rId156" Type="http://schemas.openxmlformats.org/officeDocument/2006/relationships/hyperlink" Target="https://drive.google.com/file/d/1Onp1ijCex04TorcobTGqLTTYwCZQ4VRk/view?usp=drivesdk" TargetMode="External"/><Relationship Id="rId155" Type="http://schemas.openxmlformats.org/officeDocument/2006/relationships/hyperlink" Target="https://drive.google.com/file/d/1b06WrChGJDQZXsNtSOAzZQqdttd8z6A7/view?usp=drivesdk" TargetMode="External"/><Relationship Id="rId9451" Type="http://schemas.openxmlformats.org/officeDocument/2006/relationships/hyperlink" Target="https://drive.google.com/file/d/1KmWALkjdfllTFzEETS2Oo8H28pVMvQ8A/view?usp=drivesdk" TargetMode="External"/><Relationship Id="rId9452" Type="http://schemas.openxmlformats.org/officeDocument/2006/relationships/hyperlink" Target="https://drive.google.com/file/d/1rinlricsgGDbSolvVV9JegJQ7WcrjV4k/view?usp=drivesdk" TargetMode="External"/><Relationship Id="rId9453" Type="http://schemas.openxmlformats.org/officeDocument/2006/relationships/hyperlink" Target="https://drive.google.com/file/d/1LZxzJtTxIZo8TYTPLq96XfEXY5gZxsQe/view?usp=drivesdk" TargetMode="External"/><Relationship Id="rId9454" Type="http://schemas.openxmlformats.org/officeDocument/2006/relationships/hyperlink" Target="https://drive.google.com/file/d/1R8E0hQZhS7KpgUbqtgAcQT9mBiwyyScj/view?usp=drivesdk" TargetMode="External"/><Relationship Id="rId8123" Type="http://schemas.openxmlformats.org/officeDocument/2006/relationships/hyperlink" Target="https://drive.google.com/file/d/1LBsEL-QWWoAkr0aawZAjxyCnZt_sAaH3/view?usp=drivesdk" TargetMode="External"/><Relationship Id="rId8122" Type="http://schemas.openxmlformats.org/officeDocument/2006/relationships/hyperlink" Target="https://drive.google.com/file/d/1yWkjAHM5fQSUYDjXmvXMiglQ10QHTjXc/view?usp=drivesdk" TargetMode="External"/><Relationship Id="rId8121" Type="http://schemas.openxmlformats.org/officeDocument/2006/relationships/hyperlink" Target="https://drive.google.com/file/d/1HPPWwcxjuwwZxXoDPG4WU_JiteJvrPnD/view?usp=drivesdk" TargetMode="External"/><Relationship Id="rId8120" Type="http://schemas.openxmlformats.org/officeDocument/2006/relationships/hyperlink" Target="https://drive.google.com/file/d/1RdeQu0IZ-5bXQU8zgmlT3ABJRwbMcFQN/view?usp=drivesdk" TargetMode="External"/><Relationship Id="rId9450" Type="http://schemas.openxmlformats.org/officeDocument/2006/relationships/hyperlink" Target="https://drive.google.com/file/d/1_CmOnAW5S3YXKBb0ea_6_EIVRzvrNWs-/view?usp=drivesdk" TargetMode="External"/><Relationship Id="rId8127" Type="http://schemas.openxmlformats.org/officeDocument/2006/relationships/hyperlink" Target="https://drive.google.com/file/d/1yCaUr8Wxv-WkDGtq60E-PHNLqqXhbyYX/view?usp=drivesdk" TargetMode="External"/><Relationship Id="rId9459" Type="http://schemas.openxmlformats.org/officeDocument/2006/relationships/hyperlink" Target="https://drive.google.com/file/d/1gpLk1rYAjj-uUhTr9n-bqFhCPpfT7mmT/view?usp=drivesdk" TargetMode="External"/><Relationship Id="rId8126" Type="http://schemas.openxmlformats.org/officeDocument/2006/relationships/hyperlink" Target="https://drive.google.com/file/d/1JuZmU0bBX-B80CEAtymSeFNJEazMXCE4/view?usp=drivesdk" TargetMode="External"/><Relationship Id="rId8125" Type="http://schemas.openxmlformats.org/officeDocument/2006/relationships/hyperlink" Target="https://drive.google.com/file/d/1g9OOeXCjMDtq7c__x5ODzeNSsiPJB1f7/view?usp=drivesdk" TargetMode="External"/><Relationship Id="rId8124" Type="http://schemas.openxmlformats.org/officeDocument/2006/relationships/hyperlink" Target="https://drive.google.com/file/d/1a4dGc3NTx-mC8Iri8s050NUoPXs3ccRr/view?usp=drivesdk" TargetMode="External"/><Relationship Id="rId9455" Type="http://schemas.openxmlformats.org/officeDocument/2006/relationships/hyperlink" Target="https://drive.google.com/file/d/1azQq6iE2prlkVeWPUSfCwpGxSOSL3AV_/view?usp=drivesdk" TargetMode="External"/><Relationship Id="rId9456" Type="http://schemas.openxmlformats.org/officeDocument/2006/relationships/hyperlink" Target="https://drive.google.com/file/d/18cwn3Y54LXQkc9WqOMJW7XrR4K6ovpW3/view?usp=drivesdk" TargetMode="External"/><Relationship Id="rId8129" Type="http://schemas.openxmlformats.org/officeDocument/2006/relationships/hyperlink" Target="https://drive.google.com/file/d/1FFpxyBKoRb5XEeXgrm-fFzib9Jfd0ftm/view?usp=drivesdk" TargetMode="External"/><Relationship Id="rId9457" Type="http://schemas.openxmlformats.org/officeDocument/2006/relationships/hyperlink" Target="https://drive.google.com/file/d/1TW0iOoANJez45aIdFxzpchDho8W32std/view?usp=drivesdk" TargetMode="External"/><Relationship Id="rId8128" Type="http://schemas.openxmlformats.org/officeDocument/2006/relationships/hyperlink" Target="https://drive.google.com/file/d/1MAHA1decPvakdN_WQCTpfwjci_Z5Z-xV/view?usp=drivesdk" TargetMode="External"/><Relationship Id="rId9458" Type="http://schemas.openxmlformats.org/officeDocument/2006/relationships/hyperlink" Target="https://drive.google.com/file/d/17zJ1t0zIjkpbb7vOwz3_1fMiUU-WubZU/view?usp=drivesdk" TargetMode="External"/><Relationship Id="rId9440" Type="http://schemas.openxmlformats.org/officeDocument/2006/relationships/hyperlink" Target="https://drive.google.com/file/d/1WE8gUtaQXBigzEs6RUiBCu5kulitN63D/view?usp=drivesdk" TargetMode="External"/><Relationship Id="rId9441" Type="http://schemas.openxmlformats.org/officeDocument/2006/relationships/hyperlink" Target="https://drive.google.com/file/d/1846WIV11KHro7jE-3GkkzsrKzKbJQ7dF/view?usp=drivesdk" TargetMode="External"/><Relationship Id="rId9442" Type="http://schemas.openxmlformats.org/officeDocument/2006/relationships/hyperlink" Target="https://drive.google.com/file/d/1mMVvtkP0n_VFRgDwwBemrk8GGI2OJ2rT/view?usp=drivesdk" TargetMode="External"/><Relationship Id="rId9443" Type="http://schemas.openxmlformats.org/officeDocument/2006/relationships/hyperlink" Target="https://drive.google.com/file/d/13Ks72UECFK5kB1DjapTBz5Z0PiUXvf7E/view?usp=drivesdk" TargetMode="External"/><Relationship Id="rId8112" Type="http://schemas.openxmlformats.org/officeDocument/2006/relationships/hyperlink" Target="https://drive.google.com/file/d/1TkkkQaQsl-oHJvEHVz1Yr4zT_15FnVc6/view?usp=drivesdk" TargetMode="External"/><Relationship Id="rId8111" Type="http://schemas.openxmlformats.org/officeDocument/2006/relationships/hyperlink" Target="https://drive.google.com/file/d/1DTAUfpRevRXYova28PnEEQdw3B-7Ts_D/view?usp=drivesdk" TargetMode="External"/><Relationship Id="rId8110" Type="http://schemas.openxmlformats.org/officeDocument/2006/relationships/hyperlink" Target="https://drive.google.com/file/d/1dJMgFTwdUa6XZPcvND4OnwhgBWxa8b1M/view?usp=drivesdk" TargetMode="External"/><Relationship Id="rId8116" Type="http://schemas.openxmlformats.org/officeDocument/2006/relationships/hyperlink" Target="https://drive.google.com/file/d/11qcBVNiDBr_kIGOo0ocNbo6eF2dJigkx/view?usp=drivesdk" TargetMode="External"/><Relationship Id="rId9448" Type="http://schemas.openxmlformats.org/officeDocument/2006/relationships/hyperlink" Target="https://drive.google.com/file/d/19ZEycfaNCigUxXMdIhmVhTT9eYCq-Qv8/view?usp=drivesdk" TargetMode="External"/><Relationship Id="rId8115" Type="http://schemas.openxmlformats.org/officeDocument/2006/relationships/hyperlink" Target="https://drive.google.com/file/d/1P9VIyylPfKUzqNdkrNtUB-x7vUJdxO5-/view?usp=drivesdk" TargetMode="External"/><Relationship Id="rId9449" Type="http://schemas.openxmlformats.org/officeDocument/2006/relationships/hyperlink" Target="https://drive.google.com/file/d/16sXarZOllnnV7oT-XrcY51tfmF9B1FZ-/view?usp=drivesdk" TargetMode="External"/><Relationship Id="rId8114" Type="http://schemas.openxmlformats.org/officeDocument/2006/relationships/hyperlink" Target="https://drive.google.com/file/d/1kfd_PAhdj7RqnrxHUUC9mVCLkdBJiZE_/view?usp=drivesdk" TargetMode="External"/><Relationship Id="rId8113" Type="http://schemas.openxmlformats.org/officeDocument/2006/relationships/hyperlink" Target="https://drive.google.com/file/d/1XMdg6KrmkpgtZax8oCvIitqdFs070c0P/view?usp=drivesdk" TargetMode="External"/><Relationship Id="rId9444" Type="http://schemas.openxmlformats.org/officeDocument/2006/relationships/hyperlink" Target="https://drive.google.com/file/d/1zVZRHKbjYkGLSVxuEPYnvs_AHg0GkRQD/view?usp=drivesdk" TargetMode="External"/><Relationship Id="rId8119" Type="http://schemas.openxmlformats.org/officeDocument/2006/relationships/hyperlink" Target="https://drive.google.com/file/d/1FI9Nr9TDKHU62D18PFrxXwlySHCaYjIQ/view?usp=drivesdk" TargetMode="External"/><Relationship Id="rId9445" Type="http://schemas.openxmlformats.org/officeDocument/2006/relationships/hyperlink" Target="https://drive.google.com/file/d/1CwD17vXGQN9ayxQD1zEfsL0GqcuMf8iy/view?usp=drivesdk" TargetMode="External"/><Relationship Id="rId8118" Type="http://schemas.openxmlformats.org/officeDocument/2006/relationships/hyperlink" Target="https://drive.google.com/file/d/12BWcN7nSYzKURN0GjQtdJCgTEkWEHeea/view?usp=drivesdk" TargetMode="External"/><Relationship Id="rId9446" Type="http://schemas.openxmlformats.org/officeDocument/2006/relationships/hyperlink" Target="https://drive.google.com/file/d/1HU7KU2TmD-spg9UHtEdZPwgFew9kI5nJ/view?usp=drivesdk" TargetMode="External"/><Relationship Id="rId8117" Type="http://schemas.openxmlformats.org/officeDocument/2006/relationships/hyperlink" Target="https://drive.google.com/file/d/1e7Da5bTlq4_zH2XmaaJ-81K68QtgGhOb/view?usp=drivesdk" TargetMode="External"/><Relationship Id="rId9447" Type="http://schemas.openxmlformats.org/officeDocument/2006/relationships/hyperlink" Target="https://drive.google.com/file/d/1jK-A6xArYqLZSSwsNqTGXonF9lHfsnAp/view?usp=drivesdk" TargetMode="External"/><Relationship Id="rId8141" Type="http://schemas.openxmlformats.org/officeDocument/2006/relationships/hyperlink" Target="https://drive.google.com/file/d/1kG405fyCupFIgF9LhrSFH6WJClW-x6Is/view?usp=drivesdk" TargetMode="External"/><Relationship Id="rId9473" Type="http://schemas.openxmlformats.org/officeDocument/2006/relationships/hyperlink" Target="https://drive.google.com/file/d/1jcL-wWSZirrzYIFRxzvnJ1k4sBlkv2Rb/view?usp=drivesdk" TargetMode="External"/><Relationship Id="rId8140" Type="http://schemas.openxmlformats.org/officeDocument/2006/relationships/hyperlink" Target="https://drive.google.com/file/d/1BQSoV7n_Ghjxr0Utsr_KbOJUC1OQw8P0/view?usp=drivesdk" TargetMode="External"/><Relationship Id="rId9474" Type="http://schemas.openxmlformats.org/officeDocument/2006/relationships/hyperlink" Target="https://drive.google.com/file/d/1iWYP91fd54-5nlx5xO_s8rLEd0arsOCS/view?usp=drivesdk" TargetMode="External"/><Relationship Id="rId9475" Type="http://schemas.openxmlformats.org/officeDocument/2006/relationships/hyperlink" Target="https://drive.google.com/file/d/1OOWuKJArQZ_6kl9Epj_qY-XJCbHJTH2_/view?usp=drivesdk" TargetMode="External"/><Relationship Id="rId9476" Type="http://schemas.openxmlformats.org/officeDocument/2006/relationships/hyperlink" Target="https://drive.google.com/file/d/1qJX6sz7Nw7KBWPJflFVP-PIzgiawajiy/view?usp=drivesdk" TargetMode="External"/><Relationship Id="rId8145" Type="http://schemas.openxmlformats.org/officeDocument/2006/relationships/hyperlink" Target="https://drive.google.com/file/d/1R7Fo4LYeDv51jt9Ckq5cKcU3oinvWQbU/view?usp=drivesdk" TargetMode="External"/><Relationship Id="rId8144" Type="http://schemas.openxmlformats.org/officeDocument/2006/relationships/hyperlink" Target="https://drive.google.com/file/d/1XsoLfHCTUiQuppPv2JyQavq--qSmecul/view?usp=drivesdk" TargetMode="External"/><Relationship Id="rId9470" Type="http://schemas.openxmlformats.org/officeDocument/2006/relationships/hyperlink" Target="https://drive.google.com/file/d/15ssW0o_YM5WD9g5dXeTY0iqzcShnn0ct/view?usp=drivesdk" TargetMode="External"/><Relationship Id="rId8143" Type="http://schemas.openxmlformats.org/officeDocument/2006/relationships/hyperlink" Target="https://drive.google.com/file/d/1iHHDvj84O-CEvqzzZzIOsz-FR9PTf7X1/view?usp=drivesdk" TargetMode="External"/><Relationship Id="rId9471" Type="http://schemas.openxmlformats.org/officeDocument/2006/relationships/hyperlink" Target="https://drive.google.com/file/d/1xCmNWtyrHFSomJK32yOQZNpLSWPrbVbB/view?usp=drivesdk" TargetMode="External"/><Relationship Id="rId8142" Type="http://schemas.openxmlformats.org/officeDocument/2006/relationships/hyperlink" Target="https://drive.google.com/file/d/1E02EHDhyaO9IviTkJaX2kCJMbKGujPLg/view?usp=drivesdk" TargetMode="External"/><Relationship Id="rId9472" Type="http://schemas.openxmlformats.org/officeDocument/2006/relationships/hyperlink" Target="https://drive.google.com/file/d/1768H5SppZ5hJRlt-kiDZ-QRiDGC2z5EO/view?usp=drivesdk" TargetMode="External"/><Relationship Id="rId8149" Type="http://schemas.openxmlformats.org/officeDocument/2006/relationships/hyperlink" Target="https://drive.google.com/file/d/1o-T4rE5Ncvq46FQPFlCrze_Og2eXbK4M/view?usp=drivesdk" TargetMode="External"/><Relationship Id="rId8148" Type="http://schemas.openxmlformats.org/officeDocument/2006/relationships/hyperlink" Target="https://drive.google.com/file/d/1482ncFcYV3fzWgUqnMKaQQ2PGBwOqxxC/view?usp=drivesdk" TargetMode="External"/><Relationship Id="rId8147" Type="http://schemas.openxmlformats.org/officeDocument/2006/relationships/hyperlink" Target="https://drive.google.com/file/d/1-c4y_SvWoUfkvlPcudTSa1Q8xbLofKp8/view?usp=drivesdk" TargetMode="External"/><Relationship Id="rId8146" Type="http://schemas.openxmlformats.org/officeDocument/2006/relationships/hyperlink" Target="https://drive.google.com/file/d/17EKh0hQ2A9hYkGUojevx0n5gS4Bfyciw/view?usp=drivesdk" TargetMode="External"/><Relationship Id="rId9477" Type="http://schemas.openxmlformats.org/officeDocument/2006/relationships/hyperlink" Target="https://drive.google.com/file/d/1kFB_pfdSBrwsulLZp8KhbrX8N08t4ffz/view?usp=drivesdk" TargetMode="External"/><Relationship Id="rId9478" Type="http://schemas.openxmlformats.org/officeDocument/2006/relationships/hyperlink" Target="https://drive.google.com/file/d/1OX1vCEhIZfaJLJpUdgdEfz0s5nl2tHY5/view?usp=drivesdk" TargetMode="External"/><Relationship Id="rId9479" Type="http://schemas.openxmlformats.org/officeDocument/2006/relationships/hyperlink" Target="https://drive.google.com/file/d/1wi58FJYU-46AKwnOQGKDHHpKh7GoaLht/view?usp=drivesdk" TargetMode="External"/><Relationship Id="rId8130" Type="http://schemas.openxmlformats.org/officeDocument/2006/relationships/hyperlink" Target="https://drive.google.com/file/d/1QpHePwixYbpUvzTBe909rN1XkkATnXYS/view?usp=drivesdk" TargetMode="External"/><Relationship Id="rId9462" Type="http://schemas.openxmlformats.org/officeDocument/2006/relationships/hyperlink" Target="https://drive.google.com/file/d/1aPQfQZHulAw5VUsLpkaJCDC2YNJuBNwB/view?usp=drivesdk" TargetMode="External"/><Relationship Id="rId9463" Type="http://schemas.openxmlformats.org/officeDocument/2006/relationships/hyperlink" Target="https://drive.google.com/file/d/1Ugbc05mADf3TydzOgR19ad0q7XY4lkct/view?usp=drivesdk" TargetMode="External"/><Relationship Id="rId9464" Type="http://schemas.openxmlformats.org/officeDocument/2006/relationships/hyperlink" Target="https://drive.google.com/file/d/1uLNElQXyK2Dd8EnD5mzR6dPtGbPZ31ov/view?usp=drivesdk" TargetMode="External"/><Relationship Id="rId9465" Type="http://schemas.openxmlformats.org/officeDocument/2006/relationships/hyperlink" Target="https://drive.google.com/file/d/1bjTZdiWor4AJQ_Vhv4wvCZtKOuWPb4ps/view?usp=drivesdk" TargetMode="External"/><Relationship Id="rId8134" Type="http://schemas.openxmlformats.org/officeDocument/2006/relationships/hyperlink" Target="https://drive.google.com/file/d/1HQTfL53mCfN4kZjlEXTqJz9ys3ZmcWPr/view?usp=drivesdk" TargetMode="External"/><Relationship Id="rId8133" Type="http://schemas.openxmlformats.org/officeDocument/2006/relationships/hyperlink" Target="https://drive.google.com/file/d/1_t60Gq0np8vYjrJlM189VjvO1u--o5yl/view?usp=drivesdk" TargetMode="External"/><Relationship Id="rId8132" Type="http://schemas.openxmlformats.org/officeDocument/2006/relationships/hyperlink" Target="https://drive.google.com/file/d/18GvPoivTBSJYv9NY3dnl957Pf0BRZSTk/view?usp=drivesdk" TargetMode="External"/><Relationship Id="rId9460" Type="http://schemas.openxmlformats.org/officeDocument/2006/relationships/hyperlink" Target="https://drive.google.com/file/d/14KhL_hGWR9wmg5Jwav81q4luA5gheczm/view?usp=drivesdk" TargetMode="External"/><Relationship Id="rId8131" Type="http://schemas.openxmlformats.org/officeDocument/2006/relationships/hyperlink" Target="https://drive.google.com/file/d/1_vQwQLHQOwW__jMOTj29rgZzmH2M_nb_/view?usp=drivesdk" TargetMode="External"/><Relationship Id="rId9461" Type="http://schemas.openxmlformats.org/officeDocument/2006/relationships/hyperlink" Target="https://drive.google.com/file/d/1uOVoqBB6l03pNelLwxK_3zIGbA0x1b1f/view?usp=drivesdk" TargetMode="External"/><Relationship Id="rId8138" Type="http://schemas.openxmlformats.org/officeDocument/2006/relationships/hyperlink" Target="https://drive.google.com/file/d/12WEiu3qkL8MUGr3gEqD10Oy1hLv7qPve/view?usp=drivesdk" TargetMode="External"/><Relationship Id="rId8137" Type="http://schemas.openxmlformats.org/officeDocument/2006/relationships/hyperlink" Target="https://drive.google.com/file/d/1p55EMTSCtWRacIToNnVGgAl3RE6XOsLz/view?usp=drivesdk" TargetMode="External"/><Relationship Id="rId8136" Type="http://schemas.openxmlformats.org/officeDocument/2006/relationships/hyperlink" Target="https://drive.google.com/file/d/18EcYl6AC8j6cUYgED7TqcwFf8UbPfFzm/view?usp=drivesdk" TargetMode="External"/><Relationship Id="rId8135" Type="http://schemas.openxmlformats.org/officeDocument/2006/relationships/hyperlink" Target="https://drive.google.com/file/d/1X24COq5aaQSRsRRW7fx9EuqrIoLFkeuO/view?usp=drivesdk" TargetMode="External"/><Relationship Id="rId9466" Type="http://schemas.openxmlformats.org/officeDocument/2006/relationships/hyperlink" Target="https://drive.google.com/file/d/1LTA3r5IFIEXlqtrZwmNfmt4N0mH_O96v/view?usp=drivesdk" TargetMode="External"/><Relationship Id="rId9467" Type="http://schemas.openxmlformats.org/officeDocument/2006/relationships/hyperlink" Target="https://drive.google.com/file/d/1eVafVvcIf2zkmV561buZ-ozujmg0gx5s/view?usp=drivesdk" TargetMode="External"/><Relationship Id="rId9468" Type="http://schemas.openxmlformats.org/officeDocument/2006/relationships/hyperlink" Target="https://drive.google.com/file/d/1ORe4UFpss27srMG86OR3fmL5zwIAagsQ/view?usp=drivesdk" TargetMode="External"/><Relationship Id="rId8139" Type="http://schemas.openxmlformats.org/officeDocument/2006/relationships/hyperlink" Target="https://drive.google.com/file/d/1lFTjtNl-dOKkrO0TQEClDwVNvzALoxEJ/view?usp=drivesdk" TargetMode="External"/><Relationship Id="rId9469" Type="http://schemas.openxmlformats.org/officeDocument/2006/relationships/hyperlink" Target="https://drive.google.com/file/d/1pGWKSyEm8QyEDrGYQ4fsUT98R_TwOT7Q/view?usp=drivesdk" TargetMode="External"/><Relationship Id="rId9419" Type="http://schemas.openxmlformats.org/officeDocument/2006/relationships/hyperlink" Target="https://drive.google.com/file/d/1lGhDl5-lwsviMGiC6-S5QfqMzoHrEs7H/view?usp=drivesdk" TargetMode="External"/><Relationship Id="rId9410" Type="http://schemas.openxmlformats.org/officeDocument/2006/relationships/hyperlink" Target="https://drive.google.com/file/d/1irUYV92lzQmZs_KuiibBe2lVQvWEDtqD/view?usp=drivesdk" TargetMode="External"/><Relationship Id="rId9415" Type="http://schemas.openxmlformats.org/officeDocument/2006/relationships/hyperlink" Target="https://drive.google.com/file/d/1xbeKqht-tLPaPx9MrJkpwlqWAtIAMIAr/view?usp=drivesdk" TargetMode="External"/><Relationship Id="rId9416" Type="http://schemas.openxmlformats.org/officeDocument/2006/relationships/hyperlink" Target="https://drive.google.com/file/d/1p6CZa4Yuise8k0KcIZisTfrfaOXSzXj0/view?usp=drivesdk" TargetMode="External"/><Relationship Id="rId9417" Type="http://schemas.openxmlformats.org/officeDocument/2006/relationships/hyperlink" Target="https://drive.google.com/file/d/13i3JFoiCzXY23j_aw5i_sbCRCEPjBc3S/view?usp=drivesdk" TargetMode="External"/><Relationship Id="rId9418" Type="http://schemas.openxmlformats.org/officeDocument/2006/relationships/hyperlink" Target="https://drive.google.com/file/d/15sz-g0pEb0JCdMtLSIbrCKreksrMBIpA/view?usp=drivesdk" TargetMode="External"/><Relationship Id="rId9411" Type="http://schemas.openxmlformats.org/officeDocument/2006/relationships/hyperlink" Target="https://drive.google.com/file/d/1ixYMbv-ERdoBgJ0HjUCsDsIaElt6gAYs/view?usp=drivesdk" TargetMode="External"/><Relationship Id="rId9412" Type="http://schemas.openxmlformats.org/officeDocument/2006/relationships/hyperlink" Target="https://drive.google.com/file/d/1xnwH3sy87UJmBjMX49Ch3_7IRuDEvXTI/view?usp=drivesdk" TargetMode="External"/><Relationship Id="rId9413" Type="http://schemas.openxmlformats.org/officeDocument/2006/relationships/hyperlink" Target="https://drive.google.com/file/d/1a0uU3lCZhg20o6NO3QNKuxx50_PEBQvE/view?usp=drivesdk" TargetMode="External"/><Relationship Id="rId9414" Type="http://schemas.openxmlformats.org/officeDocument/2006/relationships/hyperlink" Target="https://drive.google.com/file/d/1sNSS4nb0ozVbjdxNT0d9cWLzK8ocZsco/view?usp=drivesdk" TargetMode="External"/><Relationship Id="rId9408" Type="http://schemas.openxmlformats.org/officeDocument/2006/relationships/hyperlink" Target="https://drive.google.com/file/d/1uypfLjYj1V384e9TmqIFEdIjoTM0RGHI/view?usp=drivesdk" TargetMode="External"/><Relationship Id="rId9409" Type="http://schemas.openxmlformats.org/officeDocument/2006/relationships/hyperlink" Target="https://drive.google.com/file/d/1D8OW7UqBqnmwe3hgxNY_aQ_LF7OKFnaE/view?usp=drivesdk" TargetMode="External"/><Relationship Id="rId9404" Type="http://schemas.openxmlformats.org/officeDocument/2006/relationships/hyperlink" Target="https://drive.google.com/file/d/1Seu4jGGNVtscZnDSoG19Sct6iV1orkgk/view?usp=drivesdk" TargetMode="External"/><Relationship Id="rId9405" Type="http://schemas.openxmlformats.org/officeDocument/2006/relationships/hyperlink" Target="https://drive.google.com/file/d/1nrVTBwHRAeOz-S7pxWQNsxAhf1FReXXY/view?usp=drivesdk" TargetMode="External"/><Relationship Id="rId9406" Type="http://schemas.openxmlformats.org/officeDocument/2006/relationships/hyperlink" Target="https://drive.google.com/file/d/1u7ph0Zj1FSWQWN5BX4WczBpVmSo8ADGD/view?usp=drivesdk" TargetMode="External"/><Relationship Id="rId9407" Type="http://schemas.openxmlformats.org/officeDocument/2006/relationships/hyperlink" Target="https://drive.google.com/file/d/1YlCUgEcA3Lgigm8UPBJHfc9c2AeQOozB/view?usp=drivesdk" TargetMode="External"/><Relationship Id="rId9400" Type="http://schemas.openxmlformats.org/officeDocument/2006/relationships/hyperlink" Target="https://drive.google.com/file/d/1x6RepOoiB6_WT0eVa5WS6lL-t-keBip5/view?usp=drivesdk" TargetMode="External"/><Relationship Id="rId9401" Type="http://schemas.openxmlformats.org/officeDocument/2006/relationships/hyperlink" Target="https://drive.google.com/file/d/1CFlrUR_7_dP57za7RvrHBCWFiZsgZl9g/view?usp=drivesdk" TargetMode="External"/><Relationship Id="rId9402" Type="http://schemas.openxmlformats.org/officeDocument/2006/relationships/hyperlink" Target="https://drive.google.com/file/d/1i6UyY6YdijElJpHk69M3ReLE6GSJa2RH/view?usp=drivesdk" TargetMode="External"/><Relationship Id="rId9403" Type="http://schemas.openxmlformats.org/officeDocument/2006/relationships/hyperlink" Target="https://drive.google.com/file/d/1cqwkwe4Sr_uVWwQbZ9fvOSWbSXyzz91_/view?usp=drivesdk" TargetMode="External"/><Relationship Id="rId9430" Type="http://schemas.openxmlformats.org/officeDocument/2006/relationships/hyperlink" Target="https://drive.google.com/file/d/1GUK6UrEpA-9nsJ_wS6xciBf8xDU4GV24/view?usp=drivesdk" TargetMode="External"/><Relationship Id="rId9431" Type="http://schemas.openxmlformats.org/officeDocument/2006/relationships/hyperlink" Target="http://hafis.s.si" TargetMode="External"/><Relationship Id="rId9432" Type="http://schemas.openxmlformats.org/officeDocument/2006/relationships/hyperlink" Target="https://drive.google.com/file/d/1fqnWXa5SiSKuC3YvjzP3V3l-gyQqLunv/view?usp=drivesdk" TargetMode="External"/><Relationship Id="rId8101" Type="http://schemas.openxmlformats.org/officeDocument/2006/relationships/hyperlink" Target="https://drive.google.com/file/d/1t4qohVvJeCBkaGb2gu9UmhnSgdwio1O3/view?usp=drivesdk" TargetMode="External"/><Relationship Id="rId8100" Type="http://schemas.openxmlformats.org/officeDocument/2006/relationships/hyperlink" Target="https://drive.google.com/file/d/1LbxlNwIVAqFWxWf59oNEpM2Eex5xK3jK/view?usp=drivesdk" TargetMode="External"/><Relationship Id="rId8105" Type="http://schemas.openxmlformats.org/officeDocument/2006/relationships/hyperlink" Target="https://drive.google.com/file/d/1MuKIhu6mUPXbiF_2YRj7KyY3EKAB7yEt/view?usp=drivesdk" TargetMode="External"/><Relationship Id="rId9437" Type="http://schemas.openxmlformats.org/officeDocument/2006/relationships/hyperlink" Target="https://drive.google.com/file/d/1SryLlCjSUxPk7SUDuZPMcdkM0gbFaWs2/view?usp=drivesdk" TargetMode="External"/><Relationship Id="rId8104" Type="http://schemas.openxmlformats.org/officeDocument/2006/relationships/hyperlink" Target="https://drive.google.com/file/d/17WM46RZ96toLwREE3LpwkHhLXLt3yETe/view?usp=drivesdk" TargetMode="External"/><Relationship Id="rId9438" Type="http://schemas.openxmlformats.org/officeDocument/2006/relationships/hyperlink" Target="https://drive.google.com/file/d/1TY_2oXE9VSmVU8Wm6QtXTcFcGsoKMQ8R/view?usp=drivesdk" TargetMode="External"/><Relationship Id="rId8103" Type="http://schemas.openxmlformats.org/officeDocument/2006/relationships/hyperlink" Target="https://drive.google.com/file/d/1fpy1nlEntZ_6f2Sm1cSG1lzsuMEjMage/view?usp=drivesdk" TargetMode="External"/><Relationship Id="rId9439" Type="http://schemas.openxmlformats.org/officeDocument/2006/relationships/hyperlink" Target="https://drive.google.com/file/d/11SJgVnq3pdFtUGiygszgV4Ou6f6W2AIT/view?usp=drivesdk" TargetMode="External"/><Relationship Id="rId8102" Type="http://schemas.openxmlformats.org/officeDocument/2006/relationships/hyperlink" Target="https://drive.google.com/file/d/1hqUNL4USYU9iMYmFRwVwNY-gburtLWvf/view?usp=drivesdk" TargetMode="External"/><Relationship Id="rId8109" Type="http://schemas.openxmlformats.org/officeDocument/2006/relationships/hyperlink" Target="https://drive.google.com/file/d/1vQS9J1OpkZ8eJlKDOP2c_o4vtdE-unNN/view?usp=drivesdk" TargetMode="External"/><Relationship Id="rId9433" Type="http://schemas.openxmlformats.org/officeDocument/2006/relationships/hyperlink" Target="https://drive.google.com/file/d/1fovVTD64U9N9ZmIJ9OR4QuT_NcBF_EEV/view?usp=drivesdk" TargetMode="External"/><Relationship Id="rId8108" Type="http://schemas.openxmlformats.org/officeDocument/2006/relationships/hyperlink" Target="https://drive.google.com/file/d/1N4kAxZP991xkRSy3F9m6eL5yWKFIFvkQ/view?usp=drivesdk" TargetMode="External"/><Relationship Id="rId9434" Type="http://schemas.openxmlformats.org/officeDocument/2006/relationships/hyperlink" Target="https://drive.google.com/file/d/1T68H7uI2hCHd22jy19uffY6MQ58ozk3m/view?usp=drivesdk" TargetMode="External"/><Relationship Id="rId8107" Type="http://schemas.openxmlformats.org/officeDocument/2006/relationships/hyperlink" Target="https://drive.google.com/file/d/1fXiltDD2uq75qjNZs8_IFlF9KdohvYwk/view?usp=drivesdk" TargetMode="External"/><Relationship Id="rId9435" Type="http://schemas.openxmlformats.org/officeDocument/2006/relationships/hyperlink" Target="https://drive.google.com/file/d/17BHMSZjA2RjOwg5iUFxdvxeX5v6vqLcB/view?usp=drivesdk" TargetMode="External"/><Relationship Id="rId8106" Type="http://schemas.openxmlformats.org/officeDocument/2006/relationships/hyperlink" Target="https://drive.google.com/file/d/1agj_CC4Hi2pSb3HYwK_RD9OBu8RlwEX-/view?usp=drivesdk" TargetMode="External"/><Relationship Id="rId9436" Type="http://schemas.openxmlformats.org/officeDocument/2006/relationships/hyperlink" Target="https://drive.google.com/file/d/1ElVHxj9GtW4oKspYa-mMJTBDphzgG4JY/view?usp=drivesdk" TargetMode="External"/><Relationship Id="rId9420" Type="http://schemas.openxmlformats.org/officeDocument/2006/relationships/hyperlink" Target="https://drive.google.com/file/d/1XNyax1XeuY1cpIWhImGOIj1r7xb1JUUC/view?usp=drivesdk" TargetMode="External"/><Relationship Id="rId9421" Type="http://schemas.openxmlformats.org/officeDocument/2006/relationships/hyperlink" Target="https://drive.google.com/file/d/18tNCENA0SDdC3HJxGy5Lx5qL1AWQY8Fe/view?usp=drivesdk" TargetMode="External"/><Relationship Id="rId9426" Type="http://schemas.openxmlformats.org/officeDocument/2006/relationships/hyperlink" Target="https://drive.google.com/file/d/1V6xe28hGVBJkFNE7yLKAG-7yJLzhoWVD/view?usp=drivesdk" TargetMode="External"/><Relationship Id="rId9427" Type="http://schemas.openxmlformats.org/officeDocument/2006/relationships/hyperlink" Target="https://drive.google.com/file/d/1NJMSwrn7F-R2GDXkjaoJar6ROS8FJISp/view?usp=drivesdk" TargetMode="External"/><Relationship Id="rId9428" Type="http://schemas.openxmlformats.org/officeDocument/2006/relationships/hyperlink" Target="https://drive.google.com/file/d/18YBVUamio9qEBhgwAYFt29tBVobkYwCe/view?usp=drivesdk" TargetMode="External"/><Relationship Id="rId9429" Type="http://schemas.openxmlformats.org/officeDocument/2006/relationships/hyperlink" Target="https://drive.google.com/file/d/1u28Q1Jtrg3Yg1F1A18PMw7NOebO7inYS/view?usp=drivesdk" TargetMode="External"/><Relationship Id="rId9422" Type="http://schemas.openxmlformats.org/officeDocument/2006/relationships/hyperlink" Target="https://drive.google.com/file/d/164lYZsbs68s5-9bdA_52ccQIBqBe_USS/view?usp=drivesdk" TargetMode="External"/><Relationship Id="rId9423" Type="http://schemas.openxmlformats.org/officeDocument/2006/relationships/hyperlink" Target="https://drive.google.com/file/d/1BBaG3w4r0DcR06KrEigU_ZCmCsCZJiPl/view?usp=drivesdk" TargetMode="External"/><Relationship Id="rId9424" Type="http://schemas.openxmlformats.org/officeDocument/2006/relationships/hyperlink" Target="https://drive.google.com/file/d/1iprFffjhhwq9kmIt8Hy1air9GBpi12bf/view?usp=drivesdk" TargetMode="External"/><Relationship Id="rId9425" Type="http://schemas.openxmlformats.org/officeDocument/2006/relationships/hyperlink" Target="https://drive.google.com/file/d/1nVypUdssbqkKbyFfkRCKnP8L_VwAqYRy/view?usp=drivesdk" TargetMode="External"/><Relationship Id="rId8196" Type="http://schemas.openxmlformats.org/officeDocument/2006/relationships/hyperlink" Target="https://drive.google.com/file/d/1E3pcb71x0qPNpNAOyhvJ5lFrhWWoz2NC/view?usp=drivesdk" TargetMode="External"/><Relationship Id="rId8195" Type="http://schemas.openxmlformats.org/officeDocument/2006/relationships/hyperlink" Target="https://drive.google.com/file/d/1wor3_7TLSxuMnbT2pLVy7UfrOIoypB8R/view?usp=drivesdk" TargetMode="External"/><Relationship Id="rId8194" Type="http://schemas.openxmlformats.org/officeDocument/2006/relationships/hyperlink" Target="https://drive.google.com/file/d/1ta0j97f6uhRLKEyVYAWrBFLRo5aqUdeu/view?usp=drivesdk" TargetMode="External"/><Relationship Id="rId8193" Type="http://schemas.openxmlformats.org/officeDocument/2006/relationships/hyperlink" Target="https://drive.google.com/file/d/1T9LQj54iAD7RMIIpl9mA7v2MsXE9MWSY/view?usp=drivesdk" TargetMode="External"/><Relationship Id="rId8199" Type="http://schemas.openxmlformats.org/officeDocument/2006/relationships/hyperlink" Target="https://drive.google.com/file/d/15DKgN-0fmOB7LQbklyadhzQSIkRxqYXA/view?usp=drivesdk" TargetMode="External"/><Relationship Id="rId8198" Type="http://schemas.openxmlformats.org/officeDocument/2006/relationships/hyperlink" Target="https://drive.google.com/file/d/1swO8GJfdcsdIDumXqOKN8ofRNEuKuSQp/view?usp=drivesdk" TargetMode="External"/><Relationship Id="rId8197" Type="http://schemas.openxmlformats.org/officeDocument/2006/relationships/hyperlink" Target="https://drive.google.com/file/d/1P2oCwo0wF1TGEyBrn8nAF8rDN4CK5Cn1/view?usp=drivesdk" TargetMode="External"/><Relationship Id="rId8170" Type="http://schemas.openxmlformats.org/officeDocument/2006/relationships/hyperlink" Target="https://drive.google.com/file/d/1YZxZdQrZBPSrHdl2mdbtc4mTehw58ahS/view?usp=drivesdk" TargetMode="External"/><Relationship Id="rId8163" Type="http://schemas.openxmlformats.org/officeDocument/2006/relationships/hyperlink" Target="https://drive.google.com/file/d/1cpTME5Xw2kC0PvTH2iDSvoHBY0gDvyD8/view?usp=drivesdk" TargetMode="External"/><Relationship Id="rId9495" Type="http://schemas.openxmlformats.org/officeDocument/2006/relationships/hyperlink" Target="https://drive.google.com/file/d/19gxF5_vLoYik0Eu-SPzeJlgtJEyZIlOI/view?usp=drivesdk" TargetMode="External"/><Relationship Id="rId8162" Type="http://schemas.openxmlformats.org/officeDocument/2006/relationships/hyperlink" Target="https://drive.google.com/file/d/1SC5wsFrjomaKO1RYiQ3dFHTlAq76bo1U/view?usp=drivesdk" TargetMode="External"/><Relationship Id="rId9496" Type="http://schemas.openxmlformats.org/officeDocument/2006/relationships/hyperlink" Target="https://drive.google.com/file/d/1-z1Jc6FlipR24oDiRuwPpR38X7ViLLd9/view?usp=drivesdk" TargetMode="External"/><Relationship Id="rId8161" Type="http://schemas.openxmlformats.org/officeDocument/2006/relationships/hyperlink" Target="https://drive.google.com/file/d/12KX9MOQ4xKXn3Qouf1hIun5cqUi32jVW/view?usp=drivesdk" TargetMode="External"/><Relationship Id="rId9497" Type="http://schemas.openxmlformats.org/officeDocument/2006/relationships/hyperlink" Target="https://drive.google.com/file/d/1qLhDlRaoF34WNsUS_u1nW8QnHwdd6Bw-/view?usp=drivesdk" TargetMode="External"/><Relationship Id="rId8160" Type="http://schemas.openxmlformats.org/officeDocument/2006/relationships/hyperlink" Target="https://drive.google.com/file/d/1HwpDofNlbNMbqQa_rVGVbGI4TxP2be1w/view?usp=drivesdk" TargetMode="External"/><Relationship Id="rId9498" Type="http://schemas.openxmlformats.org/officeDocument/2006/relationships/hyperlink" Target="https://drive.google.com/file/d/1bbBniNKLcUrotdBBcbuMqy-YPfBlJxUl/view?usp=drivesdk" TargetMode="External"/><Relationship Id="rId8167" Type="http://schemas.openxmlformats.org/officeDocument/2006/relationships/hyperlink" Target="https://drive.google.com/file/d/1zc5XTqWB3u4yl3uj74V3rjCvAvAHy_3j/view?usp=drivesdk" TargetMode="External"/><Relationship Id="rId9491" Type="http://schemas.openxmlformats.org/officeDocument/2006/relationships/hyperlink" Target="https://drive.google.com/file/d/1I0qfJOVW9Yo5o1IZv_1eFls6W_hugxRn/view?usp=drivesdk" TargetMode="External"/><Relationship Id="rId8166" Type="http://schemas.openxmlformats.org/officeDocument/2006/relationships/hyperlink" Target="https://drive.google.com/file/d/1MACG9kwppG-fYPipOTytYM8bHnEQwwhs/view?usp=drivesdk" TargetMode="External"/><Relationship Id="rId9492" Type="http://schemas.openxmlformats.org/officeDocument/2006/relationships/hyperlink" Target="https://drive.google.com/file/d/1MGZhl7SwQaPFq5yr1XjNzZ_xvUtY4-v9/view?usp=drivesdk" TargetMode="External"/><Relationship Id="rId8165" Type="http://schemas.openxmlformats.org/officeDocument/2006/relationships/hyperlink" Target="https://drive.google.com/file/d/1mo0vt23ILSJc_aPPCfy4W6xFoiYwaIlk/view?usp=drivesdk" TargetMode="External"/><Relationship Id="rId9493" Type="http://schemas.openxmlformats.org/officeDocument/2006/relationships/hyperlink" Target="https://drive.google.com/file/d/1K26zbcemufBirOy_H97EY-pyaJ5R6738/view?usp=drivesdk" TargetMode="External"/><Relationship Id="rId8164" Type="http://schemas.openxmlformats.org/officeDocument/2006/relationships/hyperlink" Target="https://drive.google.com/file/d/1d8ft73rw_38Ya_AUQE9faxa7eXFEmUr5/view?usp=drivesdk" TargetMode="External"/><Relationship Id="rId9494" Type="http://schemas.openxmlformats.org/officeDocument/2006/relationships/hyperlink" Target="https://drive.google.com/file/d/1QSLiOZvprYGd7b1fI0ANdXV5JOQG3ILV/view?usp=drivesdk" TargetMode="External"/><Relationship Id="rId8169" Type="http://schemas.openxmlformats.org/officeDocument/2006/relationships/hyperlink" Target="https://drive.google.com/file/d/1q76nK2wDCEUJKRLbeRI8xsP66dncYgC9/view?usp=drivesdk" TargetMode="External"/><Relationship Id="rId8168" Type="http://schemas.openxmlformats.org/officeDocument/2006/relationships/hyperlink" Target="https://drive.google.com/file/d/1szJ3SZcylI_FOWcifxe2iDZpeFAC0wI3/view?usp=drivesdk" TargetMode="External"/><Relationship Id="rId9499" Type="http://schemas.openxmlformats.org/officeDocument/2006/relationships/hyperlink" Target="https://drive.google.com/file/d/1G8AHQtCm6jo0d_aU0o7dR8lSTxZbVXfi/view?usp=drivesdk" TargetMode="External"/><Relationship Id="rId9490" Type="http://schemas.openxmlformats.org/officeDocument/2006/relationships/hyperlink" Target="https://drive.google.com/file/d/10WuEBEASu2LPjKzoM5RG8N9m1oF4_Tm9/view?usp=drivesdk" TargetMode="External"/><Relationship Id="rId8152" Type="http://schemas.openxmlformats.org/officeDocument/2006/relationships/hyperlink" Target="https://drive.google.com/file/d/121b_NBJrjYJ7B-QW0JRXI3VKxH8W_89q/view?usp=drivesdk" TargetMode="External"/><Relationship Id="rId9484" Type="http://schemas.openxmlformats.org/officeDocument/2006/relationships/hyperlink" Target="https://drive.google.com/file/d/1ahzYLIy4XU3bH9m-swr-OzxSdmbTKb2C/view?usp=drivesdk" TargetMode="External"/><Relationship Id="rId8151" Type="http://schemas.openxmlformats.org/officeDocument/2006/relationships/hyperlink" Target="https://drive.google.com/file/d/1YylG_mkCkpaXJM1bK9JnKoUNfrk3w_DX/view?usp=drivesdk" TargetMode="External"/><Relationship Id="rId9485" Type="http://schemas.openxmlformats.org/officeDocument/2006/relationships/hyperlink" Target="https://drive.google.com/file/d/1ngdgFKPQztjuqIi38oAZ9ssAEdc5pXtW/view?usp=drivesdk" TargetMode="External"/><Relationship Id="rId8150" Type="http://schemas.openxmlformats.org/officeDocument/2006/relationships/hyperlink" Target="https://drive.google.com/file/d/1uqQ1QGM9ZXcSVuDX8O8BB7314iYfHH0n/view?usp=drivesdk" TargetMode="External"/><Relationship Id="rId9486" Type="http://schemas.openxmlformats.org/officeDocument/2006/relationships/hyperlink" Target="https://drive.google.com/file/d/1fH12N8ikbjf9kA6bYE0jRngJg0DhSUHC/view?usp=drivesdk" TargetMode="External"/><Relationship Id="rId9487" Type="http://schemas.openxmlformats.org/officeDocument/2006/relationships/hyperlink" Target="https://drive.google.com/file/d/1gnP2YOtnVmnF5FWydQ0eJmkzItNpT919/view?usp=drivesdk" TargetMode="External"/><Relationship Id="rId8156" Type="http://schemas.openxmlformats.org/officeDocument/2006/relationships/hyperlink" Target="https://drive.google.com/file/d/1mCyxUskz0o3ZJM4aL1PPYvoKNnDsvRdP/view?usp=drivesdk" TargetMode="External"/><Relationship Id="rId9480" Type="http://schemas.openxmlformats.org/officeDocument/2006/relationships/hyperlink" Target="https://drive.google.com/file/d/1NF8xNHjy3cBOAHnVz5i-We3jjwra3dbO/view?usp=drivesdk" TargetMode="External"/><Relationship Id="rId8155" Type="http://schemas.openxmlformats.org/officeDocument/2006/relationships/hyperlink" Target="https://drive.google.com/file/d/1kzFFzYHOQ05T-a8srLUYu3iEHtYOHJbW/view?usp=drivesdk" TargetMode="External"/><Relationship Id="rId9481" Type="http://schemas.openxmlformats.org/officeDocument/2006/relationships/hyperlink" Target="https://drive.google.com/file/d/1hcQBP6EYfUA-dnqm4wqjEcWkMkAVf_pB/view?usp=drivesdk" TargetMode="External"/><Relationship Id="rId8154" Type="http://schemas.openxmlformats.org/officeDocument/2006/relationships/hyperlink" Target="https://drive.google.com/file/d/1_9seIsYncELmukLc1ER0WPpMs1duXaqo/view?usp=drivesdk" TargetMode="External"/><Relationship Id="rId9482" Type="http://schemas.openxmlformats.org/officeDocument/2006/relationships/hyperlink" Target="https://drive.google.com/file/d/1eLldW5c33nPZ5THsOv17Wknmp1YYoLTy/view?usp=drivesdk" TargetMode="External"/><Relationship Id="rId8153" Type="http://schemas.openxmlformats.org/officeDocument/2006/relationships/hyperlink" Target="https://drive.google.com/file/d/1X59faOxQSQY90G93dRyxcnjsRbITo-Rw/view?usp=drivesdk" TargetMode="External"/><Relationship Id="rId9483" Type="http://schemas.openxmlformats.org/officeDocument/2006/relationships/hyperlink" Target="https://drive.google.com/file/d/14euAyYUHwLxJu3Q5pnQij01i82JsXRpm/view?usp=drivesdk" TargetMode="External"/><Relationship Id="rId8159" Type="http://schemas.openxmlformats.org/officeDocument/2006/relationships/hyperlink" Target="https://drive.google.com/file/d/1yyfSNYWQ4iEi4dlwdETHRhUNCYfeHoRE/view?usp=drivesdk" TargetMode="External"/><Relationship Id="rId8158" Type="http://schemas.openxmlformats.org/officeDocument/2006/relationships/hyperlink" Target="https://drive.google.com/file/d/1Ia7Oby97D0Ucw05jnrQgFyBpA6z0Rsu3/view?usp=drivesdk" TargetMode="External"/><Relationship Id="rId8157" Type="http://schemas.openxmlformats.org/officeDocument/2006/relationships/hyperlink" Target="https://drive.google.com/file/d/1_EgBEWMV-aaem_c8cYAeA83EEX8TL2uE/view?usp=drivesdk" TargetMode="External"/><Relationship Id="rId9488" Type="http://schemas.openxmlformats.org/officeDocument/2006/relationships/hyperlink" Target="https://drive.google.com/file/d/1uGU0Rx8J2axhssjFAMR2Ng4qT8-wlfhO/view?usp=drivesdk" TargetMode="External"/><Relationship Id="rId9489" Type="http://schemas.openxmlformats.org/officeDocument/2006/relationships/hyperlink" Target="https://drive.google.com/file/d/13YT93QQuykrxd8yxCW27YVh-rzPI6rOk/view?usp=drivesdk" TargetMode="External"/><Relationship Id="rId8192" Type="http://schemas.openxmlformats.org/officeDocument/2006/relationships/hyperlink" Target="https://drive.google.com/file/d/1mAXtJgUmcPnAQwsltheac72TS3vP_UE4/view?usp=drivesdk" TargetMode="External"/><Relationship Id="rId8191" Type="http://schemas.openxmlformats.org/officeDocument/2006/relationships/hyperlink" Target="https://drive.google.com/file/d/1AgAscyyN8v83nw4E3TX2nckiGW2jqbFF/view?usp=drivesdk" TargetMode="External"/><Relationship Id="rId8190" Type="http://schemas.openxmlformats.org/officeDocument/2006/relationships/hyperlink" Target="https://drive.google.com/file/d/1dKA2Sgwx12sGmf0b58kI2V4twHR0vcE4/view?usp=drivesdk" TargetMode="External"/><Relationship Id="rId8185" Type="http://schemas.openxmlformats.org/officeDocument/2006/relationships/hyperlink" Target="https://drive.google.com/file/d/156els75AH7g6nEO131iWHjhBHeblil6M/view?usp=drivesdk" TargetMode="External"/><Relationship Id="rId8184" Type="http://schemas.openxmlformats.org/officeDocument/2006/relationships/hyperlink" Target="https://drive.google.com/file/d/1Oaojhy5nFpLvcgWw85OyGfESlPd2kQfr/view?usp=drivesdk" TargetMode="External"/><Relationship Id="rId8183" Type="http://schemas.openxmlformats.org/officeDocument/2006/relationships/hyperlink" Target="https://drive.google.com/file/d/1Bpsr1by4hVqVhRvwRjoZ_nKBRAautWso/view?usp=drivesdk" TargetMode="External"/><Relationship Id="rId8182" Type="http://schemas.openxmlformats.org/officeDocument/2006/relationships/hyperlink" Target="https://drive.google.com/file/d/1f-nYKSg-gCz8HOwePOREsH26vUf9o22y/view?usp=drivesdk" TargetMode="External"/><Relationship Id="rId8189" Type="http://schemas.openxmlformats.org/officeDocument/2006/relationships/hyperlink" Target="https://drive.google.com/file/d/1FNB6umijkjLyrCC5bCLIM89k2InfInZm/view?usp=drivesdk" TargetMode="External"/><Relationship Id="rId8188" Type="http://schemas.openxmlformats.org/officeDocument/2006/relationships/hyperlink" Target="https://drive.google.com/file/d/1_u1HiKgtMGE-pYRkLC5KQC0vp5CVQTta/view?usp=drivesdk" TargetMode="External"/><Relationship Id="rId8187" Type="http://schemas.openxmlformats.org/officeDocument/2006/relationships/hyperlink" Target="https://drive.google.com/file/d/1pLXqK_k1-IuUp2yDIhQA5zDXFnkVw8sQ/view?usp=drivesdk" TargetMode="External"/><Relationship Id="rId8186" Type="http://schemas.openxmlformats.org/officeDocument/2006/relationships/hyperlink" Target="https://drive.google.com/file/d/11pwVgQvfjeq8l7DI7JbtK_pg0bI9oM_S/view?usp=drivesdk" TargetMode="External"/><Relationship Id="rId8181" Type="http://schemas.openxmlformats.org/officeDocument/2006/relationships/hyperlink" Target="https://drive.google.com/file/d/1al3RWJx29ILzgdzmD1LN6hYj7i1SHt_0/view?usp=drivesdk" TargetMode="External"/><Relationship Id="rId8180" Type="http://schemas.openxmlformats.org/officeDocument/2006/relationships/hyperlink" Target="https://drive.google.com/file/d/1310YJ4-ktz6O0hDBD8mW2C9jQL3hlx9W/view?usp=drivesdk" TargetMode="External"/><Relationship Id="rId8174" Type="http://schemas.openxmlformats.org/officeDocument/2006/relationships/hyperlink" Target="https://drive.google.com/file/d/16FO9AnwDPrb7HppUWJuYBSXY6ch_odpo/view?usp=drivesdk" TargetMode="External"/><Relationship Id="rId8173" Type="http://schemas.openxmlformats.org/officeDocument/2006/relationships/hyperlink" Target="https://drive.google.com/file/d/1aob8Lg1snNIOqsJ4PJJ5O3EMY5VKx_jJ/view?usp=drivesdk" TargetMode="External"/><Relationship Id="rId8172" Type="http://schemas.openxmlformats.org/officeDocument/2006/relationships/hyperlink" Target="https://drive.google.com/file/d/1MQznml1rNXClfhhygguPBciwQPmdnE7_/view?usp=drivesdk" TargetMode="External"/><Relationship Id="rId8171" Type="http://schemas.openxmlformats.org/officeDocument/2006/relationships/hyperlink" Target="https://drive.google.com/file/d/1_p4Q8ncRXhZMhJuEgVEl3atuAQrUZWny/view?usp=drivesdk" TargetMode="External"/><Relationship Id="rId8178" Type="http://schemas.openxmlformats.org/officeDocument/2006/relationships/hyperlink" Target="https://drive.google.com/file/d/1wXa6WTrv2_YrsjwR0xLFjYCVzpNk1DvN/view?usp=drivesdk" TargetMode="External"/><Relationship Id="rId8177" Type="http://schemas.openxmlformats.org/officeDocument/2006/relationships/hyperlink" Target="https://drive.google.com/file/d/1nFcusoMHyLeaFXvNM4SjUCb8890gZrEG/view?usp=drivesdk" TargetMode="External"/><Relationship Id="rId8176" Type="http://schemas.openxmlformats.org/officeDocument/2006/relationships/hyperlink" Target="https://drive.google.com/file/d/1L14BfG_TqZoEdGZYrBIt8Nq4GVHjNAW4/view?usp=drivesdk" TargetMode="External"/><Relationship Id="rId8175" Type="http://schemas.openxmlformats.org/officeDocument/2006/relationships/hyperlink" Target="https://drive.google.com/file/d/1bn_y8vIaQC2DGCGqH1K-eJS8CCjDfc47/view?usp=drivesdk" TargetMode="External"/><Relationship Id="rId8179" Type="http://schemas.openxmlformats.org/officeDocument/2006/relationships/hyperlink" Target="https://drive.google.com/file/d/1SKzw2fHS-RCjjx6iOJVMY3Jz1BjKLs_s/view?usp=drivesdk" TargetMode="External"/><Relationship Id="rId107" Type="http://schemas.openxmlformats.org/officeDocument/2006/relationships/hyperlink" Target="https://drive.google.com/file/d/1AkKgfQ22W_z3atii867kVUSyOS_pHiRp/view?usp=drivesdk" TargetMode="External"/><Relationship Id="rId10578" Type="http://schemas.openxmlformats.org/officeDocument/2006/relationships/hyperlink" Target="https://drive.google.com/file/d/1EAdQ_mpM1gA266k0FrHfyCe0rRia7-ie/view?usp=drivesdk" TargetMode="External"/><Relationship Id="rId106" Type="http://schemas.openxmlformats.org/officeDocument/2006/relationships/hyperlink" Target="https://drive.google.com/file/d/16QNMwfVVTs4UnQrtfsgi_VUG6csKD4a0/view?usp=drivesdk" TargetMode="External"/><Relationship Id="rId10579" Type="http://schemas.openxmlformats.org/officeDocument/2006/relationships/hyperlink" Target="https://drive.google.com/file/d/1e6UJ5ksfVzEks_GPUS1o_DEvRSXQNL6R/view?usp=drivesdk" TargetMode="External"/><Relationship Id="rId105" Type="http://schemas.openxmlformats.org/officeDocument/2006/relationships/hyperlink" Target="https://drive.google.com/file/d/1rGs5knj2hbSR-F0u1gApBgvkk_qjDXsO/view?usp=drivesdk" TargetMode="External"/><Relationship Id="rId10576" Type="http://schemas.openxmlformats.org/officeDocument/2006/relationships/hyperlink" Target="https://drive.google.com/file/d/1RWYH7KgnJXKqvkoTGghW0xgjP158IWNu/view?usp=drivesdk" TargetMode="External"/><Relationship Id="rId104" Type="http://schemas.openxmlformats.org/officeDocument/2006/relationships/hyperlink" Target="https://drive.google.com/file/d/17Cm8_PzKgZ_k2qKUvQU9b-B3hzXpHkdM/view?usp=drivesdk" TargetMode="External"/><Relationship Id="rId10577" Type="http://schemas.openxmlformats.org/officeDocument/2006/relationships/hyperlink" Target="https://drive.google.com/file/d/1_IC-PrYfYmv4GuuhWDm-6cVnSkAUL9LK/view?usp=drivesdk" TargetMode="External"/><Relationship Id="rId109" Type="http://schemas.openxmlformats.org/officeDocument/2006/relationships/hyperlink" Target="https://drive.google.com/file/d/1yB_mMzXekebowwZx_NHbClELVQnyv7rW/view?usp=drivesdk" TargetMode="External"/><Relationship Id="rId108" Type="http://schemas.openxmlformats.org/officeDocument/2006/relationships/hyperlink" Target="https://drive.google.com/file/d/1rsUdPrAFoFwv-MqHN-tkJeAYKqAZuoJ9/view?usp=drivesdk" TargetMode="External"/><Relationship Id="rId10570" Type="http://schemas.openxmlformats.org/officeDocument/2006/relationships/hyperlink" Target="https://drive.google.com/file/d/1Mrg6Ehn8g_g6d7WWQgKNFAGKlmKP6rt0/view?usp=drivesdk" TargetMode="External"/><Relationship Id="rId10571" Type="http://schemas.openxmlformats.org/officeDocument/2006/relationships/hyperlink" Target="https://drive.google.com/file/d/1nR_P3ETm2nWz9zRB0miMi1Bnan83KaOU/view?usp=drivesdk" TargetMode="External"/><Relationship Id="rId103" Type="http://schemas.openxmlformats.org/officeDocument/2006/relationships/hyperlink" Target="https://drive.google.com/file/d/1Po9MxcBB0lvn-FGdQy7g_yErGe9y9lPK/view?usp=drivesdk" TargetMode="External"/><Relationship Id="rId10574" Type="http://schemas.openxmlformats.org/officeDocument/2006/relationships/hyperlink" Target="https://drive.google.com/file/d/12OoDHvj_Fp9Jbq0oAo32iulVrlbdc4r4/view?usp=drivesdk" TargetMode="External"/><Relationship Id="rId102" Type="http://schemas.openxmlformats.org/officeDocument/2006/relationships/hyperlink" Target="https://drive.google.com/file/d/1WfU10XUOSnIxB-S2lldsXTJVl0WMIJO8/view?usp=drivesdk" TargetMode="External"/><Relationship Id="rId10575" Type="http://schemas.openxmlformats.org/officeDocument/2006/relationships/hyperlink" Target="https://drive.google.com/file/d/1cLeh6kq_jklsKSf0mrptmkpyZyMsTb44/view?usp=drivesdk" TargetMode="External"/><Relationship Id="rId101" Type="http://schemas.openxmlformats.org/officeDocument/2006/relationships/hyperlink" Target="https://drive.google.com/file/d/1uY5BrGkcOKUmF8UsvWhiLSJ3iCC8O_e1/view?usp=drivesdk" TargetMode="External"/><Relationship Id="rId10572" Type="http://schemas.openxmlformats.org/officeDocument/2006/relationships/hyperlink" Target="https://drive.google.com/file/d/17mwUfC7BwDHnAd-joChnc2G8NwPXYzdt/view?usp=drivesdk" TargetMode="External"/><Relationship Id="rId100" Type="http://schemas.openxmlformats.org/officeDocument/2006/relationships/hyperlink" Target="https://drive.google.com/file/d/1_CHoTw0_qPmT_XVHr5gFav1hq9o0f6J4/view?usp=drivesdk" TargetMode="External"/><Relationship Id="rId10573" Type="http://schemas.openxmlformats.org/officeDocument/2006/relationships/hyperlink" Target="https://drive.google.com/file/d/1YeQXoisFe24QfX09h3vRlgplkIZY3H3U/view?usp=drivesdk" TargetMode="External"/><Relationship Id="rId10589" Type="http://schemas.openxmlformats.org/officeDocument/2006/relationships/hyperlink" Target="https://drive.google.com/file/d/1gcvfBg3R3_XAyEAS7Mlucid7E7jWX1Qc/view?usp=drivesdk" TargetMode="External"/><Relationship Id="rId10587" Type="http://schemas.openxmlformats.org/officeDocument/2006/relationships/hyperlink" Target="https://drive.google.com/file/d/1XQ_DKtCD_g0cX0Z0qodh3xuSjBeoQC-I/view?usp=drivesdk" TargetMode="External"/><Relationship Id="rId10588" Type="http://schemas.openxmlformats.org/officeDocument/2006/relationships/hyperlink" Target="https://drive.google.com/file/d/15tzLyWsMzhPo3D_SvGLbj0Z3EOklYv-H/view?usp=drivesdk" TargetMode="External"/><Relationship Id="rId10581" Type="http://schemas.openxmlformats.org/officeDocument/2006/relationships/hyperlink" Target="https://drive.google.com/file/d/1QUC3EXe6bUGEnIqrsZAqP6dcGUYaOmbo/view?usp=drivesdk" TargetMode="External"/><Relationship Id="rId10582" Type="http://schemas.openxmlformats.org/officeDocument/2006/relationships/hyperlink" Target="https://drive.google.com/file/d/1HPqFDBaf5Ys-4jv6gvyPzY7kKlN0k3-o/view?usp=drivesdk" TargetMode="External"/><Relationship Id="rId10580" Type="http://schemas.openxmlformats.org/officeDocument/2006/relationships/hyperlink" Target="https://drive.google.com/file/d/1rN7SvpgONBCwVt8KhRniUJ5qg9uIrOSd/view?usp=drivesdk" TargetMode="External"/><Relationship Id="rId10585" Type="http://schemas.openxmlformats.org/officeDocument/2006/relationships/hyperlink" Target="https://drive.google.com/file/d/16GVJ9qaBLIQAHtXfxy2QcJRmYJFqrhey/view?usp=drivesdk" TargetMode="External"/><Relationship Id="rId10586" Type="http://schemas.openxmlformats.org/officeDocument/2006/relationships/hyperlink" Target="https://drive.google.com/file/d/149I-hXi9OdwdzCr-rGHlVmgoeQPOwTC8/view?usp=drivesdk" TargetMode="External"/><Relationship Id="rId10583" Type="http://schemas.openxmlformats.org/officeDocument/2006/relationships/hyperlink" Target="https://drive.google.com/file/d/1mtpyNfh6eURfPnsce055G78GPTmSh4k1/view?usp=drivesdk" TargetMode="External"/><Relationship Id="rId10584" Type="http://schemas.openxmlformats.org/officeDocument/2006/relationships/hyperlink" Target="https://drive.google.com/file/d/1j8vDGNO5taP9mfDSIiG75MpHx32Dbfql/view?usp=drivesdk" TargetMode="External"/><Relationship Id="rId129" Type="http://schemas.openxmlformats.org/officeDocument/2006/relationships/hyperlink" Target="https://drive.google.com/file/d/1RiZSXEt5PvFY5BRfxvg-6kSoPO2Nvv6U/view?usp=drivesdk" TargetMode="External"/><Relationship Id="rId10556" Type="http://schemas.openxmlformats.org/officeDocument/2006/relationships/hyperlink" Target="https://drive.google.com/file/d/1GdDjiFMtB2rbAEcg8rE7EQ0m-ZjDiMKh/view?usp=drivesdk" TargetMode="External"/><Relationship Id="rId11888" Type="http://schemas.openxmlformats.org/officeDocument/2006/relationships/hyperlink" Target="https://drive.google.com/file/d/1DSs4DL0GK4n7lkLVQbqCXt2yshs0zbNt/view?usp=drivesdk" TargetMode="External"/><Relationship Id="rId128" Type="http://schemas.openxmlformats.org/officeDocument/2006/relationships/hyperlink" Target="https://drive.google.com/file/d/163LVY241xoc6-PYriqcJlkNNvORw4-Oa/view?usp=drivesdk" TargetMode="External"/><Relationship Id="rId10557" Type="http://schemas.openxmlformats.org/officeDocument/2006/relationships/hyperlink" Target="https://drive.google.com/file/d/1-vmJPFvSmQhojTpu_YB82biJVVOFBErr/view?usp=drivesdk" TargetMode="External"/><Relationship Id="rId11887" Type="http://schemas.openxmlformats.org/officeDocument/2006/relationships/hyperlink" Target="https://drive.google.com/file/d/1eYTbYO4Mpt4rgW8J1G0p9qmktIPBPTEW/view?usp=drivesdk" TargetMode="External"/><Relationship Id="rId127" Type="http://schemas.openxmlformats.org/officeDocument/2006/relationships/hyperlink" Target="https://drive.google.com/file/d/1Mk3jjmSHa-ATOe0BWhgxh8lmNzGELchL/view?usp=drivesdk" TargetMode="External"/><Relationship Id="rId10554" Type="http://schemas.openxmlformats.org/officeDocument/2006/relationships/hyperlink" Target="https://drive.google.com/file/d/1Orh58lF2-zOgnUzNVJeFkK7PdC_IALpe/view?usp=drivesdk" TargetMode="External"/><Relationship Id="rId11886" Type="http://schemas.openxmlformats.org/officeDocument/2006/relationships/hyperlink" Target="https://drive.google.com/file/d/1-BWobJKjQ3vpM0lAYffccAGyyVbqf4eD/view?usp=drivesdk" TargetMode="External"/><Relationship Id="rId126" Type="http://schemas.openxmlformats.org/officeDocument/2006/relationships/hyperlink" Target="https://drive.google.com/file/d/170GvrMpGPWDQBSb_gnzrBNNHghnfRvWZ/view?usp=drivesdk" TargetMode="External"/><Relationship Id="rId10555" Type="http://schemas.openxmlformats.org/officeDocument/2006/relationships/hyperlink" Target="https://drive.google.com/file/d/1wWD9jEnuV9doWzeD0tkWksV7Acas0p3v/view?usp=drivesdk" TargetMode="External"/><Relationship Id="rId11885" Type="http://schemas.openxmlformats.org/officeDocument/2006/relationships/hyperlink" Target="https://drive.google.com/file/d/1z2RjX_KVryUGTLTgft921JOoic0w4uEM/view?usp=drivesdk" TargetMode="External"/><Relationship Id="rId10558" Type="http://schemas.openxmlformats.org/officeDocument/2006/relationships/hyperlink" Target="https://drive.google.com/file/d/1h1uDYJr6uxvbl70sGnQBre7P-0OjN6Ox/view?usp=drivesdk" TargetMode="External"/><Relationship Id="rId10559" Type="http://schemas.openxmlformats.org/officeDocument/2006/relationships/hyperlink" Target="https://drive.google.com/file/d/1E_RFIH7v4INq5yTASvmSs2QboDzJTvpo/view?usp=drivesdk" TargetMode="External"/><Relationship Id="rId11889" Type="http://schemas.openxmlformats.org/officeDocument/2006/relationships/hyperlink" Target="https://drive.google.com/file/d/1azTbY6HtDditeKDrN8egaW4IioBFwJx2/view?usp=drivesdk" TargetMode="External"/><Relationship Id="rId121" Type="http://schemas.openxmlformats.org/officeDocument/2006/relationships/hyperlink" Target="https://drive.google.com/file/d/19ntV0gDK575WeWcl252A8nuVi3BQtWZ4/view?usp=drivesdk" TargetMode="External"/><Relationship Id="rId11880" Type="http://schemas.openxmlformats.org/officeDocument/2006/relationships/hyperlink" Target="https://drive.google.com/file/d/1topvFxkeTpWKv-c2wrIQgJSV5a45rnaq/view?usp=drivesdk" TargetMode="External"/><Relationship Id="rId120" Type="http://schemas.openxmlformats.org/officeDocument/2006/relationships/hyperlink" Target="https://drive.google.com/file/d/17C7igu8kj2DLql_TkwVSQaqWSsTegQWE/view?usp=drivesdk" TargetMode="External"/><Relationship Id="rId125" Type="http://schemas.openxmlformats.org/officeDocument/2006/relationships/hyperlink" Target="https://drive.google.com/file/d/1q-MRhEH5XRp68SeKo1cig9zsP7A1TNuO/view?usp=drivesdk" TargetMode="External"/><Relationship Id="rId10552" Type="http://schemas.openxmlformats.org/officeDocument/2006/relationships/hyperlink" Target="https://drive.google.com/file/d/1E8EvR2GVha3WYarbYSbkfXHk6JJ8xZdk/view?usp=drivesdk" TargetMode="External"/><Relationship Id="rId11884" Type="http://schemas.openxmlformats.org/officeDocument/2006/relationships/hyperlink" Target="https://drive.google.com/file/d/18TZmymCRQDzqGrC65kVRmwY8YUC0iZe3/view?usp=drivesdk" TargetMode="External"/><Relationship Id="rId124" Type="http://schemas.openxmlformats.org/officeDocument/2006/relationships/hyperlink" Target="https://drive.google.com/file/d/1R3x_ZxkKjbd6k3bifnIc7U8b2Rwm3Pmo/view?usp=drivesdk" TargetMode="External"/><Relationship Id="rId10553" Type="http://schemas.openxmlformats.org/officeDocument/2006/relationships/hyperlink" Target="https://drive.google.com/file/d/1UgiPJOa0PVF6d-XoFWp3OxKC5puY-v2Z/view?usp=drivesdk" TargetMode="External"/><Relationship Id="rId11883" Type="http://schemas.openxmlformats.org/officeDocument/2006/relationships/hyperlink" Target="https://drive.google.com/file/d/1XLJVBiS6gYQlbqXXRElL0ma6jlw4ZJ69/view?usp=drivesdk" TargetMode="External"/><Relationship Id="rId123" Type="http://schemas.openxmlformats.org/officeDocument/2006/relationships/hyperlink" Target="https://drive.google.com/file/d/15H479_Aw1e--M-MXLR7c-3FXUYvFnRrP/view?usp=drivesdk" TargetMode="External"/><Relationship Id="rId10550" Type="http://schemas.openxmlformats.org/officeDocument/2006/relationships/hyperlink" Target="https://drive.google.com/file/d/1BtBVMJktUQ1btuLEQjKLSZ0tDuHasfxO/view?usp=drivesdk" TargetMode="External"/><Relationship Id="rId11882" Type="http://schemas.openxmlformats.org/officeDocument/2006/relationships/hyperlink" Target="https://drive.google.com/file/d/1zdgjYBeX9oEpo9Z29MZKpRkk4za3-SCJ/view?usp=drivesdk" TargetMode="External"/><Relationship Id="rId122" Type="http://schemas.openxmlformats.org/officeDocument/2006/relationships/hyperlink" Target="https://drive.google.com/file/d/1rAm_b6niPc8_S4otREtbyU_yiQMWr71t/view?usp=drivesdk" TargetMode="External"/><Relationship Id="rId10551" Type="http://schemas.openxmlformats.org/officeDocument/2006/relationships/hyperlink" Target="https://drive.google.com/file/d/1D7VKES1_naucHteVgFrgL8xqHYuB1esr/view?usp=drivesdk" TargetMode="External"/><Relationship Id="rId11881" Type="http://schemas.openxmlformats.org/officeDocument/2006/relationships/hyperlink" Target="https://drive.google.com/file/d/1O_mVy_SoExBy60QZ4iDcPRx-tffY59om/view?usp=drivesdk" TargetMode="External"/><Relationship Id="rId118" Type="http://schemas.openxmlformats.org/officeDocument/2006/relationships/hyperlink" Target="https://drive.google.com/file/d/1j9VxM0s2BWC2hLW39_NFiUK2LD3fsVdZ/view?usp=drivesdk" TargetMode="External"/><Relationship Id="rId10567" Type="http://schemas.openxmlformats.org/officeDocument/2006/relationships/hyperlink" Target="https://drive.google.com/file/d/1HlsIKzxNWGGnYHhBhZQ5VS-a_CwsEbZH/view?usp=drivesdk" TargetMode="External"/><Relationship Id="rId11899" Type="http://schemas.openxmlformats.org/officeDocument/2006/relationships/hyperlink" Target="https://drive.google.com/file/d/1nYG7JS9MDjwXFiIrbna-fnD-L8klH5vC/view?usp=drivesdk" TargetMode="External"/><Relationship Id="rId117" Type="http://schemas.openxmlformats.org/officeDocument/2006/relationships/hyperlink" Target="https://drive.google.com/file/d/1jW6Dm_xsx4jPprgYvBiQLPeUUCETqPHk/view?usp=drivesdk" TargetMode="External"/><Relationship Id="rId10568" Type="http://schemas.openxmlformats.org/officeDocument/2006/relationships/hyperlink" Target="https://drive.google.com/file/d/1xvK9AOwZ8ln1Kb35_YlDhIBQoKYJPc1m/view?usp=drivesdk" TargetMode="External"/><Relationship Id="rId11898" Type="http://schemas.openxmlformats.org/officeDocument/2006/relationships/hyperlink" Target="https://drive.google.com/file/d/10ma-2gzmwWDAOZnAbOaGcZG083XETb_N/view?usp=drivesdk" TargetMode="External"/><Relationship Id="rId116" Type="http://schemas.openxmlformats.org/officeDocument/2006/relationships/hyperlink" Target="https://drive.google.com/file/d/1q2IykwJE4OFbC7kUxIN72eu3YwtXZmw_/view?usp=drivesdk" TargetMode="External"/><Relationship Id="rId10565" Type="http://schemas.openxmlformats.org/officeDocument/2006/relationships/hyperlink" Target="https://drive.google.com/file/d/1QtgSg0kBVOHUOWz1-SjtxWARKPuXOh0x/view?usp=drivesdk" TargetMode="External"/><Relationship Id="rId11897" Type="http://schemas.openxmlformats.org/officeDocument/2006/relationships/hyperlink" Target="https://drive.google.com/file/d/15I2Jf1LjTnZQJXfPFnvk4xv486sOmjQ_/view?usp=drivesdk" TargetMode="External"/><Relationship Id="rId115" Type="http://schemas.openxmlformats.org/officeDocument/2006/relationships/hyperlink" Target="https://drive.google.com/file/d/1e1t8AuLQqIOJjojh4Dv7VtIcgCrLcEuL/view?usp=drivesdk" TargetMode="External"/><Relationship Id="rId10566" Type="http://schemas.openxmlformats.org/officeDocument/2006/relationships/hyperlink" Target="https://drive.google.com/file/d/1K6nKzKgnxOwLBiQe1c-CYOiGr_yGVL6T/view?usp=drivesdk" TargetMode="External"/><Relationship Id="rId11896" Type="http://schemas.openxmlformats.org/officeDocument/2006/relationships/hyperlink" Target="https://drive.google.com/file/d/1o03e7RlDb6OpQibfIqeJ_7ZknEdBwVDg/view?usp=drivesdk" TargetMode="External"/><Relationship Id="rId10569" Type="http://schemas.openxmlformats.org/officeDocument/2006/relationships/hyperlink" Target="https://drive.google.com/file/d/1-uwe_utkvEmNDrx_uWsdndRWI7zEFsVg/view?usp=drivesdk" TargetMode="External"/><Relationship Id="rId119" Type="http://schemas.openxmlformats.org/officeDocument/2006/relationships/hyperlink" Target="https://drive.google.com/file/d/1V4ug63wN4hcajf5MXJAOvFvoD0xjIxzK/view?usp=drivesdk" TargetMode="External"/><Relationship Id="rId110" Type="http://schemas.openxmlformats.org/officeDocument/2006/relationships/hyperlink" Target="https://drive.google.com/file/d/1GVB9QABrrMtQSrEvOdBJTMUviM2A3PpG/view?usp=drivesdk" TargetMode="External"/><Relationship Id="rId11891" Type="http://schemas.openxmlformats.org/officeDocument/2006/relationships/hyperlink" Target="https://drive.google.com/file/d/1XnkBMKB80YqFep9gYPobK8iLTVryMPDr/view?usp=drivesdk" TargetMode="External"/><Relationship Id="rId10560" Type="http://schemas.openxmlformats.org/officeDocument/2006/relationships/hyperlink" Target="https://drive.google.com/file/d/1xbhB8vIX17WC_u5BRzYFqCEhI5VbsuF6/view?usp=drivesdk" TargetMode="External"/><Relationship Id="rId11890" Type="http://schemas.openxmlformats.org/officeDocument/2006/relationships/hyperlink" Target="https://drive.google.com/file/d/1-b8H6RNwDL5jvBqaF_xfhUZ_0qev7hVa/view?usp=drivesdk" TargetMode="External"/><Relationship Id="rId114" Type="http://schemas.openxmlformats.org/officeDocument/2006/relationships/hyperlink" Target="https://drive.google.com/file/d/1Qs6QanfYyBh_67sc9S1nPT3_Mq7kH9fG/view?usp=drivesdk" TargetMode="External"/><Relationship Id="rId10563" Type="http://schemas.openxmlformats.org/officeDocument/2006/relationships/hyperlink" Target="https://drive.google.com/file/d/1auMmOblQvJI8PBIHaSgyWRfkQk2BMqdl/view?usp=drivesdk" TargetMode="External"/><Relationship Id="rId11895" Type="http://schemas.openxmlformats.org/officeDocument/2006/relationships/hyperlink" Target="https://drive.google.com/file/d/1_bZJOe82vZIRRQJjcjA3LV43-5z2QCG4/view?usp=drivesdk" TargetMode="External"/><Relationship Id="rId113" Type="http://schemas.openxmlformats.org/officeDocument/2006/relationships/hyperlink" Target="https://drive.google.com/file/d/10WdTRsWCLugTetPT1dxu-smYhwRzkeAP/view?usp=drivesdk" TargetMode="External"/><Relationship Id="rId10564" Type="http://schemas.openxmlformats.org/officeDocument/2006/relationships/hyperlink" Target="https://drive.google.com/file/d/1aoLV-RL-qChoefIDYZp5n_OmPhWJJ8od/view?usp=drivesdk" TargetMode="External"/><Relationship Id="rId11894" Type="http://schemas.openxmlformats.org/officeDocument/2006/relationships/hyperlink" Target="https://drive.google.com/file/d/1D8oK8Z5mc2YZap3HdckJkhxZWajAov3R/view?usp=drivesdk" TargetMode="External"/><Relationship Id="rId112" Type="http://schemas.openxmlformats.org/officeDocument/2006/relationships/hyperlink" Target="https://drive.google.com/file/d/1tOCTLZNoHPb_JNRzLOM3W10YcYsZUqWN/view?usp=drivesdk" TargetMode="External"/><Relationship Id="rId10561" Type="http://schemas.openxmlformats.org/officeDocument/2006/relationships/hyperlink" Target="https://drive.google.com/file/d/1BoE7w_Y1Eok1RNqQvedZ8kenh_-4lBgt/view?usp=drivesdk" TargetMode="External"/><Relationship Id="rId11893" Type="http://schemas.openxmlformats.org/officeDocument/2006/relationships/hyperlink" Target="https://drive.google.com/file/d/1qvjgSzIuiQ0Kl2X7ybfN3W66k7qdgwFQ/view?usp=drivesdk" TargetMode="External"/><Relationship Id="rId111" Type="http://schemas.openxmlformats.org/officeDocument/2006/relationships/hyperlink" Target="https://drive.google.com/file/d/1GL-5KG3nh6OdexBlY0LwuDgH-c02aZzD/view?usp=drivesdk" TargetMode="External"/><Relationship Id="rId10562" Type="http://schemas.openxmlformats.org/officeDocument/2006/relationships/hyperlink" Target="https://drive.google.com/file/d/1D6Htg3s0ZFdxutDcZ7t3ad87a1N5Ldz4/view?usp=drivesdk" TargetMode="External"/><Relationship Id="rId11892" Type="http://schemas.openxmlformats.org/officeDocument/2006/relationships/hyperlink" Target="https://drive.google.com/file/d/1rei0oMc6c6hm_QThHmiazHAVFgNRWHna/view?usp=drivesdk" TargetMode="External"/><Relationship Id="rId10598" Type="http://schemas.openxmlformats.org/officeDocument/2006/relationships/hyperlink" Target="https://drive.google.com/file/d/127akEmVhQloxaBdQtH6vILQOD4xfZrrC/view?usp=drivesdk" TargetMode="External"/><Relationship Id="rId10599" Type="http://schemas.openxmlformats.org/officeDocument/2006/relationships/hyperlink" Target="https://drive.google.com/file/d/1CEm0ufdxGRgMRDNiEvsbVRsBE2XFRGuf/view?usp=drivesdk" TargetMode="External"/><Relationship Id="rId10592" Type="http://schemas.openxmlformats.org/officeDocument/2006/relationships/hyperlink" Target="https://drive.google.com/file/d/1urZHKugKnln8FnMWRikr4KT56DhLiyvE/view?usp=drivesdk" TargetMode="External"/><Relationship Id="rId10593" Type="http://schemas.openxmlformats.org/officeDocument/2006/relationships/hyperlink" Target="https://drive.google.com/file/d/18idNa5zdVsde4GKh_mUKQzsMB0sb1xtu/view?usp=drivesdk" TargetMode="External"/><Relationship Id="rId10590" Type="http://schemas.openxmlformats.org/officeDocument/2006/relationships/hyperlink" Target="https://drive.google.com/file/d/1TnvIATdk08wAkCb1N0bvx39nhEV5aFm5/view?usp=drivesdk" TargetMode="External"/><Relationship Id="rId10591" Type="http://schemas.openxmlformats.org/officeDocument/2006/relationships/hyperlink" Target="https://drive.google.com/file/d/1eQxdaFjxQSFJkec0oMSc8DHyzI3vfg2Q/view?usp=drivesdk" TargetMode="External"/><Relationship Id="rId10596" Type="http://schemas.openxmlformats.org/officeDocument/2006/relationships/hyperlink" Target="https://drive.google.com/file/d/14fO0syqGoFZSNaLQZYboyzmUhIESwB98/view?usp=drivesdk" TargetMode="External"/><Relationship Id="rId10597" Type="http://schemas.openxmlformats.org/officeDocument/2006/relationships/hyperlink" Target="https://drive.google.com/file/d/1IMtvyvAVg4ZQoehgGKz6dbQYRnhf9Fyq/view?usp=drivesdk" TargetMode="External"/><Relationship Id="rId10594" Type="http://schemas.openxmlformats.org/officeDocument/2006/relationships/hyperlink" Target="https://drive.google.com/file/d/1wdoH_P0-EMBSm1X2D2UMKZ_kbtMf9K76/view?usp=drivesdk" TargetMode="External"/><Relationship Id="rId10595" Type="http://schemas.openxmlformats.org/officeDocument/2006/relationships/hyperlink" Target="https://drive.google.com/file/d/1qk4HGjOmNcnEzh2If4kZw_EmzElamYYS/view?usp=drivesdk" TargetMode="External"/><Relationship Id="rId11709" Type="http://schemas.openxmlformats.org/officeDocument/2006/relationships/hyperlink" Target="https://drive.google.com/file/d/1PxKAfHLqvLxyjtQBqIHdJkB5ONRvGWKK/view?usp=drivesdk" TargetMode="External"/><Relationship Id="rId11708" Type="http://schemas.openxmlformats.org/officeDocument/2006/relationships/hyperlink" Target="https://drive.google.com/file/d/1IQGQtEhWT9vEbwOjWfEgD2PcGdoL8sWi/view?usp=drivesdk" TargetMode="External"/><Relationship Id="rId11707" Type="http://schemas.openxmlformats.org/officeDocument/2006/relationships/hyperlink" Target="https://drive.google.com/file/d/1CKpxpiKAefzr1_CAf7LE3g9eRqUzKxEW/view?usp=drivesdk" TargetMode="External"/><Relationship Id="rId11706" Type="http://schemas.openxmlformats.org/officeDocument/2006/relationships/hyperlink" Target="https://drive.google.com/file/d/1ZrNDRm9zJizQM1rZ7vRmTpxMd7ciHahi/view?usp=drivesdk" TargetMode="External"/><Relationship Id="rId11701" Type="http://schemas.openxmlformats.org/officeDocument/2006/relationships/hyperlink" Target="https://drive.google.com/file/d/164XjCJI7bmC6SuA5vunVbVOnSRa508XW/view?usp=drivesdk" TargetMode="External"/><Relationship Id="rId11700" Type="http://schemas.openxmlformats.org/officeDocument/2006/relationships/hyperlink" Target="https://drive.google.com/file/d/1VdaDjUJfi2jEpiEMZsC9dnouchRxSXHd/view?usp=drivesdk" TargetMode="External"/><Relationship Id="rId11705" Type="http://schemas.openxmlformats.org/officeDocument/2006/relationships/hyperlink" Target="https://drive.google.com/file/d/1TQe_xZ4JvDJytGb8CVfu_6m1qsCxLUuv/view?usp=drivesdk" TargetMode="External"/><Relationship Id="rId11704" Type="http://schemas.openxmlformats.org/officeDocument/2006/relationships/hyperlink" Target="https://drive.google.com/file/d/14sPxoFnqCD0EZZOGFCE_1EaWP3YSGWuy/view?usp=drivesdk" TargetMode="External"/><Relationship Id="rId11703" Type="http://schemas.openxmlformats.org/officeDocument/2006/relationships/hyperlink" Target="https://drive.google.com/file/d/1FaHyFAopIX3mNFp0ohMjoId1J3ox2J9U/view?usp=drivesdk" TargetMode="External"/><Relationship Id="rId11702" Type="http://schemas.openxmlformats.org/officeDocument/2006/relationships/hyperlink" Target="https://drive.google.com/file/d/1hlJaIf6x67d_WjHCgvTJEAwYnrHto4ko/view?usp=drivesdk" TargetMode="External"/><Relationship Id="rId11719" Type="http://schemas.openxmlformats.org/officeDocument/2006/relationships/hyperlink" Target="https://drive.google.com/file/d/1rFBZvaj6aTdJyPhkXdTq2PxnLEEDYPJk/view?usp=drivesdk" TargetMode="External"/><Relationship Id="rId11718" Type="http://schemas.openxmlformats.org/officeDocument/2006/relationships/hyperlink" Target="https://drive.google.com/file/d/1W1QI9Fu4cSDM6s_F0q0ajzdJh83qXzgX/view?usp=drivesdk" TargetMode="External"/><Relationship Id="rId11717" Type="http://schemas.openxmlformats.org/officeDocument/2006/relationships/hyperlink" Target="https://drive.google.com/file/d/14yYpcP8w7tAwnGJBJvVkSK4QnpA8NMvP/view?usp=drivesdk" TargetMode="External"/><Relationship Id="rId11712" Type="http://schemas.openxmlformats.org/officeDocument/2006/relationships/hyperlink" Target="https://drive.google.com/file/d/1TCM28HaR6fYRjzF6RZtPl_blG_5mNw-F/view?usp=drivesdk" TargetMode="External"/><Relationship Id="rId11711" Type="http://schemas.openxmlformats.org/officeDocument/2006/relationships/hyperlink" Target="https://drive.google.com/file/d/1A3tF2qiQZ2GiYH3cT4GZyeofyg6lUd7X/view?usp=drivesdk" TargetMode="External"/><Relationship Id="rId11710" Type="http://schemas.openxmlformats.org/officeDocument/2006/relationships/hyperlink" Target="https://drive.google.com/file/d/1yw8MTdPNmvPjQZgtkAjXYNyUo6K4ttCC/view?usp=drivesdk" TargetMode="External"/><Relationship Id="rId11716" Type="http://schemas.openxmlformats.org/officeDocument/2006/relationships/hyperlink" Target="https://drive.google.com/file/d/1eIYtIbPZM1jWNso0275yEwS-TAszyKif/view?usp=drivesdk" TargetMode="External"/><Relationship Id="rId11715" Type="http://schemas.openxmlformats.org/officeDocument/2006/relationships/hyperlink" Target="https://drive.google.com/file/d/1lkUFdMR-0MJXZJ16pKqYF38H7tXu1dpU/view?usp=drivesdk" TargetMode="External"/><Relationship Id="rId11714" Type="http://schemas.openxmlformats.org/officeDocument/2006/relationships/hyperlink" Target="https://drive.google.com/file/d/1sPgw3ftpjf9sVeUtLKS6TuMmOjq09xzn/view?usp=drivesdk" TargetMode="External"/><Relationship Id="rId11713" Type="http://schemas.openxmlformats.org/officeDocument/2006/relationships/hyperlink" Target="https://drive.google.com/file/d/1hGyZFOALG4xrZSZmSJzEK2dP0QBn9HD0/view?usp=drivesdk" TargetMode="External"/><Relationship Id="rId9518" Type="http://schemas.openxmlformats.org/officeDocument/2006/relationships/hyperlink" Target="https://drive.google.com/file/d/1rwBY0lu2VDGQ4xRoAuUec479v7fhRH16/view?usp=drivesdk" TargetMode="External"/><Relationship Id="rId9519" Type="http://schemas.openxmlformats.org/officeDocument/2006/relationships/hyperlink" Target="https://drive.google.com/file/d/18EdJXrSVkCMhvPeFNq2cGM0eEatt5jnM/view?usp=drivesdk" TargetMode="External"/><Relationship Id="rId9514" Type="http://schemas.openxmlformats.org/officeDocument/2006/relationships/hyperlink" Target="https://drive.google.com/file/d/1C-wzQ86_t_EeRry-IigWryEpWxz8a57r/view?usp=drivesdk" TargetMode="External"/><Relationship Id="rId9515" Type="http://schemas.openxmlformats.org/officeDocument/2006/relationships/hyperlink" Target="https://drive.google.com/file/d/1Qr28dptddU3TH47_LaHFtmoWzDmmeKza/view?usp=drivesdk" TargetMode="External"/><Relationship Id="rId9516" Type="http://schemas.openxmlformats.org/officeDocument/2006/relationships/hyperlink" Target="https://drive.google.com/file/d/1yQN9N1aQy_X2iy0rH4OGfq6Z-XPBgSpA/view?usp=drivesdk" TargetMode="External"/><Relationship Id="rId9517" Type="http://schemas.openxmlformats.org/officeDocument/2006/relationships/hyperlink" Target="https://drive.google.com/file/d/13XXKgkxEdBzVqJYoz0uWcFURCksO0rcM/view?usp=drivesdk" TargetMode="External"/><Relationship Id="rId9510" Type="http://schemas.openxmlformats.org/officeDocument/2006/relationships/hyperlink" Target="https://drive.google.com/file/d/1wcozoM3B1QRx1iDw58pIcakllcsmSNCW/view?usp=drivesdk" TargetMode="External"/><Relationship Id="rId9511" Type="http://schemas.openxmlformats.org/officeDocument/2006/relationships/hyperlink" Target="https://drive.google.com/file/d/1mA9mEvzZ0mnOIljwMx7BAkWRqcnHZlUv/view?usp=drivesdk" TargetMode="External"/><Relationship Id="rId9512" Type="http://schemas.openxmlformats.org/officeDocument/2006/relationships/hyperlink" Target="https://drive.google.com/file/d/1wqFpw2BiDnaBxgNV9K1OXxwB759lDhOI/view?usp=drivesdk" TargetMode="External"/><Relationship Id="rId9513" Type="http://schemas.openxmlformats.org/officeDocument/2006/relationships/hyperlink" Target="https://drive.google.com/file/d/1rR_s81vQpfVebyEz6GhO9clqo3g_N-aM/view?usp=drivesdk" TargetMode="External"/><Relationship Id="rId9507" Type="http://schemas.openxmlformats.org/officeDocument/2006/relationships/hyperlink" Target="https://drive.google.com/file/d/1Lx1uao1VWnXgnoZIwqVBHBjO489wyG3-/view?usp=drivesdk" TargetMode="External"/><Relationship Id="rId9508" Type="http://schemas.openxmlformats.org/officeDocument/2006/relationships/hyperlink" Target="https://drive.google.com/file/d/19jonJVly_jvJGscuk1OMpJQr_IdiajTV/view?usp=drivesdk" TargetMode="External"/><Relationship Id="rId9509" Type="http://schemas.openxmlformats.org/officeDocument/2006/relationships/hyperlink" Target="https://drive.google.com/file/d/1plBOPXncCyx0G3I6MP1edsKsGuTluN35/view?usp=drivesdk" TargetMode="External"/><Relationship Id="rId9503" Type="http://schemas.openxmlformats.org/officeDocument/2006/relationships/hyperlink" Target="https://drive.google.com/file/d/1OucHm6rgQs17D4bdhUdK4KWmheKuoRLs/view?usp=drivesdk" TargetMode="External"/><Relationship Id="rId9504" Type="http://schemas.openxmlformats.org/officeDocument/2006/relationships/hyperlink" Target="https://drive.google.com/file/d/1mfxxGlmkBHKiUK4rh9XR509CwxchPJzf/view?usp=drivesdk" TargetMode="External"/><Relationship Id="rId9505" Type="http://schemas.openxmlformats.org/officeDocument/2006/relationships/hyperlink" Target="https://drive.google.com/file/d/1Ab7okNx7wpPH-9L5mw8AdilP6DECqluC/view?usp=drivesdk" TargetMode="External"/><Relationship Id="rId9506" Type="http://schemas.openxmlformats.org/officeDocument/2006/relationships/hyperlink" Target="https://drive.google.com/file/d/1R0pwBaM5kqcwo7rjRGOAP43cYCCH1TGf/view?usp=drivesdk" TargetMode="External"/><Relationship Id="rId9500" Type="http://schemas.openxmlformats.org/officeDocument/2006/relationships/hyperlink" Target="https://drive.google.com/file/d/1QRRUm2NeuxYCFScRMmQEB1gAopj9DDw5/view?usp=drivesdk" TargetMode="External"/><Relationship Id="rId9501" Type="http://schemas.openxmlformats.org/officeDocument/2006/relationships/hyperlink" Target="https://drive.google.com/file/d/1wlCU05eFQWCMzsJGYogmMWKwziMilQd9/view?usp=drivesdk" TargetMode="External"/><Relationship Id="rId9502" Type="http://schemas.openxmlformats.org/officeDocument/2006/relationships/hyperlink" Target="https://drive.google.com/file/d/18wDVE6O4guoHN4EcEJO-7ClYpg1dYrhk/view?usp=drivesdk" TargetMode="External"/><Relationship Id="rId10419" Type="http://schemas.openxmlformats.org/officeDocument/2006/relationships/hyperlink" Target="https://drive.google.com/file/d/1wwPeAkT6Npoj3v34eG83vkX_2IG1_zgJ/view?usp=drivesdk" TargetMode="External"/><Relationship Id="rId10413" Type="http://schemas.openxmlformats.org/officeDocument/2006/relationships/hyperlink" Target="https://drive.google.com/file/d/1zF4m-5Blu_IunjOIWtN4FRT5BSk53wdr/view?usp=drivesdk" TargetMode="External"/><Relationship Id="rId11745" Type="http://schemas.openxmlformats.org/officeDocument/2006/relationships/hyperlink" Target="https://drive.google.com/file/d/1greLAg1omvRqMt5dHkPNrEeaU6KYmNAe/view?usp=drivesdk" TargetMode="External"/><Relationship Id="rId10414" Type="http://schemas.openxmlformats.org/officeDocument/2006/relationships/hyperlink" Target="https://drive.google.com/file/d/1IOQrD0zbaAA1AxawMj3VlFWVG3Psg8nS/view?usp=drivesdk" TargetMode="External"/><Relationship Id="rId11744" Type="http://schemas.openxmlformats.org/officeDocument/2006/relationships/hyperlink" Target="https://drive.google.com/file/d/1C7RQ45KfjHWNj4MgmGdfQ6SlTWAbFXcV/view?usp=drivesdk" TargetMode="External"/><Relationship Id="rId10411" Type="http://schemas.openxmlformats.org/officeDocument/2006/relationships/hyperlink" Target="https://drive.google.com/file/d/109nHV09B4_ZH4JUmmVHU9B7gbI0OwZjm/view?usp=drivesdk" TargetMode="External"/><Relationship Id="rId11743" Type="http://schemas.openxmlformats.org/officeDocument/2006/relationships/hyperlink" Target="https://drive.google.com/file/d/174wzGpRC0J8VUqlWP2IrAcpW8avaHYm8/view?usp=drivesdk" TargetMode="External"/><Relationship Id="rId10412" Type="http://schemas.openxmlformats.org/officeDocument/2006/relationships/hyperlink" Target="https://drive.google.com/file/d/1wCJvwT9AQnOQV0Nflih-Bc_aw2oWuZDI/view?usp=drivesdk" TargetMode="External"/><Relationship Id="rId11742" Type="http://schemas.openxmlformats.org/officeDocument/2006/relationships/hyperlink" Target="https://drive.google.com/file/d/1_sVwBEZkQqhAGiaWjuZjmS-zVSIbFmE3/view?usp=drivesdk" TargetMode="External"/><Relationship Id="rId10417" Type="http://schemas.openxmlformats.org/officeDocument/2006/relationships/hyperlink" Target="https://drive.google.com/file/d/1_Jil5h7nc4uw7lrUGgvVTJvIKPDEc2s8/view?usp=drivesdk" TargetMode="External"/><Relationship Id="rId11749" Type="http://schemas.openxmlformats.org/officeDocument/2006/relationships/hyperlink" Target="https://drive.google.com/file/d/1llrAjhOn0hYUlbAC0wSCuursJmxmZlSD/view?usp=drivesdk" TargetMode="External"/><Relationship Id="rId10418" Type="http://schemas.openxmlformats.org/officeDocument/2006/relationships/hyperlink" Target="https://drive.google.com/file/d/1RRwMSozSCO-YAY-qwg9jg3qUXCGolOwg/view?usp=drivesdk" TargetMode="External"/><Relationship Id="rId11748" Type="http://schemas.openxmlformats.org/officeDocument/2006/relationships/hyperlink" Target="https://drive.google.com/file/d/1hoe0-0_GTmEE_LwpNC1I8gZ8JO_eSjDh/view?usp=drivesdk" TargetMode="External"/><Relationship Id="rId10415" Type="http://schemas.openxmlformats.org/officeDocument/2006/relationships/hyperlink" Target="https://drive.google.com/file/d/1zAwnmJwOFaT88tk_yt_M-wn_Y_Q-FbXG/view?usp=drivesdk" TargetMode="External"/><Relationship Id="rId11747" Type="http://schemas.openxmlformats.org/officeDocument/2006/relationships/hyperlink" Target="https://drive.google.com/file/d/1sGtoKGLzen4ILnAyYgXf_M7cZEWOeBLN/view?usp=drivesdk" TargetMode="External"/><Relationship Id="rId10416" Type="http://schemas.openxmlformats.org/officeDocument/2006/relationships/hyperlink" Target="https://drive.google.com/file/d/1qg_t5mngp55Ca4GJ8Quo5N15vwn09oLL/view?usp=drivesdk" TargetMode="External"/><Relationship Id="rId11746" Type="http://schemas.openxmlformats.org/officeDocument/2006/relationships/hyperlink" Target="https://drive.google.com/file/d/1yIZWHhNqL0zya8vaEQUmmaVjHWGu3Kzq/view?usp=drivesdk" TargetMode="External"/><Relationship Id="rId11741" Type="http://schemas.openxmlformats.org/officeDocument/2006/relationships/hyperlink" Target="https://drive.google.com/file/d/1HjdRuGIjduSds_QzXXRoFMiBkkIyJ771/view?usp=drivesdk" TargetMode="External"/><Relationship Id="rId10410" Type="http://schemas.openxmlformats.org/officeDocument/2006/relationships/hyperlink" Target="https://drive.google.com/file/d/1LshZFjdcB6DUnnvaM2zM1Kv2hU5EWUY8/view?usp=drivesdk" TargetMode="External"/><Relationship Id="rId11740" Type="http://schemas.openxmlformats.org/officeDocument/2006/relationships/hyperlink" Target="https://drive.google.com/file/d/1c4Ky2XMFHARueFKyPqCeetYGpn9CTpRw/view?usp=drivesdk" TargetMode="External"/><Relationship Id="rId10424" Type="http://schemas.openxmlformats.org/officeDocument/2006/relationships/hyperlink" Target="https://drive.google.com/file/d/1YZoEJclzszJ7e4P_clAUikhy8794RiVf/view?usp=drivesdk" TargetMode="External"/><Relationship Id="rId11756" Type="http://schemas.openxmlformats.org/officeDocument/2006/relationships/hyperlink" Target="https://drive.google.com/file/d/1JeVIVVYYQBNAZv_5Dh2QGKqKnelzGN1D/view?usp=drivesdk" TargetMode="External"/><Relationship Id="rId10425" Type="http://schemas.openxmlformats.org/officeDocument/2006/relationships/hyperlink" Target="https://drive.google.com/file/d/1IZ5K92ysC5mvbFIbuXgusd7jFMDcE7F3/view?usp=drivesdk" TargetMode="External"/><Relationship Id="rId11755" Type="http://schemas.openxmlformats.org/officeDocument/2006/relationships/hyperlink" Target="https://drive.google.com/file/d/1Wp8DozapC1pKDGBDbnuk8BkBou_cA4iP/view?usp=drivesdk" TargetMode="External"/><Relationship Id="rId10422" Type="http://schemas.openxmlformats.org/officeDocument/2006/relationships/hyperlink" Target="https://drive.google.com/file/d/1hqmwZs8wf3srUV3gJ3JAoN_fdOnJZyH3/view?usp=drivesdk" TargetMode="External"/><Relationship Id="rId11754" Type="http://schemas.openxmlformats.org/officeDocument/2006/relationships/hyperlink" Target="https://drive.google.com/file/d/1Glm3cz_8NnJIrf0FREgUdTNObZFK8nFg/view?usp=drivesdk" TargetMode="External"/><Relationship Id="rId10423" Type="http://schemas.openxmlformats.org/officeDocument/2006/relationships/hyperlink" Target="https://drive.google.com/file/d/1Kc7PZTj8ghfiIWEYTDYxH-N8H0ODGW0z/view?usp=drivesdk" TargetMode="External"/><Relationship Id="rId11753" Type="http://schemas.openxmlformats.org/officeDocument/2006/relationships/hyperlink" Target="https://drive.google.com/file/d/12_AP8ZjTHxlz0r021U86NcWBlTp6gVeu/view?usp=drivesdk" TargetMode="External"/><Relationship Id="rId10428" Type="http://schemas.openxmlformats.org/officeDocument/2006/relationships/hyperlink" Target="https://drive.google.com/file/d/1XfQ3UwIJt4CeYBeUUrc1d67hScN9W3QN/view?usp=drivesdk" TargetMode="External"/><Relationship Id="rId10429" Type="http://schemas.openxmlformats.org/officeDocument/2006/relationships/hyperlink" Target="https://drive.google.com/file/d/1NGr2Yp-KPMHbAG1X2iXGiCSNqMjX4kcJ/view?usp=drivesdk" TargetMode="External"/><Relationship Id="rId11759" Type="http://schemas.openxmlformats.org/officeDocument/2006/relationships/hyperlink" Target="https://drive.google.com/file/d/1EtLpPXqi0Unn6MrYEpYm6Yf-ep-NLceD/view?usp=drivesdk" TargetMode="External"/><Relationship Id="rId10426" Type="http://schemas.openxmlformats.org/officeDocument/2006/relationships/hyperlink" Target="https://drive.google.com/file/d/1a2pnQ9JNrNjfd7svxqR6SxhqAI2cuai7/view?usp=drivesdk" TargetMode="External"/><Relationship Id="rId11758" Type="http://schemas.openxmlformats.org/officeDocument/2006/relationships/hyperlink" Target="https://drive.google.com/file/d/1h1v54QCgm_caaPZ6_DnzkVvwf3kp0S0z/view?usp=drivesdk" TargetMode="External"/><Relationship Id="rId10427" Type="http://schemas.openxmlformats.org/officeDocument/2006/relationships/hyperlink" Target="https://drive.google.com/file/d/1XrzCC8CUAYSMpD0-vux9LVpeDCupstB1/view?usp=drivesdk" TargetMode="External"/><Relationship Id="rId11757" Type="http://schemas.openxmlformats.org/officeDocument/2006/relationships/hyperlink" Target="https://drive.google.com/file/d/1iMTr9F4N0trB9CoHG7AsS_X0Z5x9o2Qd/view?usp=drivesdk" TargetMode="External"/><Relationship Id="rId10420" Type="http://schemas.openxmlformats.org/officeDocument/2006/relationships/hyperlink" Target="https://drive.google.com/file/d/1NwUgCqNUtCvkawqjZT-yrXzYrzRfXGm9/view?usp=drivesdk" TargetMode="External"/><Relationship Id="rId11752" Type="http://schemas.openxmlformats.org/officeDocument/2006/relationships/hyperlink" Target="https://drive.google.com/file/d/1F4QCdimksP_3QKwGOBay-Z4CQ9FtK18m/view?usp=drivesdk" TargetMode="External"/><Relationship Id="rId10421" Type="http://schemas.openxmlformats.org/officeDocument/2006/relationships/hyperlink" Target="https://drive.google.com/file/d/1BpZNwFiMxa7MQXk3Io971qL3gYetvkIM/view?usp=drivesdk" TargetMode="External"/><Relationship Id="rId11751" Type="http://schemas.openxmlformats.org/officeDocument/2006/relationships/hyperlink" Target="https://drive.google.com/file/d/1Y6vmsm8MaRyVmESJ4S8KJ1tTa96oXzAv/view?usp=drivesdk" TargetMode="External"/><Relationship Id="rId11750" Type="http://schemas.openxmlformats.org/officeDocument/2006/relationships/hyperlink" Target="https://drive.google.com/file/d/1KYrUJot_KsiLCeafeOAdvnHjVaU3ONbS/view?usp=drivesdk" TargetMode="External"/><Relationship Id="rId11729" Type="http://schemas.openxmlformats.org/officeDocument/2006/relationships/hyperlink" Target="https://drive.google.com/file/d/1JoJCov5BCDMOZ_TTNE_zP1tR70u9ylcq/view?usp=drivesdk" TargetMode="External"/><Relationship Id="rId11728" Type="http://schemas.openxmlformats.org/officeDocument/2006/relationships/hyperlink" Target="https://drive.google.com/file/d/1ITraTG8IpmWl7oZDlXzq6Izsqn_nmmhv/view?usp=drivesdk" TargetMode="External"/><Relationship Id="rId11723" Type="http://schemas.openxmlformats.org/officeDocument/2006/relationships/hyperlink" Target="https://drive.google.com/file/d/1UA9SF8bkTOXy8AS9qjHZwgiYVVUYzNXJ/view?usp=drivesdk" TargetMode="External"/><Relationship Id="rId11722" Type="http://schemas.openxmlformats.org/officeDocument/2006/relationships/hyperlink" Target="https://drive.google.com/file/d/1oeFd7w7xN2Y4lifiQts7AXq5taCFA_SC/view?usp=drivesdk" TargetMode="External"/><Relationship Id="rId11721" Type="http://schemas.openxmlformats.org/officeDocument/2006/relationships/hyperlink" Target="https://drive.google.com/file/d/1XMH2b8zabLhjPQN__fGfHvOGH3EP3z2-/view?usp=drivesdk" TargetMode="External"/><Relationship Id="rId11720" Type="http://schemas.openxmlformats.org/officeDocument/2006/relationships/hyperlink" Target="https://drive.google.com/file/d/1coe58-_Ik1PBWrgL7-3BmmXbEyXrQPIc/view?usp=drivesdk" TargetMode="External"/><Relationship Id="rId11727" Type="http://schemas.openxmlformats.org/officeDocument/2006/relationships/hyperlink" Target="https://drive.google.com/file/d/15Cn1Z5HGe0ZwDJ83XrAtkwDUeONDMgQI/view?usp=drivesdk" TargetMode="External"/><Relationship Id="rId11726" Type="http://schemas.openxmlformats.org/officeDocument/2006/relationships/hyperlink" Target="https://drive.google.com/file/d/1WqAp8xTDvsFdhSXSMJBHHSIa2ALejZiL/view?usp=drivesdk" TargetMode="External"/><Relationship Id="rId11725" Type="http://schemas.openxmlformats.org/officeDocument/2006/relationships/hyperlink" Target="https://drive.google.com/file/d/1BNee0Qc68L_F3mTBbbfxrHPYzXVl4Ep8/view?usp=drivesdk" TargetMode="External"/><Relationship Id="rId11724" Type="http://schemas.openxmlformats.org/officeDocument/2006/relationships/hyperlink" Target="https://drive.google.com/file/d/1PW7HYHHtpWfpXAPpa8p-HHI6TsvWxsr8/view?usp=drivesdk" TargetMode="External"/><Relationship Id="rId10408" Type="http://schemas.openxmlformats.org/officeDocument/2006/relationships/hyperlink" Target="https://drive.google.com/file/d/1FNBMf7UpaFAA0qk24jbwuSJwbXzTyFgj/view?usp=drivesdk" TargetMode="External"/><Relationship Id="rId10409" Type="http://schemas.openxmlformats.org/officeDocument/2006/relationships/hyperlink" Target="https://drive.google.com/file/d/173G1oD9e8jwuL1uibkNJDb3bCOuW9TMX/view?usp=drivesdk" TargetMode="External"/><Relationship Id="rId11739" Type="http://schemas.openxmlformats.org/officeDocument/2006/relationships/hyperlink" Target="https://drive.google.com/file/d/1LF5NrAT8jUOG-zij37npBL7vhNJvcbBl/view?usp=drivesdk" TargetMode="External"/><Relationship Id="rId10402" Type="http://schemas.openxmlformats.org/officeDocument/2006/relationships/hyperlink" Target="https://drive.google.com/file/d/1oWzqO2HlLd2vkVruh3o6uREy9aCVaVSC/view?usp=drivesdk" TargetMode="External"/><Relationship Id="rId11734" Type="http://schemas.openxmlformats.org/officeDocument/2006/relationships/hyperlink" Target="https://drive.google.com/file/d/1yeJGtSOHZ-D0mWuQUfZXhrPB2UUxjuW4/view?usp=drivesdk" TargetMode="External"/><Relationship Id="rId10403" Type="http://schemas.openxmlformats.org/officeDocument/2006/relationships/hyperlink" Target="https://drive.google.com/file/d/1i9GCiY7uuU1y48D8c-HJA0e4yK8adSGJ/view?usp=drivesdk" TargetMode="External"/><Relationship Id="rId11733" Type="http://schemas.openxmlformats.org/officeDocument/2006/relationships/hyperlink" Target="https://drive.google.com/file/d/1G3dKH4j-RT_-WSIFm_URu2jo0My4DYSs/view?usp=drivesdk" TargetMode="External"/><Relationship Id="rId10400" Type="http://schemas.openxmlformats.org/officeDocument/2006/relationships/hyperlink" Target="https://drive.google.com/file/d/1HHDCPIkEM_jK5_Co_qZrnWIvP-GZQHu_/view?usp=drivesdk" TargetMode="External"/><Relationship Id="rId11732" Type="http://schemas.openxmlformats.org/officeDocument/2006/relationships/hyperlink" Target="https://drive.google.com/file/d/1Zkca-Mpe9uBD6vSfjJnr--pry9SoBXs0/view?usp=drivesdk" TargetMode="External"/><Relationship Id="rId10401" Type="http://schemas.openxmlformats.org/officeDocument/2006/relationships/hyperlink" Target="https://drive.google.com/file/d/1G-yl5wAzoutEkZiUr4ytFby3QPZQdSel/view?usp=drivesdk" TargetMode="External"/><Relationship Id="rId11731" Type="http://schemas.openxmlformats.org/officeDocument/2006/relationships/hyperlink" Target="https://drive.google.com/file/d/16XVejxdIMxkYgjAeWbQY08-FLFb1Ntqi/view?usp=drivesdk" TargetMode="External"/><Relationship Id="rId10406" Type="http://schemas.openxmlformats.org/officeDocument/2006/relationships/hyperlink" Target="https://drive.google.com/file/d/1b8UM0EO4m5ylM844m_khTKVdUZRxNW6B/view?usp=drivesdk" TargetMode="External"/><Relationship Id="rId11738" Type="http://schemas.openxmlformats.org/officeDocument/2006/relationships/hyperlink" Target="https://drive.google.com/file/d/1_YRdX_WtV0asu1AuMCHFhDitYYPVQZwy/view?usp=drivesdk" TargetMode="External"/><Relationship Id="rId10407" Type="http://schemas.openxmlformats.org/officeDocument/2006/relationships/hyperlink" Target="https://drive.google.com/file/d/10qqHXdxcjxNwZeQgLvo7ECsuFJ9o7SRM/view?usp=drivesdk" TargetMode="External"/><Relationship Id="rId11737" Type="http://schemas.openxmlformats.org/officeDocument/2006/relationships/hyperlink" Target="https://drive.google.com/file/d/1fwQ0uGKIIy0ulFPObmSaTWel2Yj9IoDz/view?usp=drivesdk" TargetMode="External"/><Relationship Id="rId10404" Type="http://schemas.openxmlformats.org/officeDocument/2006/relationships/hyperlink" Target="https://drive.google.com/file/d/1-ZcMMueP9gx7hwGiljJZd6d3yYgTDKVt/view?usp=drivesdk" TargetMode="External"/><Relationship Id="rId11736" Type="http://schemas.openxmlformats.org/officeDocument/2006/relationships/hyperlink" Target="https://drive.google.com/file/d/1UXdqVp7ftlK-d5RXxdlMQnMyoRPL2KXf/view?usp=drivesdk" TargetMode="External"/><Relationship Id="rId10405" Type="http://schemas.openxmlformats.org/officeDocument/2006/relationships/hyperlink" Target="https://drive.google.com/file/d/1tfLUnMcMUa87SPDxxbTJSaRF6WYZElL9/view?usp=drivesdk" TargetMode="External"/><Relationship Id="rId11735" Type="http://schemas.openxmlformats.org/officeDocument/2006/relationships/hyperlink" Target="https://drive.google.com/file/d/1DyyRMCLSJFK33nC03chCNcq-fwYObW49/view?usp=drivesdk" TargetMode="External"/><Relationship Id="rId11730" Type="http://schemas.openxmlformats.org/officeDocument/2006/relationships/hyperlink" Target="https://drive.google.com/file/d/1bRbTzZUFVAg3NALjil1ryHQAFlkPcuIc/view?usp=drivesdk" TargetMode="External"/><Relationship Id="rId8240" Type="http://schemas.openxmlformats.org/officeDocument/2006/relationships/hyperlink" Target="https://drive.google.com/file/d/1zpq1AtPGJmVVtEOziCuvINZOVOs3AMU_/view?usp=drivesdk" TargetMode="External"/><Relationship Id="rId9572" Type="http://schemas.openxmlformats.org/officeDocument/2006/relationships/hyperlink" Target="https://drive.google.com/file/d/1lvW22-OjrdUlFLUN7F4FSk_OxqbAc3vi/view?usp=drivesdk" TargetMode="External"/><Relationship Id="rId9573" Type="http://schemas.openxmlformats.org/officeDocument/2006/relationships/hyperlink" Target="https://drive.google.com/file/d/1QUAmD6izIRmmFSpQKRn5Jp5luDZYs9OZ/view?usp=drivesdk" TargetMode="External"/><Relationship Id="rId9574" Type="http://schemas.openxmlformats.org/officeDocument/2006/relationships/hyperlink" Target="https://drive.google.com/file/d/1VCdDtkCO87CKX_XX5kKiBmmDZdHQyLhH/view?usp=drivesdk" TargetMode="External"/><Relationship Id="rId9575" Type="http://schemas.openxmlformats.org/officeDocument/2006/relationships/hyperlink" Target="https://drive.google.com/file/d/1gdUK_7HhuaeN97QbeOz80U17qkhEKTYJ/view?usp=drivesdk" TargetMode="External"/><Relationship Id="rId8244" Type="http://schemas.openxmlformats.org/officeDocument/2006/relationships/hyperlink" Target="https://drive.google.com/file/d/1Fk0AtJjPajRu4NeW0O6VxQrvcjks3m9v/view?usp=drivesdk" TargetMode="External"/><Relationship Id="rId8243" Type="http://schemas.openxmlformats.org/officeDocument/2006/relationships/hyperlink" Target="https://drive.google.com/file/d/1ywyKrAVgsvkoAK14TrZtFodbctt286aD/view?usp=drivesdk" TargetMode="External"/><Relationship Id="rId8242" Type="http://schemas.openxmlformats.org/officeDocument/2006/relationships/hyperlink" Target="https://drive.google.com/file/d/1eexxdH4oPomuqlol5skeVecONEQ6qC1f/view?usp=drivesdk" TargetMode="External"/><Relationship Id="rId9570" Type="http://schemas.openxmlformats.org/officeDocument/2006/relationships/hyperlink" Target="https://drive.google.com/file/d/1O3Aon-JO2K_aGrwy8x2wOIBFuAuSmcDp/view?usp=drivesdk" TargetMode="External"/><Relationship Id="rId8241" Type="http://schemas.openxmlformats.org/officeDocument/2006/relationships/hyperlink" Target="https://drive.google.com/file/d/1MLJzJ97bfh3v6se8CqTNCIZrYijJetEO/view?usp=drivesdk" TargetMode="External"/><Relationship Id="rId9571" Type="http://schemas.openxmlformats.org/officeDocument/2006/relationships/hyperlink" Target="https://drive.google.com/file/d/1eBHRBJVwZCPsyQ6_dJde7zUtJ6A5hal_/view?usp=drivesdk" TargetMode="External"/><Relationship Id="rId8248" Type="http://schemas.openxmlformats.org/officeDocument/2006/relationships/hyperlink" Target="https://drive.google.com/file/d/18ZJJVK4V1LzEVerumGG6IIrkmOAEmUpA/view?usp=drivesdk" TargetMode="External"/><Relationship Id="rId8247" Type="http://schemas.openxmlformats.org/officeDocument/2006/relationships/hyperlink" Target="https://drive.google.com/file/d/1B_qO_7ZXRUpuWd6_oO5be0Djx7J8JVuC/view?usp=drivesdk" TargetMode="External"/><Relationship Id="rId8246" Type="http://schemas.openxmlformats.org/officeDocument/2006/relationships/hyperlink" Target="https://drive.google.com/file/d/1kR1I3xZfPiKjoxBqmDpH129_OVGMah5p/view?usp=drivesdk" TargetMode="External"/><Relationship Id="rId8245" Type="http://schemas.openxmlformats.org/officeDocument/2006/relationships/hyperlink" Target="https://drive.google.com/file/d/1sHWaL-Ii9Hi86Zs7c86W0XAUlMZcZ7wW/view?usp=drivesdk" TargetMode="External"/><Relationship Id="rId9576" Type="http://schemas.openxmlformats.org/officeDocument/2006/relationships/hyperlink" Target="https://drive.google.com/file/d/10GLJB53WySVHnpiGP07g0Ee2g7tcCDqS/view?usp=drivesdk" TargetMode="External"/><Relationship Id="rId9577" Type="http://schemas.openxmlformats.org/officeDocument/2006/relationships/hyperlink" Target="https://drive.google.com/file/d/1E7jaKF2m6z5s4uezdM8kK395rxBLjq9x/view?usp=drivesdk" TargetMode="External"/><Relationship Id="rId9578" Type="http://schemas.openxmlformats.org/officeDocument/2006/relationships/hyperlink" Target="https://drive.google.com/file/d/1jMyntn8uSvlbZRCidvDtG5_tj4NlIFob/view?usp=drivesdk" TargetMode="External"/><Relationship Id="rId8249" Type="http://schemas.openxmlformats.org/officeDocument/2006/relationships/hyperlink" Target="https://drive.google.com/file/d/1B_s7Kobfo7XFca7T3V2pCZWPy04KQpYm/view?usp=drivesdk" TargetMode="External"/><Relationship Id="rId9579" Type="http://schemas.openxmlformats.org/officeDocument/2006/relationships/hyperlink" Target="https://drive.google.com/file/d/1MSuWIcYGjGA7KRLlOIqiZAuyik5rRVTE/view?usp=drivesdk" TargetMode="External"/><Relationship Id="rId9561" Type="http://schemas.openxmlformats.org/officeDocument/2006/relationships/hyperlink" Target="https://drive.google.com/file/d/1XAShT_Bs9F4bULaHjfgSdS2gp2Gwu1aD/view?usp=drivesdk" TargetMode="External"/><Relationship Id="rId9562" Type="http://schemas.openxmlformats.org/officeDocument/2006/relationships/hyperlink" Target="https://drive.google.com/file/d/15pgvffSIBU3TS4TX1fnkdcIo7_VwBPzw/view?usp=drivesdk" TargetMode="External"/><Relationship Id="rId9563" Type="http://schemas.openxmlformats.org/officeDocument/2006/relationships/hyperlink" Target="https://drive.google.com/file/d/1125aZ8VqtPNch_zhBKqdv8u_9pGQRyYp/view?usp=drivesdk" TargetMode="External"/><Relationship Id="rId9564" Type="http://schemas.openxmlformats.org/officeDocument/2006/relationships/hyperlink" Target="https://drive.google.com/file/d/147G_y-IQD98q2CFNe3knkULn3Qobcue5/view?usp=drivesdk" TargetMode="External"/><Relationship Id="rId8233" Type="http://schemas.openxmlformats.org/officeDocument/2006/relationships/hyperlink" Target="https://drive.google.com/file/d/1b-pZuG228daoFLmtMpSkVgZ89mRD0U8E/view?usp=drivesdk" TargetMode="External"/><Relationship Id="rId8232" Type="http://schemas.openxmlformats.org/officeDocument/2006/relationships/hyperlink" Target="https://drive.google.com/file/d/11vQK7IC6_vBwE1AKpt78viaZcDaSjuRf/view?usp=drivesdk" TargetMode="External"/><Relationship Id="rId8231" Type="http://schemas.openxmlformats.org/officeDocument/2006/relationships/hyperlink" Target="https://drive.google.com/file/d/1NCqW95wiTcAoyNbFGt5xAVLtmI0neuPQ/view?usp=drivesdk" TargetMode="External"/><Relationship Id="rId8230" Type="http://schemas.openxmlformats.org/officeDocument/2006/relationships/hyperlink" Target="https://drive.google.com/file/d/1j9xGDXe4swPPEFhBsw2gFOPMHxdgVQ3x/view?usp=drivesdk" TargetMode="External"/><Relationship Id="rId9560" Type="http://schemas.openxmlformats.org/officeDocument/2006/relationships/hyperlink" Target="https://drive.google.com/file/d/1Mou0XpxOYP6crNXpSJmlEg0zSTtJf__o/view?usp=drivesdk" TargetMode="External"/><Relationship Id="rId8237" Type="http://schemas.openxmlformats.org/officeDocument/2006/relationships/hyperlink" Target="https://drive.google.com/file/d/1Klmri6g5FxwUWt2pk3BQN4_tgOencHXP/view?usp=drivesdk" TargetMode="External"/><Relationship Id="rId9569" Type="http://schemas.openxmlformats.org/officeDocument/2006/relationships/hyperlink" Target="https://drive.google.com/file/d/1JE5nzsPBPRhITLwuKLzfyS0JMmvLZvXa/view?usp=drivesdk" TargetMode="External"/><Relationship Id="rId8236" Type="http://schemas.openxmlformats.org/officeDocument/2006/relationships/hyperlink" Target="https://drive.google.com/file/d/1ljUOWTTIAR9THqyWXL2HN8eSzXIIaAX9/view?usp=drivesdk" TargetMode="External"/><Relationship Id="rId8235" Type="http://schemas.openxmlformats.org/officeDocument/2006/relationships/hyperlink" Target="https://drive.google.com/file/d/180WIwad4qSDoksQiR3oQAVkxIQzrHVTW/view?usp=drivesdk" TargetMode="External"/><Relationship Id="rId8234" Type="http://schemas.openxmlformats.org/officeDocument/2006/relationships/hyperlink" Target="https://drive.google.com/file/d/115a-SurJVOoZyzWptkHkc0BR0tdoIYUR/view?usp=drivesdk" TargetMode="External"/><Relationship Id="rId9565" Type="http://schemas.openxmlformats.org/officeDocument/2006/relationships/hyperlink" Target="https://drive.google.com/file/d/1Y85g_KOanJqQC5k_g6H-O5_BAEHC1Sp4/view?usp=drivesdk" TargetMode="External"/><Relationship Id="rId9566" Type="http://schemas.openxmlformats.org/officeDocument/2006/relationships/hyperlink" Target="https://drive.google.com/file/d/15zX51MpqEsz6QCkjHHaKTNqzbduCeiQz/view?usp=drivesdk" TargetMode="External"/><Relationship Id="rId8239" Type="http://schemas.openxmlformats.org/officeDocument/2006/relationships/hyperlink" Target="https://drive.google.com/file/d/1Nm0b91elHljOLDf37TyN5MOA1dMEjzlP/view?usp=drivesdk" TargetMode="External"/><Relationship Id="rId9567" Type="http://schemas.openxmlformats.org/officeDocument/2006/relationships/hyperlink" Target="https://drive.google.com/file/d/15ALx4tE0TOMf2zTogt4clhhpSotKtOZn/view?usp=drivesdk" TargetMode="External"/><Relationship Id="rId8238" Type="http://schemas.openxmlformats.org/officeDocument/2006/relationships/hyperlink" Target="https://drive.google.com/file/d/1Wb9U6xpoOgKwbZiijbYoz3lMK55lgZA5/view?usp=drivesdk" TargetMode="External"/><Relationship Id="rId9568" Type="http://schemas.openxmlformats.org/officeDocument/2006/relationships/hyperlink" Target="https://drive.google.com/file/d/1u1Ll6qUYZ12OlYjD7MzzEq-EmNkul15C/view?usp=drivesdk" TargetMode="External"/><Relationship Id="rId8262" Type="http://schemas.openxmlformats.org/officeDocument/2006/relationships/hyperlink" Target="https://drive.google.com/file/d/1gGb8HZt6V8jkWSUlSVucqQLGYTU0MbXE/view?usp=drivesdk" TargetMode="External"/><Relationship Id="rId9594" Type="http://schemas.openxmlformats.org/officeDocument/2006/relationships/hyperlink" Target="https://drive.google.com/file/d/1aSPNOWZzuwclCLedLTvH8pd8MqGVhWtc/view?usp=drivesdk" TargetMode="External"/><Relationship Id="rId8261" Type="http://schemas.openxmlformats.org/officeDocument/2006/relationships/hyperlink" Target="https://drive.google.com/file/d/1K5FYCmJt4XvQPoTYZGeCbuxWl73i5vO1/view?usp=drivesdk" TargetMode="External"/><Relationship Id="rId9595" Type="http://schemas.openxmlformats.org/officeDocument/2006/relationships/hyperlink" Target="https://drive.google.com/file/d/10o8rAp4S7nHmkt0h2kpej_kjsIChEH-4/view?usp=drivesdk" TargetMode="External"/><Relationship Id="rId8260" Type="http://schemas.openxmlformats.org/officeDocument/2006/relationships/hyperlink" Target="https://drive.google.com/file/d/1cN8fYGOLgLdT3v1NsUTNgRDPNptp8dU1/view?usp=drivesdk" TargetMode="External"/><Relationship Id="rId9596" Type="http://schemas.openxmlformats.org/officeDocument/2006/relationships/hyperlink" Target="https://drive.google.com/file/d/1BQc6dcoLnNhaaZXp510ga18VgRY3Dspz/view?usp=drivesdk" TargetMode="External"/><Relationship Id="rId9597" Type="http://schemas.openxmlformats.org/officeDocument/2006/relationships/hyperlink" Target="https://drive.google.com/file/d/13_oAn5WAgro_bMLv21XsmqQlWD7CQTDG/view?usp=drivesdk" TargetMode="External"/><Relationship Id="rId8266" Type="http://schemas.openxmlformats.org/officeDocument/2006/relationships/hyperlink" Target="https://drive.google.com/file/d/1rWpgV1ofnwGoNvqDhGIXuUxYySx-M-lR/view?usp=drivesdk" TargetMode="External"/><Relationship Id="rId9590" Type="http://schemas.openxmlformats.org/officeDocument/2006/relationships/hyperlink" Target="https://drive.google.com/file/d/1TatrUX2PS2klZLtLG5rY__2V9dMFmLya/view?usp=drivesdk" TargetMode="External"/><Relationship Id="rId8265" Type="http://schemas.openxmlformats.org/officeDocument/2006/relationships/hyperlink" Target="https://drive.google.com/file/d/1VuR7jaTK4e4-Buhhp7b3PjWOoqH6Z2FN/view?usp=drivesdk" TargetMode="External"/><Relationship Id="rId9591" Type="http://schemas.openxmlformats.org/officeDocument/2006/relationships/hyperlink" Target="https://drive.google.com/file/d/1gRTA6Pkxh82W3cAi8kpxjcnDjrnGeW56/view?usp=drivesdk" TargetMode="External"/><Relationship Id="rId8264" Type="http://schemas.openxmlformats.org/officeDocument/2006/relationships/hyperlink" Target="https://drive.google.com/file/d/1bj-GcSVya2twtEiXa4L6Kwe4flHas9e0/view?usp=drivesdk" TargetMode="External"/><Relationship Id="rId9592" Type="http://schemas.openxmlformats.org/officeDocument/2006/relationships/hyperlink" Target="https://drive.google.com/file/d/1R502NknMXbh3tHF4jMoA_oNuK1J1tyFY/view?usp=drivesdk" TargetMode="External"/><Relationship Id="rId8263" Type="http://schemas.openxmlformats.org/officeDocument/2006/relationships/hyperlink" Target="https://drive.google.com/file/d/16TNFr5xyr5NdqjnLBPtY6e2th7LMx2D0/view?usp=drivesdk" TargetMode="External"/><Relationship Id="rId9593" Type="http://schemas.openxmlformats.org/officeDocument/2006/relationships/hyperlink" Target="https://drive.google.com/file/d/1TncbS-9-5vrvoDNRUNpsiSTvv_1s199w/view?usp=drivesdk" TargetMode="External"/><Relationship Id="rId8269" Type="http://schemas.openxmlformats.org/officeDocument/2006/relationships/hyperlink" Target="https://drive.google.com/file/d/179bmUUmV70Lu0WFpq3IH6PxHy3I1VJ5W/view?usp=drivesdk" TargetMode="External"/><Relationship Id="rId8268" Type="http://schemas.openxmlformats.org/officeDocument/2006/relationships/hyperlink" Target="https://drive.google.com/file/d/1bhQFsXw00S_wMHOEUyXR8XqqBPObWUSa/view?usp=drivesdk" TargetMode="External"/><Relationship Id="rId8267" Type="http://schemas.openxmlformats.org/officeDocument/2006/relationships/hyperlink" Target="https://drive.google.com/file/d/1NiJFF2-GnZYNZa8RTpyYTVfXEFSiBFC7/view?usp=drivesdk" TargetMode="External"/><Relationship Id="rId9598" Type="http://schemas.openxmlformats.org/officeDocument/2006/relationships/hyperlink" Target="https://drive.google.com/file/d/1DVWLm9ciWCXIG6LR7ho1_dFkEsRzeygu/view?usp=drivesdk" TargetMode="External"/><Relationship Id="rId9599" Type="http://schemas.openxmlformats.org/officeDocument/2006/relationships/hyperlink" Target="https://drive.google.com/file/d/11zqTcFHyM2rqWkTC3fxRTnmsEe0ccRHD/view?usp=drivesdk" TargetMode="External"/><Relationship Id="rId8251" Type="http://schemas.openxmlformats.org/officeDocument/2006/relationships/hyperlink" Target="https://drive.google.com/file/d/1iW2NkYBce24SdyFB_AFiGaxjx6w7Rzxx/view?usp=drivesdk" TargetMode="External"/><Relationship Id="rId9583" Type="http://schemas.openxmlformats.org/officeDocument/2006/relationships/hyperlink" Target="https://drive.google.com/file/d/1NL13GEAv-7PZ9RGFazJmmzpUpfNF6qdB/view?usp=drivesdk" TargetMode="External"/><Relationship Id="rId8250" Type="http://schemas.openxmlformats.org/officeDocument/2006/relationships/hyperlink" Target="https://drive.google.com/file/d/1dhdfIDVVTEsF5OKq2Q4wIMKWMZtRD9D-/view?usp=drivesdk" TargetMode="External"/><Relationship Id="rId9584" Type="http://schemas.openxmlformats.org/officeDocument/2006/relationships/hyperlink" Target="https://drive.google.com/file/d/1Dhc5-78JX1-W9QkNX0s1fNphubLn8PQR/view?usp=drivesdk" TargetMode="External"/><Relationship Id="rId9585" Type="http://schemas.openxmlformats.org/officeDocument/2006/relationships/hyperlink" Target="https://drive.google.com/file/d/1Cb4GipSTsttXr_bBPmIRX9fc8igwF3E9/view?usp=drivesdk" TargetMode="External"/><Relationship Id="rId9586" Type="http://schemas.openxmlformats.org/officeDocument/2006/relationships/hyperlink" Target="https://drive.google.com/file/d/1meERhYf8rhjEAej1tGHh4q_TCq2m_3jf/view?usp=drivesdk" TargetMode="External"/><Relationship Id="rId8255" Type="http://schemas.openxmlformats.org/officeDocument/2006/relationships/hyperlink" Target="https://drive.google.com/file/d/1RwOZFp8crSJt4kI0tgkPXVK29qvG1sDM/view?usp=drivesdk" TargetMode="External"/><Relationship Id="rId8254" Type="http://schemas.openxmlformats.org/officeDocument/2006/relationships/hyperlink" Target="https://drive.google.com/file/d/1XOuKchiRCP1lSwTRrl-B3sBQMhyGuz9w/view?usp=drivesdk" TargetMode="External"/><Relationship Id="rId9580" Type="http://schemas.openxmlformats.org/officeDocument/2006/relationships/hyperlink" Target="https://drive.google.com/file/d/171IGNdpFbW78EFHJ2tDjrz3g3Yiw1oFH/view?usp=drivesdk" TargetMode="External"/><Relationship Id="rId8253" Type="http://schemas.openxmlformats.org/officeDocument/2006/relationships/hyperlink" Target="https://drive.google.com/file/d/19TfImIUn8qmy8GRAlMbNHvR2R7XHkzBx/view?usp=drivesdk" TargetMode="External"/><Relationship Id="rId9581" Type="http://schemas.openxmlformats.org/officeDocument/2006/relationships/hyperlink" Target="https://drive.google.com/file/d/1xHJ76XO3OnbpqgOS9OfTzZOSfaLIdoyr/view?usp=drivesdk" TargetMode="External"/><Relationship Id="rId8252" Type="http://schemas.openxmlformats.org/officeDocument/2006/relationships/hyperlink" Target="https://drive.google.com/file/d/1DvtPMg6eZmjChGnqiz6J90fEskZ3xVXg/view?usp=drivesdk" TargetMode="External"/><Relationship Id="rId9582" Type="http://schemas.openxmlformats.org/officeDocument/2006/relationships/hyperlink" Target="https://drive.google.com/file/d/1rB1RNrNu8XRQOGWs0oQXwK7Ai8dM6Xgr/view?usp=drivesdk" TargetMode="External"/><Relationship Id="rId8259" Type="http://schemas.openxmlformats.org/officeDocument/2006/relationships/hyperlink" Target="https://drive.google.com/file/d/1rzkJaWfDYLcdGrmPT8gb8JBq7nGSOn38/view?usp=drivesdk" TargetMode="External"/><Relationship Id="rId8258" Type="http://schemas.openxmlformats.org/officeDocument/2006/relationships/hyperlink" Target="https://drive.google.com/file/d/1PqsbmVr6bBsZ_EdEFVmz-Eeu4s8sVhqc/view?usp=drivesdk" TargetMode="External"/><Relationship Id="rId8257" Type="http://schemas.openxmlformats.org/officeDocument/2006/relationships/hyperlink" Target="https://drive.google.com/file/d/1YWzEqbJrGpsxHZsJfGKEBITw3cZM5FHU/view?usp=drivesdk" TargetMode="External"/><Relationship Id="rId8256" Type="http://schemas.openxmlformats.org/officeDocument/2006/relationships/hyperlink" Target="https://drive.google.com/file/d/1t0LVVJQRoHAaR9AAukPshndMJ-sNPQuS/view?usp=drivesdk" TargetMode="External"/><Relationship Id="rId9587" Type="http://schemas.openxmlformats.org/officeDocument/2006/relationships/hyperlink" Target="https://drive.google.com/file/d/1MRDPgqj6hSjCL2Kf0GoTVhTERu34D_HY/view?usp=drivesdk" TargetMode="External"/><Relationship Id="rId9588" Type="http://schemas.openxmlformats.org/officeDocument/2006/relationships/hyperlink" Target="https://drive.google.com/file/d/1kJfxj0NwFEaHtVUHVUpFafgzBBSk-Ts-/view?usp=drivesdk" TargetMode="External"/><Relationship Id="rId9589" Type="http://schemas.openxmlformats.org/officeDocument/2006/relationships/hyperlink" Target="https://drive.google.com/file/d/1PT-Ep83DUVMcHwgT2_owA88Uz1mT4FUy/view?usp=drivesdk" TargetMode="External"/><Relationship Id="rId8209" Type="http://schemas.openxmlformats.org/officeDocument/2006/relationships/hyperlink" Target="https://drive.google.com/file/d/1vYwEC6VqQIYuHB3FznclGTvzeJRqPGwv/view?usp=drivesdk" TargetMode="External"/><Relationship Id="rId9530" Type="http://schemas.openxmlformats.org/officeDocument/2006/relationships/hyperlink" Target="https://drive.google.com/file/d/1GcnUOjrnUkaOaVvvIHScwzJbQQVrbuYm/view?usp=drivesdk" TargetMode="External"/><Relationship Id="rId9531" Type="http://schemas.openxmlformats.org/officeDocument/2006/relationships/hyperlink" Target="https://drive.google.com/file/d/1NXuJ2peenKRk2GZ7PYXBRGoh4qt7DeN-/view?usp=drivesdk" TargetMode="External"/><Relationship Id="rId8200" Type="http://schemas.openxmlformats.org/officeDocument/2006/relationships/hyperlink" Target="https://drive.google.com/file/d/15LT-BPDXZQ3crxNGd0OUCzMD0wr-ESVE/view?usp=drivesdk" TargetMode="External"/><Relationship Id="rId8204" Type="http://schemas.openxmlformats.org/officeDocument/2006/relationships/hyperlink" Target="https://drive.google.com/file/d/19s2SXgbDykzuJxfGtRKJe7SXjHuJHyfv/view?usp=drivesdk" TargetMode="External"/><Relationship Id="rId9536" Type="http://schemas.openxmlformats.org/officeDocument/2006/relationships/hyperlink" Target="https://drive.google.com/file/d/1NxmxaR35W-AEh7BL5QvouBARGgUoUWRA/view?usp=drivesdk" TargetMode="External"/><Relationship Id="rId8203" Type="http://schemas.openxmlformats.org/officeDocument/2006/relationships/hyperlink" Target="https://drive.google.com/file/d/1kQ9RyOClG6_Zr3RdMX-K56KGr811AhPf/view?usp=drivesdk" TargetMode="External"/><Relationship Id="rId9537" Type="http://schemas.openxmlformats.org/officeDocument/2006/relationships/hyperlink" Target="https://drive.google.com/file/d/1B8hjTU0qIFL5whv2Hw23t2dhhNNRSR8i/view?usp=drivesdk" TargetMode="External"/><Relationship Id="rId8202" Type="http://schemas.openxmlformats.org/officeDocument/2006/relationships/hyperlink" Target="https://drive.google.com/file/d/1MabMWiLnjX4HUmFYc0xiVWvo3WrYpcdK/view?usp=drivesdk" TargetMode="External"/><Relationship Id="rId9538" Type="http://schemas.openxmlformats.org/officeDocument/2006/relationships/hyperlink" Target="https://drive.google.com/file/d/103Qwkh6gUoB-g9ZNR7Z0tIrTQl-KNrFf/view?usp=drivesdk" TargetMode="External"/><Relationship Id="rId8201" Type="http://schemas.openxmlformats.org/officeDocument/2006/relationships/hyperlink" Target="https://drive.google.com/file/d/1c-ji4e_rQLUeVM1jqHfTiC1IcFTeyFlP/view?usp=drivesdk" TargetMode="External"/><Relationship Id="rId9539" Type="http://schemas.openxmlformats.org/officeDocument/2006/relationships/hyperlink" Target="https://drive.google.com/file/d/12i4pZqwGJ8GNT43rd1rJdpByFBXE-FOS/view?usp=drivesdk" TargetMode="External"/><Relationship Id="rId8208" Type="http://schemas.openxmlformats.org/officeDocument/2006/relationships/hyperlink" Target="https://drive.google.com/file/d/106Vie70LlZWBvedoMetSSX1P8aCn9cy4/view?usp=drivesdk" TargetMode="External"/><Relationship Id="rId9532" Type="http://schemas.openxmlformats.org/officeDocument/2006/relationships/hyperlink" Target="https://drive.google.com/file/d/1Od1uwzpxESYydChHH5fTY-LeePluzso0/view?usp=drivesdk" TargetMode="External"/><Relationship Id="rId8207" Type="http://schemas.openxmlformats.org/officeDocument/2006/relationships/hyperlink" Target="https://drive.google.com/file/d/1BWjebya14M66KfMFQhQQ-iuAPT9C1xj5/view?usp=drivesdk" TargetMode="External"/><Relationship Id="rId9533" Type="http://schemas.openxmlformats.org/officeDocument/2006/relationships/hyperlink" Target="https://drive.google.com/file/d/1Y7jOQ4PKMKP8oSJfuv6WL5MougRqRoje/view?usp=drivesdk" TargetMode="External"/><Relationship Id="rId8206" Type="http://schemas.openxmlformats.org/officeDocument/2006/relationships/hyperlink" Target="https://drive.google.com/file/d/1ikMMJRb8iAQRbtQYb8d9I0l-TnbB7G0y/view?usp=drivesdk" TargetMode="External"/><Relationship Id="rId9534" Type="http://schemas.openxmlformats.org/officeDocument/2006/relationships/hyperlink" Target="https://drive.google.com/file/d/1wT9fT3DZ8qaEi33ssAN75tZ-YupUzpCk/view?usp=drivesdk" TargetMode="External"/><Relationship Id="rId8205" Type="http://schemas.openxmlformats.org/officeDocument/2006/relationships/hyperlink" Target="https://drive.google.com/file/d/1V06-KgNKdsfaxKEmP2n-1bwn3WfK7y-n/view?usp=drivesdk" TargetMode="External"/><Relationship Id="rId9535" Type="http://schemas.openxmlformats.org/officeDocument/2006/relationships/hyperlink" Target="https://drive.google.com/file/d/1ljeFdmfw6Z7G4GPLzK7NjdIPfw_NgljW/view?usp=drivesdk" TargetMode="External"/><Relationship Id="rId9529" Type="http://schemas.openxmlformats.org/officeDocument/2006/relationships/hyperlink" Target="https://drive.google.com/file/d/1ah7Y40ubgbsgNE_5X6aFJxHCav63Tnd9/view?usp=drivesdk" TargetMode="External"/><Relationship Id="rId9520" Type="http://schemas.openxmlformats.org/officeDocument/2006/relationships/hyperlink" Target="https://drive.google.com/file/d/1IEros0QLQVBdDNgGW9R0aRtCjM31fS_s/view?usp=drivesdk" TargetMode="External"/><Relationship Id="rId9525" Type="http://schemas.openxmlformats.org/officeDocument/2006/relationships/hyperlink" Target="https://drive.google.com/file/d/1ZxI0EYETrs9VP3-6Jz6bAhX86e3H43jN/view?usp=drivesdk" TargetMode="External"/><Relationship Id="rId9526" Type="http://schemas.openxmlformats.org/officeDocument/2006/relationships/hyperlink" Target="https://drive.google.com/file/d/1OHvQTkxkLmNfbQBPfAHyigB_RX1nqMgR/view?usp=drivesdk" TargetMode="External"/><Relationship Id="rId9527" Type="http://schemas.openxmlformats.org/officeDocument/2006/relationships/hyperlink" Target="https://drive.google.com/file/d/1lQaK3Q5mE0I1-V-5pj20NdNSkhGMoC-h/view?usp=drivesdk" TargetMode="External"/><Relationship Id="rId9528" Type="http://schemas.openxmlformats.org/officeDocument/2006/relationships/hyperlink" Target="https://drive.google.com/file/d/1fY8MizK-RO9KcADqC74Fh2drcfLWKCHD/view?usp=drivesdk" TargetMode="External"/><Relationship Id="rId9521" Type="http://schemas.openxmlformats.org/officeDocument/2006/relationships/hyperlink" Target="https://drive.google.com/file/d/1BaJDBezrsXH7oDbqme2ez4epNxiz387x/view?usp=drivesdk" TargetMode="External"/><Relationship Id="rId9522" Type="http://schemas.openxmlformats.org/officeDocument/2006/relationships/hyperlink" Target="https://drive.google.com/file/d/1ADmHpGVA3vtBBUU9gRVuUt9YH1AFBlCp/view?usp=drivesdk" TargetMode="External"/><Relationship Id="rId9523" Type="http://schemas.openxmlformats.org/officeDocument/2006/relationships/hyperlink" Target="https://drive.google.com/file/d/1eWeYVSUHBUncoSJO-sgUqTXfatonTt24/view?usp=drivesdk" TargetMode="External"/><Relationship Id="rId9524" Type="http://schemas.openxmlformats.org/officeDocument/2006/relationships/hyperlink" Target="https://drive.google.com/file/d/1PaocYwIaJuQ-rfXlHkLaXE7ZRsDsQIOc/view?usp=drivesdk" TargetMode="External"/><Relationship Id="rId9550" Type="http://schemas.openxmlformats.org/officeDocument/2006/relationships/hyperlink" Target="https://drive.google.com/file/d/1OpMGAoVuPQaBJChC_5X5VG7979jGmMdq/view?usp=drivesdk" TargetMode="External"/><Relationship Id="rId9551" Type="http://schemas.openxmlformats.org/officeDocument/2006/relationships/hyperlink" Target="https://drive.google.com/file/d/12-Tnm6d5XeriW2wWme0KMPPyw5UpVtNB/view?usp=drivesdk" TargetMode="External"/><Relationship Id="rId9552" Type="http://schemas.openxmlformats.org/officeDocument/2006/relationships/hyperlink" Target="https://drive.google.com/file/d/1mUGUycKYITBQS-9jDRiUnLqBFNz9lLjT/view?usp=drivesdk" TargetMode="External"/><Relationship Id="rId9553" Type="http://schemas.openxmlformats.org/officeDocument/2006/relationships/hyperlink" Target="https://drive.google.com/file/d/17ZFOz8AHrjkNYUFEB2JteClAIX2AXDWs/view?usp=drivesdk" TargetMode="External"/><Relationship Id="rId8222" Type="http://schemas.openxmlformats.org/officeDocument/2006/relationships/hyperlink" Target="https://drive.google.com/file/d/12-UuZfnxAED3aB_VHDzqprk37PsF8ftp/view?usp=drivesdk" TargetMode="External"/><Relationship Id="rId8221" Type="http://schemas.openxmlformats.org/officeDocument/2006/relationships/hyperlink" Target="https://drive.google.com/file/d/1_N_PNFqShs9Oojxs32uOaC4uUq1eozdK/view?usp=drivesdk" TargetMode="External"/><Relationship Id="rId8220" Type="http://schemas.openxmlformats.org/officeDocument/2006/relationships/hyperlink" Target="https://drive.google.com/file/d/1sBRiRgZmk1JHaC8FiODgEWIv7OmqyAge/view?usp=drivesdk" TargetMode="External"/><Relationship Id="rId8226" Type="http://schemas.openxmlformats.org/officeDocument/2006/relationships/hyperlink" Target="https://drive.google.com/file/d/1kainxWx2MswsDOkfSJZrzHB30PzfMrJl/view?usp=drivesdk" TargetMode="External"/><Relationship Id="rId9558" Type="http://schemas.openxmlformats.org/officeDocument/2006/relationships/hyperlink" Target="https://drive.google.com/file/d/1x3wAhq4YGsVwy4IiMjsSPNa-gD_QMvGK/view?usp=drivesdk" TargetMode="External"/><Relationship Id="rId8225" Type="http://schemas.openxmlformats.org/officeDocument/2006/relationships/hyperlink" Target="https://drive.google.com/file/d/1LU_8TfnVNFEXvgxc8ZrMbrVYQTRl_Hwk/view?usp=drivesdk" TargetMode="External"/><Relationship Id="rId9559" Type="http://schemas.openxmlformats.org/officeDocument/2006/relationships/hyperlink" Target="https://drive.google.com/file/d/1TUZp021lOsNDuqFEzHJ2lxawo8cBT9T-/view?usp=drivesdk" TargetMode="External"/><Relationship Id="rId8224" Type="http://schemas.openxmlformats.org/officeDocument/2006/relationships/hyperlink" Target="https://drive.google.com/file/d/1JaomYl1s6Wce3xr3BEGrz8ExUeOT0z6X/view?usp=drivesdk" TargetMode="External"/><Relationship Id="rId8223" Type="http://schemas.openxmlformats.org/officeDocument/2006/relationships/hyperlink" Target="https://drive.google.com/file/d/1S9qMghjdxcp1xmBIbRTSCh-LvYC-uH6h/view?usp=drivesdk" TargetMode="External"/><Relationship Id="rId9554" Type="http://schemas.openxmlformats.org/officeDocument/2006/relationships/hyperlink" Target="https://drive.google.com/file/d/1bfIFZxv455hgWQDw6cWCXB0deBNkUrVD/view?usp=drivesdk" TargetMode="External"/><Relationship Id="rId8229" Type="http://schemas.openxmlformats.org/officeDocument/2006/relationships/hyperlink" Target="https://drive.google.com/file/d/1rtuWv_AnQjaDEt0xPSX3LYQiv-pwhNxu/view?usp=drivesdk" TargetMode="External"/><Relationship Id="rId9555" Type="http://schemas.openxmlformats.org/officeDocument/2006/relationships/hyperlink" Target="https://drive.google.com/file/d/1Ov4YJHNAVxGsIdCgoCqGdhn0S4LcuaMX/view?usp=drivesdk" TargetMode="External"/><Relationship Id="rId8228" Type="http://schemas.openxmlformats.org/officeDocument/2006/relationships/hyperlink" Target="https://drive.google.com/file/d/1HJb8t2gPTM94JJYPISWsIgYBRsoYHhse/view?usp=drivesdk" TargetMode="External"/><Relationship Id="rId9556" Type="http://schemas.openxmlformats.org/officeDocument/2006/relationships/hyperlink" Target="https://drive.google.com/file/d/1CCubYudSlhkUWlXI2XLjhoXehAU2VtPb/view?usp=drivesdk" TargetMode="External"/><Relationship Id="rId8227" Type="http://schemas.openxmlformats.org/officeDocument/2006/relationships/hyperlink" Target="https://drive.google.com/file/d/1P25gwKikp2c6xg-cwDGqX6j_zos06s7c/view?usp=drivesdk" TargetMode="External"/><Relationship Id="rId9557" Type="http://schemas.openxmlformats.org/officeDocument/2006/relationships/hyperlink" Target="https://drive.google.com/file/d/13yO49tGtpsG2P4cMf6P3qNfyI7f_lxhe/view?usp=drivesdk" TargetMode="External"/><Relationship Id="rId9540" Type="http://schemas.openxmlformats.org/officeDocument/2006/relationships/hyperlink" Target="https://drive.google.com/file/d/1kIoU4h1HsZ5UQwM5H4z1X1kOTXa22XMj/view?usp=drivesdk" TargetMode="External"/><Relationship Id="rId9541" Type="http://schemas.openxmlformats.org/officeDocument/2006/relationships/hyperlink" Target="https://drive.google.com/file/d/15_B2Wt89K4G_8AJxqETnRWBmK5QQlAOc/view?usp=drivesdk" TargetMode="External"/><Relationship Id="rId9542" Type="http://schemas.openxmlformats.org/officeDocument/2006/relationships/hyperlink" Target="https://drive.google.com/file/d/1j0KnylCMUCl4qJz7g66FGIVNmsBdnUkS/view?usp=drivesdk" TargetMode="External"/><Relationship Id="rId8211" Type="http://schemas.openxmlformats.org/officeDocument/2006/relationships/hyperlink" Target="https://drive.google.com/file/d/1HVcVKgkcHZhG1yIkNfY4TErX4e8PlGBl/view?usp=drivesdk" TargetMode="External"/><Relationship Id="rId8210" Type="http://schemas.openxmlformats.org/officeDocument/2006/relationships/hyperlink" Target="https://drive.google.com/file/d/1ejV7AkYCkKRP57PEvsXBOVXhP0jTwtuz/view?usp=drivesdk" TargetMode="External"/><Relationship Id="rId8215" Type="http://schemas.openxmlformats.org/officeDocument/2006/relationships/hyperlink" Target="https://drive.google.com/file/d/1sSGrMUvYJZpBaAgfDIlvLPDTQJnuRO-5/view?usp=drivesdk" TargetMode="External"/><Relationship Id="rId9547" Type="http://schemas.openxmlformats.org/officeDocument/2006/relationships/hyperlink" Target="https://drive.google.com/file/d/1uBaL93sQJa5a_MdpXRjlBhmWqyT2tEoR/view?usp=drivesdk" TargetMode="External"/><Relationship Id="rId8214" Type="http://schemas.openxmlformats.org/officeDocument/2006/relationships/hyperlink" Target="https://drive.google.com/file/d/1kqAjBiOO0bTz1DeYDBrPBwFst0qjV3IX/view?usp=drivesdk" TargetMode="External"/><Relationship Id="rId9548" Type="http://schemas.openxmlformats.org/officeDocument/2006/relationships/hyperlink" Target="https://drive.google.com/file/d/1LvzCWLDKVRicQTKC5JuRCS04nhtC7pIu/view?usp=drivesdk" TargetMode="External"/><Relationship Id="rId8213" Type="http://schemas.openxmlformats.org/officeDocument/2006/relationships/hyperlink" Target="https://drive.google.com/file/d/11nKmUuIS6oqHQ0lR3GGvKjhEpVlr6jOk/view?usp=drivesdk" TargetMode="External"/><Relationship Id="rId9549" Type="http://schemas.openxmlformats.org/officeDocument/2006/relationships/hyperlink" Target="https://drive.google.com/file/d/14gRii7uOzB1Lr0kU5QAU_MBTH8nIMGvG/view?usp=drivesdk" TargetMode="External"/><Relationship Id="rId8212" Type="http://schemas.openxmlformats.org/officeDocument/2006/relationships/hyperlink" Target="https://drive.google.com/file/d/1ecJYjDREG8h4TfrIkHi4a92th3UIcEld/view?usp=drivesdk" TargetMode="External"/><Relationship Id="rId8219" Type="http://schemas.openxmlformats.org/officeDocument/2006/relationships/hyperlink" Target="https://drive.google.com/file/d/1cVvjFjzp1HSKXHWJ1miOta82qsq_vIzZ/view?usp=drivesdk" TargetMode="External"/><Relationship Id="rId9543" Type="http://schemas.openxmlformats.org/officeDocument/2006/relationships/hyperlink" Target="https://drive.google.com/file/d/1sLHJtHC9JvvsLasJfpnJtPRWcbtI8Idg/view?usp=drivesdk" TargetMode="External"/><Relationship Id="rId8218" Type="http://schemas.openxmlformats.org/officeDocument/2006/relationships/hyperlink" Target="https://drive.google.com/file/d/1YnZJfBFQCQuuQ-fZ5u449Gz-3zvOinv3/view?usp=drivesdk" TargetMode="External"/><Relationship Id="rId9544" Type="http://schemas.openxmlformats.org/officeDocument/2006/relationships/hyperlink" Target="https://drive.google.com/file/d/1A1MbX9ZH5vWeY3t5omV_V9LzUGiICWIM/view?usp=drivesdk" TargetMode="External"/><Relationship Id="rId8217" Type="http://schemas.openxmlformats.org/officeDocument/2006/relationships/hyperlink" Target="https://drive.google.com/file/d/1ozQVK7JgTivofSy3H7aq1IsWnzUcFloj/view?usp=drivesdk" TargetMode="External"/><Relationship Id="rId9545" Type="http://schemas.openxmlformats.org/officeDocument/2006/relationships/hyperlink" Target="https://drive.google.com/file/d/1uxe61wwUjitvBL6yOA1lPEymOLZdZ8rM/view?usp=drivesdk" TargetMode="External"/><Relationship Id="rId8216" Type="http://schemas.openxmlformats.org/officeDocument/2006/relationships/hyperlink" Target="https://drive.google.com/file/d/1-lbBhuuS-ezSImVSlyulwxGYIKtwG1Vg/view?usp=drivesdk" TargetMode="External"/><Relationship Id="rId9546" Type="http://schemas.openxmlformats.org/officeDocument/2006/relationships/hyperlink" Target="https://drive.google.com/file/d/1x9SJJMZWaMFmoawmzw61ma-zzEqPbZJj/view?usp=drivesdk" TargetMode="External"/><Relationship Id="rId8291" Type="http://schemas.openxmlformats.org/officeDocument/2006/relationships/hyperlink" Target="https://drive.google.com/file/d/1wGpMLtRoyQ2Q3FA3J67KRUHmeOEZi1YA/view?usp=drivesdk" TargetMode="External"/><Relationship Id="rId8290" Type="http://schemas.openxmlformats.org/officeDocument/2006/relationships/hyperlink" Target="https://drive.google.com/file/d/1svSC2tX6Ig1E8vmPznLbLtDaXTiQSGza/view?usp=drivesdk" TargetMode="External"/><Relationship Id="rId8284" Type="http://schemas.openxmlformats.org/officeDocument/2006/relationships/hyperlink" Target="https://drive.google.com/file/d/10Rta2lBnZ3FYVoYOZ_CD6FnRXNLZL7_p/view?usp=drivesdk" TargetMode="External"/><Relationship Id="rId8283" Type="http://schemas.openxmlformats.org/officeDocument/2006/relationships/hyperlink" Target="https://drive.google.com/file/d/14suwvulMiwPYyY199TXUekNFOJdOx0Wr/view?usp=drivesdk" TargetMode="External"/><Relationship Id="rId8282" Type="http://schemas.openxmlformats.org/officeDocument/2006/relationships/hyperlink" Target="https://drive.google.com/file/d/1bKEgk_qM8nUb3cfJqU7aSqu5miWlO90i/view?usp=drivesdk" TargetMode="External"/><Relationship Id="rId8281" Type="http://schemas.openxmlformats.org/officeDocument/2006/relationships/hyperlink" Target="https://drive.google.com/file/d/1oiE3kmlTUY9eurWE-v-fYrtBzIfeDDB_/view?usp=drivesdk" TargetMode="External"/><Relationship Id="rId8288" Type="http://schemas.openxmlformats.org/officeDocument/2006/relationships/hyperlink" Target="https://drive.google.com/file/d/1iW9SDGE7mMXX0IFCgH0RlJyyWzLR1MG2/view?usp=drivesdk" TargetMode="External"/><Relationship Id="rId8287" Type="http://schemas.openxmlformats.org/officeDocument/2006/relationships/hyperlink" Target="https://drive.google.com/file/d/1Yl16qQHYOTkdNWaqz8wvhr_rKFDQ2b7X/view?usp=drivesdk" TargetMode="External"/><Relationship Id="rId8286" Type="http://schemas.openxmlformats.org/officeDocument/2006/relationships/hyperlink" Target="https://drive.google.com/file/d/1tZImnWMO6UX4xdlaByFkS44KzbG8Jjuy/view?usp=drivesdk" TargetMode="External"/><Relationship Id="rId8285" Type="http://schemas.openxmlformats.org/officeDocument/2006/relationships/hyperlink" Target="https://drive.google.com/file/d/1AjAYsUu6SVNUGjMyten1wUwdUCvoKljV/view?usp=drivesdk" TargetMode="External"/><Relationship Id="rId8289" Type="http://schemas.openxmlformats.org/officeDocument/2006/relationships/hyperlink" Target="https://drive.google.com/file/d/1GeZFh3CWxTXX_T6LNxdRRwI-JIVBM_Pz/view?usp=drivesdk" TargetMode="External"/><Relationship Id="rId8280" Type="http://schemas.openxmlformats.org/officeDocument/2006/relationships/hyperlink" Target="https://drive.google.com/file/d/1kwRUVvmjfQrIMKoIopv7_uW-28nZHLka/view?usp=drivesdk" TargetMode="External"/><Relationship Id="rId8273" Type="http://schemas.openxmlformats.org/officeDocument/2006/relationships/hyperlink" Target="https://drive.google.com/file/d/1pPZCb1R49uZFSYP1Vv1kpziFp2Dls6js/view?usp=drivesdk" TargetMode="External"/><Relationship Id="rId8272" Type="http://schemas.openxmlformats.org/officeDocument/2006/relationships/hyperlink" Target="https://drive.google.com/file/d/198OHt93mlnQdsRBWIrpowdL1R9C4c5Qp/view?usp=drivesdk" TargetMode="External"/><Relationship Id="rId8271" Type="http://schemas.openxmlformats.org/officeDocument/2006/relationships/hyperlink" Target="https://drive.google.com/file/d/1COcBYFuORW46stUADIOmCTRofwf3Zexp/view?usp=drivesdk" TargetMode="External"/><Relationship Id="rId8270" Type="http://schemas.openxmlformats.org/officeDocument/2006/relationships/hyperlink" Target="https://drive.google.com/file/d/1o18RAjOg0nx-Qgx36ko6wmCJy0PLqeNi/view?usp=drivesdk" TargetMode="External"/><Relationship Id="rId8277" Type="http://schemas.openxmlformats.org/officeDocument/2006/relationships/hyperlink" Target="https://drive.google.com/file/d/1kz2epgSFYDahuMsogu7s9Mwf696FMUXk/view?usp=drivesdk" TargetMode="External"/><Relationship Id="rId8276" Type="http://schemas.openxmlformats.org/officeDocument/2006/relationships/hyperlink" Target="https://drive.google.com/file/d/1BcyF4Wopb5MlmQuwAugOOncfBH6L9v2p/view?usp=drivesdk" TargetMode="External"/><Relationship Id="rId8275" Type="http://schemas.openxmlformats.org/officeDocument/2006/relationships/hyperlink" Target="https://drive.google.com/file/d/1eW4n4jT3RAZSVwnHo7voGaj4Ot3jfJF-/view?usp=drivesdk" TargetMode="External"/><Relationship Id="rId8274" Type="http://schemas.openxmlformats.org/officeDocument/2006/relationships/hyperlink" Target="https://drive.google.com/file/d/11mSZ5l9yym_VTaZboFJ45SH-JhuhlGPj/view?usp=drivesdk" TargetMode="External"/><Relationship Id="rId8279" Type="http://schemas.openxmlformats.org/officeDocument/2006/relationships/hyperlink" Target="https://drive.google.com/file/d/1mUWpWHUxkU2e6rORleXQLY_jo06nj6X6/view?usp=drivesdk" TargetMode="External"/><Relationship Id="rId8278" Type="http://schemas.openxmlformats.org/officeDocument/2006/relationships/hyperlink" Target="https://drive.google.com/file/d/1yj84-6v_UwcT2zXh9OiyTer_oaDJd8od/view?usp=drivesdk" TargetMode="External"/><Relationship Id="rId8295" Type="http://schemas.openxmlformats.org/officeDocument/2006/relationships/hyperlink" Target="https://drive.google.com/file/d/1AzfXiF7UFqcCe2H-Bc_qtc2pTtao5E3w/view?usp=drivesdk" TargetMode="External"/><Relationship Id="rId8294" Type="http://schemas.openxmlformats.org/officeDocument/2006/relationships/hyperlink" Target="https://drive.google.com/file/d/1WO8TS_1ZH4FHMD3iaq28iSRPVgO76mc0/view?usp=drivesdk" TargetMode="External"/><Relationship Id="rId8293" Type="http://schemas.openxmlformats.org/officeDocument/2006/relationships/hyperlink" Target="https://drive.google.com/file/d/1mn-XNMLEzIpckPyXjYfv7u0Z4G6m8YhY/view?usp=drivesdk" TargetMode="External"/><Relationship Id="rId8292" Type="http://schemas.openxmlformats.org/officeDocument/2006/relationships/hyperlink" Target="https://drive.google.com/file/d/1XLorout3GP4euajSSwHNlxcPDjPf53Sw/view?usp=drivesdk" TargetMode="External"/><Relationship Id="rId8299" Type="http://schemas.openxmlformats.org/officeDocument/2006/relationships/hyperlink" Target="https://drive.google.com/file/d/1gjDP3qSqqDq1erf2CA2yxHvYeU2-Q2-s/view?usp=drivesdk" TargetMode="External"/><Relationship Id="rId8298" Type="http://schemas.openxmlformats.org/officeDocument/2006/relationships/hyperlink" Target="https://drive.google.com/file/d/1Z65CFaDYH7VZL17mL99fsUwD5txbxOTN/view?usp=drivesdk" TargetMode="External"/><Relationship Id="rId8297" Type="http://schemas.openxmlformats.org/officeDocument/2006/relationships/hyperlink" Target="https://drive.google.com/file/d/1RwfgkhFXWeb83iAK3AkI09PV2gsGZkmq/view?usp=drivesdk" TargetMode="External"/><Relationship Id="rId8296" Type="http://schemas.openxmlformats.org/officeDocument/2006/relationships/hyperlink" Target="https://drive.google.com/file/d/1KPGka-VMp7EX8MoESBYp7_6-6IPNUl0M/view?usp=drivesdk" TargetMode="External"/><Relationship Id="rId10457" Type="http://schemas.openxmlformats.org/officeDocument/2006/relationships/hyperlink" Target="https://drive.google.com/file/d/1OxKkUO5ayVQ49FhlkJfporDPHNerzKzx/view?usp=drivesdk" TargetMode="External"/><Relationship Id="rId11789" Type="http://schemas.openxmlformats.org/officeDocument/2006/relationships/hyperlink" Target="https://drive.google.com/file/d/13RT3OUGhuJPwRc7q_fja2HUvajHXjU02/view?usp=drivesdk" TargetMode="External"/><Relationship Id="rId10458" Type="http://schemas.openxmlformats.org/officeDocument/2006/relationships/hyperlink" Target="https://drive.google.com/file/d/1v_ypaArTk_NgesdKV5e9DPTRKPpDC3ud/view?usp=drivesdk" TargetMode="External"/><Relationship Id="rId11788" Type="http://schemas.openxmlformats.org/officeDocument/2006/relationships/hyperlink" Target="https://drive.google.com/file/d/1yyQ7RVgiaOFDUf8PaLDt05vR_96a0XO-/view?usp=drivesdk" TargetMode="External"/><Relationship Id="rId10455" Type="http://schemas.openxmlformats.org/officeDocument/2006/relationships/hyperlink" Target="https://drive.google.com/file/d/1ZuF-MJ_Z4L5pTseIA5rjoWAhHuFg21Ev/view?usp=drivesdk" TargetMode="External"/><Relationship Id="rId11787" Type="http://schemas.openxmlformats.org/officeDocument/2006/relationships/hyperlink" Target="https://drive.google.com/file/d/1fkXthrdRQMiX2nViUJmkDyDU7J8RRWea/view?usp=drivesdk" TargetMode="External"/><Relationship Id="rId10456" Type="http://schemas.openxmlformats.org/officeDocument/2006/relationships/hyperlink" Target="https://drive.google.com/file/d/175SNJyamtv6J7svou3UZahFFfbpQRNKu/view?usp=drivesdk" TargetMode="External"/><Relationship Id="rId11786" Type="http://schemas.openxmlformats.org/officeDocument/2006/relationships/hyperlink" Target="https://drive.google.com/file/d/1rzG1sAG-pBByFoHI_jsT5kE5BhoJ7FIe/view?usp=drivesdk" TargetMode="External"/><Relationship Id="rId10459" Type="http://schemas.openxmlformats.org/officeDocument/2006/relationships/hyperlink" Target="https://drive.google.com/file/d/1MfS9-NSATrdj4XxucR6mhkOAk73ZoZpc/view?usp=drivesdk" TargetMode="External"/><Relationship Id="rId11781" Type="http://schemas.openxmlformats.org/officeDocument/2006/relationships/hyperlink" Target="https://drive.google.com/file/d/1dzrhxd7zcjW6AI7q68gzfp9lsZwmLHay/view?usp=drivesdk" TargetMode="External"/><Relationship Id="rId10450" Type="http://schemas.openxmlformats.org/officeDocument/2006/relationships/hyperlink" Target="https://drive.google.com/file/d/1bYpfF8khB-ajsPgNLA6CMZXgRL4yHpg4/view?usp=drivesdk" TargetMode="External"/><Relationship Id="rId11780" Type="http://schemas.openxmlformats.org/officeDocument/2006/relationships/hyperlink" Target="https://drive.google.com/file/d/15RxLYmD-8EnQKbnI_HveOIzbKUoXVR-J/view?usp=drivesdk" TargetMode="External"/><Relationship Id="rId10453" Type="http://schemas.openxmlformats.org/officeDocument/2006/relationships/hyperlink" Target="https://drive.google.com/file/d/1ESJzzyJdSwIQuHBx4vz7AhoLh87IXU65/view?usp=drivesdk" TargetMode="External"/><Relationship Id="rId11785" Type="http://schemas.openxmlformats.org/officeDocument/2006/relationships/hyperlink" Target="https://drive.google.com/file/d/16DqpJu1DvG7DrXgIq56OiZ75647uyvU_/view?usp=drivesdk" TargetMode="External"/><Relationship Id="rId10454" Type="http://schemas.openxmlformats.org/officeDocument/2006/relationships/hyperlink" Target="https://drive.google.com/file/d/1ITnwqQAI3v2FECKOFZvKHZuln7Y4Lkv3/view?usp=drivesdk" TargetMode="External"/><Relationship Id="rId11784" Type="http://schemas.openxmlformats.org/officeDocument/2006/relationships/hyperlink" Target="https://drive.google.com/file/d/1tBa_qWcXny3KsTds59fmOnpGCHXNGNX1/view?usp=drivesdk" TargetMode="External"/><Relationship Id="rId10451" Type="http://schemas.openxmlformats.org/officeDocument/2006/relationships/hyperlink" Target="https://drive.google.com/file/d/1WyAwFLQ6YcgP8WIdTfvonz2-d2DLTiDW/view?usp=drivesdk" TargetMode="External"/><Relationship Id="rId11783" Type="http://schemas.openxmlformats.org/officeDocument/2006/relationships/hyperlink" Target="https://drive.google.com/file/d/1sO1UpGRvTKXPbN_rpe4oZBfcGLu8B8fz/view?usp=drivesdk" TargetMode="External"/><Relationship Id="rId10452" Type="http://schemas.openxmlformats.org/officeDocument/2006/relationships/hyperlink" Target="https://drive.google.com/file/d/1AKt1MtwS_ah7I9VTQmHJchAi1-udfcYm/view?usp=drivesdk" TargetMode="External"/><Relationship Id="rId11782" Type="http://schemas.openxmlformats.org/officeDocument/2006/relationships/hyperlink" Target="https://drive.google.com/file/d/1X8bVfAKubE7ntwGlti1Qq9uaMuvR4C7l/view?usp=drivesdk" TargetMode="External"/><Relationship Id="rId10468" Type="http://schemas.openxmlformats.org/officeDocument/2006/relationships/hyperlink" Target="https://drive.google.com/file/d/1148qALzR8ptfSdU2E9e55f4O9EogPpKG/view?usp=drivesdk" TargetMode="External"/><Relationship Id="rId10469" Type="http://schemas.openxmlformats.org/officeDocument/2006/relationships/hyperlink" Target="https://drive.google.com/file/d/1YBCDhNimWo1_MJHvGdDWRGpM1vY5pBjO/view?usp=drivesdk" TargetMode="External"/><Relationship Id="rId11799" Type="http://schemas.openxmlformats.org/officeDocument/2006/relationships/hyperlink" Target="https://drive.google.com/file/d/1UuxP-rLRANQfsWtlUGhpCU7KK_PFnj9b/view?usp=drivesdk" TargetMode="External"/><Relationship Id="rId10466" Type="http://schemas.openxmlformats.org/officeDocument/2006/relationships/hyperlink" Target="https://drive.google.com/file/d/1Vpmxh5xc5CHrXtHrBuDlFPudBxwZTSq8/view?usp=drivesdk" TargetMode="External"/><Relationship Id="rId11798" Type="http://schemas.openxmlformats.org/officeDocument/2006/relationships/hyperlink" Target="https://drive.google.com/file/d/1_mFLcUiDPpEdxdmkzaOa9wfL7dXvl6AN/view?usp=drivesdk" TargetMode="External"/><Relationship Id="rId10467" Type="http://schemas.openxmlformats.org/officeDocument/2006/relationships/hyperlink" Target="https://drive.google.com/file/d/1k2va0Uh0KeRMoH5kQqLwIYUHUhBfmk5f/view?usp=drivesdk" TargetMode="External"/><Relationship Id="rId11797" Type="http://schemas.openxmlformats.org/officeDocument/2006/relationships/hyperlink" Target="https://drive.google.com/file/d/1qfG4WwuPWcTI3UyXO9Qv1PADlnEpJkZN/view?usp=drivesdk" TargetMode="External"/><Relationship Id="rId10460" Type="http://schemas.openxmlformats.org/officeDocument/2006/relationships/hyperlink" Target="https://drive.google.com/file/d/1tLcGey7Ub1-sYF9TsLVGDieCniruKKkS/view?usp=drivesdk" TargetMode="External"/><Relationship Id="rId11792" Type="http://schemas.openxmlformats.org/officeDocument/2006/relationships/hyperlink" Target="https://drive.google.com/file/d/1gtRlUOpv8AIxNba0EvUXNdKk8poUBT7N/view?usp=drivesdk" TargetMode="External"/><Relationship Id="rId10461" Type="http://schemas.openxmlformats.org/officeDocument/2006/relationships/hyperlink" Target="https://drive.google.com/file/d/1AVED9sx9jtMlo8-Sn2DOI46GZANLi-lO/view?usp=drivesdk" TargetMode="External"/><Relationship Id="rId11791" Type="http://schemas.openxmlformats.org/officeDocument/2006/relationships/hyperlink" Target="https://drive.google.com/file/d/15c97WhS-mO9Vs4ZjBM2ssZDZ9aqAeoEr/view?usp=drivesdk" TargetMode="External"/><Relationship Id="rId11790" Type="http://schemas.openxmlformats.org/officeDocument/2006/relationships/hyperlink" Target="https://drive.google.com/file/d/1Hl_3YsCgT6S2hy27bEGiMetpUpxgoMje/view?usp=drivesdk" TargetMode="External"/><Relationship Id="rId10464" Type="http://schemas.openxmlformats.org/officeDocument/2006/relationships/hyperlink" Target="https://drive.google.com/file/d/13idXUbiKur-7unmAz8yVlMS-IQHABMUe/view?usp=drivesdk" TargetMode="External"/><Relationship Id="rId11796" Type="http://schemas.openxmlformats.org/officeDocument/2006/relationships/hyperlink" Target="https://drive.google.com/file/d/1FBTWkg1P5m3j2m-W0b65fws9nVFbKefd/view?usp=drivesdk" TargetMode="External"/><Relationship Id="rId10465" Type="http://schemas.openxmlformats.org/officeDocument/2006/relationships/hyperlink" Target="https://drive.google.com/file/d/1VGdIZFV98L9T1zFeL1bYt94DAbjbzxWv/view?usp=drivesdk" TargetMode="External"/><Relationship Id="rId11795" Type="http://schemas.openxmlformats.org/officeDocument/2006/relationships/hyperlink" Target="https://drive.google.com/file/d/1UAsK8vqnH19RQhuig-59AM1-rkxEvYsZ/view?usp=drivesdk" TargetMode="External"/><Relationship Id="rId10462" Type="http://schemas.openxmlformats.org/officeDocument/2006/relationships/hyperlink" Target="https://drive.google.com/file/d/1u17ScySokMuiy3C-W3R9K8KKfYOAiLDw/view?usp=drivesdk" TargetMode="External"/><Relationship Id="rId11794" Type="http://schemas.openxmlformats.org/officeDocument/2006/relationships/hyperlink" Target="https://drive.google.com/file/d/1IJhTWvX4iMc9I7JdYFfGQW__nJ5Icu17/view?usp=drivesdk" TargetMode="External"/><Relationship Id="rId10463" Type="http://schemas.openxmlformats.org/officeDocument/2006/relationships/hyperlink" Target="https://drive.google.com/file/d/1diRIzH5HSxyj7x_8XEzulyl5maNYR1hj/view?usp=drivesdk" TargetMode="External"/><Relationship Id="rId11793" Type="http://schemas.openxmlformats.org/officeDocument/2006/relationships/hyperlink" Target="https://drive.google.com/file/d/1P_puook-6eMAcU5iaf9aCBsnh1-dCxPF/view?usp=drivesdk" TargetMode="External"/><Relationship Id="rId10435" Type="http://schemas.openxmlformats.org/officeDocument/2006/relationships/hyperlink" Target="https://drive.google.com/file/d/1yphYVJHuSbD5-4L1c7zizi11bxic883K/view?usp=drivesdk" TargetMode="External"/><Relationship Id="rId11767" Type="http://schemas.openxmlformats.org/officeDocument/2006/relationships/hyperlink" Target="https://drive.google.com/file/d/1XBwSd7pUgN_DOKLhtzpKQqJiNDtVpdWp/view?usp=drivesdk" TargetMode="External"/><Relationship Id="rId10436" Type="http://schemas.openxmlformats.org/officeDocument/2006/relationships/hyperlink" Target="https://drive.google.com/file/d/1_sT1DvN0Iv-fE6llhfWWxlOsZWD_j6tH/view?usp=drivesdk" TargetMode="External"/><Relationship Id="rId11766" Type="http://schemas.openxmlformats.org/officeDocument/2006/relationships/hyperlink" Target="https://drive.google.com/file/d/1XbpbHrrudnbUJruYyuOS68KHSD6JafPF/view?usp=drivesdk" TargetMode="External"/><Relationship Id="rId10433" Type="http://schemas.openxmlformats.org/officeDocument/2006/relationships/hyperlink" Target="https://drive.google.com/file/d/1BOCSUPTMwSVDAtGp7H_jojXn4ab-GbMQ/view?usp=drivesdk" TargetMode="External"/><Relationship Id="rId11765" Type="http://schemas.openxmlformats.org/officeDocument/2006/relationships/hyperlink" Target="https://drive.google.com/file/d/14GvXZ-F0oQwiiEiYL7GF4E1I-hT2RDBm/view?usp=drivesdk" TargetMode="External"/><Relationship Id="rId10434" Type="http://schemas.openxmlformats.org/officeDocument/2006/relationships/hyperlink" Target="https://drive.google.com/file/d/1vBZNA8tDTok4lE8DYOXICsaSS2DKDc1X/view?usp=drivesdk" TargetMode="External"/><Relationship Id="rId11764" Type="http://schemas.openxmlformats.org/officeDocument/2006/relationships/hyperlink" Target="https://drive.google.com/file/d/11RoRMwTeykT_N7OVPvs-ndhByTrArfqN/view?usp=drivesdk" TargetMode="External"/><Relationship Id="rId10439" Type="http://schemas.openxmlformats.org/officeDocument/2006/relationships/hyperlink" Target="https://drive.google.com/file/d/14aEiarG6PZLFIVjRjfp5YzJJdY7S7aTj/view?usp=drivesdk" TargetMode="External"/><Relationship Id="rId10437" Type="http://schemas.openxmlformats.org/officeDocument/2006/relationships/hyperlink" Target="https://drive.google.com/file/d/14YfAn9kmroXG0x6LxJx92jqQXVY0CQUy/view?usp=drivesdk" TargetMode="External"/><Relationship Id="rId11769" Type="http://schemas.openxmlformats.org/officeDocument/2006/relationships/hyperlink" Target="https://drive.google.com/file/d/1rQFA3upxkK_jcEL8gUQG5jvx34iglIZp/view?usp=drivesdk" TargetMode="External"/><Relationship Id="rId10438" Type="http://schemas.openxmlformats.org/officeDocument/2006/relationships/hyperlink" Target="https://drive.google.com/file/d/11SG_bb0mrqa-LQ8FqSLw_-eWuOIqj8yv/view?usp=drivesdk" TargetMode="External"/><Relationship Id="rId11768" Type="http://schemas.openxmlformats.org/officeDocument/2006/relationships/hyperlink" Target="https://drive.google.com/file/d/1HDyvbT1Au7Ep_YzS35hO5xOR4fxQlPix/view?usp=drivesdk" TargetMode="External"/><Relationship Id="rId10431" Type="http://schemas.openxmlformats.org/officeDocument/2006/relationships/hyperlink" Target="https://drive.google.com/file/d/1-cgkiJSzPjSn8Wd_nXF7UXL_dRHrpQck/view?usp=drivesdk" TargetMode="External"/><Relationship Id="rId11763" Type="http://schemas.openxmlformats.org/officeDocument/2006/relationships/hyperlink" Target="https://drive.google.com/file/d/1FdHqo9tE6uEGd5tRXuEjpUPSfiatVID_/view?usp=drivesdk" TargetMode="External"/><Relationship Id="rId10432" Type="http://schemas.openxmlformats.org/officeDocument/2006/relationships/hyperlink" Target="https://drive.google.com/file/d/1Rlbd-HkCqDyeIPileTzv4P2pvUgcWQiu/view?usp=drivesdk" TargetMode="External"/><Relationship Id="rId11762" Type="http://schemas.openxmlformats.org/officeDocument/2006/relationships/hyperlink" Target="https://drive.google.com/file/d/1-QSJD6LlIOlAj0QqjpFk3P5w2MVoAzYE/view?usp=drivesdk" TargetMode="External"/><Relationship Id="rId11761" Type="http://schemas.openxmlformats.org/officeDocument/2006/relationships/hyperlink" Target="https://drive.google.com/file/d/1g6CiibMYcXlZgcHEm9wnCfGSvLaws0kr/view?usp=drivesdk" TargetMode="External"/><Relationship Id="rId10430" Type="http://schemas.openxmlformats.org/officeDocument/2006/relationships/hyperlink" Target="https://drive.google.com/file/d/1qm7dh4A2-8958A8ClDuEo5-FBkLxtSit/view?usp=drivesdk" TargetMode="External"/><Relationship Id="rId11760" Type="http://schemas.openxmlformats.org/officeDocument/2006/relationships/hyperlink" Target="https://drive.google.com/file/d/1epMfe4qC8ahmwVGevWXmf-amakdXWmW4/view?usp=drivesdk" TargetMode="External"/><Relationship Id="rId10446" Type="http://schemas.openxmlformats.org/officeDocument/2006/relationships/hyperlink" Target="https://drive.google.com/file/d/12XDFp9N5VkeCygvMS3qu-GfVAB6b9K9v/view?usp=drivesdk" TargetMode="External"/><Relationship Id="rId11778" Type="http://schemas.openxmlformats.org/officeDocument/2006/relationships/hyperlink" Target="https://drive.google.com/file/d/1NDjmG9QR4dI4UvyxGPP8wISDHMoDp93m/view?usp=drivesdk" TargetMode="External"/><Relationship Id="rId10447" Type="http://schemas.openxmlformats.org/officeDocument/2006/relationships/hyperlink" Target="https://drive.google.com/file/d/1fKCaIRoWGAgSKL5eNEkxA-MpSlM-pxz4/view?usp=drivesdk" TargetMode="External"/><Relationship Id="rId11777" Type="http://schemas.openxmlformats.org/officeDocument/2006/relationships/hyperlink" Target="https://drive.google.com/file/d/1bNF2LtGxvMuzKSoTjn9XiDMzL2XqZWNs/view?usp=drivesdk" TargetMode="External"/><Relationship Id="rId10444" Type="http://schemas.openxmlformats.org/officeDocument/2006/relationships/hyperlink" Target="https://drive.google.com/file/d/1975ZLpOU-VkB3rCkNAFQIjf49MhtKf7K/view?usp=drivesdk" TargetMode="External"/><Relationship Id="rId11776" Type="http://schemas.openxmlformats.org/officeDocument/2006/relationships/hyperlink" Target="https://drive.google.com/file/d/1ZO70hajMzq1VndSDWPAZYkuvB-J79NDD/view?usp=drivesdk" TargetMode="External"/><Relationship Id="rId10445" Type="http://schemas.openxmlformats.org/officeDocument/2006/relationships/hyperlink" Target="https://drive.google.com/file/d/1hk79Q8k-6Aqj87xZ0Ivl0cGb4Xm3WuSW/view?usp=drivesdk" TargetMode="External"/><Relationship Id="rId11775" Type="http://schemas.openxmlformats.org/officeDocument/2006/relationships/hyperlink" Target="https://drive.google.com/file/d/1Na5bPTdeFMulUiXno1CdZKI627iCeDQf/view?usp=drivesdk" TargetMode="External"/><Relationship Id="rId10448" Type="http://schemas.openxmlformats.org/officeDocument/2006/relationships/hyperlink" Target="https://drive.google.com/file/d/1IqwQTUEkxXdlVdgB6qItr6N27fQyZLc2/view?usp=drivesdk" TargetMode="External"/><Relationship Id="rId10449" Type="http://schemas.openxmlformats.org/officeDocument/2006/relationships/hyperlink" Target="https://drive.google.com/file/d/1HMayOhCPM6vBvLkYsqbcQJXye7WLKGpD/view?usp=drivesdk" TargetMode="External"/><Relationship Id="rId11779" Type="http://schemas.openxmlformats.org/officeDocument/2006/relationships/hyperlink" Target="https://drive.google.com/file/d/1X-17miMt_f86s9ef2gKwlfsSqS8FtYVw/view?usp=drivesdk" TargetMode="External"/><Relationship Id="rId11770" Type="http://schemas.openxmlformats.org/officeDocument/2006/relationships/hyperlink" Target="https://drive.google.com/file/d/1KgjNF3H_H-w-8iT0tSHu0pzgsOgwca3K/view?usp=drivesdk" TargetMode="External"/><Relationship Id="rId10442" Type="http://schemas.openxmlformats.org/officeDocument/2006/relationships/hyperlink" Target="https://drive.google.com/file/d/18s7TfTSRKni47aHE6XBT1qdrSQ_tWziE/view?usp=drivesdk" TargetMode="External"/><Relationship Id="rId11774" Type="http://schemas.openxmlformats.org/officeDocument/2006/relationships/hyperlink" Target="https://drive.google.com/file/d/1u-UEf5oTOtZpbV71yIuzz-IJUhp5nAY0/view?usp=drivesdk" TargetMode="External"/><Relationship Id="rId10443" Type="http://schemas.openxmlformats.org/officeDocument/2006/relationships/hyperlink" Target="https://drive.google.com/file/d/1f6ZLc0uyPBSJ0FxRvTqE1Ur9Pk27seP2/view?usp=drivesdk" TargetMode="External"/><Relationship Id="rId11773" Type="http://schemas.openxmlformats.org/officeDocument/2006/relationships/hyperlink" Target="https://drive.google.com/file/d/1RMbNKBMdotBgAP6Qvf2cYOq-VoDclez0/view?usp=drivesdk" TargetMode="External"/><Relationship Id="rId10440" Type="http://schemas.openxmlformats.org/officeDocument/2006/relationships/hyperlink" Target="https://drive.google.com/file/d/15VQeMp2IVR1mLhj8fiVfyQaaHq79Bcl4/view?usp=drivesdk" TargetMode="External"/><Relationship Id="rId11772" Type="http://schemas.openxmlformats.org/officeDocument/2006/relationships/hyperlink" Target="https://drive.google.com/file/d/14mAtibaTt0vDgynvMCKfD35F9XPWHtx4/view?usp=drivesdk" TargetMode="External"/><Relationship Id="rId10441" Type="http://schemas.openxmlformats.org/officeDocument/2006/relationships/hyperlink" Target="https://drive.google.com/file/d/19vWSZJMEGGgYcDkbbVKbkRd6EqIYHaov/view?usp=drivesdk" TargetMode="External"/><Relationship Id="rId11771" Type="http://schemas.openxmlformats.org/officeDocument/2006/relationships/hyperlink" Target="https://drive.google.com/file/d/1SP44-Pu0vTqnvgBkvBR7rJaF_jcRJOui/view?usp=drivesdk" TargetMode="External"/><Relationship Id="rId10499" Type="http://schemas.openxmlformats.org/officeDocument/2006/relationships/hyperlink" Target="https://drive.google.com/file/d/1T2uz9wlbqGNtloHjK_5-HlqNId9XsSq2/view?usp=drivesdk" TargetMode="External"/><Relationship Id="rId10493" Type="http://schemas.openxmlformats.org/officeDocument/2006/relationships/hyperlink" Target="https://drive.google.com/file/d/1Z3tiWP8UdzUavIQ7EgMGVq2qRX4EgEp3/view?usp=drivesdk" TargetMode="External"/><Relationship Id="rId10494" Type="http://schemas.openxmlformats.org/officeDocument/2006/relationships/hyperlink" Target="https://drive.google.com/file/d/1iRu7415sDBW2r63KNDqoFCISw8ZQxcDC/view?usp=drivesdk" TargetMode="External"/><Relationship Id="rId10491" Type="http://schemas.openxmlformats.org/officeDocument/2006/relationships/hyperlink" Target="https://drive.google.com/file/d/1JKT_Gz4KCC_U9dCzzutZkZ1Q7McnGW-r/view?usp=drivesdk" TargetMode="External"/><Relationship Id="rId10492" Type="http://schemas.openxmlformats.org/officeDocument/2006/relationships/hyperlink" Target="https://drive.google.com/file/d/1aIS6Tj6CM3g8bpi35dInGlFadMKhgPbM/view?usp=drivesdk" TargetMode="External"/><Relationship Id="rId10497" Type="http://schemas.openxmlformats.org/officeDocument/2006/relationships/hyperlink" Target="https://drive.google.com/file/d/1QEyqmHM55OPUZyRUK3ypN8Pfo26CRDGD/view?usp=drivesdk" TargetMode="External"/><Relationship Id="rId10498" Type="http://schemas.openxmlformats.org/officeDocument/2006/relationships/hyperlink" Target="https://drive.google.com/file/d/1_54z7401jZtebEn8qw3R1aJWR_G5xnxR/view?usp=drivesdk" TargetMode="External"/><Relationship Id="rId10495" Type="http://schemas.openxmlformats.org/officeDocument/2006/relationships/hyperlink" Target="https://drive.google.com/file/d/1NPFwJ46tR3xyziNpGkD12gEEiqN7wfes/view?usp=drivesdk" TargetMode="External"/><Relationship Id="rId10496" Type="http://schemas.openxmlformats.org/officeDocument/2006/relationships/hyperlink" Target="https://drive.google.com/file/d/1jTWj97tVPT7uicChxKdWWqmt0HvySzCR/view?usp=drivesdk" TargetMode="External"/><Relationship Id="rId10479" Type="http://schemas.openxmlformats.org/officeDocument/2006/relationships/hyperlink" Target="https://drive.google.com/file/d/1HWNIUqaNzaP2b2pgFTq0-6g86OplcI9w/view?usp=drivesdk" TargetMode="External"/><Relationship Id="rId10477" Type="http://schemas.openxmlformats.org/officeDocument/2006/relationships/hyperlink" Target="https://drive.google.com/file/d/1eGQrtoDLYBVpHoTAMoUXV8rvX3Aa85Nd/view?usp=drivesdk" TargetMode="External"/><Relationship Id="rId10478" Type="http://schemas.openxmlformats.org/officeDocument/2006/relationships/hyperlink" Target="https://drive.google.com/file/d/14aeNB8ktXpyJr6cafqojzgd1IzsKGq_0/view?usp=drivesdk" TargetMode="External"/><Relationship Id="rId10471" Type="http://schemas.openxmlformats.org/officeDocument/2006/relationships/hyperlink" Target="https://drive.google.com/file/d/1gAxc2hObb3jilKAotbRLsmrzDqPZp2b9/view?usp=drivesdk" TargetMode="External"/><Relationship Id="rId10472" Type="http://schemas.openxmlformats.org/officeDocument/2006/relationships/hyperlink" Target="https://drive.google.com/file/d/1ljq7AmcD4_cX8ERGphkEe6K681ZW3AZE/view?usp=drivesdk" TargetMode="External"/><Relationship Id="rId10470" Type="http://schemas.openxmlformats.org/officeDocument/2006/relationships/hyperlink" Target="https://drive.google.com/file/d/1rlT_sbaRQzSuKAcfucRUbp7n-7uTtzph/view?usp=drivesdk" TargetMode="External"/><Relationship Id="rId10475" Type="http://schemas.openxmlformats.org/officeDocument/2006/relationships/hyperlink" Target="https://drive.google.com/file/d/1qw3ghag_L0nH3y3qLUUhIwOEvGlYyT9o/view?usp=drivesdk" TargetMode="External"/><Relationship Id="rId10476" Type="http://schemas.openxmlformats.org/officeDocument/2006/relationships/hyperlink" Target="https://drive.google.com/file/d/1ahQdlB73G9xNFEdYXBv4A7Pn8ssdnINJ/view?usp=drivesdk" TargetMode="External"/><Relationship Id="rId10473" Type="http://schemas.openxmlformats.org/officeDocument/2006/relationships/hyperlink" Target="https://drive.google.com/file/d/1BYFWhmpu3lruOPP_kZdRlHL-LH4IgDBW/view?usp=drivesdk" TargetMode="External"/><Relationship Id="rId10474" Type="http://schemas.openxmlformats.org/officeDocument/2006/relationships/hyperlink" Target="https://drive.google.com/file/d/1BuP5yXwugcy1ZcZkl86JJwVQupPqYNlg/view?usp=drivesdk" TargetMode="External"/><Relationship Id="rId10490" Type="http://schemas.openxmlformats.org/officeDocument/2006/relationships/hyperlink" Target="https://drive.google.com/file/d/1S0L8hfyO_CjcCmCZ38JLk8310kWb3MD5/view?usp=drivesdk" TargetMode="External"/><Relationship Id="rId10488" Type="http://schemas.openxmlformats.org/officeDocument/2006/relationships/hyperlink" Target="https://drive.google.com/file/d/115Ca1IJcxZa47QIfcs889cRsboj3aSC0/view?usp=drivesdk" TargetMode="External"/><Relationship Id="rId10489" Type="http://schemas.openxmlformats.org/officeDocument/2006/relationships/hyperlink" Target="https://drive.google.com/file/d/1AdA6VQnnvnX0B0crR-kAX9xqRu0XcSg4/view?usp=drivesdk" TargetMode="External"/><Relationship Id="rId10482" Type="http://schemas.openxmlformats.org/officeDocument/2006/relationships/hyperlink" Target="https://drive.google.com/file/d/1RC8LaLPuF-Nxthubx6Hf-B5rX8uLu4vO/view?usp=drivesdk" TargetMode="External"/><Relationship Id="rId10483" Type="http://schemas.openxmlformats.org/officeDocument/2006/relationships/hyperlink" Target="https://drive.google.com/file/d/1Oun7JLT07wAwFmb97rjXI576udg8x1qq/view?usp=drivesdk" TargetMode="External"/><Relationship Id="rId10480" Type="http://schemas.openxmlformats.org/officeDocument/2006/relationships/hyperlink" Target="https://drive.google.com/file/d/1K5knDEeAPiotJI6A6Rzejo8FlcsT6an1/view?usp=drivesdk" TargetMode="External"/><Relationship Id="rId10481" Type="http://schemas.openxmlformats.org/officeDocument/2006/relationships/hyperlink" Target="https://drive.google.com/file/d/16RR50F-OEUh1Xug_88ABEdYZVDyAotHI/view?usp=drivesdk" TargetMode="External"/><Relationship Id="rId10486" Type="http://schemas.openxmlformats.org/officeDocument/2006/relationships/hyperlink" Target="https://drive.google.com/file/d/1M_PlbXR5T5rRUODuKj7ObSJwKMuGC7ot/view?usp=drivesdk" TargetMode="External"/><Relationship Id="rId10487" Type="http://schemas.openxmlformats.org/officeDocument/2006/relationships/hyperlink" Target="https://drive.google.com/file/d/13CO6jWb77LgG4u6MM7OP7fTxTs-b8kPN/view?usp=drivesdk" TargetMode="External"/><Relationship Id="rId10484" Type="http://schemas.openxmlformats.org/officeDocument/2006/relationships/hyperlink" Target="https://drive.google.com/file/d/1rEthBlbdZ5yjzEPUTQfN1yuAmW212GUj/view?usp=drivesdk" TargetMode="External"/><Relationship Id="rId10485" Type="http://schemas.openxmlformats.org/officeDocument/2006/relationships/hyperlink" Target="https://drive.google.com/file/d/1JKBWRvYDuy2Qo1sHtBh6dcrAPkjZEfai/view?usp=drivesdk" TargetMode="External"/><Relationship Id="rId10738" Type="http://schemas.openxmlformats.org/officeDocument/2006/relationships/hyperlink" Target="https://drive.google.com/file/d/10-cn3xbtKmhmEirmWpP-OcxNueFzaTK7/view?usp=drivesdk" TargetMode="External"/><Relationship Id="rId10739" Type="http://schemas.openxmlformats.org/officeDocument/2006/relationships/hyperlink" Target="https://drive.google.com/file/d/19fakL2f2HQZBfiOliHp3Yflf0zSOOQvf/view?usp=drivesdk" TargetMode="External"/><Relationship Id="rId10732" Type="http://schemas.openxmlformats.org/officeDocument/2006/relationships/hyperlink" Target="https://drive.google.com/file/d/1xlfa3WXQhLCEDZ7LMxqnIN1niur25Ns-/view?usp=drivesdk" TargetMode="External"/><Relationship Id="rId10733" Type="http://schemas.openxmlformats.org/officeDocument/2006/relationships/hyperlink" Target="https://drive.google.com/file/d/1FSgsUMcMO9-Uh7blb3r918oKEGHtudMo/view?usp=drivesdk" TargetMode="External"/><Relationship Id="rId10730" Type="http://schemas.openxmlformats.org/officeDocument/2006/relationships/hyperlink" Target="https://drive.google.com/file/d/1_Ev9MTdC-0acxio52M84mrAaZHZEew88/view?usp=drivesdk" TargetMode="External"/><Relationship Id="rId10731" Type="http://schemas.openxmlformats.org/officeDocument/2006/relationships/hyperlink" Target="https://drive.google.com/file/d/1_5MR5lIVh7-BRHKKlBETOqW049OyfrPb/view?usp=drivesdk" TargetMode="External"/><Relationship Id="rId5251" Type="http://schemas.openxmlformats.org/officeDocument/2006/relationships/hyperlink" Target="https://drive.google.com/file/d/1jFn-WWrDidk4EMh513rY_DxgoqG52DZR/view?usp=drivesdk" TargetMode="External"/><Relationship Id="rId6582" Type="http://schemas.openxmlformats.org/officeDocument/2006/relationships/hyperlink" Target="https://drive.google.com/file/d/1jFhSxBDQPnbeNsb8YKJ71agYCdxBm6vw/view?usp=drivesdk" TargetMode="External"/><Relationship Id="rId10736" Type="http://schemas.openxmlformats.org/officeDocument/2006/relationships/hyperlink" Target="https://drive.google.com/file/d/14G3wGqQ447x3YIZkPmbN1K9MfSg_JjJs/view?usp=drivesdk" TargetMode="External"/><Relationship Id="rId5252" Type="http://schemas.openxmlformats.org/officeDocument/2006/relationships/hyperlink" Target="https://drive.google.com/file/d/1OmvOzqzUXlDaWXeRu1L86W7e4UdrA8WK/view?usp=drivesdk" TargetMode="External"/><Relationship Id="rId6583" Type="http://schemas.openxmlformats.org/officeDocument/2006/relationships/hyperlink" Target="https://drive.google.com/file/d/18jdAVU0g5KH_U-RnpQtAoGMX-LCDl6QF/view?usp=drivesdk" TargetMode="External"/><Relationship Id="rId10737" Type="http://schemas.openxmlformats.org/officeDocument/2006/relationships/hyperlink" Target="https://drive.google.com/file/d/13l4_hfsu0F3TT5y8dSFQOhQah4oJPUcU/view?usp=drivesdk" TargetMode="External"/><Relationship Id="rId6580" Type="http://schemas.openxmlformats.org/officeDocument/2006/relationships/hyperlink" Target="https://drive.google.com/file/d/1eEGz5oNiyRuzw3fdfaDMxOxsHngwfozy/view?usp=drivesdk" TargetMode="External"/><Relationship Id="rId10734" Type="http://schemas.openxmlformats.org/officeDocument/2006/relationships/hyperlink" Target="https://drive.google.com/file/d/1HwL7ZZEcOjOic-sJ9Uo8kwAUPXPHjafp/view?usp=drivesdk" TargetMode="External"/><Relationship Id="rId5250" Type="http://schemas.openxmlformats.org/officeDocument/2006/relationships/hyperlink" Target="https://drive.google.com/file/d/1phud1TWepyHkCsDA3g_0D-QvuPqFpcJU/view?usp=drivesdk" TargetMode="External"/><Relationship Id="rId6581" Type="http://schemas.openxmlformats.org/officeDocument/2006/relationships/hyperlink" Target="https://drive.google.com/file/d/1TdY9Hy49zjYhUG6E4V5W8g0wTgwMBdXa/view?usp=drivesdk" TargetMode="External"/><Relationship Id="rId10735" Type="http://schemas.openxmlformats.org/officeDocument/2006/relationships/hyperlink" Target="https://drive.google.com/file/d/1a89w7WpgAx6C-esYn6JLkwigtX6R6Euk/view?usp=drivesdk" TargetMode="External"/><Relationship Id="rId5255" Type="http://schemas.openxmlformats.org/officeDocument/2006/relationships/hyperlink" Target="https://drive.google.com/file/d/1qetzAnGAQHYYUcJn4ya0bQ8e-VRT1wJr/view?usp=drivesdk" TargetMode="External"/><Relationship Id="rId6586" Type="http://schemas.openxmlformats.org/officeDocument/2006/relationships/hyperlink" Target="https://drive.google.com/file/d/1LzYv3OJ7YWAbglx0tWzggr-dMWliSSIv/view?usp=drivesdk" TargetMode="External"/><Relationship Id="rId5256" Type="http://schemas.openxmlformats.org/officeDocument/2006/relationships/hyperlink" Target="https://drive.google.com/file/d/1hRmUOHqbHIwBVaUGmHl6BzLTFSE4hV4B/view?usp=drivesdk" TargetMode="External"/><Relationship Id="rId6587" Type="http://schemas.openxmlformats.org/officeDocument/2006/relationships/hyperlink" Target="https://drive.google.com/file/d/1hc8l9pLDX4MiOj1NMmy8Kmj8DJD24cM-/view?usp=drivesdk" TargetMode="External"/><Relationship Id="rId5253" Type="http://schemas.openxmlformats.org/officeDocument/2006/relationships/hyperlink" Target="https://drive.google.com/file/d/1tQyZGPEyWcr9ImYO5UaJ5vqGGH-eHBEP/view?usp=drivesdk" TargetMode="External"/><Relationship Id="rId6584" Type="http://schemas.openxmlformats.org/officeDocument/2006/relationships/hyperlink" Target="https://drive.google.com/file/d/1uh7WC-0HObac1MQ_VTolYrVZuypljkE_/view?usp=drivesdk" TargetMode="External"/><Relationship Id="rId5254" Type="http://schemas.openxmlformats.org/officeDocument/2006/relationships/hyperlink" Target="https://drive.google.com/file/d/1hFWqWAZC8T5f8U7AshO7dhG8SwgCxGwy/view?usp=drivesdk" TargetMode="External"/><Relationship Id="rId6585" Type="http://schemas.openxmlformats.org/officeDocument/2006/relationships/hyperlink" Target="https://drive.google.com/file/d/1FqK5No8DT3Tva7WF54IkFlAGeg4KZwQF/view?usp=drivesdk" TargetMode="External"/><Relationship Id="rId5259" Type="http://schemas.openxmlformats.org/officeDocument/2006/relationships/hyperlink" Target="https://drive.google.com/file/d/1-7YXegD1lSOhYmZegCZhybPFXefkC5JD/view?usp=drivesdk" TargetMode="External"/><Relationship Id="rId5257" Type="http://schemas.openxmlformats.org/officeDocument/2006/relationships/hyperlink" Target="https://drive.google.com/file/d/1ln_hma5M4oUQmfCN3bKP0T1OivDMs_zH/view?usp=drivesdk" TargetMode="External"/><Relationship Id="rId6588" Type="http://schemas.openxmlformats.org/officeDocument/2006/relationships/hyperlink" Target="https://drive.google.com/file/d/1Epbck5SqpKIvXa13lluOmFCl_zLsHUBs/view?usp=drivesdk" TargetMode="External"/><Relationship Id="rId5258" Type="http://schemas.openxmlformats.org/officeDocument/2006/relationships/hyperlink" Target="https://drive.google.com/file/d/1a2Lnvate5ISAV6VuW1KZPU1bRCp1IHZ1/view?usp=drivesdk" TargetMode="External"/><Relationship Id="rId6589" Type="http://schemas.openxmlformats.org/officeDocument/2006/relationships/hyperlink" Target="https://drive.google.com/file/d/1RQ5O_G1_uwMt2ufcCtNJRN5PMcLvxZr4/view?usp=drivesdk" TargetMode="External"/><Relationship Id="rId10749" Type="http://schemas.openxmlformats.org/officeDocument/2006/relationships/hyperlink" Target="https://drive.google.com/file/d/1RvS_Vifwoh8Ga96ZLwXW0iPHlKh8fr-s/view?usp=drivesdk" TargetMode="External"/><Relationship Id="rId10743" Type="http://schemas.openxmlformats.org/officeDocument/2006/relationships/hyperlink" Target="https://drive.google.com/file/d/11ZcRf5QiCY_gqtrJkUJWni-xRg1doCol/view?usp=drivesdk" TargetMode="External"/><Relationship Id="rId10744" Type="http://schemas.openxmlformats.org/officeDocument/2006/relationships/hyperlink" Target="https://drive.google.com/file/d/1UbzMo0L9Mr-tSMdZwQ4tYD-SQY6x6Dh0/view?usp=drivesdk" TargetMode="External"/><Relationship Id="rId10741" Type="http://schemas.openxmlformats.org/officeDocument/2006/relationships/hyperlink" Target="https://drive.google.com/file/d/1FPcr9k7DAiITCgdk-w3cCH-x2lsedZpS/view?usp=drivesdk" TargetMode="External"/><Relationship Id="rId10742" Type="http://schemas.openxmlformats.org/officeDocument/2006/relationships/hyperlink" Target="https://drive.google.com/file/d/1uQjSXItcV5XgQrfWlR3Qt1UkfWFf_0v4/view?usp=drivesdk" TargetMode="External"/><Relationship Id="rId5240" Type="http://schemas.openxmlformats.org/officeDocument/2006/relationships/hyperlink" Target="https://drive.google.com/file/d/1BR-a4ZDEdIJxnUn0w6OU7oSOpYQCCwrP/view?usp=drivesdk" TargetMode="External"/><Relationship Id="rId6571" Type="http://schemas.openxmlformats.org/officeDocument/2006/relationships/hyperlink" Target="https://drive.google.com/file/d/1g3Iw7SxMARcT8k-zsBojMoba0-C9wo7s/view?usp=drivesdk" TargetMode="External"/><Relationship Id="rId10747" Type="http://schemas.openxmlformats.org/officeDocument/2006/relationships/hyperlink" Target="https://drive.google.com/file/d/1ZaWpspxVsYbff-UIiesa663oQz5nF8-Z/view?usp=drivesdk" TargetMode="External"/><Relationship Id="rId5241" Type="http://schemas.openxmlformats.org/officeDocument/2006/relationships/hyperlink" Target="https://drive.google.com/file/d/1uMW73rSglbzUKgB5N7b7B9OY0kFYT7Ax/view?usp=drivesdk" TargetMode="External"/><Relationship Id="rId6572" Type="http://schemas.openxmlformats.org/officeDocument/2006/relationships/hyperlink" Target="https://drive.google.com/file/d/1fAbxfj9PglCqZjzxCtyC0yO2k2Me3WPN/view?usp=drivesdk" TargetMode="External"/><Relationship Id="rId10748" Type="http://schemas.openxmlformats.org/officeDocument/2006/relationships/hyperlink" Target="https://drive.google.com/file/d/1ZjfQTVBe9IVq5PaABn9IIT0rlqXKxWM8/view?usp=drivesdk" TargetMode="External"/><Relationship Id="rId10745" Type="http://schemas.openxmlformats.org/officeDocument/2006/relationships/hyperlink" Target="https://drive.google.com/file/d/1AvsI-ZH2jnkGqcWC124Sd6s1RpO_ZS7A/view?usp=drivesdk" TargetMode="External"/><Relationship Id="rId6570" Type="http://schemas.openxmlformats.org/officeDocument/2006/relationships/hyperlink" Target="https://drive.google.com/file/d/16EaAlbgfD-4vpu-tlTelK-NgQtAezxzT/view?usp=drivesdk" TargetMode="External"/><Relationship Id="rId10746" Type="http://schemas.openxmlformats.org/officeDocument/2006/relationships/hyperlink" Target="https://drive.google.com/file/d/1y84c6dhspHLYs0_DKuqGGy2X_EaKYZPA/view?usp=drivesdk" TargetMode="External"/><Relationship Id="rId5244" Type="http://schemas.openxmlformats.org/officeDocument/2006/relationships/hyperlink" Target="https://drive.google.com/file/d/1sVA3Qrx3cpZ41HWZqVlozVtXVNp8Le8-/view?usp=drivesdk" TargetMode="External"/><Relationship Id="rId6575" Type="http://schemas.openxmlformats.org/officeDocument/2006/relationships/hyperlink" Target="https://drive.google.com/file/d/1AZOAUhzaQZdN1OxFpqIwehP1mXC3rpkv/view?usp=drivesdk" TargetMode="External"/><Relationship Id="rId5245" Type="http://schemas.openxmlformats.org/officeDocument/2006/relationships/hyperlink" Target="https://drive.google.com/file/d/1LPJBq2-MdgdO5CiNCHstoOI9Q70Sfj7j/view?usp=drivesdk" TargetMode="External"/><Relationship Id="rId6576" Type="http://schemas.openxmlformats.org/officeDocument/2006/relationships/hyperlink" Target="https://drive.google.com/file/d/1PaWrlrYu-llsaF_-fPNkEG-5SjQOHTPX/view?usp=drivesdk" TargetMode="External"/><Relationship Id="rId5242" Type="http://schemas.openxmlformats.org/officeDocument/2006/relationships/hyperlink" Target="https://drive.google.com/file/d/1qCSwYK6rEVAwrxvFFgzF1PAilLaKHEmS/view?usp=drivesdk" TargetMode="External"/><Relationship Id="rId6573" Type="http://schemas.openxmlformats.org/officeDocument/2006/relationships/hyperlink" Target="https://drive.google.com/file/d/1fpUspWLjgF6OH-ANUHqNW2B7rsDIjM7g/view?usp=drivesdk" TargetMode="External"/><Relationship Id="rId5243" Type="http://schemas.openxmlformats.org/officeDocument/2006/relationships/hyperlink" Target="https://drive.google.com/file/d/1dA4z9g66Dbnwx90DY9VTcAHxhSqfbEVL/view?usp=drivesdk" TargetMode="External"/><Relationship Id="rId6574" Type="http://schemas.openxmlformats.org/officeDocument/2006/relationships/hyperlink" Target="https://drive.google.com/file/d/1e__8oIQ6UM6FxHV9IPz5v4DmYqy_uKFa/view?usp=drivesdk" TargetMode="External"/><Relationship Id="rId5248" Type="http://schemas.openxmlformats.org/officeDocument/2006/relationships/hyperlink" Target="https://drive.google.com/file/d/1nTrZfsbeNSVkac28VBMOGpueBqbwafdl/view?usp=drivesdk" TargetMode="External"/><Relationship Id="rId6579" Type="http://schemas.openxmlformats.org/officeDocument/2006/relationships/hyperlink" Target="https://drive.google.com/file/d/1K36hGgGVvbEe0ACizWvTWGDOiufOivWI/view?usp=drivesdk" TargetMode="External"/><Relationship Id="rId5249" Type="http://schemas.openxmlformats.org/officeDocument/2006/relationships/hyperlink" Target="https://drive.google.com/file/d/1MVjNgHCoXd4evzqtEO3GMHVhvj8tMSZ1/view?usp=drivesdk" TargetMode="External"/><Relationship Id="rId10740" Type="http://schemas.openxmlformats.org/officeDocument/2006/relationships/hyperlink" Target="https://drive.google.com/file/d/1nLVVZ6nS8bQiNDrq1mWhuzcGPnfgyvVH/view?usp=drivesdk" TargetMode="External"/><Relationship Id="rId5246" Type="http://schemas.openxmlformats.org/officeDocument/2006/relationships/hyperlink" Target="https://drive.google.com/file/d/1CN-3LrjIexhSXJxkenplSHHlKnyjanm6/view?usp=drivesdk" TargetMode="External"/><Relationship Id="rId6577" Type="http://schemas.openxmlformats.org/officeDocument/2006/relationships/hyperlink" Target="https://drive.google.com/file/d/1bzldVyQ2_QTdtTEByFUlgfr7ANL-6wrn/view?usp=drivesdk" TargetMode="External"/><Relationship Id="rId5247" Type="http://schemas.openxmlformats.org/officeDocument/2006/relationships/hyperlink" Target="https://drive.google.com/file/d/1GeIOpEIkOIwFOQeEb2MjVqBHSm28Xy5M/view?usp=drivesdk" TargetMode="External"/><Relationship Id="rId6578" Type="http://schemas.openxmlformats.org/officeDocument/2006/relationships/hyperlink" Target="https://drive.google.com/file/d/1_uBrdUYlRdN1YIVJVSTgy74SfuyRlWot/view?usp=drivesdk" TargetMode="External"/><Relationship Id="rId10718" Type="http://schemas.openxmlformats.org/officeDocument/2006/relationships/hyperlink" Target="https://drive.google.com/file/d/1XSL3w6LbD-rrli7GW5vc_tCb0uzk07Cp/view?usp=drivesdk" TargetMode="External"/><Relationship Id="rId10719" Type="http://schemas.openxmlformats.org/officeDocument/2006/relationships/hyperlink" Target="https://drive.google.com/file/d/1dQPHvpQw2q3GDePeCN6Z5TOHW56GPqQe/view?usp=drivesdk" TargetMode="External"/><Relationship Id="rId10716" Type="http://schemas.openxmlformats.org/officeDocument/2006/relationships/hyperlink" Target="https://drive.google.com/file/d/1sNWuRmzVt1Ek4_8ZnA2daqCar-yjS_nQ/view?usp=drivesdk" TargetMode="External"/><Relationship Id="rId10717" Type="http://schemas.openxmlformats.org/officeDocument/2006/relationships/hyperlink" Target="https://drive.google.com/file/d/1ROyOw8qTuaxCZa86x0zYF8jpk26iAJY2/view?usp=drivesdk" TargetMode="External"/><Relationship Id="rId10710" Type="http://schemas.openxmlformats.org/officeDocument/2006/relationships/hyperlink" Target="https://drive.google.com/file/d/1EwUKsm-cG-1oAq-fzEGehYRak5OiaPPx/view?usp=drivesdk" TargetMode="External"/><Relationship Id="rId5270" Type="http://schemas.openxmlformats.org/officeDocument/2006/relationships/hyperlink" Target="https://drive.google.com/file/d/1tEOPXMgGJSCVnSgu2eQd5ldz_D6frj39/view?usp=drivesdk" TargetMode="External"/><Relationship Id="rId10711" Type="http://schemas.openxmlformats.org/officeDocument/2006/relationships/hyperlink" Target="https://drive.google.com/file/d/1Qwqw27_OMRFxJMbuCn24hvrkAblH89P0/view?usp=drivesdk" TargetMode="External"/><Relationship Id="rId5273" Type="http://schemas.openxmlformats.org/officeDocument/2006/relationships/hyperlink" Target="https://drive.google.com/file/d/1SjzAWl-WLTKQwh7BQ3TYHBip1ORQBfsY/view?usp=drivesdk" TargetMode="External"/><Relationship Id="rId10714" Type="http://schemas.openxmlformats.org/officeDocument/2006/relationships/hyperlink" Target="https://drive.google.com/file/d/1dsJZkG0o-gmZfqcoWaYMgLg6hcVQ4Alz/view?usp=drivesdk" TargetMode="External"/><Relationship Id="rId5274" Type="http://schemas.openxmlformats.org/officeDocument/2006/relationships/hyperlink" Target="https://drive.google.com/file/d/1tmuVDA6aq2zMDhQSfAJEB3Ew1dZepTF7/view?usp=drivesdk" TargetMode="External"/><Relationship Id="rId10715" Type="http://schemas.openxmlformats.org/officeDocument/2006/relationships/hyperlink" Target="https://drive.google.com/file/d/1DEOZcG0yaD1E2xG-eSUg-JUecYLVDcuz/view?usp=drivesdk" TargetMode="External"/><Relationship Id="rId5271" Type="http://schemas.openxmlformats.org/officeDocument/2006/relationships/hyperlink" Target="https://drive.google.com/file/d/1cxOfd7SU4w462H43Ia12XEr3gqtcpGic/view?usp=drivesdk" TargetMode="External"/><Relationship Id="rId10712" Type="http://schemas.openxmlformats.org/officeDocument/2006/relationships/hyperlink" Target="https://drive.google.com/file/d/1l3DZgtvGURqouic_wxNcESul19gh02ol/view?usp=drivesdk" TargetMode="External"/><Relationship Id="rId5272" Type="http://schemas.openxmlformats.org/officeDocument/2006/relationships/hyperlink" Target="https://drive.google.com/file/d/1crTeOwL1xTTV_4UdfYsPPOA_IVd0Vv1R/view?usp=drivesdk" TargetMode="External"/><Relationship Id="rId10713" Type="http://schemas.openxmlformats.org/officeDocument/2006/relationships/hyperlink" Target="https://drive.google.com/file/d/15XBEZA3mXPxEZ-d7lAnnDzwl9pXbMfm1/view?usp=drivesdk" TargetMode="External"/><Relationship Id="rId5277" Type="http://schemas.openxmlformats.org/officeDocument/2006/relationships/hyperlink" Target="https://drive.google.com/file/d/1DgkmteweDRn62q21pSJHrhqt9g4m5gSb/view?usp=drivesdk" TargetMode="External"/><Relationship Id="rId5278" Type="http://schemas.openxmlformats.org/officeDocument/2006/relationships/hyperlink" Target="https://drive.google.com/file/d/1eZ3GdfZi46Jvj_BqpaSN-3-J1iDErvcy/view?usp=drivesdk" TargetMode="External"/><Relationship Id="rId5275" Type="http://schemas.openxmlformats.org/officeDocument/2006/relationships/hyperlink" Target="https://drive.google.com/file/d/1f5wntPBtuAhfZHTgzOFcywBG_bdjILnp/view?usp=drivesdk" TargetMode="External"/><Relationship Id="rId5276" Type="http://schemas.openxmlformats.org/officeDocument/2006/relationships/hyperlink" Target="https://drive.google.com/file/d/1cL3EDSIN87pp1s3b72VUJ-uOgV9suMAQ/view?usp=drivesdk" TargetMode="External"/><Relationship Id="rId5279" Type="http://schemas.openxmlformats.org/officeDocument/2006/relationships/hyperlink" Target="https://drive.google.com/file/d/1fcrIK29kpu7tl-P80fRqfLJXVFb1rNqd/view?usp=drivesdk" TargetMode="External"/><Relationship Id="rId10729" Type="http://schemas.openxmlformats.org/officeDocument/2006/relationships/hyperlink" Target="https://drive.google.com/file/d/1pvW_mZwm_9ETAYY-_UoaEqOx_kgeLIW2/view?usp=drivesdk" TargetMode="External"/><Relationship Id="rId10727" Type="http://schemas.openxmlformats.org/officeDocument/2006/relationships/hyperlink" Target="https://drive.google.com/file/d/1JPrwfGz-jcUj_4AoYlx-lBvbqyYBtqSF/view?usp=drivesdk" TargetMode="External"/><Relationship Id="rId10728" Type="http://schemas.openxmlformats.org/officeDocument/2006/relationships/hyperlink" Target="https://drive.google.com/file/d/174FzlsVKcAlck-PhHa1Nypuf7dWeruQu/view?usp=drivesdk" TargetMode="External"/><Relationship Id="rId10721" Type="http://schemas.openxmlformats.org/officeDocument/2006/relationships/hyperlink" Target="https://drive.google.com/file/d/1olcUpgCZjRwXDh_BO2qw4VbmNG7k5dSH/view?usp=drivesdk" TargetMode="External"/><Relationship Id="rId6590" Type="http://schemas.openxmlformats.org/officeDocument/2006/relationships/hyperlink" Target="https://drive.google.com/file/d/1oI5VXcLjxtWUe1D8TpzC2l1dt1DvZytS/view?usp=drivesdk" TargetMode="External"/><Relationship Id="rId10722" Type="http://schemas.openxmlformats.org/officeDocument/2006/relationships/hyperlink" Target="https://drive.google.com/file/d/1ukHc9Tg8Nbe7iVEhwoQF6wsy0mL0Qvqg/view?usp=drivesdk" TargetMode="External"/><Relationship Id="rId10720" Type="http://schemas.openxmlformats.org/officeDocument/2006/relationships/hyperlink" Target="https://drive.google.com/file/d/1pOLnuXUMdlBKNcZ1J25MXl3s4bGuW_M6/view?usp=drivesdk" TargetMode="External"/><Relationship Id="rId5262" Type="http://schemas.openxmlformats.org/officeDocument/2006/relationships/hyperlink" Target="https://drive.google.com/file/d/1mTEcZfKuU0mtpLrZ5OxHPbpdBpDrNdaZ/view?usp=drivesdk" TargetMode="External"/><Relationship Id="rId6593" Type="http://schemas.openxmlformats.org/officeDocument/2006/relationships/hyperlink" Target="https://drive.google.com/file/d/1AM2FQeACYyJp9KDkpotovTHVoxyb_qLI/view?usp=drivesdk" TargetMode="External"/><Relationship Id="rId10725" Type="http://schemas.openxmlformats.org/officeDocument/2006/relationships/hyperlink" Target="https://drive.google.com/file/d/1Krtwwg8CaaRlTn-JLDhgtJxb1Wl9DPWj/view?usp=drivesdk" TargetMode="External"/><Relationship Id="rId5263" Type="http://schemas.openxmlformats.org/officeDocument/2006/relationships/hyperlink" Target="https://drive.google.com/file/d/1dgdoXb56MstXb5hKb4lU3faOXSqXgK9d/view?usp=drivesdk" TargetMode="External"/><Relationship Id="rId6594" Type="http://schemas.openxmlformats.org/officeDocument/2006/relationships/hyperlink" Target="https://drive.google.com/file/d/1Fd3AYMC2eZ4g-Icyf4RebocLw4SQE4YF/view?usp=drivesdk" TargetMode="External"/><Relationship Id="rId10726" Type="http://schemas.openxmlformats.org/officeDocument/2006/relationships/hyperlink" Target="https://drive.google.com/file/d/176StO4-ROrmm8eGZMF8tVBtCr3DIeNqk/view?usp=drivesdk" TargetMode="External"/><Relationship Id="rId5260" Type="http://schemas.openxmlformats.org/officeDocument/2006/relationships/hyperlink" Target="https://drive.google.com/file/d/1A53YTNy8DJ5QOFJK1FbQzKs7KT-p4Pgp/view?usp=drivesdk" TargetMode="External"/><Relationship Id="rId6591" Type="http://schemas.openxmlformats.org/officeDocument/2006/relationships/hyperlink" Target="https://drive.google.com/file/d/1ZnFgBXe1MCpN3B3jZjgTBVkEtEnzvNvf/view?usp=drivesdk" TargetMode="External"/><Relationship Id="rId10723" Type="http://schemas.openxmlformats.org/officeDocument/2006/relationships/hyperlink" Target="https://drive.google.com/file/d/17iVGNvOma8PNKxYLvPbuDpfXTHhMOFxn/view?usp=drivesdk" TargetMode="External"/><Relationship Id="rId5261" Type="http://schemas.openxmlformats.org/officeDocument/2006/relationships/hyperlink" Target="https://drive.google.com/file/d/1ThtNLwUBBbyzL1BJG-l-0QKsGFKAe30U/view?usp=drivesdk" TargetMode="External"/><Relationship Id="rId6592" Type="http://schemas.openxmlformats.org/officeDocument/2006/relationships/hyperlink" Target="https://drive.google.com/file/d/1J1-jSx13Rys7eZtcKrtPtYmt9rhcHsMa/view?usp=drivesdk" TargetMode="External"/><Relationship Id="rId10724" Type="http://schemas.openxmlformats.org/officeDocument/2006/relationships/hyperlink" Target="https://drive.google.com/file/d/1j14pFOzQnan9x_LUUQW5bQM89O7pSLTf/view?usp=drivesdk" TargetMode="External"/><Relationship Id="rId5266" Type="http://schemas.openxmlformats.org/officeDocument/2006/relationships/hyperlink" Target="https://drive.google.com/file/d/18s8uF0osazo3Iz_-YbYVqxewf1A-tuTO/view?usp=drivesdk" TargetMode="External"/><Relationship Id="rId6597" Type="http://schemas.openxmlformats.org/officeDocument/2006/relationships/hyperlink" Target="https://drive.google.com/file/d/1amIo1Fw59QohF_3uWdadgJYA8chc_Gj2/view?usp=drivesdk" TargetMode="External"/><Relationship Id="rId5267" Type="http://schemas.openxmlformats.org/officeDocument/2006/relationships/hyperlink" Target="https://drive.google.com/file/d/1YbJYNHXJNtNNsjVGeEoQ7noufIsT4XT1/view?usp=drivesdk" TargetMode="External"/><Relationship Id="rId6598" Type="http://schemas.openxmlformats.org/officeDocument/2006/relationships/hyperlink" Target="https://drive.google.com/file/d/12EujYx1wOnQ8kQFffuKIS4ngpBwe5dee/view?usp=drivesdk" TargetMode="External"/><Relationship Id="rId5264" Type="http://schemas.openxmlformats.org/officeDocument/2006/relationships/hyperlink" Target="https://drive.google.com/file/d/1nbx8Orr52BhJvsoSCK4qnALLZvsfYv0b/view?usp=drivesdk" TargetMode="External"/><Relationship Id="rId6595" Type="http://schemas.openxmlformats.org/officeDocument/2006/relationships/hyperlink" Target="https://drive.google.com/file/d/1EZ34UeClakzC3R1WjHLWBYR0dkrfyLdm/view?usp=drivesdk" TargetMode="External"/><Relationship Id="rId5265" Type="http://schemas.openxmlformats.org/officeDocument/2006/relationships/hyperlink" Target="https://drive.google.com/file/d/12fgHm-kFUcfj0yTDPSS4HKRI9vnl4JAQ/view?usp=drivesdk" TargetMode="External"/><Relationship Id="rId6596" Type="http://schemas.openxmlformats.org/officeDocument/2006/relationships/hyperlink" Target="https://drive.google.com/file/d/1qhwH7r_54wZ5Nd2nXVX7fSDa8xuJCbuu/view?usp=drivesdk" TargetMode="External"/><Relationship Id="rId5268" Type="http://schemas.openxmlformats.org/officeDocument/2006/relationships/hyperlink" Target="https://drive.google.com/file/d/1fglQErc3FFWMVvZPauWUedJMPORKi_pW/view?usp=drivesdk" TargetMode="External"/><Relationship Id="rId6599" Type="http://schemas.openxmlformats.org/officeDocument/2006/relationships/hyperlink" Target="https://drive.google.com/file/d/1ltyk1wD6f-ownKvccRP8EG_6HdCytm-Z/view?usp=drivesdk" TargetMode="External"/><Relationship Id="rId5269" Type="http://schemas.openxmlformats.org/officeDocument/2006/relationships/hyperlink" Target="https://drive.google.com/file/d/11cyAYkH1WO2TpRY1kcanXRVPMzwCn90I/view?usp=drivesdk" TargetMode="External"/><Relationship Id="rId5219" Type="http://schemas.openxmlformats.org/officeDocument/2006/relationships/hyperlink" Target="https://drive.google.com/file/d/149TGvmVuSrwgmd0bqhy7YkIkbSrexJw2/view?usp=drivesdk" TargetMode="External"/><Relationship Id="rId5217" Type="http://schemas.openxmlformats.org/officeDocument/2006/relationships/hyperlink" Target="https://drive.google.com/file/d/14P1qYep2B1bJFBcYnL-aNYccNO4voQRv/view?usp=drivesdk" TargetMode="External"/><Relationship Id="rId6548" Type="http://schemas.openxmlformats.org/officeDocument/2006/relationships/hyperlink" Target="https://drive.google.com/file/d/19i0EXcQl7_VxH7PmxKG5y8JAwm4LI2lV/view?usp=drivesdk" TargetMode="External"/><Relationship Id="rId5218" Type="http://schemas.openxmlformats.org/officeDocument/2006/relationships/hyperlink" Target="https://drive.google.com/file/d/1odAfiZDhjny1-e2YaTsslCI2hn1V-1PP/view?usp=drivesdk" TargetMode="External"/><Relationship Id="rId6549" Type="http://schemas.openxmlformats.org/officeDocument/2006/relationships/hyperlink" Target="https://drive.google.com/file/d/10jaSA5YFMvHRAnV4mL2TG50yKE23j8En/view?usp=drivesdk" TargetMode="External"/><Relationship Id="rId7879" Type="http://schemas.openxmlformats.org/officeDocument/2006/relationships/hyperlink" Target="https://drive.google.com/file/d/1zUOV5czuqzJCN8wzXqXbHD8IzSX6Ea-v/view?usp=drivesdk" TargetMode="External"/><Relationship Id="rId392" Type="http://schemas.openxmlformats.org/officeDocument/2006/relationships/hyperlink" Target="https://drive.google.com/file/d/1wW0cPCrK--UEFoj0B63jkTjvnSv1XdHS/view?usp=drivesdk" TargetMode="External"/><Relationship Id="rId391" Type="http://schemas.openxmlformats.org/officeDocument/2006/relationships/hyperlink" Target="https://drive.google.com/file/d/1_b77EptwWaCHcodDGHP0BNhbocJ8wr0x/view?usp=drivesdk" TargetMode="External"/><Relationship Id="rId390" Type="http://schemas.openxmlformats.org/officeDocument/2006/relationships/hyperlink" Target="https://drive.google.com/file/d/1dyRrpnz08PP7L6Sk3A0lmBsUIrMRvKVH/view?usp=drivesdk" TargetMode="External"/><Relationship Id="rId10776" Type="http://schemas.openxmlformats.org/officeDocument/2006/relationships/hyperlink" Target="https://drive.google.com/file/d/1nXlQKW76xv5bprfrHyJ9iRLofhYUx_gl/view?usp=drivesdk" TargetMode="External"/><Relationship Id="rId10777" Type="http://schemas.openxmlformats.org/officeDocument/2006/relationships/hyperlink" Target="https://drive.google.com/file/d/1apygtle6bNgYayulWbss28dHBAx0NV9N/view?usp=drivesdk" TargetMode="External"/><Relationship Id="rId10774" Type="http://schemas.openxmlformats.org/officeDocument/2006/relationships/hyperlink" Target="https://drive.google.com/file/d/1nqzFCv5k1jit25wJzhAI-T4bY3GTJe5b/view?usp=drivesdk" TargetMode="External"/><Relationship Id="rId10775" Type="http://schemas.openxmlformats.org/officeDocument/2006/relationships/hyperlink" Target="https://drive.google.com/file/d/1O4p49_VRA5EHL4w7U_cQaBVbsWS0IJYp/view?usp=drivesdk" TargetMode="External"/><Relationship Id="rId7870" Type="http://schemas.openxmlformats.org/officeDocument/2006/relationships/hyperlink" Target="https://drive.google.com/file/d/1JF446y5y2zdeVRwTXCkpjOAbdZfn8hdF/view?usp=drivesdk" TargetMode="External"/><Relationship Id="rId10778" Type="http://schemas.openxmlformats.org/officeDocument/2006/relationships/hyperlink" Target="https://drive.google.com/file/d/19k8U93XNGbMFcGVNYg6zW6U4SQNtmbDz/view?usp=drivesdk" TargetMode="External"/><Relationship Id="rId10779" Type="http://schemas.openxmlformats.org/officeDocument/2006/relationships/hyperlink" Target="https://drive.google.com/file/d/1e7W-zlyOTZZJQRRwgLB5SYVMOtEn6MFX/view?usp=drivesdk" TargetMode="External"/><Relationship Id="rId385" Type="http://schemas.openxmlformats.org/officeDocument/2006/relationships/hyperlink" Target="https://drive.google.com/file/d/1UWxUFNzIznAMy6oOl1jGoBWaWSW3_QDY/view?usp=drivesdk" TargetMode="External"/><Relationship Id="rId5211" Type="http://schemas.openxmlformats.org/officeDocument/2006/relationships/hyperlink" Target="https://drive.google.com/file/d/1qfX8HpU7T2q1dL2MmsP_8U4CcCvvZQN8/view?usp=drivesdk" TargetMode="External"/><Relationship Id="rId6542" Type="http://schemas.openxmlformats.org/officeDocument/2006/relationships/hyperlink" Target="https://drive.google.com/file/d/1dCIsO7IfPrD8n3pc8o_VLfMyHicqUb64/view?usp=drivesdk" TargetMode="External"/><Relationship Id="rId7874" Type="http://schemas.openxmlformats.org/officeDocument/2006/relationships/hyperlink" Target="https://drive.google.com/file/d/1XOWMJU_gLhZ2XUBhZclQlhZKqBgrbvgg/view?usp=drivesdk" TargetMode="External"/><Relationship Id="rId384" Type="http://schemas.openxmlformats.org/officeDocument/2006/relationships/hyperlink" Target="https://drive.google.com/file/d/1nnjFxWGzgvTUvEyb6VfDqF_bdq_1-MIC/view?usp=drivesdk" TargetMode="External"/><Relationship Id="rId5212" Type="http://schemas.openxmlformats.org/officeDocument/2006/relationships/hyperlink" Target="https://drive.google.com/file/d/17HvjiKc-_VcXc0ytLMD5v0jkRNp0NH6f/view?usp=drivesdk" TargetMode="External"/><Relationship Id="rId6543" Type="http://schemas.openxmlformats.org/officeDocument/2006/relationships/hyperlink" Target="https://drive.google.com/file/d/1xWaVYaD9RFbbpvRhRZHK9vfAeX-tYdF2/view?usp=drivesdk" TargetMode="External"/><Relationship Id="rId7873" Type="http://schemas.openxmlformats.org/officeDocument/2006/relationships/hyperlink" Target="https://drive.google.com/file/d/1gaqfTYL2RRq_2jRfGnPAZJ_tbsHVGxhn/view?usp=drivesdk" TargetMode="External"/><Relationship Id="rId383" Type="http://schemas.openxmlformats.org/officeDocument/2006/relationships/hyperlink" Target="https://drive.google.com/file/d/16isa4y3PBuXXwa81tomSrCyjo46lTwdM/view?usp=drivesdk" TargetMode="External"/><Relationship Id="rId6540" Type="http://schemas.openxmlformats.org/officeDocument/2006/relationships/hyperlink" Target="https://drive.google.com/file/d/1cJXasOll3E4M3DsY16F11AMmzmJEfdsS/view?usp=drivesdk" TargetMode="External"/><Relationship Id="rId7872" Type="http://schemas.openxmlformats.org/officeDocument/2006/relationships/hyperlink" Target="https://drive.google.com/file/d/1jPz3zef2igmC1YJ-ovVEWYLU1ZnHB8eJ/view?usp=drivesdk" TargetMode="External"/><Relationship Id="rId382" Type="http://schemas.openxmlformats.org/officeDocument/2006/relationships/hyperlink" Target="https://drive.google.com/file/d/1hX4oC_m2SB54aH7Gt3yU8JQuhJESP2Mu/view?usp=drivesdk" TargetMode="External"/><Relationship Id="rId5210" Type="http://schemas.openxmlformats.org/officeDocument/2006/relationships/hyperlink" Target="https://drive.google.com/file/d/1f9DPukBTFGKSxtzSM9YLSYerhBmhtGUm/view?usp=drivesdk" TargetMode="External"/><Relationship Id="rId6541" Type="http://schemas.openxmlformats.org/officeDocument/2006/relationships/hyperlink" Target="https://drive.google.com/file/d/1BfSpy-zZa1e2uA2xFQwgjoQ7Ucy06qDf/view?usp=drivesdk" TargetMode="External"/><Relationship Id="rId7871" Type="http://schemas.openxmlformats.org/officeDocument/2006/relationships/hyperlink" Target="https://drive.google.com/file/d/1-NY51ZC2MKFt1XsbnO1k6c2If9qD54tG/view?usp=drivesdk" TargetMode="External"/><Relationship Id="rId389" Type="http://schemas.openxmlformats.org/officeDocument/2006/relationships/hyperlink" Target="https://drive.google.com/file/d/1UAHRsRSkB-Oa87KRJxIDD-fpKOSOBLRA/view?usp=drivesdk" TargetMode="External"/><Relationship Id="rId5215" Type="http://schemas.openxmlformats.org/officeDocument/2006/relationships/hyperlink" Target="https://drive.google.com/file/d/1U2FEfGgMDbGDbPF-bmv5CRfGg_T1JhZh/view?usp=drivesdk" TargetMode="External"/><Relationship Id="rId6546" Type="http://schemas.openxmlformats.org/officeDocument/2006/relationships/hyperlink" Target="https://drive.google.com/file/d/1geuKqRP5OYGPgckd8BDU4-FJm_GuSIxZ/view?usp=drivesdk" TargetMode="External"/><Relationship Id="rId7878" Type="http://schemas.openxmlformats.org/officeDocument/2006/relationships/hyperlink" Target="https://drive.google.com/file/d/1QfRfueWOJQxxmqk7fJ58wWuRVe9Ox8Z9/view?usp=drivesdk" TargetMode="External"/><Relationship Id="rId10772" Type="http://schemas.openxmlformats.org/officeDocument/2006/relationships/hyperlink" Target="https://drive.google.com/file/d/18qLDViUWSAzbMQn4-SMSEwkIhmpaSYCE/view?usp=drivesdk" TargetMode="External"/><Relationship Id="rId388" Type="http://schemas.openxmlformats.org/officeDocument/2006/relationships/hyperlink" Target="https://drive.google.com/file/d/1nUrxKyNr6MWxphSI-GxuzBt_85mGzhen/view?usp=drivesdk" TargetMode="External"/><Relationship Id="rId5216" Type="http://schemas.openxmlformats.org/officeDocument/2006/relationships/hyperlink" Target="https://drive.google.com/file/d/1hBAsvyZoDxy7_JdpaMl22IbsEURzJ5ug/view?usp=drivesdk" TargetMode="External"/><Relationship Id="rId6547" Type="http://schemas.openxmlformats.org/officeDocument/2006/relationships/hyperlink" Target="https://drive.google.com/file/d/12pT4-STqSsqytetK9GtVTYNCWFppTotB/view?usp=drivesdk" TargetMode="External"/><Relationship Id="rId7877" Type="http://schemas.openxmlformats.org/officeDocument/2006/relationships/hyperlink" Target="https://drive.google.com/file/d/1Z52Qijj7z4iuYhtmn27nQdsy12RA4-KS/view?usp=drivesdk" TargetMode="External"/><Relationship Id="rId10773" Type="http://schemas.openxmlformats.org/officeDocument/2006/relationships/hyperlink" Target="https://drive.google.com/file/d/1j2Y6kweVWIjvZja8B6jyGJ9Mv2MeuMu6/view?usp=drivesdk" TargetMode="External"/><Relationship Id="rId387" Type="http://schemas.openxmlformats.org/officeDocument/2006/relationships/hyperlink" Target="https://drive.google.com/file/d/1kI3BX0QrjaDKAERvnHHMg5mgiU6LEYx2/view?usp=drivesdk" TargetMode="External"/><Relationship Id="rId5213" Type="http://schemas.openxmlformats.org/officeDocument/2006/relationships/hyperlink" Target="https://drive.google.com/file/d/1qTemYPcAuuuXKsEpkRqprP75zr7CPBQv/view?usp=drivesdk" TargetMode="External"/><Relationship Id="rId6544" Type="http://schemas.openxmlformats.org/officeDocument/2006/relationships/hyperlink" Target="https://drive.google.com/file/d/1KUjJRjwLAsnk-KdMHo9Gb4KGZkTMhIlN/view?usp=drivesdk" TargetMode="External"/><Relationship Id="rId7876" Type="http://schemas.openxmlformats.org/officeDocument/2006/relationships/hyperlink" Target="https://drive.google.com/file/d/1TmZSJxH_lY4fpo-sWJ6qq851CPZJGlNf/view?usp=drivesdk" TargetMode="External"/><Relationship Id="rId10770" Type="http://schemas.openxmlformats.org/officeDocument/2006/relationships/hyperlink" Target="https://drive.google.com/file/d/1OVL5oFy11FUrsf1KIkj5hwPC96vc_LIB/view?usp=drivesdk" TargetMode="External"/><Relationship Id="rId386" Type="http://schemas.openxmlformats.org/officeDocument/2006/relationships/hyperlink" Target="https://drive.google.com/file/d/1u1pplioDhPHtTs15LAK8-Tr9O99tigAy/view?usp=drivesdk" TargetMode="External"/><Relationship Id="rId5214" Type="http://schemas.openxmlformats.org/officeDocument/2006/relationships/hyperlink" Target="https://drive.google.com/file/d/1_RY58YJIUCyL7ucKL1FvADJgl2hPqtSv/view?usp=drivesdk" TargetMode="External"/><Relationship Id="rId6545" Type="http://schemas.openxmlformats.org/officeDocument/2006/relationships/hyperlink" Target="https://drive.google.com/file/d/1aUUchEsIGfQvc-TyMMDpNUk0QR1xKHNy/view?usp=drivesdk" TargetMode="External"/><Relationship Id="rId7875" Type="http://schemas.openxmlformats.org/officeDocument/2006/relationships/hyperlink" Target="https://drive.google.com/file/d/1PErxFTX2yeAdeXLO_r0ERnmhdQ6iiVny/view?usp=drivesdk" TargetMode="External"/><Relationship Id="rId10771" Type="http://schemas.openxmlformats.org/officeDocument/2006/relationships/hyperlink" Target="https://drive.google.com/file/d/1QHEoBfkuDZeMpSA1BmKVk7eY3Z696Y7P/view?usp=drivesdk" TargetMode="External"/><Relationship Id="rId5208" Type="http://schemas.openxmlformats.org/officeDocument/2006/relationships/hyperlink" Target="https://drive.google.com/file/d/1rgHellSSzarvVtTAnxHXWbT29qqvC0do/view?usp=drivesdk" TargetMode="External"/><Relationship Id="rId6539" Type="http://schemas.openxmlformats.org/officeDocument/2006/relationships/hyperlink" Target="https://drive.google.com/file/d/18QNiEInYHZXgU52N2BB7YJBP_JXCMTC_/view?usp=drivesdk" TargetMode="External"/><Relationship Id="rId5209" Type="http://schemas.openxmlformats.org/officeDocument/2006/relationships/hyperlink" Target="https://drive.google.com/file/d/1fBt0yyQgdenDfFXp5zA4iOiTxhtYUw4q/view?usp=drivesdk" TargetMode="External"/><Relationship Id="rId5206" Type="http://schemas.openxmlformats.org/officeDocument/2006/relationships/hyperlink" Target="https://drive.google.com/file/d/1Rk1f7wyKRmM11TbLlwitfxtACov1oNYn/view?usp=drivesdk" TargetMode="External"/><Relationship Id="rId6537" Type="http://schemas.openxmlformats.org/officeDocument/2006/relationships/hyperlink" Target="https://drive.google.com/file/d/1jiQJynR038AiqF-Tq5-G3jPsMsjDYUIA/view?usp=drivesdk" TargetMode="External"/><Relationship Id="rId7869" Type="http://schemas.openxmlformats.org/officeDocument/2006/relationships/hyperlink" Target="https://drive.google.com/file/d/1mEEPljhAgUrg5tyQGmXUIotYyXKn7g9I/view?usp=drivesdk" TargetMode="External"/><Relationship Id="rId5207" Type="http://schemas.openxmlformats.org/officeDocument/2006/relationships/hyperlink" Target="https://drive.google.com/file/d/1lwUxrdPw3zor0HhgovKXsGUe4T_G1E3s/view?usp=drivesdk" TargetMode="External"/><Relationship Id="rId6538" Type="http://schemas.openxmlformats.org/officeDocument/2006/relationships/hyperlink" Target="https://drive.google.com/file/d/1GAFc3Ns9qXf1xDqEcrSwwnz8HlPPCLjU/view?usp=drivesdk" TargetMode="External"/><Relationship Id="rId7868" Type="http://schemas.openxmlformats.org/officeDocument/2006/relationships/hyperlink" Target="https://drive.google.com/file/d/1QRG-dExBthcJtJe_piv-tTdxiLZm0M5y/view?usp=drivesdk" TargetMode="External"/><Relationship Id="rId381" Type="http://schemas.openxmlformats.org/officeDocument/2006/relationships/hyperlink" Target="https://drive.google.com/file/d/1WxswzaUOsWe9j58nQK-M0QgnK7Pp4hqC/view?usp=drivesdk" TargetMode="External"/><Relationship Id="rId380" Type="http://schemas.openxmlformats.org/officeDocument/2006/relationships/hyperlink" Target="https://drive.google.com/file/d/1fvYpJ6nrfmgUqdniSk8vxwb6jxkFdTkZ/view?usp=drivesdk" TargetMode="External"/><Relationship Id="rId10787" Type="http://schemas.openxmlformats.org/officeDocument/2006/relationships/hyperlink" Target="https://drive.google.com/file/d/1pO-qz8xnoCBrgFVtP-gUIDOidaAUhoBn/view?usp=drivesdk" TargetMode="External"/><Relationship Id="rId10788" Type="http://schemas.openxmlformats.org/officeDocument/2006/relationships/hyperlink" Target="https://drive.google.com/file/d/1VJwBiWC5TMZy7xELAZMYku2ocAXOe1yu/view?usp=drivesdk" TargetMode="External"/><Relationship Id="rId10785" Type="http://schemas.openxmlformats.org/officeDocument/2006/relationships/hyperlink" Target="https://drive.google.com/file/d/1sg65WZKtu_Dg126wQMZqHlffFDw48dg3/view?usp=drivesdk" TargetMode="External"/><Relationship Id="rId379" Type="http://schemas.openxmlformats.org/officeDocument/2006/relationships/hyperlink" Target="https://drive.google.com/file/d/1Ffi2fVx0PTkPk_bBrcLtR5reycqZZNpB/view?usp=drivesdk" TargetMode="External"/><Relationship Id="rId10786" Type="http://schemas.openxmlformats.org/officeDocument/2006/relationships/hyperlink" Target="https://drive.google.com/file/d/1mDzR-CJw5XYvU-nmMoczO-34_UooYWIB/view?usp=drivesdk" TargetMode="External"/><Relationship Id="rId10789" Type="http://schemas.openxmlformats.org/officeDocument/2006/relationships/hyperlink" Target="https://drive.google.com/file/d/1e3-2znlFBZBom5b8RfN5PmutZws0w87e/view?usp=drivesdk" TargetMode="External"/><Relationship Id="rId374" Type="http://schemas.openxmlformats.org/officeDocument/2006/relationships/hyperlink" Target="https://drive.google.com/file/d/1wQevcrCyHA55CA5MyCpB7bGBNJsEVn4W/view?usp=drivesdk" TargetMode="External"/><Relationship Id="rId5200" Type="http://schemas.openxmlformats.org/officeDocument/2006/relationships/hyperlink" Target="https://drive.google.com/file/d/1Pj9CKqnNkMxpWumxX-qpnAyJICZp6uIh/view?usp=drivesdk" TargetMode="External"/><Relationship Id="rId6531" Type="http://schemas.openxmlformats.org/officeDocument/2006/relationships/hyperlink" Target="https://drive.google.com/file/d/1lz_8cWadrbzKfdgAfTM-KorBGNSQCWRO/view?usp=drivesdk" TargetMode="External"/><Relationship Id="rId7863" Type="http://schemas.openxmlformats.org/officeDocument/2006/relationships/hyperlink" Target="https://drive.google.com/file/d/1RAPk2Tjo-ihc1InuiALWnwGambgIe6Ln/view?usp=drivesdk" TargetMode="External"/><Relationship Id="rId373" Type="http://schemas.openxmlformats.org/officeDocument/2006/relationships/hyperlink" Target="https://drive.google.com/file/d/1F9IHLcrG0NPuCflniZXhE_m2Xu-k4Y-e/view?usp=drivesdk" TargetMode="External"/><Relationship Id="rId5201" Type="http://schemas.openxmlformats.org/officeDocument/2006/relationships/hyperlink" Target="https://drive.google.com/file/d/1VrHZvQ7-v6l3RyEpa0hc91mVlKiRy5TX/view?usp=drivesdk" TargetMode="External"/><Relationship Id="rId6532" Type="http://schemas.openxmlformats.org/officeDocument/2006/relationships/hyperlink" Target="https://drive.google.com/file/d/1oHkhcKvYbTHfTr2YpYHrha_HfJQFTgbM/view?usp=drivesdk" TargetMode="External"/><Relationship Id="rId7862" Type="http://schemas.openxmlformats.org/officeDocument/2006/relationships/hyperlink" Target="https://drive.google.com/file/d/13Uowo2NkHWcpb1pJGurvOCUXwreIiEhb/view?usp=drivesdk" TargetMode="External"/><Relationship Id="rId10780" Type="http://schemas.openxmlformats.org/officeDocument/2006/relationships/hyperlink" Target="https://drive.google.com/file/d/1leTZ416dmzhadDBFJuceHWX580gqbj-O/view?usp=drivesdk" TargetMode="External"/><Relationship Id="rId372" Type="http://schemas.openxmlformats.org/officeDocument/2006/relationships/hyperlink" Target="https://drive.google.com/file/d/11fzeS6qyI2bUegYQgiSDhn8ZFVxbg9od/view?usp=drivesdk" TargetMode="External"/><Relationship Id="rId7861" Type="http://schemas.openxmlformats.org/officeDocument/2006/relationships/hyperlink" Target="https://drive.google.com/file/d/12KnGQiXaMYrhKFJ_mAF7QZC60H8q8djn/view?usp=drivesdk" TargetMode="External"/><Relationship Id="rId371" Type="http://schemas.openxmlformats.org/officeDocument/2006/relationships/hyperlink" Target="https://drive.google.com/file/d/1BYPUPLo2SLLFDd3rlc_pjtO3NQJPHNRf/view?usp=drivesdk" TargetMode="External"/><Relationship Id="rId6530" Type="http://schemas.openxmlformats.org/officeDocument/2006/relationships/hyperlink" Target="https://drive.google.com/file/d/1OKPKtNZ_gIublyvR159w3i6iJGTXnjCI/view?usp=drivesdk" TargetMode="External"/><Relationship Id="rId7860" Type="http://schemas.openxmlformats.org/officeDocument/2006/relationships/hyperlink" Target="https://drive.google.com/file/d/1TqE6P7CUnWfLslpmZB4qjbQv3aE9sNZp/view?usp=drivesdk" TargetMode="External"/><Relationship Id="rId378" Type="http://schemas.openxmlformats.org/officeDocument/2006/relationships/hyperlink" Target="https://drive.google.com/file/d/1Jkyseuz6GG9-Ggvz2rPpgZ2CVik1wFSx/view?usp=drivesdk" TargetMode="External"/><Relationship Id="rId5204" Type="http://schemas.openxmlformats.org/officeDocument/2006/relationships/hyperlink" Target="https://drive.google.com/file/d/1d0P8W86nIQWvcGhVkOyChZJSZD4CUDfK/view?usp=drivesdk" TargetMode="External"/><Relationship Id="rId6535" Type="http://schemas.openxmlformats.org/officeDocument/2006/relationships/hyperlink" Target="https://drive.google.com/file/d/10X-bly0zwaBtsgSshMXxM_PdhAF-1EAm/view?usp=drivesdk" TargetMode="External"/><Relationship Id="rId7867" Type="http://schemas.openxmlformats.org/officeDocument/2006/relationships/hyperlink" Target="https://drive.google.com/file/d/1CalKtHqlsqIeqywrw1jVXvOBADjcJwdi/view?usp=drivesdk" TargetMode="External"/><Relationship Id="rId10783" Type="http://schemas.openxmlformats.org/officeDocument/2006/relationships/hyperlink" Target="https://drive.google.com/file/d/1acsUMPXs4wS4cWF38UYgN_hoQ6mN6vHy/view?usp=drivesdk" TargetMode="External"/><Relationship Id="rId377" Type="http://schemas.openxmlformats.org/officeDocument/2006/relationships/hyperlink" Target="https://drive.google.com/file/d/1x4-1xbjEYY5-Y7IqqjY13Imflm9XOp3S/view?usp=drivesdk" TargetMode="External"/><Relationship Id="rId5205" Type="http://schemas.openxmlformats.org/officeDocument/2006/relationships/hyperlink" Target="https://drive.google.com/file/d/1gFpvTLYYqCMEDwCopk7lVVCg80rNv8RV/view?usp=drivesdk" TargetMode="External"/><Relationship Id="rId6536" Type="http://schemas.openxmlformats.org/officeDocument/2006/relationships/hyperlink" Target="https://drive.google.com/file/d/1AuvRg3tnao45oUyxvNHn6chmEqHgtinh/view?usp=drivesdk" TargetMode="External"/><Relationship Id="rId7866" Type="http://schemas.openxmlformats.org/officeDocument/2006/relationships/hyperlink" Target="https://drive.google.com/file/d/13tFFBiQTZdnAj7GD0OhuM3tIdX5zICeJ/view?usp=drivesdk" TargetMode="External"/><Relationship Id="rId10784" Type="http://schemas.openxmlformats.org/officeDocument/2006/relationships/hyperlink" Target="https://drive.google.com/file/d/19cejeg-qdO6IbLHV9AVeUt48D23bbm9f/view?usp=drivesdk" TargetMode="External"/><Relationship Id="rId376" Type="http://schemas.openxmlformats.org/officeDocument/2006/relationships/hyperlink" Target="https://drive.google.com/file/d/1SvTBqDLXpW278t0T1kDOIPXs2lnMyhGS/view?usp=drivesdk" TargetMode="External"/><Relationship Id="rId5202" Type="http://schemas.openxmlformats.org/officeDocument/2006/relationships/hyperlink" Target="https://drive.google.com/file/d/17z4YtD6P7on_TeJccuZKWSReWITx7dsS/view?usp=drivesdk" TargetMode="External"/><Relationship Id="rId6533" Type="http://schemas.openxmlformats.org/officeDocument/2006/relationships/hyperlink" Target="https://drive.google.com/file/d/1gaKLIBbHdAQQTilDBI3CSaGhBg98NkHo/view?usp=drivesdk" TargetMode="External"/><Relationship Id="rId7865" Type="http://schemas.openxmlformats.org/officeDocument/2006/relationships/hyperlink" Target="https://drive.google.com/file/d/1z797zftROjgOpxwmmlb3Xdbn-Ss3ZRqn/view?usp=drivesdk" TargetMode="External"/><Relationship Id="rId10781" Type="http://schemas.openxmlformats.org/officeDocument/2006/relationships/hyperlink" Target="https://drive.google.com/file/d/1hqHnDRPLgJMFFTjIRj3hjrSyCoB0KimN/view?usp=drivesdk" TargetMode="External"/><Relationship Id="rId375" Type="http://schemas.openxmlformats.org/officeDocument/2006/relationships/hyperlink" Target="https://drive.google.com/file/d/1kOCX82NGSopDSJwzk8YnCDR0GRvPh49h/view?usp=drivesdk" TargetMode="External"/><Relationship Id="rId5203" Type="http://schemas.openxmlformats.org/officeDocument/2006/relationships/hyperlink" Target="https://drive.google.com/file/d/1zxQUGUfckrZXpaRDXRk1Gi0jdh5KQFOn/view?usp=drivesdk" TargetMode="External"/><Relationship Id="rId6534" Type="http://schemas.openxmlformats.org/officeDocument/2006/relationships/hyperlink" Target="https://drive.google.com/file/d/1d8vBuX4RHQrzlJuh-j1mvN94R1IahJcp/view?usp=drivesdk" TargetMode="External"/><Relationship Id="rId7864" Type="http://schemas.openxmlformats.org/officeDocument/2006/relationships/hyperlink" Target="https://drive.google.com/file/d/1zHcUv7x7pWHdlrxfPAXR1C49IlQ9AHDl/view?usp=drivesdk" TargetMode="External"/><Relationship Id="rId10782" Type="http://schemas.openxmlformats.org/officeDocument/2006/relationships/hyperlink" Target="https://drive.google.com/file/d/12kMrT4VjdAEuosJ5m-CWbOIu3Yj9FIrI/view?usp=drivesdk" TargetMode="External"/><Relationship Id="rId5239" Type="http://schemas.openxmlformats.org/officeDocument/2006/relationships/hyperlink" Target="https://drive.google.com/file/d/1w9DITIu802oIGKipXEsGF9z8xGJYDCQl/view?usp=drivesdk" TargetMode="External"/><Relationship Id="rId10754" Type="http://schemas.openxmlformats.org/officeDocument/2006/relationships/hyperlink" Target="https://drive.google.com/file/d/1PDHWpocyvDC9eJEiGg33qMWmH495qT9b/view?usp=drivesdk" TargetMode="External"/><Relationship Id="rId10755" Type="http://schemas.openxmlformats.org/officeDocument/2006/relationships/hyperlink" Target="https://drive.google.com/file/d/1apeMfaF08mvzjRCIZahkc_6eacuiycMt/view?usp=drivesdk" TargetMode="External"/><Relationship Id="rId10752" Type="http://schemas.openxmlformats.org/officeDocument/2006/relationships/hyperlink" Target="https://drive.google.com/file/d/1KpkHwybMg4GJtUDvG4g8Jsh0CdO9a6lX/view?usp=drivesdk" TargetMode="External"/><Relationship Id="rId10753" Type="http://schemas.openxmlformats.org/officeDocument/2006/relationships/hyperlink" Target="https://drive.google.com/file/d/1oSZ2wIDNV17OjFJq6jp_SLp9eA0ytLzF/view?usp=drivesdk" TargetMode="External"/><Relationship Id="rId6560" Type="http://schemas.openxmlformats.org/officeDocument/2006/relationships/hyperlink" Target="https://drive.google.com/file/d/1VBF6j1uz1eEy-ojT_-GKmfe0-eCeH0yC/view?usp=drivesdk" TargetMode="External"/><Relationship Id="rId7892" Type="http://schemas.openxmlformats.org/officeDocument/2006/relationships/hyperlink" Target="https://drive.google.com/file/d/1NMKzTRIc-WPyoB-vPUFpx2fuqfwRxi6B/view?usp=drivesdk" TargetMode="External"/><Relationship Id="rId10758" Type="http://schemas.openxmlformats.org/officeDocument/2006/relationships/hyperlink" Target="https://drive.google.com/file/d/1LZkiiPaMt_wdKkcOnSUjubCKMozYMhrR/view?usp=drivesdk" TargetMode="External"/><Relationship Id="rId5230" Type="http://schemas.openxmlformats.org/officeDocument/2006/relationships/hyperlink" Target="https://drive.google.com/file/d/1__EDXY16Q1nmIRAJs0cxAH073bmps01q/view?usp=drivesdk" TargetMode="External"/><Relationship Id="rId6561" Type="http://schemas.openxmlformats.org/officeDocument/2006/relationships/hyperlink" Target="https://drive.google.com/file/d/1OJbgXnGEvxNDoQGzWETZgqaNKNY4pkPO/view?usp=drivesdk" TargetMode="External"/><Relationship Id="rId7891" Type="http://schemas.openxmlformats.org/officeDocument/2006/relationships/hyperlink" Target="https://drive.google.com/file/d/1sw-WtHdHmzmaTAABLbgh4PgihGWDDYqx/view?usp=drivesdk" TargetMode="External"/><Relationship Id="rId10759" Type="http://schemas.openxmlformats.org/officeDocument/2006/relationships/hyperlink" Target="https://drive.google.com/file/d/1Rbnk2_ZwJ-v_HkzzKlixIOBg1x_AMMwD/view?usp=drivesdk" TargetMode="External"/><Relationship Id="rId7890" Type="http://schemas.openxmlformats.org/officeDocument/2006/relationships/hyperlink" Target="https://drive.google.com/file/d/1YDmd_4EX1y56aDYrtSoGh_kGuDS7rJtN/view?usp=drivesdk" TargetMode="External"/><Relationship Id="rId10756" Type="http://schemas.openxmlformats.org/officeDocument/2006/relationships/hyperlink" Target="https://drive.google.com/file/d/1kzCNcu6vT6raMMtb0iEkxxGhQy07kSsJ/view?usp=drivesdk" TargetMode="External"/><Relationship Id="rId10757" Type="http://schemas.openxmlformats.org/officeDocument/2006/relationships/hyperlink" Target="https://drive.google.com/file/d/1MK4tPBSxEpbgzcX9Oj-8l3LzZDshsmpl/view?usp=drivesdk" TargetMode="External"/><Relationship Id="rId5233" Type="http://schemas.openxmlformats.org/officeDocument/2006/relationships/hyperlink" Target="https://drive.google.com/file/d/1R8SWAZ2LNMkw2ZJruaD-JsPSqUt-ggl9/view?usp=drivesdk" TargetMode="External"/><Relationship Id="rId6564" Type="http://schemas.openxmlformats.org/officeDocument/2006/relationships/hyperlink" Target="https://drive.google.com/file/d/1Dxah26lx27tS7-YB0-TzPB3TD_dM45hO/view?usp=drivesdk" TargetMode="External"/><Relationship Id="rId7896" Type="http://schemas.openxmlformats.org/officeDocument/2006/relationships/hyperlink" Target="https://drive.google.com/file/d/1sEQECUT7EdlY5IdL0-xvAHh05JAGCU0J/view?usp=drivesdk" TargetMode="External"/><Relationship Id="rId5234" Type="http://schemas.openxmlformats.org/officeDocument/2006/relationships/hyperlink" Target="https://drive.google.com/file/d/1t7PzDxQMtNrwDHiDSDgVzAOH0xtCNENf/view?usp=drivesdk" TargetMode="External"/><Relationship Id="rId6565" Type="http://schemas.openxmlformats.org/officeDocument/2006/relationships/hyperlink" Target="https://drive.google.com/file/d/1XCyy_Rhe27akYd6rqfxv6OU7iZO8MokN/view?usp=drivesdk" TargetMode="External"/><Relationship Id="rId7895" Type="http://schemas.openxmlformats.org/officeDocument/2006/relationships/hyperlink" Target="https://drive.google.com/file/d/1iE0w6E2osCTNphUMZ6dPrikq9nPyX4aF/view?usp=drivesdk" TargetMode="External"/><Relationship Id="rId5231" Type="http://schemas.openxmlformats.org/officeDocument/2006/relationships/hyperlink" Target="https://drive.google.com/file/d/1NhBYnwBpKVBXYc86rhC9WuaIFcH3mtpc/view?usp=drivesdk" TargetMode="External"/><Relationship Id="rId6562" Type="http://schemas.openxmlformats.org/officeDocument/2006/relationships/hyperlink" Target="https://drive.google.com/file/d/1vMIWYfXrk9D75Kyp1g1UKDWUbL3KNMeZ/view?usp=drivesdk" TargetMode="External"/><Relationship Id="rId7894" Type="http://schemas.openxmlformats.org/officeDocument/2006/relationships/hyperlink" Target="https://drive.google.com/file/d/124a23zzmH1B1AP76UEAKrhZTa-M8NblY/view?usp=drivesdk" TargetMode="External"/><Relationship Id="rId5232" Type="http://schemas.openxmlformats.org/officeDocument/2006/relationships/hyperlink" Target="https://drive.google.com/file/d/1Gzoa6HTbk83toBJX1eRo7mMxJsbg37lK/view?usp=drivesdk" TargetMode="External"/><Relationship Id="rId6563" Type="http://schemas.openxmlformats.org/officeDocument/2006/relationships/hyperlink" Target="https://drive.google.com/file/d/1hi7cFMx-FcVptP5_p6Y5GaeQGXdV4IBX/view?usp=drivesdk" TargetMode="External"/><Relationship Id="rId7893" Type="http://schemas.openxmlformats.org/officeDocument/2006/relationships/hyperlink" Target="https://drive.google.com/file/d/1ApLc0b06FsUtBTCiZuvhG4BRwcdCSaX1/view?usp=drivesdk" TargetMode="External"/><Relationship Id="rId5237" Type="http://schemas.openxmlformats.org/officeDocument/2006/relationships/hyperlink" Target="https://drive.google.com/file/d/1AD3jLKueUa6XBQV0SThneltejinigEP9/view?usp=drivesdk" TargetMode="External"/><Relationship Id="rId6568" Type="http://schemas.openxmlformats.org/officeDocument/2006/relationships/hyperlink" Target="https://drive.google.com/file/d/1skjSIHpRS6pDwD7CeZFz7ecklcKHWRMI/view?usp=drivesdk" TargetMode="External"/><Relationship Id="rId10750" Type="http://schemas.openxmlformats.org/officeDocument/2006/relationships/hyperlink" Target="https://drive.google.com/file/d/1Y_UllqcQJgPF-PBIhbLqoHQi-G9DeNl2/view?usp=drivesdk" TargetMode="External"/><Relationship Id="rId5238" Type="http://schemas.openxmlformats.org/officeDocument/2006/relationships/hyperlink" Target="https://drive.google.com/file/d/1syFs3vxBeZd551T3HYSZD47hDWxHYA1o/view?usp=drivesdk" TargetMode="External"/><Relationship Id="rId6569" Type="http://schemas.openxmlformats.org/officeDocument/2006/relationships/hyperlink" Target="https://drive.google.com/file/d/1KlO762hT14pLY3TLv5kiMkDOqw78VpM3/view?usp=drivesdk" TargetMode="External"/><Relationship Id="rId7899" Type="http://schemas.openxmlformats.org/officeDocument/2006/relationships/hyperlink" Target="https://drive.google.com/file/d/1kl-hknGcRrqP9Ar4JGSgOtcheAWaHuwU/view?usp=drivesdk" TargetMode="External"/><Relationship Id="rId10751" Type="http://schemas.openxmlformats.org/officeDocument/2006/relationships/hyperlink" Target="https://drive.google.com/file/d/1Z-KZ7ROGIg__lHiADAaTEFVJVDNBOBET/view?usp=drivesdk" TargetMode="External"/><Relationship Id="rId5235" Type="http://schemas.openxmlformats.org/officeDocument/2006/relationships/hyperlink" Target="https://drive.google.com/file/d/1Mj8gKFzPnWdt4AZ9FaloZ_9EKMjthtuZ/view?usp=drivesdk" TargetMode="External"/><Relationship Id="rId6566" Type="http://schemas.openxmlformats.org/officeDocument/2006/relationships/hyperlink" Target="https://drive.google.com/file/d/1FN-OqjW7_GtY4F4pcJ7wjkRMj5C3eQHO/view?usp=drivesdk" TargetMode="External"/><Relationship Id="rId7898" Type="http://schemas.openxmlformats.org/officeDocument/2006/relationships/hyperlink" Target="https://drive.google.com/file/d/16ebK3MwzJPP9w96vEOYSw2GB58sJ7hYN/view?usp=drivesdk" TargetMode="External"/><Relationship Id="rId5236" Type="http://schemas.openxmlformats.org/officeDocument/2006/relationships/hyperlink" Target="https://drive.google.com/file/d/12MDGOgm5C8uPH5DsvHpx5KUWossSwiiO/view?usp=drivesdk" TargetMode="External"/><Relationship Id="rId6567" Type="http://schemas.openxmlformats.org/officeDocument/2006/relationships/hyperlink" Target="https://drive.google.com/file/d/1iVx6eUonpuI5GSoweYJIJq0_HHhXQs4S/view?usp=drivesdk" TargetMode="External"/><Relationship Id="rId7897" Type="http://schemas.openxmlformats.org/officeDocument/2006/relationships/hyperlink" Target="https://drive.google.com/file/d/1aDGqr13gUdV-OfbgAcDIFgMmhcKmzznU/view?usp=drivesdk" TargetMode="External"/><Relationship Id="rId5228" Type="http://schemas.openxmlformats.org/officeDocument/2006/relationships/hyperlink" Target="https://drive.google.com/file/d/1h9rhi3Etyul48mq1fbuPTiYV-SwDDXoS/view?usp=drivesdk" TargetMode="External"/><Relationship Id="rId6559" Type="http://schemas.openxmlformats.org/officeDocument/2006/relationships/hyperlink" Target="https://drive.google.com/file/d/1TZ4kh1zn18ERMcrPTAWDnADARcm8doW5/view?usp=drivesdk" TargetMode="External"/><Relationship Id="rId5229" Type="http://schemas.openxmlformats.org/officeDocument/2006/relationships/hyperlink" Target="https://drive.google.com/file/d/1m1jdvR688RRFXaFLyUqvSp0oafPi2qrj/view?usp=drivesdk" TargetMode="External"/><Relationship Id="rId10765" Type="http://schemas.openxmlformats.org/officeDocument/2006/relationships/hyperlink" Target="https://drive.google.com/file/d/1uU109aXBzY0PHhWHWvIQ0DOoUvNISxzs/view?usp=drivesdk" TargetMode="External"/><Relationship Id="rId10766" Type="http://schemas.openxmlformats.org/officeDocument/2006/relationships/hyperlink" Target="https://drive.google.com/file/d/1lo8X41G3Qp3WuLTGVn8wB_N-BusjxVwg/view?usp=drivesdk" TargetMode="External"/><Relationship Id="rId10763" Type="http://schemas.openxmlformats.org/officeDocument/2006/relationships/hyperlink" Target="https://drive.google.com/file/d/1Ia69TvzQd9u2bWe8tTW25zIiWQ-zt6ya/view?usp=drivesdk" TargetMode="External"/><Relationship Id="rId10764" Type="http://schemas.openxmlformats.org/officeDocument/2006/relationships/hyperlink" Target="https://drive.google.com/file/d/1vNGR61vyHLOuax1mkgyDLdBJQg2RuxzH/view?usp=drivesdk" TargetMode="External"/><Relationship Id="rId7881" Type="http://schemas.openxmlformats.org/officeDocument/2006/relationships/hyperlink" Target="https://drive.google.com/file/d/1IeuRYoEQxgxS19Ut2YU5W3HYA07EBUcj/view?usp=drivesdk" TargetMode="External"/><Relationship Id="rId10769" Type="http://schemas.openxmlformats.org/officeDocument/2006/relationships/hyperlink" Target="https://drive.google.com/file/d/104Oi1UXhCDNA41uQ6VwXyAn5dzI0OI8L/view?usp=drivesdk" TargetMode="External"/><Relationship Id="rId6550" Type="http://schemas.openxmlformats.org/officeDocument/2006/relationships/hyperlink" Target="https://drive.google.com/file/d/1pJ669xiamf7SPZcrC6TvmlsdA5CVfW_Y/view?usp=drivesdk" TargetMode="External"/><Relationship Id="rId7880" Type="http://schemas.openxmlformats.org/officeDocument/2006/relationships/hyperlink" Target="https://drive.google.com/file/d/1qhYh4yjk0J8a5cWv5XnaxwnP3O3WcUl-/view?usp=drivesdk" TargetMode="External"/><Relationship Id="rId10767" Type="http://schemas.openxmlformats.org/officeDocument/2006/relationships/hyperlink" Target="https://drive.google.com/file/d/1PhuuAiKCHNLhP4VmVP3HKRY36CPHVP2V/view?usp=drivesdk" TargetMode="External"/><Relationship Id="rId10768" Type="http://schemas.openxmlformats.org/officeDocument/2006/relationships/hyperlink" Target="https://drive.google.com/file/d/1Y7WIQs1MsYYm3EC09mNsuH6YW55ODnLm/view?usp=drivesdk" TargetMode="External"/><Relationship Id="rId396" Type="http://schemas.openxmlformats.org/officeDocument/2006/relationships/hyperlink" Target="https://drive.google.com/file/d/11JdB6m33KGTVeLwMV07Sv6BMMir-ufhs/view?usp=drivesdk" TargetMode="External"/><Relationship Id="rId5222" Type="http://schemas.openxmlformats.org/officeDocument/2006/relationships/hyperlink" Target="https://drive.google.com/file/d/1s_Ufa0p_AFsSH6bXVb0qe7yVn3nformq/view?usp=drivesdk" TargetMode="External"/><Relationship Id="rId6553" Type="http://schemas.openxmlformats.org/officeDocument/2006/relationships/hyperlink" Target="https://drive.google.com/file/d/12GZDUv6vPrW3n83ye93oO1NVyYNZl7xC/view?usp=drivesdk" TargetMode="External"/><Relationship Id="rId7885" Type="http://schemas.openxmlformats.org/officeDocument/2006/relationships/hyperlink" Target="https://drive.google.com/file/d/1PDt37VyDCP5IYxgkwisv21l6oZP45f4e/view?usp=drivesdk" TargetMode="External"/><Relationship Id="rId395" Type="http://schemas.openxmlformats.org/officeDocument/2006/relationships/hyperlink" Target="https://drive.google.com/file/d/1MgeA8gqrFVnqI9PJyh_Mvgh8zeicQphf/view?usp=drivesdk" TargetMode="External"/><Relationship Id="rId5223" Type="http://schemas.openxmlformats.org/officeDocument/2006/relationships/hyperlink" Target="https://drive.google.com/file/d/1V-dYPW8rDOsVec7XOok4jT1o9zYRiWF7/view?usp=drivesdk" TargetMode="External"/><Relationship Id="rId6554" Type="http://schemas.openxmlformats.org/officeDocument/2006/relationships/hyperlink" Target="https://drive.google.com/file/d/1tMVMo8Zc8AVdufH8U_zrTz5XxBI1F5KB/view?usp=drivesdk" TargetMode="External"/><Relationship Id="rId7884" Type="http://schemas.openxmlformats.org/officeDocument/2006/relationships/hyperlink" Target="https://drive.google.com/file/d/1LVF2zgdsDLzlr3krgfEYF41GxXYQ2bf9/view?usp=drivesdk" TargetMode="External"/><Relationship Id="rId394" Type="http://schemas.openxmlformats.org/officeDocument/2006/relationships/hyperlink" Target="https://drive.google.com/file/d/1oyW9yfflZBVTrWqrPt64yRQ1cPH4JVLh/view?usp=drivesdk" TargetMode="External"/><Relationship Id="rId5220" Type="http://schemas.openxmlformats.org/officeDocument/2006/relationships/hyperlink" Target="https://drive.google.com/file/d/1xkcFipvoGLQreOTjiP_EvRM_kaZhfPdn/view?usp=drivesdk" TargetMode="External"/><Relationship Id="rId6551" Type="http://schemas.openxmlformats.org/officeDocument/2006/relationships/hyperlink" Target="https://drive.google.com/file/d/1d0Z2dtjrVTqlZlcEXHMq1efAMrLV5MjS/view?usp=drivesdk" TargetMode="External"/><Relationship Id="rId7883" Type="http://schemas.openxmlformats.org/officeDocument/2006/relationships/hyperlink" Target="https://drive.google.com/file/d/1P_ejFo5q8xtCDTZfGI9ZL32rTXnu_gvw/view?usp=drivesdk" TargetMode="External"/><Relationship Id="rId393" Type="http://schemas.openxmlformats.org/officeDocument/2006/relationships/hyperlink" Target="https://drive.google.com/file/d/11A_lC39xjkBk8ltrjixvtn85m1p0p8IV/view?usp=drivesdk" TargetMode="External"/><Relationship Id="rId5221" Type="http://schemas.openxmlformats.org/officeDocument/2006/relationships/hyperlink" Target="https://drive.google.com/file/d/1nfZQMDRvYFSR8JgdY8l5g2Rkm-nvTJaI/view?usp=drivesdk" TargetMode="External"/><Relationship Id="rId6552" Type="http://schemas.openxmlformats.org/officeDocument/2006/relationships/hyperlink" Target="https://drive.google.com/file/d/16yYsf9gApE_2Jqb3SKt66moUVc36vfgS/view?usp=drivesdk" TargetMode="External"/><Relationship Id="rId7882" Type="http://schemas.openxmlformats.org/officeDocument/2006/relationships/hyperlink" Target="https://drive.google.com/file/d/1hq4FUVRFBbVeGivXfi17rg4DWXy1sUvo/view?usp=drivesdk" TargetMode="External"/><Relationship Id="rId5226" Type="http://schemas.openxmlformats.org/officeDocument/2006/relationships/hyperlink" Target="https://drive.google.com/file/d/1QA_b4hRV_okrj2E8KZTTiyapqnV4FwCn/view?usp=drivesdk" TargetMode="External"/><Relationship Id="rId6557" Type="http://schemas.openxmlformats.org/officeDocument/2006/relationships/hyperlink" Target="https://drive.google.com/file/d/1WP9GNqySxkgbPnB6nMR6es50vSEmpzF0/view?usp=drivesdk" TargetMode="External"/><Relationship Id="rId7889" Type="http://schemas.openxmlformats.org/officeDocument/2006/relationships/hyperlink" Target="https://drive.google.com/file/d/1-0-7sln5hHIiGYtvphuQRTWdTSMx9Eto/view?usp=drivesdk" TargetMode="External"/><Relationship Id="rId10761" Type="http://schemas.openxmlformats.org/officeDocument/2006/relationships/hyperlink" Target="https://drive.google.com/file/d/1xFWpvSbhE6_cesZiXlvN03hJhm9VKmQn/view?usp=drivesdk" TargetMode="External"/><Relationship Id="rId399" Type="http://schemas.openxmlformats.org/officeDocument/2006/relationships/hyperlink" Target="https://drive.google.com/file/d/1_rh1OvThmj9hlgTuIZCwhyzFx5trzPkr/view?usp=drivesdk" TargetMode="External"/><Relationship Id="rId5227" Type="http://schemas.openxmlformats.org/officeDocument/2006/relationships/hyperlink" Target="https://drive.google.com/file/d/1VIsHDHOMYv64p8BIQIY8SiC3Bzsb32NU/view?usp=drivesdk" TargetMode="External"/><Relationship Id="rId6558" Type="http://schemas.openxmlformats.org/officeDocument/2006/relationships/hyperlink" Target="https://drive.google.com/file/d/1gLtleYo0CRVc7jmJI149yXlUAZWASTOq/view?usp=drivesdk" TargetMode="External"/><Relationship Id="rId7888" Type="http://schemas.openxmlformats.org/officeDocument/2006/relationships/hyperlink" Target="https://drive.google.com/file/d/1envd7TnulXNDLiq1Nolpx2bG6EywnGP8/view?usp=drivesdk" TargetMode="External"/><Relationship Id="rId10762" Type="http://schemas.openxmlformats.org/officeDocument/2006/relationships/hyperlink" Target="https://drive.google.com/file/d/1b19eM-KLvQVtIq1xh2-r5TbLadTQVw3Y/view?usp=drivesdk" TargetMode="External"/><Relationship Id="rId398" Type="http://schemas.openxmlformats.org/officeDocument/2006/relationships/hyperlink" Target="https://drive.google.com/file/d/1jpaDy7S-p3kksPmxEDrYC0CJthsoZXW-/view?usp=drivesdk" TargetMode="External"/><Relationship Id="rId5224" Type="http://schemas.openxmlformats.org/officeDocument/2006/relationships/hyperlink" Target="https://drive.google.com/file/d/1hCfJRGJ3Wv37y3pk-FiCgAO42r4ma1yX/view?usp=drivesdk" TargetMode="External"/><Relationship Id="rId6555" Type="http://schemas.openxmlformats.org/officeDocument/2006/relationships/hyperlink" Target="https://drive.google.com/file/d/1u6Vzlfay3rUy5eQoListAwni3m9LL3gk/view?usp=drivesdk" TargetMode="External"/><Relationship Id="rId7887" Type="http://schemas.openxmlformats.org/officeDocument/2006/relationships/hyperlink" Target="https://drive.google.com/file/d/1GOHJQSoCN2RriSgbbKXIkJ0I66b2yuvp/view?usp=drivesdk" TargetMode="External"/><Relationship Id="rId397" Type="http://schemas.openxmlformats.org/officeDocument/2006/relationships/hyperlink" Target="https://drive.google.com/file/d/18yFpvvsV-OYpFpKbWSsAW9QOtewvy7Ox/view?usp=drivesdk" TargetMode="External"/><Relationship Id="rId5225" Type="http://schemas.openxmlformats.org/officeDocument/2006/relationships/hyperlink" Target="https://drive.google.com/file/d/17pItY68AUcGI-03ikNnhXnXzMPJ8HKmh/view?usp=drivesdk" TargetMode="External"/><Relationship Id="rId6556" Type="http://schemas.openxmlformats.org/officeDocument/2006/relationships/hyperlink" Target="https://drive.google.com/file/d/1HyWYUepl1byzaYoyM4Su_5ppJFJq7zRy/view?usp=drivesdk" TargetMode="External"/><Relationship Id="rId7886" Type="http://schemas.openxmlformats.org/officeDocument/2006/relationships/hyperlink" Target="https://drive.google.com/file/d/1YkOmEJpqlw4sGyHNNbDeJirRUe9R22Ga/view?usp=drivesdk" TargetMode="External"/><Relationship Id="rId10760" Type="http://schemas.openxmlformats.org/officeDocument/2006/relationships/hyperlink" Target="https://drive.google.com/file/d/1bcuCyrMKic05i5D2Ul0LY6FGJS686atW/view?usp=drivesdk" TargetMode="External"/><Relationship Id="rId5291" Type="http://schemas.openxmlformats.org/officeDocument/2006/relationships/hyperlink" Target="https://drive.google.com/file/d/11z-CeQ82tUGZ24ydCRhfzY6tAvcwQYcW/view?usp=drivesdk" TargetMode="External"/><Relationship Id="rId5292" Type="http://schemas.openxmlformats.org/officeDocument/2006/relationships/hyperlink" Target="https://drive.google.com/file/d/14HO2efN4UUMbJFiZ8zZZj4VYcf8Asc9m/view?usp=drivesdk" TargetMode="External"/><Relationship Id="rId5290" Type="http://schemas.openxmlformats.org/officeDocument/2006/relationships/hyperlink" Target="https://drive.google.com/file/d/1s5WK5q0I_qzRTt6Mr-K92DDBllsou68a/view?usp=drivesdk" TargetMode="External"/><Relationship Id="rId5295" Type="http://schemas.openxmlformats.org/officeDocument/2006/relationships/hyperlink" Target="https://drive.google.com/file/d/12SqjRI8FrvaOUDwCnBPx8aEGJEiWbAYS/view?usp=drivesdk" TargetMode="External"/><Relationship Id="rId5296" Type="http://schemas.openxmlformats.org/officeDocument/2006/relationships/hyperlink" Target="https://drive.google.com/file/d/1HXnozEU-jU92LRjETnj457c4cteRqiHC/view?usp=drivesdk" TargetMode="External"/><Relationship Id="rId5293" Type="http://schemas.openxmlformats.org/officeDocument/2006/relationships/hyperlink" Target="https://drive.google.com/file/d/1cWdu13wApFNFh7cAPiQHb4f-UeaQtnmX/view?usp=drivesdk" TargetMode="External"/><Relationship Id="rId5294" Type="http://schemas.openxmlformats.org/officeDocument/2006/relationships/hyperlink" Target="https://drive.google.com/file/d/1oaRPVcdNj3S0ykpJDAfGHGLjoOvqzgye/view?usp=drivesdk" TargetMode="External"/><Relationship Id="rId5299" Type="http://schemas.openxmlformats.org/officeDocument/2006/relationships/hyperlink" Target="https://drive.google.com/file/d/1_cLMpUqLkLPRImne-sdj5b2eswIbOmKm/view?usp=drivesdk" TargetMode="External"/><Relationship Id="rId5297" Type="http://schemas.openxmlformats.org/officeDocument/2006/relationships/hyperlink" Target="https://drive.google.com/file/d/1d6y6AQ0381W-tjz-6PYRpYL4u42j7m6N/view?usp=drivesdk" TargetMode="External"/><Relationship Id="rId5298" Type="http://schemas.openxmlformats.org/officeDocument/2006/relationships/hyperlink" Target="https://drive.google.com/file/d/13bbG0ANuzs1MnzBRvPgOyLYKbY5512R8/view?usp=drivesdk" TargetMode="External"/><Relationship Id="rId10707" Type="http://schemas.openxmlformats.org/officeDocument/2006/relationships/hyperlink" Target="https://drive.google.com/file/d/1coJ9qSkoXE8Hb6n47LeMbNC-1cVrBv6F/view?usp=drivesdk" TargetMode="External"/><Relationship Id="rId10708" Type="http://schemas.openxmlformats.org/officeDocument/2006/relationships/hyperlink" Target="https://drive.google.com/file/d/168-34wbBFyBSoENf6qtp_CIBmSC8wOtM/view?usp=drivesdk" TargetMode="External"/><Relationship Id="rId10705" Type="http://schemas.openxmlformats.org/officeDocument/2006/relationships/hyperlink" Target="https://drive.google.com/file/d/10ymSAWlEceJtK_dohi_7umF7rXp74i09/view?usp=drivesdk" TargetMode="External"/><Relationship Id="rId10706" Type="http://schemas.openxmlformats.org/officeDocument/2006/relationships/hyperlink" Target="https://drive.google.com/file/d/1Vxewv1g0MXx3tQ_oRkRZw0I6FXIWr-Tg/view?usp=drivesdk" TargetMode="External"/><Relationship Id="rId10709" Type="http://schemas.openxmlformats.org/officeDocument/2006/relationships/hyperlink" Target="https://drive.google.com/file/d/1nkb8Ot4F5Ci0IfX1eczLwV6lPphi4Dky/view?usp=drivesdk" TargetMode="External"/><Relationship Id="rId5280" Type="http://schemas.openxmlformats.org/officeDocument/2006/relationships/hyperlink" Target="https://drive.google.com/file/d/1qNgVmhpKfixEe6umkxMybEXKoC8uRXff/view?usp=drivesdk" TargetMode="External"/><Relationship Id="rId5281" Type="http://schemas.openxmlformats.org/officeDocument/2006/relationships/hyperlink" Target="https://drive.google.com/file/d/1NddDxwaSCphN4-fUYseLX7UN9Nn_RuYt/view?usp=drivesdk" TargetMode="External"/><Relationship Id="rId10700" Type="http://schemas.openxmlformats.org/officeDocument/2006/relationships/hyperlink" Target="https://drive.google.com/file/d/14_6FNQU9g7VL0g4oi7des2_nHtl6iPW6/view?usp=drivesdk" TargetMode="External"/><Relationship Id="rId5284" Type="http://schemas.openxmlformats.org/officeDocument/2006/relationships/hyperlink" Target="https://drive.google.com/file/d/1ndQcbbJEsieRFZ6_QXvUvaJUyjI_M-m8/view?usp=drivesdk" TargetMode="External"/><Relationship Id="rId10703" Type="http://schemas.openxmlformats.org/officeDocument/2006/relationships/hyperlink" Target="https://drive.google.com/file/d/1o4N6-xveou1ZHLlqQKAQyB8QToeMZ56x/view?usp=drivesdk" TargetMode="External"/><Relationship Id="rId5285" Type="http://schemas.openxmlformats.org/officeDocument/2006/relationships/hyperlink" Target="https://drive.google.com/file/d/1C-3KXbMWCARYjVkaxka_kuZ_z163qHhs/view?usp=drivesdk" TargetMode="External"/><Relationship Id="rId10704" Type="http://schemas.openxmlformats.org/officeDocument/2006/relationships/hyperlink" Target="https://drive.google.com/file/d/1DR749KfBpnZ079B1DTlpkhmWEGFEXD9L/view?usp=drivesdk" TargetMode="External"/><Relationship Id="rId5282" Type="http://schemas.openxmlformats.org/officeDocument/2006/relationships/hyperlink" Target="https://drive.google.com/file/d/1OPuBhveKGe4BhgsAd8XK6506jj0_lMwn/view?usp=drivesdk" TargetMode="External"/><Relationship Id="rId10701" Type="http://schemas.openxmlformats.org/officeDocument/2006/relationships/hyperlink" Target="https://drive.google.com/file/d/1Uyd0g_3QgM0rBvv3w7MZ3YDDXcRiQ_Ge/view?usp=drivesdk" TargetMode="External"/><Relationship Id="rId5283" Type="http://schemas.openxmlformats.org/officeDocument/2006/relationships/hyperlink" Target="https://drive.google.com/file/d/1LF8xPJ-JLdnWt54lh85Z0WtXZDFeOZDG/view?usp=drivesdk" TargetMode="External"/><Relationship Id="rId10702" Type="http://schemas.openxmlformats.org/officeDocument/2006/relationships/hyperlink" Target="https://drive.google.com/file/d/1nhcZ2XmoOQgU0t8KZVMXMIF3vmVNkrlT/view?usp=drivesdk" TargetMode="External"/><Relationship Id="rId5288" Type="http://schemas.openxmlformats.org/officeDocument/2006/relationships/hyperlink" Target="https://drive.google.com/file/d/1-Abi5srEKSZwFpBZvgyEEUEFWo0AQxcW/view?usp=drivesdk" TargetMode="External"/><Relationship Id="rId5289" Type="http://schemas.openxmlformats.org/officeDocument/2006/relationships/hyperlink" Target="https://drive.google.com/file/d/1RjRw6TeInexeEets0e1HSvyHs_cv99zZ/view?usp=drivesdk" TargetMode="External"/><Relationship Id="rId5286" Type="http://schemas.openxmlformats.org/officeDocument/2006/relationships/hyperlink" Target="https://drive.google.com/file/d/1Y8x7dRNThSmEsIVj0tWgAfmY38_WIcgH/view?usp=drivesdk" TargetMode="External"/><Relationship Id="rId5287" Type="http://schemas.openxmlformats.org/officeDocument/2006/relationships/hyperlink" Target="https://drive.google.com/file/d/1_yDqIrv4_INjlcEzwR-oV5H2Cwox7BOd/view?usp=drivesdk" TargetMode="External"/><Relationship Id="rId40" Type="http://schemas.openxmlformats.org/officeDocument/2006/relationships/hyperlink" Target="https://drive.google.com/file/d/1NXQuueQUVUHknssDtdpJOHZk9i_q6oBo/view?usp=drivesdk" TargetMode="External"/><Relationship Id="rId42" Type="http://schemas.openxmlformats.org/officeDocument/2006/relationships/hyperlink" Target="https://drive.google.com/file/d/19xRQ-vraXE_nC_s7JRD_Yg_edMnNbj0b/view?usp=drivesdk" TargetMode="External"/><Relationship Id="rId41" Type="http://schemas.openxmlformats.org/officeDocument/2006/relationships/hyperlink" Target="https://drive.google.com/file/d/1wAa-A__kcwlQdUJGj8hZ7mW4RBkqCRuw/view?usp=drivesdk" TargetMode="External"/><Relationship Id="rId44" Type="http://schemas.openxmlformats.org/officeDocument/2006/relationships/hyperlink" Target="https://drive.google.com/file/d/11IwskoPoHT6ltiCeFNaK0b4QWT3oLB9C/view?usp=drivesdk" TargetMode="External"/><Relationship Id="rId43" Type="http://schemas.openxmlformats.org/officeDocument/2006/relationships/hyperlink" Target="https://drive.google.com/file/d/1oo4Da621U6GkkoNzK-njwMAYfmk3U_G2/view?usp=drivesdk" TargetMode="External"/><Relationship Id="rId46" Type="http://schemas.openxmlformats.org/officeDocument/2006/relationships/hyperlink" Target="https://drive.google.com/file/d/1XUSKoRObrgA6pVHPIZnUiUEl0pgrG-Lx/view?usp=drivesdk" TargetMode="External"/><Relationship Id="rId45" Type="http://schemas.openxmlformats.org/officeDocument/2006/relationships/hyperlink" Target="https://drive.google.com/file/d/1ON2MxTBr1WaGmj2jcfHpxEY77u54srYT/view?usp=drivesdk" TargetMode="External"/><Relationship Id="rId48" Type="http://schemas.openxmlformats.org/officeDocument/2006/relationships/hyperlink" Target="https://drive.google.com/file/d/1tryYKZJ5y68mggcH8O8sL0IP8TC4ICyK/view?usp=drivesdk" TargetMode="External"/><Relationship Id="rId47" Type="http://schemas.openxmlformats.org/officeDocument/2006/relationships/hyperlink" Target="https://drive.google.com/file/d/15PhDS1w3arRjvw7kAjp7GIPxhly14Co4/view?usp=drivesdk" TargetMode="External"/><Relationship Id="rId49" Type="http://schemas.openxmlformats.org/officeDocument/2006/relationships/hyperlink" Target="https://drive.google.com/file/d/1ukJKtX7UINDJ4PkkNQWTeizPMP_6gHBg/view?usp=drivesdk" TargetMode="External"/><Relationship Id="rId31" Type="http://schemas.openxmlformats.org/officeDocument/2006/relationships/hyperlink" Target="https://drive.google.com/file/d/17KT6k7b-xGCp3-7kagY8lrEAEBPgqhuR/view?usp=drivesdk" TargetMode="External"/><Relationship Id="rId30" Type="http://schemas.openxmlformats.org/officeDocument/2006/relationships/hyperlink" Target="https://drive.google.com/file/d/1WyEfCQsJZq0blTyTsgkjta-gN3ErrgFh/view?usp=drivesdk" TargetMode="External"/><Relationship Id="rId33" Type="http://schemas.openxmlformats.org/officeDocument/2006/relationships/hyperlink" Target="https://drive.google.com/file/d/1yzGUx96-o8HShp0GGySDO34u2bbxzMCi/view?usp=drivesdk" TargetMode="External"/><Relationship Id="rId32" Type="http://schemas.openxmlformats.org/officeDocument/2006/relationships/hyperlink" Target="https://drive.google.com/file/d/1qcHRVHdIQaoItMqyGHirwN59xOANDlp6/view?usp=drivesdk" TargetMode="External"/><Relationship Id="rId35" Type="http://schemas.openxmlformats.org/officeDocument/2006/relationships/hyperlink" Target="https://drive.google.com/file/d/1yBz-YHkbgokWRiu6Vhl4DNpwIz2ODdh9/view?usp=drivesdk" TargetMode="External"/><Relationship Id="rId34" Type="http://schemas.openxmlformats.org/officeDocument/2006/relationships/hyperlink" Target="https://drive.google.com/file/d/1Ld4SMEKbpWYGG6kWXBnDUoKVgtn6RcoW/view?usp=drivesdk" TargetMode="External"/><Relationship Id="rId37" Type="http://schemas.openxmlformats.org/officeDocument/2006/relationships/hyperlink" Target="https://drive.google.com/file/d/1Z8TLetSbHQ7rycUkdrI80RADo3FkzX6w/view?usp=drivesdk" TargetMode="External"/><Relationship Id="rId36" Type="http://schemas.openxmlformats.org/officeDocument/2006/relationships/hyperlink" Target="https://drive.google.com/file/d/1DpL7wr1qqa_03LYvHgrMzXpoQ0EJYC4R/view?usp=drivesdk" TargetMode="External"/><Relationship Id="rId39" Type="http://schemas.openxmlformats.org/officeDocument/2006/relationships/hyperlink" Target="https://drive.google.com/file/d/1-Tznu-hmp7V8iRHDZ6J6mpjQ_73WcZP7/view?usp=drivesdk" TargetMode="External"/><Relationship Id="rId38" Type="http://schemas.openxmlformats.org/officeDocument/2006/relationships/hyperlink" Target="https://drive.google.com/file/d/1AhPrz2P747dFI9474_H_1TF-GaRDlX3R/view?usp=drivesdk" TargetMode="External"/><Relationship Id="rId20" Type="http://schemas.openxmlformats.org/officeDocument/2006/relationships/hyperlink" Target="https://drive.google.com/file/d/1EHqSaR6BpHi2QEbcEJyXvOufIaWG46LB/view?usp=drivesdk" TargetMode="External"/><Relationship Id="rId22" Type="http://schemas.openxmlformats.org/officeDocument/2006/relationships/hyperlink" Target="https://drive.google.com/file/d/1DpAorMqVOW3u3Ww0aHdpvn-IOCxvmi8i/view?usp=drivesdk" TargetMode="External"/><Relationship Id="rId21" Type="http://schemas.openxmlformats.org/officeDocument/2006/relationships/hyperlink" Target="https://drive.google.com/file/d/1p2bLn6iaOTDweQYbxOHEdbFVsAHBym5Z/view?usp=drivesdk" TargetMode="External"/><Relationship Id="rId24" Type="http://schemas.openxmlformats.org/officeDocument/2006/relationships/hyperlink" Target="https://drive.google.com/file/d/109kXVtHysBYIj01cna0uYPBBam6AnOWX/view?usp=drivesdk" TargetMode="External"/><Relationship Id="rId23" Type="http://schemas.openxmlformats.org/officeDocument/2006/relationships/hyperlink" Target="https://drive.google.com/file/d/1myKzmolRtQI89P5lLbUvi6b7been7h99/view?usp=drivesdk" TargetMode="External"/><Relationship Id="rId26" Type="http://schemas.openxmlformats.org/officeDocument/2006/relationships/hyperlink" Target="https://drive.google.com/file/d/10bD4f2ETio9CpbpZSgOOEb8wwasvPOni/view?usp=drivesdk" TargetMode="External"/><Relationship Id="rId25" Type="http://schemas.openxmlformats.org/officeDocument/2006/relationships/hyperlink" Target="https://drive.google.com/file/d/1Nthirzo-zkIeTQ1EdDiUHoX3j4AK3RSY/view?usp=drivesdk" TargetMode="External"/><Relationship Id="rId28" Type="http://schemas.openxmlformats.org/officeDocument/2006/relationships/hyperlink" Target="https://drive.google.com/file/d/1VuGwNlh9Gvp3CnwLqpuSPIiCdGmtnHbM/view?usp=drivesdk" TargetMode="External"/><Relationship Id="rId27" Type="http://schemas.openxmlformats.org/officeDocument/2006/relationships/hyperlink" Target="https://drive.google.com/file/d/1mRo39_A0u-FqCbLtk6DVMFHRhEMdPLVD/view?usp=drivesdk" TargetMode="External"/><Relationship Id="rId29" Type="http://schemas.openxmlformats.org/officeDocument/2006/relationships/hyperlink" Target="https://drive.google.com/file/d/10z7CYvboVwa-Kg8u4mYFD1A56GBW5Igo/view?usp=drivesdk" TargetMode="External"/><Relationship Id="rId11" Type="http://schemas.openxmlformats.org/officeDocument/2006/relationships/hyperlink" Target="https://drive.google.com/file/d/1GbkxLhDGXPYp_EeIjITC0HA-IwovIFEu/view?usp=drivesdk" TargetMode="External"/><Relationship Id="rId10" Type="http://schemas.openxmlformats.org/officeDocument/2006/relationships/hyperlink" Target="https://drive.google.com/file/d/1lAvZx9E4zbzHLmf1WAd-Jy48kDIj0iDg/view?usp=drivesdk" TargetMode="External"/><Relationship Id="rId13" Type="http://schemas.openxmlformats.org/officeDocument/2006/relationships/hyperlink" Target="https://drive.google.com/file/d/1pqPyhPt7alclYpmC6jjhk-ZvJTqVwn_f/view?usp=drivesdk" TargetMode="External"/><Relationship Id="rId12" Type="http://schemas.openxmlformats.org/officeDocument/2006/relationships/hyperlink" Target="https://drive.google.com/file/d/1Mbx7v0oj2tSP80aFtvcahf6NK4tcd5t4/view?usp=drivesdk" TargetMode="External"/><Relationship Id="rId15" Type="http://schemas.openxmlformats.org/officeDocument/2006/relationships/hyperlink" Target="https://drive.google.com/file/d/1G9UGg0unPFSqbWUhW-PRJuZk4gwVb1tN/view?usp=drivesdk" TargetMode="External"/><Relationship Id="rId14" Type="http://schemas.openxmlformats.org/officeDocument/2006/relationships/hyperlink" Target="https://drive.google.com/file/d/1QG_ez-5_sT4jWoNA2hOQDM5_T3w8gFgT/view?usp=drivesdk" TargetMode="External"/><Relationship Id="rId17" Type="http://schemas.openxmlformats.org/officeDocument/2006/relationships/hyperlink" Target="https://drive.google.com/file/d/1PClGLOD30ncMHDqvC-dgXNMwlC_cUx9e/view?usp=drivesdk" TargetMode="External"/><Relationship Id="rId16" Type="http://schemas.openxmlformats.org/officeDocument/2006/relationships/hyperlink" Target="https://drive.google.com/file/d/1yDB-diJ4di5QQD9g9LVw0uJMTsU2RTGj/view?usp=drivesdk" TargetMode="External"/><Relationship Id="rId19" Type="http://schemas.openxmlformats.org/officeDocument/2006/relationships/hyperlink" Target="https://drive.google.com/file/d/1HmV49TqD0EhgeEkh6eGnrIlGdpEWVLf5/view?usp=drivesdk" TargetMode="External"/><Relationship Id="rId18" Type="http://schemas.openxmlformats.org/officeDocument/2006/relationships/hyperlink" Target="https://drive.google.com/file/d/1fH8bFYAUrn7e2WzBBCI-eeW2oC5qzKw8/view?usp=drivesdk" TargetMode="External"/><Relationship Id="rId84" Type="http://schemas.openxmlformats.org/officeDocument/2006/relationships/hyperlink" Target="https://drive.google.com/file/d/1V07sEllXXO0aO3TcYQg57tTXxqzDoLYp/view?usp=drivesdk" TargetMode="External"/><Relationship Id="rId83" Type="http://schemas.openxmlformats.org/officeDocument/2006/relationships/hyperlink" Target="https://drive.google.com/file/d/1-KerM3u_NFJwR0PDT-Mv9gDGfm9afg0x/view?usp=drivesdk" TargetMode="External"/><Relationship Id="rId86" Type="http://schemas.openxmlformats.org/officeDocument/2006/relationships/hyperlink" Target="https://drive.google.com/file/d/1LrgyvP7_qS_3neqdIuF08etqe1Bx0WLx/view?usp=drivesdk" TargetMode="External"/><Relationship Id="rId85" Type="http://schemas.openxmlformats.org/officeDocument/2006/relationships/hyperlink" Target="https://drive.google.com/file/d/1BfgISoE_0xd_33G17QkGrKL3dm-N6MFJ/view?usp=drivesdk" TargetMode="External"/><Relationship Id="rId88" Type="http://schemas.openxmlformats.org/officeDocument/2006/relationships/hyperlink" Target="https://drive.google.com/file/d/1Lne-ot-WaAyz2ucWnrxTf0O0GkNhd5fd/view?usp=drivesdk" TargetMode="External"/><Relationship Id="rId87" Type="http://schemas.openxmlformats.org/officeDocument/2006/relationships/hyperlink" Target="https://drive.google.com/file/d/1sbTnvhUraMcbp55fIVxdOtXPK2t319gT/view?usp=drivesdk" TargetMode="External"/><Relationship Id="rId89" Type="http://schemas.openxmlformats.org/officeDocument/2006/relationships/hyperlink" Target="https://drive.google.com/file/d/1J4-ZbqbvKUEHdLOzaH4CbNShMfvXWTN7/view?usp=drivesdk" TargetMode="External"/><Relationship Id="rId80" Type="http://schemas.openxmlformats.org/officeDocument/2006/relationships/hyperlink" Target="https://drive.google.com/file/d/1AGXFpsDM-_Ih7aH1OhfYLmUTxPo7D35_/view?usp=drivesdk" TargetMode="External"/><Relationship Id="rId82" Type="http://schemas.openxmlformats.org/officeDocument/2006/relationships/hyperlink" Target="https://drive.google.com/file/d/1uNAQWYxMhOorC3wnDs8TB6oOK4wzZ4zt/view?usp=drivesdk" TargetMode="External"/><Relationship Id="rId81" Type="http://schemas.openxmlformats.org/officeDocument/2006/relationships/hyperlink" Target="https://drive.google.com/file/d/1co56FKu-TxCqoqfSQ6NHR7PWZPKgFZSx/view?usp=drivesdk" TargetMode="External"/><Relationship Id="rId73" Type="http://schemas.openxmlformats.org/officeDocument/2006/relationships/hyperlink" Target="https://drive.google.com/file/d/15TYP9oI3hA-8gaOA3k49Grmyfn3Gv6Ta/view?usp=drivesdk" TargetMode="External"/><Relationship Id="rId72" Type="http://schemas.openxmlformats.org/officeDocument/2006/relationships/hyperlink" Target="https://drive.google.com/file/d/13cI8LsFqA72BpJ9k2OXEjx8jPFO3eRhR/view?usp=drivesdk" TargetMode="External"/><Relationship Id="rId75" Type="http://schemas.openxmlformats.org/officeDocument/2006/relationships/hyperlink" Target="https://drive.google.com/file/d/1cmvenbbfPlAT9F8LGMn_w_gYlLFQZRVx/view?usp=drivesdk" TargetMode="External"/><Relationship Id="rId74" Type="http://schemas.openxmlformats.org/officeDocument/2006/relationships/hyperlink" Target="https://drive.google.com/file/d/1TVaS8Dj3ju1pYelXjPfxdOZQqF7JRd-u/view?usp=drivesdk" TargetMode="External"/><Relationship Id="rId77" Type="http://schemas.openxmlformats.org/officeDocument/2006/relationships/hyperlink" Target="https://drive.google.com/file/d/1jQHLeXjhbjd0Tv8wxBoQrbVk5iz3ZdmV/view?usp=drivesdk" TargetMode="External"/><Relationship Id="rId76" Type="http://schemas.openxmlformats.org/officeDocument/2006/relationships/hyperlink" Target="https://drive.google.com/file/d/12oLF1zn9wqevI2bND5NQqlBRYZyxdKvY/view?usp=drivesdk" TargetMode="External"/><Relationship Id="rId79" Type="http://schemas.openxmlformats.org/officeDocument/2006/relationships/hyperlink" Target="https://drive.google.com/file/d/1K75CWyQCfOrvFD80CMRGF00oU9c7X-tT/view?usp=drivesdk" TargetMode="External"/><Relationship Id="rId78" Type="http://schemas.openxmlformats.org/officeDocument/2006/relationships/hyperlink" Target="https://drive.google.com/file/d/1jkkn7jx8orQ6yPieFa-IbTQ1hKRBH8ug/view?usp=drivesdk" TargetMode="External"/><Relationship Id="rId71" Type="http://schemas.openxmlformats.org/officeDocument/2006/relationships/hyperlink" Target="https://drive.google.com/file/d/1TdHY27N5fsrDouw-gLYLgpmybhikRBKw/view?usp=drivesdk" TargetMode="External"/><Relationship Id="rId70" Type="http://schemas.openxmlformats.org/officeDocument/2006/relationships/hyperlink" Target="https://drive.google.com/file/d/1692RMHZMGzySNEKr61EXwrA1BgB7Y20p/view?usp=drivesdk" TargetMode="External"/><Relationship Id="rId62" Type="http://schemas.openxmlformats.org/officeDocument/2006/relationships/hyperlink" Target="https://drive.google.com/file/d/1heKWdMTPlAJfG6tZO9K-aQSNdCScWlnb/view?usp=drivesdk" TargetMode="External"/><Relationship Id="rId61" Type="http://schemas.openxmlformats.org/officeDocument/2006/relationships/hyperlink" Target="https://drive.google.com/file/d/12k9PNiHSDdCP24PEwcl5aADfNX34KLF3/view?usp=drivesdk" TargetMode="External"/><Relationship Id="rId64" Type="http://schemas.openxmlformats.org/officeDocument/2006/relationships/hyperlink" Target="https://drive.google.com/file/d/1XfiQ1hQA7OWgPJucgN_mJWxjGdjJGFd-/view?usp=drivesdk" TargetMode="External"/><Relationship Id="rId63" Type="http://schemas.openxmlformats.org/officeDocument/2006/relationships/hyperlink" Target="https://drive.google.com/file/d/16zIopBD7L5z2lJmk99GgTL0wrRIbimW5/view?usp=drivesdk" TargetMode="External"/><Relationship Id="rId66" Type="http://schemas.openxmlformats.org/officeDocument/2006/relationships/hyperlink" Target="https://drive.google.com/file/d/1gAtUPRxwqjuSAtYW73aMuv57lw7cqVPG/view?usp=drivesdk" TargetMode="External"/><Relationship Id="rId65" Type="http://schemas.openxmlformats.org/officeDocument/2006/relationships/hyperlink" Target="https://drive.google.com/file/d/1ZLhqV2xDS6blBakSIjTu6e190gDdeH-X/view?usp=drivesdk" TargetMode="External"/><Relationship Id="rId68" Type="http://schemas.openxmlformats.org/officeDocument/2006/relationships/hyperlink" Target="https://drive.google.com/file/d/1yO_SXJxa4Q9MJIlmN3I3BsJIy1HINHRZ/view?usp=drivesdk" TargetMode="External"/><Relationship Id="rId67" Type="http://schemas.openxmlformats.org/officeDocument/2006/relationships/hyperlink" Target="https://drive.google.com/file/d/1CkCAAjhLZg1LYR-uih88RnFBMEJypMD3/view?usp=drivesdk" TargetMode="External"/><Relationship Id="rId60" Type="http://schemas.openxmlformats.org/officeDocument/2006/relationships/hyperlink" Target="https://drive.google.com/file/d/1VpyqTGEbxQ5DPnh5mvUgGM8Fy684vO_3/view?usp=drivesdk" TargetMode="External"/><Relationship Id="rId69" Type="http://schemas.openxmlformats.org/officeDocument/2006/relationships/hyperlink" Target="https://drive.google.com/file/d/1n_PDLDAMuMgLvOokit3BpECHVqnD-M-F/view?usp=drivesdk" TargetMode="External"/><Relationship Id="rId51" Type="http://schemas.openxmlformats.org/officeDocument/2006/relationships/hyperlink" Target="https://drive.google.com/file/d/1BjJ6cmY_b4UfM5iJtkHIQV5fwtAqzOXx/view?usp=drivesdk" TargetMode="External"/><Relationship Id="rId50" Type="http://schemas.openxmlformats.org/officeDocument/2006/relationships/hyperlink" Target="https://drive.google.com/file/d/10a448mbNqPj4h8HRMsksH3XslNG2n-8t/view?usp=drivesdk" TargetMode="External"/><Relationship Id="rId53" Type="http://schemas.openxmlformats.org/officeDocument/2006/relationships/hyperlink" Target="https://drive.google.com/file/d/1HeEuH20b2DgSBqy8xMt2VYzYTbImavHg/view?usp=drivesdk" TargetMode="External"/><Relationship Id="rId52" Type="http://schemas.openxmlformats.org/officeDocument/2006/relationships/hyperlink" Target="https://drive.google.com/file/d/1U5ziM6uOWgzQIlaooQw4bTxrdoCMroyI/view?usp=drivesdk" TargetMode="External"/><Relationship Id="rId55" Type="http://schemas.openxmlformats.org/officeDocument/2006/relationships/hyperlink" Target="https://drive.google.com/file/d/1tUgB_Ss7Xv0tDyQs7BT9fVzorzUBK8Yu/view?usp=drivesdk" TargetMode="External"/><Relationship Id="rId54" Type="http://schemas.openxmlformats.org/officeDocument/2006/relationships/hyperlink" Target="https://drive.google.com/file/d/1HzKg9KZBY1VhkqlZBDHGJcQfh1KJiVbh/view?usp=drivesdk" TargetMode="External"/><Relationship Id="rId57" Type="http://schemas.openxmlformats.org/officeDocument/2006/relationships/hyperlink" Target="https://drive.google.com/file/d/1xTKizLOfSTzXbiLMtrzGQx3Q36L9FNY_/view?usp=drivesdk" TargetMode="External"/><Relationship Id="rId56" Type="http://schemas.openxmlformats.org/officeDocument/2006/relationships/hyperlink" Target="https://drive.google.com/file/d/1oR2-NMR5wwIu4XW8SgSFOxcHonWjYcPU/view?usp=drivesdk" TargetMode="External"/><Relationship Id="rId59" Type="http://schemas.openxmlformats.org/officeDocument/2006/relationships/hyperlink" Target="https://drive.google.com/file/d/184O9VR_TLuyvP9A7WdeP-iD-vPT0r97M/view?usp=drivesdk" TargetMode="External"/><Relationship Id="rId58" Type="http://schemas.openxmlformats.org/officeDocument/2006/relationships/hyperlink" Target="https://drive.google.com/file/d/1z2-qHxKAc7XY5CEB5svbvZcg_VTgMe2J/view?usp=drivesdk" TargetMode="External"/><Relationship Id="rId6627" Type="http://schemas.openxmlformats.org/officeDocument/2006/relationships/hyperlink" Target="https://drive.google.com/file/d/1n8nPVPE9LRJlSWfx9r5IfCofaqGAthT9/view?usp=drivesdk" TargetMode="External"/><Relationship Id="rId7959" Type="http://schemas.openxmlformats.org/officeDocument/2006/relationships/hyperlink" Target="https://drive.google.com/file/d/1_kAAPVPKzA-m53pLmuMXBtbsxjBKD5CE/view?usp=drivesdk" TargetMode="External"/><Relationship Id="rId6628" Type="http://schemas.openxmlformats.org/officeDocument/2006/relationships/hyperlink" Target="https://drive.google.com/file/d/1cKqXmtBft5VXSwAB8WmzgEoDQmGKJQoh/view?usp=drivesdk" TargetMode="External"/><Relationship Id="rId7958" Type="http://schemas.openxmlformats.org/officeDocument/2006/relationships/hyperlink" Target="https://drive.google.com/file/d/1M7Q457QSePgWnIGhTiNluPpM8gzLtLMF/view?usp=drivesdk" TargetMode="External"/><Relationship Id="rId6625" Type="http://schemas.openxmlformats.org/officeDocument/2006/relationships/hyperlink" Target="https://drive.google.com/file/d/1Z4qCt-dKftQwi9MBCRzXdVGwyTB8Asjc/view?usp=drivesdk" TargetMode="External"/><Relationship Id="rId7957" Type="http://schemas.openxmlformats.org/officeDocument/2006/relationships/hyperlink" Target="https://drive.google.com/file/d/1V017ThaNyLHAzic42T-WXDE1B3bLgC2-/view?usp=drivesdk" TargetMode="External"/><Relationship Id="rId6626" Type="http://schemas.openxmlformats.org/officeDocument/2006/relationships/hyperlink" Target="https://drive.google.com/file/d/1LnBrcAKandZFeO3o2V1xykl-mGvddjge/view?usp=drivesdk" TargetMode="External"/><Relationship Id="rId7956" Type="http://schemas.openxmlformats.org/officeDocument/2006/relationships/hyperlink" Target="https://drive.google.com/file/d/1l810yz884cn68UO_0L0CUT36sC-_XCG5/view?usp=drivesdk" TargetMode="External"/><Relationship Id="rId6629" Type="http://schemas.openxmlformats.org/officeDocument/2006/relationships/hyperlink" Target="https://drive.google.com/file/d/1Q0gCuntEi_xgVlrHNuaLlG5iH5g6dR6W/view?usp=drivesdk" TargetMode="External"/><Relationship Id="rId349" Type="http://schemas.openxmlformats.org/officeDocument/2006/relationships/hyperlink" Target="https://drive.google.com/file/d/18MoM34g1snEpfxRyID8iWmJd6FdKDLvc/view?usp=drivesdk" TargetMode="External"/><Relationship Id="rId348" Type="http://schemas.openxmlformats.org/officeDocument/2006/relationships/hyperlink" Target="https://drive.google.com/file/d/1Fbmf-zZaKs_QGxEnvaZbfNRXDNAvaA7a/view?usp=drivesdk" TargetMode="External"/><Relationship Id="rId347" Type="http://schemas.openxmlformats.org/officeDocument/2006/relationships/hyperlink" Target="https://drive.google.com/file/d/1PC0VJnBNlLFhKUjKiJTZzwnUVhXY0gf0/view?usp=drivesdk" TargetMode="External"/><Relationship Id="rId346" Type="http://schemas.openxmlformats.org/officeDocument/2006/relationships/hyperlink" Target="https://drive.google.com/file/d/1ybSKJHP0wApkQzJdcC7MelZOr77jMmaC/view?usp=drivesdk" TargetMode="External"/><Relationship Id="rId341" Type="http://schemas.openxmlformats.org/officeDocument/2006/relationships/hyperlink" Target="https://drive.google.com/file/d/1XHGJKZhCWJ-sD271ZJQ7mu7gWoGZ2Teo/view?usp=drivesdk" TargetMode="External"/><Relationship Id="rId7951" Type="http://schemas.openxmlformats.org/officeDocument/2006/relationships/hyperlink" Target="https://drive.google.com/file/d/117iAr1ORfBcpL3nHyrkhxS3TlclQZ69z/view?usp=drivesdk" TargetMode="External"/><Relationship Id="rId340" Type="http://schemas.openxmlformats.org/officeDocument/2006/relationships/hyperlink" Target="https://drive.google.com/file/d/1fcHjezWWESTPHXYbCw4CzY0ayxRF4iWZ/view?usp=drivesdk" TargetMode="External"/><Relationship Id="rId6620" Type="http://schemas.openxmlformats.org/officeDocument/2006/relationships/hyperlink" Target="https://drive.google.com/file/d/1gBFnFx1xnISWenzKlCVs65HETo3Sm7Ay/view?usp=drivesdk" TargetMode="External"/><Relationship Id="rId7950" Type="http://schemas.openxmlformats.org/officeDocument/2006/relationships/hyperlink" Target="https://drive.google.com/file/d/1WtO7PVmepgmB5Zy4SDVcXEf3FQ5oVlhL/view?usp=drivesdk" TargetMode="External"/><Relationship Id="rId345" Type="http://schemas.openxmlformats.org/officeDocument/2006/relationships/hyperlink" Target="https://drive.google.com/file/d/1SfhEWI24URDX_SsTN1y_TzDVcn03R7AH/view?usp=drivesdk" TargetMode="External"/><Relationship Id="rId6623" Type="http://schemas.openxmlformats.org/officeDocument/2006/relationships/hyperlink" Target="https://drive.google.com/file/d/1UM5o2-0Xpje1RZihSL3NlEDo1SY7Y_k8/view?usp=drivesdk" TargetMode="External"/><Relationship Id="rId7955" Type="http://schemas.openxmlformats.org/officeDocument/2006/relationships/hyperlink" Target="https://drive.google.com/file/d/187KfhDo_qB7twZSwTbyuVLKzGkEqEgVF/view?usp=drivesdk" TargetMode="External"/><Relationship Id="rId344" Type="http://schemas.openxmlformats.org/officeDocument/2006/relationships/hyperlink" Target="https://drive.google.com/file/d/1jbBX8LYqTLWiGtXaUbIBqqarRs13Ohrj/view?usp=drivesdk" TargetMode="External"/><Relationship Id="rId6624" Type="http://schemas.openxmlformats.org/officeDocument/2006/relationships/hyperlink" Target="https://drive.google.com/file/d/1eL1M13b90f3Aa_No6ckin1Nr-y_Nb8Ek/view?usp=drivesdk" TargetMode="External"/><Relationship Id="rId7954" Type="http://schemas.openxmlformats.org/officeDocument/2006/relationships/hyperlink" Target="https://drive.google.com/file/d/1uGOvjIwT9VIVGi4DP9aWfTGj0Ycmw-P-/view?usp=drivesdk" TargetMode="External"/><Relationship Id="rId343" Type="http://schemas.openxmlformats.org/officeDocument/2006/relationships/hyperlink" Target="https://drive.google.com/file/d/1_mXB-QVp1U3Pfx71sFeJpkGPpdKblixT/view?usp=drivesdk" TargetMode="External"/><Relationship Id="rId6621" Type="http://schemas.openxmlformats.org/officeDocument/2006/relationships/hyperlink" Target="https://drive.google.com/file/d/1mMWyiXMLphARyKL5MP_WY6d6Gf3Va2JL/view?usp=drivesdk" TargetMode="External"/><Relationship Id="rId7953" Type="http://schemas.openxmlformats.org/officeDocument/2006/relationships/hyperlink" Target="https://drive.google.com/file/d/1CA8rhjlD2gYRGqGcZlGBLiVRKFlhqpxA/view?usp=drivesdk" TargetMode="External"/><Relationship Id="rId342" Type="http://schemas.openxmlformats.org/officeDocument/2006/relationships/hyperlink" Target="https://drive.google.com/file/d/1lyej5ir_b4Q2iCapOTUBEtHCSVGAsHlj/view?usp=drivesdk" TargetMode="External"/><Relationship Id="rId6622" Type="http://schemas.openxmlformats.org/officeDocument/2006/relationships/hyperlink" Target="https://drive.google.com/file/d/1cytReAKv55YJwyyxd2HH1uSR9dxrsEOX/view?usp=drivesdk" TargetMode="External"/><Relationship Id="rId7952" Type="http://schemas.openxmlformats.org/officeDocument/2006/relationships/hyperlink" Target="https://drive.google.com/file/d/1bC_9TLakMokeTmujDyEngmLJ-AI9o3z3/view?usp=drivesdk" TargetMode="External"/><Relationship Id="rId6616" Type="http://schemas.openxmlformats.org/officeDocument/2006/relationships/hyperlink" Target="https://drive.google.com/file/d/1PEfRo6zxNUgI13NCDB3OBcNQD4EirBxr/view?usp=drivesdk" TargetMode="External"/><Relationship Id="rId7948" Type="http://schemas.openxmlformats.org/officeDocument/2006/relationships/hyperlink" Target="https://drive.google.com/file/d/1tdBddM1ZZ16MH9rbvbOC08vaDnAsdzTX/view?usp=drivesdk" TargetMode="External"/><Relationship Id="rId6617" Type="http://schemas.openxmlformats.org/officeDocument/2006/relationships/hyperlink" Target="https://drive.google.com/file/d/1AcPDRN8RqcF9VIwGksilnlbvT1c62WBu/view?usp=drivesdk" TargetMode="External"/><Relationship Id="rId7947" Type="http://schemas.openxmlformats.org/officeDocument/2006/relationships/hyperlink" Target="https://drive.google.com/file/d/1lE3S04qVqRjxhGeYUL337-yAvDTKg5UK/view?usp=drivesdk" TargetMode="External"/><Relationship Id="rId6614" Type="http://schemas.openxmlformats.org/officeDocument/2006/relationships/hyperlink" Target="https://drive.google.com/file/d/1-5FubO2jz2T40_8PIHfZoFbf0_xCveA7/view?usp=drivesdk" TargetMode="External"/><Relationship Id="rId7946" Type="http://schemas.openxmlformats.org/officeDocument/2006/relationships/hyperlink" Target="https://drive.google.com/file/d/1wxZDrjaNgo1kYKfClEH8010Ov3qWqqi_/view?usp=drivesdk" TargetMode="External"/><Relationship Id="rId6615" Type="http://schemas.openxmlformats.org/officeDocument/2006/relationships/hyperlink" Target="https://drive.google.com/file/d/1VyyNQl2sY28BYDW3yUxceWcJbWw0XIuc/view?usp=drivesdk" TargetMode="External"/><Relationship Id="rId7945" Type="http://schemas.openxmlformats.org/officeDocument/2006/relationships/hyperlink" Target="https://drive.google.com/file/d/1ng1Relam5srfs-vCFOdGdy7J849imszG/view?usp=drivesdk" TargetMode="External"/><Relationship Id="rId6618" Type="http://schemas.openxmlformats.org/officeDocument/2006/relationships/hyperlink" Target="https://drive.google.com/file/d/1kWawMIBfGkvO1jnmoHYi7XXxCcO0SQXk/view?usp=drivesdk" TargetMode="External"/><Relationship Id="rId6619" Type="http://schemas.openxmlformats.org/officeDocument/2006/relationships/hyperlink" Target="https://drive.google.com/file/d/1oUqcWX7PanZfQgWavbypucPtTP27r-7Y/view?usp=drivesdk" TargetMode="External"/><Relationship Id="rId7949" Type="http://schemas.openxmlformats.org/officeDocument/2006/relationships/hyperlink" Target="https://drive.google.com/file/d/12fYqyHlZHjC-K3PlBuBtr78IzE6rDely/view?usp=drivesdk" TargetMode="External"/><Relationship Id="rId338" Type="http://schemas.openxmlformats.org/officeDocument/2006/relationships/hyperlink" Target="https://drive.google.com/file/d/1dHXVYkJwShhZy9JHZLPNh7mCs_kZGUOj/view?usp=drivesdk" TargetMode="External"/><Relationship Id="rId337" Type="http://schemas.openxmlformats.org/officeDocument/2006/relationships/hyperlink" Target="https://drive.google.com/file/d/1CpEzLXX3CNk2xccpErw-Af3pqGfnCO2M/view?usp=drivesdk" TargetMode="External"/><Relationship Id="rId336" Type="http://schemas.openxmlformats.org/officeDocument/2006/relationships/hyperlink" Target="https://drive.google.com/file/d/1oncFJFtZr_lMch_4eYxUkT6Zec1-pWp9/view?usp=drivesdk" TargetMode="External"/><Relationship Id="rId335" Type="http://schemas.openxmlformats.org/officeDocument/2006/relationships/hyperlink" Target="https://drive.google.com/file/d/1tzINUp4v5BQ_x7uFkiVRuOsec58IVfai/view?usp=drivesdk" TargetMode="External"/><Relationship Id="rId339" Type="http://schemas.openxmlformats.org/officeDocument/2006/relationships/hyperlink" Target="https://drive.google.com/file/d/1j0PSJqx9yPa5J2VSU8E3SriCooYicPZu/view?usp=drivesdk" TargetMode="External"/><Relationship Id="rId330" Type="http://schemas.openxmlformats.org/officeDocument/2006/relationships/hyperlink" Target="https://drive.google.com/file/d/1LQ3ak7QmxppDWU76cFHIkPirAwo7E0Rf/view?usp=drivesdk" TargetMode="External"/><Relationship Id="rId7940" Type="http://schemas.openxmlformats.org/officeDocument/2006/relationships/hyperlink" Target="https://drive.google.com/file/d/1KlEFSaNWwws89KUE8CsntOvVwAAcfQ5k/view?usp=drivesdk" TargetMode="External"/><Relationship Id="rId334" Type="http://schemas.openxmlformats.org/officeDocument/2006/relationships/hyperlink" Target="https://drive.google.com/file/d/15l4k8MsVUNnEzNdfS0VCkEEl4DAj9fYc/view?usp=drivesdk" TargetMode="External"/><Relationship Id="rId6612" Type="http://schemas.openxmlformats.org/officeDocument/2006/relationships/hyperlink" Target="https://drive.google.com/file/d/1trJTILIbOHM5AtSXxZQW1E5flNgUhvyr/view?usp=drivesdk" TargetMode="External"/><Relationship Id="rId7944" Type="http://schemas.openxmlformats.org/officeDocument/2006/relationships/hyperlink" Target="https://drive.google.com/file/d/1kBZcAWf85kdU5VTijcUBblSVih-l2vNl/view?usp=drivesdk" TargetMode="External"/><Relationship Id="rId333" Type="http://schemas.openxmlformats.org/officeDocument/2006/relationships/hyperlink" Target="https://drive.google.com/file/d/1ucp8o7x3bxkt9qb4TgFBodVF94DfirtV/view?usp=drivesdk" TargetMode="External"/><Relationship Id="rId6613" Type="http://schemas.openxmlformats.org/officeDocument/2006/relationships/hyperlink" Target="https://drive.google.com/file/d/1sA_o95-in2T64nS9HclCcGAEBP_5cRxO/view?usp=drivesdk" TargetMode="External"/><Relationship Id="rId7943" Type="http://schemas.openxmlformats.org/officeDocument/2006/relationships/hyperlink" Target="https://drive.google.com/file/d/1VlpkvvZZPoJpK3AzhTkqEdy6Q80DkW8T/view?usp=drivesdk" TargetMode="External"/><Relationship Id="rId332" Type="http://schemas.openxmlformats.org/officeDocument/2006/relationships/hyperlink" Target="https://drive.google.com/file/d/1Rao3DMQk9GCfBJf8WdjQRtGG--X8V3KU/view?usp=drivesdk" TargetMode="External"/><Relationship Id="rId6610" Type="http://schemas.openxmlformats.org/officeDocument/2006/relationships/hyperlink" Target="https://drive.google.com/file/d/1amoFRvcsUo04bNGmdVCS9vqqiCMo9x-Z/view?usp=drivesdk" TargetMode="External"/><Relationship Id="rId7942" Type="http://schemas.openxmlformats.org/officeDocument/2006/relationships/hyperlink" Target="https://drive.google.com/file/d/1ttzAIetZPYs0E3QX9VGdnhW10dV1fI63/view?usp=drivesdk" TargetMode="External"/><Relationship Id="rId331" Type="http://schemas.openxmlformats.org/officeDocument/2006/relationships/hyperlink" Target="https://drive.google.com/file/d/1xibdt-DlmcRVhLvOsKajduWM7bWRv1-S/view?usp=drivesdk" TargetMode="External"/><Relationship Id="rId6611" Type="http://schemas.openxmlformats.org/officeDocument/2006/relationships/hyperlink" Target="https://drive.google.com/file/d/1Tek5ge3tlpMoI8HxekF2NFLbK6c8vUAz/view?usp=drivesdk" TargetMode="External"/><Relationship Id="rId7941" Type="http://schemas.openxmlformats.org/officeDocument/2006/relationships/hyperlink" Target="https://drive.google.com/file/d/1gEDYsk8n59lqKmFy74kBEpVS1URh53bE/view?usp=drivesdk" TargetMode="External"/><Relationship Id="rId5318" Type="http://schemas.openxmlformats.org/officeDocument/2006/relationships/hyperlink" Target="https://drive.google.com/file/d/1lLlWBs5wGckJl8ZkPZMnaOQg2uhPsFQo/view?usp=drivesdk" TargetMode="External"/><Relationship Id="rId6649" Type="http://schemas.openxmlformats.org/officeDocument/2006/relationships/hyperlink" Target="https://drive.google.com/file/d/1k5PhfKl4j0JfSmlqe_m3qFtP4qOcTgih/view?usp=drivesdk" TargetMode="External"/><Relationship Id="rId5319" Type="http://schemas.openxmlformats.org/officeDocument/2006/relationships/hyperlink" Target="https://drive.google.com/file/d/1onC-1qLixxI3sGtcHfLqVi8cRkfx07L7/view?usp=drivesdk" TargetMode="External"/><Relationship Id="rId5316" Type="http://schemas.openxmlformats.org/officeDocument/2006/relationships/hyperlink" Target="https://drive.google.com/file/d/1jh30kEKKX-IZMAT2q9wnvb9P4gTTsDXn/view?usp=drivesdk" TargetMode="External"/><Relationship Id="rId6647" Type="http://schemas.openxmlformats.org/officeDocument/2006/relationships/hyperlink" Target="https://drive.google.com/file/d/1OExjfn4uJjPg7PTTB-U6Xam68wHOvsuj/view?usp=drivesdk" TargetMode="External"/><Relationship Id="rId7979" Type="http://schemas.openxmlformats.org/officeDocument/2006/relationships/hyperlink" Target="https://drive.google.com/file/d/18-m6g_FbPYGEwUaUNCCgsenyX95YYJXb/view?usp=drivesdk" TargetMode="External"/><Relationship Id="rId5317" Type="http://schemas.openxmlformats.org/officeDocument/2006/relationships/hyperlink" Target="https://drive.google.com/file/d/12wRaXM0UXHXQttKSrR8lX_zmBKQkFW6h/view?usp=drivesdk" TargetMode="External"/><Relationship Id="rId6648" Type="http://schemas.openxmlformats.org/officeDocument/2006/relationships/hyperlink" Target="https://drive.google.com/file/d/1HL0I08PTAG1B1hqZyKsZasYNDFKguii7/view?usp=drivesdk" TargetMode="External"/><Relationship Id="rId7978" Type="http://schemas.openxmlformats.org/officeDocument/2006/relationships/hyperlink" Target="https://drive.google.com/file/d/1dpJoWLkQbLDYnVZ6DGQQu_szFN9ShV-P/view?usp=drivesdk" TargetMode="External"/><Relationship Id="rId370" Type="http://schemas.openxmlformats.org/officeDocument/2006/relationships/hyperlink" Target="https://drive.google.com/file/d/1qb7T1yL6Jqq6-X2SwqE6wDlGh8NAv-ci/view?usp=drivesdk" TargetMode="External"/><Relationship Id="rId10798" Type="http://schemas.openxmlformats.org/officeDocument/2006/relationships/hyperlink" Target="https://drive.google.com/file/d/1OEYvl8n3mGwfoqz9Z0RiJ-ZKD1san0lp/view?usp=drivesdk" TargetMode="External"/><Relationship Id="rId10799" Type="http://schemas.openxmlformats.org/officeDocument/2006/relationships/hyperlink" Target="https://drive.google.com/file/d/18wBlGzPnmn6iLq1la-f20CvxGa99_hhI/view?usp=drivesdk" TargetMode="External"/><Relationship Id="rId369" Type="http://schemas.openxmlformats.org/officeDocument/2006/relationships/hyperlink" Target="https://drive.google.com/file/d/1_IkZgdjK6zhuvUTrDKgjAAa6q2Te_lpH/view?usp=drivesdk" TargetMode="External"/><Relationship Id="rId10796" Type="http://schemas.openxmlformats.org/officeDocument/2006/relationships/hyperlink" Target="https://drive.google.com/file/d/1OwZkHWetjdxRG0T-v80e9Wvrk8JrJ1an/view?usp=drivesdk" TargetMode="External"/><Relationship Id="rId368" Type="http://schemas.openxmlformats.org/officeDocument/2006/relationships/hyperlink" Target="https://drive.google.com/file/d/10DeDcctaHM6fCAnXZt0nmwyXcBC5ymBd/view?usp=drivesdk" TargetMode="External"/><Relationship Id="rId10797" Type="http://schemas.openxmlformats.org/officeDocument/2006/relationships/hyperlink" Target="https://drive.google.com/file/d/1716lTgBoU-LxLPfYJa9DPjml9WxE0Sbp/view?usp=drivesdk" TargetMode="External"/><Relationship Id="rId363" Type="http://schemas.openxmlformats.org/officeDocument/2006/relationships/hyperlink" Target="https://drive.google.com/file/d/12m6rJimDKEf0h7JT70Wu-fxj5aD9Ba-4/view?usp=drivesdk" TargetMode="External"/><Relationship Id="rId5310" Type="http://schemas.openxmlformats.org/officeDocument/2006/relationships/hyperlink" Target="https://drive.google.com/file/d/1Mz7V7L3Ljq8mEZfEoodMmsNbVnfjlBZU/view?usp=drivesdk" TargetMode="External"/><Relationship Id="rId6641" Type="http://schemas.openxmlformats.org/officeDocument/2006/relationships/hyperlink" Target="https://drive.google.com/file/d/14vn4ie5UU-KPtpUfdPM40ksFMtpztS3K/view?usp=drivesdk" TargetMode="External"/><Relationship Id="rId7973" Type="http://schemas.openxmlformats.org/officeDocument/2006/relationships/hyperlink" Target="https://drive.google.com/file/d/1oC8WPUzWpnvVcW33SNOBokncRXdcWjGr/view?usp=drivesdk" TargetMode="External"/><Relationship Id="rId10790" Type="http://schemas.openxmlformats.org/officeDocument/2006/relationships/hyperlink" Target="https://drive.google.com/file/d/1uYQ9DFaK-FOv2ev0ADLnkes1BJJYD204/view?usp=drivesdk" TargetMode="External"/><Relationship Id="rId362" Type="http://schemas.openxmlformats.org/officeDocument/2006/relationships/hyperlink" Target="https://drive.google.com/file/d/1Sx8y11uT7T-LYPW4KCTMGonpB6cvxQMX/view?usp=drivesdk" TargetMode="External"/><Relationship Id="rId5311" Type="http://schemas.openxmlformats.org/officeDocument/2006/relationships/hyperlink" Target="https://drive.google.com/file/d/1Da8sfvLVO_uR2ZzA0Nt5LlajbzXiq_oe/view?usp=drivesdk" TargetMode="External"/><Relationship Id="rId6642" Type="http://schemas.openxmlformats.org/officeDocument/2006/relationships/hyperlink" Target="https://drive.google.com/file/d/1XlAQSZh1be9ipX8I0FWbhqS3m0PjOSxT/view?usp=drivesdk" TargetMode="External"/><Relationship Id="rId7972" Type="http://schemas.openxmlformats.org/officeDocument/2006/relationships/hyperlink" Target="https://drive.google.com/file/d/1dnWqvDIxvf60Y1zIFEDttAbR4HxIytrz/view?usp=drivesdk" TargetMode="External"/><Relationship Id="rId10791" Type="http://schemas.openxmlformats.org/officeDocument/2006/relationships/hyperlink" Target="https://drive.google.com/file/d/1W3trVU7MxrdPQ5OWYpaYwZ2y3LjoWnZF/view?usp=drivesdk" TargetMode="External"/><Relationship Id="rId361" Type="http://schemas.openxmlformats.org/officeDocument/2006/relationships/hyperlink" Target="https://drive.google.com/file/d/1C_9PeNhE5XoWWfW11vdv9jMO_rQSyr15/view?usp=drivesdk" TargetMode="External"/><Relationship Id="rId7971" Type="http://schemas.openxmlformats.org/officeDocument/2006/relationships/hyperlink" Target="https://drive.google.com/file/d/1sanEOEFYbwgrYOkiwVJ6_eA7bIHrN9R9/view?usp=drivesdk" TargetMode="External"/><Relationship Id="rId360" Type="http://schemas.openxmlformats.org/officeDocument/2006/relationships/hyperlink" Target="https://drive.google.com/file/d/15n81f4yQEhmOF0mptxbmE5KY19odgZyR/view?usp=drivesdk" TargetMode="External"/><Relationship Id="rId6640" Type="http://schemas.openxmlformats.org/officeDocument/2006/relationships/hyperlink" Target="https://drive.google.com/file/d/1aFWVM4CE-n7Pm9PYz5ImyWQjCpYVBC2K/view?usp=drivesdk" TargetMode="External"/><Relationship Id="rId7970" Type="http://schemas.openxmlformats.org/officeDocument/2006/relationships/hyperlink" Target="https://drive.google.com/file/d/124NKjTVlGtSUPcztf0TjZlROHnUkYxfX/view?usp=drivesdk" TargetMode="External"/><Relationship Id="rId367" Type="http://schemas.openxmlformats.org/officeDocument/2006/relationships/hyperlink" Target="https://drive.google.com/file/d/1SqAk68uMt5BD0bnAIVs2-p4kuNhUtmAA/view?usp=drivesdk" TargetMode="External"/><Relationship Id="rId5314" Type="http://schemas.openxmlformats.org/officeDocument/2006/relationships/hyperlink" Target="https://drive.google.com/file/d/14b4nNxNwxS7iqkllkS10wyx83aA9lQnW/view?usp=drivesdk" TargetMode="External"/><Relationship Id="rId6645" Type="http://schemas.openxmlformats.org/officeDocument/2006/relationships/hyperlink" Target="https://drive.google.com/file/d/1d0JPh61h1CaowS15a3vPpUJ0aaVtSaS3/view?usp=drivesdk" TargetMode="External"/><Relationship Id="rId7977" Type="http://schemas.openxmlformats.org/officeDocument/2006/relationships/hyperlink" Target="https://drive.google.com/file/d/1usPAxoHskhIDg_gDvZF_V0kw5qPLNFHc/view?usp=drivesdk" TargetMode="External"/><Relationship Id="rId10794" Type="http://schemas.openxmlformats.org/officeDocument/2006/relationships/hyperlink" Target="https://drive.google.com/file/d/1Kuy0vbSfOzhajQ5XeECcF3pXpoC9i_q_/view?usp=drivesdk" TargetMode="External"/><Relationship Id="rId366" Type="http://schemas.openxmlformats.org/officeDocument/2006/relationships/hyperlink" Target="https://drive.google.com/file/d/1AKqxx0AWkGkJ2EwYchAEGcH2_sYk2Q4P/view?usp=drivesdk" TargetMode="External"/><Relationship Id="rId5315" Type="http://schemas.openxmlformats.org/officeDocument/2006/relationships/hyperlink" Target="https://drive.google.com/file/d/1OZ436EMpNBaTCy9qMVKJzMhumg3BJWiA/view?usp=drivesdk" TargetMode="External"/><Relationship Id="rId6646" Type="http://schemas.openxmlformats.org/officeDocument/2006/relationships/hyperlink" Target="https://drive.google.com/file/d/1lYg6wEtKE4P0HjPNXXJBdv-xTo7NdcbN/view?usp=drivesdk" TargetMode="External"/><Relationship Id="rId7976" Type="http://schemas.openxmlformats.org/officeDocument/2006/relationships/hyperlink" Target="https://drive.google.com/file/d/1C2cC42hNEhZXkuIHzDtmRxMDN2NVv2gS/view?usp=drivesdk" TargetMode="External"/><Relationship Id="rId10795" Type="http://schemas.openxmlformats.org/officeDocument/2006/relationships/hyperlink" Target="https://drive.google.com/file/d/14OqnXtdj4zPILxC_cuFcWgwt4WdgMEQ4/view?usp=drivesdk" TargetMode="External"/><Relationship Id="rId365" Type="http://schemas.openxmlformats.org/officeDocument/2006/relationships/hyperlink" Target="https://drive.google.com/file/d/1zapTn2hCkMzdpg_U7xzLzK_NC9bmauEd/view?usp=drivesdk" TargetMode="External"/><Relationship Id="rId5312" Type="http://schemas.openxmlformats.org/officeDocument/2006/relationships/hyperlink" Target="https://drive.google.com/file/d/1--Y8sYXLyCiYgNumyIM_hVjIMmbWcx-X/view?usp=drivesdk" TargetMode="External"/><Relationship Id="rId6643" Type="http://schemas.openxmlformats.org/officeDocument/2006/relationships/hyperlink" Target="https://drive.google.com/file/d/1CDZ4dYrUd4M00bO2WMJ08Wmyxr5lyJiG/view?usp=drivesdk" TargetMode="External"/><Relationship Id="rId7975" Type="http://schemas.openxmlformats.org/officeDocument/2006/relationships/hyperlink" Target="https://drive.google.com/file/d/18GiVFPKS5m7Afi-WcJ_xRIzm7ftLdLRg/view?usp=drivesdk" TargetMode="External"/><Relationship Id="rId10792" Type="http://schemas.openxmlformats.org/officeDocument/2006/relationships/hyperlink" Target="https://drive.google.com/file/d/1HpOE1RF-qHclogonEhKiInE-1idFU011/view?usp=drivesdk" TargetMode="External"/><Relationship Id="rId364" Type="http://schemas.openxmlformats.org/officeDocument/2006/relationships/hyperlink" Target="https://drive.google.com/file/d/1OdDhwdA7yDA8zf14ZRgkEw5kMYJxHMtF/view?usp=drivesdk" TargetMode="External"/><Relationship Id="rId5313" Type="http://schemas.openxmlformats.org/officeDocument/2006/relationships/hyperlink" Target="https://drive.google.com/file/d/1pBYSJIH47YTCke1MJhsi9QSXvWd3Qn0G/view?usp=drivesdk" TargetMode="External"/><Relationship Id="rId6644" Type="http://schemas.openxmlformats.org/officeDocument/2006/relationships/hyperlink" Target="https://drive.google.com/file/d/1_Gdoza14n9bDnM_sLBGImVTD-DiVf1lD/view?usp=drivesdk" TargetMode="External"/><Relationship Id="rId7974" Type="http://schemas.openxmlformats.org/officeDocument/2006/relationships/hyperlink" Target="https://drive.google.com/file/d/1lijmIUrx2wQPjXx1q6XcB-44wr4Or1jC/view?usp=drivesdk" TargetMode="External"/><Relationship Id="rId10793" Type="http://schemas.openxmlformats.org/officeDocument/2006/relationships/hyperlink" Target="https://drive.google.com/file/d/1uVf6HL47RNXoHsAgGh5jBOj5BdgzQH4z/view?usp=drivesdk" TargetMode="External"/><Relationship Id="rId95" Type="http://schemas.openxmlformats.org/officeDocument/2006/relationships/hyperlink" Target="https://drive.google.com/file/d/1RI2FgvuKzUiKE7kfH_2BErdW3DReFc75/view?usp=drivesdk" TargetMode="External"/><Relationship Id="rId5307" Type="http://schemas.openxmlformats.org/officeDocument/2006/relationships/hyperlink" Target="https://drive.google.com/file/d/1t08H5KquaXnPo2x_ntQwoll-AylSZfZj/view?usp=drivesdk" TargetMode="External"/><Relationship Id="rId6638" Type="http://schemas.openxmlformats.org/officeDocument/2006/relationships/hyperlink" Target="https://drive.google.com/file/d/198dZprrCgQqRL0tOenVeK28GXeQxms-W/view?usp=drivesdk" TargetMode="External"/><Relationship Id="rId94" Type="http://schemas.openxmlformats.org/officeDocument/2006/relationships/hyperlink" Target="https://drive.google.com/file/d/1Qxba4TOdo75ICqz0IgihVGwhNOfmSwrp/view?usp=drivesdk" TargetMode="External"/><Relationship Id="rId5308" Type="http://schemas.openxmlformats.org/officeDocument/2006/relationships/hyperlink" Target="https://drive.google.com/file/d/1t_kM241UPsd0Gs-PxNcTijzYW6Nq4Aj5/view?usp=drivesdk" TargetMode="External"/><Relationship Id="rId6639" Type="http://schemas.openxmlformats.org/officeDocument/2006/relationships/hyperlink" Target="https://drive.google.com/file/d/1htwePqEXvxHcYh6ZLXYbFfxZzmttJvJj/view?usp=drivesdk" TargetMode="External"/><Relationship Id="rId7969" Type="http://schemas.openxmlformats.org/officeDocument/2006/relationships/hyperlink" Target="https://drive.google.com/file/d/13riJv8Ag2w2gwr-mcNrm5zL44dDqeY8j/view?usp=drivesdk" TargetMode="External"/><Relationship Id="rId97" Type="http://schemas.openxmlformats.org/officeDocument/2006/relationships/hyperlink" Target="https://drive.google.com/file/d/1uo8yP_HigRD8KrqidPKDZDW4MLOZ0E10/view?usp=drivesdk" TargetMode="External"/><Relationship Id="rId5305" Type="http://schemas.openxmlformats.org/officeDocument/2006/relationships/hyperlink" Target="https://drive.google.com/file/d/1_w7SaL0ibgmfVku5hDoxQ418XqRQdDPk/view?usp=drivesdk" TargetMode="External"/><Relationship Id="rId6636" Type="http://schemas.openxmlformats.org/officeDocument/2006/relationships/hyperlink" Target="https://drive.google.com/file/d/187pomCOOZLYTIGbVRL0lVudzVrcLF-PJ/view?usp=drivesdk" TargetMode="External"/><Relationship Id="rId7968" Type="http://schemas.openxmlformats.org/officeDocument/2006/relationships/hyperlink" Target="https://drive.google.com/file/d/18jnynZ7IMLJ89QjKm1qs1VccLcBc5z6S/view?usp=drivesdk" TargetMode="External"/><Relationship Id="rId96" Type="http://schemas.openxmlformats.org/officeDocument/2006/relationships/hyperlink" Target="https://drive.google.com/file/d/1Fc8z-rf9ItSATVTWviBiqXaavcg5buIR/view?usp=drivesdk" TargetMode="External"/><Relationship Id="rId5306" Type="http://schemas.openxmlformats.org/officeDocument/2006/relationships/hyperlink" Target="https://drive.google.com/file/d/15mnqyZtgbD8tMLdSRqT8HWU3tiJ_3yn5/view?usp=drivesdk" TargetMode="External"/><Relationship Id="rId6637" Type="http://schemas.openxmlformats.org/officeDocument/2006/relationships/hyperlink" Target="https://drive.google.com/file/d/1wGK8fUjX0oVt1aSKguB-87z2lD2l2Tju/view?usp=drivesdk" TargetMode="External"/><Relationship Id="rId7967" Type="http://schemas.openxmlformats.org/officeDocument/2006/relationships/hyperlink" Target="https://drive.google.com/file/d/1jOt7rYDsj6rIBBRVKTGjzIpio8aHMdXI/view?usp=drivesdk" TargetMode="External"/><Relationship Id="rId99" Type="http://schemas.openxmlformats.org/officeDocument/2006/relationships/hyperlink" Target="https://drive.google.com/file/d/107S-8tVO5LTMxiGNs7iF39oAYsEglGCY/view?usp=drivesdk" TargetMode="External"/><Relationship Id="rId98" Type="http://schemas.openxmlformats.org/officeDocument/2006/relationships/hyperlink" Target="https://drive.google.com/file/d/1UQZRq3uEkaN2YkETrrqdPjOg5oo8OTLK/view?usp=drivesdk" TargetMode="External"/><Relationship Id="rId5309" Type="http://schemas.openxmlformats.org/officeDocument/2006/relationships/hyperlink" Target="https://drive.google.com/file/d/1Glzx0RuWmJF8em6wgGGzO6eSbM8lqZGg/view?usp=drivesdk" TargetMode="External"/><Relationship Id="rId91" Type="http://schemas.openxmlformats.org/officeDocument/2006/relationships/hyperlink" Target="https://drive.google.com/file/d/1GYoIWWqqSuwQUa68zmEaXqNknmLc8CWp/view?usp=drivesdk" TargetMode="External"/><Relationship Id="rId90" Type="http://schemas.openxmlformats.org/officeDocument/2006/relationships/hyperlink" Target="https://drive.google.com/file/d/1pI0qEaWbC6cHkbmzr3VfX15_sziIDgSf/view?usp=drivesdk" TargetMode="External"/><Relationship Id="rId93" Type="http://schemas.openxmlformats.org/officeDocument/2006/relationships/hyperlink" Target="https://drive.google.com/file/d/1fInGMuum2Zy-IO68g_ub0ryMoaD1D_KG/view?usp=drivesdk" TargetMode="External"/><Relationship Id="rId92" Type="http://schemas.openxmlformats.org/officeDocument/2006/relationships/hyperlink" Target="https://drive.google.com/file/d/1Ru53sB3BS1c1nreyZFzvejdqUMb5q8yw/view?usp=drivesdk" TargetMode="External"/><Relationship Id="rId359" Type="http://schemas.openxmlformats.org/officeDocument/2006/relationships/hyperlink" Target="https://drive.google.com/file/d/1b_-g0SOm_XYLFnSutfG7znEECjEWu6Mp/view?usp=drivesdk" TargetMode="External"/><Relationship Id="rId358" Type="http://schemas.openxmlformats.org/officeDocument/2006/relationships/hyperlink" Target="https://drive.google.com/file/d/162inUAtQkXWiFsH7735gHdCqTzwS6W19/view?usp=drivesdk" TargetMode="External"/><Relationship Id="rId357" Type="http://schemas.openxmlformats.org/officeDocument/2006/relationships/hyperlink" Target="https://drive.google.com/file/d/13kFqy2vc2NXOZn5Nvm-CIEG-kPSVyoBq/view?usp=drivesdk" TargetMode="External"/><Relationship Id="rId352" Type="http://schemas.openxmlformats.org/officeDocument/2006/relationships/hyperlink" Target="https://drive.google.com/file/d/1o0fTIMqUPBPLxK1zrNwAvpSs-_dkGnb2/view?usp=drivesdk" TargetMode="External"/><Relationship Id="rId6630" Type="http://schemas.openxmlformats.org/officeDocument/2006/relationships/hyperlink" Target="https://drive.google.com/file/d/19JO9pzp5wdadrD7mKtZuC0thxTJcj3Ji/view?usp=drivesdk" TargetMode="External"/><Relationship Id="rId7962" Type="http://schemas.openxmlformats.org/officeDocument/2006/relationships/hyperlink" Target="https://drive.google.com/file/d/1BKShnFex10StTiHVKCfiGnYI7qGOxVVM/view?usp=drivesdk" TargetMode="External"/><Relationship Id="rId351" Type="http://schemas.openxmlformats.org/officeDocument/2006/relationships/hyperlink" Target="https://drive.google.com/file/d/1CjP8rRL93dvRsA9HWl_eyLVayiQgykPp/view?usp=drivesdk" TargetMode="External"/><Relationship Id="rId5300" Type="http://schemas.openxmlformats.org/officeDocument/2006/relationships/hyperlink" Target="https://drive.google.com/file/d/1Y5k7-SUbX7TGFnk8bnP9eXcKAELOBFCW/view?usp=drivesdk" TargetMode="External"/><Relationship Id="rId6631" Type="http://schemas.openxmlformats.org/officeDocument/2006/relationships/hyperlink" Target="https://drive.google.com/file/d/1QwcDiX265XH4lM6276Uq6Pg-sMiuV4Bp/view?usp=drivesdk" TargetMode="External"/><Relationship Id="rId7961" Type="http://schemas.openxmlformats.org/officeDocument/2006/relationships/hyperlink" Target="https://drive.google.com/file/d/1wNz-BmE6PkrscrlZLUBSDpYzYQTh6zVv/view?usp=drivesdk" TargetMode="External"/><Relationship Id="rId350" Type="http://schemas.openxmlformats.org/officeDocument/2006/relationships/hyperlink" Target="https://drive.google.com/file/d/1FfUjzYWZ2xufVl-dJxOf6acC3lJQ5T_2/view?usp=drivesdk" TargetMode="External"/><Relationship Id="rId7960" Type="http://schemas.openxmlformats.org/officeDocument/2006/relationships/hyperlink" Target="https://drive.google.com/file/d/1PG8yE7bdvb2rdIdnO0jLohcZOyyErOb2/view?usp=drivesdk" TargetMode="External"/><Relationship Id="rId356" Type="http://schemas.openxmlformats.org/officeDocument/2006/relationships/hyperlink" Target="https://drive.google.com/file/d/1NzBD0Ve7LOSluIuXjYNS4BfXu054qATL/view?usp=drivesdk" TargetMode="External"/><Relationship Id="rId5303" Type="http://schemas.openxmlformats.org/officeDocument/2006/relationships/hyperlink" Target="https://drive.google.com/file/d/1yI5Au2dGKbMKxbyc1Od38jtY7G1UW08G/view?usp=drivesdk" TargetMode="External"/><Relationship Id="rId6634" Type="http://schemas.openxmlformats.org/officeDocument/2006/relationships/hyperlink" Target="https://drive.google.com/file/d/1ch_qiLN5xteQIZohvSbFLj0ySgQMf278/view?usp=drivesdk" TargetMode="External"/><Relationship Id="rId7966" Type="http://schemas.openxmlformats.org/officeDocument/2006/relationships/hyperlink" Target="https://drive.google.com/file/d/16x-ijpBLn0MRGwceIDPkkNhQGalwKWSh/view?usp=drivesdk" TargetMode="External"/><Relationship Id="rId355" Type="http://schemas.openxmlformats.org/officeDocument/2006/relationships/hyperlink" Target="https://drive.google.com/file/d/1GldeYnFP7laCA7g-Oa-BgB3dAawo0lI4/view?usp=drivesdk" TargetMode="External"/><Relationship Id="rId5304" Type="http://schemas.openxmlformats.org/officeDocument/2006/relationships/hyperlink" Target="https://drive.google.com/file/d/1UNFSt6u1udySpRPtN-Bdqvt-stgyTUlD/view?usp=drivesdk" TargetMode="External"/><Relationship Id="rId6635" Type="http://schemas.openxmlformats.org/officeDocument/2006/relationships/hyperlink" Target="https://drive.google.com/file/d/10nw7uXdr5LUdX0YqHeCQehRV4UrcuZ52/view?usp=drivesdk" TargetMode="External"/><Relationship Id="rId7965" Type="http://schemas.openxmlformats.org/officeDocument/2006/relationships/hyperlink" Target="https://drive.google.com/file/d/1MxUccWvqbhrNgE6IsrFW5hCwrBaRB_MZ/view?usp=drivesdk" TargetMode="External"/><Relationship Id="rId354" Type="http://schemas.openxmlformats.org/officeDocument/2006/relationships/hyperlink" Target="https://drive.google.com/file/d/14Fp_qshrMs8zerDvx-JzloUEUtBedP4a/view?usp=drivesdk" TargetMode="External"/><Relationship Id="rId5301" Type="http://schemas.openxmlformats.org/officeDocument/2006/relationships/hyperlink" Target="https://drive.google.com/file/d/1OhZv0MQqPzeQY-OEMvwe04j9FLsO-Ig-/view?usp=drivesdk" TargetMode="External"/><Relationship Id="rId6632" Type="http://schemas.openxmlformats.org/officeDocument/2006/relationships/hyperlink" Target="https://drive.google.com/file/d/12z3NJNqfWu_Pl_Lr3k1hFC2Ejwaz3dZs/view?usp=drivesdk" TargetMode="External"/><Relationship Id="rId7964" Type="http://schemas.openxmlformats.org/officeDocument/2006/relationships/hyperlink" Target="https://drive.google.com/file/d/1daDgcwZLvFsvmzRGMhozo771dyZQmu0P/view?usp=drivesdk" TargetMode="External"/><Relationship Id="rId353" Type="http://schemas.openxmlformats.org/officeDocument/2006/relationships/hyperlink" Target="https://drive.google.com/file/d/1YS1GvFScgTaQNgTDnsUuLXDc23o9V_cW/view?usp=drivesdk" TargetMode="External"/><Relationship Id="rId5302" Type="http://schemas.openxmlformats.org/officeDocument/2006/relationships/hyperlink" Target="https://drive.google.com/file/d/1JSY-zVgAiPV22dXlReSupkxxIlWCdVtD/view?usp=drivesdk" TargetMode="External"/><Relationship Id="rId6633" Type="http://schemas.openxmlformats.org/officeDocument/2006/relationships/hyperlink" Target="https://drive.google.com/file/d/11kuEIFqTDih6652m_SMemI-NF-9Apit_/view?usp=drivesdk" TargetMode="External"/><Relationship Id="rId7963" Type="http://schemas.openxmlformats.org/officeDocument/2006/relationships/hyperlink" Target="https://drive.google.com/file/d/1N9ijXamaGOKDI1TEAAoeA0IrYlN-w60j/view?usp=drivesdk" TargetMode="External"/><Relationship Id="rId7915" Type="http://schemas.openxmlformats.org/officeDocument/2006/relationships/hyperlink" Target="https://drive.google.com/file/d/1Ujfl2XnNmSn2l9nVBr0C8sYTNYuA70rT/view?usp=drivesdk" TargetMode="External"/><Relationship Id="rId7914" Type="http://schemas.openxmlformats.org/officeDocument/2006/relationships/hyperlink" Target="https://drive.google.com/file/d/1ZWTHWC29sNRT2WpzrsKMEHAVKDGyP8X_/view?usp=drivesdk" TargetMode="External"/><Relationship Id="rId7913" Type="http://schemas.openxmlformats.org/officeDocument/2006/relationships/hyperlink" Target="https://drive.google.com/file/d/1fEQ_dLPEhJ48_zYtBovM5JDake0qPwHc/view?usp=drivesdk" TargetMode="External"/><Relationship Id="rId7912" Type="http://schemas.openxmlformats.org/officeDocument/2006/relationships/hyperlink" Target="https://drive.google.com/file/d/178F71g7PYPr2w0cQh1e8nxWdH0YyTeUI/view?usp=drivesdk" TargetMode="External"/><Relationship Id="rId7919" Type="http://schemas.openxmlformats.org/officeDocument/2006/relationships/hyperlink" Target="https://drive.google.com/file/d/1trfk4dnM7ChkBLQyiTsyN10tPbBJIQol/view?usp=drivesdk" TargetMode="External"/><Relationship Id="rId7918" Type="http://schemas.openxmlformats.org/officeDocument/2006/relationships/hyperlink" Target="https://drive.google.com/file/d/1WMhy6amIFjgcq9iKG-HN5yznlIdspb6_/view?usp=drivesdk" TargetMode="External"/><Relationship Id="rId7917" Type="http://schemas.openxmlformats.org/officeDocument/2006/relationships/hyperlink" Target="https://drive.google.com/file/d/1efO7EJK_w8_tnpapXvUrBEQ5u0t7fEtO/view?usp=drivesdk" TargetMode="External"/><Relationship Id="rId7916" Type="http://schemas.openxmlformats.org/officeDocument/2006/relationships/hyperlink" Target="https://drive.google.com/file/d/1u77NokkLC7IuUag-2e7aYQ6lj-8rW2c8/view?usp=drivesdk" TargetMode="External"/><Relationship Id="rId305" Type="http://schemas.openxmlformats.org/officeDocument/2006/relationships/hyperlink" Target="https://drive.google.com/file/d/1OcBxjJv4wjqVecyUTKIeoPzZUinlD1w-/view?usp=drivesdk" TargetMode="External"/><Relationship Id="rId304" Type="http://schemas.openxmlformats.org/officeDocument/2006/relationships/hyperlink" Target="https://drive.google.com/file/d/1PBsH9r5ZAxoVOg0e1oE1Jjsv6rMOQQG7/view?usp=drivesdk" TargetMode="External"/><Relationship Id="rId303" Type="http://schemas.openxmlformats.org/officeDocument/2006/relationships/hyperlink" Target="https://drive.google.com/file/d/16IsET_4ico4RY1kIokcNSZpfAXiuhVi5/view?usp=drivesdk" TargetMode="External"/><Relationship Id="rId302" Type="http://schemas.openxmlformats.org/officeDocument/2006/relationships/hyperlink" Target="https://drive.google.com/file/d/11usDHhGk-VEQ5c9w6B-pV1BXlAoAq15C/view?usp=drivesdk" TargetMode="External"/><Relationship Id="rId309" Type="http://schemas.openxmlformats.org/officeDocument/2006/relationships/hyperlink" Target="https://drive.google.com/file/d/1QWIRBajTcuL_nfyfxHu_5O4RcT6kLiw2/view?usp=drivesdk" TargetMode="External"/><Relationship Id="rId308" Type="http://schemas.openxmlformats.org/officeDocument/2006/relationships/hyperlink" Target="https://drive.google.com/file/d/1gklM2WB_LWVQcM0_BLLDOnok1BNV2r6P/view?usp=drivesdk" TargetMode="External"/><Relationship Id="rId307" Type="http://schemas.openxmlformats.org/officeDocument/2006/relationships/hyperlink" Target="https://drive.google.com/file/d/1NdwcYVuXdViG7R4GR6_T5Ya4hFAXYQ6i/view?usp=drivesdk" TargetMode="External"/><Relationship Id="rId306" Type="http://schemas.openxmlformats.org/officeDocument/2006/relationships/hyperlink" Target="https://drive.google.com/file/d/1AU4uE07YeXnL98646rZbgLNjw42i9pmr/view?usp=drivesdk" TargetMode="External"/><Relationship Id="rId301" Type="http://schemas.openxmlformats.org/officeDocument/2006/relationships/hyperlink" Target="https://drive.google.com/file/d/1pR7-hw5Jd_LIfdk1NY0gHhHEZmTdKUif/view?usp=drivesdk" TargetMode="External"/><Relationship Id="rId7911" Type="http://schemas.openxmlformats.org/officeDocument/2006/relationships/hyperlink" Target="https://drive.google.com/file/d/1AdiFfZq3bWEOx96LxUAeiI5kAx2nP621/view?usp=drivesdk" TargetMode="External"/><Relationship Id="rId300" Type="http://schemas.openxmlformats.org/officeDocument/2006/relationships/hyperlink" Target="https://drive.google.com/file/d/1XjUYOaa3UHZn5eyCaJQa10G_W4qY9NUE/view?usp=drivesdk" TargetMode="External"/><Relationship Id="rId7910" Type="http://schemas.openxmlformats.org/officeDocument/2006/relationships/hyperlink" Target="https://drive.google.com/file/d/13SluU9REZE19YuMBbUDA7ijqt3pFMZL3/view?usp=drivesdk" TargetMode="External"/><Relationship Id="rId7904" Type="http://schemas.openxmlformats.org/officeDocument/2006/relationships/hyperlink" Target="https://drive.google.com/file/d/1oYnAXtcH6snFqCnfCE0T7GBq_9AzG0rT/view?usp=drivesdk" TargetMode="External"/><Relationship Id="rId7903" Type="http://schemas.openxmlformats.org/officeDocument/2006/relationships/hyperlink" Target="https://drive.google.com/file/d/13s8rva-mIHGlCcrKnf7eEhYeRsQbKzuH/view?usp=drivesdk" TargetMode="External"/><Relationship Id="rId7902" Type="http://schemas.openxmlformats.org/officeDocument/2006/relationships/hyperlink" Target="https://drive.google.com/file/d/1538Kq6N0gdf0klNoAMXxH_Sg4SXZ72bx/view?usp=drivesdk" TargetMode="External"/><Relationship Id="rId7901" Type="http://schemas.openxmlformats.org/officeDocument/2006/relationships/hyperlink" Target="https://drive.google.com/file/d/1c2XfaABBQiZ4QBW9DPh7VrjSjwrDIVzw/view?usp=drivesdk" TargetMode="External"/><Relationship Id="rId7908" Type="http://schemas.openxmlformats.org/officeDocument/2006/relationships/hyperlink" Target="https://drive.google.com/file/d/1P9_nlDjCGZWKJlp9X2N5ZT9YFygiDkCA/view?usp=drivesdk" TargetMode="External"/><Relationship Id="rId7907" Type="http://schemas.openxmlformats.org/officeDocument/2006/relationships/hyperlink" Target="https://drive.google.com/file/d/1u1ZW7UqxxbHEEmE5iSbV1eRvWqU1M7wK/view?usp=drivesdk" TargetMode="External"/><Relationship Id="rId7906" Type="http://schemas.openxmlformats.org/officeDocument/2006/relationships/hyperlink" Target="https://drive.google.com/file/d/15HcEbMWiLeCvQn1_ET2U8yblAbB7Zf7Y/view?usp=drivesdk" TargetMode="External"/><Relationship Id="rId7905" Type="http://schemas.openxmlformats.org/officeDocument/2006/relationships/hyperlink" Target="https://drive.google.com/file/d/1HU-A2n_QRGtLw9QyBzjM_oOKxxzetoIa/view?usp=drivesdk" TargetMode="External"/><Relationship Id="rId7909" Type="http://schemas.openxmlformats.org/officeDocument/2006/relationships/hyperlink" Target="https://drive.google.com/file/d/1UaqiFRrtn7nsqhiLRsz6jQFJtsAasBOl/view?usp=drivesdk" TargetMode="External"/><Relationship Id="rId7900" Type="http://schemas.openxmlformats.org/officeDocument/2006/relationships/hyperlink" Target="https://drive.google.com/file/d/12gcUw7jZhOfFZkLjqYg795qLgFAn-Vsf/view?usp=drivesdk" TargetMode="External"/><Relationship Id="rId6605" Type="http://schemas.openxmlformats.org/officeDocument/2006/relationships/hyperlink" Target="https://drive.google.com/file/d/1rlyheeqDYIwUkTXGz12fsFrZRol0EsHg/view?usp=drivesdk" TargetMode="External"/><Relationship Id="rId7937" Type="http://schemas.openxmlformats.org/officeDocument/2006/relationships/hyperlink" Target="https://drive.google.com/file/d/1D0pzwamHwaR8iBsHRkfXrVKXO3iLWRbU/view?usp=drivesdk" TargetMode="External"/><Relationship Id="rId6606" Type="http://schemas.openxmlformats.org/officeDocument/2006/relationships/hyperlink" Target="https://drive.google.com/file/d/1iVBI5NKOQWwhAtnPbBS5lb4nHqpvJPjW/view?usp=drivesdk" TargetMode="External"/><Relationship Id="rId7936" Type="http://schemas.openxmlformats.org/officeDocument/2006/relationships/hyperlink" Target="https://drive.google.com/file/d/1Y6loUYCmB9e2dxNjM1wZE3YYCQ5b4k3y/view?usp=drivesdk" TargetMode="External"/><Relationship Id="rId6603" Type="http://schemas.openxmlformats.org/officeDocument/2006/relationships/hyperlink" Target="https://drive.google.com/file/d/1LywEY0DOMnnjHFn6KvOaH48Uym1jcUQt/view?usp=drivesdk" TargetMode="External"/><Relationship Id="rId7935" Type="http://schemas.openxmlformats.org/officeDocument/2006/relationships/hyperlink" Target="https://drive.google.com/file/d/1Ek1GFFx1lLDoSoGx7kVh3UGRDMrCSduc/view?usp=drivesdk" TargetMode="External"/><Relationship Id="rId6604" Type="http://schemas.openxmlformats.org/officeDocument/2006/relationships/hyperlink" Target="https://drive.google.com/file/d/1bG1pElJyQAWTnPfFeHv4WPPhyN8U5_Xo/view?usp=drivesdk" TargetMode="External"/><Relationship Id="rId7934" Type="http://schemas.openxmlformats.org/officeDocument/2006/relationships/hyperlink" Target="https://drive.google.com/file/d/1-4qa6NM3Syk1raUa75fWuGfQpbngCyB9/view?usp=drivesdk" TargetMode="External"/><Relationship Id="rId6609" Type="http://schemas.openxmlformats.org/officeDocument/2006/relationships/hyperlink" Target="https://drive.google.com/file/d/1wY4ow9sttVEC5voLHzmN8-wuMlqsSDBF/view?usp=drivesdk" TargetMode="External"/><Relationship Id="rId6607" Type="http://schemas.openxmlformats.org/officeDocument/2006/relationships/hyperlink" Target="https://drive.google.com/file/d/1eo8LKf-Hw55xCXXNBo_mg1SuwhKY3d-E/view?usp=drivesdk" TargetMode="External"/><Relationship Id="rId7939" Type="http://schemas.openxmlformats.org/officeDocument/2006/relationships/hyperlink" Target="https://drive.google.com/file/d/12jC0mrw9dGneqkyrIcc6UBxYbYwyei8O/view?usp=drivesdk" TargetMode="External"/><Relationship Id="rId6608" Type="http://schemas.openxmlformats.org/officeDocument/2006/relationships/hyperlink" Target="https://drive.google.com/file/d/1ef7AgOYovhZmR20b5Q2DkmK2_bpVf_tq/view?usp=drivesdk" TargetMode="External"/><Relationship Id="rId7938" Type="http://schemas.openxmlformats.org/officeDocument/2006/relationships/hyperlink" Target="https://drive.google.com/file/d/1EY3y8cUJgVzKZ4i1qKEMJHpZS00TPViT/view?usp=drivesdk" TargetMode="External"/><Relationship Id="rId327" Type="http://schemas.openxmlformats.org/officeDocument/2006/relationships/hyperlink" Target="https://drive.google.com/file/d/1yFzkQ5pW_67HOS-YETqaMZ79GnuvVaCb/view?usp=drivesdk" TargetMode="External"/><Relationship Id="rId326" Type="http://schemas.openxmlformats.org/officeDocument/2006/relationships/hyperlink" Target="https://drive.google.com/file/d/1clm3t47e_S3OcNyoZJJbiQuJeaMoUy6t/view?usp=drivesdk" TargetMode="External"/><Relationship Id="rId325" Type="http://schemas.openxmlformats.org/officeDocument/2006/relationships/hyperlink" Target="https://drive.google.com/file/d/1l-U5lmU2W2zoDw3oU4XJg9vPjs2C1Qpl/view?usp=drivesdk" TargetMode="External"/><Relationship Id="rId324" Type="http://schemas.openxmlformats.org/officeDocument/2006/relationships/hyperlink" Target="https://drive.google.com/file/d/1AaqflwzALZx4uu6Ky1YttLmz2gQLoqNy/view?usp=drivesdk" TargetMode="External"/><Relationship Id="rId329" Type="http://schemas.openxmlformats.org/officeDocument/2006/relationships/hyperlink" Target="https://drive.google.com/file/d/1R4rTrQi79H94vIuj4ZE3GlfGN7V3rN6z/view?usp=drivesdk" TargetMode="External"/><Relationship Id="rId328" Type="http://schemas.openxmlformats.org/officeDocument/2006/relationships/hyperlink" Target="https://drive.google.com/file/d/1Qc5PXw7rwWb9MTMnNW8-qUl7XgO2k1o-/view?usp=drivesdk" TargetMode="External"/><Relationship Id="rId323" Type="http://schemas.openxmlformats.org/officeDocument/2006/relationships/hyperlink" Target="https://drive.google.com/file/d/1qrdOi1NZGx4y1JcKJOqAVPX_QWiYRGQ8/view?usp=drivesdk" TargetMode="External"/><Relationship Id="rId6601" Type="http://schemas.openxmlformats.org/officeDocument/2006/relationships/hyperlink" Target="https://drive.google.com/file/d/1n6YsuvfYe6yjHfXiKW6xeIa6cZrt4gTi/view?usp=drivesdk" TargetMode="External"/><Relationship Id="rId7933" Type="http://schemas.openxmlformats.org/officeDocument/2006/relationships/hyperlink" Target="https://drive.google.com/file/d/16JtL24_4PHIl3gbKxoepYTHbzRoSsNsV/view?usp=drivesdk" TargetMode="External"/><Relationship Id="rId322" Type="http://schemas.openxmlformats.org/officeDocument/2006/relationships/hyperlink" Target="https://drive.google.com/file/d/1w7Q_yqkObPHbcsnotqh5K23tI0Wq7Uee/view?usp=drivesdk" TargetMode="External"/><Relationship Id="rId6602" Type="http://schemas.openxmlformats.org/officeDocument/2006/relationships/hyperlink" Target="https://drive.google.com/file/d/1XaFxw4uuf5vResD0mI8J8XiCpBiolTzH/view?usp=drivesdk" TargetMode="External"/><Relationship Id="rId7932" Type="http://schemas.openxmlformats.org/officeDocument/2006/relationships/hyperlink" Target="https://drive.google.com/file/d/1rgFSiXGTn4ky1geazqRXXuGYeIEJBv75/view?usp=drivesdk" TargetMode="External"/><Relationship Id="rId321" Type="http://schemas.openxmlformats.org/officeDocument/2006/relationships/hyperlink" Target="https://drive.google.com/file/d/1dk0VjxRlhEw6azfLxz6S9iVfz5l2PgCN/view?usp=drivesdk" TargetMode="External"/><Relationship Id="rId7931" Type="http://schemas.openxmlformats.org/officeDocument/2006/relationships/hyperlink" Target="https://drive.google.com/file/d/1DDjcowU08GWfLJpodLvaMgmqnT6ZrEYV/view?usp=drivesdk" TargetMode="External"/><Relationship Id="rId320" Type="http://schemas.openxmlformats.org/officeDocument/2006/relationships/hyperlink" Target="https://drive.google.com/file/d/14kqv1IlsDkiThk-zdZRHkmV-ejuWSpBh/view?usp=drivesdk" TargetMode="External"/><Relationship Id="rId6600" Type="http://schemas.openxmlformats.org/officeDocument/2006/relationships/hyperlink" Target="https://drive.google.com/file/d/138rSDp3rySntHjA-8onNNC75sAWw0vWE/view?usp=drivesdk" TargetMode="External"/><Relationship Id="rId7930" Type="http://schemas.openxmlformats.org/officeDocument/2006/relationships/hyperlink" Target="https://drive.google.com/file/d/1GiCPiSdYy14ld94dpDFapp8cKcMWfFmT/view?usp=drivesdk" TargetMode="External"/><Relationship Id="rId7926" Type="http://schemas.openxmlformats.org/officeDocument/2006/relationships/hyperlink" Target="https://drive.google.com/file/d/1XIcRZkXbQpXtYgq96ZN6OzoNlkOx7rtO/view?usp=drivesdk" TargetMode="External"/><Relationship Id="rId7925" Type="http://schemas.openxmlformats.org/officeDocument/2006/relationships/hyperlink" Target="https://drive.google.com/file/d/13JalX0ekna86-Oj6KQiaImHiRTHX-Sp4/view?usp=drivesdk" TargetMode="External"/><Relationship Id="rId7924" Type="http://schemas.openxmlformats.org/officeDocument/2006/relationships/hyperlink" Target="https://drive.google.com/file/d/1vi_hD4lXPICdWgZ_PR5HQlirhWwjqlo4/view?usp=drivesdk" TargetMode="External"/><Relationship Id="rId7923" Type="http://schemas.openxmlformats.org/officeDocument/2006/relationships/hyperlink" Target="https://drive.google.com/file/d/115zWjMcC-hF4SKhXHLhwFjbJ3W-nOkOD/view?usp=drivesdk" TargetMode="External"/><Relationship Id="rId7929" Type="http://schemas.openxmlformats.org/officeDocument/2006/relationships/hyperlink" Target="https://drive.google.com/file/d/1l6WhNdHqnG4ju0bz32sw_33LJjh-xnko/view?usp=drivesdk" TargetMode="External"/><Relationship Id="rId7928" Type="http://schemas.openxmlformats.org/officeDocument/2006/relationships/hyperlink" Target="https://drive.google.com/file/d/1ON3nBcUjrvcqxqzl62HSiOny4v554I9e/view?usp=drivesdk" TargetMode="External"/><Relationship Id="rId7927" Type="http://schemas.openxmlformats.org/officeDocument/2006/relationships/hyperlink" Target="https://drive.google.com/file/d/176bigRIy-_c4HgyYVBFeATTLyw-QjqYB/view?usp=drivesdk" TargetMode="External"/><Relationship Id="rId316" Type="http://schemas.openxmlformats.org/officeDocument/2006/relationships/hyperlink" Target="https://drive.google.com/file/d/1Ov5iBRaS1i7N6Dk7WYEV9TctXkNxZUcN/view?usp=drivesdk" TargetMode="External"/><Relationship Id="rId315" Type="http://schemas.openxmlformats.org/officeDocument/2006/relationships/hyperlink" Target="https://drive.google.com/file/d/1YUCuJqDqODfHP5SSUj9IazKGUF9nCEym/view?usp=drivesdk" TargetMode="External"/><Relationship Id="rId314" Type="http://schemas.openxmlformats.org/officeDocument/2006/relationships/hyperlink" Target="https://drive.google.com/file/d/1xec3mWSV1hM_ZynG85o1XRP5h7xybWfh/view?usp=drivesdk" TargetMode="External"/><Relationship Id="rId313" Type="http://schemas.openxmlformats.org/officeDocument/2006/relationships/hyperlink" Target="https://drive.google.com/file/d/17-_76pUTFDo_6n0GsNk_JUynyEroH9Rk/view?usp=drivesdk" TargetMode="External"/><Relationship Id="rId319" Type="http://schemas.openxmlformats.org/officeDocument/2006/relationships/hyperlink" Target="https://drive.google.com/file/d/13EBesa-FK_Fb0JCXljUvLjUCjiBADvF5/view?usp=drivesdk" TargetMode="External"/><Relationship Id="rId318" Type="http://schemas.openxmlformats.org/officeDocument/2006/relationships/hyperlink" Target="https://drive.google.com/file/d/1pTV5zGkT5-EQYKq2tC4P0kbthSsjXuKK/view?usp=drivesdk" TargetMode="External"/><Relationship Id="rId317" Type="http://schemas.openxmlformats.org/officeDocument/2006/relationships/hyperlink" Target="https://drive.google.com/file/d/1wyUh70pVjH-6NRfOqvzMdSJatMlqOvNQ/view?usp=drivesdk" TargetMode="External"/><Relationship Id="rId312" Type="http://schemas.openxmlformats.org/officeDocument/2006/relationships/hyperlink" Target="https://drive.google.com/file/d/1AfNLACI1CMyMYtRL_rmf-2QX9VPwTbW_/view?usp=drivesdk" TargetMode="External"/><Relationship Id="rId7922" Type="http://schemas.openxmlformats.org/officeDocument/2006/relationships/hyperlink" Target="https://drive.google.com/file/d/1g40elV4AHrru4rnpw4vKuNfa1Sfrjdcf/view?usp=drivesdk" TargetMode="External"/><Relationship Id="rId311" Type="http://schemas.openxmlformats.org/officeDocument/2006/relationships/hyperlink" Target="https://drive.google.com/file/d/1z_JZbhCgRemg7c6PzjarJ8CVBmHwiTyS/view?usp=drivesdk" TargetMode="External"/><Relationship Id="rId7921" Type="http://schemas.openxmlformats.org/officeDocument/2006/relationships/hyperlink" Target="https://drive.google.com/file/d/1jR_NKVQ9SvAI9-3Jx3lNZtuKwWofkIUP/view?usp=drivesdk" TargetMode="External"/><Relationship Id="rId310" Type="http://schemas.openxmlformats.org/officeDocument/2006/relationships/hyperlink" Target="https://drive.google.com/file/d/1_7JZz3d1m9NPMGH6OZAn2hZ1F4M7lyil/view?usp=drivesdk" TargetMode="External"/><Relationship Id="rId7920" Type="http://schemas.openxmlformats.org/officeDocument/2006/relationships/hyperlink" Target="https://drive.google.com/file/d/13CK56rRsuYkvaVerWSEBvz8FVOnpTt9F/view?usp=drivesdk" TargetMode="External"/><Relationship Id="rId10619" Type="http://schemas.openxmlformats.org/officeDocument/2006/relationships/hyperlink" Target="https://drive.google.com/file/d/1IuJAfVtlaKIKJozjY2RQZqUcOMhrpZJe/view?usp=drivesdk" TargetMode="External"/><Relationship Id="rId10617" Type="http://schemas.openxmlformats.org/officeDocument/2006/relationships/hyperlink" Target="https://drive.google.com/file/d/16s4W-UPFQb86qEUbEAyh-S-dzfuHK4eK/view?usp=drivesdk" TargetMode="External"/><Relationship Id="rId11949" Type="http://schemas.openxmlformats.org/officeDocument/2006/relationships/hyperlink" Target="https://drive.google.com/file/d/1zsmM1BP2ypNzsTEJQ1ywehFN9Gbg696p/view?usp=drivesdk" TargetMode="External"/><Relationship Id="rId10618" Type="http://schemas.openxmlformats.org/officeDocument/2006/relationships/hyperlink" Target="https://drive.google.com/file/d/1JLrE0gtRQZqoy9_tuC73ufIvyEtRF5PV/view?usp=drivesdk" TargetMode="External"/><Relationship Id="rId11948" Type="http://schemas.openxmlformats.org/officeDocument/2006/relationships/hyperlink" Target="https://drive.google.com/file/d/1TJVLle1CpHI6aq4H1V3Homxpbj-e0iLo/view?usp=drivesdk" TargetMode="External"/><Relationship Id="rId10611" Type="http://schemas.openxmlformats.org/officeDocument/2006/relationships/hyperlink" Target="https://drive.google.com/file/d/1qRCclZ2z0GWr1B16uot92_PADvmU9hjd/view?usp=drivesdk" TargetMode="External"/><Relationship Id="rId11943" Type="http://schemas.openxmlformats.org/officeDocument/2006/relationships/hyperlink" Target="https://drive.google.com/file/d/1_9PiBvu9fz42b3Ad3zRDbtRyBKMYDkk-/view?usp=drivesdk" TargetMode="External"/><Relationship Id="rId10612" Type="http://schemas.openxmlformats.org/officeDocument/2006/relationships/hyperlink" Target="https://drive.google.com/file/d/1dh7o48AAK72gI1PU_JBHb7WsFaKVCrKG/view?usp=drivesdk" TargetMode="External"/><Relationship Id="rId11942" Type="http://schemas.openxmlformats.org/officeDocument/2006/relationships/hyperlink" Target="https://drive.google.com/file/d/1AscDMkxOyMyBaFzdcIKa_pTK5JyaJZRt/view?usp=drivesdk" TargetMode="External"/><Relationship Id="rId11941" Type="http://schemas.openxmlformats.org/officeDocument/2006/relationships/hyperlink" Target="https://drive.google.com/file/d/1_sex9KGtmJMNgQzmzVJT_kGt3BeM5nXp/view?usp=drivesdk" TargetMode="External"/><Relationship Id="rId10610" Type="http://schemas.openxmlformats.org/officeDocument/2006/relationships/hyperlink" Target="https://drive.google.com/file/d/1GUuea18Xr234koLre-l5huk2j9hs1MVW/view?usp=drivesdk" TargetMode="External"/><Relationship Id="rId11940" Type="http://schemas.openxmlformats.org/officeDocument/2006/relationships/hyperlink" Target="https://drive.google.com/file/d/1KEwjTDy7RPJgEylYinhd11PQUoypFfcs/view?usp=drivesdk" TargetMode="External"/><Relationship Id="rId4040" Type="http://schemas.openxmlformats.org/officeDocument/2006/relationships/hyperlink" Target="https://drive.google.com/file/d/1Gmefb4uoM2ijdFbONpPjpompHOo1j4xz/view?usp=drivesdk" TargetMode="External"/><Relationship Id="rId5372" Type="http://schemas.openxmlformats.org/officeDocument/2006/relationships/hyperlink" Target="https://drive.google.com/file/d/1c4j7H95FbEfMMR96M875OeulZwlF7x9G/view?usp=drivesdk" TargetMode="External"/><Relationship Id="rId10615" Type="http://schemas.openxmlformats.org/officeDocument/2006/relationships/hyperlink" Target="https://drive.google.com/file/d/1F4DXGGKbARnePy0B3dow6unXGTfadS3a/view?usp=drivesdk" TargetMode="External"/><Relationship Id="rId11947" Type="http://schemas.openxmlformats.org/officeDocument/2006/relationships/hyperlink" Target="https://drive.google.com/file/d/1i24r0gHRALqZzFFH-ZYE8VLNop82FkV2/view?usp=drivesdk" TargetMode="External"/><Relationship Id="rId5373" Type="http://schemas.openxmlformats.org/officeDocument/2006/relationships/hyperlink" Target="https://drive.google.com/file/d/1jGCwXEveBBdVEjfr3V84EJqUakSt1_zF/view?usp=drivesdk" TargetMode="External"/><Relationship Id="rId10616" Type="http://schemas.openxmlformats.org/officeDocument/2006/relationships/hyperlink" Target="https://drive.google.com/file/d/1Uqra4lAY9OBcikoXPpi-HkzXeGO943V0/view?usp=drivesdk" TargetMode="External"/><Relationship Id="rId11946" Type="http://schemas.openxmlformats.org/officeDocument/2006/relationships/hyperlink" Target="https://drive.google.com/file/d/1vuoqr58FfKuBoN8n9Zy70ggY9xDiqU_V/view?usp=drivesdk" TargetMode="External"/><Relationship Id="rId4042" Type="http://schemas.openxmlformats.org/officeDocument/2006/relationships/hyperlink" Target="https://drive.google.com/file/d/1JG5eroJ6HBryRvpkkjGpLs_4jHtBFkG-/view?usp=drivesdk" TargetMode="External"/><Relationship Id="rId5370" Type="http://schemas.openxmlformats.org/officeDocument/2006/relationships/hyperlink" Target="https://drive.google.com/file/d/1WV8Zg9KoLAqCS5PORdZ37v-r3OBk6mI6/view?usp=drivesdk" TargetMode="External"/><Relationship Id="rId10613" Type="http://schemas.openxmlformats.org/officeDocument/2006/relationships/hyperlink" Target="https://drive.google.com/file/d/1H0HRLNmwuBz5kNveRX6UNNvXypYusoWr/view?usp=drivesdk" TargetMode="External"/><Relationship Id="rId11945" Type="http://schemas.openxmlformats.org/officeDocument/2006/relationships/hyperlink" Target="http://herawati.sm" TargetMode="External"/><Relationship Id="rId4041" Type="http://schemas.openxmlformats.org/officeDocument/2006/relationships/hyperlink" Target="https://drive.google.com/file/d/1SX9K4XCGj_G28uUcCSRdz17Ru_b41GJ6/view?usp=drivesdk" TargetMode="External"/><Relationship Id="rId5371" Type="http://schemas.openxmlformats.org/officeDocument/2006/relationships/hyperlink" Target="https://drive.google.com/file/d/1k4GkX7mBSVFkpOuZPJL5lxYFFnfdH9sb/view?usp=drivesdk" TargetMode="External"/><Relationship Id="rId10614" Type="http://schemas.openxmlformats.org/officeDocument/2006/relationships/hyperlink" Target="https://drive.google.com/file/d/12Fcp39CbgS0HeqhKhs1vF7Aop8YmDu2K/view?usp=drivesdk" TargetMode="External"/><Relationship Id="rId11944" Type="http://schemas.openxmlformats.org/officeDocument/2006/relationships/hyperlink" Target="https://drive.google.com/file/d/1WzJa6kUjHQJ3vdiQ5cShG-z3-hf4ipbw/view?usp=drivesdk" TargetMode="External"/><Relationship Id="rId4044" Type="http://schemas.openxmlformats.org/officeDocument/2006/relationships/hyperlink" Target="https://drive.google.com/file/d/1dUdEc3EWLpD3HK6JK9hZX2ZC685aWagB/view?usp=drivesdk" TargetMode="External"/><Relationship Id="rId5376" Type="http://schemas.openxmlformats.org/officeDocument/2006/relationships/hyperlink" Target="https://drive.google.com/file/d/1ERtB2iVBo8wXz1y8ySrd3glqS0crPzxS/view?usp=drivesdk" TargetMode="External"/><Relationship Id="rId4043" Type="http://schemas.openxmlformats.org/officeDocument/2006/relationships/hyperlink" Target="https://drive.google.com/file/d/1lyzmHozT7WtYRKNjKa2ULbB31W_sD0aL/view?usp=drivesdk" TargetMode="External"/><Relationship Id="rId5377" Type="http://schemas.openxmlformats.org/officeDocument/2006/relationships/hyperlink" Target="https://drive.google.com/file/d/1macXzyp17Jzf4L3DCNnt59H1gTZPa1n3/view?usp=drivesdk" TargetMode="External"/><Relationship Id="rId4046" Type="http://schemas.openxmlformats.org/officeDocument/2006/relationships/hyperlink" Target="https://drive.google.com/file/d/1TBfr2NRKLTP2LZ1t8hfJ5AgxLHEr_MLQ/view?usp=drivesdk" TargetMode="External"/><Relationship Id="rId5374" Type="http://schemas.openxmlformats.org/officeDocument/2006/relationships/hyperlink" Target="https://drive.google.com/file/d/1QQ2DjpUsaf-lFX_p_AqQlluiJuJaNzaF/view?usp=drivesdk" TargetMode="External"/><Relationship Id="rId4045" Type="http://schemas.openxmlformats.org/officeDocument/2006/relationships/hyperlink" Target="https://drive.google.com/file/d/12OYsF3WMvLOk_gFeVjUF2X0aD2OYn_kF/view?usp=drivesdk" TargetMode="External"/><Relationship Id="rId5375" Type="http://schemas.openxmlformats.org/officeDocument/2006/relationships/hyperlink" Target="https://drive.google.com/file/d/1b258UjmUfBU-lueK235G6xyFTz7S1tMo/view?usp=drivesdk" TargetMode="External"/><Relationship Id="rId4048" Type="http://schemas.openxmlformats.org/officeDocument/2006/relationships/hyperlink" Target="https://drive.google.com/file/d/1cHL2E755obL95bepse9EA2cjlr6lMC38/view?usp=drivesdk" TargetMode="External"/><Relationship Id="rId4047" Type="http://schemas.openxmlformats.org/officeDocument/2006/relationships/hyperlink" Target="https://drive.google.com/file/d/1ayV6LB3awTFOlA5Dl8YmatheceYpWJfc/view?usp=drivesdk" TargetMode="External"/><Relationship Id="rId5378" Type="http://schemas.openxmlformats.org/officeDocument/2006/relationships/hyperlink" Target="https://drive.google.com/file/d/1ryi27dLSy6yyi-2kBUTX6cNXL7O9AqLz/view?usp=drivesdk" TargetMode="External"/><Relationship Id="rId4049" Type="http://schemas.openxmlformats.org/officeDocument/2006/relationships/hyperlink" Target="https://drive.google.com/file/d/1pxhaGpqChZJzJE3x11EVlsKvutvPy3dx/view?usp=drivesdk" TargetMode="External"/><Relationship Id="rId5379" Type="http://schemas.openxmlformats.org/officeDocument/2006/relationships/hyperlink" Target="https://drive.google.com/file/d/1DzYoDoTj7zWO-vvRx5fiMtnMcc6-s4RB/view?usp=drivesdk" TargetMode="External"/><Relationship Id="rId10628" Type="http://schemas.openxmlformats.org/officeDocument/2006/relationships/hyperlink" Target="https://drive.google.com/file/d/1h4n6kM7uWExCcJm5wFc6CUXr3xgV0GNJ/view?usp=drivesdk" TargetMode="External"/><Relationship Id="rId10629" Type="http://schemas.openxmlformats.org/officeDocument/2006/relationships/hyperlink" Target="https://drive.google.com/file/d/1rNacaVltc8Henu_GMW1VSmY9NuUvr6L4/view?usp=drivesdk" TargetMode="External"/><Relationship Id="rId11959" Type="http://schemas.openxmlformats.org/officeDocument/2006/relationships/hyperlink" Target="https://drive.google.com/file/d/1AO-9eAHnoL39FEdyzTTF7GXVzNYcvHiW/view?usp=drivesdk" TargetMode="External"/><Relationship Id="rId10622" Type="http://schemas.openxmlformats.org/officeDocument/2006/relationships/hyperlink" Target="https://drive.google.com/file/d/1SYgTlU-3jUarGk8M7yKF_fYFx93B6b5e/view?usp=drivesdk" TargetMode="External"/><Relationship Id="rId11954" Type="http://schemas.openxmlformats.org/officeDocument/2006/relationships/hyperlink" Target="https://drive.google.com/file/d/18wmGtId0ZT1-gh97RsgsQ0xElgPGBwCL/view?usp=drivesdk" TargetMode="External"/><Relationship Id="rId10623" Type="http://schemas.openxmlformats.org/officeDocument/2006/relationships/hyperlink" Target="https://drive.google.com/file/d/1tn-CzJWUM7D95dj8SSkVrukGLdjCBBcO/view?usp=drivesdk" TargetMode="External"/><Relationship Id="rId11953" Type="http://schemas.openxmlformats.org/officeDocument/2006/relationships/hyperlink" Target="https://drive.google.com/file/d/1JyaecfbzOvYea8-7M0qsFZJXXVqWOGCg/view?usp=drivesdk" TargetMode="External"/><Relationship Id="rId10620" Type="http://schemas.openxmlformats.org/officeDocument/2006/relationships/hyperlink" Target="https://drive.google.com/file/d/19oZeiQsfE5N7bNNF9hhq_5fpYb0MOgm7/view?usp=drivesdk" TargetMode="External"/><Relationship Id="rId11952" Type="http://schemas.openxmlformats.org/officeDocument/2006/relationships/hyperlink" Target="https://drive.google.com/file/d/1WxKZKQmv1-jnuERHq3JU_PZCRM2-eiFX/view?usp=drivesdk" TargetMode="External"/><Relationship Id="rId10621" Type="http://schemas.openxmlformats.org/officeDocument/2006/relationships/hyperlink" Target="https://drive.google.com/file/d/1nXYi8he34_bJCPGjICmyjrBJELB00KEL/view?usp=drivesdk" TargetMode="External"/><Relationship Id="rId11951" Type="http://schemas.openxmlformats.org/officeDocument/2006/relationships/hyperlink" Target="https://drive.google.com/file/d/1lK94ZJf1G4dtiWCO-FcJZE5ERYRTgPbk/view?usp=drivesdk" TargetMode="External"/><Relationship Id="rId5361" Type="http://schemas.openxmlformats.org/officeDocument/2006/relationships/hyperlink" Target="https://drive.google.com/file/d/1_4BldxoiI7ctLBXI1998kUbdN4QbrtcE/view?usp=drivesdk" TargetMode="External"/><Relationship Id="rId6692" Type="http://schemas.openxmlformats.org/officeDocument/2006/relationships/hyperlink" Target="https://drive.google.com/file/d/1lIET2ePXumwo-4mPUiDxaoBFi3GMzAxq/view?usp=drivesdk" TargetMode="External"/><Relationship Id="rId10626" Type="http://schemas.openxmlformats.org/officeDocument/2006/relationships/hyperlink" Target="https://drive.google.com/file/d/1v7D4mXPedcJ3wJ24o9mT-Hfp-yFwrKk4/view?usp=drivesdk" TargetMode="External"/><Relationship Id="rId11958" Type="http://schemas.openxmlformats.org/officeDocument/2006/relationships/hyperlink" Target="https://drive.google.com/file/d/1A1xpOHBTFcHKtnyjHIFV61QdChYZjlmh/view?usp=drivesdk" TargetMode="External"/><Relationship Id="rId5362" Type="http://schemas.openxmlformats.org/officeDocument/2006/relationships/hyperlink" Target="https://drive.google.com/file/d/1HbgzHZA8n9AUWP38nCS9ZTfT5-9Ht8ey/view?usp=drivesdk" TargetMode="External"/><Relationship Id="rId6693" Type="http://schemas.openxmlformats.org/officeDocument/2006/relationships/hyperlink" Target="https://drive.google.com/file/d/1mxfImIM1yD53j-DujuF_EsQO6G9eLm2w/view?usp=drivesdk" TargetMode="External"/><Relationship Id="rId10627" Type="http://schemas.openxmlformats.org/officeDocument/2006/relationships/hyperlink" Target="https://drive.google.com/file/d/1gC713q69lZGq0qgCSme_JJpX2uNDFDCk/view?usp=drivesdk" TargetMode="External"/><Relationship Id="rId11957" Type="http://schemas.openxmlformats.org/officeDocument/2006/relationships/hyperlink" Target="https://drive.google.com/file/d/1uXk3G8psb06AYA_wfr-IQBWYjJlOgXl8/view?usp=drivesdk" TargetMode="External"/><Relationship Id="rId4031" Type="http://schemas.openxmlformats.org/officeDocument/2006/relationships/hyperlink" Target="https://drive.google.com/file/d/1UwYpcr4OodiMSOLVWTonRvfGHeAG7-kU/view?usp=drivesdk" TargetMode="External"/><Relationship Id="rId6690" Type="http://schemas.openxmlformats.org/officeDocument/2006/relationships/hyperlink" Target="https://drive.google.com/file/d/14OOwktNhkBBA7z0-3ZLZIEUXnwWSEF3b/view?usp=drivesdk" TargetMode="External"/><Relationship Id="rId10624" Type="http://schemas.openxmlformats.org/officeDocument/2006/relationships/hyperlink" Target="https://drive.google.com/file/d/1q5OiFh7n-jwL0vNDrLd_lmbESKEKixfq/view?usp=drivesdk" TargetMode="External"/><Relationship Id="rId11956" Type="http://schemas.openxmlformats.org/officeDocument/2006/relationships/hyperlink" Target="https://drive.google.com/file/d/12S9v_nQLYptA-Ma7NgOkE4nLZ0e2S5dG/view?usp=drivesdk" TargetMode="External"/><Relationship Id="rId4030" Type="http://schemas.openxmlformats.org/officeDocument/2006/relationships/hyperlink" Target="https://drive.google.com/file/d/15vtToXtWKVpkc64nviyM9udaAkrj3jAh/view?usp=drivesdk" TargetMode="External"/><Relationship Id="rId5360" Type="http://schemas.openxmlformats.org/officeDocument/2006/relationships/hyperlink" Target="https://drive.google.com/file/d/1no8gV0MV0mzVVziwzOT0DJz2VyX7RLZP/view?usp=drivesdk" TargetMode="External"/><Relationship Id="rId6691" Type="http://schemas.openxmlformats.org/officeDocument/2006/relationships/hyperlink" Target="https://drive.google.com/file/d/1jHJv7u3sk9eGjc50CyX71jS1c4AFllGJ/view?usp=drivesdk" TargetMode="External"/><Relationship Id="rId10625" Type="http://schemas.openxmlformats.org/officeDocument/2006/relationships/hyperlink" Target="https://drive.google.com/file/d/1OIyOQxSI0Uj3uif7FEnqVEIRtQhy5mXo/view?usp=drivesdk" TargetMode="External"/><Relationship Id="rId11955" Type="http://schemas.openxmlformats.org/officeDocument/2006/relationships/hyperlink" Target="https://drive.google.com/file/d/1ypvnp7gKwdXn3MO7mVwUcgnMG5LnYYog/view?usp=drivesdk" TargetMode="External"/><Relationship Id="rId297" Type="http://schemas.openxmlformats.org/officeDocument/2006/relationships/hyperlink" Target="https://drive.google.com/file/d/1QyU6YkJzQuoIvmmPBZU_0m4Ap5Q_suMz/view?usp=drivesdk" TargetMode="External"/><Relationship Id="rId4033" Type="http://schemas.openxmlformats.org/officeDocument/2006/relationships/hyperlink" Target="https://drive.google.com/file/d/1J0Qe6bxhgk-cFGHrUAKRJFI1igaVdD5c/view?usp=drivesdk" TargetMode="External"/><Relationship Id="rId5365" Type="http://schemas.openxmlformats.org/officeDocument/2006/relationships/hyperlink" Target="https://drive.google.com/file/d/1KTjqtnO7Ag9HWlaed4Q1Dj0UWn8ACyQq/view?usp=drivesdk" TargetMode="External"/><Relationship Id="rId6696" Type="http://schemas.openxmlformats.org/officeDocument/2006/relationships/hyperlink" Target="https://drive.google.com/file/d/1iCpWqCGQIOPfOzzUnTuyThUXdNSt1b4O/view?usp=drivesdk" TargetMode="External"/><Relationship Id="rId296" Type="http://schemas.openxmlformats.org/officeDocument/2006/relationships/hyperlink" Target="https://drive.google.com/file/d/1Xmdo-6XoUy5eY0bOTH5njXYvcHFK8t_H/view?usp=drivesdk" TargetMode="External"/><Relationship Id="rId4032" Type="http://schemas.openxmlformats.org/officeDocument/2006/relationships/hyperlink" Target="https://drive.google.com/file/d/1LAVRzkkfusivhmu7nkJDzjXpVLQgkIOy/view?usp=drivesdk" TargetMode="External"/><Relationship Id="rId5366" Type="http://schemas.openxmlformats.org/officeDocument/2006/relationships/hyperlink" Target="https://drive.google.com/file/d/1OIFsQ9mQLH0XNGcEjnWJMqSq2AumvA7f/view?usp=drivesdk" TargetMode="External"/><Relationship Id="rId6697" Type="http://schemas.openxmlformats.org/officeDocument/2006/relationships/hyperlink" Target="https://drive.google.com/file/d/1mEbiyvKRJd9ARuLsjmodLc_IPraDJzrp/view?usp=drivesdk" TargetMode="External"/><Relationship Id="rId295" Type="http://schemas.openxmlformats.org/officeDocument/2006/relationships/hyperlink" Target="https://drive.google.com/file/d/1xDyeAFuDZ5IZfc50l6N4lbtsZlED6e6A/view?usp=drivesdk" TargetMode="External"/><Relationship Id="rId4035" Type="http://schemas.openxmlformats.org/officeDocument/2006/relationships/hyperlink" Target="https://drive.google.com/file/d/11Ztr5ZKChYr-O-8AHIMbQE_CKpBeXUZH/view?usp=drivesdk" TargetMode="External"/><Relationship Id="rId5363" Type="http://schemas.openxmlformats.org/officeDocument/2006/relationships/hyperlink" Target="https://drive.google.com/file/d/1HkA05simldgwag8r9d-zbVrxblcnQktK/view?usp=drivesdk" TargetMode="External"/><Relationship Id="rId6694" Type="http://schemas.openxmlformats.org/officeDocument/2006/relationships/hyperlink" Target="https://drive.google.com/file/d/1Ed2lWW4x4ekLto_6Jbbj6LUpNPkyAtOt/view?usp=drivesdk" TargetMode="External"/><Relationship Id="rId294" Type="http://schemas.openxmlformats.org/officeDocument/2006/relationships/hyperlink" Target="https://drive.google.com/file/d/1zDlEzTMnuN3DPLqDVdwgAHjxpWlt5Xdu/view?usp=drivesdk" TargetMode="External"/><Relationship Id="rId4034" Type="http://schemas.openxmlformats.org/officeDocument/2006/relationships/hyperlink" Target="https://drive.google.com/file/d/1s6Xvut2fzKjpE2M1FNs4C3nxz23O1xEs/view?usp=drivesdk" TargetMode="External"/><Relationship Id="rId5364" Type="http://schemas.openxmlformats.org/officeDocument/2006/relationships/hyperlink" Target="https://drive.google.com/file/d/1iS9vsdEVqaME2kXvrxBa1JD2df0w70RN/view?usp=drivesdk" TargetMode="External"/><Relationship Id="rId6695" Type="http://schemas.openxmlformats.org/officeDocument/2006/relationships/hyperlink" Target="https://drive.google.com/file/d/1zgObEUtakcvGzsndvZRcNOGu4tmk2CK4/view?usp=drivesdk" TargetMode="External"/><Relationship Id="rId4037" Type="http://schemas.openxmlformats.org/officeDocument/2006/relationships/hyperlink" Target="https://drive.google.com/file/d/1xAtzc5U4Jbiy5yqyEVSc3SP_W2-9rPw2/view?usp=drivesdk" TargetMode="External"/><Relationship Id="rId5369" Type="http://schemas.openxmlformats.org/officeDocument/2006/relationships/hyperlink" Target="https://drive.google.com/file/d/1mnCvkw-3DhQG252XBn3BxlXrKTAGOays/view?usp=drivesdk" TargetMode="External"/><Relationship Id="rId11950" Type="http://schemas.openxmlformats.org/officeDocument/2006/relationships/hyperlink" Target="https://drive.google.com/file/d/132Mgtqy4BQXPHHUzWUlTPwQORRUMlFJ1/view?usp=drivesdk" TargetMode="External"/><Relationship Id="rId4036" Type="http://schemas.openxmlformats.org/officeDocument/2006/relationships/hyperlink" Target="https://drive.google.com/file/d/10Cdkt7PXBRiVJKxoUzsg_ygXat6uD9bH/view?usp=drivesdk" TargetMode="External"/><Relationship Id="rId299" Type="http://schemas.openxmlformats.org/officeDocument/2006/relationships/hyperlink" Target="https://drive.google.com/file/d/1akl9Gh726nuJt-SAsyFhxLMsiNKzRc2q/view?usp=drivesdk" TargetMode="External"/><Relationship Id="rId4039" Type="http://schemas.openxmlformats.org/officeDocument/2006/relationships/hyperlink" Target="https://drive.google.com/file/d/13adDydDwQmTGnLKSlnMKLM7PJTuPx1D1/view?usp=drivesdk" TargetMode="External"/><Relationship Id="rId5367" Type="http://schemas.openxmlformats.org/officeDocument/2006/relationships/hyperlink" Target="https://drive.google.com/file/d/1Uh57FkHdjGaZdsRmnQoWGANT3qSwUkgb/view?usp=drivesdk" TargetMode="External"/><Relationship Id="rId6698" Type="http://schemas.openxmlformats.org/officeDocument/2006/relationships/hyperlink" Target="https://drive.google.com/file/d/1YUldfNWmPOXyXKXNl725z0iaa02EV8AA/view?usp=drivesdk" TargetMode="External"/><Relationship Id="rId298" Type="http://schemas.openxmlformats.org/officeDocument/2006/relationships/hyperlink" Target="https://drive.google.com/file/d/1rw0QCDTFXPGKkVKbj6N3nNRodvheMrY4/view?usp=drivesdk" TargetMode="External"/><Relationship Id="rId4038" Type="http://schemas.openxmlformats.org/officeDocument/2006/relationships/hyperlink" Target="https://drive.google.com/file/d/1-hhHKJFFOLiwWhno3I1HYokoDBAkT2jr/view?usp=drivesdk" TargetMode="External"/><Relationship Id="rId5368" Type="http://schemas.openxmlformats.org/officeDocument/2006/relationships/hyperlink" Target="https://drive.google.com/file/d/1xP45G_6bsVt4zgstrgbbf0uVXpszWYtw/view?usp=drivesdk" TargetMode="External"/><Relationship Id="rId6699" Type="http://schemas.openxmlformats.org/officeDocument/2006/relationships/hyperlink" Target="https://drive.google.com/file/d/1sp4pkW10fps6MDeptEDZSq6r0gvpwjut/view?usp=drivesdk" TargetMode="External"/><Relationship Id="rId11929" Type="http://schemas.openxmlformats.org/officeDocument/2006/relationships/hyperlink" Target="https://drive.google.com/file/d/1xfC-eNfTL1R-BpGeGnz4oKLLxsAUhqeq/view?usp=drivesdk" TargetMode="External"/><Relationship Id="rId11928" Type="http://schemas.openxmlformats.org/officeDocument/2006/relationships/hyperlink" Target="https://drive.google.com/file/d/1JyzQOoXXaEFeYYWb3uu91UdKQC6V7M1V/view?usp=drivesdk" TargetMode="External"/><Relationship Id="rId11927" Type="http://schemas.openxmlformats.org/officeDocument/2006/relationships/hyperlink" Target="https://drive.google.com/file/d/1jsqvBZZpteMgy1EB-BiOFTdrNNEyC9XR/view?usp=drivesdk" TargetMode="External"/><Relationship Id="rId11926" Type="http://schemas.openxmlformats.org/officeDocument/2006/relationships/hyperlink" Target="https://drive.google.com/file/d/1jrP7zIqyqebtj83QwV91lNqrcBYQD0A7/view?usp=drivesdk" TargetMode="External"/><Relationship Id="rId5390" Type="http://schemas.openxmlformats.org/officeDocument/2006/relationships/hyperlink" Target="https://drive.google.com/file/d/1PHs04euzMb3lzqyufXLWObbWYzgL30mV/view?usp=drivesdk" TargetMode="External"/><Relationship Id="rId11921" Type="http://schemas.openxmlformats.org/officeDocument/2006/relationships/hyperlink" Target="https://drive.google.com/file/d/1VEGHASsvcfy0Ux1yR43uiqJLlkVOIOl2/view?usp=drivesdk" TargetMode="External"/><Relationship Id="rId5391" Type="http://schemas.openxmlformats.org/officeDocument/2006/relationships/hyperlink" Target="https://drive.google.com/file/d/1scG_Bbm-5MFSUlowGILE7LFL2E4XE7I4/view?usp=drivesdk" TargetMode="External"/><Relationship Id="rId11920" Type="http://schemas.openxmlformats.org/officeDocument/2006/relationships/hyperlink" Target="https://drive.google.com/file/d/11w5gBhPUkYPyr9zzBI-D0J8TEOfQBBKx/view?usp=drivesdk" TargetMode="External"/><Relationship Id="rId4060" Type="http://schemas.openxmlformats.org/officeDocument/2006/relationships/hyperlink" Target="https://drive.google.com/file/d/1MYRFupe2q2cIcfG7BCXPLZtNM3fQM40e/view?usp=drivesdk" TargetMode="External"/><Relationship Id="rId4062" Type="http://schemas.openxmlformats.org/officeDocument/2006/relationships/hyperlink" Target="https://drive.google.com/file/d/1rVvAjenG0JxKMLdbv6YtGze94XLRID7Z/view?usp=drivesdk" TargetMode="External"/><Relationship Id="rId5394" Type="http://schemas.openxmlformats.org/officeDocument/2006/relationships/hyperlink" Target="https://drive.google.com/file/d/1VEGkmE8xLEyYGBfifYNe2AYoXrGHiu5J/view?usp=drivesdk" TargetMode="External"/><Relationship Id="rId11925" Type="http://schemas.openxmlformats.org/officeDocument/2006/relationships/hyperlink" Target="https://drive.google.com/file/d/1geRb0xKzOsJkor0UlTxr5gA_UQnNMxoX/view?usp=drivesdk" TargetMode="External"/><Relationship Id="rId4061" Type="http://schemas.openxmlformats.org/officeDocument/2006/relationships/hyperlink" Target="https://drive.google.com/file/d/1Ilr61WpoikcSJTYrRRT96r_48UqtjsuY/view?usp=drivesdk" TargetMode="External"/><Relationship Id="rId5395" Type="http://schemas.openxmlformats.org/officeDocument/2006/relationships/hyperlink" Target="https://drive.google.com/file/d/1Wpz2liMM5mUez2a2GIXpDWJH0b5WQKag/view?usp=drivesdk" TargetMode="External"/><Relationship Id="rId11924" Type="http://schemas.openxmlformats.org/officeDocument/2006/relationships/hyperlink" Target="https://drive.google.com/file/d/1l837ANu7ata9ezTMn7ycucOEUhNIGrH-/view?usp=drivesdk" TargetMode="External"/><Relationship Id="rId4064" Type="http://schemas.openxmlformats.org/officeDocument/2006/relationships/hyperlink" Target="https://drive.google.com/file/d/1uYZQOSQsIFDXMb_jHVnz8cIq7PjqU3O6/view?usp=drivesdk" TargetMode="External"/><Relationship Id="rId5392" Type="http://schemas.openxmlformats.org/officeDocument/2006/relationships/hyperlink" Target="https://drive.google.com/file/d/1RMEAkfdYQo5YILx7eDPYifRbTknxgsjC/view?usp=drivesdk" TargetMode="External"/><Relationship Id="rId11923" Type="http://schemas.openxmlformats.org/officeDocument/2006/relationships/hyperlink" Target="https://drive.google.com/file/d/1qBgJFNYFJChK-I7qt0NdBYCL1YI_G4mK/view?usp=drivesdk" TargetMode="External"/><Relationship Id="rId4063" Type="http://schemas.openxmlformats.org/officeDocument/2006/relationships/hyperlink" Target="https://drive.google.com/file/d/16oklyLtdobzJRK0cDePEKoiE09J7SbAb/view?usp=drivesdk" TargetMode="External"/><Relationship Id="rId5393" Type="http://schemas.openxmlformats.org/officeDocument/2006/relationships/hyperlink" Target="https://drive.google.com/file/d/1fR9LiSuYXYZC27JO4pYHM3NPfxXQRpxH/view?usp=drivesdk" TargetMode="External"/><Relationship Id="rId11922" Type="http://schemas.openxmlformats.org/officeDocument/2006/relationships/hyperlink" Target="https://drive.google.com/file/d/1O_YS5rkVwz5lCXAnUCa5nvqm7-ikC095/view?usp=drivesdk" TargetMode="External"/><Relationship Id="rId4066" Type="http://schemas.openxmlformats.org/officeDocument/2006/relationships/hyperlink" Target="https://drive.google.com/file/d/1g1kxyf5bxfZfcbwUqiDzNOxOA_7UxtEt/view?usp=drivesdk" TargetMode="External"/><Relationship Id="rId5398" Type="http://schemas.openxmlformats.org/officeDocument/2006/relationships/hyperlink" Target="https://drive.google.com/file/d/1IjQTEXbenwdBYBb2JaWGeP8dAwAHq8Qn/view?usp=drivesdk" TargetMode="External"/><Relationship Id="rId4065" Type="http://schemas.openxmlformats.org/officeDocument/2006/relationships/hyperlink" Target="https://drive.google.com/file/d/1x4GNtypJCu0YVIaYgJaJWWyw0IWqRdce/view?usp=drivesdk" TargetMode="External"/><Relationship Id="rId5399" Type="http://schemas.openxmlformats.org/officeDocument/2006/relationships/hyperlink" Target="https://drive.google.com/file/d/1sevlscSDAID-dnF_6crT2r-Gn-F4dyt_/view?usp=drivesdk" TargetMode="External"/><Relationship Id="rId4068" Type="http://schemas.openxmlformats.org/officeDocument/2006/relationships/hyperlink" Target="https://drive.google.com/file/d/1vP0EU0iA1LT1-e4yApprXjaAhfXQhB50/view?usp=drivesdk" TargetMode="External"/><Relationship Id="rId5396" Type="http://schemas.openxmlformats.org/officeDocument/2006/relationships/hyperlink" Target="https://drive.google.com/file/d/1o82S3ng4wrIlxUSw9-kYbnib5Q9qBmzd/view?usp=drivesdk" TargetMode="External"/><Relationship Id="rId4067" Type="http://schemas.openxmlformats.org/officeDocument/2006/relationships/hyperlink" Target="https://drive.google.com/file/d/1Jxmjm_GeofULP4LLjsjZiPQ6CSJmZksj/view?usp=drivesdk" TargetMode="External"/><Relationship Id="rId5397" Type="http://schemas.openxmlformats.org/officeDocument/2006/relationships/hyperlink" Target="https://drive.google.com/file/d/1XCLL3vl-A5Vdjf5NspSzO1Vx0bdZUC0H/view?usp=drivesdk" TargetMode="External"/><Relationship Id="rId4069" Type="http://schemas.openxmlformats.org/officeDocument/2006/relationships/hyperlink" Target="https://drive.google.com/file/d/1h1VROpLk1CnMqySniCfM1jQDGDcvufIX/view?usp=drivesdk" TargetMode="External"/><Relationship Id="rId10608" Type="http://schemas.openxmlformats.org/officeDocument/2006/relationships/hyperlink" Target="https://drive.google.com/file/d/19gbthm_6zRL8JmrICXRQ7In1evNoX9PY/view?usp=drivesdk" TargetMode="External"/><Relationship Id="rId10609" Type="http://schemas.openxmlformats.org/officeDocument/2006/relationships/hyperlink" Target="https://drive.google.com/file/d/1WFcvggI7mt9o3GtTXOKjr4kg7NEUNWEG/view?usp=drivesdk" TargetMode="External"/><Relationship Id="rId11939" Type="http://schemas.openxmlformats.org/officeDocument/2006/relationships/hyperlink" Target="https://drive.google.com/file/d/1fq5xv_GKwjL3810BFF1t4RjHo3mTMvG_/view?usp=drivesdk" TargetMode="External"/><Relationship Id="rId10606" Type="http://schemas.openxmlformats.org/officeDocument/2006/relationships/hyperlink" Target="https://drive.google.com/file/d/1VRSmu3618V0IOYUAtZ7rKwQvVxhnpAOB/view?usp=drivesdk" TargetMode="External"/><Relationship Id="rId11938" Type="http://schemas.openxmlformats.org/officeDocument/2006/relationships/hyperlink" Target="https://drive.google.com/file/d/1Utt8R3EQ5lk4JeVP33w0dY9wKyyTMd0L/view?usp=drivesdk" TargetMode="External"/><Relationship Id="rId10607" Type="http://schemas.openxmlformats.org/officeDocument/2006/relationships/hyperlink" Target="https://drive.google.com/file/d/1LmrA_tAcna5kRziTpSKFcTdLuv8NmB2Z/view?usp=drivesdk" TargetMode="External"/><Relationship Id="rId11937" Type="http://schemas.openxmlformats.org/officeDocument/2006/relationships/hyperlink" Target="https://drive.google.com/file/d/1E3Lgu9MY6wzN16C763E1bPvB_PyvYX7H/view?usp=drivesdk" TargetMode="External"/><Relationship Id="rId10600" Type="http://schemas.openxmlformats.org/officeDocument/2006/relationships/hyperlink" Target="https://drive.google.com/file/d/1aLF-gLMItzM9zxQYhM_1tWCpEWgrltG1/view?usp=drivesdk" TargetMode="External"/><Relationship Id="rId11932" Type="http://schemas.openxmlformats.org/officeDocument/2006/relationships/hyperlink" Target="https://drive.google.com/file/d/1e7LIgdVMLx362H8j39abt3UTr07Gljv5/view?usp=drivesdk" TargetMode="External"/><Relationship Id="rId5380" Type="http://schemas.openxmlformats.org/officeDocument/2006/relationships/hyperlink" Target="https://drive.google.com/file/d/14_GsjGoRFRQVNgtwhK4oGM8WEYWi1jIk/view?usp=drivesdk" TargetMode="External"/><Relationship Id="rId10601" Type="http://schemas.openxmlformats.org/officeDocument/2006/relationships/hyperlink" Target="https://drive.google.com/file/d/1IkY_wx8BSMaWHE909zVIrf0fgh7AyJXY/view?usp=drivesdk" TargetMode="External"/><Relationship Id="rId11931" Type="http://schemas.openxmlformats.org/officeDocument/2006/relationships/hyperlink" Target="https://drive.google.com/file/d/1USWJfWUnPhOBPHyd7_6jAOFssOgkRTAG/view?usp=drivesdk" TargetMode="External"/><Relationship Id="rId11930" Type="http://schemas.openxmlformats.org/officeDocument/2006/relationships/hyperlink" Target="https://drive.google.com/file/d/1rF2ELjF6kEtSPCg4h21F3h57va8UcaDH/view?usp=drivesdk" TargetMode="External"/><Relationship Id="rId4051" Type="http://schemas.openxmlformats.org/officeDocument/2006/relationships/hyperlink" Target="https://drive.google.com/file/d/1p_85hmWlIop40wnZEPL_WlJLzbsCY0xV/view?usp=drivesdk" TargetMode="External"/><Relationship Id="rId5383" Type="http://schemas.openxmlformats.org/officeDocument/2006/relationships/hyperlink" Target="https://drive.google.com/file/d/1EC6y2qToiIcGwYHYR1dwTRMtZ9TD6qWS/view?usp=drivesdk" TargetMode="External"/><Relationship Id="rId10604" Type="http://schemas.openxmlformats.org/officeDocument/2006/relationships/hyperlink" Target="https://drive.google.com/file/d/19lS6KV3TR36hmfKH6mxJQP-OnLzOchei/view?usp=drivesdk" TargetMode="External"/><Relationship Id="rId11936" Type="http://schemas.openxmlformats.org/officeDocument/2006/relationships/hyperlink" Target="https://drive.google.com/file/d/1MtbmO4shvQovsJ0BbbkXJmXtufiWnVOH/view?usp=drivesdk" TargetMode="External"/><Relationship Id="rId4050" Type="http://schemas.openxmlformats.org/officeDocument/2006/relationships/hyperlink" Target="https://drive.google.com/file/d/1GT_GspheWvmV1sIrqUJJs742VLapao6V/view?usp=drivesdk" TargetMode="External"/><Relationship Id="rId5384" Type="http://schemas.openxmlformats.org/officeDocument/2006/relationships/hyperlink" Target="https://drive.google.com/file/d/1xOvK1DmO3d1poznqf4hBwPYFp_vPzymz/view?usp=drivesdk" TargetMode="External"/><Relationship Id="rId10605" Type="http://schemas.openxmlformats.org/officeDocument/2006/relationships/hyperlink" Target="https://drive.google.com/file/d/1HfbFssOzPVUpexsiO-Y2bfzCHxvJUyEM/view?usp=drivesdk" TargetMode="External"/><Relationship Id="rId11935" Type="http://schemas.openxmlformats.org/officeDocument/2006/relationships/hyperlink" Target="https://drive.google.com/file/d/1fzeB5aVfEEo0b8mEvHKJm1ITB_PpxOxj/view?usp=drivesdk" TargetMode="External"/><Relationship Id="rId4053" Type="http://schemas.openxmlformats.org/officeDocument/2006/relationships/hyperlink" Target="https://drive.google.com/file/d/18ESaDufHgSZGJhHcmQ_rEDnJftaceWde/view?usp=drivesdk" TargetMode="External"/><Relationship Id="rId5381" Type="http://schemas.openxmlformats.org/officeDocument/2006/relationships/hyperlink" Target="https://drive.google.com/file/d/1HWmXRU_i0MJykRJAGOHbqrp0IXYDQstZ/view?usp=drivesdk" TargetMode="External"/><Relationship Id="rId10602" Type="http://schemas.openxmlformats.org/officeDocument/2006/relationships/hyperlink" Target="https://drive.google.com/file/d/1ALFyKEJpRBD8HwUR0phBO6tIx3gxM8mV/view?usp=drivesdk" TargetMode="External"/><Relationship Id="rId11934" Type="http://schemas.openxmlformats.org/officeDocument/2006/relationships/hyperlink" Target="https://drive.google.com/file/d/1m-ro6vtPh9EWmFnxaS6GT2a_36hNY3cd/view?usp=drivesdk" TargetMode="External"/><Relationship Id="rId4052" Type="http://schemas.openxmlformats.org/officeDocument/2006/relationships/hyperlink" Target="https://drive.google.com/file/d/1yxk0Z8c69ebHKBj3iWEHFCncOgpsTYKJ/view?usp=drivesdk" TargetMode="External"/><Relationship Id="rId5382" Type="http://schemas.openxmlformats.org/officeDocument/2006/relationships/hyperlink" Target="https://drive.google.com/file/d/1pLlmgTJt5Ms3_KbwKvc1V6h_j-3LlT9a/view?usp=drivesdk" TargetMode="External"/><Relationship Id="rId10603" Type="http://schemas.openxmlformats.org/officeDocument/2006/relationships/hyperlink" Target="https://drive.google.com/file/d/1U1V6WvpyyVu3ah8QFpArVYtX_XRZgu8S/view?usp=drivesdk" TargetMode="External"/><Relationship Id="rId11933" Type="http://schemas.openxmlformats.org/officeDocument/2006/relationships/hyperlink" Target="https://drive.google.com/file/d/1gaF0Dem2yo7N5EI63MP_XOwrAtgMUBg-/view?usp=drivesdk" TargetMode="External"/><Relationship Id="rId4055" Type="http://schemas.openxmlformats.org/officeDocument/2006/relationships/hyperlink" Target="https://drive.google.com/file/d/1AAqOP7-jwwaLim4kYDIfJNy0j1mc_IAS/view?usp=drivesdk" TargetMode="External"/><Relationship Id="rId5387" Type="http://schemas.openxmlformats.org/officeDocument/2006/relationships/hyperlink" Target="https://drive.google.com/file/d/1i4wXRbhMoIhSuiSIpAObVo8AHsy0ZU8o/view?usp=drivesdk" TargetMode="External"/><Relationship Id="rId4054" Type="http://schemas.openxmlformats.org/officeDocument/2006/relationships/hyperlink" Target="https://drive.google.com/file/d/1dwn1EV8zMyTW640tMOARsBb8mSziXIXm/view?usp=drivesdk" TargetMode="External"/><Relationship Id="rId5388" Type="http://schemas.openxmlformats.org/officeDocument/2006/relationships/hyperlink" Target="https://drive.google.com/file/d/1c9Vjr5qjXkVW3FlFjqEd136g_yYVwv2C/view?usp=drivesdk" TargetMode="External"/><Relationship Id="rId4057" Type="http://schemas.openxmlformats.org/officeDocument/2006/relationships/hyperlink" Target="https://drive.google.com/file/d/1JRVg2gpoKPyDHvcK_go6CVjJhGg9v0hS/view?usp=drivesdk" TargetMode="External"/><Relationship Id="rId5385" Type="http://schemas.openxmlformats.org/officeDocument/2006/relationships/hyperlink" Target="https://drive.google.com/file/d/1aOI34otFRQb_UjhbcyPpLj6LXFCcQ9tV/view?usp=drivesdk" TargetMode="External"/><Relationship Id="rId4056" Type="http://schemas.openxmlformats.org/officeDocument/2006/relationships/hyperlink" Target="https://drive.google.com/file/d/1kamygunbGDRxj6PvHSgPAZYHUNRAYSbd/view?usp=drivesdk" TargetMode="External"/><Relationship Id="rId5386" Type="http://schemas.openxmlformats.org/officeDocument/2006/relationships/hyperlink" Target="https://drive.google.com/file/d/1nnyqQME26ybSkeSs4nIaprpqQ7lgqEuD/view?usp=drivesdk" TargetMode="External"/><Relationship Id="rId4059" Type="http://schemas.openxmlformats.org/officeDocument/2006/relationships/hyperlink" Target="https://drive.google.com/file/d/1Sxxl_FAFh9MmwF9dOsp2JxfMykLI14Lo/view?usp=drivesdk" TargetMode="External"/><Relationship Id="rId4058" Type="http://schemas.openxmlformats.org/officeDocument/2006/relationships/hyperlink" Target="https://drive.google.com/file/d/1lt-wGcZIC4zuVgUXoUWEKl3VVlkS5Z5K/view?usp=drivesdk" TargetMode="External"/><Relationship Id="rId5389" Type="http://schemas.openxmlformats.org/officeDocument/2006/relationships/hyperlink" Target="https://drive.google.com/file/d/1X5mfsW8IYB3WpNzXV0pRwm57UtAmaPrV/view?usp=drivesdk" TargetMode="External"/><Relationship Id="rId4008" Type="http://schemas.openxmlformats.org/officeDocument/2006/relationships/hyperlink" Target="https://drive.google.com/file/d/1jt3eavhOP2_hJilRPOPAvY-GQm8NN0ht/view?usp=drivesdk" TargetMode="External"/><Relationship Id="rId4007" Type="http://schemas.openxmlformats.org/officeDocument/2006/relationships/hyperlink" Target="https://drive.google.com/file/d/1-0hJ_cZsOE6V336SSeXKPjYLsTUzVVPX/view?usp=drivesdk" TargetMode="External"/><Relationship Id="rId5338" Type="http://schemas.openxmlformats.org/officeDocument/2006/relationships/hyperlink" Target="https://drive.google.com/file/d/1S8DLEEZp7hpITnNpuka2dB3mi0DkF7y7/view?usp=drivesdk" TargetMode="External"/><Relationship Id="rId6669" Type="http://schemas.openxmlformats.org/officeDocument/2006/relationships/hyperlink" Target="https://drive.google.com/file/d/15iLXV9IT9abX4KZAo_Em0jDZa-t8q4WL/view?usp=drivesdk" TargetMode="External"/><Relationship Id="rId4009" Type="http://schemas.openxmlformats.org/officeDocument/2006/relationships/hyperlink" Target="https://drive.google.com/file/d/10098JtnyLvFzV0-sVq1pj7hp9VwbWGAc/view?usp=drivesdk" TargetMode="External"/><Relationship Id="rId5339" Type="http://schemas.openxmlformats.org/officeDocument/2006/relationships/hyperlink" Target="https://drive.google.com/file/d/1GhH-5jM8-hWgcbhwwVasbLwDiXvfu14e/view?usp=drivesdk" TargetMode="External"/><Relationship Id="rId271" Type="http://schemas.openxmlformats.org/officeDocument/2006/relationships/hyperlink" Target="https://drive.google.com/file/d/1Jb8nMy5taglEI1ai2dOnWHI9whBujkK6/view?usp=drivesdk" TargetMode="External"/><Relationship Id="rId270" Type="http://schemas.openxmlformats.org/officeDocument/2006/relationships/hyperlink" Target="https://drive.google.com/file/d/1vfpjfkVIO5Z6XsabenuUElMAd485u6Wo/view?usp=drivesdk" TargetMode="External"/><Relationship Id="rId10655" Type="http://schemas.openxmlformats.org/officeDocument/2006/relationships/hyperlink" Target="https://drive.google.com/file/d/1B9iywFQj6v8KUtZNhjQN5xPTEHPZGmMa/view?usp=drivesdk" TargetMode="External"/><Relationship Id="rId11987" Type="http://schemas.openxmlformats.org/officeDocument/2006/relationships/hyperlink" Target="https://drive.google.com/file/d/1mH-FrLzz4vfj4ijro6VhWZa6R4meK2cN/view?usp=drivesdk" TargetMode="External"/><Relationship Id="rId10656" Type="http://schemas.openxmlformats.org/officeDocument/2006/relationships/hyperlink" Target="https://drive.google.com/file/d/1OL2Bxa1xFIUfFENVnyPTYSs-DUC-jOZx/view?usp=drivesdk" TargetMode="External"/><Relationship Id="rId11986" Type="http://schemas.openxmlformats.org/officeDocument/2006/relationships/hyperlink" Target="https://drive.google.com/file/d/1ps3Vd2nkXyvfA4nGFkBeQtOlNcz46OGL/view?usp=drivesdk" TargetMode="External"/><Relationship Id="rId10653" Type="http://schemas.openxmlformats.org/officeDocument/2006/relationships/hyperlink" Target="https://drive.google.com/file/d/1xTdb05eTZS77ZBRl_vQu7iQG_2kyixcW/view?usp=drivesdk" TargetMode="External"/><Relationship Id="rId11985" Type="http://schemas.openxmlformats.org/officeDocument/2006/relationships/hyperlink" Target="https://drive.google.com/file/d/1TB5KnV1uv0BDXablRQn6U5cVNrIYZcqV/view?usp=drivesdk" TargetMode="External"/><Relationship Id="rId269" Type="http://schemas.openxmlformats.org/officeDocument/2006/relationships/hyperlink" Target="https://drive.google.com/file/d/1_W3hQpb1hs0kV4xgYhAT_46YUTAIdAKX/view?usp=drivesdk" TargetMode="External"/><Relationship Id="rId10654" Type="http://schemas.openxmlformats.org/officeDocument/2006/relationships/hyperlink" Target="https://drive.google.com/file/d/1H0w61x4E-BHTGaI6hJDP9-ahU8e-jrGk/view?usp=drivesdk" TargetMode="External"/><Relationship Id="rId11984" Type="http://schemas.openxmlformats.org/officeDocument/2006/relationships/hyperlink" Target="https://drive.google.com/file/d/17RisLCbK7k9iuRtlpud0AEQZtMJev-l_/view?usp=drivesdk" TargetMode="External"/><Relationship Id="rId7991" Type="http://schemas.openxmlformats.org/officeDocument/2006/relationships/hyperlink" Target="https://drive.google.com/file/d/1CWLEV_7AGZF-IOUUrcxL4ij9maUeCA5D/view?usp=drivesdk" TargetMode="External"/><Relationship Id="rId10659" Type="http://schemas.openxmlformats.org/officeDocument/2006/relationships/hyperlink" Target="https://drive.google.com/file/d/1bU_ukK2MjSRH1Hpj5fX34Z7IOgS1hDNN/view?usp=drivesdk" TargetMode="External"/><Relationship Id="rId6660" Type="http://schemas.openxmlformats.org/officeDocument/2006/relationships/hyperlink" Target="https://drive.google.com/file/d/19aiieYJq5qR2UVHS5WyBM61GnNPzt2Ir/view?usp=drivesdk" TargetMode="External"/><Relationship Id="rId7990" Type="http://schemas.openxmlformats.org/officeDocument/2006/relationships/hyperlink" Target="https://drive.google.com/file/d/13FrNEKb4nekaXYX03aeWqbfGdmoBajnT/view?usp=drivesdk" TargetMode="External"/><Relationship Id="rId10657" Type="http://schemas.openxmlformats.org/officeDocument/2006/relationships/hyperlink" Target="https://drive.google.com/file/d/1nUEoz-7gzNYjT-1PcdpxqUktBvc51ERU/view?usp=drivesdk" TargetMode="External"/><Relationship Id="rId11989" Type="http://schemas.openxmlformats.org/officeDocument/2006/relationships/hyperlink" Target="https://drive.google.com/file/d/1v6klET68sSCG5WHTsvI24kE9wG3KjXVF/view?usp=drivesdk" TargetMode="External"/><Relationship Id="rId10658" Type="http://schemas.openxmlformats.org/officeDocument/2006/relationships/hyperlink" Target="https://drive.google.com/file/d/1LU0x19dtJVJQX_m8MbuXnLZccp6lf3QQ/view?usp=drivesdk" TargetMode="External"/><Relationship Id="rId11988" Type="http://schemas.openxmlformats.org/officeDocument/2006/relationships/hyperlink" Target="https://drive.google.com/file/d/1dUE1mvgutz15XESHclM5IXjhm_J7FQnT/view?usp=drivesdk" TargetMode="External"/><Relationship Id="rId264" Type="http://schemas.openxmlformats.org/officeDocument/2006/relationships/hyperlink" Target="https://drive.google.com/file/d/1Npcw6LKEHPxD0d5VrBGrrzOra2KseOB_/view?usp=drivesdk" TargetMode="External"/><Relationship Id="rId4000" Type="http://schemas.openxmlformats.org/officeDocument/2006/relationships/hyperlink" Target="https://drive.google.com/file/d/1rP1AebtRwaUv9gkEaLiFBmIwGUg-hPG6/view?usp=drivesdk" TargetMode="External"/><Relationship Id="rId5332" Type="http://schemas.openxmlformats.org/officeDocument/2006/relationships/hyperlink" Target="https://drive.google.com/file/d/1B_v-o-_n71IHtYCOlDqf6I-jzKddbSMI/view?usp=drivesdk" TargetMode="External"/><Relationship Id="rId6663" Type="http://schemas.openxmlformats.org/officeDocument/2006/relationships/hyperlink" Target="https://drive.google.com/file/d/1Jxf4s415-i7px3SIU6cs13hY6LrJrORP/view?usp=drivesdk" TargetMode="External"/><Relationship Id="rId7995" Type="http://schemas.openxmlformats.org/officeDocument/2006/relationships/hyperlink" Target="https://drive.google.com/file/d/1Y-MLqOWD0B5DgInl1jZoZrfT56NIZhfR/view?usp=drivesdk" TargetMode="External"/><Relationship Id="rId263" Type="http://schemas.openxmlformats.org/officeDocument/2006/relationships/hyperlink" Target="https://drive.google.com/file/d/122rS8fPsvMGcOwQ_D_33qaBIVkvGBmJs/view?usp=drivesdk" TargetMode="External"/><Relationship Id="rId5333" Type="http://schemas.openxmlformats.org/officeDocument/2006/relationships/hyperlink" Target="https://drive.google.com/file/d/1jT8tzFNlltDyaDvEXVe7QLXjN8lOU9Pb/view?usp=drivesdk" TargetMode="External"/><Relationship Id="rId6664" Type="http://schemas.openxmlformats.org/officeDocument/2006/relationships/hyperlink" Target="https://drive.google.com/file/d/1BOdRZcynvgQm-ZmoHYfb7pmXCRfB095C/view?usp=drivesdk" TargetMode="External"/><Relationship Id="rId7994" Type="http://schemas.openxmlformats.org/officeDocument/2006/relationships/hyperlink" Target="https://drive.google.com/file/d/1IgUQMAtvcui9PL8PLR5UeqFBTEwIDTvv/view?usp=drivesdk" TargetMode="External"/><Relationship Id="rId262" Type="http://schemas.openxmlformats.org/officeDocument/2006/relationships/hyperlink" Target="https://drive.google.com/file/d/1r-l92c9Fl6qNxWV2h4Lsjh2wLaj93Td-/view?usp=drivesdk" TargetMode="External"/><Relationship Id="rId4002" Type="http://schemas.openxmlformats.org/officeDocument/2006/relationships/hyperlink" Target="https://drive.google.com/file/d/1buKy18rFA-JrcCIDU647eBFAoatVfuRL/view?usp=drivesdk" TargetMode="External"/><Relationship Id="rId5330" Type="http://schemas.openxmlformats.org/officeDocument/2006/relationships/hyperlink" Target="https://drive.google.com/file/d/1LofptS-72FIL1KiGO2pTekePi8btDUI7/view?usp=drivesdk" TargetMode="External"/><Relationship Id="rId6661" Type="http://schemas.openxmlformats.org/officeDocument/2006/relationships/hyperlink" Target="https://drive.google.com/file/d/1alcksFIWsXBSEqdi-HKHUO2nZtb1q0jf/view?usp=drivesdk" TargetMode="External"/><Relationship Id="rId7993" Type="http://schemas.openxmlformats.org/officeDocument/2006/relationships/hyperlink" Target="https://drive.google.com/file/d/1J29Slh1F1QVXlp5_23hVfQNJgLVeBeKI/view?usp=drivesdk" TargetMode="External"/><Relationship Id="rId261" Type="http://schemas.openxmlformats.org/officeDocument/2006/relationships/hyperlink" Target="https://drive.google.com/file/d/1rqbqnXG4c_0_Sx1vVAKo5MwmyQl492GP/view?usp=drivesdk" TargetMode="External"/><Relationship Id="rId4001" Type="http://schemas.openxmlformats.org/officeDocument/2006/relationships/hyperlink" Target="https://drive.google.com/file/d/1AyZFdsdQ4vJM_8WVvbGlO7EFr-x2tKBS/view?usp=drivesdk" TargetMode="External"/><Relationship Id="rId5331" Type="http://schemas.openxmlformats.org/officeDocument/2006/relationships/hyperlink" Target="https://drive.google.com/file/d/1SyMvcai5f7HHh5P3TPUT8nCiXwy_OGCG/view?usp=drivesdk" TargetMode="External"/><Relationship Id="rId6662" Type="http://schemas.openxmlformats.org/officeDocument/2006/relationships/hyperlink" Target="https://drive.google.com/file/d/1UcYRlSenOQJWfNzTQVEvGAXNbCrpQRzj/view?usp=drivesdk" TargetMode="External"/><Relationship Id="rId7992" Type="http://schemas.openxmlformats.org/officeDocument/2006/relationships/hyperlink" Target="https://drive.google.com/file/d/1uzkuHcmHiWDA6G3Em2XvVL5c7p-Oi_Nd/view?usp=drivesdk" TargetMode="External"/><Relationship Id="rId268" Type="http://schemas.openxmlformats.org/officeDocument/2006/relationships/hyperlink" Target="https://drive.google.com/file/d/1RD6c20sSFbjQ5q1lDHiweAxitig6QwY4/view?usp=drivesdk" TargetMode="External"/><Relationship Id="rId4004" Type="http://schemas.openxmlformats.org/officeDocument/2006/relationships/hyperlink" Target="https://drive.google.com/file/d/1cbCWKm1m9wTypebrGMM9q6Z3vnDaC8Zf/view?usp=drivesdk" TargetMode="External"/><Relationship Id="rId5336" Type="http://schemas.openxmlformats.org/officeDocument/2006/relationships/hyperlink" Target="https://drive.google.com/file/d/1i-Y1m01akCKGCXyQsHim2gxN4ZNhX-Vn/view?usp=drivesdk" TargetMode="External"/><Relationship Id="rId6667" Type="http://schemas.openxmlformats.org/officeDocument/2006/relationships/hyperlink" Target="https://drive.google.com/file/d/1nl0LF5GUQncTjns10NLMtEDlLJtFmc5J/view?usp=drivesdk" TargetMode="External"/><Relationship Id="rId7999" Type="http://schemas.openxmlformats.org/officeDocument/2006/relationships/hyperlink" Target="https://drive.google.com/file/d/15lwYA-rMFf4wNjECOILG7DaMmKdsmUx6/view?usp=drivesdk" TargetMode="External"/><Relationship Id="rId10651" Type="http://schemas.openxmlformats.org/officeDocument/2006/relationships/hyperlink" Target="https://drive.google.com/file/d/1N4VaYpgm5JIAUicEoHHvGFRvnt_I-bQo/view?usp=drivesdk" TargetMode="External"/><Relationship Id="rId11983" Type="http://schemas.openxmlformats.org/officeDocument/2006/relationships/hyperlink" Target="https://drive.google.com/file/d/1cLezxOajUbPttvy0x2yvyLHju6Yfq01q/view?usp=drivesdk" TargetMode="External"/><Relationship Id="rId267" Type="http://schemas.openxmlformats.org/officeDocument/2006/relationships/hyperlink" Target="https://drive.google.com/file/d/1wPX4MThnsCXeMPstk2KvM_O6uJRsDP7D/view?usp=drivesdk" TargetMode="External"/><Relationship Id="rId4003" Type="http://schemas.openxmlformats.org/officeDocument/2006/relationships/hyperlink" Target="https://drive.google.com/file/d/1cvNej4F74MM-JniRnWr1JFF_CykymEYj/view?usp=drivesdk" TargetMode="External"/><Relationship Id="rId5337" Type="http://schemas.openxmlformats.org/officeDocument/2006/relationships/hyperlink" Target="https://drive.google.com/file/d/1HftwSpwVCa3YU7YGuRDAV_ckI02_oGPt/view?usp=drivesdk" TargetMode="External"/><Relationship Id="rId6668" Type="http://schemas.openxmlformats.org/officeDocument/2006/relationships/hyperlink" Target="https://drive.google.com/file/d/1iojiTIhb1p4L5PR1uQmhF3Q3DzyJzWeG/view?usp=drivesdk" TargetMode="External"/><Relationship Id="rId7998" Type="http://schemas.openxmlformats.org/officeDocument/2006/relationships/hyperlink" Target="https://drive.google.com/file/d/1K0mGV5gDCn00u2fVLb4SwqD6DxhUZNHc/view?usp=drivesdk" TargetMode="External"/><Relationship Id="rId10652" Type="http://schemas.openxmlformats.org/officeDocument/2006/relationships/hyperlink" Target="https://drive.google.com/file/d/1rclE0S6Nh8wT4KQvzkXOJ0H6gK6Lgwg0/view?usp=drivesdk" TargetMode="External"/><Relationship Id="rId11982" Type="http://schemas.openxmlformats.org/officeDocument/2006/relationships/hyperlink" Target="https://drive.google.com/file/d/1TnhI7ZCeDlQ8EIPV18Ka2nhQlCGxS5h1/view?usp=drivesdk" TargetMode="External"/><Relationship Id="rId266" Type="http://schemas.openxmlformats.org/officeDocument/2006/relationships/hyperlink" Target="https://drive.google.com/file/d/1Xj93FezdFHz7PAp7v9Qjv4uf7srwbne0/view?usp=drivesdk" TargetMode="External"/><Relationship Id="rId4006" Type="http://schemas.openxmlformats.org/officeDocument/2006/relationships/hyperlink" Target="https://drive.google.com/file/d/1GHTfZhnnuVknFkI-pm9A0RpMU096iSca/view?usp=drivesdk" TargetMode="External"/><Relationship Id="rId5334" Type="http://schemas.openxmlformats.org/officeDocument/2006/relationships/hyperlink" Target="https://drive.google.com/file/d/1Ojt9nxP4o-n9R-CzYWYw1MCuDvjyPrja/view?usp=drivesdk" TargetMode="External"/><Relationship Id="rId6665" Type="http://schemas.openxmlformats.org/officeDocument/2006/relationships/hyperlink" Target="https://drive.google.com/file/d/1yDwJF8XCBR6cwBq31O3iidxLGxn452Ul/view?usp=drivesdk" TargetMode="External"/><Relationship Id="rId7997" Type="http://schemas.openxmlformats.org/officeDocument/2006/relationships/hyperlink" Target="https://drive.google.com/file/d/1hqEhmnefe18HrRdM5w_nkFt6umYPNcWT/view?usp=drivesdk" TargetMode="External"/><Relationship Id="rId11981" Type="http://schemas.openxmlformats.org/officeDocument/2006/relationships/hyperlink" Target="https://drive.google.com/file/d/1e3AIUmb7mdC2pWut3UXrM4RIqyjjaE39/view?usp=drivesdk" TargetMode="External"/><Relationship Id="rId265" Type="http://schemas.openxmlformats.org/officeDocument/2006/relationships/hyperlink" Target="https://drive.google.com/file/d/1vbtEt4_K85jVJ7AUTPF73VpzsVr8-A_k/view?usp=drivesdk" TargetMode="External"/><Relationship Id="rId4005" Type="http://schemas.openxmlformats.org/officeDocument/2006/relationships/hyperlink" Target="https://drive.google.com/file/d/1qR4eeCtvhnoHfn1JtNiAytcgO_5-ZbEW/view?usp=drivesdk" TargetMode="External"/><Relationship Id="rId5335" Type="http://schemas.openxmlformats.org/officeDocument/2006/relationships/hyperlink" Target="https://drive.google.com/file/d/1wwv13ifSdMbXzWx0AonEZxoeTBxniyFK/view?usp=drivesdk" TargetMode="External"/><Relationship Id="rId6666" Type="http://schemas.openxmlformats.org/officeDocument/2006/relationships/hyperlink" Target="https://drive.google.com/file/d/1pudCk9zSvaN4PTDthkcODTpMmU0diaTf/view?usp=drivesdk" TargetMode="External"/><Relationship Id="rId7996" Type="http://schemas.openxmlformats.org/officeDocument/2006/relationships/hyperlink" Target="https://drive.google.com/file/d/1Ffneq_Kvcyuy2lx2RL7aI4ibE2_mlMsT/view?usp=drivesdk" TargetMode="External"/><Relationship Id="rId10650" Type="http://schemas.openxmlformats.org/officeDocument/2006/relationships/hyperlink" Target="https://drive.google.com/file/d/1m0ybLsn_p29XkGb607BMCVtwEe-rrkkC/view?usp=drivesdk" TargetMode="External"/><Relationship Id="rId11980" Type="http://schemas.openxmlformats.org/officeDocument/2006/relationships/hyperlink" Target="https://drive.google.com/file/d/1LvpbGxNFSZizOSJxgRam4KJTbf1xUZBx/view?usp=drivesdk" TargetMode="External"/><Relationship Id="rId5329" Type="http://schemas.openxmlformats.org/officeDocument/2006/relationships/hyperlink" Target="https://drive.google.com/file/d/1EDDVhBUUZMcAQM2U3l_22IL2Y-rx9zOf/view?usp=drivesdk" TargetMode="External"/><Relationship Id="rId5327" Type="http://schemas.openxmlformats.org/officeDocument/2006/relationships/hyperlink" Target="https://drive.google.com/file/d/10KN4dzSL_mxkNisH6zastM758rjT_174/view?usp=drivesdk" TargetMode="External"/><Relationship Id="rId6658" Type="http://schemas.openxmlformats.org/officeDocument/2006/relationships/hyperlink" Target="https://drive.google.com/file/d/1zPPoodhLUv0rCmYNmaGB8lr3wfgAby2B/view?usp=drivesdk" TargetMode="External"/><Relationship Id="rId5328" Type="http://schemas.openxmlformats.org/officeDocument/2006/relationships/hyperlink" Target="https://drive.google.com/file/d/10l6oiu3hH2E8vvLSVuENv83cSJCpmBC0/view?usp=drivesdk" TargetMode="External"/><Relationship Id="rId6659" Type="http://schemas.openxmlformats.org/officeDocument/2006/relationships/hyperlink" Target="https://drive.google.com/file/d/1Vxx8XF4mtMWzsTrglqQN8tih4YELl2Ln/view?usp=drivesdk" TargetMode="External"/><Relationship Id="rId7989" Type="http://schemas.openxmlformats.org/officeDocument/2006/relationships/hyperlink" Target="https://drive.google.com/file/d/1fGRVO2CCNQwZfX4Gk9Lt9dLqjGgcYvjf/view?usp=drivesdk" TargetMode="External"/><Relationship Id="rId260" Type="http://schemas.openxmlformats.org/officeDocument/2006/relationships/hyperlink" Target="https://drive.google.com/file/d/1eUajCtSncNMFXRwucYQ0Ry0sCQ5ek1p2/view?usp=drivesdk" TargetMode="External"/><Relationship Id="rId10666" Type="http://schemas.openxmlformats.org/officeDocument/2006/relationships/hyperlink" Target="https://drive.google.com/file/d/1jcn2N1ux4g3WCogeepNATv36jHsaiGva/view?usp=drivesdk" TargetMode="External"/><Relationship Id="rId11998" Type="http://schemas.openxmlformats.org/officeDocument/2006/relationships/hyperlink" Target="https://drive.google.com/file/d/1vQfXKAdVdReYbkEUaowBIbX_pCeYsk6X/view?usp=drivesdk" TargetMode="External"/><Relationship Id="rId10667" Type="http://schemas.openxmlformats.org/officeDocument/2006/relationships/hyperlink" Target="https://drive.google.com/file/d/1d6j386REks1kvLLhYkuaTQMAH9Sj_5uM/view?usp=drivesdk" TargetMode="External"/><Relationship Id="rId11997" Type="http://schemas.openxmlformats.org/officeDocument/2006/relationships/hyperlink" Target="https://drive.google.com/file/d/1uDYVTU23vgJ6jJ7D0GIJZZ5ZP9HpWG8x/view?usp=drivesdk" TargetMode="External"/><Relationship Id="rId259" Type="http://schemas.openxmlformats.org/officeDocument/2006/relationships/hyperlink" Target="https://drive.google.com/file/d/1IqDAzgHc3LjzD_E0gcnctS1vW_dXYx7L/view?usp=drivesdk" TargetMode="External"/><Relationship Id="rId10664" Type="http://schemas.openxmlformats.org/officeDocument/2006/relationships/hyperlink" Target="https://drive.google.com/file/d/1-Sf6EQb2CVXT_VSev7GQVpvVBNboj4TZ/view?usp=drivesdk" TargetMode="External"/><Relationship Id="rId11996" Type="http://schemas.openxmlformats.org/officeDocument/2006/relationships/hyperlink" Target="https://drive.google.com/file/d/1nz6fn_fK4XqH_CZnAhh19nR9tjTZFBIU/view?usp=drivesdk" TargetMode="External"/><Relationship Id="rId258" Type="http://schemas.openxmlformats.org/officeDocument/2006/relationships/hyperlink" Target="https://drive.google.com/file/d/1Q3qHJ140yhjgYAFj27LyaVycvraoSDa8/view?usp=drivesdk" TargetMode="External"/><Relationship Id="rId10665" Type="http://schemas.openxmlformats.org/officeDocument/2006/relationships/hyperlink" Target="https://drive.google.com/file/d/1b1y-qzSsMuzty4HoHMDRnWXSYcZkPbo3/view?usp=drivesdk" TargetMode="External"/><Relationship Id="rId11995" Type="http://schemas.openxmlformats.org/officeDocument/2006/relationships/hyperlink" Target="https://drive.google.com/file/d/1IrUBzqnUAQQVag7H5BWxLLtRoyktacJv/view?usp=drivesdk" TargetMode="External"/><Relationship Id="rId7980" Type="http://schemas.openxmlformats.org/officeDocument/2006/relationships/hyperlink" Target="https://drive.google.com/file/d/1lda_3MeuKCgsVjLAZ9L-Rjn7TzsxYg4I/view?usp=drivesdk" TargetMode="External"/><Relationship Id="rId10668" Type="http://schemas.openxmlformats.org/officeDocument/2006/relationships/hyperlink" Target="https://drive.google.com/file/d/1yegfKu5Vtk_fxl88kLJqaZXk9mXFkZ8Q/view?usp=drivesdk" TargetMode="External"/><Relationship Id="rId10669" Type="http://schemas.openxmlformats.org/officeDocument/2006/relationships/hyperlink" Target="https://drive.google.com/file/d/1rnUaw1Uj66W3TdCwRjSOpXoY7Yv7nc5j/view?usp=drivesdk" TargetMode="External"/><Relationship Id="rId11999" Type="http://schemas.openxmlformats.org/officeDocument/2006/relationships/hyperlink" Target="https://drive.google.com/file/d/1VhgrsXZ0W4y_01I8Em7RtQJ_0C9I62uu/view?usp=drivesdk" TargetMode="External"/><Relationship Id="rId253" Type="http://schemas.openxmlformats.org/officeDocument/2006/relationships/hyperlink" Target="https://drive.google.com/file/d/1RoTwBad9-mYlDD9RwdDEuDtwB3IcT2og/view?usp=drivesdk" TargetMode="External"/><Relationship Id="rId5321" Type="http://schemas.openxmlformats.org/officeDocument/2006/relationships/hyperlink" Target="https://drive.google.com/file/d/1_rlNoCclfgSHbiaDLUg1ZcmEICYT8uRR/view?usp=drivesdk" TargetMode="External"/><Relationship Id="rId6652" Type="http://schemas.openxmlformats.org/officeDocument/2006/relationships/hyperlink" Target="https://drive.google.com/file/d/1oODkZvn5_gXUmhbhNM9kj47QZP_zPu0D/view?usp=drivesdk" TargetMode="External"/><Relationship Id="rId7984" Type="http://schemas.openxmlformats.org/officeDocument/2006/relationships/hyperlink" Target="https://drive.google.com/file/d/1gHMYFb3ZCct4NxfS3W47O65e9j3bLeUZ/view?usp=drivesdk" TargetMode="External"/><Relationship Id="rId11990" Type="http://schemas.openxmlformats.org/officeDocument/2006/relationships/hyperlink" Target="https://drive.google.com/file/d/1i36GpwMPWBqkuPhpRFDYyuUZP6AUpFqy/view?usp=drivesdk" TargetMode="External"/><Relationship Id="rId252" Type="http://schemas.openxmlformats.org/officeDocument/2006/relationships/hyperlink" Target="https://drive.google.com/file/d/12v0QTJconuALn6GBcO96ojYZhPvy2-GJ/view?usp=drivesdk" TargetMode="External"/><Relationship Id="rId5322" Type="http://schemas.openxmlformats.org/officeDocument/2006/relationships/hyperlink" Target="https://drive.google.com/file/d/1Ua-4OKjn0v6XCVW9xw4pgiKwhsNvOwWa/view?usp=drivesdk" TargetMode="External"/><Relationship Id="rId6653" Type="http://schemas.openxmlformats.org/officeDocument/2006/relationships/hyperlink" Target="https://drive.google.com/file/d/1cZlxT16L-EfmqFd9d7pk2LXssW_xtzuN/view?usp=drivesdk" TargetMode="External"/><Relationship Id="rId7983" Type="http://schemas.openxmlformats.org/officeDocument/2006/relationships/hyperlink" Target="https://drive.google.com/file/d/1rQNOP--N6KvlVfM-3bbL3hZ7qbVAixqd/view?usp=drivesdk" TargetMode="External"/><Relationship Id="rId251" Type="http://schemas.openxmlformats.org/officeDocument/2006/relationships/hyperlink" Target="https://drive.google.com/file/d/1uea9XbP8JAIAq4clTCeyNny2Pvjby_4a/view?usp=drivesdk" TargetMode="External"/><Relationship Id="rId6650" Type="http://schemas.openxmlformats.org/officeDocument/2006/relationships/hyperlink" Target="https://drive.google.com/file/d/1VRMmte7MZnKv4CUPO0h_YArvWBs0KN4U/view?usp=drivesdk" TargetMode="External"/><Relationship Id="rId7982" Type="http://schemas.openxmlformats.org/officeDocument/2006/relationships/hyperlink" Target="https://drive.google.com/file/d/1dB2QT1WLafQ8K_7j4cDK-5KbLvLQxpJa/view?usp=drivesdk" TargetMode="External"/><Relationship Id="rId250" Type="http://schemas.openxmlformats.org/officeDocument/2006/relationships/hyperlink" Target="https://drive.google.com/file/d/1qgrWzAvzfM8WD3XG8pvL5WHjK-NDRXhI/view?usp=drivesdk" TargetMode="External"/><Relationship Id="rId5320" Type="http://schemas.openxmlformats.org/officeDocument/2006/relationships/hyperlink" Target="https://drive.google.com/file/d/12P3Pns2VvEN0_ridUEy-rsK79brqpyI-/view?usp=drivesdk" TargetMode="External"/><Relationship Id="rId6651" Type="http://schemas.openxmlformats.org/officeDocument/2006/relationships/hyperlink" Target="https://drive.google.com/file/d/1mt3fyAcwDOf7jeLf0UTGDKpYFP7ha3-b/view?usp=drivesdk" TargetMode="External"/><Relationship Id="rId7981" Type="http://schemas.openxmlformats.org/officeDocument/2006/relationships/hyperlink" Target="https://drive.google.com/file/d/1XDW2K5WHu-e20hIB_nBfmSwsU9hNa8vy/view?usp=drivesdk" TargetMode="External"/><Relationship Id="rId257" Type="http://schemas.openxmlformats.org/officeDocument/2006/relationships/hyperlink" Target="https://drive.google.com/file/d/1DWxjuZVOe4nDxBg9ynG4YP-OVUq-00ob/view?usp=drivesdk" TargetMode="External"/><Relationship Id="rId5325" Type="http://schemas.openxmlformats.org/officeDocument/2006/relationships/hyperlink" Target="https://drive.google.com/file/d/1lqkBXrKTNAD9I-ZLyFKw7e5XJNVXgJgI/view?usp=drivesdk" TargetMode="External"/><Relationship Id="rId6656" Type="http://schemas.openxmlformats.org/officeDocument/2006/relationships/hyperlink" Target="https://drive.google.com/file/d/152IG0CnraDD6OdNA-Pjfo1sgm8IpOhAn/view?usp=drivesdk" TargetMode="External"/><Relationship Id="rId7988" Type="http://schemas.openxmlformats.org/officeDocument/2006/relationships/hyperlink" Target="https://drive.google.com/file/d/1-zU5o6Hum60D5l3-CLe8BUv4zWcbf3dT/view?usp=drivesdk" TargetMode="External"/><Relationship Id="rId10662" Type="http://schemas.openxmlformats.org/officeDocument/2006/relationships/hyperlink" Target="https://drive.google.com/file/d/1aLZmX0YcRvqs5GN0CsCYDsM_VjBzeevJ/view?usp=drivesdk" TargetMode="External"/><Relationship Id="rId11994" Type="http://schemas.openxmlformats.org/officeDocument/2006/relationships/hyperlink" Target="https://drive.google.com/file/d/1X4Ar3MoWynBbiqzL4AigYksrNToQtdCj/view?usp=drivesdk" TargetMode="External"/><Relationship Id="rId256" Type="http://schemas.openxmlformats.org/officeDocument/2006/relationships/hyperlink" Target="https://drive.google.com/file/d/15mKafEA-rM2cv-oXn8XOk5ZR3AMWM5Jg/view?usp=drivesdk" TargetMode="External"/><Relationship Id="rId5326" Type="http://schemas.openxmlformats.org/officeDocument/2006/relationships/hyperlink" Target="https://drive.google.com/file/d/1R4TIrfZ5V90XirPg0VEY5rwlwN-_H4SL/view?usp=drivesdk" TargetMode="External"/><Relationship Id="rId6657" Type="http://schemas.openxmlformats.org/officeDocument/2006/relationships/hyperlink" Target="https://drive.google.com/file/d/1RGdSTtxfih1MPKIbanHYAIY-YcdO_rzM/view?usp=drivesdk" TargetMode="External"/><Relationship Id="rId7987" Type="http://schemas.openxmlformats.org/officeDocument/2006/relationships/hyperlink" Target="https://drive.google.com/file/d/1GYkj4tYkjHKDAbnbn27v6bvpGicPKtGI/view?usp=drivesdk" TargetMode="External"/><Relationship Id="rId10663" Type="http://schemas.openxmlformats.org/officeDocument/2006/relationships/hyperlink" Target="https://drive.google.com/file/d/1Zx-o-ncjYghdAAioI1vX7pj57aKusuyR/view?usp=drivesdk" TargetMode="External"/><Relationship Id="rId11993" Type="http://schemas.openxmlformats.org/officeDocument/2006/relationships/hyperlink" Target="https://drive.google.com/file/d/1LWBE5ADE1uMnqPJu6Bs9WKpY6CLF8Ohg/view?usp=drivesdk" TargetMode="External"/><Relationship Id="rId255" Type="http://schemas.openxmlformats.org/officeDocument/2006/relationships/hyperlink" Target="https://drive.google.com/file/d/1JMeWb-n1cvok9nsE6_Y4b9G-7WRc8DC4/view?usp=drivesdk" TargetMode="External"/><Relationship Id="rId5323" Type="http://schemas.openxmlformats.org/officeDocument/2006/relationships/hyperlink" Target="https://drive.google.com/file/d/1BKE2QpRviNA4a5Oulo1NTUlNITqJUJeY/view?usp=drivesdk" TargetMode="External"/><Relationship Id="rId6654" Type="http://schemas.openxmlformats.org/officeDocument/2006/relationships/hyperlink" Target="https://drive.google.com/file/d/1Y3OIN7bXug-MKCa7k4Vgz1nQxGjAaYYU/view?usp=drivesdk" TargetMode="External"/><Relationship Id="rId7986" Type="http://schemas.openxmlformats.org/officeDocument/2006/relationships/hyperlink" Target="https://drive.google.com/file/d/1DWxLNUN0dZrfOisQwocTP6YVLn6O-nQh/view?usp=drivesdk" TargetMode="External"/><Relationship Id="rId10660" Type="http://schemas.openxmlformats.org/officeDocument/2006/relationships/hyperlink" Target="https://drive.google.com/file/d/1b7HuCqJCpuV6Sv9_oOHGYuUNcEXisazN/view?usp=drivesdk" TargetMode="External"/><Relationship Id="rId11992" Type="http://schemas.openxmlformats.org/officeDocument/2006/relationships/hyperlink" Target="https://drive.google.com/file/d/1cTfa17ixHaoRWAK5xTnfv9MaRCa0vPHq/view?usp=drivesdk" TargetMode="External"/><Relationship Id="rId254" Type="http://schemas.openxmlformats.org/officeDocument/2006/relationships/hyperlink" Target="https://drive.google.com/file/d/1F2m-RTnGEZGkqNrqFHsPXrubfb8XMl9C/view?usp=drivesdk" TargetMode="External"/><Relationship Id="rId5324" Type="http://schemas.openxmlformats.org/officeDocument/2006/relationships/hyperlink" Target="https://drive.google.com/file/d/1Bue0X7QFyZTTcG2CCecxpuPC5Cia61SV/view?usp=drivesdk" TargetMode="External"/><Relationship Id="rId6655" Type="http://schemas.openxmlformats.org/officeDocument/2006/relationships/hyperlink" Target="https://drive.google.com/file/d/1JrcJI12n7Xs9GjrFMCP-Lt5wLh6zpxWZ/view?usp=drivesdk" TargetMode="External"/><Relationship Id="rId7985" Type="http://schemas.openxmlformats.org/officeDocument/2006/relationships/hyperlink" Target="https://drive.google.com/file/d/10SQimRuftGwW-_oZkM5129S2X08dQFpy/view?usp=drivesdk" TargetMode="External"/><Relationship Id="rId10661" Type="http://schemas.openxmlformats.org/officeDocument/2006/relationships/hyperlink" Target="https://drive.google.com/file/d/1PHgW7yD32mH1QmClxGXXdv4c5w0MaoWJ/view?usp=drivesdk" TargetMode="External"/><Relationship Id="rId11991" Type="http://schemas.openxmlformats.org/officeDocument/2006/relationships/hyperlink" Target="https://drive.google.com/file/d/1su193XB9zkWdG5yJ6S1A2KiLXq3ZO0nb/view?usp=drivesdk" TargetMode="External"/><Relationship Id="rId4029" Type="http://schemas.openxmlformats.org/officeDocument/2006/relationships/hyperlink" Target="https://drive.google.com/file/d/1VHYuNtwMXe22hFzUwCc9L2oT1_QokrR3/view?usp=drivesdk" TargetMode="External"/><Relationship Id="rId293" Type="http://schemas.openxmlformats.org/officeDocument/2006/relationships/hyperlink" Target="https://drive.google.com/file/d/1gVrrbnugcIYpK4jux3sO_yuyHVdv86he/view?usp=drivesdk" TargetMode="External"/><Relationship Id="rId292" Type="http://schemas.openxmlformats.org/officeDocument/2006/relationships/hyperlink" Target="https://drive.google.com/file/d/1sTw8YwtlefSi-AgvnlfNyBbzfAqKxTqC/view?usp=drivesdk" TargetMode="External"/><Relationship Id="rId291" Type="http://schemas.openxmlformats.org/officeDocument/2006/relationships/hyperlink" Target="https://drive.google.com/file/d/1bTD6uweTjWJ5B1IZSEnwCW-Ae6i0_Bj3/view?usp=drivesdk" TargetMode="External"/><Relationship Id="rId290" Type="http://schemas.openxmlformats.org/officeDocument/2006/relationships/hyperlink" Target="https://drive.google.com/file/d/1Ro1hf_qZh7bUWII30IOEDZlpCy7o88jH/view?usp=drivesdk" TargetMode="External"/><Relationship Id="rId10639" Type="http://schemas.openxmlformats.org/officeDocument/2006/relationships/hyperlink" Target="https://drive.google.com/file/d/14wynl0ary_-JGb2_9iAuRCFo3R_-MY9Q/view?usp=drivesdk" TargetMode="External"/><Relationship Id="rId10633" Type="http://schemas.openxmlformats.org/officeDocument/2006/relationships/hyperlink" Target="https://drive.google.com/file/d/1S5Mx92AdipTlY3RcX06oSXLhyvHBAwOt/view?usp=drivesdk" TargetMode="External"/><Relationship Id="rId11965" Type="http://schemas.openxmlformats.org/officeDocument/2006/relationships/hyperlink" Target="https://drive.google.com/file/d/1cjZ1HynPZOd3g9jYdCLHw3inAcj9V4ZF/view?usp=drivesdk" TargetMode="External"/><Relationship Id="rId10634" Type="http://schemas.openxmlformats.org/officeDocument/2006/relationships/hyperlink" Target="https://drive.google.com/file/d/1HrPgcG3dnkXspojFqUwLeTjyPfBdGIem/view?usp=drivesdk" TargetMode="External"/><Relationship Id="rId11964" Type="http://schemas.openxmlformats.org/officeDocument/2006/relationships/hyperlink" Target="https://drive.google.com/file/d/11kOCYaEwqfvVKlQDJ3N6wm4AhQux4Fze/view?usp=drivesdk" TargetMode="External"/><Relationship Id="rId10631" Type="http://schemas.openxmlformats.org/officeDocument/2006/relationships/hyperlink" Target="https://drive.google.com/file/d/1dqtAMz2Gc4aSapwTCdrGe1t4i-ZIdczX/view?usp=drivesdk" TargetMode="External"/><Relationship Id="rId11963" Type="http://schemas.openxmlformats.org/officeDocument/2006/relationships/hyperlink" Target="https://drive.google.com/file/d/17Nh3NSFLDDf3hjSTum0Yd_iWg5ddNoyJ/view?usp=drivesdk" TargetMode="External"/><Relationship Id="rId10632" Type="http://schemas.openxmlformats.org/officeDocument/2006/relationships/hyperlink" Target="https://drive.google.com/file/d/1cb9AU9-AX89HDG2l_OefNoovgGpcQ4pl/view?usp=drivesdk" TargetMode="External"/><Relationship Id="rId11962" Type="http://schemas.openxmlformats.org/officeDocument/2006/relationships/hyperlink" Target="https://drive.google.com/file/d/1AuO7mfig5TGIILC8oC2H19em4RVA7MoF/view?usp=drivesdk" TargetMode="External"/><Relationship Id="rId5350" Type="http://schemas.openxmlformats.org/officeDocument/2006/relationships/hyperlink" Target="https://drive.google.com/file/d/1USGnkP2yvdVGYVlCjuj1N9JF1JUcW2Vw/view?usp=drivesdk" TargetMode="External"/><Relationship Id="rId6681" Type="http://schemas.openxmlformats.org/officeDocument/2006/relationships/hyperlink" Target="https://drive.google.com/file/d/1XyXyoMOVGqjt6YtURRTKS_oV1ANwYLYm/view?usp=drivesdk" TargetMode="External"/><Relationship Id="rId10637" Type="http://schemas.openxmlformats.org/officeDocument/2006/relationships/hyperlink" Target="https://drive.google.com/file/d/19EW5H3mH2vxY_93Gmgtz9Ass0vhejjZ6/view?usp=drivesdk" TargetMode="External"/><Relationship Id="rId11969" Type="http://schemas.openxmlformats.org/officeDocument/2006/relationships/hyperlink" Target="https://drive.google.com/file/d/1an2u7MKZCOB6M-xDBKjRegV3uUvCjSaL/view?usp=drivesdk" TargetMode="External"/><Relationship Id="rId5351" Type="http://schemas.openxmlformats.org/officeDocument/2006/relationships/hyperlink" Target="https://drive.google.com/file/d/1eE6cnrycpjIOr3IOMwhUsRbiUr5cbsNX/view?usp=drivesdk" TargetMode="External"/><Relationship Id="rId6682" Type="http://schemas.openxmlformats.org/officeDocument/2006/relationships/hyperlink" Target="https://drive.google.com/file/d/1-5AHqRZhttHuO_SU6T6bPANkylqub-ID/view?usp=drivesdk" TargetMode="External"/><Relationship Id="rId10638" Type="http://schemas.openxmlformats.org/officeDocument/2006/relationships/hyperlink" Target="https://drive.google.com/file/d/1E0uql0LbCDweE7fXjH6vtoorTX7cqSNr/view?usp=drivesdk" TargetMode="External"/><Relationship Id="rId11968" Type="http://schemas.openxmlformats.org/officeDocument/2006/relationships/hyperlink" Target="https://drive.google.com/file/d/1keWFaY2_vrbVY_vRKWvmPpV0CIKj8PCV/view?usp=drivesdk" TargetMode="External"/><Relationship Id="rId4020" Type="http://schemas.openxmlformats.org/officeDocument/2006/relationships/hyperlink" Target="https://drive.google.com/file/d/1eqfUcIz70ImO0-ILAw9txEglvFF_k7-G/view?usp=drivesdk" TargetMode="External"/><Relationship Id="rId10635" Type="http://schemas.openxmlformats.org/officeDocument/2006/relationships/hyperlink" Target="https://drive.google.com/file/d/1X-Ni_vHi4xq4TQ7MhMXF1yvJXdorq07j/view?usp=drivesdk" TargetMode="External"/><Relationship Id="rId11967" Type="http://schemas.openxmlformats.org/officeDocument/2006/relationships/hyperlink" Target="https://drive.google.com/file/d/1onbmi1IzZDeLBhBrDObE-2-dCqIUI4N9/view?usp=drivesdk" TargetMode="External"/><Relationship Id="rId6680" Type="http://schemas.openxmlformats.org/officeDocument/2006/relationships/hyperlink" Target="https://drive.google.com/file/d/1FEJyvjef2K_qXZiJ62YfM58brzhcKO0w/view?usp=drivesdk" TargetMode="External"/><Relationship Id="rId10636" Type="http://schemas.openxmlformats.org/officeDocument/2006/relationships/hyperlink" Target="https://drive.google.com/file/d/1fXTKxcUEuq_9fhXZSWWD9Sd98usgvRbY/view?usp=drivesdk" TargetMode="External"/><Relationship Id="rId11966" Type="http://schemas.openxmlformats.org/officeDocument/2006/relationships/hyperlink" Target="https://drive.google.com/file/d/1Q4hz8QQivzJ7p2bKtWyFGVxnT8hdIxHG/view?usp=drivesdk" TargetMode="External"/><Relationship Id="rId286" Type="http://schemas.openxmlformats.org/officeDocument/2006/relationships/hyperlink" Target="https://drive.google.com/file/d/1kytuhnYv6_CgOfU8p0sLd5rhoZpKmP3u/view?usp=drivesdk" TargetMode="External"/><Relationship Id="rId4022" Type="http://schemas.openxmlformats.org/officeDocument/2006/relationships/hyperlink" Target="https://drive.google.com/file/d/1P2NjymPTNlNKqD_HToW6_KJuXRe6YxG6/view?usp=drivesdk" TargetMode="External"/><Relationship Id="rId5354" Type="http://schemas.openxmlformats.org/officeDocument/2006/relationships/hyperlink" Target="https://drive.google.com/file/d/1WaXmZcfK_SC6naU_uRydMJlPKCynV7vT/view?usp=drivesdk" TargetMode="External"/><Relationship Id="rId6685" Type="http://schemas.openxmlformats.org/officeDocument/2006/relationships/hyperlink" Target="https://drive.google.com/file/d/1tytXRrGcJ-nLmUXMyZrpu8My0Zl2dmu5/view?usp=drivesdk" TargetMode="External"/><Relationship Id="rId285" Type="http://schemas.openxmlformats.org/officeDocument/2006/relationships/hyperlink" Target="https://drive.google.com/file/d/1K9uWyc1EBwgbDkWo_DbklWI52_gdPl9c/view?usp=drivesdk" TargetMode="External"/><Relationship Id="rId4021" Type="http://schemas.openxmlformats.org/officeDocument/2006/relationships/hyperlink" Target="https://drive.google.com/file/d/1N0xZEcujAGk8GiXTrXqKZIZlbP-yqC3j/view?usp=drivesdk" TargetMode="External"/><Relationship Id="rId5355" Type="http://schemas.openxmlformats.org/officeDocument/2006/relationships/hyperlink" Target="https://drive.google.com/file/d/1YNnihPOCy5M2dlAUlNVPlBzP4vDon_y9/view?usp=drivesdk" TargetMode="External"/><Relationship Id="rId6686" Type="http://schemas.openxmlformats.org/officeDocument/2006/relationships/hyperlink" Target="https://drive.google.com/file/d/1l1Z7dZ7eLnu4Vx6vZlQejvy1BQpy1lRq/view?usp=drivesdk" TargetMode="External"/><Relationship Id="rId284" Type="http://schemas.openxmlformats.org/officeDocument/2006/relationships/hyperlink" Target="https://drive.google.com/file/d/1tdqdc9LTyLGbghZ0NcqQri8OmJHhfSw0/view?usp=drivesdk" TargetMode="External"/><Relationship Id="rId4024" Type="http://schemas.openxmlformats.org/officeDocument/2006/relationships/hyperlink" Target="https://drive.google.com/file/d/1Q8jSMSwjiT6RX7gBOwkUjMbF99qzDbbe/view?usp=drivesdk" TargetMode="External"/><Relationship Id="rId5352" Type="http://schemas.openxmlformats.org/officeDocument/2006/relationships/hyperlink" Target="https://drive.google.com/file/d/1e4BTkQefISeDKCdtTs-FQSXQJzI94bXw/view?usp=drivesdk" TargetMode="External"/><Relationship Id="rId6683" Type="http://schemas.openxmlformats.org/officeDocument/2006/relationships/hyperlink" Target="https://drive.google.com/file/d/1tZeVSk1fxLs2ba95fJLzAaC8bMoYdcB4/view?usp=drivesdk" TargetMode="External"/><Relationship Id="rId283" Type="http://schemas.openxmlformats.org/officeDocument/2006/relationships/hyperlink" Target="https://drive.google.com/file/d/1-6HwPOJdJfR-J1N0dZPLNNUjx4J7eTpt/view?usp=drivesdk" TargetMode="External"/><Relationship Id="rId4023" Type="http://schemas.openxmlformats.org/officeDocument/2006/relationships/hyperlink" Target="https://drive.google.com/file/d/1LYb4VthSef8WeXDE2hJ9tm9VH3C9K7qA/view?usp=drivesdk" TargetMode="External"/><Relationship Id="rId5353" Type="http://schemas.openxmlformats.org/officeDocument/2006/relationships/hyperlink" Target="https://drive.google.com/file/d/1GLuDVoNZFDVhRnwYtBhjizVHWLIB6BpL/view?usp=drivesdk" TargetMode="External"/><Relationship Id="rId6684" Type="http://schemas.openxmlformats.org/officeDocument/2006/relationships/hyperlink" Target="https://drive.google.com/file/d/1PRiRi5EclSXmIpIAKzsUK-YuD0D_rCw3/view?usp=drivesdk" TargetMode="External"/><Relationship Id="rId4026" Type="http://schemas.openxmlformats.org/officeDocument/2006/relationships/hyperlink" Target="https://drive.google.com/file/d/13iLlvcwbTX3yvdJ1X5VHWE_f4gu2TbUS/view?usp=drivesdk" TargetMode="External"/><Relationship Id="rId5358" Type="http://schemas.openxmlformats.org/officeDocument/2006/relationships/hyperlink" Target="https://drive.google.com/file/d/1GNoTItvpJa39Dp7I7Ub2R5mKuTlJf-H0/view?usp=drivesdk" TargetMode="External"/><Relationship Id="rId6689" Type="http://schemas.openxmlformats.org/officeDocument/2006/relationships/hyperlink" Target="https://drive.google.com/file/d/1_-d467bw3QuUc3xlQE16lxzK-2K9R5R_/view?usp=drivesdk" TargetMode="External"/><Relationship Id="rId11961" Type="http://schemas.openxmlformats.org/officeDocument/2006/relationships/hyperlink" Target="https://drive.google.com/file/d/1vKwVw_McnI8eRs15pmUuBSKq1YvliWtA/view?usp=drivesdk" TargetMode="External"/><Relationship Id="rId289" Type="http://schemas.openxmlformats.org/officeDocument/2006/relationships/hyperlink" Target="https://drive.google.com/file/d/1Y8rXz6JODwdvB-l2ciI-rzxVH7xW1foi/view?usp=drivesdk" TargetMode="External"/><Relationship Id="rId4025" Type="http://schemas.openxmlformats.org/officeDocument/2006/relationships/hyperlink" Target="https://drive.google.com/file/d/1rZWpwnsh4y3OdKm0cHooWPeLRgFUEp-O/view?usp=drivesdk" TargetMode="External"/><Relationship Id="rId5359" Type="http://schemas.openxmlformats.org/officeDocument/2006/relationships/hyperlink" Target="https://drive.google.com/file/d/1v-mzA1fjEPtxJuoKKLKOrRWRe5z1XrYY/view?usp=drivesdk" TargetMode="External"/><Relationship Id="rId10630" Type="http://schemas.openxmlformats.org/officeDocument/2006/relationships/hyperlink" Target="https://drive.google.com/file/d/16-fCmarsYIe5fDhHslUW6743IUgdIZdv/view?usp=drivesdk" TargetMode="External"/><Relationship Id="rId11960" Type="http://schemas.openxmlformats.org/officeDocument/2006/relationships/hyperlink" Target="https://drive.google.com/file/d/1J-GinPgWnlx9VQ6AaFSVU8smnEQXXQtY/view?usp=drivesdk" TargetMode="External"/><Relationship Id="rId288" Type="http://schemas.openxmlformats.org/officeDocument/2006/relationships/hyperlink" Target="https://drive.google.com/file/d/17qui4NkYpIIX99zZT2abF5iQcjAMR0mY/view?usp=drivesdk" TargetMode="External"/><Relationship Id="rId4028" Type="http://schemas.openxmlformats.org/officeDocument/2006/relationships/hyperlink" Target="https://drive.google.com/file/d/1LzvxTTiiV4UEtWjBspKFyb6YpFo_kKdb/view?usp=drivesdk" TargetMode="External"/><Relationship Id="rId5356" Type="http://schemas.openxmlformats.org/officeDocument/2006/relationships/hyperlink" Target="https://drive.google.com/file/d/16v6Gn9MgV9Sas87tA6Rsv-W8dSTNG6kr/view?usp=drivesdk" TargetMode="External"/><Relationship Id="rId6687" Type="http://schemas.openxmlformats.org/officeDocument/2006/relationships/hyperlink" Target="https://drive.google.com/file/d/1YhYA82_hbwa6EWb9k6ztvnMjRnBMZRXk/view?usp=drivesdk" TargetMode="External"/><Relationship Id="rId287" Type="http://schemas.openxmlformats.org/officeDocument/2006/relationships/hyperlink" Target="https://drive.google.com/file/d/1G8vCbjr7nKUFP1R6TYNOd07YLDu-qP_T/view?usp=drivesdk" TargetMode="External"/><Relationship Id="rId4027" Type="http://schemas.openxmlformats.org/officeDocument/2006/relationships/hyperlink" Target="https://drive.google.com/file/d/1Lm9bw785AkbB1v9_6etnWAJyrqU7lWMJ/view?usp=drivesdk" TargetMode="External"/><Relationship Id="rId5357" Type="http://schemas.openxmlformats.org/officeDocument/2006/relationships/hyperlink" Target="https://drive.google.com/file/d/1ZnBunnRFP4A0jRkXngUXPsgV2It1pk34/view?usp=drivesdk" TargetMode="External"/><Relationship Id="rId6688" Type="http://schemas.openxmlformats.org/officeDocument/2006/relationships/hyperlink" Target="https://drive.google.com/file/d/1roHXQeEiBRdfa93SNzxHrmh5CLx-Wbn-/view?usp=drivesdk" TargetMode="External"/><Relationship Id="rId4019" Type="http://schemas.openxmlformats.org/officeDocument/2006/relationships/hyperlink" Target="https://drive.google.com/file/d/1pAEusEjXw0kUyRVK47xftjxcsJi_nwmr/view?usp=drivesdk" TargetMode="External"/><Relationship Id="rId4018" Type="http://schemas.openxmlformats.org/officeDocument/2006/relationships/hyperlink" Target="https://drive.google.com/file/d/18WgV9H6xjzgIHJ5fqssaT8ik3mEca29y/view?usp=drivesdk" TargetMode="External"/><Relationship Id="rId5349" Type="http://schemas.openxmlformats.org/officeDocument/2006/relationships/hyperlink" Target="https://drive.google.com/file/d/10zIsJLM9f0MAB6tcganQDva5q2F15S5v/view?usp=drivesdk" TargetMode="External"/><Relationship Id="rId282" Type="http://schemas.openxmlformats.org/officeDocument/2006/relationships/hyperlink" Target="https://drive.google.com/file/d/1rJu5e3Va88EqWecgJMIi25RQzw5DM6fL/view?usp=drivesdk" TargetMode="External"/><Relationship Id="rId281" Type="http://schemas.openxmlformats.org/officeDocument/2006/relationships/hyperlink" Target="https://drive.google.com/file/d/1B5Hsf_G9la9c67eLc_Qx0NaQUCBnR_ki/view?usp=drivesdk" TargetMode="External"/><Relationship Id="rId280" Type="http://schemas.openxmlformats.org/officeDocument/2006/relationships/hyperlink" Target="https://drive.google.com/file/d/1lopTfRFMpRyjE4tj_8OHHkcbhknN6Zoe/view?usp=drivesdk" TargetMode="External"/><Relationship Id="rId10644" Type="http://schemas.openxmlformats.org/officeDocument/2006/relationships/hyperlink" Target="https://drive.google.com/file/d/19eXUcRz7UG2F6Bohql_bqhcZ9asTEPYl/view?usp=drivesdk" TargetMode="External"/><Relationship Id="rId11976" Type="http://schemas.openxmlformats.org/officeDocument/2006/relationships/hyperlink" Target="https://drive.google.com/file/d/1OS5N9OaW5ehYOB5y8JyQTK_-h6osO65F/view?usp=drivesdk" TargetMode="External"/><Relationship Id="rId10645" Type="http://schemas.openxmlformats.org/officeDocument/2006/relationships/hyperlink" Target="https://drive.google.com/file/d/1Xvb7ElxoELYPHHN2Q30vU92xN1tQLa4A/view?usp=drivesdk" TargetMode="External"/><Relationship Id="rId11975" Type="http://schemas.openxmlformats.org/officeDocument/2006/relationships/hyperlink" Target="https://drive.google.com/file/d/1HEQJv7qXTkBi6nTiym27m-XYSMqOnI7d/view?usp=drivesdk" TargetMode="External"/><Relationship Id="rId10642" Type="http://schemas.openxmlformats.org/officeDocument/2006/relationships/hyperlink" Target="https://drive.google.com/file/d/1ZK2GwTBloifnFddl8NVYFs-D7nd8ve70/view?usp=drivesdk" TargetMode="External"/><Relationship Id="rId11974" Type="http://schemas.openxmlformats.org/officeDocument/2006/relationships/hyperlink" Target="https://drive.google.com/file/d/1oS_cUq8Z6w2L9Jya_sypb_9U0WALe_YG/view?usp=drivesdk" TargetMode="External"/><Relationship Id="rId10643" Type="http://schemas.openxmlformats.org/officeDocument/2006/relationships/hyperlink" Target="https://drive.google.com/file/d/1bda2xgy2OIsdV6t2dQbmNVkufBWgJNjk/view?usp=drivesdk" TargetMode="External"/><Relationship Id="rId11973" Type="http://schemas.openxmlformats.org/officeDocument/2006/relationships/hyperlink" Target="https://drive.google.com/file/d/1Wpe6Hk1zepw_bDzffrLxVdxDiGq_iWFL/view?usp=drivesdk" TargetMode="External"/><Relationship Id="rId6670" Type="http://schemas.openxmlformats.org/officeDocument/2006/relationships/hyperlink" Target="https://drive.google.com/file/d/1zOasguDHf0W6fe0d8I3C-CCz9xpIywmv/view?usp=drivesdk" TargetMode="External"/><Relationship Id="rId10648" Type="http://schemas.openxmlformats.org/officeDocument/2006/relationships/hyperlink" Target="https://drive.google.com/file/d/1yEz4_kewvHJ3_ofBJ5dcoFkhB7vIUGOP/view?usp=drivesdk" TargetMode="External"/><Relationship Id="rId5340" Type="http://schemas.openxmlformats.org/officeDocument/2006/relationships/hyperlink" Target="https://drive.google.com/file/d/19PBZuLof-kuCWZdzdCmOtYeBg3ILfmMk/view?usp=drivesdk" TargetMode="External"/><Relationship Id="rId6671" Type="http://schemas.openxmlformats.org/officeDocument/2006/relationships/hyperlink" Target="https://drive.google.com/file/d/1-QsASZcPIUrOawP7CVUCRXkHbS8tnNNT/view?usp=drivesdk" TargetMode="External"/><Relationship Id="rId10649" Type="http://schemas.openxmlformats.org/officeDocument/2006/relationships/hyperlink" Target="https://drive.google.com/file/d/18cXxTm1U73gevOTIfaXIYLEH_-GTzYtv/view?usp=drivesdk" TargetMode="External"/><Relationship Id="rId11979" Type="http://schemas.openxmlformats.org/officeDocument/2006/relationships/hyperlink" Target="https://drive.google.com/file/d/1zQ2-Q0-JTLv8atnPowJ7GCdYe1MMspYM/view?usp=drivesdk" TargetMode="External"/><Relationship Id="rId10646" Type="http://schemas.openxmlformats.org/officeDocument/2006/relationships/hyperlink" Target="https://drive.google.com/file/d/1zCeAjnosn3tT-ZqdfI-AgfKsyddG5Mr-/view?usp=drivesdk" TargetMode="External"/><Relationship Id="rId11978" Type="http://schemas.openxmlformats.org/officeDocument/2006/relationships/hyperlink" Target="https://drive.google.com/file/d/1IfRLhgCW_pmx2-HSL0w93OaHEbEp04wz/view?usp=drivesdk" TargetMode="External"/><Relationship Id="rId10647" Type="http://schemas.openxmlformats.org/officeDocument/2006/relationships/hyperlink" Target="https://drive.google.com/file/d/1O0pvB2pvSoz5z4QpeyMJstkfsEU7_7ce/view?usp=drivesdk" TargetMode="External"/><Relationship Id="rId11977" Type="http://schemas.openxmlformats.org/officeDocument/2006/relationships/hyperlink" Target="https://drive.google.com/file/d/1YlLCiqi48KkipxBGUBy_ZefJDQ6HkCYC/view?usp=drivesdk" TargetMode="External"/><Relationship Id="rId275" Type="http://schemas.openxmlformats.org/officeDocument/2006/relationships/hyperlink" Target="https://drive.google.com/file/d/1KCajeZJgbu4b4L4MHItsE0ptpDFRPH8K/view?usp=drivesdk" TargetMode="External"/><Relationship Id="rId4011" Type="http://schemas.openxmlformats.org/officeDocument/2006/relationships/hyperlink" Target="https://drive.google.com/file/d/1jnGnK5GLnSMOROUDkied4YdsnfuvP2Jg/view?usp=drivesdk" TargetMode="External"/><Relationship Id="rId5343" Type="http://schemas.openxmlformats.org/officeDocument/2006/relationships/hyperlink" Target="https://drive.google.com/file/d/16d-W3nj_NE6w6MnAOdWyU-acOI7sq9IY/view?usp=drivesdk" TargetMode="External"/><Relationship Id="rId6674" Type="http://schemas.openxmlformats.org/officeDocument/2006/relationships/hyperlink" Target="https://drive.google.com/file/d/1XBDb39irFZYu1BqHmck6VhigLdB4AtyZ/view?usp=drivesdk" TargetMode="External"/><Relationship Id="rId274" Type="http://schemas.openxmlformats.org/officeDocument/2006/relationships/hyperlink" Target="https://drive.google.com/file/d/1bZH5j9Xun2RJBxpoF8dUohv0UL2X5ZnZ/view?usp=drivesdk" TargetMode="External"/><Relationship Id="rId4010" Type="http://schemas.openxmlformats.org/officeDocument/2006/relationships/hyperlink" Target="https://drive.google.com/file/d/11o79iX_s8SOcPk5YnbraY4QKYOW7OFY0/view?usp=drivesdk" TargetMode="External"/><Relationship Id="rId5344" Type="http://schemas.openxmlformats.org/officeDocument/2006/relationships/hyperlink" Target="https://drive.google.com/file/d/1tvixtS-CR-TeqC6aTFifQ1ZbQ4P8aPRu/view?usp=drivesdk" TargetMode="External"/><Relationship Id="rId6675" Type="http://schemas.openxmlformats.org/officeDocument/2006/relationships/hyperlink" Target="https://drive.google.com/file/d/13jSffFwuRnXIo804L9zQggNbnYjR6YUT/view?usp=drivesdk" TargetMode="External"/><Relationship Id="rId273" Type="http://schemas.openxmlformats.org/officeDocument/2006/relationships/hyperlink" Target="https://drive.google.com/file/d/1mMGMhi1qDkS1GOyIkfEpgJkKkTbSC-tY/view?usp=drivesdk" TargetMode="External"/><Relationship Id="rId4013" Type="http://schemas.openxmlformats.org/officeDocument/2006/relationships/hyperlink" Target="https://drive.google.com/file/d/1yrGM347u2lW78fX-dsh_1OlQlE1N_UxG/view?usp=drivesdk" TargetMode="External"/><Relationship Id="rId5341" Type="http://schemas.openxmlformats.org/officeDocument/2006/relationships/hyperlink" Target="https://drive.google.com/file/d/1Z1lK_oXR-8gCrfh6Gn7qLLwuWIxaactF/view?usp=drivesdk" TargetMode="External"/><Relationship Id="rId6672" Type="http://schemas.openxmlformats.org/officeDocument/2006/relationships/hyperlink" Target="https://drive.google.com/file/d/1TFCzapfEuJ3CXYRbkKfU_mmmSVn--JqJ/view?usp=drivesdk" TargetMode="External"/><Relationship Id="rId272" Type="http://schemas.openxmlformats.org/officeDocument/2006/relationships/hyperlink" Target="https://drive.google.com/file/d/13Ni6l56_yzAwMVvzRxXMHOLZ06SPHInw/view?usp=drivesdk" TargetMode="External"/><Relationship Id="rId4012" Type="http://schemas.openxmlformats.org/officeDocument/2006/relationships/hyperlink" Target="https://drive.google.com/file/d/1bGpLHIS-k_JJ_L3joqMoD3-011FieY5p/view?usp=drivesdk" TargetMode="External"/><Relationship Id="rId5342" Type="http://schemas.openxmlformats.org/officeDocument/2006/relationships/hyperlink" Target="https://drive.google.com/file/d/1LN7Ks8XF9i0rsPda5nCx5n5fmft5zWWz/view?usp=drivesdk" TargetMode="External"/><Relationship Id="rId6673" Type="http://schemas.openxmlformats.org/officeDocument/2006/relationships/hyperlink" Target="https://drive.google.com/file/d/1JBQelOK6ZG26cqWkGiJSlNrTR7U7Aipy/view?usp=drivesdk" TargetMode="External"/><Relationship Id="rId279" Type="http://schemas.openxmlformats.org/officeDocument/2006/relationships/hyperlink" Target="https://drive.google.com/file/d/1Mzzb_SCsTDBQV9VzGuj7NQSsTOM5SIiN/view?usp=drivesdk" TargetMode="External"/><Relationship Id="rId4015" Type="http://schemas.openxmlformats.org/officeDocument/2006/relationships/hyperlink" Target="https://drive.google.com/file/d/1CuRf7bHuD2FtuF4aXKXrChT4IMPfSLJ7/view?usp=drivesdk" TargetMode="External"/><Relationship Id="rId5347" Type="http://schemas.openxmlformats.org/officeDocument/2006/relationships/hyperlink" Target="https://drive.google.com/file/d/17ADUHLPS598MP27kiRbC5k1N6DxjxUww/view?usp=drivesdk" TargetMode="External"/><Relationship Id="rId6678" Type="http://schemas.openxmlformats.org/officeDocument/2006/relationships/hyperlink" Target="https://drive.google.com/file/d/1N4osntDw_bAWSm_78FjSxJhrAlFgRefU/view?usp=drivesdk" TargetMode="External"/><Relationship Id="rId10640" Type="http://schemas.openxmlformats.org/officeDocument/2006/relationships/hyperlink" Target="https://drive.google.com/file/d/14k2rlWCP9ly1ArBcrl8-jbEr6ywThdPx/view?usp=drivesdk" TargetMode="External"/><Relationship Id="rId11972" Type="http://schemas.openxmlformats.org/officeDocument/2006/relationships/hyperlink" Target="https://drive.google.com/file/d/1VPEzw2RsZHp3YZCCBHsOVj07AMsVzKEo/view?usp=drivesdk" TargetMode="External"/><Relationship Id="rId278" Type="http://schemas.openxmlformats.org/officeDocument/2006/relationships/hyperlink" Target="https://drive.google.com/file/d/1-S5kgDSeHNsJ-8QssgZSOhmo7yVfnnUw/view?usp=drivesdk" TargetMode="External"/><Relationship Id="rId4014" Type="http://schemas.openxmlformats.org/officeDocument/2006/relationships/hyperlink" Target="https://drive.google.com/file/d/1CTs6gMP3Pr3wqmQNQnnlx19G3N3hLB5d/view?usp=drivesdk" TargetMode="External"/><Relationship Id="rId5348" Type="http://schemas.openxmlformats.org/officeDocument/2006/relationships/hyperlink" Target="https://drive.google.com/file/d/1Rs6SGbeQfOhsXGvNccaKp521FRuh3zCa/view?usp=drivesdk" TargetMode="External"/><Relationship Id="rId6679" Type="http://schemas.openxmlformats.org/officeDocument/2006/relationships/hyperlink" Target="https://drive.google.com/file/d/1Byu1TM0evHPznmEMi8qXf18pjVYt92_O/view?usp=drivesdk" TargetMode="External"/><Relationship Id="rId10641" Type="http://schemas.openxmlformats.org/officeDocument/2006/relationships/hyperlink" Target="https://drive.google.com/file/d/1rWDFemQ_HQLXlGjjyEr4nuzFeNyhA-60/view?usp=drivesdk" TargetMode="External"/><Relationship Id="rId11971" Type="http://schemas.openxmlformats.org/officeDocument/2006/relationships/hyperlink" Target="https://drive.google.com/file/d/1nOz8Mz5iKnTs1oqe7Dzd1CGOFzjJ5OoZ/view?usp=drivesdk" TargetMode="External"/><Relationship Id="rId277" Type="http://schemas.openxmlformats.org/officeDocument/2006/relationships/hyperlink" Target="https://drive.google.com/file/d/1xBqPRydFt4JhnjZVUF0-A_vgKtS6mOeB/view?usp=drivesdk" TargetMode="External"/><Relationship Id="rId4017" Type="http://schemas.openxmlformats.org/officeDocument/2006/relationships/hyperlink" Target="https://drive.google.com/file/d/1NDFb-VpgDU2S6bHftP7AjEJG_WZ6DaW6/view?usp=drivesdk" TargetMode="External"/><Relationship Id="rId5345" Type="http://schemas.openxmlformats.org/officeDocument/2006/relationships/hyperlink" Target="https://drive.google.com/file/d/1WiF8rFhhAgNOuDYmxeztkdSDFuyxjhaw/view?usp=drivesdk" TargetMode="External"/><Relationship Id="rId6676" Type="http://schemas.openxmlformats.org/officeDocument/2006/relationships/hyperlink" Target="https://drive.google.com/file/d/1LLvQZcVpMjlYo3amSy4mjPBq4rbaZE_S/view?usp=drivesdk" TargetMode="External"/><Relationship Id="rId11970" Type="http://schemas.openxmlformats.org/officeDocument/2006/relationships/hyperlink" Target="https://drive.google.com/file/d/1LGDEqMGun528TysP96wuAjfzQQApoDP3/view?usp=drivesdk" TargetMode="External"/><Relationship Id="rId276" Type="http://schemas.openxmlformats.org/officeDocument/2006/relationships/hyperlink" Target="https://drive.google.com/file/d/1kttdMpOaEmJzbScwectznzi4_sL4p4cb/view?usp=drivesdk" TargetMode="External"/><Relationship Id="rId4016" Type="http://schemas.openxmlformats.org/officeDocument/2006/relationships/hyperlink" Target="https://drive.google.com/file/d/1MmjtFibsDV80GGRzUr_53-P0O7ebTBVY/view?usp=drivesdk" TargetMode="External"/><Relationship Id="rId5346" Type="http://schemas.openxmlformats.org/officeDocument/2006/relationships/hyperlink" Target="https://drive.google.com/file/d/1xySZauwFyHOvRzGXOX9wkaVWkbZbAOjf/view?usp=drivesdk" TargetMode="External"/><Relationship Id="rId6677" Type="http://schemas.openxmlformats.org/officeDocument/2006/relationships/hyperlink" Target="https://drive.google.com/file/d/1il5dgWQNUn4FNVJ6cpghteDJHrUs0hW6/view?usp=drivesdk" TargetMode="External"/><Relationship Id="rId11907" Type="http://schemas.openxmlformats.org/officeDocument/2006/relationships/hyperlink" Target="https://drive.google.com/file/d/11bp-emWsJhso-HaHrkWsmGGasQJqdzTU/view?usp=drivesdk" TargetMode="External"/><Relationship Id="rId11906" Type="http://schemas.openxmlformats.org/officeDocument/2006/relationships/hyperlink" Target="https://drive.google.com/file/d/1HhaA0HzTizREPnx-FlynNpkKCGU1hXIG/view?usp=drivesdk" TargetMode="External"/><Relationship Id="rId11905" Type="http://schemas.openxmlformats.org/officeDocument/2006/relationships/hyperlink" Target="https://drive.google.com/file/d/1TBqhtHhSbtMp2s3--YV2AHV78o06bZSU/view?usp=drivesdk" TargetMode="External"/><Relationship Id="rId11904" Type="http://schemas.openxmlformats.org/officeDocument/2006/relationships/hyperlink" Target="https://drive.google.com/file/d/1jiHt8T6hFHbPuehOQCgSd-xTAcZ60NDH/view?usp=drivesdk" TargetMode="External"/><Relationship Id="rId11909" Type="http://schemas.openxmlformats.org/officeDocument/2006/relationships/hyperlink" Target="https://drive.google.com/file/d/1FCqIIRfMzQ7aqGVPHPEojh7sWEM1QQKl/view?usp=drivesdk" TargetMode="External"/><Relationship Id="rId11908" Type="http://schemas.openxmlformats.org/officeDocument/2006/relationships/hyperlink" Target="https://drive.google.com/file/d/1xwvRsB7roFaoYcjXalRM9I8WEwUr3ZZh/view?usp=drivesdk" TargetMode="External"/><Relationship Id="rId4080" Type="http://schemas.openxmlformats.org/officeDocument/2006/relationships/hyperlink" Target="https://drive.google.com/file/d/1wPY7KyhQWpy912NHCzt7Cdv67MO2WKuv/view?usp=drivesdk" TargetMode="External"/><Relationship Id="rId4082" Type="http://schemas.openxmlformats.org/officeDocument/2006/relationships/hyperlink" Target="https://drive.google.com/file/d/1CvA7E8yRfTKw-PICbf5LO-Dx0BrlQRWT/view?usp=drivesdk" TargetMode="External"/><Relationship Id="rId4081" Type="http://schemas.openxmlformats.org/officeDocument/2006/relationships/hyperlink" Target="https://drive.google.com/file/d/16yg1hfbdHsuE4pOW2lLGENPG1_ME9-wa/view?usp=drivesdk" TargetMode="External"/><Relationship Id="rId4084" Type="http://schemas.openxmlformats.org/officeDocument/2006/relationships/hyperlink" Target="https://drive.google.com/file/d/1hCS03LOYDwdsFYrmP_TeKLZOvIgpt2HC/view?usp=drivesdk" TargetMode="External"/><Relationship Id="rId11903" Type="http://schemas.openxmlformats.org/officeDocument/2006/relationships/hyperlink" Target="https://drive.google.com/file/d/1o_LTiXWQr7i-q06ycu4TDaqjQ3_wwehp/view?usp=drivesdk" TargetMode="External"/><Relationship Id="rId4083" Type="http://schemas.openxmlformats.org/officeDocument/2006/relationships/hyperlink" Target="https://drive.google.com/file/d/1uh5DpxMKRaPCXBDsop8qnnMfSU30SeX7/view?usp=drivesdk" TargetMode="External"/><Relationship Id="rId11902" Type="http://schemas.openxmlformats.org/officeDocument/2006/relationships/hyperlink" Target="https://drive.google.com/file/d/1-aUFr8DF-dxYx9U0OpOMRykT5xif2741/view?usp=drivesdk" TargetMode="External"/><Relationship Id="rId4086" Type="http://schemas.openxmlformats.org/officeDocument/2006/relationships/hyperlink" Target="https://drive.google.com/file/d/1PsgY4uuNZfgRj9Tm3q4tSQOMeMQ8XVkt/view?usp=drivesdk" TargetMode="External"/><Relationship Id="rId11901" Type="http://schemas.openxmlformats.org/officeDocument/2006/relationships/hyperlink" Target="https://drive.google.com/file/d/1ckxhJCpr80Szu8sUF8eFZWGvaWv2f4Dy/view?usp=drivesdk" TargetMode="External"/><Relationship Id="rId4085" Type="http://schemas.openxmlformats.org/officeDocument/2006/relationships/hyperlink" Target="https://drive.google.com/file/d/1GlzwxCWATRVeSxivXiWwyWkkTxayLjHC/view?usp=drivesdk" TargetMode="External"/><Relationship Id="rId11900" Type="http://schemas.openxmlformats.org/officeDocument/2006/relationships/hyperlink" Target="https://drive.google.com/file/d/1iN8P8_TQGYdTggotuwQM9W53hQ2bI415/view?usp=drivesdk" TargetMode="External"/><Relationship Id="rId4088" Type="http://schemas.openxmlformats.org/officeDocument/2006/relationships/hyperlink" Target="https://drive.google.com/file/d/1hGzwdMFQe3RW09Mg3FcAQ4Cxo5IBR28P/view?usp=drivesdk" TargetMode="External"/><Relationship Id="rId4087" Type="http://schemas.openxmlformats.org/officeDocument/2006/relationships/hyperlink" Target="https://drive.google.com/file/d/1JZkztFShZiRwblrGHO4V7YRvyTSwIbBU/view?usp=drivesdk" TargetMode="External"/><Relationship Id="rId4089" Type="http://schemas.openxmlformats.org/officeDocument/2006/relationships/hyperlink" Target="https://drive.google.com/file/d/1tb9LExIhsnfldM3nqOJ3-2cQLiAeWVTe/view?usp=drivesdk" TargetMode="External"/><Relationship Id="rId11918" Type="http://schemas.openxmlformats.org/officeDocument/2006/relationships/hyperlink" Target="https://drive.google.com/file/d/16wmLu1i924qYZDnqGs_qXvIc2yfbZD0e/view?usp=drivesdk" TargetMode="External"/><Relationship Id="rId11917" Type="http://schemas.openxmlformats.org/officeDocument/2006/relationships/hyperlink" Target="https://drive.google.com/file/d/145YqOfNQpsZewQ2rdrMKcIsSajbpFReF/view?usp=drivesdk" TargetMode="External"/><Relationship Id="rId11916" Type="http://schemas.openxmlformats.org/officeDocument/2006/relationships/hyperlink" Target="https://drive.google.com/file/d/1r3MeHj0VTbygA1T3UDg8dbrqqILDm0MQ/view?usp=drivesdk" TargetMode="External"/><Relationship Id="rId11915" Type="http://schemas.openxmlformats.org/officeDocument/2006/relationships/hyperlink" Target="https://drive.google.com/file/d/1Tksk79Ev32kY_F0Ytx89u_yTExNbmVWJ/view?usp=drivesdk" TargetMode="External"/><Relationship Id="rId11919" Type="http://schemas.openxmlformats.org/officeDocument/2006/relationships/hyperlink" Target="https://drive.google.com/file/d/1-Dm1U8YSCRG0EF3zBfhmeLSb5MDPKNQI/view?usp=drivesdk" TargetMode="External"/><Relationship Id="rId11910" Type="http://schemas.openxmlformats.org/officeDocument/2006/relationships/hyperlink" Target="https://drive.google.com/file/d/1VVbGVKmmv2mdczEVjHGWIp8p3LnVfaZ7/view?usp=drivesdk" TargetMode="External"/><Relationship Id="rId4071" Type="http://schemas.openxmlformats.org/officeDocument/2006/relationships/hyperlink" Target="https://drive.google.com/file/d/1Z_r0hJvJB24BIVHy7mXpjRj_MrWsSmsx/view?usp=drivesdk" TargetMode="External"/><Relationship Id="rId4070" Type="http://schemas.openxmlformats.org/officeDocument/2006/relationships/hyperlink" Target="https://drive.google.com/file/d/1CE6-wHCsmAOmDpctmzK3oANyEwCQKdJH/view?usp=drivesdk" TargetMode="External"/><Relationship Id="rId4073" Type="http://schemas.openxmlformats.org/officeDocument/2006/relationships/hyperlink" Target="https://drive.google.com/file/d/1ErcUxM6t5eKsINpcu35a2-q6viYshdx9/view?usp=drivesdk" TargetMode="External"/><Relationship Id="rId11914" Type="http://schemas.openxmlformats.org/officeDocument/2006/relationships/hyperlink" Target="https://drive.google.com/file/d/1GA8SW8ImYGin9WvpZQnFB4sEdHZwim9n/view?usp=drivesdk" TargetMode="External"/><Relationship Id="rId4072" Type="http://schemas.openxmlformats.org/officeDocument/2006/relationships/hyperlink" Target="https://drive.google.com/file/d/1M4FRrsHvTuEg4PZY_3R6E0iGSVt_tL1u/view?usp=drivesdk" TargetMode="External"/><Relationship Id="rId11913" Type="http://schemas.openxmlformats.org/officeDocument/2006/relationships/hyperlink" Target="https://drive.google.com/file/d/11rsMu6Wafey1Df0dTPcIiyYUFTv9CRX1/view?usp=drivesdk" TargetMode="External"/><Relationship Id="rId4075" Type="http://schemas.openxmlformats.org/officeDocument/2006/relationships/hyperlink" Target="https://drive.google.com/file/d/1BpM8CMjoyiR-n5yb6AH3xt-qrV5FUaFl/view?usp=drivesdk" TargetMode="External"/><Relationship Id="rId11912" Type="http://schemas.openxmlformats.org/officeDocument/2006/relationships/hyperlink" Target="https://drive.google.com/file/d/1ZXrqoa7NIGnvL9GrFFL3irRX8g9_T4Zn/view?usp=drivesdk" TargetMode="External"/><Relationship Id="rId4074" Type="http://schemas.openxmlformats.org/officeDocument/2006/relationships/hyperlink" Target="https://drive.google.com/file/d/1Y48DslRYAQ1pGXmBtGAfxYaxDOaPe4uW/view?usp=drivesdk" TargetMode="External"/><Relationship Id="rId11911" Type="http://schemas.openxmlformats.org/officeDocument/2006/relationships/hyperlink" Target="https://drive.google.com/file/d/1eMpXNoCsHRSbJcs9VXzn7029DwCrn06p/view?usp=drivesdk" TargetMode="External"/><Relationship Id="rId4077" Type="http://schemas.openxmlformats.org/officeDocument/2006/relationships/hyperlink" Target="https://drive.google.com/file/d/1QTgQX1-w3WbPH7amRs4D5m0nwltuRavI/view?usp=drivesdk" TargetMode="External"/><Relationship Id="rId4076" Type="http://schemas.openxmlformats.org/officeDocument/2006/relationships/hyperlink" Target="https://drive.google.com/file/d/1UMnuCuwYpNtIzXTstsBd-ZZWt00q0X0Q/view?usp=drivesdk" TargetMode="External"/><Relationship Id="rId4079" Type="http://schemas.openxmlformats.org/officeDocument/2006/relationships/hyperlink" Target="https://drive.google.com/file/d/1Bd1ILc_5wTdpeBH8OW6ySqHE3YAIwQG3/view?usp=drivesdk" TargetMode="External"/><Relationship Id="rId4078" Type="http://schemas.openxmlformats.org/officeDocument/2006/relationships/hyperlink" Target="https://drive.google.com/file/d/1JMQwPb0oAvdTXNmVbdYjV8Sxg228fTC-/view?usp=drivesdk" TargetMode="External"/><Relationship Id="rId4091" Type="http://schemas.openxmlformats.org/officeDocument/2006/relationships/hyperlink" Target="https://drive.google.com/file/d/1dqb1oXV8DL690K1dLSWCRM8YlJZt1PG_/view?usp=drivesdk" TargetMode="External"/><Relationship Id="rId4090" Type="http://schemas.openxmlformats.org/officeDocument/2006/relationships/hyperlink" Target="https://drive.google.com/file/d/16JiMxoShFkEmsd5HOncYTqgbKeUHTTWT/view?usp=drivesdk" TargetMode="External"/><Relationship Id="rId4093" Type="http://schemas.openxmlformats.org/officeDocument/2006/relationships/hyperlink" Target="https://drive.google.com/file/d/1e16HBPy4jxeMjAwio-ROHwskQxpKKaqc/view?usp=drivesdk" TargetMode="External"/><Relationship Id="rId4092" Type="http://schemas.openxmlformats.org/officeDocument/2006/relationships/hyperlink" Target="https://drive.google.com/file/d/18oNOr4lpvevtnT6FjkQx6n7chHNZSzAk/view?usp=drivesdk" TargetMode="External"/><Relationship Id="rId4095" Type="http://schemas.openxmlformats.org/officeDocument/2006/relationships/hyperlink" Target="https://drive.google.com/file/d/1wpjpydo5CQp-ePwgjk6YisNwMfzrsEXI/view?usp=drivesdk" TargetMode="External"/><Relationship Id="rId4094" Type="http://schemas.openxmlformats.org/officeDocument/2006/relationships/hyperlink" Target="https://drive.google.com/file/d/10B2gkz-syhajUwqLdCoRaEayw_rDnIhk/view?usp=drivesdk" TargetMode="External"/><Relationship Id="rId4097" Type="http://schemas.openxmlformats.org/officeDocument/2006/relationships/hyperlink" Target="https://drive.google.com/file/d/1gZuuI55X7Bg3KWoDCTVuyRzPkPTkArLH/view?usp=drivesdk" TargetMode="External"/><Relationship Id="rId4096" Type="http://schemas.openxmlformats.org/officeDocument/2006/relationships/hyperlink" Target="https://drive.google.com/file/d/19-kze__wECSVyW9xx7WWxff7KmeCAGOP/view?usp=drivesdk" TargetMode="External"/><Relationship Id="rId4099" Type="http://schemas.openxmlformats.org/officeDocument/2006/relationships/hyperlink" Target="https://drive.google.com/file/d/1zzvqwIA-iB64gHnG-sy5HpIXfHMYAJcc/view?usp=drivesdk" TargetMode="External"/><Relationship Id="rId4098" Type="http://schemas.openxmlformats.org/officeDocument/2006/relationships/hyperlink" Target="https://drive.google.com/file/d/11adbwKxZDJNLXISGiF_UHtX_9bBkRT94/view?usp=drivesdk" TargetMode="External"/><Relationship Id="rId5417" Type="http://schemas.openxmlformats.org/officeDocument/2006/relationships/hyperlink" Target="https://drive.google.com/file/d/181l-_q5XV2TJVfGK900nYp4nxPlkSY9j/view?usp=drivesdk" TargetMode="External"/><Relationship Id="rId6748" Type="http://schemas.openxmlformats.org/officeDocument/2006/relationships/hyperlink" Target="https://drive.google.com/file/d/1mZYp6HlbS_bgcZATK6lekg1bhNr2Eyni/view?usp=drivesdk" TargetMode="External"/><Relationship Id="rId5418" Type="http://schemas.openxmlformats.org/officeDocument/2006/relationships/hyperlink" Target="https://drive.google.com/file/d/1utDZF0qjrPHWcPv2hIewdq5PFVmvXvVt/view?usp=drivesdk" TargetMode="External"/><Relationship Id="rId6749" Type="http://schemas.openxmlformats.org/officeDocument/2006/relationships/hyperlink" Target="https://drive.google.com/file/d/1C9BeiObrznjAayJLBxwrBFPK5P2RP3P8/view?usp=drivesdk" TargetMode="External"/><Relationship Id="rId5415" Type="http://schemas.openxmlformats.org/officeDocument/2006/relationships/hyperlink" Target="https://drive.google.com/file/d/133kZ2vGbx0TIdqicdSclZ5NbOAzy8oNl/view?usp=drivesdk" TargetMode="External"/><Relationship Id="rId6746" Type="http://schemas.openxmlformats.org/officeDocument/2006/relationships/hyperlink" Target="https://drive.google.com/file/d/1BuZasEX1ClTe8CQyXrqZ1jKe4EwskZVJ/view?usp=drivesdk" TargetMode="External"/><Relationship Id="rId5416" Type="http://schemas.openxmlformats.org/officeDocument/2006/relationships/hyperlink" Target="https://drive.google.com/file/d/13s2b5MIgABkyu-eR7DiPbQr_XQkbD6S0/view?usp=drivesdk" TargetMode="External"/><Relationship Id="rId6747" Type="http://schemas.openxmlformats.org/officeDocument/2006/relationships/hyperlink" Target="https://drive.google.com/file/d/1j2mSy7DeiaPrM7Dr8cwKOWvdIKc_-Pqx/view?usp=drivesdk" TargetMode="External"/><Relationship Id="rId5419" Type="http://schemas.openxmlformats.org/officeDocument/2006/relationships/hyperlink" Target="https://drive.google.com/file/d/1GPOQrf6IlMIPoJrVZ8fA5wd2RKALTQbs/view?usp=drivesdk" TargetMode="External"/><Relationship Id="rId228" Type="http://schemas.openxmlformats.org/officeDocument/2006/relationships/hyperlink" Target="https://drive.google.com/file/d/1zxYLX9IZQJzQW1C47UXAIDX-fz8ySJI2/view?usp=drivesdk" TargetMode="External"/><Relationship Id="rId10699" Type="http://schemas.openxmlformats.org/officeDocument/2006/relationships/hyperlink" Target="https://drive.google.com/file/d/1yu70fiHnoo4WniVFLSFP7G4U7dTSSu_M/view?usp=drivesdk" TargetMode="External"/><Relationship Id="rId227" Type="http://schemas.openxmlformats.org/officeDocument/2006/relationships/hyperlink" Target="https://drive.google.com/file/d/1IvQguKqDyP4x_HxB_n4pPOywMlf8yLUQ/view?usp=drivesdk" TargetMode="External"/><Relationship Id="rId226" Type="http://schemas.openxmlformats.org/officeDocument/2006/relationships/hyperlink" Target="https://drive.google.com/file/d/1xJYFP8vcZUOqh92NL0tkWB977hqqNOq2/view?usp=drivesdk" TargetMode="External"/><Relationship Id="rId10697" Type="http://schemas.openxmlformats.org/officeDocument/2006/relationships/hyperlink" Target="https://drive.google.com/file/d/1HJHoMNbGsk1JL90CgHBQKcrK6su1-V2u/view?usp=drivesdk" TargetMode="External"/><Relationship Id="rId225" Type="http://schemas.openxmlformats.org/officeDocument/2006/relationships/hyperlink" Target="https://drive.google.com/file/d/1SrpLILZM_ykAer3cvbptnYfsRBpj-D6l/view?usp=drivesdk" TargetMode="External"/><Relationship Id="rId10698" Type="http://schemas.openxmlformats.org/officeDocument/2006/relationships/hyperlink" Target="https://drive.google.com/file/d/1oaAi_DuTuzSL9Bvx0-oQMT93VqP_9_8_/view?usp=drivesdk" TargetMode="External"/><Relationship Id="rId229" Type="http://schemas.openxmlformats.org/officeDocument/2006/relationships/hyperlink" Target="https://drive.google.com/file/d/1gPFbzkrTB5LtIorSicm34RN7mVF5txNk/view?usp=drivesdk" TargetMode="External"/><Relationship Id="rId220" Type="http://schemas.openxmlformats.org/officeDocument/2006/relationships/hyperlink" Target="https://drive.google.com/file/d/17Bnx2gk9VPpenLXlAUUAWaAmucL2ASys/view?usp=drivesdk" TargetMode="External"/><Relationship Id="rId6740" Type="http://schemas.openxmlformats.org/officeDocument/2006/relationships/hyperlink" Target="https://drive.google.com/file/d/1h_CRU_Y24CFTxUzTjfWcKLf6dUxBDp6l/view?usp=drivesdk" TargetMode="External"/><Relationship Id="rId10691" Type="http://schemas.openxmlformats.org/officeDocument/2006/relationships/hyperlink" Target="https://drive.google.com/file/d/1Dm6bacFvx3S9Ylve2Rmvgn2L935qcvX2/view?usp=drivesdk" TargetMode="External"/><Relationship Id="rId5410" Type="http://schemas.openxmlformats.org/officeDocument/2006/relationships/hyperlink" Target="https://drive.google.com/file/d/1coQRF649AF66j0K4CA-XRJIXbblLq1E-/view?usp=drivesdk" TargetMode="External"/><Relationship Id="rId6741" Type="http://schemas.openxmlformats.org/officeDocument/2006/relationships/hyperlink" Target="https://drive.google.com/file/d/1dt4YymMJcl-Huzg8JAyl5Ymi33yZdWKY/view?usp=drivesdk" TargetMode="External"/><Relationship Id="rId10692" Type="http://schemas.openxmlformats.org/officeDocument/2006/relationships/hyperlink" Target="https://drive.google.com/file/d/1NxTcDWcp3QANG4ZDQaPJQXAysSZ88HMX/view?usp=drivesdk" TargetMode="External"/><Relationship Id="rId10690" Type="http://schemas.openxmlformats.org/officeDocument/2006/relationships/hyperlink" Target="https://drive.google.com/file/d/1sQ26Hk-QRgT4gqZTGTIrNj2wraRX-QE5/view?usp=drivesdk" TargetMode="External"/><Relationship Id="rId224" Type="http://schemas.openxmlformats.org/officeDocument/2006/relationships/hyperlink" Target="https://drive.google.com/file/d/1oXPFWM8chcckIMBBHySqoWvA4-o5MkXF/view?usp=drivesdk" TargetMode="External"/><Relationship Id="rId5413" Type="http://schemas.openxmlformats.org/officeDocument/2006/relationships/hyperlink" Target="https://drive.google.com/file/d/1CuIxAPcOmQGiB0L2uoCl_Krn3DJdCoyf/view?usp=drivesdk" TargetMode="External"/><Relationship Id="rId6744" Type="http://schemas.openxmlformats.org/officeDocument/2006/relationships/hyperlink" Target="https://drive.google.com/file/d/1xxpKqCEUkvoa4JXtAN5511C7Sz5qFlCg/view?usp=drivesdk" TargetMode="External"/><Relationship Id="rId10695" Type="http://schemas.openxmlformats.org/officeDocument/2006/relationships/hyperlink" Target="https://drive.google.com/file/d/1t5FcQWUuOgsHUxmJN9GGRRnJabGXMaek/view?usp=drivesdk" TargetMode="External"/><Relationship Id="rId223" Type="http://schemas.openxmlformats.org/officeDocument/2006/relationships/hyperlink" Target="https://drive.google.com/file/d/1N6xIsM1JBd0eI49HFf8Lkg5x7R2QsPvg/view?usp=drivesdk" TargetMode="External"/><Relationship Id="rId5414" Type="http://schemas.openxmlformats.org/officeDocument/2006/relationships/hyperlink" Target="https://drive.google.com/file/d/1J7ijf3ScUGG8ix0Dj1V9oy_6iLU7e7X1/view?usp=drivesdk" TargetMode="External"/><Relationship Id="rId6745" Type="http://schemas.openxmlformats.org/officeDocument/2006/relationships/hyperlink" Target="https://drive.google.com/file/d/1WOetulTYAGe4wRTPuxqaHsoDx-ncHeQI/view?usp=drivesdk" TargetMode="External"/><Relationship Id="rId10696" Type="http://schemas.openxmlformats.org/officeDocument/2006/relationships/hyperlink" Target="https://drive.google.com/file/d/1eC9qL4R_3E6my2T36hFUuaTEpS4Dl2Kb/view?usp=drivesdk" TargetMode="External"/><Relationship Id="rId222" Type="http://schemas.openxmlformats.org/officeDocument/2006/relationships/hyperlink" Target="https://drive.google.com/file/d/1AZFHYJcJ4sN18c7mi9MTuHbHVMbUmz8v/view?usp=drivesdk" TargetMode="External"/><Relationship Id="rId5411" Type="http://schemas.openxmlformats.org/officeDocument/2006/relationships/hyperlink" Target="https://drive.google.com/file/d/1KffxwWM_RWGL6RA8GL75bZG8yXnPK7Zf/view?usp=drivesdk" TargetMode="External"/><Relationship Id="rId6742" Type="http://schemas.openxmlformats.org/officeDocument/2006/relationships/hyperlink" Target="https://drive.google.com/file/d/19p9s_fqu17EpgTnQrcy7W8kVK0yB_rNq/view?usp=drivesdk" TargetMode="External"/><Relationship Id="rId10693" Type="http://schemas.openxmlformats.org/officeDocument/2006/relationships/hyperlink" Target="https://drive.google.com/file/d/1DLrCKtB_J7g8x_0MzjjN4NLWlb4BI77X/view?usp=drivesdk" TargetMode="External"/><Relationship Id="rId221" Type="http://schemas.openxmlformats.org/officeDocument/2006/relationships/hyperlink" Target="https://drive.google.com/file/d/1B8GH9GRl6Cgq6oyRWM5qmTEWFj0trCh5/view?usp=drivesdk" TargetMode="External"/><Relationship Id="rId5412" Type="http://schemas.openxmlformats.org/officeDocument/2006/relationships/hyperlink" Target="https://drive.google.com/file/d/1ZzxM-hwtlrkW_gg1KYBmLsIRyM2aNyq0/view?usp=drivesdk" TargetMode="External"/><Relationship Id="rId6743" Type="http://schemas.openxmlformats.org/officeDocument/2006/relationships/hyperlink" Target="https://drive.google.com/file/d/1wu2ZHJiEGGslEx1gl_Z2_m2adKamCvS0/view?usp=drivesdk" TargetMode="External"/><Relationship Id="rId10694" Type="http://schemas.openxmlformats.org/officeDocument/2006/relationships/hyperlink" Target="https://drive.google.com/file/d/1d0vHw1iF6KumBjinMOBdrSqicYYRLqLQ/view?usp=drivesdk" TargetMode="External"/><Relationship Id="rId5406" Type="http://schemas.openxmlformats.org/officeDocument/2006/relationships/hyperlink" Target="https://drive.google.com/file/d/12Ccq7IJUSB9xXoixvzwpGXzCknO8BKsk/view?usp=drivesdk" TargetMode="External"/><Relationship Id="rId6737" Type="http://schemas.openxmlformats.org/officeDocument/2006/relationships/hyperlink" Target="https://drive.google.com/file/d/1H0-O6EP7FqgWWix6xkslDtE_1c-FR9FG/view?usp=drivesdk" TargetMode="External"/><Relationship Id="rId5407" Type="http://schemas.openxmlformats.org/officeDocument/2006/relationships/hyperlink" Target="https://drive.google.com/file/d/1jnbVnqhd6f6mYwtYGRDbeodOlUytiFC4/view?usp=drivesdk" TargetMode="External"/><Relationship Id="rId6738" Type="http://schemas.openxmlformats.org/officeDocument/2006/relationships/hyperlink" Target="https://drive.google.com/file/d/1_b8dA02crIc2VkmSWB1AyCH7svWpgcT-/view?usp=drivesdk" TargetMode="External"/><Relationship Id="rId5404" Type="http://schemas.openxmlformats.org/officeDocument/2006/relationships/hyperlink" Target="https://drive.google.com/file/d/1iRp_399aRa7fF11D_9ggopm6apCbMcGh/view?usp=drivesdk" TargetMode="External"/><Relationship Id="rId6735" Type="http://schemas.openxmlformats.org/officeDocument/2006/relationships/hyperlink" Target="https://drive.google.com/file/d/1RP88FiH1FAcTDk3VuBaJhEqjkh9Rv8SS/view?usp=drivesdk" TargetMode="External"/><Relationship Id="rId5405" Type="http://schemas.openxmlformats.org/officeDocument/2006/relationships/hyperlink" Target="https://drive.google.com/file/d/1FvCwcwIQJhyLYffT-5C8cj2BJC3OZ3-f/view?usp=drivesdk" TargetMode="External"/><Relationship Id="rId6736" Type="http://schemas.openxmlformats.org/officeDocument/2006/relationships/hyperlink" Target="https://drive.google.com/file/d/1mKsAA-wHKBddu0H2fZGosDmEUJ4vQvzL/view?usp=drivesdk" TargetMode="External"/><Relationship Id="rId5408" Type="http://schemas.openxmlformats.org/officeDocument/2006/relationships/hyperlink" Target="https://drive.google.com/file/d/1Yz96nKYWH-OTYvZ_VpxzQmanNK4pu49M/view?usp=drivesdk" TargetMode="External"/><Relationship Id="rId6739" Type="http://schemas.openxmlformats.org/officeDocument/2006/relationships/hyperlink" Target="https://drive.google.com/file/d/161duQCVV2NSd7K9N1kYVidc7YmE_-A2U/view?usp=drivesdk" TargetMode="External"/><Relationship Id="rId5409" Type="http://schemas.openxmlformats.org/officeDocument/2006/relationships/hyperlink" Target="https://drive.google.com/file/d/11yOmrakV-FOMQZz0bki0caz0OFmpyd61/view?usp=drivesdk" TargetMode="External"/><Relationship Id="rId217" Type="http://schemas.openxmlformats.org/officeDocument/2006/relationships/hyperlink" Target="https://drive.google.com/file/d/1KNFeOBFyRFU_PTBYDy8gs7D28_Psv5Nv/view?usp=drivesdk" TargetMode="External"/><Relationship Id="rId216" Type="http://schemas.openxmlformats.org/officeDocument/2006/relationships/hyperlink" Target="https://drive.google.com/file/d/1-vzy3sBKYQDAyyGa23zJGn9-6uORiA3Q/view?usp=drivesdk" TargetMode="External"/><Relationship Id="rId215" Type="http://schemas.openxmlformats.org/officeDocument/2006/relationships/hyperlink" Target="https://drive.google.com/file/d/1NCl64CeqUkFEZvCgAGsawbESLL7Ct7qe/view?usp=drivesdk" TargetMode="External"/><Relationship Id="rId214" Type="http://schemas.openxmlformats.org/officeDocument/2006/relationships/hyperlink" Target="https://drive.google.com/file/d/1BCwXM5c-Kw3_uwbreXBf2qzKwlDtg_bn/view?usp=drivesdk" TargetMode="External"/><Relationship Id="rId219" Type="http://schemas.openxmlformats.org/officeDocument/2006/relationships/hyperlink" Target="https://drive.google.com/file/d/1EOlvbWivrFsRTdnftx7MWs-LBFfZb7v7/view?usp=drivesdk" TargetMode="External"/><Relationship Id="rId218" Type="http://schemas.openxmlformats.org/officeDocument/2006/relationships/hyperlink" Target="https://drive.google.com/file/d/1IrxRcEvtw1EXu2SSVrldLldg9L83ZnXC/view?usp=drivesdk" TargetMode="External"/><Relationship Id="rId6730" Type="http://schemas.openxmlformats.org/officeDocument/2006/relationships/hyperlink" Target="https://drive.google.com/file/d/1GYOa-vy0IpUQrPE6jbzLKa1ROAWa9vGN/view?usp=drivesdk" TargetMode="External"/><Relationship Id="rId213" Type="http://schemas.openxmlformats.org/officeDocument/2006/relationships/hyperlink" Target="https://drive.google.com/file/d/1VA4iq8F6CNX2dSlwWdOwayL8Bi2Qaixx/view?usp=drivesdk" TargetMode="External"/><Relationship Id="rId5402" Type="http://schemas.openxmlformats.org/officeDocument/2006/relationships/hyperlink" Target="https://drive.google.com/file/d/1MYm-bJ1RwEG8Fcdg9xEGDAvpPUz_kt24/view?usp=drivesdk" TargetMode="External"/><Relationship Id="rId6733" Type="http://schemas.openxmlformats.org/officeDocument/2006/relationships/hyperlink" Target="https://drive.google.com/file/d/1gBZQ5cNL7hk6KJtMTgfbEVTHK7owVCQF/view?usp=drivesdk" TargetMode="External"/><Relationship Id="rId212" Type="http://schemas.openxmlformats.org/officeDocument/2006/relationships/hyperlink" Target="https://drive.google.com/file/d/1ERNKuaKCo9glhh2OYMwaA_46lK9DSenV/view?usp=drivesdk" TargetMode="External"/><Relationship Id="rId5403" Type="http://schemas.openxmlformats.org/officeDocument/2006/relationships/hyperlink" Target="https://drive.google.com/file/d/1O2eVM68tAjxSv3mGj8zCNsmgtz5Z34R-/view?usp=drivesdk" TargetMode="External"/><Relationship Id="rId6734" Type="http://schemas.openxmlformats.org/officeDocument/2006/relationships/hyperlink" Target="https://drive.google.com/file/d/1DP89DC1H2GwHoGvAcDO7rGzj0y8pngIS/view?usp=drivesdk" TargetMode="External"/><Relationship Id="rId211" Type="http://schemas.openxmlformats.org/officeDocument/2006/relationships/hyperlink" Target="https://drive.google.com/file/d/1vzedfjnKeldZosnAI8OtN5Manybz-R_I/view?usp=drivesdk" TargetMode="External"/><Relationship Id="rId5400" Type="http://schemas.openxmlformats.org/officeDocument/2006/relationships/hyperlink" Target="https://drive.google.com/file/d/1KBEpNaN82UY-itWHpGBxKiiK6m0k8yst/view?usp=drivesdk" TargetMode="External"/><Relationship Id="rId6731" Type="http://schemas.openxmlformats.org/officeDocument/2006/relationships/hyperlink" Target="https://drive.google.com/file/d/1zIGXEu5ah8hiZdtBh9aVbdrss1XPcGiC/view?usp=drivesdk" TargetMode="External"/><Relationship Id="rId210" Type="http://schemas.openxmlformats.org/officeDocument/2006/relationships/hyperlink" Target="https://drive.google.com/file/d/1uOb5e2pMA4GvUCyfmcBzKPaJ1x02YhW9/view?usp=drivesdk" TargetMode="External"/><Relationship Id="rId5401" Type="http://schemas.openxmlformats.org/officeDocument/2006/relationships/hyperlink" Target="https://drive.google.com/file/d/1prAMSMcUAz1s46UbZnct5u_oOFMnqiVx/view?usp=drivesdk" TargetMode="External"/><Relationship Id="rId6732" Type="http://schemas.openxmlformats.org/officeDocument/2006/relationships/hyperlink" Target="https://drive.google.com/file/d/1dyLvkwtdpPp7hNGR8hmlnwosr1WDhXlK/view?usp=drivesdk" TargetMode="External"/><Relationship Id="rId4107" Type="http://schemas.openxmlformats.org/officeDocument/2006/relationships/hyperlink" Target="https://drive.google.com/file/d/1vZUZvgrI1_a5FRPgvuu5PfnE1gb1P6H5/view?usp=drivesdk" TargetMode="External"/><Relationship Id="rId5439" Type="http://schemas.openxmlformats.org/officeDocument/2006/relationships/hyperlink" Target="https://drive.google.com/file/d/17ptK_kQUXg3g0boMMVEwKcvnAEv80FOp/view?usp=drivesdk" TargetMode="External"/><Relationship Id="rId4106" Type="http://schemas.openxmlformats.org/officeDocument/2006/relationships/hyperlink" Target="https://drive.google.com/file/d/1rxPgBEMDTNVLV98x8glKAafuFJnpCGLI/view?usp=drivesdk" TargetMode="External"/><Relationship Id="rId4109" Type="http://schemas.openxmlformats.org/officeDocument/2006/relationships/hyperlink" Target="https://drive.google.com/file/d/1E7ry2EUMWbKLP-wPwAsEsxc3GAYhQqR6/view?usp=drivesdk" TargetMode="External"/><Relationship Id="rId5437" Type="http://schemas.openxmlformats.org/officeDocument/2006/relationships/hyperlink" Target="https://drive.google.com/file/d/1ClbRYwKy5rPhHCEj83jMAFJQqFDhLhCf/view?usp=drivesdk" TargetMode="External"/><Relationship Id="rId6768" Type="http://schemas.openxmlformats.org/officeDocument/2006/relationships/hyperlink" Target="https://drive.google.com/file/d/1tzRzM1P2MOEj2Xs48nLHa8jsj-aGVGuc/view?usp=drivesdk" TargetMode="External"/><Relationship Id="rId4108" Type="http://schemas.openxmlformats.org/officeDocument/2006/relationships/hyperlink" Target="https://drive.google.com/file/d/1DGQnDWDMeDPaAWVGCWSbV8smj1_Klg8S/view?usp=drivesdk" TargetMode="External"/><Relationship Id="rId5438" Type="http://schemas.openxmlformats.org/officeDocument/2006/relationships/hyperlink" Target="https://drive.google.com/file/d/1h3dFTeNHvVT0W2iWBpThH1Looqoo49M2/view?usp=drivesdk" TargetMode="External"/><Relationship Id="rId6769" Type="http://schemas.openxmlformats.org/officeDocument/2006/relationships/hyperlink" Target="https://drive.google.com/file/d/1NSmXggf4fcTrROX2WSaVkgslLwMAczPk/view?usp=drivesdk" TargetMode="External"/><Relationship Id="rId10677" Type="http://schemas.openxmlformats.org/officeDocument/2006/relationships/hyperlink" Target="https://drive.google.com/file/d/1KZreJesJU6lOxAl1XHNSaRCdO48575rT/view?usp=drivesdk" TargetMode="External"/><Relationship Id="rId249" Type="http://schemas.openxmlformats.org/officeDocument/2006/relationships/hyperlink" Target="https://drive.google.com/file/d/1K6HrZZ5xgeJl_NETyiW6EzlGRMUdzo4-/view?usp=drivesdk" TargetMode="External"/><Relationship Id="rId10678" Type="http://schemas.openxmlformats.org/officeDocument/2006/relationships/hyperlink" Target="https://drive.google.com/file/d/1qw2Fg6rRTMxJXHrlos0MeNpyZhK9mCZz/view?usp=drivesdk" TargetMode="External"/><Relationship Id="rId248" Type="http://schemas.openxmlformats.org/officeDocument/2006/relationships/hyperlink" Target="https://drive.google.com/file/d/1MVE02iOr9r4Os6_c4uHIezK_Hm31UWzc/view?usp=drivesdk" TargetMode="External"/><Relationship Id="rId10675" Type="http://schemas.openxmlformats.org/officeDocument/2006/relationships/hyperlink" Target="https://drive.google.com/file/d/1xBVJxyNkdkzUfmf5JneKY6JvIW5X5NS1/view?usp=drivesdk" TargetMode="External"/><Relationship Id="rId247" Type="http://schemas.openxmlformats.org/officeDocument/2006/relationships/hyperlink" Target="https://drive.google.com/file/d/1_Sovf_KX0wGoTZO80gwYign2y1du41fF/view?usp=drivesdk" TargetMode="External"/><Relationship Id="rId10676" Type="http://schemas.openxmlformats.org/officeDocument/2006/relationships/hyperlink" Target="https://drive.google.com/file/d/17W0x1GCth9ospFCqdCcL66C0e7TvDtn2/view?usp=drivesdk" TargetMode="External"/><Relationship Id="rId10679" Type="http://schemas.openxmlformats.org/officeDocument/2006/relationships/hyperlink" Target="https://drive.google.com/file/d/1EDeNj3MNkcy3AZwaqnkA6zCB78pc6qmR/view?usp=drivesdk" TargetMode="External"/><Relationship Id="rId242" Type="http://schemas.openxmlformats.org/officeDocument/2006/relationships/hyperlink" Target="https://drive.google.com/file/d/1Nu4lVPdHgkq_ccHM9rLA4KvwWSqEc7XI/view?usp=drivesdk" TargetMode="External"/><Relationship Id="rId5431" Type="http://schemas.openxmlformats.org/officeDocument/2006/relationships/hyperlink" Target="https://drive.google.com/file/d/1nJzrEfJTTTyCS-uJwxeYOQEww1y0s0UV/view?usp=drivesdk" TargetMode="External"/><Relationship Id="rId6762" Type="http://schemas.openxmlformats.org/officeDocument/2006/relationships/hyperlink" Target="https://drive.google.com/file/d/151G82ypjCobBpvof38RW0oLjNHPhhHS4/view?usp=drivesdk" TargetMode="External"/><Relationship Id="rId241" Type="http://schemas.openxmlformats.org/officeDocument/2006/relationships/hyperlink" Target="https://drive.google.com/file/d/18OB36DOs_214VWnwYfMy3oYPyU8HxeJ9/view?usp=drivesdk" TargetMode="External"/><Relationship Id="rId5432" Type="http://schemas.openxmlformats.org/officeDocument/2006/relationships/hyperlink" Target="https://drive.google.com/file/d/1CrMnxzKKEh32Rhu4bh7RWngN8eTT4UtA/view?usp=drivesdk" TargetMode="External"/><Relationship Id="rId6763" Type="http://schemas.openxmlformats.org/officeDocument/2006/relationships/hyperlink" Target="https://drive.google.com/file/d/1fptFiS-8ZpVJZydiAQ5oJImjBSapqRbA/view?usp=drivesdk" TargetMode="External"/><Relationship Id="rId10670" Type="http://schemas.openxmlformats.org/officeDocument/2006/relationships/hyperlink" Target="https://drive.google.com/file/d/1qxbVV6dI0ORoyGVEm0PSrKkIkRloFEP7/view?usp=drivesdk" TargetMode="External"/><Relationship Id="rId240" Type="http://schemas.openxmlformats.org/officeDocument/2006/relationships/hyperlink" Target="https://drive.google.com/file/d/1FYFUvw1y9TlCfhKXl8Y_8VQwEw2Isetx/view?usp=drivesdk" TargetMode="External"/><Relationship Id="rId4101" Type="http://schemas.openxmlformats.org/officeDocument/2006/relationships/hyperlink" Target="https://drive.google.com/file/d/1nHDbjL-uIVceh5eXeptgGOaTQYgei4Gr/view?usp=drivesdk" TargetMode="External"/><Relationship Id="rId6760" Type="http://schemas.openxmlformats.org/officeDocument/2006/relationships/hyperlink" Target="https://drive.google.com/file/d/1ZzrB_vbvcaIhQZ4MtvLY8rkihiYaYrPK/view?usp=drivesdk" TargetMode="External"/><Relationship Id="rId4100" Type="http://schemas.openxmlformats.org/officeDocument/2006/relationships/hyperlink" Target="https://drive.google.com/file/d/1WNPn8WKKs9soY9UJCGaIhtSbqUgiCOWG/view?usp=drivesdk" TargetMode="External"/><Relationship Id="rId5430" Type="http://schemas.openxmlformats.org/officeDocument/2006/relationships/hyperlink" Target="https://drive.google.com/file/d/1lzPMoiaFDP_TWn9FGeMa06u9K2EoP0Vp/view?usp=drivesdk" TargetMode="External"/><Relationship Id="rId6761" Type="http://schemas.openxmlformats.org/officeDocument/2006/relationships/hyperlink" Target="https://drive.google.com/file/d/1K_ffk0jabQLe0m5nDBwqNgYg3dTJm64L/view?usp=drivesdk" TargetMode="External"/><Relationship Id="rId246" Type="http://schemas.openxmlformats.org/officeDocument/2006/relationships/hyperlink" Target="https://drive.google.com/file/d/1SKxXSitCMPMjrhZFDaswWZzbIaxVhx_-/view?usp=drivesdk" TargetMode="External"/><Relationship Id="rId4103" Type="http://schemas.openxmlformats.org/officeDocument/2006/relationships/hyperlink" Target="https://drive.google.com/file/d/120imO2CU5iSF26YxWMDkx4g-X-LjsaVU/view?usp=drivesdk" TargetMode="External"/><Relationship Id="rId5435" Type="http://schemas.openxmlformats.org/officeDocument/2006/relationships/hyperlink" Target="https://drive.google.com/file/d/13ZtCjUJlqWZtdsXewPe2FB17MoGXPOQS/view?usp=drivesdk" TargetMode="External"/><Relationship Id="rId6766" Type="http://schemas.openxmlformats.org/officeDocument/2006/relationships/hyperlink" Target="https://drive.google.com/file/d/1LAMftSbveB3CzN6WR43LYKi0uiPHWOR_/view?usp=drivesdk" TargetMode="External"/><Relationship Id="rId10673" Type="http://schemas.openxmlformats.org/officeDocument/2006/relationships/hyperlink" Target="https://drive.google.com/file/d/1F9PHzEgMB_ybnmA5WGm9VcQqs3f7VnkX/view?usp=drivesdk" TargetMode="External"/><Relationship Id="rId245" Type="http://schemas.openxmlformats.org/officeDocument/2006/relationships/hyperlink" Target="https://drive.google.com/file/d/1lrCIkJJs0pcem5nft9M0kcLoy_IzSLKU/view?usp=drivesdk" TargetMode="External"/><Relationship Id="rId4102" Type="http://schemas.openxmlformats.org/officeDocument/2006/relationships/hyperlink" Target="https://drive.google.com/file/d/1vhvtxYxrhar_w3La5azN17hOGuq9Ysmd/view?usp=drivesdk" TargetMode="External"/><Relationship Id="rId5436" Type="http://schemas.openxmlformats.org/officeDocument/2006/relationships/hyperlink" Target="https://drive.google.com/file/d/1AkQihxAwmR7aLkf1j7fkjdX24fSR8uk0/view?usp=drivesdk" TargetMode="External"/><Relationship Id="rId6767" Type="http://schemas.openxmlformats.org/officeDocument/2006/relationships/hyperlink" Target="https://drive.google.com/file/d/189p1a6KAN0Brt-0uatysYaz5YYKZ7P04/view?usp=drivesdk" TargetMode="External"/><Relationship Id="rId10674" Type="http://schemas.openxmlformats.org/officeDocument/2006/relationships/hyperlink" Target="https://drive.google.com/file/d/1d0E5YzfLrCnKjbzbGNhZJ2McnrJFrDPX/view?usp=drivesdk" TargetMode="External"/><Relationship Id="rId244" Type="http://schemas.openxmlformats.org/officeDocument/2006/relationships/hyperlink" Target="https://drive.google.com/file/d/1WTGQisjlciTi2xRXq7MPdDBSaqqJ5mmV/view?usp=drivesdk" TargetMode="External"/><Relationship Id="rId4105" Type="http://schemas.openxmlformats.org/officeDocument/2006/relationships/hyperlink" Target="https://drive.google.com/file/d/1eQ-_vjfKohzomKbPXJs3neM3y0WOwv-p/view?usp=drivesdk" TargetMode="External"/><Relationship Id="rId5433" Type="http://schemas.openxmlformats.org/officeDocument/2006/relationships/hyperlink" Target="https://drive.google.com/file/d/1BTH_dieWbxZot1vWbrVL0N3l08Hutdhk/view?usp=drivesdk" TargetMode="External"/><Relationship Id="rId6764" Type="http://schemas.openxmlformats.org/officeDocument/2006/relationships/hyperlink" Target="https://drive.google.com/file/d/1darRzWigvxlSbIFuW15kSAwifVwYZ80E/view?usp=drivesdk" TargetMode="External"/><Relationship Id="rId10671" Type="http://schemas.openxmlformats.org/officeDocument/2006/relationships/hyperlink" Target="https://drive.google.com/file/d/1Bcx34Pqqtnhdg3dbjqoixAT1g3Zt4O-V/view?usp=drivesdk" TargetMode="External"/><Relationship Id="rId243" Type="http://schemas.openxmlformats.org/officeDocument/2006/relationships/hyperlink" Target="https://drive.google.com/file/d/1pohO-kxzCPpv1MkQ6IP-MXnl35ZilPnA/view?usp=drivesdk" TargetMode="External"/><Relationship Id="rId4104" Type="http://schemas.openxmlformats.org/officeDocument/2006/relationships/hyperlink" Target="https://drive.google.com/file/d/17L8hh6CkKhDBQx2mzE5kYAk1ezFpOaV0/view?usp=drivesdk" TargetMode="External"/><Relationship Id="rId5434" Type="http://schemas.openxmlformats.org/officeDocument/2006/relationships/hyperlink" Target="https://drive.google.com/file/d/1lf3_eYdlzkfoAh2_zy4PeISrQqVJGZKA/view?usp=drivesdk" TargetMode="External"/><Relationship Id="rId6765" Type="http://schemas.openxmlformats.org/officeDocument/2006/relationships/hyperlink" Target="https://drive.google.com/file/d/1YAVRzYEOi_UtRkIfjno5ZBulx2ezvkm_/view?usp=drivesdk" TargetMode="External"/><Relationship Id="rId10672" Type="http://schemas.openxmlformats.org/officeDocument/2006/relationships/hyperlink" Target="https://drive.google.com/file/d/1unZSBcPvm0Z7P8eZ5gL___5Gxt5esqOa/view?usp=drivesdk" TargetMode="External"/><Relationship Id="rId5428" Type="http://schemas.openxmlformats.org/officeDocument/2006/relationships/hyperlink" Target="https://drive.google.com/file/d/1DWsMHfhBrrM7Rgj0Oa14LZtQp8cC1gyQ/view?usp=drivesdk" TargetMode="External"/><Relationship Id="rId6759" Type="http://schemas.openxmlformats.org/officeDocument/2006/relationships/hyperlink" Target="https://drive.google.com/file/d/1-C1ROEyJ0Um89fNJwlQyCyhd3Fb4cJU-/view?usp=drivesdk" TargetMode="External"/><Relationship Id="rId5429" Type="http://schemas.openxmlformats.org/officeDocument/2006/relationships/hyperlink" Target="https://drive.google.com/file/d/1bEHVuSLmlVrsnZMiTOlMITux8yw5c71w/view?usp=drivesdk" TargetMode="External"/><Relationship Id="rId5426" Type="http://schemas.openxmlformats.org/officeDocument/2006/relationships/hyperlink" Target="https://drive.google.com/file/d/1SmbUGx6oNsWAT8M8LztpeCK8RYRUdyvF/view?usp=drivesdk" TargetMode="External"/><Relationship Id="rId6757" Type="http://schemas.openxmlformats.org/officeDocument/2006/relationships/hyperlink" Target="https://drive.google.com/file/d/1o1lxAQ39EIxGouHfEcvFfRza3r8PCOeI/view?usp=drivesdk" TargetMode="External"/><Relationship Id="rId5427" Type="http://schemas.openxmlformats.org/officeDocument/2006/relationships/hyperlink" Target="https://drive.google.com/file/d/1oql6Oc6afuF_0wI5vhMOz6-IOh7DpqfE/view?usp=drivesdk" TargetMode="External"/><Relationship Id="rId6758" Type="http://schemas.openxmlformats.org/officeDocument/2006/relationships/hyperlink" Target="https://drive.google.com/file/d/18L5lv6T8WoewEuz94LG53QMw7MuU3MeE/view?usp=drivesdk" TargetMode="External"/><Relationship Id="rId239" Type="http://schemas.openxmlformats.org/officeDocument/2006/relationships/hyperlink" Target="https://drive.google.com/file/d/1NVPnvcWhyGpcZ6KU2nZAeIBQKWnX6kN4/view?usp=drivesdk" TargetMode="External"/><Relationship Id="rId10688" Type="http://schemas.openxmlformats.org/officeDocument/2006/relationships/hyperlink" Target="https://drive.google.com/file/d/1pnZb5yVPiOR1ZmMy7Zz1fHY7SPDuAaG3/view?usp=drivesdk" TargetMode="External"/><Relationship Id="rId238" Type="http://schemas.openxmlformats.org/officeDocument/2006/relationships/hyperlink" Target="https://drive.google.com/file/d/1a5k9Zx-nSrm2ZEPnzC3EXmOh9RD6da2F/view?usp=drivesdk" TargetMode="External"/><Relationship Id="rId10689" Type="http://schemas.openxmlformats.org/officeDocument/2006/relationships/hyperlink" Target="https://drive.google.com/file/d/1vYbk6rC0LGUH7ZmxwFmHRJnLQYZrEj8b/view?usp=drivesdk" TargetMode="External"/><Relationship Id="rId237" Type="http://schemas.openxmlformats.org/officeDocument/2006/relationships/hyperlink" Target="https://drive.google.com/file/d/132YFu8IxMuXCvBQKVNacjclYdlYbxLPA/view?usp=drivesdk" TargetMode="External"/><Relationship Id="rId10686" Type="http://schemas.openxmlformats.org/officeDocument/2006/relationships/hyperlink" Target="https://drive.google.com/file/d/1M_V6EWc4fz0qaJC8wxXsphNrpCONcA2W/view?usp=drivesdk" TargetMode="External"/><Relationship Id="rId236" Type="http://schemas.openxmlformats.org/officeDocument/2006/relationships/hyperlink" Target="https://drive.google.com/file/d/1cwqzHd0VozObphpi5M6CmiyUiDqO4gy1/view?usp=drivesdk" TargetMode="External"/><Relationship Id="rId10687" Type="http://schemas.openxmlformats.org/officeDocument/2006/relationships/hyperlink" Target="https://drive.google.com/file/d/1vKvXXMC-4RmsXcxYxOKFxHz9YFOhl1Du/view?usp=drivesdk" TargetMode="External"/><Relationship Id="rId231" Type="http://schemas.openxmlformats.org/officeDocument/2006/relationships/hyperlink" Target="https://drive.google.com/file/d/13LfJQazt-pIEI4djhDA7jKxArZGey6QO/view?usp=drivesdk" TargetMode="External"/><Relationship Id="rId5420" Type="http://schemas.openxmlformats.org/officeDocument/2006/relationships/hyperlink" Target="https://drive.google.com/file/d/1vOwqsIGWW3qf86Iwu-h6plbxuwUtYXj4/view?usp=drivesdk" TargetMode="External"/><Relationship Id="rId6751" Type="http://schemas.openxmlformats.org/officeDocument/2006/relationships/hyperlink" Target="https://drive.google.com/file/d/1TMJOLkOSKP4ESAUwlD-xybNvdiOeD-LF/view?usp=drivesdk" TargetMode="External"/><Relationship Id="rId10680" Type="http://schemas.openxmlformats.org/officeDocument/2006/relationships/hyperlink" Target="https://drive.google.com/file/d/1uQ19d0Y5LjZ_MBZn-KsQdWcjeUJBMdBD/view?usp=drivesdk" TargetMode="External"/><Relationship Id="rId230" Type="http://schemas.openxmlformats.org/officeDocument/2006/relationships/hyperlink" Target="https://drive.google.com/file/d/1GAEAN36hsYUhtvnbJjpXzvhrnfDV41dT/view?usp=drivesdk" TargetMode="External"/><Relationship Id="rId5421" Type="http://schemas.openxmlformats.org/officeDocument/2006/relationships/hyperlink" Target="https://drive.google.com/file/d/1NM9aW9KpqzvshD1F4FzE7yK_tjKirMEc/view?usp=drivesdk" TargetMode="External"/><Relationship Id="rId6752" Type="http://schemas.openxmlformats.org/officeDocument/2006/relationships/hyperlink" Target="https://drive.google.com/file/d/1Ugui_PQOKJt2lQ8Xkbhc4GD19QklMkGB/view?usp=drivesdk" TargetMode="External"/><Relationship Id="rId10681" Type="http://schemas.openxmlformats.org/officeDocument/2006/relationships/hyperlink" Target="https://drive.google.com/file/d/1HyfPGfRi8-c3YJsbQs9bfSdx3wP3tvV9/view?usp=drivesdk" TargetMode="External"/><Relationship Id="rId6750" Type="http://schemas.openxmlformats.org/officeDocument/2006/relationships/hyperlink" Target="https://drive.google.com/file/d/1w71N4IXSr81W8dxuMexyx_cCNjq_Ob9N/view?usp=drivesdk" TargetMode="External"/><Relationship Id="rId235" Type="http://schemas.openxmlformats.org/officeDocument/2006/relationships/hyperlink" Target="https://drive.google.com/file/d/1zWKh9xvCEr_0HYZkp149NYuROzWqy8q5/view?usp=drivesdk" TargetMode="External"/><Relationship Id="rId5424" Type="http://schemas.openxmlformats.org/officeDocument/2006/relationships/hyperlink" Target="https://drive.google.com/file/d/1Jzx-4y-TXoJlMK_yxaawJMdDIZb30Ur4/view?usp=drivesdk" TargetMode="External"/><Relationship Id="rId6755" Type="http://schemas.openxmlformats.org/officeDocument/2006/relationships/hyperlink" Target="https://drive.google.com/file/d/11rTqSZrRQziWgrlJq5ueM9NUvSc4wlpb/view?usp=drivesdk" TargetMode="External"/><Relationship Id="rId10684" Type="http://schemas.openxmlformats.org/officeDocument/2006/relationships/hyperlink" Target="https://drive.google.com/file/d/1RrXwhB1CyEkkwyJ76X5pgmD01TGXZzAT/view?usp=drivesdk" TargetMode="External"/><Relationship Id="rId234" Type="http://schemas.openxmlformats.org/officeDocument/2006/relationships/hyperlink" Target="https://drive.google.com/file/d/1Cv2CEXqpuvByCuonada7s2MfPEVNSCqn/view?usp=drivesdk" TargetMode="External"/><Relationship Id="rId5425" Type="http://schemas.openxmlformats.org/officeDocument/2006/relationships/hyperlink" Target="https://drive.google.com/file/d/1cW6Rs0Jf-D2mcjiRvdfEolOBMTmR2kI8/view?usp=drivesdk" TargetMode="External"/><Relationship Id="rId6756" Type="http://schemas.openxmlformats.org/officeDocument/2006/relationships/hyperlink" Target="https://drive.google.com/file/d/17hmBOuBKw7IH9sCSrWuPX1UaEaLznQzY/view?usp=drivesdk" TargetMode="External"/><Relationship Id="rId10685" Type="http://schemas.openxmlformats.org/officeDocument/2006/relationships/hyperlink" Target="https://drive.google.com/file/d/17rjum_g7uoxxeMSD1WK7MEO8ewGDRUTL/view?usp=drivesdk" TargetMode="External"/><Relationship Id="rId233" Type="http://schemas.openxmlformats.org/officeDocument/2006/relationships/hyperlink" Target="https://drive.google.com/file/d/1FjM8MhG5lUFyuj0tCS83R30RIkw3PclF/view?usp=drivesdk" TargetMode="External"/><Relationship Id="rId5422" Type="http://schemas.openxmlformats.org/officeDocument/2006/relationships/hyperlink" Target="https://drive.google.com/file/d/1UoazT5ZrI5Lp2qUhM-w3SK6wdMxJOS2S/view?usp=drivesdk" TargetMode="External"/><Relationship Id="rId6753" Type="http://schemas.openxmlformats.org/officeDocument/2006/relationships/hyperlink" Target="https://drive.google.com/file/d/1T6UlS72yuWh3FxstZtrCykhSGTo5XfnO/view?usp=drivesdk" TargetMode="External"/><Relationship Id="rId10682" Type="http://schemas.openxmlformats.org/officeDocument/2006/relationships/hyperlink" Target="https://drive.google.com/file/d/15eHoGUWEzImn8JWjM4jQ8_TWIN782Rbn/view?usp=drivesdk" TargetMode="External"/><Relationship Id="rId232" Type="http://schemas.openxmlformats.org/officeDocument/2006/relationships/hyperlink" Target="https://drive.google.com/file/d/1C645NeQ1VbgrmpgVebM6RVsGLDFJ-pMy/view?usp=drivesdk" TargetMode="External"/><Relationship Id="rId5423" Type="http://schemas.openxmlformats.org/officeDocument/2006/relationships/hyperlink" Target="https://drive.google.com/file/d/1JITKy4Vx6YJ_OPQctWv8IqUkEapolr9U/view?usp=drivesdk" TargetMode="External"/><Relationship Id="rId6754" Type="http://schemas.openxmlformats.org/officeDocument/2006/relationships/hyperlink" Target="https://drive.google.com/file/d/175UOLf6DJH51KIzST9l7RfKj897-FnL8/view?usp=drivesdk" TargetMode="External"/><Relationship Id="rId10683" Type="http://schemas.openxmlformats.org/officeDocument/2006/relationships/hyperlink" Target="https://drive.google.com/file/d/1DWpF4CRWAhJffAhs-4kZChSsw26Kdaaz/view?usp=drivesdk" TargetMode="External"/><Relationship Id="rId6704" Type="http://schemas.openxmlformats.org/officeDocument/2006/relationships/hyperlink" Target="https://drive.google.com/file/d/1YZykOuEQr5Oen3Lj8W_OAT-bYanB7g-e/view?usp=drivesdk" TargetMode="External"/><Relationship Id="rId6705" Type="http://schemas.openxmlformats.org/officeDocument/2006/relationships/hyperlink" Target="https://drive.google.com/file/d/1kwtIwzOtz5ToRlbIrIUA3IQ-ZftatYNT/view?usp=drivesdk" TargetMode="External"/><Relationship Id="rId6702" Type="http://schemas.openxmlformats.org/officeDocument/2006/relationships/hyperlink" Target="https://drive.google.com/file/d/1P0n8lj_1rTjcd5Jgy7bTDMPmJAgFNMeD/view?usp=drivesdk" TargetMode="External"/><Relationship Id="rId6703" Type="http://schemas.openxmlformats.org/officeDocument/2006/relationships/hyperlink" Target="https://drive.google.com/file/d/10J-gDD8YwEFGVMXqI9ijMgM0rJsvC2FO/view?usp=drivesdk" TargetMode="External"/><Relationship Id="rId6708" Type="http://schemas.openxmlformats.org/officeDocument/2006/relationships/hyperlink" Target="https://drive.google.com/file/d/1mkEHCTX2J-338tX55RbUfRVUe5B1Qh8a/view?usp=drivesdk" TargetMode="External"/><Relationship Id="rId6709" Type="http://schemas.openxmlformats.org/officeDocument/2006/relationships/hyperlink" Target="https://drive.google.com/file/d/1GdskxM2VeNvOvplcK4jIVwRfx6KqnFb9/view?usp=drivesdk" TargetMode="External"/><Relationship Id="rId6706" Type="http://schemas.openxmlformats.org/officeDocument/2006/relationships/hyperlink" Target="https://drive.google.com/file/d/18gR6LO4f15bsSSNGupajQfuSe5ZTaoVE/view?usp=drivesdk" TargetMode="External"/><Relationship Id="rId6707" Type="http://schemas.openxmlformats.org/officeDocument/2006/relationships/hyperlink" Target="https://drive.google.com/file/d/1D6YP_HLTfc8jtP0Qa0knZhlAgyratea1/view?usp=drivesdk" TargetMode="External"/><Relationship Id="rId6700" Type="http://schemas.openxmlformats.org/officeDocument/2006/relationships/hyperlink" Target="https://drive.google.com/file/d/1TKlEdn6LrF8QSefyF2DVTLmrvQ-hzG5S/view?usp=drivesdk" TargetMode="External"/><Relationship Id="rId6701" Type="http://schemas.openxmlformats.org/officeDocument/2006/relationships/hyperlink" Target="https://drive.google.com/file/d/1vR8nY9Mf2-zT4GuSJ6BSqtRduAj5HiRo/view?usp=drivesdk" TargetMode="External"/><Relationship Id="rId6726" Type="http://schemas.openxmlformats.org/officeDocument/2006/relationships/hyperlink" Target="https://drive.google.com/file/d/14QCjhGUOFy1RbSb6OqP7TlgXwGuqUAVD/view?usp=drivesdk" TargetMode="External"/><Relationship Id="rId6727" Type="http://schemas.openxmlformats.org/officeDocument/2006/relationships/hyperlink" Target="https://drive.google.com/file/d/1xsnYX0LSJA4xmT00FQRXq4nBO0DvNEp3/view?usp=drivesdk" TargetMode="External"/><Relationship Id="rId6724" Type="http://schemas.openxmlformats.org/officeDocument/2006/relationships/hyperlink" Target="https://drive.google.com/file/d/10FUcM6HqtpR-OSVa7CY_tOxdENiRHy4R/view?usp=drivesdk" TargetMode="External"/><Relationship Id="rId6725" Type="http://schemas.openxmlformats.org/officeDocument/2006/relationships/hyperlink" Target="https://drive.google.com/file/d/1U78Ic5c0OwQLUapkSWowETmd-nZAjYWL/view?usp=drivesdk" TargetMode="External"/><Relationship Id="rId6728" Type="http://schemas.openxmlformats.org/officeDocument/2006/relationships/hyperlink" Target="https://drive.google.com/file/d/1-jA7mxT0ArBmA1COQ2GfZJKTO97EcqEO/view?usp=drivesdk" TargetMode="External"/><Relationship Id="rId6729" Type="http://schemas.openxmlformats.org/officeDocument/2006/relationships/hyperlink" Target="https://drive.google.com/file/d/19oCr-26zL8vOFX7ryOL_6GV1xMzrGbsg/view?usp=drivesdk" TargetMode="External"/><Relationship Id="rId206" Type="http://schemas.openxmlformats.org/officeDocument/2006/relationships/hyperlink" Target="https://drive.google.com/file/d/19q8bYchN5pwud50t0YTbHSzpaX55k6ls/view?usp=drivesdk" TargetMode="External"/><Relationship Id="rId205" Type="http://schemas.openxmlformats.org/officeDocument/2006/relationships/hyperlink" Target="https://drive.google.com/file/d/1CX12wR8yh4EikGPC6ylC_dttnzdYyz6J/view?usp=drivesdk" TargetMode="External"/><Relationship Id="rId204" Type="http://schemas.openxmlformats.org/officeDocument/2006/relationships/hyperlink" Target="https://drive.google.com/file/d/17y9HSeIzrowD8JHZn8gkM5c9W_NduWUI/view?usp=drivesdk" TargetMode="External"/><Relationship Id="rId203" Type="http://schemas.openxmlformats.org/officeDocument/2006/relationships/hyperlink" Target="https://drive.google.com/file/d/1Ph69_TVqpTsjf4q56HPO_btN2YpyoIhO/view?usp=drivesdk" TargetMode="External"/><Relationship Id="rId209" Type="http://schemas.openxmlformats.org/officeDocument/2006/relationships/hyperlink" Target="https://drive.google.com/file/d/1sCBBy6TO8dedAeAbf-_ywn0QzgFQtx4b/view?usp=drivesdk" TargetMode="External"/><Relationship Id="rId208" Type="http://schemas.openxmlformats.org/officeDocument/2006/relationships/hyperlink" Target="https://drive.google.com/file/d/1rPPBXRUoBPsNMgwrTtdcSH7oWr_RUs9Z/view?usp=drivesdk" TargetMode="External"/><Relationship Id="rId207" Type="http://schemas.openxmlformats.org/officeDocument/2006/relationships/hyperlink" Target="https://drive.google.com/file/d/13Z1DxKX4letNJYfix2wyL-yqwYyZnuej/view?usp=drivesdk" TargetMode="External"/><Relationship Id="rId202" Type="http://schemas.openxmlformats.org/officeDocument/2006/relationships/hyperlink" Target="https://drive.google.com/file/d/16g8au2th1pLH7TPdGw5J1TgspHFCYU9h/view?usp=drivesdk" TargetMode="External"/><Relationship Id="rId6722" Type="http://schemas.openxmlformats.org/officeDocument/2006/relationships/hyperlink" Target="https://drive.google.com/file/d/1KVaMnso56_B8TPvityyPbsvaE7C9WCFm/view?usp=drivesdk" TargetMode="External"/><Relationship Id="rId201" Type="http://schemas.openxmlformats.org/officeDocument/2006/relationships/hyperlink" Target="https://drive.google.com/file/d/1jK8haqix9GjZbW35XSXpLBzp00kqdiX6/view?usp=drivesdk" TargetMode="External"/><Relationship Id="rId6723" Type="http://schemas.openxmlformats.org/officeDocument/2006/relationships/hyperlink" Target="https://drive.google.com/file/d/12cQ_Sb9BTjMgssiAyneU0VlZw6rtoRiz/view?usp=drivesdk" TargetMode="External"/><Relationship Id="rId200" Type="http://schemas.openxmlformats.org/officeDocument/2006/relationships/hyperlink" Target="https://drive.google.com/file/d/1wEO9E7GWiVd69hgkN7sV7ceBMRZJe5Zp/view?usp=drivesdk" TargetMode="External"/><Relationship Id="rId6720" Type="http://schemas.openxmlformats.org/officeDocument/2006/relationships/hyperlink" Target="https://drive.google.com/file/d/13qMCDyonI1bG7YFuv7CjOY4Ru7pzWoac/view?usp=drivesdk" TargetMode="External"/><Relationship Id="rId6721" Type="http://schemas.openxmlformats.org/officeDocument/2006/relationships/hyperlink" Target="https://drive.google.com/file/d/1JUvX_zK84hM7Jx2FOhlet7wHXk3l4DzD/view?usp=drivesdk" TargetMode="External"/><Relationship Id="rId6715" Type="http://schemas.openxmlformats.org/officeDocument/2006/relationships/hyperlink" Target="https://drive.google.com/file/d/1BkuPbvIvmG1Nk31tzdd9kUzirRqkxWsO/view?usp=drivesdk" TargetMode="External"/><Relationship Id="rId6716" Type="http://schemas.openxmlformats.org/officeDocument/2006/relationships/hyperlink" Target="https://drive.google.com/file/d/1OWJxgWFQemkHowDOt1ppmywubPC_oBs0/view?usp=drivesdk" TargetMode="External"/><Relationship Id="rId6713" Type="http://schemas.openxmlformats.org/officeDocument/2006/relationships/hyperlink" Target="https://drive.google.com/file/d/10BCmlyImWNXdoPb3dYrgRmXW5umhFCbj/view?usp=drivesdk" TargetMode="External"/><Relationship Id="rId6714" Type="http://schemas.openxmlformats.org/officeDocument/2006/relationships/hyperlink" Target="https://drive.google.com/file/d/1UkRRujd_nsMiJ5fxFz8c-bNmWyh4dZPe/view?usp=drivesdk" TargetMode="External"/><Relationship Id="rId6719" Type="http://schemas.openxmlformats.org/officeDocument/2006/relationships/hyperlink" Target="https://drive.google.com/file/d/1bfKEEmjOm-pi-ESizhIOcmlvFNB9BvLv/view?usp=drivesdk" TargetMode="External"/><Relationship Id="rId6717" Type="http://schemas.openxmlformats.org/officeDocument/2006/relationships/hyperlink" Target="https://drive.google.com/file/d/1k9w1ldlq9lynAkPTlXmiD2D4wRAu2IDP/view?usp=drivesdk" TargetMode="External"/><Relationship Id="rId6718" Type="http://schemas.openxmlformats.org/officeDocument/2006/relationships/hyperlink" Target="https://drive.google.com/file/d/1maTf2f0m19x8nINq_KuhVF1FZ4vHnJ-X/view?usp=drivesdk" TargetMode="External"/><Relationship Id="rId6711" Type="http://schemas.openxmlformats.org/officeDocument/2006/relationships/hyperlink" Target="https://drive.google.com/file/d/1jO2Ozf93cdsnNrw-cIvQ7n-FwhQaXogK/view?usp=drivesdk" TargetMode="External"/><Relationship Id="rId6712" Type="http://schemas.openxmlformats.org/officeDocument/2006/relationships/hyperlink" Target="https://drive.google.com/file/d/1r3p4ZSp53GWAONHAnyP3mH63Wzbq3oNR/view?usp=drivesdk" TargetMode="External"/><Relationship Id="rId6710" Type="http://schemas.openxmlformats.org/officeDocument/2006/relationships/hyperlink" Target="https://drive.google.com/file/d/1fuHDR5_biNkozrbeEAqnaFPxSW0RQiOR/view?usp=drivesdk" TargetMode="External"/><Relationship Id="rId10974" Type="http://schemas.openxmlformats.org/officeDocument/2006/relationships/hyperlink" Target="https://drive.google.com/file/d/1ry4tp9gzoBH2D854J6Rzfm30euBtTGfG/view?usp=drivesdk" TargetMode="External"/><Relationship Id="rId5490" Type="http://schemas.openxmlformats.org/officeDocument/2006/relationships/hyperlink" Target="https://drive.google.com/file/d/1AfOxtjC5xSmagb-hfrwDPwyOKfp6g0QU/view?usp=drivesdk" TargetMode="External"/><Relationship Id="rId10975" Type="http://schemas.openxmlformats.org/officeDocument/2006/relationships/hyperlink" Target="https://drive.google.com/file/d/1Q8jKtIirSh0pxknekpT9YIdyRoC90KOR/view?usp=drivesdk" TargetMode="External"/><Relationship Id="rId10972" Type="http://schemas.openxmlformats.org/officeDocument/2006/relationships/hyperlink" Target="https://drive.google.com/file/d/11_KPtWQgoo7JLJqIYFRiHO-_1JwcjlFk/view?usp=drivesdk" TargetMode="External"/><Relationship Id="rId10973" Type="http://schemas.openxmlformats.org/officeDocument/2006/relationships/hyperlink" Target="https://drive.google.com/file/d/1Fk_KjUzGvdSqI-XpFFru6mDkWy3ab1ZF/view?usp=drivesdk" TargetMode="External"/><Relationship Id="rId4161" Type="http://schemas.openxmlformats.org/officeDocument/2006/relationships/hyperlink" Target="https://drive.google.com/file/d/1sUJLH13jFgJHra9gAR1lrs1ESa5ctPzc/view?usp=drivesdk" TargetMode="External"/><Relationship Id="rId5493" Type="http://schemas.openxmlformats.org/officeDocument/2006/relationships/hyperlink" Target="https://drive.google.com/file/d/19SS44nLVj1QQzoWYBRGhoL_P_2ecaV2v/view?usp=drivesdk" TargetMode="External"/><Relationship Id="rId10978" Type="http://schemas.openxmlformats.org/officeDocument/2006/relationships/hyperlink" Target="https://drive.google.com/file/d/1vR4KG-Q5ubhxCoFfugimhvGCFyTTc_O7/view?usp=drivesdk" TargetMode="External"/><Relationship Id="rId4160" Type="http://schemas.openxmlformats.org/officeDocument/2006/relationships/hyperlink" Target="https://drive.google.com/file/d/1u7ZSqswhi4FuiHQhaIeIqcBUnyR9J1o_/view?usp=drivesdk" TargetMode="External"/><Relationship Id="rId5494" Type="http://schemas.openxmlformats.org/officeDocument/2006/relationships/hyperlink" Target="https://drive.google.com/file/d/1RQT3ukYvOPxHwZCZfXnvO92XrzxpIqJu/view?usp=drivesdk" TargetMode="External"/><Relationship Id="rId10979" Type="http://schemas.openxmlformats.org/officeDocument/2006/relationships/hyperlink" Target="https://drive.google.com/file/d/1j7NdaULE0Grq2xAyomMCj3E0maeAM2os/view?usp=drivesdk" TargetMode="External"/><Relationship Id="rId4163" Type="http://schemas.openxmlformats.org/officeDocument/2006/relationships/hyperlink" Target="https://drive.google.com/file/d/1NCZXtvUkeKU9pp0cCkT-HHmDdjVNuDPV/view?usp=drivesdk" TargetMode="External"/><Relationship Id="rId5491" Type="http://schemas.openxmlformats.org/officeDocument/2006/relationships/hyperlink" Target="https://drive.google.com/file/d/1LvRV-Ok5U3N1fiMJFLV29j59E3UEj67O/view?usp=drivesdk" TargetMode="External"/><Relationship Id="rId10976" Type="http://schemas.openxmlformats.org/officeDocument/2006/relationships/hyperlink" Target="https://drive.google.com/file/d/1j9C4VHTB1X8mqC2Qb14L9qb03WNdbpkh/view?usp=drivesdk" TargetMode="External"/><Relationship Id="rId4162" Type="http://schemas.openxmlformats.org/officeDocument/2006/relationships/hyperlink" Target="https://drive.google.com/file/d/1YP00iFZMQPGf3rbdkGs9lStUonLdgoJ-/view?usp=drivesdk" TargetMode="External"/><Relationship Id="rId5492" Type="http://schemas.openxmlformats.org/officeDocument/2006/relationships/hyperlink" Target="https://drive.google.com/file/d/1hHOfe7oWdJIruCF4SWgR01qTTQJ04-SB/view?usp=drivesdk" TargetMode="External"/><Relationship Id="rId10977" Type="http://schemas.openxmlformats.org/officeDocument/2006/relationships/hyperlink" Target="https://drive.google.com/file/d/1rQnj1LMr2soe2UfAOWGkSm25BODHkHYO/view?usp=drivesdk" TargetMode="External"/><Relationship Id="rId4165" Type="http://schemas.openxmlformats.org/officeDocument/2006/relationships/hyperlink" Target="https://drive.google.com/file/d/1kZjyVD9Bzbo6Ps_rhM32ukSugbyKweSf/view?usp=drivesdk" TargetMode="External"/><Relationship Id="rId5497" Type="http://schemas.openxmlformats.org/officeDocument/2006/relationships/hyperlink" Target="https://drive.google.com/file/d/1VYiInd5KuB53xMxq4Yk6ChNPhgkboIRR/view?usp=drivesdk" TargetMode="External"/><Relationship Id="rId4164" Type="http://schemas.openxmlformats.org/officeDocument/2006/relationships/hyperlink" Target="https://drive.google.com/file/d/1qTGHJ8z3FwYpXPovGk6F0n9c0QzLw5rN/view?usp=drivesdk" TargetMode="External"/><Relationship Id="rId5498" Type="http://schemas.openxmlformats.org/officeDocument/2006/relationships/hyperlink" Target="https://drive.google.com/file/d/1EyeAAW4S0CAcWSpUFhqI3FIwdPeO-qcf/view?usp=drivesdk" TargetMode="External"/><Relationship Id="rId4167" Type="http://schemas.openxmlformats.org/officeDocument/2006/relationships/hyperlink" Target="https://drive.google.com/file/d/1lVrhTaeG86qQGqOYt5rdp1pR47advxbF/view?usp=drivesdk" TargetMode="External"/><Relationship Id="rId5495" Type="http://schemas.openxmlformats.org/officeDocument/2006/relationships/hyperlink" Target="https://drive.google.com/file/d/10t7JpoUAKMfzBlgW_6BA_fBujc9dXjmQ/view?usp=drivesdk" TargetMode="External"/><Relationship Id="rId4166" Type="http://schemas.openxmlformats.org/officeDocument/2006/relationships/hyperlink" Target="https://drive.google.com/file/d/1dypOKqujGOsksQ6TVbRc0gfq1ahXj8ry/view?usp=drivesdk" TargetMode="External"/><Relationship Id="rId5496" Type="http://schemas.openxmlformats.org/officeDocument/2006/relationships/hyperlink" Target="https://drive.google.com/file/d/1ZcGECjajP1GxklK6XdA_fqysoP8A3Ua3/view?usp=drivesdk" TargetMode="External"/><Relationship Id="rId4169" Type="http://schemas.openxmlformats.org/officeDocument/2006/relationships/hyperlink" Target="https://drive.google.com/file/d/1fKkh6jI-IyE-PTmjLJqcv7y6qyJpIizV/view?usp=drivesdk" TargetMode="External"/><Relationship Id="rId10970" Type="http://schemas.openxmlformats.org/officeDocument/2006/relationships/hyperlink" Target="https://drive.google.com/file/d/16Xk2oemOzqQPgT3Zp6henwEvsU4PLs83/view?usp=drivesdk" TargetMode="External"/><Relationship Id="rId4168" Type="http://schemas.openxmlformats.org/officeDocument/2006/relationships/hyperlink" Target="https://drive.google.com/file/d/1dIqpRReRrD3U13hyde1RS3UKtZqDp-6i/view?usp=drivesdk" TargetMode="External"/><Relationship Id="rId10971" Type="http://schemas.openxmlformats.org/officeDocument/2006/relationships/hyperlink" Target="https://drive.google.com/file/d/17_Y_bC0BKmB8NvNCqr79QdhhMFdeFc0n/view?usp=drivesdk" TargetMode="External"/><Relationship Id="rId5499" Type="http://schemas.openxmlformats.org/officeDocument/2006/relationships/hyperlink" Target="https://drive.google.com/file/d/1LQkws5BKmRljVMz6r4DIAgagd-nYVCjO/view?usp=drivesdk" TargetMode="External"/><Relationship Id="rId10985" Type="http://schemas.openxmlformats.org/officeDocument/2006/relationships/hyperlink" Target="https://drive.google.com/file/d/1W35PLLjkcTs4fJSuhOz_szZuSB3xhAtl/view?usp=drivesdk" TargetMode="External"/><Relationship Id="rId10986" Type="http://schemas.openxmlformats.org/officeDocument/2006/relationships/hyperlink" Target="https://drive.google.com/file/d/1gsibsgZnI65aXZS9DybQtv1L58faHX9b/view?usp=drivesdk" TargetMode="External"/><Relationship Id="rId10983" Type="http://schemas.openxmlformats.org/officeDocument/2006/relationships/hyperlink" Target="https://drive.google.com/file/d/1ESBoOSC3GhZ7T4CycgQOUmCbkf_kT4Lp/view?usp=drivesdk" TargetMode="External"/><Relationship Id="rId10984" Type="http://schemas.openxmlformats.org/officeDocument/2006/relationships/hyperlink" Target="https://drive.google.com/file/d/1G8BjD80GxYA3CpR2Bs04PO4bT0HMXYl0/view?usp=drivesdk" TargetMode="External"/><Relationship Id="rId4150" Type="http://schemas.openxmlformats.org/officeDocument/2006/relationships/hyperlink" Target="https://drive.google.com/file/d/1ENQLnDGdCo7r50c4zes9DF7W72cjOh8p/view?usp=drivesdk" TargetMode="External"/><Relationship Id="rId5482" Type="http://schemas.openxmlformats.org/officeDocument/2006/relationships/hyperlink" Target="https://drive.google.com/file/d/1k7eVQx4BVUiXanhrsroXbK75tAmiz3AG/view?usp=drivesdk" TargetMode="External"/><Relationship Id="rId10989" Type="http://schemas.openxmlformats.org/officeDocument/2006/relationships/hyperlink" Target="https://drive.google.com/file/d/1ZjwK4RZeDGKttnq1YXpVxss9eGmRKeZE/view?usp=drivesdk" TargetMode="External"/><Relationship Id="rId5483" Type="http://schemas.openxmlformats.org/officeDocument/2006/relationships/hyperlink" Target="https://drive.google.com/file/d/1BNpsLEvZk04wWsPmKUjVUnujzHTk7TQW/view?usp=drivesdk" TargetMode="External"/><Relationship Id="rId4152" Type="http://schemas.openxmlformats.org/officeDocument/2006/relationships/hyperlink" Target="https://drive.google.com/file/d/1O_wTT21ukgSul1M6WLgPMJa5PomoSchW/view?usp=drivesdk" TargetMode="External"/><Relationship Id="rId5480" Type="http://schemas.openxmlformats.org/officeDocument/2006/relationships/hyperlink" Target="https://drive.google.com/file/d/1fmXBaVAVjZhPnc_253CNDgTWR_TzbtPd/view?usp=drivesdk" TargetMode="External"/><Relationship Id="rId10987" Type="http://schemas.openxmlformats.org/officeDocument/2006/relationships/hyperlink" Target="https://drive.google.com/file/d/1O5K7jVYEqmQtfahAtHMccNc0K2KCue80/view?usp=drivesdk" TargetMode="External"/><Relationship Id="rId4151" Type="http://schemas.openxmlformats.org/officeDocument/2006/relationships/hyperlink" Target="https://drive.google.com/file/d/1API4hsAxOOKbmMLo_qwUyM9XXg6wJwrN/view?usp=drivesdk" TargetMode="External"/><Relationship Id="rId5481" Type="http://schemas.openxmlformats.org/officeDocument/2006/relationships/hyperlink" Target="https://drive.google.com/file/d/1cWHKiCwBwEudmLkgS3cT6rQwFMdzA09f/view?usp=drivesdk" TargetMode="External"/><Relationship Id="rId10988" Type="http://schemas.openxmlformats.org/officeDocument/2006/relationships/hyperlink" Target="https://drive.google.com/file/d/1827_bGnBrx9YzRNiwxcfTM_thk0RBj14/view?usp=drivesdk" TargetMode="External"/><Relationship Id="rId4154" Type="http://schemas.openxmlformats.org/officeDocument/2006/relationships/hyperlink" Target="https://drive.google.com/file/d/1DKauUGDlw2zkL-K8ljdd3aUfpIA9v9r4/view?usp=drivesdk" TargetMode="External"/><Relationship Id="rId5486" Type="http://schemas.openxmlformats.org/officeDocument/2006/relationships/hyperlink" Target="https://drive.google.com/file/d/1KHtSQhvngBQ9DYxCc6LBqpp9c_T4Ps0u/view?usp=drivesdk" TargetMode="External"/><Relationship Id="rId4153" Type="http://schemas.openxmlformats.org/officeDocument/2006/relationships/hyperlink" Target="https://drive.google.com/file/d/1IM5_TAuYYyDBaOxepZ4Vart2zGRbYb2Y/view?usp=drivesdk" TargetMode="External"/><Relationship Id="rId5487" Type="http://schemas.openxmlformats.org/officeDocument/2006/relationships/hyperlink" Target="https://drive.google.com/file/d/1nAqHv-QzHUgl4P6o7bx5tN5ptr0X1P-N/view?usp=drivesdk" TargetMode="External"/><Relationship Id="rId4156" Type="http://schemas.openxmlformats.org/officeDocument/2006/relationships/hyperlink" Target="https://drive.google.com/file/d/1bwEiOI6K-ancnCm2G_Ci7cFsIswVpJbr/view?usp=drivesdk" TargetMode="External"/><Relationship Id="rId5484" Type="http://schemas.openxmlformats.org/officeDocument/2006/relationships/hyperlink" Target="https://drive.google.com/file/d/1YAKL87CWQDFMUeoTMxEYHocg2LOoV0ii/view?usp=drivesdk" TargetMode="External"/><Relationship Id="rId4155" Type="http://schemas.openxmlformats.org/officeDocument/2006/relationships/hyperlink" Target="https://drive.google.com/file/d/1M-T4mC6w2VSghOIhB3Ad4YnnhZV-9aQU/view?usp=drivesdk" TargetMode="External"/><Relationship Id="rId5485" Type="http://schemas.openxmlformats.org/officeDocument/2006/relationships/hyperlink" Target="https://drive.google.com/file/d/1IUWvarHlMoJ3wNkgTZyl2qbicW5R6eW_/view?usp=drivesdk" TargetMode="External"/><Relationship Id="rId4158" Type="http://schemas.openxmlformats.org/officeDocument/2006/relationships/hyperlink" Target="https://drive.google.com/file/d/1_f-OoL3tFFodxzw3iHgrny7wd0xaejGG/view?usp=drivesdk" TargetMode="External"/><Relationship Id="rId10981" Type="http://schemas.openxmlformats.org/officeDocument/2006/relationships/hyperlink" Target="https://drive.google.com/file/d/1lnpUU2oQEUJQLcDuk_WxkBnHpuWryxee/view?usp=drivesdk" TargetMode="External"/><Relationship Id="rId4157" Type="http://schemas.openxmlformats.org/officeDocument/2006/relationships/hyperlink" Target="https://drive.google.com/file/d/1o7352wAVHC0b4Xw99ULgQwbCNI1FEJfA/view?usp=drivesdk" TargetMode="External"/><Relationship Id="rId10982" Type="http://schemas.openxmlformats.org/officeDocument/2006/relationships/hyperlink" Target="https://drive.google.com/file/d/1oOXjtF_Y24DNhPU_olohPfsqCq_Dh0Tr/view?usp=drivesdk" TargetMode="External"/><Relationship Id="rId5488" Type="http://schemas.openxmlformats.org/officeDocument/2006/relationships/hyperlink" Target="https://drive.google.com/file/d/1lWzBr7RSKHJre-7-XRvsoDt_uH2lZnMM/view?usp=drivesdk" TargetMode="External"/><Relationship Id="rId4159" Type="http://schemas.openxmlformats.org/officeDocument/2006/relationships/hyperlink" Target="https://drive.google.com/file/d/18kcRGE3R-SryC1KmW1x1gqRoCvp4efeQ/view?usp=drivesdk" TargetMode="External"/><Relationship Id="rId5489" Type="http://schemas.openxmlformats.org/officeDocument/2006/relationships/hyperlink" Target="https://drive.google.com/file/d/13JSearYUC2fM1dJTa6zrkLG31zSwx_ne/view?usp=drivesdk" TargetMode="External"/><Relationship Id="rId10980" Type="http://schemas.openxmlformats.org/officeDocument/2006/relationships/hyperlink" Target="https://drive.google.com/file/d/1XBGOQL4nQOSBAj7_5cOXljtgwNc62eon/view?usp=drivesdk" TargetMode="External"/><Relationship Id="rId10958" Type="http://schemas.openxmlformats.org/officeDocument/2006/relationships/hyperlink" Target="https://drive.google.com/file/d/1EooAao-bXDkZ9HDGl3eecZCVq0QzqKyL/view?usp=drivesdk" TargetMode="External"/><Relationship Id="rId10959" Type="http://schemas.openxmlformats.org/officeDocument/2006/relationships/hyperlink" Target="https://drive.google.com/file/d/1bLPKOqaMmqNrLeLnpLu-RL2yf59ts_0x/view?usp=drivesdk" TargetMode="External"/><Relationship Id="rId10952" Type="http://schemas.openxmlformats.org/officeDocument/2006/relationships/hyperlink" Target="https://drive.google.com/file/d/1tXCIyinUTwIqR0Nb7Z_VYb6OVAMflnNE/view?usp=drivesdk" TargetMode="External"/><Relationship Id="rId10953" Type="http://schemas.openxmlformats.org/officeDocument/2006/relationships/hyperlink" Target="https://drive.google.com/file/d/1kg2BoO_TNkfLpTi4Z5IzIn6P6ydhxYZE/view?usp=drivesdk" TargetMode="External"/><Relationship Id="rId4181" Type="http://schemas.openxmlformats.org/officeDocument/2006/relationships/hyperlink" Target="https://drive.google.com/file/d/1GxyHYG8jkuwdJj4BrxLCeI1ytz8mKj5C/view?usp=drivesdk" TargetMode="External"/><Relationship Id="rId10950" Type="http://schemas.openxmlformats.org/officeDocument/2006/relationships/hyperlink" Target="https://drive.google.com/file/d/1zxykFfcXoGDG_ITPAJ_xqVuyRAcL3rgq/view?usp=drivesdk" TargetMode="External"/><Relationship Id="rId4180" Type="http://schemas.openxmlformats.org/officeDocument/2006/relationships/hyperlink" Target="https://drive.google.com/file/d/1sLzLsupGpFOheycXmxTETC30bGludMWz/view?usp=drivesdk" TargetMode="External"/><Relationship Id="rId10951" Type="http://schemas.openxmlformats.org/officeDocument/2006/relationships/hyperlink" Target="https://drive.google.com/file/d/1Wty6SNPUXiFOL5BzyRhfVbGB_-ANPhwo/view?usp=drivesdk" TargetMode="External"/><Relationship Id="rId4183" Type="http://schemas.openxmlformats.org/officeDocument/2006/relationships/hyperlink" Target="https://drive.google.com/file/d/1oYklfRTEz5Nhx55c9pTq5yxt26PWF8dP/view?usp=drivesdk" TargetMode="External"/><Relationship Id="rId10956" Type="http://schemas.openxmlformats.org/officeDocument/2006/relationships/hyperlink" Target="https://drive.google.com/file/d/1JpqpGqU9Kpgdw6OeZu0ONTP8bEpYrUvA/view?usp=drivesdk" TargetMode="External"/><Relationship Id="rId4182" Type="http://schemas.openxmlformats.org/officeDocument/2006/relationships/hyperlink" Target="https://drive.google.com/file/d/1QXt8t-UIubJrHo-7Zqn-5NfAfY16-Tgf/view?usp=drivesdk" TargetMode="External"/><Relationship Id="rId10957" Type="http://schemas.openxmlformats.org/officeDocument/2006/relationships/hyperlink" Target="https://drive.google.com/file/d/17Ufje8DpAGYAl8FA5J5kvcg_0lJMX2aO/view?usp=drivesdk" TargetMode="External"/><Relationship Id="rId4185" Type="http://schemas.openxmlformats.org/officeDocument/2006/relationships/hyperlink" Target="https://drive.google.com/file/d/1vV4U7NvUsv7p2FhDIrSFA1n6LiTRaORC/view?usp=drivesdk" TargetMode="External"/><Relationship Id="rId10954" Type="http://schemas.openxmlformats.org/officeDocument/2006/relationships/hyperlink" Target="https://drive.google.com/file/d/19JPzr1x1RZ7vmig9QrVgw3LqVhx4M353/view?usp=drivesdk" TargetMode="External"/><Relationship Id="rId4184" Type="http://schemas.openxmlformats.org/officeDocument/2006/relationships/hyperlink" Target="https://drive.google.com/file/d/1Dd4AwfsnZ1MOLmclR6gGHK_U73FglBWu/view?usp=drivesdk" TargetMode="External"/><Relationship Id="rId10955" Type="http://schemas.openxmlformats.org/officeDocument/2006/relationships/hyperlink" Target="https://drive.google.com/file/d/1kMxtsSnM_ET9nmQvnFH2eZmqF3-Gj3nd/view?usp=drivesdk" TargetMode="External"/><Relationship Id="rId4187" Type="http://schemas.openxmlformats.org/officeDocument/2006/relationships/hyperlink" Target="https://drive.google.com/file/d/1znQhyg5SIjKLjDx7t26gvjwLYUJc9xl7/view?usp=drivesdk" TargetMode="External"/><Relationship Id="rId4186" Type="http://schemas.openxmlformats.org/officeDocument/2006/relationships/hyperlink" Target="https://drive.google.com/file/d/1xaqbv_42___t9S4tPYKkI85KRvZ_da9W/view?usp=drivesdk" TargetMode="External"/><Relationship Id="rId4189" Type="http://schemas.openxmlformats.org/officeDocument/2006/relationships/hyperlink" Target="https://drive.google.com/file/d/1vK_0Lecx_bRgi3otcXAN_ZElN-cI4d5y/view?usp=drivesdk" TargetMode="External"/><Relationship Id="rId4188" Type="http://schemas.openxmlformats.org/officeDocument/2006/relationships/hyperlink" Target="https://drive.google.com/file/d/1WUJCWC9uhuQso_tc5phimIWqcGLixY1u/view?usp=drivesdk" TargetMode="External"/><Relationship Id="rId10969" Type="http://schemas.openxmlformats.org/officeDocument/2006/relationships/hyperlink" Target="https://drive.google.com/file/d/1nj16NS7IMUknq4Rr9POdiggJ0EVK-Xlf/view?usp=drivesdk" TargetMode="External"/><Relationship Id="rId10963" Type="http://schemas.openxmlformats.org/officeDocument/2006/relationships/hyperlink" Target="https://drive.google.com/file/d/1Xct1qM9r4JPrXQwq214-Bg5u9n8fQbhN/view?usp=drivesdk" TargetMode="External"/><Relationship Id="rId10964" Type="http://schemas.openxmlformats.org/officeDocument/2006/relationships/hyperlink" Target="https://drive.google.com/file/d/1njEqZzr2dDAzdDgdU9frAnC2ny678pyN/view?usp=drivesdk" TargetMode="External"/><Relationship Id="rId4170" Type="http://schemas.openxmlformats.org/officeDocument/2006/relationships/hyperlink" Target="https://drive.google.com/file/d/1_SmkBVNdAfNQAyX3sj4lGiIO31O7XQPz/view?usp=drivesdk" TargetMode="External"/><Relationship Id="rId10961" Type="http://schemas.openxmlformats.org/officeDocument/2006/relationships/hyperlink" Target="https://drive.google.com/file/d/1F-m7Ot6EdHL4yDldMZ33igRBCQlPOnPS/view?usp=drivesdk" TargetMode="External"/><Relationship Id="rId10962" Type="http://schemas.openxmlformats.org/officeDocument/2006/relationships/hyperlink" Target="https://drive.google.com/file/d/1q36o_5v51Y-1egIK3px1SAXF6dB75zdg/view?usp=drivesdk" TargetMode="External"/><Relationship Id="rId4172" Type="http://schemas.openxmlformats.org/officeDocument/2006/relationships/hyperlink" Target="https://drive.google.com/file/d/1-BiicOMAj1chFWlgvzltVllBEaZHLBIQ/view?usp=drivesdk" TargetMode="External"/><Relationship Id="rId10967" Type="http://schemas.openxmlformats.org/officeDocument/2006/relationships/hyperlink" Target="https://drive.google.com/file/d/1Itrrh57qnLRMvD7tCkC3hyVoOKNxcWbx/view?usp=drivesdk" TargetMode="External"/><Relationship Id="rId4171" Type="http://schemas.openxmlformats.org/officeDocument/2006/relationships/hyperlink" Target="https://drive.google.com/file/d/1TSTIewsciBmeEnYg9dDel-K5uf4pv-vW/view?usp=drivesdk" TargetMode="External"/><Relationship Id="rId10968" Type="http://schemas.openxmlformats.org/officeDocument/2006/relationships/hyperlink" Target="https://drive.google.com/file/d/140swzFDSv7mLlxWQT14YgmpL2I5BWvv4/view?usp=drivesdk" TargetMode="External"/><Relationship Id="rId4174" Type="http://schemas.openxmlformats.org/officeDocument/2006/relationships/hyperlink" Target="https://drive.google.com/file/d/1sYOQPrf1NfgvoNMfJzTOiIA-BRfDPQq1/view?usp=drivesdk" TargetMode="External"/><Relationship Id="rId10965" Type="http://schemas.openxmlformats.org/officeDocument/2006/relationships/hyperlink" Target="https://drive.google.com/file/d/1pZ1TJ-HLHzONJ026VBt1eb_VCBhZc1Tj/view?usp=drivesdk" TargetMode="External"/><Relationship Id="rId4173" Type="http://schemas.openxmlformats.org/officeDocument/2006/relationships/hyperlink" Target="https://drive.google.com/file/d/19CZEwAoumYnulipYr6TJ6M_n3J5vwTAO/view?usp=drivesdk" TargetMode="External"/><Relationship Id="rId10966" Type="http://schemas.openxmlformats.org/officeDocument/2006/relationships/hyperlink" Target="https://drive.google.com/file/d/1dtwzdTYYU8-_y8VBxas4UBid2y0IGVn3/view?usp=drivesdk" TargetMode="External"/><Relationship Id="rId4176" Type="http://schemas.openxmlformats.org/officeDocument/2006/relationships/hyperlink" Target="https://drive.google.com/file/d/1-V0VKfr2iN4knEmOhS6Sb7p8FUfkBcMb/view?usp=drivesdk" TargetMode="External"/><Relationship Id="rId4175" Type="http://schemas.openxmlformats.org/officeDocument/2006/relationships/hyperlink" Target="https://drive.google.com/file/d/1kjwtiRFZfceRqdTUOAvu6foP700WnyzN/view?usp=drivesdk" TargetMode="External"/><Relationship Id="rId4178" Type="http://schemas.openxmlformats.org/officeDocument/2006/relationships/hyperlink" Target="https://drive.google.com/file/d/17BVJQ1CkeqswOevZ3QPVQNhmeUM5EEwj/view?usp=drivesdk" TargetMode="External"/><Relationship Id="rId4177" Type="http://schemas.openxmlformats.org/officeDocument/2006/relationships/hyperlink" Target="https://drive.google.com/file/d/1JNes-ye_wovdVQu9j4sj6bbgNTtnQ92i/view?usp=drivesdk" TargetMode="External"/><Relationship Id="rId4179" Type="http://schemas.openxmlformats.org/officeDocument/2006/relationships/hyperlink" Target="https://drive.google.com/file/d/1h6qcuDFACIEZ0fBS6ZlBI6gyOYWUSZ1Y/view?usp=drivesdk" TargetMode="External"/><Relationship Id="rId10960" Type="http://schemas.openxmlformats.org/officeDocument/2006/relationships/hyperlink" Target="https://drive.google.com/file/d/1aJ77uR6n23_G-MhSLW93jqnDvG9h-tqG/view?usp=drivesdk" TargetMode="External"/><Relationship Id="rId4129" Type="http://schemas.openxmlformats.org/officeDocument/2006/relationships/hyperlink" Target="https://drive.google.com/file/d/1y9in-M1EhBc_shqiHgTWBYa1sNrAVGsm/view?usp=drivesdk" TargetMode="External"/><Relationship Id="rId4128" Type="http://schemas.openxmlformats.org/officeDocument/2006/relationships/hyperlink" Target="https://drive.google.com/file/d/1BW7ysoJLgGA7eDRQpMCxxlk4OVvcdie9/view?usp=drivesdk" TargetMode="External"/><Relationship Id="rId5459" Type="http://schemas.openxmlformats.org/officeDocument/2006/relationships/hyperlink" Target="https://drive.google.com/file/d/1Bh1NXgCM3ZUNltH-55fkH1fU51v5-sfS/view?usp=drivesdk" TargetMode="External"/><Relationship Id="rId6780" Type="http://schemas.openxmlformats.org/officeDocument/2006/relationships/hyperlink" Target="https://drive.google.com/file/d/1bqxYGGIrRo0NdRD3_ewSsldqDUp444wq/view?usp=drivesdk" TargetMode="External"/><Relationship Id="rId5450" Type="http://schemas.openxmlformats.org/officeDocument/2006/relationships/hyperlink" Target="https://drive.google.com/file/d/1cr6sr3s0-PNWDqjgVeTYsNOWrZSouEmY/view?usp=drivesdk" TargetMode="External"/><Relationship Id="rId6781" Type="http://schemas.openxmlformats.org/officeDocument/2006/relationships/hyperlink" Target="https://drive.google.com/file/d/1VlNsOvvNdSxEWF6ffSFnuLSXeouUzT3h/view?usp=drivesdk" TargetMode="External"/><Relationship Id="rId4121" Type="http://schemas.openxmlformats.org/officeDocument/2006/relationships/hyperlink" Target="https://drive.google.com/file/d/1jEQveVQEELFVlkuzbJsB4qLC-PNPtBM-/view?usp=drivesdk" TargetMode="External"/><Relationship Id="rId5453" Type="http://schemas.openxmlformats.org/officeDocument/2006/relationships/hyperlink" Target="https://drive.google.com/file/d/1-jnRLCjfl3DX33kTtu76j2GuxKnLvggn/view?usp=drivesdk" TargetMode="External"/><Relationship Id="rId6784" Type="http://schemas.openxmlformats.org/officeDocument/2006/relationships/hyperlink" Target="https://drive.google.com/file/d/1fLrN-UlH_QYLzYOXEq1cxEqJXihP_E2d/view?usp=drivesdk" TargetMode="External"/><Relationship Id="rId4120" Type="http://schemas.openxmlformats.org/officeDocument/2006/relationships/hyperlink" Target="https://drive.google.com/file/d/1Kd0z2sC-ZXxvDGkPE9STbIVIaQvf_XSg/view?usp=drivesdk" TargetMode="External"/><Relationship Id="rId5454" Type="http://schemas.openxmlformats.org/officeDocument/2006/relationships/hyperlink" Target="https://drive.google.com/file/d/1nn3yCkanBjOlYFRZIXm7FYjLUiAFLT9j/view?usp=drivesdk" TargetMode="External"/><Relationship Id="rId6785" Type="http://schemas.openxmlformats.org/officeDocument/2006/relationships/hyperlink" Target="https://drive.google.com/file/d/1zlKrOU3WW6crpAwZi9ElERHME1SbpAot/view?usp=drivesdk" TargetMode="External"/><Relationship Id="rId4123" Type="http://schemas.openxmlformats.org/officeDocument/2006/relationships/hyperlink" Target="https://drive.google.com/file/d/1Q-iOUfBCjvUnm-_mnz0KZXRDhqysHhbU/view?usp=drivesdk" TargetMode="External"/><Relationship Id="rId5451" Type="http://schemas.openxmlformats.org/officeDocument/2006/relationships/hyperlink" Target="https://drive.google.com/file/d/1Kg-GJmyMfoFC9KpGlUiVrJhoxC_cmcJc/view?usp=drivesdk" TargetMode="External"/><Relationship Id="rId6782" Type="http://schemas.openxmlformats.org/officeDocument/2006/relationships/hyperlink" Target="https://drive.google.com/file/d/1r-3b3hSHQVkKH8GrMQwGbYteN8_p1q6-/view?usp=drivesdk" TargetMode="External"/><Relationship Id="rId4122" Type="http://schemas.openxmlformats.org/officeDocument/2006/relationships/hyperlink" Target="https://drive.google.com/file/d/1eazzihxKUgFi4t9tAnmxEBrIOUjFZXqH/view?usp=drivesdk" TargetMode="External"/><Relationship Id="rId5452" Type="http://schemas.openxmlformats.org/officeDocument/2006/relationships/hyperlink" Target="https://drive.google.com/file/d/14QOFtBrsWJFjwVldmeI-WgAjnHnW1GoW/view?usp=drivesdk" TargetMode="External"/><Relationship Id="rId6783" Type="http://schemas.openxmlformats.org/officeDocument/2006/relationships/hyperlink" Target="https://drive.google.com/file/d/1ZkJHC6BsXYNl_oOeYGQs_LyX8kZylYME/view?usp=drivesdk" TargetMode="External"/><Relationship Id="rId4125" Type="http://schemas.openxmlformats.org/officeDocument/2006/relationships/hyperlink" Target="https://drive.google.com/file/d/1s-4Ftb08ku32dZCd7s-aWJfhJsZZsQ5P/view?usp=drivesdk" TargetMode="External"/><Relationship Id="rId5457" Type="http://schemas.openxmlformats.org/officeDocument/2006/relationships/hyperlink" Target="https://drive.google.com/file/d/1j1VEfGseGjJmuyt74GyZviiwx2gU2SvV/view?usp=drivesdk" TargetMode="External"/><Relationship Id="rId6788" Type="http://schemas.openxmlformats.org/officeDocument/2006/relationships/hyperlink" Target="https://drive.google.com/file/d/1dsaZ0bjl5eJKNj00Qvl1uTs1rKKix7nh/view?usp=drivesdk" TargetMode="External"/><Relationship Id="rId4124" Type="http://schemas.openxmlformats.org/officeDocument/2006/relationships/hyperlink" Target="https://drive.google.com/file/d/1-93yiwJhDFaRg3nn9hjtgNpCvZvkJ7IL/view?usp=drivesdk" TargetMode="External"/><Relationship Id="rId5458" Type="http://schemas.openxmlformats.org/officeDocument/2006/relationships/hyperlink" Target="https://drive.google.com/file/d/1iq9edGnoinxDf4SLwB0K_nFJGhH0XTXU/view?usp=drivesdk" TargetMode="External"/><Relationship Id="rId6789" Type="http://schemas.openxmlformats.org/officeDocument/2006/relationships/hyperlink" Target="https://drive.google.com/file/d/1WmZfZb_NXL1tpvHAiPtVZbI5F154QGSN/view?usp=drivesdk" TargetMode="External"/><Relationship Id="rId4127" Type="http://schemas.openxmlformats.org/officeDocument/2006/relationships/hyperlink" Target="https://drive.google.com/file/d/1AADjFCYbQtAfpGAmu6eGPoFLnWGiEPCr/view?usp=drivesdk" TargetMode="External"/><Relationship Id="rId5455" Type="http://schemas.openxmlformats.org/officeDocument/2006/relationships/hyperlink" Target="https://drive.google.com/file/d/1xFKGPEaB7lTPnMOG5gvIFZFHMoRHxWPk/view?usp=drivesdk" TargetMode="External"/><Relationship Id="rId6786" Type="http://schemas.openxmlformats.org/officeDocument/2006/relationships/hyperlink" Target="https://drive.google.com/file/d/1ihqJHquQV-jek16Hexh9B4QQs_ePQkzf/view?usp=drivesdk" TargetMode="External"/><Relationship Id="rId4126" Type="http://schemas.openxmlformats.org/officeDocument/2006/relationships/hyperlink" Target="https://drive.google.com/file/d/1FlnLwE3cF961PErcFqY5WJ4x7gN6l8t0/view?usp=drivesdk" TargetMode="External"/><Relationship Id="rId5456" Type="http://schemas.openxmlformats.org/officeDocument/2006/relationships/hyperlink" Target="https://drive.google.com/file/d/1OSaGiV1M-eS0huaVjFjc0ABK54ZTuFMk/view?usp=drivesdk" TargetMode="External"/><Relationship Id="rId6787" Type="http://schemas.openxmlformats.org/officeDocument/2006/relationships/hyperlink" Target="https://drive.google.com/file/d/1M8M8QKjXgGDh1lBoxfucb81qHK9OOBsJ/view?usp=drivesdk" TargetMode="External"/><Relationship Id="rId4118" Type="http://schemas.openxmlformats.org/officeDocument/2006/relationships/hyperlink" Target="https://drive.google.com/file/d/1dRS8xvhHpC1-gj2yawWQGCwisSm0SOLF/view?usp=drivesdk" TargetMode="External"/><Relationship Id="rId4117" Type="http://schemas.openxmlformats.org/officeDocument/2006/relationships/hyperlink" Target="https://drive.google.com/file/d/1d8VUFsGZvxI243hwr-YAC79hQ4gNDeHD/view?usp=drivesdk" TargetMode="External"/><Relationship Id="rId5448" Type="http://schemas.openxmlformats.org/officeDocument/2006/relationships/hyperlink" Target="https://drive.google.com/file/d/1CM69JpkP4qL6mF_XIcVN_dapFSbfQ0wQ/view?usp=drivesdk" TargetMode="External"/><Relationship Id="rId6779" Type="http://schemas.openxmlformats.org/officeDocument/2006/relationships/hyperlink" Target="https://drive.google.com/file/d/1TjPrpqPuZnedUUJ0MeDQYU_99ZN8qwJ7/view?usp=drivesdk" TargetMode="External"/><Relationship Id="rId4119" Type="http://schemas.openxmlformats.org/officeDocument/2006/relationships/hyperlink" Target="https://drive.google.com/file/d/1OBtMXfGi8-91K_Pb9u4PcmrTrS_KeEsv/view?usp=drivesdk" TargetMode="External"/><Relationship Id="rId5449" Type="http://schemas.openxmlformats.org/officeDocument/2006/relationships/hyperlink" Target="https://drive.google.com/file/d/1Ee0nEyNsn5W4IT64mwyl1aKGrRMe1W5m/view?usp=drivesdk" TargetMode="External"/><Relationship Id="rId6770" Type="http://schemas.openxmlformats.org/officeDocument/2006/relationships/hyperlink" Target="https://drive.google.com/file/d/1r1YxTV-rVFeZXehu4VvefulT5Toyvx9_/view?usp=drivesdk" TargetMode="External"/><Relationship Id="rId4110" Type="http://schemas.openxmlformats.org/officeDocument/2006/relationships/hyperlink" Target="https://drive.google.com/file/d/1XdTNeFIgyvT56voMjJiBOSedhVsHw0Pk/view?usp=drivesdk" TargetMode="External"/><Relationship Id="rId5442" Type="http://schemas.openxmlformats.org/officeDocument/2006/relationships/hyperlink" Target="https://drive.google.com/file/d/1-Y5-XH6GEeJP5-S2EfCzzzcRyD-4xKaf/view?usp=drivesdk" TargetMode="External"/><Relationship Id="rId6773" Type="http://schemas.openxmlformats.org/officeDocument/2006/relationships/hyperlink" Target="https://drive.google.com/file/d/1weCsjsaHC6jZnghm0pjTK-yPQwoF6X1N/view?usp=drivesdk" TargetMode="External"/><Relationship Id="rId5443" Type="http://schemas.openxmlformats.org/officeDocument/2006/relationships/hyperlink" Target="https://drive.google.com/file/d/16VeZFFx94kYcOui3T_VnSQxhuhHrG-MB/view?usp=drivesdk" TargetMode="External"/><Relationship Id="rId6774" Type="http://schemas.openxmlformats.org/officeDocument/2006/relationships/hyperlink" Target="https://drive.google.com/file/d/1d1V2UWhi3FulqsV0LiJhk2eweQJg9xZ_/view?usp=drivesdk" TargetMode="External"/><Relationship Id="rId4112" Type="http://schemas.openxmlformats.org/officeDocument/2006/relationships/hyperlink" Target="https://drive.google.com/file/d/1FSr0AgdTdiIqKhthiYx-wb7djewx6O9U/view?usp=drivesdk" TargetMode="External"/><Relationship Id="rId5440" Type="http://schemas.openxmlformats.org/officeDocument/2006/relationships/hyperlink" Target="https://drive.google.com/file/d/1Rk2rljXZu9w8r16xfQkwDvQsvmYS8ZFr/view?usp=drivesdk" TargetMode="External"/><Relationship Id="rId6771" Type="http://schemas.openxmlformats.org/officeDocument/2006/relationships/hyperlink" Target="https://drive.google.com/file/d/1UZC-Hv18iujp88NHXipVi1LhCjftdriU/view?usp=drivesdk" TargetMode="External"/><Relationship Id="rId4111" Type="http://schemas.openxmlformats.org/officeDocument/2006/relationships/hyperlink" Target="https://drive.google.com/file/d/1bS4OgcUd9mv1KwmF7F9YRodrE-rN8zj_/view?usp=drivesdk" TargetMode="External"/><Relationship Id="rId5441" Type="http://schemas.openxmlformats.org/officeDocument/2006/relationships/hyperlink" Target="https://drive.google.com/file/d/15vVvrJzfLsFOmbX8NMibNkiSwihjvT3P/view?usp=drivesdk" TargetMode="External"/><Relationship Id="rId6772" Type="http://schemas.openxmlformats.org/officeDocument/2006/relationships/hyperlink" Target="https://drive.google.com/file/d/1fxsVaCX3tWpfeRVJKBz8c2PcB9LsiRqk/view?usp=drivesdk" TargetMode="External"/><Relationship Id="rId4114" Type="http://schemas.openxmlformats.org/officeDocument/2006/relationships/hyperlink" Target="https://drive.google.com/file/d/1WwJAOZj5bnBPi8IlekzjWsNjrzWoofrH/view?usp=drivesdk" TargetMode="External"/><Relationship Id="rId5446" Type="http://schemas.openxmlformats.org/officeDocument/2006/relationships/hyperlink" Target="https://drive.google.com/file/d/1OqitqX72bIsUPAEJK2gMcyVzIrnuBue8/view?usp=drivesdk" TargetMode="External"/><Relationship Id="rId6777" Type="http://schemas.openxmlformats.org/officeDocument/2006/relationships/hyperlink" Target="https://drive.google.com/file/d/1XYcc4mA_Rb34z_TZTaZTqly3Dp09ZLj4/view?usp=drivesdk" TargetMode="External"/><Relationship Id="rId4113" Type="http://schemas.openxmlformats.org/officeDocument/2006/relationships/hyperlink" Target="https://drive.google.com/file/d/1vuOuCZMY9zR7YrRHmYaxUTDM1ViXispn/view?usp=drivesdk" TargetMode="External"/><Relationship Id="rId5447" Type="http://schemas.openxmlformats.org/officeDocument/2006/relationships/hyperlink" Target="https://drive.google.com/file/d/1ypzZuFBokyQySER7GZtfp8YneTMDacpv/view?usp=drivesdk" TargetMode="External"/><Relationship Id="rId6778" Type="http://schemas.openxmlformats.org/officeDocument/2006/relationships/hyperlink" Target="https://drive.google.com/file/d/1jfPhCZMxBh0jilQ_4T5kbPHQTJDk5i8q/view?usp=drivesdk" TargetMode="External"/><Relationship Id="rId4116" Type="http://schemas.openxmlformats.org/officeDocument/2006/relationships/hyperlink" Target="https://drive.google.com/file/d/1vuM4jsd59JuHHXi1qLa3EBuN0vpSuEWT/view?usp=drivesdk" TargetMode="External"/><Relationship Id="rId5444" Type="http://schemas.openxmlformats.org/officeDocument/2006/relationships/hyperlink" Target="https://drive.google.com/file/d/15QSj8ILK93wAq0c7nl6LdBc8nQJXQFCS/view?usp=drivesdk" TargetMode="External"/><Relationship Id="rId6775" Type="http://schemas.openxmlformats.org/officeDocument/2006/relationships/hyperlink" Target="https://drive.google.com/file/d/1NFAT-IvdJONyIZZ4-OH9x-GF-Yg4a-Hh/view?usp=drivesdk" TargetMode="External"/><Relationship Id="rId4115" Type="http://schemas.openxmlformats.org/officeDocument/2006/relationships/hyperlink" Target="https://drive.google.com/file/d/1UriDVyOskrHL2O4AYi38RkqtaHLCtAna/view?usp=drivesdk" TargetMode="External"/><Relationship Id="rId5445" Type="http://schemas.openxmlformats.org/officeDocument/2006/relationships/hyperlink" Target="https://drive.google.com/file/d/1KLQQqisDyDP328-KGogeLcQ_dvFq4hh6/view?usp=drivesdk" TargetMode="External"/><Relationship Id="rId6776" Type="http://schemas.openxmlformats.org/officeDocument/2006/relationships/hyperlink" Target="https://drive.google.com/file/d/1sw8Q7FhFm9GhN_1_4z4NtPYxp51IEwnJ/view?usp=drivesdk" TargetMode="External"/><Relationship Id="rId10996" Type="http://schemas.openxmlformats.org/officeDocument/2006/relationships/hyperlink" Target="https://drive.google.com/file/d/1drF3w9nzOKkd7InqGodJQLPBi1dfGHop/view?usp=drivesdk" TargetMode="External"/><Relationship Id="rId10997" Type="http://schemas.openxmlformats.org/officeDocument/2006/relationships/hyperlink" Target="https://drive.google.com/file/d/1435UVj5ibG5cK57Uv9VlI8MRiDfoKeH0/view?usp=drivesdk" TargetMode="External"/><Relationship Id="rId10994" Type="http://schemas.openxmlformats.org/officeDocument/2006/relationships/hyperlink" Target="https://drive.google.com/file/d/1XYw9BjyzW6ptLZDuDi92QXgxYi2ZxXdE/view?usp=drivesdk" TargetMode="External"/><Relationship Id="rId10995" Type="http://schemas.openxmlformats.org/officeDocument/2006/relationships/hyperlink" Target="https://drive.google.com/file/d/1CtxwMGJCGo9KtRmaZCyC0vTqYT5k9PIm/view?usp=drivesdk" TargetMode="External"/><Relationship Id="rId5471" Type="http://schemas.openxmlformats.org/officeDocument/2006/relationships/hyperlink" Target="https://drive.google.com/file/d/1UOO2TvFZMZThTP_tjxh1kY0-Rtm1fdxF/view?usp=drivesdk" TargetMode="External"/><Relationship Id="rId5472" Type="http://schemas.openxmlformats.org/officeDocument/2006/relationships/hyperlink" Target="https://drive.google.com/file/d/1OXIDbwA2JF-dk_uh4Gm9E3tsXoCSX_6R/view?usp=drivesdk" TargetMode="External"/><Relationship Id="rId4141" Type="http://schemas.openxmlformats.org/officeDocument/2006/relationships/hyperlink" Target="https://drive.google.com/file/d/1TmqD-gDyVSfqRR2-SZI39o533DIAMa7q/view?usp=drivesdk" TargetMode="External"/><Relationship Id="rId10998" Type="http://schemas.openxmlformats.org/officeDocument/2006/relationships/hyperlink" Target="https://drive.google.com/file/d/1qoVJoJEPdxaJfs_qXyd0UYbSymwpHl2p/view?usp=drivesdk" TargetMode="External"/><Relationship Id="rId4140" Type="http://schemas.openxmlformats.org/officeDocument/2006/relationships/hyperlink" Target="https://drive.google.com/file/d/1R2Ud-rC5hVzIheu0q5fMfKEegk0VkMXP/view?usp=drivesdk" TargetMode="External"/><Relationship Id="rId5470" Type="http://schemas.openxmlformats.org/officeDocument/2006/relationships/hyperlink" Target="https://drive.google.com/file/d/1fE3uQE2KpPzRWBmaLJHI1jCsGJluHh87/view?usp=drivesdk" TargetMode="External"/><Relationship Id="rId10999" Type="http://schemas.openxmlformats.org/officeDocument/2006/relationships/hyperlink" Target="https://drive.google.com/file/d/17fxYTnqcAN0jNablkfF93eM_qNFtFpbZ/view?usp=drivesdk" TargetMode="External"/><Relationship Id="rId4143" Type="http://schemas.openxmlformats.org/officeDocument/2006/relationships/hyperlink" Target="https://drive.google.com/file/d/1JItZ1a_KhyIMN8AI3GhEEOMALhdNtYSR/view?usp=drivesdk" TargetMode="External"/><Relationship Id="rId5475" Type="http://schemas.openxmlformats.org/officeDocument/2006/relationships/hyperlink" Target="https://drive.google.com/file/d/1BofehexRCdKsVEC4bvHspfeCZBopa5-V/view?usp=drivesdk" TargetMode="External"/><Relationship Id="rId4142" Type="http://schemas.openxmlformats.org/officeDocument/2006/relationships/hyperlink" Target="https://drive.google.com/file/d/1jaXkjFUOb9d72aamSy9reAYRHIeVqKZ_/view?usp=drivesdk" TargetMode="External"/><Relationship Id="rId5476" Type="http://schemas.openxmlformats.org/officeDocument/2006/relationships/hyperlink" Target="https://drive.google.com/file/d/1HWy9_iExePZtwCEheED10wt_6Jn-Q5Qf/view?usp=drivesdk" TargetMode="External"/><Relationship Id="rId4145" Type="http://schemas.openxmlformats.org/officeDocument/2006/relationships/hyperlink" Target="https://drive.google.com/file/d/1ap_a5ejLy0Iko1jS4WI4pGJdQP9mi95t/view?usp=drivesdk" TargetMode="External"/><Relationship Id="rId5473" Type="http://schemas.openxmlformats.org/officeDocument/2006/relationships/hyperlink" Target="https://drive.google.com/file/d/1eHV45DbhCX4WAkxO8kQWNR2boRncmu8M/view?usp=drivesdk" TargetMode="External"/><Relationship Id="rId4144" Type="http://schemas.openxmlformats.org/officeDocument/2006/relationships/hyperlink" Target="https://drive.google.com/file/d/1-5ApuCuyzPllZ2stbf7c9P-EScyBzO_e/view?usp=drivesdk" TargetMode="External"/><Relationship Id="rId5474" Type="http://schemas.openxmlformats.org/officeDocument/2006/relationships/hyperlink" Target="https://drive.google.com/file/d/1XIOoSayixJFD8M9XOAemcvkU3moCHQYn/view?usp=drivesdk" TargetMode="External"/><Relationship Id="rId4147" Type="http://schemas.openxmlformats.org/officeDocument/2006/relationships/hyperlink" Target="https://drive.google.com/file/d/1gzIybEBwTZxqy7qp36EY_G7fRP-OJMmX/view?usp=drivesdk" TargetMode="External"/><Relationship Id="rId5479" Type="http://schemas.openxmlformats.org/officeDocument/2006/relationships/hyperlink" Target="https://drive.google.com/file/d/1zTuH8CrOybABHRlxdynLg9N33I2UNrYw/view?usp=drivesdk" TargetMode="External"/><Relationship Id="rId10992" Type="http://schemas.openxmlformats.org/officeDocument/2006/relationships/hyperlink" Target="https://drive.google.com/file/d/1AtaleBzrDmqAp4Wp91-k2ExfWCAT9pLV/view?usp=drivesdk" TargetMode="External"/><Relationship Id="rId4146" Type="http://schemas.openxmlformats.org/officeDocument/2006/relationships/hyperlink" Target="https://drive.google.com/file/d/1W5nJiGB3eAM3tGJrQjAY8RHs9h0nq69-/view?usp=drivesdk" TargetMode="External"/><Relationship Id="rId10993" Type="http://schemas.openxmlformats.org/officeDocument/2006/relationships/hyperlink" Target="https://drive.google.com/file/d/1Km36N2Mrl_0E1htA2WBLlv_AHU8ZTYK9/view?usp=drivesdk" TargetMode="External"/><Relationship Id="rId4149" Type="http://schemas.openxmlformats.org/officeDocument/2006/relationships/hyperlink" Target="https://drive.google.com/file/d/16ay9r0KW20c0GhYZLju3L9iuN50gv59_/view?usp=drivesdk" TargetMode="External"/><Relationship Id="rId5477" Type="http://schemas.openxmlformats.org/officeDocument/2006/relationships/hyperlink" Target="https://drive.google.com/file/d/11eaurBWHHAj1XSGATOAKgOcFpllIQVGA/view?usp=drivesdk" TargetMode="External"/><Relationship Id="rId10990" Type="http://schemas.openxmlformats.org/officeDocument/2006/relationships/hyperlink" Target="https://drive.google.com/file/d/1vq3No1q_jmL3u7ixIy3XPb4F8hgfoSEz/view?usp=drivesdk" TargetMode="External"/><Relationship Id="rId4148" Type="http://schemas.openxmlformats.org/officeDocument/2006/relationships/hyperlink" Target="https://drive.google.com/file/d/1pTTzjk5L6LHKb4_-j-BCzS7WFEK7WGFN/view?usp=drivesdk" TargetMode="External"/><Relationship Id="rId5478" Type="http://schemas.openxmlformats.org/officeDocument/2006/relationships/hyperlink" Target="https://drive.google.com/file/d/1ZHzWw4jdABY82fjOAaPc6u5DaJt78gdr/view?usp=drivesdk" TargetMode="External"/><Relationship Id="rId10991" Type="http://schemas.openxmlformats.org/officeDocument/2006/relationships/hyperlink" Target="https://drive.google.com/file/d/1-onlCs3c9SNqLATkjGKp6WEvMolRnVGM/view?usp=drivesdk" TargetMode="External"/><Relationship Id="rId4139" Type="http://schemas.openxmlformats.org/officeDocument/2006/relationships/hyperlink" Target="https://drive.google.com/file/d/1xV-ezith0JqTyrzvzwjlhpaVcCcW2yQ1/view?usp=drivesdk" TargetMode="External"/><Relationship Id="rId5460" Type="http://schemas.openxmlformats.org/officeDocument/2006/relationships/hyperlink" Target="https://drive.google.com/file/d/1JOkkt98mGf5rAxxNE2zSYcUNiG2hupFR/view?usp=drivesdk" TargetMode="External"/><Relationship Id="rId6791" Type="http://schemas.openxmlformats.org/officeDocument/2006/relationships/hyperlink" Target="https://drive.google.com/file/d/1NSbAtgpg8qYUeV3MVw0a8VyICWjTwcyj/view?usp=drivesdk" TargetMode="External"/><Relationship Id="rId5461" Type="http://schemas.openxmlformats.org/officeDocument/2006/relationships/hyperlink" Target="https://drive.google.com/file/d/1dQr9gOv1xFmyuKhgOSKttGYxnDh22vDz/view?usp=drivesdk" TargetMode="External"/><Relationship Id="rId6792" Type="http://schemas.openxmlformats.org/officeDocument/2006/relationships/hyperlink" Target="https://drive.google.com/file/d/1nMXlcX9NnY8QFDmf0pVXmXeU8U9cTSHs/view?usp=drivesdk" TargetMode="External"/><Relationship Id="rId4130" Type="http://schemas.openxmlformats.org/officeDocument/2006/relationships/hyperlink" Target="https://drive.google.com/file/d/1JCvD3X6WNT5FaXlZLyk2vMBFNVozyKlF/view?usp=drivesdk" TargetMode="External"/><Relationship Id="rId6790" Type="http://schemas.openxmlformats.org/officeDocument/2006/relationships/hyperlink" Target="https://drive.google.com/file/d/1on93aiVa1ZLqDUJ5BvqDo4KdPBMptKgF/view?usp=drivesdk" TargetMode="External"/><Relationship Id="rId4132" Type="http://schemas.openxmlformats.org/officeDocument/2006/relationships/hyperlink" Target="https://drive.google.com/file/d/1OXjH3tMBGts1-FRHlBXd_H7KVI-Ix0lg/view?usp=drivesdk" TargetMode="External"/><Relationship Id="rId5464" Type="http://schemas.openxmlformats.org/officeDocument/2006/relationships/hyperlink" Target="https://drive.google.com/file/d/11SBnzLt3oBBRULdzI-v1m05EauQM4Hoq/view?usp=drivesdk" TargetMode="External"/><Relationship Id="rId6795" Type="http://schemas.openxmlformats.org/officeDocument/2006/relationships/hyperlink" Target="https://drive.google.com/file/d/1yQ7Ra77knIuFUZj2ZbN4qnh6wVrTRAYt/view?usp=drivesdk" TargetMode="External"/><Relationship Id="rId4131" Type="http://schemas.openxmlformats.org/officeDocument/2006/relationships/hyperlink" Target="https://drive.google.com/file/d/1uy-PYi7PaeIyFRBR5Os3p7fleCrkjIrh/view?usp=drivesdk" TargetMode="External"/><Relationship Id="rId5465" Type="http://schemas.openxmlformats.org/officeDocument/2006/relationships/hyperlink" Target="https://drive.google.com/file/d/1cUFbACP9YBUzXJe2uN_fpxqMNQYn5jC3/view?usp=drivesdk" TargetMode="External"/><Relationship Id="rId6796" Type="http://schemas.openxmlformats.org/officeDocument/2006/relationships/hyperlink" Target="https://drive.google.com/file/d/1x7nKzeTSQetPHtxZEZnBewFKKO0y9SoC/view?usp=drivesdk" TargetMode="External"/><Relationship Id="rId4134" Type="http://schemas.openxmlformats.org/officeDocument/2006/relationships/hyperlink" Target="https://drive.google.com/file/d/10htjdMRQj5_AXWS2JFbgLc4Duq-js0kw/view?usp=drivesdk" TargetMode="External"/><Relationship Id="rId5462" Type="http://schemas.openxmlformats.org/officeDocument/2006/relationships/hyperlink" Target="https://drive.google.com/file/d/1b8xbkknvQbEvH2UGnIPbBPGt07bTOASU/view?usp=drivesdk" TargetMode="External"/><Relationship Id="rId6793" Type="http://schemas.openxmlformats.org/officeDocument/2006/relationships/hyperlink" Target="https://drive.google.com/file/d/1IC6iwyIKhdxMU0TVxKsGQsJNjb90Jc_w/view?usp=drivesdk" TargetMode="External"/><Relationship Id="rId4133" Type="http://schemas.openxmlformats.org/officeDocument/2006/relationships/hyperlink" Target="https://drive.google.com/file/d/1CA3G-pL4ZQZB7xFBhbC0N_6YfuRxUNDr/view?usp=drivesdk" TargetMode="External"/><Relationship Id="rId5463" Type="http://schemas.openxmlformats.org/officeDocument/2006/relationships/hyperlink" Target="https://drive.google.com/file/d/1n7EKSE8lYGjvzp0z6kN9IEOcXP6E0HCq/view?usp=drivesdk" TargetMode="External"/><Relationship Id="rId6794" Type="http://schemas.openxmlformats.org/officeDocument/2006/relationships/hyperlink" Target="https://drive.google.com/file/d/1lei4lFiZxzvIacCPj1KCjE1SiPjJbr9_/view?usp=drivesdk" TargetMode="External"/><Relationship Id="rId4136" Type="http://schemas.openxmlformats.org/officeDocument/2006/relationships/hyperlink" Target="https://drive.google.com/file/d/1ZWFIkFAFiqnsCw8x3IAG3jyW1JF-mhvN/view?usp=drivesdk" TargetMode="External"/><Relationship Id="rId5468" Type="http://schemas.openxmlformats.org/officeDocument/2006/relationships/hyperlink" Target="https://drive.google.com/file/d/1AjUHja4SR81Hz1nE4UDUbw3bfzkEAvo7/view?usp=drivesdk" TargetMode="External"/><Relationship Id="rId6799" Type="http://schemas.openxmlformats.org/officeDocument/2006/relationships/hyperlink" Target="https://drive.google.com/file/d/1IlA4kZ3VqfiqZXvVPj0q1qPjsOV6cqU3/view?usp=drivesdk" TargetMode="External"/><Relationship Id="rId4135" Type="http://schemas.openxmlformats.org/officeDocument/2006/relationships/hyperlink" Target="https://drive.google.com/file/d/1mM9gi84aCIfT5n-2B3tDuAPDESLBLDrU/view?usp=drivesdk" TargetMode="External"/><Relationship Id="rId5469" Type="http://schemas.openxmlformats.org/officeDocument/2006/relationships/hyperlink" Target="https://drive.google.com/file/d/1Pjd9AkzTQSOIrJ2sXp8SYddZProf4RNJ/view?usp=drivesdk" TargetMode="External"/><Relationship Id="rId4138" Type="http://schemas.openxmlformats.org/officeDocument/2006/relationships/hyperlink" Target="https://drive.google.com/file/d/1ayWywmB98QZ1g1qgMABtrbtqzoWnaoOx/view?usp=drivesdk" TargetMode="External"/><Relationship Id="rId5466" Type="http://schemas.openxmlformats.org/officeDocument/2006/relationships/hyperlink" Target="https://drive.google.com/file/d/1wRzF_ZdxltyzTWhMruguq0jNEh-DYV-M/view?usp=drivesdk" TargetMode="External"/><Relationship Id="rId6797" Type="http://schemas.openxmlformats.org/officeDocument/2006/relationships/hyperlink" Target="https://drive.google.com/file/d/1WucheNj-MoM6IrSaH3d0ZAuVUqfCtrmb/view?usp=drivesdk" TargetMode="External"/><Relationship Id="rId4137" Type="http://schemas.openxmlformats.org/officeDocument/2006/relationships/hyperlink" Target="https://drive.google.com/file/d/1siGoF6Q3HEe7TbNJSF9NwjtkuUUteZ0J/view?usp=drivesdk" TargetMode="External"/><Relationship Id="rId5467" Type="http://schemas.openxmlformats.org/officeDocument/2006/relationships/hyperlink" Target="https://drive.google.com/file/d/1HGfyeedXg46Z7qVOAd_Pr5x9fA2PO1Mw/view?usp=drivesdk" TargetMode="External"/><Relationship Id="rId6798" Type="http://schemas.openxmlformats.org/officeDocument/2006/relationships/hyperlink" Target="https://drive.google.com/file/d/1D865p2TvbpJ6XBOHni4Y9enDdQGDbtDF/view?usp=drivesdk" TargetMode="External"/><Relationship Id="rId10905" Type="http://schemas.openxmlformats.org/officeDocument/2006/relationships/hyperlink" Target="https://drive.google.com/file/d/1S2G0m6ZbPjBu7SnZM9ZNKxQrthulsPQ4/view?usp=drivesdk" TargetMode="External"/><Relationship Id="rId10906" Type="http://schemas.openxmlformats.org/officeDocument/2006/relationships/hyperlink" Target="https://drive.google.com/file/d/12kdjSLUr37fLJ7s1Rsmu_s-Ny8-FkXdX/view?usp=drivesdk" TargetMode="External"/><Relationship Id="rId10903" Type="http://schemas.openxmlformats.org/officeDocument/2006/relationships/hyperlink" Target="https://drive.google.com/file/d/1UU1nVaz0vnL-cp7wKU6EiL_gd5wn2jja/view?usp=drivesdk" TargetMode="External"/><Relationship Id="rId10904" Type="http://schemas.openxmlformats.org/officeDocument/2006/relationships/hyperlink" Target="https://drive.google.com/file/d/1UpC2fFBm79Ku54xs0gC7Pq7vopufa7pw/view?usp=drivesdk" TargetMode="External"/><Relationship Id="rId10909" Type="http://schemas.openxmlformats.org/officeDocument/2006/relationships/hyperlink" Target="https://drive.google.com/file/d/1J20VeK43AjCG4iQRZwCQFoTrmrsk_FXk/view?usp=drivesdk" TargetMode="External"/><Relationship Id="rId10907" Type="http://schemas.openxmlformats.org/officeDocument/2006/relationships/hyperlink" Target="https://drive.google.com/file/d/17mwYZ7CzGQhtw4VnIKvoXYzinfHvmewu/view?usp=drivesdk" TargetMode="External"/><Relationship Id="rId10908" Type="http://schemas.openxmlformats.org/officeDocument/2006/relationships/hyperlink" Target="https://drive.google.com/file/d/1sca_tyTPkBVHXlzd_4FBtYJ8aoR3JPrj/view?usp=drivesdk" TargetMode="External"/><Relationship Id="rId10901" Type="http://schemas.openxmlformats.org/officeDocument/2006/relationships/hyperlink" Target="https://drive.google.com/file/d/1WHpmuXcNc0AOK2WqTTU54pc5BuJpsLSy/view?usp=drivesdk" TargetMode="External"/><Relationship Id="rId10902" Type="http://schemas.openxmlformats.org/officeDocument/2006/relationships/hyperlink" Target="https://drive.google.com/file/d/1hwQTQTOXKIjcgtIj3CGRhjXsB-MdcHTE/view?usp=drivesdk" TargetMode="External"/><Relationship Id="rId10900" Type="http://schemas.openxmlformats.org/officeDocument/2006/relationships/hyperlink" Target="https://drive.google.com/file/d/1VHwFHsDJhiQBMtSRgG55qmXNgcrHIQKy/view?usp=drivesdk" TargetMode="External"/><Relationship Id="rId10938" Type="http://schemas.openxmlformats.org/officeDocument/2006/relationships/hyperlink" Target="https://drive.google.com/file/d/1dmK4kM5PXVjx7Ep271cHiQj5adshFJLk/view?usp=drivesdk" TargetMode="External"/><Relationship Id="rId10939" Type="http://schemas.openxmlformats.org/officeDocument/2006/relationships/hyperlink" Target="https://drive.google.com/file/d/1-aCRzIgyKEpUU4P41ww0Xuk2GVfoYX2O/view?usp=drivesdk" TargetMode="External"/><Relationship Id="rId10936" Type="http://schemas.openxmlformats.org/officeDocument/2006/relationships/hyperlink" Target="https://drive.google.com/file/d/1eRHGWRGyQo3XGYiUPVL34_8YfLYviwjs/view?usp=drivesdk" TargetMode="External"/><Relationship Id="rId10937" Type="http://schemas.openxmlformats.org/officeDocument/2006/relationships/hyperlink" Target="https://drive.google.com/file/d/1-a9kQDu_hkzFzOXVRjQrg9Dwbv99PYFz/view?usp=drivesdk" TargetMode="External"/><Relationship Id="rId10930" Type="http://schemas.openxmlformats.org/officeDocument/2006/relationships/hyperlink" Target="https://drive.google.com/file/d/1Nw8tjpfoIlbuXcxXs7Zh1vmNObSYUxGh/view?usp=drivesdk" TargetMode="External"/><Relationship Id="rId10931" Type="http://schemas.openxmlformats.org/officeDocument/2006/relationships/hyperlink" Target="https://drive.google.com/file/d/1Qc15tXYbbss2JTblf2w95lPqz_y3yP7h/view?usp=drivesdk" TargetMode="External"/><Relationship Id="rId10934" Type="http://schemas.openxmlformats.org/officeDocument/2006/relationships/hyperlink" Target="https://drive.google.com/file/d/1KuX8ecfPSkj0GZTp3Z7phMC_dGst4ij4/view?usp=drivesdk" TargetMode="External"/><Relationship Id="rId10935" Type="http://schemas.openxmlformats.org/officeDocument/2006/relationships/hyperlink" Target="https://drive.google.com/file/d/1enFMEJS5IAs1DsQUzDKXXV71IwWe7qxS/view?usp=drivesdk" TargetMode="External"/><Relationship Id="rId10932" Type="http://schemas.openxmlformats.org/officeDocument/2006/relationships/hyperlink" Target="https://drive.google.com/file/d/1IlZq7fBqoDL_yzJMkxwjVW8hVymU0xPU/view?usp=drivesdk" TargetMode="External"/><Relationship Id="rId10933" Type="http://schemas.openxmlformats.org/officeDocument/2006/relationships/hyperlink" Target="https://drive.google.com/file/d/1TX81HA8FXuLbQC9L6umy3d2iTv9sFynp/view?usp=drivesdk" TargetMode="External"/><Relationship Id="rId10949" Type="http://schemas.openxmlformats.org/officeDocument/2006/relationships/hyperlink" Target="https://drive.google.com/file/d/1tdvyDSptNAqQhBm5HypLa0wDtDTE-F8C/view?usp=drivesdk" TargetMode="External"/><Relationship Id="rId10947" Type="http://schemas.openxmlformats.org/officeDocument/2006/relationships/hyperlink" Target="https://drive.google.com/file/d/1AGHDwjRhOfEpmCaVp6FHDyFchaBJQbuJ/view?usp=drivesdk" TargetMode="External"/><Relationship Id="rId10948" Type="http://schemas.openxmlformats.org/officeDocument/2006/relationships/hyperlink" Target="https://drive.google.com/file/d/1l6J9t3DazMeCtYWOcpuJLJ_KYBUpwsOn/view?usp=drivesdk" TargetMode="External"/><Relationship Id="rId4190" Type="http://schemas.openxmlformats.org/officeDocument/2006/relationships/hyperlink" Target="https://drive.google.com/file/d/1liGrBbA4rKzI-eo2tHQBs4VLk85g0zkr/view?usp=drivesdk" TargetMode="External"/><Relationship Id="rId10941" Type="http://schemas.openxmlformats.org/officeDocument/2006/relationships/hyperlink" Target="https://drive.google.com/file/d/1lknoxcZyN_M6x4JXve1LuOjfR_6ADjtn/view?usp=drivesdk" TargetMode="External"/><Relationship Id="rId10942" Type="http://schemas.openxmlformats.org/officeDocument/2006/relationships/hyperlink" Target="https://drive.google.com/file/d/1Xo_m5-NQlubq6N6AYNsgs2vsoJsGkezy/view?usp=drivesdk" TargetMode="External"/><Relationship Id="rId4192" Type="http://schemas.openxmlformats.org/officeDocument/2006/relationships/hyperlink" Target="https://drive.google.com/file/d/1EBxmDZr_sEk7_yfBDx8wJjq4A2x82uL6/view?usp=drivesdk" TargetMode="External"/><Relationship Id="rId4191" Type="http://schemas.openxmlformats.org/officeDocument/2006/relationships/hyperlink" Target="https://drive.google.com/file/d/1F2KyqGy_I15T0OG3mjDOffv4KW6ELwfJ/view?usp=drivesdk" TargetMode="External"/><Relationship Id="rId10940" Type="http://schemas.openxmlformats.org/officeDocument/2006/relationships/hyperlink" Target="https://drive.google.com/file/d/1Q3lClAGOCge0168W2LMhxuE1OWA_e55b/view?usp=drivesdk" TargetMode="External"/><Relationship Id="rId4194" Type="http://schemas.openxmlformats.org/officeDocument/2006/relationships/hyperlink" Target="https://drive.google.com/file/d/1qVxJcSEtoVOtLsv06glYnxvPUQBBu9hN/view?usp=drivesdk" TargetMode="External"/><Relationship Id="rId10945" Type="http://schemas.openxmlformats.org/officeDocument/2006/relationships/hyperlink" Target="https://drive.google.com/file/d/1zv12ZGrP2BjcrXXci9gw0lqgrA1ywr8B/view?usp=drivesdk" TargetMode="External"/><Relationship Id="rId4193" Type="http://schemas.openxmlformats.org/officeDocument/2006/relationships/hyperlink" Target="https://drive.google.com/file/d/1MMvRr99ZGXsy2VM_RVysrdmY_GgSXJUI/view?usp=drivesdk" TargetMode="External"/><Relationship Id="rId10946" Type="http://schemas.openxmlformats.org/officeDocument/2006/relationships/hyperlink" Target="https://drive.google.com/file/d/1XjUJTQH3ROS7uHTO_7G7Z_sezCReeJZV/view?usp=drivesdk" TargetMode="External"/><Relationship Id="rId4196" Type="http://schemas.openxmlformats.org/officeDocument/2006/relationships/hyperlink" Target="https://drive.google.com/file/d/1-uhM5tEwnE-l8hG4tkdbTnejDnqH0WRZ/view?usp=drivesdk" TargetMode="External"/><Relationship Id="rId10943" Type="http://schemas.openxmlformats.org/officeDocument/2006/relationships/hyperlink" Target="https://drive.google.com/file/d/1XeN2sxiktFDhnzgQ9lFzUFNVonyGHptQ/view?usp=drivesdk" TargetMode="External"/><Relationship Id="rId4195" Type="http://schemas.openxmlformats.org/officeDocument/2006/relationships/hyperlink" Target="https://drive.google.com/file/d/1Pa5rjE6T8SLleGBOt5kJ4kdv-D_n7mH4/view?usp=drivesdk" TargetMode="External"/><Relationship Id="rId10944" Type="http://schemas.openxmlformats.org/officeDocument/2006/relationships/hyperlink" Target="https://drive.google.com/file/d/16yCiMFRglDwXR4Ll5LP8DkbpdlyF4Vmu/view?usp=drivesdk" TargetMode="External"/><Relationship Id="rId4198" Type="http://schemas.openxmlformats.org/officeDocument/2006/relationships/hyperlink" Target="https://drive.google.com/file/d/1EOJ6FOIpz2rKE4aGj3W8G-7kUCdvFy5P/view?usp=drivesdk" TargetMode="External"/><Relationship Id="rId4197" Type="http://schemas.openxmlformats.org/officeDocument/2006/relationships/hyperlink" Target="https://drive.google.com/file/d/1ssBJ7IU3V82e80KP_h84zc4KsCNF2_e1/view?usp=drivesdk" TargetMode="External"/><Relationship Id="rId4199" Type="http://schemas.openxmlformats.org/officeDocument/2006/relationships/hyperlink" Target="https://drive.google.com/file/d/1BjzK_TFsqmkuL9GG8HFhJYzvQns0t7D4/view?usp=drivesdk" TargetMode="External"/><Relationship Id="rId10916" Type="http://schemas.openxmlformats.org/officeDocument/2006/relationships/hyperlink" Target="https://drive.google.com/file/d/1PNuN3uHYgI6GU0TCCenBNi9ViTxqzEEi/view?usp=drivesdk" TargetMode="External"/><Relationship Id="rId10917" Type="http://schemas.openxmlformats.org/officeDocument/2006/relationships/hyperlink" Target="https://drive.google.com/file/d/1fPICIHiqXTomX642gL6a7i9tpxRaVvU9/view?usp=drivesdk" TargetMode="External"/><Relationship Id="rId10914" Type="http://schemas.openxmlformats.org/officeDocument/2006/relationships/hyperlink" Target="https://drive.google.com/file/d/1lyAJULqhMSYDr0aznh6Qg6s4vpovlPn5/view?usp=drivesdk" TargetMode="External"/><Relationship Id="rId10915" Type="http://schemas.openxmlformats.org/officeDocument/2006/relationships/hyperlink" Target="https://drive.google.com/file/d/18-BfkGMS8O6QitkSfiH7CZlmlYOTs-wu/view?usp=drivesdk" TargetMode="External"/><Relationship Id="rId10918" Type="http://schemas.openxmlformats.org/officeDocument/2006/relationships/hyperlink" Target="https://drive.google.com/file/d/1TOop7Uei6JLhtu30zNz85Kx1u9rN3_jT/view?usp=drivesdk" TargetMode="External"/><Relationship Id="rId10919" Type="http://schemas.openxmlformats.org/officeDocument/2006/relationships/hyperlink" Target="https://drive.google.com/file/d/18lrogge5GqExaoWMf_MmF7tAhi5Obfmu/view?usp=drivesdk" TargetMode="External"/><Relationship Id="rId10912" Type="http://schemas.openxmlformats.org/officeDocument/2006/relationships/hyperlink" Target="https://drive.google.com/file/d/1AXPAy8qUP9BrGRG7KrtpXOwy0R51f3p6/view?usp=drivesdk" TargetMode="External"/><Relationship Id="rId10913" Type="http://schemas.openxmlformats.org/officeDocument/2006/relationships/hyperlink" Target="https://drive.google.com/file/d/1M7LM-yNrI02Yqd14tENLcODcYiK6581i/view?usp=drivesdk" TargetMode="External"/><Relationship Id="rId10910" Type="http://schemas.openxmlformats.org/officeDocument/2006/relationships/hyperlink" Target="https://drive.google.com/file/d/1FUs7GoDrs8zwhI-_OAIQsgnPCOHTU1C2/view?usp=drivesdk" TargetMode="External"/><Relationship Id="rId10911" Type="http://schemas.openxmlformats.org/officeDocument/2006/relationships/hyperlink" Target="https://drive.google.com/file/d/16KV4tYD7SrBB9oKA0JOJB5BPfWPh1tEd/view?usp=drivesdk" TargetMode="External"/><Relationship Id="rId10927" Type="http://schemas.openxmlformats.org/officeDocument/2006/relationships/hyperlink" Target="https://drive.google.com/file/d/1Cn4vZv-PfI4XE824sXIUODDU5OeSHdK9/view?usp=drivesdk" TargetMode="External"/><Relationship Id="rId10928" Type="http://schemas.openxmlformats.org/officeDocument/2006/relationships/hyperlink" Target="https://drive.google.com/file/d/19lWPK73NR89p0UVWyhEGDFfqD2VmusHD/view?usp=drivesdk" TargetMode="External"/><Relationship Id="rId10925" Type="http://schemas.openxmlformats.org/officeDocument/2006/relationships/hyperlink" Target="https://drive.google.com/file/d/1BFEw1QdmRquq-Wq3tdX96RI4mT539UC6/view?usp=drivesdk" TargetMode="External"/><Relationship Id="rId10926" Type="http://schemas.openxmlformats.org/officeDocument/2006/relationships/hyperlink" Target="https://drive.google.com/file/d/130clYJURqk_kj3tb-Sr9OHQz-ro1TjZ6/view?usp=drivesdk" TargetMode="External"/><Relationship Id="rId10929" Type="http://schemas.openxmlformats.org/officeDocument/2006/relationships/hyperlink" Target="https://drive.google.com/file/d/1LNf3AA7nNrva7cUPByX5PoNUtzNLuUoX/view?usp=drivesdk" TargetMode="External"/><Relationship Id="rId10920" Type="http://schemas.openxmlformats.org/officeDocument/2006/relationships/hyperlink" Target="https://drive.google.com/file/d/16GUXRPl-IdWjYUG8Pw_khukOV9zs0CC5/view?usp=drivesdk" TargetMode="External"/><Relationship Id="rId10923" Type="http://schemas.openxmlformats.org/officeDocument/2006/relationships/hyperlink" Target="https://drive.google.com/file/d/1CTiew-MGbW_MBqfBX7A7qcYBgeoEzx96/view?usp=drivesdk" TargetMode="External"/><Relationship Id="rId10924" Type="http://schemas.openxmlformats.org/officeDocument/2006/relationships/hyperlink" Target="https://drive.google.com/file/d/1Hsc_pGiDui1ZI1YOQCXf5q3-X1azB9Ds/view?usp=drivesdk" TargetMode="External"/><Relationship Id="rId10921" Type="http://schemas.openxmlformats.org/officeDocument/2006/relationships/hyperlink" Target="https://drive.google.com/file/d/1T0axojkdcxqhfPs1P9cqAr_Poi5B3VqV/view?usp=drivesdk" TargetMode="External"/><Relationship Id="rId10922" Type="http://schemas.openxmlformats.org/officeDocument/2006/relationships/hyperlink" Target="https://drive.google.com/file/d/1U0IiWF1fawfxO5WQMFsrJXWWKIFI6DbV/view?usp=drivesdk" TargetMode="External"/><Relationship Id="rId509" Type="http://schemas.openxmlformats.org/officeDocument/2006/relationships/hyperlink" Target="https://drive.google.com/file/d/1BeBqKQAL9M9j42kNL8KBJXv-6eQciR5D/view?usp=drivesdk" TargetMode="External"/><Relationship Id="rId508" Type="http://schemas.openxmlformats.org/officeDocument/2006/relationships/hyperlink" Target="https://drive.google.com/file/d/1R5YggenJ0-eILwFlVSLW907gFG89g5Lq/view?usp=drivesdk" TargetMode="External"/><Relationship Id="rId503" Type="http://schemas.openxmlformats.org/officeDocument/2006/relationships/hyperlink" Target="https://drive.google.com/file/d/1hTfTuktSS8HYOpRLp9xVkghmOE0pG0tl/view?usp=drivesdk" TargetMode="External"/><Relationship Id="rId502" Type="http://schemas.openxmlformats.org/officeDocument/2006/relationships/hyperlink" Target="https://drive.google.com/file/d/1ZUZx9x56NAx48fmZgvM26oTR7nzK3k0O/view?usp=drivesdk" TargetMode="External"/><Relationship Id="rId501" Type="http://schemas.openxmlformats.org/officeDocument/2006/relationships/hyperlink" Target="https://drive.google.com/file/d/1j5HLqNvPL51mpbzs40QDbCDPE9biszAK/view?usp=drivesdk" TargetMode="External"/><Relationship Id="rId500" Type="http://schemas.openxmlformats.org/officeDocument/2006/relationships/hyperlink" Target="https://drive.google.com/file/d/1R4eN8Us-uPRlcvlDjFXFVIT0ymn8H3sJ/view?usp=drivesdk" TargetMode="External"/><Relationship Id="rId507" Type="http://schemas.openxmlformats.org/officeDocument/2006/relationships/hyperlink" Target="https://drive.google.com/file/d/1WOdw1jA6-omBTmQ5CXXsiHiNoVt7T2X-/view?usp=drivesdk" TargetMode="External"/><Relationship Id="rId506" Type="http://schemas.openxmlformats.org/officeDocument/2006/relationships/hyperlink" Target="https://drive.google.com/file/d/1NOAotPeuCaRmnhPB5psdK0tD5SSRuh4w/view?usp=drivesdk" TargetMode="External"/><Relationship Id="rId505" Type="http://schemas.openxmlformats.org/officeDocument/2006/relationships/hyperlink" Target="https://drive.google.com/file/d/11ndDDzfMbvdoBRqwtD9lk9CC4OLHH4Qf/view?usp=drivesdk" TargetMode="External"/><Relationship Id="rId504" Type="http://schemas.openxmlformats.org/officeDocument/2006/relationships/hyperlink" Target="https://drive.google.com/file/d/1WgWXKnH0cEfVmsymam08TlAWhLcXnNOS/view?usp=drivesdk" TargetMode="External"/><Relationship Id="rId6803" Type="http://schemas.openxmlformats.org/officeDocument/2006/relationships/hyperlink" Target="https://drive.google.com/file/d/1rD1KnB8E7NaYmM9od9qyQSdwIEnixOTE/view?usp=drivesdk" TargetMode="External"/><Relationship Id="rId6804" Type="http://schemas.openxmlformats.org/officeDocument/2006/relationships/hyperlink" Target="https://drive.google.com/file/d/1Ego8Dqo2g4cPHDzzkRgnH55e-BbGZ4O4/view?usp=drivesdk" TargetMode="External"/><Relationship Id="rId6801" Type="http://schemas.openxmlformats.org/officeDocument/2006/relationships/hyperlink" Target="https://drive.google.com/file/d/1SGmnk-Vkdpzsi2Hb4qFRmyIXKfcRF7nH/view?usp=drivesdk" TargetMode="External"/><Relationship Id="rId6802" Type="http://schemas.openxmlformats.org/officeDocument/2006/relationships/hyperlink" Target="https://drive.google.com/file/d/1yw-GFD5pmO5UWaR2NMwJQidutmlmqkKk/view?usp=drivesdk" TargetMode="External"/><Relationship Id="rId6807" Type="http://schemas.openxmlformats.org/officeDocument/2006/relationships/hyperlink" Target="https://drive.google.com/file/d/1HxnTUceVqDJkwzLo2xwbBaIj51H3Uhn0/view?usp=drivesdk" TargetMode="External"/><Relationship Id="rId6808" Type="http://schemas.openxmlformats.org/officeDocument/2006/relationships/hyperlink" Target="https://drive.google.com/file/d/1BMVOcw0S0KiKK7RpW3Ogf6mQsWJoxQRE/view?usp=drivesdk" TargetMode="External"/><Relationship Id="rId6805" Type="http://schemas.openxmlformats.org/officeDocument/2006/relationships/hyperlink" Target="https://drive.google.com/file/d/1TtE5qh9uQamSbS2W_ssfVhuYe-D2D9Bd/view?usp=drivesdk" TargetMode="External"/><Relationship Id="rId6806" Type="http://schemas.openxmlformats.org/officeDocument/2006/relationships/hyperlink" Target="https://drive.google.com/file/d/1wMlZ9OUtmTE0BeEpA8o7g8IxQcO1Z5Pz/view?usp=drivesdk" TargetMode="External"/><Relationship Id="rId6809" Type="http://schemas.openxmlformats.org/officeDocument/2006/relationships/hyperlink" Target="https://drive.google.com/file/d/14E3i23BVBm2VW6RIksiZkYo612X8tfk3/view?usp=drivesdk" TargetMode="External"/><Relationship Id="rId525" Type="http://schemas.openxmlformats.org/officeDocument/2006/relationships/hyperlink" Target="https://drive.google.com/file/d/13lYgU0VvNSpXt69xqJdqHGgdHNC0IRwC/view?usp=drivesdk" TargetMode="External"/><Relationship Id="rId524" Type="http://schemas.openxmlformats.org/officeDocument/2006/relationships/hyperlink" Target="https://drive.google.com/file/d/1OeciS_kdUixwC9ws6T5jhxG4Vj0RdDIT/view?usp=drivesdk" TargetMode="External"/><Relationship Id="rId523" Type="http://schemas.openxmlformats.org/officeDocument/2006/relationships/hyperlink" Target="https://drive.google.com/file/d/1Dhkehh3zHXq3A5lAjgdW36ES6DAOpYtL/view?usp=drivesdk" TargetMode="External"/><Relationship Id="rId522" Type="http://schemas.openxmlformats.org/officeDocument/2006/relationships/hyperlink" Target="https://drive.google.com/file/d/1UoAlodwohY-dA0JBGfRYSo8Cev4ZXIcA/view?usp=drivesdk" TargetMode="External"/><Relationship Id="rId529" Type="http://schemas.openxmlformats.org/officeDocument/2006/relationships/hyperlink" Target="https://drive.google.com/file/d/1ZDQrYVgNiqBiQa7SYQ2OlINd1p-4XcN6/view?usp=drivesdk" TargetMode="External"/><Relationship Id="rId528" Type="http://schemas.openxmlformats.org/officeDocument/2006/relationships/hyperlink" Target="https://drive.google.com/file/d/1M10EXvZHI43dHQmkcMRKd8LnSRwstnIC/view?usp=drivesdk" TargetMode="External"/><Relationship Id="rId527" Type="http://schemas.openxmlformats.org/officeDocument/2006/relationships/hyperlink" Target="https://drive.google.com/file/d/1fRTwarcATz3F0YwrEYYVOI9m0Bp9S0VJ/view?usp=drivesdk" TargetMode="External"/><Relationship Id="rId526" Type="http://schemas.openxmlformats.org/officeDocument/2006/relationships/hyperlink" Target="https://drive.google.com/file/d/1pGKXPd-u1zfIMBA0dQBKXCYOfVdX_lK3/view?usp=drivesdk" TargetMode="External"/><Relationship Id="rId521" Type="http://schemas.openxmlformats.org/officeDocument/2006/relationships/hyperlink" Target="https://drive.google.com/file/d/1I8lnDvDAs2URF0PwnLHHzXyhhOuaBEag/view?usp=drivesdk" TargetMode="External"/><Relationship Id="rId520" Type="http://schemas.openxmlformats.org/officeDocument/2006/relationships/hyperlink" Target="https://drive.google.com/file/d/1_0uJ80LsoKYeKc7sRG7tHo0RZ0qhj8Ot/view?usp=drivesdk" TargetMode="External"/><Relationship Id="rId6800" Type="http://schemas.openxmlformats.org/officeDocument/2006/relationships/hyperlink" Target="https://drive.google.com/file/d/1P0d0q-RGYnjdvz8pAXveNSI9Rdaf40g0/view?usp=drivesdk" TargetMode="External"/><Relationship Id="rId519" Type="http://schemas.openxmlformats.org/officeDocument/2006/relationships/hyperlink" Target="https://drive.google.com/file/d/16cJi_u8BmFiTaqFXDfj05lYVGtdW4yZ9/view?usp=drivesdk" TargetMode="External"/><Relationship Id="rId514" Type="http://schemas.openxmlformats.org/officeDocument/2006/relationships/hyperlink" Target="https://drive.google.com/file/d/1nx9Ssadd8dw-EMXe2-6ewCNsQVXBqykZ/view?usp=drivesdk" TargetMode="External"/><Relationship Id="rId513" Type="http://schemas.openxmlformats.org/officeDocument/2006/relationships/hyperlink" Target="https://drive.google.com/file/d/1a9i5jwe_4hLidbUz5Tc8CgxInIqnEvXI/view?usp=drivesdk" TargetMode="External"/><Relationship Id="rId512" Type="http://schemas.openxmlformats.org/officeDocument/2006/relationships/hyperlink" Target="https://drive.google.com/file/d/1ZbjNwy52u9RgqBVtRFEZGPGC7esuz-Kl/view?usp=drivesdk" TargetMode="External"/><Relationship Id="rId511" Type="http://schemas.openxmlformats.org/officeDocument/2006/relationships/hyperlink" Target="https://drive.google.com/file/d/1OHoF6MwNChb1D8B02g2wudt54SKil8QO/view?usp=drivesdk" TargetMode="External"/><Relationship Id="rId518" Type="http://schemas.openxmlformats.org/officeDocument/2006/relationships/hyperlink" Target="https://drive.google.com/file/d/1r9YmAsCbLn23oYiNmNZNYCR6Knda67Zg/view?usp=drivesdk" TargetMode="External"/><Relationship Id="rId517" Type="http://schemas.openxmlformats.org/officeDocument/2006/relationships/hyperlink" Target="https://drive.google.com/file/d/1fZiJ2aVY6ZMyAbAZdQ4igjrjC3MeTRrQ/view?usp=drivesdk" TargetMode="External"/><Relationship Id="rId516" Type="http://schemas.openxmlformats.org/officeDocument/2006/relationships/hyperlink" Target="https://drive.google.com/file/d/1k3XSwIq356dLtXjbb5WZbthRKQhj9EYm/view?usp=drivesdk" TargetMode="External"/><Relationship Id="rId515" Type="http://schemas.openxmlformats.org/officeDocument/2006/relationships/hyperlink" Target="https://drive.google.com/file/d/1tdN15aEv4n_EOz-PisQa9iHrAqAh9IOU/view?usp=drivesdk" TargetMode="External"/><Relationship Id="rId510" Type="http://schemas.openxmlformats.org/officeDocument/2006/relationships/hyperlink" Target="https://drive.google.com/file/d/1nLHCbzTFwxqdjW-7ev--i0XgJrPcFUVa/view?usp=drivesdk" TargetMode="External"/><Relationship Id="rId4206" Type="http://schemas.openxmlformats.org/officeDocument/2006/relationships/hyperlink" Target="https://drive.google.com/file/d/1PlEcZJIG81Etrg1Vv2OvWTO8VhBmN4On/view?usp=drivesdk" TargetMode="External"/><Relationship Id="rId5538" Type="http://schemas.openxmlformats.org/officeDocument/2006/relationships/hyperlink" Target="https://drive.google.com/file/d/1QYaitsjZ3bTuBv0PQNhKQTeEj2dtYqVI/view?usp=drivesdk" TargetMode="External"/><Relationship Id="rId6869" Type="http://schemas.openxmlformats.org/officeDocument/2006/relationships/hyperlink" Target="https://drive.google.com/file/d/1ExjT-VqCqFzgISN9mEqM2igppZHmCQbQ/view?usp=drivesdk" TargetMode="External"/><Relationship Id="rId4205" Type="http://schemas.openxmlformats.org/officeDocument/2006/relationships/hyperlink" Target="https://drive.google.com/file/d/1s7Vx-wcarOn7OjPUn8BGDgsZBY0Ujoe2/view?usp=drivesdk" TargetMode="External"/><Relationship Id="rId5539" Type="http://schemas.openxmlformats.org/officeDocument/2006/relationships/hyperlink" Target="https://drive.google.com/file/d/1KDG-rKC4O8g8s0wPOJLWWHooY4wMtRUS/view?usp=drivesdk" TargetMode="External"/><Relationship Id="rId4208" Type="http://schemas.openxmlformats.org/officeDocument/2006/relationships/hyperlink" Target="https://drive.google.com/file/d/1G2X1Q9UUQuG498q1rc1VF-Ct-C88Huqg/view?usp=drivesdk" TargetMode="External"/><Relationship Id="rId5536" Type="http://schemas.openxmlformats.org/officeDocument/2006/relationships/hyperlink" Target="https://drive.google.com/file/d/1L2ZPE8ehpd-ebJHeFikLEbhclBZaueTb/view?usp=drivesdk" TargetMode="External"/><Relationship Id="rId6867" Type="http://schemas.openxmlformats.org/officeDocument/2006/relationships/hyperlink" Target="https://drive.google.com/file/d/1JsrTIQRguqNKh7DzQ_1mNqPU0XGPt91a/view?usp=drivesdk" TargetMode="External"/><Relationship Id="rId4207" Type="http://schemas.openxmlformats.org/officeDocument/2006/relationships/hyperlink" Target="https://drive.google.com/file/d/1OVN1FlaQhZYXVsfzPSfS4F3BQsBdGcMt/view?usp=drivesdk" TargetMode="External"/><Relationship Id="rId5537" Type="http://schemas.openxmlformats.org/officeDocument/2006/relationships/hyperlink" Target="https://drive.google.com/file/d/1mZ0zLtIhsbWVxa1fnOoADX6EhV9BiaVF/view?usp=drivesdk" TargetMode="External"/><Relationship Id="rId6868" Type="http://schemas.openxmlformats.org/officeDocument/2006/relationships/hyperlink" Target="https://drive.google.com/file/d/1FfbapagkplwP0XgE7LLCDw5reLhjdYzI/view?usp=drivesdk" TargetMode="External"/><Relationship Id="rId590" Type="http://schemas.openxmlformats.org/officeDocument/2006/relationships/hyperlink" Target="https://drive.google.com/file/d/1CdIs_BJDX58wPIOmobKDTpqckis9RgvU/view?usp=drivesdk" TargetMode="External"/><Relationship Id="rId4209" Type="http://schemas.openxmlformats.org/officeDocument/2006/relationships/hyperlink" Target="https://drive.google.com/file/d/1mpV5We3z9qRnFKP7iBezAL3GVoEwpzci/view?usp=drivesdk" TargetMode="External"/><Relationship Id="rId589" Type="http://schemas.openxmlformats.org/officeDocument/2006/relationships/hyperlink" Target="https://drive.google.com/file/d/1wwyBrAxW7s_Oyc-CYPX8cUCe60ov_0Yt/view?usp=drivesdk" TargetMode="External"/><Relationship Id="rId588" Type="http://schemas.openxmlformats.org/officeDocument/2006/relationships/hyperlink" Target="https://drive.google.com/file/d/1chxpHTiIwb9AU_Hu_6YEJpTbygVHcKSd/view?usp=drivesdk" TargetMode="External"/><Relationship Id="rId583" Type="http://schemas.openxmlformats.org/officeDocument/2006/relationships/hyperlink" Target="https://drive.google.com/file/d/1c7guYdWd2zJAB_zuI3QTSnvJVCYl8bZk/view?usp=drivesdk" TargetMode="External"/><Relationship Id="rId5530" Type="http://schemas.openxmlformats.org/officeDocument/2006/relationships/hyperlink" Target="https://drive.google.com/file/d/1iWET87gpkJac6tR03FStkc1YVJL4O--L/view?usp=drivesdk" TargetMode="External"/><Relationship Id="rId6861" Type="http://schemas.openxmlformats.org/officeDocument/2006/relationships/hyperlink" Target="https://drive.google.com/file/d/1fIfzj-DSNxgCVeOrliKnojuGteaLKXMG/view?usp=drivesdk" TargetMode="External"/><Relationship Id="rId582" Type="http://schemas.openxmlformats.org/officeDocument/2006/relationships/hyperlink" Target="https://drive.google.com/file/d/1zcImTz--f7R2xAcBkoDrV4apqhy-WUzJ/view?usp=drivesdk" TargetMode="External"/><Relationship Id="rId5531" Type="http://schemas.openxmlformats.org/officeDocument/2006/relationships/hyperlink" Target="https://drive.google.com/file/d/1rxgvWYNOd2T5trjhsODuckWy8Osmc2ls/view?usp=drivesdk" TargetMode="External"/><Relationship Id="rId6862" Type="http://schemas.openxmlformats.org/officeDocument/2006/relationships/hyperlink" Target="https://drive.google.com/file/d/1dcnc4Yl0DSVeS64FE1mJDYKxVN7OVvHa/view?usp=drivesdk" TargetMode="External"/><Relationship Id="rId581" Type="http://schemas.openxmlformats.org/officeDocument/2006/relationships/hyperlink" Target="https://drive.google.com/file/d/17ADyFUYB6tNzN_jfzaQOFawFAon9aZZF/view?usp=drivesdk" TargetMode="External"/><Relationship Id="rId4200" Type="http://schemas.openxmlformats.org/officeDocument/2006/relationships/hyperlink" Target="https://drive.google.com/file/d/1I2WE98u32p029G2pQYePzYhKAFmwOiwJ/view?usp=drivesdk" TargetMode="External"/><Relationship Id="rId580" Type="http://schemas.openxmlformats.org/officeDocument/2006/relationships/hyperlink" Target="https://drive.google.com/file/d/1NWCWz-UYq_kEJ5jVgR9IuMD4f17mM1ck/view?usp=drivesdk" TargetMode="External"/><Relationship Id="rId6860" Type="http://schemas.openxmlformats.org/officeDocument/2006/relationships/hyperlink" Target="https://drive.google.com/file/d/1bCYHc3fvn0BIRGZxMaYQioB1MW4hK9xv/view?usp=drivesdk" TargetMode="External"/><Relationship Id="rId587" Type="http://schemas.openxmlformats.org/officeDocument/2006/relationships/hyperlink" Target="https://drive.google.com/file/d/1svZWISE59PlFsjTj5EslE76i-giixEVX/view?usp=drivesdk" TargetMode="External"/><Relationship Id="rId4202" Type="http://schemas.openxmlformats.org/officeDocument/2006/relationships/hyperlink" Target="https://drive.google.com/file/d/1KdUZ6XU1cCaewwJjWUQrKWLW6JDW4uBJ/view?usp=drivesdk" TargetMode="External"/><Relationship Id="rId5534" Type="http://schemas.openxmlformats.org/officeDocument/2006/relationships/hyperlink" Target="https://drive.google.com/file/d/1-yMSl3DChm-Fs8T1yOH4hDuVH-EdV1g3/view?usp=drivesdk" TargetMode="External"/><Relationship Id="rId6865" Type="http://schemas.openxmlformats.org/officeDocument/2006/relationships/hyperlink" Target="https://drive.google.com/file/d/1PjPtpv2OW6c111u189kF16QzOSqmPlTR/view?usp=drivesdk" TargetMode="External"/><Relationship Id="rId586" Type="http://schemas.openxmlformats.org/officeDocument/2006/relationships/hyperlink" Target="https://drive.google.com/file/d/1pRBfVpVOIXSN4xbledIH2KPmONGQLtDg/view?usp=drivesdk" TargetMode="External"/><Relationship Id="rId4201" Type="http://schemas.openxmlformats.org/officeDocument/2006/relationships/hyperlink" Target="https://drive.google.com/file/d/1NWCbPFVPy-IbvbjJN0MGigUiHAAFmfXF/view?usp=drivesdk" TargetMode="External"/><Relationship Id="rId5535" Type="http://schemas.openxmlformats.org/officeDocument/2006/relationships/hyperlink" Target="https://drive.google.com/file/d/1j6Eqpb_-FPjoHlKLS5pNV7QAQp2izmB_/view?usp=drivesdk" TargetMode="External"/><Relationship Id="rId6866" Type="http://schemas.openxmlformats.org/officeDocument/2006/relationships/hyperlink" Target="https://drive.google.com/file/d/1KSCEEqqZuIiDff8FNKXVyQXucPL4QHdH/view?usp=drivesdk" TargetMode="External"/><Relationship Id="rId585" Type="http://schemas.openxmlformats.org/officeDocument/2006/relationships/hyperlink" Target="https://drive.google.com/file/d/1rEap2MDcX_TxWfgq7KERfWkQHG5eRs4R/view?usp=drivesdk" TargetMode="External"/><Relationship Id="rId4204" Type="http://schemas.openxmlformats.org/officeDocument/2006/relationships/hyperlink" Target="https://drive.google.com/file/d/1Fa-597pjVEztvowZvu9Btf3rxUHbESok/view?usp=drivesdk" TargetMode="External"/><Relationship Id="rId5532" Type="http://schemas.openxmlformats.org/officeDocument/2006/relationships/hyperlink" Target="https://drive.google.com/file/d/1bjd5Zt8Fu1eC59vm0BxvTs3o-mdMYqeL/view?usp=drivesdk" TargetMode="External"/><Relationship Id="rId6863" Type="http://schemas.openxmlformats.org/officeDocument/2006/relationships/hyperlink" Target="https://drive.google.com/file/d/1Zm0P9kQUDkjkUMNguRX-SNAvZLX1No5R/view?usp=drivesdk" TargetMode="External"/><Relationship Id="rId584" Type="http://schemas.openxmlformats.org/officeDocument/2006/relationships/hyperlink" Target="https://drive.google.com/file/d/1zYILqAHJz3BHoD3ig01-T4T-DGH42xdW/view?usp=drivesdk" TargetMode="External"/><Relationship Id="rId4203" Type="http://schemas.openxmlformats.org/officeDocument/2006/relationships/hyperlink" Target="https://drive.google.com/file/d/1cU6me1ErH4ahUl7yyEPXQK3i3QPZEdKQ/view?usp=drivesdk" TargetMode="External"/><Relationship Id="rId5533" Type="http://schemas.openxmlformats.org/officeDocument/2006/relationships/hyperlink" Target="https://drive.google.com/file/d/1G1N7rVHDej5YqXYYHYLeuBlN-BiVxCBR/view?usp=drivesdk" TargetMode="External"/><Relationship Id="rId6864" Type="http://schemas.openxmlformats.org/officeDocument/2006/relationships/hyperlink" Target="https://drive.google.com/file/d/1HQM7JyPxt54mrswaDBh9NS52qnl9YTVF/view?usp=drivesdk" TargetMode="External"/><Relationship Id="rId5527" Type="http://schemas.openxmlformats.org/officeDocument/2006/relationships/hyperlink" Target="https://drive.google.com/file/d/1OQmmios2K-kyFH7ZOnS_cLVoB4cTiEOB/view?usp=drivesdk" TargetMode="External"/><Relationship Id="rId6858" Type="http://schemas.openxmlformats.org/officeDocument/2006/relationships/hyperlink" Target="https://drive.google.com/file/d/1TewpBsUponwYWe31LUNjBGPVhdwtWJUU/view?usp=drivesdk" TargetMode="External"/><Relationship Id="rId5528" Type="http://schemas.openxmlformats.org/officeDocument/2006/relationships/hyperlink" Target="https://drive.google.com/file/d/1VIwuX1XRiugxwoHWk-N80WYtx6EKjqZs/view?usp=drivesdk" TargetMode="External"/><Relationship Id="rId6859" Type="http://schemas.openxmlformats.org/officeDocument/2006/relationships/hyperlink" Target="https://drive.google.com/file/d/15X1vj4XD-LXOTbLNuzaRFG54iyK_6eN3/view?usp=drivesdk" TargetMode="External"/><Relationship Id="rId5525" Type="http://schemas.openxmlformats.org/officeDocument/2006/relationships/hyperlink" Target="https://drive.google.com/file/d/1Z5z0u3EJ2g9PeYUVi5E9TgNsDc_DPkNd/view?usp=drivesdk" TargetMode="External"/><Relationship Id="rId6856" Type="http://schemas.openxmlformats.org/officeDocument/2006/relationships/hyperlink" Target="https://drive.google.com/file/d/14UeHk3Me8E0ZHXFiLtJdWdcIaqSeJ094/view?usp=drivesdk" TargetMode="External"/><Relationship Id="rId5526" Type="http://schemas.openxmlformats.org/officeDocument/2006/relationships/hyperlink" Target="https://drive.google.com/file/d/1NMEqu6I-Rh43X7y0lB2_SZB-a7hKbNWf/view?usp=drivesdk" TargetMode="External"/><Relationship Id="rId6857" Type="http://schemas.openxmlformats.org/officeDocument/2006/relationships/hyperlink" Target="https://drive.google.com/file/d/1V9oMXFzaqS4XnY2X8IgjZWhwFx7TbT76/view?usp=drivesdk" TargetMode="External"/><Relationship Id="rId5529" Type="http://schemas.openxmlformats.org/officeDocument/2006/relationships/hyperlink" Target="https://drive.google.com/file/d/1SPfj3xKJFuWSbD3dtYEg-55bpjq6lD9Y/view?usp=drivesdk" TargetMode="External"/><Relationship Id="rId579" Type="http://schemas.openxmlformats.org/officeDocument/2006/relationships/hyperlink" Target="https://drive.google.com/file/d/16g6Xh9HbJBPmIl-sbcw_rN7GV-PXz0XH/view?usp=drivesdk" TargetMode="External"/><Relationship Id="rId578" Type="http://schemas.openxmlformats.org/officeDocument/2006/relationships/hyperlink" Target="https://drive.google.com/file/d/13jBwfI9VlmQLi_mpB3S72jEZkKK8ioIh/view?usp=drivesdk" TargetMode="External"/><Relationship Id="rId577" Type="http://schemas.openxmlformats.org/officeDocument/2006/relationships/hyperlink" Target="https://drive.google.com/file/d/1DxJuiI0q1mMnaE3cZcbs4KV8aErU26Ze/view?usp=drivesdk" TargetMode="External"/><Relationship Id="rId572" Type="http://schemas.openxmlformats.org/officeDocument/2006/relationships/hyperlink" Target="https://drive.google.com/file/d/1RPR5yg2LrUfs8vJWn4tHHYQV6S4L4HBq/view?usp=drivesdk" TargetMode="External"/><Relationship Id="rId6850" Type="http://schemas.openxmlformats.org/officeDocument/2006/relationships/hyperlink" Target="https://drive.google.com/file/d/1J7iRshqaI5pTsfY8uTIhqGYh8dlBNZYp/view?usp=drivesdk" TargetMode="External"/><Relationship Id="rId571" Type="http://schemas.openxmlformats.org/officeDocument/2006/relationships/hyperlink" Target="https://drive.google.com/file/d/1ihC2ktFj48zebxDg4wX6LyVCe6OK616Z/view?usp=drivesdk" TargetMode="External"/><Relationship Id="rId5520" Type="http://schemas.openxmlformats.org/officeDocument/2006/relationships/hyperlink" Target="https://drive.google.com/file/d/1E18gWp9WWY0WS9930AooirIGQ-ptsvrd/view?usp=drivesdk" TargetMode="External"/><Relationship Id="rId6851" Type="http://schemas.openxmlformats.org/officeDocument/2006/relationships/hyperlink" Target="https://drive.google.com/file/d/1FFElbr852hHg-ZZWqL8mySd16cm1n3fu/view?usp=drivesdk" TargetMode="External"/><Relationship Id="rId570" Type="http://schemas.openxmlformats.org/officeDocument/2006/relationships/hyperlink" Target="https://drive.google.com/file/d/1mpeyA3m6iAgF66IeuAtheb2FY83ndcFn/view?usp=drivesdk" TargetMode="External"/><Relationship Id="rId576" Type="http://schemas.openxmlformats.org/officeDocument/2006/relationships/hyperlink" Target="https://drive.google.com/file/d/1G5Y9IJEcFD2w1LrTvkACllQt1_4SM9HH/view?usp=drivesdk" TargetMode="External"/><Relationship Id="rId5523" Type="http://schemas.openxmlformats.org/officeDocument/2006/relationships/hyperlink" Target="https://drive.google.com/file/d/1gxT5bTNo6Xn3rxPi5xo7GnfoFoE3f7hk/view?usp=drivesdk" TargetMode="External"/><Relationship Id="rId6854" Type="http://schemas.openxmlformats.org/officeDocument/2006/relationships/hyperlink" Target="https://drive.google.com/file/d/1JjxhxjakWg9KX-PnpP9sRa2ebijLO_5W/view?usp=drivesdk" TargetMode="External"/><Relationship Id="rId575" Type="http://schemas.openxmlformats.org/officeDocument/2006/relationships/hyperlink" Target="https://drive.google.com/file/d/1orWHGh_7MLiS4-fCG5dJJmLXY0X_PRoC/view?usp=drivesdk" TargetMode="External"/><Relationship Id="rId5524" Type="http://schemas.openxmlformats.org/officeDocument/2006/relationships/hyperlink" Target="https://drive.google.com/file/d/1b0ySu_1ue8mkGF0ggntJ9Jr0AUp8Lmg0/view?usp=drivesdk" TargetMode="External"/><Relationship Id="rId6855" Type="http://schemas.openxmlformats.org/officeDocument/2006/relationships/hyperlink" Target="https://drive.google.com/file/d/1fPDPik7eXURLg1eIF2kKxKyfI4qbTaj4/view?usp=drivesdk" TargetMode="External"/><Relationship Id="rId574" Type="http://schemas.openxmlformats.org/officeDocument/2006/relationships/hyperlink" Target="https://drive.google.com/file/d/1xyPTGdEMZMLoVjorKtuqqAuzLTKikquA/view?usp=drivesdk" TargetMode="External"/><Relationship Id="rId5521" Type="http://schemas.openxmlformats.org/officeDocument/2006/relationships/hyperlink" Target="https://drive.google.com/file/d/1Vn7qr2SldlEFBhyF1H7OmuMHqREGO65S/view?usp=drivesdk" TargetMode="External"/><Relationship Id="rId6852" Type="http://schemas.openxmlformats.org/officeDocument/2006/relationships/hyperlink" Target="https://drive.google.com/file/d/1c5daoseCu2KdKV5k9zkjeYAx8raEuHvy/view?usp=drivesdk" TargetMode="External"/><Relationship Id="rId573" Type="http://schemas.openxmlformats.org/officeDocument/2006/relationships/hyperlink" Target="https://drive.google.com/file/d/196jiAda6fmLJ0yq20sn9Dvy93MZ-Yf5a/view?usp=drivesdk" TargetMode="External"/><Relationship Id="rId5522" Type="http://schemas.openxmlformats.org/officeDocument/2006/relationships/hyperlink" Target="https://drive.google.com/file/d/12J_7nuG8xB2whyBmBQAN2FXOIQhLeh16/view?usp=drivesdk" TargetMode="External"/><Relationship Id="rId6853" Type="http://schemas.openxmlformats.org/officeDocument/2006/relationships/hyperlink" Target="https://drive.google.com/file/d/1jYCHKPZXG_h4xYfQxFVgF0wI8c1E-9fC/view?usp=drivesdk" TargetMode="External"/><Relationship Id="rId4228" Type="http://schemas.openxmlformats.org/officeDocument/2006/relationships/hyperlink" Target="https://drive.google.com/file/d/1GCYkGlvZa6mm3579DdEE578nbFJal-JO/view?usp=drivesdk" TargetMode="External"/><Relationship Id="rId4227" Type="http://schemas.openxmlformats.org/officeDocument/2006/relationships/hyperlink" Target="https://drive.google.com/file/d/1t8cJDHozXFfHNOavgFtamwu0J_fs3gjq/view?usp=drivesdk" TargetMode="External"/><Relationship Id="rId5558" Type="http://schemas.openxmlformats.org/officeDocument/2006/relationships/hyperlink" Target="https://drive.google.com/file/d/1vl_Uo8EzUqLTBvv73p_HvKIahXLuKs54/view?usp=drivesdk" TargetMode="External"/><Relationship Id="rId6889" Type="http://schemas.openxmlformats.org/officeDocument/2006/relationships/hyperlink" Target="https://drive.google.com/file/d/12atWxio_tR_vqZuDi-mdFmbbs-85aJKZ/view?usp=drivesdk" TargetMode="External"/><Relationship Id="rId4229" Type="http://schemas.openxmlformats.org/officeDocument/2006/relationships/hyperlink" Target="https://drive.google.com/file/d/17kouMTSv91tA43xMu4tZ6GKTcbVjH3UC/view?usp=drivesdk" TargetMode="External"/><Relationship Id="rId5559" Type="http://schemas.openxmlformats.org/officeDocument/2006/relationships/hyperlink" Target="https://drive.google.com/file/d/1S51U1Anp_P-uAsRy8-L2mGReo7vj9zxn/view?usp=drivesdk" TargetMode="External"/><Relationship Id="rId6880" Type="http://schemas.openxmlformats.org/officeDocument/2006/relationships/hyperlink" Target="https://drive.google.com/file/d/1fAcFFaaWB1K3NDn7D-0Zj3xo7Kry7ku9/view?usp=drivesdk" TargetMode="External"/><Relationship Id="rId4220" Type="http://schemas.openxmlformats.org/officeDocument/2006/relationships/hyperlink" Target="https://drive.google.com/file/d/1yHEaqJ0hL74EFjddh7sVEcnqwU4oukdV/view?usp=drivesdk" TargetMode="External"/><Relationship Id="rId5552" Type="http://schemas.openxmlformats.org/officeDocument/2006/relationships/hyperlink" Target="https://drive.google.com/file/d/15QtVQTmFKYQvSLhAaSgC5wyLQthkbcSm/view?usp=drivesdk" TargetMode="External"/><Relationship Id="rId6883" Type="http://schemas.openxmlformats.org/officeDocument/2006/relationships/hyperlink" Target="https://drive.google.com/file/d/1VTU_XNrwNx4WcmH0ttY8p7sFglvlxWeC/view?usp=drivesdk" TargetMode="External"/><Relationship Id="rId5553" Type="http://schemas.openxmlformats.org/officeDocument/2006/relationships/hyperlink" Target="https://drive.google.com/file/d/1EiXgtZRpmcie0zZAJGv1vbznFWHE1O8Q/view?usp=drivesdk" TargetMode="External"/><Relationship Id="rId6884" Type="http://schemas.openxmlformats.org/officeDocument/2006/relationships/hyperlink" Target="https://drive.google.com/file/d/15elkWoDhBvSp26hGfhHRDhazJRQzBJt7/view?usp=drivesdk" TargetMode="External"/><Relationship Id="rId4222" Type="http://schemas.openxmlformats.org/officeDocument/2006/relationships/hyperlink" Target="https://drive.google.com/file/d/1gV8Rivn1H1TcGCmXceng4o67RVqvI_RT/view?usp=drivesdk" TargetMode="External"/><Relationship Id="rId5550" Type="http://schemas.openxmlformats.org/officeDocument/2006/relationships/hyperlink" Target="https://drive.google.com/file/d/1paLp8K3B2inoVGKCB3rrDHBRN5w9xh1A/view?usp=drivesdk" TargetMode="External"/><Relationship Id="rId6881" Type="http://schemas.openxmlformats.org/officeDocument/2006/relationships/hyperlink" Target="https://drive.google.com/file/d/1Ts2FIU0ch3Sg_acHlYmQdCroZaiYwnK5/view?usp=drivesdk" TargetMode="External"/><Relationship Id="rId4221" Type="http://schemas.openxmlformats.org/officeDocument/2006/relationships/hyperlink" Target="https://drive.google.com/file/d/1CXa2eh7Y2ptNazvw-fuyRMX0zscNuREq/view?usp=drivesdk" TargetMode="External"/><Relationship Id="rId5551" Type="http://schemas.openxmlformats.org/officeDocument/2006/relationships/hyperlink" Target="https://drive.google.com/file/d/1CJH-nHmoUCnjWXm_RYRs6-rva6mLESSB/view?usp=drivesdk" TargetMode="External"/><Relationship Id="rId6882" Type="http://schemas.openxmlformats.org/officeDocument/2006/relationships/hyperlink" Target="https://drive.google.com/file/d/16clFXIG2H1GsyfQ7dwq5n4SiL_52yuss/view?usp=drivesdk" TargetMode="External"/><Relationship Id="rId4224" Type="http://schemas.openxmlformats.org/officeDocument/2006/relationships/hyperlink" Target="https://drive.google.com/file/d/10-TdrA5sZmFSlaQD2cytRGPdzHGa2hwG/view?usp=drivesdk" TargetMode="External"/><Relationship Id="rId5556" Type="http://schemas.openxmlformats.org/officeDocument/2006/relationships/hyperlink" Target="https://drive.google.com/file/d/11H74ToxtdU5B1nPDVonUhK82Kr5L_Khc/view?usp=drivesdk" TargetMode="External"/><Relationship Id="rId6887" Type="http://schemas.openxmlformats.org/officeDocument/2006/relationships/hyperlink" Target="https://drive.google.com/file/d/1IRaZETHjA_Bj-AuN061mL48Sou3k6Uiv/view?usp=drivesdk" TargetMode="External"/><Relationship Id="rId4223" Type="http://schemas.openxmlformats.org/officeDocument/2006/relationships/hyperlink" Target="https://drive.google.com/file/d/1zBKjMPzwQFnMV9sNMovFT5AwIs5AtYzc/view?usp=drivesdk" TargetMode="External"/><Relationship Id="rId5557" Type="http://schemas.openxmlformats.org/officeDocument/2006/relationships/hyperlink" Target="https://drive.google.com/file/d/1UmejQVXlZVVJY4zqcTXbY8CMU3YL5x7y/view?usp=drivesdk" TargetMode="External"/><Relationship Id="rId6888" Type="http://schemas.openxmlformats.org/officeDocument/2006/relationships/hyperlink" Target="https://drive.google.com/file/d/1Q0tbVVGIZ83Vl8yq37bTwh6nh8Rm4FSN/view?usp=drivesdk" TargetMode="External"/><Relationship Id="rId4226" Type="http://schemas.openxmlformats.org/officeDocument/2006/relationships/hyperlink" Target="https://drive.google.com/file/d/1rZ7jw3lpXw4LSJ7uzu44jw1_T-piIxur/view?usp=drivesdk" TargetMode="External"/><Relationship Id="rId5554" Type="http://schemas.openxmlformats.org/officeDocument/2006/relationships/hyperlink" Target="https://drive.google.com/file/d/1ZAWhxxnNohhUbYyYfeyKceiaOFSfzN3q/view?usp=drivesdk" TargetMode="External"/><Relationship Id="rId6885" Type="http://schemas.openxmlformats.org/officeDocument/2006/relationships/hyperlink" Target="https://drive.google.com/file/d/1Wf-EaLoZi0FGvD_KitWccIq7a8HEfh7v/view?usp=drivesdk" TargetMode="External"/><Relationship Id="rId4225" Type="http://schemas.openxmlformats.org/officeDocument/2006/relationships/hyperlink" Target="https://drive.google.com/file/d/1lvdGy9TJ0uOq44UQAfZn3afh8Gvr-Ssc/view?usp=drivesdk" TargetMode="External"/><Relationship Id="rId5555" Type="http://schemas.openxmlformats.org/officeDocument/2006/relationships/hyperlink" Target="https://drive.google.com/file/d/1olmhAiKXG-um9xUP55xgdmbpwrrlTpuH/view?usp=drivesdk" TargetMode="External"/><Relationship Id="rId6886" Type="http://schemas.openxmlformats.org/officeDocument/2006/relationships/hyperlink" Target="https://drive.google.com/file/d/17njq8X_q0ByjyBeLw-c4Xh1HQCrS9zx-/view?usp=drivesdk" TargetMode="External"/><Relationship Id="rId4217" Type="http://schemas.openxmlformats.org/officeDocument/2006/relationships/hyperlink" Target="https://drive.google.com/file/d/1m1fCiTXo4F_Y2JVa-z0uzHDu_VdQSPL2/view?usp=drivesdk" TargetMode="External"/><Relationship Id="rId5549" Type="http://schemas.openxmlformats.org/officeDocument/2006/relationships/hyperlink" Target="https://drive.google.com/file/d/1_xMPe1OM4JY29kx9UnaipjP4fK1S3zq8/view?usp=drivesdk" TargetMode="External"/><Relationship Id="rId4216" Type="http://schemas.openxmlformats.org/officeDocument/2006/relationships/hyperlink" Target="https://drive.google.com/file/d/1yj8dmaZEW82uqe8Cg5nMg9fTXX_5hjw0/view?usp=drivesdk" TargetMode="External"/><Relationship Id="rId4219" Type="http://schemas.openxmlformats.org/officeDocument/2006/relationships/hyperlink" Target="https://drive.google.com/file/d/1B6xzFh8N3WmkyjoqpX-M_noYXfgiHDZk/view?usp=drivesdk" TargetMode="External"/><Relationship Id="rId5547" Type="http://schemas.openxmlformats.org/officeDocument/2006/relationships/hyperlink" Target="https://drive.google.com/file/d/11KIxZcujnlM5V6EB_U7rhYV7bbEyWdpe/view?usp=drivesdk" TargetMode="External"/><Relationship Id="rId6878" Type="http://schemas.openxmlformats.org/officeDocument/2006/relationships/hyperlink" Target="https://drive.google.com/file/d/1WChYyGJMXNP-zAM1CPTZNhhY0FY3c05Q/view?usp=drivesdk" TargetMode="External"/><Relationship Id="rId4218" Type="http://schemas.openxmlformats.org/officeDocument/2006/relationships/hyperlink" Target="https://drive.google.com/file/d/1HdKEKzOMwwzIsvABZC1rBt-7pZVy8v0v/view?usp=drivesdk" TargetMode="External"/><Relationship Id="rId5548" Type="http://schemas.openxmlformats.org/officeDocument/2006/relationships/hyperlink" Target="https://drive.google.com/file/d/1psRvaH8icTDz5Yv9ZHOonJugjyZwSG0j/view?usp=drivesdk" TargetMode="External"/><Relationship Id="rId6879" Type="http://schemas.openxmlformats.org/officeDocument/2006/relationships/hyperlink" Target="https://drive.google.com/file/d/1KPec4fgjK25ZKFXrFscn-SCSGZbUq-gc/view?usp=drivesdk" TargetMode="External"/><Relationship Id="rId599" Type="http://schemas.openxmlformats.org/officeDocument/2006/relationships/hyperlink" Target="https://drive.google.com/file/d/1i4GMz8iHFNBtssJ8UMd_xlLGPNAr1IEC/view?usp=drivesdk" TargetMode="External"/><Relationship Id="rId594" Type="http://schemas.openxmlformats.org/officeDocument/2006/relationships/hyperlink" Target="https://drive.google.com/file/d/1ZGe2fz7JP12er3e4UJQpkqIkJfmfvKCh/view?usp=drivesdk" TargetMode="External"/><Relationship Id="rId5541" Type="http://schemas.openxmlformats.org/officeDocument/2006/relationships/hyperlink" Target="https://drive.google.com/file/d/1z-TQ0_S4i02wwAY3TMCJ28oz-hPulQRO/view?usp=drivesdk" TargetMode="External"/><Relationship Id="rId6872" Type="http://schemas.openxmlformats.org/officeDocument/2006/relationships/hyperlink" Target="https://drive.google.com/file/d/1FHYSVrA1ie4fbLjNBDbyYQSYsiKz3_ak/view?usp=drivesdk" TargetMode="External"/><Relationship Id="rId593" Type="http://schemas.openxmlformats.org/officeDocument/2006/relationships/hyperlink" Target="https://drive.google.com/file/d/1QJlw_oM4oZ7SzQXINyCKySwKV8-RA35L/view?usp=drivesdk" TargetMode="External"/><Relationship Id="rId5542" Type="http://schemas.openxmlformats.org/officeDocument/2006/relationships/hyperlink" Target="https://drive.google.com/file/d/1oPL2zrNa0qaYpzthw67ksdLWmqh04Gh8/view?usp=drivesdk" TargetMode="External"/><Relationship Id="rId6873" Type="http://schemas.openxmlformats.org/officeDocument/2006/relationships/hyperlink" Target="https://drive.google.com/file/d/1QbJw_MFq7--oVI775qrrIpOKQJB5Z7uh/view?usp=drivesdk" TargetMode="External"/><Relationship Id="rId592" Type="http://schemas.openxmlformats.org/officeDocument/2006/relationships/hyperlink" Target="https://drive.google.com/file/d/1qZL51--OvB0hgz1D0HArNYqWsF30nnQF/view?usp=drivesdk" TargetMode="External"/><Relationship Id="rId4211" Type="http://schemas.openxmlformats.org/officeDocument/2006/relationships/hyperlink" Target="https://drive.google.com/file/d/1Yerrw43mIJL32-9LRxBJOZftM1kjSiZO/view?usp=drivesdk" TargetMode="External"/><Relationship Id="rId6870" Type="http://schemas.openxmlformats.org/officeDocument/2006/relationships/hyperlink" Target="https://drive.google.com/file/d/1HM8gFi_5tiI1Dxgq2O7ORGiZb3zpL2sB/view?usp=drivesdk" TargetMode="External"/><Relationship Id="rId591" Type="http://schemas.openxmlformats.org/officeDocument/2006/relationships/hyperlink" Target="https://drive.google.com/file/d/1B39htzlU6-_BMaqQIUxxlrYuzgpeg2Vq/view?usp=drivesdk" TargetMode="External"/><Relationship Id="rId4210" Type="http://schemas.openxmlformats.org/officeDocument/2006/relationships/hyperlink" Target="https://drive.google.com/file/d/1kfnVrx0-xSmXPOM1mhhlx-wl9x92t8Dc/view?usp=drivesdk" TargetMode="External"/><Relationship Id="rId5540" Type="http://schemas.openxmlformats.org/officeDocument/2006/relationships/hyperlink" Target="https://drive.google.com/file/d/1uZT6UIGJF5acGdBn2ffdPosuAW_-eje_/view?usp=drivesdk" TargetMode="External"/><Relationship Id="rId6871" Type="http://schemas.openxmlformats.org/officeDocument/2006/relationships/hyperlink" Target="https://drive.google.com/file/d/1S_N-xiwhEiCeoxZRAxHnOE0N7QyQlvbo/view?usp=drivesdk" TargetMode="External"/><Relationship Id="rId598" Type="http://schemas.openxmlformats.org/officeDocument/2006/relationships/hyperlink" Target="https://drive.google.com/file/d/1sVxUzl4ygU1huJ42sdrXQxVAyaKjTyN8/view?usp=drivesdk" TargetMode="External"/><Relationship Id="rId4213" Type="http://schemas.openxmlformats.org/officeDocument/2006/relationships/hyperlink" Target="https://drive.google.com/file/d/1r_ziuavU7wHC6TKrA4iw2xVLXPzD-Bq5/view?usp=drivesdk" TargetMode="External"/><Relationship Id="rId5545" Type="http://schemas.openxmlformats.org/officeDocument/2006/relationships/hyperlink" Target="https://drive.google.com/file/d/1qFCDWKqw3hgRtQfyf8YBsixPBDBb1MCG/view?usp=drivesdk" TargetMode="External"/><Relationship Id="rId6876" Type="http://schemas.openxmlformats.org/officeDocument/2006/relationships/hyperlink" Target="https://drive.google.com/file/d/104fps93AhP8NByEsudP9DJVfaW4g6vHq/view?usp=drivesdk" TargetMode="External"/><Relationship Id="rId597" Type="http://schemas.openxmlformats.org/officeDocument/2006/relationships/hyperlink" Target="https://drive.google.com/file/d/1qR9ki5AyLXWsuNHhwkyYCZOEYbrZ3-lO/view?usp=drivesdk" TargetMode="External"/><Relationship Id="rId4212" Type="http://schemas.openxmlformats.org/officeDocument/2006/relationships/hyperlink" Target="https://drive.google.com/file/d/1CGMcN1XyIQRA1b4gDPq1Sdy3BZ1RJulI/view?usp=drivesdk" TargetMode="External"/><Relationship Id="rId5546" Type="http://schemas.openxmlformats.org/officeDocument/2006/relationships/hyperlink" Target="https://drive.google.com/file/d/1xq2BZjnRPvnw5lQU_JZY2YQcTjffvI6C/view?usp=drivesdk" TargetMode="External"/><Relationship Id="rId6877" Type="http://schemas.openxmlformats.org/officeDocument/2006/relationships/hyperlink" Target="https://drive.google.com/file/d/1dFOWuheHKQD2s_LGBOV6prcIl0Caf8lU/view?usp=drivesdk" TargetMode="External"/><Relationship Id="rId596" Type="http://schemas.openxmlformats.org/officeDocument/2006/relationships/hyperlink" Target="https://drive.google.com/file/d/1BhelETrG9DLoySqWhSwO7NdGqYd-T-9r/view?usp=drivesdk" TargetMode="External"/><Relationship Id="rId4215" Type="http://schemas.openxmlformats.org/officeDocument/2006/relationships/hyperlink" Target="https://drive.google.com/file/d/1KqgiZxZwVAzfQ6tz6OfqeKpSmrNwbp48/view?usp=drivesdk" TargetMode="External"/><Relationship Id="rId5543" Type="http://schemas.openxmlformats.org/officeDocument/2006/relationships/hyperlink" Target="https://drive.google.com/file/d/1C1mop9Lenfrw9siY9V4fxGgdeEKh_iTc/view?usp=drivesdk" TargetMode="External"/><Relationship Id="rId6874" Type="http://schemas.openxmlformats.org/officeDocument/2006/relationships/hyperlink" Target="https://drive.google.com/file/d/1FGR9YyhpZv3A75vuZ8zKfVxejx0jPwx6/view?usp=drivesdk" TargetMode="External"/><Relationship Id="rId595" Type="http://schemas.openxmlformats.org/officeDocument/2006/relationships/hyperlink" Target="https://drive.google.com/file/d/1lAjOLPvHfCXcWdCy71dbcE1WJF_Z5xje/view?usp=drivesdk" TargetMode="External"/><Relationship Id="rId4214" Type="http://schemas.openxmlformats.org/officeDocument/2006/relationships/hyperlink" Target="https://drive.google.com/file/d/1GyOI-i4OaOcw4SHXA043M7M2U_ikggAZ/view?usp=drivesdk" TargetMode="External"/><Relationship Id="rId5544" Type="http://schemas.openxmlformats.org/officeDocument/2006/relationships/hyperlink" Target="https://drive.google.com/file/d/1zunK6TWEihGIg3IVV15y-aoS_nw3DN29/view?usp=drivesdk" TargetMode="External"/><Relationship Id="rId6875" Type="http://schemas.openxmlformats.org/officeDocument/2006/relationships/hyperlink" Target="https://drive.google.com/file/d/14dSDlYKVBbjOkrk20TkpbgPvohonXpFZ/view?usp=drivesdk" TargetMode="External"/><Relationship Id="rId6825" Type="http://schemas.openxmlformats.org/officeDocument/2006/relationships/hyperlink" Target="https://drive.google.com/file/d/1_aOYj5tOtnQMIOUYeyQqneT4twaOq_ml/view?usp=drivesdk" TargetMode="External"/><Relationship Id="rId6826" Type="http://schemas.openxmlformats.org/officeDocument/2006/relationships/hyperlink" Target="https://drive.google.com/file/d/11sxwaxBSdhfX8XnHrWx4D-jvPkZc_JDQ/view?usp=drivesdk" TargetMode="External"/><Relationship Id="rId6823" Type="http://schemas.openxmlformats.org/officeDocument/2006/relationships/hyperlink" Target="https://drive.google.com/file/d/18e5n8AMhsMb80lRXR4rKe9nGYA64F4zU/view?usp=drivesdk" TargetMode="External"/><Relationship Id="rId6824" Type="http://schemas.openxmlformats.org/officeDocument/2006/relationships/hyperlink" Target="https://drive.google.com/file/d/1IHOwFEl5GnW3SuH_tSpcWpmvWLlrzvGy/view?usp=drivesdk" TargetMode="External"/><Relationship Id="rId6829" Type="http://schemas.openxmlformats.org/officeDocument/2006/relationships/hyperlink" Target="https://drive.google.com/file/d/1AfQRli_0HgiRLetZx2qFIn-09VWTBtB4/view?usp=drivesdk" TargetMode="External"/><Relationship Id="rId6827" Type="http://schemas.openxmlformats.org/officeDocument/2006/relationships/hyperlink" Target="https://drive.google.com/file/d/1NUuoMlqWPPl759BY0As56HVxGtPSh-gz/view?usp=drivesdk" TargetMode="External"/><Relationship Id="rId6828" Type="http://schemas.openxmlformats.org/officeDocument/2006/relationships/hyperlink" Target="https://drive.google.com/file/d/1B5agQyMf6SQFLDD0Gnuo8aG60rMCTzwa/view?usp=drivesdk" TargetMode="External"/><Relationship Id="rId547" Type="http://schemas.openxmlformats.org/officeDocument/2006/relationships/hyperlink" Target="https://drive.google.com/file/d/1p9c6T2-8t-DFN3TDmvqaLEpUwbbH1vq1/view?usp=drivesdk" TargetMode="External"/><Relationship Id="rId546" Type="http://schemas.openxmlformats.org/officeDocument/2006/relationships/hyperlink" Target="https://drive.google.com/file/d/1e7YZHXQ3cFit3G5fsP4JmI-pZ9c5gBlT/view?usp=drivesdk" TargetMode="External"/><Relationship Id="rId545" Type="http://schemas.openxmlformats.org/officeDocument/2006/relationships/hyperlink" Target="https://drive.google.com/file/d/1iTwGEIlzAzhbZqljPZ7ky8UqhlGGYaLc/view?usp=drivesdk" TargetMode="External"/><Relationship Id="rId544" Type="http://schemas.openxmlformats.org/officeDocument/2006/relationships/hyperlink" Target="https://drive.google.com/file/d/1DTFaMaEPBOpHkM0r-wQdnilN1b_MVoL3/view?usp=drivesdk" TargetMode="External"/><Relationship Id="rId549" Type="http://schemas.openxmlformats.org/officeDocument/2006/relationships/hyperlink" Target="https://drive.google.com/file/d/1jhvf9uHfaiIZlRFiBSnKjHaPiEUQy4X5/view?usp=drivesdk" TargetMode="External"/><Relationship Id="rId548" Type="http://schemas.openxmlformats.org/officeDocument/2006/relationships/hyperlink" Target="https://drive.google.com/file/d/1JoqxGfY1AV73RBVMf34iZDNgkQIEP6t9/view?usp=drivesdk" TargetMode="External"/><Relationship Id="rId543" Type="http://schemas.openxmlformats.org/officeDocument/2006/relationships/hyperlink" Target="https://drive.google.com/file/d/1aGHJhXX48mJvnil8F3qfeCO5OAkinXfO/view?usp=drivesdk" TargetMode="External"/><Relationship Id="rId6821" Type="http://schemas.openxmlformats.org/officeDocument/2006/relationships/hyperlink" Target="https://drive.google.com/file/d/1h4bJ5PnQsdqCCujZK1ER9G3PtsWK-aaN/view?usp=drivesdk" TargetMode="External"/><Relationship Id="rId542" Type="http://schemas.openxmlformats.org/officeDocument/2006/relationships/hyperlink" Target="https://drive.google.com/file/d/1gIzqBHEG8XmBj1g-DcZepiP_RCiWuA0V/view?usp=drivesdk" TargetMode="External"/><Relationship Id="rId6822" Type="http://schemas.openxmlformats.org/officeDocument/2006/relationships/hyperlink" Target="https://drive.google.com/file/d/1hcXonNN_V5SleYMnXGEze_PebdaQC98b/view?usp=drivesdk" TargetMode="External"/><Relationship Id="rId541" Type="http://schemas.openxmlformats.org/officeDocument/2006/relationships/hyperlink" Target="https://drive.google.com/file/d/1e0TuaP9TOqyk7TZpxDXih4cpvo6xJhxQ/view?usp=drivesdk" TargetMode="External"/><Relationship Id="rId540" Type="http://schemas.openxmlformats.org/officeDocument/2006/relationships/hyperlink" Target="https://drive.google.com/file/d/1PLXtKPCMBJpeZ2p5M3RKoO6yS9Vw7cPD/view?usp=drivesdk" TargetMode="External"/><Relationship Id="rId6820" Type="http://schemas.openxmlformats.org/officeDocument/2006/relationships/hyperlink" Target="https://drive.google.com/file/d/1I_KyKaabrjIwoDEpwqaXClRwEwkVjKny/view?usp=drivesdk" TargetMode="External"/><Relationship Id="rId6814" Type="http://schemas.openxmlformats.org/officeDocument/2006/relationships/hyperlink" Target="https://drive.google.com/file/d/1cl0WUhzQRoKf0diPIshdl82DjGo-l6ZE/view?usp=drivesdk" TargetMode="External"/><Relationship Id="rId6815" Type="http://schemas.openxmlformats.org/officeDocument/2006/relationships/hyperlink" Target="https://drive.google.com/file/d/1FkzAipX0K-ncfyXoJGcd6bAb03v8UXBf/view?usp=drivesdk" TargetMode="External"/><Relationship Id="rId6812" Type="http://schemas.openxmlformats.org/officeDocument/2006/relationships/hyperlink" Target="https://drive.google.com/file/d/10EjXQw2CaLOUTWCCDfpkYdYoGIw3WG7C/view?usp=drivesdk" TargetMode="External"/><Relationship Id="rId6813" Type="http://schemas.openxmlformats.org/officeDocument/2006/relationships/hyperlink" Target="https://drive.google.com/file/d/1-AC88dgYx6Wvmo_neucizWFQAPoCcnqX/view?usp=drivesdk" TargetMode="External"/><Relationship Id="rId6818" Type="http://schemas.openxmlformats.org/officeDocument/2006/relationships/hyperlink" Target="https://drive.google.com/file/d/1guNSAtj5KRLP6WodZVIoKnaNk4diGhkI/view?usp=drivesdk" TargetMode="External"/><Relationship Id="rId6819" Type="http://schemas.openxmlformats.org/officeDocument/2006/relationships/hyperlink" Target="https://drive.google.com/file/d/1i6UAlHAuyE2ehRGThgvRlBXqGwHxvff_/view?usp=drivesdk" TargetMode="External"/><Relationship Id="rId6816" Type="http://schemas.openxmlformats.org/officeDocument/2006/relationships/hyperlink" Target="https://drive.google.com/file/d/1qTUeDonYtOkdc0KQ6toY8v4KrI65p3F4/view?usp=drivesdk" TargetMode="External"/><Relationship Id="rId6817" Type="http://schemas.openxmlformats.org/officeDocument/2006/relationships/hyperlink" Target="https://drive.google.com/file/d/1vBT2EHxu-_vyV5DXbUXj4LFvpLSiBRgE/view?usp=drivesdk" TargetMode="External"/><Relationship Id="rId536" Type="http://schemas.openxmlformats.org/officeDocument/2006/relationships/hyperlink" Target="https://drive.google.com/file/d/1nEMCMRdU-hj6e16rIm-40SGN0tQvjmyx/view?usp=drivesdk" TargetMode="External"/><Relationship Id="rId535" Type="http://schemas.openxmlformats.org/officeDocument/2006/relationships/hyperlink" Target="https://drive.google.com/file/d/1L5X21hadCnODsrGXWzX-1D9RPeraPABU/view?usp=drivesdk" TargetMode="External"/><Relationship Id="rId534" Type="http://schemas.openxmlformats.org/officeDocument/2006/relationships/hyperlink" Target="https://drive.google.com/file/d/1O4E1SS-fJ5mFxcsKl7mPXM_mUcgDX8HD/view?usp=drivesdk" TargetMode="External"/><Relationship Id="rId533" Type="http://schemas.openxmlformats.org/officeDocument/2006/relationships/hyperlink" Target="https://drive.google.com/file/d/1591wUs1QEq2H7NJt6iX6-A5EzqUDBzHm/view?usp=drivesdk" TargetMode="External"/><Relationship Id="rId539" Type="http://schemas.openxmlformats.org/officeDocument/2006/relationships/hyperlink" Target="https://drive.google.com/file/d/1Qu5ToQsQXFdQXS2mnr-aeorZO_j_nNVW/view?usp=drivesdk" TargetMode="External"/><Relationship Id="rId538" Type="http://schemas.openxmlformats.org/officeDocument/2006/relationships/hyperlink" Target="https://drive.google.com/file/d/14wL6c96MskOU-0N39fKIOOXQVKK_m2wO/view?usp=drivesdk" TargetMode="External"/><Relationship Id="rId537" Type="http://schemas.openxmlformats.org/officeDocument/2006/relationships/hyperlink" Target="https://drive.google.com/file/d/1LGP0BCt1TScyCQQ9id3wdujUSwciXgCc/view?usp=drivesdk" TargetMode="External"/><Relationship Id="rId532" Type="http://schemas.openxmlformats.org/officeDocument/2006/relationships/hyperlink" Target="https://drive.google.com/file/d/1X7l9OwwRZyCdcsQKlDiqdKjoT-1Mt4Vu/view?usp=drivesdk" TargetMode="External"/><Relationship Id="rId6810" Type="http://schemas.openxmlformats.org/officeDocument/2006/relationships/hyperlink" Target="https://drive.google.com/file/d/1_a05ddT-HQcMgJWInYQ2YZ52P3KVW5Kz/view?usp=drivesdk" TargetMode="External"/><Relationship Id="rId531" Type="http://schemas.openxmlformats.org/officeDocument/2006/relationships/hyperlink" Target="https://drive.google.com/file/d/1YDSZ7sW7r_RnqbQq2MA15B62_WKtuRI2/view?usp=drivesdk" TargetMode="External"/><Relationship Id="rId6811" Type="http://schemas.openxmlformats.org/officeDocument/2006/relationships/hyperlink" Target="https://drive.google.com/file/d/18ekH20InqhfvWc_bAKV1eBBHFNh6WCuU/view?usp=drivesdk" TargetMode="External"/><Relationship Id="rId530" Type="http://schemas.openxmlformats.org/officeDocument/2006/relationships/hyperlink" Target="https://drive.google.com/file/d/1ci7DA6jvTgs3Y13emp8EDzUmrS5qIgbg/view?usp=drivesdk" TargetMode="External"/><Relationship Id="rId5516" Type="http://schemas.openxmlformats.org/officeDocument/2006/relationships/hyperlink" Target="https://drive.google.com/file/d/1kZsb6_wPQ7l2ynCY3oS0N6mEvEvyzeAo/view?usp=drivesdk" TargetMode="External"/><Relationship Id="rId6847" Type="http://schemas.openxmlformats.org/officeDocument/2006/relationships/hyperlink" Target="https://drive.google.com/file/d/1T_VkvFjomPFBj6aQV40_fgNoUoAJp_8i/view?usp=drivesdk" TargetMode="External"/><Relationship Id="rId5517" Type="http://schemas.openxmlformats.org/officeDocument/2006/relationships/hyperlink" Target="https://drive.google.com/file/d/1pUWKK4P4DPmKgPgk7FEHOxcj1OJtjtwl/view?usp=drivesdk" TargetMode="External"/><Relationship Id="rId6848" Type="http://schemas.openxmlformats.org/officeDocument/2006/relationships/hyperlink" Target="https://drive.google.com/file/d/1ExoXC_Et9b2NKxNA_w2yIi9d2YrPCGcS/view?usp=drivesdk" TargetMode="External"/><Relationship Id="rId5514" Type="http://schemas.openxmlformats.org/officeDocument/2006/relationships/hyperlink" Target="https://drive.google.com/file/d/1MfVl3eCjRlAsv2S7cR1I2kEB2OdqMQDu/view?usp=drivesdk" TargetMode="External"/><Relationship Id="rId6845" Type="http://schemas.openxmlformats.org/officeDocument/2006/relationships/hyperlink" Target="https://drive.google.com/file/d/1XpkQooB3ayP4RqlsOK3nBOAZFHc3DfSf/view?usp=drivesdk" TargetMode="External"/><Relationship Id="rId5515" Type="http://schemas.openxmlformats.org/officeDocument/2006/relationships/hyperlink" Target="https://drive.google.com/file/d/1opJ7-w_Prrk3kTt4iokFJjX614GoKmkx/view?usp=drivesdk" TargetMode="External"/><Relationship Id="rId6846" Type="http://schemas.openxmlformats.org/officeDocument/2006/relationships/hyperlink" Target="https://drive.google.com/file/d/1dzkyjLJa3PbMUcLZ-jo3gxJXoe4UMvip/view?usp=drivesdk" TargetMode="External"/><Relationship Id="rId5518" Type="http://schemas.openxmlformats.org/officeDocument/2006/relationships/hyperlink" Target="https://drive.google.com/file/d/1iT1ODZ7qsdFmH22tU10AFyH2dZXgsW2W/view?usp=drivesdk" TargetMode="External"/><Relationship Id="rId6849" Type="http://schemas.openxmlformats.org/officeDocument/2006/relationships/hyperlink" Target="https://drive.google.com/file/d/1lda-qKY9F2_rpRJapDt9vThvsjzUfE10/view?usp=drivesdk" TargetMode="External"/><Relationship Id="rId5519" Type="http://schemas.openxmlformats.org/officeDocument/2006/relationships/hyperlink" Target="https://drive.google.com/file/d/1_v9iYKtWaQWSER6QGNOjnw5d0z6iZcS4/view?usp=drivesdk" TargetMode="External"/><Relationship Id="rId569" Type="http://schemas.openxmlformats.org/officeDocument/2006/relationships/hyperlink" Target="https://drive.google.com/file/d/1DPY6S0VvPRdRYcOo2Jk1FKPMTaU-9AKm/view?usp=drivesdk" TargetMode="External"/><Relationship Id="rId568" Type="http://schemas.openxmlformats.org/officeDocument/2006/relationships/hyperlink" Target="https://drive.google.com/file/d/16ZLYZK57MjexrNQdraLOTgdNbrwK_pDt/view?usp=drivesdk" TargetMode="External"/><Relationship Id="rId567" Type="http://schemas.openxmlformats.org/officeDocument/2006/relationships/hyperlink" Target="https://drive.google.com/file/d/1ku-4GfFTCiruXbcarf9cTFMT6MrXNFQH/view?usp=drivesdk" TargetMode="External"/><Relationship Id="rId566" Type="http://schemas.openxmlformats.org/officeDocument/2006/relationships/hyperlink" Target="https://drive.google.com/file/d/1eMpoIPHnv0ICO4bMm4Zl1QEkRrrxgX2i/view?usp=drivesdk" TargetMode="External"/><Relationship Id="rId561" Type="http://schemas.openxmlformats.org/officeDocument/2006/relationships/hyperlink" Target="https://drive.google.com/file/d/1TDzXKrLvAafObhll8_CCyH0j7gPmpUre/view?usp=drivesdk" TargetMode="External"/><Relationship Id="rId560" Type="http://schemas.openxmlformats.org/officeDocument/2006/relationships/hyperlink" Target="https://drive.google.com/file/d/1teef1kKgR1R2g6N3SRGiS9M2zVxFoycN/view?usp=drivesdk" TargetMode="External"/><Relationship Id="rId6840" Type="http://schemas.openxmlformats.org/officeDocument/2006/relationships/hyperlink" Target="https://drive.google.com/file/d/1m6AKiBkSD9Jtln5o2zyJgPRV7IE6tBI9/view?usp=drivesdk" TargetMode="External"/><Relationship Id="rId565" Type="http://schemas.openxmlformats.org/officeDocument/2006/relationships/hyperlink" Target="https://drive.google.com/file/d/1mqWU4DT8MmtfVIM7TiDAFSBiPH8blF0G/view?usp=drivesdk" TargetMode="External"/><Relationship Id="rId5512" Type="http://schemas.openxmlformats.org/officeDocument/2006/relationships/hyperlink" Target="https://drive.google.com/file/d/1-jgXzDzqA4BzgS9NeNmp5UBv1WMARO6j/view?usp=drivesdk" TargetMode="External"/><Relationship Id="rId6843" Type="http://schemas.openxmlformats.org/officeDocument/2006/relationships/hyperlink" Target="http://titi.sh" TargetMode="External"/><Relationship Id="rId564" Type="http://schemas.openxmlformats.org/officeDocument/2006/relationships/hyperlink" Target="https://drive.google.com/file/d/1OeFyUZFXVOwtsi5huVNFlv4AayuKsyRc/view?usp=drivesdk" TargetMode="External"/><Relationship Id="rId5513" Type="http://schemas.openxmlformats.org/officeDocument/2006/relationships/hyperlink" Target="https://drive.google.com/file/d/19m-CuAJLwelk_wpxlZFn89z6mFhdbFRr/view?usp=drivesdk" TargetMode="External"/><Relationship Id="rId6844" Type="http://schemas.openxmlformats.org/officeDocument/2006/relationships/hyperlink" Target="https://drive.google.com/file/d/1Ru6XWry1T8Hfn4zPV-JrYWwlOPeGgm7w/view?usp=drivesdk" TargetMode="External"/><Relationship Id="rId563" Type="http://schemas.openxmlformats.org/officeDocument/2006/relationships/hyperlink" Target="https://drive.google.com/file/d/1AocAudrwOAV-2g42YvmVWxwzf9Gxz5gx/view?usp=drivesdk" TargetMode="External"/><Relationship Id="rId5510" Type="http://schemas.openxmlformats.org/officeDocument/2006/relationships/hyperlink" Target="https://drive.google.com/file/d/1jAeV8Rx9ejOKtuVJc-y5g3DcUIm8SP3H/view?usp=drivesdk" TargetMode="External"/><Relationship Id="rId6841" Type="http://schemas.openxmlformats.org/officeDocument/2006/relationships/hyperlink" Target="https://drive.google.com/file/d/14PuQekFLPQRs7sqSloTcw0Qg3zuSXzSs/view?usp=drivesdk" TargetMode="External"/><Relationship Id="rId562" Type="http://schemas.openxmlformats.org/officeDocument/2006/relationships/hyperlink" Target="https://drive.google.com/file/d/13CjzLWq0HMRpv87-8e4RYoZfsgkfu-iT/view?usp=drivesdk" TargetMode="External"/><Relationship Id="rId5511" Type="http://schemas.openxmlformats.org/officeDocument/2006/relationships/hyperlink" Target="https://drive.google.com/file/d/1b5k3ojSgkUjhqeA2FkW9asMJduUPNJjP/view?usp=drivesdk" TargetMode="External"/><Relationship Id="rId6842" Type="http://schemas.openxmlformats.org/officeDocument/2006/relationships/hyperlink" Target="https://drive.google.com/file/d/1dLxzAayuyWWe_DdXiwSPql7V2f4qnFdz/view?usp=drivesdk" TargetMode="External"/><Relationship Id="rId5505" Type="http://schemas.openxmlformats.org/officeDocument/2006/relationships/hyperlink" Target="https://drive.google.com/file/d/1qY9lciUE04CPvrSiEQX-zuLF4qKpRvey/view?usp=drivesdk" TargetMode="External"/><Relationship Id="rId6836" Type="http://schemas.openxmlformats.org/officeDocument/2006/relationships/hyperlink" Target="https://drive.google.com/file/d/11XQckFWAbr_3pJf3A83EUZTAfNIitk4D/view?usp=drivesdk" TargetMode="External"/><Relationship Id="rId5506" Type="http://schemas.openxmlformats.org/officeDocument/2006/relationships/hyperlink" Target="https://drive.google.com/file/d/1dMyDBoHCB9_IfF4nmfphzP0ofzUTgiXw/view?usp=drivesdk" TargetMode="External"/><Relationship Id="rId6837" Type="http://schemas.openxmlformats.org/officeDocument/2006/relationships/hyperlink" Target="https://drive.google.com/file/d/1oOkIylxHNHdch9TEVt5saPbfSB-OJdNj/view?usp=drivesdk" TargetMode="External"/><Relationship Id="rId5503" Type="http://schemas.openxmlformats.org/officeDocument/2006/relationships/hyperlink" Target="https://drive.google.com/file/d/1x5g5ZBfizYLWdG9HBkG_zR-fINtZ5x1A/view?usp=drivesdk" TargetMode="External"/><Relationship Id="rId6834" Type="http://schemas.openxmlformats.org/officeDocument/2006/relationships/hyperlink" Target="https://drive.google.com/file/d/1CHblbJ0CRwqmnZIubHXjVGPTa-W-zIS1/view?usp=drivesdk" TargetMode="External"/><Relationship Id="rId5504" Type="http://schemas.openxmlformats.org/officeDocument/2006/relationships/hyperlink" Target="https://drive.google.com/file/d/1xcJu-lX-e9aEm7FdcjfBHMzNOCpzKMjq/view?usp=drivesdk" TargetMode="External"/><Relationship Id="rId6835" Type="http://schemas.openxmlformats.org/officeDocument/2006/relationships/hyperlink" Target="https://drive.google.com/file/d/13J24jHDvKQ6C36UDdc9_V9V-EM4JI4a9/view?usp=drivesdk" TargetMode="External"/><Relationship Id="rId5509" Type="http://schemas.openxmlformats.org/officeDocument/2006/relationships/hyperlink" Target="https://drive.google.com/file/d/18_eH09DSjzmQLfI_TUohWHO6fWODqubK/view?usp=drivesdk" TargetMode="External"/><Relationship Id="rId5507" Type="http://schemas.openxmlformats.org/officeDocument/2006/relationships/hyperlink" Target="https://drive.google.com/file/d/1fYVP5eJsgmGcnTzmtY1QMaWK0MoL7hLj/view?usp=drivesdk" TargetMode="External"/><Relationship Id="rId6838" Type="http://schemas.openxmlformats.org/officeDocument/2006/relationships/hyperlink" Target="https://drive.google.com/file/d/1HsPmaVRCG5jzzzn9yPPUnh1a4srXe6ZB/view?usp=drivesdk" TargetMode="External"/><Relationship Id="rId5508" Type="http://schemas.openxmlformats.org/officeDocument/2006/relationships/hyperlink" Target="https://drive.google.com/file/d/1MqqBizgtoXSECiKYjDIyKWk_02IdTgoB/view?usp=drivesdk" TargetMode="External"/><Relationship Id="rId6839" Type="http://schemas.openxmlformats.org/officeDocument/2006/relationships/hyperlink" Target="https://drive.google.com/file/d/1ACMp5FebXWzacMVC2CE_IMDC_pc36yj9/view?usp=drivesdk" TargetMode="External"/><Relationship Id="rId558" Type="http://schemas.openxmlformats.org/officeDocument/2006/relationships/hyperlink" Target="https://drive.google.com/file/d/1468tvbYxwlkiUqHghR6x9x0gyI1C3zNe/view?usp=drivesdk" TargetMode="External"/><Relationship Id="rId557" Type="http://schemas.openxmlformats.org/officeDocument/2006/relationships/hyperlink" Target="https://drive.google.com/file/d/1dVqaCWqIvwXbi4GT2--N731lsA7ei1YY/view?usp=drivesdk" TargetMode="External"/><Relationship Id="rId556" Type="http://schemas.openxmlformats.org/officeDocument/2006/relationships/hyperlink" Target="https://drive.google.com/file/d/1tpOas9cMZTFyIzAHy-EwyBxYSwhDgm9p/view?usp=drivesdk" TargetMode="External"/><Relationship Id="rId555" Type="http://schemas.openxmlformats.org/officeDocument/2006/relationships/hyperlink" Target="https://drive.google.com/file/d/1y51WnjmtpfrjnOZKFmzn1tR20Loyogod/view?usp=drivesdk" TargetMode="External"/><Relationship Id="rId559" Type="http://schemas.openxmlformats.org/officeDocument/2006/relationships/hyperlink" Target="https://drive.google.com/file/d/1rap3NUtKrfNtoK0N7BAlDkBgMK7btSN_/view?usp=drivesdk" TargetMode="External"/><Relationship Id="rId550" Type="http://schemas.openxmlformats.org/officeDocument/2006/relationships/hyperlink" Target="https://drive.google.com/file/d/1l9xk8O_fy6TNA7KxjOg005B8PqmosYN8/view?usp=drivesdk" TargetMode="External"/><Relationship Id="rId554" Type="http://schemas.openxmlformats.org/officeDocument/2006/relationships/hyperlink" Target="https://drive.google.com/file/d/1p0Lu7xqmMvDqdzkxEIJWt6dLE836X41p/view?usp=drivesdk" TargetMode="External"/><Relationship Id="rId5501" Type="http://schemas.openxmlformats.org/officeDocument/2006/relationships/hyperlink" Target="https://drive.google.com/file/d/10JHvMP2qB9zf8aD19lKv4QWgef0SrsmE/view?usp=drivesdk" TargetMode="External"/><Relationship Id="rId6832" Type="http://schemas.openxmlformats.org/officeDocument/2006/relationships/hyperlink" Target="https://drive.google.com/file/d/1JubeCy4sPTkvPdUleZcFIUIMKEr2mis5/view?usp=drivesdk" TargetMode="External"/><Relationship Id="rId553" Type="http://schemas.openxmlformats.org/officeDocument/2006/relationships/hyperlink" Target="https://drive.google.com/file/d/1Tb5T-Kzb00MwgEcgTPC6OqXlKeND55Fh/view?usp=drivesdk" TargetMode="External"/><Relationship Id="rId5502" Type="http://schemas.openxmlformats.org/officeDocument/2006/relationships/hyperlink" Target="https://drive.google.com/file/d/1NXrVuXxBS9ReHGzAENcWpUSThUYkDYMP/view?usp=drivesdk" TargetMode="External"/><Relationship Id="rId6833" Type="http://schemas.openxmlformats.org/officeDocument/2006/relationships/hyperlink" Target="https://drive.google.com/file/d/1ld9jM7J5M5drmoW2ZmvCe7g8FyBa7Ib4/view?usp=drivesdk" TargetMode="External"/><Relationship Id="rId552" Type="http://schemas.openxmlformats.org/officeDocument/2006/relationships/hyperlink" Target="https://drive.google.com/file/d/1usZz74ae-6lWQ_fCC4sLzCLaNMbhFIdG/view?usp=drivesdk" TargetMode="External"/><Relationship Id="rId6830" Type="http://schemas.openxmlformats.org/officeDocument/2006/relationships/hyperlink" Target="https://drive.google.com/file/d/1vIm9caVPqQxrz-2LiBs6PwdUAFqFeR9j/view?usp=drivesdk" TargetMode="External"/><Relationship Id="rId551" Type="http://schemas.openxmlformats.org/officeDocument/2006/relationships/hyperlink" Target="https://drive.google.com/file/d/1L3VbS7sYoOcjllqy9Z_kgsCb175wr0J6/view?usp=drivesdk" TargetMode="External"/><Relationship Id="rId5500" Type="http://schemas.openxmlformats.org/officeDocument/2006/relationships/hyperlink" Target="https://drive.google.com/file/d/1hF9L5KUC7WvNWGbySNwiUitdwGDKAJmK/view?usp=drivesdk" TargetMode="External"/><Relationship Id="rId6831" Type="http://schemas.openxmlformats.org/officeDocument/2006/relationships/hyperlink" Target="https://drive.google.com/file/d/1sJLwfnBQfiRsz1c7CgT1fw3Z9R83htn9/view?usp=drivesdk" TargetMode="External"/><Relationship Id="rId10859" Type="http://schemas.openxmlformats.org/officeDocument/2006/relationships/hyperlink" Target="https://drive.google.com/file/d/1_C1Z6OPW4FD64baRUYR0TtCao0PLv8VD/view?usp=drivesdk" TargetMode="External"/><Relationship Id="rId10853" Type="http://schemas.openxmlformats.org/officeDocument/2006/relationships/hyperlink" Target="https://drive.google.com/file/d/1CLPw1mtTam-2RpsEODUXSjlGQ_0ON6wC/view?usp=drivesdk" TargetMode="External"/><Relationship Id="rId10854" Type="http://schemas.openxmlformats.org/officeDocument/2006/relationships/hyperlink" Target="https://drive.google.com/file/d/1ztwYiAIC7bEyrUo6ipjRCCoN-G2Pyp19/view?usp=drivesdk" TargetMode="External"/><Relationship Id="rId4280" Type="http://schemas.openxmlformats.org/officeDocument/2006/relationships/hyperlink" Target="https://drive.google.com/file/d/12-vsgTQb9MC7x9Cv1fAodjlY6eQkjSJT/view?usp=drivesdk" TargetMode="External"/><Relationship Id="rId10851" Type="http://schemas.openxmlformats.org/officeDocument/2006/relationships/hyperlink" Target="https://drive.google.com/file/d/1vdidnE62fqQvs4Q6txhVRUb3lKyZYnK3/view?usp=drivesdk" TargetMode="External"/><Relationship Id="rId10852" Type="http://schemas.openxmlformats.org/officeDocument/2006/relationships/hyperlink" Target="https://drive.google.com/file/d/1RxxRw-93zTe2tVPzWAmgDwjr6iorvVLH/view?usp=drivesdk" TargetMode="External"/><Relationship Id="rId4282" Type="http://schemas.openxmlformats.org/officeDocument/2006/relationships/hyperlink" Target="https://drive.google.com/file/d/1uUfOz88pjNC5JZlhdDcvpsIVOXWDMv5I/view?usp=drivesdk" TargetMode="External"/><Relationship Id="rId10857" Type="http://schemas.openxmlformats.org/officeDocument/2006/relationships/hyperlink" Target="https://drive.google.com/file/d/1gU_zwpmDe8qqNlbL6qTRnZVzXh7ROfN7/view?usp=drivesdk" TargetMode="External"/><Relationship Id="rId4281" Type="http://schemas.openxmlformats.org/officeDocument/2006/relationships/hyperlink" Target="https://drive.google.com/file/d/1eY5AvRBBYVeWDO0H77GuZeLNLV3fXaM3/view?usp=drivesdk" TargetMode="External"/><Relationship Id="rId10858" Type="http://schemas.openxmlformats.org/officeDocument/2006/relationships/hyperlink" Target="https://drive.google.com/file/d/1mYWMkcEyntZ7SvS0suXqLpcCYRPxAs26/view?usp=drivesdk" TargetMode="External"/><Relationship Id="rId4284" Type="http://schemas.openxmlformats.org/officeDocument/2006/relationships/hyperlink" Target="https://drive.google.com/file/d/19g0QTx5lQlJEXpqiBiLFBsYFKOLYES1s/view?usp=drivesdk" TargetMode="External"/><Relationship Id="rId10855" Type="http://schemas.openxmlformats.org/officeDocument/2006/relationships/hyperlink" Target="https://drive.google.com/file/d/1qAzZ3NVApMHDWeYtA7lUfAO0jWEt1Ptu/view?usp=drivesdk" TargetMode="External"/><Relationship Id="rId4283" Type="http://schemas.openxmlformats.org/officeDocument/2006/relationships/hyperlink" Target="https://drive.google.com/file/d/1_OF3fmYeA9kCASP4H5gK9A9VhnAB0-y-/view?usp=drivesdk" TargetMode="External"/><Relationship Id="rId10856" Type="http://schemas.openxmlformats.org/officeDocument/2006/relationships/hyperlink" Target="https://drive.google.com/file/d/1Pn6LRe7v735sjyd2zBH8TNCp0yFJulB2/view?usp=drivesdk" TargetMode="External"/><Relationship Id="rId4286" Type="http://schemas.openxmlformats.org/officeDocument/2006/relationships/hyperlink" Target="https://drive.google.com/file/d/1uZiszDK7EpIGzq-BQlE9klhP2LC7JXfg/view?usp=drivesdk" TargetMode="External"/><Relationship Id="rId4285" Type="http://schemas.openxmlformats.org/officeDocument/2006/relationships/hyperlink" Target="https://drive.google.com/file/d/1jSmySOub0NYrDFRWew7a3KvTDDJnKAmB/view?usp=drivesdk" TargetMode="External"/><Relationship Id="rId4288" Type="http://schemas.openxmlformats.org/officeDocument/2006/relationships/hyperlink" Target="https://drive.google.com/file/d/1-5VUYXVdIZk2AeFyLrq2ewDOB7W_YN4Y/view?usp=drivesdk" TargetMode="External"/><Relationship Id="rId4287" Type="http://schemas.openxmlformats.org/officeDocument/2006/relationships/hyperlink" Target="https://drive.google.com/file/d/18XLEYfBcRZxjO1_rSC16-JVziXXXrs3i/view?usp=drivesdk" TargetMode="External"/><Relationship Id="rId4289" Type="http://schemas.openxmlformats.org/officeDocument/2006/relationships/hyperlink" Target="https://drive.google.com/file/d/1h-GJ643QK0CI4T0tjHLHddjp8KY5dbwR/view?usp=drivesdk" TargetMode="External"/><Relationship Id="rId10850" Type="http://schemas.openxmlformats.org/officeDocument/2006/relationships/hyperlink" Target="https://drive.google.com/file/d/12BJLoFWvPiH2_tRosnRl7lo4kkHPuY-j/view?usp=drivesdk" TargetMode="External"/><Relationship Id="rId10864" Type="http://schemas.openxmlformats.org/officeDocument/2006/relationships/hyperlink" Target="https://drive.google.com/file/d/15PP8bH-bOgFCSOF0eKdgX8noUrRy4wIi/view?usp=drivesdk" TargetMode="External"/><Relationship Id="rId10865" Type="http://schemas.openxmlformats.org/officeDocument/2006/relationships/hyperlink" Target="https://drive.google.com/file/d/1RI-v3O7nsr0cTzMMWaGUV1v36imZbvIQ/view?usp=drivesdk" TargetMode="External"/><Relationship Id="rId10862" Type="http://schemas.openxmlformats.org/officeDocument/2006/relationships/hyperlink" Target="https://drive.google.com/file/d/1Z4D2p5NpwlW1rv8_DaPylt__IvMmq08Z/view?usp=drivesdk" TargetMode="External"/><Relationship Id="rId10863" Type="http://schemas.openxmlformats.org/officeDocument/2006/relationships/hyperlink" Target="https://drive.google.com/file/d/1TUUiKaf2bSu-7kMZthdcV_U3la2tGXvD/view?usp=drivesdk" TargetMode="External"/><Relationship Id="rId4271" Type="http://schemas.openxmlformats.org/officeDocument/2006/relationships/hyperlink" Target="https://drive.google.com/file/d/1gULxCHlpxMxw53CO4QPSJ4bPfixsfoAA/view?usp=drivesdk" TargetMode="External"/><Relationship Id="rId10868" Type="http://schemas.openxmlformats.org/officeDocument/2006/relationships/hyperlink" Target="https://drive.google.com/file/d/13ZyFO5vaXXVSDnqZ-3S_YFRcBTl2wREf/view?usp=drivesdk" TargetMode="External"/><Relationship Id="rId4270" Type="http://schemas.openxmlformats.org/officeDocument/2006/relationships/hyperlink" Target="https://drive.google.com/file/d/1DZ8l04bHU4xN0nIWL0hnMNGgaW4Ix9fP/view?usp=drivesdk" TargetMode="External"/><Relationship Id="rId10869" Type="http://schemas.openxmlformats.org/officeDocument/2006/relationships/hyperlink" Target="https://drive.google.com/file/d/19aU_CILQipDCSU8DN8promZXPEElST1e/view?usp=drivesdk" TargetMode="External"/><Relationship Id="rId4273" Type="http://schemas.openxmlformats.org/officeDocument/2006/relationships/hyperlink" Target="https://drive.google.com/file/d/1VRrYny_PTb0HM63cqwYpsFsx4s78RBiL/view?usp=drivesdk" TargetMode="External"/><Relationship Id="rId10866" Type="http://schemas.openxmlformats.org/officeDocument/2006/relationships/hyperlink" Target="https://drive.google.com/file/d/1S0ww7--XpLxgLPu5CTkBVRgIqAYWuOSF/view?usp=drivesdk" TargetMode="External"/><Relationship Id="rId4272" Type="http://schemas.openxmlformats.org/officeDocument/2006/relationships/hyperlink" Target="https://drive.google.com/file/d/1aRspUQn3JP7nDZ0aryS3WTbotoemiTJw/view?usp=drivesdk" TargetMode="External"/><Relationship Id="rId10867" Type="http://schemas.openxmlformats.org/officeDocument/2006/relationships/hyperlink" Target="https://drive.google.com/file/d/1iC4wXpCwcCFADmXGpDQ8XUhpFLoAwZAo/view?usp=drivesdk" TargetMode="External"/><Relationship Id="rId4275" Type="http://schemas.openxmlformats.org/officeDocument/2006/relationships/hyperlink" Target="https://drive.google.com/file/d/1L-LTlvYKWEm-Uxo0StQj6NHaJIcOD5Y6/view?usp=drivesdk" TargetMode="External"/><Relationship Id="rId4274" Type="http://schemas.openxmlformats.org/officeDocument/2006/relationships/hyperlink" Target="https://drive.google.com/file/d/1gcicP8xrCFHCv_Km2JyBhRi-ekNKRmOd/view?usp=drivesdk" TargetMode="External"/><Relationship Id="rId4277" Type="http://schemas.openxmlformats.org/officeDocument/2006/relationships/hyperlink" Target="https://drive.google.com/file/d/1KTh8FFjQgr6mmBxZ5MAemJUKoArNavR4/view?usp=drivesdk" TargetMode="External"/><Relationship Id="rId4276" Type="http://schemas.openxmlformats.org/officeDocument/2006/relationships/hyperlink" Target="https://drive.google.com/file/d/19H58X9o28E-jfBXRElaacQK4-nIFk0ph/view?usp=drivesdk" TargetMode="External"/><Relationship Id="rId4279" Type="http://schemas.openxmlformats.org/officeDocument/2006/relationships/hyperlink" Target="https://drive.google.com/file/d/1CVF86mBt5gZw4Wj8-zv5D3rwRdQ8ItpX/view?usp=drivesdk" TargetMode="External"/><Relationship Id="rId10860" Type="http://schemas.openxmlformats.org/officeDocument/2006/relationships/hyperlink" Target="https://drive.google.com/file/d/13Z9UOSqv7LCVx5kOwLfd7o0LjY1OUE29/view?usp=drivesdk" TargetMode="External"/><Relationship Id="rId4278" Type="http://schemas.openxmlformats.org/officeDocument/2006/relationships/hyperlink" Target="https://drive.google.com/file/d/1072cdkhpK4EMxaAEimEWTcIOWEUqglUV/view?usp=drivesdk" TargetMode="External"/><Relationship Id="rId10861" Type="http://schemas.openxmlformats.org/officeDocument/2006/relationships/hyperlink" Target="https://drive.google.com/file/d/1cKrNaVRC8DkHnVCySqZIHSxmAQE7c_2T/view?usp=drivesdk" TargetMode="External"/><Relationship Id="rId10839" Type="http://schemas.openxmlformats.org/officeDocument/2006/relationships/hyperlink" Target="https://drive.google.com/file/d/1Efh5bgHa8-g1g2mjKaRJXkCz63Sw8AKS/view?usp=drivesdk" TargetMode="External"/><Relationship Id="rId10837" Type="http://schemas.openxmlformats.org/officeDocument/2006/relationships/hyperlink" Target="https://drive.google.com/file/d/1vP-1xynnTL7YMR30ijHna3szptbzN3dO/view?usp=drivesdk" TargetMode="External"/><Relationship Id="rId10838" Type="http://schemas.openxmlformats.org/officeDocument/2006/relationships/hyperlink" Target="https://drive.google.com/file/d/1uNRXVjZ7q7gbdBikXnz4z5VNm52_8r5g/view?usp=drivesdk" TargetMode="External"/><Relationship Id="rId10831" Type="http://schemas.openxmlformats.org/officeDocument/2006/relationships/hyperlink" Target="https://drive.google.com/file/d/1n0Bpn5GNRqE_0W0dAMTZTOmCBCS9UTPL/view?usp=drivesdk" TargetMode="External"/><Relationship Id="rId10832" Type="http://schemas.openxmlformats.org/officeDocument/2006/relationships/hyperlink" Target="https://drive.google.com/file/d/1zUlruRfExib9PKXNQrhMbBDF56o3LriL/view?usp=drivesdk" TargetMode="External"/><Relationship Id="rId10830" Type="http://schemas.openxmlformats.org/officeDocument/2006/relationships/hyperlink" Target="https://drive.google.com/file/d/1jDJ5up48vcVUTDwjKcT8uflppCrdDQeA/view?usp=drivesdk" TargetMode="External"/><Relationship Id="rId10835" Type="http://schemas.openxmlformats.org/officeDocument/2006/relationships/hyperlink" Target="https://drive.google.com/file/d/18uyWs4pahfpGPUds4J7ZPwJ5CE_kP_Cx/view?usp=drivesdk" TargetMode="External"/><Relationship Id="rId10836" Type="http://schemas.openxmlformats.org/officeDocument/2006/relationships/hyperlink" Target="https://drive.google.com/file/d/1Uv2zwKeOuZEwowmAqGtz9mhsQ5w50psQ/view?usp=drivesdk" TargetMode="External"/><Relationship Id="rId10833" Type="http://schemas.openxmlformats.org/officeDocument/2006/relationships/hyperlink" Target="https://drive.google.com/file/d/1yWk-xXbZNzDWZC5JAop4sIyrMGG6Z_yW/view?usp=drivesdk" TargetMode="External"/><Relationship Id="rId10834" Type="http://schemas.openxmlformats.org/officeDocument/2006/relationships/hyperlink" Target="https://drive.google.com/file/d/19s5YnGYK32sr2F_-QfWX8A5XoP1CZNUh/view?usp=drivesdk" TargetMode="External"/><Relationship Id="rId10848" Type="http://schemas.openxmlformats.org/officeDocument/2006/relationships/hyperlink" Target="https://drive.google.com/file/d/1YMA4KgZDvQpHhE7fDizmomh3ozKnfsGM/view?usp=drivesdk" TargetMode="External"/><Relationship Id="rId10849" Type="http://schemas.openxmlformats.org/officeDocument/2006/relationships/hyperlink" Target="https://drive.google.com/file/d/1prJL63RLEP84FPjQUtDZ2ol47a4UUnv0/view?usp=drivesdk" TargetMode="External"/><Relationship Id="rId10842" Type="http://schemas.openxmlformats.org/officeDocument/2006/relationships/hyperlink" Target="https://drive.google.com/file/d/1F9JuJfvIqpzgKcHvx_F5tYrHJEFnxOjK/view?usp=drivesdk" TargetMode="External"/><Relationship Id="rId10843" Type="http://schemas.openxmlformats.org/officeDocument/2006/relationships/hyperlink" Target="https://drive.google.com/file/d/1x8WmjJTbRZx1ZPXqwEkbMVn4enHy3L1-/view?usp=drivesdk" TargetMode="External"/><Relationship Id="rId4291" Type="http://schemas.openxmlformats.org/officeDocument/2006/relationships/hyperlink" Target="https://drive.google.com/file/d/15cXwPtiBUv3aIouZ6cViBEPG5NC2JbZb/view?usp=drivesdk" TargetMode="External"/><Relationship Id="rId10840" Type="http://schemas.openxmlformats.org/officeDocument/2006/relationships/hyperlink" Target="https://drive.google.com/file/d/1d4sfHkZSIkxn8o2zw5hABcTM6gzjJKJe/view?usp=drivesdk" TargetMode="External"/><Relationship Id="rId4290" Type="http://schemas.openxmlformats.org/officeDocument/2006/relationships/hyperlink" Target="https://drive.google.com/file/d/1XJRaeeSVFZHAESuUL6JA7RY_Kfu0BWmf/view?usp=drivesdk" TargetMode="External"/><Relationship Id="rId10841" Type="http://schemas.openxmlformats.org/officeDocument/2006/relationships/hyperlink" Target="https://drive.google.com/file/d/1NrOFojXLv8PLW-rwAX-eNCbbP8Kry2La/view?usp=drivesdk" TargetMode="External"/><Relationship Id="rId4293" Type="http://schemas.openxmlformats.org/officeDocument/2006/relationships/hyperlink" Target="https://drive.google.com/file/d/1AGBRGnJiedYNqQOmRjJM2MaDbCUlE9og/view?usp=drivesdk" TargetMode="External"/><Relationship Id="rId10846" Type="http://schemas.openxmlformats.org/officeDocument/2006/relationships/hyperlink" Target="https://drive.google.com/file/d/13ohGPW12EYWrqRgnUg1JUK7nsFXnrV33/view?usp=drivesdk" TargetMode="External"/><Relationship Id="rId4292" Type="http://schemas.openxmlformats.org/officeDocument/2006/relationships/hyperlink" Target="https://drive.google.com/file/d/1x7zsmOuON--Euu0SLdtllzdeJkoZmfdK/view?usp=drivesdk" TargetMode="External"/><Relationship Id="rId10847" Type="http://schemas.openxmlformats.org/officeDocument/2006/relationships/hyperlink" Target="https://drive.google.com/file/d/1m0p1HDmmV7aRooIjP9Fan3klHuGN_0bS/view?usp=drivesdk" TargetMode="External"/><Relationship Id="rId4295" Type="http://schemas.openxmlformats.org/officeDocument/2006/relationships/hyperlink" Target="https://drive.google.com/file/d/1jme4w357ZWAOw2Xfc8rJ8jckmVNb4pCo/view?usp=drivesdk" TargetMode="External"/><Relationship Id="rId10844" Type="http://schemas.openxmlformats.org/officeDocument/2006/relationships/hyperlink" Target="https://drive.google.com/file/d/13eeQha3TdSgkOCrovOrXK70WgVWQB_xK/view?usp=drivesdk" TargetMode="External"/><Relationship Id="rId4294" Type="http://schemas.openxmlformats.org/officeDocument/2006/relationships/hyperlink" Target="https://drive.google.com/file/d/1z5JKUsnxhenuHkegQ-3cs8zAJv52wOrw/view?usp=drivesdk" TargetMode="External"/><Relationship Id="rId10845" Type="http://schemas.openxmlformats.org/officeDocument/2006/relationships/hyperlink" Target="https://drive.google.com/file/d/1OqSxGxw3UyLtUM4cqbXADAi4Dh_W4jFW/view?usp=drivesdk" TargetMode="External"/><Relationship Id="rId4297" Type="http://schemas.openxmlformats.org/officeDocument/2006/relationships/hyperlink" Target="https://drive.google.com/file/d/1J69V140LGvSxl2PxNCu_nHLDwlG3AZ2t/view?usp=drivesdk" TargetMode="External"/><Relationship Id="rId4296" Type="http://schemas.openxmlformats.org/officeDocument/2006/relationships/hyperlink" Target="https://drive.google.com/file/d/15keRIdFNVsqe5A9pxNhCmBGS6W8j-1Ne/view?usp=drivesdk" TargetMode="External"/><Relationship Id="rId4299" Type="http://schemas.openxmlformats.org/officeDocument/2006/relationships/hyperlink" Target="https://drive.google.com/file/d/1eTgw10QcLWZa0X3DObMFIEjUDJ5WYRET/view?usp=drivesdk" TargetMode="External"/><Relationship Id="rId4298" Type="http://schemas.openxmlformats.org/officeDocument/2006/relationships/hyperlink" Target="https://drive.google.com/file/d/1xypdQEylzYhs_9lGmAkMU1jkirbmVFbs/view?usp=drivesdk" TargetMode="External"/><Relationship Id="rId4249" Type="http://schemas.openxmlformats.org/officeDocument/2006/relationships/hyperlink" Target="https://drive.google.com/file/d/1BKZ12O9H7idalwTtP__aMVxDjbyTTVlS/view?usp=drivesdk" TargetMode="External"/><Relationship Id="rId10897" Type="http://schemas.openxmlformats.org/officeDocument/2006/relationships/hyperlink" Target="https://drive.google.com/file/d/1KhCZn3K6K4oprQ8rG9SzhUs2P17G_Tcg/view?usp=drivesdk" TargetMode="External"/><Relationship Id="rId10898" Type="http://schemas.openxmlformats.org/officeDocument/2006/relationships/hyperlink" Target="https://drive.google.com/file/d/15D3BF-VU5K4jeolYKCUKNZvqV2luncAM/view?usp=drivesdk" TargetMode="External"/><Relationship Id="rId10895" Type="http://schemas.openxmlformats.org/officeDocument/2006/relationships/hyperlink" Target="https://drive.google.com/file/d/1EyVsFnDG0aQQqO-mOV-48l5sAv4NCO_B/view?usp=drivesdk" TargetMode="External"/><Relationship Id="rId10896" Type="http://schemas.openxmlformats.org/officeDocument/2006/relationships/hyperlink" Target="https://drive.google.com/file/d/1vi_hBLKGurzUg-J2CbL0hsSjLNsWxSEd/view?usp=drivesdk" TargetMode="External"/><Relationship Id="rId5570" Type="http://schemas.openxmlformats.org/officeDocument/2006/relationships/hyperlink" Target="https://drive.google.com/file/d/1GWnk5Uu5M6uh2K5-crcb8lO0r9A18da1/view?usp=drivesdk" TargetMode="External"/><Relationship Id="rId5571" Type="http://schemas.openxmlformats.org/officeDocument/2006/relationships/hyperlink" Target="https://drive.google.com/file/d/1sVlNhPyBYvY7v1irmD37_TLk6_eAuIGc/view?usp=drivesdk" TargetMode="External"/><Relationship Id="rId4240" Type="http://schemas.openxmlformats.org/officeDocument/2006/relationships/hyperlink" Target="https://drive.google.com/file/d/1dRD7m-521-Jm66BtlX4BJ-zSwyZCgON4/view?usp=drivesdk" TargetMode="External"/><Relationship Id="rId10899" Type="http://schemas.openxmlformats.org/officeDocument/2006/relationships/hyperlink" Target="https://drive.google.com/file/d/1DN8xxgADlQEhg19e1C9QI8DhE6ZYL5fv/view?usp=drivesdk" TargetMode="External"/><Relationship Id="rId4242" Type="http://schemas.openxmlformats.org/officeDocument/2006/relationships/hyperlink" Target="https://drive.google.com/file/d/1SgHYgPltTwo6IEEv0lZXD4Y56oy5YUnI/view?usp=drivesdk" TargetMode="External"/><Relationship Id="rId5574" Type="http://schemas.openxmlformats.org/officeDocument/2006/relationships/hyperlink" Target="https://drive.google.com/file/d/1RfWabnmzuZvrHRlnRSTksulkO7iwPLWQ/view?usp=drivesdk" TargetMode="External"/><Relationship Id="rId4241" Type="http://schemas.openxmlformats.org/officeDocument/2006/relationships/hyperlink" Target="https://drive.google.com/file/d/1_yEVErjDR7GeJuCHVE_UthORzCmtob_T/view?usp=drivesdk" TargetMode="External"/><Relationship Id="rId5575" Type="http://schemas.openxmlformats.org/officeDocument/2006/relationships/hyperlink" Target="https://drive.google.com/file/d/1Cgenc8IY4RqKYwX2dzAeOeR4tOhwFMu2/view?usp=drivesdk" TargetMode="External"/><Relationship Id="rId10890" Type="http://schemas.openxmlformats.org/officeDocument/2006/relationships/hyperlink" Target="https://drive.google.com/file/d/1vQPp9i4VbXN0I5AuTLCw1FVSbGjv2emp/view?usp=drivesdk" TargetMode="External"/><Relationship Id="rId4244" Type="http://schemas.openxmlformats.org/officeDocument/2006/relationships/hyperlink" Target="https://drive.google.com/file/d/1ZMdDtljhaMjGvaCv0FsXb_D3rL4Dri2Q/view?usp=drivesdk" TargetMode="External"/><Relationship Id="rId5572" Type="http://schemas.openxmlformats.org/officeDocument/2006/relationships/hyperlink" Target="https://drive.google.com/file/d/1E8RHDRX5GupM8TmoretH8OukN6vzVpva/view?usp=drivesdk" TargetMode="External"/><Relationship Id="rId4243" Type="http://schemas.openxmlformats.org/officeDocument/2006/relationships/hyperlink" Target="https://drive.google.com/file/d/1nccEdY6l1cg-730_KSbD86WJat92_KY_/view?usp=drivesdk" TargetMode="External"/><Relationship Id="rId5573" Type="http://schemas.openxmlformats.org/officeDocument/2006/relationships/hyperlink" Target="https://drive.google.com/file/d/1JNz9rtcp7C5muHy9r9OLcPYo4qYkuHBE/view?usp=drivesdk" TargetMode="External"/><Relationship Id="rId4246" Type="http://schemas.openxmlformats.org/officeDocument/2006/relationships/hyperlink" Target="https://drive.google.com/file/d/1yCiLTwm3m4CKcwa31E4GWxFsm3tMogKV/view?usp=drivesdk" TargetMode="External"/><Relationship Id="rId5578" Type="http://schemas.openxmlformats.org/officeDocument/2006/relationships/hyperlink" Target="https://drive.google.com/file/d/1kMUhEKhN-m1A_mjvm2BCglxyROJFDi9e/view?usp=drivesdk" TargetMode="External"/><Relationship Id="rId10893" Type="http://schemas.openxmlformats.org/officeDocument/2006/relationships/hyperlink" Target="https://drive.google.com/file/d/1ScMpoPD7S4-haRJN86MjHOlYWYSURaA1/view?usp=drivesdk" TargetMode="External"/><Relationship Id="rId4245" Type="http://schemas.openxmlformats.org/officeDocument/2006/relationships/hyperlink" Target="https://drive.google.com/file/d/1nQhPWYc5RZ4jO-AFvBIjRj68mU-vS7aj/view?usp=drivesdk" TargetMode="External"/><Relationship Id="rId5579" Type="http://schemas.openxmlformats.org/officeDocument/2006/relationships/hyperlink" Target="https://drive.google.com/file/d/1okvbEIVSDSZKjM9GlrDXsJd6Ua-Hctbk/view?usp=drivesdk" TargetMode="External"/><Relationship Id="rId10894" Type="http://schemas.openxmlformats.org/officeDocument/2006/relationships/hyperlink" Target="https://drive.google.com/file/d/1DIMDFHV-eGmVfj5H5VKAVr7VUW1zZWci/view?usp=drivesdk" TargetMode="External"/><Relationship Id="rId4248" Type="http://schemas.openxmlformats.org/officeDocument/2006/relationships/hyperlink" Target="https://drive.google.com/file/d/19BQ77Rrwd9gGyxgycMlSYwioYNM-NH6W/view?usp=drivesdk" TargetMode="External"/><Relationship Id="rId5576" Type="http://schemas.openxmlformats.org/officeDocument/2006/relationships/hyperlink" Target="https://drive.google.com/file/d/1YFBYeM7JkQPK5B1TSz2YTS8jFTBQLlCL/view?usp=drivesdk" TargetMode="External"/><Relationship Id="rId10891" Type="http://schemas.openxmlformats.org/officeDocument/2006/relationships/hyperlink" Target="https://drive.google.com/file/d/1tuYgRoYz-jRo5U9QZmMQP2RhhZ7YErn1/view?usp=drivesdk" TargetMode="External"/><Relationship Id="rId4247" Type="http://schemas.openxmlformats.org/officeDocument/2006/relationships/hyperlink" Target="https://drive.google.com/file/d/15Jkhu61pBbsfv1uSY5axfSmrCGHwG8fu/view?usp=drivesdk" TargetMode="External"/><Relationship Id="rId5577" Type="http://schemas.openxmlformats.org/officeDocument/2006/relationships/hyperlink" Target="https://drive.google.com/file/d/1Tr6cQxdHAJNJUo7tKUs14Cd4Ja33SC--/view?usp=drivesdk" TargetMode="External"/><Relationship Id="rId10892" Type="http://schemas.openxmlformats.org/officeDocument/2006/relationships/hyperlink" Target="https://drive.google.com/file/d/1st_Gzv2vvU_1WZfSVvUomnShC7Kzw5Ve/view?usp=drivesdk" TargetMode="External"/><Relationship Id="rId4239" Type="http://schemas.openxmlformats.org/officeDocument/2006/relationships/hyperlink" Target="https://drive.google.com/file/d/1stMc1T0DUz_TszwWBX9i1AJ8uiE-cdPS/view?usp=drivesdk" TargetMode="External"/><Relationship Id="rId4238" Type="http://schemas.openxmlformats.org/officeDocument/2006/relationships/hyperlink" Target="https://drive.google.com/file/d/1hL0a3UEhSbjfs0xE9xiVYb-TgFkl9RU4/view?usp=drivesdk" TargetMode="External"/><Relationship Id="rId5569" Type="http://schemas.openxmlformats.org/officeDocument/2006/relationships/hyperlink" Target="https://drive.google.com/file/d/1qLv87hwzCEgxnzLdc1INPL9K9b9n3iG8/view?usp=drivesdk" TargetMode="External"/><Relationship Id="rId6890" Type="http://schemas.openxmlformats.org/officeDocument/2006/relationships/hyperlink" Target="https://drive.google.com/file/d/1zjfbBqJ1Fc1hfvgWF6jxkpWwdJL4p9m-/view?usp=drivesdk" TargetMode="External"/><Relationship Id="rId5560" Type="http://schemas.openxmlformats.org/officeDocument/2006/relationships/hyperlink" Target="https://drive.google.com/file/d/1DaPHhVarQ6f38ki6xLy03eA6EZ7JJwLF/view?usp=drivesdk" TargetMode="External"/><Relationship Id="rId6891" Type="http://schemas.openxmlformats.org/officeDocument/2006/relationships/hyperlink" Target="https://drive.google.com/file/d/1r6_zVJLYKUA_xupeE5ORsQqxGYoA8qRH/view?usp=drivesdk" TargetMode="External"/><Relationship Id="rId495" Type="http://schemas.openxmlformats.org/officeDocument/2006/relationships/hyperlink" Target="https://drive.google.com/file/d/1EYeQ-IQNPtneQEqfF9mCbNC4mqM5ecx2/view?usp=drivesdk" TargetMode="External"/><Relationship Id="rId4231" Type="http://schemas.openxmlformats.org/officeDocument/2006/relationships/hyperlink" Target="https://drive.google.com/file/d/1S7jhj-DGmQDXzJ5rLq9yAcExCPw2OgrO/view?usp=drivesdk" TargetMode="External"/><Relationship Id="rId5563" Type="http://schemas.openxmlformats.org/officeDocument/2006/relationships/hyperlink" Target="https://drive.google.com/file/d/16WCIf6kAigTAXHNMBRBWKDpxqFcAUdl8/view?usp=drivesdk" TargetMode="External"/><Relationship Id="rId6894" Type="http://schemas.openxmlformats.org/officeDocument/2006/relationships/hyperlink" Target="https://drive.google.com/file/d/1srWuhkk1CpXcyhjDhpDMQlxvUcvNhbUy/view?usp=drivesdk" TargetMode="External"/><Relationship Id="rId494" Type="http://schemas.openxmlformats.org/officeDocument/2006/relationships/hyperlink" Target="https://drive.google.com/file/d/15W2O8NoDoXy05UOmZFg6PwkrATfSbQow/view?usp=drivesdk" TargetMode="External"/><Relationship Id="rId4230" Type="http://schemas.openxmlformats.org/officeDocument/2006/relationships/hyperlink" Target="https://drive.google.com/file/d/1cLACHBCRHgudQm-_az_3Vrnstl_Exlkp/view?usp=drivesdk" TargetMode="External"/><Relationship Id="rId5564" Type="http://schemas.openxmlformats.org/officeDocument/2006/relationships/hyperlink" Target="https://drive.google.com/file/d/1TagdDg2Yi44cJBhYnsfon8KC5Te5tC2o/view?usp=drivesdk" TargetMode="External"/><Relationship Id="rId6895" Type="http://schemas.openxmlformats.org/officeDocument/2006/relationships/hyperlink" Target="https://drive.google.com/file/d/1rlaacIHsY1MSFHRHYkPWCnlARXOaITLw/view?usp=drivesdk" TargetMode="External"/><Relationship Id="rId493" Type="http://schemas.openxmlformats.org/officeDocument/2006/relationships/hyperlink" Target="https://drive.google.com/file/d/19EtYct1WItyvFT6KDS5t1GjICu4vPgdb/view?usp=drivesdk" TargetMode="External"/><Relationship Id="rId4233" Type="http://schemas.openxmlformats.org/officeDocument/2006/relationships/hyperlink" Target="https://drive.google.com/file/d/1TydXzdO-BiQrzbyO8h8pka_QgkiyjGZb/view?usp=drivesdk" TargetMode="External"/><Relationship Id="rId5561" Type="http://schemas.openxmlformats.org/officeDocument/2006/relationships/hyperlink" Target="https://drive.google.com/file/d/1TFRhPMfBiPOOWbY3D-p72so3J8c3KRun/view?usp=drivesdk" TargetMode="External"/><Relationship Id="rId6892" Type="http://schemas.openxmlformats.org/officeDocument/2006/relationships/hyperlink" Target="https://drive.google.com/file/d/1IwwZ5iJgQ0JpOSqVrEW4Dqzw17rfsFRe/view?usp=drivesdk" TargetMode="External"/><Relationship Id="rId492" Type="http://schemas.openxmlformats.org/officeDocument/2006/relationships/hyperlink" Target="https://drive.google.com/file/d/1HM1qFq4IqYrmNT121cV4ibYv2dl_V9-e/view?usp=drivesdk" TargetMode="External"/><Relationship Id="rId4232" Type="http://schemas.openxmlformats.org/officeDocument/2006/relationships/hyperlink" Target="https://drive.google.com/file/d/1vRxnwM5UeOKFhrL_X1BmaV0ZyNYh1N_4/view?usp=drivesdk" TargetMode="External"/><Relationship Id="rId5562" Type="http://schemas.openxmlformats.org/officeDocument/2006/relationships/hyperlink" Target="https://drive.google.com/file/d/1wYitDV8F-3W2pbRJEYFLdVbJnQpasOki/view?usp=drivesdk" TargetMode="External"/><Relationship Id="rId6893" Type="http://schemas.openxmlformats.org/officeDocument/2006/relationships/hyperlink" Target="https://drive.google.com/file/d/1Kuf7kM8zVjPR6DFnhDNfQ1kuqwTp9eVd/view?usp=drivesdk" TargetMode="External"/><Relationship Id="rId499" Type="http://schemas.openxmlformats.org/officeDocument/2006/relationships/hyperlink" Target="https://drive.google.com/file/d/1dwquueAHET6s2BNn8z53IHIxj5BiEY_c/view?usp=drivesdk" TargetMode="External"/><Relationship Id="rId4235" Type="http://schemas.openxmlformats.org/officeDocument/2006/relationships/hyperlink" Target="https://drive.google.com/file/d/1jJWNI66bKmC6E47eSFqeD62M9T1mVhGo/view?usp=drivesdk" TargetMode="External"/><Relationship Id="rId5567" Type="http://schemas.openxmlformats.org/officeDocument/2006/relationships/hyperlink" Target="https://drive.google.com/file/d/1-Z_hNi9zgZIm4WZrxhTYKX4Vw1l_bNzB/view?usp=drivesdk" TargetMode="External"/><Relationship Id="rId6898" Type="http://schemas.openxmlformats.org/officeDocument/2006/relationships/hyperlink" Target="https://drive.google.com/file/d/1so8OCJ-_FugZc35UNigP-uY32QLmQc2X/view?usp=drivesdk" TargetMode="External"/><Relationship Id="rId498" Type="http://schemas.openxmlformats.org/officeDocument/2006/relationships/hyperlink" Target="https://drive.google.com/file/d/1Palv4N7W12MdOSgxyQ5ABwDKx0K51H-F/view?usp=drivesdk" TargetMode="External"/><Relationship Id="rId4234" Type="http://schemas.openxmlformats.org/officeDocument/2006/relationships/hyperlink" Target="https://drive.google.com/file/d/1fYVjf8Zr-Dg-y_B6Da3Mu3VO0xN9wcPt/view?usp=drivesdk" TargetMode="External"/><Relationship Id="rId5568" Type="http://schemas.openxmlformats.org/officeDocument/2006/relationships/hyperlink" Target="https://drive.google.com/file/d/1PmXGh1ppxdC9shX2Re45AqzzXngttRAu/view?usp=drivesdk" TargetMode="External"/><Relationship Id="rId6899" Type="http://schemas.openxmlformats.org/officeDocument/2006/relationships/hyperlink" Target="https://drive.google.com/file/d/1AZBWTMIi3RsymUyBk8cX8WWMNm2Jlf8S/view?usp=drivesdk" TargetMode="External"/><Relationship Id="rId497" Type="http://schemas.openxmlformats.org/officeDocument/2006/relationships/hyperlink" Target="https://drive.google.com/file/d/1RFOWHFScfll2rHVaBsXJ4T4NtdYsYW2a/view?usp=drivesdk" TargetMode="External"/><Relationship Id="rId4237" Type="http://schemas.openxmlformats.org/officeDocument/2006/relationships/hyperlink" Target="https://drive.google.com/file/d/1EPinZL6KNQRFhW3DT0U24I-e9hv3ZaPq/view?usp=drivesdk" TargetMode="External"/><Relationship Id="rId5565" Type="http://schemas.openxmlformats.org/officeDocument/2006/relationships/hyperlink" Target="https://drive.google.com/file/d/1vvffcqXoO3eC6RsJTtqNVU2JPD-VJslX/view?usp=drivesdk" TargetMode="External"/><Relationship Id="rId6896" Type="http://schemas.openxmlformats.org/officeDocument/2006/relationships/hyperlink" Target="https://drive.google.com/file/d/1f5JiKa1qULqWvu7Lhd0-yCggvLJZT-Pe/view?usp=drivesdk" TargetMode="External"/><Relationship Id="rId496" Type="http://schemas.openxmlformats.org/officeDocument/2006/relationships/hyperlink" Target="https://drive.google.com/file/d/13yG86gDbCoBzLQyOMqd0vOnUWNn_WSGJ/view?usp=drivesdk" TargetMode="External"/><Relationship Id="rId4236" Type="http://schemas.openxmlformats.org/officeDocument/2006/relationships/hyperlink" Target="https://drive.google.com/file/d/1uJWFhCFN2os75L314IaGrEpcsmXOYafc/view?usp=drivesdk" TargetMode="External"/><Relationship Id="rId5566" Type="http://schemas.openxmlformats.org/officeDocument/2006/relationships/hyperlink" Target="https://drive.google.com/file/d/1Fue2dlnbIf8IC_F2y41ll_YWtsN2gnsA/view?usp=drivesdk" TargetMode="External"/><Relationship Id="rId6897" Type="http://schemas.openxmlformats.org/officeDocument/2006/relationships/hyperlink" Target="https://drive.google.com/file/d/1ywMQoI5Pq6ManjWH1rQgWEcUq2hvr15a/view?usp=drivesdk" TargetMode="External"/><Relationship Id="rId10875" Type="http://schemas.openxmlformats.org/officeDocument/2006/relationships/hyperlink" Target="https://drive.google.com/file/d/1mu4K9-RZVBvdnlV5LYBbmiYB_PLvM_E5/view?usp=drivesdk" TargetMode="External"/><Relationship Id="rId10876" Type="http://schemas.openxmlformats.org/officeDocument/2006/relationships/hyperlink" Target="https://drive.google.com/file/d/15xUctQ5rSpQS37M8xe9rJYV5qA6ETOLS/view?usp=drivesdk" TargetMode="External"/><Relationship Id="rId10873" Type="http://schemas.openxmlformats.org/officeDocument/2006/relationships/hyperlink" Target="https://drive.google.com/file/d/1X3UTZpGtf3SXEBWol7BzLXAYUe5y0Txw/view?usp=drivesdk" TargetMode="External"/><Relationship Id="rId10874" Type="http://schemas.openxmlformats.org/officeDocument/2006/relationships/hyperlink" Target="https://drive.google.com/file/d/1vuN2w2jD5jLdAwK6Euo9oY2XHudICAV2/view?usp=drivesdk" TargetMode="External"/><Relationship Id="rId4260" Type="http://schemas.openxmlformats.org/officeDocument/2006/relationships/hyperlink" Target="https://drive.google.com/file/d/13pqlHjT8VVfb6_53GeTm0b4QFda7m5TX/view?usp=drivesdk" TargetMode="External"/><Relationship Id="rId5592" Type="http://schemas.openxmlformats.org/officeDocument/2006/relationships/hyperlink" Target="https://drive.google.com/file/d/1q_xBjB8o1pODGza9YNEejuHnqj89wtGu/view?usp=drivesdk" TargetMode="External"/><Relationship Id="rId10879" Type="http://schemas.openxmlformats.org/officeDocument/2006/relationships/hyperlink" Target="https://drive.google.com/file/d/1LzYZ9BT8UJE_flPhjv-G95Aph1T9rmdK/view?usp=drivesdk" TargetMode="External"/><Relationship Id="rId5593" Type="http://schemas.openxmlformats.org/officeDocument/2006/relationships/hyperlink" Target="https://drive.google.com/file/d/1lXoyUYVGkV7urUL1ejhfpyHea1dNdFXG/view?usp=drivesdk" TargetMode="External"/><Relationship Id="rId4262" Type="http://schemas.openxmlformats.org/officeDocument/2006/relationships/hyperlink" Target="https://drive.google.com/file/d/192zYZBd4hbW-c1RldDDxkEoac008jX8P/view?usp=drivesdk" TargetMode="External"/><Relationship Id="rId5590" Type="http://schemas.openxmlformats.org/officeDocument/2006/relationships/hyperlink" Target="https://drive.google.com/file/d/1lnMfmGkQIZL2V-BxShFWNjxtBbxUEm2e/view?usp=drivesdk" TargetMode="External"/><Relationship Id="rId10877" Type="http://schemas.openxmlformats.org/officeDocument/2006/relationships/hyperlink" Target="https://drive.google.com/file/d/1usP_j6QZB--zgdt_EvKcGCIS5lM7GBJq/view?usp=drivesdk" TargetMode="External"/><Relationship Id="rId4261" Type="http://schemas.openxmlformats.org/officeDocument/2006/relationships/hyperlink" Target="https://drive.google.com/file/d/1rAWIiXqQE43OoYnQNnKxjTIg2KRCxjdS/view?usp=drivesdk" TargetMode="External"/><Relationship Id="rId5591" Type="http://schemas.openxmlformats.org/officeDocument/2006/relationships/hyperlink" Target="https://drive.google.com/file/d/1jK0zMALK4VlpdBo03-z0WI9asknmJ5Fs/view?usp=drivesdk" TargetMode="External"/><Relationship Id="rId10878" Type="http://schemas.openxmlformats.org/officeDocument/2006/relationships/hyperlink" Target="https://drive.google.com/file/d/1JO5lh05ZjFMEPohG8lV4h6XKKQnK95in/view?usp=drivesdk" TargetMode="External"/><Relationship Id="rId4264" Type="http://schemas.openxmlformats.org/officeDocument/2006/relationships/hyperlink" Target="https://drive.google.com/file/d/1759vj5PmwTehNvglnBInzWCHiTiWBRS8/view?usp=drivesdk" TargetMode="External"/><Relationship Id="rId5596" Type="http://schemas.openxmlformats.org/officeDocument/2006/relationships/hyperlink" Target="https://drive.google.com/file/d/1bpjRF4qrnzigJ8hFaCt6L0S-8-VXeYuM/view?usp=drivesdk" TargetMode="External"/><Relationship Id="rId4263" Type="http://schemas.openxmlformats.org/officeDocument/2006/relationships/hyperlink" Target="https://drive.google.com/file/d/1jsrajtJzk-maiJaC4_EOx8i0881M7TBc/view?usp=drivesdk" TargetMode="External"/><Relationship Id="rId5597" Type="http://schemas.openxmlformats.org/officeDocument/2006/relationships/hyperlink" Target="https://drive.google.com/file/d/1Zo-cqKnyQC1PW85WidvLAPmVAhW9uH34/view?usp=drivesdk" TargetMode="External"/><Relationship Id="rId4266" Type="http://schemas.openxmlformats.org/officeDocument/2006/relationships/hyperlink" Target="https://drive.google.com/file/d/16yqekJN6o0577iMkZO9IyjRGJEWNvdD4/view?usp=drivesdk" TargetMode="External"/><Relationship Id="rId5594" Type="http://schemas.openxmlformats.org/officeDocument/2006/relationships/hyperlink" Target="https://drive.google.com/file/d/1V5zc-8G_JOdJE8ZBNGogQjBneLd7hHAd/view?usp=drivesdk" TargetMode="External"/><Relationship Id="rId4265" Type="http://schemas.openxmlformats.org/officeDocument/2006/relationships/hyperlink" Target="https://drive.google.com/file/d/1MiB1ne68raQCf2d1EI7oIZIJfH1VUidn/view?usp=drivesdk" TargetMode="External"/><Relationship Id="rId5595" Type="http://schemas.openxmlformats.org/officeDocument/2006/relationships/hyperlink" Target="https://drive.google.com/file/d/1XJUtb7wA3VH9J8WZn2gLnyTWpYyAo2pS/view?usp=drivesdk" TargetMode="External"/><Relationship Id="rId4268" Type="http://schemas.openxmlformats.org/officeDocument/2006/relationships/hyperlink" Target="https://drive.google.com/file/d/18YtNZ5rYnHm-Qt9rXhT8PI6WSrsbeo9D/view?usp=drivesdk" TargetMode="External"/><Relationship Id="rId10871" Type="http://schemas.openxmlformats.org/officeDocument/2006/relationships/hyperlink" Target="https://drive.google.com/file/d/1n77Pys3kYYzXni_omLmErIIK4CCrw5By/view?usp=drivesdk" TargetMode="External"/><Relationship Id="rId4267" Type="http://schemas.openxmlformats.org/officeDocument/2006/relationships/hyperlink" Target="https://drive.google.com/file/d/1Y_z9TE9qin_uT_D3J-zMUb4Qv08d10A2/view?usp=drivesdk" TargetMode="External"/><Relationship Id="rId10872" Type="http://schemas.openxmlformats.org/officeDocument/2006/relationships/hyperlink" Target="https://drive.google.com/file/d/17m-MgNKTcdFHilWZednXcJbLG-sTY2U7/view?usp=drivesdk" TargetMode="External"/><Relationship Id="rId5598" Type="http://schemas.openxmlformats.org/officeDocument/2006/relationships/hyperlink" Target="https://drive.google.com/file/d/1ZQtrpTukal4_-hKPRMsZJT5tXhozfCWQ/view?usp=drivesdk" TargetMode="External"/><Relationship Id="rId4269" Type="http://schemas.openxmlformats.org/officeDocument/2006/relationships/hyperlink" Target="https://drive.google.com/file/d/1lg4xHVpzl0FMGyWHdhsdcbOmgGBJrD63/view?usp=drivesdk" TargetMode="External"/><Relationship Id="rId5599" Type="http://schemas.openxmlformats.org/officeDocument/2006/relationships/hyperlink" Target="https://drive.google.com/file/d/1jVmHxh9QOWWAq2ZVBkTWGmGgle8KKnl5/view?usp=drivesdk" TargetMode="External"/><Relationship Id="rId10870" Type="http://schemas.openxmlformats.org/officeDocument/2006/relationships/hyperlink" Target="https://drive.google.com/file/d/1LmTTsU6hJyPVQuJk2JkkP1dXCYoVdhh8/view?usp=drivesdk" TargetMode="External"/><Relationship Id="rId10886" Type="http://schemas.openxmlformats.org/officeDocument/2006/relationships/hyperlink" Target="https://drive.google.com/file/d/1KhD9ZcIZiQyhpCvfs0VS7TWJxN-MaUVj/view?usp=drivesdk" TargetMode="External"/><Relationship Id="rId10887" Type="http://schemas.openxmlformats.org/officeDocument/2006/relationships/hyperlink" Target="https://drive.google.com/file/d/1On6m8OXak0hU4OJgcklqmTYfX2LDd9aD/view?usp=drivesdk" TargetMode="External"/><Relationship Id="rId10884" Type="http://schemas.openxmlformats.org/officeDocument/2006/relationships/hyperlink" Target="https://drive.google.com/file/d/1Z7kJdCRnCyM5JSjyOfvAQSHWbDvazBmM/view?usp=drivesdk" TargetMode="External"/><Relationship Id="rId10885" Type="http://schemas.openxmlformats.org/officeDocument/2006/relationships/hyperlink" Target="https://drive.google.com/file/d/1ywT0984jm3JtJULjnAtE46u6SKxPIx6Z/view?usp=drivesdk" TargetMode="External"/><Relationship Id="rId5581" Type="http://schemas.openxmlformats.org/officeDocument/2006/relationships/hyperlink" Target="https://drive.google.com/file/d/1XI-hy3n9s0tmJhVfOe4VFdPuEEp09-JB/view?usp=drivesdk" TargetMode="External"/><Relationship Id="rId5582" Type="http://schemas.openxmlformats.org/officeDocument/2006/relationships/hyperlink" Target="https://drive.google.com/file/d/1qJsOpU2MKIFCyn888gfsjIi8pxCTdRlt/view?usp=drivesdk" TargetMode="External"/><Relationship Id="rId4251" Type="http://schemas.openxmlformats.org/officeDocument/2006/relationships/hyperlink" Target="https://drive.google.com/file/d/1ZUAzWH8Kz2SHL5zAb8EHUwDOeUfetvyx/view?usp=drivesdk" TargetMode="External"/><Relationship Id="rId10888" Type="http://schemas.openxmlformats.org/officeDocument/2006/relationships/hyperlink" Target="https://drive.google.com/file/d/1ihwc7kAzF9F-0AvuqHtdpY4xBDJLT7dx/view?usp=drivesdk" TargetMode="External"/><Relationship Id="rId4250" Type="http://schemas.openxmlformats.org/officeDocument/2006/relationships/hyperlink" Target="https://drive.google.com/file/d/1xWii42JPHrlKs2Iky1C0yLsU_S0VwVVz/view?usp=drivesdk" TargetMode="External"/><Relationship Id="rId5580" Type="http://schemas.openxmlformats.org/officeDocument/2006/relationships/hyperlink" Target="https://drive.google.com/file/d/1skqlW_NE3QdmsvrzrujCHP903UdSEXMO/view?usp=drivesdk" TargetMode="External"/><Relationship Id="rId10889" Type="http://schemas.openxmlformats.org/officeDocument/2006/relationships/hyperlink" Target="https://drive.google.com/file/d/1po9VqjEa8nzY-kqlfWeGpxje35wEHNPn/view?usp=drivesdk" TargetMode="External"/><Relationship Id="rId4253" Type="http://schemas.openxmlformats.org/officeDocument/2006/relationships/hyperlink" Target="https://drive.google.com/file/d/1z65UZkvSxAJW3tbXpK_8VHXMOlM2kOLK/view?usp=drivesdk" TargetMode="External"/><Relationship Id="rId5585" Type="http://schemas.openxmlformats.org/officeDocument/2006/relationships/hyperlink" Target="https://drive.google.com/file/d/1SNUnkwYY4X4iuoeSmNdUdv7lVJz0zUwm/view?usp=drivesdk" TargetMode="External"/><Relationship Id="rId4252" Type="http://schemas.openxmlformats.org/officeDocument/2006/relationships/hyperlink" Target="https://drive.google.com/file/d/1A341rgEjp9W6CRYmn6J-V1zhu4_st2Je/view?usp=drivesdk" TargetMode="External"/><Relationship Id="rId5586" Type="http://schemas.openxmlformats.org/officeDocument/2006/relationships/hyperlink" Target="https://drive.google.com/file/d/1lcfCnSRR0l1OrgzQqn9GVK4p7uBTHwHo/view?usp=drivesdk" TargetMode="External"/><Relationship Id="rId4255" Type="http://schemas.openxmlformats.org/officeDocument/2006/relationships/hyperlink" Target="https://drive.google.com/file/d/12wOSOv84bdzWhYFDih-ilU88kw0u18ss/view?usp=drivesdk" TargetMode="External"/><Relationship Id="rId5583" Type="http://schemas.openxmlformats.org/officeDocument/2006/relationships/hyperlink" Target="https://drive.google.com/file/d/1y-h50PvwJd7IgUEdOLhQO8H3jhTiHR7c/view?usp=drivesdk" TargetMode="External"/><Relationship Id="rId4254" Type="http://schemas.openxmlformats.org/officeDocument/2006/relationships/hyperlink" Target="https://drive.google.com/file/d/17tDadOkkO17D5hF5xml_IPShNMp4spua/view?usp=drivesdk" TargetMode="External"/><Relationship Id="rId5584" Type="http://schemas.openxmlformats.org/officeDocument/2006/relationships/hyperlink" Target="https://drive.google.com/file/d/1u-TK0oRRB_LHxaJsb_MunTYtkRpzXIL-/view?usp=drivesdk" TargetMode="External"/><Relationship Id="rId4257" Type="http://schemas.openxmlformats.org/officeDocument/2006/relationships/hyperlink" Target="https://drive.google.com/file/d/1lgIIpy0O6rAw281yqJLVhZGPGYokxtDX/view?usp=drivesdk" TargetMode="External"/><Relationship Id="rId5589" Type="http://schemas.openxmlformats.org/officeDocument/2006/relationships/hyperlink" Target="https://drive.google.com/file/d/1Uc2kSE1sF68WZwrNx_GQrjt6xPBlWIUo/view?usp=drivesdk" TargetMode="External"/><Relationship Id="rId10882" Type="http://schemas.openxmlformats.org/officeDocument/2006/relationships/hyperlink" Target="https://drive.google.com/file/d/1253LNP3iyc16RqVfa1UzBkvrkt1GVQR0/view?usp=drivesdk" TargetMode="External"/><Relationship Id="rId4256" Type="http://schemas.openxmlformats.org/officeDocument/2006/relationships/hyperlink" Target="https://drive.google.com/file/d/1vJymLDc-xurywwzNnsZdJAltSblw0Dxz/view?usp=drivesdk" TargetMode="External"/><Relationship Id="rId10883" Type="http://schemas.openxmlformats.org/officeDocument/2006/relationships/hyperlink" Target="https://drive.google.com/file/d/1C9RgW_QlMkmUMXrwAIPNQHr2GX3vzqK2/view?usp=drivesdk" TargetMode="External"/><Relationship Id="rId4259" Type="http://schemas.openxmlformats.org/officeDocument/2006/relationships/hyperlink" Target="https://drive.google.com/file/d/18GWWVVTwXVFdpD17_HnSYCrI_C4Pg4Hs/view?usp=drivesdk" TargetMode="External"/><Relationship Id="rId5587" Type="http://schemas.openxmlformats.org/officeDocument/2006/relationships/hyperlink" Target="https://drive.google.com/file/d/19Mzyesi7HLtPznPITosMIvUHZA6fRGgf/view?usp=drivesdk" TargetMode="External"/><Relationship Id="rId10880" Type="http://schemas.openxmlformats.org/officeDocument/2006/relationships/hyperlink" Target="https://drive.google.com/file/d/176cX7kXolGzOQ2Guo1w8n4FSyAu9csTs/view?usp=drivesdk" TargetMode="External"/><Relationship Id="rId4258" Type="http://schemas.openxmlformats.org/officeDocument/2006/relationships/hyperlink" Target="https://drive.google.com/file/d/1XDY73PMO4XgmHH-JmIsbxSe0mVn9gl3o/view?usp=drivesdk" TargetMode="External"/><Relationship Id="rId5588" Type="http://schemas.openxmlformats.org/officeDocument/2006/relationships/hyperlink" Target="https://drive.google.com/file/d/1JcLHJBu6UkobmnuVb76FVW4lJjnNxpRJ/view?usp=drivesdk" TargetMode="External"/><Relationship Id="rId10881" Type="http://schemas.openxmlformats.org/officeDocument/2006/relationships/hyperlink" Target="https://drive.google.com/file/d/1zLfsAtQxb7oiDuaRehfqxIOJCtxtENVY/view?usp=drivesdk" TargetMode="External"/><Relationship Id="rId10817" Type="http://schemas.openxmlformats.org/officeDocument/2006/relationships/hyperlink" Target="https://drive.google.com/file/d/1dk33p-zw0IEOU58s3nL_gTyxuxHqN3Ki/view?usp=drivesdk" TargetMode="External"/><Relationship Id="rId10818" Type="http://schemas.openxmlformats.org/officeDocument/2006/relationships/hyperlink" Target="https://drive.google.com/file/d/1p8JqezGKIzfyTfdS7YQcWmpz3LXmTnjd/view?usp=drivesdk" TargetMode="External"/><Relationship Id="rId10815" Type="http://schemas.openxmlformats.org/officeDocument/2006/relationships/hyperlink" Target="https://drive.google.com/file/d/1Rm5HrCKL9uB8gqGgJxw_2D6_ywGrOOLn/view?usp=drivesdk" TargetMode="External"/><Relationship Id="rId10816" Type="http://schemas.openxmlformats.org/officeDocument/2006/relationships/hyperlink" Target="https://drive.google.com/file/d/1dKC8xHNRkcTrRZfVosd_oUZQuszGp8W0/view?usp=drivesdk" TargetMode="External"/><Relationship Id="rId10819" Type="http://schemas.openxmlformats.org/officeDocument/2006/relationships/hyperlink" Target="https://drive.google.com/file/d/1bJJd8WJ-m72tFSIboLyETGiwkvDvsHki/view?usp=drivesdk" TargetMode="External"/><Relationship Id="rId10810" Type="http://schemas.openxmlformats.org/officeDocument/2006/relationships/hyperlink" Target="https://drive.google.com/file/d/13HFDt7wk1aywlGFd0uyVhL5UNsGklIeN/view?usp=drivesdk" TargetMode="External"/><Relationship Id="rId10813" Type="http://schemas.openxmlformats.org/officeDocument/2006/relationships/hyperlink" Target="https://drive.google.com/file/d/1HQ3v8EZS5hMkYBxInSrwOg56-OwqYPr-/view?usp=drivesdk" TargetMode="External"/><Relationship Id="rId10814" Type="http://schemas.openxmlformats.org/officeDocument/2006/relationships/hyperlink" Target="https://drive.google.com/file/d/1OTPAJaKPtcZXZXVUn3F7H-gNNgVNfyF-/view?usp=drivesdk" TargetMode="External"/><Relationship Id="rId10811" Type="http://schemas.openxmlformats.org/officeDocument/2006/relationships/hyperlink" Target="https://drive.google.com/file/d/1XF4RQVzTRMLk0-BXIR_nVq0ZVN-dytJ0/view?usp=drivesdk" TargetMode="External"/><Relationship Id="rId10812" Type="http://schemas.openxmlformats.org/officeDocument/2006/relationships/hyperlink" Target="https://drive.google.com/file/d/1POQkcmXp80Jx62imy5G1riQDzcQm5-aE/view?usp=drivesdk" TargetMode="External"/><Relationship Id="rId10828" Type="http://schemas.openxmlformats.org/officeDocument/2006/relationships/hyperlink" Target="https://drive.google.com/file/d/12RxRrzolh-JfIsmo5APjWEjUiPIiU7Eq/view?usp=drivesdk" TargetMode="External"/><Relationship Id="rId10829" Type="http://schemas.openxmlformats.org/officeDocument/2006/relationships/hyperlink" Target="https://drive.google.com/file/d/1Hr58bLGuuQm4zNVf1m8DjWZhuB6_Oqfp/view?usp=drivesdk" TargetMode="External"/><Relationship Id="rId10826" Type="http://schemas.openxmlformats.org/officeDocument/2006/relationships/hyperlink" Target="https://drive.google.com/file/d/1wIxT8YeF_E-y_n8F51E-TuE1TFEdb6tz/view?usp=drivesdk" TargetMode="External"/><Relationship Id="rId10827" Type="http://schemas.openxmlformats.org/officeDocument/2006/relationships/hyperlink" Target="https://drive.google.com/file/d/1T7QOv8BvpHEoHpvh-VvVSqmBfdrSyv-9/view?usp=drivesdk" TargetMode="External"/><Relationship Id="rId10820" Type="http://schemas.openxmlformats.org/officeDocument/2006/relationships/hyperlink" Target="https://drive.google.com/file/d/1nX34SpFM3AoIxiaM1KxBe1M_7T_ehLun/view?usp=drivesdk" TargetMode="External"/><Relationship Id="rId10821" Type="http://schemas.openxmlformats.org/officeDocument/2006/relationships/hyperlink" Target="https://drive.google.com/file/d/1HbBcyezo9oqVUtKACHwzBMcD1bs-W5Uz/view?usp=drivesdk" TargetMode="External"/><Relationship Id="rId10824" Type="http://schemas.openxmlformats.org/officeDocument/2006/relationships/hyperlink" Target="https://drive.google.com/file/d/1Tv8Pn9VB1Q5efcfqu7-hhSik0VocKGfw/view?usp=drivesdk" TargetMode="External"/><Relationship Id="rId10825" Type="http://schemas.openxmlformats.org/officeDocument/2006/relationships/hyperlink" Target="https://drive.google.com/file/d/1vL-o9OVMyf1lzcwHvvv6ZYWXlK8cZQ4J/view?usp=drivesdk" TargetMode="External"/><Relationship Id="rId10822" Type="http://schemas.openxmlformats.org/officeDocument/2006/relationships/hyperlink" Target="https://drive.google.com/file/d/145F2AvtfgsfpNN36U5vIYkb19bT1dIbu/view?usp=drivesdk" TargetMode="External"/><Relationship Id="rId10823" Type="http://schemas.openxmlformats.org/officeDocument/2006/relationships/hyperlink" Target="https://drive.google.com/file/d/1uDn3Fk1Jh0PotkrG3QUGB74GU05EEU3-/view?usp=drivesdk" TargetMode="External"/><Relationship Id="rId10806" Type="http://schemas.openxmlformats.org/officeDocument/2006/relationships/hyperlink" Target="https://drive.google.com/file/d/1FoPODbhcXS-Qy8nQgO1dDR_wLrecx1AY/view?usp=drivesdk" TargetMode="External"/><Relationship Id="rId10807" Type="http://schemas.openxmlformats.org/officeDocument/2006/relationships/hyperlink" Target="https://drive.google.com/file/d/19S96eFT2V9Ri9jR1Mf7TcStGCawKLUpv/view?usp=drivesdk" TargetMode="External"/><Relationship Id="rId10804" Type="http://schemas.openxmlformats.org/officeDocument/2006/relationships/hyperlink" Target="https://drive.google.com/file/d/1xkwcOWsRPwm5R8fXcAOYPc9bF4BPCVQ1/view?usp=drivesdk" TargetMode="External"/><Relationship Id="rId10805" Type="http://schemas.openxmlformats.org/officeDocument/2006/relationships/hyperlink" Target="https://drive.google.com/file/d/1-B7IJaHcgP3KrP0fjuCTJbBR4KSabx38/view?usp=drivesdk" TargetMode="External"/><Relationship Id="rId10808" Type="http://schemas.openxmlformats.org/officeDocument/2006/relationships/hyperlink" Target="https://drive.google.com/file/d/1jGDr7vh2-IhcMnyGuM7ddbzFPyWtdMUM/view?usp=drivesdk" TargetMode="External"/><Relationship Id="rId10809" Type="http://schemas.openxmlformats.org/officeDocument/2006/relationships/hyperlink" Target="https://drive.google.com/file/d/1AOkeCjloUZzD-rLPRx3uVcW-3FdqR52D/view?usp=drivesdk" TargetMode="External"/><Relationship Id="rId10802" Type="http://schemas.openxmlformats.org/officeDocument/2006/relationships/hyperlink" Target="https://drive.google.com/file/d/1Qp8owfoKTPkr0L0NuWNwjAc1mG1KVb9t/view?usp=drivesdk" TargetMode="External"/><Relationship Id="rId10803" Type="http://schemas.openxmlformats.org/officeDocument/2006/relationships/hyperlink" Target="https://drive.google.com/file/d/1VdBPNbyQ3FHIE5gOGWK4sHTXAPE6AWIQ/view?usp=drivesdk" TargetMode="External"/><Relationship Id="rId10800" Type="http://schemas.openxmlformats.org/officeDocument/2006/relationships/hyperlink" Target="https://drive.google.com/file/d/1FlgqUeiLgC40M_J-XJ5KZ1LaERBGPGhw/view?usp=drivesdk" TargetMode="External"/><Relationship Id="rId10801" Type="http://schemas.openxmlformats.org/officeDocument/2006/relationships/hyperlink" Target="https://drive.google.com/file/d/12o2W-BUKfHcoKWUxaCvE0WOw-HbNGrIr/view?usp=drivesdk" TargetMode="External"/><Relationship Id="rId6902" Type="http://schemas.openxmlformats.org/officeDocument/2006/relationships/hyperlink" Target="https://drive.google.com/file/d/1Qqtwcs9hpMY3hAs2auH5IdyX1xKDxjf_/view?usp=drivesdk" TargetMode="External"/><Relationship Id="rId6903" Type="http://schemas.openxmlformats.org/officeDocument/2006/relationships/hyperlink" Target="https://drive.google.com/file/d/1vHT6BRli4e6tXH9B_gx3at_FKHcEnLX-/view?usp=drivesdk" TargetMode="External"/><Relationship Id="rId6900" Type="http://schemas.openxmlformats.org/officeDocument/2006/relationships/hyperlink" Target="https://drive.google.com/file/d/1gka5_tCI6icGgZdMx9DuTtQlbwk7B8U0/view?usp=drivesdk" TargetMode="External"/><Relationship Id="rId6901" Type="http://schemas.openxmlformats.org/officeDocument/2006/relationships/hyperlink" Target="https://drive.google.com/file/d/1o19QMSUOTaO5-EGU1fDhRNJ8iA6Tww-m/view?usp=drivesdk" TargetMode="External"/><Relationship Id="rId6906" Type="http://schemas.openxmlformats.org/officeDocument/2006/relationships/hyperlink" Target="https://drive.google.com/file/d/1V-RlqvnjuOlGTzdyMwHPE1YQ-3VySPMx/view?usp=drivesdk" TargetMode="External"/><Relationship Id="rId6907" Type="http://schemas.openxmlformats.org/officeDocument/2006/relationships/hyperlink" Target="https://drive.google.com/file/d/1lyZzq3twS6qBQu14LL5NK4fr0QJIc7YA/view?usp=drivesdk" TargetMode="External"/><Relationship Id="rId6904" Type="http://schemas.openxmlformats.org/officeDocument/2006/relationships/hyperlink" Target="https://drive.google.com/file/d/1XUSo7zOQvVrZPFaYGOgbixhDjaajk_Dy/view?usp=drivesdk" TargetMode="External"/><Relationship Id="rId6905" Type="http://schemas.openxmlformats.org/officeDocument/2006/relationships/hyperlink" Target="https://drive.google.com/file/d/1vW7_hsgoXkQRF-JTOvDPa1s_dQW1KUqj/view?usp=drivesdk" TargetMode="External"/><Relationship Id="rId6908" Type="http://schemas.openxmlformats.org/officeDocument/2006/relationships/hyperlink" Target="https://drive.google.com/file/d/1NmnE_A_zbyDFyjMlfhZSeO-BJGqpFm0J/view?usp=drivesdk" TargetMode="External"/><Relationship Id="rId6909" Type="http://schemas.openxmlformats.org/officeDocument/2006/relationships/hyperlink" Target="https://drive.google.com/file/d/1RDtQPt5XJDDa7ZqbU1HCkHiq6nPVfnMh/view?usp=drivesdk" TargetMode="External"/><Relationship Id="rId6924" Type="http://schemas.openxmlformats.org/officeDocument/2006/relationships/hyperlink" Target="https://drive.google.com/file/d/1sGJTYuDx3Si1pqbRAbGxS7CLS7TviwSO/view?usp=drivesdk" TargetMode="External"/><Relationship Id="rId6925" Type="http://schemas.openxmlformats.org/officeDocument/2006/relationships/hyperlink" Target="https://drive.google.com/file/d/18qRtjrpzPBTuz8teK3StXqPRDL8ANC3R/view?usp=drivesdk" TargetMode="External"/><Relationship Id="rId6922" Type="http://schemas.openxmlformats.org/officeDocument/2006/relationships/hyperlink" Target="https://drive.google.com/file/d/1L9LW_3qtsmWdH4sqqrerzyIgOD3lnXwe/view?usp=drivesdk" TargetMode="External"/><Relationship Id="rId6923" Type="http://schemas.openxmlformats.org/officeDocument/2006/relationships/hyperlink" Target="https://drive.google.com/file/d/1yZhtjhakWI1jRPH5rc0kwtT2E7iW5LYC/view?usp=drivesdk" TargetMode="External"/><Relationship Id="rId6928" Type="http://schemas.openxmlformats.org/officeDocument/2006/relationships/hyperlink" Target="https://drive.google.com/file/d/13bpuVC3hoYHwuFuYQ0lA4-PoyGmC8zGw/view?usp=drivesdk" TargetMode="External"/><Relationship Id="rId6929" Type="http://schemas.openxmlformats.org/officeDocument/2006/relationships/hyperlink" Target="https://drive.google.com/file/d/1Z_OCrIFt9WPNJMbIgjGu8VGld0p6zhhX/view?usp=drivesdk" TargetMode="External"/><Relationship Id="rId6926" Type="http://schemas.openxmlformats.org/officeDocument/2006/relationships/hyperlink" Target="https://drive.google.com/file/d/11CMf67sBRbGJUJ3pAm6NcylVJi2w5p3O/view?usp=drivesdk" TargetMode="External"/><Relationship Id="rId6927" Type="http://schemas.openxmlformats.org/officeDocument/2006/relationships/hyperlink" Target="https://drive.google.com/file/d/1O5jcJwWLiymCgw8qOV-EUdd3jR92sYrz/view?usp=drivesdk" TargetMode="External"/><Relationship Id="rId409" Type="http://schemas.openxmlformats.org/officeDocument/2006/relationships/hyperlink" Target="https://drive.google.com/file/d/1p7fkGVt8f7z4hyepQqsPy0bjCBwTCqGT/view?usp=drivesdk" TargetMode="External"/><Relationship Id="rId404" Type="http://schemas.openxmlformats.org/officeDocument/2006/relationships/hyperlink" Target="https://drive.google.com/file/d/11-IQpdFsENSafeZ66kFkJNtJT6cHE7TR/view?usp=drivesdk" TargetMode="External"/><Relationship Id="rId403" Type="http://schemas.openxmlformats.org/officeDocument/2006/relationships/hyperlink" Target="https://drive.google.com/file/d/184t0RnoelMiIAnHi95k2pczszY1U5wll/view?usp=drivesdk" TargetMode="External"/><Relationship Id="rId402" Type="http://schemas.openxmlformats.org/officeDocument/2006/relationships/hyperlink" Target="https://drive.google.com/file/d/1Egb15Kt19wDlxz7Xkyo8wPw8r6Bm_7TA/view?usp=drivesdk" TargetMode="External"/><Relationship Id="rId401" Type="http://schemas.openxmlformats.org/officeDocument/2006/relationships/hyperlink" Target="https://drive.google.com/file/d/1TzLbzv8x5d749_MKNLmjrokHSykTMImI/view?usp=drivesdk" TargetMode="External"/><Relationship Id="rId408" Type="http://schemas.openxmlformats.org/officeDocument/2006/relationships/hyperlink" Target="https://drive.google.com/file/d/1RELTTwBu_gbZMN_3XtgTqb_JULnswg1H/view?usp=drivesdk" TargetMode="External"/><Relationship Id="rId407" Type="http://schemas.openxmlformats.org/officeDocument/2006/relationships/hyperlink" Target="https://drive.google.com/file/d/1FCFBpL60UZGTA2CZqEHVYSoSEmxJuuE1/view?usp=drivesdk" TargetMode="External"/><Relationship Id="rId406" Type="http://schemas.openxmlformats.org/officeDocument/2006/relationships/hyperlink" Target="https://drive.google.com/file/d/1cX9WIldZPP1YTAcf4UhMvOcJIlil_E6k/view?usp=drivesdk" TargetMode="External"/><Relationship Id="rId405" Type="http://schemas.openxmlformats.org/officeDocument/2006/relationships/hyperlink" Target="https://drive.google.com/file/d/1O5XYF_LzLpkC4X2ve8D_SgFXyrYOQkUm/view?usp=drivesdk" TargetMode="External"/><Relationship Id="rId400" Type="http://schemas.openxmlformats.org/officeDocument/2006/relationships/hyperlink" Target="https://drive.google.com/file/d/1MOhvoeL1LWpTVGY1QeIo7lz0D49POIqD/view?usp=drivesdk" TargetMode="External"/><Relationship Id="rId6920" Type="http://schemas.openxmlformats.org/officeDocument/2006/relationships/hyperlink" Target="https://drive.google.com/file/d/1rC99Y-sOXAOTvK1Oecg8zOSsbZTGUeSB/view?usp=drivesdk" TargetMode="External"/><Relationship Id="rId6921" Type="http://schemas.openxmlformats.org/officeDocument/2006/relationships/hyperlink" Target="https://drive.google.com/file/d/1zig-lmJVOTmstATHXnt1ijsgZVVqdoBU/view?usp=drivesdk" TargetMode="External"/><Relationship Id="rId6913" Type="http://schemas.openxmlformats.org/officeDocument/2006/relationships/hyperlink" Target="https://drive.google.com/file/d/1Aky6_ybY7P33lmN6z1zgFNugXkLRqrTe/view?usp=drivesdk" TargetMode="External"/><Relationship Id="rId6914" Type="http://schemas.openxmlformats.org/officeDocument/2006/relationships/hyperlink" Target="https://drive.google.com/file/d/1BooB-izGZOOtmaxWutoACwy6himUsZQT/view?usp=drivesdk" TargetMode="External"/><Relationship Id="rId6911" Type="http://schemas.openxmlformats.org/officeDocument/2006/relationships/hyperlink" Target="https://drive.google.com/file/d/1vva2c0LFFGd_El4iQ9gtSoC43gIcY7FP/view?usp=drivesdk" TargetMode="External"/><Relationship Id="rId6912" Type="http://schemas.openxmlformats.org/officeDocument/2006/relationships/hyperlink" Target="https://drive.google.com/file/d/14Cf6knXobAAkmZEFwCkfXSUVZjEW8TOm/view?usp=drivesdk" TargetMode="External"/><Relationship Id="rId6917" Type="http://schemas.openxmlformats.org/officeDocument/2006/relationships/hyperlink" Target="https://drive.google.com/file/d/1SKvOTL2Hqt3fGUMgvNc4eXjh6gYsN-oI/view?usp=drivesdk" TargetMode="External"/><Relationship Id="rId6918" Type="http://schemas.openxmlformats.org/officeDocument/2006/relationships/hyperlink" Target="https://drive.google.com/file/d/1fYP6cS52Ty-0eK4_mdqPvZ6OsbJeswSw/view?usp=drivesdk" TargetMode="External"/><Relationship Id="rId6915" Type="http://schemas.openxmlformats.org/officeDocument/2006/relationships/hyperlink" Target="https://drive.google.com/file/d/1RNLdQSNp8Xe3DyytytErJTGeXQpFcPx1/view?usp=drivesdk" TargetMode="External"/><Relationship Id="rId6916" Type="http://schemas.openxmlformats.org/officeDocument/2006/relationships/hyperlink" Target="https://drive.google.com/file/d/1GFQWetifeqtono55JeJqQfkaGsNVCVeG/view?usp=drivesdk" TargetMode="External"/><Relationship Id="rId6919" Type="http://schemas.openxmlformats.org/officeDocument/2006/relationships/hyperlink" Target="https://drive.google.com/file/d/1eQn7hmQlaK8YjCmdVuvQ78qCGFICSPUI/view?usp=drivesdk" TargetMode="External"/><Relationship Id="rId6910" Type="http://schemas.openxmlformats.org/officeDocument/2006/relationships/hyperlink" Target="https://drive.google.com/file/d/1-VUHHirePeb_ar6QZRZ3rY999Z05IEEU/view?usp=drivesdk" TargetMode="External"/><Relationship Id="rId4327" Type="http://schemas.openxmlformats.org/officeDocument/2006/relationships/hyperlink" Target="https://drive.google.com/file/d/1_zWXPRtGS4LUCAwYrTklfU_j1k829Z_8/view?usp=drivesdk" TargetMode="External"/><Relationship Id="rId5659" Type="http://schemas.openxmlformats.org/officeDocument/2006/relationships/hyperlink" Target="https://drive.google.com/file/d/1JMeWsDOPEwEW0YN2dW6uuRC3r7neFhaR/view?usp=drivesdk" TargetMode="External"/><Relationship Id="rId4326" Type="http://schemas.openxmlformats.org/officeDocument/2006/relationships/hyperlink" Target="https://drive.google.com/file/d/1q9UiY4v8kBro-JmB1oxVWMMHez_T6EPE/view?usp=drivesdk" TargetMode="External"/><Relationship Id="rId4329" Type="http://schemas.openxmlformats.org/officeDocument/2006/relationships/hyperlink" Target="https://drive.google.com/file/d/1GJ4lok0kBVKGRbqvocku3cb9WE8OxczE/view?usp=drivesdk" TargetMode="External"/><Relationship Id="rId5657" Type="http://schemas.openxmlformats.org/officeDocument/2006/relationships/hyperlink" Target="https://drive.google.com/file/d/1Er_MyxR6nOlSdZeVkVQmpPuiHtJypuRN/view?usp=drivesdk" TargetMode="External"/><Relationship Id="rId6988" Type="http://schemas.openxmlformats.org/officeDocument/2006/relationships/hyperlink" Target="https://drive.google.com/file/d/1D8ckXNeP8aw1TEf3XhcOVicjv7YKRDtm/view?usp=drivesdk" TargetMode="External"/><Relationship Id="rId4328" Type="http://schemas.openxmlformats.org/officeDocument/2006/relationships/hyperlink" Target="https://drive.google.com/file/d/115yabMqP4DkjklHGAe6W5EWyPGwhtoMT/view?usp=drivesdk" TargetMode="External"/><Relationship Id="rId5658" Type="http://schemas.openxmlformats.org/officeDocument/2006/relationships/hyperlink" Target="https://drive.google.com/file/d/1-scTw1sTWxQviLDiWiZuhKvquLjq7b4M/view?usp=drivesdk" TargetMode="External"/><Relationship Id="rId6989" Type="http://schemas.openxmlformats.org/officeDocument/2006/relationships/hyperlink" Target="https://drive.google.com/file/d/1wCNz-XFnFFygKIe5dYzHpLMCA4EV_Fev/view?usp=drivesdk" TargetMode="External"/><Relationship Id="rId469" Type="http://schemas.openxmlformats.org/officeDocument/2006/relationships/hyperlink" Target="https://drive.google.com/file/d/1Jy8FxGSqaij4r-EzptyHZ0BdDM1Xzcf2/view?usp=drivesdk" TargetMode="External"/><Relationship Id="rId468" Type="http://schemas.openxmlformats.org/officeDocument/2006/relationships/hyperlink" Target="https://drive.google.com/file/d/1JtAyTiROaUiKMGNNR2ohqcIHx2pcrSDp/view?usp=drivesdk" TargetMode="External"/><Relationship Id="rId467" Type="http://schemas.openxmlformats.org/officeDocument/2006/relationships/hyperlink" Target="https://drive.google.com/file/d/1rF-Qxdb0-9jHVshv5YHeuss5kmvtZtnZ/view?usp=drivesdk" TargetMode="External"/><Relationship Id="rId462" Type="http://schemas.openxmlformats.org/officeDocument/2006/relationships/hyperlink" Target="https://drive.google.com/file/d/10mtwbTe6umWJgQ7ldcWw4y0-BTfR6GE8/view?usp=drivesdk" TargetMode="External"/><Relationship Id="rId5651" Type="http://schemas.openxmlformats.org/officeDocument/2006/relationships/hyperlink" Target="https://drive.google.com/file/d/1JAzFZAs_8X_eibIfSQOgUo1pQkeOOFpr/view?usp=drivesdk" TargetMode="External"/><Relationship Id="rId6982" Type="http://schemas.openxmlformats.org/officeDocument/2006/relationships/hyperlink" Target="https://drive.google.com/file/d/1qJdfgnQxFw1kDVlSYTF92jb9pgkIseMc/view?usp=drivesdk" TargetMode="External"/><Relationship Id="rId461" Type="http://schemas.openxmlformats.org/officeDocument/2006/relationships/hyperlink" Target="https://drive.google.com/file/d/1wDiKHTZKxiglScbmMCtcWMJcUWkcaqAz/view?usp=drivesdk" TargetMode="External"/><Relationship Id="rId5652" Type="http://schemas.openxmlformats.org/officeDocument/2006/relationships/hyperlink" Target="https://drive.google.com/file/d/1_7dYNQASIiYF-ypsKTyGx00XxfJu8ixC/view?usp=drivesdk" TargetMode="External"/><Relationship Id="rId6983" Type="http://schemas.openxmlformats.org/officeDocument/2006/relationships/hyperlink" Target="https://drive.google.com/file/d/19lsJ03XeInr_s8L-wCm30dkUIYoL2yQP/view?usp=drivesdk" TargetMode="External"/><Relationship Id="rId460" Type="http://schemas.openxmlformats.org/officeDocument/2006/relationships/hyperlink" Target="https://drive.google.com/file/d/19474jNRMXBV90N9w6uHucO6lc20pSdr9/view?usp=drivesdk" TargetMode="External"/><Relationship Id="rId4321" Type="http://schemas.openxmlformats.org/officeDocument/2006/relationships/hyperlink" Target="https://drive.google.com/file/d/1dTH-srSayfLWwTzQEF-MBhNLHWihOv4H/view?usp=drivesdk" TargetMode="External"/><Relationship Id="rId6980" Type="http://schemas.openxmlformats.org/officeDocument/2006/relationships/hyperlink" Target="https://drive.google.com/file/d/1m3uHS3KoC_ROBbh6tmqgmkZhCk51XAZ9/view?usp=drivesdk" TargetMode="External"/><Relationship Id="rId4320" Type="http://schemas.openxmlformats.org/officeDocument/2006/relationships/hyperlink" Target="https://drive.google.com/file/d/1o0DjfOZeG3ZBTqqC2MWqMW8sMr9n688a/view?usp=drivesdk" TargetMode="External"/><Relationship Id="rId5650" Type="http://schemas.openxmlformats.org/officeDocument/2006/relationships/hyperlink" Target="https://drive.google.com/file/d/1bPFUhy0xLytv4z-kLhoQiVk4mXOHMGEM/view?usp=drivesdk" TargetMode="External"/><Relationship Id="rId6981" Type="http://schemas.openxmlformats.org/officeDocument/2006/relationships/hyperlink" Target="https://drive.google.com/file/d/1z15M_9N97cyH10IsPDXkMSVasG-E4Nw0/view?usp=drivesdk" TargetMode="External"/><Relationship Id="rId466" Type="http://schemas.openxmlformats.org/officeDocument/2006/relationships/hyperlink" Target="https://drive.google.com/file/d/139MPdYJsUkYvOEmzz-y6ZY-0EyEcSLhf/view?usp=drivesdk" TargetMode="External"/><Relationship Id="rId4323" Type="http://schemas.openxmlformats.org/officeDocument/2006/relationships/hyperlink" Target="https://drive.google.com/file/d/1r6HaBEpRj8u0Q8HxkVank_Ax27-BEpXx/view?usp=drivesdk" TargetMode="External"/><Relationship Id="rId5655" Type="http://schemas.openxmlformats.org/officeDocument/2006/relationships/hyperlink" Target="https://drive.google.com/file/d/1xdprstGhEiQ_uke3-KJf4eKAAJytw0Kv/view?usp=drivesdk" TargetMode="External"/><Relationship Id="rId6986" Type="http://schemas.openxmlformats.org/officeDocument/2006/relationships/hyperlink" Target="https://drive.google.com/file/d/1qR6GzfVfmcjiJgzK9XKzOJM13126nlzw/view?usp=drivesdk" TargetMode="External"/><Relationship Id="rId465" Type="http://schemas.openxmlformats.org/officeDocument/2006/relationships/hyperlink" Target="https://drive.google.com/file/d/1K81AO_EeSFz9YNEKSDtcxpzQJrSP3Ms9/view?usp=drivesdk" TargetMode="External"/><Relationship Id="rId4322" Type="http://schemas.openxmlformats.org/officeDocument/2006/relationships/hyperlink" Target="https://drive.google.com/file/d/13shStcdSxZ5J7JMcwuicOZOtJg5mmgbC/view?usp=drivesdk" TargetMode="External"/><Relationship Id="rId5656" Type="http://schemas.openxmlformats.org/officeDocument/2006/relationships/hyperlink" Target="https://drive.google.com/file/d/1BlHIdvpA5qJDktPJV_n9EUJQeir5IeDQ/view?usp=drivesdk" TargetMode="External"/><Relationship Id="rId6987" Type="http://schemas.openxmlformats.org/officeDocument/2006/relationships/hyperlink" Target="https://drive.google.com/file/d/1R2E_eOgLqXClL71CcHo2by6LFM-32Ah4/view?usp=drivesdk" TargetMode="External"/><Relationship Id="rId464" Type="http://schemas.openxmlformats.org/officeDocument/2006/relationships/hyperlink" Target="https://drive.google.com/file/d/1QNQLn8G05-ypJl2aBK-TR4XNKJTW-T0o/view?usp=drivesdk" TargetMode="External"/><Relationship Id="rId4325" Type="http://schemas.openxmlformats.org/officeDocument/2006/relationships/hyperlink" Target="https://drive.google.com/file/d/1EUStuBLU05I2xiFf247yoHowuxDgB-ED/view?usp=drivesdk" TargetMode="External"/><Relationship Id="rId5653" Type="http://schemas.openxmlformats.org/officeDocument/2006/relationships/hyperlink" Target="https://drive.google.com/file/d/1EiRWAunH8jZvYMaL6KtYmQumq390-2o3/view?usp=drivesdk" TargetMode="External"/><Relationship Id="rId6984" Type="http://schemas.openxmlformats.org/officeDocument/2006/relationships/hyperlink" Target="https://drive.google.com/file/d/16TxBkxGESk-HJG04e0lveVUoW_lDcNIJ/view?usp=drivesdk" TargetMode="External"/><Relationship Id="rId463" Type="http://schemas.openxmlformats.org/officeDocument/2006/relationships/hyperlink" Target="https://drive.google.com/file/d/1XjgLsouqoPU8I8tbJeoCjhP9ow5WPKxC/view?usp=drivesdk" TargetMode="External"/><Relationship Id="rId4324" Type="http://schemas.openxmlformats.org/officeDocument/2006/relationships/hyperlink" Target="https://drive.google.com/file/d/1JQV07MkEJi0RfokOJyvFqpkJfzu-UK3l/view?usp=drivesdk" TargetMode="External"/><Relationship Id="rId5654" Type="http://schemas.openxmlformats.org/officeDocument/2006/relationships/hyperlink" Target="https://drive.google.com/file/d/1xoZCTllNDfQObwBB7wJjfH2bEd62fNRT/view?usp=drivesdk" TargetMode="External"/><Relationship Id="rId6985" Type="http://schemas.openxmlformats.org/officeDocument/2006/relationships/hyperlink" Target="https://drive.google.com/file/d/1Lz4H7YXDs4zfx4AGX-ZBtmPVRMX_qmCo/view?usp=drivesdk" TargetMode="External"/><Relationship Id="rId4316" Type="http://schemas.openxmlformats.org/officeDocument/2006/relationships/hyperlink" Target="https://drive.google.com/file/d/1SwhUARwej7zuml2zABh-8SQkIQNE7b4T/view?usp=drivesdk" TargetMode="External"/><Relationship Id="rId5648" Type="http://schemas.openxmlformats.org/officeDocument/2006/relationships/hyperlink" Target="https://drive.google.com/file/d/1M4qVZAdUSl-yQRUr2EsK7-_tpzfQlEtx/view?usp=drivesdk" TargetMode="External"/><Relationship Id="rId6979" Type="http://schemas.openxmlformats.org/officeDocument/2006/relationships/hyperlink" Target="https://drive.google.com/file/d/1rEo6yyah8Pk9Z8cJICfr1YQJYw37LTRk/view?usp=drivesdk" TargetMode="External"/><Relationship Id="rId4315" Type="http://schemas.openxmlformats.org/officeDocument/2006/relationships/hyperlink" Target="https://drive.google.com/file/d/1cziMiP-oOFD4bIrOMy9BatAgLbXVkmBF/view?usp=drivesdk" TargetMode="External"/><Relationship Id="rId5649" Type="http://schemas.openxmlformats.org/officeDocument/2006/relationships/hyperlink" Target="https://drive.google.com/file/d/1Oymt861ek0laRUANe7iC5hzL_zxvzwsW/view?usp=drivesdk" TargetMode="External"/><Relationship Id="rId4318" Type="http://schemas.openxmlformats.org/officeDocument/2006/relationships/hyperlink" Target="https://drive.google.com/file/d/1igy16IbrRAbskV733xNFjc2ZETP-WlJn/view?usp=drivesdk" TargetMode="External"/><Relationship Id="rId5646" Type="http://schemas.openxmlformats.org/officeDocument/2006/relationships/hyperlink" Target="https://drive.google.com/file/d/1caRlUzNe1D4EKtHiLFqitfyPxF5PSyGF/view?usp=drivesdk" TargetMode="External"/><Relationship Id="rId6977" Type="http://schemas.openxmlformats.org/officeDocument/2006/relationships/hyperlink" Target="https://drive.google.com/file/d/15PYweRxLiVls29e2DUUU3BcI3Im7Vjw-/view?usp=drivesdk" TargetMode="External"/><Relationship Id="rId4317" Type="http://schemas.openxmlformats.org/officeDocument/2006/relationships/hyperlink" Target="https://drive.google.com/file/d/1C2zWqhS_Yr16RS4JEXhUXiYop5w3ywKP/view?usp=drivesdk" TargetMode="External"/><Relationship Id="rId5647" Type="http://schemas.openxmlformats.org/officeDocument/2006/relationships/hyperlink" Target="https://drive.google.com/file/d/1QWyWte-4tqHyPGVnvro2N_Bnj2vSzF3-/view?usp=drivesdk" TargetMode="External"/><Relationship Id="rId6978" Type="http://schemas.openxmlformats.org/officeDocument/2006/relationships/hyperlink" Target="https://drive.google.com/file/d/1jlPoLzBvWGujWEZGMdWniDhnAPY9bmIY/view?usp=drivesdk" TargetMode="External"/><Relationship Id="rId4319" Type="http://schemas.openxmlformats.org/officeDocument/2006/relationships/hyperlink" Target="https://drive.google.com/file/d/1xL5uIz8Q4TJJL-N95ch8kOB9nP_lGJP2/view?usp=drivesdk" TargetMode="External"/><Relationship Id="rId459" Type="http://schemas.openxmlformats.org/officeDocument/2006/relationships/hyperlink" Target="https://drive.google.com/file/d/1g3uzpgXET1cLrMl1ezItCS1z5YMeoWru/view?usp=drivesdk" TargetMode="External"/><Relationship Id="rId458" Type="http://schemas.openxmlformats.org/officeDocument/2006/relationships/hyperlink" Target="https://drive.google.com/file/d/1apMBlCYM__WgIqAIGwRljTBGAAFAr1J1/view?usp=drivesdk" TargetMode="External"/><Relationship Id="rId457" Type="http://schemas.openxmlformats.org/officeDocument/2006/relationships/hyperlink" Target="https://drive.google.com/file/d/1VC97V5XB9O8CqdOChmaH7JyYjKlMm9KV/view?usp=drivesdk" TargetMode="External"/><Relationship Id="rId456" Type="http://schemas.openxmlformats.org/officeDocument/2006/relationships/hyperlink" Target="https://drive.google.com/file/d/16RY77NOFIqZ0qR3hGOc6uPp14lJUCSBW/view?usp=drivesdk" TargetMode="External"/><Relationship Id="rId451" Type="http://schemas.openxmlformats.org/officeDocument/2006/relationships/hyperlink" Target="https://drive.google.com/file/d/1tOqEFAXqgMW6u5tSOIKKT2RNdqv5TSgs/view?usp=drivesdk" TargetMode="External"/><Relationship Id="rId5640" Type="http://schemas.openxmlformats.org/officeDocument/2006/relationships/hyperlink" Target="https://drive.google.com/file/d/1RH1AO2o5_TEeroNLlMXoDhgQma84dAFJ/view?usp=drivesdk" TargetMode="External"/><Relationship Id="rId6971" Type="http://schemas.openxmlformats.org/officeDocument/2006/relationships/hyperlink" Target="https://drive.google.com/file/d/16sOMCBxkV0rDzBcHULfrXyc6vjdTmOBc/view?usp=drivesdk" TargetMode="External"/><Relationship Id="rId450" Type="http://schemas.openxmlformats.org/officeDocument/2006/relationships/hyperlink" Target="https://drive.google.com/file/d/1sTT6FnXcN_W6KHyc13ikUdIFvQ7JK19f/view?usp=drivesdk" TargetMode="External"/><Relationship Id="rId5641" Type="http://schemas.openxmlformats.org/officeDocument/2006/relationships/hyperlink" Target="https://drive.google.com/file/d/1mTAsTAQph354rTzS9QrEUh7NTv2sLBQo/view?usp=drivesdk" TargetMode="External"/><Relationship Id="rId6972" Type="http://schemas.openxmlformats.org/officeDocument/2006/relationships/hyperlink" Target="https://drive.google.com/file/d/1W2kTgKDg0di_uuDDkqUhO_yTcFYWya_I/view?usp=drivesdk" TargetMode="External"/><Relationship Id="rId4310" Type="http://schemas.openxmlformats.org/officeDocument/2006/relationships/hyperlink" Target="https://drive.google.com/file/d/1gCXHj7CA0qEysRaK0ySH37cYGnsotliy/view?usp=drivesdk" TargetMode="External"/><Relationship Id="rId6970" Type="http://schemas.openxmlformats.org/officeDocument/2006/relationships/hyperlink" Target="https://drive.google.com/file/d/1LK7gv4uz9v-dpbxxf7dNp0gwtIHy06-8/view?usp=drivesdk" TargetMode="External"/><Relationship Id="rId455" Type="http://schemas.openxmlformats.org/officeDocument/2006/relationships/hyperlink" Target="https://drive.google.com/file/d/1OrLC-IRckzq705foFooyXT6JMPajy7B6/view?usp=drivesdk" TargetMode="External"/><Relationship Id="rId4312" Type="http://schemas.openxmlformats.org/officeDocument/2006/relationships/hyperlink" Target="https://drive.google.com/file/d/1jbC-Taq8OcpvRRSYmJ2gL9lRHLwa4Lfs/view?usp=drivesdk" TargetMode="External"/><Relationship Id="rId5644" Type="http://schemas.openxmlformats.org/officeDocument/2006/relationships/hyperlink" Target="https://drive.google.com/file/d/1Rue9OoU2MOsrOTYop5zsirW1X57sSYb4/view?usp=drivesdk" TargetMode="External"/><Relationship Id="rId6975" Type="http://schemas.openxmlformats.org/officeDocument/2006/relationships/hyperlink" Target="https://drive.google.com/file/d/1kqYT7R49lGdz5EeOFpWhCNxGPnXUjz_W/view?usp=drivesdk" TargetMode="External"/><Relationship Id="rId454" Type="http://schemas.openxmlformats.org/officeDocument/2006/relationships/hyperlink" Target="https://drive.google.com/file/d/1SivD4ylkZHuETUYi3SjObFgZ869swKOX/view?usp=drivesdk" TargetMode="External"/><Relationship Id="rId4311" Type="http://schemas.openxmlformats.org/officeDocument/2006/relationships/hyperlink" Target="https://drive.google.com/file/d/1k5mU_vtXXp4RyZFwqWNQzRKL0pKjoa6B/view?usp=drivesdk" TargetMode="External"/><Relationship Id="rId5645" Type="http://schemas.openxmlformats.org/officeDocument/2006/relationships/hyperlink" Target="https://drive.google.com/file/d/1DBe7tlmpmQEBk61w0YsGT6y7zqAWKEY4/view?usp=drivesdk" TargetMode="External"/><Relationship Id="rId6976" Type="http://schemas.openxmlformats.org/officeDocument/2006/relationships/hyperlink" Target="https://drive.google.com/file/d/1ruiDxn5giW6yRhY4ArZBn3G0fmxm7CkW/view?usp=drivesdk" TargetMode="External"/><Relationship Id="rId453" Type="http://schemas.openxmlformats.org/officeDocument/2006/relationships/hyperlink" Target="https://drive.google.com/file/d/1MAOqaZDWFybb2Ad3pnvLtChbgjVw9jTk/view?usp=drivesdk" TargetMode="External"/><Relationship Id="rId4314" Type="http://schemas.openxmlformats.org/officeDocument/2006/relationships/hyperlink" Target="https://drive.google.com/file/d/14zHsNekpHgVGlPbrlGoTN7lzpGb4MzVo/view?usp=drivesdk" TargetMode="External"/><Relationship Id="rId5642" Type="http://schemas.openxmlformats.org/officeDocument/2006/relationships/hyperlink" Target="https://drive.google.com/file/d/1PR44MOLA1M2MaO0L4edGjt26LnpkPomy/view?usp=drivesdk" TargetMode="External"/><Relationship Id="rId6973" Type="http://schemas.openxmlformats.org/officeDocument/2006/relationships/hyperlink" Target="https://drive.google.com/file/d/1yCaEx0WJX6sIJFQEthk4OYDIR7TY_ty7/view?usp=drivesdk" TargetMode="External"/><Relationship Id="rId452" Type="http://schemas.openxmlformats.org/officeDocument/2006/relationships/hyperlink" Target="https://drive.google.com/file/d/1inp_Y-Gsa_ddtiW2inQFC0M1DevD9Jyy/view?usp=drivesdk" TargetMode="External"/><Relationship Id="rId4313" Type="http://schemas.openxmlformats.org/officeDocument/2006/relationships/hyperlink" Target="https://drive.google.com/file/d/1yNrdpt7u1SvalSAXDN2Wu6s3PKc0T9A-/view?usp=drivesdk" TargetMode="External"/><Relationship Id="rId5643" Type="http://schemas.openxmlformats.org/officeDocument/2006/relationships/hyperlink" Target="https://drive.google.com/file/d/11DOc1CP4CBUf3p6poUKvpyFAWBLpTz92/view?usp=drivesdk" TargetMode="External"/><Relationship Id="rId6974" Type="http://schemas.openxmlformats.org/officeDocument/2006/relationships/hyperlink" Target="https://drive.google.com/file/d/1OACSudd4zFOhFB2qVAJKAAtRWNu2XouF/view?usp=drivesdk" TargetMode="External"/><Relationship Id="rId3018" Type="http://schemas.openxmlformats.org/officeDocument/2006/relationships/hyperlink" Target="https://drive.google.com/file/d/1yo8UJW3xA5pz6EJhDbgocitFBz6m92lt/view?usp=drivesdk" TargetMode="External"/><Relationship Id="rId4349" Type="http://schemas.openxmlformats.org/officeDocument/2006/relationships/hyperlink" Target="https://drive.google.com/file/d/1nca90YEJLcBxvbFB-ALKmiS7efFDAng2/view?usp=drivesdk" TargetMode="External"/><Relationship Id="rId3017" Type="http://schemas.openxmlformats.org/officeDocument/2006/relationships/hyperlink" Target="https://drive.google.com/file/d/1xbEPY4HfqT_N7iN32qReEHhqfylp_7ws/view?usp=drivesdk" TargetMode="External"/><Relationship Id="rId4348" Type="http://schemas.openxmlformats.org/officeDocument/2006/relationships/hyperlink" Target="https://drive.google.com/file/d/1_S_nOVtHpqn0ZyxE4FsLY6wanJI2XklK/view?usp=drivesdk" TargetMode="External"/><Relationship Id="rId5679" Type="http://schemas.openxmlformats.org/officeDocument/2006/relationships/hyperlink" Target="https://drive.google.com/file/d/1PVkobBQSvdMQZA8SgaAcNXBt1O9BenpK/view?usp=drivesdk" TargetMode="External"/><Relationship Id="rId3019" Type="http://schemas.openxmlformats.org/officeDocument/2006/relationships/hyperlink" Target="https://drive.google.com/file/d/1CX5YU7AL_wWSkTBoo1VzRcFshrcxHWKn/view?usp=drivesdk" TargetMode="External"/><Relationship Id="rId491" Type="http://schemas.openxmlformats.org/officeDocument/2006/relationships/hyperlink" Target="https://drive.google.com/file/d/1Ff3lOts0tWrGgaYqv-a0oozUPjtg_cEt/view?usp=drivesdk" TargetMode="External"/><Relationship Id="rId490" Type="http://schemas.openxmlformats.org/officeDocument/2006/relationships/hyperlink" Target="https://drive.google.com/file/d/1thnAfODnwHAynXF1khzRKkd-Epdr_fbY/view?usp=drivesdk" TargetMode="External"/><Relationship Id="rId489" Type="http://schemas.openxmlformats.org/officeDocument/2006/relationships/hyperlink" Target="https://drive.google.com/file/d/1U0u_ZsR54mMpHdM0kyEJAdXhWcXKS1Mw/view?usp=drivesdk" TargetMode="External"/><Relationship Id="rId5670" Type="http://schemas.openxmlformats.org/officeDocument/2006/relationships/hyperlink" Target="https://drive.google.com/file/d/1vxyUbUM9KMcTMOBESSfm4GOU5C8714-M/view?usp=drivesdk" TargetMode="External"/><Relationship Id="rId484" Type="http://schemas.openxmlformats.org/officeDocument/2006/relationships/hyperlink" Target="https://drive.google.com/file/d/1FyxABdG3mfrRGHmRBiXIXkhMBp72-z4p/view?usp=drivesdk" TargetMode="External"/><Relationship Id="rId3010" Type="http://schemas.openxmlformats.org/officeDocument/2006/relationships/hyperlink" Target="https://drive.google.com/file/d/1dExFJcchAXlvAe-yZ7uwdHc3QXL63qGA/view?usp=drivesdk" TargetMode="External"/><Relationship Id="rId4341" Type="http://schemas.openxmlformats.org/officeDocument/2006/relationships/hyperlink" Target="https://drive.google.com/file/d/1UmjlSQA5JwPiC8L51hg0prWxmzBnt-so/view?usp=drivesdk" TargetMode="External"/><Relationship Id="rId5673" Type="http://schemas.openxmlformats.org/officeDocument/2006/relationships/hyperlink" Target="https://drive.google.com/file/d/1YOi2l1LibGeCuXQqtGOtOw21fzVRFQNo/view?usp=drivesdk" TargetMode="External"/><Relationship Id="rId483" Type="http://schemas.openxmlformats.org/officeDocument/2006/relationships/hyperlink" Target="https://drive.google.com/file/d/1ivcRzKuOY6SGXzIme5uuAGNecbjgf4Xp/view?usp=drivesdk" TargetMode="External"/><Relationship Id="rId4340" Type="http://schemas.openxmlformats.org/officeDocument/2006/relationships/hyperlink" Target="https://drive.google.com/file/d/1BXgaVb4JRton4bUYiYRhE0JUsIhEgBW4/view?usp=drivesdk" TargetMode="External"/><Relationship Id="rId5674" Type="http://schemas.openxmlformats.org/officeDocument/2006/relationships/hyperlink" Target="https://drive.google.com/file/d/1-gGr-AreojtIYZZTxlFxVzAapumpG4zu/view?usp=drivesdk" TargetMode="External"/><Relationship Id="rId482" Type="http://schemas.openxmlformats.org/officeDocument/2006/relationships/hyperlink" Target="https://drive.google.com/file/d/1VpRUBx1NT_tnANiOa2Mwlzpqexp7_9my/view?usp=drivesdk" TargetMode="External"/><Relationship Id="rId3012" Type="http://schemas.openxmlformats.org/officeDocument/2006/relationships/hyperlink" Target="https://drive.google.com/file/d/1YD-yMsNTQHT0Jgn-X7_bHNCQds3yWa-F/view?usp=drivesdk" TargetMode="External"/><Relationship Id="rId4343" Type="http://schemas.openxmlformats.org/officeDocument/2006/relationships/hyperlink" Target="https://drive.google.com/file/d/1eU2DNTyXnR84Yd3LnlzdN0FXfTS74-s_/view?usp=drivesdk" TargetMode="External"/><Relationship Id="rId5671" Type="http://schemas.openxmlformats.org/officeDocument/2006/relationships/hyperlink" Target="https://drive.google.com/file/d/1qNLpQYUXwdNkZQy_9xJuAZEe4I3abRtw/view?usp=drivesdk" TargetMode="External"/><Relationship Id="rId481" Type="http://schemas.openxmlformats.org/officeDocument/2006/relationships/hyperlink" Target="https://drive.google.com/file/d/15DZ1_kuk7rzpbDuMPgzb92phW_h2YXba/view?usp=drivesdk" TargetMode="External"/><Relationship Id="rId3011" Type="http://schemas.openxmlformats.org/officeDocument/2006/relationships/hyperlink" Target="https://drive.google.com/file/d/1K8C1YhQcXVAgk1mbQiDbIZUO6-72tJTp/view?usp=drivesdk" TargetMode="External"/><Relationship Id="rId4342" Type="http://schemas.openxmlformats.org/officeDocument/2006/relationships/hyperlink" Target="https://drive.google.com/file/d/1Bc9iZitI9yyT2Xn5b4SzjCUVsQaPZapM/view?usp=drivesdk" TargetMode="External"/><Relationship Id="rId5672" Type="http://schemas.openxmlformats.org/officeDocument/2006/relationships/hyperlink" Target="https://drive.google.com/file/d/1DxMh7tC5uGbVDBQNK67KPjCbWXTisOBS/view?usp=drivesdk" TargetMode="External"/><Relationship Id="rId488" Type="http://schemas.openxmlformats.org/officeDocument/2006/relationships/hyperlink" Target="https://drive.google.com/file/d/1m0R0QnYDkuJxMstGG1vaQq4Ya0ohnuTh/view?usp=drivesdk" TargetMode="External"/><Relationship Id="rId3014" Type="http://schemas.openxmlformats.org/officeDocument/2006/relationships/hyperlink" Target="https://drive.google.com/file/d/1IES_oVjklW-asyUr5yL4SBl0y_mMbzfR/view?usp=drivesdk" TargetMode="External"/><Relationship Id="rId4345" Type="http://schemas.openxmlformats.org/officeDocument/2006/relationships/hyperlink" Target="https://drive.google.com/file/d/1qMKIN7kFnXiu5zf62B1TKdwUpWmyCSgV/view?usp=drivesdk" TargetMode="External"/><Relationship Id="rId5677" Type="http://schemas.openxmlformats.org/officeDocument/2006/relationships/hyperlink" Target="https://drive.google.com/file/d/1pKxSkWeYpZeN4GQSAqcFj7Kayt0Deipi/view?usp=drivesdk" TargetMode="External"/><Relationship Id="rId487" Type="http://schemas.openxmlformats.org/officeDocument/2006/relationships/hyperlink" Target="https://drive.google.com/file/d/1MQoGlAeZXQCOZvM3inC_qW_mlbvNJG_w/view?usp=drivesdk" TargetMode="External"/><Relationship Id="rId3013" Type="http://schemas.openxmlformats.org/officeDocument/2006/relationships/hyperlink" Target="https://drive.google.com/file/d/1avGG4M2a0eCHCJBcp8p_6IHS-zD0XxfI/view?usp=drivesdk" TargetMode="External"/><Relationship Id="rId4344" Type="http://schemas.openxmlformats.org/officeDocument/2006/relationships/hyperlink" Target="https://drive.google.com/file/d/1vK4vxwBkzphIYU-TnJjFDsxUiVVvoHll/view?usp=drivesdk" TargetMode="External"/><Relationship Id="rId5678" Type="http://schemas.openxmlformats.org/officeDocument/2006/relationships/hyperlink" Target="https://drive.google.com/file/d/1QZUOCf8RZ3qrvqoc3ob8odpWWwmqyTPL/view?usp=drivesdk" TargetMode="External"/><Relationship Id="rId486" Type="http://schemas.openxmlformats.org/officeDocument/2006/relationships/hyperlink" Target="https://drive.google.com/file/d/13A-qPz-9Uw4OOhhhYIQ_oINvB4wu1ZiW/view?usp=drivesdk" TargetMode="External"/><Relationship Id="rId3016" Type="http://schemas.openxmlformats.org/officeDocument/2006/relationships/hyperlink" Target="https://drive.google.com/file/d/1un_l6gqSkCJ0QTZCfBXDaHnDSEmIxL35/view?usp=drivesdk" TargetMode="External"/><Relationship Id="rId4347" Type="http://schemas.openxmlformats.org/officeDocument/2006/relationships/hyperlink" Target="https://drive.google.com/file/d/1BryUD8TV4fKXoznx4WBP6_2d0sa8csj0/view?usp=drivesdk" TargetMode="External"/><Relationship Id="rId5675" Type="http://schemas.openxmlformats.org/officeDocument/2006/relationships/hyperlink" Target="https://drive.google.com/file/d/1n8-Cukipp-myZJzyU0wqeB5txQ6QV-Ts/view?usp=drivesdk" TargetMode="External"/><Relationship Id="rId485" Type="http://schemas.openxmlformats.org/officeDocument/2006/relationships/hyperlink" Target="https://drive.google.com/file/d/1EwKCqi6HhGDz3pPKE2J9cdVppCDEGZre/view?usp=drivesdk" TargetMode="External"/><Relationship Id="rId3015" Type="http://schemas.openxmlformats.org/officeDocument/2006/relationships/hyperlink" Target="https://drive.google.com/file/d/1hTOCaq_RO7bINRKW8fjS6ab1Vxa6VkNp/view?usp=drivesdk" TargetMode="External"/><Relationship Id="rId4346" Type="http://schemas.openxmlformats.org/officeDocument/2006/relationships/hyperlink" Target="https://drive.google.com/file/d/1JvKblcuPSowrmTlZwr7QP0MXGHNPgLtM/view?usp=drivesdk" TargetMode="External"/><Relationship Id="rId5676" Type="http://schemas.openxmlformats.org/officeDocument/2006/relationships/hyperlink" Target="https://drive.google.com/file/d/13Xj7vwaifSqVgMmnXOjoSY4cp8uhAMZb/view?usp=drivesdk" TargetMode="External"/><Relationship Id="rId3007" Type="http://schemas.openxmlformats.org/officeDocument/2006/relationships/hyperlink" Target="https://drive.google.com/file/d/1f_waqw25T_jQF_OtbcFv8N98NGUZ6xrQ/view?usp=drivesdk" TargetMode="External"/><Relationship Id="rId4338" Type="http://schemas.openxmlformats.org/officeDocument/2006/relationships/hyperlink" Target="https://drive.google.com/file/d/1RUf80oclt7IxcVZWMgwUEQcEfvXzdLPj/view?usp=drivesdk" TargetMode="External"/><Relationship Id="rId3006" Type="http://schemas.openxmlformats.org/officeDocument/2006/relationships/hyperlink" Target="https://drive.google.com/file/d/1IOJUpufs0R0fCR14RMerbM-o_HWQB-gX/view?usp=drivesdk" TargetMode="External"/><Relationship Id="rId4337" Type="http://schemas.openxmlformats.org/officeDocument/2006/relationships/hyperlink" Target="https://drive.google.com/file/d/1S2uD5t2MqHsnAiU1K2Z10tSnel7c0d_0/view?usp=drivesdk" TargetMode="External"/><Relationship Id="rId3009" Type="http://schemas.openxmlformats.org/officeDocument/2006/relationships/hyperlink" Target="https://drive.google.com/file/d/1gVb--Z6VfQFo4IkKvZsWvhi8wePiJqdq/view?usp=drivesdk" TargetMode="External"/><Relationship Id="rId5668" Type="http://schemas.openxmlformats.org/officeDocument/2006/relationships/hyperlink" Target="https://drive.google.com/file/d/1DW-ViLZpRyDXYow_u8jGMbeVOAtYJjfK/view?usp=drivesdk" TargetMode="External"/><Relationship Id="rId6999" Type="http://schemas.openxmlformats.org/officeDocument/2006/relationships/hyperlink" Target="https://drive.google.com/file/d/1dJEoeC2sO1hcSPoO6rGeMFyW4RMChpDf/view?usp=drivesdk" TargetMode="External"/><Relationship Id="rId3008" Type="http://schemas.openxmlformats.org/officeDocument/2006/relationships/hyperlink" Target="https://drive.google.com/file/d/1XFyRSDcOZV_pNCtpJg954ewjVy95HJfU/view?usp=drivesdk" TargetMode="External"/><Relationship Id="rId4339" Type="http://schemas.openxmlformats.org/officeDocument/2006/relationships/hyperlink" Target="https://drive.google.com/file/d/1F4Mt0SwRuz3LEv3KFK50UPQj_O5mo_yn/view?usp=drivesdk" TargetMode="External"/><Relationship Id="rId5669" Type="http://schemas.openxmlformats.org/officeDocument/2006/relationships/hyperlink" Target="https://drive.google.com/file/d/1fQwbk5jVpDsmYCLOct-qAl2PLphIoks1/view?usp=drivesdk" TargetMode="External"/><Relationship Id="rId480" Type="http://schemas.openxmlformats.org/officeDocument/2006/relationships/hyperlink" Target="https://drive.google.com/file/d/1yr_E653b176_yGbQ316Favax4BlrkwL9/view?usp=drivesdk" TargetMode="External"/><Relationship Id="rId479" Type="http://schemas.openxmlformats.org/officeDocument/2006/relationships/hyperlink" Target="https://drive.google.com/file/d/1cdSR8n5tNE0x7X4V0b9zNpNZZViql4VF/view?usp=drivesdk" TargetMode="External"/><Relationship Id="rId478" Type="http://schemas.openxmlformats.org/officeDocument/2006/relationships/hyperlink" Target="https://drive.google.com/file/d/188fH39q8v2UT3Za-I9le-LzR-f4bIkY0/view?usp=drivesdk" TargetMode="External"/><Relationship Id="rId6990" Type="http://schemas.openxmlformats.org/officeDocument/2006/relationships/hyperlink" Target="https://drive.google.com/file/d/13NAPcTFZvsnA2XEqyq99xYrSl8JRVu55/view?usp=drivesdk" TargetMode="External"/><Relationship Id="rId473" Type="http://schemas.openxmlformats.org/officeDocument/2006/relationships/hyperlink" Target="https://drive.google.com/file/d/1k6Flc8gKXyWSmMSPmxySy5mLLyBnzp-0/view?usp=drivesdk" TargetMode="External"/><Relationship Id="rId4330" Type="http://schemas.openxmlformats.org/officeDocument/2006/relationships/hyperlink" Target="https://drive.google.com/file/d/1RhxP9aFmo0uqsZ1GTVajTYD6J3cS6O4r/view?usp=drivesdk" TargetMode="External"/><Relationship Id="rId5662" Type="http://schemas.openxmlformats.org/officeDocument/2006/relationships/hyperlink" Target="https://drive.google.com/file/d/1jz2vU21c0GcpOn497EbBqasncFTPMXmY/view?usp=drivesdk" TargetMode="External"/><Relationship Id="rId6993" Type="http://schemas.openxmlformats.org/officeDocument/2006/relationships/hyperlink" Target="https://drive.google.com/file/d/1WAduJgwJtTDkp3HfiAZS8kD_1KccLLik/view?usp=drivesdk" TargetMode="External"/><Relationship Id="rId472" Type="http://schemas.openxmlformats.org/officeDocument/2006/relationships/hyperlink" Target="https://drive.google.com/file/d/1L1DZZotScp8H-VjI_udp1aB1hf_D7rLp/view?usp=drivesdk" TargetMode="External"/><Relationship Id="rId5663" Type="http://schemas.openxmlformats.org/officeDocument/2006/relationships/hyperlink" Target="https://drive.google.com/file/d/1wjMPk-PdeTPCcmxcFD8lr1a1shRtLX4B/view?usp=drivesdk" TargetMode="External"/><Relationship Id="rId6994" Type="http://schemas.openxmlformats.org/officeDocument/2006/relationships/hyperlink" Target="https://drive.google.com/file/d/1lRyCu9azJT1S1_6KA2XAIm5K-MfocONN/view?usp=drivesdk" TargetMode="External"/><Relationship Id="rId471" Type="http://schemas.openxmlformats.org/officeDocument/2006/relationships/hyperlink" Target="https://drive.google.com/file/d/1ioROUf9kMr5IuCMpF6svT-cszC2pySta/view?usp=drivesdk" TargetMode="External"/><Relationship Id="rId3001" Type="http://schemas.openxmlformats.org/officeDocument/2006/relationships/hyperlink" Target="https://drive.google.com/file/d/1NbwXHguiLyjTFyHTiF1mS8Gm2loj4obo/view?usp=drivesdk" TargetMode="External"/><Relationship Id="rId4332" Type="http://schemas.openxmlformats.org/officeDocument/2006/relationships/hyperlink" Target="https://drive.google.com/file/d/1K-a8RBIWXKOPAKEImZ7LoTkJzgPjywfs/view?usp=drivesdk" TargetMode="External"/><Relationship Id="rId5660" Type="http://schemas.openxmlformats.org/officeDocument/2006/relationships/hyperlink" Target="https://drive.google.com/file/d/193AG9hrBKi31j9qIp-M8Oja2eFl4NBwj/view?usp=drivesdk" TargetMode="External"/><Relationship Id="rId6991" Type="http://schemas.openxmlformats.org/officeDocument/2006/relationships/hyperlink" Target="https://drive.google.com/file/d/1p9Y3JAZyqZQHu0wmXn4BBqOvKZQmpQbm/view?usp=drivesdk" TargetMode="External"/><Relationship Id="rId470" Type="http://schemas.openxmlformats.org/officeDocument/2006/relationships/hyperlink" Target="https://drive.google.com/file/d/1mjv8jLVf_Sm0ORAnCRAaEAHAYALMSbO_/view?usp=drivesdk" TargetMode="External"/><Relationship Id="rId3000" Type="http://schemas.openxmlformats.org/officeDocument/2006/relationships/hyperlink" Target="https://drive.google.com/file/d/1tvMyousjWUZvu2PAtmLsV-lJdCPfUO6T/view?usp=drivesdk" TargetMode="External"/><Relationship Id="rId4331" Type="http://schemas.openxmlformats.org/officeDocument/2006/relationships/hyperlink" Target="https://drive.google.com/file/d/1yNFhb3LrvJQiJ5grjYbOimepMo8_W2u5/view?usp=drivesdk" TargetMode="External"/><Relationship Id="rId5661" Type="http://schemas.openxmlformats.org/officeDocument/2006/relationships/hyperlink" Target="https://drive.google.com/file/d/14t2t7ykAe_tC6m79MSSW_8sW-_NmJ8TW/view?usp=drivesdk" TargetMode="External"/><Relationship Id="rId6992" Type="http://schemas.openxmlformats.org/officeDocument/2006/relationships/hyperlink" Target="https://drive.google.com/file/d/1lf71mLugnw4BAQllD706Ise-YQJ2Rjhu/view?usp=drivesdk" TargetMode="External"/><Relationship Id="rId477" Type="http://schemas.openxmlformats.org/officeDocument/2006/relationships/hyperlink" Target="https://drive.google.com/file/d/1gOMdu-Ty4JKnnKpPsNT6aZEIH7hu06Sr/view?usp=drivesdk" TargetMode="External"/><Relationship Id="rId3003" Type="http://schemas.openxmlformats.org/officeDocument/2006/relationships/hyperlink" Target="https://drive.google.com/file/d/1dyERSoJDMLzmCD2nXbktotrjFgG4aulx/view?usp=drivesdk" TargetMode="External"/><Relationship Id="rId4334" Type="http://schemas.openxmlformats.org/officeDocument/2006/relationships/hyperlink" Target="https://drive.google.com/file/d/1MzXrSbzEi5u6WVRkgv6E6hGV1c7zYp8J/view?usp=drivesdk" TargetMode="External"/><Relationship Id="rId5666" Type="http://schemas.openxmlformats.org/officeDocument/2006/relationships/hyperlink" Target="https://drive.google.com/file/d/1PnA_CrQhEWI7rZLAl5EvZ05CIf_4gvaK/view?usp=drivesdk" TargetMode="External"/><Relationship Id="rId6997" Type="http://schemas.openxmlformats.org/officeDocument/2006/relationships/hyperlink" Target="https://drive.google.com/file/d/1Xu08Dzmsf2knXt1Tr4A3MH-K1dGBK2ef/view?usp=drivesdk" TargetMode="External"/><Relationship Id="rId476" Type="http://schemas.openxmlformats.org/officeDocument/2006/relationships/hyperlink" Target="https://drive.google.com/file/d/1TTGjFPkidcWv6lNJCV8fOR5BKdHKSy7b/view?usp=drivesdk" TargetMode="External"/><Relationship Id="rId3002" Type="http://schemas.openxmlformats.org/officeDocument/2006/relationships/hyperlink" Target="https://drive.google.com/file/d/1_ChzoeYdzU4Cvn2FSCNYoh-aBYSIv-ih/view?usp=drivesdk" TargetMode="External"/><Relationship Id="rId4333" Type="http://schemas.openxmlformats.org/officeDocument/2006/relationships/hyperlink" Target="https://drive.google.com/file/d/1GnbMo2An-j-6x5cb_gDGl-3wVkGllU_o/view?usp=drivesdk" TargetMode="External"/><Relationship Id="rId5667" Type="http://schemas.openxmlformats.org/officeDocument/2006/relationships/hyperlink" Target="https://drive.google.com/file/d/1wj9YCduXCcQIoLWqksPGAayzcJvfunpI/view?usp=drivesdk" TargetMode="External"/><Relationship Id="rId6998" Type="http://schemas.openxmlformats.org/officeDocument/2006/relationships/hyperlink" Target="https://drive.google.com/file/d/1MwgYw8xv0ZXz4n4JNCuz9ZKnJaW3aQ5Z/view?usp=drivesdk" TargetMode="External"/><Relationship Id="rId475" Type="http://schemas.openxmlformats.org/officeDocument/2006/relationships/hyperlink" Target="https://drive.google.com/file/d/1vvDNy8VJvaairg4QLFrvEXh_a8WpCwgb/view?usp=drivesdk" TargetMode="External"/><Relationship Id="rId3005" Type="http://schemas.openxmlformats.org/officeDocument/2006/relationships/hyperlink" Target="https://drive.google.com/file/d/15SOh-HyBjKV5GmLmJe5FCzs9f258TkRv/view?usp=drivesdk" TargetMode="External"/><Relationship Id="rId4336" Type="http://schemas.openxmlformats.org/officeDocument/2006/relationships/hyperlink" Target="https://drive.google.com/file/d/1IrIhf2_M_BLA6saWw7riWTQiUc728HS2/view?usp=drivesdk" TargetMode="External"/><Relationship Id="rId5664" Type="http://schemas.openxmlformats.org/officeDocument/2006/relationships/hyperlink" Target="https://drive.google.com/file/d/1kfJgEP8yVMr61X1_mQuu5LlM_Y5UeAZW/view?usp=drivesdk" TargetMode="External"/><Relationship Id="rId6995" Type="http://schemas.openxmlformats.org/officeDocument/2006/relationships/hyperlink" Target="https://drive.google.com/file/d/1DRyjoiQAz-Nql9tRxTRIB6BbUZFi09Mo/view?usp=drivesdk" TargetMode="External"/><Relationship Id="rId474" Type="http://schemas.openxmlformats.org/officeDocument/2006/relationships/hyperlink" Target="https://drive.google.com/file/d/14XHhGkFGBrJKhyoU5-jhGk58BdzZp6A7/view?usp=drivesdk" TargetMode="External"/><Relationship Id="rId3004" Type="http://schemas.openxmlformats.org/officeDocument/2006/relationships/hyperlink" Target="https://drive.google.com/file/d/1ToPbcE5qQK_ohmAcge9alEPZq3hIC9xM/view?usp=drivesdk" TargetMode="External"/><Relationship Id="rId4335" Type="http://schemas.openxmlformats.org/officeDocument/2006/relationships/hyperlink" Target="https://drive.google.com/file/d/1V5Svz9TwNBXsK_kibDufY-hrgUEeHuP7/view?usp=drivesdk" TargetMode="External"/><Relationship Id="rId5665" Type="http://schemas.openxmlformats.org/officeDocument/2006/relationships/hyperlink" Target="https://drive.google.com/file/d/10f0p9-3AaF5dkJAydBjpjqHlAMkxhByC/view?usp=drivesdk" TargetMode="External"/><Relationship Id="rId6996" Type="http://schemas.openxmlformats.org/officeDocument/2006/relationships/hyperlink" Target="https://drive.google.com/file/d/1j8eZEy8dN9M7_1m2ToCY7vitReOyWxPq/view?usp=drivesdk" TargetMode="External"/><Relationship Id="rId5615" Type="http://schemas.openxmlformats.org/officeDocument/2006/relationships/hyperlink" Target="https://drive.google.com/file/d/1hzzTx57iBKaUPDBe1236J3L4Swet2ypQ/view?usp=drivesdk" TargetMode="External"/><Relationship Id="rId6946" Type="http://schemas.openxmlformats.org/officeDocument/2006/relationships/hyperlink" Target="https://drive.google.com/file/d/1yPVxcEA8HBVrWPmMs-n09oZJWp9C88B-/view?usp=drivesdk" TargetMode="External"/><Relationship Id="rId5616" Type="http://schemas.openxmlformats.org/officeDocument/2006/relationships/hyperlink" Target="https://drive.google.com/file/d/1PqS_JAoHBWn5TBc2SlEUMMA3z-xx-oSl/view?usp=drivesdk" TargetMode="External"/><Relationship Id="rId6947" Type="http://schemas.openxmlformats.org/officeDocument/2006/relationships/hyperlink" Target="https://drive.google.com/file/d/1glPv3quNGgg-rd2CMaFed_iihv7rRgwT/view?usp=drivesdk" TargetMode="External"/><Relationship Id="rId5613" Type="http://schemas.openxmlformats.org/officeDocument/2006/relationships/hyperlink" Target="https://drive.google.com/file/d/1cHPNphnFfiDU8LMrEcDhuS7Km8aQLRdd/view?usp=drivesdk" TargetMode="External"/><Relationship Id="rId6944" Type="http://schemas.openxmlformats.org/officeDocument/2006/relationships/hyperlink" Target="https://drive.google.com/file/d/1AjbaEr6tqbm7fg_xwkiwWphIaUwHp_45/view?usp=drivesdk" TargetMode="External"/><Relationship Id="rId5614" Type="http://schemas.openxmlformats.org/officeDocument/2006/relationships/hyperlink" Target="https://drive.google.com/file/d/1VJszbrlC_WbNfzxT3HWng2qChdfFqWVn/view?usp=drivesdk" TargetMode="External"/><Relationship Id="rId6945" Type="http://schemas.openxmlformats.org/officeDocument/2006/relationships/hyperlink" Target="https://drive.google.com/file/d/1ET5L5NpPgSHx8xHw-XojGIGU18r_osq3/view?usp=drivesdk" TargetMode="External"/><Relationship Id="rId5619" Type="http://schemas.openxmlformats.org/officeDocument/2006/relationships/hyperlink" Target="https://drive.google.com/file/d/1Z0U3ZPnLP_pGarkMtqPvCx5U3ljpB4nA/view?usp=drivesdk" TargetMode="External"/><Relationship Id="rId5617" Type="http://schemas.openxmlformats.org/officeDocument/2006/relationships/hyperlink" Target="https://drive.google.com/file/d/1_h4ROCH8zW-40dcKWSD8A45bMvaaXlQv/view?usp=drivesdk" TargetMode="External"/><Relationship Id="rId6948" Type="http://schemas.openxmlformats.org/officeDocument/2006/relationships/hyperlink" Target="https://drive.google.com/file/d/1zQuzQWFz1UkVukXrPWyyqjBltoJL3S9D/view?usp=drivesdk" TargetMode="External"/><Relationship Id="rId5618" Type="http://schemas.openxmlformats.org/officeDocument/2006/relationships/hyperlink" Target="https://drive.google.com/file/d/1AVmf1mtkZBm481V5_2zJAkK4NaipBgq1/view?usp=drivesdk" TargetMode="External"/><Relationship Id="rId6949" Type="http://schemas.openxmlformats.org/officeDocument/2006/relationships/hyperlink" Target="https://drive.google.com/file/d/1q-PS6bQGaawYphgtqxajAwAsH-GCEXTz/view?usp=drivesdk" TargetMode="External"/><Relationship Id="rId426" Type="http://schemas.openxmlformats.org/officeDocument/2006/relationships/hyperlink" Target="https://drive.google.com/file/d/1czhTR3Y7ohIHq8P9XtZ0yEwAMbFk9AqA/view?usp=drivesdk" TargetMode="External"/><Relationship Id="rId425" Type="http://schemas.openxmlformats.org/officeDocument/2006/relationships/hyperlink" Target="https://drive.google.com/file/d/1i7PbdlV273jSon8A-7ll2aeBqBQPTOek/view?usp=drivesdk" TargetMode="External"/><Relationship Id="rId424" Type="http://schemas.openxmlformats.org/officeDocument/2006/relationships/hyperlink" Target="https://drive.google.com/file/d/1u6-p9X7iFFtYg9qQ3z6cLLXuE5H8b-PA/view?usp=drivesdk" TargetMode="External"/><Relationship Id="rId423" Type="http://schemas.openxmlformats.org/officeDocument/2006/relationships/hyperlink" Target="https://drive.google.com/file/d/1R_eQnST9euG6PR4P8pF4fo9k4kNc5fYl/view?usp=drivesdk" TargetMode="External"/><Relationship Id="rId429" Type="http://schemas.openxmlformats.org/officeDocument/2006/relationships/hyperlink" Target="https://drive.google.com/file/d/11trmPR0CdltdaVmmhzGDjAnAVSNGp_CU/view?usp=drivesdk" TargetMode="External"/><Relationship Id="rId428" Type="http://schemas.openxmlformats.org/officeDocument/2006/relationships/hyperlink" Target="https://drive.google.com/file/d/1jGUwGXT3zEOqC7oGscrhwfAYuMcLmCWp/view?usp=drivesdk" TargetMode="External"/><Relationship Id="rId427" Type="http://schemas.openxmlformats.org/officeDocument/2006/relationships/hyperlink" Target="https://drive.google.com/file/d/1Agdtr2or4Tm0VK1qDrHNnny2x0oLur1-/view?usp=drivesdk" TargetMode="External"/><Relationship Id="rId422" Type="http://schemas.openxmlformats.org/officeDocument/2006/relationships/hyperlink" Target="https://drive.google.com/file/d/1eNk8OqPnOfdVttcXmNeWwKiAFSTZuBku/view?usp=drivesdk" TargetMode="External"/><Relationship Id="rId5611" Type="http://schemas.openxmlformats.org/officeDocument/2006/relationships/hyperlink" Target="https://drive.google.com/file/d/1Vw5OwhlPRBaBha9kK87dh_kOY4U6TUse/view?usp=drivesdk" TargetMode="External"/><Relationship Id="rId6942" Type="http://schemas.openxmlformats.org/officeDocument/2006/relationships/hyperlink" Target="https://drive.google.com/file/d/170uXcQaycfL5L5MGCkxbxsyzreo9YqI3/view?usp=drivesdk" TargetMode="External"/><Relationship Id="rId421" Type="http://schemas.openxmlformats.org/officeDocument/2006/relationships/hyperlink" Target="https://drive.google.com/file/d/1KMiMIZmX3w7NFucXHqN3aANxvaDoBmEV/view?usp=drivesdk" TargetMode="External"/><Relationship Id="rId5612" Type="http://schemas.openxmlformats.org/officeDocument/2006/relationships/hyperlink" Target="https://drive.google.com/file/d/1bxp3ZjSB64hQlooKvSUsKGg21qYUWXO-/view?usp=drivesdk" TargetMode="External"/><Relationship Id="rId6943" Type="http://schemas.openxmlformats.org/officeDocument/2006/relationships/hyperlink" Target="https://drive.google.com/file/d/1oG9LZCqA0dEeTswAHAz9cacbfApIVj8X/view?usp=drivesdk" TargetMode="External"/><Relationship Id="rId420" Type="http://schemas.openxmlformats.org/officeDocument/2006/relationships/hyperlink" Target="https://drive.google.com/file/d/177C1w21a-cALLKM3JdiQ77Ui1KNr05do/view?usp=drivesdk" TargetMode="External"/><Relationship Id="rId6940" Type="http://schemas.openxmlformats.org/officeDocument/2006/relationships/hyperlink" Target="https://drive.google.com/file/d/1rZy_yQWddM7OW504sdEpGXmZYOe9Gl1K/view?usp=drivesdk" TargetMode="External"/><Relationship Id="rId5610" Type="http://schemas.openxmlformats.org/officeDocument/2006/relationships/hyperlink" Target="https://drive.google.com/file/d/1mZalmJcLiOBHRyu4AgOfI7Q7FLIH6xgI/view?usp=drivesdk" TargetMode="External"/><Relationship Id="rId6941" Type="http://schemas.openxmlformats.org/officeDocument/2006/relationships/hyperlink" Target="https://drive.google.com/file/d/1WiOQLzN49F5P14Nkmy9XD6DkU-_Q6NYe/view?usp=drivesdk" TargetMode="External"/><Relationship Id="rId5604" Type="http://schemas.openxmlformats.org/officeDocument/2006/relationships/hyperlink" Target="https://drive.google.com/file/d/1jSs1weXKFJDInEfJ05uoARq6FY7Tq65t/view?usp=drivesdk" TargetMode="External"/><Relationship Id="rId6935" Type="http://schemas.openxmlformats.org/officeDocument/2006/relationships/hyperlink" Target="https://drive.google.com/file/d/1byxzp5_hm7wlE0sg5lfIXzQj0dc_U2kC/view?usp=drivesdk" TargetMode="External"/><Relationship Id="rId5605" Type="http://schemas.openxmlformats.org/officeDocument/2006/relationships/hyperlink" Target="https://drive.google.com/file/d/1tr7kl_XOZy64pl3RNz4JzvW-BLQasaOH/view?usp=drivesdk" TargetMode="External"/><Relationship Id="rId6936" Type="http://schemas.openxmlformats.org/officeDocument/2006/relationships/hyperlink" Target="https://drive.google.com/file/d/1TbkaBkW85KI9v_FVntsjpaELJ-hmcnAq/view?usp=drivesdk" TargetMode="External"/><Relationship Id="rId5602" Type="http://schemas.openxmlformats.org/officeDocument/2006/relationships/hyperlink" Target="https://drive.google.com/file/d/1OPR_X4vJnL2UWj0C6ho01efE2Ofyo-2z/view?usp=drivesdk" TargetMode="External"/><Relationship Id="rId6933" Type="http://schemas.openxmlformats.org/officeDocument/2006/relationships/hyperlink" Target="https://drive.google.com/file/d/1iJBD0-6FnPFA3G_M0a7136iFFyf1oI-R/view?usp=drivesdk" TargetMode="External"/><Relationship Id="rId5603" Type="http://schemas.openxmlformats.org/officeDocument/2006/relationships/hyperlink" Target="https://drive.google.com/file/d/1DdZ-61hH08BXXHnyJFtJB6tUeEooBeu9/view?usp=drivesdk" TargetMode="External"/><Relationship Id="rId6934" Type="http://schemas.openxmlformats.org/officeDocument/2006/relationships/hyperlink" Target="https://drive.google.com/file/d/16IrUZnSRqmRPl148FwBh9upjoA4a3O8_/view?usp=drivesdk" TargetMode="External"/><Relationship Id="rId5608" Type="http://schemas.openxmlformats.org/officeDocument/2006/relationships/hyperlink" Target="https://drive.google.com/file/d/1a8zZ61MuI0wNqNtDFuUUGNN65NDR3SJq/view?usp=drivesdk" TargetMode="External"/><Relationship Id="rId6939" Type="http://schemas.openxmlformats.org/officeDocument/2006/relationships/hyperlink" Target="https://drive.google.com/file/d/1ZB_NLan-RJVEeEmgNYYEPxEycyGFLIr8/view?usp=drivesdk" TargetMode="External"/><Relationship Id="rId5609" Type="http://schemas.openxmlformats.org/officeDocument/2006/relationships/hyperlink" Target="https://drive.google.com/file/d/1uOEyAaBbOkUaXRIMMnFors4hAeXKTKR_/view?usp=drivesdk" TargetMode="External"/><Relationship Id="rId5606" Type="http://schemas.openxmlformats.org/officeDocument/2006/relationships/hyperlink" Target="https://drive.google.com/file/d/1MvPhDAkwjZNClpYK5I3-er-6e2KDkEBm/view?usp=drivesdk" TargetMode="External"/><Relationship Id="rId6937" Type="http://schemas.openxmlformats.org/officeDocument/2006/relationships/hyperlink" Target="https://drive.google.com/file/d/1i5BBhDaC6S30bcCDxf7zTFJr75_tfirz/view?usp=drivesdk" TargetMode="External"/><Relationship Id="rId5607" Type="http://schemas.openxmlformats.org/officeDocument/2006/relationships/hyperlink" Target="https://drive.google.com/file/d/1L1muxeKyBN--JwJZKqa8EgNW6dtZZUjN/view?usp=drivesdk" TargetMode="External"/><Relationship Id="rId6938" Type="http://schemas.openxmlformats.org/officeDocument/2006/relationships/hyperlink" Target="https://drive.google.com/file/d/1WV-KijHFHRtMnrlu_CUKQzgHs-awAJ-w/view?usp=drivesdk" TargetMode="External"/><Relationship Id="rId415" Type="http://schemas.openxmlformats.org/officeDocument/2006/relationships/hyperlink" Target="https://drive.google.com/file/d/1jL24LtjFvD1wahpMsDDiHBNzCZ6jN-r5/view?usp=drivesdk" TargetMode="External"/><Relationship Id="rId414" Type="http://schemas.openxmlformats.org/officeDocument/2006/relationships/hyperlink" Target="https://drive.google.com/file/d/1OsHyOx3NqTPZMiawymXxIrQfTNTKBYhe/view?usp=drivesdk" TargetMode="External"/><Relationship Id="rId413" Type="http://schemas.openxmlformats.org/officeDocument/2006/relationships/hyperlink" Target="https://drive.google.com/file/d/1RrWbC-E49RbWd8DQpqhmN9Hd67zilgiJ/view?usp=drivesdk" TargetMode="External"/><Relationship Id="rId412" Type="http://schemas.openxmlformats.org/officeDocument/2006/relationships/hyperlink" Target="https://drive.google.com/file/d/1xQSu1rbZvSNIXkk6RW6L83D9zVAaUfha/view?usp=drivesdk" TargetMode="External"/><Relationship Id="rId419" Type="http://schemas.openxmlformats.org/officeDocument/2006/relationships/hyperlink" Target="https://drive.google.com/file/d/1yIrVE4KoOJK9LTnfI9wI1814IS8Fo-gJ/view?usp=drivesdk" TargetMode="External"/><Relationship Id="rId418" Type="http://schemas.openxmlformats.org/officeDocument/2006/relationships/hyperlink" Target="https://drive.google.com/file/d/18sNs52-icVQ7tjF5R0zuP-lqlGjny6aV/view?usp=drivesdk" TargetMode="External"/><Relationship Id="rId417" Type="http://schemas.openxmlformats.org/officeDocument/2006/relationships/hyperlink" Target="https://drive.google.com/file/d/1T5WzydGQS9OGVS1yp1PWpfTfTHx_f4xe/view?usp=drivesdk" TargetMode="External"/><Relationship Id="rId416" Type="http://schemas.openxmlformats.org/officeDocument/2006/relationships/hyperlink" Target="https://drive.google.com/file/d/1Ao10P8WaPsg2EijhLj3ikUMm8K9aNdeH/view?usp=drivesdk" TargetMode="External"/><Relationship Id="rId411" Type="http://schemas.openxmlformats.org/officeDocument/2006/relationships/hyperlink" Target="https://drive.google.com/file/d/1I8riloXy3jiZHgyZQSrkTUy4SUTCsNeT/view?usp=drivesdk" TargetMode="External"/><Relationship Id="rId5600" Type="http://schemas.openxmlformats.org/officeDocument/2006/relationships/hyperlink" Target="https://drive.google.com/file/d/1qOwicltlG8r2VBwlh4GYPsnZ95qyp4-p/view?usp=drivesdk" TargetMode="External"/><Relationship Id="rId6931" Type="http://schemas.openxmlformats.org/officeDocument/2006/relationships/hyperlink" Target="https://drive.google.com/file/d/1NWkGcfIuPRKh17Hwuqwlmlwo9kv17Gfw/view?usp=drivesdk" TargetMode="External"/><Relationship Id="rId410" Type="http://schemas.openxmlformats.org/officeDocument/2006/relationships/hyperlink" Target="https://drive.google.com/file/d/14YsFHVXfaOsWFE1leyaxSyhCK_74_qlB/view?usp=drivesdk" TargetMode="External"/><Relationship Id="rId5601" Type="http://schemas.openxmlformats.org/officeDocument/2006/relationships/hyperlink" Target="https://drive.google.com/file/d/1r8trDHrjMpBBMltG6A9BWfsT3OIYjK6P/view?usp=drivesdk" TargetMode="External"/><Relationship Id="rId6932" Type="http://schemas.openxmlformats.org/officeDocument/2006/relationships/hyperlink" Target="https://drive.google.com/file/d/10VWcKXtYueUucw2p0aHwZ6T8ki-DiaJV/view?usp=drivesdk" TargetMode="External"/><Relationship Id="rId6930" Type="http://schemas.openxmlformats.org/officeDocument/2006/relationships/hyperlink" Target="https://drive.google.com/file/d/11GUZBqauKWT7JcveaehD19Uc70AykBif/view?usp=drivesdk" TargetMode="External"/><Relationship Id="rId4305" Type="http://schemas.openxmlformats.org/officeDocument/2006/relationships/hyperlink" Target="https://drive.google.com/file/d/1sCKz0txvb1ZrWajbeev6KCgf0te5TD_q/view?usp=drivesdk" TargetMode="External"/><Relationship Id="rId5637" Type="http://schemas.openxmlformats.org/officeDocument/2006/relationships/hyperlink" Target="https://drive.google.com/file/d/1PvnqJ37hYhABfq7b7wa89_0wQ4h4KpDD/view?usp=drivesdk" TargetMode="External"/><Relationship Id="rId6968" Type="http://schemas.openxmlformats.org/officeDocument/2006/relationships/hyperlink" Target="https://drive.google.com/file/d/1o0lR01_nlFpxFXtNUl215toczctrXQ7K/view?usp=drivesdk" TargetMode="External"/><Relationship Id="rId4304" Type="http://schemas.openxmlformats.org/officeDocument/2006/relationships/hyperlink" Target="https://drive.google.com/file/d/1ygOJnKqvhsoMJDLoLNWIoPYlZFQiYfxA/view?usp=drivesdk" TargetMode="External"/><Relationship Id="rId5638" Type="http://schemas.openxmlformats.org/officeDocument/2006/relationships/hyperlink" Target="https://drive.google.com/file/d/1-Q5HlTqnFTO9QMTWHGanGY2j3FQp-V_1/view?usp=drivesdk" TargetMode="External"/><Relationship Id="rId6969" Type="http://schemas.openxmlformats.org/officeDocument/2006/relationships/hyperlink" Target="https://drive.google.com/file/d/1uVckUc2LHGdhNOoEqQwxfGQIsOlXbVOw/view?usp=drivesdk" TargetMode="External"/><Relationship Id="rId4307" Type="http://schemas.openxmlformats.org/officeDocument/2006/relationships/hyperlink" Target="https://drive.google.com/file/d/1QhaiAqFPUXvQGvu9K2QvrqWxBO2tkhDF/view?usp=drivesdk" TargetMode="External"/><Relationship Id="rId5635" Type="http://schemas.openxmlformats.org/officeDocument/2006/relationships/hyperlink" Target="https://drive.google.com/file/d/1hB2W-ljQmSfCzSh3hbgr4O-_RT6LdKiZ/view?usp=drivesdk" TargetMode="External"/><Relationship Id="rId6966" Type="http://schemas.openxmlformats.org/officeDocument/2006/relationships/hyperlink" Target="https://drive.google.com/file/d/1hSEqz4NSvIe8_bTz34Q86fMqNQgpVJye/view?usp=drivesdk" TargetMode="External"/><Relationship Id="rId4306" Type="http://schemas.openxmlformats.org/officeDocument/2006/relationships/hyperlink" Target="https://drive.google.com/file/d/19gBNzzh95_OKJBFki0xfZGjhl5onCLzW/view?usp=drivesdk" TargetMode="External"/><Relationship Id="rId5636" Type="http://schemas.openxmlformats.org/officeDocument/2006/relationships/hyperlink" Target="https://drive.google.com/file/d/1z6-oj4cJ3y3IRHzTGJl9Hsqt7qATqtxi/view?usp=drivesdk" TargetMode="External"/><Relationship Id="rId6967" Type="http://schemas.openxmlformats.org/officeDocument/2006/relationships/hyperlink" Target="https://drive.google.com/file/d/1_5eHpmDSEvRcd0mBid9qO-h8Q1wB5p8l/view?usp=drivesdk" TargetMode="External"/><Relationship Id="rId4309" Type="http://schemas.openxmlformats.org/officeDocument/2006/relationships/hyperlink" Target="https://drive.google.com/file/d/16Ppem68b0OylfPMWzpFaEBAv2J9p5Dpr/view?usp=drivesdk" TargetMode="External"/><Relationship Id="rId4308" Type="http://schemas.openxmlformats.org/officeDocument/2006/relationships/hyperlink" Target="https://drive.google.com/file/d/1HL873-ekWj52qsFI5OOQ2uhswbA70C-T/view?usp=drivesdk" TargetMode="External"/><Relationship Id="rId5639" Type="http://schemas.openxmlformats.org/officeDocument/2006/relationships/hyperlink" Target="https://drive.google.com/file/d/11DioRX_XNnw8_aJ3KvGyCDFbXo4qJCVb/view?usp=drivesdk" TargetMode="External"/><Relationship Id="rId448" Type="http://schemas.openxmlformats.org/officeDocument/2006/relationships/hyperlink" Target="https://drive.google.com/file/d/1m_6_ZiKbSpVDPu9bOJ7JHNsSk6gzyyq8/view?usp=drivesdk" TargetMode="External"/><Relationship Id="rId447" Type="http://schemas.openxmlformats.org/officeDocument/2006/relationships/hyperlink" Target="https://drive.google.com/file/d/1A4lsb49p5jSAt6T9UfyFdt071nhKTkhe/view?usp=drivesdk" TargetMode="External"/><Relationship Id="rId446" Type="http://schemas.openxmlformats.org/officeDocument/2006/relationships/hyperlink" Target="https://drive.google.com/file/d/1VKkObWFrKrpIvUoTiEvCq-msCbAldCmA/view?usp=drivesdk" TargetMode="External"/><Relationship Id="rId445" Type="http://schemas.openxmlformats.org/officeDocument/2006/relationships/hyperlink" Target="https://drive.google.com/file/d/15sOIl5sqW5GLl6KGMcjFopWv-GPv7T85/view?usp=drivesdk" TargetMode="External"/><Relationship Id="rId449" Type="http://schemas.openxmlformats.org/officeDocument/2006/relationships/hyperlink" Target="https://drive.google.com/file/d/1IcY0xnVq6gbt4hoYNxvptTPGth5-766E/view?usp=drivesdk" TargetMode="External"/><Relationship Id="rId440" Type="http://schemas.openxmlformats.org/officeDocument/2006/relationships/hyperlink" Target="https://drive.google.com/file/d/14HDKN7LCzPaGIuYgP9A0l0mQ9qKJgfr1/view?usp=drivesdk" TargetMode="External"/><Relationship Id="rId6960" Type="http://schemas.openxmlformats.org/officeDocument/2006/relationships/hyperlink" Target="https://drive.google.com/file/d/1W2NvHg1CDa2XCuclNkZOKNeD0vsy78sE/view?usp=drivesdk" TargetMode="External"/><Relationship Id="rId5630" Type="http://schemas.openxmlformats.org/officeDocument/2006/relationships/hyperlink" Target="https://drive.google.com/file/d/1nSGwCKeYHaxs5g9P0DSiZeib8r9RB1h_/view?usp=drivesdk" TargetMode="External"/><Relationship Id="rId6961" Type="http://schemas.openxmlformats.org/officeDocument/2006/relationships/hyperlink" Target="https://drive.google.com/file/d/1cICb6DgoyJNMP06xBAcb0sceJ-csXSJn/view?usp=drivesdk" TargetMode="External"/><Relationship Id="rId444" Type="http://schemas.openxmlformats.org/officeDocument/2006/relationships/hyperlink" Target="https://drive.google.com/file/d/1L3UBWkYOJW8LV0gWxvALZsxxhlZr5vSv/view?usp=drivesdk" TargetMode="External"/><Relationship Id="rId4301" Type="http://schemas.openxmlformats.org/officeDocument/2006/relationships/hyperlink" Target="https://drive.google.com/file/d/1aPFriSUk7R2Uoa0SQMmF1OJCI6zClly5/view?usp=drivesdk" TargetMode="External"/><Relationship Id="rId5633" Type="http://schemas.openxmlformats.org/officeDocument/2006/relationships/hyperlink" Target="https://drive.google.com/file/d/1VASz13AdaMZGMZWIglwP0okRoYQQ8R1C/view?usp=drivesdk" TargetMode="External"/><Relationship Id="rId6964" Type="http://schemas.openxmlformats.org/officeDocument/2006/relationships/hyperlink" Target="https://drive.google.com/file/d/104tB7_C69cLeyTkjijrGzwo1m2vnh_hE/view?usp=drivesdk" TargetMode="External"/><Relationship Id="rId443" Type="http://schemas.openxmlformats.org/officeDocument/2006/relationships/hyperlink" Target="https://drive.google.com/file/d/1Gp4LbHXiM0yW51vLpC7U4lfvJqfgnP3E/view?usp=drivesdk" TargetMode="External"/><Relationship Id="rId4300" Type="http://schemas.openxmlformats.org/officeDocument/2006/relationships/hyperlink" Target="https://drive.google.com/file/d/1WLKdyQiqIKR4UBpGw7hA8lnaBnfr0-hC/view?usp=drivesdk" TargetMode="External"/><Relationship Id="rId5634" Type="http://schemas.openxmlformats.org/officeDocument/2006/relationships/hyperlink" Target="https://drive.google.com/file/d/18v4MsqZNDHxhjGhqEp0WJBSX08yQg0Di/view?usp=drivesdk" TargetMode="External"/><Relationship Id="rId6965" Type="http://schemas.openxmlformats.org/officeDocument/2006/relationships/hyperlink" Target="https://drive.google.com/file/d/1cFvdb-c4OJMcb5s_-Wl2pbBIpJ5oPFTZ/view?usp=drivesdk" TargetMode="External"/><Relationship Id="rId442" Type="http://schemas.openxmlformats.org/officeDocument/2006/relationships/hyperlink" Target="https://drive.google.com/file/d/1T67Zom4EkSxrFPQ-NcKvrfl8qLT9w-VR/view?usp=drivesdk" TargetMode="External"/><Relationship Id="rId4303" Type="http://schemas.openxmlformats.org/officeDocument/2006/relationships/hyperlink" Target="https://drive.google.com/file/d/1731jla51oPbHt-kULTcT3uYCJRB15K57/view?usp=drivesdk" TargetMode="External"/><Relationship Id="rId5631" Type="http://schemas.openxmlformats.org/officeDocument/2006/relationships/hyperlink" Target="https://drive.google.com/file/d/106dVPuTg3l9FuKeSdKMTcjWe_dZIawxb/view?usp=drivesdk" TargetMode="External"/><Relationship Id="rId6962" Type="http://schemas.openxmlformats.org/officeDocument/2006/relationships/hyperlink" Target="https://drive.google.com/file/d/1DDOWstOMShUVDgLuwj_GWcHnrBOokmb6/view?usp=drivesdk" TargetMode="External"/><Relationship Id="rId441" Type="http://schemas.openxmlformats.org/officeDocument/2006/relationships/hyperlink" Target="https://drive.google.com/file/d/1q2ruh0bbn9Xt4NKXNyu5Q8vfzdeXK81J/view?usp=drivesdk" TargetMode="External"/><Relationship Id="rId4302" Type="http://schemas.openxmlformats.org/officeDocument/2006/relationships/hyperlink" Target="https://drive.google.com/file/d/1UP3Vie7ekx33Urg2lNzLzZL671nMILwM/view?usp=drivesdk" TargetMode="External"/><Relationship Id="rId5632" Type="http://schemas.openxmlformats.org/officeDocument/2006/relationships/hyperlink" Target="https://drive.google.com/file/d/1ZJijB1GTizydmw8bBS94YBFHDGOFqTSu/view?usp=drivesdk" TargetMode="External"/><Relationship Id="rId6963" Type="http://schemas.openxmlformats.org/officeDocument/2006/relationships/hyperlink" Target="https://drive.google.com/file/d/1MwWuVuKeV1dwEqOPi6-2HjBIpCcqs0-J/view?usp=drivesdk" TargetMode="External"/><Relationship Id="rId5626" Type="http://schemas.openxmlformats.org/officeDocument/2006/relationships/hyperlink" Target="https://drive.google.com/file/d/1DUyfnHsSD8es6TojWWOs1ObI2J2DsnSh/view?usp=drivesdk" TargetMode="External"/><Relationship Id="rId6957" Type="http://schemas.openxmlformats.org/officeDocument/2006/relationships/hyperlink" Target="https://drive.google.com/file/d/1BhJW6UDcdqWObxNVp8NDshxpsicQUKgB/view?usp=drivesdk" TargetMode="External"/><Relationship Id="rId5627" Type="http://schemas.openxmlformats.org/officeDocument/2006/relationships/hyperlink" Target="https://drive.google.com/file/d/1TmBgWBl_uRZSVzadtZq_8B9RqPK8M5aK/view?usp=drivesdk" TargetMode="External"/><Relationship Id="rId6958" Type="http://schemas.openxmlformats.org/officeDocument/2006/relationships/hyperlink" Target="https://drive.google.com/file/d/1y8SiuLjWfGKg04FOGkZUU-Xfh4OIhKN4/view?usp=drivesdk" TargetMode="External"/><Relationship Id="rId5624" Type="http://schemas.openxmlformats.org/officeDocument/2006/relationships/hyperlink" Target="https://drive.google.com/file/d/1Qq_Ab8XpohG6nDCHENSlRSmwlsr-AY9s/view?usp=drivesdk" TargetMode="External"/><Relationship Id="rId6955" Type="http://schemas.openxmlformats.org/officeDocument/2006/relationships/hyperlink" Target="https://drive.google.com/file/d/1AP4IaGnt1F6_-pQvYn1Greye7KsZG4cU/view?usp=drivesdk" TargetMode="External"/><Relationship Id="rId5625" Type="http://schemas.openxmlformats.org/officeDocument/2006/relationships/hyperlink" Target="https://drive.google.com/file/d/18kQScQ5bmZi2Ybnbs-O0tGHhmQdSoiW0/view?usp=drivesdk" TargetMode="External"/><Relationship Id="rId6956" Type="http://schemas.openxmlformats.org/officeDocument/2006/relationships/hyperlink" Target="https://drive.google.com/file/d/1-52nQldwaWt7_AtT8N1SK-v6tPaqNujf/view?usp=drivesdk" TargetMode="External"/><Relationship Id="rId5628" Type="http://schemas.openxmlformats.org/officeDocument/2006/relationships/hyperlink" Target="https://drive.google.com/file/d/1rodQOJ_KGqKkNzwgA8GWsVIyKaQE_QGJ/view?usp=drivesdk" TargetMode="External"/><Relationship Id="rId6959" Type="http://schemas.openxmlformats.org/officeDocument/2006/relationships/hyperlink" Target="https://drive.google.com/file/d/1RqIVr8QlAU1eXZF06F4Ww3ZXSHZAoCCF/view?usp=drivesdk" TargetMode="External"/><Relationship Id="rId5629" Type="http://schemas.openxmlformats.org/officeDocument/2006/relationships/hyperlink" Target="https://drive.google.com/file/d/1y5c6rpmagTaID7FuLRS2bgY90jCEaj7l/view?usp=drivesdk" TargetMode="External"/><Relationship Id="rId437" Type="http://schemas.openxmlformats.org/officeDocument/2006/relationships/hyperlink" Target="https://drive.google.com/file/d/1jrQIC1i7fO092b36m0zqIMylbfTKxAZW/view?usp=drivesdk" TargetMode="External"/><Relationship Id="rId436" Type="http://schemas.openxmlformats.org/officeDocument/2006/relationships/hyperlink" Target="https://drive.google.com/file/d/1Sn0mbuul5gML1aNXKsL-ILmc3kgndPkp/view?usp=drivesdk" TargetMode="External"/><Relationship Id="rId435" Type="http://schemas.openxmlformats.org/officeDocument/2006/relationships/hyperlink" Target="https://drive.google.com/file/d/1M53mwL0sQzoIGWhQiVdyosOdZa3n4lpr/view?usp=drivesdk" TargetMode="External"/><Relationship Id="rId434" Type="http://schemas.openxmlformats.org/officeDocument/2006/relationships/hyperlink" Target="https://drive.google.com/file/d/1ojZ0TwYtUGZV6PdvPDFiFJCur-jbcOas/view?usp=drivesdk" TargetMode="External"/><Relationship Id="rId439" Type="http://schemas.openxmlformats.org/officeDocument/2006/relationships/hyperlink" Target="https://drive.google.com/file/d/102gfRy2DX28pb69ky27ipeR9BHSxlz4i/view?usp=drivesdk" TargetMode="External"/><Relationship Id="rId438" Type="http://schemas.openxmlformats.org/officeDocument/2006/relationships/hyperlink" Target="https://drive.google.com/file/d/1y-98OC0CiF9EdiD7AVvsVSsrv2QuL0ip/view?usp=drivesdk" TargetMode="External"/><Relationship Id="rId6950" Type="http://schemas.openxmlformats.org/officeDocument/2006/relationships/hyperlink" Target="https://drive.google.com/file/d/1Isjs3P9OO5oBJ3NJhpegFbEO8tmERr-1/view?usp=drivesdk" TargetMode="External"/><Relationship Id="rId433" Type="http://schemas.openxmlformats.org/officeDocument/2006/relationships/hyperlink" Target="https://drive.google.com/file/d/1cucldBBAvVluI1HYuiGsz_VRBrRVIfYc/view?usp=drivesdk" TargetMode="External"/><Relationship Id="rId5622" Type="http://schemas.openxmlformats.org/officeDocument/2006/relationships/hyperlink" Target="https://drive.google.com/file/d/1mm5FpZwuLBlASqm3bDJPToahku89yK5C/view?usp=drivesdk" TargetMode="External"/><Relationship Id="rId6953" Type="http://schemas.openxmlformats.org/officeDocument/2006/relationships/hyperlink" Target="https://drive.google.com/file/d/1-bu0ThHDegsHn78jcl_gko_MF8VUCCle/view?usp=drivesdk" TargetMode="External"/><Relationship Id="rId432" Type="http://schemas.openxmlformats.org/officeDocument/2006/relationships/hyperlink" Target="https://drive.google.com/file/d/1jMqKuwA--tjFzaOip_Mx9C5PTBydNJej/view?usp=drivesdk" TargetMode="External"/><Relationship Id="rId5623" Type="http://schemas.openxmlformats.org/officeDocument/2006/relationships/hyperlink" Target="https://drive.google.com/file/d/1CkUUbAurLcZL8H6tvLXCj6z4OAvjZZOK/view?usp=drivesdk" TargetMode="External"/><Relationship Id="rId6954" Type="http://schemas.openxmlformats.org/officeDocument/2006/relationships/hyperlink" Target="https://drive.google.com/file/d/1RTNyB5QKF5YFGtdNyzhe9mscyKIGhnXz/view?usp=drivesdk" TargetMode="External"/><Relationship Id="rId431" Type="http://schemas.openxmlformats.org/officeDocument/2006/relationships/hyperlink" Target="https://drive.google.com/file/d/1z6FhNSgZG4IrqDlkbzwOIkOfmf4YAA09/view?usp=drivesdk" TargetMode="External"/><Relationship Id="rId5620" Type="http://schemas.openxmlformats.org/officeDocument/2006/relationships/hyperlink" Target="https://drive.google.com/file/d/1ht8bgrCT997nsCAciYYj2UeI-0f_W3Mx/view?usp=drivesdk" TargetMode="External"/><Relationship Id="rId6951" Type="http://schemas.openxmlformats.org/officeDocument/2006/relationships/hyperlink" Target="https://drive.google.com/file/d/1H8b5uRK-aXYjZ5MtXEkvXBr2AC0MLXt-/view?usp=drivesdk" TargetMode="External"/><Relationship Id="rId430" Type="http://schemas.openxmlformats.org/officeDocument/2006/relationships/hyperlink" Target="https://drive.google.com/file/d/1UeIFDraBc4i7mLWB2eHN-1VvNqZp1yrj/view?usp=drivesdk" TargetMode="External"/><Relationship Id="rId5621" Type="http://schemas.openxmlformats.org/officeDocument/2006/relationships/hyperlink" Target="https://drive.google.com/file/d/1M_wEjMYZiSLorP3YqYWoeeluUlH_GyQe/view?usp=drivesdk" TargetMode="External"/><Relationship Id="rId6952" Type="http://schemas.openxmlformats.org/officeDocument/2006/relationships/hyperlink" Target="https://drive.google.com/file/d/136Fem_aOlisXcJKuVazh6GdCMRupTJGK/view?usp=drivesdk" TargetMode="External"/><Relationship Id="rId6108" Type="http://schemas.openxmlformats.org/officeDocument/2006/relationships/hyperlink" Target="https://drive.google.com/file/d/10vY877SUMH8x0-0nBNJad_W50WXIKJ1H/view?usp=drivesdk" TargetMode="External"/><Relationship Id="rId6109" Type="http://schemas.openxmlformats.org/officeDocument/2006/relationships/hyperlink" Target="https://drive.google.com/file/d/1wKGC2Zm5TxJB1wtM7ns1O25nhmAatRhX/view?usp=drivesdk" TargetMode="External"/><Relationship Id="rId7439" Type="http://schemas.openxmlformats.org/officeDocument/2006/relationships/hyperlink" Target="https://drive.google.com/file/d/1on1dzF1-kBpJOWr7AiZjY0jJ1iJ2mGaO/view?usp=drivesdk" TargetMode="External"/><Relationship Id="rId7430" Type="http://schemas.openxmlformats.org/officeDocument/2006/relationships/hyperlink" Target="https://drive.google.com/file/d/1-SM3zoMgpsvi8HCpbHVco6zizt3FvMmX/view?usp=drivesdk" TargetMode="External"/><Relationship Id="rId8761" Type="http://schemas.openxmlformats.org/officeDocument/2006/relationships/hyperlink" Target="https://drive.google.com/file/d/1iVlEQHXzRRCuLal0Szm1emEc9ZN4_Ky3/view?usp=drivesdk" TargetMode="External"/><Relationship Id="rId8760" Type="http://schemas.openxmlformats.org/officeDocument/2006/relationships/hyperlink" Target="https://drive.google.com/file/d/1WASDzFvIIV57N2Jyp4mOciwAK7xWzeMG/view?usp=drivesdk" TargetMode="External"/><Relationship Id="rId6102" Type="http://schemas.openxmlformats.org/officeDocument/2006/relationships/hyperlink" Target="https://drive.google.com/file/d/1bBo6eECyCaMAR_QwNe59DuEReF6AeqrZ/view?usp=drivesdk" TargetMode="External"/><Relationship Id="rId7434" Type="http://schemas.openxmlformats.org/officeDocument/2006/relationships/hyperlink" Target="https://drive.google.com/file/d/103aO3aTyTHhOIcsM6H5OpwtWBYcj1CLB/view?usp=drivesdk" TargetMode="External"/><Relationship Id="rId8765" Type="http://schemas.openxmlformats.org/officeDocument/2006/relationships/hyperlink" Target="https://drive.google.com/file/d/12tRTeE0AgxXzuCdrzQTuJTS2izeklWwq/view?usp=drivesdk" TargetMode="External"/><Relationship Id="rId6103" Type="http://schemas.openxmlformats.org/officeDocument/2006/relationships/hyperlink" Target="https://drive.google.com/file/d/1Tm6TCooEA3UR37rasoVVH95oJKYJxgNK/view?usp=drivesdk" TargetMode="External"/><Relationship Id="rId7433" Type="http://schemas.openxmlformats.org/officeDocument/2006/relationships/hyperlink" Target="https://drive.google.com/file/d/1ylwYGjLPmzb-GHlXQ0fnJ-Y4OjKeEhJb/view?usp=drivesdk" TargetMode="External"/><Relationship Id="rId8764" Type="http://schemas.openxmlformats.org/officeDocument/2006/relationships/hyperlink" Target="https://drive.google.com/file/d/1oWzkpYACayT8kIzv1YyXSrbY9G6bSfg4/view?usp=drivesdk" TargetMode="External"/><Relationship Id="rId6100" Type="http://schemas.openxmlformats.org/officeDocument/2006/relationships/hyperlink" Target="https://drive.google.com/file/d/1eQy4tTe3WjydxkCsLK7eKvrJt_NZ2I9S/view?usp=drivesdk" TargetMode="External"/><Relationship Id="rId7432" Type="http://schemas.openxmlformats.org/officeDocument/2006/relationships/hyperlink" Target="https://drive.google.com/file/d/1niZ6IAHUjyPsvH6P_sygaROyq7f4uIgg/view?usp=drivesdk" TargetMode="External"/><Relationship Id="rId8763" Type="http://schemas.openxmlformats.org/officeDocument/2006/relationships/hyperlink" Target="https://drive.google.com/file/d/1hvWSzXjyAUDpv6B_ftrXj2drYCn5V4T3/view?usp=drivesdk" TargetMode="External"/><Relationship Id="rId6101" Type="http://schemas.openxmlformats.org/officeDocument/2006/relationships/hyperlink" Target="https://drive.google.com/file/d/1Padhfx9BJARgikp4yC3zRqPcKrzrpZeV/view?usp=drivesdk" TargetMode="External"/><Relationship Id="rId7431" Type="http://schemas.openxmlformats.org/officeDocument/2006/relationships/hyperlink" Target="https://drive.google.com/file/d/19YraOCPlknHB4T1Ap0Tv-cNvfdcyDdWK/view?usp=drivesdk" TargetMode="External"/><Relationship Id="rId8762" Type="http://schemas.openxmlformats.org/officeDocument/2006/relationships/hyperlink" Target="https://drive.google.com/file/d/16HRCdJHtGE8shQXr2k1GBWNOVKEH1g5l/view?usp=drivesdk" TargetMode="External"/><Relationship Id="rId6106" Type="http://schemas.openxmlformats.org/officeDocument/2006/relationships/hyperlink" Target="https://drive.google.com/file/d/1cHk4bUlBesfWLj5Co9V8cTo4bveiYy2d/view?usp=drivesdk" TargetMode="External"/><Relationship Id="rId7438" Type="http://schemas.openxmlformats.org/officeDocument/2006/relationships/hyperlink" Target="https://drive.google.com/file/d/1rFDkKzP2ukmWZBgiO5LHuWnsXfrBuu7C/view?usp=drivesdk" TargetMode="External"/><Relationship Id="rId8769" Type="http://schemas.openxmlformats.org/officeDocument/2006/relationships/hyperlink" Target="https://drive.google.com/file/d/1tgqyDkn-2wIF3NVFp07S39XjEICs5S2C/view?usp=drivesdk" TargetMode="External"/><Relationship Id="rId6107" Type="http://schemas.openxmlformats.org/officeDocument/2006/relationships/hyperlink" Target="https://drive.google.com/file/d/1QQF9UwFO-sM9wp73iWttTklori7ZhyW5/view?usp=drivesdk" TargetMode="External"/><Relationship Id="rId7437" Type="http://schemas.openxmlformats.org/officeDocument/2006/relationships/hyperlink" Target="https://drive.google.com/file/d/1Pfk6DbQRGeNUshjlzAnVgPBVnXHVINht/view?usp=drivesdk" TargetMode="External"/><Relationship Id="rId8768" Type="http://schemas.openxmlformats.org/officeDocument/2006/relationships/hyperlink" Target="https://drive.google.com/file/d/1fBkHgLldY5XOXasKqfK6fVghggiEy1gd/view?usp=drivesdk" TargetMode="External"/><Relationship Id="rId6104" Type="http://schemas.openxmlformats.org/officeDocument/2006/relationships/hyperlink" Target="https://drive.google.com/file/d/1RYijvNRReHo1YxyH5WujctMuvqx9EAyj/view?usp=drivesdk" TargetMode="External"/><Relationship Id="rId7436" Type="http://schemas.openxmlformats.org/officeDocument/2006/relationships/hyperlink" Target="https://drive.google.com/file/d/1AvJ1kxHrNxTc2l_Jt4et6Grt5IRjcXLR/view?usp=drivesdk" TargetMode="External"/><Relationship Id="rId8767" Type="http://schemas.openxmlformats.org/officeDocument/2006/relationships/hyperlink" Target="https://drive.google.com/file/d/1dgEpWD6tAzxtdGd5Y0iTAmw9lGfObOz_/view?usp=drivesdk" TargetMode="External"/><Relationship Id="rId6105" Type="http://schemas.openxmlformats.org/officeDocument/2006/relationships/hyperlink" Target="https://drive.google.com/file/d/1Ts5xEhbiuJJ4ojojMQ98g4ppkFlaxLnS/view?usp=drivesdk" TargetMode="External"/><Relationship Id="rId7435" Type="http://schemas.openxmlformats.org/officeDocument/2006/relationships/hyperlink" Target="https://drive.google.com/file/d/1Po7aZ06J5D3ZEgC7qv4l_o4oivr38YEI/view?usp=drivesdk" TargetMode="External"/><Relationship Id="rId8766" Type="http://schemas.openxmlformats.org/officeDocument/2006/relationships/hyperlink" Target="https://drive.google.com/file/d/1k6tKEkzUmRnuEarBngj1W8lQDhYqJwOx/view?usp=drivesdk" TargetMode="External"/><Relationship Id="rId7429" Type="http://schemas.openxmlformats.org/officeDocument/2006/relationships/hyperlink" Target="https://drive.google.com/file/d/1xv_bjTRk6hA6hhY0mKQ5wxpNZmBPf6Sd/view?usp=drivesdk" TargetMode="External"/><Relationship Id="rId7428" Type="http://schemas.openxmlformats.org/officeDocument/2006/relationships/hyperlink" Target="https://drive.google.com/file/d/1VYWJeVgQcBczUfaIoahZBqrG-oQw-_nQ/view?usp=drivesdk" TargetMode="External"/><Relationship Id="rId8759" Type="http://schemas.openxmlformats.org/officeDocument/2006/relationships/hyperlink" Target="https://drive.google.com/file/d/187wAO2mbph87wsl99mImyL8Wol96LBsQ/view?usp=drivesdk" TargetMode="External"/><Relationship Id="rId8750" Type="http://schemas.openxmlformats.org/officeDocument/2006/relationships/hyperlink" Target="https://drive.google.com/file/d/1J5L8SKoLIySB9bCJ-XozxxKvQaxMgwmA/view?usp=drivesdk" TargetMode="External"/><Relationship Id="rId7423" Type="http://schemas.openxmlformats.org/officeDocument/2006/relationships/hyperlink" Target="https://drive.google.com/file/d/1p67dhVzZXNZCOErrOkaxN2VksLKjycRq/view?usp=drivesdk" TargetMode="External"/><Relationship Id="rId8754" Type="http://schemas.openxmlformats.org/officeDocument/2006/relationships/hyperlink" Target="https://drive.google.com/file/d/17PCYDzDDKS8ntBx0LGZTRO6IU3ITIrP5/view?usp=drivesdk" TargetMode="External"/><Relationship Id="rId7422" Type="http://schemas.openxmlformats.org/officeDocument/2006/relationships/hyperlink" Target="https://drive.google.com/file/d/13-qoTabEYg8HYgOQEwBB91E0CrHKeF1Y/view?usp=drivesdk" TargetMode="External"/><Relationship Id="rId8753" Type="http://schemas.openxmlformats.org/officeDocument/2006/relationships/hyperlink" Target="https://drive.google.com/file/d/1C8j-61pA5xvE0l6lz7uTbM6jbeCCl_5r/view?usp=drivesdk" TargetMode="External"/><Relationship Id="rId7421" Type="http://schemas.openxmlformats.org/officeDocument/2006/relationships/hyperlink" Target="https://drive.google.com/file/d/1nJs_Z3qr0B1Wvu-PnOVHc_uEUebDCXwa/view?usp=drivesdk" TargetMode="External"/><Relationship Id="rId8752" Type="http://schemas.openxmlformats.org/officeDocument/2006/relationships/hyperlink" Target="https://drive.google.com/file/d/1G0Bk6X2YH2d3aTGDepKewMtzYHOZaVZF/view?usp=drivesdk" TargetMode="External"/><Relationship Id="rId7420" Type="http://schemas.openxmlformats.org/officeDocument/2006/relationships/hyperlink" Target="https://drive.google.com/file/d/1m0kgUaaqSdeo4LSgHVDr8KHMf17-tuvb/view?usp=drivesdk" TargetMode="External"/><Relationship Id="rId8751" Type="http://schemas.openxmlformats.org/officeDocument/2006/relationships/hyperlink" Target="https://drive.google.com/file/d/1k8rGoDsmJkYSpNobcLiPk6zDjgFlzPCB/view?usp=drivesdk" TargetMode="External"/><Relationship Id="rId7427" Type="http://schemas.openxmlformats.org/officeDocument/2006/relationships/hyperlink" Target="https://drive.google.com/file/d/15cqFmeEX_Byi_QZ_SZLt9HTAgTaAg3Vp/view?usp=drivesdk" TargetMode="External"/><Relationship Id="rId8758" Type="http://schemas.openxmlformats.org/officeDocument/2006/relationships/hyperlink" Target="https://drive.google.com/file/d/1M2ts_AhGM_ue19gDUi7T4wXk1n1fROyF/view?usp=drivesdk" TargetMode="External"/><Relationship Id="rId7426" Type="http://schemas.openxmlformats.org/officeDocument/2006/relationships/hyperlink" Target="https://drive.google.com/file/d/1QOtgB1hOpVI7F5xg07Vz87_BcQy6glmF/view?usp=drivesdk" TargetMode="External"/><Relationship Id="rId8757" Type="http://schemas.openxmlformats.org/officeDocument/2006/relationships/hyperlink" Target="https://drive.google.com/file/d/1fH2pQ1ZNabsPne7VJhL2rZiWpCBzdHGb/view?usp=drivesdk" TargetMode="External"/><Relationship Id="rId7425" Type="http://schemas.openxmlformats.org/officeDocument/2006/relationships/hyperlink" Target="https://drive.google.com/file/d/18QEU0KXihry-mMWsE12JsrOg7kcIbSU-/view?usp=drivesdk" TargetMode="External"/><Relationship Id="rId8756" Type="http://schemas.openxmlformats.org/officeDocument/2006/relationships/hyperlink" Target="https://drive.google.com/file/d/183HwPJQrCwcoGc4csEjMH9CviyyAQQLG/view?usp=drivesdk" TargetMode="External"/><Relationship Id="rId7424" Type="http://schemas.openxmlformats.org/officeDocument/2006/relationships/hyperlink" Target="https://drive.google.com/file/d/1lJj-68FvOL_GNyFPBEIReDBoA7LJPeeN/view?usp=drivesdk" TargetMode="External"/><Relationship Id="rId8755" Type="http://schemas.openxmlformats.org/officeDocument/2006/relationships/hyperlink" Target="https://drive.google.com/file/d/1jQPtpyrZjlFLNsj-SE52qz_vf9XD8ybn/view?usp=drivesdk" TargetMode="External"/><Relationship Id="rId6120" Type="http://schemas.openxmlformats.org/officeDocument/2006/relationships/hyperlink" Target="https://drive.google.com/file/d/1GOob1nBEaqe9kXzvvITtBNMpPcSeL7Go/view?usp=drivesdk" TargetMode="External"/><Relationship Id="rId7452" Type="http://schemas.openxmlformats.org/officeDocument/2006/relationships/hyperlink" Target="https://drive.google.com/file/d/1wdJWqKkf-fFWA4l-_K_d2zpF8D4RQB3r/view?usp=drivesdk" TargetMode="External"/><Relationship Id="rId8783" Type="http://schemas.openxmlformats.org/officeDocument/2006/relationships/hyperlink" Target="https://drive.google.com/file/d/1O1rRfeA0-dTqHgmaSmFXnDO7BWYoX0xV/view?usp=drivesdk" TargetMode="External"/><Relationship Id="rId6121" Type="http://schemas.openxmlformats.org/officeDocument/2006/relationships/hyperlink" Target="https://drive.google.com/file/d/18MR-1wzvlW_GvAtKTocaUR6FN4ukIB_j/view?usp=drivesdk" TargetMode="External"/><Relationship Id="rId7451" Type="http://schemas.openxmlformats.org/officeDocument/2006/relationships/hyperlink" Target="https://drive.google.com/file/d/1fWL8iSijF_lsnLNmIYC6rG79GXZK3uec/view?usp=drivesdk" TargetMode="External"/><Relationship Id="rId8782" Type="http://schemas.openxmlformats.org/officeDocument/2006/relationships/hyperlink" Target="https://drive.google.com/file/d/1KOh7lUa5ZroDaXFn8vsyoAQCmPHg8icr/view?usp=drivesdk" TargetMode="External"/><Relationship Id="rId7450" Type="http://schemas.openxmlformats.org/officeDocument/2006/relationships/hyperlink" Target="https://drive.google.com/file/d/1ZiEqzdpaPW7lhBz2IJEHJ64oeiceQoqv/view?usp=drivesdk" TargetMode="External"/><Relationship Id="rId8781" Type="http://schemas.openxmlformats.org/officeDocument/2006/relationships/hyperlink" Target="https://drive.google.com/file/d/1k3cSVrW2AKepWRkH70gSCFO-Ao-WJzaM/view?usp=drivesdk" TargetMode="External"/><Relationship Id="rId8780" Type="http://schemas.openxmlformats.org/officeDocument/2006/relationships/hyperlink" Target="https://drive.google.com/file/d/1wkUBqZAdrjxdDC3W6bztzh4xqnbpBJz4/view?usp=drivesdk" TargetMode="External"/><Relationship Id="rId6124" Type="http://schemas.openxmlformats.org/officeDocument/2006/relationships/hyperlink" Target="https://drive.google.com/file/d/1cKrvAACUfZ9YZGfOFESR-Wup7Bvu9eSO/view?usp=drivesdk" TargetMode="External"/><Relationship Id="rId7456" Type="http://schemas.openxmlformats.org/officeDocument/2006/relationships/hyperlink" Target="https://drive.google.com/file/d/1Jx_z8KoEZuPsqB4k2SEdrEghV1azrv-v/view?usp=drivesdk" TargetMode="External"/><Relationship Id="rId8787" Type="http://schemas.openxmlformats.org/officeDocument/2006/relationships/hyperlink" Target="https://drive.google.com/file/d/14m2NE4KK1J6Sz8LbHhvbiQNQz1qn3WYm/view?usp=drivesdk" TargetMode="External"/><Relationship Id="rId6125" Type="http://schemas.openxmlformats.org/officeDocument/2006/relationships/hyperlink" Target="https://drive.google.com/file/d/1GDFlOwi-0ONt3K4TKZhUtjOv5SiWw-qs/view?usp=drivesdk" TargetMode="External"/><Relationship Id="rId7455" Type="http://schemas.openxmlformats.org/officeDocument/2006/relationships/hyperlink" Target="https://drive.google.com/file/d/1w6BJseprINdOofm8ZgDxa0_TPzF_4JHO/view?usp=drivesdk" TargetMode="External"/><Relationship Id="rId8786" Type="http://schemas.openxmlformats.org/officeDocument/2006/relationships/hyperlink" Target="https://drive.google.com/file/d/12y8v03met3E3utU7iWjtGdjJe3nA3b-c/view?usp=drivesdk" TargetMode="External"/><Relationship Id="rId6122" Type="http://schemas.openxmlformats.org/officeDocument/2006/relationships/hyperlink" Target="https://drive.google.com/file/d/1AtnznEwjbQCzPMZcmuDobffWBEBWldkL/view?usp=drivesdk" TargetMode="External"/><Relationship Id="rId7454" Type="http://schemas.openxmlformats.org/officeDocument/2006/relationships/hyperlink" Target="https://drive.google.com/file/d/1czun6c8gN8TRMtKaX8PHyrYh6KRR5sjg/view?usp=drivesdk" TargetMode="External"/><Relationship Id="rId8785" Type="http://schemas.openxmlformats.org/officeDocument/2006/relationships/hyperlink" Target="https://drive.google.com/file/d/1kW2wg2TIs8uC0pz3Yt5gmEkybdAbR-gB/view?usp=drivesdk" TargetMode="External"/><Relationship Id="rId6123" Type="http://schemas.openxmlformats.org/officeDocument/2006/relationships/hyperlink" Target="https://drive.google.com/file/d/15LblWCRp5cw3Wwf22EArgC0j4b2oIDhP/view?usp=drivesdk" TargetMode="External"/><Relationship Id="rId7453" Type="http://schemas.openxmlformats.org/officeDocument/2006/relationships/hyperlink" Target="https://drive.google.com/file/d/111k3yemu3q7wpKYVyZf1BInX9dzx0rs6/view?usp=drivesdk" TargetMode="External"/><Relationship Id="rId8784" Type="http://schemas.openxmlformats.org/officeDocument/2006/relationships/hyperlink" Target="https://drive.google.com/file/d/1KQHpxVi3IBKiw4sHBBTjD1nmlPUTLL-g/view?usp=drivesdk" TargetMode="External"/><Relationship Id="rId6128" Type="http://schemas.openxmlformats.org/officeDocument/2006/relationships/hyperlink" Target="https://drive.google.com/file/d/1FdC9X8mWmmZCJoxO0ilPqX6rQvdVVB99/view?usp=drivesdk" TargetMode="External"/><Relationship Id="rId6129" Type="http://schemas.openxmlformats.org/officeDocument/2006/relationships/hyperlink" Target="https://drive.google.com/file/d/1bgEofe6CaR_bhfYtFa-_H28neRz9euDW/view?usp=drivesdk" TargetMode="External"/><Relationship Id="rId7459" Type="http://schemas.openxmlformats.org/officeDocument/2006/relationships/hyperlink" Target="https://drive.google.com/file/d/1fYcoM6KtCJjgjYJqP56ugGpoRUQtsJma/view?usp=drivesdk" TargetMode="External"/><Relationship Id="rId6126" Type="http://schemas.openxmlformats.org/officeDocument/2006/relationships/hyperlink" Target="https://drive.google.com/file/d/1_k5CmmGZi3NkRyQ1yRdn_OVSoUI13hpX/view?usp=drivesdk" TargetMode="External"/><Relationship Id="rId7458" Type="http://schemas.openxmlformats.org/officeDocument/2006/relationships/hyperlink" Target="https://drive.google.com/file/d/1Icw-yKo8KGonFJMTWIsutrXc8l_6Xhe3/view?usp=drivesdk" TargetMode="External"/><Relationship Id="rId8789" Type="http://schemas.openxmlformats.org/officeDocument/2006/relationships/hyperlink" Target="https://drive.google.com/file/d/1l_3Sv3AbH6WBHMSOGUYUMSEo2n5zqTfK/view?usp=drivesdk" TargetMode="External"/><Relationship Id="rId6127" Type="http://schemas.openxmlformats.org/officeDocument/2006/relationships/hyperlink" Target="https://drive.google.com/file/d/1ZR4TQO-GcDpCEVOClX9oAY0Hcz3ttUgH/view?usp=drivesdk" TargetMode="External"/><Relationship Id="rId7457" Type="http://schemas.openxmlformats.org/officeDocument/2006/relationships/hyperlink" Target="https://drive.google.com/file/d/1Iod__IlTJ0e6eBK7u2WL0Hfssv2N26jh/view?usp=drivesdk" TargetMode="External"/><Relationship Id="rId8788" Type="http://schemas.openxmlformats.org/officeDocument/2006/relationships/hyperlink" Target="https://drive.google.com/file/d/1aH-DSaogZ4PLZMl10Yde343KBeKsS4W-/view?usp=drivesdk" TargetMode="External"/><Relationship Id="rId6119" Type="http://schemas.openxmlformats.org/officeDocument/2006/relationships/hyperlink" Target="https://drive.google.com/file/d/1Mb6nJnRMGCeRGaU8_FYfkXeTqPXFGPTu/view?usp=drivesdk" TargetMode="External"/><Relationship Id="rId7441" Type="http://schemas.openxmlformats.org/officeDocument/2006/relationships/hyperlink" Target="https://drive.google.com/file/d/1FHAfig0M4HAmA7DJmDsIiB61bvpuijNY/view?usp=drivesdk" TargetMode="External"/><Relationship Id="rId8772" Type="http://schemas.openxmlformats.org/officeDocument/2006/relationships/hyperlink" Target="https://drive.google.com/file/d/1XGVKgjZweWrjRSNDvA_nEwJXLhQzD9rC/view?usp=drivesdk" TargetMode="External"/><Relationship Id="rId6110" Type="http://schemas.openxmlformats.org/officeDocument/2006/relationships/hyperlink" Target="https://drive.google.com/file/d/1c_7vD_Wg8vzPPmngpWSdKm-R6rAem_TE/view?usp=drivesdk" TargetMode="External"/><Relationship Id="rId7440" Type="http://schemas.openxmlformats.org/officeDocument/2006/relationships/hyperlink" Target="https://drive.google.com/file/d/1FLUcn5E_UDBl0aPKsDYSrgYkYAVnYrx1/view?usp=drivesdk" TargetMode="External"/><Relationship Id="rId8771" Type="http://schemas.openxmlformats.org/officeDocument/2006/relationships/hyperlink" Target="https://drive.google.com/file/d/1g3j54965mTK4gUEXue57MFFOuznBPDnJ/view?usp=drivesdk" TargetMode="External"/><Relationship Id="rId8770" Type="http://schemas.openxmlformats.org/officeDocument/2006/relationships/hyperlink" Target="https://drive.google.com/file/d/1NxMqUtft145bvJYVx5wFlHek1Q6UBxOc/view?usp=drivesdk" TargetMode="External"/><Relationship Id="rId6113" Type="http://schemas.openxmlformats.org/officeDocument/2006/relationships/hyperlink" Target="https://drive.google.com/file/d/1lgZxToyb2BcecH2vhav8NYuPMnCFfVKj/view?usp=drivesdk" TargetMode="External"/><Relationship Id="rId7445" Type="http://schemas.openxmlformats.org/officeDocument/2006/relationships/hyperlink" Target="https://drive.google.com/file/d/1lGtz8lr3pqCdjJqZT__GwPckInb-klBI/view?usp=drivesdk" TargetMode="External"/><Relationship Id="rId8776" Type="http://schemas.openxmlformats.org/officeDocument/2006/relationships/hyperlink" Target="https://drive.google.com/file/d/1YFa3YNNsOV8grsi67TdH3K_YR0PRAozz/view?usp=drivesdk" TargetMode="External"/><Relationship Id="rId6114" Type="http://schemas.openxmlformats.org/officeDocument/2006/relationships/hyperlink" Target="https://drive.google.com/file/d/1D5SzaZT6qhU3O9w5PFnHo4jfiD2a8WrD/view?usp=drivesdk" TargetMode="External"/><Relationship Id="rId7444" Type="http://schemas.openxmlformats.org/officeDocument/2006/relationships/hyperlink" Target="https://drive.google.com/file/d/1wVAyorFmkXHxj4HqVEUzpmEIwwITaW-U/view?usp=drivesdk" TargetMode="External"/><Relationship Id="rId8775" Type="http://schemas.openxmlformats.org/officeDocument/2006/relationships/hyperlink" Target="https://drive.google.com/file/d/1Ys89XJXCKnlWRKipHmZWozw8_UWOftm-/view?usp=drivesdk" TargetMode="External"/><Relationship Id="rId6111" Type="http://schemas.openxmlformats.org/officeDocument/2006/relationships/hyperlink" Target="https://drive.google.com/file/d/1EPJRLaR92fateAaB2j3ag6yWMKeeBR3C/view?usp=drivesdk" TargetMode="External"/><Relationship Id="rId7443" Type="http://schemas.openxmlformats.org/officeDocument/2006/relationships/hyperlink" Target="https://drive.google.com/file/d/1z_OVac_PQ2ZkX0UCnorDWKIRIeoC6dTz/view?usp=drivesdk" TargetMode="External"/><Relationship Id="rId8774" Type="http://schemas.openxmlformats.org/officeDocument/2006/relationships/hyperlink" Target="https://drive.google.com/file/d/1vykKDgmP9L1EY_Yq-v1UrHJK4dRce8Bn/view?usp=drivesdk" TargetMode="External"/><Relationship Id="rId6112" Type="http://schemas.openxmlformats.org/officeDocument/2006/relationships/hyperlink" Target="https://drive.google.com/file/d/1srRD9klUSXLTbN5jxzJgBo4oV9VPGMvm/view?usp=drivesdk" TargetMode="External"/><Relationship Id="rId7442" Type="http://schemas.openxmlformats.org/officeDocument/2006/relationships/hyperlink" Target="https://drive.google.com/file/d/1ypMMpjPBxNMszhhtXJvYGfQqSoTcK7Bh/view?usp=drivesdk" TargetMode="External"/><Relationship Id="rId8773" Type="http://schemas.openxmlformats.org/officeDocument/2006/relationships/hyperlink" Target="https://drive.google.com/file/d/1x5n1QekyiaRlmmUPGTqXtBA--jhSFM8l/view?usp=drivesdk" TargetMode="External"/><Relationship Id="rId6117" Type="http://schemas.openxmlformats.org/officeDocument/2006/relationships/hyperlink" Target="https://drive.google.com/file/d/1-WEMjwvXNQ9cjCYzuAj8HUAgpXAA8Ht7/view?usp=drivesdk" TargetMode="External"/><Relationship Id="rId7449" Type="http://schemas.openxmlformats.org/officeDocument/2006/relationships/hyperlink" Target="https://drive.google.com/file/d/1esA9Whsp5eqLrrrPzdT0VVH7DTbAJobt/view?usp=drivesdk" TargetMode="External"/><Relationship Id="rId6118" Type="http://schemas.openxmlformats.org/officeDocument/2006/relationships/hyperlink" Target="https://drive.google.com/file/d/1c2kyTuhR8adhRfeP2M9_Y6IlVVD3tDW3/view?usp=drivesdk" TargetMode="External"/><Relationship Id="rId7448" Type="http://schemas.openxmlformats.org/officeDocument/2006/relationships/hyperlink" Target="https://drive.google.com/file/d/1VAik4yn2U2kIqfROwFHjtUZhvtYM4nYy/view?usp=drivesdk" TargetMode="External"/><Relationship Id="rId8779" Type="http://schemas.openxmlformats.org/officeDocument/2006/relationships/hyperlink" Target="https://drive.google.com/file/d/1Q_wBSIZo16GBO0NjNhr-FfOq34cDYIvZ/view?usp=drivesdk" TargetMode="External"/><Relationship Id="rId6115" Type="http://schemas.openxmlformats.org/officeDocument/2006/relationships/hyperlink" Target="https://drive.google.com/file/d/1kDvhBdxpvu_oFCiXiXIpE4HczdubSN2g/view?usp=drivesdk" TargetMode="External"/><Relationship Id="rId7447" Type="http://schemas.openxmlformats.org/officeDocument/2006/relationships/hyperlink" Target="https://drive.google.com/file/d/1_Sp1miHJrMoi0fb01Bh6FQG7YvJkWBGn/view?usp=drivesdk" TargetMode="External"/><Relationship Id="rId8778" Type="http://schemas.openxmlformats.org/officeDocument/2006/relationships/hyperlink" Target="https://drive.google.com/file/d/14ChI1ksChlRatmac7ct1l-I0Sl776P3M/view?usp=drivesdk" TargetMode="External"/><Relationship Id="rId6116" Type="http://schemas.openxmlformats.org/officeDocument/2006/relationships/hyperlink" Target="https://drive.google.com/file/d/15Fwv95UgcacIs3SRRY-XOSe50ngGJhaD/view?usp=drivesdk" TargetMode="External"/><Relationship Id="rId7446" Type="http://schemas.openxmlformats.org/officeDocument/2006/relationships/hyperlink" Target="https://drive.google.com/file/d/1zpqKnfQ7HFrtQ2CWprVlrMhxkda3b476/view?usp=drivesdk" TargetMode="External"/><Relationship Id="rId8777" Type="http://schemas.openxmlformats.org/officeDocument/2006/relationships/hyperlink" Target="https://drive.google.com/file/d/1ZNgpdtJdEhNz5ZQ23ZzJsegGEWn86toC/view?usp=drivesdk" TargetMode="External"/><Relationship Id="rId8729" Type="http://schemas.openxmlformats.org/officeDocument/2006/relationships/hyperlink" Target="https://drive.google.com/file/d/1nVJvzy-IwQIXpQRQs2U7EcNs762zQfru/view?usp=drivesdk" TargetMode="External"/><Relationship Id="rId8728" Type="http://schemas.openxmlformats.org/officeDocument/2006/relationships/hyperlink" Target="https://drive.google.com/file/d/1IcBd_1q6GVdgduZ5oACaELkYCn8-zeiO/view?usp=drivesdk" TargetMode="External"/><Relationship Id="rId8727" Type="http://schemas.openxmlformats.org/officeDocument/2006/relationships/hyperlink" Target="https://drive.google.com/file/d/1_Vj9DqnlT51OpjCD9kDIeBSV1f4tCEWH/view?usp=drivesdk" TargetMode="External"/><Relationship Id="rId8726" Type="http://schemas.openxmlformats.org/officeDocument/2006/relationships/hyperlink" Target="https://drive.google.com/file/d/1gPaBskqHGlx55tmwys0fRU2iCuX5VXjM/view?usp=drivesdk" TargetMode="External"/><Relationship Id="rId8721" Type="http://schemas.openxmlformats.org/officeDocument/2006/relationships/hyperlink" Target="https://drive.google.com/file/d/16ItPh7YMozpxuHcDvmdDba2-T_BEwFzb/view?usp=drivesdk" TargetMode="External"/><Relationship Id="rId8720" Type="http://schemas.openxmlformats.org/officeDocument/2006/relationships/hyperlink" Target="https://drive.google.com/file/d/1Scbz2LOQZpLrvSxLNxNvyOGMRMcGNkrm/view?usp=drivesdk" TargetMode="External"/><Relationship Id="rId8725" Type="http://schemas.openxmlformats.org/officeDocument/2006/relationships/hyperlink" Target="https://drive.google.com/file/d/1YuU_sF3qu0qHYPdjWKYXRqh7YUIHpdvK/view?usp=drivesdk" TargetMode="External"/><Relationship Id="rId8724" Type="http://schemas.openxmlformats.org/officeDocument/2006/relationships/hyperlink" Target="https://drive.google.com/file/d/1j6YfZwNV7Wpg7nCMxloTMTVWCVLNm7B9/view?usp=drivesdk" TargetMode="External"/><Relationship Id="rId8723" Type="http://schemas.openxmlformats.org/officeDocument/2006/relationships/hyperlink" Target="https://drive.google.com/file/d/1V1XxpN6314Cinu52rX1QcQWReUYowbcD/view?usp=drivesdk" TargetMode="External"/><Relationship Id="rId8722" Type="http://schemas.openxmlformats.org/officeDocument/2006/relationships/hyperlink" Target="https://drive.google.com/file/d/1MImT5y0XukiVoP7b43ntx-9xIDdyPzMm/view?usp=drivesdk" TargetMode="External"/><Relationship Id="rId8718" Type="http://schemas.openxmlformats.org/officeDocument/2006/relationships/hyperlink" Target="https://drive.google.com/file/d/1N7mdD-86V0GOrLBCfTrVyPeQV6tYiSlo/view?usp=drivesdk" TargetMode="External"/><Relationship Id="rId8717" Type="http://schemas.openxmlformats.org/officeDocument/2006/relationships/hyperlink" Target="https://drive.google.com/file/d/1nr0eqrerw8Gv7VCL21UOU715LSRHuYoD/view?usp=drivesdk" TargetMode="External"/><Relationship Id="rId8716" Type="http://schemas.openxmlformats.org/officeDocument/2006/relationships/hyperlink" Target="https://drive.google.com/file/d/1bMZ_PEODcE3fUR-6pn0Yb8FJlOZwAQzT/view?usp=drivesdk" TargetMode="External"/><Relationship Id="rId8715" Type="http://schemas.openxmlformats.org/officeDocument/2006/relationships/hyperlink" Target="https://drive.google.com/file/d/10alkqrV2_zF773ka4aUhdiiuvpKEjlrH/view?usp=drivesdk" TargetMode="External"/><Relationship Id="rId8719" Type="http://schemas.openxmlformats.org/officeDocument/2006/relationships/hyperlink" Target="https://drive.google.com/file/d/1wxIhvdFTe7QFJIBeUMzG0q38JwNvidmZ/view?usp=drivesdk" TargetMode="External"/><Relationship Id="rId8710" Type="http://schemas.openxmlformats.org/officeDocument/2006/relationships/hyperlink" Target="https://drive.google.com/file/d/17p6Yu5LRsmIyHGAXUBmw5h7GPDjlUL-n/view?usp=drivesdk" TargetMode="External"/><Relationship Id="rId8714" Type="http://schemas.openxmlformats.org/officeDocument/2006/relationships/hyperlink" Target="https://drive.google.com/file/d/13oW2sWU77sMl2uQSZMk_SXJnfoF0lxzJ/view?usp=drivesdk" TargetMode="External"/><Relationship Id="rId8713" Type="http://schemas.openxmlformats.org/officeDocument/2006/relationships/hyperlink" Target="https://drive.google.com/file/d/1n9kUeyA_UqvWUOEF6IGw9vfc9lBKyLFC/view?usp=drivesdk" TargetMode="External"/><Relationship Id="rId8712" Type="http://schemas.openxmlformats.org/officeDocument/2006/relationships/hyperlink" Target="https://drive.google.com/file/d/1BEPivM9ZWovoclg3kAScNBu90pDuJ3-2/view?usp=drivesdk" TargetMode="External"/><Relationship Id="rId8711" Type="http://schemas.openxmlformats.org/officeDocument/2006/relationships/hyperlink" Target="https://drive.google.com/file/d/1cXPDm_wzRve8U0uycF1HUoLNAmYS63Nr/view?usp=drivesdk" TargetMode="External"/><Relationship Id="rId7419" Type="http://schemas.openxmlformats.org/officeDocument/2006/relationships/hyperlink" Target="https://drive.google.com/file/d/1SvxCckOtKw1bj8KU9Rjr_avn9uIXiLIM/view?usp=drivesdk" TargetMode="External"/><Relationship Id="rId7418" Type="http://schemas.openxmlformats.org/officeDocument/2006/relationships/hyperlink" Target="https://drive.google.com/file/d/1KIJ7wJLerddx3Lo15x1fqF9bL8msC5zf/view?usp=drivesdk" TargetMode="External"/><Relationship Id="rId8749" Type="http://schemas.openxmlformats.org/officeDocument/2006/relationships/hyperlink" Target="https://drive.google.com/file/d/1BXoCuT7YNxJO3GU20VKK3cr-TB-vh8U9/view?usp=drivesdk" TargetMode="External"/><Relationship Id="rId7417" Type="http://schemas.openxmlformats.org/officeDocument/2006/relationships/hyperlink" Target="https://drive.google.com/file/d/18G5yv0uRQzKFLiADPedoRGn023f3SWYc/view?usp=drivesdk" TargetMode="External"/><Relationship Id="rId8748" Type="http://schemas.openxmlformats.org/officeDocument/2006/relationships/hyperlink" Target="https://drive.google.com/file/d/12p22WlpJtut6QyxEwUrzZC3APKq-Fmid/view?usp=drivesdk" TargetMode="External"/><Relationship Id="rId7412" Type="http://schemas.openxmlformats.org/officeDocument/2006/relationships/hyperlink" Target="https://drive.google.com/file/d/1LEFuz74L2p1ePwzvoRP6wRr_e0zMX0d6/view?usp=drivesdk" TargetMode="External"/><Relationship Id="rId8743" Type="http://schemas.openxmlformats.org/officeDocument/2006/relationships/hyperlink" Target="https://drive.google.com/file/d/15mJQSBcI8BfBUB5JPa5rne2-8p1I5hVm/view?usp=drivesdk" TargetMode="External"/><Relationship Id="rId7411" Type="http://schemas.openxmlformats.org/officeDocument/2006/relationships/hyperlink" Target="https://drive.google.com/file/d/1F07Tp5uq5Dfcy3jA_IS7CtunfgzRRebH/view?usp=drivesdk" TargetMode="External"/><Relationship Id="rId8742" Type="http://schemas.openxmlformats.org/officeDocument/2006/relationships/hyperlink" Target="https://drive.google.com/file/d/131NEeDY979FV6UdQApzaHMrMh0LCmD9X/view?usp=drivesdk" TargetMode="External"/><Relationship Id="rId7410" Type="http://schemas.openxmlformats.org/officeDocument/2006/relationships/hyperlink" Target="https://drive.google.com/file/d/1FsASmh15_rc1Uc6i9fQDvLxAmzNfBapE/view?usp=drivesdk" TargetMode="External"/><Relationship Id="rId8741" Type="http://schemas.openxmlformats.org/officeDocument/2006/relationships/hyperlink" Target="https://drive.google.com/file/d/1jTStf-Dqt7zO16fcvM6ToHNElZV-gTie/view?usp=drivesdk" TargetMode="External"/><Relationship Id="rId8740" Type="http://schemas.openxmlformats.org/officeDocument/2006/relationships/hyperlink" Target="https://drive.google.com/file/d/1ZM4tZ-B5mHoM_BNZEqa-bZCPLfvno1zS/view?usp=drivesdk" TargetMode="External"/><Relationship Id="rId7416" Type="http://schemas.openxmlformats.org/officeDocument/2006/relationships/hyperlink" Target="https://drive.google.com/file/d/18kXNbzP5iUn6I9ZwuvhwrMnatZXXGfB4/view?usp=drivesdk" TargetMode="External"/><Relationship Id="rId8747" Type="http://schemas.openxmlformats.org/officeDocument/2006/relationships/hyperlink" Target="https://drive.google.com/file/d/1B_tkNS7jZLt8BFG2i_vkbMvWaS2LY1Mi/view?usp=drivesdk" TargetMode="External"/><Relationship Id="rId7415" Type="http://schemas.openxmlformats.org/officeDocument/2006/relationships/hyperlink" Target="https://drive.google.com/file/d/1XVm6O79wvP37Bifs6GbJGLM2UAXCxNWf/view?usp=drivesdk" TargetMode="External"/><Relationship Id="rId8746" Type="http://schemas.openxmlformats.org/officeDocument/2006/relationships/hyperlink" Target="https://drive.google.com/file/d/1cILbfew1jjU_-P6iIGPBocgSzl5pTqsx/view?usp=drivesdk" TargetMode="External"/><Relationship Id="rId7414" Type="http://schemas.openxmlformats.org/officeDocument/2006/relationships/hyperlink" Target="https://drive.google.com/file/d/1aN1aprEZ5VV1qDLuqAprq5TVygkSDX-1/view?usp=drivesdk" TargetMode="External"/><Relationship Id="rId8745" Type="http://schemas.openxmlformats.org/officeDocument/2006/relationships/hyperlink" Target="https://drive.google.com/file/d/1FUaJh289Vx5BtjXvxrLUnATikYoSDS2Y/view?usp=drivesdk" TargetMode="External"/><Relationship Id="rId7413" Type="http://schemas.openxmlformats.org/officeDocument/2006/relationships/hyperlink" Target="https://drive.google.com/file/d/12Xz5fNfaD5hrM7fvz3SbjSJPFxVr_OsZ/view?usp=drivesdk" TargetMode="External"/><Relationship Id="rId8744" Type="http://schemas.openxmlformats.org/officeDocument/2006/relationships/hyperlink" Target="https://drive.google.com/file/d/1DcVKh_8t8XL_CSyG1QbnpgZQkCMCchIx/view?usp=drivesdk" TargetMode="External"/><Relationship Id="rId7409" Type="http://schemas.openxmlformats.org/officeDocument/2006/relationships/hyperlink" Target="https://drive.google.com/file/d/1cmQiOinxnjcuJTWzeG40lOT0f2Qt5Owx/view?usp=drivesdk" TargetMode="External"/><Relationship Id="rId7408" Type="http://schemas.openxmlformats.org/officeDocument/2006/relationships/hyperlink" Target="https://drive.google.com/file/d/1NDfDq0yIKIS4rpAqJ5Y6Pq5EwGHh9nyU/view?usp=drivesdk" TargetMode="External"/><Relationship Id="rId8739" Type="http://schemas.openxmlformats.org/officeDocument/2006/relationships/hyperlink" Target="https://drive.google.com/file/d/1prvUbgTqoKQji7TUv9LhpltjkFbV9n7a/view?usp=drivesdk" TargetMode="External"/><Relationship Id="rId7407" Type="http://schemas.openxmlformats.org/officeDocument/2006/relationships/hyperlink" Target="https://drive.google.com/file/d/10K20Ht5LJQULpCaJhJDHK4wZcPIvlmTC/view?usp=drivesdk" TargetMode="External"/><Relationship Id="rId8738" Type="http://schemas.openxmlformats.org/officeDocument/2006/relationships/hyperlink" Target="https://drive.google.com/file/d/173C5yI0vx8M0aCfpncN8A2_QSwf9NrKE/view?usp=drivesdk" TargetMode="External"/><Relationship Id="rId7406" Type="http://schemas.openxmlformats.org/officeDocument/2006/relationships/hyperlink" Target="https://drive.google.com/file/d/1DFCf1j6MDfVoN7s1K4y5RFuISbYlZMvD/view?usp=drivesdk" TargetMode="External"/><Relationship Id="rId8737" Type="http://schemas.openxmlformats.org/officeDocument/2006/relationships/hyperlink" Target="https://drive.google.com/file/d/17UdHoUcoW_McYyMpMlByV3QtAXFUhTBb/view?usp=drivesdk" TargetMode="External"/><Relationship Id="rId7401" Type="http://schemas.openxmlformats.org/officeDocument/2006/relationships/hyperlink" Target="https://drive.google.com/file/d/1kcfB-9w1vgRjokv0Vl4_6bqhWeD9gBrc/view?usp=drivesdk" TargetMode="External"/><Relationship Id="rId8732" Type="http://schemas.openxmlformats.org/officeDocument/2006/relationships/hyperlink" Target="https://drive.google.com/file/d/1UxJAUt-Uj8nCJJnRjAthVorOmPymAgM5/view?usp=drivesdk" TargetMode="External"/><Relationship Id="rId7400" Type="http://schemas.openxmlformats.org/officeDocument/2006/relationships/hyperlink" Target="https://drive.google.com/file/d/1SNr5EIvTviTASjhS20Rx1hmD5gwXEFE7/view?usp=drivesdk" TargetMode="External"/><Relationship Id="rId8731" Type="http://schemas.openxmlformats.org/officeDocument/2006/relationships/hyperlink" Target="https://drive.google.com/file/d/1x39wbIzIZnBWZbvj1tl4CVS6vijzS9n5/view?usp=drivesdk" TargetMode="External"/><Relationship Id="rId8730" Type="http://schemas.openxmlformats.org/officeDocument/2006/relationships/hyperlink" Target="https://drive.google.com/file/d/1iUvqQbjmpvvuo8WLQZGKDzB9ixAPDyZH/view?usp=drivesdk" TargetMode="External"/><Relationship Id="rId7405" Type="http://schemas.openxmlformats.org/officeDocument/2006/relationships/hyperlink" Target="https://drive.google.com/file/d/1EIqjKk4gdFBh18YkRZ4sMYOkkoxAyRfb/view?usp=drivesdk" TargetMode="External"/><Relationship Id="rId8736" Type="http://schemas.openxmlformats.org/officeDocument/2006/relationships/hyperlink" Target="https://drive.google.com/file/d/1TCQQi9j5iSa9jxIk3y_tWwfrHXrgNfQo/view?usp=drivesdk" TargetMode="External"/><Relationship Id="rId7404" Type="http://schemas.openxmlformats.org/officeDocument/2006/relationships/hyperlink" Target="https://drive.google.com/file/d/10if3syNA0E07URcX3tOaZGWwv6tF-r8w/view?usp=drivesdk" TargetMode="External"/><Relationship Id="rId8735" Type="http://schemas.openxmlformats.org/officeDocument/2006/relationships/hyperlink" Target="https://drive.google.com/file/d/178RWIJ2cnegx8du5RjdkQQeQxeAV3OZg/view?usp=drivesdk" TargetMode="External"/><Relationship Id="rId7403" Type="http://schemas.openxmlformats.org/officeDocument/2006/relationships/hyperlink" Target="https://drive.google.com/file/d/1GE5pdQvfHeuETVzcNqdTRmDO4WDjxNIO/view?usp=drivesdk" TargetMode="External"/><Relationship Id="rId8734" Type="http://schemas.openxmlformats.org/officeDocument/2006/relationships/hyperlink" Target="https://drive.google.com/file/d/1V8CAwCUQBfflNbDuHQqYASHDQfUd_R4K/view?usp=drivesdk" TargetMode="External"/><Relationship Id="rId7402" Type="http://schemas.openxmlformats.org/officeDocument/2006/relationships/hyperlink" Target="https://drive.google.com/file/d/1CTwTDFiFfPn6av2K7t3kbpiH27aHdmLo/view?usp=drivesdk" TargetMode="External"/><Relationship Id="rId8733" Type="http://schemas.openxmlformats.org/officeDocument/2006/relationships/hyperlink" Target="https://drive.google.com/file/d/1WZjxuUzuReWC9DPvt5UVozqZAiMehHbC/view?usp=drivesdk" TargetMode="External"/><Relationship Id="rId6190" Type="http://schemas.openxmlformats.org/officeDocument/2006/relationships/hyperlink" Target="https://drive.google.com/file/d/12CkYPKHVnsemwU6bbdqdFi1iCzhuNQ0u/view?usp=drivesdk" TargetMode="External"/><Relationship Id="rId6182" Type="http://schemas.openxmlformats.org/officeDocument/2006/relationships/hyperlink" Target="https://drive.google.com/file/d/1-f5zhyDC05kc5NFPYhgblFRKU35azl42/view?usp=drivesdk" TargetMode="External"/><Relationship Id="rId6183" Type="http://schemas.openxmlformats.org/officeDocument/2006/relationships/hyperlink" Target="https://drive.google.com/file/d/1UVYJL7kZob_fjjVZc_zY9viEq-oAZfo6/view?usp=drivesdk" TargetMode="External"/><Relationship Id="rId6180" Type="http://schemas.openxmlformats.org/officeDocument/2006/relationships/hyperlink" Target="https://drive.google.com/file/d/1SW3iLX_votwKevQW9Wkm64r_ni30cyaD/view?usp=drivesdk" TargetMode="External"/><Relationship Id="rId6181" Type="http://schemas.openxmlformats.org/officeDocument/2006/relationships/hyperlink" Target="https://drive.google.com/file/d/1UkA3ni9KQfpA9v0j3w3BTFCPiJe8PrPN/view?usp=drivesdk" TargetMode="External"/><Relationship Id="rId6186" Type="http://schemas.openxmlformats.org/officeDocument/2006/relationships/hyperlink" Target="https://drive.google.com/file/d/13n1nwoETNUtbKtXYjhXdSHJbID9qHJ__/view?usp=drivesdk" TargetMode="External"/><Relationship Id="rId6187" Type="http://schemas.openxmlformats.org/officeDocument/2006/relationships/hyperlink" Target="https://drive.google.com/file/d/1cdwh5mUoyNLAU657njRK9a8976-Yc1K-/view?usp=drivesdk" TargetMode="External"/><Relationship Id="rId6184" Type="http://schemas.openxmlformats.org/officeDocument/2006/relationships/hyperlink" Target="https://drive.google.com/file/d/1YlrWJL0gTHxW66D5UygaMe3ejA7X3D2l/view?usp=drivesdk" TargetMode="External"/><Relationship Id="rId6185" Type="http://schemas.openxmlformats.org/officeDocument/2006/relationships/hyperlink" Target="https://drive.google.com/file/d/1rOZNw4lubOBUNvfJe9esAPKDgSd5wzHQ/view?usp=drivesdk" TargetMode="External"/><Relationship Id="rId6188" Type="http://schemas.openxmlformats.org/officeDocument/2006/relationships/hyperlink" Target="https://drive.google.com/file/d/1E5AezVqN6DzGmKJRH_zCkw5ETDB3BrTj/view?usp=drivesdk" TargetMode="External"/><Relationship Id="rId6189" Type="http://schemas.openxmlformats.org/officeDocument/2006/relationships/hyperlink" Target="https://drive.google.com/file/d/1wE2bnrP5mFVA8y5HCipAkMSeeG52V35I/view?usp=drivesdk" TargetMode="External"/><Relationship Id="rId6171" Type="http://schemas.openxmlformats.org/officeDocument/2006/relationships/hyperlink" Target="https://drive.google.com/file/d/1_727w4nRbgE3U4-e1VKyVuVmidrhtdgV/view?usp=drivesdk" TargetMode="External"/><Relationship Id="rId6172" Type="http://schemas.openxmlformats.org/officeDocument/2006/relationships/hyperlink" Target="https://drive.google.com/file/d/1VMdDiIrPUS0yhJJoa0PM0GKY4XHqard_/view?usp=drivesdk" TargetMode="External"/><Relationship Id="rId6170" Type="http://schemas.openxmlformats.org/officeDocument/2006/relationships/hyperlink" Target="https://drive.google.com/file/d/1Xh64DDA7Ngo2ny4T78cxtlxa-hm9kYVo/view?usp=drivesdk" TargetMode="External"/><Relationship Id="rId6175" Type="http://schemas.openxmlformats.org/officeDocument/2006/relationships/hyperlink" Target="https://drive.google.com/file/d/1jTeF8u79Padsurw5H9k0idcb91o9YGtU/view?usp=drivesdk" TargetMode="External"/><Relationship Id="rId6176" Type="http://schemas.openxmlformats.org/officeDocument/2006/relationships/hyperlink" Target="https://drive.google.com/file/d/1a8HSxoI3OXEXXo_WeaaLN4sjKEmArcL1/view?usp=drivesdk" TargetMode="External"/><Relationship Id="rId6173" Type="http://schemas.openxmlformats.org/officeDocument/2006/relationships/hyperlink" Target="https://drive.google.com/file/d/1X6zl4vmQzEPX_vcOmIOaARk6P1G4zvNp/view?usp=drivesdk" TargetMode="External"/><Relationship Id="rId6174" Type="http://schemas.openxmlformats.org/officeDocument/2006/relationships/hyperlink" Target="https://drive.google.com/file/d/1H4wgE2oJsEBGQ0COgZ73Wk6DRB9RtAOX/view?usp=drivesdk" TargetMode="External"/><Relationship Id="rId6179" Type="http://schemas.openxmlformats.org/officeDocument/2006/relationships/hyperlink" Target="https://drive.google.com/file/d/1bKzNxbaMNptw62Z14DIIxy2csaZqsyfr/view?usp=drivesdk" TargetMode="External"/><Relationship Id="rId6177" Type="http://schemas.openxmlformats.org/officeDocument/2006/relationships/hyperlink" Target="https://drive.google.com/file/d/1nScgI4_H_uflbqg8c4MFg9WdnvGxPGAj/view?usp=drivesdk" TargetMode="External"/><Relationship Id="rId6178" Type="http://schemas.openxmlformats.org/officeDocument/2006/relationships/hyperlink" Target="https://drive.google.com/file/d/1twQTEhPtSz_g5JuNtd7rWTVD7z3_fAxb/view?usp=drivesdk" TargetMode="External"/><Relationship Id="rId808" Type="http://schemas.openxmlformats.org/officeDocument/2006/relationships/hyperlink" Target="https://drive.google.com/file/d/1BR9OUAwsYtVxJqdZr7e9HnYHXHr3mjtW/view?usp=drivesdk" TargetMode="External"/><Relationship Id="rId807" Type="http://schemas.openxmlformats.org/officeDocument/2006/relationships/hyperlink" Target="https://drive.google.com/file/d/1DeR1r45fe4dkigYzJwfSMIJLtAH9Mb1t/view?usp=drivesdk" TargetMode="External"/><Relationship Id="rId806" Type="http://schemas.openxmlformats.org/officeDocument/2006/relationships/hyperlink" Target="https://drive.google.com/file/d/1hJmQcAxxXlEqHhkGHt1uddf2jlaCCUGw/view?usp=drivesdk" TargetMode="External"/><Relationship Id="rId805" Type="http://schemas.openxmlformats.org/officeDocument/2006/relationships/hyperlink" Target="https://drive.google.com/file/d/13yJkFMOfYyCdseA0QK8bOwTGvHzW7m1s/view?usp=drivesdk" TargetMode="External"/><Relationship Id="rId809" Type="http://schemas.openxmlformats.org/officeDocument/2006/relationships/hyperlink" Target="https://drive.google.com/file/d/1Ft0mHEcu3H0H49AsJYpOWfk10JjSxu-N/view?usp=drivesdk" TargetMode="External"/><Relationship Id="rId800" Type="http://schemas.openxmlformats.org/officeDocument/2006/relationships/hyperlink" Target="https://drive.google.com/file/d/1VRl9D_a6eaEkiq_EgpNySyqM6tVTVUQv/view?usp=drivesdk" TargetMode="External"/><Relationship Id="rId804" Type="http://schemas.openxmlformats.org/officeDocument/2006/relationships/hyperlink" Target="https://drive.google.com/file/d/1F5UiG7oDtLkzvY7qUwD1ZdiLjm9Bxzi5/view?usp=drivesdk" TargetMode="External"/><Relationship Id="rId803" Type="http://schemas.openxmlformats.org/officeDocument/2006/relationships/hyperlink" Target="https://drive.google.com/file/d/1kjRyu-DBBXYPGbfF3KHmhuqgMOEIBQMl/view?usp=drivesdk" TargetMode="External"/><Relationship Id="rId802" Type="http://schemas.openxmlformats.org/officeDocument/2006/relationships/hyperlink" Target="https://drive.google.com/file/d/1Y1JID9_F-zpO5UnmHUp91CNVBYoo6Cus/view?usp=drivesdk" TargetMode="External"/><Relationship Id="rId801" Type="http://schemas.openxmlformats.org/officeDocument/2006/relationships/hyperlink" Target="https://drive.google.com/file/d/1lEX0bObsZg7rhNJGPeXY0k499HeLWOrX/view?usp=drivesdk" TargetMode="External"/><Relationship Id="rId6193" Type="http://schemas.openxmlformats.org/officeDocument/2006/relationships/hyperlink" Target="https://drive.google.com/file/d/1ltV6otLTVr1RyjXbvOz9-zZxm5yzUKZN/view?usp=drivesdk" TargetMode="External"/><Relationship Id="rId6194" Type="http://schemas.openxmlformats.org/officeDocument/2006/relationships/hyperlink" Target="https://drive.google.com/file/d/1qu_MsH02WWRrc91mwb_-ZJtCzevwxNxc/view?usp=drivesdk" TargetMode="External"/><Relationship Id="rId6191" Type="http://schemas.openxmlformats.org/officeDocument/2006/relationships/hyperlink" Target="https://drive.google.com/file/d/1fv-zlZqlOGhk_bI3esNZcjMeljGZHaC6/view?usp=drivesdk" TargetMode="External"/><Relationship Id="rId6192" Type="http://schemas.openxmlformats.org/officeDocument/2006/relationships/hyperlink" Target="https://drive.google.com/file/d/1djX2r2xnjHsUt1mXZ9-SjRcoIua-H47C/view?usp=drivesdk" TargetMode="External"/><Relationship Id="rId6197" Type="http://schemas.openxmlformats.org/officeDocument/2006/relationships/hyperlink" Target="https://drive.google.com/file/d/1SluOipTtF_F-2tW-xUjEe3cOtVDOEs8e/view?usp=drivesdk" TargetMode="External"/><Relationship Id="rId6198" Type="http://schemas.openxmlformats.org/officeDocument/2006/relationships/hyperlink" Target="https://drive.google.com/file/d/18uM44Vbatm6PZC172AxfAPxhEnwJVMwo/view?usp=drivesdk" TargetMode="External"/><Relationship Id="rId6195" Type="http://schemas.openxmlformats.org/officeDocument/2006/relationships/hyperlink" Target="https://drive.google.com/file/d/1G2AYaCiAxVL-lO3PuUyO19UrGulf2uOG/view?usp=drivesdk" TargetMode="External"/><Relationship Id="rId6196" Type="http://schemas.openxmlformats.org/officeDocument/2006/relationships/hyperlink" Target="https://drive.google.com/file/d/1Xe_sdnHdb2cABB2nfc4vfzDO0kn-VMYw/view?usp=drivesdk" TargetMode="External"/><Relationship Id="rId6199" Type="http://schemas.openxmlformats.org/officeDocument/2006/relationships/hyperlink" Target="https://drive.google.com/file/d/15_zfU9mIR0JzyBtepuNKNL9mpmeSpF_Z/view?usp=drivesdk" TargetMode="External"/><Relationship Id="rId7470" Type="http://schemas.openxmlformats.org/officeDocument/2006/relationships/hyperlink" Target="https://drive.google.com/file/d/18uDU0e0kCt_RJkoUYVyVfh4XEDFWF0Ac/view?usp=drivesdk" TargetMode="External"/><Relationship Id="rId6142" Type="http://schemas.openxmlformats.org/officeDocument/2006/relationships/hyperlink" Target="https://drive.google.com/file/d/1IvKGTlNqiN9phitoyKGP60ESuRi0FN7o/view?usp=drivesdk" TargetMode="External"/><Relationship Id="rId7474" Type="http://schemas.openxmlformats.org/officeDocument/2006/relationships/hyperlink" Target="https://drive.google.com/file/d/1ndUxLnKqIeJrnO6J_oz2oSw21LQywben/view?usp=drivesdk" TargetMode="External"/><Relationship Id="rId6143" Type="http://schemas.openxmlformats.org/officeDocument/2006/relationships/hyperlink" Target="https://drive.google.com/file/d/1DAlmLMWGqjtfuO8oRi-6SGev1t7EX6Do/view?usp=drivesdk" TargetMode="External"/><Relationship Id="rId7473" Type="http://schemas.openxmlformats.org/officeDocument/2006/relationships/hyperlink" Target="https://drive.google.com/file/d/15PJpLIEpPsXffOLJccwcnUIpVZVFnKs6/view?usp=drivesdk" TargetMode="External"/><Relationship Id="rId6140" Type="http://schemas.openxmlformats.org/officeDocument/2006/relationships/hyperlink" Target="https://drive.google.com/file/d/1TWXXk524ZgBIiXegMITV2d5xXu1sVCEN/view?usp=drivesdk" TargetMode="External"/><Relationship Id="rId7472" Type="http://schemas.openxmlformats.org/officeDocument/2006/relationships/hyperlink" Target="https://drive.google.com/file/d/16JPa_JFqrEsjKUu8hONGKkX66-2SjTCN/view?usp=drivesdk" TargetMode="External"/><Relationship Id="rId6141" Type="http://schemas.openxmlformats.org/officeDocument/2006/relationships/hyperlink" Target="https://drive.google.com/file/d/1SEbQC66mTHK45A7FWju3UPaj7sWyUIxF/view?usp=drivesdk" TargetMode="External"/><Relationship Id="rId7471" Type="http://schemas.openxmlformats.org/officeDocument/2006/relationships/hyperlink" Target="https://drive.google.com/file/d/1IBIvGViBoOrylXQCmYBl79xZKRxrRcdC/view?usp=drivesdk" TargetMode="External"/><Relationship Id="rId6146" Type="http://schemas.openxmlformats.org/officeDocument/2006/relationships/hyperlink" Target="https://drive.google.com/file/d/1KpqNmpWwZM4A_UmxwJm235zgamR6YCIu/view?usp=drivesdk" TargetMode="External"/><Relationship Id="rId7478" Type="http://schemas.openxmlformats.org/officeDocument/2006/relationships/hyperlink" Target="https://drive.google.com/file/d/1OP37KpGEpGQb9vmVsCpdB17C_mnlJ7rE/view?usp=drivesdk" TargetMode="External"/><Relationship Id="rId6147" Type="http://schemas.openxmlformats.org/officeDocument/2006/relationships/hyperlink" Target="https://drive.google.com/file/d/1lhsIBIiw3i357j0Wn2KRVfZPPzV6ApRX/view?usp=drivesdk" TargetMode="External"/><Relationship Id="rId7477" Type="http://schemas.openxmlformats.org/officeDocument/2006/relationships/hyperlink" Target="https://drive.google.com/file/d/1vKM3znKJ-QzHpBbDjON8rmN1YVxhjbyk/view?usp=drivesdk" TargetMode="External"/><Relationship Id="rId6144" Type="http://schemas.openxmlformats.org/officeDocument/2006/relationships/hyperlink" Target="https://drive.google.com/file/d/19ErZbU05Ypb1qcaxwN7MBa2miegjFJZM/view?usp=drivesdk" TargetMode="External"/><Relationship Id="rId7476" Type="http://schemas.openxmlformats.org/officeDocument/2006/relationships/hyperlink" Target="https://drive.google.com/file/d/1TsmmVIa2qLyusvGvViJIF-TSD3jNG5WO/view?usp=drivesdk" TargetMode="External"/><Relationship Id="rId6145" Type="http://schemas.openxmlformats.org/officeDocument/2006/relationships/hyperlink" Target="https://drive.google.com/file/d/1VNIrvR5lOVhIT4EjgJFOalhN61DGnGlF/view?usp=drivesdk" TargetMode="External"/><Relationship Id="rId7475" Type="http://schemas.openxmlformats.org/officeDocument/2006/relationships/hyperlink" Target="https://drive.google.com/file/d/1rQcaSTWC3Z1HYeTuisGC8zRJJW12uQfm/view?usp=drivesdk" TargetMode="External"/><Relationship Id="rId6148" Type="http://schemas.openxmlformats.org/officeDocument/2006/relationships/hyperlink" Target="https://drive.google.com/file/d/1gkrAejSJToO4zrRthnMOelOFk-InIyZq/view?usp=drivesdk" TargetMode="External"/><Relationship Id="rId6149" Type="http://schemas.openxmlformats.org/officeDocument/2006/relationships/hyperlink" Target="https://drive.google.com/file/d/1MViE08o-oyMG9tS40KZwWUXNGYV0KCaR/view?usp=drivesdk" TargetMode="External"/><Relationship Id="rId7479" Type="http://schemas.openxmlformats.org/officeDocument/2006/relationships/hyperlink" Target="https://drive.google.com/file/d/1SbqXWccHRuW7YD9Y0xLhOfLVS8pA1rs3/view?usp=drivesdk" TargetMode="External"/><Relationship Id="rId8790" Type="http://schemas.openxmlformats.org/officeDocument/2006/relationships/hyperlink" Target="https://drive.google.com/file/d/1Vc8AKxZ_xoWtS5qP9riaRy3yZslllI91/view?usp=drivesdk" TargetMode="External"/><Relationship Id="rId6131" Type="http://schemas.openxmlformats.org/officeDocument/2006/relationships/hyperlink" Target="https://drive.google.com/file/d/16CP9BoY6-9loXSqbEJfo3eLNfZo6VsJz/view?usp=drivesdk" TargetMode="External"/><Relationship Id="rId7463" Type="http://schemas.openxmlformats.org/officeDocument/2006/relationships/hyperlink" Target="https://drive.google.com/file/d/1_SUMmDJsLnPsNK1tgXR3HckigMojO3ku/view?usp=drivesdk" TargetMode="External"/><Relationship Id="rId8794" Type="http://schemas.openxmlformats.org/officeDocument/2006/relationships/hyperlink" Target="https://drive.google.com/file/d/14M-YhS373jlp7-vonEYNODQAslUA2r3r/view?usp=drivesdk" TargetMode="External"/><Relationship Id="rId6132" Type="http://schemas.openxmlformats.org/officeDocument/2006/relationships/hyperlink" Target="https://drive.google.com/file/d/1sw4M1fvIt2LcvugFTn4iBDaAdNsQYJ7q/view?usp=drivesdk" TargetMode="External"/><Relationship Id="rId7462" Type="http://schemas.openxmlformats.org/officeDocument/2006/relationships/hyperlink" Target="https://drive.google.com/file/d/1TZNWQlpBJaaUVbuyg5f8VzT5pj_dJ4lt/view?usp=drivesdk" TargetMode="External"/><Relationship Id="rId8793" Type="http://schemas.openxmlformats.org/officeDocument/2006/relationships/hyperlink" Target="https://drive.google.com/file/d/1o4rcPZbAAJbZ2MA489QneTxnlS7WFxoM/view?usp=drivesdk" TargetMode="External"/><Relationship Id="rId7461" Type="http://schemas.openxmlformats.org/officeDocument/2006/relationships/hyperlink" Target="https://drive.google.com/file/d/14P4sGIc72W6I8KKUuDlXuPSFhFV87JNO/view?usp=drivesdk" TargetMode="External"/><Relationship Id="rId8792" Type="http://schemas.openxmlformats.org/officeDocument/2006/relationships/hyperlink" Target="https://drive.google.com/file/d/1np4LTGWCYgsOFWZnNDWdiBgj2EOZJ4Ln/view?usp=drivesdk" TargetMode="External"/><Relationship Id="rId6130" Type="http://schemas.openxmlformats.org/officeDocument/2006/relationships/hyperlink" Target="https://drive.google.com/file/d/14TaOPg-0aTI1ChRPBBABoLDerf7efX0_/view?usp=drivesdk" TargetMode="External"/><Relationship Id="rId7460" Type="http://schemas.openxmlformats.org/officeDocument/2006/relationships/hyperlink" Target="https://drive.google.com/file/d/1LC7uUTsEpiRm3Ez2nqbAArn6gp57_9zV/view?usp=drivesdk" TargetMode="External"/><Relationship Id="rId8791" Type="http://schemas.openxmlformats.org/officeDocument/2006/relationships/hyperlink" Target="https://drive.google.com/file/d/1450t8N9SQjiOfnliGrpGaQZYQJ0hUzgc/view?usp=drivesdk" TargetMode="External"/><Relationship Id="rId6135" Type="http://schemas.openxmlformats.org/officeDocument/2006/relationships/hyperlink" Target="https://drive.google.com/file/d/1NxxVTlPmajLzNbzjd1er1ak-PovRQOki/view?usp=drivesdk" TargetMode="External"/><Relationship Id="rId7467" Type="http://schemas.openxmlformats.org/officeDocument/2006/relationships/hyperlink" Target="https://drive.google.com/file/d/14FfuR8CjpYe1LOKhB12kPNSXrFzmDl-o/view?usp=drivesdk" TargetMode="External"/><Relationship Id="rId8798" Type="http://schemas.openxmlformats.org/officeDocument/2006/relationships/hyperlink" Target="https://drive.google.com/file/d/1FyIK1VnR-Af1ZDdKhYFOCDN5p1JUP2Vl/view?usp=drivesdk" TargetMode="External"/><Relationship Id="rId6136" Type="http://schemas.openxmlformats.org/officeDocument/2006/relationships/hyperlink" Target="https://drive.google.com/file/d/1HIaPCa8new857_Sx9zZUydL_DyClHNm0/view?usp=drivesdk" TargetMode="External"/><Relationship Id="rId7466" Type="http://schemas.openxmlformats.org/officeDocument/2006/relationships/hyperlink" Target="https://drive.google.com/file/d/1V4ZcD46o_n6yxC5DRv8k76bCvQEYMtgp/view?usp=drivesdk" TargetMode="External"/><Relationship Id="rId8797" Type="http://schemas.openxmlformats.org/officeDocument/2006/relationships/hyperlink" Target="https://drive.google.com/file/d/1vsuB_ocRX-XAsnyPlyGwRiE5kvaYZV1p/view?usp=drivesdk" TargetMode="External"/><Relationship Id="rId6133" Type="http://schemas.openxmlformats.org/officeDocument/2006/relationships/hyperlink" Target="https://drive.google.com/file/d/1gpnff5xSa59brEdITXKSfeS3Fe4e4R2g/view?usp=drivesdk" TargetMode="External"/><Relationship Id="rId7465" Type="http://schemas.openxmlformats.org/officeDocument/2006/relationships/hyperlink" Target="https://drive.google.com/file/d/11bXGHDIm7qmLY_O2eOp5oDlRTjTfdnM_/view?usp=drivesdk" TargetMode="External"/><Relationship Id="rId8796" Type="http://schemas.openxmlformats.org/officeDocument/2006/relationships/hyperlink" Target="https://drive.google.com/file/d/1KDxIHkH7IQtNOXEu6KgSh9FmHnQBM8TT/view?usp=drivesdk" TargetMode="External"/><Relationship Id="rId6134" Type="http://schemas.openxmlformats.org/officeDocument/2006/relationships/hyperlink" Target="https://drive.google.com/file/d/1RB3UAOFY3NM_JobeCJNNQ1r3lZl-OvQ4/view?usp=drivesdk" TargetMode="External"/><Relationship Id="rId7464" Type="http://schemas.openxmlformats.org/officeDocument/2006/relationships/hyperlink" Target="https://drive.google.com/file/d/1uwH3J4SkcyvlB2nD1Mqg2pH3-Zke2-Lt/view?usp=drivesdk" TargetMode="External"/><Relationship Id="rId8795" Type="http://schemas.openxmlformats.org/officeDocument/2006/relationships/hyperlink" Target="https://drive.google.com/file/d/1uOB0rqp6bjbN7UD5-89VGTVkh_RtAnKV/view?usp=drivesdk" TargetMode="External"/><Relationship Id="rId6139" Type="http://schemas.openxmlformats.org/officeDocument/2006/relationships/hyperlink" Target="https://drive.google.com/file/d/1qlZ77zLfYV08d5ATgoETBQtKV-czrFeE/view?usp=drivesdk" TargetMode="External"/><Relationship Id="rId6137" Type="http://schemas.openxmlformats.org/officeDocument/2006/relationships/hyperlink" Target="https://drive.google.com/file/d/1BuMHPdLIX-cEYMGvyKOY-l64ikPG56rq/view?usp=drivesdk" TargetMode="External"/><Relationship Id="rId7469" Type="http://schemas.openxmlformats.org/officeDocument/2006/relationships/hyperlink" Target="https://drive.google.com/file/d/1OL-Puuk1T3XtOecy0XXt-W2j4m2Y1UZy/view?usp=drivesdk" TargetMode="External"/><Relationship Id="rId6138" Type="http://schemas.openxmlformats.org/officeDocument/2006/relationships/hyperlink" Target="https://drive.google.com/file/d/1gEzr8RHJxiI0agRxk_ZJq-1Wai9KjTb8/view?usp=drivesdk" TargetMode="External"/><Relationship Id="rId7468" Type="http://schemas.openxmlformats.org/officeDocument/2006/relationships/hyperlink" Target="https://drive.google.com/file/d/1tnaNFlEd-XmMKc5NJNlHCN0f6Crv1-0d/view?usp=drivesdk" TargetMode="External"/><Relationship Id="rId8799" Type="http://schemas.openxmlformats.org/officeDocument/2006/relationships/hyperlink" Target="https://drive.google.com/file/d/1ZPIFsemyj7BEE9nueSLXzjbIQtiCl0Mf/view?usp=drivesdk" TargetMode="External"/><Relationship Id="rId6160" Type="http://schemas.openxmlformats.org/officeDocument/2006/relationships/hyperlink" Target="https://drive.google.com/file/d/1t_ot2IVGD_Dmkhn6W1tzsQpI5lLH9uvG/view?usp=drivesdk" TargetMode="External"/><Relationship Id="rId7492" Type="http://schemas.openxmlformats.org/officeDocument/2006/relationships/hyperlink" Target="https://drive.google.com/file/d/1S3kKTpwIUrevojYZhygPZOMK6jPVTuL8/view?usp=drivesdk" TargetMode="External"/><Relationship Id="rId6161" Type="http://schemas.openxmlformats.org/officeDocument/2006/relationships/hyperlink" Target="https://drive.google.com/file/d/1fBU9rFR0G18gi0d5WPST36umrSQEy2Pp/view?usp=drivesdk" TargetMode="External"/><Relationship Id="rId7491" Type="http://schemas.openxmlformats.org/officeDocument/2006/relationships/hyperlink" Target="https://drive.google.com/file/d/1_dBH-1ldgoQRCDa6rO17YpPbTVAcJO9E/view?usp=drivesdk" TargetMode="External"/><Relationship Id="rId7490" Type="http://schemas.openxmlformats.org/officeDocument/2006/relationships/hyperlink" Target="https://drive.google.com/file/d/1OoW2fGVF4nGXTJFJ0lJhpPy-yNrcms_L/view?usp=drivesdk" TargetMode="External"/><Relationship Id="rId6164" Type="http://schemas.openxmlformats.org/officeDocument/2006/relationships/hyperlink" Target="https://drive.google.com/file/d/1NJT7PD6A4A878qedJ8V2wvGqcUMappZn/view?usp=drivesdk" TargetMode="External"/><Relationship Id="rId7496" Type="http://schemas.openxmlformats.org/officeDocument/2006/relationships/hyperlink" Target="https://drive.google.com/file/d/1BLyd-hHHRWzZxVZMneJKfaPLovlFxDSn/view?usp=drivesdk" TargetMode="External"/><Relationship Id="rId6165" Type="http://schemas.openxmlformats.org/officeDocument/2006/relationships/hyperlink" Target="https://drive.google.com/file/d/1S7EWEHDO3l7rfy5wAsFhUkTZPNk3kdfX/view?usp=drivesdk" TargetMode="External"/><Relationship Id="rId7495" Type="http://schemas.openxmlformats.org/officeDocument/2006/relationships/hyperlink" Target="https://drive.google.com/file/d/15IQvHGc0Pn0G-Ue9-cOgePBdOKQNMSYR/view?usp=drivesdk" TargetMode="External"/><Relationship Id="rId6162" Type="http://schemas.openxmlformats.org/officeDocument/2006/relationships/hyperlink" Target="https://drive.google.com/file/d/1NR_-irk3tTLbDi5vcDPqGl2xPnVWzhWq/view?usp=drivesdk" TargetMode="External"/><Relationship Id="rId7494" Type="http://schemas.openxmlformats.org/officeDocument/2006/relationships/hyperlink" Target="https://drive.google.com/file/d/1ozN7WwJJIvR4aeQ_XzQUnuVWKX-T6qS9/view?usp=drivesdk" TargetMode="External"/><Relationship Id="rId6163" Type="http://schemas.openxmlformats.org/officeDocument/2006/relationships/hyperlink" Target="https://drive.google.com/file/d/1jhlF_RQy0K1Z2gDmGyL-8Pk9GVstAce-/view?usp=drivesdk" TargetMode="External"/><Relationship Id="rId7493" Type="http://schemas.openxmlformats.org/officeDocument/2006/relationships/hyperlink" Target="https://drive.google.com/file/d/1-9wdGfd8GBE3o0P-URkqzyXcVuMFGIU3/view?usp=drivesdk" TargetMode="External"/><Relationship Id="rId6168" Type="http://schemas.openxmlformats.org/officeDocument/2006/relationships/hyperlink" Target="https://drive.google.com/file/d/1yf3V4sMlimyKVyqk3CyFttYU0YEaG2Vy/view?usp=drivesdk" TargetMode="External"/><Relationship Id="rId6169" Type="http://schemas.openxmlformats.org/officeDocument/2006/relationships/hyperlink" Target="https://drive.google.com/file/d/1z5Tak1mLfQCX8nCqAjF1VoVkHBKN2Nhg/view?usp=drivesdk" TargetMode="External"/><Relationship Id="rId7499" Type="http://schemas.openxmlformats.org/officeDocument/2006/relationships/hyperlink" Target="https://drive.google.com/file/d/13Ga6HxuMguLJANsM-32Fkwh2qJ6eTkdI/view?usp=drivesdk" TargetMode="External"/><Relationship Id="rId6166" Type="http://schemas.openxmlformats.org/officeDocument/2006/relationships/hyperlink" Target="https://drive.google.com/file/d/105nySd4nlV-fbKiGwGpCNFKTZDi6rucI/view?usp=drivesdk" TargetMode="External"/><Relationship Id="rId7498" Type="http://schemas.openxmlformats.org/officeDocument/2006/relationships/hyperlink" Target="https://drive.google.com/file/d/11BdggvAE0AzCip7CfsEDJ_pXKsW5HxFK/view?usp=drivesdk" TargetMode="External"/><Relationship Id="rId6167" Type="http://schemas.openxmlformats.org/officeDocument/2006/relationships/hyperlink" Target="https://drive.google.com/file/d/17LeJK_5BflSiUmocF5nQpy8eqaunkTgV/view?usp=drivesdk" TargetMode="External"/><Relationship Id="rId7497" Type="http://schemas.openxmlformats.org/officeDocument/2006/relationships/hyperlink" Target="https://drive.google.com/file/d/1My3x_WkZk0SEwSMQNTIPsc9zMAmhECvj/view?usp=drivesdk" TargetMode="External"/><Relationship Id="rId7481" Type="http://schemas.openxmlformats.org/officeDocument/2006/relationships/hyperlink" Target="https://drive.google.com/file/d/17rReM5_dChQspu8PPRkuS_tkmqkrnZWU/view?usp=drivesdk" TargetMode="External"/><Relationship Id="rId6150" Type="http://schemas.openxmlformats.org/officeDocument/2006/relationships/hyperlink" Target="https://drive.google.com/file/d/1hOnzkBpwoBGohIFWAcueBRxTq4jdp6k3/view?usp=drivesdk" TargetMode="External"/><Relationship Id="rId7480" Type="http://schemas.openxmlformats.org/officeDocument/2006/relationships/hyperlink" Target="https://drive.google.com/file/d/17NR8hS4GDk15Mxe6C33-pivqkpTZ1iU8/view?usp=drivesdk" TargetMode="External"/><Relationship Id="rId6153" Type="http://schemas.openxmlformats.org/officeDocument/2006/relationships/hyperlink" Target="https://drive.google.com/file/d/1BReSeNtiC7UM3yK58Tf4wKECzLZCJbzP/view?usp=drivesdk" TargetMode="External"/><Relationship Id="rId7485" Type="http://schemas.openxmlformats.org/officeDocument/2006/relationships/hyperlink" Target="https://drive.google.com/file/d/1e2msX-XhYhEG8yD2rE4FAoXboF7iHZWb/view?usp=drivesdk" TargetMode="External"/><Relationship Id="rId6154" Type="http://schemas.openxmlformats.org/officeDocument/2006/relationships/hyperlink" Target="https://drive.google.com/file/d/1tq8_4bZZ-evfo_eKVgLt4CcDuozllhGB/view?usp=drivesdk" TargetMode="External"/><Relationship Id="rId7484" Type="http://schemas.openxmlformats.org/officeDocument/2006/relationships/hyperlink" Target="https://drive.google.com/file/d/1A7khHt5NuldLI__mqw5kTHbil5gMSPko/view?usp=drivesdk" TargetMode="External"/><Relationship Id="rId6151" Type="http://schemas.openxmlformats.org/officeDocument/2006/relationships/hyperlink" Target="https://drive.google.com/file/d/1dtILI4zsMjhJ9XClfQGMBHNGJI2a8bmY/view?usp=drivesdk" TargetMode="External"/><Relationship Id="rId7483" Type="http://schemas.openxmlformats.org/officeDocument/2006/relationships/hyperlink" Target="https://drive.google.com/file/d/1Npl_GlhwO6K3K-DAXce5Y3cxqbEQsdNv/view?usp=drivesdk" TargetMode="External"/><Relationship Id="rId6152" Type="http://schemas.openxmlformats.org/officeDocument/2006/relationships/hyperlink" Target="https://drive.google.com/file/d/1PyZQ7jg70j14EXCV3uSQ0dkncCLmxtUc/view?usp=drivesdk" TargetMode="External"/><Relationship Id="rId7482" Type="http://schemas.openxmlformats.org/officeDocument/2006/relationships/hyperlink" Target="https://drive.google.com/file/d/1CUz3x1qseR4RcBuYFqMHCmbHSwyfEI9-/view?usp=drivesdk" TargetMode="External"/><Relationship Id="rId6157" Type="http://schemas.openxmlformats.org/officeDocument/2006/relationships/hyperlink" Target="https://drive.google.com/file/d/1UpHY5lTeg5xlz0Db8czAat-_sfLTN05T/view?usp=drivesdk" TargetMode="External"/><Relationship Id="rId7489" Type="http://schemas.openxmlformats.org/officeDocument/2006/relationships/hyperlink" Target="https://drive.google.com/file/d/1re6mQYX1-TjO2idPg_CM8ZUTEJVJOQHO/view?usp=drivesdk" TargetMode="External"/><Relationship Id="rId6158" Type="http://schemas.openxmlformats.org/officeDocument/2006/relationships/hyperlink" Target="https://drive.google.com/file/d/1yN1PzwhJ9WlwYPCGnikzHWO7IqxCXIQ1/view?usp=drivesdk" TargetMode="External"/><Relationship Id="rId7488" Type="http://schemas.openxmlformats.org/officeDocument/2006/relationships/hyperlink" Target="https://drive.google.com/file/d/1gSfBlzRs2ctzCaoZ8MUxkrH2A9KD_qWf/view?usp=drivesdk" TargetMode="External"/><Relationship Id="rId6155" Type="http://schemas.openxmlformats.org/officeDocument/2006/relationships/hyperlink" Target="https://drive.google.com/file/d/1fSZxZ0MNvsKJunKUC36Leyt8ZrCSyNs6/view?usp=drivesdk" TargetMode="External"/><Relationship Id="rId7487" Type="http://schemas.openxmlformats.org/officeDocument/2006/relationships/hyperlink" Target="https://drive.google.com/file/d/1x-9qM513oAaiu5f54Uf9ZbIM0xfKO2cU/view?usp=drivesdk" TargetMode="External"/><Relationship Id="rId6156" Type="http://schemas.openxmlformats.org/officeDocument/2006/relationships/hyperlink" Target="https://drive.google.com/file/d/1bdPnByJrTNgXvdneREX8M2G0s62_jqy_/view?usp=drivesdk" TargetMode="External"/><Relationship Id="rId7486" Type="http://schemas.openxmlformats.org/officeDocument/2006/relationships/hyperlink" Target="https://drive.google.com/file/d/18sRS__j3DDipG7Z2YKwezHl_poIhAMo6/view?usp=drivesdk" TargetMode="External"/><Relationship Id="rId6159" Type="http://schemas.openxmlformats.org/officeDocument/2006/relationships/hyperlink" Target="https://drive.google.com/file/d/1KT4BK2REMtlzUedD5VwySKS2mUw0wOvy/view?usp=drivesdk" TargetMode="External"/><Relationship Id="rId745" Type="http://schemas.openxmlformats.org/officeDocument/2006/relationships/hyperlink" Target="https://drive.google.com/file/d/1l9SMikWFE-fAKwbQSHDxvPZb0Rdrrmy7/view?usp=drivesdk" TargetMode="External"/><Relationship Id="rId744" Type="http://schemas.openxmlformats.org/officeDocument/2006/relationships/hyperlink" Target="https://drive.google.com/file/d/1xcUFZ5ViwM7V7IK9WrTlUg43Uy7p_mdq/view?usp=drivesdk" TargetMode="External"/><Relationship Id="rId743" Type="http://schemas.openxmlformats.org/officeDocument/2006/relationships/hyperlink" Target="https://drive.google.com/file/d/1C-oyyHZsNIHu2eSnxrFHU7FTY6nY2_6f/view?usp=drivesdk" TargetMode="External"/><Relationship Id="rId742" Type="http://schemas.openxmlformats.org/officeDocument/2006/relationships/hyperlink" Target="https://drive.google.com/file/d/1WNThO5kD7TbTJaLBs4r98K0jM0q7p0fy/view?usp=drivesdk" TargetMode="External"/><Relationship Id="rId749" Type="http://schemas.openxmlformats.org/officeDocument/2006/relationships/hyperlink" Target="https://drive.google.com/file/d/1Hv2xMUqekfRu_DLtJXktP44puuIinogX/view?usp=drivesdk" TargetMode="External"/><Relationship Id="rId748" Type="http://schemas.openxmlformats.org/officeDocument/2006/relationships/hyperlink" Target="https://drive.google.com/file/d/1YEmxJcG4X3bypw3lell1PcgrZ0l1tZ34/view?usp=drivesdk" TargetMode="External"/><Relationship Id="rId747" Type="http://schemas.openxmlformats.org/officeDocument/2006/relationships/hyperlink" Target="https://drive.google.com/file/d/1xZK5Ofg4vmeVSN3kN1fWcEQfu0w9M1TH/view?usp=drivesdk" TargetMode="External"/><Relationship Id="rId746" Type="http://schemas.openxmlformats.org/officeDocument/2006/relationships/hyperlink" Target="https://drive.google.com/file/d/1VuAVcWkAbktYZdS0363lP-pf6pfoSxMa/view?usp=drivesdk" TargetMode="External"/><Relationship Id="rId741" Type="http://schemas.openxmlformats.org/officeDocument/2006/relationships/hyperlink" Target="https://drive.google.com/file/d/1JjbvWKg-09GLNlPwXrAY6joWM7rYbll_/view?usp=drivesdk" TargetMode="External"/><Relationship Id="rId740" Type="http://schemas.openxmlformats.org/officeDocument/2006/relationships/hyperlink" Target="https://drive.google.com/file/d/1EKNOG3yv_ecjpNFg0vukgT4n0JSyg5yx/view?usp=drivesdk" TargetMode="External"/><Relationship Id="rId739" Type="http://schemas.openxmlformats.org/officeDocument/2006/relationships/hyperlink" Target="https://drive.google.com/file/d/1dyBvkV_hcW99b6vYHtnzELfYgtHOaBfX/view?usp=drivesdk" TargetMode="External"/><Relationship Id="rId734" Type="http://schemas.openxmlformats.org/officeDocument/2006/relationships/hyperlink" Target="https://drive.google.com/file/d/138xq0-GprMeWnZvRO1PG8uKyjCA1wJuc/view?usp=drivesdk" TargetMode="External"/><Relationship Id="rId733" Type="http://schemas.openxmlformats.org/officeDocument/2006/relationships/hyperlink" Target="https://drive.google.com/file/d/1dod84rnnRq0C6gK2jkfjALwLA1Jhjj3q/view?usp=drivesdk" TargetMode="External"/><Relationship Id="rId732" Type="http://schemas.openxmlformats.org/officeDocument/2006/relationships/hyperlink" Target="https://drive.google.com/file/d/1M7QzXEVsXq1szNYRseLFRNu7y2d-HWvi/view?usp=drivesdk" TargetMode="External"/><Relationship Id="rId731" Type="http://schemas.openxmlformats.org/officeDocument/2006/relationships/hyperlink" Target="https://drive.google.com/file/d/1ZbdJYedJT_ZHu4dfM3pRJv2PzRrCii4o/view?usp=drivesdk" TargetMode="External"/><Relationship Id="rId738" Type="http://schemas.openxmlformats.org/officeDocument/2006/relationships/hyperlink" Target="https://drive.google.com/file/d/1SbFZH4vl6YvJX5Pcoo6ETshEjoxfl-Ui/view?usp=drivesdk" TargetMode="External"/><Relationship Id="rId737" Type="http://schemas.openxmlformats.org/officeDocument/2006/relationships/hyperlink" Target="https://drive.google.com/file/d/1s1C6A8mVMkjkMZpVs1xFROY4gRBCHBDs/view?usp=drivesdk" TargetMode="External"/><Relationship Id="rId736" Type="http://schemas.openxmlformats.org/officeDocument/2006/relationships/hyperlink" Target="https://drive.google.com/file/d/1ITDE1bMjHDvuFpwqKuuBdWSh2xxfUa-V/view?usp=drivesdk" TargetMode="External"/><Relationship Id="rId735" Type="http://schemas.openxmlformats.org/officeDocument/2006/relationships/hyperlink" Target="https://drive.google.com/file/d/1ZWGyOSeOMwgcAy-SlgkK4fI_yTPpCLGe/view?usp=drivesdk" TargetMode="External"/><Relationship Id="rId730" Type="http://schemas.openxmlformats.org/officeDocument/2006/relationships/hyperlink" Target="https://drive.google.com/file/d/1aNac1ZPzZ4V7wuvCXqd6_pzpdAhIUvRA/view?usp=drivesdk" TargetMode="External"/><Relationship Id="rId767" Type="http://schemas.openxmlformats.org/officeDocument/2006/relationships/hyperlink" Target="https://drive.google.com/file/d/1Xq83ZE3YnK55Amx8RrSC_Qq6xeJn5KXS/view?usp=drivesdk" TargetMode="External"/><Relationship Id="rId766" Type="http://schemas.openxmlformats.org/officeDocument/2006/relationships/hyperlink" Target="https://drive.google.com/file/d/1ddQxMcb1oIgXPnk1k_fddZ_s-HqL-bF6/view?usp=drivesdk" TargetMode="External"/><Relationship Id="rId765" Type="http://schemas.openxmlformats.org/officeDocument/2006/relationships/hyperlink" Target="https://drive.google.com/file/d/13APWEW4kk3V7b34KO3HQKyiYUw3cQlh2/view?usp=drivesdk" TargetMode="External"/><Relationship Id="rId764" Type="http://schemas.openxmlformats.org/officeDocument/2006/relationships/hyperlink" Target="https://drive.google.com/file/d/1Sk4-ExFLsRWkspyfDBOaGAu1qsK2H-kI/view?usp=drivesdk" TargetMode="External"/><Relationship Id="rId769" Type="http://schemas.openxmlformats.org/officeDocument/2006/relationships/hyperlink" Target="https://drive.google.com/file/d/1t2ZCPpZJh3rN3RDs5GP31nqHEQKM-vbN/view?usp=drivesdk" TargetMode="External"/><Relationship Id="rId768" Type="http://schemas.openxmlformats.org/officeDocument/2006/relationships/hyperlink" Target="https://drive.google.com/file/d/1GCHh_Jv2zfaLL-FOuSjfspTXrA12pTCo/view?usp=drivesdk" TargetMode="External"/><Relationship Id="rId763" Type="http://schemas.openxmlformats.org/officeDocument/2006/relationships/hyperlink" Target="https://drive.google.com/file/d/1TVLHzm2AwCUxDhiiWH56_9dZ-QoccrzN/view?usp=drivesdk" TargetMode="External"/><Relationship Id="rId762" Type="http://schemas.openxmlformats.org/officeDocument/2006/relationships/hyperlink" Target="https://drive.google.com/file/d/1WU759MDb36KJHy5sKLZSSwSCIPe9xs5w/view?usp=drivesdk" TargetMode="External"/><Relationship Id="rId761" Type="http://schemas.openxmlformats.org/officeDocument/2006/relationships/hyperlink" Target="https://drive.google.com/file/d/1cvEt8Ou3Rw8KBmgktW2fKlr48TGaXrWw/view?usp=drivesdk" TargetMode="External"/><Relationship Id="rId760" Type="http://schemas.openxmlformats.org/officeDocument/2006/relationships/hyperlink" Target="https://drive.google.com/file/d/1bYgSu8WES6Puw21eUnlxKQtRmTJf2NGb/view?usp=drivesdk" TargetMode="External"/><Relationship Id="rId756" Type="http://schemas.openxmlformats.org/officeDocument/2006/relationships/hyperlink" Target="https://drive.google.com/file/d/1OrXG52IX87eOPzhUtxN3sPHemtM4cEEU/view?usp=drivesdk" TargetMode="External"/><Relationship Id="rId755" Type="http://schemas.openxmlformats.org/officeDocument/2006/relationships/hyperlink" Target="https://drive.google.com/file/d/1m7uLFe7xCwM8hxBLWJaV5d0iGwEBXAw4/view?usp=drivesdk" TargetMode="External"/><Relationship Id="rId754" Type="http://schemas.openxmlformats.org/officeDocument/2006/relationships/hyperlink" Target="https://drive.google.com/file/d/1q79gCfKTd6MA2An9Bh6FuKQBub2rRNZq/view?usp=drivesdk" TargetMode="External"/><Relationship Id="rId753" Type="http://schemas.openxmlformats.org/officeDocument/2006/relationships/hyperlink" Target="https://drive.google.com/file/d/1uhSB1TSo_3JQfOstLmQNOIMelw54_nFp/view?usp=drivesdk" TargetMode="External"/><Relationship Id="rId759" Type="http://schemas.openxmlformats.org/officeDocument/2006/relationships/hyperlink" Target="https://drive.google.com/file/d/13DliNSPXsHEUFVagmUlz15LOSEx-7J8k/view?usp=drivesdk" TargetMode="External"/><Relationship Id="rId758" Type="http://schemas.openxmlformats.org/officeDocument/2006/relationships/hyperlink" Target="https://drive.google.com/file/d/1zaeI4En_TVXk6FONzpJNSbSKoGroSp4B/view?usp=drivesdk" TargetMode="External"/><Relationship Id="rId757" Type="http://schemas.openxmlformats.org/officeDocument/2006/relationships/hyperlink" Target="https://drive.google.com/file/d/14f6tyId9mikOYFuPsHzzl36wuVUgTWZx/view?usp=drivesdk" TargetMode="External"/><Relationship Id="rId752" Type="http://schemas.openxmlformats.org/officeDocument/2006/relationships/hyperlink" Target="https://drive.google.com/file/d/1uiRuKRkbszZbjgz1xAnv7KuOmBAPWEBD/view?usp=drivesdk" TargetMode="External"/><Relationship Id="rId751" Type="http://schemas.openxmlformats.org/officeDocument/2006/relationships/hyperlink" Target="https://drive.google.com/file/d/1OaMlnX4acmIXK9oWXG-vQZ4-ax6aHBso/view?usp=drivesdk" TargetMode="External"/><Relationship Id="rId750" Type="http://schemas.openxmlformats.org/officeDocument/2006/relationships/hyperlink" Target="https://drive.google.com/file/d/1iHIgp5HMvQL8ghBiB2KuysExKJ3Q0bxT/view?usp=drivesdk" TargetMode="External"/><Relationship Id="rId709" Type="http://schemas.openxmlformats.org/officeDocument/2006/relationships/hyperlink" Target="https://drive.google.com/file/d/1WJ3J4SxY-aZ_oUga5dHQCxu4mct0GAFv/view?usp=drivesdk" TargetMode="External"/><Relationship Id="rId708" Type="http://schemas.openxmlformats.org/officeDocument/2006/relationships/hyperlink" Target="https://drive.google.com/file/d/1OgzQIxGD4rvly2tmmMFe-3Cv38TyWink/view?usp=drivesdk" TargetMode="External"/><Relationship Id="rId707" Type="http://schemas.openxmlformats.org/officeDocument/2006/relationships/hyperlink" Target="https://drive.google.com/file/d/1MI1Xi9EAPNvTc3DfzRJs6CQUSEFzEL5p/view?usp=drivesdk" TargetMode="External"/><Relationship Id="rId706" Type="http://schemas.openxmlformats.org/officeDocument/2006/relationships/hyperlink" Target="https://drive.google.com/file/d/10P_TUyiWsrBnMBXvC__SovKQSO6OJmpj/view?usp=drivesdk" TargetMode="External"/><Relationship Id="rId701" Type="http://schemas.openxmlformats.org/officeDocument/2006/relationships/hyperlink" Target="https://drive.google.com/file/d/1tYhxu5uXcfxRqwL1bLvP0p6d0Q69KQfT/view?usp=drivesdk" TargetMode="External"/><Relationship Id="rId700" Type="http://schemas.openxmlformats.org/officeDocument/2006/relationships/hyperlink" Target="https://drive.google.com/file/d/1zz5BVvlQKPJ8AXSM_i4Q5j02jpTOfkR6/view?usp=drivesdk" TargetMode="External"/><Relationship Id="rId705" Type="http://schemas.openxmlformats.org/officeDocument/2006/relationships/hyperlink" Target="https://drive.google.com/file/d/1BGbdAZKgwhyPoqBsndFKu2k_OvivIjcz/view?usp=drivesdk" TargetMode="External"/><Relationship Id="rId704" Type="http://schemas.openxmlformats.org/officeDocument/2006/relationships/hyperlink" Target="https://drive.google.com/file/d/1Toma5wrrh7xjkhIikEBgLOMOy-xObtq8/view?usp=drivesdk" TargetMode="External"/><Relationship Id="rId703" Type="http://schemas.openxmlformats.org/officeDocument/2006/relationships/hyperlink" Target="https://drive.google.com/file/d/1zLwGL1NDhTgm4-Qj_-sxtn7xI3azuElg/view?usp=drivesdk" TargetMode="External"/><Relationship Id="rId702" Type="http://schemas.openxmlformats.org/officeDocument/2006/relationships/hyperlink" Target="https://drive.google.com/file/d/1jkwATaXYngoTomdgmbhcLRl0xUwic5ra/view?usp=drivesdk" TargetMode="External"/><Relationship Id="rId729" Type="http://schemas.openxmlformats.org/officeDocument/2006/relationships/hyperlink" Target="https://drive.google.com/file/d/1bbnyU7kr7qUJUROcA0jsvvobSK6YsuHB/view?usp=drivesdk" TargetMode="External"/><Relationship Id="rId728" Type="http://schemas.openxmlformats.org/officeDocument/2006/relationships/hyperlink" Target="https://drive.google.com/file/d/1IfSw9pkgI_9GdbCS5hB6NtxLbqgSGdjw/view?usp=drivesdk" TargetMode="External"/><Relationship Id="rId723" Type="http://schemas.openxmlformats.org/officeDocument/2006/relationships/hyperlink" Target="https://drive.google.com/file/d/11G0MZpenmrm2UfDOuuDCCg8yfxc5X-IH/view?usp=drivesdk" TargetMode="External"/><Relationship Id="rId722" Type="http://schemas.openxmlformats.org/officeDocument/2006/relationships/hyperlink" Target="https://drive.google.com/file/d/1KlhYonz1Dh31wi9k8CJYz9LO6CNFeM6j/view?usp=drivesdk" TargetMode="External"/><Relationship Id="rId721" Type="http://schemas.openxmlformats.org/officeDocument/2006/relationships/hyperlink" Target="https://drive.google.com/file/d/175l1cjQodxHxECuberBXQTISebGFzJHu/view?usp=drivesdk" TargetMode="External"/><Relationship Id="rId720" Type="http://schemas.openxmlformats.org/officeDocument/2006/relationships/hyperlink" Target="https://drive.google.com/file/d/1gKnwlWHB2VckarusH-j0PAIGH-1t_TsO/view?usp=drivesdk" TargetMode="External"/><Relationship Id="rId727" Type="http://schemas.openxmlformats.org/officeDocument/2006/relationships/hyperlink" Target="https://drive.google.com/file/d/1QaLx8pxsaFBTl_MS6Ynshj9N5poKG2pW/view?usp=drivesdk" TargetMode="External"/><Relationship Id="rId726" Type="http://schemas.openxmlformats.org/officeDocument/2006/relationships/hyperlink" Target="https://drive.google.com/file/d/1WGviuvKC6y3_sJS3fIZk3eGUGVaduXdJ/view?usp=drivesdk" TargetMode="External"/><Relationship Id="rId725" Type="http://schemas.openxmlformats.org/officeDocument/2006/relationships/hyperlink" Target="https://drive.google.com/file/d/1asfmLzpglC__vWaNFoq8HT9gwt5WFNGR/view?usp=drivesdk" TargetMode="External"/><Relationship Id="rId724" Type="http://schemas.openxmlformats.org/officeDocument/2006/relationships/hyperlink" Target="https://drive.google.com/file/d/1ivX9aJ-4UlvAsXUEQbba4CzcZ_58O3ka/view?usp=drivesdk" TargetMode="External"/><Relationship Id="rId719" Type="http://schemas.openxmlformats.org/officeDocument/2006/relationships/hyperlink" Target="https://drive.google.com/file/d/1Iyj-edYbz38dIknF0LoPcisjj35AGkRd/view?usp=drivesdk" TargetMode="External"/><Relationship Id="rId718" Type="http://schemas.openxmlformats.org/officeDocument/2006/relationships/hyperlink" Target="https://drive.google.com/file/d/1O6hFjnhdyl2y2WHM-yBTfqmCBIacGE5X/view?usp=drivesdk" TargetMode="External"/><Relationship Id="rId717" Type="http://schemas.openxmlformats.org/officeDocument/2006/relationships/hyperlink" Target="https://drive.google.com/file/d/12SxshVfGd-W2FJ54_Fid-VLQiDiPJITh/view?usp=drivesdk" TargetMode="External"/><Relationship Id="rId712" Type="http://schemas.openxmlformats.org/officeDocument/2006/relationships/hyperlink" Target="https://drive.google.com/file/d/1TFF1AATfl5x7Du62DWXJAMELEf2c-vWe/view?usp=drivesdk" TargetMode="External"/><Relationship Id="rId711" Type="http://schemas.openxmlformats.org/officeDocument/2006/relationships/hyperlink" Target="https://drive.google.com/file/d/1_Pzq21OuvbPrZN4rw8qLv_CNELhF34R3/view?usp=drivesdk" TargetMode="External"/><Relationship Id="rId710" Type="http://schemas.openxmlformats.org/officeDocument/2006/relationships/hyperlink" Target="https://drive.google.com/file/d/12PsBKKD7aSap3lSwtcf3NDpaSV-tI5w4/view?usp=drivesdk" TargetMode="External"/><Relationship Id="rId716" Type="http://schemas.openxmlformats.org/officeDocument/2006/relationships/hyperlink" Target="https://drive.google.com/file/d/1VObOaXGZDh7lYh9advNpDjFNHzsXD_9i/view?usp=drivesdk" TargetMode="External"/><Relationship Id="rId715" Type="http://schemas.openxmlformats.org/officeDocument/2006/relationships/hyperlink" Target="https://drive.google.com/file/d/1LGshiyePEMt3ZG2IoAaTsXlZsXaz1oVx/view?usp=drivesdk" TargetMode="External"/><Relationship Id="rId714" Type="http://schemas.openxmlformats.org/officeDocument/2006/relationships/hyperlink" Target="https://drive.google.com/file/d/1EAlp_6fk2Yk8din3MSOE_tDfhKN2YmGr/view?usp=drivesdk" TargetMode="External"/><Relationship Id="rId713" Type="http://schemas.openxmlformats.org/officeDocument/2006/relationships/hyperlink" Target="https://drive.google.com/file/d/1rxgj4Hn832-WsgBDIEX_tkc_QZwBzKUn/view?usp=drivesdk" TargetMode="External"/><Relationship Id="rId8806" Type="http://schemas.openxmlformats.org/officeDocument/2006/relationships/hyperlink" Target="https://drive.google.com/file/d/1MJkJEJX6iIVlbmwmjySTH7D4OdE-01GE/view?usp=drivesdk" TargetMode="External"/><Relationship Id="rId8805" Type="http://schemas.openxmlformats.org/officeDocument/2006/relationships/hyperlink" Target="https://drive.google.com/file/d/1Rfk_XpQUkdjwsLHzyzkYjXlguT17AYvV/view?usp=drivesdk" TargetMode="External"/><Relationship Id="rId8804" Type="http://schemas.openxmlformats.org/officeDocument/2006/relationships/hyperlink" Target="https://drive.google.com/file/d/1uzLg2NCiptoyL6Wg84EHpMiHl65XOUKk/view?usp=drivesdk" TargetMode="External"/><Relationship Id="rId8803" Type="http://schemas.openxmlformats.org/officeDocument/2006/relationships/hyperlink" Target="https://drive.google.com/file/d/1j1AqJn-bLNd2TlA5YtuEV6_rJYSk3sDv/view?usp=drivesdk" TargetMode="External"/><Relationship Id="rId8809" Type="http://schemas.openxmlformats.org/officeDocument/2006/relationships/hyperlink" Target="https://drive.google.com/file/d/1veDLnqBr7e9EGEEmsRja-99vBLrVBs01/view?usp=drivesdk" TargetMode="External"/><Relationship Id="rId8808" Type="http://schemas.openxmlformats.org/officeDocument/2006/relationships/hyperlink" Target="https://drive.google.com/file/d/165kZLzBrj1nbf8lKG-3SVEMIw2naET2H/view?usp=drivesdk" TargetMode="External"/><Relationship Id="rId8807" Type="http://schemas.openxmlformats.org/officeDocument/2006/relationships/hyperlink" Target="https://drive.google.com/file/d/1mhHRJ3QsRBVSb9ZhkYeBaTyv7XTHJ1i0/view?usp=drivesdk" TargetMode="External"/><Relationship Id="rId8802" Type="http://schemas.openxmlformats.org/officeDocument/2006/relationships/hyperlink" Target="https://drive.google.com/file/d/1S7NHaop6yluoTjEPIkXYqYxOyNZyzh9u/view?usp=drivesdk" TargetMode="External"/><Relationship Id="rId8801" Type="http://schemas.openxmlformats.org/officeDocument/2006/relationships/hyperlink" Target="https://drive.google.com/file/d/1bc2nVW6sdgnsqmhBNZb-WlfIYcVtkOoZ/view?usp=drivesdk" TargetMode="External"/><Relationship Id="rId8800" Type="http://schemas.openxmlformats.org/officeDocument/2006/relationships/hyperlink" Target="https://drive.google.com/file/d/1NAJHrdecC2taOBzLE6yz08XAYn68bT6u/view?usp=drivesdk" TargetMode="External"/><Relationship Id="rId8828" Type="http://schemas.openxmlformats.org/officeDocument/2006/relationships/hyperlink" Target="https://drive.google.com/file/d/1Ie3_rSv7xu-nj8ZtD7Y1rerUz7vE741S/view?usp=drivesdk" TargetMode="External"/><Relationship Id="rId8827" Type="http://schemas.openxmlformats.org/officeDocument/2006/relationships/hyperlink" Target="https://drive.google.com/file/d/1jhuxLkBr4eOZx0XSV0JUvOXLXGZ22kxp/view?usp=drivesdk" TargetMode="External"/><Relationship Id="rId8826" Type="http://schemas.openxmlformats.org/officeDocument/2006/relationships/hyperlink" Target="https://drive.google.com/file/d/1huyqwl9GGFCSdh9tV_Is9A_v11emaCF1/view?usp=drivesdk" TargetMode="External"/><Relationship Id="rId8825" Type="http://schemas.openxmlformats.org/officeDocument/2006/relationships/hyperlink" Target="https://drive.google.com/file/d/1RHP1AbMDNf-WhGGGWz1yCxLBQz1ENk-T/view?usp=drivesdk" TargetMode="External"/><Relationship Id="rId8829" Type="http://schemas.openxmlformats.org/officeDocument/2006/relationships/hyperlink" Target="https://drive.google.com/file/d/1ibGLP7fZLfrguh7XpQ49-YJPJ0Tx5hB0/view?usp=drivesdk" TargetMode="External"/><Relationship Id="rId8820" Type="http://schemas.openxmlformats.org/officeDocument/2006/relationships/hyperlink" Target="https://drive.google.com/file/d/1f1XUL9HQY-HPi1UPqPtv7YeaL3Bfk-MV/view?usp=drivesdk" TargetMode="External"/><Relationship Id="rId8824" Type="http://schemas.openxmlformats.org/officeDocument/2006/relationships/hyperlink" Target="https://drive.google.com/file/d/1J1l96zMBCBRu3dEWy1bWBdxwzAMwK4X8/view?usp=drivesdk" TargetMode="External"/><Relationship Id="rId8823" Type="http://schemas.openxmlformats.org/officeDocument/2006/relationships/hyperlink" Target="https://drive.google.com/file/d/1fDRF15zwUR8dgQ-3Sl6Wo5ShedyPEKri/view?usp=drivesdk" TargetMode="External"/><Relationship Id="rId8822" Type="http://schemas.openxmlformats.org/officeDocument/2006/relationships/hyperlink" Target="https://drive.google.com/file/d/19Qn39jD6bsVh9FdkQ1WYym5IpiHmgBzR/view?usp=drivesdk" TargetMode="External"/><Relationship Id="rId8821" Type="http://schemas.openxmlformats.org/officeDocument/2006/relationships/hyperlink" Target="https://drive.google.com/file/d/1YXNKJv9G3N31n_ih2zd7S5i3o0nlFPYt/view?usp=drivesdk" TargetMode="External"/><Relationship Id="rId8817" Type="http://schemas.openxmlformats.org/officeDocument/2006/relationships/hyperlink" Target="https://drive.google.com/file/d/19U2S985Kic410qcl0JCwRjo7PNSszTRi/view?usp=drivesdk" TargetMode="External"/><Relationship Id="rId8816" Type="http://schemas.openxmlformats.org/officeDocument/2006/relationships/hyperlink" Target="https://drive.google.com/file/d/1al73x6Ho0xJzgNbeFk5BVRUaqmBKk_rz/view?usp=drivesdk" TargetMode="External"/><Relationship Id="rId8815" Type="http://schemas.openxmlformats.org/officeDocument/2006/relationships/hyperlink" Target="https://drive.google.com/file/d/142WDcW2_eSgodMRogdrKueiiDa39461_/view?usp=drivesdk" TargetMode="External"/><Relationship Id="rId8814" Type="http://schemas.openxmlformats.org/officeDocument/2006/relationships/hyperlink" Target="https://drive.google.com/file/d/1AtoVstDiqJOxLZj0BLHfBLJEnXZwt5l1/view?usp=drivesdk" TargetMode="External"/><Relationship Id="rId8819" Type="http://schemas.openxmlformats.org/officeDocument/2006/relationships/hyperlink" Target="https://drive.google.com/file/d/1IZWuGH4xKAK6JXPQ9oH_AX-X2cPZ8XNE/view?usp=drivesdk" TargetMode="External"/><Relationship Id="rId8818" Type="http://schemas.openxmlformats.org/officeDocument/2006/relationships/hyperlink" Target="https://drive.google.com/file/d/1vL_C6G4_cwclH6x2h3DSslMhYl6L-lZA/view?usp=drivesdk" TargetMode="External"/><Relationship Id="rId8813" Type="http://schemas.openxmlformats.org/officeDocument/2006/relationships/hyperlink" Target="https://drive.google.com/file/d/1nlDAI3HW9WiuA5PcCdIjoRZtFqChO3pE/view?usp=drivesdk" TargetMode="External"/><Relationship Id="rId8812" Type="http://schemas.openxmlformats.org/officeDocument/2006/relationships/hyperlink" Target="https://drive.google.com/file/d/1bdJs-v__oNZY53ZJvmP9NHQkSZBNTv1c/view?usp=drivesdk" TargetMode="External"/><Relationship Id="rId8811" Type="http://schemas.openxmlformats.org/officeDocument/2006/relationships/hyperlink" Target="https://drive.google.com/file/d/14Jvl9FsC9xGlQMWcfnaE5b54aEgo6H8G/view?usp=drivesdk" TargetMode="External"/><Relationship Id="rId8810" Type="http://schemas.openxmlformats.org/officeDocument/2006/relationships/hyperlink" Target="https://drive.google.com/file/d/1vFEEUmho6qZ5A1j06pkh-WQk1dIFw4_A/view?usp=drivesdk" TargetMode="External"/><Relationship Id="rId789" Type="http://schemas.openxmlformats.org/officeDocument/2006/relationships/hyperlink" Target="https://drive.google.com/file/d/1RYwbJ5stno88YuFWDgjj7TXxeHvuiLrP/view?usp=drivesdk" TargetMode="External"/><Relationship Id="rId788" Type="http://schemas.openxmlformats.org/officeDocument/2006/relationships/hyperlink" Target="https://drive.google.com/file/d/1TFvK5atqUaA50nXDilN4ivizsh1sfS6X/view?usp=drivesdk" TargetMode="External"/><Relationship Id="rId787" Type="http://schemas.openxmlformats.org/officeDocument/2006/relationships/hyperlink" Target="https://drive.google.com/file/d/1nAEkqOKHz3XA_aWPWKWUqqWoi2H_WOd6/view?usp=drivesdk" TargetMode="External"/><Relationship Id="rId786" Type="http://schemas.openxmlformats.org/officeDocument/2006/relationships/hyperlink" Target="https://drive.google.com/file/d/1OGI-cEQ8xwSXu41TsUJVyYrgtzHVIES1/view?usp=drivesdk" TargetMode="External"/><Relationship Id="rId781" Type="http://schemas.openxmlformats.org/officeDocument/2006/relationships/hyperlink" Target="https://drive.google.com/file/d/1lUAhBoExJmIfysHTe_YHi_txk-sJDmcj/view?usp=drivesdk" TargetMode="External"/><Relationship Id="rId780" Type="http://schemas.openxmlformats.org/officeDocument/2006/relationships/hyperlink" Target="https://drive.google.com/file/d/1BzcJg8CGTDe9r1gqNvmkTfA_Y2X8f-9_/view?usp=drivesdk" TargetMode="External"/><Relationship Id="rId785" Type="http://schemas.openxmlformats.org/officeDocument/2006/relationships/hyperlink" Target="https://drive.google.com/file/d/1yiqdjsowCqT6pNlUXeV7LXAFCF5hE425/view?usp=drivesdk" TargetMode="External"/><Relationship Id="rId784" Type="http://schemas.openxmlformats.org/officeDocument/2006/relationships/hyperlink" Target="https://drive.google.com/file/d/1RNMJAbdBxjOm6VPIyaMNqBgOMW0kG9Tr/view?usp=drivesdk" TargetMode="External"/><Relationship Id="rId783" Type="http://schemas.openxmlformats.org/officeDocument/2006/relationships/hyperlink" Target="https://drive.google.com/file/d/1QH4MhZcCkOmX7E44XDYlQIsIyxztDI8L/view?usp=drivesdk" TargetMode="External"/><Relationship Id="rId782" Type="http://schemas.openxmlformats.org/officeDocument/2006/relationships/hyperlink" Target="https://drive.google.com/file/d/1YK0XOQwTYh2WN1qos7Mv29dP5hL8PqwX/view?usp=drivesdk" TargetMode="External"/><Relationship Id="rId778" Type="http://schemas.openxmlformats.org/officeDocument/2006/relationships/hyperlink" Target="https://drive.google.com/file/d/1I2RPjowRAlMT9jdvfxCIMJCwfBoC06zH/view?usp=drivesdk" TargetMode="External"/><Relationship Id="rId777" Type="http://schemas.openxmlformats.org/officeDocument/2006/relationships/hyperlink" Target="https://drive.google.com/file/d/1JxowHn4y2xMo8fh9w7HcZSAftTUoUY4y/view?usp=drivesdk" TargetMode="External"/><Relationship Id="rId776" Type="http://schemas.openxmlformats.org/officeDocument/2006/relationships/hyperlink" Target="https://drive.google.com/file/d/19caDpYDw9P5L-t8yKGi7t8N515RZzvNW/view?usp=drivesdk" TargetMode="External"/><Relationship Id="rId775" Type="http://schemas.openxmlformats.org/officeDocument/2006/relationships/hyperlink" Target="https://drive.google.com/file/d/1xoP-Zw0jFRrmNsH1XJShPmLzxO701Epb/view?usp=drivesdk" TargetMode="External"/><Relationship Id="rId779" Type="http://schemas.openxmlformats.org/officeDocument/2006/relationships/hyperlink" Target="https://drive.google.com/file/d/1h8x8-3PSQj9jH0EmbRMbfFn_VIAz3APH/view?usp=drivesdk" TargetMode="External"/><Relationship Id="rId770" Type="http://schemas.openxmlformats.org/officeDocument/2006/relationships/hyperlink" Target="https://drive.google.com/file/d/19V3tjQUSxVL2ivGW93iaYzxc-3WW1KtW/view?usp=drivesdk" TargetMode="External"/><Relationship Id="rId774" Type="http://schemas.openxmlformats.org/officeDocument/2006/relationships/hyperlink" Target="https://drive.google.com/file/d/1CeOVE0dMRIzAbE-V5j1eTOG3zu_NVpTD/view?usp=drivesdk" TargetMode="External"/><Relationship Id="rId773" Type="http://schemas.openxmlformats.org/officeDocument/2006/relationships/hyperlink" Target="https://drive.google.com/file/d/1_3EGG8_CkOeK_80q9D6sZfSUesxM4QMs/view?usp=drivesdk" TargetMode="External"/><Relationship Id="rId772" Type="http://schemas.openxmlformats.org/officeDocument/2006/relationships/hyperlink" Target="https://drive.google.com/file/d/14tgErcSy2Kp19Y9HPhHQ68-2gvI39zlw/view?usp=drivesdk" TargetMode="External"/><Relationship Id="rId771" Type="http://schemas.openxmlformats.org/officeDocument/2006/relationships/hyperlink" Target="https://drive.google.com/file/d/1bJJ5SAwAYtq25baq-1votoxWAFsUYFOa/view?usp=drivesdk" TargetMode="External"/><Relationship Id="rId799" Type="http://schemas.openxmlformats.org/officeDocument/2006/relationships/hyperlink" Target="https://drive.google.com/file/d/1UsjuXoxsRSOEFdDyl2-qsuNnwAoxCbwi/view?usp=drivesdk" TargetMode="External"/><Relationship Id="rId798" Type="http://schemas.openxmlformats.org/officeDocument/2006/relationships/hyperlink" Target="https://drive.google.com/file/d/1mNg9E_Wiq1s7yhRkl6bHlSKQxn1wHhXN/view?usp=drivesdk" TargetMode="External"/><Relationship Id="rId797" Type="http://schemas.openxmlformats.org/officeDocument/2006/relationships/hyperlink" Target="https://drive.google.com/file/d/1cl_V3W026KKMme9XKt_S-Et7wfZz3jTT/view?usp=drivesdk" TargetMode="External"/><Relationship Id="rId792" Type="http://schemas.openxmlformats.org/officeDocument/2006/relationships/hyperlink" Target="https://drive.google.com/file/d/1fCftjvs5bgt50Xnl6itetm1DdvshBpCC/view?usp=drivesdk" TargetMode="External"/><Relationship Id="rId791" Type="http://schemas.openxmlformats.org/officeDocument/2006/relationships/hyperlink" Target="https://drive.google.com/file/d/1gFT5hQ5GZ4NQNHQ2bq32dg4MeCdGeHFx/view?usp=drivesdk" TargetMode="External"/><Relationship Id="rId790" Type="http://schemas.openxmlformats.org/officeDocument/2006/relationships/hyperlink" Target="https://drive.google.com/file/d/14rzJ3XL7i1w2-0OEFI0r1mXnnN-4zYhj/view?usp=drivesdk" TargetMode="External"/><Relationship Id="rId796" Type="http://schemas.openxmlformats.org/officeDocument/2006/relationships/hyperlink" Target="https://drive.google.com/file/d/1sRIkwl76uf_C9wpQ17RIWYqBm3a_s1S9/view?usp=drivesdk" TargetMode="External"/><Relationship Id="rId795" Type="http://schemas.openxmlformats.org/officeDocument/2006/relationships/hyperlink" Target="https://drive.google.com/file/d/1qeQRGla8E_sHJ3afzH6s7ElGul5h7Wgh/view?usp=drivesdk" TargetMode="External"/><Relationship Id="rId794" Type="http://schemas.openxmlformats.org/officeDocument/2006/relationships/hyperlink" Target="https://drive.google.com/file/d/1aMPMrAWAjeg4ySjqynGnr6RaohJ8PjlI/view?usp=drivesdk" TargetMode="External"/><Relationship Id="rId793" Type="http://schemas.openxmlformats.org/officeDocument/2006/relationships/hyperlink" Target="https://drive.google.com/file/d/1UyW5gA8I1egPlewK9Nd6r7GfTY3K7YhX/view?usp=drivesdk" TargetMode="External"/><Relationship Id="rId6229" Type="http://schemas.openxmlformats.org/officeDocument/2006/relationships/hyperlink" Target="https://drive.google.com/file/d/1KKZNvFzEJpOT3MGTUmzfY7qyOM11afk3/view?usp=drivesdk" TargetMode="External"/><Relationship Id="rId7551" Type="http://schemas.openxmlformats.org/officeDocument/2006/relationships/hyperlink" Target="https://drive.google.com/file/d/14iSbnO7S05rVxShVg0NlnMqnfZ0mczW2/view?usp=drivesdk" TargetMode="External"/><Relationship Id="rId8882" Type="http://schemas.openxmlformats.org/officeDocument/2006/relationships/hyperlink" Target="https://drive.google.com/file/d/1_9lEmxK1UVvPFW9vsh-v_08dbssi3-5q/view?usp=drivesdk" TargetMode="External"/><Relationship Id="rId6220" Type="http://schemas.openxmlformats.org/officeDocument/2006/relationships/hyperlink" Target="https://drive.google.com/file/d/1_8bvvt5zWMSJliDlteaQQE7iLpCpekY3/view?usp=drivesdk" TargetMode="External"/><Relationship Id="rId7550" Type="http://schemas.openxmlformats.org/officeDocument/2006/relationships/hyperlink" Target="https://drive.google.com/file/d/1YWWxQ3n4mTXkGRnIqPDVKnKYx05P4mKC/view?usp=drivesdk" TargetMode="External"/><Relationship Id="rId8881" Type="http://schemas.openxmlformats.org/officeDocument/2006/relationships/hyperlink" Target="https://drive.google.com/file/d/1rexHgGPRpVOArIFJxp3Lhhb9X2Xtf2JQ/view?usp=drivesdk" TargetMode="External"/><Relationship Id="rId8880" Type="http://schemas.openxmlformats.org/officeDocument/2006/relationships/hyperlink" Target="https://drive.google.com/file/d/1-WXovUkFRKkCFy-jArqiaIdSLuK9pXxr/view?usp=drivesdk" TargetMode="External"/><Relationship Id="rId6223" Type="http://schemas.openxmlformats.org/officeDocument/2006/relationships/hyperlink" Target="https://drive.google.com/file/d/1F2Sr-VN5G-uyGXfTjNMJhrrb1eIqoMPT/view?usp=drivesdk" TargetMode="External"/><Relationship Id="rId7555" Type="http://schemas.openxmlformats.org/officeDocument/2006/relationships/hyperlink" Target="https://drive.google.com/file/d/1rsyJUpnmuObqG3XpFGCkJCNGgtRwHHJA/view?usp=drivesdk" TargetMode="External"/><Relationship Id="rId8886" Type="http://schemas.openxmlformats.org/officeDocument/2006/relationships/hyperlink" Target="https://drive.google.com/file/d/16VsftwAk0_rZrWeGFrLWqbo_Cn7JnqNO/view?usp=drivesdk" TargetMode="External"/><Relationship Id="rId6224" Type="http://schemas.openxmlformats.org/officeDocument/2006/relationships/hyperlink" Target="https://drive.google.com/file/d/1VBiXPEpIDA2HIGZTIncPujRP08kaZ0HP/view?usp=drivesdk" TargetMode="External"/><Relationship Id="rId7554" Type="http://schemas.openxmlformats.org/officeDocument/2006/relationships/hyperlink" Target="https://drive.google.com/file/d/1V9vCUuT0JxaM7zLtUGevxkO3eMeQVG6n/view?usp=drivesdk" TargetMode="External"/><Relationship Id="rId8885" Type="http://schemas.openxmlformats.org/officeDocument/2006/relationships/hyperlink" Target="https://drive.google.com/file/d/18aom2I2sXjC0SVLyklJg3F6wIf8dlViP/view?usp=drivesdk" TargetMode="External"/><Relationship Id="rId6221" Type="http://schemas.openxmlformats.org/officeDocument/2006/relationships/hyperlink" Target="https://drive.google.com/file/d/1HcyAigGIhtYSkQEs4Byu02ddeW9P2LoD/view?usp=drivesdk" TargetMode="External"/><Relationship Id="rId7553" Type="http://schemas.openxmlformats.org/officeDocument/2006/relationships/hyperlink" Target="https://drive.google.com/file/d/1CWlrnp5ifaIbiVqmplS0fibVrOswdlyN/view?usp=drivesdk" TargetMode="External"/><Relationship Id="rId8884" Type="http://schemas.openxmlformats.org/officeDocument/2006/relationships/hyperlink" Target="https://drive.google.com/file/d/1YR3gLZReaMZrZeHYHikVTm-txDMGQPl7/view?usp=drivesdk" TargetMode="External"/><Relationship Id="rId6222" Type="http://schemas.openxmlformats.org/officeDocument/2006/relationships/hyperlink" Target="https://drive.google.com/file/d/1tphdMyFjJtyou8JM17fCbTy53BwcC70k/view?usp=drivesdk" TargetMode="External"/><Relationship Id="rId7552" Type="http://schemas.openxmlformats.org/officeDocument/2006/relationships/hyperlink" Target="https://drive.google.com/file/d/1rNPOvygJ4yUYOs7vSH2AJbhAErxgbWFq/view?usp=drivesdk" TargetMode="External"/><Relationship Id="rId8883" Type="http://schemas.openxmlformats.org/officeDocument/2006/relationships/hyperlink" Target="https://drive.google.com/file/d/17x375CReAmEFn43WCbZjWCrXFvXT42Vs/view?usp=drivesdk" TargetMode="External"/><Relationship Id="rId6227" Type="http://schemas.openxmlformats.org/officeDocument/2006/relationships/hyperlink" Target="https://drive.google.com/file/d/1JA1Rtj1jYvPwv_mJKKUxElFBL1GkQQ6S/view?usp=drivesdk" TargetMode="External"/><Relationship Id="rId7559" Type="http://schemas.openxmlformats.org/officeDocument/2006/relationships/hyperlink" Target="https://drive.google.com/file/d/1rxb70lRzzMuOx_ZU99Ry-V4k8hzpdFza/view?usp=drivesdk" TargetMode="External"/><Relationship Id="rId6228" Type="http://schemas.openxmlformats.org/officeDocument/2006/relationships/hyperlink" Target="https://drive.google.com/file/d/1o_dxP-bjIbA1oASo78TKOqhCIQAhJthd/view?usp=drivesdk" TargetMode="External"/><Relationship Id="rId7558" Type="http://schemas.openxmlformats.org/officeDocument/2006/relationships/hyperlink" Target="https://drive.google.com/file/d/1NEHc4bOOFaHMMLT_5F63TteqB5nVr6G7/view?usp=drivesdk" TargetMode="External"/><Relationship Id="rId8889" Type="http://schemas.openxmlformats.org/officeDocument/2006/relationships/hyperlink" Target="https://drive.google.com/file/d/1e40i0HYwzdTfBXRs_Wutkjh_sqms1s0-/view?usp=drivesdk" TargetMode="External"/><Relationship Id="rId6225" Type="http://schemas.openxmlformats.org/officeDocument/2006/relationships/hyperlink" Target="https://drive.google.com/file/d/1jlC-w97-_qr9jwkBbOJsGHRvaiFpR3pq/view?usp=drivesdk" TargetMode="External"/><Relationship Id="rId7557" Type="http://schemas.openxmlformats.org/officeDocument/2006/relationships/hyperlink" Target="https://drive.google.com/file/d/1SPjLijyjjnNzPt4nqXRmh3yOVIwIvyUi/view?usp=drivesdk" TargetMode="External"/><Relationship Id="rId8888" Type="http://schemas.openxmlformats.org/officeDocument/2006/relationships/hyperlink" Target="https://drive.google.com/file/d/1u698RGsv_TQRhEKyrR5vI4Nxyg0vhCDk/view?usp=drivesdk" TargetMode="External"/><Relationship Id="rId6226" Type="http://schemas.openxmlformats.org/officeDocument/2006/relationships/hyperlink" Target="https://drive.google.com/file/d/1ixOXiPL627IYhMLmMluJW-2kFjDFHzAJ/view?usp=drivesdk" TargetMode="External"/><Relationship Id="rId7556" Type="http://schemas.openxmlformats.org/officeDocument/2006/relationships/hyperlink" Target="https://drive.google.com/file/d/1UJTwmCU5la5lruaatUhcGzRnQJKK3bH-/view?usp=drivesdk" TargetMode="External"/><Relationship Id="rId8887" Type="http://schemas.openxmlformats.org/officeDocument/2006/relationships/hyperlink" Target="https://drive.google.com/file/d/1VW0kVLn3X5PAJPKt4ow2BxkCF2GE8OvB/view?usp=drivesdk" TargetMode="External"/><Relationship Id="rId6218" Type="http://schemas.openxmlformats.org/officeDocument/2006/relationships/hyperlink" Target="https://drive.google.com/file/d/1MwpUyJ6uAZ4hNWP6CPS4UDQCR8-kvWG6/view?usp=drivesdk" TargetMode="External"/><Relationship Id="rId6219" Type="http://schemas.openxmlformats.org/officeDocument/2006/relationships/hyperlink" Target="https://drive.google.com/file/d/15MK_1_q04ByAXMG42gzbR_A_84QFocBv/view?usp=drivesdk" TargetMode="External"/><Relationship Id="rId7549" Type="http://schemas.openxmlformats.org/officeDocument/2006/relationships/hyperlink" Target="https://drive.google.com/file/d/1lILpa1tAcoFq4f6-3w-e66DQBVl0zVM2/view?usp=drivesdk" TargetMode="External"/><Relationship Id="rId7540" Type="http://schemas.openxmlformats.org/officeDocument/2006/relationships/hyperlink" Target="https://drive.google.com/file/d/1bWmQvLbKkKY6SO1n23JNey4TteiNclF4/view?usp=drivesdk" TargetMode="External"/><Relationship Id="rId8871" Type="http://schemas.openxmlformats.org/officeDocument/2006/relationships/hyperlink" Target="https://drive.google.com/file/d/1be0PBED2t_Gfr-SL2tTIaQHv8xvgmUhT/view?usp=drivesdk" TargetMode="External"/><Relationship Id="rId8870" Type="http://schemas.openxmlformats.org/officeDocument/2006/relationships/hyperlink" Target="https://drive.google.com/file/d/1CmRPliAt1PgYXZ-Q9YID0jNEmYTCWZUj/view?usp=drivesdk" TargetMode="External"/><Relationship Id="rId6212" Type="http://schemas.openxmlformats.org/officeDocument/2006/relationships/hyperlink" Target="https://drive.google.com/file/d/161dPXdYMW6IEpodcQHrDRQ4JE1-KgphW/view?usp=drivesdk" TargetMode="External"/><Relationship Id="rId7544" Type="http://schemas.openxmlformats.org/officeDocument/2006/relationships/hyperlink" Target="https://drive.google.com/file/d/1_X1XMQ914YW6gK4sneaLUO1Vw3eFSR4c/view?usp=drivesdk" TargetMode="External"/><Relationship Id="rId8875" Type="http://schemas.openxmlformats.org/officeDocument/2006/relationships/hyperlink" Target="https://drive.google.com/file/d/1NOsDG63xIeLu_CzDLIBJPIXesMXH0Sjy/view?usp=drivesdk" TargetMode="External"/><Relationship Id="rId6213" Type="http://schemas.openxmlformats.org/officeDocument/2006/relationships/hyperlink" Target="https://drive.google.com/file/d/1-JNo2vHZmQ734MBYJbbNwNUWjaUNtTU4/view?usp=drivesdk" TargetMode="External"/><Relationship Id="rId7543" Type="http://schemas.openxmlformats.org/officeDocument/2006/relationships/hyperlink" Target="https://drive.google.com/file/d/1g-YuHsF0fb4vyMAFRT1qBcVNaGBXe3E6/view?usp=drivesdk" TargetMode="External"/><Relationship Id="rId8874" Type="http://schemas.openxmlformats.org/officeDocument/2006/relationships/hyperlink" Target="https://drive.google.com/file/d/1V1RFj93XQoDFGuFiU5mRDrPKrd_xVG0q/view?usp=drivesdk" TargetMode="External"/><Relationship Id="rId6210" Type="http://schemas.openxmlformats.org/officeDocument/2006/relationships/hyperlink" Target="https://drive.google.com/file/d/1NVrG0v1qvFcMAj_pxMHml2lN4GuSs5_U/view?usp=drivesdk" TargetMode="External"/><Relationship Id="rId7542" Type="http://schemas.openxmlformats.org/officeDocument/2006/relationships/hyperlink" Target="https://drive.google.com/file/d/1BENPFIioINCr4ez3cSEi7a3whEhOKOJ-/view?usp=drivesdk" TargetMode="External"/><Relationship Id="rId8873" Type="http://schemas.openxmlformats.org/officeDocument/2006/relationships/hyperlink" Target="https://drive.google.com/file/d/1BPzaPrLE9G8Enwdi1KDUySwLluKXOkaI/view?usp=drivesdk" TargetMode="External"/><Relationship Id="rId6211" Type="http://schemas.openxmlformats.org/officeDocument/2006/relationships/hyperlink" Target="https://drive.google.com/file/d/1p3je3NftDuwCr0agvWaiGiQ6OcJgVzWq/view?usp=drivesdk" TargetMode="External"/><Relationship Id="rId7541" Type="http://schemas.openxmlformats.org/officeDocument/2006/relationships/hyperlink" Target="https://drive.google.com/file/d/17eX6CY_9BOi4BvRIRvbjccaqKd6M3RsS/view?usp=drivesdk" TargetMode="External"/><Relationship Id="rId8872" Type="http://schemas.openxmlformats.org/officeDocument/2006/relationships/hyperlink" Target="https://drive.google.com/file/d/14MNHGsJErI6zrkICRs8eYGvSmUB6UT57/view?usp=drivesdk" TargetMode="External"/><Relationship Id="rId6216" Type="http://schemas.openxmlformats.org/officeDocument/2006/relationships/hyperlink" Target="https://drive.google.com/file/d/13epvqIhAxdf59xQnUieE3XQFuWWT6R-1/view?usp=drivesdk" TargetMode="External"/><Relationship Id="rId7548" Type="http://schemas.openxmlformats.org/officeDocument/2006/relationships/hyperlink" Target="https://drive.google.com/file/d/11I9_iXG9RtFfxWd1al4f_t5rebOy1fPb/view?usp=drivesdk" TargetMode="External"/><Relationship Id="rId8879" Type="http://schemas.openxmlformats.org/officeDocument/2006/relationships/hyperlink" Target="https://drive.google.com/file/d/1hEy9jBye_ggPjlNYN5_8VtXb43BOp6n7/view?usp=drivesdk" TargetMode="External"/><Relationship Id="rId6217" Type="http://schemas.openxmlformats.org/officeDocument/2006/relationships/hyperlink" Target="https://drive.google.com/file/d/1332GCS-R8MCtdtWvbp1HQmJ5lbrW6_aY/view?usp=drivesdk" TargetMode="External"/><Relationship Id="rId7547" Type="http://schemas.openxmlformats.org/officeDocument/2006/relationships/hyperlink" Target="https://drive.google.com/file/d/1EztwhryQME7yf6Ch6kp7QgDs4a9Y41PH/view?usp=drivesdk" TargetMode="External"/><Relationship Id="rId8878" Type="http://schemas.openxmlformats.org/officeDocument/2006/relationships/hyperlink" Target="https://drive.google.com/file/d/1vmEkHrqLLeum8362CfgMrJqT8PprCFfw/view?usp=drivesdk" TargetMode="External"/><Relationship Id="rId6214" Type="http://schemas.openxmlformats.org/officeDocument/2006/relationships/hyperlink" Target="https://drive.google.com/file/d/1v0LSFAkT5rP6BJzck0Ot21t-emGLqxs-/view?usp=drivesdk" TargetMode="External"/><Relationship Id="rId7546" Type="http://schemas.openxmlformats.org/officeDocument/2006/relationships/hyperlink" Target="https://drive.google.com/file/d/1V5bmam7xPnLcUey3AsHlQ5HoFAnfN0un/view?usp=drivesdk" TargetMode="External"/><Relationship Id="rId8877" Type="http://schemas.openxmlformats.org/officeDocument/2006/relationships/hyperlink" Target="https://drive.google.com/file/d/1HWF5lWqO-PS5wGlD3xBftlIBtuWtF6Pp/view?usp=drivesdk" TargetMode="External"/><Relationship Id="rId6215" Type="http://schemas.openxmlformats.org/officeDocument/2006/relationships/hyperlink" Target="https://drive.google.com/file/d/1AumoO_NJK0GuJoruMonIzf4yYXfx4Jag/view?usp=drivesdk" TargetMode="External"/><Relationship Id="rId7545" Type="http://schemas.openxmlformats.org/officeDocument/2006/relationships/hyperlink" Target="https://drive.google.com/file/d/1WLR81mbz1bTiqbWuQz_gozAaBBxGa0zj/view?usp=drivesdk" TargetMode="External"/><Relationship Id="rId8876" Type="http://schemas.openxmlformats.org/officeDocument/2006/relationships/hyperlink" Target="https://drive.google.com/file/d/1Bbo-Pba9uLZmV_GxkpB1hu_3LpkC2mTx/view?usp=drivesdk" TargetMode="External"/><Relationship Id="rId6241" Type="http://schemas.openxmlformats.org/officeDocument/2006/relationships/hyperlink" Target="https://drive.google.com/file/d/1BsF6_DmDCVKrtWdrhwKHnHcVMZ5oIlGg/view?usp=drivesdk" TargetMode="External"/><Relationship Id="rId7573" Type="http://schemas.openxmlformats.org/officeDocument/2006/relationships/hyperlink" Target="https://drive.google.com/file/d/1pIYAThexHCmC3HLXS_KlRrL5vV6rr_v_/view?usp=drivesdk" TargetMode="External"/><Relationship Id="rId6242" Type="http://schemas.openxmlformats.org/officeDocument/2006/relationships/hyperlink" Target="https://drive.google.com/file/d/1H4-aT-eV6UEAcV5u0uOS0QGVOi3mLyCc/view?usp=drivesdk" TargetMode="External"/><Relationship Id="rId7572" Type="http://schemas.openxmlformats.org/officeDocument/2006/relationships/hyperlink" Target="https://drive.google.com/file/d/1zWRO471E4uTyfVhv8ovOcTNdUI8sWfrN/view?usp=drivesdk" TargetMode="External"/><Relationship Id="rId7571" Type="http://schemas.openxmlformats.org/officeDocument/2006/relationships/hyperlink" Target="https://drive.google.com/file/d/1-MEBHqOKV7B0l-koLIVpd4otdeVFnD_W/view?usp=drivesdk" TargetMode="External"/><Relationship Id="rId6240" Type="http://schemas.openxmlformats.org/officeDocument/2006/relationships/hyperlink" Target="https://drive.google.com/file/d/1l8sZwUCF_3EOpAupywUkHeJfD4znz9rS/view?usp=drivesdk" TargetMode="External"/><Relationship Id="rId7570" Type="http://schemas.openxmlformats.org/officeDocument/2006/relationships/hyperlink" Target="https://drive.google.com/file/d/1AJPRiQg650PD-UtWmFUwsm4vB0NijJot/view?usp=drivesdk" TargetMode="External"/><Relationship Id="rId6245" Type="http://schemas.openxmlformats.org/officeDocument/2006/relationships/hyperlink" Target="https://drive.google.com/file/d/1KHKDJtv-yGsXRDpPksEkTO_MmUuCmb-c/view?usp=drivesdk" TargetMode="External"/><Relationship Id="rId7577" Type="http://schemas.openxmlformats.org/officeDocument/2006/relationships/hyperlink" Target="https://drive.google.com/file/d/15K5P_8hV7CeTkEcCnDWkk_g4wCEB_y6l/view?usp=drivesdk" TargetMode="External"/><Relationship Id="rId6246" Type="http://schemas.openxmlformats.org/officeDocument/2006/relationships/hyperlink" Target="https://drive.google.com/file/d/1dbFfQhXgNfQeXAMcHirn86fi8NzcJ9RN/view?usp=drivesdk" TargetMode="External"/><Relationship Id="rId7576" Type="http://schemas.openxmlformats.org/officeDocument/2006/relationships/hyperlink" Target="https://drive.google.com/file/d/1k1pha9y-WqwnSNvX1cL2yHrrKW15PDT1/view?usp=drivesdk" TargetMode="External"/><Relationship Id="rId6243" Type="http://schemas.openxmlformats.org/officeDocument/2006/relationships/hyperlink" Target="https://drive.google.com/file/d/1Gwa4T7H-Bv_7-Ldx-oEFT9gtF3NOUUi-/view?usp=drivesdk" TargetMode="External"/><Relationship Id="rId7575" Type="http://schemas.openxmlformats.org/officeDocument/2006/relationships/hyperlink" Target="https://drive.google.com/file/d/15N5FPXUGuYAeo113cciWYbmQ8atynXmH/view?usp=drivesdk" TargetMode="External"/><Relationship Id="rId6244" Type="http://schemas.openxmlformats.org/officeDocument/2006/relationships/hyperlink" Target="https://drive.google.com/file/d/1nvqlF_Hc-jCkeZh66Zp33tTp1Ww5PBzk/view?usp=drivesdk" TargetMode="External"/><Relationship Id="rId7574" Type="http://schemas.openxmlformats.org/officeDocument/2006/relationships/hyperlink" Target="https://drive.google.com/file/d/1W7x_kso23yaghf1w3fZIK6sZcHDQYtUC/view?usp=drivesdk" TargetMode="External"/><Relationship Id="rId6249" Type="http://schemas.openxmlformats.org/officeDocument/2006/relationships/hyperlink" Target="https://drive.google.com/file/d/17vBfm0ymZg_9yEIKra8ECuDh1EcSxZcI/view?usp=drivesdk" TargetMode="External"/><Relationship Id="rId6247" Type="http://schemas.openxmlformats.org/officeDocument/2006/relationships/hyperlink" Target="https://drive.google.com/file/d/1DKT5RVYV9AcD810KYDN8hT2Aw4LXqWNw/view?usp=drivesdk" TargetMode="External"/><Relationship Id="rId7579" Type="http://schemas.openxmlformats.org/officeDocument/2006/relationships/hyperlink" Target="https://drive.google.com/file/d/1rW8LlB6rK_RjAeHNOkldG1IaXEeTsA_o/view?usp=drivesdk" TargetMode="External"/><Relationship Id="rId6248" Type="http://schemas.openxmlformats.org/officeDocument/2006/relationships/hyperlink" Target="https://drive.google.com/file/d/1u1jRoAjCJMpF4NeGPolVbhER_silicGP/view?usp=drivesdk" TargetMode="External"/><Relationship Id="rId7578" Type="http://schemas.openxmlformats.org/officeDocument/2006/relationships/hyperlink" Target="https://drive.google.com/file/d/1QLtFdN1wJzbuRiV3ltchvdKa5ACn7Sxw/view?usp=drivesdk" TargetMode="External"/><Relationship Id="rId6230" Type="http://schemas.openxmlformats.org/officeDocument/2006/relationships/hyperlink" Target="https://drive.google.com/file/d/1nJQHsUuvxd25u7HalDEa-Qk2YKQr4FQT/view?usp=drivesdk" TargetMode="External"/><Relationship Id="rId7562" Type="http://schemas.openxmlformats.org/officeDocument/2006/relationships/hyperlink" Target="https://drive.google.com/file/d/1IrCMG99F_L2ko16zQKKfb6SzjKfxMrt4/view?usp=drivesdk" TargetMode="External"/><Relationship Id="rId8893" Type="http://schemas.openxmlformats.org/officeDocument/2006/relationships/hyperlink" Target="https://drive.google.com/file/d/19I8T-vtNFM1ex2fIeVJRfV1GuwUtbuza/view?usp=drivesdk" TargetMode="External"/><Relationship Id="rId6231" Type="http://schemas.openxmlformats.org/officeDocument/2006/relationships/hyperlink" Target="https://drive.google.com/file/d/1sSQfVzSzebvj8irWQ_U91sfqaicLK_RR/view?usp=drivesdk" TargetMode="External"/><Relationship Id="rId7561" Type="http://schemas.openxmlformats.org/officeDocument/2006/relationships/hyperlink" Target="https://drive.google.com/file/d/1dKsFmLkxzBDGJttEiY5mewWWRn4NpE50/view?usp=drivesdk" TargetMode="External"/><Relationship Id="rId8892" Type="http://schemas.openxmlformats.org/officeDocument/2006/relationships/hyperlink" Target="https://drive.google.com/file/d/1jpntLUXuPvHUBzVFBGUrabkVo_9Za4eW/view?usp=drivesdk" TargetMode="External"/><Relationship Id="rId7560" Type="http://schemas.openxmlformats.org/officeDocument/2006/relationships/hyperlink" Target="https://drive.google.com/file/d/1LbDPc57_lCn8sW5bapyE-vhPifj1cKB8/view?usp=drivesdk" TargetMode="External"/><Relationship Id="rId8891" Type="http://schemas.openxmlformats.org/officeDocument/2006/relationships/hyperlink" Target="https://drive.google.com/file/d/1fCB92IzjXjYkUhMDqgOVJ2eNCunam23G/view?usp=drivesdk" TargetMode="External"/><Relationship Id="rId8890" Type="http://schemas.openxmlformats.org/officeDocument/2006/relationships/hyperlink" Target="https://drive.google.com/file/d/1oP29yg3qylZRrDZt9vIFoZPHNl-etAQ0/view?usp=drivesdk" TargetMode="External"/><Relationship Id="rId6234" Type="http://schemas.openxmlformats.org/officeDocument/2006/relationships/hyperlink" Target="https://drive.google.com/file/d/1tXXTKjkqehJPsMDT2hTFyLRO2QrhAGO7/view?usp=drivesdk" TargetMode="External"/><Relationship Id="rId7566" Type="http://schemas.openxmlformats.org/officeDocument/2006/relationships/hyperlink" Target="https://drive.google.com/file/d/1gTe1_x3H9Bx6cLOVN4UScqyEkq5oiLD7/view?usp=drivesdk" TargetMode="External"/><Relationship Id="rId8897" Type="http://schemas.openxmlformats.org/officeDocument/2006/relationships/hyperlink" Target="https://drive.google.com/file/d/17HWmk1d4dYwOZzfqomae1lLJsf78XTJm/view?usp=drivesdk" TargetMode="External"/><Relationship Id="rId6235" Type="http://schemas.openxmlformats.org/officeDocument/2006/relationships/hyperlink" Target="https://drive.google.com/file/d/1O01Mtad6J5npUjJlyeSZXeEOiX1zThDK/view?usp=drivesdk" TargetMode="External"/><Relationship Id="rId7565" Type="http://schemas.openxmlformats.org/officeDocument/2006/relationships/hyperlink" Target="https://drive.google.com/file/d/1o8NkFmyA8uquBGdtx4yjg1y1VPc3aJ0V/view?usp=drivesdk" TargetMode="External"/><Relationship Id="rId8896" Type="http://schemas.openxmlformats.org/officeDocument/2006/relationships/hyperlink" Target="https://drive.google.com/file/d/1TI4hfHJv3a0ilRUVsAAft4DAH1aSPeVD/view?usp=drivesdk" TargetMode="External"/><Relationship Id="rId6232" Type="http://schemas.openxmlformats.org/officeDocument/2006/relationships/hyperlink" Target="https://drive.google.com/file/d/1OVFYOLd4FS2RwTJF7DYeb-tnUKtbXprh/view?usp=drivesdk" TargetMode="External"/><Relationship Id="rId7564" Type="http://schemas.openxmlformats.org/officeDocument/2006/relationships/hyperlink" Target="https://drive.google.com/file/d/1BSu_-X24caatleC4ppb9o5Vjwrx5LYj7/view?usp=drivesdk" TargetMode="External"/><Relationship Id="rId8895" Type="http://schemas.openxmlformats.org/officeDocument/2006/relationships/hyperlink" Target="https://drive.google.com/file/d/1wipabYmve2pc3rHQyKxa11VdC5Og4Jpb/view?usp=drivesdk" TargetMode="External"/><Relationship Id="rId6233" Type="http://schemas.openxmlformats.org/officeDocument/2006/relationships/hyperlink" Target="https://drive.google.com/file/d/1195Lp3PC2IAZVY1VxQobfZNvuqt_c5Ic/view?usp=drivesdk" TargetMode="External"/><Relationship Id="rId7563" Type="http://schemas.openxmlformats.org/officeDocument/2006/relationships/hyperlink" Target="https://drive.google.com/file/d/1P82i4vlQy2BeUQf7Bqqfuzl2PYZh7BUL/view?usp=drivesdk" TargetMode="External"/><Relationship Id="rId8894" Type="http://schemas.openxmlformats.org/officeDocument/2006/relationships/hyperlink" Target="https://drive.google.com/file/d/1c5c1kewqdgFBlUCAgm4t4CbJuh26rFpV/view?usp=drivesdk" TargetMode="External"/><Relationship Id="rId6238" Type="http://schemas.openxmlformats.org/officeDocument/2006/relationships/hyperlink" Target="https://drive.google.com/file/d/1hPn_l7yPQzU1Xlyg2k8pptwy6hbdUdWA/view?usp=drivesdk" TargetMode="External"/><Relationship Id="rId6239" Type="http://schemas.openxmlformats.org/officeDocument/2006/relationships/hyperlink" Target="https://drive.google.com/file/d/1kca7YPm1_2_v5KzrziJdCGczm03KVdpo/view?usp=drivesdk" TargetMode="External"/><Relationship Id="rId7569" Type="http://schemas.openxmlformats.org/officeDocument/2006/relationships/hyperlink" Target="https://drive.google.com/file/d/1u2_FC1X6jbopzXLKtwMh0T2udIPuhnH5/view?usp=drivesdk" TargetMode="External"/><Relationship Id="rId6236" Type="http://schemas.openxmlformats.org/officeDocument/2006/relationships/hyperlink" Target="https://drive.google.com/file/d/1sGd_5ft8pGJWWb6LqEAZgvs3ACbD5cJ7/view?usp=drivesdk" TargetMode="External"/><Relationship Id="rId7568" Type="http://schemas.openxmlformats.org/officeDocument/2006/relationships/hyperlink" Target="https://drive.google.com/file/d/1rSL6Gdr8YSMRxvthSFP-A-aH8GMI4FaY/view?usp=drivesdk" TargetMode="External"/><Relationship Id="rId8899" Type="http://schemas.openxmlformats.org/officeDocument/2006/relationships/hyperlink" Target="https://drive.google.com/file/d/14pnhpYRlSCfOkqEZJV_jtn73woOfbWQF/view?usp=drivesdk" TargetMode="External"/><Relationship Id="rId6237" Type="http://schemas.openxmlformats.org/officeDocument/2006/relationships/hyperlink" Target="https://drive.google.com/file/d/1nTvD50B_SQYXvHFWdj_ZThPCzoEmGxu-/view?usp=drivesdk" TargetMode="External"/><Relationship Id="rId7567" Type="http://schemas.openxmlformats.org/officeDocument/2006/relationships/hyperlink" Target="https://drive.google.com/file/d/1X1gyt4F4Dfx5LPk9Bt0XEQLyNdyBjA7a/view?usp=drivesdk" TargetMode="External"/><Relationship Id="rId8898" Type="http://schemas.openxmlformats.org/officeDocument/2006/relationships/hyperlink" Target="https://drive.google.com/file/d/1yN2xNrTrovB7175cNK-DlMKhxnYkRNkR/view?usp=drivesdk" TargetMode="External"/><Relationship Id="rId7519" Type="http://schemas.openxmlformats.org/officeDocument/2006/relationships/hyperlink" Target="https://drive.google.com/file/d/1p79O4H_TYOPoHD5S6AhBsOveFt6ZzTCM/view?usp=drivesdk" TargetMode="External"/><Relationship Id="rId7518" Type="http://schemas.openxmlformats.org/officeDocument/2006/relationships/hyperlink" Target="https://drive.google.com/file/d/1vuM96HQAmCNp2aT4wLRK3qqn2K4SJ3V3/view?usp=drivesdk" TargetMode="External"/><Relationship Id="rId8849" Type="http://schemas.openxmlformats.org/officeDocument/2006/relationships/hyperlink" Target="https://drive.google.com/file/d/1mT5d9gu2vFrUxg9gMxdIRwA_mWJMmgYX/view?usp=drivesdk" TargetMode="External"/><Relationship Id="rId7517" Type="http://schemas.openxmlformats.org/officeDocument/2006/relationships/hyperlink" Target="https://drive.google.com/file/d/1VsXpu_6jwD5s1rTvMm6BjwqaefINBsZ_/view?usp=drivesdk" TargetMode="External"/><Relationship Id="rId8848" Type="http://schemas.openxmlformats.org/officeDocument/2006/relationships/hyperlink" Target="https://drive.google.com/file/d/1mm5qBTjLaJUgL9ulXADPBhhEZ-jpUerb/view?usp=drivesdk" TargetMode="External"/><Relationship Id="rId7516" Type="http://schemas.openxmlformats.org/officeDocument/2006/relationships/hyperlink" Target="https://drive.google.com/file/d/1Piacu1Nc8UmKVyTM98smIccfyh0p84jM/view?usp=drivesdk" TargetMode="External"/><Relationship Id="rId8847" Type="http://schemas.openxmlformats.org/officeDocument/2006/relationships/hyperlink" Target="https://drive.google.com/file/d/1eFsZ_BktM9eR0xZTCbrY4Qw7ZawDNfpa/view?usp=drivesdk" TargetMode="External"/><Relationship Id="rId7511" Type="http://schemas.openxmlformats.org/officeDocument/2006/relationships/hyperlink" Target="https://drive.google.com/file/d/1tWfNjHGHDmp2GHDca8ygI7s9NqMD-yJx/view?usp=drivesdk" TargetMode="External"/><Relationship Id="rId8842" Type="http://schemas.openxmlformats.org/officeDocument/2006/relationships/hyperlink" Target="https://drive.google.com/file/d/1iC-eRTFWKn8x5Op510Nye-sVw2_2NW-Y/view?usp=drivesdk" TargetMode="External"/><Relationship Id="rId7510" Type="http://schemas.openxmlformats.org/officeDocument/2006/relationships/hyperlink" Target="https://drive.google.com/file/d/1KGotKX0ZL2P2pGfDlB0EtJfeeT4k1U6o/view?usp=drivesdk" TargetMode="External"/><Relationship Id="rId8841" Type="http://schemas.openxmlformats.org/officeDocument/2006/relationships/hyperlink" Target="https://drive.google.com/file/d/1LNneN1fjsBGvuhfHASWVsDBVtArayE8D/view?usp=drivesdk" TargetMode="External"/><Relationship Id="rId8840" Type="http://schemas.openxmlformats.org/officeDocument/2006/relationships/hyperlink" Target="https://drive.google.com/file/d/1XFawnxldavY4YmuXbu_EDgt-uGT2HEFl/view?usp=drivesdk" TargetMode="External"/><Relationship Id="rId7515" Type="http://schemas.openxmlformats.org/officeDocument/2006/relationships/hyperlink" Target="https://drive.google.com/file/d/1a4u7ambhns8mH0fQoUDP9edo9RDdScwT/view?usp=drivesdk" TargetMode="External"/><Relationship Id="rId8846" Type="http://schemas.openxmlformats.org/officeDocument/2006/relationships/hyperlink" Target="https://drive.google.com/file/d/15UVRplJFMJTRQDEarSrD9M5CwU8iuj1o/view?usp=drivesdk" TargetMode="External"/><Relationship Id="rId7514" Type="http://schemas.openxmlformats.org/officeDocument/2006/relationships/hyperlink" Target="https://drive.google.com/file/d/1pH1xus6w9HUzqF0RmpaAYkepurmThhup/view?usp=drivesdk" TargetMode="External"/><Relationship Id="rId8845" Type="http://schemas.openxmlformats.org/officeDocument/2006/relationships/hyperlink" Target="https://drive.google.com/file/d/1cRwtAcdTCfDn-I_su7i-dVaTlzI6A8Xm/view?usp=drivesdk" TargetMode="External"/><Relationship Id="rId7513" Type="http://schemas.openxmlformats.org/officeDocument/2006/relationships/hyperlink" Target="https://drive.google.com/file/d/1r9iU_k1r8trUvbac68LZWX7dKsUnvYK9/view?usp=drivesdk" TargetMode="External"/><Relationship Id="rId8844" Type="http://schemas.openxmlformats.org/officeDocument/2006/relationships/hyperlink" Target="https://drive.google.com/file/d/1Jdpcn4fvehu5V5n-bqwQdDtW3ssFhdKg/view?usp=drivesdk" TargetMode="External"/><Relationship Id="rId7512" Type="http://schemas.openxmlformats.org/officeDocument/2006/relationships/hyperlink" Target="https://drive.google.com/file/d/1MvUbawANHDRM_f_ryj_eHDmFUEosu7P-/view?usp=drivesdk" TargetMode="External"/><Relationship Id="rId8843" Type="http://schemas.openxmlformats.org/officeDocument/2006/relationships/hyperlink" Target="https://drive.google.com/file/d/1ifKcjqlNsk_2wQl0H0fnktHYsmZhCMIP/view?usp=drivesdk" TargetMode="External"/><Relationship Id="rId7508" Type="http://schemas.openxmlformats.org/officeDocument/2006/relationships/hyperlink" Target="https://drive.google.com/file/d/16zfVsVwI_O5V1qGiZROa35j9y6bitGL-/view?usp=drivesdk" TargetMode="External"/><Relationship Id="rId8839" Type="http://schemas.openxmlformats.org/officeDocument/2006/relationships/hyperlink" Target="https://drive.google.com/file/d/1DH8NjoDIKeFSPeQN6KTC3sXN0XGktxj-/view?usp=drivesdk" TargetMode="External"/><Relationship Id="rId7507" Type="http://schemas.openxmlformats.org/officeDocument/2006/relationships/hyperlink" Target="https://drive.google.com/file/d/1ALjVb7YGMxG0HmCuTcRHihCK3loNAWJ_/view?usp=drivesdk" TargetMode="External"/><Relationship Id="rId8838" Type="http://schemas.openxmlformats.org/officeDocument/2006/relationships/hyperlink" Target="https://drive.google.com/file/d/1m7rnnd4xAAgmT2RN7DitpQ7W7kbiZvja/view?usp=drivesdk" TargetMode="External"/><Relationship Id="rId7506" Type="http://schemas.openxmlformats.org/officeDocument/2006/relationships/hyperlink" Target="https://drive.google.com/file/d/1xbWjwLjuprf8vJfUD79AzS5G1oLcowB0/view?usp=drivesdk" TargetMode="External"/><Relationship Id="rId8837" Type="http://schemas.openxmlformats.org/officeDocument/2006/relationships/hyperlink" Target="https://drive.google.com/file/d/1nq50Erwh6ipIs8afIouk3V09-Z0sdCha/view?usp=drivesdk" TargetMode="External"/><Relationship Id="rId7505" Type="http://schemas.openxmlformats.org/officeDocument/2006/relationships/hyperlink" Target="https://drive.google.com/file/d/1UsIVlHLrAs-_Hs7vEOMwyLlSKIgEZUNn/view?usp=drivesdk" TargetMode="External"/><Relationship Id="rId8836" Type="http://schemas.openxmlformats.org/officeDocument/2006/relationships/hyperlink" Target="https://drive.google.com/file/d/1XVexDjZ8blDFii6a7ur71vDoweDmy0hr/view?usp=drivesdk" TargetMode="External"/><Relationship Id="rId7509" Type="http://schemas.openxmlformats.org/officeDocument/2006/relationships/hyperlink" Target="https://drive.google.com/file/d/1c9yyPlfWcPV2LF09WGoZXgzCEZD5QFOe/view?usp=drivesdk" TargetMode="External"/><Relationship Id="rId7500" Type="http://schemas.openxmlformats.org/officeDocument/2006/relationships/hyperlink" Target="https://drive.google.com/file/d/1-NVry5lak-hNbLVQ7lumuvykic0kFBaV/view?usp=drivesdk" TargetMode="External"/><Relationship Id="rId8831" Type="http://schemas.openxmlformats.org/officeDocument/2006/relationships/hyperlink" Target="https://drive.google.com/file/d/1hZMr263S5_kyfs0APT517RaKMI5e2zT3/view?usp=drivesdk" TargetMode="External"/><Relationship Id="rId8830" Type="http://schemas.openxmlformats.org/officeDocument/2006/relationships/hyperlink" Target="https://drive.google.com/file/d/1v6PQJD3-pZCndZLXJZpsC31d_bHhs86x/view?usp=drivesdk" TargetMode="External"/><Relationship Id="rId7504" Type="http://schemas.openxmlformats.org/officeDocument/2006/relationships/hyperlink" Target="https://drive.google.com/file/d/1Si_qI6g-2gkRQCkxOWK7sbRMABEOM2kS/view?usp=drivesdk" TargetMode="External"/><Relationship Id="rId8835" Type="http://schemas.openxmlformats.org/officeDocument/2006/relationships/hyperlink" Target="https://drive.google.com/file/d/1yWPVbiKvPpIAUrtUp9HhpzBT5_R_KCXg/view?usp=drivesdk" TargetMode="External"/><Relationship Id="rId7503" Type="http://schemas.openxmlformats.org/officeDocument/2006/relationships/hyperlink" Target="https://drive.google.com/file/d/1NOEeHrSiuboVXW1A_cXKG-uAc6toIB8r/view?usp=drivesdk" TargetMode="External"/><Relationship Id="rId8834" Type="http://schemas.openxmlformats.org/officeDocument/2006/relationships/hyperlink" Target="https://drive.google.com/file/d/1CQpE9a6fM8Q76ysnfuXU5o9mzNMGBx0a/view?usp=drivesdk" TargetMode="External"/><Relationship Id="rId7502" Type="http://schemas.openxmlformats.org/officeDocument/2006/relationships/hyperlink" Target="https://drive.google.com/file/d/1YywSlItgqZ3ZnqcdZcSzsc8E6DJ1rDcr/view?usp=drivesdk" TargetMode="External"/><Relationship Id="rId8833" Type="http://schemas.openxmlformats.org/officeDocument/2006/relationships/hyperlink" Target="https://drive.google.com/file/d/1YC5BJGZ4Wqj6eK9ZA_Cz9_TXsC_WyDv-/view?usp=drivesdk" TargetMode="External"/><Relationship Id="rId7501" Type="http://schemas.openxmlformats.org/officeDocument/2006/relationships/hyperlink" Target="https://drive.google.com/file/d/1JdbqGyvJKViqiduxgjiKRk4bMDKlEjgn/view?usp=drivesdk" TargetMode="External"/><Relationship Id="rId8832" Type="http://schemas.openxmlformats.org/officeDocument/2006/relationships/hyperlink" Target="https://drive.google.com/file/d/10J3co-B1sBNp3sdf8qroyBIhn7k64eNK/view?usp=drivesdk" TargetMode="External"/><Relationship Id="rId6209" Type="http://schemas.openxmlformats.org/officeDocument/2006/relationships/hyperlink" Target="https://drive.google.com/file/d/1Hb9AyGx2qql5pW6tqMf_TAqFy7zBvZQi/view?usp=drivesdk" TargetMode="External"/><Relationship Id="rId6207" Type="http://schemas.openxmlformats.org/officeDocument/2006/relationships/hyperlink" Target="https://drive.google.com/file/d/1VwxfC80niS0vlu06RIB7G58d83Y2-q44/view?usp=drivesdk" TargetMode="External"/><Relationship Id="rId7539" Type="http://schemas.openxmlformats.org/officeDocument/2006/relationships/hyperlink" Target="https://drive.google.com/file/d/1l_4YcNVY0CP4XqKiquH0fAK6fwC-KodY/view?usp=drivesdk" TargetMode="External"/><Relationship Id="rId6208" Type="http://schemas.openxmlformats.org/officeDocument/2006/relationships/hyperlink" Target="https://drive.google.com/file/d/11pE0bhMLlwu60MecZ67L5RpbmHiGdg_7/view?usp=drivesdk" TargetMode="External"/><Relationship Id="rId7538" Type="http://schemas.openxmlformats.org/officeDocument/2006/relationships/hyperlink" Target="https://drive.google.com/file/d/1gViVFPIHZjEDoqTeKMK_jZLdBib0LAIS/view?usp=drivesdk" TargetMode="External"/><Relationship Id="rId8869" Type="http://schemas.openxmlformats.org/officeDocument/2006/relationships/hyperlink" Target="https://drive.google.com/file/d/1qO4BCdSYzcigJlXPIy1EcxK5Hvx_8ri4/view?usp=drivesdk" TargetMode="External"/><Relationship Id="rId8860" Type="http://schemas.openxmlformats.org/officeDocument/2006/relationships/hyperlink" Target="https://drive.google.com/file/d/1h4Llecbr98ahE6XZvWMGrFFzcSBY9o_i/view?usp=drivesdk" TargetMode="External"/><Relationship Id="rId6201" Type="http://schemas.openxmlformats.org/officeDocument/2006/relationships/hyperlink" Target="https://drive.google.com/file/d/1n6mFNbO-5I2CTAOzu6Ron84krJyIMShO/view?usp=drivesdk" TargetMode="External"/><Relationship Id="rId7533" Type="http://schemas.openxmlformats.org/officeDocument/2006/relationships/hyperlink" Target="https://drive.google.com/file/d/1VkB3rZgINgdt5md-tRmid_qEnvbS8BzS/view?usp=drivesdk" TargetMode="External"/><Relationship Id="rId8864" Type="http://schemas.openxmlformats.org/officeDocument/2006/relationships/hyperlink" Target="https://drive.google.com/file/d/1QVWgZm3fXEVnaBfs5FeW9wEVYDtd8PUR/view?usp=drivesdk" TargetMode="External"/><Relationship Id="rId6202" Type="http://schemas.openxmlformats.org/officeDocument/2006/relationships/hyperlink" Target="https://drive.google.com/file/d/1wSXItWkF12RTyTYboyx2m7z3o6VRhHS7/view?usp=drivesdk" TargetMode="External"/><Relationship Id="rId7532" Type="http://schemas.openxmlformats.org/officeDocument/2006/relationships/hyperlink" Target="https://drive.google.com/file/d/1VgHlBv4iLHPOvOOPjarA272LySvJQvQF/view?usp=drivesdk" TargetMode="External"/><Relationship Id="rId8863" Type="http://schemas.openxmlformats.org/officeDocument/2006/relationships/hyperlink" Target="https://drive.google.com/file/d/1Tec-v4piq70CsEzTG3vdt792uEJIsr65/view?usp=drivesdk" TargetMode="External"/><Relationship Id="rId7531" Type="http://schemas.openxmlformats.org/officeDocument/2006/relationships/hyperlink" Target="https://drive.google.com/file/d/14sqE8u3ARyDDwbpEkJVTRY5p2A9Vlw10/view?usp=drivesdk" TargetMode="External"/><Relationship Id="rId8862" Type="http://schemas.openxmlformats.org/officeDocument/2006/relationships/hyperlink" Target="https://drive.google.com/file/d/1jRBb9rmIwEnsavsSqwqBDmX8IeLKM4tM/view?usp=drivesdk" TargetMode="External"/><Relationship Id="rId6200" Type="http://schemas.openxmlformats.org/officeDocument/2006/relationships/hyperlink" Target="https://drive.google.com/file/d/1tiC0QRXUw7lIptnQwiSaEUUrmdnnVuSW/view?usp=drivesdk" TargetMode="External"/><Relationship Id="rId7530" Type="http://schemas.openxmlformats.org/officeDocument/2006/relationships/hyperlink" Target="https://drive.google.com/file/d/1KfrYt23xMX6cbTavRiDp4AY1J0GzyVEf/view?usp=drivesdk" TargetMode="External"/><Relationship Id="rId8861" Type="http://schemas.openxmlformats.org/officeDocument/2006/relationships/hyperlink" Target="https://drive.google.com/file/d/1aAVigmtA5x-69nzRGZkjluOihjsDggiK/view?usp=drivesdk" TargetMode="External"/><Relationship Id="rId6205" Type="http://schemas.openxmlformats.org/officeDocument/2006/relationships/hyperlink" Target="https://drive.google.com/file/d/1Et6tJVD_CDVz8QR0DwOF8tW6dNOyn050/view?usp=drivesdk" TargetMode="External"/><Relationship Id="rId7537" Type="http://schemas.openxmlformats.org/officeDocument/2006/relationships/hyperlink" Target="https://drive.google.com/file/d/1YFPceNN29fKfBTnlkveAZV7HhYalk4V_/view?usp=drivesdk" TargetMode="External"/><Relationship Id="rId8868" Type="http://schemas.openxmlformats.org/officeDocument/2006/relationships/hyperlink" Target="https://drive.google.com/file/d/1DvneeyFN-h45v2j4dG21nCbR64p4ftdn/view?usp=drivesdk" TargetMode="External"/><Relationship Id="rId6206" Type="http://schemas.openxmlformats.org/officeDocument/2006/relationships/hyperlink" Target="https://drive.google.com/file/d/1anOr-uKwOo5ZOIh6atuHoylr1wKXztsp/view?usp=drivesdk" TargetMode="External"/><Relationship Id="rId7536" Type="http://schemas.openxmlformats.org/officeDocument/2006/relationships/hyperlink" Target="https://drive.google.com/file/d/1gOpvow6TuIabkLIl69mDunh2iiUDzP_w/view?usp=drivesdk" TargetMode="External"/><Relationship Id="rId8867" Type="http://schemas.openxmlformats.org/officeDocument/2006/relationships/hyperlink" Target="https://drive.google.com/file/d/1qqDnp9KLfO6RZlpc-S9SxZptHuv9BHgt/view?usp=drivesdk" TargetMode="External"/><Relationship Id="rId6203" Type="http://schemas.openxmlformats.org/officeDocument/2006/relationships/hyperlink" Target="https://drive.google.com/file/d/1IKRI07FQvgjPAoHtHjlTR-mwoYYDww28/view?usp=drivesdk" TargetMode="External"/><Relationship Id="rId7535" Type="http://schemas.openxmlformats.org/officeDocument/2006/relationships/hyperlink" Target="https://drive.google.com/file/d/10svSOHE8eWmzbZPJexcXvlYA6V0XNeBq/view?usp=drivesdk" TargetMode="External"/><Relationship Id="rId8866" Type="http://schemas.openxmlformats.org/officeDocument/2006/relationships/hyperlink" Target="https://drive.google.com/file/d/1pDdzCy9rojtnNUyKvghTyrD6CDqXst0J/view?usp=drivesdk" TargetMode="External"/><Relationship Id="rId6204" Type="http://schemas.openxmlformats.org/officeDocument/2006/relationships/hyperlink" Target="https://drive.google.com/file/d/1HP0NZ89XAEWoSvg1SeEewpzYyBj9KYyV/view?usp=drivesdk" TargetMode="External"/><Relationship Id="rId7534" Type="http://schemas.openxmlformats.org/officeDocument/2006/relationships/hyperlink" Target="https://drive.google.com/file/d/1LyfrUZL_f0x13f3BScq_lHwRfz-L6rMQ/view?usp=drivesdk" TargetMode="External"/><Relationship Id="rId8865" Type="http://schemas.openxmlformats.org/officeDocument/2006/relationships/hyperlink" Target="https://drive.google.com/file/d/15rFKNXrw1lW2-es0vHUfa_Qq3r2PVhMw/view?usp=drivesdk" TargetMode="External"/><Relationship Id="rId7529" Type="http://schemas.openxmlformats.org/officeDocument/2006/relationships/hyperlink" Target="https://drive.google.com/file/d/13nF_iFVoxPCsyeD3XMcV_0x8jtM8hs-S/view?usp=drivesdk" TargetMode="External"/><Relationship Id="rId7528" Type="http://schemas.openxmlformats.org/officeDocument/2006/relationships/hyperlink" Target="https://drive.google.com/file/d/1KHy3iLiR9YfZ0MzM-WNfU_guGzOmddLW/view?usp=drivesdk" TargetMode="External"/><Relationship Id="rId8859" Type="http://schemas.openxmlformats.org/officeDocument/2006/relationships/hyperlink" Target="https://drive.google.com/file/d/1_Sfiv3xB9jAcqczfAE-bRUatSrQ_CzVx/view?usp=drivesdk" TargetMode="External"/><Relationship Id="rId7527" Type="http://schemas.openxmlformats.org/officeDocument/2006/relationships/hyperlink" Target="https://drive.google.com/file/d/1tPZEzDaOz8_r_VILuC4tmy_3AnJzdSIV/view?usp=drivesdk" TargetMode="External"/><Relationship Id="rId8858" Type="http://schemas.openxmlformats.org/officeDocument/2006/relationships/hyperlink" Target="https://drive.google.com/file/d/1p_PVznJ0f2FvViIwpqTWolGO1jtT1Q6q/view?usp=drivesdk" TargetMode="External"/><Relationship Id="rId7522" Type="http://schemas.openxmlformats.org/officeDocument/2006/relationships/hyperlink" Target="https://drive.google.com/file/d/1o9cfk0b9MxiBzhsTiURiYH9CCWGU7II3/view?usp=drivesdk" TargetMode="External"/><Relationship Id="rId8853" Type="http://schemas.openxmlformats.org/officeDocument/2006/relationships/hyperlink" Target="https://drive.google.com/file/d/1wjNW1XTN6RkvQTsEKHWAtDOCai773BYJ/view?usp=drivesdk" TargetMode="External"/><Relationship Id="rId7521" Type="http://schemas.openxmlformats.org/officeDocument/2006/relationships/hyperlink" Target="https://drive.google.com/file/d/1ifAqCrWARynP0xSE2yJURqxrZFOXDp3O/view?usp=drivesdk" TargetMode="External"/><Relationship Id="rId8852" Type="http://schemas.openxmlformats.org/officeDocument/2006/relationships/hyperlink" Target="https://drive.google.com/file/d/1Lj1l8nipP63hO9xxZno-5PlcgAUZXCoE/view?usp=drivesdk" TargetMode="External"/><Relationship Id="rId7520" Type="http://schemas.openxmlformats.org/officeDocument/2006/relationships/hyperlink" Target="https://drive.google.com/file/d/1pZpR_50NDPjHjGRfwrsaO1w9mD3vNJVC/view?usp=drivesdk" TargetMode="External"/><Relationship Id="rId8851" Type="http://schemas.openxmlformats.org/officeDocument/2006/relationships/hyperlink" Target="https://drive.google.com/file/d/1a0EfmFq2cxqIrPazHVjcZTJzT-s7IaHG/view?usp=drivesdk" TargetMode="External"/><Relationship Id="rId8850" Type="http://schemas.openxmlformats.org/officeDocument/2006/relationships/hyperlink" Target="https://drive.google.com/file/d/1nAzKD-gUQnBUskW5JvPZKiaQ-IN-Zz4P/view?usp=drivesdk" TargetMode="External"/><Relationship Id="rId7526" Type="http://schemas.openxmlformats.org/officeDocument/2006/relationships/hyperlink" Target="https://drive.google.com/file/d/1ns9EaJbvL4KpniLIa_QK9DvRghBhovhv/view?usp=drivesdk" TargetMode="External"/><Relationship Id="rId8857" Type="http://schemas.openxmlformats.org/officeDocument/2006/relationships/hyperlink" Target="https://drive.google.com/file/d/1T3z-JjTu6P0QjSNedrahp0Xz3dvSSb3E/view?usp=drivesdk" TargetMode="External"/><Relationship Id="rId7525" Type="http://schemas.openxmlformats.org/officeDocument/2006/relationships/hyperlink" Target="https://drive.google.com/file/d/16yHRg0GwrDNmWv5OF9noWRLf_1XtA1i7/view?usp=drivesdk" TargetMode="External"/><Relationship Id="rId8856" Type="http://schemas.openxmlformats.org/officeDocument/2006/relationships/hyperlink" Target="https://drive.google.com/file/d/1diT8Bn4k1q34hpd2v25fer3Ndn1TkjBI/view?usp=drivesdk" TargetMode="External"/><Relationship Id="rId7524" Type="http://schemas.openxmlformats.org/officeDocument/2006/relationships/hyperlink" Target="https://drive.google.com/file/d/1EnhL1kmro1ZS-NXRudxbIApxm2i94HaP/view?usp=drivesdk" TargetMode="External"/><Relationship Id="rId8855" Type="http://schemas.openxmlformats.org/officeDocument/2006/relationships/hyperlink" Target="https://drive.google.com/file/d/1LZY4raZrybi9CLTpg9THhJIuNhfQn00H/view?usp=drivesdk" TargetMode="External"/><Relationship Id="rId7523" Type="http://schemas.openxmlformats.org/officeDocument/2006/relationships/hyperlink" Target="https://drive.google.com/file/d/1KV3JG5f_Fk0yFcSluu_vt5H9vQ6vzjS4/view?usp=drivesdk" TargetMode="External"/><Relationship Id="rId8854" Type="http://schemas.openxmlformats.org/officeDocument/2006/relationships/hyperlink" Target="https://drive.google.com/file/d/1yT5hokQmSZWRp42HSZjdhAPs0JT0jJnd/view?usp=drivesdk" TargetMode="External"/><Relationship Id="rId6292" Type="http://schemas.openxmlformats.org/officeDocument/2006/relationships/hyperlink" Target="https://drive.google.com/file/d/1tMGoVpbtDFtck0Do4-BXZXkhvfxWK4_w/view?usp=drivesdk" TargetMode="External"/><Relationship Id="rId6293" Type="http://schemas.openxmlformats.org/officeDocument/2006/relationships/hyperlink" Target="https://drive.google.com/file/d/1MdBKxr4vlF2GANdfQmps3rY1Da3qBzyx/view?usp=drivesdk" TargetMode="External"/><Relationship Id="rId6290" Type="http://schemas.openxmlformats.org/officeDocument/2006/relationships/hyperlink" Target="https://drive.google.com/file/d/1tftWX7MwFWA8OXBvRVztUh4AdxdEfO60/view?usp=drivesdk" TargetMode="External"/><Relationship Id="rId6291" Type="http://schemas.openxmlformats.org/officeDocument/2006/relationships/hyperlink" Target="https://drive.google.com/file/d/1lm4HXJQS-QvCU1PwdFTZPjZ40J7PDZPy/view?usp=drivesdk" TargetMode="External"/><Relationship Id="rId6296" Type="http://schemas.openxmlformats.org/officeDocument/2006/relationships/hyperlink" Target="https://drive.google.com/file/d/1ZesbwSIwy0gG7d1Na1-GCsolcMOC3FRk/view?usp=drivesdk" TargetMode="External"/><Relationship Id="rId6297" Type="http://schemas.openxmlformats.org/officeDocument/2006/relationships/hyperlink" Target="https://drive.google.com/file/d/1NI43-usiz3pN9SEV28nWKxPEoqp8fty_/view?usp=drivesdk" TargetMode="External"/><Relationship Id="rId6294" Type="http://schemas.openxmlformats.org/officeDocument/2006/relationships/hyperlink" Target="https://drive.google.com/file/d/1NbjlaalrypQ5D9XTmt1g07siKS5I3onB/view?usp=drivesdk" TargetMode="External"/><Relationship Id="rId6295" Type="http://schemas.openxmlformats.org/officeDocument/2006/relationships/hyperlink" Target="https://drive.google.com/file/d/1zPqo7eNTXMsp9m_wLVKTlBtt1A9AS_sB/view?usp=drivesdk" TargetMode="External"/><Relationship Id="rId6298" Type="http://schemas.openxmlformats.org/officeDocument/2006/relationships/hyperlink" Target="https://drive.google.com/file/d/1jJdTP_p-XwgseRPVt_cwXMHOJMi_vCVy/view?usp=drivesdk" TargetMode="External"/><Relationship Id="rId6299" Type="http://schemas.openxmlformats.org/officeDocument/2006/relationships/hyperlink" Target="https://drive.google.com/file/d/1qNcOfe3fD4kRI7NhJRut7kbyKIwo6fOB/view?usp=drivesdk" TargetMode="External"/><Relationship Id="rId7591" Type="http://schemas.openxmlformats.org/officeDocument/2006/relationships/hyperlink" Target="https://drive.google.com/file/d/1Q_LBkFvYB5ey65OcfiNQZD62H7W7hcGM/view?usp=drivesdk" TargetMode="External"/><Relationship Id="rId6260" Type="http://schemas.openxmlformats.org/officeDocument/2006/relationships/hyperlink" Target="https://drive.google.com/file/d/1lJfePWibod47ZLFBMC2YVMIA2NGQ0N8C/view?usp=drivesdk" TargetMode="External"/><Relationship Id="rId7590" Type="http://schemas.openxmlformats.org/officeDocument/2006/relationships/hyperlink" Target="https://drive.google.com/file/d/1PbGtCPAYGlrfuGm2lThebHXv1HpMJcTF/view?usp=drivesdk" TargetMode="External"/><Relationship Id="rId6263" Type="http://schemas.openxmlformats.org/officeDocument/2006/relationships/hyperlink" Target="https://drive.google.com/file/d/19XCAdrVZtW9Yx9vGDpt8J1OMU7hE5H0b/view?usp=drivesdk" TargetMode="External"/><Relationship Id="rId7595" Type="http://schemas.openxmlformats.org/officeDocument/2006/relationships/hyperlink" Target="https://drive.google.com/file/d/1FxB6H4eK6xuJrSTGqGg8itW8nq-L7zZi/view?usp=drivesdk" TargetMode="External"/><Relationship Id="rId6264" Type="http://schemas.openxmlformats.org/officeDocument/2006/relationships/hyperlink" Target="https://drive.google.com/file/d/1JZqzl_OJJXrZYvJIR6umAkvPsHFSpVPF/view?usp=drivesdk" TargetMode="External"/><Relationship Id="rId7594" Type="http://schemas.openxmlformats.org/officeDocument/2006/relationships/hyperlink" Target="https://drive.google.com/file/d/1a0Udg-GFWrJM71OTNhEBE-mrrQVuf91C/view?usp=drivesdk" TargetMode="External"/><Relationship Id="rId6261" Type="http://schemas.openxmlformats.org/officeDocument/2006/relationships/hyperlink" Target="https://drive.google.com/file/d/1aSYhbnRpRKW9rZ_9HLw0G2stnWkqthHJ/view?usp=drivesdk" TargetMode="External"/><Relationship Id="rId7593" Type="http://schemas.openxmlformats.org/officeDocument/2006/relationships/hyperlink" Target="https://drive.google.com/file/d/1yZC4wtJ_E77Ias_PozaTAX6HurdTLz6l/view?usp=drivesdk" TargetMode="External"/><Relationship Id="rId6262" Type="http://schemas.openxmlformats.org/officeDocument/2006/relationships/hyperlink" Target="https://drive.google.com/file/d/1Qm3VrNcoHzq387k6ZvjVqjM9hnE_WBnc/view?usp=drivesdk" TargetMode="External"/><Relationship Id="rId7592" Type="http://schemas.openxmlformats.org/officeDocument/2006/relationships/hyperlink" Target="https://drive.google.com/file/d/13oLYSi3ZOkyfyAN3HMgIFJ8YbYNQtdbL/view?usp=drivesdk" TargetMode="External"/><Relationship Id="rId6267" Type="http://schemas.openxmlformats.org/officeDocument/2006/relationships/hyperlink" Target="https://drive.google.com/file/d/1QoBIKhhvoBXCDCyfrdcic-NHSFnVVXHf/view?usp=drivesdk" TargetMode="External"/><Relationship Id="rId7599" Type="http://schemas.openxmlformats.org/officeDocument/2006/relationships/hyperlink" Target="https://drive.google.com/file/d/1H57dYJtRlsUZjWupmOOqsuKyxCxh02Kz/view?usp=drivesdk" TargetMode="External"/><Relationship Id="rId6268" Type="http://schemas.openxmlformats.org/officeDocument/2006/relationships/hyperlink" Target="https://drive.google.com/file/d/1ArEj0CIK4CJUISB2566LatztIUXBR43B/view?usp=drivesdk" TargetMode="External"/><Relationship Id="rId7598" Type="http://schemas.openxmlformats.org/officeDocument/2006/relationships/hyperlink" Target="https://drive.google.com/file/d/1_D3xu-4am2y_uCDJKUC1WjBb6vIrYKpf/view?usp=drivesdk" TargetMode="External"/><Relationship Id="rId6265" Type="http://schemas.openxmlformats.org/officeDocument/2006/relationships/hyperlink" Target="https://drive.google.com/file/d/12PdFovyGYdLUTA6yKY2McdLk6GIr-M8_/view?usp=drivesdk" TargetMode="External"/><Relationship Id="rId7597" Type="http://schemas.openxmlformats.org/officeDocument/2006/relationships/hyperlink" Target="https://drive.google.com/file/d/1toKnMp5-rG8MQDhVEcIKrPWhJZMr4Wk4/view?usp=drivesdk" TargetMode="External"/><Relationship Id="rId6266" Type="http://schemas.openxmlformats.org/officeDocument/2006/relationships/hyperlink" Target="https://drive.google.com/file/d/1utrwPf4M2239VTbmq9Cl1woln9P45Ne_/view?usp=drivesdk" TargetMode="External"/><Relationship Id="rId7596" Type="http://schemas.openxmlformats.org/officeDocument/2006/relationships/hyperlink" Target="https://drive.google.com/file/d/1v3cdQYNDhoArdZylNbHbHOVMLKuYbTz1/view?usp=drivesdk" TargetMode="External"/><Relationship Id="rId6269" Type="http://schemas.openxmlformats.org/officeDocument/2006/relationships/hyperlink" Target="https://drive.google.com/file/d/1ihC4YglMvBw7Gc85Sm2aC8qpNUk7Npll/view?usp=drivesdk" TargetMode="External"/><Relationship Id="rId7580" Type="http://schemas.openxmlformats.org/officeDocument/2006/relationships/hyperlink" Target="https://drive.google.com/file/d/1Ti-0BhKpS9clvnDu0_JWVbg_yIWP1opq/view?usp=drivesdk" TargetMode="External"/><Relationship Id="rId6252" Type="http://schemas.openxmlformats.org/officeDocument/2006/relationships/hyperlink" Target="https://drive.google.com/file/d/14w5ov2eEIhnIZShd1VY6lGC0vfAntE3r/view?usp=drivesdk" TargetMode="External"/><Relationship Id="rId7584" Type="http://schemas.openxmlformats.org/officeDocument/2006/relationships/hyperlink" Target="https://drive.google.com/file/d/1w7SY67C9inBOtlVdZFga1Y_LKmrNyTsE/view?usp=drivesdk" TargetMode="External"/><Relationship Id="rId6253" Type="http://schemas.openxmlformats.org/officeDocument/2006/relationships/hyperlink" Target="https://drive.google.com/file/d/1TStjIWlODfdNoSS8CcLGvn5riVuvDFes/view?usp=drivesdk" TargetMode="External"/><Relationship Id="rId7583" Type="http://schemas.openxmlformats.org/officeDocument/2006/relationships/hyperlink" Target="https://drive.google.com/file/d/150kbsjs7_YR1SNNtYDt99i5WPVSw6vRO/view?usp=drivesdk" TargetMode="External"/><Relationship Id="rId6250" Type="http://schemas.openxmlformats.org/officeDocument/2006/relationships/hyperlink" Target="https://drive.google.com/file/d/1KeNdmOKD1t13KtgYQNcO6yUbF8EkqBz1/view?usp=drivesdk" TargetMode="External"/><Relationship Id="rId7582" Type="http://schemas.openxmlformats.org/officeDocument/2006/relationships/hyperlink" Target="https://drive.google.com/file/d/1NlxX_FfbbAJxZpv9NC5nc02Lp1YW0pub/view?usp=drivesdk" TargetMode="External"/><Relationship Id="rId6251" Type="http://schemas.openxmlformats.org/officeDocument/2006/relationships/hyperlink" Target="https://drive.google.com/file/d/1kbwccpfmcq33cgdjxduWMqcg2awdmW5j/view?usp=drivesdk" TargetMode="External"/><Relationship Id="rId7581" Type="http://schemas.openxmlformats.org/officeDocument/2006/relationships/hyperlink" Target="https://drive.google.com/file/d/1YaXT5dQUyjKPHggYXBsUJ9fM4YUz3wW9/view?usp=drivesdk" TargetMode="External"/><Relationship Id="rId6256" Type="http://schemas.openxmlformats.org/officeDocument/2006/relationships/hyperlink" Target="https://drive.google.com/file/d/1SQj1b1SITswbWsczQq-xr7N49Vepeyv2/view?usp=drivesdk" TargetMode="External"/><Relationship Id="rId7588" Type="http://schemas.openxmlformats.org/officeDocument/2006/relationships/hyperlink" Target="https://drive.google.com/file/d/1_d1byt_1CVYiO1hLMlgCKUcITVMNpMuk/view?usp=drivesdk" TargetMode="External"/><Relationship Id="rId6257" Type="http://schemas.openxmlformats.org/officeDocument/2006/relationships/hyperlink" Target="https://drive.google.com/file/d/1wtSlyQhA-qZlu5jBaggmtQxvjFU74NG0/view?usp=drivesdk" TargetMode="External"/><Relationship Id="rId7587" Type="http://schemas.openxmlformats.org/officeDocument/2006/relationships/hyperlink" Target="https://drive.google.com/file/d/1Qkr15QIBctsDjXiHXg_zGKWJ6yoOBf7s/view?usp=drivesdk" TargetMode="External"/><Relationship Id="rId6254" Type="http://schemas.openxmlformats.org/officeDocument/2006/relationships/hyperlink" Target="https://drive.google.com/file/d/1L1tD4PiRafNcDQ1we1_6SY7nGHpeRHR0/view?usp=drivesdk" TargetMode="External"/><Relationship Id="rId7586" Type="http://schemas.openxmlformats.org/officeDocument/2006/relationships/hyperlink" Target="https://drive.google.com/file/d/1aD9xSNoPsWYQLTehfkl_kN16lo2r8aiY/view?usp=drivesdk" TargetMode="External"/><Relationship Id="rId6255" Type="http://schemas.openxmlformats.org/officeDocument/2006/relationships/hyperlink" Target="https://drive.google.com/file/d/1zyjfBkkaR9ItwJss9c35cPuQlqSrpABn/view?usp=drivesdk" TargetMode="External"/><Relationship Id="rId7585" Type="http://schemas.openxmlformats.org/officeDocument/2006/relationships/hyperlink" Target="https://drive.google.com/file/d/1Je9Tw5R5mCRa6CFsxdmPxiA0vPGdCjHu/view?usp=drivesdk" TargetMode="External"/><Relationship Id="rId6258" Type="http://schemas.openxmlformats.org/officeDocument/2006/relationships/hyperlink" Target="https://drive.google.com/file/d/1fKxT1wi1pb7-gueHpta-nIR1SOXmS58S/view?usp=drivesdk" TargetMode="External"/><Relationship Id="rId6259" Type="http://schemas.openxmlformats.org/officeDocument/2006/relationships/hyperlink" Target="https://drive.google.com/file/d/1DaBeRKSfCGtVTh8Gq8fRycKHnMRy3plw/view?usp=drivesdk" TargetMode="External"/><Relationship Id="rId7589" Type="http://schemas.openxmlformats.org/officeDocument/2006/relationships/hyperlink" Target="https://drive.google.com/file/d/1u1JwhnCjNhlj9Zjri1J1E2qOYODVvNgX/view?usp=drivesdk" TargetMode="External"/><Relationship Id="rId6281" Type="http://schemas.openxmlformats.org/officeDocument/2006/relationships/hyperlink" Target="https://drive.google.com/file/d/1KKg2i3bfyM5ozRYTIqp9fQ8tiA7JVYRq/view?usp=drivesdk" TargetMode="External"/><Relationship Id="rId6282" Type="http://schemas.openxmlformats.org/officeDocument/2006/relationships/hyperlink" Target="https://drive.google.com/file/d/120fattWhCKzvprlAYI87pB9hXCjXq4qk/view?usp=drivesdk" TargetMode="External"/><Relationship Id="rId6280" Type="http://schemas.openxmlformats.org/officeDocument/2006/relationships/hyperlink" Target="https://drive.google.com/file/d/1eoVyl74mwun6roMxNUmLE_LpGsOppi2P/view?usp=drivesdk" TargetMode="External"/><Relationship Id="rId6285" Type="http://schemas.openxmlformats.org/officeDocument/2006/relationships/hyperlink" Target="https://drive.google.com/file/d/1ZBHVhB6nPs3P8jLmwfcw57fDS0Tp1_KA/view?usp=drivesdk" TargetMode="External"/><Relationship Id="rId6286" Type="http://schemas.openxmlformats.org/officeDocument/2006/relationships/hyperlink" Target="https://drive.google.com/file/d/1psTPrj7e-iYq2JdcgzyLzO-BioznRyd5/view?usp=drivesdk" TargetMode="External"/><Relationship Id="rId6283" Type="http://schemas.openxmlformats.org/officeDocument/2006/relationships/hyperlink" Target="https://drive.google.com/file/d/1aWmt5ZuqcHQSkeAFQBnHXqTclcPCl98X/view?usp=drivesdk" TargetMode="External"/><Relationship Id="rId6284" Type="http://schemas.openxmlformats.org/officeDocument/2006/relationships/hyperlink" Target="https://drive.google.com/file/d/1KZd7tj6JJH7R6YAB8xJPxmct8VAPe8MA/view?usp=drivesdk" TargetMode="External"/><Relationship Id="rId6289" Type="http://schemas.openxmlformats.org/officeDocument/2006/relationships/hyperlink" Target="https://drive.google.com/file/d/1FagMVEXbdGLacc7bj2H-4rOnhQXDOyec/view?usp=drivesdk" TargetMode="External"/><Relationship Id="rId6287" Type="http://schemas.openxmlformats.org/officeDocument/2006/relationships/hyperlink" Target="https://drive.google.com/file/d/1Fr8RXDc6YTDrFo2KDLtDSfzph3OvjIbC/view?usp=drivesdk" TargetMode="External"/><Relationship Id="rId6288" Type="http://schemas.openxmlformats.org/officeDocument/2006/relationships/hyperlink" Target="https://drive.google.com/file/d/1npxU1mpNnZ3RoG01DC5I3KHlT3qvfcBF/view?usp=drivesdk" TargetMode="External"/><Relationship Id="rId6270" Type="http://schemas.openxmlformats.org/officeDocument/2006/relationships/hyperlink" Target="https://drive.google.com/file/d/1GdtW5TO9YWALYUwgQzkbEmb6frfCyLHw/view?usp=drivesdk" TargetMode="External"/><Relationship Id="rId6271" Type="http://schemas.openxmlformats.org/officeDocument/2006/relationships/hyperlink" Target="https://drive.google.com/file/d/1lv0yzvmcj9P8wn2lGJabsvSJyvdhgP2n/view?usp=drivesdk" TargetMode="External"/><Relationship Id="rId6274" Type="http://schemas.openxmlformats.org/officeDocument/2006/relationships/hyperlink" Target="https://drive.google.com/file/d/1CYC8cnUdcX9kBtT3o9qvCE6xAkieFAcl/view?usp=drivesdk" TargetMode="External"/><Relationship Id="rId6275" Type="http://schemas.openxmlformats.org/officeDocument/2006/relationships/hyperlink" Target="https://drive.google.com/file/d/1_8gdEAO5C4qXcpDSLIRNAcwMh6B5lKMu/view?usp=drivesdk" TargetMode="External"/><Relationship Id="rId6272" Type="http://schemas.openxmlformats.org/officeDocument/2006/relationships/hyperlink" Target="https://drive.google.com/file/d/1OZGotCSmjkc3MQlCGXujBVqgH0Bp5rWD/view?usp=drivesdk" TargetMode="External"/><Relationship Id="rId6273" Type="http://schemas.openxmlformats.org/officeDocument/2006/relationships/hyperlink" Target="https://drive.google.com/file/d/1B6NHCnQdaqxinmadQ1YTFrQ8qA1jVFNj/view?usp=drivesdk" TargetMode="External"/><Relationship Id="rId6278" Type="http://schemas.openxmlformats.org/officeDocument/2006/relationships/hyperlink" Target="https://drive.google.com/file/d/19FzBah_OvND_8re3iGkvC9QL2lqFRM21/view?usp=drivesdk" TargetMode="External"/><Relationship Id="rId6279" Type="http://schemas.openxmlformats.org/officeDocument/2006/relationships/hyperlink" Target="https://drive.google.com/file/d/1tQzCNxQrt3ve-ygQAdmqs-vbCYFIU_Sp/view?usp=drivesdk" TargetMode="External"/><Relationship Id="rId6276" Type="http://schemas.openxmlformats.org/officeDocument/2006/relationships/hyperlink" Target="https://drive.google.com/file/d/1hH_ZPY_uGHt1zn_bFRscDxHOgfOznLKq/view?usp=drivesdk" TargetMode="External"/><Relationship Id="rId6277" Type="http://schemas.openxmlformats.org/officeDocument/2006/relationships/hyperlink" Target="https://drive.google.com/file/d/1f2slyUbtvpIi8QYLLvESuRJtAd9D64rr/view?usp=drivesdk" TargetMode="External"/><Relationship Id="rId629" Type="http://schemas.openxmlformats.org/officeDocument/2006/relationships/hyperlink" Target="https://drive.google.com/file/d/1zQgYbVsLwjqyhwPAvusKcqP_ro7epyog/view?usp=drivesdk" TargetMode="External"/><Relationship Id="rId624" Type="http://schemas.openxmlformats.org/officeDocument/2006/relationships/hyperlink" Target="https://drive.google.com/file/d/1kWSApWe0BAELlD3qFx5nfkfTGfF4pT03/view?usp=drivesdk" TargetMode="External"/><Relationship Id="rId623" Type="http://schemas.openxmlformats.org/officeDocument/2006/relationships/hyperlink" Target="https://drive.google.com/file/d/1iIZGD_f4Lto4JOGeANBJdNIDhHObBUx-/view?usp=drivesdk" TargetMode="External"/><Relationship Id="rId622" Type="http://schemas.openxmlformats.org/officeDocument/2006/relationships/hyperlink" Target="https://drive.google.com/file/d/1c70KpjSgSib1ZKrETll80yHthNicT54t/view?usp=drivesdk" TargetMode="External"/><Relationship Id="rId621" Type="http://schemas.openxmlformats.org/officeDocument/2006/relationships/hyperlink" Target="https://drive.google.com/file/d/1kW9uB8B0ZEbfqUgYfSwFU97ZsPjAEv2T/view?usp=drivesdk" TargetMode="External"/><Relationship Id="rId628" Type="http://schemas.openxmlformats.org/officeDocument/2006/relationships/hyperlink" Target="https://drive.google.com/file/d/1DS2paSp2nMfaedruPxDVo09gnqZT6pQO/view?usp=drivesdk" TargetMode="External"/><Relationship Id="rId627" Type="http://schemas.openxmlformats.org/officeDocument/2006/relationships/hyperlink" Target="https://drive.google.com/file/d/1jE6y5WHCiTqaLSLY2ISohP9l6jPHZo92/view?usp=drivesdk" TargetMode="External"/><Relationship Id="rId626" Type="http://schemas.openxmlformats.org/officeDocument/2006/relationships/hyperlink" Target="https://drive.google.com/file/d/1HbDcO1gTjkF56ubqqTErM9B6ePC8hOaZ/view?usp=drivesdk" TargetMode="External"/><Relationship Id="rId625" Type="http://schemas.openxmlformats.org/officeDocument/2006/relationships/hyperlink" Target="https://drive.google.com/file/d/1vzbSvQvxkt33GqbyJmJyzrsnEGeZe7wF/view?usp=drivesdk" TargetMode="External"/><Relationship Id="rId620" Type="http://schemas.openxmlformats.org/officeDocument/2006/relationships/hyperlink" Target="https://drive.google.com/file/d/1QtXTs92-xSn0ndb5Qd8ezQvJiiAhz_1f/view?usp=drivesdk" TargetMode="External"/><Relationship Id="rId619" Type="http://schemas.openxmlformats.org/officeDocument/2006/relationships/hyperlink" Target="https://drive.google.com/file/d/1tZbxzTO4rVp8gunSahSG5aXC_rGAHuRW/view?usp=drivesdk" TargetMode="External"/><Relationship Id="rId618" Type="http://schemas.openxmlformats.org/officeDocument/2006/relationships/hyperlink" Target="https://drive.google.com/file/d/1LqXtiHiPfjZoKI9MjvDZ-JFhtjJmQYTt/view?usp=drivesdk" TargetMode="External"/><Relationship Id="rId613" Type="http://schemas.openxmlformats.org/officeDocument/2006/relationships/hyperlink" Target="https://drive.google.com/file/d/182tWZTjSXrJ3kXkAZBK68ZWLyyzOOBTB/view?usp=drivesdk" TargetMode="External"/><Relationship Id="rId612" Type="http://schemas.openxmlformats.org/officeDocument/2006/relationships/hyperlink" Target="https://drive.google.com/file/d/1pPqe00do0PNhJXCP5OecY3c5kyyfYaX9/view?usp=drivesdk" TargetMode="External"/><Relationship Id="rId611" Type="http://schemas.openxmlformats.org/officeDocument/2006/relationships/hyperlink" Target="https://drive.google.com/file/d/1valH_d2l2fVfXTubiolIksjBQDpMI1AY/view?usp=drivesdk" TargetMode="External"/><Relationship Id="rId610" Type="http://schemas.openxmlformats.org/officeDocument/2006/relationships/hyperlink" Target="https://drive.google.com/file/d/1TlILU_WTT4W_RCXYx_cYmwzPOuNFv0u8/view?usp=drivesdk" TargetMode="External"/><Relationship Id="rId617" Type="http://schemas.openxmlformats.org/officeDocument/2006/relationships/hyperlink" Target="https://drive.google.com/file/d/13I990ve3cMs-f0z5fUa0katqmmIdRFCW/view?usp=drivesdk" TargetMode="External"/><Relationship Id="rId616" Type="http://schemas.openxmlformats.org/officeDocument/2006/relationships/hyperlink" Target="https://drive.google.com/file/d/1HaHalE_MdnuIIBFP1IU2msSYbJiixaFM/view?usp=drivesdk" TargetMode="External"/><Relationship Id="rId615" Type="http://schemas.openxmlformats.org/officeDocument/2006/relationships/hyperlink" Target="https://drive.google.com/file/d/1avIRgsVcAX3fh6iROvBFCN12Ba2GHZLA/view?usp=drivesdk" TargetMode="External"/><Relationship Id="rId614" Type="http://schemas.openxmlformats.org/officeDocument/2006/relationships/hyperlink" Target="https://drive.google.com/file/d/1pJVlO_hX2_PFcZDQMXgU2-gWg4ehu_xh/view?usp=drivesdk" TargetMode="External"/><Relationship Id="rId646" Type="http://schemas.openxmlformats.org/officeDocument/2006/relationships/hyperlink" Target="https://drive.google.com/file/d/1RREGR_pDLFljEMN-XgDeMj0OoUGrISZ_/view?usp=drivesdk" TargetMode="External"/><Relationship Id="rId645" Type="http://schemas.openxmlformats.org/officeDocument/2006/relationships/hyperlink" Target="https://drive.google.com/file/d/1Cdska1Ko-Glow1oa2LaUAhp8QlK0WYET/view?usp=drivesdk" TargetMode="External"/><Relationship Id="rId644" Type="http://schemas.openxmlformats.org/officeDocument/2006/relationships/hyperlink" Target="https://drive.google.com/file/d/12sr2hROVVfnrkPm2xmMts1NgxDr0GTVa/view?usp=drivesdk" TargetMode="External"/><Relationship Id="rId643" Type="http://schemas.openxmlformats.org/officeDocument/2006/relationships/hyperlink" Target="https://drive.google.com/file/d/1mu8AdNQbMctiOKgODmjL9JmQdDFcIEZs/view?usp=drivesdk" TargetMode="External"/><Relationship Id="rId649" Type="http://schemas.openxmlformats.org/officeDocument/2006/relationships/hyperlink" Target="https://drive.google.com/file/d/1c6lMMKEl7amzBkBezVyHDm4wmcjr8BRF/view?usp=drivesdk" TargetMode="External"/><Relationship Id="rId648" Type="http://schemas.openxmlformats.org/officeDocument/2006/relationships/hyperlink" Target="https://drive.google.com/file/d/1PIacgC5--Uu7bQxZ7q3jjNyOjXGUmlAA/view?usp=drivesdk" TargetMode="External"/><Relationship Id="rId647" Type="http://schemas.openxmlformats.org/officeDocument/2006/relationships/hyperlink" Target="https://drive.google.com/file/d/13veE9PYMRGZ-1W7jz1HMgEnoytqQ1SAi/view?usp=drivesdk" TargetMode="External"/><Relationship Id="rId642" Type="http://schemas.openxmlformats.org/officeDocument/2006/relationships/hyperlink" Target="https://drive.google.com/file/d/1HE7bCkGbBnWvlAzcnIWAzgjP7TNqr3bq/view?usp=drivesdk" TargetMode="External"/><Relationship Id="rId641" Type="http://schemas.openxmlformats.org/officeDocument/2006/relationships/hyperlink" Target="https://drive.google.com/file/d/1LZ-epEqL3mKMZA2lKiU1ucOI8PM2PCgA/view?usp=drivesdk" TargetMode="External"/><Relationship Id="rId640" Type="http://schemas.openxmlformats.org/officeDocument/2006/relationships/hyperlink" Target="https://drive.google.com/file/d/1crxx6f1Twmz20XkFkfBdbn1WS0GWsoT-/view?usp=drivesdk" TargetMode="External"/><Relationship Id="rId635" Type="http://schemas.openxmlformats.org/officeDocument/2006/relationships/hyperlink" Target="https://drive.google.com/file/d/1vvdkQU5BiO8b7OpMwkNLn1vT2lejvX9a/view?usp=drivesdk" TargetMode="External"/><Relationship Id="rId634" Type="http://schemas.openxmlformats.org/officeDocument/2006/relationships/hyperlink" Target="https://drive.google.com/file/d/13FcovMVM8W3eBFSynHxcWEgHKxN6QEXw/view?usp=drivesdk" TargetMode="External"/><Relationship Id="rId633" Type="http://schemas.openxmlformats.org/officeDocument/2006/relationships/hyperlink" Target="https://drive.google.com/file/d/1dZTCWnCk4TlWDVLGx-FEKx6QA3iT8MaP/view?usp=drivesdk" TargetMode="External"/><Relationship Id="rId632" Type="http://schemas.openxmlformats.org/officeDocument/2006/relationships/hyperlink" Target="https://drive.google.com/file/d/1_mBoJ9GSOUts4Is_3CEMnPp6_htza-8T/view?usp=drivesdk" TargetMode="External"/><Relationship Id="rId639" Type="http://schemas.openxmlformats.org/officeDocument/2006/relationships/hyperlink" Target="https://drive.google.com/file/d/10AL2UDbU3xXWCTnaw73CDWXRTobsGPV6/view?usp=drivesdk" TargetMode="External"/><Relationship Id="rId638" Type="http://schemas.openxmlformats.org/officeDocument/2006/relationships/hyperlink" Target="https://drive.google.com/file/d/1B45uT530vX7gTFZ6Fh5GUBngFe5NPQLc/view?usp=drivesdk" TargetMode="External"/><Relationship Id="rId637" Type="http://schemas.openxmlformats.org/officeDocument/2006/relationships/hyperlink" Target="https://drive.google.com/file/d/1o6olAjPmgTdhQceX--x_BYQAva3C_BSI/view?usp=drivesdk" TargetMode="External"/><Relationship Id="rId636" Type="http://schemas.openxmlformats.org/officeDocument/2006/relationships/hyperlink" Target="https://drive.google.com/file/d/1gn7Z0xQdiqHHRQJj9eNl44SdN5qJZc6T/view?usp=drivesdk" TargetMode="External"/><Relationship Id="rId631" Type="http://schemas.openxmlformats.org/officeDocument/2006/relationships/hyperlink" Target="https://drive.google.com/file/d/1F0i0KY65opG9MvRktXj9sx3i7oqZ-GMu/view?usp=drivesdk" TargetMode="External"/><Relationship Id="rId630" Type="http://schemas.openxmlformats.org/officeDocument/2006/relationships/hyperlink" Target="https://drive.google.com/file/d/1dUclqEfpD9Oo45rVBVUIsGS0TYa7bCfd/view?usp=drivesdk" TargetMode="External"/><Relationship Id="rId609" Type="http://schemas.openxmlformats.org/officeDocument/2006/relationships/hyperlink" Target="https://drive.google.com/file/d/1NCiCDcseGEYJhhISAK3j68mHH4w-Reho/view?usp=drivesdk" TargetMode="External"/><Relationship Id="rId608" Type="http://schemas.openxmlformats.org/officeDocument/2006/relationships/hyperlink" Target="https://drive.google.com/file/d/1tK6acEBWjxfPjp9JMwg0LsLZmJ9Se2Pt/view?usp=drivesdk" TargetMode="External"/><Relationship Id="rId607" Type="http://schemas.openxmlformats.org/officeDocument/2006/relationships/hyperlink" Target="https://drive.google.com/file/d/1IR7lAI45-zX-vv7fh5rRtmz_5WkRBw0a/view?usp=drivesdk" TargetMode="External"/><Relationship Id="rId602" Type="http://schemas.openxmlformats.org/officeDocument/2006/relationships/hyperlink" Target="https://drive.google.com/file/d/1t6xCnlr-SStMrtoDFruDcNrtfCo7cxTp/view?usp=drivesdk" TargetMode="External"/><Relationship Id="rId601" Type="http://schemas.openxmlformats.org/officeDocument/2006/relationships/hyperlink" Target="https://drive.google.com/file/d/1KBn_3DsvWTtXGcPaYk_0n1ZMYCp126jl/view?usp=drivesdk" TargetMode="External"/><Relationship Id="rId600" Type="http://schemas.openxmlformats.org/officeDocument/2006/relationships/hyperlink" Target="https://drive.google.com/file/d/16s-iYU8JywLFrCbFXXZT3QPZQMdQpSb2/view?usp=drivesdk" TargetMode="External"/><Relationship Id="rId606" Type="http://schemas.openxmlformats.org/officeDocument/2006/relationships/hyperlink" Target="https://drive.google.com/file/d/1kpxQQXbRKiQtCXn_o4180mJSR38yyOuK/view?usp=drivesdk" TargetMode="External"/><Relationship Id="rId605" Type="http://schemas.openxmlformats.org/officeDocument/2006/relationships/hyperlink" Target="https://drive.google.com/file/d/1BA8_KmwUC_eI1GRloiycYLJWA8XaTTCs/view?usp=drivesdk" TargetMode="External"/><Relationship Id="rId604" Type="http://schemas.openxmlformats.org/officeDocument/2006/relationships/hyperlink" Target="https://drive.google.com/file/d/1hBtsmjCy-DGRUG2Mo4QcOtS1LAd6-0CD/view?usp=drivesdk" TargetMode="External"/><Relationship Id="rId603" Type="http://schemas.openxmlformats.org/officeDocument/2006/relationships/hyperlink" Target="https://drive.google.com/file/d/1dl-5qNPwqza4rc-soWDJ4l9saaC2QwRz/view?usp=drivesdk" TargetMode="External"/><Relationship Id="rId8927" Type="http://schemas.openxmlformats.org/officeDocument/2006/relationships/hyperlink" Target="https://drive.google.com/file/d/10PxCftUivtjGDxtCY3cZkHSwXXKjfo6P/view?usp=drivesdk" TargetMode="External"/><Relationship Id="rId8926" Type="http://schemas.openxmlformats.org/officeDocument/2006/relationships/hyperlink" Target="https://drive.google.com/file/d/1SQfXCSp7S1VGeflVyd_4_Bf6BQwtPter/view?usp=drivesdk" TargetMode="External"/><Relationship Id="rId8925" Type="http://schemas.openxmlformats.org/officeDocument/2006/relationships/hyperlink" Target="https://drive.google.com/file/d/1-aGpUdoA11ePlSbJE70Wm1zhPFbCFGbb/view?usp=drivesdk" TargetMode="External"/><Relationship Id="rId8924" Type="http://schemas.openxmlformats.org/officeDocument/2006/relationships/hyperlink" Target="https://drive.google.com/file/d/1KGB4lrVwguhhdwlq70BjKUf3Qnm2t9E8/view?usp=drivesdk" TargetMode="External"/><Relationship Id="rId8929" Type="http://schemas.openxmlformats.org/officeDocument/2006/relationships/hyperlink" Target="https://drive.google.com/file/d/1bEvO_0RrHPHXRzw_Zvwbo392B0uM0TuC/view?usp=drivesdk" TargetMode="External"/><Relationship Id="rId8928" Type="http://schemas.openxmlformats.org/officeDocument/2006/relationships/hyperlink" Target="https://drive.google.com/file/d/1uFbe29q5m68lMAuKwfVWdDMFTPa6uX-g/view?usp=drivesdk" TargetMode="External"/><Relationship Id="rId8923" Type="http://schemas.openxmlformats.org/officeDocument/2006/relationships/hyperlink" Target="https://drive.google.com/file/d/1sv8B5Sd04BUnElz5lylVrYez5YVse_F1/view?usp=drivesdk" TargetMode="External"/><Relationship Id="rId8922" Type="http://schemas.openxmlformats.org/officeDocument/2006/relationships/hyperlink" Target="https://drive.google.com/file/d/1C10fQ0G7q4iBd8yjd1jGPV8gyyWwwbvG/view?usp=drivesdk" TargetMode="External"/><Relationship Id="rId8921" Type="http://schemas.openxmlformats.org/officeDocument/2006/relationships/hyperlink" Target="https://drive.google.com/file/d/1njQBgRKi95CnGk7GIuYPjww_r4fZr6xK/view?usp=drivesdk" TargetMode="External"/><Relationship Id="rId8920" Type="http://schemas.openxmlformats.org/officeDocument/2006/relationships/hyperlink" Target="https://drive.google.com/file/d/1D0jEN2oA3hkyUA4zhtejEVNhgvV6NqK6/view?usp=drivesdk" TargetMode="External"/><Relationship Id="rId8916" Type="http://schemas.openxmlformats.org/officeDocument/2006/relationships/hyperlink" Target="https://drive.google.com/file/d/1uPdtMX1mGgIjOXuvMDdhzEKpe4gDy_E_/view?usp=drivesdk" TargetMode="External"/><Relationship Id="rId8915" Type="http://schemas.openxmlformats.org/officeDocument/2006/relationships/hyperlink" Target="https://drive.google.com/file/d/1f9XqW31yplvIfN-UP-b1HKlBRtBOYUb3/view?usp=drivesdk" TargetMode="External"/><Relationship Id="rId8914" Type="http://schemas.openxmlformats.org/officeDocument/2006/relationships/hyperlink" Target="https://drive.google.com/file/d/1gHEh74z327AG-cO77B3rE1oA_e7f6qRw/view?usp=drivesdk" TargetMode="External"/><Relationship Id="rId8913" Type="http://schemas.openxmlformats.org/officeDocument/2006/relationships/hyperlink" Target="https://drive.google.com/file/d/1g0RTdlnufimX4lpGx3upBqLedyAf9aVt/view?usp=drivesdk" TargetMode="External"/><Relationship Id="rId8919" Type="http://schemas.openxmlformats.org/officeDocument/2006/relationships/hyperlink" Target="https://drive.google.com/file/d/1if7OK0vbmBzgaJ0D3e7ZRzojjljoo_hB/view?usp=drivesdk" TargetMode="External"/><Relationship Id="rId8918" Type="http://schemas.openxmlformats.org/officeDocument/2006/relationships/hyperlink" Target="https://drive.google.com/file/d/1q6LbUqrHpL9Wg_ybTe7wvuMBI4LKXQTs/view?usp=drivesdk" TargetMode="External"/><Relationship Id="rId8917" Type="http://schemas.openxmlformats.org/officeDocument/2006/relationships/hyperlink" Target="https://drive.google.com/file/d/1Ff8vLAQm9oitKHO_egBpLkbWHi5TheNt/view?usp=drivesdk" TargetMode="External"/><Relationship Id="rId699" Type="http://schemas.openxmlformats.org/officeDocument/2006/relationships/hyperlink" Target="https://drive.google.com/file/d/1fkT8wLBmL-gZgV34O5WwSrhjaoaadfn-/view?usp=drivesdk" TargetMode="External"/><Relationship Id="rId698" Type="http://schemas.openxmlformats.org/officeDocument/2006/relationships/hyperlink" Target="https://drive.google.com/file/d/10aT--vR6Rq5RA1AXC-H9altPARkB4zzm/view?usp=drivesdk" TargetMode="External"/><Relationship Id="rId693" Type="http://schemas.openxmlformats.org/officeDocument/2006/relationships/hyperlink" Target="https://drive.google.com/file/d/19SBOPJR13Y5guhEltTQ514ttFOxvZvvC/view?usp=drivesdk" TargetMode="External"/><Relationship Id="rId692" Type="http://schemas.openxmlformats.org/officeDocument/2006/relationships/hyperlink" Target="https://drive.google.com/file/d/1OoKAtU7yzyJLKKIT4oWuN9XC3r7rBjnB/view?usp=drivesdk" TargetMode="External"/><Relationship Id="rId691" Type="http://schemas.openxmlformats.org/officeDocument/2006/relationships/hyperlink" Target="https://drive.google.com/file/d/1VlMHL6zwSQ603sPhlAQsarU04f9lMys4/view?usp=drivesdk" TargetMode="External"/><Relationship Id="rId690" Type="http://schemas.openxmlformats.org/officeDocument/2006/relationships/hyperlink" Target="https://drive.google.com/file/d/1YiAyYxrMGTQWy42bNnI3V_t_EeeeWeHX/view?usp=drivesdk" TargetMode="External"/><Relationship Id="rId697" Type="http://schemas.openxmlformats.org/officeDocument/2006/relationships/hyperlink" Target="https://drive.google.com/file/d/1tS8MTUQBlUQ9EJYkTxMlrRHnyCaoHSPP/view?usp=drivesdk" TargetMode="External"/><Relationship Id="rId8912" Type="http://schemas.openxmlformats.org/officeDocument/2006/relationships/hyperlink" Target="https://drive.google.com/file/d/1s70-2br9pHIpZBQbK66wzFRYxD8UGkLn/view?usp=drivesdk" TargetMode="External"/><Relationship Id="rId696" Type="http://schemas.openxmlformats.org/officeDocument/2006/relationships/hyperlink" Target="https://drive.google.com/file/d/1BHhAHNZBsH1vA-Ahmno5x9FibyTjYSPC/view?usp=drivesdk" TargetMode="External"/><Relationship Id="rId8911" Type="http://schemas.openxmlformats.org/officeDocument/2006/relationships/hyperlink" Target="https://drive.google.com/file/d/1gCD133Nsb9-5YK6GvlP2tkpKnYopZ6tl/view?usp=drivesdk" TargetMode="External"/><Relationship Id="rId695" Type="http://schemas.openxmlformats.org/officeDocument/2006/relationships/hyperlink" Target="https://drive.google.com/file/d/1HgmgUUX3Of5jfOxpUscGHNtE8rNX8_Er/view?usp=drivesdk" TargetMode="External"/><Relationship Id="rId8910" Type="http://schemas.openxmlformats.org/officeDocument/2006/relationships/hyperlink" Target="https://drive.google.com/file/d/1Gc3Wkwa967aB8_HFTbbXHyQg6C76ZiI0/view?usp=drivesdk" TargetMode="External"/><Relationship Id="rId694" Type="http://schemas.openxmlformats.org/officeDocument/2006/relationships/hyperlink" Target="https://drive.google.com/file/d/1GdUjUMOADDsLYiTaWbvODs9QLNNZqpZH/view?usp=drivesdk" TargetMode="External"/><Relationship Id="rId7618" Type="http://schemas.openxmlformats.org/officeDocument/2006/relationships/hyperlink" Target="https://drive.google.com/file/d/14N0r4D3aDSxFvWCQFQLMTS26i9feW73t/view?usp=drivesdk" TargetMode="External"/><Relationship Id="rId8949" Type="http://schemas.openxmlformats.org/officeDocument/2006/relationships/hyperlink" Target="https://drive.google.com/file/d/18UZie4haHSBiPYbTJ-HJA-n5cq7kW4bi/view?usp=drivesdk" TargetMode="External"/><Relationship Id="rId7617" Type="http://schemas.openxmlformats.org/officeDocument/2006/relationships/hyperlink" Target="https://drive.google.com/file/d/1pSrLoh9uqgU4CaFHA2arTZu_y1jeuluI/view?usp=drivesdk" TargetMode="External"/><Relationship Id="rId8948" Type="http://schemas.openxmlformats.org/officeDocument/2006/relationships/hyperlink" Target="https://drive.google.com/file/d/1DZpEtoEO3MiKeEeQYfadJSIjoYIlA17A/view?usp=drivesdk" TargetMode="External"/><Relationship Id="rId7616" Type="http://schemas.openxmlformats.org/officeDocument/2006/relationships/hyperlink" Target="https://drive.google.com/file/d/1v_6-5WrPz1h7snee7Q2vRvpA_M5xnsiU/view?usp=drivesdk" TargetMode="External"/><Relationship Id="rId8947" Type="http://schemas.openxmlformats.org/officeDocument/2006/relationships/hyperlink" Target="https://drive.google.com/file/d/1vMfsoFYyEqhmLiYRT3BIRbhDtYhkni3O/view?usp=drivesdk" TargetMode="External"/><Relationship Id="rId7615" Type="http://schemas.openxmlformats.org/officeDocument/2006/relationships/hyperlink" Target="https://drive.google.com/file/d/1zFjT-3rvHnj2poaWg0EuWqW2xZh0wKy6/view?usp=drivesdk" TargetMode="External"/><Relationship Id="rId8946" Type="http://schemas.openxmlformats.org/officeDocument/2006/relationships/hyperlink" Target="https://drive.google.com/file/d/1z-TUnyT634VCcPhgDNflrbSH8z5AeQgc/view?usp=drivesdk" TargetMode="External"/><Relationship Id="rId7619" Type="http://schemas.openxmlformats.org/officeDocument/2006/relationships/hyperlink" Target="https://drive.google.com/file/d/1qYuPDIACmDRBrUMn6-_CN7_rZHcbUW-v/view?usp=drivesdk" TargetMode="External"/><Relationship Id="rId7610" Type="http://schemas.openxmlformats.org/officeDocument/2006/relationships/hyperlink" Target="https://drive.google.com/file/d/1-oKNVZYiiqgKvNcTzZ8ZS0a_yayPfWx2/view?usp=drivesdk" TargetMode="External"/><Relationship Id="rId8941" Type="http://schemas.openxmlformats.org/officeDocument/2006/relationships/hyperlink" Target="https://drive.google.com/file/d/1iUaaY67_khb1M3R8cXAE2lBvAqhL2apN/view?usp=drivesdk" TargetMode="External"/><Relationship Id="rId8940" Type="http://schemas.openxmlformats.org/officeDocument/2006/relationships/hyperlink" Target="https://drive.google.com/file/d/1sy-OrsWsiiybmdciXveSNn3xanjXO9m4/view?usp=drivesdk" TargetMode="External"/><Relationship Id="rId7614" Type="http://schemas.openxmlformats.org/officeDocument/2006/relationships/hyperlink" Target="https://drive.google.com/file/d/1GplXKx_ksuVhO2xnUM_kNURA7q1hg5wi/view?usp=drivesdk" TargetMode="External"/><Relationship Id="rId8945" Type="http://schemas.openxmlformats.org/officeDocument/2006/relationships/hyperlink" Target="https://drive.google.com/file/d/1YLfHo-c3ZHy7yrnnfRvUbU1BO7_d-0KO/view?usp=drivesdk" TargetMode="External"/><Relationship Id="rId7613" Type="http://schemas.openxmlformats.org/officeDocument/2006/relationships/hyperlink" Target="https://drive.google.com/file/d/1xGEXLjwZElDUE-ynJqQUT7kFr3VxW6kR/view?usp=drivesdk" TargetMode="External"/><Relationship Id="rId8944" Type="http://schemas.openxmlformats.org/officeDocument/2006/relationships/hyperlink" Target="https://drive.google.com/file/d/1jRNo_jlDr9VFn1BZ0xCl7G8Cgs_3suAw/view?usp=drivesdk" TargetMode="External"/><Relationship Id="rId7612" Type="http://schemas.openxmlformats.org/officeDocument/2006/relationships/hyperlink" Target="https://drive.google.com/file/d/1jYdS1MIguMsH0WZCQVfLad45D-R6FMBg/view?usp=drivesdk" TargetMode="External"/><Relationship Id="rId8943" Type="http://schemas.openxmlformats.org/officeDocument/2006/relationships/hyperlink" Target="https://drive.google.com/file/d/1fdzwBS96XeOR1inHtkq_d3LtDwc_yurn/view?usp=drivesdk" TargetMode="External"/><Relationship Id="rId7611" Type="http://schemas.openxmlformats.org/officeDocument/2006/relationships/hyperlink" Target="https://drive.google.com/file/d/19LQo1-KCZWOoyfGcsW0RghZPn6QPy0fC/view?usp=drivesdk" TargetMode="External"/><Relationship Id="rId8942" Type="http://schemas.openxmlformats.org/officeDocument/2006/relationships/hyperlink" Target="https://drive.google.com/file/d/1d0n-D1-1YaxqLCflUHBoEaK0ATV5SsT6/view?usp=drivesdk" TargetMode="External"/><Relationship Id="rId7607" Type="http://schemas.openxmlformats.org/officeDocument/2006/relationships/hyperlink" Target="https://drive.google.com/file/d/1oTOnToSs1U_TW4kgoMmkX4_9Nr6sXiCn/view?usp=drivesdk" TargetMode="External"/><Relationship Id="rId8938" Type="http://schemas.openxmlformats.org/officeDocument/2006/relationships/hyperlink" Target="https://drive.google.com/file/d/1qw6ltLGxVhn0tbEdtgyIDYKda__dwjzu/view?usp=drivesdk" TargetMode="External"/><Relationship Id="rId7606" Type="http://schemas.openxmlformats.org/officeDocument/2006/relationships/hyperlink" Target="https://drive.google.com/file/d/1cHinNpBepUTNz2YPkYTk3dzI9Of9wDcW/view?usp=drivesdk" TargetMode="External"/><Relationship Id="rId8937" Type="http://schemas.openxmlformats.org/officeDocument/2006/relationships/hyperlink" Target="https://drive.google.com/file/d/1ODvCMA62EZPYMQQJE6fkXyr3x_b8KSqA/view?usp=drivesdk" TargetMode="External"/><Relationship Id="rId7605" Type="http://schemas.openxmlformats.org/officeDocument/2006/relationships/hyperlink" Target="https://drive.google.com/file/d/1num8Ivl-tWHYnvHYtZeqjR0RljBnP31-/view?usp=drivesdk" TargetMode="External"/><Relationship Id="rId8936" Type="http://schemas.openxmlformats.org/officeDocument/2006/relationships/hyperlink" Target="https://drive.google.com/file/d/1HNrvlW_U99-9omEdFHZp6dC0JuQg9hsO/view?usp=drivesdk" TargetMode="External"/><Relationship Id="rId7604" Type="http://schemas.openxmlformats.org/officeDocument/2006/relationships/hyperlink" Target="https://drive.google.com/file/d/18QnkFy1fFWnU1sCj6HfVCPERzAQIP7Rx/view?usp=drivesdk" TargetMode="External"/><Relationship Id="rId8935" Type="http://schemas.openxmlformats.org/officeDocument/2006/relationships/hyperlink" Target="https://drive.google.com/file/d/14N6ZEnsVcAdiyfgXz5X7ULZTWKuqfZqn/view?usp=drivesdk" TargetMode="External"/><Relationship Id="rId7609" Type="http://schemas.openxmlformats.org/officeDocument/2006/relationships/hyperlink" Target="https://drive.google.com/file/d/1CgtWU-0BztKmlvFjdcwtcMdbRSyxgxzZ/view?usp=drivesdk" TargetMode="External"/><Relationship Id="rId7608" Type="http://schemas.openxmlformats.org/officeDocument/2006/relationships/hyperlink" Target="https://drive.google.com/file/d/1lyPCu64nh0zV9PidZ0Pb8eJLvpfuqfD0/view?usp=drivesdk" TargetMode="External"/><Relationship Id="rId8939" Type="http://schemas.openxmlformats.org/officeDocument/2006/relationships/hyperlink" Target="https://drive.google.com/file/d/13VoFD_gzPs6yjlrfwvtmQWKK4EhB2Wo8/view?usp=drivesdk" TargetMode="External"/><Relationship Id="rId8930" Type="http://schemas.openxmlformats.org/officeDocument/2006/relationships/hyperlink" Target="https://drive.google.com/file/d/1XjM7Ycc3YsRtxeD0VaIm4WDpXDrvKG1M/view?usp=drivesdk" TargetMode="External"/><Relationship Id="rId7603" Type="http://schemas.openxmlformats.org/officeDocument/2006/relationships/hyperlink" Target="https://drive.google.com/file/d/1c2WzuQbe3ClZwwSw8bReqQzHQ9whBdb_/view?usp=drivesdk" TargetMode="External"/><Relationship Id="rId8934" Type="http://schemas.openxmlformats.org/officeDocument/2006/relationships/hyperlink" Target="https://drive.google.com/file/d/1yZ3Ib20rEfbHM1bWojBEqZJYTq2AJ4XP/view?usp=drivesdk" TargetMode="External"/><Relationship Id="rId7602" Type="http://schemas.openxmlformats.org/officeDocument/2006/relationships/hyperlink" Target="https://drive.google.com/file/d/196bmwBb4WBkozdg8ETx2HyFSvAdPElrU/view?usp=drivesdk" TargetMode="External"/><Relationship Id="rId8933" Type="http://schemas.openxmlformats.org/officeDocument/2006/relationships/hyperlink" Target="https://drive.google.com/file/d/1POmnm3NNyrmNzP0ibvXZCfXA7BMZpTPc/view?usp=drivesdk" TargetMode="External"/><Relationship Id="rId7601" Type="http://schemas.openxmlformats.org/officeDocument/2006/relationships/hyperlink" Target="https://drive.google.com/file/d/1tf_aC_uSXMnCAsDgHZ3aJOkrTLO_W2eO/view?usp=drivesdk" TargetMode="External"/><Relationship Id="rId8932" Type="http://schemas.openxmlformats.org/officeDocument/2006/relationships/hyperlink" Target="https://drive.google.com/file/d/1ZEwjb1u-zK4cjv7a7qNXoxQwCNfwxPyz/view?usp=drivesdk" TargetMode="External"/><Relationship Id="rId7600" Type="http://schemas.openxmlformats.org/officeDocument/2006/relationships/hyperlink" Target="https://drive.google.com/file/d/1AsC-m5QS-1c7ANGn92w_9imZVoMzS6Ig/view?usp=drivesdk" TargetMode="External"/><Relationship Id="rId8931" Type="http://schemas.openxmlformats.org/officeDocument/2006/relationships/hyperlink" Target="https://drive.google.com/file/d/1pR05O1Q692V-XGSjZ0cHNM63VeXk6xvA/view?usp=drivesdk" TargetMode="External"/><Relationship Id="rId668" Type="http://schemas.openxmlformats.org/officeDocument/2006/relationships/hyperlink" Target="https://drive.google.com/file/d/1s2UiBIBUDumYi3G9Gbbrgl48RPrnGJ_j/view?usp=drivesdk" TargetMode="External"/><Relationship Id="rId667" Type="http://schemas.openxmlformats.org/officeDocument/2006/relationships/hyperlink" Target="https://drive.google.com/file/d/1-I40Oe1fxUAtJh3_rhefZCeyp2VJnAmm/view?usp=drivesdk" TargetMode="External"/><Relationship Id="rId666" Type="http://schemas.openxmlformats.org/officeDocument/2006/relationships/hyperlink" Target="https://drive.google.com/file/d/1qCiBrF7gE6acgLV48T3xd42Gd3JnycI_/view?usp=drivesdk" TargetMode="External"/><Relationship Id="rId665" Type="http://schemas.openxmlformats.org/officeDocument/2006/relationships/hyperlink" Target="https://drive.google.com/file/d/15KUyHCHTCG0SRE9xL-JJMV3UNGKj3hP9/view?usp=drivesdk" TargetMode="External"/><Relationship Id="rId669" Type="http://schemas.openxmlformats.org/officeDocument/2006/relationships/hyperlink" Target="https://drive.google.com/file/d/1dGTHNT7quTKWCTT-1368rf1qvbRMP4We/view?usp=drivesdk" TargetMode="External"/><Relationship Id="rId660" Type="http://schemas.openxmlformats.org/officeDocument/2006/relationships/hyperlink" Target="https://drive.google.com/file/d/1kxZ51lut3g2xC1bSamhnUujuKF33yumG/view?usp=drivesdk" TargetMode="External"/><Relationship Id="rId664" Type="http://schemas.openxmlformats.org/officeDocument/2006/relationships/hyperlink" Target="https://drive.google.com/file/d/1TPpJh6vUZoKXWVdn2U3PgO3lWbDy1Sqs/view?usp=drivesdk" TargetMode="External"/><Relationship Id="rId663" Type="http://schemas.openxmlformats.org/officeDocument/2006/relationships/hyperlink" Target="https://drive.google.com/file/d/1fXHmJMu90cjdMlHaCjL0lplEd9pf3MBS/view?usp=drivesdk" TargetMode="External"/><Relationship Id="rId662" Type="http://schemas.openxmlformats.org/officeDocument/2006/relationships/hyperlink" Target="https://drive.google.com/file/d/1NcJb33uF-vIRnS4ReCAz2vC7Flhl9lpZ/view?usp=drivesdk" TargetMode="External"/><Relationship Id="rId661" Type="http://schemas.openxmlformats.org/officeDocument/2006/relationships/hyperlink" Target="https://drive.google.com/file/d/1LT91osLSNGhNTSjx21-NO6TYdl-y6aRU/view?usp=drivesdk" TargetMode="External"/><Relationship Id="rId657" Type="http://schemas.openxmlformats.org/officeDocument/2006/relationships/hyperlink" Target="https://drive.google.com/file/d/1UaaT_0nkqm02MBbOdKty1eE5JISpA6u8/view?usp=drivesdk" TargetMode="External"/><Relationship Id="rId656" Type="http://schemas.openxmlformats.org/officeDocument/2006/relationships/hyperlink" Target="https://drive.google.com/file/d/1RM7cQSy5dQf6QXt_bMcZe9vmS7-TYMYL/view?usp=drivesdk" TargetMode="External"/><Relationship Id="rId655" Type="http://schemas.openxmlformats.org/officeDocument/2006/relationships/hyperlink" Target="https://drive.google.com/file/d/15yQjJWIhRBZksm2MmvM2MmawwCuGVKuM/view?usp=drivesdk" TargetMode="External"/><Relationship Id="rId654" Type="http://schemas.openxmlformats.org/officeDocument/2006/relationships/hyperlink" Target="https://drive.google.com/file/d/1rv-_AQbIdxsskMwdAq2sjpOq_s8Q8GUz/view?usp=drivesdk" TargetMode="External"/><Relationship Id="rId659" Type="http://schemas.openxmlformats.org/officeDocument/2006/relationships/hyperlink" Target="https://drive.google.com/file/d/1lTF6NLMRsC3kjeD5ZF8wylgCcmR7j4NR/view?usp=drivesdk" TargetMode="External"/><Relationship Id="rId658" Type="http://schemas.openxmlformats.org/officeDocument/2006/relationships/hyperlink" Target="https://drive.google.com/file/d/1D5USBlelSONvKVTtk-toxY4uO56Zfs_n/view?usp=drivesdk" TargetMode="External"/><Relationship Id="rId653" Type="http://schemas.openxmlformats.org/officeDocument/2006/relationships/hyperlink" Target="https://drive.google.com/file/d/1PL61rA9dj9iSNcMD16JMg3kaNnpAcWZ-/view?usp=drivesdk" TargetMode="External"/><Relationship Id="rId652" Type="http://schemas.openxmlformats.org/officeDocument/2006/relationships/hyperlink" Target="https://drive.google.com/file/d/1dyPlbohU2Eeg6WiY-rsR0ov1SPC99irL/view?usp=drivesdk" TargetMode="External"/><Relationship Id="rId651" Type="http://schemas.openxmlformats.org/officeDocument/2006/relationships/hyperlink" Target="https://drive.google.com/file/d/1KOFP4HbTU4hPXMAS3-MLaJ8OSOKNypOZ/view?usp=drivesdk" TargetMode="External"/><Relationship Id="rId650" Type="http://schemas.openxmlformats.org/officeDocument/2006/relationships/hyperlink" Target="https://drive.google.com/file/d/1CaDYi8jOtDQ8BkpWvLthzumNJvCjv9tj/view?usp=drivesdk" TargetMode="External"/><Relationship Id="rId8905" Type="http://schemas.openxmlformats.org/officeDocument/2006/relationships/hyperlink" Target="https://drive.google.com/file/d/1En_hS8J77aCBZVv4GnIWfXJm8kgPtVpG/view?usp=drivesdk" TargetMode="External"/><Relationship Id="rId8904" Type="http://schemas.openxmlformats.org/officeDocument/2006/relationships/hyperlink" Target="https://drive.google.com/file/d/1JjoGmZPc6NZrMzwMbtFD-Kuyhs0lO92B/view?usp=drivesdk" TargetMode="External"/><Relationship Id="rId8903" Type="http://schemas.openxmlformats.org/officeDocument/2006/relationships/hyperlink" Target="https://drive.google.com/file/d/1ys2XNa-tbb7JbCcTFBBEw6evM3EplO70/view?usp=drivesdk" TargetMode="External"/><Relationship Id="rId8902" Type="http://schemas.openxmlformats.org/officeDocument/2006/relationships/hyperlink" Target="https://drive.google.com/file/d/16olzGT4lFx-PVY8scoN-a0Q1_Q2RKys-/view?usp=drivesdk" TargetMode="External"/><Relationship Id="rId8909" Type="http://schemas.openxmlformats.org/officeDocument/2006/relationships/hyperlink" Target="https://drive.google.com/file/d/1XmUKhv93McRlE_n4LPsqhILAEE3TvVg-/view?usp=drivesdk" TargetMode="External"/><Relationship Id="rId8908" Type="http://schemas.openxmlformats.org/officeDocument/2006/relationships/hyperlink" Target="https://drive.google.com/file/d/1x1rIq1CxNvbUPHc4kmrbfNwFTWDRccqp/view?usp=drivesdk" TargetMode="External"/><Relationship Id="rId8907" Type="http://schemas.openxmlformats.org/officeDocument/2006/relationships/hyperlink" Target="https://drive.google.com/file/d/1wE9HeD5VzAp2uErkPye5dLk7xDXtgwgu/view?usp=drivesdk" TargetMode="External"/><Relationship Id="rId8906" Type="http://schemas.openxmlformats.org/officeDocument/2006/relationships/hyperlink" Target="https://drive.google.com/file/d/189q6RmeuBdos-6gWpHdDUbhsKaflD3NR/view?usp=drivesdk" TargetMode="External"/><Relationship Id="rId689" Type="http://schemas.openxmlformats.org/officeDocument/2006/relationships/hyperlink" Target="https://drive.google.com/file/d/1vHVdPm18ogeIBKTWrw5a26PPd1cTprVa/view?usp=drivesdk" TargetMode="External"/><Relationship Id="rId688" Type="http://schemas.openxmlformats.org/officeDocument/2006/relationships/hyperlink" Target="https://drive.google.com/file/d/1ZfUHQUzBYT0bik5kOB3gvGEWCPRfOJEA/view?usp=drivesdk" TargetMode="External"/><Relationship Id="rId687" Type="http://schemas.openxmlformats.org/officeDocument/2006/relationships/hyperlink" Target="https://drive.google.com/file/d/16UIKu2GrbOm8hFG72F3uA0Qr9H8HceCn/view?usp=drivesdk" TargetMode="External"/><Relationship Id="rId682" Type="http://schemas.openxmlformats.org/officeDocument/2006/relationships/hyperlink" Target="https://drive.google.com/file/d/1gex8rbMePdp8S0XBh7Rxdsxz6k0NAOvm/view?usp=drivesdk" TargetMode="External"/><Relationship Id="rId681" Type="http://schemas.openxmlformats.org/officeDocument/2006/relationships/hyperlink" Target="https://drive.google.com/file/d/13W7aDuK9myoqrIqhYQy5W3mF7mRMP8_A/view?usp=drivesdk" TargetMode="External"/><Relationship Id="rId680" Type="http://schemas.openxmlformats.org/officeDocument/2006/relationships/hyperlink" Target="https://drive.google.com/file/d/1jtNrGslOAqsfdlCs0AlqaFWcHFVTkTJx/view?usp=drivesdk" TargetMode="External"/><Relationship Id="rId686" Type="http://schemas.openxmlformats.org/officeDocument/2006/relationships/hyperlink" Target="https://drive.google.com/file/d/1EQSrJ1x9cuKQS6HIrSrRRPwsOD2zV9C2/view?usp=drivesdk" TargetMode="External"/><Relationship Id="rId8901" Type="http://schemas.openxmlformats.org/officeDocument/2006/relationships/hyperlink" Target="https://drive.google.com/file/d/1HhELgj5dh5fHLCJC7vq1TzZ_kG-BQb4e/view?usp=drivesdk" TargetMode="External"/><Relationship Id="rId685" Type="http://schemas.openxmlformats.org/officeDocument/2006/relationships/hyperlink" Target="https://drive.google.com/file/d/1cB8gb4DPGdu4BH-7x4Lshu_CwoYtRDeK/view?usp=drivesdk" TargetMode="External"/><Relationship Id="rId8900" Type="http://schemas.openxmlformats.org/officeDocument/2006/relationships/hyperlink" Target="https://drive.google.com/file/d/17DDtfYkmyM0Ng3ps8RdXFOowbvr0Qv25/view?usp=drivesdk" TargetMode="External"/><Relationship Id="rId684" Type="http://schemas.openxmlformats.org/officeDocument/2006/relationships/hyperlink" Target="https://drive.google.com/file/d/1GIweh1Jfljcr5V26ykkCGniDje-Ag2dm/view?usp=drivesdk" TargetMode="External"/><Relationship Id="rId683" Type="http://schemas.openxmlformats.org/officeDocument/2006/relationships/hyperlink" Target="https://drive.google.com/file/d/1eJ0rWYD8NzPOzFdo2Yf8m5pffYib0HO5/view?usp=drivesdk" TargetMode="External"/><Relationship Id="rId679" Type="http://schemas.openxmlformats.org/officeDocument/2006/relationships/hyperlink" Target="https://drive.google.com/file/d/1B4nsWjURmjYpKbQjHj5kZIxXc2F9G5gi/view?usp=drivesdk" TargetMode="External"/><Relationship Id="rId678" Type="http://schemas.openxmlformats.org/officeDocument/2006/relationships/hyperlink" Target="https://drive.google.com/file/d/1hi49t2KvdhbTy_X1EWmF94Qgpz40aZua/view?usp=drivesdk" TargetMode="External"/><Relationship Id="rId677" Type="http://schemas.openxmlformats.org/officeDocument/2006/relationships/hyperlink" Target="https://drive.google.com/file/d/1KkiXuFIZwDY0am2y0UY0v4Va2D0Sdeef/view?usp=drivesdk" TargetMode="External"/><Relationship Id="rId676" Type="http://schemas.openxmlformats.org/officeDocument/2006/relationships/hyperlink" Target="https://drive.google.com/file/d/11wVMJ4KkbwMRZi08UK1fIoM-BRPvdOd3/view?usp=drivesdk" TargetMode="External"/><Relationship Id="rId671" Type="http://schemas.openxmlformats.org/officeDocument/2006/relationships/hyperlink" Target="https://drive.google.com/file/d/1BA-MOt30fh0cPq095iSfRRqwIxZagzJJ/view?usp=drivesdk" TargetMode="External"/><Relationship Id="rId670" Type="http://schemas.openxmlformats.org/officeDocument/2006/relationships/hyperlink" Target="https://drive.google.com/file/d/1mB4Z-z8kGgZyUZhZQoGvHyqktMJwMM2w/view?usp=drivesdk" TargetMode="External"/><Relationship Id="rId675" Type="http://schemas.openxmlformats.org/officeDocument/2006/relationships/hyperlink" Target="https://drive.google.com/file/d/10ekC7guaM1A277yHDu2XxcbsnYgIPMfm/view?usp=drivesdk" TargetMode="External"/><Relationship Id="rId674" Type="http://schemas.openxmlformats.org/officeDocument/2006/relationships/hyperlink" Target="https://drive.google.com/file/d/1xS78pIDYxvKsR2dLbGHwZotfvoF302-s/view?usp=drivesdk" TargetMode="External"/><Relationship Id="rId673" Type="http://schemas.openxmlformats.org/officeDocument/2006/relationships/hyperlink" Target="https://drive.google.com/file/d/1mcaUIoXEUhOYZXCvZqpLhG0Kw732FqKM/view?usp=drivesdk" TargetMode="External"/><Relationship Id="rId672" Type="http://schemas.openxmlformats.org/officeDocument/2006/relationships/hyperlink" Target="https://drive.google.com/file/d/1qgTf5Q3Hpun2Vq6uJdFNm4fm9VFymO9l/view?usp=drivesdk" TargetMode="External"/><Relationship Id="rId5019" Type="http://schemas.openxmlformats.org/officeDocument/2006/relationships/hyperlink" Target="https://drive.google.com/file/d/1OpJgE3gJJTWZqjV2w-e6CsHjp_bNk9Oh/view?usp=drivesdk" TargetMode="External"/><Relationship Id="rId6340" Type="http://schemas.openxmlformats.org/officeDocument/2006/relationships/hyperlink" Target="https://drive.google.com/file/d/1qW2ubu-QV_uUN3LSvmtcNbPCqCkcTwB9/view?usp=drivesdk" TargetMode="External"/><Relationship Id="rId7672" Type="http://schemas.openxmlformats.org/officeDocument/2006/relationships/hyperlink" Target="https://drive.google.com/file/d/1gRvritWSVCHshm6hvZYs3207jiDekj-9/view?usp=drivesdk" TargetMode="External"/><Relationship Id="rId5010" Type="http://schemas.openxmlformats.org/officeDocument/2006/relationships/hyperlink" Target="https://drive.google.com/file/d/1YURJpm7vUntbFzafhN2TZoJxtebFqtqk/view?usp=drivesdk" TargetMode="External"/><Relationship Id="rId6341" Type="http://schemas.openxmlformats.org/officeDocument/2006/relationships/hyperlink" Target="https://drive.google.com/file/d/1falcmqeTFyrq7Jv-WeGSZ3uDJzmFTNL1/view?usp=drivesdk" TargetMode="External"/><Relationship Id="rId7671" Type="http://schemas.openxmlformats.org/officeDocument/2006/relationships/hyperlink" Target="https://drive.google.com/file/d/11DrSj9RUNZBnq9OV-gBlNZg6JBkXD9XH/view?usp=drivesdk" TargetMode="External"/><Relationship Id="rId7670" Type="http://schemas.openxmlformats.org/officeDocument/2006/relationships/hyperlink" Target="https://drive.google.com/file/d/1AgWYlN7y3tfpz2VeTaXanTQ9SDq8iDYr/view?usp=drivesdk" TargetMode="External"/><Relationship Id="rId5013" Type="http://schemas.openxmlformats.org/officeDocument/2006/relationships/hyperlink" Target="https://drive.google.com/file/d/1fYzxHrQBA-WIVKH0rdWFFNZ2ZrvZzRu9/view?usp=drivesdk" TargetMode="External"/><Relationship Id="rId6344" Type="http://schemas.openxmlformats.org/officeDocument/2006/relationships/hyperlink" Target="https://drive.google.com/file/d/1r0KQAOolojE4crKDHUBCt1bppTXbvYez/view?usp=drivesdk" TargetMode="External"/><Relationship Id="rId7676" Type="http://schemas.openxmlformats.org/officeDocument/2006/relationships/hyperlink" Target="https://drive.google.com/file/d/1dyVCKL9wQl66CuMiBa7anC7zkY_8aymG/view?usp=drivesdk" TargetMode="External"/><Relationship Id="rId5014" Type="http://schemas.openxmlformats.org/officeDocument/2006/relationships/hyperlink" Target="https://drive.google.com/file/d/1q8SYuAdgTFkQ7ojy81mHcZtP0-VRmB7w/view?usp=drivesdk" TargetMode="External"/><Relationship Id="rId6345" Type="http://schemas.openxmlformats.org/officeDocument/2006/relationships/hyperlink" Target="https://drive.google.com/file/d/1S7DmgYmvEm547opnosymy0QQFwLSt4uI/view?usp=drivesdk" TargetMode="External"/><Relationship Id="rId7675" Type="http://schemas.openxmlformats.org/officeDocument/2006/relationships/hyperlink" Target="https://drive.google.com/file/d/1mWmbpSQDshz-LeXjZ2QJHKxRcQJHO5Pq/view?usp=drivesdk" TargetMode="External"/><Relationship Id="rId5011" Type="http://schemas.openxmlformats.org/officeDocument/2006/relationships/hyperlink" Target="https://drive.google.com/file/d/14eXB76iuff8HxmDM3oB5wVoLaWOZJvnS/view?usp=drivesdk" TargetMode="External"/><Relationship Id="rId6342" Type="http://schemas.openxmlformats.org/officeDocument/2006/relationships/hyperlink" Target="https://drive.google.com/file/d/1LWnn8BW12ohtdy3k04HDpMXyoHt5STEo/view?usp=drivesdk" TargetMode="External"/><Relationship Id="rId7674" Type="http://schemas.openxmlformats.org/officeDocument/2006/relationships/hyperlink" Target="https://drive.google.com/file/d/1YfOZiSLfPqPKlFcyY2d6-DFORMzueiwU/view?usp=drivesdk" TargetMode="External"/><Relationship Id="rId5012" Type="http://schemas.openxmlformats.org/officeDocument/2006/relationships/hyperlink" Target="https://drive.google.com/file/d/17qSEJcoj-keb6VREW9EP2c0RLO-Hjwho/view?usp=drivesdk" TargetMode="External"/><Relationship Id="rId6343" Type="http://schemas.openxmlformats.org/officeDocument/2006/relationships/hyperlink" Target="https://drive.google.com/file/d/1qLATkpLaVRk-W2OpHsJSbn5dK30xfb0i/view?usp=drivesdk" TargetMode="External"/><Relationship Id="rId7673" Type="http://schemas.openxmlformats.org/officeDocument/2006/relationships/hyperlink" Target="https://drive.google.com/file/d/168nUi-Ga6gNpC2vR-ubHZT7xQC0p6oK6/view?usp=drivesdk" TargetMode="External"/><Relationship Id="rId5017" Type="http://schemas.openxmlformats.org/officeDocument/2006/relationships/hyperlink" Target="https://drive.google.com/file/d/1TL-5cjYWhVud1-eza5Jv79LhRL5GK1es/view?usp=drivesdk" TargetMode="External"/><Relationship Id="rId6348" Type="http://schemas.openxmlformats.org/officeDocument/2006/relationships/hyperlink" Target="https://drive.google.com/file/d/1ZnAaxFp_qFH_EXyJQ2CcuAQILupxvMC5/view?usp=drivesdk" TargetMode="External"/><Relationship Id="rId5018" Type="http://schemas.openxmlformats.org/officeDocument/2006/relationships/hyperlink" Target="https://drive.google.com/file/d/1ar1m0ejhYGou3C8Zc_3Aq5cjGmkQyGiN/view?usp=drivesdk" TargetMode="External"/><Relationship Id="rId6349" Type="http://schemas.openxmlformats.org/officeDocument/2006/relationships/hyperlink" Target="https://drive.google.com/file/d/1dL4yeBZTq5ggk84mp5TXil_f4Ven0Hvl/view?usp=drivesdk" TargetMode="External"/><Relationship Id="rId7679" Type="http://schemas.openxmlformats.org/officeDocument/2006/relationships/hyperlink" Target="https://drive.google.com/file/d/1Nb_iICKJNGbRrUujG8RDeRxzmmnoIY8p/view?usp=drivesdk" TargetMode="External"/><Relationship Id="rId5015" Type="http://schemas.openxmlformats.org/officeDocument/2006/relationships/hyperlink" Target="https://drive.google.com/file/d/13yGiCocWFjCk-80rM1Z2awgemQDh7glM/view?usp=drivesdk" TargetMode="External"/><Relationship Id="rId6346" Type="http://schemas.openxmlformats.org/officeDocument/2006/relationships/hyperlink" Target="https://drive.google.com/file/d/11HQIJXHdy7Y1HLsWKvA5oIVk24bveWSC/view?usp=drivesdk" TargetMode="External"/><Relationship Id="rId7678" Type="http://schemas.openxmlformats.org/officeDocument/2006/relationships/hyperlink" Target="https://drive.google.com/file/d/1hZ7boUREHNdP0oYXeYokjYnkvtN1D5cD/view?usp=drivesdk" TargetMode="External"/><Relationship Id="rId5016" Type="http://schemas.openxmlformats.org/officeDocument/2006/relationships/hyperlink" Target="https://drive.google.com/file/d/1upwjJFMQMamCVFSWx0uCJ3COeKKdvxna/view?usp=drivesdk" TargetMode="External"/><Relationship Id="rId6347" Type="http://schemas.openxmlformats.org/officeDocument/2006/relationships/hyperlink" Target="https://drive.google.com/file/d/1ml6nJ1UK9YYpmW1Vwl6gTgC7dXTmnPKe/view?usp=drivesdk" TargetMode="External"/><Relationship Id="rId7677" Type="http://schemas.openxmlformats.org/officeDocument/2006/relationships/hyperlink" Target="https://drive.google.com/file/d/14CfyR2hJc3-Lqyad2FXv_gutK_bV0l0f/view?usp=drivesdk" TargetMode="External"/><Relationship Id="rId5008" Type="http://schemas.openxmlformats.org/officeDocument/2006/relationships/hyperlink" Target="https://drive.google.com/file/d/1aM1OgRuIx3wQEezv6ehwvw4OgMwskM3V/view?usp=drivesdk" TargetMode="External"/><Relationship Id="rId6339" Type="http://schemas.openxmlformats.org/officeDocument/2006/relationships/hyperlink" Target="https://drive.google.com/file/d/1jfqtKUCknnnGvQS925kelea4fVkFqbXt/view?usp=drivesdk" TargetMode="External"/><Relationship Id="rId5009" Type="http://schemas.openxmlformats.org/officeDocument/2006/relationships/hyperlink" Target="https://drive.google.com/file/d/1TsmRRzRXcC21vmikSG8uGkjF_J_DCqcR/view?usp=drivesdk" TargetMode="External"/><Relationship Id="rId7661" Type="http://schemas.openxmlformats.org/officeDocument/2006/relationships/hyperlink" Target="https://drive.google.com/file/d/1khaOLjqbe5iOlkEFKn7H7-MNC4KNutTM/view?usp=drivesdk" TargetMode="External"/><Relationship Id="rId8992" Type="http://schemas.openxmlformats.org/officeDocument/2006/relationships/hyperlink" Target="https://drive.google.com/file/d/1ZSJlPjJy_bsKHbMXX5ijKT1hj5wEBdjm/view?usp=drivesdk" TargetMode="External"/><Relationship Id="rId6330" Type="http://schemas.openxmlformats.org/officeDocument/2006/relationships/hyperlink" Target="https://drive.google.com/file/d/1_Bx_zF8_KV2Bd3nPciLgA80_2HwtxDdg/view?usp=drivesdk" TargetMode="External"/><Relationship Id="rId7660" Type="http://schemas.openxmlformats.org/officeDocument/2006/relationships/hyperlink" Target="https://drive.google.com/file/d/1pIsX_RfiqjM8vbcC1euz3KkjaC7MzQAs/view?usp=drivesdk" TargetMode="External"/><Relationship Id="rId8991" Type="http://schemas.openxmlformats.org/officeDocument/2006/relationships/hyperlink" Target="https://drive.google.com/file/d/1kIsdXUtkCQlZNiBkrIB1KtFCDZy2xK1h/view?usp=drivesdk" TargetMode="External"/><Relationship Id="rId8990" Type="http://schemas.openxmlformats.org/officeDocument/2006/relationships/hyperlink" Target="https://drive.google.com/file/d/1jmw_T3BakwWmnp-O1rB5BikMPYQrL12T/view?usp=drivesdk" TargetMode="External"/><Relationship Id="rId5002" Type="http://schemas.openxmlformats.org/officeDocument/2006/relationships/hyperlink" Target="https://drive.google.com/file/d/1EDR2KBfi_5eF0C24ln1Nn69l-kCuZgWa/view?usp=drivesdk" TargetMode="External"/><Relationship Id="rId6333" Type="http://schemas.openxmlformats.org/officeDocument/2006/relationships/hyperlink" Target="https://drive.google.com/file/d/18nAuG8UoipeqECnB1IIT8xpiYSNBGsbg/view?usp=drivesdk" TargetMode="External"/><Relationship Id="rId7665" Type="http://schemas.openxmlformats.org/officeDocument/2006/relationships/hyperlink" Target="https://drive.google.com/file/d/1EX5XFyUmHYqcRaN54XrV33IvJ6Rtbu64/view?usp=drivesdk" TargetMode="External"/><Relationship Id="rId8996" Type="http://schemas.openxmlformats.org/officeDocument/2006/relationships/hyperlink" Target="https://drive.google.com/file/d/1zVsmKK7ePCqdQFBfCeDlgmkVSKZ0kWgZ/view?usp=drivesdk" TargetMode="External"/><Relationship Id="rId5003" Type="http://schemas.openxmlformats.org/officeDocument/2006/relationships/hyperlink" Target="https://drive.google.com/file/d/17cwTaSXWpJotWSvOzrB-svLje6fNmPbV/view?usp=drivesdk" TargetMode="External"/><Relationship Id="rId6334" Type="http://schemas.openxmlformats.org/officeDocument/2006/relationships/hyperlink" Target="https://drive.google.com/file/d/1Qh6KMtMuWWU_x8nnZ6rjb80aSWX1j1us/view?usp=drivesdk" TargetMode="External"/><Relationship Id="rId7664" Type="http://schemas.openxmlformats.org/officeDocument/2006/relationships/hyperlink" Target="https://drive.google.com/file/d/1tQdm7PMlAUMOdJ5HhsthnBZSaYP-i6Dw/view?usp=drivesdk" TargetMode="External"/><Relationship Id="rId8995" Type="http://schemas.openxmlformats.org/officeDocument/2006/relationships/hyperlink" Target="https://drive.google.com/file/d/1vYG7uUClzjM9ph4xx3Cxx1IGMd3qH1Va/view?usp=drivesdk" TargetMode="External"/><Relationship Id="rId5000" Type="http://schemas.openxmlformats.org/officeDocument/2006/relationships/hyperlink" Target="https://drive.google.com/file/d/1rEe2hqHyduMSkEYRq248A7SOI4uYZHFN/view?usp=drivesdk" TargetMode="External"/><Relationship Id="rId6331" Type="http://schemas.openxmlformats.org/officeDocument/2006/relationships/hyperlink" Target="https://drive.google.com/file/d/1s9DGV-PkYLf2o52fGK9hl0uYjtcS7t-F/view?usp=drivesdk" TargetMode="External"/><Relationship Id="rId7663" Type="http://schemas.openxmlformats.org/officeDocument/2006/relationships/hyperlink" Target="https://drive.google.com/file/d/1twtxEMjbeyG7Hbya7Xj4f4GhE-aM-7As/view?usp=drivesdk" TargetMode="External"/><Relationship Id="rId8994" Type="http://schemas.openxmlformats.org/officeDocument/2006/relationships/hyperlink" Target="https://drive.google.com/file/d/1DhEQHSVCQIORFzYaibMiivakW8ASSwnE/view?usp=drivesdk" TargetMode="External"/><Relationship Id="rId5001" Type="http://schemas.openxmlformats.org/officeDocument/2006/relationships/hyperlink" Target="https://drive.google.com/file/d/1G2-FCiS0Zv4uirQTMmSCQKcsl2FVYjN5/view?usp=drivesdk" TargetMode="External"/><Relationship Id="rId6332" Type="http://schemas.openxmlformats.org/officeDocument/2006/relationships/hyperlink" Target="https://drive.google.com/file/d/1FC1qHEm6CYt2dvKw1RdvX2oOt-LK31aA/view?usp=drivesdk" TargetMode="External"/><Relationship Id="rId7662" Type="http://schemas.openxmlformats.org/officeDocument/2006/relationships/hyperlink" Target="https://drive.google.com/file/d/1WnVAzoQ7z3UHmOn8CQxSg5d8KO1VDE3c/view?usp=drivesdk" TargetMode="External"/><Relationship Id="rId8993" Type="http://schemas.openxmlformats.org/officeDocument/2006/relationships/hyperlink" Target="https://drive.google.com/file/d/1YtBHD9iiTsSVEfRt4O5RbXx7vkaCBWg2/view?usp=drivesdk" TargetMode="External"/><Relationship Id="rId5006" Type="http://schemas.openxmlformats.org/officeDocument/2006/relationships/hyperlink" Target="https://drive.google.com/file/d/1uTQb1DPwpHzwYRdlHoHCdONw1xw7iNiC/view?usp=drivesdk" TargetMode="External"/><Relationship Id="rId6337" Type="http://schemas.openxmlformats.org/officeDocument/2006/relationships/hyperlink" Target="https://drive.google.com/file/d/1srFpBfwni8r6Vv5kemp9IWdgAAI2LxcX/view?usp=drivesdk" TargetMode="External"/><Relationship Id="rId7669" Type="http://schemas.openxmlformats.org/officeDocument/2006/relationships/hyperlink" Target="https://drive.google.com/file/d/1qasFmSpgXTBOMwg0BGJ_AnGWUJiYsOjx/view?usp=drivesdk" TargetMode="External"/><Relationship Id="rId5007" Type="http://schemas.openxmlformats.org/officeDocument/2006/relationships/hyperlink" Target="https://drive.google.com/file/d/11unUIS9pErvqHvVdsJm70m1td45XsfrF/view?usp=drivesdk" TargetMode="External"/><Relationship Id="rId6338" Type="http://schemas.openxmlformats.org/officeDocument/2006/relationships/hyperlink" Target="https://drive.google.com/file/d/1FbQuGiG0v2OXvNMgX0SEAnsdwMs0INZZ/view?usp=drivesdk" TargetMode="External"/><Relationship Id="rId7668" Type="http://schemas.openxmlformats.org/officeDocument/2006/relationships/hyperlink" Target="https://drive.google.com/file/d/1-BZ1bY4Lu7vjv5Tgv4js8mbkG8byFpzF/view?usp=drivesdk" TargetMode="External"/><Relationship Id="rId8999" Type="http://schemas.openxmlformats.org/officeDocument/2006/relationships/hyperlink" Target="https://drive.google.com/file/d/1w_C4Lu85TBsUfaxWcIRI18WsLHZgErkG/view?usp=drivesdk" TargetMode="External"/><Relationship Id="rId5004" Type="http://schemas.openxmlformats.org/officeDocument/2006/relationships/hyperlink" Target="https://drive.google.com/file/d/1K2f4yZNM5EmGcjMrP74EmyIXR979gPO1/view?usp=drivesdk" TargetMode="External"/><Relationship Id="rId6335" Type="http://schemas.openxmlformats.org/officeDocument/2006/relationships/hyperlink" Target="https://drive.google.com/file/d/1JeN-2tBFA9BzS5U_KS3gth_NqhzG41Wu/view?usp=drivesdk" TargetMode="External"/><Relationship Id="rId7667" Type="http://schemas.openxmlformats.org/officeDocument/2006/relationships/hyperlink" Target="https://drive.google.com/file/d/1SuZ8G3qy0HOeI0oHu0DYYvPLXXvL8Sqo/view?usp=drivesdk" TargetMode="External"/><Relationship Id="rId8998" Type="http://schemas.openxmlformats.org/officeDocument/2006/relationships/hyperlink" Target="https://drive.google.com/file/d/1Mf5eyGTqLTFZbBPjBWaKv9cQKl8mPQrQ/view?usp=drivesdk" TargetMode="External"/><Relationship Id="rId5005" Type="http://schemas.openxmlformats.org/officeDocument/2006/relationships/hyperlink" Target="https://drive.google.com/file/d/1mhqnf5XYIndN6bIeiotpCEZsX7YKCAWl/view?usp=drivesdk" TargetMode="External"/><Relationship Id="rId6336" Type="http://schemas.openxmlformats.org/officeDocument/2006/relationships/hyperlink" Target="https://drive.google.com/file/d/1C9U5CMfOwZwe1P_dlu79fAQfjsMxAAfv/view?usp=drivesdk" TargetMode="External"/><Relationship Id="rId7666" Type="http://schemas.openxmlformats.org/officeDocument/2006/relationships/hyperlink" Target="https://drive.google.com/file/d/1WLJDoEmgWbhpGeAzmq5uV4wPmZisBys2/view?usp=drivesdk" TargetMode="External"/><Relationship Id="rId8997" Type="http://schemas.openxmlformats.org/officeDocument/2006/relationships/hyperlink" Target="https://drive.google.com/file/d/1NXiCMuBDzxa1VutJCYrtU1NkuowDT3Nu/view?usp=drivesdk" TargetMode="External"/><Relationship Id="rId7690" Type="http://schemas.openxmlformats.org/officeDocument/2006/relationships/hyperlink" Target="https://drive.google.com/file/d/1QjZhW9pP4ep9W38yP5GP3goLB9MraaTX/view?usp=drivesdk" TargetMode="External"/><Relationship Id="rId5031" Type="http://schemas.openxmlformats.org/officeDocument/2006/relationships/hyperlink" Target="https://drive.google.com/file/d/1KnTBvQbfdIxIEmonAkcBOXFSV7PSlfi1/view?usp=drivesdk" TargetMode="External"/><Relationship Id="rId6362" Type="http://schemas.openxmlformats.org/officeDocument/2006/relationships/hyperlink" Target="https://drive.google.com/file/d/1mLBNFhSbGnfbqLrD4rmSA9Q42AYLNsAB/view?usp=drivesdk" TargetMode="External"/><Relationship Id="rId7694" Type="http://schemas.openxmlformats.org/officeDocument/2006/relationships/hyperlink" Target="https://drive.google.com/file/d/1760XGPCPVjm1RTzWVzNXHSPvSe6xwelQ/view?usp=drivesdk" TargetMode="External"/><Relationship Id="rId5032" Type="http://schemas.openxmlformats.org/officeDocument/2006/relationships/hyperlink" Target="https://drive.google.com/file/d/16tayA54f8F4fWqTn1XsX9lZhR8n39i3o/view?usp=drivesdk" TargetMode="External"/><Relationship Id="rId6363" Type="http://schemas.openxmlformats.org/officeDocument/2006/relationships/hyperlink" Target="https://drive.google.com/file/d/1ZHfHh1lQs2mVdOVBd6W6DOgUjfZFOoBB/view?usp=drivesdk" TargetMode="External"/><Relationship Id="rId7693" Type="http://schemas.openxmlformats.org/officeDocument/2006/relationships/hyperlink" Target="https://drive.google.com/file/d/15k7_5kpTRLK_vel9sm77z63DdxhdssXP/view?usp=drivesdk" TargetMode="External"/><Relationship Id="rId6360" Type="http://schemas.openxmlformats.org/officeDocument/2006/relationships/hyperlink" Target="https://drive.google.com/file/d/1tGyJqM6o0D8qIeIdODwLWpHfr53liIx9/view?usp=drivesdk" TargetMode="External"/><Relationship Id="rId7692" Type="http://schemas.openxmlformats.org/officeDocument/2006/relationships/hyperlink" Target="https://drive.google.com/file/d/1vjhy9oDfxivvepkIvHFNL7Afhsi1gqx8/view?usp=drivesdk" TargetMode="External"/><Relationship Id="rId5030" Type="http://schemas.openxmlformats.org/officeDocument/2006/relationships/hyperlink" Target="https://drive.google.com/file/d/1KicLuh57ZZBTJDGm4e7-2DQ5AIOsDDrZ/view?usp=drivesdk" TargetMode="External"/><Relationship Id="rId6361" Type="http://schemas.openxmlformats.org/officeDocument/2006/relationships/hyperlink" Target="https://drive.google.com/file/d/1kZA9rCFW_K8mSH5Ii-rGCo8hXEaU9zXo/view?usp=drivesdk" TargetMode="External"/><Relationship Id="rId7691" Type="http://schemas.openxmlformats.org/officeDocument/2006/relationships/hyperlink" Target="https://drive.google.com/file/d/1Snxmh8BayedFa137JK_oTcTHTsTyzLy2/view?usp=drivesdk" TargetMode="External"/><Relationship Id="rId5035" Type="http://schemas.openxmlformats.org/officeDocument/2006/relationships/hyperlink" Target="https://drive.google.com/file/d/17ARrQmH7IKUW2AZAP25l0QO3Bro9UMzm/view?usp=drivesdk" TargetMode="External"/><Relationship Id="rId6366" Type="http://schemas.openxmlformats.org/officeDocument/2006/relationships/hyperlink" Target="https://drive.google.com/file/d/1OhZCbrcvAArUyYYgQImS9pwMSitMiTh1/view?usp=drivesdk" TargetMode="External"/><Relationship Id="rId7698" Type="http://schemas.openxmlformats.org/officeDocument/2006/relationships/hyperlink" Target="https://drive.google.com/file/d/1QZWJ4_wfKfg6ng5MI8JzQElEtSt00hTO/view?usp=drivesdk" TargetMode="External"/><Relationship Id="rId5036" Type="http://schemas.openxmlformats.org/officeDocument/2006/relationships/hyperlink" Target="https://drive.google.com/file/d/1ULCqvHn1sqHNYoUtDtMx4Ql7e5zFhMfi/view?usp=drivesdk" TargetMode="External"/><Relationship Id="rId6367" Type="http://schemas.openxmlformats.org/officeDocument/2006/relationships/hyperlink" Target="https://drive.google.com/file/d/1ZJCxC8jCtf3vDq-nGXRCkU61J_xO87z8/view?usp=drivesdk" TargetMode="External"/><Relationship Id="rId7697" Type="http://schemas.openxmlformats.org/officeDocument/2006/relationships/hyperlink" Target="https://drive.google.com/file/d/1NJtMWNVzdtFwBnNxYk-EU10ZjTzcWpcX/view?usp=drivesdk" TargetMode="External"/><Relationship Id="rId5033" Type="http://schemas.openxmlformats.org/officeDocument/2006/relationships/hyperlink" Target="https://drive.google.com/file/d/1trgxVZD-UY3YOGiMU3aFMbWZvQKhzRFl/view?usp=drivesdk" TargetMode="External"/><Relationship Id="rId6364" Type="http://schemas.openxmlformats.org/officeDocument/2006/relationships/hyperlink" Target="https://drive.google.com/file/d/1-bjh57s5TK2LPeon9nQWFwJBONUXs0qd/view?usp=drivesdk" TargetMode="External"/><Relationship Id="rId7696" Type="http://schemas.openxmlformats.org/officeDocument/2006/relationships/hyperlink" Target="https://drive.google.com/file/d/1lm35nHyd-Hwh_BvtrRvtawA6NoN9YKjp/view?usp=drivesdk" TargetMode="External"/><Relationship Id="rId5034" Type="http://schemas.openxmlformats.org/officeDocument/2006/relationships/hyperlink" Target="https://drive.google.com/file/d/12lZhb-cITDKbQuaA1JVBwf_N7OpS1sfN/view?usp=drivesdk" TargetMode="External"/><Relationship Id="rId6365" Type="http://schemas.openxmlformats.org/officeDocument/2006/relationships/hyperlink" Target="https://drive.google.com/file/d/1rcr14tNZAMHY2ru-iliUzlBSDnIQ6u8u/view?usp=drivesdk" TargetMode="External"/><Relationship Id="rId7695" Type="http://schemas.openxmlformats.org/officeDocument/2006/relationships/hyperlink" Target="https://drive.google.com/file/d/1O_FgiAaR6IhpTNUiShj1GDGI0kND_FGQ/view?usp=drivesdk" TargetMode="External"/><Relationship Id="rId5039" Type="http://schemas.openxmlformats.org/officeDocument/2006/relationships/hyperlink" Target="https://drive.google.com/file/d/1wbL-1NHzBFpfWmjZY8jCzFD1oAWklGHv/view?usp=drivesdk" TargetMode="External"/><Relationship Id="rId5037" Type="http://schemas.openxmlformats.org/officeDocument/2006/relationships/hyperlink" Target="https://drive.google.com/file/d/1I1zuebI5DlVtZytFZPzv0pTge2oAihRY/view?usp=drivesdk" TargetMode="External"/><Relationship Id="rId6368" Type="http://schemas.openxmlformats.org/officeDocument/2006/relationships/hyperlink" Target="https://drive.google.com/file/d/19Lav17xmaSYI28FxFZzfJTppfGrrdECA/view?usp=drivesdk" TargetMode="External"/><Relationship Id="rId5038" Type="http://schemas.openxmlformats.org/officeDocument/2006/relationships/hyperlink" Target="https://drive.google.com/file/d/1hPw29SXQAhrFQs5vd1_lTpid_1qkvNuk/view?usp=drivesdk" TargetMode="External"/><Relationship Id="rId6369" Type="http://schemas.openxmlformats.org/officeDocument/2006/relationships/hyperlink" Target="https://drive.google.com/file/d/1OMEycWwTGsEUmrHY1GtBhuQUju-pbqjh/view?usp=drivesdk" TargetMode="External"/><Relationship Id="rId7699" Type="http://schemas.openxmlformats.org/officeDocument/2006/relationships/hyperlink" Target="https://drive.google.com/file/d/13qWl1EIWRcDMCVPkXqwKGgL-7dMBdmAD/view?usp=drivesdk" TargetMode="External"/><Relationship Id="rId5020" Type="http://schemas.openxmlformats.org/officeDocument/2006/relationships/hyperlink" Target="https://drive.google.com/file/d/1GGRnprRoEvy9l5EnODeJVw4TDNBPiucG/view?usp=drivesdk" TargetMode="External"/><Relationship Id="rId6351" Type="http://schemas.openxmlformats.org/officeDocument/2006/relationships/hyperlink" Target="https://drive.google.com/file/d/1hA5XkWvY4EZ_BMLVL1zCI0FnsXJiHoye/view?usp=drivesdk" TargetMode="External"/><Relationship Id="rId7683" Type="http://schemas.openxmlformats.org/officeDocument/2006/relationships/hyperlink" Target="https://drive.google.com/file/d/1CM5o0Gt00UKEh6mhjZ9-8_LpfFwqW6SL/view?usp=drivesdk" TargetMode="External"/><Relationship Id="rId5021" Type="http://schemas.openxmlformats.org/officeDocument/2006/relationships/hyperlink" Target="https://drive.google.com/file/d/1auAfVgH5IEbgmXr36zWdYkbwY_-Pxf4D/view?usp=drivesdk" TargetMode="External"/><Relationship Id="rId6352" Type="http://schemas.openxmlformats.org/officeDocument/2006/relationships/hyperlink" Target="https://drive.google.com/file/d/1TI2UFV3vwQXNu6rOYWOv9OnIwNxju-_p/view?usp=drivesdk" TargetMode="External"/><Relationship Id="rId7682" Type="http://schemas.openxmlformats.org/officeDocument/2006/relationships/hyperlink" Target="https://drive.google.com/file/d/12IJC-Kl_ya16Xw5inxeKFKUEv_MCUZcW/view?usp=drivesdk" TargetMode="External"/><Relationship Id="rId7681" Type="http://schemas.openxmlformats.org/officeDocument/2006/relationships/hyperlink" Target="https://drive.google.com/file/d/12TF78Ay9_9bosPQ2y9HHImqaqIRPW7df/view?usp=drivesdk" TargetMode="External"/><Relationship Id="rId6350" Type="http://schemas.openxmlformats.org/officeDocument/2006/relationships/hyperlink" Target="https://drive.google.com/file/d/11Vxvt9RcLU53X1k9oVZocegFWap2Eb91/view?usp=drivesdk" TargetMode="External"/><Relationship Id="rId7680" Type="http://schemas.openxmlformats.org/officeDocument/2006/relationships/hyperlink" Target="https://drive.google.com/file/d/153GlSs65DSwFjLHNLycpJeS5GEfSa-RE/view?usp=drivesdk" TargetMode="External"/><Relationship Id="rId5024" Type="http://schemas.openxmlformats.org/officeDocument/2006/relationships/hyperlink" Target="https://drive.google.com/file/d/1n_-5YBOCtlU-iqaruWnZdDxaJyCG7FJm/view?usp=drivesdk" TargetMode="External"/><Relationship Id="rId6355" Type="http://schemas.openxmlformats.org/officeDocument/2006/relationships/hyperlink" Target="https://drive.google.com/file/d/1l78NhpqL3eciB3OGDFp1-vFdEtyhqmQV/view?usp=drivesdk" TargetMode="External"/><Relationship Id="rId7687" Type="http://schemas.openxmlformats.org/officeDocument/2006/relationships/hyperlink" Target="https://drive.google.com/file/d/1ht8OSnaQd7aYax8j-tJFK0_azkcBf6GD/view?usp=drivesdk" TargetMode="External"/><Relationship Id="rId5025" Type="http://schemas.openxmlformats.org/officeDocument/2006/relationships/hyperlink" Target="https://drive.google.com/file/d/1dvbT12epOiPVAhXHu3u28Bxjq93ECFfr/view?usp=drivesdk" TargetMode="External"/><Relationship Id="rId6356" Type="http://schemas.openxmlformats.org/officeDocument/2006/relationships/hyperlink" Target="https://drive.google.com/file/d/1aGi0PXmZ_Uqsc4UVAMASGhjjLolGaGkc/view?usp=drivesdk" TargetMode="External"/><Relationship Id="rId7686" Type="http://schemas.openxmlformats.org/officeDocument/2006/relationships/hyperlink" Target="https://drive.google.com/file/d/1CTZqsTyf-oU84_kvzvLjun7DEa3a-37I/view?usp=drivesdk" TargetMode="External"/><Relationship Id="rId5022" Type="http://schemas.openxmlformats.org/officeDocument/2006/relationships/hyperlink" Target="https://drive.google.com/file/d/1SjZ2KHnQIqrzNXTCxH8K2Uho05WK1v__/view?usp=drivesdk" TargetMode="External"/><Relationship Id="rId6353" Type="http://schemas.openxmlformats.org/officeDocument/2006/relationships/hyperlink" Target="https://drive.google.com/file/d/1rAcOSHmBHdYbMSDNt2SHxodM27CERvoo/view?usp=drivesdk" TargetMode="External"/><Relationship Id="rId7685" Type="http://schemas.openxmlformats.org/officeDocument/2006/relationships/hyperlink" Target="https://drive.google.com/file/d/1siAb7KLpNY-0d9jaHYawoufQx6AswtuE/view?usp=drivesdk" TargetMode="External"/><Relationship Id="rId5023" Type="http://schemas.openxmlformats.org/officeDocument/2006/relationships/hyperlink" Target="https://drive.google.com/file/d/1kG_tpG2KYwUwKW0iQP4x599o7D438fV-/view?usp=drivesdk" TargetMode="External"/><Relationship Id="rId6354" Type="http://schemas.openxmlformats.org/officeDocument/2006/relationships/hyperlink" Target="https://drive.google.com/file/d/1gvPSm_hyFty_JyZbZuAygDhCttrTmRKn/view?usp=drivesdk" TargetMode="External"/><Relationship Id="rId7684" Type="http://schemas.openxmlformats.org/officeDocument/2006/relationships/hyperlink" Target="https://drive.google.com/file/d/1oM0sxX-ha0GqdF7YWhyyv5H087FNf2L3/view?usp=drivesdk" TargetMode="External"/><Relationship Id="rId5028" Type="http://schemas.openxmlformats.org/officeDocument/2006/relationships/hyperlink" Target="https://drive.google.com/file/d/1xQOsL3bFvsaK2Ya6dYNcH0WZ25rVqhcI/view?usp=drivesdk" TargetMode="External"/><Relationship Id="rId6359" Type="http://schemas.openxmlformats.org/officeDocument/2006/relationships/hyperlink" Target="https://drive.google.com/file/d/1-jXUDNaRPtEyrAzvLOTcFHb8r1hObcBq/view?usp=drivesdk" TargetMode="External"/><Relationship Id="rId5029" Type="http://schemas.openxmlformats.org/officeDocument/2006/relationships/hyperlink" Target="https://drive.google.com/file/d/1d7iCHAglg-2BCms4cXiT7cP2l3EoKJQy/view?usp=drivesdk" TargetMode="External"/><Relationship Id="rId5026" Type="http://schemas.openxmlformats.org/officeDocument/2006/relationships/hyperlink" Target="https://drive.google.com/file/d/1r7GU80O-UoGfHQq9FWp7Q7PYB1kQxcQ5/view?usp=drivesdk" TargetMode="External"/><Relationship Id="rId6357" Type="http://schemas.openxmlformats.org/officeDocument/2006/relationships/hyperlink" Target="https://drive.google.com/file/d/1W0ULkK1Mts-eOFuvlWMtgeIJAgTQi5DY/view?usp=drivesdk" TargetMode="External"/><Relationship Id="rId7689" Type="http://schemas.openxmlformats.org/officeDocument/2006/relationships/hyperlink" Target="https://drive.google.com/file/d/1gXtjiKWysgSOxS1sVeOU5kPI5y1IcsOV/view?usp=drivesdk" TargetMode="External"/><Relationship Id="rId5027" Type="http://schemas.openxmlformats.org/officeDocument/2006/relationships/hyperlink" Target="https://drive.google.com/file/d/1w1VGj85mwxuGP7iRwGdoinBqcYph9C_H/view?usp=drivesdk" TargetMode="External"/><Relationship Id="rId6358" Type="http://schemas.openxmlformats.org/officeDocument/2006/relationships/hyperlink" Target="https://drive.google.com/file/d/1HdFQ6YoyAatKqrvCoxbGKJ1wSBfT62XH/view?usp=drivesdk" TargetMode="External"/><Relationship Id="rId7688" Type="http://schemas.openxmlformats.org/officeDocument/2006/relationships/hyperlink" Target="https://drive.google.com/file/d/1aAIox8yt7otXYvvked3PiB55_aIxBQlV/view?usp=drivesdk" TargetMode="External"/><Relationship Id="rId6308" Type="http://schemas.openxmlformats.org/officeDocument/2006/relationships/hyperlink" Target="https://drive.google.com/file/d/1wnJOzOexDaE8_yXxQA0F6gLGktPl2ylz/view?usp=drivesdk" TargetMode="External"/><Relationship Id="rId6309" Type="http://schemas.openxmlformats.org/officeDocument/2006/relationships/hyperlink" Target="https://drive.google.com/file/d/1wcJ6De2_yqo83K71hsnnnkienDwRrN7A/view?usp=drivesdk" TargetMode="External"/><Relationship Id="rId7639" Type="http://schemas.openxmlformats.org/officeDocument/2006/relationships/hyperlink" Target="https://drive.google.com/file/d/17vQ9WMy9DEZoOqExpx2kY0H76TzpiCSO/view?usp=drivesdk" TargetMode="External"/><Relationship Id="rId6306" Type="http://schemas.openxmlformats.org/officeDocument/2006/relationships/hyperlink" Target="https://drive.google.com/file/d/1RrhsQxjM8jPyeZGWJ3Bi4Am8ERtE44Rb/view?usp=drivesdk" TargetMode="External"/><Relationship Id="rId7638" Type="http://schemas.openxmlformats.org/officeDocument/2006/relationships/hyperlink" Target="https://drive.google.com/file/d/1K3XW3Rk4AnSVbtDGHHzXV1GK5zVn2Cfp/view?usp=drivesdk" TargetMode="External"/><Relationship Id="rId8969" Type="http://schemas.openxmlformats.org/officeDocument/2006/relationships/hyperlink" Target="https://drive.google.com/file/d/1B8Zrjwc8jYqlwHOVlJXHiA2fe2pobpfz/view?usp=drivesdk" TargetMode="External"/><Relationship Id="rId6307" Type="http://schemas.openxmlformats.org/officeDocument/2006/relationships/hyperlink" Target="https://drive.google.com/file/d/1-9RZWf9a2GPRDs-_tRoYelPVjVY4MrhM/view?usp=drivesdk" TargetMode="External"/><Relationship Id="rId7637" Type="http://schemas.openxmlformats.org/officeDocument/2006/relationships/hyperlink" Target="https://drive.google.com/file/d/1uIht27DX5PPWlI1vLFzmrJYyty42Ygv5/view?usp=drivesdk" TargetMode="External"/><Relationship Id="rId8968" Type="http://schemas.openxmlformats.org/officeDocument/2006/relationships/hyperlink" Target="https://drive.google.com/file/d/1zaKT5Cgz4S5OSrfotkx7V10sFuNrd8Wu/view?usp=drivesdk" TargetMode="External"/><Relationship Id="rId6300" Type="http://schemas.openxmlformats.org/officeDocument/2006/relationships/hyperlink" Target="https://drive.google.com/file/d/1Lc_KiS2O979xEJEOd_5EoUgAdMzpsmhU/view?usp=drivesdk" TargetMode="External"/><Relationship Id="rId7632" Type="http://schemas.openxmlformats.org/officeDocument/2006/relationships/hyperlink" Target="https://drive.google.com/file/d/1VZiFMkAuaSiLfZWoJK5bxojd-eONVOcO/view?usp=drivesdk" TargetMode="External"/><Relationship Id="rId8963" Type="http://schemas.openxmlformats.org/officeDocument/2006/relationships/hyperlink" Target="https://drive.google.com/file/d/1MCcA8Fe2HxfnLsApvPTzyoWnpv9o6xN-/view?usp=drivesdk" TargetMode="External"/><Relationship Id="rId6301" Type="http://schemas.openxmlformats.org/officeDocument/2006/relationships/hyperlink" Target="https://drive.google.com/file/d/1bgqOr40Ve4Qoz48PlNp-srZlzadd5vNU/view?usp=drivesdk" TargetMode="External"/><Relationship Id="rId7631" Type="http://schemas.openxmlformats.org/officeDocument/2006/relationships/hyperlink" Target="https://drive.google.com/file/d/1zPFh5PcHmW-Mz5zXyvmaz9KB0q9nN-pD/view?usp=drivesdk" TargetMode="External"/><Relationship Id="rId8962" Type="http://schemas.openxmlformats.org/officeDocument/2006/relationships/hyperlink" Target="https://drive.google.com/file/d/1BYJAGBiTn36r2JsnaDMauC385Mq7zCRh/view?usp=drivesdk" TargetMode="External"/><Relationship Id="rId7630" Type="http://schemas.openxmlformats.org/officeDocument/2006/relationships/hyperlink" Target="https://drive.google.com/file/d/1yRzgdFJnJLPg56G3TwqrtGKOvpd3RBHF/view?usp=drivesdk" TargetMode="External"/><Relationship Id="rId8961" Type="http://schemas.openxmlformats.org/officeDocument/2006/relationships/hyperlink" Target="https://drive.google.com/file/d/1v0VNAmo_i5gInfQEeZ-SNInJC54STX7K/view?usp=drivesdk" TargetMode="External"/><Relationship Id="rId8960" Type="http://schemas.openxmlformats.org/officeDocument/2006/relationships/hyperlink" Target="https://drive.google.com/file/d/1XIEDY9I1JkGtTOyyjCdGcYdfFLP_x-HO/view?usp=drivesdk" TargetMode="External"/><Relationship Id="rId6304" Type="http://schemas.openxmlformats.org/officeDocument/2006/relationships/hyperlink" Target="https://drive.google.com/file/d/1dr-HWbkG9RiEb-E4xXFv94EcQEQpSBFe/view?usp=drivesdk" TargetMode="External"/><Relationship Id="rId7636" Type="http://schemas.openxmlformats.org/officeDocument/2006/relationships/hyperlink" Target="https://drive.google.com/file/d/1gKJAjystUAxwx_1FulV1vgp5UxEOR2XV/view?usp=drivesdk" TargetMode="External"/><Relationship Id="rId8967" Type="http://schemas.openxmlformats.org/officeDocument/2006/relationships/hyperlink" Target="https://drive.google.com/file/d/1JsUNa4eyGURnu4fY7GyWY25Z_iDu4g_g/view?usp=drivesdk" TargetMode="External"/><Relationship Id="rId6305" Type="http://schemas.openxmlformats.org/officeDocument/2006/relationships/hyperlink" Target="https://drive.google.com/file/d/1hBRioDHrtjVdKSuOmBrEcY3R4OF1KkO9/view?usp=drivesdk" TargetMode="External"/><Relationship Id="rId7635" Type="http://schemas.openxmlformats.org/officeDocument/2006/relationships/hyperlink" Target="https://drive.google.com/file/d/1h-PkNfa0KEVrxEB1cErsW6QS2euSWTu3/view?usp=drivesdk" TargetMode="External"/><Relationship Id="rId8966" Type="http://schemas.openxmlformats.org/officeDocument/2006/relationships/hyperlink" Target="https://drive.google.com/file/d/1cwP7BcdRooGCT9Aj6YH6iYGsvoo0QjR1/view?usp=drivesdk" TargetMode="External"/><Relationship Id="rId6302" Type="http://schemas.openxmlformats.org/officeDocument/2006/relationships/hyperlink" Target="https://drive.google.com/file/d/1IBgMA7OV80W2ZhvUiA2XCJuEFimREr7-/view?usp=drivesdk" TargetMode="External"/><Relationship Id="rId7634" Type="http://schemas.openxmlformats.org/officeDocument/2006/relationships/hyperlink" Target="https://drive.google.com/file/d/1aWDp-pFeJTvWX5lAPDg6ZcK43jg1fRka/view?usp=drivesdk" TargetMode="External"/><Relationship Id="rId8965" Type="http://schemas.openxmlformats.org/officeDocument/2006/relationships/hyperlink" Target="https://drive.google.com/file/d/1gaDFWKGqyhoE1QinQbXXQ06-cyaGnNC6/view?usp=drivesdk" TargetMode="External"/><Relationship Id="rId6303" Type="http://schemas.openxmlformats.org/officeDocument/2006/relationships/hyperlink" Target="https://drive.google.com/file/d/1wqQzAM7oZfaIJuXK7Gyfedvq0efqbDlE/view?usp=drivesdk" TargetMode="External"/><Relationship Id="rId7633" Type="http://schemas.openxmlformats.org/officeDocument/2006/relationships/hyperlink" Target="https://drive.google.com/file/d/1-HXX8mZUKryLDQzPvVAQDzKSSfYS4idg/view?usp=drivesdk" TargetMode="External"/><Relationship Id="rId8964" Type="http://schemas.openxmlformats.org/officeDocument/2006/relationships/hyperlink" Target="https://drive.google.com/file/d/1jZBiib1CjPH-3k8N-8M-5SbVdKtdiHw2/view?usp=drivesdk" TargetMode="External"/><Relationship Id="rId7629" Type="http://schemas.openxmlformats.org/officeDocument/2006/relationships/hyperlink" Target="https://drive.google.com/file/d/15D_dhrh_ieiFcJpG7WPa1XlGCOhGvkTI/view?usp=drivesdk" TargetMode="External"/><Relationship Id="rId7628" Type="http://schemas.openxmlformats.org/officeDocument/2006/relationships/hyperlink" Target="https://drive.google.com/file/d/1X1oXODkD1Udz0cGGcwdx4_jDqJ5HZduz/view?usp=drivesdk" TargetMode="External"/><Relationship Id="rId8959" Type="http://schemas.openxmlformats.org/officeDocument/2006/relationships/hyperlink" Target="https://drive.google.com/file/d/1KxB7dRBAYbe85q0VFFsbRJfXpcTfvYpE/view?usp=drivesdk" TargetMode="External"/><Relationship Id="rId7627" Type="http://schemas.openxmlformats.org/officeDocument/2006/relationships/hyperlink" Target="https://drive.google.com/file/d/1fu34gRWaCaVEN9wC2RNulsAJkBHvi_qr/view?usp=drivesdk" TargetMode="External"/><Relationship Id="rId8958" Type="http://schemas.openxmlformats.org/officeDocument/2006/relationships/hyperlink" Target="https://drive.google.com/file/d/1Gv9g4hL9GCbcMNojMNXD1tjgylzvK0o1/view?usp=drivesdk" TargetMode="External"/><Relationship Id="rId7626" Type="http://schemas.openxmlformats.org/officeDocument/2006/relationships/hyperlink" Target="https://drive.google.com/file/d/1wfHJkNbZvXFHwYP9yL_Qamxhva1FbPcb/view?usp=drivesdk" TargetMode="External"/><Relationship Id="rId8957" Type="http://schemas.openxmlformats.org/officeDocument/2006/relationships/hyperlink" Target="https://drive.google.com/file/d/1VLBWuHPDxI683X5rkJBHDJQOKiXex7Rr/view?usp=drivesdk" TargetMode="External"/><Relationship Id="rId7621" Type="http://schemas.openxmlformats.org/officeDocument/2006/relationships/hyperlink" Target="https://drive.google.com/file/d/1zbfnq7MuWnFQY7b52vUdhw4O7dYsw48L/view?usp=drivesdk" TargetMode="External"/><Relationship Id="rId8952" Type="http://schemas.openxmlformats.org/officeDocument/2006/relationships/hyperlink" Target="https://drive.google.com/file/d/18TwAxn27oOyGkQdsBfMYw0pBqfRMIans/view?usp=drivesdk" TargetMode="External"/><Relationship Id="rId7620" Type="http://schemas.openxmlformats.org/officeDocument/2006/relationships/hyperlink" Target="https://drive.google.com/file/d/1Wx64boeVnQGytvn1UOvVHGPEgwBaMw8s/view?usp=drivesdk" TargetMode="External"/><Relationship Id="rId8951" Type="http://schemas.openxmlformats.org/officeDocument/2006/relationships/hyperlink" Target="https://drive.google.com/file/d/1_RRcpv3wa2BForj5cP4mWxF2yGt1-vWB/view?usp=drivesdk" TargetMode="External"/><Relationship Id="rId8950" Type="http://schemas.openxmlformats.org/officeDocument/2006/relationships/hyperlink" Target="https://drive.google.com/file/d/1nffl_dgOYhZiGxN69GVzdpFQEHxBHAkw/view?usp=drivesdk" TargetMode="External"/><Relationship Id="rId7625" Type="http://schemas.openxmlformats.org/officeDocument/2006/relationships/hyperlink" Target="https://drive.google.com/file/d/1LreIgJx1pG1M454ahl40h_MdAV92h1BS/view?usp=drivesdk" TargetMode="External"/><Relationship Id="rId8956" Type="http://schemas.openxmlformats.org/officeDocument/2006/relationships/hyperlink" Target="https://drive.google.com/file/d/11cSafSG0NZYOmx7YJ1EilPCGmwciHmmf/view?usp=drivesdk" TargetMode="External"/><Relationship Id="rId7624" Type="http://schemas.openxmlformats.org/officeDocument/2006/relationships/hyperlink" Target="https://drive.google.com/file/d/1m97ckenHbl08YMAooT9uTLxkVXwKGR86/view?usp=drivesdk" TargetMode="External"/><Relationship Id="rId8955" Type="http://schemas.openxmlformats.org/officeDocument/2006/relationships/hyperlink" Target="https://drive.google.com/file/d/12uPG6sejOOZNmCXv4OpNIc0YoanGRKSf/view?usp=drivesdk" TargetMode="External"/><Relationship Id="rId7623" Type="http://schemas.openxmlformats.org/officeDocument/2006/relationships/hyperlink" Target="https://drive.google.com/file/d/1rtgos_gCRYbNVT5JAS2ZVQJC_k1LcJEa/view?usp=drivesdk" TargetMode="External"/><Relationship Id="rId8954" Type="http://schemas.openxmlformats.org/officeDocument/2006/relationships/hyperlink" Target="https://drive.google.com/file/d/1rhvXXW19Laqpy8Xqs3xXbd94ao1b2saW/view?usp=drivesdk" TargetMode="External"/><Relationship Id="rId7622" Type="http://schemas.openxmlformats.org/officeDocument/2006/relationships/hyperlink" Target="https://drive.google.com/file/d/1ktHiMQtuP7yb1CY-HhYqcO3i3N5HKl53/view?usp=drivesdk" TargetMode="External"/><Relationship Id="rId8953" Type="http://schemas.openxmlformats.org/officeDocument/2006/relationships/hyperlink" Target="https://drive.google.com/file/d/15mUDeLbj5kEgvCGK2PDRlgwMlRs_1G5Z/view?usp=drivesdk" TargetMode="External"/><Relationship Id="rId6328" Type="http://schemas.openxmlformats.org/officeDocument/2006/relationships/hyperlink" Target="https://drive.google.com/file/d/1M3xfSXiXKVo60t99JAYXjAbqWYn_J_2b/view?usp=drivesdk" TargetMode="External"/><Relationship Id="rId6329" Type="http://schemas.openxmlformats.org/officeDocument/2006/relationships/hyperlink" Target="https://drive.google.com/file/d/1Su81RnciWcXPBhRf1SFN05IbF26XwICS/view?usp=drivesdk" TargetMode="External"/><Relationship Id="rId7659" Type="http://schemas.openxmlformats.org/officeDocument/2006/relationships/hyperlink" Target="https://drive.google.com/file/d/1qt6fofJzrx_ig2qFhNj4zbiUs7MAUJAy/view?usp=drivesdk" TargetMode="External"/><Relationship Id="rId7650" Type="http://schemas.openxmlformats.org/officeDocument/2006/relationships/hyperlink" Target="https://drive.google.com/file/d/1WZbAGodxAwoxkic2JXd-ckBTnT50xgtj/view?usp=drivesdk" TargetMode="External"/><Relationship Id="rId8981" Type="http://schemas.openxmlformats.org/officeDocument/2006/relationships/hyperlink" Target="https://drive.google.com/file/d/1P78rbEU5aMMq-DSSjT7YQ62Dkx6H6okm/view?usp=drivesdk" TargetMode="External"/><Relationship Id="rId8980" Type="http://schemas.openxmlformats.org/officeDocument/2006/relationships/hyperlink" Target="https://drive.google.com/file/d/1LHFo3y3NEkCwrcb2cdrbYgGaAi9rdFU2/view?usp=drivesdk" TargetMode="External"/><Relationship Id="rId6322" Type="http://schemas.openxmlformats.org/officeDocument/2006/relationships/hyperlink" Target="https://drive.google.com/file/d/19tmW9f76-O1NAZ1n296cd-mD7xtPMVeK/view?usp=drivesdk" TargetMode="External"/><Relationship Id="rId7654" Type="http://schemas.openxmlformats.org/officeDocument/2006/relationships/hyperlink" Target="https://drive.google.com/file/d/1Bo2wbjdHM9hbCKwEJokKMdQhpZBjqyiK/view?usp=drivesdk" TargetMode="External"/><Relationship Id="rId8985" Type="http://schemas.openxmlformats.org/officeDocument/2006/relationships/hyperlink" Target="https://drive.google.com/file/d/1EGhExuSMw-0nuoorIybhfNb2-IFWiCB8/view?usp=drivesdk" TargetMode="External"/><Relationship Id="rId6323" Type="http://schemas.openxmlformats.org/officeDocument/2006/relationships/hyperlink" Target="https://drive.google.com/file/d/1r6JP_ZADl01sXl9gjONB8W1rMJnZGqqN/view?usp=drivesdk" TargetMode="External"/><Relationship Id="rId7653" Type="http://schemas.openxmlformats.org/officeDocument/2006/relationships/hyperlink" Target="https://drive.google.com/file/d/1jhPbn5imYHLWzdHEVLRl_L4NMI0ATRZ_/view?usp=drivesdk" TargetMode="External"/><Relationship Id="rId8984" Type="http://schemas.openxmlformats.org/officeDocument/2006/relationships/hyperlink" Target="https://drive.google.com/file/d/1NA7WgqlgLiA2xP1c5XRi3c5sIpOyJ-ja/view?usp=drivesdk" TargetMode="External"/><Relationship Id="rId6320" Type="http://schemas.openxmlformats.org/officeDocument/2006/relationships/hyperlink" Target="https://drive.google.com/file/d/19Z6QJtXBlHL25W3u3i6df_0TgHh3us52/view?usp=drivesdk" TargetMode="External"/><Relationship Id="rId7652" Type="http://schemas.openxmlformats.org/officeDocument/2006/relationships/hyperlink" Target="https://drive.google.com/file/d/11BoY32HV2rdwZCoCHJ2CAJlE2ZonV-iN/view?usp=drivesdk" TargetMode="External"/><Relationship Id="rId8983" Type="http://schemas.openxmlformats.org/officeDocument/2006/relationships/hyperlink" Target="https://drive.google.com/file/d/1FchyXdp07XMiqG4GTrPU8dyxHFbS1sml/view?usp=drivesdk" TargetMode="External"/><Relationship Id="rId6321" Type="http://schemas.openxmlformats.org/officeDocument/2006/relationships/hyperlink" Target="https://drive.google.com/file/d/19_iMGh_-i6HDjl_YsdM2qtW-6mlOVpod/view?usp=drivesdk" TargetMode="External"/><Relationship Id="rId7651" Type="http://schemas.openxmlformats.org/officeDocument/2006/relationships/hyperlink" Target="https://drive.google.com/file/d/1VIpsXiGMNXxNPc47S32XbRV7rQX7vp4T/view?usp=drivesdk" TargetMode="External"/><Relationship Id="rId8982" Type="http://schemas.openxmlformats.org/officeDocument/2006/relationships/hyperlink" Target="https://drive.google.com/file/d/1pbmjKtvFOb-ZonvQ39e7-90GbepMxga9/view?usp=drivesdk" TargetMode="External"/><Relationship Id="rId6326" Type="http://schemas.openxmlformats.org/officeDocument/2006/relationships/hyperlink" Target="https://drive.google.com/file/d/1YlirUPlsGxCAOsJY9ioT0mg7nnsKeguj/view?usp=drivesdk" TargetMode="External"/><Relationship Id="rId7658" Type="http://schemas.openxmlformats.org/officeDocument/2006/relationships/hyperlink" Target="https://drive.google.com/file/d/1ZBN1q0VfQwoMvdN0P5Jv6s6osDwnBkAt/view?usp=drivesdk" TargetMode="External"/><Relationship Id="rId8989" Type="http://schemas.openxmlformats.org/officeDocument/2006/relationships/hyperlink" Target="https://drive.google.com/file/d/1wmIqh0uIYLgh-XSzXvrgNm3u0Dg6-PCe/view?usp=drivesdk" TargetMode="External"/><Relationship Id="rId6327" Type="http://schemas.openxmlformats.org/officeDocument/2006/relationships/hyperlink" Target="https://drive.google.com/file/d/1aKk7zYUeptRSgGgcXcgN7DpZGOAesN13/view?usp=drivesdk" TargetMode="External"/><Relationship Id="rId7657" Type="http://schemas.openxmlformats.org/officeDocument/2006/relationships/hyperlink" Target="https://drive.google.com/file/d/1L4krz5ShC9iQDzhOw9zykDDTpCUptKvw/view?usp=drivesdk" TargetMode="External"/><Relationship Id="rId8988" Type="http://schemas.openxmlformats.org/officeDocument/2006/relationships/hyperlink" Target="https://drive.google.com/file/d/1kX-6PnQ0OTcZIS_0M_NfQfkXH235l5pA/view?usp=drivesdk" TargetMode="External"/><Relationship Id="rId6324" Type="http://schemas.openxmlformats.org/officeDocument/2006/relationships/hyperlink" Target="https://drive.google.com/file/d/1x3VSDfa9tnq9j1bZyLKdyZcXsC3_RbsW/view?usp=drivesdk" TargetMode="External"/><Relationship Id="rId7656" Type="http://schemas.openxmlformats.org/officeDocument/2006/relationships/hyperlink" Target="https://drive.google.com/file/d/141H_27P5zXxOrLy87qLBW1IzlW-thrQJ/view?usp=drivesdk" TargetMode="External"/><Relationship Id="rId8987" Type="http://schemas.openxmlformats.org/officeDocument/2006/relationships/hyperlink" Target="https://drive.google.com/file/d/1cgbaddL27kxbIJ4Zwr6vTptyhHXSqly1/view?usp=drivesdk" TargetMode="External"/><Relationship Id="rId6325" Type="http://schemas.openxmlformats.org/officeDocument/2006/relationships/hyperlink" Target="https://drive.google.com/file/d/1NRt6fj2VxatBHDy96qqihrMs3ji_b-uM/view?usp=drivesdk" TargetMode="External"/><Relationship Id="rId7655" Type="http://schemas.openxmlformats.org/officeDocument/2006/relationships/hyperlink" Target="https://drive.google.com/file/d/17vxqy1wzAmuxQO9brnkqxvo1LiuL6Iv0/view?usp=drivesdk" TargetMode="External"/><Relationship Id="rId8986" Type="http://schemas.openxmlformats.org/officeDocument/2006/relationships/hyperlink" Target="https://drive.google.com/file/d/1ytqwbrWYZxfd59NqgA8cv0OdTe8iuDpW/view?usp=drivesdk" TargetMode="External"/><Relationship Id="rId6319" Type="http://schemas.openxmlformats.org/officeDocument/2006/relationships/hyperlink" Target="https://drive.google.com/file/d/1IsP8nsIZ96WaDPCCofVWkyvJNLARbFbB/view?usp=drivesdk" TargetMode="External"/><Relationship Id="rId6317" Type="http://schemas.openxmlformats.org/officeDocument/2006/relationships/hyperlink" Target="https://drive.google.com/file/d/1WeN7O1GyeSxVZRHC4BUj2LNhpC_VUbC8/view?usp=drivesdk" TargetMode="External"/><Relationship Id="rId7649" Type="http://schemas.openxmlformats.org/officeDocument/2006/relationships/hyperlink" Target="https://drive.google.com/file/d/1Lqz-LkKQflnLBK16nr04qjJOYpNErrzU/view?usp=drivesdk" TargetMode="External"/><Relationship Id="rId6318" Type="http://schemas.openxmlformats.org/officeDocument/2006/relationships/hyperlink" Target="https://drive.google.com/file/d/1avpbaNM9-MMrmBCTXO5sJDMx5LLvfbuz/view?usp=drivesdk" TargetMode="External"/><Relationship Id="rId7648" Type="http://schemas.openxmlformats.org/officeDocument/2006/relationships/hyperlink" Target="https://drive.google.com/file/d/12Y6UnSBUz52HodWICgzOqB9cdxqkdS5i/view?usp=drivesdk" TargetMode="External"/><Relationship Id="rId8979" Type="http://schemas.openxmlformats.org/officeDocument/2006/relationships/hyperlink" Target="https://drive.google.com/file/d/1U_Jl-h1UvuzB3pW8Ks7gq_ixF7diMS_j/view?usp=drivesdk" TargetMode="External"/><Relationship Id="rId8970" Type="http://schemas.openxmlformats.org/officeDocument/2006/relationships/hyperlink" Target="https://drive.google.com/file/d/1Hp7VSn1PTlASf3HcY4X4_cHBOhpYa8n2/view?usp=drivesdk" TargetMode="External"/><Relationship Id="rId6311" Type="http://schemas.openxmlformats.org/officeDocument/2006/relationships/hyperlink" Target="https://drive.google.com/file/d/1WUr0igPWxOdyiKmgGxRrOY1BOn7fx9ab/view?usp=drivesdk" TargetMode="External"/><Relationship Id="rId7643" Type="http://schemas.openxmlformats.org/officeDocument/2006/relationships/hyperlink" Target="https://drive.google.com/file/d/1QPUsHaUm6IzlO5bLuQUPReqVg2eV_1kB/view?usp=drivesdk" TargetMode="External"/><Relationship Id="rId8974" Type="http://schemas.openxmlformats.org/officeDocument/2006/relationships/hyperlink" Target="https://drive.google.com/file/d/1zAzDWxHE8DSUdB6RzWVVF9w42hAnVfmy/view?usp=drivesdk" TargetMode="External"/><Relationship Id="rId6312" Type="http://schemas.openxmlformats.org/officeDocument/2006/relationships/hyperlink" Target="https://drive.google.com/file/d/1QiAGzm97T9xh1O_IeG1XlXtl1T3pR7yq/view?usp=drivesdk" TargetMode="External"/><Relationship Id="rId7642" Type="http://schemas.openxmlformats.org/officeDocument/2006/relationships/hyperlink" Target="https://drive.google.com/file/d/1MyysB8o4HcAD4RVXwcx0eNd4HLG2ifi8/view?usp=drivesdk" TargetMode="External"/><Relationship Id="rId8973" Type="http://schemas.openxmlformats.org/officeDocument/2006/relationships/hyperlink" Target="https://drive.google.com/file/d/18V7uaoDwrQjUj_5SqI3SGLIutnH_TwtN/view?usp=drivesdk" TargetMode="External"/><Relationship Id="rId7641" Type="http://schemas.openxmlformats.org/officeDocument/2006/relationships/hyperlink" Target="https://drive.google.com/file/d/1WND1Q76pXg6lt8Tpw2Tl1FL9NVbjCkid/view?usp=drivesdk" TargetMode="External"/><Relationship Id="rId8972" Type="http://schemas.openxmlformats.org/officeDocument/2006/relationships/hyperlink" Target="https://drive.google.com/file/d/1g6YpLyyzXn2tTGbLiqIPW2c_bVTJofDQ/view?usp=drivesdk" TargetMode="External"/><Relationship Id="rId6310" Type="http://schemas.openxmlformats.org/officeDocument/2006/relationships/hyperlink" Target="https://drive.google.com/file/d/19ZLe6N1WuNu8RsfuO12bEwny7FF8V43w/view?usp=drivesdk" TargetMode="External"/><Relationship Id="rId7640" Type="http://schemas.openxmlformats.org/officeDocument/2006/relationships/hyperlink" Target="https://drive.google.com/file/d/1kwFu20WTJGXGTx26T5whDHB_OpyUjz86/view?usp=drivesdk" TargetMode="External"/><Relationship Id="rId8971" Type="http://schemas.openxmlformats.org/officeDocument/2006/relationships/hyperlink" Target="https://drive.google.com/file/d/1B8ZR-yfh1WWWhvpveFweLgQoEQBIDDI7/view?usp=drivesdk" TargetMode="External"/><Relationship Id="rId6315" Type="http://schemas.openxmlformats.org/officeDocument/2006/relationships/hyperlink" Target="https://drive.google.com/file/d/1fWThsqXoruWr6yQ_1zrZeO3D6Zf_GKcU/view?usp=drivesdk" TargetMode="External"/><Relationship Id="rId7647" Type="http://schemas.openxmlformats.org/officeDocument/2006/relationships/hyperlink" Target="https://drive.google.com/file/d/1REfpt1ks78ax55-kEM6bbZZCnwKlMWhh/view?usp=drivesdk" TargetMode="External"/><Relationship Id="rId8978" Type="http://schemas.openxmlformats.org/officeDocument/2006/relationships/hyperlink" Target="https://drive.google.com/file/d/1cm67fDw8wJ3HHPi0e-LTkpvhS9Bt8MVo/view?usp=drivesdk" TargetMode="External"/><Relationship Id="rId6316" Type="http://schemas.openxmlformats.org/officeDocument/2006/relationships/hyperlink" Target="https://drive.google.com/file/d/1xj48OZ5gu5k5jBUGcFecvmnw88lCXVYr/view?usp=drivesdk" TargetMode="External"/><Relationship Id="rId7646" Type="http://schemas.openxmlformats.org/officeDocument/2006/relationships/hyperlink" Target="https://drive.google.com/file/d/11Y2Pfy2iKsVnhtUjJACQfKP1OIFQVUiq/view?usp=drivesdk" TargetMode="External"/><Relationship Id="rId8977" Type="http://schemas.openxmlformats.org/officeDocument/2006/relationships/hyperlink" Target="https://drive.google.com/file/d/1uHcj2pE1rqnufVMfhCMyJTheR23TNVin/view?usp=drivesdk" TargetMode="External"/><Relationship Id="rId6313" Type="http://schemas.openxmlformats.org/officeDocument/2006/relationships/hyperlink" Target="https://drive.google.com/file/d/1qGdOCNb-nRBm2QW70miORuRmPmpF9_-b/view?usp=drivesdk" TargetMode="External"/><Relationship Id="rId7645" Type="http://schemas.openxmlformats.org/officeDocument/2006/relationships/hyperlink" Target="https://drive.google.com/file/d/1rV7WL7iYa7Mjxfn1e-kR6g9fcpHG6Ny9/view?usp=drivesdk" TargetMode="External"/><Relationship Id="rId8976" Type="http://schemas.openxmlformats.org/officeDocument/2006/relationships/hyperlink" Target="https://drive.google.com/file/d/1eo56Vmh-Y-EWvWoyx9uEkDCHk70oPhne/view?usp=drivesdk" TargetMode="External"/><Relationship Id="rId6314" Type="http://schemas.openxmlformats.org/officeDocument/2006/relationships/hyperlink" Target="https://drive.google.com/file/d/1RYD7-PhZ4spAZaB6X-sTLr7QMr25vgUY/view?usp=drivesdk" TargetMode="External"/><Relationship Id="rId7644" Type="http://schemas.openxmlformats.org/officeDocument/2006/relationships/hyperlink" Target="https://drive.google.com/file/d/1SEKn96viR-KV7TwtBD3gQB9qEBbxthNL/view?usp=drivesdk" TargetMode="External"/><Relationship Id="rId8975" Type="http://schemas.openxmlformats.org/officeDocument/2006/relationships/hyperlink" Target="https://drive.google.com/file/d/1VNaG2a_eLmvwtkw49a_imZv8b9eQJAQE/view?usp=drivesdk" TargetMode="External"/><Relationship Id="rId5093" Type="http://schemas.openxmlformats.org/officeDocument/2006/relationships/hyperlink" Target="https://drive.google.com/file/d/1gN3j5I6XKEeDa4L07-CK5JhQzcbPL6Lc/view?usp=drivesdk" TargetMode="External"/><Relationship Id="rId5094" Type="http://schemas.openxmlformats.org/officeDocument/2006/relationships/hyperlink" Target="https://drive.google.com/file/d/1S5adaQto_4UJdcNQaui9tL9OgfvQqX2A/view?usp=drivesdk" TargetMode="External"/><Relationship Id="rId5091" Type="http://schemas.openxmlformats.org/officeDocument/2006/relationships/hyperlink" Target="https://drive.google.com/file/d/1aKQYvsb6ZkwF7KRgjALzX2PGGIULQ8pr/view?usp=drivesdk" TargetMode="External"/><Relationship Id="rId5092" Type="http://schemas.openxmlformats.org/officeDocument/2006/relationships/hyperlink" Target="https://drive.google.com/file/d/1-8boB9y0wkLZp5yQyN_UmBOImeaREbba/view?usp=drivesdk" TargetMode="External"/><Relationship Id="rId5097" Type="http://schemas.openxmlformats.org/officeDocument/2006/relationships/hyperlink" Target="https://drive.google.com/file/d/1zom7JDbHfjW4xWOlo25I2ykqaS6KPAcX/view?usp=drivesdk" TargetMode="External"/><Relationship Id="rId5098" Type="http://schemas.openxmlformats.org/officeDocument/2006/relationships/hyperlink" Target="https://drive.google.com/file/d/1VkxWDeLC1h_U9ZwDCK80ffdeoiZ8djIK/view?usp=drivesdk" TargetMode="External"/><Relationship Id="rId5095" Type="http://schemas.openxmlformats.org/officeDocument/2006/relationships/hyperlink" Target="https://drive.google.com/file/d/1iEEZzu7PzD08ADx2SUcyYeaTqaRmviuA/view?usp=drivesdk" TargetMode="External"/><Relationship Id="rId5096" Type="http://schemas.openxmlformats.org/officeDocument/2006/relationships/hyperlink" Target="https://drive.google.com/file/d/1ODOamkHmqZVagCVqlL-w85BC5eF1h1h0/view?usp=drivesdk" TargetMode="External"/><Relationship Id="rId5099" Type="http://schemas.openxmlformats.org/officeDocument/2006/relationships/hyperlink" Target="https://drive.google.com/file/d/1sd6z3Y3JH8UA-1GMnU3jvTR1KEGOKf1d/view?usp=drivesdk" TargetMode="External"/><Relationship Id="rId5090" Type="http://schemas.openxmlformats.org/officeDocument/2006/relationships/hyperlink" Target="https://drive.google.com/file/d/1-lPCLD5raVXt0QTEBJNKJN9LmVOOvwon/view?usp=drivesdk" TargetMode="External"/><Relationship Id="rId5082" Type="http://schemas.openxmlformats.org/officeDocument/2006/relationships/hyperlink" Target="https://drive.google.com/file/d/18o5YciRc3XwGBMsT23zmAtL066lJLmY4/view?usp=drivesdk" TargetMode="External"/><Relationship Id="rId5083" Type="http://schemas.openxmlformats.org/officeDocument/2006/relationships/hyperlink" Target="https://drive.google.com/file/d/184EFy1uClwG3Crn-kkbDE7PoMo7udvBE/view?usp=drivesdk" TargetMode="External"/><Relationship Id="rId5080" Type="http://schemas.openxmlformats.org/officeDocument/2006/relationships/hyperlink" Target="https://drive.google.com/file/d/1C-5aivQxNFhzDN5BvWr4N8Nwf6oEQUcd/view?usp=drivesdk" TargetMode="External"/><Relationship Id="rId5081" Type="http://schemas.openxmlformats.org/officeDocument/2006/relationships/hyperlink" Target="https://drive.google.com/file/d/1uveVAFTEdl6-AqA8rl6nYWw-xz-32NXR/view?usp=drivesdk" TargetMode="External"/><Relationship Id="rId5086" Type="http://schemas.openxmlformats.org/officeDocument/2006/relationships/hyperlink" Target="https://drive.google.com/file/d/1aGrkjEkqdlnjd5g7sdafrIXrVDFk3NHA/view?usp=drivesdk" TargetMode="External"/><Relationship Id="rId5087" Type="http://schemas.openxmlformats.org/officeDocument/2006/relationships/hyperlink" Target="https://drive.google.com/file/d/1JR5oht_RSD17vEIgZ_toj2ARIg7iYJHo/view?usp=drivesdk" TargetMode="External"/><Relationship Id="rId5084" Type="http://schemas.openxmlformats.org/officeDocument/2006/relationships/hyperlink" Target="https://drive.google.com/file/d/1k5-C5cCfhC2Ej9qtYUZzZMnP8jNnJFiF/view?usp=drivesdk" TargetMode="External"/><Relationship Id="rId5085" Type="http://schemas.openxmlformats.org/officeDocument/2006/relationships/hyperlink" Target="https://drive.google.com/file/d/1jPA3b8zCqxy4LcGZnujpaY3bE-ukoxDG/view?usp=drivesdk" TargetMode="External"/><Relationship Id="rId5088" Type="http://schemas.openxmlformats.org/officeDocument/2006/relationships/hyperlink" Target="https://drive.google.com/file/d/19xnZKiVzNyICALxvRyUDC0ZN5hO3qJS-/view?usp=drivesdk" TargetMode="External"/><Relationship Id="rId5089" Type="http://schemas.openxmlformats.org/officeDocument/2006/relationships/hyperlink" Target="http://lamusiah.se" TargetMode="External"/><Relationship Id="rId6380" Type="http://schemas.openxmlformats.org/officeDocument/2006/relationships/hyperlink" Target="https://drive.google.com/file/d/1jHtGwDr2SYuAo0Hhyytl0cuOhUEH7m86/view?usp=drivesdk" TargetMode="External"/><Relationship Id="rId5050" Type="http://schemas.openxmlformats.org/officeDocument/2006/relationships/hyperlink" Target="https://drive.google.com/file/d/11ZCSAbhf3ZuTJBRHqTKc4rh_DBpYNRVk/view?usp=drivesdk" TargetMode="External"/><Relationship Id="rId6381" Type="http://schemas.openxmlformats.org/officeDocument/2006/relationships/hyperlink" Target="https://drive.google.com/file/d/13UsiO1aeJH1kxnI1i8a6PdY1nD-ImegY/view?usp=drivesdk" TargetMode="External"/><Relationship Id="rId5053" Type="http://schemas.openxmlformats.org/officeDocument/2006/relationships/hyperlink" Target="https://drive.google.com/file/d/1RLsOA0_x6hS7Di_PvUY3hrOd-1P6CPTp/view?usp=drivesdk" TargetMode="External"/><Relationship Id="rId6384" Type="http://schemas.openxmlformats.org/officeDocument/2006/relationships/hyperlink" Target="https://drive.google.com/file/d/1zTiF9kjwtvXUAL4w6LLZHlMYyx9BEQJz/view?usp=drivesdk" TargetMode="External"/><Relationship Id="rId5054" Type="http://schemas.openxmlformats.org/officeDocument/2006/relationships/hyperlink" Target="https://drive.google.com/file/d/1dqqquPUMIgnHxWts4PdDQqGmZjP0M45T/view?usp=drivesdk" TargetMode="External"/><Relationship Id="rId6385" Type="http://schemas.openxmlformats.org/officeDocument/2006/relationships/hyperlink" Target="https://drive.google.com/file/d/1lFVf_o6QoZXj4VOKsBhc3biadG6e93RV/view?usp=drivesdk" TargetMode="External"/><Relationship Id="rId5051" Type="http://schemas.openxmlformats.org/officeDocument/2006/relationships/hyperlink" Target="https://drive.google.com/file/d/1-6qOtj7xWzK6eOBycBascZK9MMYyK_XW/view?usp=drivesdk" TargetMode="External"/><Relationship Id="rId6382" Type="http://schemas.openxmlformats.org/officeDocument/2006/relationships/hyperlink" Target="https://drive.google.com/file/d/1kOaphcHZvGnP-nAIszvK4L2s8xoCeTPb/view?usp=drivesdk" TargetMode="External"/><Relationship Id="rId5052" Type="http://schemas.openxmlformats.org/officeDocument/2006/relationships/hyperlink" Target="https://drive.google.com/file/d/12BxuWjjp-WJDlgegUjQgAqKRCyULizlT/view?usp=drivesdk" TargetMode="External"/><Relationship Id="rId6383" Type="http://schemas.openxmlformats.org/officeDocument/2006/relationships/hyperlink" Target="https://drive.google.com/file/d/1Ren6EJbCwJc9KOJwqsRMVoWDt9FodBJd/view?usp=drivesdk" TargetMode="External"/><Relationship Id="rId5057" Type="http://schemas.openxmlformats.org/officeDocument/2006/relationships/hyperlink" Target="https://drive.google.com/file/d/1LNfFKtuiDvcL-0n1EexIqLZ6FgGvreoE/view?usp=drivesdk" TargetMode="External"/><Relationship Id="rId6388" Type="http://schemas.openxmlformats.org/officeDocument/2006/relationships/hyperlink" Target="https://drive.google.com/file/d/1a1UizuzcR1Odv6hOh6s_Cu6xks-EgjAK/view?usp=drivesdk" TargetMode="External"/><Relationship Id="rId5058" Type="http://schemas.openxmlformats.org/officeDocument/2006/relationships/hyperlink" Target="https://drive.google.com/file/d/18aH-Y_IuxLaG6Nf4ibBxUZHJXGNBK9BV/view?usp=drivesdk" TargetMode="External"/><Relationship Id="rId6389" Type="http://schemas.openxmlformats.org/officeDocument/2006/relationships/hyperlink" Target="https://drive.google.com/file/d/1v9Q8KkEYBtUOkcJc6e9IuYeiGyToUsRD/view?usp=drivesdk" TargetMode="External"/><Relationship Id="rId5055" Type="http://schemas.openxmlformats.org/officeDocument/2006/relationships/hyperlink" Target="https://drive.google.com/file/d/13Wn2MUvP9u1KQMpthxewPVfxuguuyvvz/view?usp=drivesdk" TargetMode="External"/><Relationship Id="rId6386" Type="http://schemas.openxmlformats.org/officeDocument/2006/relationships/hyperlink" Target="https://drive.google.com/file/d/1xRQbLwsem3XzdNbRp_wA9FCXw78LNi-1/view?usp=drivesdk" TargetMode="External"/><Relationship Id="rId5056" Type="http://schemas.openxmlformats.org/officeDocument/2006/relationships/hyperlink" Target="https://drive.google.com/file/d/1h_qTde4IJL_qE33HfV5hn3Gbba_eup9C/view?usp=drivesdk" TargetMode="External"/><Relationship Id="rId6387" Type="http://schemas.openxmlformats.org/officeDocument/2006/relationships/hyperlink" Target="https://drive.google.com/file/d/1dFI5AIHaTZJx4WtFx-5EHJC73NNm-8Uy/view?usp=drivesdk" TargetMode="External"/><Relationship Id="rId5059" Type="http://schemas.openxmlformats.org/officeDocument/2006/relationships/hyperlink" Target="https://drive.google.com/file/d/1_jszj1p1wGIo93Xt7KKCvvwGvL-Nn0ME/view?usp=drivesdk" TargetMode="External"/><Relationship Id="rId6370" Type="http://schemas.openxmlformats.org/officeDocument/2006/relationships/hyperlink" Target="https://drive.google.com/file/d/1HHDKEKZfdXaLdVAWdjcxSJ0cCm6Ey3W5/view?usp=drivesdk" TargetMode="External"/><Relationship Id="rId5042" Type="http://schemas.openxmlformats.org/officeDocument/2006/relationships/hyperlink" Target="https://drive.google.com/file/d/1lgkZvew9omUF1ObmviX3jEDhQHNzsIC-/view?usp=drivesdk" TargetMode="External"/><Relationship Id="rId6373" Type="http://schemas.openxmlformats.org/officeDocument/2006/relationships/hyperlink" Target="https://drive.google.com/file/d/1FA5OoBrFcqSYII9KlTcq6eVNgoH2JiYg/view?usp=drivesdk" TargetMode="External"/><Relationship Id="rId5043" Type="http://schemas.openxmlformats.org/officeDocument/2006/relationships/hyperlink" Target="https://drive.google.com/file/d/1KaYhqd5SXHXeFajriCjSeaRaBywvvKqW/view?usp=drivesdk" TargetMode="External"/><Relationship Id="rId6374" Type="http://schemas.openxmlformats.org/officeDocument/2006/relationships/hyperlink" Target="https://drive.google.com/file/d/1nTQi9QMpZeJnayHSklMsSboLlaPxnLe7/view?usp=drivesdk" TargetMode="External"/><Relationship Id="rId5040" Type="http://schemas.openxmlformats.org/officeDocument/2006/relationships/hyperlink" Target="https://drive.google.com/file/d/14c80lc0Y09MohP7s9jVEU1RymInHofkp/view?usp=drivesdk" TargetMode="External"/><Relationship Id="rId6371" Type="http://schemas.openxmlformats.org/officeDocument/2006/relationships/hyperlink" Target="https://drive.google.com/file/d/1pgKhopDnsBMX6IcRAazG14CUGKTGeFRn/view?usp=drivesdk" TargetMode="External"/><Relationship Id="rId5041" Type="http://schemas.openxmlformats.org/officeDocument/2006/relationships/hyperlink" Target="https://drive.google.com/file/d/1IKBzfPJMt15_UCISsM-0YUPB_0IDikpa/view?usp=drivesdk" TargetMode="External"/><Relationship Id="rId6372" Type="http://schemas.openxmlformats.org/officeDocument/2006/relationships/hyperlink" Target="https://drive.google.com/file/d/1_yBh7WxrYv1KTXqiXHcQD1nuPbgS6eqZ/view?usp=drivesdk" TargetMode="External"/><Relationship Id="rId5046" Type="http://schemas.openxmlformats.org/officeDocument/2006/relationships/hyperlink" Target="https://drive.google.com/file/d/1vk_9dwoxRTLetckGUVY7-4p8GlcckOUB/view?usp=drivesdk" TargetMode="External"/><Relationship Id="rId6377" Type="http://schemas.openxmlformats.org/officeDocument/2006/relationships/hyperlink" Target="https://drive.google.com/file/d/1zLOvJDpQ7AReXWA2U7EoAdub9qE9F7yB/view?usp=drivesdk" TargetMode="External"/><Relationship Id="rId5047" Type="http://schemas.openxmlformats.org/officeDocument/2006/relationships/hyperlink" Target="https://drive.google.com/file/d/1TZGyBGBIM6IiU1xPpAobETodyLkf-2uJ/view?usp=drivesdk" TargetMode="External"/><Relationship Id="rId6378" Type="http://schemas.openxmlformats.org/officeDocument/2006/relationships/hyperlink" Target="https://drive.google.com/file/d/1rvhFDf2Shm7Usp0Jtgi3HEOMAOOfQhGI/view?usp=drivesdk" TargetMode="External"/><Relationship Id="rId5044" Type="http://schemas.openxmlformats.org/officeDocument/2006/relationships/hyperlink" Target="https://drive.google.com/file/d/1qsUhIra17UticZrqR0Ipnty5CzNXlDgS/view?usp=drivesdk" TargetMode="External"/><Relationship Id="rId6375" Type="http://schemas.openxmlformats.org/officeDocument/2006/relationships/hyperlink" Target="https://drive.google.com/file/d/1OYGC4NfNlp_F2gzv4rR19TzRrXkNjl8j/view?usp=drivesdk" TargetMode="External"/><Relationship Id="rId5045" Type="http://schemas.openxmlformats.org/officeDocument/2006/relationships/hyperlink" Target="https://drive.google.com/file/d/1Wncy-dG2tGrPRXL4sorqPgtUff847TLU/view?usp=drivesdk" TargetMode="External"/><Relationship Id="rId6376" Type="http://schemas.openxmlformats.org/officeDocument/2006/relationships/hyperlink" Target="https://drive.google.com/file/d/1pFQ8L0x8a5cevvRnFqmqpX4A3iyA7Auk/view?usp=drivesdk" TargetMode="External"/><Relationship Id="rId5048" Type="http://schemas.openxmlformats.org/officeDocument/2006/relationships/hyperlink" Target="https://drive.google.com/file/d/1R3sHoFMeKfw_krCaKYg4j8oZUYolh2Tr/view?usp=drivesdk" TargetMode="External"/><Relationship Id="rId6379" Type="http://schemas.openxmlformats.org/officeDocument/2006/relationships/hyperlink" Target="https://drive.google.com/file/d/1t4QSHMFHQLHOKY0FZSOinvBKo0j3S3CR/view?usp=drivesdk" TargetMode="External"/><Relationship Id="rId5049" Type="http://schemas.openxmlformats.org/officeDocument/2006/relationships/hyperlink" Target="https://drive.google.com/file/d/16f2xjMuAf6kImgRr31WM6u-b0OCgjFdX/view?usp=drivesdk" TargetMode="External"/><Relationship Id="rId5071" Type="http://schemas.openxmlformats.org/officeDocument/2006/relationships/hyperlink" Target="https://drive.google.com/file/d/1zYo3iOLlHEI9IvcrVFdDbcW4n2llIIOQ/view?usp=drivesdk" TargetMode="External"/><Relationship Id="rId5072" Type="http://schemas.openxmlformats.org/officeDocument/2006/relationships/hyperlink" Target="https://drive.google.com/file/d/1hYGqTuTq7TiepmD9MeAHAKuCXpMNibkl/view?usp=drivesdk" TargetMode="External"/><Relationship Id="rId5070" Type="http://schemas.openxmlformats.org/officeDocument/2006/relationships/hyperlink" Target="https://drive.google.com/file/d/19DLHzcqJbt1fPJF1JY4DlNFSERNxij5l/view?usp=drivesdk" TargetMode="External"/><Relationship Id="rId5075" Type="http://schemas.openxmlformats.org/officeDocument/2006/relationships/hyperlink" Target="https://drive.google.com/file/d/1V9xaCN3D5ch0xifKsF7ItMsewvqg59oE/view?usp=drivesdk" TargetMode="External"/><Relationship Id="rId5076" Type="http://schemas.openxmlformats.org/officeDocument/2006/relationships/hyperlink" Target="https://drive.google.com/file/d/1eDBK-sA0fW_C0w2Dd5XVPQuazWWeO63d/view?usp=drivesdk" TargetMode="External"/><Relationship Id="rId5073" Type="http://schemas.openxmlformats.org/officeDocument/2006/relationships/hyperlink" Target="https://drive.google.com/file/d/1T67XzK1lZZNgeFh6fH723SCk169SgD9V/view?usp=drivesdk" TargetMode="External"/><Relationship Id="rId5074" Type="http://schemas.openxmlformats.org/officeDocument/2006/relationships/hyperlink" Target="https://drive.google.com/file/d/1eU-QD_QxGgNdtIrrXNatshwyKBvHQzRe/view?usp=drivesdk" TargetMode="External"/><Relationship Id="rId5079" Type="http://schemas.openxmlformats.org/officeDocument/2006/relationships/hyperlink" Target="https://drive.google.com/file/d/1lxmLw6jqJVfYrnSiJU0m0w_jVa1bFeEK/view?usp=drivesdk" TargetMode="External"/><Relationship Id="rId5077" Type="http://schemas.openxmlformats.org/officeDocument/2006/relationships/hyperlink" Target="https://drive.google.com/file/d/1Zyb80k4bPFlscDzsSG6IOXG7DXjLPYxs/view?usp=drivesdk" TargetMode="External"/><Relationship Id="rId5078" Type="http://schemas.openxmlformats.org/officeDocument/2006/relationships/hyperlink" Target="https://drive.google.com/file/d/1YUtumM4ggNL8C8ZrbbqAvMAgXA_hWhrX/view?usp=drivesdk" TargetMode="External"/><Relationship Id="rId5060" Type="http://schemas.openxmlformats.org/officeDocument/2006/relationships/hyperlink" Target="https://drive.google.com/file/d/1ibIwMTqllj5dNeuePV4-jCRDUZP6lQAQ/view?usp=drivesdk" TargetMode="External"/><Relationship Id="rId6391" Type="http://schemas.openxmlformats.org/officeDocument/2006/relationships/hyperlink" Target="https://drive.google.com/file/d/1YEWJUkUI2JjrmXcADshFdNGLc_WDECu3/view?usp=drivesdk" TargetMode="External"/><Relationship Id="rId5061" Type="http://schemas.openxmlformats.org/officeDocument/2006/relationships/hyperlink" Target="https://drive.google.com/file/d/1GqngVJXjWlIu3PR9l_AdnqeGRW0E7XzZ/view?usp=drivesdk" TargetMode="External"/><Relationship Id="rId6392" Type="http://schemas.openxmlformats.org/officeDocument/2006/relationships/hyperlink" Target="https://drive.google.com/file/d/1O_Vdw1vXM-atj2cYQuhyD5QOc6sQp07T/view?usp=drivesdk" TargetMode="External"/><Relationship Id="rId6390" Type="http://schemas.openxmlformats.org/officeDocument/2006/relationships/hyperlink" Target="https://drive.google.com/file/d/1tx3xh6lp3bYAlB8M3vJfhXhlckyCzT8X/view?usp=drivesdk" TargetMode="External"/><Relationship Id="rId5064" Type="http://schemas.openxmlformats.org/officeDocument/2006/relationships/hyperlink" Target="https://drive.google.com/file/d/1OnJ9qYDYEKfSBcxGVYNQE8BKROFiIgZP/view?usp=drivesdk" TargetMode="External"/><Relationship Id="rId6395" Type="http://schemas.openxmlformats.org/officeDocument/2006/relationships/hyperlink" Target="https://drive.google.com/file/d/1q4FB9Jnn2YZa-UE-6KhHGqXjOPeBE58w/view?usp=drivesdk" TargetMode="External"/><Relationship Id="rId5065" Type="http://schemas.openxmlformats.org/officeDocument/2006/relationships/hyperlink" Target="https://drive.google.com/file/d/1D1qIVaJXAb6hEtkETfRuJyZkVmdalvSB/view?usp=drivesdk" TargetMode="External"/><Relationship Id="rId6396" Type="http://schemas.openxmlformats.org/officeDocument/2006/relationships/hyperlink" Target="https://drive.google.com/file/d/14gdAijiUv-vUshbrnm11ImuU09EB6laS/view?usp=drivesdk" TargetMode="External"/><Relationship Id="rId5062" Type="http://schemas.openxmlformats.org/officeDocument/2006/relationships/hyperlink" Target="https://drive.google.com/file/d/1RWH9MmzkxOeFqs6UWiOyz4YjkDxdVj_D/view?usp=drivesdk" TargetMode="External"/><Relationship Id="rId6393" Type="http://schemas.openxmlformats.org/officeDocument/2006/relationships/hyperlink" Target="https://drive.google.com/file/d/18eRSwFvaMWo2RAm5jZHLk9Geo-DbZAme/view?usp=drivesdk" TargetMode="External"/><Relationship Id="rId5063" Type="http://schemas.openxmlformats.org/officeDocument/2006/relationships/hyperlink" Target="https://drive.google.com/file/d/1pjTKzUUS1MONtLR_JWdFEQmxdcVRFKKZ/view?usp=drivesdk" TargetMode="External"/><Relationship Id="rId6394" Type="http://schemas.openxmlformats.org/officeDocument/2006/relationships/hyperlink" Target="https://drive.google.com/file/d/1t9zOBsUAFHWMWGSO5ZWfW7MiI-14uwFN/view?usp=drivesdk" TargetMode="External"/><Relationship Id="rId5068" Type="http://schemas.openxmlformats.org/officeDocument/2006/relationships/hyperlink" Target="https://drive.google.com/file/d/1FZMibS8jav004pZtPyBV5O8Tw1wRMYnc/view?usp=drivesdk" TargetMode="External"/><Relationship Id="rId6399" Type="http://schemas.openxmlformats.org/officeDocument/2006/relationships/hyperlink" Target="https://drive.google.com/file/d/1-_96TGtfFfwBWhhFTCaJHBfgwz2MDGc_/view?usp=drivesdk" TargetMode="External"/><Relationship Id="rId5069" Type="http://schemas.openxmlformats.org/officeDocument/2006/relationships/hyperlink" Target="https://drive.google.com/file/d/1ixoKDJvsMce3YH3d6YqPAxmU8w__GK_e/view?usp=drivesdk" TargetMode="External"/><Relationship Id="rId5066" Type="http://schemas.openxmlformats.org/officeDocument/2006/relationships/hyperlink" Target="https://drive.google.com/file/d/10j1bYK9aSW2Wl7RtrfDqhWP9tosWr-SV/view?usp=drivesdk" TargetMode="External"/><Relationship Id="rId6397" Type="http://schemas.openxmlformats.org/officeDocument/2006/relationships/hyperlink" Target="https://drive.google.com/file/d/1qPezSDT2iFVIcwDE96tqYqhkbykTGs_w/view?usp=drivesdk" TargetMode="External"/><Relationship Id="rId5067" Type="http://schemas.openxmlformats.org/officeDocument/2006/relationships/hyperlink" Target="https://drive.google.com/file/d/136-Xmio8IgN936wqeJDmpKYbUF6sk1J9/view?usp=drivesdk" TargetMode="External"/><Relationship Id="rId6398" Type="http://schemas.openxmlformats.org/officeDocument/2006/relationships/hyperlink" Target="https://drive.google.com/file/d/1JBQETGfCxzbcKjm2WOq199lZ6bxbW2XP/view?usp=drivesdk" TargetMode="External"/><Relationship Id="rId987" Type="http://schemas.openxmlformats.org/officeDocument/2006/relationships/hyperlink" Target="https://drive.google.com/file/d/1H2azsoYcp-akyxxC9b_iOkmmBiDkcsBH/view?usp=drivesdk" TargetMode="External"/><Relationship Id="rId986" Type="http://schemas.openxmlformats.org/officeDocument/2006/relationships/hyperlink" Target="https://drive.google.com/file/d/151qEhwuq_ewwE-_pE9-gdTIl79_uV2ph/view?usp=drivesdk" TargetMode="External"/><Relationship Id="rId985" Type="http://schemas.openxmlformats.org/officeDocument/2006/relationships/hyperlink" Target="https://drive.google.com/file/d/1K2O8kaDj7aIyRQqZVxIl8h7Z8q5EDZZ3/view?usp=drivesdk" TargetMode="External"/><Relationship Id="rId984" Type="http://schemas.openxmlformats.org/officeDocument/2006/relationships/hyperlink" Target="https://drive.google.com/file/d/11ZD3qJO_sF2SxNqVRv7rPsFoRMgwxr3z/view?usp=drivesdk" TargetMode="External"/><Relationship Id="rId989" Type="http://schemas.openxmlformats.org/officeDocument/2006/relationships/hyperlink" Target="https://drive.google.com/file/d/1bKoF6EiQb6R89HugJX0N22xLYgFxSAq3/view?usp=drivesdk" TargetMode="External"/><Relationship Id="rId988" Type="http://schemas.openxmlformats.org/officeDocument/2006/relationships/hyperlink" Target="https://drive.google.com/file/d/1NoRqN5WoqZT_D8uUXjOr1yK3jyWJdN0d/view?usp=drivesdk" TargetMode="External"/><Relationship Id="rId983" Type="http://schemas.openxmlformats.org/officeDocument/2006/relationships/hyperlink" Target="https://drive.google.com/file/d/1XRHm_URgZkWvShvyfxQcqg10ZafmIa7M/view?usp=drivesdk" TargetMode="External"/><Relationship Id="rId982" Type="http://schemas.openxmlformats.org/officeDocument/2006/relationships/hyperlink" Target="https://drive.google.com/file/d/1bvkT6nKASRkOC9B13tNWEQiKWn2FWD42/view?usp=drivesdk" TargetMode="External"/><Relationship Id="rId981" Type="http://schemas.openxmlformats.org/officeDocument/2006/relationships/hyperlink" Target="https://drive.google.com/file/d/14P66ep4sk8f8Mvn7LWiy98lob6mkQbSE/view?usp=drivesdk" TargetMode="External"/><Relationship Id="rId980" Type="http://schemas.openxmlformats.org/officeDocument/2006/relationships/hyperlink" Target="https://drive.google.com/file/d/1UcuUEOeeVa9tAx3PA9GLOm04YelLJnJc/view?usp=drivesdk" TargetMode="External"/><Relationship Id="rId976" Type="http://schemas.openxmlformats.org/officeDocument/2006/relationships/hyperlink" Target="https://drive.google.com/file/d/1L4kpdPxHTzPzvwFnH97b_j6aH8V9STKi/view?usp=drivesdk" TargetMode="External"/><Relationship Id="rId975" Type="http://schemas.openxmlformats.org/officeDocument/2006/relationships/hyperlink" Target="https://drive.google.com/file/d/1rsONLcm1g2-c1Fxozmc-L-fQ9B4z9NWR/view?usp=drivesdk" TargetMode="External"/><Relationship Id="rId974" Type="http://schemas.openxmlformats.org/officeDocument/2006/relationships/hyperlink" Target="https://drive.google.com/file/d/1akEGn4_MGyJu8oyS5hrdaDhpd-a69x5C/view?usp=drivesdk" TargetMode="External"/><Relationship Id="rId973" Type="http://schemas.openxmlformats.org/officeDocument/2006/relationships/hyperlink" Target="https://drive.google.com/file/d/1HFqlxtBHtTcJY7IrQzjEKAg9dKCb8hpm/view?usp=drivesdk" TargetMode="External"/><Relationship Id="rId979" Type="http://schemas.openxmlformats.org/officeDocument/2006/relationships/hyperlink" Target="https://drive.google.com/file/d/1HP15wWRa9BwncVqTvDYztlTVg6lsj4-T/view?usp=drivesdk" TargetMode="External"/><Relationship Id="rId978" Type="http://schemas.openxmlformats.org/officeDocument/2006/relationships/hyperlink" Target="https://drive.google.com/file/d/1YfCi5qAsfozcQ4roFEgm3UO2BDI5GInw/view?usp=drivesdk" TargetMode="External"/><Relationship Id="rId977" Type="http://schemas.openxmlformats.org/officeDocument/2006/relationships/hyperlink" Target="https://drive.google.com/file/d/1PUdswe9-fqLytxo9Ky84-Sx7U4VYPH4k/view?usp=drivesdk" TargetMode="External"/><Relationship Id="rId972" Type="http://schemas.openxmlformats.org/officeDocument/2006/relationships/hyperlink" Target="https://drive.google.com/file/d/1uZGU59Ezn-8zoXVwZIvHB7xMIuL8wI11/view?usp=drivesdk" TargetMode="External"/><Relationship Id="rId971" Type="http://schemas.openxmlformats.org/officeDocument/2006/relationships/hyperlink" Target="https://drive.google.com/file/d/1kk3e8v0qsx0IobJ43OIOp42gSSVx28rI/view?usp=drivesdk" TargetMode="External"/><Relationship Id="rId970" Type="http://schemas.openxmlformats.org/officeDocument/2006/relationships/hyperlink" Target="https://drive.google.com/file/d/1JHsDO5HeuHgeM8WMpunMm09rOKEgkWG3/view?usp=drivesdk" TargetMode="External"/><Relationship Id="rId998" Type="http://schemas.openxmlformats.org/officeDocument/2006/relationships/hyperlink" Target="https://drive.google.com/file/d/1W_f_JIAb5qmhG7QoGl92aQ3yoJ-js2PR/view?usp=drivesdk" TargetMode="External"/><Relationship Id="rId997" Type="http://schemas.openxmlformats.org/officeDocument/2006/relationships/hyperlink" Target="https://drive.google.com/file/d/1oXSNaSTwk5GOuOkWlX_Qt_PxovqWyXzX/view?usp=drivesdk" TargetMode="External"/><Relationship Id="rId996" Type="http://schemas.openxmlformats.org/officeDocument/2006/relationships/hyperlink" Target="https://drive.google.com/file/d/18x_l3hhgWujXZ45wIpBf3Ur-TywIoK8W/view?usp=drivesdk" TargetMode="External"/><Relationship Id="rId995" Type="http://schemas.openxmlformats.org/officeDocument/2006/relationships/hyperlink" Target="https://drive.google.com/file/d/17EkNjJ3XUeo7CBsn7CcyWfkTI9_jXicI/view?usp=drivesdk" TargetMode="External"/><Relationship Id="rId999" Type="http://schemas.openxmlformats.org/officeDocument/2006/relationships/hyperlink" Target="https://drive.google.com/file/d/1EA1AnCtIYFgCchLdneob9xWql1mKhIkA/view?usp=drivesdk" TargetMode="External"/><Relationship Id="rId990" Type="http://schemas.openxmlformats.org/officeDocument/2006/relationships/hyperlink" Target="https://drive.google.com/file/d/1inOrC5Sj0Vh_cYLwF00LWMjWvKVqWFuC/view?usp=drivesdk" TargetMode="External"/><Relationship Id="rId994" Type="http://schemas.openxmlformats.org/officeDocument/2006/relationships/hyperlink" Target="https://drive.google.com/file/d/1V9l9R8VaLqAO18AOj8Ki68QFhvWVlfPu/view?usp=drivesdk" TargetMode="External"/><Relationship Id="rId993" Type="http://schemas.openxmlformats.org/officeDocument/2006/relationships/hyperlink" Target="https://drive.google.com/file/d/1HtCioMuCFjBUGlbBwaX4T9Ci5zymzi8M/view?usp=drivesdk" TargetMode="External"/><Relationship Id="rId992" Type="http://schemas.openxmlformats.org/officeDocument/2006/relationships/hyperlink" Target="https://drive.google.com/file/d/1RMf7e01_1GsyXKrSqNx9vV9X9MvdzeEN/view?usp=drivesdk" TargetMode="External"/><Relationship Id="rId991" Type="http://schemas.openxmlformats.org/officeDocument/2006/relationships/hyperlink" Target="https://drive.google.com/file/d/1Z-pkuPosU5V_eopUphLWtwuf4UhZpTDN/view?usp=drivesdk" TargetMode="External"/><Relationship Id="rId949" Type="http://schemas.openxmlformats.org/officeDocument/2006/relationships/hyperlink" Target="https://drive.google.com/file/d/1AnJ2XLAf-nFlS-w0iAolp2kgH5XVp3o3/view?usp=drivesdk" TargetMode="External"/><Relationship Id="rId948" Type="http://schemas.openxmlformats.org/officeDocument/2006/relationships/hyperlink" Target="https://drive.google.com/file/d/1gvHki0AGBeoWwPgIzl9o0mTXC47nJaSk/view?usp=drivesdk" TargetMode="External"/><Relationship Id="rId943" Type="http://schemas.openxmlformats.org/officeDocument/2006/relationships/hyperlink" Target="https://drive.google.com/file/d/1cBUbC2OpWbC825WibvT6fsLkzTrEudVo/view?usp=drivesdk" TargetMode="External"/><Relationship Id="rId942" Type="http://schemas.openxmlformats.org/officeDocument/2006/relationships/hyperlink" Target="https://drive.google.com/file/d/1jM4F0BEUzsC-oZvsfhAXWS1YEUT5XAl_/view?usp=drivesdk" TargetMode="External"/><Relationship Id="rId941" Type="http://schemas.openxmlformats.org/officeDocument/2006/relationships/hyperlink" Target="https://drive.google.com/file/d/1vHKLQXgMClug7apc4hjXOf_wLekxHSLq/view?usp=drivesdk" TargetMode="External"/><Relationship Id="rId940" Type="http://schemas.openxmlformats.org/officeDocument/2006/relationships/hyperlink" Target="https://drive.google.com/file/d/1Oj65bTaJzVnaVZD1eci6OJjwqxR-aLdd/view?usp=drivesdk" TargetMode="External"/><Relationship Id="rId947" Type="http://schemas.openxmlformats.org/officeDocument/2006/relationships/hyperlink" Target="https://drive.google.com/file/d/1SdVho11cgZKJwIlFpgFsrnDEFvDl30uR/view?usp=drivesdk" TargetMode="External"/><Relationship Id="rId946" Type="http://schemas.openxmlformats.org/officeDocument/2006/relationships/hyperlink" Target="https://drive.google.com/file/d/1cjuWkTJ3Tx1mxfFiFdK-WrmyQldo6PrJ/view?usp=drivesdk" TargetMode="External"/><Relationship Id="rId945" Type="http://schemas.openxmlformats.org/officeDocument/2006/relationships/hyperlink" Target="https://drive.google.com/file/d/1-ryBt8UaD3IAU9LbEDmHUmfcH6UJUiWf/view?usp=drivesdk" TargetMode="External"/><Relationship Id="rId944" Type="http://schemas.openxmlformats.org/officeDocument/2006/relationships/hyperlink" Target="https://drive.google.com/file/d/1cCuLAPDDbuxawYgX0oDg5thr7tcTaKNN/view?usp=drivesdk" TargetMode="External"/><Relationship Id="rId939" Type="http://schemas.openxmlformats.org/officeDocument/2006/relationships/hyperlink" Target="https://drive.google.com/file/d/12ANE8Wd41kGQ_HfQMicvzW3Yq-o73IRC/view?usp=drivesdk" TargetMode="External"/><Relationship Id="rId938" Type="http://schemas.openxmlformats.org/officeDocument/2006/relationships/hyperlink" Target="https://drive.google.com/file/d/1iNKMUfgsTm6-h3GaSRQBrNtxum1fAV3a/view?usp=drivesdk" TargetMode="External"/><Relationship Id="rId937" Type="http://schemas.openxmlformats.org/officeDocument/2006/relationships/hyperlink" Target="https://drive.google.com/file/d/1jEz7gXmkKR1Ps7do2bcZrz4j6sjKGOz_/view?usp=drivesdk" TargetMode="External"/><Relationship Id="rId932" Type="http://schemas.openxmlformats.org/officeDocument/2006/relationships/hyperlink" Target="https://drive.google.com/file/d/1BwJ1WxCO1M_XtECTkVvwMrdIvXtXQk3d/view?usp=drivesdk" TargetMode="External"/><Relationship Id="rId931" Type="http://schemas.openxmlformats.org/officeDocument/2006/relationships/hyperlink" Target="https://drive.google.com/file/d/1jyejhHAoJZHZ8BLJW34_szuqVr-YPJPg/view?usp=drivesdk" TargetMode="External"/><Relationship Id="rId930" Type="http://schemas.openxmlformats.org/officeDocument/2006/relationships/hyperlink" Target="https://drive.google.com/file/d/107sO2icZZQ13PgJwA02oKAeh7Yj4a7PV/view?usp=drivesdk" TargetMode="External"/><Relationship Id="rId936" Type="http://schemas.openxmlformats.org/officeDocument/2006/relationships/hyperlink" Target="https://drive.google.com/file/d/18Thf69gUWPLPoE0ZEc_bKOOtqPUSS7-u/view?usp=drivesdk" TargetMode="External"/><Relationship Id="rId935" Type="http://schemas.openxmlformats.org/officeDocument/2006/relationships/hyperlink" Target="https://drive.google.com/file/d/1F6lwaGehF5Yao4ecvFsAl3qqMn18IoY_/view?usp=drivesdk" TargetMode="External"/><Relationship Id="rId934" Type="http://schemas.openxmlformats.org/officeDocument/2006/relationships/hyperlink" Target="https://drive.google.com/file/d/1cY57meBmCOb88GsryCD48IFZmiHH7Jem/view?usp=drivesdk" TargetMode="External"/><Relationship Id="rId933" Type="http://schemas.openxmlformats.org/officeDocument/2006/relationships/hyperlink" Target="https://drive.google.com/file/d/1vBdccNoqcMrr0jn0uKKNXkr9eUyc9MGq/view?usp=drivesdk" TargetMode="External"/><Relationship Id="rId965" Type="http://schemas.openxmlformats.org/officeDocument/2006/relationships/hyperlink" Target="https://drive.google.com/file/d/1yc71fyGyTLyU25vOwvJafnjE43navuzH/view?usp=drivesdk" TargetMode="External"/><Relationship Id="rId964" Type="http://schemas.openxmlformats.org/officeDocument/2006/relationships/hyperlink" Target="https://drive.google.com/file/d/161mXZYBXPBrm1mzv2DNumaZUe5j0w1Kk/view?usp=drivesdk" TargetMode="External"/><Relationship Id="rId963" Type="http://schemas.openxmlformats.org/officeDocument/2006/relationships/hyperlink" Target="https://drive.google.com/file/d/1VvdL2336-tmWiOKPg2KDMrNYVP8lGfV1/view?usp=drivesdk" TargetMode="External"/><Relationship Id="rId962" Type="http://schemas.openxmlformats.org/officeDocument/2006/relationships/hyperlink" Target="https://drive.google.com/file/d/1cUL4zeZADZGl3cNNYatBlK3rZs2rxoPw/view?usp=drivesdk" TargetMode="External"/><Relationship Id="rId969" Type="http://schemas.openxmlformats.org/officeDocument/2006/relationships/hyperlink" Target="https://drive.google.com/file/d/1zGuy2pHk2qXkWBesZta4rCWgA6pwT7A1/view?usp=drivesdk" TargetMode="External"/><Relationship Id="rId968" Type="http://schemas.openxmlformats.org/officeDocument/2006/relationships/hyperlink" Target="https://drive.google.com/file/d/1OL9Ur7_gKnK609gTTPgoajtpZ-wI4Fie/view?usp=drivesdk" TargetMode="External"/><Relationship Id="rId967" Type="http://schemas.openxmlformats.org/officeDocument/2006/relationships/hyperlink" Target="https://drive.google.com/file/d/1da3JshW3582ul8jNQl9HId0tQe7TksZp/view?usp=drivesdk" TargetMode="External"/><Relationship Id="rId966" Type="http://schemas.openxmlformats.org/officeDocument/2006/relationships/hyperlink" Target="https://drive.google.com/file/d/1q2HhkJEBLqGjQc-UEnOBcKT-XnF4RMVl/view?usp=drivesdk" TargetMode="External"/><Relationship Id="rId961" Type="http://schemas.openxmlformats.org/officeDocument/2006/relationships/hyperlink" Target="https://drive.google.com/file/d/1IhL9mBY0-z5Y4Pt9AKaCSN4S0KGPq3R-/view?usp=drivesdk" TargetMode="External"/><Relationship Id="rId960" Type="http://schemas.openxmlformats.org/officeDocument/2006/relationships/hyperlink" Target="https://drive.google.com/file/d/1WiC51Cy8EwHrpKeyMYgh3KffR0Z8CuFz/view?usp=drivesdk" TargetMode="External"/><Relationship Id="rId959" Type="http://schemas.openxmlformats.org/officeDocument/2006/relationships/hyperlink" Target="https://drive.google.com/file/d/1Fy1UruuJsaWhv_l_J3UbgmBGkKQf4x4B/view?usp=drivesdk" TargetMode="External"/><Relationship Id="rId954" Type="http://schemas.openxmlformats.org/officeDocument/2006/relationships/hyperlink" Target="https://drive.google.com/file/d/1VeOD0wcXQr3ge2FD6TRyB9j7swUHofVH/view?usp=drivesdk" TargetMode="External"/><Relationship Id="rId953" Type="http://schemas.openxmlformats.org/officeDocument/2006/relationships/hyperlink" Target="https://drive.google.com/file/d/1bvHoKMPOdylwaA6FegHInxUgrSmfuBTQ/view?usp=drivesdk" TargetMode="External"/><Relationship Id="rId952" Type="http://schemas.openxmlformats.org/officeDocument/2006/relationships/hyperlink" Target="https://drive.google.com/file/d/1mx4VHScMwBJeeQ6q2TQBYWyJlCUFt70f/view?usp=drivesdk" TargetMode="External"/><Relationship Id="rId951" Type="http://schemas.openxmlformats.org/officeDocument/2006/relationships/hyperlink" Target="https://drive.google.com/file/d/1qcNVYuBll5zVxbBRm04S5M-pR-JhG_TJ/view?usp=drivesdk" TargetMode="External"/><Relationship Id="rId958" Type="http://schemas.openxmlformats.org/officeDocument/2006/relationships/hyperlink" Target="https://drive.google.com/file/d/1QljJfG27Xz__Wda8CzsE2iO3MjYjBpqL/view?usp=drivesdk" TargetMode="External"/><Relationship Id="rId957" Type="http://schemas.openxmlformats.org/officeDocument/2006/relationships/hyperlink" Target="https://drive.google.com/file/d/1BD1K_jyVyg_fkVUXt8pfsk0hMILyYP1t/view?usp=drivesdk" TargetMode="External"/><Relationship Id="rId956" Type="http://schemas.openxmlformats.org/officeDocument/2006/relationships/hyperlink" Target="https://drive.google.com/file/d/1NBBBLbv0mOgPWI2nn0VXqS8sMRbLt1lC/view?usp=drivesdk" TargetMode="External"/><Relationship Id="rId955" Type="http://schemas.openxmlformats.org/officeDocument/2006/relationships/hyperlink" Target="https://drive.google.com/file/d/1Eyo1jrPNdXppGV9L20bGT_s-KOj5B5ON/view?usp=drivesdk" TargetMode="External"/><Relationship Id="rId950" Type="http://schemas.openxmlformats.org/officeDocument/2006/relationships/hyperlink" Target="https://drive.google.com/file/d/1wGQdi5BzG8oabMrmr5yannwc2Qz4bDxT/view?usp=drivesdk" TargetMode="External"/><Relationship Id="rId7717" Type="http://schemas.openxmlformats.org/officeDocument/2006/relationships/hyperlink" Target="https://drive.google.com/file/d/1uPSgKxFu7mQp7xoaKQdwYzMLOpg7xZ2e/view?usp=drivesdk" TargetMode="External"/><Relationship Id="rId7716" Type="http://schemas.openxmlformats.org/officeDocument/2006/relationships/hyperlink" Target="https://drive.google.com/file/d/1q-p0_khPL9Ivq-h7qeQY4zON1oR8d6vG/view?usp=drivesdk" TargetMode="External"/><Relationship Id="rId7715" Type="http://schemas.openxmlformats.org/officeDocument/2006/relationships/hyperlink" Target="https://drive.google.com/file/d/14RC4bibYb6FF-4hUBdCwdGQOZf7drj3l/view?usp=drivesdk" TargetMode="External"/><Relationship Id="rId7714" Type="http://schemas.openxmlformats.org/officeDocument/2006/relationships/hyperlink" Target="https://drive.google.com/file/d/1GHRpCqWNloIqwUsSoWaj37BoIc_FJWJq/view?usp=drivesdk" TargetMode="External"/><Relationship Id="rId7719" Type="http://schemas.openxmlformats.org/officeDocument/2006/relationships/hyperlink" Target="https://drive.google.com/file/d/13zV07MxscWC0QCWtxcBnKm33uSPSz9RY/view?usp=drivesdk" TargetMode="External"/><Relationship Id="rId7718" Type="http://schemas.openxmlformats.org/officeDocument/2006/relationships/hyperlink" Target="https://drive.google.com/file/d/1XuOuk-MfyzaHOgbealp-C_hcyHZ0OT3j/view?usp=drivesdk" TargetMode="External"/><Relationship Id="rId7713" Type="http://schemas.openxmlformats.org/officeDocument/2006/relationships/hyperlink" Target="https://drive.google.com/file/d/1YenHhmZWk-haAcK499VyXUEw5RIABveO/view?usp=drivesdk" TargetMode="External"/><Relationship Id="rId7712" Type="http://schemas.openxmlformats.org/officeDocument/2006/relationships/hyperlink" Target="https://drive.google.com/file/d/1R38z4Dfci2LsZuwdM3zmk9773eSsqpyG/view?usp=drivesdk" TargetMode="External"/><Relationship Id="rId7711" Type="http://schemas.openxmlformats.org/officeDocument/2006/relationships/hyperlink" Target="https://drive.google.com/file/d/1dvU0ZSk9DRXE7bnNiu83OlFuDz9xQuQn/view?usp=drivesdk" TargetMode="External"/><Relationship Id="rId7710" Type="http://schemas.openxmlformats.org/officeDocument/2006/relationships/hyperlink" Target="https://drive.google.com/file/d/1OLUCJaLyuJUHB-Lm0memLsTOq3STD_Bv/view?usp=drivesdk" TargetMode="External"/><Relationship Id="rId7706" Type="http://schemas.openxmlformats.org/officeDocument/2006/relationships/hyperlink" Target="https://drive.google.com/file/d/11kJ0hw4686PIB9IPtwsq6IospXyC2u1V/view?usp=drivesdk" TargetMode="External"/><Relationship Id="rId7705" Type="http://schemas.openxmlformats.org/officeDocument/2006/relationships/hyperlink" Target="https://drive.google.com/file/d/1i0mLZegIlcYFyUrx0qSaa_1FRu6pWFrs/view?usp=drivesdk" TargetMode="External"/><Relationship Id="rId7704" Type="http://schemas.openxmlformats.org/officeDocument/2006/relationships/hyperlink" Target="https://drive.google.com/file/d/1EZb02hye0sY3RugK4sP7UTuUJrC0xWEL/view?usp=drivesdk" TargetMode="External"/><Relationship Id="rId7703" Type="http://schemas.openxmlformats.org/officeDocument/2006/relationships/hyperlink" Target="https://drive.google.com/file/d/1805FbzvEb8g4lw9bQnMI4FtTnxGafTUB/view?usp=drivesdk" TargetMode="External"/><Relationship Id="rId7709" Type="http://schemas.openxmlformats.org/officeDocument/2006/relationships/hyperlink" Target="https://drive.google.com/file/d/15scY8qPQzsGZgHuDtjK1b-FPtxS4eSBs/view?usp=drivesdk" TargetMode="External"/><Relationship Id="rId7708" Type="http://schemas.openxmlformats.org/officeDocument/2006/relationships/hyperlink" Target="https://drive.google.com/file/d/1yIqeWMR5dKQ1Cvzh50V0wWbBN4gI9S4N/view?usp=drivesdk" TargetMode="External"/><Relationship Id="rId7707" Type="http://schemas.openxmlformats.org/officeDocument/2006/relationships/hyperlink" Target="https://drive.google.com/file/d/1leT7ITpgLrmdFsGtfG1x_VbdBIJsSDfl/view?usp=drivesdk" TargetMode="External"/><Relationship Id="rId7702" Type="http://schemas.openxmlformats.org/officeDocument/2006/relationships/hyperlink" Target="https://drive.google.com/file/d/1oDWe_gULRiq0LNVf-h5lWfcb1L1MhSqj/view?usp=drivesdk" TargetMode="External"/><Relationship Id="rId7701" Type="http://schemas.openxmlformats.org/officeDocument/2006/relationships/hyperlink" Target="https://drive.google.com/file/d/1c8x2E8qGiEcLBNYk23PWnG2upG96aqKE/view?usp=drivesdk" TargetMode="External"/><Relationship Id="rId7700" Type="http://schemas.openxmlformats.org/officeDocument/2006/relationships/hyperlink" Target="https://drive.google.com/file/d/1QQKgJYoNLL-OYTPSyCBJXpuR56fTl0XV/view?usp=drivesdk" TargetMode="External"/><Relationship Id="rId6407" Type="http://schemas.openxmlformats.org/officeDocument/2006/relationships/hyperlink" Target="https://drive.google.com/file/d/1b9YAewE-yYDy1lOaPGlIbnEMKf8eMAzP/view?usp=drivesdk" TargetMode="External"/><Relationship Id="rId7739" Type="http://schemas.openxmlformats.org/officeDocument/2006/relationships/hyperlink" Target="https://drive.google.com/file/d/1WBNnSkNXuzTSItJIRws1jcM-hHICKSkL/view?usp=drivesdk" TargetMode="External"/><Relationship Id="rId6408" Type="http://schemas.openxmlformats.org/officeDocument/2006/relationships/hyperlink" Target="https://drive.google.com/file/d/1SY-NNfOBN_LeXjP13bTJIvVPqJ7P1O1P/view?usp=drivesdk" TargetMode="External"/><Relationship Id="rId7738" Type="http://schemas.openxmlformats.org/officeDocument/2006/relationships/hyperlink" Target="https://drive.google.com/file/d/1w-6wIvTNk6u229H4lsEPKb2NdPAvlKZU/view?usp=drivesdk" TargetMode="External"/><Relationship Id="rId6405" Type="http://schemas.openxmlformats.org/officeDocument/2006/relationships/hyperlink" Target="https://drive.google.com/file/d/1QHXUmWmWHhS0EqHQoe4XevJZjaa3MqzX/view?usp=drivesdk" TargetMode="External"/><Relationship Id="rId7737" Type="http://schemas.openxmlformats.org/officeDocument/2006/relationships/hyperlink" Target="https://drive.google.com/file/d/1myZNySwtZb1bXrGih1SESMZmYZK7Qvdc/view?usp=drivesdk" TargetMode="External"/><Relationship Id="rId6406" Type="http://schemas.openxmlformats.org/officeDocument/2006/relationships/hyperlink" Target="https://drive.google.com/file/d/1YVyZrp4O_RkmLs9RTRNy2nGhrLqu9sJ0/view?usp=drivesdk" TargetMode="External"/><Relationship Id="rId7736" Type="http://schemas.openxmlformats.org/officeDocument/2006/relationships/hyperlink" Target="https://drive.google.com/file/d/1MPbPQypfKZObDOBZ3QL2JfeE_MLaTxdL/view?usp=drivesdk" TargetMode="External"/><Relationship Id="rId6409" Type="http://schemas.openxmlformats.org/officeDocument/2006/relationships/hyperlink" Target="https://drive.google.com/file/d/1CMDHyPa-4Ug5mL0SFBBKMay1A70SkDPh/view?usp=drivesdk" TargetMode="External"/><Relationship Id="rId7731" Type="http://schemas.openxmlformats.org/officeDocument/2006/relationships/hyperlink" Target="https://drive.google.com/file/d/1uIWMUD3xVaAoY7jKmmLy_0ArsHIbM_pw/view?usp=drivesdk" TargetMode="External"/><Relationship Id="rId6400" Type="http://schemas.openxmlformats.org/officeDocument/2006/relationships/hyperlink" Target="https://drive.google.com/file/d/18NoFQRQBio11yH6cvy91EOb_QTj1iNCc/view?usp=drivesdk" TargetMode="External"/><Relationship Id="rId7730" Type="http://schemas.openxmlformats.org/officeDocument/2006/relationships/hyperlink" Target="https://drive.google.com/file/d/1syccduZsLcxhSMVBAfy7RkEy4wpySvFT/view?usp=drivesdk" TargetMode="External"/><Relationship Id="rId6403" Type="http://schemas.openxmlformats.org/officeDocument/2006/relationships/hyperlink" Target="https://drive.google.com/file/d/1tH1AjmivUV3H-h7-5tiIRzBr6pIabqto/view?usp=drivesdk" TargetMode="External"/><Relationship Id="rId7735" Type="http://schemas.openxmlformats.org/officeDocument/2006/relationships/hyperlink" Target="https://drive.google.com/file/d/1ETa9wwu5BpkzHNWrPvc_ABDgGkGVAR1p/view?usp=drivesdk" TargetMode="External"/><Relationship Id="rId6404" Type="http://schemas.openxmlformats.org/officeDocument/2006/relationships/hyperlink" Target="https://drive.google.com/file/d/1ohlPWHzke4Y7CfapuxAhFQAKV1CfoAnJ/view?usp=drivesdk" TargetMode="External"/><Relationship Id="rId7734" Type="http://schemas.openxmlformats.org/officeDocument/2006/relationships/hyperlink" Target="https://drive.google.com/file/d/1W4eU9j6PkHhpA6oXCaFbDIdNvOLVVVRl/view?usp=drivesdk" TargetMode="External"/><Relationship Id="rId6401" Type="http://schemas.openxmlformats.org/officeDocument/2006/relationships/hyperlink" Target="https://drive.google.com/file/d/1oIsSxSXdPZiI9hGJu89KxW2C7mKMrmsT/view?usp=drivesdk" TargetMode="External"/><Relationship Id="rId7733" Type="http://schemas.openxmlformats.org/officeDocument/2006/relationships/hyperlink" Target="https://drive.google.com/file/d/1Z2pCDbe9cTZ0FZ1LGIowG2vZtv7A4-6B/view?usp=drivesdk" TargetMode="External"/><Relationship Id="rId6402" Type="http://schemas.openxmlformats.org/officeDocument/2006/relationships/hyperlink" Target="https://drive.google.com/file/d/1-ztoafz3_7uiUxjXoHKq21we7RgxSyf2/view?usp=drivesdk" TargetMode="External"/><Relationship Id="rId7732" Type="http://schemas.openxmlformats.org/officeDocument/2006/relationships/hyperlink" Target="https://drive.google.com/file/d/1IU-BCyoUyOtdDyNQGbUp0B0borCGPoL1/view?usp=drivesdk" TargetMode="External"/><Relationship Id="rId7728" Type="http://schemas.openxmlformats.org/officeDocument/2006/relationships/hyperlink" Target="https://drive.google.com/file/d/1j7_lbVSC0xMnBy2t5CQW0leYAUbW1IUg/view?usp=drivesdk" TargetMode="External"/><Relationship Id="rId7727" Type="http://schemas.openxmlformats.org/officeDocument/2006/relationships/hyperlink" Target="https://drive.google.com/file/d/1QBXZUHD_-TlY_H_jTSyqBFr4JyVNx01J/view?usp=drivesdk" TargetMode="External"/><Relationship Id="rId7726" Type="http://schemas.openxmlformats.org/officeDocument/2006/relationships/hyperlink" Target="https://drive.google.com/file/d/15GuqTf_uXkEDe1sWns-tqGDzrtY54S71/view?usp=drivesdk" TargetMode="External"/><Relationship Id="rId7725" Type="http://schemas.openxmlformats.org/officeDocument/2006/relationships/hyperlink" Target="https://drive.google.com/file/d/1MGQ3nmne1UGPKTFh-SPdCuKaPQccPdvN/view?usp=drivesdk" TargetMode="External"/><Relationship Id="rId7729" Type="http://schemas.openxmlformats.org/officeDocument/2006/relationships/hyperlink" Target="https://drive.google.com/file/d/1TLWy2gUZdZTuklJAJsM9NMSFQFRiuZcW/view?usp=drivesdk" TargetMode="External"/><Relationship Id="rId7720" Type="http://schemas.openxmlformats.org/officeDocument/2006/relationships/hyperlink" Target="https://drive.google.com/file/d/1weApEhVzWPHy7-FLxa0Pm8KhFgjxlrvv/view?usp=drivesdk" TargetMode="External"/><Relationship Id="rId7724" Type="http://schemas.openxmlformats.org/officeDocument/2006/relationships/hyperlink" Target="https://drive.google.com/file/d/1iBokcoicP_I49mizWelJQBzen1WXCZ-7/view?usp=drivesdk" TargetMode="External"/><Relationship Id="rId7723" Type="http://schemas.openxmlformats.org/officeDocument/2006/relationships/hyperlink" Target="https://drive.google.com/file/d/1f032CRU8dYi-JdNbAlE4hkEo2XU76dlO/view?usp=drivesdk" TargetMode="External"/><Relationship Id="rId7722" Type="http://schemas.openxmlformats.org/officeDocument/2006/relationships/hyperlink" Target="https://drive.google.com/file/d/1o15loQGiGrcYlqH1Zk3GDM8Ow6MLW10M/view?usp=drivesdk" TargetMode="External"/><Relationship Id="rId7721" Type="http://schemas.openxmlformats.org/officeDocument/2006/relationships/hyperlink" Target="https://drive.google.com/file/d/1rt1GA-8rNiivfowZSwLt4NhVLi3RNt5s/view?usp=drivesdk" TargetMode="External"/><Relationship Id="rId5130" Type="http://schemas.openxmlformats.org/officeDocument/2006/relationships/hyperlink" Target="https://drive.google.com/file/d/1T4DtVzDEC-huQrA8kyk1st7P8v5UsnZg/view?usp=drivesdk" TargetMode="External"/><Relationship Id="rId6461" Type="http://schemas.openxmlformats.org/officeDocument/2006/relationships/hyperlink" Target="https://drive.google.com/file/d/1ATuq2tSUw-3UfmTlvzKKA0wNstljI1HR/view?usp=drivesdk" TargetMode="External"/><Relationship Id="rId7793" Type="http://schemas.openxmlformats.org/officeDocument/2006/relationships/hyperlink" Target="https://drive.google.com/file/d/1CvR4uR084VDS0dv3HsDwQTowAbJ_6GhN/view?usp=drivesdk" TargetMode="External"/><Relationship Id="rId5131" Type="http://schemas.openxmlformats.org/officeDocument/2006/relationships/hyperlink" Target="https://drive.google.com/file/d/113ZixYBJOIJG5A0EhhNgTzMUSwwWozUK/view?usp=drivesdk" TargetMode="External"/><Relationship Id="rId6462" Type="http://schemas.openxmlformats.org/officeDocument/2006/relationships/hyperlink" Target="https://drive.google.com/file/d/1yqBRs8Ocy24LxpcmcojK95lZ1VfM7_aB/view?usp=drivesdk" TargetMode="External"/><Relationship Id="rId7792" Type="http://schemas.openxmlformats.org/officeDocument/2006/relationships/hyperlink" Target="https://drive.google.com/file/d/1i4qeoIXE5ZPyOus1TlcvZ19NHcXf4EMp/view?usp=drivesdk" TargetMode="External"/><Relationship Id="rId7791" Type="http://schemas.openxmlformats.org/officeDocument/2006/relationships/hyperlink" Target="https://drive.google.com/file/d/10NvvSvUmnV_riakYk8HVMjNPNRS10uI9/view?usp=drivesdk" TargetMode="External"/><Relationship Id="rId6460" Type="http://schemas.openxmlformats.org/officeDocument/2006/relationships/hyperlink" Target="https://drive.google.com/file/d/1OxjK93w-FttJThpn6c2gAXW-F5eNUZWW/view?usp=drivesdk" TargetMode="External"/><Relationship Id="rId7790" Type="http://schemas.openxmlformats.org/officeDocument/2006/relationships/hyperlink" Target="https://drive.google.com/file/d/1LZZVD4imAIl6DQw4-Oc28psAYsRep9Ug/view?usp=drivesdk" TargetMode="External"/><Relationship Id="rId5134" Type="http://schemas.openxmlformats.org/officeDocument/2006/relationships/hyperlink" Target="https://drive.google.com/file/d/1MQ8-ByV0n8ZJIXsrEgyyKlem9gxAHB_w/view?usp=drivesdk" TargetMode="External"/><Relationship Id="rId6465" Type="http://schemas.openxmlformats.org/officeDocument/2006/relationships/hyperlink" Target="https://drive.google.com/file/d/192e0ihH_YduZcT7mnvqwyBczUBzGcg3e/view?usp=drivesdk" TargetMode="External"/><Relationship Id="rId7797" Type="http://schemas.openxmlformats.org/officeDocument/2006/relationships/hyperlink" Target="https://drive.google.com/file/d/153lnCdfCtb0Evg0s6W1XzXLDpSzLPgsO/view?usp=drivesdk" TargetMode="External"/><Relationship Id="rId5135" Type="http://schemas.openxmlformats.org/officeDocument/2006/relationships/hyperlink" Target="https://drive.google.com/file/d/1aTaHXzIhP38J8T--fDRSLwVZuTldszPT/view?usp=drivesdk" TargetMode="External"/><Relationship Id="rId6466" Type="http://schemas.openxmlformats.org/officeDocument/2006/relationships/hyperlink" Target="https://drive.google.com/file/d/1HrkF5Ez-nBZS6yVXJbRwfUNsHpVimzK9/view?usp=drivesdk" TargetMode="External"/><Relationship Id="rId7796" Type="http://schemas.openxmlformats.org/officeDocument/2006/relationships/hyperlink" Target="https://drive.google.com/file/d/1G-4P_8YJSLV93HmhN2ZIl7sOQg8CIbU2/view?usp=drivesdk" TargetMode="External"/><Relationship Id="rId5132" Type="http://schemas.openxmlformats.org/officeDocument/2006/relationships/hyperlink" Target="https://drive.google.com/file/d/1EMPifs_iDtUB-veGS55nKEJsLQ7UwJr1/view?usp=drivesdk" TargetMode="External"/><Relationship Id="rId6463" Type="http://schemas.openxmlformats.org/officeDocument/2006/relationships/hyperlink" Target="https://drive.google.com/file/d/1itTNW13UVb4kljwd3pqeh__W_Az_Asl4/view?usp=drivesdk" TargetMode="External"/><Relationship Id="rId7795" Type="http://schemas.openxmlformats.org/officeDocument/2006/relationships/hyperlink" Target="https://drive.google.com/file/d/1PzBLfiqgUEnCsiY6hJvR1hvxpIjTN_cM/view?usp=drivesdk" TargetMode="External"/><Relationship Id="rId5133" Type="http://schemas.openxmlformats.org/officeDocument/2006/relationships/hyperlink" Target="https://drive.google.com/file/d/1KHCh8lBdrZ6dxSlIGO7uyzluL7anXCWm/view?usp=drivesdk" TargetMode="External"/><Relationship Id="rId6464" Type="http://schemas.openxmlformats.org/officeDocument/2006/relationships/hyperlink" Target="https://drive.google.com/file/d/1HAoK0YohR2Z2ssFwWYG2E2KWkxVhKb7V/view?usp=drivesdk" TargetMode="External"/><Relationship Id="rId7794" Type="http://schemas.openxmlformats.org/officeDocument/2006/relationships/hyperlink" Target="https://drive.google.com/file/d/1Y4RSMdFJAAXYTKZ1D_OIGGDOit9qrE7F/view?usp=drivesdk" TargetMode="External"/><Relationship Id="rId5138" Type="http://schemas.openxmlformats.org/officeDocument/2006/relationships/hyperlink" Target="https://drive.google.com/file/d/1OH73lgNet_VV7qrUKuGbkXYNzaSdHgRO/view?usp=drivesdk" TargetMode="External"/><Relationship Id="rId6469" Type="http://schemas.openxmlformats.org/officeDocument/2006/relationships/hyperlink" Target="https://drive.google.com/file/d/1QkoA6hwWRHamMPI2yfxk1EJXOReUkj6f/view?usp=drivesdk" TargetMode="External"/><Relationship Id="rId5139" Type="http://schemas.openxmlformats.org/officeDocument/2006/relationships/hyperlink" Target="https://drive.google.com/file/d/1SV6kxyuYrdRovX6E46T7SAHjTLIlxOnn/view?usp=drivesdk" TargetMode="External"/><Relationship Id="rId5136" Type="http://schemas.openxmlformats.org/officeDocument/2006/relationships/hyperlink" Target="https://drive.google.com/file/d/1v-x06coa_6kz0E2CyZX8TMMnyFicibKY/view?usp=drivesdk" TargetMode="External"/><Relationship Id="rId6467" Type="http://schemas.openxmlformats.org/officeDocument/2006/relationships/hyperlink" Target="https://drive.google.com/file/d/1V2oCA1u4RSbARR8ODIxsk71uGxcoRQzg/view?usp=drivesdk" TargetMode="External"/><Relationship Id="rId7799" Type="http://schemas.openxmlformats.org/officeDocument/2006/relationships/hyperlink" Target="https://drive.google.com/file/d/1HaS_93jXmOgZj0cCNNMPbL1I9ichA_pC/view?usp=drivesdk" TargetMode="External"/><Relationship Id="rId5137" Type="http://schemas.openxmlformats.org/officeDocument/2006/relationships/hyperlink" Target="https://drive.google.com/file/d/1yMXulkzK6GVokBVweOq9_nOwMGgKnIRN/view?usp=drivesdk" TargetMode="External"/><Relationship Id="rId6468" Type="http://schemas.openxmlformats.org/officeDocument/2006/relationships/hyperlink" Target="https://drive.google.com/file/d/1g9rouP8PhHvi0vXEJhSybjKD38Z8vOSP/view?usp=drivesdk" TargetMode="External"/><Relationship Id="rId7798" Type="http://schemas.openxmlformats.org/officeDocument/2006/relationships/hyperlink" Target="https://drive.google.com/file/d/1BB4zSPIy4_GWtBdKFDoMdB0kTJ-SfR0P/view?usp=drivesdk" TargetMode="External"/><Relationship Id="rId5129" Type="http://schemas.openxmlformats.org/officeDocument/2006/relationships/hyperlink" Target="https://drive.google.com/file/d/1cyOYO5DZNxCtkNnuxgrZBKOUCiCSx7f_/view?usp=drivesdk" TargetMode="External"/><Relationship Id="rId6450" Type="http://schemas.openxmlformats.org/officeDocument/2006/relationships/hyperlink" Target="https://drive.google.com/file/d/19Uy9tr6GtDUc8meMGHXx06ADw3zNeaja/view?usp=drivesdk" TargetMode="External"/><Relationship Id="rId7782" Type="http://schemas.openxmlformats.org/officeDocument/2006/relationships/hyperlink" Target="https://drive.google.com/file/d/1ArVLOnZqcX5jehh3bn10vVF2xghjwvsr/view?usp=drivesdk" TargetMode="External"/><Relationship Id="rId5120" Type="http://schemas.openxmlformats.org/officeDocument/2006/relationships/hyperlink" Target="https://drive.google.com/file/d/15Fwtzw7sBZloAPQ1yxrCnG64U2JQ1pxl/view?usp=drivesdk" TargetMode="External"/><Relationship Id="rId6451" Type="http://schemas.openxmlformats.org/officeDocument/2006/relationships/hyperlink" Target="https://drive.google.com/file/d/1vQoncRucD2SF77KhqpvCQHZxeM3gWwHl/view?usp=drivesdk" TargetMode="External"/><Relationship Id="rId7781" Type="http://schemas.openxmlformats.org/officeDocument/2006/relationships/hyperlink" Target="https://drive.google.com/file/d/17hFpvEsiQVlBVFmitLvk3BLS-usPY1HL/view?usp=drivesdk" TargetMode="External"/><Relationship Id="rId7780" Type="http://schemas.openxmlformats.org/officeDocument/2006/relationships/hyperlink" Target="https://drive.google.com/file/d/1_OExGGBjAdYQ2E52VniESZK8P8IKaBBh/view?usp=drivesdk" TargetMode="External"/><Relationship Id="rId5123" Type="http://schemas.openxmlformats.org/officeDocument/2006/relationships/hyperlink" Target="https://drive.google.com/file/d/1YCOXG6a1sklFP0Dc7gQfNY7TqAySOBBr/view?usp=drivesdk" TargetMode="External"/><Relationship Id="rId6454" Type="http://schemas.openxmlformats.org/officeDocument/2006/relationships/hyperlink" Target="https://drive.google.com/file/d/1rQW9Fs6SDh6pZIuz4hU6oJIEHD4jVuPb/view?usp=drivesdk" TargetMode="External"/><Relationship Id="rId7786" Type="http://schemas.openxmlformats.org/officeDocument/2006/relationships/hyperlink" Target="https://drive.google.com/file/d/1RFLC5JYAJ2EgnXkwa8obq5GIV14-qu9o/view?usp=drivesdk" TargetMode="External"/><Relationship Id="rId5124" Type="http://schemas.openxmlformats.org/officeDocument/2006/relationships/hyperlink" Target="https://drive.google.com/file/d/1Bovgn1DMaN-WGNVscqibX9K4K7BECIPg/view?usp=drivesdk" TargetMode="External"/><Relationship Id="rId6455" Type="http://schemas.openxmlformats.org/officeDocument/2006/relationships/hyperlink" Target="https://drive.google.com/file/d/1ZB6iJnSaTSe1xm4Qp7Qk7NGS_sixKiMH/view?usp=drivesdk" TargetMode="External"/><Relationship Id="rId7785" Type="http://schemas.openxmlformats.org/officeDocument/2006/relationships/hyperlink" Target="https://drive.google.com/file/d/1FuYUs_I2qk5O8HNEZJQpeJFlbIxgAvIy/view?usp=drivesdk" TargetMode="External"/><Relationship Id="rId5121" Type="http://schemas.openxmlformats.org/officeDocument/2006/relationships/hyperlink" Target="https://drive.google.com/file/d/1WNuI3dj6zR1Ebg52SSsNPfTqOSixTwZ4/view?usp=drivesdk" TargetMode="External"/><Relationship Id="rId6452" Type="http://schemas.openxmlformats.org/officeDocument/2006/relationships/hyperlink" Target="https://drive.google.com/file/d/1OSCnaK7F5DTyYZKNlu0dle7_F8C9H0Td/view?usp=drivesdk" TargetMode="External"/><Relationship Id="rId7784" Type="http://schemas.openxmlformats.org/officeDocument/2006/relationships/hyperlink" Target="https://drive.google.com/file/d/1FCgDK4qVLeiaw-oGJRpF-EQPjuX0vnda/view?usp=drivesdk" TargetMode="External"/><Relationship Id="rId5122" Type="http://schemas.openxmlformats.org/officeDocument/2006/relationships/hyperlink" Target="https://drive.google.com/file/d/16GCZPdrqQeZTiv4K8M0X8vOgS1zyfbL7/view?usp=drivesdk" TargetMode="External"/><Relationship Id="rId6453" Type="http://schemas.openxmlformats.org/officeDocument/2006/relationships/hyperlink" Target="https://drive.google.com/file/d/1tD5OvmadvdU3wJlmsjx-B2R7fxMFeB9-/view?usp=drivesdk" TargetMode="External"/><Relationship Id="rId7783" Type="http://schemas.openxmlformats.org/officeDocument/2006/relationships/hyperlink" Target="https://drive.google.com/file/d/1OQ_v2ATNApOE9uspiBMssnumD_eKSEze/view?usp=drivesdk" TargetMode="External"/><Relationship Id="rId5127" Type="http://schemas.openxmlformats.org/officeDocument/2006/relationships/hyperlink" Target="https://drive.google.com/file/d/18M8MVNfCESpBqR-hwoj2lPUk_bgEGPXS/view?usp=drivesdk" TargetMode="External"/><Relationship Id="rId6458" Type="http://schemas.openxmlformats.org/officeDocument/2006/relationships/hyperlink" Target="https://drive.google.com/file/d/1EOmk7sxOGVpy0VlB2bZixfE8CSuiXwgL/view?usp=drivesdk" TargetMode="External"/><Relationship Id="rId5128" Type="http://schemas.openxmlformats.org/officeDocument/2006/relationships/hyperlink" Target="https://drive.google.com/file/d/1oVLQl98DMHQuHOsQPSPjuXmDza5zzfGY/view?usp=drivesdk" TargetMode="External"/><Relationship Id="rId6459" Type="http://schemas.openxmlformats.org/officeDocument/2006/relationships/hyperlink" Target="https://drive.google.com/file/d/1uws_O9vOmxt_wE06Ze2AL_aBOukc8kzy/view?usp=drivesdk" TargetMode="External"/><Relationship Id="rId7789" Type="http://schemas.openxmlformats.org/officeDocument/2006/relationships/hyperlink" Target="https://drive.google.com/file/d/17XtC-aW6TN9cadVKwPHy_3prJGylvNhT/view?usp=drivesdk" TargetMode="External"/><Relationship Id="rId5125" Type="http://schemas.openxmlformats.org/officeDocument/2006/relationships/hyperlink" Target="https://drive.google.com/file/d/1GjrRrdkBdDYCq-IqdSPA6zH1TQGMzWA8/view?usp=drivesdk" TargetMode="External"/><Relationship Id="rId6456" Type="http://schemas.openxmlformats.org/officeDocument/2006/relationships/hyperlink" Target="https://drive.google.com/file/d/1dVR2RtaGf6uP8KB8Tc7dYqE1chF3DkDN/view?usp=drivesdk" TargetMode="External"/><Relationship Id="rId7788" Type="http://schemas.openxmlformats.org/officeDocument/2006/relationships/hyperlink" Target="https://drive.google.com/file/d/1wf90RFd_GXtHkUoK25qKASxceBfDENtL/view?usp=drivesdk" TargetMode="External"/><Relationship Id="rId5126" Type="http://schemas.openxmlformats.org/officeDocument/2006/relationships/hyperlink" Target="https://drive.google.com/file/d/1FYxvfFCv_wiiolz4QDRky9BmAIBQ8-Xy/view?usp=drivesdk" TargetMode="External"/><Relationship Id="rId6457" Type="http://schemas.openxmlformats.org/officeDocument/2006/relationships/hyperlink" Target="https://drive.google.com/file/d/1apnDJyEGgFb76Ucjr2p79-YrKKQgQu8O/view?usp=drivesdk" TargetMode="External"/><Relationship Id="rId7787" Type="http://schemas.openxmlformats.org/officeDocument/2006/relationships/hyperlink" Target="https://drive.google.com/file/d/1rJR4uFEHDBAthkZwSCWlXoGIL0LDzKGU/view?usp=drivesdk" TargetMode="External"/><Relationship Id="rId6480" Type="http://schemas.openxmlformats.org/officeDocument/2006/relationships/hyperlink" Target="https://drive.google.com/file/d/1ylkda39GeQ5KlNJb1kskiLJj8LdI6Gcc/view?usp=drivesdk" TargetMode="External"/><Relationship Id="rId5152" Type="http://schemas.openxmlformats.org/officeDocument/2006/relationships/hyperlink" Target="https://drive.google.com/file/d/1-ubWvoQ-xQN_0ses5y3jZjZJ9i3MNQ_e/view?usp=drivesdk" TargetMode="External"/><Relationship Id="rId6483" Type="http://schemas.openxmlformats.org/officeDocument/2006/relationships/hyperlink" Target="https://drive.google.com/file/d/13893IG4MKa7oDMMgyONjjTldcvQrSGMg/view?usp=drivesdk" TargetMode="External"/><Relationship Id="rId5153" Type="http://schemas.openxmlformats.org/officeDocument/2006/relationships/hyperlink" Target="https://drive.google.com/file/d/1yTE_4OXL2riwD0jrwA-wQJePeYouDsoI/view?usp=drivesdk" TargetMode="External"/><Relationship Id="rId6484" Type="http://schemas.openxmlformats.org/officeDocument/2006/relationships/hyperlink" Target="https://drive.google.com/file/d/1LbN2vm_weZpXro5tdGgYKNe97scLut_g/view?usp=drivesdk" TargetMode="External"/><Relationship Id="rId5150" Type="http://schemas.openxmlformats.org/officeDocument/2006/relationships/hyperlink" Target="https://drive.google.com/file/d/1EkMdzbDDfGnJJbjvwqxsCW5OHlogY2sG/view?usp=drivesdk" TargetMode="External"/><Relationship Id="rId6481" Type="http://schemas.openxmlformats.org/officeDocument/2006/relationships/hyperlink" Target="https://drive.google.com/file/d/1VrXV34773P7kYkZU2mNASvgEoucv0RW3/view?usp=drivesdk" TargetMode="External"/><Relationship Id="rId5151" Type="http://schemas.openxmlformats.org/officeDocument/2006/relationships/hyperlink" Target="https://drive.google.com/file/d/14hxEP0dFwe3xkxqJfVPzyyYE4n49PpDv/view?usp=drivesdk" TargetMode="External"/><Relationship Id="rId6482" Type="http://schemas.openxmlformats.org/officeDocument/2006/relationships/hyperlink" Target="https://drive.google.com/file/d/1aMNGWZ1zc9i4tPIcA4ZPgn5DLlAAGqYx/view?usp=drivesdk" TargetMode="External"/><Relationship Id="rId5156" Type="http://schemas.openxmlformats.org/officeDocument/2006/relationships/hyperlink" Target="https://drive.google.com/file/d/1zjaE1JZXR2TqaGTf7gP3_a_Q4WrPcVI7/view?usp=drivesdk" TargetMode="External"/><Relationship Id="rId6487" Type="http://schemas.openxmlformats.org/officeDocument/2006/relationships/hyperlink" Target="https://drive.google.com/file/d/1C5jkfzOEDUK-poext3wqGZeGc5YRm-2B/view?usp=drivesdk" TargetMode="External"/><Relationship Id="rId5157" Type="http://schemas.openxmlformats.org/officeDocument/2006/relationships/hyperlink" Target="https://drive.google.com/file/d/1Q27jJHLnqxoMQh4jOebAG-gRbUTMCyko/view?usp=drivesdk" TargetMode="External"/><Relationship Id="rId6488" Type="http://schemas.openxmlformats.org/officeDocument/2006/relationships/hyperlink" Target="https://drive.google.com/file/d/1YZNtHQpebJNFrYyBDEbt03w3SO3mRQ3E/view?usp=drivesdk" TargetMode="External"/><Relationship Id="rId5154" Type="http://schemas.openxmlformats.org/officeDocument/2006/relationships/hyperlink" Target="https://drive.google.com/file/d/1u3sPTe9iyQSai2-79A3mZQZuGb5HO4B3/view?usp=drivesdk" TargetMode="External"/><Relationship Id="rId6485" Type="http://schemas.openxmlformats.org/officeDocument/2006/relationships/hyperlink" Target="https://drive.google.com/file/d/16xaUws9pC2QVpOJGz1wI1NvRuNrOE6tG/view?usp=drivesdk" TargetMode="External"/><Relationship Id="rId5155" Type="http://schemas.openxmlformats.org/officeDocument/2006/relationships/hyperlink" Target="https://drive.google.com/file/d/1QFsvmRkfmi9aT85xacKTePhZ4PsqBCuk/view?usp=drivesdk" TargetMode="External"/><Relationship Id="rId6486" Type="http://schemas.openxmlformats.org/officeDocument/2006/relationships/hyperlink" Target="https://drive.google.com/file/d/1K6EfMkEJKYQ7dD85g4F0zziU_Xzu7a43/view?usp=drivesdk" TargetMode="External"/><Relationship Id="rId5158" Type="http://schemas.openxmlformats.org/officeDocument/2006/relationships/hyperlink" Target="https://drive.google.com/file/d/1KHdcvBMnWw4w-FjhBL8Rg-HQGq1RJW8h/view?usp=drivesdk" TargetMode="External"/><Relationship Id="rId6489" Type="http://schemas.openxmlformats.org/officeDocument/2006/relationships/hyperlink" Target="https://drive.google.com/file/d/1MI9vSaxUZPzixi27Su3AfJSK-fiixCeC/view?usp=drivesdk" TargetMode="External"/><Relationship Id="rId5159" Type="http://schemas.openxmlformats.org/officeDocument/2006/relationships/hyperlink" Target="https://drive.google.com/file/d/16aVqHR_2QwHLTW8gIdej1m91oLzjNpWW/view?usp=drivesdk" TargetMode="External"/><Relationship Id="rId5141" Type="http://schemas.openxmlformats.org/officeDocument/2006/relationships/hyperlink" Target="https://drive.google.com/file/d/1IJiAF4z8HNuSDuX8ox6QT1CyxAv_EQ4X/view?usp=drivesdk" TargetMode="External"/><Relationship Id="rId6472" Type="http://schemas.openxmlformats.org/officeDocument/2006/relationships/hyperlink" Target="https://drive.google.com/file/d/1hhzXJUZnw8CqTfhh_3QqwKcVPI5-NcDB/view?usp=drivesdk" TargetMode="External"/><Relationship Id="rId5142" Type="http://schemas.openxmlformats.org/officeDocument/2006/relationships/hyperlink" Target="https://drive.google.com/file/d/1iBkdJhhrq96JF7_jyEZkTm8z8DHc34gf/view?usp=drivesdk" TargetMode="External"/><Relationship Id="rId6473" Type="http://schemas.openxmlformats.org/officeDocument/2006/relationships/hyperlink" Target="https://drive.google.com/file/d/1IGJV8XtnYXK77AMDWtSTJh3HJYyEMrPN/view?usp=drivesdk" TargetMode="External"/><Relationship Id="rId6470" Type="http://schemas.openxmlformats.org/officeDocument/2006/relationships/hyperlink" Target="https://drive.google.com/file/d/1TRMBqbvCswumiWJZiqEWm-BnZ5dH6bhV/view?usp=drivesdk" TargetMode="External"/><Relationship Id="rId5140" Type="http://schemas.openxmlformats.org/officeDocument/2006/relationships/hyperlink" Target="https://drive.google.com/file/d/1mth5qoSGzuN0nA0kFTCLPFEy4lsxJiiS/view?usp=drivesdk" TargetMode="External"/><Relationship Id="rId6471" Type="http://schemas.openxmlformats.org/officeDocument/2006/relationships/hyperlink" Target="https://drive.google.com/file/d/1rFDAohIuXnTpOxbWFPpb2-7hwsbjAW7H/view?usp=drivesdk" TargetMode="External"/><Relationship Id="rId5145" Type="http://schemas.openxmlformats.org/officeDocument/2006/relationships/hyperlink" Target="https://drive.google.com/file/d/17l-c99qtv-JVBmbyL-lj93eCVQOhk7Yl/view?usp=drivesdk" TargetMode="External"/><Relationship Id="rId6476" Type="http://schemas.openxmlformats.org/officeDocument/2006/relationships/hyperlink" Target="https://drive.google.com/file/d/1F1BTOWIAvKh__6JbaxfrzTrM0Oggq515/view?usp=drivesdk" TargetMode="External"/><Relationship Id="rId5146" Type="http://schemas.openxmlformats.org/officeDocument/2006/relationships/hyperlink" Target="https://drive.google.com/file/d/1AZIQSzCG8LeFMzkzCSnpEf1D6LY8dJVL/view?usp=drivesdk" TargetMode="External"/><Relationship Id="rId6477" Type="http://schemas.openxmlformats.org/officeDocument/2006/relationships/hyperlink" Target="https://drive.google.com/file/d/1eGZTMlA6hoXvFovr4w9LcRmRFAZPsXbZ/view?usp=drivesdk" TargetMode="External"/><Relationship Id="rId5143" Type="http://schemas.openxmlformats.org/officeDocument/2006/relationships/hyperlink" Target="https://drive.google.com/file/d/13Coy0Km3LVrZRG7pXGNOuTHnecCn2gMM/view?usp=drivesdk" TargetMode="External"/><Relationship Id="rId6474" Type="http://schemas.openxmlformats.org/officeDocument/2006/relationships/hyperlink" Target="https://drive.google.com/file/d/1hvl0HHspD_g9kyFfzDKY7W8iDljbrAEU/view?usp=drivesdk" TargetMode="External"/><Relationship Id="rId5144" Type="http://schemas.openxmlformats.org/officeDocument/2006/relationships/hyperlink" Target="https://drive.google.com/file/d/1y346h8RHjcrgwCnKhhl6c-yeYjrdSfin/view?usp=drivesdk" TargetMode="External"/><Relationship Id="rId6475" Type="http://schemas.openxmlformats.org/officeDocument/2006/relationships/hyperlink" Target="https://drive.google.com/file/d/127jOFgW3BfL1oSqP1mZGuYHKC1EXhON6/view?usp=drivesdk" TargetMode="External"/><Relationship Id="rId5149" Type="http://schemas.openxmlformats.org/officeDocument/2006/relationships/hyperlink" Target="https://drive.google.com/file/d/1_qNQl25SUblu5sthjPJ75-j_RcO1J8ea/view?usp=drivesdk" TargetMode="External"/><Relationship Id="rId5147" Type="http://schemas.openxmlformats.org/officeDocument/2006/relationships/hyperlink" Target="https://drive.google.com/file/d/15lf0kwKAbkoq343nix_DdVHpG60tqh9a/view?usp=drivesdk" TargetMode="External"/><Relationship Id="rId6478" Type="http://schemas.openxmlformats.org/officeDocument/2006/relationships/hyperlink" Target="https://drive.google.com/file/d/1wdJlZUQflHvXFr-ptub7-h3HoASiO2s7/view?usp=drivesdk" TargetMode="External"/><Relationship Id="rId5148" Type="http://schemas.openxmlformats.org/officeDocument/2006/relationships/hyperlink" Target="https://drive.google.com/file/d/1vvIHJIzHUKXwgG8HQ8gNZgU68IO_KkUb/view?usp=drivesdk" TargetMode="External"/><Relationship Id="rId6479" Type="http://schemas.openxmlformats.org/officeDocument/2006/relationships/hyperlink" Target="https://drive.google.com/file/d/1yJQUxU3ba8Vybiy5bvCdiONSLugC6Dj_/view?usp=drivesdk" TargetMode="External"/><Relationship Id="rId6429" Type="http://schemas.openxmlformats.org/officeDocument/2006/relationships/hyperlink" Target="https://drive.google.com/file/d/1Ors2qZW7UhcGPOoBiISrEfEjnrGMLVDT/view?usp=drivesdk" TargetMode="External"/><Relationship Id="rId6427" Type="http://schemas.openxmlformats.org/officeDocument/2006/relationships/hyperlink" Target="https://drive.google.com/file/d/1PSsWPvVdbO-s-XbOBeF0H9c9TdFkI6vJ/view?usp=drivesdk" TargetMode="External"/><Relationship Id="rId7759" Type="http://schemas.openxmlformats.org/officeDocument/2006/relationships/hyperlink" Target="https://drive.google.com/file/d/1shnbRAuA-xtQ2TR-EPTvLOwatrB0i4SB/view?usp=drivesdk" TargetMode="External"/><Relationship Id="rId6428" Type="http://schemas.openxmlformats.org/officeDocument/2006/relationships/hyperlink" Target="https://drive.google.com/file/d/1h94D8SiAzv9PYW9DbgGd6XX_cUNemB4A/view?usp=drivesdk" TargetMode="External"/><Relationship Id="rId7758" Type="http://schemas.openxmlformats.org/officeDocument/2006/relationships/hyperlink" Target="https://drive.google.com/file/d/1Jj4zGPPhqWCN3KqgdfRSyss1riXePZWo/view?usp=drivesdk" TargetMode="External"/><Relationship Id="rId6421" Type="http://schemas.openxmlformats.org/officeDocument/2006/relationships/hyperlink" Target="https://drive.google.com/file/d/1PguTOaUUzlyPi8-j67fWNgbzltM4DAYU/view?usp=drivesdk" TargetMode="External"/><Relationship Id="rId7753" Type="http://schemas.openxmlformats.org/officeDocument/2006/relationships/hyperlink" Target="https://drive.google.com/file/d/1Veq9OUKsHtq2lqFDIA2Baw08eJYris-i/view?usp=drivesdk" TargetMode="External"/><Relationship Id="rId6422" Type="http://schemas.openxmlformats.org/officeDocument/2006/relationships/hyperlink" Target="https://drive.google.com/file/d/1SxJFy9SueUHZOeyowitMq1YNSoGeSmRE/view?usp=drivesdk" TargetMode="External"/><Relationship Id="rId7752" Type="http://schemas.openxmlformats.org/officeDocument/2006/relationships/hyperlink" Target="https://drive.google.com/file/d/1ryTuRg3ZsbKg9SpTZv9O_zQCZWTkC5Ao/view?usp=drivesdk" TargetMode="External"/><Relationship Id="rId7751" Type="http://schemas.openxmlformats.org/officeDocument/2006/relationships/hyperlink" Target="https://drive.google.com/file/d/19zU0oVVToKi6kxqwzn6oMRZrcIPoaNy0/view?usp=drivesdk" TargetMode="External"/><Relationship Id="rId6420" Type="http://schemas.openxmlformats.org/officeDocument/2006/relationships/hyperlink" Target="https://drive.google.com/file/d/1WzmGm479PijjKK6osvx-PSPiK7Fz3cHC/view?usp=drivesdk" TargetMode="External"/><Relationship Id="rId7750" Type="http://schemas.openxmlformats.org/officeDocument/2006/relationships/hyperlink" Target="https://drive.google.com/file/d/1jxzZZLhblYr8cc0gYwXO5tgfAmR9wFc7/view?usp=drivesdk" TargetMode="External"/><Relationship Id="rId6425" Type="http://schemas.openxmlformats.org/officeDocument/2006/relationships/hyperlink" Target="https://drive.google.com/file/d/1WDMim-KdVj74kks1-U_GTtUxElkV8jjX/view?usp=drivesdk" TargetMode="External"/><Relationship Id="rId7757" Type="http://schemas.openxmlformats.org/officeDocument/2006/relationships/hyperlink" Target="https://drive.google.com/file/d/1x-qMjMdLm0M_5J0GS8G1-IkGmZm7aE3E/view?usp=drivesdk" TargetMode="External"/><Relationship Id="rId6426" Type="http://schemas.openxmlformats.org/officeDocument/2006/relationships/hyperlink" Target="https://drive.google.com/file/d/1qiny1qZzN2ugGKjVb-23pLNB9-prbYvg/view?usp=drivesdk" TargetMode="External"/><Relationship Id="rId7756" Type="http://schemas.openxmlformats.org/officeDocument/2006/relationships/hyperlink" Target="http://rohani.a.s.psi.m.si" TargetMode="External"/><Relationship Id="rId6423" Type="http://schemas.openxmlformats.org/officeDocument/2006/relationships/hyperlink" Target="https://drive.google.com/file/d/162UQQoydPOLA0eTG84IiQAJIUcVisiyM/view?usp=drivesdk" TargetMode="External"/><Relationship Id="rId7755" Type="http://schemas.openxmlformats.org/officeDocument/2006/relationships/hyperlink" Target="https://drive.google.com/file/d/1qOfuRzl-tFAWWHtxsCfL-IvuvO_2tAT_/view?usp=drivesdk" TargetMode="External"/><Relationship Id="rId6424" Type="http://schemas.openxmlformats.org/officeDocument/2006/relationships/hyperlink" Target="https://drive.google.com/file/d/13CdbBZwWQ77WVJ_UbHOV7nwZzWXFxAOQ/view?usp=drivesdk" TargetMode="External"/><Relationship Id="rId7754" Type="http://schemas.openxmlformats.org/officeDocument/2006/relationships/hyperlink" Target="https://drive.google.com/file/d/1H4hzN97LQ9noOZKn7jXD0Q-zDm8_jSca/view?usp=drivesdk" TargetMode="External"/><Relationship Id="rId6418" Type="http://schemas.openxmlformats.org/officeDocument/2006/relationships/hyperlink" Target="https://drive.google.com/file/d/1bJLqgb3LROZOy3dfulxq5vzausKgooQT/view?usp=drivesdk" TargetMode="External"/><Relationship Id="rId6419" Type="http://schemas.openxmlformats.org/officeDocument/2006/relationships/hyperlink" Target="https://drive.google.com/file/d/1xbVwjt9mVmKmpCftYHSR0lCaAuZZ4e6k/view?usp=drivesdk" TargetMode="External"/><Relationship Id="rId7749" Type="http://schemas.openxmlformats.org/officeDocument/2006/relationships/hyperlink" Target="https://drive.google.com/file/d/1_6jO3oBJjNM7982_z2IxKxGjy6e6UxKq/view?usp=drivesdk" TargetMode="External"/><Relationship Id="rId6416" Type="http://schemas.openxmlformats.org/officeDocument/2006/relationships/hyperlink" Target="https://drive.google.com/file/d/1cDoBTk_p15n7FtdQJBkcsZXc4f2F2djS/view?usp=drivesdk" TargetMode="External"/><Relationship Id="rId7748" Type="http://schemas.openxmlformats.org/officeDocument/2006/relationships/hyperlink" Target="https://drive.google.com/file/d/1p_d2RPLEMMOE7ZRnsx1s-YnTlzrB3Pm1/view?usp=drivesdk" TargetMode="External"/><Relationship Id="rId6417" Type="http://schemas.openxmlformats.org/officeDocument/2006/relationships/hyperlink" Target="https://drive.google.com/file/d/1bGDcZCDTD2XIi2ZVaH-gRubZ87ulMXOr/view?usp=drivesdk" TargetMode="External"/><Relationship Id="rId7747" Type="http://schemas.openxmlformats.org/officeDocument/2006/relationships/hyperlink" Target="https://drive.google.com/file/d/1zKXsQffb7cji5Y9OXW06NFo1tpnQY-Hx/view?usp=drivesdk" TargetMode="External"/><Relationship Id="rId6410" Type="http://schemas.openxmlformats.org/officeDocument/2006/relationships/hyperlink" Target="https://drive.google.com/file/d/1rEkDbs-PHf-XAzFkLPTMJfxG6K18wqft/view?usp=drivesdk" TargetMode="External"/><Relationship Id="rId7742" Type="http://schemas.openxmlformats.org/officeDocument/2006/relationships/hyperlink" Target="https://drive.google.com/file/d/1jKmHHAkSs0jqzJRjlSHH1SxXwWDAq5ge/view?usp=drivesdk" TargetMode="External"/><Relationship Id="rId6411" Type="http://schemas.openxmlformats.org/officeDocument/2006/relationships/hyperlink" Target="https://drive.google.com/file/d/11fWszxZ-xsw6M2KHCV13Wcy1ac2uGtWd/view?usp=drivesdk" TargetMode="External"/><Relationship Id="rId7741" Type="http://schemas.openxmlformats.org/officeDocument/2006/relationships/hyperlink" Target="https://drive.google.com/file/d/16Y-IZVlsY6fbhKZmQh2Db6otCGUlVpM7/view?usp=drivesdk" TargetMode="External"/><Relationship Id="rId7740" Type="http://schemas.openxmlformats.org/officeDocument/2006/relationships/hyperlink" Target="https://drive.google.com/file/d/1rVfNSXhCIsl1J5oR6RV0Wkj-ZLp79ah6/view?usp=drivesdk" TargetMode="External"/><Relationship Id="rId6414" Type="http://schemas.openxmlformats.org/officeDocument/2006/relationships/hyperlink" Target="https://drive.google.com/file/d/1CuigsRlDpMtYDEAVWR6dIYcRDEV1tbX5/view?usp=drivesdk" TargetMode="External"/><Relationship Id="rId7746" Type="http://schemas.openxmlformats.org/officeDocument/2006/relationships/hyperlink" Target="https://drive.google.com/file/d/1BWKw8WR-4yyPdcgzrx2Atz7qTA0O-EOA/view?usp=drivesdk" TargetMode="External"/><Relationship Id="rId6415" Type="http://schemas.openxmlformats.org/officeDocument/2006/relationships/hyperlink" Target="https://drive.google.com/file/d/1kqmAQJqGwoP97q7XG0dYaQvVLwEd6MCX/view?usp=drivesdk" TargetMode="External"/><Relationship Id="rId7745" Type="http://schemas.openxmlformats.org/officeDocument/2006/relationships/hyperlink" Target="https://drive.google.com/file/d/1-aw9I9Iecaal4nCO7TBML9_mo-1Tq3uC/view?usp=drivesdk" TargetMode="External"/><Relationship Id="rId6412" Type="http://schemas.openxmlformats.org/officeDocument/2006/relationships/hyperlink" Target="https://drive.google.com/file/d/1ekKEwANiPME8bjq_I1Kph59MEdLsh7Tt/view?usp=drivesdk" TargetMode="External"/><Relationship Id="rId7744" Type="http://schemas.openxmlformats.org/officeDocument/2006/relationships/hyperlink" Target="https://drive.google.com/file/d/1iPdY52eujMnFPSJRFUPIrReEDUrKMRQs/view?usp=drivesdk" TargetMode="External"/><Relationship Id="rId6413" Type="http://schemas.openxmlformats.org/officeDocument/2006/relationships/hyperlink" Target="https://drive.google.com/file/d/12djq_NX5VEFyGTCVRhlYjLZrIWz-3mIo/view?usp=drivesdk" TargetMode="External"/><Relationship Id="rId7743" Type="http://schemas.openxmlformats.org/officeDocument/2006/relationships/hyperlink" Target="https://drive.google.com/file/d/1lQ9eId-OQ-BBOx4Y6g1J5Y638ocBBnbs/view?usp=drivesdk" TargetMode="External"/><Relationship Id="rId5118" Type="http://schemas.openxmlformats.org/officeDocument/2006/relationships/hyperlink" Target="https://drive.google.com/file/d/1H4B8lDhuGrPHu1wPFWuI4SgK04zvxy5g/view?usp=drivesdk" TargetMode="External"/><Relationship Id="rId6449" Type="http://schemas.openxmlformats.org/officeDocument/2006/relationships/hyperlink" Target="https://drive.google.com/file/d/1PPSFDycPljfazAUrVoV0OkBwj5nqTBK_/view?usp=drivesdk" TargetMode="External"/><Relationship Id="rId5119" Type="http://schemas.openxmlformats.org/officeDocument/2006/relationships/hyperlink" Target="https://drive.google.com/file/d/1-seji-T_AbXYoT0YrbojJPCKkxs5AzMw/view?usp=drivesdk" TargetMode="External"/><Relationship Id="rId7771" Type="http://schemas.openxmlformats.org/officeDocument/2006/relationships/hyperlink" Target="https://drive.google.com/file/d/1PYPOlJlleoGrQEx9coGFVpMVsGnqzCtT/view?usp=drivesdk" TargetMode="External"/><Relationship Id="rId6440" Type="http://schemas.openxmlformats.org/officeDocument/2006/relationships/hyperlink" Target="https://drive.google.com/file/d/1D9mFeERU1RTYpIxKyy9CAcRC0B-potE7/view?usp=drivesdk" TargetMode="External"/><Relationship Id="rId7770" Type="http://schemas.openxmlformats.org/officeDocument/2006/relationships/hyperlink" Target="https://drive.google.com/file/d/1cOTH1injlrJZRdcTKZqSKUzBCXSlUwFC/view?usp=drivesdk" TargetMode="External"/><Relationship Id="rId5112" Type="http://schemas.openxmlformats.org/officeDocument/2006/relationships/hyperlink" Target="https://drive.google.com/file/d/12r3GUvf9o5B0hri1lG86KeX-qCewnfth/view?usp=drivesdk" TargetMode="External"/><Relationship Id="rId6443" Type="http://schemas.openxmlformats.org/officeDocument/2006/relationships/hyperlink" Target="https://drive.google.com/file/d/1FQ3p5XAbAet-_ExNNqkrNj3-JrPajcYp/view?usp=drivesdk" TargetMode="External"/><Relationship Id="rId7775" Type="http://schemas.openxmlformats.org/officeDocument/2006/relationships/hyperlink" Target="https://drive.google.com/file/d/1aLCBv_xJKtM4Cx1haHpCCSkfHOpKoig5/view?usp=drivesdk" TargetMode="External"/><Relationship Id="rId5113" Type="http://schemas.openxmlformats.org/officeDocument/2006/relationships/hyperlink" Target="https://drive.google.com/file/d/1oSeoogHvt8Ei2Tn6BZnTwGSWk8WBH2dI/view?usp=drivesdk" TargetMode="External"/><Relationship Id="rId6444" Type="http://schemas.openxmlformats.org/officeDocument/2006/relationships/hyperlink" Target="https://drive.google.com/file/d/1nufEuaspDEa33ald1WnPA3FJe7u32-Ze/view?usp=drivesdk" TargetMode="External"/><Relationship Id="rId7774" Type="http://schemas.openxmlformats.org/officeDocument/2006/relationships/hyperlink" Target="https://drive.google.com/file/d/1ImQ7_FVlfdkpCwqCBeeORvW7ga4COViy/view?usp=drivesdk" TargetMode="External"/><Relationship Id="rId5110" Type="http://schemas.openxmlformats.org/officeDocument/2006/relationships/hyperlink" Target="https://drive.google.com/file/d/1xOixOUDEYpOXBEr2cGsrBu9XU5fzn0KJ/view?usp=drivesdk" TargetMode="External"/><Relationship Id="rId6441" Type="http://schemas.openxmlformats.org/officeDocument/2006/relationships/hyperlink" Target="https://drive.google.com/file/d/1d-azuGzbBo21ZpF83jyKLYB2D043zGCx/view?usp=drivesdk" TargetMode="External"/><Relationship Id="rId7773" Type="http://schemas.openxmlformats.org/officeDocument/2006/relationships/hyperlink" Target="https://drive.google.com/file/d/1qgOw1F1mH7TRx6n9-dGMHbzOQJwGg2if/view?usp=drivesdk" TargetMode="External"/><Relationship Id="rId5111" Type="http://schemas.openxmlformats.org/officeDocument/2006/relationships/hyperlink" Target="https://drive.google.com/file/d/11CFiHkh4aea2rhA6hMNJZIbVbVSHOlD9/view?usp=drivesdk" TargetMode="External"/><Relationship Id="rId6442" Type="http://schemas.openxmlformats.org/officeDocument/2006/relationships/hyperlink" Target="https://drive.google.com/file/d/1I-y1LDctPnrlawAY1l6DK9AYEZ7A0SgT/view?usp=drivesdk" TargetMode="External"/><Relationship Id="rId7772" Type="http://schemas.openxmlformats.org/officeDocument/2006/relationships/hyperlink" Target="https://drive.google.com/file/d/1rLm-LxLQQj_k88g3z5lCw-b-iCYejGZj/view?usp=drivesdk" TargetMode="External"/><Relationship Id="rId5116" Type="http://schemas.openxmlformats.org/officeDocument/2006/relationships/hyperlink" Target="https://drive.google.com/file/d/1ESZNXOv75MNLbAkB3-Icz_6RgeW6h3F5/view?usp=drivesdk" TargetMode="External"/><Relationship Id="rId6447" Type="http://schemas.openxmlformats.org/officeDocument/2006/relationships/hyperlink" Target="https://drive.google.com/file/d/12hmwA8YMwU_7dYkSplkRCP1G8WLArKqh/view?usp=drivesdk" TargetMode="External"/><Relationship Id="rId7779" Type="http://schemas.openxmlformats.org/officeDocument/2006/relationships/hyperlink" Target="https://drive.google.com/file/d/1yZYbZJ17yitfRVqDCj46vk5Pkcv4u76m/view?usp=drivesdk" TargetMode="External"/><Relationship Id="rId5117" Type="http://schemas.openxmlformats.org/officeDocument/2006/relationships/hyperlink" Target="https://drive.google.com/file/d/1-JVgk2BYr5QpzZqocUUuK92U3LfmjCER/view?usp=drivesdk" TargetMode="External"/><Relationship Id="rId6448" Type="http://schemas.openxmlformats.org/officeDocument/2006/relationships/hyperlink" Target="https://drive.google.com/file/d/1IVwCFUxGa4PGuJVDCkoQKK1iNvpd4TZg/view?usp=drivesdk" TargetMode="External"/><Relationship Id="rId7778" Type="http://schemas.openxmlformats.org/officeDocument/2006/relationships/hyperlink" Target="https://drive.google.com/file/d/1RDp-e9RUvDTNl1NQHtFv1UNXtdMvZDR6/view?usp=drivesdk" TargetMode="External"/><Relationship Id="rId5114" Type="http://schemas.openxmlformats.org/officeDocument/2006/relationships/hyperlink" Target="https://drive.google.com/file/d/1XqoYxOnl2K8p-91VBEu-CfzuNJ9eowHQ/view?usp=drivesdk" TargetMode="External"/><Relationship Id="rId6445" Type="http://schemas.openxmlformats.org/officeDocument/2006/relationships/hyperlink" Target="https://drive.google.com/file/d/1ilVOubIb1dP4dzsv8UbqgoNPLU1lx5US/view?usp=drivesdk" TargetMode="External"/><Relationship Id="rId7777" Type="http://schemas.openxmlformats.org/officeDocument/2006/relationships/hyperlink" Target="https://drive.google.com/file/d/1rK7Nsy8Xxa4-MzZ8Qw9VecAS-hD2UGAp/view?usp=drivesdk" TargetMode="External"/><Relationship Id="rId5115" Type="http://schemas.openxmlformats.org/officeDocument/2006/relationships/hyperlink" Target="https://drive.google.com/file/d/1sFzlH_yiY6fiDzGGfdTENgHsRrolpdUb/view?usp=drivesdk" TargetMode="External"/><Relationship Id="rId6446" Type="http://schemas.openxmlformats.org/officeDocument/2006/relationships/hyperlink" Target="https://drive.google.com/file/d/14MwKQMr1x-p8n2r_abJT3ND0e7tX5mCt/view?usp=drivesdk" TargetMode="External"/><Relationship Id="rId7776" Type="http://schemas.openxmlformats.org/officeDocument/2006/relationships/hyperlink" Target="https://drive.google.com/file/d/1CdEQyYvLNTRD6SOCTHnEzNq4_7idYSso/view?usp=drivesdk" TargetMode="External"/><Relationship Id="rId5109" Type="http://schemas.openxmlformats.org/officeDocument/2006/relationships/hyperlink" Target="https://drive.google.com/file/d/13RjYgKMPokX8oZCoeVRS1b_zEugjOJrz/view?usp=drivesdk" TargetMode="External"/><Relationship Id="rId5107" Type="http://schemas.openxmlformats.org/officeDocument/2006/relationships/hyperlink" Target="https://drive.google.com/file/d/1-Lc27FarIO6Eo8_OXEXex1Zn2-IIgwRS/view?usp=drivesdk" TargetMode="External"/><Relationship Id="rId6438" Type="http://schemas.openxmlformats.org/officeDocument/2006/relationships/hyperlink" Target="https://drive.google.com/file/d/145g5dTERk4ndraFmRAjg85vHZMJR-18d/view?usp=drivesdk" TargetMode="External"/><Relationship Id="rId5108" Type="http://schemas.openxmlformats.org/officeDocument/2006/relationships/hyperlink" Target="https://drive.google.com/file/d/179yJqbC0nAY0lIE0Reo6-Hj80sCAB31p/view?usp=drivesdk" TargetMode="External"/><Relationship Id="rId6439" Type="http://schemas.openxmlformats.org/officeDocument/2006/relationships/hyperlink" Target="https://drive.google.com/file/d/1fBRxEHAjI6qdFvAldROJlyGKjUR-kPDE/view?usp=drivesdk" TargetMode="External"/><Relationship Id="rId7769" Type="http://schemas.openxmlformats.org/officeDocument/2006/relationships/hyperlink" Target="https://drive.google.com/file/d/1OH2eoo3Jc7V3RsFrNwk4tRNFFXXoIebl/view?usp=drivesdk" TargetMode="External"/><Relationship Id="rId7760" Type="http://schemas.openxmlformats.org/officeDocument/2006/relationships/hyperlink" Target="https://drive.google.com/file/d/14MwhtA3bAshTS5EGyD5SsbeJhl_eB5um/view?usp=drivesdk" TargetMode="External"/><Relationship Id="rId5101" Type="http://schemas.openxmlformats.org/officeDocument/2006/relationships/hyperlink" Target="http://sulastutik.sh" TargetMode="External"/><Relationship Id="rId6432" Type="http://schemas.openxmlformats.org/officeDocument/2006/relationships/hyperlink" Target="https://drive.google.com/file/d/1w4QIZwzg8_aqceQZwWi8qm0fwk09Ti6I/view?usp=drivesdk" TargetMode="External"/><Relationship Id="rId7764" Type="http://schemas.openxmlformats.org/officeDocument/2006/relationships/hyperlink" Target="https://drive.google.com/file/d/1QpLB551VJhb7SBNOQmJBtwt_0OKfjQfH/view?usp=drivesdk" TargetMode="External"/><Relationship Id="rId5102" Type="http://schemas.openxmlformats.org/officeDocument/2006/relationships/hyperlink" Target="https://drive.google.com/file/d/1u7XKnzosx8IxV7TmC_biTVqXaNSDshmx/view?usp=drivesdk" TargetMode="External"/><Relationship Id="rId6433" Type="http://schemas.openxmlformats.org/officeDocument/2006/relationships/hyperlink" Target="https://drive.google.com/file/d/1HCXJGZ6_w5XQJjbKkaJmpAEyc2HJyDZB/view?usp=drivesdk" TargetMode="External"/><Relationship Id="rId7763" Type="http://schemas.openxmlformats.org/officeDocument/2006/relationships/hyperlink" Target="https://drive.google.com/file/d/1UPsCNxS4XnO84-nP2omc3SnDQv6j3nP2/view?usp=drivesdk" TargetMode="External"/><Relationship Id="rId6430" Type="http://schemas.openxmlformats.org/officeDocument/2006/relationships/hyperlink" Target="https://drive.google.com/file/d/1C7Np77IDoAD8-69711SrDq1WBgFAz-ZR/view?usp=drivesdk" TargetMode="External"/><Relationship Id="rId7762" Type="http://schemas.openxmlformats.org/officeDocument/2006/relationships/hyperlink" Target="https://drive.google.com/file/d/1p-tCNdIHS9FeWD_WNfdq0Wmb_WL07HsV/view?usp=drivesdk" TargetMode="External"/><Relationship Id="rId5100" Type="http://schemas.openxmlformats.org/officeDocument/2006/relationships/hyperlink" Target="https://drive.google.com/file/d/1EHmMEmaszH1Usv2dhI4dnimA1MN6QeWD/view?usp=drivesdk" TargetMode="External"/><Relationship Id="rId6431" Type="http://schemas.openxmlformats.org/officeDocument/2006/relationships/hyperlink" Target="https://drive.google.com/file/d/1SHw41kDEl_rGMumaWpKiHl2OBpbpjD5w/view?usp=drivesdk" TargetMode="External"/><Relationship Id="rId7761" Type="http://schemas.openxmlformats.org/officeDocument/2006/relationships/hyperlink" Target="https://drive.google.com/file/d/1VQ_vob2ctJP-ZPbHAo4wR5Ht9Yq_4ILs/view?usp=drivesdk" TargetMode="External"/><Relationship Id="rId5105" Type="http://schemas.openxmlformats.org/officeDocument/2006/relationships/hyperlink" Target="https://drive.google.com/file/d/1zF6_9Bx6Tk5QmOD_sWMVUz8iV5dWnzsl/view?usp=drivesdk" TargetMode="External"/><Relationship Id="rId6436" Type="http://schemas.openxmlformats.org/officeDocument/2006/relationships/hyperlink" Target="https://drive.google.com/file/d/1CYzdgK6q59Yd6wQmcn5ycR6IUo9ux28v/view?usp=drivesdk" TargetMode="External"/><Relationship Id="rId7768" Type="http://schemas.openxmlformats.org/officeDocument/2006/relationships/hyperlink" Target="https://drive.google.com/file/d/1lmxsBNreE9LrSmnydBIzrXo2RXDYocSH/view?usp=drivesdk" TargetMode="External"/><Relationship Id="rId5106" Type="http://schemas.openxmlformats.org/officeDocument/2006/relationships/hyperlink" Target="https://drive.google.com/file/d/11kNzuzlQMBvuLqB40PUjqSC7h4o3zCDW/view?usp=drivesdk" TargetMode="External"/><Relationship Id="rId6437" Type="http://schemas.openxmlformats.org/officeDocument/2006/relationships/hyperlink" Target="https://drive.google.com/file/d/1ahhWOSptolkbTVZKGEQdFArkJvFfkM1m/view?usp=drivesdk" TargetMode="External"/><Relationship Id="rId7767" Type="http://schemas.openxmlformats.org/officeDocument/2006/relationships/hyperlink" Target="https://drive.google.com/file/d/156oVR6R6wfhPHsAs34JKGogfz0UO-72Z/view?usp=drivesdk" TargetMode="External"/><Relationship Id="rId5103" Type="http://schemas.openxmlformats.org/officeDocument/2006/relationships/hyperlink" Target="https://drive.google.com/file/d/1WbixEzxozBldZ8gKiBhbt0JU-dYT9BG5/view?usp=drivesdk" TargetMode="External"/><Relationship Id="rId6434" Type="http://schemas.openxmlformats.org/officeDocument/2006/relationships/hyperlink" Target="https://drive.google.com/file/d/1hXTSfUd5yDEMtw_LA3dg1X2QdVCkFCZD/view?usp=drivesdk" TargetMode="External"/><Relationship Id="rId7766" Type="http://schemas.openxmlformats.org/officeDocument/2006/relationships/hyperlink" Target="https://drive.google.com/file/d/1e8_iwOkpfAoI6Kwp4N9D9Hl7MfQA7iTq/view?usp=drivesdk" TargetMode="External"/><Relationship Id="rId5104" Type="http://schemas.openxmlformats.org/officeDocument/2006/relationships/hyperlink" Target="https://drive.google.com/file/d/1eiE71FXh1wM2UsZdHpw3H6JrowzGmly-/view?usp=drivesdk" TargetMode="External"/><Relationship Id="rId6435" Type="http://schemas.openxmlformats.org/officeDocument/2006/relationships/hyperlink" Target="https://drive.google.com/file/d/1P2jS0YsFsAf9uA1hQWFeldAzsBLpIen5/view?usp=drivesdk" TargetMode="External"/><Relationship Id="rId7765" Type="http://schemas.openxmlformats.org/officeDocument/2006/relationships/hyperlink" Target="https://drive.google.com/file/d/18yIMlDsuiWCoT5di_0IJJVFuswfDwITK/view?usp=drivesdk" TargetMode="External"/><Relationship Id="rId907" Type="http://schemas.openxmlformats.org/officeDocument/2006/relationships/hyperlink" Target="https://drive.google.com/file/d/1DD4nb8Q2OrtpF9vhy2JBfeh6oyLtDaG5/view?usp=drivesdk" TargetMode="External"/><Relationship Id="rId906" Type="http://schemas.openxmlformats.org/officeDocument/2006/relationships/hyperlink" Target="https://drive.google.com/file/d/1c9EQphtgqRuJkSq1A2ZXgxv1obyUaOTA/view?usp=drivesdk" TargetMode="External"/><Relationship Id="rId905" Type="http://schemas.openxmlformats.org/officeDocument/2006/relationships/hyperlink" Target="https://drive.google.com/file/d/1yCpRDoZayP2VYOSBpkkmIan3tCdvtFNs/view?usp=drivesdk" TargetMode="External"/><Relationship Id="rId904" Type="http://schemas.openxmlformats.org/officeDocument/2006/relationships/hyperlink" Target="https://drive.google.com/file/d/1Phnhd7AG85xfQb9Rmpb73kzHAUuKR1Wu/view?usp=drivesdk" TargetMode="External"/><Relationship Id="rId909" Type="http://schemas.openxmlformats.org/officeDocument/2006/relationships/hyperlink" Target="https://drive.google.com/file/d/1hPTcGO-9yBTh1WySdbitc85pP9HyKbF3/view?usp=drivesdk" TargetMode="External"/><Relationship Id="rId908" Type="http://schemas.openxmlformats.org/officeDocument/2006/relationships/hyperlink" Target="https://drive.google.com/file/d/1MrPhrIPe1Xf1SDzxA8y1ICQieI50d73C/view?usp=drivesdk" TargetMode="External"/><Relationship Id="rId903" Type="http://schemas.openxmlformats.org/officeDocument/2006/relationships/hyperlink" Target="https://drive.google.com/file/d/11HIsbKrZf311qtgb0FmC_vyoDidAkBKJ/view?usp=drivesdk" TargetMode="External"/><Relationship Id="rId902" Type="http://schemas.openxmlformats.org/officeDocument/2006/relationships/hyperlink" Target="https://drive.google.com/file/d/1wVt7B-wrtxHPajID-IN2vcIAzlXy8XOm/view?usp=drivesdk" TargetMode="External"/><Relationship Id="rId901" Type="http://schemas.openxmlformats.org/officeDocument/2006/relationships/hyperlink" Target="https://drive.google.com/file/d/1PgyBa_bRGigZ2p1UKmmi0l0lUi2VGhMD/view?usp=drivesdk" TargetMode="External"/><Relationship Id="rId900" Type="http://schemas.openxmlformats.org/officeDocument/2006/relationships/hyperlink" Target="https://drive.google.com/file/d/1eZ_tkNb5r26huCMQI8opdlafkYPRcITU/view?usp=drivesdk" TargetMode="External"/><Relationship Id="rId929" Type="http://schemas.openxmlformats.org/officeDocument/2006/relationships/hyperlink" Target="https://drive.google.com/file/d/1t-l-yi7slaWuJttjsuMXXjCgh4bJJ7fs/view?usp=drivesdk" TargetMode="External"/><Relationship Id="rId928" Type="http://schemas.openxmlformats.org/officeDocument/2006/relationships/hyperlink" Target="https://drive.google.com/file/d/1OSYNxDkA7lJlQM-k4RGVpohDUG-3X-O5/view?usp=drivesdk" TargetMode="External"/><Relationship Id="rId927" Type="http://schemas.openxmlformats.org/officeDocument/2006/relationships/hyperlink" Target="https://drive.google.com/file/d/1mleUVdNgNmAmttfYRC95k_HSxnqoz4Cm/view?usp=drivesdk" TargetMode="External"/><Relationship Id="rId926" Type="http://schemas.openxmlformats.org/officeDocument/2006/relationships/hyperlink" Target="https://drive.google.com/file/d/1K3zQ0Ks9LlaDKMI5nMyM9D1UrfGIErz2/view?usp=drivesdk" TargetMode="External"/><Relationship Id="rId921" Type="http://schemas.openxmlformats.org/officeDocument/2006/relationships/hyperlink" Target="https://drive.google.com/file/d/1mw9vlWQDncdP1Fr8HoeIVWrTTD3SakuM/view?usp=drivesdk" TargetMode="External"/><Relationship Id="rId920" Type="http://schemas.openxmlformats.org/officeDocument/2006/relationships/hyperlink" Target="https://drive.google.com/file/d/1_mrjO3jv4qF5n4LTUjOaRLxvCzTsF4X_/view?usp=drivesdk" TargetMode="External"/><Relationship Id="rId925" Type="http://schemas.openxmlformats.org/officeDocument/2006/relationships/hyperlink" Target="https://drive.google.com/file/d/1A-LIoD_cgCld8MCWT9iAObLC6yfrai8D/view?usp=drivesdk" TargetMode="External"/><Relationship Id="rId924" Type="http://schemas.openxmlformats.org/officeDocument/2006/relationships/hyperlink" Target="https://drive.google.com/file/d/1qsdS87AabSbwY1yQhb9vBzBfyhH5IIti/view?usp=drivesdk" TargetMode="External"/><Relationship Id="rId923" Type="http://schemas.openxmlformats.org/officeDocument/2006/relationships/hyperlink" Target="https://drive.google.com/file/d/1AJ1qsByFKtV7wTDQarj9gE0Bwasz0U93/view?usp=drivesdk" TargetMode="External"/><Relationship Id="rId922" Type="http://schemas.openxmlformats.org/officeDocument/2006/relationships/hyperlink" Target="https://drive.google.com/file/d/1HAidXskx8gzlzHnrDsUtawEcYMB9vQd0/view?usp=drivesdk" TargetMode="External"/><Relationship Id="rId918" Type="http://schemas.openxmlformats.org/officeDocument/2006/relationships/hyperlink" Target="https://drive.google.com/file/d/1pyriaoVWp9P2IizbKe3bfbK48l3LHHPr/view?usp=drivesdk" TargetMode="External"/><Relationship Id="rId917" Type="http://schemas.openxmlformats.org/officeDocument/2006/relationships/hyperlink" Target="https://drive.google.com/file/d/1GbvLKpVc2ONYgTZZNqZCDnHCwQuSVDER/view?usp=drivesdk" TargetMode="External"/><Relationship Id="rId916" Type="http://schemas.openxmlformats.org/officeDocument/2006/relationships/hyperlink" Target="https://drive.google.com/file/d/1Uq19ggzC-uoznE46_vUmJERgIvwwxuXO/view?usp=drivesdk" TargetMode="External"/><Relationship Id="rId915" Type="http://schemas.openxmlformats.org/officeDocument/2006/relationships/hyperlink" Target="https://drive.google.com/file/d/1RFyczm53mXdcmYvxnwCFrlBDhFukh-ff/view?usp=drivesdk" TargetMode="External"/><Relationship Id="rId919" Type="http://schemas.openxmlformats.org/officeDocument/2006/relationships/hyperlink" Target="https://drive.google.com/file/d/11R8gWmJuwc8kJlk6nsRFRK-kn8_Eflfs/view?usp=drivesdk" TargetMode="External"/><Relationship Id="rId910" Type="http://schemas.openxmlformats.org/officeDocument/2006/relationships/hyperlink" Target="https://drive.google.com/file/d/1mwhzZSTD4HavsUPStcj5N5C7y0py3sRP/view?usp=drivesdk" TargetMode="External"/><Relationship Id="rId914" Type="http://schemas.openxmlformats.org/officeDocument/2006/relationships/hyperlink" Target="https://drive.google.com/file/d/16OyGjRwYGcqkTgeaXAVPVTU6Q0tePfSv/view?usp=drivesdk" TargetMode="External"/><Relationship Id="rId913" Type="http://schemas.openxmlformats.org/officeDocument/2006/relationships/hyperlink" Target="https://drive.google.com/file/d/1VahRz7kS49ZCG9cIxgLNeV9fWVS1oJbl/view?usp=drivesdk" TargetMode="External"/><Relationship Id="rId912" Type="http://schemas.openxmlformats.org/officeDocument/2006/relationships/hyperlink" Target="https://drive.google.com/file/d/1kwwTQy7HHkvzc3do3mM2s210K1htGZGa/view?usp=drivesdk" TargetMode="External"/><Relationship Id="rId911" Type="http://schemas.openxmlformats.org/officeDocument/2006/relationships/hyperlink" Target="https://drive.google.com/file/d/167908nrvd79UwH7Izh0PLX14l3toqz7S/view?usp=drivesdk" TargetMode="External"/><Relationship Id="rId5170" Type="http://schemas.openxmlformats.org/officeDocument/2006/relationships/hyperlink" Target="https://drive.google.com/file/d/101_kPkjRIHfc2o3Y6PAFEhKq8AUCSmsU/view?usp=drivesdk" TargetMode="External"/><Relationship Id="rId5171" Type="http://schemas.openxmlformats.org/officeDocument/2006/relationships/hyperlink" Target="https://drive.google.com/file/d/1LP5wm9CL9AG13oKULYZ5jyKe3wn1UFwF/view?usp=drivesdk" TargetMode="External"/><Relationship Id="rId5174" Type="http://schemas.openxmlformats.org/officeDocument/2006/relationships/hyperlink" Target="https://drive.google.com/file/d/1fsxY1IiUPaPgGGa0NquwKMejWkEdcQ3R/view?usp=drivesdk" TargetMode="External"/><Relationship Id="rId5175" Type="http://schemas.openxmlformats.org/officeDocument/2006/relationships/hyperlink" Target="https://drive.google.com/file/d/1HW4ZI10Vz-lK2kmiI2uuHJUo8Iv8eB54/view?usp=drivesdk" TargetMode="External"/><Relationship Id="rId5172" Type="http://schemas.openxmlformats.org/officeDocument/2006/relationships/hyperlink" Target="https://drive.google.com/file/d/1vLF5bw8iGGGLkmC_bgEXIqjJHUegmXFV/view?usp=drivesdk" TargetMode="External"/><Relationship Id="rId5173" Type="http://schemas.openxmlformats.org/officeDocument/2006/relationships/hyperlink" Target="https://drive.google.com/file/d/1Tizvfu-jImZOkKjwE81ZAyYk0M6beOzf/view?usp=drivesdk" TargetMode="External"/><Relationship Id="rId5178" Type="http://schemas.openxmlformats.org/officeDocument/2006/relationships/hyperlink" Target="https://drive.google.com/file/d/1Hpyd8E_MqSHEkc1vyZpRCmwYW_7vQ4rG/view?usp=drivesdk" TargetMode="External"/><Relationship Id="rId5179" Type="http://schemas.openxmlformats.org/officeDocument/2006/relationships/hyperlink" Target="https://drive.google.com/file/d/1mNcBMevpLjMLVb0Nc-qvoMULTx81FU7u/view?usp=drivesdk" TargetMode="External"/><Relationship Id="rId5176" Type="http://schemas.openxmlformats.org/officeDocument/2006/relationships/hyperlink" Target="https://drive.google.com/file/d/1d7i2nvl67kkVBsuFj6f7T50ELTqGgUuu/view?usp=drivesdk" TargetMode="External"/><Relationship Id="rId5177" Type="http://schemas.openxmlformats.org/officeDocument/2006/relationships/hyperlink" Target="https://drive.google.com/file/d/1aW9o-dE3uftf1sDAliLGmyFkZYouQA4Z/view?usp=drivesdk" TargetMode="External"/><Relationship Id="rId6490" Type="http://schemas.openxmlformats.org/officeDocument/2006/relationships/hyperlink" Target="https://drive.google.com/file/d/1kyIMqCdzk66hnB5O6FgbzsymP6hpRCog/view?usp=drivesdk" TargetMode="External"/><Relationship Id="rId5160" Type="http://schemas.openxmlformats.org/officeDocument/2006/relationships/hyperlink" Target="https://drive.google.com/file/d/1veHs3gjTsJj3N8YmJPz-yPDZNh-qMivq/view?usp=drivesdk" TargetMode="External"/><Relationship Id="rId6491" Type="http://schemas.openxmlformats.org/officeDocument/2006/relationships/hyperlink" Target="https://drive.google.com/file/d/1x-5ZZA8JH-SYzVdGElP5N9e1FHk46fio/view?usp=drivesdk" TargetMode="External"/><Relationship Id="rId5163" Type="http://schemas.openxmlformats.org/officeDocument/2006/relationships/hyperlink" Target="https://drive.google.com/file/d/1O8O0kUomY3nnXEng7f03ZlsI3_ynruM0/view?usp=drivesdk" TargetMode="External"/><Relationship Id="rId6494" Type="http://schemas.openxmlformats.org/officeDocument/2006/relationships/hyperlink" Target="https://drive.google.com/file/d/1r0h1pr8lVaB0E5XMzatb7slxTvAzSl5Z/view?usp=drivesdk" TargetMode="External"/><Relationship Id="rId5164" Type="http://schemas.openxmlformats.org/officeDocument/2006/relationships/hyperlink" Target="https://drive.google.com/file/d/1gq73A3my1ZUpTKqCw7YJE0m2_cd7H3uZ/view?usp=drivesdk" TargetMode="External"/><Relationship Id="rId6495" Type="http://schemas.openxmlformats.org/officeDocument/2006/relationships/hyperlink" Target="https://drive.google.com/file/d/1k2mPWzsbUg1wPvY04GtgC12TDDwhiv7N/view?usp=drivesdk" TargetMode="External"/><Relationship Id="rId5161" Type="http://schemas.openxmlformats.org/officeDocument/2006/relationships/hyperlink" Target="https://drive.google.com/file/d/1BFCv5WoQxlpJ6jyN4XggNRhAhbPxgi5G/view?usp=drivesdk" TargetMode="External"/><Relationship Id="rId6492" Type="http://schemas.openxmlformats.org/officeDocument/2006/relationships/hyperlink" Target="https://drive.google.com/file/d/1U1Jc_tij1JOepYeETHCwpjqP9E8_W_HX/view?usp=drivesdk" TargetMode="External"/><Relationship Id="rId5162" Type="http://schemas.openxmlformats.org/officeDocument/2006/relationships/hyperlink" Target="https://drive.google.com/file/d/13nc9Pc5txUY0yLVNJnUvswYENMML3z3Y/view?usp=drivesdk" TargetMode="External"/><Relationship Id="rId6493" Type="http://schemas.openxmlformats.org/officeDocument/2006/relationships/hyperlink" Target="https://drive.google.com/file/d/1EMNizESBj37Yyb5jhcqQVQnV7_UlydZ2/view?usp=drivesdk" TargetMode="External"/><Relationship Id="rId5167" Type="http://schemas.openxmlformats.org/officeDocument/2006/relationships/hyperlink" Target="https://drive.google.com/file/d/1xm7oXilNmIRCQPAziXwf47KoOnB-alwz/view?usp=drivesdk" TargetMode="External"/><Relationship Id="rId6498" Type="http://schemas.openxmlformats.org/officeDocument/2006/relationships/hyperlink" Target="https://drive.google.com/file/d/1LO8axxCl90Y_Gv9IdBnxO103sY31Jv6P/view?usp=drivesdk" TargetMode="External"/><Relationship Id="rId5168" Type="http://schemas.openxmlformats.org/officeDocument/2006/relationships/hyperlink" Target="https://drive.google.com/file/d/1WQ24mJIJezhnCtmxeUnZ2Zgw1_oFZxL6/view?usp=drivesdk" TargetMode="External"/><Relationship Id="rId6499" Type="http://schemas.openxmlformats.org/officeDocument/2006/relationships/hyperlink" Target="https://drive.google.com/file/d/1m_SH0C46Ek9FatDwzk9ZefgHadbpGGwz/view?usp=drivesdk" TargetMode="External"/><Relationship Id="rId5165" Type="http://schemas.openxmlformats.org/officeDocument/2006/relationships/hyperlink" Target="https://drive.google.com/file/d/1Cj1e_DCMf2mTtWmKTMgSfr_WgFH-p7Mj/view?usp=drivesdk" TargetMode="External"/><Relationship Id="rId6496" Type="http://schemas.openxmlformats.org/officeDocument/2006/relationships/hyperlink" Target="https://drive.google.com/file/d/1TnOmYci0TT1_x3Eh7WJKzVb7-c02ZZ0u/view?usp=drivesdk" TargetMode="External"/><Relationship Id="rId5166" Type="http://schemas.openxmlformats.org/officeDocument/2006/relationships/hyperlink" Target="https://drive.google.com/file/d/13pUoRUGMjCqx-cION4fZulDEj4E3u00l/view?usp=drivesdk" TargetMode="External"/><Relationship Id="rId6497" Type="http://schemas.openxmlformats.org/officeDocument/2006/relationships/hyperlink" Target="https://drive.google.com/file/d/12IbEOMDBkLOrBJNIJStOBF7Pqgdf3YvY/view?usp=drivesdk" TargetMode="External"/><Relationship Id="rId5169" Type="http://schemas.openxmlformats.org/officeDocument/2006/relationships/hyperlink" Target="https://drive.google.com/file/d/1y4m9UEvuly3XckNWPgmYiGhQ8HT-mG45/view?usp=drivesdk" TargetMode="External"/><Relationship Id="rId5192" Type="http://schemas.openxmlformats.org/officeDocument/2006/relationships/hyperlink" Target="https://drive.google.com/file/d/1Qs588Ae9KJtCdUIjjKBsUamjMuunsRhj/view?usp=drivesdk" TargetMode="External"/><Relationship Id="rId5193" Type="http://schemas.openxmlformats.org/officeDocument/2006/relationships/hyperlink" Target="https://drive.google.com/file/d/1B0p7RrlRSX-Y1NXla-6X2yOjuuNlun_g/view?usp=drivesdk" TargetMode="External"/><Relationship Id="rId5190" Type="http://schemas.openxmlformats.org/officeDocument/2006/relationships/hyperlink" Target="https://drive.google.com/file/d/19n-NcOTUo9ZBa2yOslD986yhoIHdpujb/view?usp=drivesdk" TargetMode="External"/><Relationship Id="rId5191" Type="http://schemas.openxmlformats.org/officeDocument/2006/relationships/hyperlink" Target="https://drive.google.com/file/d/1eXwxVEKi74FDuPErtPpwFZ7KviTNryhD/view?usp=drivesdk" TargetMode="External"/><Relationship Id="rId5196" Type="http://schemas.openxmlformats.org/officeDocument/2006/relationships/hyperlink" Target="https://drive.google.com/file/d/1_wDFRK0JUpgRYuhgXJb7fI9Ap7BxMaPX/view?usp=drivesdk" TargetMode="External"/><Relationship Id="rId5197" Type="http://schemas.openxmlformats.org/officeDocument/2006/relationships/hyperlink" Target="https://drive.google.com/file/d/1xOeFIEv1Zbgwe-aMhdjLxXlmFE0v90qS/view?usp=drivesdk" TargetMode="External"/><Relationship Id="rId5194" Type="http://schemas.openxmlformats.org/officeDocument/2006/relationships/hyperlink" Target="https://drive.google.com/file/d/1MbGr1MsnFxP3ZNms7MsUT_nJd3SPgWBT/view?usp=drivesdk" TargetMode="External"/><Relationship Id="rId5195" Type="http://schemas.openxmlformats.org/officeDocument/2006/relationships/hyperlink" Target="https://drive.google.com/file/d/1tgOHbwc62ssuWoIz0x19x-Gntwo6dEz2/view?usp=drivesdk" TargetMode="External"/><Relationship Id="rId5198" Type="http://schemas.openxmlformats.org/officeDocument/2006/relationships/hyperlink" Target="https://drive.google.com/file/d/1YzRTHEm1JnFiCUwZP2C39ONJeyi1NMmX/view?usp=drivesdk" TargetMode="External"/><Relationship Id="rId5199" Type="http://schemas.openxmlformats.org/officeDocument/2006/relationships/hyperlink" Target="https://drive.google.com/file/d/17_iZBVasrSrtnRT-NEQinMMTs9KM7f-w/view?usp=drivesdk" TargetMode="External"/><Relationship Id="rId5181" Type="http://schemas.openxmlformats.org/officeDocument/2006/relationships/hyperlink" Target="https://drive.google.com/file/d/17LKz8TUgePdeCe4DizKbskGMY2t2xN9y/view?usp=drivesdk" TargetMode="External"/><Relationship Id="rId5182" Type="http://schemas.openxmlformats.org/officeDocument/2006/relationships/hyperlink" Target="https://drive.google.com/file/d/1bN5_9k1OLbeCQWmBDui7fg_gLb-sm594/view?usp=drivesdk" TargetMode="External"/><Relationship Id="rId5180" Type="http://schemas.openxmlformats.org/officeDocument/2006/relationships/hyperlink" Target="https://drive.google.com/file/d/1uuxa17HIvvEA9urGLLx2VWk5lzE_sB7M/view?usp=drivesdk" TargetMode="External"/><Relationship Id="rId5185" Type="http://schemas.openxmlformats.org/officeDocument/2006/relationships/hyperlink" Target="https://drive.google.com/file/d/1CnmSHTEeeTZu1IowpTQJrB2hJo0P0VhO/view?usp=drivesdk" TargetMode="External"/><Relationship Id="rId5186" Type="http://schemas.openxmlformats.org/officeDocument/2006/relationships/hyperlink" Target="https://drive.google.com/file/d/1BMk_RM0APqu9zjW3ocZNJDkbV130xDV6/view?usp=drivesdk" TargetMode="External"/><Relationship Id="rId5183" Type="http://schemas.openxmlformats.org/officeDocument/2006/relationships/hyperlink" Target="https://drive.google.com/file/d/1j87hyEI26JOZ-HmFuuhvDY7jKP1QcRTF/view?usp=drivesdk" TargetMode="External"/><Relationship Id="rId5184" Type="http://schemas.openxmlformats.org/officeDocument/2006/relationships/hyperlink" Target="https://drive.google.com/file/d/1itjmQGdO8Xh1QRvE4EUIHRZg2sdWQVdR/view?usp=drivesdk" TargetMode="External"/><Relationship Id="rId5189" Type="http://schemas.openxmlformats.org/officeDocument/2006/relationships/hyperlink" Target="https://drive.google.com/file/d/1aJxTTUvtWzgdcMopqko0NOhktqpc6wvW/view?usp=drivesdk" TargetMode="External"/><Relationship Id="rId5187" Type="http://schemas.openxmlformats.org/officeDocument/2006/relationships/hyperlink" Target="https://drive.google.com/file/d/1pkl4Vzt7KuNIW0Mr0-a158znH9ft2-cV/view?usp=drivesdk" TargetMode="External"/><Relationship Id="rId5188" Type="http://schemas.openxmlformats.org/officeDocument/2006/relationships/hyperlink" Target="https://drive.google.com/file/d/1evFGzkP83XbC6nmLAXU_1AdBgiWTxmM-/view?usp=drivesdk" TargetMode="External"/><Relationship Id="rId866" Type="http://schemas.openxmlformats.org/officeDocument/2006/relationships/hyperlink" Target="https://drive.google.com/file/d/1aBmcAY5EPzKRwcLCtlj71aU_uoMuqea1/view?usp=drivesdk" TargetMode="External"/><Relationship Id="rId865" Type="http://schemas.openxmlformats.org/officeDocument/2006/relationships/hyperlink" Target="https://drive.google.com/file/d/1v8YtNYrky1d222ZaFnAv7RV1TGZY3nRJ/view?usp=drivesdk" TargetMode="External"/><Relationship Id="rId864" Type="http://schemas.openxmlformats.org/officeDocument/2006/relationships/hyperlink" Target="https://drive.google.com/file/d/1Jq1MTedcJhYfJaY-6NeWn3EynV8pmmW9/view?usp=drivesdk" TargetMode="External"/><Relationship Id="rId863" Type="http://schemas.openxmlformats.org/officeDocument/2006/relationships/hyperlink" Target="https://drive.google.com/file/d/1QIr3OhIaLz0qXPdB3lBnKHWfFelsqXCn/view?usp=drivesdk" TargetMode="External"/><Relationship Id="rId869" Type="http://schemas.openxmlformats.org/officeDocument/2006/relationships/hyperlink" Target="https://drive.google.com/file/d/1M10mqrvHIxJsOrjLwH5PQcHsdVY7rEkL/view?usp=drivesdk" TargetMode="External"/><Relationship Id="rId868" Type="http://schemas.openxmlformats.org/officeDocument/2006/relationships/hyperlink" Target="https://drive.google.com/file/d/10yZspCBTCjVujB1_OzajJYAtfOdCOXDt/view?usp=drivesdk" TargetMode="External"/><Relationship Id="rId867" Type="http://schemas.openxmlformats.org/officeDocument/2006/relationships/hyperlink" Target="https://drive.google.com/file/d/1-jYnd8-jN0C1GdG-mkU3vXn0J1qiVX5-/view?usp=drivesdk" TargetMode="External"/><Relationship Id="rId862" Type="http://schemas.openxmlformats.org/officeDocument/2006/relationships/hyperlink" Target="https://drive.google.com/file/d/13iaN-2BagqxO6RITq7ANQ-O5BHsymjU8/view?usp=drivesdk" TargetMode="External"/><Relationship Id="rId861" Type="http://schemas.openxmlformats.org/officeDocument/2006/relationships/hyperlink" Target="https://drive.google.com/file/d/1WXNM49IXMlPWYJZs5CmQU8huDnHqVFnW/view?usp=drivesdk" TargetMode="External"/><Relationship Id="rId860" Type="http://schemas.openxmlformats.org/officeDocument/2006/relationships/hyperlink" Target="https://drive.google.com/file/d/1rKJe4YVoKJnycng8lTPdZygJIAyM4RmT/view?usp=drivesdk" TargetMode="External"/><Relationship Id="rId855" Type="http://schemas.openxmlformats.org/officeDocument/2006/relationships/hyperlink" Target="https://drive.google.com/file/d/1ePht3iTD4lAbUDQRuDsm1sFk35xlrVH6/view?usp=drivesdk" TargetMode="External"/><Relationship Id="rId854" Type="http://schemas.openxmlformats.org/officeDocument/2006/relationships/hyperlink" Target="https://drive.google.com/file/d/1TIySWwLc6GVEatviihDJPuM8uKtnDpk_/view?usp=drivesdk" TargetMode="External"/><Relationship Id="rId853" Type="http://schemas.openxmlformats.org/officeDocument/2006/relationships/hyperlink" Target="https://drive.google.com/file/d/12D8-m-dWMjTasa6PoE4miqrs_fsS1hCz/view?usp=drivesdk" TargetMode="External"/><Relationship Id="rId852" Type="http://schemas.openxmlformats.org/officeDocument/2006/relationships/hyperlink" Target="https://drive.google.com/file/d/1kj5M3u69Y2VdXq9F-F_-WQqwv0ZqCRmL/view?usp=drivesdk" TargetMode="External"/><Relationship Id="rId859" Type="http://schemas.openxmlformats.org/officeDocument/2006/relationships/hyperlink" Target="https://drive.google.com/file/d/1c1BRo8cy_yTwgb2Ui0MGWYZBOIW2C-oG/view?usp=drivesdk" TargetMode="External"/><Relationship Id="rId858" Type="http://schemas.openxmlformats.org/officeDocument/2006/relationships/hyperlink" Target="https://drive.google.com/file/d/1e4Nkg2gGW9Ep49cZh5nUK2dVDNNNwXEv/view?usp=drivesdk" TargetMode="External"/><Relationship Id="rId857" Type="http://schemas.openxmlformats.org/officeDocument/2006/relationships/hyperlink" Target="https://drive.google.com/file/d/1NKDokhMhtivR0ULgbxhcyiyJv898dLlW/view?usp=drivesdk" TargetMode="External"/><Relationship Id="rId856" Type="http://schemas.openxmlformats.org/officeDocument/2006/relationships/hyperlink" Target="https://drive.google.com/file/d/1Ytv7VXFoO9-pf-he2GJO-YPL9SiCHIzz/view?usp=drivesdk" TargetMode="External"/><Relationship Id="rId851" Type="http://schemas.openxmlformats.org/officeDocument/2006/relationships/hyperlink" Target="https://drive.google.com/file/d/1kEwQnBt4MziL26Z3PfEt-K7uHIa5Feg9/view?usp=drivesdk" TargetMode="External"/><Relationship Id="rId850" Type="http://schemas.openxmlformats.org/officeDocument/2006/relationships/hyperlink" Target="https://drive.google.com/file/d/1szFSQbVJLa_3nCrvwGA4RVKHw2_wfvf_/view?usp=drivesdk" TargetMode="External"/><Relationship Id="rId888" Type="http://schemas.openxmlformats.org/officeDocument/2006/relationships/hyperlink" Target="https://drive.google.com/file/d/1Zs2yHKMV58Uq40B-xRk8a2xZXZ6qMrNu/view?usp=drivesdk" TargetMode="External"/><Relationship Id="rId887" Type="http://schemas.openxmlformats.org/officeDocument/2006/relationships/hyperlink" Target="https://drive.google.com/file/d/1zidFshMzNP-9e40IzAGi0UNl_rEz6_qF/view?usp=drivesdk" TargetMode="External"/><Relationship Id="rId886" Type="http://schemas.openxmlformats.org/officeDocument/2006/relationships/hyperlink" Target="https://drive.google.com/file/d/16GoMjLwTZc3EXqzww2-BIJ3Jub1lbuFh/view?usp=drivesdk" TargetMode="External"/><Relationship Id="rId885" Type="http://schemas.openxmlformats.org/officeDocument/2006/relationships/hyperlink" Target="https://drive.google.com/file/d/1oxsNw0OY_T-egGhLp0zUUXXYwfi6r9Tv/view?usp=drivesdk" TargetMode="External"/><Relationship Id="rId889" Type="http://schemas.openxmlformats.org/officeDocument/2006/relationships/hyperlink" Target="https://drive.google.com/file/d/1HhMOyPwbXO-_i0VzrstfSHCMjVBWm3YL/view?usp=drivesdk" TargetMode="External"/><Relationship Id="rId880" Type="http://schemas.openxmlformats.org/officeDocument/2006/relationships/hyperlink" Target="https://drive.google.com/file/d/1lLREUaV9kkh8dCZJcCOtuNhWOoM1yjXN/view?usp=drivesdk" TargetMode="External"/><Relationship Id="rId884" Type="http://schemas.openxmlformats.org/officeDocument/2006/relationships/hyperlink" Target="https://drive.google.com/file/d/1ubZ1godZIWJVRY9rNVbxQ_NY494HYpRw/view?usp=drivesdk" TargetMode="External"/><Relationship Id="rId883" Type="http://schemas.openxmlformats.org/officeDocument/2006/relationships/hyperlink" Target="https://drive.google.com/file/d/176rBd4F1-dU2YFfceuP04V9mvTQLFb4l/view?usp=drivesdk" TargetMode="External"/><Relationship Id="rId882" Type="http://schemas.openxmlformats.org/officeDocument/2006/relationships/hyperlink" Target="https://drive.google.com/file/d/1U22uMqOIo_jaw5B-jyGfwk5bg0SZrOXc/view?usp=drivesdk" TargetMode="External"/><Relationship Id="rId881" Type="http://schemas.openxmlformats.org/officeDocument/2006/relationships/hyperlink" Target="https://drive.google.com/file/d/1-bGQqJn72j4FLWCg--NupMHU22NvdRzc/view?usp=drivesdk" TargetMode="External"/><Relationship Id="rId877" Type="http://schemas.openxmlformats.org/officeDocument/2006/relationships/hyperlink" Target="https://drive.google.com/file/d/1RNu6Uhbc7o-nLGhZ3x5mWutdJCg94fpM/view?usp=drivesdk" TargetMode="External"/><Relationship Id="rId876" Type="http://schemas.openxmlformats.org/officeDocument/2006/relationships/hyperlink" Target="https://drive.google.com/file/d/1T3xxQJG5wMfJaXqZo8r4XrsLnyqFmPEc/view?usp=drivesdk" TargetMode="External"/><Relationship Id="rId875" Type="http://schemas.openxmlformats.org/officeDocument/2006/relationships/hyperlink" Target="https://drive.google.com/file/d/1jA2SSWA8GpqG-B3uLeIweu9uxD6ROfsy/view?usp=drivesdk" TargetMode="External"/><Relationship Id="rId874" Type="http://schemas.openxmlformats.org/officeDocument/2006/relationships/hyperlink" Target="https://drive.google.com/file/d/1e8speoED2XKkeHqN1gO81N7YylBlwZJu/view?usp=drivesdk" TargetMode="External"/><Relationship Id="rId879" Type="http://schemas.openxmlformats.org/officeDocument/2006/relationships/hyperlink" Target="https://drive.google.com/file/d/13SuL-LrOcMRKXucHAd1wds5iGpP0fT4K/view?usp=drivesdk" TargetMode="External"/><Relationship Id="rId878" Type="http://schemas.openxmlformats.org/officeDocument/2006/relationships/hyperlink" Target="https://drive.google.com/file/d/1rHUd00pgd4dy4xO9opskdirM-ESWgee6/view?usp=drivesdk" TargetMode="External"/><Relationship Id="rId873" Type="http://schemas.openxmlformats.org/officeDocument/2006/relationships/hyperlink" Target="https://drive.google.com/file/d/1hkmqHwfnT2laMuDwAph2NjlVkNYOUD94/view?usp=drivesdk" TargetMode="External"/><Relationship Id="rId872" Type="http://schemas.openxmlformats.org/officeDocument/2006/relationships/hyperlink" Target="https://drive.google.com/file/d/18aOB3x0L8p-52TmfdYSCyOMIdl5xoQY9/view?usp=drivesdk" TargetMode="External"/><Relationship Id="rId871" Type="http://schemas.openxmlformats.org/officeDocument/2006/relationships/hyperlink" Target="https://drive.google.com/file/d/12-7jID-xVGMvFgmquB3Ar9DGFnqh2MCL/view?usp=drivesdk" TargetMode="External"/><Relationship Id="rId870" Type="http://schemas.openxmlformats.org/officeDocument/2006/relationships/hyperlink" Target="https://drive.google.com/file/d/13aDLMPG52PRCBNkGVbnNfxJsVNxUN35I/view?usp=drivesdk" TargetMode="External"/><Relationship Id="rId829" Type="http://schemas.openxmlformats.org/officeDocument/2006/relationships/hyperlink" Target="https://drive.google.com/file/d/1bPAeuzG0lDL7XF71AjeWxnf_yyd1OUvl/view?usp=drivesdk" TargetMode="External"/><Relationship Id="rId828" Type="http://schemas.openxmlformats.org/officeDocument/2006/relationships/hyperlink" Target="https://drive.google.com/file/d/1TZw3zMkk--28o1Ez1kZpKAi6ZgNq4jsa/view?usp=drivesdk" TargetMode="External"/><Relationship Id="rId827" Type="http://schemas.openxmlformats.org/officeDocument/2006/relationships/hyperlink" Target="https://drive.google.com/file/d/1mnqiOU3UVZj2Q00-dhY9p_iQT3M4AOEY/view?usp=drivesdk" TargetMode="External"/><Relationship Id="rId822" Type="http://schemas.openxmlformats.org/officeDocument/2006/relationships/hyperlink" Target="https://drive.google.com/file/d/1A-E8IdMyXUVo2wwVlRw5jhOB37VVMef3/view?usp=drivesdk" TargetMode="External"/><Relationship Id="rId821" Type="http://schemas.openxmlformats.org/officeDocument/2006/relationships/hyperlink" Target="https://drive.google.com/file/d/10JRhgTiUfQCjzUhZBiAIupIdsUKtGob5/view?usp=drivesdk" TargetMode="External"/><Relationship Id="rId820" Type="http://schemas.openxmlformats.org/officeDocument/2006/relationships/hyperlink" Target="https://drive.google.com/file/d/1RmZrod5_So-DIyjm0njyD9TIyY24Oo_e/view?usp=drivesdk" TargetMode="External"/><Relationship Id="rId826" Type="http://schemas.openxmlformats.org/officeDocument/2006/relationships/hyperlink" Target="https://drive.google.com/file/d/1BWvnV9G-43fF7u-v-2RbFwxcpHcaLd2-/view?usp=drivesdk" TargetMode="External"/><Relationship Id="rId825" Type="http://schemas.openxmlformats.org/officeDocument/2006/relationships/hyperlink" Target="https://drive.google.com/file/d/1WOBdCj__lPBxfzndvWYDjFc6pc3m-ifA/view?usp=drivesdk" TargetMode="External"/><Relationship Id="rId824" Type="http://schemas.openxmlformats.org/officeDocument/2006/relationships/hyperlink" Target="https://drive.google.com/file/d/1RXPHrgHGLTlS7VCphFIep-pWQexJj1wB/view?usp=drivesdk" TargetMode="External"/><Relationship Id="rId823" Type="http://schemas.openxmlformats.org/officeDocument/2006/relationships/hyperlink" Target="https://drive.google.com/file/d/1h3PflVtOtZCe2z4_ioh6MKeFqeEYk24Y/view?usp=drivesdk" TargetMode="External"/><Relationship Id="rId819" Type="http://schemas.openxmlformats.org/officeDocument/2006/relationships/hyperlink" Target="https://drive.google.com/file/d/12Nd6-WF2ugbdG_NWQgFxjllH2ym_E6P_/view?usp=drivesdk" TargetMode="External"/><Relationship Id="rId818" Type="http://schemas.openxmlformats.org/officeDocument/2006/relationships/hyperlink" Target="https://drive.google.com/file/d/1ZAdi1GAVWIzw92SXNg3Q5em-m0A7Lu95/view?usp=drivesdk" TargetMode="External"/><Relationship Id="rId817" Type="http://schemas.openxmlformats.org/officeDocument/2006/relationships/hyperlink" Target="https://drive.google.com/file/d/1-VGCD3Z0eZZqHcQBDUhaRVxN7TPaeBL2/view?usp=drivesdk" TargetMode="External"/><Relationship Id="rId816" Type="http://schemas.openxmlformats.org/officeDocument/2006/relationships/hyperlink" Target="https://drive.google.com/file/d/1GSeA5zbvBx_iJDqvoYmYAtVK21rpcozf/view?usp=drivesdk" TargetMode="External"/><Relationship Id="rId811" Type="http://schemas.openxmlformats.org/officeDocument/2006/relationships/hyperlink" Target="https://drive.google.com/file/d/1e8u1W0KTc5_OLqfVE-fS6Ch6UN-VGMf0/view?usp=drivesdk" TargetMode="External"/><Relationship Id="rId810" Type="http://schemas.openxmlformats.org/officeDocument/2006/relationships/hyperlink" Target="https://drive.google.com/file/d/15OhZp8fux2vXGpkHhhzw1IyEUdTzkkqm/view?usp=drivesdk" TargetMode="External"/><Relationship Id="rId815" Type="http://schemas.openxmlformats.org/officeDocument/2006/relationships/hyperlink" Target="https://drive.google.com/file/d/1ya6zhKD67LqM7jEpYxkDAxm-wUlfArLn/view?usp=drivesdk" TargetMode="External"/><Relationship Id="rId814" Type="http://schemas.openxmlformats.org/officeDocument/2006/relationships/hyperlink" Target="https://drive.google.com/file/d/1gKduw8UpdXiFn3llVU58Wl1rUTHSdMTf/view?usp=drivesdk" TargetMode="External"/><Relationship Id="rId813" Type="http://schemas.openxmlformats.org/officeDocument/2006/relationships/hyperlink" Target="https://drive.google.com/file/d/14A0OT4fxRvS-horh80VdMEmkC5qs46So/view?usp=drivesdk" TargetMode="External"/><Relationship Id="rId812" Type="http://schemas.openxmlformats.org/officeDocument/2006/relationships/hyperlink" Target="https://drive.google.com/file/d/13pwPh-6cW7XeqSwZphb-6tX_kYcauESg/view?usp=drivesdk" TargetMode="External"/><Relationship Id="rId849" Type="http://schemas.openxmlformats.org/officeDocument/2006/relationships/hyperlink" Target="https://drive.google.com/file/d/1nOouBWzwK77yetiins6jP2LGcNfT8njI/view?usp=drivesdk" TargetMode="External"/><Relationship Id="rId844" Type="http://schemas.openxmlformats.org/officeDocument/2006/relationships/hyperlink" Target="https://drive.google.com/file/d/1MjhGgLTxmpI6UOCFmtlhbhfVFOG3IMND/view?usp=drivesdk" TargetMode="External"/><Relationship Id="rId843" Type="http://schemas.openxmlformats.org/officeDocument/2006/relationships/hyperlink" Target="https://drive.google.com/file/d/17Nesmyp8DRKpUTTej0OpQBk4AoM8d4uv/view?usp=drivesdk" TargetMode="External"/><Relationship Id="rId842" Type="http://schemas.openxmlformats.org/officeDocument/2006/relationships/hyperlink" Target="https://drive.google.com/file/d/1oX5DaUhGPqx7kukGxNcAgz1lsjfv2ata/view?usp=drivesdk" TargetMode="External"/><Relationship Id="rId841" Type="http://schemas.openxmlformats.org/officeDocument/2006/relationships/hyperlink" Target="https://drive.google.com/file/d/1BT8-yq2z5B91VeVyXCLqDd8APx_0MPTR/view?usp=drivesdk" TargetMode="External"/><Relationship Id="rId848" Type="http://schemas.openxmlformats.org/officeDocument/2006/relationships/hyperlink" Target="https://drive.google.com/file/d/1dwCc-IEWldjyFBwYtHkqZMg7VXPNvpcj/view?usp=drivesdk" TargetMode="External"/><Relationship Id="rId847" Type="http://schemas.openxmlformats.org/officeDocument/2006/relationships/hyperlink" Target="https://drive.google.com/file/d/1Sqsq2--rDUa9uZwj69TEezOmLx-fguh7/view?usp=drivesdk" TargetMode="External"/><Relationship Id="rId846" Type="http://schemas.openxmlformats.org/officeDocument/2006/relationships/hyperlink" Target="https://drive.google.com/file/d/1sple4OJC-TKzze9q4KvP7m5HrJZVucmG/view?usp=drivesdk" TargetMode="External"/><Relationship Id="rId845" Type="http://schemas.openxmlformats.org/officeDocument/2006/relationships/hyperlink" Target="https://drive.google.com/file/d/1ku66smXhzus6nCgw5ajf2LjRlvEKrgHG/view?usp=drivesdk" TargetMode="External"/><Relationship Id="rId840" Type="http://schemas.openxmlformats.org/officeDocument/2006/relationships/hyperlink" Target="https://drive.google.com/file/d/1s11AhZybElVahcHoZH-RxtGgbOYxOR-3/view?usp=drivesdk" TargetMode="External"/><Relationship Id="rId839" Type="http://schemas.openxmlformats.org/officeDocument/2006/relationships/hyperlink" Target="https://drive.google.com/file/d/1FCRmHb06Twh11vmYH54tsf55hhnTmd_V/view?usp=drivesdk" TargetMode="External"/><Relationship Id="rId838" Type="http://schemas.openxmlformats.org/officeDocument/2006/relationships/hyperlink" Target="https://drive.google.com/file/d/1uTK7ijK36hgYhTQ0MAha7NfMWhFDLhTt/view?usp=drivesdk" TargetMode="External"/><Relationship Id="rId833" Type="http://schemas.openxmlformats.org/officeDocument/2006/relationships/hyperlink" Target="https://drive.google.com/file/d/1XFm6E8dL_PUMlWhsMvaqjcdZK92IfIMs/view?usp=drivesdk" TargetMode="External"/><Relationship Id="rId832" Type="http://schemas.openxmlformats.org/officeDocument/2006/relationships/hyperlink" Target="https://drive.google.com/file/d/1sseu6azWRvPqysk7HlGAJaX5ow5GO4sF/view?usp=drivesdk" TargetMode="External"/><Relationship Id="rId831" Type="http://schemas.openxmlformats.org/officeDocument/2006/relationships/hyperlink" Target="https://drive.google.com/file/d/1a6YAw5ZnS_qEOEv8uQ28UftPArnkxL54/view?usp=drivesdk" TargetMode="External"/><Relationship Id="rId830" Type="http://schemas.openxmlformats.org/officeDocument/2006/relationships/hyperlink" Target="https://drive.google.com/file/d/1BjIEDkWej-V_ExRCKvcypTyFfEYLPcp2/view?usp=drivesdk" TargetMode="External"/><Relationship Id="rId837" Type="http://schemas.openxmlformats.org/officeDocument/2006/relationships/hyperlink" Target="https://drive.google.com/file/d/1Aa12nDQb0s9i0VlPD9nCiarOCRq3qGoa/view?usp=drivesdk" TargetMode="External"/><Relationship Id="rId836" Type="http://schemas.openxmlformats.org/officeDocument/2006/relationships/hyperlink" Target="https://drive.google.com/file/d/17kioKYkH286gZnoeRKUEvCrOZwdt3djP/view?usp=drivesdk" TargetMode="External"/><Relationship Id="rId835" Type="http://schemas.openxmlformats.org/officeDocument/2006/relationships/hyperlink" Target="https://drive.google.com/file/d/1j0cEKTY28KJPav0yX6uc2S3pxqZ6Uzgv/view?usp=drivesdk" TargetMode="External"/><Relationship Id="rId834" Type="http://schemas.openxmlformats.org/officeDocument/2006/relationships/hyperlink" Target="https://drive.google.com/file/d/17gSR2aynisT3bOnHFcjBMB1qHAVT4_Wk/view?usp=drivesdk" TargetMode="External"/><Relationship Id="rId6506" Type="http://schemas.openxmlformats.org/officeDocument/2006/relationships/hyperlink" Target="https://drive.google.com/file/d/1hJqyuhq5jBOnTSjkuY1K3jU1cnuLL3ET/view?usp=drivesdk" TargetMode="External"/><Relationship Id="rId7838" Type="http://schemas.openxmlformats.org/officeDocument/2006/relationships/hyperlink" Target="https://drive.google.com/file/d/19RE6PsQVADHKninGRpoMYi5KvO-zT9J5/view?usp=drivesdk" TargetMode="External"/><Relationship Id="rId6507" Type="http://schemas.openxmlformats.org/officeDocument/2006/relationships/hyperlink" Target="https://drive.google.com/file/d/1zbCN4DHxegAMQZ0oJfZE4_Ox7N__0zFp/view?usp=drivesdk" TargetMode="External"/><Relationship Id="rId7837" Type="http://schemas.openxmlformats.org/officeDocument/2006/relationships/hyperlink" Target="https://drive.google.com/file/d/1nycxrg4A154iueZdsvEQLqdtRut0ez0Z/view?usp=drivesdk" TargetMode="External"/><Relationship Id="rId6504" Type="http://schemas.openxmlformats.org/officeDocument/2006/relationships/hyperlink" Target="https://drive.google.com/file/d/16eaZ3RNgp_YMxdG7F715_boRXHitoYRj/view?usp=drivesdk" TargetMode="External"/><Relationship Id="rId7836" Type="http://schemas.openxmlformats.org/officeDocument/2006/relationships/hyperlink" Target="https://drive.google.com/file/d/1e0OWyG6QV_20gwmJGzfPV36bWnV3OThZ/view?usp=drivesdk" TargetMode="External"/><Relationship Id="rId6505" Type="http://schemas.openxmlformats.org/officeDocument/2006/relationships/hyperlink" Target="https://drive.google.com/file/d/1dum6L9rea6cdTZTil9vjWNIA1oPwl45G/view?usp=drivesdk" TargetMode="External"/><Relationship Id="rId7835" Type="http://schemas.openxmlformats.org/officeDocument/2006/relationships/hyperlink" Target="https://drive.google.com/file/d/1yMbsaKy8r8lKehHYwCfq886dnU-y177L/view?usp=drivesdk" TargetMode="External"/><Relationship Id="rId6508" Type="http://schemas.openxmlformats.org/officeDocument/2006/relationships/hyperlink" Target="https://drive.google.com/file/d/1h5MSdpZm1S6Yo9wTBuDD_cB5qdzWzJCP/view?usp=drivesdk" TargetMode="External"/><Relationship Id="rId6509" Type="http://schemas.openxmlformats.org/officeDocument/2006/relationships/hyperlink" Target="https://drive.google.com/file/d/1RPHJk5dofH3HGd_FLpPJ7QCvt3bgoojj/view?usp=drivesdk" TargetMode="External"/><Relationship Id="rId7839" Type="http://schemas.openxmlformats.org/officeDocument/2006/relationships/hyperlink" Target="https://drive.google.com/file/d/1Gnzfiginfo11NgOEsj2rzi7e_ykOE987/view?usp=drivesdk" TargetMode="External"/><Relationship Id="rId7830" Type="http://schemas.openxmlformats.org/officeDocument/2006/relationships/hyperlink" Target="https://drive.google.com/file/d/1OzvjANiKtHZ5Jra7oz96cKRlChHvZ6wx/view?usp=drivesdk" TargetMode="External"/><Relationship Id="rId6502" Type="http://schemas.openxmlformats.org/officeDocument/2006/relationships/hyperlink" Target="https://drive.google.com/file/d/16N-yEjJKIGxjmmdIl-uX60DpnlPkJS8s/view?usp=drivesdk" TargetMode="External"/><Relationship Id="rId7834" Type="http://schemas.openxmlformats.org/officeDocument/2006/relationships/hyperlink" Target="https://drive.google.com/file/d/10fOOdcPEZDzNOzeyLPsWZZuM_L4bJPHR/view?usp=drivesdk" TargetMode="External"/><Relationship Id="rId6503" Type="http://schemas.openxmlformats.org/officeDocument/2006/relationships/hyperlink" Target="https://drive.google.com/file/d/10LFuolF3JMBsIdphA5XIIhAUYpHcb-e6/view?usp=drivesdk" TargetMode="External"/><Relationship Id="rId7833" Type="http://schemas.openxmlformats.org/officeDocument/2006/relationships/hyperlink" Target="https://drive.google.com/file/d/1dk9KnAbmO3XQpL5Tk100zd_b8xH3XyHb/view?usp=drivesdk" TargetMode="External"/><Relationship Id="rId6500" Type="http://schemas.openxmlformats.org/officeDocument/2006/relationships/hyperlink" Target="https://drive.google.com/file/d/1BwntA5Q8kRx-4n0QrCLezs-R4Joy_UML/view?usp=drivesdk" TargetMode="External"/><Relationship Id="rId7832" Type="http://schemas.openxmlformats.org/officeDocument/2006/relationships/hyperlink" Target="https://drive.google.com/file/d/1LrTTVtwKnBuAK1-5AoR_R2_G6iu8F0M_/view?usp=drivesdk" TargetMode="External"/><Relationship Id="rId6501" Type="http://schemas.openxmlformats.org/officeDocument/2006/relationships/hyperlink" Target="https://drive.google.com/file/d/1GCxoSojOuUn9wlguLXtPSi-fU6ukyN1l/view?usp=drivesdk" TargetMode="External"/><Relationship Id="rId7831" Type="http://schemas.openxmlformats.org/officeDocument/2006/relationships/hyperlink" Target="https://drive.google.com/file/d/17Mc-P50s_WkIW7wZz3t05d6DIa9O2ns_/view?usp=drivesdk" TargetMode="External"/><Relationship Id="rId7827" Type="http://schemas.openxmlformats.org/officeDocument/2006/relationships/hyperlink" Target="https://drive.google.com/file/d/1yLyf7oNp2aJB7-LU6PE0OfJwTCsVkKP2/view?usp=drivesdk" TargetMode="External"/><Relationship Id="rId7826" Type="http://schemas.openxmlformats.org/officeDocument/2006/relationships/hyperlink" Target="https://drive.google.com/file/d/1yiQPlUL748EX2W1bMmZ6x1bhxAhymUd2/view?usp=drivesdk" TargetMode="External"/><Relationship Id="rId7825" Type="http://schemas.openxmlformats.org/officeDocument/2006/relationships/hyperlink" Target="https://drive.google.com/file/d/17THPLLfX9Cp8zr3txe1_i0sQbVMiWflV/view?usp=drivesdk" TargetMode="External"/><Relationship Id="rId7824" Type="http://schemas.openxmlformats.org/officeDocument/2006/relationships/hyperlink" Target="https://drive.google.com/file/d/1Hh_5IiIlOokk-0icrKJglhJgrA-KkWgO/view?usp=drivesdk" TargetMode="External"/><Relationship Id="rId7829" Type="http://schemas.openxmlformats.org/officeDocument/2006/relationships/hyperlink" Target="https://drive.google.com/file/d/1Cn4kWXSaxYP6JmDBON-hOv_xNciquPax/view?usp=drivesdk" TargetMode="External"/><Relationship Id="rId7828" Type="http://schemas.openxmlformats.org/officeDocument/2006/relationships/hyperlink" Target="https://drive.google.com/file/d/1J6JzN1hH4Ca3sqrHO7a69JfU2osX9IM2/view?usp=drivesdk" TargetMode="External"/><Relationship Id="rId7823" Type="http://schemas.openxmlformats.org/officeDocument/2006/relationships/hyperlink" Target="https://drive.google.com/file/d/1xHYI4Mz0bvP8zpvVNZtc81nuz5BaQckS/view?usp=drivesdk" TargetMode="External"/><Relationship Id="rId7822" Type="http://schemas.openxmlformats.org/officeDocument/2006/relationships/hyperlink" Target="https://drive.google.com/file/d/1TEDsGGYQEjWwB2yQuvo5fInwWWoPFGB4/view?usp=drivesdk" TargetMode="External"/><Relationship Id="rId7821" Type="http://schemas.openxmlformats.org/officeDocument/2006/relationships/hyperlink" Target="https://drive.google.com/file/d/16rqeuyR4rM5NgWDEzS4-1pY_ubORfw7-/view?usp=drivesdk" TargetMode="External"/><Relationship Id="rId7820" Type="http://schemas.openxmlformats.org/officeDocument/2006/relationships/hyperlink" Target="https://drive.google.com/file/d/1NtbH5sQGXB_xsIzz4C02YEapeBsvhZxR/view?usp=drivesdk" TargetMode="External"/><Relationship Id="rId6528" Type="http://schemas.openxmlformats.org/officeDocument/2006/relationships/hyperlink" Target="https://drive.google.com/file/d/16grxy4USKK-WeTpOVWuM4lr-H9d0QtI9/view?usp=drivesdk" TargetMode="External"/><Relationship Id="rId6529" Type="http://schemas.openxmlformats.org/officeDocument/2006/relationships/hyperlink" Target="https://drive.google.com/file/d/1if2glhBdZs9C2nWfr0M64_41DG7pfPic/view?usp=drivesdk" TargetMode="External"/><Relationship Id="rId7859" Type="http://schemas.openxmlformats.org/officeDocument/2006/relationships/hyperlink" Target="https://drive.google.com/file/d/1tkjFX3JEYzBKbEsXwUhs1sDsAAjTGpsE/view?usp=drivesdk" TargetMode="External"/><Relationship Id="rId6526" Type="http://schemas.openxmlformats.org/officeDocument/2006/relationships/hyperlink" Target="https://drive.google.com/file/d/1U9kKsdsoqgTyHxHL7p5-vZvJTO5o0uWJ/view?usp=drivesdk" TargetMode="External"/><Relationship Id="rId7858" Type="http://schemas.openxmlformats.org/officeDocument/2006/relationships/hyperlink" Target="https://drive.google.com/file/d/1JigaYHd-2uP6iFR0Jvpv8J9OxO6YWSV9/view?usp=drivesdk" TargetMode="External"/><Relationship Id="rId6527" Type="http://schemas.openxmlformats.org/officeDocument/2006/relationships/hyperlink" Target="https://drive.google.com/file/d/1uHtlBYJq9opuHQ3wyNtT5MOtmBnSU5ap/view?usp=drivesdk" TargetMode="External"/><Relationship Id="rId7857" Type="http://schemas.openxmlformats.org/officeDocument/2006/relationships/hyperlink" Target="https://drive.google.com/file/d/1wlonc_uwFlufTMSOlzH7vDGko35ICIYC/view?usp=drivesdk" TargetMode="External"/><Relationship Id="rId6520" Type="http://schemas.openxmlformats.org/officeDocument/2006/relationships/hyperlink" Target="https://drive.google.com/file/d/13pCvnjVbmDrzn2vXIuA4Oay3wUDj6lnD/view?usp=drivesdk" TargetMode="External"/><Relationship Id="rId7852" Type="http://schemas.openxmlformats.org/officeDocument/2006/relationships/hyperlink" Target="https://drive.google.com/file/d/1CjvNKm9O6Uik32_QtBqplTcPJSo001i7/view?usp=drivesdk" TargetMode="External"/><Relationship Id="rId6521" Type="http://schemas.openxmlformats.org/officeDocument/2006/relationships/hyperlink" Target="https://drive.google.com/file/d/1zQBulnu5XNun0Yrpb5xvob4FUApeXqeZ/view?usp=drivesdk" TargetMode="External"/><Relationship Id="rId7851" Type="http://schemas.openxmlformats.org/officeDocument/2006/relationships/hyperlink" Target="https://drive.google.com/file/d/1XrbtWhb5_vL1IueqawwYS16UbtytczE1/view?usp=drivesdk" TargetMode="External"/><Relationship Id="rId7850" Type="http://schemas.openxmlformats.org/officeDocument/2006/relationships/hyperlink" Target="https://drive.google.com/file/d/1OnPBn5eUuJcU2aHGDchVTPvYuC6ucZ_L/view?usp=drivesdk" TargetMode="External"/><Relationship Id="rId6524" Type="http://schemas.openxmlformats.org/officeDocument/2006/relationships/hyperlink" Target="https://drive.google.com/file/d/1UBRI6e-7VkqZYKDrx89EowpNXKIDDpcl/view?usp=drivesdk" TargetMode="External"/><Relationship Id="rId7856" Type="http://schemas.openxmlformats.org/officeDocument/2006/relationships/hyperlink" Target="https://drive.google.com/file/d/1u3r7iEnLo7Thfk5Ri7YXVBZt-Y0ARUuI/view?usp=drivesdk" TargetMode="External"/><Relationship Id="rId6525" Type="http://schemas.openxmlformats.org/officeDocument/2006/relationships/hyperlink" Target="https://drive.google.com/file/d/1tBlB0-pBfjCH9Jyfx0GS2OseXy4EazKB/view?usp=drivesdk" TargetMode="External"/><Relationship Id="rId7855" Type="http://schemas.openxmlformats.org/officeDocument/2006/relationships/hyperlink" Target="https://drive.google.com/file/d/1g6cbZyyjt71qKNr0xrdl6BJvLJMSqBqI/view?usp=drivesdk" TargetMode="External"/><Relationship Id="rId6522" Type="http://schemas.openxmlformats.org/officeDocument/2006/relationships/hyperlink" Target="https://drive.google.com/file/d/1iZBhF8jsX4IVza-iJb49qJNiG6DlTshs/view?usp=drivesdk" TargetMode="External"/><Relationship Id="rId7854" Type="http://schemas.openxmlformats.org/officeDocument/2006/relationships/hyperlink" Target="https://drive.google.com/file/d/1rdR5m8LNjBrSzPJf4Xkwy6Nkrko54HWN/view?usp=drivesdk" TargetMode="External"/><Relationship Id="rId6523" Type="http://schemas.openxmlformats.org/officeDocument/2006/relationships/hyperlink" Target="https://drive.google.com/file/d/1KCvpAF0T4WFjBYaMkv8QgoBvKJy9sGco/view?usp=drivesdk" TargetMode="External"/><Relationship Id="rId7853" Type="http://schemas.openxmlformats.org/officeDocument/2006/relationships/hyperlink" Target="https://drive.google.com/file/d/1nnAX02kslhs_IlZX-ks6w0HVeHHKs2M5/view?usp=drivesdk" TargetMode="External"/><Relationship Id="rId6517" Type="http://schemas.openxmlformats.org/officeDocument/2006/relationships/hyperlink" Target="https://drive.google.com/file/d/1LlPvAnJ1w3hSpTk_JHNHPth4w7XojPc-/view?usp=drivesdk" TargetMode="External"/><Relationship Id="rId7849" Type="http://schemas.openxmlformats.org/officeDocument/2006/relationships/hyperlink" Target="https://drive.google.com/file/d/1azzj1PWqVk77o3jz-jA3FNC3YijpotZe/view?usp=drivesdk" TargetMode="External"/><Relationship Id="rId6518" Type="http://schemas.openxmlformats.org/officeDocument/2006/relationships/hyperlink" Target="https://drive.google.com/file/d/1Ip4D-aNFf7GKyyzFF4s3L0nI2i5Iej6E/view?usp=drivesdk" TargetMode="External"/><Relationship Id="rId7848" Type="http://schemas.openxmlformats.org/officeDocument/2006/relationships/hyperlink" Target="https://drive.google.com/file/d/1-5K9lFGp7HgcN2VCeCijaZsg8ltQALzl/view?usp=drivesdk" TargetMode="External"/><Relationship Id="rId6515" Type="http://schemas.openxmlformats.org/officeDocument/2006/relationships/hyperlink" Target="https://drive.google.com/file/d/1yelk3cpjFgAJLuwrq6lIHkqvqpdOgv1z/view?usp=drivesdk" TargetMode="External"/><Relationship Id="rId7847" Type="http://schemas.openxmlformats.org/officeDocument/2006/relationships/hyperlink" Target="https://drive.google.com/file/d/1VJvryXXYesaqtsXo51CmDyDgyeiAWFGV/view?usp=drivesdk" TargetMode="External"/><Relationship Id="rId6516" Type="http://schemas.openxmlformats.org/officeDocument/2006/relationships/hyperlink" Target="https://drive.google.com/file/d/1Me_XHbzyNDIsjPLBDK5g0gOZQohSdXbp/view?usp=drivesdk" TargetMode="External"/><Relationship Id="rId7846" Type="http://schemas.openxmlformats.org/officeDocument/2006/relationships/hyperlink" Target="https://drive.google.com/file/d/1Ca-HXklqLRVqbIW6X7A7Z3woYWICAq4u/view?usp=drivesdk" TargetMode="External"/><Relationship Id="rId6519" Type="http://schemas.openxmlformats.org/officeDocument/2006/relationships/hyperlink" Target="https://drive.google.com/file/d/1hj1kGClUc5Ij5Et2DXNJ8yR7BY7zTONL/view?usp=drivesdk" TargetMode="External"/><Relationship Id="rId7841" Type="http://schemas.openxmlformats.org/officeDocument/2006/relationships/hyperlink" Target="https://drive.google.com/file/d/1g4eYHFOMbyDbR9MdgyBBtQPuHrB62wHn/view?usp=drivesdk" TargetMode="External"/><Relationship Id="rId6510" Type="http://schemas.openxmlformats.org/officeDocument/2006/relationships/hyperlink" Target="https://drive.google.com/file/d/1mZJ3l_MD9sOqtm9YtsBZ8_bQgpwejPYG/view?usp=drivesdk" TargetMode="External"/><Relationship Id="rId7840" Type="http://schemas.openxmlformats.org/officeDocument/2006/relationships/hyperlink" Target="https://drive.google.com/file/d/1HGRO4DTK_-RxwoxD6kt3lhDNS0Bxk6W7/view?usp=drivesdk" TargetMode="External"/><Relationship Id="rId6513" Type="http://schemas.openxmlformats.org/officeDocument/2006/relationships/hyperlink" Target="https://drive.google.com/file/d/1hzdZC9l2C4u4s3AzbyNdJ5ZwQlGwqIQM/view?usp=drivesdk" TargetMode="External"/><Relationship Id="rId7845" Type="http://schemas.openxmlformats.org/officeDocument/2006/relationships/hyperlink" Target="https://drive.google.com/file/d/1f4Rtzdn81ABXWQUPrMMxp5ObYDRi3C5V/view?usp=drivesdk" TargetMode="External"/><Relationship Id="rId6514" Type="http://schemas.openxmlformats.org/officeDocument/2006/relationships/hyperlink" Target="https://drive.google.com/file/d/1beEqndi6BXE5lMf5UJ2mCmuJh3gNzrjk/view?usp=drivesdk" TargetMode="External"/><Relationship Id="rId7844" Type="http://schemas.openxmlformats.org/officeDocument/2006/relationships/hyperlink" Target="https://drive.google.com/file/d/1R3YhiPAMTgDs6tNNAhgcGEONbNoVCtf8/view?usp=drivesdk" TargetMode="External"/><Relationship Id="rId6511" Type="http://schemas.openxmlformats.org/officeDocument/2006/relationships/hyperlink" Target="https://drive.google.com/file/d/1KsSzvo_D1uZDax-tp5wXFQR3sBljJc4V/view?usp=drivesdk" TargetMode="External"/><Relationship Id="rId7843" Type="http://schemas.openxmlformats.org/officeDocument/2006/relationships/hyperlink" Target="https://drive.google.com/file/d/1R-Y3dOSEbL8zjGgywPRUjSdOhGo9KZ8Y/view?usp=drivesdk" TargetMode="External"/><Relationship Id="rId6512" Type="http://schemas.openxmlformats.org/officeDocument/2006/relationships/hyperlink" Target="https://drive.google.com/file/d/1f8NdKzET8WDMMr3jF0hJFdkyNPR5ewEQ/view?usp=drivesdk" TargetMode="External"/><Relationship Id="rId7842" Type="http://schemas.openxmlformats.org/officeDocument/2006/relationships/hyperlink" Target="https://drive.google.com/file/d/1VNz09O1q9qFVVtllPHPAt-vQ5JLW3LqU/view?usp=drivesdk" TargetMode="External"/><Relationship Id="rId899" Type="http://schemas.openxmlformats.org/officeDocument/2006/relationships/hyperlink" Target="https://drive.google.com/file/d/1eH_W7AsXGlLqFoatH1tEK1ffbuBTtT3r/view?usp=drivesdk" TargetMode="External"/><Relationship Id="rId898" Type="http://schemas.openxmlformats.org/officeDocument/2006/relationships/hyperlink" Target="https://drive.google.com/file/d/1dmED8WFvcF6cAsKqTZPWSfg_Xzi0KSib/view?usp=drivesdk" TargetMode="External"/><Relationship Id="rId897" Type="http://schemas.openxmlformats.org/officeDocument/2006/relationships/hyperlink" Target="https://drive.google.com/file/d/1Eu9bGYpoBXR55FrHGykRKJEYSDqcvx8x/view?usp=drivesdk" TargetMode="External"/><Relationship Id="rId896" Type="http://schemas.openxmlformats.org/officeDocument/2006/relationships/hyperlink" Target="https://drive.google.com/file/d/1e_bxdgJm3u64eIbNzX9GPz0t263rhGBn/view?usp=drivesdk" TargetMode="External"/><Relationship Id="rId891" Type="http://schemas.openxmlformats.org/officeDocument/2006/relationships/hyperlink" Target="https://drive.google.com/file/d/1NF0cWCpnFsj_hgvswLAnVQk6PJdTvtki/view?usp=drivesdk" TargetMode="External"/><Relationship Id="rId890" Type="http://schemas.openxmlformats.org/officeDocument/2006/relationships/hyperlink" Target="https://drive.google.com/file/d/1Q81FS8ZK12MMhuaARXfDcG8f-ydTCCGN/view?usp=drivesdk" TargetMode="External"/><Relationship Id="rId895" Type="http://schemas.openxmlformats.org/officeDocument/2006/relationships/hyperlink" Target="https://drive.google.com/file/d/1hCMevyrkpSHRT6eVARXjlViOPqYOio3m/view?usp=drivesdk" TargetMode="External"/><Relationship Id="rId894" Type="http://schemas.openxmlformats.org/officeDocument/2006/relationships/hyperlink" Target="https://drive.google.com/file/d/1yxd6tE0-2AgeBXl_tLdtHMAsJj3gnI20/view?usp=drivesdk" TargetMode="External"/><Relationship Id="rId893" Type="http://schemas.openxmlformats.org/officeDocument/2006/relationships/hyperlink" Target="https://drive.google.com/file/d/1Kz9jaDKZ2VRspFpgYGYWKaKbKRUy3Vej/view?usp=drivesdk" TargetMode="External"/><Relationship Id="rId892" Type="http://schemas.openxmlformats.org/officeDocument/2006/relationships/hyperlink" Target="https://drive.google.com/file/d/1SRwG9PHYjoC_zPZ8tNEQQB_aet7PCXi7/view?usp=drivesdk" TargetMode="External"/><Relationship Id="rId7816" Type="http://schemas.openxmlformats.org/officeDocument/2006/relationships/hyperlink" Target="https://drive.google.com/file/d/1Oc31XHKhHiYwijfwyuFIVhu0JH8bNF2C/view?usp=drivesdk" TargetMode="External"/><Relationship Id="rId7815" Type="http://schemas.openxmlformats.org/officeDocument/2006/relationships/hyperlink" Target="https://drive.google.com/file/d/1tlwaWAWthUvzsgRpz1Kmr0NAV1vaHa2g/view?usp=drivesdk" TargetMode="External"/><Relationship Id="rId7814" Type="http://schemas.openxmlformats.org/officeDocument/2006/relationships/hyperlink" Target="https://drive.google.com/file/d/1Ti-QbWvV3FmN5tzmueRbzstbpPSvHN6M/view?usp=drivesdk" TargetMode="External"/><Relationship Id="rId7813" Type="http://schemas.openxmlformats.org/officeDocument/2006/relationships/hyperlink" Target="https://drive.google.com/file/d/1_CGtDz-AMf_hoAoJRXOdRsdcKsqwXLPB/view?usp=drivesdk" TargetMode="External"/><Relationship Id="rId7819" Type="http://schemas.openxmlformats.org/officeDocument/2006/relationships/hyperlink" Target="https://drive.google.com/file/d/1tmZDxIvbZN-JpxxyUewdN0yjs4wWWLjs/view?usp=drivesdk" TargetMode="External"/><Relationship Id="rId7818" Type="http://schemas.openxmlformats.org/officeDocument/2006/relationships/hyperlink" Target="https://drive.google.com/file/d/1Y21gdO8VzKyvwPugpf4EbvCt29dd6izh/view?usp=drivesdk" TargetMode="External"/><Relationship Id="rId7817" Type="http://schemas.openxmlformats.org/officeDocument/2006/relationships/hyperlink" Target="https://drive.google.com/file/d/1GH0WMqJGLAmC4ISNwn95epp_aqcSnVXt/view?usp=drivesdk" TargetMode="External"/><Relationship Id="rId7812" Type="http://schemas.openxmlformats.org/officeDocument/2006/relationships/hyperlink" Target="https://drive.google.com/file/d/1Y7Op9Mk1ICpyJRjpicqJh5x063Ox5R3Q/view?usp=drivesdk" TargetMode="External"/><Relationship Id="rId7811" Type="http://schemas.openxmlformats.org/officeDocument/2006/relationships/hyperlink" Target="https://drive.google.com/file/d/1JXzBCEBBt8n-BpbH_NvUQMuIjygFSzaq/view?usp=drivesdk" TargetMode="External"/><Relationship Id="rId7810" Type="http://schemas.openxmlformats.org/officeDocument/2006/relationships/hyperlink" Target="https://drive.google.com/file/d/1COWIxLEk7nKTxUbg4CVGUIFOsP3XJ1gs/view?usp=drivesdk" TargetMode="External"/><Relationship Id="rId7805" Type="http://schemas.openxmlformats.org/officeDocument/2006/relationships/hyperlink" Target="https://drive.google.com/file/d/1tvKpz9Pz1TNX2Zatgj3PNBBvSmNXaZnI/view?usp=drivesdk" TargetMode="External"/><Relationship Id="rId7804" Type="http://schemas.openxmlformats.org/officeDocument/2006/relationships/hyperlink" Target="https://drive.google.com/file/d/1ZZaSSnutHDOo_fpGrUerBjI3PXRj0YrM/view?usp=drivesdk" TargetMode="External"/><Relationship Id="rId7803" Type="http://schemas.openxmlformats.org/officeDocument/2006/relationships/hyperlink" Target="https://drive.google.com/file/d/1UABsgDMoD8kTKac_3o0RU7lmme7j4gn8/view?usp=drivesdk" TargetMode="External"/><Relationship Id="rId7802" Type="http://schemas.openxmlformats.org/officeDocument/2006/relationships/hyperlink" Target="https://drive.google.com/file/d/1RrGZBFKl3CFeGQ7CUgomdIxtkfR7ngpt/view?usp=drivesdk" TargetMode="External"/><Relationship Id="rId7809" Type="http://schemas.openxmlformats.org/officeDocument/2006/relationships/hyperlink" Target="https://drive.google.com/file/d/1R_F459HPG56XIYCKA81ZfMxg95IhiNu0/view?usp=drivesdk" TargetMode="External"/><Relationship Id="rId7808" Type="http://schemas.openxmlformats.org/officeDocument/2006/relationships/hyperlink" Target="https://drive.google.com/file/d/14G1shLcNYz6zYsZbmTMHePZe1KkgYZOY/view?usp=drivesdk" TargetMode="External"/><Relationship Id="rId7807" Type="http://schemas.openxmlformats.org/officeDocument/2006/relationships/hyperlink" Target="https://drive.google.com/file/d/12qdwj_9c0KVW8FfRt6LNT0DR9Uyq2y32/view?usp=drivesdk" TargetMode="External"/><Relationship Id="rId7806" Type="http://schemas.openxmlformats.org/officeDocument/2006/relationships/hyperlink" Target="https://drive.google.com/file/d/1G3hHoKyJNErgA_7mxD1OwNIs9ZuRLY_A/view?usp=drivesdk" TargetMode="External"/><Relationship Id="rId7801" Type="http://schemas.openxmlformats.org/officeDocument/2006/relationships/hyperlink" Target="https://drive.google.com/file/d/1gLrI9ECoTEYvQU9_2dO0QLRmSCffGXYA/view?usp=drivesdk" TargetMode="External"/><Relationship Id="rId7800" Type="http://schemas.openxmlformats.org/officeDocument/2006/relationships/hyperlink" Target="https://drive.google.com/file/d/1yWSDLnGSGJGq6Vxzk8hbf9Jb9AawiYb6/view?usp=drivesdk" TargetMode="External"/><Relationship Id="rId2180" Type="http://schemas.openxmlformats.org/officeDocument/2006/relationships/hyperlink" Target="https://drive.google.com/file/d/1kPFMhvfhJzdmeaM9D60LJpSiRZRUxUfo/view?usp=drivesdk" TargetMode="External"/><Relationship Id="rId2181" Type="http://schemas.openxmlformats.org/officeDocument/2006/relationships/hyperlink" Target="https://drive.google.com/file/d/1kBlW3244WVj5jG7NLzrLNHv1UbK8pLTe/view?usp=drivesdk" TargetMode="External"/><Relationship Id="rId2182" Type="http://schemas.openxmlformats.org/officeDocument/2006/relationships/hyperlink" Target="https://drive.google.com/file/d/1Ns3EHQGXNj9tyooTloEkxczHwhUznH1v/view?usp=drivesdk" TargetMode="External"/><Relationship Id="rId2183" Type="http://schemas.openxmlformats.org/officeDocument/2006/relationships/hyperlink" Target="https://drive.google.com/file/d/1EXdRCKLGGOoAc3ao3aUV30oC83_lHySv/view?usp=drivesdk" TargetMode="External"/><Relationship Id="rId2184" Type="http://schemas.openxmlformats.org/officeDocument/2006/relationships/hyperlink" Target="https://drive.google.com/file/d/1nJ2w2ulMgst2lj-UTv6cvlqJY3UY4NWc/view?usp=drivesdk" TargetMode="External"/><Relationship Id="rId2185" Type="http://schemas.openxmlformats.org/officeDocument/2006/relationships/hyperlink" Target="https://drive.google.com/file/d/1hkiVUvAwIt_BdN7I7OF5amtcBrGWmm9Z/view?usp=drivesdk" TargetMode="External"/><Relationship Id="rId2186" Type="http://schemas.openxmlformats.org/officeDocument/2006/relationships/hyperlink" Target="https://drive.google.com/file/d/1tms_PTeE_aBQvLEHVcWqj0Uo98nbGOg4/view?usp=drivesdk" TargetMode="External"/><Relationship Id="rId2187" Type="http://schemas.openxmlformats.org/officeDocument/2006/relationships/hyperlink" Target="https://drive.google.com/file/d/1CMUxyLixwh6Uo2LtNiyek0qTuqGFQUy1/view?usp=drivesdk" TargetMode="External"/><Relationship Id="rId2188" Type="http://schemas.openxmlformats.org/officeDocument/2006/relationships/hyperlink" Target="https://drive.google.com/file/d/1oHucwxv5aIBNAx60ksIKzLjpm9SR16zZ/view?usp=drivesdk" TargetMode="External"/><Relationship Id="rId2189" Type="http://schemas.openxmlformats.org/officeDocument/2006/relationships/hyperlink" Target="https://drive.google.com/file/d/16PR7a6IuID9gCa_ABGRM9Klw0enh0vWV/view?usp=drivesdk" TargetMode="External"/><Relationship Id="rId2170" Type="http://schemas.openxmlformats.org/officeDocument/2006/relationships/hyperlink" Target="https://drive.google.com/file/d/1fS8JqkFlT6jYiBng66SNOqbWI6vuHxQm/view?usp=drivesdk" TargetMode="External"/><Relationship Id="rId2171" Type="http://schemas.openxmlformats.org/officeDocument/2006/relationships/hyperlink" Target="https://drive.google.com/file/d/1r-66mAALOhNVOcSamMt93SFZpRs0PPQ5/view?usp=drivesdk" TargetMode="External"/><Relationship Id="rId2172" Type="http://schemas.openxmlformats.org/officeDocument/2006/relationships/hyperlink" Target="https://drive.google.com/file/d/1cTb0TiCVeiiTHxwDS90ds0PrWDR5fWxI/view?usp=drivesdk" TargetMode="External"/><Relationship Id="rId2173" Type="http://schemas.openxmlformats.org/officeDocument/2006/relationships/hyperlink" Target="https://drive.google.com/file/d/1M-VDbNunDxe0SIX-ofkWWyEyTjRIriuH/view?usp=drivesdk" TargetMode="External"/><Relationship Id="rId2174" Type="http://schemas.openxmlformats.org/officeDocument/2006/relationships/hyperlink" Target="https://drive.google.com/file/d/1O2P33mb4DGWmgq0fEw9RO83nrwm3NSov/view?usp=drivesdk" TargetMode="External"/><Relationship Id="rId2175" Type="http://schemas.openxmlformats.org/officeDocument/2006/relationships/hyperlink" Target="https://drive.google.com/file/d/12HZu3Njomr_fL0-m77frrSvR1jL_RzHz/view?usp=drivesdk" TargetMode="External"/><Relationship Id="rId2176" Type="http://schemas.openxmlformats.org/officeDocument/2006/relationships/hyperlink" Target="https://drive.google.com/file/d/1tCyx2LLHK7K7xJ71P49JEYu4eEFYx_Fa/view?usp=drivesdk" TargetMode="External"/><Relationship Id="rId2177" Type="http://schemas.openxmlformats.org/officeDocument/2006/relationships/hyperlink" Target="https://drive.google.com/file/d/196aQUfapuW3rd2k9wWiz7AsqqqQNRdmg/view?usp=drivesdk" TargetMode="External"/><Relationship Id="rId2178" Type="http://schemas.openxmlformats.org/officeDocument/2006/relationships/hyperlink" Target="https://drive.google.com/file/d/1VvdAbn9hd92YopBBp0bUiIOeqdeZHgyk/view?usp=drivesdk" TargetMode="External"/><Relationship Id="rId2179" Type="http://schemas.openxmlformats.org/officeDocument/2006/relationships/hyperlink" Target="https://drive.google.com/file/d/1sEXNG2guvIeVTC5ub6xQltrB3cL9OxkW/view?usp=drivesdk" TargetMode="External"/><Relationship Id="rId2190" Type="http://schemas.openxmlformats.org/officeDocument/2006/relationships/hyperlink" Target="https://drive.google.com/file/d/1krKBdJ5_eSYHQcG1QuvgGH9d9pY2nPJs/view?usp=drivesdk" TargetMode="External"/><Relationship Id="rId2191" Type="http://schemas.openxmlformats.org/officeDocument/2006/relationships/hyperlink" Target="https://drive.google.com/file/d/19k9Yq-Z2xnQxqBPY-ibrjyViozOCEYUS/view?usp=drivesdk" TargetMode="External"/><Relationship Id="rId2192" Type="http://schemas.openxmlformats.org/officeDocument/2006/relationships/hyperlink" Target="https://drive.google.com/file/d/1nuDykLLIT19ff9wP970U2YqCkpgq5riY/view?usp=drivesdk" TargetMode="External"/><Relationship Id="rId2193" Type="http://schemas.openxmlformats.org/officeDocument/2006/relationships/hyperlink" Target="https://drive.google.com/file/d/1WDnTnusdML0SRJxLl7sn_nwT37_QZcSd/view?usp=drivesdk" TargetMode="External"/><Relationship Id="rId2194" Type="http://schemas.openxmlformats.org/officeDocument/2006/relationships/hyperlink" Target="https://drive.google.com/file/d/14M8Z9H4gHK-UeJnhetsUugMVqZrZkyft/view?usp=drivesdk" TargetMode="External"/><Relationship Id="rId2195" Type="http://schemas.openxmlformats.org/officeDocument/2006/relationships/hyperlink" Target="https://drive.google.com/file/d/123ANjbPOKiNv4VQ2tafaAHfdfycEO33D/view?usp=drivesdk" TargetMode="External"/><Relationship Id="rId2196" Type="http://schemas.openxmlformats.org/officeDocument/2006/relationships/hyperlink" Target="https://drive.google.com/file/d/1XEIkPofVKk6xfHN5tbTo-Xo2EN-t1WMt/view?usp=drivesdk" TargetMode="External"/><Relationship Id="rId2197" Type="http://schemas.openxmlformats.org/officeDocument/2006/relationships/hyperlink" Target="https://drive.google.com/file/d/1_maac-jO_vH6GAD9ydX4Wyg6DLfaAY1i/view?usp=drivesdk" TargetMode="External"/><Relationship Id="rId2198" Type="http://schemas.openxmlformats.org/officeDocument/2006/relationships/hyperlink" Target="https://drive.google.com/file/d/1YIz4_jTlhz5n9gK9BeYLitFZfIeQ_2Td/view?usp=drivesdk" TargetMode="External"/><Relationship Id="rId2199" Type="http://schemas.openxmlformats.org/officeDocument/2006/relationships/hyperlink" Target="https://drive.google.com/file/d/1EsBTkbs9luiK-YgXfFKYkEopJU6Dbe4F/view?usp=drivesdk" TargetMode="External"/><Relationship Id="rId3513" Type="http://schemas.openxmlformats.org/officeDocument/2006/relationships/hyperlink" Target="https://drive.google.com/file/d/1ZUVOYcBr2UHWDHwCCUpe5LuZPR06VMS7/view?usp=drivesdk" TargetMode="External"/><Relationship Id="rId4844" Type="http://schemas.openxmlformats.org/officeDocument/2006/relationships/hyperlink" Target="https://drive.google.com/file/d/1RhJb-d7DNTZctkckwnVohIf0Mcohm8Hf/view?usp=drivesdk" TargetMode="External"/><Relationship Id="rId3512" Type="http://schemas.openxmlformats.org/officeDocument/2006/relationships/hyperlink" Target="https://drive.google.com/file/d/1NvlESz-leSh6CH66SapgD_N29XuPWd_s/view?usp=drivesdk" TargetMode="External"/><Relationship Id="rId4843" Type="http://schemas.openxmlformats.org/officeDocument/2006/relationships/hyperlink" Target="https://drive.google.com/file/d/1j9R_8IgYi1oxQZsJ7LmoFPXiJCclEcSE/view?usp=drivesdk" TargetMode="External"/><Relationship Id="rId3515" Type="http://schemas.openxmlformats.org/officeDocument/2006/relationships/hyperlink" Target="https://drive.google.com/file/d/1Jy_xHmxxXT8Oecicq-IjqTw2ufaL7mO7/view?usp=drivesdk" TargetMode="External"/><Relationship Id="rId4846" Type="http://schemas.openxmlformats.org/officeDocument/2006/relationships/hyperlink" Target="https://drive.google.com/file/d/19hvpDuJp1Bt7UHF42EES7pJY3N5cmt00/view?usp=drivesdk" TargetMode="External"/><Relationship Id="rId3514" Type="http://schemas.openxmlformats.org/officeDocument/2006/relationships/hyperlink" Target="https://drive.google.com/file/d/1RlXk1fOC6CFOagzimrrsp-b5nf7Sj8n5/view?usp=drivesdk" TargetMode="External"/><Relationship Id="rId4845" Type="http://schemas.openxmlformats.org/officeDocument/2006/relationships/hyperlink" Target="https://drive.google.com/file/d/1ipi8y_Tb97RlGXxkkNsLwj6_XtrMKOEy/view?usp=drivesdk" TargetMode="External"/><Relationship Id="rId3517" Type="http://schemas.openxmlformats.org/officeDocument/2006/relationships/hyperlink" Target="https://drive.google.com/file/d/1Uv8C7rbArdtlJriRLWBsPUZpBT82uTf3/view?usp=drivesdk" TargetMode="External"/><Relationship Id="rId4848" Type="http://schemas.openxmlformats.org/officeDocument/2006/relationships/hyperlink" Target="https://drive.google.com/file/d/1ocHfn49B0rcAAcAdzsKSTqCzL6fpMTuz/view?usp=drivesdk" TargetMode="External"/><Relationship Id="rId3516" Type="http://schemas.openxmlformats.org/officeDocument/2006/relationships/hyperlink" Target="https://drive.google.com/file/d/1QfV23HH9zgOColBUm6fTf_yEaeYbMVOl/view?usp=drivesdk" TargetMode="External"/><Relationship Id="rId4847" Type="http://schemas.openxmlformats.org/officeDocument/2006/relationships/hyperlink" Target="https://drive.google.com/file/d/1n0OoxP6wxpOsjcanuOJNC7-797R-v1fd/view?usp=drivesdk" TargetMode="External"/><Relationship Id="rId3519" Type="http://schemas.openxmlformats.org/officeDocument/2006/relationships/hyperlink" Target="https://drive.google.com/file/d/12c2G5neHYgyzRwXP8yyIrGnhAyIpsbT_/view?usp=drivesdk" TargetMode="External"/><Relationship Id="rId3518" Type="http://schemas.openxmlformats.org/officeDocument/2006/relationships/hyperlink" Target="https://drive.google.com/file/d/1Pzo2LQS9NSMhMIdKWbwsCt-gTKmVpbKx/view?usp=drivesdk" TargetMode="External"/><Relationship Id="rId4849" Type="http://schemas.openxmlformats.org/officeDocument/2006/relationships/hyperlink" Target="https://drive.google.com/file/d/1TWt5or10axBNkX79wjakUwockRe9PwvS/view?usp=drivesdk" TargetMode="External"/><Relationship Id="rId4840" Type="http://schemas.openxmlformats.org/officeDocument/2006/relationships/hyperlink" Target="https://drive.google.com/file/d/1c5yZvSK6MpEq0Uy4j4x5uq6rKGGKFnUb/view?usp=drivesdk" TargetMode="External"/><Relationship Id="rId3511" Type="http://schemas.openxmlformats.org/officeDocument/2006/relationships/hyperlink" Target="https://drive.google.com/file/d/1Wj8nqGXOPwWgdI5kUD6yWEqKY0mkhNE5/view?usp=drivesdk" TargetMode="External"/><Relationship Id="rId4842" Type="http://schemas.openxmlformats.org/officeDocument/2006/relationships/hyperlink" Target="https://drive.google.com/file/d/1krMJkekQzUdnGeURsoroi4d3ZWNjxyHG/view?usp=drivesdk" TargetMode="External"/><Relationship Id="rId3510" Type="http://schemas.openxmlformats.org/officeDocument/2006/relationships/hyperlink" Target="https://drive.google.com/file/d/1tBASsGz6sywvBgbsROnT43lql7eCXj1N/view?usp=drivesdk" TargetMode="External"/><Relationship Id="rId4841" Type="http://schemas.openxmlformats.org/officeDocument/2006/relationships/hyperlink" Target="https://drive.google.com/file/d/18pMBI6LaRI4w7FAGXlsHodPbHgYgXnDn/view?usp=drivesdk" TargetMode="External"/><Relationship Id="rId3502" Type="http://schemas.openxmlformats.org/officeDocument/2006/relationships/hyperlink" Target="https://drive.google.com/file/d/1j-PmQZ6_EPTvKTB4VIOnyi2SyQQpxQsW/view?usp=drivesdk" TargetMode="External"/><Relationship Id="rId4833" Type="http://schemas.openxmlformats.org/officeDocument/2006/relationships/hyperlink" Target="https://drive.google.com/file/d/18OBVKguE1xxT7t961rQQAn5iz7miJb_C/view?usp=drivesdk" TargetMode="External"/><Relationship Id="rId3501" Type="http://schemas.openxmlformats.org/officeDocument/2006/relationships/hyperlink" Target="https://drive.google.com/file/d/1Gyg8ywQjK_P0nGG7hNgQ0vzmuIcb0jlC/view?usp=drivesdk" TargetMode="External"/><Relationship Id="rId4832" Type="http://schemas.openxmlformats.org/officeDocument/2006/relationships/hyperlink" Target="https://drive.google.com/file/d/11PRe6RgIvDnQMlP7rPma7e3imhBqv4bM/view?usp=drivesdk" TargetMode="External"/><Relationship Id="rId3504" Type="http://schemas.openxmlformats.org/officeDocument/2006/relationships/hyperlink" Target="https://drive.google.com/file/d/1WK9mli7zxf9vGfYyH0f7cht9SgWgHj_s/view?usp=drivesdk" TargetMode="External"/><Relationship Id="rId4835" Type="http://schemas.openxmlformats.org/officeDocument/2006/relationships/hyperlink" Target="https://drive.google.com/file/d/1igMrSgTxswnvhF4WxYCZ-MpLQwjhBGPz/view?usp=drivesdk" TargetMode="External"/><Relationship Id="rId3503" Type="http://schemas.openxmlformats.org/officeDocument/2006/relationships/hyperlink" Target="https://drive.google.com/file/d/13NWLG1T9lMXS7TWFUee1owm2DatH_uyi/view?usp=drivesdk" TargetMode="External"/><Relationship Id="rId4834" Type="http://schemas.openxmlformats.org/officeDocument/2006/relationships/hyperlink" Target="https://drive.google.com/file/d/12L7-TTa862r1Hsl5KGlZMbhYTH8h_A0K/view?usp=drivesdk" TargetMode="External"/><Relationship Id="rId3506" Type="http://schemas.openxmlformats.org/officeDocument/2006/relationships/hyperlink" Target="https://drive.google.com/file/d/1V226XkISYQS631elHRp7aiX6RzrQHubk/view?usp=drivesdk" TargetMode="External"/><Relationship Id="rId4837" Type="http://schemas.openxmlformats.org/officeDocument/2006/relationships/hyperlink" Target="https://drive.google.com/file/d/17r7FePq01tGw_R3PyQBRofjHYezRl2gq/view?usp=drivesdk" TargetMode="External"/><Relationship Id="rId3505" Type="http://schemas.openxmlformats.org/officeDocument/2006/relationships/hyperlink" Target="https://drive.google.com/file/d/1Nlz73yAvKlh8C0DXOqklGZdTcfEwF2H0/view?usp=drivesdk" TargetMode="External"/><Relationship Id="rId4836" Type="http://schemas.openxmlformats.org/officeDocument/2006/relationships/hyperlink" Target="https://drive.google.com/file/d/1G92ErvvT-cs20o3PIgMpZE1jjhKhfFCD/view?usp=drivesdk" TargetMode="External"/><Relationship Id="rId3508" Type="http://schemas.openxmlformats.org/officeDocument/2006/relationships/hyperlink" Target="https://drive.google.com/file/d/1ev9r2GAzwjJq6s87VmNZzTzlVzzLOStc/view?usp=drivesdk" TargetMode="External"/><Relationship Id="rId4839" Type="http://schemas.openxmlformats.org/officeDocument/2006/relationships/hyperlink" Target="https://drive.google.com/file/d/1pQVVnbikky7hirlW-7OrlJI8P_jmjtz-/view?usp=drivesdk" TargetMode="External"/><Relationship Id="rId3507" Type="http://schemas.openxmlformats.org/officeDocument/2006/relationships/hyperlink" Target="https://drive.google.com/file/d/1LumnEwANYpvxC5D5cQVlxFvME3MTCiaQ/view?usp=drivesdk" TargetMode="External"/><Relationship Id="rId4838" Type="http://schemas.openxmlformats.org/officeDocument/2006/relationships/hyperlink" Target="https://drive.google.com/file/d/1df8qaNLXahqIoWfNahQMNWH6x-epihd-/view?usp=drivesdk" TargetMode="External"/><Relationship Id="rId3509" Type="http://schemas.openxmlformats.org/officeDocument/2006/relationships/hyperlink" Target="https://drive.google.com/file/d/14uxgoM8oMJMXRcxXQt0GR7Lgxbc2K3It/view?usp=drivesdk" TargetMode="External"/><Relationship Id="rId3500" Type="http://schemas.openxmlformats.org/officeDocument/2006/relationships/hyperlink" Target="https://drive.google.com/file/d/15XyaGrdGB7fgIT7stt9oZW8QnY0_K1Pt/view?usp=drivesdk" TargetMode="External"/><Relationship Id="rId4831" Type="http://schemas.openxmlformats.org/officeDocument/2006/relationships/hyperlink" Target="https://drive.google.com/file/d/1eUJgZVXyEtASS4dQhPzWrqvBDwpybid5/view?usp=drivesdk" TargetMode="External"/><Relationship Id="rId4830" Type="http://schemas.openxmlformats.org/officeDocument/2006/relationships/hyperlink" Target="https://drive.google.com/file/d/1W1SSiAtW8GjkCmBtpy1uBEXn84j42Zca/view?usp=drivesdk" TargetMode="External"/><Relationship Id="rId2203" Type="http://schemas.openxmlformats.org/officeDocument/2006/relationships/hyperlink" Target="https://drive.google.com/file/d/1TggK5bPL_CbwzAuw7JK5_7mzndqC6LRb/view?usp=drivesdk" TargetMode="External"/><Relationship Id="rId3535" Type="http://schemas.openxmlformats.org/officeDocument/2006/relationships/hyperlink" Target="https://drive.google.com/file/d/1G2dBkEXJ6ikoKDkhiTqK8AznQDAun7QW/view?usp=drivesdk" TargetMode="External"/><Relationship Id="rId4866" Type="http://schemas.openxmlformats.org/officeDocument/2006/relationships/hyperlink" Target="https://drive.google.com/file/d/1gDLNyWhJGfYoU94vpXepVc1c-aWgDkEU/view?usp=drivesdk" TargetMode="External"/><Relationship Id="rId2204" Type="http://schemas.openxmlformats.org/officeDocument/2006/relationships/hyperlink" Target="https://drive.google.com/file/d/1qqo3VbZiMsDCwk8HHq2HM_mbSz7OFSE-/view?usp=drivesdk" TargetMode="External"/><Relationship Id="rId3534" Type="http://schemas.openxmlformats.org/officeDocument/2006/relationships/hyperlink" Target="https://drive.google.com/file/d/1FsVegf6L15X1zCbyRjUlkuUtpcEvst_1/view?usp=drivesdk" TargetMode="External"/><Relationship Id="rId4865" Type="http://schemas.openxmlformats.org/officeDocument/2006/relationships/hyperlink" Target="https://drive.google.com/file/d/1dhfZdZ_87XFfR2xw-yhdP8RIv2QBEHjn/view?usp=drivesdk" TargetMode="External"/><Relationship Id="rId2205" Type="http://schemas.openxmlformats.org/officeDocument/2006/relationships/hyperlink" Target="https://drive.google.com/file/d/1I9-7Rt_8G6Ob_H7kJKnsbfRXphI8xM0I/view?usp=drivesdk" TargetMode="External"/><Relationship Id="rId3537" Type="http://schemas.openxmlformats.org/officeDocument/2006/relationships/hyperlink" Target="https://drive.google.com/file/d/1uaqeedIT1oav20x7f1z0mfsfDemQq-4C/view?usp=drivesdk" TargetMode="External"/><Relationship Id="rId4868" Type="http://schemas.openxmlformats.org/officeDocument/2006/relationships/hyperlink" Target="https://drive.google.com/file/d/1FW4Rju4lpxpjI7aCnV5PRTyWpmOA1SW0/view?usp=drivesdk" TargetMode="External"/><Relationship Id="rId2206" Type="http://schemas.openxmlformats.org/officeDocument/2006/relationships/hyperlink" Target="https://drive.google.com/file/d/1Lt7QYJ2d0_dji0x_wJ4RULcTx4AItuJh/view?usp=drivesdk" TargetMode="External"/><Relationship Id="rId3536" Type="http://schemas.openxmlformats.org/officeDocument/2006/relationships/hyperlink" Target="https://drive.google.com/file/d/1y11gp9sPC7pWj3dOJoKUu0yeiMiSj6mA/view?usp=drivesdk" TargetMode="External"/><Relationship Id="rId4867" Type="http://schemas.openxmlformats.org/officeDocument/2006/relationships/hyperlink" Target="https://drive.google.com/file/d/1Xj0P5MoulT5rZrrN53xPkYZNpe1mmGCo/view?usp=drivesdk" TargetMode="External"/><Relationship Id="rId2207" Type="http://schemas.openxmlformats.org/officeDocument/2006/relationships/hyperlink" Target="https://drive.google.com/file/d/1elJ-1VnOY1yhHpaLL53mqcxZChoq7c9Y/view?usp=drivesdk" TargetMode="External"/><Relationship Id="rId3539" Type="http://schemas.openxmlformats.org/officeDocument/2006/relationships/hyperlink" Target="https://drive.google.com/file/d/1MPnGzOCC0_9hCk1gxSL8Ka2f5BvlkCBG/view?usp=drivesdk" TargetMode="External"/><Relationship Id="rId2208" Type="http://schemas.openxmlformats.org/officeDocument/2006/relationships/hyperlink" Target="https://drive.google.com/file/d/18m9fzl6YcTO4A4N0G6WD2AWutFkBFgJf/view?usp=drivesdk" TargetMode="External"/><Relationship Id="rId3538" Type="http://schemas.openxmlformats.org/officeDocument/2006/relationships/hyperlink" Target="https://drive.google.com/file/d/1GREzU7X_CV7pbTboxrW5tJtI8xzq0fHy/view?usp=drivesdk" TargetMode="External"/><Relationship Id="rId4869" Type="http://schemas.openxmlformats.org/officeDocument/2006/relationships/hyperlink" Target="https://drive.google.com/file/d/1mrU-NglBDm3AYW5xRIBcMNiR4SvUX4Td/view?usp=drivesdk" TargetMode="External"/><Relationship Id="rId2209" Type="http://schemas.openxmlformats.org/officeDocument/2006/relationships/hyperlink" Target="https://drive.google.com/file/d/1k2ytf4pBcVrBZfHEZSAiFjQVE4q2kuMo/view?usp=drivesdk" TargetMode="External"/><Relationship Id="rId4860" Type="http://schemas.openxmlformats.org/officeDocument/2006/relationships/hyperlink" Target="https://drive.google.com/file/d/1XkPXKHWe1NcD68RM-TT6_cwkaF9wLVXX/view?usp=drivesdk" TargetMode="External"/><Relationship Id="rId3531" Type="http://schemas.openxmlformats.org/officeDocument/2006/relationships/hyperlink" Target="https://drive.google.com/file/d/11ud2uaJ6U76a7WaY8QSDzMEygBi7kF4L/view?usp=drivesdk" TargetMode="External"/><Relationship Id="rId4862" Type="http://schemas.openxmlformats.org/officeDocument/2006/relationships/hyperlink" Target="https://drive.google.com/file/d/1DtuLuugiR9l7ErgU9WGtgcKIEYCk47Dx/view?usp=drivesdk" TargetMode="External"/><Relationship Id="rId2200" Type="http://schemas.openxmlformats.org/officeDocument/2006/relationships/hyperlink" Target="https://drive.google.com/file/d/1_O3q6NiFncWeAwg21Y_-9QR9HgXYUas9/view?usp=drivesdk" TargetMode="External"/><Relationship Id="rId3530" Type="http://schemas.openxmlformats.org/officeDocument/2006/relationships/hyperlink" Target="https://drive.google.com/file/d/1f_ZzRJV2bOEeG2E0C-G_7hFkOsHnQLC8/view?usp=drivesdk" TargetMode="External"/><Relationship Id="rId4861" Type="http://schemas.openxmlformats.org/officeDocument/2006/relationships/hyperlink" Target="https://drive.google.com/file/d/1TqVJrdMJs6F74gr93rjgpHsWFbIvqQJv/view?usp=drivesdk" TargetMode="External"/><Relationship Id="rId2201" Type="http://schemas.openxmlformats.org/officeDocument/2006/relationships/hyperlink" Target="https://drive.google.com/file/d/1cdkSv8BAiUJSlo8x2ZPFo1s2QXDsE_zq/view?usp=drivesdk" TargetMode="External"/><Relationship Id="rId3533" Type="http://schemas.openxmlformats.org/officeDocument/2006/relationships/hyperlink" Target="https://drive.google.com/file/d/14PwEx7kaktCZwoyN_IEbXP6ZpdYZmzcE/view?usp=drivesdk" TargetMode="External"/><Relationship Id="rId4864" Type="http://schemas.openxmlformats.org/officeDocument/2006/relationships/hyperlink" Target="https://drive.google.com/file/d/1NHbhOM6Pu6TW2-EoE68bhn0XPQs6BeH9/view?usp=drivesdk" TargetMode="External"/><Relationship Id="rId2202" Type="http://schemas.openxmlformats.org/officeDocument/2006/relationships/hyperlink" Target="https://drive.google.com/file/d/1q8fQXPx6ngsJkL3uSWfsJCKXhl4MwykP/view?usp=drivesdk" TargetMode="External"/><Relationship Id="rId3532" Type="http://schemas.openxmlformats.org/officeDocument/2006/relationships/hyperlink" Target="https://drive.google.com/file/d/1ZVRKSlRYXi10L33tfyM_ofoeN-TtD84k/view?usp=drivesdk" TargetMode="External"/><Relationship Id="rId4863" Type="http://schemas.openxmlformats.org/officeDocument/2006/relationships/hyperlink" Target="https://drive.google.com/file/d/1Iz9cvXiQVylj8BQ_VQ_Vp4EbuLPAMy3H/view?usp=drivesdk" TargetMode="External"/><Relationship Id="rId3524" Type="http://schemas.openxmlformats.org/officeDocument/2006/relationships/hyperlink" Target="https://drive.google.com/file/d/1U8YG6joJSDvxwUaApvYyFsR3pZqns0BH/view?usp=drivesdk" TargetMode="External"/><Relationship Id="rId4855" Type="http://schemas.openxmlformats.org/officeDocument/2006/relationships/hyperlink" Target="https://drive.google.com/file/d/1pvJawm-uuStWWd-viHuEaW46F_0aq7jw/view?usp=drivesdk" TargetMode="External"/><Relationship Id="rId3523" Type="http://schemas.openxmlformats.org/officeDocument/2006/relationships/hyperlink" Target="https://drive.google.com/file/d/1UN68peFhV-E37E2ea_TOUXq_kJPKFZj2/view?usp=drivesdk" TargetMode="External"/><Relationship Id="rId4854" Type="http://schemas.openxmlformats.org/officeDocument/2006/relationships/hyperlink" Target="https://drive.google.com/file/d/1lJ_5EYH0C9VUjCITRn1CPWivOyRQzUT4/view?usp=drivesdk" TargetMode="External"/><Relationship Id="rId3526" Type="http://schemas.openxmlformats.org/officeDocument/2006/relationships/hyperlink" Target="https://drive.google.com/file/d/1OdGMOYZA_z3Wipc_oxEDWjZd-w7HsweR/view?usp=drivesdk" TargetMode="External"/><Relationship Id="rId4857" Type="http://schemas.openxmlformats.org/officeDocument/2006/relationships/hyperlink" Target="https://drive.google.com/file/d/1XebpIPKNnf2j8H3JTj3aHtGtsSDjIkUe/view?usp=drivesdk" TargetMode="External"/><Relationship Id="rId3525" Type="http://schemas.openxmlformats.org/officeDocument/2006/relationships/hyperlink" Target="https://drive.google.com/file/d/1surn4YZmf0QSCtZGCtQQNmTsht5Fr5VX/view?usp=drivesdk" TargetMode="External"/><Relationship Id="rId4856" Type="http://schemas.openxmlformats.org/officeDocument/2006/relationships/hyperlink" Target="https://drive.google.com/file/d/1yj3ipE8FVzLAGsf-tZTjTZa6rwtnXUTs/view?usp=drivesdk" TargetMode="External"/><Relationship Id="rId3528" Type="http://schemas.openxmlformats.org/officeDocument/2006/relationships/hyperlink" Target="https://drive.google.com/file/d/1Z8WM8HrKJtpDwBi5LaNocoom6cOVQ06b/view?usp=drivesdk" TargetMode="External"/><Relationship Id="rId4859" Type="http://schemas.openxmlformats.org/officeDocument/2006/relationships/hyperlink" Target="https://drive.google.com/file/d/1WIizJU-5JCMPoupUDBjuVMJxSYvswUx-/view?usp=drivesdk" TargetMode="External"/><Relationship Id="rId3527" Type="http://schemas.openxmlformats.org/officeDocument/2006/relationships/hyperlink" Target="https://drive.google.com/file/d/1L7g2v8S6M-lQKKLUm6VMA9EEZaR8Dg7c/view?usp=drivesdk" TargetMode="External"/><Relationship Id="rId4858" Type="http://schemas.openxmlformats.org/officeDocument/2006/relationships/hyperlink" Target="https://drive.google.com/file/d/1pwTHyLxttfW8O-d-mTfNA6EXM9OdkYBo/view?usp=drivesdk" TargetMode="External"/><Relationship Id="rId3529" Type="http://schemas.openxmlformats.org/officeDocument/2006/relationships/hyperlink" Target="https://drive.google.com/file/d/1cDCriqXNJiMW5S9aZ-GKbVyG4ocL5cg3/view?usp=drivesdk" TargetMode="External"/><Relationship Id="rId3520" Type="http://schemas.openxmlformats.org/officeDocument/2006/relationships/hyperlink" Target="https://drive.google.com/file/d/1G8uxW0LYKeMIdm4U9NqwZ1gAYLXabQvL/view?usp=drivesdk" TargetMode="External"/><Relationship Id="rId4851" Type="http://schemas.openxmlformats.org/officeDocument/2006/relationships/hyperlink" Target="https://drive.google.com/file/d/1eOmwdye8wHucfcfnanfmaJcp0rL4bP5E/view?usp=drivesdk" TargetMode="External"/><Relationship Id="rId4850" Type="http://schemas.openxmlformats.org/officeDocument/2006/relationships/hyperlink" Target="https://drive.google.com/file/d/1bn0ACVSAl5DUarmz5U8aJc7uFpkpFLXG/view?usp=drivesdk" TargetMode="External"/><Relationship Id="rId3522" Type="http://schemas.openxmlformats.org/officeDocument/2006/relationships/hyperlink" Target="https://drive.google.com/file/d/1nQ7Yd4taLHPsng2g9UD51SqzwqIAc863/view?usp=drivesdk" TargetMode="External"/><Relationship Id="rId4853" Type="http://schemas.openxmlformats.org/officeDocument/2006/relationships/hyperlink" Target="https://drive.google.com/file/d/1ANZ9jVa5rhfq2-Ja3gxfYHbqf7jaevQb/view?usp=drivesdk" TargetMode="External"/><Relationship Id="rId3521" Type="http://schemas.openxmlformats.org/officeDocument/2006/relationships/hyperlink" Target="https://drive.google.com/file/d/1X4XUo6Eyq235pjv0tehGvZc4Hwik53sj/view?usp=drivesdk" TargetMode="External"/><Relationship Id="rId4852" Type="http://schemas.openxmlformats.org/officeDocument/2006/relationships/hyperlink" Target="https://drive.google.com/file/d/1fNs8WtNhAqbBEep78JoF51VDoxLmF8VX/view?usp=drivesdk" TargetMode="External"/><Relationship Id="rId4800" Type="http://schemas.openxmlformats.org/officeDocument/2006/relationships/hyperlink" Target="https://drive.google.com/file/d/1pcmxb6uWe17-jzfxDRMWkQX-QU08V3sO/view?usp=drivesdk" TargetMode="External"/><Relationship Id="rId4802" Type="http://schemas.openxmlformats.org/officeDocument/2006/relationships/hyperlink" Target="https://drive.google.com/file/d/1GSO_DNrSziAWN5ltwNC7Z7-XVv9v6qvS/view?usp=drivesdk" TargetMode="External"/><Relationship Id="rId4801" Type="http://schemas.openxmlformats.org/officeDocument/2006/relationships/hyperlink" Target="https://drive.google.com/file/d/1Uxnw2rHaNyAnURYFJq8OS792NJT35vyb/view?usp=drivesdk" TargetMode="External"/><Relationship Id="rId4804" Type="http://schemas.openxmlformats.org/officeDocument/2006/relationships/hyperlink" Target="https://drive.google.com/file/d/10jGhXWgJOmpilqbDbOfnTNad-U8hiS7_/view?usp=drivesdk" TargetMode="External"/><Relationship Id="rId4803" Type="http://schemas.openxmlformats.org/officeDocument/2006/relationships/hyperlink" Target="https://drive.google.com/file/d/1ZX7jhLaLQON5lmN5gv6xX5CqsiaTXnGB/view?usp=drivesdk" TargetMode="External"/><Relationship Id="rId4806" Type="http://schemas.openxmlformats.org/officeDocument/2006/relationships/hyperlink" Target="https://drive.google.com/file/d/11CylSntgx7uo_0CJkZPjcz5Fzk0eQpKz/view?usp=drivesdk" TargetMode="External"/><Relationship Id="rId4805" Type="http://schemas.openxmlformats.org/officeDocument/2006/relationships/hyperlink" Target="https://drive.google.com/file/d/1_Y99VU9nXcmgJC-YvM1IiIJSZWAzmfvM/view?usp=drivesdk" TargetMode="External"/><Relationship Id="rId4808" Type="http://schemas.openxmlformats.org/officeDocument/2006/relationships/hyperlink" Target="https://drive.google.com/file/d/1BvXksaZhCTcu3mM-BIXAGU2rIFU1hFPv/view?usp=drivesdk" TargetMode="External"/><Relationship Id="rId4807" Type="http://schemas.openxmlformats.org/officeDocument/2006/relationships/hyperlink" Target="https://drive.google.com/file/d/14vcpkfSFL6umUeaO5JJz5IbuKnH8M9GC/view?usp=drivesdk" TargetMode="External"/><Relationship Id="rId4809" Type="http://schemas.openxmlformats.org/officeDocument/2006/relationships/hyperlink" Target="https://drive.google.com/file/d/1IbeJPYq_t9d60opbsJvWyckh5SPmp8ku/view?usp=drivesdk" TargetMode="External"/><Relationship Id="rId4822" Type="http://schemas.openxmlformats.org/officeDocument/2006/relationships/hyperlink" Target="https://drive.google.com/file/d/1xW_D4aQ0ltqF1wgBh7zI3Ztqt57BjIRt/view?usp=drivesdk" TargetMode="External"/><Relationship Id="rId4821" Type="http://schemas.openxmlformats.org/officeDocument/2006/relationships/hyperlink" Target="https://drive.google.com/file/d/1ZS8Cj7jEjHN2MV2kQ0siewtMXzkFiBLQ/view?usp=drivesdk" TargetMode="External"/><Relationship Id="rId4824" Type="http://schemas.openxmlformats.org/officeDocument/2006/relationships/hyperlink" Target="https://drive.google.com/file/d/1hdqeOnfOmE4VVTNPvI0IR4AVOZdoHAoL/view?usp=drivesdk" TargetMode="External"/><Relationship Id="rId4823" Type="http://schemas.openxmlformats.org/officeDocument/2006/relationships/hyperlink" Target="https://drive.google.com/file/d/1wgci7sZJGMFq9pNrPFm4VTaFekaQnBud/view?usp=drivesdk" TargetMode="External"/><Relationship Id="rId4826" Type="http://schemas.openxmlformats.org/officeDocument/2006/relationships/hyperlink" Target="https://drive.google.com/file/d/1yHedFheBbrKoNtdmR1_XNEghD6r6BjQk/view?usp=drivesdk" TargetMode="External"/><Relationship Id="rId4825" Type="http://schemas.openxmlformats.org/officeDocument/2006/relationships/hyperlink" Target="https://drive.google.com/file/d/1mMEIRXXW7nci3USKhyc3JXFHI6f_Ddjx/view?usp=drivesdk" TargetMode="External"/><Relationship Id="rId4828" Type="http://schemas.openxmlformats.org/officeDocument/2006/relationships/hyperlink" Target="https://drive.google.com/file/d/1orA8oNKVt07z-rKpf8Uqwto52-GvRpEX/view?usp=drivesdk" TargetMode="External"/><Relationship Id="rId4827" Type="http://schemas.openxmlformats.org/officeDocument/2006/relationships/hyperlink" Target="https://drive.google.com/file/d/1HFUYJmriDf0rQTmX_-yJdOjDvu7mONSp/view?usp=drivesdk" TargetMode="External"/><Relationship Id="rId4829" Type="http://schemas.openxmlformats.org/officeDocument/2006/relationships/hyperlink" Target="https://drive.google.com/file/d/1jNZE-ckw1pw9UP1oa6qCstV29is-FXs4/view?usp=drivesdk" TargetMode="External"/><Relationship Id="rId4820" Type="http://schemas.openxmlformats.org/officeDocument/2006/relationships/hyperlink" Target="https://drive.google.com/file/d/1UfB-R5HMvanlHGicT6kNOBFJi7EZnxHi/view?usp=drivesdk" TargetMode="External"/><Relationship Id="rId4811" Type="http://schemas.openxmlformats.org/officeDocument/2006/relationships/hyperlink" Target="https://drive.google.com/file/d/1Osu7mwUpZGddueAh8pmSTANPQj7XVlNr/view?usp=drivesdk" TargetMode="External"/><Relationship Id="rId4810" Type="http://schemas.openxmlformats.org/officeDocument/2006/relationships/hyperlink" Target="https://drive.google.com/file/d/1aYdHDV86J2f0DP__57Jsmvo38UoubUJm/view?usp=drivesdk" TargetMode="External"/><Relationship Id="rId4813" Type="http://schemas.openxmlformats.org/officeDocument/2006/relationships/hyperlink" Target="https://drive.google.com/file/d/1zgxKdtRp1TxXG5rQt7l-g47H7CGCFRn2/view?usp=drivesdk" TargetMode="External"/><Relationship Id="rId4812" Type="http://schemas.openxmlformats.org/officeDocument/2006/relationships/hyperlink" Target="https://drive.google.com/file/d/1Tn9rBCG3d0Z5fhXXB_IsHHHoZTW_XG81/view?usp=drivesdk" TargetMode="External"/><Relationship Id="rId4815" Type="http://schemas.openxmlformats.org/officeDocument/2006/relationships/hyperlink" Target="https://drive.google.com/file/d/1_JsngcF76tV7D5doFy2hE0UVfUsDVkPH/view?usp=drivesdk" TargetMode="External"/><Relationship Id="rId4814" Type="http://schemas.openxmlformats.org/officeDocument/2006/relationships/hyperlink" Target="https://drive.google.com/file/d/126NfqH4HaKUdMMZ4ebHfT57N_DkjV6Xd/view?usp=drivesdk" TargetMode="External"/><Relationship Id="rId4817" Type="http://schemas.openxmlformats.org/officeDocument/2006/relationships/hyperlink" Target="https://drive.google.com/file/d/1ZO42EzCg3RvtHg0NBpEV13-3d4dzoLXo/view?usp=drivesdk" TargetMode="External"/><Relationship Id="rId4816" Type="http://schemas.openxmlformats.org/officeDocument/2006/relationships/hyperlink" Target="https://drive.google.com/file/d/1qdVsNLs1CLBe6gfpu7iuHQ1Q3ARZQ3_j/view?usp=drivesdk" TargetMode="External"/><Relationship Id="rId4819" Type="http://schemas.openxmlformats.org/officeDocument/2006/relationships/hyperlink" Target="https://drive.google.com/file/d/1k5c1Yw1SSnX1PxdZk-XoxJK7tEOZ5TbW/view?usp=drivesdk" TargetMode="External"/><Relationship Id="rId4818" Type="http://schemas.openxmlformats.org/officeDocument/2006/relationships/hyperlink" Target="https://drive.google.com/file/d/1eFBE7uwgaKR35si9Qd95OAvk3NFFZmDU/view?usp=drivesdk" TargetMode="External"/><Relationship Id="rId2269" Type="http://schemas.openxmlformats.org/officeDocument/2006/relationships/hyperlink" Target="https://drive.google.com/file/d/19RqLK8bHyT5zXnD_iNxvDRGXJVr8hrSE/view?usp=drivesdk" TargetMode="External"/><Relationship Id="rId3591" Type="http://schemas.openxmlformats.org/officeDocument/2006/relationships/hyperlink" Target="https://drive.google.com/file/d/1qEkJInT9Tw6u9qHYjLTfvIIq_LxRFmVn/view?usp=drivesdk" TargetMode="External"/><Relationship Id="rId2260" Type="http://schemas.openxmlformats.org/officeDocument/2006/relationships/hyperlink" Target="https://drive.google.com/file/d/1DGrYvO2iNXe6SP-UCfUrJR3fnR3rYCWi/view?usp=drivesdk" TargetMode="External"/><Relationship Id="rId3590" Type="http://schemas.openxmlformats.org/officeDocument/2006/relationships/hyperlink" Target="https://drive.google.com/file/d/19O1-M7W3SXe9kf179CRBCdX784Cr5tyF/view?usp=drivesdk" TargetMode="External"/><Relationship Id="rId2261" Type="http://schemas.openxmlformats.org/officeDocument/2006/relationships/hyperlink" Target="https://drive.google.com/file/d/1FIWWZQmRLe6wwFlOWD0C3IOakLS1Zhou/view?usp=drivesdk" TargetMode="External"/><Relationship Id="rId3593" Type="http://schemas.openxmlformats.org/officeDocument/2006/relationships/hyperlink" Target="https://drive.google.com/file/d/1RfltJ2vOPYVm1labEEB2gXdL4yyx6IqT/view?usp=drivesdk" TargetMode="External"/><Relationship Id="rId2262" Type="http://schemas.openxmlformats.org/officeDocument/2006/relationships/hyperlink" Target="https://drive.google.com/file/d/1JmTny-588LBvh0qK4ETO4_ay6ovXsnYI/view?usp=drivesdk" TargetMode="External"/><Relationship Id="rId3592" Type="http://schemas.openxmlformats.org/officeDocument/2006/relationships/hyperlink" Target="https://drive.google.com/file/d/1pdzsjnREfI7MsZZq7gidPqJzcOrQPg07/view?usp=drivesdk" TargetMode="External"/><Relationship Id="rId2263" Type="http://schemas.openxmlformats.org/officeDocument/2006/relationships/hyperlink" Target="https://drive.google.com/file/d/1sGuW7eI_MK8ustndsYQQ5TCcTrGNTTot/view?usp=drivesdk" TargetMode="External"/><Relationship Id="rId3595" Type="http://schemas.openxmlformats.org/officeDocument/2006/relationships/hyperlink" Target="https://drive.google.com/file/d/1VAPOwAjSGTReSbzODI-sUsCcYQFpj3qR/view?usp=drivesdk" TargetMode="External"/><Relationship Id="rId2264" Type="http://schemas.openxmlformats.org/officeDocument/2006/relationships/hyperlink" Target="https://drive.google.com/file/d/1QOB3e7o_m6Lt6UaIvTqu8R6DpNpH7GsT/view?usp=drivesdk" TargetMode="External"/><Relationship Id="rId3594" Type="http://schemas.openxmlformats.org/officeDocument/2006/relationships/hyperlink" Target="https://drive.google.com/file/d/1c6OuwOD1gSdcDWFm9Cf5961AkKTvA77C/view?usp=drivesdk" TargetMode="External"/><Relationship Id="rId2265" Type="http://schemas.openxmlformats.org/officeDocument/2006/relationships/hyperlink" Target="https://drive.google.com/file/d/1YTBPjM46cWWU1qwTDxO8J8gEKnWZ2_lz/view?usp=drivesdk" TargetMode="External"/><Relationship Id="rId3597" Type="http://schemas.openxmlformats.org/officeDocument/2006/relationships/hyperlink" Target="https://drive.google.com/file/d/1w0Un2Pif4K8X3AwjPQQhpA1uRJox2wRr/view?usp=drivesdk" TargetMode="External"/><Relationship Id="rId2266" Type="http://schemas.openxmlformats.org/officeDocument/2006/relationships/hyperlink" Target="https://drive.google.com/file/d/1JSll60vGJnEZDPurhqhV8wG8Nz_pz_sF/view?usp=drivesdk" TargetMode="External"/><Relationship Id="rId3596" Type="http://schemas.openxmlformats.org/officeDocument/2006/relationships/hyperlink" Target="https://drive.google.com/file/d/1iBNMWm2itAbYWzwANQZzFjGCi15hR8kK/view?usp=drivesdk" TargetMode="External"/><Relationship Id="rId2267" Type="http://schemas.openxmlformats.org/officeDocument/2006/relationships/hyperlink" Target="https://drive.google.com/file/d/1ubiZkHYA7yv-49d9L2UayeiUrX3qJQZl/view?usp=drivesdk" TargetMode="External"/><Relationship Id="rId3599" Type="http://schemas.openxmlformats.org/officeDocument/2006/relationships/hyperlink" Target="https://drive.google.com/file/d/10Lq9F4Ac9n8RMj7iSCSglDPef6R-MkwS/view?usp=drivesdk" TargetMode="External"/><Relationship Id="rId2268" Type="http://schemas.openxmlformats.org/officeDocument/2006/relationships/hyperlink" Target="https://drive.google.com/file/d/149L19eJpey4VJtXrEnoiPId-XKjQj44_/view?usp=drivesdk" TargetMode="External"/><Relationship Id="rId3598" Type="http://schemas.openxmlformats.org/officeDocument/2006/relationships/hyperlink" Target="https://drive.google.com/file/d/1X5SO7Uv9Pinf4YxczeWcO1FjDwV0fovX/view?usp=drivesdk" TargetMode="External"/><Relationship Id="rId2258" Type="http://schemas.openxmlformats.org/officeDocument/2006/relationships/hyperlink" Target="https://drive.google.com/file/d/1JKQ1BQ0GdT_DYBEfe0I5XGupaWc1rrRE/view?usp=drivesdk" TargetMode="External"/><Relationship Id="rId2259" Type="http://schemas.openxmlformats.org/officeDocument/2006/relationships/hyperlink" Target="https://drive.google.com/file/d/1XsvVD4Xf6AOmq8glI3xINBbPMh8NuKXc/view?usp=drivesdk" TargetMode="External"/><Relationship Id="rId3589" Type="http://schemas.openxmlformats.org/officeDocument/2006/relationships/hyperlink" Target="https://drive.google.com/file/d/1p8QyNDt8-ii-xVzoLuUtJ6QoQqaVb2qT/view?usp=drivesdk" TargetMode="External"/><Relationship Id="rId3580" Type="http://schemas.openxmlformats.org/officeDocument/2006/relationships/hyperlink" Target="https://drive.google.com/file/d/1lSwdQjVjEmGHjfeP5ZHYZHxsKYU10vMz/view?usp=drivesdk" TargetMode="External"/><Relationship Id="rId2250" Type="http://schemas.openxmlformats.org/officeDocument/2006/relationships/hyperlink" Target="https://drive.google.com/file/d/1rHRCiTghvINthinzUdqMnBpzvtXpnZ-Z/view?usp=drivesdk" TargetMode="External"/><Relationship Id="rId3582" Type="http://schemas.openxmlformats.org/officeDocument/2006/relationships/hyperlink" Target="https://drive.google.com/file/d/14Mw52qnGaSJ7_NoepEhrLOjYssPoxayj/view?usp=drivesdk" TargetMode="External"/><Relationship Id="rId2251" Type="http://schemas.openxmlformats.org/officeDocument/2006/relationships/hyperlink" Target="https://drive.google.com/file/d/1ZYAHErVYCJWudiO07YBerRIsQ1TGkt9b/view?usp=drivesdk" TargetMode="External"/><Relationship Id="rId3581" Type="http://schemas.openxmlformats.org/officeDocument/2006/relationships/hyperlink" Target="https://drive.google.com/file/d/1qJTS1e0LYxhm-4SDm20hkNlRyN_-u4bi/view?usp=drivesdk" TargetMode="External"/><Relationship Id="rId2252" Type="http://schemas.openxmlformats.org/officeDocument/2006/relationships/hyperlink" Target="https://drive.google.com/file/d/1PyFUVY1eS-Q0ZrJx1j0c2FTz5QuNOUxe/view?usp=drivesdk" TargetMode="External"/><Relationship Id="rId3584" Type="http://schemas.openxmlformats.org/officeDocument/2006/relationships/hyperlink" Target="https://drive.google.com/file/d/1RQGvbYGpyYh-SmC5UO9ju4vlIarKvHcc/view?usp=drivesdk" TargetMode="External"/><Relationship Id="rId2253" Type="http://schemas.openxmlformats.org/officeDocument/2006/relationships/hyperlink" Target="https://drive.google.com/file/d/1UUxnFTZaAsl2w6FMDft7EGolQAAglYqT/view?usp=drivesdk" TargetMode="External"/><Relationship Id="rId3583" Type="http://schemas.openxmlformats.org/officeDocument/2006/relationships/hyperlink" Target="https://drive.google.com/file/d/1v_CkrYOjOvtB2_7e9kPIJ8Ivc3T6VS53/view?usp=drivesdk" TargetMode="External"/><Relationship Id="rId2254" Type="http://schemas.openxmlformats.org/officeDocument/2006/relationships/hyperlink" Target="https://drive.google.com/file/d/1w9TH0FNG5MNAy_h3m3Y8TVQLyuqt0WE8/view?usp=drivesdk" TargetMode="External"/><Relationship Id="rId3586" Type="http://schemas.openxmlformats.org/officeDocument/2006/relationships/hyperlink" Target="https://drive.google.com/file/d/1k0L3Tyd40ClGQFlArxZRc2xNN_qOy1nU/view?usp=drivesdk" TargetMode="External"/><Relationship Id="rId2255" Type="http://schemas.openxmlformats.org/officeDocument/2006/relationships/hyperlink" Target="https://drive.google.com/file/d/1Pf31uPHoUMA8CWehY7Gp-25cKQIMgH1V/view?usp=drivesdk" TargetMode="External"/><Relationship Id="rId3585" Type="http://schemas.openxmlformats.org/officeDocument/2006/relationships/hyperlink" Target="https://drive.google.com/file/d/1x4g1Sy_BaIborISFgZ3VIsD1dHbplBhA/view?usp=drivesdk" TargetMode="External"/><Relationship Id="rId2256" Type="http://schemas.openxmlformats.org/officeDocument/2006/relationships/hyperlink" Target="https://drive.google.com/file/d/1gECqfaOZXnbo_j-MxC66AkaKCGEGVAhq/view?usp=drivesdk" TargetMode="External"/><Relationship Id="rId3588" Type="http://schemas.openxmlformats.org/officeDocument/2006/relationships/hyperlink" Target="https://drive.google.com/file/d/1fdOMpXhCet738GfB47vyvd12PRTYUJHF/view?usp=drivesdk" TargetMode="External"/><Relationship Id="rId2257" Type="http://schemas.openxmlformats.org/officeDocument/2006/relationships/hyperlink" Target="https://drive.google.com/file/d/1EgVI-T3fJrf9vevkbN2ToSmgduAaNkyg/view?usp=drivesdk" TargetMode="External"/><Relationship Id="rId3587" Type="http://schemas.openxmlformats.org/officeDocument/2006/relationships/hyperlink" Target="https://drive.google.com/file/d/1qY_6mRv4hHuKJpT9vBwCdTw-oyQrZ0t8/view?usp=drivesdk" TargetMode="External"/><Relationship Id="rId2280" Type="http://schemas.openxmlformats.org/officeDocument/2006/relationships/hyperlink" Target="https://drive.google.com/file/d/1bG0Jw8-BToWF_W8qtj4bcOy4GeMOPorw/view?usp=drivesdk" TargetMode="External"/><Relationship Id="rId2281" Type="http://schemas.openxmlformats.org/officeDocument/2006/relationships/hyperlink" Target="https://drive.google.com/file/d/14mnYB2ZHwkG8aZy8fRqken8a9p2NqtNE/view?usp=drivesdk" TargetMode="External"/><Relationship Id="rId2282" Type="http://schemas.openxmlformats.org/officeDocument/2006/relationships/hyperlink" Target="https://drive.google.com/file/d/1l72uOIVdb919diFBn7yVv9EnMaelyY3H/view?usp=drivesdk" TargetMode="External"/><Relationship Id="rId2283" Type="http://schemas.openxmlformats.org/officeDocument/2006/relationships/hyperlink" Target="https://drive.google.com/file/d/1dZCX51DoYoF-WLh5JET490UF59OnfqPN/view?usp=drivesdk" TargetMode="External"/><Relationship Id="rId2284" Type="http://schemas.openxmlformats.org/officeDocument/2006/relationships/hyperlink" Target="https://drive.google.com/file/d/1AswNDqpqEeEmlcY83mllDe9Q3-5zYTOu/view?usp=drivesdk" TargetMode="External"/><Relationship Id="rId2285" Type="http://schemas.openxmlformats.org/officeDocument/2006/relationships/hyperlink" Target="https://drive.google.com/file/d/1MmyglXg2KaxLLLWVMB45M2r1FDrIVKM5/view?usp=drivesdk" TargetMode="External"/><Relationship Id="rId2286" Type="http://schemas.openxmlformats.org/officeDocument/2006/relationships/hyperlink" Target="https://drive.google.com/file/d/1eqixNfcxAQTKtujRVW-woemnjoBcZj3q/view?usp=drivesdk" TargetMode="External"/><Relationship Id="rId2287" Type="http://schemas.openxmlformats.org/officeDocument/2006/relationships/hyperlink" Target="https://drive.google.com/file/d/1OOULa44HZmXyipI9GZ_AF3VbHpJouImY/view?usp=drivesdk" TargetMode="External"/><Relationship Id="rId2288" Type="http://schemas.openxmlformats.org/officeDocument/2006/relationships/hyperlink" Target="https://drive.google.com/file/d/1J4aZQgkx-qXjhJjLwtnoK6aizz6PN5EW/view?usp=drivesdk" TargetMode="External"/><Relationship Id="rId2289" Type="http://schemas.openxmlformats.org/officeDocument/2006/relationships/hyperlink" Target="https://drive.google.com/file/d/1yLv5YeEo6XS-npXdE0gkN4EcWudwpa41/view?usp=drivesdk" TargetMode="External"/><Relationship Id="rId2270" Type="http://schemas.openxmlformats.org/officeDocument/2006/relationships/hyperlink" Target="https://drive.google.com/file/d/1Fk4Z3jcgVeeJsXaPLYEcZ9ZeKBOUk1j3/view?usp=drivesdk" TargetMode="External"/><Relationship Id="rId2271" Type="http://schemas.openxmlformats.org/officeDocument/2006/relationships/hyperlink" Target="https://drive.google.com/file/d/1ailEUuaQccP2WXadsgPMOxQOJwaF_AC0/view?usp=drivesdk" TargetMode="External"/><Relationship Id="rId2272" Type="http://schemas.openxmlformats.org/officeDocument/2006/relationships/hyperlink" Target="https://drive.google.com/file/d/1TwWwpJV7WkGqLukHq90qA4J6IfRC5i6c/view?usp=drivesdk" TargetMode="External"/><Relationship Id="rId2273" Type="http://schemas.openxmlformats.org/officeDocument/2006/relationships/hyperlink" Target="https://drive.google.com/file/d/1fNznagGGzg0q8bTovhjgE00k5Uda2ViG/view?usp=drivesdk" TargetMode="External"/><Relationship Id="rId2274" Type="http://schemas.openxmlformats.org/officeDocument/2006/relationships/hyperlink" Target="https://drive.google.com/file/d/1u2WERi9J38iDr6IfHpnr88JL_Wd9yifx/view?usp=drivesdk" TargetMode="External"/><Relationship Id="rId2275" Type="http://schemas.openxmlformats.org/officeDocument/2006/relationships/hyperlink" Target="https://drive.google.com/file/d/1owBLjZGO5git8V83q-f_cSdmyOfEoC7o/view?usp=drivesdk" TargetMode="External"/><Relationship Id="rId2276" Type="http://schemas.openxmlformats.org/officeDocument/2006/relationships/hyperlink" Target="https://drive.google.com/file/d/1hKEGvMIv7DJJPSnWxJgLNpNMZv3AOlqU/view?usp=drivesdk" TargetMode="External"/><Relationship Id="rId2277" Type="http://schemas.openxmlformats.org/officeDocument/2006/relationships/hyperlink" Target="https://drive.google.com/file/d/1Z7xUcq3Iqqh1mlo0fwFmckD3D4x1CESo/view?usp=drivesdk" TargetMode="External"/><Relationship Id="rId2278" Type="http://schemas.openxmlformats.org/officeDocument/2006/relationships/hyperlink" Target="https://drive.google.com/file/d/17_4rLObgYeGx47WoFJofU7RuvjxmjlQr/view?usp=drivesdk" TargetMode="External"/><Relationship Id="rId2279" Type="http://schemas.openxmlformats.org/officeDocument/2006/relationships/hyperlink" Target="https://drive.google.com/file/d/1Ouo196U2VDtyxIuwxc_Gq6bwhN5Uh1r_/view?usp=drivesdk" TargetMode="External"/><Relationship Id="rId2225" Type="http://schemas.openxmlformats.org/officeDocument/2006/relationships/hyperlink" Target="https://drive.google.com/file/d/1JdPe1EOfZZSig4WhokLLINgRq2UWE23Q/view?usp=drivesdk" TargetMode="External"/><Relationship Id="rId3557" Type="http://schemas.openxmlformats.org/officeDocument/2006/relationships/hyperlink" Target="https://drive.google.com/file/d/1kdJ4QJ9dQ1ta9_yiDrGj1xS-jk-1lIku/view?usp=drivesdk" TargetMode="External"/><Relationship Id="rId4888" Type="http://schemas.openxmlformats.org/officeDocument/2006/relationships/hyperlink" Target="https://drive.google.com/file/d/11vsPnzSzaC0HlenAR3aNHLCE2n5NqvbD/view?usp=drivesdk" TargetMode="External"/><Relationship Id="rId2226" Type="http://schemas.openxmlformats.org/officeDocument/2006/relationships/hyperlink" Target="https://drive.google.com/file/d/1-EGtsUHj2LqfPkF7QBCPcqux16duty4j/view?usp=drivesdk" TargetMode="External"/><Relationship Id="rId3556" Type="http://schemas.openxmlformats.org/officeDocument/2006/relationships/hyperlink" Target="https://drive.google.com/file/d/1JHRyFf7Dy-shU-aYAv-vuM_tsXv2-xIa/view?usp=drivesdk" TargetMode="External"/><Relationship Id="rId4887" Type="http://schemas.openxmlformats.org/officeDocument/2006/relationships/hyperlink" Target="https://drive.google.com/file/d/1vD8yFNqjkQuhF4vQqhmFLmuMZPIyoz8K/view?usp=drivesdk" TargetMode="External"/><Relationship Id="rId2227" Type="http://schemas.openxmlformats.org/officeDocument/2006/relationships/hyperlink" Target="https://drive.google.com/file/d/1UqCpvfmrI5V7nlWnv0gboxTHXB_NRz4j/view?usp=drivesdk" TargetMode="External"/><Relationship Id="rId3559" Type="http://schemas.openxmlformats.org/officeDocument/2006/relationships/hyperlink" Target="https://drive.google.com/file/d/1sYOkjCQv0R_BCOA_JZGPLV2Lxxjk5pHy/view?usp=drivesdk" TargetMode="External"/><Relationship Id="rId2228" Type="http://schemas.openxmlformats.org/officeDocument/2006/relationships/hyperlink" Target="https://drive.google.com/file/d/14d8UFqbYoDIcAG5nu4-hBtRMef_JjWBD/view?usp=drivesdk" TargetMode="External"/><Relationship Id="rId3558" Type="http://schemas.openxmlformats.org/officeDocument/2006/relationships/hyperlink" Target="https://drive.google.com/file/d/1NnclJWjd3NXQYsPwUcc0ITbRqjRDXEsE/view?usp=drivesdk" TargetMode="External"/><Relationship Id="rId4889" Type="http://schemas.openxmlformats.org/officeDocument/2006/relationships/hyperlink" Target="https://drive.google.com/file/d/1ewNBY4Zxl80YM8KmLRPuhk067TidkgMG/view?usp=drivesdk" TargetMode="External"/><Relationship Id="rId2229" Type="http://schemas.openxmlformats.org/officeDocument/2006/relationships/hyperlink" Target="https://drive.google.com/file/d/10FXuDKnklMJPsxID7-OYNywJCh9YohRM/view?usp=drivesdk" TargetMode="External"/><Relationship Id="rId4880" Type="http://schemas.openxmlformats.org/officeDocument/2006/relationships/hyperlink" Target="https://drive.google.com/file/d/1vIcrslmgYgKY9e_MwMpd028XEaqdNbZn/view?usp=drivesdk" TargetMode="External"/><Relationship Id="rId3551" Type="http://schemas.openxmlformats.org/officeDocument/2006/relationships/hyperlink" Target="https://drive.google.com/file/d/1anFscE2UPj8xc8mHGXI6vRnOWzKB3WgU/view?usp=drivesdk" TargetMode="External"/><Relationship Id="rId4882" Type="http://schemas.openxmlformats.org/officeDocument/2006/relationships/hyperlink" Target="https://drive.google.com/file/d/1WxkemLKQVqxLmGG3m9TAY74ymX_CVCBJ/view?usp=drivesdk" TargetMode="External"/><Relationship Id="rId2220" Type="http://schemas.openxmlformats.org/officeDocument/2006/relationships/hyperlink" Target="https://drive.google.com/file/d/1bwsGPJm_wkRq2emi84Bzo1_CNS-_cLdE/view?usp=drivesdk" TargetMode="External"/><Relationship Id="rId3550" Type="http://schemas.openxmlformats.org/officeDocument/2006/relationships/hyperlink" Target="https://drive.google.com/file/d/1j9UPHdYvLuigobrDpOsk-9h5w5-NKI0d/view?usp=drivesdk" TargetMode="External"/><Relationship Id="rId4881" Type="http://schemas.openxmlformats.org/officeDocument/2006/relationships/hyperlink" Target="https://drive.google.com/file/d/14A5xLozX4MRWJ1jdCkDi-vP-uMmT0fNK/view?usp=drivesdk" TargetMode="External"/><Relationship Id="rId2221" Type="http://schemas.openxmlformats.org/officeDocument/2006/relationships/hyperlink" Target="https://drive.google.com/file/d/1KTr_w1FGXVLT8MzfCox0ZL80TmnbnQsk/view?usp=drivesdk" TargetMode="External"/><Relationship Id="rId3553" Type="http://schemas.openxmlformats.org/officeDocument/2006/relationships/hyperlink" Target="https://drive.google.com/file/d/1DcJLpz3pFkJxhiJSl4bDgQOYdPsuGak0/view?usp=drivesdk" TargetMode="External"/><Relationship Id="rId4884" Type="http://schemas.openxmlformats.org/officeDocument/2006/relationships/hyperlink" Target="https://drive.google.com/file/d/1epxVwmbY4fPmr_e11VxfHOg0ifMQbxc2/view?usp=drivesdk" TargetMode="External"/><Relationship Id="rId2222" Type="http://schemas.openxmlformats.org/officeDocument/2006/relationships/hyperlink" Target="https://drive.google.com/file/d/1a1rPMpyihruju63rx3CY6qK_WmCpUVMZ/view?usp=drivesdk" TargetMode="External"/><Relationship Id="rId3552" Type="http://schemas.openxmlformats.org/officeDocument/2006/relationships/hyperlink" Target="https://drive.google.com/file/d/1ZdskhjW9o_H8yR0VajPdd0M7LnMN9KF8/view?usp=drivesdk" TargetMode="External"/><Relationship Id="rId4883" Type="http://schemas.openxmlformats.org/officeDocument/2006/relationships/hyperlink" Target="https://drive.google.com/file/d/14djRa4CWTSKwP6vLX2DSzcWOSXLPtk6Y/view?usp=drivesdk" TargetMode="External"/><Relationship Id="rId2223" Type="http://schemas.openxmlformats.org/officeDocument/2006/relationships/hyperlink" Target="https://drive.google.com/file/d/1-GvIRjoiNxQa6xturaYTIL9DpJn9lygT/view?usp=drivesdk" TargetMode="External"/><Relationship Id="rId3555" Type="http://schemas.openxmlformats.org/officeDocument/2006/relationships/hyperlink" Target="https://drive.google.com/file/d/1tWGt6sdtPtPgNfTiOogcLKggkWr-6G1z/view?usp=drivesdk" TargetMode="External"/><Relationship Id="rId4886" Type="http://schemas.openxmlformats.org/officeDocument/2006/relationships/hyperlink" Target="https://drive.google.com/file/d/1hopjgteK1EBP1RzzH1FigKRWKfyan1ig/view?usp=drivesdk" TargetMode="External"/><Relationship Id="rId2224" Type="http://schemas.openxmlformats.org/officeDocument/2006/relationships/hyperlink" Target="https://drive.google.com/file/d/1PDtfZJjZ3GfkEMsr6HdKJYXXBSlWD7g1/view?usp=drivesdk" TargetMode="External"/><Relationship Id="rId3554" Type="http://schemas.openxmlformats.org/officeDocument/2006/relationships/hyperlink" Target="https://drive.google.com/file/d/1tBlcUlvtJXKyoLiHS5azPVI8Hvr3b53d/view?usp=drivesdk" TargetMode="External"/><Relationship Id="rId4885" Type="http://schemas.openxmlformats.org/officeDocument/2006/relationships/hyperlink" Target="https://drive.google.com/file/d/1YPJTkAUbd8Wo9lwqHSttvvfqxZOT5Vkv/view?usp=drivesdk" TargetMode="External"/><Relationship Id="rId2214" Type="http://schemas.openxmlformats.org/officeDocument/2006/relationships/hyperlink" Target="https://drive.google.com/file/d/1NWxjlQjmLtrXnHBSvehBzDvGz3ZI5h7q/view?usp=drivesdk" TargetMode="External"/><Relationship Id="rId3546" Type="http://schemas.openxmlformats.org/officeDocument/2006/relationships/hyperlink" Target="https://drive.google.com/file/d/17hA8B9RHF8_WKMvT0qkFA7Bzm-8SH3eV/view?usp=drivesdk" TargetMode="External"/><Relationship Id="rId4877" Type="http://schemas.openxmlformats.org/officeDocument/2006/relationships/hyperlink" Target="https://drive.google.com/file/d/1YPUeVBowCEKtxmgsfa_j4mXg7GMJyw_e/view?usp=drivesdk" TargetMode="External"/><Relationship Id="rId2215" Type="http://schemas.openxmlformats.org/officeDocument/2006/relationships/hyperlink" Target="https://drive.google.com/file/d/1yXcHfpEBxoXh7_Cg-mwlBjL3EP2pC2Dn/view?usp=drivesdk" TargetMode="External"/><Relationship Id="rId3545" Type="http://schemas.openxmlformats.org/officeDocument/2006/relationships/hyperlink" Target="https://drive.google.com/file/d/11pPkkADJ9V-CPvr1xOcRHMuwDbMbuGrP/view?usp=drivesdk" TargetMode="External"/><Relationship Id="rId4876" Type="http://schemas.openxmlformats.org/officeDocument/2006/relationships/hyperlink" Target="https://drive.google.com/file/d/12RZwHZNKWKnoc1vCM4Iv9pJbToYF-6Cr/view?usp=drivesdk" TargetMode="External"/><Relationship Id="rId2216" Type="http://schemas.openxmlformats.org/officeDocument/2006/relationships/hyperlink" Target="https://drive.google.com/file/d/1RdVx5Mbpmd_J-5L98xfQXXCa4MyMSdMm/view?usp=drivesdk" TargetMode="External"/><Relationship Id="rId3548" Type="http://schemas.openxmlformats.org/officeDocument/2006/relationships/hyperlink" Target="https://drive.google.com/file/d/1Lu9JXKrB-zcNclVAikD1fNZXzvfj-Xj8/view?usp=drivesdk" TargetMode="External"/><Relationship Id="rId4879" Type="http://schemas.openxmlformats.org/officeDocument/2006/relationships/hyperlink" Target="https://drive.google.com/file/d/1roJAjTZDlV_9iiF2FWxvxveXc3dPvbep/view?usp=drivesdk" TargetMode="External"/><Relationship Id="rId2217" Type="http://schemas.openxmlformats.org/officeDocument/2006/relationships/hyperlink" Target="https://drive.google.com/file/d/1JJxt-PHKFpureeEwTJhlGBuviGt-a1Q5/view?usp=drivesdk" TargetMode="External"/><Relationship Id="rId3547" Type="http://schemas.openxmlformats.org/officeDocument/2006/relationships/hyperlink" Target="https://drive.google.com/file/d/1jwuqdr4c8Wd388fmEWFOt70KjzdCsCkP/view?usp=drivesdk" TargetMode="External"/><Relationship Id="rId4878" Type="http://schemas.openxmlformats.org/officeDocument/2006/relationships/hyperlink" Target="https://drive.google.com/file/d/1fHYpmzY6Tk7FSAoJPULye975wM4HXKvA/view?usp=drivesdk" TargetMode="External"/><Relationship Id="rId2218" Type="http://schemas.openxmlformats.org/officeDocument/2006/relationships/hyperlink" Target="https://drive.google.com/file/d/1_WtjdY-MEl8NHDhB-nm3wXcvm2CnxfLP/view?usp=drivesdk" TargetMode="External"/><Relationship Id="rId2219" Type="http://schemas.openxmlformats.org/officeDocument/2006/relationships/hyperlink" Target="https://drive.google.com/file/d/1GfHoFrdZgWzFy-R5BV6KwdNPgWoAP_Y9/view?usp=drivesdk" TargetMode="External"/><Relationship Id="rId3549" Type="http://schemas.openxmlformats.org/officeDocument/2006/relationships/hyperlink" Target="https://drive.google.com/file/d/1qPIHMBg45J0JggwUZkmtEsBSYxiWIkRo/view?usp=drivesdk" TargetMode="External"/><Relationship Id="rId3540" Type="http://schemas.openxmlformats.org/officeDocument/2006/relationships/hyperlink" Target="https://drive.google.com/file/d/1QmlnE7YljfRhLJ9l1Q078T5Sqeo_T3pR/view?usp=drivesdk" TargetMode="External"/><Relationship Id="rId4871" Type="http://schemas.openxmlformats.org/officeDocument/2006/relationships/hyperlink" Target="https://drive.google.com/file/d/16l4e7b0d5QrWed1gYit5Wid7f6jcz3Gk/view?usp=drivesdk" TargetMode="External"/><Relationship Id="rId4870" Type="http://schemas.openxmlformats.org/officeDocument/2006/relationships/hyperlink" Target="https://drive.google.com/file/d/16GtI82LxrP0Vzok5ru5Q2KELR56Q3ZCy/view?usp=drivesdk" TargetMode="External"/><Relationship Id="rId2210" Type="http://schemas.openxmlformats.org/officeDocument/2006/relationships/hyperlink" Target="https://drive.google.com/file/d/1NSVbfrov6cpHVlpt1GpvwP3xiF4y0HCY/view?usp=drivesdk" TargetMode="External"/><Relationship Id="rId3542" Type="http://schemas.openxmlformats.org/officeDocument/2006/relationships/hyperlink" Target="https://drive.google.com/file/d/1EZ9JpTqx04I6wkieufx5UZW2UN1yZ8Gg/view?usp=drivesdk" TargetMode="External"/><Relationship Id="rId4873" Type="http://schemas.openxmlformats.org/officeDocument/2006/relationships/hyperlink" Target="https://drive.google.com/file/d/11uxhF8SS-LZ49oqMnmRNIUdZHaquZZjJ/view?usp=drivesdk" TargetMode="External"/><Relationship Id="rId2211" Type="http://schemas.openxmlformats.org/officeDocument/2006/relationships/hyperlink" Target="https://drive.google.com/file/d/1zq2aUcFPnPc3Cznj8R0VHKtPAsxkUBXD/view?usp=drivesdk" TargetMode="External"/><Relationship Id="rId3541" Type="http://schemas.openxmlformats.org/officeDocument/2006/relationships/hyperlink" Target="https://drive.google.com/file/d/196nvA_xDKVWR2sslWJMRTtg3q7mDPQm-/view?usp=drivesdk" TargetMode="External"/><Relationship Id="rId4872" Type="http://schemas.openxmlformats.org/officeDocument/2006/relationships/hyperlink" Target="https://drive.google.com/file/d/1CvBm2bTzOq27UTmeF7d0vvEHrW2LyFLh/view?usp=drivesdk" TargetMode="External"/><Relationship Id="rId2212" Type="http://schemas.openxmlformats.org/officeDocument/2006/relationships/hyperlink" Target="https://drive.google.com/file/d/1wUIWwfG6_rHwwDzKsXhhXpieH8SMz4si/view?usp=drivesdk" TargetMode="External"/><Relationship Id="rId3544" Type="http://schemas.openxmlformats.org/officeDocument/2006/relationships/hyperlink" Target="https://drive.google.com/file/d/18yNc82wCa7ASS8Ee6V7ACgaojLztGIX2/view?usp=drivesdk" TargetMode="External"/><Relationship Id="rId4875" Type="http://schemas.openxmlformats.org/officeDocument/2006/relationships/hyperlink" Target="https://drive.google.com/file/d/1lZz9e-iXCgGGl44tTwSaJNqbsBRaYA9l/view?usp=drivesdk" TargetMode="External"/><Relationship Id="rId2213" Type="http://schemas.openxmlformats.org/officeDocument/2006/relationships/hyperlink" Target="https://drive.google.com/file/d/1XS5bNMvCtzfaVTjdzAO5hh3qGbQ7TXqk/view?usp=drivesdk" TargetMode="External"/><Relationship Id="rId3543" Type="http://schemas.openxmlformats.org/officeDocument/2006/relationships/hyperlink" Target="https://drive.google.com/file/d/1AliOa2tVz6ySN0OvWipjphzlYkYx5wb3/view?usp=drivesdk" TargetMode="External"/><Relationship Id="rId4874" Type="http://schemas.openxmlformats.org/officeDocument/2006/relationships/hyperlink" Target="https://drive.google.com/file/d/1LAM-F1GXnlCOWODbrhoMiN_LNHCo9IQn/view?usp=drivesdk" TargetMode="External"/><Relationship Id="rId2247" Type="http://schemas.openxmlformats.org/officeDocument/2006/relationships/hyperlink" Target="https://drive.google.com/file/d/1Nlv9R79up6p7iA-I3fy2Xnv72sYLnp2n/view?usp=drivesdk" TargetMode="External"/><Relationship Id="rId3579" Type="http://schemas.openxmlformats.org/officeDocument/2006/relationships/hyperlink" Target="https://drive.google.com/file/d/1d7o85zBacS9Z1JXzk8NT22HOVDtGdOz3/view?usp=drivesdk" TargetMode="External"/><Relationship Id="rId2248" Type="http://schemas.openxmlformats.org/officeDocument/2006/relationships/hyperlink" Target="https://drive.google.com/file/d/1zYGXy7kpoKxfvoCE-dOmJuzRTFjKLDpD/view?usp=drivesdk" TargetMode="External"/><Relationship Id="rId3578" Type="http://schemas.openxmlformats.org/officeDocument/2006/relationships/hyperlink" Target="https://drive.google.com/file/d/1WECNkNWQeJGxHz41SzUTAt5DLEByCtL1/view?usp=drivesdk" TargetMode="External"/><Relationship Id="rId2249" Type="http://schemas.openxmlformats.org/officeDocument/2006/relationships/hyperlink" Target="https://drive.google.com/file/d/1bh2cDThW4Cpxik43MVCqu8M2LT-KZSsY/view?usp=drivesdk" TargetMode="External"/><Relationship Id="rId3571" Type="http://schemas.openxmlformats.org/officeDocument/2006/relationships/hyperlink" Target="https://drive.google.com/file/d/1FeXGasPAD3ifwVqTTAZqwRWt9q5X_rYb/view?usp=drivesdk" TargetMode="External"/><Relationship Id="rId2240" Type="http://schemas.openxmlformats.org/officeDocument/2006/relationships/hyperlink" Target="https://drive.google.com/file/d/1E0YL80AVWQ_G-UfAEvSoN7zHrvMIi5wH/view?usp=drivesdk" TargetMode="External"/><Relationship Id="rId3570" Type="http://schemas.openxmlformats.org/officeDocument/2006/relationships/hyperlink" Target="https://drive.google.com/file/d/1pHCF44fujfusQ7ABfx8IU62bn_ZfK3cH/view?usp=drivesdk" TargetMode="External"/><Relationship Id="rId2241" Type="http://schemas.openxmlformats.org/officeDocument/2006/relationships/hyperlink" Target="https://drive.google.com/file/d/1ACQivQYLQom7zGntIDsY7zDfVTt9u3uK/view?usp=drivesdk" TargetMode="External"/><Relationship Id="rId3573" Type="http://schemas.openxmlformats.org/officeDocument/2006/relationships/hyperlink" Target="https://drive.google.com/file/d/1BSpQoD7QGIrCDt49HlsPVDZf0mS9t2fp/view?usp=drivesdk" TargetMode="External"/><Relationship Id="rId2242" Type="http://schemas.openxmlformats.org/officeDocument/2006/relationships/hyperlink" Target="https://drive.google.com/file/d/15iqwmVCovJgOIk6tG320Hlc7kmyEHe_6/view?usp=drivesdk" TargetMode="External"/><Relationship Id="rId3572" Type="http://schemas.openxmlformats.org/officeDocument/2006/relationships/hyperlink" Target="https://drive.google.com/file/d/1KU1yBliJpZwStGzP1kV18BkaBvsVkrDr/view?usp=drivesdk" TargetMode="External"/><Relationship Id="rId2243" Type="http://schemas.openxmlformats.org/officeDocument/2006/relationships/hyperlink" Target="https://drive.google.com/file/d/1C2ZiAwOT8mm0dkpX7Cctt9-ZjusmH3GQ/view?usp=drivesdk" TargetMode="External"/><Relationship Id="rId3575" Type="http://schemas.openxmlformats.org/officeDocument/2006/relationships/hyperlink" Target="https://drive.google.com/file/d/1GQxKxOecjZ08ouZVNlv4i5sj3xXFF620/view?usp=drivesdk" TargetMode="External"/><Relationship Id="rId2244" Type="http://schemas.openxmlformats.org/officeDocument/2006/relationships/hyperlink" Target="https://drive.google.com/file/d/1f4iI1ZQYdvCcuEhAchnvHen4T3N2o9ku/view?usp=drivesdk" TargetMode="External"/><Relationship Id="rId3574" Type="http://schemas.openxmlformats.org/officeDocument/2006/relationships/hyperlink" Target="https://drive.google.com/file/d/1ZOtcTGRzhzD6yv4c7D50bM7S5i8PREUp/view?usp=drivesdk" TargetMode="External"/><Relationship Id="rId2245" Type="http://schemas.openxmlformats.org/officeDocument/2006/relationships/hyperlink" Target="https://drive.google.com/file/d/1rO3VQ2nXKek5GhGELokzv5rJv4NdxszI/view?usp=drivesdk" TargetMode="External"/><Relationship Id="rId3577" Type="http://schemas.openxmlformats.org/officeDocument/2006/relationships/hyperlink" Target="https://drive.google.com/file/d/1FwTyPs7kmnwbLSktcqSA1My5eXY1dlAR/view?usp=drivesdk" TargetMode="External"/><Relationship Id="rId2246" Type="http://schemas.openxmlformats.org/officeDocument/2006/relationships/hyperlink" Target="https://drive.google.com/file/d/195-X0n3WkitgqtWCG5RTNv8mfL4fNMHe/view?usp=drivesdk" TargetMode="External"/><Relationship Id="rId3576" Type="http://schemas.openxmlformats.org/officeDocument/2006/relationships/hyperlink" Target="https://drive.google.com/file/d/1spUWK5qgvTWDZD1euUWeXdHzSaRv4MD1/view?usp=drivesdk" TargetMode="External"/><Relationship Id="rId2236" Type="http://schemas.openxmlformats.org/officeDocument/2006/relationships/hyperlink" Target="https://drive.google.com/file/d/1sL7l-BUTSp0gTLhRHFJMIHMERNAmS6fb/view?usp=drivesdk" TargetMode="External"/><Relationship Id="rId3568" Type="http://schemas.openxmlformats.org/officeDocument/2006/relationships/hyperlink" Target="https://drive.google.com/file/d/1GRP5zAc1pm3itISYr3-8-QKD6pomRMM6/view?usp=drivesdk" TargetMode="External"/><Relationship Id="rId4899" Type="http://schemas.openxmlformats.org/officeDocument/2006/relationships/hyperlink" Target="https://drive.google.com/file/d/1Y8a6DC8xKFxjfE_vSnVO_gI_CoDVSLOJ/view?usp=drivesdk" TargetMode="External"/><Relationship Id="rId2237" Type="http://schemas.openxmlformats.org/officeDocument/2006/relationships/hyperlink" Target="https://drive.google.com/file/d/11Vfz-9JbU981Fu0EbrVWLhSWVjgJ6c4p/view?usp=drivesdk" TargetMode="External"/><Relationship Id="rId3567" Type="http://schemas.openxmlformats.org/officeDocument/2006/relationships/hyperlink" Target="https://drive.google.com/file/d/1cSxmVSowdQud5_LpyfcPJQTPVfZNzBkU/view?usp=drivesdk" TargetMode="External"/><Relationship Id="rId4898" Type="http://schemas.openxmlformats.org/officeDocument/2006/relationships/hyperlink" Target="https://drive.google.com/file/d/17TmjqeffmRaj2_PplDv6NzZ2nIQf2QMq/view?usp=drivesdk" TargetMode="External"/><Relationship Id="rId2238" Type="http://schemas.openxmlformats.org/officeDocument/2006/relationships/hyperlink" Target="https://drive.google.com/file/d/1L330U_bl8mTM37tBD5Lk1z8WVvwZW3zC/view?usp=drivesdk" TargetMode="External"/><Relationship Id="rId2239" Type="http://schemas.openxmlformats.org/officeDocument/2006/relationships/hyperlink" Target="https://drive.google.com/file/d/17-8oLWxIh0fWYXgrOGe68GSGm5czX5Wm/view?usp=drivesdk" TargetMode="External"/><Relationship Id="rId3569" Type="http://schemas.openxmlformats.org/officeDocument/2006/relationships/hyperlink" Target="https://drive.google.com/file/d/1Luwi5Mvdsnac4PIHdbsCBwMSJ3Nt93H_/view?usp=drivesdk" TargetMode="External"/><Relationship Id="rId3560" Type="http://schemas.openxmlformats.org/officeDocument/2006/relationships/hyperlink" Target="https://drive.google.com/file/d/1tmZFwnid93O0I354iG3JLQKHR8lqv-PZ/view?usp=drivesdk" TargetMode="External"/><Relationship Id="rId4891" Type="http://schemas.openxmlformats.org/officeDocument/2006/relationships/hyperlink" Target="https://drive.google.com/file/d/1IW_r0f-4nyGCcyHQy3dSc4Dp_Y8L0SJ8/view?usp=drivesdk" TargetMode="External"/><Relationship Id="rId4890" Type="http://schemas.openxmlformats.org/officeDocument/2006/relationships/hyperlink" Target="https://drive.google.com/file/d/1cnlXq-c_FLOxm0rblQtaYwJxRtlcNfcx/view?usp=drivesdk" TargetMode="External"/><Relationship Id="rId2230" Type="http://schemas.openxmlformats.org/officeDocument/2006/relationships/hyperlink" Target="https://drive.google.com/file/d/146CM9zYehw0HoU5mkx-Nc6oT5rCa2xWz/view?usp=drivesdk" TargetMode="External"/><Relationship Id="rId3562" Type="http://schemas.openxmlformats.org/officeDocument/2006/relationships/hyperlink" Target="https://drive.google.com/file/d/10iZlurYwbWMd7oB3Uh7u-oB-RGrB-719/view?usp=drivesdk" TargetMode="External"/><Relationship Id="rId4893" Type="http://schemas.openxmlformats.org/officeDocument/2006/relationships/hyperlink" Target="https://drive.google.com/file/d/1Sc5tAbuiW2S1LgCiha0QSzSlg670gKtQ/view?usp=drivesdk" TargetMode="External"/><Relationship Id="rId2231" Type="http://schemas.openxmlformats.org/officeDocument/2006/relationships/hyperlink" Target="https://drive.google.com/file/d/1Gbgb5MvPaAcbRrKIWa-GdkKj6ZywjT5J/view?usp=drivesdk" TargetMode="External"/><Relationship Id="rId3561" Type="http://schemas.openxmlformats.org/officeDocument/2006/relationships/hyperlink" Target="https://drive.google.com/file/d/1i5naHdiACX_XRATHyFvgkCWgVIc4Mikq/view?usp=drivesdk" TargetMode="External"/><Relationship Id="rId4892" Type="http://schemas.openxmlformats.org/officeDocument/2006/relationships/hyperlink" Target="https://drive.google.com/file/d/18IW94X8f3kStpS90bF4MhJzEstUH-R6h/view?usp=drivesdk" TargetMode="External"/><Relationship Id="rId2232" Type="http://schemas.openxmlformats.org/officeDocument/2006/relationships/hyperlink" Target="https://drive.google.com/file/d/1q0FvDrscSDhGWYXPeYPdVl6oqSysx9R2/view?usp=drivesdk" TargetMode="External"/><Relationship Id="rId3564" Type="http://schemas.openxmlformats.org/officeDocument/2006/relationships/hyperlink" Target="https://drive.google.com/file/d/1reWItnwkib_rvOTmpnrsK9S78o2fPaG6/view?usp=drivesdk" TargetMode="External"/><Relationship Id="rId4895" Type="http://schemas.openxmlformats.org/officeDocument/2006/relationships/hyperlink" Target="https://drive.google.com/file/d/174iqAIEz3S0DnlkRWqUTK1bJVVaniQ0u/view?usp=drivesdk" TargetMode="External"/><Relationship Id="rId2233" Type="http://schemas.openxmlformats.org/officeDocument/2006/relationships/hyperlink" Target="https://drive.google.com/file/d/1JqxZleQGSD2jUuRyvmX3cBRruUXFXZTR/view?usp=drivesdk" TargetMode="External"/><Relationship Id="rId3563" Type="http://schemas.openxmlformats.org/officeDocument/2006/relationships/hyperlink" Target="https://drive.google.com/file/d/1wtn_OeczsyoP8VCmxu6HDZZ5rop7t8LW/view?usp=drivesdk" TargetMode="External"/><Relationship Id="rId4894" Type="http://schemas.openxmlformats.org/officeDocument/2006/relationships/hyperlink" Target="https://drive.google.com/file/d/1LOD-jHwwacqXz0hSHQGu2xTYLpuU1Wdi/view?usp=drivesdk" TargetMode="External"/><Relationship Id="rId2234" Type="http://schemas.openxmlformats.org/officeDocument/2006/relationships/hyperlink" Target="https://drive.google.com/file/d/1fI8p9yaALvEG6Hbf1OvU-AotZduM0Bg4/view?usp=drivesdk" TargetMode="External"/><Relationship Id="rId3566" Type="http://schemas.openxmlformats.org/officeDocument/2006/relationships/hyperlink" Target="https://drive.google.com/file/d/1B5TvDVki3Mm2tfkzeJUimZRVTrYYFIN4/view?usp=drivesdk" TargetMode="External"/><Relationship Id="rId4897" Type="http://schemas.openxmlformats.org/officeDocument/2006/relationships/hyperlink" Target="https://drive.google.com/file/d/1OQUW1q8Xahpf5wMj7wkigEgfnzAgekay/view?usp=drivesdk" TargetMode="External"/><Relationship Id="rId2235" Type="http://schemas.openxmlformats.org/officeDocument/2006/relationships/hyperlink" Target="https://drive.google.com/file/d/1h1eM3Ezl3N9tML8YfkwP06Q64UhyANjH/view?usp=drivesdk" TargetMode="External"/><Relationship Id="rId3565" Type="http://schemas.openxmlformats.org/officeDocument/2006/relationships/hyperlink" Target="https://drive.google.com/file/d/1G7O1owto-xLwHLXEnRdetziXEdADtvmq/view?usp=drivesdk" TargetMode="External"/><Relationship Id="rId4896" Type="http://schemas.openxmlformats.org/officeDocument/2006/relationships/hyperlink" Target="https://drive.google.com/file/d/17YPT5kvVHzjuTh4wLF3qHc87bSYFrywP/view?usp=drivesdk" TargetMode="External"/><Relationship Id="rId2290" Type="http://schemas.openxmlformats.org/officeDocument/2006/relationships/hyperlink" Target="https://drive.google.com/file/d/1jFXCLihBV0Aw6yYTkWg9kvrszHELzhCn/view?usp=drivesdk" TargetMode="External"/><Relationship Id="rId2291" Type="http://schemas.openxmlformats.org/officeDocument/2006/relationships/hyperlink" Target="https://drive.google.com/file/d/1ZI8xjnsGK0vUA5KIviS6yQ0ez0-XSGTg/view?usp=drivesdk" TargetMode="External"/><Relationship Id="rId2292" Type="http://schemas.openxmlformats.org/officeDocument/2006/relationships/hyperlink" Target="https://drive.google.com/file/d/12thLKjT4P1hpgYWH1Z-toDJWty4tByxh/view?usp=drivesdk" TargetMode="External"/><Relationship Id="rId2293" Type="http://schemas.openxmlformats.org/officeDocument/2006/relationships/hyperlink" Target="https://drive.google.com/file/d/1HKsOe1yE9lJJrtrIrRo5wF2wsuQZyEfV/view?usp=drivesdk" TargetMode="External"/><Relationship Id="rId2294" Type="http://schemas.openxmlformats.org/officeDocument/2006/relationships/hyperlink" Target="https://drive.google.com/file/d/1yaZGp5q3MfI8a-RWuyOhab45fk0g6rwM/view?usp=drivesdk" TargetMode="External"/><Relationship Id="rId2295" Type="http://schemas.openxmlformats.org/officeDocument/2006/relationships/hyperlink" Target="https://drive.google.com/file/d/1kf7qpADQEXVXmFL9c8Wb2rmRpnJ_ko1A/view?usp=drivesdk" TargetMode="External"/><Relationship Id="rId2296" Type="http://schemas.openxmlformats.org/officeDocument/2006/relationships/hyperlink" Target="https://drive.google.com/file/d/1Ik7m8DaFz48u0nAyOL0-vPC2QtGCfTcZ/view?usp=drivesdk" TargetMode="External"/><Relationship Id="rId2297" Type="http://schemas.openxmlformats.org/officeDocument/2006/relationships/hyperlink" Target="https://drive.google.com/file/d/1fpUHNwB-nUiAKScUIvoCwBe92NSFfE8o/view?usp=drivesdk" TargetMode="External"/><Relationship Id="rId2298" Type="http://schemas.openxmlformats.org/officeDocument/2006/relationships/hyperlink" Target="https://drive.google.com/file/d/153r8-j8RbperTS9CXUH1SHJ5pheM_xOB/view?usp=drivesdk" TargetMode="External"/><Relationship Id="rId2299" Type="http://schemas.openxmlformats.org/officeDocument/2006/relationships/hyperlink" Target="https://drive.google.com/file/d/1X_BzjyoimPr53jOGaOGsYrwln6NpLmid/view?usp=drivesdk" TargetMode="External"/><Relationship Id="rId4901" Type="http://schemas.openxmlformats.org/officeDocument/2006/relationships/hyperlink" Target="https://drive.google.com/file/d/1PkOGcpulVLPQAvthHbW561v8qnmUwEnx/view?usp=drivesdk" TargetMode="External"/><Relationship Id="rId4900" Type="http://schemas.openxmlformats.org/officeDocument/2006/relationships/hyperlink" Target="https://drive.google.com/file/d/1E_T-SbOGPxtCJ-TJeO1KT76aZmgXYgIe/view?usp=drivesdk" TargetMode="External"/><Relationship Id="rId4903" Type="http://schemas.openxmlformats.org/officeDocument/2006/relationships/hyperlink" Target="https://drive.google.com/file/d/1rtGdTKmDWG6bpRymC9NPu3cgOKHNXzCG/view?usp=drivesdk" TargetMode="External"/><Relationship Id="rId4902" Type="http://schemas.openxmlformats.org/officeDocument/2006/relationships/hyperlink" Target="https://drive.google.com/file/d/1WOnmvpIwgzjqm46aByfRrzTWZSL2WXTG/view?usp=drivesdk" TargetMode="External"/><Relationship Id="rId4905" Type="http://schemas.openxmlformats.org/officeDocument/2006/relationships/hyperlink" Target="https://drive.google.com/file/d/18fdSeRZjMf4Xu906nFp8ccN7L3EkvBYy/view?usp=drivesdk" TargetMode="External"/><Relationship Id="rId4904" Type="http://schemas.openxmlformats.org/officeDocument/2006/relationships/hyperlink" Target="https://drive.google.com/file/d/1AAcZmqqB-cnCthg4RzvYuu0B5sCztS0-/view?usp=drivesdk" TargetMode="External"/><Relationship Id="rId4907" Type="http://schemas.openxmlformats.org/officeDocument/2006/relationships/hyperlink" Target="https://drive.google.com/file/d/11TpN1DfNkKhMmBzV-S7D1BxVT1ST_1u7/view?usp=drivesdk" TargetMode="External"/><Relationship Id="rId4906" Type="http://schemas.openxmlformats.org/officeDocument/2006/relationships/hyperlink" Target="https://drive.google.com/file/d/1XXZtvUQ-ehU_4eyKYf91H8lyyHXF-xa0/view?usp=drivesdk" TargetMode="External"/><Relationship Id="rId4909" Type="http://schemas.openxmlformats.org/officeDocument/2006/relationships/hyperlink" Target="https://drive.google.com/file/d/1UE4fbT9eJPTJVSKnsWB2Oq3XPkIb5wDr/view?usp=drivesdk" TargetMode="External"/><Relationship Id="rId4908" Type="http://schemas.openxmlformats.org/officeDocument/2006/relationships/hyperlink" Target="https://drive.google.com/file/d/1M5GqGK3CxNSFpQ1VJfU-n9AiTeEtth_y/view?usp=drivesdk" TargetMode="External"/><Relationship Id="rId2302" Type="http://schemas.openxmlformats.org/officeDocument/2006/relationships/hyperlink" Target="https://drive.google.com/file/d/1kbyTei5BmyOcp94fbMXcuhu_vR4WkcAD/view?usp=drivesdk" TargetMode="External"/><Relationship Id="rId3634" Type="http://schemas.openxmlformats.org/officeDocument/2006/relationships/hyperlink" Target="https://drive.google.com/file/d/15m-g3Yvp2I2Bb7PYjWUz1-iPK60YqbCg/view?usp=drivesdk" TargetMode="External"/><Relationship Id="rId4965" Type="http://schemas.openxmlformats.org/officeDocument/2006/relationships/hyperlink" Target="https://drive.google.com/file/d/191zqSTU_GgZjYsOC3dPJlxghxWdC2aCn/view?usp=drivesdk" TargetMode="External"/><Relationship Id="rId2303" Type="http://schemas.openxmlformats.org/officeDocument/2006/relationships/hyperlink" Target="https://drive.google.com/file/d/1gTFINVHyXR0MMQNYfQLWGyLFqL8F1QrH/view?usp=drivesdk" TargetMode="External"/><Relationship Id="rId3633" Type="http://schemas.openxmlformats.org/officeDocument/2006/relationships/hyperlink" Target="https://drive.google.com/file/d/1u02jGJhhTJ2tTkeqTW1kUuX9Vub6eLBa/view?usp=drivesdk" TargetMode="External"/><Relationship Id="rId4964" Type="http://schemas.openxmlformats.org/officeDocument/2006/relationships/hyperlink" Target="https://drive.google.com/file/d/1-n4wxbnlHGaV4QbGKf3poLxGVw-LGock/view?usp=drivesdk" TargetMode="External"/><Relationship Id="rId2304" Type="http://schemas.openxmlformats.org/officeDocument/2006/relationships/hyperlink" Target="https://drive.google.com/file/d/1mkGFfpaw-061iQYVrs56SpLCh_2df5k_/view?usp=drivesdk" TargetMode="External"/><Relationship Id="rId3636" Type="http://schemas.openxmlformats.org/officeDocument/2006/relationships/hyperlink" Target="https://drive.google.com/file/d/1pIfQPSgWnBfnGDQf_uK_jz2W0x2iN8-k/view?usp=drivesdk" TargetMode="External"/><Relationship Id="rId4967" Type="http://schemas.openxmlformats.org/officeDocument/2006/relationships/hyperlink" Target="https://drive.google.com/file/d/1qJaM2FlJa9VPeTuRM_orEvEEN-rrETKi/view?usp=drivesdk" TargetMode="External"/><Relationship Id="rId2305" Type="http://schemas.openxmlformats.org/officeDocument/2006/relationships/hyperlink" Target="https://drive.google.com/file/d/1uoCfynS8j-NaCvO0Pp5KugV9wZfv8K6R/view?usp=drivesdk" TargetMode="External"/><Relationship Id="rId3635" Type="http://schemas.openxmlformats.org/officeDocument/2006/relationships/hyperlink" Target="https://drive.google.com/file/d/1skLXkKKgCGDFuMYhyFSx619EKdg5pka9/view?usp=drivesdk" TargetMode="External"/><Relationship Id="rId4966" Type="http://schemas.openxmlformats.org/officeDocument/2006/relationships/hyperlink" Target="https://drive.google.com/file/d/1NgKsog6dW19BL5GcdFmOV8nqOXOvlrwH/view?usp=drivesdk" TargetMode="External"/><Relationship Id="rId2306" Type="http://schemas.openxmlformats.org/officeDocument/2006/relationships/hyperlink" Target="https://drive.google.com/file/d/1YXKly1P-7ZY6bFj1uNDDO2Ux_UB0TNio/view?usp=drivesdk" TargetMode="External"/><Relationship Id="rId3638" Type="http://schemas.openxmlformats.org/officeDocument/2006/relationships/hyperlink" Target="https://drive.google.com/file/d/1DUDZ8UV0YesnhdXcRUKBbrML6Q87LIgo/view?usp=drivesdk" TargetMode="External"/><Relationship Id="rId4969" Type="http://schemas.openxmlformats.org/officeDocument/2006/relationships/hyperlink" Target="https://drive.google.com/file/d/1dqorvoOuat62HMw7h_hud6yZytF_w6wG/view?usp=drivesdk" TargetMode="External"/><Relationship Id="rId2307" Type="http://schemas.openxmlformats.org/officeDocument/2006/relationships/hyperlink" Target="https://drive.google.com/file/d/1HRe9ilIOd8jvpth5BwMrKJVIKzuzjh0W/view?usp=drivesdk" TargetMode="External"/><Relationship Id="rId3637" Type="http://schemas.openxmlformats.org/officeDocument/2006/relationships/hyperlink" Target="https://drive.google.com/file/d/1-Z_ppvSqIF4z_ict1Xb5KrGSIbLEXs_S/view?usp=drivesdk" TargetMode="External"/><Relationship Id="rId4968" Type="http://schemas.openxmlformats.org/officeDocument/2006/relationships/hyperlink" Target="https://drive.google.com/file/d/1Zwo4pxnAe61UhjKHcDgGnuwr-S1U2ZEC/view?usp=drivesdk" TargetMode="External"/><Relationship Id="rId2308" Type="http://schemas.openxmlformats.org/officeDocument/2006/relationships/hyperlink" Target="https://drive.google.com/file/d/1zRd-tnkhTyPbAq_53-V0sAf8NVzzE5-6/view?usp=drivesdk" TargetMode="External"/><Relationship Id="rId2309" Type="http://schemas.openxmlformats.org/officeDocument/2006/relationships/hyperlink" Target="https://drive.google.com/file/d/1BvRylgQov-tm8XNViqrZHSJVrAGy3fZ4/view?usp=drivesdk" TargetMode="External"/><Relationship Id="rId3639" Type="http://schemas.openxmlformats.org/officeDocument/2006/relationships/hyperlink" Target="https://drive.google.com/file/d/1IB7jNy3-5BgCC_XlCsp0XMwoXVe8yD3k/view?usp=drivesdk" TargetMode="External"/><Relationship Id="rId3630" Type="http://schemas.openxmlformats.org/officeDocument/2006/relationships/hyperlink" Target="https://drive.google.com/file/d/1Md_eXQnciRc-uw5LtZe8ZfXrl9Kwh1ET/view?usp=drivesdk" TargetMode="External"/><Relationship Id="rId4961" Type="http://schemas.openxmlformats.org/officeDocument/2006/relationships/hyperlink" Target="https://drive.google.com/file/d/1Dz-ONfUbtLvUHR7HzkhAYXDymqu2DFKb/view?usp=drivesdk" TargetMode="External"/><Relationship Id="rId4960" Type="http://schemas.openxmlformats.org/officeDocument/2006/relationships/hyperlink" Target="https://drive.google.com/file/d/1qAKeWo5yr0_mVj-moeSiD0Mn5e_lW0Ol/view?usp=drivesdk" TargetMode="External"/><Relationship Id="rId2300" Type="http://schemas.openxmlformats.org/officeDocument/2006/relationships/hyperlink" Target="https://drive.google.com/file/d/1SSvcRY34nTmsAVYp2VHgLgygAwtSZn0y/view?usp=drivesdk" TargetMode="External"/><Relationship Id="rId3632" Type="http://schemas.openxmlformats.org/officeDocument/2006/relationships/hyperlink" Target="https://drive.google.com/file/d/1FXNr6AoyhFqL82e6Fe_eZl8GmVa6_ORd/view?usp=drivesdk" TargetMode="External"/><Relationship Id="rId4963" Type="http://schemas.openxmlformats.org/officeDocument/2006/relationships/hyperlink" Target="https://drive.google.com/file/d/18nqT7hARh2on-8_X4I2A5r4PoJ9ud916/view?usp=drivesdk" TargetMode="External"/><Relationship Id="rId2301" Type="http://schemas.openxmlformats.org/officeDocument/2006/relationships/hyperlink" Target="https://drive.google.com/file/d/1Q4pdThD3hMH6bbK3W-sU6rcbAogl0mpP/view?usp=drivesdk" TargetMode="External"/><Relationship Id="rId3631" Type="http://schemas.openxmlformats.org/officeDocument/2006/relationships/hyperlink" Target="https://drive.google.com/file/d/1oUcNKhz7HOeHRCVn6eL91m9z4ez02yo9/view?usp=drivesdk" TargetMode="External"/><Relationship Id="rId4962" Type="http://schemas.openxmlformats.org/officeDocument/2006/relationships/hyperlink" Target="https://drive.google.com/file/d/1UfnFKmFxrJ3-rL-mPWfyOZW0P7EGHwNw/view?usp=drivesdk" TargetMode="External"/><Relationship Id="rId3623" Type="http://schemas.openxmlformats.org/officeDocument/2006/relationships/hyperlink" Target="https://drive.google.com/file/d/1njFlT47NdSbJvtwDgb4te8KzrTjxWPIE/view?usp=drivesdk" TargetMode="External"/><Relationship Id="rId4954" Type="http://schemas.openxmlformats.org/officeDocument/2006/relationships/hyperlink" Target="https://drive.google.com/file/d/1bwobxXYL_TRSePcwA0w5Lzu9l6Z7E3EY/view?usp=drivesdk" TargetMode="External"/><Relationship Id="rId3622" Type="http://schemas.openxmlformats.org/officeDocument/2006/relationships/hyperlink" Target="https://drive.google.com/file/d/1Exas0mc5jLBhz-lakgUVW7x_6yjq6xY5/view?usp=drivesdk" TargetMode="External"/><Relationship Id="rId4953" Type="http://schemas.openxmlformats.org/officeDocument/2006/relationships/hyperlink" Target="https://drive.google.com/file/d/1bHoG5VidR1PE_epe8VuIdZPrZpnUXwTd/view?usp=drivesdk" TargetMode="External"/><Relationship Id="rId3625" Type="http://schemas.openxmlformats.org/officeDocument/2006/relationships/hyperlink" Target="https://drive.google.com/file/d/1Pz49QtywYQKFNJoKAji8R-Y0gDTQUxDH/view?usp=drivesdk" TargetMode="External"/><Relationship Id="rId4956" Type="http://schemas.openxmlformats.org/officeDocument/2006/relationships/hyperlink" Target="https://drive.google.com/file/d/1oKp4cOcThgwYG_1Cckm3GYEuGKdRnT5F/view?usp=drivesdk" TargetMode="External"/><Relationship Id="rId3624" Type="http://schemas.openxmlformats.org/officeDocument/2006/relationships/hyperlink" Target="https://drive.google.com/file/d/1P5eUHE1Vq1jbGtGXOD3rFdAPhefsVmGe/view?usp=drivesdk" TargetMode="External"/><Relationship Id="rId4955" Type="http://schemas.openxmlformats.org/officeDocument/2006/relationships/hyperlink" Target="https://drive.google.com/file/d/1WBpmWPzsDsyXhZl_4BP8pfqlaMUn_IyO/view?usp=drivesdk" TargetMode="External"/><Relationship Id="rId3627" Type="http://schemas.openxmlformats.org/officeDocument/2006/relationships/hyperlink" Target="https://drive.google.com/file/d/1LWejys6-VevmA4vqQuNv-2OU10wg9pj1/view?usp=drivesdk" TargetMode="External"/><Relationship Id="rId4958" Type="http://schemas.openxmlformats.org/officeDocument/2006/relationships/hyperlink" Target="https://drive.google.com/file/d/1b4cDvPQb6QJtVpiEA7TAGn74QxtntjAw/view?usp=drivesdk" TargetMode="External"/><Relationship Id="rId3626" Type="http://schemas.openxmlformats.org/officeDocument/2006/relationships/hyperlink" Target="https://drive.google.com/file/d/135MtSk8lYjEZ9hrVuNw4UCsnJS1e08LF/view?usp=drivesdk" TargetMode="External"/><Relationship Id="rId4957" Type="http://schemas.openxmlformats.org/officeDocument/2006/relationships/hyperlink" Target="https://drive.google.com/file/d/1S6Xp3V0vf_O5YnYP0-53qNoaaPPlA-p-/view?usp=drivesdk" TargetMode="External"/><Relationship Id="rId3629" Type="http://schemas.openxmlformats.org/officeDocument/2006/relationships/hyperlink" Target="https://drive.google.com/file/d/1dnE5dNiolFkUvFVJnQCBwoxRdHOUNfYd/view?usp=drivesdk" TargetMode="External"/><Relationship Id="rId3628" Type="http://schemas.openxmlformats.org/officeDocument/2006/relationships/hyperlink" Target="https://drive.google.com/file/d/1uDMGqKfZK668HRx25EPGuYt2_d6ElJ1G/view?usp=drivesdk" TargetMode="External"/><Relationship Id="rId4959" Type="http://schemas.openxmlformats.org/officeDocument/2006/relationships/hyperlink" Target="https://drive.google.com/file/d/1YdzZxsJgHFqZIhQMGPYGM7L901Px1mTn/view?usp=drivesdk" TargetMode="External"/><Relationship Id="rId4950" Type="http://schemas.openxmlformats.org/officeDocument/2006/relationships/hyperlink" Target="https://drive.google.com/file/d/1CzgbbrZzFx5B_wnVcmSXumR3zpj36xKv/view?usp=drivesdk" TargetMode="External"/><Relationship Id="rId3621" Type="http://schemas.openxmlformats.org/officeDocument/2006/relationships/hyperlink" Target="https://drive.google.com/file/d/16F8-gsF4Cw8DLOCHMyjWhHB0wooK6Y7Q/view?usp=drivesdk" TargetMode="External"/><Relationship Id="rId4952" Type="http://schemas.openxmlformats.org/officeDocument/2006/relationships/hyperlink" Target="https://drive.google.com/file/d/1uwswSwvWyTty3OSVg_b-Op1UaCS0xkPF/view?usp=drivesdk" TargetMode="External"/><Relationship Id="rId3620" Type="http://schemas.openxmlformats.org/officeDocument/2006/relationships/hyperlink" Target="https://drive.google.com/file/d/1w0D5G9m1-TVGyaUyP_adyCU_0Y7tnw7d/view?usp=drivesdk" TargetMode="External"/><Relationship Id="rId4951" Type="http://schemas.openxmlformats.org/officeDocument/2006/relationships/hyperlink" Target="https://drive.google.com/file/d/1qS5zXrZS_Ws3zlt82EEAwYkfFY8lecEh/view?usp=drivesdk" TargetMode="External"/><Relationship Id="rId2324" Type="http://schemas.openxmlformats.org/officeDocument/2006/relationships/hyperlink" Target="https://drive.google.com/file/d/140ZjDjMTFLQLSVtIiX2l-GzIHFCLRyCN/view?usp=drivesdk" TargetMode="External"/><Relationship Id="rId3656" Type="http://schemas.openxmlformats.org/officeDocument/2006/relationships/hyperlink" Target="https://drive.google.com/file/d/1HY-50bR_BbRe-Ljlq00KvmJLajHTiUh3/view?usp=drivesdk" TargetMode="External"/><Relationship Id="rId4987" Type="http://schemas.openxmlformats.org/officeDocument/2006/relationships/hyperlink" Target="https://drive.google.com/file/d/1cqjlfeqJM-N8pdonuFexupg3erSBlrtM/view?usp=drivesdk" TargetMode="External"/><Relationship Id="rId2325" Type="http://schemas.openxmlformats.org/officeDocument/2006/relationships/hyperlink" Target="https://drive.google.com/file/d/1ff2Tl8ycKhUIrH3XYLuJIZWhrMH7XBrd/view?usp=drivesdk" TargetMode="External"/><Relationship Id="rId3655" Type="http://schemas.openxmlformats.org/officeDocument/2006/relationships/hyperlink" Target="https://drive.google.com/file/d/1smVELzWRG7MLa3wfBa5O_QET9bJQckw0/view?usp=drivesdk" TargetMode="External"/><Relationship Id="rId4986" Type="http://schemas.openxmlformats.org/officeDocument/2006/relationships/hyperlink" Target="https://drive.google.com/file/d/1Cqz5EvAyJvav2QXmyCXRQdSDlz_I1ZTT/view?usp=drivesdk" TargetMode="External"/><Relationship Id="rId2326" Type="http://schemas.openxmlformats.org/officeDocument/2006/relationships/hyperlink" Target="https://drive.google.com/file/d/14kjtbbXouPWBXnqsH1TVLQu5-tJyLAb8/view?usp=drivesdk" TargetMode="External"/><Relationship Id="rId3658" Type="http://schemas.openxmlformats.org/officeDocument/2006/relationships/hyperlink" Target="https://drive.google.com/file/d/1lIhwNEkG-WQHjWIDCeonNOqona68aZTO/view?usp=drivesdk" TargetMode="External"/><Relationship Id="rId4989" Type="http://schemas.openxmlformats.org/officeDocument/2006/relationships/hyperlink" Target="https://drive.google.com/file/d/1DyYjevQp78sN9kb0afSYlhraFNsgIubc/view?usp=drivesdk" TargetMode="External"/><Relationship Id="rId2327" Type="http://schemas.openxmlformats.org/officeDocument/2006/relationships/hyperlink" Target="https://drive.google.com/file/d/1I6lVH4H3HI51n12YTI3u5tww9GaebxUb/view?usp=drivesdk" TargetMode="External"/><Relationship Id="rId3657" Type="http://schemas.openxmlformats.org/officeDocument/2006/relationships/hyperlink" Target="https://drive.google.com/file/d/1NFnqDZvihel1V-F9fXq8une_tHVUMFjB/view?usp=drivesdk" TargetMode="External"/><Relationship Id="rId4988" Type="http://schemas.openxmlformats.org/officeDocument/2006/relationships/hyperlink" Target="https://drive.google.com/file/d/1QWDM9J-7a6Y2fkaz-58qAVBAVfHCetA_/view?usp=drivesdk" TargetMode="External"/><Relationship Id="rId2328" Type="http://schemas.openxmlformats.org/officeDocument/2006/relationships/hyperlink" Target="https://drive.google.com/file/d/1ktbnlF6HeOQHnguY4rYevuHwAVHfpsAZ/view?usp=drivesdk" TargetMode="External"/><Relationship Id="rId2329" Type="http://schemas.openxmlformats.org/officeDocument/2006/relationships/hyperlink" Target="https://drive.google.com/file/d/11aEQZkv50KQsRqQ9qy3X1gt1bV_sBCS5/view?usp=drivesdk" TargetMode="External"/><Relationship Id="rId3659" Type="http://schemas.openxmlformats.org/officeDocument/2006/relationships/hyperlink" Target="https://drive.google.com/file/d/1Xe9SV5yM4l1Ps-0hl20vUwtxrlibl_Kq/view?usp=drivesdk" TargetMode="External"/><Relationship Id="rId3650" Type="http://schemas.openxmlformats.org/officeDocument/2006/relationships/hyperlink" Target="https://drive.google.com/file/d/1n0Kv7Q9xe9jPJyQqKjp_4wdwAjtUkuDp/view?usp=drivesdk" TargetMode="External"/><Relationship Id="rId4981" Type="http://schemas.openxmlformats.org/officeDocument/2006/relationships/hyperlink" Target="https://drive.google.com/file/d/1CVTPdHCb9mFLdeWa8UvFy2-x32XcaUNX/view?usp=drivesdk" TargetMode="External"/><Relationship Id="rId4980" Type="http://schemas.openxmlformats.org/officeDocument/2006/relationships/hyperlink" Target="https://drive.google.com/file/d/1G7Ue8Jn9wBBPCCAziBd8Nv4bnFCGS33T/view?usp=drivesdk" TargetMode="External"/><Relationship Id="rId2320" Type="http://schemas.openxmlformats.org/officeDocument/2006/relationships/hyperlink" Target="https://drive.google.com/file/d/1HO0Z2es5QNZa5q1Au-xLma34KGtkKxWV/view?usp=drivesdk" TargetMode="External"/><Relationship Id="rId3652" Type="http://schemas.openxmlformats.org/officeDocument/2006/relationships/hyperlink" Target="https://drive.google.com/file/d/1KoIu_b_7jNASvN96RXUNjuvrL5b6rSpk/view?usp=drivesdk" TargetMode="External"/><Relationship Id="rId4983" Type="http://schemas.openxmlformats.org/officeDocument/2006/relationships/hyperlink" Target="https://drive.google.com/file/d/1ln8MaGlG17M-nZKf1PT_1pr1dUphDm7s/view?usp=drivesdk" TargetMode="External"/><Relationship Id="rId2321" Type="http://schemas.openxmlformats.org/officeDocument/2006/relationships/hyperlink" Target="https://drive.google.com/file/d/1nKWYV0Z5RnF0j9vArryJx2-D8rDl-V4b/view?usp=drivesdk" TargetMode="External"/><Relationship Id="rId3651" Type="http://schemas.openxmlformats.org/officeDocument/2006/relationships/hyperlink" Target="https://drive.google.com/file/d/1Jmg9V9YRGZR_o9V6I2-fg1xO9DtdV_jA/view?usp=drivesdk" TargetMode="External"/><Relationship Id="rId4982" Type="http://schemas.openxmlformats.org/officeDocument/2006/relationships/hyperlink" Target="https://drive.google.com/file/d/1wWcDzOwoGPYCuT8U20nhn4zMgJkgrp0r/view?usp=drivesdk" TargetMode="External"/><Relationship Id="rId2322" Type="http://schemas.openxmlformats.org/officeDocument/2006/relationships/hyperlink" Target="https://drive.google.com/file/d/1FscyAA0oZ5bpnQoCIL3NoSwBHJSByhTt/view?usp=drivesdk" TargetMode="External"/><Relationship Id="rId3654" Type="http://schemas.openxmlformats.org/officeDocument/2006/relationships/hyperlink" Target="https://drive.google.com/file/d/1YLVef8IyppDW8NcYF6IKHPv5LDh57Tzn/view?usp=drivesdk" TargetMode="External"/><Relationship Id="rId4985" Type="http://schemas.openxmlformats.org/officeDocument/2006/relationships/hyperlink" Target="https://drive.google.com/file/d/1DD1f5Bl3N1yKiNoTEzaQqpLWeI-jKIEa/view?usp=drivesdk" TargetMode="External"/><Relationship Id="rId2323" Type="http://schemas.openxmlformats.org/officeDocument/2006/relationships/hyperlink" Target="https://drive.google.com/file/d/1TyeyeaBny5Cequ1I5XJs6rdjDIOw4sl7/view?usp=drivesdk" TargetMode="External"/><Relationship Id="rId3653" Type="http://schemas.openxmlformats.org/officeDocument/2006/relationships/hyperlink" Target="https://drive.google.com/file/d/1w8r0APmuT9mphKRFNCRW9zLNCOBHTjSp/view?usp=drivesdk" TargetMode="External"/><Relationship Id="rId4984" Type="http://schemas.openxmlformats.org/officeDocument/2006/relationships/hyperlink" Target="https://drive.google.com/file/d/1gwdj81PnGBDKmguF5vrZ6t5v2JYgrRKI/view?usp=drivesdk" TargetMode="External"/><Relationship Id="rId2313" Type="http://schemas.openxmlformats.org/officeDocument/2006/relationships/hyperlink" Target="https://drive.google.com/file/d/1TGq5c1jdkg1-jIbIEkllZjotgM7Cr6YB/view?usp=drivesdk" TargetMode="External"/><Relationship Id="rId3645" Type="http://schemas.openxmlformats.org/officeDocument/2006/relationships/hyperlink" Target="https://drive.google.com/file/d/1BYuwsR4fotmj3ygVWwITb45AWJrdQ4Ze/view?usp=drivesdk" TargetMode="External"/><Relationship Id="rId4976" Type="http://schemas.openxmlformats.org/officeDocument/2006/relationships/hyperlink" Target="https://drive.google.com/file/d/1Qr2pwfIB4F0n_tOvhIbMbzs3WS3gwxv3/view?usp=drivesdk" TargetMode="External"/><Relationship Id="rId2314" Type="http://schemas.openxmlformats.org/officeDocument/2006/relationships/hyperlink" Target="https://drive.google.com/file/d/1J05ROsZ3VBq8I_nQpvwihMTWKeZK6u59/view?usp=drivesdk" TargetMode="External"/><Relationship Id="rId3644" Type="http://schemas.openxmlformats.org/officeDocument/2006/relationships/hyperlink" Target="https://drive.google.com/file/d/1jL5RTQ_8jKqVxxBK0AQ_QUr65VoasLaW/view?usp=drivesdk" TargetMode="External"/><Relationship Id="rId4975" Type="http://schemas.openxmlformats.org/officeDocument/2006/relationships/hyperlink" Target="https://drive.google.com/file/d/1T6CCXmzdf1zU1Bu72YGbgLNlbsAeio-h/view?usp=drivesdk" TargetMode="External"/><Relationship Id="rId2315" Type="http://schemas.openxmlformats.org/officeDocument/2006/relationships/hyperlink" Target="https://drive.google.com/file/d/1v5drvmY-MC8VluEGm2N28eQnitvIqISV/view?usp=drivesdk" TargetMode="External"/><Relationship Id="rId3647" Type="http://schemas.openxmlformats.org/officeDocument/2006/relationships/hyperlink" Target="https://drive.google.com/file/d/1wf5QvaLEm9QVy54RSiLIs_ocMnWBy9Jy/view?usp=drivesdk" TargetMode="External"/><Relationship Id="rId4978" Type="http://schemas.openxmlformats.org/officeDocument/2006/relationships/hyperlink" Target="https://drive.google.com/file/d/1FZL1Z4ju6nZ4DHojsDz7s6cnN-JOVNo4/view?usp=drivesdk" TargetMode="External"/><Relationship Id="rId2316" Type="http://schemas.openxmlformats.org/officeDocument/2006/relationships/hyperlink" Target="https://drive.google.com/file/d/1ygtzc2ilJrRpdXuai0gLYs4hv88_xISn/view?usp=drivesdk" TargetMode="External"/><Relationship Id="rId3646" Type="http://schemas.openxmlformats.org/officeDocument/2006/relationships/hyperlink" Target="https://drive.google.com/file/d/1w2SexuDGjdHNiZGEJMdjsJLxW_ZQObn3/view?usp=drivesdk" TargetMode="External"/><Relationship Id="rId4977" Type="http://schemas.openxmlformats.org/officeDocument/2006/relationships/hyperlink" Target="https://drive.google.com/file/d/1q8PR1A_tlYRW0P655IyYQTs7G7OQEpIs/view?usp=drivesdk" TargetMode="External"/><Relationship Id="rId2317" Type="http://schemas.openxmlformats.org/officeDocument/2006/relationships/hyperlink" Target="https://drive.google.com/file/d/1r7KUpAdziAYXhLGD9uM7VmGCnwOv5yec/view?usp=drivesdk" TargetMode="External"/><Relationship Id="rId3649" Type="http://schemas.openxmlformats.org/officeDocument/2006/relationships/hyperlink" Target="https://drive.google.com/file/d/1cKWHFHFzKx6Bcnq7FQvoLit3pWIFesvr/view?usp=drivesdk" TargetMode="External"/><Relationship Id="rId2318" Type="http://schemas.openxmlformats.org/officeDocument/2006/relationships/hyperlink" Target="https://drive.google.com/file/d/1B9nbdojQ78l1kVpxtdayjB1ZQxIua28O/view?usp=drivesdk" TargetMode="External"/><Relationship Id="rId3648" Type="http://schemas.openxmlformats.org/officeDocument/2006/relationships/hyperlink" Target="https://drive.google.com/file/d/1K9A9URY6eHsE2IKww38sVJ2S-W0a-f5Y/view?usp=drivesdk" TargetMode="External"/><Relationship Id="rId4979" Type="http://schemas.openxmlformats.org/officeDocument/2006/relationships/hyperlink" Target="https://drive.google.com/file/d/1r0kXjBCfuUWgGzQFaSLivYgV3og2lprs/view?usp=drivesdk" TargetMode="External"/><Relationship Id="rId2319" Type="http://schemas.openxmlformats.org/officeDocument/2006/relationships/hyperlink" Target="https://drive.google.com/file/d/1nMtkCnVgUDIDEiiFFxoyJogjUhO3LrNa/view?usp=drivesdk" TargetMode="External"/><Relationship Id="rId4970" Type="http://schemas.openxmlformats.org/officeDocument/2006/relationships/hyperlink" Target="https://drive.google.com/file/d/1h3ePOVxAW7uNxOQtITs50nPQChPCGq9g/view?usp=drivesdk" TargetMode="External"/><Relationship Id="rId3641" Type="http://schemas.openxmlformats.org/officeDocument/2006/relationships/hyperlink" Target="https://drive.google.com/file/d/10Y4E7GXzD1XAFxTLyOWbLRPRGRNBNc4T/view?usp=drivesdk" TargetMode="External"/><Relationship Id="rId4972" Type="http://schemas.openxmlformats.org/officeDocument/2006/relationships/hyperlink" Target="https://drive.google.com/file/d/1XImIbwWnxo2M-Cz-kJRQJiEtxF7othdp/view?usp=drivesdk" TargetMode="External"/><Relationship Id="rId2310" Type="http://schemas.openxmlformats.org/officeDocument/2006/relationships/hyperlink" Target="https://drive.google.com/file/d/13UjMj1wx9KKIdPLOrpgfjhjA6VgozROD/view?usp=drivesdk" TargetMode="External"/><Relationship Id="rId3640" Type="http://schemas.openxmlformats.org/officeDocument/2006/relationships/hyperlink" Target="https://drive.google.com/file/d/1CSIoqZjUxugWaT_wQhd9LWWFYZ1PvFme/view?usp=drivesdk" TargetMode="External"/><Relationship Id="rId4971" Type="http://schemas.openxmlformats.org/officeDocument/2006/relationships/hyperlink" Target="https://drive.google.com/file/d/16YqhXKa2Enw7SSLw-J9j3UVTsNsyOC4d/view?usp=drivesdk" TargetMode="External"/><Relationship Id="rId2311" Type="http://schemas.openxmlformats.org/officeDocument/2006/relationships/hyperlink" Target="https://drive.google.com/file/d/1_wkzvL-JjhSkoWyXn05scXOlKDecupEf/view?usp=drivesdk" TargetMode="External"/><Relationship Id="rId3643" Type="http://schemas.openxmlformats.org/officeDocument/2006/relationships/hyperlink" Target="https://drive.google.com/file/d/1uULFJvwePK5L_1y-Kz9OHCEcQcdvsLbm/view?usp=drivesdk" TargetMode="External"/><Relationship Id="rId4974" Type="http://schemas.openxmlformats.org/officeDocument/2006/relationships/hyperlink" Target="https://drive.google.com/file/d/1-jgUZnkuVmgncYicbxhouzxtSe1egzip/view?usp=drivesdk" TargetMode="External"/><Relationship Id="rId2312" Type="http://schemas.openxmlformats.org/officeDocument/2006/relationships/hyperlink" Target="https://drive.google.com/file/d/1HN7u00RKaiA1jywwtJJLZcJOW_SuDUvR/view?usp=drivesdk" TargetMode="External"/><Relationship Id="rId3642" Type="http://schemas.openxmlformats.org/officeDocument/2006/relationships/hyperlink" Target="https://drive.google.com/file/d/1uzkRIR_pV6eE2vRWj0n3Adi5_FfL_EgN/view?usp=drivesdk" TargetMode="External"/><Relationship Id="rId4973" Type="http://schemas.openxmlformats.org/officeDocument/2006/relationships/hyperlink" Target="https://drive.google.com/file/d/1wxXU803cTKN_6H-td8Ld8S60FmEzm71S/view?usp=drivesdk" TargetMode="External"/><Relationship Id="rId4921" Type="http://schemas.openxmlformats.org/officeDocument/2006/relationships/hyperlink" Target="https://drive.google.com/file/d/1WhXHfrsDFRT6tWzh0Kz2cCyVkXW4342e/view?usp=drivesdk" TargetMode="External"/><Relationship Id="rId4920" Type="http://schemas.openxmlformats.org/officeDocument/2006/relationships/hyperlink" Target="https://drive.google.com/file/d/1ctCCZBj9oi8Hc9tvOJBdRHre6zjJuDQX/view?usp=drivesdk" TargetMode="External"/><Relationship Id="rId4923" Type="http://schemas.openxmlformats.org/officeDocument/2006/relationships/hyperlink" Target="https://drive.google.com/file/d/1bJvNPfwvQ6G_J7RuIrL8AeiQ-C3xuCmw/view?usp=drivesdk" TargetMode="External"/><Relationship Id="rId4922" Type="http://schemas.openxmlformats.org/officeDocument/2006/relationships/hyperlink" Target="https://drive.google.com/file/d/1OSXLfNzFKRcGx1kYFQW1bU5Cg3PHX50B/view?usp=drivesdk" TargetMode="External"/><Relationship Id="rId4925" Type="http://schemas.openxmlformats.org/officeDocument/2006/relationships/hyperlink" Target="https://drive.google.com/file/d/1MPiW63ND55hG2eJWtsZ1uy7Q1nGGTdwd/view?usp=drivesdk" TargetMode="External"/><Relationship Id="rId4924" Type="http://schemas.openxmlformats.org/officeDocument/2006/relationships/hyperlink" Target="https://drive.google.com/file/d/1346rV60P3zLWO9Lsg4BpONaIaXmoNu4w/view?usp=drivesdk" TargetMode="External"/><Relationship Id="rId4927" Type="http://schemas.openxmlformats.org/officeDocument/2006/relationships/hyperlink" Target="https://drive.google.com/file/d/10-X1kCin5gg6PBDE5R08Ikqv1q2WTSo3/view?usp=drivesdk" TargetMode="External"/><Relationship Id="rId4926" Type="http://schemas.openxmlformats.org/officeDocument/2006/relationships/hyperlink" Target="https://drive.google.com/file/d/1gu2WMo8w5HLuoWuPSCL5t-pXs5EHtjAL/view?usp=drivesdk" TargetMode="External"/><Relationship Id="rId4929" Type="http://schemas.openxmlformats.org/officeDocument/2006/relationships/hyperlink" Target="https://drive.google.com/file/d/1If476K-WjATZyopWTEBsnBpAIwNX4jXh/view?usp=drivesdk" TargetMode="External"/><Relationship Id="rId4928" Type="http://schemas.openxmlformats.org/officeDocument/2006/relationships/hyperlink" Target="https://drive.google.com/file/d/1fvcuv4ZCHa6WTonN3pLUi5So6CUBPn5e/view?usp=drivesdk" TargetMode="External"/><Relationship Id="rId4910" Type="http://schemas.openxmlformats.org/officeDocument/2006/relationships/hyperlink" Target="https://drive.google.com/file/d/1y9ZNUKfP2I5CWbN3FkWeNbZdsFZKqR1q/view?usp=drivesdk" TargetMode="External"/><Relationship Id="rId4912" Type="http://schemas.openxmlformats.org/officeDocument/2006/relationships/hyperlink" Target="https://drive.google.com/file/d/1II0sk4m5Og31rb9dwom09Oy_gWPQHU_p/view?usp=drivesdk" TargetMode="External"/><Relationship Id="rId4911" Type="http://schemas.openxmlformats.org/officeDocument/2006/relationships/hyperlink" Target="https://drive.google.com/file/d/1MVMwvC3eQA78sxyJNqNnsaFjQfB255Sq/view?usp=drivesdk" TargetMode="External"/><Relationship Id="rId4914" Type="http://schemas.openxmlformats.org/officeDocument/2006/relationships/hyperlink" Target="https://drive.google.com/file/d/1tN_yZNzffAwg1h1DNU1N9LehbGHAvXHh/view?usp=drivesdk" TargetMode="External"/><Relationship Id="rId4913" Type="http://schemas.openxmlformats.org/officeDocument/2006/relationships/hyperlink" Target="https://drive.google.com/file/d/1V1tLZFHV2w42gMIDNrXD7qKAxYBJZVVm/view?usp=drivesdk" TargetMode="External"/><Relationship Id="rId4916" Type="http://schemas.openxmlformats.org/officeDocument/2006/relationships/hyperlink" Target="https://drive.google.com/file/d/1SqJkMYcS8PpBlMAUHqP01eXpxMm_Khzu/view?usp=drivesdk" TargetMode="External"/><Relationship Id="rId4915" Type="http://schemas.openxmlformats.org/officeDocument/2006/relationships/hyperlink" Target="https://drive.google.com/file/d/12pKDbtvcnnu_QHQ6o9LcMaHYr3qnzo2e/view?usp=drivesdk" TargetMode="External"/><Relationship Id="rId4918" Type="http://schemas.openxmlformats.org/officeDocument/2006/relationships/hyperlink" Target="https://drive.google.com/file/d/1bD6c6d46ZRH7I6m3guENzV38wXVmpUl-/view?usp=drivesdk" TargetMode="External"/><Relationship Id="rId4917" Type="http://schemas.openxmlformats.org/officeDocument/2006/relationships/hyperlink" Target="https://drive.google.com/file/d/1IW1PzLdIciGKa0OVDtxgRJ90camSYFrP/view?usp=drivesdk" TargetMode="External"/><Relationship Id="rId4919" Type="http://schemas.openxmlformats.org/officeDocument/2006/relationships/hyperlink" Target="https://drive.google.com/file/d/1w2M1RBoyYrzbsJYs6OG8kPufqqUnGRm2/view?usp=drivesdk" TargetMode="External"/><Relationship Id="rId3612" Type="http://schemas.openxmlformats.org/officeDocument/2006/relationships/hyperlink" Target="https://drive.google.com/file/d/16LkRFwDFdwaaQbktV0Yzk30FjWSSiLGU/view?usp=drivesdk" TargetMode="External"/><Relationship Id="rId4943" Type="http://schemas.openxmlformats.org/officeDocument/2006/relationships/hyperlink" Target="https://drive.google.com/file/d/1Z44QGD0UZ6muy-w-3kwxMQUKbXIBCT_i/view?usp=drivesdk" TargetMode="External"/><Relationship Id="rId3611" Type="http://schemas.openxmlformats.org/officeDocument/2006/relationships/hyperlink" Target="https://drive.google.com/file/d/1-kPj6k_N1ad-Mxo4SXJURrb5hCkJLGuF/view?usp=drivesdk" TargetMode="External"/><Relationship Id="rId4942" Type="http://schemas.openxmlformats.org/officeDocument/2006/relationships/hyperlink" Target="https://drive.google.com/file/d/15zXMydwWV_0-oEDEM0UZL3rZ3hrW62Oo/view?usp=drivesdk" TargetMode="External"/><Relationship Id="rId3614" Type="http://schemas.openxmlformats.org/officeDocument/2006/relationships/hyperlink" Target="https://drive.google.com/file/d/1UadW12f5qu4QYjVPtSSaYx0RqSsdE4Uj/view?usp=drivesdk" TargetMode="External"/><Relationship Id="rId4945" Type="http://schemas.openxmlformats.org/officeDocument/2006/relationships/hyperlink" Target="https://drive.google.com/file/d/1g8i5scL2pPKAhxzd_ZDt5znDkoQ4ofhs/view?usp=drivesdk" TargetMode="External"/><Relationship Id="rId3613" Type="http://schemas.openxmlformats.org/officeDocument/2006/relationships/hyperlink" Target="https://drive.google.com/file/d/1CTzNi1UPl-AvzRjuNQ8Cq5Sab6un0gok/view?usp=drivesdk" TargetMode="External"/><Relationship Id="rId4944" Type="http://schemas.openxmlformats.org/officeDocument/2006/relationships/hyperlink" Target="https://drive.google.com/file/d/1pfG3LnvO19gd-VGSKyNo08WCEcB4oc62/view?usp=drivesdk" TargetMode="External"/><Relationship Id="rId3616" Type="http://schemas.openxmlformats.org/officeDocument/2006/relationships/hyperlink" Target="https://drive.google.com/file/d/1sxdl5XKPFoAyncOscfJDdMvflVsDQnuI/view?usp=drivesdk" TargetMode="External"/><Relationship Id="rId4947" Type="http://schemas.openxmlformats.org/officeDocument/2006/relationships/hyperlink" Target="https://drive.google.com/file/d/14QTpPWQdfgZPTCA-ktGGgHVIMj75E92h/view?usp=drivesdk" TargetMode="External"/><Relationship Id="rId3615" Type="http://schemas.openxmlformats.org/officeDocument/2006/relationships/hyperlink" Target="https://drive.google.com/file/d/16Z2K0SllPd0QF8KRLCwuwSYBjViIEfqy/view?usp=drivesdk" TargetMode="External"/><Relationship Id="rId4946" Type="http://schemas.openxmlformats.org/officeDocument/2006/relationships/hyperlink" Target="https://drive.google.com/file/d/1nGtAQ1NShg248tFycSU987ld8tUlALcs/view?usp=drivesdk" TargetMode="External"/><Relationship Id="rId3618" Type="http://schemas.openxmlformats.org/officeDocument/2006/relationships/hyperlink" Target="https://drive.google.com/file/d/1xf4u6UEA538iKkdYXauXmimyWTRbTjC7/view?usp=drivesdk" TargetMode="External"/><Relationship Id="rId4949" Type="http://schemas.openxmlformats.org/officeDocument/2006/relationships/hyperlink" Target="https://drive.google.com/file/d/1RbuoTAN3p3rZcr_DG7eiCgVhr1Fkn4-6/view?usp=drivesdk" TargetMode="External"/><Relationship Id="rId3617" Type="http://schemas.openxmlformats.org/officeDocument/2006/relationships/hyperlink" Target="https://drive.google.com/file/d/1PQs4s-2JWAmMzO3zlQn0ufq2bYAYA2gW/view?usp=drivesdk" TargetMode="External"/><Relationship Id="rId4948" Type="http://schemas.openxmlformats.org/officeDocument/2006/relationships/hyperlink" Target="https://drive.google.com/file/d/1G0QDzhICCygVO06gLREJdQ784VBp6jmk/view?usp=drivesdk" TargetMode="External"/><Relationship Id="rId3619" Type="http://schemas.openxmlformats.org/officeDocument/2006/relationships/hyperlink" Target="https://drive.google.com/file/d/1z0SDUYAboO7zpyjX1EKzml_gLuA_1nAU/view?usp=drivesdk" TargetMode="External"/><Relationship Id="rId3610" Type="http://schemas.openxmlformats.org/officeDocument/2006/relationships/hyperlink" Target="https://drive.google.com/file/d/1JSxEa9VZaib0gmdGaxQRV0HrtcpMkBGL/view?usp=drivesdk" TargetMode="External"/><Relationship Id="rId4941" Type="http://schemas.openxmlformats.org/officeDocument/2006/relationships/hyperlink" Target="https://drive.google.com/file/d/1c_C8E0DExtrTOPn6AmZvN4v5islmhtic/view?usp=drivesdk" TargetMode="External"/><Relationship Id="rId4940" Type="http://schemas.openxmlformats.org/officeDocument/2006/relationships/hyperlink" Target="https://drive.google.com/file/d/1LBC1JNr0uoEDm8cMRPeDu4o4gn7PPtra/view?usp=drivesdk" TargetMode="External"/><Relationship Id="rId3601" Type="http://schemas.openxmlformats.org/officeDocument/2006/relationships/hyperlink" Target="https://drive.google.com/file/d/1c1jagKKUqicGeN1b3gtCXFlf3YJwJrYD/view?usp=drivesdk" TargetMode="External"/><Relationship Id="rId4932" Type="http://schemas.openxmlformats.org/officeDocument/2006/relationships/hyperlink" Target="https://drive.google.com/file/d/1vKc0dqmGXowP0v8SBNXHhnmiylG0aJ4V/view?usp=drivesdk" TargetMode="External"/><Relationship Id="rId3600" Type="http://schemas.openxmlformats.org/officeDocument/2006/relationships/hyperlink" Target="https://drive.google.com/file/d/1ZHzNZEQlOnJFBjuhgVX91dgJYqLBfOyD/view?usp=drivesdk" TargetMode="External"/><Relationship Id="rId4931" Type="http://schemas.openxmlformats.org/officeDocument/2006/relationships/hyperlink" Target="https://drive.google.com/file/d/1XQ-w5c2MxvmmCn4KqIyaA_6MA8C4Yrl-/view?usp=drivesdk" TargetMode="External"/><Relationship Id="rId3603" Type="http://schemas.openxmlformats.org/officeDocument/2006/relationships/hyperlink" Target="https://drive.google.com/file/d/1zA0-bUrqbZrgv1FzzmizOKJHK6eHhvie/view?usp=drivesdk" TargetMode="External"/><Relationship Id="rId4934" Type="http://schemas.openxmlformats.org/officeDocument/2006/relationships/hyperlink" Target="https://drive.google.com/file/d/1fVTdyRTV0bpWjp6A3prbjnutPp7QCcUD/view?usp=drivesdk" TargetMode="External"/><Relationship Id="rId3602" Type="http://schemas.openxmlformats.org/officeDocument/2006/relationships/hyperlink" Target="https://drive.google.com/file/d/1AglrqXTpRQ7INqnpquXOXBO9itauMfbV/view?usp=drivesdk" TargetMode="External"/><Relationship Id="rId4933" Type="http://schemas.openxmlformats.org/officeDocument/2006/relationships/hyperlink" Target="https://drive.google.com/file/d/1SLVgUgZsVXKmm3x_hhaZsGe7Bxf8LVpD/view?usp=drivesdk" TargetMode="External"/><Relationship Id="rId3605" Type="http://schemas.openxmlformats.org/officeDocument/2006/relationships/hyperlink" Target="https://drive.google.com/file/d/1EPttYQFRRqCMwiDUZHlDV5VvhL8vGUHJ/view?usp=drivesdk" TargetMode="External"/><Relationship Id="rId4936" Type="http://schemas.openxmlformats.org/officeDocument/2006/relationships/hyperlink" Target="https://drive.google.com/file/d/1QHqgGAB9J7iU4ZkjvqjN_dTDhSragTpD/view?usp=drivesdk" TargetMode="External"/><Relationship Id="rId3604" Type="http://schemas.openxmlformats.org/officeDocument/2006/relationships/hyperlink" Target="https://drive.google.com/file/d/1nTH0QRKzVLRF5nVfPdN84YLe4KK3rDr8/view?usp=drivesdk" TargetMode="External"/><Relationship Id="rId4935" Type="http://schemas.openxmlformats.org/officeDocument/2006/relationships/hyperlink" Target="https://drive.google.com/file/d/1GCZFS16tSKq6ivUFUufoyppzpOd4RPoF/view?usp=drivesdk" TargetMode="External"/><Relationship Id="rId3607" Type="http://schemas.openxmlformats.org/officeDocument/2006/relationships/hyperlink" Target="https://drive.google.com/file/d/11Xnfur9r8NwCr3c0z2MKkNq7O_RHCQZs/view?usp=drivesdk" TargetMode="External"/><Relationship Id="rId4938" Type="http://schemas.openxmlformats.org/officeDocument/2006/relationships/hyperlink" Target="https://drive.google.com/file/d/1Rtjb9ZHCBMvPXWS9TcPC7WTMu_ElqZIJ/view?usp=drivesdk" TargetMode="External"/><Relationship Id="rId3606" Type="http://schemas.openxmlformats.org/officeDocument/2006/relationships/hyperlink" Target="https://drive.google.com/file/d/1ca3faWZZVxf9bvTwPTTFlxMBXHKeubCX/view?usp=drivesdk" TargetMode="External"/><Relationship Id="rId4937" Type="http://schemas.openxmlformats.org/officeDocument/2006/relationships/hyperlink" Target="https://drive.google.com/file/d/1YgvPf5jB6HR1Z3EkOhbSojAOPncHXChr/view?usp=drivesdk" TargetMode="External"/><Relationship Id="rId3609" Type="http://schemas.openxmlformats.org/officeDocument/2006/relationships/hyperlink" Target="https://drive.google.com/file/d/1EJdJTocPNvTe8uIrfZBnrp8ULVtKtuXd/view?usp=drivesdk" TargetMode="External"/><Relationship Id="rId3608" Type="http://schemas.openxmlformats.org/officeDocument/2006/relationships/hyperlink" Target="https://drive.google.com/file/d/1CEdlZ25wxRJZxVUK6c10rfOm3R_kP40f/view?usp=drivesdk" TargetMode="External"/><Relationship Id="rId4939" Type="http://schemas.openxmlformats.org/officeDocument/2006/relationships/hyperlink" Target="https://drive.google.com/file/d/1i6Q1anCUYlzdel358MsdtZw0qQN3-p7n/view?usp=drivesdk" TargetMode="External"/><Relationship Id="rId4930" Type="http://schemas.openxmlformats.org/officeDocument/2006/relationships/hyperlink" Target="https://drive.google.com/file/d/1RcXC848XPMHeiIHypVHAfCQ58a3ecn5X/view?usp=drivesdk" TargetMode="External"/><Relationship Id="rId1059" Type="http://schemas.openxmlformats.org/officeDocument/2006/relationships/hyperlink" Target="https://drive.google.com/file/d/1Wkj4hjtDkdXAuUotsO-5wCvaPt0B9CFo/view?usp=drivesdk" TargetMode="External"/><Relationship Id="rId2380" Type="http://schemas.openxmlformats.org/officeDocument/2006/relationships/hyperlink" Target="https://drive.google.com/file/d/18t5J50_7M6gVhW4HmnBf3b8c4llZQ7UE/view?usp=drivesdk" TargetMode="External"/><Relationship Id="rId1050" Type="http://schemas.openxmlformats.org/officeDocument/2006/relationships/hyperlink" Target="https://drive.google.com/file/d/1kr6gyKAgMEteJQnpJo0PiucGHyBLxDev/view?usp=drivesdk" TargetMode="External"/><Relationship Id="rId2381" Type="http://schemas.openxmlformats.org/officeDocument/2006/relationships/hyperlink" Target="https://drive.google.com/file/d/1dsWF6LiajO1WfbvJKoWBhEbjiGLJkdua/view?usp=drivesdk" TargetMode="External"/><Relationship Id="rId1051" Type="http://schemas.openxmlformats.org/officeDocument/2006/relationships/hyperlink" Target="https://drive.google.com/file/d/1ZOC6791uRXvktm1LgB4CblVeqfk3DIir/view?usp=drivesdk" TargetMode="External"/><Relationship Id="rId2382" Type="http://schemas.openxmlformats.org/officeDocument/2006/relationships/hyperlink" Target="https://drive.google.com/file/d/1ksglrSxMqvyTtvHGsn1w2Sg1Yp_PDNJm/view?usp=drivesdk" TargetMode="External"/><Relationship Id="rId1052" Type="http://schemas.openxmlformats.org/officeDocument/2006/relationships/hyperlink" Target="https://drive.google.com/file/d/1_1RWe1f6WrpcKrbZPnvkV-EGstKLtuxN/view?usp=drivesdk" TargetMode="External"/><Relationship Id="rId2383" Type="http://schemas.openxmlformats.org/officeDocument/2006/relationships/hyperlink" Target="https://drive.google.com/file/d/1r0iG0OVOsc2R8CS9ZZ4btMBz_L1gn8th/view?usp=drivesdk" TargetMode="External"/><Relationship Id="rId1053" Type="http://schemas.openxmlformats.org/officeDocument/2006/relationships/hyperlink" Target="https://drive.google.com/file/d/1Juf-9X1XzM3HmwdR3Anatx4x3Tuaz1Wn/view?usp=drivesdk" TargetMode="External"/><Relationship Id="rId2384" Type="http://schemas.openxmlformats.org/officeDocument/2006/relationships/hyperlink" Target="https://drive.google.com/file/d/1t4sJIcyVbxFWLc9lu0B_LdDKsBv1nHrq/view?usp=drivesdk" TargetMode="External"/><Relationship Id="rId1054" Type="http://schemas.openxmlformats.org/officeDocument/2006/relationships/hyperlink" Target="https://drive.google.com/file/d/1KnPufbYJVZleJDG76j5kUuxXbfAk80m8/view?usp=drivesdk" TargetMode="External"/><Relationship Id="rId2385" Type="http://schemas.openxmlformats.org/officeDocument/2006/relationships/hyperlink" Target="https://drive.google.com/file/d/1axR9NXdtYCV8xg13KcsgTcskCeZ3YInv/view?usp=drivesdk" TargetMode="External"/><Relationship Id="rId1055" Type="http://schemas.openxmlformats.org/officeDocument/2006/relationships/hyperlink" Target="https://drive.google.com/file/d/1lHAIU2TuB0SBiKei6ZudEveai0PW2YMq/view?usp=drivesdk" TargetMode="External"/><Relationship Id="rId2386" Type="http://schemas.openxmlformats.org/officeDocument/2006/relationships/hyperlink" Target="https://drive.google.com/file/d/1VbnjNeNXnrB0Kc5EkIYQN7JhwZPX1oG9/view?usp=drivesdk" TargetMode="External"/><Relationship Id="rId1056" Type="http://schemas.openxmlformats.org/officeDocument/2006/relationships/hyperlink" Target="https://drive.google.com/file/d/1GDUkx7jRSxz-MrTtaOEYXCupKbBdSV0I/view?usp=drivesdk" TargetMode="External"/><Relationship Id="rId2387" Type="http://schemas.openxmlformats.org/officeDocument/2006/relationships/hyperlink" Target="https://drive.google.com/file/d/1GKCQzF_nQwV7Jb8cTHHDdJb15Irk7w40/view?usp=drivesdk" TargetMode="External"/><Relationship Id="rId1057" Type="http://schemas.openxmlformats.org/officeDocument/2006/relationships/hyperlink" Target="https://drive.google.com/file/d/1ubu18pUB-dv9_g_UNHIJM3gO_VI9hKHS/view?usp=drivesdk" TargetMode="External"/><Relationship Id="rId2388" Type="http://schemas.openxmlformats.org/officeDocument/2006/relationships/hyperlink" Target="https://drive.google.com/file/d/1fAbeq8P2y-SN7P2NGLH4jPGf4Em8Z46W/view?usp=drivesdk" TargetMode="External"/><Relationship Id="rId1058" Type="http://schemas.openxmlformats.org/officeDocument/2006/relationships/hyperlink" Target="https://drive.google.com/file/d/1dwUk40VE8maiI_W6dTAM_Dmvdmn0Ku51/view?usp=drivesdk" TargetMode="External"/><Relationship Id="rId2389" Type="http://schemas.openxmlformats.org/officeDocument/2006/relationships/hyperlink" Target="https://drive.google.com/file/d/1DwlUI7VVo46rxf_AxJ0t2aDzY-8Aukvs/view?usp=drivesdk" TargetMode="External"/><Relationship Id="rId1048" Type="http://schemas.openxmlformats.org/officeDocument/2006/relationships/hyperlink" Target="https://drive.google.com/file/d/1-gOJNLN5U-YhizUTS3waalqSMvjVqsiS/view?usp=drivesdk" TargetMode="External"/><Relationship Id="rId2379" Type="http://schemas.openxmlformats.org/officeDocument/2006/relationships/hyperlink" Target="https://drive.google.com/file/d/1nlACUkfQ2qU4u3bAMGaohiLwwSnUn3Qv/view?usp=drivesdk" TargetMode="External"/><Relationship Id="rId1049" Type="http://schemas.openxmlformats.org/officeDocument/2006/relationships/hyperlink" Target="https://drive.google.com/file/d/1sk6mAWq5VSZHUeLhizRh6LNnjZGqcBk3/view?usp=drivesdk" TargetMode="External"/><Relationship Id="rId2370" Type="http://schemas.openxmlformats.org/officeDocument/2006/relationships/hyperlink" Target="https://drive.google.com/file/d/1xDIM6wVIUbfltrKs5cnhHKOurDhkZSev/view?usp=drivesdk" TargetMode="External"/><Relationship Id="rId1040" Type="http://schemas.openxmlformats.org/officeDocument/2006/relationships/hyperlink" Target="https://drive.google.com/file/d/1nTLOgele5Dr3dYMlKTpVxMseY7v_vmJH/view?usp=drivesdk" TargetMode="External"/><Relationship Id="rId2371" Type="http://schemas.openxmlformats.org/officeDocument/2006/relationships/hyperlink" Target="https://drive.google.com/file/d/1it7d1Xn5ydZxzjW3HIK19IfxlA1s6FNw/view?usp=drivesdk" TargetMode="External"/><Relationship Id="rId1041" Type="http://schemas.openxmlformats.org/officeDocument/2006/relationships/hyperlink" Target="https://drive.google.com/file/d/14TJm14vSP4MGeq_c2cBAq8PyJY9oJXTr/view?usp=drivesdk" TargetMode="External"/><Relationship Id="rId2372" Type="http://schemas.openxmlformats.org/officeDocument/2006/relationships/hyperlink" Target="https://drive.google.com/file/d/11_AOBv0PgPIt1uZydq3B5pGUKuOLoVIv/view?usp=drivesdk" TargetMode="External"/><Relationship Id="rId1042" Type="http://schemas.openxmlformats.org/officeDocument/2006/relationships/hyperlink" Target="https://drive.google.com/file/d/1jzncqYiVsaS1V6i6p8w9elV4D9bXFCim/view?usp=drivesdk" TargetMode="External"/><Relationship Id="rId2373" Type="http://schemas.openxmlformats.org/officeDocument/2006/relationships/hyperlink" Target="https://drive.google.com/file/d/1YBCIkdUvhFw9LSaDLwJnxH8WN1fsJMzS/view?usp=drivesdk" TargetMode="External"/><Relationship Id="rId1043" Type="http://schemas.openxmlformats.org/officeDocument/2006/relationships/hyperlink" Target="https://drive.google.com/file/d/1jLxvq6GdjkhSwHzm0t7g5JVqQK-ZbKJ-/view?usp=drivesdk" TargetMode="External"/><Relationship Id="rId2374" Type="http://schemas.openxmlformats.org/officeDocument/2006/relationships/hyperlink" Target="https://drive.google.com/file/d/1hIEuUMzXONVr_lHqIDxKTGK5nTzldAKd/view?usp=drivesdk" TargetMode="External"/><Relationship Id="rId1044" Type="http://schemas.openxmlformats.org/officeDocument/2006/relationships/hyperlink" Target="https://drive.google.com/file/d/1YTrE5lCsdgkmd-39miJPB3RDazJv-bCg/view?usp=drivesdk" TargetMode="External"/><Relationship Id="rId2375" Type="http://schemas.openxmlformats.org/officeDocument/2006/relationships/hyperlink" Target="https://drive.google.com/file/d/1VV4E-tRxmX2fWdJACwx3jfMs44mUMWRY/view?usp=drivesdk" TargetMode="External"/><Relationship Id="rId1045" Type="http://schemas.openxmlformats.org/officeDocument/2006/relationships/hyperlink" Target="https://drive.google.com/file/d/18lrc6s1ZWxFg_mU9UiQ22aOz0Lnhlda3/view?usp=drivesdk" TargetMode="External"/><Relationship Id="rId2376" Type="http://schemas.openxmlformats.org/officeDocument/2006/relationships/hyperlink" Target="https://drive.google.com/file/d/1QLGqVLBa_bAiDoMse8KFFnS-T6BmtkNN/view?usp=drivesdk" TargetMode="External"/><Relationship Id="rId1046" Type="http://schemas.openxmlformats.org/officeDocument/2006/relationships/hyperlink" Target="https://drive.google.com/file/d/1_XG1r08hFCmDJGuiuiPvsp_uOQl9_cuY/view?usp=drivesdk" TargetMode="External"/><Relationship Id="rId2377" Type="http://schemas.openxmlformats.org/officeDocument/2006/relationships/hyperlink" Target="https://drive.google.com/file/d/1pP0EfFeRUmN1iIqiraTOTUzbb3Ty3YMk/view?usp=drivesdk" TargetMode="External"/><Relationship Id="rId1047" Type="http://schemas.openxmlformats.org/officeDocument/2006/relationships/hyperlink" Target="https://drive.google.com/file/d/1EvAniVOV38iBg7icaE7KaW5wzkCAN_vX/view?usp=drivesdk" TargetMode="External"/><Relationship Id="rId2378" Type="http://schemas.openxmlformats.org/officeDocument/2006/relationships/hyperlink" Target="https://drive.google.com/file/d/1IIAC5GG2U-po3mq6rNcPeW5w1axd_s1I/view?usp=drivesdk" TargetMode="External"/><Relationship Id="rId1070" Type="http://schemas.openxmlformats.org/officeDocument/2006/relationships/hyperlink" Target="https://drive.google.com/file/d/1neDhVu7oQyfMFVbtBOqP3KBf2ptj44z6/view?usp=drivesdk" TargetMode="External"/><Relationship Id="rId1071" Type="http://schemas.openxmlformats.org/officeDocument/2006/relationships/hyperlink" Target="https://drive.google.com/file/d/12wPVra8hnKFeHQTEz6Koof-3m-l9Dc57/view?usp=drivesdk" TargetMode="External"/><Relationship Id="rId1072" Type="http://schemas.openxmlformats.org/officeDocument/2006/relationships/hyperlink" Target="https://drive.google.com/file/d/10LnupzDvDJH7TVlvT4VwiTS9z3Ee-tkE/view?usp=drivesdk" TargetMode="External"/><Relationship Id="rId1073" Type="http://schemas.openxmlformats.org/officeDocument/2006/relationships/hyperlink" Target="https://drive.google.com/file/d/1KB8F2LVX-TxFFQ8JpAy6oAhXsXfSzj40/view?usp=drivesdk" TargetMode="External"/><Relationship Id="rId1074" Type="http://schemas.openxmlformats.org/officeDocument/2006/relationships/hyperlink" Target="https://drive.google.com/file/d/1aAQGcOPQgBRazWBdTcvYoj2bbkrBdBPB/view?usp=drivesdk" TargetMode="External"/><Relationship Id="rId1075" Type="http://schemas.openxmlformats.org/officeDocument/2006/relationships/hyperlink" Target="https://drive.google.com/file/d/1PGcJlYuhJ8sxDS7JlFfplhBdnmciHdcL/view?usp=drivesdk" TargetMode="External"/><Relationship Id="rId1076" Type="http://schemas.openxmlformats.org/officeDocument/2006/relationships/hyperlink" Target="https://drive.google.com/file/d/1m_ruydDXXFi58NQ2N8BT5R_fCa_9nLgB/view?usp=drivesdk" TargetMode="External"/><Relationship Id="rId1077" Type="http://schemas.openxmlformats.org/officeDocument/2006/relationships/hyperlink" Target="https://drive.google.com/file/d/1wXdnOFqlfg7Q9hi9f1vO9xd9VMPB4USR/view?usp=drivesdk" TargetMode="External"/><Relationship Id="rId1078" Type="http://schemas.openxmlformats.org/officeDocument/2006/relationships/hyperlink" Target="https://drive.google.com/file/d/1VWtqEQQ9u5Lz2lQlLARSk0NNok40u-eM/view?usp=drivesdk" TargetMode="External"/><Relationship Id="rId1079" Type="http://schemas.openxmlformats.org/officeDocument/2006/relationships/hyperlink" Target="https://drive.google.com/file/d/1mXV-dB73N2n6EeK86lEG-r9J4JSbLceg/view?usp=drivesdk" TargetMode="External"/><Relationship Id="rId2390" Type="http://schemas.openxmlformats.org/officeDocument/2006/relationships/hyperlink" Target="https://drive.google.com/file/d/16EO8abaG_hfhfwnwhWitQ_jN8QMahgww/view?usp=drivesdk" TargetMode="External"/><Relationship Id="rId1060" Type="http://schemas.openxmlformats.org/officeDocument/2006/relationships/hyperlink" Target="https://drive.google.com/file/d/1wSsShROkSIRL8Mm9gAuySgw6JoC6Hjf9/view?usp=drivesdk" TargetMode="External"/><Relationship Id="rId2391" Type="http://schemas.openxmlformats.org/officeDocument/2006/relationships/hyperlink" Target="https://drive.google.com/file/d/1kYVNGvDpfoFNrtOuvhcPvR83E_9ycYQj/view?usp=drivesdk" TargetMode="External"/><Relationship Id="rId1061" Type="http://schemas.openxmlformats.org/officeDocument/2006/relationships/hyperlink" Target="https://drive.google.com/file/d/1c6Fb5Zxs6JUzkKxbvGMb9ZyuHcKD6CyL/view?usp=drivesdk" TargetMode="External"/><Relationship Id="rId2392" Type="http://schemas.openxmlformats.org/officeDocument/2006/relationships/hyperlink" Target="https://drive.google.com/file/d/15vLsAwkijPWhX63YyjuK52QvXREDokYE/view?usp=drivesdk" TargetMode="External"/><Relationship Id="rId1062" Type="http://schemas.openxmlformats.org/officeDocument/2006/relationships/hyperlink" Target="https://drive.google.com/file/d/1yd1zRCcIvh3prHZkh2KLmD_mhyRlRztj/view?usp=drivesdk" TargetMode="External"/><Relationship Id="rId2393" Type="http://schemas.openxmlformats.org/officeDocument/2006/relationships/hyperlink" Target="https://drive.google.com/file/d/17u76lTvLaY28kb1zPVMkMPcWU57drJUe/view?usp=drivesdk" TargetMode="External"/><Relationship Id="rId1063" Type="http://schemas.openxmlformats.org/officeDocument/2006/relationships/hyperlink" Target="https://drive.google.com/file/d/19eGjn2-SQ0khm50_pvDAcEuXq6pNgHfr/view?usp=drivesdk" TargetMode="External"/><Relationship Id="rId2394" Type="http://schemas.openxmlformats.org/officeDocument/2006/relationships/hyperlink" Target="https://drive.google.com/file/d/1mQn9UkaOoYrcH_fejBmi9oTQMihcR65j/view?usp=drivesdk" TargetMode="External"/><Relationship Id="rId1064" Type="http://schemas.openxmlformats.org/officeDocument/2006/relationships/hyperlink" Target="https://drive.google.com/file/d/1Ks3W0cIn_R2UTBxmBlWw-u5sxhW_p7ZC/view?usp=drivesdk" TargetMode="External"/><Relationship Id="rId2395" Type="http://schemas.openxmlformats.org/officeDocument/2006/relationships/hyperlink" Target="https://drive.google.com/file/d/1YP38AGUiy9lid04eGZsCNdxTkbE2D3Ub/view?usp=drivesdk" TargetMode="External"/><Relationship Id="rId1065" Type="http://schemas.openxmlformats.org/officeDocument/2006/relationships/hyperlink" Target="https://drive.google.com/file/d/1TSGBr5txgf9MFqrvi7vH5J7-oDc2bdJM/view?usp=drivesdk" TargetMode="External"/><Relationship Id="rId2396" Type="http://schemas.openxmlformats.org/officeDocument/2006/relationships/hyperlink" Target="https://drive.google.com/file/d/1AAAu9LDzKCWDQOileondlSG41y801iKD/view?usp=drivesdk" TargetMode="External"/><Relationship Id="rId1066" Type="http://schemas.openxmlformats.org/officeDocument/2006/relationships/hyperlink" Target="https://drive.google.com/file/d/1hkx_jRhX9oj3f4KEh0Xjo6JVXW7s4lF8/view?usp=drivesdk" TargetMode="External"/><Relationship Id="rId2397" Type="http://schemas.openxmlformats.org/officeDocument/2006/relationships/hyperlink" Target="https://drive.google.com/file/d/1TXq-cLiQ5Pi_e06Y7TGcOl9PcUj6AnvN/view?usp=drivesdk" TargetMode="External"/><Relationship Id="rId1067" Type="http://schemas.openxmlformats.org/officeDocument/2006/relationships/hyperlink" Target="https://drive.google.com/file/d/1bEwKOoCYdpofIGmx3QY3NX4fPe51BYYZ/view?usp=drivesdk" TargetMode="External"/><Relationship Id="rId2398" Type="http://schemas.openxmlformats.org/officeDocument/2006/relationships/hyperlink" Target="https://drive.google.com/file/d/1i9jh5Dnf519xAcKwxJbBzpD7oRabryay/view?usp=drivesdk" TargetMode="External"/><Relationship Id="rId1068" Type="http://schemas.openxmlformats.org/officeDocument/2006/relationships/hyperlink" Target="https://drive.google.com/file/d/1O-6yRp26qK5dDVLcIy5nB40pBx10o8ll/view?usp=drivesdk" TargetMode="External"/><Relationship Id="rId2399" Type="http://schemas.openxmlformats.org/officeDocument/2006/relationships/hyperlink" Target="https://drive.google.com/file/d/1dpFBLB4323RgI5rJRvFTKgYlc9FmF2Mt/view?usp=drivesdk" TargetMode="External"/><Relationship Id="rId1069" Type="http://schemas.openxmlformats.org/officeDocument/2006/relationships/hyperlink" Target="https://drive.google.com/file/d/104jrvXS_2hUVfnT1SssH8I9vaF3wFVFP/view?usp=drivesdk" TargetMode="External"/><Relationship Id="rId1015" Type="http://schemas.openxmlformats.org/officeDocument/2006/relationships/hyperlink" Target="https://drive.google.com/file/d/13kNjHy3byMkDWFL3-g1SD4zMgkC0D-zj/view?usp=drivesdk" TargetMode="External"/><Relationship Id="rId2346" Type="http://schemas.openxmlformats.org/officeDocument/2006/relationships/hyperlink" Target="https://drive.google.com/file/d/1dS-7APrQleqh_FBPC_Gfh3IaM2-1n4As/view?usp=drivesdk" TargetMode="External"/><Relationship Id="rId3678" Type="http://schemas.openxmlformats.org/officeDocument/2006/relationships/hyperlink" Target="https://drive.google.com/file/d/1eU9PRrlyi_Gp6qF_kCbyK1ijRC90Sh9Q/view?usp=drivesdk" TargetMode="External"/><Relationship Id="rId1016" Type="http://schemas.openxmlformats.org/officeDocument/2006/relationships/hyperlink" Target="https://drive.google.com/file/d/1vgAchmpO4VUBG9Hp1IAyv_HCN-U_LSwP/view?usp=drivesdk" TargetMode="External"/><Relationship Id="rId2347" Type="http://schemas.openxmlformats.org/officeDocument/2006/relationships/hyperlink" Target="https://drive.google.com/file/d/195S5yCgO3ET94USivVXmUjGYjk9yUkrC/view?usp=drivesdk" TargetMode="External"/><Relationship Id="rId3677" Type="http://schemas.openxmlformats.org/officeDocument/2006/relationships/hyperlink" Target="https://drive.google.com/file/d/1TRWfpfPCPAsiFSgNddPWIlRpwn4I1LbI/view?usp=drivesdk" TargetMode="External"/><Relationship Id="rId1017" Type="http://schemas.openxmlformats.org/officeDocument/2006/relationships/hyperlink" Target="https://drive.google.com/file/d/1Kx993hFgBeGj3UymlYaOqIJmhw5Tz3VK/view?usp=drivesdk" TargetMode="External"/><Relationship Id="rId2348" Type="http://schemas.openxmlformats.org/officeDocument/2006/relationships/hyperlink" Target="https://drive.google.com/file/d/1JbQyGbqVoPrmkFq1RR6uIsz2pfGpc_R3/view?usp=drivesdk" TargetMode="External"/><Relationship Id="rId1018" Type="http://schemas.openxmlformats.org/officeDocument/2006/relationships/hyperlink" Target="https://drive.google.com/file/d/1wqHlfKpcYjoLCcrVOtLfSNlmtnxZLhIG/view?usp=drivesdk" TargetMode="External"/><Relationship Id="rId2349" Type="http://schemas.openxmlformats.org/officeDocument/2006/relationships/hyperlink" Target="https://drive.google.com/file/d/1CKp2y1xBIXAKprh6jllW6WPKbVzFVPYI/view?usp=drivesdk" TargetMode="External"/><Relationship Id="rId3679" Type="http://schemas.openxmlformats.org/officeDocument/2006/relationships/hyperlink" Target="https://drive.google.com/file/d/1lGokWPJVeMXUQZsgfhzF6XAABp9o5zsm/view?usp=drivesdk" TargetMode="External"/><Relationship Id="rId1019" Type="http://schemas.openxmlformats.org/officeDocument/2006/relationships/hyperlink" Target="https://drive.google.com/file/d/1pm-ql1gd-tvA8URUo7b1Ame41I5QghF0/view?usp=drivesdk" TargetMode="External"/><Relationship Id="rId3670" Type="http://schemas.openxmlformats.org/officeDocument/2006/relationships/hyperlink" Target="https://drive.google.com/file/d/10W8upAzoJs-vcPsIhEONzgOyizXUxIkb/view?usp=drivesdk" TargetMode="External"/><Relationship Id="rId2340" Type="http://schemas.openxmlformats.org/officeDocument/2006/relationships/hyperlink" Target="https://drive.google.com/file/d/1sngsyKz6Sns3Ir2B3vv8N81KUbkqVYZO/view?usp=drivesdk" TargetMode="External"/><Relationship Id="rId3672" Type="http://schemas.openxmlformats.org/officeDocument/2006/relationships/hyperlink" Target="https://drive.google.com/file/d/1AYyaErRe9lJQd2dKQDWWF3MDgHUqKYYF/view?usp=drivesdk" TargetMode="External"/><Relationship Id="rId1010" Type="http://schemas.openxmlformats.org/officeDocument/2006/relationships/hyperlink" Target="https://drive.google.com/file/d/14vKTHNDO5MjfAWR_Wo9BuDXtPS5eUM_Y/view?usp=drivesdk" TargetMode="External"/><Relationship Id="rId2341" Type="http://schemas.openxmlformats.org/officeDocument/2006/relationships/hyperlink" Target="https://drive.google.com/file/d/1Nzycd1yIKmoMyXzq2HFYwzvUX9KI2o5V/view?usp=drivesdk" TargetMode="External"/><Relationship Id="rId3671" Type="http://schemas.openxmlformats.org/officeDocument/2006/relationships/hyperlink" Target="https://drive.google.com/file/d/1YF3ltRChy_i5Dl-pGedpn5EFvlczKc2F/view?usp=drivesdk" TargetMode="External"/><Relationship Id="rId1011" Type="http://schemas.openxmlformats.org/officeDocument/2006/relationships/hyperlink" Target="https://drive.google.com/file/d/1Tjh6wl5-LDVtuEKdYrAh0dFJvDdMqcft/view?usp=drivesdk" TargetMode="External"/><Relationship Id="rId2342" Type="http://schemas.openxmlformats.org/officeDocument/2006/relationships/hyperlink" Target="https://drive.google.com/file/d/1u5pqR_zHAGrwfXFpIn_Civa259N6K8Cb/view?usp=drivesdk" TargetMode="External"/><Relationship Id="rId3674" Type="http://schemas.openxmlformats.org/officeDocument/2006/relationships/hyperlink" Target="https://drive.google.com/file/d/1o4Nq1wzHalkdFK52GGhUGaRRItIlrJU9/view?usp=drivesdk" TargetMode="External"/><Relationship Id="rId1012" Type="http://schemas.openxmlformats.org/officeDocument/2006/relationships/hyperlink" Target="https://drive.google.com/file/d/1SCuCJ4n_k7RuuUqIebji3ncz5Pxp05mB/view?usp=drivesdk" TargetMode="External"/><Relationship Id="rId2343" Type="http://schemas.openxmlformats.org/officeDocument/2006/relationships/hyperlink" Target="https://drive.google.com/file/d/1wZ-yp5SzHYJuf1iCCflzdWPjq0osKEs_/view?usp=drivesdk" TargetMode="External"/><Relationship Id="rId3673" Type="http://schemas.openxmlformats.org/officeDocument/2006/relationships/hyperlink" Target="https://drive.google.com/file/d/1HnjNbdu4SinRusxX_x8AnjRx5TZNyqae/view?usp=drivesdk" TargetMode="External"/><Relationship Id="rId1013" Type="http://schemas.openxmlformats.org/officeDocument/2006/relationships/hyperlink" Target="https://drive.google.com/file/d/1EqzjKr02H2Fo94HAE5arl7Kvu74zBMUq/view?usp=drivesdk" TargetMode="External"/><Relationship Id="rId2344" Type="http://schemas.openxmlformats.org/officeDocument/2006/relationships/hyperlink" Target="https://drive.google.com/file/d/1JmoGpWrHa_X9i7KXobwjggNVhA7pmwHu/view?usp=drivesdk" TargetMode="External"/><Relationship Id="rId3676" Type="http://schemas.openxmlformats.org/officeDocument/2006/relationships/hyperlink" Target="https://drive.google.com/file/d/1dPQwULSgyAzc78jRUJohDWKz68rzV0Cr/view?usp=drivesdk" TargetMode="External"/><Relationship Id="rId1014" Type="http://schemas.openxmlformats.org/officeDocument/2006/relationships/hyperlink" Target="https://drive.google.com/file/d/1WrG3tovcl_QqVEJvk6OgwqI2KY6O1MEc/view?usp=drivesdk" TargetMode="External"/><Relationship Id="rId2345" Type="http://schemas.openxmlformats.org/officeDocument/2006/relationships/hyperlink" Target="https://drive.google.com/file/d/1mrGiymaVKlMseGpa4CFw_B9AJTjnt9HY/view?usp=drivesdk" TargetMode="External"/><Relationship Id="rId3675" Type="http://schemas.openxmlformats.org/officeDocument/2006/relationships/hyperlink" Target="https://drive.google.com/file/d/19cwX5_h2lEf5Qs02FmzBU01yYGB0Kzww/view?usp=drivesdk" TargetMode="External"/><Relationship Id="rId1004" Type="http://schemas.openxmlformats.org/officeDocument/2006/relationships/hyperlink" Target="https://drive.google.com/file/d/1gLfxe_8RVYgSMK6xXL58hwIcvgHRC5iK/view?usp=drivesdk" TargetMode="External"/><Relationship Id="rId2335" Type="http://schemas.openxmlformats.org/officeDocument/2006/relationships/hyperlink" Target="https://drive.google.com/file/d/1bjVSwaIxk4YvWUq78di4lSnWrx4HnZfL/view?usp=drivesdk" TargetMode="External"/><Relationship Id="rId3667" Type="http://schemas.openxmlformats.org/officeDocument/2006/relationships/hyperlink" Target="https://drive.google.com/file/d/19wmYMjJ23EJAzpTnVov6-qJCadA2LVwC/view?usp=drivesdk" TargetMode="External"/><Relationship Id="rId4998" Type="http://schemas.openxmlformats.org/officeDocument/2006/relationships/hyperlink" Target="https://drive.google.com/file/d/1pqABssLsNVkiUedqhjENsbWeEwzPBYbO/view?usp=drivesdk" TargetMode="External"/><Relationship Id="rId1005" Type="http://schemas.openxmlformats.org/officeDocument/2006/relationships/hyperlink" Target="https://drive.google.com/file/d/1LaultkRyMgXmowtvkBwZkAGQgVQEViYG/view?usp=drivesdk" TargetMode="External"/><Relationship Id="rId2336" Type="http://schemas.openxmlformats.org/officeDocument/2006/relationships/hyperlink" Target="https://drive.google.com/file/d/1ikhcDUymCMcefauyqm2Wz0c8JAq-QIDU/view?usp=drivesdk" TargetMode="External"/><Relationship Id="rId3666" Type="http://schemas.openxmlformats.org/officeDocument/2006/relationships/hyperlink" Target="https://drive.google.com/file/d/1576RCwwHCJSSEloRTDRFkvorn73awEJx/view?usp=drivesdk" TargetMode="External"/><Relationship Id="rId4997" Type="http://schemas.openxmlformats.org/officeDocument/2006/relationships/hyperlink" Target="https://drive.google.com/file/d/1oI_htmIgRZaXvu0JIC-kBXArFKxNwnqK/view?usp=drivesdk" TargetMode="External"/><Relationship Id="rId1006" Type="http://schemas.openxmlformats.org/officeDocument/2006/relationships/hyperlink" Target="https://drive.google.com/file/d/1qwwUgq3HeWxKKTAYWbkHEcz6BukR5V7n/view?usp=drivesdk" TargetMode="External"/><Relationship Id="rId2337" Type="http://schemas.openxmlformats.org/officeDocument/2006/relationships/hyperlink" Target="https://drive.google.com/file/d/1xs--hUr7I2WdRBZbDhXz627-1NMgppaO/view?usp=drivesdk" TargetMode="External"/><Relationship Id="rId3669" Type="http://schemas.openxmlformats.org/officeDocument/2006/relationships/hyperlink" Target="https://drive.google.com/file/d/1mlCPQnexDU8IaWqHw8lrB4tdua_4gPHD/view?usp=drivesdk" TargetMode="External"/><Relationship Id="rId1007" Type="http://schemas.openxmlformats.org/officeDocument/2006/relationships/hyperlink" Target="https://drive.google.com/file/d/1mYEFOrTJlEVVkSZ7UOM9BLg8yREqDeiP/view?usp=drivesdk" TargetMode="External"/><Relationship Id="rId2338" Type="http://schemas.openxmlformats.org/officeDocument/2006/relationships/hyperlink" Target="https://drive.google.com/file/d/1b2R4GeaFOJgh_vo7QB9TbfEBk9abttTI/view?usp=drivesdk" TargetMode="External"/><Relationship Id="rId3668" Type="http://schemas.openxmlformats.org/officeDocument/2006/relationships/hyperlink" Target="https://drive.google.com/file/d/1Wzg2OaOA2ERnbwlC1KzYECgSxVrKtFag/view?usp=drivesdk" TargetMode="External"/><Relationship Id="rId4999" Type="http://schemas.openxmlformats.org/officeDocument/2006/relationships/hyperlink" Target="https://drive.google.com/file/d/1HGt39hBphCaUbFClisroLUKxD65sw4M7/view?usp=drivesdk" TargetMode="External"/><Relationship Id="rId1008" Type="http://schemas.openxmlformats.org/officeDocument/2006/relationships/hyperlink" Target="https://drive.google.com/file/d/1HmeGoRKkMoN-qyfpD48qN06s_mPP1gWY/view?usp=drivesdk" TargetMode="External"/><Relationship Id="rId2339" Type="http://schemas.openxmlformats.org/officeDocument/2006/relationships/hyperlink" Target="https://drive.google.com/file/d/1B0bA9n5xvdboHEPIjDln1RtGzqf_S60H/view?usp=drivesdk" TargetMode="External"/><Relationship Id="rId1009" Type="http://schemas.openxmlformats.org/officeDocument/2006/relationships/hyperlink" Target="https://drive.google.com/file/d/1PD4ZVKDEnQz2q_O9ww75ZIuRv1aMztcz/view?usp=drivesdk" TargetMode="External"/><Relationship Id="rId4990" Type="http://schemas.openxmlformats.org/officeDocument/2006/relationships/hyperlink" Target="https://drive.google.com/file/d/14RUkjWkwiEt_UwOrkMCLn3PIzJ0K0isl/view?usp=drivesdk" TargetMode="External"/><Relationship Id="rId3661" Type="http://schemas.openxmlformats.org/officeDocument/2006/relationships/hyperlink" Target="https://drive.google.com/file/d/1LWLeLjPfp4XEBhM4vkLCK5pE7cXC3IfQ/view?usp=drivesdk" TargetMode="External"/><Relationship Id="rId4992" Type="http://schemas.openxmlformats.org/officeDocument/2006/relationships/hyperlink" Target="https://drive.google.com/file/d/1COnuubMXIY7nT4tUUwhgqjdU1XsHtV3o/view?usp=drivesdk" TargetMode="External"/><Relationship Id="rId2330" Type="http://schemas.openxmlformats.org/officeDocument/2006/relationships/hyperlink" Target="https://drive.google.com/file/d/1uV791ctuWmvQFdsiOovnvYHCr4qw0MRs/view?usp=drivesdk" TargetMode="External"/><Relationship Id="rId3660" Type="http://schemas.openxmlformats.org/officeDocument/2006/relationships/hyperlink" Target="https://drive.google.com/file/d/1U0nrpTiwhzPDoHWeyuyfQix2atshFukJ/view?usp=drivesdk" TargetMode="External"/><Relationship Id="rId4991" Type="http://schemas.openxmlformats.org/officeDocument/2006/relationships/hyperlink" Target="https://drive.google.com/file/d/1LKSLga7lCuEUz19RZ893xSmBJyFmxDRt/view?usp=drivesdk" TargetMode="External"/><Relationship Id="rId1000" Type="http://schemas.openxmlformats.org/officeDocument/2006/relationships/hyperlink" Target="https://drive.google.com/file/d/15BSVPlx3Iwqgg6ntAHSbEa0ePFWgxTld/view?usp=drivesdk" TargetMode="External"/><Relationship Id="rId2331" Type="http://schemas.openxmlformats.org/officeDocument/2006/relationships/hyperlink" Target="https://drive.google.com/file/d/1WqEW2ibiSOFiPNWGkQMwnlcL-_FQrVti/view?usp=drivesdk" TargetMode="External"/><Relationship Id="rId3663" Type="http://schemas.openxmlformats.org/officeDocument/2006/relationships/hyperlink" Target="https://drive.google.com/file/d/1YvMxPq3FI-CrGhwtpu4jCx4WWO5xbzB8/view?usp=drivesdk" TargetMode="External"/><Relationship Id="rId4994" Type="http://schemas.openxmlformats.org/officeDocument/2006/relationships/hyperlink" Target="https://drive.google.com/file/d/1KAuxbzeeK_WpJMkJTprYFl4tLnWCam2d/view?usp=drivesdk" TargetMode="External"/><Relationship Id="rId1001" Type="http://schemas.openxmlformats.org/officeDocument/2006/relationships/hyperlink" Target="https://drive.google.com/file/d/1MeeIiQ9-kBX0BuczFW802WNJSXFCa33s/view?usp=drivesdk" TargetMode="External"/><Relationship Id="rId2332" Type="http://schemas.openxmlformats.org/officeDocument/2006/relationships/hyperlink" Target="https://drive.google.com/file/d/19DA5o9iWS-dyDGqEzWT-Iy9d2iUjOI4M/view?usp=drivesdk" TargetMode="External"/><Relationship Id="rId3662" Type="http://schemas.openxmlformats.org/officeDocument/2006/relationships/hyperlink" Target="https://drive.google.com/file/d/1HjYOvKQ-zLCvIw4mw-BR8FWsjNbI_jky/view?usp=drivesdk" TargetMode="External"/><Relationship Id="rId4993" Type="http://schemas.openxmlformats.org/officeDocument/2006/relationships/hyperlink" Target="https://drive.google.com/file/d/14acEu0rV33LJspPPMSEg_1XetnKFigKs/view?usp=drivesdk" TargetMode="External"/><Relationship Id="rId1002" Type="http://schemas.openxmlformats.org/officeDocument/2006/relationships/hyperlink" Target="https://drive.google.com/file/d/1dH08uIR7axRV936fVksn1RL3AkCKDFzZ/view?usp=drivesdk" TargetMode="External"/><Relationship Id="rId2333" Type="http://schemas.openxmlformats.org/officeDocument/2006/relationships/hyperlink" Target="https://drive.google.com/file/d/1CjAT6YKxng1tcx11DvcoE1D3Wbsxoijf/view?usp=drivesdk" TargetMode="External"/><Relationship Id="rId3665" Type="http://schemas.openxmlformats.org/officeDocument/2006/relationships/hyperlink" Target="https://drive.google.com/file/d/1vYK5AV91e-D-9hNEyCJjaVRL21Ut36S5/view?usp=drivesdk" TargetMode="External"/><Relationship Id="rId4996" Type="http://schemas.openxmlformats.org/officeDocument/2006/relationships/hyperlink" Target="https://drive.google.com/file/d/1ZHKpe3dqEtLkNZxvgUZ7AZZrrZ595D2S/view?usp=drivesdk" TargetMode="External"/><Relationship Id="rId1003" Type="http://schemas.openxmlformats.org/officeDocument/2006/relationships/hyperlink" Target="https://drive.google.com/file/d/1GMjcPfC64wgEB6xbF-3tVqL1nIJ1y7sc/view?usp=drivesdk" TargetMode="External"/><Relationship Id="rId2334" Type="http://schemas.openxmlformats.org/officeDocument/2006/relationships/hyperlink" Target="https://drive.google.com/file/d/1Ml70kIJ1BFgtmxp4wKZGBb-PNWKD8PT2/view?usp=drivesdk" TargetMode="External"/><Relationship Id="rId3664" Type="http://schemas.openxmlformats.org/officeDocument/2006/relationships/hyperlink" Target="https://drive.google.com/file/d/1uT6DVGJ7YBm5wADSPQKzgR6udyfQgcGB/view?usp=drivesdk" TargetMode="External"/><Relationship Id="rId4995" Type="http://schemas.openxmlformats.org/officeDocument/2006/relationships/hyperlink" Target="https://drive.google.com/file/d/1h3si2tj3nxfPri8tLHzsKYSL5ZO7VrMr/view?usp=drivesdk" TargetMode="External"/><Relationship Id="rId1037" Type="http://schemas.openxmlformats.org/officeDocument/2006/relationships/hyperlink" Target="https://drive.google.com/file/d/1NDN5DkIRZL6bS86x2D4zKZaIe1dM42ta/view?usp=drivesdk" TargetMode="External"/><Relationship Id="rId2368" Type="http://schemas.openxmlformats.org/officeDocument/2006/relationships/hyperlink" Target="https://drive.google.com/file/d/10hRfAwRgBnLvC0oeiOvEHJk-6SujKGIl/view?usp=drivesdk" TargetMode="External"/><Relationship Id="rId1038" Type="http://schemas.openxmlformats.org/officeDocument/2006/relationships/hyperlink" Target="https://drive.google.com/file/d/1npjD21uzOuVLDLsGR-q2iy-AW-tW-3pQ/view?usp=drivesdk" TargetMode="External"/><Relationship Id="rId2369" Type="http://schemas.openxmlformats.org/officeDocument/2006/relationships/hyperlink" Target="https://drive.google.com/file/d/1pj9Dp3XC9ILUY2u7wqm0T2mqjQ4x3JiP/view?usp=drivesdk" TargetMode="External"/><Relationship Id="rId3699" Type="http://schemas.openxmlformats.org/officeDocument/2006/relationships/hyperlink" Target="https://drive.google.com/file/d/1FWfWhJ01k97jTNuRWx6d08XIy7vhqTan/view?usp=drivesdk" TargetMode="External"/><Relationship Id="rId1039" Type="http://schemas.openxmlformats.org/officeDocument/2006/relationships/hyperlink" Target="https://drive.google.com/file/d/1jbO5bLNPiCUYVAYQkwZE_AoFgwaiTef3/view?usp=drivesdk" TargetMode="External"/><Relationship Id="rId3690" Type="http://schemas.openxmlformats.org/officeDocument/2006/relationships/hyperlink" Target="https://drive.google.com/file/d/1KZ8dkoRk5rWKLkqyJ_lpSVGee_Y_Q9KR/view?usp=drivesdk" TargetMode="External"/><Relationship Id="rId2360" Type="http://schemas.openxmlformats.org/officeDocument/2006/relationships/hyperlink" Target="https://drive.google.com/file/d/1xMATptBlFSLIcOIgTLYKomnxi0lOZ0wo/view?usp=drivesdk" TargetMode="External"/><Relationship Id="rId3692" Type="http://schemas.openxmlformats.org/officeDocument/2006/relationships/hyperlink" Target="https://drive.google.com/file/d/1VE96prJ68WAuLaRNSWf-NT9a7rza0A3w/view?usp=drivesdk" TargetMode="External"/><Relationship Id="rId1030" Type="http://schemas.openxmlformats.org/officeDocument/2006/relationships/hyperlink" Target="https://drive.google.com/file/d/1Iuy2n0l5sJ05xrS_1UqOztloiqS_FLkR/view?usp=drivesdk" TargetMode="External"/><Relationship Id="rId2361" Type="http://schemas.openxmlformats.org/officeDocument/2006/relationships/hyperlink" Target="https://drive.google.com/file/d/1vB57cHTihtqcfWhGfsUAE8xv4ADR4Xnn/view?usp=drivesdk" TargetMode="External"/><Relationship Id="rId3691" Type="http://schemas.openxmlformats.org/officeDocument/2006/relationships/hyperlink" Target="https://drive.google.com/file/d/1JAmt9IeJCe6N6wjlCgumjqPR71rLiclV/view?usp=drivesdk" TargetMode="External"/><Relationship Id="rId1031" Type="http://schemas.openxmlformats.org/officeDocument/2006/relationships/hyperlink" Target="https://drive.google.com/file/d/1-hkKTBwc7KB0NFBWejaV_ymZjOTch38N/view?usp=drivesdk" TargetMode="External"/><Relationship Id="rId2362" Type="http://schemas.openxmlformats.org/officeDocument/2006/relationships/hyperlink" Target="https://drive.google.com/file/d/1kpJk1y1fYnoETLIfNyt4cObZ9oQIysen/view?usp=drivesdk" TargetMode="External"/><Relationship Id="rId3694" Type="http://schemas.openxmlformats.org/officeDocument/2006/relationships/hyperlink" Target="https://drive.google.com/file/d/1FhTm9ySLoz95hS6f5wAY_ut91QglBbRj/view?usp=drivesdk" TargetMode="External"/><Relationship Id="rId1032" Type="http://schemas.openxmlformats.org/officeDocument/2006/relationships/hyperlink" Target="https://drive.google.com/file/d/1qX98KYzx9AI6i21CYoPeYhwMbs_u6JIs/view?usp=drivesdk" TargetMode="External"/><Relationship Id="rId2363" Type="http://schemas.openxmlformats.org/officeDocument/2006/relationships/hyperlink" Target="https://drive.google.com/file/d/16p3NOhtonhqaN1NV8nvLEihjWWaQIyBx/view?usp=drivesdk" TargetMode="External"/><Relationship Id="rId3693" Type="http://schemas.openxmlformats.org/officeDocument/2006/relationships/hyperlink" Target="https://drive.google.com/file/d/1OAvj-dg9GHqOf2-8NqIOBtTPkazHi1LP/view?usp=drivesdk" TargetMode="External"/><Relationship Id="rId1033" Type="http://schemas.openxmlformats.org/officeDocument/2006/relationships/hyperlink" Target="https://drive.google.com/file/d/1T_rplXrOrKUI56siHkIPDiHuChbyrjZ0/view?usp=drivesdk" TargetMode="External"/><Relationship Id="rId2364" Type="http://schemas.openxmlformats.org/officeDocument/2006/relationships/hyperlink" Target="https://drive.google.com/file/d/17HJQcS5qI3Cb-0ZS-9uqOZEtGQfBYLhk/view?usp=drivesdk" TargetMode="External"/><Relationship Id="rId3696" Type="http://schemas.openxmlformats.org/officeDocument/2006/relationships/hyperlink" Target="https://drive.google.com/file/d/1-K7YHdo3bB66VsaPVptn-fhWhiXlilgy/view?usp=drivesdk" TargetMode="External"/><Relationship Id="rId1034" Type="http://schemas.openxmlformats.org/officeDocument/2006/relationships/hyperlink" Target="https://drive.google.com/file/d/19LYQ-ySdo_6quo3e7WqPEXGUck53AfIx/view?usp=drivesdk" TargetMode="External"/><Relationship Id="rId2365" Type="http://schemas.openxmlformats.org/officeDocument/2006/relationships/hyperlink" Target="https://drive.google.com/file/d/1AP6t8lb2x0-EqiWeIid4-fgqt4sparNi/view?usp=drivesdk" TargetMode="External"/><Relationship Id="rId3695" Type="http://schemas.openxmlformats.org/officeDocument/2006/relationships/hyperlink" Target="https://drive.google.com/file/d/14uu-r-3QMqiJ6FHSaqMFPUXNHOXukaQ8/view?usp=drivesdk" TargetMode="External"/><Relationship Id="rId1035" Type="http://schemas.openxmlformats.org/officeDocument/2006/relationships/hyperlink" Target="https://drive.google.com/file/d/1M7a4ou-iX9ZU9eRLcXRNsfgv9ehdme5h/view?usp=drivesdk" TargetMode="External"/><Relationship Id="rId2366" Type="http://schemas.openxmlformats.org/officeDocument/2006/relationships/hyperlink" Target="https://drive.google.com/file/d/1356x059hOIvjsZtsHLoYy5XB73X7-J1k/view?usp=drivesdk" TargetMode="External"/><Relationship Id="rId3698" Type="http://schemas.openxmlformats.org/officeDocument/2006/relationships/hyperlink" Target="https://drive.google.com/file/d/1TMln15gLmt4C7s37Nwu7P4YuzeXoZXd_/view?usp=drivesdk" TargetMode="External"/><Relationship Id="rId1036" Type="http://schemas.openxmlformats.org/officeDocument/2006/relationships/hyperlink" Target="https://drive.google.com/file/d/1weQ3wU4XAws3gP7JssEeaEVi0skT69QX/view?usp=drivesdk" TargetMode="External"/><Relationship Id="rId2367" Type="http://schemas.openxmlformats.org/officeDocument/2006/relationships/hyperlink" Target="https://drive.google.com/file/d/1bUgy38ehoeS-FyDNRiJm3cnNxLf6l_u1/view?usp=drivesdk" TargetMode="External"/><Relationship Id="rId3697" Type="http://schemas.openxmlformats.org/officeDocument/2006/relationships/hyperlink" Target="https://drive.google.com/file/d/1Xa5m9AAwnoUeB9MQDdxVwf7b0jcrrmCe/view?usp=drivesdk" TargetMode="External"/><Relationship Id="rId1026" Type="http://schemas.openxmlformats.org/officeDocument/2006/relationships/hyperlink" Target="https://drive.google.com/file/d/1Jv-RERidjwpYN_ATESiBBnFlulK9KP9b/view?usp=drivesdk" TargetMode="External"/><Relationship Id="rId2357" Type="http://schemas.openxmlformats.org/officeDocument/2006/relationships/hyperlink" Target="https://drive.google.com/file/d/1BceTp01LEnVxCHWrV6a06t2UHpEpEiS9/view?usp=drivesdk" TargetMode="External"/><Relationship Id="rId3689" Type="http://schemas.openxmlformats.org/officeDocument/2006/relationships/hyperlink" Target="https://drive.google.com/file/d/1mT2pZxetroTTeOZd2MzentycpAbiwIgT/view?usp=drivesdk" TargetMode="External"/><Relationship Id="rId1027" Type="http://schemas.openxmlformats.org/officeDocument/2006/relationships/hyperlink" Target="https://drive.google.com/file/d/1ZAfyVvTeNwv_6auLgtbiuDtkEVTV3R_u/view?usp=drivesdk" TargetMode="External"/><Relationship Id="rId2358" Type="http://schemas.openxmlformats.org/officeDocument/2006/relationships/hyperlink" Target="https://drive.google.com/file/d/1r3WquhdbLJx_OZvLKBfhK-NYYTLGIXQ-/view?usp=drivesdk" TargetMode="External"/><Relationship Id="rId3688" Type="http://schemas.openxmlformats.org/officeDocument/2006/relationships/hyperlink" Target="https://drive.google.com/file/d/1pL7GQ460xUS7Dz6l7ea3MA4mzm-QSUM4/view?usp=drivesdk" TargetMode="External"/><Relationship Id="rId1028" Type="http://schemas.openxmlformats.org/officeDocument/2006/relationships/hyperlink" Target="https://drive.google.com/file/d/1WFhmrlV4BJ3Ilhi2-5YDBLu2N7KrmrBz/view?usp=drivesdk" TargetMode="External"/><Relationship Id="rId2359" Type="http://schemas.openxmlformats.org/officeDocument/2006/relationships/hyperlink" Target="https://drive.google.com/file/d/1Sj7k0coyUKZlFixzLmCAP6LgXwuZWejY/view?usp=drivesdk" TargetMode="External"/><Relationship Id="rId1029" Type="http://schemas.openxmlformats.org/officeDocument/2006/relationships/hyperlink" Target="https://drive.google.com/file/d/10TkcGtyArBvQCXpd0sGoy2Tvc-axGO3o/view?usp=drivesdk" TargetMode="External"/><Relationship Id="rId3681" Type="http://schemas.openxmlformats.org/officeDocument/2006/relationships/hyperlink" Target="https://drive.google.com/file/d/1wOy2WT5D8RFMfpcUXFwNoTL_3sQyoEGQ/view?usp=drivesdk" TargetMode="External"/><Relationship Id="rId2350" Type="http://schemas.openxmlformats.org/officeDocument/2006/relationships/hyperlink" Target="https://drive.google.com/file/d/11cuq4pJAbGGrvtzqR4Jgd0zc5haNWaT-/view?usp=drivesdk" TargetMode="External"/><Relationship Id="rId3680" Type="http://schemas.openxmlformats.org/officeDocument/2006/relationships/hyperlink" Target="https://drive.google.com/file/d/1PpYkM0nA_CQt20TaVMzNTU41gyCnVAaZ/view?usp=drivesdk" TargetMode="External"/><Relationship Id="rId1020" Type="http://schemas.openxmlformats.org/officeDocument/2006/relationships/hyperlink" Target="https://drive.google.com/file/d/1OiEDTnKlKXK-TwKGqKcMVlGQyaGI4dFd/view?usp=drivesdk" TargetMode="External"/><Relationship Id="rId2351" Type="http://schemas.openxmlformats.org/officeDocument/2006/relationships/hyperlink" Target="https://drive.google.com/file/d/1WhvU9e8kqpVjx163KdLl7COhefUpfBMv/view?usp=drivesdk" TargetMode="External"/><Relationship Id="rId3683" Type="http://schemas.openxmlformats.org/officeDocument/2006/relationships/hyperlink" Target="https://drive.google.com/file/d/1mSuNECvalTS6hf2aLAGKPP665Ln-nNt6/view?usp=drivesdk" TargetMode="External"/><Relationship Id="rId1021" Type="http://schemas.openxmlformats.org/officeDocument/2006/relationships/hyperlink" Target="https://drive.google.com/file/d/1baAaFEp6tR_zQp7ggVM4Fi8EagtdSM7H/view?usp=drivesdk" TargetMode="External"/><Relationship Id="rId2352" Type="http://schemas.openxmlformats.org/officeDocument/2006/relationships/hyperlink" Target="https://drive.google.com/file/d/14anv85QmLQfJ1u7vfzZOQ0b4Ch8LzNSV/view?usp=drivesdk" TargetMode="External"/><Relationship Id="rId3682" Type="http://schemas.openxmlformats.org/officeDocument/2006/relationships/hyperlink" Target="https://drive.google.com/file/d/1cU6h6GSMOfz8AVYbGna0oMNt5yDTGEpp/view?usp=drivesdk" TargetMode="External"/><Relationship Id="rId1022" Type="http://schemas.openxmlformats.org/officeDocument/2006/relationships/hyperlink" Target="https://drive.google.com/file/d/1_SJq9qWjzFtHNu4rkGFXzhkNyocrIaz-/view?usp=drivesdk" TargetMode="External"/><Relationship Id="rId2353" Type="http://schemas.openxmlformats.org/officeDocument/2006/relationships/hyperlink" Target="https://drive.google.com/file/d/1czyAgPyRUzBkT4Lqj3WF8ocYNAnumADl/view?usp=drivesdk" TargetMode="External"/><Relationship Id="rId3685" Type="http://schemas.openxmlformats.org/officeDocument/2006/relationships/hyperlink" Target="https://drive.google.com/file/d/1MRdyNMUFwWlzagu8m-7tbsjgmA51if_M/view?usp=drivesdk" TargetMode="External"/><Relationship Id="rId1023" Type="http://schemas.openxmlformats.org/officeDocument/2006/relationships/hyperlink" Target="https://drive.google.com/file/d/1Pvlx3CfNlYT2LJFTAEPYVcNR5ADyrIjU/view?usp=drivesdk" TargetMode="External"/><Relationship Id="rId2354" Type="http://schemas.openxmlformats.org/officeDocument/2006/relationships/hyperlink" Target="https://drive.google.com/file/d/1bV4fWiMpm9qUlAAcpajs_bfIJddNECNU/view?usp=drivesdk" TargetMode="External"/><Relationship Id="rId3684" Type="http://schemas.openxmlformats.org/officeDocument/2006/relationships/hyperlink" Target="https://drive.google.com/file/d/1JthhKf86UnNudYhtLqra3cE5QaDib6FV/view?usp=drivesdk" TargetMode="External"/><Relationship Id="rId1024" Type="http://schemas.openxmlformats.org/officeDocument/2006/relationships/hyperlink" Target="https://drive.google.com/file/d/1DoeMtKrxiNU4tyn4LVVDoLDw3l3Usi57/view?usp=drivesdk" TargetMode="External"/><Relationship Id="rId2355" Type="http://schemas.openxmlformats.org/officeDocument/2006/relationships/hyperlink" Target="https://drive.google.com/file/d/1uATrtvKiytBH4kJrp51Fw3qn43B6wqzh/view?usp=drivesdk" TargetMode="External"/><Relationship Id="rId3687" Type="http://schemas.openxmlformats.org/officeDocument/2006/relationships/hyperlink" Target="https://drive.google.com/file/d/1KxNAqPv_1-enA6Hw_NoqagMXN42n91C-/view?usp=drivesdk" TargetMode="External"/><Relationship Id="rId1025" Type="http://schemas.openxmlformats.org/officeDocument/2006/relationships/hyperlink" Target="https://drive.google.com/file/d/1XkaUqE7mpBBYc8a_2lkMlDUPhfIaphYc/view?usp=drivesdk" TargetMode="External"/><Relationship Id="rId2356" Type="http://schemas.openxmlformats.org/officeDocument/2006/relationships/hyperlink" Target="https://drive.google.com/file/d/1uIFgeLqf4cHTX2w-77vZQvPrbLFCLDcB/view?usp=drivesdk" TargetMode="External"/><Relationship Id="rId3686" Type="http://schemas.openxmlformats.org/officeDocument/2006/relationships/hyperlink" Target="https://drive.google.com/file/d/1xoejlEj263Zb0OlVyURIG5Vz69vvYD4d/view?usp=drivesdk" TargetMode="External"/><Relationship Id="rId1090" Type="http://schemas.openxmlformats.org/officeDocument/2006/relationships/hyperlink" Target="https://drive.google.com/file/d/1y1tv4tWtQvdjInOVX5pTN4nXWFGH80A4/view?usp=drivesdk" TargetMode="External"/><Relationship Id="rId1091" Type="http://schemas.openxmlformats.org/officeDocument/2006/relationships/hyperlink" Target="https://drive.google.com/file/d/1l_eWPbeX_4Y9I1PBKsna48d6PNahnBLY/view?usp=drivesdk" TargetMode="External"/><Relationship Id="rId1092" Type="http://schemas.openxmlformats.org/officeDocument/2006/relationships/hyperlink" Target="https://drive.google.com/file/d/1UXkVD8Lt6WE2FuazEpDeYzMaeHpub3kM/view?usp=drivesdk" TargetMode="External"/><Relationship Id="rId1093" Type="http://schemas.openxmlformats.org/officeDocument/2006/relationships/hyperlink" Target="https://drive.google.com/file/d/1Fq0y6sgcuG3XMTw23vBOmClO2L-V_0Ua/view?usp=drivesdk" TargetMode="External"/><Relationship Id="rId1094" Type="http://schemas.openxmlformats.org/officeDocument/2006/relationships/hyperlink" Target="https://drive.google.com/file/d/10zNEbR_NQ3MJYpgABlR4GY6VhTRFXNc-/view?usp=drivesdk" TargetMode="External"/><Relationship Id="rId1095" Type="http://schemas.openxmlformats.org/officeDocument/2006/relationships/hyperlink" Target="https://drive.google.com/file/d/1f3z_uGNXmd8DY53scb4Ks2kgBEmJdnx9/view?usp=drivesdk" TargetMode="External"/><Relationship Id="rId1096" Type="http://schemas.openxmlformats.org/officeDocument/2006/relationships/hyperlink" Target="https://drive.google.com/file/d/1lv-SO6t2dSMKSatARJpt6UlBaOq5RtGU/view?usp=drivesdk" TargetMode="External"/><Relationship Id="rId1097" Type="http://schemas.openxmlformats.org/officeDocument/2006/relationships/hyperlink" Target="https://drive.google.com/file/d/1yxkorhqE77EuYKIaakO7sq5lYUHL15D6/view?usp=drivesdk" TargetMode="External"/><Relationship Id="rId1098" Type="http://schemas.openxmlformats.org/officeDocument/2006/relationships/hyperlink" Target="https://drive.google.com/file/d/1717gS7ddFC5Ji2QKvgSbDj1HNxjaJF5y/view?usp=drivesdk" TargetMode="External"/><Relationship Id="rId1099" Type="http://schemas.openxmlformats.org/officeDocument/2006/relationships/hyperlink" Target="https://drive.google.com/file/d/1jH7tv4-YU99t91m7aA2iG4Begq3P4s7k/view?usp=drivesdk" TargetMode="External"/><Relationship Id="rId1080" Type="http://schemas.openxmlformats.org/officeDocument/2006/relationships/hyperlink" Target="https://drive.google.com/file/d/1Sl2G3pdGx4TyNijtLvR5FuQxKJ3zARAJ/view?usp=drivesdk" TargetMode="External"/><Relationship Id="rId1081" Type="http://schemas.openxmlformats.org/officeDocument/2006/relationships/hyperlink" Target="https://drive.google.com/file/d/1zhXhHrDYA7CRFWep0mAX-DOvRJEh6m41/view?usp=drivesdk" TargetMode="External"/><Relationship Id="rId1082" Type="http://schemas.openxmlformats.org/officeDocument/2006/relationships/hyperlink" Target="https://drive.google.com/file/d/1gFnvafx_umECPB5K8---OtCxzRQKLz0x/view?usp=drivesdk" TargetMode="External"/><Relationship Id="rId1083" Type="http://schemas.openxmlformats.org/officeDocument/2006/relationships/hyperlink" Target="https://drive.google.com/file/d/1F8YcXT23Q8MwgomYPvTqP8hVEkZ9En4T/view?usp=drivesdk" TargetMode="External"/><Relationship Id="rId1084" Type="http://schemas.openxmlformats.org/officeDocument/2006/relationships/hyperlink" Target="https://drive.google.com/file/d/1ei-g6U6rObuRr_XzGj0tJ1qkr6A5zgZw/view?usp=drivesdk" TargetMode="External"/><Relationship Id="rId1085" Type="http://schemas.openxmlformats.org/officeDocument/2006/relationships/hyperlink" Target="https://drive.google.com/file/d/1GZVmWhgMcHfYQE1_cbBG8IL-UPD6D_t-/view?usp=drivesdk" TargetMode="External"/><Relationship Id="rId1086" Type="http://schemas.openxmlformats.org/officeDocument/2006/relationships/hyperlink" Target="https://drive.google.com/file/d/1d1-Cu84QEPqcb-KsG2GYiFtB5Yj0E0An/view?usp=drivesdk" TargetMode="External"/><Relationship Id="rId1087" Type="http://schemas.openxmlformats.org/officeDocument/2006/relationships/hyperlink" Target="https://drive.google.com/file/d/1fi1FnKSEGXudmsbV2PgaGs3wLV0mCVLJ/view?usp=drivesdk" TargetMode="External"/><Relationship Id="rId1088" Type="http://schemas.openxmlformats.org/officeDocument/2006/relationships/hyperlink" Target="https://drive.google.com/file/d/1Gn5omi77oVIVbV6t9rL81pueO_jMitcF/view?usp=drivesdk" TargetMode="External"/><Relationship Id="rId1089" Type="http://schemas.openxmlformats.org/officeDocument/2006/relationships/hyperlink" Target="https://drive.google.com/file/d/1wTdJk-abR92gtuj1CABszJEuHrSozQV3/view?usp=drivesdk" TargetMode="External"/><Relationship Id="rId2423" Type="http://schemas.openxmlformats.org/officeDocument/2006/relationships/hyperlink" Target="https://drive.google.com/file/d/1dPfBpTW2KjMmADBYIZuJncS7BdkOg0Ut/view?usp=drivesdk" TargetMode="External"/><Relationship Id="rId3755" Type="http://schemas.openxmlformats.org/officeDocument/2006/relationships/hyperlink" Target="https://drive.google.com/file/d/1ygyqBRCjcVCfxUsC8_93akKmUsSB_O40/view?usp=drivesdk" TargetMode="External"/><Relationship Id="rId2424" Type="http://schemas.openxmlformats.org/officeDocument/2006/relationships/hyperlink" Target="https://drive.google.com/file/d/1Xtz14YbHnh13zFH1KbomRqjxmahaHiVT/view?usp=drivesdk" TargetMode="External"/><Relationship Id="rId3754" Type="http://schemas.openxmlformats.org/officeDocument/2006/relationships/hyperlink" Target="https://drive.google.com/file/d/1m6LB9mMjh_Q9TDC_vW2TgnHb6IM1s5rR/view?usp=drivesdk" TargetMode="External"/><Relationship Id="rId2425" Type="http://schemas.openxmlformats.org/officeDocument/2006/relationships/hyperlink" Target="https://drive.google.com/file/d/1iW69reiD83aHbKYiLP88riRu3eoOAuDb/view?usp=drivesdk" TargetMode="External"/><Relationship Id="rId3757" Type="http://schemas.openxmlformats.org/officeDocument/2006/relationships/hyperlink" Target="https://drive.google.com/file/d/16CufTC8AWjWaiYEWTeBUL9lHeWhMgrJh/view?usp=drivesdk" TargetMode="External"/><Relationship Id="rId2426" Type="http://schemas.openxmlformats.org/officeDocument/2006/relationships/hyperlink" Target="https://drive.google.com/file/d/1r7Bo-Jwu7JBXFw2iM4NZgvh7gA8VIAb_/view?usp=drivesdk" TargetMode="External"/><Relationship Id="rId3756" Type="http://schemas.openxmlformats.org/officeDocument/2006/relationships/hyperlink" Target="https://drive.google.com/file/d/12QBrXNj4M1bB4SA93V8Nr_C1HfVyVqA4/view?usp=drivesdk" TargetMode="External"/><Relationship Id="rId2427" Type="http://schemas.openxmlformats.org/officeDocument/2006/relationships/hyperlink" Target="https://drive.google.com/file/d/1pQfehGRtFjrj8FxHVdMgNiVTx0FK8JnW/view?usp=drivesdk" TargetMode="External"/><Relationship Id="rId3759" Type="http://schemas.openxmlformats.org/officeDocument/2006/relationships/hyperlink" Target="https://drive.google.com/file/d/1JaXvhTeRrMEYTOaDfZXmn4KsvUiVWbDR/view?usp=drivesdk" TargetMode="External"/><Relationship Id="rId2428" Type="http://schemas.openxmlformats.org/officeDocument/2006/relationships/hyperlink" Target="https://drive.google.com/file/d/1XRG2kme24jmKe-50Kk9Rg0YcqFfe4X-v/view?usp=drivesdk" TargetMode="External"/><Relationship Id="rId3758" Type="http://schemas.openxmlformats.org/officeDocument/2006/relationships/hyperlink" Target="https://drive.google.com/file/d/1Rhr4IfODwoK3Tx2SkvwojQtGkpZunG9n/view?usp=drivesdk" TargetMode="External"/><Relationship Id="rId2429" Type="http://schemas.openxmlformats.org/officeDocument/2006/relationships/hyperlink" Target="https://drive.google.com/file/d/1IkBpn6yws0zPhg-KmyMuFjWuUBGW-On7/view?usp=drivesdk" TargetMode="External"/><Relationship Id="rId3751" Type="http://schemas.openxmlformats.org/officeDocument/2006/relationships/hyperlink" Target="https://drive.google.com/file/d/1XWWE-crQ8OY0J_TWZizL7dzNxm9NKMFS/view?usp=drivesdk" TargetMode="External"/><Relationship Id="rId2420" Type="http://schemas.openxmlformats.org/officeDocument/2006/relationships/hyperlink" Target="https://drive.google.com/file/d/1XpgwURN4SlbIVWRFUFv2b5rE6EJs_w7a/view?usp=drivesdk" TargetMode="External"/><Relationship Id="rId3750" Type="http://schemas.openxmlformats.org/officeDocument/2006/relationships/hyperlink" Target="https://drive.google.com/file/d/1axpqhdNh0E1w8u0jWCdJHBYvhaN2hcbX/view?usp=drivesdk" TargetMode="External"/><Relationship Id="rId2421" Type="http://schemas.openxmlformats.org/officeDocument/2006/relationships/hyperlink" Target="https://drive.google.com/file/d/1-0Vo7uONIg5c6WFhp6QpQ-Tomhf2J0Em/view?usp=drivesdk" TargetMode="External"/><Relationship Id="rId3753" Type="http://schemas.openxmlformats.org/officeDocument/2006/relationships/hyperlink" Target="https://drive.google.com/file/d/14SCgUYL19KBG5N2xB6DTLGCMmJHtEYtn/view?usp=drivesdk" TargetMode="External"/><Relationship Id="rId2422" Type="http://schemas.openxmlformats.org/officeDocument/2006/relationships/hyperlink" Target="https://drive.google.com/file/d/1k7N6udATZ5JNg4aCg43KUZ_pk4tLpM8U/view?usp=drivesdk" TargetMode="External"/><Relationship Id="rId3752" Type="http://schemas.openxmlformats.org/officeDocument/2006/relationships/hyperlink" Target="https://drive.google.com/file/d/1l4-8l2KDERlTXzNZduLM3QpblLyzttcG/view?usp=drivesdk" TargetMode="External"/><Relationship Id="rId2412" Type="http://schemas.openxmlformats.org/officeDocument/2006/relationships/hyperlink" Target="https://drive.google.com/file/d/1BcZyil9-5R5wGvE0abyNfyiDY6qtihJ6/view?usp=drivesdk" TargetMode="External"/><Relationship Id="rId3744" Type="http://schemas.openxmlformats.org/officeDocument/2006/relationships/hyperlink" Target="https://drive.google.com/file/d/1C9Fe4ERBucXx3kTFUCNDoCiMAK8vjsbk/view?usp=drivesdk" TargetMode="External"/><Relationship Id="rId2413" Type="http://schemas.openxmlformats.org/officeDocument/2006/relationships/hyperlink" Target="https://drive.google.com/file/d/1MJW8ctBxt4elnOOP_azOuotVIE2gjsAv/view?usp=drivesdk" TargetMode="External"/><Relationship Id="rId3743" Type="http://schemas.openxmlformats.org/officeDocument/2006/relationships/hyperlink" Target="https://drive.google.com/file/d/1cWf3z-qMbb_ve_1I_m0AoulQNHnIhdWo/view?usp=drivesdk" TargetMode="External"/><Relationship Id="rId2414" Type="http://schemas.openxmlformats.org/officeDocument/2006/relationships/hyperlink" Target="https://drive.google.com/file/d/1tEMVpj37KrS0Ys4N1cNDwJhm4AfWaXJd/view?usp=drivesdk" TargetMode="External"/><Relationship Id="rId3746" Type="http://schemas.openxmlformats.org/officeDocument/2006/relationships/hyperlink" Target="https://drive.google.com/file/d/1HwXkuMzOxdKoSxYXIZIQLgZAJan5Mh1v/view?usp=drivesdk" TargetMode="External"/><Relationship Id="rId2415" Type="http://schemas.openxmlformats.org/officeDocument/2006/relationships/hyperlink" Target="https://drive.google.com/file/d/1V7gIsaPaQkV_TW_4SE28nTYO6qTyUgZG/view?usp=drivesdk" TargetMode="External"/><Relationship Id="rId3745" Type="http://schemas.openxmlformats.org/officeDocument/2006/relationships/hyperlink" Target="https://drive.google.com/file/d/128K_m2h9hZYFP-Qp_pQTe7FOaYwNYKr2/view?usp=drivesdk" TargetMode="External"/><Relationship Id="rId2416" Type="http://schemas.openxmlformats.org/officeDocument/2006/relationships/hyperlink" Target="https://drive.google.com/file/d/1x-BT94cWfCRwIv570jc3uGORRF9mZ2Cs/view?usp=drivesdk" TargetMode="External"/><Relationship Id="rId3748" Type="http://schemas.openxmlformats.org/officeDocument/2006/relationships/hyperlink" Target="https://drive.google.com/file/d/1HDeu72zXN6m7tWI_KbvXgHmLxzPPIdxn/view?usp=drivesdk" TargetMode="External"/><Relationship Id="rId2417" Type="http://schemas.openxmlformats.org/officeDocument/2006/relationships/hyperlink" Target="https://drive.google.com/file/d/10a5-Zzd6v3x5XVr9_ngLuJZtPpfcos7r/view?usp=drivesdk" TargetMode="External"/><Relationship Id="rId3747" Type="http://schemas.openxmlformats.org/officeDocument/2006/relationships/hyperlink" Target="https://drive.google.com/file/d/1tFxYRO5onjDkoW-03FfKKQDR7ps4wO0r/view?usp=drivesdk" TargetMode="External"/><Relationship Id="rId2418" Type="http://schemas.openxmlformats.org/officeDocument/2006/relationships/hyperlink" Target="https://drive.google.com/file/d/1meLUhaFELw_CXahjzcA5X-UcDQuRrE7l/view?usp=drivesdk" TargetMode="External"/><Relationship Id="rId2419" Type="http://schemas.openxmlformats.org/officeDocument/2006/relationships/hyperlink" Target="https://drive.google.com/file/d/1RuP8Tn-qDbmMN5-MED_cY2y30owK7f4L/view?usp=drivesdk" TargetMode="External"/><Relationship Id="rId3749" Type="http://schemas.openxmlformats.org/officeDocument/2006/relationships/hyperlink" Target="https://drive.google.com/file/d/1fr_FQ05kZH0eQjcx7D5j2o7a8ZHyAVbJ/view?usp=drivesdk" TargetMode="External"/><Relationship Id="rId3740" Type="http://schemas.openxmlformats.org/officeDocument/2006/relationships/hyperlink" Target="https://drive.google.com/file/d/1knij5z1L2WllhoOKtnu6RmvrKplmONPn/view?usp=drivesdk" TargetMode="External"/><Relationship Id="rId2410" Type="http://schemas.openxmlformats.org/officeDocument/2006/relationships/hyperlink" Target="https://drive.google.com/file/d/1F3l96TASRaf4eixym7EqBhG6QMtAyRHN/view?usp=drivesdk" TargetMode="External"/><Relationship Id="rId3742" Type="http://schemas.openxmlformats.org/officeDocument/2006/relationships/hyperlink" Target="https://drive.google.com/file/d/1P5Woo5WVMU_a7cZcnfDd_NIHed7IMvWb/view?usp=drivesdk" TargetMode="External"/><Relationship Id="rId2411" Type="http://schemas.openxmlformats.org/officeDocument/2006/relationships/hyperlink" Target="https://drive.google.com/file/d/1KxtabYVKqNVf6xgF76MHDa4zXq6BpJTq/view?usp=drivesdk" TargetMode="External"/><Relationship Id="rId3741" Type="http://schemas.openxmlformats.org/officeDocument/2006/relationships/hyperlink" Target="https://drive.google.com/file/d/1VbmTFIlCzs2nxC1qBhJod-tta_AbSvJH/view?usp=drivesdk" TargetMode="External"/><Relationship Id="rId1114" Type="http://schemas.openxmlformats.org/officeDocument/2006/relationships/hyperlink" Target="https://drive.google.com/file/d/1UVoF7qncKbTSbA07oked8s9ISPqO93Vh/view?usp=drivesdk" TargetMode="External"/><Relationship Id="rId2445" Type="http://schemas.openxmlformats.org/officeDocument/2006/relationships/hyperlink" Target="https://drive.google.com/file/d/1HXFFBv_T5_TavMjrnrKq8SrZsPQyZj3S/view?usp=drivesdk" TargetMode="External"/><Relationship Id="rId3777" Type="http://schemas.openxmlformats.org/officeDocument/2006/relationships/hyperlink" Target="https://drive.google.com/file/d/1mKtSFlz5u0XjcjnnsvxIiBrMKDBghvvu/view?usp=drivesdk" TargetMode="External"/><Relationship Id="rId1115" Type="http://schemas.openxmlformats.org/officeDocument/2006/relationships/hyperlink" Target="https://drive.google.com/file/d/1sXPPFmiX_MZmME0fcq3r9DNCUvMSRtkR/view?usp=drivesdk" TargetMode="External"/><Relationship Id="rId2446" Type="http://schemas.openxmlformats.org/officeDocument/2006/relationships/hyperlink" Target="https://drive.google.com/file/d/1RkvNsezDUKjTsIQgEZwH9Z_wLeLizBry/view?usp=drivesdk" TargetMode="External"/><Relationship Id="rId3776" Type="http://schemas.openxmlformats.org/officeDocument/2006/relationships/hyperlink" Target="https://drive.google.com/file/d/1mqIx359uVuvjVcuhDZa42nm3mBl6tokN/view?usp=drivesdk" TargetMode="External"/><Relationship Id="rId1116" Type="http://schemas.openxmlformats.org/officeDocument/2006/relationships/hyperlink" Target="https://drive.google.com/file/d/1zp9gpMP0FnH3ooszFWVGmchfCtYaAQhY/view?usp=drivesdk" TargetMode="External"/><Relationship Id="rId2447" Type="http://schemas.openxmlformats.org/officeDocument/2006/relationships/hyperlink" Target="https://drive.google.com/file/d/1vXoQUl_ghurKDk691l1Xr8uKjb58K8DY/view?usp=drivesdk" TargetMode="External"/><Relationship Id="rId3779" Type="http://schemas.openxmlformats.org/officeDocument/2006/relationships/hyperlink" Target="https://drive.google.com/file/d/1lDD8_uRvBJncfWAGSGWP5FzuIjr5Bjqp/view?usp=drivesdk" TargetMode="External"/><Relationship Id="rId1117" Type="http://schemas.openxmlformats.org/officeDocument/2006/relationships/hyperlink" Target="https://drive.google.com/file/d/1yCjPLxPmnI709WNxuDRY_wjt0h-pKnVv/view?usp=drivesdk" TargetMode="External"/><Relationship Id="rId2448" Type="http://schemas.openxmlformats.org/officeDocument/2006/relationships/hyperlink" Target="https://drive.google.com/file/d/1WYOEsNvMcdila_GqDigpHdN7egC41MtY/view?usp=drivesdk" TargetMode="External"/><Relationship Id="rId3778" Type="http://schemas.openxmlformats.org/officeDocument/2006/relationships/hyperlink" Target="https://drive.google.com/file/d/1yhy3dacsk1RixhJ-57Np5GRfDQCmcRFP/view?usp=drivesdk" TargetMode="External"/><Relationship Id="rId1118" Type="http://schemas.openxmlformats.org/officeDocument/2006/relationships/hyperlink" Target="https://drive.google.com/file/d/1FGU19pBQ0GDZm335prhI-y5oC0J6h-O1/view?usp=drivesdk" TargetMode="External"/><Relationship Id="rId2449" Type="http://schemas.openxmlformats.org/officeDocument/2006/relationships/hyperlink" Target="https://drive.google.com/file/d/14CSfhxEgbAGK7Q3S8FeXOYoVrBUK0gpW/view?usp=drivesdk" TargetMode="External"/><Relationship Id="rId1119" Type="http://schemas.openxmlformats.org/officeDocument/2006/relationships/hyperlink" Target="https://drive.google.com/file/d/1T_rdHbQL2U3R_LBJ4HxP_QOmQUcJNPXj/view?usp=drivesdk" TargetMode="External"/><Relationship Id="rId3771" Type="http://schemas.openxmlformats.org/officeDocument/2006/relationships/hyperlink" Target="https://drive.google.com/file/d/10GZFYlofSbpNLjs1rIiM_D3smOopqQh-/view?usp=drivesdk" TargetMode="External"/><Relationship Id="rId2440" Type="http://schemas.openxmlformats.org/officeDocument/2006/relationships/hyperlink" Target="https://drive.google.com/file/d/1L3IY8_GW78A6p8sZ2KHhrpX6Jp-J-fiV/view?usp=drivesdk" TargetMode="External"/><Relationship Id="rId3770" Type="http://schemas.openxmlformats.org/officeDocument/2006/relationships/hyperlink" Target="https://drive.google.com/file/d/1TLJFtSAT3QPcR2uLLMb1QsU1EOmAwVcB/view?usp=drivesdk" TargetMode="External"/><Relationship Id="rId1110" Type="http://schemas.openxmlformats.org/officeDocument/2006/relationships/hyperlink" Target="https://drive.google.com/file/d/18_CIM9-_AT2H5d3xsdFhcAqzmP7RDu9k/view?usp=drivesdk" TargetMode="External"/><Relationship Id="rId2441" Type="http://schemas.openxmlformats.org/officeDocument/2006/relationships/hyperlink" Target="https://drive.google.com/file/d/1QRcz0J7lRcGvDpxA775xvxd5PtlEbp8q/view?usp=drivesdk" TargetMode="External"/><Relationship Id="rId3773" Type="http://schemas.openxmlformats.org/officeDocument/2006/relationships/hyperlink" Target="https://drive.google.com/file/d/1dSHJMunzeVUJvrTFm_mXjxEl6lnw4tcx/view?usp=drivesdk" TargetMode="External"/><Relationship Id="rId1111" Type="http://schemas.openxmlformats.org/officeDocument/2006/relationships/hyperlink" Target="https://drive.google.com/file/d/1ac0sXlXxZe23TqkN9H_qK5gkQG0Jdvth/view?usp=drivesdk" TargetMode="External"/><Relationship Id="rId2442" Type="http://schemas.openxmlformats.org/officeDocument/2006/relationships/hyperlink" Target="https://drive.google.com/file/d/1rMocAf0fz9axKn-3Hu_qxDUOgqrT_EQ7/view?usp=drivesdk" TargetMode="External"/><Relationship Id="rId3772" Type="http://schemas.openxmlformats.org/officeDocument/2006/relationships/hyperlink" Target="https://drive.google.com/file/d/14EJSbwAPrKSN-cI5B54qO1EbYPoPVGzm/view?usp=drivesdk" TargetMode="External"/><Relationship Id="rId1112" Type="http://schemas.openxmlformats.org/officeDocument/2006/relationships/hyperlink" Target="https://drive.google.com/file/d/1flJW20odiEt-PkB6JmvlN6qAGshtdsLs/view?usp=drivesdk" TargetMode="External"/><Relationship Id="rId2443" Type="http://schemas.openxmlformats.org/officeDocument/2006/relationships/hyperlink" Target="https://drive.google.com/file/d/1qrfP5r2n4xE-N2_ZDHFVN519Sd0mmzaw/view?usp=drivesdk" TargetMode="External"/><Relationship Id="rId3775" Type="http://schemas.openxmlformats.org/officeDocument/2006/relationships/hyperlink" Target="https://drive.google.com/file/d/1-iYTcBns2uD3b36gResIMZzBVvvVVXM8/view?usp=drivesdk" TargetMode="External"/><Relationship Id="rId1113" Type="http://schemas.openxmlformats.org/officeDocument/2006/relationships/hyperlink" Target="https://drive.google.com/file/d/1amT6AS24MlXJdeT_vUFGmXK0lbMpDmi3/view?usp=drivesdk" TargetMode="External"/><Relationship Id="rId2444" Type="http://schemas.openxmlformats.org/officeDocument/2006/relationships/hyperlink" Target="https://drive.google.com/file/d/1T6ijPwsVkMeuyNCWJ4JIQNBEasSW0Q7I/view?usp=drivesdk" TargetMode="External"/><Relationship Id="rId3774" Type="http://schemas.openxmlformats.org/officeDocument/2006/relationships/hyperlink" Target="https://drive.google.com/file/d/1xI4GBDq6naCD_iRVv1KSMeRwqKs-35hx/view?usp=drivesdk" TargetMode="External"/><Relationship Id="rId1103" Type="http://schemas.openxmlformats.org/officeDocument/2006/relationships/hyperlink" Target="https://drive.google.com/file/d/1bt8c2QBkhIDCGaIgtwTrM3w4-0xTKS5s/view?usp=drivesdk" TargetMode="External"/><Relationship Id="rId2434" Type="http://schemas.openxmlformats.org/officeDocument/2006/relationships/hyperlink" Target="https://drive.google.com/file/d/1icH8f8qzXxBZgQn34xtIZuh1HCXavxQ0/view?usp=drivesdk" TargetMode="External"/><Relationship Id="rId3766" Type="http://schemas.openxmlformats.org/officeDocument/2006/relationships/hyperlink" Target="https://drive.google.com/file/d/1VwSio6pnLOBzSO3J_0dqDYC-i9RT16F-/view?usp=drivesdk" TargetMode="External"/><Relationship Id="rId1104" Type="http://schemas.openxmlformats.org/officeDocument/2006/relationships/hyperlink" Target="https://drive.google.com/file/d/1_4s7e81vmW074rYvmoGzWqKUATbmilUS/view?usp=drivesdk" TargetMode="External"/><Relationship Id="rId2435" Type="http://schemas.openxmlformats.org/officeDocument/2006/relationships/hyperlink" Target="https://drive.google.com/file/d/1KmnJKe_l4Tmd-4uOmY-8Yc-keStE2roH/view?usp=drivesdk" TargetMode="External"/><Relationship Id="rId3765" Type="http://schemas.openxmlformats.org/officeDocument/2006/relationships/hyperlink" Target="https://drive.google.com/file/d/1fS7WbvHpmHVVo3ZSRCv22hL0N-tygQmb/view?usp=drivesdk" TargetMode="External"/><Relationship Id="rId1105" Type="http://schemas.openxmlformats.org/officeDocument/2006/relationships/hyperlink" Target="https://drive.google.com/file/d/1JtUSBsa_R9gHGyTt_N87U5gXnwylcay2/view?usp=drivesdk" TargetMode="External"/><Relationship Id="rId2436" Type="http://schemas.openxmlformats.org/officeDocument/2006/relationships/hyperlink" Target="https://drive.google.com/file/d/1e1p36v_N7pmuqXA6ZvZ1fW38Ely2GjlT/view?usp=drivesdk" TargetMode="External"/><Relationship Id="rId3768" Type="http://schemas.openxmlformats.org/officeDocument/2006/relationships/hyperlink" Target="https://drive.google.com/file/d/1R6yKvz6qmVmFx2N0xExaQ-7TBZvEMkS1/view?usp=drivesdk" TargetMode="External"/><Relationship Id="rId1106" Type="http://schemas.openxmlformats.org/officeDocument/2006/relationships/hyperlink" Target="https://drive.google.com/file/d/1jJQFMOPaQd1-T65QncHGyT2O4cUwcEBI/view?usp=drivesdk" TargetMode="External"/><Relationship Id="rId2437" Type="http://schemas.openxmlformats.org/officeDocument/2006/relationships/hyperlink" Target="https://drive.google.com/file/d/1yZltpQRvVGgoBepYbG-Z3CdYhJItx1NH/view?usp=drivesdk" TargetMode="External"/><Relationship Id="rId3767" Type="http://schemas.openxmlformats.org/officeDocument/2006/relationships/hyperlink" Target="https://drive.google.com/file/d/1rTTsLGn4jh_LCvMQdDEt20co-XYDFmVJ/view?usp=drivesdk" TargetMode="External"/><Relationship Id="rId1107" Type="http://schemas.openxmlformats.org/officeDocument/2006/relationships/hyperlink" Target="https://drive.google.com/file/d/1JqvfsjaXgIU3qdSQRU6AqzQmyo6Y6Z1C/view?usp=drivesdk" TargetMode="External"/><Relationship Id="rId2438" Type="http://schemas.openxmlformats.org/officeDocument/2006/relationships/hyperlink" Target="https://drive.google.com/file/d/1kXQDVdtu4Fb3rt_ca0dfJyrqGLT03JRF/view?usp=drivesdk" TargetMode="External"/><Relationship Id="rId1108" Type="http://schemas.openxmlformats.org/officeDocument/2006/relationships/hyperlink" Target="https://drive.google.com/file/d/18LHYKFOJooHZ5OlKQZtbLDQMbu3Ujy2u/view?usp=drivesdk" TargetMode="External"/><Relationship Id="rId2439" Type="http://schemas.openxmlformats.org/officeDocument/2006/relationships/hyperlink" Target="https://drive.google.com/file/d/1QXnWwqrUphDV1qEgHWlfZbHJAQtep9jv/view?usp=drivesdk" TargetMode="External"/><Relationship Id="rId3769" Type="http://schemas.openxmlformats.org/officeDocument/2006/relationships/hyperlink" Target="https://drive.google.com/file/d/1lelefOVJfmqkYoEDgK-Mu0JMeo6pFxBm/view?usp=drivesdk" TargetMode="External"/><Relationship Id="rId1109" Type="http://schemas.openxmlformats.org/officeDocument/2006/relationships/hyperlink" Target="https://drive.google.com/file/d/16gs9zOJVCYzl_xj4RxynZ23KgY7-AnS9/view?usp=drivesdk" TargetMode="External"/><Relationship Id="rId3760" Type="http://schemas.openxmlformats.org/officeDocument/2006/relationships/hyperlink" Target="https://drive.google.com/file/d/1X6UJ8-hWcz_riJ8Vdi7v5ya6DD5SGy1P/view?usp=drivesdk" TargetMode="External"/><Relationship Id="rId2430" Type="http://schemas.openxmlformats.org/officeDocument/2006/relationships/hyperlink" Target="https://drive.google.com/file/d/1LU5ZAFy0VCikYCDAo8cpcX4haKmwPvLM/view?usp=drivesdk" TargetMode="External"/><Relationship Id="rId3762" Type="http://schemas.openxmlformats.org/officeDocument/2006/relationships/hyperlink" Target="https://drive.google.com/file/d/1-GzxPatjDGRQmk-oRyD_eV5JAGN_RizL/view?usp=drivesdk" TargetMode="External"/><Relationship Id="rId1100" Type="http://schemas.openxmlformats.org/officeDocument/2006/relationships/hyperlink" Target="https://drive.google.com/file/d/1H-2x6krFVPei_eder_wLDLv0KJvK821x/view?usp=drivesdk" TargetMode="External"/><Relationship Id="rId2431" Type="http://schemas.openxmlformats.org/officeDocument/2006/relationships/hyperlink" Target="https://drive.google.com/file/d/1bTj38pl9uApiInr_UU2UPKIE8XdmwcKv/view?usp=drivesdk" TargetMode="External"/><Relationship Id="rId3761" Type="http://schemas.openxmlformats.org/officeDocument/2006/relationships/hyperlink" Target="https://drive.google.com/file/d/1mg-0plRVGuJlIWvzwW_gg_3r8794Ynsl/view?usp=drivesdk" TargetMode="External"/><Relationship Id="rId1101" Type="http://schemas.openxmlformats.org/officeDocument/2006/relationships/hyperlink" Target="https://drive.google.com/file/d/1CtEMIhg6wS2WjKJqkgOqWkGx6pZ79AvA/view?usp=drivesdk" TargetMode="External"/><Relationship Id="rId2432" Type="http://schemas.openxmlformats.org/officeDocument/2006/relationships/hyperlink" Target="https://drive.google.com/file/d/14R4rZjtcgt5jqYEbckpIkKdlILLI_I9d/view?usp=drivesdk" TargetMode="External"/><Relationship Id="rId3764" Type="http://schemas.openxmlformats.org/officeDocument/2006/relationships/hyperlink" Target="https://drive.google.com/file/d/1iji8QZCYTsz3abFM_S_B89Z4ElLREtZV/view?usp=drivesdk" TargetMode="External"/><Relationship Id="rId1102" Type="http://schemas.openxmlformats.org/officeDocument/2006/relationships/hyperlink" Target="https://drive.google.com/file/d/1Cuzm_y05bmMKQNe7_GSIOD5cYeVNF2Ck/view?usp=drivesdk" TargetMode="External"/><Relationship Id="rId2433" Type="http://schemas.openxmlformats.org/officeDocument/2006/relationships/hyperlink" Target="https://drive.google.com/file/d/10KZaFg8zdmR8lpXMLyfOdE9uaeLLYPG8/view?usp=drivesdk" TargetMode="External"/><Relationship Id="rId3763" Type="http://schemas.openxmlformats.org/officeDocument/2006/relationships/hyperlink" Target="https://drive.google.com/file/d/1TREqMFYFlkDQ5Z5CCFjW5p6W9limt2vh/view?usp=drivesdk" TargetMode="External"/><Relationship Id="rId3711" Type="http://schemas.openxmlformats.org/officeDocument/2006/relationships/hyperlink" Target="https://drive.google.com/file/d/1NvQ9JIqExUIAo_IvqddaxvLAECHE-HDR/view?usp=drivesdk" TargetMode="External"/><Relationship Id="rId3710" Type="http://schemas.openxmlformats.org/officeDocument/2006/relationships/hyperlink" Target="https://drive.google.com/file/d/1LYGJtNeMBrUK999SrY550XuQRAnfoKyL/view?usp=drivesdk" TargetMode="External"/><Relationship Id="rId3713" Type="http://schemas.openxmlformats.org/officeDocument/2006/relationships/hyperlink" Target="https://drive.google.com/file/d/12tVnM196fi7UuORrNdFVC8d3W0xH1NDw/view?usp=drivesdk" TargetMode="External"/><Relationship Id="rId3712" Type="http://schemas.openxmlformats.org/officeDocument/2006/relationships/hyperlink" Target="https://drive.google.com/file/d/1AcyQTLV4uL5f52UaU2vorlT0_js9zzbt/view?usp=drivesdk" TargetMode="External"/><Relationship Id="rId3715" Type="http://schemas.openxmlformats.org/officeDocument/2006/relationships/hyperlink" Target="https://drive.google.com/file/d/1sw1eviu4_PGYi61Nnw9mzUDPhkS0ERRt/view?usp=drivesdk" TargetMode="External"/><Relationship Id="rId3714" Type="http://schemas.openxmlformats.org/officeDocument/2006/relationships/hyperlink" Target="https://drive.google.com/file/d/10rvS7TLW2NzG4pEKKBrBPqUoYk3q4OFk/view?usp=drivesdk" TargetMode="External"/><Relationship Id="rId3717" Type="http://schemas.openxmlformats.org/officeDocument/2006/relationships/hyperlink" Target="https://drive.google.com/file/d/1t-vc1C0pawb6UwNRzIBz-pbkckvsmqEA/view?usp=drivesdk" TargetMode="External"/><Relationship Id="rId3716" Type="http://schemas.openxmlformats.org/officeDocument/2006/relationships/hyperlink" Target="https://drive.google.com/file/d/1BBiVcHeMUUNNoOnZzMfCXcHD_kpRmsg1/view?usp=drivesdk" TargetMode="External"/><Relationship Id="rId3719" Type="http://schemas.openxmlformats.org/officeDocument/2006/relationships/hyperlink" Target="https://drive.google.com/file/d/1YCgR1c25H5vpGASNWoydhw6Ev7xIOlYE/view?usp=drivesdk" TargetMode="External"/><Relationship Id="rId3718" Type="http://schemas.openxmlformats.org/officeDocument/2006/relationships/hyperlink" Target="https://drive.google.com/file/d/13L-kSsxFO4w8yrNBkaB0fMCLAEVTSrGZ/view?usp=drivesdk" TargetMode="External"/><Relationship Id="rId3700" Type="http://schemas.openxmlformats.org/officeDocument/2006/relationships/hyperlink" Target="https://drive.google.com/file/d/1b6KqOBZrfwqIKovUWhDhBsgrLrNzEmXW/view?usp=drivesdk" TargetMode="External"/><Relationship Id="rId3702" Type="http://schemas.openxmlformats.org/officeDocument/2006/relationships/hyperlink" Target="https://drive.google.com/file/d/1mUWtqudlM3l_ry9ObKkVUeEAh4eu_ZcG/view?usp=drivesdk" TargetMode="External"/><Relationship Id="rId3701" Type="http://schemas.openxmlformats.org/officeDocument/2006/relationships/hyperlink" Target="https://drive.google.com/file/d/1GUihyERxovEDMXJXCNUB5mVNHySakUEu/view?usp=drivesdk" TargetMode="External"/><Relationship Id="rId3704" Type="http://schemas.openxmlformats.org/officeDocument/2006/relationships/hyperlink" Target="https://drive.google.com/file/d/1AnztLBm5_NSKaT5W4AokQarkYa3WEx1-/view?usp=drivesdk" TargetMode="External"/><Relationship Id="rId3703" Type="http://schemas.openxmlformats.org/officeDocument/2006/relationships/hyperlink" Target="https://drive.google.com/file/d/1xlNO4ADxgqZYbFzJwkXjU9oxHlhb6183/view?usp=drivesdk" TargetMode="External"/><Relationship Id="rId3706" Type="http://schemas.openxmlformats.org/officeDocument/2006/relationships/hyperlink" Target="https://drive.google.com/file/d/1EGazFG8TEz10JUJlDj9exr-N13aONCj0/view?usp=drivesdk" TargetMode="External"/><Relationship Id="rId3705" Type="http://schemas.openxmlformats.org/officeDocument/2006/relationships/hyperlink" Target="https://drive.google.com/file/d/1H5LLwQGUjUVkUpUxlO-5u54reRkKOPZL/view?usp=drivesdk" TargetMode="External"/><Relationship Id="rId3708" Type="http://schemas.openxmlformats.org/officeDocument/2006/relationships/hyperlink" Target="https://drive.google.com/file/d/15L0fCzd1LicME86Q3VFfXRk7Bg43bhRA/view?usp=drivesdk" TargetMode="External"/><Relationship Id="rId3707" Type="http://schemas.openxmlformats.org/officeDocument/2006/relationships/hyperlink" Target="https://drive.google.com/file/d/16xo2YQEh319txfG-waB5gmSnn9jC8Df3/view?usp=drivesdk" TargetMode="External"/><Relationship Id="rId3709" Type="http://schemas.openxmlformats.org/officeDocument/2006/relationships/hyperlink" Target="https://drive.google.com/file/d/1HbwiWPXcvD6TSZH2TE2BoAXJQ0QvezMk/view?usp=drivesdk" TargetMode="External"/><Relationship Id="rId2401" Type="http://schemas.openxmlformats.org/officeDocument/2006/relationships/hyperlink" Target="https://drive.google.com/file/d/1nFAILz7ZILdVB9xDrHYvEXnCst08ZHUc/view?usp=drivesdk" TargetMode="External"/><Relationship Id="rId3733" Type="http://schemas.openxmlformats.org/officeDocument/2006/relationships/hyperlink" Target="https://drive.google.com/file/d/1tsOOURRsKbt0ePCEJYfqH22vzcFERJ9b/view?usp=drivesdk" TargetMode="External"/><Relationship Id="rId2402" Type="http://schemas.openxmlformats.org/officeDocument/2006/relationships/hyperlink" Target="https://drive.google.com/file/d/1_dCxiE2dr9m3Y5NSXB1GUhAj72sH1pgv/view?usp=drivesdk" TargetMode="External"/><Relationship Id="rId3732" Type="http://schemas.openxmlformats.org/officeDocument/2006/relationships/hyperlink" Target="https://drive.google.com/file/d/1Vlqf3Gq-RTs7E1qjY5dj57YJjHckqDTc/view?usp=drivesdk" TargetMode="External"/><Relationship Id="rId2403" Type="http://schemas.openxmlformats.org/officeDocument/2006/relationships/hyperlink" Target="https://drive.google.com/file/d/1l1OhxdLF4twGmnOpMHucNEzRhjFm1oO6/view?usp=drivesdk" TargetMode="External"/><Relationship Id="rId3735" Type="http://schemas.openxmlformats.org/officeDocument/2006/relationships/hyperlink" Target="https://drive.google.com/file/d/13iuPPv12q_l_FkkeERcvrFhYJW0rUs9k/view?usp=drivesdk" TargetMode="External"/><Relationship Id="rId2404" Type="http://schemas.openxmlformats.org/officeDocument/2006/relationships/hyperlink" Target="https://drive.google.com/file/d/1MZ8XsGJ9lMacATK3lk_xO-Xd8m1IMCFx/view?usp=drivesdk" TargetMode="External"/><Relationship Id="rId3734" Type="http://schemas.openxmlformats.org/officeDocument/2006/relationships/hyperlink" Target="https://drive.google.com/file/d/1DLEu-PUbCkSXXVeZ17b_A-p1N-uFPXWt/view?usp=drivesdk" TargetMode="External"/><Relationship Id="rId2405" Type="http://schemas.openxmlformats.org/officeDocument/2006/relationships/hyperlink" Target="https://drive.google.com/file/d/1LrdO44zX4kX1og7hYJ118I6WcTbVFhJL/view?usp=drivesdk" TargetMode="External"/><Relationship Id="rId3737" Type="http://schemas.openxmlformats.org/officeDocument/2006/relationships/hyperlink" Target="https://drive.google.com/file/d/1KBmopwtN1IWKkXs21_MDVTAi0B7_xCzt/view?usp=drivesdk" TargetMode="External"/><Relationship Id="rId2406" Type="http://schemas.openxmlformats.org/officeDocument/2006/relationships/hyperlink" Target="https://drive.google.com/file/d/1azSIx8LH6StEEN7LRzXA0h7cKCLAWVmq/view?usp=drivesdk" TargetMode="External"/><Relationship Id="rId3736" Type="http://schemas.openxmlformats.org/officeDocument/2006/relationships/hyperlink" Target="https://drive.google.com/file/d/1UZcppe2x8VMPB0di4tAaDgQlgG8xC48-/view?usp=drivesdk" TargetMode="External"/><Relationship Id="rId2407" Type="http://schemas.openxmlformats.org/officeDocument/2006/relationships/hyperlink" Target="https://drive.google.com/file/d/1VbhpwNohD9c0UhPP94CFwHxI1J94cEQr/view?usp=drivesdk" TargetMode="External"/><Relationship Id="rId3739" Type="http://schemas.openxmlformats.org/officeDocument/2006/relationships/hyperlink" Target="https://drive.google.com/file/d/1ZLSmhV2Ume-MtNDtMPq7gR-pP3vktLL_/view?usp=drivesdk" TargetMode="External"/><Relationship Id="rId2408" Type="http://schemas.openxmlformats.org/officeDocument/2006/relationships/hyperlink" Target="https://drive.google.com/file/d/1Kwwqpd1XbyiWjSCY_pIDIJbOkjN1U0eN/view?usp=drivesdk" TargetMode="External"/><Relationship Id="rId3738" Type="http://schemas.openxmlformats.org/officeDocument/2006/relationships/hyperlink" Target="https://drive.google.com/file/d/1SdIjnDj8_rQAOTi_TanAa8wAHXh0tHRL/view?usp=drivesdk" TargetMode="External"/><Relationship Id="rId2409" Type="http://schemas.openxmlformats.org/officeDocument/2006/relationships/hyperlink" Target="https://drive.google.com/file/d/1JXP8J4_7cZJBB1XUW1PeS67l2WK0Y3YE/view?usp=drivesdk" TargetMode="External"/><Relationship Id="rId3731" Type="http://schemas.openxmlformats.org/officeDocument/2006/relationships/hyperlink" Target="https://drive.google.com/file/d/1RewPwLsPtc-3pRQL5f9kmRYC1-r1NMhB/view?usp=drivesdk" TargetMode="External"/><Relationship Id="rId2400" Type="http://schemas.openxmlformats.org/officeDocument/2006/relationships/hyperlink" Target="https://drive.google.com/file/d/1hus7WZ77wwai0AleVsLm5CesNhPL621i/view?usp=drivesdk" TargetMode="External"/><Relationship Id="rId3730" Type="http://schemas.openxmlformats.org/officeDocument/2006/relationships/hyperlink" Target="https://drive.google.com/file/d/18YGQ7c2E8-0URExE-OrqQ78fRt8-9m_R/view?usp=drivesdk" TargetMode="External"/><Relationship Id="rId3722" Type="http://schemas.openxmlformats.org/officeDocument/2006/relationships/hyperlink" Target="https://drive.google.com/file/d/14_ebJ7DZ41eI38SIAtrRlpppapCv9HwR/view?usp=drivesdk" TargetMode="External"/><Relationship Id="rId3721" Type="http://schemas.openxmlformats.org/officeDocument/2006/relationships/hyperlink" Target="https://drive.google.com/file/d/1yiKtODBua6G7qO6vUUuLYWJX6z9oX3hn/view?usp=drivesdk" TargetMode="External"/><Relationship Id="rId3724" Type="http://schemas.openxmlformats.org/officeDocument/2006/relationships/hyperlink" Target="https://drive.google.com/file/d/1gnagRcvWn40gQnJ3BXe9ZE23uciebnV5/view?usp=drivesdk" TargetMode="External"/><Relationship Id="rId3723" Type="http://schemas.openxmlformats.org/officeDocument/2006/relationships/hyperlink" Target="https://drive.google.com/file/d/1FkK5e-hBrL701rZKwFQJqSU3IUNcH1Ur/view?usp=drivesdk" TargetMode="External"/><Relationship Id="rId3726" Type="http://schemas.openxmlformats.org/officeDocument/2006/relationships/hyperlink" Target="https://drive.google.com/file/d/1R-vWWysPzez9RjDP5ZvBe7Eke8R-Aqfj/view?usp=drivesdk" TargetMode="External"/><Relationship Id="rId3725" Type="http://schemas.openxmlformats.org/officeDocument/2006/relationships/hyperlink" Target="https://drive.google.com/file/d/1U-yfy_NzgqEUP0TxJizY3UIcZbH6xJYd/view?usp=drivesdk" TargetMode="External"/><Relationship Id="rId3728" Type="http://schemas.openxmlformats.org/officeDocument/2006/relationships/hyperlink" Target="https://drive.google.com/file/d/1Bunu91l4p7dmKMsnTcV_2gQGCQ3JEGIy/view?usp=drivesdk" TargetMode="External"/><Relationship Id="rId3727" Type="http://schemas.openxmlformats.org/officeDocument/2006/relationships/hyperlink" Target="https://drive.google.com/file/d/1XB9TO5Px1tVOne9JhaktzoBIr8Ne8aI3/view?usp=drivesdk" TargetMode="External"/><Relationship Id="rId3729" Type="http://schemas.openxmlformats.org/officeDocument/2006/relationships/hyperlink" Target="https://drive.google.com/file/d/1Qvqhy0xT2D1JV2765VLu2E-j-TxAruc5/view?usp=drivesdk" TargetMode="External"/><Relationship Id="rId3720" Type="http://schemas.openxmlformats.org/officeDocument/2006/relationships/hyperlink" Target="https://drive.google.com/file/d/1CUWvs-_e6hu0pzxl1EYTbCvoiNnDO7Bw/view?usp=drivesdk" TargetMode="External"/><Relationship Id="rId1170" Type="http://schemas.openxmlformats.org/officeDocument/2006/relationships/hyperlink" Target="https://drive.google.com/file/d/1Fuc1lUIuFau0nqkNAzIyoiPuR4W2v_ZS/view?usp=drivesdk" TargetMode="External"/><Relationship Id="rId1171" Type="http://schemas.openxmlformats.org/officeDocument/2006/relationships/hyperlink" Target="https://drive.google.com/file/d/1kmgdCjZ28ndLsk8ud10xwCp--9DRLnMB/view?usp=drivesdk" TargetMode="External"/><Relationship Id="rId1172" Type="http://schemas.openxmlformats.org/officeDocument/2006/relationships/hyperlink" Target="https://drive.google.com/file/d/1ey-iM6W2wrRtfoyPxmZPZcouZFIy7Jx4/view?usp=drivesdk" TargetMode="External"/><Relationship Id="rId1173" Type="http://schemas.openxmlformats.org/officeDocument/2006/relationships/hyperlink" Target="https://drive.google.com/file/d/1GqCyaK5N5tQLUXKblVwmbu2wgPhKvOHw/view?usp=drivesdk" TargetMode="External"/><Relationship Id="rId1174" Type="http://schemas.openxmlformats.org/officeDocument/2006/relationships/hyperlink" Target="https://drive.google.com/file/d/1OiC7hi329cGIxoMlwsAfRFlbgvmcfmBd/view?usp=drivesdk" TargetMode="External"/><Relationship Id="rId1175" Type="http://schemas.openxmlformats.org/officeDocument/2006/relationships/hyperlink" Target="https://drive.google.com/file/d/1lN4U3auv3caWlS9opzh2i7TSS9M30ONH/view?usp=drivesdk" TargetMode="External"/><Relationship Id="rId1176" Type="http://schemas.openxmlformats.org/officeDocument/2006/relationships/hyperlink" Target="https://drive.google.com/file/d/1AVAgpGnRnsyvoDtJIc76ntodipNTyNrf/view?usp=drivesdk" TargetMode="External"/><Relationship Id="rId1177" Type="http://schemas.openxmlformats.org/officeDocument/2006/relationships/hyperlink" Target="https://drive.google.com/file/d/11xrZ4odH6_KN6Rq37djBeIMca40TKl7b/view?usp=drivesdk" TargetMode="External"/><Relationship Id="rId1178" Type="http://schemas.openxmlformats.org/officeDocument/2006/relationships/hyperlink" Target="https://drive.google.com/file/d/1YBea0bDGx50fosVgyuqGdjDyAlJq6ME0/view?usp=drivesdk" TargetMode="External"/><Relationship Id="rId1179" Type="http://schemas.openxmlformats.org/officeDocument/2006/relationships/hyperlink" Target="https://drive.google.com/file/d/1_DpCIFsbpcGZSaZNJ96evODhpim21n4W/view?usp=drivesdk" TargetMode="External"/><Relationship Id="rId1169" Type="http://schemas.openxmlformats.org/officeDocument/2006/relationships/hyperlink" Target="https://drive.google.com/file/d/1a26Q0r6CkTJfjDKyiVdtngCi1ZPror3m/view?usp=drivesdk" TargetMode="External"/><Relationship Id="rId2490" Type="http://schemas.openxmlformats.org/officeDocument/2006/relationships/hyperlink" Target="https://drive.google.com/file/d/1ozknowEjQDyLbpihtziFO51r2ro_tezN/view?usp=drivesdk" TargetMode="External"/><Relationship Id="rId1160" Type="http://schemas.openxmlformats.org/officeDocument/2006/relationships/hyperlink" Target="https://drive.google.com/file/d/1bJoR0xFKNPmYNuMoIbDbnASQ-EFlk4bG/view?usp=drivesdk" TargetMode="External"/><Relationship Id="rId2491" Type="http://schemas.openxmlformats.org/officeDocument/2006/relationships/hyperlink" Target="https://drive.google.com/file/d/110F2shx7gdZ8ypIbH1fBL-zBtv9vmX5h/view?usp=drivesdk" TargetMode="External"/><Relationship Id="rId1161" Type="http://schemas.openxmlformats.org/officeDocument/2006/relationships/hyperlink" Target="https://drive.google.com/file/d/1hPUOdtQ9ACz09uVMlCdltn9zhWZPtDSY/view?usp=drivesdk" TargetMode="External"/><Relationship Id="rId2492" Type="http://schemas.openxmlformats.org/officeDocument/2006/relationships/hyperlink" Target="https://drive.google.com/file/d/1BMnNgmNERx391njtAOBzjedR3FlhAzPr/view?usp=drivesdk" TargetMode="External"/><Relationship Id="rId1162" Type="http://schemas.openxmlformats.org/officeDocument/2006/relationships/hyperlink" Target="https://drive.google.com/file/d/18xmBaORL0lnuJDLT1F9NyAhcxuH_qKRx/view?usp=drivesdk" TargetMode="External"/><Relationship Id="rId2493" Type="http://schemas.openxmlformats.org/officeDocument/2006/relationships/hyperlink" Target="https://drive.google.com/file/d/1oSfHzB0Ks5xnT9U1HIEd2Cgj-2GIm74t/view?usp=drivesdk" TargetMode="External"/><Relationship Id="rId1163" Type="http://schemas.openxmlformats.org/officeDocument/2006/relationships/hyperlink" Target="https://drive.google.com/file/d/1FELKYU1k5ZcVuCP2kGJDme8Ou85l84w4/view?usp=drivesdk" TargetMode="External"/><Relationship Id="rId2494" Type="http://schemas.openxmlformats.org/officeDocument/2006/relationships/hyperlink" Target="https://drive.google.com/file/d/1YnVC8gyz22h_VoxhNHrjTjOY69wmh1kM/view?usp=drivesdk" TargetMode="External"/><Relationship Id="rId1164" Type="http://schemas.openxmlformats.org/officeDocument/2006/relationships/hyperlink" Target="https://drive.google.com/file/d/1qga5u5ZtCggdlua8epgqhJTddoxtNqI8/view?usp=drivesdk" TargetMode="External"/><Relationship Id="rId2495" Type="http://schemas.openxmlformats.org/officeDocument/2006/relationships/hyperlink" Target="https://drive.google.com/file/d/1O43HjaoL56ePlt0WTROFRkpn1wrsjNpL/view?usp=drivesdk" TargetMode="External"/><Relationship Id="rId1165" Type="http://schemas.openxmlformats.org/officeDocument/2006/relationships/hyperlink" Target="https://drive.google.com/file/d/14A5AD-ez6Eiw--KjHY6G5bSA7GvFRlHX/view?usp=drivesdk" TargetMode="External"/><Relationship Id="rId2496" Type="http://schemas.openxmlformats.org/officeDocument/2006/relationships/hyperlink" Target="https://drive.google.com/file/d/1X1NuhVx5yR_a9HR46wk1KkHqNQeCirQB/view?usp=drivesdk" TargetMode="External"/><Relationship Id="rId1166" Type="http://schemas.openxmlformats.org/officeDocument/2006/relationships/hyperlink" Target="https://drive.google.com/file/d/1sJHb3-ZxNIjOUp7vOZLkNjLH5gvQwQ0w/view?usp=drivesdk" TargetMode="External"/><Relationship Id="rId2497" Type="http://schemas.openxmlformats.org/officeDocument/2006/relationships/hyperlink" Target="https://drive.google.com/file/d/10orlGIRtMQKS3IB0KOXf7xBrxSsVVT53/view?usp=drivesdk" TargetMode="External"/><Relationship Id="rId1167" Type="http://schemas.openxmlformats.org/officeDocument/2006/relationships/hyperlink" Target="https://drive.google.com/file/d/12dn1UJtqyttHqSOwtPt9RAk4wc9HvCXo/view?usp=drivesdk" TargetMode="External"/><Relationship Id="rId2498" Type="http://schemas.openxmlformats.org/officeDocument/2006/relationships/hyperlink" Target="https://drive.google.com/file/d/1S4oq88ni8LPeHHy5wJsgqUl9zKHsKYg0/view?usp=drivesdk" TargetMode="External"/><Relationship Id="rId1168" Type="http://schemas.openxmlformats.org/officeDocument/2006/relationships/hyperlink" Target="https://drive.google.com/file/d/1UY3C2LK98slxO24ETS4zVnWdFWgy_Ar0/view?usp=drivesdk" TargetMode="External"/><Relationship Id="rId2499" Type="http://schemas.openxmlformats.org/officeDocument/2006/relationships/hyperlink" Target="https://drive.google.com/file/d/1L7C_4WVPH6uzss4reb24_xeY2pQFAbXf/view?usp=drivesdk" TargetMode="External"/><Relationship Id="rId1190" Type="http://schemas.openxmlformats.org/officeDocument/2006/relationships/hyperlink" Target="https://drive.google.com/file/d/1ypV4VOgKpQ5mp5--9uxbrv0HGTjRtuCm/view?usp=drivesdk" TargetMode="External"/><Relationship Id="rId1191" Type="http://schemas.openxmlformats.org/officeDocument/2006/relationships/hyperlink" Target="https://drive.google.com/file/d/1qETPMsLRzMcDZgdKsiW9cTUcSUD4J485/view?usp=drivesdk" TargetMode="External"/><Relationship Id="rId1192" Type="http://schemas.openxmlformats.org/officeDocument/2006/relationships/hyperlink" Target="https://drive.google.com/file/d/1gGwLaw-aNjcvfzN_FnG2kdCI-osEfcom/view?usp=drivesdk" TargetMode="External"/><Relationship Id="rId1193" Type="http://schemas.openxmlformats.org/officeDocument/2006/relationships/hyperlink" Target="https://drive.google.com/file/d/1nqlUf5U2GVJzI-bNx57GBK_rIW9LLNNT/view?usp=drivesdk" TargetMode="External"/><Relationship Id="rId1194" Type="http://schemas.openxmlformats.org/officeDocument/2006/relationships/hyperlink" Target="https://drive.google.com/file/d/16d2J5NF3mmZDKM4Frd83k0tmKJIknimc/view?usp=drivesdk" TargetMode="External"/><Relationship Id="rId1195" Type="http://schemas.openxmlformats.org/officeDocument/2006/relationships/hyperlink" Target="https://drive.google.com/file/d/1IcsGz-ozcWa7hyHOWHk6VkvjMIIbI3pN/view?usp=drivesdk" TargetMode="External"/><Relationship Id="rId1196" Type="http://schemas.openxmlformats.org/officeDocument/2006/relationships/hyperlink" Target="https://drive.google.com/file/d/1vFtJcmvVvuxnglGNuhvK6H0iMcsMihxd/view?usp=drivesdk" TargetMode="External"/><Relationship Id="rId1197" Type="http://schemas.openxmlformats.org/officeDocument/2006/relationships/hyperlink" Target="https://drive.google.com/file/d/1yINF0-QFORPo3XCEZrsomQ3hYFSXfhzc/view?usp=drivesdk" TargetMode="External"/><Relationship Id="rId1198" Type="http://schemas.openxmlformats.org/officeDocument/2006/relationships/hyperlink" Target="https://drive.google.com/file/d/1xnheJ99nOA0XBMRWuEi0tK_U1p9grpB0/view?usp=drivesdk" TargetMode="External"/><Relationship Id="rId1199" Type="http://schemas.openxmlformats.org/officeDocument/2006/relationships/hyperlink" Target="https://drive.google.com/file/d/1kQcEgqtAGZ-yZ2zywU-KgSVJgHJjzZST/view?usp=drivesdk" TargetMode="External"/><Relationship Id="rId1180" Type="http://schemas.openxmlformats.org/officeDocument/2006/relationships/hyperlink" Target="https://drive.google.com/file/d/14Svb850t9SXRfogDOS4CCArSHnbitYfd/view?usp=drivesdk" TargetMode="External"/><Relationship Id="rId1181" Type="http://schemas.openxmlformats.org/officeDocument/2006/relationships/hyperlink" Target="https://drive.google.com/file/d/1Bih0RaTYDzfQqDJ54ONZLBK1WhkH2eb3/view?usp=drivesdk" TargetMode="External"/><Relationship Id="rId1182" Type="http://schemas.openxmlformats.org/officeDocument/2006/relationships/hyperlink" Target="https://drive.google.com/file/d/1NDs6N8_zzBM6DVeOXfZrebtETn3gkR03/view?usp=drivesdk" TargetMode="External"/><Relationship Id="rId1183" Type="http://schemas.openxmlformats.org/officeDocument/2006/relationships/hyperlink" Target="https://drive.google.com/file/d/1lfgspVI_KXdbIPZInD6AeZqJNutZtD5c/view?usp=drivesdk" TargetMode="External"/><Relationship Id="rId1184" Type="http://schemas.openxmlformats.org/officeDocument/2006/relationships/hyperlink" Target="https://drive.google.com/file/d/1J9IB1jgB_vN4JuMDegnNz4s3M5fwKKo8/view?usp=drivesdk" TargetMode="External"/><Relationship Id="rId1185" Type="http://schemas.openxmlformats.org/officeDocument/2006/relationships/hyperlink" Target="https://drive.google.com/file/d/1KEjeV9oe714JE0KKyMPA3O5xdhcFyZSn/view?usp=drivesdk" TargetMode="External"/><Relationship Id="rId1186" Type="http://schemas.openxmlformats.org/officeDocument/2006/relationships/hyperlink" Target="https://drive.google.com/file/d/1vPwwI6e5YS7vomRoL_5_B5MpejWaNgSV/view?usp=drivesdk" TargetMode="External"/><Relationship Id="rId1187" Type="http://schemas.openxmlformats.org/officeDocument/2006/relationships/hyperlink" Target="https://drive.google.com/file/d/1RC_fC5y4rsUQrKr2U3gu91nG-tgVDIIg/view?usp=drivesdk" TargetMode="External"/><Relationship Id="rId1188" Type="http://schemas.openxmlformats.org/officeDocument/2006/relationships/hyperlink" Target="https://drive.google.com/file/d/1TCmocybf1CK2Cu-L8fAntX0dS47XWv8_/view?usp=drivesdk" TargetMode="External"/><Relationship Id="rId1189" Type="http://schemas.openxmlformats.org/officeDocument/2006/relationships/hyperlink" Target="https://drive.google.com/file/d/1fm_r-AQE3jmVrXQs5tE8Ji0bmXCAOp9L/view?usp=drivesdk" TargetMode="External"/><Relationship Id="rId1136" Type="http://schemas.openxmlformats.org/officeDocument/2006/relationships/hyperlink" Target="https://drive.google.com/file/d/1ysfhiYr_TeX_yt5T8_nXfVn94euNddvf/view?usp=drivesdk" TargetMode="External"/><Relationship Id="rId2467" Type="http://schemas.openxmlformats.org/officeDocument/2006/relationships/hyperlink" Target="https://drive.google.com/file/d/1ToE2PqQedJeC_697uTaN1nEHY_HBFo3L/view?usp=drivesdk" TargetMode="External"/><Relationship Id="rId3799" Type="http://schemas.openxmlformats.org/officeDocument/2006/relationships/hyperlink" Target="https://drive.google.com/file/d/11t8lBckO65dIBxiPcfODaI7azMCZLPqT/view?usp=drivesdk" TargetMode="External"/><Relationship Id="rId1137" Type="http://schemas.openxmlformats.org/officeDocument/2006/relationships/hyperlink" Target="https://drive.google.com/file/d/1vLl0BFfksoNR3r2AjyleodvNn8L88GOL/view?usp=drivesdk" TargetMode="External"/><Relationship Id="rId2468" Type="http://schemas.openxmlformats.org/officeDocument/2006/relationships/hyperlink" Target="https://drive.google.com/file/d/1m-crwriJghgDIBLYGB0V8bEWaYIQYwE8/view?usp=drivesdk" TargetMode="External"/><Relationship Id="rId3798" Type="http://schemas.openxmlformats.org/officeDocument/2006/relationships/hyperlink" Target="https://drive.google.com/file/d/1xfyl--GKTYOWaBh0-guC15Nbpj5zMAqP/view?usp=drivesdk" TargetMode="External"/><Relationship Id="rId1138" Type="http://schemas.openxmlformats.org/officeDocument/2006/relationships/hyperlink" Target="https://drive.google.com/file/d/1n3KdVnw4-_WeCqr_HAf8jZf-F2n1TRPx/view?usp=drivesdk" TargetMode="External"/><Relationship Id="rId2469" Type="http://schemas.openxmlformats.org/officeDocument/2006/relationships/hyperlink" Target="https://drive.google.com/file/d/1iktXEPhM0bhnl1DYSOZio1wBnVHUCUe6/view?usp=drivesdk" TargetMode="External"/><Relationship Id="rId1139" Type="http://schemas.openxmlformats.org/officeDocument/2006/relationships/hyperlink" Target="https://drive.google.com/file/d/1Mq-uHe7wlx8zSL9kz7bhmAY30X2vlPo_/view?usp=drivesdk" TargetMode="External"/><Relationship Id="rId3791" Type="http://schemas.openxmlformats.org/officeDocument/2006/relationships/hyperlink" Target="https://drive.google.com/file/d/14S-hsOU34z9kmshBNx7Mj69UgCG1-yYt/view?usp=drivesdk" TargetMode="External"/><Relationship Id="rId2460" Type="http://schemas.openxmlformats.org/officeDocument/2006/relationships/hyperlink" Target="https://drive.google.com/file/d/18wtl8OFjkjT20Mn3fJpraE6jA63DtnHf/view?usp=drivesdk" TargetMode="External"/><Relationship Id="rId3790" Type="http://schemas.openxmlformats.org/officeDocument/2006/relationships/hyperlink" Target="https://drive.google.com/file/d/1Ek4JWE4lQmQ4P010TRbGmk-HLdC3FAkC/view?usp=drivesdk" TargetMode="External"/><Relationship Id="rId1130" Type="http://schemas.openxmlformats.org/officeDocument/2006/relationships/hyperlink" Target="https://drive.google.com/file/d/1KCYaTjjaazmjyh0fTgkOmDCnFg5TgFUU/view?usp=drivesdk" TargetMode="External"/><Relationship Id="rId2461" Type="http://schemas.openxmlformats.org/officeDocument/2006/relationships/hyperlink" Target="https://drive.google.com/file/d/13LaS53eBAYKNuArTFyp-qLBncql3LmnL/view?usp=drivesdk" TargetMode="External"/><Relationship Id="rId3793" Type="http://schemas.openxmlformats.org/officeDocument/2006/relationships/hyperlink" Target="https://drive.google.com/file/d/1pV4ha5zu8R-LEOG6enJDyTagb-EoH_Am/view?usp=drivesdk" TargetMode="External"/><Relationship Id="rId1131" Type="http://schemas.openxmlformats.org/officeDocument/2006/relationships/hyperlink" Target="https://drive.google.com/file/d/1SClKlDWOtzraU3wRaNQio7962RB1nF01/view?usp=drivesdk" TargetMode="External"/><Relationship Id="rId2462" Type="http://schemas.openxmlformats.org/officeDocument/2006/relationships/hyperlink" Target="https://drive.google.com/file/d/11lRIozfQpvZ4ACXKX4iU8Gr9vrihJCEa/view?usp=drivesdk" TargetMode="External"/><Relationship Id="rId3792" Type="http://schemas.openxmlformats.org/officeDocument/2006/relationships/hyperlink" Target="https://drive.google.com/file/d/1iXZh44b0cXplzayXkvGKHs-nitSgxzu1/view?usp=drivesdk" TargetMode="External"/><Relationship Id="rId1132" Type="http://schemas.openxmlformats.org/officeDocument/2006/relationships/hyperlink" Target="https://drive.google.com/file/d/1uI7D5ejozus-1Un_qmDcGhOIvZonS8Fp/view?usp=drivesdk" TargetMode="External"/><Relationship Id="rId2463" Type="http://schemas.openxmlformats.org/officeDocument/2006/relationships/hyperlink" Target="https://drive.google.com/file/d/1pttu4Tw8Fw8VBbrswbP3V_3ttJiBvUSV/view?usp=drivesdk" TargetMode="External"/><Relationship Id="rId3795" Type="http://schemas.openxmlformats.org/officeDocument/2006/relationships/hyperlink" Target="https://drive.google.com/file/d/1rx3gEUBwhzxgSDmyZbSASzNWBQRObIpE/view?usp=drivesdk" TargetMode="External"/><Relationship Id="rId1133" Type="http://schemas.openxmlformats.org/officeDocument/2006/relationships/hyperlink" Target="https://drive.google.com/file/d/1HoV6dcyoltsck7rO6NpNILfo_EAtacF0/view?usp=drivesdk" TargetMode="External"/><Relationship Id="rId2464" Type="http://schemas.openxmlformats.org/officeDocument/2006/relationships/hyperlink" Target="https://drive.google.com/file/d/1kY-yfWItIAeAldQ9vSLR5o7saew5nJfC/view?usp=drivesdk" TargetMode="External"/><Relationship Id="rId3794" Type="http://schemas.openxmlformats.org/officeDocument/2006/relationships/hyperlink" Target="https://drive.google.com/file/d/1uacJojUKTUBq976G54hyqHS8lih7lBWr/view?usp=drivesdk" TargetMode="External"/><Relationship Id="rId1134" Type="http://schemas.openxmlformats.org/officeDocument/2006/relationships/hyperlink" Target="https://drive.google.com/file/d/1fS3mHTvrhRHMzUgPrJJvdudI5Ova-ztz/view?usp=drivesdk" TargetMode="External"/><Relationship Id="rId2465" Type="http://schemas.openxmlformats.org/officeDocument/2006/relationships/hyperlink" Target="https://drive.google.com/file/d/1C3lRVs_Zzqf05VPT1PyMobPSPBoaM1tv/view?usp=drivesdk" TargetMode="External"/><Relationship Id="rId3797" Type="http://schemas.openxmlformats.org/officeDocument/2006/relationships/hyperlink" Target="https://drive.google.com/file/d/1s1wqMGzw9MhEzqo6_EVRJwu9NpO4rfMF/view?usp=drivesdk" TargetMode="External"/><Relationship Id="rId1135" Type="http://schemas.openxmlformats.org/officeDocument/2006/relationships/hyperlink" Target="https://drive.google.com/file/d/10QBckAxhvgCO5jhtOAs_g1KTnPDYi9TB/view?usp=drivesdk" TargetMode="External"/><Relationship Id="rId2466" Type="http://schemas.openxmlformats.org/officeDocument/2006/relationships/hyperlink" Target="https://drive.google.com/file/d/1eO87Ii-rD0C7fWHlPOh9lrhLOTHoTUHl/view?usp=drivesdk" TargetMode="External"/><Relationship Id="rId3796" Type="http://schemas.openxmlformats.org/officeDocument/2006/relationships/hyperlink" Target="https://drive.google.com/file/d/14lVkHnQ0AqA9nHjxl5hk5SK58hiEB12s/view?usp=drivesdk" TargetMode="External"/><Relationship Id="rId1125" Type="http://schemas.openxmlformats.org/officeDocument/2006/relationships/hyperlink" Target="https://drive.google.com/file/d/1ZPkW8uODtgotKighR56z99DHcp9fvZz_/view?usp=drivesdk" TargetMode="External"/><Relationship Id="rId2456" Type="http://schemas.openxmlformats.org/officeDocument/2006/relationships/hyperlink" Target="https://drive.google.com/file/d/14vE-yoqB9rXN5xEbHfqOfmCFXI10iNKn/view?usp=drivesdk" TargetMode="External"/><Relationship Id="rId3788" Type="http://schemas.openxmlformats.org/officeDocument/2006/relationships/hyperlink" Target="https://drive.google.com/file/d/1YCTmjFTfDr3AGFZkMTj-8eBWb-RVdoKN/view?usp=drivesdk" TargetMode="External"/><Relationship Id="rId1126" Type="http://schemas.openxmlformats.org/officeDocument/2006/relationships/hyperlink" Target="https://drive.google.com/file/d/1tS8A_Etus3ldi-ZpXEkl9SXUhSDyqQ67/view?usp=drivesdk" TargetMode="External"/><Relationship Id="rId2457" Type="http://schemas.openxmlformats.org/officeDocument/2006/relationships/hyperlink" Target="https://drive.google.com/file/d/1mvBKJOnNkjRGIOweynJp3Vtj-ZuVbt8O/view?usp=drivesdk" TargetMode="External"/><Relationship Id="rId3787" Type="http://schemas.openxmlformats.org/officeDocument/2006/relationships/hyperlink" Target="https://drive.google.com/file/d/1UW05_et_BpgVZrqkL8K66qpFJABmi_MN/view?usp=drivesdk" TargetMode="External"/><Relationship Id="rId1127" Type="http://schemas.openxmlformats.org/officeDocument/2006/relationships/hyperlink" Target="https://drive.google.com/file/d/1gqlrNnTKkORK0gmL8wt2PArEqqJP2uES/view?usp=drivesdk" TargetMode="External"/><Relationship Id="rId2458" Type="http://schemas.openxmlformats.org/officeDocument/2006/relationships/hyperlink" Target="https://drive.google.com/file/d/1D8wIuLL10FsPrY7CJxQvO9OGIEBr9RcQ/view?usp=drivesdk" TargetMode="External"/><Relationship Id="rId1128" Type="http://schemas.openxmlformats.org/officeDocument/2006/relationships/hyperlink" Target="https://drive.google.com/file/d/1YsECUSpvPWOuqZ3FkQW4EC1HpGrhdHSc/view?usp=drivesdk" TargetMode="External"/><Relationship Id="rId2459" Type="http://schemas.openxmlformats.org/officeDocument/2006/relationships/hyperlink" Target="https://drive.google.com/file/d/1tPvjTNTfbNz6Ikk0q2yag4EB7esdjxfb/view?usp=drivesdk" TargetMode="External"/><Relationship Id="rId3789" Type="http://schemas.openxmlformats.org/officeDocument/2006/relationships/hyperlink" Target="https://drive.google.com/file/d/142NMjSzJ3rI6qDysvfvlvfpTiE75FC0t/view?usp=drivesdk" TargetMode="External"/><Relationship Id="rId1129" Type="http://schemas.openxmlformats.org/officeDocument/2006/relationships/hyperlink" Target="https://drive.google.com/file/d/1boDeisekV4LXyvYovvHVKYXJS4I-427B/view?usp=drivesdk" TargetMode="External"/><Relationship Id="rId3780" Type="http://schemas.openxmlformats.org/officeDocument/2006/relationships/hyperlink" Target="https://drive.google.com/file/d/1d_8W9yCPWB7BydSLy-4vlHR3nYc80YWv/view?usp=drivesdk" TargetMode="External"/><Relationship Id="rId2450" Type="http://schemas.openxmlformats.org/officeDocument/2006/relationships/hyperlink" Target="https://drive.google.com/file/d/1J9EmSt4JxN-vaodsNVKBro0K6IVF3TGP/view?usp=drivesdk" TargetMode="External"/><Relationship Id="rId3782" Type="http://schemas.openxmlformats.org/officeDocument/2006/relationships/hyperlink" Target="https://drive.google.com/file/d/1CcDjr-1YrmH-KqaPdAxQhLE5m_mzkpok/view?usp=drivesdk" TargetMode="External"/><Relationship Id="rId1120" Type="http://schemas.openxmlformats.org/officeDocument/2006/relationships/hyperlink" Target="https://drive.google.com/file/d/1AFlsY8pfkMPJvOSqLNQjOP1CQMlkOj3f/view?usp=drivesdk" TargetMode="External"/><Relationship Id="rId2451" Type="http://schemas.openxmlformats.org/officeDocument/2006/relationships/hyperlink" Target="https://drive.google.com/file/d/1UvlQsu3TpclGnG2_J4lLUYJKPxl6hu32/view?usp=drivesdk" TargetMode="External"/><Relationship Id="rId3781" Type="http://schemas.openxmlformats.org/officeDocument/2006/relationships/hyperlink" Target="https://drive.google.com/file/d/1aFDbas1jx_BVkIQvES2rUhmb4U_5SAOx/view?usp=drivesdk" TargetMode="External"/><Relationship Id="rId1121" Type="http://schemas.openxmlformats.org/officeDocument/2006/relationships/hyperlink" Target="https://drive.google.com/file/d/1AW3qju-K40HimJ59xXbw-ET2ADhgxYk4/view?usp=drivesdk" TargetMode="External"/><Relationship Id="rId2452" Type="http://schemas.openxmlformats.org/officeDocument/2006/relationships/hyperlink" Target="https://drive.google.com/file/d/1JjKSY9oK_-Mwq4vEQZ97Ed1SeBWqpiE2/view?usp=drivesdk" TargetMode="External"/><Relationship Id="rId3784" Type="http://schemas.openxmlformats.org/officeDocument/2006/relationships/hyperlink" Target="https://drive.google.com/file/d/1U-0Bx9yYxXEQtPZpVldgsbD0CqS5466x/view?usp=drivesdk" TargetMode="External"/><Relationship Id="rId1122" Type="http://schemas.openxmlformats.org/officeDocument/2006/relationships/hyperlink" Target="https://drive.google.com/file/d/1OIda0Nujy79-CVjSlCIIWmuoqhfITip9/view?usp=drivesdk" TargetMode="External"/><Relationship Id="rId2453" Type="http://schemas.openxmlformats.org/officeDocument/2006/relationships/hyperlink" Target="https://drive.google.com/file/d/1f1wCBTvP7Ifvn3C9D-VCiadiwoHWTSny/view?usp=drivesdk" TargetMode="External"/><Relationship Id="rId3783" Type="http://schemas.openxmlformats.org/officeDocument/2006/relationships/hyperlink" Target="https://drive.google.com/file/d/12uVnMBjm-4op6Dh1kiZ8CnKfKOE7UsCS/view?usp=drivesdk" TargetMode="External"/><Relationship Id="rId1123" Type="http://schemas.openxmlformats.org/officeDocument/2006/relationships/hyperlink" Target="https://drive.google.com/file/d/1A_Js9p_a6JDwt0XSx-gjNMMolJOu98zm/view?usp=drivesdk" TargetMode="External"/><Relationship Id="rId2454" Type="http://schemas.openxmlformats.org/officeDocument/2006/relationships/hyperlink" Target="https://drive.google.com/file/d/1RDOjWlqnSA54xyBORpUot6T0xkFaa1dk/view?usp=drivesdk" TargetMode="External"/><Relationship Id="rId3786" Type="http://schemas.openxmlformats.org/officeDocument/2006/relationships/hyperlink" Target="https://drive.google.com/file/d/1QS1tFLJhCdW4YfochJMxTn-y7YY7HfZL/view?usp=drivesdk" TargetMode="External"/><Relationship Id="rId1124" Type="http://schemas.openxmlformats.org/officeDocument/2006/relationships/hyperlink" Target="https://drive.google.com/file/d/1IDkLG9tw8sQAS3gAm9C_d4vjYIMyrO4X/view?usp=drivesdk" TargetMode="External"/><Relationship Id="rId2455" Type="http://schemas.openxmlformats.org/officeDocument/2006/relationships/hyperlink" Target="https://drive.google.com/file/d/1U9VHuEpU-yeIHsoqA-CWyZaAw3LnWatX/view?usp=drivesdk" TargetMode="External"/><Relationship Id="rId3785" Type="http://schemas.openxmlformats.org/officeDocument/2006/relationships/hyperlink" Target="https://drive.google.com/file/d/1MhWjjIqUqgs2JfhII53koYf3z-aw4m-l/view?usp=drivesdk" TargetMode="External"/><Relationship Id="rId1158" Type="http://schemas.openxmlformats.org/officeDocument/2006/relationships/hyperlink" Target="https://drive.google.com/file/d/1LJZKiVr7xRmIf-Bhu-hsSIGt1UKE_afM/view?usp=drivesdk" TargetMode="External"/><Relationship Id="rId2489" Type="http://schemas.openxmlformats.org/officeDocument/2006/relationships/hyperlink" Target="https://drive.google.com/file/d/1Ex-H53RSnQ_b_vqNmGVm22q6h9EYO_3i/view?usp=drivesdk" TargetMode="External"/><Relationship Id="rId1159" Type="http://schemas.openxmlformats.org/officeDocument/2006/relationships/hyperlink" Target="https://drive.google.com/file/d/1lHPy2GI_feFQCwGM7iTx8OzDpivhhHga/view?usp=drivesdk" TargetMode="External"/><Relationship Id="rId2480" Type="http://schemas.openxmlformats.org/officeDocument/2006/relationships/hyperlink" Target="https://drive.google.com/file/d/1bVhRkVR3GSZbhQ5xPfPVfrHPjWW9dcFw/view?usp=drivesdk" TargetMode="External"/><Relationship Id="rId1150" Type="http://schemas.openxmlformats.org/officeDocument/2006/relationships/hyperlink" Target="https://drive.google.com/file/d/1TPnbl8710mGQznaJN4fVQZyrbQwv-iK-/view?usp=drivesdk" TargetMode="External"/><Relationship Id="rId2481" Type="http://schemas.openxmlformats.org/officeDocument/2006/relationships/hyperlink" Target="https://drive.google.com/file/d/11Pow2mkJyMpq9yEwsDySSdfoQyApl8wR/view?usp=drivesdk" TargetMode="External"/><Relationship Id="rId1151" Type="http://schemas.openxmlformats.org/officeDocument/2006/relationships/hyperlink" Target="https://drive.google.com/file/d/19UutyXD4PTMRv5eqCdEwD-kbeTtZJj8E/view?usp=drivesdk" TargetMode="External"/><Relationship Id="rId2482" Type="http://schemas.openxmlformats.org/officeDocument/2006/relationships/hyperlink" Target="https://drive.google.com/file/d/1XC-uujyJfq3LEKGtYLxlU_gffbE3-306/view?usp=drivesdk" TargetMode="External"/><Relationship Id="rId1152" Type="http://schemas.openxmlformats.org/officeDocument/2006/relationships/hyperlink" Target="https://drive.google.com/file/d/1JaK4HSLJ3oKTAHiYixrL-Cj_hTCgEu7M/view?usp=drivesdk" TargetMode="External"/><Relationship Id="rId2483" Type="http://schemas.openxmlformats.org/officeDocument/2006/relationships/hyperlink" Target="https://drive.google.com/file/d/1CKZVRIdmJHjWwzlod6y-4XXEPxtyELWT/view?usp=drivesdk" TargetMode="External"/><Relationship Id="rId1153" Type="http://schemas.openxmlformats.org/officeDocument/2006/relationships/hyperlink" Target="https://drive.google.com/file/d/1FnFlmjF9r8leSZa5SMc8HqtanpOjAnJD/view?usp=drivesdk" TargetMode="External"/><Relationship Id="rId2484" Type="http://schemas.openxmlformats.org/officeDocument/2006/relationships/hyperlink" Target="https://drive.google.com/file/d/1Klr2jsmfYdP35IDZmDhZP6UFoLenNOld/view?usp=drivesdk" TargetMode="External"/><Relationship Id="rId1154" Type="http://schemas.openxmlformats.org/officeDocument/2006/relationships/hyperlink" Target="https://drive.google.com/file/d/1Hbxi8fVWji2OuVDsLnn3nRs6uy4GXyQO/view?usp=drivesdk" TargetMode="External"/><Relationship Id="rId2485" Type="http://schemas.openxmlformats.org/officeDocument/2006/relationships/hyperlink" Target="https://drive.google.com/file/d/1BPfTzI0ti40KLK-OTZ26WRkMs7lCq96t/view?usp=drivesdk" TargetMode="External"/><Relationship Id="rId1155" Type="http://schemas.openxmlformats.org/officeDocument/2006/relationships/hyperlink" Target="https://drive.google.com/file/d/12Wmkif791Myhl2Tg1rnhLnu-lCp6MgtG/view?usp=drivesdk" TargetMode="External"/><Relationship Id="rId2486" Type="http://schemas.openxmlformats.org/officeDocument/2006/relationships/hyperlink" Target="https://drive.google.com/file/d/141MiuL_77koY8tiu1X7mI6MZm1xa0LFN/view?usp=drivesdk" TargetMode="External"/><Relationship Id="rId1156" Type="http://schemas.openxmlformats.org/officeDocument/2006/relationships/hyperlink" Target="https://drive.google.com/file/d/1N4_JAnMNNA3G6oNHCEtGklpFdBxvOenU/view?usp=drivesdk" TargetMode="External"/><Relationship Id="rId2487" Type="http://schemas.openxmlformats.org/officeDocument/2006/relationships/hyperlink" Target="https://drive.google.com/file/d/1JBUlqHOxaqh9O_xETSCvFyzsO7jaCV1Q/view?usp=drivesdk" TargetMode="External"/><Relationship Id="rId1157" Type="http://schemas.openxmlformats.org/officeDocument/2006/relationships/hyperlink" Target="https://drive.google.com/file/d/1LWES7yT4J_xnVTmKUY4LdClEjpnTbzmd/view?usp=drivesdk" TargetMode="External"/><Relationship Id="rId2488" Type="http://schemas.openxmlformats.org/officeDocument/2006/relationships/hyperlink" Target="https://drive.google.com/file/d/19PYpCS8zqqIo7DeT3WrsWAQ4nWg-zcp2/view?usp=drivesdk" TargetMode="External"/><Relationship Id="rId1147" Type="http://schemas.openxmlformats.org/officeDocument/2006/relationships/hyperlink" Target="https://drive.google.com/file/d/16BKyC0gRC8gVvrdsGiM0_gAoxirZT5iP/view?usp=drivesdk" TargetMode="External"/><Relationship Id="rId2478" Type="http://schemas.openxmlformats.org/officeDocument/2006/relationships/hyperlink" Target="https://drive.google.com/file/d/12A7E4JtHpTkZaUAtmsWnTlUik3IzmCjl/view?usp=drivesdk" TargetMode="External"/><Relationship Id="rId1148" Type="http://schemas.openxmlformats.org/officeDocument/2006/relationships/hyperlink" Target="https://drive.google.com/file/d/1hTKSwnI_8Kh6AT0jUSm5AIEPYP5TaV1j/view?usp=drivesdk" TargetMode="External"/><Relationship Id="rId2479" Type="http://schemas.openxmlformats.org/officeDocument/2006/relationships/hyperlink" Target="https://drive.google.com/file/d/1s3jh1mzYSHVYtRuFFN1YeivuIvrL_jNe/view?usp=drivesdk" TargetMode="External"/><Relationship Id="rId1149" Type="http://schemas.openxmlformats.org/officeDocument/2006/relationships/hyperlink" Target="https://drive.google.com/file/d/12Y07bl8ZdegD2Xv15e2-p8W9GDpCtnQ4/view?usp=drivesdk" TargetMode="External"/><Relationship Id="rId2470" Type="http://schemas.openxmlformats.org/officeDocument/2006/relationships/hyperlink" Target="https://drive.google.com/file/d/1oDSWzy_r2tulSDi0rGX4TZQozVQNyjk9/view?usp=drivesdk" TargetMode="External"/><Relationship Id="rId1140" Type="http://schemas.openxmlformats.org/officeDocument/2006/relationships/hyperlink" Target="https://drive.google.com/file/d/1DF1nw5I1PBFWoACM1L-glR-lp8LtHfwY/view?usp=drivesdk" TargetMode="External"/><Relationship Id="rId2471" Type="http://schemas.openxmlformats.org/officeDocument/2006/relationships/hyperlink" Target="https://drive.google.com/file/d/1i9abN036BZ9rLG-4N2UK5Dp8Qh-gh1Fs/view?usp=drivesdk" TargetMode="External"/><Relationship Id="rId1141" Type="http://schemas.openxmlformats.org/officeDocument/2006/relationships/hyperlink" Target="https://drive.google.com/file/d/1G4W_8EYs-3r9C9mRFzG-YvRYG7Mblg9I/view?usp=drivesdk" TargetMode="External"/><Relationship Id="rId2472" Type="http://schemas.openxmlformats.org/officeDocument/2006/relationships/hyperlink" Target="https://drive.google.com/file/d/1BhmCgXS6iU7NuB0431XhiEhNS0eKFnn2/view?usp=drivesdk" TargetMode="External"/><Relationship Id="rId1142" Type="http://schemas.openxmlformats.org/officeDocument/2006/relationships/hyperlink" Target="https://drive.google.com/file/d/1674nnarGRz8Lz4sVrN9eLnVWTsn4iS5f/view?usp=drivesdk" TargetMode="External"/><Relationship Id="rId2473" Type="http://schemas.openxmlformats.org/officeDocument/2006/relationships/hyperlink" Target="https://drive.google.com/file/d/17aJx93VZ3pFVIB6UXcwuWY9sSq7FdHRS/view?usp=drivesdk" TargetMode="External"/><Relationship Id="rId1143" Type="http://schemas.openxmlformats.org/officeDocument/2006/relationships/hyperlink" Target="https://drive.google.com/file/d/1NI5Ahgy4UjwAeLJXqx7GufIcZcuL-AVZ/view?usp=drivesdk" TargetMode="External"/><Relationship Id="rId2474" Type="http://schemas.openxmlformats.org/officeDocument/2006/relationships/hyperlink" Target="https://drive.google.com/file/d/1Ip8OvjcDrHmqI2NYhvhPX1Rs_sx5gEaM/view?usp=drivesdk" TargetMode="External"/><Relationship Id="rId1144" Type="http://schemas.openxmlformats.org/officeDocument/2006/relationships/hyperlink" Target="https://drive.google.com/file/d/1FKlfRvOqgUxkbz00w_da8OTfD8Cf-uBe/view?usp=drivesdk" TargetMode="External"/><Relationship Id="rId2475" Type="http://schemas.openxmlformats.org/officeDocument/2006/relationships/hyperlink" Target="https://drive.google.com/file/d/1OKq6W7RGo5SLNbZ2vSgU-Oq5AQyflllG/view?usp=drivesdk" TargetMode="External"/><Relationship Id="rId1145" Type="http://schemas.openxmlformats.org/officeDocument/2006/relationships/hyperlink" Target="https://drive.google.com/file/d/126xZG_h-A93US5jqJWdxrgUULkkjbHfU/view?usp=drivesdk" TargetMode="External"/><Relationship Id="rId2476" Type="http://schemas.openxmlformats.org/officeDocument/2006/relationships/hyperlink" Target="https://drive.google.com/file/d/1H1bhA6pRgrSGB9tAFgcmtWg3YVZcsnAd/view?usp=drivesdk" TargetMode="External"/><Relationship Id="rId1146" Type="http://schemas.openxmlformats.org/officeDocument/2006/relationships/hyperlink" Target="https://drive.google.com/file/d/11mmc6P-CNWYMnFyQVFmKmTrwkIJke-fT/view?usp=drivesdk" TargetMode="External"/><Relationship Id="rId2477" Type="http://schemas.openxmlformats.org/officeDocument/2006/relationships/hyperlink" Target="https://drive.google.com/file/d/1i8_WBC6-BrG0XtnFgFJu65L0PuQG69TV/view?usp=drivesdk" TargetMode="External"/><Relationship Id="rId3810" Type="http://schemas.openxmlformats.org/officeDocument/2006/relationships/hyperlink" Target="https://drive.google.com/file/d/1zNiaoycwS08JhoSZo_dJHzKiWBwKvqs2/view?usp=drivesdk" TargetMode="External"/><Relationship Id="rId3812" Type="http://schemas.openxmlformats.org/officeDocument/2006/relationships/hyperlink" Target="https://drive.google.com/file/d/1Pu0nBlkEDijtvuYDbYyffJQ4UhsTEfLs/view?usp=drivesdk" TargetMode="External"/><Relationship Id="rId3811" Type="http://schemas.openxmlformats.org/officeDocument/2006/relationships/hyperlink" Target="https://drive.google.com/file/d/1HlZe6ggEgHPhh6Q-GXxoepIa5dlIpEPv/view?usp=drivesdk" TargetMode="External"/><Relationship Id="rId3814" Type="http://schemas.openxmlformats.org/officeDocument/2006/relationships/hyperlink" Target="https://drive.google.com/file/d/1o6nqRWqt95VGGkvuJRpW2k96IXHgN3kc/view?usp=drivesdk" TargetMode="External"/><Relationship Id="rId3813" Type="http://schemas.openxmlformats.org/officeDocument/2006/relationships/hyperlink" Target="https://drive.google.com/file/d/1cUdLCsMzsBIuUJuHDbZjm-ClsqH8RRXk/view?usp=drivesdk" TargetMode="External"/><Relationship Id="rId3816" Type="http://schemas.openxmlformats.org/officeDocument/2006/relationships/hyperlink" Target="https://drive.google.com/file/d/1VJHAJYdP_82l-_pHTgtskhpVGRTmiHvz/view?usp=drivesdk" TargetMode="External"/><Relationship Id="rId3815" Type="http://schemas.openxmlformats.org/officeDocument/2006/relationships/hyperlink" Target="https://drive.google.com/file/d/1ighY6xFaNv10R45lhtNSP_EKTwE-A2T8/view?usp=drivesdk" TargetMode="External"/><Relationship Id="rId3818" Type="http://schemas.openxmlformats.org/officeDocument/2006/relationships/hyperlink" Target="https://drive.google.com/file/d/10FwBmclFf8ShYjHW0pMk_84-69V36D_h/view?usp=drivesdk" TargetMode="External"/><Relationship Id="rId3817" Type="http://schemas.openxmlformats.org/officeDocument/2006/relationships/hyperlink" Target="https://drive.google.com/file/d/1EgM0pc0pYsBEkVz_bOeAYTbTAc85Fc-T/view?usp=drivesdk" TargetMode="External"/><Relationship Id="rId3819" Type="http://schemas.openxmlformats.org/officeDocument/2006/relationships/hyperlink" Target="https://drive.google.com/file/d/18DnjQAdiejkaVfrWuHGcMZUn-WCvtUld/view?usp=drivesdk" TargetMode="External"/><Relationship Id="rId3801" Type="http://schemas.openxmlformats.org/officeDocument/2006/relationships/hyperlink" Target="https://drive.google.com/file/d/1jUHn4rO322e_0bIMi9mXDsm4F_HTFwMa/view?usp=drivesdk" TargetMode="External"/><Relationship Id="rId3800" Type="http://schemas.openxmlformats.org/officeDocument/2006/relationships/hyperlink" Target="https://drive.google.com/file/d/1tTzW-FoGD4oGvy7KcNQ_SFyGpLn7Bo6Y/view?usp=drivesdk" TargetMode="External"/><Relationship Id="rId3803" Type="http://schemas.openxmlformats.org/officeDocument/2006/relationships/hyperlink" Target="https://drive.google.com/file/d/1m3jiYuzkB7fzyZnrQFUkbVesePJnhP2u/view?usp=drivesdk" TargetMode="External"/><Relationship Id="rId3802" Type="http://schemas.openxmlformats.org/officeDocument/2006/relationships/hyperlink" Target="https://drive.google.com/file/d/1W9ggUUb7KmFAsZ__EqCvVTeta4V-8jPK/view?usp=drivesdk" TargetMode="External"/><Relationship Id="rId3805" Type="http://schemas.openxmlformats.org/officeDocument/2006/relationships/hyperlink" Target="https://drive.google.com/file/d/1VI9sH0y641xKaM6hBTkSRdg8QaKSz4Uv/view?usp=drivesdk" TargetMode="External"/><Relationship Id="rId3804" Type="http://schemas.openxmlformats.org/officeDocument/2006/relationships/hyperlink" Target="https://drive.google.com/file/d/1ySmA49v5DkTW4YiPrxQcWs6fybkUPxpq/view?usp=drivesdk" TargetMode="External"/><Relationship Id="rId3807" Type="http://schemas.openxmlformats.org/officeDocument/2006/relationships/hyperlink" Target="https://drive.google.com/file/d/1xVYOQQ1VVMT5M3atc041B7WvvCcGFhED/view?usp=drivesdk" TargetMode="External"/><Relationship Id="rId3806" Type="http://schemas.openxmlformats.org/officeDocument/2006/relationships/hyperlink" Target="https://drive.google.com/file/d/1579ou2R16DEIOfFC7rXUpZPODlX9_C0P/view?usp=drivesdk" TargetMode="External"/><Relationship Id="rId3809" Type="http://schemas.openxmlformats.org/officeDocument/2006/relationships/hyperlink" Target="https://drive.google.com/file/d/1SXpgMWDwnm0IVzu6t_SEMA5AiXtgMb2z/view?usp=drivesdk" TargetMode="External"/><Relationship Id="rId3808" Type="http://schemas.openxmlformats.org/officeDocument/2006/relationships/hyperlink" Target="https://drive.google.com/file/d/181BajdxLmcCLGy9mQ7Xx1gLVEFfGK1nw/view?usp=drivesdk" TargetMode="External"/><Relationship Id="rId1213" Type="http://schemas.openxmlformats.org/officeDocument/2006/relationships/hyperlink" Target="https://drive.google.com/file/d/1L_g70rRpH1J6YpIkcl-mISomoHT1Uv43/view?usp=drivesdk" TargetMode="External"/><Relationship Id="rId2544" Type="http://schemas.openxmlformats.org/officeDocument/2006/relationships/hyperlink" Target="https://drive.google.com/file/d/1vTnzDhj6LGBTpKAvv5gLQCi0zyH6QZTq/view?usp=drivesdk" TargetMode="External"/><Relationship Id="rId3876" Type="http://schemas.openxmlformats.org/officeDocument/2006/relationships/hyperlink" Target="https://drive.google.com/file/d/16T8b1BDFW-OK3bZ30UGOIihS2OYTPDNU/view?usp=drivesdk" TargetMode="External"/><Relationship Id="rId1214" Type="http://schemas.openxmlformats.org/officeDocument/2006/relationships/hyperlink" Target="https://drive.google.com/file/d/1pPVNGdlMBox6npIPdVoFTCbXe_WO7ki4/view?usp=drivesdk" TargetMode="External"/><Relationship Id="rId2545" Type="http://schemas.openxmlformats.org/officeDocument/2006/relationships/hyperlink" Target="https://drive.google.com/file/d/1irp4oIfq2eTx0lc67g1sKu6t-lDu3XSU/view?usp=drivesdk" TargetMode="External"/><Relationship Id="rId3875" Type="http://schemas.openxmlformats.org/officeDocument/2006/relationships/hyperlink" Target="https://drive.google.com/file/d/1JbVRDrb7GtuAXpZQNJqhcp-VH3zIM33a/view?usp=drivesdk" TargetMode="External"/><Relationship Id="rId1215" Type="http://schemas.openxmlformats.org/officeDocument/2006/relationships/hyperlink" Target="https://drive.google.com/file/d/12_oWnverkZUY2nfr1GMQuCCCBgSfA76x/view?usp=drivesdk" TargetMode="External"/><Relationship Id="rId2546" Type="http://schemas.openxmlformats.org/officeDocument/2006/relationships/hyperlink" Target="https://drive.google.com/file/d/1wAYCkj1zKL1dLuHYOdUNAPvN4VkExexF/view?usp=drivesdk" TargetMode="External"/><Relationship Id="rId3878" Type="http://schemas.openxmlformats.org/officeDocument/2006/relationships/hyperlink" Target="https://drive.google.com/file/d/1U5WIR2J1-Rypos-gXptQ9VBLDHqAzqzC/view?usp=drivesdk" TargetMode="External"/><Relationship Id="rId1216" Type="http://schemas.openxmlformats.org/officeDocument/2006/relationships/hyperlink" Target="https://drive.google.com/file/d/1eCjZwTt409y35Dam6AXD1DTlHKBUuvsW/view?usp=drivesdk" TargetMode="External"/><Relationship Id="rId2547" Type="http://schemas.openxmlformats.org/officeDocument/2006/relationships/hyperlink" Target="https://drive.google.com/file/d/1KSJO3D63sD6a4D0O2YyiBU5aPAoh4f98/view?usp=drivesdk" TargetMode="External"/><Relationship Id="rId3877" Type="http://schemas.openxmlformats.org/officeDocument/2006/relationships/hyperlink" Target="https://drive.google.com/file/d/1nno6wltujV6WCc45t2LgGKDUpT8qQy6P/view?usp=drivesdk" TargetMode="External"/><Relationship Id="rId1217" Type="http://schemas.openxmlformats.org/officeDocument/2006/relationships/hyperlink" Target="https://drive.google.com/file/d/1RZ50yTfKaXvDaipcSW2eGdvJIKfmGTQd/view?usp=drivesdk" TargetMode="External"/><Relationship Id="rId2548" Type="http://schemas.openxmlformats.org/officeDocument/2006/relationships/hyperlink" Target="https://drive.google.com/file/d/1ULu6B9CtRigUdid8hhifHuTG9kPmGNUN/view?usp=drivesdk" TargetMode="External"/><Relationship Id="rId1218" Type="http://schemas.openxmlformats.org/officeDocument/2006/relationships/hyperlink" Target="https://drive.google.com/file/d/1m3YJOB577JUL_QNDVQLLycB-VcTN-FOW/view?usp=drivesdk" TargetMode="External"/><Relationship Id="rId2549" Type="http://schemas.openxmlformats.org/officeDocument/2006/relationships/hyperlink" Target="https://drive.google.com/file/d/1gPR6A84pveBa4Gx5k1hitr0rCY4VR6Sb/view?usp=drivesdk" TargetMode="External"/><Relationship Id="rId3879" Type="http://schemas.openxmlformats.org/officeDocument/2006/relationships/hyperlink" Target="https://drive.google.com/file/d/1ZI5iEOtaL2cGoyR1ZW1T1rlgtihrGL7b/view?usp=drivesdk" TargetMode="External"/><Relationship Id="rId1219" Type="http://schemas.openxmlformats.org/officeDocument/2006/relationships/hyperlink" Target="https://drive.google.com/file/d/1F2Qmhunp890TnlkNp7qhCo0fmokn91Nd/view?usp=drivesdk" TargetMode="External"/><Relationship Id="rId3870" Type="http://schemas.openxmlformats.org/officeDocument/2006/relationships/hyperlink" Target="https://drive.google.com/file/d/1krTjnfDjZ6wEcHJZOaZvBbgcPWIZOyhI/view?usp=drivesdk" TargetMode="External"/><Relationship Id="rId2540" Type="http://schemas.openxmlformats.org/officeDocument/2006/relationships/hyperlink" Target="https://drive.google.com/file/d/1kKT4Ms5bvMbK4sP6RyULxsaWlwXb6JOE/view?usp=drivesdk" TargetMode="External"/><Relationship Id="rId3872" Type="http://schemas.openxmlformats.org/officeDocument/2006/relationships/hyperlink" Target="https://drive.google.com/file/d/1RIYD8oluKcrSLnzI4NHokuR3ocNzdg-P/view?usp=drivesdk" TargetMode="External"/><Relationship Id="rId1210" Type="http://schemas.openxmlformats.org/officeDocument/2006/relationships/hyperlink" Target="https://drive.google.com/file/d/1t0LNu6NQbfJAxiarhnBCTIdCMoslUh5a/view?usp=drivesdk" TargetMode="External"/><Relationship Id="rId2541" Type="http://schemas.openxmlformats.org/officeDocument/2006/relationships/hyperlink" Target="https://drive.google.com/file/d/1kb__GRcM4KkXkc0dHUet4GkH4SigadfB/view?usp=drivesdk" TargetMode="External"/><Relationship Id="rId3871" Type="http://schemas.openxmlformats.org/officeDocument/2006/relationships/hyperlink" Target="https://drive.google.com/file/d/1AqDC8TZnGVqXe3iyykR998Vsu_JUCsCA/view?usp=drivesdk" TargetMode="External"/><Relationship Id="rId1211" Type="http://schemas.openxmlformats.org/officeDocument/2006/relationships/hyperlink" Target="https://drive.google.com/file/d/14bJhd7fhvwaNwxvVSRxviHIGVVadq1xd/view?usp=drivesdk" TargetMode="External"/><Relationship Id="rId2542" Type="http://schemas.openxmlformats.org/officeDocument/2006/relationships/hyperlink" Target="https://drive.google.com/file/d/1-SyaxFnqKRu20IpnF5zyS96pfz5QlAbr/view?usp=drivesdk" TargetMode="External"/><Relationship Id="rId3874" Type="http://schemas.openxmlformats.org/officeDocument/2006/relationships/hyperlink" Target="https://drive.google.com/file/d/1JJBacU-LVrsoXx6g_FZPqcvGwB9_6FZP/view?usp=drivesdk" TargetMode="External"/><Relationship Id="rId1212" Type="http://schemas.openxmlformats.org/officeDocument/2006/relationships/hyperlink" Target="https://drive.google.com/file/d/1qLnshUvm6RpXi_3_jUAHI1T3HKUBKeKI/view?usp=drivesdk" TargetMode="External"/><Relationship Id="rId2543" Type="http://schemas.openxmlformats.org/officeDocument/2006/relationships/hyperlink" Target="https://drive.google.com/file/d/16KL_NHuT819Sz1xwkvRCHNg-cyoArvje/view?usp=drivesdk" TargetMode="External"/><Relationship Id="rId3873" Type="http://schemas.openxmlformats.org/officeDocument/2006/relationships/hyperlink" Target="https://drive.google.com/file/d/1-24y7wOUaWQpWss8npwQ5OnykM6NNZ_a/view?usp=drivesdk" TargetMode="External"/><Relationship Id="rId1202" Type="http://schemas.openxmlformats.org/officeDocument/2006/relationships/hyperlink" Target="https://drive.google.com/file/d/14sUTvjMHknMgR59flLxUCz2TzwHF1tN8/view?usp=drivesdk" TargetMode="External"/><Relationship Id="rId2533" Type="http://schemas.openxmlformats.org/officeDocument/2006/relationships/hyperlink" Target="https://drive.google.com/file/d/1UIvRip8sb8DnJ5wmho2fyTZ7Ep3doXkM/view?usp=drivesdk" TargetMode="External"/><Relationship Id="rId3865" Type="http://schemas.openxmlformats.org/officeDocument/2006/relationships/hyperlink" Target="https://drive.google.com/file/d/1O3O50DPzzCKtYjHg6FPuiskpzTGZNND9/view?usp=drivesdk" TargetMode="External"/><Relationship Id="rId1203" Type="http://schemas.openxmlformats.org/officeDocument/2006/relationships/hyperlink" Target="https://drive.google.com/file/d/1ipSjkIinjRpxX5GAfU0HehhrTLYrbW98/view?usp=drivesdk" TargetMode="External"/><Relationship Id="rId2534" Type="http://schemas.openxmlformats.org/officeDocument/2006/relationships/hyperlink" Target="https://drive.google.com/file/d/1Hv1SfYyfdV-_qM5VqZYx0M4XLUI7d-mI/view?usp=drivesdk" TargetMode="External"/><Relationship Id="rId3864" Type="http://schemas.openxmlformats.org/officeDocument/2006/relationships/hyperlink" Target="https://drive.google.com/file/d/1Wp_UW2fq2x6z02axFLlvcpp7_0YRT7Gm/view?usp=drivesdk" TargetMode="External"/><Relationship Id="rId1204" Type="http://schemas.openxmlformats.org/officeDocument/2006/relationships/hyperlink" Target="https://drive.google.com/file/d/1_WjsH0ytk1H96L_8PuECfOWpiOCi8f4i/view?usp=drivesdk" TargetMode="External"/><Relationship Id="rId2535" Type="http://schemas.openxmlformats.org/officeDocument/2006/relationships/hyperlink" Target="https://drive.google.com/file/d/1WjCzyykqPyQ-khmTEmeJsUV-HoNaxl3u/view?usp=drivesdk" TargetMode="External"/><Relationship Id="rId3867" Type="http://schemas.openxmlformats.org/officeDocument/2006/relationships/hyperlink" Target="https://drive.google.com/file/d/1W4BijnAnpl7cGWkQ5ISZTRCTiGw-pUGJ/view?usp=drivesdk" TargetMode="External"/><Relationship Id="rId1205" Type="http://schemas.openxmlformats.org/officeDocument/2006/relationships/hyperlink" Target="https://drive.google.com/file/d/1QtiWgJaTkhx0-gClj9J3wbN9ZLaA_lrP/view?usp=drivesdk" TargetMode="External"/><Relationship Id="rId2536" Type="http://schemas.openxmlformats.org/officeDocument/2006/relationships/hyperlink" Target="https://drive.google.com/file/d/1nnVU3kigTNlCUDjzyCx9KWNiSEkU2Fre/view?usp=drivesdk" TargetMode="External"/><Relationship Id="rId3866" Type="http://schemas.openxmlformats.org/officeDocument/2006/relationships/hyperlink" Target="https://drive.google.com/file/d/1mRcOXtCnjCvumRDv3ZCWPZdNsTDwiBNt/view?usp=drivesdk" TargetMode="External"/><Relationship Id="rId1206" Type="http://schemas.openxmlformats.org/officeDocument/2006/relationships/hyperlink" Target="https://drive.google.com/file/d/1lYZuFUGCPziD1m2oAjDQpyFUWX9-krsE/view?usp=drivesdk" TargetMode="External"/><Relationship Id="rId2537" Type="http://schemas.openxmlformats.org/officeDocument/2006/relationships/hyperlink" Target="https://drive.google.com/file/d/1gns5b5fyZboZ7mLgEOD7zhYAranGY-9A/view?usp=drivesdk" TargetMode="External"/><Relationship Id="rId3869" Type="http://schemas.openxmlformats.org/officeDocument/2006/relationships/hyperlink" Target="https://drive.google.com/file/d/11SKngUIvG_lmZ9as5XE7Z09YDXRrgytN/view?usp=drivesdk" TargetMode="External"/><Relationship Id="rId1207" Type="http://schemas.openxmlformats.org/officeDocument/2006/relationships/hyperlink" Target="https://drive.google.com/file/d/1qSLLwwfAFx5BqWqf4T_RnmkR5U-_L2Av/view?usp=drivesdk" TargetMode="External"/><Relationship Id="rId2538" Type="http://schemas.openxmlformats.org/officeDocument/2006/relationships/hyperlink" Target="https://drive.google.com/file/d/1xf1j0yHGG0rEPJ1DB3WancpVKmOeJ1z1/view?usp=drivesdk" TargetMode="External"/><Relationship Id="rId3868" Type="http://schemas.openxmlformats.org/officeDocument/2006/relationships/hyperlink" Target="https://drive.google.com/file/d/1wiDpbQco1OVbYSLvbuZrUEknJiIIgUfH/view?usp=drivesdk" TargetMode="External"/><Relationship Id="rId1208" Type="http://schemas.openxmlformats.org/officeDocument/2006/relationships/hyperlink" Target="https://drive.google.com/file/d/1ewi6Wp2Qs29Qbhkpdt2cVTl1CD2mfusw/view?usp=drivesdk" TargetMode="External"/><Relationship Id="rId2539" Type="http://schemas.openxmlformats.org/officeDocument/2006/relationships/hyperlink" Target="https://drive.google.com/file/d/1VD6tBdIKuBYAf4IevSTxEv_2rwfJ7Sct/view?usp=drivesdk" TargetMode="External"/><Relationship Id="rId1209" Type="http://schemas.openxmlformats.org/officeDocument/2006/relationships/hyperlink" Target="https://drive.google.com/file/d/1F2kQCpY6srS2xrZ4Y5rAhkJiHMhaUIEm/view?usp=drivesdk" TargetMode="External"/><Relationship Id="rId3861" Type="http://schemas.openxmlformats.org/officeDocument/2006/relationships/hyperlink" Target="https://drive.google.com/file/d/1jZCkc6BR2BCNww73fEMxPkV2aUz_ZiKO/view?usp=drivesdk" TargetMode="External"/><Relationship Id="rId2530" Type="http://schemas.openxmlformats.org/officeDocument/2006/relationships/hyperlink" Target="https://drive.google.com/file/d/1Xq5tmpbD0Zjvv7qnEdn4xsrT_hcavzkt/view?usp=drivesdk" TargetMode="External"/><Relationship Id="rId3860" Type="http://schemas.openxmlformats.org/officeDocument/2006/relationships/hyperlink" Target="https://drive.google.com/file/d/15KO3IFGYdoc-EdqtTwtEr021DHvQPUyj/view?usp=drivesdk" TargetMode="External"/><Relationship Id="rId1200" Type="http://schemas.openxmlformats.org/officeDocument/2006/relationships/hyperlink" Target="https://drive.google.com/file/d/1kbo9uFEyC3fK10pAfzqPDEyZ03vlrwey/view?usp=drivesdk" TargetMode="External"/><Relationship Id="rId2531" Type="http://schemas.openxmlformats.org/officeDocument/2006/relationships/hyperlink" Target="https://drive.google.com/file/d/1WSDF5YzqLfpx_peJTBaFSa6Q6lMmA1gM/view?usp=drivesdk" TargetMode="External"/><Relationship Id="rId3863" Type="http://schemas.openxmlformats.org/officeDocument/2006/relationships/hyperlink" Target="https://drive.google.com/file/d/1V-OtIob5zmLNzM2SiTNO1kpsHebKyA9f/view?usp=drivesdk" TargetMode="External"/><Relationship Id="rId1201" Type="http://schemas.openxmlformats.org/officeDocument/2006/relationships/hyperlink" Target="https://drive.google.com/file/d/1gXpXFAWKJCLy1OdoV-yhSx5XZZwlDu2q/view?usp=drivesdk" TargetMode="External"/><Relationship Id="rId2532" Type="http://schemas.openxmlformats.org/officeDocument/2006/relationships/hyperlink" Target="https://drive.google.com/file/d/10lebPVbGSFeVnx6sYyFEGWXsCpA7oTfE/view?usp=drivesdk" TargetMode="External"/><Relationship Id="rId3862" Type="http://schemas.openxmlformats.org/officeDocument/2006/relationships/hyperlink" Target="https://drive.google.com/file/d/1YPl9OsTqIp14lAoQ2H6v7w2wVkfGLQeF/view?usp=drivesdk" TargetMode="External"/><Relationship Id="rId1235" Type="http://schemas.openxmlformats.org/officeDocument/2006/relationships/hyperlink" Target="https://drive.google.com/file/d/16vaN9X0Au5eImBMdYuAX77rX8GUYBaXF/view?usp=drivesdk" TargetMode="External"/><Relationship Id="rId2566" Type="http://schemas.openxmlformats.org/officeDocument/2006/relationships/hyperlink" Target="https://drive.google.com/file/d/1Bhp7f2dDvEw2v1LygTvBrsD3VbzcSsf-/view?usp=drivesdk" TargetMode="External"/><Relationship Id="rId3898" Type="http://schemas.openxmlformats.org/officeDocument/2006/relationships/hyperlink" Target="https://drive.google.com/file/d/1cBwjg0kWAVYcFxVgL-y7TpDRA4JV6i4M/view?usp=drivesdk" TargetMode="External"/><Relationship Id="rId1236" Type="http://schemas.openxmlformats.org/officeDocument/2006/relationships/hyperlink" Target="https://drive.google.com/file/d/1W1_nrGCzXIqhuZvnjU9UUminiPAUHNt7/view?usp=drivesdk" TargetMode="External"/><Relationship Id="rId2567" Type="http://schemas.openxmlformats.org/officeDocument/2006/relationships/hyperlink" Target="https://drive.google.com/file/d/1fJ02bN-tipDZF9FMPzbHwkACy25mGh4h/view?usp=drivesdk" TargetMode="External"/><Relationship Id="rId3897" Type="http://schemas.openxmlformats.org/officeDocument/2006/relationships/hyperlink" Target="https://drive.google.com/file/d/12maLUwnbL_Zf_1vRBlzsQeoSMmGNDXCy/view?usp=drivesdk" TargetMode="External"/><Relationship Id="rId1237" Type="http://schemas.openxmlformats.org/officeDocument/2006/relationships/hyperlink" Target="https://drive.google.com/file/d/1ecVREBtfQcMsXPXJ22hZVL25YU8fUZl4/view?usp=drivesdk" TargetMode="External"/><Relationship Id="rId2568" Type="http://schemas.openxmlformats.org/officeDocument/2006/relationships/hyperlink" Target="https://drive.google.com/file/d/13T9_j5bBDPt7g27bIFrn_kUTdNXiTSk3/view?usp=drivesdk" TargetMode="External"/><Relationship Id="rId1238" Type="http://schemas.openxmlformats.org/officeDocument/2006/relationships/hyperlink" Target="https://drive.google.com/file/d/1na22c6JSdqFQY8rejp4J0rnwoguhZ0pM/view?usp=drivesdk" TargetMode="External"/><Relationship Id="rId2569" Type="http://schemas.openxmlformats.org/officeDocument/2006/relationships/hyperlink" Target="https://drive.google.com/file/d/13WSwtbYv5sgUruHNrqECQpCeI66YkE0q/view?usp=drivesdk" TargetMode="External"/><Relationship Id="rId3899" Type="http://schemas.openxmlformats.org/officeDocument/2006/relationships/hyperlink" Target="https://drive.google.com/file/d/1K4FQGWyvgtEEfjNccm-PEwjhAYRvkrfW/view?usp=drivesdk" TargetMode="External"/><Relationship Id="rId1239" Type="http://schemas.openxmlformats.org/officeDocument/2006/relationships/hyperlink" Target="https://drive.google.com/file/d/1l5BZVDfRoQgSJAnxy1qEXp9kJYs2qHt1/view?usp=drivesdk" TargetMode="External"/><Relationship Id="rId3890" Type="http://schemas.openxmlformats.org/officeDocument/2006/relationships/hyperlink" Target="https://drive.google.com/file/d/1N_j_6zYT6H-VNNXLjFNq05kgmITwxcrV/view?usp=drivesdk" TargetMode="External"/><Relationship Id="rId2560" Type="http://schemas.openxmlformats.org/officeDocument/2006/relationships/hyperlink" Target="https://drive.google.com/file/d/1degR3cHZDpd8ngEYxwcKCsDBJHJfr5E1/view?usp=drivesdk" TargetMode="External"/><Relationship Id="rId3892" Type="http://schemas.openxmlformats.org/officeDocument/2006/relationships/hyperlink" Target="https://drive.google.com/file/d/1s2hlIKQi2brIezk0J8ySPm60SLrDN-Ju/view?usp=drivesdk" TargetMode="External"/><Relationship Id="rId1230" Type="http://schemas.openxmlformats.org/officeDocument/2006/relationships/hyperlink" Target="https://drive.google.com/file/d/1piW0UgYn72YRf3xmKmi2frByFQPi7sxG/view?usp=drivesdk" TargetMode="External"/><Relationship Id="rId2561" Type="http://schemas.openxmlformats.org/officeDocument/2006/relationships/hyperlink" Target="https://drive.google.com/file/d/1a1csyMTwnWrHAJQ_KmNMZDJynKiCxhRG/view?usp=drivesdk" TargetMode="External"/><Relationship Id="rId3891" Type="http://schemas.openxmlformats.org/officeDocument/2006/relationships/hyperlink" Target="https://drive.google.com/file/d/1Ncd-N13pqNlGxFoymVHdJ-KjUXTGNAYX/view?usp=drivesdk" TargetMode="External"/><Relationship Id="rId1231" Type="http://schemas.openxmlformats.org/officeDocument/2006/relationships/hyperlink" Target="https://drive.google.com/file/d/1sw7BFuP-zYJwAqNPb0l1PnoNgw8SGJkf/view?usp=drivesdk" TargetMode="External"/><Relationship Id="rId2562" Type="http://schemas.openxmlformats.org/officeDocument/2006/relationships/hyperlink" Target="https://drive.google.com/file/d/11fCkFJEtVXzB_EeDnzc0TyzPVfVUoePY/view?usp=drivesdk" TargetMode="External"/><Relationship Id="rId3894" Type="http://schemas.openxmlformats.org/officeDocument/2006/relationships/hyperlink" Target="https://drive.google.com/file/d/1DiZZX7AEzsK2iKUpzXkvMUJUMN0qMkqI/view?usp=drivesdk" TargetMode="External"/><Relationship Id="rId1232" Type="http://schemas.openxmlformats.org/officeDocument/2006/relationships/hyperlink" Target="https://drive.google.com/file/d/1K103-5PjBXOCnAOLzXpab4ONeYcjFqbI/view?usp=drivesdk" TargetMode="External"/><Relationship Id="rId2563" Type="http://schemas.openxmlformats.org/officeDocument/2006/relationships/hyperlink" Target="https://drive.google.com/file/d/1RIpLFLD-MVOtBNpVNEhHWGszgmzW9KpG/view?usp=drivesdk" TargetMode="External"/><Relationship Id="rId3893" Type="http://schemas.openxmlformats.org/officeDocument/2006/relationships/hyperlink" Target="https://drive.google.com/file/d/1lOL5-AGkmLJJJ5GUQaiFN0UMDjsQiuMZ/view?usp=drivesdk" TargetMode="External"/><Relationship Id="rId1233" Type="http://schemas.openxmlformats.org/officeDocument/2006/relationships/hyperlink" Target="https://drive.google.com/file/d/1MAgMv6hxeE0WgpCxUlqDGyQJ09jtUmQx/view?usp=drivesdk" TargetMode="External"/><Relationship Id="rId2564" Type="http://schemas.openxmlformats.org/officeDocument/2006/relationships/hyperlink" Target="https://drive.google.com/file/d/1j7-BWWU-nBXJ6YkaI98vbWC3myrjujys/view?usp=drivesdk" TargetMode="External"/><Relationship Id="rId3896" Type="http://schemas.openxmlformats.org/officeDocument/2006/relationships/hyperlink" Target="https://drive.google.com/file/d/17Sum6ODFIwXa6I4nVonZBrEplfJmkzr3/view?usp=drivesdk" TargetMode="External"/><Relationship Id="rId1234" Type="http://schemas.openxmlformats.org/officeDocument/2006/relationships/hyperlink" Target="https://drive.google.com/file/d/1h-ttQ4HuDEEoYg_yWLAadmXXG4KBwNQt/view?usp=drivesdk" TargetMode="External"/><Relationship Id="rId2565" Type="http://schemas.openxmlformats.org/officeDocument/2006/relationships/hyperlink" Target="https://drive.google.com/file/d/1a0uPatNQZTXSxDctyEyzLXn_Ojg-BlNV/view?usp=drivesdk" TargetMode="External"/><Relationship Id="rId3895" Type="http://schemas.openxmlformats.org/officeDocument/2006/relationships/hyperlink" Target="https://drive.google.com/file/d/1T-gX2gF3fsVy9M6SANU6X2frMKIxEVeT/view?usp=drivesdk" TargetMode="External"/><Relationship Id="rId1224" Type="http://schemas.openxmlformats.org/officeDocument/2006/relationships/hyperlink" Target="https://drive.google.com/file/d/1X82UAVCgg0gCLxXuyEpbD2RKz32K4vlZ/view?usp=drivesdk" TargetMode="External"/><Relationship Id="rId2555" Type="http://schemas.openxmlformats.org/officeDocument/2006/relationships/hyperlink" Target="https://drive.google.com/file/d/1DY43vP-BxbwPJo8D9cr9Ev6L1pwEtq1i/view?usp=drivesdk" TargetMode="External"/><Relationship Id="rId3887" Type="http://schemas.openxmlformats.org/officeDocument/2006/relationships/hyperlink" Target="https://drive.google.com/file/d/1Oee7dpGfY0aRW4owBEgYK95465bHZ1Dl/view?usp=drivesdk" TargetMode="External"/><Relationship Id="rId1225" Type="http://schemas.openxmlformats.org/officeDocument/2006/relationships/hyperlink" Target="https://drive.google.com/file/d/1GqL4qKw9UAaVsz0OW7r6v2BVd9kOfGbK/view?usp=drivesdk" TargetMode="External"/><Relationship Id="rId2556" Type="http://schemas.openxmlformats.org/officeDocument/2006/relationships/hyperlink" Target="https://drive.google.com/file/d/1YeXlRdOBwm2NfOXBgmmbUW83UhamvRqZ/view?usp=drivesdk" TargetMode="External"/><Relationship Id="rId3886" Type="http://schemas.openxmlformats.org/officeDocument/2006/relationships/hyperlink" Target="https://drive.google.com/file/d/1q6PhMLB4dPNAC896q8FwgcFeLm4D_Dpz/view?usp=drivesdk" TargetMode="External"/><Relationship Id="rId1226" Type="http://schemas.openxmlformats.org/officeDocument/2006/relationships/hyperlink" Target="https://drive.google.com/file/d/1SqXQ4rmUsWdQS7HdxC29A4BIp7ptTXCc/view?usp=drivesdk" TargetMode="External"/><Relationship Id="rId2557" Type="http://schemas.openxmlformats.org/officeDocument/2006/relationships/hyperlink" Target="https://drive.google.com/file/d/1tVotXpT7uQgJyOIettGEi-NilSYmCPw7/view?usp=drivesdk" TargetMode="External"/><Relationship Id="rId3889" Type="http://schemas.openxmlformats.org/officeDocument/2006/relationships/hyperlink" Target="https://drive.google.com/file/d/1H4FNXYQX1PDkdjlTFS9Rc-wkxH7IIWPO/view?usp=drivesdk" TargetMode="External"/><Relationship Id="rId1227" Type="http://schemas.openxmlformats.org/officeDocument/2006/relationships/hyperlink" Target="https://drive.google.com/file/d/1p9huPUEnxjksI0lf3NWPZdcBKUrrVU8h/view?usp=drivesdk" TargetMode="External"/><Relationship Id="rId2558" Type="http://schemas.openxmlformats.org/officeDocument/2006/relationships/hyperlink" Target="https://drive.google.com/file/d/1m3CvtX6OZ2OPW7RAmY2H2lIifr8v2Y-_/view?usp=drivesdk" TargetMode="External"/><Relationship Id="rId3888" Type="http://schemas.openxmlformats.org/officeDocument/2006/relationships/hyperlink" Target="https://drive.google.com/file/d/1nC-81TAetsEspUwRGCnqdL_CZyoj0FOt/view?usp=drivesdk" TargetMode="External"/><Relationship Id="rId1228" Type="http://schemas.openxmlformats.org/officeDocument/2006/relationships/hyperlink" Target="https://drive.google.com/file/d/1BUBTa2hVs85wsWPqTcoZ6suUKVE92gmq/view?usp=drivesdk" TargetMode="External"/><Relationship Id="rId2559" Type="http://schemas.openxmlformats.org/officeDocument/2006/relationships/hyperlink" Target="https://drive.google.com/file/d/1hDw41mUiHEOya0gJYNwTvtixYu2bcoiq/view?usp=drivesdk" TargetMode="External"/><Relationship Id="rId1229" Type="http://schemas.openxmlformats.org/officeDocument/2006/relationships/hyperlink" Target="https://drive.google.com/file/d/1TolZQZbMEG3d_Vt_58k_k8D4whYD4v01/view?usp=drivesdk" TargetMode="External"/><Relationship Id="rId3881" Type="http://schemas.openxmlformats.org/officeDocument/2006/relationships/hyperlink" Target="https://drive.google.com/file/d/1whNcV51DJ2zS1GLIuJL1g64uc0HQapsN/view?usp=drivesdk" TargetMode="External"/><Relationship Id="rId2550" Type="http://schemas.openxmlformats.org/officeDocument/2006/relationships/hyperlink" Target="https://drive.google.com/file/d/1PH1H2tqEeVYl8gXDoFMPeBJmeIeNdaZx/view?usp=drivesdk" TargetMode="External"/><Relationship Id="rId3880" Type="http://schemas.openxmlformats.org/officeDocument/2006/relationships/hyperlink" Target="https://drive.google.com/file/d/1A4kOLOC1lLkE-ibmqOQQW88Pkxv54yzr/view?usp=drivesdk" TargetMode="External"/><Relationship Id="rId1220" Type="http://schemas.openxmlformats.org/officeDocument/2006/relationships/hyperlink" Target="https://drive.google.com/file/d/1gPrS89_YNLo_pJ1wgxGV8HoErGISypSj/view?usp=drivesdk" TargetMode="External"/><Relationship Id="rId2551" Type="http://schemas.openxmlformats.org/officeDocument/2006/relationships/hyperlink" Target="https://drive.google.com/file/d/1kj6k713F1nGWK8JqHobMbcq2CrERARFd/view?usp=drivesdk" TargetMode="External"/><Relationship Id="rId3883" Type="http://schemas.openxmlformats.org/officeDocument/2006/relationships/hyperlink" Target="https://drive.google.com/file/d/1K79Liu_0lKeVW-deh4XAS7AgS8ulDjkq/view?usp=drivesdk" TargetMode="External"/><Relationship Id="rId1221" Type="http://schemas.openxmlformats.org/officeDocument/2006/relationships/hyperlink" Target="https://drive.google.com/file/d/1qV_ervw9CAJbQCJM6gQU6osY5CelJra3/view?usp=drivesdk" TargetMode="External"/><Relationship Id="rId2552" Type="http://schemas.openxmlformats.org/officeDocument/2006/relationships/hyperlink" Target="https://drive.google.com/file/d/19K0aCpAPDdNa1UESG8H0Pzqf9XQkxoer/view?usp=drivesdk" TargetMode="External"/><Relationship Id="rId3882" Type="http://schemas.openxmlformats.org/officeDocument/2006/relationships/hyperlink" Target="https://drive.google.com/file/d/1JSthrtSAlsa-P8aZZNgdap9bVUczRt_M/view?usp=drivesdk" TargetMode="External"/><Relationship Id="rId1222" Type="http://schemas.openxmlformats.org/officeDocument/2006/relationships/hyperlink" Target="https://drive.google.com/file/d/1ZxnKTS1vpKJt9sYuwx2IK_AAVHgoP3AC/view?usp=drivesdk" TargetMode="External"/><Relationship Id="rId2553" Type="http://schemas.openxmlformats.org/officeDocument/2006/relationships/hyperlink" Target="https://drive.google.com/file/d/1ySJeU_S_rX0itoqGGAPlyzjKQP0sQ_Ig/view?usp=drivesdk" TargetMode="External"/><Relationship Id="rId3885" Type="http://schemas.openxmlformats.org/officeDocument/2006/relationships/hyperlink" Target="https://drive.google.com/file/d/1mEjd-jLtqHQl8wV3yAcaSKgE9dYk07QP/view?usp=drivesdk" TargetMode="External"/><Relationship Id="rId1223" Type="http://schemas.openxmlformats.org/officeDocument/2006/relationships/hyperlink" Target="https://drive.google.com/file/d/1hl67WMvR5doJb-H2XTSsnGd6eh2Gt8-V/view?usp=drivesdk" TargetMode="External"/><Relationship Id="rId2554" Type="http://schemas.openxmlformats.org/officeDocument/2006/relationships/hyperlink" Target="https://drive.google.com/file/d/14C0O8w6VIAuRrSNtD62ps0p948PXoR62/view?usp=drivesdk" TargetMode="External"/><Relationship Id="rId3884" Type="http://schemas.openxmlformats.org/officeDocument/2006/relationships/hyperlink" Target="https://drive.google.com/file/d/19MEvjWVVT4Q9lxaJV4wnG3Sh3Ag3tRr5/view?usp=drivesdk" TargetMode="External"/><Relationship Id="rId2500" Type="http://schemas.openxmlformats.org/officeDocument/2006/relationships/hyperlink" Target="https://drive.google.com/file/d/1GVyeAe4RL6MWkxiXISrce12nSFBzNzDt/view?usp=drivesdk" TargetMode="External"/><Relationship Id="rId3832" Type="http://schemas.openxmlformats.org/officeDocument/2006/relationships/hyperlink" Target="https://drive.google.com/file/d/1xYul2JxA0vjOpTLtQaIIHQ2xFQZrPsfu/view?usp=drivesdk" TargetMode="External"/><Relationship Id="rId2501" Type="http://schemas.openxmlformats.org/officeDocument/2006/relationships/hyperlink" Target="https://drive.google.com/file/d/1b_c7pfJYdq6GPs3dDDVbnMr0aqRv4czi/view?usp=drivesdk" TargetMode="External"/><Relationship Id="rId3831" Type="http://schemas.openxmlformats.org/officeDocument/2006/relationships/hyperlink" Target="https://drive.google.com/file/d/1fdNdTIOY-svvPK6oF-7A2XW1TPJDfrS7/view?usp=drivesdk" TargetMode="External"/><Relationship Id="rId2502" Type="http://schemas.openxmlformats.org/officeDocument/2006/relationships/hyperlink" Target="https://drive.google.com/file/d/10IbIEq7sSGEbUgTP2odntHJM8evs-uGn/view?usp=drivesdk" TargetMode="External"/><Relationship Id="rId3834" Type="http://schemas.openxmlformats.org/officeDocument/2006/relationships/hyperlink" Target="https://drive.google.com/file/d/1d7hTAhVS7GfnSNwrAddgtEcCqSkYqr-Y/view?usp=drivesdk" TargetMode="External"/><Relationship Id="rId2503" Type="http://schemas.openxmlformats.org/officeDocument/2006/relationships/hyperlink" Target="https://drive.google.com/file/d/1jAaUkTNLmluL6NL5foXZm5NSCEkxjLFH/view?usp=drivesdk" TargetMode="External"/><Relationship Id="rId3833" Type="http://schemas.openxmlformats.org/officeDocument/2006/relationships/hyperlink" Target="https://drive.google.com/file/d/1ZcKfoInad7fY2Esb04MAtPM7RzEqLox_/view?usp=drivesdk" TargetMode="External"/><Relationship Id="rId2504" Type="http://schemas.openxmlformats.org/officeDocument/2006/relationships/hyperlink" Target="https://drive.google.com/file/d/1b6zJtv7ZT0fm3xFWoD4ZCf71E3U1C3wu/view?usp=drivesdk" TargetMode="External"/><Relationship Id="rId3836" Type="http://schemas.openxmlformats.org/officeDocument/2006/relationships/hyperlink" Target="https://drive.google.com/file/d/1pTQHRxsq1vxCDqKoB6Ozy7sme9DPsgBf/view?usp=drivesdk" TargetMode="External"/><Relationship Id="rId2505" Type="http://schemas.openxmlformats.org/officeDocument/2006/relationships/hyperlink" Target="https://drive.google.com/file/d/1JXGw_aULavry0Q9PAe-DGRGnCSVK9uWE/view?usp=drivesdk" TargetMode="External"/><Relationship Id="rId3835" Type="http://schemas.openxmlformats.org/officeDocument/2006/relationships/hyperlink" Target="https://drive.google.com/file/d/10FcdjyvcbjIlOJsJnKAK5BNN0ZxjrUp_/view?usp=drivesdk" TargetMode="External"/><Relationship Id="rId2506" Type="http://schemas.openxmlformats.org/officeDocument/2006/relationships/hyperlink" Target="https://drive.google.com/file/d/1I80_boCQOiPU1PLZwWZ_TwM0nP6Tb0Gf/view?usp=drivesdk" TargetMode="External"/><Relationship Id="rId3838" Type="http://schemas.openxmlformats.org/officeDocument/2006/relationships/hyperlink" Target="https://drive.google.com/file/d/1kkhPrEwHLYtjrREmoZUeMYk3MGlk6eF4/view?usp=drivesdk" TargetMode="External"/><Relationship Id="rId2507" Type="http://schemas.openxmlformats.org/officeDocument/2006/relationships/hyperlink" Target="https://drive.google.com/file/d/1yvTrbpz8zjV9ve-8FbeIW6VVh8oXL4sy/view?usp=drivesdk" TargetMode="External"/><Relationship Id="rId3837" Type="http://schemas.openxmlformats.org/officeDocument/2006/relationships/hyperlink" Target="https://drive.google.com/file/d/1o5jTx2MpYrWzp2XpjU13REUIvZhLkRai/view?usp=drivesdk" TargetMode="External"/><Relationship Id="rId2508" Type="http://schemas.openxmlformats.org/officeDocument/2006/relationships/hyperlink" Target="https://drive.google.com/file/d/1lP18j1x48chnBVHSUEPKBsM95Q_34Pmb/view?usp=drivesdk" TargetMode="External"/><Relationship Id="rId2509" Type="http://schemas.openxmlformats.org/officeDocument/2006/relationships/hyperlink" Target="https://drive.google.com/file/d/13UzHuslFkJaWnkuw3HmGlQti0-33Bpdt/view?usp=drivesdk" TargetMode="External"/><Relationship Id="rId3839" Type="http://schemas.openxmlformats.org/officeDocument/2006/relationships/hyperlink" Target="https://drive.google.com/file/d/1PIqiTxmIAqNPWZU_9dFeim6aymYPmuFZ/view?usp=drivesdk" TargetMode="External"/><Relationship Id="rId3830" Type="http://schemas.openxmlformats.org/officeDocument/2006/relationships/hyperlink" Target="https://drive.google.com/file/d/18txo2_e9YMFGQgqNcT_JyJQ3r-rVnARf/view?usp=drivesdk" TargetMode="External"/><Relationship Id="rId3821" Type="http://schemas.openxmlformats.org/officeDocument/2006/relationships/hyperlink" Target="https://drive.google.com/file/d/1K3K7uP0ZfyVDZkWnC2QauCXuoFUI70cc/view?usp=drivesdk" TargetMode="External"/><Relationship Id="rId3820" Type="http://schemas.openxmlformats.org/officeDocument/2006/relationships/hyperlink" Target="https://drive.google.com/file/d/18uifzX5SrZlJt9nJeF9C0u1nPb7r5kuP/view?usp=drivesdk" TargetMode="External"/><Relationship Id="rId3823" Type="http://schemas.openxmlformats.org/officeDocument/2006/relationships/hyperlink" Target="https://drive.google.com/file/d/1TRb9zndTmjoD5XQXCUQ-0k98bcldU9xw/view?usp=drivesdk" TargetMode="External"/><Relationship Id="rId3822" Type="http://schemas.openxmlformats.org/officeDocument/2006/relationships/hyperlink" Target="https://drive.google.com/file/d/1-TiBKDPpKpQAkOhP_pbulc0GYfIgztzd/view?usp=drivesdk" TargetMode="External"/><Relationship Id="rId3825" Type="http://schemas.openxmlformats.org/officeDocument/2006/relationships/hyperlink" Target="https://drive.google.com/file/d/1WielJi8mu7EI_ZRjAj18N2Ud_FUgew_A/view?usp=drivesdk" TargetMode="External"/><Relationship Id="rId3824" Type="http://schemas.openxmlformats.org/officeDocument/2006/relationships/hyperlink" Target="https://drive.google.com/file/d/1ZV_xsu_geHh1UAp0ziaABDScgxhRnzia/view?usp=drivesdk" TargetMode="External"/><Relationship Id="rId3827" Type="http://schemas.openxmlformats.org/officeDocument/2006/relationships/hyperlink" Target="https://drive.google.com/file/d/1KmO_XFopI00b29lqIyfxTRrF6cUsDE3T/view?usp=drivesdk" TargetMode="External"/><Relationship Id="rId3826" Type="http://schemas.openxmlformats.org/officeDocument/2006/relationships/hyperlink" Target="https://drive.google.com/file/d/1LwpzeZ92U1PM0e85vVMXu9EgZQGbv2t0/view?usp=drivesdk" TargetMode="External"/><Relationship Id="rId3829" Type="http://schemas.openxmlformats.org/officeDocument/2006/relationships/hyperlink" Target="https://drive.google.com/file/d/1KKsvWOLTzbp9jFeobmZdaLprIcWjXXS5/view?usp=drivesdk" TargetMode="External"/><Relationship Id="rId3828" Type="http://schemas.openxmlformats.org/officeDocument/2006/relationships/hyperlink" Target="https://drive.google.com/file/d/1ivRo2-4XyswBnEol19iWylPXhIShJ4ta/view?usp=drivesdk" TargetMode="External"/><Relationship Id="rId2522" Type="http://schemas.openxmlformats.org/officeDocument/2006/relationships/hyperlink" Target="https://drive.google.com/file/d/1Ti0aqmRilKUA_mmmSDZvRl93xOeAzZYz/view?usp=drivesdk" TargetMode="External"/><Relationship Id="rId3854" Type="http://schemas.openxmlformats.org/officeDocument/2006/relationships/hyperlink" Target="https://drive.google.com/file/d/1fEMJruxxuHlSE99uo6u5laEZNYTCTPuI/view?usp=drivesdk" TargetMode="External"/><Relationship Id="rId2523" Type="http://schemas.openxmlformats.org/officeDocument/2006/relationships/hyperlink" Target="https://drive.google.com/file/d/1vPs-M_wP_MPVmal0YvkQumNG_PoHZVIs/view?usp=drivesdk" TargetMode="External"/><Relationship Id="rId3853" Type="http://schemas.openxmlformats.org/officeDocument/2006/relationships/hyperlink" Target="https://drive.google.com/file/d/1QGTVRxLZBQfEAqmWFlgvhHYIbiZF7l6P/view?usp=drivesdk" TargetMode="External"/><Relationship Id="rId2524" Type="http://schemas.openxmlformats.org/officeDocument/2006/relationships/hyperlink" Target="https://drive.google.com/file/d/1czIZSEZ5lkI0dd1jjgDd3Fu8WLtYPwKj/view?usp=drivesdk" TargetMode="External"/><Relationship Id="rId3856" Type="http://schemas.openxmlformats.org/officeDocument/2006/relationships/hyperlink" Target="https://drive.google.com/file/d/1If5EfNni2dMkrWvzQGre7ziLkb1mnMB_/view?usp=drivesdk" TargetMode="External"/><Relationship Id="rId2525" Type="http://schemas.openxmlformats.org/officeDocument/2006/relationships/hyperlink" Target="https://drive.google.com/file/d/1MHXWdYc9an7JJC7zDXtaisKFabLt3Lsy/view?usp=drivesdk" TargetMode="External"/><Relationship Id="rId3855" Type="http://schemas.openxmlformats.org/officeDocument/2006/relationships/hyperlink" Target="https://drive.google.com/file/d/11b0Q6sliYGCpZCTcewFcYfSqwq9TBjcf/view?usp=drivesdk" TargetMode="External"/><Relationship Id="rId2526" Type="http://schemas.openxmlformats.org/officeDocument/2006/relationships/hyperlink" Target="https://drive.google.com/file/d/1A9Jh1JxIPP0ABmYKw4lfrjDN4s0Pc3mH/view?usp=drivesdk" TargetMode="External"/><Relationship Id="rId3858" Type="http://schemas.openxmlformats.org/officeDocument/2006/relationships/hyperlink" Target="https://drive.google.com/file/d/1mTt5ID8MSP4Xfhf4pvm8W-YMsi1_PqQ4/view?usp=drivesdk" TargetMode="External"/><Relationship Id="rId2527" Type="http://schemas.openxmlformats.org/officeDocument/2006/relationships/hyperlink" Target="https://drive.google.com/file/d/14ExBbm-nkxHk5t1EyH02hAl9xwVK7mNq/view?usp=drivesdk" TargetMode="External"/><Relationship Id="rId3857" Type="http://schemas.openxmlformats.org/officeDocument/2006/relationships/hyperlink" Target="https://drive.google.com/file/d/1uftH3SoXD9chN0urr_cTJdbqsOBX_pNz/view?usp=drivesdk" TargetMode="External"/><Relationship Id="rId2528" Type="http://schemas.openxmlformats.org/officeDocument/2006/relationships/hyperlink" Target="https://drive.google.com/file/d/1Oqh-YH7FxzTxgU8jkf6RtJEQ4aSYmy3p/view?usp=drivesdk" TargetMode="External"/><Relationship Id="rId2529" Type="http://schemas.openxmlformats.org/officeDocument/2006/relationships/hyperlink" Target="https://drive.google.com/file/d/1XT82pBBxamyZTNAOjlM1Ay7D0yMBKTNj/view?usp=drivesdk" TargetMode="External"/><Relationship Id="rId3859" Type="http://schemas.openxmlformats.org/officeDocument/2006/relationships/hyperlink" Target="https://drive.google.com/file/d/1gglSVIU0H6bN0G7_X0D-NiYl2FVgqxwC/view?usp=drivesdk" TargetMode="External"/><Relationship Id="rId3850" Type="http://schemas.openxmlformats.org/officeDocument/2006/relationships/hyperlink" Target="https://drive.google.com/file/d/1bp5uT0vr4ysd1-i4_RPJTEjWZUudBoUI/view?usp=drivesdk" TargetMode="External"/><Relationship Id="rId2520" Type="http://schemas.openxmlformats.org/officeDocument/2006/relationships/hyperlink" Target="https://drive.google.com/file/d/1SzcLCosPOd6TClSEZF9TraBGCOpHRWVp/view?usp=drivesdk" TargetMode="External"/><Relationship Id="rId3852" Type="http://schemas.openxmlformats.org/officeDocument/2006/relationships/hyperlink" Target="https://drive.google.com/file/d/1ykd7UYreWO6V6J6UuDApdRglzNGc2j4Q/view?usp=drivesdk" TargetMode="External"/><Relationship Id="rId2521" Type="http://schemas.openxmlformats.org/officeDocument/2006/relationships/hyperlink" Target="https://drive.google.com/file/d/1JPdP4e8V_7x45SznZh0NXI5TJ2amWa3s/view?usp=drivesdk" TargetMode="External"/><Relationship Id="rId3851" Type="http://schemas.openxmlformats.org/officeDocument/2006/relationships/hyperlink" Target="https://drive.google.com/file/d/11dpqTQGro1AJOHP0rvLA5BLri9ZCXZGT/view?usp=drivesdk" TargetMode="External"/><Relationship Id="rId2511" Type="http://schemas.openxmlformats.org/officeDocument/2006/relationships/hyperlink" Target="https://drive.google.com/file/d/1dv3RPV-xbtgVhGOwsv0BfxtUqEsaLSEt/view?usp=drivesdk" TargetMode="External"/><Relationship Id="rId3843" Type="http://schemas.openxmlformats.org/officeDocument/2006/relationships/hyperlink" Target="https://drive.google.com/file/d/1w3VFYtYJX6Y-DsttZLQX59JiPSj5Q33m/view?usp=drivesdk" TargetMode="External"/><Relationship Id="rId2512" Type="http://schemas.openxmlformats.org/officeDocument/2006/relationships/hyperlink" Target="https://drive.google.com/file/d/1M0qfRsOHQBNGSanH_zAvmJEZj9h6Dkd5/view?usp=drivesdk" TargetMode="External"/><Relationship Id="rId3842" Type="http://schemas.openxmlformats.org/officeDocument/2006/relationships/hyperlink" Target="https://drive.google.com/file/d/1e24Dh5lirqTwaHFboepMorVvG6JIFjWi/view?usp=drivesdk" TargetMode="External"/><Relationship Id="rId2513" Type="http://schemas.openxmlformats.org/officeDocument/2006/relationships/hyperlink" Target="https://drive.google.com/file/d/1j9XcLG2ifEsoQzh3I6sb-_983Teu0U_D/view?usp=drivesdk" TargetMode="External"/><Relationship Id="rId3845" Type="http://schemas.openxmlformats.org/officeDocument/2006/relationships/hyperlink" Target="https://drive.google.com/file/d/1vAiaZxc420KJwwDSRrPHWEEOo5IX0Bje/view?usp=drivesdk" TargetMode="External"/><Relationship Id="rId2514" Type="http://schemas.openxmlformats.org/officeDocument/2006/relationships/hyperlink" Target="https://drive.google.com/file/d/1WTx1SSf8_oZxVGtVZyF_36xcDbOY-kOz/view?usp=drivesdk" TargetMode="External"/><Relationship Id="rId3844" Type="http://schemas.openxmlformats.org/officeDocument/2006/relationships/hyperlink" Target="https://drive.google.com/file/d/1VxXToThLW5k86zag5TBdx7ujTsu3rfrn/view?usp=drivesdk" TargetMode="External"/><Relationship Id="rId2515" Type="http://schemas.openxmlformats.org/officeDocument/2006/relationships/hyperlink" Target="https://drive.google.com/file/d/1pHLZbhn_F1q5dwX9P8W2zmkHoVuH3ugR/view?usp=drivesdk" TargetMode="External"/><Relationship Id="rId3847" Type="http://schemas.openxmlformats.org/officeDocument/2006/relationships/hyperlink" Target="https://drive.google.com/file/d/12NjXqfioOnoJMa7YVNpM2DFAR8avsA6o/view?usp=drivesdk" TargetMode="External"/><Relationship Id="rId2516" Type="http://schemas.openxmlformats.org/officeDocument/2006/relationships/hyperlink" Target="https://drive.google.com/file/d/1qkb7o_Pv5ufs5mvvSBZqwvkDggBku2e-/view?usp=drivesdk" TargetMode="External"/><Relationship Id="rId3846" Type="http://schemas.openxmlformats.org/officeDocument/2006/relationships/hyperlink" Target="https://drive.google.com/file/d/1kVKteFMERDyI7dm2FcMoryhDBiYu1o05/view?usp=drivesdk" TargetMode="External"/><Relationship Id="rId2517" Type="http://schemas.openxmlformats.org/officeDocument/2006/relationships/hyperlink" Target="https://drive.google.com/file/d/1ieHsBz2gkojYEvOE9zHu_uMq831umKpx/view?usp=drivesdk" TargetMode="External"/><Relationship Id="rId3849" Type="http://schemas.openxmlformats.org/officeDocument/2006/relationships/hyperlink" Target="https://drive.google.com/file/d/1gZbbMRUpUCy0J5Va5q-FZfGjJqJf3rQZ/view?usp=drivesdk" TargetMode="External"/><Relationship Id="rId2518" Type="http://schemas.openxmlformats.org/officeDocument/2006/relationships/hyperlink" Target="https://drive.google.com/file/d/1dpKcoSPRTwIKUWpbSf9oEzTfmC2ekmGD/view?usp=drivesdk" TargetMode="External"/><Relationship Id="rId3848" Type="http://schemas.openxmlformats.org/officeDocument/2006/relationships/hyperlink" Target="https://drive.google.com/file/d/1Rdn5AKOJe3pTtvNogvzulLsdLWtgxbdJ/view?usp=drivesdk" TargetMode="External"/><Relationship Id="rId2519" Type="http://schemas.openxmlformats.org/officeDocument/2006/relationships/hyperlink" Target="https://drive.google.com/file/d/1a45PhG1bbACi262wlF6MyHg-CN138fmt/view?usp=drivesdk" TargetMode="External"/><Relationship Id="rId3841" Type="http://schemas.openxmlformats.org/officeDocument/2006/relationships/hyperlink" Target="https://drive.google.com/file/d/1REdvLw6DZFlaPJeUzr5MiBUAT6XZZRC-/view?usp=drivesdk" TargetMode="External"/><Relationship Id="rId2510" Type="http://schemas.openxmlformats.org/officeDocument/2006/relationships/hyperlink" Target="https://drive.google.com/file/d/1vd8A025-1kxh1kpGA8U8PGnFieYAaj1O/view?usp=drivesdk" TargetMode="External"/><Relationship Id="rId3840" Type="http://schemas.openxmlformats.org/officeDocument/2006/relationships/hyperlink" Target="https://drive.google.com/file/d/1hMDdQzNwR4WqMn0i23XXClkjzY1dJwqn/view?usp=drivesdk" TargetMode="External"/><Relationship Id="rId1290" Type="http://schemas.openxmlformats.org/officeDocument/2006/relationships/hyperlink" Target="https://drive.google.com/file/d/1ZVhyOQwkcmDrNW7u2_ofJfRFy_rlv61b/view?usp=drivesdk" TargetMode="External"/><Relationship Id="rId1291" Type="http://schemas.openxmlformats.org/officeDocument/2006/relationships/hyperlink" Target="https://drive.google.com/file/d/16R6KMRwcifEC2uopKWs6x9UGuNcMOMsn/view?usp=drivesdk" TargetMode="External"/><Relationship Id="rId1292" Type="http://schemas.openxmlformats.org/officeDocument/2006/relationships/hyperlink" Target="https://drive.google.com/file/d/1Tsm3LXLimRv3rD4lxrWpTwLWfzdB-Zuy/view?usp=drivesdk" TargetMode="External"/><Relationship Id="rId1293" Type="http://schemas.openxmlformats.org/officeDocument/2006/relationships/hyperlink" Target="https://drive.google.com/file/d/1A-je5Dwr_4TsPFrhPU3H6shIGf4s4xbq/view?usp=drivesdk" TargetMode="External"/><Relationship Id="rId1294" Type="http://schemas.openxmlformats.org/officeDocument/2006/relationships/hyperlink" Target="https://drive.google.com/file/d/1rMbhlL8NoqPDfXn9iRTuHPJGSj-ZO_Nt/view?usp=drivesdk" TargetMode="External"/><Relationship Id="rId1295" Type="http://schemas.openxmlformats.org/officeDocument/2006/relationships/hyperlink" Target="https://drive.google.com/file/d/1NA7Q0ReCLHSx0Ge3m842GbvgSvXa2uiB/view?usp=drivesdk" TargetMode="External"/><Relationship Id="rId1296" Type="http://schemas.openxmlformats.org/officeDocument/2006/relationships/hyperlink" Target="https://drive.google.com/file/d/1Tt_Nt2ION3-wE7Wm35Q0gec538_uSjge/view?usp=drivesdk" TargetMode="External"/><Relationship Id="rId1297" Type="http://schemas.openxmlformats.org/officeDocument/2006/relationships/hyperlink" Target="https://drive.google.com/file/d/1NZV4aHg9ZO-yX6UucDshB_a3BL8s70EZ/view?usp=drivesdk" TargetMode="External"/><Relationship Id="rId1298" Type="http://schemas.openxmlformats.org/officeDocument/2006/relationships/hyperlink" Target="https://drive.google.com/file/d/1prddupUKE3mA60A6PZ2f5Vq8ARRn99SL/view?usp=drivesdk" TargetMode="External"/><Relationship Id="rId1299" Type="http://schemas.openxmlformats.org/officeDocument/2006/relationships/hyperlink" Target="https://drive.google.com/file/d/1JO90hwEpBuMqDUsFxDmHaLtNzbsLiVIC/view?usp=drivesdk" TargetMode="External"/><Relationship Id="rId1280" Type="http://schemas.openxmlformats.org/officeDocument/2006/relationships/hyperlink" Target="https://drive.google.com/file/d/1iIAqGAvwI1xGWf3H_VUp8fTAjArQEN8t/view?usp=drivesdk" TargetMode="External"/><Relationship Id="rId1281" Type="http://schemas.openxmlformats.org/officeDocument/2006/relationships/hyperlink" Target="https://drive.google.com/file/d/1vW9UNmrzxxwOHxn6wtqH7lqdTvre7Sr3/view?usp=drivesdk" TargetMode="External"/><Relationship Id="rId1282" Type="http://schemas.openxmlformats.org/officeDocument/2006/relationships/hyperlink" Target="https://drive.google.com/file/d/1Ia1hEFR6FHxyNIHvT4LJALedugp5vZLo/view?usp=drivesdk" TargetMode="External"/><Relationship Id="rId1283" Type="http://schemas.openxmlformats.org/officeDocument/2006/relationships/hyperlink" Target="https://drive.google.com/file/d/1cVxyNPivNPyGWRNBMDVQkMP5X1j0FDtq/view?usp=drivesdk" TargetMode="External"/><Relationship Id="rId1284" Type="http://schemas.openxmlformats.org/officeDocument/2006/relationships/hyperlink" Target="https://drive.google.com/file/d/12lPtTM01IHJ-o2kFxfNO-DDU0IE3uaKi/view?usp=drivesdk" TargetMode="External"/><Relationship Id="rId1285" Type="http://schemas.openxmlformats.org/officeDocument/2006/relationships/hyperlink" Target="https://drive.google.com/file/d/1gfw-dmzMy5mnV2rdgBfPad7QT4lP5JdF/view?usp=drivesdk" TargetMode="External"/><Relationship Id="rId1286" Type="http://schemas.openxmlformats.org/officeDocument/2006/relationships/hyperlink" Target="https://drive.google.com/file/d/1nTD8G6btnT4br_jHpZ9oC3jovCQA9p0b/view?usp=drivesdk" TargetMode="External"/><Relationship Id="rId1287" Type="http://schemas.openxmlformats.org/officeDocument/2006/relationships/hyperlink" Target="https://drive.google.com/file/d/1DpFEJqieLXb3d_Ztsl9wQ9cCYE0r2BTJ/view?usp=drivesdk" TargetMode="External"/><Relationship Id="rId1288" Type="http://schemas.openxmlformats.org/officeDocument/2006/relationships/hyperlink" Target="https://drive.google.com/file/d/16F0U9TOnt9i_GDOreiRMmxu4yB3QRHgi/view?usp=drivesdk" TargetMode="External"/><Relationship Id="rId1289" Type="http://schemas.openxmlformats.org/officeDocument/2006/relationships/hyperlink" Target="https://drive.google.com/file/d/1z8L1k3j5C_4pqA2SIKLzTtrhRPr6vekY/view?usp=drivesdk" TargetMode="External"/><Relationship Id="rId1257" Type="http://schemas.openxmlformats.org/officeDocument/2006/relationships/hyperlink" Target="https://drive.google.com/file/d/1JQWfXNTfv-9t_I7UU6rd8XbOLlUapnOt/view?usp=drivesdk" TargetMode="External"/><Relationship Id="rId2588" Type="http://schemas.openxmlformats.org/officeDocument/2006/relationships/hyperlink" Target="https://drive.google.com/file/d/1QspekesunY-ot6SV6z2NMhrLKTNGEqfG/view?usp=drivesdk" TargetMode="External"/><Relationship Id="rId1258" Type="http://schemas.openxmlformats.org/officeDocument/2006/relationships/hyperlink" Target="https://drive.google.com/file/d/1HzuZ38ndWOXCnGfQF44u0j__MF9DdC3_/view?usp=drivesdk" TargetMode="External"/><Relationship Id="rId2589" Type="http://schemas.openxmlformats.org/officeDocument/2006/relationships/hyperlink" Target="https://drive.google.com/file/d/17hj-SAjK6z7ZyDX4cdwa2BKyA19xFG48/view?usp=drivesdk" TargetMode="External"/><Relationship Id="rId1259" Type="http://schemas.openxmlformats.org/officeDocument/2006/relationships/hyperlink" Target="https://drive.google.com/file/d/10QkLZ4uLfghS3TOwOFRnqg3sM_Wy2aHS/view?usp=drivesdk" TargetMode="External"/><Relationship Id="rId2580" Type="http://schemas.openxmlformats.org/officeDocument/2006/relationships/hyperlink" Target="https://drive.google.com/file/d/1pQ4USsC1WbC-u8OvZOOrMS8wQvfTHlib/view?usp=drivesdk" TargetMode="External"/><Relationship Id="rId1250" Type="http://schemas.openxmlformats.org/officeDocument/2006/relationships/hyperlink" Target="https://drive.google.com/file/d/1pn8r__-ODh3DqJGICz90cijiBK3rd-6V/view?usp=drivesdk" TargetMode="External"/><Relationship Id="rId2581" Type="http://schemas.openxmlformats.org/officeDocument/2006/relationships/hyperlink" Target="https://drive.google.com/file/d/1TA9mujcpEdbeU-R1l8j_3laoIxJ4Qz87/view?usp=drivesdk" TargetMode="External"/><Relationship Id="rId1251" Type="http://schemas.openxmlformats.org/officeDocument/2006/relationships/hyperlink" Target="https://drive.google.com/file/d/1YZjRbuvA79GXQ7mUVySBQCj3DMgxX6R8/view?usp=drivesdk" TargetMode="External"/><Relationship Id="rId2582" Type="http://schemas.openxmlformats.org/officeDocument/2006/relationships/hyperlink" Target="https://drive.google.com/file/d/1E9xneMXty7bYvWrroiXO7Sd2QqdBTRLu/view?usp=drivesdk" TargetMode="External"/><Relationship Id="rId1252" Type="http://schemas.openxmlformats.org/officeDocument/2006/relationships/hyperlink" Target="https://drive.google.com/file/d/1oScLHCJrmURRMSFcV-LtNQpc8aJ7hvDd/view?usp=drivesdk" TargetMode="External"/><Relationship Id="rId2583" Type="http://schemas.openxmlformats.org/officeDocument/2006/relationships/hyperlink" Target="https://drive.google.com/file/d/1fJ847BBLmDvIZkj6015rL9WnEcTFXG7O/view?usp=drivesdk" TargetMode="External"/><Relationship Id="rId1253" Type="http://schemas.openxmlformats.org/officeDocument/2006/relationships/hyperlink" Target="https://drive.google.com/file/d/1ocrkPSBbSJ16P2jIWjkCRgltBpu5kqhY/view?usp=drivesdk" TargetMode="External"/><Relationship Id="rId2584" Type="http://schemas.openxmlformats.org/officeDocument/2006/relationships/hyperlink" Target="https://drive.google.com/file/d/1YI-VJj-zZulAB4G9bhf3U757hzJFBUhd/view?usp=drivesdk" TargetMode="External"/><Relationship Id="rId1254" Type="http://schemas.openxmlformats.org/officeDocument/2006/relationships/hyperlink" Target="https://drive.google.com/file/d/1vKbdzuUl9wpmG0wKebCOb2QxwhTzEoQD/view?usp=drivesdk" TargetMode="External"/><Relationship Id="rId2585" Type="http://schemas.openxmlformats.org/officeDocument/2006/relationships/hyperlink" Target="https://drive.google.com/file/d/1NYkqZTvb8iNQl35_1K5ugLqL6gmjpbAI/view?usp=drivesdk" TargetMode="External"/><Relationship Id="rId1255" Type="http://schemas.openxmlformats.org/officeDocument/2006/relationships/hyperlink" Target="https://drive.google.com/file/d/13Q9B0d6Ey5JaSAZggaN3YSlad4uLZmd_/view?usp=drivesdk" TargetMode="External"/><Relationship Id="rId2586" Type="http://schemas.openxmlformats.org/officeDocument/2006/relationships/hyperlink" Target="https://drive.google.com/file/d/13z8vilbVgFvmdrSKdoG6t2P7yTGJOSrS/view?usp=drivesdk" TargetMode="External"/><Relationship Id="rId1256" Type="http://schemas.openxmlformats.org/officeDocument/2006/relationships/hyperlink" Target="https://drive.google.com/file/d/1IHZL52MeldtjzYzO1nJ3-hYbCLOfUe-0/view?usp=drivesdk" TargetMode="External"/><Relationship Id="rId2587" Type="http://schemas.openxmlformats.org/officeDocument/2006/relationships/hyperlink" Target="https://drive.google.com/file/d/1yA7BtlWYdCOSuFyWbxuj3fVJ7iP46Ilk/view?usp=drivesdk" TargetMode="External"/><Relationship Id="rId1246" Type="http://schemas.openxmlformats.org/officeDocument/2006/relationships/hyperlink" Target="https://drive.google.com/file/d/19whBulW666j1y0VCh33-SaQ-1a4dNn7V/view?usp=drivesdk" TargetMode="External"/><Relationship Id="rId2577" Type="http://schemas.openxmlformats.org/officeDocument/2006/relationships/hyperlink" Target="https://drive.google.com/file/d/1gq2BvBnrfVCNirjWdiyVtDY3TUiDxzfo/view?usp=drivesdk" TargetMode="External"/><Relationship Id="rId1247" Type="http://schemas.openxmlformats.org/officeDocument/2006/relationships/hyperlink" Target="https://drive.google.com/file/d/1r3KqSvfVGR_26Lx1EeyiPbzMyqC6uccC/view?usp=drivesdk" TargetMode="External"/><Relationship Id="rId2578" Type="http://schemas.openxmlformats.org/officeDocument/2006/relationships/hyperlink" Target="https://drive.google.com/file/d/1WnnbxI9AsA3aXenm3EYrsNHNoU38WxxJ/view?usp=drivesdk" TargetMode="External"/><Relationship Id="rId1248" Type="http://schemas.openxmlformats.org/officeDocument/2006/relationships/hyperlink" Target="https://drive.google.com/file/d/19LyH7P6JE5MSYvrYQd-yFjkQpIf72JK7/view?usp=drivesdk" TargetMode="External"/><Relationship Id="rId2579" Type="http://schemas.openxmlformats.org/officeDocument/2006/relationships/hyperlink" Target="https://drive.google.com/file/d/1NV1Mdn-Zt9-7u1Oa7u4QmkdF0-_wEqYJ/view?usp=drivesdk" TargetMode="External"/><Relationship Id="rId1249" Type="http://schemas.openxmlformats.org/officeDocument/2006/relationships/hyperlink" Target="https://drive.google.com/file/d/1ZWpvj6Ljt9zeQuUxmj8r5shPNXvgme3g/view?usp=drivesdk" TargetMode="External"/><Relationship Id="rId2570" Type="http://schemas.openxmlformats.org/officeDocument/2006/relationships/hyperlink" Target="https://drive.google.com/file/d/1Ex_rDEhtX2Rbu44CCo26AgXYmzRmJP3c/view?usp=drivesdk" TargetMode="External"/><Relationship Id="rId1240" Type="http://schemas.openxmlformats.org/officeDocument/2006/relationships/hyperlink" Target="https://drive.google.com/file/d/1lzIaHosFd7TIN5dU37MfVpnBsJ6mmBuJ/view?usp=drivesdk" TargetMode="External"/><Relationship Id="rId2571" Type="http://schemas.openxmlformats.org/officeDocument/2006/relationships/hyperlink" Target="https://drive.google.com/file/d/1JbqE1l0IczSwRtVNbLMOALcdoAqZSJnS/view?usp=drivesdk" TargetMode="External"/><Relationship Id="rId1241" Type="http://schemas.openxmlformats.org/officeDocument/2006/relationships/hyperlink" Target="https://drive.google.com/file/d/1fm8yZwHzCGtzIZxYdJwoLqr8O-PNyshf/view?usp=drivesdk" TargetMode="External"/><Relationship Id="rId2572" Type="http://schemas.openxmlformats.org/officeDocument/2006/relationships/hyperlink" Target="https://drive.google.com/file/d/18g_bZR08WXACP6CpEMvdkpXXoGFPwcRc/view?usp=drivesdk" TargetMode="External"/><Relationship Id="rId1242" Type="http://schemas.openxmlformats.org/officeDocument/2006/relationships/hyperlink" Target="https://drive.google.com/file/d/1KdhBQI7P_pv2S2tHdSi2ScUNrvlA0eCu/view?usp=drivesdk" TargetMode="External"/><Relationship Id="rId2573" Type="http://schemas.openxmlformats.org/officeDocument/2006/relationships/hyperlink" Target="https://drive.google.com/file/d/1kFWPXdJmsa81tJwX4y3pR_8C9W5azDcc/view?usp=drivesdk" TargetMode="External"/><Relationship Id="rId1243" Type="http://schemas.openxmlformats.org/officeDocument/2006/relationships/hyperlink" Target="https://drive.google.com/file/d/1F8pdPtYZuHfS_Vz0HTqMq1A2Uu17lbv_/view?usp=drivesdk" TargetMode="External"/><Relationship Id="rId2574" Type="http://schemas.openxmlformats.org/officeDocument/2006/relationships/hyperlink" Target="https://drive.google.com/file/d/16yfw9XD80_DgzMVNCDqpLeg8q9lUoWwn/view?usp=drivesdk" TargetMode="External"/><Relationship Id="rId1244" Type="http://schemas.openxmlformats.org/officeDocument/2006/relationships/hyperlink" Target="https://drive.google.com/file/d/1u_Xcy_Q-A4yR4HzFHKgI-O9qMeRgVn2C/view?usp=drivesdk" TargetMode="External"/><Relationship Id="rId2575" Type="http://schemas.openxmlformats.org/officeDocument/2006/relationships/hyperlink" Target="https://drive.google.com/file/d/1LkaVIA6paOE-Eqs4FiHSLGImfH5kn9uh/view?usp=drivesdk" TargetMode="External"/><Relationship Id="rId1245" Type="http://schemas.openxmlformats.org/officeDocument/2006/relationships/hyperlink" Target="https://drive.google.com/file/d/12iySQnnbj3EtITQzfwCCkbDHETgZi_ny/view?usp=drivesdk" TargetMode="External"/><Relationship Id="rId2576" Type="http://schemas.openxmlformats.org/officeDocument/2006/relationships/hyperlink" Target="https://drive.google.com/file/d/1kR7Sz0M7aOnPzpszvEChq0i7nKtoJHYm/view?usp=drivesdk" TargetMode="External"/><Relationship Id="rId1279" Type="http://schemas.openxmlformats.org/officeDocument/2006/relationships/hyperlink" Target="https://drive.google.com/file/d/1i-zk3qkiXG3lms3vDpLHeO6AYHXvJUsR/view?usp=drivesdk" TargetMode="External"/><Relationship Id="rId1270" Type="http://schemas.openxmlformats.org/officeDocument/2006/relationships/hyperlink" Target="https://drive.google.com/file/d/17xVB8xtdTO654c0BTuNK3HoN7aGfMXC3/view?usp=drivesdk" TargetMode="External"/><Relationship Id="rId1271" Type="http://schemas.openxmlformats.org/officeDocument/2006/relationships/hyperlink" Target="https://drive.google.com/file/d/19dnghOCFt5UZLr1tQLjLbyAKn2iAkIVJ/view?usp=drivesdk" TargetMode="External"/><Relationship Id="rId1272" Type="http://schemas.openxmlformats.org/officeDocument/2006/relationships/hyperlink" Target="https://drive.google.com/file/d/12sg_OMvZUZUXWRIVRkSfBgx_LvPkbiNZ/view?usp=drivesdk" TargetMode="External"/><Relationship Id="rId1273" Type="http://schemas.openxmlformats.org/officeDocument/2006/relationships/hyperlink" Target="https://drive.google.com/file/d/1JSNObDoj9T0BbqYlExSasFj_aIxfo3K_/view?usp=drivesdk" TargetMode="External"/><Relationship Id="rId1274" Type="http://schemas.openxmlformats.org/officeDocument/2006/relationships/hyperlink" Target="https://drive.google.com/file/d/15cNf4oJjeDAKGriguOeo7qg2kaq8Fra7/view?usp=drivesdk" TargetMode="External"/><Relationship Id="rId1275" Type="http://schemas.openxmlformats.org/officeDocument/2006/relationships/hyperlink" Target="https://drive.google.com/file/d/1ppUiNW_rNV6xflKaz-ZHhjTFDiM__Lqb/view?usp=drivesdk" TargetMode="External"/><Relationship Id="rId1276" Type="http://schemas.openxmlformats.org/officeDocument/2006/relationships/hyperlink" Target="https://drive.google.com/file/d/1Eklq9JUn6my5a_e7ha_uq7gaP8jQwqrK/view?usp=drivesdk" TargetMode="External"/><Relationship Id="rId1277" Type="http://schemas.openxmlformats.org/officeDocument/2006/relationships/hyperlink" Target="https://drive.google.com/file/d/1JRkQiGfvkQG_L794TQNu-fs0UdBiYnQX/view?usp=drivesdk" TargetMode="External"/><Relationship Id="rId1278" Type="http://schemas.openxmlformats.org/officeDocument/2006/relationships/hyperlink" Target="https://drive.google.com/file/d/1pOwjoVzv76IsOCiNLOuNVuewApSlolNM/view?usp=drivesdk" TargetMode="External"/><Relationship Id="rId1268" Type="http://schemas.openxmlformats.org/officeDocument/2006/relationships/hyperlink" Target="https://drive.google.com/file/d/1w6UyX5FavI7fUSiwk57RJrmUZT2TJCs2/view?usp=drivesdk" TargetMode="External"/><Relationship Id="rId2599" Type="http://schemas.openxmlformats.org/officeDocument/2006/relationships/hyperlink" Target="https://drive.google.com/file/d/1u3DRvvoNZN8lYOwGmDcgGqxQnrFlxD29/view?usp=drivesdk" TargetMode="External"/><Relationship Id="rId1269" Type="http://schemas.openxmlformats.org/officeDocument/2006/relationships/hyperlink" Target="https://drive.google.com/file/d/1DNMkG2gP1IJxP1eHSKgeJ9j0UVb6ZsQ6/view?usp=drivesdk" TargetMode="External"/><Relationship Id="rId2590" Type="http://schemas.openxmlformats.org/officeDocument/2006/relationships/hyperlink" Target="https://drive.google.com/file/d/1XwoydxUNqQ6QteJhyaNVGQfCyOBq-CTJ/view?usp=drivesdk" TargetMode="External"/><Relationship Id="rId1260" Type="http://schemas.openxmlformats.org/officeDocument/2006/relationships/hyperlink" Target="https://drive.google.com/file/d/10bK-mH60nSa5k7JSVkTRYdde2je0ZxHl/view?usp=drivesdk" TargetMode="External"/><Relationship Id="rId2591" Type="http://schemas.openxmlformats.org/officeDocument/2006/relationships/hyperlink" Target="https://drive.google.com/file/d/16YwwfN2ZDxpnK1wJmFZQxYXqJF9Hbqo3/view?usp=drivesdk" TargetMode="External"/><Relationship Id="rId1261" Type="http://schemas.openxmlformats.org/officeDocument/2006/relationships/hyperlink" Target="https://drive.google.com/file/d/1EKeY6bzRzZ7uKpFtiknDOZSIlMr-IISB/view?usp=drivesdk" TargetMode="External"/><Relationship Id="rId2592" Type="http://schemas.openxmlformats.org/officeDocument/2006/relationships/hyperlink" Target="https://drive.google.com/file/d/1NkBiQug-YnvO3F1MkVfIYEF3ytsgntPp/view?usp=drivesdk" TargetMode="External"/><Relationship Id="rId1262" Type="http://schemas.openxmlformats.org/officeDocument/2006/relationships/hyperlink" Target="https://drive.google.com/file/d/1P81vOIL4g_dI_Ah9tkRjKwygelmQ52d-/view?usp=drivesdk" TargetMode="External"/><Relationship Id="rId2593" Type="http://schemas.openxmlformats.org/officeDocument/2006/relationships/hyperlink" Target="https://drive.google.com/file/d/1Ocs55OzIG1hq43-mtAij469fkp39IHYG/view?usp=drivesdk" TargetMode="External"/><Relationship Id="rId1263" Type="http://schemas.openxmlformats.org/officeDocument/2006/relationships/hyperlink" Target="https://drive.google.com/file/d/1JYvqbuDpdxXtAHKY2NLeDaWp9Iup-mP0/view?usp=drivesdk" TargetMode="External"/><Relationship Id="rId2594" Type="http://schemas.openxmlformats.org/officeDocument/2006/relationships/hyperlink" Target="https://drive.google.com/file/d/1UmcGV53ZZ12cK_Jk8_gJ8oH_jxHAMQY8/view?usp=drivesdk" TargetMode="External"/><Relationship Id="rId1264" Type="http://schemas.openxmlformats.org/officeDocument/2006/relationships/hyperlink" Target="https://drive.google.com/file/d/1PF9PZyZAvlzkN0Zh7eg1QHiCfxjrvUXa/view?usp=drivesdk" TargetMode="External"/><Relationship Id="rId2595" Type="http://schemas.openxmlformats.org/officeDocument/2006/relationships/hyperlink" Target="https://drive.google.com/file/d/12WGpcQ44lltbq0_JN7Cbj6piJnja-Pvw/view?usp=drivesdk" TargetMode="External"/><Relationship Id="rId1265" Type="http://schemas.openxmlformats.org/officeDocument/2006/relationships/hyperlink" Target="https://drive.google.com/file/d/1lPQiM2xmcFDJrxtQIA1cG9Sn1J_6N4pU/view?usp=drivesdk" TargetMode="External"/><Relationship Id="rId2596" Type="http://schemas.openxmlformats.org/officeDocument/2006/relationships/hyperlink" Target="https://drive.google.com/file/d/1V2FeDICfwzm9_DcAP5kOZ7QEHTMgUTro/view?usp=drivesdk" TargetMode="External"/><Relationship Id="rId1266" Type="http://schemas.openxmlformats.org/officeDocument/2006/relationships/hyperlink" Target="https://drive.google.com/file/d/18DlSg_D4WwQmN3Ik0oB0Tye2fHuGXnDA/view?usp=drivesdk" TargetMode="External"/><Relationship Id="rId2597" Type="http://schemas.openxmlformats.org/officeDocument/2006/relationships/hyperlink" Target="https://drive.google.com/file/d/1GDLL_2zAN_PNAW5hzljOUUVNq6iPtOY1/view?usp=drivesdk" TargetMode="External"/><Relationship Id="rId1267" Type="http://schemas.openxmlformats.org/officeDocument/2006/relationships/hyperlink" Target="https://drive.google.com/file/d/1ALoyM3as2AFL71NPf7kAXaN7pr-HLcta/view?usp=drivesdk" TargetMode="External"/><Relationship Id="rId2598" Type="http://schemas.openxmlformats.org/officeDocument/2006/relationships/hyperlink" Target="https://drive.google.com/file/d/1SDWhTzjosOwGxBZjD2TNnEsCpruyd-Cf/view?usp=drivesdk" TargetMode="External"/><Relationship Id="rId3070" Type="http://schemas.openxmlformats.org/officeDocument/2006/relationships/hyperlink" Target="https://drive.google.com/file/d/16KAnAtY6ch3wWWmn5V0LUrMfal0TQFA6/view?usp=drivesdk" TargetMode="External"/><Relationship Id="rId3072" Type="http://schemas.openxmlformats.org/officeDocument/2006/relationships/hyperlink" Target="https://drive.google.com/file/d/1prZJkKPGckZEKWpJ1pNOtZbYCJOT1Ms-/view?usp=drivesdk" TargetMode="External"/><Relationship Id="rId3071" Type="http://schemas.openxmlformats.org/officeDocument/2006/relationships/hyperlink" Target="https://drive.google.com/file/d/16rfsZYJ2XulPBQYroGN6XbORvg3fPm7h/view?usp=drivesdk" TargetMode="External"/><Relationship Id="rId3074" Type="http://schemas.openxmlformats.org/officeDocument/2006/relationships/hyperlink" Target="https://drive.google.com/file/d/1v9bsVRu90p6ralaOR6OlbiIzjcGx8erL/view?usp=drivesdk" TargetMode="External"/><Relationship Id="rId3073" Type="http://schemas.openxmlformats.org/officeDocument/2006/relationships/hyperlink" Target="https://drive.google.com/file/d/1yOOZgPfuL7oJSSqKf7DUD-x-n3fJjkEr/view?usp=drivesdk" TargetMode="External"/><Relationship Id="rId3076" Type="http://schemas.openxmlformats.org/officeDocument/2006/relationships/hyperlink" Target="https://drive.google.com/file/d/1uJImhyYhjCEUwI4LjjDo0kfsX_LRscS9/view?usp=drivesdk" TargetMode="External"/><Relationship Id="rId3075" Type="http://schemas.openxmlformats.org/officeDocument/2006/relationships/hyperlink" Target="https://drive.google.com/file/d/19gBeFxYKWBNzFLzK1H0LmX1-W-5AVpS4/view?usp=drivesdk" TargetMode="External"/><Relationship Id="rId3078" Type="http://schemas.openxmlformats.org/officeDocument/2006/relationships/hyperlink" Target="https://drive.google.com/file/d/1p_4AwzfN9299weqNVuqYlee3s4-31rsT/view?usp=drivesdk" TargetMode="External"/><Relationship Id="rId3077" Type="http://schemas.openxmlformats.org/officeDocument/2006/relationships/hyperlink" Target="https://drive.google.com/file/d/1nMi10gADhybKRe0ZU-NCvKKl5-6lxnmy/view?usp=drivesdk" TargetMode="External"/><Relationship Id="rId3079" Type="http://schemas.openxmlformats.org/officeDocument/2006/relationships/hyperlink" Target="https://drive.google.com/file/d/1XK-4BlvgVRDiPhH_jbvtyomBy7Vhtqz4/view?usp=drivesdk" TargetMode="External"/><Relationship Id="rId4390" Type="http://schemas.openxmlformats.org/officeDocument/2006/relationships/hyperlink" Target="https://drive.google.com/file/d/1nWrfnXGq-AiWiULO7mHAYiKoTJR2sRkF/view?usp=drivesdk" TargetMode="External"/><Relationship Id="rId3061" Type="http://schemas.openxmlformats.org/officeDocument/2006/relationships/hyperlink" Target="https://drive.google.com/file/d/1pmyhFnRFmVJoY4lgArXik7mBHxHRSykd/view?usp=drivesdk" TargetMode="External"/><Relationship Id="rId4392" Type="http://schemas.openxmlformats.org/officeDocument/2006/relationships/hyperlink" Target="https://drive.google.com/file/d/1Fi0Gs1saZISrOm4bg3ge_EXUmj545EOG/view?usp=drivesdk" TargetMode="External"/><Relationship Id="rId3060" Type="http://schemas.openxmlformats.org/officeDocument/2006/relationships/hyperlink" Target="https://drive.google.com/file/d/1tVturjfRRj3NeoEa4NpSa0aoKLAx_sKo/view?usp=drivesdk" TargetMode="External"/><Relationship Id="rId4391" Type="http://schemas.openxmlformats.org/officeDocument/2006/relationships/hyperlink" Target="https://drive.google.com/file/d/1lDtIVTb-hoABgCOFxcafYKyK8c2dT6zH/view?usp=drivesdk" TargetMode="External"/><Relationship Id="rId3063" Type="http://schemas.openxmlformats.org/officeDocument/2006/relationships/hyperlink" Target="https://drive.google.com/file/d/1niWbakrG8ts25CH7_1tIpe-Pa83k1q56/view?usp=drivesdk" TargetMode="External"/><Relationship Id="rId4394" Type="http://schemas.openxmlformats.org/officeDocument/2006/relationships/hyperlink" Target="https://drive.google.com/file/d/1gavbI88Oz_NOiTu1nr9e4IFCmUrkkpO2/view?usp=drivesdk" TargetMode="External"/><Relationship Id="rId3062" Type="http://schemas.openxmlformats.org/officeDocument/2006/relationships/hyperlink" Target="https://drive.google.com/file/d/1yruEWP1mza_yRdoWxXj_HOJMUpbVClT4/view?usp=drivesdk" TargetMode="External"/><Relationship Id="rId4393" Type="http://schemas.openxmlformats.org/officeDocument/2006/relationships/hyperlink" Target="https://drive.google.com/file/d/1Xi66mktaBekKKR9oVHXArD5k4fcGRebJ/view?usp=drivesdk" TargetMode="External"/><Relationship Id="rId3065" Type="http://schemas.openxmlformats.org/officeDocument/2006/relationships/hyperlink" Target="https://drive.google.com/file/d/1qaX2cBcJoAnzQmZYtbF0fCZC21PRhaoJ/view?usp=drivesdk" TargetMode="External"/><Relationship Id="rId4396" Type="http://schemas.openxmlformats.org/officeDocument/2006/relationships/hyperlink" Target="https://drive.google.com/file/d/1z4t0i0lJxiw9n2em6lDKXIuJRB1SX3E9/view?usp=drivesdk" TargetMode="External"/><Relationship Id="rId3064" Type="http://schemas.openxmlformats.org/officeDocument/2006/relationships/hyperlink" Target="https://drive.google.com/file/d/1BQP5srnZN0TWSfGxrXN0VjCJcnLngsoP/view?usp=drivesdk" TargetMode="External"/><Relationship Id="rId4395" Type="http://schemas.openxmlformats.org/officeDocument/2006/relationships/hyperlink" Target="https://drive.google.com/file/d/1GAArHxRn3egmJKGX7j-rXEPZhdQyGFXV/view?usp=drivesdk" TargetMode="External"/><Relationship Id="rId3067" Type="http://schemas.openxmlformats.org/officeDocument/2006/relationships/hyperlink" Target="https://drive.google.com/file/d/15U_1Yzc9_h2y9JGv_fhTUYxSmHfi1MZ7/view?usp=drivesdk" TargetMode="External"/><Relationship Id="rId4398" Type="http://schemas.openxmlformats.org/officeDocument/2006/relationships/hyperlink" Target="https://drive.google.com/file/d/1MEW0mwCKctsbYT-go1X_f9P9aotaNXdY/view?usp=drivesdk" TargetMode="External"/><Relationship Id="rId3066" Type="http://schemas.openxmlformats.org/officeDocument/2006/relationships/hyperlink" Target="https://drive.google.com/file/d/1MCIzzkpcAD2Zgi0M2LqbNx6FuRKHfJZB/view?usp=drivesdk" TargetMode="External"/><Relationship Id="rId4397" Type="http://schemas.openxmlformats.org/officeDocument/2006/relationships/hyperlink" Target="https://drive.google.com/file/d/1s2ZcX-RHLeglXdmW-fsD8WIFot9s-dfK/view?usp=drivesdk" TargetMode="External"/><Relationship Id="rId3069" Type="http://schemas.openxmlformats.org/officeDocument/2006/relationships/hyperlink" Target="https://drive.google.com/file/d/1jBsHtG5DaKcmgJ9roCZiyJQTR4lsTe2V/view?usp=drivesdk" TargetMode="External"/><Relationship Id="rId3068" Type="http://schemas.openxmlformats.org/officeDocument/2006/relationships/hyperlink" Target="https://drive.google.com/file/d/1ChsQoVJnV_UA5hgQqTgQ5XKvO5ZV_gVZ/view?usp=drivesdk" TargetMode="External"/><Relationship Id="rId4399" Type="http://schemas.openxmlformats.org/officeDocument/2006/relationships/hyperlink" Target="https://drive.google.com/file/d/1U9XFPxnwyIHP1uvNUfvpMV7GNouu6ppP/view?usp=drivesdk" TargetMode="External"/><Relationship Id="rId3090" Type="http://schemas.openxmlformats.org/officeDocument/2006/relationships/hyperlink" Target="https://drive.google.com/file/d/1OKsQ6xcdTPZ8QYIGruH1o_FTiKfHQEbQ/view?usp=drivesdk" TargetMode="External"/><Relationship Id="rId3092" Type="http://schemas.openxmlformats.org/officeDocument/2006/relationships/hyperlink" Target="https://drive.google.com/file/d/16_yhlUAxMUTIZhmFpiaQGtHl5ALFn2Xq/view?usp=drivesdk" TargetMode="External"/><Relationship Id="rId3091" Type="http://schemas.openxmlformats.org/officeDocument/2006/relationships/hyperlink" Target="https://drive.google.com/file/d/1vF13La2OpUeuvrz63mURjtst-Ax2mGoc/view?usp=drivesdk" TargetMode="External"/><Relationship Id="rId3094" Type="http://schemas.openxmlformats.org/officeDocument/2006/relationships/hyperlink" Target="https://drive.google.com/file/d/1CXvy0GeW8ipFMJLccpOPq08LU5-yrHjG/view?usp=drivesdk" TargetMode="External"/><Relationship Id="rId3093" Type="http://schemas.openxmlformats.org/officeDocument/2006/relationships/hyperlink" Target="https://drive.google.com/file/d/1KjlPxnz_ALpYWANCg_nUxkM6zDskeTJ0/view?usp=drivesdk" TargetMode="External"/><Relationship Id="rId3096" Type="http://schemas.openxmlformats.org/officeDocument/2006/relationships/hyperlink" Target="https://drive.google.com/file/d/1TRpldqHi-MjuOby5U8tVvEsS_mMn9T3m/view?usp=drivesdk" TargetMode="External"/><Relationship Id="rId3095" Type="http://schemas.openxmlformats.org/officeDocument/2006/relationships/hyperlink" Target="https://drive.google.com/file/d/1D5MqWCM_C5_7mjl_mqQC7e4JtNDKFsdx/view?usp=drivesdk" TargetMode="External"/><Relationship Id="rId3098" Type="http://schemas.openxmlformats.org/officeDocument/2006/relationships/hyperlink" Target="https://drive.google.com/file/d/1NkTMeDyLa-PDRqg35tR0BrJI5WlzXROv/view?usp=drivesdk" TargetMode="External"/><Relationship Id="rId3097" Type="http://schemas.openxmlformats.org/officeDocument/2006/relationships/hyperlink" Target="https://drive.google.com/file/d/1dZ5Hz0ecxtVXQZoplJ_z4Hf_ffQm-FvK/view?usp=drivesdk" TargetMode="External"/><Relationship Id="rId3099" Type="http://schemas.openxmlformats.org/officeDocument/2006/relationships/hyperlink" Target="https://drive.google.com/file/d/1kq7VZhJ6rvYB7fUUWNjaf8VWmJwtTCrA/view?usp=drivesdk" TargetMode="External"/><Relationship Id="rId3081" Type="http://schemas.openxmlformats.org/officeDocument/2006/relationships/hyperlink" Target="https://drive.google.com/file/d/1EqJKVUFkQf028AcmBh6hYUcHFjTaOn6d/view?usp=drivesdk" TargetMode="External"/><Relationship Id="rId3080" Type="http://schemas.openxmlformats.org/officeDocument/2006/relationships/hyperlink" Target="https://drive.google.com/file/d/1Ecgh-VfpyOzws5FA9GxobkKMwwNY3k0q/view?usp=drivesdk" TargetMode="External"/><Relationship Id="rId3083" Type="http://schemas.openxmlformats.org/officeDocument/2006/relationships/hyperlink" Target="https://drive.google.com/file/d/1xzgWMUOsiVgv4H6x8QfL7H5tCBdWRRDZ/view?usp=drivesdk" TargetMode="External"/><Relationship Id="rId3082" Type="http://schemas.openxmlformats.org/officeDocument/2006/relationships/hyperlink" Target="https://drive.google.com/file/d/1wS2ul5pIRUkJLxRO8Mr9ueNuZ4q5gEzB/view?usp=drivesdk" TargetMode="External"/><Relationship Id="rId3085" Type="http://schemas.openxmlformats.org/officeDocument/2006/relationships/hyperlink" Target="https://drive.google.com/file/d/1tgjqZfTPqzpmkcnG1V2SEAXVFDrF5wBe/view?usp=drivesdk" TargetMode="External"/><Relationship Id="rId3084" Type="http://schemas.openxmlformats.org/officeDocument/2006/relationships/hyperlink" Target="https://drive.google.com/file/d/1a6muvENkx-AlFZAlJz5BZ1KuJqiMtNRJ/view?usp=drivesdk" TargetMode="External"/><Relationship Id="rId3087" Type="http://schemas.openxmlformats.org/officeDocument/2006/relationships/hyperlink" Target="https://drive.google.com/file/d/1AhMOp5YirgUU67oTyep1IX8lp99PhUKZ/view?usp=drivesdk" TargetMode="External"/><Relationship Id="rId3086" Type="http://schemas.openxmlformats.org/officeDocument/2006/relationships/hyperlink" Target="https://drive.google.com/file/d/1hpiU1SD-fwXy7-IlO4SI9A1nyx4AZcvI/view?usp=drivesdk" TargetMode="External"/><Relationship Id="rId3089" Type="http://schemas.openxmlformats.org/officeDocument/2006/relationships/hyperlink" Target="https://drive.google.com/file/d/1REjId97O7_Rvx6DhBC-D08VtFPYJ5AZr/view?usp=drivesdk" TargetMode="External"/><Relationship Id="rId3088" Type="http://schemas.openxmlformats.org/officeDocument/2006/relationships/hyperlink" Target="https://drive.google.com/file/d/1CfpW-swv5s3-khS_MKZmnitTdrNMFV1F/view?usp=drivesdk" TargetMode="External"/><Relationship Id="rId3039" Type="http://schemas.openxmlformats.org/officeDocument/2006/relationships/hyperlink" Target="https://drive.google.com/file/d/1WSRInwshXwxVlnF2qeQTGODmsaeRt_Sv/view?usp=drivesdk" TargetMode="External"/><Relationship Id="rId5691" Type="http://schemas.openxmlformats.org/officeDocument/2006/relationships/hyperlink" Target="https://drive.google.com/file/d/1TkGX5B0g6Jf4f-gDQXHOWQBczZJltBDe/view?usp=drivesdk" TargetMode="External"/><Relationship Id="rId5692" Type="http://schemas.openxmlformats.org/officeDocument/2006/relationships/hyperlink" Target="https://drive.google.com/file/d/1COB1cEZsbCJhOwfgrslTKLEU-AAc8L9n/view?usp=drivesdk" TargetMode="External"/><Relationship Id="rId3030" Type="http://schemas.openxmlformats.org/officeDocument/2006/relationships/hyperlink" Target="https://drive.google.com/file/d/1kypLBlj1LphGfnarDBgyJgFDee29BCKc/view?usp=drivesdk" TargetMode="External"/><Relationship Id="rId4361" Type="http://schemas.openxmlformats.org/officeDocument/2006/relationships/hyperlink" Target="https://drive.google.com/file/d/1kpX25UahuIEI7kQ8k1pJOa9v1n2sdb4l/view?usp=drivesdk" TargetMode="External"/><Relationship Id="rId4360" Type="http://schemas.openxmlformats.org/officeDocument/2006/relationships/hyperlink" Target="https://drive.google.com/file/d/1a4RYDSDIxeSDKK4IK-SCShjKp9X60DHl/view?usp=drivesdk" TargetMode="External"/><Relationship Id="rId5690" Type="http://schemas.openxmlformats.org/officeDocument/2006/relationships/hyperlink" Target="https://drive.google.com/file/d/1JYVcqZwHG47itf-cfgs_ISuIAB9NRbp1/view?usp=drivesdk" TargetMode="External"/><Relationship Id="rId3032" Type="http://schemas.openxmlformats.org/officeDocument/2006/relationships/hyperlink" Target="https://drive.google.com/file/d/10YyjfkcY55US6LM16sBP-erJ0dUxehWO/view?usp=drivesdk" TargetMode="External"/><Relationship Id="rId4363" Type="http://schemas.openxmlformats.org/officeDocument/2006/relationships/hyperlink" Target="https://drive.google.com/file/d/1n5m0FMI_ux39vzW4FUFtcMB8uhHcUz_4/view?usp=drivesdk" TargetMode="External"/><Relationship Id="rId5695" Type="http://schemas.openxmlformats.org/officeDocument/2006/relationships/hyperlink" Target="https://drive.google.com/file/d/1mgIxpmnG3zxCsmJSBTzcXw_VmqH767Fl/view?usp=drivesdk" TargetMode="External"/><Relationship Id="rId3031" Type="http://schemas.openxmlformats.org/officeDocument/2006/relationships/hyperlink" Target="https://drive.google.com/file/d/1l-Q8F5FQrUknMrbRXbwOUcbx1-eaTlZ1/view?usp=drivesdk" TargetMode="External"/><Relationship Id="rId4362" Type="http://schemas.openxmlformats.org/officeDocument/2006/relationships/hyperlink" Target="https://drive.google.com/file/d/1fsTeokBIPAoOgqvIZyop9WF-MFS1rp-c/view?usp=drivesdk" TargetMode="External"/><Relationship Id="rId5696" Type="http://schemas.openxmlformats.org/officeDocument/2006/relationships/hyperlink" Target="https://drive.google.com/file/d/1GU3w3HZi5g6wtN7m-S_SgTM9X4_2YnDi/view?usp=drivesdk" TargetMode="External"/><Relationship Id="rId3034" Type="http://schemas.openxmlformats.org/officeDocument/2006/relationships/hyperlink" Target="https://drive.google.com/file/d/1LsIbLJKyQjbz33BpbfqanXGRnG_rRloH/view?usp=drivesdk" TargetMode="External"/><Relationship Id="rId4365" Type="http://schemas.openxmlformats.org/officeDocument/2006/relationships/hyperlink" Target="https://drive.google.com/file/d/1Sa5vzsR6AU9ypUgy05xdx3Vj_bsTHzTL/view?usp=drivesdk" TargetMode="External"/><Relationship Id="rId5693" Type="http://schemas.openxmlformats.org/officeDocument/2006/relationships/hyperlink" Target="https://drive.google.com/file/d/1DAafQ4YoV93KsFzeerGF9BW5LHGC6_f4/view?usp=drivesdk" TargetMode="External"/><Relationship Id="rId3033" Type="http://schemas.openxmlformats.org/officeDocument/2006/relationships/hyperlink" Target="https://drive.google.com/file/d/1jmjJBUALEgZh9XUndqDrp8mDUeoJSi3x/view?usp=drivesdk" TargetMode="External"/><Relationship Id="rId4364" Type="http://schemas.openxmlformats.org/officeDocument/2006/relationships/hyperlink" Target="https://drive.google.com/file/d/1o4WaR9KUCpsmqhhfxakQ2fAQ0Lyay0t5/view?usp=drivesdk" TargetMode="External"/><Relationship Id="rId5694" Type="http://schemas.openxmlformats.org/officeDocument/2006/relationships/hyperlink" Target="https://drive.google.com/file/d/1m575x1mWCTdjtTCwkNvs3UO-ATj7j0Vz/view?usp=drivesdk" TargetMode="External"/><Relationship Id="rId3036" Type="http://schemas.openxmlformats.org/officeDocument/2006/relationships/hyperlink" Target="https://drive.google.com/file/d/1ORzj0J65ZHLJevfs8XG44ZVjNLolGNwI/view?usp=drivesdk" TargetMode="External"/><Relationship Id="rId4367" Type="http://schemas.openxmlformats.org/officeDocument/2006/relationships/hyperlink" Target="https://drive.google.com/file/d/15qtwKmC45MjGiMK0vOSwjMiuYvUYElJP/view?usp=drivesdk" TargetMode="External"/><Relationship Id="rId5699" Type="http://schemas.openxmlformats.org/officeDocument/2006/relationships/hyperlink" Target="https://drive.google.com/file/d/18fWueK6EUS5jqsO8-Yh-FZNSTaiohw_w/view?usp=drivesdk" TargetMode="External"/><Relationship Id="rId3035" Type="http://schemas.openxmlformats.org/officeDocument/2006/relationships/hyperlink" Target="https://drive.google.com/file/d/1VkKcGBpCtAfeqrJ6yO9FNeaLWSsQxtRV/view?usp=drivesdk" TargetMode="External"/><Relationship Id="rId4366" Type="http://schemas.openxmlformats.org/officeDocument/2006/relationships/hyperlink" Target="https://drive.google.com/file/d/1xU_KFv4HADqKQ76CJR5I239Jj_ROmvrT/view?usp=drivesdk" TargetMode="External"/><Relationship Id="rId3038" Type="http://schemas.openxmlformats.org/officeDocument/2006/relationships/hyperlink" Target="https://drive.google.com/file/d/1bC5g2F3Uv7I5cx27tPE55B4HCDwh_Rr8/view?usp=drivesdk" TargetMode="External"/><Relationship Id="rId4369" Type="http://schemas.openxmlformats.org/officeDocument/2006/relationships/hyperlink" Target="https://drive.google.com/file/d/1zM-_PaAaWbrxAi1TKku-ff6n3VjYT7c9/view?usp=drivesdk" TargetMode="External"/><Relationship Id="rId5697" Type="http://schemas.openxmlformats.org/officeDocument/2006/relationships/hyperlink" Target="https://drive.google.com/file/d/1EZkOkpEkL2N9vJ6XZXQUxcloBD5zOZjL/view?usp=drivesdk" TargetMode="External"/><Relationship Id="rId3037" Type="http://schemas.openxmlformats.org/officeDocument/2006/relationships/hyperlink" Target="https://drive.google.com/file/d/1hDP55KnBSTXJx64KstWjBCSwSeAPiRRb/view?usp=drivesdk" TargetMode="External"/><Relationship Id="rId4368" Type="http://schemas.openxmlformats.org/officeDocument/2006/relationships/hyperlink" Target="https://drive.google.com/file/d/1qEOn91uiM3Z1spwGaKoc191chf-ZXZ3z/view?usp=drivesdk" TargetMode="External"/><Relationship Id="rId5698" Type="http://schemas.openxmlformats.org/officeDocument/2006/relationships/hyperlink" Target="https://drive.google.com/file/d/1msx6fDAe9PY6apNGPhktu42WhPuKTuOL/view?usp=drivesdk" TargetMode="External"/><Relationship Id="rId3029" Type="http://schemas.openxmlformats.org/officeDocument/2006/relationships/hyperlink" Target="https://drive.google.com/file/d/1MvMj56--eH1Cf20k-S7oC0ofUSuidMmn/view?usp=drivesdk" TargetMode="External"/><Relationship Id="rId3028" Type="http://schemas.openxmlformats.org/officeDocument/2006/relationships/hyperlink" Target="https://drive.google.com/file/d/11ISWMzPPDPYIvOTI2LlaCMORd7DyHUHL/view?usp=drivesdk" TargetMode="External"/><Relationship Id="rId4359" Type="http://schemas.openxmlformats.org/officeDocument/2006/relationships/hyperlink" Target="https://drive.google.com/file/d/1mbPFYgfER97TgRLcVojPP3N2XMfRSG5e/view?usp=drivesdk" TargetMode="External"/><Relationship Id="rId5680" Type="http://schemas.openxmlformats.org/officeDocument/2006/relationships/hyperlink" Target="https://drive.google.com/file/d/1QkQ-IcvNuTQFH6NNmRJMahGj8Ul_A56X/view?usp=drivesdk" TargetMode="External"/><Relationship Id="rId5681" Type="http://schemas.openxmlformats.org/officeDocument/2006/relationships/hyperlink" Target="https://drive.google.com/file/d/1POMinn3Qnw-4iC8CWhGAKnH2oUN-RA2c/view?usp=drivesdk" TargetMode="External"/><Relationship Id="rId4350" Type="http://schemas.openxmlformats.org/officeDocument/2006/relationships/hyperlink" Target="https://drive.google.com/file/d/177BXMrTZAyrWNDW8TVBpjHpfhbC90Y36/view?usp=drivesdk" TargetMode="External"/><Relationship Id="rId3021" Type="http://schemas.openxmlformats.org/officeDocument/2006/relationships/hyperlink" Target="https://drive.google.com/file/d/1ITqJE0vp9Ifm0O3AZp7sVJxWSRk6HrV_/view?usp=drivesdk" TargetMode="External"/><Relationship Id="rId4352" Type="http://schemas.openxmlformats.org/officeDocument/2006/relationships/hyperlink" Target="https://drive.google.com/file/d/1LEXPzGBW_zv8P6WVd1zufbcrSh3Rglp_/view?usp=drivesdk" TargetMode="External"/><Relationship Id="rId5684" Type="http://schemas.openxmlformats.org/officeDocument/2006/relationships/hyperlink" Target="https://drive.google.com/file/d/1T-C9JGC0wCUdqBa29-8QoXA2D_vsAmaW/view?usp=drivesdk" TargetMode="External"/><Relationship Id="rId3020" Type="http://schemas.openxmlformats.org/officeDocument/2006/relationships/hyperlink" Target="https://drive.google.com/file/d/1FUxrWx0K8nb0j07y1zxhvfLsg-K0B3DU/view?usp=drivesdk" TargetMode="External"/><Relationship Id="rId4351" Type="http://schemas.openxmlformats.org/officeDocument/2006/relationships/hyperlink" Target="https://drive.google.com/file/d/10rcERrfxcmVw8nJlHtgf1laLxrXc9Ehk/view?usp=drivesdk" TargetMode="External"/><Relationship Id="rId5685" Type="http://schemas.openxmlformats.org/officeDocument/2006/relationships/hyperlink" Target="https://drive.google.com/file/d/1oJiAS3SfzNf78QN1SK5Q3cXi57LCxBkc/view?usp=drivesdk" TargetMode="External"/><Relationship Id="rId3023" Type="http://schemas.openxmlformats.org/officeDocument/2006/relationships/hyperlink" Target="https://drive.google.com/file/d/1n6ifkNReb_udA_fcPZYVT8fMpsL1mJWy/view?usp=drivesdk" TargetMode="External"/><Relationship Id="rId4354" Type="http://schemas.openxmlformats.org/officeDocument/2006/relationships/hyperlink" Target="https://drive.google.com/file/d/1ZS4qGb3UoGmUNviKG_XN9rYw5xIwLPwj/view?usp=drivesdk" TargetMode="External"/><Relationship Id="rId5682" Type="http://schemas.openxmlformats.org/officeDocument/2006/relationships/hyperlink" Target="https://drive.google.com/file/d/117V4cgfLKXegeuGiD582S1fAYir49MRV/view?usp=drivesdk" TargetMode="External"/><Relationship Id="rId3022" Type="http://schemas.openxmlformats.org/officeDocument/2006/relationships/hyperlink" Target="https://drive.google.com/file/d/1N2hrjs80RlPGrFZE3Ne_1ak5a5sYPMRf/view?usp=drivesdk" TargetMode="External"/><Relationship Id="rId4353" Type="http://schemas.openxmlformats.org/officeDocument/2006/relationships/hyperlink" Target="https://drive.google.com/file/d/16BFraqTwTG7_QhT-yZH8grTZ8QK2o6Ap/view?usp=drivesdk" TargetMode="External"/><Relationship Id="rId5683" Type="http://schemas.openxmlformats.org/officeDocument/2006/relationships/hyperlink" Target="https://drive.google.com/file/d/1STpwc-dnEg5EMOGodNq5gtHKi8b37bla/view?usp=drivesdk" TargetMode="External"/><Relationship Id="rId3025" Type="http://schemas.openxmlformats.org/officeDocument/2006/relationships/hyperlink" Target="https://drive.google.com/file/d/1qVWCf6_uVCuXJbpooSi2UEyyAI42qy07/view?usp=drivesdk" TargetMode="External"/><Relationship Id="rId4356" Type="http://schemas.openxmlformats.org/officeDocument/2006/relationships/hyperlink" Target="https://drive.google.com/file/d/1SyYuXkR6bdRkNluprs-Cc0WunGxYbn1m/view?usp=drivesdk" TargetMode="External"/><Relationship Id="rId5688" Type="http://schemas.openxmlformats.org/officeDocument/2006/relationships/hyperlink" Target="https://drive.google.com/file/d/1-GEgpTOZjkA4-A4qLpX9S0BwsOPAT4wg/view?usp=drivesdk" TargetMode="External"/><Relationship Id="rId3024" Type="http://schemas.openxmlformats.org/officeDocument/2006/relationships/hyperlink" Target="https://drive.google.com/file/d/1yJVZC43xsklj_X9nrQ0NuLI3rc2YaQot/view?usp=drivesdk" TargetMode="External"/><Relationship Id="rId4355" Type="http://schemas.openxmlformats.org/officeDocument/2006/relationships/hyperlink" Target="https://drive.google.com/file/d/1wHF_csqmgMBUt_8dn3kPeCOyFqj_1iIo/view?usp=drivesdk" TargetMode="External"/><Relationship Id="rId5689" Type="http://schemas.openxmlformats.org/officeDocument/2006/relationships/hyperlink" Target="https://drive.google.com/file/d/1DgMImbXv_mrRvIIKh1fUpYBEwVJ61-s6/view?usp=drivesdk" TargetMode="External"/><Relationship Id="rId3027" Type="http://schemas.openxmlformats.org/officeDocument/2006/relationships/hyperlink" Target="https://drive.google.com/file/d/1owHG7BKlLoKQQCgvOpzGVPbOLRtyVbvb/view?usp=drivesdk" TargetMode="External"/><Relationship Id="rId4358" Type="http://schemas.openxmlformats.org/officeDocument/2006/relationships/hyperlink" Target="https://drive.google.com/file/d/1bY5Fx2_lr6ga0Uah6gvlcRuuaUAsbpxD/view?usp=drivesdk" TargetMode="External"/><Relationship Id="rId5686" Type="http://schemas.openxmlformats.org/officeDocument/2006/relationships/hyperlink" Target="https://drive.google.com/file/d/1mW3OZaYrp2uVLf8Ws3xfY3VtBDh4CXuR/view?usp=drivesdk" TargetMode="External"/><Relationship Id="rId3026" Type="http://schemas.openxmlformats.org/officeDocument/2006/relationships/hyperlink" Target="https://drive.google.com/file/d/1FurYFTsfJCSY7d6ZIPrYtjDq3XBnMysj/view?usp=drivesdk" TargetMode="External"/><Relationship Id="rId4357" Type="http://schemas.openxmlformats.org/officeDocument/2006/relationships/hyperlink" Target="https://drive.google.com/file/d/1KO79wvootnn7mX0IEoTXeXZZnd5CsO0x/view?usp=drivesdk" TargetMode="External"/><Relationship Id="rId5687" Type="http://schemas.openxmlformats.org/officeDocument/2006/relationships/hyperlink" Target="https://drive.google.com/file/d/1yuil8ZMYSCIi3aXt36xkJ3yjG6SovRjg/view?usp=drivesdk" TargetMode="External"/><Relationship Id="rId3050" Type="http://schemas.openxmlformats.org/officeDocument/2006/relationships/hyperlink" Target="https://drive.google.com/file/d/1iocnevj5wq6-6OPBbCmCEcwwvc7qZ55W/view?usp=drivesdk" TargetMode="External"/><Relationship Id="rId4381" Type="http://schemas.openxmlformats.org/officeDocument/2006/relationships/hyperlink" Target="https://drive.google.com/file/d/1n3lKGrfXCRIOBBGkX5gXzHyY_i83KjBl/view?usp=drivesdk" TargetMode="External"/><Relationship Id="rId4380" Type="http://schemas.openxmlformats.org/officeDocument/2006/relationships/hyperlink" Target="https://drive.google.com/file/d/1Gl9qmiTjSi50o9prMMEZFbgtv7aC6_Tj/view?usp=drivesdk" TargetMode="External"/><Relationship Id="rId3052" Type="http://schemas.openxmlformats.org/officeDocument/2006/relationships/hyperlink" Target="https://drive.google.com/file/d/1260pkMW82tcD2XoSBSDpoa0TbvuL4cck/view?usp=drivesdk" TargetMode="External"/><Relationship Id="rId4383" Type="http://schemas.openxmlformats.org/officeDocument/2006/relationships/hyperlink" Target="https://drive.google.com/file/d/14JDqGDr7V2K5bdef1k3RgTU60-LJ6lbD/view?usp=drivesdk" TargetMode="External"/><Relationship Id="rId3051" Type="http://schemas.openxmlformats.org/officeDocument/2006/relationships/hyperlink" Target="https://drive.google.com/file/d/19-Jnvxu1BPWmc4xMdbZomdh37yNPYguq/view?usp=drivesdk" TargetMode="External"/><Relationship Id="rId4382" Type="http://schemas.openxmlformats.org/officeDocument/2006/relationships/hyperlink" Target="https://drive.google.com/file/d/1Wg1sGdnEOi4d8j4LFfnOkgZKDN0vg1BL/view?usp=drivesdk" TargetMode="External"/><Relationship Id="rId3054" Type="http://schemas.openxmlformats.org/officeDocument/2006/relationships/hyperlink" Target="https://drive.google.com/file/d/1NPb-e4iEcvwEEPBarOmjbMB5ZiYk_Tpm/view?usp=drivesdk" TargetMode="External"/><Relationship Id="rId4385" Type="http://schemas.openxmlformats.org/officeDocument/2006/relationships/hyperlink" Target="https://drive.google.com/file/d/1Y1jdwnfgT8slWeWbui6hdotblyaauDNa/view?usp=drivesdk" TargetMode="External"/><Relationship Id="rId3053" Type="http://schemas.openxmlformats.org/officeDocument/2006/relationships/hyperlink" Target="https://drive.google.com/file/d/1kS1Rl-UL3R5ZrKi-qvkJ746tUqm1bYcf/view?usp=drivesdk" TargetMode="External"/><Relationship Id="rId4384" Type="http://schemas.openxmlformats.org/officeDocument/2006/relationships/hyperlink" Target="https://drive.google.com/file/d/1Ob9hbJ1dqG6UwsxJTj-acyKPLyr9JdsU/view?usp=drivesdk" TargetMode="External"/><Relationship Id="rId3056" Type="http://schemas.openxmlformats.org/officeDocument/2006/relationships/hyperlink" Target="https://drive.google.com/file/d/1AupACqzLi0TzWByndIWlpJ4Eb279BlL8/view?usp=drivesdk" TargetMode="External"/><Relationship Id="rId4387" Type="http://schemas.openxmlformats.org/officeDocument/2006/relationships/hyperlink" Target="https://drive.google.com/file/d/1fcsFfOPJKf-n-VPyVYq9oBJ61gO8lrCN/view?usp=drivesdk" TargetMode="External"/><Relationship Id="rId3055" Type="http://schemas.openxmlformats.org/officeDocument/2006/relationships/hyperlink" Target="https://drive.google.com/file/d/1ePIJYtT9Fw3pIveS-ecAi91Nlw2hjUrd/view?usp=drivesdk" TargetMode="External"/><Relationship Id="rId4386" Type="http://schemas.openxmlformats.org/officeDocument/2006/relationships/hyperlink" Target="https://drive.google.com/file/d/11wRneZFmIRicM4Aw7oRo1oXgkXZwscez/view?usp=drivesdk" TargetMode="External"/><Relationship Id="rId3058" Type="http://schemas.openxmlformats.org/officeDocument/2006/relationships/hyperlink" Target="https://drive.google.com/file/d/1hJcPk45m7d98DV8DmGg2_WfEjt_tlx5f/view?usp=drivesdk" TargetMode="External"/><Relationship Id="rId4389" Type="http://schemas.openxmlformats.org/officeDocument/2006/relationships/hyperlink" Target="https://drive.google.com/file/d/1l_EOhjBK40ub6-xHQ_VNhU8dJDpulLHC/view?usp=drivesdk" TargetMode="External"/><Relationship Id="rId3057" Type="http://schemas.openxmlformats.org/officeDocument/2006/relationships/hyperlink" Target="https://drive.google.com/file/d/1HAhyoLgY9QnHfYZCxxGgrEhWR-CGSZB4/view?usp=drivesdk" TargetMode="External"/><Relationship Id="rId4388" Type="http://schemas.openxmlformats.org/officeDocument/2006/relationships/hyperlink" Target="https://drive.google.com/file/d/1Waom8xTzvV7z0oHrwQMlUtLaRmeiK9_3/view?usp=drivesdk" TargetMode="External"/><Relationship Id="rId3059" Type="http://schemas.openxmlformats.org/officeDocument/2006/relationships/hyperlink" Target="https://drive.google.com/file/d/1OGbbPufqtGWppZOoF4ytICmZhP-nedn4/view?usp=drivesdk" TargetMode="External"/><Relationship Id="rId4370" Type="http://schemas.openxmlformats.org/officeDocument/2006/relationships/hyperlink" Target="https://drive.google.com/file/d/1twG6SG_d9UXOp9XqT-Ch3t0SLuJ5LmFX/view?usp=drivesdk" TargetMode="External"/><Relationship Id="rId3041" Type="http://schemas.openxmlformats.org/officeDocument/2006/relationships/hyperlink" Target="https://drive.google.com/file/d/1FGqeOO7a8mMO094kj9imU2PdOb_-U1XG/view?usp=drivesdk" TargetMode="External"/><Relationship Id="rId4372" Type="http://schemas.openxmlformats.org/officeDocument/2006/relationships/hyperlink" Target="https://drive.google.com/file/d/1I8rGXIm7XBr7gJ6NrBkR3AbiV2tUjciO/view?usp=drivesdk" TargetMode="External"/><Relationship Id="rId3040" Type="http://schemas.openxmlformats.org/officeDocument/2006/relationships/hyperlink" Target="https://drive.google.com/file/d/1-OcpNQbcy_d7ZJdX1ao55sgWTwuvSQvM/view?usp=drivesdk" TargetMode="External"/><Relationship Id="rId4371" Type="http://schemas.openxmlformats.org/officeDocument/2006/relationships/hyperlink" Target="https://drive.google.com/file/d/1Cl55CnGE6b4dKJMQzj5cHGXWamOFBkrz/view?usp=drivesdk" TargetMode="External"/><Relationship Id="rId3043" Type="http://schemas.openxmlformats.org/officeDocument/2006/relationships/hyperlink" Target="https://drive.google.com/file/d/11C_Yj6mfhy5JlM7JhmPmIu0Ar-vOhm8w/view?usp=drivesdk" TargetMode="External"/><Relationship Id="rId4374" Type="http://schemas.openxmlformats.org/officeDocument/2006/relationships/hyperlink" Target="https://drive.google.com/file/d/1n7BTUclCK33-4NUUydrJk3xU97OQsZ0A/view?usp=drivesdk" TargetMode="External"/><Relationship Id="rId3042" Type="http://schemas.openxmlformats.org/officeDocument/2006/relationships/hyperlink" Target="https://drive.google.com/file/d/1XoS2pCuFhasHYK7UE05TViaRlzo-SJPh/view?usp=drivesdk" TargetMode="External"/><Relationship Id="rId4373" Type="http://schemas.openxmlformats.org/officeDocument/2006/relationships/hyperlink" Target="https://drive.google.com/file/d/1duBkvrzOXVsWjqZTGaiOvfDDWT4h9aDO/view?usp=drivesdk" TargetMode="External"/><Relationship Id="rId3045" Type="http://schemas.openxmlformats.org/officeDocument/2006/relationships/hyperlink" Target="https://drive.google.com/file/d/1pwh4lZpImibsjvl-UJvtvbJNFn1CZH-W/view?usp=drivesdk" TargetMode="External"/><Relationship Id="rId4376" Type="http://schemas.openxmlformats.org/officeDocument/2006/relationships/hyperlink" Target="https://drive.google.com/file/d/1otmaKvuUrMYjhA0NfNedac-gcbA_oXFY/view?usp=drivesdk" TargetMode="External"/><Relationship Id="rId3044" Type="http://schemas.openxmlformats.org/officeDocument/2006/relationships/hyperlink" Target="https://drive.google.com/file/d/1Rqo5arnhaqekea9PBXcPtAedz2tMHOZL/view?usp=drivesdk" TargetMode="External"/><Relationship Id="rId4375" Type="http://schemas.openxmlformats.org/officeDocument/2006/relationships/hyperlink" Target="https://drive.google.com/file/d/1Ol5u4zPfWQYQarBR6W5nAVSVFnuYr3Qt/view?usp=drivesdk" TargetMode="External"/><Relationship Id="rId3047" Type="http://schemas.openxmlformats.org/officeDocument/2006/relationships/hyperlink" Target="https://drive.google.com/file/d/1tPcjnAlztC5iN_f2dl8YqFR5Qs3mQ-jv/view?usp=drivesdk" TargetMode="External"/><Relationship Id="rId4378" Type="http://schemas.openxmlformats.org/officeDocument/2006/relationships/hyperlink" Target="https://drive.google.com/file/d/1vTmpwZoLYanEvW31VUqZZ733qwpkuxTj/view?usp=drivesdk" TargetMode="External"/><Relationship Id="rId3046" Type="http://schemas.openxmlformats.org/officeDocument/2006/relationships/hyperlink" Target="https://drive.google.com/file/d/1GfGGauipAg0vP7lx7-G9cWzwMDKbypGw/view?usp=drivesdk" TargetMode="External"/><Relationship Id="rId4377" Type="http://schemas.openxmlformats.org/officeDocument/2006/relationships/hyperlink" Target="https://drive.google.com/file/d/15F2pm2ISmsntwtnwbOaXXDmlLO2Rwrsp/view?usp=drivesdk" TargetMode="External"/><Relationship Id="rId3049" Type="http://schemas.openxmlformats.org/officeDocument/2006/relationships/hyperlink" Target="https://drive.google.com/file/d/17iLKttfk6Sm8zGgPxIXdGzaat4auJ8II/view?usp=drivesdk" TargetMode="External"/><Relationship Id="rId3048" Type="http://schemas.openxmlformats.org/officeDocument/2006/relationships/hyperlink" Target="https://drive.google.com/file/d/1K1e3hxAXLSlm12tChaGK73XlJmFkLIZ-/view?usp=drivesdk" TargetMode="External"/><Relationship Id="rId4379" Type="http://schemas.openxmlformats.org/officeDocument/2006/relationships/hyperlink" Target="https://drive.google.com/file/d/1srTQvUHmYB66qMScEPsFaL3-zGpt13TD/view?usp=drivesdk" TargetMode="External"/><Relationship Id="rId5714" Type="http://schemas.openxmlformats.org/officeDocument/2006/relationships/hyperlink" Target="https://drive.google.com/file/d/18lKOMD6Z0vThKTzHop1JnV27k237xVo8/view?usp=drivesdk" TargetMode="External"/><Relationship Id="rId5715" Type="http://schemas.openxmlformats.org/officeDocument/2006/relationships/hyperlink" Target="https://drive.google.com/file/d/14CprPFYo3mIjO6VeDQo3YVJ2g9D4yINa/view?usp=drivesdk" TargetMode="External"/><Relationship Id="rId5712" Type="http://schemas.openxmlformats.org/officeDocument/2006/relationships/hyperlink" Target="https://drive.google.com/file/d/1wjCkqcaZcQmv3Fz_ufqU29u0LwsKTsfY/view?usp=drivesdk" TargetMode="External"/><Relationship Id="rId5713" Type="http://schemas.openxmlformats.org/officeDocument/2006/relationships/hyperlink" Target="https://drive.google.com/file/d/1QCYrsClNpj6OJAd4ns2vP_HiQQG6JYOK/view?usp=drivesdk" TargetMode="External"/><Relationship Id="rId5718" Type="http://schemas.openxmlformats.org/officeDocument/2006/relationships/hyperlink" Target="https://drive.google.com/file/d/1JTa2QR6LeHcKr_Ve0FkaNZrp_u2k0JiP/view?usp=drivesdk" TargetMode="External"/><Relationship Id="rId5719" Type="http://schemas.openxmlformats.org/officeDocument/2006/relationships/hyperlink" Target="https://drive.google.com/file/d/14KBiZJK8eogJ2qOwWDwGJAiwUtpjaPCs/view?usp=drivesdk" TargetMode="External"/><Relationship Id="rId5716" Type="http://schemas.openxmlformats.org/officeDocument/2006/relationships/hyperlink" Target="https://drive.google.com/file/d/1M5m9hKjC6qYopPnbboK-doB1vXVRb0SS/view?usp=drivesdk" TargetMode="External"/><Relationship Id="rId5717" Type="http://schemas.openxmlformats.org/officeDocument/2006/relationships/hyperlink" Target="https://drive.google.com/file/d/1oW-xcpERB03t89wnz6RFEZnvz3PVoco6/view?usp=drivesdk" TargetMode="External"/><Relationship Id="rId5710" Type="http://schemas.openxmlformats.org/officeDocument/2006/relationships/hyperlink" Target="https://drive.google.com/file/d/1ATV8yGjsKSHg13qbELl7DatlhMhw0Oqm/view?usp=drivesdk" TargetMode="External"/><Relationship Id="rId5711" Type="http://schemas.openxmlformats.org/officeDocument/2006/relationships/hyperlink" Target="https://drive.google.com/file/d/1qBt4BDkyywT20qlIZahpP8jxdH-HEqc3/view?usp=drivesdk" TargetMode="External"/><Relationship Id="rId5703" Type="http://schemas.openxmlformats.org/officeDocument/2006/relationships/hyperlink" Target="https://drive.google.com/file/d/1f6zA5WUeM0uxLoe_D4Wiz0PB_iFz_iTh/view?usp=drivesdk" TargetMode="External"/><Relationship Id="rId5704" Type="http://schemas.openxmlformats.org/officeDocument/2006/relationships/hyperlink" Target="https://drive.google.com/file/d/11wLhdi_nXBW3ekxO-oqdSA7J9bJTXSmA/view?usp=drivesdk" TargetMode="External"/><Relationship Id="rId5701" Type="http://schemas.openxmlformats.org/officeDocument/2006/relationships/hyperlink" Target="https://drive.google.com/file/d/1ORowWRjUi7MvJMemMZe2wmPSK-jpv-vL/view?usp=drivesdk" TargetMode="External"/><Relationship Id="rId5702" Type="http://schemas.openxmlformats.org/officeDocument/2006/relationships/hyperlink" Target="https://drive.google.com/file/d/1YZ7OuEAyqCyLQqWaeyXj0p5rUvJAdbb9/view?usp=drivesdk" TargetMode="External"/><Relationship Id="rId5707" Type="http://schemas.openxmlformats.org/officeDocument/2006/relationships/hyperlink" Target="https://drive.google.com/file/d/1qJ7vdMXFWdeXYiTMTYrzp1Y58t4-doNH/view?usp=drivesdk" TargetMode="External"/><Relationship Id="rId5708" Type="http://schemas.openxmlformats.org/officeDocument/2006/relationships/hyperlink" Target="https://drive.google.com/file/d/1FekJZXUcYRLN6TJ3vsWVRdVGatKMlAfq/view?usp=drivesdk" TargetMode="External"/><Relationship Id="rId5705" Type="http://schemas.openxmlformats.org/officeDocument/2006/relationships/hyperlink" Target="https://drive.google.com/file/d/1mNbIRdUVIpZARghwQsqyN1IFb3Opc6aO/view?usp=drivesdk" TargetMode="External"/><Relationship Id="rId5706" Type="http://schemas.openxmlformats.org/officeDocument/2006/relationships/hyperlink" Target="https://drive.google.com/file/d/1UKZTeGySS2nfI9huD_veZicSt8G0b3PU/view?usp=drivesdk" TargetMode="External"/><Relationship Id="rId5709" Type="http://schemas.openxmlformats.org/officeDocument/2006/relationships/hyperlink" Target="https://drive.google.com/file/d/1lU1ArG5_P-iOHKmSIUYYYG6viRpa05C_/view?usp=drivesdk" TargetMode="External"/><Relationship Id="rId5700" Type="http://schemas.openxmlformats.org/officeDocument/2006/relationships/hyperlink" Target="https://drive.google.com/file/d/1_FrAh4iXGAn-RAC84TQ5dmjmxeU-z6Ze/view?usp=drivesdk" TargetMode="External"/><Relationship Id="rId3117" Type="http://schemas.openxmlformats.org/officeDocument/2006/relationships/hyperlink" Target="https://drive.google.com/file/d/1zq6wOYfDO1g--oA4nGl2q1aTOo6PRlmP/view?usp=drivesdk" TargetMode="External"/><Relationship Id="rId4448" Type="http://schemas.openxmlformats.org/officeDocument/2006/relationships/hyperlink" Target="https://drive.google.com/file/d/1OVzbqCLUPhx668X1JEGKABCZrOACprSY/view?usp=drivesdk" TargetMode="External"/><Relationship Id="rId3116" Type="http://schemas.openxmlformats.org/officeDocument/2006/relationships/hyperlink" Target="https://drive.google.com/file/d/1_XWROOqw8wQ9BXOmWLugZadfI9mfK1ho/view?usp=drivesdk" TargetMode="External"/><Relationship Id="rId4447" Type="http://schemas.openxmlformats.org/officeDocument/2006/relationships/hyperlink" Target="https://drive.google.com/file/d/1GIKuThejXsHVRfDFkdgbNXFB3Z6sYzIm/view?usp=drivesdk" TargetMode="External"/><Relationship Id="rId3119" Type="http://schemas.openxmlformats.org/officeDocument/2006/relationships/hyperlink" Target="https://drive.google.com/file/d/1YX1GUYlsxaqWQEjw8pW47iyM0zwnCDln/view?usp=drivesdk" TargetMode="External"/><Relationship Id="rId5778" Type="http://schemas.openxmlformats.org/officeDocument/2006/relationships/hyperlink" Target="https://drive.google.com/file/d/1zH6CWQyMPVb4VUeSK2tUvLPjBjUE-kuA/view?usp=drivesdk" TargetMode="External"/><Relationship Id="rId3118" Type="http://schemas.openxmlformats.org/officeDocument/2006/relationships/hyperlink" Target="https://drive.google.com/file/d/1plyK1Znp8J-SqUcU32Ij4xV9ieJ3KtNo/view?usp=drivesdk" TargetMode="External"/><Relationship Id="rId4449" Type="http://schemas.openxmlformats.org/officeDocument/2006/relationships/hyperlink" Target="https://drive.google.com/file/d/19eH6foMHo_owSnor2K-UmSRr_GiMN5E2/view?usp=drivesdk" TargetMode="External"/><Relationship Id="rId5779" Type="http://schemas.openxmlformats.org/officeDocument/2006/relationships/hyperlink" Target="https://drive.google.com/file/d/16Bi1OlNG_fJv5SAv0XllSP5OChN8CyL3/view?usp=drivesdk" TargetMode="External"/><Relationship Id="rId4440" Type="http://schemas.openxmlformats.org/officeDocument/2006/relationships/hyperlink" Target="https://drive.google.com/file/d/17-J0nR85v06aPP5L8g7nF-cnmDhNN5lH/view?usp=drivesdk" TargetMode="External"/><Relationship Id="rId5772" Type="http://schemas.openxmlformats.org/officeDocument/2006/relationships/hyperlink" Target="https://drive.google.com/file/d/1yuALDk_SursEtskV5U1T_q2_veltYG9D/view?usp=drivesdk" TargetMode="External"/><Relationship Id="rId5773" Type="http://schemas.openxmlformats.org/officeDocument/2006/relationships/hyperlink" Target="https://drive.google.com/file/d/1-fXuPecJlxe1krkykkMjcAU7mv4iMIy9/view?usp=drivesdk" TargetMode="External"/><Relationship Id="rId3111" Type="http://schemas.openxmlformats.org/officeDocument/2006/relationships/hyperlink" Target="https://drive.google.com/file/d/1pN6mlG_z7rrzK5X02kfALhB4xhWhv9Sf/view?usp=drivesdk" TargetMode="External"/><Relationship Id="rId4442" Type="http://schemas.openxmlformats.org/officeDocument/2006/relationships/hyperlink" Target="https://drive.google.com/file/d/18QYtvt_yIcnn5VGewNmqGfXXbIro8ivO/view?usp=drivesdk" TargetMode="External"/><Relationship Id="rId5770" Type="http://schemas.openxmlformats.org/officeDocument/2006/relationships/hyperlink" Target="https://drive.google.com/file/d/1d7Ux2pbE7mgh8Lybvjx9DlszMGwlRCcG/view?usp=drivesdk" TargetMode="External"/><Relationship Id="rId3110" Type="http://schemas.openxmlformats.org/officeDocument/2006/relationships/hyperlink" Target="https://drive.google.com/file/d/16joffHkyQdOephnuYHJ6iq5lQ1OFpuGn/view?usp=drivesdk" TargetMode="External"/><Relationship Id="rId4441" Type="http://schemas.openxmlformats.org/officeDocument/2006/relationships/hyperlink" Target="https://drive.google.com/file/d/1qvnYkSdlk5b21xfj0QtBmV0psMaaBSlW/view?usp=drivesdk" TargetMode="External"/><Relationship Id="rId5771" Type="http://schemas.openxmlformats.org/officeDocument/2006/relationships/hyperlink" Target="https://drive.google.com/file/d/1OJ6C1kaz49ij7PIhK9AjJkpAQW1PXVEf/view?usp=drivesdk" TargetMode="External"/><Relationship Id="rId3113" Type="http://schemas.openxmlformats.org/officeDocument/2006/relationships/hyperlink" Target="https://drive.google.com/file/d/1Ub1HXo1I27sjgf16cz99QfgvomeJWC97/view?usp=drivesdk" TargetMode="External"/><Relationship Id="rId4444" Type="http://schemas.openxmlformats.org/officeDocument/2006/relationships/hyperlink" Target="https://drive.google.com/file/d/1Itah3dD1fEdY64Z9Z0eb9Ai724F3vpFk/view?usp=drivesdk" TargetMode="External"/><Relationship Id="rId5776" Type="http://schemas.openxmlformats.org/officeDocument/2006/relationships/hyperlink" Target="https://drive.google.com/file/d/1YSxjYmhDH8P4ueu4WQASG83Nv2WasjUt/view?usp=drivesdk" TargetMode="External"/><Relationship Id="rId3112" Type="http://schemas.openxmlformats.org/officeDocument/2006/relationships/hyperlink" Target="https://drive.google.com/file/d/1-O3vy5_Gc1MfXiDDuga7IWwGF4XwVOHD/view?usp=drivesdk" TargetMode="External"/><Relationship Id="rId4443" Type="http://schemas.openxmlformats.org/officeDocument/2006/relationships/hyperlink" Target="https://drive.google.com/file/d/19sDzAfSBoyGw7xcLMf-czk0hohvOQov4/view?usp=drivesdk" TargetMode="External"/><Relationship Id="rId5777" Type="http://schemas.openxmlformats.org/officeDocument/2006/relationships/hyperlink" Target="https://drive.google.com/file/d/1iEy4ReD4gD8ItRSwCDFSWKgLonVOdl-5/view?usp=drivesdk" TargetMode="External"/><Relationship Id="rId3115" Type="http://schemas.openxmlformats.org/officeDocument/2006/relationships/hyperlink" Target="https://drive.google.com/file/d/1t3ZT1BTl-Wma1JGzb3b04695OBPL4_td/view?usp=drivesdk" TargetMode="External"/><Relationship Id="rId4446" Type="http://schemas.openxmlformats.org/officeDocument/2006/relationships/hyperlink" Target="https://drive.google.com/file/d/1xlBr5Ghd3-xH1X2iMIw40w1y-b8oseT0/view?usp=drivesdk" TargetMode="External"/><Relationship Id="rId5774" Type="http://schemas.openxmlformats.org/officeDocument/2006/relationships/hyperlink" Target="https://drive.google.com/file/d/1oME51enZRX3Edl5OKy08eWj5NhvUkGYm/view?usp=drivesdk" TargetMode="External"/><Relationship Id="rId3114" Type="http://schemas.openxmlformats.org/officeDocument/2006/relationships/hyperlink" Target="https://drive.google.com/file/d/1EzWBcuzOplZUXU38xFKuURfxln8ufg5_/view?usp=drivesdk" TargetMode="External"/><Relationship Id="rId4445" Type="http://schemas.openxmlformats.org/officeDocument/2006/relationships/hyperlink" Target="https://drive.google.com/file/d/1pnwVczjvrADATVzQttUGaMr0p-2uvzEO/view?usp=drivesdk" TargetMode="External"/><Relationship Id="rId5775" Type="http://schemas.openxmlformats.org/officeDocument/2006/relationships/hyperlink" Target="https://drive.google.com/file/d/1-cwoELcRK3D4TgeQlYE28zvlbhDEPNxp/view?usp=drivesdk" TargetMode="External"/><Relationship Id="rId3106" Type="http://schemas.openxmlformats.org/officeDocument/2006/relationships/hyperlink" Target="https://drive.google.com/file/d/1BNGGlr0ZV074iqlY560DtaLK7jBHFKiP/view?usp=drivesdk" TargetMode="External"/><Relationship Id="rId4437" Type="http://schemas.openxmlformats.org/officeDocument/2006/relationships/hyperlink" Target="https://drive.google.com/file/d/1SjugwNnNgor7Olf0T6yCWj1Gwpt36E9k/view?usp=drivesdk" TargetMode="External"/><Relationship Id="rId5769" Type="http://schemas.openxmlformats.org/officeDocument/2006/relationships/hyperlink" Target="https://drive.google.com/file/d/1H4JRwBd15xMSzudWgAR6CAoW6G1bpTXY/view?usp=drivesdk" TargetMode="External"/><Relationship Id="rId3105" Type="http://schemas.openxmlformats.org/officeDocument/2006/relationships/hyperlink" Target="https://drive.google.com/file/d/1nJxGxHr0I-LoBR95Jc-ly9etSH0z3BpB/view?usp=drivesdk" TargetMode="External"/><Relationship Id="rId4436" Type="http://schemas.openxmlformats.org/officeDocument/2006/relationships/hyperlink" Target="https://drive.google.com/file/d/1phYL-iNzONtVY2ApIOcc_mQ1BCLSDtmW/view?usp=drivesdk" TargetMode="External"/><Relationship Id="rId3108" Type="http://schemas.openxmlformats.org/officeDocument/2006/relationships/hyperlink" Target="https://drive.google.com/file/d/1uP3BA9WP3AOxLhuhgjihBs_Pi9FXdcol/view?usp=drivesdk" TargetMode="External"/><Relationship Id="rId4439" Type="http://schemas.openxmlformats.org/officeDocument/2006/relationships/hyperlink" Target="https://drive.google.com/file/d/1Npj07ZxwTERbKtCTvgOJgKCCjR74jeMP/view?usp=drivesdk" TargetMode="External"/><Relationship Id="rId5767" Type="http://schemas.openxmlformats.org/officeDocument/2006/relationships/hyperlink" Target="https://drive.google.com/file/d/1AvjDv9MPr0C_VeF-5MeZDeIG0PiEy9ri/view?usp=drivesdk" TargetMode="External"/><Relationship Id="rId3107" Type="http://schemas.openxmlformats.org/officeDocument/2006/relationships/hyperlink" Target="https://drive.google.com/file/d/1iJ00Y-ucuPMudiL0B4IpaltTY3us0jF-/view?usp=drivesdk" TargetMode="External"/><Relationship Id="rId4438" Type="http://schemas.openxmlformats.org/officeDocument/2006/relationships/hyperlink" Target="https://drive.google.com/file/d/1iJnbDoMAlwBKnbndolrnIphLhqmJB6jo/view?usp=drivesdk" TargetMode="External"/><Relationship Id="rId5768" Type="http://schemas.openxmlformats.org/officeDocument/2006/relationships/hyperlink" Target="https://drive.google.com/file/d/1Nz9VHDNX0OoIK_0YDdhAQAgHSCvBbDSt/view?usp=drivesdk" TargetMode="External"/><Relationship Id="rId3109" Type="http://schemas.openxmlformats.org/officeDocument/2006/relationships/hyperlink" Target="https://drive.google.com/file/d/1IhBqqXsUWd_LZyRl9L8QCgsPnvpPreKV/view?usp=drivesdk" TargetMode="External"/><Relationship Id="rId5761" Type="http://schemas.openxmlformats.org/officeDocument/2006/relationships/hyperlink" Target="https://drive.google.com/file/d/1DO1F5P-lYHCRpOziurHYEoSMhDc61vdH/view?usp=drivesdk" TargetMode="External"/><Relationship Id="rId5762" Type="http://schemas.openxmlformats.org/officeDocument/2006/relationships/hyperlink" Target="https://drive.google.com/file/d/1Fj39NT68MG3HzXoUWiNu7WmZwlpJgaeV/view?usp=drivesdk" TargetMode="External"/><Relationship Id="rId3100" Type="http://schemas.openxmlformats.org/officeDocument/2006/relationships/hyperlink" Target="https://drive.google.com/file/d/1ig9_FaeAU5cYqovjx6MbRaFGHFE3xi5b/view?usp=drivesdk" TargetMode="External"/><Relationship Id="rId4431" Type="http://schemas.openxmlformats.org/officeDocument/2006/relationships/hyperlink" Target="https://drive.google.com/file/d/1ne8jFdn5NiI11VCrF3tgZBZ5JErB8OdQ/view?usp=drivesdk" TargetMode="External"/><Relationship Id="rId4430" Type="http://schemas.openxmlformats.org/officeDocument/2006/relationships/hyperlink" Target="https://drive.google.com/file/d/1t-X-EIOrFfahXZPrEBU6hUfTNw9xTLOV/view?usp=drivesdk" TargetMode="External"/><Relationship Id="rId5760" Type="http://schemas.openxmlformats.org/officeDocument/2006/relationships/hyperlink" Target="https://drive.google.com/file/d/1dknBJNvwtPUlHQ35fKtsCQrIzrty0lSS/view?usp=drivesdk" TargetMode="External"/><Relationship Id="rId3102" Type="http://schemas.openxmlformats.org/officeDocument/2006/relationships/hyperlink" Target="https://drive.google.com/file/d/1CMoY3L37SBeupvrZz0p1Y9byOE2qGbHQ/view?usp=drivesdk" TargetMode="External"/><Relationship Id="rId4433" Type="http://schemas.openxmlformats.org/officeDocument/2006/relationships/hyperlink" Target="https://drive.google.com/file/d/1qT6X2-KztNsL25Z_D8KvNX45pUBp7ozV/view?usp=drivesdk" TargetMode="External"/><Relationship Id="rId5765" Type="http://schemas.openxmlformats.org/officeDocument/2006/relationships/hyperlink" Target="https://drive.google.com/file/d/1KYym8TQSXm15Kmm3opBjsHAAgbsWcICV/view?usp=drivesdk" TargetMode="External"/><Relationship Id="rId3101" Type="http://schemas.openxmlformats.org/officeDocument/2006/relationships/hyperlink" Target="https://drive.google.com/file/d/1YkxciKx1IOLggdllLXYThnMKjlN26lhc/view?usp=drivesdk" TargetMode="External"/><Relationship Id="rId4432" Type="http://schemas.openxmlformats.org/officeDocument/2006/relationships/hyperlink" Target="https://drive.google.com/file/d/1Z0GekAMQa_6Xds4zR5Op-vWkA3I8fwGX/view?usp=drivesdk" TargetMode="External"/><Relationship Id="rId5766" Type="http://schemas.openxmlformats.org/officeDocument/2006/relationships/hyperlink" Target="https://drive.google.com/file/d/1SuQMl_PaDXKpEQA9mAqTenUhbPNCagNr/view?usp=drivesdk" TargetMode="External"/><Relationship Id="rId3104" Type="http://schemas.openxmlformats.org/officeDocument/2006/relationships/hyperlink" Target="https://drive.google.com/file/d/1tqN1-BaNVeySFC91Hi_WjlXcfn8f9Ylh/view?usp=drivesdk" TargetMode="External"/><Relationship Id="rId4435" Type="http://schemas.openxmlformats.org/officeDocument/2006/relationships/hyperlink" Target="https://drive.google.com/file/d/1rqenjpf0sSbgg26Ozce0kOR6VJCdUiSh/view?usp=drivesdk" TargetMode="External"/><Relationship Id="rId5763" Type="http://schemas.openxmlformats.org/officeDocument/2006/relationships/hyperlink" Target="https://drive.google.com/file/d/1N-axHYyZ45jgFu9n-jM0A3SEqVBOSvCC/view?usp=drivesdk" TargetMode="External"/><Relationship Id="rId3103" Type="http://schemas.openxmlformats.org/officeDocument/2006/relationships/hyperlink" Target="https://drive.google.com/file/d/1ELmFtwAp-CO71Y1HWxdTwgbvaG3vGaoS/view?usp=drivesdk" TargetMode="External"/><Relationship Id="rId4434" Type="http://schemas.openxmlformats.org/officeDocument/2006/relationships/hyperlink" Target="https://drive.google.com/file/d/1Rol9hcxV8BdCEQhIKzKFpe-iL71Za1-x/view?usp=drivesdk" TargetMode="External"/><Relationship Id="rId5764" Type="http://schemas.openxmlformats.org/officeDocument/2006/relationships/hyperlink" Target="https://drive.google.com/file/d/1BE1xVCWwBBoiVlper4laDdVE1qamTo7_/view?usp=drivesdk" TargetMode="External"/><Relationship Id="rId3139" Type="http://schemas.openxmlformats.org/officeDocument/2006/relationships/hyperlink" Target="https://drive.google.com/file/d/1ej0hSnG6z0KRF0nMrtvGvfrliwhsjc4t/view?usp=drivesdk" TargetMode="External"/><Relationship Id="rId3138" Type="http://schemas.openxmlformats.org/officeDocument/2006/relationships/hyperlink" Target="https://drive.google.com/file/d/1O5sw4tGMfXqC3QTQisMAl_dNbTs5ABtG/view?usp=drivesdk" TargetMode="External"/><Relationship Id="rId4469" Type="http://schemas.openxmlformats.org/officeDocument/2006/relationships/hyperlink" Target="https://drive.google.com/file/d/1KrejfMrs4rdAQfEnbEGQCGLzeQzH-3Ig/view?usp=drivesdk" TargetMode="External"/><Relationship Id="rId5790" Type="http://schemas.openxmlformats.org/officeDocument/2006/relationships/hyperlink" Target="https://drive.google.com/file/d/1cAXUaPstdni7Up4gBBF-35uEbJ_JwV9L/view?usp=drivesdk" TargetMode="External"/><Relationship Id="rId5791" Type="http://schemas.openxmlformats.org/officeDocument/2006/relationships/hyperlink" Target="https://drive.google.com/file/d/1Mg78lAxgpWZ7N48os2F7Hk0cKIww4IH0/view?usp=drivesdk" TargetMode="External"/><Relationship Id="rId4460" Type="http://schemas.openxmlformats.org/officeDocument/2006/relationships/hyperlink" Target="https://drive.google.com/file/d/1a14n_5LiPsF9UA9CH77MSf0cuG5pjqs4/view?usp=drivesdk" TargetMode="External"/><Relationship Id="rId3131" Type="http://schemas.openxmlformats.org/officeDocument/2006/relationships/hyperlink" Target="https://drive.google.com/file/d/1DY0eoE7n40JH57YAWGi8ULw-25oao_66/view?usp=drivesdk" TargetMode="External"/><Relationship Id="rId4462" Type="http://schemas.openxmlformats.org/officeDocument/2006/relationships/hyperlink" Target="https://drive.google.com/file/d/1HR_4y76AHi_q8GGvzvGoRpuvYP6Oa7y3/view?usp=drivesdk" TargetMode="External"/><Relationship Id="rId5794" Type="http://schemas.openxmlformats.org/officeDocument/2006/relationships/hyperlink" Target="https://drive.google.com/file/d/1HxSJd2RDA0mIgazThzq9l-87zST6b0vb/view?usp=drivesdk" TargetMode="External"/><Relationship Id="rId3130" Type="http://schemas.openxmlformats.org/officeDocument/2006/relationships/hyperlink" Target="https://drive.google.com/file/d/1i0CpqcU8gwTAvA730qaS3a4z2cSluASw/view?usp=drivesdk" TargetMode="External"/><Relationship Id="rId4461" Type="http://schemas.openxmlformats.org/officeDocument/2006/relationships/hyperlink" Target="https://drive.google.com/file/d/1vf1d-Z8r3HVGCHAEDdFoC4-OK5MPY4rv/view?usp=drivesdk" TargetMode="External"/><Relationship Id="rId5795" Type="http://schemas.openxmlformats.org/officeDocument/2006/relationships/hyperlink" Target="https://drive.google.com/file/d/1hUxfVdDh-qdnpgnAbm528R9kjsDszrSd/view?usp=drivesdk" TargetMode="External"/><Relationship Id="rId3133" Type="http://schemas.openxmlformats.org/officeDocument/2006/relationships/hyperlink" Target="https://drive.google.com/file/d/1mItPx_kKdX3Ab46tx0DWYqoqH-q7kXbD/view?usp=drivesdk" TargetMode="External"/><Relationship Id="rId4464" Type="http://schemas.openxmlformats.org/officeDocument/2006/relationships/hyperlink" Target="https://drive.google.com/file/d/1eDZaqo-ncXyJe8yZiUbM0mbk19AZXizK/view?usp=drivesdk" TargetMode="External"/><Relationship Id="rId5792" Type="http://schemas.openxmlformats.org/officeDocument/2006/relationships/hyperlink" Target="https://drive.google.com/file/d/16oefnWJpuvBfgVPrll44BGfUdTZs-HD2/view?usp=drivesdk" TargetMode="External"/><Relationship Id="rId3132" Type="http://schemas.openxmlformats.org/officeDocument/2006/relationships/hyperlink" Target="https://drive.google.com/file/d/1U5zVAxrkq7OAQTbbldYL08NvCFjU7z66/view?usp=drivesdk" TargetMode="External"/><Relationship Id="rId4463" Type="http://schemas.openxmlformats.org/officeDocument/2006/relationships/hyperlink" Target="https://drive.google.com/file/d/1HBefhpXIR5PC1W1BKP8DdVJdlreecghL/view?usp=drivesdk" TargetMode="External"/><Relationship Id="rId5793" Type="http://schemas.openxmlformats.org/officeDocument/2006/relationships/hyperlink" Target="https://drive.google.com/file/d/1ctlq1kiJ2Ufr-3YJrnusSDYWJpTw_uyr/view?usp=drivesdk" TargetMode="External"/><Relationship Id="rId3135" Type="http://schemas.openxmlformats.org/officeDocument/2006/relationships/hyperlink" Target="https://drive.google.com/file/d/1_u4c2l5TKJnkjHXQ40pC52phceFJtpmy/view?usp=drivesdk" TargetMode="External"/><Relationship Id="rId4466" Type="http://schemas.openxmlformats.org/officeDocument/2006/relationships/hyperlink" Target="https://drive.google.com/file/d/1y5I51quSnJfdWGu0r2xGN8C5UHgRtdxe/view?usp=drivesdk" TargetMode="External"/><Relationship Id="rId5798" Type="http://schemas.openxmlformats.org/officeDocument/2006/relationships/hyperlink" Target="https://drive.google.com/file/d/1CMTlBKUOs1WwTEDY2fT731kfYeYtgbqj/view?usp=drivesdk" TargetMode="External"/><Relationship Id="rId3134" Type="http://schemas.openxmlformats.org/officeDocument/2006/relationships/hyperlink" Target="https://drive.google.com/file/d/1A1nyahEyWbT09MsWxJWQD8v9kyjc5IMF/view?usp=drivesdk" TargetMode="External"/><Relationship Id="rId4465" Type="http://schemas.openxmlformats.org/officeDocument/2006/relationships/hyperlink" Target="https://drive.google.com/file/d/1k8jpYdCQALe6H6rHGbYHyWDNG9aRgR6u/view?usp=drivesdk" TargetMode="External"/><Relationship Id="rId5799" Type="http://schemas.openxmlformats.org/officeDocument/2006/relationships/hyperlink" Target="https://drive.google.com/file/d/1Zj9wwXW1pnf7FmNv7VuUyewxM8kJ78Jw/view?usp=drivesdk" TargetMode="External"/><Relationship Id="rId3137" Type="http://schemas.openxmlformats.org/officeDocument/2006/relationships/hyperlink" Target="https://drive.google.com/file/d/1myefv-Drwm_a_-NVqktNmpm6y-QCOg8_/view?usp=drivesdk" TargetMode="External"/><Relationship Id="rId4468" Type="http://schemas.openxmlformats.org/officeDocument/2006/relationships/hyperlink" Target="https://drive.google.com/file/d/1mXw6vvYzTyiIWMBvfRFf1rD2wQIkiQ73/view?usp=drivesdk" TargetMode="External"/><Relationship Id="rId5796" Type="http://schemas.openxmlformats.org/officeDocument/2006/relationships/hyperlink" Target="https://drive.google.com/file/d/1rnzp1utU20YIauMKpKHEwU_L2DYeQeyR/view?usp=drivesdk" TargetMode="External"/><Relationship Id="rId3136" Type="http://schemas.openxmlformats.org/officeDocument/2006/relationships/hyperlink" Target="https://drive.google.com/file/d/1d9OXA3rbCVGhhnA-9hrTXyf9w17DpR0k/view?usp=drivesdk" TargetMode="External"/><Relationship Id="rId4467" Type="http://schemas.openxmlformats.org/officeDocument/2006/relationships/hyperlink" Target="https://drive.google.com/file/d/1JoO-o7KKlsrRYuvMRBrPxnW1bAeuXTSY/view?usp=drivesdk" TargetMode="External"/><Relationship Id="rId5797" Type="http://schemas.openxmlformats.org/officeDocument/2006/relationships/hyperlink" Target="https://drive.google.com/file/d/1ic6FIatvo4rQ4dSOzfMPq6_d0OH7E6Wz/view?usp=drivesdk" TargetMode="External"/><Relationship Id="rId3128" Type="http://schemas.openxmlformats.org/officeDocument/2006/relationships/hyperlink" Target="https://drive.google.com/file/d/1OvWBSGC_FCrA9533qEwcgIgmvh1fXYcG/view?usp=drivesdk" TargetMode="External"/><Relationship Id="rId4459" Type="http://schemas.openxmlformats.org/officeDocument/2006/relationships/hyperlink" Target="https://drive.google.com/file/d/1qmQ3CyxFGEShNXOYQpumagLcbFkUe6Mz/view?usp=drivesdk" TargetMode="External"/><Relationship Id="rId3127" Type="http://schemas.openxmlformats.org/officeDocument/2006/relationships/hyperlink" Target="https://drive.google.com/file/d/1w5CikUnhwfCAtMRVg3ZbCEKd9jGE_SeV/view?usp=drivesdk" TargetMode="External"/><Relationship Id="rId4458" Type="http://schemas.openxmlformats.org/officeDocument/2006/relationships/hyperlink" Target="https://drive.google.com/file/d/1FDC4gZlq6LGcSH-xwGyGbYl4qtEzb1AU/view?usp=drivesdk" TargetMode="External"/><Relationship Id="rId5789" Type="http://schemas.openxmlformats.org/officeDocument/2006/relationships/hyperlink" Target="https://drive.google.com/file/d/1qdoHn5F0v47dKs9GMWIo2ejDf67gq72U/view?usp=drivesdk" TargetMode="External"/><Relationship Id="rId3129" Type="http://schemas.openxmlformats.org/officeDocument/2006/relationships/hyperlink" Target="https://drive.google.com/file/d/1ZsRJbrFqiGVtJkshhujuRyxVUOmVaSfB/view?usp=drivesdk" TargetMode="External"/><Relationship Id="rId5780" Type="http://schemas.openxmlformats.org/officeDocument/2006/relationships/hyperlink" Target="https://drive.google.com/file/d/1IqF7Zdm6vUa2lIje_G4cBnrx7vOkI9QL/view?usp=drivesdk" TargetMode="External"/><Relationship Id="rId3120" Type="http://schemas.openxmlformats.org/officeDocument/2006/relationships/hyperlink" Target="https://drive.google.com/file/d/11dN4v5cGMe5KXoGnNYTUSwh4TqNVKdiT/view?usp=drivesdk" TargetMode="External"/><Relationship Id="rId4451" Type="http://schemas.openxmlformats.org/officeDocument/2006/relationships/hyperlink" Target="https://drive.google.com/file/d/12Yz0zLPEtZPT-bwrl_mZv3Zt-bHlX4Bo/view?usp=drivesdk" TargetMode="External"/><Relationship Id="rId5783" Type="http://schemas.openxmlformats.org/officeDocument/2006/relationships/hyperlink" Target="https://drive.google.com/file/d/1v7Rx7aoWyVtq06FoTr6rui0aB-pBlMU3/view?usp=drivesdk" TargetMode="External"/><Relationship Id="rId4450" Type="http://schemas.openxmlformats.org/officeDocument/2006/relationships/hyperlink" Target="https://drive.google.com/file/d/1kkWYn3lxbPZx0VJZT-ZPIbFIzvWgTdQZ/view?usp=drivesdk" TargetMode="External"/><Relationship Id="rId5784" Type="http://schemas.openxmlformats.org/officeDocument/2006/relationships/hyperlink" Target="https://drive.google.com/file/d/1sIp7uhhHfkFGutdrYjrKwypM8O0MhwmL/view?usp=drivesdk" TargetMode="External"/><Relationship Id="rId3122" Type="http://schemas.openxmlformats.org/officeDocument/2006/relationships/hyperlink" Target="https://drive.google.com/file/d/1KVv1vZIABlAvScELQlo2iqJdiEEo1MDd/view?usp=drivesdk" TargetMode="External"/><Relationship Id="rId4453" Type="http://schemas.openxmlformats.org/officeDocument/2006/relationships/hyperlink" Target="https://drive.google.com/file/d/15_vM7dWRVjWrr5KhSAMOeeLrJMuRn7tz/view?usp=drivesdk" TargetMode="External"/><Relationship Id="rId5781" Type="http://schemas.openxmlformats.org/officeDocument/2006/relationships/hyperlink" Target="https://drive.google.com/file/d/1dlRWZYc4FvArN_yGSxWWvox4Ki9Q6c0o/view?usp=drivesdk" TargetMode="External"/><Relationship Id="rId3121" Type="http://schemas.openxmlformats.org/officeDocument/2006/relationships/hyperlink" Target="https://drive.google.com/file/d/1AFMspwo97KQIZJCalA0pwlHyn6K3V71g/view?usp=drivesdk" TargetMode="External"/><Relationship Id="rId4452" Type="http://schemas.openxmlformats.org/officeDocument/2006/relationships/hyperlink" Target="https://drive.google.com/file/d/1qd28MTxbE7ASwqkvXgujW0shyc-pnos5/view?usp=drivesdk" TargetMode="External"/><Relationship Id="rId5782" Type="http://schemas.openxmlformats.org/officeDocument/2006/relationships/hyperlink" Target="https://drive.google.com/file/d/17rTLKBrZlEFQmxtGVDXWMDAq-EUVMAUX/view?usp=drivesdk" TargetMode="External"/><Relationship Id="rId3124" Type="http://schemas.openxmlformats.org/officeDocument/2006/relationships/hyperlink" Target="https://drive.google.com/file/d/1hDj4b0QsotdcyQNj-SRWVBOsrlpxqcxB/view?usp=drivesdk" TargetMode="External"/><Relationship Id="rId4455" Type="http://schemas.openxmlformats.org/officeDocument/2006/relationships/hyperlink" Target="https://drive.google.com/file/d/1WTkF-wGrqOSikC6Zbg-aIAETGk5nBgZK/view?usp=drivesdk" TargetMode="External"/><Relationship Id="rId5787" Type="http://schemas.openxmlformats.org/officeDocument/2006/relationships/hyperlink" Target="https://drive.google.com/file/d/1dKd0cppMeC5UxIxkVZqAGKByhnubBGmj/view?usp=drivesdk" TargetMode="External"/><Relationship Id="rId3123" Type="http://schemas.openxmlformats.org/officeDocument/2006/relationships/hyperlink" Target="https://drive.google.com/file/d/1wlCXoTEdd1z81vpkwRpQ9jeNolm3hDyz/view?usp=drivesdk" TargetMode="External"/><Relationship Id="rId4454" Type="http://schemas.openxmlformats.org/officeDocument/2006/relationships/hyperlink" Target="https://drive.google.com/file/d/1E9N1nv0K2_O-B3KyN1EciYtF4CFm4_PK/view?usp=drivesdk" TargetMode="External"/><Relationship Id="rId5788" Type="http://schemas.openxmlformats.org/officeDocument/2006/relationships/hyperlink" Target="https://drive.google.com/file/d/16qG9MAx65DgwbS-Vsg1GZ6-tglhBQ1V9/view?usp=drivesdk" TargetMode="External"/><Relationship Id="rId3126" Type="http://schemas.openxmlformats.org/officeDocument/2006/relationships/hyperlink" Target="https://drive.google.com/file/d/1cVGAAXngBiBclehgZ7WSsVOJQbqdXpyP/view?usp=drivesdk" TargetMode="External"/><Relationship Id="rId4457" Type="http://schemas.openxmlformats.org/officeDocument/2006/relationships/hyperlink" Target="https://drive.google.com/file/d/1auDIwkChJ8B2-Hh2RkW_ny_EtnDfyrmo/view?usp=drivesdk" TargetMode="External"/><Relationship Id="rId5785" Type="http://schemas.openxmlformats.org/officeDocument/2006/relationships/hyperlink" Target="https://drive.google.com/file/d/1tI5UZm_NYSfmM7S9PGOpFDIhqmCT3kW7/view?usp=drivesdk" TargetMode="External"/><Relationship Id="rId3125" Type="http://schemas.openxmlformats.org/officeDocument/2006/relationships/hyperlink" Target="https://drive.google.com/file/d/1Cxl0-m34LEx0gr40OIsua3kFjxIvNOgs/view?usp=drivesdk" TargetMode="External"/><Relationship Id="rId4456" Type="http://schemas.openxmlformats.org/officeDocument/2006/relationships/hyperlink" Target="https://drive.google.com/file/d/1QTaHAGL2so6b7rgEuRW5HqOIjj6h19RM/view?usp=drivesdk" TargetMode="External"/><Relationship Id="rId5786" Type="http://schemas.openxmlformats.org/officeDocument/2006/relationships/hyperlink" Target="https://drive.google.com/file/d/1v3ufs_oQvLivPA_FH0NSZ83SOZHVgrmb/view?usp=drivesdk" TargetMode="External"/><Relationship Id="rId4404" Type="http://schemas.openxmlformats.org/officeDocument/2006/relationships/hyperlink" Target="https://drive.google.com/file/d/1Uj-SCFjl4sbCe0NUw_IpgO7GJPIIYDBi/view?usp=drivesdk" TargetMode="External"/><Relationship Id="rId5736" Type="http://schemas.openxmlformats.org/officeDocument/2006/relationships/hyperlink" Target="https://drive.google.com/file/d/1Cm71qKB2AS_fHkhpNsEne2V8XjAW0UvF/view?usp=drivesdk" TargetMode="External"/><Relationship Id="rId4403" Type="http://schemas.openxmlformats.org/officeDocument/2006/relationships/hyperlink" Target="https://drive.google.com/file/d/1MdgCzcuGU_wW36aFxYqY-P5X2MCO9J5i/view?usp=drivesdk" TargetMode="External"/><Relationship Id="rId5737" Type="http://schemas.openxmlformats.org/officeDocument/2006/relationships/hyperlink" Target="https://drive.google.com/file/d/1hRZrBfpThjg6gNKx9bncPtrJI2C7v_He/view?usp=drivesdk" TargetMode="External"/><Relationship Id="rId4406" Type="http://schemas.openxmlformats.org/officeDocument/2006/relationships/hyperlink" Target="https://drive.google.com/file/d/1h6m1vg1F4AkpCSOv_AjsGajt5jgqXvmj/view?usp=drivesdk" TargetMode="External"/><Relationship Id="rId5734" Type="http://schemas.openxmlformats.org/officeDocument/2006/relationships/hyperlink" Target="https://drive.google.com/file/d/17mvPEKPDyvbQEQlyyOtTHqmMTZ5VvWHj/view?usp=drivesdk" TargetMode="External"/><Relationship Id="rId4405" Type="http://schemas.openxmlformats.org/officeDocument/2006/relationships/hyperlink" Target="https://drive.google.com/file/d/1L5PAl1moyDiOgMxWp_R2RX8XFbyJrWd7/view?usp=drivesdk" TargetMode="External"/><Relationship Id="rId5735" Type="http://schemas.openxmlformats.org/officeDocument/2006/relationships/hyperlink" Target="https://drive.google.com/file/d/1BEgM9QiLivdT2oPkXDb-bjUTBlLxP5wm/view?usp=drivesdk" TargetMode="External"/><Relationship Id="rId4408" Type="http://schemas.openxmlformats.org/officeDocument/2006/relationships/hyperlink" Target="https://drive.google.com/file/d/14TcRddEQ5dguZCe5aBcZWibrNlBu0tLE/view?usp=drivesdk" TargetMode="External"/><Relationship Id="rId4407" Type="http://schemas.openxmlformats.org/officeDocument/2006/relationships/hyperlink" Target="https://drive.google.com/file/d/1bG-unD432xIEv_4r36CpQ1ZOP6HucwS_/view?usp=drivesdk" TargetMode="External"/><Relationship Id="rId5738" Type="http://schemas.openxmlformats.org/officeDocument/2006/relationships/hyperlink" Target="https://drive.google.com/file/d/1Jz5I18-WmwJPcnfXawDLAbY0tk1Q0Vyu/view?usp=drivesdk" TargetMode="External"/><Relationship Id="rId4409" Type="http://schemas.openxmlformats.org/officeDocument/2006/relationships/hyperlink" Target="https://drive.google.com/file/d/1WC0YUquFY1N0GI_yy_vRPi1mxWFcAhTg/view?usp=drivesdk" TargetMode="External"/><Relationship Id="rId5739" Type="http://schemas.openxmlformats.org/officeDocument/2006/relationships/hyperlink" Target="https://drive.google.com/file/d/1YkGVKFJgYQCfXGYDj77f5Axjr0RtuJhf/view?usp=drivesdk" TargetMode="External"/><Relationship Id="rId4400" Type="http://schemas.openxmlformats.org/officeDocument/2006/relationships/hyperlink" Target="https://drive.google.com/file/d/1zb907fsCvbwR19Crh4oQu9bK7ydEvpRU/view?usp=drivesdk" TargetMode="External"/><Relationship Id="rId5732" Type="http://schemas.openxmlformats.org/officeDocument/2006/relationships/hyperlink" Target="https://drive.google.com/file/d/1jb83MPAzbH23ik3X-rGpdoz6uqVARd_D/view?usp=drivesdk" TargetMode="External"/><Relationship Id="rId5733" Type="http://schemas.openxmlformats.org/officeDocument/2006/relationships/hyperlink" Target="https://drive.google.com/file/d/1-XMNOTRURC1JBYfvmSckZaOQGZql5QS5/view?usp=drivesdk" TargetMode="External"/><Relationship Id="rId4402" Type="http://schemas.openxmlformats.org/officeDocument/2006/relationships/hyperlink" Target="https://drive.google.com/file/d/1DC56LkxVbhFs_WSOVkuKBtCO49oVbW9i/view?usp=drivesdk" TargetMode="External"/><Relationship Id="rId5730" Type="http://schemas.openxmlformats.org/officeDocument/2006/relationships/hyperlink" Target="https://drive.google.com/file/d/1AtVaAkCtv17vdbw8QSL28F5MNGy18ZYt/view?usp=drivesdk" TargetMode="External"/><Relationship Id="rId4401" Type="http://schemas.openxmlformats.org/officeDocument/2006/relationships/hyperlink" Target="https://drive.google.com/file/d/1SOt6-b1XFG0mtVbp5AM4jIIUsfRYyXhP/view?usp=drivesdk" TargetMode="External"/><Relationship Id="rId5731" Type="http://schemas.openxmlformats.org/officeDocument/2006/relationships/hyperlink" Target="https://drive.google.com/file/d/1F_inWuOxmJ2kVM4ZRrRkYyyP-E-_oOlS/view?usp=drivesdk" TargetMode="External"/><Relationship Id="rId5725" Type="http://schemas.openxmlformats.org/officeDocument/2006/relationships/hyperlink" Target="https://drive.google.com/file/d/1JqkRNyqDT8qMPwIzS6qCrUfXqo0x_r_d/view?usp=drivesdk" TargetMode="External"/><Relationship Id="rId5726" Type="http://schemas.openxmlformats.org/officeDocument/2006/relationships/hyperlink" Target="https://drive.google.com/file/d/1xL2d0qfghmCTRJfJpvLIUhfZiKcEocTW/view?usp=drivesdk" TargetMode="External"/><Relationship Id="rId5723" Type="http://schemas.openxmlformats.org/officeDocument/2006/relationships/hyperlink" Target="https://drive.google.com/file/d/1cRViM8-fRaqlAv33sO7floHhAgkr8yhq/view?usp=drivesdk" TargetMode="External"/><Relationship Id="rId5724" Type="http://schemas.openxmlformats.org/officeDocument/2006/relationships/hyperlink" Target="https://drive.google.com/file/d/1HczF2qaHYaXuO2PlNpSF0osjSuZm4_6n/view?usp=drivesdk" TargetMode="External"/><Relationship Id="rId5729" Type="http://schemas.openxmlformats.org/officeDocument/2006/relationships/hyperlink" Target="https://drive.google.com/file/d/19z_T7TvLUwSSSj4jpTNy_yzqiRCAcYF1/view?usp=drivesdk" TargetMode="External"/><Relationship Id="rId5727" Type="http://schemas.openxmlformats.org/officeDocument/2006/relationships/hyperlink" Target="https://drive.google.com/file/d/13LumqHxsTnywaFuDwt9lmJGcJFFfdCtb/view?usp=drivesdk" TargetMode="External"/><Relationship Id="rId5728" Type="http://schemas.openxmlformats.org/officeDocument/2006/relationships/hyperlink" Target="https://drive.google.com/file/d/1SQ23je0Z3RXIVPrt1Kygku7Xiix9_9Lt/view?usp=drivesdk" TargetMode="External"/><Relationship Id="rId5721" Type="http://schemas.openxmlformats.org/officeDocument/2006/relationships/hyperlink" Target="https://drive.google.com/file/d/1_9kI0dw7VpUePLkqIqE-k13E2j8jKUwf/view?usp=drivesdk" TargetMode="External"/><Relationship Id="rId5722" Type="http://schemas.openxmlformats.org/officeDocument/2006/relationships/hyperlink" Target="https://drive.google.com/file/d/1km2YFrJHqBEk6SW4I-NzabYxPcq4NYo_/view?usp=drivesdk" TargetMode="External"/><Relationship Id="rId5720" Type="http://schemas.openxmlformats.org/officeDocument/2006/relationships/hyperlink" Target="https://drive.google.com/file/d/1qV5bIFLqYGDj6NcAB7mLuUNxEknzliar/view?usp=drivesdk" TargetMode="External"/><Relationship Id="rId4426" Type="http://schemas.openxmlformats.org/officeDocument/2006/relationships/hyperlink" Target="https://drive.google.com/file/d/1DyXXY1yavi-DkA39HP50WIkY1pfCoLR8/view?usp=drivesdk" TargetMode="External"/><Relationship Id="rId5758" Type="http://schemas.openxmlformats.org/officeDocument/2006/relationships/hyperlink" Target="https://drive.google.com/file/d/1aXRYSYPkUGXZDHR5zgYvWQ8R169TvnlQ/view?usp=drivesdk" TargetMode="External"/><Relationship Id="rId4425" Type="http://schemas.openxmlformats.org/officeDocument/2006/relationships/hyperlink" Target="https://drive.google.com/file/d/1mWL8SM4TU19wm8I7MJyigTzu8c74uBXP/view?usp=drivesdk" TargetMode="External"/><Relationship Id="rId5759" Type="http://schemas.openxmlformats.org/officeDocument/2006/relationships/hyperlink" Target="https://drive.google.com/file/d/1CQtArmzJ7pwpwHIslOszCYe7RAdGfGGn/view?usp=drivesdk" TargetMode="External"/><Relationship Id="rId4428" Type="http://schemas.openxmlformats.org/officeDocument/2006/relationships/hyperlink" Target="https://drive.google.com/file/d/1TEOpFjVfOVtoLDriGbc3zeDXbgeRpuAv/view?usp=drivesdk" TargetMode="External"/><Relationship Id="rId5756" Type="http://schemas.openxmlformats.org/officeDocument/2006/relationships/hyperlink" Target="https://drive.google.com/file/d/1VUlB5INPIopqtCcwvnaycajhMcJ2EBjV/view?usp=drivesdk" TargetMode="External"/><Relationship Id="rId4427" Type="http://schemas.openxmlformats.org/officeDocument/2006/relationships/hyperlink" Target="https://drive.google.com/file/d/16H4u1XddxTmBtWG0FWzt-U9Ke-xKaOZG/view?usp=drivesdk" TargetMode="External"/><Relationship Id="rId5757" Type="http://schemas.openxmlformats.org/officeDocument/2006/relationships/hyperlink" Target="https://drive.google.com/file/d/1EJeFt6GW-W2fe7WG94XT-_VdfDKB0L17/view?usp=drivesdk" TargetMode="External"/><Relationship Id="rId4429" Type="http://schemas.openxmlformats.org/officeDocument/2006/relationships/hyperlink" Target="https://drive.google.com/file/d/12fmLEROWIU_0qOAgw1WIGDlPUEq5OP4a/view?usp=drivesdk" TargetMode="External"/><Relationship Id="rId5750" Type="http://schemas.openxmlformats.org/officeDocument/2006/relationships/hyperlink" Target="https://drive.google.com/file/d/1o0dBEg5T-D8vBU8hOBJjITLtxWpX7350/view?usp=drivesdk" TargetMode="External"/><Relationship Id="rId5751" Type="http://schemas.openxmlformats.org/officeDocument/2006/relationships/hyperlink" Target="https://drive.google.com/file/d/1NGoh0-3kE0JUEo_A6wTpZ4gpfy9yc1iY/view?usp=drivesdk" TargetMode="External"/><Relationship Id="rId4420" Type="http://schemas.openxmlformats.org/officeDocument/2006/relationships/hyperlink" Target="https://drive.google.com/file/d/1Gm-oMNhKZH6QYad5tL38t3_-8UHsq8RK/view?usp=drivesdk" TargetMode="External"/><Relationship Id="rId4422" Type="http://schemas.openxmlformats.org/officeDocument/2006/relationships/hyperlink" Target="https://drive.google.com/file/d/1dW3POUiM1vIbL3c_8gPVhmLYZC1FF_LI/view?usp=drivesdk" TargetMode="External"/><Relationship Id="rId5754" Type="http://schemas.openxmlformats.org/officeDocument/2006/relationships/hyperlink" Target="https://drive.google.com/file/d/13kWAr08qDnDJFt2Ldsd3Gump9SM3eKza/view?usp=drivesdk" TargetMode="External"/><Relationship Id="rId4421" Type="http://schemas.openxmlformats.org/officeDocument/2006/relationships/hyperlink" Target="https://drive.google.com/file/d/1Or1r_t3cuwpqccki20aeaSsO2luq0O8T/view?usp=drivesdk" TargetMode="External"/><Relationship Id="rId5755" Type="http://schemas.openxmlformats.org/officeDocument/2006/relationships/hyperlink" Target="https://drive.google.com/file/d/1m_2K7t5RJAEkmX1M47NWWvlTOSPXgQbr/view?usp=drivesdk" TargetMode="External"/><Relationship Id="rId4424" Type="http://schemas.openxmlformats.org/officeDocument/2006/relationships/hyperlink" Target="https://drive.google.com/file/d/1emBSUD3SbxpfMCIqyLzjvwiKzchgvUXh/view?usp=drivesdk" TargetMode="External"/><Relationship Id="rId5752" Type="http://schemas.openxmlformats.org/officeDocument/2006/relationships/hyperlink" Target="https://drive.google.com/file/d/1FjzybDZpSnQDFVdj9XRogEqNVTd9HnUH/view?usp=drivesdk" TargetMode="External"/><Relationship Id="rId4423" Type="http://schemas.openxmlformats.org/officeDocument/2006/relationships/hyperlink" Target="https://drive.google.com/file/d/1mcqZ06uLbKKyOEmKQwF0hPEWjMpS6yGG/view?usp=drivesdk" TargetMode="External"/><Relationship Id="rId5753" Type="http://schemas.openxmlformats.org/officeDocument/2006/relationships/hyperlink" Target="https://drive.google.com/file/d/1TIqNQtsstuPCKNlFB-e5QXUPGdWNbB0D/view?usp=drivesdk" TargetMode="External"/><Relationship Id="rId4415" Type="http://schemas.openxmlformats.org/officeDocument/2006/relationships/hyperlink" Target="https://drive.google.com/file/d/1IU6VvbeYK5DRl4inwbkB7MpaZuZ1EMwa/view?usp=drivesdk" TargetMode="External"/><Relationship Id="rId5747" Type="http://schemas.openxmlformats.org/officeDocument/2006/relationships/hyperlink" Target="https://drive.google.com/file/d/1abDfb4uwtK9RGf4Ex-M01kwXNUvjzxnd/view?usp=drivesdk" TargetMode="External"/><Relationship Id="rId4414" Type="http://schemas.openxmlformats.org/officeDocument/2006/relationships/hyperlink" Target="https://drive.google.com/file/d/1XKWy4FW6AgBftsPuF9Bgn5bwuxqtZsUu/view?usp=drivesdk" TargetMode="External"/><Relationship Id="rId5748" Type="http://schemas.openxmlformats.org/officeDocument/2006/relationships/hyperlink" Target="https://drive.google.com/file/d/1Esk0gqqwVnLFvoG5tQ1CTB7_MnBJPTnG/view?usp=drivesdk" TargetMode="External"/><Relationship Id="rId4417" Type="http://schemas.openxmlformats.org/officeDocument/2006/relationships/hyperlink" Target="https://drive.google.com/file/d/1Tza8uPJoqQwUlhDWjuy2MXYAu09W2Fn_/view?usp=drivesdk" TargetMode="External"/><Relationship Id="rId5745" Type="http://schemas.openxmlformats.org/officeDocument/2006/relationships/hyperlink" Target="https://drive.google.com/file/d/1b0AE8lXhUIfkaQXcPOBbNX7royapJK_q/view?usp=drivesdk" TargetMode="External"/><Relationship Id="rId4416" Type="http://schemas.openxmlformats.org/officeDocument/2006/relationships/hyperlink" Target="https://drive.google.com/file/d/1jUTGGObZoddQY20shCNAYeLJZdz8u_q_/view?usp=drivesdk" TargetMode="External"/><Relationship Id="rId5746" Type="http://schemas.openxmlformats.org/officeDocument/2006/relationships/hyperlink" Target="https://drive.google.com/file/d/1FW1wYN6fw1ElFYv3pemd5PTj6vo-58Zt/view?usp=drivesdk" TargetMode="External"/><Relationship Id="rId4419" Type="http://schemas.openxmlformats.org/officeDocument/2006/relationships/hyperlink" Target="https://drive.google.com/file/d/1-mHxq3-DyUi8lYg-YZi_Jliz5h9j9yyx/view?usp=drivesdk" TargetMode="External"/><Relationship Id="rId4418" Type="http://schemas.openxmlformats.org/officeDocument/2006/relationships/hyperlink" Target="https://drive.google.com/file/d/1PoFxx1B0REntuuIEFr_gIn1Sgdl6XvgN/view?usp=drivesdk" TargetMode="External"/><Relationship Id="rId5749" Type="http://schemas.openxmlformats.org/officeDocument/2006/relationships/hyperlink" Target="https://drive.google.com/file/d/10n0Jrk7EN_tvJUe4dzI3csBV52NK9MC3/view?usp=drivesdk" TargetMode="External"/><Relationship Id="rId5740" Type="http://schemas.openxmlformats.org/officeDocument/2006/relationships/hyperlink" Target="https://drive.google.com/file/d/1sQbBn3oTiKa7R3FJ_K1cJ2hgN8HGSdf3/view?usp=drivesdk" TargetMode="External"/><Relationship Id="rId4411" Type="http://schemas.openxmlformats.org/officeDocument/2006/relationships/hyperlink" Target="https://drive.google.com/file/d/1zbRz_pu9WK6lI5wkVRMCXq32SuKOWWpd/view?usp=drivesdk" TargetMode="External"/><Relationship Id="rId5743" Type="http://schemas.openxmlformats.org/officeDocument/2006/relationships/hyperlink" Target="https://drive.google.com/file/d/1Sv9IJ4EZDgSXiZ54l-ylKDBAvpNgYAno/view?usp=drivesdk" TargetMode="External"/><Relationship Id="rId4410" Type="http://schemas.openxmlformats.org/officeDocument/2006/relationships/hyperlink" Target="https://drive.google.com/file/d/19pJYdhtEuVvpwHlG_wKiGV7YQnS7g2LG/view?usp=drivesdk" TargetMode="External"/><Relationship Id="rId5744" Type="http://schemas.openxmlformats.org/officeDocument/2006/relationships/hyperlink" Target="https://drive.google.com/file/d/1RXSx6gvJQB33EzjtTQrxxLfGG1SllrIW/view?usp=drivesdk" TargetMode="External"/><Relationship Id="rId4413" Type="http://schemas.openxmlformats.org/officeDocument/2006/relationships/hyperlink" Target="https://drive.google.com/file/d/1YX-BEYdFnkqa2Ikf9P2WMJPxs1eS_onr/view?usp=drivesdk" TargetMode="External"/><Relationship Id="rId5741" Type="http://schemas.openxmlformats.org/officeDocument/2006/relationships/hyperlink" Target="https://drive.google.com/file/d/16qNr6Qgk2HIzj9xKcgATJsO-Y0fhJO5C/view?usp=drivesdk" TargetMode="External"/><Relationship Id="rId4412" Type="http://schemas.openxmlformats.org/officeDocument/2006/relationships/hyperlink" Target="https://drive.google.com/file/d/1yEzhlqX6-DuGh0RIa-qeswyfilYdZA1B/view?usp=drivesdk" TargetMode="External"/><Relationship Id="rId5742" Type="http://schemas.openxmlformats.org/officeDocument/2006/relationships/hyperlink" Target="https://drive.google.com/file/d/11lWBqfKGzQ0Z6KF_e9A3wDdvXsId83hy/view?usp=drivesdk" TargetMode="External"/><Relationship Id="rId3191" Type="http://schemas.openxmlformats.org/officeDocument/2006/relationships/hyperlink" Target="https://drive.google.com/file/d/1qdZXjCTCxqAoQaaZXZ0xkYkSb5KxwdVI/view?usp=drivesdk" TargetMode="External"/><Relationship Id="rId3190" Type="http://schemas.openxmlformats.org/officeDocument/2006/relationships/hyperlink" Target="https://drive.google.com/file/d/1QN-9N5W0mqTBe16OXVpu1AyO2A0I_qh6/view?usp=drivesdk" TargetMode="External"/><Relationship Id="rId3193" Type="http://schemas.openxmlformats.org/officeDocument/2006/relationships/hyperlink" Target="https://drive.google.com/file/d/1NbVd4KmSRbJxxqKWdjimywoZoyD-extS/view?usp=drivesdk" TargetMode="External"/><Relationship Id="rId3192" Type="http://schemas.openxmlformats.org/officeDocument/2006/relationships/hyperlink" Target="https://drive.google.com/file/d/12M5GK78ObmrSEzCBKdZVGHgbyHeJar3s/view?usp=drivesdk" TargetMode="External"/><Relationship Id="rId3195" Type="http://schemas.openxmlformats.org/officeDocument/2006/relationships/hyperlink" Target="https://drive.google.com/file/d/15s6aetxiXeK9ZlhydeJVayJJF0NbCAWU/view?usp=drivesdk" TargetMode="External"/><Relationship Id="rId3194" Type="http://schemas.openxmlformats.org/officeDocument/2006/relationships/hyperlink" Target="https://drive.google.com/file/d/1AvjlV4kXxn7_AZXuW858cwstnzVOwz5J/view?usp=drivesdk" TargetMode="External"/><Relationship Id="rId3197" Type="http://schemas.openxmlformats.org/officeDocument/2006/relationships/hyperlink" Target="https://drive.google.com/file/d/1kcjBBRzspgzPyno6C_WijCjuIapdU7p9/view?usp=drivesdk" TargetMode="External"/><Relationship Id="rId3196" Type="http://schemas.openxmlformats.org/officeDocument/2006/relationships/hyperlink" Target="https://drive.google.com/file/d/1OiO_j3CSP_L3mGMNFrf6xCbKr_G1ZfrK/view?usp=drivesdk" TargetMode="External"/><Relationship Id="rId3199" Type="http://schemas.openxmlformats.org/officeDocument/2006/relationships/hyperlink" Target="https://drive.google.com/file/d/1AMPXdFszZyRM8R2q_Ym9P55SHWQjb7Zp/view?usp=drivesdk" TargetMode="External"/><Relationship Id="rId3198" Type="http://schemas.openxmlformats.org/officeDocument/2006/relationships/hyperlink" Target="https://drive.google.com/file/d/1rRr-2m8KdVVbisPRgr42IerCkKg56CV9/view?usp=drivesdk" TargetMode="External"/><Relationship Id="rId3180" Type="http://schemas.openxmlformats.org/officeDocument/2006/relationships/hyperlink" Target="https://drive.google.com/file/d/1ZOM1un8uEk3WZbk5CfCz7tiPNTfx8ezG/view?usp=drivesdk" TargetMode="External"/><Relationship Id="rId3182" Type="http://schemas.openxmlformats.org/officeDocument/2006/relationships/hyperlink" Target="https://drive.google.com/file/d/19Q9YUS7-3wm-kTwNPbbZMqKScZJ3FKXD/view?usp=drivesdk" TargetMode="External"/><Relationship Id="rId3181" Type="http://schemas.openxmlformats.org/officeDocument/2006/relationships/hyperlink" Target="https://drive.google.com/file/d/15Ehu2TVyd0cBCnOQ6eekuF4ChQ2witqA/view?usp=drivesdk" TargetMode="External"/><Relationship Id="rId3184" Type="http://schemas.openxmlformats.org/officeDocument/2006/relationships/hyperlink" Target="https://drive.google.com/file/d/1UuOZ8I6csio6e55ZOLKFyOp1s8C8BeyR/view?usp=drivesdk" TargetMode="External"/><Relationship Id="rId3183" Type="http://schemas.openxmlformats.org/officeDocument/2006/relationships/hyperlink" Target="https://drive.google.com/file/d/1Im2xN5hZsVGWYiU5lQU_nl-t8TKCcOGs/view?usp=drivesdk" TargetMode="External"/><Relationship Id="rId3186" Type="http://schemas.openxmlformats.org/officeDocument/2006/relationships/hyperlink" Target="https://drive.google.com/file/d/1ppyobx_va1dBBPUwrcsDCdq87IkmNO3z/view?usp=drivesdk" TargetMode="External"/><Relationship Id="rId3185" Type="http://schemas.openxmlformats.org/officeDocument/2006/relationships/hyperlink" Target="https://drive.google.com/file/d/1imdcAyVhGpNKRirI60h0YIW4UgrsMFMu/view?usp=drivesdk" TargetMode="External"/><Relationship Id="rId3188" Type="http://schemas.openxmlformats.org/officeDocument/2006/relationships/hyperlink" Target="https://drive.google.com/file/d/18Y2n94o5-QuMJq8QqHi1norRgdpc_qlA/view?usp=drivesdk" TargetMode="External"/><Relationship Id="rId3187" Type="http://schemas.openxmlformats.org/officeDocument/2006/relationships/hyperlink" Target="https://drive.google.com/file/d/1K935Ct-5Y9OsAex_N0lsWTjWzT0Qg73W/view?usp=drivesdk" TargetMode="External"/><Relationship Id="rId3189" Type="http://schemas.openxmlformats.org/officeDocument/2006/relationships/hyperlink" Target="https://drive.google.com/file/d/1oq0ldDLUpNvqKFTpD8X553fLTJMPOV31/view?usp=drivesdk" TargetMode="External"/><Relationship Id="rId4480" Type="http://schemas.openxmlformats.org/officeDocument/2006/relationships/hyperlink" Target="https://drive.google.com/file/d/1uS8aDQMN65gbB7si1x_FJh_4MK1_Vk6k/view?usp=drivesdk" TargetMode="External"/><Relationship Id="rId3151" Type="http://schemas.openxmlformats.org/officeDocument/2006/relationships/hyperlink" Target="https://drive.google.com/file/d/1Znj-hxaNctYKhmED_tUSiljtScK40MlF/view?usp=drivesdk" TargetMode="External"/><Relationship Id="rId4482" Type="http://schemas.openxmlformats.org/officeDocument/2006/relationships/hyperlink" Target="https://drive.google.com/file/d/1vii2IBSE9tnTfRApka1xE2lZ6M0SB73_/view?usp=drivesdk" TargetMode="External"/><Relationship Id="rId3150" Type="http://schemas.openxmlformats.org/officeDocument/2006/relationships/hyperlink" Target="https://drive.google.com/file/d/1bD3Q_s0xSCpgZ19UqH19ai18vqYnbiPS/view?usp=drivesdk" TargetMode="External"/><Relationship Id="rId4481" Type="http://schemas.openxmlformats.org/officeDocument/2006/relationships/hyperlink" Target="https://drive.google.com/file/d/1CVK6OLgkBY7SJ66S4psNPuf_Dqwz5TJY/view?usp=drivesdk" TargetMode="External"/><Relationship Id="rId3153" Type="http://schemas.openxmlformats.org/officeDocument/2006/relationships/hyperlink" Target="https://drive.google.com/file/d/1ICSf3hPhxWqvH1q9v3ZYY078ZLJIIZEW/view?usp=drivesdk" TargetMode="External"/><Relationship Id="rId4484" Type="http://schemas.openxmlformats.org/officeDocument/2006/relationships/hyperlink" Target="https://drive.google.com/file/d/1rC1Gwld_7Gi2W3drE28g056i4_pI7Etl/view?usp=drivesdk" TargetMode="External"/><Relationship Id="rId3152" Type="http://schemas.openxmlformats.org/officeDocument/2006/relationships/hyperlink" Target="https://drive.google.com/file/d/1Y8zSzFidiUASWlHoPd3WpBdhxSLsYraI/view?usp=drivesdk" TargetMode="External"/><Relationship Id="rId4483" Type="http://schemas.openxmlformats.org/officeDocument/2006/relationships/hyperlink" Target="https://drive.google.com/file/d/1pNBcRiXUaXunDHqq6h1pLJZltzROtwVk/view?usp=drivesdk" TargetMode="External"/><Relationship Id="rId3155" Type="http://schemas.openxmlformats.org/officeDocument/2006/relationships/hyperlink" Target="https://drive.google.com/file/d/1iRuFvwT_LizfqULEBcEefSeUn99Rrej_/view?usp=drivesdk" TargetMode="External"/><Relationship Id="rId4486" Type="http://schemas.openxmlformats.org/officeDocument/2006/relationships/hyperlink" Target="https://drive.google.com/file/d/1a6Nx9hmxhSMtUilXVPDqG-iO-NmtIK8M/view?usp=drivesdk" TargetMode="External"/><Relationship Id="rId3154" Type="http://schemas.openxmlformats.org/officeDocument/2006/relationships/hyperlink" Target="https://drive.google.com/file/d/1ZjnEqY5V03v7h7R8PSkZSkLmyQFqEs8u/view?usp=drivesdk" TargetMode="External"/><Relationship Id="rId4485" Type="http://schemas.openxmlformats.org/officeDocument/2006/relationships/hyperlink" Target="https://drive.google.com/file/d/12joTwXhLAFtIzgz_kG-emuDj3nBan5B-/view?usp=drivesdk" TargetMode="External"/><Relationship Id="rId3157" Type="http://schemas.openxmlformats.org/officeDocument/2006/relationships/hyperlink" Target="https://drive.google.com/file/d/1Q1bxasCliScZ702kV_KrjRt8QS8EI6kS/view?usp=drivesdk" TargetMode="External"/><Relationship Id="rId4488" Type="http://schemas.openxmlformats.org/officeDocument/2006/relationships/hyperlink" Target="https://drive.google.com/file/d/1BKKnRK2N86axmDIn91bitAVNOT3HzWFm/view?usp=drivesdk" TargetMode="External"/><Relationship Id="rId3156" Type="http://schemas.openxmlformats.org/officeDocument/2006/relationships/hyperlink" Target="https://drive.google.com/file/d/1auypU-cG6ewpRRCqmtzNYxbDcmZfE4m2/view?usp=drivesdk" TargetMode="External"/><Relationship Id="rId4487" Type="http://schemas.openxmlformats.org/officeDocument/2006/relationships/hyperlink" Target="https://drive.google.com/file/d/1X-X7EdP8obUjliqetJsNX9jAT6shr6-R/view?usp=drivesdk" TargetMode="External"/><Relationship Id="rId3159" Type="http://schemas.openxmlformats.org/officeDocument/2006/relationships/hyperlink" Target="https://drive.google.com/file/d/1RvHZTGkNEPoNpxPWPKGMYlPy7-AUgilQ/view?usp=drivesdk" TargetMode="External"/><Relationship Id="rId3158" Type="http://schemas.openxmlformats.org/officeDocument/2006/relationships/hyperlink" Target="https://drive.google.com/file/d/1lPQT2HmgfMt4nhXQPLWfuYuURwrosyot/view?usp=drivesdk" TargetMode="External"/><Relationship Id="rId4489" Type="http://schemas.openxmlformats.org/officeDocument/2006/relationships/hyperlink" Target="https://drive.google.com/file/d/1H4PYrVDBXyf06uNvxmWysj37oCJWpD8X/view?usp=drivesdk" TargetMode="External"/><Relationship Id="rId3149" Type="http://schemas.openxmlformats.org/officeDocument/2006/relationships/hyperlink" Target="https://drive.google.com/file/d/1ui7wAVMaDd0tbvdCzG7GQq4p5CcP7otH/view?usp=drivesdk" TargetMode="External"/><Relationship Id="rId3140" Type="http://schemas.openxmlformats.org/officeDocument/2006/relationships/hyperlink" Target="https://drive.google.com/file/d/1QYUQGp4s8m73RJu_rbixGljbliaNhHXy/view?usp=drivesdk" TargetMode="External"/><Relationship Id="rId4471" Type="http://schemas.openxmlformats.org/officeDocument/2006/relationships/hyperlink" Target="https://drive.google.com/file/d/1x8MkXC41s_b7dq1lpI1y9Ji56wIDuGht/view?usp=drivesdk" TargetMode="External"/><Relationship Id="rId4470" Type="http://schemas.openxmlformats.org/officeDocument/2006/relationships/hyperlink" Target="https://drive.google.com/file/d/1-py59Gc1mtu8ZtK-TgfDrJX0lSaPqTu9/view?usp=drivesdk" TargetMode="External"/><Relationship Id="rId3142" Type="http://schemas.openxmlformats.org/officeDocument/2006/relationships/hyperlink" Target="https://drive.google.com/file/d/1Jy6fryqSVjGjCRL4gRtz9uXA2nYYX-w6/view?usp=drivesdk" TargetMode="External"/><Relationship Id="rId4473" Type="http://schemas.openxmlformats.org/officeDocument/2006/relationships/hyperlink" Target="https://drive.google.com/file/d/1tlyp_L3Iv1nBgAfpe79Rd684F6bGx8V5/view?usp=drivesdk" TargetMode="External"/><Relationship Id="rId3141" Type="http://schemas.openxmlformats.org/officeDocument/2006/relationships/hyperlink" Target="https://drive.google.com/file/d/1VWVyGeB40lv7TLKDPps94s5vsosqWVKl/view?usp=drivesdk" TargetMode="External"/><Relationship Id="rId4472" Type="http://schemas.openxmlformats.org/officeDocument/2006/relationships/hyperlink" Target="https://drive.google.com/file/d/1QqZbqPj_i9NKdqMa2xwOCN7HWmYtveir/view?usp=drivesdk" TargetMode="External"/><Relationship Id="rId3144" Type="http://schemas.openxmlformats.org/officeDocument/2006/relationships/hyperlink" Target="https://drive.google.com/file/d/1k3-c5meJvCzZcaMKSJ0eUvcrG_ezV1h2/view?usp=drivesdk" TargetMode="External"/><Relationship Id="rId4475" Type="http://schemas.openxmlformats.org/officeDocument/2006/relationships/hyperlink" Target="https://drive.google.com/file/d/1nYPuTmSMrdeyRJofoxDWkkH6-cwNMi09/view?usp=drivesdk" TargetMode="External"/><Relationship Id="rId3143" Type="http://schemas.openxmlformats.org/officeDocument/2006/relationships/hyperlink" Target="https://drive.google.com/file/d/1CWch3UYlQ628SbFo1ZmzB5fcOzzvSujf/view?usp=drivesdk" TargetMode="External"/><Relationship Id="rId4474" Type="http://schemas.openxmlformats.org/officeDocument/2006/relationships/hyperlink" Target="https://drive.google.com/file/d/1Ra2wGpwtG02sAubMBPHYV7dO9fwXuWCl/view?usp=drivesdk" TargetMode="External"/><Relationship Id="rId3146" Type="http://schemas.openxmlformats.org/officeDocument/2006/relationships/hyperlink" Target="https://drive.google.com/file/d/148ddHJ26Xu3m5H6d8PDeRrBAwQ2x77Zb/view?usp=drivesdk" TargetMode="External"/><Relationship Id="rId4477" Type="http://schemas.openxmlformats.org/officeDocument/2006/relationships/hyperlink" Target="https://drive.google.com/file/d/1DcWlxPb1KkqLW6mXaPIi8tch-Rr0s4ky/view?usp=drivesdk" TargetMode="External"/><Relationship Id="rId3145" Type="http://schemas.openxmlformats.org/officeDocument/2006/relationships/hyperlink" Target="https://drive.google.com/file/d/1OaOYuJ-IGoIQQkbzMri1cUt5FIH9ZAnk/view?usp=drivesdk" TargetMode="External"/><Relationship Id="rId4476" Type="http://schemas.openxmlformats.org/officeDocument/2006/relationships/hyperlink" Target="https://drive.google.com/file/d/15JMAu5yzyGIXxbGmJblacHocyaJ-tEXb/view?usp=drivesdk" TargetMode="External"/><Relationship Id="rId3148" Type="http://schemas.openxmlformats.org/officeDocument/2006/relationships/hyperlink" Target="https://drive.google.com/file/d/1CYdTsh7hOLIYFV63C1xLvTP03pTz6Lzf/view?usp=drivesdk" TargetMode="External"/><Relationship Id="rId4479" Type="http://schemas.openxmlformats.org/officeDocument/2006/relationships/hyperlink" Target="https://drive.google.com/file/d/1ixQWjlzz0_H1ZE0Dm2KsT8vrLSFLKFhi/view?usp=drivesdk" TargetMode="External"/><Relationship Id="rId3147" Type="http://schemas.openxmlformats.org/officeDocument/2006/relationships/hyperlink" Target="https://drive.google.com/file/d/1gy5G6XTQAGkVoJHxz4ovKcRkvhLdK0YD/view?usp=drivesdk" TargetMode="External"/><Relationship Id="rId4478" Type="http://schemas.openxmlformats.org/officeDocument/2006/relationships/hyperlink" Target="https://drive.google.com/file/d/140xrHerGwY_zbttPoy_CQ_qqky3ukOub/view?usp=drivesdk" TargetMode="External"/><Relationship Id="rId3171" Type="http://schemas.openxmlformats.org/officeDocument/2006/relationships/hyperlink" Target="https://drive.google.com/file/d/1L1LFULuBG-aPXh_Rpbwa_kuMdc6m8nj_/view?usp=drivesdk" TargetMode="External"/><Relationship Id="rId3170" Type="http://schemas.openxmlformats.org/officeDocument/2006/relationships/hyperlink" Target="https://drive.google.com/file/d/1_3c9-e3zRwG9fDhs5EgCEEvxVWdvB8Re/view?usp=drivesdk" TargetMode="External"/><Relationship Id="rId3173" Type="http://schemas.openxmlformats.org/officeDocument/2006/relationships/hyperlink" Target="https://drive.google.com/file/d/1aJwTrpyUSG3vCro6ZOC-dRLA1wFMpgLH/view?usp=drivesdk" TargetMode="External"/><Relationship Id="rId3172" Type="http://schemas.openxmlformats.org/officeDocument/2006/relationships/hyperlink" Target="https://drive.google.com/file/d/15dNE2kNVY9_3H7SII4lRN4FayotOTnnq/view?usp=drivesdk" TargetMode="External"/><Relationship Id="rId3175" Type="http://schemas.openxmlformats.org/officeDocument/2006/relationships/hyperlink" Target="https://drive.google.com/file/d/1XyJZ2CQhHOBs2TALCFcBTdcS9UpEJa8h/view?usp=drivesdk" TargetMode="External"/><Relationship Id="rId3174" Type="http://schemas.openxmlformats.org/officeDocument/2006/relationships/hyperlink" Target="https://drive.google.com/file/d/10c8BnQ9YA9i70Culy6h_egwaiLp6ITcj/view?usp=drivesdk" TargetMode="External"/><Relationship Id="rId3177" Type="http://schemas.openxmlformats.org/officeDocument/2006/relationships/hyperlink" Target="https://drive.google.com/file/d/1xdin_8Ac-Zsstgj1kET-cJuCstla85wF/view?usp=drivesdk" TargetMode="External"/><Relationship Id="rId3176" Type="http://schemas.openxmlformats.org/officeDocument/2006/relationships/hyperlink" Target="https://drive.google.com/file/d/1aGyD7_PO0oHWi92HVce5hpaivRkJh2c5/view?usp=drivesdk" TargetMode="External"/><Relationship Id="rId3179" Type="http://schemas.openxmlformats.org/officeDocument/2006/relationships/hyperlink" Target="https://drive.google.com/file/d/1M5Wx-YxjGK7sN47s894Y5P1dfwnz1mj6/view?usp=drivesdk" TargetMode="External"/><Relationship Id="rId3178" Type="http://schemas.openxmlformats.org/officeDocument/2006/relationships/hyperlink" Target="https://drive.google.com/file/d/1OMS2oj1ZxaGGcMn4n4YyAIjL7aixtjN_/view?usp=drivesdk" TargetMode="External"/><Relationship Id="rId3160" Type="http://schemas.openxmlformats.org/officeDocument/2006/relationships/hyperlink" Target="https://drive.google.com/file/d/1DBiXKj_s4h0mvGx_To0zHY_Y65X3jUtq/view?usp=drivesdk" TargetMode="External"/><Relationship Id="rId4491" Type="http://schemas.openxmlformats.org/officeDocument/2006/relationships/hyperlink" Target="https://drive.google.com/file/d/1PqWAAIUvitN9lHDMzpjga3Tywv3QhnXv/view?usp=drivesdk" TargetMode="External"/><Relationship Id="rId4490" Type="http://schemas.openxmlformats.org/officeDocument/2006/relationships/hyperlink" Target="https://drive.google.com/file/d/1ARZ9j-V_jyBB_ikS9tK9aU2JljIlwgpq/view?usp=drivesdk" TargetMode="External"/><Relationship Id="rId3162" Type="http://schemas.openxmlformats.org/officeDocument/2006/relationships/hyperlink" Target="https://drive.google.com/file/d/1ixMoXGJSwUhPIKeCi44oum4SlAOqwJYr/view?usp=drivesdk" TargetMode="External"/><Relationship Id="rId4493" Type="http://schemas.openxmlformats.org/officeDocument/2006/relationships/hyperlink" Target="https://drive.google.com/file/d/17Z8IUWYXOuZLWrovsYz1dIpQm_Hudwr4/view?usp=drivesdk" TargetMode="External"/><Relationship Id="rId3161" Type="http://schemas.openxmlformats.org/officeDocument/2006/relationships/hyperlink" Target="https://drive.google.com/file/d/1YX-b4PzPM3OJ8puEjwYa9vIbCyQXz4v0/view?usp=drivesdk" TargetMode="External"/><Relationship Id="rId4492" Type="http://schemas.openxmlformats.org/officeDocument/2006/relationships/hyperlink" Target="https://drive.google.com/file/d/1fsiVGv3vj34EIWWk7EGa-nC_6Cw5sPel/view?usp=drivesdk" TargetMode="External"/><Relationship Id="rId3164" Type="http://schemas.openxmlformats.org/officeDocument/2006/relationships/hyperlink" Target="https://drive.google.com/file/d/1sVa59y7wz7WqmIWigi5FUGQdiW20H7Be/view?usp=drivesdk" TargetMode="External"/><Relationship Id="rId4495" Type="http://schemas.openxmlformats.org/officeDocument/2006/relationships/hyperlink" Target="https://drive.google.com/file/d/1EfYadN1x4hvqzTOnL6FhwffU2LZLYnfh/view?usp=drivesdk" TargetMode="External"/><Relationship Id="rId3163" Type="http://schemas.openxmlformats.org/officeDocument/2006/relationships/hyperlink" Target="https://drive.google.com/file/d/1WeDd4iGw62tnzuLmngXtJVABZ2O8c2RF/view?usp=drivesdk" TargetMode="External"/><Relationship Id="rId4494" Type="http://schemas.openxmlformats.org/officeDocument/2006/relationships/hyperlink" Target="https://drive.google.com/file/d/1_vH6HgoFqhVdxYuZZSpCN723XpCIkYQK/view?usp=drivesdk" TargetMode="External"/><Relationship Id="rId3166" Type="http://schemas.openxmlformats.org/officeDocument/2006/relationships/hyperlink" Target="https://drive.google.com/file/d/1R6hwKRePMOHkkFAQRDyJ8G0nPPsOPZZL/view?usp=drivesdk" TargetMode="External"/><Relationship Id="rId4497" Type="http://schemas.openxmlformats.org/officeDocument/2006/relationships/hyperlink" Target="https://drive.google.com/file/d/1msRdPYkDypKvtienooxRqnxogF1TWVqE/view?usp=drivesdk" TargetMode="External"/><Relationship Id="rId3165" Type="http://schemas.openxmlformats.org/officeDocument/2006/relationships/hyperlink" Target="https://drive.google.com/file/d/1gUOsbA60V-VSjlufKcWwIA2bjo3ntrPp/view?usp=drivesdk" TargetMode="External"/><Relationship Id="rId4496" Type="http://schemas.openxmlformats.org/officeDocument/2006/relationships/hyperlink" Target="https://drive.google.com/file/d/1BJjaj7FDf1_KfJzGNBDCdD4eW5yCm9fz/view?usp=drivesdk" TargetMode="External"/><Relationship Id="rId3168" Type="http://schemas.openxmlformats.org/officeDocument/2006/relationships/hyperlink" Target="https://drive.google.com/file/d/1Yh7YdJKZWoTRC2Oq-wS0xoRGm1RspDUr/view?usp=drivesdk" TargetMode="External"/><Relationship Id="rId4499" Type="http://schemas.openxmlformats.org/officeDocument/2006/relationships/hyperlink" Target="https://drive.google.com/file/d/1MmhdhXiAHmVetEaWMli0LSRwuZYShomd/view?usp=drivesdk" TargetMode="External"/><Relationship Id="rId3167" Type="http://schemas.openxmlformats.org/officeDocument/2006/relationships/hyperlink" Target="https://drive.google.com/file/d/1aCKXOsioMKMsmBGfoIZK7vu1yhLESzUa/view?usp=drivesdk" TargetMode="External"/><Relationship Id="rId4498" Type="http://schemas.openxmlformats.org/officeDocument/2006/relationships/hyperlink" Target="https://drive.google.com/file/d/1534eqqvGTdk04pOB4sL9jeweP-EEq7la/view?usp=drivesdk" TargetMode="External"/><Relationship Id="rId3169" Type="http://schemas.openxmlformats.org/officeDocument/2006/relationships/hyperlink" Target="https://drive.google.com/file/d/1I6Lz8LKYkdwcuSGhAWoTX9yCjlRa2uHu/view?usp=drivesdk" TargetMode="External"/><Relationship Id="rId5813" Type="http://schemas.openxmlformats.org/officeDocument/2006/relationships/hyperlink" Target="https://drive.google.com/file/d/1hwxChFRBPK8rTVGePwyI054o3K7BT_Gd/view?usp=drivesdk" TargetMode="External"/><Relationship Id="rId5814" Type="http://schemas.openxmlformats.org/officeDocument/2006/relationships/hyperlink" Target="https://drive.google.com/file/d/1WqntSDyzLG3skYrD20SZCfD6cB4TBvWD/view?usp=drivesdk" TargetMode="External"/><Relationship Id="rId5811" Type="http://schemas.openxmlformats.org/officeDocument/2006/relationships/hyperlink" Target="https://drive.google.com/file/d/19Ztzh70TFA2xzUBS1Eph6HyePjcAhBhf/view?usp=drivesdk" TargetMode="External"/><Relationship Id="rId5812" Type="http://schemas.openxmlformats.org/officeDocument/2006/relationships/hyperlink" Target="https://drive.google.com/file/d/1uiFuRHOLkeodcXPZm2v6zMHh1H_QAHzk/view?usp=drivesdk" TargetMode="External"/><Relationship Id="rId5817" Type="http://schemas.openxmlformats.org/officeDocument/2006/relationships/hyperlink" Target="https://drive.google.com/file/d/1OHBBFmrBVJuu5Emwv-p9OWzD-sTT2zfK/view?usp=drivesdk" TargetMode="External"/><Relationship Id="rId5818" Type="http://schemas.openxmlformats.org/officeDocument/2006/relationships/hyperlink" Target="https://drive.google.com/file/d/10NwRwPjoHlLq7Fn2gRMq9TjX7ACxyvZD/view?usp=drivesdk" TargetMode="External"/><Relationship Id="rId5815" Type="http://schemas.openxmlformats.org/officeDocument/2006/relationships/hyperlink" Target="https://drive.google.com/file/d/1K-s2D9G-Rnwmxaa1blZq0LOxDSCaBQf6/view?usp=drivesdk" TargetMode="External"/><Relationship Id="rId5816" Type="http://schemas.openxmlformats.org/officeDocument/2006/relationships/hyperlink" Target="https://drive.google.com/file/d/1X16Iv6U1b5LWA2I-kfFJjTzUwduNI9sG/view?usp=drivesdk" TargetMode="External"/><Relationship Id="rId5819" Type="http://schemas.openxmlformats.org/officeDocument/2006/relationships/hyperlink" Target="https://drive.google.com/file/d/1m1jd0Q1vJGYmrNCYSS2a-4Ui0G0R0lIV/view?usp=drivesdk" TargetMode="External"/><Relationship Id="rId5810" Type="http://schemas.openxmlformats.org/officeDocument/2006/relationships/hyperlink" Target="https://drive.google.com/file/d/1AFfXlgbrJjf_KEgouXSloyIYlZ6TAuqx/view?usp=drivesdk" TargetMode="External"/><Relationship Id="rId5802" Type="http://schemas.openxmlformats.org/officeDocument/2006/relationships/hyperlink" Target="https://drive.google.com/file/d/1Jfijm9lzXopYXbnuUrP05AWDJ1aRHWBI/view?usp=drivesdk" TargetMode="External"/><Relationship Id="rId5803" Type="http://schemas.openxmlformats.org/officeDocument/2006/relationships/hyperlink" Target="https://drive.google.com/file/d/1xTAqif9occnQrc98L0ryZDR1qkjD66X1/view?usp=drivesdk" TargetMode="External"/><Relationship Id="rId5800" Type="http://schemas.openxmlformats.org/officeDocument/2006/relationships/hyperlink" Target="https://drive.google.com/file/d/1x4GYgoYb2PSgLoDDxi4EwifJpx_NavAX/view?usp=drivesdk" TargetMode="External"/><Relationship Id="rId5801" Type="http://schemas.openxmlformats.org/officeDocument/2006/relationships/hyperlink" Target="https://drive.google.com/file/d/15kqpikRii4GzTF5gKg9GI305H9R2piv8/view?usp=drivesdk" TargetMode="External"/><Relationship Id="rId5806" Type="http://schemas.openxmlformats.org/officeDocument/2006/relationships/hyperlink" Target="https://drive.google.com/file/d/12bunTBhKGTABuiHuo4yhbzGvekGnDZhc/view?usp=drivesdk" TargetMode="External"/><Relationship Id="rId5807" Type="http://schemas.openxmlformats.org/officeDocument/2006/relationships/hyperlink" Target="https://drive.google.com/file/d/1B2DJY6P_ALLTj1qwmbvq8NgpS6oaTBGA/view?usp=drivesdk" TargetMode="External"/><Relationship Id="rId5804" Type="http://schemas.openxmlformats.org/officeDocument/2006/relationships/hyperlink" Target="https://drive.google.com/file/d/1REirvTIWPby0Ek6YaozoXL-MAcJOAckk/view?usp=drivesdk" TargetMode="External"/><Relationship Id="rId5805" Type="http://schemas.openxmlformats.org/officeDocument/2006/relationships/hyperlink" Target="https://drive.google.com/file/d/1Vo2QaX9awoqawd85_POfLpOTRD9lDOPk/view?usp=drivesdk" TargetMode="External"/><Relationship Id="rId5808" Type="http://schemas.openxmlformats.org/officeDocument/2006/relationships/hyperlink" Target="https://drive.google.com/file/d/1EHpNR_dbBBTs47h01QSbLgVpwA40Wsxi/view?usp=drivesdk" TargetMode="External"/><Relationship Id="rId5809" Type="http://schemas.openxmlformats.org/officeDocument/2006/relationships/hyperlink" Target="https://drive.google.com/file/d/1u_w7gdZ88uDq2mET7dL5wA26Mzi3iG_B/view?usp=drivesdk" TargetMode="External"/><Relationship Id="rId4503" Type="http://schemas.openxmlformats.org/officeDocument/2006/relationships/hyperlink" Target="https://drive.google.com/file/d/1NFjLvI3sjdGoTqcCuZnCQ0s8yggCP6DG/view?usp=drivesdk" TargetMode="External"/><Relationship Id="rId5835" Type="http://schemas.openxmlformats.org/officeDocument/2006/relationships/hyperlink" Target="https://drive.google.com/file/d/12fWdjMRx-q5qN5qdH2re12eZpotoDQQL/view?usp=drivesdk" TargetMode="External"/><Relationship Id="rId4502" Type="http://schemas.openxmlformats.org/officeDocument/2006/relationships/hyperlink" Target="https://drive.google.com/file/d/1IRM_DY0JDGaiqlwUHYqnG9mWf4fZgi21/view?usp=drivesdk" TargetMode="External"/><Relationship Id="rId5836" Type="http://schemas.openxmlformats.org/officeDocument/2006/relationships/hyperlink" Target="https://drive.google.com/file/d/10FlHzeuAnyyHEgeWmIUWKIOiKh58mLpE/view?usp=drivesdk" TargetMode="External"/><Relationship Id="rId4505" Type="http://schemas.openxmlformats.org/officeDocument/2006/relationships/hyperlink" Target="https://drive.google.com/file/d/1-8F1AnhgeHDUre1lJiPw7_lasaThkGXl/view?usp=drivesdk" TargetMode="External"/><Relationship Id="rId5833" Type="http://schemas.openxmlformats.org/officeDocument/2006/relationships/hyperlink" Target="https://drive.google.com/file/d/1ZEC9hYhnT-xMy3dVsTu1Dm7kUF4n6zfu/view?usp=drivesdk" TargetMode="External"/><Relationship Id="rId4504" Type="http://schemas.openxmlformats.org/officeDocument/2006/relationships/hyperlink" Target="https://drive.google.com/file/d/1aK61uehAhpi-x7arJOnqqi7YrZ8mI7jp/view?usp=drivesdk" TargetMode="External"/><Relationship Id="rId5834" Type="http://schemas.openxmlformats.org/officeDocument/2006/relationships/hyperlink" Target="https://drive.google.com/file/d/1KJNTfIS_Cfzk0FCFYh9oOXIOjb9Mb3ge/view?usp=drivesdk" TargetMode="External"/><Relationship Id="rId4507" Type="http://schemas.openxmlformats.org/officeDocument/2006/relationships/hyperlink" Target="https://drive.google.com/file/d/143V-UGhVLjK8HSWR8nL08fttclaL7KoD/view?usp=drivesdk" TargetMode="External"/><Relationship Id="rId5839" Type="http://schemas.openxmlformats.org/officeDocument/2006/relationships/hyperlink" Target="https://drive.google.com/file/d/1febeII6eYzGc3WcsG9kCHFQJBPtZtJVc/view?usp=drivesdk" TargetMode="External"/><Relationship Id="rId4506" Type="http://schemas.openxmlformats.org/officeDocument/2006/relationships/hyperlink" Target="https://drive.google.com/file/d/1O_ui23Us1mdLfC5zIsDo6n5d6N9PSfNr/view?usp=drivesdk" TargetMode="External"/><Relationship Id="rId4509" Type="http://schemas.openxmlformats.org/officeDocument/2006/relationships/hyperlink" Target="https://drive.google.com/file/d/123K2UZPSCsqJ4gqLPt7_-XBd6NpkwcIL/view?usp=drivesdk" TargetMode="External"/><Relationship Id="rId5837" Type="http://schemas.openxmlformats.org/officeDocument/2006/relationships/hyperlink" Target="https://drive.google.com/file/d/1NAm3t0o8uOgFIgE8qaWrM9U_TLtUEpdO/view?usp=drivesdk" TargetMode="External"/><Relationship Id="rId4508" Type="http://schemas.openxmlformats.org/officeDocument/2006/relationships/hyperlink" Target="https://drive.google.com/file/d/1Nsihiz3GJVy3dKoO3dHekHroHDwFZo8J/view?usp=drivesdk" TargetMode="External"/><Relationship Id="rId5838" Type="http://schemas.openxmlformats.org/officeDocument/2006/relationships/hyperlink" Target="https://drive.google.com/file/d/1bq2Rzp70JPuHN-YytpJp8KqmvHEYz7mE/view?usp=drivesdk" TargetMode="External"/><Relationship Id="rId5831" Type="http://schemas.openxmlformats.org/officeDocument/2006/relationships/hyperlink" Target="https://drive.google.com/file/d/1VTcO1V0b3FENhMWX3i1lBXbN_4jJkfnM/view?usp=drivesdk" TargetMode="External"/><Relationship Id="rId5832" Type="http://schemas.openxmlformats.org/officeDocument/2006/relationships/hyperlink" Target="https://drive.google.com/file/d/1nYMniClVCIJYV24SE0iC06dGRq6jvHe8/view?usp=drivesdk" TargetMode="External"/><Relationship Id="rId4501" Type="http://schemas.openxmlformats.org/officeDocument/2006/relationships/hyperlink" Target="https://drive.google.com/file/d/1OnaMAs5ZxBCQsBR3tByVwwEJ70fZS0d5/view?usp=drivesdk" TargetMode="External"/><Relationship Id="rId4500" Type="http://schemas.openxmlformats.org/officeDocument/2006/relationships/hyperlink" Target="https://drive.google.com/file/d/1uRybAi73QFtd0kQ1w_78VRT6Yqgladu7/view?usp=drivesdk" TargetMode="External"/><Relationship Id="rId5830" Type="http://schemas.openxmlformats.org/officeDocument/2006/relationships/hyperlink" Target="https://drive.google.com/file/d/1zqoZfk-69UijUc9VySVXZUb2yDafUXch/view?usp=drivesdk" TargetMode="External"/><Relationship Id="rId5824" Type="http://schemas.openxmlformats.org/officeDocument/2006/relationships/hyperlink" Target="https://drive.google.com/file/d/1CKqbQJTa2JyXPhrdY55Brpb4Tm9AYJHX/view?usp=drivesdk" TargetMode="External"/><Relationship Id="rId5825" Type="http://schemas.openxmlformats.org/officeDocument/2006/relationships/hyperlink" Target="https://drive.google.com/file/d/1QESBpSG4bYdejvaLzM9Lb8HbaRea5toz/view?usp=drivesdk" TargetMode="External"/><Relationship Id="rId5822" Type="http://schemas.openxmlformats.org/officeDocument/2006/relationships/hyperlink" Target="https://drive.google.com/file/d/1sAw5mUc3zvYT357YtB4zIRYMPXsuGprv/view?usp=drivesdk" TargetMode="External"/><Relationship Id="rId5823" Type="http://schemas.openxmlformats.org/officeDocument/2006/relationships/hyperlink" Target="https://drive.google.com/file/d/1_nmA7_lI4B4cgax18nUnatqtZBTdkPBr/view?usp=drivesdk" TargetMode="External"/><Relationship Id="rId5828" Type="http://schemas.openxmlformats.org/officeDocument/2006/relationships/hyperlink" Target="https://drive.google.com/file/d/1pDc_rH90s8UtsAJ0F_6CvT1q5kQMA1mT/view?usp=drivesdk" TargetMode="External"/><Relationship Id="rId5829" Type="http://schemas.openxmlformats.org/officeDocument/2006/relationships/hyperlink" Target="https://drive.google.com/file/d/1Lv5v6jM6ghpjuGZZfBv6QEktvUVyZDiD/view?usp=drivesdk" TargetMode="External"/><Relationship Id="rId5826" Type="http://schemas.openxmlformats.org/officeDocument/2006/relationships/hyperlink" Target="https://drive.google.com/file/d/1PDCCLjImbzcnJgsl1nSRPFT8QW_DSwum/view?usp=drivesdk" TargetMode="External"/><Relationship Id="rId5827" Type="http://schemas.openxmlformats.org/officeDocument/2006/relationships/hyperlink" Target="https://drive.google.com/file/d/1-itIMw_pKf0zwBf4PVQcO6B7EWVyXHCK/view?usp=drivesdk" TargetMode="External"/><Relationship Id="rId5820" Type="http://schemas.openxmlformats.org/officeDocument/2006/relationships/hyperlink" Target="https://drive.google.com/file/d/1vKA4V8qJRccM8nl5aESQVxive6KeGTLG/view?usp=drivesdk" TargetMode="External"/><Relationship Id="rId5821" Type="http://schemas.openxmlformats.org/officeDocument/2006/relationships/hyperlink" Target="https://drive.google.com/file/d/1Fuz3vkHTVK0V519RV4UIbm3IxDX6pHZp/view?usp=drivesdk" TargetMode="External"/><Relationship Id="rId3238" Type="http://schemas.openxmlformats.org/officeDocument/2006/relationships/hyperlink" Target="https://drive.google.com/file/d/1N9jC9DeHQ-i959SY4xE8a4Tac-YkURaX/view?usp=drivesdk" TargetMode="External"/><Relationship Id="rId4569" Type="http://schemas.openxmlformats.org/officeDocument/2006/relationships/hyperlink" Target="https://drive.google.com/file/d/1d98CKOM3ALEPLoYhMIObdgFZY_khA5ze/view?usp=drivesdk" TargetMode="External"/><Relationship Id="rId3237" Type="http://schemas.openxmlformats.org/officeDocument/2006/relationships/hyperlink" Target="https://drive.google.com/file/d/1phoqYBmjHE8nGaQ8gy9w0G8sbFDoOput/view?usp=drivesdk" TargetMode="External"/><Relationship Id="rId4568" Type="http://schemas.openxmlformats.org/officeDocument/2006/relationships/hyperlink" Target="https://drive.google.com/file/d/1IHL04mLfAL6tvDB-je4CVxy_RRNqcfBm/view?usp=drivesdk" TargetMode="External"/><Relationship Id="rId5899" Type="http://schemas.openxmlformats.org/officeDocument/2006/relationships/hyperlink" Target="https://drive.google.com/file/d/1CceBbgaQP0bejoRRFxzFVxhMWE3OJp5H/view?usp=drivesdk" TargetMode="External"/><Relationship Id="rId3239" Type="http://schemas.openxmlformats.org/officeDocument/2006/relationships/hyperlink" Target="https://drive.google.com/file/d/1VlefGhgXTb-mwLzHnuBRoud1WXGcftge/view?usp=drivesdk" TargetMode="External"/><Relationship Id="rId5890" Type="http://schemas.openxmlformats.org/officeDocument/2006/relationships/hyperlink" Target="https://drive.google.com/file/d/1sugMXVNKWDD_J_u7JYqD_x7QQvmKS5bX/view?usp=drivesdk" TargetMode="External"/><Relationship Id="rId3230" Type="http://schemas.openxmlformats.org/officeDocument/2006/relationships/hyperlink" Target="https://drive.google.com/file/d/1e7NEcAqUAqPQkpJODV1VCHpNioMmOufN/view?usp=drivesdk" TargetMode="External"/><Relationship Id="rId4561" Type="http://schemas.openxmlformats.org/officeDocument/2006/relationships/hyperlink" Target="https://drive.google.com/file/d/1WE0x45DMBbtaPHSyUtvvozWis3uoWLHA/view?usp=drivesdk" TargetMode="External"/><Relationship Id="rId5893" Type="http://schemas.openxmlformats.org/officeDocument/2006/relationships/hyperlink" Target="https://drive.google.com/file/d/15UAQLorFZ8KeG2AT5U8PDUfwz4qQIvW6/view?usp=drivesdk" TargetMode="External"/><Relationship Id="rId4560" Type="http://schemas.openxmlformats.org/officeDocument/2006/relationships/hyperlink" Target="https://drive.google.com/file/d/19ERV01SmHFrrVweP-x5dC3SIlKeYqADM/view?usp=drivesdk" TargetMode="External"/><Relationship Id="rId5894" Type="http://schemas.openxmlformats.org/officeDocument/2006/relationships/hyperlink" Target="https://drive.google.com/file/d/1E3twOrck9Xt6Jz1xOmSune89YF8ZfgeY/view?usp=drivesdk" TargetMode="External"/><Relationship Id="rId3232" Type="http://schemas.openxmlformats.org/officeDocument/2006/relationships/hyperlink" Target="https://drive.google.com/file/d/1vXoX4eg3obVyiqHKFmKn1FS6eRSkx4TI/view?usp=drivesdk" TargetMode="External"/><Relationship Id="rId4563" Type="http://schemas.openxmlformats.org/officeDocument/2006/relationships/hyperlink" Target="https://drive.google.com/file/d/1hI8jEtH17yaqj-KRED1w_KOO6XcW4LVa/view?usp=drivesdk" TargetMode="External"/><Relationship Id="rId5891" Type="http://schemas.openxmlformats.org/officeDocument/2006/relationships/hyperlink" Target="https://drive.google.com/file/d/1YrNMUP7hP5HX6VX2M9GS_EYzEZ5OKA8r/view?usp=drivesdk" TargetMode="External"/><Relationship Id="rId3231" Type="http://schemas.openxmlformats.org/officeDocument/2006/relationships/hyperlink" Target="https://drive.google.com/file/d/1sWmtmMZEh84nsu8jKKeSk0t-L1KJcivX/view?usp=drivesdk" TargetMode="External"/><Relationship Id="rId4562" Type="http://schemas.openxmlformats.org/officeDocument/2006/relationships/hyperlink" Target="https://drive.google.com/file/d/116gOdFaQ8u2hqaAKMh88-Qsf7xvPceOb/view?usp=drivesdk" TargetMode="External"/><Relationship Id="rId5892" Type="http://schemas.openxmlformats.org/officeDocument/2006/relationships/hyperlink" Target="https://drive.google.com/file/d/1e3DtAIWVD0q_TBpTPCNyyd8nEvfx_q3d/view?usp=drivesdk" TargetMode="External"/><Relationship Id="rId3234" Type="http://schemas.openxmlformats.org/officeDocument/2006/relationships/hyperlink" Target="https://drive.google.com/file/d/1PaBvpy8KGVfqVu8xTt_kYV5eEmH2zhLo/view?usp=drivesdk" TargetMode="External"/><Relationship Id="rId4565" Type="http://schemas.openxmlformats.org/officeDocument/2006/relationships/hyperlink" Target="https://drive.google.com/file/d/1h9ITuv5RmLxX5jyXgRFuNFEC33yBi8s0/view?usp=drivesdk" TargetMode="External"/><Relationship Id="rId5897" Type="http://schemas.openxmlformats.org/officeDocument/2006/relationships/hyperlink" Target="https://drive.google.com/file/d/150jZwdR6jOS4oISGNH1QCQsKVZwjajW-/view?usp=drivesdk" TargetMode="External"/><Relationship Id="rId3233" Type="http://schemas.openxmlformats.org/officeDocument/2006/relationships/hyperlink" Target="https://drive.google.com/file/d/1whI4QD6pZuXBiHrAx9X6_wc0t0KMB0Br/view?usp=drivesdk" TargetMode="External"/><Relationship Id="rId4564" Type="http://schemas.openxmlformats.org/officeDocument/2006/relationships/hyperlink" Target="https://drive.google.com/file/d/1TQQa9kPt0483B0zeeHmB9LpOu3lEKrlp/view?usp=drivesdk" TargetMode="External"/><Relationship Id="rId5898" Type="http://schemas.openxmlformats.org/officeDocument/2006/relationships/hyperlink" Target="https://drive.google.com/file/d/1hftGjck7C6lY4-7uryA4bAZPrrOPUtii/view?usp=drivesdk" TargetMode="External"/><Relationship Id="rId3236" Type="http://schemas.openxmlformats.org/officeDocument/2006/relationships/hyperlink" Target="https://drive.google.com/file/d/1RYEaaE5wdMMc2hpqdOOT2I2XXYGYIfzI/view?usp=drivesdk" TargetMode="External"/><Relationship Id="rId4567" Type="http://schemas.openxmlformats.org/officeDocument/2006/relationships/hyperlink" Target="https://drive.google.com/file/d/1IOvn2-1GboAl-s0Xq_AOwyJ6g6pwnj__/view?usp=drivesdk" TargetMode="External"/><Relationship Id="rId5895" Type="http://schemas.openxmlformats.org/officeDocument/2006/relationships/hyperlink" Target="https://drive.google.com/file/d/1Hzwx7amBmbuD0tEsUqBt1U2DGQo8YK0V/view?usp=drivesdk" TargetMode="External"/><Relationship Id="rId3235" Type="http://schemas.openxmlformats.org/officeDocument/2006/relationships/hyperlink" Target="https://drive.google.com/file/d/1SZDB3u7GBGIMc_K1i7-Rva39vTOPHxb4/view?usp=drivesdk" TargetMode="External"/><Relationship Id="rId4566" Type="http://schemas.openxmlformats.org/officeDocument/2006/relationships/hyperlink" Target="https://drive.google.com/file/d/1KnN4jIkPMLSiQ6a_4_NCAbSNcLXg8S4s/view?usp=drivesdk" TargetMode="External"/><Relationship Id="rId5896" Type="http://schemas.openxmlformats.org/officeDocument/2006/relationships/hyperlink" Target="https://drive.google.com/file/d/1C6pt6pk61G_bTafTQ72WCH608CsP9hCd/view?usp=drivesdk" TargetMode="External"/><Relationship Id="rId3227" Type="http://schemas.openxmlformats.org/officeDocument/2006/relationships/hyperlink" Target="https://drive.google.com/file/d/1SFTfCjXlJwsyZLqgG9AWHH0a1CqZHqsg/view?usp=drivesdk" TargetMode="External"/><Relationship Id="rId4558" Type="http://schemas.openxmlformats.org/officeDocument/2006/relationships/hyperlink" Target="https://drive.google.com/file/d/1o4KVKGo98tDjpUc0X-k8wMuT7eVbnODh/view?usp=drivesdk" TargetMode="External"/><Relationship Id="rId3226" Type="http://schemas.openxmlformats.org/officeDocument/2006/relationships/hyperlink" Target="https://drive.google.com/file/d/1KSh2IBcIrq8irzbmGOTqn8Ng3cW9-iCB/view?usp=drivesdk" TargetMode="External"/><Relationship Id="rId4557" Type="http://schemas.openxmlformats.org/officeDocument/2006/relationships/hyperlink" Target="https://drive.google.com/file/d/1o7Rv414CkiaOP5Gnk7GJuV-yscwuD45A/view?usp=drivesdk" TargetMode="External"/><Relationship Id="rId3229" Type="http://schemas.openxmlformats.org/officeDocument/2006/relationships/hyperlink" Target="https://drive.google.com/file/d/17_BKAwdJxVefhqdD7vSsBgEUL4UYa56z/view?usp=drivesdk" TargetMode="External"/><Relationship Id="rId5888" Type="http://schemas.openxmlformats.org/officeDocument/2006/relationships/hyperlink" Target="https://drive.google.com/file/d/150cO9jC4lSUwE7mF1CdX4m-z1hx5tm5d/view?usp=drivesdk" TargetMode="External"/><Relationship Id="rId3228" Type="http://schemas.openxmlformats.org/officeDocument/2006/relationships/hyperlink" Target="https://drive.google.com/file/d/13iakT3ASpFAYzAqU5aePjrERy3SKazFd/view?usp=drivesdk" TargetMode="External"/><Relationship Id="rId4559" Type="http://schemas.openxmlformats.org/officeDocument/2006/relationships/hyperlink" Target="https://drive.google.com/file/d/1y4bEtdQTLO9JUXYDBYK_q6xgIaaGSnbQ/view?usp=drivesdk" TargetMode="External"/><Relationship Id="rId5889" Type="http://schemas.openxmlformats.org/officeDocument/2006/relationships/hyperlink" Target="https://drive.google.com/file/d/10WgSp_ckDZ8v5FoaCpR4Dhp-UyqoXqUf/view?usp=drivesdk" TargetMode="External"/><Relationship Id="rId4550" Type="http://schemas.openxmlformats.org/officeDocument/2006/relationships/hyperlink" Target="https://drive.google.com/file/d/10cIjsG7tRSkK7BWf-nNB_CyylrWQXa-I/view?usp=drivesdk" TargetMode="External"/><Relationship Id="rId5882" Type="http://schemas.openxmlformats.org/officeDocument/2006/relationships/hyperlink" Target="https://drive.google.com/file/d/1apNFQy8PlrUAWPZztpstwIE4DGwpRB3s/view?usp=drivesdk" TargetMode="External"/><Relationship Id="rId5883" Type="http://schemas.openxmlformats.org/officeDocument/2006/relationships/hyperlink" Target="https://drive.google.com/file/d/1h13GAxCayx24Z5B0t0KnHxGsMHrvz9RU/view?usp=drivesdk" TargetMode="External"/><Relationship Id="rId3221" Type="http://schemas.openxmlformats.org/officeDocument/2006/relationships/hyperlink" Target="https://drive.google.com/file/d/1bCksTun7Ino0Rpe_0OMnYiMyZomxVU6O/view?usp=drivesdk" TargetMode="External"/><Relationship Id="rId4552" Type="http://schemas.openxmlformats.org/officeDocument/2006/relationships/hyperlink" Target="https://drive.google.com/file/d/1qRrbcZ5B0Xdibz36DNiNR5LiStjKmuhy/view?usp=drivesdk" TargetMode="External"/><Relationship Id="rId5880" Type="http://schemas.openxmlformats.org/officeDocument/2006/relationships/hyperlink" Target="https://drive.google.com/file/d/1h0UpW7iYBxhkQAgYMC7mk-n4yBUgpTl4/view?usp=drivesdk" TargetMode="External"/><Relationship Id="rId3220" Type="http://schemas.openxmlformats.org/officeDocument/2006/relationships/hyperlink" Target="https://drive.google.com/file/d/1m52UIoqQsiNN52oAMrtEKbqVjdfUtdyE/view?usp=drivesdk" TargetMode="External"/><Relationship Id="rId4551" Type="http://schemas.openxmlformats.org/officeDocument/2006/relationships/hyperlink" Target="https://drive.google.com/file/d/1odyJ1q5qr_etIQ5LS5Fm7o6H_9BLrB-_/view?usp=drivesdk" TargetMode="External"/><Relationship Id="rId5881" Type="http://schemas.openxmlformats.org/officeDocument/2006/relationships/hyperlink" Target="https://drive.google.com/file/d/1f_q7kSe2QdIpX3i8UNs1Z7xv8TZkyCCI/view?usp=drivesdk" TargetMode="External"/><Relationship Id="rId3223" Type="http://schemas.openxmlformats.org/officeDocument/2006/relationships/hyperlink" Target="https://drive.google.com/file/d/1AQ4-R0HMJmjV26-S__SeWnQYp3MY7al6/view?usp=drivesdk" TargetMode="External"/><Relationship Id="rId4554" Type="http://schemas.openxmlformats.org/officeDocument/2006/relationships/hyperlink" Target="https://drive.google.com/file/d/1kLKMBiTyYHU45pdJ7hKpBtBbSLjugwka/view?usp=drivesdk" TargetMode="External"/><Relationship Id="rId5886" Type="http://schemas.openxmlformats.org/officeDocument/2006/relationships/hyperlink" Target="https://drive.google.com/file/d/1Dg-gv64eH-V--OaA8LoEG5kdURUR16Py/view?usp=drivesdk" TargetMode="External"/><Relationship Id="rId3222" Type="http://schemas.openxmlformats.org/officeDocument/2006/relationships/hyperlink" Target="https://drive.google.com/file/d/1O_KQila3GkyAe2UC4a77b7bQG0HSntzx/view?usp=drivesdk" TargetMode="External"/><Relationship Id="rId4553" Type="http://schemas.openxmlformats.org/officeDocument/2006/relationships/hyperlink" Target="https://drive.google.com/file/d/1ZUNADiMLra2mYaorXKXTuzLogSqPoNz0/view?usp=drivesdk" TargetMode="External"/><Relationship Id="rId5887" Type="http://schemas.openxmlformats.org/officeDocument/2006/relationships/hyperlink" Target="https://drive.google.com/file/d/12Hd3MAxD0Au9iQMhp9jakd2ElxRsaRJ4/view?usp=drivesdk" TargetMode="External"/><Relationship Id="rId3225" Type="http://schemas.openxmlformats.org/officeDocument/2006/relationships/hyperlink" Target="https://drive.google.com/file/d/1z-bKrom3VBicPPHg05IcSHI7Ytz4gll7/view?usp=drivesdk" TargetMode="External"/><Relationship Id="rId4556" Type="http://schemas.openxmlformats.org/officeDocument/2006/relationships/hyperlink" Target="https://drive.google.com/file/d/1hWKThC0ySiAjmnZp6GhVIFXFSWX28Nx9/view?usp=drivesdk" TargetMode="External"/><Relationship Id="rId5884" Type="http://schemas.openxmlformats.org/officeDocument/2006/relationships/hyperlink" Target="https://drive.google.com/file/d/1GtA4Sb-H1bl3yLQ5DbKliDumwG7OrfUJ/view?usp=drivesdk" TargetMode="External"/><Relationship Id="rId3224" Type="http://schemas.openxmlformats.org/officeDocument/2006/relationships/hyperlink" Target="https://drive.google.com/file/d/1mv0oyQ1DPC_Zp5aqI1F5iNKj44n-BI35/view?usp=drivesdk" TargetMode="External"/><Relationship Id="rId4555" Type="http://schemas.openxmlformats.org/officeDocument/2006/relationships/hyperlink" Target="https://drive.google.com/file/d/1ttb8MlNSHIiWX_1cYju38sRkwGR8YTEa/view?usp=drivesdk" TargetMode="External"/><Relationship Id="rId5885" Type="http://schemas.openxmlformats.org/officeDocument/2006/relationships/hyperlink" Target="https://drive.google.com/file/d/1Ks3klBAw4uMk5o6A5UD7WdQgAaF9WrKS/view?usp=drivesdk" TargetMode="External"/><Relationship Id="rId3259" Type="http://schemas.openxmlformats.org/officeDocument/2006/relationships/hyperlink" Target="https://drive.google.com/file/d/1Z4Cm34wGZDr2XrQ7F0b5rZaGIjGWmybb/view?usp=drivesdk" TargetMode="External"/><Relationship Id="rId3250" Type="http://schemas.openxmlformats.org/officeDocument/2006/relationships/hyperlink" Target="https://drive.google.com/file/d/1EgfY5ZcdhAkrzacHbGQsou0nKQKmbDvc/view?usp=drivesdk" TargetMode="External"/><Relationship Id="rId4581" Type="http://schemas.openxmlformats.org/officeDocument/2006/relationships/hyperlink" Target="https://drive.google.com/file/d/1YPk-VtI2MKvjEm0ehYaYKxbK16cWwUR_/view?usp=drivesdk" TargetMode="External"/><Relationship Id="rId4580" Type="http://schemas.openxmlformats.org/officeDocument/2006/relationships/hyperlink" Target="https://drive.google.com/file/d/1D6fwgOJIwXjab4pLB_eibIGun3BnSRMj/view?usp=drivesdk" TargetMode="External"/><Relationship Id="rId3252" Type="http://schemas.openxmlformats.org/officeDocument/2006/relationships/hyperlink" Target="https://drive.google.com/file/d/1phg8Q0DenpUhISHZ4Kq3-5DlYFlGbVyC/view?usp=drivesdk" TargetMode="External"/><Relationship Id="rId4583" Type="http://schemas.openxmlformats.org/officeDocument/2006/relationships/hyperlink" Target="https://drive.google.com/file/d/1tRPhTTUWtEwJCBSjplMPg52mmk-kLuWA/view?usp=drivesdk" TargetMode="External"/><Relationship Id="rId3251" Type="http://schemas.openxmlformats.org/officeDocument/2006/relationships/hyperlink" Target="https://drive.google.com/file/d/1JQUcYR4KV1WnWVxZuvQS9BBmhJyQ8jt9/view?usp=drivesdk" TargetMode="External"/><Relationship Id="rId4582" Type="http://schemas.openxmlformats.org/officeDocument/2006/relationships/hyperlink" Target="https://drive.google.com/file/d/17YI0nNiEHjGemBrf2RE76LFJtD3VbZhL/view?usp=drivesdk" TargetMode="External"/><Relationship Id="rId3254" Type="http://schemas.openxmlformats.org/officeDocument/2006/relationships/hyperlink" Target="https://drive.google.com/file/d/1gJp4ikRZQWCzteaAmPCx6CszDrrlimyu/view?usp=drivesdk" TargetMode="External"/><Relationship Id="rId4585" Type="http://schemas.openxmlformats.org/officeDocument/2006/relationships/hyperlink" Target="https://drive.google.com/file/d/167PVjL1b-uZS5No4ycUBXGPY5z6zP7FH/view?usp=drivesdk" TargetMode="External"/><Relationship Id="rId3253" Type="http://schemas.openxmlformats.org/officeDocument/2006/relationships/hyperlink" Target="https://drive.google.com/file/d/1dlV56_QyM_hF2mgqZ8IRQQwSp4n5BTN6/view?usp=drivesdk" TargetMode="External"/><Relationship Id="rId4584" Type="http://schemas.openxmlformats.org/officeDocument/2006/relationships/hyperlink" Target="https://drive.google.com/file/d/1WPliZ9UW_D7SmyuLXsjczqo66rKH-V8P/view?usp=drivesdk" TargetMode="External"/><Relationship Id="rId3256" Type="http://schemas.openxmlformats.org/officeDocument/2006/relationships/hyperlink" Target="https://drive.google.com/file/d/1uHgdkh6qPOvddpxaY3hk85idyrNjL2LS/view?usp=drivesdk" TargetMode="External"/><Relationship Id="rId4587" Type="http://schemas.openxmlformats.org/officeDocument/2006/relationships/hyperlink" Target="https://drive.google.com/file/d/1t4F05f3SGUMm22QVQDHuQssUcdafstUO/view?usp=drivesdk" TargetMode="External"/><Relationship Id="rId3255" Type="http://schemas.openxmlformats.org/officeDocument/2006/relationships/hyperlink" Target="https://drive.google.com/file/d/1zt3RJ6jKlCfs7xNbFXIeYbbzoUsCyhty/view?usp=drivesdk" TargetMode="External"/><Relationship Id="rId4586" Type="http://schemas.openxmlformats.org/officeDocument/2006/relationships/hyperlink" Target="https://drive.google.com/file/d/1MKKCc9wP9sxGbhjtBrKJfCLeMZ4f124H/view?usp=drivesdk" TargetMode="External"/><Relationship Id="rId3258" Type="http://schemas.openxmlformats.org/officeDocument/2006/relationships/hyperlink" Target="https://drive.google.com/file/d/11Yp1EAwhubecdK_SN0ccuOHspchfI0QA/view?usp=drivesdk" TargetMode="External"/><Relationship Id="rId4589" Type="http://schemas.openxmlformats.org/officeDocument/2006/relationships/hyperlink" Target="https://drive.google.com/file/d/1d-PmmkBqyqXXXnsPiSTH5IZzz3IBKa0O/view?usp=drivesdk" TargetMode="External"/><Relationship Id="rId3257" Type="http://schemas.openxmlformats.org/officeDocument/2006/relationships/hyperlink" Target="https://drive.google.com/file/d/1qq2mhR2xbQsZ5GjC4CQnglj4zzoQRXci/view?usp=drivesdk" TargetMode="External"/><Relationship Id="rId4588" Type="http://schemas.openxmlformats.org/officeDocument/2006/relationships/hyperlink" Target="https://drive.google.com/file/d/1PH-T5YQ4kFwBgf6Zs2PnG_y1AefKEAnb/view?usp=drivesdk" TargetMode="External"/><Relationship Id="rId3249" Type="http://schemas.openxmlformats.org/officeDocument/2006/relationships/hyperlink" Target="https://drive.google.com/file/d/1G4aSvq6rwKgx1IPNIrFb9F10c93EUOH7/view?usp=drivesdk" TargetMode="External"/><Relationship Id="rId3248" Type="http://schemas.openxmlformats.org/officeDocument/2006/relationships/hyperlink" Target="https://drive.google.com/file/d/1HM1IQNa3zroiko2OQ-HuSpOOjdQMwIAC/view?usp=drivesdk" TargetMode="External"/><Relationship Id="rId4579" Type="http://schemas.openxmlformats.org/officeDocument/2006/relationships/hyperlink" Target="https://drive.google.com/file/d/1ksEwOewF8vit28PmgGDrQUC0BXSh9Nx2/view?usp=drivesdk" TargetMode="External"/><Relationship Id="rId4570" Type="http://schemas.openxmlformats.org/officeDocument/2006/relationships/hyperlink" Target="https://drive.google.com/file/d/1yEiXq7XWMTArwArRpy3ipeX5MCi4RI1v/view?usp=drivesdk" TargetMode="External"/><Relationship Id="rId3241" Type="http://schemas.openxmlformats.org/officeDocument/2006/relationships/hyperlink" Target="https://drive.google.com/file/d/1RdiAkIuJQZEJAAMuog0k1awxHzvY39aT/view?usp=drivesdk" TargetMode="External"/><Relationship Id="rId4572" Type="http://schemas.openxmlformats.org/officeDocument/2006/relationships/hyperlink" Target="https://drive.google.com/file/d/1BuiT18i9RhegPYxbK2eX005wXPatpZpA/view?usp=drivesdk" TargetMode="External"/><Relationship Id="rId3240" Type="http://schemas.openxmlformats.org/officeDocument/2006/relationships/hyperlink" Target="https://drive.google.com/file/d/132yzSQha4qS4sHTVWpU6W5wNxaBRz-6S/view?usp=drivesdk" TargetMode="External"/><Relationship Id="rId4571" Type="http://schemas.openxmlformats.org/officeDocument/2006/relationships/hyperlink" Target="https://drive.google.com/file/d/1WDCiNZg_GLnfwa9rfHzcNdF3ayB5rASL/view?usp=drivesdk" TargetMode="External"/><Relationship Id="rId3243" Type="http://schemas.openxmlformats.org/officeDocument/2006/relationships/hyperlink" Target="https://drive.google.com/file/d/1vaJ3NKFNxrCqznnfEUHVxGPT7wl3WWc1/view?usp=drivesdk" TargetMode="External"/><Relationship Id="rId4574" Type="http://schemas.openxmlformats.org/officeDocument/2006/relationships/hyperlink" Target="https://drive.google.com/file/d/1guhBykh8Q9PCB1X6n0Vb5uHHYKnE5iD0/view?usp=drivesdk" TargetMode="External"/><Relationship Id="rId3242" Type="http://schemas.openxmlformats.org/officeDocument/2006/relationships/hyperlink" Target="https://drive.google.com/file/d/1thDjxLWIHqy1nOrXDb-iaMKHi6G8ESM1/view?usp=drivesdk" TargetMode="External"/><Relationship Id="rId4573" Type="http://schemas.openxmlformats.org/officeDocument/2006/relationships/hyperlink" Target="https://drive.google.com/file/d/1MFYo05iCMaxOE16MXM2hKN8t-rVic0Yb/view?usp=drivesdk" TargetMode="External"/><Relationship Id="rId3245" Type="http://schemas.openxmlformats.org/officeDocument/2006/relationships/hyperlink" Target="https://drive.google.com/file/d/1iJifuSI91FFK_YeoVOcF2vw3sYehivxA/view?usp=drivesdk" TargetMode="External"/><Relationship Id="rId4576" Type="http://schemas.openxmlformats.org/officeDocument/2006/relationships/hyperlink" Target="https://drive.google.com/file/d/1zB1Zx9c5GtqEWWhigG75xyS7v7vT5GZk/view?usp=drivesdk" TargetMode="External"/><Relationship Id="rId3244" Type="http://schemas.openxmlformats.org/officeDocument/2006/relationships/hyperlink" Target="https://drive.google.com/file/d/1iJTLHqBzzExXiSsOuFGDDyndktXhJm53/view?usp=drivesdk" TargetMode="External"/><Relationship Id="rId4575" Type="http://schemas.openxmlformats.org/officeDocument/2006/relationships/hyperlink" Target="https://drive.google.com/file/d/1FcL561641TTQ_PjZUFY7MaR06Obpy4TH/view?usp=drivesdk" TargetMode="External"/><Relationship Id="rId3247" Type="http://schemas.openxmlformats.org/officeDocument/2006/relationships/hyperlink" Target="https://drive.google.com/file/d/1vabzJ9PRspVWGtdtUtQRMawZG9iX8XrU/view?usp=drivesdk" TargetMode="External"/><Relationship Id="rId4578" Type="http://schemas.openxmlformats.org/officeDocument/2006/relationships/hyperlink" Target="https://drive.google.com/file/d/1wNNNZye3LRYIHs2sUSe_pLjpJf5XDlYb/view?usp=drivesdk" TargetMode="External"/><Relationship Id="rId3246" Type="http://schemas.openxmlformats.org/officeDocument/2006/relationships/hyperlink" Target="https://drive.google.com/file/d/1ykSKQAj94LnnfCbVXlOzJSoXwXav6n8d/view?usp=drivesdk" TargetMode="External"/><Relationship Id="rId4577" Type="http://schemas.openxmlformats.org/officeDocument/2006/relationships/hyperlink" Target="https://drive.google.com/file/d/1vispCiQNP8IIwC1fU38AIeVMvvmmNO6o/view?usp=drivesdk" TargetMode="External"/><Relationship Id="rId4525" Type="http://schemas.openxmlformats.org/officeDocument/2006/relationships/hyperlink" Target="https://drive.google.com/file/d/11wpAS1cyF2IBlzd8ETsU4dkcBK5tijiZ/view?usp=drivesdk" TargetMode="External"/><Relationship Id="rId5857" Type="http://schemas.openxmlformats.org/officeDocument/2006/relationships/hyperlink" Target="https://drive.google.com/file/d/1MVpVpnAElcoOMbwLTRpkdswYLi0U1Y8y/view?usp=drivesdk" TargetMode="External"/><Relationship Id="rId4524" Type="http://schemas.openxmlformats.org/officeDocument/2006/relationships/hyperlink" Target="https://drive.google.com/file/d/1RPT6Z7MTDr31pWb_RhMSRNNEcGC7D_c-/view?usp=drivesdk" TargetMode="External"/><Relationship Id="rId5858" Type="http://schemas.openxmlformats.org/officeDocument/2006/relationships/hyperlink" Target="https://drive.google.com/file/d/1lQq3dk3o-V02fa7KgGDTkWW_Ha4m7qxE/view?usp=drivesdk" TargetMode="External"/><Relationship Id="rId4527" Type="http://schemas.openxmlformats.org/officeDocument/2006/relationships/hyperlink" Target="https://drive.google.com/file/d/1EirQPj1AB2yUdGiU9KLw4udhktrH__H2/view?usp=drivesdk" TargetMode="External"/><Relationship Id="rId5855" Type="http://schemas.openxmlformats.org/officeDocument/2006/relationships/hyperlink" Target="https://drive.google.com/file/d/11AwuZenQQs647IVwI7aDYKc5QZyfGnOE/view?usp=drivesdk" TargetMode="External"/><Relationship Id="rId4526" Type="http://schemas.openxmlformats.org/officeDocument/2006/relationships/hyperlink" Target="https://drive.google.com/file/d/1pETO05Rx6zPnNjiz8kq9OK6IlBV0YnVa/view?usp=drivesdk" TargetMode="External"/><Relationship Id="rId5856" Type="http://schemas.openxmlformats.org/officeDocument/2006/relationships/hyperlink" Target="https://drive.google.com/file/d/1cZ6lkNfSJnZEftOAEAZAhIxuYMm1pwM_/view?usp=drivesdk" TargetMode="External"/><Relationship Id="rId4529" Type="http://schemas.openxmlformats.org/officeDocument/2006/relationships/hyperlink" Target="https://drive.google.com/file/d/1t_GnJHnO0qOh3VsCRtqokk-9opMq5lKv/view?usp=drivesdk" TargetMode="External"/><Relationship Id="rId4528" Type="http://schemas.openxmlformats.org/officeDocument/2006/relationships/hyperlink" Target="https://drive.google.com/file/d/1P8of4Y2sMsQnWjgl5JvxkpXtjAm27Zzp/view?usp=drivesdk" TargetMode="External"/><Relationship Id="rId5859" Type="http://schemas.openxmlformats.org/officeDocument/2006/relationships/hyperlink" Target="https://drive.google.com/file/d/1U_LAflTOa8EHtJGia43U6SwoMLPV2Xwz/view?usp=drivesdk" TargetMode="External"/><Relationship Id="rId5850" Type="http://schemas.openxmlformats.org/officeDocument/2006/relationships/hyperlink" Target="https://drive.google.com/file/d/1QddJ7LhvyvvBaixhff2NBF9tjXTc005H/view?usp=drivesdk" TargetMode="External"/><Relationship Id="rId4521" Type="http://schemas.openxmlformats.org/officeDocument/2006/relationships/hyperlink" Target="https://drive.google.com/file/d/1HbJJOv8jJCetCaZqWS9QXF2AbxJU0-u6/view?usp=drivesdk" TargetMode="External"/><Relationship Id="rId5853" Type="http://schemas.openxmlformats.org/officeDocument/2006/relationships/hyperlink" Target="https://drive.google.com/file/d/1hWdr1PO5hwUivlYe4J-B9cv19pynN9nr/view?usp=drivesdk" TargetMode="External"/><Relationship Id="rId4520" Type="http://schemas.openxmlformats.org/officeDocument/2006/relationships/hyperlink" Target="https://drive.google.com/file/d/1FIc5PR0ZIEjt4JO_KjfwBGT71Of1Z3AP/view?usp=drivesdk" TargetMode="External"/><Relationship Id="rId5854" Type="http://schemas.openxmlformats.org/officeDocument/2006/relationships/hyperlink" Target="https://drive.google.com/file/d/1QMCPtNoHPYjRR02zbGMHh6BHzMSXU_Mp/view?usp=drivesdk" TargetMode="External"/><Relationship Id="rId4523" Type="http://schemas.openxmlformats.org/officeDocument/2006/relationships/hyperlink" Target="https://drive.google.com/file/d/1xwMgmbTTP2bV-AaR10baIOchXNHNpLbC/view?usp=drivesdk" TargetMode="External"/><Relationship Id="rId5851" Type="http://schemas.openxmlformats.org/officeDocument/2006/relationships/hyperlink" Target="https://drive.google.com/file/d/1iRj-1vQPUaUSffVayxNeNfwlnFDHKVqd/view?usp=drivesdk" TargetMode="External"/><Relationship Id="rId4522" Type="http://schemas.openxmlformats.org/officeDocument/2006/relationships/hyperlink" Target="https://drive.google.com/file/d/1PLCyHyL8lnapy2f3RQ6A3bJLtkeXZYD8/view?usp=drivesdk" TargetMode="External"/><Relationship Id="rId5852" Type="http://schemas.openxmlformats.org/officeDocument/2006/relationships/hyperlink" Target="https://drive.google.com/file/d/1rqS9VKQkBDO91dy8wDOPIaB2coXK7nMz/view?usp=drivesdk" TargetMode="External"/><Relationship Id="rId4514" Type="http://schemas.openxmlformats.org/officeDocument/2006/relationships/hyperlink" Target="https://drive.google.com/file/d/1uhMGo01XleDMVYpd2kpD8jNEVM0Rzzvl/view?usp=drivesdk" TargetMode="External"/><Relationship Id="rId5846" Type="http://schemas.openxmlformats.org/officeDocument/2006/relationships/hyperlink" Target="https://drive.google.com/file/d/1nbao30VJGTafD7d1i3HR_DqHnl0l7jZB/view?usp=drivesdk" TargetMode="External"/><Relationship Id="rId4513" Type="http://schemas.openxmlformats.org/officeDocument/2006/relationships/hyperlink" Target="https://drive.google.com/file/d/1EcIJ3afbrnkG4tTcbupASn6xCJ4IS_qJ/view?usp=drivesdk" TargetMode="External"/><Relationship Id="rId5847" Type="http://schemas.openxmlformats.org/officeDocument/2006/relationships/hyperlink" Target="https://drive.google.com/file/d/1oq8-YDJYlJi24JuGiwzykssH329m6MjZ/view?usp=drivesdk" TargetMode="External"/><Relationship Id="rId4516" Type="http://schemas.openxmlformats.org/officeDocument/2006/relationships/hyperlink" Target="https://drive.google.com/file/d/1xiTEwxxzrY_Wh6iXpkpIVv9iR6x6ULTk/view?usp=drivesdk" TargetMode="External"/><Relationship Id="rId5844" Type="http://schemas.openxmlformats.org/officeDocument/2006/relationships/hyperlink" Target="https://drive.google.com/file/d/1TdNPXXzxGVkqUN_dgSQrdT01KKWt6Ae-/view?usp=drivesdk" TargetMode="External"/><Relationship Id="rId4515" Type="http://schemas.openxmlformats.org/officeDocument/2006/relationships/hyperlink" Target="https://drive.google.com/file/d/1XlLOO6Z6dKS5qSAevH9WVDMRo3S8IauL/view?usp=drivesdk" TargetMode="External"/><Relationship Id="rId5845" Type="http://schemas.openxmlformats.org/officeDocument/2006/relationships/hyperlink" Target="https://drive.google.com/file/d/1iOS8A0XqNfvl-kwCcIuFZwyryxiSXuHh/view?usp=drivesdk" TargetMode="External"/><Relationship Id="rId4518" Type="http://schemas.openxmlformats.org/officeDocument/2006/relationships/hyperlink" Target="https://drive.google.com/file/d/1lzHQoYCgWq9jKbqao1IEcSMpglB458DC/view?usp=drivesdk" TargetMode="External"/><Relationship Id="rId4517" Type="http://schemas.openxmlformats.org/officeDocument/2006/relationships/hyperlink" Target="https://drive.google.com/file/d/13pl-RwtYM8ABJAXMXxz6A3c1qCNAZqhm/view?usp=drivesdk" TargetMode="External"/><Relationship Id="rId5848" Type="http://schemas.openxmlformats.org/officeDocument/2006/relationships/hyperlink" Target="https://drive.google.com/file/d/1dUi1kj7WbjbnH8j7Dff6vu5c353WahwX/view?usp=drivesdk" TargetMode="External"/><Relationship Id="rId4519" Type="http://schemas.openxmlformats.org/officeDocument/2006/relationships/hyperlink" Target="https://drive.google.com/file/d/1V8GEZDNf0a-wlTTGX2X8ZvpoqPVWHtkv/view?usp=drivesdk" TargetMode="External"/><Relationship Id="rId5849" Type="http://schemas.openxmlformats.org/officeDocument/2006/relationships/hyperlink" Target="https://drive.google.com/file/d/1KjvaWLaFjs5jb5TJ6unWL9FvqiaWtJBY/view?usp=drivesdk" TargetMode="External"/><Relationship Id="rId4510" Type="http://schemas.openxmlformats.org/officeDocument/2006/relationships/hyperlink" Target="https://drive.google.com/file/d/1mZaNxZMvS9SbbD7Ts-mFSqGPBVy_l0g7/view?usp=drivesdk" TargetMode="External"/><Relationship Id="rId5842" Type="http://schemas.openxmlformats.org/officeDocument/2006/relationships/hyperlink" Target="https://drive.google.com/file/d/1lLhpPKMqmBTxUpkgTKR3QktdXLj8TYZ9/view?usp=drivesdk" TargetMode="External"/><Relationship Id="rId5843" Type="http://schemas.openxmlformats.org/officeDocument/2006/relationships/hyperlink" Target="https://drive.google.com/file/d/1OyCLGww3JHsduA2t5xa20zwpefTsVenD/view?usp=drivesdk" TargetMode="External"/><Relationship Id="rId4512" Type="http://schemas.openxmlformats.org/officeDocument/2006/relationships/hyperlink" Target="https://drive.google.com/file/d/1PqRKCG0fJiCzXv4cv3egb6sHyr7jSUNf/view?usp=drivesdk" TargetMode="External"/><Relationship Id="rId5840" Type="http://schemas.openxmlformats.org/officeDocument/2006/relationships/hyperlink" Target="https://drive.google.com/file/d/17C-7rK0Xc65x6Ww4hhy26eT0ZQybv9kx/view?usp=drivesdk" TargetMode="External"/><Relationship Id="rId4511" Type="http://schemas.openxmlformats.org/officeDocument/2006/relationships/hyperlink" Target="https://drive.google.com/file/d/1zR2CK_NhVK1BR_HM7L7poIHdYJInYo96/view?usp=drivesdk" TargetMode="External"/><Relationship Id="rId5841" Type="http://schemas.openxmlformats.org/officeDocument/2006/relationships/hyperlink" Target="https://drive.google.com/file/d/16qu_R6lZXt5lUtyvqxHdIFU_3-2_iQhL/view?usp=drivesdk" TargetMode="External"/><Relationship Id="rId3216" Type="http://schemas.openxmlformats.org/officeDocument/2006/relationships/hyperlink" Target="https://drive.google.com/file/d/1DOAQlioT3-lrHBOKgweu6lsGJyVhQRuz/view?usp=drivesdk" TargetMode="External"/><Relationship Id="rId4547" Type="http://schemas.openxmlformats.org/officeDocument/2006/relationships/hyperlink" Target="https://drive.google.com/file/d/1fY0_Qc-r1-367iNlTZZJOHhFHIq2-E5q/view?usp=drivesdk" TargetMode="External"/><Relationship Id="rId5879" Type="http://schemas.openxmlformats.org/officeDocument/2006/relationships/hyperlink" Target="https://drive.google.com/file/d/1PEqaTFcWgvWBimsN_2wBMwEdSNm0eBsD/view?usp=drivesdk" TargetMode="External"/><Relationship Id="rId3215" Type="http://schemas.openxmlformats.org/officeDocument/2006/relationships/hyperlink" Target="https://drive.google.com/file/d/14_gFT8npch741m8PNBVSqcMWUxo35BS_/view?usp=drivesdk" TargetMode="External"/><Relationship Id="rId4546" Type="http://schemas.openxmlformats.org/officeDocument/2006/relationships/hyperlink" Target="https://drive.google.com/file/d/1AE9LIRCYDkIpaABN8cdaA8HYUxeI33qS/view?usp=drivesdk" TargetMode="External"/><Relationship Id="rId3218" Type="http://schemas.openxmlformats.org/officeDocument/2006/relationships/hyperlink" Target="https://drive.google.com/file/d/1hjXJeRDQsjqhkLVMJJzFiHc6N1FsAXbl/view?usp=drivesdk" TargetMode="External"/><Relationship Id="rId4549" Type="http://schemas.openxmlformats.org/officeDocument/2006/relationships/hyperlink" Target="https://drive.google.com/file/d/14PBMpnyzsYbhhoVKXiHZzWTOoabl44DB/view?usp=drivesdk" TargetMode="External"/><Relationship Id="rId5877" Type="http://schemas.openxmlformats.org/officeDocument/2006/relationships/hyperlink" Target="https://drive.google.com/file/d/1cR7_Z1_msI2_dfnAL0m8AxDLRRQ_m8l8/view?usp=drivesdk" TargetMode="External"/><Relationship Id="rId3217" Type="http://schemas.openxmlformats.org/officeDocument/2006/relationships/hyperlink" Target="https://drive.google.com/file/d/1u_IwjQSs8lzKeX4p_4wGUvLJ-7pKILWv/view?usp=drivesdk" TargetMode="External"/><Relationship Id="rId4548" Type="http://schemas.openxmlformats.org/officeDocument/2006/relationships/hyperlink" Target="https://drive.google.com/file/d/1ttKpRD7dyN7Aed3pFH9X5IAydEgSQeXi/view?usp=drivesdk" TargetMode="External"/><Relationship Id="rId5878" Type="http://schemas.openxmlformats.org/officeDocument/2006/relationships/hyperlink" Target="https://drive.google.com/file/d/1k2hDBvEYfS42yfL_DvlNKlTfuwiD8y72/view?usp=drivesdk" TargetMode="External"/><Relationship Id="rId3219" Type="http://schemas.openxmlformats.org/officeDocument/2006/relationships/hyperlink" Target="https://drive.google.com/file/d/11boDsGLkqmrn1WS_W0IgEJ6GCmmf_Ru1/view?usp=drivesdk" TargetMode="External"/><Relationship Id="rId5871" Type="http://schemas.openxmlformats.org/officeDocument/2006/relationships/hyperlink" Target="https://drive.google.com/file/d/1peH01M1gelOxro0XHdEc4FVE0dNzGzcy/view?usp=drivesdk" TargetMode="External"/><Relationship Id="rId5872" Type="http://schemas.openxmlformats.org/officeDocument/2006/relationships/hyperlink" Target="https://drive.google.com/file/d/18gwGljIgg1sg3oj8Z2irZw86lg8IzbE0/view?usp=drivesdk" TargetMode="External"/><Relationship Id="rId3210" Type="http://schemas.openxmlformats.org/officeDocument/2006/relationships/hyperlink" Target="https://drive.google.com/file/d/15X8Ovh7tVoR82p-ZvmV29tQeRnZ2VG-D/view?usp=drivesdk" TargetMode="External"/><Relationship Id="rId4541" Type="http://schemas.openxmlformats.org/officeDocument/2006/relationships/hyperlink" Target="https://drive.google.com/file/d/1BK9gQxbCEWTnsTx3XZ2iypjkAbl3uaKQ/view?usp=drivesdk" TargetMode="External"/><Relationship Id="rId4540" Type="http://schemas.openxmlformats.org/officeDocument/2006/relationships/hyperlink" Target="https://drive.google.com/file/d/1pq9IrmpQy7qFojw-AvOtk3EeBukAI0FH/view?usp=drivesdk" TargetMode="External"/><Relationship Id="rId5870" Type="http://schemas.openxmlformats.org/officeDocument/2006/relationships/hyperlink" Target="https://drive.google.com/file/d/1yZpsLjrN69lGEdw-Ed61NushKHQz5nQm/view?usp=drivesdk" TargetMode="External"/><Relationship Id="rId3212" Type="http://schemas.openxmlformats.org/officeDocument/2006/relationships/hyperlink" Target="https://drive.google.com/file/d/1RivRItA_VylbgphtXBzagUIRxbI8e42i/view?usp=drivesdk" TargetMode="External"/><Relationship Id="rId4543" Type="http://schemas.openxmlformats.org/officeDocument/2006/relationships/hyperlink" Target="https://drive.google.com/file/d/1mQFcVqeEJ_Dxji9SqS_mT5CRFEvcD_Gm/view?usp=drivesdk" TargetMode="External"/><Relationship Id="rId5875" Type="http://schemas.openxmlformats.org/officeDocument/2006/relationships/hyperlink" Target="https://drive.google.com/file/d/1pDQoY7iMa-Rkjp5nlBa-BoUEz524GFo4/view?usp=drivesdk" TargetMode="External"/><Relationship Id="rId3211" Type="http://schemas.openxmlformats.org/officeDocument/2006/relationships/hyperlink" Target="https://drive.google.com/file/d/1oR8JukP_Bvk8k-xfnx9KbvSuLKVtf7GG/view?usp=drivesdk" TargetMode="External"/><Relationship Id="rId4542" Type="http://schemas.openxmlformats.org/officeDocument/2006/relationships/hyperlink" Target="https://drive.google.com/file/d/1DZbprExEnEoCTYDAidSN_eyXU7lGK5XG/view?usp=drivesdk" TargetMode="External"/><Relationship Id="rId5876" Type="http://schemas.openxmlformats.org/officeDocument/2006/relationships/hyperlink" Target="https://drive.google.com/file/d/1rx3vP1riDBvsUyJkPqYCuQzN6bGGEI_c/view?usp=drivesdk" TargetMode="External"/><Relationship Id="rId3214" Type="http://schemas.openxmlformats.org/officeDocument/2006/relationships/hyperlink" Target="https://drive.google.com/file/d/1fcp7F9hqMit7F_xJUZu_oaQtRqNvamyw/view?usp=drivesdk" TargetMode="External"/><Relationship Id="rId4545" Type="http://schemas.openxmlformats.org/officeDocument/2006/relationships/hyperlink" Target="https://drive.google.com/file/d/13MdwG-IsD7MAjI0RRUP9pOJPPhjoW_pn/view?usp=drivesdk" TargetMode="External"/><Relationship Id="rId5873" Type="http://schemas.openxmlformats.org/officeDocument/2006/relationships/hyperlink" Target="https://drive.google.com/file/d/17OrFY5tDbzUgay0K78uqR8SKrgxZ7y82/view?usp=drivesdk" TargetMode="External"/><Relationship Id="rId3213" Type="http://schemas.openxmlformats.org/officeDocument/2006/relationships/hyperlink" Target="https://drive.google.com/file/d/1yUZReyfXdkQhBupnbstaQVcptW_1hKTp/view?usp=drivesdk" TargetMode="External"/><Relationship Id="rId4544" Type="http://schemas.openxmlformats.org/officeDocument/2006/relationships/hyperlink" Target="https://drive.google.com/file/d/1dMw5dRotKNy645bhy7iSCXifMUdfMTVf/view?usp=drivesdk" TargetMode="External"/><Relationship Id="rId5874" Type="http://schemas.openxmlformats.org/officeDocument/2006/relationships/hyperlink" Target="https://drive.google.com/file/d/1PUTJk3wZCsMXtUyIxJcSBmVYx60C5q7M/view?usp=drivesdk" TargetMode="External"/><Relationship Id="rId3205" Type="http://schemas.openxmlformats.org/officeDocument/2006/relationships/hyperlink" Target="https://drive.google.com/file/d/1IFpRHp4dIZlbv1psoGLzT6V32Fbj1Waa/view?usp=drivesdk" TargetMode="External"/><Relationship Id="rId4536" Type="http://schemas.openxmlformats.org/officeDocument/2006/relationships/hyperlink" Target="https://drive.google.com/file/d/152EpaaYfLuXiwwZbPmCJT_N6-59ln9TB/view?usp=drivesdk" TargetMode="External"/><Relationship Id="rId5868" Type="http://schemas.openxmlformats.org/officeDocument/2006/relationships/hyperlink" Target="https://drive.google.com/file/d/1nEfqY8B8SSDM2r8QzRacRjk35VaK0GNW/view?usp=drivesdk" TargetMode="External"/><Relationship Id="rId3204" Type="http://schemas.openxmlformats.org/officeDocument/2006/relationships/hyperlink" Target="https://drive.google.com/file/d/1240m0AfNnbTdhd3aTWd834pd_9KA_zCk/view?usp=drivesdk" TargetMode="External"/><Relationship Id="rId4535" Type="http://schemas.openxmlformats.org/officeDocument/2006/relationships/hyperlink" Target="https://drive.google.com/file/d/1bUq1BSMSntBKfpSAg5n-rri0V9eAmJjR/view?usp=drivesdk" TargetMode="External"/><Relationship Id="rId5869" Type="http://schemas.openxmlformats.org/officeDocument/2006/relationships/hyperlink" Target="https://drive.google.com/file/d/1Xb2GPtfCl9-ySsSPYh4HJupwfI3huCtL/view?usp=drivesdk" TargetMode="External"/><Relationship Id="rId3207" Type="http://schemas.openxmlformats.org/officeDocument/2006/relationships/hyperlink" Target="https://drive.google.com/file/d/1YOWr0nkWNNA7-DpDqRS08B5bG01b2e7a/view?usp=drivesdk" TargetMode="External"/><Relationship Id="rId4538" Type="http://schemas.openxmlformats.org/officeDocument/2006/relationships/hyperlink" Target="https://drive.google.com/file/d/1QDh0JnO5iSsSqIjwBw4h6DrHObu-Qkp6/view?usp=drivesdk" TargetMode="External"/><Relationship Id="rId5866" Type="http://schemas.openxmlformats.org/officeDocument/2006/relationships/hyperlink" Target="https://drive.google.com/file/d/1wSzXUREp82Dl2QMA1IXvZvITE8rhLpcA/view?usp=drivesdk" TargetMode="External"/><Relationship Id="rId3206" Type="http://schemas.openxmlformats.org/officeDocument/2006/relationships/hyperlink" Target="https://drive.google.com/file/d/1jIt-WBbCiBVbZ61VTQ05086OK1X2ke0N/view?usp=drivesdk" TargetMode="External"/><Relationship Id="rId4537" Type="http://schemas.openxmlformats.org/officeDocument/2006/relationships/hyperlink" Target="https://drive.google.com/file/d/14I3ZkoJ_ziRco0n1DGGjtB5JM6Est9KL/view?usp=drivesdk" TargetMode="External"/><Relationship Id="rId5867" Type="http://schemas.openxmlformats.org/officeDocument/2006/relationships/hyperlink" Target="https://drive.google.com/file/d/1kTjNzHv13JJoATRNmIh3fvcaPlIc_zpn/view?usp=drivesdk" TargetMode="External"/><Relationship Id="rId3209" Type="http://schemas.openxmlformats.org/officeDocument/2006/relationships/hyperlink" Target="https://drive.google.com/file/d/1uO54HqUVnPk08nTkfyluXEc5oljjGr06/view?usp=drivesdk" TargetMode="External"/><Relationship Id="rId3208" Type="http://schemas.openxmlformats.org/officeDocument/2006/relationships/hyperlink" Target="https://drive.google.com/file/d/1iFoTcc8ZdC0eU1c7h9hRPhRvtMWVV7NG/view?usp=drivesdk" TargetMode="External"/><Relationship Id="rId4539" Type="http://schemas.openxmlformats.org/officeDocument/2006/relationships/hyperlink" Target="https://drive.google.com/file/d/1m1zTq4Y1qXzzJNayjzrUf_q4Mj_1HP1Y/view?usp=drivesdk" TargetMode="External"/><Relationship Id="rId5860" Type="http://schemas.openxmlformats.org/officeDocument/2006/relationships/hyperlink" Target="https://drive.google.com/file/d/1UKbHC7iKxnu_AlYOyScSXK85x-KvK5DJ/view?usp=drivesdk" TargetMode="External"/><Relationship Id="rId5861" Type="http://schemas.openxmlformats.org/officeDocument/2006/relationships/hyperlink" Target="https://drive.google.com/file/d/1aMM5-DQxCvMw6hBE4fFQJSl-upXjiTO9/view?usp=drivesdk" TargetMode="External"/><Relationship Id="rId4530" Type="http://schemas.openxmlformats.org/officeDocument/2006/relationships/hyperlink" Target="https://drive.google.com/file/d/1nblvLIpO9IY3A6WtIbYz7HyLMJb2w9SA/view?usp=drivesdk" TargetMode="External"/><Relationship Id="rId3201" Type="http://schemas.openxmlformats.org/officeDocument/2006/relationships/hyperlink" Target="https://drive.google.com/file/d/13-zk6-zCfTYPjMWCj-5waTlXDsEM-ch0/view?usp=drivesdk" TargetMode="External"/><Relationship Id="rId4532" Type="http://schemas.openxmlformats.org/officeDocument/2006/relationships/hyperlink" Target="https://drive.google.com/file/d/1G1byewpBt4fto3FcXb27pAazr72Kvznd/view?usp=drivesdk" TargetMode="External"/><Relationship Id="rId5864" Type="http://schemas.openxmlformats.org/officeDocument/2006/relationships/hyperlink" Target="https://drive.google.com/file/d/1fDzu_3xvDds8vcs01LDZKO9KaRnux-Mm/view?usp=drivesdk" TargetMode="External"/><Relationship Id="rId3200" Type="http://schemas.openxmlformats.org/officeDocument/2006/relationships/hyperlink" Target="https://drive.google.com/file/d/1Zo0WRLgdiy_TmjHxSYtlUVtz-nZDhL8X/view?usp=drivesdk" TargetMode="External"/><Relationship Id="rId4531" Type="http://schemas.openxmlformats.org/officeDocument/2006/relationships/hyperlink" Target="https://drive.google.com/file/d/1CKm2wz7721jTFJvexdkkOQkPVobMIzFE/view?usp=drivesdk" TargetMode="External"/><Relationship Id="rId5865" Type="http://schemas.openxmlformats.org/officeDocument/2006/relationships/hyperlink" Target="https://drive.google.com/file/d/1pltwjDPxDCA_OlrhsjFj-xteATNWrBxl/view?usp=drivesdk" TargetMode="External"/><Relationship Id="rId3203" Type="http://schemas.openxmlformats.org/officeDocument/2006/relationships/hyperlink" Target="https://drive.google.com/file/d/1Zy59YDtx7--vjmUQrcMB_A42atXHoGrs/view?usp=drivesdk" TargetMode="External"/><Relationship Id="rId4534" Type="http://schemas.openxmlformats.org/officeDocument/2006/relationships/hyperlink" Target="https://drive.google.com/file/d/1jWe098vdkZFlSv93Hn0t6CUGlVXdBEok/view?usp=drivesdk" TargetMode="External"/><Relationship Id="rId5862" Type="http://schemas.openxmlformats.org/officeDocument/2006/relationships/hyperlink" Target="https://drive.google.com/file/d/13_rniXbV_JGGOI9UicLPNZa1GUtdVk0X/view?usp=drivesdk" TargetMode="External"/><Relationship Id="rId3202" Type="http://schemas.openxmlformats.org/officeDocument/2006/relationships/hyperlink" Target="https://drive.google.com/file/d/1qzQ1RFMKUKvgAO5dIVnyyPwIgYHuMwDr/view?usp=drivesdk" TargetMode="External"/><Relationship Id="rId4533" Type="http://schemas.openxmlformats.org/officeDocument/2006/relationships/hyperlink" Target="https://drive.google.com/file/d/1tjmX35-GzZ9sCdFMIFThFnF3dvZTAA8Z/view?usp=drivesdk" TargetMode="External"/><Relationship Id="rId5863" Type="http://schemas.openxmlformats.org/officeDocument/2006/relationships/hyperlink" Target="https://drive.google.com/file/d/1Qi-FAJ9zQjP4gZSt9DEMGSMGNoh_AExv/view?usp=drivesdk" TargetMode="External"/><Relationship Id="rId3270" Type="http://schemas.openxmlformats.org/officeDocument/2006/relationships/hyperlink" Target="https://drive.google.com/file/d/18YOfoS2_E-KOM84cN9WXHuEw2BpgVxOK/view?usp=drivesdk" TargetMode="External"/><Relationship Id="rId3272" Type="http://schemas.openxmlformats.org/officeDocument/2006/relationships/hyperlink" Target="https://drive.google.com/file/d/1G74rDXw5m5HftY6UzRv-udshUa2mnR-p/view?usp=drivesdk" TargetMode="External"/><Relationship Id="rId3271" Type="http://schemas.openxmlformats.org/officeDocument/2006/relationships/hyperlink" Target="https://drive.google.com/file/d/1Zd0a8TyxsK7wwUIBzUA8cBoPgov8qiXH/view?usp=drivesdk" TargetMode="External"/><Relationship Id="rId3274" Type="http://schemas.openxmlformats.org/officeDocument/2006/relationships/hyperlink" Target="https://drive.google.com/file/d/1ivpDArZf-aQnpIxwVrXHx_B1PVaZjjt6/view?usp=drivesdk" TargetMode="External"/><Relationship Id="rId3273" Type="http://schemas.openxmlformats.org/officeDocument/2006/relationships/hyperlink" Target="https://drive.google.com/file/d/1NXRfAN_c0V-T1cs_wsfXT-HstmwkCNMd/view?usp=drivesdk" TargetMode="External"/><Relationship Id="rId3276" Type="http://schemas.openxmlformats.org/officeDocument/2006/relationships/hyperlink" Target="https://drive.google.com/file/d/1XMpGQ46ePk8GIn7kdt6SInleSdePMWWe/view?usp=drivesdk" TargetMode="External"/><Relationship Id="rId3275" Type="http://schemas.openxmlformats.org/officeDocument/2006/relationships/hyperlink" Target="https://drive.google.com/file/d/1JR1rxnkYWPipGbBZz2_W1pX-bE8sVpRX/view?usp=drivesdk" TargetMode="External"/><Relationship Id="rId3278" Type="http://schemas.openxmlformats.org/officeDocument/2006/relationships/hyperlink" Target="https://drive.google.com/file/d/19IczgYdlIhaWPUM8AazU0k3DD3EDf_pf/view?usp=drivesdk" TargetMode="External"/><Relationship Id="rId3277" Type="http://schemas.openxmlformats.org/officeDocument/2006/relationships/hyperlink" Target="https://drive.google.com/file/d/19kXFFgMOYB8N7rWQZl5XUNNC3ZVMH6uX/view?usp=drivesdk" TargetMode="External"/><Relationship Id="rId3279" Type="http://schemas.openxmlformats.org/officeDocument/2006/relationships/hyperlink" Target="https://drive.google.com/file/d/184wDYPb6hw_GhbZOFEE6cqvCQGAa45ia/view?usp=drivesdk" TargetMode="External"/><Relationship Id="rId4590" Type="http://schemas.openxmlformats.org/officeDocument/2006/relationships/hyperlink" Target="https://drive.google.com/file/d/1W57gHItEzwq8GQmgXAFrwcaetLWHIAZ6/view?usp=drivesdk" TargetMode="External"/><Relationship Id="rId3261" Type="http://schemas.openxmlformats.org/officeDocument/2006/relationships/hyperlink" Target="https://drive.google.com/file/d/10fC0F03unU8YTcX628gESRjGULQpRjvg/view?usp=drivesdk" TargetMode="External"/><Relationship Id="rId4592" Type="http://schemas.openxmlformats.org/officeDocument/2006/relationships/hyperlink" Target="https://drive.google.com/file/d/1Zblh700tozoh9TotWsHA_HtV1bkYZLxt/view?usp=drivesdk" TargetMode="External"/><Relationship Id="rId3260" Type="http://schemas.openxmlformats.org/officeDocument/2006/relationships/hyperlink" Target="https://drive.google.com/file/d/1kI3hkRB70fBSCuOabB_a6c5Xnq9B_Hqp/view?usp=drivesdk" TargetMode="External"/><Relationship Id="rId4591" Type="http://schemas.openxmlformats.org/officeDocument/2006/relationships/hyperlink" Target="https://drive.google.com/file/d/1socd8_VFs3Jjfm8zsb67J_t79h2msiMN/view?usp=drivesdk" TargetMode="External"/><Relationship Id="rId3263" Type="http://schemas.openxmlformats.org/officeDocument/2006/relationships/hyperlink" Target="https://drive.google.com/file/d/1iywNObKImNHRkkMBFhs55PJB0itI3UTN/view?usp=drivesdk" TargetMode="External"/><Relationship Id="rId4594" Type="http://schemas.openxmlformats.org/officeDocument/2006/relationships/hyperlink" Target="https://drive.google.com/file/d/1L3aZHfjRISzaSvpJCzSQ1pjy869dOumV/view?usp=drivesdk" TargetMode="External"/><Relationship Id="rId3262" Type="http://schemas.openxmlformats.org/officeDocument/2006/relationships/hyperlink" Target="https://drive.google.com/file/d/1jJqL0NgWXj2Ewzhn82JYxyovOEsWJ0vQ/view?usp=drivesdk" TargetMode="External"/><Relationship Id="rId4593" Type="http://schemas.openxmlformats.org/officeDocument/2006/relationships/hyperlink" Target="https://drive.google.com/file/d/1WnbVFwJnAzYzT5BWrsmw5zVN3HUsnQYx/view?usp=drivesdk" TargetMode="External"/><Relationship Id="rId3265" Type="http://schemas.openxmlformats.org/officeDocument/2006/relationships/hyperlink" Target="https://drive.google.com/file/d/1IzTun7cXxU0MoUTMMsW_OT43Zu3ZGihp/view?usp=drivesdk" TargetMode="External"/><Relationship Id="rId4596" Type="http://schemas.openxmlformats.org/officeDocument/2006/relationships/hyperlink" Target="https://drive.google.com/file/d/1dbRpF8J0-W64eB7bv2TYd4XCHiF7dA4V/view?usp=drivesdk" TargetMode="External"/><Relationship Id="rId3264" Type="http://schemas.openxmlformats.org/officeDocument/2006/relationships/hyperlink" Target="https://drive.google.com/file/d/1uaUNrJOPmxB5XDOR9lD-lxR1i--6fdtC/view?usp=drivesdk" TargetMode="External"/><Relationship Id="rId4595" Type="http://schemas.openxmlformats.org/officeDocument/2006/relationships/hyperlink" Target="https://drive.google.com/file/d/1UwEd1iQx9pAI5MBfThGPwE2r5k3Rzmre/view?usp=drivesdk" TargetMode="External"/><Relationship Id="rId3267" Type="http://schemas.openxmlformats.org/officeDocument/2006/relationships/hyperlink" Target="https://drive.google.com/file/d/1X3ZcN6TsVLK2bC79iH4D3bxSztd8PXn6/view?usp=drivesdk" TargetMode="External"/><Relationship Id="rId4598" Type="http://schemas.openxmlformats.org/officeDocument/2006/relationships/hyperlink" Target="https://drive.google.com/file/d/14HaD4o4ZtnHz3SdwM-P2HGV1KWWk3vI7/view?usp=drivesdk" TargetMode="External"/><Relationship Id="rId3266" Type="http://schemas.openxmlformats.org/officeDocument/2006/relationships/hyperlink" Target="https://drive.google.com/file/d/1xcfhYxZ8zHYYreLG325y9xY8lwi2XGhs/view?usp=drivesdk" TargetMode="External"/><Relationship Id="rId4597" Type="http://schemas.openxmlformats.org/officeDocument/2006/relationships/hyperlink" Target="https://drive.google.com/file/d/1XXjj-TghVbLRTnwlGf6I2boPVCZm93YL/view?usp=drivesdk" TargetMode="External"/><Relationship Id="rId3269" Type="http://schemas.openxmlformats.org/officeDocument/2006/relationships/hyperlink" Target="https://drive.google.com/file/d/1pDFi5Uc9ENuIR_wC2VEudYur5rgxzXq8/view?usp=drivesdk" TargetMode="External"/><Relationship Id="rId3268" Type="http://schemas.openxmlformats.org/officeDocument/2006/relationships/hyperlink" Target="https://drive.google.com/file/d/1wD_D_sEepW_0zmP1bTkR7u1YK3JM4mR8/view?usp=drivesdk" TargetMode="External"/><Relationship Id="rId4599" Type="http://schemas.openxmlformats.org/officeDocument/2006/relationships/hyperlink" Target="https://drive.google.com/file/d/1O4Im6LR6EbLT2UrjjKqw4bevG47wlgT7/view?usp=drivesdk" TargetMode="External"/><Relationship Id="rId3290" Type="http://schemas.openxmlformats.org/officeDocument/2006/relationships/hyperlink" Target="https://drive.google.com/file/d/18Q9Xe3QuX315oYOPRBCka5n_nmnQtQZc/view?usp=drivesdk" TargetMode="External"/><Relationship Id="rId3292" Type="http://schemas.openxmlformats.org/officeDocument/2006/relationships/hyperlink" Target="https://drive.google.com/file/d/15vFz8tr7hCGULMZ9KhrATF0f4YZ9rmiY/view?usp=drivesdk" TargetMode="External"/><Relationship Id="rId3291" Type="http://schemas.openxmlformats.org/officeDocument/2006/relationships/hyperlink" Target="https://drive.google.com/file/d/1sW-ywNTjVw0byhM79hl29sOINaq6nglj/view?usp=drivesdk" TargetMode="External"/><Relationship Id="rId3294" Type="http://schemas.openxmlformats.org/officeDocument/2006/relationships/hyperlink" Target="https://drive.google.com/file/d/1oIe_0xzuPdMW8eawFv_HiPXS4EJ7yeO4/view?usp=drivesdk" TargetMode="External"/><Relationship Id="rId3293" Type="http://schemas.openxmlformats.org/officeDocument/2006/relationships/hyperlink" Target="https://drive.google.com/file/d/1dbgbPBH1d2L9Xkma4_r770mtSgso4plX/view?usp=drivesdk" TargetMode="External"/><Relationship Id="rId3296" Type="http://schemas.openxmlformats.org/officeDocument/2006/relationships/hyperlink" Target="https://drive.google.com/file/d/1Mn1wLdzivCIGfsdvhkBFovPPQd9rXjbT/view?usp=drivesdk" TargetMode="External"/><Relationship Id="rId3295" Type="http://schemas.openxmlformats.org/officeDocument/2006/relationships/hyperlink" Target="https://drive.google.com/file/d/1H_-A5AwKrpnYJPcsqKlBFbDB8z0euiZ_/view?usp=drivesdk" TargetMode="External"/><Relationship Id="rId3298" Type="http://schemas.openxmlformats.org/officeDocument/2006/relationships/hyperlink" Target="https://drive.google.com/file/d/1Wd_bg1gtCASEMcxrZchF7QW1oaioSxUr/view?usp=drivesdk" TargetMode="External"/><Relationship Id="rId3297" Type="http://schemas.openxmlformats.org/officeDocument/2006/relationships/hyperlink" Target="https://drive.google.com/file/d/1ISv-YENqMhly8BcBIxL_E0uysKSftnxS/view?usp=drivesdk" TargetMode="External"/><Relationship Id="rId3299" Type="http://schemas.openxmlformats.org/officeDocument/2006/relationships/hyperlink" Target="https://drive.google.com/file/d/1aQrzrLQYMfCU50DcYUagouK6k97y-kau/view?usp=drivesdk" TargetMode="External"/><Relationship Id="rId3281" Type="http://schemas.openxmlformats.org/officeDocument/2006/relationships/hyperlink" Target="https://drive.google.com/file/d/1eG9i_PJOcrdN29CcE6gpA8ecX7P6oPpV/view?usp=drivesdk" TargetMode="External"/><Relationship Id="rId3280" Type="http://schemas.openxmlformats.org/officeDocument/2006/relationships/hyperlink" Target="https://drive.google.com/file/d/1foEwzPp5OBMTMxX1Ol9V2yzHOvtwmTU8/view?usp=drivesdk" TargetMode="External"/><Relationship Id="rId3283" Type="http://schemas.openxmlformats.org/officeDocument/2006/relationships/hyperlink" Target="https://drive.google.com/file/d/1LTxDiD3TDYtizJBbGCF6IoSsIfG1SfiC/view?usp=drivesdk" TargetMode="External"/><Relationship Id="rId3282" Type="http://schemas.openxmlformats.org/officeDocument/2006/relationships/hyperlink" Target="https://drive.google.com/file/d/1TiYSZVJJpAQC7wxNUWjJfs-PRpi4n4ug/view?usp=drivesdk" TargetMode="External"/><Relationship Id="rId3285" Type="http://schemas.openxmlformats.org/officeDocument/2006/relationships/hyperlink" Target="https://drive.google.com/file/d/1yrlTxU1-5lWkl4OXKQK7UWC7epmi53SE/view?usp=drivesdk" TargetMode="External"/><Relationship Id="rId3284" Type="http://schemas.openxmlformats.org/officeDocument/2006/relationships/hyperlink" Target="https://drive.google.com/file/d/1DIuF91UjIMkdW2Q8FOw6BKfq4oQGbG_f/view?usp=drivesdk" TargetMode="External"/><Relationship Id="rId3287" Type="http://schemas.openxmlformats.org/officeDocument/2006/relationships/hyperlink" Target="https://drive.google.com/file/d/11ESDCuN6o6ATxbHa25-VtQiea8uNTvFv/view?usp=drivesdk" TargetMode="External"/><Relationship Id="rId3286" Type="http://schemas.openxmlformats.org/officeDocument/2006/relationships/hyperlink" Target="https://drive.google.com/file/d/18c3F9Nl3USw9ex8trWEoc4UlLpirO9an/view?usp=drivesdk" TargetMode="External"/><Relationship Id="rId3289" Type="http://schemas.openxmlformats.org/officeDocument/2006/relationships/hyperlink" Target="https://drive.google.com/file/d/102xhk2Uumw-KnhmR56D-LHTHBunm-hMF/view?usp=drivesdk" TargetMode="External"/><Relationship Id="rId3288" Type="http://schemas.openxmlformats.org/officeDocument/2006/relationships/hyperlink" Target="https://drive.google.com/file/d/1I1MvP5YzFdYs6tVCGGG7Ei5jyUelAwma/view?usp=drivesdk" TargetMode="External"/><Relationship Id="rId4602" Type="http://schemas.openxmlformats.org/officeDocument/2006/relationships/hyperlink" Target="https://drive.google.com/file/d/1Iqw26XstN18mCuzHIIwSSm3NyOm_gvbo/view?usp=drivesdk" TargetMode="External"/><Relationship Id="rId5934" Type="http://schemas.openxmlformats.org/officeDocument/2006/relationships/hyperlink" Target="https://drive.google.com/file/d/1YCHIWLngVnu7VpQ3ile7-OeNtMPHkZ9k/view?usp=drivesdk" TargetMode="External"/><Relationship Id="rId4601" Type="http://schemas.openxmlformats.org/officeDocument/2006/relationships/hyperlink" Target="https://drive.google.com/file/d/1APseEFw07pPY9q60i2P8kEpJt0UGmR8w/view?usp=drivesdk" TargetMode="External"/><Relationship Id="rId5935" Type="http://schemas.openxmlformats.org/officeDocument/2006/relationships/hyperlink" Target="https://drive.google.com/file/d/1uXah1PiXCHU5ZOgWxECm-E27d8z6KvEX/view?usp=drivesdk" TargetMode="External"/><Relationship Id="rId4604" Type="http://schemas.openxmlformats.org/officeDocument/2006/relationships/hyperlink" Target="https://drive.google.com/file/d/1J4TZWL-_ZBluVAN_f1pBIvRSmavU9kf6/view?usp=drivesdk" TargetMode="External"/><Relationship Id="rId5932" Type="http://schemas.openxmlformats.org/officeDocument/2006/relationships/hyperlink" Target="https://drive.google.com/file/d/1M6aFXy6vGCRAzE4_IkDkWMsbWA4fE4OS/view?usp=drivesdk" TargetMode="External"/><Relationship Id="rId4603" Type="http://schemas.openxmlformats.org/officeDocument/2006/relationships/hyperlink" Target="https://drive.google.com/file/d/1FCs3umWOOet1ot_Zyi1dWvL-0Qds-_pP/view?usp=drivesdk" TargetMode="External"/><Relationship Id="rId5933" Type="http://schemas.openxmlformats.org/officeDocument/2006/relationships/hyperlink" Target="https://drive.google.com/file/d/1IwrSlzXZIfLXQNjXl9yMGI9YFLpH6f8N/view?usp=drivesdk" TargetMode="External"/><Relationship Id="rId4606" Type="http://schemas.openxmlformats.org/officeDocument/2006/relationships/hyperlink" Target="https://drive.google.com/file/d/1T05jGxlDv368ZOwoYfvrAgF3Womly8aV/view?usp=drivesdk" TargetMode="External"/><Relationship Id="rId5938" Type="http://schemas.openxmlformats.org/officeDocument/2006/relationships/hyperlink" Target="https://drive.google.com/file/d/1Febew1g69iCSrbJCCEuD0aZwIkDpc7aw/view?usp=drivesdk" TargetMode="External"/><Relationship Id="rId4605" Type="http://schemas.openxmlformats.org/officeDocument/2006/relationships/hyperlink" Target="https://drive.google.com/file/d/1wOqw1ucTA1xwnRndhCC0cw7FMtyUkCLU/view?usp=drivesdk" TargetMode="External"/><Relationship Id="rId5939" Type="http://schemas.openxmlformats.org/officeDocument/2006/relationships/hyperlink" Target="https://drive.google.com/file/d/1brwq7mDhVzeYCEnGw8kSpWVRXNr0T3dJ/view?usp=drivesdk" TargetMode="External"/><Relationship Id="rId4608" Type="http://schemas.openxmlformats.org/officeDocument/2006/relationships/hyperlink" Target="https://drive.google.com/file/d/1_g5gUZtXwNKEmC09FT735lYFVFDgByta/view?usp=drivesdk" TargetMode="External"/><Relationship Id="rId5936" Type="http://schemas.openxmlformats.org/officeDocument/2006/relationships/hyperlink" Target="https://drive.google.com/file/d/1lXZrsFKaY3DmGGSKedGiVo8rA0LwKMFY/view?usp=drivesdk" TargetMode="External"/><Relationship Id="rId4607" Type="http://schemas.openxmlformats.org/officeDocument/2006/relationships/hyperlink" Target="https://drive.google.com/file/d/1iBleBj_KIF0q8BPaVfyQg_L5F_ZGh9k8/view?usp=drivesdk" TargetMode="External"/><Relationship Id="rId5937" Type="http://schemas.openxmlformats.org/officeDocument/2006/relationships/hyperlink" Target="https://drive.google.com/file/d/1hw-Fd5im0OpyJ_dilCzQO6d-02G_JzgT/view?usp=drivesdk" TargetMode="External"/><Relationship Id="rId4609" Type="http://schemas.openxmlformats.org/officeDocument/2006/relationships/hyperlink" Target="https://drive.google.com/file/d/1hbDMfCgELpSmAhjQpg4F0pJ6bjXI-iH4/view?usp=drivesdk" TargetMode="External"/><Relationship Id="rId5930" Type="http://schemas.openxmlformats.org/officeDocument/2006/relationships/hyperlink" Target="https://drive.google.com/file/d/1VpyvKY8Rna_T1c3mh-LgCWLWIou35DF6/view?usp=drivesdk" TargetMode="External"/><Relationship Id="rId5931" Type="http://schemas.openxmlformats.org/officeDocument/2006/relationships/hyperlink" Target="https://drive.google.com/file/d/1lpuTBcAXUpr1gRclIdvX9J11-NMF77uG/view?usp=drivesdk" TargetMode="External"/><Relationship Id="rId4600" Type="http://schemas.openxmlformats.org/officeDocument/2006/relationships/hyperlink" Target="https://drive.google.com/file/d/1hb7JNLszSlZzueX0Pn9N6eGrzR3BjOhV/view?usp=drivesdk" TargetMode="External"/><Relationship Id="rId5923" Type="http://schemas.openxmlformats.org/officeDocument/2006/relationships/hyperlink" Target="https://drive.google.com/file/d/1GWIy7cdhlwljm6raI89Ria8kTpV5_o5v/view?usp=drivesdk" TargetMode="External"/><Relationship Id="rId5924" Type="http://schemas.openxmlformats.org/officeDocument/2006/relationships/hyperlink" Target="https://drive.google.com/file/d/1sr16VT3nXbtUC1s1_--5P7JyOiDx2QFF/view?usp=drivesdk" TargetMode="External"/><Relationship Id="rId5921" Type="http://schemas.openxmlformats.org/officeDocument/2006/relationships/hyperlink" Target="https://drive.google.com/file/d/1znAQSoebqn6YoYAARpICTb3n1O19MJGn/view?usp=drivesdk" TargetMode="External"/><Relationship Id="rId5922" Type="http://schemas.openxmlformats.org/officeDocument/2006/relationships/hyperlink" Target="https://drive.google.com/file/d/18NGKdXE_2dH7JxXfd3Bm9fSe9fUt0FUN/view?usp=drivesdk" TargetMode="External"/><Relationship Id="rId5927" Type="http://schemas.openxmlformats.org/officeDocument/2006/relationships/hyperlink" Target="https://drive.google.com/file/d/18K_1LzhHSpSVlPfxHWr3Ohkc4xHEY18B/view?usp=drivesdk" TargetMode="External"/><Relationship Id="rId5928" Type="http://schemas.openxmlformats.org/officeDocument/2006/relationships/hyperlink" Target="https://drive.google.com/file/d/14O1v_OXwkoJFX9WOpXPydsHaqdiBtiCe/view?usp=drivesdk" TargetMode="External"/><Relationship Id="rId5925" Type="http://schemas.openxmlformats.org/officeDocument/2006/relationships/hyperlink" Target="https://drive.google.com/file/d/1PzFufXqDFlPHTGTp40wgWOeqcSWVVJj0/view?usp=drivesdk" TargetMode="External"/><Relationship Id="rId5926" Type="http://schemas.openxmlformats.org/officeDocument/2006/relationships/hyperlink" Target="https://drive.google.com/file/d/17OSa5VMeK0UaAa9eXocKkup50hCOnPBt/view?usp=drivesdk" TargetMode="External"/><Relationship Id="rId5929" Type="http://schemas.openxmlformats.org/officeDocument/2006/relationships/hyperlink" Target="https://drive.google.com/file/d/1RpcbXKqKdBqhOldvuOefV2zABLxjiMFK/view?usp=drivesdk" TargetMode="External"/><Relationship Id="rId5920" Type="http://schemas.openxmlformats.org/officeDocument/2006/relationships/hyperlink" Target="https://drive.google.com/file/d/1j8VZlyTj4npYPXA-R9u8BaPJFvq7z99r/view?usp=drivesdk" TargetMode="External"/><Relationship Id="rId4624" Type="http://schemas.openxmlformats.org/officeDocument/2006/relationships/hyperlink" Target="https://drive.google.com/file/d/1eZF-bUe1WS8WeUu4AztPmUIH_ZT6C356/view?usp=drivesdk" TargetMode="External"/><Relationship Id="rId5956" Type="http://schemas.openxmlformats.org/officeDocument/2006/relationships/hyperlink" Target="https://drive.google.com/file/d/1K-yXjCRrgtYBseSofbzrCrS35XMiests/view?usp=drivesdk" TargetMode="External"/><Relationship Id="rId4623" Type="http://schemas.openxmlformats.org/officeDocument/2006/relationships/hyperlink" Target="https://drive.google.com/file/d/16GOCVcfeEqx3lFPQwZlMPZUrbGFHtW7i/view?usp=drivesdk" TargetMode="External"/><Relationship Id="rId5957" Type="http://schemas.openxmlformats.org/officeDocument/2006/relationships/hyperlink" Target="https://drive.google.com/file/d/1dC1V_3y7X4QyPh3Q7ilfnKcVV0Pmo0Lj/view?usp=drivesdk" TargetMode="External"/><Relationship Id="rId4626" Type="http://schemas.openxmlformats.org/officeDocument/2006/relationships/hyperlink" Target="https://drive.google.com/file/d/1UtDDf8roaAZrcNN2O5730N4QChsHADhU/view?usp=drivesdk" TargetMode="External"/><Relationship Id="rId5954" Type="http://schemas.openxmlformats.org/officeDocument/2006/relationships/hyperlink" Target="https://drive.google.com/file/d/12K-K4eX5_VNic0sD8WK4jezrWubkmh2W/view?usp=drivesdk" TargetMode="External"/><Relationship Id="rId4625" Type="http://schemas.openxmlformats.org/officeDocument/2006/relationships/hyperlink" Target="https://drive.google.com/file/d/1p5S4vq6Tea_dpMId6EBzLWgQ0foXFO3H/view?usp=drivesdk" TargetMode="External"/><Relationship Id="rId5955" Type="http://schemas.openxmlformats.org/officeDocument/2006/relationships/hyperlink" Target="https://drive.google.com/file/d/13NyqEQlFi9oFPW9D2Vok0DLaxAXp8BFK/view?usp=drivesdk" TargetMode="External"/><Relationship Id="rId4628" Type="http://schemas.openxmlformats.org/officeDocument/2006/relationships/hyperlink" Target="https://drive.google.com/file/d/18H8wjdm_rsq6g9paa8v5hHwQ8xvDhNcL/view?usp=drivesdk" TargetMode="External"/><Relationship Id="rId4627" Type="http://schemas.openxmlformats.org/officeDocument/2006/relationships/hyperlink" Target="https://drive.google.com/file/d/1ijuEK5sig6aV3tG7bXYtCKyuFFxWE-Ej/view?usp=drivesdk" TargetMode="External"/><Relationship Id="rId5958" Type="http://schemas.openxmlformats.org/officeDocument/2006/relationships/hyperlink" Target="https://drive.google.com/file/d/1QNuoXs_Li-Eudg7mQY4V-qpqXJosqGEj/view?usp=drivesdk" TargetMode="External"/><Relationship Id="rId4629" Type="http://schemas.openxmlformats.org/officeDocument/2006/relationships/hyperlink" Target="https://drive.google.com/file/d/1SzHmBHaCnAK_39rTovJ4MnUwT_McqqfV/view?usp=drivesdk" TargetMode="External"/><Relationship Id="rId5959" Type="http://schemas.openxmlformats.org/officeDocument/2006/relationships/hyperlink" Target="https://drive.google.com/file/d/1hyGUJtm8oTptpTsay0Ubb9Bkz2E4IQI8/view?usp=drivesdk" TargetMode="External"/><Relationship Id="rId4620" Type="http://schemas.openxmlformats.org/officeDocument/2006/relationships/hyperlink" Target="https://drive.google.com/file/d/1_L5x8BRkllq4E20vO2mIhSHD-sM9kXw9/view?usp=drivesdk" TargetMode="External"/><Relationship Id="rId5952" Type="http://schemas.openxmlformats.org/officeDocument/2006/relationships/hyperlink" Target="https://drive.google.com/file/d/1Zc3NDZSkxBN9WF9m76aRamE0e9YLyVi2/view?usp=drivesdk" TargetMode="External"/><Relationship Id="rId5953" Type="http://schemas.openxmlformats.org/officeDocument/2006/relationships/hyperlink" Target="https://drive.google.com/file/d/1MDHdFsSYYDvDiLpktkR9z8K_XSGv_fGQ/view?usp=drivesdk" TargetMode="External"/><Relationship Id="rId4622" Type="http://schemas.openxmlformats.org/officeDocument/2006/relationships/hyperlink" Target="https://drive.google.com/file/d/1DiLvTNxV68FYgDiN-qN6V_lrrEIfpmlJ/view?usp=drivesdk" TargetMode="External"/><Relationship Id="rId5950" Type="http://schemas.openxmlformats.org/officeDocument/2006/relationships/hyperlink" Target="https://drive.google.com/file/d/1QgcJU7TdYkH0bQW2eCiVhM_XzXuer5Z5/view?usp=drivesdk" TargetMode="External"/><Relationship Id="rId4621" Type="http://schemas.openxmlformats.org/officeDocument/2006/relationships/hyperlink" Target="https://drive.google.com/file/d/15hp0J-OEaslLVeaxHAa5w-AnrCTJUBLF/view?usp=drivesdk" TargetMode="External"/><Relationship Id="rId5951" Type="http://schemas.openxmlformats.org/officeDocument/2006/relationships/hyperlink" Target="https://drive.google.com/file/d/1GrOG2Ih4cV16uzXc6DfU_n2FO8PkWfqq/view?usp=drivesdk" TargetMode="External"/><Relationship Id="rId4613" Type="http://schemas.openxmlformats.org/officeDocument/2006/relationships/hyperlink" Target="https://drive.google.com/file/d/1k-IVy-10WT0lT2aop-Vg5PKNYeXqSMTv/view?usp=drivesdk" TargetMode="External"/><Relationship Id="rId5945" Type="http://schemas.openxmlformats.org/officeDocument/2006/relationships/hyperlink" Target="https://drive.google.com/file/d/1VHsnHYwUiEfjiqEfuWDA2XTX9_-J6nt0/view?usp=drivesdk" TargetMode="External"/><Relationship Id="rId4612" Type="http://schemas.openxmlformats.org/officeDocument/2006/relationships/hyperlink" Target="https://drive.google.com/file/d/1Js-0FfdrqH4poPB2FNtgmxPOkpEySzo4/view?usp=drivesdk" TargetMode="External"/><Relationship Id="rId5946" Type="http://schemas.openxmlformats.org/officeDocument/2006/relationships/hyperlink" Target="https://drive.google.com/file/d/12gyM72Qz-UK1c2WtTvBF1sd7NeleLi2M/view?usp=drivesdk" TargetMode="External"/><Relationship Id="rId4615" Type="http://schemas.openxmlformats.org/officeDocument/2006/relationships/hyperlink" Target="https://drive.google.com/file/d/17QHEDXupVrT6XE3vE5w_angNF2RLY1PR/view?usp=drivesdk" TargetMode="External"/><Relationship Id="rId5943" Type="http://schemas.openxmlformats.org/officeDocument/2006/relationships/hyperlink" Target="https://drive.google.com/file/d/1b_7CRqLv1KTvgQYz_WRf3n9fcvd4tTa7/view?usp=drivesdk" TargetMode="External"/><Relationship Id="rId4614" Type="http://schemas.openxmlformats.org/officeDocument/2006/relationships/hyperlink" Target="https://drive.google.com/file/d/1LIX7K9FOx10lA9lbMyuCwKdpfqdCe-oS/view?usp=drivesdk" TargetMode="External"/><Relationship Id="rId5944" Type="http://schemas.openxmlformats.org/officeDocument/2006/relationships/hyperlink" Target="https://drive.google.com/file/d/1ncCveFFDGoHsCK_Wi9OlRu1XFnkxMiC2/view?usp=drivesdk" TargetMode="External"/><Relationship Id="rId4617" Type="http://schemas.openxmlformats.org/officeDocument/2006/relationships/hyperlink" Target="https://drive.google.com/file/d/110YFBnpGXRlIKnYF-Fw8nnD1UHsTb7_6/view?usp=drivesdk" TargetMode="External"/><Relationship Id="rId5949" Type="http://schemas.openxmlformats.org/officeDocument/2006/relationships/hyperlink" Target="https://drive.google.com/file/d/1M9amgnjWQHr-I94qowh35i4NJzVuTxex/view?usp=drivesdk" TargetMode="External"/><Relationship Id="rId4616" Type="http://schemas.openxmlformats.org/officeDocument/2006/relationships/hyperlink" Target="https://drive.google.com/file/d/1H57DRTSLEo89PuLCAFM9JaGqCtGZeEzq/view?usp=drivesdk" TargetMode="External"/><Relationship Id="rId4619" Type="http://schemas.openxmlformats.org/officeDocument/2006/relationships/hyperlink" Target="https://drive.google.com/file/d/1ySTG9lBZtnEkjc4Ku-1hRUFkaXGgcQmV/view?usp=drivesdk" TargetMode="External"/><Relationship Id="rId5947" Type="http://schemas.openxmlformats.org/officeDocument/2006/relationships/hyperlink" Target="https://drive.google.com/file/d/1x-kKjsS2_VYk795WEoucvyhHUoOCCP4w/view?usp=drivesdk" TargetMode="External"/><Relationship Id="rId4618" Type="http://schemas.openxmlformats.org/officeDocument/2006/relationships/hyperlink" Target="https://drive.google.com/file/d/1iad6IO2wjBOi284_6B1KJIv-ziMZQqLc/view?usp=drivesdk" TargetMode="External"/><Relationship Id="rId5948" Type="http://schemas.openxmlformats.org/officeDocument/2006/relationships/hyperlink" Target="https://drive.google.com/file/d/1QtMRwQi4joCrAvTS6ulm1zpVCll5wEGI/view?usp=drivesdk" TargetMode="External"/><Relationship Id="rId5941" Type="http://schemas.openxmlformats.org/officeDocument/2006/relationships/hyperlink" Target="https://drive.google.com/file/d/1mg7hltNHUAyKgugwa-KkeC597Z4ZV0TS/view?usp=drivesdk" TargetMode="External"/><Relationship Id="rId5942" Type="http://schemas.openxmlformats.org/officeDocument/2006/relationships/hyperlink" Target="https://drive.google.com/file/d/1emzcTb0pp4C2Ti5iJWy2yTd82mfu4r7C/view?usp=drivesdk" TargetMode="External"/><Relationship Id="rId4611" Type="http://schemas.openxmlformats.org/officeDocument/2006/relationships/hyperlink" Target="https://drive.google.com/file/d/1ioqDy9J38U4kuoL-Sh1pkJXIB5O_kI6o/view?usp=drivesdk" TargetMode="External"/><Relationship Id="rId4610" Type="http://schemas.openxmlformats.org/officeDocument/2006/relationships/hyperlink" Target="https://drive.google.com/file/d/1A8o9gY4n8CPoXmIrJZsFOpYmNFXorwpU/view?usp=drivesdk" TargetMode="External"/><Relationship Id="rId5940" Type="http://schemas.openxmlformats.org/officeDocument/2006/relationships/hyperlink" Target="https://drive.google.com/file/d/1fVyYWBn31hm9bIuFgkVFAC_V--KJ6H7f/view?usp=drivesdk" TargetMode="External"/><Relationship Id="rId5912" Type="http://schemas.openxmlformats.org/officeDocument/2006/relationships/hyperlink" Target="https://drive.google.com/file/d/15Jv-ADgMaVVkx-W99aK6reF2qcmHw6wr/view?usp=drivesdk" TargetMode="External"/><Relationship Id="rId5913" Type="http://schemas.openxmlformats.org/officeDocument/2006/relationships/hyperlink" Target="https://drive.google.com/file/d/1tAxtVaq-0AdjqVMM2W5mtT4FXeJk8DOW/view?usp=drivesdk" TargetMode="External"/><Relationship Id="rId5910" Type="http://schemas.openxmlformats.org/officeDocument/2006/relationships/hyperlink" Target="https://drive.google.com/file/d/1EeGok6G_MDnRsSxhfh1Yx9aBewdrSeI0/view?usp=drivesdk" TargetMode="External"/><Relationship Id="rId5911" Type="http://schemas.openxmlformats.org/officeDocument/2006/relationships/hyperlink" Target="https://drive.google.com/file/d/1FXKbvcSkAfQOqZKAu1V3SmCCFzZu3JYw/view?usp=drivesdk" TargetMode="External"/><Relationship Id="rId5916" Type="http://schemas.openxmlformats.org/officeDocument/2006/relationships/hyperlink" Target="https://drive.google.com/file/d/1hpGjBeb5EkLSLkCerrHsFgS5bK_gOKT9/view?usp=drivesdk" TargetMode="External"/><Relationship Id="rId5917" Type="http://schemas.openxmlformats.org/officeDocument/2006/relationships/hyperlink" Target="https://drive.google.com/file/d/1m0m2c_aNtwFLMgFI2eiBsA73S7vgSrqQ/view?usp=drivesdk" TargetMode="External"/><Relationship Id="rId5914" Type="http://schemas.openxmlformats.org/officeDocument/2006/relationships/hyperlink" Target="https://drive.google.com/file/d/1oUSHvpkj5oErzbMl55H3blJBYFLmO_5d/view?usp=drivesdk" TargetMode="External"/><Relationship Id="rId5915" Type="http://schemas.openxmlformats.org/officeDocument/2006/relationships/hyperlink" Target="https://drive.google.com/file/d/1f7tApH7Wo-qaEVgaTM4iMTCXQKHko2W9/view?usp=drivesdk" TargetMode="External"/><Relationship Id="rId5918" Type="http://schemas.openxmlformats.org/officeDocument/2006/relationships/hyperlink" Target="https://drive.google.com/file/d/1q4jpv0AFZPdUpIrklNIDAyE-xqVPWB1S/view?usp=drivesdk" TargetMode="External"/><Relationship Id="rId5919" Type="http://schemas.openxmlformats.org/officeDocument/2006/relationships/hyperlink" Target="https://drive.google.com/file/d/1yOdYDvo145kmdw_bqV22rquklI_WT0CH/view?usp=drivesdk" TargetMode="External"/><Relationship Id="rId5901" Type="http://schemas.openxmlformats.org/officeDocument/2006/relationships/hyperlink" Target="https://drive.google.com/file/d/1Pk2iWM3gl-9xCCSk7G6sK09qA0bwEei-/view?usp=drivesdk" TargetMode="External"/><Relationship Id="rId5902" Type="http://schemas.openxmlformats.org/officeDocument/2006/relationships/hyperlink" Target="https://drive.google.com/file/d/1rTGXNQHpsbtnPl0BKRBWRjn_Nt7pqErt/view?usp=drivesdk" TargetMode="External"/><Relationship Id="rId5900" Type="http://schemas.openxmlformats.org/officeDocument/2006/relationships/hyperlink" Target="https://drive.google.com/file/d/1EpeSRAAq-ZPwBr6k7tLGcobrQcvimYnf/view?usp=drivesdk" TargetMode="External"/><Relationship Id="rId5905" Type="http://schemas.openxmlformats.org/officeDocument/2006/relationships/hyperlink" Target="https://drive.google.com/file/d/1z3e1cRpLEOPUOBvbXdQ1iAi3YJ-pDjI6/view?usp=drivesdk" TargetMode="External"/><Relationship Id="rId5906" Type="http://schemas.openxmlformats.org/officeDocument/2006/relationships/hyperlink" Target="https://drive.google.com/file/d/1eRyfYUftaSZ9vscpD5AJIU_LfMgookaa/view?usp=drivesdk" TargetMode="External"/><Relationship Id="rId5903" Type="http://schemas.openxmlformats.org/officeDocument/2006/relationships/hyperlink" Target="https://drive.google.com/file/d/1CEC7BxATFkQDmt-LjEirOx0MHruXLnsE/view?usp=drivesdk" TargetMode="External"/><Relationship Id="rId5904" Type="http://schemas.openxmlformats.org/officeDocument/2006/relationships/hyperlink" Target="https://drive.google.com/file/d/1Bu8Xdqki47Jg6jNE3uV8geoiwN9nyOev/view?usp=drivesdk" TargetMode="External"/><Relationship Id="rId5909" Type="http://schemas.openxmlformats.org/officeDocument/2006/relationships/hyperlink" Target="https://drive.google.com/file/d/1PjqjsBg7uw8DXUIHFbcSp2Zu-YZQVBZ1/view?usp=drivesdk" TargetMode="External"/><Relationship Id="rId5907" Type="http://schemas.openxmlformats.org/officeDocument/2006/relationships/hyperlink" Target="https://drive.google.com/file/d/1nYfM-3ssce3r9-AUbQHP8V9vFSYaVJrr/view?usp=drivesdk" TargetMode="External"/><Relationship Id="rId5908" Type="http://schemas.openxmlformats.org/officeDocument/2006/relationships/hyperlink" Target="https://drive.google.com/file/d/14hZgpz3FmNhAjCQPAXmuF1PdrTVnNlgs/view?usp=drivesdk" TargetMode="External"/><Relationship Id="rId2027" Type="http://schemas.openxmlformats.org/officeDocument/2006/relationships/hyperlink" Target="https://drive.google.com/file/d/1LHhQNJqSIIFIk6pdLxGSDPCwv-1ldNpZ/view?usp=drivesdk" TargetMode="External"/><Relationship Id="rId3359" Type="http://schemas.openxmlformats.org/officeDocument/2006/relationships/hyperlink" Target="https://drive.google.com/file/d/1eN5MMFtMyRt3b0bqw5EPIp3NY-xjQuNd/view?usp=drivesdk" TargetMode="External"/><Relationship Id="rId2028" Type="http://schemas.openxmlformats.org/officeDocument/2006/relationships/hyperlink" Target="https://drive.google.com/file/d/1ORXb0LGHy6cMlpWAxog4QNHf3ezpFe5J/view?usp=drivesdk" TargetMode="External"/><Relationship Id="rId3358" Type="http://schemas.openxmlformats.org/officeDocument/2006/relationships/hyperlink" Target="https://drive.google.com/file/d/1a-xWWCOkUSPG8hWUT9XMaDXoThvAowgy/view?usp=drivesdk" TargetMode="External"/><Relationship Id="rId4689" Type="http://schemas.openxmlformats.org/officeDocument/2006/relationships/hyperlink" Target="https://drive.google.com/file/d/19bIJHkzvkpuecKXCJ3s1nIclBrGZeT6s/view?usp=drivesdk" TargetMode="External"/><Relationship Id="rId2029" Type="http://schemas.openxmlformats.org/officeDocument/2006/relationships/hyperlink" Target="https://drive.google.com/file/d/1mthUAHCxfVUALwlD8z2Vyg_TqYO6yEV3/view?usp=drivesdk" TargetMode="External"/><Relationship Id="rId4680" Type="http://schemas.openxmlformats.org/officeDocument/2006/relationships/hyperlink" Target="https://drive.google.com/file/d/19_GEehgsTdOvSnZK_LuWQMmza9W1FiG-/view?usp=drivesdk" TargetMode="External"/><Relationship Id="rId3351" Type="http://schemas.openxmlformats.org/officeDocument/2006/relationships/hyperlink" Target="https://drive.google.com/file/d/1lrLlCQxUwxv7WSuCyVsM6nzoBvLrnMul/view?usp=drivesdk" TargetMode="External"/><Relationship Id="rId4682" Type="http://schemas.openxmlformats.org/officeDocument/2006/relationships/hyperlink" Target="https://drive.google.com/file/d/1T89wZk49W4WytWULwLcGlBHYkmaaiIaO/view?usp=drivesdk" TargetMode="External"/><Relationship Id="rId2020" Type="http://schemas.openxmlformats.org/officeDocument/2006/relationships/hyperlink" Target="https://drive.google.com/file/d/11BpdYZcHuigvt3dGiwtyg83_m_I3LYj6/view?usp=drivesdk" TargetMode="External"/><Relationship Id="rId3350" Type="http://schemas.openxmlformats.org/officeDocument/2006/relationships/hyperlink" Target="https://drive.google.com/file/d/1nM4d9AHbXC4YGcXUCxkh54j2xiLy1ADD/view?usp=drivesdk" TargetMode="External"/><Relationship Id="rId4681" Type="http://schemas.openxmlformats.org/officeDocument/2006/relationships/hyperlink" Target="https://drive.google.com/file/d/1pJLdep8IQzgu4aUB1pLnks9CKRW37Aql/view?usp=drivesdk" TargetMode="External"/><Relationship Id="rId2021" Type="http://schemas.openxmlformats.org/officeDocument/2006/relationships/hyperlink" Target="https://drive.google.com/file/d/1_urTIXbsrcpmRcrSTdW548w-OQJLjEXx/view?usp=drivesdk" TargetMode="External"/><Relationship Id="rId3353" Type="http://schemas.openxmlformats.org/officeDocument/2006/relationships/hyperlink" Target="https://drive.google.com/file/d/1VbNu22PE9AGJhxulMTnYilgW59tea0AI/view?usp=drivesdk" TargetMode="External"/><Relationship Id="rId4684" Type="http://schemas.openxmlformats.org/officeDocument/2006/relationships/hyperlink" Target="https://drive.google.com/file/d/1RyS9M81HZtFLIIsF9M5vyxic5PVQYqu_/view?usp=drivesdk" TargetMode="External"/><Relationship Id="rId2022" Type="http://schemas.openxmlformats.org/officeDocument/2006/relationships/hyperlink" Target="https://drive.google.com/file/d/1bFD02uh5rOh5s7b9nWinr6G7Awh_go6y/view?usp=drivesdk" TargetMode="External"/><Relationship Id="rId3352" Type="http://schemas.openxmlformats.org/officeDocument/2006/relationships/hyperlink" Target="https://drive.google.com/file/d/1JwsbVoqyIAbgN1rM8GLe3sPnIIeDrD7P/view?usp=drivesdk" TargetMode="External"/><Relationship Id="rId4683" Type="http://schemas.openxmlformats.org/officeDocument/2006/relationships/hyperlink" Target="https://drive.google.com/file/d/1yh14fTi4hVZrs9DFXs6AzqqjfEWDhfiN/view?usp=drivesdk" TargetMode="External"/><Relationship Id="rId2023" Type="http://schemas.openxmlformats.org/officeDocument/2006/relationships/hyperlink" Target="https://drive.google.com/file/d/1bky6pJHIgKe8xRNQTP6zROSxTZDaXddU/view?usp=drivesdk" TargetMode="External"/><Relationship Id="rId3355" Type="http://schemas.openxmlformats.org/officeDocument/2006/relationships/hyperlink" Target="https://drive.google.com/file/d/1iB9ZjssGQJC-iw9lbfz6eHx1S9tNU0A0/view?usp=drivesdk" TargetMode="External"/><Relationship Id="rId4686" Type="http://schemas.openxmlformats.org/officeDocument/2006/relationships/hyperlink" Target="https://drive.google.com/file/d/1ScndPefjKoXsJXjTi2cYLgsLscK-y1_W/view?usp=drivesdk" TargetMode="External"/><Relationship Id="rId2024" Type="http://schemas.openxmlformats.org/officeDocument/2006/relationships/hyperlink" Target="https://drive.google.com/file/d/1nayvfqseQmrY3YyxmrWO7R6V1oNVM0B3/view?usp=drivesdk" TargetMode="External"/><Relationship Id="rId3354" Type="http://schemas.openxmlformats.org/officeDocument/2006/relationships/hyperlink" Target="https://drive.google.com/file/d/1QrNvIdiieULKDfqIJ2yVFKOzOjMh3_NG/view?usp=drivesdk" TargetMode="External"/><Relationship Id="rId4685" Type="http://schemas.openxmlformats.org/officeDocument/2006/relationships/hyperlink" Target="https://drive.google.com/file/d/1lZc2SkzbDVsv__hoZee4LIO5c7SR9LhH/view?usp=drivesdk" TargetMode="External"/><Relationship Id="rId2025" Type="http://schemas.openxmlformats.org/officeDocument/2006/relationships/hyperlink" Target="https://drive.google.com/file/d/1VW64PKx67yYkTpPfg3TdzmGkZWE3qBvp/view?usp=drivesdk" TargetMode="External"/><Relationship Id="rId3357" Type="http://schemas.openxmlformats.org/officeDocument/2006/relationships/hyperlink" Target="https://drive.google.com/file/d/15Q605AFwfh0-vfQyVTQiie_IwyVUM5rq/view?usp=drivesdk" TargetMode="External"/><Relationship Id="rId4688" Type="http://schemas.openxmlformats.org/officeDocument/2006/relationships/hyperlink" Target="https://drive.google.com/file/d/1JSYX7Vxx9kphUOSnHOjdymWPJFzKZmma/view?usp=drivesdk" TargetMode="External"/><Relationship Id="rId2026" Type="http://schemas.openxmlformats.org/officeDocument/2006/relationships/hyperlink" Target="https://drive.google.com/file/d/1cCh5EOrYkZ_mGtZQ26LMMx7QSST4-fBB/view?usp=drivesdk" TargetMode="External"/><Relationship Id="rId3356" Type="http://schemas.openxmlformats.org/officeDocument/2006/relationships/hyperlink" Target="https://drive.google.com/file/d/1Uyz0G2UfhOEWU6zD6Qmx1Zf2iKRHvvTU/view?usp=drivesdk" TargetMode="External"/><Relationship Id="rId4687" Type="http://schemas.openxmlformats.org/officeDocument/2006/relationships/hyperlink" Target="https://drive.google.com/file/d/15G0LOz7yWDHphe_mzw6TkI_fgd4xS8V4/view?usp=drivesdk" TargetMode="External"/><Relationship Id="rId2016" Type="http://schemas.openxmlformats.org/officeDocument/2006/relationships/hyperlink" Target="https://drive.google.com/file/d/1EvU8r3hf1Z1gyULkyabnxsPa3V7sYfac/view?usp=drivesdk" TargetMode="External"/><Relationship Id="rId3348" Type="http://schemas.openxmlformats.org/officeDocument/2006/relationships/hyperlink" Target="https://drive.google.com/file/d/1_Pkef_MGqo-dBQB34Vh2t3d608bC5yU5/view?usp=drivesdk" TargetMode="External"/><Relationship Id="rId4679" Type="http://schemas.openxmlformats.org/officeDocument/2006/relationships/hyperlink" Target="https://drive.google.com/file/d/1vb-tPyCZMIbctCbT8CkJ4NQys69UAGzU/view?usp=drivesdk" TargetMode="External"/><Relationship Id="rId2017" Type="http://schemas.openxmlformats.org/officeDocument/2006/relationships/hyperlink" Target="https://drive.google.com/file/d/1GE7KYhiJ2v5F0lwVK7BqxP2pilyw95YD/view?usp=drivesdk" TargetMode="External"/><Relationship Id="rId3347" Type="http://schemas.openxmlformats.org/officeDocument/2006/relationships/hyperlink" Target="https://drive.google.com/file/d/1V7ZYUJU0oUu7do8Gf5ehm3ChNkru0pfl/view?usp=drivesdk" TargetMode="External"/><Relationship Id="rId4678" Type="http://schemas.openxmlformats.org/officeDocument/2006/relationships/hyperlink" Target="https://drive.google.com/file/d/14nan5yQi76K0IXFRk6Ynd5Wp_KTvoE8P/view?usp=drivesdk" TargetMode="External"/><Relationship Id="rId2018" Type="http://schemas.openxmlformats.org/officeDocument/2006/relationships/hyperlink" Target="https://drive.google.com/file/d/15ru3laM8-jF7a9vl4AvvW8ZT-07L7ari/view?usp=drivesdk" TargetMode="External"/><Relationship Id="rId2019" Type="http://schemas.openxmlformats.org/officeDocument/2006/relationships/hyperlink" Target="https://drive.google.com/file/d/15lDEwEV9unV-LEH6iqIZcRyBFCTdeyPP/view?usp=drivesdk" TargetMode="External"/><Relationship Id="rId3349" Type="http://schemas.openxmlformats.org/officeDocument/2006/relationships/hyperlink" Target="https://drive.google.com/file/d/1doZxOmOqgEnyLt-bvQx6s2sH3TMKgxyN/view?usp=drivesdk" TargetMode="External"/><Relationship Id="rId3340" Type="http://schemas.openxmlformats.org/officeDocument/2006/relationships/hyperlink" Target="https://drive.google.com/file/d/1pFbrqzFIsHACc4YCWEGVOCioK5vW_WDA/view?usp=drivesdk" TargetMode="External"/><Relationship Id="rId4671" Type="http://schemas.openxmlformats.org/officeDocument/2006/relationships/hyperlink" Target="https://drive.google.com/file/d/12MoBv9VcKjHT-5h46YIThPt2dgrzS8CF/view?usp=drivesdk" TargetMode="External"/><Relationship Id="rId4670" Type="http://schemas.openxmlformats.org/officeDocument/2006/relationships/hyperlink" Target="https://drive.google.com/file/d/1FeqVxcf1HKM7vdryHQkcbU9rseIq1nmU/view?usp=drivesdk" TargetMode="External"/><Relationship Id="rId2010" Type="http://schemas.openxmlformats.org/officeDocument/2006/relationships/hyperlink" Target="https://drive.google.com/file/d/1fw55wyBFflciy7a6G46MFrMw0efUsbb6/view?usp=drivesdk" TargetMode="External"/><Relationship Id="rId3342" Type="http://schemas.openxmlformats.org/officeDocument/2006/relationships/hyperlink" Target="https://drive.google.com/file/d/1QyhtcNbFseNcdhvM-BcWYtUSUkrGTfuK/view?usp=drivesdk" TargetMode="External"/><Relationship Id="rId4673" Type="http://schemas.openxmlformats.org/officeDocument/2006/relationships/hyperlink" Target="https://drive.google.com/file/d/1ygamCtnjA9C49pby1B16lk0_Pc6lrlIe/view?usp=drivesdk" TargetMode="External"/><Relationship Id="rId2011" Type="http://schemas.openxmlformats.org/officeDocument/2006/relationships/hyperlink" Target="https://drive.google.com/file/d/1UYmJxNO41I1rd729Ofbc9EXdf6Z7Y8AZ/view?usp=drivesdk" TargetMode="External"/><Relationship Id="rId3341" Type="http://schemas.openxmlformats.org/officeDocument/2006/relationships/hyperlink" Target="https://drive.google.com/file/d/1qQvzC44WAhuL4xWF50-vtYXivXvq0_-j/view?usp=drivesdk" TargetMode="External"/><Relationship Id="rId4672" Type="http://schemas.openxmlformats.org/officeDocument/2006/relationships/hyperlink" Target="https://drive.google.com/file/d/1zUJb3MPNJB8l0lrJkbwzGSHBiVHCGJPa/view?usp=drivesdk" TargetMode="External"/><Relationship Id="rId2012" Type="http://schemas.openxmlformats.org/officeDocument/2006/relationships/hyperlink" Target="https://drive.google.com/file/d/16tYReHYqj62vr9smCOl-Vg_KLVA7f7rb/view?usp=drivesdk" TargetMode="External"/><Relationship Id="rId3344" Type="http://schemas.openxmlformats.org/officeDocument/2006/relationships/hyperlink" Target="https://drive.google.com/file/d/10MSCFH-xUTcNKs-NbKKGxxlw67R05tqH/view?usp=drivesdk" TargetMode="External"/><Relationship Id="rId4675" Type="http://schemas.openxmlformats.org/officeDocument/2006/relationships/hyperlink" Target="https://drive.google.com/file/d/1skiHyxGf5iLO2VOfVQQlaUWBiUcQHNnj/view?usp=drivesdk" TargetMode="External"/><Relationship Id="rId2013" Type="http://schemas.openxmlformats.org/officeDocument/2006/relationships/hyperlink" Target="https://drive.google.com/file/d/1NGpFqUnJwHr6XXlYt_ihZoYPRbPFQ90q/view?usp=drivesdk" TargetMode="External"/><Relationship Id="rId3343" Type="http://schemas.openxmlformats.org/officeDocument/2006/relationships/hyperlink" Target="https://drive.google.com/file/d/1NkaQrXvk1_tKjhDeg1IJJ4dcJtXUdJsq/view?usp=drivesdk" TargetMode="External"/><Relationship Id="rId4674" Type="http://schemas.openxmlformats.org/officeDocument/2006/relationships/hyperlink" Target="https://drive.google.com/file/d/1_2LnT59X2dD2Qrl-q-oW1PPcLhrokMZP/view?usp=drivesdk" TargetMode="External"/><Relationship Id="rId2014" Type="http://schemas.openxmlformats.org/officeDocument/2006/relationships/hyperlink" Target="https://drive.google.com/file/d/1Eblqfp4ueHcKDT1zoRxVnsSPR1ppmnHb/view?usp=drivesdk" TargetMode="External"/><Relationship Id="rId3346" Type="http://schemas.openxmlformats.org/officeDocument/2006/relationships/hyperlink" Target="https://drive.google.com/file/d/1iXVuxM4pLGOKWiP86Hnkv_Hnd9rGWe0S/view?usp=drivesdk" TargetMode="External"/><Relationship Id="rId4677" Type="http://schemas.openxmlformats.org/officeDocument/2006/relationships/hyperlink" Target="https://drive.google.com/file/d/1o8LfsSFA6i8J6vLBmuekQaNMnjjy7nJW/view?usp=drivesdk" TargetMode="External"/><Relationship Id="rId2015" Type="http://schemas.openxmlformats.org/officeDocument/2006/relationships/hyperlink" Target="https://drive.google.com/file/d/1DjRwmf98j6hTjn8qQ9GPzA_TMydFodxj/view?usp=drivesdk" TargetMode="External"/><Relationship Id="rId3345" Type="http://schemas.openxmlformats.org/officeDocument/2006/relationships/hyperlink" Target="https://drive.google.com/file/d/1aiJoWzUJ3ONla1d2A_2JtKOlxruagMNg/view?usp=drivesdk" TargetMode="External"/><Relationship Id="rId4676" Type="http://schemas.openxmlformats.org/officeDocument/2006/relationships/hyperlink" Target="https://drive.google.com/file/d/14G6jFlC6cSieqCzgWx--Vq44duGwvo6M/view?usp=drivesdk" TargetMode="External"/><Relationship Id="rId2049" Type="http://schemas.openxmlformats.org/officeDocument/2006/relationships/hyperlink" Target="https://drive.google.com/file/d/1prMXLVsKlTpaI7nO98Qv7K-goMYN6pe1/view?usp=drivesdk" TargetMode="External"/><Relationship Id="rId3371" Type="http://schemas.openxmlformats.org/officeDocument/2006/relationships/hyperlink" Target="https://drive.google.com/file/d/1YH7AHN6q4jS4Oo6VvZqLxmO7lWTbt7b5/view?usp=drivesdk" TargetMode="External"/><Relationship Id="rId2040" Type="http://schemas.openxmlformats.org/officeDocument/2006/relationships/hyperlink" Target="https://drive.google.com/file/d/1IlRqlao7qTjq2s1-6sEp1RKOiRjoHmsj/view?usp=drivesdk" TargetMode="External"/><Relationship Id="rId3370" Type="http://schemas.openxmlformats.org/officeDocument/2006/relationships/hyperlink" Target="https://drive.google.com/file/d/1ANwW5-oNdi2YKuYwg9hFN24fQbJxBEKQ/view?usp=drivesdk" TargetMode="External"/><Relationship Id="rId2041" Type="http://schemas.openxmlformats.org/officeDocument/2006/relationships/hyperlink" Target="https://drive.google.com/file/d/1XUwYSomd4vzCQ0ffexBIu9A49VEctUXi/view?usp=drivesdk" TargetMode="External"/><Relationship Id="rId3373" Type="http://schemas.openxmlformats.org/officeDocument/2006/relationships/hyperlink" Target="https://drive.google.com/file/d/1Fa3JYLQtY7juVtExGkyhe0Km-ymOnx6P/view?usp=drivesdk" TargetMode="External"/><Relationship Id="rId2042" Type="http://schemas.openxmlformats.org/officeDocument/2006/relationships/hyperlink" Target="https://drive.google.com/file/d/1oFyTrvUsXYzUbq38i9yOJDQAE58u64Lq/view?usp=drivesdk" TargetMode="External"/><Relationship Id="rId3372" Type="http://schemas.openxmlformats.org/officeDocument/2006/relationships/hyperlink" Target="https://drive.google.com/file/d/147xCQfnAmEtNr_aLCi99TrSgGlbLpinJ/view?usp=drivesdk" TargetMode="External"/><Relationship Id="rId2043" Type="http://schemas.openxmlformats.org/officeDocument/2006/relationships/hyperlink" Target="https://drive.google.com/file/d/1saGthpZ61bpK__65B36c0MMhGFOKkza5/view?usp=drivesdk" TargetMode="External"/><Relationship Id="rId3375" Type="http://schemas.openxmlformats.org/officeDocument/2006/relationships/hyperlink" Target="https://drive.google.com/file/d/1Ga_tWr3W0Oixc0Qd_BsNbRxkLU3KMVkJ/view?usp=drivesdk" TargetMode="External"/><Relationship Id="rId2044" Type="http://schemas.openxmlformats.org/officeDocument/2006/relationships/hyperlink" Target="https://drive.google.com/file/d/1Nw-kCUy98cjT8BQU8SVzllUta-Gslcci/view?usp=drivesdk" TargetMode="External"/><Relationship Id="rId3374" Type="http://schemas.openxmlformats.org/officeDocument/2006/relationships/hyperlink" Target="https://drive.google.com/file/d/15P1y02S5FzUib7jwjWSjcGntwbpQU-ow/view?usp=drivesdk" TargetMode="External"/><Relationship Id="rId2045" Type="http://schemas.openxmlformats.org/officeDocument/2006/relationships/hyperlink" Target="https://drive.google.com/file/d/11w_FwR8uAci-bSTUnjafJje2n2Xc2dAN/view?usp=drivesdk" TargetMode="External"/><Relationship Id="rId3377" Type="http://schemas.openxmlformats.org/officeDocument/2006/relationships/hyperlink" Target="https://drive.google.com/file/d/1bmdUeoRXgIY6xLxv2B7iH-12lC5xwMIi/view?usp=drivesdk" TargetMode="External"/><Relationship Id="rId2046" Type="http://schemas.openxmlformats.org/officeDocument/2006/relationships/hyperlink" Target="https://drive.google.com/file/d/1NSeH_henH08nUpxnEQG7TXTaE3v4juCz/view?usp=drivesdk" TargetMode="External"/><Relationship Id="rId3376" Type="http://schemas.openxmlformats.org/officeDocument/2006/relationships/hyperlink" Target="https://drive.google.com/file/d/1MnA1pFzkuk7qJoH6AVy5zqiOpZ72RtS0/view?usp=drivesdk" TargetMode="External"/><Relationship Id="rId2047" Type="http://schemas.openxmlformats.org/officeDocument/2006/relationships/hyperlink" Target="https://drive.google.com/file/d/1iuDwOtK49MmbM0s8X2C1b0eTYP7irSVi/view?usp=drivesdk" TargetMode="External"/><Relationship Id="rId3379" Type="http://schemas.openxmlformats.org/officeDocument/2006/relationships/hyperlink" Target="https://drive.google.com/file/d/1mJt78HErm0kQT3CZWNmFWXP2nLrIwQLM/view?usp=drivesdk" TargetMode="External"/><Relationship Id="rId2048" Type="http://schemas.openxmlformats.org/officeDocument/2006/relationships/hyperlink" Target="https://drive.google.com/file/d/1vEfTUxLwSu3_qorAkr223A7bIOuGlQEY/view?usp=drivesdk" TargetMode="External"/><Relationship Id="rId3378" Type="http://schemas.openxmlformats.org/officeDocument/2006/relationships/hyperlink" Target="https://drive.google.com/file/d/1Qyqig_Rw8SpD5h65bPfb4GW-VL_0RZge/view?usp=drivesdk" TargetMode="External"/><Relationship Id="rId2038" Type="http://schemas.openxmlformats.org/officeDocument/2006/relationships/hyperlink" Target="https://drive.google.com/file/d/1R8uajOg0HcxoQEuM7AQeMh-VmjqcZkXq/view?usp=drivesdk" TargetMode="External"/><Relationship Id="rId2039" Type="http://schemas.openxmlformats.org/officeDocument/2006/relationships/hyperlink" Target="https://drive.google.com/file/d/1njpRkkd7K2G9Sx5OMv6ZPHwxC38H0tBG/view?usp=drivesdk" TargetMode="External"/><Relationship Id="rId3369" Type="http://schemas.openxmlformats.org/officeDocument/2006/relationships/hyperlink" Target="https://drive.google.com/file/d/1bMVos1IyrwyDpqlIZAi2YAni3G98dxuD/view?usp=drivesdk" TargetMode="External"/><Relationship Id="rId3360" Type="http://schemas.openxmlformats.org/officeDocument/2006/relationships/hyperlink" Target="https://drive.google.com/file/d/1qLcuLGjXRDBJeJASAtVyhmOSdL1U25ie/view?usp=drivesdk" TargetMode="External"/><Relationship Id="rId4691" Type="http://schemas.openxmlformats.org/officeDocument/2006/relationships/hyperlink" Target="https://drive.google.com/file/d/1AQMnYD_V9V-b_gNtjZg5moRysIILMGBr/view?usp=drivesdk" TargetMode="External"/><Relationship Id="rId4690" Type="http://schemas.openxmlformats.org/officeDocument/2006/relationships/hyperlink" Target="https://drive.google.com/file/d/1B-0xB6yd2yOYJBOdl0FudpYOFea6bpBs/view?usp=drivesdk" TargetMode="External"/><Relationship Id="rId2030" Type="http://schemas.openxmlformats.org/officeDocument/2006/relationships/hyperlink" Target="https://drive.google.com/file/d/1te7Q1Stj8wt9NiPWJ17XboxJb6t0E757/view?usp=drivesdk" TargetMode="External"/><Relationship Id="rId3362" Type="http://schemas.openxmlformats.org/officeDocument/2006/relationships/hyperlink" Target="https://drive.google.com/file/d/1O3xVin9ic3IVeM4Q7JUVKJyNPxBXL3CM/view?usp=drivesdk" TargetMode="External"/><Relationship Id="rId4693" Type="http://schemas.openxmlformats.org/officeDocument/2006/relationships/hyperlink" Target="https://drive.google.com/file/d/1tYngv7k6zseO3YlWC3GIFnUKUkfdAz8-/view?usp=drivesdk" TargetMode="External"/><Relationship Id="rId2031" Type="http://schemas.openxmlformats.org/officeDocument/2006/relationships/hyperlink" Target="https://drive.google.com/file/d/1B_NESIE8OB0NF0Wv956HPiJWXjRx1MBX/view?usp=drivesdk" TargetMode="External"/><Relationship Id="rId3361" Type="http://schemas.openxmlformats.org/officeDocument/2006/relationships/hyperlink" Target="https://drive.google.com/file/d/19Umn2gSqrwj9gx6QOwr8O8fwK6S0m549/view?usp=drivesdk" TargetMode="External"/><Relationship Id="rId4692" Type="http://schemas.openxmlformats.org/officeDocument/2006/relationships/hyperlink" Target="https://drive.google.com/file/d/1SW7KMX5g2k2YuYdKqP3R8v5glsiCsXhS/view?usp=drivesdk" TargetMode="External"/><Relationship Id="rId2032" Type="http://schemas.openxmlformats.org/officeDocument/2006/relationships/hyperlink" Target="https://drive.google.com/file/d/1HxvExIkpDscNC4gnQVSscwYvAAnNo-uQ/view?usp=drivesdk" TargetMode="External"/><Relationship Id="rId3364" Type="http://schemas.openxmlformats.org/officeDocument/2006/relationships/hyperlink" Target="https://drive.google.com/file/d/1sRkv8F6MhiD_EOaGDIGUMiY5HFWeMs7b/view?usp=drivesdk" TargetMode="External"/><Relationship Id="rId4695" Type="http://schemas.openxmlformats.org/officeDocument/2006/relationships/hyperlink" Target="https://drive.google.com/file/d/1NoVlJAByo2qa2Hygr7zE9N73e8_YdBGR/view?usp=drivesdk" TargetMode="External"/><Relationship Id="rId2033" Type="http://schemas.openxmlformats.org/officeDocument/2006/relationships/hyperlink" Target="https://drive.google.com/file/d/1rmllSW-mdf944Sz2bFh-kNoc1Dk06jB-/view?usp=drivesdk" TargetMode="External"/><Relationship Id="rId3363" Type="http://schemas.openxmlformats.org/officeDocument/2006/relationships/hyperlink" Target="https://drive.google.com/file/d/1dXa8kWMDW8DwjMv70SE0lCILD3krmzTS/view?usp=drivesdk" TargetMode="External"/><Relationship Id="rId4694" Type="http://schemas.openxmlformats.org/officeDocument/2006/relationships/hyperlink" Target="https://drive.google.com/file/d/1AvZPllh2bQIoeOPXHiynOluAr7YQiSWI/view?usp=drivesdk" TargetMode="External"/><Relationship Id="rId2034" Type="http://schemas.openxmlformats.org/officeDocument/2006/relationships/hyperlink" Target="https://drive.google.com/file/d/1mOf5EOUx30u0vz231Sg-Xpgn-ExGs9v6/view?usp=drivesdk" TargetMode="External"/><Relationship Id="rId3366" Type="http://schemas.openxmlformats.org/officeDocument/2006/relationships/hyperlink" Target="https://drive.google.com/file/d/1mQyFmmEIGd64aY8xmd8z4wLJsS3J8Tsv/view?usp=drivesdk" TargetMode="External"/><Relationship Id="rId4697" Type="http://schemas.openxmlformats.org/officeDocument/2006/relationships/hyperlink" Target="https://drive.google.com/file/d/14kI2dFxqNEmclel69jLD0Lu-oQJydsW-/view?usp=drivesdk" TargetMode="External"/><Relationship Id="rId2035" Type="http://schemas.openxmlformats.org/officeDocument/2006/relationships/hyperlink" Target="https://drive.google.com/file/d/1OA3D1OP6U9q_Xl3SBaRnXH6MghYoURrR/view?usp=drivesdk" TargetMode="External"/><Relationship Id="rId3365" Type="http://schemas.openxmlformats.org/officeDocument/2006/relationships/hyperlink" Target="https://drive.google.com/file/d/1KT_Eu2MXsNiCXbPVlzR-weIpwJXs50P9/view?usp=drivesdk" TargetMode="External"/><Relationship Id="rId4696" Type="http://schemas.openxmlformats.org/officeDocument/2006/relationships/hyperlink" Target="https://drive.google.com/file/d/1kl7YFmsrn2nIlu91etrq-SwZj52-uSC-/view?usp=drivesdk" TargetMode="External"/><Relationship Id="rId2036" Type="http://schemas.openxmlformats.org/officeDocument/2006/relationships/hyperlink" Target="https://drive.google.com/file/d/15kwAiAd5atAUWzpvXCUAJMhhYHI2G_BM/view?usp=drivesdk" TargetMode="External"/><Relationship Id="rId3368" Type="http://schemas.openxmlformats.org/officeDocument/2006/relationships/hyperlink" Target="https://drive.google.com/file/d/1IDePA6KCdVXgG12aZD1_QtdhrbXZNizE/view?usp=drivesdk" TargetMode="External"/><Relationship Id="rId4699" Type="http://schemas.openxmlformats.org/officeDocument/2006/relationships/hyperlink" Target="https://drive.google.com/file/d/1NBbB5aKI9XJQNsg9N4wvfV94s4Cmjt4a/view?usp=drivesdk" TargetMode="External"/><Relationship Id="rId2037" Type="http://schemas.openxmlformats.org/officeDocument/2006/relationships/hyperlink" Target="https://drive.google.com/file/d/16ooKmrVUWEqzjBfP3ftiv-84wH3gXr2c/view?usp=drivesdk" TargetMode="External"/><Relationship Id="rId3367" Type="http://schemas.openxmlformats.org/officeDocument/2006/relationships/hyperlink" Target="https://drive.google.com/file/d/1lRUF81RZ14-nDH9Jiv1k2piq6mkDzoHZ/view?usp=drivesdk" TargetMode="External"/><Relationship Id="rId4698" Type="http://schemas.openxmlformats.org/officeDocument/2006/relationships/hyperlink" Target="https://drive.google.com/file/d/1gpU6pKltYnmsQyRJJFEcxehunhk_OuwU/view?usp=drivesdk" TargetMode="External"/><Relationship Id="rId3315" Type="http://schemas.openxmlformats.org/officeDocument/2006/relationships/hyperlink" Target="https://drive.google.com/file/d/1SXp8Ys8QGTkKwph0j23QXHyCvRQ7UEEz/view?usp=drivesdk" TargetMode="External"/><Relationship Id="rId4646" Type="http://schemas.openxmlformats.org/officeDocument/2006/relationships/hyperlink" Target="https://drive.google.com/file/d/1beHX8l7FJ5wQXQMELXR3tyji9QtIdHXo/view?usp=drivesdk" TargetMode="External"/><Relationship Id="rId5978" Type="http://schemas.openxmlformats.org/officeDocument/2006/relationships/hyperlink" Target="https://drive.google.com/file/d/1WgG9x4ZbqcTu8kx3dwACk0JfwFRM238b/view?usp=drivesdk" TargetMode="External"/><Relationship Id="rId3314" Type="http://schemas.openxmlformats.org/officeDocument/2006/relationships/hyperlink" Target="https://drive.google.com/file/d/1l4xM6Azct-OCvZRRZq0vWCBDLQMwCard/view?usp=drivesdk" TargetMode="External"/><Relationship Id="rId4645" Type="http://schemas.openxmlformats.org/officeDocument/2006/relationships/hyperlink" Target="https://drive.google.com/file/d/1yRTfLjnvB6ww1DIaA6nc-VR1frZbjelL/view?usp=drivesdk" TargetMode="External"/><Relationship Id="rId5979" Type="http://schemas.openxmlformats.org/officeDocument/2006/relationships/hyperlink" Target="https://drive.google.com/file/d/13lZxXWxiNtoIC6UKdaeIZi0KsIHCbYnO/view?usp=drivesdk" TargetMode="External"/><Relationship Id="rId3317" Type="http://schemas.openxmlformats.org/officeDocument/2006/relationships/hyperlink" Target="https://drive.google.com/file/d/1_6gu2W_mFkoKvoqyn0EuNayg7E14i8Jc/view?usp=drivesdk" TargetMode="External"/><Relationship Id="rId4648" Type="http://schemas.openxmlformats.org/officeDocument/2006/relationships/hyperlink" Target="https://drive.google.com/file/d/1r6EulHIbmO3xgWNPcfg6MeBf3Rwiy1qC/view?usp=drivesdk" TargetMode="External"/><Relationship Id="rId5976" Type="http://schemas.openxmlformats.org/officeDocument/2006/relationships/hyperlink" Target="https://drive.google.com/file/d/1prz1FKTtpmptzFABQ6rVNCLQKw0VwkBS/view?usp=drivesdk" TargetMode="External"/><Relationship Id="rId3316" Type="http://schemas.openxmlformats.org/officeDocument/2006/relationships/hyperlink" Target="https://drive.google.com/file/d/1iYwkd-z-XGEFJeM-HYpuE3eKXih862HY/view?usp=drivesdk" TargetMode="External"/><Relationship Id="rId4647" Type="http://schemas.openxmlformats.org/officeDocument/2006/relationships/hyperlink" Target="https://drive.google.com/file/d/11zhXURi-Xxos7iIUrzB4Lkj60swAseiu/view?usp=drivesdk" TargetMode="External"/><Relationship Id="rId5977" Type="http://schemas.openxmlformats.org/officeDocument/2006/relationships/hyperlink" Target="https://drive.google.com/file/d/1rQ8ENC4cAUodivncUrTbQlFndZMCKLMw/view?usp=drivesdk" TargetMode="External"/><Relationship Id="rId3319" Type="http://schemas.openxmlformats.org/officeDocument/2006/relationships/hyperlink" Target="https://drive.google.com/file/d/1Ydl8wPreP9L2IeBuI8d249sZiewh8j0K/view?usp=drivesdk" TargetMode="External"/><Relationship Id="rId3318" Type="http://schemas.openxmlformats.org/officeDocument/2006/relationships/hyperlink" Target="https://drive.google.com/file/d/1E_w5EHybD3B9B4qtq7CTBC_9wlVwitYG/view?usp=drivesdk" TargetMode="External"/><Relationship Id="rId4649" Type="http://schemas.openxmlformats.org/officeDocument/2006/relationships/hyperlink" Target="https://drive.google.com/file/d/1QWP1gj5GiRfKxFjwVjt6_SdzTUPV8ThA/view?usp=drivesdk" TargetMode="External"/><Relationship Id="rId5970" Type="http://schemas.openxmlformats.org/officeDocument/2006/relationships/hyperlink" Target="https://drive.google.com/file/d/19BwjTwwCoeF8FBYTPSegNl_ZavsRwdSf/view?usp=drivesdk" TargetMode="External"/><Relationship Id="rId5971" Type="http://schemas.openxmlformats.org/officeDocument/2006/relationships/hyperlink" Target="https://drive.google.com/file/d/1XG-2JU3nkcUxO7rE3RpUwpcVfe3ayuQr/view?usp=drivesdk" TargetMode="External"/><Relationship Id="rId4640" Type="http://schemas.openxmlformats.org/officeDocument/2006/relationships/hyperlink" Target="https://drive.google.com/file/d/1iXZtyBR6FnaqxUh8wGJzVZf8bEQwCSL2/view?usp=drivesdk" TargetMode="External"/><Relationship Id="rId3311" Type="http://schemas.openxmlformats.org/officeDocument/2006/relationships/hyperlink" Target="https://drive.google.com/file/d/1DcXLL62kEHXx_7gAgsg5HXs3UPoExkoK/view?usp=drivesdk" TargetMode="External"/><Relationship Id="rId4642" Type="http://schemas.openxmlformats.org/officeDocument/2006/relationships/hyperlink" Target="https://drive.google.com/file/d/1uprfgFV3YbNr9pbA9LuQO63VdC1Qaw8n/view?usp=drivesdk" TargetMode="External"/><Relationship Id="rId5974" Type="http://schemas.openxmlformats.org/officeDocument/2006/relationships/hyperlink" Target="https://drive.google.com/file/d/1YMeMzkrlmSdsBIakW17s-bLL0H9eH2LM/view?usp=drivesdk" TargetMode="External"/><Relationship Id="rId3310" Type="http://schemas.openxmlformats.org/officeDocument/2006/relationships/hyperlink" Target="https://drive.google.com/file/d/1nc4gx0Z3FFvjxJhMRajP0ybHcx8Q2M5a/view?usp=drivesdk" TargetMode="External"/><Relationship Id="rId4641" Type="http://schemas.openxmlformats.org/officeDocument/2006/relationships/hyperlink" Target="https://drive.google.com/file/d/1q4HC8AfqbfrFDGjPx4G1atuPp1Y3PoJB/view?usp=drivesdk" TargetMode="External"/><Relationship Id="rId5975" Type="http://schemas.openxmlformats.org/officeDocument/2006/relationships/hyperlink" Target="https://drive.google.com/file/d/17xKeXR_hw_nNIoNnQFMmWRU9MOvGKWLi/view?usp=drivesdk" TargetMode="External"/><Relationship Id="rId3313" Type="http://schemas.openxmlformats.org/officeDocument/2006/relationships/hyperlink" Target="https://drive.google.com/file/d/1T6OwVV3Wo4FBTJBYOIp1JjCHaGGj5g_a/view?usp=drivesdk" TargetMode="External"/><Relationship Id="rId4644" Type="http://schemas.openxmlformats.org/officeDocument/2006/relationships/hyperlink" Target="https://drive.google.com/file/d/1DNed4-1u-R6XEAl-1Uwydx6nQqLiQRjm/view?usp=drivesdk" TargetMode="External"/><Relationship Id="rId5972" Type="http://schemas.openxmlformats.org/officeDocument/2006/relationships/hyperlink" Target="https://drive.google.com/file/d/16XymmUs5N5YlqofNEUFGFbhnHXSBCYN9/view?usp=drivesdk" TargetMode="External"/><Relationship Id="rId3312" Type="http://schemas.openxmlformats.org/officeDocument/2006/relationships/hyperlink" Target="https://drive.google.com/file/d/1b1hKudplxjEj1TG2veP_CcFKU3c0NJf9/view?usp=drivesdk" TargetMode="External"/><Relationship Id="rId4643" Type="http://schemas.openxmlformats.org/officeDocument/2006/relationships/hyperlink" Target="https://drive.google.com/file/d/1wzAvNNZP23fUqbg9sYHOxhgzCs1ns008/view?usp=drivesdk" TargetMode="External"/><Relationship Id="rId5973" Type="http://schemas.openxmlformats.org/officeDocument/2006/relationships/hyperlink" Target="https://drive.google.com/file/d/1sfh0VYIcLwsVcwisQu-EzKqtBUDd1SyD/view?usp=drivesdk" TargetMode="External"/><Relationship Id="rId3304" Type="http://schemas.openxmlformats.org/officeDocument/2006/relationships/hyperlink" Target="https://drive.google.com/file/d/1AfdQEeZz9sgTAinkKVUM89SFVro7oodP/view?usp=drivesdk" TargetMode="External"/><Relationship Id="rId4635" Type="http://schemas.openxmlformats.org/officeDocument/2006/relationships/hyperlink" Target="https://drive.google.com/file/d/1mHZNN1xaiSbuPPmRqlhy2uc12IBKHXcP/view?usp=drivesdk" TargetMode="External"/><Relationship Id="rId5967" Type="http://schemas.openxmlformats.org/officeDocument/2006/relationships/hyperlink" Target="https://drive.google.com/file/d/1LiXj_2J-1gSnQkM1PFHBuxB73iVysSj1/view?usp=drivesdk" TargetMode="External"/><Relationship Id="rId3303" Type="http://schemas.openxmlformats.org/officeDocument/2006/relationships/hyperlink" Target="https://drive.google.com/file/d/1mrTX-EW8z9TtJL9M4_BynB_9L2xYXf7e/view?usp=drivesdk" TargetMode="External"/><Relationship Id="rId4634" Type="http://schemas.openxmlformats.org/officeDocument/2006/relationships/hyperlink" Target="https://drive.google.com/file/d/1W2MsuyRpUnj2PX8znNooVJkIpUdXyoIm/view?usp=drivesdk" TargetMode="External"/><Relationship Id="rId5968" Type="http://schemas.openxmlformats.org/officeDocument/2006/relationships/hyperlink" Target="https://drive.google.com/file/d/1Nj0Y5e2BRUXbXFX8UNPz3RIL0M01szsw/view?usp=drivesdk" TargetMode="External"/><Relationship Id="rId3306" Type="http://schemas.openxmlformats.org/officeDocument/2006/relationships/hyperlink" Target="https://drive.google.com/file/d/1K3mRCOS_sqKt7JZFeOYQzzwWqsLDsV_4/view?usp=drivesdk" TargetMode="External"/><Relationship Id="rId4637" Type="http://schemas.openxmlformats.org/officeDocument/2006/relationships/hyperlink" Target="https://drive.google.com/file/d/1VhmJKt8RB9pf4myBD8m6qIMI4zSb3BmP/view?usp=drivesdk" TargetMode="External"/><Relationship Id="rId5965" Type="http://schemas.openxmlformats.org/officeDocument/2006/relationships/hyperlink" Target="https://drive.google.com/file/d/1QQVyrAmhqEqW6zcarnts-Lkoa5ufxhbG/view?usp=drivesdk" TargetMode="External"/><Relationship Id="rId3305" Type="http://schemas.openxmlformats.org/officeDocument/2006/relationships/hyperlink" Target="https://drive.google.com/file/d/1yeQW99nM-TjqIRP78OUA-m3XbANm2e58/view?usp=drivesdk" TargetMode="External"/><Relationship Id="rId4636" Type="http://schemas.openxmlformats.org/officeDocument/2006/relationships/hyperlink" Target="https://drive.google.com/file/d/1besq3kXp5mPW3lLnkGi-q3n_bSioAsER/view?usp=drivesdk" TargetMode="External"/><Relationship Id="rId5966" Type="http://schemas.openxmlformats.org/officeDocument/2006/relationships/hyperlink" Target="https://drive.google.com/file/d/1Wi4ZWtZdhNXeM5hyKvWweDcVKrayOg-R/view?usp=drivesdk" TargetMode="External"/><Relationship Id="rId3308" Type="http://schemas.openxmlformats.org/officeDocument/2006/relationships/hyperlink" Target="https://drive.google.com/file/d/17_Ld7Z2VztmX6b4q2NCsDTox_qidV4k4/view?usp=drivesdk" TargetMode="External"/><Relationship Id="rId4639" Type="http://schemas.openxmlformats.org/officeDocument/2006/relationships/hyperlink" Target="https://drive.google.com/file/d/1EVBClIEcBCK6Q0aldUq4WFhQNk5eA2tM/view?usp=drivesdk" TargetMode="External"/><Relationship Id="rId3307" Type="http://schemas.openxmlformats.org/officeDocument/2006/relationships/hyperlink" Target="https://drive.google.com/file/d/14qMwgNqbTBJcYY1DZBH8YhsBKpE2NlI9/view?usp=drivesdk" TargetMode="External"/><Relationship Id="rId4638" Type="http://schemas.openxmlformats.org/officeDocument/2006/relationships/hyperlink" Target="https://drive.google.com/file/d/1KF2tq0dVurWzoMO0RQ-jh6AJy86m5V5o/view?usp=drivesdk" TargetMode="External"/><Relationship Id="rId5969" Type="http://schemas.openxmlformats.org/officeDocument/2006/relationships/hyperlink" Target="https://drive.google.com/file/d/19eW9cMfsjuA-8eElDI7AwuJJFt-9PO-B/view?usp=drivesdk" TargetMode="External"/><Relationship Id="rId3309" Type="http://schemas.openxmlformats.org/officeDocument/2006/relationships/hyperlink" Target="https://drive.google.com/file/d/1Bm_75_2j8oSHh2N-pq_DrnaOidt-yaDS/view?usp=drivesdk" TargetMode="External"/><Relationship Id="rId5960" Type="http://schemas.openxmlformats.org/officeDocument/2006/relationships/hyperlink" Target="https://drive.google.com/file/d/12BptOGt5mcskYVnrrH3Oi4UlNErsU_px/view?usp=drivesdk" TargetMode="External"/><Relationship Id="rId3300" Type="http://schemas.openxmlformats.org/officeDocument/2006/relationships/hyperlink" Target="https://drive.google.com/file/d/12S1iWUlqCgMSugRG6Z8vCB3h8xVuTzkD/view?usp=drivesdk" TargetMode="External"/><Relationship Id="rId4631" Type="http://schemas.openxmlformats.org/officeDocument/2006/relationships/hyperlink" Target="https://drive.google.com/file/d/1IUPUi6dh9k3xhY0enB2r5_xxpmf7Q7uu/view?usp=drivesdk" TargetMode="External"/><Relationship Id="rId5963" Type="http://schemas.openxmlformats.org/officeDocument/2006/relationships/hyperlink" Target="https://drive.google.com/file/d/15NgSgYgkIe2XzzlFwPULlUcHS1AjHrig/view?usp=drivesdk" TargetMode="External"/><Relationship Id="rId4630" Type="http://schemas.openxmlformats.org/officeDocument/2006/relationships/hyperlink" Target="https://drive.google.com/file/d/1-8WIiOE7f2cnqeBTjRqdR_F9mqlRDDKI/view?usp=drivesdk" TargetMode="External"/><Relationship Id="rId5964" Type="http://schemas.openxmlformats.org/officeDocument/2006/relationships/hyperlink" Target="https://drive.google.com/file/d/1nycv4g2VCS3lPTEn0aBcAkuQEzHy7E6l/view?usp=drivesdk" TargetMode="External"/><Relationship Id="rId3302" Type="http://schemas.openxmlformats.org/officeDocument/2006/relationships/hyperlink" Target="https://drive.google.com/file/d/1wIOSu4CTihp_CjB8FBvB6Q4M9vv6G3_L/view?usp=drivesdk" TargetMode="External"/><Relationship Id="rId4633" Type="http://schemas.openxmlformats.org/officeDocument/2006/relationships/hyperlink" Target="https://drive.google.com/file/d/1BiR0HfoRgpZaCRVoEhzZ_YN0mofiuw-i/view?usp=drivesdk" TargetMode="External"/><Relationship Id="rId5961" Type="http://schemas.openxmlformats.org/officeDocument/2006/relationships/hyperlink" Target="https://drive.google.com/file/d/1a9w0RVUG5AwQOhHVZEBmvAZCsgryHJyu/view?usp=drivesdk" TargetMode="External"/><Relationship Id="rId3301" Type="http://schemas.openxmlformats.org/officeDocument/2006/relationships/hyperlink" Target="https://drive.google.com/file/d/1H1LFPRmLBvjO7Dh8-K-IGOeedrifcRhK/view?usp=drivesdk" TargetMode="External"/><Relationship Id="rId4632" Type="http://schemas.openxmlformats.org/officeDocument/2006/relationships/hyperlink" Target="https://drive.google.com/file/d/1HHRheGgSzzv8RSPopOtn90EkhW2r9xOu/view?usp=drivesdk" TargetMode="External"/><Relationship Id="rId5962" Type="http://schemas.openxmlformats.org/officeDocument/2006/relationships/hyperlink" Target="https://drive.google.com/file/d/141avlX1EozublImiWF0jvPb2Z2BUqZIo/view?usp=drivesdk" TargetMode="External"/><Relationship Id="rId2005" Type="http://schemas.openxmlformats.org/officeDocument/2006/relationships/hyperlink" Target="https://drive.google.com/file/d/1EeA3rGl7BzjJt86J1cjtSVu7jHrDhUNu/view?usp=drivesdk" TargetMode="External"/><Relationship Id="rId3337" Type="http://schemas.openxmlformats.org/officeDocument/2006/relationships/hyperlink" Target="https://drive.google.com/file/d/1OCnd_2u7Ltoqa2R2RmWbrooVXqoY2vSx/view?usp=drivesdk" TargetMode="External"/><Relationship Id="rId4668" Type="http://schemas.openxmlformats.org/officeDocument/2006/relationships/hyperlink" Target="https://drive.google.com/file/d/1ukKlhfGS4548vcwDPp-tn9UFQd8eByHN/view?usp=drivesdk" TargetMode="External"/><Relationship Id="rId2006" Type="http://schemas.openxmlformats.org/officeDocument/2006/relationships/hyperlink" Target="https://drive.google.com/file/d/1wx4KCE9Rv01RBY6HKioQMWExjyqNJSNQ/view?usp=drivesdk" TargetMode="External"/><Relationship Id="rId3336" Type="http://schemas.openxmlformats.org/officeDocument/2006/relationships/hyperlink" Target="https://drive.google.com/file/d/1i6tUI6lFhIa85Ttc0AqBBFqA3EfsBK9E/view?usp=drivesdk" TargetMode="External"/><Relationship Id="rId4667" Type="http://schemas.openxmlformats.org/officeDocument/2006/relationships/hyperlink" Target="https://drive.google.com/file/d/1FkFlu4htndIxDjnLXkja0WfCM8nCit7J/view?usp=drivesdk" TargetMode="External"/><Relationship Id="rId2007" Type="http://schemas.openxmlformats.org/officeDocument/2006/relationships/hyperlink" Target="https://drive.google.com/file/d/1IsFGXUoIlcaIl5zZqIkykZrOzuoEXA8e/view?usp=drivesdk" TargetMode="External"/><Relationship Id="rId3339" Type="http://schemas.openxmlformats.org/officeDocument/2006/relationships/hyperlink" Target="https://drive.google.com/file/d/11gc7W2wwCuTdjoUUm5VYqyWYWZlkqozz/view?usp=drivesdk" TargetMode="External"/><Relationship Id="rId5998" Type="http://schemas.openxmlformats.org/officeDocument/2006/relationships/hyperlink" Target="https://drive.google.com/file/d/1LAD-qANzZ_uzYfzDK8laRfnXKkoLoEEJ/view?usp=drivesdk" TargetMode="External"/><Relationship Id="rId2008" Type="http://schemas.openxmlformats.org/officeDocument/2006/relationships/hyperlink" Target="https://drive.google.com/file/d/1AlVyVa3RWUsGf6jlKdXsN_6q0ozPb2-r/view?usp=drivesdk" TargetMode="External"/><Relationship Id="rId3338" Type="http://schemas.openxmlformats.org/officeDocument/2006/relationships/hyperlink" Target="https://drive.google.com/file/d/1odqwmic74IBCNL1AOTrHzU_l9_q5s3s4/view?usp=drivesdk" TargetMode="External"/><Relationship Id="rId4669" Type="http://schemas.openxmlformats.org/officeDocument/2006/relationships/hyperlink" Target="https://drive.google.com/file/d/1eXayKyT_RzOwJlqzi3ojR1IfnuS9Ej5P/view?usp=drivesdk" TargetMode="External"/><Relationship Id="rId5999" Type="http://schemas.openxmlformats.org/officeDocument/2006/relationships/hyperlink" Target="https://drive.google.com/file/d/1GcK5qRfr6EDtb6iag4u0e0KhXl5M1-AC/view?usp=drivesdk" TargetMode="External"/><Relationship Id="rId2009" Type="http://schemas.openxmlformats.org/officeDocument/2006/relationships/hyperlink" Target="https://drive.google.com/file/d/1XcPtnwAhRgAe0ukLf9Rgggb8id9vsL0_/view?usp=drivesdk" TargetMode="External"/><Relationship Id="rId4660" Type="http://schemas.openxmlformats.org/officeDocument/2006/relationships/hyperlink" Target="https://drive.google.com/file/d/1wfyVwLOAe6NcNEUMjvFeAywCY8AYyBSS/view?usp=drivesdk" TargetMode="External"/><Relationship Id="rId5992" Type="http://schemas.openxmlformats.org/officeDocument/2006/relationships/hyperlink" Target="https://drive.google.com/file/d/13ikU2AjnLeIVAQNpdEgbWFDRVjbsT7rU/view?usp=drivesdk" TargetMode="External"/><Relationship Id="rId5993" Type="http://schemas.openxmlformats.org/officeDocument/2006/relationships/hyperlink" Target="https://drive.google.com/file/d/16aJK7OloaUL_EiLmIOTNmjBYQh_9w4HC/view?usp=drivesdk" TargetMode="External"/><Relationship Id="rId3331" Type="http://schemas.openxmlformats.org/officeDocument/2006/relationships/hyperlink" Target="https://drive.google.com/file/d/1TAxllkFVk4hl9EIXIiFdCBD14hod-RaT/view?usp=drivesdk" TargetMode="External"/><Relationship Id="rId4662" Type="http://schemas.openxmlformats.org/officeDocument/2006/relationships/hyperlink" Target="https://drive.google.com/file/d/1OHL-M4HjsfSLCAvfUuv74bx9Dtc2meU2/view?usp=drivesdk" TargetMode="External"/><Relationship Id="rId5990" Type="http://schemas.openxmlformats.org/officeDocument/2006/relationships/hyperlink" Target="https://drive.google.com/file/d/1FT2d8KuMwMytrg9jQ5TMubdixxf3GqIt/view?usp=drivesdk" TargetMode="External"/><Relationship Id="rId2000" Type="http://schemas.openxmlformats.org/officeDocument/2006/relationships/hyperlink" Target="https://drive.google.com/file/d/1p5HjzYxdxyqbdauTSNA_m7fRfkg41XCt/view?usp=drivesdk" TargetMode="External"/><Relationship Id="rId3330" Type="http://schemas.openxmlformats.org/officeDocument/2006/relationships/hyperlink" Target="https://drive.google.com/file/d/1npfIKcEuIkVePhRbUIKL0eR9z9E_ld0b/view?usp=drivesdk" TargetMode="External"/><Relationship Id="rId4661" Type="http://schemas.openxmlformats.org/officeDocument/2006/relationships/hyperlink" Target="https://drive.google.com/file/d/1hX279QVPXk2yIkvM0-kxEqB6PqrOdMrd/view?usp=drivesdk" TargetMode="External"/><Relationship Id="rId5991" Type="http://schemas.openxmlformats.org/officeDocument/2006/relationships/hyperlink" Target="https://drive.google.com/file/d/13d9bXHgyhjk68vzBCc00KCd0gTbzi213/view?usp=drivesdk" TargetMode="External"/><Relationship Id="rId2001" Type="http://schemas.openxmlformats.org/officeDocument/2006/relationships/hyperlink" Target="https://drive.google.com/file/d/108oE51xsGRpJWdCNwPlStOeRGrLE54RM/view?usp=drivesdk" TargetMode="External"/><Relationship Id="rId3333" Type="http://schemas.openxmlformats.org/officeDocument/2006/relationships/hyperlink" Target="https://drive.google.com/file/d/1iezo-_RPWzhTW8rqaowd2I8adTZhcsur/view?usp=drivesdk" TargetMode="External"/><Relationship Id="rId4664" Type="http://schemas.openxmlformats.org/officeDocument/2006/relationships/hyperlink" Target="https://drive.google.com/file/d/1O8Ra1676nYQy1ot-jrv0h4RTDDxa86WV/view?usp=drivesdk" TargetMode="External"/><Relationship Id="rId5996" Type="http://schemas.openxmlformats.org/officeDocument/2006/relationships/hyperlink" Target="https://drive.google.com/file/d/11Uz5RjZOfRWzIPiW9J019dJwQFEHZcNn/view?usp=drivesdk" TargetMode="External"/><Relationship Id="rId2002" Type="http://schemas.openxmlformats.org/officeDocument/2006/relationships/hyperlink" Target="https://drive.google.com/file/d/1BZPrftkKnB894x5jdf-0QidXx9qz_gaQ/view?usp=drivesdk" TargetMode="External"/><Relationship Id="rId3332" Type="http://schemas.openxmlformats.org/officeDocument/2006/relationships/hyperlink" Target="https://drive.google.com/file/d/17dbgmtpGahy6ttELeskPeA5UcgqPBBDg/view?usp=drivesdk" TargetMode="External"/><Relationship Id="rId4663" Type="http://schemas.openxmlformats.org/officeDocument/2006/relationships/hyperlink" Target="https://drive.google.com/file/d/1SzfHEXy3skSEsD2WqRQklI5paBJDCLIu/view?usp=drivesdk" TargetMode="External"/><Relationship Id="rId5997" Type="http://schemas.openxmlformats.org/officeDocument/2006/relationships/hyperlink" Target="https://drive.google.com/file/d/1paD-e5mZBPro_dvuNJhbAEMMEld1H9Ov/view?usp=drivesdk" TargetMode="External"/><Relationship Id="rId2003" Type="http://schemas.openxmlformats.org/officeDocument/2006/relationships/hyperlink" Target="https://drive.google.com/file/d/1eSh6P47XvasXvPeu7dB6XxGV_botmsKe/view?usp=drivesdk" TargetMode="External"/><Relationship Id="rId3335" Type="http://schemas.openxmlformats.org/officeDocument/2006/relationships/hyperlink" Target="https://drive.google.com/file/d/18zcNIylGzr8QoWh-cYh28FLV0oBvf9y7/view?usp=drivesdk" TargetMode="External"/><Relationship Id="rId4666" Type="http://schemas.openxmlformats.org/officeDocument/2006/relationships/hyperlink" Target="https://drive.google.com/file/d/1fz9iMnAI4n7zihTgearQTS9Py5y90WqF/view?usp=drivesdk" TargetMode="External"/><Relationship Id="rId5994" Type="http://schemas.openxmlformats.org/officeDocument/2006/relationships/hyperlink" Target="https://drive.google.com/file/d/1TaKTqpF6eliZI_94nsWF5mO8SDRmMgog/view?usp=drivesdk" TargetMode="External"/><Relationship Id="rId2004" Type="http://schemas.openxmlformats.org/officeDocument/2006/relationships/hyperlink" Target="https://drive.google.com/file/d/1p6GbwYnCuH0cHScTd0c4Q2Q1lpCl-0Xi/view?usp=drivesdk" TargetMode="External"/><Relationship Id="rId3334" Type="http://schemas.openxmlformats.org/officeDocument/2006/relationships/hyperlink" Target="https://drive.google.com/file/d/13N4M7iquUQsP3pL7K1K9KNVCljtIepxf/view?usp=drivesdk" TargetMode="External"/><Relationship Id="rId4665" Type="http://schemas.openxmlformats.org/officeDocument/2006/relationships/hyperlink" Target="https://drive.google.com/file/d/1CncPhhI1fWN_QujrubHQ_UCDwDxj5u-l/view?usp=drivesdk" TargetMode="External"/><Relationship Id="rId5995" Type="http://schemas.openxmlformats.org/officeDocument/2006/relationships/hyperlink" Target="https://drive.google.com/file/d/1i5c9SJLY4TFYp-DFRK5rTdRDoiAtPg2j/view?usp=drivesdk" TargetMode="External"/><Relationship Id="rId3326" Type="http://schemas.openxmlformats.org/officeDocument/2006/relationships/hyperlink" Target="https://drive.google.com/file/d/1XsyyPTDYwlQbqsmjvZNbRPf9ZV7EhlET/view?usp=drivesdk" TargetMode="External"/><Relationship Id="rId4657" Type="http://schemas.openxmlformats.org/officeDocument/2006/relationships/hyperlink" Target="https://drive.google.com/file/d/1v1hwQoZKF-G4NgcWBxC2ZR_pyK3NtT83/view?usp=drivesdk" TargetMode="External"/><Relationship Id="rId5989" Type="http://schemas.openxmlformats.org/officeDocument/2006/relationships/hyperlink" Target="https://drive.google.com/file/d/1icr8O6aOtaYSj3UgwHLydMCLJMS-AhPS/view?usp=drivesdk" TargetMode="External"/><Relationship Id="rId3325" Type="http://schemas.openxmlformats.org/officeDocument/2006/relationships/hyperlink" Target="https://drive.google.com/file/d/1YirzyMT7NhHe0yLfOvI4Mf4BInuRSz_T/view?usp=drivesdk" TargetMode="External"/><Relationship Id="rId4656" Type="http://schemas.openxmlformats.org/officeDocument/2006/relationships/hyperlink" Target="https://drive.google.com/file/d/1Rq5VYanBDzSfHxl5zJz0J0Av1zLe1HoQ/view?usp=drivesdk" TargetMode="External"/><Relationship Id="rId3328" Type="http://schemas.openxmlformats.org/officeDocument/2006/relationships/hyperlink" Target="https://drive.google.com/file/d/1719hSYIkhyZ00m4jWa-YigyJ3soZGnky/view?usp=drivesdk" TargetMode="External"/><Relationship Id="rId4659" Type="http://schemas.openxmlformats.org/officeDocument/2006/relationships/hyperlink" Target="https://drive.google.com/file/d/1UmQYqc3TlW-6VT7nglUoN3Z0nsut90Et/view?usp=drivesdk" TargetMode="External"/><Relationship Id="rId5987" Type="http://schemas.openxmlformats.org/officeDocument/2006/relationships/hyperlink" Target="https://drive.google.com/file/d/1MH6LtA2kXgOkwXx_6lBJqAu6HYUNoe4o/view?usp=drivesdk" TargetMode="External"/><Relationship Id="rId3327" Type="http://schemas.openxmlformats.org/officeDocument/2006/relationships/hyperlink" Target="https://drive.google.com/file/d/1bUn6s6YkTByTpp0qsMyzAjF9bzs7RaOm/view?usp=drivesdk" TargetMode="External"/><Relationship Id="rId4658" Type="http://schemas.openxmlformats.org/officeDocument/2006/relationships/hyperlink" Target="https://drive.google.com/file/d/1WZk66daBDFPHeKcSoN8FTQkVSPz7o5iY/view?usp=drivesdk" TargetMode="External"/><Relationship Id="rId5988" Type="http://schemas.openxmlformats.org/officeDocument/2006/relationships/hyperlink" Target="https://drive.google.com/file/d/1bA6do_tBkDA4BpTXFXR0O4IC4M9uA_vq/view?usp=drivesdk" TargetMode="External"/><Relationship Id="rId3329" Type="http://schemas.openxmlformats.org/officeDocument/2006/relationships/hyperlink" Target="https://drive.google.com/file/d/1loQZjX577qk75rLZHBo0j6B2EywE4b3g/view?usp=drivesdk" TargetMode="External"/><Relationship Id="rId5981" Type="http://schemas.openxmlformats.org/officeDocument/2006/relationships/hyperlink" Target="https://drive.google.com/file/d/1RC_cQy0QkUFub9xWCJpEOB8S0bEKyrIq/view?usp=drivesdk" TargetMode="External"/><Relationship Id="rId5982" Type="http://schemas.openxmlformats.org/officeDocument/2006/relationships/hyperlink" Target="https://drive.google.com/file/d/1JSn2Et7GwHUEwCUr3w4nsATxyd-A8yLA/view?usp=drivesdk" TargetMode="External"/><Relationship Id="rId3320" Type="http://schemas.openxmlformats.org/officeDocument/2006/relationships/hyperlink" Target="https://drive.google.com/file/d/13I7v08OemCD2rhSbiSQTC7PZ-F5tUZKq/view?usp=drivesdk" TargetMode="External"/><Relationship Id="rId4651" Type="http://schemas.openxmlformats.org/officeDocument/2006/relationships/hyperlink" Target="https://drive.google.com/file/d/12B4o5JzyrH5xIgd5yskVHUKlkO68AxD2/view?usp=drivesdk" TargetMode="External"/><Relationship Id="rId4650" Type="http://schemas.openxmlformats.org/officeDocument/2006/relationships/hyperlink" Target="https://drive.google.com/file/d/1ke0yYIC_2TyGNFX89h7b8C5icPhjmhn_/view?usp=drivesdk" TargetMode="External"/><Relationship Id="rId5980" Type="http://schemas.openxmlformats.org/officeDocument/2006/relationships/hyperlink" Target="https://drive.google.com/file/d/1gL7bf7Wk-D7Dj2g0KdfQyoGSGU2fJSRO/view?usp=drivesdk" TargetMode="External"/><Relationship Id="rId3322" Type="http://schemas.openxmlformats.org/officeDocument/2006/relationships/hyperlink" Target="https://drive.google.com/file/d/1fwZxIAxe2H9J6WZNFIl3VNFLnWWfWQPW/view?usp=drivesdk" TargetMode="External"/><Relationship Id="rId4653" Type="http://schemas.openxmlformats.org/officeDocument/2006/relationships/hyperlink" Target="https://drive.google.com/file/d/11sE8DZypPzZt5m1s6bRixR5e7CWlBnT8/view?usp=drivesdk" TargetMode="External"/><Relationship Id="rId5985" Type="http://schemas.openxmlformats.org/officeDocument/2006/relationships/hyperlink" Target="https://drive.google.com/file/d/1o1xdZfX7e16cBWzxOs3XF8_3pXL6358n/view?usp=drivesdk" TargetMode="External"/><Relationship Id="rId3321" Type="http://schemas.openxmlformats.org/officeDocument/2006/relationships/hyperlink" Target="https://drive.google.com/file/d/15F9cGHBcXv3sXBYpQdUBD_zsyxqZUBhG/view?usp=drivesdk" TargetMode="External"/><Relationship Id="rId4652" Type="http://schemas.openxmlformats.org/officeDocument/2006/relationships/hyperlink" Target="https://drive.google.com/file/d/1nIr0_5nbhmHbW3X2aE9OGNexObkYFgDi/view?usp=drivesdk" TargetMode="External"/><Relationship Id="rId5986" Type="http://schemas.openxmlformats.org/officeDocument/2006/relationships/hyperlink" Target="https://drive.google.com/file/d/1vs9ns0etm9cLg8aXgy1VYjaZyiMtTICJ/view?usp=drivesdk" TargetMode="External"/><Relationship Id="rId3324" Type="http://schemas.openxmlformats.org/officeDocument/2006/relationships/hyperlink" Target="https://drive.google.com/file/d/1Uok0P4xTS2YUEDtk8uk10WlIVNEuxzEZ/view?usp=drivesdk" TargetMode="External"/><Relationship Id="rId4655" Type="http://schemas.openxmlformats.org/officeDocument/2006/relationships/hyperlink" Target="https://drive.google.com/file/d/1kXD5DBBxfatlLFdLftiyCiakGHjp99Kn/view?usp=drivesdk" TargetMode="External"/><Relationship Id="rId5983" Type="http://schemas.openxmlformats.org/officeDocument/2006/relationships/hyperlink" Target="https://drive.google.com/file/d/1IX5ceapE4nNh_-YE8hRA5zVPnSZOJnhk/view?usp=drivesdk" TargetMode="External"/><Relationship Id="rId3323" Type="http://schemas.openxmlformats.org/officeDocument/2006/relationships/hyperlink" Target="https://drive.google.com/file/d/1fZCLRtGzM5YofmXVqtUjOa3ypx3x_8Sw/view?usp=drivesdk" TargetMode="External"/><Relationship Id="rId4654" Type="http://schemas.openxmlformats.org/officeDocument/2006/relationships/hyperlink" Target="https://drive.google.com/file/d/1KOc0ihHv6nlqPqvhABGDf8hrpDxQtO7z/view?usp=drivesdk" TargetMode="External"/><Relationship Id="rId5984" Type="http://schemas.openxmlformats.org/officeDocument/2006/relationships/hyperlink" Target="https://drive.google.com/file/d/17XdYGQbpE0ni74Dx6tW2gQtwlFb-AYP-/view?usp=drivesdk" TargetMode="External"/><Relationship Id="rId2090" Type="http://schemas.openxmlformats.org/officeDocument/2006/relationships/hyperlink" Target="https://drive.google.com/file/d/1K0OuCC12jFJ3q-n6goVkvD2Rnx0Yn2vU/view?usp=drivesdk" TargetMode="External"/><Relationship Id="rId2091" Type="http://schemas.openxmlformats.org/officeDocument/2006/relationships/hyperlink" Target="https://drive.google.com/file/d/1oVV9kIXtIPio6kFHUxAo6QeHZB1VlTYD/view?usp=drivesdk" TargetMode="External"/><Relationship Id="rId2092" Type="http://schemas.openxmlformats.org/officeDocument/2006/relationships/hyperlink" Target="https://drive.google.com/file/d/1OUrueWeWT0COLNRDRW4TVx4xh9noZMM_/view?usp=drivesdk" TargetMode="External"/><Relationship Id="rId2093" Type="http://schemas.openxmlformats.org/officeDocument/2006/relationships/hyperlink" Target="https://drive.google.com/file/d/1j1QpiOgdsT-0jdkLDkBAWWwhbqS01Ob_/view?usp=drivesdk" TargetMode="External"/><Relationship Id="rId2094" Type="http://schemas.openxmlformats.org/officeDocument/2006/relationships/hyperlink" Target="https://drive.google.com/file/d/1wUdRPAmatAn-5OXuAgbI7lgdPHwVHaI2/view?usp=drivesdk" TargetMode="External"/><Relationship Id="rId2095" Type="http://schemas.openxmlformats.org/officeDocument/2006/relationships/hyperlink" Target="https://drive.google.com/file/d/1ABGssTWwt2542uSvp4EnKuI2RuN4HHxF/view?usp=drivesdk" TargetMode="External"/><Relationship Id="rId2096" Type="http://schemas.openxmlformats.org/officeDocument/2006/relationships/hyperlink" Target="https://drive.google.com/file/d/1aoOE-pIbMxV6dtHEFWHCO9wgXO9W8yx9/view?usp=drivesdk" TargetMode="External"/><Relationship Id="rId2097" Type="http://schemas.openxmlformats.org/officeDocument/2006/relationships/hyperlink" Target="https://drive.google.com/file/d/1J9mG70Rk2cfSUqs_JGR6NpxysDibsBKk/view?usp=drivesdk" TargetMode="External"/><Relationship Id="rId2098" Type="http://schemas.openxmlformats.org/officeDocument/2006/relationships/hyperlink" Target="https://drive.google.com/file/d/1J1of75S8PCOZxGYzEDeGijM3GsStFYkm/view?usp=drivesdk" TargetMode="External"/><Relationship Id="rId2099" Type="http://schemas.openxmlformats.org/officeDocument/2006/relationships/hyperlink" Target="https://drive.google.com/file/d/1Ooff0EXMllO-dyDrIIpuW689VclQMXS7/view?usp=drivesdk" TargetMode="External"/><Relationship Id="rId3391" Type="http://schemas.openxmlformats.org/officeDocument/2006/relationships/hyperlink" Target="https://drive.google.com/file/d/1ANN-lIT7h9xVYMCiJKTM8oq_giohIcZm/view?usp=drivesdk" TargetMode="External"/><Relationship Id="rId2060" Type="http://schemas.openxmlformats.org/officeDocument/2006/relationships/hyperlink" Target="https://drive.google.com/file/d/1p9LY_vuf0Ihr5xYDIIO3I4ZdGNvvQsgJ/view?usp=drivesdk" TargetMode="External"/><Relationship Id="rId3390" Type="http://schemas.openxmlformats.org/officeDocument/2006/relationships/hyperlink" Target="https://drive.google.com/file/d/15x1Hhw4xJtxJCcqvxRxA37jvqtzCspTN/view?usp=drivesdk" TargetMode="External"/><Relationship Id="rId2061" Type="http://schemas.openxmlformats.org/officeDocument/2006/relationships/hyperlink" Target="https://drive.google.com/file/d/12ZRZMYNOLhAcpMzwwHoTcopXmXXBoK-x/view?usp=drivesdk" TargetMode="External"/><Relationship Id="rId3393" Type="http://schemas.openxmlformats.org/officeDocument/2006/relationships/hyperlink" Target="https://drive.google.com/file/d/1uby1xMb8dnNqG3-Qzm7MqW8IeaUK15tV/view?usp=drivesdk" TargetMode="External"/><Relationship Id="rId2062" Type="http://schemas.openxmlformats.org/officeDocument/2006/relationships/hyperlink" Target="https://drive.google.com/file/d/1L8RtUAvuAB5DKWa1ohZV6QIc092pYspN/view?usp=drivesdk" TargetMode="External"/><Relationship Id="rId3392" Type="http://schemas.openxmlformats.org/officeDocument/2006/relationships/hyperlink" Target="https://drive.google.com/file/d/1N7yiAAQZaP5yCkwUPZdJ1UorXkvP5fh7/view?usp=drivesdk" TargetMode="External"/><Relationship Id="rId2063" Type="http://schemas.openxmlformats.org/officeDocument/2006/relationships/hyperlink" Target="https://drive.google.com/file/d/1vAIgsPlc_tlYUn4dwzr9DoPUcX4jlypJ/view?usp=drivesdk" TargetMode="External"/><Relationship Id="rId3395" Type="http://schemas.openxmlformats.org/officeDocument/2006/relationships/hyperlink" Target="https://drive.google.com/file/d/13SN_0I_EEV0cV2rI5vJq60SznA9boAv4/view?usp=drivesdk" TargetMode="External"/><Relationship Id="rId2064" Type="http://schemas.openxmlformats.org/officeDocument/2006/relationships/hyperlink" Target="https://drive.google.com/file/d/1KIs5oStktzuFGbtDpnuWXUUdZACr2vQ8/view?usp=drivesdk" TargetMode="External"/><Relationship Id="rId3394" Type="http://schemas.openxmlformats.org/officeDocument/2006/relationships/hyperlink" Target="https://drive.google.com/file/d/1Hf6boVVhyGrolXGJ0IieSSu-6eDoTsac/view?usp=drivesdk" TargetMode="External"/><Relationship Id="rId2065" Type="http://schemas.openxmlformats.org/officeDocument/2006/relationships/hyperlink" Target="https://drive.google.com/file/d/1lwWU_DCyllRMjI5rGSvxdyjpiVMPF2RJ/view?usp=drivesdk" TargetMode="External"/><Relationship Id="rId3397" Type="http://schemas.openxmlformats.org/officeDocument/2006/relationships/hyperlink" Target="https://drive.google.com/file/d/1nlLYcktKaMpfLQE3HeYfs9ItRkNUzBK-/view?usp=drivesdk" TargetMode="External"/><Relationship Id="rId2066" Type="http://schemas.openxmlformats.org/officeDocument/2006/relationships/hyperlink" Target="https://drive.google.com/file/d/1khZt7uYUAjNiEYHi8kmgo0qS-Uh1XtH2/view?usp=drivesdk" TargetMode="External"/><Relationship Id="rId3396" Type="http://schemas.openxmlformats.org/officeDocument/2006/relationships/hyperlink" Target="https://drive.google.com/file/d/1LNY4ls7F7BPoPS9YeuM-v_eZ49Vad9nD/view?usp=drivesdk" TargetMode="External"/><Relationship Id="rId2067" Type="http://schemas.openxmlformats.org/officeDocument/2006/relationships/hyperlink" Target="https://drive.google.com/file/d/1fVydC041sF9LKlQWEcIoPw3j5R6wOZxs/view?usp=drivesdk" TargetMode="External"/><Relationship Id="rId3399" Type="http://schemas.openxmlformats.org/officeDocument/2006/relationships/hyperlink" Target="https://drive.google.com/file/d/1woTXscfiKBNSI1-5rM658w48LaG0S_9B/view?usp=drivesdk" TargetMode="External"/><Relationship Id="rId2068" Type="http://schemas.openxmlformats.org/officeDocument/2006/relationships/hyperlink" Target="https://drive.google.com/file/d/1ePt073qEIY0ksS5LXlpiX_xlrdRY8P2t/view?usp=drivesdk" TargetMode="External"/><Relationship Id="rId3398" Type="http://schemas.openxmlformats.org/officeDocument/2006/relationships/hyperlink" Target="https://drive.google.com/file/d/19whHbCrtxAmY8vAVujuelLycOj3nRBYa/view?usp=drivesdk" TargetMode="External"/><Relationship Id="rId2069" Type="http://schemas.openxmlformats.org/officeDocument/2006/relationships/hyperlink" Target="https://drive.google.com/file/d/1Ca9bQsP1ISiupxtQ8DYYvC7mZP9kjuKb/view?usp=drivesdk" TargetMode="External"/><Relationship Id="rId3380" Type="http://schemas.openxmlformats.org/officeDocument/2006/relationships/hyperlink" Target="https://drive.google.com/file/d/1jNQo-EqDx7uyajTBioGCH9J1mQp5Ro9x/view?usp=drivesdk" TargetMode="External"/><Relationship Id="rId2050" Type="http://schemas.openxmlformats.org/officeDocument/2006/relationships/hyperlink" Target="https://drive.google.com/file/d/17Hj8gEG82041RVPeZz-uNxEvTmjQsIhQ/view?usp=drivesdk" TargetMode="External"/><Relationship Id="rId3382" Type="http://schemas.openxmlformats.org/officeDocument/2006/relationships/hyperlink" Target="https://drive.google.com/file/d/1k-XVhSaKAz2lUyQKNIfs5LEWB63hvvRj/view?usp=drivesdk" TargetMode="External"/><Relationship Id="rId2051" Type="http://schemas.openxmlformats.org/officeDocument/2006/relationships/hyperlink" Target="https://drive.google.com/file/d/1GTCx_N-p_sarhpd4pH_y2YSjWtm0aLJ8/view?usp=drivesdk" TargetMode="External"/><Relationship Id="rId3381" Type="http://schemas.openxmlformats.org/officeDocument/2006/relationships/hyperlink" Target="https://drive.google.com/file/d/13vaGglYH0t8hSTAk7NOLroDTVv__anCL/view?usp=drivesdk" TargetMode="External"/><Relationship Id="rId2052" Type="http://schemas.openxmlformats.org/officeDocument/2006/relationships/hyperlink" Target="https://drive.google.com/file/d/16-XOpGgVCULls5UYelGEAOIG90MSfUnX/view?usp=drivesdk" TargetMode="External"/><Relationship Id="rId3384" Type="http://schemas.openxmlformats.org/officeDocument/2006/relationships/hyperlink" Target="https://drive.google.com/file/d/1XX7vaM2JWpy1U07RHoslAuyOHFS0gOPE/view?usp=drivesdk" TargetMode="External"/><Relationship Id="rId2053" Type="http://schemas.openxmlformats.org/officeDocument/2006/relationships/hyperlink" Target="https://drive.google.com/file/d/1JaFXp3hQ_pRs8koq5dlpo4yMw2NdqqRL/view?usp=drivesdk" TargetMode="External"/><Relationship Id="rId3383" Type="http://schemas.openxmlformats.org/officeDocument/2006/relationships/hyperlink" Target="https://drive.google.com/file/d/1queA4WLms3g5JrzlshXtKW5W-hQLL_Q_/view?usp=drivesdk" TargetMode="External"/><Relationship Id="rId2054" Type="http://schemas.openxmlformats.org/officeDocument/2006/relationships/hyperlink" Target="https://drive.google.com/file/d/10cypDqkcaeVlTQ-jFWUlXHM6Bj6qf5Mx/view?usp=drivesdk" TargetMode="External"/><Relationship Id="rId3386" Type="http://schemas.openxmlformats.org/officeDocument/2006/relationships/hyperlink" Target="https://drive.google.com/file/d/1Nbbx3xtMVu7t_I7tTFDgsHfSXmovD4ua/view?usp=drivesdk" TargetMode="External"/><Relationship Id="rId2055" Type="http://schemas.openxmlformats.org/officeDocument/2006/relationships/hyperlink" Target="https://drive.google.com/file/d/1gUwy3fBK5qlFZWTEY6Sr6QPr-702Z96F/view?usp=drivesdk" TargetMode="External"/><Relationship Id="rId3385" Type="http://schemas.openxmlformats.org/officeDocument/2006/relationships/hyperlink" Target="https://drive.google.com/file/d/1Qye-k2WMTOk23nbX7sTm86O75NQV6yXo/view?usp=drivesdk" TargetMode="External"/><Relationship Id="rId2056" Type="http://schemas.openxmlformats.org/officeDocument/2006/relationships/hyperlink" Target="https://drive.google.com/file/d/1-r0LnxQhjZ6pw1RbGMvpK0KrWdxhQQ7l/view?usp=drivesdk" TargetMode="External"/><Relationship Id="rId3388" Type="http://schemas.openxmlformats.org/officeDocument/2006/relationships/hyperlink" Target="https://drive.google.com/file/d/1G-KQHbai_Xrzz9p-acP7S7GjFzE50RKQ/view?usp=drivesdk" TargetMode="External"/><Relationship Id="rId2057" Type="http://schemas.openxmlformats.org/officeDocument/2006/relationships/hyperlink" Target="https://drive.google.com/file/d/1K85wI5zB8MzKCTixBZxfO6bF-JmxaxB5/view?usp=drivesdk" TargetMode="External"/><Relationship Id="rId3387" Type="http://schemas.openxmlformats.org/officeDocument/2006/relationships/hyperlink" Target="https://drive.google.com/file/d/15hSYctNlX05X7TGbz6YY6lrWFuM_Jub9/view?usp=drivesdk" TargetMode="External"/><Relationship Id="rId2058" Type="http://schemas.openxmlformats.org/officeDocument/2006/relationships/hyperlink" Target="https://drive.google.com/file/d/1qmYBgSP3Zz4aGzD1icv8JJDjSDICg6Y7/view?usp=drivesdk" TargetMode="External"/><Relationship Id="rId2059" Type="http://schemas.openxmlformats.org/officeDocument/2006/relationships/hyperlink" Target="https://drive.google.com/file/d/1OzJY5bbq2mRmDdXPo4m0J5N75WfcL1uO/view?usp=drivesdk" TargetMode="External"/><Relationship Id="rId3389" Type="http://schemas.openxmlformats.org/officeDocument/2006/relationships/hyperlink" Target="https://drive.google.com/file/d/1l9mydYYcE7NakxS6I3SFU8_5-LUvtLbD/view?usp=drivesdk" TargetMode="External"/><Relationship Id="rId2080" Type="http://schemas.openxmlformats.org/officeDocument/2006/relationships/hyperlink" Target="https://drive.google.com/file/d/1dqDdmzq-mVApLrAYug7DVO5gznO4yC5X/view?usp=drivesdk" TargetMode="External"/><Relationship Id="rId2081" Type="http://schemas.openxmlformats.org/officeDocument/2006/relationships/hyperlink" Target="https://drive.google.com/file/d/1MO8b8M7O8qpT9ZJqF5NXtV5LAReBit0s/view?usp=drivesdk" TargetMode="External"/><Relationship Id="rId2082" Type="http://schemas.openxmlformats.org/officeDocument/2006/relationships/hyperlink" Target="https://drive.google.com/file/d/1ZI3WUapRAuyaziBJJnNAWS9dkeBsb0X8/view?usp=drivesdk" TargetMode="External"/><Relationship Id="rId2083" Type="http://schemas.openxmlformats.org/officeDocument/2006/relationships/hyperlink" Target="https://drive.google.com/file/d/1W4TWRWcF-lT2lX_R8fNgmVX1jd42lkit/view?usp=drivesdk" TargetMode="External"/><Relationship Id="rId2084" Type="http://schemas.openxmlformats.org/officeDocument/2006/relationships/hyperlink" Target="https://drive.google.com/file/d/1VHKMRnMfj26gOZHmwqDl5gNqqe-KCm_o/view?usp=drivesdk" TargetMode="External"/><Relationship Id="rId2085" Type="http://schemas.openxmlformats.org/officeDocument/2006/relationships/hyperlink" Target="https://drive.google.com/file/d/1WlpK_aT-RSaut6gCWVOw34r6xG1C9co8/view?usp=drivesdk" TargetMode="External"/><Relationship Id="rId2086" Type="http://schemas.openxmlformats.org/officeDocument/2006/relationships/hyperlink" Target="https://drive.google.com/file/d/1RtYmO98M20Pa1kZTF-V587SWUmlQgVDv/view?usp=drivesdk" TargetMode="External"/><Relationship Id="rId2087" Type="http://schemas.openxmlformats.org/officeDocument/2006/relationships/hyperlink" Target="https://drive.google.com/file/d/1Pc7fXp3svUbYm5Y66AKmKaka21ZA_Gys/view?usp=drivesdk" TargetMode="External"/><Relationship Id="rId2088" Type="http://schemas.openxmlformats.org/officeDocument/2006/relationships/hyperlink" Target="https://drive.google.com/file/d/1p7s70Np8Qu-DCI0sI2RPjo5tr-_P1tRm/view?usp=drivesdk" TargetMode="External"/><Relationship Id="rId2089" Type="http://schemas.openxmlformats.org/officeDocument/2006/relationships/hyperlink" Target="https://drive.google.com/file/d/1QYIvc6RoMFpeeCmoBhpi_3fs84V1adYT/view?usp=drivesdk" TargetMode="External"/><Relationship Id="rId2070" Type="http://schemas.openxmlformats.org/officeDocument/2006/relationships/hyperlink" Target="https://drive.google.com/file/d/1YCthsXqyBKWD3jqPxcmzvwyh0JKrqt05/view?usp=drivesdk" TargetMode="External"/><Relationship Id="rId2071" Type="http://schemas.openxmlformats.org/officeDocument/2006/relationships/hyperlink" Target="https://drive.google.com/file/d/1SqpD6M7iQmyjwxG2ZyvruNctwM6Lojaw/view?usp=drivesdk" TargetMode="External"/><Relationship Id="rId2072" Type="http://schemas.openxmlformats.org/officeDocument/2006/relationships/hyperlink" Target="https://drive.google.com/file/d/1EGfsIxdJc9hP5ffxwKQQzxfPFcCEmOdM/view?usp=drivesdk" TargetMode="External"/><Relationship Id="rId2073" Type="http://schemas.openxmlformats.org/officeDocument/2006/relationships/hyperlink" Target="https://drive.google.com/file/d/17JOkNQZLU2RUkrzS-Q43Apx4yIB79wfq/view?usp=drivesdk" TargetMode="External"/><Relationship Id="rId2074" Type="http://schemas.openxmlformats.org/officeDocument/2006/relationships/hyperlink" Target="https://drive.google.com/file/d/1quTDtOhek596_39htomocEUuFgpl5qb9/view?usp=drivesdk" TargetMode="External"/><Relationship Id="rId2075" Type="http://schemas.openxmlformats.org/officeDocument/2006/relationships/hyperlink" Target="https://drive.google.com/file/d/1VGyUQYZB1Xftuocfrxjydnicqcg7Ye-4/view?usp=drivesdk" TargetMode="External"/><Relationship Id="rId2076" Type="http://schemas.openxmlformats.org/officeDocument/2006/relationships/hyperlink" Target="https://drive.google.com/file/d/1JDdldS1O2slAnPoQjvuC3-qskdUG0AMH/view?usp=drivesdk" TargetMode="External"/><Relationship Id="rId2077" Type="http://schemas.openxmlformats.org/officeDocument/2006/relationships/hyperlink" Target="https://drive.google.com/file/d/1x-DBmmZEtExqR8JRMrqld4LFlAVfE_DN/view?usp=drivesdk" TargetMode="External"/><Relationship Id="rId2078" Type="http://schemas.openxmlformats.org/officeDocument/2006/relationships/hyperlink" Target="https://drive.google.com/file/d/1yPD3eiRmoClOfysynX56IMXM2iLaAL05/view?usp=drivesdk" TargetMode="External"/><Relationship Id="rId2079" Type="http://schemas.openxmlformats.org/officeDocument/2006/relationships/hyperlink" Target="https://drive.google.com/file/d/1TI06ihW9FYsNHmiiwk1e-XHVR1JmZYTj/view?usp=drivesdk" TargetMode="External"/><Relationship Id="rId4723" Type="http://schemas.openxmlformats.org/officeDocument/2006/relationships/hyperlink" Target="https://drive.google.com/file/d/1JGzWlt_IR4Koh6QK0-EgbrVP-DadU4wH/view?usp=drivesdk" TargetMode="External"/><Relationship Id="rId4722" Type="http://schemas.openxmlformats.org/officeDocument/2006/relationships/hyperlink" Target="https://drive.google.com/file/d/1rhj6HDJsxCSDWV0ODhRPQXQOSaeN_Rm9/view?usp=drivesdk" TargetMode="External"/><Relationship Id="rId4725" Type="http://schemas.openxmlformats.org/officeDocument/2006/relationships/hyperlink" Target="https://drive.google.com/file/d/1w6DYmzqo8mJUlHgjOngHvVpQUnd8DRss/view?usp=drivesdk" TargetMode="External"/><Relationship Id="rId4724" Type="http://schemas.openxmlformats.org/officeDocument/2006/relationships/hyperlink" Target="https://drive.google.com/file/d/1we1fcf6FQRRtZBrHljd2ZKuGg-BwE_yw/view?usp=drivesdk" TargetMode="External"/><Relationship Id="rId4727" Type="http://schemas.openxmlformats.org/officeDocument/2006/relationships/hyperlink" Target="https://drive.google.com/file/d/1Ub59b2Hy8FpICS41LXIUe3zOhKREm68b/view?usp=drivesdk" TargetMode="External"/><Relationship Id="rId4726" Type="http://schemas.openxmlformats.org/officeDocument/2006/relationships/hyperlink" Target="https://drive.google.com/file/d/1hX7-_lclG80G-sQWU8wGFGjeFABiJ7Qc/view?usp=drivesdk" TargetMode="External"/><Relationship Id="rId4729" Type="http://schemas.openxmlformats.org/officeDocument/2006/relationships/hyperlink" Target="https://drive.google.com/file/d/16ck_qG80dmkKW4bVU3vsi8M1ircaTbb_/view?usp=drivesdk" TargetMode="External"/><Relationship Id="rId4728" Type="http://schemas.openxmlformats.org/officeDocument/2006/relationships/hyperlink" Target="https://drive.google.com/file/d/17q3wiDqL6GTvE9-_moX4paI1WyxKWu07/view?usp=drivesdk" TargetMode="External"/><Relationship Id="rId4721" Type="http://schemas.openxmlformats.org/officeDocument/2006/relationships/hyperlink" Target="https://drive.google.com/file/d/1hKd-5IoZoDnmyDE-QgEI8fOXjSiK9loY/view?usp=drivesdk" TargetMode="External"/><Relationship Id="rId4720" Type="http://schemas.openxmlformats.org/officeDocument/2006/relationships/hyperlink" Target="https://drive.google.com/file/d/1Na9W45n3Y2z9RKOUgNt_cbt4ydRaJJsB/view?usp=drivesdk" TargetMode="External"/><Relationship Id="rId4712" Type="http://schemas.openxmlformats.org/officeDocument/2006/relationships/hyperlink" Target="https://drive.google.com/file/d/1j-_exSpEAYhGg2avLUz73wzZm1I9c7AB/view?usp=drivesdk" TargetMode="External"/><Relationship Id="rId4711" Type="http://schemas.openxmlformats.org/officeDocument/2006/relationships/hyperlink" Target="https://drive.google.com/file/d/1cxY5FJ8YQFC6XkY8SjvIaUNUGNcvOXg7/view?usp=drivesdk" TargetMode="External"/><Relationship Id="rId4714" Type="http://schemas.openxmlformats.org/officeDocument/2006/relationships/hyperlink" Target="https://drive.google.com/file/d/10GVQjK30Uadwsr0sVOtSNCDt9RWZj0pl/view?usp=drivesdk" TargetMode="External"/><Relationship Id="rId4713" Type="http://schemas.openxmlformats.org/officeDocument/2006/relationships/hyperlink" Target="https://drive.google.com/file/d/1ajHciVJR3gsD137sFXfne3irqZbW0L93/view?usp=drivesdk" TargetMode="External"/><Relationship Id="rId4716" Type="http://schemas.openxmlformats.org/officeDocument/2006/relationships/hyperlink" Target="https://drive.google.com/file/d/1SEAOwmIvp51iJ9oXOlq_SmUB-bOXM9tx/view?usp=drivesdk" TargetMode="External"/><Relationship Id="rId4715" Type="http://schemas.openxmlformats.org/officeDocument/2006/relationships/hyperlink" Target="https://drive.google.com/file/d/1ugsexKG9nvouQizZCHO_N1O7f5rVvmyX/view?usp=drivesdk" TargetMode="External"/><Relationship Id="rId4718" Type="http://schemas.openxmlformats.org/officeDocument/2006/relationships/hyperlink" Target="https://drive.google.com/file/d/1yuMzd3EVPe66s9ZHXdYymkouO1unvxN0/view?usp=drivesdk" TargetMode="External"/><Relationship Id="rId4717" Type="http://schemas.openxmlformats.org/officeDocument/2006/relationships/hyperlink" Target="https://drive.google.com/file/d/1olDlYhGIRCW10--Fnobq0gYpxSO1lt0W/view?usp=drivesdk" TargetMode="External"/><Relationship Id="rId4719" Type="http://schemas.openxmlformats.org/officeDocument/2006/relationships/hyperlink" Target="https://drive.google.com/file/d/19C6biCsXCT_Beoyu2VB3yIMG69uiUCvo/view?usp=drivesdk" TargetMode="External"/><Relationship Id="rId4710" Type="http://schemas.openxmlformats.org/officeDocument/2006/relationships/hyperlink" Target="https://drive.google.com/file/d/1p494i3wWqsZMViBBEPaZKWEwMeE015Sb/view?usp=drivesdk" TargetMode="External"/><Relationship Id="rId3414" Type="http://schemas.openxmlformats.org/officeDocument/2006/relationships/hyperlink" Target="https://drive.google.com/file/d/1vTt7NNckQMKyncGYgixt-maoBB1v0mPb/view?usp=drivesdk" TargetMode="External"/><Relationship Id="rId4745" Type="http://schemas.openxmlformats.org/officeDocument/2006/relationships/hyperlink" Target="https://drive.google.com/file/d/1dt3pvUkQQZMnJsTZr2jflmtInz39oica/view?usp=drivesdk" TargetMode="External"/><Relationship Id="rId3413" Type="http://schemas.openxmlformats.org/officeDocument/2006/relationships/hyperlink" Target="https://drive.google.com/file/d/1Hk4owyZiReUhwguE9Udt9-PArUnYCZCI/view?usp=drivesdk" TargetMode="External"/><Relationship Id="rId4744" Type="http://schemas.openxmlformats.org/officeDocument/2006/relationships/hyperlink" Target="https://drive.google.com/file/d/1FIoYnj9G81TrZd4GWOm4bS3ULVG8GqNh/view?usp=drivesdk" TargetMode="External"/><Relationship Id="rId3416" Type="http://schemas.openxmlformats.org/officeDocument/2006/relationships/hyperlink" Target="https://drive.google.com/file/d/1kpC_7KgnT7GrdlfEPhLn1v3MZdOfECqQ/view?usp=drivesdk" TargetMode="External"/><Relationship Id="rId4747" Type="http://schemas.openxmlformats.org/officeDocument/2006/relationships/hyperlink" Target="https://drive.google.com/file/d/1ycnD8dYZzbjyGJE0I3n4OaDQVaCQB4Mr/view?usp=drivesdk" TargetMode="External"/><Relationship Id="rId3415" Type="http://schemas.openxmlformats.org/officeDocument/2006/relationships/hyperlink" Target="https://drive.google.com/file/d/10FoZj9T57UlfpzrQU978OOFLHYFCp4Gw/view?usp=drivesdk" TargetMode="External"/><Relationship Id="rId4746" Type="http://schemas.openxmlformats.org/officeDocument/2006/relationships/hyperlink" Target="https://drive.google.com/file/d/1a-ZPFSid64L12uzHVRhOEYBCc1MUXLot/view?usp=drivesdk" TargetMode="External"/><Relationship Id="rId3418" Type="http://schemas.openxmlformats.org/officeDocument/2006/relationships/hyperlink" Target="https://drive.google.com/file/d/1rIqhSY0OqFvyS0g1vVMjmGnCxJViPwiW/view?usp=drivesdk" TargetMode="External"/><Relationship Id="rId4749" Type="http://schemas.openxmlformats.org/officeDocument/2006/relationships/hyperlink" Target="https://drive.google.com/file/d/1E2ZItHIril2y2FnkLPb4NVXU_FEEz_6h/view?usp=drivesdk" TargetMode="External"/><Relationship Id="rId3417" Type="http://schemas.openxmlformats.org/officeDocument/2006/relationships/hyperlink" Target="https://drive.google.com/file/d/1QiluRRNj3RYQ_XpF9tr-joR338jqaT5Y/view?usp=drivesdk" TargetMode="External"/><Relationship Id="rId4748" Type="http://schemas.openxmlformats.org/officeDocument/2006/relationships/hyperlink" Target="https://drive.google.com/file/d/1-jZeIIVrCR_eqe5LUgZdE_Ex9dvc1SqR/view?usp=drivesdk" TargetMode="External"/><Relationship Id="rId3419" Type="http://schemas.openxmlformats.org/officeDocument/2006/relationships/hyperlink" Target="https://drive.google.com/file/d/1BtZi8INRpbuF1chfRwK-y-xKSOOyxcgf/view?usp=drivesdk" TargetMode="External"/><Relationship Id="rId3410" Type="http://schemas.openxmlformats.org/officeDocument/2006/relationships/hyperlink" Target="https://drive.google.com/file/d/1uQAzW_M02rkwxlXmtVozTMq3jvuRVSVl/view?usp=drivesdk" TargetMode="External"/><Relationship Id="rId4741" Type="http://schemas.openxmlformats.org/officeDocument/2006/relationships/hyperlink" Target="https://drive.google.com/file/d/1Qot-aWGMedFxgFDhXBslSJymnfQOr9CY/view?usp=drivesdk" TargetMode="External"/><Relationship Id="rId4740" Type="http://schemas.openxmlformats.org/officeDocument/2006/relationships/hyperlink" Target="https://drive.google.com/file/d/1HRNHsHG5sZhfvjpVtyI65rb4QQOfsZDW/view?usp=drivesdk" TargetMode="External"/><Relationship Id="rId3412" Type="http://schemas.openxmlformats.org/officeDocument/2006/relationships/hyperlink" Target="https://drive.google.com/file/d/17ZEkIWJOInbD_ZXERrY9X5ONuOp4Ivoe/view?usp=drivesdk" TargetMode="External"/><Relationship Id="rId4743" Type="http://schemas.openxmlformats.org/officeDocument/2006/relationships/hyperlink" Target="https://drive.google.com/file/d/1wKl2Y8e8mUebjKJGP7Lji7zqBnxXJRBH/view?usp=drivesdk" TargetMode="External"/><Relationship Id="rId3411" Type="http://schemas.openxmlformats.org/officeDocument/2006/relationships/hyperlink" Target="https://drive.google.com/file/d/1etDyI_tcgw0otVekl7SIAfCDnL8vbT6t/view?usp=drivesdk" TargetMode="External"/><Relationship Id="rId4742" Type="http://schemas.openxmlformats.org/officeDocument/2006/relationships/hyperlink" Target="https://drive.google.com/file/d/1h9KljfXoDVWqoHCB-fodmy162pYwHSAn/view?usp=drivesdk" TargetMode="External"/><Relationship Id="rId3403" Type="http://schemas.openxmlformats.org/officeDocument/2006/relationships/hyperlink" Target="https://drive.google.com/file/d/1_xQs7y5Xb7yTCfhRTbZkLbPcbYx3-aVC/view?usp=drivesdk" TargetMode="External"/><Relationship Id="rId4734" Type="http://schemas.openxmlformats.org/officeDocument/2006/relationships/hyperlink" Target="https://drive.google.com/file/d/1om664ws1SAidqgRTxxFAudTmj6CVV0u6/view?usp=drivesdk" TargetMode="External"/><Relationship Id="rId3402" Type="http://schemas.openxmlformats.org/officeDocument/2006/relationships/hyperlink" Target="https://drive.google.com/file/d/1DaHWviihqmitTmrqcEAmPTtVGhc09K7t/view?usp=drivesdk" TargetMode="External"/><Relationship Id="rId4733" Type="http://schemas.openxmlformats.org/officeDocument/2006/relationships/hyperlink" Target="https://drive.google.com/file/d/1q7zGWmzjSsX3Fhy6gzJAD99ha5sdfM1-/view?usp=drivesdk" TargetMode="External"/><Relationship Id="rId3405" Type="http://schemas.openxmlformats.org/officeDocument/2006/relationships/hyperlink" Target="https://drive.google.com/file/d/1fQGicwkbNJ1VChwoo9teYai0SRtHmTSO/view?usp=drivesdk" TargetMode="External"/><Relationship Id="rId4736" Type="http://schemas.openxmlformats.org/officeDocument/2006/relationships/hyperlink" Target="https://drive.google.com/file/d/1RABQcTAXGfmGZurToYDSlkFh7cmbagQn/view?usp=drivesdk" TargetMode="External"/><Relationship Id="rId3404" Type="http://schemas.openxmlformats.org/officeDocument/2006/relationships/hyperlink" Target="https://drive.google.com/file/d/1xYk7jeLa_LpLOEbWAhKEw6TNYh5JImLT/view?usp=drivesdk" TargetMode="External"/><Relationship Id="rId4735" Type="http://schemas.openxmlformats.org/officeDocument/2006/relationships/hyperlink" Target="https://drive.google.com/file/d/1XaQRYolL5SkE3EB8CLuXYSwUGYB_R51U/view?usp=drivesdk" TargetMode="External"/><Relationship Id="rId3407" Type="http://schemas.openxmlformats.org/officeDocument/2006/relationships/hyperlink" Target="https://drive.google.com/file/d/1LNI5MZ8ppcJtpd5a0QdCZ1IPcYLiWcX6/view?usp=drivesdk" TargetMode="External"/><Relationship Id="rId4738" Type="http://schemas.openxmlformats.org/officeDocument/2006/relationships/hyperlink" Target="https://drive.google.com/file/d/1nWJMBqScAdlHEiKgPd4o5X6nLOcxGncJ/view?usp=drivesdk" TargetMode="External"/><Relationship Id="rId3406" Type="http://schemas.openxmlformats.org/officeDocument/2006/relationships/hyperlink" Target="https://drive.google.com/file/d/1mir0dMBed2LvxlGjZFACc9SOyeUOOSyp/view?usp=drivesdk" TargetMode="External"/><Relationship Id="rId4737" Type="http://schemas.openxmlformats.org/officeDocument/2006/relationships/hyperlink" Target="https://drive.google.com/file/d/1E41RvjeOrGigvIAbg-Px6smdKCOztOUm/view?usp=drivesdk" TargetMode="External"/><Relationship Id="rId3409" Type="http://schemas.openxmlformats.org/officeDocument/2006/relationships/hyperlink" Target="https://drive.google.com/file/d/1mJ27xkS3f62nVkoyOOu_WVwnyegotpAx/view?usp=drivesdk" TargetMode="External"/><Relationship Id="rId3408" Type="http://schemas.openxmlformats.org/officeDocument/2006/relationships/hyperlink" Target="https://drive.google.com/file/d/1lpra20gLv9jVscFIRNsepqNrb5XnqgEa/view?usp=drivesdk" TargetMode="External"/><Relationship Id="rId4739" Type="http://schemas.openxmlformats.org/officeDocument/2006/relationships/hyperlink" Target="https://drive.google.com/file/d/18DcNJTrzXloUurWmcgXPwwEGczM1apZX/view?usp=drivesdk" TargetMode="External"/><Relationship Id="rId4730" Type="http://schemas.openxmlformats.org/officeDocument/2006/relationships/hyperlink" Target="https://drive.google.com/file/d/1uL9VgyM-tMzd6loTf9GFaNQlhaJy9arA/view?usp=drivesdk" TargetMode="External"/><Relationship Id="rId3401" Type="http://schemas.openxmlformats.org/officeDocument/2006/relationships/hyperlink" Target="https://drive.google.com/file/d/1ZE0vCgqrSzVwS81UFU8zLQU781xs23WO/view?usp=drivesdk" TargetMode="External"/><Relationship Id="rId4732" Type="http://schemas.openxmlformats.org/officeDocument/2006/relationships/hyperlink" Target="https://drive.google.com/file/d/1kYi32JCfPo4eqpY5ZFb1-WFA157etPye/view?usp=drivesdk" TargetMode="External"/><Relationship Id="rId3400" Type="http://schemas.openxmlformats.org/officeDocument/2006/relationships/hyperlink" Target="https://drive.google.com/file/d/1z3mQhR5TGC38k_rrfAVybqQauPLp5p1z/view?usp=drivesdk" TargetMode="External"/><Relationship Id="rId4731" Type="http://schemas.openxmlformats.org/officeDocument/2006/relationships/hyperlink" Target="https://drive.google.com/file/d/1D5PfCaybyrGveh6AuFj6iGvzUhVA_p3k/view?usp=drivesdk" TargetMode="External"/><Relationship Id="rId4701" Type="http://schemas.openxmlformats.org/officeDocument/2006/relationships/hyperlink" Target="https://drive.google.com/file/d/10KS7WzIvXbpb5nYK-jQ016qHlgQl2auq/view?usp=drivesdk" TargetMode="External"/><Relationship Id="rId4700" Type="http://schemas.openxmlformats.org/officeDocument/2006/relationships/hyperlink" Target="https://drive.google.com/file/d/1zeqaZXqZU58W4qqGIh4jaiHi1H4Bw2A3/view?usp=drivesdk" TargetMode="External"/><Relationship Id="rId4703" Type="http://schemas.openxmlformats.org/officeDocument/2006/relationships/hyperlink" Target="https://drive.google.com/file/d/15FnCnot5SF1n8-ptOyo3AWOb-LBqD82c/view?usp=drivesdk" TargetMode="External"/><Relationship Id="rId4702" Type="http://schemas.openxmlformats.org/officeDocument/2006/relationships/hyperlink" Target="https://drive.google.com/file/d/1yN1cT_u6NV3RMFewtDMn9kneCx46IPX2/view?usp=drivesdk" TargetMode="External"/><Relationship Id="rId4705" Type="http://schemas.openxmlformats.org/officeDocument/2006/relationships/hyperlink" Target="https://drive.google.com/file/d/1v7EQsaGWh6ZDjsFCVaxoq8tUZD5cDgka/view?usp=drivesdk" TargetMode="External"/><Relationship Id="rId4704" Type="http://schemas.openxmlformats.org/officeDocument/2006/relationships/hyperlink" Target="https://drive.google.com/file/d/1NiBMdTXioePyYMZfXkCjYwCCTid176l4/view?usp=drivesdk" TargetMode="External"/><Relationship Id="rId4707" Type="http://schemas.openxmlformats.org/officeDocument/2006/relationships/hyperlink" Target="https://drive.google.com/file/d/1qK8iawa-RlxkAid_KjP2GjLjS-tb8hCd/view?usp=drivesdk" TargetMode="External"/><Relationship Id="rId4706" Type="http://schemas.openxmlformats.org/officeDocument/2006/relationships/hyperlink" Target="https://drive.google.com/file/d/1BbCffoUNYXTWhKYzhJsy3ARvUJyx0uFf/view?usp=drivesdk" TargetMode="External"/><Relationship Id="rId4709" Type="http://schemas.openxmlformats.org/officeDocument/2006/relationships/hyperlink" Target="https://drive.google.com/file/d/1bVvMjMsACDPaw3d5SRJn6pq8MgXwApLU/view?usp=drivesdk" TargetMode="External"/><Relationship Id="rId4708" Type="http://schemas.openxmlformats.org/officeDocument/2006/relationships/hyperlink" Target="https://drive.google.com/file/d/1g3jb2xxC4VZaN0tISCeSZtjFy_1-doin/view?usp=drivesdk" TargetMode="External"/><Relationship Id="rId2148" Type="http://schemas.openxmlformats.org/officeDocument/2006/relationships/hyperlink" Target="https://drive.google.com/file/d/1X7sC1_Ujd3My5G-nG1Dr8oDFxU8L0XDQ/view?usp=drivesdk" TargetMode="External"/><Relationship Id="rId2149" Type="http://schemas.openxmlformats.org/officeDocument/2006/relationships/hyperlink" Target="https://drive.google.com/file/d/1Z90NbSw90fvXeFROVqe-0r10DiGMppKw/view?usp=drivesdk" TargetMode="External"/><Relationship Id="rId3479" Type="http://schemas.openxmlformats.org/officeDocument/2006/relationships/hyperlink" Target="https://drive.google.com/file/d/1P_TF2d75YOhPzOqeuU1kMoNddj6eeRFG/view?usp=drivesdk" TargetMode="External"/><Relationship Id="rId3470" Type="http://schemas.openxmlformats.org/officeDocument/2006/relationships/hyperlink" Target="https://drive.google.com/file/d/14akefDxs3ZPTnYTWISrNQFY8UlDy68QF/view?usp=drivesdk" TargetMode="External"/><Relationship Id="rId2140" Type="http://schemas.openxmlformats.org/officeDocument/2006/relationships/hyperlink" Target="https://drive.google.com/file/d/1t3SDFaFZ0P_DATugCURIdJaIErp6CdSl/view?usp=drivesdk" TargetMode="External"/><Relationship Id="rId3472" Type="http://schemas.openxmlformats.org/officeDocument/2006/relationships/hyperlink" Target="https://drive.google.com/file/d/1M1DOacwh1xlb7ges--JWBDwdKraNGRZH/view?usp=drivesdk" TargetMode="External"/><Relationship Id="rId2141" Type="http://schemas.openxmlformats.org/officeDocument/2006/relationships/hyperlink" Target="https://drive.google.com/file/d/154gRv0hfGqijWm_paMhGF0CG-V9afnmi/view?usp=drivesdk" TargetMode="External"/><Relationship Id="rId3471" Type="http://schemas.openxmlformats.org/officeDocument/2006/relationships/hyperlink" Target="https://drive.google.com/file/d/1Qdgmi3CG1RBFBP4oQa0KUiDgN2T5svGw/view?usp=drivesdk" TargetMode="External"/><Relationship Id="rId2142" Type="http://schemas.openxmlformats.org/officeDocument/2006/relationships/hyperlink" Target="https://drive.google.com/file/d/1Oqcv28tcD53bFZg2h2XehvXfZPJxZ1hV/view?usp=drivesdk" TargetMode="External"/><Relationship Id="rId3474" Type="http://schemas.openxmlformats.org/officeDocument/2006/relationships/hyperlink" Target="https://drive.google.com/file/d/1pfgWpR52qlAUio5HEUND6wkLkG9s0ctR/view?usp=drivesdk" TargetMode="External"/><Relationship Id="rId2143" Type="http://schemas.openxmlformats.org/officeDocument/2006/relationships/hyperlink" Target="https://drive.google.com/file/d/1ZSo0zUZDUaNXtMZUQQKX2QjD3AGHUFUr/view?usp=drivesdk" TargetMode="External"/><Relationship Id="rId3473" Type="http://schemas.openxmlformats.org/officeDocument/2006/relationships/hyperlink" Target="https://drive.google.com/file/d/1wQRfmCqb754d6e5SIk-Khfod14R3ZjdI/view?usp=drivesdk" TargetMode="External"/><Relationship Id="rId2144" Type="http://schemas.openxmlformats.org/officeDocument/2006/relationships/hyperlink" Target="https://drive.google.com/file/d/1HK6W_AYlF8xF8_p3fgGF6vafL75d4uSy/view?usp=drivesdk" TargetMode="External"/><Relationship Id="rId3476" Type="http://schemas.openxmlformats.org/officeDocument/2006/relationships/hyperlink" Target="https://drive.google.com/file/d/1LxfPwSlFRGHOMJlfSWrt30WrlJ2Bx56a/view?usp=drivesdk" TargetMode="External"/><Relationship Id="rId2145" Type="http://schemas.openxmlformats.org/officeDocument/2006/relationships/hyperlink" Target="https://drive.google.com/file/d/1-gd7tqPoh1Y5_qIZbGVJJl-wu7EySyi-/view?usp=drivesdk" TargetMode="External"/><Relationship Id="rId3475" Type="http://schemas.openxmlformats.org/officeDocument/2006/relationships/hyperlink" Target="https://drive.google.com/file/d/1EpHz6JqJu7jMQXwICCn4FxLi8CCpDOt3/view?usp=drivesdk" TargetMode="External"/><Relationship Id="rId2146" Type="http://schemas.openxmlformats.org/officeDocument/2006/relationships/hyperlink" Target="https://drive.google.com/file/d/1qV2YMwtU-jTX-oH0AO8PccVlzmzTSH9S/view?usp=drivesdk" TargetMode="External"/><Relationship Id="rId3478" Type="http://schemas.openxmlformats.org/officeDocument/2006/relationships/hyperlink" Target="https://drive.google.com/file/d/1v996ak2PXPpTRIpTqM8zOhwKiAvW4YMa/view?usp=drivesdk" TargetMode="External"/><Relationship Id="rId2147" Type="http://schemas.openxmlformats.org/officeDocument/2006/relationships/hyperlink" Target="https://drive.google.com/file/d/1neLC_n_0FwW3fVerXyYKX6xIMFRNF2vT/view?usp=drivesdk" TargetMode="External"/><Relationship Id="rId3477" Type="http://schemas.openxmlformats.org/officeDocument/2006/relationships/hyperlink" Target="https://drive.google.com/file/d/1kLuN6MA-S8HHBFxH1xJ2rwgfphCEFp3e/view?usp=drivesdk" TargetMode="External"/><Relationship Id="rId2137" Type="http://schemas.openxmlformats.org/officeDocument/2006/relationships/hyperlink" Target="https://drive.google.com/file/d/1E-nTlo-gUe-Dfjx-6ZkmKI4dmQWMrW2h/view?usp=drivesdk" TargetMode="External"/><Relationship Id="rId3469" Type="http://schemas.openxmlformats.org/officeDocument/2006/relationships/hyperlink" Target="https://drive.google.com/file/d/1TwLpbRKXEdmNGK3CExX7KI3hL_Ko31e0/view?usp=drivesdk" TargetMode="External"/><Relationship Id="rId2138" Type="http://schemas.openxmlformats.org/officeDocument/2006/relationships/hyperlink" Target="https://drive.google.com/file/d/10Tj8_Xyle9eiIdyJI2JcbDFy2w1ZnGAu/view?usp=drivesdk" TargetMode="External"/><Relationship Id="rId3468" Type="http://schemas.openxmlformats.org/officeDocument/2006/relationships/hyperlink" Target="https://drive.google.com/file/d/18BPXGcv8bSKeq9mNiZ_KaBtpcTSqZEdx/view?usp=drivesdk" TargetMode="External"/><Relationship Id="rId4799" Type="http://schemas.openxmlformats.org/officeDocument/2006/relationships/hyperlink" Target="https://drive.google.com/file/d/1m5PqBa-NNqArMpHLZj_5lu4eZNilVVRU/view?usp=drivesdk" TargetMode="External"/><Relationship Id="rId2139" Type="http://schemas.openxmlformats.org/officeDocument/2006/relationships/hyperlink" Target="https://drive.google.com/file/d/1_huDmFMAAB4ENseHGvGYE69D6b4ZTA1w/view?usp=drivesdk" TargetMode="External"/><Relationship Id="rId4790" Type="http://schemas.openxmlformats.org/officeDocument/2006/relationships/hyperlink" Target="https://drive.google.com/file/d/1Qhc2_EvQJnachdpIg5KPzncEWmoho9to/view?usp=drivesdk" TargetMode="External"/><Relationship Id="rId3461" Type="http://schemas.openxmlformats.org/officeDocument/2006/relationships/hyperlink" Target="https://drive.google.com/file/d/1PrURppqq6sCTgsyqtf9gdobsU9vT5VaZ/view?usp=drivesdk" TargetMode="External"/><Relationship Id="rId4792" Type="http://schemas.openxmlformats.org/officeDocument/2006/relationships/hyperlink" Target="https://drive.google.com/file/d/1o83nOz6_QNYHRFH0LZwuX5PlCvJo5LEr/view?usp=drivesdk" TargetMode="External"/><Relationship Id="rId2130" Type="http://schemas.openxmlformats.org/officeDocument/2006/relationships/hyperlink" Target="https://drive.google.com/file/d/1RBRrwye6yQqaUjMfFtWYAK4c2ZX6bPCk/view?usp=drivesdk" TargetMode="External"/><Relationship Id="rId3460" Type="http://schemas.openxmlformats.org/officeDocument/2006/relationships/hyperlink" Target="https://drive.google.com/file/d/1f3JDIWCtd_Fc6jYAWl2JYcmkhPBem_3q/view?usp=drivesdk" TargetMode="External"/><Relationship Id="rId4791" Type="http://schemas.openxmlformats.org/officeDocument/2006/relationships/hyperlink" Target="https://drive.google.com/file/d/1m-39W0siPW9t-dHdvxDyi2KxABb2AD73/view?usp=drivesdk" TargetMode="External"/><Relationship Id="rId2131" Type="http://schemas.openxmlformats.org/officeDocument/2006/relationships/hyperlink" Target="https://drive.google.com/file/d/1l0akJkVWXuNiep-f77Yx5IgWCxc0dReq/view?usp=drivesdk" TargetMode="External"/><Relationship Id="rId3463" Type="http://schemas.openxmlformats.org/officeDocument/2006/relationships/hyperlink" Target="https://drive.google.com/file/d/1F3HwiKVQ519V92uihbNKwUTmlL6ao6yr/view?usp=drivesdk" TargetMode="External"/><Relationship Id="rId4794" Type="http://schemas.openxmlformats.org/officeDocument/2006/relationships/hyperlink" Target="https://drive.google.com/file/d/1pbh-4ZVDtakJk5q7X4Hm1BUKazkT-DXx/view?usp=drivesdk" TargetMode="External"/><Relationship Id="rId2132" Type="http://schemas.openxmlformats.org/officeDocument/2006/relationships/hyperlink" Target="https://drive.google.com/file/d/1QfRiU62z9FYVvEOScw50GLKYZz4HeLVA/view?usp=drivesdk" TargetMode="External"/><Relationship Id="rId3462" Type="http://schemas.openxmlformats.org/officeDocument/2006/relationships/hyperlink" Target="https://drive.google.com/file/d/1CP0d40o8sWOY4slrP5ksdzkoxkQZS9Lq/view?usp=drivesdk" TargetMode="External"/><Relationship Id="rId4793" Type="http://schemas.openxmlformats.org/officeDocument/2006/relationships/hyperlink" Target="https://drive.google.com/file/d/1LawkOIeftuh31vucl7xoU5MCZ7fEelHB/view?usp=drivesdk" TargetMode="External"/><Relationship Id="rId2133" Type="http://schemas.openxmlformats.org/officeDocument/2006/relationships/hyperlink" Target="https://drive.google.com/file/d/1tqEIlOGMaEN2Wp5GXR2cBpht3h5NKLQw/view?usp=drivesdk" TargetMode="External"/><Relationship Id="rId3465" Type="http://schemas.openxmlformats.org/officeDocument/2006/relationships/hyperlink" Target="https://drive.google.com/file/d/1bzeblq7_oGiYNnFr5CNSQ2xxMapEX2zs/view?usp=drivesdk" TargetMode="External"/><Relationship Id="rId4796" Type="http://schemas.openxmlformats.org/officeDocument/2006/relationships/hyperlink" Target="https://drive.google.com/file/d/1Lu5_DZ7JUr-_ec7Zk2QTKgwdi4YjZKtA/view?usp=drivesdk" TargetMode="External"/><Relationship Id="rId2134" Type="http://schemas.openxmlformats.org/officeDocument/2006/relationships/hyperlink" Target="https://drive.google.com/file/d/1eB8_PrrrxGdznU5mzKZryYiRfJK0Suw-/view?usp=drivesdk" TargetMode="External"/><Relationship Id="rId3464" Type="http://schemas.openxmlformats.org/officeDocument/2006/relationships/hyperlink" Target="https://drive.google.com/file/d/1KrXbVXn5bkUUzR-bOOZgQIkv6MPFATDP/view?usp=drivesdk" TargetMode="External"/><Relationship Id="rId4795" Type="http://schemas.openxmlformats.org/officeDocument/2006/relationships/hyperlink" Target="https://drive.google.com/file/d/1QwmLQr1r5zoTk9q_HN5KUPKTQyG0zTrM/view?usp=drivesdk" TargetMode="External"/><Relationship Id="rId2135" Type="http://schemas.openxmlformats.org/officeDocument/2006/relationships/hyperlink" Target="https://drive.google.com/file/d/1ZrV4xXWKEFTl6fKJFLvK63fadi2XhHDi/view?usp=drivesdk" TargetMode="External"/><Relationship Id="rId3467" Type="http://schemas.openxmlformats.org/officeDocument/2006/relationships/hyperlink" Target="https://drive.google.com/file/d/16oF6r-2r8iChrP33I8DY3wMOLzFFP3Wk/view?usp=drivesdk" TargetMode="External"/><Relationship Id="rId4798" Type="http://schemas.openxmlformats.org/officeDocument/2006/relationships/hyperlink" Target="https://drive.google.com/file/d/1KE1F4xNYqb-QrQMmYbXYekzXJkClh2yo/view?usp=drivesdk" TargetMode="External"/><Relationship Id="rId2136" Type="http://schemas.openxmlformats.org/officeDocument/2006/relationships/hyperlink" Target="https://drive.google.com/file/d/1PZ-BGDT9fl__ZDIRnYb61qRcP8PGyi9P/view?usp=drivesdk" TargetMode="External"/><Relationship Id="rId3466" Type="http://schemas.openxmlformats.org/officeDocument/2006/relationships/hyperlink" Target="https://drive.google.com/file/d/1z4rQuMEHRUvVEqdDQ-hqSyc-0HKGT1Zi/view?usp=drivesdk" TargetMode="External"/><Relationship Id="rId4797" Type="http://schemas.openxmlformats.org/officeDocument/2006/relationships/hyperlink" Target="https://drive.google.com/file/d/1tIs8jmo4z6KkEcrFkAYxl2eF71Rd79Ae/view?usp=drivesdk" TargetMode="External"/><Relationship Id="rId3490" Type="http://schemas.openxmlformats.org/officeDocument/2006/relationships/hyperlink" Target="https://drive.google.com/file/d/1FExKMMVtGAQNuXqE0nTKfDcWtFAm8_Yn/view?usp=drivesdk" TargetMode="External"/><Relationship Id="rId2160" Type="http://schemas.openxmlformats.org/officeDocument/2006/relationships/hyperlink" Target="https://drive.google.com/file/d/1Mxh19_e4MHb-Nw7MqqML4gyxGyF9zERH/view?usp=drivesdk" TargetMode="External"/><Relationship Id="rId3492" Type="http://schemas.openxmlformats.org/officeDocument/2006/relationships/hyperlink" Target="https://drive.google.com/file/d/1iCqnk7kCohbFNwUYTvzpEsyBLXB0Cyf3/view?usp=drivesdk" TargetMode="External"/><Relationship Id="rId2161" Type="http://schemas.openxmlformats.org/officeDocument/2006/relationships/hyperlink" Target="https://drive.google.com/file/d/1y7dJ8lPJeaDR5_QJMQsrN3SB0IHoLPPY/view?usp=drivesdk" TargetMode="External"/><Relationship Id="rId3491" Type="http://schemas.openxmlformats.org/officeDocument/2006/relationships/hyperlink" Target="https://drive.google.com/file/d/1tEVWPQ1IFd1lZgugsNEgIW7p0B7SGx3H/view?usp=drivesdk" TargetMode="External"/><Relationship Id="rId2162" Type="http://schemas.openxmlformats.org/officeDocument/2006/relationships/hyperlink" Target="https://drive.google.com/file/d/1twaohFr9UeCKtVdT6jti1aEj9bi4_GSI/view?usp=drivesdk" TargetMode="External"/><Relationship Id="rId3494" Type="http://schemas.openxmlformats.org/officeDocument/2006/relationships/hyperlink" Target="https://drive.google.com/file/d/1STDIcmBl_mmopGSobncpZDS3T2YBzBP8/view?usp=drivesdk" TargetMode="External"/><Relationship Id="rId2163" Type="http://schemas.openxmlformats.org/officeDocument/2006/relationships/hyperlink" Target="https://drive.google.com/file/d/1h-WFP3UMADFY-7RFOIi_y-J32Qhd-fr7/view?usp=drivesdk" TargetMode="External"/><Relationship Id="rId3493" Type="http://schemas.openxmlformats.org/officeDocument/2006/relationships/hyperlink" Target="https://drive.google.com/file/d/1E3TOFnHZaIFONEstGvunGbNouh0USkeA/view?usp=drivesdk" TargetMode="External"/><Relationship Id="rId2164" Type="http://schemas.openxmlformats.org/officeDocument/2006/relationships/hyperlink" Target="https://drive.google.com/file/d/1ynuMblf0QfVDtQQx8gp-KB0jiF7d46L2/view?usp=drivesdk" TargetMode="External"/><Relationship Id="rId3496" Type="http://schemas.openxmlformats.org/officeDocument/2006/relationships/hyperlink" Target="https://drive.google.com/file/d/14yuJX4bjx6LGeae5puO4137Hu2v2Ttk7/view?usp=drivesdk" TargetMode="External"/><Relationship Id="rId2165" Type="http://schemas.openxmlformats.org/officeDocument/2006/relationships/hyperlink" Target="https://drive.google.com/file/d/1bDVRXQUDVsy0DQBW3sC0TexcxkLWnBQ5/view?usp=drivesdk" TargetMode="External"/><Relationship Id="rId3495" Type="http://schemas.openxmlformats.org/officeDocument/2006/relationships/hyperlink" Target="https://drive.google.com/file/d/1OkyvuXJM2xYgYOEyhdYk2iN9oadV1K3d/view?usp=drivesdk" TargetMode="External"/><Relationship Id="rId2166" Type="http://schemas.openxmlformats.org/officeDocument/2006/relationships/hyperlink" Target="https://drive.google.com/file/d/1mJLxtlyC0MUxdINL0vCWnK0oEFs_WoOm/view?usp=drivesdk" TargetMode="External"/><Relationship Id="rId3498" Type="http://schemas.openxmlformats.org/officeDocument/2006/relationships/hyperlink" Target="https://drive.google.com/file/d/1zBcOllfH79gREfeq51U46cffUbO16kFl/view?usp=drivesdk" TargetMode="External"/><Relationship Id="rId2167" Type="http://schemas.openxmlformats.org/officeDocument/2006/relationships/hyperlink" Target="https://drive.google.com/file/d/1CTaodXXznLyglQt_QM5JyUETrfsNuPKn/view?usp=drivesdk" TargetMode="External"/><Relationship Id="rId3497" Type="http://schemas.openxmlformats.org/officeDocument/2006/relationships/hyperlink" Target="https://drive.google.com/file/d/19GddTmCmXXw2RX1HQRQwvZqp18Io1-5H/view?usp=drivesdk" TargetMode="External"/><Relationship Id="rId2168" Type="http://schemas.openxmlformats.org/officeDocument/2006/relationships/hyperlink" Target="https://drive.google.com/file/d/1FPcBqfMQVYjPjIz60W-_vqphZKXJLgQD/view?usp=drivesdk" TargetMode="External"/><Relationship Id="rId2169" Type="http://schemas.openxmlformats.org/officeDocument/2006/relationships/hyperlink" Target="https://drive.google.com/file/d/1EqB2HOmLGAClYktWgpqut_gpxLfWSoe0/view?usp=drivesdk" TargetMode="External"/><Relationship Id="rId3499" Type="http://schemas.openxmlformats.org/officeDocument/2006/relationships/hyperlink" Target="https://drive.google.com/file/d/1cenSnjlT9nZoo1aHo7uN9qQqY4shegec/view?usp=drivesdk" TargetMode="External"/><Relationship Id="rId2159" Type="http://schemas.openxmlformats.org/officeDocument/2006/relationships/hyperlink" Target="https://drive.google.com/file/d/1o1Ye0Z8AXa0sJ1GaFBFQv_90Yya-Fqdo/view?usp=drivesdk" TargetMode="External"/><Relationship Id="rId3481" Type="http://schemas.openxmlformats.org/officeDocument/2006/relationships/hyperlink" Target="https://drive.google.com/file/d/1PEVW99kOrHF8eEqXD4yVSp8_45dflhib/view?usp=drivesdk" TargetMode="External"/><Relationship Id="rId2150" Type="http://schemas.openxmlformats.org/officeDocument/2006/relationships/hyperlink" Target="https://drive.google.com/file/d/1IVVOHxnAxsKXLNsc36cZWvTMsfrbtSE9/view?usp=drivesdk" TargetMode="External"/><Relationship Id="rId3480" Type="http://schemas.openxmlformats.org/officeDocument/2006/relationships/hyperlink" Target="https://drive.google.com/file/d/1saLX3GAqbP_bEkeehz9e27dJWVLA0k-n/view?usp=drivesdk" TargetMode="External"/><Relationship Id="rId2151" Type="http://schemas.openxmlformats.org/officeDocument/2006/relationships/hyperlink" Target="https://drive.google.com/file/d/1R7aZAsU2xi31zzJrvghj3__oo58iAtSP/view?usp=drivesdk" TargetMode="External"/><Relationship Id="rId3483" Type="http://schemas.openxmlformats.org/officeDocument/2006/relationships/hyperlink" Target="https://drive.google.com/file/d/1Jz51Dhqi110mtIzWNRk79dQzH7V2iuLK/view?usp=drivesdk" TargetMode="External"/><Relationship Id="rId2152" Type="http://schemas.openxmlformats.org/officeDocument/2006/relationships/hyperlink" Target="https://drive.google.com/file/d/1kGTlOrQL7h-9o7eCWlI5nw26vWc-X7k0/view?usp=drivesdk" TargetMode="External"/><Relationship Id="rId3482" Type="http://schemas.openxmlformats.org/officeDocument/2006/relationships/hyperlink" Target="https://drive.google.com/file/d/1yoF7f4tTgcpVvpW6V14viWkiKJ84zHNQ/view?usp=drivesdk" TargetMode="External"/><Relationship Id="rId2153" Type="http://schemas.openxmlformats.org/officeDocument/2006/relationships/hyperlink" Target="https://drive.google.com/file/d/1_-lIeW9hC9bP3sYIXN3OtdQ_zIyeBxCS/view?usp=drivesdk" TargetMode="External"/><Relationship Id="rId3485" Type="http://schemas.openxmlformats.org/officeDocument/2006/relationships/hyperlink" Target="https://drive.google.com/file/d/1XpT4hhH_j7C854z8iW8REac9IccJEllJ/view?usp=drivesdk" TargetMode="External"/><Relationship Id="rId2154" Type="http://schemas.openxmlformats.org/officeDocument/2006/relationships/hyperlink" Target="https://drive.google.com/file/d/1nz6Kus9cHljR46FV7CVmgvM3HqT_0qWt/view?usp=drivesdk" TargetMode="External"/><Relationship Id="rId3484" Type="http://schemas.openxmlformats.org/officeDocument/2006/relationships/hyperlink" Target="https://drive.google.com/file/d/1AzK8sQYGmqlJMI-NyzlDxgER2AwySJ9d/view?usp=drivesdk" TargetMode="External"/><Relationship Id="rId2155" Type="http://schemas.openxmlformats.org/officeDocument/2006/relationships/hyperlink" Target="https://drive.google.com/file/d/1bRctuHIaFsYocXAm8qNdAhokjNkokxmB/view?usp=drivesdk" TargetMode="External"/><Relationship Id="rId3487" Type="http://schemas.openxmlformats.org/officeDocument/2006/relationships/hyperlink" Target="https://drive.google.com/file/d/1F8Y22Xi5YqmbpAU7wjoykWJpV8R4TGNh/view?usp=drivesdk" TargetMode="External"/><Relationship Id="rId2156" Type="http://schemas.openxmlformats.org/officeDocument/2006/relationships/hyperlink" Target="https://drive.google.com/file/d/13v5KbERPDWmrsjVE1F3ImyTu_G2Tet6m/view?usp=drivesdk" TargetMode="External"/><Relationship Id="rId3486" Type="http://schemas.openxmlformats.org/officeDocument/2006/relationships/hyperlink" Target="https://drive.google.com/file/d/12injADvKZz4Mog_8d0D651VWBG0NGpxO/view?usp=drivesdk" TargetMode="External"/><Relationship Id="rId2157" Type="http://schemas.openxmlformats.org/officeDocument/2006/relationships/hyperlink" Target="https://drive.google.com/file/d/1AkNw3E4T8_J2tNzqWVDNiI83hZR1VW7g/view?usp=drivesdk" TargetMode="External"/><Relationship Id="rId3489" Type="http://schemas.openxmlformats.org/officeDocument/2006/relationships/hyperlink" Target="https://drive.google.com/file/d/1qWv4FcdLzcp9OTz3YC6Dd3mz5AlU10PR/view?usp=drivesdk" TargetMode="External"/><Relationship Id="rId2158" Type="http://schemas.openxmlformats.org/officeDocument/2006/relationships/hyperlink" Target="https://drive.google.com/file/d/1YDJBBYMCBjWY_kMPjoJYL_es22McyRkN/view?usp=drivesdk" TargetMode="External"/><Relationship Id="rId3488" Type="http://schemas.openxmlformats.org/officeDocument/2006/relationships/hyperlink" Target="https://drive.google.com/file/d/1N94mBZybamvv77f5cPxedgS-Bd7oedxh/view?usp=drivesdk" TargetMode="External"/><Relationship Id="rId2104" Type="http://schemas.openxmlformats.org/officeDocument/2006/relationships/hyperlink" Target="https://drive.google.com/file/d/1LZhRdNQeA0hvBqzLJLUEO_EM7NaR22Pf/view?usp=drivesdk" TargetMode="External"/><Relationship Id="rId3436" Type="http://schemas.openxmlformats.org/officeDocument/2006/relationships/hyperlink" Target="https://drive.google.com/file/d/1OWhg-F-uyaDNGQhAy_QqQm_svV7jioIH/view?usp=drivesdk" TargetMode="External"/><Relationship Id="rId4767" Type="http://schemas.openxmlformats.org/officeDocument/2006/relationships/hyperlink" Target="https://drive.google.com/file/d/1EehQFLl3jXh38Aifpwzgb45uO_lRGm76/view?usp=drivesdk" TargetMode="External"/><Relationship Id="rId2105" Type="http://schemas.openxmlformats.org/officeDocument/2006/relationships/hyperlink" Target="https://drive.google.com/file/d/1Tm-8SwH-du_wWluu6vIcSmb__BXcDOYN/view?usp=drivesdk" TargetMode="External"/><Relationship Id="rId3435" Type="http://schemas.openxmlformats.org/officeDocument/2006/relationships/hyperlink" Target="https://drive.google.com/file/d/1sJstk9PdEGYSKpT2_f0a9PpD7ejHwq1l/view?usp=drivesdk" TargetMode="External"/><Relationship Id="rId4766" Type="http://schemas.openxmlformats.org/officeDocument/2006/relationships/hyperlink" Target="https://drive.google.com/file/d/1k3_SWGj1RPf9tpqDyoC_1JjhWu3KUy3x/view?usp=drivesdk" TargetMode="External"/><Relationship Id="rId2106" Type="http://schemas.openxmlformats.org/officeDocument/2006/relationships/hyperlink" Target="https://drive.google.com/file/d/1fEiCTLj9kNiz8SyL6Bbtufdg7UwfC6Dm/view?usp=drivesdk" TargetMode="External"/><Relationship Id="rId3438" Type="http://schemas.openxmlformats.org/officeDocument/2006/relationships/hyperlink" Target="https://drive.google.com/file/d/1eGq2fjiZHB5HGDm_cH2QzNlmlrdLaoyE/view?usp=drivesdk" TargetMode="External"/><Relationship Id="rId4769" Type="http://schemas.openxmlformats.org/officeDocument/2006/relationships/hyperlink" Target="https://drive.google.com/file/d/11QfYX6wzw1QyFtEFiR8jtYyNCrBpFjxV/view?usp=drivesdk" TargetMode="External"/><Relationship Id="rId2107" Type="http://schemas.openxmlformats.org/officeDocument/2006/relationships/hyperlink" Target="https://drive.google.com/file/d/1bt3RSwx7vT17u4OCFWNz5004cM8cgz7n/view?usp=drivesdk" TargetMode="External"/><Relationship Id="rId3437" Type="http://schemas.openxmlformats.org/officeDocument/2006/relationships/hyperlink" Target="https://drive.google.com/file/d/1LVclwvdJUl_kfO9FCwGAf-0f-gnlkrRJ/view?usp=drivesdk" TargetMode="External"/><Relationship Id="rId4768" Type="http://schemas.openxmlformats.org/officeDocument/2006/relationships/hyperlink" Target="https://drive.google.com/file/d/1CZvwWEopGxVo1eq7JEvAxBX5fYgYcRkT/view?usp=drivesdk" TargetMode="External"/><Relationship Id="rId2108" Type="http://schemas.openxmlformats.org/officeDocument/2006/relationships/hyperlink" Target="https://drive.google.com/file/d/12DWAx7eUrxfsn36axdai4fJc5QDKhb5T/view?usp=drivesdk" TargetMode="External"/><Relationship Id="rId2109" Type="http://schemas.openxmlformats.org/officeDocument/2006/relationships/hyperlink" Target="https://drive.google.com/file/d/1hJJgmsiUmMpb02IDIuhyrXAMGn1auuYa/view?usp=drivesdk" TargetMode="External"/><Relationship Id="rId3439" Type="http://schemas.openxmlformats.org/officeDocument/2006/relationships/hyperlink" Target="https://drive.google.com/file/d/1X_rxKO5a6dcYxhU1RXRV0JWy0tSRKzsM/view?usp=drivesdk" TargetMode="External"/><Relationship Id="rId3430" Type="http://schemas.openxmlformats.org/officeDocument/2006/relationships/hyperlink" Target="https://drive.google.com/file/d/1GYqupcolr3L6mOXBOIXoI2CFIhqJ4wk9/view?usp=drivesdk" TargetMode="External"/><Relationship Id="rId4761" Type="http://schemas.openxmlformats.org/officeDocument/2006/relationships/hyperlink" Target="https://drive.google.com/file/d/1FHwGgyw6Z-rSmz8UIslPJdXhUh4c38Qa/view?usp=drivesdk" TargetMode="External"/><Relationship Id="rId4760" Type="http://schemas.openxmlformats.org/officeDocument/2006/relationships/hyperlink" Target="https://drive.google.com/file/d/1VsAHkl_tWImDjj1z33q4rD56CHS6-S6-/view?usp=drivesdk" TargetMode="External"/><Relationship Id="rId2100" Type="http://schemas.openxmlformats.org/officeDocument/2006/relationships/hyperlink" Target="https://drive.google.com/file/d/1fHKDmg1MtbOwElSSfMvxDuBYR9hbxb9f/view?usp=drivesdk" TargetMode="External"/><Relationship Id="rId3432" Type="http://schemas.openxmlformats.org/officeDocument/2006/relationships/hyperlink" Target="https://drive.google.com/file/d/1BGFR0RDYefWirQUbFN22mGtCqLYB5LD6/view?usp=drivesdk" TargetMode="External"/><Relationship Id="rId4763" Type="http://schemas.openxmlformats.org/officeDocument/2006/relationships/hyperlink" Target="https://drive.google.com/file/d/163hA2GUPb4_Gp1vCrSs7Z7NOQLF1bUEr/view?usp=drivesdk" TargetMode="External"/><Relationship Id="rId2101" Type="http://schemas.openxmlformats.org/officeDocument/2006/relationships/hyperlink" Target="https://drive.google.com/file/d/1muCT8S8LHc36eYS8dcBsQ8a3gx5HmUM6/view?usp=drivesdk" TargetMode="External"/><Relationship Id="rId3431" Type="http://schemas.openxmlformats.org/officeDocument/2006/relationships/hyperlink" Target="https://drive.google.com/file/d/1-LnHDUppf7bD0ZirYuOf_Bco1BGpMKF1/view?usp=drivesdk" TargetMode="External"/><Relationship Id="rId4762" Type="http://schemas.openxmlformats.org/officeDocument/2006/relationships/hyperlink" Target="https://drive.google.com/file/d/1wF2GMF-O3C9XrJcEQfsWvCGYPBpqmKKE/view?usp=drivesdk" TargetMode="External"/><Relationship Id="rId2102" Type="http://schemas.openxmlformats.org/officeDocument/2006/relationships/hyperlink" Target="https://drive.google.com/file/d/12y-lntUlctvPjCsEDysNzA2_b3uTcmy9/view?usp=drivesdk" TargetMode="External"/><Relationship Id="rId3434" Type="http://schemas.openxmlformats.org/officeDocument/2006/relationships/hyperlink" Target="https://drive.google.com/file/d/1z4DKCqajJtyEQ3OlocwVDCFxHDgvxOVh/view?usp=drivesdk" TargetMode="External"/><Relationship Id="rId4765" Type="http://schemas.openxmlformats.org/officeDocument/2006/relationships/hyperlink" Target="https://drive.google.com/file/d/1AAcRBnvOzvqXq-qo48VfzdtMTrSIVjf9/view?usp=drivesdk" TargetMode="External"/><Relationship Id="rId2103" Type="http://schemas.openxmlformats.org/officeDocument/2006/relationships/hyperlink" Target="https://drive.google.com/file/d/1EmRqMwG72iRmWYFdRas47mjxpAfTc01H/view?usp=drivesdk" TargetMode="External"/><Relationship Id="rId3433" Type="http://schemas.openxmlformats.org/officeDocument/2006/relationships/hyperlink" Target="https://drive.google.com/file/d/1no4rpeGSCfArLZbUSFLbTHVTXiG5ZVBp/view?usp=drivesdk" TargetMode="External"/><Relationship Id="rId4764" Type="http://schemas.openxmlformats.org/officeDocument/2006/relationships/hyperlink" Target="https://drive.google.com/file/d/1DB_zPmg0bvOO_F38fv2-6zlZRUCG7bLo/view?usp=drivesdk" TargetMode="External"/><Relationship Id="rId3425" Type="http://schemas.openxmlformats.org/officeDocument/2006/relationships/hyperlink" Target="https://drive.google.com/file/d/1P_GqcGx4vx117arr3uCFltjaV1PZrD_5/view?usp=drivesdk" TargetMode="External"/><Relationship Id="rId4756" Type="http://schemas.openxmlformats.org/officeDocument/2006/relationships/hyperlink" Target="https://drive.google.com/file/d/10Pte2XvEeH3uKxtoobz-aCiuNuuGBVfc/view?usp=drivesdk" TargetMode="External"/><Relationship Id="rId3424" Type="http://schemas.openxmlformats.org/officeDocument/2006/relationships/hyperlink" Target="https://drive.google.com/file/d/1ZRMl0t7dtR7S06mypQIWHM-mOWiR62jp/view?usp=drivesdk" TargetMode="External"/><Relationship Id="rId4755" Type="http://schemas.openxmlformats.org/officeDocument/2006/relationships/hyperlink" Target="https://drive.google.com/file/d/18LbEKQlImdFwFrngwxeCWrfkgxwTlaHT/view?usp=drivesdk" TargetMode="External"/><Relationship Id="rId3427" Type="http://schemas.openxmlformats.org/officeDocument/2006/relationships/hyperlink" Target="https://drive.google.com/file/d/1qehv0JWsHC7Fp_G5QBWHffVCI9c6nGy5/view?usp=drivesdk" TargetMode="External"/><Relationship Id="rId4758" Type="http://schemas.openxmlformats.org/officeDocument/2006/relationships/hyperlink" Target="https://drive.google.com/file/d/1oVudrp-zZw1PRtAQCMyHVco1b2U2utKP/view?usp=drivesdk" TargetMode="External"/><Relationship Id="rId3426" Type="http://schemas.openxmlformats.org/officeDocument/2006/relationships/hyperlink" Target="https://drive.google.com/file/d/1ARoZ4gcML0_Wkn5KIYAWSCEXKPEQ22pr/view?usp=drivesdk" TargetMode="External"/><Relationship Id="rId4757" Type="http://schemas.openxmlformats.org/officeDocument/2006/relationships/hyperlink" Target="https://drive.google.com/file/d/1V8hUn_IFFtgFm5oHfjgCR1e14sgQQXjT/view?usp=drivesdk" TargetMode="External"/><Relationship Id="rId3429" Type="http://schemas.openxmlformats.org/officeDocument/2006/relationships/hyperlink" Target="https://drive.google.com/file/d/1JPkrqwX0JHesB_9wfH60BwLKXDQTNoA9/view?usp=drivesdk" TargetMode="External"/><Relationship Id="rId3428" Type="http://schemas.openxmlformats.org/officeDocument/2006/relationships/hyperlink" Target="https://drive.google.com/file/d/1nVKZ9voUfntEFDursH_ckXT0Ulfv_4nT/view?usp=drivesdk" TargetMode="External"/><Relationship Id="rId4759" Type="http://schemas.openxmlformats.org/officeDocument/2006/relationships/hyperlink" Target="https://drive.google.com/file/d/1Q2MxnNtTtmeq6igy-dUGoz3SCn0-XdWo/view?usp=drivesdk" TargetMode="External"/><Relationship Id="rId4750" Type="http://schemas.openxmlformats.org/officeDocument/2006/relationships/hyperlink" Target="https://drive.google.com/file/d/12z4SCoVgT7h1zdd22Az9TMG1p_cbZVld/view?usp=drivesdk" TargetMode="External"/><Relationship Id="rId3421" Type="http://schemas.openxmlformats.org/officeDocument/2006/relationships/hyperlink" Target="https://drive.google.com/file/d/1cdQdGJyt_lBE4aStOVYQP1CZNMYyVxcE/view?usp=drivesdk" TargetMode="External"/><Relationship Id="rId4752" Type="http://schemas.openxmlformats.org/officeDocument/2006/relationships/hyperlink" Target="https://drive.google.com/file/d/1sl6Z0OwTNHsY89AkZxT02C7U-Dyhmx5H/view?usp=drivesdk" TargetMode="External"/><Relationship Id="rId3420" Type="http://schemas.openxmlformats.org/officeDocument/2006/relationships/hyperlink" Target="https://drive.google.com/file/d/1CRd8kJjX-e_30FXyMrRVd5JkgVrtZrWI/view?usp=drivesdk" TargetMode="External"/><Relationship Id="rId4751" Type="http://schemas.openxmlformats.org/officeDocument/2006/relationships/hyperlink" Target="https://drive.google.com/file/d/10Es6_7aD6qJDM4392pZW-kqZEzRBBNcY/view?usp=drivesdk" TargetMode="External"/><Relationship Id="rId3423" Type="http://schemas.openxmlformats.org/officeDocument/2006/relationships/hyperlink" Target="https://drive.google.com/file/d/1Q09XB4v_YM3fNtnr5QU57FdNb2h8MqCV/view?usp=drivesdk" TargetMode="External"/><Relationship Id="rId4754" Type="http://schemas.openxmlformats.org/officeDocument/2006/relationships/hyperlink" Target="https://drive.google.com/file/d/1RTZWHWga26q5cgxpVjeiuKOqq41RzPFy/view?usp=drivesdk" TargetMode="External"/><Relationship Id="rId3422" Type="http://schemas.openxmlformats.org/officeDocument/2006/relationships/hyperlink" Target="https://drive.google.com/file/d/1A1JJXe_1DNNaWmHOjn04M5Zq6QpIEOX7/view?usp=drivesdk" TargetMode="External"/><Relationship Id="rId4753" Type="http://schemas.openxmlformats.org/officeDocument/2006/relationships/hyperlink" Target="https://drive.google.com/file/d/12vkWV1km-zmT2ruNvHH7L9p_RWiaUVKS/view?usp=drivesdk" TargetMode="External"/><Relationship Id="rId2126" Type="http://schemas.openxmlformats.org/officeDocument/2006/relationships/hyperlink" Target="https://drive.google.com/file/d/1kjh7PK0Ox-qGpEMXz_UUeQNURMNYBKqt/view?usp=drivesdk" TargetMode="External"/><Relationship Id="rId3458" Type="http://schemas.openxmlformats.org/officeDocument/2006/relationships/hyperlink" Target="https://drive.google.com/file/d/10pHVt48cahuUeyGUIys3FVBorW60dMJ9/view?usp=drivesdk" TargetMode="External"/><Relationship Id="rId4789" Type="http://schemas.openxmlformats.org/officeDocument/2006/relationships/hyperlink" Target="https://drive.google.com/file/d/1qYo_csXAtp9O0RiulcH-4_-qwh9qA8fz/view?usp=drivesdk" TargetMode="External"/><Relationship Id="rId2127" Type="http://schemas.openxmlformats.org/officeDocument/2006/relationships/hyperlink" Target="https://drive.google.com/file/d/14LMsTGSU3czPMjr7_ekiL7NxOjHWNBnV/view?usp=drivesdk" TargetMode="External"/><Relationship Id="rId3457" Type="http://schemas.openxmlformats.org/officeDocument/2006/relationships/hyperlink" Target="https://drive.google.com/file/d/19itxLnKTw-PRiQ2TH1U2QAy1KUZJY5ig/view?usp=drivesdk" TargetMode="External"/><Relationship Id="rId4788" Type="http://schemas.openxmlformats.org/officeDocument/2006/relationships/hyperlink" Target="https://drive.google.com/file/d/1qYxSLXms4k9tbd5SujZJEEg66IMBBLbv/view?usp=drivesdk" TargetMode="External"/><Relationship Id="rId2128" Type="http://schemas.openxmlformats.org/officeDocument/2006/relationships/hyperlink" Target="https://drive.google.com/file/d/1EF2NEoLJbVuVdi8TXarEMNPu5CCKiRVP/view?usp=drivesdk" TargetMode="External"/><Relationship Id="rId2129" Type="http://schemas.openxmlformats.org/officeDocument/2006/relationships/hyperlink" Target="https://drive.google.com/file/d/1s5CZVyZPlWfxPe_BCx9wQZhiTfSxSVyR/view?usp=drivesdk" TargetMode="External"/><Relationship Id="rId3459" Type="http://schemas.openxmlformats.org/officeDocument/2006/relationships/hyperlink" Target="https://drive.google.com/file/d/1J4j5XXMXHBLbRhVLG6sRyMcHY81gBS1j/view?usp=drivesdk" TargetMode="External"/><Relationship Id="rId3450" Type="http://schemas.openxmlformats.org/officeDocument/2006/relationships/hyperlink" Target="https://drive.google.com/file/d/1g2o9mhkh5qtqlA-yAlC7tyBQB3rngNdS/view?usp=drivesdk" TargetMode="External"/><Relationship Id="rId4781" Type="http://schemas.openxmlformats.org/officeDocument/2006/relationships/hyperlink" Target="https://drive.google.com/file/d/1K-1sXkaCUPfxLEqfEqTEg13sCB2mKXor/view?usp=drivesdk" TargetMode="External"/><Relationship Id="rId4780" Type="http://schemas.openxmlformats.org/officeDocument/2006/relationships/hyperlink" Target="https://drive.google.com/file/d/1ntHkwMdavaBk5Pgo3fzRXRINdzkbVPLp/view?usp=drivesdk" TargetMode="External"/><Relationship Id="rId2120" Type="http://schemas.openxmlformats.org/officeDocument/2006/relationships/hyperlink" Target="https://drive.google.com/file/d/1XKL91bMYiwbJ8QruvrHIodHGeI3GD74Z/view?usp=drivesdk" TargetMode="External"/><Relationship Id="rId3452" Type="http://schemas.openxmlformats.org/officeDocument/2006/relationships/hyperlink" Target="https://drive.google.com/file/d/1nWiYB0hBsqhYL0LSlypN0dZA-CkcH6-h/view?usp=drivesdk" TargetMode="External"/><Relationship Id="rId4783" Type="http://schemas.openxmlformats.org/officeDocument/2006/relationships/hyperlink" Target="https://drive.google.com/file/d/1Su1dHqwCvObll70rkhY6Z2Fp6fmdRbaT/view?usp=drivesdk" TargetMode="External"/><Relationship Id="rId2121" Type="http://schemas.openxmlformats.org/officeDocument/2006/relationships/hyperlink" Target="https://drive.google.com/file/d/1MGVy7OW50OKlM8qkPIysQkIsorMlMb8U/view?usp=drivesdk" TargetMode="External"/><Relationship Id="rId3451" Type="http://schemas.openxmlformats.org/officeDocument/2006/relationships/hyperlink" Target="https://drive.google.com/file/d/1zbk7lxESDpznyocBBffCG6u_c3BYh5zN/view?usp=drivesdk" TargetMode="External"/><Relationship Id="rId4782" Type="http://schemas.openxmlformats.org/officeDocument/2006/relationships/hyperlink" Target="https://drive.google.com/file/d/1SaVoAEtKmh1e9Tr7-w35NYgJeaE_7407/view?usp=drivesdk" TargetMode="External"/><Relationship Id="rId2122" Type="http://schemas.openxmlformats.org/officeDocument/2006/relationships/hyperlink" Target="https://drive.google.com/file/d/1EJog4Ta0UGIHmEgPVv4MI7a6kj9tWlAz/view?usp=drivesdk" TargetMode="External"/><Relationship Id="rId3454" Type="http://schemas.openxmlformats.org/officeDocument/2006/relationships/hyperlink" Target="https://drive.google.com/file/d/1_DCiTehxujQUXZLr_nScNqImBNBGeIGe/view?usp=drivesdk" TargetMode="External"/><Relationship Id="rId4785" Type="http://schemas.openxmlformats.org/officeDocument/2006/relationships/hyperlink" Target="https://drive.google.com/file/d/1vFfdH4CDVtV9KLF2d9uvbTgV4gx9LCGN/view?usp=drivesdk" TargetMode="External"/><Relationship Id="rId2123" Type="http://schemas.openxmlformats.org/officeDocument/2006/relationships/hyperlink" Target="https://drive.google.com/file/d/1fDqUg8ngmgOEK73gj5sizxD2pXRzXzLj/view?usp=drivesdk" TargetMode="External"/><Relationship Id="rId3453" Type="http://schemas.openxmlformats.org/officeDocument/2006/relationships/hyperlink" Target="https://drive.google.com/file/d/1_FFztcT_t9ZLrwj7rtpwP6T9HO6z-cig/view?usp=drivesdk" TargetMode="External"/><Relationship Id="rId4784" Type="http://schemas.openxmlformats.org/officeDocument/2006/relationships/hyperlink" Target="https://drive.google.com/file/d/1AYMauI2kf-zUaj2y5Ar6s90PANEgso35/view?usp=drivesdk" TargetMode="External"/><Relationship Id="rId2124" Type="http://schemas.openxmlformats.org/officeDocument/2006/relationships/hyperlink" Target="https://drive.google.com/file/d/1HF7s804KDNd6lw3e8uzBJWVDj9QRWj4v/view?usp=drivesdk" TargetMode="External"/><Relationship Id="rId3456" Type="http://schemas.openxmlformats.org/officeDocument/2006/relationships/hyperlink" Target="https://drive.google.com/file/d/1eR7Je5W-HfIW9prBWnqKvat6xTn6m4FE/view?usp=drivesdk" TargetMode="External"/><Relationship Id="rId4787" Type="http://schemas.openxmlformats.org/officeDocument/2006/relationships/hyperlink" Target="https://drive.google.com/file/d/1u32NE0L5ethpWgXWuJoZe_PgWEtnTWZP/view?usp=drivesdk" TargetMode="External"/><Relationship Id="rId2125" Type="http://schemas.openxmlformats.org/officeDocument/2006/relationships/hyperlink" Target="https://drive.google.com/file/d/1EpRx-74k8WKKtDOz5YoPBhe6CQU2Y4g1/view?usp=drivesdk" TargetMode="External"/><Relationship Id="rId3455" Type="http://schemas.openxmlformats.org/officeDocument/2006/relationships/hyperlink" Target="https://drive.google.com/file/d/1K-HH6YF1XcvZvCtPs42xeADAR8gr-0hC/view?usp=drivesdk" TargetMode="External"/><Relationship Id="rId4786" Type="http://schemas.openxmlformats.org/officeDocument/2006/relationships/hyperlink" Target="https://drive.google.com/file/d/1bi0WFHa51jx34BiaYrHB58D0oK-BTXRO/view?usp=drivesdk" TargetMode="External"/><Relationship Id="rId2115" Type="http://schemas.openxmlformats.org/officeDocument/2006/relationships/hyperlink" Target="https://drive.google.com/file/d/1nR9uu63o0nj5lOMltMbaj1TrFGx7CwmT/view?usp=drivesdk" TargetMode="External"/><Relationship Id="rId3447" Type="http://schemas.openxmlformats.org/officeDocument/2006/relationships/hyperlink" Target="https://drive.google.com/file/d/1AaGQqzblU1u-ElgUBMgVA4-u88mYtjQS/view?usp=drivesdk" TargetMode="External"/><Relationship Id="rId4778" Type="http://schemas.openxmlformats.org/officeDocument/2006/relationships/hyperlink" Target="https://drive.google.com/file/d/1PMPqN8JqwUXB2i8pmJyT_DvF_mKlyNBn/view?usp=drivesdk" TargetMode="External"/><Relationship Id="rId2116" Type="http://schemas.openxmlformats.org/officeDocument/2006/relationships/hyperlink" Target="https://drive.google.com/file/d/1e8tY2iofpl-d8SFl4hRSNrjRHOs8kyxo/view?usp=drivesdk" TargetMode="External"/><Relationship Id="rId3446" Type="http://schemas.openxmlformats.org/officeDocument/2006/relationships/hyperlink" Target="https://drive.google.com/file/d/1t_ezM0Zicd7mqqKsYEX26iwCImdk3IVe/view?usp=drivesdk" TargetMode="External"/><Relationship Id="rId4777" Type="http://schemas.openxmlformats.org/officeDocument/2006/relationships/hyperlink" Target="https://drive.google.com/file/d/1Je7skEU7VhpvNRPa5DrfapeH5NkrEuVr/view?usp=drivesdk" TargetMode="External"/><Relationship Id="rId2117" Type="http://schemas.openxmlformats.org/officeDocument/2006/relationships/hyperlink" Target="https://drive.google.com/file/d/1LpZIdNDfMUTKT7iMnvtZZlLvWIcStYBs/view?usp=drivesdk" TargetMode="External"/><Relationship Id="rId3449" Type="http://schemas.openxmlformats.org/officeDocument/2006/relationships/hyperlink" Target="https://drive.google.com/file/d/1dFnuJ1fmrZoqTu8XLoo2rnwd9ZlP7_hZ/view?usp=drivesdk" TargetMode="External"/><Relationship Id="rId2118" Type="http://schemas.openxmlformats.org/officeDocument/2006/relationships/hyperlink" Target="https://drive.google.com/file/d/15ZpvS9r3hJifcGP6vW93cAJXjnq2Urjn/view?usp=drivesdk" TargetMode="External"/><Relationship Id="rId3448" Type="http://schemas.openxmlformats.org/officeDocument/2006/relationships/hyperlink" Target="https://drive.google.com/file/d/1PGAsivRYfzt5aVl9VJNWy2ptnn4zaS4m/view?usp=drivesdk" TargetMode="External"/><Relationship Id="rId4779" Type="http://schemas.openxmlformats.org/officeDocument/2006/relationships/hyperlink" Target="https://drive.google.com/file/d/1aZaeZuBoUpCtenHD8SSJTZltAqv9EBrE/view?usp=drivesdk" TargetMode="External"/><Relationship Id="rId2119" Type="http://schemas.openxmlformats.org/officeDocument/2006/relationships/hyperlink" Target="https://drive.google.com/file/d/1QPiA5gGyPzEgor6wEKVAyFCOFIZQThdO/view?usp=drivesdk" TargetMode="External"/><Relationship Id="rId4770" Type="http://schemas.openxmlformats.org/officeDocument/2006/relationships/hyperlink" Target="https://drive.google.com/file/d/1rEoPabWo1A827Zpx-6nxmEPdXt0kEdvU/view?usp=drivesdk" TargetMode="External"/><Relationship Id="rId3441" Type="http://schemas.openxmlformats.org/officeDocument/2006/relationships/hyperlink" Target="https://drive.google.com/file/d/198BHXTfpH2lZkXxKHIIAmw2jqF6JvVGw/view?usp=drivesdk" TargetMode="External"/><Relationship Id="rId4772" Type="http://schemas.openxmlformats.org/officeDocument/2006/relationships/hyperlink" Target="https://drive.google.com/file/d/1_h4933vLxXAOwDRB1lM-LSw0TE0f9ojf/view?usp=drivesdk" TargetMode="External"/><Relationship Id="rId2110" Type="http://schemas.openxmlformats.org/officeDocument/2006/relationships/hyperlink" Target="https://drive.google.com/file/d/1pw2gMafQfTO6n4rIze7pqIOFje-y88S_/view?usp=drivesdk" TargetMode="External"/><Relationship Id="rId3440" Type="http://schemas.openxmlformats.org/officeDocument/2006/relationships/hyperlink" Target="https://drive.google.com/file/d/1mE9Qt5ZFcLpuvFQN0AqNIz0wznfxNnn5/view?usp=drivesdk" TargetMode="External"/><Relationship Id="rId4771" Type="http://schemas.openxmlformats.org/officeDocument/2006/relationships/hyperlink" Target="https://drive.google.com/file/d/1CYHzkjtFpfoDbQLQS23HGfB_lj-KW7Kq/view?usp=drivesdk" TargetMode="External"/><Relationship Id="rId2111" Type="http://schemas.openxmlformats.org/officeDocument/2006/relationships/hyperlink" Target="https://drive.google.com/file/d/1P2LqEAFyfUlxT5RbHNyiHT9wNMRTrqVD/view?usp=drivesdk" TargetMode="External"/><Relationship Id="rId3443" Type="http://schemas.openxmlformats.org/officeDocument/2006/relationships/hyperlink" Target="https://drive.google.com/file/d/1QMp64TcAp8ib1jnxlKn0xghnf43oAyDj/view?usp=drivesdk" TargetMode="External"/><Relationship Id="rId4774" Type="http://schemas.openxmlformats.org/officeDocument/2006/relationships/hyperlink" Target="https://drive.google.com/file/d/1ETzNMsTw4bnuGvUQGp7PlU8wtWgLQmFQ/view?usp=drivesdk" TargetMode="External"/><Relationship Id="rId2112" Type="http://schemas.openxmlformats.org/officeDocument/2006/relationships/hyperlink" Target="https://drive.google.com/file/d/1-6ft2gfxsyBCzIOw03EMRv3jwLTAyzX-/view?usp=drivesdk" TargetMode="External"/><Relationship Id="rId3442" Type="http://schemas.openxmlformats.org/officeDocument/2006/relationships/hyperlink" Target="https://drive.google.com/file/d/1oWOkCclIdPxdqNF5fIsvDBuzw-bjVOtX/view?usp=drivesdk" TargetMode="External"/><Relationship Id="rId4773" Type="http://schemas.openxmlformats.org/officeDocument/2006/relationships/hyperlink" Target="https://drive.google.com/file/d/1n9Jq9UypjnGAhc3vFu4rlm2f_ldfXopH/view?usp=drivesdk" TargetMode="External"/><Relationship Id="rId2113" Type="http://schemas.openxmlformats.org/officeDocument/2006/relationships/hyperlink" Target="https://drive.google.com/file/d/15hI274TnObgH1oq8HEpnbfF5bJy3VM4v/view?usp=drivesdk" TargetMode="External"/><Relationship Id="rId3445" Type="http://schemas.openxmlformats.org/officeDocument/2006/relationships/hyperlink" Target="https://drive.google.com/file/d/1BJ2QPhM14-VwwAB4rXonumxC9b-DPza2/view?usp=drivesdk" TargetMode="External"/><Relationship Id="rId4776" Type="http://schemas.openxmlformats.org/officeDocument/2006/relationships/hyperlink" Target="https://drive.google.com/file/d/1mGN3i0RUrNm_iIoD0L9qNTsdglocmmWk/view?usp=drivesdk" TargetMode="External"/><Relationship Id="rId2114" Type="http://schemas.openxmlformats.org/officeDocument/2006/relationships/hyperlink" Target="https://drive.google.com/file/d/1mV132d8juEbaBX6wJCNMKrK8k40NeczA/view?usp=drivesdk" TargetMode="External"/><Relationship Id="rId3444" Type="http://schemas.openxmlformats.org/officeDocument/2006/relationships/hyperlink" Target="https://drive.google.com/file/d/1EgfNRM_eYDU9vlgRXO6EfKOHbeiUOJoV/view?usp=drivesdk" TargetMode="External"/><Relationship Id="rId4775" Type="http://schemas.openxmlformats.org/officeDocument/2006/relationships/hyperlink" Target="https://drive.google.com/file/d/1Q0yWJmuYmGzLPeiKR8lrvh4A-vHz1JuR/view?usp=drivesdk" TargetMode="External"/><Relationship Id="rId1730" Type="http://schemas.openxmlformats.org/officeDocument/2006/relationships/hyperlink" Target="https://drive.google.com/file/d/1Qt2oOT3C-lsiLtUgI_3Y3V7qm-wUN8ix/view?usp=drivesdk" TargetMode="External"/><Relationship Id="rId1731" Type="http://schemas.openxmlformats.org/officeDocument/2006/relationships/hyperlink" Target="https://drive.google.com/file/d/1YxqaflK2MPa1AiouWYSi-M0qGI7jLXO3/view?usp=drivesdk" TargetMode="External"/><Relationship Id="rId1732" Type="http://schemas.openxmlformats.org/officeDocument/2006/relationships/hyperlink" Target="https://drive.google.com/file/d/10Q0pb87fazvRVzTMrtEvtqgquPjeJ74a/view?usp=drivesdk" TargetMode="External"/><Relationship Id="rId1733" Type="http://schemas.openxmlformats.org/officeDocument/2006/relationships/hyperlink" Target="https://drive.google.com/file/d/1KzuHJSNk6CC6fMLr_vqkjV_jjZh48VIE/view?usp=drivesdk" TargetMode="External"/><Relationship Id="rId1734" Type="http://schemas.openxmlformats.org/officeDocument/2006/relationships/hyperlink" Target="https://drive.google.com/file/d/1eCpvdwt5D7lTK6YIy0G21d6eNAVwHAyh/view?usp=drivesdk" TargetMode="External"/><Relationship Id="rId1735" Type="http://schemas.openxmlformats.org/officeDocument/2006/relationships/hyperlink" Target="https://drive.google.com/file/d/1e67p82poZEPqPy1ag8boy0rHA3uAzpTt/view?usp=drivesdk" TargetMode="External"/><Relationship Id="rId1736" Type="http://schemas.openxmlformats.org/officeDocument/2006/relationships/hyperlink" Target="https://drive.google.com/file/d/1nU4G-IsGNkUmlftYMc8-6o-jqZyDDRez/view?usp=drivesdk" TargetMode="External"/><Relationship Id="rId1737" Type="http://schemas.openxmlformats.org/officeDocument/2006/relationships/hyperlink" Target="https://drive.google.com/file/d/1vjYOOVQB08a_m_C-YgLI6a2gsHGs7F40/view?usp=drivesdk" TargetMode="External"/><Relationship Id="rId1738" Type="http://schemas.openxmlformats.org/officeDocument/2006/relationships/hyperlink" Target="https://drive.google.com/file/d/1kmqHS2_ePCOfpQlthTQhgRTGCjFNMhPe/view?usp=drivesdk" TargetMode="External"/><Relationship Id="rId1739" Type="http://schemas.openxmlformats.org/officeDocument/2006/relationships/hyperlink" Target="https://drive.google.com/file/d/1k_sHiuhiWOK08j4tWiLM0y9Du0sMXSxL/view?usp=drivesdk" TargetMode="External"/><Relationship Id="rId1720" Type="http://schemas.openxmlformats.org/officeDocument/2006/relationships/hyperlink" Target="https://drive.google.com/file/d/1cbOQiH2o1G_Xx8hMGyWLGTq4LElhXFjs/view?usp=drivesdk" TargetMode="External"/><Relationship Id="rId1721" Type="http://schemas.openxmlformats.org/officeDocument/2006/relationships/hyperlink" Target="https://drive.google.com/file/d/16c95SWc4WwqtNyUA601EfMLxZwnsXTs9/view?usp=drivesdk" TargetMode="External"/><Relationship Id="rId1722" Type="http://schemas.openxmlformats.org/officeDocument/2006/relationships/hyperlink" Target="https://drive.google.com/file/d/1g0NZlzNCNMko2Koe8T8MfN3Fz-mFNLph/view?usp=drivesdk" TargetMode="External"/><Relationship Id="rId1723" Type="http://schemas.openxmlformats.org/officeDocument/2006/relationships/hyperlink" Target="https://drive.google.com/file/d/10IZRBGuqAFbyqZEbDnTM5mZ7ZBJ97B7h/view?usp=drivesdk" TargetMode="External"/><Relationship Id="rId1724" Type="http://schemas.openxmlformats.org/officeDocument/2006/relationships/hyperlink" Target="https://drive.google.com/file/d/1cHbU-yYnXP5qUK3-oCIAsCrHoG4RuOSX/view?usp=drivesdk" TargetMode="External"/><Relationship Id="rId1725" Type="http://schemas.openxmlformats.org/officeDocument/2006/relationships/hyperlink" Target="https://drive.google.com/file/d/1MH8qV0tOfoxRAPlSkXos_9sd1DjvdxWq/view?usp=drivesdk" TargetMode="External"/><Relationship Id="rId1726" Type="http://schemas.openxmlformats.org/officeDocument/2006/relationships/hyperlink" Target="https://drive.google.com/file/d/1YTtZ7MOYROL-wQzGbtrfvkSjk0hbVpCf/view?usp=drivesdk" TargetMode="External"/><Relationship Id="rId1727" Type="http://schemas.openxmlformats.org/officeDocument/2006/relationships/hyperlink" Target="https://drive.google.com/file/d/1XQ9yaZzMq07WBM0uZTBeoTtCvXgkILi1/view?usp=drivesdk" TargetMode="External"/><Relationship Id="rId1728" Type="http://schemas.openxmlformats.org/officeDocument/2006/relationships/hyperlink" Target="https://drive.google.com/file/d/1sElWDWDH4X2eG0GMwqBipXqu_yAPBYWE/view?usp=drivesdk" TargetMode="External"/><Relationship Id="rId1729" Type="http://schemas.openxmlformats.org/officeDocument/2006/relationships/hyperlink" Target="https://drive.google.com/file/d/1pWw_EpBg-CkTOG6uKg__qd6jYRNBNUb3/view?usp=drivesdk" TargetMode="External"/><Relationship Id="rId1752" Type="http://schemas.openxmlformats.org/officeDocument/2006/relationships/hyperlink" Target="https://drive.google.com/file/d/1hjJIv36jgg8DcA9x1iEtqSrFHSIuzuTc/view?usp=drivesdk" TargetMode="External"/><Relationship Id="rId1753" Type="http://schemas.openxmlformats.org/officeDocument/2006/relationships/hyperlink" Target="https://drive.google.com/file/d/1You_aSCymLe_LWYritz1sQE6MCA07iNU/view?usp=drivesdk" TargetMode="External"/><Relationship Id="rId1754" Type="http://schemas.openxmlformats.org/officeDocument/2006/relationships/hyperlink" Target="https://drive.google.com/file/d/1DWFsS8NuJG28dB1zFrEGeDQXRh65RPiB/view?usp=drivesdk" TargetMode="External"/><Relationship Id="rId1755" Type="http://schemas.openxmlformats.org/officeDocument/2006/relationships/hyperlink" Target="https://drive.google.com/file/d/1skVbmfQTVW3WLbxr5J8AJajmLQzU-jub/view?usp=drivesdk" TargetMode="External"/><Relationship Id="rId1756" Type="http://schemas.openxmlformats.org/officeDocument/2006/relationships/hyperlink" Target="https://drive.google.com/file/d/1GRwABoIUn2cz1zJ82pGxYvWhGDMGk1z9/view?usp=drivesdk" TargetMode="External"/><Relationship Id="rId1757" Type="http://schemas.openxmlformats.org/officeDocument/2006/relationships/hyperlink" Target="https://drive.google.com/file/d/1ZvXKqcNSkF-Rat-kFw2RkHaPQgva-Igv/view?usp=drivesdk" TargetMode="External"/><Relationship Id="rId1758" Type="http://schemas.openxmlformats.org/officeDocument/2006/relationships/hyperlink" Target="https://drive.google.com/file/d/19CfRkQ9g79YCR7V42PN7wo53KJK2EeuI/view?usp=drivesdk" TargetMode="External"/><Relationship Id="rId1759" Type="http://schemas.openxmlformats.org/officeDocument/2006/relationships/hyperlink" Target="https://drive.google.com/file/d/1YL-ac2OXEcztC19n5Mm8UhSvL4c5lwBG/view?usp=drivesdk" TargetMode="External"/><Relationship Id="rId1750" Type="http://schemas.openxmlformats.org/officeDocument/2006/relationships/hyperlink" Target="https://drive.google.com/file/d/1RNKPIzaezLXYcwi7RXlBuFf_k_T2Vep1/view?usp=drivesdk" TargetMode="External"/><Relationship Id="rId1751" Type="http://schemas.openxmlformats.org/officeDocument/2006/relationships/hyperlink" Target="https://drive.google.com/file/d/1apQ9VW9YQQP2knN0BfHL2yP3gHo8h-mM/view?usp=drivesdk" TargetMode="External"/><Relationship Id="rId1741" Type="http://schemas.openxmlformats.org/officeDocument/2006/relationships/hyperlink" Target="https://drive.google.com/file/d/16Ff1QBRPaQKqQ1RfcIgpJEnZ1TPPwgMG/view?usp=drivesdk" TargetMode="External"/><Relationship Id="rId1742" Type="http://schemas.openxmlformats.org/officeDocument/2006/relationships/hyperlink" Target="https://drive.google.com/file/d/1P98HKIpx2-yGJFwEPUEFKEUuFz1zpFw6/view?usp=drivesdk" TargetMode="External"/><Relationship Id="rId1743" Type="http://schemas.openxmlformats.org/officeDocument/2006/relationships/hyperlink" Target="https://drive.google.com/file/d/1kafVyHC6DDLkjRkCvrttYzYpqlvbTioq/view?usp=drivesdk" TargetMode="External"/><Relationship Id="rId1744" Type="http://schemas.openxmlformats.org/officeDocument/2006/relationships/hyperlink" Target="https://drive.google.com/file/d/1bsDh8DhsXG9VlfDXbanj8x7nqKxQM2LY/view?usp=drivesdk" TargetMode="External"/><Relationship Id="rId1745" Type="http://schemas.openxmlformats.org/officeDocument/2006/relationships/hyperlink" Target="https://drive.google.com/file/d/1AKe-dphaHaBH6faGmqQRYfC-hj9UgoBS/view?usp=drivesdk" TargetMode="External"/><Relationship Id="rId1746" Type="http://schemas.openxmlformats.org/officeDocument/2006/relationships/hyperlink" Target="https://drive.google.com/file/d/1WYj7pZsTfbMIoc-aZX5uiYaYXMj_M8JG/view?usp=drivesdk" TargetMode="External"/><Relationship Id="rId1747" Type="http://schemas.openxmlformats.org/officeDocument/2006/relationships/hyperlink" Target="https://drive.google.com/file/d/1A50a3MKd8OHA6QOWjQJfEGsH4jd1fI6U/view?usp=drivesdk" TargetMode="External"/><Relationship Id="rId1748" Type="http://schemas.openxmlformats.org/officeDocument/2006/relationships/hyperlink" Target="https://drive.google.com/file/d/1ktRtL-9zFlOkGyyooAl9iaR1rJDd0Jfi/view?usp=drivesdk" TargetMode="External"/><Relationship Id="rId1749" Type="http://schemas.openxmlformats.org/officeDocument/2006/relationships/hyperlink" Target="https://drive.google.com/file/d/1qxhWWiCJLmKxkleOs7mRhkagwuN4UGs3/view?usp=drivesdk" TargetMode="External"/><Relationship Id="rId1740" Type="http://schemas.openxmlformats.org/officeDocument/2006/relationships/hyperlink" Target="https://drive.google.com/file/d/1cIFP5J4vlYa87WFVhMmif-NI-Nz1MY8U/view?usp=drivesdk" TargetMode="External"/><Relationship Id="rId1710" Type="http://schemas.openxmlformats.org/officeDocument/2006/relationships/hyperlink" Target="https://drive.google.com/file/d/1JSwKDX3wUwzBkiR1OsCnum9IotIPbK97/view?usp=drivesdk" TargetMode="External"/><Relationship Id="rId1711" Type="http://schemas.openxmlformats.org/officeDocument/2006/relationships/hyperlink" Target="https://drive.google.com/file/d/1F1rUrt0H9LOwmuRehV5QSUaZMvAionNH/view?usp=drivesdk" TargetMode="External"/><Relationship Id="rId1712" Type="http://schemas.openxmlformats.org/officeDocument/2006/relationships/hyperlink" Target="https://drive.google.com/file/d/1fDygZL0jXP13klcOuoDgCY60avw__Yuu/view?usp=drivesdk" TargetMode="External"/><Relationship Id="rId1713" Type="http://schemas.openxmlformats.org/officeDocument/2006/relationships/hyperlink" Target="https://drive.google.com/file/d/1t4c7tICtT04eXx18j6u7K_-Vvmb0IU_6/view?usp=drivesdk" TargetMode="External"/><Relationship Id="rId1714" Type="http://schemas.openxmlformats.org/officeDocument/2006/relationships/hyperlink" Target="https://drive.google.com/file/d/1nqfXzwUxz2e1N7GMqrmGeanTW1YP8Llq/view?usp=drivesdk" TargetMode="External"/><Relationship Id="rId1715" Type="http://schemas.openxmlformats.org/officeDocument/2006/relationships/hyperlink" Target="https://drive.google.com/file/d/1oowD38OVr-FBHu8no979hvDo7SwRbmhj/view?usp=drivesdk" TargetMode="External"/><Relationship Id="rId1716" Type="http://schemas.openxmlformats.org/officeDocument/2006/relationships/hyperlink" Target="https://drive.google.com/file/d/1YPCqUVnFgzz2eJx887CZ-O8fLEYa0fn7/view?usp=drivesdk" TargetMode="External"/><Relationship Id="rId1717" Type="http://schemas.openxmlformats.org/officeDocument/2006/relationships/hyperlink" Target="https://drive.google.com/file/d/1YwpyAqA47dWbhq29O4_gZ5Baeq6oHU0A/view?usp=drivesdk" TargetMode="External"/><Relationship Id="rId1718" Type="http://schemas.openxmlformats.org/officeDocument/2006/relationships/hyperlink" Target="https://drive.google.com/file/d/1tbNets7nP4LbgNjrukHozmkF9HfJpYFK/view?usp=drivesdk" TargetMode="External"/><Relationship Id="rId1719" Type="http://schemas.openxmlformats.org/officeDocument/2006/relationships/hyperlink" Target="https://drive.google.com/file/d/1hVTvjaxSxZoTlZAHzNR246Ew9xziVKBj/view?usp=drivesdk" TargetMode="External"/><Relationship Id="rId1700" Type="http://schemas.openxmlformats.org/officeDocument/2006/relationships/hyperlink" Target="https://drive.google.com/file/d/1KmE4CB9E5X--bxRWYB27l_fWUYWTyAcI/view?usp=drivesdk" TargetMode="External"/><Relationship Id="rId1701" Type="http://schemas.openxmlformats.org/officeDocument/2006/relationships/hyperlink" Target="https://drive.google.com/file/d/1uGS6F680r5EbaqCRzMrgcI-ZodgC9N-T/view?usp=drivesdk" TargetMode="External"/><Relationship Id="rId1702" Type="http://schemas.openxmlformats.org/officeDocument/2006/relationships/hyperlink" Target="https://drive.google.com/file/d/1kO1ZwDiwVR5NAspYJ-R2Q_aOjZzDhk3i/view?usp=drivesdk" TargetMode="External"/><Relationship Id="rId1703" Type="http://schemas.openxmlformats.org/officeDocument/2006/relationships/hyperlink" Target="https://drive.google.com/file/d/1Tr_yqHSXRAoWUwDloP2BeUFk_vOeRhmJ/view?usp=drivesdk" TargetMode="External"/><Relationship Id="rId1704" Type="http://schemas.openxmlformats.org/officeDocument/2006/relationships/hyperlink" Target="https://drive.google.com/file/d/1HQNJZEvzhVg6-2gWWc8FdsspQXA5A4K1/view?usp=drivesdk" TargetMode="External"/><Relationship Id="rId1705" Type="http://schemas.openxmlformats.org/officeDocument/2006/relationships/hyperlink" Target="https://drive.google.com/file/d/1yjG91eslITedn29Hi-zDjCQlA_uKmV0N/view?usp=drivesdk" TargetMode="External"/><Relationship Id="rId1706" Type="http://schemas.openxmlformats.org/officeDocument/2006/relationships/hyperlink" Target="https://drive.google.com/file/d/14jrXYY594Ad2WZufs1YVZQmYx8Q-riHS/view?usp=drivesdk" TargetMode="External"/><Relationship Id="rId1707" Type="http://schemas.openxmlformats.org/officeDocument/2006/relationships/hyperlink" Target="https://drive.google.com/file/d/1TnKWuDwmA5hq_3osuty2rXQ6WZ7L_JdS/view?usp=drivesdk" TargetMode="External"/><Relationship Id="rId1708" Type="http://schemas.openxmlformats.org/officeDocument/2006/relationships/hyperlink" Target="https://drive.google.com/file/d/1yvvV71UVwgNFsevXPIBvpXAq5uW5fnCk/view?usp=drivesdk" TargetMode="External"/><Relationship Id="rId1709" Type="http://schemas.openxmlformats.org/officeDocument/2006/relationships/hyperlink" Target="https://drive.google.com/file/d/1djWYuzxFM22sf7u8thkIhluyESl7dWOa/view?usp=drivesdk" TargetMode="External"/><Relationship Id="rId1774" Type="http://schemas.openxmlformats.org/officeDocument/2006/relationships/hyperlink" Target="https://drive.google.com/file/d/12yYeXilARkexKI5gkM4QAGDCOa3RhiAi/view?usp=drivesdk" TargetMode="External"/><Relationship Id="rId1775" Type="http://schemas.openxmlformats.org/officeDocument/2006/relationships/hyperlink" Target="https://drive.google.com/file/d/1iAJLgUnfhsDATKJqhky4Y4ITPTxYBzrR/view?usp=drivesdk" TargetMode="External"/><Relationship Id="rId1776" Type="http://schemas.openxmlformats.org/officeDocument/2006/relationships/hyperlink" Target="https://drive.google.com/file/d/1OhfmfMIxwhZO2_RvYbimaI-iTK4lx3E5/view?usp=drivesdk" TargetMode="External"/><Relationship Id="rId1777" Type="http://schemas.openxmlformats.org/officeDocument/2006/relationships/hyperlink" Target="https://drive.google.com/file/d/1sV_TOq5FboS-L9_UjvuahVaMcPnCvhZ7/view?usp=drivesdk" TargetMode="External"/><Relationship Id="rId1778" Type="http://schemas.openxmlformats.org/officeDocument/2006/relationships/hyperlink" Target="https://drive.google.com/file/d/1lMJWBbOtOtUFjAfmKWFa4OfRFnH-3WU9/view?usp=drivesdk" TargetMode="External"/><Relationship Id="rId1779" Type="http://schemas.openxmlformats.org/officeDocument/2006/relationships/hyperlink" Target="https://drive.google.com/file/d/1FC6rCBE-frvaenNMQovneJQPcG5ekAVg/view?usp=drivesdk" TargetMode="External"/><Relationship Id="rId13009" Type="http://schemas.openxmlformats.org/officeDocument/2006/relationships/hyperlink" Target="https://drive.google.com/file/d/1KMABFr59IqyPDCadY5bwB2cFs49YPyQx/view?usp=drivesdk" TargetMode="External"/><Relationship Id="rId13008" Type="http://schemas.openxmlformats.org/officeDocument/2006/relationships/hyperlink" Target="https://drive.google.com/file/d/1RuxCBj88yKGEsBxBr29kznHMZoHU1iil/view?usp=drivesdk" TargetMode="External"/><Relationship Id="rId13007" Type="http://schemas.openxmlformats.org/officeDocument/2006/relationships/hyperlink" Target="https://drive.google.com/file/d/18-OLquMwpGVgVc0dgtariYzD2yxLl_r_/view?usp=drivesdk" TargetMode="External"/><Relationship Id="rId13002" Type="http://schemas.openxmlformats.org/officeDocument/2006/relationships/hyperlink" Target="https://drive.google.com/file/d/10BVsBJy8NtIjdoZMf2339OcOfpeeVf9T/view?usp=drivesdk" TargetMode="External"/><Relationship Id="rId13001" Type="http://schemas.openxmlformats.org/officeDocument/2006/relationships/hyperlink" Target="https://drive.google.com/file/d/1mw7rdkF0jfDuoze3OYVB5j5UJ3DW06_4/view?usp=drivesdk" TargetMode="External"/><Relationship Id="rId13000" Type="http://schemas.openxmlformats.org/officeDocument/2006/relationships/hyperlink" Target="https://drive.google.com/file/d/1RJeSF0QNcVPwSgt_Zq64kKnjKzPbzcoi/view?usp=drivesdk" TargetMode="External"/><Relationship Id="rId1770" Type="http://schemas.openxmlformats.org/officeDocument/2006/relationships/hyperlink" Target="https://drive.google.com/file/d/1dy2lGFbRLxqrr6ktLzKpQZZU4Zy3B5pZ/view?usp=drivesdk" TargetMode="External"/><Relationship Id="rId13006" Type="http://schemas.openxmlformats.org/officeDocument/2006/relationships/hyperlink" Target="https://drive.google.com/file/d/1Gq3XIe_mPw4PDSW5xLf7FH0SPPV-rZVQ/view?usp=drivesdk" TargetMode="External"/><Relationship Id="rId1771" Type="http://schemas.openxmlformats.org/officeDocument/2006/relationships/hyperlink" Target="https://drive.google.com/file/d/1QQWcnxug3qItKmaUKPp_a5L3DoV_wsDO/view?usp=drivesdk" TargetMode="External"/><Relationship Id="rId13005" Type="http://schemas.openxmlformats.org/officeDocument/2006/relationships/hyperlink" Target="https://drive.google.com/file/d/1KApX4h2X9JsTFXcNn558BC6KO9Y3u86h/view?usp=drivesdk" TargetMode="External"/><Relationship Id="rId1772" Type="http://schemas.openxmlformats.org/officeDocument/2006/relationships/hyperlink" Target="https://drive.google.com/file/d/11c1WbyQ6jYX51g2R3gvZVj2J9JXO5iAt/view?usp=drivesdk" TargetMode="External"/><Relationship Id="rId13004" Type="http://schemas.openxmlformats.org/officeDocument/2006/relationships/hyperlink" Target="https://drive.google.com/file/d/1wtzRZpFs6v08xPptfTHShz8pPI62zkvi/view?usp=drivesdk" TargetMode="External"/><Relationship Id="rId1773" Type="http://schemas.openxmlformats.org/officeDocument/2006/relationships/hyperlink" Target="https://drive.google.com/file/d/1PRcmqr5hDdujS2O3GKoJpL0vhlLP76Ox/view?usp=drivesdk" TargetMode="External"/><Relationship Id="rId13003" Type="http://schemas.openxmlformats.org/officeDocument/2006/relationships/hyperlink" Target="https://drive.google.com/file/d/1ELQrWc8GWoZt2fDc-efkQcwmIZIXgLY0/view?usp=drivesdk" TargetMode="External"/><Relationship Id="rId1763" Type="http://schemas.openxmlformats.org/officeDocument/2006/relationships/hyperlink" Target="https://drive.google.com/file/d/1TnhYMlF3VrgFLFznrblPMWpsb6uTeMY3/view?usp=drivesdk" TargetMode="External"/><Relationship Id="rId1764" Type="http://schemas.openxmlformats.org/officeDocument/2006/relationships/hyperlink" Target="https://drive.google.com/file/d/1nFo98cT3zSOBx3OV1iQNQKaPMJOHhofm/view?usp=drivesdk" TargetMode="External"/><Relationship Id="rId1765" Type="http://schemas.openxmlformats.org/officeDocument/2006/relationships/hyperlink" Target="https://drive.google.com/file/d/1xpV7-Y34klvoIRHum8vrla8vUDpEw2HW/view?usp=drivesdk" TargetMode="External"/><Relationship Id="rId1766" Type="http://schemas.openxmlformats.org/officeDocument/2006/relationships/hyperlink" Target="https://drive.google.com/file/d/1U8FH59X8bct0lOfh_vAmRve64TmXleqf/view?usp=drivesdk" TargetMode="External"/><Relationship Id="rId1767" Type="http://schemas.openxmlformats.org/officeDocument/2006/relationships/hyperlink" Target="https://drive.google.com/file/d/1MaFMyNa_Zc4nxFlCLSvRroKLYwmNl-KK/view?usp=drivesdk" TargetMode="External"/><Relationship Id="rId13020" Type="http://schemas.openxmlformats.org/officeDocument/2006/relationships/hyperlink" Target="https://drive.google.com/file/d/1akthBqN5TgktVrVkdsUi-1ChczNtooev/view?usp=drivesdk" TargetMode="External"/><Relationship Id="rId1768" Type="http://schemas.openxmlformats.org/officeDocument/2006/relationships/hyperlink" Target="https://drive.google.com/file/d/1kbdSlDQQykp2PKTDDHWdXBg3LcVnCkIx/view?usp=drivesdk" TargetMode="External"/><Relationship Id="rId1769" Type="http://schemas.openxmlformats.org/officeDocument/2006/relationships/hyperlink" Target="https://drive.google.com/file/d/1_Bb65MjlkkSOXiN1pDnqQS2f8kwFoDl8/view?usp=drivesdk" TargetMode="External"/><Relationship Id="rId13019" Type="http://schemas.openxmlformats.org/officeDocument/2006/relationships/hyperlink" Target="https://drive.google.com/file/d/1hzvrGeYCBxcu0C_bUFUcVIR6ylgjVDP4/view?usp=drivesdk" TargetMode="External"/><Relationship Id="rId13018" Type="http://schemas.openxmlformats.org/officeDocument/2006/relationships/hyperlink" Target="https://drive.google.com/file/d/18dcPdH_j43diuDNwsIKiLpTeoXc_aJu9/view?usp=drivesdk" TargetMode="External"/><Relationship Id="rId13013" Type="http://schemas.openxmlformats.org/officeDocument/2006/relationships/hyperlink" Target="https://drive.google.com/file/d/1Hh9IbcSj1bOcE0UQ1UUt3AvHPZoGxbUb/view?usp=drivesdk" TargetMode="External"/><Relationship Id="rId13012" Type="http://schemas.openxmlformats.org/officeDocument/2006/relationships/hyperlink" Target="https://drive.google.com/file/d/1RKM3-ptOPglQWa8KcqaVJvVBqTIJkd-D/view?usp=drivesdk" TargetMode="External"/><Relationship Id="rId13011" Type="http://schemas.openxmlformats.org/officeDocument/2006/relationships/hyperlink" Target="https://drive.google.com/file/d/1gcwgq608wkwSy3RvIHTGfwhauCRTeheg/view?usp=drivesdk" TargetMode="External"/><Relationship Id="rId13010" Type="http://schemas.openxmlformats.org/officeDocument/2006/relationships/hyperlink" Target="https://drive.google.com/file/d/1sXQD4oc1KpqVpwyD_kbZRT_bh_1rl9BT/view?usp=drivesdk" TargetMode="External"/><Relationship Id="rId13017" Type="http://schemas.openxmlformats.org/officeDocument/2006/relationships/hyperlink" Target="https://drive.google.com/file/d/14PER_BA_lGvdwnqcZjLTUis_UbSV-tkG/view?usp=drivesdk" TargetMode="External"/><Relationship Id="rId1760" Type="http://schemas.openxmlformats.org/officeDocument/2006/relationships/hyperlink" Target="https://drive.google.com/file/d/1n0Q0ZCQbF-vVm2BzrZFA2UZDtBVSXowS/view?usp=drivesdk" TargetMode="External"/><Relationship Id="rId13016" Type="http://schemas.openxmlformats.org/officeDocument/2006/relationships/hyperlink" Target="https://drive.google.com/file/d/1qeNA8mPBz8GrGFfvwrzIFg1r6g3OLgGV/view?usp=drivesdk" TargetMode="External"/><Relationship Id="rId1761" Type="http://schemas.openxmlformats.org/officeDocument/2006/relationships/hyperlink" Target="https://drive.google.com/file/d/1xV5ya-B1MlcTIBXIRGA2e_vnvnu0sSMu/view?usp=drivesdk" TargetMode="External"/><Relationship Id="rId13015" Type="http://schemas.openxmlformats.org/officeDocument/2006/relationships/hyperlink" Target="https://drive.google.com/file/d/1wqP8FarDZ-lhaSWeDH3CICqwBe5x9859/view?usp=drivesdk" TargetMode="External"/><Relationship Id="rId1762" Type="http://schemas.openxmlformats.org/officeDocument/2006/relationships/hyperlink" Target="https://drive.google.com/file/d/1BV8gEPy5uXfUi_BtThWXQdWNESq_E8jk/view?usp=drivesdk" TargetMode="External"/><Relationship Id="rId13014" Type="http://schemas.openxmlformats.org/officeDocument/2006/relationships/hyperlink" Target="https://drive.google.com/file/d/1n-HFGFbkOFQyZmhK_nA6zVLxyxfVslQR/view?usp=drivesdk" TargetMode="External"/><Relationship Id="rId1796" Type="http://schemas.openxmlformats.org/officeDocument/2006/relationships/hyperlink" Target="https://drive.google.com/file/d/1P_l_LHgvj6UgFNXiRhnLFoLXX2Ejq9Uv/view?usp=drivesdk" TargetMode="External"/><Relationship Id="rId1797" Type="http://schemas.openxmlformats.org/officeDocument/2006/relationships/hyperlink" Target="https://drive.google.com/file/d/1vhrWktU8TLR9Nw9ETXQA8xMOjK5_tn7F/view?usp=drivesdk" TargetMode="External"/><Relationship Id="rId1798" Type="http://schemas.openxmlformats.org/officeDocument/2006/relationships/hyperlink" Target="https://drive.google.com/file/d/118bBd0H-kSPPm-Z90w9bdZMlS_Fy04LR/view?usp=drivesdk" TargetMode="External"/><Relationship Id="rId1799" Type="http://schemas.openxmlformats.org/officeDocument/2006/relationships/hyperlink" Target="https://drive.google.com/file/d/1YX_31m-xc5VFKMAyNtqb0VP14Xm5fwFv/view?usp=drivesdk" TargetMode="External"/><Relationship Id="rId1790" Type="http://schemas.openxmlformats.org/officeDocument/2006/relationships/hyperlink" Target="https://drive.google.com/file/d/1troeoCcC0yG4TTyn86t9Ag3GPVXK7hp4/view?usp=drivesdk" TargetMode="External"/><Relationship Id="rId1791" Type="http://schemas.openxmlformats.org/officeDocument/2006/relationships/hyperlink" Target="https://drive.google.com/file/d/1bS4bkQSRVnbiy1sSB4FGbgve1x1slNud/view?usp=drivesdk" TargetMode="External"/><Relationship Id="rId1792" Type="http://schemas.openxmlformats.org/officeDocument/2006/relationships/hyperlink" Target="https://drive.google.com/file/d/1yGJSdf5d1P4K8AD1YHnR4xydsbD-acyD/view?usp=drivesdk" TargetMode="External"/><Relationship Id="rId1793" Type="http://schemas.openxmlformats.org/officeDocument/2006/relationships/hyperlink" Target="https://drive.google.com/file/d/1_USUZ8aIa8XtzvXOArHbF80LdUtyuu0k/view?usp=drivesdk" TargetMode="External"/><Relationship Id="rId1794" Type="http://schemas.openxmlformats.org/officeDocument/2006/relationships/hyperlink" Target="https://drive.google.com/file/d/1J2mvCLUxsxmzNJz2zI2Qf-dzJZTEoZr8/view?usp=drivesdk" TargetMode="External"/><Relationship Id="rId1795" Type="http://schemas.openxmlformats.org/officeDocument/2006/relationships/hyperlink" Target="https://drive.google.com/file/d/19JvTkz1yfpIN4NlrJCNxPxgM7uujAseh/view?usp=drivesdk" TargetMode="External"/><Relationship Id="rId1785" Type="http://schemas.openxmlformats.org/officeDocument/2006/relationships/hyperlink" Target="https://drive.google.com/file/d/1h1oBGSYdYNc1rjjtLS-CPoa_azYLTUwM/view?usp=drivesdk" TargetMode="External"/><Relationship Id="rId1786" Type="http://schemas.openxmlformats.org/officeDocument/2006/relationships/hyperlink" Target="https://drive.google.com/file/d/1Ua1gt99PXK_aGCoEKUjmnxMXIhdxuH0U/view?usp=drivesdk" TargetMode="External"/><Relationship Id="rId1787" Type="http://schemas.openxmlformats.org/officeDocument/2006/relationships/hyperlink" Target="https://drive.google.com/file/d/1yXwjbfmpbVx78RJJi4V9ypi-jaKirBrh/view?usp=drivesdk" TargetMode="External"/><Relationship Id="rId1788" Type="http://schemas.openxmlformats.org/officeDocument/2006/relationships/hyperlink" Target="https://drive.google.com/file/d/12ZSTxw_nUVFGyHXZZ2ba0huc_PGWm3gt/view?usp=drivesdk" TargetMode="External"/><Relationship Id="rId1789" Type="http://schemas.openxmlformats.org/officeDocument/2006/relationships/hyperlink" Target="https://drive.google.com/file/d/1eDTRWHfXVeWfBYKFvQ6ScHxXipo_0efZ/view?usp=drivesdk" TargetMode="External"/><Relationship Id="rId1780" Type="http://schemas.openxmlformats.org/officeDocument/2006/relationships/hyperlink" Target="https://drive.google.com/file/d/1aAQECJ2TB7t5pxSruxEMvsAEfIBBGzfh/view?usp=drivesdk" TargetMode="External"/><Relationship Id="rId1781" Type="http://schemas.openxmlformats.org/officeDocument/2006/relationships/hyperlink" Target="https://drive.google.com/file/d/1RfrH1qM0kBVaDaDw0VBctKjgBWZwEPxW/view?usp=drivesdk" TargetMode="External"/><Relationship Id="rId1782" Type="http://schemas.openxmlformats.org/officeDocument/2006/relationships/hyperlink" Target="https://drive.google.com/file/d/1vbZATjIy6Pzkrc6UuEyK-DMA2RsWOVLf/view?usp=drivesdk" TargetMode="External"/><Relationship Id="rId1783" Type="http://schemas.openxmlformats.org/officeDocument/2006/relationships/hyperlink" Target="https://drive.google.com/file/d/1rSJwntwj3NoZZQ6jFVWr9WO7DPDt1BkC/view?usp=drivesdk" TargetMode="External"/><Relationship Id="rId1784" Type="http://schemas.openxmlformats.org/officeDocument/2006/relationships/hyperlink" Target="https://drive.google.com/file/d/1MIfG-fG4GYrE4HrSvBxB0TrCgCnMbrfy/view?usp=drivesdk" TargetMode="External"/><Relationship Id="rId1851" Type="http://schemas.openxmlformats.org/officeDocument/2006/relationships/hyperlink" Target="https://drive.google.com/file/d/1nVgkBDALftJC-iF92da_wsiRBVaQhnhr/view?usp=drivesdk" TargetMode="External"/><Relationship Id="rId1852" Type="http://schemas.openxmlformats.org/officeDocument/2006/relationships/hyperlink" Target="https://drive.google.com/file/d/1xSbX2fQg0Ri6TBuTPUXx71X_C_H3Ko-q/view?usp=drivesdk" TargetMode="External"/><Relationship Id="rId1853" Type="http://schemas.openxmlformats.org/officeDocument/2006/relationships/hyperlink" Target="https://drive.google.com/file/d/1lxaaYTIhyr0maS9Mb4aX5_WBjt9xr9vK/view?usp=drivesdk" TargetMode="External"/><Relationship Id="rId1854" Type="http://schemas.openxmlformats.org/officeDocument/2006/relationships/hyperlink" Target="https://drive.google.com/file/d/1ltFZnaPWOSIk9w0fgFGIdLD4oj--4GZv/view?usp=drivesdk" TargetMode="External"/><Relationship Id="rId1855" Type="http://schemas.openxmlformats.org/officeDocument/2006/relationships/hyperlink" Target="https://drive.google.com/file/d/1a8AbG68EX6VXJfAsJawUlpEhSKzASS31/view?usp=drivesdk" TargetMode="External"/><Relationship Id="rId1856" Type="http://schemas.openxmlformats.org/officeDocument/2006/relationships/hyperlink" Target="https://drive.google.com/file/d/1Dpu95BXVzq6T9L2dTfLl9zq4GI4B0QXl/view?usp=drivesdk" TargetMode="External"/><Relationship Id="rId1857" Type="http://schemas.openxmlformats.org/officeDocument/2006/relationships/hyperlink" Target="https://drive.google.com/file/d/1vxR1p9nENaOjQry3o0dkW3grBQkmdSce/view?usp=drivesdk" TargetMode="External"/><Relationship Id="rId1858" Type="http://schemas.openxmlformats.org/officeDocument/2006/relationships/hyperlink" Target="https://drive.google.com/file/d/1IxuLdlN4jtTdhQKG0JxLjPagzcpStwIH/view?usp=drivesdk" TargetMode="External"/><Relationship Id="rId1859" Type="http://schemas.openxmlformats.org/officeDocument/2006/relationships/hyperlink" Target="https://drive.google.com/file/d/1PO8RVC_2QkjMabpVf_cfZNelP2PZU8BN/view?usp=drivesdk" TargetMode="External"/><Relationship Id="rId1850" Type="http://schemas.openxmlformats.org/officeDocument/2006/relationships/hyperlink" Target="https://drive.google.com/file/d/1lpLWzD9zuk-jBOHyTY5zpl6ow-4AstNV/view?usp=drivesdk" TargetMode="External"/><Relationship Id="rId1840" Type="http://schemas.openxmlformats.org/officeDocument/2006/relationships/hyperlink" Target="https://drive.google.com/file/d/1RRf6wwoK7WBC3eNQCerDURgVYGF77Yqg/view?usp=drivesdk" TargetMode="External"/><Relationship Id="rId1841" Type="http://schemas.openxmlformats.org/officeDocument/2006/relationships/hyperlink" Target="https://drive.google.com/file/d/1FjyPMSbFCv3forc3Pr7c5fiZFJkvr5dW/view?usp=drivesdk" TargetMode="External"/><Relationship Id="rId1842" Type="http://schemas.openxmlformats.org/officeDocument/2006/relationships/hyperlink" Target="https://drive.google.com/file/d/19dU2HPZ-Yp6aJuECqt6Uqk4Z4QNtEIK-/view?usp=drivesdk" TargetMode="External"/><Relationship Id="rId1843" Type="http://schemas.openxmlformats.org/officeDocument/2006/relationships/hyperlink" Target="https://drive.google.com/file/d/1C0GxHNAtrX194_bqRDmgUEGBs085OIGm/view?usp=drivesdk" TargetMode="External"/><Relationship Id="rId1844" Type="http://schemas.openxmlformats.org/officeDocument/2006/relationships/hyperlink" Target="https://drive.google.com/file/d/1n95zwil3VhL00VQbDJICJtGz84TadRQo/view?usp=drivesdk" TargetMode="External"/><Relationship Id="rId1845" Type="http://schemas.openxmlformats.org/officeDocument/2006/relationships/hyperlink" Target="https://drive.google.com/file/d/1y0m13DXq74lFzoM4TSzB-k9CNej5YeGu/view?usp=drivesdk" TargetMode="External"/><Relationship Id="rId1846" Type="http://schemas.openxmlformats.org/officeDocument/2006/relationships/hyperlink" Target="https://drive.google.com/file/d/1ZvacoJe1wBmZ30_UZfoeJ6xdFq3ghR2v/view?usp=drivesdk" TargetMode="External"/><Relationship Id="rId1847" Type="http://schemas.openxmlformats.org/officeDocument/2006/relationships/hyperlink" Target="https://drive.google.com/file/d/1IPUoHLwOvewYCWDY1-INK1CIpshUHKOY/view?usp=drivesdk" TargetMode="External"/><Relationship Id="rId1848" Type="http://schemas.openxmlformats.org/officeDocument/2006/relationships/hyperlink" Target="https://drive.google.com/file/d/1gzLTLd7RM12cK0yvTjrplxVTT4yCT5bM/view?usp=drivesdk" TargetMode="External"/><Relationship Id="rId1849" Type="http://schemas.openxmlformats.org/officeDocument/2006/relationships/hyperlink" Target="https://drive.google.com/file/d/1pFABZzCnWuSC0FxglDvDW_9wnTsc-Hoz/view?usp=drivesdk" TargetMode="External"/><Relationship Id="rId1873" Type="http://schemas.openxmlformats.org/officeDocument/2006/relationships/hyperlink" Target="https://drive.google.com/file/d/1t6-ga70QElljxO7uhz0J-uiboRozfeWH/view?usp=drivesdk" TargetMode="External"/><Relationship Id="rId1874" Type="http://schemas.openxmlformats.org/officeDocument/2006/relationships/hyperlink" Target="https://drive.google.com/file/d/1Lz3GzFz4OZup7MGDhyzMaWSvC-wlZrPT/view?usp=drivesdk" TargetMode="External"/><Relationship Id="rId1875" Type="http://schemas.openxmlformats.org/officeDocument/2006/relationships/hyperlink" Target="https://drive.google.com/file/d/1MwpR0MlfO048QKrWo2Qqxg3qacUI7cmh/view?usp=drivesdk" TargetMode="External"/><Relationship Id="rId1876" Type="http://schemas.openxmlformats.org/officeDocument/2006/relationships/hyperlink" Target="https://drive.google.com/file/d/1F8JcX0FW5qWW7xvq-67uq3g6mZ3EXstK/view?usp=drivesdk" TargetMode="External"/><Relationship Id="rId1877" Type="http://schemas.openxmlformats.org/officeDocument/2006/relationships/hyperlink" Target="https://drive.google.com/file/d/1ylAjTuzMQx9abqxk8Nwezz7JalFcfTN2/view?usp=drivesdk" TargetMode="External"/><Relationship Id="rId1878" Type="http://schemas.openxmlformats.org/officeDocument/2006/relationships/hyperlink" Target="https://drive.google.com/file/d/1xh3UK8q_yYBQZfEt6yvGPiVgK2yEh7eV/view?usp=drivesdk" TargetMode="External"/><Relationship Id="rId1879" Type="http://schemas.openxmlformats.org/officeDocument/2006/relationships/hyperlink" Target="https://drive.google.com/file/d/1aPNSpXduxKHC2Mj686MEbJlNPvtmAuXe/view?usp=drivesdk" TargetMode="External"/><Relationship Id="rId1870" Type="http://schemas.openxmlformats.org/officeDocument/2006/relationships/hyperlink" Target="https://drive.google.com/file/d/1dVKLoIcP4eXnwZyHFLPeQ1kmo7u3GRid/view?usp=drivesdk" TargetMode="External"/><Relationship Id="rId1871" Type="http://schemas.openxmlformats.org/officeDocument/2006/relationships/hyperlink" Target="https://drive.google.com/file/d/1ns0lQZLj-wTitipkj3hAQ4me3a_1swCC/view?usp=drivesdk" TargetMode="External"/><Relationship Id="rId1872" Type="http://schemas.openxmlformats.org/officeDocument/2006/relationships/hyperlink" Target="https://drive.google.com/file/d/1I8PJUUs8lWcM0Yw9N0qpuyfeWgbbDMlT/view?usp=drivesdk" TargetMode="External"/><Relationship Id="rId1862" Type="http://schemas.openxmlformats.org/officeDocument/2006/relationships/hyperlink" Target="https://drive.google.com/file/d/1Ck1myzVerHb5xsfY65XUnpf_D5QF4I25/view?usp=drivesdk" TargetMode="External"/><Relationship Id="rId1863" Type="http://schemas.openxmlformats.org/officeDocument/2006/relationships/hyperlink" Target="https://drive.google.com/file/d/1OhFAasOEyC5Dx_RJifaxp8JQu0-CrJMY/view?usp=drivesdk" TargetMode="External"/><Relationship Id="rId1864" Type="http://schemas.openxmlformats.org/officeDocument/2006/relationships/hyperlink" Target="https://drive.google.com/file/d/14ilaExEWYQgMa2wnw2MzEIEgaiSWYxP-/view?usp=drivesdk" TargetMode="External"/><Relationship Id="rId1865" Type="http://schemas.openxmlformats.org/officeDocument/2006/relationships/hyperlink" Target="https://drive.google.com/file/d/1By7qaqrZf5mEKE1Ylsi1Z-6-48_aw6OI/view?usp=drivesdk" TargetMode="External"/><Relationship Id="rId1866" Type="http://schemas.openxmlformats.org/officeDocument/2006/relationships/hyperlink" Target="https://drive.google.com/file/d/1WqOo_GqLNvgaFVyjFGkXGEnSvNSQaPVb/view?usp=drivesdk" TargetMode="External"/><Relationship Id="rId1867" Type="http://schemas.openxmlformats.org/officeDocument/2006/relationships/hyperlink" Target="https://drive.google.com/file/d/1Qf1ZMMq8Ge8whGFB4hmhjQS3RYgZKqh4/view?usp=drivesdk" TargetMode="External"/><Relationship Id="rId1868" Type="http://schemas.openxmlformats.org/officeDocument/2006/relationships/hyperlink" Target="https://drive.google.com/file/d/10dcd193nAKQ0BhQU5qHiCAPbKa7rXvCR/view?usp=drivesdk" TargetMode="External"/><Relationship Id="rId1869" Type="http://schemas.openxmlformats.org/officeDocument/2006/relationships/hyperlink" Target="https://drive.google.com/file/d/19MBeen8ImbdQuK0K85wyas0ucot00bKt/view?usp=drivesdk" TargetMode="External"/><Relationship Id="rId1860" Type="http://schemas.openxmlformats.org/officeDocument/2006/relationships/hyperlink" Target="https://drive.google.com/file/d/16VFXFvOib_A5raPNEeBMqodgXa6feaa4/view?usp=drivesdk" TargetMode="External"/><Relationship Id="rId1861" Type="http://schemas.openxmlformats.org/officeDocument/2006/relationships/hyperlink" Target="https://drive.google.com/file/d/1q89gBspopEpalR2xGgy-on11VP_RWgQ6/view?usp=drivesdk" TargetMode="External"/><Relationship Id="rId1810" Type="http://schemas.openxmlformats.org/officeDocument/2006/relationships/hyperlink" Target="https://drive.google.com/file/d/18FW6IVRzoFixS_SpstxiNrRlKsFzdz2f/view?usp=drivesdk" TargetMode="External"/><Relationship Id="rId1811" Type="http://schemas.openxmlformats.org/officeDocument/2006/relationships/hyperlink" Target="https://drive.google.com/file/d/1V0SFpvTE0PTbtzHPNfI-ekGjdSYsleuN/view?usp=drivesdk" TargetMode="External"/><Relationship Id="rId1812" Type="http://schemas.openxmlformats.org/officeDocument/2006/relationships/hyperlink" Target="https://drive.google.com/file/d/1hUg-nAibwoZKwm2dGhvpxs6ypBH6rlol/view?usp=drivesdk" TargetMode="External"/><Relationship Id="rId1813" Type="http://schemas.openxmlformats.org/officeDocument/2006/relationships/hyperlink" Target="https://drive.google.com/file/d/1aSbgB2fS31USpdXWtYs8K53jPy9pWmfQ/view?usp=drivesdk" TargetMode="External"/><Relationship Id="rId1814" Type="http://schemas.openxmlformats.org/officeDocument/2006/relationships/hyperlink" Target="https://drive.google.com/file/d/156Kqy-nyVO4kF8HKuCsDVeHDRIqd9fv1/view?usp=drivesdk" TargetMode="External"/><Relationship Id="rId1815" Type="http://schemas.openxmlformats.org/officeDocument/2006/relationships/hyperlink" Target="https://drive.google.com/file/d/1KdsLqm7PzYOkQo3uuvIyoNpVoaNMcIjA/view?usp=drivesdk" TargetMode="External"/><Relationship Id="rId1816" Type="http://schemas.openxmlformats.org/officeDocument/2006/relationships/hyperlink" Target="https://drive.google.com/file/d/14-kt1qshb4uWvMjNx-_RBjjwtOIsMtEm/view?usp=drivesdk" TargetMode="External"/><Relationship Id="rId1817" Type="http://schemas.openxmlformats.org/officeDocument/2006/relationships/hyperlink" Target="https://drive.google.com/file/d/1KAg8W1zwe6CW1lvDrVp5NXnZYSiH3-Cw/view?usp=drivesdk" TargetMode="External"/><Relationship Id="rId1818" Type="http://schemas.openxmlformats.org/officeDocument/2006/relationships/hyperlink" Target="https://drive.google.com/file/d/1TiGUAzDssvMypfZwYB7AN4mdWhkahIzf/view?usp=drivesdk" TargetMode="External"/><Relationship Id="rId1819" Type="http://schemas.openxmlformats.org/officeDocument/2006/relationships/hyperlink" Target="https://drive.google.com/file/d/1FuBQuk_jnIfWoKhJ_zlK0t5Z2WXxsiwV/view?usp=drivesdk" TargetMode="External"/><Relationship Id="rId1800" Type="http://schemas.openxmlformats.org/officeDocument/2006/relationships/hyperlink" Target="https://drive.google.com/file/d/1HwU-7jX4_KWJtaiMwx5RSKenVu-27RlM/view?usp=drivesdk" TargetMode="External"/><Relationship Id="rId1801" Type="http://schemas.openxmlformats.org/officeDocument/2006/relationships/hyperlink" Target="https://drive.google.com/file/d/1pOkX8IOiaEkjGwy023MwBtiFDTUByp6O/view?usp=drivesdk" TargetMode="External"/><Relationship Id="rId1802" Type="http://schemas.openxmlformats.org/officeDocument/2006/relationships/hyperlink" Target="https://drive.google.com/file/d/1lLjx_Rrm3ZTOJE4XndRvlK03Y5JuWx28/view?usp=drivesdk" TargetMode="External"/><Relationship Id="rId1803" Type="http://schemas.openxmlformats.org/officeDocument/2006/relationships/hyperlink" Target="https://drive.google.com/file/d/1asn31dlIK4d5-cHoPhmmqJqc4qdTckx1/view?usp=drivesdk" TargetMode="External"/><Relationship Id="rId1804" Type="http://schemas.openxmlformats.org/officeDocument/2006/relationships/hyperlink" Target="https://drive.google.com/file/d/1_zCFO8Zcjen6-nsCZE2ZFqzc0i7Pr8U6/view?usp=drivesdk" TargetMode="External"/><Relationship Id="rId1805" Type="http://schemas.openxmlformats.org/officeDocument/2006/relationships/hyperlink" Target="https://drive.google.com/file/d/1i4G4KoC1WkK9bUXnzqCrON11Cc0_WvPs/view?usp=drivesdk" TargetMode="External"/><Relationship Id="rId1806" Type="http://schemas.openxmlformats.org/officeDocument/2006/relationships/hyperlink" Target="https://drive.google.com/file/d/1skamrKTHfenC6KEndfaYynG2UzTioqtu/view?usp=drivesdk" TargetMode="External"/><Relationship Id="rId1807" Type="http://schemas.openxmlformats.org/officeDocument/2006/relationships/hyperlink" Target="https://drive.google.com/file/d/1nuV4JbVmEiYCcOo2YtnZ8gJR-yezd8Sk/view?usp=drivesdk" TargetMode="External"/><Relationship Id="rId1808" Type="http://schemas.openxmlformats.org/officeDocument/2006/relationships/hyperlink" Target="https://drive.google.com/file/d/14IMcw-NnjpqaYQIYMTZrqeOSImrryejb/view?usp=drivesdk" TargetMode="External"/><Relationship Id="rId1809" Type="http://schemas.openxmlformats.org/officeDocument/2006/relationships/hyperlink" Target="https://drive.google.com/file/d/1GsCLXoddUeAXjnONZB4t7YClMfKFihGM/view?usp=drivesdk" TargetMode="External"/><Relationship Id="rId1830" Type="http://schemas.openxmlformats.org/officeDocument/2006/relationships/hyperlink" Target="https://drive.google.com/file/d/1VAcATXUUVA-K6-tLYjDkRTPoBbg3RnQI/view?usp=drivesdk" TargetMode="External"/><Relationship Id="rId1831" Type="http://schemas.openxmlformats.org/officeDocument/2006/relationships/hyperlink" Target="https://drive.google.com/file/d/1ofwVvMPD745Ub5MX7yixKDoYfEku-m6v/view?usp=drivesdk" TargetMode="External"/><Relationship Id="rId1832" Type="http://schemas.openxmlformats.org/officeDocument/2006/relationships/hyperlink" Target="https://drive.google.com/file/d/1khBqEyxEqj5Qyzc7lAbJlqq8nQNas6go/view?usp=drivesdk" TargetMode="External"/><Relationship Id="rId1833" Type="http://schemas.openxmlformats.org/officeDocument/2006/relationships/hyperlink" Target="https://drive.google.com/file/d/1XnMaAzddaiSGEN73wfKp99pojgIJr6tg/view?usp=drivesdk" TargetMode="External"/><Relationship Id="rId1834" Type="http://schemas.openxmlformats.org/officeDocument/2006/relationships/hyperlink" Target="https://drive.google.com/file/d/1Zq73ns0GgRcXZAVgxJSjfF-KIvoDqmC5/view?usp=drivesdk" TargetMode="External"/><Relationship Id="rId1835" Type="http://schemas.openxmlformats.org/officeDocument/2006/relationships/hyperlink" Target="https://drive.google.com/file/d/15KcuvpsAdMnqSodMcZL5JQEeSacN8DHe/view?usp=drivesdk" TargetMode="External"/><Relationship Id="rId1836" Type="http://schemas.openxmlformats.org/officeDocument/2006/relationships/hyperlink" Target="https://drive.google.com/file/d/1Q997_akqYO2mt3NFPajXOPOU_S60XLwl/view?usp=drivesdk" TargetMode="External"/><Relationship Id="rId1837" Type="http://schemas.openxmlformats.org/officeDocument/2006/relationships/hyperlink" Target="https://drive.google.com/file/d/1jE7MEqH0tvZmbbxxctlVfYVv8_JCw_v6/view?usp=drivesdk" TargetMode="External"/><Relationship Id="rId1838" Type="http://schemas.openxmlformats.org/officeDocument/2006/relationships/hyperlink" Target="https://drive.google.com/file/d/1r4VpRnjcnojbElqr5xq7xq3mhUuxHRGt/view?usp=drivesdk" TargetMode="External"/><Relationship Id="rId1839" Type="http://schemas.openxmlformats.org/officeDocument/2006/relationships/hyperlink" Target="https://drive.google.com/file/d/1AnGC_bjS1RUwFLM4-d7ouD4JvSnCnoqR/view?usp=drivesdk" TargetMode="External"/><Relationship Id="rId1820" Type="http://schemas.openxmlformats.org/officeDocument/2006/relationships/hyperlink" Target="https://drive.google.com/file/d/1e2jvKXbag1dETDHvj6KhJU0dp_AukS-Y/view?usp=drivesdk" TargetMode="External"/><Relationship Id="rId1821" Type="http://schemas.openxmlformats.org/officeDocument/2006/relationships/hyperlink" Target="https://drive.google.com/file/d/1f4_esS8HxSOiPJohWMHecNNc8VMmf_Yy/view?usp=drivesdk" TargetMode="External"/><Relationship Id="rId1822" Type="http://schemas.openxmlformats.org/officeDocument/2006/relationships/hyperlink" Target="https://drive.google.com/file/d/1n_8N9A1g7EIWqMQnVm_V5ZX9ywzjsLWi/view?usp=drivesdk" TargetMode="External"/><Relationship Id="rId1823" Type="http://schemas.openxmlformats.org/officeDocument/2006/relationships/hyperlink" Target="https://drive.google.com/file/d/1ktqWD_xluvwqEQMzJ_Q5VEvF2cMnB4tr/view?usp=drivesdk" TargetMode="External"/><Relationship Id="rId1824" Type="http://schemas.openxmlformats.org/officeDocument/2006/relationships/hyperlink" Target="https://drive.google.com/file/d/1JNLkzTeTUIjr07a0ZRajq5pxDdXaa3gD/view?usp=drivesdk" TargetMode="External"/><Relationship Id="rId1825" Type="http://schemas.openxmlformats.org/officeDocument/2006/relationships/hyperlink" Target="https://drive.google.com/file/d/1MpUdD-OAresJ2v6bFAPaLKso60yqgH7Q/view?usp=drivesdk" TargetMode="External"/><Relationship Id="rId1826" Type="http://schemas.openxmlformats.org/officeDocument/2006/relationships/hyperlink" Target="https://drive.google.com/file/d/1Fmd2STo0Jlp0BXvnytCPM2a4laUVfrub/view?usp=drivesdk" TargetMode="External"/><Relationship Id="rId1827" Type="http://schemas.openxmlformats.org/officeDocument/2006/relationships/hyperlink" Target="https://drive.google.com/file/d/1roSDrp28tN3LY3s-ctSgQWKUJG_CbJNq/view?usp=drivesdk" TargetMode="External"/><Relationship Id="rId1828" Type="http://schemas.openxmlformats.org/officeDocument/2006/relationships/hyperlink" Target="https://drive.google.com/file/d/1VUEkVJnC5JKENRpvwjXeqnwUf7l8rggl/view?usp=drivesdk" TargetMode="External"/><Relationship Id="rId1829" Type="http://schemas.openxmlformats.org/officeDocument/2006/relationships/hyperlink" Target="https://drive.google.com/file/d/1SsyFP0P3RVz0Y-WbWSB0Tg2R-ReLUyPB/view?usp=drivesdk" TargetMode="External"/><Relationship Id="rId1895" Type="http://schemas.openxmlformats.org/officeDocument/2006/relationships/hyperlink" Target="https://drive.google.com/file/d/1Mw-tsX10oAkD7rApQWk6k55uYpqNY1tL/view?usp=drivesdk" TargetMode="External"/><Relationship Id="rId1896" Type="http://schemas.openxmlformats.org/officeDocument/2006/relationships/hyperlink" Target="https://drive.google.com/file/d/18UVlSm8wHBIz9bbtVTyuUARqCgRlYg-Q/view?usp=drivesdk" TargetMode="External"/><Relationship Id="rId1897" Type="http://schemas.openxmlformats.org/officeDocument/2006/relationships/hyperlink" Target="https://drive.google.com/file/d/1DlmySM8EVEljf942KLxipZOsrRT30Kgv/view?usp=drivesdk" TargetMode="External"/><Relationship Id="rId1898" Type="http://schemas.openxmlformats.org/officeDocument/2006/relationships/hyperlink" Target="https://drive.google.com/file/d/1Kr5aZ7ouD8oOaq5NMxWxtIr1zmHuxSX7/view?usp=drivesdk" TargetMode="External"/><Relationship Id="rId1899" Type="http://schemas.openxmlformats.org/officeDocument/2006/relationships/hyperlink" Target="https://drive.google.com/file/d/1chaXcRw3zao2NyWCTR2MKok_9XhjnEOk/view?usp=drivesdk" TargetMode="External"/><Relationship Id="rId1890" Type="http://schemas.openxmlformats.org/officeDocument/2006/relationships/hyperlink" Target="https://drive.google.com/file/d/1rFke1DfyMfCSXz4TmquK_68ShINpCIoM/view?usp=drivesdk" TargetMode="External"/><Relationship Id="rId1891" Type="http://schemas.openxmlformats.org/officeDocument/2006/relationships/hyperlink" Target="https://drive.google.com/file/d/1NWrQNTdZ-Qb-tBW5-OCOjPofef4-QfAi/view?usp=drivesdk" TargetMode="External"/><Relationship Id="rId1892" Type="http://schemas.openxmlformats.org/officeDocument/2006/relationships/hyperlink" Target="https://drive.google.com/file/d/1VtIXLd6hpTvRLOIsgWXFUz1qWj22acni/view?usp=drivesdk" TargetMode="External"/><Relationship Id="rId1893" Type="http://schemas.openxmlformats.org/officeDocument/2006/relationships/hyperlink" Target="https://drive.google.com/file/d/1JOqJBe7ew2tJElHtQbGNPw-imC9Qapb5/view?usp=drivesdk" TargetMode="External"/><Relationship Id="rId1894" Type="http://schemas.openxmlformats.org/officeDocument/2006/relationships/hyperlink" Target="https://drive.google.com/file/d/1XYtSOkrcluuXUWVv2qjbcWQwScpw-iW8/view?usp=drivesdk" TargetMode="External"/><Relationship Id="rId1884" Type="http://schemas.openxmlformats.org/officeDocument/2006/relationships/hyperlink" Target="https://drive.google.com/file/d/1lxIjNqIPDi_7vx5PDEc8Ld2xmfPct9NA/view?usp=drivesdk" TargetMode="External"/><Relationship Id="rId1885" Type="http://schemas.openxmlformats.org/officeDocument/2006/relationships/hyperlink" Target="https://drive.google.com/file/d/1p_5Di0Gg124zyyklcSSkRvQFzu5iSQcI/view?usp=drivesdk" TargetMode="External"/><Relationship Id="rId1886" Type="http://schemas.openxmlformats.org/officeDocument/2006/relationships/hyperlink" Target="https://drive.google.com/file/d/1KTqct3Iq5e9Zc1lGvCFVw0xYuWjDYcO1/view?usp=drivesdk" TargetMode="External"/><Relationship Id="rId1887" Type="http://schemas.openxmlformats.org/officeDocument/2006/relationships/hyperlink" Target="https://drive.google.com/file/d/1veiQ8uedIN3P3wOinMvzSnlPI2h0ujpu/view?usp=drivesdk" TargetMode="External"/><Relationship Id="rId1888" Type="http://schemas.openxmlformats.org/officeDocument/2006/relationships/hyperlink" Target="https://drive.google.com/file/d/113h1-uW0Q2Ok3585fTvP10fq4YpMXqut/view?usp=drivesdk" TargetMode="External"/><Relationship Id="rId1889" Type="http://schemas.openxmlformats.org/officeDocument/2006/relationships/hyperlink" Target="https://drive.google.com/file/d/1na7kEXRhUjhe_DxDtmGzAosXBXQltRIl/view?usp=drivesdk" TargetMode="External"/><Relationship Id="rId1880" Type="http://schemas.openxmlformats.org/officeDocument/2006/relationships/hyperlink" Target="https://drive.google.com/file/d/1fNK38DJjWrWcTwrEJNXyVh_sE0OvWoUl/view?usp=drivesdk" TargetMode="External"/><Relationship Id="rId1881" Type="http://schemas.openxmlformats.org/officeDocument/2006/relationships/hyperlink" Target="https://drive.google.com/file/d/1LstOZgP04zBtP_W1OPZBUw-8wXLYHj-V/view?usp=drivesdk" TargetMode="External"/><Relationship Id="rId1882" Type="http://schemas.openxmlformats.org/officeDocument/2006/relationships/hyperlink" Target="https://drive.google.com/file/d/1uNmbt6UNIR_k59EeoQffsFxb97uKB3Nm/view?usp=drivesdk" TargetMode="External"/><Relationship Id="rId1883" Type="http://schemas.openxmlformats.org/officeDocument/2006/relationships/hyperlink" Target="https://drive.google.com/file/d/1tDbDgG7UznSmUofUBrZoGbWCOGsvkB89/view?usp=drivesdk" TargetMode="External"/><Relationship Id="rId1910" Type="http://schemas.openxmlformats.org/officeDocument/2006/relationships/hyperlink" Target="https://drive.google.com/file/d/1ujCBDuOijZOSmHw6fwf-JGf9a3QH2Pwt/view?usp=drivesdk" TargetMode="External"/><Relationship Id="rId1911" Type="http://schemas.openxmlformats.org/officeDocument/2006/relationships/hyperlink" Target="https://drive.google.com/file/d/1iK9Z5sSgXBbKleNx11yJ8_Wsrlloz-V6/view?usp=drivesdk" TargetMode="External"/><Relationship Id="rId1912" Type="http://schemas.openxmlformats.org/officeDocument/2006/relationships/hyperlink" Target="https://drive.google.com/file/d/15uGLT4-IQ9n5lFrFZ061U30TrwwmIGtP/view?usp=drivesdk" TargetMode="External"/><Relationship Id="rId1913" Type="http://schemas.openxmlformats.org/officeDocument/2006/relationships/hyperlink" Target="https://drive.google.com/file/d/1DOBPhuzkYulAinZQXO1sPd_DzS0yZlZj/view?usp=drivesdk" TargetMode="External"/><Relationship Id="rId1914" Type="http://schemas.openxmlformats.org/officeDocument/2006/relationships/hyperlink" Target="https://drive.google.com/file/d/1h7oVGlgpXs3E_SIm6giw5uQBFtznCUVt/view?usp=drivesdk" TargetMode="External"/><Relationship Id="rId1915" Type="http://schemas.openxmlformats.org/officeDocument/2006/relationships/hyperlink" Target="https://drive.google.com/file/d/1ww7-lYmhJjikYN-ci2jI4_lOQdIXhbeu/view?usp=drivesdk" TargetMode="External"/><Relationship Id="rId1916" Type="http://schemas.openxmlformats.org/officeDocument/2006/relationships/hyperlink" Target="https://drive.google.com/file/d/1R_IJAuegZSpF_kdvNrRLE21I0j3c8PIn/view?usp=drivesdk" TargetMode="External"/><Relationship Id="rId1917" Type="http://schemas.openxmlformats.org/officeDocument/2006/relationships/hyperlink" Target="https://drive.google.com/file/d/1KMOQHIcaD64aK1zZtwdtj02BPNZGNPDD/view?usp=drivesdk" TargetMode="External"/><Relationship Id="rId1918" Type="http://schemas.openxmlformats.org/officeDocument/2006/relationships/hyperlink" Target="https://drive.google.com/file/d/1Yv2jabyYsGVb7Fc4WdBmfjjtHr007EoV/view?usp=drivesdk" TargetMode="External"/><Relationship Id="rId1919" Type="http://schemas.openxmlformats.org/officeDocument/2006/relationships/hyperlink" Target="https://drive.google.com/file/d/1kxg8WuadcEkJvtoCKQPZsWw16PGs7iN_/view?usp=drivesdk" TargetMode="External"/><Relationship Id="rId1900" Type="http://schemas.openxmlformats.org/officeDocument/2006/relationships/hyperlink" Target="https://drive.google.com/file/d/11pA-ombipaJzskcEbjAF3-S1BReyJCyc/view?usp=drivesdk" TargetMode="External"/><Relationship Id="rId1901" Type="http://schemas.openxmlformats.org/officeDocument/2006/relationships/hyperlink" Target="https://drive.google.com/file/d/1R1y4Q_TJ03GiDh3uoN646RdB5_iMtECf/view?usp=drivesdk" TargetMode="External"/><Relationship Id="rId1902" Type="http://schemas.openxmlformats.org/officeDocument/2006/relationships/hyperlink" Target="https://drive.google.com/file/d/1OQweyzE7u9xUmLXk0mKW3rVeR_09dcbe/view?usp=drivesdk" TargetMode="External"/><Relationship Id="rId1903" Type="http://schemas.openxmlformats.org/officeDocument/2006/relationships/hyperlink" Target="https://drive.google.com/file/d/1uayC5sBajQa_8VTOIZk2yszv4x8tPa-J/view?usp=drivesdk" TargetMode="External"/><Relationship Id="rId1904" Type="http://schemas.openxmlformats.org/officeDocument/2006/relationships/hyperlink" Target="https://drive.google.com/file/d/1QA86F23Bp0ItgHHU7cH0l6ZxVOJyfSC9/view?usp=drivesdk" TargetMode="External"/><Relationship Id="rId1905" Type="http://schemas.openxmlformats.org/officeDocument/2006/relationships/hyperlink" Target="https://drive.google.com/file/d/1sqiUuxLVaLWOFcA0RCDZKQbgpjJgmzkj/view?usp=drivesdk" TargetMode="External"/><Relationship Id="rId1906" Type="http://schemas.openxmlformats.org/officeDocument/2006/relationships/hyperlink" Target="https://drive.google.com/file/d/1X1jIAijrMGZXYp78GUMkqQLN9SyxcqEG/view?usp=drivesdk" TargetMode="External"/><Relationship Id="rId1907" Type="http://schemas.openxmlformats.org/officeDocument/2006/relationships/hyperlink" Target="https://drive.google.com/file/d/17EdyZhMVNYqD93uFakopVn-NFl4uPGOn/view?usp=drivesdk" TargetMode="External"/><Relationship Id="rId1908" Type="http://schemas.openxmlformats.org/officeDocument/2006/relationships/hyperlink" Target="https://drive.google.com/file/d/1f5uUhCNxwnsswSE8AKEgAYI_ZJNakgSC/view?usp=drivesdk" TargetMode="External"/><Relationship Id="rId1909" Type="http://schemas.openxmlformats.org/officeDocument/2006/relationships/hyperlink" Target="https://drive.google.com/file/d/1uWzFG9azEkVx8vwH0LrZjcGHinRZUCjQ/view?usp=drivesdk" TargetMode="External"/><Relationship Id="rId1972" Type="http://schemas.openxmlformats.org/officeDocument/2006/relationships/hyperlink" Target="https://drive.google.com/file/d/1U3-hZyd2SPUljnTM-gBmL6fteP6dO0Hv/view?usp=drivesdk" TargetMode="External"/><Relationship Id="rId13170" Type="http://schemas.openxmlformats.org/officeDocument/2006/relationships/hyperlink" Target="https://drive.google.com/file/d/1rvqgFf-akoK7XBxZBWMO44HhgiqpMJPM/view?usp=drivesdk" TargetMode="External"/><Relationship Id="rId1973" Type="http://schemas.openxmlformats.org/officeDocument/2006/relationships/hyperlink" Target="https://drive.google.com/file/d/1U40HeNBCje99qjsQhwd5IpBU0KVpKgfy/view?usp=drivesdk" TargetMode="External"/><Relationship Id="rId1974" Type="http://schemas.openxmlformats.org/officeDocument/2006/relationships/hyperlink" Target="https://drive.google.com/file/d/1otGuBQIz04e1bhVEWhOvyhqTMEW6AnOT/view?usp=drivesdk" TargetMode="External"/><Relationship Id="rId1975" Type="http://schemas.openxmlformats.org/officeDocument/2006/relationships/hyperlink" Target="https://drive.google.com/file/d/1mxgFQdv2lbfAbogoQNwygwWjuLO7R8Yc/view?usp=drivesdk" TargetMode="External"/><Relationship Id="rId1976" Type="http://schemas.openxmlformats.org/officeDocument/2006/relationships/hyperlink" Target="https://drive.google.com/file/d/1CloSywrhEPp7cNAgyAfXIaVWNwkRG9B8/view?usp=drivesdk" TargetMode="External"/><Relationship Id="rId13174" Type="http://schemas.openxmlformats.org/officeDocument/2006/relationships/hyperlink" Target="https://drive.google.com/file/d/1Iv6-yEImvXbzEFaVc0vcaIym6MCePeU1/view?usp=drivesdk" TargetMode="External"/><Relationship Id="rId1977" Type="http://schemas.openxmlformats.org/officeDocument/2006/relationships/hyperlink" Target="https://drive.google.com/file/d/11ENOBDizlvuxnNWJan9xcjIF2SLyeSot/view?usp=drivesdk" TargetMode="External"/><Relationship Id="rId13173" Type="http://schemas.openxmlformats.org/officeDocument/2006/relationships/hyperlink" Target="https://drive.google.com/file/d/1esrccPMN83XAEevO3C_pm2HBSQspUjTE/view?usp=drivesdk" TargetMode="External"/><Relationship Id="rId1978" Type="http://schemas.openxmlformats.org/officeDocument/2006/relationships/hyperlink" Target="https://drive.google.com/file/d/1vwsxru5tgTKgQXL8GoVZfOZKS33DP1MG/view?usp=drivesdk" TargetMode="External"/><Relationship Id="rId13172" Type="http://schemas.openxmlformats.org/officeDocument/2006/relationships/hyperlink" Target="https://drive.google.com/file/d/1P_e9Qwr8t_OFctt2KRC0GpdVvR0U9Fon/view?usp=drivesdk" TargetMode="External"/><Relationship Id="rId1979" Type="http://schemas.openxmlformats.org/officeDocument/2006/relationships/hyperlink" Target="https://drive.google.com/file/d/1Zyp_UGp8QEPkXp0KEDloK9vXVNqEvRIl/view?usp=drivesdk" TargetMode="External"/><Relationship Id="rId13171" Type="http://schemas.openxmlformats.org/officeDocument/2006/relationships/hyperlink" Target="https://drive.google.com/file/d/16tqWIwer_mNCJ2cXyR0a0mx5haX8Y_H_/view?usp=drivesdk" TargetMode="External"/><Relationship Id="rId13167" Type="http://schemas.openxmlformats.org/officeDocument/2006/relationships/hyperlink" Target="https://drive.google.com/file/d/1zpz1Efaariv5Ia17xgLZKGvnn7zKHmE4/view?usp=drivesdk" TargetMode="External"/><Relationship Id="rId13166" Type="http://schemas.openxmlformats.org/officeDocument/2006/relationships/hyperlink" Target="https://drive.google.com/file/d/1PCn1VQghIgij12gi1fieYTuKcUxrK48b/view?usp=drivesdk" TargetMode="External"/><Relationship Id="rId13165" Type="http://schemas.openxmlformats.org/officeDocument/2006/relationships/hyperlink" Target="https://drive.google.com/file/d/1avih9kzT-SGHr7i1Du0gqEPr6RzN_bjR/view?usp=drivesdk" TargetMode="External"/><Relationship Id="rId13164" Type="http://schemas.openxmlformats.org/officeDocument/2006/relationships/hyperlink" Target="https://drive.google.com/file/d/1611SOIfHiVhBSf--UsHikp84kOQUOd3P/view?usp=drivesdk" TargetMode="External"/><Relationship Id="rId1970" Type="http://schemas.openxmlformats.org/officeDocument/2006/relationships/hyperlink" Target="https://drive.google.com/file/d/1akCsGAQ8YjJ54dsGNCEOn27Af3aahsUx/view?usp=drivesdk" TargetMode="External"/><Relationship Id="rId13169" Type="http://schemas.openxmlformats.org/officeDocument/2006/relationships/hyperlink" Target="https://drive.google.com/file/d/1j0E5OahA2mofAbGMscytsV96vFS9hy5L/view?usp=drivesdk" TargetMode="External"/><Relationship Id="rId1971" Type="http://schemas.openxmlformats.org/officeDocument/2006/relationships/hyperlink" Target="https://drive.google.com/file/d/1Gs5V7aTwJ2RoqJ2bxYfFXju6_TgiKLRs/view?usp=drivesdk" TargetMode="External"/><Relationship Id="rId13168" Type="http://schemas.openxmlformats.org/officeDocument/2006/relationships/hyperlink" Target="https://drive.google.com/file/d/1zWcQtOIBnNgUem2cgyka0PofNC6jP8Eh/view?usp=drivesdk" TargetMode="External"/><Relationship Id="rId1961" Type="http://schemas.openxmlformats.org/officeDocument/2006/relationships/hyperlink" Target="https://drive.google.com/file/d/1b2MqVEm3eRM9BZiTJdX25EozZWBsgjJs/view?usp=drivesdk" TargetMode="External"/><Relationship Id="rId13181" Type="http://schemas.openxmlformats.org/officeDocument/2006/relationships/hyperlink" Target="https://drive.google.com/file/d/15QhPVWHIvaurNqK63ICqXowa2-SBs-Ud/view?usp=drivesdk" TargetMode="External"/><Relationship Id="rId1962" Type="http://schemas.openxmlformats.org/officeDocument/2006/relationships/hyperlink" Target="https://drive.google.com/file/d/1jk70OscvQ8VGsi_hOl9hKxNKRXvwECEh/view?usp=drivesdk" TargetMode="External"/><Relationship Id="rId13180" Type="http://schemas.openxmlformats.org/officeDocument/2006/relationships/hyperlink" Target="https://drive.google.com/file/d/1Ki6k6qMvduBDJkF4qd1kHdOOf9oZBF5V/view?usp=drivesdk" TargetMode="External"/><Relationship Id="rId1963" Type="http://schemas.openxmlformats.org/officeDocument/2006/relationships/hyperlink" Target="https://drive.google.com/file/d/1OVzX4GqH8tG0T0YosXAHXy-xCIebkn19/view?usp=drivesdk" TargetMode="External"/><Relationship Id="rId1964" Type="http://schemas.openxmlformats.org/officeDocument/2006/relationships/hyperlink" Target="https://drive.google.com/file/d/1p7M58vo1NMDobCVtJ2GsvUqUY6zsFuk6/view?usp=drivesdk" TargetMode="External"/><Relationship Id="rId1965" Type="http://schemas.openxmlformats.org/officeDocument/2006/relationships/hyperlink" Target="https://drive.google.com/file/d/1tb979E7j-cAny7pqAsEno-lcZfkI8DDR/view?usp=drivesdk" TargetMode="External"/><Relationship Id="rId13185" Type="http://schemas.openxmlformats.org/officeDocument/2006/relationships/hyperlink" Target="https://drive.google.com/file/d/1g8wCWUiDuIakCOV45NCRmTxv8URCBaaN/view?usp=drivesdk" TargetMode="External"/><Relationship Id="rId1966" Type="http://schemas.openxmlformats.org/officeDocument/2006/relationships/hyperlink" Target="https://drive.google.com/file/d/1M9PH18B38OPQjBnzNyDrvq4L4G4By3og/view?usp=drivesdk" TargetMode="External"/><Relationship Id="rId13184" Type="http://schemas.openxmlformats.org/officeDocument/2006/relationships/hyperlink" Target="https://drive.google.com/file/d/1a8DRPZX1SnSeTTz5Bh_KXoYKLL8pPCqj/view?usp=drivesdk" TargetMode="External"/><Relationship Id="rId1967" Type="http://schemas.openxmlformats.org/officeDocument/2006/relationships/hyperlink" Target="https://drive.google.com/file/d/1QMUBMgfJ12qbTViv7Mjh5kveBaMgmB2i/view?usp=drivesdk" TargetMode="External"/><Relationship Id="rId13183" Type="http://schemas.openxmlformats.org/officeDocument/2006/relationships/hyperlink" Target="https://drive.google.com/file/d/1tJlZmFrclUQJcKXqv8WZ5hUIjtwyXAm3/view?usp=drivesdk" TargetMode="External"/><Relationship Id="rId1968" Type="http://schemas.openxmlformats.org/officeDocument/2006/relationships/hyperlink" Target="https://drive.google.com/file/d/1IKxPfD9CMPEiTEu8wXld6s58xWrdEuui/view?usp=drivesdk" TargetMode="External"/><Relationship Id="rId13182" Type="http://schemas.openxmlformats.org/officeDocument/2006/relationships/hyperlink" Target="https://drive.google.com/file/d/1UahZRZYgkoy3BDr5IHKANROa5IlKTUx8/view?usp=drivesdk" TargetMode="External"/><Relationship Id="rId1969" Type="http://schemas.openxmlformats.org/officeDocument/2006/relationships/hyperlink" Target="https://drive.google.com/file/d/17kbJEkBwvcMox9eGeAaNCGWz2UjSBev6/view?usp=drivesdk" TargetMode="External"/><Relationship Id="rId13178" Type="http://schemas.openxmlformats.org/officeDocument/2006/relationships/hyperlink" Target="https://drive.google.com/file/d/1SCvA_R_xVYU9pJG6shFhjWGWcF2kF85O/view?usp=drivesdk" TargetMode="External"/><Relationship Id="rId13177" Type="http://schemas.openxmlformats.org/officeDocument/2006/relationships/hyperlink" Target="https://drive.google.com/file/d/1aoGlFzO8M8DL-6-ahzwKKJApf6Bu8ThI/view?usp=drivesdk" TargetMode="External"/><Relationship Id="rId13176" Type="http://schemas.openxmlformats.org/officeDocument/2006/relationships/hyperlink" Target="https://drive.google.com/file/d/1Qdt9dPOJMjWfeRBvuBbBAW6LVBq_o7ps/view?usp=drivesdk" TargetMode="External"/><Relationship Id="rId13175" Type="http://schemas.openxmlformats.org/officeDocument/2006/relationships/hyperlink" Target="https://drive.google.com/file/d/1SV1ZklxqAyCSjYs_MDTWM_ptXcYX78yx/view?usp=drivesdk" TargetMode="External"/><Relationship Id="rId1960" Type="http://schemas.openxmlformats.org/officeDocument/2006/relationships/hyperlink" Target="https://drive.google.com/file/d/1GMvDsjG3UqyjhZgoRxFMIDNgsyFKfSBj/view?usp=drivesdk" TargetMode="External"/><Relationship Id="rId13179" Type="http://schemas.openxmlformats.org/officeDocument/2006/relationships/hyperlink" Target="https://drive.google.com/file/d/1YEBDb-3w1vuIJyNKXXVPNhchh3OwuS2Z/view?usp=drivesdk" TargetMode="External"/><Relationship Id="rId1994" Type="http://schemas.openxmlformats.org/officeDocument/2006/relationships/hyperlink" Target="https://drive.google.com/file/d/188LrCeKQCaNfBhFHKMcav-Xv6GcKvXZR/view?usp=drivesdk" TargetMode="External"/><Relationship Id="rId1995" Type="http://schemas.openxmlformats.org/officeDocument/2006/relationships/hyperlink" Target="https://drive.google.com/file/d/1_qFNnPz0zk4qYun0xDL1h7Rmomsj_xqp/view?usp=drivesdk" TargetMode="External"/><Relationship Id="rId1996" Type="http://schemas.openxmlformats.org/officeDocument/2006/relationships/hyperlink" Target="https://drive.google.com/file/d/1j35XC1pJrWQhIk76c8cfqDslt-LC0Xyf/view?usp=drivesdk" TargetMode="External"/><Relationship Id="rId1997" Type="http://schemas.openxmlformats.org/officeDocument/2006/relationships/hyperlink" Target="https://drive.google.com/file/d/1yYeclKFcAg2goUZPqXhTjKay_UFxfnIn/view?usp=drivesdk" TargetMode="External"/><Relationship Id="rId1998" Type="http://schemas.openxmlformats.org/officeDocument/2006/relationships/hyperlink" Target="https://drive.google.com/file/d/11RGRsCTWw43j6-QwFuSX16_3aXn9SW19/view?usp=drivesdk" TargetMode="External"/><Relationship Id="rId13152" Type="http://schemas.openxmlformats.org/officeDocument/2006/relationships/hyperlink" Target="https://drive.google.com/file/d/1MSKvhDaXZrZQXOeKmZgKCsDvZLksj9a6/view?usp=drivesdk" TargetMode="External"/><Relationship Id="rId1999" Type="http://schemas.openxmlformats.org/officeDocument/2006/relationships/hyperlink" Target="https://drive.google.com/file/d/1mBS763UjSOgZ-7U7Zv7C0lG3obJMBaqh/view?usp=drivesdk" TargetMode="External"/><Relationship Id="rId13151" Type="http://schemas.openxmlformats.org/officeDocument/2006/relationships/hyperlink" Target="https://drive.google.com/file/d/10QmKzt-zVrmQK7yHI-1_2ZWAUg2gKt9H/view?usp=drivesdk" TargetMode="External"/><Relationship Id="rId13150" Type="http://schemas.openxmlformats.org/officeDocument/2006/relationships/hyperlink" Target="https://drive.google.com/file/d/16rBCydHPCQjxr89gq8qbW4oEWYjzeLG-/view?usp=drivesdk" TargetMode="External"/><Relationship Id="rId13145" Type="http://schemas.openxmlformats.org/officeDocument/2006/relationships/hyperlink" Target="https://drive.google.com/file/d/1kXE4c1zQkv0iZ98Q-0NvirTEbPhQqdxt/view?usp=drivesdk" TargetMode="External"/><Relationship Id="rId13144" Type="http://schemas.openxmlformats.org/officeDocument/2006/relationships/hyperlink" Target="https://drive.google.com/file/d/1-oZeibk8VSeb7Mwct1PEdF58Kv79yEfA/view?usp=drivesdk" TargetMode="External"/><Relationship Id="rId13143" Type="http://schemas.openxmlformats.org/officeDocument/2006/relationships/hyperlink" Target="https://drive.google.com/file/d/1XQmLIG-4tujyOfGqLnIE3-huesx9NfCD/view?usp=drivesdk" TargetMode="External"/><Relationship Id="rId13142" Type="http://schemas.openxmlformats.org/officeDocument/2006/relationships/hyperlink" Target="https://drive.google.com/file/d/1QYU_J7n2hkVaqABvc2hP6BmpI9gQQxQO/view?usp=drivesdk" TargetMode="External"/><Relationship Id="rId1990" Type="http://schemas.openxmlformats.org/officeDocument/2006/relationships/hyperlink" Target="https://drive.google.com/file/d/1SdOdf87Ru6mYs6MHVlVVJH40p4bBKtwO/view?usp=drivesdk" TargetMode="External"/><Relationship Id="rId13149" Type="http://schemas.openxmlformats.org/officeDocument/2006/relationships/hyperlink" Target="https://drive.google.com/file/d/1zTCZlZJnNxaG3h50Gta8vIwC1h5bhfgo/view?usp=drivesdk" TargetMode="External"/><Relationship Id="rId1991" Type="http://schemas.openxmlformats.org/officeDocument/2006/relationships/hyperlink" Target="https://drive.google.com/file/d/1m7_60YN_dF0iCba0D-UgjhsvNnGBQRCh/view?usp=drivesdk" TargetMode="External"/><Relationship Id="rId13148" Type="http://schemas.openxmlformats.org/officeDocument/2006/relationships/hyperlink" Target="https://drive.google.com/file/d/104AW4BYKrJeblz_keEYazXrsLcwa9Evi/view?usp=drivesdk" TargetMode="External"/><Relationship Id="rId1992" Type="http://schemas.openxmlformats.org/officeDocument/2006/relationships/hyperlink" Target="https://drive.google.com/file/d/17VYVsKSRlRpyTOWBo5aEyjtX8vPjegEC/view?usp=drivesdk" TargetMode="External"/><Relationship Id="rId13147" Type="http://schemas.openxmlformats.org/officeDocument/2006/relationships/hyperlink" Target="https://drive.google.com/file/d/1tCU7vN7E_L4PH1shpwzo_eaeKTXVR3IF/view?usp=drivesdk" TargetMode="External"/><Relationship Id="rId1993" Type="http://schemas.openxmlformats.org/officeDocument/2006/relationships/hyperlink" Target="https://drive.google.com/file/d/1EYr2Z-63Vt9TA6X2em3NguPbOH55LMOE/view?usp=drivesdk" TargetMode="External"/><Relationship Id="rId13146" Type="http://schemas.openxmlformats.org/officeDocument/2006/relationships/hyperlink" Target="https://drive.google.com/file/d/1mbAP_4vJwASW7Jh5Vr9Yrwh1HCL_KWrf/view?usp=drivesdk" TargetMode="External"/><Relationship Id="rId1983" Type="http://schemas.openxmlformats.org/officeDocument/2006/relationships/hyperlink" Target="https://drive.google.com/file/d/1asIt1mzaZl6Y9ysdZf79UG-sivCCLLs9/view?usp=drivesdk" TargetMode="External"/><Relationship Id="rId1984" Type="http://schemas.openxmlformats.org/officeDocument/2006/relationships/hyperlink" Target="https://drive.google.com/file/d/1IbIEN0I9EKE5cs_3b610JC5Q8YN_H_gV/view?usp=drivesdk" TargetMode="External"/><Relationship Id="rId1985" Type="http://schemas.openxmlformats.org/officeDocument/2006/relationships/hyperlink" Target="https://drive.google.com/file/d/1x1sIae-LZDhd-sA8BGZWIoEVhGYlRDu5/view?usp=drivesdk" TargetMode="External"/><Relationship Id="rId1986" Type="http://schemas.openxmlformats.org/officeDocument/2006/relationships/hyperlink" Target="https://drive.google.com/file/d/150b0JsPbd9AeOn1xkSt4_ZtlnKhyFRT0/view?usp=drivesdk" TargetMode="External"/><Relationship Id="rId1987" Type="http://schemas.openxmlformats.org/officeDocument/2006/relationships/hyperlink" Target="https://drive.google.com/file/d/1sEAWwlzrMk0ps9_BvHlNFxTuG5_V51QQ/view?usp=drivesdk" TargetMode="External"/><Relationship Id="rId13163" Type="http://schemas.openxmlformats.org/officeDocument/2006/relationships/hyperlink" Target="https://drive.google.com/file/d/1_jnM9uOEOECBdTXdlCBU_s7478xdJHLX/view?usp=drivesdk" TargetMode="External"/><Relationship Id="rId1988" Type="http://schemas.openxmlformats.org/officeDocument/2006/relationships/hyperlink" Target="https://drive.google.com/file/d/1r-0P_Ohba23zuHR47s70TUhj-FYS-Nrl/view?usp=drivesdk" TargetMode="External"/><Relationship Id="rId13162" Type="http://schemas.openxmlformats.org/officeDocument/2006/relationships/hyperlink" Target="https://drive.google.com/file/d/1dOh12FzdCGTFFkwccuw0O97Ili0X2CRK/view?usp=drivesdk" TargetMode="External"/><Relationship Id="rId1989" Type="http://schemas.openxmlformats.org/officeDocument/2006/relationships/hyperlink" Target="https://drive.google.com/file/d/1twelyVUSI1r98SpNnx3rhBFnatqXK87a/view?usp=drivesdk" TargetMode="External"/><Relationship Id="rId13161" Type="http://schemas.openxmlformats.org/officeDocument/2006/relationships/hyperlink" Target="https://drive.google.com/file/d/1SFF9QpoBBMXf65Ke9zcAA8-P7cMYfL-r/view?usp=drivesdk" TargetMode="External"/><Relationship Id="rId13160" Type="http://schemas.openxmlformats.org/officeDocument/2006/relationships/hyperlink" Target="https://drive.google.com/file/d/1luRk8iJBq3WwSAMxCp84hhdIPCeJ2Ft3/view?usp=drivesdk" TargetMode="External"/><Relationship Id="rId13156" Type="http://schemas.openxmlformats.org/officeDocument/2006/relationships/hyperlink" Target="https://drive.google.com/file/d/1u9gh-aAm9KGHlbvXVWwRI1gtVft07dpB/view?usp=drivesdk" TargetMode="External"/><Relationship Id="rId13155" Type="http://schemas.openxmlformats.org/officeDocument/2006/relationships/hyperlink" Target="https://drive.google.com/file/d/1paEPedp66BgDNw3OvpaJ8NNp0SydlXaB/view?usp=drivesdk" TargetMode="External"/><Relationship Id="rId13154" Type="http://schemas.openxmlformats.org/officeDocument/2006/relationships/hyperlink" Target="https://drive.google.com/file/d/1htuFCXfMnWafThPG8Gbk-WIi-33eq9gD/view?usp=drivesdk" TargetMode="External"/><Relationship Id="rId13153" Type="http://schemas.openxmlformats.org/officeDocument/2006/relationships/hyperlink" Target="https://drive.google.com/file/d/1llFxqiRyZBlzG1lPCCGhpCb4Teje2fZ8/view?usp=drivesdk" TargetMode="External"/><Relationship Id="rId1980" Type="http://schemas.openxmlformats.org/officeDocument/2006/relationships/hyperlink" Target="https://drive.google.com/file/d/1V3RZxmHRSqU2LWSIGNlQqHtFuJHtVj60/view?usp=drivesdk" TargetMode="External"/><Relationship Id="rId13159" Type="http://schemas.openxmlformats.org/officeDocument/2006/relationships/hyperlink" Target="https://drive.google.com/file/d/1YkuW6DcZeE26tFATklH4YBu8dhDKu3VE/view?usp=drivesdk" TargetMode="External"/><Relationship Id="rId1981" Type="http://schemas.openxmlformats.org/officeDocument/2006/relationships/hyperlink" Target="https://drive.google.com/file/d/1PCrEKMQ-ry0X8-yVPb2qVnlxvnSk5h6r/view?usp=drivesdk" TargetMode="External"/><Relationship Id="rId13158" Type="http://schemas.openxmlformats.org/officeDocument/2006/relationships/hyperlink" Target="https://drive.google.com/file/d/1TnQzxIyN376HQCUZeI5FTuZmS7k2MHg8/view?usp=drivesdk" TargetMode="External"/><Relationship Id="rId1982" Type="http://schemas.openxmlformats.org/officeDocument/2006/relationships/hyperlink" Target="https://drive.google.com/file/d/153sR0HaJgeoeHItSpGxyZQVhEIL7Sn8E/view?usp=drivesdk" TargetMode="External"/><Relationship Id="rId13157" Type="http://schemas.openxmlformats.org/officeDocument/2006/relationships/hyperlink" Target="https://drive.google.com/file/d/12b07Th97FsALErUPMu1MuKvWj92zKSPH/view?usp=drivesdk" TargetMode="External"/><Relationship Id="rId1930" Type="http://schemas.openxmlformats.org/officeDocument/2006/relationships/hyperlink" Target="https://drive.google.com/file/d/1C74HBOt-Q83mWzpl_wJPEnk9BwNRSiqy/view?usp=drivesdk" TargetMode="External"/><Relationship Id="rId1931" Type="http://schemas.openxmlformats.org/officeDocument/2006/relationships/hyperlink" Target="https://drive.google.com/file/d/1RQh8HQm0c3MfBeOEfDbeeu0xdIqnWM5L/view?usp=drivesdk" TargetMode="External"/><Relationship Id="rId1932" Type="http://schemas.openxmlformats.org/officeDocument/2006/relationships/hyperlink" Target="https://drive.google.com/file/d/1n0RtGy5TKhYjYFHU850Awjde3KIQv6di/view?usp=drivesdk" TargetMode="External"/><Relationship Id="rId1933" Type="http://schemas.openxmlformats.org/officeDocument/2006/relationships/hyperlink" Target="https://drive.google.com/file/d/1SCJmCrgwz2YlCjN7yLJhMAuAIM-rN-ZB/view?usp=drivesdk" TargetMode="External"/><Relationship Id="rId1934" Type="http://schemas.openxmlformats.org/officeDocument/2006/relationships/hyperlink" Target="https://drive.google.com/file/d/1nsKGLeVaQgKrmf0rv3mTD4l8cg7Q2JEm/view?usp=drivesdk" TargetMode="External"/><Relationship Id="rId1935" Type="http://schemas.openxmlformats.org/officeDocument/2006/relationships/hyperlink" Target="https://drive.google.com/file/d/1exgd3Ox7ppgocdxx2NwPaFqhoeCDVNty/view?usp=drivesdk" TargetMode="External"/><Relationship Id="rId1936" Type="http://schemas.openxmlformats.org/officeDocument/2006/relationships/hyperlink" Target="https://drive.google.com/file/d/1vndDQCy5HvrdO1afzAQNe54C3EMgiqsX/view?usp=drivesdk" TargetMode="External"/><Relationship Id="rId1937" Type="http://schemas.openxmlformats.org/officeDocument/2006/relationships/hyperlink" Target="https://drive.google.com/file/d/1SLbZjNBpCc-iuUUj8-Dbh-M1w3YmExn6/view?usp=drivesdk" TargetMode="External"/><Relationship Id="rId1938" Type="http://schemas.openxmlformats.org/officeDocument/2006/relationships/hyperlink" Target="https://drive.google.com/file/d/1WuZopXyAUgBrIe3D54y2nZw6Sn5cuS2z/view?usp=drivesdk" TargetMode="External"/><Relationship Id="rId1939" Type="http://schemas.openxmlformats.org/officeDocument/2006/relationships/hyperlink" Target="https://drive.google.com/file/d/18ZbF4LQUIhucfb8Iz5RYqfm8AS796qOJ/view?usp=drivesdk" TargetMode="External"/><Relationship Id="rId1920" Type="http://schemas.openxmlformats.org/officeDocument/2006/relationships/hyperlink" Target="https://drive.google.com/file/d/1ESmd_pv550uW_eKSkGIjVv0nb7PtA_v6/view?usp=drivesdk" TargetMode="External"/><Relationship Id="rId1921" Type="http://schemas.openxmlformats.org/officeDocument/2006/relationships/hyperlink" Target="https://drive.google.com/file/d/1voW5WeRIlPbICVIAPK8bZl9bLEz2bbtY/view?usp=drivesdk" TargetMode="External"/><Relationship Id="rId1922" Type="http://schemas.openxmlformats.org/officeDocument/2006/relationships/hyperlink" Target="https://drive.google.com/file/d/1rIRm31xOyflzFktA3Fbq1jc_TLGnWoE3/view?usp=drivesdk" TargetMode="External"/><Relationship Id="rId1923" Type="http://schemas.openxmlformats.org/officeDocument/2006/relationships/hyperlink" Target="https://drive.google.com/file/d/15uOD0JkTvITOhaooMHTCAWeBmIu7BM7k/view?usp=drivesdk" TargetMode="External"/><Relationship Id="rId1924" Type="http://schemas.openxmlformats.org/officeDocument/2006/relationships/hyperlink" Target="https://drive.google.com/file/d/1upphpo3YVs7nftzxP2NOoM7OaHf_5RLD/view?usp=drivesdk" TargetMode="External"/><Relationship Id="rId1925" Type="http://schemas.openxmlformats.org/officeDocument/2006/relationships/hyperlink" Target="https://drive.google.com/file/d/16AHrqlBDgKfotJgoIJXgrqfcz8PdzOFt/view?usp=drivesdk" TargetMode="External"/><Relationship Id="rId1926" Type="http://schemas.openxmlformats.org/officeDocument/2006/relationships/hyperlink" Target="https://drive.google.com/file/d/1qIwZao1Ao746ruQtpfMOgAS8urrG4jXq/view?usp=drivesdk" TargetMode="External"/><Relationship Id="rId1927" Type="http://schemas.openxmlformats.org/officeDocument/2006/relationships/hyperlink" Target="https://drive.google.com/file/d/1rsexHo7qXQSFzRfQT5slYpoRTdTgAVjp/view?usp=drivesdk" TargetMode="External"/><Relationship Id="rId1928" Type="http://schemas.openxmlformats.org/officeDocument/2006/relationships/hyperlink" Target="https://drive.google.com/file/d/1d4qO5ga6lM9y8hatbCL9N23WKunJfy0L/view?usp=drivesdk" TargetMode="External"/><Relationship Id="rId1929" Type="http://schemas.openxmlformats.org/officeDocument/2006/relationships/hyperlink" Target="https://drive.google.com/file/d/12NDmF5KFYkn5gFv3EUWhdxPTZaPp_vj5/view?usp=drivesdk" TargetMode="External"/><Relationship Id="rId1950" Type="http://schemas.openxmlformats.org/officeDocument/2006/relationships/hyperlink" Target="https://drive.google.com/file/d/1_qNEv7FW_jLZ1dGgNl-uONE9cbt_M-y2/view?usp=drivesdk" TargetMode="External"/><Relationship Id="rId13192" Type="http://schemas.openxmlformats.org/officeDocument/2006/relationships/hyperlink" Target="https://drive.google.com/file/d/1FdZEpZOu-qEO3SziEpnoPEoDoQqtSyFy/view?usp=drivesdk" TargetMode="External"/><Relationship Id="rId1951" Type="http://schemas.openxmlformats.org/officeDocument/2006/relationships/hyperlink" Target="https://drive.google.com/file/d/1ld1E8BoPK9on4uxbm0F8s2FzAwbePt8L/view?usp=drivesdk" TargetMode="External"/><Relationship Id="rId13191" Type="http://schemas.openxmlformats.org/officeDocument/2006/relationships/hyperlink" Target="https://drive.google.com/file/d/1munHMwlqW_GaesOTR_DVePeuVgzXBH34/view?usp=drivesdk" TargetMode="External"/><Relationship Id="rId1952" Type="http://schemas.openxmlformats.org/officeDocument/2006/relationships/hyperlink" Target="https://drive.google.com/file/d/1BtF7HQmGTPNYhret_n7G_BnMRW-NslV5/view?usp=drivesdk" TargetMode="External"/><Relationship Id="rId13190" Type="http://schemas.openxmlformats.org/officeDocument/2006/relationships/hyperlink" Target="https://drive.google.com/file/d/1y6lyfaAbKBHLJw0Wp-A-sPQi-43oGhOw/view?usp=drivesdk" TargetMode="External"/><Relationship Id="rId1953" Type="http://schemas.openxmlformats.org/officeDocument/2006/relationships/hyperlink" Target="https://drive.google.com/file/d/1g_qC_PNq78Jt6TuNNW5RHhlPo0UWKEcp/view?usp=drivesdk" TargetMode="External"/><Relationship Id="rId1954" Type="http://schemas.openxmlformats.org/officeDocument/2006/relationships/hyperlink" Target="https://drive.google.com/file/d/1qR8FqCiNf6a1y6i1ZV1C0sEAqbDLJe10/view?usp=drivesdk" TargetMode="External"/><Relationship Id="rId13196" Type="http://schemas.openxmlformats.org/officeDocument/2006/relationships/hyperlink" Target="https://drive.google.com/file/d/1v2qielo-cwy_FoavxSFMAG36ell3fsu_/view?usp=drivesdk" TargetMode="External"/><Relationship Id="rId1955" Type="http://schemas.openxmlformats.org/officeDocument/2006/relationships/hyperlink" Target="https://drive.google.com/file/d/1MqhoXC7-XP17462JT5AsbVDEHaa7pBOl/view?usp=drivesdk" TargetMode="External"/><Relationship Id="rId13195" Type="http://schemas.openxmlformats.org/officeDocument/2006/relationships/hyperlink" Target="https://drive.google.com/file/d/1mAp4-4RhLr_NJ-j4fr7YzyOw2iaMgc4R/view?usp=drivesdk" TargetMode="External"/><Relationship Id="rId1956" Type="http://schemas.openxmlformats.org/officeDocument/2006/relationships/hyperlink" Target="https://drive.google.com/file/d/1ILzoQxV2fdDVleVODJhLCWlO9A8JrjEF/view?usp=drivesdk" TargetMode="External"/><Relationship Id="rId13194" Type="http://schemas.openxmlformats.org/officeDocument/2006/relationships/hyperlink" Target="https://drive.google.com/file/d/1XrtYKVhMFZVuDrEKcLBK_R2QDAASvTqW/view?usp=drivesdk" TargetMode="External"/><Relationship Id="rId1957" Type="http://schemas.openxmlformats.org/officeDocument/2006/relationships/hyperlink" Target="https://drive.google.com/file/d/1K-sV-1RfEzhxC85E8e6dKrKIZfBqyDdy/view?usp=drivesdk" TargetMode="External"/><Relationship Id="rId13193" Type="http://schemas.openxmlformats.org/officeDocument/2006/relationships/hyperlink" Target="https://drive.google.com/file/d/199Vg770XUX1aP2NcmLtRTVWt-2sR7aKi/view?usp=drivesdk" TargetMode="External"/><Relationship Id="rId1958" Type="http://schemas.openxmlformats.org/officeDocument/2006/relationships/hyperlink" Target="https://drive.google.com/file/d/1vh3YxmG2y0d_9jSBnjRw6ED8W8a5gU6S/view?usp=drivesdk" TargetMode="External"/><Relationship Id="rId1959" Type="http://schemas.openxmlformats.org/officeDocument/2006/relationships/hyperlink" Target="https://drive.google.com/file/d/1dvsvWZbSJ1qS_0ual50VPu_jjHxUwp5d/view?usp=drivesdk" TargetMode="External"/><Relationship Id="rId13189" Type="http://schemas.openxmlformats.org/officeDocument/2006/relationships/hyperlink" Target="https://drive.google.com/file/d/1dFmgi9cnSda6eznvQkeBYJAw3V5aUJjj/view?usp=drivesdk" TargetMode="External"/><Relationship Id="rId13188" Type="http://schemas.openxmlformats.org/officeDocument/2006/relationships/hyperlink" Target="https://drive.google.com/file/d/1vnPOj5TPqzblIfGiM51-Sr6PwrL0FidF/view?usp=drivesdk" TargetMode="External"/><Relationship Id="rId13187" Type="http://schemas.openxmlformats.org/officeDocument/2006/relationships/hyperlink" Target="https://drive.google.com/file/d/1gmW9FegJU-10RWeXPgRs-aVvSS9Ud7Y3/view?usp=drivesdk" TargetMode="External"/><Relationship Id="rId13186" Type="http://schemas.openxmlformats.org/officeDocument/2006/relationships/hyperlink" Target="https://drive.google.com/file/d/1X0apLeRgB6IhZRtb2Z-AZJOrexTK-ASc/view?usp=drivesdk" TargetMode="External"/><Relationship Id="rId1940" Type="http://schemas.openxmlformats.org/officeDocument/2006/relationships/hyperlink" Target="https://drive.google.com/file/d/1TUuoDHA0y8Av8V0wEMma3mVcqHkj8KMs/view?usp=drivesdk" TargetMode="External"/><Relationship Id="rId1941" Type="http://schemas.openxmlformats.org/officeDocument/2006/relationships/hyperlink" Target="https://drive.google.com/file/d/115Y9_0jGMZdzeh9ZO3pAYZh9AbgKCwbM/view?usp=drivesdk" TargetMode="External"/><Relationship Id="rId1942" Type="http://schemas.openxmlformats.org/officeDocument/2006/relationships/hyperlink" Target="https://drive.google.com/file/d/1K4Sr53qJPM2pfjCkTtnLIjd7aEZKEZDb/view?usp=drivesdk" TargetMode="External"/><Relationship Id="rId1943" Type="http://schemas.openxmlformats.org/officeDocument/2006/relationships/hyperlink" Target="https://drive.google.com/file/d/1l9pr7cB686ewNVMWAX57prOudeJGp0PC/view?usp=drivesdk" TargetMode="External"/><Relationship Id="rId1944" Type="http://schemas.openxmlformats.org/officeDocument/2006/relationships/hyperlink" Target="https://drive.google.com/file/d/1XX1vGto0VGCkZGl_jpbUl8ixTkqymRuh/view?usp=drivesdk" TargetMode="External"/><Relationship Id="rId1945" Type="http://schemas.openxmlformats.org/officeDocument/2006/relationships/hyperlink" Target="https://drive.google.com/file/d/1TFoXNxqda90rUBg-MqxJwEc_8NWu-1VD/view?usp=drivesdk" TargetMode="External"/><Relationship Id="rId1946" Type="http://schemas.openxmlformats.org/officeDocument/2006/relationships/hyperlink" Target="https://drive.google.com/file/d/1xpq3VhYHXxFApGT_Wdpkd1PJTg6ulLx8/view?usp=drivesdk" TargetMode="External"/><Relationship Id="rId1947" Type="http://schemas.openxmlformats.org/officeDocument/2006/relationships/hyperlink" Target="https://drive.google.com/file/d/1PpXz_QJkF6n2B-s9Dxtolg1H4ZPQcKWY/view?usp=drivesdk" TargetMode="External"/><Relationship Id="rId1948" Type="http://schemas.openxmlformats.org/officeDocument/2006/relationships/hyperlink" Target="https://drive.google.com/file/d/15u4B74u5Tt3WYT4ZB3IwuS8KeKXNWFfL/view?usp=drivesdk" TargetMode="External"/><Relationship Id="rId1949" Type="http://schemas.openxmlformats.org/officeDocument/2006/relationships/hyperlink" Target="https://drive.google.com/file/d/1_ZkJtmOmC4icM12KNoTZES_3ZLZxiujZ/view?usp=drivesdk" TargetMode="External"/><Relationship Id="rId13199" Type="http://schemas.openxmlformats.org/officeDocument/2006/relationships/hyperlink" Target="https://drive.google.com/file/d/1BeigvsIfOLtzEqP7JqYOjMGp8QjN-xCz/view?usp=drivesdk" TargetMode="External"/><Relationship Id="rId13198" Type="http://schemas.openxmlformats.org/officeDocument/2006/relationships/hyperlink" Target="https://drive.google.com/file/d/1OmHURoZi6dKeUA0Fahnr9wXRtHI2_BG0/view?usp=drivesdk" TargetMode="External"/><Relationship Id="rId13197" Type="http://schemas.openxmlformats.org/officeDocument/2006/relationships/hyperlink" Target="https://drive.google.com/file/d/16dtzYl6h2kn08pbmTbEd_qtwz6_5rGAl/view?usp=drivesdk" TargetMode="External"/><Relationship Id="rId9061" Type="http://schemas.openxmlformats.org/officeDocument/2006/relationships/hyperlink" Target="https://drive.google.com/file/d/1KsgA9CFraAAyGef9C3mwOuiRwUq0P7rJ/view?usp=drivesdk" TargetMode="External"/><Relationship Id="rId9060" Type="http://schemas.openxmlformats.org/officeDocument/2006/relationships/hyperlink" Target="https://drive.google.com/file/d/16yPWtonjLlnTn2vMpzzHOG5_zXryFhz2/view?usp=drivesdk" TargetMode="External"/><Relationship Id="rId9054" Type="http://schemas.openxmlformats.org/officeDocument/2006/relationships/hyperlink" Target="https://drive.google.com/file/d/1cyduJAZasZeJxrjtiGWbg9yrlaBLhR_l/view?usp=drivesdk" TargetMode="External"/><Relationship Id="rId13208" Type="http://schemas.openxmlformats.org/officeDocument/2006/relationships/hyperlink" Target="https://drive.google.com/file/d/1X0y8Cc5616qddQ9ypXVitco8gW5sSfOr/view?usp=drivesdk" TargetMode="External"/><Relationship Id="rId9053" Type="http://schemas.openxmlformats.org/officeDocument/2006/relationships/hyperlink" Target="https://drive.google.com/file/d/1PE6ZdmhxJBJYohaNdXs0AM3NlkGfWb6i/view?usp=drivesdk" TargetMode="External"/><Relationship Id="rId13207" Type="http://schemas.openxmlformats.org/officeDocument/2006/relationships/hyperlink" Target="https://drive.google.com/file/d/18eR0ni2KbFfQwuEBz2Ox0ngD85QqfrPR/view?usp=drivesdk" TargetMode="External"/><Relationship Id="rId9052" Type="http://schemas.openxmlformats.org/officeDocument/2006/relationships/hyperlink" Target="https://drive.google.com/file/d/1mBYyxf4V_xeHYUHMSUVh3Zj-6Z4QAS8l/view?usp=drivesdk" TargetMode="External"/><Relationship Id="rId13206" Type="http://schemas.openxmlformats.org/officeDocument/2006/relationships/hyperlink" Target="https://drive.google.com/file/d/1tE9B0cIdrwOZzB2reRtAuonpAF3kX-nZ/view?usp=drivesdk" TargetMode="External"/><Relationship Id="rId9051" Type="http://schemas.openxmlformats.org/officeDocument/2006/relationships/hyperlink" Target="https://drive.google.com/file/d/1-LVgR5u1m1WvksD3C5QYpQ5mppj84Ro_/view?usp=drivesdk" TargetMode="External"/><Relationship Id="rId13205" Type="http://schemas.openxmlformats.org/officeDocument/2006/relationships/hyperlink" Target="https://drive.google.com/file/d/1TV3CVgh_VOWJWgH54SkS1ZFyabvIQJBt/view?usp=drivesdk" TargetMode="External"/><Relationship Id="rId9058" Type="http://schemas.openxmlformats.org/officeDocument/2006/relationships/hyperlink" Target="https://drive.google.com/file/d/1GB-OSU1umuG_u4zYS1Xvo7Zc0YUE0FxT/view?usp=drivesdk" TargetMode="External"/><Relationship Id="rId9057" Type="http://schemas.openxmlformats.org/officeDocument/2006/relationships/hyperlink" Target="https://drive.google.com/file/d/1gso19t4OYV5CsYOsPIUt6KoKMNqV0RBm/view?usp=drivesdk" TargetMode="External"/><Relationship Id="rId9056" Type="http://schemas.openxmlformats.org/officeDocument/2006/relationships/hyperlink" Target="https://drive.google.com/file/d/1dIs2HFjwEAKY1WflvzGQp4VOpSJVFQJz/view?usp=drivesdk" TargetMode="External"/><Relationship Id="rId9055" Type="http://schemas.openxmlformats.org/officeDocument/2006/relationships/hyperlink" Target="https://drive.google.com/file/d/186G5O12pVQD-AFTtVyJ18L_tSTkJ5Vi8/view?usp=drivesdk" TargetMode="External"/><Relationship Id="rId13209" Type="http://schemas.openxmlformats.org/officeDocument/2006/relationships/hyperlink" Target="https://drive.google.com/file/d/1oROcjcCA92cDFiMeX86SWjK3T8I-fZBe/view?usp=drivesdk" TargetMode="External"/><Relationship Id="rId13200" Type="http://schemas.openxmlformats.org/officeDocument/2006/relationships/hyperlink" Target="https://drive.google.com/file/d/1ltTKJ30Z9H5m_P4JOCs0DTCdwwNoMX_2/view?usp=drivesdk" TargetMode="External"/><Relationship Id="rId9059" Type="http://schemas.openxmlformats.org/officeDocument/2006/relationships/hyperlink" Target="https://drive.google.com/file/d/1pcT5Xcu9C29a6yT_cHX9cRR7m26PBj8L/view?usp=drivesdk" TargetMode="External"/><Relationship Id="rId13204" Type="http://schemas.openxmlformats.org/officeDocument/2006/relationships/hyperlink" Target="https://drive.google.com/file/d/1PdTtZLNn_zQOxlDdegHSKnB-ZSerQ154/view?usp=drivesdk" TargetMode="External"/><Relationship Id="rId13203" Type="http://schemas.openxmlformats.org/officeDocument/2006/relationships/hyperlink" Target="http://ilham.se" TargetMode="External"/><Relationship Id="rId13202" Type="http://schemas.openxmlformats.org/officeDocument/2006/relationships/hyperlink" Target="https://drive.google.com/file/d/1OKqtVtqulBdpUcVtrIjSYOT1s5_iDzND/view?usp=drivesdk" TargetMode="External"/><Relationship Id="rId13201" Type="http://schemas.openxmlformats.org/officeDocument/2006/relationships/hyperlink" Target="https://drive.google.com/file/d/1fvg0gq38OWncWXguBWZ5CfUk34thisaV/view?usp=drivesdk" TargetMode="External"/><Relationship Id="rId9050" Type="http://schemas.openxmlformats.org/officeDocument/2006/relationships/hyperlink" Target="https://drive.google.com/file/d/1gbzV5biq3ywA0OXeBlzOi7qnqdgTIWs0/view?usp=drivesdk" TargetMode="External"/><Relationship Id="rId9043" Type="http://schemas.openxmlformats.org/officeDocument/2006/relationships/hyperlink" Target="https://drive.google.com/file/d/1x-k0-kACEVh1p6ht9CrbvLWypa2fFeoi/view?usp=drivesdk" TargetMode="External"/><Relationship Id="rId13219" Type="http://schemas.openxmlformats.org/officeDocument/2006/relationships/hyperlink" Target="https://drive.google.com/file/d/1xnvEaABJh2yNMSWcE-wZQfn15Mg6NmKt/view?usp=drivesdk" TargetMode="External"/><Relationship Id="rId9042" Type="http://schemas.openxmlformats.org/officeDocument/2006/relationships/hyperlink" Target="https://drive.google.com/file/d/1sKuuG-gqsTjT53-UtThLP9V176ivSDEJ/view?usp=drivesdk" TargetMode="External"/><Relationship Id="rId13218" Type="http://schemas.openxmlformats.org/officeDocument/2006/relationships/hyperlink" Target="https://drive.google.com/file/d/16RiwGZhEoQrmfYfJAWTUwCDyc6aRzoIl/view?usp=drivesdk" TargetMode="External"/><Relationship Id="rId9041" Type="http://schemas.openxmlformats.org/officeDocument/2006/relationships/hyperlink" Target="https://drive.google.com/file/d/1hS-4UUcGL9uNtZ0caw0nPtHwTtibjdbT/view?usp=drivesdk" TargetMode="External"/><Relationship Id="rId13217" Type="http://schemas.openxmlformats.org/officeDocument/2006/relationships/hyperlink" Target="https://drive.google.com/file/d/1Yt9V6pwCshB06W3zqfuETAdRCnfVuKDZ/view?usp=drivesdk" TargetMode="External"/><Relationship Id="rId9040" Type="http://schemas.openxmlformats.org/officeDocument/2006/relationships/hyperlink" Target="https://drive.google.com/file/d/1swGcajmuAk2dPxjlIjLW4ue5aRSq4v5w/view?usp=drivesdk" TargetMode="External"/><Relationship Id="rId13216" Type="http://schemas.openxmlformats.org/officeDocument/2006/relationships/hyperlink" Target="https://drive.google.com/file/d/1n4wp8UHbIyPzS-uoeqsEFORm1Tggqnkw/view?usp=drivesdk" TargetMode="External"/><Relationship Id="rId9047" Type="http://schemas.openxmlformats.org/officeDocument/2006/relationships/hyperlink" Target="https://drive.google.com/file/d/1u-fJYLJlytdK1gKpqIFFhmFa1sHZLYOT/view?usp=drivesdk" TargetMode="External"/><Relationship Id="rId9046" Type="http://schemas.openxmlformats.org/officeDocument/2006/relationships/hyperlink" Target="https://drive.google.com/file/d/1vKE7mOOpQyDuOUmVjUFOtoea1PWwxY_e/view?usp=drivesdk" TargetMode="External"/><Relationship Id="rId9045" Type="http://schemas.openxmlformats.org/officeDocument/2006/relationships/hyperlink" Target="https://drive.google.com/file/d/1SiCczz_sglHkJZ4uq7qDcE5Ch2Ewyehj/view?usp=drivesdk" TargetMode="External"/><Relationship Id="rId9044" Type="http://schemas.openxmlformats.org/officeDocument/2006/relationships/hyperlink" Target="https://drive.google.com/file/d/1BQWlY_DWfo4IRR_xAK5jayQMMBDw5Vxm/view?usp=drivesdk" TargetMode="External"/><Relationship Id="rId13211" Type="http://schemas.openxmlformats.org/officeDocument/2006/relationships/hyperlink" Target="https://drive.google.com/file/d/15RjU9ZzcwXD_dM90Mfql9LmE90M-YqH5/view?usp=drivesdk" TargetMode="External"/><Relationship Id="rId13210" Type="http://schemas.openxmlformats.org/officeDocument/2006/relationships/hyperlink" Target="https://drive.google.com/file/d/1Df9URegSS_xuyUrjaC5IhG2zhz2Rbr_g/view?usp=drivesdk" TargetMode="External"/><Relationship Id="rId9049" Type="http://schemas.openxmlformats.org/officeDocument/2006/relationships/hyperlink" Target="https://drive.google.com/file/d/1pT0OBkBVlBuvZUaXf5nzMpfhD6Gnw47x/view?usp=drivesdk" TargetMode="External"/><Relationship Id="rId9048" Type="http://schemas.openxmlformats.org/officeDocument/2006/relationships/hyperlink" Target="https://drive.google.com/file/d/1ym_kgM1PsWOoVhDDMvR9YokNrfoT_0s_/view?usp=drivesdk" TargetMode="External"/><Relationship Id="rId13215" Type="http://schemas.openxmlformats.org/officeDocument/2006/relationships/hyperlink" Target="https://drive.google.com/file/d/1RHCK9z4goLDovAbU8cKssbO9otgbIEt4/view?usp=drivesdk" TargetMode="External"/><Relationship Id="rId13214" Type="http://schemas.openxmlformats.org/officeDocument/2006/relationships/hyperlink" Target="https://drive.google.com/file/d/1Quu82EnQR_K6GyGYaFKDf5MpGdRhUgZU/view?usp=drivesdk" TargetMode="External"/><Relationship Id="rId13213" Type="http://schemas.openxmlformats.org/officeDocument/2006/relationships/hyperlink" Target="https://drive.google.com/file/d/1HrY6U_vk8_f8U6YmrWoY40hp41mGQE17/view?usp=drivesdk" TargetMode="External"/><Relationship Id="rId13212" Type="http://schemas.openxmlformats.org/officeDocument/2006/relationships/hyperlink" Target="https://drive.google.com/file/d/1KKQTyV_8xEt959N5KNDSQXVM1oZBTpvD/view?usp=drivesdk" TargetMode="External"/><Relationship Id="rId9083" Type="http://schemas.openxmlformats.org/officeDocument/2006/relationships/hyperlink" Target="https://drive.google.com/file/d/17d3BxrJkDAhfAP_A4Q93WVuhG3nVWPT4/view?usp=drivesdk" TargetMode="External"/><Relationship Id="rId9082" Type="http://schemas.openxmlformats.org/officeDocument/2006/relationships/hyperlink" Target="https://drive.google.com/file/d/11Dq1MKjxa-oebWmeC-2QH0WjvZ9yiD3N/view?usp=drivesdk" TargetMode="External"/><Relationship Id="rId9081" Type="http://schemas.openxmlformats.org/officeDocument/2006/relationships/hyperlink" Target="https://drive.google.com/file/d/1p1vRSOSMGvLPTqSIvkmy1zFxDybWRzSJ/view?usp=drivesdk" TargetMode="External"/><Relationship Id="rId9080" Type="http://schemas.openxmlformats.org/officeDocument/2006/relationships/hyperlink" Target="https://drive.google.com/file/d/11Jg0t83hCCe48ka79dGEWWsvxSc2xMAY/view?usp=drivesdk" TargetMode="External"/><Relationship Id="rId9076" Type="http://schemas.openxmlformats.org/officeDocument/2006/relationships/hyperlink" Target="https://drive.google.com/file/d/13X89HJqbZ37eX8L5cF7pUc3rdsFon6Xu/view?usp=drivesdk" TargetMode="External"/><Relationship Id="rId9075" Type="http://schemas.openxmlformats.org/officeDocument/2006/relationships/hyperlink" Target="https://drive.google.com/file/d/1B8ZDCwGmHnk0qoSTen1U2ER0-8jCcDNt/view?usp=drivesdk" TargetMode="External"/><Relationship Id="rId9074" Type="http://schemas.openxmlformats.org/officeDocument/2006/relationships/hyperlink" Target="https://drive.google.com/file/d/1tpWmkAfXI8djjTlogZXrtZKBV7KMy5Xc/view?usp=drivesdk" TargetMode="External"/><Relationship Id="rId9073" Type="http://schemas.openxmlformats.org/officeDocument/2006/relationships/hyperlink" Target="https://drive.google.com/file/d/1fL1dizDqXBE-TW3KToRqVzSvF6WKOvb2/view?usp=drivesdk" TargetMode="External"/><Relationship Id="rId9079" Type="http://schemas.openxmlformats.org/officeDocument/2006/relationships/hyperlink" Target="https://drive.google.com/file/d/1Dy9RNaBy8pO1MMmfx7prUsj3Shzw6t_3/view?usp=drivesdk" TargetMode="External"/><Relationship Id="rId9078" Type="http://schemas.openxmlformats.org/officeDocument/2006/relationships/hyperlink" Target="https://drive.google.com/file/d/1PTgpjue_cHZWyCBT6OtRsr4EBLBuivzR/view?usp=drivesdk" TargetMode="External"/><Relationship Id="rId9077" Type="http://schemas.openxmlformats.org/officeDocument/2006/relationships/hyperlink" Target="https://drive.google.com/file/d/15agjNx-xzwPjVJ5cAyA29TDnxJHps3jY/view?usp=drivesdk" TargetMode="External"/><Relationship Id="rId9072" Type="http://schemas.openxmlformats.org/officeDocument/2006/relationships/hyperlink" Target="https://drive.google.com/file/d/1AxBp9hXc4JqBBAmrBtqdgI00-wj4_aZN/view?usp=drivesdk" TargetMode="External"/><Relationship Id="rId9071" Type="http://schemas.openxmlformats.org/officeDocument/2006/relationships/hyperlink" Target="https://drive.google.com/file/d/1Fxyq_p9v5lxxZyHIP0RXd5CeuMRnm_gl/view?usp=drivesdk" TargetMode="External"/><Relationship Id="rId9070" Type="http://schemas.openxmlformats.org/officeDocument/2006/relationships/hyperlink" Target="https://drive.google.com/file/d/1n7ZOffUVwJ0vKa8cxy8TUf8dV8i4sqSa/view?usp=drivesdk" TargetMode="External"/><Relationship Id="rId9065" Type="http://schemas.openxmlformats.org/officeDocument/2006/relationships/hyperlink" Target="https://drive.google.com/file/d/1qmSVo5B--IOVJ6jdWEhl0CMw3XjpAeHV/view?usp=drivesdk" TargetMode="External"/><Relationship Id="rId9064" Type="http://schemas.openxmlformats.org/officeDocument/2006/relationships/hyperlink" Target="https://drive.google.com/file/d/1UXX0RtFKalHHg_XCFGaoPRfCUUeFLhAh/view?usp=drivesdk" TargetMode="External"/><Relationship Id="rId9063" Type="http://schemas.openxmlformats.org/officeDocument/2006/relationships/hyperlink" Target="https://drive.google.com/file/d/1wYznocVB9uxWyJyndgBUSLVDb7ND5V3K/view?usp=drivesdk" TargetMode="External"/><Relationship Id="rId9062" Type="http://schemas.openxmlformats.org/officeDocument/2006/relationships/hyperlink" Target="https://drive.google.com/file/d/1o2u7D1oyv-uo3oGIYJiE69HKnwfpzTU0/view?usp=drivesdk" TargetMode="External"/><Relationship Id="rId9069" Type="http://schemas.openxmlformats.org/officeDocument/2006/relationships/hyperlink" Target="https://drive.google.com/file/d/11PZ5RvtIWDLsZd5iWczR-8WIGs6bOIAI/view?usp=drivesdk" TargetMode="External"/><Relationship Id="rId9068" Type="http://schemas.openxmlformats.org/officeDocument/2006/relationships/hyperlink" Target="https://drive.google.com/file/d/191kh8soGuYlx7efyJxnB2LUiB0rngHnH/view?usp=drivesdk" TargetMode="External"/><Relationship Id="rId9067" Type="http://schemas.openxmlformats.org/officeDocument/2006/relationships/hyperlink" Target="https://drive.google.com/file/d/1qphonOK4a6B219Gpl0VXxlR1Jxqy7vvV/view?usp=drivesdk" TargetMode="External"/><Relationship Id="rId9066" Type="http://schemas.openxmlformats.org/officeDocument/2006/relationships/hyperlink" Target="https://drive.google.com/file/d/13pCgeOZlKqUqJcYAYGk1Qhic2JKEd_FP/view?usp=drivesdk" TargetMode="External"/><Relationship Id="rId13251" Type="http://schemas.openxmlformats.org/officeDocument/2006/relationships/hyperlink" Target="https://drive.google.com/file/d/1xfybhhFeZbxKg4_a4cFOjLgZwsti2Ggt/view?usp=drivesdk" TargetMode="External"/><Relationship Id="rId13250" Type="http://schemas.openxmlformats.org/officeDocument/2006/relationships/hyperlink" Target="https://drive.google.com/file/d/1d69OxxQIVcTC0C3kbPnjKf3ST4tNnLem/view?usp=drivesdk" TargetMode="External"/><Relationship Id="rId9010" Type="http://schemas.openxmlformats.org/officeDocument/2006/relationships/hyperlink" Target="https://drive.google.com/file/d/1v2pnvGwmoDJx_DrzjsOwaB45GvQ61NxP/view?usp=drivesdk" TargetMode="External"/><Relationship Id="rId13249" Type="http://schemas.openxmlformats.org/officeDocument/2006/relationships/hyperlink" Target="https://drive.google.com/file/d/1ZK4gNBP92ifdAGP1ESejC9V_MRs1N9AQ/view?usp=drivesdk" TargetMode="External"/><Relationship Id="rId9014" Type="http://schemas.openxmlformats.org/officeDocument/2006/relationships/hyperlink" Target="https://drive.google.com/file/d/1buZb_v8aQkVKRQRBioX22remHWhHtFTn/view?usp=drivesdk" TargetMode="External"/><Relationship Id="rId9013" Type="http://schemas.openxmlformats.org/officeDocument/2006/relationships/hyperlink" Target="https://drive.google.com/file/d/1U3fOpIaI7r5jK6hZZ1MbSYZJRPjCeOh7/view?usp=drivesdk" TargetMode="External"/><Relationship Id="rId9012" Type="http://schemas.openxmlformats.org/officeDocument/2006/relationships/hyperlink" Target="https://drive.google.com/file/d/1C9Az-_9HAcAgkSwoQKUmg_gvSgzgBIWl/view?usp=drivesdk" TargetMode="External"/><Relationship Id="rId9011" Type="http://schemas.openxmlformats.org/officeDocument/2006/relationships/hyperlink" Target="https://drive.google.com/file/d/1AcJCnv35FUer8M4nwUbU-NH-5ZHc2cHo/view?usp=drivesdk" TargetMode="External"/><Relationship Id="rId9018" Type="http://schemas.openxmlformats.org/officeDocument/2006/relationships/hyperlink" Target="https://drive.google.com/file/d/1odKVe53DD7Cyc6e2PRp2gNt-Boq4a28M/view?usp=drivesdk" TargetMode="External"/><Relationship Id="rId13244" Type="http://schemas.openxmlformats.org/officeDocument/2006/relationships/hyperlink" Target="https://drive.google.com/file/d/10ISnDfw6vuBQYtBYWF0QS3HfHYXw1De3/view?usp=drivesdk" TargetMode="External"/><Relationship Id="rId9017" Type="http://schemas.openxmlformats.org/officeDocument/2006/relationships/hyperlink" Target="https://drive.google.com/file/d/1ImcbNWWKd53oMIK0fr5Y60s7qKyMV0Hw/view?usp=drivesdk" TargetMode="External"/><Relationship Id="rId13243" Type="http://schemas.openxmlformats.org/officeDocument/2006/relationships/hyperlink" Target="https://drive.google.com/file/d/1SmnUN4ABjA36a53lVGToJQZ4i-V-rUUC/view?usp=drivesdk" TargetMode="External"/><Relationship Id="rId9016" Type="http://schemas.openxmlformats.org/officeDocument/2006/relationships/hyperlink" Target="https://drive.google.com/file/d/10Qm1wLSmkp4rj_qWm3gKQYdwmTdjHaMU/view?usp=drivesdk" TargetMode="External"/><Relationship Id="rId13242" Type="http://schemas.openxmlformats.org/officeDocument/2006/relationships/hyperlink" Target="https://drive.google.com/file/d/1E11goQby61Cy6gJUM5vDvPQUhruMpCMC/view?usp=drivesdk" TargetMode="External"/><Relationship Id="rId9015" Type="http://schemas.openxmlformats.org/officeDocument/2006/relationships/hyperlink" Target="https://drive.google.com/file/d/1VZBVTrZJV21p4nhAm8urQIXbyovx-2cm/view?usp=drivesdk" TargetMode="External"/><Relationship Id="rId13241" Type="http://schemas.openxmlformats.org/officeDocument/2006/relationships/hyperlink" Target="https://drive.google.com/file/d/1WnLj3Q0o--otuLe7fUxci02WzRG0AYgQ/view?usp=drivesdk" TargetMode="External"/><Relationship Id="rId13248" Type="http://schemas.openxmlformats.org/officeDocument/2006/relationships/hyperlink" Target="https://drive.google.com/file/d/1gjxbvjFl5bu1jCUQV2lfk5lWRtu7ZCu0/view?usp=drivesdk" TargetMode="External"/><Relationship Id="rId13247" Type="http://schemas.openxmlformats.org/officeDocument/2006/relationships/hyperlink" Target="https://drive.google.com/file/d/1-92IhgcZz9qfiSf5clp4kPzN9Wjg451z/view?usp=drivesdk" TargetMode="External"/><Relationship Id="rId13246" Type="http://schemas.openxmlformats.org/officeDocument/2006/relationships/hyperlink" Target="https://drive.google.com/file/d/1WaeNHAOshps9Teq7JUrXN1tAydgDmZ4c/view?usp=drivesdk" TargetMode="External"/><Relationship Id="rId9019" Type="http://schemas.openxmlformats.org/officeDocument/2006/relationships/hyperlink" Target="https://drive.google.com/file/d/1PAZ_eobyAxcOGjIiqBsbwufkDTRkMrYL/view?usp=drivesdk" TargetMode="External"/><Relationship Id="rId13245" Type="http://schemas.openxmlformats.org/officeDocument/2006/relationships/hyperlink" Target="https://drive.google.com/file/d/1-o-ArNgqeo3OZnd2o2z92V1FE1aQN1vp/view?usp=drivesdk" TargetMode="External"/><Relationship Id="rId13262" Type="http://schemas.openxmlformats.org/officeDocument/2006/relationships/hyperlink" Target="https://drive.google.com/file/d/1xNoOzJ8v6f7C0BGm7whGAMMcYeuEv5jy/view?usp=drivesdk" TargetMode="External"/><Relationship Id="rId13261" Type="http://schemas.openxmlformats.org/officeDocument/2006/relationships/hyperlink" Target="https://drive.google.com/file/d/1LVIDIw0jSsLfzLKVC1aRraSlbr9RkFbf/view?usp=drivesdk" TargetMode="External"/><Relationship Id="rId13260" Type="http://schemas.openxmlformats.org/officeDocument/2006/relationships/hyperlink" Target="https://drive.google.com/file/d/1Wp6gJyjNWapCOemP0FET2scLflnl6dbG/view?usp=drivesdk" TargetMode="External"/><Relationship Id="rId9003" Type="http://schemas.openxmlformats.org/officeDocument/2006/relationships/hyperlink" Target="https://drive.google.com/file/d/1ZzKIKgO5dnOUhLJOSC9wKbRGqskcak6E/view?usp=drivesdk" TargetMode="External"/><Relationship Id="rId9002" Type="http://schemas.openxmlformats.org/officeDocument/2006/relationships/hyperlink" Target="https://drive.google.com/file/d/1otuIdRDGUgsENPUPSiWoOiZGvKh7eUfE/view?usp=drivesdk" TargetMode="External"/><Relationship Id="rId9001" Type="http://schemas.openxmlformats.org/officeDocument/2006/relationships/hyperlink" Target="https://drive.google.com/file/d/1BTP6-rRMbJGal_3SEisClmN6P7JKhUeV/view?usp=drivesdk" TargetMode="External"/><Relationship Id="rId9000" Type="http://schemas.openxmlformats.org/officeDocument/2006/relationships/hyperlink" Target="https://drive.google.com/file/d/1bJyaYtPMaD0r22P8tt_WoEG_9KSge_T7/view?usp=drivesdk" TargetMode="External"/><Relationship Id="rId9007" Type="http://schemas.openxmlformats.org/officeDocument/2006/relationships/hyperlink" Target="https://drive.google.com/file/d/1CxF4eJyBjnKtU7cTaLTIwValkYPOvUsu/view?usp=drivesdk" TargetMode="External"/><Relationship Id="rId13255" Type="http://schemas.openxmlformats.org/officeDocument/2006/relationships/hyperlink" Target="https://drive.google.com/file/d/1tlX2IK1CpRsAKPoCwcYhDG82qXz1qdxc/view?usp=drivesdk" TargetMode="External"/><Relationship Id="rId9006" Type="http://schemas.openxmlformats.org/officeDocument/2006/relationships/hyperlink" Target="https://drive.google.com/file/d/1-U8j74Z3L-KX_ATSPHuDRDhBsbHC2WwW/view?usp=drivesdk" TargetMode="External"/><Relationship Id="rId13254" Type="http://schemas.openxmlformats.org/officeDocument/2006/relationships/hyperlink" Target="https://drive.google.com/file/d/11WOogM_bNiZCELNhltFY4iB7-ENUoJja/view?usp=drivesdk" TargetMode="External"/><Relationship Id="rId9005" Type="http://schemas.openxmlformats.org/officeDocument/2006/relationships/hyperlink" Target="https://drive.google.com/file/d/1GKFU8LpIFz1-WMDhIBHr-FYzt_mJV9GR/view?usp=drivesdk" TargetMode="External"/><Relationship Id="rId13253" Type="http://schemas.openxmlformats.org/officeDocument/2006/relationships/hyperlink" Target="https://drive.google.com/file/d/1otB6W91Mx53W6hH22MnT4B1CrvQj8HOM/view?usp=drivesdk" TargetMode="External"/><Relationship Id="rId9004" Type="http://schemas.openxmlformats.org/officeDocument/2006/relationships/hyperlink" Target="https://drive.google.com/file/d/11K8bhTz-vJOYbMXcvjD0oHc5UcbVQLra/view?usp=drivesdk" TargetMode="External"/><Relationship Id="rId13252" Type="http://schemas.openxmlformats.org/officeDocument/2006/relationships/hyperlink" Target="https://drive.google.com/file/d/15ZIJbWkaQZ7d5h38ZSj0yNTe2Y6yqpoq/view?usp=drivesdk" TargetMode="External"/><Relationship Id="rId13259" Type="http://schemas.openxmlformats.org/officeDocument/2006/relationships/hyperlink" Target="https://drive.google.com/file/d/1cRCNE2gt5-XMPpV1gXWRuvPgfURkmOf4/view?usp=drivesdk" TargetMode="External"/><Relationship Id="rId13258" Type="http://schemas.openxmlformats.org/officeDocument/2006/relationships/hyperlink" Target="https://drive.google.com/file/d/1IQncWnjgfWq7UGZnpqROdnuRROLQW6Re/view?usp=drivesdk" TargetMode="External"/><Relationship Id="rId9009" Type="http://schemas.openxmlformats.org/officeDocument/2006/relationships/hyperlink" Target="https://drive.google.com/file/d/1Ph2E-dZiHDzwpByXnqaVTstefjVW8_Cs/view?usp=drivesdk" TargetMode="External"/><Relationship Id="rId13257" Type="http://schemas.openxmlformats.org/officeDocument/2006/relationships/hyperlink" Target="https://drive.google.com/file/d/1DOX7LGEa77OioIPVCwVChVLEjxdLdGhL/view?usp=drivesdk" TargetMode="External"/><Relationship Id="rId9008" Type="http://schemas.openxmlformats.org/officeDocument/2006/relationships/hyperlink" Target="https://drive.google.com/file/d/1zcqn0PO9-rkWwiCfYo1v9Sg-pwCBnOQt/view?usp=drivesdk" TargetMode="External"/><Relationship Id="rId13256" Type="http://schemas.openxmlformats.org/officeDocument/2006/relationships/hyperlink" Target="https://drive.google.com/file/d/1OnHiVNDOvBo1nMxtORbLxN-zJYBoZ5K8/view?usp=drivesdk" TargetMode="External"/><Relationship Id="rId9032" Type="http://schemas.openxmlformats.org/officeDocument/2006/relationships/hyperlink" Target="https://drive.google.com/file/d/1m16cbS_T4_5MeBlgnRZtb2KIosAsqdVU/view?usp=drivesdk" TargetMode="External"/><Relationship Id="rId9031" Type="http://schemas.openxmlformats.org/officeDocument/2006/relationships/hyperlink" Target="https://drive.google.com/file/d/1a3xdL2B4x9U7A31LAeSNOfFgGwqYLsyp/view?usp=drivesdk" TargetMode="External"/><Relationship Id="rId13229" Type="http://schemas.openxmlformats.org/officeDocument/2006/relationships/hyperlink" Target="https://drive.google.com/file/d/1ACnJ8FDV4D0kmvZJ54YnRHK2jj8KHXcW/view?usp=drivesdk" TargetMode="External"/><Relationship Id="rId9030" Type="http://schemas.openxmlformats.org/officeDocument/2006/relationships/hyperlink" Target="https://drive.google.com/file/d/1Jmr4_D-JSrqltqRs6baZDYIH8FXp3vm0/view?usp=drivesdk" TargetMode="External"/><Relationship Id="rId13228" Type="http://schemas.openxmlformats.org/officeDocument/2006/relationships/hyperlink" Target="https://drive.google.com/file/d/1jsCr4Jxlu14ElhS76M8dlL4lRLx23Ybl/view?usp=drivesdk" TargetMode="External"/><Relationship Id="rId13227" Type="http://schemas.openxmlformats.org/officeDocument/2006/relationships/hyperlink" Target="https://drive.google.com/file/d/1j-eVLaEf4RHQyeBR3KoRUd1rDdFfWfat/view?usp=drivesdk" TargetMode="External"/><Relationship Id="rId9036" Type="http://schemas.openxmlformats.org/officeDocument/2006/relationships/hyperlink" Target="https://drive.google.com/file/d/1mFM4ITt5xURJW-YJxyRM3JLK3lrgKbti/view?usp=drivesdk" TargetMode="External"/><Relationship Id="rId9035" Type="http://schemas.openxmlformats.org/officeDocument/2006/relationships/hyperlink" Target="https://drive.google.com/file/d/1sa_pg4MHxx0FqRuJfAqgizyKOiC_6_vY/view?usp=drivesdk" TargetMode="External"/><Relationship Id="rId9034" Type="http://schemas.openxmlformats.org/officeDocument/2006/relationships/hyperlink" Target="https://drive.google.com/file/d/19mw13Uii74cSpJ5guwuZfMhEFOt9WN6-/view?usp=drivesdk" TargetMode="External"/><Relationship Id="rId9033" Type="http://schemas.openxmlformats.org/officeDocument/2006/relationships/hyperlink" Target="https://drive.google.com/file/d/1IK_ymfo_j0UZo7BeAmLuC2oJ1K23Eksw/view?usp=drivesdk" TargetMode="External"/><Relationship Id="rId13222" Type="http://schemas.openxmlformats.org/officeDocument/2006/relationships/hyperlink" Target="https://drive.google.com/file/d/1Oy23x4Yvq-eqh_Cyta_R6LOJkPsKEdBD/view?usp=drivesdk" TargetMode="External"/><Relationship Id="rId9039" Type="http://schemas.openxmlformats.org/officeDocument/2006/relationships/hyperlink" Target="https://drive.google.com/file/d/1fvwty57sBouo7F3yc4K2EoTDlCpMayyL/view?usp=drivesdk" TargetMode="External"/><Relationship Id="rId13221" Type="http://schemas.openxmlformats.org/officeDocument/2006/relationships/hyperlink" Target="https://drive.google.com/file/d/1M-Q4W71sdaFQrKuWzoun4V4vGRAD3m-7/view?usp=drivesdk" TargetMode="External"/><Relationship Id="rId9038" Type="http://schemas.openxmlformats.org/officeDocument/2006/relationships/hyperlink" Target="https://drive.google.com/file/d/1uGkptFIADzd95i_1z6zF34646e9xsl2x/view?usp=drivesdk" TargetMode="External"/><Relationship Id="rId13220" Type="http://schemas.openxmlformats.org/officeDocument/2006/relationships/hyperlink" Target="https://drive.google.com/file/d/1eUftBEhuOgYCn0O-MIqC9yvu1ZC0RzML/view?usp=drivesdk" TargetMode="External"/><Relationship Id="rId9037" Type="http://schemas.openxmlformats.org/officeDocument/2006/relationships/hyperlink" Target="https://drive.google.com/file/d/1Pssx5De_2LifIfq3FGv6x7M2SZsWERUg/view?usp=drivesdk" TargetMode="External"/><Relationship Id="rId13226" Type="http://schemas.openxmlformats.org/officeDocument/2006/relationships/hyperlink" Target="https://drive.google.com/file/d/15K0RHQaF9SYliwOtAeD4S-Sd67lsrb-v/view?usp=drivesdk" TargetMode="External"/><Relationship Id="rId13225" Type="http://schemas.openxmlformats.org/officeDocument/2006/relationships/hyperlink" Target="https://drive.google.com/file/d/1WEoYPIl30wPslaqt7h0PGnXre6zBnNzC/view?usp=drivesdk" TargetMode="External"/><Relationship Id="rId13224" Type="http://schemas.openxmlformats.org/officeDocument/2006/relationships/hyperlink" Target="https://drive.google.com/file/d/1D5PxJ8S4XFCJJeyjMcrRl8lTNsfVh22u/view?usp=drivesdk" TargetMode="External"/><Relationship Id="rId13223" Type="http://schemas.openxmlformats.org/officeDocument/2006/relationships/hyperlink" Target="https://drive.google.com/file/d/1UQ71ZFENL0xjrdhFLbv3sWc-IhsIDPJs/view?usp=drivesdk" TargetMode="External"/><Relationship Id="rId13240" Type="http://schemas.openxmlformats.org/officeDocument/2006/relationships/hyperlink" Target="https://drive.google.com/file/d/1QKNprk_xYxJw1RG7VSGJ8pzT8P--fNEo/view?usp=drivesdk" TargetMode="External"/><Relationship Id="rId9021" Type="http://schemas.openxmlformats.org/officeDocument/2006/relationships/hyperlink" Target="https://drive.google.com/file/d/1WReOn8xrVlpS-cz3E9usEHN-KmFQZqnV/view?usp=drivesdk" TargetMode="External"/><Relationship Id="rId9020" Type="http://schemas.openxmlformats.org/officeDocument/2006/relationships/hyperlink" Target="https://drive.google.com/file/d/1IXPMaKcJoh0GqjkPf-OfVjPPYCkhnC66/view?usp=drivesdk" TargetMode="External"/><Relationship Id="rId13239" Type="http://schemas.openxmlformats.org/officeDocument/2006/relationships/hyperlink" Target="https://drive.google.com/file/d/1pDecx0XeTl2LFUfUKe76-xKf441QArRI/view?usp=drivesdk" TargetMode="External"/><Relationship Id="rId13238" Type="http://schemas.openxmlformats.org/officeDocument/2006/relationships/hyperlink" Target="https://drive.google.com/file/d/1XJ8DbUtwfClA8tjTi-CuMUOIjAJuRmby/view?usp=drivesdk" TargetMode="External"/><Relationship Id="rId9025" Type="http://schemas.openxmlformats.org/officeDocument/2006/relationships/hyperlink" Target="https://drive.google.com/file/d/1MTxbz3iGB9veFCeWQ-KzuIx26_xht8Wa/view?usp=drivesdk" TargetMode="External"/><Relationship Id="rId9024" Type="http://schemas.openxmlformats.org/officeDocument/2006/relationships/hyperlink" Target="https://drive.google.com/file/d/1pJwx_iYPQqJimkWAuYKG9x8kUiwVXkdJ/view?usp=drivesdk" TargetMode="External"/><Relationship Id="rId9023" Type="http://schemas.openxmlformats.org/officeDocument/2006/relationships/hyperlink" Target="https://drive.google.com/file/d/1o03JtLgFKvmt1BxKIWY6vl0mTyd5LiSN/view?usp=drivesdk" TargetMode="External"/><Relationship Id="rId9022" Type="http://schemas.openxmlformats.org/officeDocument/2006/relationships/hyperlink" Target="https://drive.google.com/file/d/16npSqUT1CpJcD5GBjnxRQ0tCzwc-X8q7/view?usp=drivesdk" TargetMode="External"/><Relationship Id="rId9029" Type="http://schemas.openxmlformats.org/officeDocument/2006/relationships/hyperlink" Target="https://drive.google.com/file/d/1xpPn9vIEWNBVSUi0VTPSsMDzcdROG_AD/view?usp=drivesdk" TargetMode="External"/><Relationship Id="rId13233" Type="http://schemas.openxmlformats.org/officeDocument/2006/relationships/hyperlink" Target="https://drive.google.com/file/d/1B5w1bgdHw0mkR6UDhULPTqB4PLNjTDlh/view?usp=drivesdk" TargetMode="External"/><Relationship Id="rId9028" Type="http://schemas.openxmlformats.org/officeDocument/2006/relationships/hyperlink" Target="https://drive.google.com/file/d/1NVT8aSrutsGf5CSKB9JMnfU2a4CK3Gfo/view?usp=drivesdk" TargetMode="External"/><Relationship Id="rId13232" Type="http://schemas.openxmlformats.org/officeDocument/2006/relationships/hyperlink" Target="https://drive.google.com/file/d/1mNKmRULF2qYv-yhdZmAwAsVaIPAS-9od/view?usp=drivesdk" TargetMode="External"/><Relationship Id="rId9027" Type="http://schemas.openxmlformats.org/officeDocument/2006/relationships/hyperlink" Target="https://drive.google.com/file/d/1cmKtMfshwSMilYepWuBnpWZs7y-YSkNW/view?usp=drivesdk" TargetMode="External"/><Relationship Id="rId13231" Type="http://schemas.openxmlformats.org/officeDocument/2006/relationships/hyperlink" Target="https://drive.google.com/file/d/1_oQ7fKCvUZIhCdG9pSy6mUOT6Q_e2Axq/view?usp=drivesdk" TargetMode="External"/><Relationship Id="rId9026" Type="http://schemas.openxmlformats.org/officeDocument/2006/relationships/hyperlink" Target="https://drive.google.com/file/d/1R5tToYyOL8O6NTxTLVX29OsjOzHOR9Is/view?usp=drivesdk" TargetMode="External"/><Relationship Id="rId13230" Type="http://schemas.openxmlformats.org/officeDocument/2006/relationships/hyperlink" Target="https://drive.google.com/file/d/1F_KgVfSb_SkMSVQ6GCgSJ5RLA55o5ss4/view?usp=drivesdk" TargetMode="External"/><Relationship Id="rId13237" Type="http://schemas.openxmlformats.org/officeDocument/2006/relationships/hyperlink" Target="https://drive.google.com/file/d/1eVn1uJOSuZM9i06tlZ-a-5f8WWPlneH8/view?usp=drivesdk" TargetMode="External"/><Relationship Id="rId13236" Type="http://schemas.openxmlformats.org/officeDocument/2006/relationships/hyperlink" Target="https://drive.google.com/file/d/1IP9vIAMA4iYcd0vkxo-Ml63P6KtespGj/view?usp=drivesdk" TargetMode="External"/><Relationship Id="rId13235" Type="http://schemas.openxmlformats.org/officeDocument/2006/relationships/hyperlink" Target="https://drive.google.com/file/d/18wLbmirSVJoVU4T0-K6eAkr_VGpHmHey/view?usp=drivesdk" TargetMode="External"/><Relationship Id="rId13234" Type="http://schemas.openxmlformats.org/officeDocument/2006/relationships/hyperlink" Target="https://drive.google.com/file/d/1588WOwifW1z3ks_m3fjk-HCi9Au0QL_-/view?usp=drivesdk" TargetMode="External"/><Relationship Id="rId9098" Type="http://schemas.openxmlformats.org/officeDocument/2006/relationships/hyperlink" Target="https://drive.google.com/file/d/1CnJZT96Woa7sovzDPlPZ9WQRiEq8BH7Q/view?usp=drivesdk" TargetMode="External"/><Relationship Id="rId9097" Type="http://schemas.openxmlformats.org/officeDocument/2006/relationships/hyperlink" Target="https://drive.google.com/file/d/19TXfJathrGISk-OuKeBQYCb8FPkZ83EW/view?usp=drivesdk" TargetMode="External"/><Relationship Id="rId9096" Type="http://schemas.openxmlformats.org/officeDocument/2006/relationships/hyperlink" Target="https://drive.google.com/file/d/1xM8InAe8uzDYswHOuhEuDkP5xNZiVcOa/view?usp=drivesdk" TargetMode="External"/><Relationship Id="rId9095" Type="http://schemas.openxmlformats.org/officeDocument/2006/relationships/hyperlink" Target="https://drive.google.com/file/d/1iC-0hQX3g6oNjByiBqLxq929eezl0PlR/view?usp=drivesdk" TargetMode="External"/><Relationship Id="rId9099" Type="http://schemas.openxmlformats.org/officeDocument/2006/relationships/hyperlink" Target="https://drive.google.com/file/d/1uKWLeZoKmOdMqcIXkrsWGBa_xJ92BU06/view?usp=drivesdk" TargetMode="External"/><Relationship Id="rId9090" Type="http://schemas.openxmlformats.org/officeDocument/2006/relationships/hyperlink" Target="https://drive.google.com/file/d/1clk8exy9hIhQTam3ob0xqLKj52MVa7o-/view?usp=drivesdk" TargetMode="External"/><Relationship Id="rId9094" Type="http://schemas.openxmlformats.org/officeDocument/2006/relationships/hyperlink" Target="https://drive.google.com/file/d/1kc_iL5nmU14e4j0rhYAlZ7kzzVhVnVlX/view?usp=drivesdk" TargetMode="External"/><Relationship Id="rId9093" Type="http://schemas.openxmlformats.org/officeDocument/2006/relationships/hyperlink" Target="https://drive.google.com/file/d/1nj120piaP6-97pewYc8PzHaa5f3YEg7J/view?usp=drivesdk" TargetMode="External"/><Relationship Id="rId9092" Type="http://schemas.openxmlformats.org/officeDocument/2006/relationships/hyperlink" Target="https://drive.google.com/file/d/14APYGS6Yfojv4UsundJd3YL4wqUoab5F/view?usp=drivesdk" TargetMode="External"/><Relationship Id="rId9091" Type="http://schemas.openxmlformats.org/officeDocument/2006/relationships/hyperlink" Target="https://drive.google.com/file/d/1xanLiyvMUV3uFMMqM8eyl2UcYLROIFr9/view?usp=drivesdk" TargetMode="External"/><Relationship Id="rId9087" Type="http://schemas.openxmlformats.org/officeDocument/2006/relationships/hyperlink" Target="https://drive.google.com/file/d/18EmVr0W0C68sfD2uBlO_e5_50Oe7QVri/view?usp=drivesdk" TargetMode="External"/><Relationship Id="rId9086" Type="http://schemas.openxmlformats.org/officeDocument/2006/relationships/hyperlink" Target="https://drive.google.com/file/d/1L5vYvVdT4X9gMb5ABaVKNp5hKIKKGLWJ/view?usp=drivesdk" TargetMode="External"/><Relationship Id="rId9085" Type="http://schemas.openxmlformats.org/officeDocument/2006/relationships/hyperlink" Target="https://drive.google.com/file/d/1Xnsb-0HdBYtmFShiMUh4LyO125R35r3x/view?usp=drivesdk" TargetMode="External"/><Relationship Id="rId9084" Type="http://schemas.openxmlformats.org/officeDocument/2006/relationships/hyperlink" Target="https://drive.google.com/file/d/1ElCh7aki_N1whSdbjt3EW3Cj9M-ZDUS4/view?usp=drivesdk" TargetMode="External"/><Relationship Id="rId9089" Type="http://schemas.openxmlformats.org/officeDocument/2006/relationships/hyperlink" Target="https://drive.google.com/file/d/1jG9gfS8Cp5YsnxjTV94oBuGm3Qdu8fSM/view?usp=drivesdk" TargetMode="External"/><Relationship Id="rId9088" Type="http://schemas.openxmlformats.org/officeDocument/2006/relationships/hyperlink" Target="https://drive.google.com/file/d/1XVteSAoNjKRrskmQ8LLKr7DTEnlHL2Oe/view?usp=drivesdk" TargetMode="External"/><Relationship Id="rId13053" Type="http://schemas.openxmlformats.org/officeDocument/2006/relationships/hyperlink" Target="https://drive.google.com/file/d/12WegLIY_zo3ZTmO9rjmmn5fQ1i8sCREC/view?usp=drivesdk" TargetMode="External"/><Relationship Id="rId13052" Type="http://schemas.openxmlformats.org/officeDocument/2006/relationships/hyperlink" Target="https://drive.google.com/file/d/1YXLt12HzoF58la4ldeG1UWr5_G9hJuMW/view?usp=drivesdk" TargetMode="External"/><Relationship Id="rId13051" Type="http://schemas.openxmlformats.org/officeDocument/2006/relationships/hyperlink" Target="https://drive.google.com/file/d/1J_fGbnQ5SLSXrd0GFjpjmoRnsn1eVoMA/view?usp=drivesdk" TargetMode="External"/><Relationship Id="rId13050" Type="http://schemas.openxmlformats.org/officeDocument/2006/relationships/hyperlink" Target="https://drive.google.com/file/d/1iwCdG7ynfS8JUP4Fk_4qS2SG-APtm26Q/view?usp=drivesdk" TargetMode="External"/><Relationship Id="rId13046" Type="http://schemas.openxmlformats.org/officeDocument/2006/relationships/hyperlink" Target="https://drive.google.com/file/d/1rXPxp46pP1Ss8_5EuHleamvNuzaaUhty/view?usp=drivesdk" TargetMode="External"/><Relationship Id="rId13045" Type="http://schemas.openxmlformats.org/officeDocument/2006/relationships/hyperlink" Target="https://drive.google.com/file/d/1patcZpejSl3vuy7hg4KcEQjltZsDthh2/view?usp=drivesdk" TargetMode="External"/><Relationship Id="rId13044" Type="http://schemas.openxmlformats.org/officeDocument/2006/relationships/hyperlink" Target="https://drive.google.com/file/d/1I9aLlD9ohs2Bk69Q0NODxPzCuyVs5m8y/view?usp=drivesdk" TargetMode="External"/><Relationship Id="rId13043" Type="http://schemas.openxmlformats.org/officeDocument/2006/relationships/hyperlink" Target="https://drive.google.com/file/d/1T9aAwZGzQ_rJhFAKg5J0FI5-xIJAcIkJ/view?usp=drivesdk" TargetMode="External"/><Relationship Id="rId13049" Type="http://schemas.openxmlformats.org/officeDocument/2006/relationships/hyperlink" Target="https://drive.google.com/file/d/1Nydvtk9Ajp0MnvmsfyywFuuzbmvosYTC/view?usp=drivesdk" TargetMode="External"/><Relationship Id="rId13048" Type="http://schemas.openxmlformats.org/officeDocument/2006/relationships/hyperlink" Target="https://drive.google.com/file/d/1yTUJjgBhmTcPvUrOHKuGphfT9iyW06Cl/view?usp=drivesdk" TargetMode="External"/><Relationship Id="rId13047" Type="http://schemas.openxmlformats.org/officeDocument/2006/relationships/hyperlink" Target="https://drive.google.com/file/d/1ZGoi78lNF9FuSWngUwtWYnSf6eJeZnK7/view?usp=drivesdk" TargetMode="External"/><Relationship Id="rId13060" Type="http://schemas.openxmlformats.org/officeDocument/2006/relationships/hyperlink" Target="https://drive.google.com/file/d/13khMI5_VYe4oUjF0YaRzZ2GNdiYcZqA0/view?usp=drivesdk" TargetMode="External"/><Relationship Id="rId13064" Type="http://schemas.openxmlformats.org/officeDocument/2006/relationships/hyperlink" Target="https://drive.google.com/file/d/1YKwJFiE0tCe1Bm0fg8_maKHB-z1HwfDu/view?usp=drivesdk" TargetMode="External"/><Relationship Id="rId13063" Type="http://schemas.openxmlformats.org/officeDocument/2006/relationships/hyperlink" Target="https://drive.google.com/file/d/13MVaji6C6by8v1Qif-TqUh88AA7MjhBD/view?usp=drivesdk" TargetMode="External"/><Relationship Id="rId13062" Type="http://schemas.openxmlformats.org/officeDocument/2006/relationships/hyperlink" Target="https://drive.google.com/file/d/1JKs3zUMMSOkIspFZg7kHgyYarwZPbu14/view?usp=drivesdk" TargetMode="External"/><Relationship Id="rId13061" Type="http://schemas.openxmlformats.org/officeDocument/2006/relationships/hyperlink" Target="https://drive.google.com/file/d/1Rjc4cTMXBeoDKlimqPLeR7SGslxJui7m/view?usp=drivesdk" TargetMode="External"/><Relationship Id="rId13057" Type="http://schemas.openxmlformats.org/officeDocument/2006/relationships/hyperlink" Target="https://drive.google.com/file/d/16JWY3rGiXgN70Kwyzwqzo_owzFmE_zjG/view?usp=drivesdk" TargetMode="External"/><Relationship Id="rId13056" Type="http://schemas.openxmlformats.org/officeDocument/2006/relationships/hyperlink" Target="https://drive.google.com/file/d/1mkqU8bXYZ8vEl6EreTDyJ_sufiER0Xvz/view?usp=drivesdk" TargetMode="External"/><Relationship Id="rId13055" Type="http://schemas.openxmlformats.org/officeDocument/2006/relationships/hyperlink" Target="https://drive.google.com/file/d/1CBDlJ0kT9pMMaYcxXk4ajK5qVDi7btJ5/view?usp=drivesdk" TargetMode="External"/><Relationship Id="rId13054" Type="http://schemas.openxmlformats.org/officeDocument/2006/relationships/hyperlink" Target="https://drive.google.com/file/d/1Lv1ZBWeV42S7kMxRTHJ83QEkTG911cte/view?usp=drivesdk" TargetMode="External"/><Relationship Id="rId13059" Type="http://schemas.openxmlformats.org/officeDocument/2006/relationships/hyperlink" Target="https://drive.google.com/file/d/1NqtIxNGbRBCzlhUzjaSnYvZgSuCOva6-/view?usp=drivesdk" TargetMode="External"/><Relationship Id="rId13058" Type="http://schemas.openxmlformats.org/officeDocument/2006/relationships/hyperlink" Target="https://drive.google.com/file/d/1EAMiwfS39d-NnVVPIqOMII_LrP0_BEbA/view?usp=drivesdk" TargetMode="External"/><Relationship Id="rId13031" Type="http://schemas.openxmlformats.org/officeDocument/2006/relationships/hyperlink" Target="https://drive.google.com/file/d/13d0Ee7RntrXc3ysY22_R7KfGNhANbaxA/view?usp=drivesdk" TargetMode="External"/><Relationship Id="rId13030" Type="http://schemas.openxmlformats.org/officeDocument/2006/relationships/hyperlink" Target="https://drive.google.com/file/d/1pPqconJFTNJ5BGIoe_0bh2555nq4Hj-b/view?usp=drivesdk" TargetMode="External"/><Relationship Id="rId13029" Type="http://schemas.openxmlformats.org/officeDocument/2006/relationships/hyperlink" Target="https://drive.google.com/file/d/1grtz2q67jdnRe5YaImSn-bdfpwflCLLa/view?usp=drivesdk" TargetMode="External"/><Relationship Id="rId9113" Type="http://schemas.openxmlformats.org/officeDocument/2006/relationships/hyperlink" Target="https://drive.google.com/file/d/1helbPJownnonadhytWefUjluOCRNlPWW/view?usp=drivesdk" TargetMode="External"/><Relationship Id="rId9112" Type="http://schemas.openxmlformats.org/officeDocument/2006/relationships/hyperlink" Target="https://drive.google.com/file/d/1VzZQ7bRpVdFZ_l1B8WjN81acCouoJFXe/view?usp=drivesdk" TargetMode="External"/><Relationship Id="rId9111" Type="http://schemas.openxmlformats.org/officeDocument/2006/relationships/hyperlink" Target="https://drive.google.com/file/d/170Pndw54M5emcKVJzIYQbMA2K-EcHT80/view?usp=drivesdk" TargetMode="External"/><Relationship Id="rId9110" Type="http://schemas.openxmlformats.org/officeDocument/2006/relationships/hyperlink" Target="https://drive.google.com/file/d/1H3o0JecFyqD5oRN-JnaosU69LyyKeuDj/view?usp=drivesdk" TargetMode="External"/><Relationship Id="rId9117" Type="http://schemas.openxmlformats.org/officeDocument/2006/relationships/hyperlink" Target="https://drive.google.com/file/d/1WGTioy5KA4s8uSETsACIJSW1-f4zdcu2/view?usp=drivesdk" TargetMode="External"/><Relationship Id="rId13024" Type="http://schemas.openxmlformats.org/officeDocument/2006/relationships/hyperlink" Target="https://drive.google.com/file/d/11Yh5j7QrRy03cHQ-hOdrsqSR7u9JreeZ/view?usp=drivesdk" TargetMode="External"/><Relationship Id="rId9116" Type="http://schemas.openxmlformats.org/officeDocument/2006/relationships/hyperlink" Target="https://drive.google.com/file/d/1dX5htFUKYBznsb6FtvDVk7JLboSOM58J/view?usp=drivesdk" TargetMode="External"/><Relationship Id="rId13023" Type="http://schemas.openxmlformats.org/officeDocument/2006/relationships/hyperlink" Target="https://drive.google.com/file/d/1SdEm1zrd9vdO0sUAFhLkaPAopGeFXyFg/view?usp=drivesdk" TargetMode="External"/><Relationship Id="rId9115" Type="http://schemas.openxmlformats.org/officeDocument/2006/relationships/hyperlink" Target="https://drive.google.com/file/d/1jNrBZaP875AnP-aL7OkKAjB5AOGMpHkj/view?usp=drivesdk" TargetMode="External"/><Relationship Id="rId13022" Type="http://schemas.openxmlformats.org/officeDocument/2006/relationships/hyperlink" Target="https://drive.google.com/file/d/10bPUNeVGjxMfzkBlgx-DfdQxAo2PrYh2/view?usp=drivesdk" TargetMode="External"/><Relationship Id="rId9114" Type="http://schemas.openxmlformats.org/officeDocument/2006/relationships/hyperlink" Target="https://drive.google.com/file/d/1e7iBl7xsQ-uKcChdGkL57khKhL2qlBph/view?usp=drivesdk" TargetMode="External"/><Relationship Id="rId13021" Type="http://schemas.openxmlformats.org/officeDocument/2006/relationships/hyperlink" Target="https://drive.google.com/file/d/1vTG0o95v_228WgGEjzGqMKJiHImpyEm8/view?usp=drivesdk" TargetMode="External"/><Relationship Id="rId13028" Type="http://schemas.openxmlformats.org/officeDocument/2006/relationships/hyperlink" Target="https://drive.google.com/file/d/1Fh80GNriE5npiWpUudI9Yr6SM_ENah18/view?usp=drivesdk" TargetMode="External"/><Relationship Id="rId13027" Type="http://schemas.openxmlformats.org/officeDocument/2006/relationships/hyperlink" Target="https://drive.google.com/file/d/1O2Fbirulr095rU5HyjsVOxjsMcWuA-d0/view?usp=drivesdk" TargetMode="External"/><Relationship Id="rId9119" Type="http://schemas.openxmlformats.org/officeDocument/2006/relationships/hyperlink" Target="https://drive.google.com/file/d/1VlZzub6tzNpKYPI1t2qfdw96-toJ6Th-/view?usp=drivesdk" TargetMode="External"/><Relationship Id="rId13026" Type="http://schemas.openxmlformats.org/officeDocument/2006/relationships/hyperlink" Target="https://drive.google.com/file/d/1aCxStzt7EDirWSBuiaCVpQ5YRNBtqavm/view?usp=drivesdk" TargetMode="External"/><Relationship Id="rId9118" Type="http://schemas.openxmlformats.org/officeDocument/2006/relationships/hyperlink" Target="https://drive.google.com/file/d/1AohEdQpCXpviWvzKHtv8q4QVYxv44-T-/view?usp=drivesdk" TargetMode="External"/><Relationship Id="rId13025" Type="http://schemas.openxmlformats.org/officeDocument/2006/relationships/hyperlink" Target="https://drive.google.com/file/d/1R9llylEdXxuNi-vykyF4IeVRJ8a3JRbz/view?usp=drivesdk" TargetMode="External"/><Relationship Id="rId13042" Type="http://schemas.openxmlformats.org/officeDocument/2006/relationships/hyperlink" Target="https://drive.google.com/file/d/1uu29M2Krc7srm4q0-xeD7szH9XmtxTk1/view?usp=drivesdk" TargetMode="External"/><Relationship Id="rId13041" Type="http://schemas.openxmlformats.org/officeDocument/2006/relationships/hyperlink" Target="https://drive.google.com/file/d/1ZwjD0LFZRph1J4KR6_WLv3g0y7icnjby/view?usp=drivesdk" TargetMode="External"/><Relationship Id="rId13040" Type="http://schemas.openxmlformats.org/officeDocument/2006/relationships/hyperlink" Target="https://drive.google.com/file/d/1ZtrZunyE6nX3ez-I7QySbxeazGWQVN2D/view?usp=drivesdk" TargetMode="External"/><Relationship Id="rId9102" Type="http://schemas.openxmlformats.org/officeDocument/2006/relationships/hyperlink" Target="https://drive.google.com/file/d/1IHZEe50My0h-q5zrNeIeE26icLwqqgyC/view?usp=drivesdk" TargetMode="External"/><Relationship Id="rId9101" Type="http://schemas.openxmlformats.org/officeDocument/2006/relationships/hyperlink" Target="https://drive.google.com/file/d/1bdHwU0gsPlMKz9nNJT48QnucWI206Jqt/view?usp=drivesdk" TargetMode="External"/><Relationship Id="rId9100" Type="http://schemas.openxmlformats.org/officeDocument/2006/relationships/hyperlink" Target="https://drive.google.com/file/d/1RzGTPgSczD4ChJYUdcWtwKBMuB8N2K0O/view?usp=drivesdk" TargetMode="External"/><Relationship Id="rId9106" Type="http://schemas.openxmlformats.org/officeDocument/2006/relationships/hyperlink" Target="https://drive.google.com/file/d/1v1DWqRH6KyPhvIJ4l9-psv9oKv1XA4do/view?usp=drivesdk" TargetMode="External"/><Relationship Id="rId13035" Type="http://schemas.openxmlformats.org/officeDocument/2006/relationships/hyperlink" Target="https://drive.google.com/file/d/1ijg-Ba2VU_MR14z8vYaqo0WM0po_5Lg9/view?usp=drivesdk" TargetMode="External"/><Relationship Id="rId9105" Type="http://schemas.openxmlformats.org/officeDocument/2006/relationships/hyperlink" Target="https://drive.google.com/file/d/1Qe1s4ysoBK7JQUCGHd5an6HUyi3R3Quj/view?usp=drivesdk" TargetMode="External"/><Relationship Id="rId13034" Type="http://schemas.openxmlformats.org/officeDocument/2006/relationships/hyperlink" Target="https://drive.google.com/file/d/1-wEpulQEHuRv7tkQsm6w6I1BgEF1rQ_a/view?usp=drivesdk" TargetMode="External"/><Relationship Id="rId9104" Type="http://schemas.openxmlformats.org/officeDocument/2006/relationships/hyperlink" Target="https://drive.google.com/file/d/1VqbGuy4IFKrzFndtTG39UzLCcvMeHR3n/view?usp=drivesdk" TargetMode="External"/><Relationship Id="rId13033" Type="http://schemas.openxmlformats.org/officeDocument/2006/relationships/hyperlink" Target="https://drive.google.com/file/d/1HTyHDkQvU3bEifi_Z8tT9hK-XhNTbt6y/view?usp=drivesdk" TargetMode="External"/><Relationship Id="rId9103" Type="http://schemas.openxmlformats.org/officeDocument/2006/relationships/hyperlink" Target="https://drive.google.com/file/d/1_GlufRZ-yh2hcLQRzugpIswh_UFYgZRj/view?usp=drivesdk" TargetMode="External"/><Relationship Id="rId13032" Type="http://schemas.openxmlformats.org/officeDocument/2006/relationships/hyperlink" Target="https://drive.google.com/file/d/1k2U_wHqDGYDKS06IKZMa_FTX06Ouq2Wm/view?usp=drivesdk" TargetMode="External"/><Relationship Id="rId13039" Type="http://schemas.openxmlformats.org/officeDocument/2006/relationships/hyperlink" Target="https://drive.google.com/file/d/1X8RKjH2y5PEMWrhCs9JoXWUcdjv9tSiO/view?usp=drivesdk" TargetMode="External"/><Relationship Id="rId9109" Type="http://schemas.openxmlformats.org/officeDocument/2006/relationships/hyperlink" Target="https://drive.google.com/file/d/168i5OgXsUYh7ONLHMM5Cz8OXYtTWfIHY/view?usp=drivesdk" TargetMode="External"/><Relationship Id="rId13038" Type="http://schemas.openxmlformats.org/officeDocument/2006/relationships/hyperlink" Target="https://drive.google.com/file/d/1iF6-J6Ww3jGkxSc2rn6nSpDWJXH5-0Aj/view?usp=drivesdk" TargetMode="External"/><Relationship Id="rId9108" Type="http://schemas.openxmlformats.org/officeDocument/2006/relationships/hyperlink" Target="https://drive.google.com/file/d/119Pc6Q7dgYdzsTZydUJKiNKmjaA6gpVE/view?usp=drivesdk" TargetMode="External"/><Relationship Id="rId13037" Type="http://schemas.openxmlformats.org/officeDocument/2006/relationships/hyperlink" Target="https://drive.google.com/file/d/1e65xOZy_WFS5C5LOs_-sjdy8MVvrh1dr/view?usp=drivesdk" TargetMode="External"/><Relationship Id="rId9107" Type="http://schemas.openxmlformats.org/officeDocument/2006/relationships/hyperlink" Target="https://drive.google.com/file/d/1bBHuSI0AzB4CrPGE5SUMgpLxlh41TZ_A/view?usp=drivesdk" TargetMode="External"/><Relationship Id="rId13036" Type="http://schemas.openxmlformats.org/officeDocument/2006/relationships/hyperlink" Target="https://drive.google.com/file/d/1seCHFA3syc-yPUbKvEtM1w7zN-oFaVIE/view?usp=drivesdk" TargetMode="External"/><Relationship Id="rId13093" Type="http://schemas.openxmlformats.org/officeDocument/2006/relationships/hyperlink" Target="https://drive.google.com/file/d/1Bx0ohRzODZtHWbwPlaqNWlSoPf_uyXjP/view?usp=drivesdk" TargetMode="External"/><Relationship Id="rId13092" Type="http://schemas.openxmlformats.org/officeDocument/2006/relationships/hyperlink" Target="https://drive.google.com/file/d/1SM7uh1XNi0u3Xzl4QhVLXGG8lhozzvch/view?usp=drivesdk" TargetMode="External"/><Relationship Id="rId13091" Type="http://schemas.openxmlformats.org/officeDocument/2006/relationships/hyperlink" Target="https://drive.google.com/file/d/1ErjPoKlPSIpfanmShnW7EYyxl-wnyrzy/view?usp=drivesdk" TargetMode="External"/><Relationship Id="rId13090" Type="http://schemas.openxmlformats.org/officeDocument/2006/relationships/hyperlink" Target="https://drive.google.com/file/d/1HKHkkSWsF4P4-XNzBMTXTz4hUCGzkwcI/view?usp=drivesdk" TargetMode="External"/><Relationship Id="rId13097" Type="http://schemas.openxmlformats.org/officeDocument/2006/relationships/hyperlink" Target="https://drive.google.com/file/d/1vDn-hlpNfZZHkuuzJf5t8N7Nuz0_kTYu/view?usp=drivesdk" TargetMode="External"/><Relationship Id="rId13096" Type="http://schemas.openxmlformats.org/officeDocument/2006/relationships/hyperlink" Target="https://drive.google.com/file/d/1REfzFlWYLaOUWyFfrHhAcIG85FePkOVi/view?usp=drivesdk" TargetMode="External"/><Relationship Id="rId13095" Type="http://schemas.openxmlformats.org/officeDocument/2006/relationships/hyperlink" Target="https://drive.google.com/file/d/1b6NwIq2jfLdVukWwe7iRxDWhQIthSKTK/view?usp=drivesdk" TargetMode="External"/><Relationship Id="rId13094" Type="http://schemas.openxmlformats.org/officeDocument/2006/relationships/hyperlink" Target="https://drive.google.com/file/d/1Nl7ZG40uyKHf5j6cDAc3m3tdl1N8IkfB/view?usp=drivesdk" TargetMode="External"/><Relationship Id="rId13089" Type="http://schemas.openxmlformats.org/officeDocument/2006/relationships/hyperlink" Target="https://drive.google.com/file/d/1pDhqwm9bYPggW1Y7MI5ciUr4qsNojsyC/view?usp=drivesdk" TargetMode="External"/><Relationship Id="rId13088" Type="http://schemas.openxmlformats.org/officeDocument/2006/relationships/hyperlink" Target="https://drive.google.com/file/d/1_FPYf6XJB4keJbOPsgRZp91VbMbq2hAO/view?usp=drivesdk" TargetMode="External"/><Relationship Id="rId13087" Type="http://schemas.openxmlformats.org/officeDocument/2006/relationships/hyperlink" Target="https://drive.google.com/file/d/1QUgpDZxn6SGJkP5gS5Aou5fnlAz1r3DR/view?usp=drivesdk" TargetMode="External"/><Relationship Id="rId13099" Type="http://schemas.openxmlformats.org/officeDocument/2006/relationships/hyperlink" Target="https://drive.google.com/file/d/1Pg5zUcIC-HeGL1LqS3YCaDExRIVe6KhA/view?usp=drivesdk" TargetMode="External"/><Relationship Id="rId13098" Type="http://schemas.openxmlformats.org/officeDocument/2006/relationships/hyperlink" Target="https://drive.google.com/file/d/1RBV6dMkITdJMN-fYCzPsl7mwnESTKBoQ/view?usp=drivesdk" TargetMode="External"/><Relationship Id="rId13071" Type="http://schemas.openxmlformats.org/officeDocument/2006/relationships/hyperlink" Target="https://drive.google.com/file/d/1bUY_QJPI2mEaZ-e5uc7zUcR5xdXlK6lQ/view?usp=drivesdk" TargetMode="External"/><Relationship Id="rId13070" Type="http://schemas.openxmlformats.org/officeDocument/2006/relationships/hyperlink" Target="https://drive.google.com/file/d/1DB2ssmNtq3StTldij8rLoQII9hco2fiO/view?usp=drivesdk" TargetMode="External"/><Relationship Id="rId13075" Type="http://schemas.openxmlformats.org/officeDocument/2006/relationships/hyperlink" Target="https://drive.google.com/file/d/1DVOmNbmEn2q2umvoShiACWqxBKN_-wZS/view?usp=drivesdk" TargetMode="External"/><Relationship Id="rId13074" Type="http://schemas.openxmlformats.org/officeDocument/2006/relationships/hyperlink" Target="https://drive.google.com/file/d/15UO3Y8lWI8M8a5WopexMOambSxc6bU1E/view?usp=drivesdk" TargetMode="External"/><Relationship Id="rId13073" Type="http://schemas.openxmlformats.org/officeDocument/2006/relationships/hyperlink" Target="https://drive.google.com/file/d/1SULyH-bZMt1fkDc8J-P45Y7jx9d5XYQ0/view?usp=drivesdk" TargetMode="External"/><Relationship Id="rId13072" Type="http://schemas.openxmlformats.org/officeDocument/2006/relationships/hyperlink" Target="https://drive.google.com/file/d/178I2RlZeV105TY6icwZJ8yLrIP7DQapS/view?usp=drivesdk" TargetMode="External"/><Relationship Id="rId13068" Type="http://schemas.openxmlformats.org/officeDocument/2006/relationships/hyperlink" Target="https://drive.google.com/file/d/1zPR4YwZxFe6bFHsE0TROxw9YGVkzl5eh/view?usp=drivesdk" TargetMode="External"/><Relationship Id="rId13067" Type="http://schemas.openxmlformats.org/officeDocument/2006/relationships/hyperlink" Target="https://drive.google.com/file/d/1b9gEvtqUBCdEY001Vl366P5lvYPHvlh9/view?usp=drivesdk" TargetMode="External"/><Relationship Id="rId13066" Type="http://schemas.openxmlformats.org/officeDocument/2006/relationships/hyperlink" Target="https://drive.google.com/file/d/1izUZDdVesmBzMVTrod8wSR6l5k_19hGa/view?usp=drivesdk" TargetMode="External"/><Relationship Id="rId13065" Type="http://schemas.openxmlformats.org/officeDocument/2006/relationships/hyperlink" Target="https://drive.google.com/file/d/1mCPpIzrN-_8anjjbWTjWoit-seA4jkvy/view?usp=drivesdk" TargetMode="External"/><Relationship Id="rId13069" Type="http://schemas.openxmlformats.org/officeDocument/2006/relationships/hyperlink" Target="https://drive.google.com/file/d/1QB1sB0yuZHf-5r5MkaRuGDglzWDwL1Lp/view?usp=drivesdk" TargetMode="External"/><Relationship Id="rId13082" Type="http://schemas.openxmlformats.org/officeDocument/2006/relationships/hyperlink" Target="https://drive.google.com/file/d/1fDRa22L-sjHTvcCEbJsPx38IdHC8h1q7/view?usp=drivesdk" TargetMode="External"/><Relationship Id="rId13081" Type="http://schemas.openxmlformats.org/officeDocument/2006/relationships/hyperlink" Target="https://drive.google.com/file/d/1T8KUxFA47qL7KPDI05iwKJg5NP1gruXW/view?usp=drivesdk" TargetMode="External"/><Relationship Id="rId13080" Type="http://schemas.openxmlformats.org/officeDocument/2006/relationships/hyperlink" Target="https://drive.google.com/file/d/15y3eKyT6MCXvG7eSvAv6hQYJSCBjr0ph/view?usp=drivesdk" TargetMode="External"/><Relationship Id="rId13086" Type="http://schemas.openxmlformats.org/officeDocument/2006/relationships/hyperlink" Target="https://drive.google.com/file/d/1RsjZ9TqqL_SHB8GNCvKLJe66YPwWRQLv/view?usp=drivesdk" TargetMode="External"/><Relationship Id="rId13085" Type="http://schemas.openxmlformats.org/officeDocument/2006/relationships/hyperlink" Target="https://drive.google.com/file/d/1pSEOTDP38lhIE35FkgGvdzipmZErVXUp/view?usp=drivesdk" TargetMode="External"/><Relationship Id="rId13084" Type="http://schemas.openxmlformats.org/officeDocument/2006/relationships/hyperlink" Target="https://drive.google.com/file/d/1-xpPMOpkA_6MKRJI2C1gxEu9JrFC2ErF/view?usp=drivesdk" TargetMode="External"/><Relationship Id="rId13083" Type="http://schemas.openxmlformats.org/officeDocument/2006/relationships/hyperlink" Target="https://drive.google.com/file/d/1mw770XLT01P-bPuRXIxMHYxc-hWXsRUe/view?usp=drivesdk" TargetMode="External"/><Relationship Id="rId13079" Type="http://schemas.openxmlformats.org/officeDocument/2006/relationships/hyperlink" Target="https://drive.google.com/file/d/1rEJ1HmNOE5vB5dcKHPch3hwrsn9CRyQ3/view?usp=drivesdk" TargetMode="External"/><Relationship Id="rId13078" Type="http://schemas.openxmlformats.org/officeDocument/2006/relationships/hyperlink" Target="https://drive.google.com/file/d/1Hh3hoSHMEmPg69rTEcZLnIYJth6Cww7L/view?usp=drivesdk" TargetMode="External"/><Relationship Id="rId13077" Type="http://schemas.openxmlformats.org/officeDocument/2006/relationships/hyperlink" Target="https://drive.google.com/file/d/1-KG6SbpeeCGP32DCUTom-xPjRuj9oytb/view?usp=drivesdk" TargetMode="External"/><Relationship Id="rId13076" Type="http://schemas.openxmlformats.org/officeDocument/2006/relationships/hyperlink" Target="https://drive.google.com/file/d/1RlNGhU1rCueVMDsa7hu1uL9mtv3A0Hpm/view?usp=drivesdk" TargetMode="External"/><Relationship Id="rId9182" Type="http://schemas.openxmlformats.org/officeDocument/2006/relationships/hyperlink" Target="https://drive.google.com/file/d/17blwnEOpf5Z_xhFb5RjIsuM1b_mHLkbS/view?usp=drivesdk" TargetMode="External"/><Relationship Id="rId9181" Type="http://schemas.openxmlformats.org/officeDocument/2006/relationships/hyperlink" Target="https://drive.google.com/file/d/1_bDFYTjzP5UVDDDE2p3FNFbKgn1ogmwE/view?usp=drivesdk" TargetMode="External"/><Relationship Id="rId9180" Type="http://schemas.openxmlformats.org/officeDocument/2006/relationships/hyperlink" Target="https://drive.google.com/file/d/1dqIEK__9VRlJ-4axYbuaj15EBNoN5Vd9/view?usp=drivesdk" TargetMode="External"/><Relationship Id="rId9175" Type="http://schemas.openxmlformats.org/officeDocument/2006/relationships/hyperlink" Target="https://drive.google.com/file/d/1CKOZer7wexvNY_br-H2ceDK_n4Gdbikc/view?usp=drivesdk" TargetMode="External"/><Relationship Id="rId9174" Type="http://schemas.openxmlformats.org/officeDocument/2006/relationships/hyperlink" Target="https://drive.google.com/file/d/1sn6HXGljN9lsQTtSVurEJ6hXKCUbc0MW/view?usp=drivesdk" TargetMode="External"/><Relationship Id="rId9173" Type="http://schemas.openxmlformats.org/officeDocument/2006/relationships/hyperlink" Target="https://drive.google.com/file/d/1er0JAKLiPbnSX4dp7BcbTN6nPcPNzcSO/view?usp=drivesdk" TargetMode="External"/><Relationship Id="rId9172" Type="http://schemas.openxmlformats.org/officeDocument/2006/relationships/hyperlink" Target="https://drive.google.com/file/d/15v9qcHw5ud-MNZgn_TIaTRBA40_GUMgs/view?usp=drivesdk" TargetMode="External"/><Relationship Id="rId9179" Type="http://schemas.openxmlformats.org/officeDocument/2006/relationships/hyperlink" Target="https://drive.google.com/file/d/1R6SBrI0fUPoG9HRHasEGaY-IstLTK0xA/view?usp=drivesdk" TargetMode="External"/><Relationship Id="rId9178" Type="http://schemas.openxmlformats.org/officeDocument/2006/relationships/hyperlink" Target="https://drive.google.com/file/d/19F9ylx0BP6mufm8c17AuyMnqhT6R48fW/view?usp=drivesdk" TargetMode="External"/><Relationship Id="rId9177" Type="http://schemas.openxmlformats.org/officeDocument/2006/relationships/hyperlink" Target="https://drive.google.com/file/d/1E6juvEkYwCcKYWvLySgWfmBKWaBm6cwd/view?usp=drivesdk" TargetMode="External"/><Relationship Id="rId9176" Type="http://schemas.openxmlformats.org/officeDocument/2006/relationships/hyperlink" Target="https://drive.google.com/file/d/1JMQz-nwqsrTV0W6EIvvQ-pIXN164PTB6/view?usp=drivesdk" TargetMode="External"/><Relationship Id="rId9171" Type="http://schemas.openxmlformats.org/officeDocument/2006/relationships/hyperlink" Target="https://drive.google.com/file/d/1Ln304Rm6KdqSVuPsPVziBazQ-HTeZeN3/view?usp=drivesdk" TargetMode="External"/><Relationship Id="rId9170" Type="http://schemas.openxmlformats.org/officeDocument/2006/relationships/hyperlink" Target="https://drive.google.com/file/d/1y5ISQ3ZhWAdL2pbUMF1pO9DrT--GpRnS/view?usp=drivesdk" TargetMode="External"/><Relationship Id="rId9164" Type="http://schemas.openxmlformats.org/officeDocument/2006/relationships/hyperlink" Target="https://drive.google.com/file/d/1JmoUKfcIxgjjfbRZleBWuFUIcMz3Nfwr/view?usp=drivesdk" TargetMode="External"/><Relationship Id="rId9163" Type="http://schemas.openxmlformats.org/officeDocument/2006/relationships/hyperlink" Target="https://drive.google.com/file/d/1yXtSRN7wKcDr4X3Yyw1_GqQjLXNMar0-/view?usp=drivesdk" TargetMode="External"/><Relationship Id="rId9162" Type="http://schemas.openxmlformats.org/officeDocument/2006/relationships/hyperlink" Target="https://drive.google.com/file/d/1eVStPR0y20-jj4u9tyzQFl7KSD37RqGw/view?usp=drivesdk" TargetMode="External"/><Relationship Id="rId9161" Type="http://schemas.openxmlformats.org/officeDocument/2006/relationships/hyperlink" Target="https://drive.google.com/file/d/1KvoSTcS3LrmAKYg7c4kyU5NqQ15ujYn1/view?usp=drivesdk" TargetMode="External"/><Relationship Id="rId9168" Type="http://schemas.openxmlformats.org/officeDocument/2006/relationships/hyperlink" Target="https://drive.google.com/file/d/1_EyQb50yKhRCB7LGnkU_l9NlAauJwbU3/view?usp=drivesdk" TargetMode="External"/><Relationship Id="rId9167" Type="http://schemas.openxmlformats.org/officeDocument/2006/relationships/hyperlink" Target="https://drive.google.com/file/d/1xZtiGj87Y0GC2mCVLXy1Km-Dujf6bHZr/view?usp=drivesdk" TargetMode="External"/><Relationship Id="rId9166" Type="http://schemas.openxmlformats.org/officeDocument/2006/relationships/hyperlink" Target="https://drive.google.com/file/d/1GMU5LFp2n4JgtQGBxMKbbKeoqqDqe5Cp/view?usp=drivesdk" TargetMode="External"/><Relationship Id="rId9165" Type="http://schemas.openxmlformats.org/officeDocument/2006/relationships/hyperlink" Target="https://drive.google.com/file/d/1AKHh3gKyUOdSp4Dt0PbR_mPPdt6XOjRi/view?usp=drivesdk" TargetMode="External"/><Relationship Id="rId9169" Type="http://schemas.openxmlformats.org/officeDocument/2006/relationships/hyperlink" Target="https://drive.google.com/file/d/1kV_xW55vLaw2T_kRO_H_hpSluQrIcxFx/view?usp=drivesdk" TargetMode="External"/><Relationship Id="rId9197" Type="http://schemas.openxmlformats.org/officeDocument/2006/relationships/hyperlink" Target="https://drive.google.com/file/d/1MNYDsoPAoxWUH6uRt6BRHAc6jz2LgalP/view?usp=drivesdk" TargetMode="External"/><Relationship Id="rId9196" Type="http://schemas.openxmlformats.org/officeDocument/2006/relationships/hyperlink" Target="https://drive.google.com/file/d/1Iy8WGhlEbqA3cBDPTajwAZ8tpmMgJd0d/view?usp=drivesdk" TargetMode="External"/><Relationship Id="rId9195" Type="http://schemas.openxmlformats.org/officeDocument/2006/relationships/hyperlink" Target="https://drive.google.com/file/d/1wnB2mg4LNJLEKEiHhoBUJZJc_MFKNqp6/view?usp=drivesdk" TargetMode="External"/><Relationship Id="rId9194" Type="http://schemas.openxmlformats.org/officeDocument/2006/relationships/hyperlink" Target="https://drive.google.com/file/d/1AXr9mufaEmbcmGeNGq0ShHUqK1R6u4my/view?usp=drivesdk" TargetMode="External"/><Relationship Id="rId9199" Type="http://schemas.openxmlformats.org/officeDocument/2006/relationships/hyperlink" Target="https://drive.google.com/file/d/12XaHwk_UPJR0Y0pUTuCFvAazDvgk0JfS/view?usp=drivesdk" TargetMode="External"/><Relationship Id="rId9198" Type="http://schemas.openxmlformats.org/officeDocument/2006/relationships/hyperlink" Target="https://drive.google.com/file/d/1p2976WUnBEjKsvYPaW0UvDDK2MKQoYfD/view?usp=drivesdk" TargetMode="External"/><Relationship Id="rId9193" Type="http://schemas.openxmlformats.org/officeDocument/2006/relationships/hyperlink" Target="https://drive.google.com/file/d/1FBzj6pN1tUB0xW4UYbcZHzLtNdR5vKxl/view?usp=drivesdk" TargetMode="External"/><Relationship Id="rId9192" Type="http://schemas.openxmlformats.org/officeDocument/2006/relationships/hyperlink" Target="https://drive.google.com/file/d/188rf0x_Gvd6yX-YVJynm_cVMM52jfb4t/view?usp=drivesdk" TargetMode="External"/><Relationship Id="rId9191" Type="http://schemas.openxmlformats.org/officeDocument/2006/relationships/hyperlink" Target="https://drive.google.com/file/d/131FR3flbfBY_xIvJHTzIJHNQ3nrr0M6X/view?usp=drivesdk" TargetMode="External"/><Relationship Id="rId9190" Type="http://schemas.openxmlformats.org/officeDocument/2006/relationships/hyperlink" Target="https://drive.google.com/file/d/1cqV93YiZoysH5qeKr7_iZCKLx18qRiOL/view?usp=drivesdk" TargetMode="External"/><Relationship Id="rId9186" Type="http://schemas.openxmlformats.org/officeDocument/2006/relationships/hyperlink" Target="https://drive.google.com/file/d/1WeS403UddgSJCBdzLkOJDv638NLEtmhm/view?usp=drivesdk" TargetMode="External"/><Relationship Id="rId9185" Type="http://schemas.openxmlformats.org/officeDocument/2006/relationships/hyperlink" Target="https://drive.google.com/file/d/1gEMrAcoNQcYteuxj3Qx_bDc-3OKWfbjs/view?usp=drivesdk" TargetMode="External"/><Relationship Id="rId9184" Type="http://schemas.openxmlformats.org/officeDocument/2006/relationships/hyperlink" Target="https://drive.google.com/file/d/19nVPUMwFnAJpGT6EluD7fubP_YN4PBWb/view?usp=drivesdk" TargetMode="External"/><Relationship Id="rId9183" Type="http://schemas.openxmlformats.org/officeDocument/2006/relationships/hyperlink" Target="https://drive.google.com/file/d/1XSIN0w2WHHoRoUgbynTm-2ON_fIoK5Fm/view?usp=drivesdk" TargetMode="External"/><Relationship Id="rId9189" Type="http://schemas.openxmlformats.org/officeDocument/2006/relationships/hyperlink" Target="https://drive.google.com/file/d/1vWIzzCuRWxMSIOZL2SEwC88R6ZfPDh3w/view?usp=drivesdk" TargetMode="External"/><Relationship Id="rId9188" Type="http://schemas.openxmlformats.org/officeDocument/2006/relationships/hyperlink" Target="https://drive.google.com/file/d/1yNF7GPWkoANv3SkVFgWSYc92InP5PCSs/view?usp=drivesdk" TargetMode="External"/><Relationship Id="rId9187" Type="http://schemas.openxmlformats.org/officeDocument/2006/relationships/hyperlink" Target="https://drive.google.com/file/d/1golkJkuVgx4woV9lWB0sYXZ1NqlFOn0i/view?usp=drivesdk" TargetMode="External"/><Relationship Id="rId13130" Type="http://schemas.openxmlformats.org/officeDocument/2006/relationships/hyperlink" Target="https://drive.google.com/file/d/1qhyf6ZHX_E5KMMvdK8iyKhnZRjSv5ou0/view?usp=drivesdk" TargetMode="External"/><Relationship Id="rId9131" Type="http://schemas.openxmlformats.org/officeDocument/2006/relationships/hyperlink" Target="https://drive.google.com/file/d/1ZREKl2Bh823NFZXR2gnLLCZL3g4lK8iI/view?usp=drivesdk" TargetMode="External"/><Relationship Id="rId9130" Type="http://schemas.openxmlformats.org/officeDocument/2006/relationships/hyperlink" Target="https://drive.google.com/file/d/1ueItfC6t3pInDdV0q5us03yiSyBTC3WK/view?usp=drivesdk" TargetMode="External"/><Relationship Id="rId13129" Type="http://schemas.openxmlformats.org/officeDocument/2006/relationships/hyperlink" Target="https://drive.google.com/file/d/1eC3ov8UZizoSKJL6mjpdUTDYKegWgFZS/view?usp=drivesdk" TargetMode="External"/><Relationship Id="rId13128" Type="http://schemas.openxmlformats.org/officeDocument/2006/relationships/hyperlink" Target="https://drive.google.com/file/d/1PS0hutbJF-O7q5K8el9v-F-kztzQVMzM/view?usp=drivesdk" TargetMode="External"/><Relationship Id="rId9135" Type="http://schemas.openxmlformats.org/officeDocument/2006/relationships/hyperlink" Target="https://drive.google.com/file/d/1fqRddJfl6mEwHe-ms7mP0E6sSGVCiKue/view?usp=drivesdk" TargetMode="External"/><Relationship Id="rId9134" Type="http://schemas.openxmlformats.org/officeDocument/2006/relationships/hyperlink" Target="https://drive.google.com/file/d/1-bsppkRLV2Qk1_2qYenX8FTAWo_7TGcO/view?usp=drivesdk" TargetMode="External"/><Relationship Id="rId9133" Type="http://schemas.openxmlformats.org/officeDocument/2006/relationships/hyperlink" Target="https://drive.google.com/file/d/1QDECDgRmI0yYGySfuOYFb1oTyPAmLeQu/view?usp=drivesdk" TargetMode="External"/><Relationship Id="rId9132" Type="http://schemas.openxmlformats.org/officeDocument/2006/relationships/hyperlink" Target="https://drive.google.com/file/d/18uWM_XhFyrfe9Vhu2MtLtPCmDW4tzRSl/view?usp=drivesdk" TargetMode="External"/><Relationship Id="rId9139" Type="http://schemas.openxmlformats.org/officeDocument/2006/relationships/hyperlink" Target="https://drive.google.com/file/d/1uR8sdFGtpeR-HNUabwFV8AlhLj8iEH-y/view?usp=drivesdk" TargetMode="External"/><Relationship Id="rId13123" Type="http://schemas.openxmlformats.org/officeDocument/2006/relationships/hyperlink" Target="https://drive.google.com/file/d/1gsucMFZ774P7ThzmpyZWN2DjdZL7miZb/view?usp=drivesdk" TargetMode="External"/><Relationship Id="rId9138" Type="http://schemas.openxmlformats.org/officeDocument/2006/relationships/hyperlink" Target="https://drive.google.com/file/d/1tJ7I-Eis3kOYUbxDnoJ0N_7toJh2Ec_F/view?usp=drivesdk" TargetMode="External"/><Relationship Id="rId13122" Type="http://schemas.openxmlformats.org/officeDocument/2006/relationships/hyperlink" Target="https://drive.google.com/file/d/1sCPqeRchm0y_7Xid8v7qBHxLjbENS-8a/view?usp=drivesdk" TargetMode="External"/><Relationship Id="rId9137" Type="http://schemas.openxmlformats.org/officeDocument/2006/relationships/hyperlink" Target="https://drive.google.com/file/d/11eC2B3fKk5oZPro9O3deC54rbJAbPdpd/view?usp=drivesdk" TargetMode="External"/><Relationship Id="rId13121" Type="http://schemas.openxmlformats.org/officeDocument/2006/relationships/hyperlink" Target="https://drive.google.com/file/d/1LZ0N0AA6vmXNCqylzKCNXm50n3tqjB_L/view?usp=drivesdk" TargetMode="External"/><Relationship Id="rId9136" Type="http://schemas.openxmlformats.org/officeDocument/2006/relationships/hyperlink" Target="https://drive.google.com/file/d/1_bEyjgagNtybwG8rLoWa7DeCak94Y4xI/view?usp=drivesdk" TargetMode="External"/><Relationship Id="rId13120" Type="http://schemas.openxmlformats.org/officeDocument/2006/relationships/hyperlink" Target="https://drive.google.com/file/d/1l4HHPlkyWLx-V7absjs2NjLKLpusgWzK/view?usp=drivesdk" TargetMode="External"/><Relationship Id="rId13127" Type="http://schemas.openxmlformats.org/officeDocument/2006/relationships/hyperlink" Target="https://drive.google.com/file/d/1i5AwJCi9c_5e8HfBjUQQuTAdio7fUycR/view?usp=drivesdk" TargetMode="External"/><Relationship Id="rId13126" Type="http://schemas.openxmlformats.org/officeDocument/2006/relationships/hyperlink" Target="https://drive.google.com/file/d/1YG3EINFGZ_CqU7W82pF1PrXbHj9lVPHm/view?usp=drivesdk" TargetMode="External"/><Relationship Id="rId13125" Type="http://schemas.openxmlformats.org/officeDocument/2006/relationships/hyperlink" Target="https://drive.google.com/file/d/1J-WpBdYHST35Wbr61QJs5zEjzJSv4Xgx/view?usp=drivesdk" TargetMode="External"/><Relationship Id="rId13124" Type="http://schemas.openxmlformats.org/officeDocument/2006/relationships/hyperlink" Target="https://drive.google.com/file/d/1M2VKYOEL3eExDYfR6u0HC_KKwdQg-PBX/view?usp=drivesdk" TargetMode="External"/><Relationship Id="rId13141" Type="http://schemas.openxmlformats.org/officeDocument/2006/relationships/hyperlink" Target="https://drive.google.com/file/d/1kF0o2cLgfC-xDv6zi6FFL-vwX_5y6izH/view?usp=drivesdk" TargetMode="External"/><Relationship Id="rId13140" Type="http://schemas.openxmlformats.org/officeDocument/2006/relationships/hyperlink" Target="https://drive.google.com/file/d/1PtllOCo_2G6LtpiHzU2Fqay019AmI322/view?usp=drivesdk" TargetMode="External"/><Relationship Id="rId9120" Type="http://schemas.openxmlformats.org/officeDocument/2006/relationships/hyperlink" Target="https://drive.google.com/file/d/1mlqGF1p4ImOBD0tf_tWOkenj70iWZN_K/view?usp=drivesdk" TargetMode="External"/><Relationship Id="rId13139" Type="http://schemas.openxmlformats.org/officeDocument/2006/relationships/hyperlink" Target="https://drive.google.com/file/d/1Rt1eljeoPkk5nX0TelNqxwzB7TZYy5l4/view?usp=drivesdk" TargetMode="External"/><Relationship Id="rId9124" Type="http://schemas.openxmlformats.org/officeDocument/2006/relationships/hyperlink" Target="https://drive.google.com/file/d/1sW67j7QdS0zQ7HdWjjNikqn8FuoXyHYN/view?usp=drivesdk" TargetMode="External"/><Relationship Id="rId9123" Type="http://schemas.openxmlformats.org/officeDocument/2006/relationships/hyperlink" Target="https://drive.google.com/file/d/1vCeHgPsu3o09L01mZVGUGuMTeNVsaogF/view?usp=drivesdk" TargetMode="External"/><Relationship Id="rId9122" Type="http://schemas.openxmlformats.org/officeDocument/2006/relationships/hyperlink" Target="https://drive.google.com/file/d/1CHL5PQw7HnqsUFP9XLeP8tExa6eNCU8X/view?usp=drivesdk" TargetMode="External"/><Relationship Id="rId9121" Type="http://schemas.openxmlformats.org/officeDocument/2006/relationships/hyperlink" Target="https://drive.google.com/file/d/1_wqM6DpcZFbViQLI8PrZ_SkdMYzoJ1jJ/view?usp=drivesdk" TargetMode="External"/><Relationship Id="rId9128" Type="http://schemas.openxmlformats.org/officeDocument/2006/relationships/hyperlink" Target="https://drive.google.com/file/d/14upiHYMAbkn4Mo6mraEXhnSnZKdcWTvU/view?usp=drivesdk" TargetMode="External"/><Relationship Id="rId13134" Type="http://schemas.openxmlformats.org/officeDocument/2006/relationships/hyperlink" Target="https://drive.google.com/file/d/1dqS8rgbp7VIvm2Go1oNOxdg9uWlZm-PW/view?usp=drivesdk" TargetMode="External"/><Relationship Id="rId9127" Type="http://schemas.openxmlformats.org/officeDocument/2006/relationships/hyperlink" Target="https://drive.google.com/file/d/18qAl-ex5d3wnu25w3MYFBUG1M6dke2zu/view?usp=drivesdk" TargetMode="External"/><Relationship Id="rId13133" Type="http://schemas.openxmlformats.org/officeDocument/2006/relationships/hyperlink" Target="https://drive.google.com/file/d/1t52qN2uHtbIi5cmyiI_uUs3mZJD7Zpi6/view?usp=drivesdk" TargetMode="External"/><Relationship Id="rId9126" Type="http://schemas.openxmlformats.org/officeDocument/2006/relationships/hyperlink" Target="https://drive.google.com/file/d/124F7umxImjgno3vNpt5KYOSbuDslHEMt/view?usp=drivesdk" TargetMode="External"/><Relationship Id="rId13132" Type="http://schemas.openxmlformats.org/officeDocument/2006/relationships/hyperlink" Target="https://drive.google.com/file/d/1PWGalsUYts_EyUgcAZEdcLOI444g7pQH/view?usp=drivesdk" TargetMode="External"/><Relationship Id="rId9125" Type="http://schemas.openxmlformats.org/officeDocument/2006/relationships/hyperlink" Target="https://drive.google.com/file/d/1h-r6yXP0zwSeeFHNLGG8HDcN7GTd-CTt/view?usp=drivesdk" TargetMode="External"/><Relationship Id="rId13131" Type="http://schemas.openxmlformats.org/officeDocument/2006/relationships/hyperlink" Target="https://drive.google.com/file/d/1rlhJXCuN4KsoyeHaoPsVz2DieabbAcIA/view?usp=drivesdk" TargetMode="External"/><Relationship Id="rId13138" Type="http://schemas.openxmlformats.org/officeDocument/2006/relationships/hyperlink" Target="https://drive.google.com/file/d/1wvLR7qtT_o5-Y-AFTpaPVd4ndTP_Pc8O/view?usp=drivesdk" TargetMode="External"/><Relationship Id="rId13137" Type="http://schemas.openxmlformats.org/officeDocument/2006/relationships/hyperlink" Target="https://drive.google.com/file/d/1XZUgufUMsE1FR34Yf1deRtP5gIs8mguX/view?usp=drivesdk" TargetMode="External"/><Relationship Id="rId13136" Type="http://schemas.openxmlformats.org/officeDocument/2006/relationships/hyperlink" Target="https://drive.google.com/file/d/1Nozpdfx8W7NTmnX5iCZ6m1RI0zA3j2j2/view?usp=drivesdk" TargetMode="External"/><Relationship Id="rId9129" Type="http://schemas.openxmlformats.org/officeDocument/2006/relationships/hyperlink" Target="https://drive.google.com/file/d/1d_5AWAvHC1YOT_Gy87wcyJW-BxC6oS8J/view?usp=drivesdk" TargetMode="External"/><Relationship Id="rId13135" Type="http://schemas.openxmlformats.org/officeDocument/2006/relationships/hyperlink" Target="https://drive.google.com/file/d/1b44y5-hz-qrhatAsKNJex2qa8QzALaeC/view?usp=drivesdk" TargetMode="External"/><Relationship Id="rId9160" Type="http://schemas.openxmlformats.org/officeDocument/2006/relationships/hyperlink" Target="https://drive.google.com/file/d/11d-xuYYJ5iuEFaBVwEQ8e_DkXP3fg8As/view?usp=drivesdk" TargetMode="External"/><Relationship Id="rId9153" Type="http://schemas.openxmlformats.org/officeDocument/2006/relationships/hyperlink" Target="https://drive.google.com/file/d/1myGCJ5PhRdYX5MYmeNeO1ZwmA4LWpdft/view?usp=drivesdk" TargetMode="External"/><Relationship Id="rId13109" Type="http://schemas.openxmlformats.org/officeDocument/2006/relationships/hyperlink" Target="https://drive.google.com/file/d/1c5KLBWWD6jP-FoaJinxBC40z6McAwe2E/view?usp=drivesdk" TargetMode="External"/><Relationship Id="rId9152" Type="http://schemas.openxmlformats.org/officeDocument/2006/relationships/hyperlink" Target="https://drive.google.com/file/d/1tdNErXjQGc1nFFOCGgnTNX71HLNf6K8h/view?usp=drivesdk" TargetMode="External"/><Relationship Id="rId13108" Type="http://schemas.openxmlformats.org/officeDocument/2006/relationships/hyperlink" Target="https://drive.google.com/file/d/1SGM8u3QaZAtqvIY0PUZPAVVR_BRvPGtw/view?usp=drivesdk" TargetMode="External"/><Relationship Id="rId9151" Type="http://schemas.openxmlformats.org/officeDocument/2006/relationships/hyperlink" Target="https://drive.google.com/file/d/1Zw4husHQfPgRBlKIfmd5pI2uyO1LbiUR/view?usp=drivesdk" TargetMode="External"/><Relationship Id="rId13107" Type="http://schemas.openxmlformats.org/officeDocument/2006/relationships/hyperlink" Target="https://drive.google.com/file/d/18Mf_PKFM2jSnEjjpfXZAgUqVSjzRbOMs/view?usp=drivesdk" TargetMode="External"/><Relationship Id="rId9150" Type="http://schemas.openxmlformats.org/officeDocument/2006/relationships/hyperlink" Target="https://drive.google.com/file/d/1MF5bNkBHlxmDJz3zjBbxhrb2_V7KfM6Y/view?usp=drivesdk" TargetMode="External"/><Relationship Id="rId13106" Type="http://schemas.openxmlformats.org/officeDocument/2006/relationships/hyperlink" Target="https://drive.google.com/file/d/1mdxSgAF-YVi8wwre3WeS9O2FtZONQAs0/view?usp=drivesdk" TargetMode="External"/><Relationship Id="rId9157" Type="http://schemas.openxmlformats.org/officeDocument/2006/relationships/hyperlink" Target="https://drive.google.com/file/d/1ozy7Lv7AQW7AbfhP_riN9rtHVmIn_S1f/view?usp=drivesdk" TargetMode="External"/><Relationship Id="rId9156" Type="http://schemas.openxmlformats.org/officeDocument/2006/relationships/hyperlink" Target="https://drive.google.com/file/d/1vmDYrVo1oh-fjyiiDjfgVLecrD128Tml/view?usp=drivesdk" TargetMode="External"/><Relationship Id="rId9155" Type="http://schemas.openxmlformats.org/officeDocument/2006/relationships/hyperlink" Target="https://drive.google.com/file/d/1DTrXIFS7Z5Ahhe0HIJcLXlHaF9Vuo9aM/view?usp=drivesdk" TargetMode="External"/><Relationship Id="rId9154" Type="http://schemas.openxmlformats.org/officeDocument/2006/relationships/hyperlink" Target="https://drive.google.com/file/d/1wW_ipfHBEkp66O80nB3SfDWeSRMmn_Bj/view?usp=drivesdk" TargetMode="External"/><Relationship Id="rId13101" Type="http://schemas.openxmlformats.org/officeDocument/2006/relationships/hyperlink" Target="https://drive.google.com/file/d/1nC7kRnLL6Hzbh6b4Y0S1K0xHV3IjBdJn/view?usp=drivesdk" TargetMode="External"/><Relationship Id="rId13100" Type="http://schemas.openxmlformats.org/officeDocument/2006/relationships/hyperlink" Target="https://drive.google.com/file/d/1uRqwztma2UEhxGHlzMS0cFEjxKKCeuU2/view?usp=drivesdk" TargetMode="External"/><Relationship Id="rId9159" Type="http://schemas.openxmlformats.org/officeDocument/2006/relationships/hyperlink" Target="https://drive.google.com/file/d/1gPnzFaAo3zqz54YNzNo5Zqj5Kk8oFKOQ/view?usp=drivesdk" TargetMode="External"/><Relationship Id="rId9158" Type="http://schemas.openxmlformats.org/officeDocument/2006/relationships/hyperlink" Target="https://drive.google.com/file/d/112HI8B834ELX1IC7JXFmshy_LwtKWdQr/view?usp=drivesdk" TargetMode="External"/><Relationship Id="rId13105" Type="http://schemas.openxmlformats.org/officeDocument/2006/relationships/hyperlink" Target="https://drive.google.com/file/d/1L-lvidxZMdyzo520z-CGAAY66lqoBiZE/view?usp=drivesdk" TargetMode="External"/><Relationship Id="rId13104" Type="http://schemas.openxmlformats.org/officeDocument/2006/relationships/hyperlink" Target="https://drive.google.com/file/d/146LCQcrtciQnqp69wzq8q57Rh-cXeczV/view?usp=drivesdk" TargetMode="External"/><Relationship Id="rId13103" Type="http://schemas.openxmlformats.org/officeDocument/2006/relationships/hyperlink" Target="https://drive.google.com/file/d/19zRcDwN0ydaznY5B7m9ZYENmhTIR4VvF/view?usp=drivesdk" TargetMode="External"/><Relationship Id="rId13102" Type="http://schemas.openxmlformats.org/officeDocument/2006/relationships/hyperlink" Target="https://drive.google.com/file/d/1p7TTGJojjIFJLBF-8Oa1IhGSsPW5B2cx/view?usp=drivesdk" TargetMode="External"/><Relationship Id="rId9142" Type="http://schemas.openxmlformats.org/officeDocument/2006/relationships/hyperlink" Target="https://drive.google.com/file/d/1IDYEEIh08BPJvdY8467t9Yn9Zj5h8Kr8/view?usp=drivesdk" TargetMode="External"/><Relationship Id="rId9141" Type="http://schemas.openxmlformats.org/officeDocument/2006/relationships/hyperlink" Target="https://drive.google.com/file/d/1Slv-hWaFTJzTD3GYBFMc7oLe1zl93XAO/view?usp=drivesdk" TargetMode="External"/><Relationship Id="rId13119" Type="http://schemas.openxmlformats.org/officeDocument/2006/relationships/hyperlink" Target="https://drive.google.com/file/d/1DbDaGn5wdW98fRSbj1Xo4TOS-iR1w08a/view?usp=drivesdk" TargetMode="External"/><Relationship Id="rId9140" Type="http://schemas.openxmlformats.org/officeDocument/2006/relationships/hyperlink" Target="https://drive.google.com/file/d/1rXn2l4zqPPp9FmQmBO9BQyIA9mXsEvRr/view?usp=drivesdk" TargetMode="External"/><Relationship Id="rId13118" Type="http://schemas.openxmlformats.org/officeDocument/2006/relationships/hyperlink" Target="https://drive.google.com/file/d/1LD68EyoghvTXa17mDXPGDN4srS8iDGOv/view?usp=drivesdk" TargetMode="External"/><Relationship Id="rId13117" Type="http://schemas.openxmlformats.org/officeDocument/2006/relationships/hyperlink" Target="https://drive.google.com/file/d/1Tlxicc1lHxfOZuLbZDL4K9VoU9haJUev/view?usp=drivesdk" TargetMode="External"/><Relationship Id="rId9146" Type="http://schemas.openxmlformats.org/officeDocument/2006/relationships/hyperlink" Target="https://drive.google.com/file/d/1TOR-jL3YD7m2aizwTaTxh5iYJOSr_QAT/view?usp=drivesdk" TargetMode="External"/><Relationship Id="rId9145" Type="http://schemas.openxmlformats.org/officeDocument/2006/relationships/hyperlink" Target="https://drive.google.com/file/d/1kwC0n1vQ3Xf5QIKs-8psxy5SL9ER2c-m/view?usp=drivesdk" TargetMode="External"/><Relationship Id="rId9144" Type="http://schemas.openxmlformats.org/officeDocument/2006/relationships/hyperlink" Target="https://drive.google.com/file/d/1fg7aDJxsqd7E_pTIzDNnSvh-0ehcEEzi/view?usp=drivesdk" TargetMode="External"/><Relationship Id="rId9143" Type="http://schemas.openxmlformats.org/officeDocument/2006/relationships/hyperlink" Target="https://drive.google.com/file/d/19fJBby0IbS_A102pCLU2mxmez_wZa5yP/view?usp=drivesdk" TargetMode="External"/><Relationship Id="rId13112" Type="http://schemas.openxmlformats.org/officeDocument/2006/relationships/hyperlink" Target="https://drive.google.com/file/d/1oRY3b1NxGpqKLE80TrEN8vcMzVvermN7/view?usp=drivesdk" TargetMode="External"/><Relationship Id="rId9149" Type="http://schemas.openxmlformats.org/officeDocument/2006/relationships/hyperlink" Target="https://drive.google.com/file/d/1yrgKXtjgxHchFVbvLNVPaKNYY2p3RTV9/view?usp=drivesdk" TargetMode="External"/><Relationship Id="rId13111" Type="http://schemas.openxmlformats.org/officeDocument/2006/relationships/hyperlink" Target="https://drive.google.com/file/d/1Bt09jCpkl2vI8DAmiDmN6vaUS_HoEw1G/view?usp=drivesdk" TargetMode="External"/><Relationship Id="rId9148" Type="http://schemas.openxmlformats.org/officeDocument/2006/relationships/hyperlink" Target="https://drive.google.com/file/d/1VMOSKwH2iQwbJ5tbw_hI1MvGIr4ew1WN/view?usp=drivesdk" TargetMode="External"/><Relationship Id="rId13110" Type="http://schemas.openxmlformats.org/officeDocument/2006/relationships/hyperlink" Target="https://drive.google.com/file/d/10ADheCU2QByFKF96vqkO3Y0szpS9-ij8/view?usp=drivesdk" TargetMode="External"/><Relationship Id="rId9147" Type="http://schemas.openxmlformats.org/officeDocument/2006/relationships/hyperlink" Target="https://drive.google.com/file/d/1uwtyn5oEp9WWX2-7rMa5QYBSguZxrN8j/view?usp=drivesdk" TargetMode="External"/><Relationship Id="rId13116" Type="http://schemas.openxmlformats.org/officeDocument/2006/relationships/hyperlink" Target="https://drive.google.com/file/d/1JqekOTag68OlPzJPe2BDa_cgWNpEfIj0/view?usp=drivesdk" TargetMode="External"/><Relationship Id="rId13115" Type="http://schemas.openxmlformats.org/officeDocument/2006/relationships/hyperlink" Target="https://drive.google.com/file/d/1SJKSaeiM_t2GJPC6CKPqvzNDyklhVbVp/view?usp=drivesdk" TargetMode="External"/><Relationship Id="rId13114" Type="http://schemas.openxmlformats.org/officeDocument/2006/relationships/hyperlink" Target="https://drive.google.com/file/d/1GitWMZ65GdtkB_EowBXC96ng1fVokucW/view?usp=drivesdk" TargetMode="External"/><Relationship Id="rId13113" Type="http://schemas.openxmlformats.org/officeDocument/2006/relationships/hyperlink" Target="https://drive.google.com/file/d/1QNLILaLsM38RIFVFV1gnKd78kECiboLk/view?usp=drivesdk" TargetMode="External"/><Relationship Id="rId1" Type="http://schemas.openxmlformats.org/officeDocument/2006/relationships/hyperlink" Target="https://drive.google.com/file/d/15jPER5BaQuBSX5VEs0hQtAx-a8mLWvGk/view?usp=drivesdk" TargetMode="External"/><Relationship Id="rId2" Type="http://schemas.openxmlformats.org/officeDocument/2006/relationships/hyperlink" Target="https://drive.google.com/file/d/1zswP-f59-5rt6OPuxzvaiUpNLoNZjvVv/view?usp=drivesdk" TargetMode="External"/><Relationship Id="rId3" Type="http://schemas.openxmlformats.org/officeDocument/2006/relationships/hyperlink" Target="https://drive.google.com/file/d/1oG_BWgv5TbnWwTsTc8afnWpWAe42mzwP/view?usp=drivesdk" TargetMode="External"/><Relationship Id="rId4" Type="http://schemas.openxmlformats.org/officeDocument/2006/relationships/hyperlink" Target="https://drive.google.com/file/d/1j2QV6eO1_3RlAIyOA7-tf7AELCux1abB/view?usp=drivesdk" TargetMode="External"/><Relationship Id="rId9" Type="http://schemas.openxmlformats.org/officeDocument/2006/relationships/hyperlink" Target="https://drive.google.com/file/d/1jwVSOEA2eOeXTj62tXYpBRzPfyObdLiG/view?usp=drivesdk" TargetMode="External"/><Relationship Id="rId5" Type="http://schemas.openxmlformats.org/officeDocument/2006/relationships/hyperlink" Target="https://drive.google.com/file/d/19mPXeXdEzaR7Tx-jH8OqRUK_C6or0JmF/view?usp=drivesdk" TargetMode="External"/><Relationship Id="rId6" Type="http://schemas.openxmlformats.org/officeDocument/2006/relationships/hyperlink" Target="https://drive.google.com/file/d/1La9Ff2qGpH5KCJjCDegZPjPiK3ImNKhp/view?usp=drivesdk" TargetMode="External"/><Relationship Id="rId7" Type="http://schemas.openxmlformats.org/officeDocument/2006/relationships/hyperlink" Target="https://drive.google.com/file/d/1E7CjfZ0aJEUgxxuhRDCL7bWpERORvwtG/view?usp=drivesdk" TargetMode="External"/><Relationship Id="rId8" Type="http://schemas.openxmlformats.org/officeDocument/2006/relationships/hyperlink" Target="https://drive.google.com/file/d/1-35NsN2EzSVjSMnZWEa1STnUrqfdKX0m/view?usp=drivesdk" TargetMode="External"/><Relationship Id="rId12081" Type="http://schemas.openxmlformats.org/officeDocument/2006/relationships/hyperlink" Target="https://drive.google.com/file/d/1MtC9OzrhhBILnyi3Nx4eki0md8cqr5SQ/view?usp=drivesdk" TargetMode="External"/><Relationship Id="rId12080" Type="http://schemas.openxmlformats.org/officeDocument/2006/relationships/hyperlink" Target="https://drive.google.com/file/d/1HhopmfKkH6aBdJlT9LWLhPxvt3y92MsF/view?usp=drivesdk" TargetMode="External"/><Relationship Id="rId3911" Type="http://schemas.openxmlformats.org/officeDocument/2006/relationships/hyperlink" Target="https://drive.google.com/file/d/1q2buc9nBbiFj6XhI6pJSmPcG_WV4NfGu/view?usp=drivesdk" TargetMode="External"/><Relationship Id="rId3910" Type="http://schemas.openxmlformats.org/officeDocument/2006/relationships/hyperlink" Target="https://drive.google.com/file/d/1-XH78EL7sP44gYsyTDy6WCMn7IzRCnR3/view?usp=drivesdk" TargetMode="External"/><Relationship Id="rId3913" Type="http://schemas.openxmlformats.org/officeDocument/2006/relationships/hyperlink" Target="https://drive.google.com/file/d/1JOuu5n_9KsnjJ1GroZtRFeg_j5moBj9g/view?usp=drivesdk" TargetMode="External"/><Relationship Id="rId12085" Type="http://schemas.openxmlformats.org/officeDocument/2006/relationships/hyperlink" Target="https://drive.google.com/file/d/1GBpkAE_TbH42ElPaJucp28NPM5SGXdCb/view?usp=drivesdk" TargetMode="External"/><Relationship Id="rId3912" Type="http://schemas.openxmlformats.org/officeDocument/2006/relationships/hyperlink" Target="https://drive.google.com/file/d/1UqN-lh_X-iI2U0S9xuob6xTK_r9zcF2s/view?usp=drivesdk" TargetMode="External"/><Relationship Id="rId12084" Type="http://schemas.openxmlformats.org/officeDocument/2006/relationships/hyperlink" Target="https://drive.google.com/file/d/1KNdiDrZM1eDqH2h8MA3Dar5mwMT5dX8s/view?usp=drivesdk" TargetMode="External"/><Relationship Id="rId3915" Type="http://schemas.openxmlformats.org/officeDocument/2006/relationships/hyperlink" Target="https://drive.google.com/file/d/1QmN-YbL1wPy0zCRdiLX4BCfVrEW643QA/view?usp=drivesdk" TargetMode="External"/><Relationship Id="rId12083" Type="http://schemas.openxmlformats.org/officeDocument/2006/relationships/hyperlink" Target="https://drive.google.com/file/d/1iWXK0a_6F30Gp_AXFlCZTGrJN_jPReo2/view?usp=drivesdk" TargetMode="External"/><Relationship Id="rId3914" Type="http://schemas.openxmlformats.org/officeDocument/2006/relationships/hyperlink" Target="https://drive.google.com/file/d/1WAxi65R2xR2sE2yrV__-W8MZ1RkBfVCS/view?usp=drivesdk" TargetMode="External"/><Relationship Id="rId12082" Type="http://schemas.openxmlformats.org/officeDocument/2006/relationships/hyperlink" Target="https://drive.google.com/file/d/1tX2y2OCAx9kFXLE0mIJDuMDw5izvqzwA/view?usp=drivesdk" TargetMode="External"/><Relationship Id="rId3917" Type="http://schemas.openxmlformats.org/officeDocument/2006/relationships/hyperlink" Target="https://drive.google.com/file/d/1B7Dx7xhqrv5KwjRVWYf5DY56AT7rQJTn/view?usp=drivesdk" TargetMode="External"/><Relationship Id="rId3916" Type="http://schemas.openxmlformats.org/officeDocument/2006/relationships/hyperlink" Target="https://drive.google.com/file/d/1EvYpkJ-8ofVzp4QhZjz0xGchWaOLxb-Z/view?usp=drivesdk" TargetMode="External"/><Relationship Id="rId3919" Type="http://schemas.openxmlformats.org/officeDocument/2006/relationships/hyperlink" Target="https://drive.google.com/file/d/1vW2H303kXCHuEq2DDJ0BCnYNtYRPVZZf/view?usp=drivesdk" TargetMode="External"/><Relationship Id="rId3918" Type="http://schemas.openxmlformats.org/officeDocument/2006/relationships/hyperlink" Target="https://drive.google.com/file/d/1magmrN3jNXKJTZUhf3iHV6ByQ_cCDk98/view?usp=drivesdk" TargetMode="External"/><Relationship Id="rId12078" Type="http://schemas.openxmlformats.org/officeDocument/2006/relationships/hyperlink" Target="https://drive.google.com/file/d/1laaO815qCWWSp8f43Z6_HjUxC9Q0sgYb/view?usp=drivesdk" TargetMode="External"/><Relationship Id="rId12077" Type="http://schemas.openxmlformats.org/officeDocument/2006/relationships/hyperlink" Target="https://drive.google.com/file/d/1NTfY4uVjW8sA5TQml0KxAktJBi0yXCrE/view?usp=drivesdk" TargetMode="External"/><Relationship Id="rId12076" Type="http://schemas.openxmlformats.org/officeDocument/2006/relationships/hyperlink" Target="https://drive.google.com/file/d/1CgFYh_ig9i6DoFdZToi99SuwgtDo13Bc/view?usp=drivesdk" TargetMode="External"/><Relationship Id="rId12075" Type="http://schemas.openxmlformats.org/officeDocument/2006/relationships/hyperlink" Target="https://drive.google.com/file/d/11bwp3-DNg6rLda8m-tv_PpOHsXJTfmqM/view?usp=drivesdk" TargetMode="External"/><Relationship Id="rId12079" Type="http://schemas.openxmlformats.org/officeDocument/2006/relationships/hyperlink" Target="https://drive.google.com/file/d/1VeRwNTDk3KRDZxijHbaQpDfsR3r3JBlv/view?usp=drivesdk" TargetMode="External"/><Relationship Id="rId12092" Type="http://schemas.openxmlformats.org/officeDocument/2006/relationships/hyperlink" Target="https://drive.google.com/file/d/1odkZVvC2ph-MxJnwcXavlA4pHGUWunLa/view?usp=drivesdk" TargetMode="External"/><Relationship Id="rId12091" Type="http://schemas.openxmlformats.org/officeDocument/2006/relationships/hyperlink" Target="https://drive.google.com/file/d/1ZIdONmWrV1CUFnrXSgXp9p94klqZoTu-/view?usp=drivesdk" TargetMode="External"/><Relationship Id="rId3900" Type="http://schemas.openxmlformats.org/officeDocument/2006/relationships/hyperlink" Target="https://drive.google.com/file/d/1fLASb9EMQgK3pALX4JybTBjOLpxsJhaQ/view?usp=drivesdk" TargetMode="External"/><Relationship Id="rId12090" Type="http://schemas.openxmlformats.org/officeDocument/2006/relationships/hyperlink" Target="https://drive.google.com/file/d/1am61q_MFDDu1nvJRp_fxLvgWBCiRoXst/view?usp=drivesdk" TargetMode="External"/><Relationship Id="rId3902" Type="http://schemas.openxmlformats.org/officeDocument/2006/relationships/hyperlink" Target="https://drive.google.com/file/d/1Ll4wjfWBgeh2wij-aEpKM1wuV6e6jpmk/view?usp=drivesdk" TargetMode="External"/><Relationship Id="rId12096" Type="http://schemas.openxmlformats.org/officeDocument/2006/relationships/hyperlink" Target="https://drive.google.com/file/d/1Pvd0v-zlrlS2rIP7CB8xr_qqVmXzOWFQ/view?usp=drivesdk" TargetMode="External"/><Relationship Id="rId3901" Type="http://schemas.openxmlformats.org/officeDocument/2006/relationships/hyperlink" Target="https://drive.google.com/file/d/1pv6Fg2o0xjq9AvWFmYQVMIwsS27MvEkd/view?usp=drivesdk" TargetMode="External"/><Relationship Id="rId12095" Type="http://schemas.openxmlformats.org/officeDocument/2006/relationships/hyperlink" Target="https://drive.google.com/file/d/1yARJypFaNtTeCsYZMTCodErvScNvMbeY/view?usp=drivesdk" TargetMode="External"/><Relationship Id="rId3904" Type="http://schemas.openxmlformats.org/officeDocument/2006/relationships/hyperlink" Target="https://drive.google.com/file/d/1nA4nwiuA6luhJ98DQPns5L_CT8Cr2Fkw/view?usp=drivesdk" TargetMode="External"/><Relationship Id="rId12094" Type="http://schemas.openxmlformats.org/officeDocument/2006/relationships/hyperlink" Target="https://drive.google.com/file/d/1m0MrmnYPQIEe1epaanfT9Eq2DlEWqwhh/view?usp=drivesdk" TargetMode="External"/><Relationship Id="rId3903" Type="http://schemas.openxmlformats.org/officeDocument/2006/relationships/hyperlink" Target="https://drive.google.com/file/d/1bxgscf0tjhJxdWiWBzosNPIdQ6-UKE7Z/view?usp=drivesdk" TargetMode="External"/><Relationship Id="rId12093" Type="http://schemas.openxmlformats.org/officeDocument/2006/relationships/hyperlink" Target="https://drive.google.com/file/d/1AwE78uXb6Cln-1a5JRDbxLKInaLQRLM-/view?usp=drivesdk" TargetMode="External"/><Relationship Id="rId3906" Type="http://schemas.openxmlformats.org/officeDocument/2006/relationships/hyperlink" Target="https://drive.google.com/file/d/1o2O8UBYznnMPbolXe04xjDYSJtemwA0E/view?usp=drivesdk" TargetMode="External"/><Relationship Id="rId3905" Type="http://schemas.openxmlformats.org/officeDocument/2006/relationships/hyperlink" Target="https://drive.google.com/file/d/1-9WhgO8QxP3ULDWzIGDhH-kb3IMnzRmB/view?usp=drivesdk" TargetMode="External"/><Relationship Id="rId3908" Type="http://schemas.openxmlformats.org/officeDocument/2006/relationships/hyperlink" Target="https://drive.google.com/file/d/1WAulABygH-ElHbqGYkvSLHPre6ZfGE6R/view?usp=drivesdk" TargetMode="External"/><Relationship Id="rId3907" Type="http://schemas.openxmlformats.org/officeDocument/2006/relationships/hyperlink" Target="https://drive.google.com/file/d/14oMUV12dBnXiZeaacIxHcOnjWBUf2nzM/view?usp=drivesdk" TargetMode="External"/><Relationship Id="rId3909" Type="http://schemas.openxmlformats.org/officeDocument/2006/relationships/hyperlink" Target="https://drive.google.com/file/d/1Bxt94yD_Nj9Y8HxajfzV1bfD86fdGfCh/view?usp=drivesdk" TargetMode="External"/><Relationship Id="rId12089" Type="http://schemas.openxmlformats.org/officeDocument/2006/relationships/hyperlink" Target="https://drive.google.com/file/d/1e4U_LOkM7MPa6XpIeb3dK8R7r1_LNR13/view?usp=drivesdk" TargetMode="External"/><Relationship Id="rId12088" Type="http://schemas.openxmlformats.org/officeDocument/2006/relationships/hyperlink" Target="https://drive.google.com/file/d/1Z8E-hXiGcd_HjW7vrYHpoooIRKiyAVET/view?usp=drivesdk" TargetMode="External"/><Relationship Id="rId12087" Type="http://schemas.openxmlformats.org/officeDocument/2006/relationships/hyperlink" Target="https://drive.google.com/file/d/1-64bF4LmCSH6b11JTNaXV47AZhVIJ6fS/view?usp=drivesdk" TargetMode="External"/><Relationship Id="rId12086" Type="http://schemas.openxmlformats.org/officeDocument/2006/relationships/hyperlink" Target="https://drive.google.com/file/d/1nZ0OfG31h8JBraEVM9PUG1AlXsPH-0BF/view?usp=drivesdk" TargetMode="External"/><Relationship Id="rId3931" Type="http://schemas.openxmlformats.org/officeDocument/2006/relationships/hyperlink" Target="https://drive.google.com/file/d/1dmux3Pgx62VJNDV8zmmAk_LDLAmm5YiT/view?usp=drivesdk" TargetMode="External"/><Relationship Id="rId13390" Type="http://schemas.openxmlformats.org/officeDocument/2006/relationships/hyperlink" Target="https://drive.google.com/file/d/1QEiGqMj6I3wCiIna1_zxj0V1OOnKVvGC/view?usp=drivesdk" TargetMode="External"/><Relationship Id="rId2600" Type="http://schemas.openxmlformats.org/officeDocument/2006/relationships/hyperlink" Target="https://drive.google.com/file/d/1kDdkAtd2SvTjurAZErks1Bej_ghhX-C0/view?usp=drivesdk" TargetMode="External"/><Relationship Id="rId3930" Type="http://schemas.openxmlformats.org/officeDocument/2006/relationships/hyperlink" Target="https://drive.google.com/file/d/1vDP6AEsi53GpOSdnWsjDyry4QTqvbBUp/view?usp=drivesdk" TargetMode="External"/><Relationship Id="rId2601" Type="http://schemas.openxmlformats.org/officeDocument/2006/relationships/hyperlink" Target="https://drive.google.com/file/d/1xwHrRelXqBNjbciTiC0OM36US_NOsfmJ/view?usp=drivesdk" TargetMode="External"/><Relationship Id="rId3933" Type="http://schemas.openxmlformats.org/officeDocument/2006/relationships/hyperlink" Target="https://drive.google.com/file/d/1sWWp315efUm7d8I1x7NTVDo1g1sJ2Ru9/view?usp=drivesdk" TargetMode="External"/><Relationship Id="rId2602" Type="http://schemas.openxmlformats.org/officeDocument/2006/relationships/hyperlink" Target="https://drive.google.com/file/d/1BU2MPdWubYzbHqQVfpWcvEqAsrJS5BX5/view?usp=drivesdk" TargetMode="External"/><Relationship Id="rId3932" Type="http://schemas.openxmlformats.org/officeDocument/2006/relationships/hyperlink" Target="https://drive.google.com/file/d/148V_i44FYLo_w8ZhjIKuCFoXg7Kkhf78/view?usp=drivesdk" TargetMode="External"/><Relationship Id="rId2603" Type="http://schemas.openxmlformats.org/officeDocument/2006/relationships/hyperlink" Target="https://drive.google.com/file/d/1hqcvQd3JdLH8M4zex1qs4tHlF6XmXpPh/view?usp=drivesdk" TargetMode="External"/><Relationship Id="rId3935" Type="http://schemas.openxmlformats.org/officeDocument/2006/relationships/hyperlink" Target="https://drive.google.com/file/d/1dpBJ28r9-cdbpTvaS2tHlQvyFuAfdAL0/view?usp=drivesdk" TargetMode="External"/><Relationship Id="rId12063" Type="http://schemas.openxmlformats.org/officeDocument/2006/relationships/hyperlink" Target="https://drive.google.com/file/d/1F5wKqFj3AWvDotSOcvv31TssHTtw_Daz/view?usp=drivesdk" TargetMode="External"/><Relationship Id="rId13394" Type="http://schemas.openxmlformats.org/officeDocument/2006/relationships/hyperlink" Target="https://drive.google.com/file/d/1Zg88hpEXRbz7GOj5q6OkUWOgp8ptIfiF/view?usp=drivesdk" TargetMode="External"/><Relationship Id="rId2604" Type="http://schemas.openxmlformats.org/officeDocument/2006/relationships/hyperlink" Target="https://drive.google.com/file/d/1BjDob5h0JpwfTfRw0_zyAA-bnF39fySu/view?usp=drivesdk" TargetMode="External"/><Relationship Id="rId3934" Type="http://schemas.openxmlformats.org/officeDocument/2006/relationships/hyperlink" Target="https://drive.google.com/file/d/1S8ohR7Ja_cYFZTUtOb2F45ORdW5BBbm1/view?usp=drivesdk" TargetMode="External"/><Relationship Id="rId12062" Type="http://schemas.openxmlformats.org/officeDocument/2006/relationships/hyperlink" Target="https://drive.google.com/file/d/1PPIRq0lIT5GkPrN-9iJu8x-JY_UbuGKG/view?usp=drivesdk" TargetMode="External"/><Relationship Id="rId13393" Type="http://schemas.openxmlformats.org/officeDocument/2006/relationships/hyperlink" Target="https://drive.google.com/file/d/1KfzTe6ivy5P2FEAjDRrSx_JYGZjf7uPH/view?usp=drivesdk" TargetMode="External"/><Relationship Id="rId2605" Type="http://schemas.openxmlformats.org/officeDocument/2006/relationships/hyperlink" Target="https://drive.google.com/file/d/1tOxX4YC4czEZFaNJdfjjraT3p7pL8UdU/view?usp=drivesdk" TargetMode="External"/><Relationship Id="rId3937" Type="http://schemas.openxmlformats.org/officeDocument/2006/relationships/hyperlink" Target="https://drive.google.com/file/d/1aw6tUb4l9eaZhprgPmQJLeOpgPqfHvyV/view?usp=drivesdk" TargetMode="External"/><Relationship Id="rId12061" Type="http://schemas.openxmlformats.org/officeDocument/2006/relationships/hyperlink" Target="https://drive.google.com/file/d/1rxJNz6h_bIhRM4I-1jixFmy0oNHb2_dI/view?usp=drivesdk" TargetMode="External"/><Relationship Id="rId13392" Type="http://schemas.openxmlformats.org/officeDocument/2006/relationships/hyperlink" Target="https://drive.google.com/file/d/1Virq1jQoelIo6wc2-ZZGQ6FTptRTvYnN/view?usp=drivesdk" TargetMode="External"/><Relationship Id="rId2606" Type="http://schemas.openxmlformats.org/officeDocument/2006/relationships/hyperlink" Target="https://drive.google.com/file/d/1u7gpCLt-A2c8bKf7WTWIrw4DSTnmqhcz/view?usp=drivesdk" TargetMode="External"/><Relationship Id="rId3936" Type="http://schemas.openxmlformats.org/officeDocument/2006/relationships/hyperlink" Target="https://drive.google.com/file/d/1KYotS8THPWyU0gi8Dq5VnlF2Qm9s0IVB/view?usp=drivesdk" TargetMode="External"/><Relationship Id="rId12060" Type="http://schemas.openxmlformats.org/officeDocument/2006/relationships/hyperlink" Target="https://drive.google.com/file/d/1wZnZ1HQTA5iCgxQzMmB28l4HQ9vkfjtU/view?usp=drivesdk" TargetMode="External"/><Relationship Id="rId13391" Type="http://schemas.openxmlformats.org/officeDocument/2006/relationships/hyperlink" Target="https://drive.google.com/file/d/1ghU4WJ8bjYYu2UICOEGmfLjZh9OIHP6R/view?usp=drivesdk" TargetMode="External"/><Relationship Id="rId2607" Type="http://schemas.openxmlformats.org/officeDocument/2006/relationships/hyperlink" Target="https://drive.google.com/file/d/1B48ht8shW3Oul0NlX7nirOD8D7_veOUp/view?usp=drivesdk" TargetMode="External"/><Relationship Id="rId3939" Type="http://schemas.openxmlformats.org/officeDocument/2006/relationships/hyperlink" Target="https://drive.google.com/file/d/1iRpQHgJQhEJQnWVlJjpdZaXJwNbC82gG/view?usp=drivesdk" TargetMode="External"/><Relationship Id="rId2608" Type="http://schemas.openxmlformats.org/officeDocument/2006/relationships/hyperlink" Target="https://drive.google.com/file/d/17S2m69BSGfA7boLQwTFh6w7NryRS8-5w/view?usp=drivesdk" TargetMode="External"/><Relationship Id="rId3938" Type="http://schemas.openxmlformats.org/officeDocument/2006/relationships/hyperlink" Target="https://drive.google.com/file/d/1g-1-49_KPKAQt8dhshqXqMsizj61qv_V/view?usp=drivesdk" TargetMode="External"/><Relationship Id="rId2609" Type="http://schemas.openxmlformats.org/officeDocument/2006/relationships/hyperlink" Target="https://drive.google.com/file/d/1VQ6jJutnaW3LvZ2Vav7Ve3734gWYpx7c/view?usp=drivesdk" TargetMode="External"/><Relationship Id="rId12056" Type="http://schemas.openxmlformats.org/officeDocument/2006/relationships/hyperlink" Target="https://drive.google.com/file/d/1EcLcxI7AZ753NLS45FfQ2MB3gGkhcyuR/view?usp=drivesdk" TargetMode="External"/><Relationship Id="rId13387" Type="http://schemas.openxmlformats.org/officeDocument/2006/relationships/hyperlink" Target="https://drive.google.com/file/d/1hVw_P73CkGmv-PjDagwHqiLEIagV5I9V/view?usp=drivesdk" TargetMode="External"/><Relationship Id="rId12055" Type="http://schemas.openxmlformats.org/officeDocument/2006/relationships/hyperlink" Target="https://drive.google.com/file/d/15tRbiZ7M6MTfgAOR3V2ogxcNHdA6oTsy/view?usp=drivesdk" TargetMode="External"/><Relationship Id="rId13386" Type="http://schemas.openxmlformats.org/officeDocument/2006/relationships/hyperlink" Target="https://drive.google.com/file/d/1cseBMln5K9eqDsesPToBiMlDgxCkqWKB/view?usp=drivesdk" TargetMode="External"/><Relationship Id="rId12054" Type="http://schemas.openxmlformats.org/officeDocument/2006/relationships/hyperlink" Target="https://drive.google.com/file/d/15-RBVgHgx1H8dGqoqSvUmloE_dn3YYHx/view?usp=drivesdk" TargetMode="External"/><Relationship Id="rId13385" Type="http://schemas.openxmlformats.org/officeDocument/2006/relationships/hyperlink" Target="https://drive.google.com/file/d/1_Zd8kzy2MgpwUQ-WD3VvgYEiXm1vOJr6/view?usp=drivesdk" TargetMode="External"/><Relationship Id="rId12053" Type="http://schemas.openxmlformats.org/officeDocument/2006/relationships/hyperlink" Target="https://drive.google.com/file/d/1FGbr0P2gzhf6yYefoBV1wwAt8v_vH3Ty/view?usp=drivesdk" TargetMode="External"/><Relationship Id="rId13384" Type="http://schemas.openxmlformats.org/officeDocument/2006/relationships/hyperlink" Target="https://drive.google.com/file/d/1_8WLEkeJfJAHyQ65OCn9-pyxO55RRuZT/view?usp=drivesdk" TargetMode="External"/><Relationship Id="rId12059" Type="http://schemas.openxmlformats.org/officeDocument/2006/relationships/hyperlink" Target="https://drive.google.com/file/d/1WHp6fqtMhU6DAg1X0vYj_m7aQfdwGgx7/view?usp=drivesdk" TargetMode="External"/><Relationship Id="rId12058" Type="http://schemas.openxmlformats.org/officeDocument/2006/relationships/hyperlink" Target="https://drive.google.com/file/d/1REX-kUpp88huuCKViJS62SR4g2Gj4Hxr/view?usp=drivesdk" TargetMode="External"/><Relationship Id="rId13389" Type="http://schemas.openxmlformats.org/officeDocument/2006/relationships/hyperlink" Target="https://drive.google.com/file/d/1RdDQMIEoqgIxjM4CwmWRUrzmv2iVr0Eu/view?usp=drivesdk" TargetMode="External"/><Relationship Id="rId12057" Type="http://schemas.openxmlformats.org/officeDocument/2006/relationships/hyperlink" Target="https://drive.google.com/file/d/1Mrc5gRk59f4r2ej7oiukTy805E9tamvj/view?usp=drivesdk" TargetMode="External"/><Relationship Id="rId13388" Type="http://schemas.openxmlformats.org/officeDocument/2006/relationships/hyperlink" Target="https://drive.google.com/file/d/1NifuG9PmJk6QlgzNVedTV7NyvP10aZPn/view?usp=drivesdk" TargetMode="External"/><Relationship Id="rId3920" Type="http://schemas.openxmlformats.org/officeDocument/2006/relationships/hyperlink" Target="https://drive.google.com/file/d/1WwjOpq4sGC-Naw2VRDT-slFYsl2vu4CU/view?usp=drivesdk" TargetMode="External"/><Relationship Id="rId12070" Type="http://schemas.openxmlformats.org/officeDocument/2006/relationships/hyperlink" Target="https://drive.google.com/file/d/1g9I7iHkzB8kxUAsFaOezK3qUyQJ8C6Eb/view?usp=drivesdk" TargetMode="External"/><Relationship Id="rId3922" Type="http://schemas.openxmlformats.org/officeDocument/2006/relationships/hyperlink" Target="https://drive.google.com/file/d/105HfO6TG3EDe3U3RSU3vvjHTiN3VOS17/view?usp=drivesdk" TargetMode="External"/><Relationship Id="rId3921" Type="http://schemas.openxmlformats.org/officeDocument/2006/relationships/hyperlink" Target="https://drive.google.com/file/d/1ZTGdEvcVnvPqhaC1O7EZX3KxEHOjX_MO/view?usp=drivesdk" TargetMode="External"/><Relationship Id="rId3924" Type="http://schemas.openxmlformats.org/officeDocument/2006/relationships/hyperlink" Target="https://drive.google.com/file/d/1RkdvAhYex9MIpFdlCFyYhqgFAjQByw7n/view?usp=drivesdk" TargetMode="External"/><Relationship Id="rId12074" Type="http://schemas.openxmlformats.org/officeDocument/2006/relationships/hyperlink" Target="https://drive.google.com/file/d/18CFGR6y4IEVRObpjdjZmjbg0ZxJmsTJr/view?usp=drivesdk" TargetMode="External"/><Relationship Id="rId3923" Type="http://schemas.openxmlformats.org/officeDocument/2006/relationships/hyperlink" Target="https://drive.google.com/file/d/1JJkclV5l5dAxI_W_H4Gp4DkHD7ihaRaj/view?usp=drivesdk" TargetMode="External"/><Relationship Id="rId12073" Type="http://schemas.openxmlformats.org/officeDocument/2006/relationships/hyperlink" Target="https://drive.google.com/file/d/1QjAuWxvGfdLUTb5NNtJ2ymGkousDULUR/view?usp=drivesdk" TargetMode="External"/><Relationship Id="rId3926" Type="http://schemas.openxmlformats.org/officeDocument/2006/relationships/hyperlink" Target="https://drive.google.com/file/d/1LWIJemmQazAhGlbaP1dckJ4IUgcpoxSR/view?usp=drivesdk" TargetMode="External"/><Relationship Id="rId12072" Type="http://schemas.openxmlformats.org/officeDocument/2006/relationships/hyperlink" Target="https://drive.google.com/file/d/1Vn4vdkplTm8ojEVX9yfpQBzMEUb88GDm/view?usp=drivesdk" TargetMode="External"/><Relationship Id="rId3925" Type="http://schemas.openxmlformats.org/officeDocument/2006/relationships/hyperlink" Target="https://drive.google.com/file/d/1QPn5xi1VWUee9SS82vrhC3qMdwkwZZny/view?usp=drivesdk" TargetMode="External"/><Relationship Id="rId12071" Type="http://schemas.openxmlformats.org/officeDocument/2006/relationships/hyperlink" Target="https://drive.google.com/file/d/10YrUjxgSx9o_zL-kqGoUpl4sICX3JPji/view?usp=drivesdk" TargetMode="External"/><Relationship Id="rId3928" Type="http://schemas.openxmlformats.org/officeDocument/2006/relationships/hyperlink" Target="https://drive.google.com/file/d/19Sj_Qjd4NtQ4HJ4lDM-XVriDMDJjNeF4/view?usp=drivesdk" TargetMode="External"/><Relationship Id="rId3927" Type="http://schemas.openxmlformats.org/officeDocument/2006/relationships/hyperlink" Target="https://drive.google.com/file/d/1p0W7mMM39A5ZZsT3_EZ0BwCtwflwFcMd/view?usp=drivesdk" TargetMode="External"/><Relationship Id="rId3929" Type="http://schemas.openxmlformats.org/officeDocument/2006/relationships/hyperlink" Target="https://drive.google.com/file/d/1MnbVvQ92VXQxsoY5OOnBYrXLFPmRP0QH/view?usp=drivesdk" TargetMode="External"/><Relationship Id="rId12067" Type="http://schemas.openxmlformats.org/officeDocument/2006/relationships/hyperlink" Target="https://drive.google.com/file/d/1RgeUC1TC_UqsviBybBB5qyj7RTvDm4lb/view?usp=drivesdk" TargetMode="External"/><Relationship Id="rId13398" Type="http://schemas.openxmlformats.org/officeDocument/2006/relationships/hyperlink" Target="https://drive.google.com/file/d/1V19iS_QVxMIjADkV731lvPCLjltVOPlF/view?usp=drivesdk" TargetMode="External"/><Relationship Id="rId12066" Type="http://schemas.openxmlformats.org/officeDocument/2006/relationships/hyperlink" Target="https://drive.google.com/file/d/1i0AK1q9zm0K_CYfFMANvMSS_zLAjhUTp/view?usp=drivesdk" TargetMode="External"/><Relationship Id="rId13397" Type="http://schemas.openxmlformats.org/officeDocument/2006/relationships/hyperlink" Target="https://drive.google.com/file/d/1gZN9ZmmvWJsqkOKRJSshSCXmY49DGHfa/view?usp=drivesdk" TargetMode="External"/><Relationship Id="rId12065" Type="http://schemas.openxmlformats.org/officeDocument/2006/relationships/hyperlink" Target="https://drive.google.com/file/d/1q8xs5lwVAPa-EA8ZBa5xKfM6CC8jEBc1/view?usp=drivesdk" TargetMode="External"/><Relationship Id="rId13396" Type="http://schemas.openxmlformats.org/officeDocument/2006/relationships/hyperlink" Target="https://drive.google.com/file/d/1khTbUMV_68AnT5MrX-Lt-9TV2SYZCWB4/view?usp=drivesdk" TargetMode="External"/><Relationship Id="rId12064" Type="http://schemas.openxmlformats.org/officeDocument/2006/relationships/hyperlink" Target="https://drive.google.com/file/d/1NyCaAS-wMdAi2jgWv76Q2op2pQv6z4uE/view?usp=drivesdk" TargetMode="External"/><Relationship Id="rId13395" Type="http://schemas.openxmlformats.org/officeDocument/2006/relationships/hyperlink" Target="https://drive.google.com/file/d/1HIvk_0_jFUe7obr_OxWIxmgAVRR2R6rD/view?usp=drivesdk" TargetMode="External"/><Relationship Id="rId12069" Type="http://schemas.openxmlformats.org/officeDocument/2006/relationships/hyperlink" Target="https://drive.google.com/file/d/1ZTXv0EJGjsB0JUWW91wh7d1uR_jK7ExA/view?usp=drivesdk" TargetMode="External"/><Relationship Id="rId12068" Type="http://schemas.openxmlformats.org/officeDocument/2006/relationships/hyperlink" Target="https://drive.google.com/file/d/1Kqo7luCqSs9uueZx4EnK0Y4lU9GM6jAg/view?usp=drivesdk" TargetMode="External"/><Relationship Id="rId13399" Type="http://schemas.openxmlformats.org/officeDocument/2006/relationships/hyperlink" Target="https://drive.google.com/file/d/1Mcb2zfDPGoOkhvtlgrUGofn2QKWnqDvQ/view?usp=drivesdk" TargetMode="External"/><Relationship Id="rId12099" Type="http://schemas.openxmlformats.org/officeDocument/2006/relationships/hyperlink" Target="https://drive.google.com/file/d/1e1ILKG6Fzi6Vkk3veD8HRHlgIDlYvkwh/view?usp=drivesdk" TargetMode="External"/><Relationship Id="rId12098" Type="http://schemas.openxmlformats.org/officeDocument/2006/relationships/hyperlink" Target="https://drive.google.com/file/d/1PfjCAcQglaaCXpXfoAWL6JrW99V-Z_eu/view?usp=drivesdk" TargetMode="External"/><Relationship Id="rId12097" Type="http://schemas.openxmlformats.org/officeDocument/2006/relationships/hyperlink" Target="https://drive.google.com/file/d/10TPhy_Z4yEXiQvYhndvlj3ihX3D51y5a/view?usp=drivesdk" TargetMode="External"/><Relationship Id="rId1334" Type="http://schemas.openxmlformats.org/officeDocument/2006/relationships/hyperlink" Target="https://drive.google.com/file/d/1pQBY9aKynvpySZzXg3uOQCoPOYMY4Oyk/view?usp=drivesdk" TargetMode="External"/><Relationship Id="rId2665" Type="http://schemas.openxmlformats.org/officeDocument/2006/relationships/hyperlink" Target="https://drive.google.com/file/d/1DkToMCmmx0FLT-fAC0vuwa-Tnjpl4rWu/view?usp=drivesdk" TargetMode="External"/><Relationship Id="rId3997" Type="http://schemas.openxmlformats.org/officeDocument/2006/relationships/hyperlink" Target="https://drive.google.com/file/d/1QX0VOTBlaKR9pIeBspPoXskAV7s6S5_D/view?usp=drivesdk" TargetMode="External"/><Relationship Id="rId1335" Type="http://schemas.openxmlformats.org/officeDocument/2006/relationships/hyperlink" Target="https://drive.google.com/file/d/1Yy9iu0WK6J1FkJP7JAPrzcdZYRW_2YM9/view?usp=drivesdk" TargetMode="External"/><Relationship Id="rId2666" Type="http://schemas.openxmlformats.org/officeDocument/2006/relationships/hyperlink" Target="https://drive.google.com/file/d/1j96UzAENcJB5xvJBES_uQxgkIA0Yu8zK/view?usp=drivesdk" TargetMode="External"/><Relationship Id="rId3996" Type="http://schemas.openxmlformats.org/officeDocument/2006/relationships/hyperlink" Target="https://drive.google.com/file/d/13Eh-bf0RvFthZfrk5gOd-iDFiN6wMWRw/view?usp=drivesdk" TargetMode="External"/><Relationship Id="rId1336" Type="http://schemas.openxmlformats.org/officeDocument/2006/relationships/hyperlink" Target="https://drive.google.com/file/d/1JK56gC92K7gFdX3QhNNbZIe58QqYc2_0/view?usp=drivesdk" TargetMode="External"/><Relationship Id="rId2667" Type="http://schemas.openxmlformats.org/officeDocument/2006/relationships/hyperlink" Target="https://drive.google.com/file/d/1y6OQlJLszUtkEWSJwVJHol1z_UYA11tT/view?usp=drivesdk" TargetMode="External"/><Relationship Id="rId3999" Type="http://schemas.openxmlformats.org/officeDocument/2006/relationships/hyperlink" Target="https://drive.google.com/file/d/14AjeMg5yUdYZeD0lVlQY-1NCrCFYZjqU/view?usp=drivesdk" TargetMode="External"/><Relationship Id="rId1337" Type="http://schemas.openxmlformats.org/officeDocument/2006/relationships/hyperlink" Target="https://drive.google.com/file/d/1FIV_5ws2Qpd0selMAW680uEFzRQ1OvR6/view?usp=drivesdk" TargetMode="External"/><Relationship Id="rId2668" Type="http://schemas.openxmlformats.org/officeDocument/2006/relationships/hyperlink" Target="https://drive.google.com/file/d/1ZfqN9sTPk5cV1p0Rur08b-nn9m8JUQII/view?usp=drivesdk" TargetMode="External"/><Relationship Id="rId3998" Type="http://schemas.openxmlformats.org/officeDocument/2006/relationships/hyperlink" Target="https://drive.google.com/file/d/1315-rRv1y1xPfZWxOPBxKuf6rVW-m_6R/view?usp=drivesdk" TargetMode="External"/><Relationship Id="rId1338" Type="http://schemas.openxmlformats.org/officeDocument/2006/relationships/hyperlink" Target="https://drive.google.com/file/d/1C1gSb4Mq5tnmIps1Wq1vRqNhLB-d6643/view?usp=drivesdk" TargetMode="External"/><Relationship Id="rId2669" Type="http://schemas.openxmlformats.org/officeDocument/2006/relationships/hyperlink" Target="https://drive.google.com/file/d/1FEQRqgZnnf0G5Yy5r0YANh8CKLyFntxz/view?usp=drivesdk" TargetMode="External"/><Relationship Id="rId1339" Type="http://schemas.openxmlformats.org/officeDocument/2006/relationships/hyperlink" Target="https://drive.google.com/file/d/1zAahtEb6l8T3wEApFwlwm-OVZQhuPegv/view?usp=drivesdk" TargetMode="External"/><Relationship Id="rId12119" Type="http://schemas.openxmlformats.org/officeDocument/2006/relationships/hyperlink" Target="https://drive.google.com/file/d/1ANNMAS5OHORUF6GHp-ml9pA4e2dnd34y/view?usp=drivesdk" TargetMode="External"/><Relationship Id="rId12118" Type="http://schemas.openxmlformats.org/officeDocument/2006/relationships/hyperlink" Target="https://drive.google.com/file/d/1kJThUpfAus3c7sXLCO4JbEZ39A3qbiwi/view?usp=drivesdk" TargetMode="External"/><Relationship Id="rId13449" Type="http://schemas.openxmlformats.org/officeDocument/2006/relationships/hyperlink" Target="https://drive.google.com/file/d/1ffGJzfbMVHGcWPoZToZSW-sC-AEE5uK1/view?usp=drivesdk" TargetMode="External"/><Relationship Id="rId12117" Type="http://schemas.openxmlformats.org/officeDocument/2006/relationships/hyperlink" Target="https://drive.google.com/file/d/1Vwx2BcalspRZD_kg_CKsghe4fn7jTOLR/view?usp=drivesdk" TargetMode="External"/><Relationship Id="rId13448" Type="http://schemas.openxmlformats.org/officeDocument/2006/relationships/hyperlink" Target="https://drive.google.com/file/d/1x08tA4bYdr8Bq6kxmHs6IHdbmNa7k9mW/view?usp=drivesdk" TargetMode="External"/><Relationship Id="rId12116" Type="http://schemas.openxmlformats.org/officeDocument/2006/relationships/hyperlink" Target="https://drive.google.com/file/d/1lli4dGehyY-Q4TCy2GHpH7_HORAvsOIu/view?usp=drivesdk" TargetMode="External"/><Relationship Id="rId13447" Type="http://schemas.openxmlformats.org/officeDocument/2006/relationships/hyperlink" Target="https://drive.google.com/file/d/10S8xvaA-EyAw4ZnznjdXj4gVn65cpPDT/view?usp=drivesdk" TargetMode="External"/><Relationship Id="rId12111" Type="http://schemas.openxmlformats.org/officeDocument/2006/relationships/hyperlink" Target="https://drive.google.com/file/d/1zc6eG4n2RjhfKCvGKPlHRt4odL19bSoC/view?usp=drivesdk" TargetMode="External"/><Relationship Id="rId13442" Type="http://schemas.openxmlformats.org/officeDocument/2006/relationships/hyperlink" Target="https://drive.google.com/file/d/1GzzSge-fkir1QNHA6o_P4MKU2clNsTTe/view?usp=drivesdk" TargetMode="External"/><Relationship Id="rId12110" Type="http://schemas.openxmlformats.org/officeDocument/2006/relationships/hyperlink" Target="https://drive.google.com/file/d/1v7D8PrxxwGxuRRmzCHN40Dc_L2vFZ2tz/view?usp=drivesdk" TargetMode="External"/><Relationship Id="rId13441" Type="http://schemas.openxmlformats.org/officeDocument/2006/relationships/hyperlink" Target="https://drive.google.com/file/d/11ikXzKa3yFFuflaO07GoDDMoL6paU_U2/view?usp=drivesdk" TargetMode="External"/><Relationship Id="rId3991" Type="http://schemas.openxmlformats.org/officeDocument/2006/relationships/hyperlink" Target="https://drive.google.com/file/d/147czLpV9XyeQ_8ZS5bFDTlQMY17lankh/view?usp=drivesdk" TargetMode="External"/><Relationship Id="rId13440" Type="http://schemas.openxmlformats.org/officeDocument/2006/relationships/hyperlink" Target="https://drive.google.com/file/d/17c_Qjoc9w86g9xZ6KBI3eXos23jQnm7g/view?usp=drivesdk" TargetMode="External"/><Relationship Id="rId2660" Type="http://schemas.openxmlformats.org/officeDocument/2006/relationships/hyperlink" Target="https://drive.google.com/file/d/1kTTxFQURlSSp_5yDZqiKTQWCpsnhGk7L/view?usp=drivesdk" TargetMode="External"/><Relationship Id="rId3990" Type="http://schemas.openxmlformats.org/officeDocument/2006/relationships/hyperlink" Target="https://drive.google.com/file/d/12Se6QLSSUvShmXuSajB4YNAvbE7eq7Kd/view?usp=drivesdk" TargetMode="External"/><Relationship Id="rId1330" Type="http://schemas.openxmlformats.org/officeDocument/2006/relationships/hyperlink" Target="https://drive.google.com/file/d/1YFiJZE1K1s9v6r7MEFIhDTW9ixWnUIsC/view?usp=drivesdk" TargetMode="External"/><Relationship Id="rId2661" Type="http://schemas.openxmlformats.org/officeDocument/2006/relationships/hyperlink" Target="https://drive.google.com/file/d/1Twu1EmVYMqqNumUBCYFYEFqPbNCkInb2/view?usp=drivesdk" TargetMode="External"/><Relationship Id="rId3993" Type="http://schemas.openxmlformats.org/officeDocument/2006/relationships/hyperlink" Target="https://drive.google.com/file/d/16hhTU1oNapIHZ1dsIl5sV6FGGUzD76S1/view?usp=drivesdk" TargetMode="External"/><Relationship Id="rId12115" Type="http://schemas.openxmlformats.org/officeDocument/2006/relationships/hyperlink" Target="https://drive.google.com/file/d/16-qtSrIbLGeD8xoYB1WLeEz-H0eOYon2/view?usp=drivesdk" TargetMode="External"/><Relationship Id="rId13446" Type="http://schemas.openxmlformats.org/officeDocument/2006/relationships/hyperlink" Target="https://drive.google.com/file/d/1sGPcZTpYL6Hi1S_8CJ70RKxEeXUUm6_d/view?usp=drivesdk" TargetMode="External"/><Relationship Id="rId1331" Type="http://schemas.openxmlformats.org/officeDocument/2006/relationships/hyperlink" Target="https://drive.google.com/file/d/1Ix1BjJGn0li4r73f3FdGzcHaATHvuL-f/view?usp=drivesdk" TargetMode="External"/><Relationship Id="rId2662" Type="http://schemas.openxmlformats.org/officeDocument/2006/relationships/hyperlink" Target="https://drive.google.com/file/d/1SilTYJ5wxzb4smg9YmRseYMmjgp3pUM_/view?usp=drivesdk" TargetMode="External"/><Relationship Id="rId3992" Type="http://schemas.openxmlformats.org/officeDocument/2006/relationships/hyperlink" Target="https://drive.google.com/file/d/1ivGBv982TtWFh7WQUc_5ylIkA7c1jhOn/view?usp=drivesdk" TargetMode="External"/><Relationship Id="rId12114" Type="http://schemas.openxmlformats.org/officeDocument/2006/relationships/hyperlink" Target="https://drive.google.com/file/d/1NsHDBXv7WcTGxdUNM6np6x8BMvW4TpNs/view?usp=drivesdk" TargetMode="External"/><Relationship Id="rId13445" Type="http://schemas.openxmlformats.org/officeDocument/2006/relationships/hyperlink" Target="https://drive.google.com/file/d/16z9jbmmFqI2bP7os54QPFr3UgmbKJNGX/view?usp=drivesdk" TargetMode="External"/><Relationship Id="rId1332" Type="http://schemas.openxmlformats.org/officeDocument/2006/relationships/hyperlink" Target="https://drive.google.com/file/d/14VM89NvBXf6e7C-GN0NDcpUUnMbmRUMf/view?usp=drivesdk" TargetMode="External"/><Relationship Id="rId2663" Type="http://schemas.openxmlformats.org/officeDocument/2006/relationships/hyperlink" Target="https://drive.google.com/file/d/1a4YGBRDkxpiLbSyCsS9kJgjdQIvjfji9/view?usp=drivesdk" TargetMode="External"/><Relationship Id="rId3995" Type="http://schemas.openxmlformats.org/officeDocument/2006/relationships/hyperlink" Target="https://drive.google.com/file/d/1A6u6i_pLC-9idFsNTwkAvbf2mT1WA9sf/view?usp=drivesdk" TargetMode="External"/><Relationship Id="rId12113" Type="http://schemas.openxmlformats.org/officeDocument/2006/relationships/hyperlink" Target="https://drive.google.com/file/d/1u8YMJrYf8KBVoMiosMLktelGwGOFUo9J/view?usp=drivesdk" TargetMode="External"/><Relationship Id="rId13444" Type="http://schemas.openxmlformats.org/officeDocument/2006/relationships/hyperlink" Target="https://drive.google.com/file/d/1PiAKzACps3S-QgjF0b-yf0wsUnsf-H6z/view?usp=drivesdk" TargetMode="External"/><Relationship Id="rId1333" Type="http://schemas.openxmlformats.org/officeDocument/2006/relationships/hyperlink" Target="https://drive.google.com/file/d/1qk_RFqAJIPZJUFYiWtx-Ko7Go3XfpIjm/view?usp=drivesdk" TargetMode="External"/><Relationship Id="rId2664" Type="http://schemas.openxmlformats.org/officeDocument/2006/relationships/hyperlink" Target="https://drive.google.com/file/d/1-hU0LDhAALwpREvXI2Ctrk59pNkPPen1/view?usp=drivesdk" TargetMode="External"/><Relationship Id="rId3994" Type="http://schemas.openxmlformats.org/officeDocument/2006/relationships/hyperlink" Target="https://drive.google.com/file/d/1y5RR-6pWWv3p5uYWf64QyHoIWIU1I7-X/view?usp=drivesdk" TargetMode="External"/><Relationship Id="rId12112" Type="http://schemas.openxmlformats.org/officeDocument/2006/relationships/hyperlink" Target="https://drive.google.com/file/d/1IhHVqWWwnfKfBfgF1G9Xd0uFpQzTJDuB/view?usp=drivesdk" TargetMode="External"/><Relationship Id="rId13443" Type="http://schemas.openxmlformats.org/officeDocument/2006/relationships/hyperlink" Target="https://drive.google.com/file/d/1yOcj4TK2ttsS7-kq4fMvXY2PFLRHCB6j/view?usp=drivesdk" TargetMode="External"/><Relationship Id="rId1323" Type="http://schemas.openxmlformats.org/officeDocument/2006/relationships/hyperlink" Target="https://drive.google.com/file/d/1okdRV6bN09hYbZrD9sjEY0WHyFYpst-Z/view?usp=drivesdk" TargetMode="External"/><Relationship Id="rId2654" Type="http://schemas.openxmlformats.org/officeDocument/2006/relationships/hyperlink" Target="https://drive.google.com/file/d/1afH4OgbFUN1aSdTo0wVYb5v95VTDEgSq/view?usp=drivesdk" TargetMode="External"/><Relationship Id="rId3986" Type="http://schemas.openxmlformats.org/officeDocument/2006/relationships/hyperlink" Target="https://drive.google.com/file/d/1oa3af1i9h8-63Bc4HIuuPwHZoECTIQb0/view?usp=drivesdk" TargetMode="External"/><Relationship Id="rId1324" Type="http://schemas.openxmlformats.org/officeDocument/2006/relationships/hyperlink" Target="https://drive.google.com/file/d/1W09p717x20wGeUdVxIFKQA6jnUkv3E_T/view?usp=drivesdk" TargetMode="External"/><Relationship Id="rId2655" Type="http://schemas.openxmlformats.org/officeDocument/2006/relationships/hyperlink" Target="https://drive.google.com/file/d/12Tu-s3XPNW1O4RGYuvo7Rf3lfjvPZNDX/view?usp=drivesdk" TargetMode="External"/><Relationship Id="rId3985" Type="http://schemas.openxmlformats.org/officeDocument/2006/relationships/hyperlink" Target="https://drive.google.com/file/d/17E8TifiE9h-0E9EE1O_BO1BoC91fde38/view?usp=drivesdk" TargetMode="External"/><Relationship Id="rId1325" Type="http://schemas.openxmlformats.org/officeDocument/2006/relationships/hyperlink" Target="https://drive.google.com/file/d/1s59ox_nFnYummaWqrpK2VZHkTwvg9FFU/view?usp=drivesdk" TargetMode="External"/><Relationship Id="rId2656" Type="http://schemas.openxmlformats.org/officeDocument/2006/relationships/hyperlink" Target="https://drive.google.com/file/d/1Lg0x-7wgnl05h-ZW1OYgmbOEDKcAmbJu/view?usp=drivesdk" TargetMode="External"/><Relationship Id="rId3988" Type="http://schemas.openxmlformats.org/officeDocument/2006/relationships/hyperlink" Target="https://drive.google.com/file/d/1hpeTvhSWiAZp1ZrX_hyeXQlhcPsDqYhP/view?usp=drivesdk" TargetMode="External"/><Relationship Id="rId1326" Type="http://schemas.openxmlformats.org/officeDocument/2006/relationships/hyperlink" Target="https://drive.google.com/file/d/1RDQ0gQm7Q1CTV1d_ICpNn8a2-kG76DDS/view?usp=drivesdk" TargetMode="External"/><Relationship Id="rId2657" Type="http://schemas.openxmlformats.org/officeDocument/2006/relationships/hyperlink" Target="https://drive.google.com/file/d/107fX4lc3GPPVWwaDsOYdoSuXsbStdQvs/view?usp=drivesdk" TargetMode="External"/><Relationship Id="rId3987" Type="http://schemas.openxmlformats.org/officeDocument/2006/relationships/hyperlink" Target="https://drive.google.com/file/d/13udnbec6byISGA5U44ah5dPSQ2ynJhWy/view?usp=drivesdk" TargetMode="External"/><Relationship Id="rId1327" Type="http://schemas.openxmlformats.org/officeDocument/2006/relationships/hyperlink" Target="https://drive.google.com/file/d/11sBLrrwyWp0LCqqmI6hArnB5z3GrncRo/view?usp=drivesdk" TargetMode="External"/><Relationship Id="rId2658" Type="http://schemas.openxmlformats.org/officeDocument/2006/relationships/hyperlink" Target="https://drive.google.com/file/d/1o7bVXHFCafXg0mu1yko2Z-wa6yfK6_Gi/view?usp=drivesdk" TargetMode="External"/><Relationship Id="rId13460" Type="http://schemas.openxmlformats.org/officeDocument/2006/relationships/hyperlink" Target="https://drive.google.com/file/d/1t8_JAWhhp8wjVqZ3cjT3L4exLw7q98F5/view?usp=drivesdk" TargetMode="External"/><Relationship Id="rId1328" Type="http://schemas.openxmlformats.org/officeDocument/2006/relationships/hyperlink" Target="https://drive.google.com/file/d/1W3whfkZulYOlONQ9bNpdcLzf6--npYYf/view?usp=drivesdk" TargetMode="External"/><Relationship Id="rId2659" Type="http://schemas.openxmlformats.org/officeDocument/2006/relationships/hyperlink" Target="https://drive.google.com/file/d/1-sOjD__Ckwf4glr6wsXbrRqtG-d1FcqK/view?usp=drivesdk" TargetMode="External"/><Relationship Id="rId3989" Type="http://schemas.openxmlformats.org/officeDocument/2006/relationships/hyperlink" Target="https://drive.google.com/file/d/10QQbX6b103j7h-YAnKUakcicfPz1n0hM/view?usp=drivesdk" TargetMode="External"/><Relationship Id="rId1329" Type="http://schemas.openxmlformats.org/officeDocument/2006/relationships/hyperlink" Target="https://drive.google.com/file/d/1LBMXVzeMJaKQhgPkw-zIDq8wd3hdbZr9/view?usp=drivesdk" TargetMode="External"/><Relationship Id="rId12129" Type="http://schemas.openxmlformats.org/officeDocument/2006/relationships/hyperlink" Target="https://drive.google.com/file/d/1c8wjMb-muPX5xtJjepgpKNu3hQ0_LiHZ/view?usp=drivesdk" TargetMode="External"/><Relationship Id="rId12128" Type="http://schemas.openxmlformats.org/officeDocument/2006/relationships/hyperlink" Target="https://drive.google.com/file/d/1ws5TeMtig6We-tcgoBc2K3jcPiMo5_0m/view?usp=drivesdk" TargetMode="External"/><Relationship Id="rId13459" Type="http://schemas.openxmlformats.org/officeDocument/2006/relationships/hyperlink" Target="https://drive.google.com/file/d/1xp4QNg3QWxwiv3u6JfxEJNVxgkX3GPyX/view?usp=drivesdk" TargetMode="External"/><Relationship Id="rId12127" Type="http://schemas.openxmlformats.org/officeDocument/2006/relationships/hyperlink" Target="https://drive.google.com/file/d/1VZPRxegSQBcsnTJgIBNaT_ptclCSjeap/view?usp=drivesdk" TargetMode="External"/><Relationship Id="rId13458" Type="http://schemas.openxmlformats.org/officeDocument/2006/relationships/hyperlink" Target="https://drive.google.com/file/d/1KmtfpXeS_tDZiaylfJFy6tgusPAF2mtm/view?usp=drivesdk" TargetMode="External"/><Relationship Id="rId12122" Type="http://schemas.openxmlformats.org/officeDocument/2006/relationships/hyperlink" Target="https://drive.google.com/file/d/13Li6yUVx_UL_vOSjtVQNK4qFJ_tQoQhJ/view?usp=drivesdk" TargetMode="External"/><Relationship Id="rId13453" Type="http://schemas.openxmlformats.org/officeDocument/2006/relationships/hyperlink" Target="https://drive.google.com/file/d/1qxEvA0q4QJiv4teifYSDgKLBLqf45cDB/view?usp=drivesdk" TargetMode="External"/><Relationship Id="rId12121" Type="http://schemas.openxmlformats.org/officeDocument/2006/relationships/hyperlink" Target="https://drive.google.com/file/d/1TCO4wq6e-jzXfAjw1FQWUsSgLc5pbs7H/view?usp=drivesdk" TargetMode="External"/><Relationship Id="rId13452" Type="http://schemas.openxmlformats.org/officeDocument/2006/relationships/hyperlink" Target="https://drive.google.com/file/d/12JvXMvjDNKJ61BflzjbknH0HFOCdub5t/view?usp=drivesdk" TargetMode="External"/><Relationship Id="rId3980" Type="http://schemas.openxmlformats.org/officeDocument/2006/relationships/hyperlink" Target="https://drive.google.com/file/d/12vz9QNOE1WptkycT825D9CrSz0CS_p9n/view?usp=drivesdk" TargetMode="External"/><Relationship Id="rId12120" Type="http://schemas.openxmlformats.org/officeDocument/2006/relationships/hyperlink" Target="https://drive.google.com/file/d/1-9FTfZCPML06H0qZ6di-i1tOOgAjAi_9/view?usp=drivesdk" TargetMode="External"/><Relationship Id="rId13451" Type="http://schemas.openxmlformats.org/officeDocument/2006/relationships/hyperlink" Target="https://drive.google.com/file/d/1cdQKFl_hv_RfnIs9rfVDkfh09JI2LPPm/view?usp=drivesdk" TargetMode="External"/><Relationship Id="rId13450" Type="http://schemas.openxmlformats.org/officeDocument/2006/relationships/hyperlink" Target="https://drive.google.com/file/d/1GJmyytPAKpU9X0V6ScPQn6b1eaqSBx4b/view?usp=drivesdk" TargetMode="External"/><Relationship Id="rId2650" Type="http://schemas.openxmlformats.org/officeDocument/2006/relationships/hyperlink" Target="https://drive.google.com/file/d/1ufKjWO6kOwjJKZY8B7Bp9zSjtIxpHBBS/view?usp=drivesdk" TargetMode="External"/><Relationship Id="rId3982" Type="http://schemas.openxmlformats.org/officeDocument/2006/relationships/hyperlink" Target="https://drive.google.com/file/d/1911wItE34FDGOiKEgvVJ3yQBbxXYz-bP/view?usp=drivesdk" TargetMode="External"/><Relationship Id="rId12126" Type="http://schemas.openxmlformats.org/officeDocument/2006/relationships/hyperlink" Target="https://drive.google.com/file/d/1T6SFJaFVdNFaUxVc4Pm9n6kRUuRvfNjN/view?usp=drivesdk" TargetMode="External"/><Relationship Id="rId13457" Type="http://schemas.openxmlformats.org/officeDocument/2006/relationships/hyperlink" Target="https://drive.google.com/file/d/1x3TtXmfO2Due27Vlfk92auLzTNWD0BEF/view?usp=drivesdk" TargetMode="External"/><Relationship Id="rId1320" Type="http://schemas.openxmlformats.org/officeDocument/2006/relationships/hyperlink" Target="https://drive.google.com/file/d/1d-glFs2M3TWv9H4PGYU5pI_xgC9yL0qI/view?usp=drivesdk" TargetMode="External"/><Relationship Id="rId2651" Type="http://schemas.openxmlformats.org/officeDocument/2006/relationships/hyperlink" Target="https://drive.google.com/file/d/15afSriXXaJXkSM2ssYUkEeLaOura0lKr/view?usp=drivesdk" TargetMode="External"/><Relationship Id="rId3981" Type="http://schemas.openxmlformats.org/officeDocument/2006/relationships/hyperlink" Target="https://drive.google.com/file/d/1JqvQzZc2yAVpJOhRaJTO_ubgZSdFE73B/view?usp=drivesdk" TargetMode="External"/><Relationship Id="rId12125" Type="http://schemas.openxmlformats.org/officeDocument/2006/relationships/hyperlink" Target="https://drive.google.com/file/d/16gTUZ8XMFMWhJuG8_ogGSsRjlgg4Fk_x/view?usp=drivesdk" TargetMode="External"/><Relationship Id="rId13456" Type="http://schemas.openxmlformats.org/officeDocument/2006/relationships/hyperlink" Target="https://drive.google.com/file/d/1uf9UyfDxfzmm8XisyfkA7a88R7nCHz1U/view?usp=drivesdk" TargetMode="External"/><Relationship Id="rId1321" Type="http://schemas.openxmlformats.org/officeDocument/2006/relationships/hyperlink" Target="https://drive.google.com/file/d/1r2xZsPhKoFAcoaHs_UC3xrrEvdHs244y/view?usp=drivesdk" TargetMode="External"/><Relationship Id="rId2652" Type="http://schemas.openxmlformats.org/officeDocument/2006/relationships/hyperlink" Target="https://drive.google.com/file/d/1LSdxH3HRnJF4Ax_Y0qofQH1m7s0--8sG/view?usp=drivesdk" TargetMode="External"/><Relationship Id="rId3984" Type="http://schemas.openxmlformats.org/officeDocument/2006/relationships/hyperlink" Target="https://drive.google.com/file/d/1EBbnI6AGjPojDcTNz0-e1Xf-n1za88AO/view?usp=drivesdk" TargetMode="External"/><Relationship Id="rId12124" Type="http://schemas.openxmlformats.org/officeDocument/2006/relationships/hyperlink" Target="https://drive.google.com/file/d/1OVahyO82pCT6u8f4wDQ026EFSkVf8Hq7/view?usp=drivesdk" TargetMode="External"/><Relationship Id="rId13455" Type="http://schemas.openxmlformats.org/officeDocument/2006/relationships/hyperlink" Target="https://drive.google.com/file/d/1qUqCBVkBgfXeuvzY233WrDzYTelp26t_/view?usp=drivesdk" TargetMode="External"/><Relationship Id="rId1322" Type="http://schemas.openxmlformats.org/officeDocument/2006/relationships/hyperlink" Target="https://drive.google.com/file/d/1Tngt2Y8KmvgXhWu8Ee67VX5HcQl4Za_o/view?usp=drivesdk" TargetMode="External"/><Relationship Id="rId2653" Type="http://schemas.openxmlformats.org/officeDocument/2006/relationships/hyperlink" Target="https://drive.google.com/file/d/1p8bWbTKCinW9R74AAyvQd9pk9-PNG_PZ/view?usp=drivesdk" TargetMode="External"/><Relationship Id="rId3983" Type="http://schemas.openxmlformats.org/officeDocument/2006/relationships/hyperlink" Target="https://drive.google.com/file/d/1bZWv_0zmI6mdopn7MkLsrdvlkYXFt3LR/view?usp=drivesdk" TargetMode="External"/><Relationship Id="rId12123" Type="http://schemas.openxmlformats.org/officeDocument/2006/relationships/hyperlink" Target="https://drive.google.com/file/d/1-qFMESEQTn_RZcEYElXeHCJHYwQkcvqx/view?usp=drivesdk" TargetMode="External"/><Relationship Id="rId13454" Type="http://schemas.openxmlformats.org/officeDocument/2006/relationships/hyperlink" Target="https://drive.google.com/file/d/1bLKkA_hcX-LQEVbD7dsRTj7mlIIBCoZK/view?usp=drivesdk" TargetMode="External"/><Relationship Id="rId1356" Type="http://schemas.openxmlformats.org/officeDocument/2006/relationships/hyperlink" Target="https://drive.google.com/file/d/1dES-ij-6T3pwIzoTTfISJwgCkMIET_5y/view?usp=drivesdk" TargetMode="External"/><Relationship Id="rId2687" Type="http://schemas.openxmlformats.org/officeDocument/2006/relationships/hyperlink" Target="https://drive.google.com/file/d/1d5ex8bVD4zzgDJlC6IY5-Bf4FC6avzKC/view?usp=drivesdk" TargetMode="External"/><Relationship Id="rId1357" Type="http://schemas.openxmlformats.org/officeDocument/2006/relationships/hyperlink" Target="https://drive.google.com/file/d/1f385dhBzwqSvkH800V1mxOq4gocaDkqC/view?usp=drivesdk" TargetMode="External"/><Relationship Id="rId2688" Type="http://schemas.openxmlformats.org/officeDocument/2006/relationships/hyperlink" Target="https://drive.google.com/file/d/1s5uly59nEskb4r7URgJ1rVqViy9ceseZ/view?usp=drivesdk" TargetMode="External"/><Relationship Id="rId1358" Type="http://schemas.openxmlformats.org/officeDocument/2006/relationships/hyperlink" Target="https://drive.google.com/file/d/1RnlfhCVvKkEikqsb_duk9X1TQbKtBO0K/view?usp=drivesdk" TargetMode="External"/><Relationship Id="rId2689" Type="http://schemas.openxmlformats.org/officeDocument/2006/relationships/hyperlink" Target="https://drive.google.com/file/d/1WK3pHAHGuvXR0DjsRxtmCL-gRtPoRbWH/view?usp=drivesdk" TargetMode="External"/><Relationship Id="rId1359" Type="http://schemas.openxmlformats.org/officeDocument/2006/relationships/hyperlink" Target="https://drive.google.com/file/d/1-xOdcU6CAa3RB8Ih2i2xwUNp9wwXMfZ3/view?usp=drivesdk" TargetMode="External"/><Relationship Id="rId13428" Type="http://schemas.openxmlformats.org/officeDocument/2006/relationships/hyperlink" Target="https://drive.google.com/file/d/1EjkvmO0vR5AKxNU9gCllHtMIqAU_w4sp/view?usp=drivesdk" TargetMode="External"/><Relationship Id="rId13427" Type="http://schemas.openxmlformats.org/officeDocument/2006/relationships/hyperlink" Target="https://drive.google.com/file/d/13HC1syFRKkU7d6HOx2gZRK7vfixtfYK1/view?usp=drivesdk" TargetMode="External"/><Relationship Id="rId13426" Type="http://schemas.openxmlformats.org/officeDocument/2006/relationships/hyperlink" Target="https://drive.google.com/file/d/188aJzUDpYjf7UHWzEd9aUKsq7z6Th2ED/view?usp=drivesdk" TargetMode="External"/><Relationship Id="rId13425" Type="http://schemas.openxmlformats.org/officeDocument/2006/relationships/hyperlink" Target="https://drive.google.com/file/d/17IbSQ3_y2vOQFmxQYjo0uflFJzvUkF7U/view?usp=drivesdk" TargetMode="External"/><Relationship Id="rId13429" Type="http://schemas.openxmlformats.org/officeDocument/2006/relationships/hyperlink" Target="https://drive.google.com/file/d/1HI8TnXume9Aa4p7rionFh1anbfK8NAuw/view?usp=drivesdk" TargetMode="External"/><Relationship Id="rId13420" Type="http://schemas.openxmlformats.org/officeDocument/2006/relationships/hyperlink" Target="https://drive.google.com/file/d/1bUulKWaMV7nVnumw62nz-Koe240xANqO/view?usp=drivesdk" TargetMode="External"/><Relationship Id="rId2680" Type="http://schemas.openxmlformats.org/officeDocument/2006/relationships/hyperlink" Target="https://drive.google.com/file/d/1lFzQ26MdX87dFNf9YU0qwS6kMsvhcqBD/view?usp=drivesdk" TargetMode="External"/><Relationship Id="rId1350" Type="http://schemas.openxmlformats.org/officeDocument/2006/relationships/hyperlink" Target="https://drive.google.com/file/d/1o9MmrThv54Xf1ByAIE7mY3IAgf3jHpD3/view?usp=drivesdk" TargetMode="External"/><Relationship Id="rId2681" Type="http://schemas.openxmlformats.org/officeDocument/2006/relationships/hyperlink" Target="https://drive.google.com/file/d/11X51ubC9aBm1VCXvtK0aUl42-o4F1vpd/view?usp=drivesdk" TargetMode="External"/><Relationship Id="rId1351" Type="http://schemas.openxmlformats.org/officeDocument/2006/relationships/hyperlink" Target="https://drive.google.com/file/d/1JVbPz1HRgM1kJ8oUu7ucxETQb2S-oHpJ/view?usp=drivesdk" TargetMode="External"/><Relationship Id="rId2682" Type="http://schemas.openxmlformats.org/officeDocument/2006/relationships/hyperlink" Target="https://drive.google.com/file/d/17OSCI6XzXdQK1CLHVG1CmSxhtbqFPq4V/view?usp=drivesdk" TargetMode="External"/><Relationship Id="rId1352" Type="http://schemas.openxmlformats.org/officeDocument/2006/relationships/hyperlink" Target="https://drive.google.com/file/d/1ba_biI2XtOKkraFdgloEIL4VmaRUqAMb/view?usp=drivesdk" TargetMode="External"/><Relationship Id="rId2683" Type="http://schemas.openxmlformats.org/officeDocument/2006/relationships/hyperlink" Target="https://drive.google.com/file/d/139oik3hPx_APmNJuZ3FfVSuT-YwZ2LHy/view?usp=drivesdk" TargetMode="External"/><Relationship Id="rId13424" Type="http://schemas.openxmlformats.org/officeDocument/2006/relationships/hyperlink" Target="https://drive.google.com/file/d/1jJANCoUIsv46lzIjaUpNwCsxDOeTH1ln/view?usp=drivesdk" TargetMode="External"/><Relationship Id="rId1353" Type="http://schemas.openxmlformats.org/officeDocument/2006/relationships/hyperlink" Target="https://drive.google.com/file/d/1c4yvpVGjmDqQtRMhm6-6I9bjfssZQIC8/view?usp=drivesdk" TargetMode="External"/><Relationship Id="rId2684" Type="http://schemas.openxmlformats.org/officeDocument/2006/relationships/hyperlink" Target="https://drive.google.com/file/d/1AH1SfwE8Cmp6wtcJQ68v0FwP3ff-ej7q/view?usp=drivesdk" TargetMode="External"/><Relationship Id="rId13423" Type="http://schemas.openxmlformats.org/officeDocument/2006/relationships/hyperlink" Target="https://drive.google.com/file/d/1QfZUe9XAVWtysmstVQ5UcS09CbmY-Jln/view?usp=drivesdk" TargetMode="External"/><Relationship Id="rId1354" Type="http://schemas.openxmlformats.org/officeDocument/2006/relationships/hyperlink" Target="https://drive.google.com/file/d/15TmqMmBsLfexH0pL7JqPRQjVqU9DxoVi/view?usp=drivesdk" TargetMode="External"/><Relationship Id="rId2685" Type="http://schemas.openxmlformats.org/officeDocument/2006/relationships/hyperlink" Target="https://drive.google.com/file/d/1H_wS9QW8i65U06Zpz07cufW-tbj0t8xI/view?usp=drivesdk" TargetMode="External"/><Relationship Id="rId13422" Type="http://schemas.openxmlformats.org/officeDocument/2006/relationships/hyperlink" Target="https://drive.google.com/file/d/1Flm3G-4foheYaKtREfm4oz6ssDlKsJtU/view?usp=drivesdk" TargetMode="External"/><Relationship Id="rId1355" Type="http://schemas.openxmlformats.org/officeDocument/2006/relationships/hyperlink" Target="https://drive.google.com/file/d/1hNXxqZIhHjR1dnSSSAJl_Hrp8XiKXc6h/view?usp=drivesdk" TargetMode="External"/><Relationship Id="rId2686" Type="http://schemas.openxmlformats.org/officeDocument/2006/relationships/hyperlink" Target="https://drive.google.com/file/d/1GzVJpIA8ey-oBEZKgVvajT3JCVLaNZjf/view?usp=drivesdk" TargetMode="External"/><Relationship Id="rId13421" Type="http://schemas.openxmlformats.org/officeDocument/2006/relationships/hyperlink" Target="https://drive.google.com/file/d/1wI8A9uP8widrnIJVO7Yab4Yjtpr_bJYW/view?usp=drivesdk" TargetMode="External"/><Relationship Id="rId1345" Type="http://schemas.openxmlformats.org/officeDocument/2006/relationships/hyperlink" Target="https://drive.google.com/file/d/1H_CMq8hO5JL0lfAAGyLAmkRk5N20BtN-/view?usp=drivesdk" TargetMode="External"/><Relationship Id="rId2676" Type="http://schemas.openxmlformats.org/officeDocument/2006/relationships/hyperlink" Target="https://drive.google.com/file/d/1-anORtBVcQf0DsaM4oOgBMCt1mtDpSG6/view?usp=drivesdk" TargetMode="External"/><Relationship Id="rId1346" Type="http://schemas.openxmlformats.org/officeDocument/2006/relationships/hyperlink" Target="https://drive.google.com/file/d/1-aTg1nKts1EENtKkD0XuIyzYbLk9bS7x/view?usp=drivesdk" TargetMode="External"/><Relationship Id="rId2677" Type="http://schemas.openxmlformats.org/officeDocument/2006/relationships/hyperlink" Target="https://drive.google.com/file/d/1wCmyewTuvO9CUP46LZ0pWg173aY8mZoZ/view?usp=drivesdk" TargetMode="External"/><Relationship Id="rId1347" Type="http://schemas.openxmlformats.org/officeDocument/2006/relationships/hyperlink" Target="https://drive.google.com/file/d/1wlT9yB5z4rmd-BlYi0TCbf3dreybmDM7/view?usp=drivesdk" TargetMode="External"/><Relationship Id="rId2678" Type="http://schemas.openxmlformats.org/officeDocument/2006/relationships/hyperlink" Target="https://drive.google.com/file/d/1X5NwbYMNjEfUz82n3OrOpZedS5slmkia/view?usp=drivesdk" TargetMode="External"/><Relationship Id="rId1348" Type="http://schemas.openxmlformats.org/officeDocument/2006/relationships/hyperlink" Target="https://drive.google.com/file/d/1LGEk9ecGPBs6EUACKbfJfqkd96_eGfdj/view?usp=drivesdk" TargetMode="External"/><Relationship Id="rId2679" Type="http://schemas.openxmlformats.org/officeDocument/2006/relationships/hyperlink" Target="https://drive.google.com/file/d/1QP9_w7C46oE8uMTxDgV2nBqbV3jFHaW4/view?usp=drivesdk" TargetMode="External"/><Relationship Id="rId1349" Type="http://schemas.openxmlformats.org/officeDocument/2006/relationships/hyperlink" Target="https://drive.google.com/file/d/1F2Bs_9OhezFxLNR930A9S6oVAf8_jS__/view?usp=drivesdk" TargetMode="External"/><Relationship Id="rId12108" Type="http://schemas.openxmlformats.org/officeDocument/2006/relationships/hyperlink" Target="https://drive.google.com/file/d/1fmXpux9v0ZUJSP692aRrNc3LJckHLiAm/view?usp=drivesdk" TargetMode="External"/><Relationship Id="rId13439" Type="http://schemas.openxmlformats.org/officeDocument/2006/relationships/hyperlink" Target="https://drive.google.com/file/d/1QvLrxPQPLnvGEd3eA4EJAhidzNx-mn80/view?usp=drivesdk" TargetMode="External"/><Relationship Id="rId12107" Type="http://schemas.openxmlformats.org/officeDocument/2006/relationships/hyperlink" Target="https://drive.google.com/file/d/1DsbFOfPlV41zqk6lcuf0gahb5un5Ve4O/view?usp=drivesdk" TargetMode="External"/><Relationship Id="rId13438" Type="http://schemas.openxmlformats.org/officeDocument/2006/relationships/hyperlink" Target="https://drive.google.com/file/d/1XtwxGhceuBXsDNmQcDvebPkgoGnAr-DM/view?usp=drivesdk" TargetMode="External"/><Relationship Id="rId12106" Type="http://schemas.openxmlformats.org/officeDocument/2006/relationships/hyperlink" Target="https://drive.google.com/file/d/118tTfLr1aXOPWCBjsHlT9Lsi5FvqrNRO/view?usp=drivesdk" TargetMode="External"/><Relationship Id="rId13437" Type="http://schemas.openxmlformats.org/officeDocument/2006/relationships/hyperlink" Target="https://drive.google.com/file/d/10HQik9MjrZwPfdbV8FIxN_TEMXtOb7eJ/view?usp=drivesdk" TargetMode="External"/><Relationship Id="rId12105" Type="http://schemas.openxmlformats.org/officeDocument/2006/relationships/hyperlink" Target="https://drive.google.com/file/d/1IkcEcHPWit-fuyhVYS_gUE39cke9R_3V/view?usp=drivesdk" TargetMode="External"/><Relationship Id="rId13436" Type="http://schemas.openxmlformats.org/officeDocument/2006/relationships/hyperlink" Target="https://drive.google.com/file/d/1vEiw0kmcoHn6kid2x_IBdteMHSnwgyIl/view?usp=drivesdk" TargetMode="External"/><Relationship Id="rId12109" Type="http://schemas.openxmlformats.org/officeDocument/2006/relationships/hyperlink" Target="https://drive.google.com/file/d/1BpYuWb7MMmubfvRP9ub9FIJtLM2ZrmrX/view?usp=drivesdk" TargetMode="External"/><Relationship Id="rId12100" Type="http://schemas.openxmlformats.org/officeDocument/2006/relationships/hyperlink" Target="https://drive.google.com/file/d/1sVlnzbiz1DqhDCh1Pa7KkcpVgEW31-nb/view?usp=drivesdk" TargetMode="External"/><Relationship Id="rId13431" Type="http://schemas.openxmlformats.org/officeDocument/2006/relationships/hyperlink" Target="https://drive.google.com/file/d/1uFdcDgXEaI7PCrMttR1pfpLYN1V9R2Er/view?usp=drivesdk" TargetMode="External"/><Relationship Id="rId13430" Type="http://schemas.openxmlformats.org/officeDocument/2006/relationships/hyperlink" Target="https://drive.google.com/file/d/1eFSpNL5i6NznJH1nyZmvU7bLE6H6Do-a/view?usp=drivesdk" TargetMode="External"/><Relationship Id="rId2670" Type="http://schemas.openxmlformats.org/officeDocument/2006/relationships/hyperlink" Target="https://drive.google.com/file/d/1n6md4d6hb0sivP-fuBnsRHMEIyVx5YiU/view?usp=drivesdk" TargetMode="External"/><Relationship Id="rId1340" Type="http://schemas.openxmlformats.org/officeDocument/2006/relationships/hyperlink" Target="https://drive.google.com/file/d/1G-r2dSFc9zC9rWAdIBiT24nw2no1JgyY/view?usp=drivesdk" TargetMode="External"/><Relationship Id="rId2671" Type="http://schemas.openxmlformats.org/officeDocument/2006/relationships/hyperlink" Target="https://drive.google.com/file/d/148xbkxH2sBItRecW7Asu7DT7CLSt91Ls/view?usp=drivesdk" TargetMode="External"/><Relationship Id="rId1341" Type="http://schemas.openxmlformats.org/officeDocument/2006/relationships/hyperlink" Target="https://drive.google.com/file/d/17dVstnN6wIA8Bzvc9hvWEkFo_Mvuyrvl/view?usp=drivesdk" TargetMode="External"/><Relationship Id="rId2672" Type="http://schemas.openxmlformats.org/officeDocument/2006/relationships/hyperlink" Target="https://drive.google.com/file/d/1Q3cIzQfTQICBBhzsoAseMpWU4yMozSlL/view?usp=drivesdk" TargetMode="External"/><Relationship Id="rId12104" Type="http://schemas.openxmlformats.org/officeDocument/2006/relationships/hyperlink" Target="https://drive.google.com/file/d/15TvdH-LAg4qxU_YvC4MUI-YjcmtytIYc/view?usp=drivesdk" TargetMode="External"/><Relationship Id="rId13435" Type="http://schemas.openxmlformats.org/officeDocument/2006/relationships/hyperlink" Target="https://drive.google.com/file/d/1Qu0C-VlGshES6Pf8TOEMFHyIWgEQtVpV/view?usp=drivesdk" TargetMode="External"/><Relationship Id="rId1342" Type="http://schemas.openxmlformats.org/officeDocument/2006/relationships/hyperlink" Target="https://drive.google.com/file/d/1l2rawtviUpyMtOzC-fJz_4KpWbAAx1ZQ/view?usp=drivesdk" TargetMode="External"/><Relationship Id="rId2673" Type="http://schemas.openxmlformats.org/officeDocument/2006/relationships/hyperlink" Target="https://drive.google.com/file/d/1vG4aOG704YQIe50usdtjzWs1_G5jKb6A/view?usp=drivesdk" TargetMode="External"/><Relationship Id="rId12103" Type="http://schemas.openxmlformats.org/officeDocument/2006/relationships/hyperlink" Target="https://drive.google.com/file/d/1w8SZELnhl4zDvmyh58NQ697m6doodHtQ/view?usp=drivesdk" TargetMode="External"/><Relationship Id="rId13434" Type="http://schemas.openxmlformats.org/officeDocument/2006/relationships/hyperlink" Target="https://drive.google.com/file/d/1zjCFq0M_tI6cVELe8CI-MCc7VWD-5R1t/view?usp=drivesdk" TargetMode="External"/><Relationship Id="rId1343" Type="http://schemas.openxmlformats.org/officeDocument/2006/relationships/hyperlink" Target="https://drive.google.com/file/d/1CwKYAu264Cakoct_-C1Y1O_36CGVhgLE/view?usp=drivesdk" TargetMode="External"/><Relationship Id="rId2674" Type="http://schemas.openxmlformats.org/officeDocument/2006/relationships/hyperlink" Target="https://drive.google.com/file/d/1FVj6no-Qa4pZphPDvYqXnMbKjx_OWiKh/view?usp=drivesdk" TargetMode="External"/><Relationship Id="rId12102" Type="http://schemas.openxmlformats.org/officeDocument/2006/relationships/hyperlink" Target="https://drive.google.com/file/d/1f6F5XARwJfrvklknpFEWv8fzYrlp3GJS/view?usp=drivesdk" TargetMode="External"/><Relationship Id="rId13433" Type="http://schemas.openxmlformats.org/officeDocument/2006/relationships/hyperlink" Target="https://drive.google.com/file/d/1n5gYIHsg1lZcxOIUAJdDS7MVj-OCzdFd/view?usp=drivesdk" TargetMode="External"/><Relationship Id="rId1344" Type="http://schemas.openxmlformats.org/officeDocument/2006/relationships/hyperlink" Target="https://drive.google.com/file/d/1JTOvJMnrV1GF4uaqOUoqhFYrMMiwzMPr/view?usp=drivesdk" TargetMode="External"/><Relationship Id="rId2675" Type="http://schemas.openxmlformats.org/officeDocument/2006/relationships/hyperlink" Target="https://drive.google.com/file/d/128PSveUjMUwvuiRXxIcEdjOnOmsHjU1O/view?usp=drivesdk" TargetMode="External"/><Relationship Id="rId12101" Type="http://schemas.openxmlformats.org/officeDocument/2006/relationships/hyperlink" Target="https://drive.google.com/file/d/1Hw1mFoYi5sYhEk5oUFPOP5fQzSGR4ntn/view?usp=drivesdk" TargetMode="External"/><Relationship Id="rId13432" Type="http://schemas.openxmlformats.org/officeDocument/2006/relationships/hyperlink" Target="https://drive.google.com/file/d/1nSHV4do0EAKzn6HsiS9tH8JRj6L-4I-9/view?usp=drivesdk" TargetMode="External"/><Relationship Id="rId2621" Type="http://schemas.openxmlformats.org/officeDocument/2006/relationships/hyperlink" Target="https://drive.google.com/file/d/1b4gI321duj9VbL9ERbFYjZ1b7cMAsH8f/view?usp=drivesdk" TargetMode="External"/><Relationship Id="rId3953" Type="http://schemas.openxmlformats.org/officeDocument/2006/relationships/hyperlink" Target="https://drive.google.com/file/d/1vHzbUQZE02cRblVlkckBF9amMUBY-yIs/view?usp=drivesdk" TargetMode="External"/><Relationship Id="rId2622" Type="http://schemas.openxmlformats.org/officeDocument/2006/relationships/hyperlink" Target="https://drive.google.com/file/d/1pnCUMaVMR0u7sHz57d0-rJKDlA5t3hqr/view?usp=drivesdk" TargetMode="External"/><Relationship Id="rId3952" Type="http://schemas.openxmlformats.org/officeDocument/2006/relationships/hyperlink" Target="https://drive.google.com/file/d/1ysswZmBkyJzHr8iwf8k0W-ghLxp0k_eD/view?usp=drivesdk" TargetMode="External"/><Relationship Id="rId2623" Type="http://schemas.openxmlformats.org/officeDocument/2006/relationships/hyperlink" Target="https://drive.google.com/file/d/1rc4RLX6oh9upXzFpSdy2B9CYkOHPs0lT/view?usp=drivesdk" TargetMode="External"/><Relationship Id="rId3955" Type="http://schemas.openxmlformats.org/officeDocument/2006/relationships/hyperlink" Target="https://drive.google.com/file/d/130sB9wydOlqZL7CqqBk-dxvZf-n4VOv2/view?usp=drivesdk" TargetMode="External"/><Relationship Id="rId2624" Type="http://schemas.openxmlformats.org/officeDocument/2006/relationships/hyperlink" Target="https://drive.google.com/file/d/1BiJ15BdNd9JW6R9CYpasHllXzCn-kL0V/view?usp=drivesdk" TargetMode="External"/><Relationship Id="rId3954" Type="http://schemas.openxmlformats.org/officeDocument/2006/relationships/hyperlink" Target="https://drive.google.com/file/d/1VuniJKUxrio-hJrCwiJz-ADHQZqBdgvi/view?usp=drivesdk" TargetMode="External"/><Relationship Id="rId2625" Type="http://schemas.openxmlformats.org/officeDocument/2006/relationships/hyperlink" Target="https://drive.google.com/file/d/1xHnMuDhQTHNEbeJkOhEfBYHTcj0_HQJF/view?usp=drivesdk" TargetMode="External"/><Relationship Id="rId3957" Type="http://schemas.openxmlformats.org/officeDocument/2006/relationships/hyperlink" Target="https://drive.google.com/file/d/1Ck_1Qj4_qZ8Qn60_ARjgba0Gq3nMgxBN/view?usp=drivesdk" TargetMode="External"/><Relationship Id="rId12162" Type="http://schemas.openxmlformats.org/officeDocument/2006/relationships/hyperlink" Target="https://drive.google.com/file/d/1GQaUXLk-QKLIwWTnfClVSZcwffHvQqQe/view?usp=drivesdk" TargetMode="External"/><Relationship Id="rId13493" Type="http://schemas.openxmlformats.org/officeDocument/2006/relationships/hyperlink" Target="https://drive.google.com/file/d/1FFFYhaozQcwWLRkM8RKR0u_aRiYT7IJS/view?usp=drivesdk" TargetMode="External"/><Relationship Id="rId2626" Type="http://schemas.openxmlformats.org/officeDocument/2006/relationships/hyperlink" Target="https://drive.google.com/file/d/1bGw8LskpLZxj96TuTcRtEdfLhzfp1f_Z/view?usp=drivesdk" TargetMode="External"/><Relationship Id="rId3956" Type="http://schemas.openxmlformats.org/officeDocument/2006/relationships/hyperlink" Target="https://drive.google.com/file/d/11br8Pp4rHqqN06n46mQGtYLXSDnajIwW/view?usp=drivesdk" TargetMode="External"/><Relationship Id="rId12161" Type="http://schemas.openxmlformats.org/officeDocument/2006/relationships/hyperlink" Target="https://drive.google.com/file/d/134NHDy5nA35hYw7DzEXinsVl-hlcP0vc/view?usp=drivesdk" TargetMode="External"/><Relationship Id="rId13492" Type="http://schemas.openxmlformats.org/officeDocument/2006/relationships/hyperlink" Target="https://drive.google.com/file/d/1BWFsz_NydKc-38-TbMaSXnT1zWMswACU/view?usp=drivesdk" TargetMode="External"/><Relationship Id="rId2627" Type="http://schemas.openxmlformats.org/officeDocument/2006/relationships/hyperlink" Target="https://drive.google.com/file/d/15TIYAvVgE8wLlM7lXPd7UEIKpL0kVdcN/view?usp=drivesdk" TargetMode="External"/><Relationship Id="rId3959" Type="http://schemas.openxmlformats.org/officeDocument/2006/relationships/hyperlink" Target="https://drive.google.com/file/d/1b-8IdCPqq2niDVTDwjQ6ICkksgQDrnEZ/view?usp=drivesdk" TargetMode="External"/><Relationship Id="rId12160" Type="http://schemas.openxmlformats.org/officeDocument/2006/relationships/hyperlink" Target="https://drive.google.com/file/d/1-6Dt2_tFtqgoyt2WTNMZ76EfYhe_kLjN/view?usp=drivesdk" TargetMode="External"/><Relationship Id="rId13491" Type="http://schemas.openxmlformats.org/officeDocument/2006/relationships/hyperlink" Target="https://drive.google.com/file/d/1WSVJTOTKGoYGRgkg28vI95bd1ByrJTmk/view?usp=drivesdk" TargetMode="External"/><Relationship Id="rId2628" Type="http://schemas.openxmlformats.org/officeDocument/2006/relationships/hyperlink" Target="https://drive.google.com/file/d/1bkkVATQQ2iy73u_UDgDDbRbe7bepNsmY/view?usp=drivesdk" TargetMode="External"/><Relationship Id="rId3958" Type="http://schemas.openxmlformats.org/officeDocument/2006/relationships/hyperlink" Target="https://drive.google.com/file/d/1GacSAzAJ4thE6HD2gDpyKSM9D8kRNMWP/view?usp=drivesdk" TargetMode="External"/><Relationship Id="rId13490" Type="http://schemas.openxmlformats.org/officeDocument/2006/relationships/hyperlink" Target="https://drive.google.com/file/d/172So-nLC2vihU_GmhEXGCk_uWv8E-Eyn/view?usp=drivesdk" TargetMode="External"/><Relationship Id="rId2629" Type="http://schemas.openxmlformats.org/officeDocument/2006/relationships/hyperlink" Target="https://drive.google.com/file/d/1WETmgJwucQZmZDCPu90lMsbmxKw_l7R3/view?usp=drivesdk" TargetMode="External"/><Relationship Id="rId12155" Type="http://schemas.openxmlformats.org/officeDocument/2006/relationships/hyperlink" Target="https://drive.google.com/file/d/1N5OH5J_ht6zx2FZzmjaWWY-TPVZ8NZNl/view?usp=drivesdk" TargetMode="External"/><Relationship Id="rId13486" Type="http://schemas.openxmlformats.org/officeDocument/2006/relationships/hyperlink" Target="https://drive.google.com/file/d/1jCMpIq1mZpHifO4JORuL3ZAQdSVxwwVN/view?usp=drivesdk" TargetMode="External"/><Relationship Id="rId12154" Type="http://schemas.openxmlformats.org/officeDocument/2006/relationships/hyperlink" Target="https://drive.google.com/file/d/1xJlk9klKUkebyjvtavKar7utprXXHfts/view?usp=drivesdk" TargetMode="External"/><Relationship Id="rId13485" Type="http://schemas.openxmlformats.org/officeDocument/2006/relationships/hyperlink" Target="https://drive.google.com/file/d/15qkc4PP1lH6_4jAokjyUr5zZMWIaP-b2/view?usp=drivesdk" TargetMode="External"/><Relationship Id="rId12153" Type="http://schemas.openxmlformats.org/officeDocument/2006/relationships/hyperlink" Target="https://drive.google.com/file/d/17Srvmawls1_g5aP5uT7PD_8HHFPxg17n/view?usp=drivesdk" TargetMode="External"/><Relationship Id="rId13484" Type="http://schemas.openxmlformats.org/officeDocument/2006/relationships/hyperlink" Target="https://drive.google.com/file/d/1ru6w7rtY-strEupPRjKEhOwTBNJDLQPP/view?usp=drivesdk" TargetMode="External"/><Relationship Id="rId12152" Type="http://schemas.openxmlformats.org/officeDocument/2006/relationships/hyperlink" Target="https://drive.google.com/file/d/1y3j2mkVhHoj-hoohYvTvpEvfhflQ5AX6/view?usp=drivesdk" TargetMode="External"/><Relationship Id="rId13483" Type="http://schemas.openxmlformats.org/officeDocument/2006/relationships/hyperlink" Target="https://drive.google.com/file/d/16kzCKhxQXuVcgANMrTfe1syG_JibwxJb/view?usp=drivesdk" TargetMode="External"/><Relationship Id="rId12159" Type="http://schemas.openxmlformats.org/officeDocument/2006/relationships/hyperlink" Target="https://drive.google.com/file/d/1cpFc4JjNP3d3sSEsY9rALccD8xR3jaFC/view?usp=drivesdk" TargetMode="External"/><Relationship Id="rId12158" Type="http://schemas.openxmlformats.org/officeDocument/2006/relationships/hyperlink" Target="https://drive.google.com/file/d/1cXNpqh5Kp4MoIPjbx1oDh4DZBbjWVGUi/view?usp=drivesdk" TargetMode="External"/><Relationship Id="rId13489" Type="http://schemas.openxmlformats.org/officeDocument/2006/relationships/hyperlink" Target="https://drive.google.com/file/d/1T9FHNprlzSKP3mIt5-HLtxqOgunc6e0v/view?usp=drivesdk" TargetMode="External"/><Relationship Id="rId3951" Type="http://schemas.openxmlformats.org/officeDocument/2006/relationships/hyperlink" Target="https://drive.google.com/file/d/1_CFVbXBwq102lhj9-2fJAEFf80RvQyvM/view?usp=drivesdk" TargetMode="External"/><Relationship Id="rId12157" Type="http://schemas.openxmlformats.org/officeDocument/2006/relationships/hyperlink" Target="https://drive.google.com/file/d/1I0DlQyEcsaCl_Tm7OC8au3a9QzkerB3R/view?usp=drivesdk" TargetMode="External"/><Relationship Id="rId13488" Type="http://schemas.openxmlformats.org/officeDocument/2006/relationships/hyperlink" Target="https://drive.google.com/file/d/1dk8cUAUJavj6A_p8W6intqjRArzlSWa4/view?usp=drivesdk" TargetMode="External"/><Relationship Id="rId2620" Type="http://schemas.openxmlformats.org/officeDocument/2006/relationships/hyperlink" Target="https://drive.google.com/file/d/1cnP4saNdGt667_52_1X6hE_S_lybVp1E/view?usp=drivesdk" TargetMode="External"/><Relationship Id="rId3950" Type="http://schemas.openxmlformats.org/officeDocument/2006/relationships/hyperlink" Target="https://drive.google.com/file/d/1KHP6Dn32Le_Y71ZRKeJCP4RttrIq8X_n/view?usp=drivesdk" TargetMode="External"/><Relationship Id="rId12156" Type="http://schemas.openxmlformats.org/officeDocument/2006/relationships/hyperlink" Target="https://drive.google.com/file/d/1IoUW9MKaMyC789DQW2NQBcm-J86mrRiZ/view?usp=drivesdk" TargetMode="External"/><Relationship Id="rId13487" Type="http://schemas.openxmlformats.org/officeDocument/2006/relationships/hyperlink" Target="https://drive.google.com/file/d/1cjquqb80Q268RtCOFbUkZghszuZKYBuQ/view?usp=drivesdk" TargetMode="External"/><Relationship Id="rId2610" Type="http://schemas.openxmlformats.org/officeDocument/2006/relationships/hyperlink" Target="https://drive.google.com/file/d/156u0Qj99f8sqRmjVmXQ_PkMdf4q-CS2S/view?usp=drivesdk" TargetMode="External"/><Relationship Id="rId3942" Type="http://schemas.openxmlformats.org/officeDocument/2006/relationships/hyperlink" Target="https://drive.google.com/file/d/17iX2oFueLA8RwFYhGrzZrSh6y6-EEEPf/view?usp=drivesdk" TargetMode="External"/><Relationship Id="rId2611" Type="http://schemas.openxmlformats.org/officeDocument/2006/relationships/hyperlink" Target="https://drive.google.com/file/d/1Kgbi5zGJjzh3F0iVXwqOamKpVzfglSA4/view?usp=drivesdk" TargetMode="External"/><Relationship Id="rId3941" Type="http://schemas.openxmlformats.org/officeDocument/2006/relationships/hyperlink" Target="https://drive.google.com/file/d/1t-rnWCP8fmLO_d6T51Jjuf_iGQocsjsB/view?usp=drivesdk" TargetMode="External"/><Relationship Id="rId2612" Type="http://schemas.openxmlformats.org/officeDocument/2006/relationships/hyperlink" Target="https://drive.google.com/file/d/1DCwluSRWKYi9aHthWXJiRvXNFwnLIHzg/view?usp=drivesdk" TargetMode="External"/><Relationship Id="rId3944" Type="http://schemas.openxmlformats.org/officeDocument/2006/relationships/hyperlink" Target="https://drive.google.com/file/d/10dMzESJVreq5quJtPGQklDRDzt2ZuN-N/view?usp=drivesdk" TargetMode="External"/><Relationship Id="rId2613" Type="http://schemas.openxmlformats.org/officeDocument/2006/relationships/hyperlink" Target="https://drive.google.com/file/d/1cvHlzzuZ5e09_7d1Ud--PvCHgL9DbBR3/view?usp=drivesdk" TargetMode="External"/><Relationship Id="rId3943" Type="http://schemas.openxmlformats.org/officeDocument/2006/relationships/hyperlink" Target="https://drive.google.com/file/d/1u4j2EkvEJKxgSvotGghpeiTfonxOES2u/view?usp=drivesdk" TargetMode="External"/><Relationship Id="rId2614" Type="http://schemas.openxmlformats.org/officeDocument/2006/relationships/hyperlink" Target="https://drive.google.com/file/d/1BjvIJGwZT1sivG__vwZ45LX8usrTyFOy/view?usp=drivesdk" TargetMode="External"/><Relationship Id="rId3946" Type="http://schemas.openxmlformats.org/officeDocument/2006/relationships/hyperlink" Target="https://drive.google.com/file/d/1Ktd0P2RVcA7UUtGZn7KYGkrkZbRoqRYF/view?usp=drivesdk" TargetMode="External"/><Relationship Id="rId12173" Type="http://schemas.openxmlformats.org/officeDocument/2006/relationships/hyperlink" Target="https://drive.google.com/file/d/1EzZvXa3PBrgCDRkYhgf0QSLCd-RVNK0Q/view?usp=drivesdk" TargetMode="External"/><Relationship Id="rId2615" Type="http://schemas.openxmlformats.org/officeDocument/2006/relationships/hyperlink" Target="https://drive.google.com/file/d/1FQ9HxsgcAHtw0P0kQdZAA_0qFQ9RpPXp/view?usp=drivesdk" TargetMode="External"/><Relationship Id="rId3945" Type="http://schemas.openxmlformats.org/officeDocument/2006/relationships/hyperlink" Target="https://drive.google.com/file/d/1Phz0nnhB1dffpxWoWCaK4Y9K6VcQM5Oe/view?usp=drivesdk" TargetMode="External"/><Relationship Id="rId12172" Type="http://schemas.openxmlformats.org/officeDocument/2006/relationships/hyperlink" Target="https://drive.google.com/file/d/1aWcHwPOR5EZK8GbBQ-K7Ne2zeRnzkQXF/view?usp=drivesdk" TargetMode="External"/><Relationship Id="rId2616" Type="http://schemas.openxmlformats.org/officeDocument/2006/relationships/hyperlink" Target="https://drive.google.com/file/d/1nCdBfKqwJDtDlH4ZXjoe-Zi_KmwK7Vj-/view?usp=drivesdk" TargetMode="External"/><Relationship Id="rId3948" Type="http://schemas.openxmlformats.org/officeDocument/2006/relationships/hyperlink" Target="https://drive.google.com/file/d/1d9cO9u4Lr1XOwyyrw7DU2uoj67dg2_oS/view?usp=drivesdk" TargetMode="External"/><Relationship Id="rId12171" Type="http://schemas.openxmlformats.org/officeDocument/2006/relationships/hyperlink" Target="https://drive.google.com/file/d/1ao-2nv0k-tPXsjXIRAN0K1OOis7V3acF/view?usp=drivesdk" TargetMode="External"/><Relationship Id="rId2617" Type="http://schemas.openxmlformats.org/officeDocument/2006/relationships/hyperlink" Target="https://drive.google.com/file/d/1F8sVE672ytPkKIIUiuiib9SKgsMS0Ha3/view?usp=drivesdk" TargetMode="External"/><Relationship Id="rId3947" Type="http://schemas.openxmlformats.org/officeDocument/2006/relationships/hyperlink" Target="https://drive.google.com/file/d/1JojFQDRCsvp0iFSlLVW0FOwuyf5s-_EP/view?usp=drivesdk" TargetMode="External"/><Relationship Id="rId12170" Type="http://schemas.openxmlformats.org/officeDocument/2006/relationships/hyperlink" Target="https://drive.google.com/file/d/1dI3cWcUlWts-9KDTvkvShf4rkk--prYH/view?usp=drivesdk" TargetMode="External"/><Relationship Id="rId2618" Type="http://schemas.openxmlformats.org/officeDocument/2006/relationships/hyperlink" Target="https://drive.google.com/file/d/17mAmo0Iy1F9k11TxS8_NwkP_YxHLR3dT/view?usp=drivesdk" TargetMode="External"/><Relationship Id="rId2619" Type="http://schemas.openxmlformats.org/officeDocument/2006/relationships/hyperlink" Target="https://drive.google.com/file/d/17__yzE1pvNdrrUAe8YTomjPnnVfnPu5g/view?usp=drivesdk" TargetMode="External"/><Relationship Id="rId3949" Type="http://schemas.openxmlformats.org/officeDocument/2006/relationships/hyperlink" Target="https://drive.google.com/file/d/1xxDRRYck60PVoW3aOy-poeLLEJcIrINe/view?usp=drivesdk" TargetMode="External"/><Relationship Id="rId12166" Type="http://schemas.openxmlformats.org/officeDocument/2006/relationships/hyperlink" Target="https://drive.google.com/file/d/1f5IPtMyS1LNChYKLZOvkmppN1SoNsWSp/view?usp=drivesdk" TargetMode="External"/><Relationship Id="rId13497" Type="http://schemas.openxmlformats.org/officeDocument/2006/relationships/hyperlink" Target="https://drive.google.com/file/d/1c7N4jsFFGgr96fSs_xmI3W06EwxauY_i/view?usp=drivesdk" TargetMode="External"/><Relationship Id="rId12165" Type="http://schemas.openxmlformats.org/officeDocument/2006/relationships/hyperlink" Target="https://drive.google.com/file/d/1nZWutmem7zaISfMOhPrCu2Ox33ox7ECc/view?usp=drivesdk" TargetMode="External"/><Relationship Id="rId13496" Type="http://schemas.openxmlformats.org/officeDocument/2006/relationships/hyperlink" Target="https://drive.google.com/file/d/1zlR-sY88kqn-d7WWdLPl_E5N2io_e8e1/view?usp=drivesdk" TargetMode="External"/><Relationship Id="rId12164" Type="http://schemas.openxmlformats.org/officeDocument/2006/relationships/hyperlink" Target="https://drive.google.com/file/d/1-482JLCMj9iVZLgCFOAhBLsjASMqp7Jk/view?usp=drivesdk" TargetMode="External"/><Relationship Id="rId13495" Type="http://schemas.openxmlformats.org/officeDocument/2006/relationships/hyperlink" Target="https://drive.google.com/file/d/1OOIIh_Ibn4pvPBjTwflQmt4PdlzzYFVl/view?usp=drivesdk" TargetMode="External"/><Relationship Id="rId12163" Type="http://schemas.openxmlformats.org/officeDocument/2006/relationships/hyperlink" Target="https://drive.google.com/file/d/1cvEcvhk0INYOlgm_QVtwG2DSCK_kX8Bn/view?usp=drivesdk" TargetMode="External"/><Relationship Id="rId13494" Type="http://schemas.openxmlformats.org/officeDocument/2006/relationships/hyperlink" Target="https://drive.google.com/file/d/1QNwlOBlQtUduvZZ4EuW1olPo2xJ9sJ82/view?usp=drivesdk" TargetMode="External"/><Relationship Id="rId12169" Type="http://schemas.openxmlformats.org/officeDocument/2006/relationships/hyperlink" Target="https://drive.google.com/file/d/1KD_SAJ3D5D9jETQOK6zSa-pnycnSvAFR/view?usp=drivesdk" TargetMode="External"/><Relationship Id="rId3940" Type="http://schemas.openxmlformats.org/officeDocument/2006/relationships/hyperlink" Target="https://drive.google.com/file/d/11rk0W9FOgJwcEmN8ZJDaq__wmuZpoDYH/view?usp=drivesdk" TargetMode="External"/><Relationship Id="rId12168" Type="http://schemas.openxmlformats.org/officeDocument/2006/relationships/hyperlink" Target="https://drive.google.com/file/d/1cM1bNjtumQ5mLbluwUH4iY2CxxSk1_xM/view?usp=drivesdk" TargetMode="External"/><Relationship Id="rId13499" Type="http://schemas.openxmlformats.org/officeDocument/2006/relationships/hyperlink" Target="https://drive.google.com/file/d/1l9gryjWbbcrUdTqCrq-1lkMRZkAjCfA_/view?usp=drivesdk" TargetMode="External"/><Relationship Id="rId12167" Type="http://schemas.openxmlformats.org/officeDocument/2006/relationships/hyperlink" Target="https://drive.google.com/file/d/171q8PYtr5Ny1QMU1_n5vB3HToRzV_gHd/view?usp=drivesdk" TargetMode="External"/><Relationship Id="rId13498" Type="http://schemas.openxmlformats.org/officeDocument/2006/relationships/hyperlink" Target="https://drive.google.com/file/d/1MgC8NHPsXvdgHP8dWHWqSQOszaTJC9k8/view?usp=drivesdk" TargetMode="External"/><Relationship Id="rId1312" Type="http://schemas.openxmlformats.org/officeDocument/2006/relationships/hyperlink" Target="https://drive.google.com/file/d/1e8EcXKWBScaeoZ3s6vNFeRD2AdeaYiej/view?usp=drivesdk" TargetMode="External"/><Relationship Id="rId2643" Type="http://schemas.openxmlformats.org/officeDocument/2006/relationships/hyperlink" Target="https://drive.google.com/file/d/15jj9w1eFVQHHJk_ANqpgZ_1cTFjUljeE/view?usp=drivesdk" TargetMode="External"/><Relationship Id="rId3975" Type="http://schemas.openxmlformats.org/officeDocument/2006/relationships/hyperlink" Target="https://drive.google.com/file/d/16t37wt5NGEe3eDFS2PiurQeoRdJUVitO/view?usp=drivesdk" TargetMode="External"/><Relationship Id="rId1313" Type="http://schemas.openxmlformats.org/officeDocument/2006/relationships/hyperlink" Target="https://drive.google.com/file/d/14ADirn9i_bg27_WCse-E3SefOaoaKg10/view?usp=drivesdk" TargetMode="External"/><Relationship Id="rId2644" Type="http://schemas.openxmlformats.org/officeDocument/2006/relationships/hyperlink" Target="https://drive.google.com/file/d/137E09a3aE3uZhk6ly6_FsDpnhpmyJJFX/view?usp=drivesdk" TargetMode="External"/><Relationship Id="rId3974" Type="http://schemas.openxmlformats.org/officeDocument/2006/relationships/hyperlink" Target="https://drive.google.com/file/d/1JXoHjyaO3PlQ0rMLVPVAJenEbzQLLGN_/view?usp=drivesdk" TargetMode="External"/><Relationship Id="rId1314" Type="http://schemas.openxmlformats.org/officeDocument/2006/relationships/hyperlink" Target="https://drive.google.com/file/d/1pb5U1ewjFUlXtRcZa-TmwwVWqp3hJQt4/view?usp=drivesdk" TargetMode="External"/><Relationship Id="rId2645" Type="http://schemas.openxmlformats.org/officeDocument/2006/relationships/hyperlink" Target="https://drive.google.com/file/d/1FW1EHbfe5yD8ZdTOlU2viUhrC8t0W6NI/view?usp=drivesdk" TargetMode="External"/><Relationship Id="rId3977" Type="http://schemas.openxmlformats.org/officeDocument/2006/relationships/hyperlink" Target="https://drive.google.com/file/d/1N8oLO-rAU_iApiUhkBbGoQ7QlYcqMPDN/view?usp=drivesdk" TargetMode="External"/><Relationship Id="rId1315" Type="http://schemas.openxmlformats.org/officeDocument/2006/relationships/hyperlink" Target="https://drive.google.com/file/d/1FVw1b0XwuB9Vma8EPJi6LV70sPCDS04O/view?usp=drivesdk" TargetMode="External"/><Relationship Id="rId2646" Type="http://schemas.openxmlformats.org/officeDocument/2006/relationships/hyperlink" Target="https://drive.google.com/file/d/1VWQSqjmtJzJsLSFvCZnMJwnViYZzOiIy/view?usp=drivesdk" TargetMode="External"/><Relationship Id="rId3976" Type="http://schemas.openxmlformats.org/officeDocument/2006/relationships/hyperlink" Target="https://drive.google.com/file/d/1AD1HPbf7sBnK2FKo3QbNyz3DaOVbXe4m/view?usp=drivesdk" TargetMode="External"/><Relationship Id="rId1316" Type="http://schemas.openxmlformats.org/officeDocument/2006/relationships/hyperlink" Target="https://drive.google.com/file/d/1UxRMIouP1ew2zbQ8Y4QVO1jzmE2OMhST/view?usp=drivesdk" TargetMode="External"/><Relationship Id="rId2647" Type="http://schemas.openxmlformats.org/officeDocument/2006/relationships/hyperlink" Target="https://drive.google.com/file/d/19UIaCf59I1VQveD2GkjcaXfoL6AjMk74/view?usp=drivesdk" TargetMode="External"/><Relationship Id="rId3979" Type="http://schemas.openxmlformats.org/officeDocument/2006/relationships/hyperlink" Target="https://drive.google.com/file/d/1k8X6pV0irviDW85MmzRudSLGSdpAKZvo/view?usp=drivesdk" TargetMode="External"/><Relationship Id="rId12140" Type="http://schemas.openxmlformats.org/officeDocument/2006/relationships/hyperlink" Target="https://drive.google.com/file/d/1jCWi4oQzgkiEiKgM-3nA6VmFbN8TQcJ_/view?usp=drivesdk" TargetMode="External"/><Relationship Id="rId13471" Type="http://schemas.openxmlformats.org/officeDocument/2006/relationships/hyperlink" Target="https://drive.google.com/file/d/1LL5MGvRmhKPGjEPfWf9dn9ki43g84G3v/view?usp=drivesdk" TargetMode="External"/><Relationship Id="rId1317" Type="http://schemas.openxmlformats.org/officeDocument/2006/relationships/hyperlink" Target="https://drive.google.com/file/d/1XSzM9-x6-tniiGzX4d1uThfcmbhZqXVO/view?usp=drivesdk" TargetMode="External"/><Relationship Id="rId2648" Type="http://schemas.openxmlformats.org/officeDocument/2006/relationships/hyperlink" Target="https://drive.google.com/file/d/1RPNnSnQeCDeKRxgPOlJLf59IzqyUVFUc/view?usp=drivesdk" TargetMode="External"/><Relationship Id="rId3978" Type="http://schemas.openxmlformats.org/officeDocument/2006/relationships/hyperlink" Target="https://drive.google.com/file/d/1k0GhNjCOOWfUGoi5Fyb33beuQ7obfo9d/view?usp=drivesdk" TargetMode="External"/><Relationship Id="rId13470" Type="http://schemas.openxmlformats.org/officeDocument/2006/relationships/hyperlink" Target="https://drive.google.com/file/d/1eYUhZdWJRGLoOEE6lE2xl8avYvZCc67p/view?usp=drivesdk" TargetMode="External"/><Relationship Id="rId1318" Type="http://schemas.openxmlformats.org/officeDocument/2006/relationships/hyperlink" Target="https://drive.google.com/file/d/1MtF-zS5NqZiVI23MSDohVYg5-BLLv96o/view?usp=drivesdk" TargetMode="External"/><Relationship Id="rId2649" Type="http://schemas.openxmlformats.org/officeDocument/2006/relationships/hyperlink" Target="https://drive.google.com/file/d/1Nwm0qhvQ6bZXeO0_m5fxKH5Enu42KLzJ/view?usp=drivesdk" TargetMode="External"/><Relationship Id="rId1319" Type="http://schemas.openxmlformats.org/officeDocument/2006/relationships/hyperlink" Target="https://drive.google.com/file/d/1EbEXuug61QOws52R748dTFwhLFrISjuF/view?usp=drivesdk" TargetMode="External"/><Relationship Id="rId12139" Type="http://schemas.openxmlformats.org/officeDocument/2006/relationships/hyperlink" Target="https://drive.google.com/file/d/1jnwta5IJ5uzEeKgWCQ7OFjFdmSu-6iTS/view?usp=drivesdk" TargetMode="External"/><Relationship Id="rId12138" Type="http://schemas.openxmlformats.org/officeDocument/2006/relationships/hyperlink" Target="https://drive.google.com/file/d/12HA2bscG3zsUPzIBj0GeIcKOT4zhCmUJ/view?usp=drivesdk" TargetMode="External"/><Relationship Id="rId13469" Type="http://schemas.openxmlformats.org/officeDocument/2006/relationships/hyperlink" Target="https://drive.google.com/file/d/1shrnnhTtUTIqBpvANirr29l3Iw_j6J8l/view?usp=drivesdk" TargetMode="External"/><Relationship Id="rId12133" Type="http://schemas.openxmlformats.org/officeDocument/2006/relationships/hyperlink" Target="https://drive.google.com/file/d/1eXMFuniy-fzYTzWImo-mONLHBT66WatH/view?usp=drivesdk" TargetMode="External"/><Relationship Id="rId13464" Type="http://schemas.openxmlformats.org/officeDocument/2006/relationships/hyperlink" Target="https://drive.google.com/file/d/196uJ-Dp-4wqJdfuiQKJ46gXkOADpLIN0/view?usp=drivesdk" TargetMode="External"/><Relationship Id="rId12132" Type="http://schemas.openxmlformats.org/officeDocument/2006/relationships/hyperlink" Target="https://drive.google.com/file/d/1cV9X1-s8JlXlNs1oVje3fkMNdfnaXf4Q/view?usp=drivesdk" TargetMode="External"/><Relationship Id="rId13463" Type="http://schemas.openxmlformats.org/officeDocument/2006/relationships/hyperlink" Target="https://drive.google.com/file/d/1y5mvRKLUTJ2505vR5dWc581psTs-pGXe/view?usp=drivesdk" TargetMode="External"/><Relationship Id="rId12131" Type="http://schemas.openxmlformats.org/officeDocument/2006/relationships/hyperlink" Target="https://drive.google.com/file/d/10XMjOhmNKKN_tCzG6lH29W4zlp4wB5al/view?usp=drivesdk" TargetMode="External"/><Relationship Id="rId13462" Type="http://schemas.openxmlformats.org/officeDocument/2006/relationships/hyperlink" Target="https://drive.google.com/file/d/1bXSDxF8Y9mQJHo8wGT5IKxPEj2dTHF-y/view?usp=drivesdk" TargetMode="External"/><Relationship Id="rId12130" Type="http://schemas.openxmlformats.org/officeDocument/2006/relationships/hyperlink" Target="https://drive.google.com/file/d/1qM4P765J4zPXL4rvMPPwuZlHzKNAmUIF/view?usp=drivesdk" TargetMode="External"/><Relationship Id="rId13461" Type="http://schemas.openxmlformats.org/officeDocument/2006/relationships/hyperlink" Target="https://drive.google.com/file/d/1baoogEjWJqYDGdUw_i8sgqsDUILo3sMq/view?usp=drivesdk" TargetMode="External"/><Relationship Id="rId3971" Type="http://schemas.openxmlformats.org/officeDocument/2006/relationships/hyperlink" Target="https://drive.google.com/file/d/1QCH8xlv0wZ2V2xgxArZkvR8hjtBVqG26/view?usp=drivesdk" TargetMode="External"/><Relationship Id="rId12137" Type="http://schemas.openxmlformats.org/officeDocument/2006/relationships/hyperlink" Target="https://drive.google.com/file/d/1Vr9vZIOtUWMpE4xJJr9NVyHyFG1fTUyX/view?usp=drivesdk" TargetMode="External"/><Relationship Id="rId13468" Type="http://schemas.openxmlformats.org/officeDocument/2006/relationships/hyperlink" Target="https://drive.google.com/file/d/1bR-MQhefz467oBwJxTMLusjloUkeWqiM/view?usp=drivesdk" TargetMode="External"/><Relationship Id="rId2640" Type="http://schemas.openxmlformats.org/officeDocument/2006/relationships/hyperlink" Target="https://drive.google.com/file/d/1HIfvj4Pr_TaS-Yb6uTLGyNfLr35UBa7e/view?usp=drivesdk" TargetMode="External"/><Relationship Id="rId3970" Type="http://schemas.openxmlformats.org/officeDocument/2006/relationships/hyperlink" Target="https://drive.google.com/file/d/1mSLuw6ViCu52jgSCRPZHywgQtZ9sUDZA/view?usp=drivesdk" TargetMode="External"/><Relationship Id="rId12136" Type="http://schemas.openxmlformats.org/officeDocument/2006/relationships/hyperlink" Target="https://drive.google.com/file/d/1FAofsrummbMGLQVa91Gxm7qgdC07OSg6/view?usp=drivesdk" TargetMode="External"/><Relationship Id="rId13467" Type="http://schemas.openxmlformats.org/officeDocument/2006/relationships/hyperlink" Target="https://drive.google.com/file/d/141x65cZgslcCRycfGmPlDJPMhcIcDeTy/view?usp=drivesdk" TargetMode="External"/><Relationship Id="rId1310" Type="http://schemas.openxmlformats.org/officeDocument/2006/relationships/hyperlink" Target="https://drive.google.com/file/d/12n1rBgCEW6StruncqRVzku9iDC1ftDKh/view?usp=drivesdk" TargetMode="External"/><Relationship Id="rId2641" Type="http://schemas.openxmlformats.org/officeDocument/2006/relationships/hyperlink" Target="https://drive.google.com/file/d/1QNLnH8j1mckhnf8-d-3aHCcf9I7kVNMu/view?usp=drivesdk" TargetMode="External"/><Relationship Id="rId3973" Type="http://schemas.openxmlformats.org/officeDocument/2006/relationships/hyperlink" Target="https://drive.google.com/file/d/1qjzQD2qs8IW4rYw-Kb6tsO3owK69U1u1/view?usp=drivesdk" TargetMode="External"/><Relationship Id="rId12135" Type="http://schemas.openxmlformats.org/officeDocument/2006/relationships/hyperlink" Target="https://drive.google.com/file/d/13oEFaSIEcxCz8WKM8V-3LY0HwA7bhaXb/view?usp=drivesdk" TargetMode="External"/><Relationship Id="rId13466" Type="http://schemas.openxmlformats.org/officeDocument/2006/relationships/hyperlink" Target="https://drive.google.com/file/d/1UXnMVy83L2ia7gpxyS5YiL_WTsj07zoa/view?usp=drivesdk" TargetMode="External"/><Relationship Id="rId1311" Type="http://schemas.openxmlformats.org/officeDocument/2006/relationships/hyperlink" Target="https://drive.google.com/file/d/1uvHMS2cU-zlO7OlV2awiiZ8ddvIgXbOR/view?usp=drivesdk" TargetMode="External"/><Relationship Id="rId2642" Type="http://schemas.openxmlformats.org/officeDocument/2006/relationships/hyperlink" Target="https://drive.google.com/file/d/10BY9bpfINXHreIwSLgT2RVFBI7uAKiKV/view?usp=drivesdk" TargetMode="External"/><Relationship Id="rId3972" Type="http://schemas.openxmlformats.org/officeDocument/2006/relationships/hyperlink" Target="https://drive.google.com/file/d/1mqwzGTmKDunUqgHq2FLWNyi_0unbfNHY/view?usp=drivesdk" TargetMode="External"/><Relationship Id="rId12134" Type="http://schemas.openxmlformats.org/officeDocument/2006/relationships/hyperlink" Target="https://drive.google.com/file/d/188z7pBzb4XKSzlI59hr9MGNz-Z5fIrwI/view?usp=drivesdk" TargetMode="External"/><Relationship Id="rId13465" Type="http://schemas.openxmlformats.org/officeDocument/2006/relationships/hyperlink" Target="https://drive.google.com/file/d/1XQwNEDwfbxpVvkzV64T4xPnu9aCUVWPw/view?usp=drivesdk" TargetMode="External"/><Relationship Id="rId1301" Type="http://schemas.openxmlformats.org/officeDocument/2006/relationships/hyperlink" Target="https://drive.google.com/file/d/13L6HzJNdkD484hnDkCd7VOCJ_IafeVL3/view?usp=drivesdk" TargetMode="External"/><Relationship Id="rId2632" Type="http://schemas.openxmlformats.org/officeDocument/2006/relationships/hyperlink" Target="https://drive.google.com/file/d/1dVqmzsngb2oH_tAcX9R_FyfMgvzK9Z2k/view?usp=drivesdk" TargetMode="External"/><Relationship Id="rId3964" Type="http://schemas.openxmlformats.org/officeDocument/2006/relationships/hyperlink" Target="https://drive.google.com/file/d/1exLPGguGzIBHOEoRXyghtzTqQsXD_aKP/view?usp=drivesdk" TargetMode="External"/><Relationship Id="rId1302" Type="http://schemas.openxmlformats.org/officeDocument/2006/relationships/hyperlink" Target="https://drive.google.com/file/d/11SOTLQy3n2ViDov7Tcdcl2RuEg3CL3vy/view?usp=drivesdk" TargetMode="External"/><Relationship Id="rId2633" Type="http://schemas.openxmlformats.org/officeDocument/2006/relationships/hyperlink" Target="https://drive.google.com/file/d/1r91Fyf8os3DhTluzunxKrNifBHU-VI_g/view?usp=drivesdk" TargetMode="External"/><Relationship Id="rId3963" Type="http://schemas.openxmlformats.org/officeDocument/2006/relationships/hyperlink" Target="https://drive.google.com/file/d/1UA765pNMcz2ExPnnCvs7CRxG4PZ14kdj/view?usp=drivesdk" TargetMode="External"/><Relationship Id="rId1303" Type="http://schemas.openxmlformats.org/officeDocument/2006/relationships/hyperlink" Target="https://drive.google.com/file/d/1tvA3ecixk5cjZSY2wPZZiFMvq_uzdrGW/view?usp=drivesdk" TargetMode="External"/><Relationship Id="rId2634" Type="http://schemas.openxmlformats.org/officeDocument/2006/relationships/hyperlink" Target="https://drive.google.com/file/d/1tk4K7QaGlJjneo7azb8rd__0xhMMe5__/view?usp=drivesdk" TargetMode="External"/><Relationship Id="rId3966" Type="http://schemas.openxmlformats.org/officeDocument/2006/relationships/hyperlink" Target="https://drive.google.com/file/d/14LMXoNXMAd_T6y9wWAKGkUpJ53b0oDvz/view?usp=drivesdk" TargetMode="External"/><Relationship Id="rId1304" Type="http://schemas.openxmlformats.org/officeDocument/2006/relationships/hyperlink" Target="https://drive.google.com/file/d/1QJtxFP2YiUC_TEzERo4-oPbp_hVffLzd/view?usp=drivesdk" TargetMode="External"/><Relationship Id="rId2635" Type="http://schemas.openxmlformats.org/officeDocument/2006/relationships/hyperlink" Target="https://drive.google.com/file/d/1Id6SprTzJ4IBUZm3CBXZYROJqq0iVsis/view?usp=drivesdk" TargetMode="External"/><Relationship Id="rId3965" Type="http://schemas.openxmlformats.org/officeDocument/2006/relationships/hyperlink" Target="https://drive.google.com/file/d/1fCquWD8h7LX70gxG-BGqzkzT_5laSLMx/view?usp=drivesdk" TargetMode="External"/><Relationship Id="rId1305" Type="http://schemas.openxmlformats.org/officeDocument/2006/relationships/hyperlink" Target="https://drive.google.com/file/d/1oFAAvD1riEBmAjm0qP1D2Ve1hgEhsFeK/view?usp=drivesdk" TargetMode="External"/><Relationship Id="rId2636" Type="http://schemas.openxmlformats.org/officeDocument/2006/relationships/hyperlink" Target="https://drive.google.com/file/d/1sINkFMDhT62K1gGExQv54IJkwxUW3r0T/view?usp=drivesdk" TargetMode="External"/><Relationship Id="rId3968" Type="http://schemas.openxmlformats.org/officeDocument/2006/relationships/hyperlink" Target="https://drive.google.com/file/d/1d7GciCrGGnjouA5bSUTamtRSW4aVdsYj/view?usp=drivesdk" TargetMode="External"/><Relationship Id="rId12151" Type="http://schemas.openxmlformats.org/officeDocument/2006/relationships/hyperlink" Target="https://drive.google.com/file/d/1x5BUNGNRF6niv_KukW7l_v2yJMpZI3Fi/view?usp=drivesdk" TargetMode="External"/><Relationship Id="rId13482" Type="http://schemas.openxmlformats.org/officeDocument/2006/relationships/hyperlink" Target="https://drive.google.com/file/d/13jGPjLHfH50QLVZn91gsaBYmrpASGyLG/view?usp=drivesdk" TargetMode="External"/><Relationship Id="rId1306" Type="http://schemas.openxmlformats.org/officeDocument/2006/relationships/hyperlink" Target="https://drive.google.com/file/d/1JUvzaSCAZuEQ2rpJGknFYXe27bROdUcU/view?usp=drivesdk" TargetMode="External"/><Relationship Id="rId2637" Type="http://schemas.openxmlformats.org/officeDocument/2006/relationships/hyperlink" Target="https://drive.google.com/file/d/11eGUF5LgJ1_G_ISb5OWG_P66qKYwYc4Q/view?usp=drivesdk" TargetMode="External"/><Relationship Id="rId3967" Type="http://schemas.openxmlformats.org/officeDocument/2006/relationships/hyperlink" Target="https://drive.google.com/file/d/1_hlX_iY1HUkvF6QIlPUNtvJIOPj9E3pm/view?usp=drivesdk" TargetMode="External"/><Relationship Id="rId12150" Type="http://schemas.openxmlformats.org/officeDocument/2006/relationships/hyperlink" Target="https://drive.google.com/file/d/1jBubtHdfKVK0xcDxNzAm-JOJMM1qzLiw/view?usp=drivesdk" TargetMode="External"/><Relationship Id="rId13481" Type="http://schemas.openxmlformats.org/officeDocument/2006/relationships/hyperlink" Target="https://drive.google.com/file/d/1Ap-eRiBOEmioEifd7mTMndlGyUwbXYMM/view?usp=drivesdk" TargetMode="External"/><Relationship Id="rId1307" Type="http://schemas.openxmlformats.org/officeDocument/2006/relationships/hyperlink" Target="https://drive.google.com/file/d/111N-vh9qzMfld7WdGi9qfICHeqefucNa/view?usp=drivesdk" TargetMode="External"/><Relationship Id="rId2638" Type="http://schemas.openxmlformats.org/officeDocument/2006/relationships/hyperlink" Target="https://drive.google.com/file/d/1ODwp-t0c2xwqbiNCcbkpCewj_a-_Gb9S/view?usp=drivesdk" TargetMode="External"/><Relationship Id="rId13480" Type="http://schemas.openxmlformats.org/officeDocument/2006/relationships/hyperlink" Target="https://drive.google.com/file/d/1cK5BXMaD_eAybt9duqmpcVWOOel0ABAz/view?usp=drivesdk" TargetMode="External"/><Relationship Id="rId1308" Type="http://schemas.openxmlformats.org/officeDocument/2006/relationships/hyperlink" Target="https://drive.google.com/file/d/1yj6plvrb3o0cDuqMweqK9iL7jNqJDQ7Q/view?usp=drivesdk" TargetMode="External"/><Relationship Id="rId2639" Type="http://schemas.openxmlformats.org/officeDocument/2006/relationships/hyperlink" Target="https://drive.google.com/file/d/1ovIYe8raWdO5u__eV_EAyCU-VIf9qpMs/view?usp=drivesdk" TargetMode="External"/><Relationship Id="rId3969" Type="http://schemas.openxmlformats.org/officeDocument/2006/relationships/hyperlink" Target="https://drive.google.com/file/d/1I_ppeu_uA5pMeR74xusNLggF2LbrRyB0/view?usp=drivesdk" TargetMode="External"/><Relationship Id="rId1309" Type="http://schemas.openxmlformats.org/officeDocument/2006/relationships/hyperlink" Target="https://drive.google.com/file/d/1bLiGBtozr9hBNOak717boTuTTvtAQSHb/view?usp=drivesdk" TargetMode="External"/><Relationship Id="rId12149" Type="http://schemas.openxmlformats.org/officeDocument/2006/relationships/hyperlink" Target="https://drive.google.com/file/d/1EmUknVhsbYaTNTV2hkyhHBBtsxGU2N2k/view?usp=drivesdk" TargetMode="External"/><Relationship Id="rId12144" Type="http://schemas.openxmlformats.org/officeDocument/2006/relationships/hyperlink" Target="https://drive.google.com/file/d/1zMwFFPKzb2QFYNIrqzKmhqLZ-HzB7lxA/view?usp=drivesdk" TargetMode="External"/><Relationship Id="rId13475" Type="http://schemas.openxmlformats.org/officeDocument/2006/relationships/hyperlink" Target="https://drive.google.com/file/d/1lEXuEj_lH1fc0PWtAsgLXJKBmOWEt6gu/view?usp=drivesdk" TargetMode="External"/><Relationship Id="rId12143" Type="http://schemas.openxmlformats.org/officeDocument/2006/relationships/hyperlink" Target="https://drive.google.com/file/d/1Zz5F-6C6s7xs0NoH0vkziRVwNLGQlu2A/view?usp=drivesdk" TargetMode="External"/><Relationship Id="rId13474" Type="http://schemas.openxmlformats.org/officeDocument/2006/relationships/hyperlink" Target="https://drive.google.com/file/d/1gOoO69224yVETYZKV_8a2EWv6-D6ianG/view?usp=drivesdk" TargetMode="External"/><Relationship Id="rId12142" Type="http://schemas.openxmlformats.org/officeDocument/2006/relationships/hyperlink" Target="https://drive.google.com/file/d/1c-EqGS4cI939RpPdOPQOjBuPbu0Qj-iA/view?usp=drivesdk" TargetMode="External"/><Relationship Id="rId13473" Type="http://schemas.openxmlformats.org/officeDocument/2006/relationships/hyperlink" Target="https://drive.google.com/file/d/1M7BQbxdV00wmT5Ah28Jfb_4gsnGTFvfl/view?usp=drivesdk" TargetMode="External"/><Relationship Id="rId12141" Type="http://schemas.openxmlformats.org/officeDocument/2006/relationships/hyperlink" Target="https://drive.google.com/file/d/1Y8WtMSwyOVMurv_UhSzMozeGSQJRoiAG/view?usp=drivesdk" TargetMode="External"/><Relationship Id="rId13472" Type="http://schemas.openxmlformats.org/officeDocument/2006/relationships/hyperlink" Target="https://drive.google.com/file/d/1W5mrsA7EjSvnWTfb5XoDwGD5tuvRwKb0/view?usp=drivesdk" TargetMode="External"/><Relationship Id="rId3960" Type="http://schemas.openxmlformats.org/officeDocument/2006/relationships/hyperlink" Target="https://drive.google.com/file/d/1gPody9QITivkztSYuF1nmqbSAZ0C463s/view?usp=drivesdk" TargetMode="External"/><Relationship Id="rId12148" Type="http://schemas.openxmlformats.org/officeDocument/2006/relationships/hyperlink" Target="https://drive.google.com/file/d/1K5wpRSx73RWBa7ccd4Ew9tJwg1WgKN99/view?usp=drivesdk" TargetMode="External"/><Relationship Id="rId13479" Type="http://schemas.openxmlformats.org/officeDocument/2006/relationships/hyperlink" Target="https://drive.google.com/file/d/1INTS5npI24cvpIVUgvzrwISkGu1hpHQl/view?usp=drivesdk" TargetMode="External"/><Relationship Id="rId12147" Type="http://schemas.openxmlformats.org/officeDocument/2006/relationships/hyperlink" Target="https://drive.google.com/file/d/1ke0eFWXYHESixQLWJ37fStnMozqVlmd-/view?usp=drivesdk" TargetMode="External"/><Relationship Id="rId13478" Type="http://schemas.openxmlformats.org/officeDocument/2006/relationships/hyperlink" Target="https://drive.google.com/file/d/1DfL5_yN1-wNZ2BdZ0hQTBx9xcl9y3ODJ/view?usp=drivesdk" TargetMode="External"/><Relationship Id="rId2630" Type="http://schemas.openxmlformats.org/officeDocument/2006/relationships/hyperlink" Target="https://drive.google.com/file/d/1z2qV-NGDxg9B-Q-qTaQK6SusDoyUnjQn/view?usp=drivesdk" TargetMode="External"/><Relationship Id="rId3962" Type="http://schemas.openxmlformats.org/officeDocument/2006/relationships/hyperlink" Target="https://drive.google.com/file/d/1IiOmM0iCKY1ELhuz4XBHPej2lf6K-nmY/view?usp=drivesdk" TargetMode="External"/><Relationship Id="rId12146" Type="http://schemas.openxmlformats.org/officeDocument/2006/relationships/hyperlink" Target="https://drive.google.com/file/d/1-4eBaGkr5p16rrtVZb7nuiZ0jM6FdIxD/view?usp=drivesdk" TargetMode="External"/><Relationship Id="rId13477" Type="http://schemas.openxmlformats.org/officeDocument/2006/relationships/hyperlink" Target="https://drive.google.com/file/d/1IIoLajTrjufyWciJUbl2hG4yo_DTQjmm/view?usp=drivesdk" TargetMode="External"/><Relationship Id="rId1300" Type="http://schemas.openxmlformats.org/officeDocument/2006/relationships/hyperlink" Target="https://drive.google.com/file/d/1SZ5Rr02vc_mE8nGHnSLhTUifxNVfIWw1/view?usp=drivesdk" TargetMode="External"/><Relationship Id="rId2631" Type="http://schemas.openxmlformats.org/officeDocument/2006/relationships/hyperlink" Target="https://drive.google.com/file/d/1-ScCTwcZyY2fDARZcxL7cXJl_purbwFu/view?usp=drivesdk" TargetMode="External"/><Relationship Id="rId3961" Type="http://schemas.openxmlformats.org/officeDocument/2006/relationships/hyperlink" Target="https://drive.google.com/file/d/1kkB1OL_nh4T4w3qp7dW7YvxoSlcm_Eo6/view?usp=drivesdk" TargetMode="External"/><Relationship Id="rId12145" Type="http://schemas.openxmlformats.org/officeDocument/2006/relationships/hyperlink" Target="https://drive.google.com/file/d/1KOZLhUMw7QygWR1QWPOJ6sD5CVbJj4xs/view?usp=drivesdk" TargetMode="External"/><Relationship Id="rId13476" Type="http://schemas.openxmlformats.org/officeDocument/2006/relationships/hyperlink" Target="https://drive.google.com/file/d/1OitBj5r_66z-NZsTC4Hut270LcDU6I0r/view?usp=drivesdk" TargetMode="External"/><Relationship Id="rId1378" Type="http://schemas.openxmlformats.org/officeDocument/2006/relationships/hyperlink" Target="https://drive.google.com/file/d/1lJUipUuN82pwRXlnCNPD7wE4-lsxpI0w/view?usp=drivesdk" TargetMode="External"/><Relationship Id="rId1379" Type="http://schemas.openxmlformats.org/officeDocument/2006/relationships/hyperlink" Target="https://drive.google.com/file/d/1ehtId5DUmngpxwSdx5k0MSJJW1AbNVeT/view?usp=drivesdk" TargetMode="External"/><Relationship Id="rId13406" Type="http://schemas.openxmlformats.org/officeDocument/2006/relationships/hyperlink" Target="https://drive.google.com/file/d/1tMqQ_J1CyPYj06z4aQm_PDQPnzdu4uXC/view?usp=drivesdk" TargetMode="External"/><Relationship Id="rId13405" Type="http://schemas.openxmlformats.org/officeDocument/2006/relationships/hyperlink" Target="https://drive.google.com/file/d/1yg4XHe18xKpYeaeuA08Cy2QpyjsnVtKS/view?usp=drivesdk" TargetMode="External"/><Relationship Id="rId13404" Type="http://schemas.openxmlformats.org/officeDocument/2006/relationships/hyperlink" Target="https://drive.google.com/file/d/12qRwi-N-IW68P2aA_Bdx-m-hxuMusAaG/view?usp=drivesdk" TargetMode="External"/><Relationship Id="rId13403" Type="http://schemas.openxmlformats.org/officeDocument/2006/relationships/hyperlink" Target="https://drive.google.com/file/d/1CTnHrjzj4zpmajD65S00Qw_xEjND4AvM/view?usp=drivesdk" TargetMode="External"/><Relationship Id="rId13409" Type="http://schemas.openxmlformats.org/officeDocument/2006/relationships/hyperlink" Target="https://drive.google.com/file/d/13Ppgev8s2BUlBKWOEHTnuDWmGPHhQGpt/view?usp=drivesdk" TargetMode="External"/><Relationship Id="rId13408" Type="http://schemas.openxmlformats.org/officeDocument/2006/relationships/hyperlink" Target="https://drive.google.com/file/d/1RJAbjhs0X7eIQ7z9XujO6xi8KvXjkJF6/view?usp=drivesdk" TargetMode="External"/><Relationship Id="rId13407" Type="http://schemas.openxmlformats.org/officeDocument/2006/relationships/hyperlink" Target="https://drive.google.com/file/d/1MX-xzR2Y-jUriYd560J6NzyeUhhNgXB2/view?usp=drivesdk" TargetMode="External"/><Relationship Id="rId1370" Type="http://schemas.openxmlformats.org/officeDocument/2006/relationships/hyperlink" Target="https://drive.google.com/file/d/1cMxwW9xxzF7kFou5bpma2szlNw1X9hod/view?usp=drivesdk" TargetMode="External"/><Relationship Id="rId1371" Type="http://schemas.openxmlformats.org/officeDocument/2006/relationships/hyperlink" Target="https://drive.google.com/file/d/1ANJzaAk5ZFP0mgfxx6ivsCOWBP-B6lbr/view?usp=drivesdk" TargetMode="External"/><Relationship Id="rId1372" Type="http://schemas.openxmlformats.org/officeDocument/2006/relationships/hyperlink" Target="https://drive.google.com/file/d/1KtVh1lYmMEawaHzVSjUv75y3V2W6UaqP/view?usp=drivesdk" TargetMode="External"/><Relationship Id="rId1373" Type="http://schemas.openxmlformats.org/officeDocument/2006/relationships/hyperlink" Target="https://drive.google.com/file/d/15k6kwD7Bwj1q4-nukg-kjn7C9jiCjFRZ/view?usp=drivesdk" TargetMode="External"/><Relationship Id="rId1374" Type="http://schemas.openxmlformats.org/officeDocument/2006/relationships/hyperlink" Target="https://drive.google.com/file/d/1krSVX0jg4whWopxfbeC_YLpopg0zFoxy/view?usp=drivesdk" TargetMode="External"/><Relationship Id="rId13402" Type="http://schemas.openxmlformats.org/officeDocument/2006/relationships/hyperlink" Target="https://drive.google.com/file/d/12QTwgzGV98Fz5Rg7qXjxNEBEivL7f7sz/view?usp=drivesdk" TargetMode="External"/><Relationship Id="rId1375" Type="http://schemas.openxmlformats.org/officeDocument/2006/relationships/hyperlink" Target="https://drive.google.com/file/d/1Gyo7x2ycvMBmpaZVoaS0qCdUIKjpaqPn/view?usp=drivesdk" TargetMode="External"/><Relationship Id="rId13401" Type="http://schemas.openxmlformats.org/officeDocument/2006/relationships/hyperlink" Target="https://drive.google.com/file/d/14lSyIVgMr4LDg6VoBUOEFImQTMFBR_Zi/view?usp=drivesdk" TargetMode="External"/><Relationship Id="rId1376" Type="http://schemas.openxmlformats.org/officeDocument/2006/relationships/hyperlink" Target="https://drive.google.com/file/d/164baYnjyrwzXoYW9iWUGe0vq9dD85EW5/view?usp=drivesdk" TargetMode="External"/><Relationship Id="rId13400" Type="http://schemas.openxmlformats.org/officeDocument/2006/relationships/hyperlink" Target="https://drive.google.com/file/d/116AucOXP84HTTkxD6R2kTyDwDYbSavpF/view?usp=drivesdk" TargetMode="External"/><Relationship Id="rId1377" Type="http://schemas.openxmlformats.org/officeDocument/2006/relationships/hyperlink" Target="https://drive.google.com/file/d/1_RCP2tZdMzblo45s-wy2rYpdjQKbl3xN/view?usp=drivesdk" TargetMode="External"/><Relationship Id="rId1367" Type="http://schemas.openxmlformats.org/officeDocument/2006/relationships/hyperlink" Target="https://drive.google.com/file/d/120ss0j9KMizN9SXPD8-bo_7nyMWxNWLI/view?usp=drivesdk" TargetMode="External"/><Relationship Id="rId2698" Type="http://schemas.openxmlformats.org/officeDocument/2006/relationships/hyperlink" Target="https://drive.google.com/file/d/19VVdSaYc87OtqVZ6o-JvQvDIG7raT5Hz/view?usp=drivesdk" TargetMode="External"/><Relationship Id="rId1368" Type="http://schemas.openxmlformats.org/officeDocument/2006/relationships/hyperlink" Target="https://drive.google.com/file/d/14fMN9c1m74OXZ8fyHFLv0qrmOCr4eojh/view?usp=drivesdk" TargetMode="External"/><Relationship Id="rId2699" Type="http://schemas.openxmlformats.org/officeDocument/2006/relationships/hyperlink" Target="https://drive.google.com/file/d/1tv_jJQje9pLBn9Frq36nWV-6VguIaq1q/view?usp=drivesdk" TargetMode="External"/><Relationship Id="rId1369" Type="http://schemas.openxmlformats.org/officeDocument/2006/relationships/hyperlink" Target="https://drive.google.com/file/d/1EW4fV3mI7c8KiKUQA4Y3Bacua1UtZ8by/view?usp=drivesdk" TargetMode="External"/><Relationship Id="rId13417" Type="http://schemas.openxmlformats.org/officeDocument/2006/relationships/hyperlink" Target="https://drive.google.com/file/d/1WkclHjbBGAKGLnWacCa34FSmaKJEOUGA/view?usp=drivesdk" TargetMode="External"/><Relationship Id="rId13416" Type="http://schemas.openxmlformats.org/officeDocument/2006/relationships/hyperlink" Target="https://drive.google.com/file/d/1E8pQ-huUVoEgyNOodqQfUSzrdVZuuiK8/view?usp=drivesdk" TargetMode="External"/><Relationship Id="rId13415" Type="http://schemas.openxmlformats.org/officeDocument/2006/relationships/hyperlink" Target="https://drive.google.com/file/d/1wDlG8D8BiAUTSEfviqqIdbJTlK7ZXF_Z/view?usp=drivesdk" TargetMode="External"/><Relationship Id="rId13414" Type="http://schemas.openxmlformats.org/officeDocument/2006/relationships/hyperlink" Target="https://drive.google.com/file/d/1uxGFVbkLVGGE_rlzco-Hv0jivUGHil1_/view?usp=drivesdk" TargetMode="External"/><Relationship Id="rId13419" Type="http://schemas.openxmlformats.org/officeDocument/2006/relationships/hyperlink" Target="https://drive.google.com/file/d/1JRUehZXHon-vluaunv4Rtqly9sDE-7-o/view?usp=drivesdk" TargetMode="External"/><Relationship Id="rId13418" Type="http://schemas.openxmlformats.org/officeDocument/2006/relationships/hyperlink" Target="https://drive.google.com/file/d/1V6amPIUhPv3w0123eae1gec4rX4o8T8u/view?usp=drivesdk" TargetMode="External"/><Relationship Id="rId2690" Type="http://schemas.openxmlformats.org/officeDocument/2006/relationships/hyperlink" Target="https://drive.google.com/file/d/16TcDZV6z6GMBtKj0xJh0BUYFHKHDnk6H/view?usp=drivesdk" TargetMode="External"/><Relationship Id="rId1360" Type="http://schemas.openxmlformats.org/officeDocument/2006/relationships/hyperlink" Target="https://drive.google.com/file/d/1N28432BeM-kRpkdz0znUzjNyjeYQXD2c/view?usp=drivesdk" TargetMode="External"/><Relationship Id="rId2691" Type="http://schemas.openxmlformats.org/officeDocument/2006/relationships/hyperlink" Target="https://drive.google.com/file/d/1F3F9ljpl23qrYj004dJjYd2c0JjBzoZs/view?usp=drivesdk" TargetMode="External"/><Relationship Id="rId1361" Type="http://schemas.openxmlformats.org/officeDocument/2006/relationships/hyperlink" Target="https://drive.google.com/file/d/1D7gnildjiLUmQOdyRDfgvnBA1uD_NfNs/view?usp=drivesdk" TargetMode="External"/><Relationship Id="rId2692" Type="http://schemas.openxmlformats.org/officeDocument/2006/relationships/hyperlink" Target="https://drive.google.com/file/d/1FDComEIbL5fRXJ95I9qpEil1TclwyKfq/view?usp=drivesdk" TargetMode="External"/><Relationship Id="rId1362" Type="http://schemas.openxmlformats.org/officeDocument/2006/relationships/hyperlink" Target="https://drive.google.com/file/d/17WTkOWU5fttJjmi3JGMABPXDHJ7n-HCk/view?usp=drivesdk" TargetMode="External"/><Relationship Id="rId2693" Type="http://schemas.openxmlformats.org/officeDocument/2006/relationships/hyperlink" Target="https://drive.google.com/file/d/1a8UxkaRxeges74faltkjoo1jlcUmMDH4/view?usp=drivesdk" TargetMode="External"/><Relationship Id="rId1363" Type="http://schemas.openxmlformats.org/officeDocument/2006/relationships/hyperlink" Target="https://drive.google.com/file/d/1vhT1Zqt-rWizxrpEZnaQL1Sr6YwY7_9q/view?usp=drivesdk" TargetMode="External"/><Relationship Id="rId2694" Type="http://schemas.openxmlformats.org/officeDocument/2006/relationships/hyperlink" Target="https://drive.google.com/file/d/19npQ39JAnpR8GDOOcEoFZwr9fSikk16K/view?usp=drivesdk" TargetMode="External"/><Relationship Id="rId13413" Type="http://schemas.openxmlformats.org/officeDocument/2006/relationships/hyperlink" Target="https://drive.google.com/file/d/1idUAG38TJYuSeTkxasXyZkTxaz2YaGCb/view?usp=drivesdk" TargetMode="External"/><Relationship Id="rId1364" Type="http://schemas.openxmlformats.org/officeDocument/2006/relationships/hyperlink" Target="https://drive.google.com/file/d/1cKkR3GeZTzh3TzraL-aobyEOQ2pXU9uf/view?usp=drivesdk" TargetMode="External"/><Relationship Id="rId2695" Type="http://schemas.openxmlformats.org/officeDocument/2006/relationships/hyperlink" Target="https://drive.google.com/file/d/11r9NHaKAjD4ELjmJ8DZ2Cmk4JkHZYwcu/view?usp=drivesdk" TargetMode="External"/><Relationship Id="rId13412" Type="http://schemas.openxmlformats.org/officeDocument/2006/relationships/hyperlink" Target="https://drive.google.com/file/d/193fJyc3mOHakyDXG_4JuhP8GLAJKv5io/view?usp=drivesdk" TargetMode="External"/><Relationship Id="rId1365" Type="http://schemas.openxmlformats.org/officeDocument/2006/relationships/hyperlink" Target="https://drive.google.com/file/d/18uNJSNZfDT5VDdXmnSrkMwChsOY7PDKI/view?usp=drivesdk" TargetMode="External"/><Relationship Id="rId2696" Type="http://schemas.openxmlformats.org/officeDocument/2006/relationships/hyperlink" Target="https://drive.google.com/file/d/1p3teYhF9UGDmYRCbZKw0BisDjAXHR0PA/view?usp=drivesdk" TargetMode="External"/><Relationship Id="rId13411" Type="http://schemas.openxmlformats.org/officeDocument/2006/relationships/hyperlink" Target="https://drive.google.com/file/d/1anZBoiodTqdJwXDyDGCvFb3P3g9yg7U2/view?usp=drivesdk" TargetMode="External"/><Relationship Id="rId1366" Type="http://schemas.openxmlformats.org/officeDocument/2006/relationships/hyperlink" Target="https://drive.google.com/file/d/13TOUzaJ9ZpckTKFmBQzHj16T47wOOxb3/view?usp=drivesdk" TargetMode="External"/><Relationship Id="rId2697" Type="http://schemas.openxmlformats.org/officeDocument/2006/relationships/hyperlink" Target="https://drive.google.com/file/d/1QwvDUIwP8k8_tceiw8gs5O67-ecZ9v02/view?usp=drivesdk" TargetMode="External"/><Relationship Id="rId13410" Type="http://schemas.openxmlformats.org/officeDocument/2006/relationships/hyperlink" Target="https://drive.google.com/file/d/1PdGZB4hdxqGuhSw5GuH1rJ310jMQlAta/view?usp=drivesdk" TargetMode="External"/><Relationship Id="rId1390" Type="http://schemas.openxmlformats.org/officeDocument/2006/relationships/hyperlink" Target="https://drive.google.com/file/d/15Tr1EXZZZsAnoiBsJxLbKnoUK5QtN5if/view?usp=drivesdk" TargetMode="External"/><Relationship Id="rId1391" Type="http://schemas.openxmlformats.org/officeDocument/2006/relationships/hyperlink" Target="https://drive.google.com/file/d/1AniQiZh9hPk4BZv12o2Hc_sU1P48V5C_/view?usp=drivesdk" TargetMode="External"/><Relationship Id="rId1392" Type="http://schemas.openxmlformats.org/officeDocument/2006/relationships/hyperlink" Target="https://drive.google.com/file/d/1-hbSQfR59qm2_JR8ej-iKqjOkHq6qEUB/view?usp=drivesdk" TargetMode="External"/><Relationship Id="rId1393" Type="http://schemas.openxmlformats.org/officeDocument/2006/relationships/hyperlink" Target="https://drive.google.com/file/d/1e1C7hiU2qfjafOSe5-MO9-xNuKIPuaoc/view?usp=drivesdk" TargetMode="External"/><Relationship Id="rId1394" Type="http://schemas.openxmlformats.org/officeDocument/2006/relationships/hyperlink" Target="https://drive.google.com/file/d/1Nz3IMunOGeD-5SRn4pFBjZU9voV41a0F/view?usp=drivesdk" TargetMode="External"/><Relationship Id="rId1395" Type="http://schemas.openxmlformats.org/officeDocument/2006/relationships/hyperlink" Target="https://drive.google.com/file/d/1JiN5zqV6EwPSKbhecGD01tZ2vDyEieAG/view?usp=drivesdk" TargetMode="External"/><Relationship Id="rId1396" Type="http://schemas.openxmlformats.org/officeDocument/2006/relationships/hyperlink" Target="https://drive.google.com/file/d/1HACaVAMLVRXJI1vfRBW5JmccSWwddaBR/view?usp=drivesdk" TargetMode="External"/><Relationship Id="rId1397" Type="http://schemas.openxmlformats.org/officeDocument/2006/relationships/hyperlink" Target="https://drive.google.com/file/d/1IZLUapSXb2TeMJ3-h7eg8Ht5dXzhhh4j/view?usp=drivesdk" TargetMode="External"/><Relationship Id="rId1398" Type="http://schemas.openxmlformats.org/officeDocument/2006/relationships/hyperlink" Target="https://drive.google.com/file/d/11i4tl0YN0glXgCdPptU96yGWJMFbyhUE/view?usp=drivesdk" TargetMode="External"/><Relationship Id="rId1399" Type="http://schemas.openxmlformats.org/officeDocument/2006/relationships/hyperlink" Target="https://drive.google.com/file/d/1-MF1p-9q1TS74rUG_E_v10qTalh2v-TR/view?usp=drivesdk" TargetMode="External"/><Relationship Id="rId1389" Type="http://schemas.openxmlformats.org/officeDocument/2006/relationships/hyperlink" Target="https://drive.google.com/file/d/1PZk2l23RWWKn_8Qm4kQYX9u5OAdfVs9p/view?usp=drivesdk" TargetMode="External"/><Relationship Id="rId1380" Type="http://schemas.openxmlformats.org/officeDocument/2006/relationships/hyperlink" Target="https://drive.google.com/file/d/1zzLYIrLY8ZI7d-XIGqbCyqBc7CoYYzl6/view?usp=drivesdk" TargetMode="External"/><Relationship Id="rId1381" Type="http://schemas.openxmlformats.org/officeDocument/2006/relationships/hyperlink" Target="https://drive.google.com/file/d/1ucUfCHlMfXjbYAyei28jDGcMqG8Op9Mf/view?usp=drivesdk" TargetMode="External"/><Relationship Id="rId1382" Type="http://schemas.openxmlformats.org/officeDocument/2006/relationships/hyperlink" Target="https://drive.google.com/file/d/1d9KnkjYzRUHoAvEHrmZVlx6Yh252qnJQ/view?usp=drivesdk" TargetMode="External"/><Relationship Id="rId1383" Type="http://schemas.openxmlformats.org/officeDocument/2006/relationships/hyperlink" Target="https://drive.google.com/file/d/1-NYFhd1tgZgc5O3yVCxrt2_hOZ0AWPcA/view?usp=drivesdk" TargetMode="External"/><Relationship Id="rId1384" Type="http://schemas.openxmlformats.org/officeDocument/2006/relationships/hyperlink" Target="https://drive.google.com/file/d/1LVSx32mdzWN8kgvHWYzAilefhI-t8zKl/view?usp=drivesdk" TargetMode="External"/><Relationship Id="rId1385" Type="http://schemas.openxmlformats.org/officeDocument/2006/relationships/hyperlink" Target="https://drive.google.com/file/d/1xj4kOOc2V96bIvWKaoOKYl8LrPKLn8Vb/view?usp=drivesdk" TargetMode="External"/><Relationship Id="rId1386" Type="http://schemas.openxmlformats.org/officeDocument/2006/relationships/hyperlink" Target="https://drive.google.com/file/d/1yYDWb6a3k1CgITqDgyJeilQU29fEBnxJ/view?usp=drivesdk" TargetMode="External"/><Relationship Id="rId1387" Type="http://schemas.openxmlformats.org/officeDocument/2006/relationships/hyperlink" Target="https://drive.google.com/file/d/1DHH9zkNhgHTrhKrQeaaa5zumOLoC0iEZ/view?usp=drivesdk" TargetMode="External"/><Relationship Id="rId1388" Type="http://schemas.openxmlformats.org/officeDocument/2006/relationships/hyperlink" Target="https://drive.google.com/file/d/1dUMAJncer-uqF8hq9RS-rRMhXJ-PRZ0I/view?usp=drivesdk" TargetMode="External"/><Relationship Id="rId13291" Type="http://schemas.openxmlformats.org/officeDocument/2006/relationships/hyperlink" Target="https://drive.google.com/file/d/1vn3i35Z_vn5ID77b-LsFwNPE4SU_WGdY/view?usp=drivesdk" TargetMode="External"/><Relationship Id="rId13290" Type="http://schemas.openxmlformats.org/officeDocument/2006/relationships/hyperlink" Target="https://drive.google.com/file/d/1tIxHirys1lti5iTer2yae2ZZCq8Kn93N/view?usp=drivesdk" TargetMode="External"/><Relationship Id="rId2700" Type="http://schemas.openxmlformats.org/officeDocument/2006/relationships/hyperlink" Target="https://drive.google.com/file/d/1UdDt_63-mYJVO6RugKLO3B2xRJkkbspG/view?usp=drivesdk" TargetMode="External"/><Relationship Id="rId2701" Type="http://schemas.openxmlformats.org/officeDocument/2006/relationships/hyperlink" Target="https://drive.google.com/file/d/18sEi9HzB6fn0_6VVTA7c4xbH9nTV718o/view?usp=drivesdk" TargetMode="External"/><Relationship Id="rId2702" Type="http://schemas.openxmlformats.org/officeDocument/2006/relationships/hyperlink" Target="https://drive.google.com/file/d/1x0t0ifhaYt94jqAn_i3dN24qRa2KhN_6/view?usp=drivesdk" TargetMode="External"/><Relationship Id="rId13295" Type="http://schemas.openxmlformats.org/officeDocument/2006/relationships/hyperlink" Target="https://drive.google.com/file/d/1jyznXzV0Cp02lzkjQHZw88oH9eTIH0X5/view?usp=drivesdk" TargetMode="External"/><Relationship Id="rId2703" Type="http://schemas.openxmlformats.org/officeDocument/2006/relationships/hyperlink" Target="https://drive.google.com/file/d/1sD4NVJ0-UmrcsnqEJkCE4TrFefuFPvOh/view?usp=drivesdk" TargetMode="External"/><Relationship Id="rId13294" Type="http://schemas.openxmlformats.org/officeDocument/2006/relationships/hyperlink" Target="https://drive.google.com/file/d/1F_cb5Rf28_LIyrTr6kFD17qI88JPQX6P/view?usp=drivesdk" TargetMode="External"/><Relationship Id="rId2704" Type="http://schemas.openxmlformats.org/officeDocument/2006/relationships/hyperlink" Target="https://drive.google.com/file/d/1lKStS89w8zr1uMucRrwL8vxkLoGiHLun/view?usp=drivesdk" TargetMode="External"/><Relationship Id="rId13293" Type="http://schemas.openxmlformats.org/officeDocument/2006/relationships/hyperlink" Target="https://drive.google.com/file/d/1Lo-lpg5tjt2iO_BOhKvEdJUpMU0qW0Ub/view?usp=drivesdk" TargetMode="External"/><Relationship Id="rId2705" Type="http://schemas.openxmlformats.org/officeDocument/2006/relationships/hyperlink" Target="https://drive.google.com/file/d/1gpNwModp0cmn0jMxVh7cxJLBQpecrCxd/view?usp=drivesdk" TargetMode="External"/><Relationship Id="rId13292" Type="http://schemas.openxmlformats.org/officeDocument/2006/relationships/hyperlink" Target="https://drive.google.com/file/d/1aDiUt-SPDb2VtMIdHvfT16oieulJLQkh/view?usp=drivesdk" TargetMode="External"/><Relationship Id="rId2706" Type="http://schemas.openxmlformats.org/officeDocument/2006/relationships/hyperlink" Target="https://drive.google.com/file/d/1sUo02oMEqFTl_ZvOewe4Lq3voEOJzr_N/view?usp=drivesdk" TargetMode="External"/><Relationship Id="rId2707" Type="http://schemas.openxmlformats.org/officeDocument/2006/relationships/hyperlink" Target="https://drive.google.com/file/d/1wdyVp9NOUPMwhUEdcoCA31mWA29jdJJK/view?usp=drivesdk" TargetMode="External"/><Relationship Id="rId2708" Type="http://schemas.openxmlformats.org/officeDocument/2006/relationships/hyperlink" Target="https://drive.google.com/file/d/1FaxWdkv3IwplLjsZGLhmVPE22w6ZboSy/view?usp=drivesdk" TargetMode="External"/><Relationship Id="rId2709" Type="http://schemas.openxmlformats.org/officeDocument/2006/relationships/hyperlink" Target="https://drive.google.com/file/d/1DV0cWia07ug0It1iy1G8cZ1b46ZZWmae/view?usp=drivesdk" TargetMode="External"/><Relationship Id="rId13288" Type="http://schemas.openxmlformats.org/officeDocument/2006/relationships/hyperlink" Target="https://drive.google.com/file/d/1oJ6snn9HUTLfoyv81E3lBBC4cZywRF0F/view?usp=drivesdk" TargetMode="External"/><Relationship Id="rId13287" Type="http://schemas.openxmlformats.org/officeDocument/2006/relationships/hyperlink" Target="https://drive.google.com/file/d/1Vt3f4QZ1ULJVQhP1OskicOtZu5DNTXLb/view?usp=drivesdk" TargetMode="External"/><Relationship Id="rId13286" Type="http://schemas.openxmlformats.org/officeDocument/2006/relationships/hyperlink" Target="https://drive.google.com/file/d/19szWrPVBMov-wGpSmg4tpPHc2woHopiH/view?usp=drivesdk" TargetMode="External"/><Relationship Id="rId13285" Type="http://schemas.openxmlformats.org/officeDocument/2006/relationships/hyperlink" Target="https://drive.google.com/file/d/1jsVqYLpbC2PIut12g2mePW8bE-9zsMNd/view?usp=drivesdk" TargetMode="External"/><Relationship Id="rId13289" Type="http://schemas.openxmlformats.org/officeDocument/2006/relationships/hyperlink" Target="https://drive.google.com/file/d/1ldLq6SJIb8JAcJfnyz7T42E_txjQ8wW_/view?usp=drivesdk" TargetMode="External"/><Relationship Id="rId13299" Type="http://schemas.openxmlformats.org/officeDocument/2006/relationships/hyperlink" Target="https://drive.google.com/file/d/16dvvQBLkY4u2X-vdL7dhLTLnkJsucruT/view?usp=drivesdk" TargetMode="External"/><Relationship Id="rId13298" Type="http://schemas.openxmlformats.org/officeDocument/2006/relationships/hyperlink" Target="https://drive.google.com/file/d/1KkT6d-LvHUi6WnUkTulte-1zmRaDsCFk/view?usp=drivesdk" TargetMode="External"/><Relationship Id="rId13297" Type="http://schemas.openxmlformats.org/officeDocument/2006/relationships/hyperlink" Target="https://drive.google.com/file/d/1cwdq3EIECBV8nbdDyFsWDrSKS59febz1/view?usp=drivesdk" TargetMode="External"/><Relationship Id="rId13296" Type="http://schemas.openxmlformats.org/officeDocument/2006/relationships/hyperlink" Target="https://drive.google.com/file/d/12FO0-WeomhUfhD1ulKjuqLLUpHHsBJrY/view?usp=drivesdk" TargetMode="External"/><Relationship Id="rId2720" Type="http://schemas.openxmlformats.org/officeDocument/2006/relationships/hyperlink" Target="https://drive.google.com/file/d/1ocaACcEb79MG3-bikqG48SMlnKO5S1pC/view?usp=drivesdk" TargetMode="External"/><Relationship Id="rId2721" Type="http://schemas.openxmlformats.org/officeDocument/2006/relationships/hyperlink" Target="https://drive.google.com/file/d/1y9R-fZK347OYdUpFcgHh0d_JoSaQVV8w/view?usp=drivesdk" TargetMode="External"/><Relationship Id="rId2722" Type="http://schemas.openxmlformats.org/officeDocument/2006/relationships/hyperlink" Target="https://drive.google.com/file/d/1u9_E64qywb4LS_NQCTh3avhQEpBTksT7/view?usp=drivesdk" TargetMode="External"/><Relationship Id="rId2723" Type="http://schemas.openxmlformats.org/officeDocument/2006/relationships/hyperlink" Target="https://drive.google.com/file/d/1GBLiksPewj-WMx3Sn8JW7vH9ZOyPKjjG/view?usp=drivesdk" TargetMode="External"/><Relationship Id="rId2724" Type="http://schemas.openxmlformats.org/officeDocument/2006/relationships/hyperlink" Target="https://drive.google.com/file/d/1LzEwPfaxmOlOHy1oebrDyE9Cn2ryQfKc/view?usp=drivesdk" TargetMode="External"/><Relationship Id="rId13273" Type="http://schemas.openxmlformats.org/officeDocument/2006/relationships/hyperlink" Target="https://drive.google.com/file/d/113U_4h79I2k8UnMIlacgnB70aBLQDepQ/view?usp=drivesdk" TargetMode="External"/><Relationship Id="rId2725" Type="http://schemas.openxmlformats.org/officeDocument/2006/relationships/hyperlink" Target="https://drive.google.com/file/d/19n-vvK_DpOWO50ZFKvRvDgC3U1nA9t9b/view?usp=drivesdk" TargetMode="External"/><Relationship Id="rId13272" Type="http://schemas.openxmlformats.org/officeDocument/2006/relationships/hyperlink" Target="https://drive.google.com/file/d/1jfjyY0RDNZ1Os_cB_IqbGkdsIyNeijIX/view?usp=drivesdk" TargetMode="External"/><Relationship Id="rId2726" Type="http://schemas.openxmlformats.org/officeDocument/2006/relationships/hyperlink" Target="https://drive.google.com/file/d/1tkU_vnz7LNh4TopDqIZ0vlQGDZ6Mgjd2/view?usp=drivesdk" TargetMode="External"/><Relationship Id="rId13271" Type="http://schemas.openxmlformats.org/officeDocument/2006/relationships/hyperlink" Target="https://drive.google.com/file/d/1mVSy68dQ8tBAEGfjmzBrimxte5igQYjT/view?usp=drivesdk" TargetMode="External"/><Relationship Id="rId2727" Type="http://schemas.openxmlformats.org/officeDocument/2006/relationships/hyperlink" Target="https://drive.google.com/file/d/1TsgfMjC29IhtcZHR7fIEH3bu7Le1kPYe/view?usp=drivesdk" TargetMode="External"/><Relationship Id="rId13270" Type="http://schemas.openxmlformats.org/officeDocument/2006/relationships/hyperlink" Target="https://drive.google.com/file/d/11huj-ft1fuMfk-rZcG_rZC-_Rbea2-ah/view?usp=drivesdk" TargetMode="External"/><Relationship Id="rId2728" Type="http://schemas.openxmlformats.org/officeDocument/2006/relationships/hyperlink" Target="https://drive.google.com/file/d/13aZ3GuZgOKwNWhaYUlfNEAPIheGrldzY/view?usp=drivesdk" TargetMode="External"/><Relationship Id="rId2729" Type="http://schemas.openxmlformats.org/officeDocument/2006/relationships/hyperlink" Target="https://drive.google.com/file/d/1L8IfumKnqdT3sMCUkr7_N-8-A0jQ5ael/view?usp=drivesdk" TargetMode="External"/><Relationship Id="rId13266" Type="http://schemas.openxmlformats.org/officeDocument/2006/relationships/hyperlink" Target="https://drive.google.com/file/d/1bpPTt1TzxUoPdRFVj1TzJvPKU2TTRXRj/view?usp=drivesdk" TargetMode="External"/><Relationship Id="rId13265" Type="http://schemas.openxmlformats.org/officeDocument/2006/relationships/hyperlink" Target="https://drive.google.com/file/d/1nXPQ_wgzsi9G4d7M3opXGX0xZGoGPKdn/view?usp=drivesdk" TargetMode="External"/><Relationship Id="rId13264" Type="http://schemas.openxmlformats.org/officeDocument/2006/relationships/hyperlink" Target="https://drive.google.com/file/d/1BLlJfrrniORBPb9DcWYfLLeltTkiqARm/view?usp=drivesdk" TargetMode="External"/><Relationship Id="rId13263" Type="http://schemas.openxmlformats.org/officeDocument/2006/relationships/hyperlink" Target="https://drive.google.com/file/d/1HCLqQZ9x-h0JNjEGTXKvsKG9eOX1VKgW/view?usp=drivesdk" TargetMode="External"/><Relationship Id="rId13269" Type="http://schemas.openxmlformats.org/officeDocument/2006/relationships/hyperlink" Target="https://drive.google.com/file/d/1QUm7-X5Q0vf9i4w4CYtFc9OsauHSmpS-/view?usp=drivesdk" TargetMode="External"/><Relationship Id="rId13268" Type="http://schemas.openxmlformats.org/officeDocument/2006/relationships/hyperlink" Target="https://drive.google.com/file/d/1afgu2GeyfV8U3l3Zv79tySLI6htNa6q3/view?usp=drivesdk" TargetMode="External"/><Relationship Id="rId13267" Type="http://schemas.openxmlformats.org/officeDocument/2006/relationships/hyperlink" Target="https://drive.google.com/file/d/1WGgYCHstjditwqkP1tn4-nKJvf9UuWi8/view?usp=drivesdk" TargetMode="External"/><Relationship Id="rId13280" Type="http://schemas.openxmlformats.org/officeDocument/2006/relationships/hyperlink" Target="https://drive.google.com/file/d/1bjFYivT70Sbdzahhldn6N8V_YWia6eUQ/view?usp=drivesdk" TargetMode="External"/><Relationship Id="rId2710" Type="http://schemas.openxmlformats.org/officeDocument/2006/relationships/hyperlink" Target="https://drive.google.com/file/d/11Vo2UPL5uIhP9NVq6qeas77RysOZF5mA/view?usp=drivesdk" TargetMode="External"/><Relationship Id="rId2711" Type="http://schemas.openxmlformats.org/officeDocument/2006/relationships/hyperlink" Target="https://drive.google.com/file/d/1QgVXd0Sj1rgPwnrtooe3dS-EHMJ8KEhM/view?usp=drivesdk" TargetMode="External"/><Relationship Id="rId2712" Type="http://schemas.openxmlformats.org/officeDocument/2006/relationships/hyperlink" Target="https://drive.google.com/file/d/1vgGnJE9yFnKnBmJKUSskgvzGyIKquTO3/view?usp=drivesdk" TargetMode="External"/><Relationship Id="rId2713" Type="http://schemas.openxmlformats.org/officeDocument/2006/relationships/hyperlink" Target="https://drive.google.com/file/d/12w8vRT5UQwJN2yRC4QCw6nldTCgBk9_A/view?usp=drivesdk" TargetMode="External"/><Relationship Id="rId13284" Type="http://schemas.openxmlformats.org/officeDocument/2006/relationships/hyperlink" Target="https://drive.google.com/file/d/1LLEJfKI7C66hJavhSKGWCbYTXFPDkQW6/view?usp=drivesdk" TargetMode="External"/><Relationship Id="rId2714" Type="http://schemas.openxmlformats.org/officeDocument/2006/relationships/hyperlink" Target="https://drive.google.com/file/d/1r7orGWC6fBmUj1_9wAf1KwNq86W0fgfe/view?usp=drivesdk" TargetMode="External"/><Relationship Id="rId13283" Type="http://schemas.openxmlformats.org/officeDocument/2006/relationships/hyperlink" Target="https://drive.google.com/file/d/1Z4aOhUH-_zHwZgsnmn1pC6qvYU9uxUnj/view?usp=drivesdk" TargetMode="External"/><Relationship Id="rId2715" Type="http://schemas.openxmlformats.org/officeDocument/2006/relationships/hyperlink" Target="https://drive.google.com/file/d/1TCX5VU-9UXHBGu4bY1cSTAyXq7S5pQb3/view?usp=drivesdk" TargetMode="External"/><Relationship Id="rId13282" Type="http://schemas.openxmlformats.org/officeDocument/2006/relationships/hyperlink" Target="https://drive.google.com/file/d/1qTC7Rl4QbjEwiQqxeD17rIm0uImUYv8v/view?usp=drivesdk" TargetMode="External"/><Relationship Id="rId2716" Type="http://schemas.openxmlformats.org/officeDocument/2006/relationships/hyperlink" Target="https://drive.google.com/file/d/1P0Ly35SUDX0y-foOa2TypX6UBAzI-xYl/view?usp=drivesdk" TargetMode="External"/><Relationship Id="rId13281" Type="http://schemas.openxmlformats.org/officeDocument/2006/relationships/hyperlink" Target="https://drive.google.com/file/d/12a-NFARf0VR-lpinM9VeL5oPRD7FENVz/view?usp=drivesdk" TargetMode="External"/><Relationship Id="rId2717" Type="http://schemas.openxmlformats.org/officeDocument/2006/relationships/hyperlink" Target="https://drive.google.com/file/d/1MoLdLCiu1z3sm9FVoYFDvllWiLzWw4Tm/view?usp=drivesdk" TargetMode="External"/><Relationship Id="rId2718" Type="http://schemas.openxmlformats.org/officeDocument/2006/relationships/hyperlink" Target="https://drive.google.com/file/d/1f5qhT6tlFgwj5fIZsSnK5tViCsowphoP/view?usp=drivesdk" TargetMode="External"/><Relationship Id="rId2719" Type="http://schemas.openxmlformats.org/officeDocument/2006/relationships/hyperlink" Target="https://drive.google.com/file/d/11z8UY6ED98UBXsTV0lGYox7h_zA9uCdT/view?usp=drivesdk" TargetMode="External"/><Relationship Id="rId13277" Type="http://schemas.openxmlformats.org/officeDocument/2006/relationships/hyperlink" Target="https://drive.google.com/file/d/1BDExTEh5AFxXU4-F4XlonKyXv46XPCsV/view?usp=drivesdk" TargetMode="External"/><Relationship Id="rId13276" Type="http://schemas.openxmlformats.org/officeDocument/2006/relationships/hyperlink" Target="https://drive.google.com/file/d/1XSu7s1uEKNAnd3YOLgwh_0TVm7h_ai1k/view?usp=drivesdk" TargetMode="External"/><Relationship Id="rId13275" Type="http://schemas.openxmlformats.org/officeDocument/2006/relationships/hyperlink" Target="https://drive.google.com/file/d/13V5tmodJN7Kjy2vWk9V2N4BCoCQ2hf_b/view?usp=drivesdk" TargetMode="External"/><Relationship Id="rId13274" Type="http://schemas.openxmlformats.org/officeDocument/2006/relationships/hyperlink" Target="https://drive.google.com/file/d/1rkQWch3iv_3bQkF-rexAOaU56_AActbG/view?usp=drivesdk" TargetMode="External"/><Relationship Id="rId13279" Type="http://schemas.openxmlformats.org/officeDocument/2006/relationships/hyperlink" Target="https://drive.google.com/file/d/1LvwAh3vlwM9zMbzjP7C3OaYB6sCTIGX7/view?usp=drivesdk" TargetMode="External"/><Relationship Id="rId13278" Type="http://schemas.openxmlformats.org/officeDocument/2006/relationships/hyperlink" Target="https://drive.google.com/file/d/1zeip2tBW9ouHw3mYbOFO31cthjy9SuXl/view?usp=drivesdk" TargetMode="External"/><Relationship Id="rId1455" Type="http://schemas.openxmlformats.org/officeDocument/2006/relationships/hyperlink" Target="https://drive.google.com/file/d/1MrT_SGaUHrx--kCItmW1pl9UhJNDNP2E/view?usp=drivesdk" TargetMode="External"/><Relationship Id="rId2786" Type="http://schemas.openxmlformats.org/officeDocument/2006/relationships/hyperlink" Target="https://drive.google.com/file/d/1kf4zjEJOW9Y7lIQiEtWpZ_XkMP_bjz8k/view?usp=drivesdk" TargetMode="External"/><Relationship Id="rId1456" Type="http://schemas.openxmlformats.org/officeDocument/2006/relationships/hyperlink" Target="https://drive.google.com/file/d/1SU5ffD-pLu3xGzy8Iuk8zoikh6totvjN/view?usp=drivesdk" TargetMode="External"/><Relationship Id="rId2787" Type="http://schemas.openxmlformats.org/officeDocument/2006/relationships/hyperlink" Target="https://drive.google.com/file/d/1SfqS3xkEliTj2zelHWeCQwyKrT9-EiFp/view?usp=drivesdk" TargetMode="External"/><Relationship Id="rId1457" Type="http://schemas.openxmlformats.org/officeDocument/2006/relationships/hyperlink" Target="https://drive.google.com/file/d/1YuwSmeEj1EO6qF609liaB0KuK9HGblsL/view?usp=drivesdk" TargetMode="External"/><Relationship Id="rId2788" Type="http://schemas.openxmlformats.org/officeDocument/2006/relationships/hyperlink" Target="https://drive.google.com/file/d/1Ih2s4LNmIxfCecub5zpLwL-jXFvX9IS6/view?usp=drivesdk" TargetMode="External"/><Relationship Id="rId1458" Type="http://schemas.openxmlformats.org/officeDocument/2006/relationships/hyperlink" Target="https://drive.google.com/file/d/1etaBrzO0vduOZ57R-EQx6M2kopaLate3/view?usp=drivesdk" TargetMode="External"/><Relationship Id="rId2789" Type="http://schemas.openxmlformats.org/officeDocument/2006/relationships/hyperlink" Target="https://drive.google.com/file/d/174Q0jOnDffxphOGCBUgrq4xIhL8hDss5/view?usp=drivesdk" TargetMode="External"/><Relationship Id="rId1459" Type="http://schemas.openxmlformats.org/officeDocument/2006/relationships/hyperlink" Target="https://drive.google.com/file/d/1GmBLLf_4IH5byFdP66gPCKtPzRtTSUhu/view?usp=drivesdk" TargetMode="External"/><Relationship Id="rId13329" Type="http://schemas.openxmlformats.org/officeDocument/2006/relationships/hyperlink" Target="https://drive.google.com/file/d/14nUMyQz7NVQ7rqtrMmbzl5e6eFVjTFC4/view?usp=drivesdk" TargetMode="External"/><Relationship Id="rId13328" Type="http://schemas.openxmlformats.org/officeDocument/2006/relationships/hyperlink" Target="https://drive.google.com/file/d/1k9z-gXHlGFsfP-amv5_nsLb9mJA5cfcx/view?usp=drivesdk" TargetMode="External"/><Relationship Id="rId13327" Type="http://schemas.openxmlformats.org/officeDocument/2006/relationships/hyperlink" Target="https://drive.google.com/file/d/1KO6ZS_lq3q2cV1VXHwXTZQNP4-ctlPLc/view?usp=drivesdk" TargetMode="External"/><Relationship Id="rId13326" Type="http://schemas.openxmlformats.org/officeDocument/2006/relationships/hyperlink" Target="https://drive.google.com/file/d/1Xb2RWXjaqON1IAUTFB3kntTQsQ4urS47/view?usp=drivesdk" TargetMode="External"/><Relationship Id="rId13321" Type="http://schemas.openxmlformats.org/officeDocument/2006/relationships/hyperlink" Target="https://drive.google.com/file/d/1DVC_ItrAy9eU67j6kKZHgMvRhv5wVJYd/view?usp=drivesdk" TargetMode="External"/><Relationship Id="rId13320" Type="http://schemas.openxmlformats.org/officeDocument/2006/relationships/hyperlink" Target="https://drive.google.com/file/d/1n3oQZOLM0jIQY8cdlz8ujLjCQGbXT1qT/view?usp=drivesdk" TargetMode="External"/><Relationship Id="rId2780" Type="http://schemas.openxmlformats.org/officeDocument/2006/relationships/hyperlink" Target="https://drive.google.com/file/d/1xVV9Lb8y7-OhDrIETl2Wx5DAo3xnbyut/view?usp=drivesdk" TargetMode="External"/><Relationship Id="rId1450" Type="http://schemas.openxmlformats.org/officeDocument/2006/relationships/hyperlink" Target="https://drive.google.com/file/d/1EpnIJRRxWtdJQT-s8K3JaLWBPFGwA6F4/view?usp=drivesdk" TargetMode="External"/><Relationship Id="rId2781" Type="http://schemas.openxmlformats.org/officeDocument/2006/relationships/hyperlink" Target="https://drive.google.com/file/d/1R7axKR9X6nmg-kyDCTuMSKRdVKE761M8/view?usp=drivesdk" TargetMode="External"/><Relationship Id="rId1451" Type="http://schemas.openxmlformats.org/officeDocument/2006/relationships/hyperlink" Target="https://drive.google.com/file/d/133Azy0q0nzQqx_Q2PzW38cRvhvDWdt1V/view?usp=drivesdk" TargetMode="External"/><Relationship Id="rId2782" Type="http://schemas.openxmlformats.org/officeDocument/2006/relationships/hyperlink" Target="https://drive.google.com/file/d/1JZVN3WHB9t-BzjfpXswvWX8XB98fmyti/view?usp=drivesdk" TargetMode="External"/><Relationship Id="rId13325" Type="http://schemas.openxmlformats.org/officeDocument/2006/relationships/hyperlink" Target="https://drive.google.com/file/d/1We0dESepj7tx13SbyQCncAmJ1cxHCQNL/view?usp=drivesdk" TargetMode="External"/><Relationship Id="rId1452" Type="http://schemas.openxmlformats.org/officeDocument/2006/relationships/hyperlink" Target="https://drive.google.com/file/d/1yT0db5kBd3N55yjVhZ9oSylkR2PLeO3l/view?usp=drivesdk" TargetMode="External"/><Relationship Id="rId2783" Type="http://schemas.openxmlformats.org/officeDocument/2006/relationships/hyperlink" Target="https://drive.google.com/file/d/12RHGOegiYczhyLyooqcxOpN_tAQpQVI3/view?usp=drivesdk" TargetMode="External"/><Relationship Id="rId13324" Type="http://schemas.openxmlformats.org/officeDocument/2006/relationships/hyperlink" Target="https://drive.google.com/file/d/1GxYYSZt6taZw5DQrlEmcpg5rFZBhis8X/view?usp=drivesdk" TargetMode="External"/><Relationship Id="rId1453" Type="http://schemas.openxmlformats.org/officeDocument/2006/relationships/hyperlink" Target="https://drive.google.com/file/d/1hf_kZpYMQdp3XUYjZcaSDj1uJQM_RfXR/view?usp=drivesdk" TargetMode="External"/><Relationship Id="rId2784" Type="http://schemas.openxmlformats.org/officeDocument/2006/relationships/hyperlink" Target="https://drive.google.com/file/d/1fqt7s4c8KF5Er3xPQsqFs4ZOAt5dJXDF/view?usp=drivesdk" TargetMode="External"/><Relationship Id="rId13323" Type="http://schemas.openxmlformats.org/officeDocument/2006/relationships/hyperlink" Target="https://drive.google.com/file/d/1Z3BQvEvfsI0MaxbT4Cqf1-ViJks8B19g/view?usp=drivesdk" TargetMode="External"/><Relationship Id="rId1454" Type="http://schemas.openxmlformats.org/officeDocument/2006/relationships/hyperlink" Target="https://drive.google.com/file/d/1vLIOuVW6H2ayqdQ3WvFnWHgWnnuYSiWI/view?usp=drivesdk" TargetMode="External"/><Relationship Id="rId2785" Type="http://schemas.openxmlformats.org/officeDocument/2006/relationships/hyperlink" Target="https://drive.google.com/file/d/1-GPYNj17tAkFgZWQdFFOrdcJy3lLLlWS/view?usp=drivesdk" TargetMode="External"/><Relationship Id="rId13322" Type="http://schemas.openxmlformats.org/officeDocument/2006/relationships/hyperlink" Target="https://drive.google.com/file/d/1k33Ya9hIn2w2y_k4CgBlJdWYKywYxJKE/view?usp=drivesdk" TargetMode="External"/><Relationship Id="rId1444" Type="http://schemas.openxmlformats.org/officeDocument/2006/relationships/hyperlink" Target="https://drive.google.com/file/d/1im0zkBhppFnufuXbEZu_6XTVbSucG6p8/view?usp=drivesdk" TargetMode="External"/><Relationship Id="rId2775" Type="http://schemas.openxmlformats.org/officeDocument/2006/relationships/hyperlink" Target="https://drive.google.com/file/d/1M5Zvn8WU6a8nDu3JuwVr--eW11IAL8A3/view?usp=drivesdk" TargetMode="External"/><Relationship Id="rId1445" Type="http://schemas.openxmlformats.org/officeDocument/2006/relationships/hyperlink" Target="https://drive.google.com/file/d/1-28taPWKjEDcRhTzqMs7DByeC_HUYOp1/view?usp=drivesdk" TargetMode="External"/><Relationship Id="rId2776" Type="http://schemas.openxmlformats.org/officeDocument/2006/relationships/hyperlink" Target="https://drive.google.com/file/d/1tdtqgP5RS3VijDHqumD9gu8zLQ13xm83/view?usp=drivesdk" TargetMode="External"/><Relationship Id="rId1446" Type="http://schemas.openxmlformats.org/officeDocument/2006/relationships/hyperlink" Target="https://drive.google.com/file/d/1CRFfDHJidWL-8mIRH6Pa3nV4f_2U-zWW/view?usp=drivesdk" TargetMode="External"/><Relationship Id="rId2777" Type="http://schemas.openxmlformats.org/officeDocument/2006/relationships/hyperlink" Target="https://drive.google.com/file/d/1qcQxiqQDWJKs7Kv1hoU_cLkGok4I0wvD/view?usp=drivesdk" TargetMode="External"/><Relationship Id="rId1447" Type="http://schemas.openxmlformats.org/officeDocument/2006/relationships/hyperlink" Target="https://drive.google.com/file/d/1FMPOzNTsxp3HYSyzUY0dFIG4tMw9IfuM/view?usp=drivesdk" TargetMode="External"/><Relationship Id="rId2778" Type="http://schemas.openxmlformats.org/officeDocument/2006/relationships/hyperlink" Target="https://drive.google.com/file/d/10hDviPC5GRBda1pMICNUG4bHW9DmYRwy/view?usp=drivesdk" TargetMode="External"/><Relationship Id="rId1448" Type="http://schemas.openxmlformats.org/officeDocument/2006/relationships/hyperlink" Target="https://drive.google.com/file/d/1yXuNRqKIn1nK5tEaIc8OY9WaG2AwIt3t/view?usp=drivesdk" TargetMode="External"/><Relationship Id="rId2779" Type="http://schemas.openxmlformats.org/officeDocument/2006/relationships/hyperlink" Target="https://drive.google.com/file/d/1GtwoHtRpuLlmfl19QyUilfcjCMAvSCyq/view?usp=drivesdk" TargetMode="External"/><Relationship Id="rId1449" Type="http://schemas.openxmlformats.org/officeDocument/2006/relationships/hyperlink" Target="https://drive.google.com/file/d/1cOycetZzw--nSENWbLfL3lRy5oBcy1AI/view?usp=drivesdk" TargetMode="External"/><Relationship Id="rId12009" Type="http://schemas.openxmlformats.org/officeDocument/2006/relationships/hyperlink" Target="https://drive.google.com/file/d/1OnLypR9RVuL7waEdHMV8nFTEhf7KIn_2/view?usp=drivesdk" TargetMode="External"/><Relationship Id="rId12008" Type="http://schemas.openxmlformats.org/officeDocument/2006/relationships/hyperlink" Target="https://drive.google.com/file/d/1iBlo0r6l1AowD2OygN1YHrvwiIMAsK4u/view?usp=drivesdk" TargetMode="External"/><Relationship Id="rId13339" Type="http://schemas.openxmlformats.org/officeDocument/2006/relationships/hyperlink" Target="https://drive.google.com/file/d/1P5FaY1LTWQksFmNiwSDHdvRUmcLiHwSW/view?usp=drivesdk" TargetMode="External"/><Relationship Id="rId12007" Type="http://schemas.openxmlformats.org/officeDocument/2006/relationships/hyperlink" Target="https://drive.google.com/file/d/1c-xvHPRpspPh2wwpDlj01SWIar3LvhIs/view?usp=drivesdk" TargetMode="External"/><Relationship Id="rId13338" Type="http://schemas.openxmlformats.org/officeDocument/2006/relationships/hyperlink" Target="https://drive.google.com/file/d/12a8-LJB98zLqyIFyL-nQy0bcgmQ5mVeP/view?usp=drivesdk" TargetMode="External"/><Relationship Id="rId12006" Type="http://schemas.openxmlformats.org/officeDocument/2006/relationships/hyperlink" Target="https://drive.google.com/file/d/1bKXVlKajtRMuHWjuNFa_eV9t-nJj_GCz/view?usp=drivesdk" TargetMode="External"/><Relationship Id="rId13337" Type="http://schemas.openxmlformats.org/officeDocument/2006/relationships/hyperlink" Target="https://drive.google.com/file/d/1eKOoY-btjOEhNeJhQkXLObAtrnxwjNyP/view?usp=drivesdk" TargetMode="External"/><Relationship Id="rId12001" Type="http://schemas.openxmlformats.org/officeDocument/2006/relationships/hyperlink" Target="https://drive.google.com/file/d/1SPt8aCnvfH3lPg3xKPZt8HMIUWUPlaZt/view?usp=drivesdk" TargetMode="External"/><Relationship Id="rId13332" Type="http://schemas.openxmlformats.org/officeDocument/2006/relationships/hyperlink" Target="https://drive.google.com/file/d/19b9LaH1ZbIZElfhcZPreL2sVZleUOOmW/view?usp=drivesdk" TargetMode="External"/><Relationship Id="rId12000" Type="http://schemas.openxmlformats.org/officeDocument/2006/relationships/hyperlink" Target="https://drive.google.com/file/d/1NwsgyUFEZyRCoGd91A20Jfjq1dptitGw/view?usp=drivesdk" TargetMode="External"/><Relationship Id="rId13331" Type="http://schemas.openxmlformats.org/officeDocument/2006/relationships/hyperlink" Target="https://drive.google.com/file/d/1mSdJAuVsRUTkMty9wQLBwIv3ycUlHALz/view?usp=drivesdk" TargetMode="External"/><Relationship Id="rId13330" Type="http://schemas.openxmlformats.org/officeDocument/2006/relationships/hyperlink" Target="https://drive.google.com/file/d/1Bx_SDAAB-zBIVbVEXWBW_YNl4l7KUcc4/view?usp=drivesdk" TargetMode="External"/><Relationship Id="rId2770" Type="http://schemas.openxmlformats.org/officeDocument/2006/relationships/hyperlink" Target="https://drive.google.com/file/d/1p6sdr8lSTK_sUjvJzsMOk_v4OIiTlzja/view?usp=drivesdk" TargetMode="External"/><Relationship Id="rId1440" Type="http://schemas.openxmlformats.org/officeDocument/2006/relationships/hyperlink" Target="https://drive.google.com/file/d/1eASRsqN5qjG1X2h1mQeVicErurAoOBQE/view?usp=drivesdk" TargetMode="External"/><Relationship Id="rId2771" Type="http://schemas.openxmlformats.org/officeDocument/2006/relationships/hyperlink" Target="https://drive.google.com/file/d/12rtjZhQV98fyEJaCj-RvPB2xm3qJaFT7/view?usp=drivesdk" TargetMode="External"/><Relationship Id="rId12005" Type="http://schemas.openxmlformats.org/officeDocument/2006/relationships/hyperlink" Target="https://drive.google.com/file/d/1Cqc4U7X9QWDLmtSA3H9JFHAjNxfs9nmJ/view?usp=drivesdk" TargetMode="External"/><Relationship Id="rId13336" Type="http://schemas.openxmlformats.org/officeDocument/2006/relationships/hyperlink" Target="https://drive.google.com/file/d/1SKk3p1G54gx6zNvpSyq9VFAYsv8cYYwI/view?usp=drivesdk" TargetMode="External"/><Relationship Id="rId1441" Type="http://schemas.openxmlformats.org/officeDocument/2006/relationships/hyperlink" Target="https://drive.google.com/file/d/1Fu4RwDhhM9fONIesPJFvgxB9FBK19N_x/view?usp=drivesdk" TargetMode="External"/><Relationship Id="rId2772" Type="http://schemas.openxmlformats.org/officeDocument/2006/relationships/hyperlink" Target="https://drive.google.com/file/d/1KcfJnine8yRREabCFCyHnSRH2wG3LjSu/view?usp=drivesdk" TargetMode="External"/><Relationship Id="rId12004" Type="http://schemas.openxmlformats.org/officeDocument/2006/relationships/hyperlink" Target="https://drive.google.com/file/d/1nIyDS9UHkpB5jqTmc3OUPIK6-_WvQAZB/view?usp=drivesdk" TargetMode="External"/><Relationship Id="rId13335" Type="http://schemas.openxmlformats.org/officeDocument/2006/relationships/hyperlink" Target="https://drive.google.com/file/d/1nv1d7HbcvFZmSml35KpPbVu3mMujJz-G/view?usp=drivesdk" TargetMode="External"/><Relationship Id="rId1442" Type="http://schemas.openxmlformats.org/officeDocument/2006/relationships/hyperlink" Target="https://drive.google.com/file/d/1jchk1t1MUB2HoskGUeAPk_Rl2U8RDHim/view?usp=drivesdk" TargetMode="External"/><Relationship Id="rId2773" Type="http://schemas.openxmlformats.org/officeDocument/2006/relationships/hyperlink" Target="https://drive.google.com/file/d/15RYmGez_OVdHl-U3XU6LudZEAAKR_KGt/view?usp=drivesdk" TargetMode="External"/><Relationship Id="rId12003" Type="http://schemas.openxmlformats.org/officeDocument/2006/relationships/hyperlink" Target="https://drive.google.com/file/d/1oVy2XmdULyoTeWzM1UvaAOau7n_O3u57/view?usp=drivesdk" TargetMode="External"/><Relationship Id="rId13334" Type="http://schemas.openxmlformats.org/officeDocument/2006/relationships/hyperlink" Target="https://drive.google.com/file/d/1vPe2KI7lEij5eiborgst0i684Z8Yr8oB/view?usp=drivesdk" TargetMode="External"/><Relationship Id="rId1443" Type="http://schemas.openxmlformats.org/officeDocument/2006/relationships/hyperlink" Target="https://drive.google.com/file/d/1azHu2ZHkAKRu1cxoDPSZSHivrxLsccS7/view?usp=drivesdk" TargetMode="External"/><Relationship Id="rId2774" Type="http://schemas.openxmlformats.org/officeDocument/2006/relationships/hyperlink" Target="https://drive.google.com/file/d/1sHaJbbxqarEiA6VrZE2nUksHx1qTf9BV/view?usp=drivesdk" TargetMode="External"/><Relationship Id="rId12002" Type="http://schemas.openxmlformats.org/officeDocument/2006/relationships/hyperlink" Target="https://drive.google.com/file/d/1Ynh02ZrHcYYfIGwMc9JubBzihY2mQQwP/view?usp=drivesdk" TargetMode="External"/><Relationship Id="rId13333" Type="http://schemas.openxmlformats.org/officeDocument/2006/relationships/hyperlink" Target="https://drive.google.com/file/d/1TTdxOadx0DdY-g-D-2IxI7-YtrhB59JU/view?usp=drivesdk" TargetMode="External"/><Relationship Id="rId1477" Type="http://schemas.openxmlformats.org/officeDocument/2006/relationships/hyperlink" Target="https://drive.google.com/file/d/1Nwev9Cdp55gmNkjkdrEkGnBMFK9BtC8F/view?usp=drivesdk" TargetMode="External"/><Relationship Id="rId1478" Type="http://schemas.openxmlformats.org/officeDocument/2006/relationships/hyperlink" Target="https://drive.google.com/file/d/1mDnF9qRQ33T4NZrkmKa6nCGvqraNGcpI/view?usp=drivesdk" TargetMode="External"/><Relationship Id="rId1479" Type="http://schemas.openxmlformats.org/officeDocument/2006/relationships/hyperlink" Target="https://drive.google.com/file/d/1Ia4MhgGROW8LoUWhqs0WsfSBdcZ51vo-/view?usp=drivesdk" TargetMode="External"/><Relationship Id="rId13307" Type="http://schemas.openxmlformats.org/officeDocument/2006/relationships/hyperlink" Target="https://drive.google.com/file/d/1br90xvH4VCGgpsmItsWn1sSxWa9fa4GU/view?usp=drivesdk" TargetMode="External"/><Relationship Id="rId13306" Type="http://schemas.openxmlformats.org/officeDocument/2006/relationships/hyperlink" Target="https://drive.google.com/file/d/1wgKXaU6mphD83c8yMNdj04Ecm_U6ni3B/view?usp=drivesdk" TargetMode="External"/><Relationship Id="rId13305" Type="http://schemas.openxmlformats.org/officeDocument/2006/relationships/hyperlink" Target="https://drive.google.com/file/d/1LAq137wsUeCgG6mBVUnWAmA8Ah7qF07o/view?usp=drivesdk" TargetMode="External"/><Relationship Id="rId13304" Type="http://schemas.openxmlformats.org/officeDocument/2006/relationships/hyperlink" Target="https://drive.google.com/file/d/13q540xnxpAUX4xa8GM0rNKZlHGgZCZ2S/view?usp=drivesdk" TargetMode="External"/><Relationship Id="rId13309" Type="http://schemas.openxmlformats.org/officeDocument/2006/relationships/hyperlink" Target="https://drive.google.com/file/d/1aqdyuphAjCzcQ84zvg_X2UX2ioFhSTVS/view?usp=drivesdk" TargetMode="External"/><Relationship Id="rId13308" Type="http://schemas.openxmlformats.org/officeDocument/2006/relationships/hyperlink" Target="https://drive.google.com/file/d/1qT6-W-Dc_Y5oBRNcXlylXW7usTUp7bhy/view?usp=drivesdk" TargetMode="External"/><Relationship Id="rId1470" Type="http://schemas.openxmlformats.org/officeDocument/2006/relationships/hyperlink" Target="https://drive.google.com/file/d/133vfyWdECCLzOGH3r87gH-BJYmjZGit-/view?usp=drivesdk" TargetMode="External"/><Relationship Id="rId1471" Type="http://schemas.openxmlformats.org/officeDocument/2006/relationships/hyperlink" Target="https://drive.google.com/file/d/1IpIVO30lOih9WRyedm9kl9vDtDg1i61p/view?usp=drivesdk" TargetMode="External"/><Relationship Id="rId1472" Type="http://schemas.openxmlformats.org/officeDocument/2006/relationships/hyperlink" Target="https://drive.google.com/file/d/1c1iEqpefbjNibn8bjDBk3VXfMJP3yXJj/view?usp=drivesdk" TargetMode="External"/><Relationship Id="rId1473" Type="http://schemas.openxmlformats.org/officeDocument/2006/relationships/hyperlink" Target="https://drive.google.com/file/d/1Xv8eypMo-XUFgc3gHQaNHOPXxvGYkG-q/view?usp=drivesdk" TargetMode="External"/><Relationship Id="rId13303" Type="http://schemas.openxmlformats.org/officeDocument/2006/relationships/hyperlink" Target="https://drive.google.com/file/d/140WVRQ3H_h2Nc_OMOWkGQ5D6jrnf4pgk/view?usp=drivesdk" TargetMode="External"/><Relationship Id="rId1474" Type="http://schemas.openxmlformats.org/officeDocument/2006/relationships/hyperlink" Target="https://drive.google.com/file/d/1pCCGt13ms8xshqIjcigBUaGkqc2KD_Ad/view?usp=drivesdk" TargetMode="External"/><Relationship Id="rId13302" Type="http://schemas.openxmlformats.org/officeDocument/2006/relationships/hyperlink" Target="https://drive.google.com/file/d/1G8nNqjX9jyv4rrYmyNCD3sft0ooM63yI/view?usp=drivesdk" TargetMode="External"/><Relationship Id="rId1475" Type="http://schemas.openxmlformats.org/officeDocument/2006/relationships/hyperlink" Target="https://drive.google.com/file/d/1NzL4IZLMlVqIUuXYHv4hilt8hp3tMxkZ/view?usp=drivesdk" TargetMode="External"/><Relationship Id="rId13301" Type="http://schemas.openxmlformats.org/officeDocument/2006/relationships/hyperlink" Target="https://drive.google.com/file/d/12jo7-EBVDHKdA1a_FEloBVaKMrLTfgE6/view?usp=drivesdk" TargetMode="External"/><Relationship Id="rId1476" Type="http://schemas.openxmlformats.org/officeDocument/2006/relationships/hyperlink" Target="https://drive.google.com/file/d/18lXhnUsGBqCfOezG-sq6GUzz2zVJeyAi/view?usp=drivesdk" TargetMode="External"/><Relationship Id="rId13300" Type="http://schemas.openxmlformats.org/officeDocument/2006/relationships/hyperlink" Target="https://drive.google.com/file/d/14updcOKe-5C14WI555Kj5ninUHg_dCCS/view?usp=drivesdk" TargetMode="External"/><Relationship Id="rId1466" Type="http://schemas.openxmlformats.org/officeDocument/2006/relationships/hyperlink" Target="https://drive.google.com/file/d/1u5SVhr_-yBJt__Kril0u1mgikzDD1C0W/view?usp=drivesdk" TargetMode="External"/><Relationship Id="rId2797" Type="http://schemas.openxmlformats.org/officeDocument/2006/relationships/hyperlink" Target="https://drive.google.com/file/d/1qVHnSbA0N_vOZRGN26eAhq2MdVOVJvNt/view?usp=drivesdk" TargetMode="External"/><Relationship Id="rId1467" Type="http://schemas.openxmlformats.org/officeDocument/2006/relationships/hyperlink" Target="https://drive.google.com/file/d/1LgnRYks0YWpHKhUkmqTe07T54AfpULmO/view?usp=drivesdk" TargetMode="External"/><Relationship Id="rId2798" Type="http://schemas.openxmlformats.org/officeDocument/2006/relationships/hyperlink" Target="https://drive.google.com/file/d/1MMqKP4QBTFdbMjJEda2Ay7yM0oG0vFlR/view?usp=drivesdk" TargetMode="External"/><Relationship Id="rId1468" Type="http://schemas.openxmlformats.org/officeDocument/2006/relationships/hyperlink" Target="https://drive.google.com/file/d/1pK22q2rvfYEwN0aECi6FIaV5zqUJ6l2d/view?usp=drivesdk" TargetMode="External"/><Relationship Id="rId2799" Type="http://schemas.openxmlformats.org/officeDocument/2006/relationships/hyperlink" Target="https://drive.google.com/file/d/1WJ3jxCT4G9KEJw8cri90Ra9M2gnJB3el/view?usp=drivesdk" TargetMode="External"/><Relationship Id="rId1469" Type="http://schemas.openxmlformats.org/officeDocument/2006/relationships/hyperlink" Target="https://drive.google.com/file/d/1fLaZMbX3NnOVHUzt6PyvGri4mo20rJiG/view?usp=drivesdk" TargetMode="External"/><Relationship Id="rId13318" Type="http://schemas.openxmlformats.org/officeDocument/2006/relationships/hyperlink" Target="https://drive.google.com/file/d/1Omr0I0N6ZyqkC7jbcLfdwHjXpw-193z-/view?usp=drivesdk" TargetMode="External"/><Relationship Id="rId13317" Type="http://schemas.openxmlformats.org/officeDocument/2006/relationships/hyperlink" Target="https://drive.google.com/file/d/1gzuWZqpW-J6yLHAhYN1dUWrzrznKC-b3/view?usp=drivesdk" TargetMode="External"/><Relationship Id="rId13316" Type="http://schemas.openxmlformats.org/officeDocument/2006/relationships/hyperlink" Target="https://drive.google.com/file/d/1VNxsCEnZiiDTyJ4ZrDtVB0Y3fg9BVLGw/view?usp=drivesdk" TargetMode="External"/><Relationship Id="rId13315" Type="http://schemas.openxmlformats.org/officeDocument/2006/relationships/hyperlink" Target="https://drive.google.com/file/d/165uxRcHpqdYKgG7q6cTUccVTAoFAL7M6/view?usp=drivesdk" TargetMode="External"/><Relationship Id="rId13319" Type="http://schemas.openxmlformats.org/officeDocument/2006/relationships/hyperlink" Target="https://drive.google.com/file/d/1YXQFMXvTwRoLHZ7P4gCX16iS5oeeHV8-/view?usp=drivesdk" TargetMode="External"/><Relationship Id="rId13310" Type="http://schemas.openxmlformats.org/officeDocument/2006/relationships/hyperlink" Target="https://drive.google.com/file/d/1tMRlcN7ARlon3K-pLOC9JTfiD-nRtEZl/view?usp=drivesdk" TargetMode="External"/><Relationship Id="rId2790" Type="http://schemas.openxmlformats.org/officeDocument/2006/relationships/hyperlink" Target="https://drive.google.com/file/d/1UPuYfiWHoo5bqt9rAdvWyseWXA64Ny5F/view?usp=drivesdk" TargetMode="External"/><Relationship Id="rId1460" Type="http://schemas.openxmlformats.org/officeDocument/2006/relationships/hyperlink" Target="https://drive.google.com/file/d/1YAaZ_GSvbiVWeFyFKV359UZd1DKbnNlL/view?usp=drivesdk" TargetMode="External"/><Relationship Id="rId2791" Type="http://schemas.openxmlformats.org/officeDocument/2006/relationships/hyperlink" Target="https://drive.google.com/file/d/1kLlqGqdKoZ4PBunBZy1hspKletxY9fHW/view?usp=drivesdk" TargetMode="External"/><Relationship Id="rId1461" Type="http://schemas.openxmlformats.org/officeDocument/2006/relationships/hyperlink" Target="https://drive.google.com/file/d/1NjzFf_s96VotIGwmHxUNXGpges7U4G5x/view?usp=drivesdk" TargetMode="External"/><Relationship Id="rId2792" Type="http://schemas.openxmlformats.org/officeDocument/2006/relationships/hyperlink" Target="https://drive.google.com/file/d/1tKSX_2O-Mo-y6lgyyWHQZ5n7lmK3wLrT/view?usp=drivesdk" TargetMode="External"/><Relationship Id="rId1462" Type="http://schemas.openxmlformats.org/officeDocument/2006/relationships/hyperlink" Target="https://drive.google.com/file/d/1BezrslIqZ2fmhM2N03xnucspzRBjwiLq/view?usp=drivesdk" TargetMode="External"/><Relationship Id="rId2793" Type="http://schemas.openxmlformats.org/officeDocument/2006/relationships/hyperlink" Target="https://drive.google.com/file/d/1de2D0a9qO7Ux1_bKJ4pyYIkQx_y_PCzb/view?usp=drivesdk" TargetMode="External"/><Relationship Id="rId13314" Type="http://schemas.openxmlformats.org/officeDocument/2006/relationships/hyperlink" Target="https://drive.google.com/file/d/1EyCEfyWAuWRTKN3sXQNTIoHH-5e34vXa/view?usp=drivesdk" TargetMode="External"/><Relationship Id="rId1463" Type="http://schemas.openxmlformats.org/officeDocument/2006/relationships/hyperlink" Target="https://drive.google.com/file/d/1gAa9yvmr1asjHST3OtSYSDhpfAxpvJgx/view?usp=drivesdk" TargetMode="External"/><Relationship Id="rId2794" Type="http://schemas.openxmlformats.org/officeDocument/2006/relationships/hyperlink" Target="https://drive.google.com/file/d/1K0DDh3mG9sOcLAQDc532s7ZqD6Zf91Og/view?usp=drivesdk" TargetMode="External"/><Relationship Id="rId13313" Type="http://schemas.openxmlformats.org/officeDocument/2006/relationships/hyperlink" Target="https://drive.google.com/file/d/1Cj3NL0VsRAvtw8mOx4wvpdpKJQhK2Lvk/view?usp=drivesdk" TargetMode="External"/><Relationship Id="rId1464" Type="http://schemas.openxmlformats.org/officeDocument/2006/relationships/hyperlink" Target="https://drive.google.com/file/d/1v5QSKv_1eQOh2IQQdVWrjgK0yMrVE-P1/view?usp=drivesdk" TargetMode="External"/><Relationship Id="rId2795" Type="http://schemas.openxmlformats.org/officeDocument/2006/relationships/hyperlink" Target="https://drive.google.com/file/d/1bj8Pje4HGZibgRVStMJBRlDyJUSbQ579/view?usp=drivesdk" TargetMode="External"/><Relationship Id="rId13312" Type="http://schemas.openxmlformats.org/officeDocument/2006/relationships/hyperlink" Target="https://drive.google.com/file/d/1Z6nUmZPHor1-F-cI0ae00VuyaU1nbDtC/view?usp=drivesdk" TargetMode="External"/><Relationship Id="rId1465" Type="http://schemas.openxmlformats.org/officeDocument/2006/relationships/hyperlink" Target="https://drive.google.com/file/d/1KCjh-9m1aAEfBoczxNJPy2bKANL02AWp/view?usp=drivesdk" TargetMode="External"/><Relationship Id="rId2796" Type="http://schemas.openxmlformats.org/officeDocument/2006/relationships/hyperlink" Target="https://drive.google.com/file/d/1BSUacUHS9xFMTZ17304yZzAIsIkg4u1-/view?usp=drivesdk" TargetMode="External"/><Relationship Id="rId13311" Type="http://schemas.openxmlformats.org/officeDocument/2006/relationships/hyperlink" Target="https://drive.google.com/file/d/1oCHacW90jdHb71pO1Ejp-hX1k3n-rVzU/view?usp=drivesdk" TargetMode="External"/><Relationship Id="rId1411" Type="http://schemas.openxmlformats.org/officeDocument/2006/relationships/hyperlink" Target="https://drive.google.com/file/d/1nsyhY0SEPrmC5gNMClZbnqe1bo3nvkY8/view?usp=drivesdk" TargetMode="External"/><Relationship Id="rId2742" Type="http://schemas.openxmlformats.org/officeDocument/2006/relationships/hyperlink" Target="https://drive.google.com/file/d/1zcrymMX7aNZDXzNQUHDqekBYPhzlEmSA/view?usp=drivesdk" TargetMode="External"/><Relationship Id="rId1412" Type="http://schemas.openxmlformats.org/officeDocument/2006/relationships/hyperlink" Target="https://drive.google.com/file/d/1aVnGc7MjjadXw0XvwjWmQvlo3ofWY42Z/view?usp=drivesdk" TargetMode="External"/><Relationship Id="rId2743" Type="http://schemas.openxmlformats.org/officeDocument/2006/relationships/hyperlink" Target="https://drive.google.com/file/d/1bYdtpMVAYkLSgElY7EQAemK09U_KjKTg/view?usp=drivesdk" TargetMode="External"/><Relationship Id="rId1413" Type="http://schemas.openxmlformats.org/officeDocument/2006/relationships/hyperlink" Target="https://drive.google.com/file/d/1KCOLDlKK48Odsodub6id6Zb3lk36mDoB/view?usp=drivesdk" TargetMode="External"/><Relationship Id="rId2744" Type="http://schemas.openxmlformats.org/officeDocument/2006/relationships/hyperlink" Target="https://drive.google.com/file/d/1gYu3fmphuqw3NHwOacCZeVTCLlZBUp0X/view?usp=drivesdk" TargetMode="External"/><Relationship Id="rId1414" Type="http://schemas.openxmlformats.org/officeDocument/2006/relationships/hyperlink" Target="https://drive.google.com/file/d/17zT2Ic-4IfZUF81wgtLbHGKUMdChfR_B/view?usp=drivesdk" TargetMode="External"/><Relationship Id="rId2745" Type="http://schemas.openxmlformats.org/officeDocument/2006/relationships/hyperlink" Target="https://drive.google.com/file/d/1TG3Snh7bFjfyJHbuL8yM_mumxChu5-sx/view?usp=drivesdk" TargetMode="External"/><Relationship Id="rId1415" Type="http://schemas.openxmlformats.org/officeDocument/2006/relationships/hyperlink" Target="https://drive.google.com/file/d/1K1NG9B2-uKpW2VCUo6LqyxPjv3rawQdH/view?usp=drivesdk" TargetMode="External"/><Relationship Id="rId2746" Type="http://schemas.openxmlformats.org/officeDocument/2006/relationships/hyperlink" Target="https://drive.google.com/file/d/19vQGM4oGo638lXAXmLiQfnwTVAYGNhwB/view?usp=drivesdk" TargetMode="External"/><Relationship Id="rId12041" Type="http://schemas.openxmlformats.org/officeDocument/2006/relationships/hyperlink" Target="https://drive.google.com/file/d/1QVR1zyw83j4TNQJzfM8mrI58Igcpg39x/view?usp=drivesdk" TargetMode="External"/><Relationship Id="rId13372" Type="http://schemas.openxmlformats.org/officeDocument/2006/relationships/hyperlink" Target="https://drive.google.com/file/d/1VjWbdqBWed_2DWSuLdNuiu3juYqz9deC/view?usp=drivesdk" TargetMode="External"/><Relationship Id="rId1416" Type="http://schemas.openxmlformats.org/officeDocument/2006/relationships/hyperlink" Target="https://drive.google.com/file/d/14MqYJCSv8DS2DxejfC-wF5wMvKe_foHx/view?usp=drivesdk" TargetMode="External"/><Relationship Id="rId2747" Type="http://schemas.openxmlformats.org/officeDocument/2006/relationships/hyperlink" Target="https://drive.google.com/file/d/1lpjSuimvsUhA0yrTGHxhjia63pyS7_o8/view?usp=drivesdk" TargetMode="External"/><Relationship Id="rId12040" Type="http://schemas.openxmlformats.org/officeDocument/2006/relationships/hyperlink" Target="https://drive.google.com/file/d/1t506KitMxK5OpozQ2sPdsrA_C1Ylv1R3/view?usp=drivesdk" TargetMode="External"/><Relationship Id="rId13371" Type="http://schemas.openxmlformats.org/officeDocument/2006/relationships/hyperlink" Target="https://drive.google.com/file/d/1Rf_XgSw9rvYnM25oKb52puPn8AayUBX0/view?usp=drivesdk" TargetMode="External"/><Relationship Id="rId1417" Type="http://schemas.openxmlformats.org/officeDocument/2006/relationships/hyperlink" Target="https://drive.google.com/file/d/1eTEDSZNLxUOQgxy2_IfverxRhaTReYaF/view?usp=drivesdk" TargetMode="External"/><Relationship Id="rId2748" Type="http://schemas.openxmlformats.org/officeDocument/2006/relationships/hyperlink" Target="https://drive.google.com/file/d/1NRauB1H0d6BhY7nJDhwRCfF314McURRl/view?usp=drivesdk" TargetMode="External"/><Relationship Id="rId13370" Type="http://schemas.openxmlformats.org/officeDocument/2006/relationships/hyperlink" Target="https://drive.google.com/file/d/18brSVyUlPF_xJslDD89CpvmW50SK0xBb/view?usp=drivesdk" TargetMode="External"/><Relationship Id="rId1418" Type="http://schemas.openxmlformats.org/officeDocument/2006/relationships/hyperlink" Target="https://drive.google.com/file/d/1-yI90IhR0dbHHppsdrT6gBWmK6lc3JPC/view?usp=drivesdk" TargetMode="External"/><Relationship Id="rId2749" Type="http://schemas.openxmlformats.org/officeDocument/2006/relationships/hyperlink" Target="https://drive.google.com/file/d/1NPVDPf2iPBTyHcyomnVgUeX7kZuVvYq9/view?usp=drivesdk" TargetMode="External"/><Relationship Id="rId1419" Type="http://schemas.openxmlformats.org/officeDocument/2006/relationships/hyperlink" Target="https://drive.google.com/file/d/1nglpipck_OxpNzdON3yFVng0Qushlq7x/view?usp=drivesdk" TargetMode="External"/><Relationship Id="rId12039" Type="http://schemas.openxmlformats.org/officeDocument/2006/relationships/hyperlink" Target="https://drive.google.com/file/d/1IVzVMwiH4iJZSpOG1L2n-t0dSnX6L1Wh/view?usp=drivesdk" TargetMode="External"/><Relationship Id="rId12034" Type="http://schemas.openxmlformats.org/officeDocument/2006/relationships/hyperlink" Target="https://drive.google.com/file/d/1OEYQK1fz_ZcoCXlbKFLNrBUifvbF4dXK/view?usp=drivesdk" TargetMode="External"/><Relationship Id="rId13365" Type="http://schemas.openxmlformats.org/officeDocument/2006/relationships/hyperlink" Target="https://drive.google.com/file/d/1HLI6ldHDB_H1cz-LJeU3tADaHdyp_cLG/view?usp=drivesdk" TargetMode="External"/><Relationship Id="rId12033" Type="http://schemas.openxmlformats.org/officeDocument/2006/relationships/hyperlink" Target="https://drive.google.com/file/d/165AYYUDLQiWpHBIaUSok6qD8A1077aA_/view?usp=drivesdk" TargetMode="External"/><Relationship Id="rId13364" Type="http://schemas.openxmlformats.org/officeDocument/2006/relationships/hyperlink" Target="https://drive.google.com/file/d/1OOdvlCMXHm-nEuIuPXdgWIynZlsTRAi4/view?usp=drivesdk" TargetMode="External"/><Relationship Id="rId12032" Type="http://schemas.openxmlformats.org/officeDocument/2006/relationships/hyperlink" Target="https://drive.google.com/file/d/1-_PYoZqpoYz-Oj-EE7pMNIxY0KjSCqg3/view?usp=drivesdk" TargetMode="External"/><Relationship Id="rId13363" Type="http://schemas.openxmlformats.org/officeDocument/2006/relationships/hyperlink" Target="https://drive.google.com/file/d/1Xsd1FsCpsbblZdTF5mgxvJPlQ2ILKkR4/view?usp=drivesdk" TargetMode="External"/><Relationship Id="rId12031" Type="http://schemas.openxmlformats.org/officeDocument/2006/relationships/hyperlink" Target="https://drive.google.com/file/d/11RbFNp50pw4JXnM5AzWpvcmwiovQTVZM/view?usp=drivesdk" TargetMode="External"/><Relationship Id="rId13362" Type="http://schemas.openxmlformats.org/officeDocument/2006/relationships/hyperlink" Target="https://drive.google.com/file/d/1qGKBBHiVxm5URU5CqXn5s8Jh1f7vFYd9/view?usp=drivesdk" TargetMode="External"/><Relationship Id="rId12038" Type="http://schemas.openxmlformats.org/officeDocument/2006/relationships/hyperlink" Target="https://drive.google.com/file/d/1vpA-dZmrTDdHZY-dxYJVEMTYA-2MOMvG/view?usp=drivesdk" TargetMode="External"/><Relationship Id="rId13369" Type="http://schemas.openxmlformats.org/officeDocument/2006/relationships/hyperlink" Target="https://drive.google.com/file/d/1pi4__i4YlcTVdIhNUaz0UirtFFEwa189/view?usp=drivesdk" TargetMode="External"/><Relationship Id="rId12037" Type="http://schemas.openxmlformats.org/officeDocument/2006/relationships/hyperlink" Target="https://drive.google.com/file/d/1el87JNiGuyofmYErcG7Dh03ix7_LspmP/view?usp=drivesdk" TargetMode="External"/><Relationship Id="rId13368" Type="http://schemas.openxmlformats.org/officeDocument/2006/relationships/hyperlink" Target="https://drive.google.com/file/d/1RCo9fptBrdkwLKZpWEyX7LgeugLgMTpB/view?usp=drivesdk" TargetMode="External"/><Relationship Id="rId2740" Type="http://schemas.openxmlformats.org/officeDocument/2006/relationships/hyperlink" Target="https://drive.google.com/file/d/1eD7quUyVj2kR3URhu4nUIl4YWmbdm9ue/view?usp=drivesdk" TargetMode="External"/><Relationship Id="rId12036" Type="http://schemas.openxmlformats.org/officeDocument/2006/relationships/hyperlink" Target="https://drive.google.com/file/d/1VDK2oFgehMQOJiaRIkymG7fMs59ZA0wf/view?usp=drivesdk" TargetMode="External"/><Relationship Id="rId13367" Type="http://schemas.openxmlformats.org/officeDocument/2006/relationships/hyperlink" Target="https://drive.google.com/file/d/1UyYy-63vUTfM3dpm-5krCHeiiQIYXMnM/view?usp=drivesdk" TargetMode="External"/><Relationship Id="rId1410" Type="http://schemas.openxmlformats.org/officeDocument/2006/relationships/hyperlink" Target="https://drive.google.com/file/d/1pl9g3O_dgv0dD74G3nG48mTT_rYq10cX/view?usp=drivesdk" TargetMode="External"/><Relationship Id="rId2741" Type="http://schemas.openxmlformats.org/officeDocument/2006/relationships/hyperlink" Target="https://drive.google.com/file/d/11sEUYVqBhNczKwcFUVCEFsD70mRWamKa/view?usp=drivesdk" TargetMode="External"/><Relationship Id="rId12035" Type="http://schemas.openxmlformats.org/officeDocument/2006/relationships/hyperlink" Target="https://drive.google.com/file/d/1u-v09bt6WrYunZjV_nOQ19Sr_y146ItL/view?usp=drivesdk" TargetMode="External"/><Relationship Id="rId13366" Type="http://schemas.openxmlformats.org/officeDocument/2006/relationships/hyperlink" Target="https://drive.google.com/file/d/1Y-BspwvSNZcqR3FfdGncmmyOM-X0fjIw/view?usp=drivesdk" TargetMode="External"/><Relationship Id="rId1400" Type="http://schemas.openxmlformats.org/officeDocument/2006/relationships/hyperlink" Target="https://drive.google.com/file/d/1cQK2272Q7jF6H6Rn7fSkvmaoudYXiPgx/view?usp=drivesdk" TargetMode="External"/><Relationship Id="rId2731" Type="http://schemas.openxmlformats.org/officeDocument/2006/relationships/hyperlink" Target="https://drive.google.com/file/d/1f5zC94vGs0QDeP9FdNoAU5D_K6anCmzm/view?usp=drivesdk" TargetMode="External"/><Relationship Id="rId1401" Type="http://schemas.openxmlformats.org/officeDocument/2006/relationships/hyperlink" Target="https://drive.google.com/file/d/1p1wb6X3tQ9bmrOKF_v_Pw3Rv-1r6PpoC/view?usp=drivesdk" TargetMode="External"/><Relationship Id="rId2732" Type="http://schemas.openxmlformats.org/officeDocument/2006/relationships/hyperlink" Target="https://drive.google.com/file/d/1rJ8TFoh3vPn2Tma97uuLdGZgSDAgGUC2/view?usp=drivesdk" TargetMode="External"/><Relationship Id="rId1402" Type="http://schemas.openxmlformats.org/officeDocument/2006/relationships/hyperlink" Target="https://drive.google.com/file/d/1pQi60ynlqKuLrVX-TAZUaqvsJbh0neqe/view?usp=drivesdk" TargetMode="External"/><Relationship Id="rId2733" Type="http://schemas.openxmlformats.org/officeDocument/2006/relationships/hyperlink" Target="https://drive.google.com/file/d/1R3nE_OTSHgt-lacIz7U56fCk5FY6IwGS/view?usp=drivesdk" TargetMode="External"/><Relationship Id="rId1403" Type="http://schemas.openxmlformats.org/officeDocument/2006/relationships/hyperlink" Target="https://drive.google.com/file/d/1O2HWrMNfBTEi4qHz2_QCAltoyKTI_BwB/view?usp=drivesdk" TargetMode="External"/><Relationship Id="rId2734" Type="http://schemas.openxmlformats.org/officeDocument/2006/relationships/hyperlink" Target="https://drive.google.com/file/d/1FVDixOmEf13GzPVn3KIHijzyMCqgrWOt/view?usp=drivesdk" TargetMode="External"/><Relationship Id="rId1404" Type="http://schemas.openxmlformats.org/officeDocument/2006/relationships/hyperlink" Target="https://drive.google.com/file/d/1jvSoliluqg1m4PngW358NdBclkXb4UWl/view?usp=drivesdk" TargetMode="External"/><Relationship Id="rId2735" Type="http://schemas.openxmlformats.org/officeDocument/2006/relationships/hyperlink" Target="https://drive.google.com/file/d/1fBkMsyz72B-4cgAffkUtVSx7sNIBFaaF/view?usp=drivesdk" TargetMode="External"/><Relationship Id="rId12052" Type="http://schemas.openxmlformats.org/officeDocument/2006/relationships/hyperlink" Target="https://drive.google.com/file/d/14epJ5btXJ9H44vWXpyCmgr5tE6C2UtYP/view?usp=drivesdk" TargetMode="External"/><Relationship Id="rId13383" Type="http://schemas.openxmlformats.org/officeDocument/2006/relationships/hyperlink" Target="https://drive.google.com/file/d/1OI9JxM4dgcD7mS5f0legUowzL4WaPz34/view?usp=drivesdk" TargetMode="External"/><Relationship Id="rId1405" Type="http://schemas.openxmlformats.org/officeDocument/2006/relationships/hyperlink" Target="https://drive.google.com/file/d/1c6fTDsarqQLB-efXIuxPtKPjtsfp1yQx/view?usp=drivesdk" TargetMode="External"/><Relationship Id="rId2736" Type="http://schemas.openxmlformats.org/officeDocument/2006/relationships/hyperlink" Target="https://drive.google.com/file/d/1gMOJJEavoRIZYXYp79v0SAc4ujLbGhuF/view?usp=drivesdk" TargetMode="External"/><Relationship Id="rId12051" Type="http://schemas.openxmlformats.org/officeDocument/2006/relationships/hyperlink" Target="https://drive.google.com/file/d/17GCXbMlX6SF9N3WR1V322pm5tUP8BCyK/view?usp=drivesdk" TargetMode="External"/><Relationship Id="rId13382" Type="http://schemas.openxmlformats.org/officeDocument/2006/relationships/hyperlink" Target="https://drive.google.com/file/d/1J3S33N33JDQKXYf18GD4LRPMsapIPfAQ/view?usp=drivesdk" TargetMode="External"/><Relationship Id="rId1406" Type="http://schemas.openxmlformats.org/officeDocument/2006/relationships/hyperlink" Target="https://drive.google.com/file/d/1CbvgfV-ATSDmeZmkjx3KbZgGf0qWrGw7/view?usp=drivesdk" TargetMode="External"/><Relationship Id="rId2737" Type="http://schemas.openxmlformats.org/officeDocument/2006/relationships/hyperlink" Target="https://drive.google.com/file/d/18SjKBluhRUanMj9OcLWWr0kOuT9Q9iB2/view?usp=drivesdk" TargetMode="External"/><Relationship Id="rId12050" Type="http://schemas.openxmlformats.org/officeDocument/2006/relationships/hyperlink" Target="https://drive.google.com/file/d/1dZtlW_zJs4WaaV_77RwnhC5CCYJzzN5q/view?usp=drivesdk" TargetMode="External"/><Relationship Id="rId13381" Type="http://schemas.openxmlformats.org/officeDocument/2006/relationships/hyperlink" Target="https://drive.google.com/file/d/1E1VZGg8CbxU2g62O3NKsUY2F0bhFmTv1/view?usp=drivesdk" TargetMode="External"/><Relationship Id="rId1407" Type="http://schemas.openxmlformats.org/officeDocument/2006/relationships/hyperlink" Target="https://drive.google.com/file/d/19nOZ0wuJolozGgUDQ0ekbrXEOMcConIf/view?usp=drivesdk" TargetMode="External"/><Relationship Id="rId2738" Type="http://schemas.openxmlformats.org/officeDocument/2006/relationships/hyperlink" Target="https://drive.google.com/file/d/1NNjppW9tUgtt5rekoTMw-iGEtn9NdDlT/view?usp=drivesdk" TargetMode="External"/><Relationship Id="rId13380" Type="http://schemas.openxmlformats.org/officeDocument/2006/relationships/hyperlink" Target="https://drive.google.com/file/d/1L110i6GAAQop3xbVBg0XQ0ism3ROB-hl/view?usp=drivesdk" TargetMode="External"/><Relationship Id="rId1408" Type="http://schemas.openxmlformats.org/officeDocument/2006/relationships/hyperlink" Target="https://drive.google.com/file/d/1Yu-NWJY0jzJjzUNBCdvGOpYu85saS3gn/view?usp=drivesdk" TargetMode="External"/><Relationship Id="rId2739" Type="http://schemas.openxmlformats.org/officeDocument/2006/relationships/hyperlink" Target="https://drive.google.com/file/d/1IMY04gGuGFh202_DGWV_PrRYjTqYBMro/view?usp=drivesdk" TargetMode="External"/><Relationship Id="rId1409" Type="http://schemas.openxmlformats.org/officeDocument/2006/relationships/hyperlink" Target="https://drive.google.com/file/d/1iZQ-nSgX-9cDMzOAV4vwCaG2zp8348yz/view?usp=drivesdk" TargetMode="External"/><Relationship Id="rId12045" Type="http://schemas.openxmlformats.org/officeDocument/2006/relationships/hyperlink" Target="https://drive.google.com/file/d/1rPkkBfeKWPrl341WOe6mY4QuDUDuzu0d/view?usp=drivesdk" TargetMode="External"/><Relationship Id="rId13376" Type="http://schemas.openxmlformats.org/officeDocument/2006/relationships/hyperlink" Target="https://drive.google.com/file/d/1OQ5NZzB7MYX-SDmZtPwpCGH6rfqoE3Ew/view?usp=drivesdk" TargetMode="External"/><Relationship Id="rId12044" Type="http://schemas.openxmlformats.org/officeDocument/2006/relationships/hyperlink" Target="https://drive.google.com/file/d/1Bs_vsek8lprp4qfkafN32B8YVX8oipnn/view?usp=drivesdk" TargetMode="External"/><Relationship Id="rId13375" Type="http://schemas.openxmlformats.org/officeDocument/2006/relationships/hyperlink" Target="https://drive.google.com/file/d/18bRPYW_vj636URVCOcMim3CzDm1rOMf7/view?usp=drivesdk" TargetMode="External"/><Relationship Id="rId12043" Type="http://schemas.openxmlformats.org/officeDocument/2006/relationships/hyperlink" Target="https://drive.google.com/file/d/1fTVONI-40-WvoylAkbXlmHEDgtj8PqBs/view?usp=drivesdk" TargetMode="External"/><Relationship Id="rId13374" Type="http://schemas.openxmlformats.org/officeDocument/2006/relationships/hyperlink" Target="https://drive.google.com/file/d/11v6wuX2yURHjjqfemzMqi2po9z9ulgLI/view?usp=drivesdk" TargetMode="External"/><Relationship Id="rId12042" Type="http://schemas.openxmlformats.org/officeDocument/2006/relationships/hyperlink" Target="https://drive.google.com/file/d/1QmBbPdjT5PkbQmNthYprETFxTEJJjItr/view?usp=drivesdk" TargetMode="External"/><Relationship Id="rId13373" Type="http://schemas.openxmlformats.org/officeDocument/2006/relationships/hyperlink" Target="https://drive.google.com/file/d/1hjl5GpZG7o_F0KUov7MFKhH735TqU27P/view?usp=drivesdk" TargetMode="External"/><Relationship Id="rId12049" Type="http://schemas.openxmlformats.org/officeDocument/2006/relationships/hyperlink" Target="https://drive.google.com/file/d/1OX9AV5RIxl-obSOJWYRQvfVTTY9je24Z/view?usp=drivesdk" TargetMode="External"/><Relationship Id="rId12048" Type="http://schemas.openxmlformats.org/officeDocument/2006/relationships/hyperlink" Target="https://drive.google.com/file/d/1-M4s0dImYha9uwvRyxieFv07La23b6y3/view?usp=drivesdk" TargetMode="External"/><Relationship Id="rId13379" Type="http://schemas.openxmlformats.org/officeDocument/2006/relationships/hyperlink" Target="https://drive.google.com/file/d/1FvYygIxHplBexdT66hLIPgG5vT49PV24/view?usp=drivesdk" TargetMode="External"/><Relationship Id="rId12047" Type="http://schemas.openxmlformats.org/officeDocument/2006/relationships/hyperlink" Target="https://drive.google.com/file/d/1sdomlHD4D9TQzz_DuZof_DUxjxnTCw9P/view?usp=drivesdk" TargetMode="External"/><Relationship Id="rId13378" Type="http://schemas.openxmlformats.org/officeDocument/2006/relationships/hyperlink" Target="https://drive.google.com/file/d/1oVrGj2P_GR3iKBd40p5lWkJnc9ZSU7ks/view?usp=drivesdk" TargetMode="External"/><Relationship Id="rId2730" Type="http://schemas.openxmlformats.org/officeDocument/2006/relationships/hyperlink" Target="https://drive.google.com/file/d/1z4AyPp5vaAaDJ8OY0qFMS7mbtZHAoLO3/view?usp=drivesdk" TargetMode="External"/><Relationship Id="rId12046" Type="http://schemas.openxmlformats.org/officeDocument/2006/relationships/hyperlink" Target="https://drive.google.com/file/d/1DIGJ5eHJbtVjDFsTcPQGk4Hhb49gCEPc/view?usp=drivesdk" TargetMode="External"/><Relationship Id="rId13377" Type="http://schemas.openxmlformats.org/officeDocument/2006/relationships/hyperlink" Target="https://drive.google.com/file/d/1JBt95dbimMTckliqyfPWUUa7s-5JSVxs/view?usp=drivesdk" TargetMode="External"/><Relationship Id="rId1433" Type="http://schemas.openxmlformats.org/officeDocument/2006/relationships/hyperlink" Target="https://drive.google.com/file/d/1pYCWg2sfXVlFQZittWNncYCe2uMWOIkQ/view?usp=drivesdk" TargetMode="External"/><Relationship Id="rId2764" Type="http://schemas.openxmlformats.org/officeDocument/2006/relationships/hyperlink" Target="https://drive.google.com/file/d/1SrEd2L4p488R0H2LD0eoC53KJ2lFgJJW/view?usp=drivesdk" TargetMode="External"/><Relationship Id="rId1434" Type="http://schemas.openxmlformats.org/officeDocument/2006/relationships/hyperlink" Target="https://drive.google.com/file/d/1uFVs5VIAhqdGBvSxn1Ut5fUbD_nQ9TQq/view?usp=drivesdk" TargetMode="External"/><Relationship Id="rId2765" Type="http://schemas.openxmlformats.org/officeDocument/2006/relationships/hyperlink" Target="https://drive.google.com/file/d/1P6MhbgyDSkrHASN90NjV29k2_Z5ZfgbW/view?usp=drivesdk" TargetMode="External"/><Relationship Id="rId1435" Type="http://schemas.openxmlformats.org/officeDocument/2006/relationships/hyperlink" Target="https://drive.google.com/file/d/1NJiPl1DSxHvdqU7Ss94EfKJvZgDfinR2/view?usp=drivesdk" TargetMode="External"/><Relationship Id="rId2766" Type="http://schemas.openxmlformats.org/officeDocument/2006/relationships/hyperlink" Target="https://drive.google.com/file/d/1RFb3bYsQ6MkiaV-IHpKxCQAWw-bztp4N/view?usp=drivesdk" TargetMode="External"/><Relationship Id="rId1436" Type="http://schemas.openxmlformats.org/officeDocument/2006/relationships/hyperlink" Target="https://drive.google.com/file/d/1OA6Hm_clAA3Wu-RuJ0t9EKMhLCNjWA1G/view?usp=drivesdk" TargetMode="External"/><Relationship Id="rId2767" Type="http://schemas.openxmlformats.org/officeDocument/2006/relationships/hyperlink" Target="https://drive.google.com/file/d/1wJXSVXQO8Ojrw2ZMSNztbBrpHutwIVSo/view?usp=drivesdk" TargetMode="External"/><Relationship Id="rId1437" Type="http://schemas.openxmlformats.org/officeDocument/2006/relationships/hyperlink" Target="https://drive.google.com/file/d/1nsdOtbHF_Lat7YrsMLApG7k9F9uL81Jc/view?usp=drivesdk" TargetMode="External"/><Relationship Id="rId2768" Type="http://schemas.openxmlformats.org/officeDocument/2006/relationships/hyperlink" Target="https://drive.google.com/file/d/1xw5cgj3HSl345J0F3XipGBrvfP8t_bR6/view?usp=drivesdk" TargetMode="External"/><Relationship Id="rId13350" Type="http://schemas.openxmlformats.org/officeDocument/2006/relationships/hyperlink" Target="https://drive.google.com/file/d/1CprQR1CmYasUEbcJyDsQmm2KDT6z4jcY/view?usp=drivesdk" TargetMode="External"/><Relationship Id="rId1438" Type="http://schemas.openxmlformats.org/officeDocument/2006/relationships/hyperlink" Target="https://drive.google.com/file/d/1OKbju8ohknmDKix7rmvWNIZFErw0SjWe/view?usp=drivesdk" TargetMode="External"/><Relationship Id="rId2769" Type="http://schemas.openxmlformats.org/officeDocument/2006/relationships/hyperlink" Target="https://drive.google.com/file/d/1VtXccdseCpp9wcKY9TluyUq1t9vDkecq/view?usp=drivesdk" TargetMode="External"/><Relationship Id="rId1439" Type="http://schemas.openxmlformats.org/officeDocument/2006/relationships/hyperlink" Target="https://drive.google.com/file/d/1OU69EcuP-VSgyBajE2xTWnI__xD3zZMt/view?usp=drivesdk" TargetMode="External"/><Relationship Id="rId12019" Type="http://schemas.openxmlformats.org/officeDocument/2006/relationships/hyperlink" Target="https://drive.google.com/file/d/1KHZgORktRQ54_cePz9Tf400B_qIO08dk/view?usp=drivesdk" TargetMode="External"/><Relationship Id="rId12018" Type="http://schemas.openxmlformats.org/officeDocument/2006/relationships/hyperlink" Target="https://drive.google.com/file/d/1ho3Ns6cXe9ZWvrjdU74flaastgH7-D2-/view?usp=drivesdk" TargetMode="External"/><Relationship Id="rId13349" Type="http://schemas.openxmlformats.org/officeDocument/2006/relationships/hyperlink" Target="https://drive.google.com/file/d/1bpEw3P3J_-XzfcMRoTvI7MRKWiRuNupW/view?usp=drivesdk" TargetMode="External"/><Relationship Id="rId12017" Type="http://schemas.openxmlformats.org/officeDocument/2006/relationships/hyperlink" Target="https://drive.google.com/file/d/1e_7_I32TisdSSjUmPxgECcrWXFnI-eEz/view?usp=drivesdk" TargetMode="External"/><Relationship Id="rId13348" Type="http://schemas.openxmlformats.org/officeDocument/2006/relationships/hyperlink" Target="https://drive.google.com/file/d/1WA3y0L-fc08OIducLXCfeCFqENAbEa_S/view?usp=drivesdk" TargetMode="External"/><Relationship Id="rId12012" Type="http://schemas.openxmlformats.org/officeDocument/2006/relationships/hyperlink" Target="https://drive.google.com/file/d/1igyvc_DWqtMJyXHfVWj6GNTG2JeGYb9f/view?usp=drivesdk" TargetMode="External"/><Relationship Id="rId13343" Type="http://schemas.openxmlformats.org/officeDocument/2006/relationships/hyperlink" Target="https://drive.google.com/file/d/19tEPC2uULVZRDMyWZCZQoKmgBKtyVpQM/view?usp=drivesdk" TargetMode="External"/><Relationship Id="rId12011" Type="http://schemas.openxmlformats.org/officeDocument/2006/relationships/hyperlink" Target="https://drive.google.com/file/d/1pQQ9Fv9A8mQyfszBaN9Gyspho7xFarw4/view?usp=drivesdk" TargetMode="External"/><Relationship Id="rId13342" Type="http://schemas.openxmlformats.org/officeDocument/2006/relationships/hyperlink" Target="https://drive.google.com/file/d/1JOJucVHs_EhmxKNf1D3sxBFlZgdXfmPh/view?usp=drivesdk" TargetMode="External"/><Relationship Id="rId12010" Type="http://schemas.openxmlformats.org/officeDocument/2006/relationships/hyperlink" Target="https://drive.google.com/file/d/1vD4yOYvEyNo__h8Vs-piXBBWRMCknh20/view?usp=drivesdk" TargetMode="External"/><Relationship Id="rId13341" Type="http://schemas.openxmlformats.org/officeDocument/2006/relationships/hyperlink" Target="https://drive.google.com/file/d/1SVY25ILy86OrKnzJmGpRkg8NWfv2yjEi/view?usp=drivesdk" TargetMode="External"/><Relationship Id="rId13340" Type="http://schemas.openxmlformats.org/officeDocument/2006/relationships/hyperlink" Target="https://drive.google.com/file/d/1N9p3B011bSU1Tmi2RfM7I7K0Xq2UWI4M/view?usp=drivesdk" TargetMode="External"/><Relationship Id="rId2760" Type="http://schemas.openxmlformats.org/officeDocument/2006/relationships/hyperlink" Target="https://drive.google.com/file/d/11PX1Y6FdwVBgMAkMtR_MhaoTjspxEx94/view?usp=drivesdk" TargetMode="External"/><Relationship Id="rId12016" Type="http://schemas.openxmlformats.org/officeDocument/2006/relationships/hyperlink" Target="https://drive.google.com/file/d/10uvcYwFExSHPn_qD10ac1WwYaurytk1o/view?usp=drivesdk" TargetMode="External"/><Relationship Id="rId13347" Type="http://schemas.openxmlformats.org/officeDocument/2006/relationships/hyperlink" Target="https://drive.google.com/file/d/1vrVxlFZhlvOpB0qXy91PqPyfdYQtuFxP/view?usp=drivesdk" TargetMode="External"/><Relationship Id="rId1430" Type="http://schemas.openxmlformats.org/officeDocument/2006/relationships/hyperlink" Target="https://drive.google.com/file/d/1AlB5nvnS_bX-08wbQRNPnWvGpTshHMsQ/view?usp=drivesdk" TargetMode="External"/><Relationship Id="rId2761" Type="http://schemas.openxmlformats.org/officeDocument/2006/relationships/hyperlink" Target="https://drive.google.com/file/d/1jlfdUinguppEL2aa4dc0el3iiYo3Xu2y/view?usp=drivesdk" TargetMode="External"/><Relationship Id="rId12015" Type="http://schemas.openxmlformats.org/officeDocument/2006/relationships/hyperlink" Target="https://drive.google.com/file/d/114G8fNf950Xa50L5b8ym-S7Yosb7qRg6/view?usp=drivesdk" TargetMode="External"/><Relationship Id="rId13346" Type="http://schemas.openxmlformats.org/officeDocument/2006/relationships/hyperlink" Target="https://drive.google.com/file/d/1C6ONuO8YDkM5sUqGRx48NWlmWX8gUs53/view?usp=drivesdk" TargetMode="External"/><Relationship Id="rId1431" Type="http://schemas.openxmlformats.org/officeDocument/2006/relationships/hyperlink" Target="https://drive.google.com/file/d/1bFKShDErO26yi6xVLB6w4A_cEtGjnxDf/view?usp=drivesdk" TargetMode="External"/><Relationship Id="rId2762" Type="http://schemas.openxmlformats.org/officeDocument/2006/relationships/hyperlink" Target="https://drive.google.com/file/d/1qiWg1KdutMoGtB3TCcYe1_p_FZbPl1cX/view?usp=drivesdk" TargetMode="External"/><Relationship Id="rId12014" Type="http://schemas.openxmlformats.org/officeDocument/2006/relationships/hyperlink" Target="https://drive.google.com/file/d/1yBtK0MY5eZ6YlekI0G3eI2PRFXgs3pUt/view?usp=drivesdk" TargetMode="External"/><Relationship Id="rId13345" Type="http://schemas.openxmlformats.org/officeDocument/2006/relationships/hyperlink" Target="https://drive.google.com/file/d/1TpwLBwk9_7uGsZuSvheRtcb-OsnPpmaC/view?usp=drivesdk" TargetMode="External"/><Relationship Id="rId1432" Type="http://schemas.openxmlformats.org/officeDocument/2006/relationships/hyperlink" Target="https://drive.google.com/file/d/1XwtlvrsW967nQDe2xnzWXkTsTvfdndOf/view?usp=drivesdk" TargetMode="External"/><Relationship Id="rId2763" Type="http://schemas.openxmlformats.org/officeDocument/2006/relationships/hyperlink" Target="https://drive.google.com/file/d/1B-Nr0SayA1IOPEaUfmwcIIqtsVShcQ-e/view?usp=drivesdk" TargetMode="External"/><Relationship Id="rId12013" Type="http://schemas.openxmlformats.org/officeDocument/2006/relationships/hyperlink" Target="https://drive.google.com/file/d/1uwhnW78F8cz8rwL9pmzsPDX15bYY_z3A/view?usp=drivesdk" TargetMode="External"/><Relationship Id="rId13344" Type="http://schemas.openxmlformats.org/officeDocument/2006/relationships/hyperlink" Target="https://drive.google.com/file/d/1UJyOzodnB5tBWWSzm6biPLAerZn-A1vi/view?usp=drivesdk" TargetMode="External"/><Relationship Id="rId1422" Type="http://schemas.openxmlformats.org/officeDocument/2006/relationships/hyperlink" Target="https://drive.google.com/file/d/1JSXES1T2e0fIvJEgCkj8s7a9XiUKqgoe/view?usp=drivesdk" TargetMode="External"/><Relationship Id="rId2753" Type="http://schemas.openxmlformats.org/officeDocument/2006/relationships/hyperlink" Target="https://drive.google.com/file/d/11mnGfgYpBKYWlQ42RPdHgsJEq_DpK-Vi/view?usp=drivesdk" TargetMode="External"/><Relationship Id="rId1423" Type="http://schemas.openxmlformats.org/officeDocument/2006/relationships/hyperlink" Target="https://drive.google.com/file/d/1HcYLMqNlxiha70TjYfo-N87phzCX7OiC/view?usp=drivesdk" TargetMode="External"/><Relationship Id="rId2754" Type="http://schemas.openxmlformats.org/officeDocument/2006/relationships/hyperlink" Target="https://drive.google.com/file/d/1SX8gU9dEgD1u1ZVB0Mid9ClQ35uWY42Q/view?usp=drivesdk" TargetMode="External"/><Relationship Id="rId1424" Type="http://schemas.openxmlformats.org/officeDocument/2006/relationships/hyperlink" Target="https://drive.google.com/file/d/1lxFMQ6d9EjR7OQEArU-8NQEkypYOs_a4/view?usp=drivesdk" TargetMode="External"/><Relationship Id="rId2755" Type="http://schemas.openxmlformats.org/officeDocument/2006/relationships/hyperlink" Target="https://drive.google.com/file/d/16N5mYP8pk-ZXZX0fF1w5U7yEgYtTxiGx/view?usp=drivesdk" TargetMode="External"/><Relationship Id="rId1425" Type="http://schemas.openxmlformats.org/officeDocument/2006/relationships/hyperlink" Target="https://drive.google.com/file/d/1S8ZEyJ9yhnfIfs-1hixmqDHnuG21-tKP/view?usp=drivesdk" TargetMode="External"/><Relationship Id="rId2756" Type="http://schemas.openxmlformats.org/officeDocument/2006/relationships/hyperlink" Target="https://drive.google.com/file/d/1xrzGHmujnc1IA_-XUws4cqUiyr1unKjn/view?usp=drivesdk" TargetMode="External"/><Relationship Id="rId1426" Type="http://schemas.openxmlformats.org/officeDocument/2006/relationships/hyperlink" Target="https://drive.google.com/file/d/1LFvMKOX3I1WHQ7Ze0nums_tQjSFqgXB_/view?usp=drivesdk" TargetMode="External"/><Relationship Id="rId2757" Type="http://schemas.openxmlformats.org/officeDocument/2006/relationships/hyperlink" Target="https://drive.google.com/file/d/1eUn4xCye17pbKi1azy65Gpzq65xuE2it/view?usp=drivesdk" TargetMode="External"/><Relationship Id="rId12030" Type="http://schemas.openxmlformats.org/officeDocument/2006/relationships/hyperlink" Target="https://drive.google.com/file/d/1kL0nMHnm4ToE85vyBPBwZ93Jm19uuivs/view?usp=drivesdk" TargetMode="External"/><Relationship Id="rId13361" Type="http://schemas.openxmlformats.org/officeDocument/2006/relationships/hyperlink" Target="https://drive.google.com/file/d/17IAbbDX9PVvoTXzxkKBkGKGw1wiTKkh1/view?usp=drivesdk" TargetMode="External"/><Relationship Id="rId1427" Type="http://schemas.openxmlformats.org/officeDocument/2006/relationships/hyperlink" Target="https://drive.google.com/file/d/1xj9eiwAMtrGVMG_8LNUq1_2lAT8JOxMm/view?usp=drivesdk" TargetMode="External"/><Relationship Id="rId2758" Type="http://schemas.openxmlformats.org/officeDocument/2006/relationships/hyperlink" Target="https://drive.google.com/file/d/1cKjoV_FQkFvav435M52IABkczjWCMID4/view?usp=drivesdk" TargetMode="External"/><Relationship Id="rId13360" Type="http://schemas.openxmlformats.org/officeDocument/2006/relationships/hyperlink" Target="https://drive.google.com/file/d/1d9eIOX-Y4tph3WiPSbcF3zyKrPAemGCc/view?usp=drivesdk" TargetMode="External"/><Relationship Id="rId1428" Type="http://schemas.openxmlformats.org/officeDocument/2006/relationships/hyperlink" Target="https://drive.google.com/file/d/1KKgYL8WLsIKoQ2wzs1V5vBTJzSSb008t/view?usp=drivesdk" TargetMode="External"/><Relationship Id="rId2759" Type="http://schemas.openxmlformats.org/officeDocument/2006/relationships/hyperlink" Target="https://drive.google.com/file/d/192vwTz3eMXT2ZKyT7MYxMFrQSHUxOrR3/view?usp=drivesdk" TargetMode="External"/><Relationship Id="rId1429" Type="http://schemas.openxmlformats.org/officeDocument/2006/relationships/hyperlink" Target="https://drive.google.com/file/d/1vmE1HmcpilwEMd0l-FQ76x5bjiIErDjI/view?usp=drivesdk" TargetMode="External"/><Relationship Id="rId12029" Type="http://schemas.openxmlformats.org/officeDocument/2006/relationships/hyperlink" Target="https://drive.google.com/file/d/1oiu4Yih-yGpc-Ch4E2nH1510z3KIncmX/view?usp=drivesdk" TargetMode="External"/><Relationship Id="rId12028" Type="http://schemas.openxmlformats.org/officeDocument/2006/relationships/hyperlink" Target="https://drive.google.com/file/d/1yrAlgFowNWGWQLCOwNGYCOGc9edokJ4x/view?usp=drivesdk" TargetMode="External"/><Relationship Id="rId13359" Type="http://schemas.openxmlformats.org/officeDocument/2006/relationships/hyperlink" Target="https://drive.google.com/file/d/1ZABm6iNw528AB9fLtW-zfzBRU9VC1hb3/view?usp=drivesdk" TargetMode="External"/><Relationship Id="rId12023" Type="http://schemas.openxmlformats.org/officeDocument/2006/relationships/hyperlink" Target="https://drive.google.com/file/d/1sQskw_WcyxpHDJ5sPBT6xCyt1p57Mlh2/view?usp=drivesdk" TargetMode="External"/><Relationship Id="rId13354" Type="http://schemas.openxmlformats.org/officeDocument/2006/relationships/hyperlink" Target="https://drive.google.com/file/d/1mVUz7Kg3oxEQOG1EP4K6Z5wrSHwFSPp1/view?usp=drivesdk" TargetMode="External"/><Relationship Id="rId12022" Type="http://schemas.openxmlformats.org/officeDocument/2006/relationships/hyperlink" Target="https://drive.google.com/file/d/1BnVC7fW26p0-e2thzjtWiRdCsUveCIJ8/view?usp=drivesdk" TargetMode="External"/><Relationship Id="rId13353" Type="http://schemas.openxmlformats.org/officeDocument/2006/relationships/hyperlink" Target="https://drive.google.com/file/d/1UXOZ6kXJD_yo0dri0C0PQnhKg9WtM-Wr/view?usp=drivesdk" TargetMode="External"/><Relationship Id="rId12021" Type="http://schemas.openxmlformats.org/officeDocument/2006/relationships/hyperlink" Target="https://drive.google.com/file/d/1SpK54_aJLZv1kQXnmdhhSNVJOnNj6G1e/view?usp=drivesdk" TargetMode="External"/><Relationship Id="rId13352" Type="http://schemas.openxmlformats.org/officeDocument/2006/relationships/hyperlink" Target="https://drive.google.com/file/d/1Bv1aTBXrpZXE2c5yJFnf3_xYibK9n8aD/view?usp=drivesdk" TargetMode="External"/><Relationship Id="rId12020" Type="http://schemas.openxmlformats.org/officeDocument/2006/relationships/hyperlink" Target="https://drive.google.com/file/d/11A5VmnDHAfCL53koOMCcGW7R0KX4zEz1/view?usp=drivesdk" TargetMode="External"/><Relationship Id="rId13351" Type="http://schemas.openxmlformats.org/officeDocument/2006/relationships/hyperlink" Target="https://drive.google.com/file/d/1YzxfF9DPjzWOTuLhBQaUX04csHVbD1UH/view?usp=drivesdk" TargetMode="External"/><Relationship Id="rId12027" Type="http://schemas.openxmlformats.org/officeDocument/2006/relationships/hyperlink" Target="https://drive.google.com/file/d/1BdH11DpUpQmnMtSMQp4sDhBkyEbPgQAN/view?usp=drivesdk" TargetMode="External"/><Relationship Id="rId13358" Type="http://schemas.openxmlformats.org/officeDocument/2006/relationships/hyperlink" Target="https://drive.google.com/file/d/103vxCnDBUhTkY1CT6NMoSJ3wg5Jemopo/view?usp=drivesdk" TargetMode="External"/><Relationship Id="rId2750" Type="http://schemas.openxmlformats.org/officeDocument/2006/relationships/hyperlink" Target="https://drive.google.com/file/d/1nB7V5E6KoD-50xQ5MMDXYp4QCVSSvHfv/view?usp=drivesdk" TargetMode="External"/><Relationship Id="rId12026" Type="http://schemas.openxmlformats.org/officeDocument/2006/relationships/hyperlink" Target="https://drive.google.com/file/d/1MjL3uD08klBA0d3_MXpNGOvIdgYSBeYf/view?usp=drivesdk" TargetMode="External"/><Relationship Id="rId13357" Type="http://schemas.openxmlformats.org/officeDocument/2006/relationships/hyperlink" Target="https://drive.google.com/file/d/1RWIL1K9JKG7uJb6hs0S4hX-2RXxxyjIz/view?usp=drivesdk" TargetMode="External"/><Relationship Id="rId1420" Type="http://schemas.openxmlformats.org/officeDocument/2006/relationships/hyperlink" Target="https://drive.google.com/file/d/1RLHoSqTaNJHLNvl3vAo80H5_PlvGuFR_/view?usp=drivesdk" TargetMode="External"/><Relationship Id="rId2751" Type="http://schemas.openxmlformats.org/officeDocument/2006/relationships/hyperlink" Target="https://drive.google.com/file/d/1aKHoHQJf_BhDadipIi8tpulYM0zKp9XF/view?usp=drivesdk" TargetMode="External"/><Relationship Id="rId12025" Type="http://schemas.openxmlformats.org/officeDocument/2006/relationships/hyperlink" Target="https://drive.google.com/file/d/1SAdr3iHjkhEXbqjzSvfHcB2bjuVbmHUL/view?usp=drivesdk" TargetMode="External"/><Relationship Id="rId13356" Type="http://schemas.openxmlformats.org/officeDocument/2006/relationships/hyperlink" Target="https://drive.google.com/file/d/1UOumIZ2SVAAt1mHrX8Q98s1CLjBK7FwB/view?usp=drivesdk" TargetMode="External"/><Relationship Id="rId1421" Type="http://schemas.openxmlformats.org/officeDocument/2006/relationships/hyperlink" Target="https://drive.google.com/file/d/1_QaQ-15x6NoXrpa_mAZ37PukwAQQDZ3-/view?usp=drivesdk" TargetMode="External"/><Relationship Id="rId2752" Type="http://schemas.openxmlformats.org/officeDocument/2006/relationships/hyperlink" Target="https://drive.google.com/file/d/1POtqmwATkN6XtNjArYaVIN8APRMfalcb/view?usp=drivesdk" TargetMode="External"/><Relationship Id="rId12024" Type="http://schemas.openxmlformats.org/officeDocument/2006/relationships/hyperlink" Target="https://drive.google.com/file/d/1aX-vGDBRmk5JlETsqeMFLFSb7MZMESj_/view?usp=drivesdk" TargetMode="External"/><Relationship Id="rId13355" Type="http://schemas.openxmlformats.org/officeDocument/2006/relationships/hyperlink" Target="https://drive.google.com/file/d/1DiVxYwm4z3LXo0Z0EAxAu0j3qIDBywMv/view?usp=drivesdk" TargetMode="External"/><Relationship Id="rId1499" Type="http://schemas.openxmlformats.org/officeDocument/2006/relationships/hyperlink" Target="https://drive.google.com/file/d/10K8PUcsyiO2PRnBZhGxtb_1JIJID5_VI/view?usp=drivesdk" TargetMode="External"/><Relationship Id="rId1490" Type="http://schemas.openxmlformats.org/officeDocument/2006/relationships/hyperlink" Target="https://drive.google.com/file/d/1-0ktq5ACFd6cODsEsDp8TxCErEMTWOAv/view?usp=drivesdk" TargetMode="External"/><Relationship Id="rId1491" Type="http://schemas.openxmlformats.org/officeDocument/2006/relationships/hyperlink" Target="https://drive.google.com/file/d/1-6rP3ZHRvtaBTYltC9U4NGxnpc7DzSVY/view?usp=drivesdk" TargetMode="External"/><Relationship Id="rId1492" Type="http://schemas.openxmlformats.org/officeDocument/2006/relationships/hyperlink" Target="https://drive.google.com/file/d/1bopqSCE0_4CQWNJ8vUI2cPiizS8e7tit/view?usp=drivesdk" TargetMode="External"/><Relationship Id="rId1493" Type="http://schemas.openxmlformats.org/officeDocument/2006/relationships/hyperlink" Target="https://drive.google.com/file/d/1IfN-7sNxiSN-qqjKj2cX4jD8teNdtZvY/view?usp=drivesdk" TargetMode="External"/><Relationship Id="rId1494" Type="http://schemas.openxmlformats.org/officeDocument/2006/relationships/hyperlink" Target="https://drive.google.com/file/d/1hx1mkAq4Rpf3o-8LKvmfrkCxIq_uYKru/view?usp=drivesdk" TargetMode="External"/><Relationship Id="rId1495" Type="http://schemas.openxmlformats.org/officeDocument/2006/relationships/hyperlink" Target="https://drive.google.com/file/d/1cKTZar2iVTP-I99x9aJ2BbPYc6cWj1uQ/view?usp=drivesdk" TargetMode="External"/><Relationship Id="rId1496" Type="http://schemas.openxmlformats.org/officeDocument/2006/relationships/hyperlink" Target="https://drive.google.com/file/d/19FQrqTFZWxTsO00dxWMHSsnW6y_AwpRo/view?usp=drivesdk" TargetMode="External"/><Relationship Id="rId1497" Type="http://schemas.openxmlformats.org/officeDocument/2006/relationships/hyperlink" Target="https://drive.google.com/file/d/1mxgOheAUg_sjFjL2XHUEipEGJXGcf9fi/view?usp=drivesdk" TargetMode="External"/><Relationship Id="rId1498" Type="http://schemas.openxmlformats.org/officeDocument/2006/relationships/hyperlink" Target="https://drive.google.com/file/d/19Do65pSrF5PevrVwD2u1iblP8-tA1CmF/view?usp=drivesdk" TargetMode="External"/><Relationship Id="rId1488" Type="http://schemas.openxmlformats.org/officeDocument/2006/relationships/hyperlink" Target="https://drive.google.com/file/d/1ewXLIWcrsEh8ysiJLeQgkQIYPkOR72oo/view?usp=drivesdk" TargetMode="External"/><Relationship Id="rId1489" Type="http://schemas.openxmlformats.org/officeDocument/2006/relationships/hyperlink" Target="https://drive.google.com/file/d/1qI12CgAW2HU-C1cYTXDFRJ7WYpR5kXVm/view?usp=drivesdk" TargetMode="External"/><Relationship Id="rId1480" Type="http://schemas.openxmlformats.org/officeDocument/2006/relationships/hyperlink" Target="https://drive.google.com/file/d/1RDX6M6XtfRwQh8k-RE7m7DJEBy8M_EGB/view?usp=drivesdk" TargetMode="External"/><Relationship Id="rId1481" Type="http://schemas.openxmlformats.org/officeDocument/2006/relationships/hyperlink" Target="https://drive.google.com/file/d/1u3VYt3kMQqqkeTh2C9rkAsHpX47zU5Ax/view?usp=drivesdk" TargetMode="External"/><Relationship Id="rId1482" Type="http://schemas.openxmlformats.org/officeDocument/2006/relationships/hyperlink" Target="https://drive.google.com/file/d/17C7LON6xKlrDGgPDxHsHkH-PIlg1SyGP/view?usp=drivesdk" TargetMode="External"/><Relationship Id="rId1483" Type="http://schemas.openxmlformats.org/officeDocument/2006/relationships/hyperlink" Target="https://drive.google.com/file/d/1klhdX6LPXb2_SG5vLbWcAVDTJ0AEOgLv/view?usp=drivesdk" TargetMode="External"/><Relationship Id="rId1484" Type="http://schemas.openxmlformats.org/officeDocument/2006/relationships/hyperlink" Target="https://drive.google.com/file/d/14quRNwy6RW_sEvyMtqhAPoW0p1elBT3K/view?usp=drivesdk" TargetMode="External"/><Relationship Id="rId1485" Type="http://schemas.openxmlformats.org/officeDocument/2006/relationships/hyperlink" Target="https://drive.google.com/file/d/17jaVaToz6W5BgTSM6diHTbfBLjmgBIo0/view?usp=drivesdk" TargetMode="External"/><Relationship Id="rId1486" Type="http://schemas.openxmlformats.org/officeDocument/2006/relationships/hyperlink" Target="https://drive.google.com/file/d/1WyVih8zTpdK3En_rylnYMj8QvZtVj8IK/view?usp=drivesdk" TargetMode="External"/><Relationship Id="rId1487" Type="http://schemas.openxmlformats.org/officeDocument/2006/relationships/hyperlink" Target="https://drive.google.com/file/d/1z5_YxyFahagaONZDjK_6ojVoirLDgorc/view?usp=drivesdk" TargetMode="External"/><Relationship Id="rId2820" Type="http://schemas.openxmlformats.org/officeDocument/2006/relationships/hyperlink" Target="https://drive.google.com/file/d/1z0EuBnWALLylKp9LAWbcUJgkj4J4tTIW/view?usp=drivesdk" TargetMode="External"/><Relationship Id="rId2821" Type="http://schemas.openxmlformats.org/officeDocument/2006/relationships/hyperlink" Target="https://drive.google.com/file/d/1Ha_I0maFuzmapHt6w5QZS6p7O4XwxmE4/view?usp=drivesdk" TargetMode="External"/><Relationship Id="rId2822" Type="http://schemas.openxmlformats.org/officeDocument/2006/relationships/hyperlink" Target="https://drive.google.com/file/d/1c2ODBBiJXVOEbRBbsT4road5eCtm-qlB/view?usp=drivesdk" TargetMode="External"/><Relationship Id="rId2823" Type="http://schemas.openxmlformats.org/officeDocument/2006/relationships/hyperlink" Target="https://drive.google.com/file/d/1yNNtnb65ChF2N1IdZ_LwFqT5apS6ktoA/view?usp=drivesdk" TargetMode="External"/><Relationship Id="rId2824" Type="http://schemas.openxmlformats.org/officeDocument/2006/relationships/hyperlink" Target="https://drive.google.com/file/d/1mGrZFdNYIu-_miqOHqt3ogR1AywDnIF2/view?usp=drivesdk" TargetMode="External"/><Relationship Id="rId2825" Type="http://schemas.openxmlformats.org/officeDocument/2006/relationships/hyperlink" Target="https://drive.google.com/file/d/1aPLd31YbCbmA2pzP1DLyNEyHhRyXvtEP/view?usp=drivesdk" TargetMode="External"/><Relationship Id="rId2826" Type="http://schemas.openxmlformats.org/officeDocument/2006/relationships/hyperlink" Target="https://drive.google.com/file/d/1zNwGAHvInk9Jz7uyzbtdfljvlh-JNmhL/view?usp=drivesdk" TargetMode="External"/><Relationship Id="rId2827" Type="http://schemas.openxmlformats.org/officeDocument/2006/relationships/hyperlink" Target="https://drive.google.com/file/d/1OD23QR_9WFns4VXpd2dYvAqpTtM6xVbd/view?usp=drivesdk" TargetMode="External"/><Relationship Id="rId2828" Type="http://schemas.openxmlformats.org/officeDocument/2006/relationships/hyperlink" Target="https://drive.google.com/file/d/1mgGtbu8I7G9mTu7ihR7tBDcn3j4cke0K/view?usp=drivesdk" TargetMode="External"/><Relationship Id="rId2829" Type="http://schemas.openxmlformats.org/officeDocument/2006/relationships/hyperlink" Target="https://drive.google.com/file/d/1vJmwh3sLXGLzw2QRE_98Wmed8Zp6rDki/view?usp=drivesdk" TargetMode="External"/><Relationship Id="rId2810" Type="http://schemas.openxmlformats.org/officeDocument/2006/relationships/hyperlink" Target="https://drive.google.com/file/d/1hsn_N1a3U4t61h6SbrkPViIRce4ulh0y/view?usp=drivesdk" TargetMode="External"/><Relationship Id="rId2811" Type="http://schemas.openxmlformats.org/officeDocument/2006/relationships/hyperlink" Target="https://drive.google.com/file/d/15pzxWvcCBQNGGG1rkO_tmKk4iiwc7VG6/view?usp=drivesdk" TargetMode="External"/><Relationship Id="rId2812" Type="http://schemas.openxmlformats.org/officeDocument/2006/relationships/hyperlink" Target="https://drive.google.com/file/d/1ed9ujS8pSh7jc77VLpmniANDH_zYQGnt/view?usp=drivesdk" TargetMode="External"/><Relationship Id="rId2813" Type="http://schemas.openxmlformats.org/officeDocument/2006/relationships/hyperlink" Target="https://drive.google.com/file/d/17PjslcdT9WUaChAPDg9HqkXKS6yMJNbT/view?usp=drivesdk" TargetMode="External"/><Relationship Id="rId2814" Type="http://schemas.openxmlformats.org/officeDocument/2006/relationships/hyperlink" Target="https://drive.google.com/file/d/1MSN_4ztDo6XO-1VzoqbK1cHH9Bwh7GJb/view?usp=drivesdk" TargetMode="External"/><Relationship Id="rId2815" Type="http://schemas.openxmlformats.org/officeDocument/2006/relationships/hyperlink" Target="https://drive.google.com/file/d/1yshlWYY4psaneJQqShm5PAxrXfHtS439/view?usp=drivesdk" TargetMode="External"/><Relationship Id="rId2816" Type="http://schemas.openxmlformats.org/officeDocument/2006/relationships/hyperlink" Target="https://drive.google.com/file/d/1WMUciPuhFJ1Am1cVRrpKXvYqnlxn75G5/view?usp=drivesdk" TargetMode="External"/><Relationship Id="rId2817" Type="http://schemas.openxmlformats.org/officeDocument/2006/relationships/hyperlink" Target="https://drive.google.com/file/d/1qqOrhWNNbPBdXkOpfHMBeo_M2_GIR0df/view?usp=drivesdk" TargetMode="External"/><Relationship Id="rId2818" Type="http://schemas.openxmlformats.org/officeDocument/2006/relationships/hyperlink" Target="https://drive.google.com/file/d/1AUBgcoJQs6nKAM26Xi2bwTlRsiFUH9k8/view?usp=drivesdk" TargetMode="External"/><Relationship Id="rId2819" Type="http://schemas.openxmlformats.org/officeDocument/2006/relationships/hyperlink" Target="https://drive.google.com/file/d/1x_TaG-XwBiQ6UGC-PDkZHqFEtgmcpGdK/view?usp=drivesdk" TargetMode="External"/><Relationship Id="rId1510" Type="http://schemas.openxmlformats.org/officeDocument/2006/relationships/hyperlink" Target="https://drive.google.com/file/d/1moe_SOMhWda0UEj2FrTynSyJjcM5jhn5/view?usp=drivesdk" TargetMode="External"/><Relationship Id="rId2841" Type="http://schemas.openxmlformats.org/officeDocument/2006/relationships/hyperlink" Target="https://drive.google.com/file/d/1QBwoDocyFPyAv8vrr0SDB0zdriBfY5Gm/view?usp=drivesdk" TargetMode="External"/><Relationship Id="rId1511" Type="http://schemas.openxmlformats.org/officeDocument/2006/relationships/hyperlink" Target="https://drive.google.com/file/d/18EshwL26-6BxHO18nCp5Z-QS4k4L6V4i/view?usp=drivesdk" TargetMode="External"/><Relationship Id="rId2842" Type="http://schemas.openxmlformats.org/officeDocument/2006/relationships/hyperlink" Target="https://drive.google.com/file/d/162vguYsdbMVJqr18QDcOAMMC6GxJAO-M/view?usp=drivesdk" TargetMode="External"/><Relationship Id="rId1512" Type="http://schemas.openxmlformats.org/officeDocument/2006/relationships/hyperlink" Target="https://drive.google.com/file/d/13eQZIZepVh5w368p3xY51PmiKLOqhDNB/view?usp=drivesdk" TargetMode="External"/><Relationship Id="rId2843" Type="http://schemas.openxmlformats.org/officeDocument/2006/relationships/hyperlink" Target="https://drive.google.com/file/d/10Dk7YqEiIW91nyHnvVaKIa6LscXu5RNt/view?usp=drivesdk" TargetMode="External"/><Relationship Id="rId1513" Type="http://schemas.openxmlformats.org/officeDocument/2006/relationships/hyperlink" Target="https://drive.google.com/file/d/1gA9FYEYKoyn4-WI7B3V_nuG0Harb7Udm/view?usp=drivesdk" TargetMode="External"/><Relationship Id="rId2844" Type="http://schemas.openxmlformats.org/officeDocument/2006/relationships/hyperlink" Target="https://drive.google.com/file/d/1K6U7M_gQLdeBZXH0HrCYemuFA7ud1uPa/view?usp=drivesdk" TargetMode="External"/><Relationship Id="rId1514" Type="http://schemas.openxmlformats.org/officeDocument/2006/relationships/hyperlink" Target="https://drive.google.com/file/d/1muHRKI6a7GxpOQBpU5TJmt35Ozd_UPA1/view?usp=drivesdk" TargetMode="External"/><Relationship Id="rId2845" Type="http://schemas.openxmlformats.org/officeDocument/2006/relationships/hyperlink" Target="https://drive.google.com/file/d/1lRM37qj36VvVLam1KF2NoN_GcKvFghAQ/view?usp=drivesdk" TargetMode="External"/><Relationship Id="rId1515" Type="http://schemas.openxmlformats.org/officeDocument/2006/relationships/hyperlink" Target="https://drive.google.com/file/d/1EpJV7ctQFD28_G5CpUiwrqFWUDj8-1P1/view?usp=drivesdk" TargetMode="External"/><Relationship Id="rId2846" Type="http://schemas.openxmlformats.org/officeDocument/2006/relationships/hyperlink" Target="https://drive.google.com/file/d/12Hau6HZJYmuoDCsDtsl_AKpxerKKXbAM/view?usp=drivesdk" TargetMode="External"/><Relationship Id="rId1516" Type="http://schemas.openxmlformats.org/officeDocument/2006/relationships/hyperlink" Target="https://drive.google.com/file/d/1vbUBXnXXlkLTM97_OoOZmUtbFYdmJAo_/view?usp=drivesdk" TargetMode="External"/><Relationship Id="rId2847" Type="http://schemas.openxmlformats.org/officeDocument/2006/relationships/hyperlink" Target="https://drive.google.com/file/d/1ked0961skiSPtCfzpCQ0faSU3We-8LfT/view?usp=drivesdk" TargetMode="External"/><Relationship Id="rId1517" Type="http://schemas.openxmlformats.org/officeDocument/2006/relationships/hyperlink" Target="https://drive.google.com/file/d/1q99aWK8wHESOiqD_cnwk8z6LlUSoECpI/view?usp=drivesdk" TargetMode="External"/><Relationship Id="rId2848" Type="http://schemas.openxmlformats.org/officeDocument/2006/relationships/hyperlink" Target="https://drive.google.com/file/d/18JZM1Ia5jXd_ZaR00z5Me9sCb4Acd-RM/view?usp=drivesdk" TargetMode="External"/><Relationship Id="rId1518" Type="http://schemas.openxmlformats.org/officeDocument/2006/relationships/hyperlink" Target="https://drive.google.com/file/d/196o6cnfm7PvoEkwCOC73VscFffg-ls3j/view?usp=drivesdk" TargetMode="External"/><Relationship Id="rId2849" Type="http://schemas.openxmlformats.org/officeDocument/2006/relationships/hyperlink" Target="https://drive.google.com/file/d/15WYwQd_n2nY_yctBp8D5VQVYK6OaeAXU/view?usp=drivesdk" TargetMode="External"/><Relationship Id="rId1519" Type="http://schemas.openxmlformats.org/officeDocument/2006/relationships/hyperlink" Target="https://drive.google.com/file/d/1ATNFnzvXJdVBNHEms9oe1BqssBVboUn_/view?usp=drivesdk" TargetMode="External"/><Relationship Id="rId12298" Type="http://schemas.openxmlformats.org/officeDocument/2006/relationships/hyperlink" Target="https://drive.google.com/file/d/1W4RxizC_u0BXuxn3YqERA0EZtpWC5mah/view?usp=drivesdk" TargetMode="External"/><Relationship Id="rId12297" Type="http://schemas.openxmlformats.org/officeDocument/2006/relationships/hyperlink" Target="https://drive.google.com/file/d/1XBt0zIjFkZ16EuBI1RJvde2XwmcqJqrA/view?usp=drivesdk" TargetMode="External"/><Relationship Id="rId12296" Type="http://schemas.openxmlformats.org/officeDocument/2006/relationships/hyperlink" Target="https://drive.google.com/file/d/17sVHnoaViQTbV1l5pQ9CSNEmYNg-Roi4/view?usp=drivesdk" TargetMode="External"/><Relationship Id="rId12295" Type="http://schemas.openxmlformats.org/officeDocument/2006/relationships/hyperlink" Target="https://drive.google.com/file/d/1VOIABFVMUAfFnSvDSS_He6y1ZuTCZZCD/view?usp=drivesdk" TargetMode="External"/><Relationship Id="rId2840" Type="http://schemas.openxmlformats.org/officeDocument/2006/relationships/hyperlink" Target="https://drive.google.com/file/d/1479TvMpFoXPu8Twp2dscDDQ3hGYYWm9T/view?usp=drivesdk" TargetMode="External"/><Relationship Id="rId12299" Type="http://schemas.openxmlformats.org/officeDocument/2006/relationships/hyperlink" Target="https://drive.google.com/file/d/17p6f0Icxd57rkkPQ04mOazK-LoX23Wud/view?usp=drivesdk" TargetMode="External"/><Relationship Id="rId2830" Type="http://schemas.openxmlformats.org/officeDocument/2006/relationships/hyperlink" Target="https://drive.google.com/file/d/1MUlq77UagGa7Gs2k330huPfK1A1uG0gF/view?usp=drivesdk" TargetMode="External"/><Relationship Id="rId1500" Type="http://schemas.openxmlformats.org/officeDocument/2006/relationships/hyperlink" Target="https://drive.google.com/file/d/1TKU2FHTALoy1Vp4qv0yuC7toe-H4Nw1h/view?usp=drivesdk" TargetMode="External"/><Relationship Id="rId2831" Type="http://schemas.openxmlformats.org/officeDocument/2006/relationships/hyperlink" Target="https://drive.google.com/file/d/1ZGZrvntVVyq9UlaVJCuZZu4Owf-dNmUQ/view?usp=drivesdk" TargetMode="External"/><Relationship Id="rId1501" Type="http://schemas.openxmlformats.org/officeDocument/2006/relationships/hyperlink" Target="https://drive.google.com/file/d/11uv0c8UhC9BTSRtWBO0ii_1otUYpFfiO/view?usp=drivesdk" TargetMode="External"/><Relationship Id="rId2832" Type="http://schemas.openxmlformats.org/officeDocument/2006/relationships/hyperlink" Target="https://drive.google.com/file/d/1GRi06V3Cc8FtUyngWPuf6IJcrduQnOY4/view?usp=drivesdk" TargetMode="External"/><Relationship Id="rId1502" Type="http://schemas.openxmlformats.org/officeDocument/2006/relationships/hyperlink" Target="https://drive.google.com/file/d/1NkUzlHRmYzdcTvgZ8G1VecrD_zFigTYd/view?usp=drivesdk" TargetMode="External"/><Relationship Id="rId2833" Type="http://schemas.openxmlformats.org/officeDocument/2006/relationships/hyperlink" Target="https://drive.google.com/file/d/1C7D9mPeHNzSAiKIELnrMK1k4rMb1_-vq/view?usp=drivesdk" TargetMode="External"/><Relationship Id="rId1503" Type="http://schemas.openxmlformats.org/officeDocument/2006/relationships/hyperlink" Target="https://drive.google.com/file/d/1YlYffcI0AFmnPpUU_e7g2Q3JqT6tbw-V/view?usp=drivesdk" TargetMode="External"/><Relationship Id="rId2834" Type="http://schemas.openxmlformats.org/officeDocument/2006/relationships/hyperlink" Target="https://drive.google.com/file/d/1E0s1ESOEvVdVjaQPyPP95ywoM-L28zee/view?usp=drivesdk" TargetMode="External"/><Relationship Id="rId1504" Type="http://schemas.openxmlformats.org/officeDocument/2006/relationships/hyperlink" Target="https://drive.google.com/file/d/1oZ0SoF7l7Nx27xBqTRa83VaKF4sxF6_B/view?usp=drivesdk" TargetMode="External"/><Relationship Id="rId2835" Type="http://schemas.openxmlformats.org/officeDocument/2006/relationships/hyperlink" Target="https://drive.google.com/file/d/1d-GR0XHi8UWlKNCQH1IJhcRSgyrLp8pi/view?usp=drivesdk" TargetMode="External"/><Relationship Id="rId1505" Type="http://schemas.openxmlformats.org/officeDocument/2006/relationships/hyperlink" Target="https://drive.google.com/file/d/1489yrY2VhsOHXIZs83sqCui2iAFwsqOF/view?usp=drivesdk" TargetMode="External"/><Relationship Id="rId2836" Type="http://schemas.openxmlformats.org/officeDocument/2006/relationships/hyperlink" Target="https://drive.google.com/file/d/1xinKxLHB4brxVZd0m_53rb15FbcIcvrV/view?usp=drivesdk" TargetMode="External"/><Relationship Id="rId1506" Type="http://schemas.openxmlformats.org/officeDocument/2006/relationships/hyperlink" Target="https://drive.google.com/file/d/1XklPfaf5psTK-EmuUgtgdtWYF1SVhXBr/view?usp=drivesdk" TargetMode="External"/><Relationship Id="rId2837" Type="http://schemas.openxmlformats.org/officeDocument/2006/relationships/hyperlink" Target="https://drive.google.com/file/d/1iDuCXWPY9sNetjUUnnsftIwFtSKr6Fv9/view?usp=drivesdk" TargetMode="External"/><Relationship Id="rId1507" Type="http://schemas.openxmlformats.org/officeDocument/2006/relationships/hyperlink" Target="https://drive.google.com/file/d/1JQUd6mul-o--CIjJ1UxdFbE1WDhsvTfI/view?usp=drivesdk" TargetMode="External"/><Relationship Id="rId2838" Type="http://schemas.openxmlformats.org/officeDocument/2006/relationships/hyperlink" Target="https://drive.google.com/file/d/1VNYVsrOIsZ7rdyvZHaR3VdiLRm6vy-sD/view?usp=drivesdk" TargetMode="External"/><Relationship Id="rId1508" Type="http://schemas.openxmlformats.org/officeDocument/2006/relationships/hyperlink" Target="https://drive.google.com/file/d/1gvjz-h5WBR4lyDhZeI-yQxGQHO_VnDvI/view?usp=drivesdk" TargetMode="External"/><Relationship Id="rId2839" Type="http://schemas.openxmlformats.org/officeDocument/2006/relationships/hyperlink" Target="https://drive.google.com/file/d/1lrjCb2C90JKybenAYF9YteCRCfkDYLJ9/view?usp=drivesdk" TargetMode="External"/><Relationship Id="rId1509" Type="http://schemas.openxmlformats.org/officeDocument/2006/relationships/hyperlink" Target="https://drive.google.com/file/d/1NmYBbKdpZe899gYhhqubYlI4RU7ArjKQ/view?usp=drivesdk" TargetMode="External"/><Relationship Id="rId2800" Type="http://schemas.openxmlformats.org/officeDocument/2006/relationships/hyperlink" Target="https://drive.google.com/file/d/1eXxq0wXW0d-1zwuCLBBbC9zDpjuctO1I/view?usp=drivesdk" TargetMode="External"/><Relationship Id="rId2801" Type="http://schemas.openxmlformats.org/officeDocument/2006/relationships/hyperlink" Target="https://drive.google.com/file/d/1aLbuPXBhISpwZ9GeyGUZKM9QoZ1Jefov/view?usp=drivesdk" TargetMode="External"/><Relationship Id="rId2802" Type="http://schemas.openxmlformats.org/officeDocument/2006/relationships/hyperlink" Target="https://drive.google.com/file/d/1BI4bPLesq96C02l5uSuiNKeOsSmPXA_v/view?usp=drivesdk" TargetMode="External"/><Relationship Id="rId2803" Type="http://schemas.openxmlformats.org/officeDocument/2006/relationships/hyperlink" Target="https://drive.google.com/file/d/1FSvHXEtHjj9gMXq3ILx7zTq-oONf1Blo/view?usp=drivesdk" TargetMode="External"/><Relationship Id="rId2804" Type="http://schemas.openxmlformats.org/officeDocument/2006/relationships/hyperlink" Target="https://drive.google.com/file/d/10QHlaf8EtpkpOhKdOGFiDryjdwBSwVV-/view?usp=drivesdk" TargetMode="External"/><Relationship Id="rId2805" Type="http://schemas.openxmlformats.org/officeDocument/2006/relationships/hyperlink" Target="https://drive.google.com/file/d/1StKb0PWmI2l0vB-mSkIkNLOWsx4WFWmT/view?usp=drivesdk" TargetMode="External"/><Relationship Id="rId2806" Type="http://schemas.openxmlformats.org/officeDocument/2006/relationships/hyperlink" Target="https://drive.google.com/file/d/1o3kAo82jlN4wVzFWbwLczZsChGJcy5bA/view?usp=drivesdk" TargetMode="External"/><Relationship Id="rId2807" Type="http://schemas.openxmlformats.org/officeDocument/2006/relationships/hyperlink" Target="https://drive.google.com/file/d/1aRRx3-gdKfeNIYJVLgPCIqg-VJgtGf42/view?usp=drivesdk" TargetMode="External"/><Relationship Id="rId2808" Type="http://schemas.openxmlformats.org/officeDocument/2006/relationships/hyperlink" Target="https://drive.google.com/file/d/1JccJjxQODI9rNnrvE-YO9zC04j19sOm0/view?usp=drivesdk" TargetMode="External"/><Relationship Id="rId2809" Type="http://schemas.openxmlformats.org/officeDocument/2006/relationships/hyperlink" Target="https://drive.google.com/file/d/1FSBzoDv4QR0VHDud1ozuihKvJLSxTuj9/view?usp=drivesdk" TargetMode="External"/><Relationship Id="rId1576" Type="http://schemas.openxmlformats.org/officeDocument/2006/relationships/hyperlink" Target="https://drive.google.com/file/d/1zaNmHuB2aqdF3DAXpNT7hgmFWf9IYJmR/view?usp=drivesdk" TargetMode="External"/><Relationship Id="rId1577" Type="http://schemas.openxmlformats.org/officeDocument/2006/relationships/hyperlink" Target="https://drive.google.com/file/d/14WwvG-e2eIS2UXdbAM3_l9l3IJWvYrSC/view?usp=drivesdk" TargetMode="External"/><Relationship Id="rId1578" Type="http://schemas.openxmlformats.org/officeDocument/2006/relationships/hyperlink" Target="https://drive.google.com/file/d/1iuZMrY7zLZCJr1RqsM2GNzIigbchinhP/view?usp=drivesdk" TargetMode="External"/><Relationship Id="rId1579" Type="http://schemas.openxmlformats.org/officeDocument/2006/relationships/hyperlink" Target="https://drive.google.com/file/d/1XC9qnwagFMrDwXOVHffRwxzZVqWHbMqz/view?usp=drivesdk" TargetMode="External"/><Relationship Id="rId12360" Type="http://schemas.openxmlformats.org/officeDocument/2006/relationships/hyperlink" Target="https://drive.google.com/file/d/1Jk6HXBFTKqQRx5sCjk6nrGndBfkd1RUJ/view?usp=drivesdk" TargetMode="External"/><Relationship Id="rId13691" Type="http://schemas.openxmlformats.org/officeDocument/2006/relationships/hyperlink" Target="https://drive.google.com/file/d/1qqBQ6dd-A4CTCauJMOgxzmmSiR7lyHUt/view?usp=drivesdk" TargetMode="External"/><Relationship Id="rId13690" Type="http://schemas.openxmlformats.org/officeDocument/2006/relationships/hyperlink" Target="https://drive.google.com/file/d/1RFfnYuRMY1lTFDVMuUWuVs2WOVF3m5vI/view?usp=drivesdk" TargetMode="External"/><Relationship Id="rId11029" Type="http://schemas.openxmlformats.org/officeDocument/2006/relationships/hyperlink" Target="https://drive.google.com/file/d/1Wv4prbYS0AL6G24HEw0n34QPNUeyS9NA/view?usp=drivesdk" TargetMode="External"/><Relationship Id="rId11027" Type="http://schemas.openxmlformats.org/officeDocument/2006/relationships/hyperlink" Target="https://drive.google.com/file/d/1bGqEKBxm2LRSVxxd4bQ03ijEh2_7oy-8/view?usp=drivesdk" TargetMode="External"/><Relationship Id="rId12359" Type="http://schemas.openxmlformats.org/officeDocument/2006/relationships/hyperlink" Target="https://drive.google.com/file/d/15GaU7MIX7312oQZGz0CgsGRTr1LDsCEl/view?usp=drivesdk" TargetMode="External"/><Relationship Id="rId11028" Type="http://schemas.openxmlformats.org/officeDocument/2006/relationships/hyperlink" Target="https://drive.google.com/file/d/1INOVSyUaRYO7R6thMETBwwQSoob9JC_U/view?usp=drivesdk" TargetMode="External"/><Relationship Id="rId12358" Type="http://schemas.openxmlformats.org/officeDocument/2006/relationships/hyperlink" Target="https://drive.google.com/file/d/1KEKcvT-ThAQQyByikTllnjoPkeBZ_XMp/view?usp=drivesdk" TargetMode="External"/><Relationship Id="rId13689" Type="http://schemas.openxmlformats.org/officeDocument/2006/relationships/hyperlink" Target="https://drive.google.com/file/d/1P9fuPvgX9NkCEhQKC0lNqo_WrWdOJ-z_/view?usp=drivesdk" TargetMode="External"/><Relationship Id="rId11021" Type="http://schemas.openxmlformats.org/officeDocument/2006/relationships/hyperlink" Target="https://drive.google.com/file/d/1qVarAQtZHHprK0bOvg5SxOktY2hvU5Hi/view?usp=drivesdk" TargetMode="External"/><Relationship Id="rId12353" Type="http://schemas.openxmlformats.org/officeDocument/2006/relationships/hyperlink" Target="https://drive.google.com/file/d/1l5D-LTNOd24hEHBUCsZkDRyYstnpgBv9/view?usp=drivesdk" TargetMode="External"/><Relationship Id="rId13684" Type="http://schemas.openxmlformats.org/officeDocument/2006/relationships/hyperlink" Target="https://drive.google.com/file/d/1oyC8SH7zf7dJIVBqsd19xcjMwGf59vy6/view?usp=drivesdk" TargetMode="External"/><Relationship Id="rId11022" Type="http://schemas.openxmlformats.org/officeDocument/2006/relationships/hyperlink" Target="https://drive.google.com/file/d/1_nEioXXdfGN62OpyPpbhWDoSgvhPKse3/view?usp=drivesdk" TargetMode="External"/><Relationship Id="rId12352" Type="http://schemas.openxmlformats.org/officeDocument/2006/relationships/hyperlink" Target="https://drive.google.com/file/d/1QDXzxOmKBhH4sJXTCh_w2gn31urYjLgm/view?usp=drivesdk" TargetMode="External"/><Relationship Id="rId13683" Type="http://schemas.openxmlformats.org/officeDocument/2006/relationships/hyperlink" Target="https://drive.google.com/file/d/12szsR75Nm5JlXDDEqgA6mdlgWrgP-JA3/view?usp=drivesdk" TargetMode="External"/><Relationship Id="rId1570" Type="http://schemas.openxmlformats.org/officeDocument/2006/relationships/hyperlink" Target="https://drive.google.com/file/d/1seQ7-b1hSi4IpTvnAc-qSo7DCmrlrWpA/view?usp=drivesdk" TargetMode="External"/><Relationship Id="rId12351" Type="http://schemas.openxmlformats.org/officeDocument/2006/relationships/hyperlink" Target="https://drive.google.com/file/d/1OeUp6iypZybtSfPt6yOeuC8a6DVaVKnE/view?usp=drivesdk" TargetMode="External"/><Relationship Id="rId13682" Type="http://schemas.openxmlformats.org/officeDocument/2006/relationships/hyperlink" Target="https://drive.google.com/file/d/1kEkUyoD9oH15MxCgCpphygFIpkF4nn0j/view?usp=drivesdk" TargetMode="External"/><Relationship Id="rId1571" Type="http://schemas.openxmlformats.org/officeDocument/2006/relationships/hyperlink" Target="https://drive.google.com/file/d/1-uDn57n1Yok6g4SGYNU6eo3Qy9ftC77u/view?usp=drivesdk" TargetMode="External"/><Relationship Id="rId11020" Type="http://schemas.openxmlformats.org/officeDocument/2006/relationships/hyperlink" Target="https://drive.google.com/file/d/1r_ygPC3XxW5VOC0Z3Q4RbKSU5rDv6bQA/view?usp=drivesdk" TargetMode="External"/><Relationship Id="rId12350" Type="http://schemas.openxmlformats.org/officeDocument/2006/relationships/hyperlink" Target="https://drive.google.com/file/d/1t2kuRtjRJTo5UKbloahpiMt70TRaQpKn/view?usp=drivesdk" TargetMode="External"/><Relationship Id="rId13681" Type="http://schemas.openxmlformats.org/officeDocument/2006/relationships/hyperlink" Target="https://drive.google.com/file/d/1QG_TGlRRHHwHsDpBJ2LBmvwANZnVeokX/view?usp=drivesdk" TargetMode="External"/><Relationship Id="rId1572" Type="http://schemas.openxmlformats.org/officeDocument/2006/relationships/hyperlink" Target="https://drive.google.com/file/d/1egXi0qIpdvfoHbYzUtHPsPx3iE_cfeHw/view?usp=drivesdk" TargetMode="External"/><Relationship Id="rId11025" Type="http://schemas.openxmlformats.org/officeDocument/2006/relationships/hyperlink" Target="https://drive.google.com/file/d/1GYcQ11M4CmYe4zZvXwaCYArd-IBDmp0F/view?usp=drivesdk" TargetMode="External"/><Relationship Id="rId12357" Type="http://schemas.openxmlformats.org/officeDocument/2006/relationships/hyperlink" Target="https://drive.google.com/file/d/13LyTqgd2PEOQHCVWgVcrWAlrfRIWj34Y/view?usp=drivesdk" TargetMode="External"/><Relationship Id="rId13688" Type="http://schemas.openxmlformats.org/officeDocument/2006/relationships/hyperlink" Target="https://drive.google.com/file/d/12Sb7F_2h7IA5REOfTY_-16db2jbtFylU/view?usp=drivesdk" TargetMode="External"/><Relationship Id="rId1573" Type="http://schemas.openxmlformats.org/officeDocument/2006/relationships/hyperlink" Target="https://drive.google.com/file/d/1M7q-VSAA1Vx9ddeGh2yhRNzSOmaaNHUk/view?usp=drivesdk" TargetMode="External"/><Relationship Id="rId11026" Type="http://schemas.openxmlformats.org/officeDocument/2006/relationships/hyperlink" Target="https://drive.google.com/file/d/1sn86H3eNCRXVu6g7VUTfPkE3QwzMItl0/view?usp=drivesdk" TargetMode="External"/><Relationship Id="rId12356" Type="http://schemas.openxmlformats.org/officeDocument/2006/relationships/hyperlink" Target="https://drive.google.com/file/d/1RlUTdzEhyJ6h8FRki9EGfeOcEbJY0gi_/view?usp=drivesdk" TargetMode="External"/><Relationship Id="rId13687" Type="http://schemas.openxmlformats.org/officeDocument/2006/relationships/hyperlink" Target="https://drive.google.com/file/d/1rdLuHAaW2PuXIqqOHv8vUw4KteqqBdLT/view?usp=drivesdk" TargetMode="External"/><Relationship Id="rId1574" Type="http://schemas.openxmlformats.org/officeDocument/2006/relationships/hyperlink" Target="https://drive.google.com/file/d/1XxzaOHkQ6CSFVJnkRuWE6O4lMRfs4JBI/view?usp=drivesdk" TargetMode="External"/><Relationship Id="rId11023" Type="http://schemas.openxmlformats.org/officeDocument/2006/relationships/hyperlink" Target="https://drive.google.com/file/d/1EpGywOzihMhCOsV_YPIoRRdD49Qb6ERy/view?usp=drivesdk" TargetMode="External"/><Relationship Id="rId12355" Type="http://schemas.openxmlformats.org/officeDocument/2006/relationships/hyperlink" Target="https://drive.google.com/file/d/1odP9A7axJdzOgf-t-zv23jB4B6OI8xNG/view?usp=drivesdk" TargetMode="External"/><Relationship Id="rId13686" Type="http://schemas.openxmlformats.org/officeDocument/2006/relationships/hyperlink" Target="https://drive.google.com/file/d/11JXGxuH4AkP186pMVJN1hVHrznPx7aXZ/view?usp=drivesdk" TargetMode="External"/><Relationship Id="rId1575" Type="http://schemas.openxmlformats.org/officeDocument/2006/relationships/hyperlink" Target="https://drive.google.com/file/d/1aVhSKnaAHDfmuoj4i5ucOh5W9h0hrDiu/view?usp=drivesdk" TargetMode="External"/><Relationship Id="rId11024" Type="http://schemas.openxmlformats.org/officeDocument/2006/relationships/hyperlink" Target="https://drive.google.com/file/d/16BZy1vaNz9nDAkbAyAxSbbL_s_mMoKs2/view?usp=drivesdk" TargetMode="External"/><Relationship Id="rId12354" Type="http://schemas.openxmlformats.org/officeDocument/2006/relationships/hyperlink" Target="https://drive.google.com/file/d/1wJlcIe3lmwgLQRbFUc-bSgzpiGaiAbkn/view?usp=drivesdk" TargetMode="External"/><Relationship Id="rId13685" Type="http://schemas.openxmlformats.org/officeDocument/2006/relationships/hyperlink" Target="https://drive.google.com/file/d/1XcdElY_olHz117PtnsrGXsI4-4NFVqao/view?usp=drivesdk" TargetMode="External"/><Relationship Id="rId1565" Type="http://schemas.openxmlformats.org/officeDocument/2006/relationships/hyperlink" Target="https://drive.google.com/file/d/1HzoG3KVoAKrIWgvPScJ0nHG2x0qB4OOO/view?usp=drivesdk" TargetMode="External"/><Relationship Id="rId2896" Type="http://schemas.openxmlformats.org/officeDocument/2006/relationships/hyperlink" Target="https://drive.google.com/file/d/1s9iigHfsRsu8EXBqlSgPoGD8rH2U3Yxf/view?usp=drivesdk" TargetMode="External"/><Relationship Id="rId1566" Type="http://schemas.openxmlformats.org/officeDocument/2006/relationships/hyperlink" Target="https://drive.google.com/file/d/1AaRl4po3EfgoSTm-aVwcBBFyaF6ilrHA/view?usp=drivesdk" TargetMode="External"/><Relationship Id="rId2897" Type="http://schemas.openxmlformats.org/officeDocument/2006/relationships/hyperlink" Target="https://drive.google.com/file/d/15qUSEFm-ntiF5po8yycMxyYL4gqct71k/view?usp=drivesdk" TargetMode="External"/><Relationship Id="rId1567" Type="http://schemas.openxmlformats.org/officeDocument/2006/relationships/hyperlink" Target="https://drive.google.com/file/d/15GkUM6bt64wgLfT7SXSfpmIKbjUAgpJE/view?usp=drivesdk" TargetMode="External"/><Relationship Id="rId2898" Type="http://schemas.openxmlformats.org/officeDocument/2006/relationships/hyperlink" Target="https://drive.google.com/file/d/1ClpeTt70O0A8tiecdAZpFE4vpLo7Ql9A/view?usp=drivesdk" TargetMode="External"/><Relationship Id="rId1568" Type="http://schemas.openxmlformats.org/officeDocument/2006/relationships/hyperlink" Target="https://drive.google.com/file/d/1Hf4Cksi20_TE6dxk3rObAzTg48IwUmVg/view?usp=drivesdk" TargetMode="External"/><Relationship Id="rId2899" Type="http://schemas.openxmlformats.org/officeDocument/2006/relationships/hyperlink" Target="https://drive.google.com/file/d/1oxjL1b86cv1tXDNfQurkMLxfuv1NNo6K/view?usp=drivesdk" TargetMode="External"/><Relationship Id="rId1569" Type="http://schemas.openxmlformats.org/officeDocument/2006/relationships/hyperlink" Target="https://drive.google.com/file/d/1LWkFMYNtdNX5t35LKFyIedxvjVAK6eYI/view?usp=drivesdk" TargetMode="External"/><Relationship Id="rId12371" Type="http://schemas.openxmlformats.org/officeDocument/2006/relationships/hyperlink" Target="https://drive.google.com/file/d/1ChETB6G2vCrc0hmFYE3aulmn0X_cGJzP/view?usp=drivesdk" TargetMode="External"/><Relationship Id="rId11040" Type="http://schemas.openxmlformats.org/officeDocument/2006/relationships/hyperlink" Target="https://drive.google.com/file/d/1sXZS1upqFmeLz0kLjB6Z7E56OJsxnRmO/view?usp=drivesdk" TargetMode="External"/><Relationship Id="rId12370" Type="http://schemas.openxmlformats.org/officeDocument/2006/relationships/hyperlink" Target="https://drive.google.com/file/d/1y4cyvCp7BmxOMujVPFQzJU60lNRMYuoO/view?usp=drivesdk" TargetMode="External"/><Relationship Id="rId11038" Type="http://schemas.openxmlformats.org/officeDocument/2006/relationships/hyperlink" Target="https://drive.google.com/file/d/1YYh-fpT3Wv8xnJOPvWZqA8IN4cFJqTHo/view?usp=drivesdk" TargetMode="External"/><Relationship Id="rId11039" Type="http://schemas.openxmlformats.org/officeDocument/2006/relationships/hyperlink" Target="https://drive.google.com/file/d/1LUCw-2MRJmNck7vT6KJkSC0hmDHG3GcU/view?usp=drivesdk" TargetMode="External"/><Relationship Id="rId12369" Type="http://schemas.openxmlformats.org/officeDocument/2006/relationships/hyperlink" Target="https://drive.google.com/file/d/1OXRjkRwQ9xgV0RNa9joUg0qM8-DQ8DH6/view?usp=drivesdk" TargetMode="External"/><Relationship Id="rId11032" Type="http://schemas.openxmlformats.org/officeDocument/2006/relationships/hyperlink" Target="https://drive.google.com/file/d/18Bcp_X8oKoBkTQYhDBiEF9wjeUDyFUKE/view?usp=drivesdk" TargetMode="External"/><Relationship Id="rId12364" Type="http://schemas.openxmlformats.org/officeDocument/2006/relationships/hyperlink" Target="https://drive.google.com/file/d/16uzz3xle_6yuxr4j-C8SMwT4otDZL553/view?usp=drivesdk" TargetMode="External"/><Relationship Id="rId13695" Type="http://schemas.openxmlformats.org/officeDocument/2006/relationships/hyperlink" Target="https://drive.google.com/file/d/1M0OAGT740U2XTTMCkuJUV8EwpGQHmcj_/view?usp=drivesdk" TargetMode="External"/><Relationship Id="rId11033" Type="http://schemas.openxmlformats.org/officeDocument/2006/relationships/hyperlink" Target="https://drive.google.com/file/d/1e0ez9aknVbLXTJkFDM05XwR9xBJ49dVQ/view?usp=drivesdk" TargetMode="External"/><Relationship Id="rId12363" Type="http://schemas.openxmlformats.org/officeDocument/2006/relationships/hyperlink" Target="https://drive.google.com/file/d/10o9p7XukRB-vbb6ryx_hit4S4lyerY1c/view?usp=drivesdk" TargetMode="External"/><Relationship Id="rId13694" Type="http://schemas.openxmlformats.org/officeDocument/2006/relationships/hyperlink" Target="https://drive.google.com/file/d/1GMKPWr5RWiE3lhJhiV6n5xkeAN3HK-rh/view?usp=drivesdk" TargetMode="External"/><Relationship Id="rId2890" Type="http://schemas.openxmlformats.org/officeDocument/2006/relationships/hyperlink" Target="https://drive.google.com/file/d/1dAU8WRM5TFuBjVTKmtrtxvVuMFGKKJpp/view?usp=drivesdk" TargetMode="External"/><Relationship Id="rId11030" Type="http://schemas.openxmlformats.org/officeDocument/2006/relationships/hyperlink" Target="https://drive.google.com/file/d/1W5YFQLYvkmm27mTF3K_CkQSw9rkzvJZs/view?usp=drivesdk" TargetMode="External"/><Relationship Id="rId12362" Type="http://schemas.openxmlformats.org/officeDocument/2006/relationships/hyperlink" Target="https://drive.google.com/file/d/1y1gC-a2_BFtKH9ktVVnixeVJ8a0smeNg/view?usp=drivesdk" TargetMode="External"/><Relationship Id="rId13693" Type="http://schemas.openxmlformats.org/officeDocument/2006/relationships/hyperlink" Target="https://drive.google.com/file/d/1dExloF7g6SbJDBU-kFqizbnPArv77nBY/view?usp=drivesdk" TargetMode="External"/><Relationship Id="rId1560" Type="http://schemas.openxmlformats.org/officeDocument/2006/relationships/hyperlink" Target="https://drive.google.com/file/d/1Rh6ikPzPJZ9h64ll02CEjyZOOGuA1eJd/view?usp=drivesdk" TargetMode="External"/><Relationship Id="rId2891" Type="http://schemas.openxmlformats.org/officeDocument/2006/relationships/hyperlink" Target="https://drive.google.com/file/d/135fHnHSMop2o2Y9iOUqdDwEjeuNMkTaB/view?usp=drivesdk" TargetMode="External"/><Relationship Id="rId11031" Type="http://schemas.openxmlformats.org/officeDocument/2006/relationships/hyperlink" Target="https://drive.google.com/file/d/1lv59buGnD7rMXw7xJ-AFj6QxhrtYMG2m/view?usp=drivesdk" TargetMode="External"/><Relationship Id="rId12361" Type="http://schemas.openxmlformats.org/officeDocument/2006/relationships/hyperlink" Target="https://drive.google.com/file/d/1FdrWEenC7FMyZwVa9j-k8yB1OCwnc25b/view?usp=drivesdk" TargetMode="External"/><Relationship Id="rId13692" Type="http://schemas.openxmlformats.org/officeDocument/2006/relationships/hyperlink" Target="https://drive.google.com/file/d/1V6xI59HDf_9Hmn59TfrxZhBSlN9epCp_/view?usp=drivesdk" TargetMode="External"/><Relationship Id="rId1561" Type="http://schemas.openxmlformats.org/officeDocument/2006/relationships/hyperlink" Target="https://drive.google.com/file/d/12lnDTcEDMvDYGLNlimlE4dfm34IT-CVW/view?usp=drivesdk" TargetMode="External"/><Relationship Id="rId2892" Type="http://schemas.openxmlformats.org/officeDocument/2006/relationships/hyperlink" Target="https://drive.google.com/file/d/1aZgO3CGE9jXjWYVmLbgOO0IALbcfQjge/view?usp=drivesdk" TargetMode="External"/><Relationship Id="rId11036" Type="http://schemas.openxmlformats.org/officeDocument/2006/relationships/hyperlink" Target="https://drive.google.com/file/d/1LVWmw_GD-ka4EAYl_QpE2frMiga2zkGb/view?usp=drivesdk" TargetMode="External"/><Relationship Id="rId12368" Type="http://schemas.openxmlformats.org/officeDocument/2006/relationships/hyperlink" Target="https://drive.google.com/file/d/135ypwqxkIfYMVchwMqy-1EJ63WfwRoqI/view?usp=drivesdk" TargetMode="External"/><Relationship Id="rId13699" Type="http://schemas.openxmlformats.org/officeDocument/2006/relationships/hyperlink" Target="https://drive.google.com/file/d/1B7BcOzNQtRUldy_v4e7mNH1bcDulRFz-/view?usp=drivesdk" TargetMode="External"/><Relationship Id="rId1562" Type="http://schemas.openxmlformats.org/officeDocument/2006/relationships/hyperlink" Target="https://drive.google.com/file/d/1qKjL0hhiPhQt_r8zwYXTgQ5fwk4d0RZt/view?usp=drivesdk" TargetMode="External"/><Relationship Id="rId2893" Type="http://schemas.openxmlformats.org/officeDocument/2006/relationships/hyperlink" Target="https://drive.google.com/file/d/1eua7dWyDrg1YE6mr-vkuVpTYxppK-DY_/view?usp=drivesdk" TargetMode="External"/><Relationship Id="rId11037" Type="http://schemas.openxmlformats.org/officeDocument/2006/relationships/hyperlink" Target="https://drive.google.com/file/d/1I1nQ42sVcQhIBfkB2yTBU1f2v4mRYSor/view?usp=drivesdk" TargetMode="External"/><Relationship Id="rId12367" Type="http://schemas.openxmlformats.org/officeDocument/2006/relationships/hyperlink" Target="https://drive.google.com/file/d/12VRo-0EPOHlTn8MIPWcgfz013O1oHREs/view?usp=drivesdk" TargetMode="External"/><Relationship Id="rId13698" Type="http://schemas.openxmlformats.org/officeDocument/2006/relationships/hyperlink" Target="https://drive.google.com/file/d/16l9Jvb2WkvN-gVLpFopcVaFtZ0R3VAld/view?usp=drivesdk" TargetMode="External"/><Relationship Id="rId1563" Type="http://schemas.openxmlformats.org/officeDocument/2006/relationships/hyperlink" Target="https://drive.google.com/file/d/1cbt9Ib7T9ctdwNfHXw6Jh1OCNaD_bAHe/view?usp=drivesdk" TargetMode="External"/><Relationship Id="rId2894" Type="http://schemas.openxmlformats.org/officeDocument/2006/relationships/hyperlink" Target="https://drive.google.com/file/d/1TYGc1qvyqPMgluiM0nEad2UKSUNsk_uP/view?usp=drivesdk" TargetMode="External"/><Relationship Id="rId11034" Type="http://schemas.openxmlformats.org/officeDocument/2006/relationships/hyperlink" Target="https://drive.google.com/file/d/14H9FATpflcdWmoHoxf8YSpjJH00Bjfz1/view?usp=drivesdk" TargetMode="External"/><Relationship Id="rId12366" Type="http://schemas.openxmlformats.org/officeDocument/2006/relationships/hyperlink" Target="https://drive.google.com/file/d/1DUhVoNJWIC-7rw19fQzquICpogcu0YJG/view?usp=drivesdk" TargetMode="External"/><Relationship Id="rId13697" Type="http://schemas.openxmlformats.org/officeDocument/2006/relationships/hyperlink" Target="https://drive.google.com/file/d/1TyS4-syRX5KjqWsu4vB4DJNaik1aEBrd/view?usp=drivesdk" TargetMode="External"/><Relationship Id="rId1564" Type="http://schemas.openxmlformats.org/officeDocument/2006/relationships/hyperlink" Target="https://drive.google.com/file/d/16IXiFv_fG-_g8eFAuLsyQMX1Q7HctmR5/view?usp=drivesdk" TargetMode="External"/><Relationship Id="rId2895" Type="http://schemas.openxmlformats.org/officeDocument/2006/relationships/hyperlink" Target="https://drive.google.com/file/d/1LHC2K1RjQ8FtXR3glMOMNAxI7SFP8ReW/view?usp=drivesdk" TargetMode="External"/><Relationship Id="rId11035" Type="http://schemas.openxmlformats.org/officeDocument/2006/relationships/hyperlink" Target="https://drive.google.com/file/d/1mBFyxGJ_ziwTGyR-Sbxg5pDlrG_TqEAF/view?usp=drivesdk" TargetMode="External"/><Relationship Id="rId12365" Type="http://schemas.openxmlformats.org/officeDocument/2006/relationships/hyperlink" Target="https://drive.google.com/file/d/1zSc5P0DHmwIHpCqpRiSDYB18xOJP6wF1/view?usp=drivesdk" TargetMode="External"/><Relationship Id="rId13696" Type="http://schemas.openxmlformats.org/officeDocument/2006/relationships/hyperlink" Target="https://drive.google.com/file/d/1U9NwoJtdcx4ThnbGodyYvSnCzWAc5J8j/view?usp=drivesdk" TargetMode="External"/><Relationship Id="rId1598" Type="http://schemas.openxmlformats.org/officeDocument/2006/relationships/hyperlink" Target="https://drive.google.com/file/d/1VyJcc_Ki_KVZMgbFB0VG-1KvLuDREnY8/view?usp=drivesdk" TargetMode="External"/><Relationship Id="rId1599" Type="http://schemas.openxmlformats.org/officeDocument/2006/relationships/hyperlink" Target="https://drive.google.com/file/d/18EsEhtCmAkPLXuDyXTXZk5Ng6rvxsv2O/view?usp=drivesdk" TargetMode="External"/><Relationship Id="rId11007" Type="http://schemas.openxmlformats.org/officeDocument/2006/relationships/hyperlink" Target="https://drive.google.com/file/d/1_8trZR4cZdk7hqx77mU2Sd8XEiv4fkoz/view?usp=drivesdk" TargetMode="External"/><Relationship Id="rId12339" Type="http://schemas.openxmlformats.org/officeDocument/2006/relationships/hyperlink" Target="https://drive.google.com/file/d/1Y3OfFvvxkXJCYfYj6YS6HEakGQtHTytn/view?usp=drivesdk" TargetMode="External"/><Relationship Id="rId11008" Type="http://schemas.openxmlformats.org/officeDocument/2006/relationships/hyperlink" Target="https://drive.google.com/file/d/1jwOZ1Qc5TyrGtHLSfjqAS4rVbCZfgw8a/view?usp=drivesdk" TargetMode="External"/><Relationship Id="rId12338" Type="http://schemas.openxmlformats.org/officeDocument/2006/relationships/hyperlink" Target="https://drive.google.com/file/d/1hrq0L6INLhvVNxRaIsY0-_EuBKSZou0a/view?usp=drivesdk" TargetMode="External"/><Relationship Id="rId13669" Type="http://schemas.openxmlformats.org/officeDocument/2006/relationships/hyperlink" Target="https://drive.google.com/file/d/18tvLHDE0rQLD832JRK4BbMHFswjo-wTv/view?usp=drivesdk" TargetMode="External"/><Relationship Id="rId11005" Type="http://schemas.openxmlformats.org/officeDocument/2006/relationships/hyperlink" Target="https://drive.google.com/file/d/1TgT1Iyt7GvAWEsl-m5yhJTGb8xOXqNqv/view?usp=drivesdk" TargetMode="External"/><Relationship Id="rId12337" Type="http://schemas.openxmlformats.org/officeDocument/2006/relationships/hyperlink" Target="https://drive.google.com/file/d/12ASovLfZ6deV5bzGjjWZowd8V6-7wiQR/view?usp=drivesdk" TargetMode="External"/><Relationship Id="rId13668" Type="http://schemas.openxmlformats.org/officeDocument/2006/relationships/hyperlink" Target="https://drive.google.com/file/d/1IKCI_N8ePo1cLoJ2iNTujKwSXnuHjWYT/view?usp=drivesdk" TargetMode="External"/><Relationship Id="rId11006" Type="http://schemas.openxmlformats.org/officeDocument/2006/relationships/hyperlink" Target="https://drive.google.com/file/d/11DLQqSHs0VdQ7B9i2tgs4b4rZ9-3sYx9/view?usp=drivesdk" TargetMode="External"/><Relationship Id="rId12336" Type="http://schemas.openxmlformats.org/officeDocument/2006/relationships/hyperlink" Target="https://drive.google.com/file/d/1j63-URK2kKbXpj17NUJRjiwLJjpOmXfu/view?usp=drivesdk" TargetMode="External"/><Relationship Id="rId13667" Type="http://schemas.openxmlformats.org/officeDocument/2006/relationships/hyperlink" Target="https://drive.google.com/file/d/12JDVgYhNRK8iXpsPCTjDL-l3V94QTVXl/view?usp=drivesdk" TargetMode="External"/><Relationship Id="rId11009" Type="http://schemas.openxmlformats.org/officeDocument/2006/relationships/hyperlink" Target="https://drive.google.com/file/d/13zySlP2TMeYwoLUgKvclVGP2rYRC3WDk/view?usp=drivesdk" TargetMode="External"/><Relationship Id="rId1590" Type="http://schemas.openxmlformats.org/officeDocument/2006/relationships/hyperlink" Target="https://drive.google.com/file/d/1zJhVNcFrd9m9Fd01LDzfsq4vjU5oHBHM/view?usp=drivesdk" TargetMode="External"/><Relationship Id="rId12331" Type="http://schemas.openxmlformats.org/officeDocument/2006/relationships/hyperlink" Target="https://drive.google.com/file/d/1s__1gKK2LpOsxdaUgBNngsDfjgzGcKve/view?usp=drivesdk" TargetMode="External"/><Relationship Id="rId13662" Type="http://schemas.openxmlformats.org/officeDocument/2006/relationships/hyperlink" Target="https://drive.google.com/file/d/1o5cPwb1OoTqpWOo5x3Alm7-_DNKfh2OX/view?usp=drivesdk" TargetMode="External"/><Relationship Id="rId1591" Type="http://schemas.openxmlformats.org/officeDocument/2006/relationships/hyperlink" Target="https://drive.google.com/file/d/1mPo-s_Tuui6vMuzzWMmahwocF2PrsZ4D/view?usp=drivesdk" TargetMode="External"/><Relationship Id="rId11000" Type="http://schemas.openxmlformats.org/officeDocument/2006/relationships/hyperlink" Target="https://drive.google.com/file/d/1jQuW6UlLcQbULcHizzjr7DBLgifgQX0l/view?usp=drivesdk" TargetMode="External"/><Relationship Id="rId12330" Type="http://schemas.openxmlformats.org/officeDocument/2006/relationships/hyperlink" Target="https://drive.google.com/file/d/1yBpLSiLI6UAZ2NE47Hbf-dMs5oDpufUp/view?usp=drivesdk" TargetMode="External"/><Relationship Id="rId13661" Type="http://schemas.openxmlformats.org/officeDocument/2006/relationships/hyperlink" Target="https://drive.google.com/file/d/1Zomuq_LMH0iP1rkhKThehwyKVIIt3Z7y/view?usp=drivesdk" TargetMode="External"/><Relationship Id="rId1592" Type="http://schemas.openxmlformats.org/officeDocument/2006/relationships/hyperlink" Target="https://drive.google.com/file/d/1uds_YnSGzHiuG-RC_T0JAaZqrXIj85Fn/view?usp=drivesdk" TargetMode="External"/><Relationship Id="rId13660" Type="http://schemas.openxmlformats.org/officeDocument/2006/relationships/hyperlink" Target="https://drive.google.com/file/d/14_XKHbDfdTa45MZwNTtmXFOtqO3BG5s7/view?usp=drivesdk" TargetMode="External"/><Relationship Id="rId1593" Type="http://schemas.openxmlformats.org/officeDocument/2006/relationships/hyperlink" Target="https://drive.google.com/file/d/1dwSgPZ36d7fueQaJLS-Omu2CoqdZfaWj/view?usp=drivesdk" TargetMode="External"/><Relationship Id="rId1594" Type="http://schemas.openxmlformats.org/officeDocument/2006/relationships/hyperlink" Target="https://drive.google.com/file/d/1HefsNkhUtWs9aaPVnllwk97QAD5VfLHN/view?usp=drivesdk" TargetMode="External"/><Relationship Id="rId11003" Type="http://schemas.openxmlformats.org/officeDocument/2006/relationships/hyperlink" Target="https://drive.google.com/file/d/15DSFhnUM6IvYPG0D4kSXjiPdGt9Jbo4x/view?usp=drivesdk" TargetMode="External"/><Relationship Id="rId12335" Type="http://schemas.openxmlformats.org/officeDocument/2006/relationships/hyperlink" Target="https://drive.google.com/file/d/11ZX6jbcjuaTFiRGDP_043FP9SexxhWZR/view?usp=drivesdk" TargetMode="External"/><Relationship Id="rId13666" Type="http://schemas.openxmlformats.org/officeDocument/2006/relationships/hyperlink" Target="https://drive.google.com/file/d/1RZ3M7uNi0K1sUy__9jBsx2hM6AwmaTTc/view?usp=drivesdk" TargetMode="External"/><Relationship Id="rId1595" Type="http://schemas.openxmlformats.org/officeDocument/2006/relationships/hyperlink" Target="https://drive.google.com/file/d/12XPqHTDoR1hC-k9XylRJVsXoELvX5uyZ/view?usp=drivesdk" TargetMode="External"/><Relationship Id="rId11004" Type="http://schemas.openxmlformats.org/officeDocument/2006/relationships/hyperlink" Target="https://drive.google.com/file/d/1DMGdleCkAsfQ3kk8zNrUbQOPLmXgtZBv/view?usp=drivesdk" TargetMode="External"/><Relationship Id="rId12334" Type="http://schemas.openxmlformats.org/officeDocument/2006/relationships/hyperlink" Target="https://drive.google.com/file/d/1G-JKBJvmiAry-xf0JqQ5aCK7BTbbb_5W/view?usp=drivesdk" TargetMode="External"/><Relationship Id="rId13665" Type="http://schemas.openxmlformats.org/officeDocument/2006/relationships/hyperlink" Target="https://drive.google.com/file/d/17qNRnj3RIKCJoONK-02nsSoLwHWeVvKl/view?usp=drivesdk" TargetMode="External"/><Relationship Id="rId1596" Type="http://schemas.openxmlformats.org/officeDocument/2006/relationships/hyperlink" Target="https://drive.google.com/file/d/1QbCyVSbdwLRn913N4CptMQHUSkXhYs7G/view?usp=drivesdk" TargetMode="External"/><Relationship Id="rId11001" Type="http://schemas.openxmlformats.org/officeDocument/2006/relationships/hyperlink" Target="https://drive.google.com/file/d/1HbN_gtinKbp0VeatRIneH0_j4chH541r/view?usp=drivesdk" TargetMode="External"/><Relationship Id="rId12333" Type="http://schemas.openxmlformats.org/officeDocument/2006/relationships/hyperlink" Target="https://drive.google.com/file/d/1iHCF3-0Ps4gWEzs9ND-UvPeF7-nc9bHH/view?usp=drivesdk" TargetMode="External"/><Relationship Id="rId13664" Type="http://schemas.openxmlformats.org/officeDocument/2006/relationships/hyperlink" Target="https://drive.google.com/file/d/1dhoFHvt2N28AQa3TgXxUIaDMbf2FKdoa/view?usp=drivesdk" TargetMode="External"/><Relationship Id="rId1597" Type="http://schemas.openxmlformats.org/officeDocument/2006/relationships/hyperlink" Target="https://drive.google.com/file/d/1aThB4YbQoDs-e2IKlLlzDN6zvzYvqKeg/view?usp=drivesdk" TargetMode="External"/><Relationship Id="rId11002" Type="http://schemas.openxmlformats.org/officeDocument/2006/relationships/hyperlink" Target="https://drive.google.com/file/d/1Hr-m1_LAnIETpdlBYop1LO-swscpuZF3/view?usp=drivesdk" TargetMode="External"/><Relationship Id="rId12332" Type="http://schemas.openxmlformats.org/officeDocument/2006/relationships/hyperlink" Target="https://drive.google.com/file/d/1jKgFJWKvgoISjFKDrLrbhS0UPDxM73TK/view?usp=drivesdk" TargetMode="External"/><Relationship Id="rId13663" Type="http://schemas.openxmlformats.org/officeDocument/2006/relationships/hyperlink" Target="https://drive.google.com/file/d/1ibhL9EZnWf4cn7l5auCjU1kdbL7amdAx/view?usp=drivesdk" TargetMode="External"/><Relationship Id="rId1587" Type="http://schemas.openxmlformats.org/officeDocument/2006/relationships/hyperlink" Target="https://drive.google.com/file/d/1ceEfj4oergK7S1ajTDWeeFEbsqZt_v1J/view?usp=drivesdk" TargetMode="External"/><Relationship Id="rId1588" Type="http://schemas.openxmlformats.org/officeDocument/2006/relationships/hyperlink" Target="https://drive.google.com/file/d/1WM6XNhfuDKHkqsZSP7Gz_YOtUAgQzf6L/view?usp=drivesdk" TargetMode="External"/><Relationship Id="rId1589" Type="http://schemas.openxmlformats.org/officeDocument/2006/relationships/hyperlink" Target="https://drive.google.com/file/d/1DnuZXyCN1BX7wrZk8BzmphsHKUgdV3iJ/view?usp=drivesdk" TargetMode="External"/><Relationship Id="rId13680" Type="http://schemas.openxmlformats.org/officeDocument/2006/relationships/hyperlink" Target="https://drive.google.com/file/d/1GWmZI-V7QImJhL5AfSgrlVrngn0HrTJR/view?usp=drivesdk" TargetMode="External"/><Relationship Id="rId11018" Type="http://schemas.openxmlformats.org/officeDocument/2006/relationships/hyperlink" Target="https://drive.google.com/file/d/1hsVR7X1fAS-xZ7Jg15B8UIm4lAaMFXKR/view?usp=drivesdk" TargetMode="External"/><Relationship Id="rId11019" Type="http://schemas.openxmlformats.org/officeDocument/2006/relationships/hyperlink" Target="https://drive.google.com/file/d/1hAi1zfrHOh85B-szjMRVwRdRSUfC4jBB/view?usp=drivesdk" TargetMode="External"/><Relationship Id="rId12349" Type="http://schemas.openxmlformats.org/officeDocument/2006/relationships/hyperlink" Target="https://drive.google.com/file/d/1MQK36iiCAxPTcvSPEG3ELuGA5TtebgDv/view?usp=drivesdk" TargetMode="External"/><Relationship Id="rId11016" Type="http://schemas.openxmlformats.org/officeDocument/2006/relationships/hyperlink" Target="https://drive.google.com/file/d/1t6eHTHDryfpHc6eX5AsyEHPCEGQMC8pX/view?usp=drivesdk" TargetMode="External"/><Relationship Id="rId12348" Type="http://schemas.openxmlformats.org/officeDocument/2006/relationships/hyperlink" Target="https://drive.google.com/file/d/1e9sTPCm6vHNVzVbhVYc1YW4vbSCXCkWB/view?usp=drivesdk" TargetMode="External"/><Relationship Id="rId13679" Type="http://schemas.openxmlformats.org/officeDocument/2006/relationships/hyperlink" Target="https://drive.google.com/file/d/1s9sWgdPXYnmcnEoC3Ju_V23QeCvQ4rxo/view?usp=drivesdk" TargetMode="External"/><Relationship Id="rId11017" Type="http://schemas.openxmlformats.org/officeDocument/2006/relationships/hyperlink" Target="https://drive.google.com/file/d/1-uc_5WmZ19w70CFDF2m0gf7EkOdA5EVw/view?usp=drivesdk" TargetMode="External"/><Relationship Id="rId12347" Type="http://schemas.openxmlformats.org/officeDocument/2006/relationships/hyperlink" Target="https://drive.google.com/file/d/1JcoxDDtRHXFAcXyUo040b_DVX1Ql5Qa2/view?usp=drivesdk" TargetMode="External"/><Relationship Id="rId13678" Type="http://schemas.openxmlformats.org/officeDocument/2006/relationships/hyperlink" Target="https://drive.google.com/file/d/1f7AxZDAZyGvKxvV-LtzZKKNoMES6eG_R/view?usp=drivesdk" TargetMode="External"/><Relationship Id="rId11010" Type="http://schemas.openxmlformats.org/officeDocument/2006/relationships/hyperlink" Target="https://drive.google.com/file/d/1M-412yhoSXrWMByH0Z_fabKY563lHi86/view?usp=drivesdk" TargetMode="External"/><Relationship Id="rId12342" Type="http://schemas.openxmlformats.org/officeDocument/2006/relationships/hyperlink" Target="https://drive.google.com/file/d/1yKsBcKIefkkXlVrf-FTHCvWPhnFch43b/view?usp=drivesdk" TargetMode="External"/><Relationship Id="rId13673" Type="http://schemas.openxmlformats.org/officeDocument/2006/relationships/hyperlink" Target="https://drive.google.com/file/d/1_qeLt2mpdypykQ_criKSYqp3HkcSt3AY/view?usp=drivesdk" TargetMode="External"/><Relationship Id="rId1580" Type="http://schemas.openxmlformats.org/officeDocument/2006/relationships/hyperlink" Target="https://drive.google.com/file/d/1dmW8oeeljhr2Fd6PTwQ76PYFP0tB7tIQ/view?usp=drivesdk" TargetMode="External"/><Relationship Id="rId11011" Type="http://schemas.openxmlformats.org/officeDocument/2006/relationships/hyperlink" Target="https://drive.google.com/file/d/1N0Tixu7JJn2wOBogQYc-kk6J0ncv-IV7/view?usp=drivesdk" TargetMode="External"/><Relationship Id="rId12341" Type="http://schemas.openxmlformats.org/officeDocument/2006/relationships/hyperlink" Target="https://drive.google.com/file/d/1Nkt_oJjS10KqSzRjmGclTfFTXG-nu42I/view?usp=drivesdk" TargetMode="External"/><Relationship Id="rId13672" Type="http://schemas.openxmlformats.org/officeDocument/2006/relationships/hyperlink" Target="https://drive.google.com/file/d/1Uo2sUeA6L0jnoahmslCcE6mlEBb6LaWo/view?usp=drivesdk" TargetMode="External"/><Relationship Id="rId1581" Type="http://schemas.openxmlformats.org/officeDocument/2006/relationships/hyperlink" Target="https://drive.google.com/file/d/1Uqp0jWjyM8pWfAU6Iawrs0JOSVNFQxes/view?usp=drivesdk" TargetMode="External"/><Relationship Id="rId12340" Type="http://schemas.openxmlformats.org/officeDocument/2006/relationships/hyperlink" Target="https://drive.google.com/file/d/1zmNa0b48UmtYjAEkAlU-05v2qb4Frwew/view?usp=drivesdk" TargetMode="External"/><Relationship Id="rId13671" Type="http://schemas.openxmlformats.org/officeDocument/2006/relationships/hyperlink" Target="https://drive.google.com/file/d/10kwQBV7Bgq72KL-S-2vEPl9pCvjvCDJO/view?usp=drivesdk" TargetMode="External"/><Relationship Id="rId1582" Type="http://schemas.openxmlformats.org/officeDocument/2006/relationships/hyperlink" Target="https://drive.google.com/file/d/1PvzIPyiaSdx4uuStI9aKbPpYzYSTE5sR/view?usp=drivesdk" TargetMode="External"/><Relationship Id="rId13670" Type="http://schemas.openxmlformats.org/officeDocument/2006/relationships/hyperlink" Target="https://drive.google.com/file/d/19jPtx5o9VsP531OVNNmXvrKw5soo8paG/view?usp=drivesdk" TargetMode="External"/><Relationship Id="rId1583" Type="http://schemas.openxmlformats.org/officeDocument/2006/relationships/hyperlink" Target="https://drive.google.com/file/d/1NoZfumuisuj4_Np2YrkyKtKfc9hwcxR6/view?usp=drivesdk" TargetMode="External"/><Relationship Id="rId11014" Type="http://schemas.openxmlformats.org/officeDocument/2006/relationships/hyperlink" Target="https://drive.google.com/file/d/1E4DqEbQv5HpREenImktxBCABE71kqhfo/view?usp=drivesdk" TargetMode="External"/><Relationship Id="rId12346" Type="http://schemas.openxmlformats.org/officeDocument/2006/relationships/hyperlink" Target="https://drive.google.com/file/d/1riIRzhndOoH5NYll3UhDpt-Mdp3Ppaf1/view?usp=drivesdk" TargetMode="External"/><Relationship Id="rId13677" Type="http://schemas.openxmlformats.org/officeDocument/2006/relationships/hyperlink" Target="https://drive.google.com/file/d/10Cmx1e8sLuq5Puoi7V8D9kFK-8TUt159/view?usp=drivesdk" TargetMode="External"/><Relationship Id="rId1584" Type="http://schemas.openxmlformats.org/officeDocument/2006/relationships/hyperlink" Target="https://drive.google.com/file/d/1pCzmDJnC1f72iONdhU0beRcOO-mnKA7L/view?usp=drivesdk" TargetMode="External"/><Relationship Id="rId11015" Type="http://schemas.openxmlformats.org/officeDocument/2006/relationships/hyperlink" Target="https://drive.google.com/file/d/1dwg8wc7bklK0YhIMV-vdzBgvsEWoW1Hn/view?usp=drivesdk" TargetMode="External"/><Relationship Id="rId12345" Type="http://schemas.openxmlformats.org/officeDocument/2006/relationships/hyperlink" Target="https://drive.google.com/file/d/1P7mc05EsA0k7FUaixiqzAxbx6k2LrASr/view?usp=drivesdk" TargetMode="External"/><Relationship Id="rId13676" Type="http://schemas.openxmlformats.org/officeDocument/2006/relationships/hyperlink" Target="https://drive.google.com/file/d/11Zrqrvdpmm_iJMVLc_L5vGaoeclx_jtf/view?usp=drivesdk" TargetMode="External"/><Relationship Id="rId1585" Type="http://schemas.openxmlformats.org/officeDocument/2006/relationships/hyperlink" Target="https://drive.google.com/file/d/1hHB7jRddusHGSFzbIzcty2qDfYWPMVsJ/view?usp=drivesdk" TargetMode="External"/><Relationship Id="rId11012" Type="http://schemas.openxmlformats.org/officeDocument/2006/relationships/hyperlink" Target="https://drive.google.com/file/d/1cUZlZifuJGVqbfQwo-AB8ZdsCS7VT1-3/view?usp=drivesdk" TargetMode="External"/><Relationship Id="rId12344" Type="http://schemas.openxmlformats.org/officeDocument/2006/relationships/hyperlink" Target="https://drive.google.com/file/d/1R509FsfdQfD8QUXgSytYESYwka0hpquh/view?usp=drivesdk" TargetMode="External"/><Relationship Id="rId13675" Type="http://schemas.openxmlformats.org/officeDocument/2006/relationships/hyperlink" Target="https://drive.google.com/file/d/1WT9kHBW3Bn2K1JRR6kqeDhZhEAhQdqcR/view?usp=drivesdk" TargetMode="External"/><Relationship Id="rId1586" Type="http://schemas.openxmlformats.org/officeDocument/2006/relationships/hyperlink" Target="https://drive.google.com/file/d/1SuGpwWSz6vULHuyqunM1FfAG2agUSCO4/view?usp=drivesdk" TargetMode="External"/><Relationship Id="rId11013" Type="http://schemas.openxmlformats.org/officeDocument/2006/relationships/hyperlink" Target="https://drive.google.com/file/d/1n3t7ZHZkZMBCmXm-BsYwTtaTVqt4xzHI/view?usp=drivesdk" TargetMode="External"/><Relationship Id="rId12343" Type="http://schemas.openxmlformats.org/officeDocument/2006/relationships/hyperlink" Target="https://drive.google.com/file/d/1QbzYXnIHFCUfX4sHwoxa-6erBCFeS-s0/view?usp=drivesdk" TargetMode="External"/><Relationship Id="rId13674" Type="http://schemas.openxmlformats.org/officeDocument/2006/relationships/hyperlink" Target="https://drive.google.com/file/d/1zLaLcZlDzSst1reimRy8LPSCu1ZwIWn1/view?usp=drivesdk" TargetMode="External"/><Relationship Id="rId1532" Type="http://schemas.openxmlformats.org/officeDocument/2006/relationships/hyperlink" Target="https://drive.google.com/file/d/18j2BAQW7wofAZ-Gy7V8Q9OIkro5nPe4l/view?usp=drivesdk" TargetMode="External"/><Relationship Id="rId2863" Type="http://schemas.openxmlformats.org/officeDocument/2006/relationships/hyperlink" Target="https://drive.google.com/file/d/1frDYpqdhfdsNpmnhZ5av6d6XljYyQZCO/view?usp=drivesdk" TargetMode="External"/><Relationship Id="rId1533" Type="http://schemas.openxmlformats.org/officeDocument/2006/relationships/hyperlink" Target="https://drive.google.com/file/d/10ogxOS93NFgaJtK4UNgM1yehd_ZnyGnB/view?usp=drivesdk" TargetMode="External"/><Relationship Id="rId2864" Type="http://schemas.openxmlformats.org/officeDocument/2006/relationships/hyperlink" Target="https://drive.google.com/file/d/1hwAkdI0HRzAg7NlfcGspOg0sFOTmZIIM/view?usp=drivesdk" TargetMode="External"/><Relationship Id="rId1534" Type="http://schemas.openxmlformats.org/officeDocument/2006/relationships/hyperlink" Target="https://drive.google.com/file/d/1JMi7lQ8t0DaxU7-__FIfRKGoKRcf_ty0/view?usp=drivesdk" TargetMode="External"/><Relationship Id="rId2865" Type="http://schemas.openxmlformats.org/officeDocument/2006/relationships/hyperlink" Target="https://drive.google.com/file/d/1Sfudl8bPsZ2jXJ5iIqVTCTKD7plblCcE/view?usp=drivesdk" TargetMode="External"/><Relationship Id="rId1535" Type="http://schemas.openxmlformats.org/officeDocument/2006/relationships/hyperlink" Target="https://drive.google.com/file/d/1IqqSql7fmae4_SlixO4JDpKzUqaa7TcO/view?usp=drivesdk" TargetMode="External"/><Relationship Id="rId2866" Type="http://schemas.openxmlformats.org/officeDocument/2006/relationships/hyperlink" Target="https://drive.google.com/file/d/18p137JiTG2olyVVOWwUMyjySpES65hW5/view?usp=drivesdk" TargetMode="External"/><Relationship Id="rId1536" Type="http://schemas.openxmlformats.org/officeDocument/2006/relationships/hyperlink" Target="https://drive.google.com/file/d/1vJSlAlRjEzo43T53whlkL49NcdOYU2aX/view?usp=drivesdk" TargetMode="External"/><Relationship Id="rId2867" Type="http://schemas.openxmlformats.org/officeDocument/2006/relationships/hyperlink" Target="https://drive.google.com/file/d/1jYzFdlTqE9V4T313L--zJqRQ0qvrVZn_/view?usp=drivesdk" TargetMode="External"/><Relationship Id="rId11072" Type="http://schemas.openxmlformats.org/officeDocument/2006/relationships/hyperlink" Target="https://drive.google.com/file/d/1xwfz9YpIMHE0J7ZOx3XOLOCoxFVIPNBH/view?usp=drivesdk" TargetMode="External"/><Relationship Id="rId1537" Type="http://schemas.openxmlformats.org/officeDocument/2006/relationships/hyperlink" Target="https://drive.google.com/file/d/1wac10jgw3RIZjOIgy3ZCzPxV_lcu5T9r/view?usp=drivesdk" TargetMode="External"/><Relationship Id="rId2868" Type="http://schemas.openxmlformats.org/officeDocument/2006/relationships/hyperlink" Target="https://drive.google.com/file/d/1Yd0CNtYrKd1nB_nEr6thTe1yxMAm34nb/view?usp=drivesdk" TargetMode="External"/><Relationship Id="rId11073" Type="http://schemas.openxmlformats.org/officeDocument/2006/relationships/hyperlink" Target="https://drive.google.com/file/d/18ON0qZ5JvRhw50kNQTANNIwFKW9McKuB/view?usp=drivesdk" TargetMode="External"/><Relationship Id="rId1538" Type="http://schemas.openxmlformats.org/officeDocument/2006/relationships/hyperlink" Target="https://drive.google.com/file/d/1EFOVwJDISR4rJCE-krpzUmxaSVzM36-K/view?usp=drivesdk" TargetMode="External"/><Relationship Id="rId2869" Type="http://schemas.openxmlformats.org/officeDocument/2006/relationships/hyperlink" Target="https://drive.google.com/file/d/17-anN9SX5zIqm9GO5bH_aMo5lg-l-YTh/view?usp=drivesdk" TargetMode="External"/><Relationship Id="rId11070" Type="http://schemas.openxmlformats.org/officeDocument/2006/relationships/hyperlink" Target="https://drive.google.com/file/d/1tplPF9OdQgVkYd9-7iCxB-I0tkfqb0vv/view?usp=drivesdk" TargetMode="External"/><Relationship Id="rId1539" Type="http://schemas.openxmlformats.org/officeDocument/2006/relationships/hyperlink" Target="https://drive.google.com/file/d/1NL0p6eK6QhQe79nj6zu-iP8cRsYA-pai/view?usp=drivesdk" TargetMode="External"/><Relationship Id="rId11071" Type="http://schemas.openxmlformats.org/officeDocument/2006/relationships/hyperlink" Target="https://drive.google.com/file/d/1_F_BxrYj4tT4yTqXLlIKe_G6fx2Kqvdo/view?usp=drivesdk" TargetMode="External"/><Relationship Id="rId11065" Type="http://schemas.openxmlformats.org/officeDocument/2006/relationships/hyperlink" Target="https://drive.google.com/file/d/1BT4lSf1xAxIgjuZYGjdS9aLD5pF5C0ae/view?usp=drivesdk" TargetMode="External"/><Relationship Id="rId12397" Type="http://schemas.openxmlformats.org/officeDocument/2006/relationships/hyperlink" Target="https://drive.google.com/file/d/1m2palHvZS2-WB-fgVBltqSYDehlDvRc2/view?usp=drivesdk" TargetMode="External"/><Relationship Id="rId11066" Type="http://schemas.openxmlformats.org/officeDocument/2006/relationships/hyperlink" Target="https://drive.google.com/file/d/1d3Daka7Pjf0yc4-Rddq8hPDzl_TAoL8R/view?usp=drivesdk" TargetMode="External"/><Relationship Id="rId12396" Type="http://schemas.openxmlformats.org/officeDocument/2006/relationships/hyperlink" Target="http://fitriani.sh" TargetMode="External"/><Relationship Id="rId11063" Type="http://schemas.openxmlformats.org/officeDocument/2006/relationships/hyperlink" Target="https://drive.google.com/file/d/1MJF08RN5qTQXZSogiMPe4zrd1iGpc-2W/view?usp=drivesdk" TargetMode="External"/><Relationship Id="rId12395" Type="http://schemas.openxmlformats.org/officeDocument/2006/relationships/hyperlink" Target="https://drive.google.com/file/d/10cqoyaiEwnZoVCMlthJp9wjKdQRSrez-/view?usp=drivesdk" TargetMode="External"/><Relationship Id="rId11064" Type="http://schemas.openxmlformats.org/officeDocument/2006/relationships/hyperlink" Target="https://drive.google.com/file/d/1xGvDsMhAUdNo9uEL1EgRedaaSnyFVt0-/view?usp=drivesdk" TargetMode="External"/><Relationship Id="rId12394" Type="http://schemas.openxmlformats.org/officeDocument/2006/relationships/hyperlink" Target="https://drive.google.com/file/d/1zZIGnOvkj1-UhJxgqyWCmOZk-vjTLp6i/view?usp=drivesdk" TargetMode="External"/><Relationship Id="rId11069" Type="http://schemas.openxmlformats.org/officeDocument/2006/relationships/hyperlink" Target="https://drive.google.com/file/d/11a2ClLZDBaDtPgaQ50MeLjYS78rElq4R/view?usp=drivesdk" TargetMode="External"/><Relationship Id="rId2860" Type="http://schemas.openxmlformats.org/officeDocument/2006/relationships/hyperlink" Target="https://drive.google.com/file/d/1cZKwW_2u_-dL7EQvz6CPOShsafOzJFzm/view?usp=drivesdk" TargetMode="External"/><Relationship Id="rId1530" Type="http://schemas.openxmlformats.org/officeDocument/2006/relationships/hyperlink" Target="https://drive.google.com/file/d/1bosOaOl6nKbGfKdtxLTQl3GOaJAS0Aex/view?usp=drivesdk" TargetMode="External"/><Relationship Id="rId2861" Type="http://schemas.openxmlformats.org/officeDocument/2006/relationships/hyperlink" Target="https://drive.google.com/file/d/1eaOTON0957rGyttAqa4JJApJAcyTcqve/view?usp=drivesdk" TargetMode="External"/><Relationship Id="rId11067" Type="http://schemas.openxmlformats.org/officeDocument/2006/relationships/hyperlink" Target="https://drive.google.com/file/d/13G-ZUKzEhm-J_FoqjQWZRb9fCML87b55/view?usp=drivesdk" TargetMode="External"/><Relationship Id="rId12399" Type="http://schemas.openxmlformats.org/officeDocument/2006/relationships/hyperlink" Target="https://drive.google.com/file/d/18Cru1bMa428pe_5xAoxlK7fSpdQF2d1a/view?usp=drivesdk" TargetMode="External"/><Relationship Id="rId1531" Type="http://schemas.openxmlformats.org/officeDocument/2006/relationships/hyperlink" Target="https://drive.google.com/file/d/1U81oebKBs1VJ1XhCMi1bMJ2S73r9OHMi/view?usp=drivesdk" TargetMode="External"/><Relationship Id="rId2862" Type="http://schemas.openxmlformats.org/officeDocument/2006/relationships/hyperlink" Target="https://drive.google.com/file/d/1cGSsU9dMqLUZqj327bA-sG5v00be-fLf/view?usp=drivesdk" TargetMode="External"/><Relationship Id="rId11068" Type="http://schemas.openxmlformats.org/officeDocument/2006/relationships/hyperlink" Target="https://drive.google.com/file/d/1YECR2TcAMXCk-_mOtlyuTSWmY11Fjmvh/view?usp=drivesdk" TargetMode="External"/><Relationship Id="rId12398" Type="http://schemas.openxmlformats.org/officeDocument/2006/relationships/hyperlink" Target="https://drive.google.com/file/d/1c-t8kEAZ77YvKks5SPy3YqKwwWIo4ZvB/view?usp=drivesdk" TargetMode="External"/><Relationship Id="rId1521" Type="http://schemas.openxmlformats.org/officeDocument/2006/relationships/hyperlink" Target="https://drive.google.com/file/d/1HmZw6oNJO1mG5COmXibhj70WfG1Jie6-/view?usp=drivesdk" TargetMode="External"/><Relationship Id="rId2852" Type="http://schemas.openxmlformats.org/officeDocument/2006/relationships/hyperlink" Target="https://drive.google.com/file/d/12hy3OHZfuxqDJCvgUTQ9qOnIdqjDjqrQ/view?usp=drivesdk" TargetMode="External"/><Relationship Id="rId1522" Type="http://schemas.openxmlformats.org/officeDocument/2006/relationships/hyperlink" Target="https://drive.google.com/file/d/1Dd6cygHnavvXekDjCPsz-9eJbrOEQhqh/view?usp=drivesdk" TargetMode="External"/><Relationship Id="rId2853" Type="http://schemas.openxmlformats.org/officeDocument/2006/relationships/hyperlink" Target="https://drive.google.com/file/d/1QMEvgN6tWba6u6SHl9cK_Qi1_1tTtGto/view?usp=drivesdk" TargetMode="External"/><Relationship Id="rId11080" Type="http://schemas.openxmlformats.org/officeDocument/2006/relationships/hyperlink" Target="https://drive.google.com/file/d/1kTnUmM-jntQHxWIwxr7bHqHlfYF5Hjnz/view?usp=drivesdk" TargetMode="External"/><Relationship Id="rId1523" Type="http://schemas.openxmlformats.org/officeDocument/2006/relationships/hyperlink" Target="https://drive.google.com/file/d/1Np4ds6N9IEZE-T0qJGw94WI9a0neJMDP/view?usp=drivesdk" TargetMode="External"/><Relationship Id="rId2854" Type="http://schemas.openxmlformats.org/officeDocument/2006/relationships/hyperlink" Target="https://drive.google.com/file/d/1KCt08Ql0rPtyUMSQokXnVJ8mNtKXyRkU/view?usp=drivesdk" TargetMode="External"/><Relationship Id="rId1524" Type="http://schemas.openxmlformats.org/officeDocument/2006/relationships/hyperlink" Target="https://drive.google.com/file/d/1DCUKRDG9-9S-6QQQk3rgxSTGA3bqh82X/view?usp=drivesdk" TargetMode="External"/><Relationship Id="rId2855" Type="http://schemas.openxmlformats.org/officeDocument/2006/relationships/hyperlink" Target="https://drive.google.com/file/d/19cAL8B29JiAFwWkmB2HOiN3_qrPKHU_5/view?usp=drivesdk" TargetMode="External"/><Relationship Id="rId1525" Type="http://schemas.openxmlformats.org/officeDocument/2006/relationships/hyperlink" Target="https://drive.google.com/file/d/1GSwGMhYDjoNSbXcxAeOlzFTT74kREnih/view?usp=drivesdk" TargetMode="External"/><Relationship Id="rId2856" Type="http://schemas.openxmlformats.org/officeDocument/2006/relationships/hyperlink" Target="https://drive.google.com/file/d/1V6uiq4El1D50WL4qPcEyXi0O8XowhZu9/view?usp=drivesdk" TargetMode="External"/><Relationship Id="rId11083" Type="http://schemas.openxmlformats.org/officeDocument/2006/relationships/hyperlink" Target="https://drive.google.com/file/d/1wgSyxLg2RtqyknTLUtxACKwKl8-ZbTSX/view?usp=drivesdk" TargetMode="External"/><Relationship Id="rId1526" Type="http://schemas.openxmlformats.org/officeDocument/2006/relationships/hyperlink" Target="https://drive.google.com/file/d/1cmbjn3i7Z86KnFTXJLet13KgP9MLdTA2/view?usp=drivesdk" TargetMode="External"/><Relationship Id="rId2857" Type="http://schemas.openxmlformats.org/officeDocument/2006/relationships/hyperlink" Target="https://drive.google.com/file/d/1nYNCTng-XHb5UUYq08v9707zmz7u1fnG/view?usp=drivesdk" TargetMode="External"/><Relationship Id="rId11084" Type="http://schemas.openxmlformats.org/officeDocument/2006/relationships/hyperlink" Target="https://drive.google.com/file/d/1KwLu-0Exs5BtrQhnjNbHWWmtuqXpACAf/view?usp=drivesdk" TargetMode="External"/><Relationship Id="rId1527" Type="http://schemas.openxmlformats.org/officeDocument/2006/relationships/hyperlink" Target="https://drive.google.com/file/d/1BKxlLTOBVnqI46ZKMaVmZIOCiFqoXR78/view?usp=drivesdk" TargetMode="External"/><Relationship Id="rId2858" Type="http://schemas.openxmlformats.org/officeDocument/2006/relationships/hyperlink" Target="https://drive.google.com/file/d/1Zvdqgg2EtYq4BR8xcZsYbxaCKvrdq4f-/view?usp=drivesdk" TargetMode="External"/><Relationship Id="rId11081" Type="http://schemas.openxmlformats.org/officeDocument/2006/relationships/hyperlink" Target="https://drive.google.com/file/d/1fJjbV5-6SpGnBnwn9KyAgjB7CvDQVI5i/view?usp=drivesdk" TargetMode="External"/><Relationship Id="rId1528" Type="http://schemas.openxmlformats.org/officeDocument/2006/relationships/hyperlink" Target="https://drive.google.com/file/d/1Fe4p3bW8aePGZqLhJBEcz6mvNjMP2mKF/view?usp=drivesdk" TargetMode="External"/><Relationship Id="rId2859" Type="http://schemas.openxmlformats.org/officeDocument/2006/relationships/hyperlink" Target="https://drive.google.com/file/d/11hMOjyLL_DB05W15SvTP8iXkAJlskgSn/view?usp=drivesdk" TargetMode="External"/><Relationship Id="rId11082" Type="http://schemas.openxmlformats.org/officeDocument/2006/relationships/hyperlink" Target="https://drive.google.com/file/d/1aZE5erPTicbsCeFEAQtCdnxh-18e5pzl/view?usp=drivesdk" TargetMode="External"/><Relationship Id="rId1529" Type="http://schemas.openxmlformats.org/officeDocument/2006/relationships/hyperlink" Target="https://drive.google.com/file/d/1WRq4PyKppgRoiZjb-nHBv94h0t6j_Ykm/view?usp=drivesdk" TargetMode="External"/><Relationship Id="rId11076" Type="http://schemas.openxmlformats.org/officeDocument/2006/relationships/hyperlink" Target="https://drive.google.com/file/d/1A0rqaqnRdcPP1LrWgGOYvfWllQaFbOXg/view?usp=drivesdk" TargetMode="External"/><Relationship Id="rId11077" Type="http://schemas.openxmlformats.org/officeDocument/2006/relationships/hyperlink" Target="https://drive.google.com/file/d/1tdib-THnKAe0lgmw9GypCdWJ4JAeTGE0/view?usp=drivesdk" TargetMode="External"/><Relationship Id="rId11074" Type="http://schemas.openxmlformats.org/officeDocument/2006/relationships/hyperlink" Target="https://drive.google.com/file/d/1ox1BvCn_lhG_p0uM6yfcylsm2Xo1PlMD/view?usp=drivesdk" TargetMode="External"/><Relationship Id="rId11075" Type="http://schemas.openxmlformats.org/officeDocument/2006/relationships/hyperlink" Target="https://drive.google.com/file/d/1UIxUjj5IxN1IJWhfxTgOoxDXBZaslU5H/view?usp=drivesdk" TargetMode="External"/><Relationship Id="rId2850" Type="http://schemas.openxmlformats.org/officeDocument/2006/relationships/hyperlink" Target="https://drive.google.com/file/d/141Fj4gI8jjEd2mRdAHV6Zln_aceNNeMF/view?usp=drivesdk" TargetMode="External"/><Relationship Id="rId11078" Type="http://schemas.openxmlformats.org/officeDocument/2006/relationships/hyperlink" Target="https://drive.google.com/file/d/1zHM8iIwMoBtp8he-4vHJWcfNalxmTZq4/view?usp=drivesdk" TargetMode="External"/><Relationship Id="rId1520" Type="http://schemas.openxmlformats.org/officeDocument/2006/relationships/hyperlink" Target="https://drive.google.com/file/d/140SgabY-MzkPyyP8NXLulqSFbVJnp1gi/view?usp=drivesdk" TargetMode="External"/><Relationship Id="rId2851" Type="http://schemas.openxmlformats.org/officeDocument/2006/relationships/hyperlink" Target="https://drive.google.com/file/d/1qoekwrOZaRLTzZDLA8by6fWIpcWzkWEe/view?usp=drivesdk" TargetMode="External"/><Relationship Id="rId11079" Type="http://schemas.openxmlformats.org/officeDocument/2006/relationships/hyperlink" Target="https://drive.google.com/file/d/1b3zXVsacB28u3MXj6w2JbF_sIGtnc-l4/view?usp=drivesdk" TargetMode="External"/><Relationship Id="rId1554" Type="http://schemas.openxmlformats.org/officeDocument/2006/relationships/hyperlink" Target="https://drive.google.com/file/d/1T9fgERusPcinklcOxU9FWBj2twjbPzQ7/view?usp=drivesdk" TargetMode="External"/><Relationship Id="rId2885" Type="http://schemas.openxmlformats.org/officeDocument/2006/relationships/hyperlink" Target="https://drive.google.com/file/d/1xZBaq2OL5y8GRZeXPzF63Mk8XIeXtM6s/view?usp=drivesdk" TargetMode="External"/><Relationship Id="rId1555" Type="http://schemas.openxmlformats.org/officeDocument/2006/relationships/hyperlink" Target="https://drive.google.com/file/d/16nNWL7df74DG7kmLlb5ivOskxUj5zK77/view?usp=drivesdk" TargetMode="External"/><Relationship Id="rId2886" Type="http://schemas.openxmlformats.org/officeDocument/2006/relationships/hyperlink" Target="https://drive.google.com/file/d/1QEXXWChH-jw5VwNba9cmdX2VTdXfKyHf/view?usp=drivesdk" TargetMode="External"/><Relationship Id="rId1556" Type="http://schemas.openxmlformats.org/officeDocument/2006/relationships/hyperlink" Target="https://drive.google.com/file/d/1-gc1B9CFOYo6JvwC_INbf9bS1kDbwMsQ/view?usp=drivesdk" TargetMode="External"/><Relationship Id="rId2887" Type="http://schemas.openxmlformats.org/officeDocument/2006/relationships/hyperlink" Target="https://drive.google.com/file/d/1W-0EL5mQL_HHQOixplVL--1yj3ZHqFJ8/view?usp=drivesdk" TargetMode="External"/><Relationship Id="rId1557" Type="http://schemas.openxmlformats.org/officeDocument/2006/relationships/hyperlink" Target="https://drive.google.com/file/d/1bxeU6sIwwjjqb1v-ujrbWbmQB8UVytBw/view?usp=drivesdk" TargetMode="External"/><Relationship Id="rId2888" Type="http://schemas.openxmlformats.org/officeDocument/2006/relationships/hyperlink" Target="https://drive.google.com/file/d/1vlhYCfS3A1BAMgTh3zxFUwKE7X3RUO__/view?usp=drivesdk" TargetMode="External"/><Relationship Id="rId1558" Type="http://schemas.openxmlformats.org/officeDocument/2006/relationships/hyperlink" Target="https://drive.google.com/file/d/11olXGtHsatDVViVPjor0FnvWqgfY7rvw/view?usp=drivesdk" TargetMode="External"/><Relationship Id="rId2889" Type="http://schemas.openxmlformats.org/officeDocument/2006/relationships/hyperlink" Target="https://drive.google.com/file/d/1kLdyVbp7vYOpjtoG2MopyNNCMnY-WoZ7/view?usp=drivesdk" TargetMode="External"/><Relationship Id="rId11050" Type="http://schemas.openxmlformats.org/officeDocument/2006/relationships/hyperlink" Target="https://drive.google.com/file/d/1Lr-7FUrms7kLx59zOGk4prMr0NZOMh2Y/view?usp=drivesdk" TargetMode="External"/><Relationship Id="rId12382" Type="http://schemas.openxmlformats.org/officeDocument/2006/relationships/hyperlink" Target="https://drive.google.com/file/d/1fEXJl0heKS7LaLYWqWkhaHouJkvMlA04/view?usp=drivesdk" TargetMode="External"/><Relationship Id="rId1559" Type="http://schemas.openxmlformats.org/officeDocument/2006/relationships/hyperlink" Target="https://drive.google.com/file/d/1VmiDVJNS9epMXmItAG9y30HqzX2UKc21/view?usp=drivesdk" TargetMode="External"/><Relationship Id="rId11051" Type="http://schemas.openxmlformats.org/officeDocument/2006/relationships/hyperlink" Target="https://drive.google.com/file/d/1KDuPuqHNRzMjp3sDq9sfTSEq4KgyGQZI/view?usp=drivesdk" TargetMode="External"/><Relationship Id="rId12381" Type="http://schemas.openxmlformats.org/officeDocument/2006/relationships/hyperlink" Target="https://drive.google.com/file/d/1dI58E-VOJmebpUUdPrTEqu1dDhboatbh/view?usp=drivesdk" TargetMode="External"/><Relationship Id="rId12380" Type="http://schemas.openxmlformats.org/officeDocument/2006/relationships/hyperlink" Target="https://drive.google.com/file/d/1oy4AgvYZ4kBoQpwHP1qy4cx2fia5CdSc/view?usp=drivesdk" TargetMode="External"/><Relationship Id="rId11049" Type="http://schemas.openxmlformats.org/officeDocument/2006/relationships/hyperlink" Target="https://drive.google.com/file/d/1qAhW6g7_8vXcCqeJvb1DDfNyPGN4v-DI/view?usp=drivesdk" TargetMode="External"/><Relationship Id="rId11043" Type="http://schemas.openxmlformats.org/officeDocument/2006/relationships/hyperlink" Target="https://drive.google.com/file/d/1eB5pyeGYmrgyVcyaDWsG8bWsgwaz8Seg/view?usp=drivesdk" TargetMode="External"/><Relationship Id="rId12375" Type="http://schemas.openxmlformats.org/officeDocument/2006/relationships/hyperlink" Target="https://drive.google.com/file/d/1p5hng9lpF0-NdP9ROAhfay6YEwzyFnpD/view?usp=drivesdk" TargetMode="External"/><Relationship Id="rId11044" Type="http://schemas.openxmlformats.org/officeDocument/2006/relationships/hyperlink" Target="https://drive.google.com/file/d/1evFk7B4_fmXPXM6OURiHav4lk3UuxNFq/view?usp=drivesdk" TargetMode="External"/><Relationship Id="rId12374" Type="http://schemas.openxmlformats.org/officeDocument/2006/relationships/hyperlink" Target="https://drive.google.com/file/d/1mbVEqfBM_f7TOibUl_E4aCRLlR6kHMhK/view?usp=drivesdk" TargetMode="External"/><Relationship Id="rId11041" Type="http://schemas.openxmlformats.org/officeDocument/2006/relationships/hyperlink" Target="https://drive.google.com/file/d/1xdOHo9VsiEMvNdHF7xXqYPvKDiCGgc1_/view?usp=drivesdk" TargetMode="External"/><Relationship Id="rId12373" Type="http://schemas.openxmlformats.org/officeDocument/2006/relationships/hyperlink" Target="https://drive.google.com/file/d/1CFhSRLycjGK81YT5hxMw8rtCFfGxr6NQ/view?usp=drivesdk" TargetMode="External"/><Relationship Id="rId2880" Type="http://schemas.openxmlformats.org/officeDocument/2006/relationships/hyperlink" Target="https://drive.google.com/file/d/1nV46hH58yW2EswCLuYjs6YgcxEkcwvNW/view?usp=drivesdk" TargetMode="External"/><Relationship Id="rId11042" Type="http://schemas.openxmlformats.org/officeDocument/2006/relationships/hyperlink" Target="https://drive.google.com/file/d/14bsHqE1c2mgp1nf9a_ZQkUVP14JCI7lr/view?usp=drivesdk" TargetMode="External"/><Relationship Id="rId12372" Type="http://schemas.openxmlformats.org/officeDocument/2006/relationships/hyperlink" Target="https://drive.google.com/file/d/19BR9Zgrl8TfuYiuTa61J-ibDKKT0yHq5/view?usp=drivesdk" TargetMode="External"/><Relationship Id="rId1550" Type="http://schemas.openxmlformats.org/officeDocument/2006/relationships/hyperlink" Target="https://drive.google.com/file/d/19Iqc38HPQOf6mJi9-gvLCy2EW3Abb6gi/view?usp=drivesdk" TargetMode="External"/><Relationship Id="rId2881" Type="http://schemas.openxmlformats.org/officeDocument/2006/relationships/hyperlink" Target="https://drive.google.com/file/d/1C2jJPVp3umfnhwnalP4dkB7GNr_mb5ZR/view?usp=drivesdk" TargetMode="External"/><Relationship Id="rId11047" Type="http://schemas.openxmlformats.org/officeDocument/2006/relationships/hyperlink" Target="https://drive.google.com/file/d/1mvQyJAn6DFACXHu4GZne1JuMQ0RsbvwQ/view?usp=drivesdk" TargetMode="External"/><Relationship Id="rId12379" Type="http://schemas.openxmlformats.org/officeDocument/2006/relationships/hyperlink" Target="https://drive.google.com/file/d/15J1E8KeqKQSy3IDcQgQMyR4kESnSj6LL/view?usp=drivesdk" TargetMode="External"/><Relationship Id="rId1551" Type="http://schemas.openxmlformats.org/officeDocument/2006/relationships/hyperlink" Target="https://drive.google.com/file/d/1qntZBG2VJgkCDArHXV1pXXYb9XCU4W6m/view?usp=drivesdk" TargetMode="External"/><Relationship Id="rId2882" Type="http://schemas.openxmlformats.org/officeDocument/2006/relationships/hyperlink" Target="https://drive.google.com/file/d/1EWFWKrp3kyLIfUlINSYLGR02J_R50kQJ/view?usp=drivesdk" TargetMode="External"/><Relationship Id="rId11048" Type="http://schemas.openxmlformats.org/officeDocument/2006/relationships/hyperlink" Target="https://drive.google.com/file/d/16_RUslQJuRndwFVlbvkMOmdc0cXs8we5/view?usp=drivesdk" TargetMode="External"/><Relationship Id="rId12378" Type="http://schemas.openxmlformats.org/officeDocument/2006/relationships/hyperlink" Target="https://drive.google.com/file/d/1hc_74s7TlV7w9rP7xDEmKtrQxHBrt1eL/view?usp=drivesdk" TargetMode="External"/><Relationship Id="rId1552" Type="http://schemas.openxmlformats.org/officeDocument/2006/relationships/hyperlink" Target="https://drive.google.com/file/d/1RlBrZSfSVMLw-RwRT5vGOO_H7Yw46mVN/view?usp=drivesdk" TargetMode="External"/><Relationship Id="rId2883" Type="http://schemas.openxmlformats.org/officeDocument/2006/relationships/hyperlink" Target="https://drive.google.com/file/d/1C-3zs8slzSGb4DL18d-WwJFSExfQzoUT/view?usp=drivesdk" TargetMode="External"/><Relationship Id="rId11045" Type="http://schemas.openxmlformats.org/officeDocument/2006/relationships/hyperlink" Target="https://drive.google.com/file/d/16oSVekESEQOczqR_ZvW5QSXeVXOApP0g/view?usp=drivesdk" TargetMode="External"/><Relationship Id="rId12377" Type="http://schemas.openxmlformats.org/officeDocument/2006/relationships/hyperlink" Target="https://drive.google.com/file/d/12KtU8NsGUOPbVkocCMIcEwaXvhLZckbU/view?usp=drivesdk" TargetMode="External"/><Relationship Id="rId1553" Type="http://schemas.openxmlformats.org/officeDocument/2006/relationships/hyperlink" Target="https://drive.google.com/file/d/1NH66vTkWYiXjzMk4vzUjFNXmxkSVpYsx/view?usp=drivesdk" TargetMode="External"/><Relationship Id="rId2884" Type="http://schemas.openxmlformats.org/officeDocument/2006/relationships/hyperlink" Target="https://drive.google.com/file/d/1sNUL0VqE2p8lu69bTEJ8jDVhAiAKgVBg/view?usp=drivesdk" TargetMode="External"/><Relationship Id="rId11046" Type="http://schemas.openxmlformats.org/officeDocument/2006/relationships/hyperlink" Target="https://drive.google.com/file/d/15gnBKXMz-I1-1vR1CgD-L1eJd1ZIHeq0/view?usp=drivesdk" TargetMode="External"/><Relationship Id="rId12376" Type="http://schemas.openxmlformats.org/officeDocument/2006/relationships/hyperlink" Target="https://drive.google.com/file/d/1SQZZv7Q9xo9s89BFx_i7a0c4p-NYN8yN/view?usp=drivesdk" TargetMode="External"/><Relationship Id="rId1543" Type="http://schemas.openxmlformats.org/officeDocument/2006/relationships/hyperlink" Target="https://drive.google.com/file/d/1SG_Cc9hzKq4euhWlPA2kB1OrSjwWRwy3/view?usp=drivesdk" TargetMode="External"/><Relationship Id="rId2874" Type="http://schemas.openxmlformats.org/officeDocument/2006/relationships/hyperlink" Target="https://drive.google.com/file/d/1Q3y5CbMp1lswGyNUdknRQJTF7q8TwvIX/view?usp=drivesdk" TargetMode="External"/><Relationship Id="rId1544" Type="http://schemas.openxmlformats.org/officeDocument/2006/relationships/hyperlink" Target="https://drive.google.com/file/d/1lq3YK4UY-XvmOH4p_vskVLLsasLk3kV7/view?usp=drivesdk" TargetMode="External"/><Relationship Id="rId2875" Type="http://schemas.openxmlformats.org/officeDocument/2006/relationships/hyperlink" Target="https://drive.google.com/file/d/1cvU66b98db_UBcioiPnCtm9lT8e95KTd/view?usp=drivesdk" TargetMode="External"/><Relationship Id="rId1545" Type="http://schemas.openxmlformats.org/officeDocument/2006/relationships/hyperlink" Target="https://drive.google.com/file/d/115-x2gWcLqwPTZNP1xCKdbvrReyTpUud/view?usp=drivesdk" TargetMode="External"/><Relationship Id="rId2876" Type="http://schemas.openxmlformats.org/officeDocument/2006/relationships/hyperlink" Target="https://drive.google.com/file/d/1YA6pqso1UlubUAs5kbsvm1_iUluDg258/view?usp=drivesdk" TargetMode="External"/><Relationship Id="rId1546" Type="http://schemas.openxmlformats.org/officeDocument/2006/relationships/hyperlink" Target="https://drive.google.com/file/d/1RwKIImLZS3c5gH5TsbzAER-0hF2KVtf_/view?usp=drivesdk" TargetMode="External"/><Relationship Id="rId2877" Type="http://schemas.openxmlformats.org/officeDocument/2006/relationships/hyperlink" Target="https://drive.google.com/file/d/1qi1Pe5uX7dEfR_UIoPZDbRfVessN1BO8/view?usp=drivesdk" TargetMode="External"/><Relationship Id="rId1547" Type="http://schemas.openxmlformats.org/officeDocument/2006/relationships/hyperlink" Target="https://drive.google.com/file/d/1dP6yoXAd4EvNv-tBbaTdzJz2mnT7GUMa/view?usp=drivesdk" TargetMode="External"/><Relationship Id="rId2878" Type="http://schemas.openxmlformats.org/officeDocument/2006/relationships/hyperlink" Target="https://drive.google.com/file/d/1tqRxj6Rd1B7ZeX6SDGhAgiwaL_KFhxwf/view?usp=drivesdk" TargetMode="External"/><Relationship Id="rId11061" Type="http://schemas.openxmlformats.org/officeDocument/2006/relationships/hyperlink" Target="https://drive.google.com/file/d/1fQ_RaF-_KLE8ATD8o_cQ2L28LY-Im2EB/view?usp=drivesdk" TargetMode="External"/><Relationship Id="rId12393" Type="http://schemas.openxmlformats.org/officeDocument/2006/relationships/hyperlink" Target="https://drive.google.com/file/d/1PvEnVjPL7PBP85IDo7SvZFc5AscBINzu/view?usp=drivesdk" TargetMode="External"/><Relationship Id="rId1548" Type="http://schemas.openxmlformats.org/officeDocument/2006/relationships/hyperlink" Target="https://drive.google.com/file/d/1ImxVKyqky2-HC-5TbPDq1E0aYOqZEFt7/view?usp=drivesdk" TargetMode="External"/><Relationship Id="rId2879" Type="http://schemas.openxmlformats.org/officeDocument/2006/relationships/hyperlink" Target="https://drive.google.com/file/d/1_t2OsWssvBwE8SBBMasWA-PaoaHcF3M2/view?usp=drivesdk" TargetMode="External"/><Relationship Id="rId11062" Type="http://schemas.openxmlformats.org/officeDocument/2006/relationships/hyperlink" Target="https://drive.google.com/file/d/1FkwhemIiDwNoZ-R3zBk_F-uJadTi4V2z/view?usp=drivesdk" TargetMode="External"/><Relationship Id="rId12392" Type="http://schemas.openxmlformats.org/officeDocument/2006/relationships/hyperlink" Target="https://drive.google.com/file/d/1hTi28lvbl8QD4q5Fh8GDzUimEYdeuhL6/view?usp=drivesdk" TargetMode="External"/><Relationship Id="rId1549" Type="http://schemas.openxmlformats.org/officeDocument/2006/relationships/hyperlink" Target="https://drive.google.com/file/d/16cb0RX9yJCw80T36e8MtXZTJiiF-Z_YN/view?usp=drivesdk" TargetMode="External"/><Relationship Id="rId12391" Type="http://schemas.openxmlformats.org/officeDocument/2006/relationships/hyperlink" Target="https://drive.google.com/file/d/1gPhiZOOaIIgQT-UkZX8dPbDjeTE4jQvw/view?usp=drivesdk" TargetMode="External"/><Relationship Id="rId11060" Type="http://schemas.openxmlformats.org/officeDocument/2006/relationships/hyperlink" Target="https://drive.google.com/file/d/14mJ1ttxWD4JuLTI07odren8t-GUKf_3c/view?usp=drivesdk" TargetMode="External"/><Relationship Id="rId12390" Type="http://schemas.openxmlformats.org/officeDocument/2006/relationships/hyperlink" Target="https://drive.google.com/file/d/1t93vgRvgMJqq7zaUKpNkbDIOr9sPXS3S/view?usp=drivesdk" TargetMode="External"/><Relationship Id="rId11054" Type="http://schemas.openxmlformats.org/officeDocument/2006/relationships/hyperlink" Target="https://drive.google.com/file/d/1loOVhAvBVv_AtES1iDGTqrD_peqU3hc3/view?usp=drivesdk" TargetMode="External"/><Relationship Id="rId12386" Type="http://schemas.openxmlformats.org/officeDocument/2006/relationships/hyperlink" Target="https://drive.google.com/file/d/10HMu9VE_i6xUBOcZ1TyacUo0oaZ6Ohed/view?usp=drivesdk" TargetMode="External"/><Relationship Id="rId11055" Type="http://schemas.openxmlformats.org/officeDocument/2006/relationships/hyperlink" Target="https://drive.google.com/file/d/1yacd2uiRh1yhexX6i-AFkEycRzqJgULK/view?usp=drivesdk" TargetMode="External"/><Relationship Id="rId12385" Type="http://schemas.openxmlformats.org/officeDocument/2006/relationships/hyperlink" Target="https://drive.google.com/file/d/1zvuqHXj2NU4T-CyP5dNNBzeJA73H-8OJ/view?usp=drivesdk" TargetMode="External"/><Relationship Id="rId11052" Type="http://schemas.openxmlformats.org/officeDocument/2006/relationships/hyperlink" Target="https://drive.google.com/file/d/1IHRUkHuSPe3RVecroWEkEaaTXhqBnmTu/view?usp=drivesdk" TargetMode="External"/><Relationship Id="rId12384" Type="http://schemas.openxmlformats.org/officeDocument/2006/relationships/hyperlink" Target="https://drive.google.com/file/d/1srG7fMPZqI45dhz25B1nGz_xIvHD2YYL/view?usp=drivesdk" TargetMode="External"/><Relationship Id="rId11053" Type="http://schemas.openxmlformats.org/officeDocument/2006/relationships/hyperlink" Target="https://drive.google.com/file/d/1LwkZlVmQ67U3sH-pKa6q9mpI6_6Ilzej/view?usp=drivesdk" TargetMode="External"/><Relationship Id="rId12383" Type="http://schemas.openxmlformats.org/officeDocument/2006/relationships/hyperlink" Target="https://drive.google.com/file/d/1JkWp-b3yD4TfN4Hhm9advbk3k7N4SKNF/view?usp=drivesdk" TargetMode="External"/><Relationship Id="rId2870" Type="http://schemas.openxmlformats.org/officeDocument/2006/relationships/hyperlink" Target="https://drive.google.com/file/d/1BRYN0a0OicVDisPHN_CgbbkRNnsDKlf6/view?usp=drivesdk" TargetMode="External"/><Relationship Id="rId11058" Type="http://schemas.openxmlformats.org/officeDocument/2006/relationships/hyperlink" Target="https://drive.google.com/file/d/1T6W-LtEiT9Oolc5UnB1E2x9x4lWGMXuj/view?usp=drivesdk" TargetMode="External"/><Relationship Id="rId1540" Type="http://schemas.openxmlformats.org/officeDocument/2006/relationships/hyperlink" Target="https://drive.google.com/file/d/1gHv9r7zZiizhfXsiCf08snNYk56tpiHh/view?usp=drivesdk" TargetMode="External"/><Relationship Id="rId2871" Type="http://schemas.openxmlformats.org/officeDocument/2006/relationships/hyperlink" Target="https://drive.google.com/file/d/1dZ0QzSbwgL9oaqZRlIEiEtW8Xv76uGg1/view?usp=drivesdk" TargetMode="External"/><Relationship Id="rId11059" Type="http://schemas.openxmlformats.org/officeDocument/2006/relationships/hyperlink" Target="https://drive.google.com/file/d/1ETGcSj88L8j-GAOzuOExw7fg2YxCUlOp/view?usp=drivesdk" TargetMode="External"/><Relationship Id="rId12389" Type="http://schemas.openxmlformats.org/officeDocument/2006/relationships/hyperlink" Target="https://drive.google.com/file/d/1Dwp5Gh7Hxh2KfJHuHNYSyH24zqb_5z1W/view?usp=drivesdk" TargetMode="External"/><Relationship Id="rId1541" Type="http://schemas.openxmlformats.org/officeDocument/2006/relationships/hyperlink" Target="https://drive.google.com/file/d/1QX2PGZLT0YIFvqu5eB9JlfvDDzV7CF9g/view?usp=drivesdk" TargetMode="External"/><Relationship Id="rId2872" Type="http://schemas.openxmlformats.org/officeDocument/2006/relationships/hyperlink" Target="https://drive.google.com/file/d/1bXac-lStQGhcaFf1M-K4RQQTCBtpye4X/view?usp=drivesdk" TargetMode="External"/><Relationship Id="rId11056" Type="http://schemas.openxmlformats.org/officeDocument/2006/relationships/hyperlink" Target="https://drive.google.com/file/d/1mneWFAc6S6EnsaVSCqr8JZPJQHRckT0M/view?usp=drivesdk" TargetMode="External"/><Relationship Id="rId12388" Type="http://schemas.openxmlformats.org/officeDocument/2006/relationships/hyperlink" Target="https://drive.google.com/file/d/1kH2abEGatterjZ36lYGTbTSfQ_ipgcpz/view?usp=drivesdk" TargetMode="External"/><Relationship Id="rId1542" Type="http://schemas.openxmlformats.org/officeDocument/2006/relationships/hyperlink" Target="https://drive.google.com/file/d/1m0PMEmzmYcLcbSsqFrGcRY2acqdLALHV/view?usp=drivesdk" TargetMode="External"/><Relationship Id="rId2873" Type="http://schemas.openxmlformats.org/officeDocument/2006/relationships/hyperlink" Target="https://drive.google.com/file/d/1jv4aP7ipvk6mgnM0r06ZKiT0EbVp_wAu/view?usp=drivesdk" TargetMode="External"/><Relationship Id="rId11057" Type="http://schemas.openxmlformats.org/officeDocument/2006/relationships/hyperlink" Target="https://drive.google.com/file/d/1xWodnnh9nIw0XXifJk8bZjQWWWZ1tl01/view?usp=drivesdk" TargetMode="External"/><Relationship Id="rId12387" Type="http://schemas.openxmlformats.org/officeDocument/2006/relationships/hyperlink" Target="https://drive.google.com/file/d/1RDqYasszjfdyNEsT-BZlItrLbrojewqO/view?usp=drivesdk" TargetMode="External"/><Relationship Id="rId13609" Type="http://schemas.openxmlformats.org/officeDocument/2006/relationships/hyperlink" Target="https://drive.google.com/file/d/1GOA3sfK5sBqw5qZIro_I32MIag-kg3K1/view?usp=drivesdk" TargetMode="External"/><Relationship Id="rId13604" Type="http://schemas.openxmlformats.org/officeDocument/2006/relationships/hyperlink" Target="https://drive.google.com/file/d/1px7_LyhA98yt3sjxaulXGuIx7bsnNQ04/view?usp=drivesdk" TargetMode="External"/><Relationship Id="rId13603" Type="http://schemas.openxmlformats.org/officeDocument/2006/relationships/hyperlink" Target="https://drive.google.com/file/d/1ZPJ7GVUXlSUEp1CxKqKnDPTAuISWaabC/view?usp=drivesdk" TargetMode="External"/><Relationship Id="rId13602" Type="http://schemas.openxmlformats.org/officeDocument/2006/relationships/hyperlink" Target="https://drive.google.com/file/d/1UpoUXYfwkmcgwd7XoXKyanGss5N7Zs1d/view?usp=drivesdk" TargetMode="External"/><Relationship Id="rId13601" Type="http://schemas.openxmlformats.org/officeDocument/2006/relationships/hyperlink" Target="https://drive.google.com/file/d/1cIxK7Rm_tFCBTaelwnRDPIngI6pj0Ioq/view?usp=drivesdk" TargetMode="External"/><Relationship Id="rId13608" Type="http://schemas.openxmlformats.org/officeDocument/2006/relationships/hyperlink" Target="https://drive.google.com/file/d/1ijJw0NPS0Nn_M6qlM7lEjATJP_MoEMU3/view?usp=drivesdk" TargetMode="External"/><Relationship Id="rId13607" Type="http://schemas.openxmlformats.org/officeDocument/2006/relationships/hyperlink" Target="https://drive.google.com/file/d/1VM1bha237xuc02EP8kSze6PPrqUf-1OL/view?usp=drivesdk" TargetMode="External"/><Relationship Id="rId13606" Type="http://schemas.openxmlformats.org/officeDocument/2006/relationships/hyperlink" Target="https://drive.google.com/file/d/1oRmWP4quj6mwyLRuw1EkNf5GPHqOw0on/view?usp=drivesdk" TargetMode="External"/><Relationship Id="rId13605" Type="http://schemas.openxmlformats.org/officeDocument/2006/relationships/hyperlink" Target="https://drive.google.com/file/d/1HzUcRCo389fYvQ8kMGa5-O_JWAq5RCg1/view?usp=drivesdk" TargetMode="External"/><Relationship Id="rId13600" Type="http://schemas.openxmlformats.org/officeDocument/2006/relationships/hyperlink" Target="https://drive.google.com/file/d/1EWz-iOC2SltDLXS2zxIm7_ejQfoqLiAm/view?usp=drivesdk" TargetMode="External"/><Relationship Id="rId13615" Type="http://schemas.openxmlformats.org/officeDocument/2006/relationships/hyperlink" Target="https://drive.google.com/file/d/1eiu44uPsfkvKXPR85rPun-QZkZwiwM-9/view?usp=drivesdk" TargetMode="External"/><Relationship Id="rId13614" Type="http://schemas.openxmlformats.org/officeDocument/2006/relationships/hyperlink" Target="https://drive.google.com/file/d/1ooh415FM2Wz6KX05quDljlZ8s4YetSzm/view?usp=drivesdk" TargetMode="External"/><Relationship Id="rId13613" Type="http://schemas.openxmlformats.org/officeDocument/2006/relationships/hyperlink" Target="https://drive.google.com/file/d/1GGO9a7lud2-e1wEh8jwIT6xWIzjjeBSB/view?usp=drivesdk" TargetMode="External"/><Relationship Id="rId13612" Type="http://schemas.openxmlformats.org/officeDocument/2006/relationships/hyperlink" Target="https://drive.google.com/file/d/1EOdz_dSxHb8g3-MLOwvAs9nI554BfU0B/view?usp=drivesdk" TargetMode="External"/><Relationship Id="rId13619" Type="http://schemas.openxmlformats.org/officeDocument/2006/relationships/hyperlink" Target="https://drive.google.com/file/d/1QTxTwt5DpkCYzgwIdttPUQL8JeMNcHiY/view?usp=drivesdk" TargetMode="External"/><Relationship Id="rId13618" Type="http://schemas.openxmlformats.org/officeDocument/2006/relationships/hyperlink" Target="https://drive.google.com/file/d/1lcL1qKK0g5CKlGk99UfriTOAvUesa9pZ/view?usp=drivesdk" TargetMode="External"/><Relationship Id="rId13617" Type="http://schemas.openxmlformats.org/officeDocument/2006/relationships/hyperlink" Target="https://drive.google.com/file/d/1N3gaLi7Wi0StEJ_qhcO_5cuxK61Blxob/view?usp=drivesdk" TargetMode="External"/><Relationship Id="rId13616" Type="http://schemas.openxmlformats.org/officeDocument/2006/relationships/hyperlink" Target="https://drive.google.com/file/d/1ET_4TXJ4Ty8SKGSjG2awUq325DFhKZuY/view?usp=drivesdk" TargetMode="External"/><Relationship Id="rId13611" Type="http://schemas.openxmlformats.org/officeDocument/2006/relationships/hyperlink" Target="https://drive.google.com/file/d/1YvW57mHbXO41GRs8YlmP_1uKS5NCukm8/view?usp=drivesdk" TargetMode="External"/><Relationship Id="rId13610" Type="http://schemas.openxmlformats.org/officeDocument/2006/relationships/hyperlink" Target="https://drive.google.com/file/d/1QfsFosOtlHgjMSkTy62gANCdz8NjCFz7/view?usp=drivesdk" TargetMode="External"/><Relationship Id="rId12317" Type="http://schemas.openxmlformats.org/officeDocument/2006/relationships/hyperlink" Target="https://drive.google.com/file/d/1l9uU0XG7rbw-0rXyp4UpNS-Z-uDskmiy/view?usp=drivesdk" TargetMode="External"/><Relationship Id="rId13648" Type="http://schemas.openxmlformats.org/officeDocument/2006/relationships/hyperlink" Target="https://drive.google.com/file/d/1uYk7U1Kjh_D954J8zbyYNGNPCgYdxgjr/view?usp=drivesdk" TargetMode="External"/><Relationship Id="rId12316" Type="http://schemas.openxmlformats.org/officeDocument/2006/relationships/hyperlink" Target="https://drive.google.com/file/d/1aVpYt30vp9ZQu64s5G5c_-OvoTyNrsey/view?usp=drivesdk" TargetMode="External"/><Relationship Id="rId13647" Type="http://schemas.openxmlformats.org/officeDocument/2006/relationships/hyperlink" Target="https://drive.google.com/file/d/105O_sHT1k_ukJWe_pVXALDC2beV9tvtt/view?usp=drivesdk" TargetMode="External"/><Relationship Id="rId12315" Type="http://schemas.openxmlformats.org/officeDocument/2006/relationships/hyperlink" Target="https://drive.google.com/file/d/1p1_gKUMf1MLjdu0Nx6qs_gv-H6scpCzi/view?usp=drivesdk" TargetMode="External"/><Relationship Id="rId13646" Type="http://schemas.openxmlformats.org/officeDocument/2006/relationships/hyperlink" Target="https://drive.google.com/file/d/1NmYnekAXT0Mzk0X1zIJNKKKS4Ayjbvp7/view?usp=drivesdk" TargetMode="External"/><Relationship Id="rId12314" Type="http://schemas.openxmlformats.org/officeDocument/2006/relationships/hyperlink" Target="https://drive.google.com/file/d/156W9GtQNAVIJ-CmUHHNnlVfP9zuK9i4b/view?usp=drivesdk" TargetMode="External"/><Relationship Id="rId13645" Type="http://schemas.openxmlformats.org/officeDocument/2006/relationships/hyperlink" Target="https://drive.google.com/file/d/1VPTQAo4aMYDjUmDWz6IAbO9Vlhi0kgIp/view?usp=drivesdk" TargetMode="External"/><Relationship Id="rId12319" Type="http://schemas.openxmlformats.org/officeDocument/2006/relationships/hyperlink" Target="https://drive.google.com/file/d/1C6w2djyab8i0fHOtqP8EnTVmm3MF7wsl/view?usp=drivesdk" TargetMode="External"/><Relationship Id="rId12318" Type="http://schemas.openxmlformats.org/officeDocument/2006/relationships/hyperlink" Target="https://drive.google.com/file/d/14CEOBMg0nab8x2GMnYNqxn3fMDABZ96i/view?usp=drivesdk" TargetMode="External"/><Relationship Id="rId13649" Type="http://schemas.openxmlformats.org/officeDocument/2006/relationships/hyperlink" Target="https://drive.google.com/file/d/1J4pKijyXBU-pmadatXRrg6uSIKxFXBDF/view?usp=drivesdk" TargetMode="External"/><Relationship Id="rId13640" Type="http://schemas.openxmlformats.org/officeDocument/2006/relationships/hyperlink" Target="https://drive.google.com/file/d/1ItPQQdnNIpns1s4GTo_i98AxsPjI8TZ3/view?usp=drivesdk" TargetMode="External"/><Relationship Id="rId12313" Type="http://schemas.openxmlformats.org/officeDocument/2006/relationships/hyperlink" Target="https://drive.google.com/file/d/1rFa42CtipVYJ7jV9iRfvvultG7NhZjIi/view?usp=drivesdk" TargetMode="External"/><Relationship Id="rId13644" Type="http://schemas.openxmlformats.org/officeDocument/2006/relationships/hyperlink" Target="https://drive.google.com/file/d/16IIfrrKqicT2-BDZ8UshRRjvfVv3SMlz/view?usp=drivesdk" TargetMode="External"/><Relationship Id="rId12312" Type="http://schemas.openxmlformats.org/officeDocument/2006/relationships/hyperlink" Target="https://drive.google.com/file/d/1hYsvX6M2JYKevqNSFJS_c2IFaYDssdjf/view?usp=drivesdk" TargetMode="External"/><Relationship Id="rId13643" Type="http://schemas.openxmlformats.org/officeDocument/2006/relationships/hyperlink" Target="https://drive.google.com/file/d/1hipwmJJHOUWHlz1WxyqJgKJQPBnG6SWG/view?usp=drivesdk" TargetMode="External"/><Relationship Id="rId12311" Type="http://schemas.openxmlformats.org/officeDocument/2006/relationships/hyperlink" Target="https://drive.google.com/file/d/1sbjGhBHJsKrIpPFOI-K2dQyChFzDpJEe/view?usp=drivesdk" TargetMode="External"/><Relationship Id="rId13642" Type="http://schemas.openxmlformats.org/officeDocument/2006/relationships/hyperlink" Target="https://drive.google.com/file/d/1afygtB8yeg9qlcqyQbmCZLQiqg6oSNeb/view?usp=drivesdk" TargetMode="External"/><Relationship Id="rId12310" Type="http://schemas.openxmlformats.org/officeDocument/2006/relationships/hyperlink" Target="https://drive.google.com/file/d/1tjuWFNOYjglVLrL2Tv3PcA_qBR_a852l/view?usp=drivesdk" TargetMode="External"/><Relationship Id="rId13641" Type="http://schemas.openxmlformats.org/officeDocument/2006/relationships/hyperlink" Target="https://drive.google.com/file/d/1ZIwsa4D4XYVZ088oHyrXwx_BAC2pTwXM/view?usp=drivesdk" TargetMode="External"/><Relationship Id="rId12328" Type="http://schemas.openxmlformats.org/officeDocument/2006/relationships/hyperlink" Target="https://drive.google.com/file/d/1slfYfoq6ay2BmrNo1EFjNBao0mFtuvJo/view?usp=drivesdk" TargetMode="External"/><Relationship Id="rId13659" Type="http://schemas.openxmlformats.org/officeDocument/2006/relationships/hyperlink" Target="https://drive.google.com/file/d/1axh3FIw2tVuNwtkCnkV_dbeW6u5xafya/view?usp=drivesdk" TargetMode="External"/><Relationship Id="rId12327" Type="http://schemas.openxmlformats.org/officeDocument/2006/relationships/hyperlink" Target="https://drive.google.com/file/d/1dgdQ7uY6_YqyTaXkiEtZ6LsuKy2oFJy8/view?usp=drivesdk" TargetMode="External"/><Relationship Id="rId13658" Type="http://schemas.openxmlformats.org/officeDocument/2006/relationships/hyperlink" Target="https://drive.google.com/file/d/1aQfTG4EgoRVmXanLMb3AxfGJw_dNSluk/view?usp=drivesdk" TargetMode="External"/><Relationship Id="rId12326" Type="http://schemas.openxmlformats.org/officeDocument/2006/relationships/hyperlink" Target="https://drive.google.com/file/d/1vSFRH1zXgr_-kc4xmaw_XzQ0DoDz-ew6/view?usp=drivesdk" TargetMode="External"/><Relationship Id="rId13657" Type="http://schemas.openxmlformats.org/officeDocument/2006/relationships/hyperlink" Target="https://drive.google.com/file/d/1OuuFTljBrHjwwa4QIrQ_CJ6Qra44QC8j/view?usp=drivesdk" TargetMode="External"/><Relationship Id="rId12325" Type="http://schemas.openxmlformats.org/officeDocument/2006/relationships/hyperlink" Target="https://drive.google.com/file/d/1CKC7ZvILidU2neENsziP-SdaLifudvEZ/view?usp=drivesdk" TargetMode="External"/><Relationship Id="rId13656" Type="http://schemas.openxmlformats.org/officeDocument/2006/relationships/hyperlink" Target="https://drive.google.com/file/d/1zy485e4ygp8vNB6SenHH47RK5FThooaO/view?usp=drivesdk" TargetMode="External"/><Relationship Id="rId12329" Type="http://schemas.openxmlformats.org/officeDocument/2006/relationships/hyperlink" Target="https://drive.google.com/file/d/1v-LlKKAzmHBqIwSohIphrEE3VUFB2Uqu/view?usp=drivesdk" TargetMode="External"/><Relationship Id="rId12320" Type="http://schemas.openxmlformats.org/officeDocument/2006/relationships/hyperlink" Target="https://drive.google.com/file/d/14VGIkVO_sOLkPlPSSdTY8ysBj2R4ykII/view?usp=drivesdk" TargetMode="External"/><Relationship Id="rId13651" Type="http://schemas.openxmlformats.org/officeDocument/2006/relationships/hyperlink" Target="https://drive.google.com/file/d/1eHrvNFRi0MSquX1r1pBd1mRhNHE211Wk/view?usp=drivesdk" TargetMode="External"/><Relationship Id="rId13650" Type="http://schemas.openxmlformats.org/officeDocument/2006/relationships/hyperlink" Target="https://drive.google.com/file/d/11d-IMD4aYKn6NT-gmJ3sIaCOX5xJy1pg/view?usp=drivesdk" TargetMode="External"/><Relationship Id="rId12324" Type="http://schemas.openxmlformats.org/officeDocument/2006/relationships/hyperlink" Target="https://drive.google.com/file/d/1DfwK0FjRpDGot6dyEEJGJBBcVNp4EPNT/view?usp=drivesdk" TargetMode="External"/><Relationship Id="rId13655" Type="http://schemas.openxmlformats.org/officeDocument/2006/relationships/hyperlink" Target="https://drive.google.com/file/d/1nJ784Xc4KWmojBDbsccWpnqS986TCP_8/view?usp=drivesdk" TargetMode="External"/><Relationship Id="rId12323" Type="http://schemas.openxmlformats.org/officeDocument/2006/relationships/hyperlink" Target="https://drive.google.com/file/d/163Mrx38SLcRNEl7sS7N1HgxyfgSmPuEX/view?usp=drivesdk" TargetMode="External"/><Relationship Id="rId13654" Type="http://schemas.openxmlformats.org/officeDocument/2006/relationships/hyperlink" Target="https://drive.google.com/file/d/1mdc_fAiCkn_WxnInjIUCCuYbYGbR559T/view?usp=drivesdk" TargetMode="External"/><Relationship Id="rId12322" Type="http://schemas.openxmlformats.org/officeDocument/2006/relationships/hyperlink" Target="https://drive.google.com/file/d/1xa-9TxI1FGNrEuL2yme0I9DQGKFQ4WVb/view?usp=drivesdk" TargetMode="External"/><Relationship Id="rId13653" Type="http://schemas.openxmlformats.org/officeDocument/2006/relationships/hyperlink" Target="https://drive.google.com/file/d/1MAZ07TautdAZIZk15D5I5mhppHuXthP3/view?usp=drivesdk" TargetMode="External"/><Relationship Id="rId12321" Type="http://schemas.openxmlformats.org/officeDocument/2006/relationships/hyperlink" Target="https://drive.google.com/file/d/14DrVTZ7YkFmqsRfBs7OWnHmxDgfiabBI/view?usp=drivesdk" TargetMode="External"/><Relationship Id="rId13652" Type="http://schemas.openxmlformats.org/officeDocument/2006/relationships/hyperlink" Target="https://drive.google.com/file/d/1AZdHmBzRb8gAeSXeRDrnCL5rYAoDe7aj/view?usp=drivesdk" TargetMode="External"/><Relationship Id="rId13626" Type="http://schemas.openxmlformats.org/officeDocument/2006/relationships/hyperlink" Target="https://drive.google.com/file/d/1pmhhh9-sN0atmCU_hmGd_Yh3A9TRmZwY/view?usp=drivesdk" TargetMode="External"/><Relationship Id="rId13625" Type="http://schemas.openxmlformats.org/officeDocument/2006/relationships/hyperlink" Target="https://drive.google.com/file/d/1TJnJAwX5q1mr0qPwiiPTUYd1U_Kiv-kr/view?usp=drivesdk" TargetMode="External"/><Relationship Id="rId13624" Type="http://schemas.openxmlformats.org/officeDocument/2006/relationships/hyperlink" Target="https://drive.google.com/file/d/15BNeGkzoBHtgOHosEK7ReZho7G9HtzB7/view?usp=drivesdk" TargetMode="External"/><Relationship Id="rId13623" Type="http://schemas.openxmlformats.org/officeDocument/2006/relationships/hyperlink" Target="https://drive.google.com/file/d/1B6eoD2J7TKnbGc7jLHG1eVk2YSb-qZGz/view?usp=drivesdk" TargetMode="External"/><Relationship Id="rId13629" Type="http://schemas.openxmlformats.org/officeDocument/2006/relationships/hyperlink" Target="https://drive.google.com/file/d/1-qlsZTIvHr3I_ZwI6s_uV30a0nvHv1I0/view?usp=drivesdk" TargetMode="External"/><Relationship Id="rId13628" Type="http://schemas.openxmlformats.org/officeDocument/2006/relationships/hyperlink" Target="https://drive.google.com/file/d/1SKISsAEB-k8mF0gK9rCmq8Qt4FEwd3v-/view?usp=drivesdk" TargetMode="External"/><Relationship Id="rId13627" Type="http://schemas.openxmlformats.org/officeDocument/2006/relationships/hyperlink" Target="https://drive.google.com/file/d/1K1mDpN1pqcsvfv42xWHq9sfqV_eCR_VC/view?usp=drivesdk" TargetMode="External"/><Relationship Id="rId13622" Type="http://schemas.openxmlformats.org/officeDocument/2006/relationships/hyperlink" Target="https://drive.google.com/file/d/17cqmYxlLLXZmD4dmZ9tBT1F7CqEDFGgG/view?usp=drivesdk" TargetMode="External"/><Relationship Id="rId13621" Type="http://schemas.openxmlformats.org/officeDocument/2006/relationships/hyperlink" Target="https://drive.google.com/file/d/1OcGL2gq5RpfltrFbF14VQd9JbOqTU9W5/view?usp=drivesdk" TargetMode="External"/><Relationship Id="rId13620" Type="http://schemas.openxmlformats.org/officeDocument/2006/relationships/hyperlink" Target="https://drive.google.com/file/d/1b64pZmHINavTCho9JqtKZKYOrdC0v5YS/view?usp=drivesdk" TargetMode="External"/><Relationship Id="rId12306" Type="http://schemas.openxmlformats.org/officeDocument/2006/relationships/hyperlink" Target="https://drive.google.com/file/d/1g_XtfncyaEYzGOeGMIeOUy-0TlQMHPqM/view?usp=drivesdk" TargetMode="External"/><Relationship Id="rId13637" Type="http://schemas.openxmlformats.org/officeDocument/2006/relationships/hyperlink" Target="https://drive.google.com/file/d/1OEcAlfhvC6mMuGjZcLNWq4gawr9xDRgT/view?usp=drivesdk" TargetMode="External"/><Relationship Id="rId12305" Type="http://schemas.openxmlformats.org/officeDocument/2006/relationships/hyperlink" Target="https://drive.google.com/file/d/1avGuhu5F47YXFv6VqzmV1Dq_HpfjSIoz/view?usp=drivesdk" TargetMode="External"/><Relationship Id="rId13636" Type="http://schemas.openxmlformats.org/officeDocument/2006/relationships/hyperlink" Target="https://drive.google.com/file/d/1Cn42-2wWThEQ8out0yB7K2NCQr6i7PzH/view?usp=drivesdk" TargetMode="External"/><Relationship Id="rId12304" Type="http://schemas.openxmlformats.org/officeDocument/2006/relationships/hyperlink" Target="https://drive.google.com/file/d/1CzIIVrg9ai8qMo0HDmN2jsp8_fnVdGpk/view?usp=drivesdk" TargetMode="External"/><Relationship Id="rId13635" Type="http://schemas.openxmlformats.org/officeDocument/2006/relationships/hyperlink" Target="https://drive.google.com/file/d/1lZW6csHlWB-k25ydAB6i_4pjMlcP9Fpf/view?usp=drivesdk" TargetMode="External"/><Relationship Id="rId12303" Type="http://schemas.openxmlformats.org/officeDocument/2006/relationships/hyperlink" Target="https://drive.google.com/file/d/1NdfJJsvHr8e7yBlundn_rLjY96HPLB3J/view?usp=drivesdk" TargetMode="External"/><Relationship Id="rId13634" Type="http://schemas.openxmlformats.org/officeDocument/2006/relationships/hyperlink" Target="https://drive.google.com/file/d/1xRIaTghkLuJx21POGDiS5qQwCHQ7lRIP/view?usp=drivesdk" TargetMode="External"/><Relationship Id="rId12309" Type="http://schemas.openxmlformats.org/officeDocument/2006/relationships/hyperlink" Target="https://drive.google.com/file/d/11XHLhni-hsbBUWpQC7BIirdKX4ZB8a0w/view?usp=drivesdk" TargetMode="External"/><Relationship Id="rId12308" Type="http://schemas.openxmlformats.org/officeDocument/2006/relationships/hyperlink" Target="https://drive.google.com/file/d/1FVMkjet2ErIaCce-Xfh3vdoMEx-0N6sC/view?usp=drivesdk" TargetMode="External"/><Relationship Id="rId13639" Type="http://schemas.openxmlformats.org/officeDocument/2006/relationships/hyperlink" Target="https://drive.google.com/file/d/18T0g8OWvMRWcQeVV_g-WshsuYjIGgajU/view?usp=drivesdk" TargetMode="External"/><Relationship Id="rId12307" Type="http://schemas.openxmlformats.org/officeDocument/2006/relationships/hyperlink" Target="https://drive.google.com/file/d/1Hm40GrVeZi-cF2mPktiEXfPlYm_3Crk4/view?usp=drivesdk" TargetMode="External"/><Relationship Id="rId13638" Type="http://schemas.openxmlformats.org/officeDocument/2006/relationships/hyperlink" Target="https://drive.google.com/file/d/1u-EdbeM2CbM9HjLXG5HZdNJOqOG-hJ_1/view?usp=drivesdk" TargetMode="External"/><Relationship Id="rId12302" Type="http://schemas.openxmlformats.org/officeDocument/2006/relationships/hyperlink" Target="https://drive.google.com/file/d/1Ceg0LQTreDPkZXQjxSRUNY3RsDzBAAOq/view?usp=drivesdk" TargetMode="External"/><Relationship Id="rId13633" Type="http://schemas.openxmlformats.org/officeDocument/2006/relationships/hyperlink" Target="https://drive.google.com/file/d/1PGdjePcujwELyp_YmGaMBxik2dOyPQBA/view?usp=drivesdk" TargetMode="External"/><Relationship Id="rId12301" Type="http://schemas.openxmlformats.org/officeDocument/2006/relationships/hyperlink" Target="https://drive.google.com/file/d/1YA0iMm4-4zr74Gc_TmM-X-lCzpDNLLuD/view?usp=drivesdk" TargetMode="External"/><Relationship Id="rId13632" Type="http://schemas.openxmlformats.org/officeDocument/2006/relationships/hyperlink" Target="https://drive.google.com/file/d/171VTtElhyYi9CSZOmBdW47VewjiDrfKq/view?usp=drivesdk" TargetMode="External"/><Relationship Id="rId12300" Type="http://schemas.openxmlformats.org/officeDocument/2006/relationships/hyperlink" Target="https://drive.google.com/file/d/1mj_yi0l98CI5yNS4AnlWRNNn9N7H9vnP/view?usp=drivesdk" TargetMode="External"/><Relationship Id="rId13631" Type="http://schemas.openxmlformats.org/officeDocument/2006/relationships/hyperlink" Target="https://drive.google.com/file/d/1_hHcid4pbJO8LmN7djSdFYFKYQsNFcrj/view?usp=drivesdk" TargetMode="External"/><Relationship Id="rId13630" Type="http://schemas.openxmlformats.org/officeDocument/2006/relationships/hyperlink" Target="https://drive.google.com/file/d/1OvcPY91lPM8YjNhb7VoHe9o6vZH3H2_1/view?usp=drivesdk" TargetMode="External"/><Relationship Id="rId2940" Type="http://schemas.openxmlformats.org/officeDocument/2006/relationships/hyperlink" Target="https://drive.google.com/file/d/1tXr1z1qA6wJofkNw0FUH8KoqDInjy6N_/view?usp=drivesdk" TargetMode="External"/><Relationship Id="rId1610" Type="http://schemas.openxmlformats.org/officeDocument/2006/relationships/hyperlink" Target="https://drive.google.com/file/d/15v8NsP-6bJBLlwPTdZoh_luui8BsE4c5/view?usp=drivesdk" TargetMode="External"/><Relationship Id="rId2941" Type="http://schemas.openxmlformats.org/officeDocument/2006/relationships/hyperlink" Target="https://drive.google.com/file/d/1QkkIwU7L8jQcCI3EGQ-i3Ab4FrzkRnE_/view?usp=drivesdk" TargetMode="External"/><Relationship Id="rId1611" Type="http://schemas.openxmlformats.org/officeDocument/2006/relationships/hyperlink" Target="https://drive.google.com/file/d/155bDAR04n9MJo3jCK9uG2RvfStYyOlNQ/view?usp=drivesdk" TargetMode="External"/><Relationship Id="rId2942" Type="http://schemas.openxmlformats.org/officeDocument/2006/relationships/hyperlink" Target="https://drive.google.com/file/d/1iYwSpoM8EU5gELjoY7k2Ni6jCmmXFSyu/view?usp=drivesdk" TargetMode="External"/><Relationship Id="rId1612" Type="http://schemas.openxmlformats.org/officeDocument/2006/relationships/hyperlink" Target="https://drive.google.com/file/d/1yXC-yPswAO2N-GSrmJ8lr8fznRZW5rSW/view?usp=drivesdk" TargetMode="External"/><Relationship Id="rId2943" Type="http://schemas.openxmlformats.org/officeDocument/2006/relationships/hyperlink" Target="https://drive.google.com/file/d/1h01oXJf4mYasL3kw28tIieuv8aZohEeg/view?usp=drivesdk" TargetMode="External"/><Relationship Id="rId1613" Type="http://schemas.openxmlformats.org/officeDocument/2006/relationships/hyperlink" Target="https://drive.google.com/file/d/12dYUHx718sUtSeCXhXHKEAnSQFUwvQES/view?usp=drivesdk" TargetMode="External"/><Relationship Id="rId2944" Type="http://schemas.openxmlformats.org/officeDocument/2006/relationships/hyperlink" Target="https://drive.google.com/file/d/1Qj-FeQeHof2bUAkjC063xiBEauBbnfg8/view?usp=drivesdk" TargetMode="External"/><Relationship Id="rId1614" Type="http://schemas.openxmlformats.org/officeDocument/2006/relationships/hyperlink" Target="https://drive.google.com/file/d/1J9_xQzoVpVNgL8zhS_DIpja6-9tikxST/view?usp=drivesdk" TargetMode="External"/><Relationship Id="rId2945" Type="http://schemas.openxmlformats.org/officeDocument/2006/relationships/hyperlink" Target="https://drive.google.com/file/d/12rH7mvjhAGu9XV-K0V91s00Jd0s4-m2n/view?usp=drivesdk" TargetMode="External"/><Relationship Id="rId1615" Type="http://schemas.openxmlformats.org/officeDocument/2006/relationships/hyperlink" Target="https://drive.google.com/file/d/1qc-AvkYHry7FZ_u0YCadjRlAgVvqmvtO/view?usp=drivesdk" TargetMode="External"/><Relationship Id="rId2946" Type="http://schemas.openxmlformats.org/officeDocument/2006/relationships/hyperlink" Target="https://drive.google.com/file/d/1L0SHCaP4f2oRhAQuLWdNT7FYNlXbjXTj/view?usp=drivesdk" TargetMode="External"/><Relationship Id="rId1616" Type="http://schemas.openxmlformats.org/officeDocument/2006/relationships/hyperlink" Target="https://drive.google.com/file/d/1ri1dQcHH28OgnLIjamJzMxBNqrn4dqXA/view?usp=drivesdk" TargetMode="External"/><Relationship Id="rId2947" Type="http://schemas.openxmlformats.org/officeDocument/2006/relationships/hyperlink" Target="https://drive.google.com/file/d/1vqXgUhUthRyXGr6lrFPfi1LhudiUMbyj/view?usp=drivesdk" TargetMode="External"/><Relationship Id="rId1617" Type="http://schemas.openxmlformats.org/officeDocument/2006/relationships/hyperlink" Target="https://drive.google.com/file/d/1pMmA3H93Nl1B0fQh6JY9xc5-BhkmIkhR/view?usp=drivesdk" TargetMode="External"/><Relationship Id="rId2948" Type="http://schemas.openxmlformats.org/officeDocument/2006/relationships/hyperlink" Target="https://drive.google.com/file/d/1bt37AEUyK_9CHm6qHo2S_g_8ykAC4Qj9/view?usp=drivesdk" TargetMode="External"/><Relationship Id="rId1618" Type="http://schemas.openxmlformats.org/officeDocument/2006/relationships/hyperlink" Target="https://drive.google.com/file/d/1YRDLv2RgvndkIcLqv7dLYk7qTJolh7Cx/view?usp=drivesdk" TargetMode="External"/><Relationship Id="rId2949" Type="http://schemas.openxmlformats.org/officeDocument/2006/relationships/hyperlink" Target="https://drive.google.com/file/d/15dXlW8fQOFCFKmFPH189vkYpPBfALjRA/view?usp=drivesdk" TargetMode="External"/><Relationship Id="rId1619" Type="http://schemas.openxmlformats.org/officeDocument/2006/relationships/hyperlink" Target="https://drive.google.com/file/d/1w-Mb1HkdkbA25ao7FplFSav0sscMVG76/view?usp=drivesdk" TargetMode="External"/><Relationship Id="rId12199" Type="http://schemas.openxmlformats.org/officeDocument/2006/relationships/hyperlink" Target="https://drive.google.com/file/d/1MO1zvwPZFQr3bqseCk4x5ed1amcJpjo4/view?usp=drivesdk" TargetMode="External"/><Relationship Id="rId12198" Type="http://schemas.openxmlformats.org/officeDocument/2006/relationships/hyperlink" Target="https://drive.google.com/file/d/1sZX4elg-8jL4i6JjXqMJ9wpX9mNoxQiN/view?usp=drivesdk" TargetMode="External"/><Relationship Id="rId12197" Type="http://schemas.openxmlformats.org/officeDocument/2006/relationships/hyperlink" Target="https://drive.google.com/file/d/1oyl1jBGDxb1zP7pf13-_A__YjE2eTUzY/view?usp=drivesdk" TargetMode="External"/><Relationship Id="rId12196" Type="http://schemas.openxmlformats.org/officeDocument/2006/relationships/hyperlink" Target="https://drive.google.com/file/d/19PZSdmjrCDiz4uvBK_dWwrrV0I8N8HDh/view?usp=drivesdk" TargetMode="External"/><Relationship Id="rId2930" Type="http://schemas.openxmlformats.org/officeDocument/2006/relationships/hyperlink" Target="https://drive.google.com/file/d/14COKjjWfc0-y-1GggihnbkUr5K6lRRdz/view?usp=drivesdk" TargetMode="External"/><Relationship Id="rId1600" Type="http://schemas.openxmlformats.org/officeDocument/2006/relationships/hyperlink" Target="https://drive.google.com/file/d/1h_Cfy5mYxCzS59GrUISZNkMPgRi9QZFd/view?usp=drivesdk" TargetMode="External"/><Relationship Id="rId2931" Type="http://schemas.openxmlformats.org/officeDocument/2006/relationships/hyperlink" Target="https://drive.google.com/file/d/1QZ9q1Kp0iHizd5PjFm-hGs625IMQHjZC/view?usp=drivesdk" TargetMode="External"/><Relationship Id="rId1601" Type="http://schemas.openxmlformats.org/officeDocument/2006/relationships/hyperlink" Target="https://drive.google.com/file/d/1zIyn--ie-F2UEXoWFbKxepQpSphIwhyj/view?usp=drivesdk" TargetMode="External"/><Relationship Id="rId2932" Type="http://schemas.openxmlformats.org/officeDocument/2006/relationships/hyperlink" Target="https://drive.google.com/file/d/1Q82iAS4By6vsRBKhGJTxDyukVxqTADIG/view?usp=drivesdk" TargetMode="External"/><Relationship Id="rId1602" Type="http://schemas.openxmlformats.org/officeDocument/2006/relationships/hyperlink" Target="https://drive.google.com/file/d/1b8zuvHuW1BO8bwl0BMWPfhebreiPmXiC/view?usp=drivesdk" TargetMode="External"/><Relationship Id="rId2933" Type="http://schemas.openxmlformats.org/officeDocument/2006/relationships/hyperlink" Target="https://drive.google.com/file/d/1YuRRj1ECMhAibrjtV5Q0ed-o69j7FG5-/view?usp=drivesdk" TargetMode="External"/><Relationship Id="rId1603" Type="http://schemas.openxmlformats.org/officeDocument/2006/relationships/hyperlink" Target="https://drive.google.com/file/d/1DqgIApARSXSk996MMf6ToTnDGxxZC5lm/view?usp=drivesdk" TargetMode="External"/><Relationship Id="rId2934" Type="http://schemas.openxmlformats.org/officeDocument/2006/relationships/hyperlink" Target="https://drive.google.com/file/d/1KRl12UZwLpERjk6u2gaYNG4rshjPLOFA/view?usp=drivesdk" TargetMode="External"/><Relationship Id="rId1604" Type="http://schemas.openxmlformats.org/officeDocument/2006/relationships/hyperlink" Target="https://drive.google.com/file/d/1-F1fBppFybkdoQ-A0NI0-urUsXGOxlJc/view?usp=drivesdk" TargetMode="External"/><Relationship Id="rId2935" Type="http://schemas.openxmlformats.org/officeDocument/2006/relationships/hyperlink" Target="https://drive.google.com/file/d/10R8rmbQwHMmHAHBpmb0aet90PpXzymbk/view?usp=drivesdk" TargetMode="External"/><Relationship Id="rId1605" Type="http://schemas.openxmlformats.org/officeDocument/2006/relationships/hyperlink" Target="https://drive.google.com/file/d/1_HX2cJtTrQPc294zOG-57KCOQtOVdqqI/view?usp=drivesdk" TargetMode="External"/><Relationship Id="rId2936" Type="http://schemas.openxmlformats.org/officeDocument/2006/relationships/hyperlink" Target="https://drive.google.com/file/d/1mnuYoTTSgLKlEngP8krkpLvGr00UYLFY/view?usp=drivesdk" TargetMode="External"/><Relationship Id="rId1606" Type="http://schemas.openxmlformats.org/officeDocument/2006/relationships/hyperlink" Target="https://drive.google.com/file/d/17zG_zzSisG-hZ0YMv985XKM6Db8ELkJ6/view?usp=drivesdk" TargetMode="External"/><Relationship Id="rId2937" Type="http://schemas.openxmlformats.org/officeDocument/2006/relationships/hyperlink" Target="https://drive.google.com/file/d/1k8ezbLzygF9NyMco7pDL9z0fqtmHqb1k/view?usp=drivesdk" TargetMode="External"/><Relationship Id="rId1607" Type="http://schemas.openxmlformats.org/officeDocument/2006/relationships/hyperlink" Target="https://drive.google.com/file/d/1vP9uj43Ivq3eSeltzEBlm_hQTq9Ys7hs/view?usp=drivesdk" TargetMode="External"/><Relationship Id="rId2938" Type="http://schemas.openxmlformats.org/officeDocument/2006/relationships/hyperlink" Target="https://drive.google.com/file/d/1B-OM_jWPQdIF6NptZRRAiz9C8373xQkP/view?usp=drivesdk" TargetMode="External"/><Relationship Id="rId1608" Type="http://schemas.openxmlformats.org/officeDocument/2006/relationships/hyperlink" Target="https://drive.google.com/file/d/1B7f2JxZNxr3lLEd7aZxdF6QbkUPbBE1r/view?usp=drivesdk" TargetMode="External"/><Relationship Id="rId2939" Type="http://schemas.openxmlformats.org/officeDocument/2006/relationships/hyperlink" Target="https://drive.google.com/file/d/17gCjGAjn5IIE-VP9fJ7TfgAbABK84cIE/view?usp=drivesdk" TargetMode="External"/><Relationship Id="rId1609" Type="http://schemas.openxmlformats.org/officeDocument/2006/relationships/hyperlink" Target="https://drive.google.com/file/d/1hAVsZuDz9qH0aKitjuCqe4-00mmdDsA0/view?usp=drivesdk" TargetMode="External"/><Relationship Id="rId1631" Type="http://schemas.openxmlformats.org/officeDocument/2006/relationships/hyperlink" Target="https://drive.google.com/file/d/1NfM4lQXAes4Aj4twfD5HhBP6F1WSjRZ_/view?usp=drivesdk" TargetMode="External"/><Relationship Id="rId2962" Type="http://schemas.openxmlformats.org/officeDocument/2006/relationships/hyperlink" Target="https://drive.google.com/file/d/1UuVkDM5oR-sl0RfFslFn2xlqIKg7mQEv/view?usp=drivesdk" TargetMode="External"/><Relationship Id="rId12180" Type="http://schemas.openxmlformats.org/officeDocument/2006/relationships/hyperlink" Target="https://drive.google.com/file/d/1iZk2zb5m3xpzQrMvoNWaCgDJR-DUCrPZ/view?usp=drivesdk" TargetMode="External"/><Relationship Id="rId1632" Type="http://schemas.openxmlformats.org/officeDocument/2006/relationships/hyperlink" Target="https://drive.google.com/file/d/19GyUUvLBaQzkXUMMbjuAT3JBtG9ya3qm/view?usp=drivesdk" TargetMode="External"/><Relationship Id="rId2963" Type="http://schemas.openxmlformats.org/officeDocument/2006/relationships/hyperlink" Target="https://drive.google.com/file/d/11tcYemhI_QlBnp9KRm3yh-H4t2S0J9Zl/view?usp=drivesdk" TargetMode="External"/><Relationship Id="rId1633" Type="http://schemas.openxmlformats.org/officeDocument/2006/relationships/hyperlink" Target="https://drive.google.com/file/d/1iZD0PkdGigYLQW0ZhTLeJGR5X7SELV3Q/view?usp=drivesdk" TargetMode="External"/><Relationship Id="rId2964" Type="http://schemas.openxmlformats.org/officeDocument/2006/relationships/hyperlink" Target="https://drive.google.com/file/d/15-HHvlRZqzRnwzMvHBo3MWu1ILmQ934F/view?usp=drivesdk" TargetMode="External"/><Relationship Id="rId1634" Type="http://schemas.openxmlformats.org/officeDocument/2006/relationships/hyperlink" Target="https://drive.google.com/file/d/1ET6UW8OdnhXzReWA66md_fei2FXRI6X7/view?usp=drivesdk" TargetMode="External"/><Relationship Id="rId2965" Type="http://schemas.openxmlformats.org/officeDocument/2006/relationships/hyperlink" Target="https://drive.google.com/file/d/1Tdj1Uujt3fE600H5BqlrlFRAvio-nZAm/view?usp=drivesdk" TargetMode="External"/><Relationship Id="rId1635" Type="http://schemas.openxmlformats.org/officeDocument/2006/relationships/hyperlink" Target="https://drive.google.com/file/d/165rTPMRkT3QB1ZDQWQE7IeXk4YTUYhnJ/view?usp=drivesdk" TargetMode="External"/><Relationship Id="rId2966" Type="http://schemas.openxmlformats.org/officeDocument/2006/relationships/hyperlink" Target="https://drive.google.com/file/d/16sYkRJUy9oIDO-HcLACmT9p_K2-Yo-bu/view?usp=drivesdk" TargetMode="External"/><Relationship Id="rId12184" Type="http://schemas.openxmlformats.org/officeDocument/2006/relationships/hyperlink" Target="https://drive.google.com/file/d/1J9u8LPRFiUNwfmFzoqtkGk19ZNbrSyww/view?usp=drivesdk" TargetMode="External"/><Relationship Id="rId1636" Type="http://schemas.openxmlformats.org/officeDocument/2006/relationships/hyperlink" Target="https://drive.google.com/file/d/1mWKr0dAT1W2q6mRuefSDPNgSO4GS8iTB/view?usp=drivesdk" TargetMode="External"/><Relationship Id="rId2967" Type="http://schemas.openxmlformats.org/officeDocument/2006/relationships/hyperlink" Target="https://drive.google.com/file/d/1fa6jrEFuEHVjgY1-zInAYwV0NW0kjNWo/view?usp=drivesdk" TargetMode="External"/><Relationship Id="rId12183" Type="http://schemas.openxmlformats.org/officeDocument/2006/relationships/hyperlink" Target="https://drive.google.com/file/d/1QBQvZIegR2IClgQf9gWMNawgjSKbCzyo/view?usp=drivesdk" TargetMode="External"/><Relationship Id="rId1637" Type="http://schemas.openxmlformats.org/officeDocument/2006/relationships/hyperlink" Target="https://drive.google.com/file/d/1bf3-tVFLMVJgMz-YGsFIFGCAjGqLxQCj/view?usp=drivesdk" TargetMode="External"/><Relationship Id="rId2968" Type="http://schemas.openxmlformats.org/officeDocument/2006/relationships/hyperlink" Target="https://drive.google.com/file/d/1gKW3l3ZoLtnFc6Ft_XCRxOXKpkfeQYeu/view?usp=drivesdk" TargetMode="External"/><Relationship Id="rId12182" Type="http://schemas.openxmlformats.org/officeDocument/2006/relationships/hyperlink" Target="https://drive.google.com/file/d/1GoEUAO7JkV-UO0jn_oRtGyR2V_PYncLD/view?usp=drivesdk" TargetMode="External"/><Relationship Id="rId1638" Type="http://schemas.openxmlformats.org/officeDocument/2006/relationships/hyperlink" Target="https://drive.google.com/file/d/1xBriVpNBXgBSLUlZHzsy1imuxsn6UeC6/view?usp=drivesdk" TargetMode="External"/><Relationship Id="rId2969" Type="http://schemas.openxmlformats.org/officeDocument/2006/relationships/hyperlink" Target="https://drive.google.com/file/d/1YQ7hL0Z_LwBpt6OR1s4bHtsmV1hOfZqv/view?usp=drivesdk" TargetMode="External"/><Relationship Id="rId12181" Type="http://schemas.openxmlformats.org/officeDocument/2006/relationships/hyperlink" Target="https://drive.google.com/file/d/1RJlK34g1IYmEmtiLXp4gGv2L49sER2qy/view?usp=drivesdk" TargetMode="External"/><Relationship Id="rId1639" Type="http://schemas.openxmlformats.org/officeDocument/2006/relationships/hyperlink" Target="https://drive.google.com/file/d/1OkCa0GARIehI0K7GaPwuuXW6xNo-91Cf/view?usp=drivesdk" TargetMode="External"/><Relationship Id="rId12177" Type="http://schemas.openxmlformats.org/officeDocument/2006/relationships/hyperlink" Target="https://drive.google.com/file/d/1juXMpm9CAPFDJjwNvItIGZ5oZ4pa9ZEJ/view?usp=drivesdk" TargetMode="External"/><Relationship Id="rId12176" Type="http://schemas.openxmlformats.org/officeDocument/2006/relationships/hyperlink" Target="https://drive.google.com/file/d/1Jbt2mCQ4mrzcmY7WR-Ha7gTsGVVkTqMw/view?usp=drivesdk" TargetMode="External"/><Relationship Id="rId12175" Type="http://schemas.openxmlformats.org/officeDocument/2006/relationships/hyperlink" Target="https://drive.google.com/file/d/19bd3KLV55-L1UP4vOvJqC3fvoh2x_55q/view?usp=drivesdk" TargetMode="External"/><Relationship Id="rId12174" Type="http://schemas.openxmlformats.org/officeDocument/2006/relationships/hyperlink" Target="https://drive.google.com/file/d/1S7pfv8IYxoo49-x6gNpVVA9-eQQ5h-Jr/view?usp=drivesdk" TargetMode="External"/><Relationship Id="rId2960" Type="http://schemas.openxmlformats.org/officeDocument/2006/relationships/hyperlink" Target="https://drive.google.com/file/d/1vPGnVhUU2xmyPD73LcKngJ8ay5PQ_6V2/view?usp=drivesdk" TargetMode="External"/><Relationship Id="rId12179" Type="http://schemas.openxmlformats.org/officeDocument/2006/relationships/hyperlink" Target="https://drive.google.com/file/d/1LCbaphB5Cg9tFLRF1K0Y_hjBQcLVMZDV/view?usp=drivesdk" TargetMode="External"/><Relationship Id="rId1630" Type="http://schemas.openxmlformats.org/officeDocument/2006/relationships/hyperlink" Target="https://drive.google.com/file/d/1sR9sOUuxdZahuPND_XNip7eMd5qMWQsb/view?usp=drivesdk" TargetMode="External"/><Relationship Id="rId2961" Type="http://schemas.openxmlformats.org/officeDocument/2006/relationships/hyperlink" Target="https://drive.google.com/file/d/1zhAKJvrNRhnzzY7gvLAFTfyaGbA_1LWI/view?usp=drivesdk" TargetMode="External"/><Relationship Id="rId12178" Type="http://schemas.openxmlformats.org/officeDocument/2006/relationships/hyperlink" Target="https://drive.google.com/file/d/1smvJIOIOWoLDXMXZ46CCrWMfMfcQVJG5/view?usp=drivesdk" TargetMode="External"/><Relationship Id="rId1620" Type="http://schemas.openxmlformats.org/officeDocument/2006/relationships/hyperlink" Target="https://drive.google.com/file/d/1yRM7PMjJmp9V2dth5_R4EYPWrfFH18v6/view?usp=drivesdk" TargetMode="External"/><Relationship Id="rId2951" Type="http://schemas.openxmlformats.org/officeDocument/2006/relationships/hyperlink" Target="https://drive.google.com/file/d/1Me-u3P0Q5Qmaxpk4asYPW05hAJQ1pd1p/view?usp=drivesdk" TargetMode="External"/><Relationship Id="rId12191" Type="http://schemas.openxmlformats.org/officeDocument/2006/relationships/hyperlink" Target="https://drive.google.com/file/d/1-1KYfoBLMJ4x5m6PMWAX8hTrSy_nPFyI/view?usp=drivesdk" TargetMode="External"/><Relationship Id="rId1621" Type="http://schemas.openxmlformats.org/officeDocument/2006/relationships/hyperlink" Target="https://drive.google.com/file/d/1RDRVw54pUc5K54lU8hiW4Ah2cy1eMSMW/view?usp=drivesdk" TargetMode="External"/><Relationship Id="rId2952" Type="http://schemas.openxmlformats.org/officeDocument/2006/relationships/hyperlink" Target="https://drive.google.com/file/d/1lN-GYfBBs16k4rpxCoZe6qJf-8YA1AWe/view?usp=drivesdk" TargetMode="External"/><Relationship Id="rId12190" Type="http://schemas.openxmlformats.org/officeDocument/2006/relationships/hyperlink" Target="https://drive.google.com/file/d/1wqJjbCYMUZDLUvK4TGmRQsaDLw_uZUds/view?usp=drivesdk" TargetMode="External"/><Relationship Id="rId1622" Type="http://schemas.openxmlformats.org/officeDocument/2006/relationships/hyperlink" Target="https://drive.google.com/file/d/1mx0u0nsWLnUm99fBGQY2JThfb-O6TixR/view?usp=drivesdk" TargetMode="External"/><Relationship Id="rId2953" Type="http://schemas.openxmlformats.org/officeDocument/2006/relationships/hyperlink" Target="https://drive.google.com/file/d/1GP_9IaBShnqCsXW4ISFATXG39CxQably/view?usp=drivesdk" TargetMode="External"/><Relationship Id="rId1623" Type="http://schemas.openxmlformats.org/officeDocument/2006/relationships/hyperlink" Target="https://drive.google.com/file/d/1pT_iO7SI6HjXN_dhGzK1lj9TBZ_XeSlZ/view?usp=drivesdk" TargetMode="External"/><Relationship Id="rId2954" Type="http://schemas.openxmlformats.org/officeDocument/2006/relationships/hyperlink" Target="https://drive.google.com/file/d/1z_qbcde26BvpadfArGmo4ytLHd868nS-/view?usp=drivesdk" TargetMode="External"/><Relationship Id="rId1624" Type="http://schemas.openxmlformats.org/officeDocument/2006/relationships/hyperlink" Target="https://drive.google.com/file/d/1I3Z9-XLQQP--d23yX8jnSYySruOaWYrP/view?usp=drivesdk" TargetMode="External"/><Relationship Id="rId2955" Type="http://schemas.openxmlformats.org/officeDocument/2006/relationships/hyperlink" Target="https://drive.google.com/file/d/1VINrcM-Wy0-l5hsPJaHaE6A0GckTWTyg/view?usp=drivesdk" TargetMode="External"/><Relationship Id="rId12195" Type="http://schemas.openxmlformats.org/officeDocument/2006/relationships/hyperlink" Target="https://drive.google.com/file/d/1V77RhePR3Q2cnhNfL8pf4X8Ej3T-XoW-/view?usp=drivesdk" TargetMode="External"/><Relationship Id="rId1625" Type="http://schemas.openxmlformats.org/officeDocument/2006/relationships/hyperlink" Target="https://drive.google.com/file/d/10SNlTbYlMVlcIqFPNhLOBCKtZ5sKlus1/view?usp=drivesdk" TargetMode="External"/><Relationship Id="rId2956" Type="http://schemas.openxmlformats.org/officeDocument/2006/relationships/hyperlink" Target="https://drive.google.com/file/d/1rlIVHVmYnYdx-IK2zJCEy5__mIjeNHAy/view?usp=drivesdk" TargetMode="External"/><Relationship Id="rId12194" Type="http://schemas.openxmlformats.org/officeDocument/2006/relationships/hyperlink" Target="https://drive.google.com/file/d/127eLpkUNqFviIrx8I9Crw0RYC_irpkxv/view?usp=drivesdk" TargetMode="External"/><Relationship Id="rId1626" Type="http://schemas.openxmlformats.org/officeDocument/2006/relationships/hyperlink" Target="https://drive.google.com/file/d/1hZfrKGRTe27qDXQfRsEhKzmlHcIi7ZbK/view?usp=drivesdk" TargetMode="External"/><Relationship Id="rId2957" Type="http://schemas.openxmlformats.org/officeDocument/2006/relationships/hyperlink" Target="https://drive.google.com/file/d/1CDIoikrYuluEJtUgRFmDeYKxOYYBhdaM/view?usp=drivesdk" TargetMode="External"/><Relationship Id="rId12193" Type="http://schemas.openxmlformats.org/officeDocument/2006/relationships/hyperlink" Target="https://drive.google.com/file/d/1MuwbJs9nW9eVzDvoVJBsNqPmVb3CUxlp/view?usp=drivesdk" TargetMode="External"/><Relationship Id="rId1627" Type="http://schemas.openxmlformats.org/officeDocument/2006/relationships/hyperlink" Target="https://drive.google.com/file/d/1C_KUe24p7813wm2-yncV_LGYLsODXEvr/view?usp=drivesdk" TargetMode="External"/><Relationship Id="rId2958" Type="http://schemas.openxmlformats.org/officeDocument/2006/relationships/hyperlink" Target="https://drive.google.com/file/d/1S-mmtrwQN65XZ61Bn9u9bpvQZSfyH_pD/view?usp=drivesdk" TargetMode="External"/><Relationship Id="rId12192" Type="http://schemas.openxmlformats.org/officeDocument/2006/relationships/hyperlink" Target="https://drive.google.com/file/d/1iNVtZLVm-5gI3yZL8-CrjBemE_CcTcOx/view?usp=drivesdk" TargetMode="External"/><Relationship Id="rId1628" Type="http://schemas.openxmlformats.org/officeDocument/2006/relationships/hyperlink" Target="https://drive.google.com/file/d/1_CXk66GPfZtV8nr0LFBQkPtjGHUUtDoe/view?usp=drivesdk" TargetMode="External"/><Relationship Id="rId2959" Type="http://schemas.openxmlformats.org/officeDocument/2006/relationships/hyperlink" Target="https://drive.google.com/file/d/1-it44g-YQ7gLWl8zCM6E3vZad9e5rYGU/view?usp=drivesdk" TargetMode="External"/><Relationship Id="rId1629" Type="http://schemas.openxmlformats.org/officeDocument/2006/relationships/hyperlink" Target="https://drive.google.com/file/d/1u_aaqLOznwGDjS-0vEEg7V2ZscJVliwT/view?usp=drivesdk" TargetMode="External"/><Relationship Id="rId12188" Type="http://schemas.openxmlformats.org/officeDocument/2006/relationships/hyperlink" Target="https://drive.google.com/file/d/17hUVh1bxoDHtZnw-Wz8CvFA14r1S-srk/view?usp=drivesdk" TargetMode="External"/><Relationship Id="rId12187" Type="http://schemas.openxmlformats.org/officeDocument/2006/relationships/hyperlink" Target="https://drive.google.com/file/d/1rVYxinBZ3FkY4dvdmI81VhzUCzIn8rzT/view?usp=drivesdk" TargetMode="External"/><Relationship Id="rId12186" Type="http://schemas.openxmlformats.org/officeDocument/2006/relationships/hyperlink" Target="https://drive.google.com/file/d/1bdlOZ2lFQBsnpVTw8x3P5FPkWP4KbwNI/view?usp=drivesdk" TargetMode="External"/><Relationship Id="rId12185" Type="http://schemas.openxmlformats.org/officeDocument/2006/relationships/hyperlink" Target="https://drive.google.com/file/d/1cKu_a3Zld6md917re23ShrNCOftYN3JV/view?usp=drivesdk" TargetMode="External"/><Relationship Id="rId2950" Type="http://schemas.openxmlformats.org/officeDocument/2006/relationships/hyperlink" Target="https://drive.google.com/file/d/1gdmisxQquDpu5RahKhZ1bJ3MC3CFc7Ki/view?usp=drivesdk" TargetMode="External"/><Relationship Id="rId12189" Type="http://schemas.openxmlformats.org/officeDocument/2006/relationships/hyperlink" Target="https://drive.google.com/file/d/1xRo4mVSSS9NLcJoOatzhu1CHR0o2NO7l/view?usp=drivesdk" TargetMode="External"/><Relationship Id="rId2900" Type="http://schemas.openxmlformats.org/officeDocument/2006/relationships/hyperlink" Target="https://drive.google.com/file/d/1sOiZ41zzCyHgitOd66wYQ5bhTB0zioUn/view?usp=drivesdk" TargetMode="External"/><Relationship Id="rId2901" Type="http://schemas.openxmlformats.org/officeDocument/2006/relationships/hyperlink" Target="https://drive.google.com/file/d/18BxEefZFi9D5eOJFIk5LNKruIjKPDtWk/view?usp=drivesdk" TargetMode="External"/><Relationship Id="rId2902" Type="http://schemas.openxmlformats.org/officeDocument/2006/relationships/hyperlink" Target="https://drive.google.com/file/d/1EJEllPkaFm0uWenSqoXUDkvaKBaSDpUv/view?usp=drivesdk" TargetMode="External"/><Relationship Id="rId2903" Type="http://schemas.openxmlformats.org/officeDocument/2006/relationships/hyperlink" Target="https://drive.google.com/file/d/11HHU3h921skyszUcK25idiIk_sEOzx0J/view?usp=drivesdk" TargetMode="External"/><Relationship Id="rId2904" Type="http://schemas.openxmlformats.org/officeDocument/2006/relationships/hyperlink" Target="https://drive.google.com/file/d/17ptcqQ2H-DiyTjpHCpmsomqF1Uy2sC4e/view?usp=drivesdk" TargetMode="External"/><Relationship Id="rId2905" Type="http://schemas.openxmlformats.org/officeDocument/2006/relationships/hyperlink" Target="https://drive.google.com/file/d/1Mrxln-IV07brVuQ88IQX91tHfB0oKkM8/view?usp=drivesdk" TargetMode="External"/><Relationship Id="rId2906" Type="http://schemas.openxmlformats.org/officeDocument/2006/relationships/hyperlink" Target="https://drive.google.com/file/d/1YavUGeyTvzcJGwykuaf5X_blKZW7eB-S/view?usp=drivesdk" TargetMode="External"/><Relationship Id="rId2907" Type="http://schemas.openxmlformats.org/officeDocument/2006/relationships/hyperlink" Target="https://drive.google.com/file/d/1IMkEZ3YCOzFlFAGV0R3CvVs4OFyrSww9/view?usp=drivesdk" TargetMode="External"/><Relationship Id="rId2908" Type="http://schemas.openxmlformats.org/officeDocument/2006/relationships/hyperlink" Target="https://drive.google.com/file/d/1ssqrgGMWwRydWfyOiIoCc-PjnGcPIahg/view?usp=drivesdk" TargetMode="External"/><Relationship Id="rId2909" Type="http://schemas.openxmlformats.org/officeDocument/2006/relationships/hyperlink" Target="https://drive.google.com/file/d/1ftt5G0-TIMDJHHvB3IetfrTaoTZ00fhY/view?usp=drivesdk" TargetMode="External"/><Relationship Id="rId2920" Type="http://schemas.openxmlformats.org/officeDocument/2006/relationships/hyperlink" Target="https://drive.google.com/file/d/1U0G7Ui3RXgXwpedlGgrI9qjSMU02FqEW/view?usp=drivesdk" TargetMode="External"/><Relationship Id="rId2921" Type="http://schemas.openxmlformats.org/officeDocument/2006/relationships/hyperlink" Target="https://drive.google.com/file/d/1UDKa-cXLBin2YT4sQXehPuPth2Zu9yks/view?usp=drivesdk" TargetMode="External"/><Relationship Id="rId2922" Type="http://schemas.openxmlformats.org/officeDocument/2006/relationships/hyperlink" Target="https://drive.google.com/file/d/17xr6gZIXr05PG8uIzKCiu6KEoYxNIAMo/view?usp=drivesdk" TargetMode="External"/><Relationship Id="rId2923" Type="http://schemas.openxmlformats.org/officeDocument/2006/relationships/hyperlink" Target="https://drive.google.com/file/d/1_Ah4AOEJqKzBlr5DczjOQj9yU5gZz-dZ/view?usp=drivesdk" TargetMode="External"/><Relationship Id="rId2924" Type="http://schemas.openxmlformats.org/officeDocument/2006/relationships/hyperlink" Target="https://drive.google.com/file/d/1RXyqsDzmVddPuMyZ4qLzmCLuRZrsmPg2/view?usp=drivesdk" TargetMode="External"/><Relationship Id="rId2925" Type="http://schemas.openxmlformats.org/officeDocument/2006/relationships/hyperlink" Target="https://drive.google.com/file/d/1i8LXKf3rhgiytgXniez_NM8P7LMUCEIe/view?usp=drivesdk" TargetMode="External"/><Relationship Id="rId2926" Type="http://schemas.openxmlformats.org/officeDocument/2006/relationships/hyperlink" Target="https://drive.google.com/file/d/1OOOswlelX0VcS-zkRZFGMEyb4lbZDuQJ/view?usp=drivesdk" TargetMode="External"/><Relationship Id="rId2927" Type="http://schemas.openxmlformats.org/officeDocument/2006/relationships/hyperlink" Target="https://drive.google.com/file/d/1W4uWQSkNXaI-Z6OpmFmfl531cjc0jjO6/view?usp=drivesdk" TargetMode="External"/><Relationship Id="rId2928" Type="http://schemas.openxmlformats.org/officeDocument/2006/relationships/hyperlink" Target="https://drive.google.com/file/d/1ZZjzUiNWrsRofNf1DAg2_mw7KzCpmam2/view?usp=drivesdk" TargetMode="External"/><Relationship Id="rId2929" Type="http://schemas.openxmlformats.org/officeDocument/2006/relationships/hyperlink" Target="https://drive.google.com/file/d/12K4MtfTltENRg6WVSOeR2yh433z3zeaR/view?usp=drivesdk" TargetMode="External"/><Relationship Id="rId2910" Type="http://schemas.openxmlformats.org/officeDocument/2006/relationships/hyperlink" Target="https://drive.google.com/file/d/1Vl1Ks0O36nv4yg4-_BiqgF8LGXFM29iH/view?usp=drivesdk" TargetMode="External"/><Relationship Id="rId2911" Type="http://schemas.openxmlformats.org/officeDocument/2006/relationships/hyperlink" Target="https://drive.google.com/file/d/1qav8jl1qKQs-88gK93jm2VruyQQrze0f/view?usp=drivesdk" TargetMode="External"/><Relationship Id="rId2912" Type="http://schemas.openxmlformats.org/officeDocument/2006/relationships/hyperlink" Target="https://drive.google.com/file/d/1GNleYV6toL2SJV71cEcxoX02g--KB2Zy/view?usp=drivesdk" TargetMode="External"/><Relationship Id="rId2913" Type="http://schemas.openxmlformats.org/officeDocument/2006/relationships/hyperlink" Target="https://drive.google.com/file/d/1HTPxra0YYzr5HUY4rW2FVV1zES9nLeyh/view?usp=drivesdk" TargetMode="External"/><Relationship Id="rId2914" Type="http://schemas.openxmlformats.org/officeDocument/2006/relationships/hyperlink" Target="https://drive.google.com/file/d/12Tl8ZzdGpyDljV0URlPvx6wBdmzz4RTd/view?usp=drivesdk" TargetMode="External"/><Relationship Id="rId2915" Type="http://schemas.openxmlformats.org/officeDocument/2006/relationships/hyperlink" Target="https://drive.google.com/file/d/108WpmXiThglWV8Ymobwsg8EvOp2czVhE/view?usp=drivesdk" TargetMode="External"/><Relationship Id="rId2916" Type="http://schemas.openxmlformats.org/officeDocument/2006/relationships/hyperlink" Target="https://drive.google.com/file/d/1cyN2aDiBYxulUKsD72_z-NKeWKXFbifR/view?usp=drivesdk" TargetMode="External"/><Relationship Id="rId2917" Type="http://schemas.openxmlformats.org/officeDocument/2006/relationships/hyperlink" Target="https://drive.google.com/file/d/1hcGYapwKMUYvtXPc2oZlSmcgWOBWk0kN/view?usp=drivesdk" TargetMode="External"/><Relationship Id="rId2918" Type="http://schemas.openxmlformats.org/officeDocument/2006/relationships/hyperlink" Target="https://drive.google.com/file/d/1fSMDdZAHwvKwf6znptbyUksyPRd695bv/view?usp=drivesdk" TargetMode="External"/><Relationship Id="rId2919" Type="http://schemas.openxmlformats.org/officeDocument/2006/relationships/hyperlink" Target="https://drive.google.com/file/d/1ynzkQetzoykeoUxcgw6WGgE-kgAOnOut/view?usp=drivesdk" TargetMode="External"/><Relationship Id="rId1697" Type="http://schemas.openxmlformats.org/officeDocument/2006/relationships/hyperlink" Target="https://drive.google.com/file/d/103IW8csSFsTyKx67X6piIx_pgpZp7Y4a/view?usp=drivesdk" TargetMode="External"/><Relationship Id="rId1698" Type="http://schemas.openxmlformats.org/officeDocument/2006/relationships/hyperlink" Target="https://drive.google.com/file/d/1RLX7MrUK77ajtzIvZDRUtPPNDPSOpm_5/view?usp=drivesdk" TargetMode="External"/><Relationship Id="rId1699" Type="http://schemas.openxmlformats.org/officeDocument/2006/relationships/hyperlink" Target="https://drive.google.com/file/d/1Nk-U8IlpYU5Vc8l1t4ySwa9JFchgP9G9/view?usp=drivesdk" TargetMode="External"/><Relationship Id="rId13570" Type="http://schemas.openxmlformats.org/officeDocument/2006/relationships/hyperlink" Target="https://drive.google.com/file/d/1FE_AO_kKFNVHiQJBpkbkmPPCuMhk15ft/view?usp=drivesdk" TargetMode="External"/><Relationship Id="rId12239" Type="http://schemas.openxmlformats.org/officeDocument/2006/relationships/hyperlink" Target="https://drive.google.com/file/d/1_fFnCDOvFd9E1CNxnxxO4VYLIkmvFKUa/view?usp=drivesdk" TargetMode="External"/><Relationship Id="rId12238" Type="http://schemas.openxmlformats.org/officeDocument/2006/relationships/hyperlink" Target="https://drive.google.com/file/d/12TNuoKTBtn-mfPgiGqfe8kUNjpVeeAFG/view?usp=drivesdk" TargetMode="External"/><Relationship Id="rId13569" Type="http://schemas.openxmlformats.org/officeDocument/2006/relationships/hyperlink" Target="https://drive.google.com/file/d/19gVjVyV5klQQovU5RzTtntTku-vb4AGP/view?usp=drivesdk" TargetMode="External"/><Relationship Id="rId12237" Type="http://schemas.openxmlformats.org/officeDocument/2006/relationships/hyperlink" Target="https://drive.google.com/file/d/1VmWiSoaMKWPQ_f1MonKXWxR2IaB9cI0C/view?usp=drivesdk" TargetMode="External"/><Relationship Id="rId13568" Type="http://schemas.openxmlformats.org/officeDocument/2006/relationships/hyperlink" Target="https://drive.google.com/file/d/11d99ziNBLoeNI2QyQltZKEFQBWhDj3JZ/view?usp=drivesdk" TargetMode="External"/><Relationship Id="rId12232" Type="http://schemas.openxmlformats.org/officeDocument/2006/relationships/hyperlink" Target="https://drive.google.com/file/d/1cOZVLlbplNPHa2FcBFlOfJ9btv4nkmXq/view?usp=drivesdk" TargetMode="External"/><Relationship Id="rId13563" Type="http://schemas.openxmlformats.org/officeDocument/2006/relationships/hyperlink" Target="https://drive.google.com/file/d/1amYmdjfgyIRBxlk-kdvccWBfN9N-T5v0/view?usp=drivesdk" TargetMode="External"/><Relationship Id="rId1690" Type="http://schemas.openxmlformats.org/officeDocument/2006/relationships/hyperlink" Target="https://drive.google.com/file/d/13mNQ1273w_Mn8xQ4b9DN-Y4PGMvFjzy3/view?usp=drivesdk" TargetMode="External"/><Relationship Id="rId12231" Type="http://schemas.openxmlformats.org/officeDocument/2006/relationships/hyperlink" Target="https://drive.google.com/file/d/1zPNM4b3CfS46_OD2D1i1JF79QjRKKh3h/view?usp=drivesdk" TargetMode="External"/><Relationship Id="rId13562" Type="http://schemas.openxmlformats.org/officeDocument/2006/relationships/hyperlink" Target="https://drive.google.com/file/d/1_ePn3bVdHQeiGGsTFbTlMEnz1padcvzZ/view?usp=drivesdk" TargetMode="External"/><Relationship Id="rId1691" Type="http://schemas.openxmlformats.org/officeDocument/2006/relationships/hyperlink" Target="https://drive.google.com/file/d/17eaFKTO321IyL9LciICKK2EDoCUhBNKt/view?usp=drivesdk" TargetMode="External"/><Relationship Id="rId12230" Type="http://schemas.openxmlformats.org/officeDocument/2006/relationships/hyperlink" Target="https://drive.google.com/file/d/1gs1MEhH8ByGE55YZx1Y9lOyFgTj2Oajr/view?usp=drivesdk" TargetMode="External"/><Relationship Id="rId13561" Type="http://schemas.openxmlformats.org/officeDocument/2006/relationships/hyperlink" Target="https://drive.google.com/file/d/1eBqVu2Jy6l7v4Rk7acNbMD7aiX63IG-g/view?usp=drivesdk" TargetMode="External"/><Relationship Id="rId1692" Type="http://schemas.openxmlformats.org/officeDocument/2006/relationships/hyperlink" Target="https://drive.google.com/file/d/1Az7Gf32artmyq6WTbWeXrRhrkCdwrRw9/view?usp=drivesdk" TargetMode="External"/><Relationship Id="rId13560" Type="http://schemas.openxmlformats.org/officeDocument/2006/relationships/hyperlink" Target="https://drive.google.com/file/d/1omzx-PLxrTdAds9umQTC_djXt4t8QWtF/view?usp=drivesdk" TargetMode="External"/><Relationship Id="rId1693" Type="http://schemas.openxmlformats.org/officeDocument/2006/relationships/hyperlink" Target="https://drive.google.com/file/d/1tyD7xJ4E_Se17l2CELyA57VUDZcVRAPg/view?usp=drivesdk" TargetMode="External"/><Relationship Id="rId12236" Type="http://schemas.openxmlformats.org/officeDocument/2006/relationships/hyperlink" Target="https://drive.google.com/file/d/1PgQlXMd5dE9tEcaSdmV5C69C8Ln6RXAp/view?usp=drivesdk" TargetMode="External"/><Relationship Id="rId13567" Type="http://schemas.openxmlformats.org/officeDocument/2006/relationships/hyperlink" Target="https://drive.google.com/file/d/1PywUogS7PmpPsVjtJrPVDeK3mj8a793Z/view?usp=drivesdk" TargetMode="External"/><Relationship Id="rId1694" Type="http://schemas.openxmlformats.org/officeDocument/2006/relationships/hyperlink" Target="https://drive.google.com/file/d/1_L7rGAb4LT77g7GBK7GzddX2lmFVab8x/view?usp=drivesdk" TargetMode="External"/><Relationship Id="rId12235" Type="http://schemas.openxmlformats.org/officeDocument/2006/relationships/hyperlink" Target="https://drive.google.com/file/d/1s-5w30MSVHJbb58UVtjf8qglrvujrMBq/view?usp=drivesdk" TargetMode="External"/><Relationship Id="rId13566" Type="http://schemas.openxmlformats.org/officeDocument/2006/relationships/hyperlink" Target="https://drive.google.com/file/d/1lawC2B9IuesOEHMU1LjJkkPyyHnFu-6L/view?usp=drivesdk" TargetMode="External"/><Relationship Id="rId1695" Type="http://schemas.openxmlformats.org/officeDocument/2006/relationships/hyperlink" Target="https://drive.google.com/file/d/1XnAWNQgi6QlM1YbrWCEu1-apYvO2CygW/view?usp=drivesdk" TargetMode="External"/><Relationship Id="rId12234" Type="http://schemas.openxmlformats.org/officeDocument/2006/relationships/hyperlink" Target="https://drive.google.com/file/d/1dHOUSVp-fb8V_QMf9Oy6ikX4IGe0wUBm/view?usp=drivesdk" TargetMode="External"/><Relationship Id="rId13565" Type="http://schemas.openxmlformats.org/officeDocument/2006/relationships/hyperlink" Target="https://drive.google.com/file/d/1zFMpQglcfeQu4el-o_aO0gtqoVThPuOa/view?usp=drivesdk" TargetMode="External"/><Relationship Id="rId1696" Type="http://schemas.openxmlformats.org/officeDocument/2006/relationships/hyperlink" Target="https://drive.google.com/file/d/1Sba_Nkl0ZobeCLqFd8yaq0dBSZzH3yHZ/view?usp=drivesdk" TargetMode="External"/><Relationship Id="rId12233" Type="http://schemas.openxmlformats.org/officeDocument/2006/relationships/hyperlink" Target="https://drive.google.com/file/d/1gKhx-cMN00PFd3EwqLHbqVksN6HCY0nH/view?usp=drivesdk" TargetMode="External"/><Relationship Id="rId13564" Type="http://schemas.openxmlformats.org/officeDocument/2006/relationships/hyperlink" Target="https://drive.google.com/file/d/1JH4Ze5cSyrXF-ihHIBPTNQ9oiOtp_uc1/view?usp=drivesdk" TargetMode="External"/><Relationship Id="rId1686" Type="http://schemas.openxmlformats.org/officeDocument/2006/relationships/hyperlink" Target="https://drive.google.com/file/d/1TNkCsK-m7P09bwxF4pb-MNejd766XkVw/view?usp=drivesdk" TargetMode="External"/><Relationship Id="rId1687" Type="http://schemas.openxmlformats.org/officeDocument/2006/relationships/hyperlink" Target="https://drive.google.com/file/d/1sG289E6bMwfOheS1mYqK32ggIMdCy3bP/view?usp=drivesdk" TargetMode="External"/><Relationship Id="rId1688" Type="http://schemas.openxmlformats.org/officeDocument/2006/relationships/hyperlink" Target="https://drive.google.com/file/d/1XYFAU9ME7DcSvtQKB86cLfpX_qR_mI3O/view?usp=drivesdk" TargetMode="External"/><Relationship Id="rId1689" Type="http://schemas.openxmlformats.org/officeDocument/2006/relationships/hyperlink" Target="https://drive.google.com/file/d/17jcIEr20WakXNPQS5OcVNJ5AK4ibiw_K/view?usp=drivesdk" TargetMode="External"/><Relationship Id="rId12250" Type="http://schemas.openxmlformats.org/officeDocument/2006/relationships/hyperlink" Target="https://drive.google.com/file/d/1MILoFsNsAaGdR2U6kmGqhjDJcHe3qKNy/view?usp=drivesdk" TargetMode="External"/><Relationship Id="rId13581" Type="http://schemas.openxmlformats.org/officeDocument/2006/relationships/hyperlink" Target="https://drive.google.com/file/d/1-jXd25pluLD6Ip7PySJCXA9aYeMSgKGR/view?usp=drivesdk" TargetMode="External"/><Relationship Id="rId13580" Type="http://schemas.openxmlformats.org/officeDocument/2006/relationships/hyperlink" Target="https://drive.google.com/file/d/1uk58lRuimV1NbFkA1FqMa1NK2voLQs6s/view?usp=drivesdk" TargetMode="External"/><Relationship Id="rId12249" Type="http://schemas.openxmlformats.org/officeDocument/2006/relationships/hyperlink" Target="https://drive.google.com/file/d/1jmPiFpXl_CDQ9Ze6H5FXrruz47JQRWjr/view?usp=drivesdk" TargetMode="External"/><Relationship Id="rId12248" Type="http://schemas.openxmlformats.org/officeDocument/2006/relationships/hyperlink" Target="https://drive.google.com/file/d/1NwHPgJFcLyRswjZALB6TOHPH0cHUx29B/view?usp=drivesdk" TargetMode="External"/><Relationship Id="rId13579" Type="http://schemas.openxmlformats.org/officeDocument/2006/relationships/hyperlink" Target="https://drive.google.com/file/d/10ocHAcLM4ZnFxvgQ8HXvCawg6WqLIx7F/view?usp=drivesdk" TargetMode="External"/><Relationship Id="rId12243" Type="http://schemas.openxmlformats.org/officeDocument/2006/relationships/hyperlink" Target="https://drive.google.com/file/d/16IjvnOugomU9_p395o5psVlQcbCceLl_/view?usp=drivesdk" TargetMode="External"/><Relationship Id="rId13574" Type="http://schemas.openxmlformats.org/officeDocument/2006/relationships/hyperlink" Target="https://drive.google.com/file/d/1MSK-FwYMQvp_jHZh4tnob1PpyRGbUaTw/view?usp=drivesdk" TargetMode="External"/><Relationship Id="rId12242" Type="http://schemas.openxmlformats.org/officeDocument/2006/relationships/hyperlink" Target="https://drive.google.com/file/d/1JOMDkDMQNAiTHWtjcMDoaX8sBr6qQw1h/view?usp=drivesdk" TargetMode="External"/><Relationship Id="rId13573" Type="http://schemas.openxmlformats.org/officeDocument/2006/relationships/hyperlink" Target="https://drive.google.com/file/d/13tHyabeLlzo4bLw4M4J6vHc8249zjVER/view?usp=drivesdk" TargetMode="External"/><Relationship Id="rId1680" Type="http://schemas.openxmlformats.org/officeDocument/2006/relationships/hyperlink" Target="https://drive.google.com/file/d/18LZmlNg9flDydqLEgDEzw1PoPu0paFH-/view?usp=drivesdk" TargetMode="External"/><Relationship Id="rId12241" Type="http://schemas.openxmlformats.org/officeDocument/2006/relationships/hyperlink" Target="https://drive.google.com/file/d/19k_bC4ebjOo5duZRGjfvjaQNhPGzSIDP/view?usp=drivesdk" TargetMode="External"/><Relationship Id="rId13572" Type="http://schemas.openxmlformats.org/officeDocument/2006/relationships/hyperlink" Target="https://drive.google.com/file/d/1_6tiDEd1HVrqNwL6kre6iRtvFDpyy6Yl/view?usp=drivesdk" TargetMode="External"/><Relationship Id="rId1681" Type="http://schemas.openxmlformats.org/officeDocument/2006/relationships/hyperlink" Target="https://drive.google.com/file/d/1PgXv9nxo_5JsF4ul7MDH1cpele2C78De/view?usp=drivesdk" TargetMode="External"/><Relationship Id="rId12240" Type="http://schemas.openxmlformats.org/officeDocument/2006/relationships/hyperlink" Target="https://drive.google.com/file/d/1gmTUXXaAz5ST81Ik2fw2LqFF3qyo8s1o/view?usp=drivesdk" TargetMode="External"/><Relationship Id="rId13571" Type="http://schemas.openxmlformats.org/officeDocument/2006/relationships/hyperlink" Target="https://drive.google.com/file/d/1VpOf6e5nYt600nhbUmeGGpL3frmcMfJC/view?usp=drivesdk" TargetMode="External"/><Relationship Id="rId1682" Type="http://schemas.openxmlformats.org/officeDocument/2006/relationships/hyperlink" Target="https://drive.google.com/file/d/19upEl06vDge-tnc3zWFR72raTR5C8xTS/view?usp=drivesdk" TargetMode="External"/><Relationship Id="rId12247" Type="http://schemas.openxmlformats.org/officeDocument/2006/relationships/hyperlink" Target="https://drive.google.com/file/d/1QD4bhAUgVsJOMKRz2sWK3WbRHIXrXhhL/view?usp=drivesdk" TargetMode="External"/><Relationship Id="rId13578" Type="http://schemas.openxmlformats.org/officeDocument/2006/relationships/hyperlink" Target="https://drive.google.com/file/d/17aFmn_aSiDlsbFQ4QFhHfcIJSzOYCZf6/view?usp=drivesdk" TargetMode="External"/><Relationship Id="rId1683" Type="http://schemas.openxmlformats.org/officeDocument/2006/relationships/hyperlink" Target="https://drive.google.com/file/d/1uCTE1bnIvzDmhwv9S2fN3S9tFmzg7Lqb/view?usp=drivesdk" TargetMode="External"/><Relationship Id="rId12246" Type="http://schemas.openxmlformats.org/officeDocument/2006/relationships/hyperlink" Target="https://drive.google.com/file/d/1-nZekrTkQpRF2iccLMaRKRNh2SadoaFI/view?usp=drivesdk" TargetMode="External"/><Relationship Id="rId13577" Type="http://schemas.openxmlformats.org/officeDocument/2006/relationships/hyperlink" Target="https://drive.google.com/file/d/1eD5xWPdK7N4FSr-NCuTTMnu7oSwmFYxM/view?usp=drivesdk" TargetMode="External"/><Relationship Id="rId1684" Type="http://schemas.openxmlformats.org/officeDocument/2006/relationships/hyperlink" Target="https://drive.google.com/file/d/1JbPx16UkOC9Al5Xm1lrdUJYXTN1XzHuV/view?usp=drivesdk" TargetMode="External"/><Relationship Id="rId12245" Type="http://schemas.openxmlformats.org/officeDocument/2006/relationships/hyperlink" Target="https://drive.google.com/file/d/1c1vNvu1qU-vvkYv-Ic90q-nMW4M4-JX5/view?usp=drivesdk" TargetMode="External"/><Relationship Id="rId13576" Type="http://schemas.openxmlformats.org/officeDocument/2006/relationships/hyperlink" Target="https://drive.google.com/file/d/1bG1Exg61thRjWqG5N6iRDzK2dgyEWTa4/view?usp=drivesdk" TargetMode="External"/><Relationship Id="rId1685" Type="http://schemas.openxmlformats.org/officeDocument/2006/relationships/hyperlink" Target="https://drive.google.com/file/d/1AGYncXyLJlKBcjOzjm_IlHZFpe60e1Ig/view?usp=drivesdk" TargetMode="External"/><Relationship Id="rId12244" Type="http://schemas.openxmlformats.org/officeDocument/2006/relationships/hyperlink" Target="https://drive.google.com/file/d/1K6Ml8ljzb8acwIVSsApDT2rblAtY41VC/view?usp=drivesdk" TargetMode="External"/><Relationship Id="rId13575" Type="http://schemas.openxmlformats.org/officeDocument/2006/relationships/hyperlink" Target="https://drive.google.com/file/d/1_gdEmYo4bzQwJVizezF2kRFmrN3PuEuX/view?usp=drivesdk" TargetMode="External"/><Relationship Id="rId12218" Type="http://schemas.openxmlformats.org/officeDocument/2006/relationships/hyperlink" Target="https://drive.google.com/file/d/1-AlPOF7xmnG6ssFbvCg863VKJPgFi79t/view?usp=drivesdk" TargetMode="External"/><Relationship Id="rId13549" Type="http://schemas.openxmlformats.org/officeDocument/2006/relationships/hyperlink" Target="https://drive.google.com/file/d/1rRl4xRjsXpF7Hv0j2fI7FfunkaHxE4kI/view?usp=drivesdk" TargetMode="External"/><Relationship Id="rId12217" Type="http://schemas.openxmlformats.org/officeDocument/2006/relationships/hyperlink" Target="https://drive.google.com/file/d/1zGr62GiqCGAqFgxXsMluoCg9ppfZlmWV/view?usp=drivesdk" TargetMode="External"/><Relationship Id="rId13548" Type="http://schemas.openxmlformats.org/officeDocument/2006/relationships/hyperlink" Target="https://drive.google.com/file/d/1mdXf4-Lsj9VD6e_pht_EHXq2W7d_j4QO/view?usp=drivesdk" TargetMode="External"/><Relationship Id="rId12216" Type="http://schemas.openxmlformats.org/officeDocument/2006/relationships/hyperlink" Target="https://drive.google.com/file/d/1SL3By9jTsJ1MwxhOkisC1ZANQvr62Gl6/view?usp=drivesdk" TargetMode="External"/><Relationship Id="rId13547" Type="http://schemas.openxmlformats.org/officeDocument/2006/relationships/hyperlink" Target="https://drive.google.com/file/d/1Ax0GVvGku9uqthLDSwsDU7R2fEA6pMHK/view?usp=drivesdk" TargetMode="External"/><Relationship Id="rId12215" Type="http://schemas.openxmlformats.org/officeDocument/2006/relationships/hyperlink" Target="https://drive.google.com/file/d/1OLu4v05XmLGl-5PuN-ygxzGUsapOSc-n/view?usp=drivesdk" TargetMode="External"/><Relationship Id="rId13546" Type="http://schemas.openxmlformats.org/officeDocument/2006/relationships/hyperlink" Target="https://drive.google.com/file/d/1ja7ClfiVqPkW1PGe4snHeN7cClbJsSOJ/view?usp=drivesdk" TargetMode="External"/><Relationship Id="rId12219" Type="http://schemas.openxmlformats.org/officeDocument/2006/relationships/hyperlink" Target="https://drive.google.com/file/d/1EkRRzXuV5d4YYRors3EOA95fCWeqikBz/view?usp=drivesdk" TargetMode="External"/><Relationship Id="rId12210" Type="http://schemas.openxmlformats.org/officeDocument/2006/relationships/hyperlink" Target="https://drive.google.com/file/d/1bE3LJhEMyQz_A87iTuv3EQ5nlUSB38JN/view?usp=drivesdk" TargetMode="External"/><Relationship Id="rId13541" Type="http://schemas.openxmlformats.org/officeDocument/2006/relationships/hyperlink" Target="https://drive.google.com/file/d/1sXtrp8FL3xlbxskOx95WSWt4ApXd0uh2/view?usp=drivesdk" TargetMode="External"/><Relationship Id="rId13540" Type="http://schemas.openxmlformats.org/officeDocument/2006/relationships/hyperlink" Target="https://drive.google.com/file/d/1qtvfZ10yAo5uSBcbpk0fvAhR0zXaqhwR/view?usp=drivesdk" TargetMode="External"/><Relationship Id="rId12214" Type="http://schemas.openxmlformats.org/officeDocument/2006/relationships/hyperlink" Target="https://drive.google.com/file/d/1_xuQMugukdNraEC4P-hddzFmRuFXuUCH/view?usp=drivesdk" TargetMode="External"/><Relationship Id="rId13545" Type="http://schemas.openxmlformats.org/officeDocument/2006/relationships/hyperlink" Target="https://drive.google.com/file/d/1-0JBD8L7W0kbICS8uRt4ZuZVgElPTRBp/view?usp=drivesdk" TargetMode="External"/><Relationship Id="rId12213" Type="http://schemas.openxmlformats.org/officeDocument/2006/relationships/hyperlink" Target="https://drive.google.com/file/d/1j-VQ580H0cR6cn6fTT23tBKfjY7qo6JR/view?usp=drivesdk" TargetMode="External"/><Relationship Id="rId13544" Type="http://schemas.openxmlformats.org/officeDocument/2006/relationships/hyperlink" Target="https://drive.google.com/file/d/1UUQ2oNGY9iPebx4xl7Am_UVclv2MtuTe/view?usp=drivesdk" TargetMode="External"/><Relationship Id="rId12212" Type="http://schemas.openxmlformats.org/officeDocument/2006/relationships/hyperlink" Target="https://drive.google.com/file/d/1ZElZOqFHDW7LHW8AES7ycNZYKqTayb7x/view?usp=drivesdk" TargetMode="External"/><Relationship Id="rId13543" Type="http://schemas.openxmlformats.org/officeDocument/2006/relationships/hyperlink" Target="https://drive.google.com/file/d/1vnLLduUyWRvLlGaRrphbJp5lfN34as50/view?usp=drivesdk" TargetMode="External"/><Relationship Id="rId12211" Type="http://schemas.openxmlformats.org/officeDocument/2006/relationships/hyperlink" Target="https://drive.google.com/file/d/1ecv7nTIRdmvpQfyULPvNsWSiSewtfi5f/view?usp=drivesdk" TargetMode="External"/><Relationship Id="rId13542" Type="http://schemas.openxmlformats.org/officeDocument/2006/relationships/hyperlink" Target="https://drive.google.com/file/d/16wPVGyOrF5v3uuk907OpRoeK3y9djWHi/view?usp=drivesdk" TargetMode="External"/><Relationship Id="rId12229" Type="http://schemas.openxmlformats.org/officeDocument/2006/relationships/hyperlink" Target="https://drive.google.com/file/d/1rrQE366EwSQIqUC0N6PWw1paiLEdbTr6/view?usp=drivesdk" TargetMode="External"/><Relationship Id="rId12228" Type="http://schemas.openxmlformats.org/officeDocument/2006/relationships/hyperlink" Target="https://drive.google.com/file/d/1kcEmE551KYE4JTGk9JfHgchg9NYJmsJb/view?usp=drivesdk" TargetMode="External"/><Relationship Id="rId13559" Type="http://schemas.openxmlformats.org/officeDocument/2006/relationships/hyperlink" Target="https://drive.google.com/file/d/1i3897EopXGYaQF1yehYR41Gmm-FpRCBP/view?usp=drivesdk" TargetMode="External"/><Relationship Id="rId12227" Type="http://schemas.openxmlformats.org/officeDocument/2006/relationships/hyperlink" Target="https://drive.google.com/file/d/1NLLV8vSXgXLQ3QVHObb9Dhi3gKnwSuto/view?usp=drivesdk" TargetMode="External"/><Relationship Id="rId13558" Type="http://schemas.openxmlformats.org/officeDocument/2006/relationships/hyperlink" Target="https://drive.google.com/file/d/1Mw-_dZEYqI1wQ-x_cvaKK9IiniKl1_91/view?usp=drivesdk" TargetMode="External"/><Relationship Id="rId12226" Type="http://schemas.openxmlformats.org/officeDocument/2006/relationships/hyperlink" Target="https://drive.google.com/file/d/1UbsJU2kvW6NXgxuWoD5KznAaQ-yz2WA8/view?usp=drivesdk" TargetMode="External"/><Relationship Id="rId13557" Type="http://schemas.openxmlformats.org/officeDocument/2006/relationships/hyperlink" Target="https://drive.google.com/file/d/1Gm_HmhanKQnbGxCOSdtKZLKqklAhDlm0/view?usp=drivesdk" TargetMode="External"/><Relationship Id="rId12221" Type="http://schemas.openxmlformats.org/officeDocument/2006/relationships/hyperlink" Target="https://drive.google.com/file/d/1pN7_c6hO5dq0AoZkV3gdU_bxwVookV6_/view?usp=drivesdk" TargetMode="External"/><Relationship Id="rId13552" Type="http://schemas.openxmlformats.org/officeDocument/2006/relationships/hyperlink" Target="https://drive.google.com/file/d/1Hf0WHhiNd443HByMEDYR16oTH63veuFP/view?usp=drivesdk" TargetMode="External"/><Relationship Id="rId12220" Type="http://schemas.openxmlformats.org/officeDocument/2006/relationships/hyperlink" Target="https://drive.google.com/file/d/1KxvABr7rk0bB-P8Dxf6uQQEzNnvjUt7Q/view?usp=drivesdk" TargetMode="External"/><Relationship Id="rId13551" Type="http://schemas.openxmlformats.org/officeDocument/2006/relationships/hyperlink" Target="https://drive.google.com/file/d/1NK2KAbrn-fxl4gG1L4m2EOvNGkSURFDr/view?usp=drivesdk" TargetMode="External"/><Relationship Id="rId13550" Type="http://schemas.openxmlformats.org/officeDocument/2006/relationships/hyperlink" Target="https://drive.google.com/file/d/1LLYXsW1aQHWyZsIrupExRZ8GIlKfW2jg/view?usp=drivesdk" TargetMode="External"/><Relationship Id="rId12225" Type="http://schemas.openxmlformats.org/officeDocument/2006/relationships/hyperlink" Target="https://drive.google.com/file/d/1YelpAaGN9HS_6Krqjh_2TPj-prxCntb6/view?usp=drivesdk" TargetMode="External"/><Relationship Id="rId13556" Type="http://schemas.openxmlformats.org/officeDocument/2006/relationships/hyperlink" Target="https://drive.google.com/file/d/1ntO-8lwatqOlkJQMMH_aqz0o-dvnHl1H/view?usp=drivesdk" TargetMode="External"/><Relationship Id="rId12224" Type="http://schemas.openxmlformats.org/officeDocument/2006/relationships/hyperlink" Target="https://drive.google.com/file/d/1CThZSc61LSX_QXF87NmvCvOmWT2K8_Ra/view?usp=drivesdk" TargetMode="External"/><Relationship Id="rId13555" Type="http://schemas.openxmlformats.org/officeDocument/2006/relationships/hyperlink" Target="https://drive.google.com/file/d/163PyQKNyndyxtO9-S_526_-_-n3db_6q/view?usp=drivesdk" TargetMode="External"/><Relationship Id="rId12223" Type="http://schemas.openxmlformats.org/officeDocument/2006/relationships/hyperlink" Target="https://drive.google.com/file/d/1PJ6BI5Nn5JV7e2hU3zRacSVm4ecH6_D3/view?usp=drivesdk" TargetMode="External"/><Relationship Id="rId13554" Type="http://schemas.openxmlformats.org/officeDocument/2006/relationships/hyperlink" Target="https://drive.google.com/file/d/1jyhoxDJOXVBAHnV6UsP2L1ErLUQKkfHW/view?usp=drivesdk" TargetMode="External"/><Relationship Id="rId12222" Type="http://schemas.openxmlformats.org/officeDocument/2006/relationships/hyperlink" Target="https://drive.google.com/file/d/1SuwJeJRHEIlnvEMWthQX8JDO89x1EgRz/view?usp=drivesdk" TargetMode="External"/><Relationship Id="rId13553" Type="http://schemas.openxmlformats.org/officeDocument/2006/relationships/hyperlink" Target="https://drive.google.com/file/d/1tPicw_Qfz2PZn_eqvFbbExpojbICF5mV/view?usp=drivesdk" TargetMode="External"/><Relationship Id="rId1653" Type="http://schemas.openxmlformats.org/officeDocument/2006/relationships/hyperlink" Target="https://drive.google.com/file/d/1OJhhJGVHReLLvLNmHeUJkdEk-Jowuves/view?usp=drivesdk" TargetMode="External"/><Relationship Id="rId2984" Type="http://schemas.openxmlformats.org/officeDocument/2006/relationships/hyperlink" Target="https://drive.google.com/file/d/1YvDNFF-TbZ1nicrF5mjhkYEZ-rC1Pz9_/view?usp=drivesdk" TargetMode="External"/><Relationship Id="rId1654" Type="http://schemas.openxmlformats.org/officeDocument/2006/relationships/hyperlink" Target="https://drive.google.com/file/d/1eFwRtbV6LxJukAsoj7u0_QKkjtMbZDcx/view?usp=drivesdk" TargetMode="External"/><Relationship Id="rId2985" Type="http://schemas.openxmlformats.org/officeDocument/2006/relationships/hyperlink" Target="https://drive.google.com/file/d/1T6gGZVVA-Ns459RunvKc-HYn8twyvarP/view?usp=drivesdk" TargetMode="External"/><Relationship Id="rId1655" Type="http://schemas.openxmlformats.org/officeDocument/2006/relationships/hyperlink" Target="https://drive.google.com/file/d/1Ux_TpzU15h6q-8UWGqaqAzdVlkSDj2JF/view?usp=drivesdk" TargetMode="External"/><Relationship Id="rId2986" Type="http://schemas.openxmlformats.org/officeDocument/2006/relationships/hyperlink" Target="https://drive.google.com/file/d/1uHgL3A1G3zrPd3JOpzqWSw1h9O_GMc2c/view?usp=drivesdk" TargetMode="External"/><Relationship Id="rId1656" Type="http://schemas.openxmlformats.org/officeDocument/2006/relationships/hyperlink" Target="https://drive.google.com/file/d/1cahxtE-ekwMfNY-e9DSwxDnKEHkfbpoI/view?usp=drivesdk" TargetMode="External"/><Relationship Id="rId2987" Type="http://schemas.openxmlformats.org/officeDocument/2006/relationships/hyperlink" Target="https://drive.google.com/file/d/1gX9Dd6955ty4ukU4BwA5cgZNXF_LjAa4/view?usp=drivesdk" TargetMode="External"/><Relationship Id="rId1657" Type="http://schemas.openxmlformats.org/officeDocument/2006/relationships/hyperlink" Target="https://drive.google.com/file/d/1G1g_OY3X4gr0amEh6uy_gMvX1vbgAROr/view?usp=drivesdk" TargetMode="External"/><Relationship Id="rId2988" Type="http://schemas.openxmlformats.org/officeDocument/2006/relationships/hyperlink" Target="https://drive.google.com/file/d/1L5xZTjg0k2zjCAfWbH0DfmU5zhODBG3U/view?usp=drivesdk" TargetMode="External"/><Relationship Id="rId12283" Type="http://schemas.openxmlformats.org/officeDocument/2006/relationships/hyperlink" Target="https://drive.google.com/file/d/195tzgty_Niy4T11xiLxa_-3319k3xtm5/view?usp=drivesdk" TargetMode="External"/><Relationship Id="rId1658" Type="http://schemas.openxmlformats.org/officeDocument/2006/relationships/hyperlink" Target="https://drive.google.com/file/d/1rDDECTJnp53IVaJ4qppCs0CVlAf8ydDG/view?usp=drivesdk" TargetMode="External"/><Relationship Id="rId2989" Type="http://schemas.openxmlformats.org/officeDocument/2006/relationships/hyperlink" Target="https://drive.google.com/file/d/1MoDgL2G28zP3LyrYKbVrNvqxwHB_DFpL/view?usp=drivesdk" TargetMode="External"/><Relationship Id="rId12282" Type="http://schemas.openxmlformats.org/officeDocument/2006/relationships/hyperlink" Target="https://drive.google.com/file/d/1fG-IzjKgQzQAdASrs1MdEZrADkGtD9dz/view?usp=drivesdk" TargetMode="External"/><Relationship Id="rId1659" Type="http://schemas.openxmlformats.org/officeDocument/2006/relationships/hyperlink" Target="https://drive.google.com/file/d/1zNCJ60FQI0VQDk5SmAR29hUJAz1e8Zi2/view?usp=drivesdk" TargetMode="External"/><Relationship Id="rId12281" Type="http://schemas.openxmlformats.org/officeDocument/2006/relationships/hyperlink" Target="https://drive.google.com/file/d/1l4vAJ1HwSdY098F0XzNFmBjN0CH8Y6US/view?usp=drivesdk" TargetMode="External"/><Relationship Id="rId12280" Type="http://schemas.openxmlformats.org/officeDocument/2006/relationships/hyperlink" Target="https://drive.google.com/file/d/1VvTYpEIuPI7GVlPer2DPoztP1-ilEWg6/view?usp=drivesdk" TargetMode="External"/><Relationship Id="rId12276" Type="http://schemas.openxmlformats.org/officeDocument/2006/relationships/hyperlink" Target="https://drive.google.com/file/d/179HJaefMsRNz9d0fUbd1-RTomsaIW3p0/view?usp=drivesdk" TargetMode="External"/><Relationship Id="rId12275" Type="http://schemas.openxmlformats.org/officeDocument/2006/relationships/hyperlink" Target="https://drive.google.com/file/d/1dxdTB01muw7Ab9IiNG-s76i3MsYxSv-5/view?usp=drivesdk" TargetMode="External"/><Relationship Id="rId12274" Type="http://schemas.openxmlformats.org/officeDocument/2006/relationships/hyperlink" Target="https://drive.google.com/file/d/161VXuLUjg-CYm-9V_VkKLw40YsBoWb2U/view?usp=drivesdk" TargetMode="External"/><Relationship Id="rId12273" Type="http://schemas.openxmlformats.org/officeDocument/2006/relationships/hyperlink" Target="https://drive.google.com/file/d/1wHMwtAEFeYBoRU6-Fe1ARL5L8xeMa_7l/view?usp=drivesdk" TargetMode="External"/><Relationship Id="rId2980" Type="http://schemas.openxmlformats.org/officeDocument/2006/relationships/hyperlink" Target="https://drive.google.com/file/d/11XqjKrxkk-DUvy_cI2gPpvePi-kHMCP4/view?usp=drivesdk" TargetMode="External"/><Relationship Id="rId1650" Type="http://schemas.openxmlformats.org/officeDocument/2006/relationships/hyperlink" Target="https://drive.google.com/file/d/1_to9cSqjdRhbyGVov9DMmetVxchVuTMC/view?usp=drivesdk" TargetMode="External"/><Relationship Id="rId2981" Type="http://schemas.openxmlformats.org/officeDocument/2006/relationships/hyperlink" Target="https://drive.google.com/file/d/1FXGAmwup3EQMRkO9bJO0vL53Iiu2Dm2-/view?usp=drivesdk" TargetMode="External"/><Relationship Id="rId12279" Type="http://schemas.openxmlformats.org/officeDocument/2006/relationships/hyperlink" Target="https://drive.google.com/file/d/1mLiGWLLHU_1wVBpAtvEoz1mvVviDQmAw/view?usp=drivesdk" TargetMode="External"/><Relationship Id="rId1651" Type="http://schemas.openxmlformats.org/officeDocument/2006/relationships/hyperlink" Target="https://drive.google.com/file/d/1LGZA4CKA2bN_S9fmcS4-MfEwMMpERZe7/view?usp=drivesdk" TargetMode="External"/><Relationship Id="rId2982" Type="http://schemas.openxmlformats.org/officeDocument/2006/relationships/hyperlink" Target="https://drive.google.com/file/d/1XoKf3_TuXqE64HguyPbNBKq-dMTQzt4-/view?usp=drivesdk" TargetMode="External"/><Relationship Id="rId12278" Type="http://schemas.openxmlformats.org/officeDocument/2006/relationships/hyperlink" Target="https://drive.google.com/file/d/13Q5vnL1bejsTuVkyA4ZQ11JW-uH8emYR/view?usp=drivesdk" TargetMode="External"/><Relationship Id="rId1652" Type="http://schemas.openxmlformats.org/officeDocument/2006/relationships/hyperlink" Target="https://drive.google.com/file/d/1lGQDoIQsn0eFT3GO0t8E0-EqHhor_SX3/view?usp=drivesdk" TargetMode="External"/><Relationship Id="rId2983" Type="http://schemas.openxmlformats.org/officeDocument/2006/relationships/hyperlink" Target="https://drive.google.com/file/d/1wa0gASvzv-M9gfx03vAviTmcC7Ck7wMk/view?usp=drivesdk" TargetMode="External"/><Relationship Id="rId12277" Type="http://schemas.openxmlformats.org/officeDocument/2006/relationships/hyperlink" Target="https://drive.google.com/file/d/1VeT8BvhyCCnYQWJhy7nc9ZWRmgNgScdD/view?usp=drivesdk" TargetMode="External"/><Relationship Id="rId1642" Type="http://schemas.openxmlformats.org/officeDocument/2006/relationships/hyperlink" Target="https://drive.google.com/file/d/16VWlb5j8WuKIv_B1qXmg_XDxYDufSASr/view?usp=drivesdk" TargetMode="External"/><Relationship Id="rId2973" Type="http://schemas.openxmlformats.org/officeDocument/2006/relationships/hyperlink" Target="https://drive.google.com/file/d/1qH5Q3Q150Z-iWfIiWsmS_MY9k8ulo0lT/view?usp=drivesdk" TargetMode="External"/><Relationship Id="rId12290" Type="http://schemas.openxmlformats.org/officeDocument/2006/relationships/hyperlink" Target="https://drive.google.com/file/d/1jsUcYnDqAAqV0ppKTM5xBd6hyCrPaTsb/view?usp=drivesdk" TargetMode="External"/><Relationship Id="rId1643" Type="http://schemas.openxmlformats.org/officeDocument/2006/relationships/hyperlink" Target="https://drive.google.com/file/d/1w0cfVpG7w47HOCq_ZozpOxEX_mfRbS5k/view?usp=drivesdk" TargetMode="External"/><Relationship Id="rId2974" Type="http://schemas.openxmlformats.org/officeDocument/2006/relationships/hyperlink" Target="https://drive.google.com/file/d/1zXD_ikRtODljVHiQIo15FBusCPI-aMxc/view?usp=drivesdk" TargetMode="External"/><Relationship Id="rId1644" Type="http://schemas.openxmlformats.org/officeDocument/2006/relationships/hyperlink" Target="https://drive.google.com/file/d/1fzcckGQbCI4yv9AMsG1yrq_GMGJsMMuT/view?usp=drivesdk" TargetMode="External"/><Relationship Id="rId2975" Type="http://schemas.openxmlformats.org/officeDocument/2006/relationships/hyperlink" Target="https://drive.google.com/file/d/12e4acMLm_49O6h2R4kC-RxkH4niGjee3/view?usp=drivesdk" TargetMode="External"/><Relationship Id="rId1645" Type="http://schemas.openxmlformats.org/officeDocument/2006/relationships/hyperlink" Target="https://drive.google.com/file/d/1o69v7_91OIRNR8VMvO37fsxZK3myMADd/view?usp=drivesdk" TargetMode="External"/><Relationship Id="rId2976" Type="http://schemas.openxmlformats.org/officeDocument/2006/relationships/hyperlink" Target="https://drive.google.com/file/d/1JnYi7K6oqIOjIXsgvbJkaYPElQ_3IHFB/view?usp=drivesdk" TargetMode="External"/><Relationship Id="rId1646" Type="http://schemas.openxmlformats.org/officeDocument/2006/relationships/hyperlink" Target="https://drive.google.com/file/d/1gYxTg3nOg13Pv56aeRF60i_jxFy8lI4N/view?usp=drivesdk" TargetMode="External"/><Relationship Id="rId2977" Type="http://schemas.openxmlformats.org/officeDocument/2006/relationships/hyperlink" Target="https://drive.google.com/file/d/1Ls2k_tVWrBep8jAyWeCBusc5-U3Xs8MY/view?usp=drivesdk" TargetMode="External"/><Relationship Id="rId12294" Type="http://schemas.openxmlformats.org/officeDocument/2006/relationships/hyperlink" Target="https://drive.google.com/file/d/1R_03mKUoAvA5Q_9I-FAC_zSHuRKmv45o/view?usp=drivesdk" TargetMode="External"/><Relationship Id="rId1647" Type="http://schemas.openxmlformats.org/officeDocument/2006/relationships/hyperlink" Target="https://drive.google.com/file/d/12ZkSjvodCaHuIADZAEfGnekozn4yHDTv/view?usp=drivesdk" TargetMode="External"/><Relationship Id="rId2978" Type="http://schemas.openxmlformats.org/officeDocument/2006/relationships/hyperlink" Target="https://drive.google.com/file/d/14KmeVBlA6EcSTctJ_QeZhC-egTty0W5M/view?usp=drivesdk" TargetMode="External"/><Relationship Id="rId12293" Type="http://schemas.openxmlformats.org/officeDocument/2006/relationships/hyperlink" Target="https://drive.google.com/file/d/1SYy3K43GiwPOb-x1aVzTqTMqehhU_pCx/view?usp=drivesdk" TargetMode="External"/><Relationship Id="rId1648" Type="http://schemas.openxmlformats.org/officeDocument/2006/relationships/hyperlink" Target="https://drive.google.com/file/d/1dl0w4l8tbcuf2uNBNQlm5Y1X027kIkLA/view?usp=drivesdk" TargetMode="External"/><Relationship Id="rId2979" Type="http://schemas.openxmlformats.org/officeDocument/2006/relationships/hyperlink" Target="https://drive.google.com/file/d/1It5EUu6yENHi6GPUtJN8F4M72FEuti6C/view?usp=drivesdk" TargetMode="External"/><Relationship Id="rId12292" Type="http://schemas.openxmlformats.org/officeDocument/2006/relationships/hyperlink" Target="https://drive.google.com/file/d/1qfOx0uL2-BVt0fN6W4vp9_l5zmVrWBbB/view?usp=drivesdk" TargetMode="External"/><Relationship Id="rId1649" Type="http://schemas.openxmlformats.org/officeDocument/2006/relationships/hyperlink" Target="https://drive.google.com/file/d/1TRRMPAbQNhy6n7P5GjhZCjQc0lZYNRk0/view?usp=drivesdk" TargetMode="External"/><Relationship Id="rId12291" Type="http://schemas.openxmlformats.org/officeDocument/2006/relationships/hyperlink" Target="https://drive.google.com/file/d/1kZ9JLCkR3K_dSm9QcGMhh5CakHnXOi_f/view?usp=drivesdk" TargetMode="External"/><Relationship Id="rId12287" Type="http://schemas.openxmlformats.org/officeDocument/2006/relationships/hyperlink" Target="https://drive.google.com/file/d/1IG85nnQgt6mEevYf3DnzmWzoB_45UhZ0/view?usp=drivesdk" TargetMode="External"/><Relationship Id="rId12286" Type="http://schemas.openxmlformats.org/officeDocument/2006/relationships/hyperlink" Target="https://drive.google.com/file/d/1imVzo-Dg3bcHFSFGPVSvGqOvu7KIz49E/view?usp=drivesdk" TargetMode="External"/><Relationship Id="rId12285" Type="http://schemas.openxmlformats.org/officeDocument/2006/relationships/hyperlink" Target="https://drive.google.com/file/d/1YLgJyccUVYTG26QZj9D312JgkXtbnZIw/view?usp=drivesdk" TargetMode="External"/><Relationship Id="rId12284" Type="http://schemas.openxmlformats.org/officeDocument/2006/relationships/hyperlink" Target="https://drive.google.com/file/d/19XzRrXamh2_SF6jm7M5KfDoJlGRwjtWU/view?usp=drivesdk" TargetMode="External"/><Relationship Id="rId2970" Type="http://schemas.openxmlformats.org/officeDocument/2006/relationships/hyperlink" Target="https://drive.google.com/file/d/1b-kwhyuGOlHZU_yaJTctW3AIMM_8wGzV/view?usp=drivesdk" TargetMode="External"/><Relationship Id="rId1640" Type="http://schemas.openxmlformats.org/officeDocument/2006/relationships/hyperlink" Target="https://drive.google.com/file/d/1z4biIZ3BGercGxAAWGp-0nXvXeV_Hknu/view?usp=drivesdk" TargetMode="External"/><Relationship Id="rId2971" Type="http://schemas.openxmlformats.org/officeDocument/2006/relationships/hyperlink" Target="https://drive.google.com/file/d/1h29ey2AmucuMSoD2ReRQKfL0sTEsmbcz/view?usp=drivesdk" TargetMode="External"/><Relationship Id="rId12289" Type="http://schemas.openxmlformats.org/officeDocument/2006/relationships/hyperlink" Target="https://drive.google.com/file/d/1slUZGrLCRdpQWWN5EwzUGqOD-PGT_ijI/view?usp=drivesdk" TargetMode="External"/><Relationship Id="rId1641" Type="http://schemas.openxmlformats.org/officeDocument/2006/relationships/hyperlink" Target="https://drive.google.com/file/d/1De4heUCNZrBHtK_HwtWxFg5ojku0LET9/view?usp=drivesdk" TargetMode="External"/><Relationship Id="rId2972" Type="http://schemas.openxmlformats.org/officeDocument/2006/relationships/hyperlink" Target="https://drive.google.com/file/d/1mc6MwpYWDvZ9J9XeLZt7WD8cnT6pEvuq/view?usp=drivesdk" TargetMode="External"/><Relationship Id="rId12288" Type="http://schemas.openxmlformats.org/officeDocument/2006/relationships/hyperlink" Target="https://drive.google.com/file/d/15awGZ6S7dZY5XwpTR7v8LGtl6hVKqz53/view?usp=drivesdk" TargetMode="External"/><Relationship Id="rId1675" Type="http://schemas.openxmlformats.org/officeDocument/2006/relationships/hyperlink" Target="https://drive.google.com/file/d/13CIhv4nrSPWn3TTg2i_-JUbmTl38zYal/view?usp=drivesdk" TargetMode="External"/><Relationship Id="rId1676" Type="http://schemas.openxmlformats.org/officeDocument/2006/relationships/hyperlink" Target="https://drive.google.com/file/d/1JU278w8ekGDAKQ3gWS0BtLjluanK5o4U/view?usp=drivesdk" TargetMode="External"/><Relationship Id="rId1677" Type="http://schemas.openxmlformats.org/officeDocument/2006/relationships/hyperlink" Target="https://drive.google.com/file/d/1NUPmHnyhBx1v5b_YDMh1HcN2SfEX738G/view?usp=drivesdk" TargetMode="External"/><Relationship Id="rId1678" Type="http://schemas.openxmlformats.org/officeDocument/2006/relationships/hyperlink" Target="https://drive.google.com/file/d/1PTMpgPBJ2RbApI7YT93WSb7paZumU3XS/view?usp=drivesdk" TargetMode="External"/><Relationship Id="rId1679" Type="http://schemas.openxmlformats.org/officeDocument/2006/relationships/hyperlink" Target="https://drive.google.com/file/d/1pgcBjt64hp9UGMLn_d601KoqdsO0Um1J/view?usp=drivesdk" TargetMode="External"/><Relationship Id="rId12261" Type="http://schemas.openxmlformats.org/officeDocument/2006/relationships/hyperlink" Target="https://drive.google.com/file/d/1BAofIuwW0XXUQbpCoe-wla-3wn5HTkgr/view?usp=drivesdk" TargetMode="External"/><Relationship Id="rId13592" Type="http://schemas.openxmlformats.org/officeDocument/2006/relationships/hyperlink" Target="https://drive.google.com/file/d/1OZ1bVQkvB0Rvw6bIjKYzHybuGwHVXLi5/view?usp=drivesdk" TargetMode="External"/><Relationship Id="rId12260" Type="http://schemas.openxmlformats.org/officeDocument/2006/relationships/hyperlink" Target="https://drive.google.com/file/d/1A-6c6vsiN63Dtr09p9rRJ_amitgIUvQf/view?usp=drivesdk" TargetMode="External"/><Relationship Id="rId13591" Type="http://schemas.openxmlformats.org/officeDocument/2006/relationships/hyperlink" Target="https://drive.google.com/file/d/1A1kG120hksvI4yJEI2wOO2IezJTDhWXG/view?usp=drivesdk" TargetMode="External"/><Relationship Id="rId13590" Type="http://schemas.openxmlformats.org/officeDocument/2006/relationships/hyperlink" Target="https://drive.google.com/file/d/1rRiA-4IIISAMKQXa0pfm4uSmNTO1V06W/view?usp=drivesdk" TargetMode="External"/><Relationship Id="rId12259" Type="http://schemas.openxmlformats.org/officeDocument/2006/relationships/hyperlink" Target="https://drive.google.com/file/d/1OuBdfVQthBGm4EvDA5RIwmIp5LUozrbm/view?usp=drivesdk" TargetMode="External"/><Relationship Id="rId12254" Type="http://schemas.openxmlformats.org/officeDocument/2006/relationships/hyperlink" Target="https://drive.google.com/file/d/1zzuwbBT7XHTeoQpxrUZHBTzXq5QIY1SP/view?usp=drivesdk" TargetMode="External"/><Relationship Id="rId13585" Type="http://schemas.openxmlformats.org/officeDocument/2006/relationships/hyperlink" Target="https://drive.google.com/file/d/1zeqzodaKudHM_SX1mR-ovCklu09IqzoT/view?usp=drivesdk" TargetMode="External"/><Relationship Id="rId12253" Type="http://schemas.openxmlformats.org/officeDocument/2006/relationships/hyperlink" Target="https://drive.google.com/file/d/1G3r0xiRCfk1CkhrJYINhgAjFn8kInS5D/view?usp=drivesdk" TargetMode="External"/><Relationship Id="rId13584" Type="http://schemas.openxmlformats.org/officeDocument/2006/relationships/hyperlink" Target="https://drive.google.com/file/d/1FNp7YnSmo972h6_fCmA4CcYXmdvhNlsx/view?usp=drivesdk" TargetMode="External"/><Relationship Id="rId12252" Type="http://schemas.openxmlformats.org/officeDocument/2006/relationships/hyperlink" Target="https://drive.google.com/file/d/1MXQwN92_Ss-LmjNd6DGD4R2s8_8S21-z/view?usp=drivesdk" TargetMode="External"/><Relationship Id="rId13583" Type="http://schemas.openxmlformats.org/officeDocument/2006/relationships/hyperlink" Target="https://drive.google.com/file/d/14Eu_DHp-wc4QYD52FWlEm7mgMDrtSRye/view?usp=drivesdk" TargetMode="External"/><Relationship Id="rId1670" Type="http://schemas.openxmlformats.org/officeDocument/2006/relationships/hyperlink" Target="https://drive.google.com/file/d/1tqPHuGU3YJjQUh6UaHCHuXbh3jSOHWal/view?usp=drivesdk" TargetMode="External"/><Relationship Id="rId12251" Type="http://schemas.openxmlformats.org/officeDocument/2006/relationships/hyperlink" Target="https://drive.google.com/file/d/1fXIN-mSkeSbtM1zk27RNaMBTcXtNPD1Z/view?usp=drivesdk" TargetMode="External"/><Relationship Id="rId13582" Type="http://schemas.openxmlformats.org/officeDocument/2006/relationships/hyperlink" Target="https://drive.google.com/file/d/1_Nu3x1LM8C99GR78KynBlDPdlzMRU1Cw/view?usp=drivesdk" TargetMode="External"/><Relationship Id="rId1671" Type="http://schemas.openxmlformats.org/officeDocument/2006/relationships/hyperlink" Target="https://drive.google.com/file/d/19uw41-tOxROUlA75abKWCu4mgBjc1ePE/view?usp=drivesdk" TargetMode="External"/><Relationship Id="rId12258" Type="http://schemas.openxmlformats.org/officeDocument/2006/relationships/hyperlink" Target="https://drive.google.com/file/d/19DwqNxIRx7YAursANtXfqDaMlOlCbmOU/view?usp=drivesdk" TargetMode="External"/><Relationship Id="rId13589" Type="http://schemas.openxmlformats.org/officeDocument/2006/relationships/hyperlink" Target="https://drive.google.com/file/d/1n-2Ss9s4DdXj8AAVdGQKmHrXEdVuECYv/view?usp=drivesdk" TargetMode="External"/><Relationship Id="rId1672" Type="http://schemas.openxmlformats.org/officeDocument/2006/relationships/hyperlink" Target="https://drive.google.com/file/d/1ozj8EFMq8utyD0s0M2cihUa6yNw2SA67/view?usp=drivesdk" TargetMode="External"/><Relationship Id="rId12257" Type="http://schemas.openxmlformats.org/officeDocument/2006/relationships/hyperlink" Target="https://drive.google.com/file/d/16uUC-T6xroVQQ-CLP0XeUfki2NrBw--j/view?usp=drivesdk" TargetMode="External"/><Relationship Id="rId13588" Type="http://schemas.openxmlformats.org/officeDocument/2006/relationships/hyperlink" Target="https://drive.google.com/file/d/1JgMI3i7jtAR5RR2yeBr07xvRm-6gdtzk/view?usp=drivesdk" TargetMode="External"/><Relationship Id="rId1673" Type="http://schemas.openxmlformats.org/officeDocument/2006/relationships/hyperlink" Target="https://drive.google.com/file/d/10UHXEd7p7fz6Tba2RYCd2YiRfXcvmsTi/view?usp=drivesdk" TargetMode="External"/><Relationship Id="rId12256" Type="http://schemas.openxmlformats.org/officeDocument/2006/relationships/hyperlink" Target="https://drive.google.com/file/d/1SaIU6rRHibHMk01H4EJrUQ6wzic0j-SG/view?usp=drivesdk" TargetMode="External"/><Relationship Id="rId13587" Type="http://schemas.openxmlformats.org/officeDocument/2006/relationships/hyperlink" Target="https://drive.google.com/file/d/1kHDY-lRym3xKKlV1J1NUvrQaavFz-Jqy/view?usp=drivesdk" TargetMode="External"/><Relationship Id="rId1674" Type="http://schemas.openxmlformats.org/officeDocument/2006/relationships/hyperlink" Target="https://drive.google.com/file/d/1qZvdHTHW2LVq1f4M68kMDX3sCCEZ5jmB/view?usp=drivesdk" TargetMode="External"/><Relationship Id="rId12255" Type="http://schemas.openxmlformats.org/officeDocument/2006/relationships/hyperlink" Target="https://drive.google.com/file/d/1AR6siu_tIXvLQfC1Kbj6CcQYbjrpSiOs/view?usp=drivesdk" TargetMode="External"/><Relationship Id="rId13586" Type="http://schemas.openxmlformats.org/officeDocument/2006/relationships/hyperlink" Target="https://drive.google.com/file/d/1Nknj9a0u1gnUnpkuDEo2UVbEzwtC64eQ/view?usp=drivesdk" TargetMode="External"/><Relationship Id="rId1664" Type="http://schemas.openxmlformats.org/officeDocument/2006/relationships/hyperlink" Target="https://drive.google.com/file/d/1EOFSGCaG8Im0wmE5y-x9O1mW0VYe8Nf9/view?usp=drivesdk" TargetMode="External"/><Relationship Id="rId2995" Type="http://schemas.openxmlformats.org/officeDocument/2006/relationships/hyperlink" Target="https://drive.google.com/file/d/1W9VOUU5rh4vLXNA01wIJj944IoGGuuMT/view?usp=drivesdk" TargetMode="External"/><Relationship Id="rId1665" Type="http://schemas.openxmlformats.org/officeDocument/2006/relationships/hyperlink" Target="https://drive.google.com/file/d/1uBD4AB4TL0jfv0TOZtE5vs4J3AI36v-p/view?usp=drivesdk" TargetMode="External"/><Relationship Id="rId2996" Type="http://schemas.openxmlformats.org/officeDocument/2006/relationships/hyperlink" Target="https://drive.google.com/file/d/1mel4vhoNGJqtSR23MDc-v1E1BIoC8CVE/view?usp=drivesdk" TargetMode="External"/><Relationship Id="rId1666" Type="http://schemas.openxmlformats.org/officeDocument/2006/relationships/hyperlink" Target="https://drive.google.com/file/d/1RnC8Cwi9z5_28NPkZ9mnHS1Xz7sJD1CW/view?usp=drivesdk" TargetMode="External"/><Relationship Id="rId2997" Type="http://schemas.openxmlformats.org/officeDocument/2006/relationships/hyperlink" Target="https://drive.google.com/file/d/1RZX2PGEVzn8oFZPOxi2U5OCHBFoz94DP/view?usp=drivesdk" TargetMode="External"/><Relationship Id="rId1667" Type="http://schemas.openxmlformats.org/officeDocument/2006/relationships/hyperlink" Target="https://drive.google.com/file/d/1kgH9Q0pAuGEleVewaR-mELpfbh_BFRkT/view?usp=drivesdk" TargetMode="External"/><Relationship Id="rId2998" Type="http://schemas.openxmlformats.org/officeDocument/2006/relationships/hyperlink" Target="https://drive.google.com/file/d/1A2s0s5twtYOMG0i9Vw6STvbL-A2QMdTX/view?usp=drivesdk" TargetMode="External"/><Relationship Id="rId1668" Type="http://schemas.openxmlformats.org/officeDocument/2006/relationships/hyperlink" Target="https://drive.google.com/file/d/1QAsqpO3vrq8ifV7G1ROiQYdI6l4impJP/view?usp=drivesdk" TargetMode="External"/><Relationship Id="rId2999" Type="http://schemas.openxmlformats.org/officeDocument/2006/relationships/hyperlink" Target="https://drive.google.com/file/d/142z_loEOk5hyFoqk1yuQ9wJtQMFHx-xA/view?usp=drivesdk" TargetMode="External"/><Relationship Id="rId12272" Type="http://schemas.openxmlformats.org/officeDocument/2006/relationships/hyperlink" Target="https://drive.google.com/file/d/1CBBmUPawXyvkCigjKdZEaSAfSgbRMnXp/view?usp=drivesdk" TargetMode="External"/><Relationship Id="rId1669" Type="http://schemas.openxmlformats.org/officeDocument/2006/relationships/hyperlink" Target="https://drive.google.com/file/d/1NRpo5WIdAybaremoRKmUc6pNLZl9uXNY/view?usp=drivesdk" TargetMode="External"/><Relationship Id="rId12271" Type="http://schemas.openxmlformats.org/officeDocument/2006/relationships/hyperlink" Target="https://drive.google.com/file/d/1d1NUAmQdUGzozvPS3Qqk82DP5rUaeXo_/view?usp=drivesdk" TargetMode="External"/><Relationship Id="rId12270" Type="http://schemas.openxmlformats.org/officeDocument/2006/relationships/hyperlink" Target="https://drive.google.com/file/d/1u2aNhwc2760DzGv4pW8_WQ_ZAYbYlSI0/view?usp=drivesdk" TargetMode="External"/><Relationship Id="rId12265" Type="http://schemas.openxmlformats.org/officeDocument/2006/relationships/hyperlink" Target="https://drive.google.com/file/d/1GgGbllta1J3f2YDiHMkCxAZvD8XnnJbr/view?usp=drivesdk" TargetMode="External"/><Relationship Id="rId13596" Type="http://schemas.openxmlformats.org/officeDocument/2006/relationships/hyperlink" Target="https://drive.google.com/file/d/1E6-70qwOy69rKmA7xj83i0qXeWky55z-/view?usp=drivesdk" TargetMode="External"/><Relationship Id="rId12264" Type="http://schemas.openxmlformats.org/officeDocument/2006/relationships/hyperlink" Target="https://drive.google.com/file/d/1AvTaNepxL9hrbulpLASQra8S9FSyLO74/view?usp=drivesdk" TargetMode="External"/><Relationship Id="rId13595" Type="http://schemas.openxmlformats.org/officeDocument/2006/relationships/hyperlink" Target="https://drive.google.com/file/d/1BcwDlHyD05JB_7DvMUXVR075qim9zJvj/view?usp=drivesdk" TargetMode="External"/><Relationship Id="rId12263" Type="http://schemas.openxmlformats.org/officeDocument/2006/relationships/hyperlink" Target="https://drive.google.com/file/d/1aYcuUegZb1tqc4cMT1AJ1qLF7A6jpEAd/view?usp=drivesdk" TargetMode="External"/><Relationship Id="rId13594" Type="http://schemas.openxmlformats.org/officeDocument/2006/relationships/hyperlink" Target="https://drive.google.com/file/d/1Q6xq1eljUtN1vgSm9LHxm9-grEw9zI4w/view?usp=drivesdk" TargetMode="External"/><Relationship Id="rId2990" Type="http://schemas.openxmlformats.org/officeDocument/2006/relationships/hyperlink" Target="https://drive.google.com/file/d/1mCv6LJIF3tYa5OjnSqrLY9YFKSOizrjJ/view?usp=drivesdk" TargetMode="External"/><Relationship Id="rId12262" Type="http://schemas.openxmlformats.org/officeDocument/2006/relationships/hyperlink" Target="https://drive.google.com/file/d/1SMcjsmlIXytK25xkTm1EO6kk2tmOlRvv/view?usp=drivesdk" TargetMode="External"/><Relationship Id="rId13593" Type="http://schemas.openxmlformats.org/officeDocument/2006/relationships/hyperlink" Target="https://drive.google.com/file/d/1BLQYh1ZBqqhFQ5-YHE47RA624y4VKUoi/view?usp=drivesdk" TargetMode="External"/><Relationship Id="rId1660" Type="http://schemas.openxmlformats.org/officeDocument/2006/relationships/hyperlink" Target="https://drive.google.com/file/d/1poR0rpJSepZgrQ7VNjcVIBHWVSF28o69/view?usp=drivesdk" TargetMode="External"/><Relationship Id="rId2991" Type="http://schemas.openxmlformats.org/officeDocument/2006/relationships/hyperlink" Target="https://drive.google.com/file/d/1fa-P4B0UDWnPpnb2bHY4zhvnp_7NlKHd/view?usp=drivesdk" TargetMode="External"/><Relationship Id="rId12269" Type="http://schemas.openxmlformats.org/officeDocument/2006/relationships/hyperlink" Target="https://drive.google.com/file/d/1p5cUHuwFq35MC-I5yvDyHtd564iEzzsS/view?usp=drivesdk" TargetMode="External"/><Relationship Id="rId1661" Type="http://schemas.openxmlformats.org/officeDocument/2006/relationships/hyperlink" Target="https://drive.google.com/file/d/1WaqqalPaSxbee2AwHpZ_WsROqM9iWUBa/view?usp=drivesdk" TargetMode="External"/><Relationship Id="rId2992" Type="http://schemas.openxmlformats.org/officeDocument/2006/relationships/hyperlink" Target="https://drive.google.com/file/d/12BZ_slDxrZYfn2WE0jegyItE9f_3Dlec/view?usp=drivesdk" TargetMode="External"/><Relationship Id="rId12268" Type="http://schemas.openxmlformats.org/officeDocument/2006/relationships/hyperlink" Target="https://drive.google.com/file/d/1RP5HMojJcPvMjWBXVB4gSEt5bhXYz-je/view?usp=drivesdk" TargetMode="External"/><Relationship Id="rId13599" Type="http://schemas.openxmlformats.org/officeDocument/2006/relationships/hyperlink" Target="https://drive.google.com/file/d/1zHGBs-k25s1QzZTutNVxpiiTv-lz_zNB/view?usp=drivesdk" TargetMode="External"/><Relationship Id="rId1662" Type="http://schemas.openxmlformats.org/officeDocument/2006/relationships/hyperlink" Target="https://drive.google.com/file/d/1fvlYNkPFQXlGOe7iKupkuIqjJyeyafoE/view?usp=drivesdk" TargetMode="External"/><Relationship Id="rId2993" Type="http://schemas.openxmlformats.org/officeDocument/2006/relationships/hyperlink" Target="https://drive.google.com/file/d/1y6b2X_PQFE3eK2Pw1rP9EFiLsHjO-JrW/view?usp=drivesdk" TargetMode="External"/><Relationship Id="rId12267" Type="http://schemas.openxmlformats.org/officeDocument/2006/relationships/hyperlink" Target="https://drive.google.com/file/d/1yRO7YbSNrn6t6Jm-UovQnesPkZUOXvJq/view?usp=drivesdk" TargetMode="External"/><Relationship Id="rId13598" Type="http://schemas.openxmlformats.org/officeDocument/2006/relationships/hyperlink" Target="https://drive.google.com/file/d/1_kWyM2x_b2WFFjka9FvHjh6WdoaQLGgj/view?usp=drivesdk" TargetMode="External"/><Relationship Id="rId1663" Type="http://schemas.openxmlformats.org/officeDocument/2006/relationships/hyperlink" Target="https://drive.google.com/file/d/1dSwLno7X4vo92HXRPNOu6b_1QXtXrMiE/view?usp=drivesdk" TargetMode="External"/><Relationship Id="rId2994" Type="http://schemas.openxmlformats.org/officeDocument/2006/relationships/hyperlink" Target="https://drive.google.com/file/d/16xptAcu0RZYqqWMXeQDBpLock6NshKam/view?usp=drivesdk" TargetMode="External"/><Relationship Id="rId12266" Type="http://schemas.openxmlformats.org/officeDocument/2006/relationships/hyperlink" Target="https://drive.google.com/file/d/1DJ_xAmgqi5Mbz9YIxgsLD-ChkWR-xpBh/view?usp=drivesdk" TargetMode="External"/><Relationship Id="rId13597" Type="http://schemas.openxmlformats.org/officeDocument/2006/relationships/hyperlink" Target="https://drive.google.com/file/d/1TzVicaLRbzFqxBbFXAGO3tb81Cgf4EWc/view?usp=drivesdk" TargetMode="External"/><Relationship Id="rId13527" Type="http://schemas.openxmlformats.org/officeDocument/2006/relationships/hyperlink" Target="https://drive.google.com/file/d/1CB42-YENI5gSOLzMazxsb-5eEY87yQ1r/view?usp=drivesdk" TargetMode="External"/><Relationship Id="rId13526" Type="http://schemas.openxmlformats.org/officeDocument/2006/relationships/hyperlink" Target="https://drive.google.com/file/d/1uE3aOe6TVdEZZaFxgOQzqTVKPW3Yrfy7/view?usp=drivesdk" TargetMode="External"/><Relationship Id="rId13525" Type="http://schemas.openxmlformats.org/officeDocument/2006/relationships/hyperlink" Target="https://drive.google.com/file/d/1By-zxiOWH4zHWanTpstHGqa285ZfnKG6/view?usp=drivesdk" TargetMode="External"/><Relationship Id="rId13524" Type="http://schemas.openxmlformats.org/officeDocument/2006/relationships/hyperlink" Target="https://drive.google.com/file/d/1MUya6Fjps_yowD7ePsLwljbS0LUSer6H/view?usp=drivesdk" TargetMode="External"/><Relationship Id="rId13529" Type="http://schemas.openxmlformats.org/officeDocument/2006/relationships/hyperlink" Target="https://drive.google.com/file/d/19-Ob08sA9LotqOc79BeBAvafzsy2_fVV/view?usp=drivesdk" TargetMode="External"/><Relationship Id="rId13528" Type="http://schemas.openxmlformats.org/officeDocument/2006/relationships/hyperlink" Target="https://drive.google.com/file/d/1M31J_SC8_cSm9uHAgQ3B2J5QQElit7jj/view?usp=drivesdk" TargetMode="External"/><Relationship Id="rId13523" Type="http://schemas.openxmlformats.org/officeDocument/2006/relationships/hyperlink" Target="https://drive.google.com/file/d/1LXgC0F39zAM1yIb7vBEPROSyI0v-G0NX/view?usp=drivesdk" TargetMode="External"/><Relationship Id="rId13522" Type="http://schemas.openxmlformats.org/officeDocument/2006/relationships/hyperlink" Target="https://drive.google.com/file/d/1HhcHXqwGlUDhWyDUgTCgUTmRItmKyXZp/view?usp=drivesdk" TargetMode="External"/><Relationship Id="rId13521" Type="http://schemas.openxmlformats.org/officeDocument/2006/relationships/hyperlink" Target="https://drive.google.com/file/d/1PBnHJwp2BdS5bTviKeZsKpIY4pVSFmEp/view?usp=drivesdk" TargetMode="External"/><Relationship Id="rId13520" Type="http://schemas.openxmlformats.org/officeDocument/2006/relationships/hyperlink" Target="https://drive.google.com/file/d/1hsMfWcEHwl5qUoAuJ9jNaqFsI4uFB5BW/view?usp=drivesdk" TargetMode="External"/><Relationship Id="rId12207" Type="http://schemas.openxmlformats.org/officeDocument/2006/relationships/hyperlink" Target="https://drive.google.com/file/d/1oM47pddroAMcX2LRXMLBDMPZnaY6hl4G/view?usp=drivesdk" TargetMode="External"/><Relationship Id="rId13538" Type="http://schemas.openxmlformats.org/officeDocument/2006/relationships/hyperlink" Target="https://drive.google.com/file/d/1qqFFv1Vqw38oPMdx0l3FZVbAfRgLk_U-/view?usp=drivesdk" TargetMode="External"/><Relationship Id="rId12206" Type="http://schemas.openxmlformats.org/officeDocument/2006/relationships/hyperlink" Target="https://drive.google.com/file/d/1m3HsiFuzTx2fR2NMQ5uln6OuLpZ_JMhv/view?usp=drivesdk" TargetMode="External"/><Relationship Id="rId13537" Type="http://schemas.openxmlformats.org/officeDocument/2006/relationships/hyperlink" Target="https://drive.google.com/file/d/1jRumkoX9a6_qFr9vJljKx1GqUsKDrhIf/view?usp=drivesdk" TargetMode="External"/><Relationship Id="rId12205" Type="http://schemas.openxmlformats.org/officeDocument/2006/relationships/hyperlink" Target="https://drive.google.com/file/d/1J0z0FnhcksbUG6kyFDdnXbUf2K6ilUwe/view?usp=drivesdk" TargetMode="External"/><Relationship Id="rId13536" Type="http://schemas.openxmlformats.org/officeDocument/2006/relationships/hyperlink" Target="https://drive.google.com/file/d/1xYJcG3tKHWk4n0Dl4HUEbZjhs35JdYK7/view?usp=drivesdk" TargetMode="External"/><Relationship Id="rId12204" Type="http://schemas.openxmlformats.org/officeDocument/2006/relationships/hyperlink" Target="https://drive.google.com/file/d/1i-MoystIpI9xEN6hdqU_WZdpPOFjZ2aL/view?usp=drivesdk" TargetMode="External"/><Relationship Id="rId13535" Type="http://schemas.openxmlformats.org/officeDocument/2006/relationships/hyperlink" Target="https://drive.google.com/file/d/1rMjZIwvJ7TTLcSAAdjlwU3Udeg4Q2hG1/view?usp=drivesdk" TargetMode="External"/><Relationship Id="rId12209" Type="http://schemas.openxmlformats.org/officeDocument/2006/relationships/hyperlink" Target="https://drive.google.com/file/d/1NIxndNnvejIXbNXD72jWZlF8fHqjwYuN/view?usp=drivesdk" TargetMode="External"/><Relationship Id="rId12208" Type="http://schemas.openxmlformats.org/officeDocument/2006/relationships/hyperlink" Target="https://drive.google.com/file/d/1awcNfZk-29oPeQxxIFOovME-PcVs_uJv/view?usp=drivesdk" TargetMode="External"/><Relationship Id="rId13539" Type="http://schemas.openxmlformats.org/officeDocument/2006/relationships/hyperlink" Target="https://drive.google.com/file/d/1dBOfuBJ9WXujwzhgIFIszCHV9m0i37_G/view?usp=drivesdk" TargetMode="External"/><Relationship Id="rId13530" Type="http://schemas.openxmlformats.org/officeDocument/2006/relationships/hyperlink" Target="https://drive.google.com/file/d/1m2wd32g_ZXaniI9DGQlKAM3qDs6jAaEx/view?usp=drivesdk" TargetMode="External"/><Relationship Id="rId12203" Type="http://schemas.openxmlformats.org/officeDocument/2006/relationships/hyperlink" Target="https://drive.google.com/file/d/1NYpO4VzyqmIQPDI_gUQLfolFKUoJvwn-/view?usp=drivesdk" TargetMode="External"/><Relationship Id="rId13534" Type="http://schemas.openxmlformats.org/officeDocument/2006/relationships/hyperlink" Target="https://drive.google.com/file/d/1Srbk9G63q3ZLGbXCOox2VQZ_lvgdBOyZ/view?usp=drivesdk" TargetMode="External"/><Relationship Id="rId12202" Type="http://schemas.openxmlformats.org/officeDocument/2006/relationships/hyperlink" Target="https://drive.google.com/file/d/13rVOBuv1nK0mqgWwXjgZ_OIWN31mhMYx/view?usp=drivesdk" TargetMode="External"/><Relationship Id="rId13533" Type="http://schemas.openxmlformats.org/officeDocument/2006/relationships/hyperlink" Target="https://drive.google.com/file/d/1Iar-40bJX_WsLTzNL9IMTZ7nh9IiBPfa/view?usp=drivesdk" TargetMode="External"/><Relationship Id="rId12201" Type="http://schemas.openxmlformats.org/officeDocument/2006/relationships/hyperlink" Target="https://drive.google.com/file/d/1NfZoEojYo6l__r4M_BZJCY0gsr5HWjkP/view?usp=drivesdk" TargetMode="External"/><Relationship Id="rId13532" Type="http://schemas.openxmlformats.org/officeDocument/2006/relationships/hyperlink" Target="https://drive.google.com/file/d/1EOIXrdBgy7oArzdAPj392eM7cR-UtIS4/view?usp=drivesdk" TargetMode="External"/><Relationship Id="rId12200" Type="http://schemas.openxmlformats.org/officeDocument/2006/relationships/hyperlink" Target="https://drive.google.com/file/d/1r3uECoiweTW5MTD8JxzBEHO5VarrZ6Fm/view?usp=drivesdk" TargetMode="External"/><Relationship Id="rId13531" Type="http://schemas.openxmlformats.org/officeDocument/2006/relationships/hyperlink" Target="https://drive.google.com/file/d/1ak7kULlw3S4Bt-AqkUENbRIaEPnFS820/view?usp=drivesdk" TargetMode="External"/><Relationship Id="rId13505" Type="http://schemas.openxmlformats.org/officeDocument/2006/relationships/hyperlink" Target="https://drive.google.com/file/d/1S1w9vYL-akSEJ0R7vToFQWxuXnWkGhB2/view?usp=drivesdk" TargetMode="External"/><Relationship Id="rId13504" Type="http://schemas.openxmlformats.org/officeDocument/2006/relationships/hyperlink" Target="https://drive.google.com/file/d/1RUdIjCa4ThDyGp8pU9pad2LTNLJucvQf/view?usp=drivesdk" TargetMode="External"/><Relationship Id="rId13503" Type="http://schemas.openxmlformats.org/officeDocument/2006/relationships/hyperlink" Target="https://drive.google.com/file/d/1lJ6HSyAnWxDb113sfr_utbJE4CL8B4p4/view?usp=drivesdk" TargetMode="External"/><Relationship Id="rId13502" Type="http://schemas.openxmlformats.org/officeDocument/2006/relationships/hyperlink" Target="https://drive.google.com/file/d/1HuWWGY9OsOJj2WcM6dvQGAK4QsGgqg_t/view?usp=drivesdk" TargetMode="External"/><Relationship Id="rId13509" Type="http://schemas.openxmlformats.org/officeDocument/2006/relationships/hyperlink" Target="https://drive.google.com/file/d/15m1kM7w_2w-y2HBUMWTjwz2TVCdxP70U/view?usp=drivesdk" TargetMode="External"/><Relationship Id="rId13508" Type="http://schemas.openxmlformats.org/officeDocument/2006/relationships/hyperlink" Target="https://drive.google.com/file/d/1MrVsAT_8ydkHFDobiaCrmhcIKYErXQZf/view?usp=drivesdk" TargetMode="External"/><Relationship Id="rId13507" Type="http://schemas.openxmlformats.org/officeDocument/2006/relationships/hyperlink" Target="https://drive.google.com/file/d/1VuwWwGgq9v77MC2RGGd-C-cGFqFl4HGm/view?usp=drivesdk" TargetMode="External"/><Relationship Id="rId13506" Type="http://schemas.openxmlformats.org/officeDocument/2006/relationships/hyperlink" Target="https://drive.google.com/file/d/1fi8YQESJ9E7QJ2GvXarfpcu_noovuo5W/view?usp=drivesdk" TargetMode="External"/><Relationship Id="rId13501" Type="http://schemas.openxmlformats.org/officeDocument/2006/relationships/hyperlink" Target="https://drive.google.com/file/d/1a_zkLpqRXd0Xqt5-3prxAdkm7aFkjQkY/view?usp=drivesdk" TargetMode="External"/><Relationship Id="rId13500" Type="http://schemas.openxmlformats.org/officeDocument/2006/relationships/hyperlink" Target="https://drive.google.com/file/d/1yYMh75nNQCRvMgbicZaDOrbFXgIQKe2n/view?usp=drivesdk" TargetMode="External"/><Relationship Id="rId13516" Type="http://schemas.openxmlformats.org/officeDocument/2006/relationships/hyperlink" Target="https://drive.google.com/file/d/1TrHIZfrZfuHewnehoUg014Q3fVZzRhBt/view?usp=drivesdk" TargetMode="External"/><Relationship Id="rId13515" Type="http://schemas.openxmlformats.org/officeDocument/2006/relationships/hyperlink" Target="https://drive.google.com/file/d/1pGo8qcr75qxtKbjdxKQtA_WKDyLfjudL/view?usp=drivesdk" TargetMode="External"/><Relationship Id="rId13514" Type="http://schemas.openxmlformats.org/officeDocument/2006/relationships/hyperlink" Target="https://drive.google.com/file/d/18XPlQkUCqkCJWJJR1AHKpx800JwdS-lO/view?usp=drivesdk" TargetMode="External"/><Relationship Id="rId13513" Type="http://schemas.openxmlformats.org/officeDocument/2006/relationships/hyperlink" Target="https://drive.google.com/file/d/1TqQ2mnir8qfSj9LAjkf0bDAofSIgYAgG/view?usp=drivesdk" TargetMode="External"/><Relationship Id="rId13519" Type="http://schemas.openxmlformats.org/officeDocument/2006/relationships/hyperlink" Target="https://drive.google.com/file/d/1yfT77rEo4nPGDsRntN2nRjl8NntqakR4/view?usp=drivesdk" TargetMode="External"/><Relationship Id="rId13518" Type="http://schemas.openxmlformats.org/officeDocument/2006/relationships/hyperlink" Target="https://drive.google.com/file/d/1xcjapjReT6Q7oAL4XnbodcVb788ifpAC/view?usp=drivesdk" TargetMode="External"/><Relationship Id="rId13517" Type="http://schemas.openxmlformats.org/officeDocument/2006/relationships/hyperlink" Target="https://drive.google.com/file/d/1xXIMKdwLlEniE8im-_LLpGDy6-GXZfCh/view?usp=drivesdk" TargetMode="External"/><Relationship Id="rId13512" Type="http://schemas.openxmlformats.org/officeDocument/2006/relationships/hyperlink" Target="https://drive.google.com/file/d/1mdUAPTIFDADeLLQpaFNWzOC5DtOESGY0/view?usp=drivesdk" TargetMode="External"/><Relationship Id="rId13511" Type="http://schemas.openxmlformats.org/officeDocument/2006/relationships/hyperlink" Target="https://drive.google.com/file/d/1GEePeR8HkdLlUo6LA7zS1xQju7mQJkqf/view?usp=drivesdk" TargetMode="External"/><Relationship Id="rId13510" Type="http://schemas.openxmlformats.org/officeDocument/2006/relationships/hyperlink" Target="https://drive.google.com/file/d/1k7uQZcAS2uBel5OFnTjJrn7JCrpYjg1I/view?usp=drivesdk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s://drive.google.com/file/d/16ZLYZK57MjexrNQdraLOTgdNbrwK_pDt/view?usp=drivesdk" TargetMode="External"/><Relationship Id="rId194" Type="http://schemas.openxmlformats.org/officeDocument/2006/relationships/hyperlink" Target="https://drive.google.com/file/d/1NWCWz-UYq_kEJ5jVgR9IuMD4f17mM1ck/view?usp=drivesdk" TargetMode="External"/><Relationship Id="rId193" Type="http://schemas.openxmlformats.org/officeDocument/2006/relationships/hyperlink" Target="https://drive.google.com/file/d/1DxJuiI0q1mMnaE3cZcbs4KV8aErU26Ze/view?usp=drivesdk" TargetMode="External"/><Relationship Id="rId192" Type="http://schemas.openxmlformats.org/officeDocument/2006/relationships/hyperlink" Target="https://drive.google.com/file/d/1xyPTGdEMZMLoVjorKtuqqAuzLTKikquA/view?usp=drivesdk" TargetMode="External"/><Relationship Id="rId191" Type="http://schemas.openxmlformats.org/officeDocument/2006/relationships/hyperlink" Target="https://drive.google.com/file/d/1ihC2ktFj48zebxDg4wX6LyVCe6OK616Z/view?usp=drivesdk" TargetMode="External"/><Relationship Id="rId187" Type="http://schemas.openxmlformats.org/officeDocument/2006/relationships/hyperlink" Target="https://drive.google.com/file/d/1rap3NUtKrfNtoK0N7BAlDkBgMK7btSN_/view?usp=drivesdk" TargetMode="External"/><Relationship Id="rId186" Type="http://schemas.openxmlformats.org/officeDocument/2006/relationships/hyperlink" Target="https://drive.google.com/file/d/1tpOas9cMZTFyIzAHy-EwyBxYSwhDgm9p/view?usp=drivesdk" TargetMode="External"/><Relationship Id="rId185" Type="http://schemas.openxmlformats.org/officeDocument/2006/relationships/hyperlink" Target="https://drive.google.com/file/d/1Tb5T-Kzb00MwgEcgTPC6OqXlKeND55Fh/view?usp=drivesdk" TargetMode="External"/><Relationship Id="rId184" Type="http://schemas.openxmlformats.org/officeDocument/2006/relationships/hyperlink" Target="https://drive.google.com/file/d/1l9xk8O_fy6TNA7KxjOg005B8PqmosYN8/view?usp=drivesdk" TargetMode="External"/><Relationship Id="rId189" Type="http://schemas.openxmlformats.org/officeDocument/2006/relationships/hyperlink" Target="https://drive.google.com/file/d/1mqWU4DT8MmtfVIM7TiDAFSBiPH8blF0G/view?usp=drivesdk" TargetMode="External"/><Relationship Id="rId188" Type="http://schemas.openxmlformats.org/officeDocument/2006/relationships/hyperlink" Target="https://drive.google.com/file/d/13CjzLWq0HMRpv87-8e4RYoZfsgkfu-iT/view?usp=drivesdk" TargetMode="External"/><Relationship Id="rId183" Type="http://schemas.openxmlformats.org/officeDocument/2006/relationships/hyperlink" Target="https://drive.google.com/file/d/1p9c6T2-8t-DFN3TDmvqaLEpUwbbH1vq1/view?usp=drivesdk" TargetMode="External"/><Relationship Id="rId182" Type="http://schemas.openxmlformats.org/officeDocument/2006/relationships/hyperlink" Target="https://drive.google.com/file/d/1DTFaMaEPBOpHkM0r-wQdnilN1b_MVoL3/view?usp=drivesdk" TargetMode="External"/><Relationship Id="rId181" Type="http://schemas.openxmlformats.org/officeDocument/2006/relationships/hyperlink" Target="https://drive.google.com/file/d/1e0TuaP9TOqyk7TZpxDXih4cpvo6xJhxQ/view?usp=drivesdk" TargetMode="External"/><Relationship Id="rId180" Type="http://schemas.openxmlformats.org/officeDocument/2006/relationships/hyperlink" Target="https://drive.google.com/file/d/14wL6c96MskOU-0N39fKIOOXQVKK_m2wO/view?usp=drivesdk" TargetMode="External"/><Relationship Id="rId176" Type="http://schemas.openxmlformats.org/officeDocument/2006/relationships/hyperlink" Target="https://drive.google.com/file/d/1pGKXPd-u1zfIMBA0dQBKXCYOfVdX_lK3/view?usp=drivesdk" TargetMode="External"/><Relationship Id="rId175" Type="http://schemas.openxmlformats.org/officeDocument/2006/relationships/hyperlink" Target="https://drive.google.com/file/d/1Dhkehh3zHXq3A5lAjgdW36ES6DAOpYtL/view?usp=drivesdk" TargetMode="External"/><Relationship Id="rId174" Type="http://schemas.openxmlformats.org/officeDocument/2006/relationships/hyperlink" Target="https://drive.google.com/file/d/1_0uJ80LsoKYeKc7sRG7tHo0RZ0qhj8Ot/view?usp=drivesdk" TargetMode="External"/><Relationship Id="rId173" Type="http://schemas.openxmlformats.org/officeDocument/2006/relationships/hyperlink" Target="https://drive.google.com/file/d/1fZiJ2aVY6ZMyAbAZdQ4igjrjC3MeTRrQ/view?usp=drivesdk" TargetMode="External"/><Relationship Id="rId179" Type="http://schemas.openxmlformats.org/officeDocument/2006/relationships/hyperlink" Target="https://drive.google.com/file/d/1L5X21hadCnODsrGXWzX-1D9RPeraPABU/view?usp=drivesdk" TargetMode="External"/><Relationship Id="rId178" Type="http://schemas.openxmlformats.org/officeDocument/2006/relationships/hyperlink" Target="https://drive.google.com/file/d/1X7l9OwwRZyCdcsQKlDiqdKjoT-1Mt4Vu/view?usp=drivesdk" TargetMode="External"/><Relationship Id="rId177" Type="http://schemas.openxmlformats.org/officeDocument/2006/relationships/hyperlink" Target="https://drive.google.com/file/d/1ZDQrYVgNiqBiQa7SYQ2OlINd1p-4XcN6/view?usp=drivesdk" TargetMode="External"/><Relationship Id="rId198" Type="http://schemas.openxmlformats.org/officeDocument/2006/relationships/hyperlink" Target="https://drive.google.com/file/d/1qZL51--OvB0hgz1D0HArNYqWsF30nnQF/view?usp=drivesdk" TargetMode="External"/><Relationship Id="rId197" Type="http://schemas.openxmlformats.org/officeDocument/2006/relationships/hyperlink" Target="https://drive.google.com/file/d/1wwyBrAxW7s_Oyc-CYPX8cUCe60ov_0Yt/view?usp=drivesdk" TargetMode="External"/><Relationship Id="rId196" Type="http://schemas.openxmlformats.org/officeDocument/2006/relationships/hyperlink" Target="https://drive.google.com/file/d/1pRBfVpVOIXSN4xbledIH2KPmONGQLtDg/view?usp=drivesdk" TargetMode="External"/><Relationship Id="rId195" Type="http://schemas.openxmlformats.org/officeDocument/2006/relationships/hyperlink" Target="https://drive.google.com/file/d/1c7guYdWd2zJAB_zuI3QTSnvJVCYl8bZk/view?usp=drivesdk" TargetMode="External"/><Relationship Id="rId199" Type="http://schemas.openxmlformats.org/officeDocument/2006/relationships/hyperlink" Target="https://drive.google.com/file/d/1lAjOLPvHfCXcWdCy71dbcE1WJF_Z5xje/view?usp=drivesdk" TargetMode="External"/><Relationship Id="rId150" Type="http://schemas.openxmlformats.org/officeDocument/2006/relationships/hyperlink" Target="https://drive.google.com/file/d/1m_6_ZiKbSpVDPu9bOJ7JHNsSk6gzyyq8/view?usp=drivesdk" TargetMode="External"/><Relationship Id="rId149" Type="http://schemas.openxmlformats.org/officeDocument/2006/relationships/hyperlink" Target="https://drive.google.com/file/d/15sOIl5sqW5GLl6KGMcjFopWv-GPv7T85/view?usp=drivesdk" TargetMode="External"/><Relationship Id="rId148" Type="http://schemas.openxmlformats.org/officeDocument/2006/relationships/hyperlink" Target="https://drive.google.com/file/d/1T67Zom4EkSxrFPQ-NcKvrfl8qLT9w-VR/view?usp=drivesdk" TargetMode="External"/><Relationship Id="rId143" Type="http://schemas.openxmlformats.org/officeDocument/2006/relationships/hyperlink" Target="https://drive.google.com/file/d/1Agdtr2or4Tm0VK1qDrHNnny2x0oLur1-/view?usp=drivesdk" TargetMode="External"/><Relationship Id="rId142" Type="http://schemas.openxmlformats.org/officeDocument/2006/relationships/hyperlink" Target="https://drive.google.com/file/d/1u6-p9X7iFFtYg9qQ3z6cLLXuE5H8b-PA/view?usp=drivesdk" TargetMode="External"/><Relationship Id="rId141" Type="http://schemas.openxmlformats.org/officeDocument/2006/relationships/hyperlink" Target="https://drive.google.com/file/d/1KMiMIZmX3w7NFucXHqN3aANxvaDoBmEV/view?usp=drivesdk" TargetMode="External"/><Relationship Id="rId140" Type="http://schemas.openxmlformats.org/officeDocument/2006/relationships/hyperlink" Target="https://drive.google.com/file/d/18sNs52-icVQ7tjF5R0zuP-lqlGjny6aV/view?usp=drivesdk" TargetMode="External"/><Relationship Id="rId147" Type="http://schemas.openxmlformats.org/officeDocument/2006/relationships/hyperlink" Target="https://drive.google.com/file/d/102gfRy2DX28pb69ky27ipeR9BHSxlz4i/view?usp=drivesdk" TargetMode="External"/><Relationship Id="rId146" Type="http://schemas.openxmlformats.org/officeDocument/2006/relationships/hyperlink" Target="https://drive.google.com/file/d/1Sn0mbuul5gML1aNXKsL-ILmc3kgndPkp/view?usp=drivesdk" TargetMode="External"/><Relationship Id="rId145" Type="http://schemas.openxmlformats.org/officeDocument/2006/relationships/hyperlink" Target="https://drive.google.com/file/d/1cucldBBAvVluI1HYuiGsz_VRBrRVIfYc/view?usp=drivesdk" TargetMode="External"/><Relationship Id="rId144" Type="http://schemas.openxmlformats.org/officeDocument/2006/relationships/hyperlink" Target="https://drive.google.com/file/d/1UeIFDraBc4i7mLWB2eHN-1VvNqZp1yrj/view?usp=drivesdk" TargetMode="External"/><Relationship Id="rId139" Type="http://schemas.openxmlformats.org/officeDocument/2006/relationships/hyperlink" Target="https://drive.google.com/file/d/1jL24LtjFvD1wahpMsDDiHBNzCZ6jN-r5/view?usp=drivesdk" TargetMode="External"/><Relationship Id="rId138" Type="http://schemas.openxmlformats.org/officeDocument/2006/relationships/hyperlink" Target="https://drive.google.com/file/d/1xQSu1rbZvSNIXkk6RW6L83D9zVAaUfha/view?usp=drivesdk" TargetMode="External"/><Relationship Id="rId137" Type="http://schemas.openxmlformats.org/officeDocument/2006/relationships/hyperlink" Target="https://drive.google.com/file/d/1p7fkGVt8f7z4hyepQqsPy0bjCBwTCqGT/view?usp=drivesdk" TargetMode="External"/><Relationship Id="rId132" Type="http://schemas.openxmlformats.org/officeDocument/2006/relationships/hyperlink" Target="https://drive.google.com/file/d/1oyW9yfflZBVTrWqrPt64yRQ1cPH4JVLh/view?usp=drivesdk" TargetMode="External"/><Relationship Id="rId131" Type="http://schemas.openxmlformats.org/officeDocument/2006/relationships/hyperlink" Target="https://drive.google.com/file/d/1_b77EptwWaCHcodDGHP0BNhbocJ8wr0x/view?usp=drivesdk" TargetMode="External"/><Relationship Id="rId130" Type="http://schemas.openxmlformats.org/officeDocument/2006/relationships/hyperlink" Target="https://drive.google.com/file/d/1nUrxKyNr6MWxphSI-GxuzBt_85mGzhen/view?usp=drivesdk" TargetMode="External"/><Relationship Id="rId136" Type="http://schemas.openxmlformats.org/officeDocument/2006/relationships/hyperlink" Target="https://drive.google.com/file/d/1cX9WIldZPP1YTAcf4UhMvOcJIlil_E6k/view?usp=drivesdk" TargetMode="External"/><Relationship Id="rId135" Type="http://schemas.openxmlformats.org/officeDocument/2006/relationships/hyperlink" Target="https://drive.google.com/file/d/184t0RnoelMiIAnHi95k2pczszY1U5wll/view?usp=drivesdk" TargetMode="External"/><Relationship Id="rId134" Type="http://schemas.openxmlformats.org/officeDocument/2006/relationships/hyperlink" Target="https://drive.google.com/file/d/1MOhvoeL1LWpTVGY1QeIo7lz0D49POIqD/view?usp=drivesdk" TargetMode="External"/><Relationship Id="rId133" Type="http://schemas.openxmlformats.org/officeDocument/2006/relationships/hyperlink" Target="https://drive.google.com/file/d/18yFpvvsV-OYpFpKbWSsAW9QOtewvy7Ox/view?usp=drivesdk" TargetMode="External"/><Relationship Id="rId172" Type="http://schemas.openxmlformats.org/officeDocument/2006/relationships/hyperlink" Target="https://drive.google.com/file/d/1nx9Ssadd8dw-EMXe2-6ewCNsQVXBqykZ/view?usp=drivesdk" TargetMode="External"/><Relationship Id="rId171" Type="http://schemas.openxmlformats.org/officeDocument/2006/relationships/hyperlink" Target="https://drive.google.com/file/d/1OHoF6MwNChb1D8B02g2wudt54SKil8QO/view?usp=drivesdk" TargetMode="External"/><Relationship Id="rId170" Type="http://schemas.openxmlformats.org/officeDocument/2006/relationships/hyperlink" Target="https://drive.google.com/file/d/1R5YggenJ0-eILwFlVSLW907gFG89g5Lq/view?usp=drivesdk" TargetMode="External"/><Relationship Id="rId165" Type="http://schemas.openxmlformats.org/officeDocument/2006/relationships/hyperlink" Target="https://drive.google.com/file/d/19EtYct1WItyvFT6KDS5t1GjICu4vPgdb/view?usp=drivesdk" TargetMode="External"/><Relationship Id="rId164" Type="http://schemas.openxmlformats.org/officeDocument/2006/relationships/hyperlink" Target="https://drive.google.com/file/d/1thnAfODnwHAynXF1khzRKkd-Epdr_fbY/view?usp=drivesdk" TargetMode="External"/><Relationship Id="rId163" Type="http://schemas.openxmlformats.org/officeDocument/2006/relationships/hyperlink" Target="https://drive.google.com/file/d/1MQoGlAeZXQCOZvM3inC_qW_mlbvNJG_w/view?usp=drivesdk" TargetMode="External"/><Relationship Id="rId162" Type="http://schemas.openxmlformats.org/officeDocument/2006/relationships/hyperlink" Target="https://drive.google.com/file/d/1FyxABdG3mfrRGHmRBiXIXkhMBp72-z4p/view?usp=drivesdk" TargetMode="External"/><Relationship Id="rId169" Type="http://schemas.openxmlformats.org/officeDocument/2006/relationships/hyperlink" Target="https://drive.google.com/file/d/11ndDDzfMbvdoBRqwtD9lk9CC4OLHH4Qf/view?usp=drivesdk" TargetMode="External"/><Relationship Id="rId168" Type="http://schemas.openxmlformats.org/officeDocument/2006/relationships/hyperlink" Target="https://drive.google.com/file/d/1ZUZx9x56NAx48fmZgvM26oTR7nzK3k0O/view?usp=drivesdk" TargetMode="External"/><Relationship Id="rId167" Type="http://schemas.openxmlformats.org/officeDocument/2006/relationships/hyperlink" Target="https://drive.google.com/file/d/1dwquueAHET6s2BNn8z53IHIxj5BiEY_c/view?usp=drivesdk" TargetMode="External"/><Relationship Id="rId166" Type="http://schemas.openxmlformats.org/officeDocument/2006/relationships/hyperlink" Target="https://drive.google.com/file/d/13yG86gDbCoBzLQyOMqd0vOnUWNn_WSGJ/view?usp=drivesdk" TargetMode="External"/><Relationship Id="rId161" Type="http://schemas.openxmlformats.org/officeDocument/2006/relationships/hyperlink" Target="https://drive.google.com/file/d/15DZ1_kuk7rzpbDuMPgzb92phW_h2YXba/view?usp=drivesdk" TargetMode="External"/><Relationship Id="rId160" Type="http://schemas.openxmlformats.org/officeDocument/2006/relationships/hyperlink" Target="https://drive.google.com/file/d/188fH39q8v2UT3Za-I9le-LzR-f4bIkY0/view?usp=drivesdk" TargetMode="External"/><Relationship Id="rId159" Type="http://schemas.openxmlformats.org/officeDocument/2006/relationships/hyperlink" Target="https://drive.google.com/file/d/1vvDNy8VJvaairg4QLFrvEXh_a8WpCwgb/view?usp=drivesdk" TargetMode="External"/><Relationship Id="rId154" Type="http://schemas.openxmlformats.org/officeDocument/2006/relationships/hyperlink" Target="https://drive.google.com/file/d/19474jNRMXBV90N9w6uHucO6lc20pSdr9/view?usp=drivesdk" TargetMode="External"/><Relationship Id="rId153" Type="http://schemas.openxmlformats.org/officeDocument/2006/relationships/hyperlink" Target="https://drive.google.com/file/d/1VC97V5XB9O8CqdOChmaH7JyYjKlMm9KV/view?usp=drivesdk" TargetMode="External"/><Relationship Id="rId152" Type="http://schemas.openxmlformats.org/officeDocument/2006/relationships/hyperlink" Target="https://drive.google.com/file/d/1SivD4ylkZHuETUYi3SjObFgZ869swKOX/view?usp=drivesdk" TargetMode="External"/><Relationship Id="rId151" Type="http://schemas.openxmlformats.org/officeDocument/2006/relationships/hyperlink" Target="https://drive.google.com/file/d/1tOqEFAXqgMW6u5tSOIKKT2RNdqv5TSgs/view?usp=drivesdk" TargetMode="External"/><Relationship Id="rId158" Type="http://schemas.openxmlformats.org/officeDocument/2006/relationships/hyperlink" Target="https://drive.google.com/file/d/1L1DZZotScp8H-VjI_udp1aB1hf_D7rLp/view?usp=drivesdk" TargetMode="External"/><Relationship Id="rId157" Type="http://schemas.openxmlformats.org/officeDocument/2006/relationships/hyperlink" Target="https://drive.google.com/file/d/1Jy8FxGSqaij4r-EzptyHZ0BdDM1Xzcf2/view?usp=drivesdk" TargetMode="External"/><Relationship Id="rId156" Type="http://schemas.openxmlformats.org/officeDocument/2006/relationships/hyperlink" Target="https://drive.google.com/file/d/139MPdYJsUkYvOEmzz-y6ZY-0EyEcSLhf/view?usp=drivesdk" TargetMode="External"/><Relationship Id="rId155" Type="http://schemas.openxmlformats.org/officeDocument/2006/relationships/hyperlink" Target="https://drive.google.com/file/d/1XjgLsouqoPU8I8tbJeoCjhP9ow5WPKxC/view?usp=drivesdk" TargetMode="External"/><Relationship Id="rId107" Type="http://schemas.openxmlformats.org/officeDocument/2006/relationships/hyperlink" Target="https://drive.google.com/file/d/13EBesa-FK_Fb0JCXljUvLjUCjiBADvF5/view?usp=drivesdk" TargetMode="External"/><Relationship Id="rId106" Type="http://schemas.openxmlformats.org/officeDocument/2006/relationships/hyperlink" Target="https://drive.google.com/file/d/1Ov5iBRaS1i7N6Dk7WYEV9TctXkNxZUcN/view?usp=drivesdk" TargetMode="External"/><Relationship Id="rId105" Type="http://schemas.openxmlformats.org/officeDocument/2006/relationships/hyperlink" Target="https://drive.google.com/file/d/17-_76pUTFDo_6n0GsNk_JUynyEroH9Rk/view?usp=drivesdk" TargetMode="External"/><Relationship Id="rId104" Type="http://schemas.openxmlformats.org/officeDocument/2006/relationships/hyperlink" Target="https://drive.google.com/file/d/1_7JZz3d1m9NPMGH6OZAn2hZ1F4M7lyil/view?usp=drivesdk" TargetMode="External"/><Relationship Id="rId109" Type="http://schemas.openxmlformats.org/officeDocument/2006/relationships/hyperlink" Target="https://drive.google.com/file/d/1l-U5lmU2W2zoDw3oU4XJg9vPjs2C1Qpl/view?usp=drivesdk" TargetMode="External"/><Relationship Id="rId108" Type="http://schemas.openxmlformats.org/officeDocument/2006/relationships/hyperlink" Target="https://drive.google.com/file/d/1w7Q_yqkObPHbcsnotqh5K23tI0Wq7Uee/view?usp=drivesdk" TargetMode="External"/><Relationship Id="rId103" Type="http://schemas.openxmlformats.org/officeDocument/2006/relationships/hyperlink" Target="https://drive.google.com/file/d/1NdwcYVuXdViG7R4GR6_T5Ya4hFAXYQ6i/view?usp=drivesdk" TargetMode="External"/><Relationship Id="rId102" Type="http://schemas.openxmlformats.org/officeDocument/2006/relationships/hyperlink" Target="https://drive.google.com/file/d/1PBsH9r5ZAxoVOg0e1oE1Jjsv6rMOQQG7/view?usp=drivesdk" TargetMode="External"/><Relationship Id="rId101" Type="http://schemas.openxmlformats.org/officeDocument/2006/relationships/hyperlink" Target="https://drive.google.com/file/d/1pR7-hw5Jd_LIfdk1NY0gHhHEZmTdKUif/view?usp=drivesdk" TargetMode="External"/><Relationship Id="rId100" Type="http://schemas.openxmlformats.org/officeDocument/2006/relationships/hyperlink" Target="https://drive.google.com/file/d/1rw0QCDTFXPGKkVKbj6N3nNRodvheMrY4/view?usp=drivesdk" TargetMode="External"/><Relationship Id="rId129" Type="http://schemas.openxmlformats.org/officeDocument/2006/relationships/hyperlink" Target="https://drive.google.com/file/d/1UWxUFNzIznAMy6oOl1jGoBWaWSW3_QDY/view?usp=drivesdk" TargetMode="External"/><Relationship Id="rId128" Type="http://schemas.openxmlformats.org/officeDocument/2006/relationships/hyperlink" Target="https://drive.google.com/file/d/1hX4oC_m2SB54aH7Gt3yU8JQuhJESP2Mu/view?usp=drivesdk" TargetMode="External"/><Relationship Id="rId127" Type="http://schemas.openxmlformats.org/officeDocument/2006/relationships/hyperlink" Target="https://drive.google.com/file/d/1Ffi2fVx0PTkPk_bBrcLtR5reycqZZNpB/view?usp=drivesdk" TargetMode="External"/><Relationship Id="rId126" Type="http://schemas.openxmlformats.org/officeDocument/2006/relationships/hyperlink" Target="https://drive.google.com/file/d/1SvTBqDLXpW278t0T1kDOIPXs2lnMyhGS/view?usp=drivesdk" TargetMode="External"/><Relationship Id="rId121" Type="http://schemas.openxmlformats.org/officeDocument/2006/relationships/hyperlink" Target="https://drive.google.com/file/d/1C_9PeNhE5XoWWfW11vdv9jMO_rQSyr15/view?usp=drivesdk" TargetMode="External"/><Relationship Id="rId120" Type="http://schemas.openxmlformats.org/officeDocument/2006/relationships/hyperlink" Target="https://drive.google.com/file/d/162inUAtQkXWiFsH7735gHdCqTzwS6W19/view?usp=drivesdk" TargetMode="External"/><Relationship Id="rId125" Type="http://schemas.openxmlformats.org/officeDocument/2006/relationships/hyperlink" Target="https://drive.google.com/file/d/1F9IHLcrG0NPuCflniZXhE_m2Xu-k4Y-e/view?usp=drivesdk" TargetMode="External"/><Relationship Id="rId124" Type="http://schemas.openxmlformats.org/officeDocument/2006/relationships/hyperlink" Target="https://drive.google.com/file/d/1qb7T1yL6Jqq6-X2SwqE6wDlGh8NAv-ci/view?usp=drivesdk" TargetMode="External"/><Relationship Id="rId123" Type="http://schemas.openxmlformats.org/officeDocument/2006/relationships/hyperlink" Target="https://drive.google.com/file/d/1SqAk68uMt5BD0bnAIVs2-p4kuNhUtmAA/view?usp=drivesdk" TargetMode="External"/><Relationship Id="rId122" Type="http://schemas.openxmlformats.org/officeDocument/2006/relationships/hyperlink" Target="https://drive.google.com/file/d/1OdDhwdA7yDA8zf14ZRgkEw5kMYJxHMtF/view?usp=drivesdk" TargetMode="External"/><Relationship Id="rId118" Type="http://schemas.openxmlformats.org/officeDocument/2006/relationships/hyperlink" Target="https://drive.google.com/file/d/1o0fTIMqUPBPLxK1zrNwAvpSs-_dkGnb2/view?usp=drivesdk" TargetMode="External"/><Relationship Id="rId117" Type="http://schemas.openxmlformats.org/officeDocument/2006/relationships/hyperlink" Target="https://drive.google.com/file/d/18MoM34g1snEpfxRyID8iWmJd6FdKDLvc/view?usp=drivesdk" TargetMode="External"/><Relationship Id="rId116" Type="http://schemas.openxmlformats.org/officeDocument/2006/relationships/hyperlink" Target="https://drive.google.com/file/d/1ybSKJHP0wApkQzJdcC7MelZOr77jMmaC/view?usp=drivesdk" TargetMode="External"/><Relationship Id="rId115" Type="http://schemas.openxmlformats.org/officeDocument/2006/relationships/hyperlink" Target="https://drive.google.com/file/d/1_mXB-QVp1U3Pfx71sFeJpkGPpdKblixT/view?usp=drivesdk" TargetMode="External"/><Relationship Id="rId119" Type="http://schemas.openxmlformats.org/officeDocument/2006/relationships/hyperlink" Target="https://drive.google.com/file/d/1GldeYnFP7laCA7g-Oa-BgB3dAawo0lI4/view?usp=drivesdk" TargetMode="External"/><Relationship Id="rId110" Type="http://schemas.openxmlformats.org/officeDocument/2006/relationships/hyperlink" Target="https://drive.google.com/file/d/1Qc5PXw7rwWb9MTMnNW8-qUl7XgO2k1o-/view?usp=drivesdk" TargetMode="External"/><Relationship Id="rId114" Type="http://schemas.openxmlformats.org/officeDocument/2006/relationships/hyperlink" Target="https://drive.google.com/file/d/1fcHjezWWESTPHXYbCw4CzY0ayxRF4iWZ/view?usp=drivesdk" TargetMode="External"/><Relationship Id="rId113" Type="http://schemas.openxmlformats.org/officeDocument/2006/relationships/hyperlink" Target="https://drive.google.com/file/d/1CpEzLXX3CNk2xccpErw-Af3pqGfnCO2M/view?usp=drivesdk" TargetMode="External"/><Relationship Id="rId112" Type="http://schemas.openxmlformats.org/officeDocument/2006/relationships/hyperlink" Target="https://drive.google.com/file/d/15l4k8MsVUNnEzNdfS0VCkEEl4DAj9fYc/view?usp=drivesdk" TargetMode="External"/><Relationship Id="rId111" Type="http://schemas.openxmlformats.org/officeDocument/2006/relationships/hyperlink" Target="https://drive.google.com/file/d/1xibdt-DlmcRVhLvOsKajduWM7bWRv1-S/view?usp=drivesdk" TargetMode="External"/><Relationship Id="rId392" Type="http://schemas.openxmlformats.org/officeDocument/2006/relationships/hyperlink" Target="https://drive.google.com/file/d/1J9IB1jgB_vN4JuMDegnNz4s3M5fwKKo8/view?usp=drivesdk" TargetMode="External"/><Relationship Id="rId391" Type="http://schemas.openxmlformats.org/officeDocument/2006/relationships/hyperlink" Target="https://drive.google.com/file/d/1Bih0RaTYDzfQqDJ54ONZLBK1WhkH2eb3/view?usp=drivesdk" TargetMode="External"/><Relationship Id="rId390" Type="http://schemas.openxmlformats.org/officeDocument/2006/relationships/hyperlink" Target="https://drive.google.com/file/d/1YBea0bDGx50fosVgyuqGdjDyAlJq6ME0/view?usp=drivesdk" TargetMode="External"/><Relationship Id="rId385" Type="http://schemas.openxmlformats.org/officeDocument/2006/relationships/hyperlink" Target="https://drive.google.com/file/d/1FELKYU1k5ZcVuCP2kGJDme8Ou85l84w4/view?usp=drivesdk" TargetMode="External"/><Relationship Id="rId384" Type="http://schemas.openxmlformats.org/officeDocument/2006/relationships/hyperlink" Target="https://drive.google.com/file/d/1bJoR0xFKNPmYNuMoIbDbnASQ-EFlk4bG/view?usp=drivesdk" TargetMode="External"/><Relationship Id="rId383" Type="http://schemas.openxmlformats.org/officeDocument/2006/relationships/hyperlink" Target="https://drive.google.com/file/d/1LWES7yT4J_xnVTmKUY4LdClEjpnTbzmd/view?usp=drivesdk" TargetMode="External"/><Relationship Id="rId382" Type="http://schemas.openxmlformats.org/officeDocument/2006/relationships/hyperlink" Target="https://drive.google.com/file/d/1Hbxi8fVWji2OuVDsLnn3nRs6uy4GXyQO/view?usp=drivesdk" TargetMode="External"/><Relationship Id="rId389" Type="http://schemas.openxmlformats.org/officeDocument/2006/relationships/hyperlink" Target="https://drive.google.com/file/d/1lN4U3auv3caWlS9opzh2i7TSS9M30ONH/view?usp=drivesdk" TargetMode="External"/><Relationship Id="rId388" Type="http://schemas.openxmlformats.org/officeDocument/2006/relationships/hyperlink" Target="https://drive.google.com/file/d/1ey-iM6W2wrRtfoyPxmZPZcouZFIy7Jx4/view?usp=drivesdk" TargetMode="External"/><Relationship Id="rId387" Type="http://schemas.openxmlformats.org/officeDocument/2006/relationships/hyperlink" Target="https://drive.google.com/file/d/1a26Q0r6CkTJfjDKyiVdtngCi1ZPror3m/view?usp=drivesdk" TargetMode="External"/><Relationship Id="rId386" Type="http://schemas.openxmlformats.org/officeDocument/2006/relationships/hyperlink" Target="https://drive.google.com/file/d/1sJHb3-ZxNIjOUp7vOZLkNjLH5gvQwQ0w/view?usp=drivesdk" TargetMode="External"/><Relationship Id="rId381" Type="http://schemas.openxmlformats.org/officeDocument/2006/relationships/hyperlink" Target="https://drive.google.com/file/d/19UutyXD4PTMRv5eqCdEwD-kbeTtZJj8E/view?usp=drivesdk" TargetMode="External"/><Relationship Id="rId380" Type="http://schemas.openxmlformats.org/officeDocument/2006/relationships/hyperlink" Target="https://drive.google.com/file/d/1hTKSwnI_8Kh6AT0jUSm5AIEPYP5TaV1j/view?usp=drivesdk" TargetMode="External"/><Relationship Id="rId379" Type="http://schemas.openxmlformats.org/officeDocument/2006/relationships/hyperlink" Target="https://drive.google.com/file/d/126xZG_h-A93US5jqJWdxrgUULkkjbHfU/view?usp=drivesdk" TargetMode="External"/><Relationship Id="rId374" Type="http://schemas.openxmlformats.org/officeDocument/2006/relationships/hyperlink" Target="https://drive.google.com/file/d/1KCYaTjjaazmjyh0fTgkOmDCnFg5TgFUU/view?usp=drivesdk" TargetMode="External"/><Relationship Id="rId373" Type="http://schemas.openxmlformats.org/officeDocument/2006/relationships/hyperlink" Target="https://drive.google.com/file/d/1gqlrNnTKkORK0gmL8wt2PArEqqJP2uES/view?usp=drivesdk" TargetMode="External"/><Relationship Id="rId372" Type="http://schemas.openxmlformats.org/officeDocument/2006/relationships/hyperlink" Target="https://drive.google.com/file/d/1IDkLG9tw8sQAS3gAm9C_d4vjYIMyrO4X/view?usp=drivesdk" TargetMode="External"/><Relationship Id="rId371" Type="http://schemas.openxmlformats.org/officeDocument/2006/relationships/hyperlink" Target="https://drive.google.com/file/d/1AW3qju-K40HimJ59xXbw-ET2ADhgxYk4/view?usp=drivesdk" TargetMode="External"/><Relationship Id="rId378" Type="http://schemas.openxmlformats.org/officeDocument/2006/relationships/hyperlink" Target="https://drive.google.com/file/d/1674nnarGRz8Lz4sVrN9eLnVWTsn4iS5f/view?usp=drivesdk" TargetMode="External"/><Relationship Id="rId377" Type="http://schemas.openxmlformats.org/officeDocument/2006/relationships/hyperlink" Target="https://drive.google.com/file/d/1Mq-uHe7wlx8zSL9kz7bhmAY30X2vlPo_/view?usp=drivesdk" TargetMode="External"/><Relationship Id="rId376" Type="http://schemas.openxmlformats.org/officeDocument/2006/relationships/hyperlink" Target="https://drive.google.com/file/d/1ysfhiYr_TeX_yt5T8_nXfVn94euNddvf/view?usp=drivesdk" TargetMode="External"/><Relationship Id="rId375" Type="http://schemas.openxmlformats.org/officeDocument/2006/relationships/hyperlink" Target="https://drive.google.com/file/d/1HoV6dcyoltsck7rO6NpNILfo_EAtacF0/view?usp=drivesdk" TargetMode="External"/><Relationship Id="rId396" Type="http://schemas.openxmlformats.org/officeDocument/2006/relationships/hyperlink" Target="https://drive.google.com/file/d/1vFtJcmvVvuxnglGNuhvK6H0iMcsMihxd/view?usp=drivesdk" TargetMode="External"/><Relationship Id="rId395" Type="http://schemas.openxmlformats.org/officeDocument/2006/relationships/hyperlink" Target="https://drive.google.com/file/d/1nqlUf5U2GVJzI-bNx57GBK_rIW9LLNNT/view?usp=drivesdk" TargetMode="External"/><Relationship Id="rId394" Type="http://schemas.openxmlformats.org/officeDocument/2006/relationships/hyperlink" Target="https://drive.google.com/file/d/1ypV4VOgKpQ5mp5--9uxbrv0HGTjRtuCm/view?usp=drivesdk" TargetMode="External"/><Relationship Id="rId393" Type="http://schemas.openxmlformats.org/officeDocument/2006/relationships/hyperlink" Target="https://drive.google.com/file/d/1RC_fC5y4rsUQrKr2U3gu91nG-tgVDIIg/view?usp=drivesdk" TargetMode="External"/><Relationship Id="rId399" Type="http://schemas.openxmlformats.org/officeDocument/2006/relationships/hyperlink" Target="https://drive.google.com/file/d/1QtiWgJaTkhx0-gClj9J3wbN9ZLaA_lrP/view?usp=drivesdk" TargetMode="External"/><Relationship Id="rId398" Type="http://schemas.openxmlformats.org/officeDocument/2006/relationships/hyperlink" Target="https://drive.google.com/file/d/14sUTvjMHknMgR59flLxUCz2TzwHF1tN8/view?usp=drivesdk" TargetMode="External"/><Relationship Id="rId397" Type="http://schemas.openxmlformats.org/officeDocument/2006/relationships/hyperlink" Target="https://drive.google.com/file/d/1kQcEgqtAGZ-yZ2zywU-KgSVJgHJjzZST/view?usp=drivesdk" TargetMode="External"/><Relationship Id="rId40" Type="http://schemas.openxmlformats.org/officeDocument/2006/relationships/hyperlink" Target="https://drive.google.com/file/d/1j9VxM0s2BWC2hLW39_NFiUK2LD3fsVdZ/view?usp=drivesdk" TargetMode="External"/><Relationship Id="rId42" Type="http://schemas.openxmlformats.org/officeDocument/2006/relationships/hyperlink" Target="https://drive.google.com/file/d/1R3x_ZxkKjbd6k3bifnIc7U8b2Rwm3Pmo/view?usp=drivesdk" TargetMode="External"/><Relationship Id="rId41" Type="http://schemas.openxmlformats.org/officeDocument/2006/relationships/hyperlink" Target="https://drive.google.com/file/d/19ntV0gDK575WeWcl252A8nuVi3BQtWZ4/view?usp=drivesdk" TargetMode="External"/><Relationship Id="rId44" Type="http://schemas.openxmlformats.org/officeDocument/2006/relationships/hyperlink" Target="https://drive.google.com/file/d/1X4hQ35hJyz3zIuAV9VK7AYXog_5VqecP/view?usp=drivesdk" TargetMode="External"/><Relationship Id="rId43" Type="http://schemas.openxmlformats.org/officeDocument/2006/relationships/hyperlink" Target="https://drive.google.com/file/d/1Mk3jjmSHa-ATOe0BWhgxh8lmNzGELchL/view?usp=drivesdk" TargetMode="External"/><Relationship Id="rId46" Type="http://schemas.openxmlformats.org/officeDocument/2006/relationships/hyperlink" Target="https://drive.google.com/file/d/1ki-a9Cs3qt0CrIGsts77z20N6Bw_2SSr/view?usp=drivesdk" TargetMode="External"/><Relationship Id="rId45" Type="http://schemas.openxmlformats.org/officeDocument/2006/relationships/hyperlink" Target="https://drive.google.com/file/d/1cJ7CQgN-K30aaVWkT-Er53WS-_OsPQPy/view?usp=drivesdk" TargetMode="External"/><Relationship Id="rId48" Type="http://schemas.openxmlformats.org/officeDocument/2006/relationships/hyperlink" Target="https://drive.google.com/file/d/1s6sigVtCnpZKXM2ENgRQ9r7p8FF5n2-u/view?usp=drivesdk" TargetMode="External"/><Relationship Id="rId47" Type="http://schemas.openxmlformats.org/officeDocument/2006/relationships/hyperlink" Target="https://drive.google.com/file/d/1_72PSniTFtlTuWK-m-J9DdZ6q7qwA7K0/view?usp=drivesdk" TargetMode="External"/><Relationship Id="rId49" Type="http://schemas.openxmlformats.org/officeDocument/2006/relationships/hyperlink" Target="https://drive.google.com/file/d/1BxzHI88T-W9l0GUpwNKSYrv-UPj4OcJG/view?usp=drivesdk" TargetMode="External"/><Relationship Id="rId31" Type="http://schemas.openxmlformats.org/officeDocument/2006/relationships/hyperlink" Target="https://drive.google.com/file/d/1GYoIWWqqSuwQUa68zmEaXqNknmLc8CWp/view?usp=drivesdk" TargetMode="External"/><Relationship Id="rId30" Type="http://schemas.openxmlformats.org/officeDocument/2006/relationships/hyperlink" Target="https://drive.google.com/file/d/1Lne-ot-WaAyz2ucWnrxTf0O0GkNhd5fd/view?usp=drivesdk" TargetMode="External"/><Relationship Id="rId33" Type="http://schemas.openxmlformats.org/officeDocument/2006/relationships/hyperlink" Target="https://drive.google.com/file/d/1uo8yP_HigRD8KrqidPKDZDW4MLOZ0E10/view?usp=drivesdk" TargetMode="External"/><Relationship Id="rId32" Type="http://schemas.openxmlformats.org/officeDocument/2006/relationships/hyperlink" Target="https://drive.google.com/file/d/1Qxba4TOdo75ICqz0IgihVGwhNOfmSwrp/view?usp=drivesdk" TargetMode="External"/><Relationship Id="rId35" Type="http://schemas.openxmlformats.org/officeDocument/2006/relationships/hyperlink" Target="https://drive.google.com/file/d/1Po9MxcBB0lvn-FGdQy7g_yErGe9y9lPK/view?usp=drivesdk" TargetMode="External"/><Relationship Id="rId34" Type="http://schemas.openxmlformats.org/officeDocument/2006/relationships/hyperlink" Target="https://drive.google.com/file/d/1_CHoTw0_qPmT_XVHr5gFav1hq9o0f6J4/view?usp=drivesdk" TargetMode="External"/><Relationship Id="rId37" Type="http://schemas.openxmlformats.org/officeDocument/2006/relationships/hyperlink" Target="https://drive.google.com/file/d/1yB_mMzXekebowwZx_NHbClELVQnyv7rW/view?usp=drivesdk" TargetMode="External"/><Relationship Id="rId36" Type="http://schemas.openxmlformats.org/officeDocument/2006/relationships/hyperlink" Target="https://drive.google.com/file/d/16QNMwfVVTs4UnQrtfsgi_VUG6csKD4a0/view?usp=drivesdk" TargetMode="External"/><Relationship Id="rId39" Type="http://schemas.openxmlformats.org/officeDocument/2006/relationships/hyperlink" Target="https://drive.google.com/file/d/1e1t8AuLQqIOJjojh4Dv7VtIcgCrLcEuL/view?usp=drivesdk" TargetMode="External"/><Relationship Id="rId38" Type="http://schemas.openxmlformats.org/officeDocument/2006/relationships/hyperlink" Target="https://drive.google.com/file/d/1tOCTLZNoHPb_JNRzLOM3W10YcYsZUqWN/view?usp=drivesdk" TargetMode="External"/><Relationship Id="rId20" Type="http://schemas.openxmlformats.org/officeDocument/2006/relationships/hyperlink" Target="https://drive.google.com/file/d/1z2-qHxKAc7XY5CEB5svbvZcg_VTgMe2J/view?usp=drivesdk" TargetMode="External"/><Relationship Id="rId22" Type="http://schemas.openxmlformats.org/officeDocument/2006/relationships/hyperlink" Target="https://drive.google.com/file/d/1XfiQ1hQA7OWgPJucgN_mJWxjGdjJGFd-/view?usp=drivesdk" TargetMode="External"/><Relationship Id="rId21" Type="http://schemas.openxmlformats.org/officeDocument/2006/relationships/hyperlink" Target="https://drive.google.com/file/d/12k9PNiHSDdCP24PEwcl5aADfNX34KLF3/view?usp=drivesdk" TargetMode="External"/><Relationship Id="rId24" Type="http://schemas.openxmlformats.org/officeDocument/2006/relationships/hyperlink" Target="https://drive.google.com/file/d/1692RMHZMGzySNEKr61EXwrA1BgB7Y20p/view?usp=drivesdk" TargetMode="External"/><Relationship Id="rId23" Type="http://schemas.openxmlformats.org/officeDocument/2006/relationships/hyperlink" Target="https://drive.google.com/file/d/1CkCAAjhLZg1LYR-uih88RnFBMEJypMD3/view?usp=drivesdk" TargetMode="External"/><Relationship Id="rId26" Type="http://schemas.openxmlformats.org/officeDocument/2006/relationships/hyperlink" Target="https://drive.google.com/file/d/12oLF1zn9wqevI2bND5NQqlBRYZyxdKvY/view?usp=drivesdk" TargetMode="External"/><Relationship Id="rId25" Type="http://schemas.openxmlformats.org/officeDocument/2006/relationships/hyperlink" Target="https://drive.google.com/file/d/15TYP9oI3hA-8gaOA3k49Grmyfn3Gv6Ta/view?usp=drivesdk" TargetMode="External"/><Relationship Id="rId28" Type="http://schemas.openxmlformats.org/officeDocument/2006/relationships/hyperlink" Target="https://drive.google.com/file/d/1uNAQWYxMhOorC3wnDs8TB6oOK4wzZ4zt/view?usp=drivesdk" TargetMode="External"/><Relationship Id="rId27" Type="http://schemas.openxmlformats.org/officeDocument/2006/relationships/hyperlink" Target="https://drive.google.com/file/d/1K75CWyQCfOrvFD80CMRGF00oU9c7X-tT/view?usp=drivesdk" TargetMode="External"/><Relationship Id="rId29" Type="http://schemas.openxmlformats.org/officeDocument/2006/relationships/hyperlink" Target="https://drive.google.com/file/d/1BfgISoE_0xd_33G17QkGrKL3dm-N6MFJ/view?usp=drivesdk" TargetMode="External"/><Relationship Id="rId11" Type="http://schemas.openxmlformats.org/officeDocument/2006/relationships/hyperlink" Target="https://drive.google.com/file/d/17KT6k7b-xGCp3-7kagY8lrEAEBPgqhuR/view?usp=drivesdk" TargetMode="External"/><Relationship Id="rId10" Type="http://schemas.openxmlformats.org/officeDocument/2006/relationships/hyperlink" Target="https://drive.google.com/file/d/1VuGwNlh9Gvp3CnwLqpuSPIiCdGmtnHbM/view?usp=drivesdk" TargetMode="External"/><Relationship Id="rId13" Type="http://schemas.openxmlformats.org/officeDocument/2006/relationships/hyperlink" Target="https://drive.google.com/file/d/1Z8TLetSbHQ7rycUkdrI80RADo3FkzX6w/view?usp=drivesdk" TargetMode="External"/><Relationship Id="rId12" Type="http://schemas.openxmlformats.org/officeDocument/2006/relationships/hyperlink" Target="https://drive.google.com/file/d/1Ld4SMEKbpWYGG6kWXBnDUoKVgtn6RcoW/view?usp=drivesdk" TargetMode="External"/><Relationship Id="rId15" Type="http://schemas.openxmlformats.org/officeDocument/2006/relationships/hyperlink" Target="https://drive.google.com/file/d/1oo4Da621U6GkkoNzK-njwMAYfmk3U_G2/view?usp=drivesdk" TargetMode="External"/><Relationship Id="rId14" Type="http://schemas.openxmlformats.org/officeDocument/2006/relationships/hyperlink" Target="https://drive.google.com/file/d/1NXQuueQUVUHknssDtdpJOHZk9i_q6oBo/view?usp=drivesdk" TargetMode="External"/><Relationship Id="rId17" Type="http://schemas.openxmlformats.org/officeDocument/2006/relationships/hyperlink" Target="https://drive.google.com/file/d/1ukJKtX7UINDJ4PkkNQWTeizPMP_6gHBg/view?usp=drivesdk" TargetMode="External"/><Relationship Id="rId16" Type="http://schemas.openxmlformats.org/officeDocument/2006/relationships/hyperlink" Target="https://drive.google.com/file/d/1XUSKoRObrgA6pVHPIZnUiUEl0pgrG-Lx/view?usp=drivesdk" TargetMode="External"/><Relationship Id="rId19" Type="http://schemas.openxmlformats.org/officeDocument/2006/relationships/hyperlink" Target="https://drive.google.com/file/d/1tUgB_Ss7Xv0tDyQs7BT9fVzorzUBK8Yu/view?usp=drivesdk" TargetMode="External"/><Relationship Id="rId18" Type="http://schemas.openxmlformats.org/officeDocument/2006/relationships/hyperlink" Target="https://drive.google.com/file/d/1U5ziM6uOWgzQIlaooQw4bTxrdoCMroyI/view?usp=drivesdk" TargetMode="External"/><Relationship Id="rId84" Type="http://schemas.openxmlformats.org/officeDocument/2006/relationships/hyperlink" Target="https://drive.google.com/file/d/1qgrWzAvzfM8WD3XG8pvL5WHjK-NDRXhI/view?usp=drivesdk" TargetMode="External"/><Relationship Id="rId83" Type="http://schemas.openxmlformats.org/officeDocument/2006/relationships/hyperlink" Target="https://drive.google.com/file/d/1_Sovf_KX0wGoTZO80gwYign2y1du41fF/view?usp=drivesdk" TargetMode="External"/><Relationship Id="rId86" Type="http://schemas.openxmlformats.org/officeDocument/2006/relationships/hyperlink" Target="https://drive.google.com/file/d/15mKafEA-rM2cv-oXn8XOk5ZR3AMWM5Jg/view?usp=drivesdk" TargetMode="External"/><Relationship Id="rId85" Type="http://schemas.openxmlformats.org/officeDocument/2006/relationships/hyperlink" Target="https://drive.google.com/file/d/1RoTwBad9-mYlDD9RwdDEuDtwB3IcT2og/view?usp=drivesdk" TargetMode="External"/><Relationship Id="rId88" Type="http://schemas.openxmlformats.org/officeDocument/2006/relationships/hyperlink" Target="https://drive.google.com/file/d/1r-l92c9Fl6qNxWV2h4Lsjh2wLaj93Td-/view?usp=drivesdk" TargetMode="External"/><Relationship Id="rId87" Type="http://schemas.openxmlformats.org/officeDocument/2006/relationships/hyperlink" Target="https://drive.google.com/file/d/1IqDAzgHc3LjzD_E0gcnctS1vW_dXYx7L/view?usp=drivesdk" TargetMode="External"/><Relationship Id="rId89" Type="http://schemas.openxmlformats.org/officeDocument/2006/relationships/hyperlink" Target="https://drive.google.com/file/d/1vbtEt4_K85jVJ7AUTPF73VpzsVr8-A_k/view?usp=drivesdk" TargetMode="External"/><Relationship Id="rId80" Type="http://schemas.openxmlformats.org/officeDocument/2006/relationships/hyperlink" Target="https://drive.google.com/file/d/1a5k9Zx-nSrm2ZEPnzC3EXmOh9RD6da2F/view?usp=drivesdk" TargetMode="External"/><Relationship Id="rId82" Type="http://schemas.openxmlformats.org/officeDocument/2006/relationships/hyperlink" Target="https://drive.google.com/file/d/1WTGQisjlciTi2xRXq7MPdDBSaqqJ5mmV/view?usp=drivesdk" TargetMode="External"/><Relationship Id="rId81" Type="http://schemas.openxmlformats.org/officeDocument/2006/relationships/hyperlink" Target="https://drive.google.com/file/d/18OB36DOs_214VWnwYfMy3oYPyU8HxeJ9/view?usp=drivesdk" TargetMode="External"/><Relationship Id="rId73" Type="http://schemas.openxmlformats.org/officeDocument/2006/relationships/hyperlink" Target="https://drive.google.com/file/d/1KNFeOBFyRFU_PTBYDy8gs7D28_Psv5Nv/view?usp=drivesdk" TargetMode="External"/><Relationship Id="rId72" Type="http://schemas.openxmlformats.org/officeDocument/2006/relationships/hyperlink" Target="https://drive.google.com/file/d/1BCwXM5c-Kw3_uwbreXBf2qzKwlDtg_bn/view?usp=drivesdk" TargetMode="External"/><Relationship Id="rId75" Type="http://schemas.openxmlformats.org/officeDocument/2006/relationships/hyperlink" Target="https://drive.google.com/file/d/1N6xIsM1JBd0eI49HFf8Lkg5x7R2QsPvg/view?usp=drivesdk" TargetMode="External"/><Relationship Id="rId74" Type="http://schemas.openxmlformats.org/officeDocument/2006/relationships/hyperlink" Target="https://drive.google.com/file/d/17Bnx2gk9VPpenLXlAUUAWaAmucL2ASys/view?usp=drivesdk" TargetMode="External"/><Relationship Id="rId77" Type="http://schemas.openxmlformats.org/officeDocument/2006/relationships/hyperlink" Target="https://drive.google.com/file/d/1gPFbzkrTB5LtIorSicm34RN7mVF5txNk/view?usp=drivesdk" TargetMode="External"/><Relationship Id="rId76" Type="http://schemas.openxmlformats.org/officeDocument/2006/relationships/hyperlink" Target="https://drive.google.com/file/d/1xJYFP8vcZUOqh92NL0tkWB977hqqNOq2/view?usp=drivesdk" TargetMode="External"/><Relationship Id="rId79" Type="http://schemas.openxmlformats.org/officeDocument/2006/relationships/hyperlink" Target="https://drive.google.com/file/d/1zWKh9xvCEr_0HYZkp149NYuROzWqy8q5/view?usp=drivesdk" TargetMode="External"/><Relationship Id="rId78" Type="http://schemas.openxmlformats.org/officeDocument/2006/relationships/hyperlink" Target="https://drive.google.com/file/d/1C645NeQ1VbgrmpgVebM6RVsGLDFJ-pMy/view?usp=drivesdk" TargetMode="External"/><Relationship Id="rId71" Type="http://schemas.openxmlformats.org/officeDocument/2006/relationships/hyperlink" Target="https://drive.google.com/file/d/1vzedfjnKeldZosnAI8OtN5Manybz-R_I/view?usp=drivesdk" TargetMode="External"/><Relationship Id="rId70" Type="http://schemas.openxmlformats.org/officeDocument/2006/relationships/hyperlink" Target="https://drive.google.com/file/d/1rPPBXRUoBPsNMgwrTtdcSH7oWr_RUs9Z/view?usp=drivesdk" TargetMode="External"/><Relationship Id="rId62" Type="http://schemas.openxmlformats.org/officeDocument/2006/relationships/hyperlink" Target="https://drive.google.com/file/d/1gPhQpB2OLWR4SYV22bz6VNa0Tuw8XC_6/view?usp=drivesdk" TargetMode="External"/><Relationship Id="rId61" Type="http://schemas.openxmlformats.org/officeDocument/2006/relationships/hyperlink" Target="https://drive.google.com/file/d/1ghplGOcNZhs3um1hJJXeEqy3cpd6M8rY/view?usp=drivesdk" TargetMode="External"/><Relationship Id="rId64" Type="http://schemas.openxmlformats.org/officeDocument/2006/relationships/hyperlink" Target="https://drive.google.com/file/d/1zhFzLxMqoWmL1onimjOsCoY9JZOJgXiY/view?usp=drivesdk" TargetMode="External"/><Relationship Id="rId63" Type="http://schemas.openxmlformats.org/officeDocument/2006/relationships/hyperlink" Target="https://drive.google.com/file/d/17mu0my2mq4ZtJ_dxjZwh0_Rynaq8-fMT/view?usp=drivesdk" TargetMode="External"/><Relationship Id="rId66" Type="http://schemas.openxmlformats.org/officeDocument/2006/relationships/hyperlink" Target="https://drive.google.com/file/d/1MN0RZ6bm-MSRtpY3FQk5IOPRlqz2EYNw/view?usp=drivesdk" TargetMode="External"/><Relationship Id="rId65" Type="http://schemas.openxmlformats.org/officeDocument/2006/relationships/hyperlink" Target="https://drive.google.com/file/d/1k37wEgYSnpdWwKvHZkcyMxyugCTd2exn/view?usp=drivesdk" TargetMode="External"/><Relationship Id="rId68" Type="http://schemas.openxmlformats.org/officeDocument/2006/relationships/hyperlink" Target="https://drive.google.com/file/d/16g8au2th1pLH7TPdGw5J1TgspHFCYU9h/view?usp=drivesdk" TargetMode="External"/><Relationship Id="rId67" Type="http://schemas.openxmlformats.org/officeDocument/2006/relationships/hyperlink" Target="https://drive.google.com/file/d/1xipLiJ83zyLBhCdK4T2f7FYZViPPRh3T/view?usp=drivesdk" TargetMode="External"/><Relationship Id="rId60" Type="http://schemas.openxmlformats.org/officeDocument/2006/relationships/hyperlink" Target="https://drive.google.com/file/d/1Ra6lh1RvvOOfOoL269VZ6Y5ja4GV8MV_/view?usp=drivesdk" TargetMode="External"/><Relationship Id="rId69" Type="http://schemas.openxmlformats.org/officeDocument/2006/relationships/hyperlink" Target="https://drive.google.com/file/d/1CX12wR8yh4EikGPC6ylC_dttnzdYyz6J/view?usp=drivesdk" TargetMode="External"/><Relationship Id="rId51" Type="http://schemas.openxmlformats.org/officeDocument/2006/relationships/hyperlink" Target="https://drive.google.com/file/d/1Z9Hi592aqIzJNuyFaPxXZ2nELKdGAHp3/view?usp=drivesdk" TargetMode="External"/><Relationship Id="rId50" Type="http://schemas.openxmlformats.org/officeDocument/2006/relationships/hyperlink" Target="https://drive.google.com/file/d/1iiePQ0_2CCX7mzjMPtTRvK8-32kkf6Wk/view?usp=drivesdk" TargetMode="External"/><Relationship Id="rId53" Type="http://schemas.openxmlformats.org/officeDocument/2006/relationships/hyperlink" Target="https://drive.google.com/file/d/1q-onVtIbR1_mKUkv-3h8tlh0XXWec_MJ/view?usp=drivesdk" TargetMode="External"/><Relationship Id="rId52" Type="http://schemas.openxmlformats.org/officeDocument/2006/relationships/hyperlink" Target="https://drive.google.com/file/d/1f9vr7fO-sWcIjS6MufZkohqsKOmH0u8Z/view?usp=drivesdk" TargetMode="External"/><Relationship Id="rId55" Type="http://schemas.openxmlformats.org/officeDocument/2006/relationships/hyperlink" Target="https://drive.google.com/file/d/1Q562loPl8eo8IrNiQrDsemb7ufBgELXb/view?usp=drivesdk" TargetMode="External"/><Relationship Id="rId54" Type="http://schemas.openxmlformats.org/officeDocument/2006/relationships/hyperlink" Target="https://drive.google.com/file/d/1Z9wigMSHJMOdaDbDD7crDXRi06Lt3LNE/view?usp=drivesdk" TargetMode="External"/><Relationship Id="rId57" Type="http://schemas.openxmlformats.org/officeDocument/2006/relationships/hyperlink" Target="https://drive.google.com/file/d/1SAPUlah8xOKlVw_LasihBh2gqphb44Ik/view?usp=drivesdk" TargetMode="External"/><Relationship Id="rId56" Type="http://schemas.openxmlformats.org/officeDocument/2006/relationships/hyperlink" Target="https://drive.google.com/file/d/1GRKuMe4sR3sVW9gSmPc9JX2oSQYwsUz4/view?usp=drivesdk" TargetMode="External"/><Relationship Id="rId59" Type="http://schemas.openxmlformats.org/officeDocument/2006/relationships/hyperlink" Target="https://drive.google.com/file/d/1_fTYL9LpMvKWe0YlRXyy9ssiyASYSsE7/view?usp=drivesdk" TargetMode="External"/><Relationship Id="rId58" Type="http://schemas.openxmlformats.org/officeDocument/2006/relationships/hyperlink" Target="https://drive.google.com/file/d/1g31JBWg67oopca4K7_YGrQK4DYdxJ0Oj/view?usp=drivesdk" TargetMode="External"/><Relationship Id="rId349" Type="http://schemas.openxmlformats.org/officeDocument/2006/relationships/hyperlink" Target="https://drive.google.com/file/d/1lHAIU2TuB0SBiKei6ZudEveai0PW2YMq/view?usp=drivesdk" TargetMode="External"/><Relationship Id="rId348" Type="http://schemas.openxmlformats.org/officeDocument/2006/relationships/hyperlink" Target="https://drive.google.com/file/d/1_1RWe1f6WrpcKrbZPnvkV-EGstKLtuxN/view?usp=drivesdk" TargetMode="External"/><Relationship Id="rId347" Type="http://schemas.openxmlformats.org/officeDocument/2006/relationships/hyperlink" Target="https://drive.google.com/file/d/1sk6mAWq5VSZHUeLhizRh6LNnjZGqcBk3/view?usp=drivesdk" TargetMode="External"/><Relationship Id="rId346" Type="http://schemas.openxmlformats.org/officeDocument/2006/relationships/hyperlink" Target="https://drive.google.com/file/d/1_XG1r08hFCmDJGuiuiPvsp_uOQl9_cuY/view?usp=drivesdk" TargetMode="External"/><Relationship Id="rId341" Type="http://schemas.openxmlformats.org/officeDocument/2006/relationships/hyperlink" Target="https://drive.google.com/file/d/1-hkKTBwc7KB0NFBWejaV_ymZjOTch38N/view?usp=drivesdk" TargetMode="External"/><Relationship Id="rId340" Type="http://schemas.openxmlformats.org/officeDocument/2006/relationships/hyperlink" Target="https://drive.google.com/file/d/1WFhmrlV4BJ3Ilhi2-5YDBLu2N7KrmrBz/view?usp=drivesdk" TargetMode="External"/><Relationship Id="rId345" Type="http://schemas.openxmlformats.org/officeDocument/2006/relationships/hyperlink" Target="https://drive.google.com/file/d/1jLxvq6GdjkhSwHzm0t7g5JVqQK-ZbKJ-/view?usp=drivesdk" TargetMode="External"/><Relationship Id="rId344" Type="http://schemas.openxmlformats.org/officeDocument/2006/relationships/hyperlink" Target="https://drive.google.com/file/d/1nTLOgele5Dr3dYMlKTpVxMseY7v_vmJH/view?usp=drivesdk" TargetMode="External"/><Relationship Id="rId343" Type="http://schemas.openxmlformats.org/officeDocument/2006/relationships/hyperlink" Target="https://drive.google.com/file/d/1NDN5DkIRZL6bS86x2D4zKZaIe1dM42ta/view?usp=drivesdk" TargetMode="External"/><Relationship Id="rId342" Type="http://schemas.openxmlformats.org/officeDocument/2006/relationships/hyperlink" Target="https://drive.google.com/file/d/19LYQ-ySdo_6quo3e7WqPEXGUck53AfIx/view?usp=drivesdk" TargetMode="External"/><Relationship Id="rId338" Type="http://schemas.openxmlformats.org/officeDocument/2006/relationships/hyperlink" Target="https://drive.google.com/file/d/1_SJq9qWjzFtHNu4rkGFXzhkNyocrIaz-/view?usp=drivesdk" TargetMode="External"/><Relationship Id="rId337" Type="http://schemas.openxmlformats.org/officeDocument/2006/relationships/hyperlink" Target="https://drive.google.com/file/d/1pm-ql1gd-tvA8URUo7b1Ame41I5QghF0/view?usp=drivesdk" TargetMode="External"/><Relationship Id="rId336" Type="http://schemas.openxmlformats.org/officeDocument/2006/relationships/hyperlink" Target="https://drive.google.com/file/d/1vgAchmpO4VUBG9Hp1IAyv_HCN-U_LSwP/view?usp=drivesdk" TargetMode="External"/><Relationship Id="rId335" Type="http://schemas.openxmlformats.org/officeDocument/2006/relationships/hyperlink" Target="https://drive.google.com/file/d/1EqzjKr02H2Fo94HAE5arl7Kvu74zBMUq/view?usp=drivesdk" TargetMode="External"/><Relationship Id="rId339" Type="http://schemas.openxmlformats.org/officeDocument/2006/relationships/hyperlink" Target="https://drive.google.com/file/d/1XkaUqE7mpBBYc8a_2lkMlDUPhfIaphYc/view?usp=drivesdk" TargetMode="External"/><Relationship Id="rId330" Type="http://schemas.openxmlformats.org/officeDocument/2006/relationships/hyperlink" Target="https://drive.google.com/file/d/1W_f_JIAb5qmhG7QoGl92aQ3yoJ-js2PR/view?usp=drivesdk" TargetMode="External"/><Relationship Id="rId334" Type="http://schemas.openxmlformats.org/officeDocument/2006/relationships/hyperlink" Target="https://drive.google.com/file/d/14vKTHNDO5MjfAWR_Wo9BuDXtPS5eUM_Y/view?usp=drivesdk" TargetMode="External"/><Relationship Id="rId333" Type="http://schemas.openxmlformats.org/officeDocument/2006/relationships/hyperlink" Target="https://drive.google.com/file/d/1mYEFOrTJlEVVkSZ7UOM9BLg8yREqDeiP/view?usp=drivesdk" TargetMode="External"/><Relationship Id="rId332" Type="http://schemas.openxmlformats.org/officeDocument/2006/relationships/hyperlink" Target="https://drive.google.com/file/d/1gLfxe_8RVYgSMK6xXL58hwIcvgHRC5iK/view?usp=drivesdk" TargetMode="External"/><Relationship Id="rId331" Type="http://schemas.openxmlformats.org/officeDocument/2006/relationships/hyperlink" Target="https://drive.google.com/file/d/1MeeIiQ9-kBX0BuczFW802WNJSXFCa33s/view?usp=drivesdk" TargetMode="External"/><Relationship Id="rId370" Type="http://schemas.openxmlformats.org/officeDocument/2006/relationships/hyperlink" Target="https://drive.google.com/file/d/1FGU19pBQ0GDZm335prhI-y5oC0J6h-O1/view?usp=drivesdk" TargetMode="External"/><Relationship Id="rId369" Type="http://schemas.openxmlformats.org/officeDocument/2006/relationships/hyperlink" Target="https://drive.google.com/file/d/1sXPPFmiX_MZmME0fcq3r9DNCUvMSRtkR/view?usp=drivesdk" TargetMode="External"/><Relationship Id="rId368" Type="http://schemas.openxmlformats.org/officeDocument/2006/relationships/hyperlink" Target="https://drive.google.com/file/d/1flJW20odiEt-PkB6JmvlN6qAGshtdsLs/view?usp=drivesdk" TargetMode="External"/><Relationship Id="rId363" Type="http://schemas.openxmlformats.org/officeDocument/2006/relationships/hyperlink" Target="https://drive.google.com/file/d/1yxkorhqE77EuYKIaakO7sq5lYUHL15D6/view?usp=drivesdk" TargetMode="External"/><Relationship Id="rId362" Type="http://schemas.openxmlformats.org/officeDocument/2006/relationships/hyperlink" Target="https://drive.google.com/file/d/10zNEbR_NQ3MJYpgABlR4GY6VhTRFXNc-/view?usp=drivesdk" TargetMode="External"/><Relationship Id="rId361" Type="http://schemas.openxmlformats.org/officeDocument/2006/relationships/hyperlink" Target="https://drive.google.com/file/d/1l_eWPbeX_4Y9I1PBKsna48d6PNahnBLY/view?usp=drivesdk" TargetMode="External"/><Relationship Id="rId360" Type="http://schemas.openxmlformats.org/officeDocument/2006/relationships/hyperlink" Target="https://drive.google.com/file/d/1Gn5omi77oVIVbV6t9rL81pueO_jMitcF/view?usp=drivesdk" TargetMode="External"/><Relationship Id="rId367" Type="http://schemas.openxmlformats.org/officeDocument/2006/relationships/hyperlink" Target="https://drive.google.com/file/d/16gs9zOJVCYzl_xj4RxynZ23KgY7-AnS9/view?usp=drivesdk" TargetMode="External"/><Relationship Id="rId366" Type="http://schemas.openxmlformats.org/officeDocument/2006/relationships/hyperlink" Target="https://drive.google.com/file/d/1jJQFMOPaQd1-T65QncHGyT2O4cUwcEBI/view?usp=drivesdk" TargetMode="External"/><Relationship Id="rId365" Type="http://schemas.openxmlformats.org/officeDocument/2006/relationships/hyperlink" Target="https://drive.google.com/file/d/1bt8c2QBkhIDCGaIgtwTrM3w4-0xTKS5s/view?usp=drivesdk" TargetMode="External"/><Relationship Id="rId364" Type="http://schemas.openxmlformats.org/officeDocument/2006/relationships/hyperlink" Target="https://drive.google.com/file/d/1H-2x6krFVPei_eder_wLDLv0KJvK821x/view?usp=drivesdk" TargetMode="External"/><Relationship Id="rId95" Type="http://schemas.openxmlformats.org/officeDocument/2006/relationships/hyperlink" Target="https://drive.google.com/file/d/1-6HwPOJdJfR-J1N0dZPLNNUjx4J7eTpt/view?usp=drivesdk" TargetMode="External"/><Relationship Id="rId94" Type="http://schemas.openxmlformats.org/officeDocument/2006/relationships/hyperlink" Target="https://drive.google.com/file/d/1lopTfRFMpRyjE4tj_8OHHkcbhknN6Zoe/view?usp=drivesdk" TargetMode="External"/><Relationship Id="rId97" Type="http://schemas.openxmlformats.org/officeDocument/2006/relationships/hyperlink" Target="https://drive.google.com/file/d/1Y8rXz6JODwdvB-l2ciI-rzxVH7xW1foi/view?usp=drivesdk" TargetMode="External"/><Relationship Id="rId96" Type="http://schemas.openxmlformats.org/officeDocument/2006/relationships/hyperlink" Target="https://drive.google.com/file/d/1kytuhnYv6_CgOfU8p0sLd5rhoZpKmP3u/view?usp=drivesdk" TargetMode="External"/><Relationship Id="rId99" Type="http://schemas.openxmlformats.org/officeDocument/2006/relationships/hyperlink" Target="https://drive.google.com/file/d/1xDyeAFuDZ5IZfc50l6N4lbtsZlED6e6A/view?usp=drivesdk" TargetMode="External"/><Relationship Id="rId98" Type="http://schemas.openxmlformats.org/officeDocument/2006/relationships/hyperlink" Target="https://drive.google.com/file/d/1sTw8YwtlefSi-AgvnlfNyBbzfAqKxTqC/view?usp=drivesdk" TargetMode="External"/><Relationship Id="rId91" Type="http://schemas.openxmlformats.org/officeDocument/2006/relationships/hyperlink" Target="https://drive.google.com/file/d/1Jb8nMy5taglEI1ai2dOnWHI9whBujkK6/view?usp=drivesdk" TargetMode="External"/><Relationship Id="rId90" Type="http://schemas.openxmlformats.org/officeDocument/2006/relationships/hyperlink" Target="https://drive.google.com/file/d/1RD6c20sSFbjQ5q1lDHiweAxitig6QwY4/view?usp=drivesdk" TargetMode="External"/><Relationship Id="rId93" Type="http://schemas.openxmlformats.org/officeDocument/2006/relationships/hyperlink" Target="https://drive.google.com/file/d/1xBqPRydFt4JhnjZVUF0-A_vgKtS6mOeB/view?usp=drivesdk" TargetMode="External"/><Relationship Id="rId92" Type="http://schemas.openxmlformats.org/officeDocument/2006/relationships/hyperlink" Target="https://drive.google.com/file/d/1bZH5j9Xun2RJBxpoF8dUohv0UL2X5ZnZ/view?usp=drivesdk" TargetMode="External"/><Relationship Id="rId359" Type="http://schemas.openxmlformats.org/officeDocument/2006/relationships/hyperlink" Target="https://drive.google.com/file/d/1GZVmWhgMcHfYQE1_cbBG8IL-UPD6D_t-/view?usp=drivesdk" TargetMode="External"/><Relationship Id="rId358" Type="http://schemas.openxmlformats.org/officeDocument/2006/relationships/hyperlink" Target="https://drive.google.com/file/d/1gFnvafx_umECPB5K8---OtCxzRQKLz0x/view?usp=drivesdk" TargetMode="External"/><Relationship Id="rId357" Type="http://schemas.openxmlformats.org/officeDocument/2006/relationships/hyperlink" Target="https://drive.google.com/file/d/1mXV-dB73N2n6EeK86lEG-r9J4JSbLceg/view?usp=drivesdk" TargetMode="External"/><Relationship Id="rId352" Type="http://schemas.openxmlformats.org/officeDocument/2006/relationships/hyperlink" Target="https://drive.google.com/file/d/1Ks3W0cIn_R2UTBxmBlWw-u5sxhW_p7ZC/view?usp=drivesdk" TargetMode="External"/><Relationship Id="rId351" Type="http://schemas.openxmlformats.org/officeDocument/2006/relationships/hyperlink" Target="https://drive.google.com/file/d/1c6Fb5Zxs6JUzkKxbvGMb9ZyuHcKD6CyL/view?usp=drivesdk" TargetMode="External"/><Relationship Id="rId350" Type="http://schemas.openxmlformats.org/officeDocument/2006/relationships/hyperlink" Target="https://drive.google.com/file/d/1dwUk40VE8maiI_W6dTAM_Dmvdmn0Ku51/view?usp=drivesdk" TargetMode="External"/><Relationship Id="rId356" Type="http://schemas.openxmlformats.org/officeDocument/2006/relationships/hyperlink" Target="https://drive.google.com/file/d/1m_ruydDXXFi58NQ2N8BT5R_fCa_9nLgB/view?usp=drivesdk" TargetMode="External"/><Relationship Id="rId355" Type="http://schemas.openxmlformats.org/officeDocument/2006/relationships/hyperlink" Target="https://drive.google.com/file/d/1KB8F2LVX-TxFFQ8JpAy6oAhXsXfSzj40/view?usp=drivesdk" TargetMode="External"/><Relationship Id="rId354" Type="http://schemas.openxmlformats.org/officeDocument/2006/relationships/hyperlink" Target="https://drive.google.com/file/d/1neDhVu7oQyfMFVbtBOqP3KBf2ptj44z6/view?usp=drivesdk" TargetMode="External"/><Relationship Id="rId353" Type="http://schemas.openxmlformats.org/officeDocument/2006/relationships/hyperlink" Target="https://drive.google.com/file/d/1bEwKOoCYdpofIGmx3QY3NX4fPe51BYYZ/view?usp=drivesdk" TargetMode="External"/><Relationship Id="rId305" Type="http://schemas.openxmlformats.org/officeDocument/2006/relationships/hyperlink" Target="https://drive.google.com/file/d/1GbvLKpVc2ONYgTZZNqZCDnHCwQuSVDER/view?usp=drivesdk" TargetMode="External"/><Relationship Id="rId304" Type="http://schemas.openxmlformats.org/officeDocument/2006/relationships/hyperlink" Target="https://drive.google.com/file/d/16OyGjRwYGcqkTgeaXAVPVTU6Q0tePfSv/view?usp=drivesdk" TargetMode="External"/><Relationship Id="rId303" Type="http://schemas.openxmlformats.org/officeDocument/2006/relationships/hyperlink" Target="https://drive.google.com/file/d/167908nrvd79UwH7Izh0PLX14l3toqz7S/view?usp=drivesdk" TargetMode="External"/><Relationship Id="rId302" Type="http://schemas.openxmlformats.org/officeDocument/2006/relationships/hyperlink" Target="https://drive.google.com/file/d/1MrPhrIPe1Xf1SDzxA8y1ICQieI50d73C/view?usp=drivesdk" TargetMode="External"/><Relationship Id="rId309" Type="http://schemas.openxmlformats.org/officeDocument/2006/relationships/hyperlink" Target="https://drive.google.com/file/d/1t-l-yi7slaWuJttjsuMXXjCgh4bJJ7fs/view?usp=drivesdk" TargetMode="External"/><Relationship Id="rId308" Type="http://schemas.openxmlformats.org/officeDocument/2006/relationships/hyperlink" Target="https://drive.google.com/file/d/1K3zQ0Ks9LlaDKMI5nMyM9D1UrfGIErz2/view?usp=drivesdk" TargetMode="External"/><Relationship Id="rId307" Type="http://schemas.openxmlformats.org/officeDocument/2006/relationships/hyperlink" Target="https://drive.google.com/file/d/1AJ1qsByFKtV7wTDQarj9gE0Bwasz0U93/view?usp=drivesdk" TargetMode="External"/><Relationship Id="rId306" Type="http://schemas.openxmlformats.org/officeDocument/2006/relationships/hyperlink" Target="https://drive.google.com/file/d/1_mrjO3jv4qF5n4LTUjOaRLxvCzTsF4X_/view?usp=drivesdk" TargetMode="External"/><Relationship Id="rId301" Type="http://schemas.openxmlformats.org/officeDocument/2006/relationships/hyperlink" Target="https://drive.google.com/file/d/1yCpRDoZayP2VYOSBpkkmIan3tCdvtFNs/view?usp=drivesdk" TargetMode="External"/><Relationship Id="rId300" Type="http://schemas.openxmlformats.org/officeDocument/2006/relationships/hyperlink" Target="https://drive.google.com/file/d/1wVt7B-wrtxHPajID-IN2vcIAzlXy8XOm/view?usp=drivesdk" TargetMode="External"/><Relationship Id="rId327" Type="http://schemas.openxmlformats.org/officeDocument/2006/relationships/hyperlink" Target="https://drive.google.com/file/d/1bKoF6EiQb6R89HugJX0N22xLYgFxSAq3/view?usp=drivesdk" TargetMode="External"/><Relationship Id="rId326" Type="http://schemas.openxmlformats.org/officeDocument/2006/relationships/hyperlink" Target="https://drive.google.com/file/d/151qEhwuq_ewwE-_pE9-gdTIl79_uV2ph/view?usp=drivesdk" TargetMode="External"/><Relationship Id="rId325" Type="http://schemas.openxmlformats.org/officeDocument/2006/relationships/hyperlink" Target="https://drive.google.com/file/d/1XRHm_URgZkWvShvyfxQcqg10ZafmIa7M/view?usp=drivesdk" TargetMode="External"/><Relationship Id="rId324" Type="http://schemas.openxmlformats.org/officeDocument/2006/relationships/hyperlink" Target="https://drive.google.com/file/d/1UcuUEOeeVa9tAx3PA9GLOm04YelLJnJc/view?usp=drivesdk" TargetMode="External"/><Relationship Id="rId329" Type="http://schemas.openxmlformats.org/officeDocument/2006/relationships/hyperlink" Target="https://drive.google.com/file/d/17EkNjJ3XUeo7CBsn7CcyWfkTI9_jXicI/view?usp=drivesdk" TargetMode="External"/><Relationship Id="rId328" Type="http://schemas.openxmlformats.org/officeDocument/2006/relationships/hyperlink" Target="https://drive.google.com/file/d/1RMf7e01_1GsyXKrSqNx9vV9X9MvdzeEN/view?usp=drivesdk" TargetMode="External"/><Relationship Id="rId323" Type="http://schemas.openxmlformats.org/officeDocument/2006/relationships/hyperlink" Target="https://drive.google.com/file/d/1PUdswe9-fqLytxo9Ky84-Sx7U4VYPH4k/view?usp=drivesdk" TargetMode="External"/><Relationship Id="rId322" Type="http://schemas.openxmlformats.org/officeDocument/2006/relationships/hyperlink" Target="https://drive.google.com/file/d/1akEGn4_MGyJu8oyS5hrdaDhpd-a69x5C/view?usp=drivesdk" TargetMode="External"/><Relationship Id="rId321" Type="http://schemas.openxmlformats.org/officeDocument/2006/relationships/hyperlink" Target="https://drive.google.com/file/d/1kk3e8v0qsx0IobJ43OIOp42gSSVx28rI/view?usp=drivesdk" TargetMode="External"/><Relationship Id="rId320" Type="http://schemas.openxmlformats.org/officeDocument/2006/relationships/hyperlink" Target="https://drive.google.com/file/d/1OL9Ur7_gKnK609gTTPgoajtpZ-wI4Fie/view?usp=drivesdk" TargetMode="External"/><Relationship Id="rId316" Type="http://schemas.openxmlformats.org/officeDocument/2006/relationships/hyperlink" Target="https://drive.google.com/file/d/1NBBBLbv0mOgPWI2nn0VXqS8sMRbLt1lC/view?usp=drivesdk" TargetMode="External"/><Relationship Id="rId315" Type="http://schemas.openxmlformats.org/officeDocument/2006/relationships/hyperlink" Target="https://drive.google.com/file/d/1SdVho11cgZKJwIlFpgFsrnDEFvDl30uR/view?usp=drivesdk" TargetMode="External"/><Relationship Id="rId314" Type="http://schemas.openxmlformats.org/officeDocument/2006/relationships/hyperlink" Target="https://drive.google.com/file/d/1cCuLAPDDbuxawYgX0oDg5thr7tcTaKNN/view?usp=drivesdk" TargetMode="External"/><Relationship Id="rId313" Type="http://schemas.openxmlformats.org/officeDocument/2006/relationships/hyperlink" Target="https://drive.google.com/file/d/1vHKLQXgMClug7apc4hjXOf_wLekxHSLq/view?usp=drivesdk" TargetMode="External"/><Relationship Id="rId319" Type="http://schemas.openxmlformats.org/officeDocument/2006/relationships/hyperlink" Target="https://drive.google.com/file/d/1yc71fyGyTLyU25vOwvJafnjE43navuzH/view?usp=drivesdk" TargetMode="External"/><Relationship Id="rId318" Type="http://schemas.openxmlformats.org/officeDocument/2006/relationships/hyperlink" Target="https://drive.google.com/file/d/1cUL4zeZADZGl3cNNYatBlK3rZs2rxoPw/view?usp=drivesdk" TargetMode="External"/><Relationship Id="rId317" Type="http://schemas.openxmlformats.org/officeDocument/2006/relationships/hyperlink" Target="https://drive.google.com/file/d/1Fy1UruuJsaWhv_l_J3UbgmBGkKQf4x4B/view?usp=drivesdk" TargetMode="External"/><Relationship Id="rId312" Type="http://schemas.openxmlformats.org/officeDocument/2006/relationships/hyperlink" Target="https://drive.google.com/file/d/1iNKMUfgsTm6-h3GaSRQBrNtxum1fAV3a/view?usp=drivesdk" TargetMode="External"/><Relationship Id="rId311" Type="http://schemas.openxmlformats.org/officeDocument/2006/relationships/hyperlink" Target="https://drive.google.com/file/d/1F6lwaGehF5Yao4ecvFsAl3qqMn18IoY_/view?usp=drivesdk" TargetMode="External"/><Relationship Id="rId310" Type="http://schemas.openxmlformats.org/officeDocument/2006/relationships/hyperlink" Target="https://drive.google.com/file/d/1BwJ1WxCO1M_XtECTkVvwMrdIvXtXQk3d/view?usp=drivesdk" TargetMode="External"/><Relationship Id="rId297" Type="http://schemas.openxmlformats.org/officeDocument/2006/relationships/hyperlink" Target="https://drive.google.com/file/d/1Kz9jaDKZ2VRspFpgYGYWKaKbKRUy3Vej/view?usp=drivesdk" TargetMode="External"/><Relationship Id="rId296" Type="http://schemas.openxmlformats.org/officeDocument/2006/relationships/hyperlink" Target="https://drive.google.com/file/d/1Q81FS8ZK12MMhuaARXfDcG8f-ydTCCGN/view?usp=drivesdk" TargetMode="External"/><Relationship Id="rId295" Type="http://schemas.openxmlformats.org/officeDocument/2006/relationships/hyperlink" Target="https://drive.google.com/file/d/1zidFshMzNP-9e40IzAGi0UNl_rEz6_qF/view?usp=drivesdk" TargetMode="External"/><Relationship Id="rId294" Type="http://schemas.openxmlformats.org/officeDocument/2006/relationships/hyperlink" Target="https://drive.google.com/file/d/1ubZ1godZIWJVRY9rNVbxQ_NY494HYpRw/view?usp=drivesdk" TargetMode="External"/><Relationship Id="rId299" Type="http://schemas.openxmlformats.org/officeDocument/2006/relationships/hyperlink" Target="https://drive.google.com/file/d/1eH_W7AsXGlLqFoatH1tEK1ffbuBTtT3r/view?usp=drivesdk" TargetMode="External"/><Relationship Id="rId298" Type="http://schemas.openxmlformats.org/officeDocument/2006/relationships/hyperlink" Target="https://drive.google.com/file/d/1e_bxdgJm3u64eIbNzX9GPz0t263rhGBn/view?usp=drivesdk" TargetMode="External"/><Relationship Id="rId271" Type="http://schemas.openxmlformats.org/officeDocument/2006/relationships/hyperlink" Target="https://drive.google.com/file/d/1e8u1W0KTc5_OLqfVE-fS6Ch6UN-VGMf0/view?usp=drivesdk" TargetMode="External"/><Relationship Id="rId270" Type="http://schemas.openxmlformats.org/officeDocument/2006/relationships/hyperlink" Target="https://drive.google.com/file/d/1BR9OUAwsYtVxJqdZr7e9HnYHXHr3mjtW/view?usp=drivesdk" TargetMode="External"/><Relationship Id="rId269" Type="http://schemas.openxmlformats.org/officeDocument/2006/relationships/hyperlink" Target="https://drive.google.com/file/d/13yJkFMOfYyCdseA0QK8bOwTGvHzW7m1s/view?usp=drivesdk" TargetMode="External"/><Relationship Id="rId264" Type="http://schemas.openxmlformats.org/officeDocument/2006/relationships/hyperlink" Target="https://drive.google.com/file/d/14rzJ3XL7i1w2-0OEFI0r1mXnnN-4zYhj/view?usp=drivesdk" TargetMode="External"/><Relationship Id="rId263" Type="http://schemas.openxmlformats.org/officeDocument/2006/relationships/hyperlink" Target="https://drive.google.com/file/d/1nAEkqOKHz3XA_aWPWKWUqqWoi2H_WOd6/view?usp=drivesdk" TargetMode="External"/><Relationship Id="rId262" Type="http://schemas.openxmlformats.org/officeDocument/2006/relationships/hyperlink" Target="https://drive.google.com/file/d/1RNMJAbdBxjOm6VPIyaMNqBgOMW0kG9Tr/view?usp=drivesdk" TargetMode="External"/><Relationship Id="rId261" Type="http://schemas.openxmlformats.org/officeDocument/2006/relationships/hyperlink" Target="https://drive.google.com/file/d/1lUAhBoExJmIfysHTe_YHi_txk-sJDmcj/view?usp=drivesdk" TargetMode="External"/><Relationship Id="rId268" Type="http://schemas.openxmlformats.org/officeDocument/2006/relationships/hyperlink" Target="https://drive.google.com/file/d/1Y1JID9_F-zpO5UnmHUp91CNVBYoo6Cus/view?usp=drivesdk" TargetMode="External"/><Relationship Id="rId267" Type="http://schemas.openxmlformats.org/officeDocument/2006/relationships/hyperlink" Target="https://drive.google.com/file/d/1UsjuXoxsRSOEFdDyl2-qsuNnwAoxCbwi/view?usp=drivesdk" TargetMode="External"/><Relationship Id="rId266" Type="http://schemas.openxmlformats.org/officeDocument/2006/relationships/hyperlink" Target="https://drive.google.com/file/d/1sRIkwl76uf_C9wpQ17RIWYqBm3a_s1S9/view?usp=drivesdk" TargetMode="External"/><Relationship Id="rId265" Type="http://schemas.openxmlformats.org/officeDocument/2006/relationships/hyperlink" Target="https://drive.google.com/file/d/1UyW5gA8I1egPlewK9Nd6r7GfTY3K7YhX/view?usp=drivesdk" TargetMode="External"/><Relationship Id="rId260" Type="http://schemas.openxmlformats.org/officeDocument/2006/relationships/hyperlink" Target="https://drive.google.com/file/d/1I2RPjowRAlMT9jdvfxCIMJCwfBoC06zH/view?usp=drivesdk" TargetMode="External"/><Relationship Id="rId259" Type="http://schemas.openxmlformats.org/officeDocument/2006/relationships/hyperlink" Target="https://drive.google.com/file/d/1xoP-Zw0jFRrmNsH1XJShPmLzxO701Epb/view?usp=drivesdk" TargetMode="External"/><Relationship Id="rId258" Type="http://schemas.openxmlformats.org/officeDocument/2006/relationships/hyperlink" Target="https://drive.google.com/file/d/14tgErcSy2Kp19Y9HPhHQ68-2gvI39zlw/view?usp=drivesdk" TargetMode="External"/><Relationship Id="rId253" Type="http://schemas.openxmlformats.org/officeDocument/2006/relationships/hyperlink" Target="https://drive.google.com/file/d/14f6tyId9mikOYFuPsHzzl36wuVUgTWZx/view?usp=drivesdk" TargetMode="External"/><Relationship Id="rId252" Type="http://schemas.openxmlformats.org/officeDocument/2006/relationships/hyperlink" Target="https://drive.google.com/file/d/1q79gCfKTd6MA2An9Bh6FuKQBub2rRNZq/view?usp=drivesdk" TargetMode="External"/><Relationship Id="rId251" Type="http://schemas.openxmlformats.org/officeDocument/2006/relationships/hyperlink" Target="https://drive.google.com/file/d/1OaMlnX4acmIXK9oWXG-vQZ4-ax6aHBso/view?usp=drivesdk" TargetMode="External"/><Relationship Id="rId250" Type="http://schemas.openxmlformats.org/officeDocument/2006/relationships/hyperlink" Target="https://drive.google.com/file/d/1YEmxJcG4X3bypw3lell1PcgrZ0l1tZ34/view?usp=drivesdk" TargetMode="External"/><Relationship Id="rId257" Type="http://schemas.openxmlformats.org/officeDocument/2006/relationships/hyperlink" Target="https://drive.google.com/file/d/1t2ZCPpZJh3rN3RDs5GP31nqHEQKM-vbN/view?usp=drivesdk" TargetMode="External"/><Relationship Id="rId256" Type="http://schemas.openxmlformats.org/officeDocument/2006/relationships/hyperlink" Target="https://drive.google.com/file/d/1ddQxMcb1oIgXPnk1k_fddZ_s-HqL-bF6/view?usp=drivesdk" TargetMode="External"/><Relationship Id="rId255" Type="http://schemas.openxmlformats.org/officeDocument/2006/relationships/hyperlink" Target="https://drive.google.com/file/d/1TVLHzm2AwCUxDhiiWH56_9dZ-QoccrzN/view?usp=drivesdk" TargetMode="External"/><Relationship Id="rId254" Type="http://schemas.openxmlformats.org/officeDocument/2006/relationships/hyperlink" Target="https://drive.google.com/file/d/1bYgSu8WES6Puw21eUnlxKQtRmTJf2NGb/view?usp=drivesdk" TargetMode="External"/><Relationship Id="rId293" Type="http://schemas.openxmlformats.org/officeDocument/2006/relationships/hyperlink" Target="https://drive.google.com/file/d/1-bGQqJn72j4FLWCg--NupMHU22NvdRzc/view?usp=drivesdk" TargetMode="External"/><Relationship Id="rId292" Type="http://schemas.openxmlformats.org/officeDocument/2006/relationships/hyperlink" Target="https://drive.google.com/file/d/1rHUd00pgd4dy4xO9opskdirM-ESWgee6/view?usp=drivesdk" TargetMode="External"/><Relationship Id="rId291" Type="http://schemas.openxmlformats.org/officeDocument/2006/relationships/hyperlink" Target="https://drive.google.com/file/d/1jA2SSWA8GpqG-B3uLeIweu9uxD6ROfsy/view?usp=drivesdk" TargetMode="External"/><Relationship Id="rId290" Type="http://schemas.openxmlformats.org/officeDocument/2006/relationships/hyperlink" Target="https://drive.google.com/file/d/18aOB3x0L8p-52TmfdYSCyOMIdl5xoQY9/view?usp=drivesdk" TargetMode="External"/><Relationship Id="rId286" Type="http://schemas.openxmlformats.org/officeDocument/2006/relationships/hyperlink" Target="https://drive.google.com/file/d/1Ytv7VXFoO9-pf-he2GJO-YPL9SiCHIzz/view?usp=drivesdk" TargetMode="External"/><Relationship Id="rId285" Type="http://schemas.openxmlformats.org/officeDocument/2006/relationships/hyperlink" Target="https://drive.google.com/file/d/12D8-m-dWMjTasa6PoE4miqrs_fsS1hCz/view?usp=drivesdk" TargetMode="External"/><Relationship Id="rId284" Type="http://schemas.openxmlformats.org/officeDocument/2006/relationships/hyperlink" Target="https://drive.google.com/file/d/1szFSQbVJLa_3nCrvwGA4RVKHw2_wfvf_/view?usp=drivesdk" TargetMode="External"/><Relationship Id="rId283" Type="http://schemas.openxmlformats.org/officeDocument/2006/relationships/hyperlink" Target="https://drive.google.com/file/d/1Sqsq2--rDUa9uZwj69TEezOmLx-fguh7/view?usp=drivesdk" TargetMode="External"/><Relationship Id="rId289" Type="http://schemas.openxmlformats.org/officeDocument/2006/relationships/hyperlink" Target="https://drive.google.com/file/d/1M10mqrvHIxJsOrjLwH5PQcHsdVY7rEkL/view?usp=drivesdk" TargetMode="External"/><Relationship Id="rId288" Type="http://schemas.openxmlformats.org/officeDocument/2006/relationships/hyperlink" Target="https://drive.google.com/file/d/1aBmcAY5EPzKRwcLCtlj71aU_uoMuqea1/view?usp=drivesdk" TargetMode="External"/><Relationship Id="rId287" Type="http://schemas.openxmlformats.org/officeDocument/2006/relationships/hyperlink" Target="https://drive.google.com/file/d/1QIr3OhIaLz0qXPdB3lBnKHWfFelsqXCn/view?usp=drivesdk" TargetMode="External"/><Relationship Id="rId282" Type="http://schemas.openxmlformats.org/officeDocument/2006/relationships/hyperlink" Target="https://drive.google.com/file/d/1MjhGgLTxmpI6UOCFmtlhbhfVFOG3IMND/view?usp=drivesdk" TargetMode="External"/><Relationship Id="rId281" Type="http://schemas.openxmlformats.org/officeDocument/2006/relationships/hyperlink" Target="https://drive.google.com/file/d/1BT8-yq2z5B91VeVyXCLqDd8APx_0MPTR/view?usp=drivesdk" TargetMode="External"/><Relationship Id="rId280" Type="http://schemas.openxmlformats.org/officeDocument/2006/relationships/hyperlink" Target="https://drive.google.com/file/d/1uTK7ijK36hgYhTQ0MAha7NfMWhFDLhTt/view?usp=drivesdk" TargetMode="External"/><Relationship Id="rId275" Type="http://schemas.openxmlformats.org/officeDocument/2006/relationships/hyperlink" Target="https://drive.google.com/file/d/1h3PflVtOtZCe2z4_ioh6MKeFqeEYk24Y/view?usp=drivesdk" TargetMode="External"/><Relationship Id="rId274" Type="http://schemas.openxmlformats.org/officeDocument/2006/relationships/hyperlink" Target="https://drive.google.com/file/d/1RmZrod5_So-DIyjm0njyD9TIyY24Oo_e/view?usp=drivesdk" TargetMode="External"/><Relationship Id="rId273" Type="http://schemas.openxmlformats.org/officeDocument/2006/relationships/hyperlink" Target="https://drive.google.com/file/d/1-VGCD3Z0eZZqHcQBDUhaRVxN7TPaeBL2/view?usp=drivesdk" TargetMode="External"/><Relationship Id="rId272" Type="http://schemas.openxmlformats.org/officeDocument/2006/relationships/hyperlink" Target="https://drive.google.com/file/d/1gKduw8UpdXiFn3llVU58Wl1rUTHSdMTf/view?usp=drivesdk" TargetMode="External"/><Relationship Id="rId279" Type="http://schemas.openxmlformats.org/officeDocument/2006/relationships/hyperlink" Target="https://drive.google.com/file/d/1j0cEKTY28KJPav0yX6uc2S3pxqZ6Uzgv/view?usp=drivesdk" TargetMode="External"/><Relationship Id="rId278" Type="http://schemas.openxmlformats.org/officeDocument/2006/relationships/hyperlink" Target="https://drive.google.com/file/d/1sseu6azWRvPqysk7HlGAJaX5ow5GO4sF/view?usp=drivesdk" TargetMode="External"/><Relationship Id="rId277" Type="http://schemas.openxmlformats.org/officeDocument/2006/relationships/hyperlink" Target="https://drive.google.com/file/d/1bPAeuzG0lDL7XF71AjeWxnf_yyd1OUvl/view?usp=drivesdk" TargetMode="External"/><Relationship Id="rId276" Type="http://schemas.openxmlformats.org/officeDocument/2006/relationships/hyperlink" Target="https://drive.google.com/file/d/1BWvnV9G-43fF7u-v-2RbFwxcpHcaLd2-/view?usp=drivesdk" TargetMode="External"/><Relationship Id="rId228" Type="http://schemas.openxmlformats.org/officeDocument/2006/relationships/hyperlink" Target="https://drive.google.com/file/d/1gex8rbMePdp8S0XBh7Rxdsxz6k0NAOvm/view?usp=drivesdk" TargetMode="External"/><Relationship Id="rId227" Type="http://schemas.openxmlformats.org/officeDocument/2006/relationships/hyperlink" Target="https://drive.google.com/file/d/1B4nsWjURmjYpKbQjHj5kZIxXc2F9G5gi/view?usp=drivesdk" TargetMode="External"/><Relationship Id="rId226" Type="http://schemas.openxmlformats.org/officeDocument/2006/relationships/hyperlink" Target="https://drive.google.com/file/d/11wVMJ4KkbwMRZi08UK1fIoM-BRPvdOd3/view?usp=drivesdk" TargetMode="External"/><Relationship Id="rId225" Type="http://schemas.openxmlformats.org/officeDocument/2006/relationships/hyperlink" Target="https://drive.google.com/file/d/1mcaUIoXEUhOYZXCvZqpLhG0Kw732FqKM/view?usp=drivesdk" TargetMode="External"/><Relationship Id="rId229" Type="http://schemas.openxmlformats.org/officeDocument/2006/relationships/hyperlink" Target="https://drive.google.com/file/d/1cB8gb4DPGdu4BH-7x4Lshu_CwoYtRDeK/view?usp=drivesdk" TargetMode="External"/><Relationship Id="rId220" Type="http://schemas.openxmlformats.org/officeDocument/2006/relationships/hyperlink" Target="https://drive.google.com/file/d/1D5USBlelSONvKVTtk-toxY4uO56Zfs_n/view?usp=drivesdk" TargetMode="External"/><Relationship Id="rId224" Type="http://schemas.openxmlformats.org/officeDocument/2006/relationships/hyperlink" Target="https://drive.google.com/file/d/1mB4Z-z8kGgZyUZhZQoGvHyqktMJwMM2w/view?usp=drivesdk" TargetMode="External"/><Relationship Id="rId223" Type="http://schemas.openxmlformats.org/officeDocument/2006/relationships/hyperlink" Target="https://drive.google.com/file/d/1-I40Oe1fxUAtJh3_rhefZCeyp2VJnAmm/view?usp=drivesdk" TargetMode="External"/><Relationship Id="rId222" Type="http://schemas.openxmlformats.org/officeDocument/2006/relationships/hyperlink" Target="https://drive.google.com/file/d/1TPpJh6vUZoKXWVdn2U3PgO3lWbDy1Sqs/view?usp=drivesdk" TargetMode="External"/><Relationship Id="rId221" Type="http://schemas.openxmlformats.org/officeDocument/2006/relationships/hyperlink" Target="https://drive.google.com/file/d/1LT91osLSNGhNTSjx21-NO6TYdl-y6aRU/view?usp=drivesdk" TargetMode="External"/><Relationship Id="rId217" Type="http://schemas.openxmlformats.org/officeDocument/2006/relationships/hyperlink" Target="https://drive.google.com/file/d/1c6lMMKEl7amzBkBezVyHDm4wmcjr8BRF/view?usp=drivesdk" TargetMode="External"/><Relationship Id="rId216" Type="http://schemas.openxmlformats.org/officeDocument/2006/relationships/hyperlink" Target="https://drive.google.com/file/d/1RREGR_pDLFljEMN-XgDeMj0OoUGrISZ_/view?usp=drivesdk" TargetMode="External"/><Relationship Id="rId215" Type="http://schemas.openxmlformats.org/officeDocument/2006/relationships/hyperlink" Target="https://drive.google.com/file/d/1mu8AdNQbMctiOKgODmjL9JmQdDFcIEZs/view?usp=drivesdk" TargetMode="External"/><Relationship Id="rId214" Type="http://schemas.openxmlformats.org/officeDocument/2006/relationships/hyperlink" Target="https://drive.google.com/file/d/1crxx6f1Twmz20XkFkfBdbn1WS0GWsoT-/view?usp=drivesdk" TargetMode="External"/><Relationship Id="rId219" Type="http://schemas.openxmlformats.org/officeDocument/2006/relationships/hyperlink" Target="https://drive.google.com/file/d/15yQjJWIhRBZksm2MmvM2MmawwCuGVKuM/view?usp=drivesdk" TargetMode="External"/><Relationship Id="rId218" Type="http://schemas.openxmlformats.org/officeDocument/2006/relationships/hyperlink" Target="https://drive.google.com/file/d/1dyPlbohU2Eeg6WiY-rsR0ov1SPC99irL/view?usp=drivesdk" TargetMode="External"/><Relationship Id="rId213" Type="http://schemas.openxmlformats.org/officeDocument/2006/relationships/hyperlink" Target="https://drive.google.com/file/d/1o6olAjPmgTdhQceX--x_BYQAva3C_BSI/view?usp=drivesdk" TargetMode="External"/><Relationship Id="rId212" Type="http://schemas.openxmlformats.org/officeDocument/2006/relationships/hyperlink" Target="https://drive.google.com/file/d/13FcovMVM8W3eBFSynHxcWEgHKxN6QEXw/view?usp=drivesdk" TargetMode="External"/><Relationship Id="rId211" Type="http://schemas.openxmlformats.org/officeDocument/2006/relationships/hyperlink" Target="https://drive.google.com/file/d/1F0i0KY65opG9MvRktXj9sx3i7oqZ-GMu/view?usp=drivesdk" TargetMode="External"/><Relationship Id="rId210" Type="http://schemas.openxmlformats.org/officeDocument/2006/relationships/hyperlink" Target="https://drive.google.com/file/d/1DS2paSp2nMfaedruPxDVo09gnqZT6pQO/view?usp=drivesdk" TargetMode="External"/><Relationship Id="rId249" Type="http://schemas.openxmlformats.org/officeDocument/2006/relationships/hyperlink" Target="https://drive.google.com/file/d/1l9SMikWFE-fAKwbQSHDxvPZb0Rdrrmy7/view?usp=drivesdk" TargetMode="External"/><Relationship Id="rId248" Type="http://schemas.openxmlformats.org/officeDocument/2006/relationships/hyperlink" Target="https://drive.google.com/file/d/1WNThO5kD7TbTJaLBs4r98K0jM0q7p0fy/view?usp=drivesdk" TargetMode="External"/><Relationship Id="rId247" Type="http://schemas.openxmlformats.org/officeDocument/2006/relationships/hyperlink" Target="https://drive.google.com/file/d/1dyBvkV_hcW99b6vYHtnzELfYgtHOaBfX/view?usp=drivesdk" TargetMode="External"/><Relationship Id="rId242" Type="http://schemas.openxmlformats.org/officeDocument/2006/relationships/hyperlink" Target="https://drive.google.com/file/d/1ivX9aJ-4UlvAsXUEQbba4CzcZ_58O3ka/view?usp=drivesdk" TargetMode="External"/><Relationship Id="rId241" Type="http://schemas.openxmlformats.org/officeDocument/2006/relationships/hyperlink" Target="https://drive.google.com/file/d/175l1cjQodxHxECuberBXQTISebGFzJHu/view?usp=drivesdk" TargetMode="External"/><Relationship Id="rId240" Type="http://schemas.openxmlformats.org/officeDocument/2006/relationships/hyperlink" Target="https://drive.google.com/file/d/1O6hFjnhdyl2y2WHM-yBTfqmCBIacGE5X/view?usp=drivesdk" TargetMode="External"/><Relationship Id="rId246" Type="http://schemas.openxmlformats.org/officeDocument/2006/relationships/hyperlink" Target="https://drive.google.com/file/d/1ITDE1bMjHDvuFpwqKuuBdWSh2xxfUa-V/view?usp=drivesdk" TargetMode="External"/><Relationship Id="rId245" Type="http://schemas.openxmlformats.org/officeDocument/2006/relationships/hyperlink" Target="https://drive.google.com/file/d/1dod84rnnRq0C6gK2jkfjALwLA1Jhjj3q/view?usp=drivesdk" TargetMode="External"/><Relationship Id="rId244" Type="http://schemas.openxmlformats.org/officeDocument/2006/relationships/hyperlink" Target="https://drive.google.com/file/d/1aNac1ZPzZ4V7wuvCXqd6_pzpdAhIUvRA/view?usp=drivesdk" TargetMode="External"/><Relationship Id="rId243" Type="http://schemas.openxmlformats.org/officeDocument/2006/relationships/hyperlink" Target="https://drive.google.com/file/d/1QaLx8pxsaFBTl_MS6Ynshj9N5poKG2pW/view?usp=drivesdk" TargetMode="External"/><Relationship Id="rId239" Type="http://schemas.openxmlformats.org/officeDocument/2006/relationships/hyperlink" Target="https://drive.google.com/file/d/1LGshiyePEMt3ZG2IoAaTsXlZsXaz1oVx/view?usp=drivesdk" TargetMode="External"/><Relationship Id="rId238" Type="http://schemas.openxmlformats.org/officeDocument/2006/relationships/hyperlink" Target="https://drive.google.com/file/d/1TFF1AATfl5x7Du62DWXJAMELEf2c-vWe/view?usp=drivesdk" TargetMode="External"/><Relationship Id="rId237" Type="http://schemas.openxmlformats.org/officeDocument/2006/relationships/hyperlink" Target="https://drive.google.com/file/d/1WJ3J4SxY-aZ_oUga5dHQCxu4mct0GAFv/view?usp=drivesdk" TargetMode="External"/><Relationship Id="rId236" Type="http://schemas.openxmlformats.org/officeDocument/2006/relationships/hyperlink" Target="https://drive.google.com/file/d/10P_TUyiWsrBnMBXvC__SovKQSO6OJmpj/view?usp=drivesdk" TargetMode="External"/><Relationship Id="rId231" Type="http://schemas.openxmlformats.org/officeDocument/2006/relationships/hyperlink" Target="https://drive.google.com/file/d/1VlMHL6zwSQ603sPhlAQsarU04f9lMys4/view?usp=drivesdk" TargetMode="External"/><Relationship Id="rId230" Type="http://schemas.openxmlformats.org/officeDocument/2006/relationships/hyperlink" Target="https://drive.google.com/file/d/1ZfUHQUzBYT0bik5kOB3gvGEWCPRfOJEA/view?usp=drivesdk" TargetMode="External"/><Relationship Id="rId235" Type="http://schemas.openxmlformats.org/officeDocument/2006/relationships/hyperlink" Target="https://drive.google.com/file/d/1zLwGL1NDhTgm4-Qj_-sxtn7xI3azuElg/view?usp=drivesdk" TargetMode="External"/><Relationship Id="rId234" Type="http://schemas.openxmlformats.org/officeDocument/2006/relationships/hyperlink" Target="https://drive.google.com/file/d/1zz5BVvlQKPJ8AXSM_i4Q5j02jpTOfkR6/view?usp=drivesdk" TargetMode="External"/><Relationship Id="rId233" Type="http://schemas.openxmlformats.org/officeDocument/2006/relationships/hyperlink" Target="https://drive.google.com/file/d/1tS8MTUQBlUQ9EJYkTxMlrRHnyCaoHSPP/view?usp=drivesdk" TargetMode="External"/><Relationship Id="rId232" Type="http://schemas.openxmlformats.org/officeDocument/2006/relationships/hyperlink" Target="https://drive.google.com/file/d/1GdUjUMOADDsLYiTaWbvODs9QLNNZqpZH/view?usp=drivesdk" TargetMode="External"/><Relationship Id="rId206" Type="http://schemas.openxmlformats.org/officeDocument/2006/relationships/hyperlink" Target="https://drive.google.com/file/d/1HaHalE_MdnuIIBFP1IU2msSYbJiixaFM/view?usp=drivesdk" TargetMode="External"/><Relationship Id="rId205" Type="http://schemas.openxmlformats.org/officeDocument/2006/relationships/hyperlink" Target="https://drive.google.com/file/d/182tWZTjSXrJ3kXkAZBK68ZWLyyzOOBTB/view?usp=drivesdk" TargetMode="External"/><Relationship Id="rId204" Type="http://schemas.openxmlformats.org/officeDocument/2006/relationships/hyperlink" Target="https://drive.google.com/file/d/1TlILU_WTT4W_RCXYx_cYmwzPOuNFv0u8/view?usp=drivesdk" TargetMode="External"/><Relationship Id="rId203" Type="http://schemas.openxmlformats.org/officeDocument/2006/relationships/hyperlink" Target="https://drive.google.com/file/d/1IR7lAI45-zX-vv7fh5rRtmz_5WkRBw0a/view?usp=drivesdk" TargetMode="External"/><Relationship Id="rId209" Type="http://schemas.openxmlformats.org/officeDocument/2006/relationships/hyperlink" Target="https://drive.google.com/file/d/1vzbSvQvxkt33GqbyJmJyzrsnEGeZe7wF/view?usp=drivesdk" TargetMode="External"/><Relationship Id="rId208" Type="http://schemas.openxmlformats.org/officeDocument/2006/relationships/hyperlink" Target="https://drive.google.com/file/d/1c70KpjSgSib1ZKrETll80yHthNicT54t/view?usp=drivesdk" TargetMode="External"/><Relationship Id="rId207" Type="http://schemas.openxmlformats.org/officeDocument/2006/relationships/hyperlink" Target="https://drive.google.com/file/d/1tZbxzTO4rVp8gunSahSG5aXC_rGAHuRW/view?usp=drivesdk" TargetMode="External"/><Relationship Id="rId202" Type="http://schemas.openxmlformats.org/officeDocument/2006/relationships/hyperlink" Target="https://drive.google.com/file/d/1hBtsmjCy-DGRUG2Mo4QcOtS1LAd6-0CD/view?usp=drivesdk" TargetMode="External"/><Relationship Id="rId201" Type="http://schemas.openxmlformats.org/officeDocument/2006/relationships/hyperlink" Target="https://drive.google.com/file/d/1KBn_3DsvWTtXGcPaYk_0n1ZMYCp126jl/view?usp=drivesdk" TargetMode="External"/><Relationship Id="rId200" Type="http://schemas.openxmlformats.org/officeDocument/2006/relationships/hyperlink" Target="https://drive.google.com/file/d/1sVxUzl4ygU1huJ42sdrXQxVAyaKjTyN8/view?usp=drivesdk" TargetMode="External"/><Relationship Id="rId509" Type="http://schemas.openxmlformats.org/officeDocument/2006/relationships/hyperlink" Target="https://drive.google.com/file/d/1QX2PGZLT0YIFvqu5eB9JlfvDDzV7CF9g/view?usp=drivesdk" TargetMode="External"/><Relationship Id="rId508" Type="http://schemas.openxmlformats.org/officeDocument/2006/relationships/hyperlink" Target="https://drive.google.com/file/d/1EFOVwJDISR4rJCE-krpzUmxaSVzM36-K/view?usp=drivesdk" TargetMode="External"/><Relationship Id="rId503" Type="http://schemas.openxmlformats.org/officeDocument/2006/relationships/hyperlink" Target="https://drive.google.com/file/d/1q99aWK8wHESOiqD_cnwk8z6LlUSoECpI/view?usp=drivesdk" TargetMode="External"/><Relationship Id="rId502" Type="http://schemas.openxmlformats.org/officeDocument/2006/relationships/hyperlink" Target="https://drive.google.com/file/d/1muHRKI6a7GxpOQBpU5TJmt35Ozd_UPA1/view?usp=drivesdk" TargetMode="External"/><Relationship Id="rId501" Type="http://schemas.openxmlformats.org/officeDocument/2006/relationships/hyperlink" Target="https://drive.google.com/file/d/18EshwL26-6BxHO18nCp5Z-QS4k4L6V4i/view?usp=drivesdk" TargetMode="External"/><Relationship Id="rId500" Type="http://schemas.openxmlformats.org/officeDocument/2006/relationships/hyperlink" Target="https://drive.google.com/file/d/1gvjz-h5WBR4lyDhZeI-yQxGQHO_VnDvI/view?usp=drivesdk" TargetMode="External"/><Relationship Id="rId507" Type="http://schemas.openxmlformats.org/officeDocument/2006/relationships/hyperlink" Target="https://drive.google.com/file/d/1IqqSql7fmae4_SlixO4JDpKzUqaa7TcO/view?usp=drivesdk" TargetMode="External"/><Relationship Id="rId506" Type="http://schemas.openxmlformats.org/officeDocument/2006/relationships/hyperlink" Target="https://drive.google.com/file/d/1cmbjn3i7Z86KnFTXJLet13KgP9MLdTA2/view?usp=drivesdk" TargetMode="External"/><Relationship Id="rId505" Type="http://schemas.openxmlformats.org/officeDocument/2006/relationships/hyperlink" Target="https://drive.google.com/file/d/1Np4ds6N9IEZE-T0qJGw94WI9a0neJMDP/view?usp=drivesdk" TargetMode="External"/><Relationship Id="rId504" Type="http://schemas.openxmlformats.org/officeDocument/2006/relationships/hyperlink" Target="https://drive.google.com/file/d/140SgabY-MzkPyyP8NXLulqSFbVJnp1gi/view?usp=drivesdk" TargetMode="External"/><Relationship Id="rId525" Type="http://schemas.openxmlformats.org/officeDocument/2006/relationships/hyperlink" Target="https://drive.google.com/file/d/1DnuZXyCN1BX7wrZk8BzmphsHKUgdV3iJ/view?usp=drivesdk" TargetMode="External"/><Relationship Id="rId524" Type="http://schemas.openxmlformats.org/officeDocument/2006/relationships/hyperlink" Target="https://drive.google.com/file/d/1SuGpwWSz6vULHuyqunM1FfAG2agUSCO4/view?usp=drivesdk" TargetMode="External"/><Relationship Id="rId523" Type="http://schemas.openxmlformats.org/officeDocument/2006/relationships/hyperlink" Target="https://drive.google.com/file/d/1NoZfumuisuj4_Np2YrkyKtKfc9hwcxR6/view?usp=drivesdk" TargetMode="External"/><Relationship Id="rId522" Type="http://schemas.openxmlformats.org/officeDocument/2006/relationships/hyperlink" Target="https://drive.google.com/file/d/1dmW8oeeljhr2Fd6PTwQ76PYFP0tB7tIQ/view?usp=drivesdk" TargetMode="External"/><Relationship Id="rId529" Type="http://schemas.openxmlformats.org/officeDocument/2006/relationships/hyperlink" Target="https://drive.google.com/file/d/155bDAR04n9MJo3jCK9uG2RvfStYyOlNQ/view?usp=drivesdk" TargetMode="External"/><Relationship Id="rId528" Type="http://schemas.openxmlformats.org/officeDocument/2006/relationships/hyperlink" Target="https://drive.google.com/file/d/1B7f2JxZNxr3lLEd7aZxdF6QbkUPbBE1r/view?usp=drivesdk" TargetMode="External"/><Relationship Id="rId527" Type="http://schemas.openxmlformats.org/officeDocument/2006/relationships/hyperlink" Target="https://drive.google.com/file/d/1_HX2cJtTrQPc294zOG-57KCOQtOVdqqI/view?usp=drivesdk" TargetMode="External"/><Relationship Id="rId526" Type="http://schemas.openxmlformats.org/officeDocument/2006/relationships/hyperlink" Target="https://drive.google.com/file/d/1b8zuvHuW1BO8bwl0BMWPfhebreiPmXiC/view?usp=drivesdk" TargetMode="External"/><Relationship Id="rId521" Type="http://schemas.openxmlformats.org/officeDocument/2006/relationships/hyperlink" Target="https://drive.google.com/file/d/14WwvG-e2eIS2UXdbAM3_l9l3IJWvYrSC/view?usp=drivesdk" TargetMode="External"/><Relationship Id="rId520" Type="http://schemas.openxmlformats.org/officeDocument/2006/relationships/hyperlink" Target="https://drive.google.com/file/d/1XxzaOHkQ6CSFVJnkRuWE6O4lMRfs4JBI/view?usp=drivesdk" TargetMode="External"/><Relationship Id="rId519" Type="http://schemas.openxmlformats.org/officeDocument/2006/relationships/hyperlink" Target="https://drive.google.com/file/d/1-uDn57n1Yok6g4SGYNU6eo3Qy9ftC77u/view?usp=drivesdk" TargetMode="External"/><Relationship Id="rId514" Type="http://schemas.openxmlformats.org/officeDocument/2006/relationships/hyperlink" Target="https://drive.google.com/file/d/1-gc1B9CFOYo6JvwC_INbf9bS1kDbwMsQ/view?usp=drivesdk" TargetMode="External"/><Relationship Id="rId513" Type="http://schemas.openxmlformats.org/officeDocument/2006/relationships/hyperlink" Target="https://drive.google.com/file/d/1NH66vTkWYiXjzMk4vzUjFNXmxkSVpYsx/view?usp=drivesdk" TargetMode="External"/><Relationship Id="rId512" Type="http://schemas.openxmlformats.org/officeDocument/2006/relationships/hyperlink" Target="https://drive.google.com/file/d/19Iqc38HPQOf6mJi9-gvLCy2EW3Abb6gi/view?usp=drivesdk" TargetMode="External"/><Relationship Id="rId511" Type="http://schemas.openxmlformats.org/officeDocument/2006/relationships/hyperlink" Target="https://drive.google.com/file/d/1dP6yoXAd4EvNv-tBbaTdzJz2mnT7GUMa/view?usp=drivesdk" TargetMode="External"/><Relationship Id="rId518" Type="http://schemas.openxmlformats.org/officeDocument/2006/relationships/hyperlink" Target="https://drive.google.com/file/d/1Hf4Cksi20_TE6dxk3rObAzTg48IwUmVg/view?usp=drivesdk" TargetMode="External"/><Relationship Id="rId517" Type="http://schemas.openxmlformats.org/officeDocument/2006/relationships/hyperlink" Target="https://drive.google.com/file/d/1HzoG3KVoAKrIWgvPScJ0nHG2x0qB4OOO/view?usp=drivesdk" TargetMode="External"/><Relationship Id="rId516" Type="http://schemas.openxmlformats.org/officeDocument/2006/relationships/hyperlink" Target="https://drive.google.com/file/d/1qKjL0hhiPhQt_r8zwYXTgQ5fwk4d0RZt/view?usp=drivesdk" TargetMode="External"/><Relationship Id="rId515" Type="http://schemas.openxmlformats.org/officeDocument/2006/relationships/hyperlink" Target="https://drive.google.com/file/d/1VmiDVJNS9epMXmItAG9y30HqzX2UKc21/view?usp=drivesdk" TargetMode="External"/><Relationship Id="rId510" Type="http://schemas.openxmlformats.org/officeDocument/2006/relationships/hyperlink" Target="https://drive.google.com/file/d/1lq3YK4UY-XvmOH4p_vskVLLsasLk3kV7/view?usp=drivesdk" TargetMode="External"/><Relationship Id="rId590" Type="http://schemas.openxmlformats.org/officeDocument/2006/relationships/hyperlink" Target="https://drive.google.com/file/d/1P_l_LHgvj6UgFNXiRhnLFoLXX2Ejq9Uv/view?usp=drivesdk" TargetMode="External"/><Relationship Id="rId589" Type="http://schemas.openxmlformats.org/officeDocument/2006/relationships/hyperlink" Target="https://drive.google.com/file/d/1_USUZ8aIa8XtzvXOArHbF80LdUtyuu0k/view?usp=drivesdk" TargetMode="External"/><Relationship Id="rId588" Type="http://schemas.openxmlformats.org/officeDocument/2006/relationships/hyperlink" Target="https://drive.google.com/file/d/1troeoCcC0yG4TTyn86t9Ag3GPVXK7hp4/view?usp=drivesdk" TargetMode="External"/><Relationship Id="rId583" Type="http://schemas.openxmlformats.org/officeDocument/2006/relationships/hyperlink" Target="https://drive.google.com/file/d/1iAJLgUnfhsDATKJqhky4Y4ITPTxYBzrR/view?usp=drivesdk" TargetMode="External"/><Relationship Id="rId582" Type="http://schemas.openxmlformats.org/officeDocument/2006/relationships/hyperlink" Target="https://drive.google.com/file/d/11c1WbyQ6jYX51g2R3gvZVj2J9JXO5iAt/view?usp=drivesdk" TargetMode="External"/><Relationship Id="rId581" Type="http://schemas.openxmlformats.org/officeDocument/2006/relationships/hyperlink" Target="https://drive.google.com/file/d/1_Bb65MjlkkSOXiN1pDnqQS2f8kwFoDl8/view?usp=drivesdk" TargetMode="External"/><Relationship Id="rId580" Type="http://schemas.openxmlformats.org/officeDocument/2006/relationships/hyperlink" Target="https://drive.google.com/file/d/1U8FH59X8bct0lOfh_vAmRve64TmXleqf/view?usp=drivesdk" TargetMode="External"/><Relationship Id="rId587" Type="http://schemas.openxmlformats.org/officeDocument/2006/relationships/hyperlink" Target="https://drive.google.com/file/d/1yXwjbfmpbVx78RJJi4V9ypi-jaKirBrh/view?usp=drivesdk" TargetMode="External"/><Relationship Id="rId586" Type="http://schemas.openxmlformats.org/officeDocument/2006/relationships/hyperlink" Target="https://drive.google.com/file/d/1MIfG-fG4GYrE4HrSvBxB0TrCgCnMbrfy/view?usp=drivesdk" TargetMode="External"/><Relationship Id="rId585" Type="http://schemas.openxmlformats.org/officeDocument/2006/relationships/hyperlink" Target="https://drive.google.com/file/d/1RfrH1qM0kBVaDaDw0VBctKjgBWZwEPxW/view?usp=drivesdk" TargetMode="External"/><Relationship Id="rId584" Type="http://schemas.openxmlformats.org/officeDocument/2006/relationships/hyperlink" Target="https://drive.google.com/file/d/1lMJWBbOtOtUFjAfmKWFa4OfRFnH-3WU9/view?usp=drivesdk" TargetMode="External"/><Relationship Id="rId579" Type="http://schemas.openxmlformats.org/officeDocument/2006/relationships/hyperlink" Target="https://drive.google.com/file/d/1TnhYMlF3VrgFLFznrblPMWpsb6uTeMY3/view?usp=drivesdk" TargetMode="External"/><Relationship Id="rId578" Type="http://schemas.openxmlformats.org/officeDocument/2006/relationships/hyperlink" Target="https://drive.google.com/file/d/1n0Q0ZCQbF-vVm2BzrZFA2UZDtBVSXowS/view?usp=drivesdk" TargetMode="External"/><Relationship Id="rId577" Type="http://schemas.openxmlformats.org/officeDocument/2006/relationships/hyperlink" Target="https://drive.google.com/file/d/1ZvXKqcNSkF-Rat-kFw2RkHaPQgva-Igv/view?usp=drivesdk" TargetMode="External"/><Relationship Id="rId572" Type="http://schemas.openxmlformats.org/officeDocument/2006/relationships/hyperlink" Target="https://drive.google.com/file/d/1P98HKIpx2-yGJFwEPUEFKEUuFz1zpFw6/view?usp=drivesdk" TargetMode="External"/><Relationship Id="rId571" Type="http://schemas.openxmlformats.org/officeDocument/2006/relationships/hyperlink" Target="https://drive.google.com/file/d/1k_sHiuhiWOK08j4tWiLM0y9Du0sMXSxL/view?usp=drivesdk" TargetMode="External"/><Relationship Id="rId570" Type="http://schemas.openxmlformats.org/officeDocument/2006/relationships/hyperlink" Target="https://drive.google.com/file/d/1nU4G-IsGNkUmlftYMc8-6o-jqZyDDRez/view?usp=drivesdk" TargetMode="External"/><Relationship Id="rId576" Type="http://schemas.openxmlformats.org/officeDocument/2006/relationships/hyperlink" Target="https://drive.google.com/file/d/1DWFsS8NuJG28dB1zFrEGeDQXRh65RPiB/view?usp=drivesdk" TargetMode="External"/><Relationship Id="rId575" Type="http://schemas.openxmlformats.org/officeDocument/2006/relationships/hyperlink" Target="https://drive.google.com/file/d/1apQ9VW9YQQP2knN0BfHL2yP3gHo8h-mM/view?usp=drivesdk" TargetMode="External"/><Relationship Id="rId574" Type="http://schemas.openxmlformats.org/officeDocument/2006/relationships/hyperlink" Target="https://drive.google.com/file/d/1ktRtL-9zFlOkGyyooAl9iaR1rJDd0Jfi/view?usp=drivesdk" TargetMode="External"/><Relationship Id="rId573" Type="http://schemas.openxmlformats.org/officeDocument/2006/relationships/hyperlink" Target="https://drive.google.com/file/d/1AKe-dphaHaBH6faGmqQRYfC-hj9UgoBS/view?usp=drivesdk" TargetMode="External"/><Relationship Id="rId599" Type="http://schemas.openxmlformats.org/officeDocument/2006/relationships/hyperlink" Target="https://drive.google.com/file/d/1ktqWD_xluvwqEQMzJ_Q5VEvF2cMnB4tr/view?usp=drivesdk" TargetMode="External"/><Relationship Id="rId594" Type="http://schemas.openxmlformats.org/officeDocument/2006/relationships/hyperlink" Target="https://drive.google.com/file/d/14IMcw-NnjpqaYQIYMTZrqeOSImrryejb/view?usp=drivesdk" TargetMode="External"/><Relationship Id="rId593" Type="http://schemas.openxmlformats.org/officeDocument/2006/relationships/hyperlink" Target="https://drive.google.com/file/d/1i4G4KoC1WkK9bUXnzqCrON11Cc0_WvPs/view?usp=drivesdk" TargetMode="External"/><Relationship Id="rId592" Type="http://schemas.openxmlformats.org/officeDocument/2006/relationships/hyperlink" Target="https://drive.google.com/file/d/1lLjx_Rrm3ZTOJE4XndRvlK03Y5JuWx28/view?usp=drivesdk" TargetMode="External"/><Relationship Id="rId591" Type="http://schemas.openxmlformats.org/officeDocument/2006/relationships/hyperlink" Target="https://drive.google.com/file/d/1YX_31m-xc5VFKMAyNtqb0VP14Xm5fwFv/view?usp=drivesdk" TargetMode="External"/><Relationship Id="rId598" Type="http://schemas.openxmlformats.org/officeDocument/2006/relationships/hyperlink" Target="https://drive.google.com/file/d/1e2jvKXbag1dETDHvj6KhJU0dp_AukS-Y/view?usp=drivesdk" TargetMode="External"/><Relationship Id="rId597" Type="http://schemas.openxmlformats.org/officeDocument/2006/relationships/hyperlink" Target="https://drive.google.com/file/d/1KAg8W1zwe6CW1lvDrVp5NXnZYSiH3-Cw/view?usp=drivesdk" TargetMode="External"/><Relationship Id="rId596" Type="http://schemas.openxmlformats.org/officeDocument/2006/relationships/hyperlink" Target="https://drive.google.com/file/d/156Kqy-nyVO4kF8HKuCsDVeHDRIqd9fv1/view?usp=drivesdk" TargetMode="External"/><Relationship Id="rId595" Type="http://schemas.openxmlformats.org/officeDocument/2006/relationships/hyperlink" Target="https://drive.google.com/file/d/1V0SFpvTE0PTbtzHPNfI-ekGjdSYsleuN/view?usp=drivesdk" TargetMode="External"/><Relationship Id="rId547" Type="http://schemas.openxmlformats.org/officeDocument/2006/relationships/hyperlink" Target="https://drive.google.com/file/d/1uBD4AB4TL0jfv0TOZtE5vs4J3AI36v-p/view?usp=drivesdk" TargetMode="External"/><Relationship Id="rId546" Type="http://schemas.openxmlformats.org/officeDocument/2006/relationships/hyperlink" Target="https://drive.google.com/file/d/1fvlYNkPFQXlGOe7iKupkuIqjJyeyafoE/view?usp=drivesdk" TargetMode="External"/><Relationship Id="rId545" Type="http://schemas.openxmlformats.org/officeDocument/2006/relationships/hyperlink" Target="https://drive.google.com/file/d/1zNCJ60FQI0VQDk5SmAR29hUJAz1e8Zi2/view?usp=drivesdk" TargetMode="External"/><Relationship Id="rId544" Type="http://schemas.openxmlformats.org/officeDocument/2006/relationships/hyperlink" Target="https://drive.google.com/file/d/1cahxtE-ekwMfNY-e9DSwxDnKEHkfbpoI/view?usp=drivesdk" TargetMode="External"/><Relationship Id="rId549" Type="http://schemas.openxmlformats.org/officeDocument/2006/relationships/hyperlink" Target="https://drive.google.com/file/d/10UHXEd7p7fz6Tba2RYCd2YiRfXcvmsTi/view?usp=drivesdk" TargetMode="External"/><Relationship Id="rId548" Type="http://schemas.openxmlformats.org/officeDocument/2006/relationships/hyperlink" Target="https://drive.google.com/file/d/1tqPHuGU3YJjQUh6UaHCHuXbh3jSOHWal/view?usp=drivesdk" TargetMode="External"/><Relationship Id="rId543" Type="http://schemas.openxmlformats.org/officeDocument/2006/relationships/hyperlink" Target="https://drive.google.com/file/d/1OJhhJGVHReLLvLNmHeUJkdEk-Jowuves/view?usp=drivesdk" TargetMode="External"/><Relationship Id="rId542" Type="http://schemas.openxmlformats.org/officeDocument/2006/relationships/hyperlink" Target="https://drive.google.com/file/d/1_to9cSqjdRhbyGVov9DMmetVxchVuTMC/view?usp=drivesdk" TargetMode="External"/><Relationship Id="rId541" Type="http://schemas.openxmlformats.org/officeDocument/2006/relationships/hyperlink" Target="https://drive.google.com/file/d/12ZkSjvodCaHuIADZAEfGnekozn4yHDTv/view?usp=drivesdk" TargetMode="External"/><Relationship Id="rId540" Type="http://schemas.openxmlformats.org/officeDocument/2006/relationships/hyperlink" Target="https://drive.google.com/file/d/1fzcckGQbCI4yv9AMsG1yrq_GMGJsMMuT/view?usp=drivesdk" TargetMode="External"/><Relationship Id="rId536" Type="http://schemas.openxmlformats.org/officeDocument/2006/relationships/hyperlink" Target="https://drive.google.com/file/d/19GyUUvLBaQzkXUMMbjuAT3JBtG9ya3qm/view?usp=drivesdk" TargetMode="External"/><Relationship Id="rId535" Type="http://schemas.openxmlformats.org/officeDocument/2006/relationships/hyperlink" Target="https://drive.google.com/file/d/1u_aaqLOznwGDjS-0vEEg7V2ZscJVliwT/view?usp=drivesdk" TargetMode="External"/><Relationship Id="rId534" Type="http://schemas.openxmlformats.org/officeDocument/2006/relationships/hyperlink" Target="https://drive.google.com/file/d/1hZfrKGRTe27qDXQfRsEhKzmlHcIi7ZbK/view?usp=drivesdk" TargetMode="External"/><Relationship Id="rId533" Type="http://schemas.openxmlformats.org/officeDocument/2006/relationships/hyperlink" Target="https://drive.google.com/file/d/1pT_iO7SI6HjXN_dhGzK1lj9TBZ_XeSlZ/view?usp=drivesdk" TargetMode="External"/><Relationship Id="rId539" Type="http://schemas.openxmlformats.org/officeDocument/2006/relationships/hyperlink" Target="https://drive.google.com/file/d/1De4heUCNZrBHtK_HwtWxFg5ojku0LET9/view?usp=drivesdk" TargetMode="External"/><Relationship Id="rId538" Type="http://schemas.openxmlformats.org/officeDocument/2006/relationships/hyperlink" Target="https://drive.google.com/file/d/1xBriVpNBXgBSLUlZHzsy1imuxsn6UeC6/view?usp=drivesdk" TargetMode="External"/><Relationship Id="rId537" Type="http://schemas.openxmlformats.org/officeDocument/2006/relationships/hyperlink" Target="https://drive.google.com/file/d/165rTPMRkT3QB1ZDQWQE7IeXk4YTUYhnJ/view?usp=drivesdk" TargetMode="External"/><Relationship Id="rId532" Type="http://schemas.openxmlformats.org/officeDocument/2006/relationships/hyperlink" Target="https://drive.google.com/file/d/1yRM7PMjJmp9V2dth5_R4EYPWrfFH18v6/view?usp=drivesdk" TargetMode="External"/><Relationship Id="rId531" Type="http://schemas.openxmlformats.org/officeDocument/2006/relationships/hyperlink" Target="https://drive.google.com/file/d/1pMmA3H93Nl1B0fQh6JY9xc5-BhkmIkhR/view?usp=drivesdk" TargetMode="External"/><Relationship Id="rId530" Type="http://schemas.openxmlformats.org/officeDocument/2006/relationships/hyperlink" Target="https://drive.google.com/file/d/1J9_xQzoVpVNgL8zhS_DIpja6-9tikxST/view?usp=drivesdk" TargetMode="External"/><Relationship Id="rId569" Type="http://schemas.openxmlformats.org/officeDocument/2006/relationships/hyperlink" Target="https://drive.google.com/file/d/1KzuHJSNk6CC6fMLr_vqkjV_jjZh48VIE/view?usp=drivesdk" TargetMode="External"/><Relationship Id="rId568" Type="http://schemas.openxmlformats.org/officeDocument/2006/relationships/hyperlink" Target="https://drive.google.com/file/d/1Qt2oOT3C-lsiLtUgI_3Y3V7qm-wUN8ix/view?usp=drivesdk" TargetMode="External"/><Relationship Id="rId567" Type="http://schemas.openxmlformats.org/officeDocument/2006/relationships/hyperlink" Target="https://drive.google.com/file/d/1XQ9yaZzMq07WBM0uZTBeoTtCvXgkILi1/view?usp=drivesdk" TargetMode="External"/><Relationship Id="rId566" Type="http://schemas.openxmlformats.org/officeDocument/2006/relationships/hyperlink" Target="https://drive.google.com/file/d/1cHbU-yYnXP5qUK3-oCIAsCrHoG4RuOSX/view?usp=drivesdk" TargetMode="External"/><Relationship Id="rId561" Type="http://schemas.openxmlformats.org/officeDocument/2006/relationships/hyperlink" Target="https://drive.google.com/file/d/1djWYuzxFM22sf7u8thkIhluyESl7dWOa/view?usp=drivesdk" TargetMode="External"/><Relationship Id="rId560" Type="http://schemas.openxmlformats.org/officeDocument/2006/relationships/hyperlink" Target="https://drive.google.com/file/d/14jrXYY594Ad2WZufs1YVZQmYx8Q-riHS/view?usp=drivesdk" TargetMode="External"/><Relationship Id="rId565" Type="http://schemas.openxmlformats.org/officeDocument/2006/relationships/hyperlink" Target="https://drive.google.com/file/d/16c95SWc4WwqtNyUA601EfMLxZwnsXTs9/view?usp=drivesdk" TargetMode="External"/><Relationship Id="rId564" Type="http://schemas.openxmlformats.org/officeDocument/2006/relationships/hyperlink" Target="https://drive.google.com/file/d/1tbNets7nP4LbgNjrukHozmkF9HfJpYFK/view?usp=drivesdk" TargetMode="External"/><Relationship Id="rId563" Type="http://schemas.openxmlformats.org/officeDocument/2006/relationships/hyperlink" Target="https://drive.google.com/file/d/1oowD38OVr-FBHu8no979hvDo7SwRbmhj/view?usp=drivesdk" TargetMode="External"/><Relationship Id="rId562" Type="http://schemas.openxmlformats.org/officeDocument/2006/relationships/hyperlink" Target="https://drive.google.com/file/d/1fDygZL0jXP13klcOuoDgCY60avw__Yuu/view?usp=drivesdk" TargetMode="External"/><Relationship Id="rId558" Type="http://schemas.openxmlformats.org/officeDocument/2006/relationships/hyperlink" Target="https://drive.google.com/file/d/1KmE4CB9E5X--bxRWYB27l_fWUYWTyAcI/view?usp=drivesdk" TargetMode="External"/><Relationship Id="rId557" Type="http://schemas.openxmlformats.org/officeDocument/2006/relationships/hyperlink" Target="https://drive.google.com/file/d/103IW8csSFsTyKx67X6piIx_pgpZp7Y4a/view?usp=drivesdk" TargetMode="External"/><Relationship Id="rId556" Type="http://schemas.openxmlformats.org/officeDocument/2006/relationships/hyperlink" Target="https://drive.google.com/file/d/1_L7rGAb4LT77g7GBK7GzddX2lmFVab8x/view?usp=drivesdk" TargetMode="External"/><Relationship Id="rId555" Type="http://schemas.openxmlformats.org/officeDocument/2006/relationships/hyperlink" Target="https://drive.google.com/file/d/17eaFKTO321IyL9LciICKK2EDoCUhBNKt/view?usp=drivesdk" TargetMode="External"/><Relationship Id="rId559" Type="http://schemas.openxmlformats.org/officeDocument/2006/relationships/hyperlink" Target="https://drive.google.com/file/d/1Tr_yqHSXRAoWUwDloP2BeUFk_vOeRhmJ/view?usp=drivesdk" TargetMode="External"/><Relationship Id="rId550" Type="http://schemas.openxmlformats.org/officeDocument/2006/relationships/hyperlink" Target="https://drive.google.com/file/d/1JU278w8ekGDAKQ3gWS0BtLjluanK5o4U/view?usp=drivesdk" TargetMode="External"/><Relationship Id="rId554" Type="http://schemas.openxmlformats.org/officeDocument/2006/relationships/hyperlink" Target="https://drive.google.com/file/d/1XYFAU9ME7DcSvtQKB86cLfpX_qR_mI3O/view?usp=drivesdk" TargetMode="External"/><Relationship Id="rId553" Type="http://schemas.openxmlformats.org/officeDocument/2006/relationships/hyperlink" Target="https://drive.google.com/file/d/1AGYncXyLJlKBcjOzjm_IlHZFpe60e1Ig/view?usp=drivesdk" TargetMode="External"/><Relationship Id="rId552" Type="http://schemas.openxmlformats.org/officeDocument/2006/relationships/hyperlink" Target="https://drive.google.com/file/d/19upEl06vDge-tnc3zWFR72raTR5C8xTS/view?usp=drivesdk" TargetMode="External"/><Relationship Id="rId551" Type="http://schemas.openxmlformats.org/officeDocument/2006/relationships/hyperlink" Target="https://drive.google.com/file/d/1pgcBjt64hp9UGMLn_d601KoqdsO0Um1J/view?usp=drivesdk" TargetMode="External"/><Relationship Id="rId495" Type="http://schemas.openxmlformats.org/officeDocument/2006/relationships/hyperlink" Target="https://drive.google.com/file/d/1IfN-7sNxiSN-qqjKj2cX4jD8teNdtZvY/view?usp=drivesdk" TargetMode="External"/><Relationship Id="rId494" Type="http://schemas.openxmlformats.org/officeDocument/2006/relationships/hyperlink" Target="https://drive.google.com/file/d/1-0ktq5ACFd6cODsEsDp8TxCErEMTWOAv/view?usp=drivesdk" TargetMode="External"/><Relationship Id="rId493" Type="http://schemas.openxmlformats.org/officeDocument/2006/relationships/hyperlink" Target="https://drive.google.com/file/d/1z5_YxyFahagaONZDjK_6ojVoirLDgorc/view?usp=drivesdk" TargetMode="External"/><Relationship Id="rId492" Type="http://schemas.openxmlformats.org/officeDocument/2006/relationships/hyperlink" Target="https://drive.google.com/file/d/14quRNwy6RW_sEvyMtqhAPoW0p1elBT3K/view?usp=drivesdk" TargetMode="External"/><Relationship Id="rId499" Type="http://schemas.openxmlformats.org/officeDocument/2006/relationships/hyperlink" Target="https://drive.google.com/file/d/1489yrY2VhsOHXIZs83sqCui2iAFwsqOF/view?usp=drivesdk" TargetMode="External"/><Relationship Id="rId498" Type="http://schemas.openxmlformats.org/officeDocument/2006/relationships/hyperlink" Target="https://drive.google.com/file/d/1NkUzlHRmYzdcTvgZ8G1VecrD_zFigTYd/view?usp=drivesdk" TargetMode="External"/><Relationship Id="rId497" Type="http://schemas.openxmlformats.org/officeDocument/2006/relationships/hyperlink" Target="https://drive.google.com/file/d/10K8PUcsyiO2PRnBZhGxtb_1JIJID5_VI/view?usp=drivesdk" TargetMode="External"/><Relationship Id="rId496" Type="http://schemas.openxmlformats.org/officeDocument/2006/relationships/hyperlink" Target="https://drive.google.com/file/d/19FQrqTFZWxTsO00dxWMHSsnW6y_AwpRo/view?usp=drivesdk" TargetMode="External"/><Relationship Id="rId409" Type="http://schemas.openxmlformats.org/officeDocument/2006/relationships/hyperlink" Target="https://drive.google.com/file/d/16vaN9X0Au5eImBMdYuAX77rX8GUYBaXF/view?usp=drivesdk" TargetMode="External"/><Relationship Id="rId404" Type="http://schemas.openxmlformats.org/officeDocument/2006/relationships/hyperlink" Target="https://drive.google.com/file/d/1gPrS89_YNLo_pJ1wgxGV8HoErGISypSj/view?usp=drivesdk" TargetMode="External"/><Relationship Id="rId403" Type="http://schemas.openxmlformats.org/officeDocument/2006/relationships/hyperlink" Target="https://drive.google.com/file/d/1RZ50yTfKaXvDaipcSW2eGdvJIKfmGTQd/view?usp=drivesdk" TargetMode="External"/><Relationship Id="rId402" Type="http://schemas.openxmlformats.org/officeDocument/2006/relationships/hyperlink" Target="https://drive.google.com/file/d/1pPVNGdlMBox6npIPdVoFTCbXe_WO7ki4/view?usp=drivesdk" TargetMode="External"/><Relationship Id="rId401" Type="http://schemas.openxmlformats.org/officeDocument/2006/relationships/hyperlink" Target="https://drive.google.com/file/d/14bJhd7fhvwaNwxvVSRxviHIGVVadq1xd/view?usp=drivesdk" TargetMode="External"/><Relationship Id="rId408" Type="http://schemas.openxmlformats.org/officeDocument/2006/relationships/hyperlink" Target="https://drive.google.com/file/d/1K103-5PjBXOCnAOLzXpab4ONeYcjFqbI/view?usp=drivesdk" TargetMode="External"/><Relationship Id="rId407" Type="http://schemas.openxmlformats.org/officeDocument/2006/relationships/hyperlink" Target="https://drive.google.com/file/d/1TolZQZbMEG3d_Vt_58k_k8D4whYD4v01/view?usp=drivesdk" TargetMode="External"/><Relationship Id="rId406" Type="http://schemas.openxmlformats.org/officeDocument/2006/relationships/hyperlink" Target="https://drive.google.com/file/d/1SqXQ4rmUsWdQS7HdxC29A4BIp7ptTXCc/view?usp=drivesdk" TargetMode="External"/><Relationship Id="rId405" Type="http://schemas.openxmlformats.org/officeDocument/2006/relationships/hyperlink" Target="https://drive.google.com/file/d/1hl67WMvR5doJb-H2XTSsnGd6eh2Gt8-V/view?usp=drivesdk" TargetMode="External"/><Relationship Id="rId400" Type="http://schemas.openxmlformats.org/officeDocument/2006/relationships/hyperlink" Target="https://drive.google.com/file/d/1ewi6Wp2Qs29Qbhkpdt2cVTl1CD2mfusw/view?usp=drivesdk" TargetMode="External"/><Relationship Id="rId469" Type="http://schemas.openxmlformats.org/officeDocument/2006/relationships/hyperlink" Target="https://drive.google.com/file/d/1K1NG9B2-uKpW2VCUo6LqyxPjv3rawQdH/view?usp=drivesdk" TargetMode="External"/><Relationship Id="rId468" Type="http://schemas.openxmlformats.org/officeDocument/2006/relationships/hyperlink" Target="https://drive.google.com/file/d/1aVnGc7MjjadXw0XvwjWmQvlo3ofWY42Z/view?usp=drivesdk" TargetMode="External"/><Relationship Id="rId467" Type="http://schemas.openxmlformats.org/officeDocument/2006/relationships/hyperlink" Target="https://drive.google.com/file/d/1iZQ-nSgX-9cDMzOAV4vwCaG2zp8348yz/view?usp=drivesdk" TargetMode="External"/><Relationship Id="rId462" Type="http://schemas.openxmlformats.org/officeDocument/2006/relationships/hyperlink" Target="https://drive.google.com/file/d/1Nz3IMunOGeD-5SRn4pFBjZU9voV41a0F/view?usp=drivesdk" TargetMode="External"/><Relationship Id="rId461" Type="http://schemas.openxmlformats.org/officeDocument/2006/relationships/hyperlink" Target="https://drive.google.com/file/d/1AniQiZh9hPk4BZv12o2Hc_sU1P48V5C_/view?usp=drivesdk" TargetMode="External"/><Relationship Id="rId460" Type="http://schemas.openxmlformats.org/officeDocument/2006/relationships/hyperlink" Target="https://drive.google.com/file/d/1dUMAJncer-uqF8hq9RS-rRMhXJ-PRZ0I/view?usp=drivesdk" TargetMode="External"/><Relationship Id="rId466" Type="http://schemas.openxmlformats.org/officeDocument/2006/relationships/hyperlink" Target="https://drive.google.com/file/d/1CbvgfV-ATSDmeZmkjx3KbZgGf0qWrGw7/view?usp=drivesdk" TargetMode="External"/><Relationship Id="rId465" Type="http://schemas.openxmlformats.org/officeDocument/2006/relationships/hyperlink" Target="https://drive.google.com/file/d/1O2HWrMNfBTEi4qHz2_QCAltoyKTI_BwB/view?usp=drivesdk" TargetMode="External"/><Relationship Id="rId464" Type="http://schemas.openxmlformats.org/officeDocument/2006/relationships/hyperlink" Target="https://drive.google.com/file/d/1cQK2272Q7jF6H6Rn7fSkvmaoudYXiPgx/view?usp=drivesdk" TargetMode="External"/><Relationship Id="rId463" Type="http://schemas.openxmlformats.org/officeDocument/2006/relationships/hyperlink" Target="https://drive.google.com/file/d/1IZLUapSXb2TeMJ3-h7eg8Ht5dXzhhh4j/view?usp=drivesdk" TargetMode="External"/><Relationship Id="rId459" Type="http://schemas.openxmlformats.org/officeDocument/2006/relationships/hyperlink" Target="https://drive.google.com/file/d/1xj4kOOc2V96bIvWKaoOKYl8LrPKLn8Vb/view?usp=drivesdk" TargetMode="External"/><Relationship Id="rId458" Type="http://schemas.openxmlformats.org/officeDocument/2006/relationships/hyperlink" Target="https://drive.google.com/file/d/1d9KnkjYzRUHoAvEHrmZVlx6Yh252qnJQ/view?usp=drivesdk" TargetMode="External"/><Relationship Id="rId457" Type="http://schemas.openxmlformats.org/officeDocument/2006/relationships/hyperlink" Target="https://drive.google.com/file/d/1ehtId5DUmngpxwSdx5k0MSJJW1AbNVeT/view?usp=drivesdk" TargetMode="External"/><Relationship Id="rId456" Type="http://schemas.openxmlformats.org/officeDocument/2006/relationships/hyperlink" Target="https://drive.google.com/file/d/164baYnjyrwzXoYW9iWUGe0vq9dD85EW5/view?usp=drivesdk" TargetMode="External"/><Relationship Id="rId451" Type="http://schemas.openxmlformats.org/officeDocument/2006/relationships/hyperlink" Target="https://drive.google.com/file/d/1D7gnildjiLUmQOdyRDfgvnBA1uD_NfNs/view?usp=drivesdk" TargetMode="External"/><Relationship Id="rId450" Type="http://schemas.openxmlformats.org/officeDocument/2006/relationships/hyperlink" Target="https://drive.google.com/file/d/1RnlfhCVvKkEikqsb_duk9X1TQbKtBO0K/view?usp=drivesdk" TargetMode="External"/><Relationship Id="rId455" Type="http://schemas.openxmlformats.org/officeDocument/2006/relationships/hyperlink" Target="https://drive.google.com/file/d/15k6kwD7Bwj1q4-nukg-kjn7C9jiCjFRZ/view?usp=drivesdk" TargetMode="External"/><Relationship Id="rId454" Type="http://schemas.openxmlformats.org/officeDocument/2006/relationships/hyperlink" Target="https://drive.google.com/file/d/1cMxwW9xxzF7kFou5bpma2szlNw1X9hod/view?usp=drivesdk" TargetMode="External"/><Relationship Id="rId453" Type="http://schemas.openxmlformats.org/officeDocument/2006/relationships/hyperlink" Target="https://drive.google.com/file/d/120ss0j9KMizN9SXPD8-bo_7nyMWxNWLI/view?usp=drivesdk" TargetMode="External"/><Relationship Id="rId452" Type="http://schemas.openxmlformats.org/officeDocument/2006/relationships/hyperlink" Target="https://drive.google.com/file/d/1cKkR3GeZTzh3TzraL-aobyEOQ2pXU9uf/view?usp=drivesdk" TargetMode="External"/><Relationship Id="rId491" Type="http://schemas.openxmlformats.org/officeDocument/2006/relationships/hyperlink" Target="https://drive.google.com/file/d/1u3VYt3kMQqqkeTh2C9rkAsHpX47zU5Ax/view?usp=drivesdk" TargetMode="External"/><Relationship Id="rId490" Type="http://schemas.openxmlformats.org/officeDocument/2006/relationships/hyperlink" Target="https://drive.google.com/file/d/1mDnF9qRQ33T4NZrkmKa6nCGvqraNGcpI/view?usp=drivesdk" TargetMode="External"/><Relationship Id="rId489" Type="http://schemas.openxmlformats.org/officeDocument/2006/relationships/hyperlink" Target="https://drive.google.com/file/d/1NzL4IZLMlVqIUuXYHv4hilt8hp3tMxkZ/view?usp=drivesdk" TargetMode="External"/><Relationship Id="rId484" Type="http://schemas.openxmlformats.org/officeDocument/2006/relationships/hyperlink" Target="https://drive.google.com/file/d/1YAaZ_GSvbiVWeFyFKV359UZd1DKbnNlL/view?usp=drivesdk" TargetMode="External"/><Relationship Id="rId483" Type="http://schemas.openxmlformats.org/officeDocument/2006/relationships/hyperlink" Target="https://drive.google.com/file/d/1YuwSmeEj1EO6qF609liaB0KuK9HGblsL/view?usp=drivesdk" TargetMode="External"/><Relationship Id="rId482" Type="http://schemas.openxmlformats.org/officeDocument/2006/relationships/hyperlink" Target="https://drive.google.com/file/d/1vLIOuVW6H2ayqdQ3WvFnWHgWnnuYSiWI/view?usp=drivesdk" TargetMode="External"/><Relationship Id="rId481" Type="http://schemas.openxmlformats.org/officeDocument/2006/relationships/hyperlink" Target="https://drive.google.com/file/d/133Azy0q0nzQqx_Q2PzW38cRvhvDWdt1V/view?usp=drivesdk" TargetMode="External"/><Relationship Id="rId488" Type="http://schemas.openxmlformats.org/officeDocument/2006/relationships/hyperlink" Target="https://drive.google.com/file/d/1c1iEqpefbjNibn8bjDBk3VXfMJP3yXJj/view?usp=drivesdk" TargetMode="External"/><Relationship Id="rId487" Type="http://schemas.openxmlformats.org/officeDocument/2006/relationships/hyperlink" Target="https://drive.google.com/file/d/1fLaZMbX3NnOVHUzt6PyvGri4mo20rJiG/view?usp=drivesdk" TargetMode="External"/><Relationship Id="rId486" Type="http://schemas.openxmlformats.org/officeDocument/2006/relationships/hyperlink" Target="https://drive.google.com/file/d/1u5SVhr_-yBJt__Kril0u1mgikzDD1C0W/view?usp=drivesdk" TargetMode="External"/><Relationship Id="rId485" Type="http://schemas.openxmlformats.org/officeDocument/2006/relationships/hyperlink" Target="https://drive.google.com/file/d/1gAa9yvmr1asjHST3OtSYSDhpfAxpvJgx/view?usp=drivesdk" TargetMode="External"/><Relationship Id="rId480" Type="http://schemas.openxmlformats.org/officeDocument/2006/relationships/hyperlink" Target="https://drive.google.com/file/d/1yXuNRqKIn1nK5tEaIc8OY9WaG2AwIt3t/view?usp=drivesdk" TargetMode="External"/><Relationship Id="rId479" Type="http://schemas.openxmlformats.org/officeDocument/2006/relationships/hyperlink" Target="https://drive.google.com/file/d/1-28taPWKjEDcRhTzqMs7DByeC_HUYOp1/view?usp=drivesdk" TargetMode="External"/><Relationship Id="rId478" Type="http://schemas.openxmlformats.org/officeDocument/2006/relationships/hyperlink" Target="https://drive.google.com/file/d/1jchk1t1MUB2HoskGUeAPk_Rl2U8RDHim/view?usp=drivesdk" TargetMode="External"/><Relationship Id="rId473" Type="http://schemas.openxmlformats.org/officeDocument/2006/relationships/hyperlink" Target="https://drive.google.com/file/d/1xj9eiwAMtrGVMG_8LNUq1_2lAT8JOxMm/view?usp=drivesdk" TargetMode="External"/><Relationship Id="rId472" Type="http://schemas.openxmlformats.org/officeDocument/2006/relationships/hyperlink" Target="https://drive.google.com/file/d/1lxFMQ6d9EjR7OQEArU-8NQEkypYOs_a4/view?usp=drivesdk" TargetMode="External"/><Relationship Id="rId471" Type="http://schemas.openxmlformats.org/officeDocument/2006/relationships/hyperlink" Target="https://drive.google.com/file/d/1_QaQ-15x6NoXrpa_mAZ37PukwAQQDZ3-/view?usp=drivesdk" TargetMode="External"/><Relationship Id="rId470" Type="http://schemas.openxmlformats.org/officeDocument/2006/relationships/hyperlink" Target="https://drive.google.com/file/d/1-yI90IhR0dbHHppsdrT6gBWmK6lc3JPC/view?usp=drivesdk" TargetMode="External"/><Relationship Id="rId477" Type="http://schemas.openxmlformats.org/officeDocument/2006/relationships/hyperlink" Target="https://drive.google.com/file/d/1OU69EcuP-VSgyBajE2xTWnI__xD3zZMt/view?usp=drivesdk" TargetMode="External"/><Relationship Id="rId476" Type="http://schemas.openxmlformats.org/officeDocument/2006/relationships/hyperlink" Target="https://drive.google.com/file/d/1OA6Hm_clAA3Wu-RuJ0t9EKMhLCNjWA1G/view?usp=drivesdk" TargetMode="External"/><Relationship Id="rId475" Type="http://schemas.openxmlformats.org/officeDocument/2006/relationships/hyperlink" Target="https://drive.google.com/file/d/1pYCWg2sfXVlFQZittWNncYCe2uMWOIkQ/view?usp=drivesdk" TargetMode="External"/><Relationship Id="rId474" Type="http://schemas.openxmlformats.org/officeDocument/2006/relationships/hyperlink" Target="https://drive.google.com/file/d/1AlB5nvnS_bX-08wbQRNPnWvGpTshHMsQ/view?usp=drivesdk" TargetMode="External"/><Relationship Id="rId426" Type="http://schemas.openxmlformats.org/officeDocument/2006/relationships/hyperlink" Target="https://drive.google.com/file/d/1nTD8G6btnT4br_jHpZ9oC3jovCQA9p0b/view?usp=drivesdk" TargetMode="External"/><Relationship Id="rId425" Type="http://schemas.openxmlformats.org/officeDocument/2006/relationships/hyperlink" Target="https://drive.google.com/file/d/1cVxyNPivNPyGWRNBMDVQkMP5X1j0FDtq/view?usp=drivesdk" TargetMode="External"/><Relationship Id="rId424" Type="http://schemas.openxmlformats.org/officeDocument/2006/relationships/hyperlink" Target="https://drive.google.com/file/d/1iIAqGAvwI1xGWf3H_VUp8fTAjArQEN8t/view?usp=drivesdk" TargetMode="External"/><Relationship Id="rId423" Type="http://schemas.openxmlformats.org/officeDocument/2006/relationships/hyperlink" Target="https://drive.google.com/file/d/1JRkQiGfvkQG_L794TQNu-fs0UdBiYnQX/view?usp=drivesdk" TargetMode="External"/><Relationship Id="rId429" Type="http://schemas.openxmlformats.org/officeDocument/2006/relationships/hyperlink" Target="https://drive.google.com/file/d/1NA7Q0ReCLHSx0Ge3m842GbvgSvXa2uiB/view?usp=drivesdk" TargetMode="External"/><Relationship Id="rId428" Type="http://schemas.openxmlformats.org/officeDocument/2006/relationships/hyperlink" Target="https://drive.google.com/file/d/1Tsm3LXLimRv3rD4lxrWpTwLWfzdB-Zuy/view?usp=drivesdk" TargetMode="External"/><Relationship Id="rId427" Type="http://schemas.openxmlformats.org/officeDocument/2006/relationships/hyperlink" Target="https://drive.google.com/file/d/1z8L1k3j5C_4pqA2SIKLzTtrhRPr6vekY/view?usp=drivesdk" TargetMode="External"/><Relationship Id="rId422" Type="http://schemas.openxmlformats.org/officeDocument/2006/relationships/hyperlink" Target="https://drive.google.com/file/d/15cNf4oJjeDAKGriguOeo7qg2kaq8Fra7/view?usp=drivesdk" TargetMode="External"/><Relationship Id="rId421" Type="http://schemas.openxmlformats.org/officeDocument/2006/relationships/hyperlink" Target="https://drive.google.com/file/d/19dnghOCFt5UZLr1tQLjLbyAKn2iAkIVJ/view?usp=drivesdk" TargetMode="External"/><Relationship Id="rId420" Type="http://schemas.openxmlformats.org/officeDocument/2006/relationships/hyperlink" Target="https://drive.google.com/file/d/1w6UyX5FavI7fUSiwk57RJrmUZT2TJCs2/view?usp=drivesdk" TargetMode="External"/><Relationship Id="rId415" Type="http://schemas.openxmlformats.org/officeDocument/2006/relationships/hyperlink" Target="https://drive.google.com/file/d/1ocrkPSBbSJ16P2jIWjkCRgltBpu5kqhY/view?usp=drivesdk" TargetMode="External"/><Relationship Id="rId414" Type="http://schemas.openxmlformats.org/officeDocument/2006/relationships/hyperlink" Target="https://drive.google.com/file/d/1pn8r__-ODh3DqJGICz90cijiBK3rd-6V/view?usp=drivesdk" TargetMode="External"/><Relationship Id="rId413" Type="http://schemas.openxmlformats.org/officeDocument/2006/relationships/hyperlink" Target="https://drive.google.com/file/d/1r3KqSvfVGR_26Lx1EeyiPbzMyqC6uccC/view?usp=drivesdk" TargetMode="External"/><Relationship Id="rId412" Type="http://schemas.openxmlformats.org/officeDocument/2006/relationships/hyperlink" Target="https://drive.google.com/file/d/1u_Xcy_Q-A4yR4HzFHKgI-O9qMeRgVn2C/view?usp=drivesdk" TargetMode="External"/><Relationship Id="rId419" Type="http://schemas.openxmlformats.org/officeDocument/2006/relationships/hyperlink" Target="https://drive.google.com/file/d/1lPQiM2xmcFDJrxtQIA1cG9Sn1J_6N4pU/view?usp=drivesdk" TargetMode="External"/><Relationship Id="rId418" Type="http://schemas.openxmlformats.org/officeDocument/2006/relationships/hyperlink" Target="https://drive.google.com/file/d/1P81vOIL4g_dI_Ah9tkRjKwygelmQ52d-/view?usp=drivesdk" TargetMode="External"/><Relationship Id="rId417" Type="http://schemas.openxmlformats.org/officeDocument/2006/relationships/hyperlink" Target="https://drive.google.com/file/d/10QkLZ4uLfghS3TOwOFRnqg3sM_Wy2aHS/view?usp=drivesdk" TargetMode="External"/><Relationship Id="rId416" Type="http://schemas.openxmlformats.org/officeDocument/2006/relationships/hyperlink" Target="https://drive.google.com/file/d/1IHZL52MeldtjzYzO1nJ3-hYbCLOfUe-0/view?usp=drivesdk" TargetMode="External"/><Relationship Id="rId411" Type="http://schemas.openxmlformats.org/officeDocument/2006/relationships/hyperlink" Target="https://drive.google.com/file/d/1fm8yZwHzCGtzIZxYdJwoLqr8O-PNyshf/view?usp=drivesdk" TargetMode="External"/><Relationship Id="rId410" Type="http://schemas.openxmlformats.org/officeDocument/2006/relationships/hyperlink" Target="https://drive.google.com/file/d/1na22c6JSdqFQY8rejp4J0rnwoguhZ0pM/view?usp=drivesdk" TargetMode="External"/><Relationship Id="rId448" Type="http://schemas.openxmlformats.org/officeDocument/2006/relationships/hyperlink" Target="https://drive.google.com/file/d/1ba_biI2XtOKkraFdgloEIL4VmaRUqAMb/view?usp=drivesdk" TargetMode="External"/><Relationship Id="rId447" Type="http://schemas.openxmlformats.org/officeDocument/2006/relationships/hyperlink" Target="https://drive.google.com/file/d/1F2Bs_9OhezFxLNR930A9S6oVAf8_jS__/view?usp=drivesdk" TargetMode="External"/><Relationship Id="rId446" Type="http://schemas.openxmlformats.org/officeDocument/2006/relationships/hyperlink" Target="https://drive.google.com/file/d/1-aTg1nKts1EENtKkD0XuIyzYbLk9bS7x/view?usp=drivesdk" TargetMode="External"/><Relationship Id="rId445" Type="http://schemas.openxmlformats.org/officeDocument/2006/relationships/hyperlink" Target="https://drive.google.com/file/d/1CwKYAu264Cakoct_-C1Y1O_36CGVhgLE/view?usp=drivesdk" TargetMode="External"/><Relationship Id="rId449" Type="http://schemas.openxmlformats.org/officeDocument/2006/relationships/hyperlink" Target="https://drive.google.com/file/d/1hNXxqZIhHjR1dnSSSAJl_Hrp8XiKXc6h/view?usp=drivesdk" TargetMode="External"/><Relationship Id="rId440" Type="http://schemas.openxmlformats.org/officeDocument/2006/relationships/hyperlink" Target="https://drive.google.com/file/d/1W3whfkZulYOlONQ9bNpdcLzf6--npYYf/view?usp=drivesdk" TargetMode="External"/><Relationship Id="rId444" Type="http://schemas.openxmlformats.org/officeDocument/2006/relationships/hyperlink" Target="https://drive.google.com/file/d/1G-r2dSFc9zC9rWAdIBiT24nw2no1JgyY/view?usp=drivesdk" TargetMode="External"/><Relationship Id="rId443" Type="http://schemas.openxmlformats.org/officeDocument/2006/relationships/hyperlink" Target="https://drive.google.com/file/d/1FIV_5ws2Qpd0selMAW680uEFzRQ1OvR6/view?usp=drivesdk" TargetMode="External"/><Relationship Id="rId442" Type="http://schemas.openxmlformats.org/officeDocument/2006/relationships/hyperlink" Target="https://drive.google.com/file/d/1pQBY9aKynvpySZzXg3uOQCoPOYMY4Oyk/view?usp=drivesdk" TargetMode="External"/><Relationship Id="rId441" Type="http://schemas.openxmlformats.org/officeDocument/2006/relationships/hyperlink" Target="https://drive.google.com/file/d/1Ix1BjJGn0li4r73f3FdGzcHaATHvuL-f/view?usp=drivesdk" TargetMode="External"/><Relationship Id="rId437" Type="http://schemas.openxmlformats.org/officeDocument/2006/relationships/hyperlink" Target="https://drive.google.com/file/d/1EbEXuug61QOws52R748dTFwhLFrISjuF/view?usp=drivesdk" TargetMode="External"/><Relationship Id="rId436" Type="http://schemas.openxmlformats.org/officeDocument/2006/relationships/hyperlink" Target="https://drive.google.com/file/d/1UxRMIouP1ew2zbQ8Y4QVO1jzmE2OMhST/view?usp=drivesdk" TargetMode="External"/><Relationship Id="rId435" Type="http://schemas.openxmlformats.org/officeDocument/2006/relationships/hyperlink" Target="https://drive.google.com/file/d/14ADirn9i_bg27_WCse-E3SefOaoaKg10/view?usp=drivesdk" TargetMode="External"/><Relationship Id="rId434" Type="http://schemas.openxmlformats.org/officeDocument/2006/relationships/hyperlink" Target="https://drive.google.com/file/d/12n1rBgCEW6StruncqRVzku9iDC1ftDKh/view?usp=drivesdk" TargetMode="External"/><Relationship Id="rId439" Type="http://schemas.openxmlformats.org/officeDocument/2006/relationships/hyperlink" Target="https://drive.google.com/file/d/1s59ox_nFnYummaWqrpK2VZHkTwvg9FFU/view?usp=drivesdk" TargetMode="External"/><Relationship Id="rId438" Type="http://schemas.openxmlformats.org/officeDocument/2006/relationships/hyperlink" Target="https://drive.google.com/file/d/1Tngt2Y8KmvgXhWu8Ee67VX5HcQl4Za_o/view?usp=drivesdk" TargetMode="External"/><Relationship Id="rId433" Type="http://schemas.openxmlformats.org/officeDocument/2006/relationships/hyperlink" Target="https://drive.google.com/file/d/111N-vh9qzMfld7WdGi9qfICHeqefucNa/view?usp=drivesdk" TargetMode="External"/><Relationship Id="rId432" Type="http://schemas.openxmlformats.org/officeDocument/2006/relationships/hyperlink" Target="https://drive.google.com/file/d/1QJtxFP2YiUC_TEzERo4-oPbp_hVffLzd/view?usp=drivesdk" TargetMode="External"/><Relationship Id="rId431" Type="http://schemas.openxmlformats.org/officeDocument/2006/relationships/hyperlink" Target="https://drive.google.com/file/d/13L6HzJNdkD484hnDkCd7VOCJ_IafeVL3/view?usp=drivesdk" TargetMode="External"/><Relationship Id="rId430" Type="http://schemas.openxmlformats.org/officeDocument/2006/relationships/hyperlink" Target="https://drive.google.com/file/d/1prddupUKE3mA60A6PZ2f5Vq8ARRn99SL/view?usp=drivesdk" TargetMode="External"/><Relationship Id="rId808" Type="http://schemas.openxmlformats.org/officeDocument/2006/relationships/hyperlink" Target="https://drive.google.com/file/d/1ff2Tl8ycKhUIrH3XYLuJIZWhrMH7XBrd/view?usp=drivesdk" TargetMode="External"/><Relationship Id="rId807" Type="http://schemas.openxmlformats.org/officeDocument/2006/relationships/hyperlink" Target="https://drive.google.com/file/d/1TyeyeaBny5Cequ1I5XJs6rdjDIOw4sl7/view?usp=drivesdk" TargetMode="External"/><Relationship Id="rId806" Type="http://schemas.openxmlformats.org/officeDocument/2006/relationships/hyperlink" Target="https://drive.google.com/file/d/1nKWYV0Z5RnF0j9vArryJx2-D8rDl-V4b/view?usp=drivesdk" TargetMode="External"/><Relationship Id="rId805" Type="http://schemas.openxmlformats.org/officeDocument/2006/relationships/hyperlink" Target="https://drive.google.com/file/d/1nMtkCnVgUDIDEiiFFxoyJogjUhO3LrNa/view?usp=drivesdk" TargetMode="External"/><Relationship Id="rId809" Type="http://schemas.openxmlformats.org/officeDocument/2006/relationships/hyperlink" Target="https://drive.google.com/file/d/1I6lVH4H3HI51n12YTI3u5tww9GaebxUb/view?usp=drivesdk" TargetMode="External"/><Relationship Id="rId800" Type="http://schemas.openxmlformats.org/officeDocument/2006/relationships/hyperlink" Target="https://drive.google.com/file/d/1zRd-tnkhTyPbAq_53-V0sAf8NVzzE5-6/view?usp=drivesdk" TargetMode="External"/><Relationship Id="rId804" Type="http://schemas.openxmlformats.org/officeDocument/2006/relationships/hyperlink" Target="https://drive.google.com/file/d/1r7KUpAdziAYXhLGD9uM7VmGCnwOv5yec/view?usp=drivesdk" TargetMode="External"/><Relationship Id="rId803" Type="http://schemas.openxmlformats.org/officeDocument/2006/relationships/hyperlink" Target="https://drive.google.com/file/d/1J05ROsZ3VBq8I_nQpvwihMTWKeZK6u59/view?usp=drivesdk" TargetMode="External"/><Relationship Id="rId802" Type="http://schemas.openxmlformats.org/officeDocument/2006/relationships/hyperlink" Target="https://drive.google.com/file/d/1HN7u00RKaiA1jywwtJJLZcJOW_SuDUvR/view?usp=drivesdk" TargetMode="External"/><Relationship Id="rId801" Type="http://schemas.openxmlformats.org/officeDocument/2006/relationships/hyperlink" Target="https://drive.google.com/file/d/13UjMj1wx9KKIdPLOrpgfjhjA6VgozROD/view?usp=drivesdk" TargetMode="External"/><Relationship Id="rId745" Type="http://schemas.openxmlformats.org/officeDocument/2006/relationships/hyperlink" Target="https://drive.google.com/file/d/19k9Yq-Z2xnQxqBPY-ibrjyViozOCEYUS/view?usp=drivesdk" TargetMode="External"/><Relationship Id="rId744" Type="http://schemas.openxmlformats.org/officeDocument/2006/relationships/hyperlink" Target="https://drive.google.com/file/d/16PR7a6IuID9gCa_ABGRM9Klw0enh0vWV/view?usp=drivesdk" TargetMode="External"/><Relationship Id="rId743" Type="http://schemas.openxmlformats.org/officeDocument/2006/relationships/hyperlink" Target="https://drive.google.com/file/d/1CMUxyLixwh6Uo2LtNiyek0qTuqGFQUy1/view?usp=drivesdk" TargetMode="External"/><Relationship Id="rId742" Type="http://schemas.openxmlformats.org/officeDocument/2006/relationships/hyperlink" Target="https://drive.google.com/file/d/1hkiVUvAwIt_BdN7I7OF5amtcBrGWmm9Z/view?usp=drivesdk" TargetMode="External"/><Relationship Id="rId749" Type="http://schemas.openxmlformats.org/officeDocument/2006/relationships/hyperlink" Target="https://drive.google.com/file/d/1EsBTkbs9luiK-YgXfFKYkEopJU6Dbe4F/view?usp=drivesdk" TargetMode="External"/><Relationship Id="rId748" Type="http://schemas.openxmlformats.org/officeDocument/2006/relationships/hyperlink" Target="https://drive.google.com/file/d/1_maac-jO_vH6GAD9ydX4Wyg6DLfaAY1i/view?usp=drivesdk" TargetMode="External"/><Relationship Id="rId747" Type="http://schemas.openxmlformats.org/officeDocument/2006/relationships/hyperlink" Target="https://drive.google.com/file/d/123ANjbPOKiNv4VQ2tafaAHfdfycEO33D/view?usp=drivesdk" TargetMode="External"/><Relationship Id="rId746" Type="http://schemas.openxmlformats.org/officeDocument/2006/relationships/hyperlink" Target="https://drive.google.com/file/d/1WDnTnusdML0SRJxLl7sn_nwT37_QZcSd/view?usp=drivesdk" TargetMode="External"/><Relationship Id="rId741" Type="http://schemas.openxmlformats.org/officeDocument/2006/relationships/hyperlink" Target="https://drive.google.com/file/d/1EXdRCKLGGOoAc3ao3aUV30oC83_lHySv/view?usp=drivesdk" TargetMode="External"/><Relationship Id="rId740" Type="http://schemas.openxmlformats.org/officeDocument/2006/relationships/hyperlink" Target="https://drive.google.com/file/d/1kBlW3244WVj5jG7NLzrLNHv1UbK8pLTe/view?usp=drivesdk" TargetMode="External"/><Relationship Id="rId739" Type="http://schemas.openxmlformats.org/officeDocument/2006/relationships/hyperlink" Target="https://drive.google.com/file/d/1sEXNG2guvIeVTC5ub6xQltrB3cL9OxkW/view?usp=drivesdk" TargetMode="External"/><Relationship Id="rId734" Type="http://schemas.openxmlformats.org/officeDocument/2006/relationships/hyperlink" Target="https://drive.google.com/file/d/1FPcBqfMQVYjPjIz60W-_vqphZKXJLgQD/view?usp=drivesdk" TargetMode="External"/><Relationship Id="rId733" Type="http://schemas.openxmlformats.org/officeDocument/2006/relationships/hyperlink" Target="https://drive.google.com/file/d/1bDVRXQUDVsy0DQBW3sC0TexcxkLWnBQ5/view?usp=drivesdk" TargetMode="External"/><Relationship Id="rId732" Type="http://schemas.openxmlformats.org/officeDocument/2006/relationships/hyperlink" Target="https://drive.google.com/file/d/1twaohFr9UeCKtVdT6jti1aEj9bi4_GSI/view?usp=drivesdk" TargetMode="External"/><Relationship Id="rId731" Type="http://schemas.openxmlformats.org/officeDocument/2006/relationships/hyperlink" Target="https://drive.google.com/file/d/1o1Ye0Z8AXa0sJ1GaFBFQv_90Yya-Fqdo/view?usp=drivesdk" TargetMode="External"/><Relationship Id="rId738" Type="http://schemas.openxmlformats.org/officeDocument/2006/relationships/hyperlink" Target="https://drive.google.com/file/d/196aQUfapuW3rd2k9wWiz7AsqqqQNRdmg/view?usp=drivesdk" TargetMode="External"/><Relationship Id="rId737" Type="http://schemas.openxmlformats.org/officeDocument/2006/relationships/hyperlink" Target="https://drive.google.com/file/d/12HZu3Njomr_fL0-m77frrSvR1jL_RzHz/view?usp=drivesdk" TargetMode="External"/><Relationship Id="rId736" Type="http://schemas.openxmlformats.org/officeDocument/2006/relationships/hyperlink" Target="https://drive.google.com/file/d/1M-VDbNunDxe0SIX-ofkWWyEyTjRIriuH/view?usp=drivesdk" TargetMode="External"/><Relationship Id="rId735" Type="http://schemas.openxmlformats.org/officeDocument/2006/relationships/hyperlink" Target="https://drive.google.com/file/d/1r-66mAALOhNVOcSamMt93SFZpRs0PPQ5/view?usp=drivesdk" TargetMode="External"/><Relationship Id="rId730" Type="http://schemas.openxmlformats.org/officeDocument/2006/relationships/hyperlink" Target="https://drive.google.com/file/d/13v5KbERPDWmrsjVE1F3ImyTu_G2Tet6m/view?usp=drivesdk" TargetMode="External"/><Relationship Id="rId767" Type="http://schemas.openxmlformats.org/officeDocument/2006/relationships/hyperlink" Target="https://drive.google.com/file/d/11Vfz-9JbU981Fu0EbrVWLhSWVjgJ6c4p/view?usp=drivesdk" TargetMode="External"/><Relationship Id="rId766" Type="http://schemas.openxmlformats.org/officeDocument/2006/relationships/hyperlink" Target="https://drive.google.com/file/d/1h1eM3Ezl3N9tML8YfkwP06Q64UhyANjH/view?usp=drivesdk" TargetMode="External"/><Relationship Id="rId765" Type="http://schemas.openxmlformats.org/officeDocument/2006/relationships/hyperlink" Target="https://drive.google.com/file/d/1JqxZleQGSD2jUuRyvmX3cBRruUXFXZTR/view?usp=drivesdk" TargetMode="External"/><Relationship Id="rId764" Type="http://schemas.openxmlformats.org/officeDocument/2006/relationships/hyperlink" Target="https://drive.google.com/file/d/1Gbgb5MvPaAcbRrKIWa-GdkKj6ZywjT5J/view?usp=drivesdk" TargetMode="External"/><Relationship Id="rId769" Type="http://schemas.openxmlformats.org/officeDocument/2006/relationships/hyperlink" Target="https://drive.google.com/file/d/1ACQivQYLQom7zGntIDsY7zDfVTt9u3uK/view?usp=drivesdk" TargetMode="External"/><Relationship Id="rId768" Type="http://schemas.openxmlformats.org/officeDocument/2006/relationships/hyperlink" Target="https://drive.google.com/file/d/17-8oLWxIh0fWYXgrOGe68GSGm5czX5Wm/view?usp=drivesdk" TargetMode="External"/><Relationship Id="rId763" Type="http://schemas.openxmlformats.org/officeDocument/2006/relationships/hyperlink" Target="https://drive.google.com/file/d/10FXuDKnklMJPsxID7-OYNywJCh9YohRM/view?usp=drivesdk" TargetMode="External"/><Relationship Id="rId762" Type="http://schemas.openxmlformats.org/officeDocument/2006/relationships/hyperlink" Target="https://drive.google.com/file/d/1UqCpvfmrI5V7nlWnv0gboxTHXB_NRz4j/view?usp=drivesdk" TargetMode="External"/><Relationship Id="rId761" Type="http://schemas.openxmlformats.org/officeDocument/2006/relationships/hyperlink" Target="https://drive.google.com/file/d/1JdPe1EOfZZSig4WhokLLINgRq2UWE23Q/view?usp=drivesdk" TargetMode="External"/><Relationship Id="rId760" Type="http://schemas.openxmlformats.org/officeDocument/2006/relationships/hyperlink" Target="https://drive.google.com/file/d/1-GvIRjoiNxQa6xturaYTIL9DpJn9lygT/view?usp=drivesdk" TargetMode="External"/><Relationship Id="rId756" Type="http://schemas.openxmlformats.org/officeDocument/2006/relationships/hyperlink" Target="https://drive.google.com/file/d/1yXcHfpEBxoXh7_Cg-mwlBjL3EP2pC2Dn/view?usp=drivesdk" TargetMode="External"/><Relationship Id="rId755" Type="http://schemas.openxmlformats.org/officeDocument/2006/relationships/hyperlink" Target="https://drive.google.com/file/d/1XS5bNMvCtzfaVTjdzAO5hh3qGbQ7TXqk/view?usp=drivesdk" TargetMode="External"/><Relationship Id="rId754" Type="http://schemas.openxmlformats.org/officeDocument/2006/relationships/hyperlink" Target="https://drive.google.com/file/d/1k2ytf4pBcVrBZfHEZSAiFjQVE4q2kuMo/view?usp=drivesdk" TargetMode="External"/><Relationship Id="rId753" Type="http://schemas.openxmlformats.org/officeDocument/2006/relationships/hyperlink" Target="https://drive.google.com/file/d/1elJ-1VnOY1yhHpaLL53mqcxZChoq7c9Y/view?usp=drivesdk" TargetMode="External"/><Relationship Id="rId759" Type="http://schemas.openxmlformats.org/officeDocument/2006/relationships/hyperlink" Target="https://drive.google.com/file/d/1KTr_w1FGXVLT8MzfCox0ZL80TmnbnQsk/view?usp=drivesdk" TargetMode="External"/><Relationship Id="rId758" Type="http://schemas.openxmlformats.org/officeDocument/2006/relationships/hyperlink" Target="https://drive.google.com/file/d/1GfHoFrdZgWzFy-R5BV6KwdNPgWoAP_Y9/view?usp=drivesdk" TargetMode="External"/><Relationship Id="rId757" Type="http://schemas.openxmlformats.org/officeDocument/2006/relationships/hyperlink" Target="https://drive.google.com/file/d/1JJxt-PHKFpureeEwTJhlGBuviGt-a1Q5/view?usp=drivesdk" TargetMode="External"/><Relationship Id="rId752" Type="http://schemas.openxmlformats.org/officeDocument/2006/relationships/hyperlink" Target="https://drive.google.com/file/d/1I9-7Rt_8G6Ob_H7kJKnsbfRXphI8xM0I/view?usp=drivesdk" TargetMode="External"/><Relationship Id="rId751" Type="http://schemas.openxmlformats.org/officeDocument/2006/relationships/hyperlink" Target="https://drive.google.com/file/d/1TggK5bPL_CbwzAuw7JK5_7mzndqC6LRb/view?usp=drivesdk" TargetMode="External"/><Relationship Id="rId750" Type="http://schemas.openxmlformats.org/officeDocument/2006/relationships/hyperlink" Target="https://drive.google.com/file/d/1cdkSv8BAiUJSlo8x2ZPFo1s2QXDsE_zq/view?usp=drivesdk" TargetMode="External"/><Relationship Id="rId709" Type="http://schemas.openxmlformats.org/officeDocument/2006/relationships/hyperlink" Target="https://drive.google.com/file/d/1oVV9kIXtIPio6kFHUxAo6QeHZB1VlTYD/view?usp=drivesdk" TargetMode="External"/><Relationship Id="rId708" Type="http://schemas.openxmlformats.org/officeDocument/2006/relationships/hyperlink" Target="https://drive.google.com/file/d/1p7s70Np8Qu-DCI0sI2RPjo5tr-_P1tRm/view?usp=drivesdk" TargetMode="External"/><Relationship Id="rId707" Type="http://schemas.openxmlformats.org/officeDocument/2006/relationships/hyperlink" Target="https://drive.google.com/file/d/1RtYmO98M20Pa1kZTF-V587SWUmlQgVDv/view?usp=drivesdk" TargetMode="External"/><Relationship Id="rId706" Type="http://schemas.openxmlformats.org/officeDocument/2006/relationships/hyperlink" Target="https://drive.google.com/file/d/1VHKMRnMfj26gOZHmwqDl5gNqqe-KCm_o/view?usp=drivesdk" TargetMode="External"/><Relationship Id="rId701" Type="http://schemas.openxmlformats.org/officeDocument/2006/relationships/hyperlink" Target="https://drive.google.com/file/d/1quTDtOhek596_39htomocEUuFgpl5qb9/view?usp=drivesdk" TargetMode="External"/><Relationship Id="rId700" Type="http://schemas.openxmlformats.org/officeDocument/2006/relationships/hyperlink" Target="https://drive.google.com/file/d/1EGfsIxdJc9hP5ffxwKQQzxfPFcCEmOdM/view?usp=drivesdk" TargetMode="External"/><Relationship Id="rId705" Type="http://schemas.openxmlformats.org/officeDocument/2006/relationships/hyperlink" Target="https://drive.google.com/file/d/1ZI3WUapRAuyaziBJJnNAWS9dkeBsb0X8/view?usp=drivesdk" TargetMode="External"/><Relationship Id="rId704" Type="http://schemas.openxmlformats.org/officeDocument/2006/relationships/hyperlink" Target="https://drive.google.com/file/d/1dqDdmzq-mVApLrAYug7DVO5gznO4yC5X/view?usp=drivesdk" TargetMode="External"/><Relationship Id="rId703" Type="http://schemas.openxmlformats.org/officeDocument/2006/relationships/hyperlink" Target="https://drive.google.com/file/d/1yPD3eiRmoClOfysynX56IMXM2iLaAL05/view?usp=drivesdk" TargetMode="External"/><Relationship Id="rId702" Type="http://schemas.openxmlformats.org/officeDocument/2006/relationships/hyperlink" Target="https://drive.google.com/file/d/1JDdldS1O2slAnPoQjvuC3-qskdUG0AMH/view?usp=drivesdk" TargetMode="External"/><Relationship Id="rId729" Type="http://schemas.openxmlformats.org/officeDocument/2006/relationships/hyperlink" Target="https://drive.google.com/file/d/1_-lIeW9hC9bP3sYIXN3OtdQ_zIyeBxCS/view?usp=drivesdk" TargetMode="External"/><Relationship Id="rId728" Type="http://schemas.openxmlformats.org/officeDocument/2006/relationships/hyperlink" Target="https://drive.google.com/file/d/1IVVOHxnAxsKXLNsc36cZWvTMsfrbtSE9/view?usp=drivesdk" TargetMode="External"/><Relationship Id="rId723" Type="http://schemas.openxmlformats.org/officeDocument/2006/relationships/hyperlink" Target="https://drive.google.com/file/d/1ZrV4xXWKEFTl6fKJFLvK63fadi2XhHDi/view?usp=drivesdk" TargetMode="External"/><Relationship Id="rId722" Type="http://schemas.openxmlformats.org/officeDocument/2006/relationships/hyperlink" Target="https://drive.google.com/file/d/1QfRiU62z9FYVvEOScw50GLKYZz4HeLVA/view?usp=drivesdk" TargetMode="External"/><Relationship Id="rId721" Type="http://schemas.openxmlformats.org/officeDocument/2006/relationships/hyperlink" Target="https://drive.google.com/file/d/1s5CZVyZPlWfxPe_BCx9wQZhiTfSxSVyR/view?usp=drivesdk" TargetMode="External"/><Relationship Id="rId720" Type="http://schemas.openxmlformats.org/officeDocument/2006/relationships/hyperlink" Target="https://drive.google.com/file/d/1kjh7PK0Ox-qGpEMXz_UUeQNURMNYBKqt/view?usp=drivesdk" TargetMode="External"/><Relationship Id="rId727" Type="http://schemas.openxmlformats.org/officeDocument/2006/relationships/hyperlink" Target="https://drive.google.com/file/d/1neLC_n_0FwW3fVerXyYKX6xIMFRNF2vT/view?usp=drivesdk" TargetMode="External"/><Relationship Id="rId726" Type="http://schemas.openxmlformats.org/officeDocument/2006/relationships/hyperlink" Target="https://drive.google.com/file/d/1HK6W_AYlF8xF8_p3fgGF6vafL75d4uSy/view?usp=drivesdk" TargetMode="External"/><Relationship Id="rId725" Type="http://schemas.openxmlformats.org/officeDocument/2006/relationships/hyperlink" Target="https://drive.google.com/file/d/154gRv0hfGqijWm_paMhGF0CG-V9afnmi/view?usp=drivesdk" TargetMode="External"/><Relationship Id="rId724" Type="http://schemas.openxmlformats.org/officeDocument/2006/relationships/hyperlink" Target="https://drive.google.com/file/d/10Tj8_Xyle9eiIdyJI2JcbDFy2w1ZnGAu/view?usp=drivesdk" TargetMode="External"/><Relationship Id="rId719" Type="http://schemas.openxmlformats.org/officeDocument/2006/relationships/hyperlink" Target="https://drive.google.com/file/d/1fDqUg8ngmgOEK73gj5sizxD2pXRzXzLj/view?usp=drivesdk" TargetMode="External"/><Relationship Id="rId718" Type="http://schemas.openxmlformats.org/officeDocument/2006/relationships/hyperlink" Target="https://drive.google.com/file/d/1XKL91bMYiwbJ8QruvrHIodHGeI3GD74Z/view?usp=drivesdk" TargetMode="External"/><Relationship Id="rId717" Type="http://schemas.openxmlformats.org/officeDocument/2006/relationships/hyperlink" Target="https://drive.google.com/file/d/1LpZIdNDfMUTKT7iMnvtZZlLvWIcStYBs/view?usp=drivesdk" TargetMode="External"/><Relationship Id="rId712" Type="http://schemas.openxmlformats.org/officeDocument/2006/relationships/hyperlink" Target="https://drive.google.com/file/d/1fHKDmg1MtbOwElSSfMvxDuBYR9hbxb9f/view?usp=drivesdk" TargetMode="External"/><Relationship Id="rId711" Type="http://schemas.openxmlformats.org/officeDocument/2006/relationships/hyperlink" Target="https://drive.google.com/file/d/1J9mG70Rk2cfSUqs_JGR6NpxysDibsBKk/view?usp=drivesdk" TargetMode="External"/><Relationship Id="rId710" Type="http://schemas.openxmlformats.org/officeDocument/2006/relationships/hyperlink" Target="https://drive.google.com/file/d/1wUdRPAmatAn-5OXuAgbI7lgdPHwVHaI2/view?usp=drivesdk" TargetMode="External"/><Relationship Id="rId716" Type="http://schemas.openxmlformats.org/officeDocument/2006/relationships/hyperlink" Target="https://drive.google.com/file/d/1mV132d8juEbaBX6wJCNMKrK8k40NeczA/view?usp=drivesdk" TargetMode="External"/><Relationship Id="rId715" Type="http://schemas.openxmlformats.org/officeDocument/2006/relationships/hyperlink" Target="https://drive.google.com/file/d/1P2LqEAFyfUlxT5RbHNyiHT9wNMRTrqVD/view?usp=drivesdk" TargetMode="External"/><Relationship Id="rId714" Type="http://schemas.openxmlformats.org/officeDocument/2006/relationships/hyperlink" Target="https://drive.google.com/file/d/12DWAx7eUrxfsn36axdai4fJc5QDKhb5T/view?usp=drivesdk" TargetMode="External"/><Relationship Id="rId713" Type="http://schemas.openxmlformats.org/officeDocument/2006/relationships/hyperlink" Target="https://drive.google.com/file/d/1EmRqMwG72iRmWYFdRas47mjxpAfTc01H/view?usp=drivesdk" TargetMode="External"/><Relationship Id="rId789" Type="http://schemas.openxmlformats.org/officeDocument/2006/relationships/hyperlink" Target="https://drive.google.com/file/d/1eqixNfcxAQTKtujRVW-woemnjoBcZj3q/view?usp=drivesdk" TargetMode="External"/><Relationship Id="rId788" Type="http://schemas.openxmlformats.org/officeDocument/2006/relationships/hyperlink" Target="https://drive.google.com/file/d/1AswNDqpqEeEmlcY83mllDe9Q3-5zYTOu/view?usp=drivesdk" TargetMode="External"/><Relationship Id="rId787" Type="http://schemas.openxmlformats.org/officeDocument/2006/relationships/hyperlink" Target="https://drive.google.com/file/d/1l72uOIVdb919diFBn7yVv9EnMaelyY3H/view?usp=drivesdk" TargetMode="External"/><Relationship Id="rId786" Type="http://schemas.openxmlformats.org/officeDocument/2006/relationships/hyperlink" Target="https://drive.google.com/file/d/1bG0Jw8-BToWF_W8qtj4bcOy4GeMOPorw/view?usp=drivesdk" TargetMode="External"/><Relationship Id="rId781" Type="http://schemas.openxmlformats.org/officeDocument/2006/relationships/hyperlink" Target="https://drive.google.com/file/d/1Fk4Z3jcgVeeJsXaPLYEcZ9ZeKBOUk1j3/view?usp=drivesdk" TargetMode="External"/><Relationship Id="rId780" Type="http://schemas.openxmlformats.org/officeDocument/2006/relationships/hyperlink" Target="https://drive.google.com/file/d/149L19eJpey4VJtXrEnoiPId-XKjQj44_/view?usp=drivesdk" TargetMode="External"/><Relationship Id="rId785" Type="http://schemas.openxmlformats.org/officeDocument/2006/relationships/hyperlink" Target="https://drive.google.com/file/d/17_4rLObgYeGx47WoFJofU7RuvjxmjlQr/view?usp=drivesdk" TargetMode="External"/><Relationship Id="rId784" Type="http://schemas.openxmlformats.org/officeDocument/2006/relationships/hyperlink" Target="https://drive.google.com/file/d/1hKEGvMIv7DJJPSnWxJgLNpNMZv3AOlqU/view?usp=drivesdk" TargetMode="External"/><Relationship Id="rId783" Type="http://schemas.openxmlformats.org/officeDocument/2006/relationships/hyperlink" Target="https://drive.google.com/file/d/1u2WERi9J38iDr6IfHpnr88JL_Wd9yifx/view?usp=drivesdk" TargetMode="External"/><Relationship Id="rId782" Type="http://schemas.openxmlformats.org/officeDocument/2006/relationships/hyperlink" Target="https://drive.google.com/file/d/1TwWwpJV7WkGqLukHq90qA4J6IfRC5i6c/view?usp=drivesdk" TargetMode="External"/><Relationship Id="rId778" Type="http://schemas.openxmlformats.org/officeDocument/2006/relationships/hyperlink" Target="https://drive.google.com/file/d/1QOB3e7o_m6Lt6UaIvTqu8R6DpNpH7GsT/view?usp=drivesdk" TargetMode="External"/><Relationship Id="rId777" Type="http://schemas.openxmlformats.org/officeDocument/2006/relationships/hyperlink" Target="https://drive.google.com/file/d/1JmTny-588LBvh0qK4ETO4_ay6ovXsnYI/view?usp=drivesdk" TargetMode="External"/><Relationship Id="rId776" Type="http://schemas.openxmlformats.org/officeDocument/2006/relationships/hyperlink" Target="https://drive.google.com/file/d/1DGrYvO2iNXe6SP-UCfUrJR3fnR3rYCWi/view?usp=drivesdk" TargetMode="External"/><Relationship Id="rId775" Type="http://schemas.openxmlformats.org/officeDocument/2006/relationships/hyperlink" Target="https://drive.google.com/file/d/1JKQ1BQ0GdT_DYBEfe0I5XGupaWc1rrRE/view?usp=drivesdk" TargetMode="External"/><Relationship Id="rId779" Type="http://schemas.openxmlformats.org/officeDocument/2006/relationships/hyperlink" Target="https://drive.google.com/file/d/1JSll60vGJnEZDPurhqhV8wG8Nz_pz_sF/view?usp=drivesdk" TargetMode="External"/><Relationship Id="rId770" Type="http://schemas.openxmlformats.org/officeDocument/2006/relationships/hyperlink" Target="https://drive.google.com/file/d/1C2ZiAwOT8mm0dkpX7Cctt9-ZjusmH3GQ/view?usp=drivesdk" TargetMode="External"/><Relationship Id="rId774" Type="http://schemas.openxmlformats.org/officeDocument/2006/relationships/hyperlink" Target="https://drive.google.com/file/d/1gECqfaOZXnbo_j-MxC66AkaKCGEGVAhq/view?usp=drivesdk" TargetMode="External"/><Relationship Id="rId773" Type="http://schemas.openxmlformats.org/officeDocument/2006/relationships/hyperlink" Target="https://drive.google.com/file/d/1w9TH0FNG5MNAy_h3m3Y8TVQLyuqt0WE8/view?usp=drivesdk" TargetMode="External"/><Relationship Id="rId772" Type="http://schemas.openxmlformats.org/officeDocument/2006/relationships/hyperlink" Target="https://drive.google.com/file/d/1Nlv9R79up6p7iA-I3fy2Xnv72sYLnp2n/view?usp=drivesdk" TargetMode="External"/><Relationship Id="rId771" Type="http://schemas.openxmlformats.org/officeDocument/2006/relationships/hyperlink" Target="https://drive.google.com/file/d/1rO3VQ2nXKek5GhGELokzv5rJv4NdxszI/view?usp=drivesdk" TargetMode="External"/><Relationship Id="rId799" Type="http://schemas.openxmlformats.org/officeDocument/2006/relationships/hyperlink" Target="https://drive.google.com/file/d/1YXKly1P-7ZY6bFj1uNDDO2Ux_UB0TNio/view?usp=drivesdk" TargetMode="External"/><Relationship Id="rId798" Type="http://schemas.openxmlformats.org/officeDocument/2006/relationships/hyperlink" Target="https://drive.google.com/file/d/1mkGFfpaw-061iQYVrs56SpLCh_2df5k_/view?usp=drivesdk" TargetMode="External"/><Relationship Id="rId797" Type="http://schemas.openxmlformats.org/officeDocument/2006/relationships/hyperlink" Target="https://drive.google.com/file/d/1kbyTei5BmyOcp94fbMXcuhu_vR4WkcAD/view?usp=drivesdk" TargetMode="External"/><Relationship Id="rId792" Type="http://schemas.openxmlformats.org/officeDocument/2006/relationships/hyperlink" Target="https://drive.google.com/file/d/12thLKjT4P1hpgYWH1Z-toDJWty4tByxh/view?usp=drivesdk" TargetMode="External"/><Relationship Id="rId791" Type="http://schemas.openxmlformats.org/officeDocument/2006/relationships/hyperlink" Target="https://drive.google.com/file/d/1jFXCLihBV0Aw6yYTkWg9kvrszHELzhCn/view?usp=drivesdk" TargetMode="External"/><Relationship Id="rId790" Type="http://schemas.openxmlformats.org/officeDocument/2006/relationships/hyperlink" Target="https://drive.google.com/file/d/1J4aZQgkx-qXjhJjLwtnoK6aizz6PN5EW/view?usp=drivesdk" TargetMode="External"/><Relationship Id="rId796" Type="http://schemas.openxmlformats.org/officeDocument/2006/relationships/hyperlink" Target="https://drive.google.com/file/d/1SSvcRY34nTmsAVYp2VHgLgygAwtSZn0y/view?usp=drivesdk" TargetMode="External"/><Relationship Id="rId795" Type="http://schemas.openxmlformats.org/officeDocument/2006/relationships/hyperlink" Target="https://drive.google.com/file/d/153r8-j8RbperTS9CXUH1SHJ5pheM_xOB/view?usp=drivesdk" TargetMode="External"/><Relationship Id="rId794" Type="http://schemas.openxmlformats.org/officeDocument/2006/relationships/hyperlink" Target="https://drive.google.com/file/d/1Ik7m8DaFz48u0nAyOL0-vPC2QtGCfTcZ/view?usp=drivesdk" TargetMode="External"/><Relationship Id="rId793" Type="http://schemas.openxmlformats.org/officeDocument/2006/relationships/hyperlink" Target="https://drive.google.com/file/d/1yaZGp5q3MfI8a-RWuyOhab45fk0g6rwM/view?usp=drivesdk" TargetMode="External"/><Relationship Id="rId629" Type="http://schemas.openxmlformats.org/officeDocument/2006/relationships/hyperlink" Target="https://drive.google.com/file/d/1KMOQHIcaD64aK1zZtwdtj02BPNZGNPDD/view?usp=drivesdk" TargetMode="External"/><Relationship Id="rId624" Type="http://schemas.openxmlformats.org/officeDocument/2006/relationships/hyperlink" Target="https://drive.google.com/file/d/1OQweyzE7u9xUmLXk0mKW3rVeR_09dcbe/view?usp=drivesdk" TargetMode="External"/><Relationship Id="rId623" Type="http://schemas.openxmlformats.org/officeDocument/2006/relationships/hyperlink" Target="https://drive.google.com/file/d/1chaXcRw3zao2NyWCTR2MKok_9XhjnEOk/view?usp=drivesdk" TargetMode="External"/><Relationship Id="rId622" Type="http://schemas.openxmlformats.org/officeDocument/2006/relationships/hyperlink" Target="https://drive.google.com/file/d/18UVlSm8wHBIz9bbtVTyuUARqCgRlYg-Q/view?usp=drivesdk" TargetMode="External"/><Relationship Id="rId621" Type="http://schemas.openxmlformats.org/officeDocument/2006/relationships/hyperlink" Target="https://drive.google.com/file/d/1JOqJBe7ew2tJElHtQbGNPw-imC9Qapb5/view?usp=drivesdk" TargetMode="External"/><Relationship Id="rId628" Type="http://schemas.openxmlformats.org/officeDocument/2006/relationships/hyperlink" Target="https://drive.google.com/file/d/1h7oVGlgpXs3E_SIm6giw5uQBFtznCUVt/view?usp=drivesdk" TargetMode="External"/><Relationship Id="rId627" Type="http://schemas.openxmlformats.org/officeDocument/2006/relationships/hyperlink" Target="https://drive.google.com/file/d/1iK9Z5sSgXBbKleNx11yJ8_Wsrlloz-V6/view?usp=drivesdk" TargetMode="External"/><Relationship Id="rId626" Type="http://schemas.openxmlformats.org/officeDocument/2006/relationships/hyperlink" Target="https://drive.google.com/file/d/1f5uUhCNxwnsswSE8AKEgAYI_ZJNakgSC/view?usp=drivesdk" TargetMode="External"/><Relationship Id="rId625" Type="http://schemas.openxmlformats.org/officeDocument/2006/relationships/hyperlink" Target="https://drive.google.com/file/d/1sqiUuxLVaLWOFcA0RCDZKQbgpjJgmzkj/view?usp=drivesdk" TargetMode="External"/><Relationship Id="rId620" Type="http://schemas.openxmlformats.org/officeDocument/2006/relationships/hyperlink" Target="https://drive.google.com/file/d/1rFke1DfyMfCSXz4TmquK_68ShINpCIoM/view?usp=drivesdk" TargetMode="External"/><Relationship Id="rId619" Type="http://schemas.openxmlformats.org/officeDocument/2006/relationships/hyperlink" Target="https://drive.google.com/file/d/1tDbDgG7UznSmUofUBrZoGbWCOGsvkB89/view?usp=drivesdk" TargetMode="External"/><Relationship Id="rId618" Type="http://schemas.openxmlformats.org/officeDocument/2006/relationships/hyperlink" Target="https://drive.google.com/file/d/1fNK38DJjWrWcTwrEJNXyVh_sE0OvWoUl/view?usp=drivesdk" TargetMode="External"/><Relationship Id="rId613" Type="http://schemas.openxmlformats.org/officeDocument/2006/relationships/hyperlink" Target="https://drive.google.com/file/d/1By7qaqrZf5mEKE1Ylsi1Z-6-48_aw6OI/view?usp=drivesdk" TargetMode="External"/><Relationship Id="rId612" Type="http://schemas.openxmlformats.org/officeDocument/2006/relationships/hyperlink" Target="https://drive.google.com/file/d/1Ck1myzVerHb5xsfY65XUnpf_D5QF4I25/view?usp=drivesdk" TargetMode="External"/><Relationship Id="rId611" Type="http://schemas.openxmlformats.org/officeDocument/2006/relationships/hyperlink" Target="https://drive.google.com/file/d/1PO8RVC_2QkjMabpVf_cfZNelP2PZU8BN/view?usp=drivesdk" TargetMode="External"/><Relationship Id="rId610" Type="http://schemas.openxmlformats.org/officeDocument/2006/relationships/hyperlink" Target="https://drive.google.com/file/d/1Dpu95BXVzq6T9L2dTfLl9zq4GI4B0QXl/view?usp=drivesdk" TargetMode="External"/><Relationship Id="rId617" Type="http://schemas.openxmlformats.org/officeDocument/2006/relationships/hyperlink" Target="https://drive.google.com/file/d/1ylAjTuzMQx9abqxk8Nwezz7JalFcfTN2/view?usp=drivesdk" TargetMode="External"/><Relationship Id="rId616" Type="http://schemas.openxmlformats.org/officeDocument/2006/relationships/hyperlink" Target="https://drive.google.com/file/d/1Lz3GzFz4OZup7MGDhyzMaWSvC-wlZrPT/view?usp=drivesdk" TargetMode="External"/><Relationship Id="rId615" Type="http://schemas.openxmlformats.org/officeDocument/2006/relationships/hyperlink" Target="https://drive.google.com/file/d/1ns0lQZLj-wTitipkj3hAQ4me3a_1swCC/view?usp=drivesdk" TargetMode="External"/><Relationship Id="rId614" Type="http://schemas.openxmlformats.org/officeDocument/2006/relationships/hyperlink" Target="https://drive.google.com/file/d/10dcd193nAKQ0BhQU5qHiCAPbKa7rXvCR/view?usp=drivesdk" TargetMode="External"/><Relationship Id="rId646" Type="http://schemas.openxmlformats.org/officeDocument/2006/relationships/hyperlink" Target="https://drive.google.com/file/d/1OVzX4GqH8tG0T0YosXAHXy-xCIebkn19/view?usp=drivesdk" TargetMode="External"/><Relationship Id="rId645" Type="http://schemas.openxmlformats.org/officeDocument/2006/relationships/hyperlink" Target="https://drive.google.com/file/d/1b2MqVEm3eRM9BZiTJdX25EozZWBsgjJs/view?usp=drivesdk" TargetMode="External"/><Relationship Id="rId644" Type="http://schemas.openxmlformats.org/officeDocument/2006/relationships/hyperlink" Target="https://drive.google.com/file/d/1dvsvWZbSJ1qS_0ual50VPu_jjHxUwp5d/view?usp=drivesdk" TargetMode="External"/><Relationship Id="rId643" Type="http://schemas.openxmlformats.org/officeDocument/2006/relationships/hyperlink" Target="https://drive.google.com/file/d/1K-sV-1RfEzhxC85E8e6dKrKIZfBqyDdy/view?usp=drivesdk" TargetMode="External"/><Relationship Id="rId649" Type="http://schemas.openxmlformats.org/officeDocument/2006/relationships/hyperlink" Target="https://drive.google.com/file/d/17kbJEkBwvcMox9eGeAaNCGWz2UjSBev6/view?usp=drivesdk" TargetMode="External"/><Relationship Id="rId648" Type="http://schemas.openxmlformats.org/officeDocument/2006/relationships/hyperlink" Target="https://drive.google.com/file/d/1QMUBMgfJ12qbTViv7Mjh5kveBaMgmB2i/view?usp=drivesdk" TargetMode="External"/><Relationship Id="rId647" Type="http://schemas.openxmlformats.org/officeDocument/2006/relationships/hyperlink" Target="https://drive.google.com/file/d/1tb979E7j-cAny7pqAsEno-lcZfkI8DDR/view?usp=drivesdk" TargetMode="External"/><Relationship Id="rId642" Type="http://schemas.openxmlformats.org/officeDocument/2006/relationships/hyperlink" Target="https://drive.google.com/file/d/1MqhoXC7-XP17462JT5AsbVDEHaa7pBOl/view?usp=drivesdk" TargetMode="External"/><Relationship Id="rId641" Type="http://schemas.openxmlformats.org/officeDocument/2006/relationships/hyperlink" Target="https://drive.google.com/file/d/1g_qC_PNq78Jt6TuNNW5RHhlPo0UWKEcp/view?usp=drivesdk" TargetMode="External"/><Relationship Id="rId640" Type="http://schemas.openxmlformats.org/officeDocument/2006/relationships/hyperlink" Target="https://drive.google.com/file/d/1_qNEv7FW_jLZ1dGgNl-uONE9cbt_M-y2/view?usp=drivesdk" TargetMode="External"/><Relationship Id="rId635" Type="http://schemas.openxmlformats.org/officeDocument/2006/relationships/hyperlink" Target="https://drive.google.com/file/d/1exgd3Ox7ppgocdxx2NwPaFqhoeCDVNty/view?usp=drivesdk" TargetMode="External"/><Relationship Id="rId634" Type="http://schemas.openxmlformats.org/officeDocument/2006/relationships/hyperlink" Target="https://drive.google.com/file/d/1n0RtGy5TKhYjYFHU850Awjde3KIQv6di/view?usp=drivesdk" TargetMode="External"/><Relationship Id="rId633" Type="http://schemas.openxmlformats.org/officeDocument/2006/relationships/hyperlink" Target="https://drive.google.com/file/d/12NDmF5KFYkn5gFv3EUWhdxPTZaPp_vj5/view?usp=drivesdk" TargetMode="External"/><Relationship Id="rId632" Type="http://schemas.openxmlformats.org/officeDocument/2006/relationships/hyperlink" Target="https://drive.google.com/file/d/1qIwZao1Ao746ruQtpfMOgAS8urrG4jXq/view?usp=drivesdk" TargetMode="External"/><Relationship Id="rId639" Type="http://schemas.openxmlformats.org/officeDocument/2006/relationships/hyperlink" Target="https://drive.google.com/file/d/1PpXz_QJkF6n2B-s9Dxtolg1H4ZPQcKWY/view?usp=drivesdk" TargetMode="External"/><Relationship Id="rId638" Type="http://schemas.openxmlformats.org/officeDocument/2006/relationships/hyperlink" Target="https://drive.google.com/file/d/1XX1vGto0VGCkZGl_jpbUl8ixTkqymRuh/view?usp=drivesdk" TargetMode="External"/><Relationship Id="rId637" Type="http://schemas.openxmlformats.org/officeDocument/2006/relationships/hyperlink" Target="https://drive.google.com/file/d/115Y9_0jGMZdzeh9ZO3pAYZh9AbgKCwbM/view?usp=drivesdk" TargetMode="External"/><Relationship Id="rId636" Type="http://schemas.openxmlformats.org/officeDocument/2006/relationships/hyperlink" Target="https://drive.google.com/file/d/1WuZopXyAUgBrIe3D54y2nZw6Sn5cuS2z/view?usp=drivesdk" TargetMode="External"/><Relationship Id="rId631" Type="http://schemas.openxmlformats.org/officeDocument/2006/relationships/hyperlink" Target="https://drive.google.com/file/d/15uOD0JkTvITOhaooMHTCAWeBmIu7BM7k/view?usp=drivesdk" TargetMode="External"/><Relationship Id="rId630" Type="http://schemas.openxmlformats.org/officeDocument/2006/relationships/hyperlink" Target="https://drive.google.com/file/d/1ESmd_pv550uW_eKSkGIjVv0nb7PtA_v6/view?usp=drivesdk" TargetMode="External"/><Relationship Id="rId609" Type="http://schemas.openxmlformats.org/officeDocument/2006/relationships/hyperlink" Target="https://drive.google.com/file/d/1lxaaYTIhyr0maS9Mb4aX5_WBjt9xr9vK/view?usp=drivesdk" TargetMode="External"/><Relationship Id="rId608" Type="http://schemas.openxmlformats.org/officeDocument/2006/relationships/hyperlink" Target="https://drive.google.com/file/d/1lpLWzD9zuk-jBOHyTY5zpl6ow-4AstNV/view?usp=drivesdk" TargetMode="External"/><Relationship Id="rId607" Type="http://schemas.openxmlformats.org/officeDocument/2006/relationships/hyperlink" Target="https://drive.google.com/file/d/1IPUoHLwOvewYCWDY1-INK1CIpshUHKOY/view?usp=drivesdk" TargetMode="External"/><Relationship Id="rId602" Type="http://schemas.openxmlformats.org/officeDocument/2006/relationships/hyperlink" Target="https://drive.google.com/file/d/1khBqEyxEqj5Qyzc7lAbJlqq8nQNas6go/view?usp=drivesdk" TargetMode="External"/><Relationship Id="rId601" Type="http://schemas.openxmlformats.org/officeDocument/2006/relationships/hyperlink" Target="https://drive.google.com/file/d/1SsyFP0P3RVz0Y-WbWSB0Tg2R-ReLUyPB/view?usp=drivesdk" TargetMode="External"/><Relationship Id="rId600" Type="http://schemas.openxmlformats.org/officeDocument/2006/relationships/hyperlink" Target="https://drive.google.com/file/d/1Fmd2STo0Jlp0BXvnytCPM2a4laUVfrub/view?usp=drivesdk" TargetMode="External"/><Relationship Id="rId606" Type="http://schemas.openxmlformats.org/officeDocument/2006/relationships/hyperlink" Target="https://drive.google.com/file/d/1n95zwil3VhL00VQbDJICJtGz84TadRQo/view?usp=drivesdk" TargetMode="External"/><Relationship Id="rId605" Type="http://schemas.openxmlformats.org/officeDocument/2006/relationships/hyperlink" Target="https://drive.google.com/file/d/1FjyPMSbFCv3forc3Pr7c5fiZFJkvr5dW/view?usp=drivesdk" TargetMode="External"/><Relationship Id="rId604" Type="http://schemas.openxmlformats.org/officeDocument/2006/relationships/hyperlink" Target="https://drive.google.com/file/d/1r4VpRnjcnojbElqr5xq7xq3mhUuxHRGt/view?usp=drivesdk" TargetMode="External"/><Relationship Id="rId603" Type="http://schemas.openxmlformats.org/officeDocument/2006/relationships/hyperlink" Target="https://drive.google.com/file/d/15KcuvpsAdMnqSodMcZL5JQEeSacN8DHe/view?usp=drivesdk" TargetMode="External"/><Relationship Id="rId699" Type="http://schemas.openxmlformats.org/officeDocument/2006/relationships/hyperlink" Target="https://drive.google.com/file/d/1YCthsXqyBKWD3jqPxcmzvwyh0JKrqt05/view?usp=drivesdk" TargetMode="External"/><Relationship Id="rId698" Type="http://schemas.openxmlformats.org/officeDocument/2006/relationships/hyperlink" Target="https://drive.google.com/file/d/1ePt073qEIY0ksS5LXlpiX_xlrdRY8P2t/view?usp=drivesdk" TargetMode="External"/><Relationship Id="rId693" Type="http://schemas.openxmlformats.org/officeDocument/2006/relationships/hyperlink" Target="https://drive.google.com/file/d/1qmYBgSP3Zz4aGzD1icv8JJDjSDICg6Y7/view?usp=drivesdk" TargetMode="External"/><Relationship Id="rId692" Type="http://schemas.openxmlformats.org/officeDocument/2006/relationships/hyperlink" Target="https://drive.google.com/file/d/1-r0LnxQhjZ6pw1RbGMvpK0KrWdxhQQ7l/view?usp=drivesdk" TargetMode="External"/><Relationship Id="rId691" Type="http://schemas.openxmlformats.org/officeDocument/2006/relationships/hyperlink" Target="https://drive.google.com/file/d/10cypDqkcaeVlTQ-jFWUlXHM6Bj6qf5Mx/view?usp=drivesdk" TargetMode="External"/><Relationship Id="rId690" Type="http://schemas.openxmlformats.org/officeDocument/2006/relationships/hyperlink" Target="https://drive.google.com/file/d/16-XOpGgVCULls5UYelGEAOIG90MSfUnX/view?usp=drivesdk" TargetMode="External"/><Relationship Id="rId697" Type="http://schemas.openxmlformats.org/officeDocument/2006/relationships/hyperlink" Target="https://drive.google.com/file/d/1khZt7uYUAjNiEYHi8kmgo0qS-Uh1XtH2/view?usp=drivesdk" TargetMode="External"/><Relationship Id="rId696" Type="http://schemas.openxmlformats.org/officeDocument/2006/relationships/hyperlink" Target="https://drive.google.com/file/d/1KIs5oStktzuFGbtDpnuWXUUdZACr2vQ8/view?usp=drivesdk" TargetMode="External"/><Relationship Id="rId695" Type="http://schemas.openxmlformats.org/officeDocument/2006/relationships/hyperlink" Target="https://drive.google.com/file/d/1L8RtUAvuAB5DKWa1ohZV6QIc092pYspN/view?usp=drivesdk" TargetMode="External"/><Relationship Id="rId694" Type="http://schemas.openxmlformats.org/officeDocument/2006/relationships/hyperlink" Target="https://drive.google.com/file/d/1p9LY_vuf0Ihr5xYDIIO3I4ZdGNvvQsgJ/view?usp=drivesdk" TargetMode="External"/><Relationship Id="rId668" Type="http://schemas.openxmlformats.org/officeDocument/2006/relationships/hyperlink" Target="https://drive.google.com/file/d/1AlVyVa3RWUsGf6jlKdXsN_6q0ozPb2-r/view?usp=drivesdk" TargetMode="External"/><Relationship Id="rId667" Type="http://schemas.openxmlformats.org/officeDocument/2006/relationships/hyperlink" Target="https://drive.google.com/file/d/1wx4KCE9Rv01RBY6HKioQMWExjyqNJSNQ/view?usp=drivesdk" TargetMode="External"/><Relationship Id="rId666" Type="http://schemas.openxmlformats.org/officeDocument/2006/relationships/hyperlink" Target="https://drive.google.com/file/d/1p6GbwYnCuH0cHScTd0c4Q2Q1lpCl-0Xi/view?usp=drivesdk" TargetMode="External"/><Relationship Id="rId665" Type="http://schemas.openxmlformats.org/officeDocument/2006/relationships/hyperlink" Target="https://drive.google.com/file/d/1BZPrftkKnB894x5jdf-0QidXx9qz_gaQ/view?usp=drivesdk" TargetMode="External"/><Relationship Id="rId669" Type="http://schemas.openxmlformats.org/officeDocument/2006/relationships/hyperlink" Target="https://drive.google.com/file/d/1fw55wyBFflciy7a6G46MFrMw0efUsbb6/view?usp=drivesdk" TargetMode="External"/><Relationship Id="rId660" Type="http://schemas.openxmlformats.org/officeDocument/2006/relationships/hyperlink" Target="https://drive.google.com/file/d/17VYVsKSRlRpyTOWBo5aEyjtX8vPjegEC/view?usp=drivesdk" TargetMode="External"/><Relationship Id="rId664" Type="http://schemas.openxmlformats.org/officeDocument/2006/relationships/hyperlink" Target="https://drive.google.com/file/d/1p5HjzYxdxyqbdauTSNA_m7fRfkg41XCt/view?usp=drivesdk" TargetMode="External"/><Relationship Id="rId663" Type="http://schemas.openxmlformats.org/officeDocument/2006/relationships/hyperlink" Target="https://drive.google.com/file/d/11RGRsCTWw43j6-QwFuSX16_3aXn9SW19/view?usp=drivesdk" TargetMode="External"/><Relationship Id="rId662" Type="http://schemas.openxmlformats.org/officeDocument/2006/relationships/hyperlink" Target="https://drive.google.com/file/d/1j35XC1pJrWQhIk76c8cfqDslt-LC0Xyf/view?usp=drivesdk" TargetMode="External"/><Relationship Id="rId661" Type="http://schemas.openxmlformats.org/officeDocument/2006/relationships/hyperlink" Target="https://drive.google.com/file/d/188LrCeKQCaNfBhFHKMcav-Xv6GcKvXZR/view?usp=drivesdk" TargetMode="External"/><Relationship Id="rId657" Type="http://schemas.openxmlformats.org/officeDocument/2006/relationships/hyperlink" Target="https://drive.google.com/file/d/1x1sIae-LZDhd-sA8BGZWIoEVhGYlRDu5/view?usp=drivesdk" TargetMode="External"/><Relationship Id="rId656" Type="http://schemas.openxmlformats.org/officeDocument/2006/relationships/hyperlink" Target="https://drive.google.com/file/d/1asIt1mzaZl6Y9ysdZf79UG-sivCCLLs9/view?usp=drivesdk" TargetMode="External"/><Relationship Id="rId655" Type="http://schemas.openxmlformats.org/officeDocument/2006/relationships/hyperlink" Target="https://drive.google.com/file/d/1PCrEKMQ-ry0X8-yVPb2qVnlxvnSk5h6r/view?usp=drivesdk" TargetMode="External"/><Relationship Id="rId654" Type="http://schemas.openxmlformats.org/officeDocument/2006/relationships/hyperlink" Target="https://drive.google.com/file/d/1Zyp_UGp8QEPkXp0KEDloK9vXVNqEvRIl/view?usp=drivesdk" TargetMode="External"/><Relationship Id="rId659" Type="http://schemas.openxmlformats.org/officeDocument/2006/relationships/hyperlink" Target="https://drive.google.com/file/d/1SdOdf87Ru6mYs6MHVlVVJH40p4bBKtwO/view?usp=drivesdk" TargetMode="External"/><Relationship Id="rId658" Type="http://schemas.openxmlformats.org/officeDocument/2006/relationships/hyperlink" Target="https://drive.google.com/file/d/1sEAWwlzrMk0ps9_BvHlNFxTuG5_V51QQ/view?usp=drivesdk" TargetMode="External"/><Relationship Id="rId653" Type="http://schemas.openxmlformats.org/officeDocument/2006/relationships/hyperlink" Target="https://drive.google.com/file/d/11ENOBDizlvuxnNWJan9xcjIF2SLyeSot/view?usp=drivesdk" TargetMode="External"/><Relationship Id="rId652" Type="http://schemas.openxmlformats.org/officeDocument/2006/relationships/hyperlink" Target="https://drive.google.com/file/d/1mxgFQdv2lbfAbogoQNwygwWjuLO7R8Yc/view?usp=drivesdk" TargetMode="External"/><Relationship Id="rId651" Type="http://schemas.openxmlformats.org/officeDocument/2006/relationships/hyperlink" Target="https://drive.google.com/file/d/1U40HeNBCje99qjsQhwd5IpBU0KVpKgfy/view?usp=drivesdk" TargetMode="External"/><Relationship Id="rId650" Type="http://schemas.openxmlformats.org/officeDocument/2006/relationships/hyperlink" Target="https://drive.google.com/file/d/1Gs5V7aTwJ2RoqJ2bxYfFXju6_TgiKLRs/view?usp=drivesdk" TargetMode="External"/><Relationship Id="rId689" Type="http://schemas.openxmlformats.org/officeDocument/2006/relationships/hyperlink" Target="https://drive.google.com/file/d/17Hj8gEG82041RVPeZz-uNxEvTmjQsIhQ/view?usp=drivesdk" TargetMode="External"/><Relationship Id="rId688" Type="http://schemas.openxmlformats.org/officeDocument/2006/relationships/hyperlink" Target="https://drive.google.com/file/d/1vEfTUxLwSu3_qorAkr223A7bIOuGlQEY/view?usp=drivesdk" TargetMode="External"/><Relationship Id="rId687" Type="http://schemas.openxmlformats.org/officeDocument/2006/relationships/hyperlink" Target="https://drive.google.com/file/d/1NSeH_henH08nUpxnEQG7TXTaE3v4juCz/view?usp=drivesdk" TargetMode="External"/><Relationship Id="rId682" Type="http://schemas.openxmlformats.org/officeDocument/2006/relationships/hyperlink" Target="https://drive.google.com/file/d/15kwAiAd5atAUWzpvXCUAJMhhYHI2G_BM/view?usp=drivesdk" TargetMode="External"/><Relationship Id="rId681" Type="http://schemas.openxmlformats.org/officeDocument/2006/relationships/hyperlink" Target="https://drive.google.com/file/d/1mOf5EOUx30u0vz231Sg-Xpgn-ExGs9v6/view?usp=drivesdk" TargetMode="External"/><Relationship Id="rId680" Type="http://schemas.openxmlformats.org/officeDocument/2006/relationships/hyperlink" Target="https://drive.google.com/file/d/1HxvExIkpDscNC4gnQVSscwYvAAnNo-uQ/view?usp=drivesdk" TargetMode="External"/><Relationship Id="rId686" Type="http://schemas.openxmlformats.org/officeDocument/2006/relationships/hyperlink" Target="https://drive.google.com/file/d/1Nw-kCUy98cjT8BQU8SVzllUta-Gslcci/view?usp=drivesdk" TargetMode="External"/><Relationship Id="rId685" Type="http://schemas.openxmlformats.org/officeDocument/2006/relationships/hyperlink" Target="https://drive.google.com/file/d/1oFyTrvUsXYzUbq38i9yOJDQAE58u64Lq/view?usp=drivesdk" TargetMode="External"/><Relationship Id="rId684" Type="http://schemas.openxmlformats.org/officeDocument/2006/relationships/hyperlink" Target="https://drive.google.com/file/d/1IlRqlao7qTjq2s1-6sEp1RKOiRjoHmsj/view?usp=drivesdk" TargetMode="External"/><Relationship Id="rId683" Type="http://schemas.openxmlformats.org/officeDocument/2006/relationships/hyperlink" Target="https://drive.google.com/file/d/1R8uajOg0HcxoQEuM7AQeMh-VmjqcZkXq/view?usp=drivesdk" TargetMode="External"/><Relationship Id="rId679" Type="http://schemas.openxmlformats.org/officeDocument/2006/relationships/hyperlink" Target="https://drive.google.com/file/d/1te7Q1Stj8wt9NiPWJ17XboxJb6t0E757/view?usp=drivesdk" TargetMode="External"/><Relationship Id="rId678" Type="http://schemas.openxmlformats.org/officeDocument/2006/relationships/hyperlink" Target="https://drive.google.com/file/d/1ORXb0LGHy6cMlpWAxog4QNHf3ezpFe5J/view?usp=drivesdk" TargetMode="External"/><Relationship Id="rId677" Type="http://schemas.openxmlformats.org/officeDocument/2006/relationships/hyperlink" Target="https://drive.google.com/file/d/1cCh5EOrYkZ_mGtZQ26LMMx7QSST4-fBB/view?usp=drivesdk" TargetMode="External"/><Relationship Id="rId676" Type="http://schemas.openxmlformats.org/officeDocument/2006/relationships/hyperlink" Target="https://drive.google.com/file/d/1nayvfqseQmrY3YyxmrWO7R6V1oNVM0B3/view?usp=drivesdk" TargetMode="External"/><Relationship Id="rId671" Type="http://schemas.openxmlformats.org/officeDocument/2006/relationships/hyperlink" Target="https://drive.google.com/file/d/1Eblqfp4ueHcKDT1zoRxVnsSPR1ppmnHb/view?usp=drivesdk" TargetMode="External"/><Relationship Id="rId670" Type="http://schemas.openxmlformats.org/officeDocument/2006/relationships/hyperlink" Target="https://drive.google.com/file/d/16tYReHYqj62vr9smCOl-Vg_KLVA7f7rb/view?usp=drivesdk" TargetMode="External"/><Relationship Id="rId675" Type="http://schemas.openxmlformats.org/officeDocument/2006/relationships/hyperlink" Target="https://drive.google.com/file/d/1bFD02uh5rOh5s7b9nWinr6G7Awh_go6y/view?usp=drivesdk" TargetMode="External"/><Relationship Id="rId674" Type="http://schemas.openxmlformats.org/officeDocument/2006/relationships/hyperlink" Target="https://drive.google.com/file/d/11BpdYZcHuigvt3dGiwtyg83_m_I3LYj6/view?usp=drivesdk" TargetMode="External"/><Relationship Id="rId673" Type="http://schemas.openxmlformats.org/officeDocument/2006/relationships/hyperlink" Target="https://drive.google.com/file/d/15ru3laM8-jF7a9vl4AvvW8ZT-07L7ari/view?usp=drivesdk" TargetMode="External"/><Relationship Id="rId672" Type="http://schemas.openxmlformats.org/officeDocument/2006/relationships/hyperlink" Target="https://drive.google.com/file/d/1EvU8r3hf1Z1gyULkyabnxsPa3V7sYfac/view?usp=drivesdk" TargetMode="External"/><Relationship Id="rId987" Type="http://schemas.openxmlformats.org/officeDocument/2006/relationships/hyperlink" Target="https://drive.google.com/file/d/1MoLdLCiu1z3sm9FVoYFDvllWiLzWw4Tm/view?usp=drivesdk" TargetMode="External"/><Relationship Id="rId986" Type="http://schemas.openxmlformats.org/officeDocument/2006/relationships/hyperlink" Target="https://drive.google.com/file/d/1TCX5VU-9UXHBGu4bY1cSTAyXq7S5pQb3/view?usp=drivesdk" TargetMode="External"/><Relationship Id="rId985" Type="http://schemas.openxmlformats.org/officeDocument/2006/relationships/hyperlink" Target="https://drive.google.com/file/d/12w8vRT5UQwJN2yRC4QCw6nldTCgBk9_A/view?usp=drivesdk" TargetMode="External"/><Relationship Id="rId984" Type="http://schemas.openxmlformats.org/officeDocument/2006/relationships/hyperlink" Target="https://drive.google.com/file/d/1QgVXd0Sj1rgPwnrtooe3dS-EHMJ8KEhM/view?usp=drivesdk" TargetMode="External"/><Relationship Id="rId989" Type="http://schemas.openxmlformats.org/officeDocument/2006/relationships/hyperlink" Target="https://drive.google.com/file/d/1f5zC94vGs0QDeP9FdNoAU5D_K6anCmzm/view?usp=drivesdk" TargetMode="External"/><Relationship Id="rId988" Type="http://schemas.openxmlformats.org/officeDocument/2006/relationships/hyperlink" Target="https://drive.google.com/file/d/1tkU_vnz7LNh4TopDqIZ0vlQGDZ6Mgjd2/view?usp=drivesdk" TargetMode="External"/><Relationship Id="rId983" Type="http://schemas.openxmlformats.org/officeDocument/2006/relationships/hyperlink" Target="https://drive.google.com/file/d/1DV0cWia07ug0It1iy1G8cZ1b46ZZWmae/view?usp=drivesdk" TargetMode="External"/><Relationship Id="rId982" Type="http://schemas.openxmlformats.org/officeDocument/2006/relationships/hyperlink" Target="https://drive.google.com/file/d/1wdyVp9NOUPMwhUEdcoCA31mWA29jdJJK/view?usp=drivesdk" TargetMode="External"/><Relationship Id="rId981" Type="http://schemas.openxmlformats.org/officeDocument/2006/relationships/hyperlink" Target="https://drive.google.com/file/d/1gpNwModp0cmn0jMxVh7cxJLBQpecrCxd/view?usp=drivesdk" TargetMode="External"/><Relationship Id="rId980" Type="http://schemas.openxmlformats.org/officeDocument/2006/relationships/hyperlink" Target="https://drive.google.com/file/d/1sD4NVJ0-UmrcsnqEJkCE4TrFefuFPvOh/view?usp=drivesdk" TargetMode="External"/><Relationship Id="rId976" Type="http://schemas.openxmlformats.org/officeDocument/2006/relationships/hyperlink" Target="https://drive.google.com/file/d/11r9NHaKAjD4ELjmJ8DZ2Cmk4JkHZYwcu/view?usp=drivesdk" TargetMode="External"/><Relationship Id="rId975" Type="http://schemas.openxmlformats.org/officeDocument/2006/relationships/hyperlink" Target="https://drive.google.com/file/d/1a8UxkaRxeges74faltkjoo1jlcUmMDH4/view?usp=drivesdk" TargetMode="External"/><Relationship Id="rId974" Type="http://schemas.openxmlformats.org/officeDocument/2006/relationships/hyperlink" Target="https://drive.google.com/file/d/1F3F9ljpl23qrYj004dJjYd2c0JjBzoZs/view?usp=drivesdk" TargetMode="External"/><Relationship Id="rId973" Type="http://schemas.openxmlformats.org/officeDocument/2006/relationships/hyperlink" Target="https://drive.google.com/file/d/1WK3pHAHGuvXR0DjsRxtmCL-gRtPoRbWH/view?usp=drivesdk" TargetMode="External"/><Relationship Id="rId979" Type="http://schemas.openxmlformats.org/officeDocument/2006/relationships/hyperlink" Target="https://drive.google.com/file/d/18sEi9HzB6fn0_6VVTA7c4xbH9nTV718o/view?usp=drivesdk" TargetMode="External"/><Relationship Id="rId978" Type="http://schemas.openxmlformats.org/officeDocument/2006/relationships/hyperlink" Target="https://drive.google.com/file/d/1tv_jJQje9pLBn9Frq36nWV-6VguIaq1q/view?usp=drivesdk" TargetMode="External"/><Relationship Id="rId977" Type="http://schemas.openxmlformats.org/officeDocument/2006/relationships/hyperlink" Target="https://drive.google.com/file/d/1QwvDUIwP8k8_tceiw8gs5O67-ecZ9v02/view?usp=drivesdk" TargetMode="External"/><Relationship Id="rId972" Type="http://schemas.openxmlformats.org/officeDocument/2006/relationships/hyperlink" Target="https://drive.google.com/file/d/1d5ex8bVD4zzgDJlC6IY5-Bf4FC6avzKC/view?usp=drivesdk" TargetMode="External"/><Relationship Id="rId971" Type="http://schemas.openxmlformats.org/officeDocument/2006/relationships/hyperlink" Target="https://drive.google.com/file/d/1H_wS9QW8i65U06Zpz07cufW-tbj0t8xI/view?usp=drivesdk" TargetMode="External"/><Relationship Id="rId970" Type="http://schemas.openxmlformats.org/officeDocument/2006/relationships/hyperlink" Target="https://drive.google.com/file/d/139oik3hPx_APmNJuZ3FfVSuT-YwZ2LHy/view?usp=drivesdk" TargetMode="External"/><Relationship Id="rId998" Type="http://schemas.openxmlformats.org/officeDocument/2006/relationships/hyperlink" Target="https://drive.google.com/file/d/11PX1Y6FdwVBgMAkMtR_MhaoTjspxEx94/view?usp=drivesdk" TargetMode="External"/><Relationship Id="rId997" Type="http://schemas.openxmlformats.org/officeDocument/2006/relationships/hyperlink" Target="https://drive.google.com/file/d/1cKjoV_FQkFvav435M52IABkczjWCMID4/view?usp=drivesdk" TargetMode="External"/><Relationship Id="rId996" Type="http://schemas.openxmlformats.org/officeDocument/2006/relationships/hyperlink" Target="https://drive.google.com/file/d/1xrzGHmujnc1IA_-XUws4cqUiyr1unKjn/view?usp=drivesdk" TargetMode="External"/><Relationship Id="rId995" Type="http://schemas.openxmlformats.org/officeDocument/2006/relationships/hyperlink" Target="https://drive.google.com/file/d/1SX8gU9dEgD1u1ZVB0Mid9ClQ35uWY42Q/view?usp=drivesdk" TargetMode="External"/><Relationship Id="rId999" Type="http://schemas.openxmlformats.org/officeDocument/2006/relationships/hyperlink" Target="https://drive.google.com/file/d/1qiWg1KdutMoGtB3TCcYe1_p_FZbPl1cX/view?usp=drivesdk" TargetMode="External"/><Relationship Id="rId990" Type="http://schemas.openxmlformats.org/officeDocument/2006/relationships/hyperlink" Target="https://drive.google.com/file/d/18SjKBluhRUanMj9OcLWWr0kOuT9Q9iB2/view?usp=drivesdk" TargetMode="External"/><Relationship Id="rId994" Type="http://schemas.openxmlformats.org/officeDocument/2006/relationships/hyperlink" Target="https://drive.google.com/file/d/1POtqmwATkN6XtNjArYaVIN8APRMfalcb/view?usp=drivesdk" TargetMode="External"/><Relationship Id="rId993" Type="http://schemas.openxmlformats.org/officeDocument/2006/relationships/hyperlink" Target="https://drive.google.com/file/d/1nB7V5E6KoD-50xQ5MMDXYp4QCVSSvHfv/view?usp=drivesdk" TargetMode="External"/><Relationship Id="rId992" Type="http://schemas.openxmlformats.org/officeDocument/2006/relationships/hyperlink" Target="https://drive.google.com/file/d/1NRauB1H0d6BhY7nJDhwRCfF314McURRl/view?usp=drivesdk" TargetMode="External"/><Relationship Id="rId991" Type="http://schemas.openxmlformats.org/officeDocument/2006/relationships/hyperlink" Target="https://drive.google.com/file/d/19vQGM4oGo638lXAXmLiQfnwTVAYGNhwB/view?usp=drivesdk" TargetMode="External"/><Relationship Id="rId949" Type="http://schemas.openxmlformats.org/officeDocument/2006/relationships/hyperlink" Target="https://drive.google.com/file/d/1tk4K7QaGlJjneo7azb8rd__0xhMMe5__/view?usp=drivesdk" TargetMode="External"/><Relationship Id="rId948" Type="http://schemas.openxmlformats.org/officeDocument/2006/relationships/hyperlink" Target="https://drive.google.com/file/d/1dVqmzsngb2oH_tAcX9R_FyfMgvzK9Z2k/view?usp=drivesdk" TargetMode="External"/><Relationship Id="rId943" Type="http://schemas.openxmlformats.org/officeDocument/2006/relationships/hyperlink" Target="https://drive.google.com/file/d/1pnCUMaVMR0u7sHz57d0-rJKDlA5t3hqr/view?usp=drivesdk" TargetMode="External"/><Relationship Id="rId942" Type="http://schemas.openxmlformats.org/officeDocument/2006/relationships/hyperlink" Target="https://drive.google.com/file/d/1cnP4saNdGt667_52_1X6hE_S_lybVp1E/view?usp=drivesdk" TargetMode="External"/><Relationship Id="rId941" Type="http://schemas.openxmlformats.org/officeDocument/2006/relationships/hyperlink" Target="https://drive.google.com/file/d/17mAmo0Iy1F9k11TxS8_NwkP_YxHLR3dT/view?usp=drivesdk" TargetMode="External"/><Relationship Id="rId940" Type="http://schemas.openxmlformats.org/officeDocument/2006/relationships/hyperlink" Target="https://drive.google.com/file/d/1nCdBfKqwJDtDlH4ZXjoe-Zi_KmwK7Vj-/view?usp=drivesdk" TargetMode="External"/><Relationship Id="rId947" Type="http://schemas.openxmlformats.org/officeDocument/2006/relationships/hyperlink" Target="https://drive.google.com/file/d/1z2qV-NGDxg9B-Q-qTaQK6SusDoyUnjQn/view?usp=drivesdk" TargetMode="External"/><Relationship Id="rId946" Type="http://schemas.openxmlformats.org/officeDocument/2006/relationships/hyperlink" Target="https://drive.google.com/file/d/1bkkVATQQ2iy73u_UDgDDbRbe7bepNsmY/view?usp=drivesdk" TargetMode="External"/><Relationship Id="rId945" Type="http://schemas.openxmlformats.org/officeDocument/2006/relationships/hyperlink" Target="https://drive.google.com/file/d/1bGw8LskpLZxj96TuTcRtEdfLhzfp1f_Z/view?usp=drivesdk" TargetMode="External"/><Relationship Id="rId944" Type="http://schemas.openxmlformats.org/officeDocument/2006/relationships/hyperlink" Target="https://drive.google.com/file/d/1BiJ15BdNd9JW6R9CYpasHllXzCn-kL0V/view?usp=drivesdk" TargetMode="External"/><Relationship Id="rId939" Type="http://schemas.openxmlformats.org/officeDocument/2006/relationships/hyperlink" Target="https://drive.google.com/file/d/1BjvIJGwZT1sivG__vwZ45LX8usrTyFOy/view?usp=drivesdk" TargetMode="External"/><Relationship Id="rId938" Type="http://schemas.openxmlformats.org/officeDocument/2006/relationships/hyperlink" Target="https://drive.google.com/file/d/1DCwluSRWKYi9aHthWXJiRvXNFwnLIHzg/view?usp=drivesdk" TargetMode="External"/><Relationship Id="rId937" Type="http://schemas.openxmlformats.org/officeDocument/2006/relationships/hyperlink" Target="https://drive.google.com/file/d/156u0Qj99f8sqRmjVmXQ_PkMdf4q-CS2S/view?usp=drivesdk" TargetMode="External"/><Relationship Id="rId932" Type="http://schemas.openxmlformats.org/officeDocument/2006/relationships/hyperlink" Target="https://drive.google.com/file/d/1kDdkAtd2SvTjurAZErks1Bej_ghhX-C0/view?usp=drivesdk" TargetMode="External"/><Relationship Id="rId931" Type="http://schemas.openxmlformats.org/officeDocument/2006/relationships/hyperlink" Target="https://drive.google.com/file/d/1SDWhTzjosOwGxBZjD2TNnEsCpruyd-Cf/view?usp=drivesdk" TargetMode="External"/><Relationship Id="rId930" Type="http://schemas.openxmlformats.org/officeDocument/2006/relationships/hyperlink" Target="https://drive.google.com/file/d/12WGpcQ44lltbq0_JN7Cbj6piJnja-Pvw/view?usp=drivesdk" TargetMode="External"/><Relationship Id="rId936" Type="http://schemas.openxmlformats.org/officeDocument/2006/relationships/hyperlink" Target="https://drive.google.com/file/d/17S2m69BSGfA7boLQwTFh6w7NryRS8-5w/view?usp=drivesdk" TargetMode="External"/><Relationship Id="rId935" Type="http://schemas.openxmlformats.org/officeDocument/2006/relationships/hyperlink" Target="https://drive.google.com/file/d/1u7gpCLt-A2c8bKf7WTWIrw4DSTnmqhcz/view?usp=drivesdk" TargetMode="External"/><Relationship Id="rId934" Type="http://schemas.openxmlformats.org/officeDocument/2006/relationships/hyperlink" Target="https://drive.google.com/file/d/1BjDob5h0JpwfTfRw0_zyAA-bnF39fySu/view?usp=drivesdk" TargetMode="External"/><Relationship Id="rId933" Type="http://schemas.openxmlformats.org/officeDocument/2006/relationships/hyperlink" Target="https://drive.google.com/file/d/1BU2MPdWubYzbHqQVfpWcvEqAsrJS5BX5/view?usp=drivesdk" TargetMode="External"/><Relationship Id="rId965" Type="http://schemas.openxmlformats.org/officeDocument/2006/relationships/hyperlink" Target="https://drive.google.com/file/d/1vG4aOG704YQIe50usdtjzWs1_G5jKb6A/view?usp=drivesdk" TargetMode="External"/><Relationship Id="rId964" Type="http://schemas.openxmlformats.org/officeDocument/2006/relationships/hyperlink" Target="https://drive.google.com/file/d/148xbkxH2sBItRecW7Asu7DT7CLSt91Ls/view?usp=drivesdk" TargetMode="External"/><Relationship Id="rId963" Type="http://schemas.openxmlformats.org/officeDocument/2006/relationships/hyperlink" Target="https://drive.google.com/file/d/1FEQRqgZnnf0G5Yy5r0YANh8CKLyFntxz/view?usp=drivesdk" TargetMode="External"/><Relationship Id="rId962" Type="http://schemas.openxmlformats.org/officeDocument/2006/relationships/hyperlink" Target="https://drive.google.com/file/d/1DkToMCmmx0FLT-fAC0vuwa-Tnjpl4rWu/view?usp=drivesdk" TargetMode="External"/><Relationship Id="rId969" Type="http://schemas.openxmlformats.org/officeDocument/2006/relationships/hyperlink" Target="https://drive.google.com/file/d/11X51ubC9aBm1VCXvtK0aUl42-o4F1vpd/view?usp=drivesdk" TargetMode="External"/><Relationship Id="rId968" Type="http://schemas.openxmlformats.org/officeDocument/2006/relationships/hyperlink" Target="https://drive.google.com/file/d/1QP9_w7C46oE8uMTxDgV2nBqbV3jFHaW4/view?usp=drivesdk" TargetMode="External"/><Relationship Id="rId967" Type="http://schemas.openxmlformats.org/officeDocument/2006/relationships/hyperlink" Target="https://drive.google.com/file/d/1wCmyewTuvO9CUP46LZ0pWg173aY8mZoZ/view?usp=drivesdk" TargetMode="External"/><Relationship Id="rId966" Type="http://schemas.openxmlformats.org/officeDocument/2006/relationships/hyperlink" Target="https://drive.google.com/file/d/128PSveUjMUwvuiRXxIcEdjOnOmsHjU1O/view?usp=drivesdk" TargetMode="External"/><Relationship Id="rId961" Type="http://schemas.openxmlformats.org/officeDocument/2006/relationships/hyperlink" Target="https://drive.google.com/file/d/1a4YGBRDkxpiLbSyCsS9kJgjdQIvjfji9/view?usp=drivesdk" TargetMode="External"/><Relationship Id="rId960" Type="http://schemas.openxmlformats.org/officeDocument/2006/relationships/hyperlink" Target="https://drive.google.com/file/d/1Twu1EmVYMqqNumUBCYFYEFqPbNCkInb2/view?usp=drivesdk" TargetMode="External"/><Relationship Id="rId959" Type="http://schemas.openxmlformats.org/officeDocument/2006/relationships/hyperlink" Target="https://drive.google.com/file/d/1-sOjD__Ckwf4glr6wsXbrRqtG-d1FcqK/view?usp=drivesdk" TargetMode="External"/><Relationship Id="rId954" Type="http://schemas.openxmlformats.org/officeDocument/2006/relationships/hyperlink" Target="https://drive.google.com/file/d/1Nwm0qhvQ6bZXeO0_m5fxKH5Enu42KLzJ/view?usp=drivesdk" TargetMode="External"/><Relationship Id="rId953" Type="http://schemas.openxmlformats.org/officeDocument/2006/relationships/hyperlink" Target="https://drive.google.com/file/d/19UIaCf59I1VQveD2GkjcaXfoL6AjMk74/view?usp=drivesdk" TargetMode="External"/><Relationship Id="rId952" Type="http://schemas.openxmlformats.org/officeDocument/2006/relationships/hyperlink" Target="https://drive.google.com/file/d/1FW1EHbfe5yD8ZdTOlU2viUhrC8t0W6NI/view?usp=drivesdk" TargetMode="External"/><Relationship Id="rId951" Type="http://schemas.openxmlformats.org/officeDocument/2006/relationships/hyperlink" Target="https://drive.google.com/file/d/15jj9w1eFVQHHJk_ANqpgZ_1cTFjUljeE/view?usp=drivesdk" TargetMode="External"/><Relationship Id="rId958" Type="http://schemas.openxmlformats.org/officeDocument/2006/relationships/hyperlink" Target="https://drive.google.com/file/d/107fX4lc3GPPVWwaDsOYdoSuXsbStdQvs/view?usp=drivesdk" TargetMode="External"/><Relationship Id="rId957" Type="http://schemas.openxmlformats.org/officeDocument/2006/relationships/hyperlink" Target="https://drive.google.com/file/d/12Tu-s3XPNW1O4RGYuvo7Rf3lfjvPZNDX/view?usp=drivesdk" TargetMode="External"/><Relationship Id="rId956" Type="http://schemas.openxmlformats.org/officeDocument/2006/relationships/hyperlink" Target="https://drive.google.com/file/d/1p8bWbTKCinW9R74AAyvQd9pk9-PNG_PZ/view?usp=drivesdk" TargetMode="External"/><Relationship Id="rId955" Type="http://schemas.openxmlformats.org/officeDocument/2006/relationships/hyperlink" Target="https://drive.google.com/file/d/15afSriXXaJXkSM2ssYUkEeLaOura0lKr/view?usp=drivesdk" TargetMode="External"/><Relationship Id="rId950" Type="http://schemas.openxmlformats.org/officeDocument/2006/relationships/hyperlink" Target="https://drive.google.com/file/d/1QNLnH8j1mckhnf8-d-3aHCcf9I7kVNMu/view?usp=drivesdk" TargetMode="External"/><Relationship Id="rId907" Type="http://schemas.openxmlformats.org/officeDocument/2006/relationships/hyperlink" Target="https://drive.google.com/file/d/1gPR6A84pveBa4Gx5k1hitr0rCY4VR6Sb/view?usp=drivesdk" TargetMode="External"/><Relationship Id="rId906" Type="http://schemas.openxmlformats.org/officeDocument/2006/relationships/hyperlink" Target="https://drive.google.com/file/d/1KSJO3D63sD6a4D0O2YyiBU5aPAoh4f98/view?usp=drivesdk" TargetMode="External"/><Relationship Id="rId905" Type="http://schemas.openxmlformats.org/officeDocument/2006/relationships/hyperlink" Target="https://drive.google.com/file/d/1irp4oIfq2eTx0lc67g1sKu6t-lDu3XSU/view?usp=drivesdk" TargetMode="External"/><Relationship Id="rId904" Type="http://schemas.openxmlformats.org/officeDocument/2006/relationships/hyperlink" Target="https://drive.google.com/file/d/16KL_NHuT819Sz1xwkvRCHNg-cyoArvje/view?usp=drivesdk" TargetMode="External"/><Relationship Id="rId909" Type="http://schemas.openxmlformats.org/officeDocument/2006/relationships/hyperlink" Target="https://drive.google.com/file/d/1ySJeU_S_rX0itoqGGAPlyzjKQP0sQ_Ig/view?usp=drivesdk" TargetMode="External"/><Relationship Id="rId908" Type="http://schemas.openxmlformats.org/officeDocument/2006/relationships/hyperlink" Target="https://drive.google.com/file/d/1kj6k713F1nGWK8JqHobMbcq2CrERARFd/view?usp=drivesdk" TargetMode="External"/><Relationship Id="rId903" Type="http://schemas.openxmlformats.org/officeDocument/2006/relationships/hyperlink" Target="https://drive.google.com/file/d/1kb__GRcM4KkXkc0dHUet4GkH4SigadfB/view?usp=drivesdk" TargetMode="External"/><Relationship Id="rId902" Type="http://schemas.openxmlformats.org/officeDocument/2006/relationships/hyperlink" Target="https://drive.google.com/file/d/1VD6tBdIKuBYAf4IevSTxEv_2rwfJ7Sct/view?usp=drivesdk" TargetMode="External"/><Relationship Id="rId901" Type="http://schemas.openxmlformats.org/officeDocument/2006/relationships/hyperlink" Target="https://drive.google.com/file/d/1gns5b5fyZboZ7mLgEOD7zhYAranGY-9A/view?usp=drivesdk" TargetMode="External"/><Relationship Id="rId900" Type="http://schemas.openxmlformats.org/officeDocument/2006/relationships/hyperlink" Target="https://drive.google.com/file/d/1WjCzyykqPyQ-khmTEmeJsUV-HoNaxl3u/view?usp=drivesdk" TargetMode="External"/><Relationship Id="rId929" Type="http://schemas.openxmlformats.org/officeDocument/2006/relationships/hyperlink" Target="https://drive.google.com/file/d/1Ocs55OzIG1hq43-mtAij469fkp39IHYG/view?usp=drivesdk" TargetMode="External"/><Relationship Id="rId928" Type="http://schemas.openxmlformats.org/officeDocument/2006/relationships/hyperlink" Target="https://drive.google.com/file/d/16YwwfN2ZDxpnK1wJmFZQxYXqJF9Hbqo3/view?usp=drivesdk" TargetMode="External"/><Relationship Id="rId927" Type="http://schemas.openxmlformats.org/officeDocument/2006/relationships/hyperlink" Target="https://drive.google.com/file/d/17hj-SAjK6z7ZyDX4cdwa2BKyA19xFG48/view?usp=drivesdk" TargetMode="External"/><Relationship Id="rId926" Type="http://schemas.openxmlformats.org/officeDocument/2006/relationships/hyperlink" Target="https://drive.google.com/file/d/1yA7BtlWYdCOSuFyWbxuj3fVJ7iP46Ilk/view?usp=drivesdk" TargetMode="External"/><Relationship Id="rId921" Type="http://schemas.openxmlformats.org/officeDocument/2006/relationships/hyperlink" Target="https://drive.google.com/file/d/1gq2BvBnrfVCNirjWdiyVtDY3TUiDxzfo/view?usp=drivesdk" TargetMode="External"/><Relationship Id="rId920" Type="http://schemas.openxmlformats.org/officeDocument/2006/relationships/hyperlink" Target="https://drive.google.com/file/d/1LkaVIA6paOE-Eqs4FiHSLGImfH5kn9uh/view?usp=drivesdk" TargetMode="External"/><Relationship Id="rId925" Type="http://schemas.openxmlformats.org/officeDocument/2006/relationships/hyperlink" Target="https://drive.google.com/file/d/1NYkqZTvb8iNQl35_1K5ugLqL6gmjpbAI/view?usp=drivesdk" TargetMode="External"/><Relationship Id="rId924" Type="http://schemas.openxmlformats.org/officeDocument/2006/relationships/hyperlink" Target="https://drive.google.com/file/d/1fJ847BBLmDvIZkj6015rL9WnEcTFXG7O/view?usp=drivesdk" TargetMode="External"/><Relationship Id="rId923" Type="http://schemas.openxmlformats.org/officeDocument/2006/relationships/hyperlink" Target="https://drive.google.com/file/d/1TA9mujcpEdbeU-R1l8j_3laoIxJ4Qz87/view?usp=drivesdk" TargetMode="External"/><Relationship Id="rId922" Type="http://schemas.openxmlformats.org/officeDocument/2006/relationships/hyperlink" Target="https://drive.google.com/file/d/1NV1Mdn-Zt9-7u1Oa7u4QmkdF0-_wEqYJ/view?usp=drivesdk" TargetMode="External"/><Relationship Id="rId918" Type="http://schemas.openxmlformats.org/officeDocument/2006/relationships/hyperlink" Target="https://drive.google.com/file/d/1JbqE1l0IczSwRtVNbLMOALcdoAqZSJnS/view?usp=drivesdk" TargetMode="External"/><Relationship Id="rId917" Type="http://schemas.openxmlformats.org/officeDocument/2006/relationships/hyperlink" Target="https://drive.google.com/file/d/13WSwtbYv5sgUruHNrqECQpCeI66YkE0q/view?usp=drivesdk" TargetMode="External"/><Relationship Id="rId916" Type="http://schemas.openxmlformats.org/officeDocument/2006/relationships/hyperlink" Target="https://drive.google.com/file/d/1fJ02bN-tipDZF9FMPzbHwkACy25mGh4h/view?usp=drivesdk" TargetMode="External"/><Relationship Id="rId915" Type="http://schemas.openxmlformats.org/officeDocument/2006/relationships/hyperlink" Target="https://drive.google.com/file/d/1a0uPatNQZTXSxDctyEyzLXn_Ojg-BlNV/view?usp=drivesdk" TargetMode="External"/><Relationship Id="rId919" Type="http://schemas.openxmlformats.org/officeDocument/2006/relationships/hyperlink" Target="https://drive.google.com/file/d/1kFWPXdJmsa81tJwX4y3pR_8C9W5azDcc/view?usp=drivesdk" TargetMode="External"/><Relationship Id="rId910" Type="http://schemas.openxmlformats.org/officeDocument/2006/relationships/hyperlink" Target="https://drive.google.com/file/d/1DY43vP-BxbwPJo8D9cr9Ev6L1pwEtq1i/view?usp=drivesdk" TargetMode="External"/><Relationship Id="rId914" Type="http://schemas.openxmlformats.org/officeDocument/2006/relationships/hyperlink" Target="https://drive.google.com/file/d/1RIpLFLD-MVOtBNpVNEhHWGszgmzW9KpG/view?usp=drivesdk" TargetMode="External"/><Relationship Id="rId913" Type="http://schemas.openxmlformats.org/officeDocument/2006/relationships/hyperlink" Target="https://drive.google.com/file/d/1a1csyMTwnWrHAJQ_KmNMZDJynKiCxhRG/view?usp=drivesdk" TargetMode="External"/><Relationship Id="rId912" Type="http://schemas.openxmlformats.org/officeDocument/2006/relationships/hyperlink" Target="https://drive.google.com/file/d/1hDw41mUiHEOya0gJYNwTvtixYu2bcoiq/view?usp=drivesdk" TargetMode="External"/><Relationship Id="rId911" Type="http://schemas.openxmlformats.org/officeDocument/2006/relationships/hyperlink" Target="https://drive.google.com/file/d/1tVotXpT7uQgJyOIettGEi-NilSYmCPw7/view?usp=drivesdk" TargetMode="External"/><Relationship Id="rId866" Type="http://schemas.openxmlformats.org/officeDocument/2006/relationships/hyperlink" Target="https://drive.google.com/file/d/1f1wCBTvP7Ifvn3C9D-VCiadiwoHWTSny/view?usp=drivesdk" TargetMode="External"/><Relationship Id="rId865" Type="http://schemas.openxmlformats.org/officeDocument/2006/relationships/hyperlink" Target="https://drive.google.com/file/d/1UvlQsu3TpclGnG2_J4lLUYJKPxl6hu32/view?usp=drivesdk" TargetMode="External"/><Relationship Id="rId864" Type="http://schemas.openxmlformats.org/officeDocument/2006/relationships/hyperlink" Target="https://drive.google.com/file/d/14CSfhxEgbAGK7Q3S8FeXOYoVrBUK0gpW/view?usp=drivesdk" TargetMode="External"/><Relationship Id="rId863" Type="http://schemas.openxmlformats.org/officeDocument/2006/relationships/hyperlink" Target="https://drive.google.com/file/d/1vXoQUl_ghurKDk691l1Xr8uKjb58K8DY/view?usp=drivesdk" TargetMode="External"/><Relationship Id="rId869" Type="http://schemas.openxmlformats.org/officeDocument/2006/relationships/hyperlink" Target="https://drive.google.com/file/d/1tPvjTNTfbNz6Ikk0q2yag4EB7esdjxfb/view?usp=drivesdk" TargetMode="External"/><Relationship Id="rId868" Type="http://schemas.openxmlformats.org/officeDocument/2006/relationships/hyperlink" Target="https://drive.google.com/file/d/1mvBKJOnNkjRGIOweynJp3Vtj-ZuVbt8O/view?usp=drivesdk" TargetMode="External"/><Relationship Id="rId867" Type="http://schemas.openxmlformats.org/officeDocument/2006/relationships/hyperlink" Target="https://drive.google.com/file/d/1U9VHuEpU-yeIHsoqA-CWyZaAw3LnWatX/view?usp=drivesdk" TargetMode="External"/><Relationship Id="rId862" Type="http://schemas.openxmlformats.org/officeDocument/2006/relationships/hyperlink" Target="https://drive.google.com/file/d/1HXFFBv_T5_TavMjrnrKq8SrZsPQyZj3S/view?usp=drivesdk" TargetMode="External"/><Relationship Id="rId861" Type="http://schemas.openxmlformats.org/officeDocument/2006/relationships/hyperlink" Target="https://drive.google.com/file/d/1qrfP5r2n4xE-N2_ZDHFVN519Sd0mmzaw/view?usp=drivesdk" TargetMode="External"/><Relationship Id="rId860" Type="http://schemas.openxmlformats.org/officeDocument/2006/relationships/hyperlink" Target="https://drive.google.com/file/d/1QRcz0J7lRcGvDpxA775xvxd5PtlEbp8q/view?usp=drivesdk" TargetMode="External"/><Relationship Id="rId855" Type="http://schemas.openxmlformats.org/officeDocument/2006/relationships/hyperlink" Target="https://drive.google.com/file/d/1bTj38pl9uApiInr_UU2UPKIE8XdmwcKv/view?usp=drivesdk" TargetMode="External"/><Relationship Id="rId854" Type="http://schemas.openxmlformats.org/officeDocument/2006/relationships/hyperlink" Target="https://drive.google.com/file/d/1IkBpn6yws0zPhg-KmyMuFjWuUBGW-On7/view?usp=drivesdk" TargetMode="External"/><Relationship Id="rId853" Type="http://schemas.openxmlformats.org/officeDocument/2006/relationships/hyperlink" Target="https://drive.google.com/file/d/1pQfehGRtFjrj8FxHVdMgNiVTx0FK8JnW/view?usp=drivesdk" TargetMode="External"/><Relationship Id="rId852" Type="http://schemas.openxmlformats.org/officeDocument/2006/relationships/hyperlink" Target="https://drive.google.com/file/d/1iW69reiD83aHbKYiLP88riRu3eoOAuDb/view?usp=drivesdk" TargetMode="External"/><Relationship Id="rId859" Type="http://schemas.openxmlformats.org/officeDocument/2006/relationships/hyperlink" Target="https://drive.google.com/file/d/1QXnWwqrUphDV1qEgHWlfZbHJAQtep9jv/view?usp=drivesdk" TargetMode="External"/><Relationship Id="rId858" Type="http://schemas.openxmlformats.org/officeDocument/2006/relationships/hyperlink" Target="https://drive.google.com/file/d/1yZltpQRvVGgoBepYbG-Z3CdYhJItx1NH/view?usp=drivesdk" TargetMode="External"/><Relationship Id="rId857" Type="http://schemas.openxmlformats.org/officeDocument/2006/relationships/hyperlink" Target="https://drive.google.com/file/d/1KmnJKe_l4Tmd-4uOmY-8Yc-keStE2roH/view?usp=drivesdk" TargetMode="External"/><Relationship Id="rId856" Type="http://schemas.openxmlformats.org/officeDocument/2006/relationships/hyperlink" Target="https://drive.google.com/file/d/10KZaFg8zdmR8lpXMLyfOdE9uaeLLYPG8/view?usp=drivesdk" TargetMode="External"/><Relationship Id="rId851" Type="http://schemas.openxmlformats.org/officeDocument/2006/relationships/hyperlink" Target="https://drive.google.com/file/d/1dPfBpTW2KjMmADBYIZuJncS7BdkOg0Ut/view?usp=drivesdk" TargetMode="External"/><Relationship Id="rId850" Type="http://schemas.openxmlformats.org/officeDocument/2006/relationships/hyperlink" Target="https://drive.google.com/file/d/1-0Vo7uONIg5c6WFhp6QpQ-Tomhf2J0Em/view?usp=drivesdk" TargetMode="External"/><Relationship Id="rId888" Type="http://schemas.openxmlformats.org/officeDocument/2006/relationships/hyperlink" Target="https://drive.google.com/file/d/1vd8A025-1kxh1kpGA8U8PGnFieYAaj1O/view?usp=drivesdk" TargetMode="External"/><Relationship Id="rId887" Type="http://schemas.openxmlformats.org/officeDocument/2006/relationships/hyperlink" Target="https://drive.google.com/file/d/1lP18j1x48chnBVHSUEPKBsM95Q_34Pmb/view?usp=drivesdk" TargetMode="External"/><Relationship Id="rId886" Type="http://schemas.openxmlformats.org/officeDocument/2006/relationships/hyperlink" Target="https://drive.google.com/file/d/1O43HjaoL56ePlt0WTROFRkpn1wrsjNpL/view?usp=drivesdk" TargetMode="External"/><Relationship Id="rId885" Type="http://schemas.openxmlformats.org/officeDocument/2006/relationships/hyperlink" Target="https://drive.google.com/file/d/1oSfHzB0Ks5xnT9U1HIEd2Cgj-2GIm74t/view?usp=drivesdk" TargetMode="External"/><Relationship Id="rId889" Type="http://schemas.openxmlformats.org/officeDocument/2006/relationships/hyperlink" Target="https://drive.google.com/file/d/1M0qfRsOHQBNGSanH_zAvmJEZj9h6Dkd5/view?usp=drivesdk" TargetMode="External"/><Relationship Id="rId880" Type="http://schemas.openxmlformats.org/officeDocument/2006/relationships/hyperlink" Target="https://drive.google.com/file/d/1CKZVRIdmJHjWwzlod6y-4XXEPxtyELWT/view?usp=drivesdk" TargetMode="External"/><Relationship Id="rId884" Type="http://schemas.openxmlformats.org/officeDocument/2006/relationships/hyperlink" Target="https://drive.google.com/file/d/110F2shx7gdZ8ypIbH1fBL-zBtv9vmX5h/view?usp=drivesdk" TargetMode="External"/><Relationship Id="rId883" Type="http://schemas.openxmlformats.org/officeDocument/2006/relationships/hyperlink" Target="https://drive.google.com/file/d/1Ex-H53RSnQ_b_vqNmGVm22q6h9EYO_3i/view?usp=drivesdk" TargetMode="External"/><Relationship Id="rId882" Type="http://schemas.openxmlformats.org/officeDocument/2006/relationships/hyperlink" Target="https://drive.google.com/file/d/1JBUlqHOxaqh9O_xETSCvFyzsO7jaCV1Q/view?usp=drivesdk" TargetMode="External"/><Relationship Id="rId881" Type="http://schemas.openxmlformats.org/officeDocument/2006/relationships/hyperlink" Target="https://drive.google.com/file/d/1BPfTzI0ti40KLK-OTZ26WRkMs7lCq96t/view?usp=drivesdk" TargetMode="External"/><Relationship Id="rId877" Type="http://schemas.openxmlformats.org/officeDocument/2006/relationships/hyperlink" Target="https://drive.google.com/file/d/1i8_WBC6-BrG0XtnFgFJu65L0PuQG69TV/view?usp=drivesdk" TargetMode="External"/><Relationship Id="rId876" Type="http://schemas.openxmlformats.org/officeDocument/2006/relationships/hyperlink" Target="https://drive.google.com/file/d/1OKq6W7RGo5SLNbZ2vSgU-Oq5AQyflllG/view?usp=drivesdk" TargetMode="External"/><Relationship Id="rId875" Type="http://schemas.openxmlformats.org/officeDocument/2006/relationships/hyperlink" Target="https://drive.google.com/file/d/17aJx93VZ3pFVIB6UXcwuWY9sSq7FdHRS/view?usp=drivesdk" TargetMode="External"/><Relationship Id="rId874" Type="http://schemas.openxmlformats.org/officeDocument/2006/relationships/hyperlink" Target="https://drive.google.com/file/d/1i9abN036BZ9rLG-4N2UK5Dp8Qh-gh1Fs/view?usp=drivesdk" TargetMode="External"/><Relationship Id="rId879" Type="http://schemas.openxmlformats.org/officeDocument/2006/relationships/hyperlink" Target="https://drive.google.com/file/d/11Pow2mkJyMpq9yEwsDySSdfoQyApl8wR/view?usp=drivesdk" TargetMode="External"/><Relationship Id="rId878" Type="http://schemas.openxmlformats.org/officeDocument/2006/relationships/hyperlink" Target="https://drive.google.com/file/d/1s3jh1mzYSHVYtRuFFN1YeivuIvrL_jNe/view?usp=drivesdk" TargetMode="External"/><Relationship Id="rId873" Type="http://schemas.openxmlformats.org/officeDocument/2006/relationships/hyperlink" Target="https://drive.google.com/file/d/1iktXEPhM0bhnl1DYSOZio1wBnVHUCUe6/view?usp=drivesdk" TargetMode="External"/><Relationship Id="rId872" Type="http://schemas.openxmlformats.org/officeDocument/2006/relationships/hyperlink" Target="https://drive.google.com/file/d/1ToE2PqQedJeC_697uTaN1nEHY_HBFo3L/view?usp=drivesdk" TargetMode="External"/><Relationship Id="rId871" Type="http://schemas.openxmlformats.org/officeDocument/2006/relationships/hyperlink" Target="https://drive.google.com/file/d/1C3lRVs_Zzqf05VPT1PyMobPSPBoaM1tv/view?usp=drivesdk" TargetMode="External"/><Relationship Id="rId870" Type="http://schemas.openxmlformats.org/officeDocument/2006/relationships/hyperlink" Target="https://drive.google.com/file/d/13LaS53eBAYKNuArTFyp-qLBncql3LmnL/view?usp=drivesdk" TargetMode="External"/><Relationship Id="rId829" Type="http://schemas.openxmlformats.org/officeDocument/2006/relationships/hyperlink" Target="https://drive.google.com/file/d/1bUgy38ehoeS-FyDNRiJm3cnNxLf6l_u1/view?usp=drivesdk" TargetMode="External"/><Relationship Id="rId828" Type="http://schemas.openxmlformats.org/officeDocument/2006/relationships/hyperlink" Target="https://drive.google.com/file/d/1AP6t8lb2x0-EqiWeIid4-fgqt4sparNi/view?usp=drivesdk" TargetMode="External"/><Relationship Id="rId827" Type="http://schemas.openxmlformats.org/officeDocument/2006/relationships/hyperlink" Target="https://drive.google.com/file/d/16p3NOhtonhqaN1NV8nvLEihjWWaQIyBx/view?usp=drivesdk" TargetMode="External"/><Relationship Id="rId822" Type="http://schemas.openxmlformats.org/officeDocument/2006/relationships/hyperlink" Target="https://drive.google.com/file/d/1czyAgPyRUzBkT4Lqj3WF8ocYNAnumADl/view?usp=drivesdk" TargetMode="External"/><Relationship Id="rId821" Type="http://schemas.openxmlformats.org/officeDocument/2006/relationships/hyperlink" Target="https://drive.google.com/file/d/1WhvU9e8kqpVjx163KdLl7COhefUpfBMv/view?usp=drivesdk" TargetMode="External"/><Relationship Id="rId820" Type="http://schemas.openxmlformats.org/officeDocument/2006/relationships/hyperlink" Target="https://drive.google.com/file/d/1CKp2y1xBIXAKprh6jllW6WPKbVzFVPYI/view?usp=drivesdk" TargetMode="External"/><Relationship Id="rId826" Type="http://schemas.openxmlformats.org/officeDocument/2006/relationships/hyperlink" Target="https://drive.google.com/file/d/1vB57cHTihtqcfWhGfsUAE8xv4ADR4Xnn/view?usp=drivesdk" TargetMode="External"/><Relationship Id="rId825" Type="http://schemas.openxmlformats.org/officeDocument/2006/relationships/hyperlink" Target="https://drive.google.com/file/d/1Sj7k0coyUKZlFixzLmCAP6LgXwuZWejY/view?usp=drivesdk" TargetMode="External"/><Relationship Id="rId824" Type="http://schemas.openxmlformats.org/officeDocument/2006/relationships/hyperlink" Target="https://drive.google.com/file/d/1BceTp01LEnVxCHWrV6a06t2UHpEpEiS9/view?usp=drivesdk" TargetMode="External"/><Relationship Id="rId823" Type="http://schemas.openxmlformats.org/officeDocument/2006/relationships/hyperlink" Target="https://drive.google.com/file/d/1uATrtvKiytBH4kJrp51Fw3qn43B6wqzh/view?usp=drivesdk" TargetMode="External"/><Relationship Id="rId819" Type="http://schemas.openxmlformats.org/officeDocument/2006/relationships/hyperlink" Target="https://drive.google.com/file/d/195S5yCgO3ET94USivVXmUjGYjk9yUkrC/view?usp=drivesdk" TargetMode="External"/><Relationship Id="rId818" Type="http://schemas.openxmlformats.org/officeDocument/2006/relationships/hyperlink" Target="https://drive.google.com/file/d/1mrGiymaVKlMseGpa4CFw_B9AJTjnt9HY/view?usp=drivesdk" TargetMode="External"/><Relationship Id="rId817" Type="http://schemas.openxmlformats.org/officeDocument/2006/relationships/hyperlink" Target="https://drive.google.com/file/d/1wZ-yp5SzHYJuf1iCCflzdWPjq0osKEs_/view?usp=drivesdk" TargetMode="External"/><Relationship Id="rId816" Type="http://schemas.openxmlformats.org/officeDocument/2006/relationships/hyperlink" Target="https://drive.google.com/file/d/1Nzycd1yIKmoMyXzq2HFYwzvUX9KI2o5V/view?usp=drivesdk" TargetMode="External"/><Relationship Id="rId811" Type="http://schemas.openxmlformats.org/officeDocument/2006/relationships/hyperlink" Target="https://drive.google.com/file/d/1WqEW2ibiSOFiPNWGkQMwnlcL-_FQrVti/view?usp=drivesdk" TargetMode="External"/><Relationship Id="rId810" Type="http://schemas.openxmlformats.org/officeDocument/2006/relationships/hyperlink" Target="https://drive.google.com/file/d/11aEQZkv50KQsRqQ9qy3X1gt1bV_sBCS5/view?usp=drivesdk" TargetMode="External"/><Relationship Id="rId815" Type="http://schemas.openxmlformats.org/officeDocument/2006/relationships/hyperlink" Target="https://drive.google.com/file/d/1B0bA9n5xvdboHEPIjDln1RtGzqf_S60H/view?usp=drivesdk" TargetMode="External"/><Relationship Id="rId814" Type="http://schemas.openxmlformats.org/officeDocument/2006/relationships/hyperlink" Target="https://drive.google.com/file/d/1xs--hUr7I2WdRBZbDhXz627-1NMgppaO/view?usp=drivesdk" TargetMode="External"/><Relationship Id="rId813" Type="http://schemas.openxmlformats.org/officeDocument/2006/relationships/hyperlink" Target="https://drive.google.com/file/d/1bjVSwaIxk4YvWUq78di4lSnWrx4HnZfL/view?usp=drivesdk" TargetMode="External"/><Relationship Id="rId812" Type="http://schemas.openxmlformats.org/officeDocument/2006/relationships/hyperlink" Target="https://drive.google.com/file/d/1CjAT6YKxng1tcx11DvcoE1D3Wbsxoijf/view?usp=drivesdk" TargetMode="External"/><Relationship Id="rId849" Type="http://schemas.openxmlformats.org/officeDocument/2006/relationships/hyperlink" Target="https://drive.google.com/file/d/1RuP8Tn-qDbmMN5-MED_cY2y30owK7f4L/view?usp=drivesdk" TargetMode="External"/><Relationship Id="rId844" Type="http://schemas.openxmlformats.org/officeDocument/2006/relationships/hyperlink" Target="https://drive.google.com/file/d/1JXP8J4_7cZJBB1XUW1PeS67l2WK0Y3YE/view?usp=drivesdk" TargetMode="External"/><Relationship Id="rId843" Type="http://schemas.openxmlformats.org/officeDocument/2006/relationships/hyperlink" Target="https://drive.google.com/file/d/1VbhpwNohD9c0UhPP94CFwHxI1J94cEQr/view?usp=drivesdk" TargetMode="External"/><Relationship Id="rId842" Type="http://schemas.openxmlformats.org/officeDocument/2006/relationships/hyperlink" Target="https://drive.google.com/file/d/1LrdO44zX4kX1og7hYJ118I6WcTbVFhJL/view?usp=drivesdk" TargetMode="External"/><Relationship Id="rId841" Type="http://schemas.openxmlformats.org/officeDocument/2006/relationships/hyperlink" Target="https://drive.google.com/file/d/1l1OhxdLF4twGmnOpMHucNEzRhjFm1oO6/view?usp=drivesdk" TargetMode="External"/><Relationship Id="rId848" Type="http://schemas.openxmlformats.org/officeDocument/2006/relationships/hyperlink" Target="https://drive.google.com/file/d/10a5-Zzd6v3x5XVr9_ngLuJZtPpfcos7r/view?usp=drivesdk" TargetMode="External"/><Relationship Id="rId847" Type="http://schemas.openxmlformats.org/officeDocument/2006/relationships/hyperlink" Target="https://drive.google.com/file/d/1V7gIsaPaQkV_TW_4SE28nTYO6qTyUgZG/view?usp=drivesdk" TargetMode="External"/><Relationship Id="rId846" Type="http://schemas.openxmlformats.org/officeDocument/2006/relationships/hyperlink" Target="https://drive.google.com/file/d/1MJW8ctBxt4elnOOP_azOuotVIE2gjsAv/view?usp=drivesdk" TargetMode="External"/><Relationship Id="rId845" Type="http://schemas.openxmlformats.org/officeDocument/2006/relationships/hyperlink" Target="https://drive.google.com/file/d/1KxtabYVKqNVf6xgF76MHDa4zXq6BpJTq/view?usp=drivesdk" TargetMode="External"/><Relationship Id="rId840" Type="http://schemas.openxmlformats.org/officeDocument/2006/relationships/hyperlink" Target="https://drive.google.com/file/d/1mQn9UkaOoYrcH_fejBmi9oTQMihcR65j/view?usp=drivesdk" TargetMode="External"/><Relationship Id="rId839" Type="http://schemas.openxmlformats.org/officeDocument/2006/relationships/hyperlink" Target="https://drive.google.com/file/d/15vLsAwkijPWhX63YyjuK52QvXREDokYE/view?usp=drivesdk" TargetMode="External"/><Relationship Id="rId838" Type="http://schemas.openxmlformats.org/officeDocument/2006/relationships/hyperlink" Target="https://drive.google.com/file/d/16EO8abaG_hfhfwnwhWitQ_jN8QMahgww/view?usp=drivesdk" TargetMode="External"/><Relationship Id="rId833" Type="http://schemas.openxmlformats.org/officeDocument/2006/relationships/hyperlink" Target="https://drive.google.com/file/d/1VV4E-tRxmX2fWdJACwx3jfMs44mUMWRY/view?usp=drivesdk" TargetMode="External"/><Relationship Id="rId832" Type="http://schemas.openxmlformats.org/officeDocument/2006/relationships/hyperlink" Target="https://drive.google.com/file/d/1YBCIkdUvhFw9LSaDLwJnxH8WN1fsJMzS/view?usp=drivesdk" TargetMode="External"/><Relationship Id="rId831" Type="http://schemas.openxmlformats.org/officeDocument/2006/relationships/hyperlink" Target="https://drive.google.com/file/d/1it7d1Xn5ydZxzjW3HIK19IfxlA1s6FNw/view?usp=drivesdk" TargetMode="External"/><Relationship Id="rId830" Type="http://schemas.openxmlformats.org/officeDocument/2006/relationships/hyperlink" Target="https://drive.google.com/file/d/1pj9Dp3XC9ILUY2u7wqm0T2mqjQ4x3JiP/view?usp=drivesdk" TargetMode="External"/><Relationship Id="rId837" Type="http://schemas.openxmlformats.org/officeDocument/2006/relationships/hyperlink" Target="https://drive.google.com/file/d/1fAbeq8P2y-SN7P2NGLH4jPGf4Em8Z46W/view?usp=drivesdk" TargetMode="External"/><Relationship Id="rId836" Type="http://schemas.openxmlformats.org/officeDocument/2006/relationships/hyperlink" Target="https://drive.google.com/file/d/1VbnjNeNXnrB0Kc5EkIYQN7JhwZPX1oG9/view?usp=drivesdk" TargetMode="External"/><Relationship Id="rId835" Type="http://schemas.openxmlformats.org/officeDocument/2006/relationships/hyperlink" Target="https://drive.google.com/file/d/1nlACUkfQ2qU4u3bAMGaohiLwwSnUn3Qv/view?usp=drivesdk" TargetMode="External"/><Relationship Id="rId834" Type="http://schemas.openxmlformats.org/officeDocument/2006/relationships/hyperlink" Target="https://drive.google.com/file/d/1pP0EfFeRUmN1iIqiraTOTUzbb3Ty3YMk/view?usp=drivesdk" TargetMode="External"/><Relationship Id="rId899" Type="http://schemas.openxmlformats.org/officeDocument/2006/relationships/hyperlink" Target="https://drive.google.com/file/d/1UIvRip8sb8DnJ5wmho2fyTZ7Ep3doXkM/view?usp=drivesdk" TargetMode="External"/><Relationship Id="rId898" Type="http://schemas.openxmlformats.org/officeDocument/2006/relationships/hyperlink" Target="https://drive.google.com/file/d/1WSDF5YzqLfpx_peJTBaFSa6Q6lMmA1gM/view?usp=drivesdk" TargetMode="External"/><Relationship Id="rId897" Type="http://schemas.openxmlformats.org/officeDocument/2006/relationships/hyperlink" Target="https://drive.google.com/file/d/1XT82pBBxamyZTNAOjlM1Ay7D0yMBKTNj/view?usp=drivesdk" TargetMode="External"/><Relationship Id="rId896" Type="http://schemas.openxmlformats.org/officeDocument/2006/relationships/hyperlink" Target="https://drive.google.com/file/d/14ExBbm-nkxHk5t1EyH02hAl9xwVK7mNq/view?usp=drivesdk" TargetMode="External"/><Relationship Id="rId891" Type="http://schemas.openxmlformats.org/officeDocument/2006/relationships/hyperlink" Target="https://drive.google.com/file/d/1qkb7o_Pv5ufs5mvvSBZqwvkDggBku2e-/view?usp=drivesdk" TargetMode="External"/><Relationship Id="rId890" Type="http://schemas.openxmlformats.org/officeDocument/2006/relationships/hyperlink" Target="https://drive.google.com/file/d/1WTx1SSf8_oZxVGtVZyF_36xcDbOY-kOz/view?usp=drivesdk" TargetMode="External"/><Relationship Id="rId895" Type="http://schemas.openxmlformats.org/officeDocument/2006/relationships/hyperlink" Target="https://drive.google.com/file/d/1MHXWdYc9an7JJC7zDXtaisKFabLt3Lsy/view?usp=drivesdk" TargetMode="External"/><Relationship Id="rId894" Type="http://schemas.openxmlformats.org/officeDocument/2006/relationships/hyperlink" Target="https://drive.google.com/file/d/1vPs-M_wP_MPVmal0YvkQumNG_PoHZVIs/view?usp=drivesdk" TargetMode="External"/><Relationship Id="rId893" Type="http://schemas.openxmlformats.org/officeDocument/2006/relationships/hyperlink" Target="https://drive.google.com/file/d/1JPdP4e8V_7x45SznZh0NXI5TJ2amWa3s/view?usp=drivesdk" TargetMode="External"/><Relationship Id="rId892" Type="http://schemas.openxmlformats.org/officeDocument/2006/relationships/hyperlink" Target="https://drive.google.com/file/d/1a45PhG1bbACi262wlF6MyHg-CN138fmt/view?usp=drivesdk" TargetMode="External"/><Relationship Id="rId2180" Type="http://schemas.openxmlformats.org/officeDocument/2006/relationships/hyperlink" Target="https://drive.google.com/file/d/1gTe1_x3H9Bx6cLOVN4UScqyEkq5oiLD7/view?usp=drivesdk" TargetMode="External"/><Relationship Id="rId2181" Type="http://schemas.openxmlformats.org/officeDocument/2006/relationships/hyperlink" Target="https://drive.google.com/file/d/1rSL6Gdr8YSMRxvthSFP-A-aH8GMI4FaY/view?usp=drivesdk" TargetMode="External"/><Relationship Id="rId2182" Type="http://schemas.openxmlformats.org/officeDocument/2006/relationships/hyperlink" Target="https://drive.google.com/file/d/1a0Udg-GFWrJM71OTNhEBE-mrrQVuf91C/view?usp=drivesdk" TargetMode="External"/><Relationship Id="rId2183" Type="http://schemas.openxmlformats.org/officeDocument/2006/relationships/hyperlink" Target="https://drive.google.com/file/d/1v3cdQYNDhoArdZylNbHbHOVMLKuYbTz1/view?usp=drivesdk" TargetMode="External"/><Relationship Id="rId2184" Type="http://schemas.openxmlformats.org/officeDocument/2006/relationships/hyperlink" Target="https://drive.google.com/file/d/1_D3xu-4am2y_uCDJKUC1WjBb6vIrYKpf/view?usp=drivesdk" TargetMode="External"/><Relationship Id="rId2185" Type="http://schemas.openxmlformats.org/officeDocument/2006/relationships/hyperlink" Target="https://drive.google.com/file/d/1AsC-m5QS-1c7ANGn92w_9imZVoMzS6Ig/view?usp=drivesdk" TargetMode="External"/><Relationship Id="rId2186" Type="http://schemas.openxmlformats.org/officeDocument/2006/relationships/hyperlink" Target="https://drive.google.com/file/d/196bmwBb4WBkozdg8ETx2HyFSvAdPElrU/view?usp=drivesdk" TargetMode="External"/><Relationship Id="rId2187" Type="http://schemas.openxmlformats.org/officeDocument/2006/relationships/hyperlink" Target="https://drive.google.com/file/d/18QnkFy1fFWnU1sCj6HfVCPERzAQIP7Rx/view?usp=drivesdk" TargetMode="External"/><Relationship Id="rId2188" Type="http://schemas.openxmlformats.org/officeDocument/2006/relationships/hyperlink" Target="https://drive.google.com/file/d/1cHinNpBepUTNz2YPkYTk3dzI9Of9wDcW/view?usp=drivesdk" TargetMode="External"/><Relationship Id="rId2189" Type="http://schemas.openxmlformats.org/officeDocument/2006/relationships/hyperlink" Target="https://drive.google.com/file/d/1lyPCu64nh0zV9PidZ0Pb8eJLvpfuqfD0/view?usp=drivesdk" TargetMode="External"/><Relationship Id="rId2170" Type="http://schemas.openxmlformats.org/officeDocument/2006/relationships/hyperlink" Target="https://drive.google.com/file/d/1NOEeHrSiuboVXW1A_cXKG-uAc6toIB8r/view?usp=drivesdk" TargetMode="External"/><Relationship Id="rId2171" Type="http://schemas.openxmlformats.org/officeDocument/2006/relationships/hyperlink" Target="https://drive.google.com/file/d/1UsIVlHLrAs-_Hs7vEOMwyLlSKIgEZUNn/view?usp=drivesdk" TargetMode="External"/><Relationship Id="rId2172" Type="http://schemas.openxmlformats.org/officeDocument/2006/relationships/hyperlink" Target="https://drive.google.com/file/d/1ALjVb7YGMxG0HmCuTcRHihCK3loNAWJ_/view?usp=drivesdk" TargetMode="External"/><Relationship Id="rId2173" Type="http://schemas.openxmlformats.org/officeDocument/2006/relationships/hyperlink" Target="https://drive.google.com/file/d/1tWfNjHGHDmp2GHDca8ygI7s9NqMD-yJx/view?usp=drivesdk" TargetMode="External"/><Relationship Id="rId2174" Type="http://schemas.openxmlformats.org/officeDocument/2006/relationships/hyperlink" Target="https://drive.google.com/file/d/1r9iU_k1r8trUvbac68LZWX7dKsUnvYK9/view?usp=drivesdk" TargetMode="External"/><Relationship Id="rId2175" Type="http://schemas.openxmlformats.org/officeDocument/2006/relationships/hyperlink" Target="https://drive.google.com/file/d/1pZpR_50NDPjHjGRfwrsaO1w9mD3vNJVC/view?usp=drivesdk" TargetMode="External"/><Relationship Id="rId2176" Type="http://schemas.openxmlformats.org/officeDocument/2006/relationships/hyperlink" Target="https://drive.google.com/file/d/1o9cfk0b9MxiBzhsTiURiYH9CCWGU7II3/view?usp=drivesdk" TargetMode="External"/><Relationship Id="rId2177" Type="http://schemas.openxmlformats.org/officeDocument/2006/relationships/hyperlink" Target="https://drive.google.com/file/d/1ns9EaJbvL4KpniLIa_QK9DvRghBhovhv/view?usp=drivesdk" TargetMode="External"/><Relationship Id="rId2178" Type="http://schemas.openxmlformats.org/officeDocument/2006/relationships/hyperlink" Target="https://drive.google.com/file/d/1KfrYt23xMX6cbTavRiDp4AY1J0GzyVEf/view?usp=drivesdk" TargetMode="External"/><Relationship Id="rId2179" Type="http://schemas.openxmlformats.org/officeDocument/2006/relationships/hyperlink" Target="https://drive.google.com/file/d/1BSu_-X24caatleC4ppb9o5Vjwrx5LYj7/view?usp=drivesdk" TargetMode="External"/><Relationship Id="rId2190" Type="http://schemas.openxmlformats.org/officeDocument/2006/relationships/hyperlink" Target="https://drive.google.com/file/d/1-oKNVZYiiqgKvNcTzZ8ZS0a_yayPfWx2/view?usp=drivesdk" TargetMode="External"/><Relationship Id="rId2191" Type="http://schemas.openxmlformats.org/officeDocument/2006/relationships/hyperlink" Target="https://drive.google.com/file/d/1jYdS1MIguMsH0WZCQVfLad45D-R6FMBg/view?usp=drivesdk" TargetMode="External"/><Relationship Id="rId2192" Type="http://schemas.openxmlformats.org/officeDocument/2006/relationships/hyperlink" Target="https://drive.google.com/file/d/1GplXKx_ksuVhO2xnUM_kNURA7q1hg5wi/view?usp=drivesdk" TargetMode="External"/><Relationship Id="rId2193" Type="http://schemas.openxmlformats.org/officeDocument/2006/relationships/hyperlink" Target="https://drive.google.com/file/d/1v_6-5WrPz1h7snee7Q2vRvpA_M5xnsiU/view?usp=drivesdk" TargetMode="External"/><Relationship Id="rId2194" Type="http://schemas.openxmlformats.org/officeDocument/2006/relationships/hyperlink" Target="https://drive.google.com/file/d/1rtgos_gCRYbNVT5JAS2ZVQJC_k1LcJEa/view?usp=drivesdk" TargetMode="External"/><Relationship Id="rId2195" Type="http://schemas.openxmlformats.org/officeDocument/2006/relationships/hyperlink" Target="https://drive.google.com/file/d/1LreIgJx1pG1M454ahl40h_MdAV92h1BS/view?usp=drivesdk" TargetMode="External"/><Relationship Id="rId2196" Type="http://schemas.openxmlformats.org/officeDocument/2006/relationships/hyperlink" Target="https://drive.google.com/file/d/1fu34gRWaCaVEN9wC2RNulsAJkBHvi_qr/view?usp=drivesdk" TargetMode="External"/><Relationship Id="rId2197" Type="http://schemas.openxmlformats.org/officeDocument/2006/relationships/hyperlink" Target="https://drive.google.com/file/d/1aWDp-pFeJTvWX5lAPDg6ZcK43jg1fRka/view?usp=drivesdk" TargetMode="External"/><Relationship Id="rId2198" Type="http://schemas.openxmlformats.org/officeDocument/2006/relationships/hyperlink" Target="https://drive.google.com/file/d/1gKJAjystUAxwx_1FulV1vgp5UxEOR2XV/view?usp=drivesdk" TargetMode="External"/><Relationship Id="rId2199" Type="http://schemas.openxmlformats.org/officeDocument/2006/relationships/hyperlink" Target="https://drive.google.com/file/d/1K3XW3Rk4AnSVbtDGHHzXV1GK5zVn2Cfp/view?usp=drivesdk" TargetMode="External"/><Relationship Id="rId2203" Type="http://schemas.openxmlformats.org/officeDocument/2006/relationships/hyperlink" Target="https://drive.google.com/file/d/1Lqz-LkKQflnLBK16nr04qjJOYpNErrzU/view?usp=drivesdk" TargetMode="External"/><Relationship Id="rId2204" Type="http://schemas.openxmlformats.org/officeDocument/2006/relationships/hyperlink" Target="https://drive.google.com/file/d/1VIpsXiGMNXxNPc47S32XbRV7rQX7vp4T/view?usp=drivesdk" TargetMode="External"/><Relationship Id="rId2205" Type="http://schemas.openxmlformats.org/officeDocument/2006/relationships/hyperlink" Target="https://drive.google.com/file/d/1khaOLjqbe5iOlkEFKn7H7-MNC4KNutTM/view?usp=drivesdk" TargetMode="External"/><Relationship Id="rId2206" Type="http://schemas.openxmlformats.org/officeDocument/2006/relationships/hyperlink" Target="https://drive.google.com/file/d/1twtxEMjbeyG7Hbya7Xj4f4GhE-aM-7As/view?usp=drivesdk" TargetMode="External"/><Relationship Id="rId2207" Type="http://schemas.openxmlformats.org/officeDocument/2006/relationships/hyperlink" Target="https://drive.google.com/file/d/1EX5XFyUmHYqcRaN54XrV33IvJ6Rtbu64/view?usp=drivesdk" TargetMode="External"/><Relationship Id="rId2208" Type="http://schemas.openxmlformats.org/officeDocument/2006/relationships/hyperlink" Target="https://drive.google.com/file/d/1dyVCKL9wQl66CuMiBa7anC7zkY_8aymG/view?usp=drivesdk" TargetMode="External"/><Relationship Id="rId2209" Type="http://schemas.openxmlformats.org/officeDocument/2006/relationships/hyperlink" Target="https://drive.google.com/file/d/1w-6wIvTNk6u229H4lsEPKb2NdPAvlKZU/view?usp=drivesdk" TargetMode="External"/><Relationship Id="rId2200" Type="http://schemas.openxmlformats.org/officeDocument/2006/relationships/hyperlink" Target="https://drive.google.com/file/d/1QPUsHaUm6IzlO5bLuQUPReqVg2eV_1kB/view?usp=drivesdk" TargetMode="External"/><Relationship Id="rId2201" Type="http://schemas.openxmlformats.org/officeDocument/2006/relationships/hyperlink" Target="https://drive.google.com/file/d/1rV7WL7iYa7Mjxfn1e-kR6g9fcpHG6Ny9/view?usp=drivesdk" TargetMode="External"/><Relationship Id="rId2202" Type="http://schemas.openxmlformats.org/officeDocument/2006/relationships/hyperlink" Target="https://drive.google.com/file/d/1REfpt1ks78ax55-kEM6bbZZCnwKlMWhh/view?usp=drivesdk" TargetMode="External"/><Relationship Id="rId2269" Type="http://schemas.openxmlformats.org/officeDocument/2006/relationships/hyperlink" Target="https://drive.google.com/file/d/1P9_nlDjCGZWKJlp9X2N5ZT9YFygiDkCA/view?usp=drivesdk" TargetMode="External"/><Relationship Id="rId2260" Type="http://schemas.openxmlformats.org/officeDocument/2006/relationships/hyperlink" Target="https://drive.google.com/file/d/1QRG-dExBthcJtJe_piv-tTdxiLZm0M5y/view?usp=drivesdk" TargetMode="External"/><Relationship Id="rId2261" Type="http://schemas.openxmlformats.org/officeDocument/2006/relationships/hyperlink" Target="https://drive.google.com/file/d/1JF446y5y2zdeVRwTXCkpjOAbdZfn8hdF/view?usp=drivesdk" TargetMode="External"/><Relationship Id="rId2262" Type="http://schemas.openxmlformats.org/officeDocument/2006/relationships/hyperlink" Target="https://drive.google.com/file/d/1P_ejFo5q8xtCDTZfGI9ZL32rTXnu_gvw/view?usp=drivesdk" TargetMode="External"/><Relationship Id="rId2263" Type="http://schemas.openxmlformats.org/officeDocument/2006/relationships/hyperlink" Target="https://drive.google.com/file/d/1PDt37VyDCP5IYxgkwisv21l6oZP45f4e/view?usp=drivesdk" TargetMode="External"/><Relationship Id="rId2264" Type="http://schemas.openxmlformats.org/officeDocument/2006/relationships/hyperlink" Target="https://drive.google.com/file/d/1sEQECUT7EdlY5IdL0-xvAHh05JAGCU0J/view?usp=drivesdk" TargetMode="External"/><Relationship Id="rId2265" Type="http://schemas.openxmlformats.org/officeDocument/2006/relationships/hyperlink" Target="https://drive.google.com/file/d/16ebK3MwzJPP9w96vEOYSw2GB58sJ7hYN/view?usp=drivesdk" TargetMode="External"/><Relationship Id="rId2266" Type="http://schemas.openxmlformats.org/officeDocument/2006/relationships/hyperlink" Target="https://drive.google.com/file/d/1c2XfaABBQiZ4QBW9DPh7VrjSjwrDIVzw/view?usp=drivesdk" TargetMode="External"/><Relationship Id="rId2267" Type="http://schemas.openxmlformats.org/officeDocument/2006/relationships/hyperlink" Target="https://drive.google.com/file/d/13s8rva-mIHGlCcrKnf7eEhYeRsQbKzuH/view?usp=drivesdk" TargetMode="External"/><Relationship Id="rId2268" Type="http://schemas.openxmlformats.org/officeDocument/2006/relationships/hyperlink" Target="https://drive.google.com/file/d/1HU-A2n_QRGtLw9QyBzjM_oOKxxzetoIa/view?usp=drivesdk" TargetMode="External"/><Relationship Id="rId2258" Type="http://schemas.openxmlformats.org/officeDocument/2006/relationships/hyperlink" Target="https://drive.google.com/file/d/13Uowo2NkHWcpb1pJGurvOCUXwreIiEhb/view?usp=drivesdk" TargetMode="External"/><Relationship Id="rId2259" Type="http://schemas.openxmlformats.org/officeDocument/2006/relationships/hyperlink" Target="https://drive.google.com/file/d/1zHcUv7x7pWHdlrxfPAXR1C49IlQ9AHDl/view?usp=drivesdk" TargetMode="External"/><Relationship Id="rId2250" Type="http://schemas.openxmlformats.org/officeDocument/2006/relationships/hyperlink" Target="https://drive.google.com/file/d/1Gnzfiginfo11NgOEsj2rzi7e_ykOE987/view?usp=drivesdk" TargetMode="External"/><Relationship Id="rId2251" Type="http://schemas.openxmlformats.org/officeDocument/2006/relationships/hyperlink" Target="https://drive.google.com/file/d/1g4eYHFOMbyDbR9MdgyBBtQPuHrB62wHn/view?usp=drivesdk" TargetMode="External"/><Relationship Id="rId2252" Type="http://schemas.openxmlformats.org/officeDocument/2006/relationships/hyperlink" Target="https://drive.google.com/file/d/1R-Y3dOSEbL8zjGgywPRUjSdOhGo9KZ8Y/view?usp=drivesdk" TargetMode="External"/><Relationship Id="rId2253" Type="http://schemas.openxmlformats.org/officeDocument/2006/relationships/hyperlink" Target="https://drive.google.com/file/d/1f4Rtzdn81ABXWQUPrMMxp5ObYDRi3C5V/view?usp=drivesdk" TargetMode="External"/><Relationship Id="rId2254" Type="http://schemas.openxmlformats.org/officeDocument/2006/relationships/hyperlink" Target="https://drive.google.com/file/d/1VJvryXXYesaqtsXo51CmDyDgyeiAWFGV/view?usp=drivesdk" TargetMode="External"/><Relationship Id="rId2255" Type="http://schemas.openxmlformats.org/officeDocument/2006/relationships/hyperlink" Target="https://drive.google.com/file/d/1rdR5m8LNjBrSzPJf4Xkwy6Nkrko54HWN/view?usp=drivesdk" TargetMode="External"/><Relationship Id="rId2256" Type="http://schemas.openxmlformats.org/officeDocument/2006/relationships/hyperlink" Target="https://drive.google.com/file/d/1u3r7iEnLo7Thfk5Ri7YXVBZt-Y0ARUuI/view?usp=drivesdk" TargetMode="External"/><Relationship Id="rId2257" Type="http://schemas.openxmlformats.org/officeDocument/2006/relationships/hyperlink" Target="https://drive.google.com/file/d/1JigaYHd-2uP6iFR0Jvpv8J9OxO6YWSV9/view?usp=drivesdk" TargetMode="External"/><Relationship Id="rId2280" Type="http://schemas.openxmlformats.org/officeDocument/2006/relationships/hyperlink" Target="https://drive.google.com/file/d/15lwYA-rMFf4wNjECOILG7DaMmKdsmUx6/view?usp=drivesdk" TargetMode="External"/><Relationship Id="rId2281" Type="http://schemas.openxmlformats.org/officeDocument/2006/relationships/hyperlink" Target="https://drive.google.com/file/d/1uOh1dOCyQNFiKY_eMRxTVI_0VOSUGZTN/view?usp=drivesdk" TargetMode="External"/><Relationship Id="rId2282" Type="http://schemas.openxmlformats.org/officeDocument/2006/relationships/hyperlink" Target="https://drive.google.com/file/d/1ux2yvRKWY8I-ATp4HMlV_LSCEHfordE1/view?usp=drivesdk" TargetMode="External"/><Relationship Id="rId2283" Type="http://schemas.openxmlformats.org/officeDocument/2006/relationships/hyperlink" Target="https://drive.google.com/file/d/19vt9lNKAEgIHiEvwK_1yg2KVMR7tLwZ9/view?usp=drivesdk" TargetMode="External"/><Relationship Id="rId2284" Type="http://schemas.openxmlformats.org/officeDocument/2006/relationships/hyperlink" Target="https://drive.google.com/file/d/1Goo_4HFsZ-mLsQSOTcrjNu7zncQhKo0K/view?usp=drivesdk" TargetMode="External"/><Relationship Id="rId2285" Type="http://schemas.openxmlformats.org/officeDocument/2006/relationships/hyperlink" Target="https://drive.google.com/file/d/1brf40ucByIqmHlwCpxxQZVHhSstGHb0V/view?usp=drivesdk" TargetMode="External"/><Relationship Id="rId2286" Type="http://schemas.openxmlformats.org/officeDocument/2006/relationships/hyperlink" Target="https://drive.google.com/file/d/1Q39hyj3B9AUW-dVbcnfWjlBczAicJV5m/view?usp=drivesdk" TargetMode="External"/><Relationship Id="rId2287" Type="http://schemas.openxmlformats.org/officeDocument/2006/relationships/hyperlink" Target="https://drive.google.com/file/d/11eqUr9VEg3ZTvIIB6cWjJJ7qEpIS9swr/view?usp=drivesdk" TargetMode="External"/><Relationship Id="rId2288" Type="http://schemas.openxmlformats.org/officeDocument/2006/relationships/hyperlink" Target="https://drive.google.com/file/d/1Ti_-poYj4JE0Mhdj1VnPpkbRcWxjCKXy/view?usp=drivesdk" TargetMode="External"/><Relationship Id="rId2289" Type="http://schemas.openxmlformats.org/officeDocument/2006/relationships/hyperlink" Target="https://drive.google.com/file/d/1U-pkepmUBIxpAV2bAevZEi-3QZPpeEP8/view?usp=drivesdk" TargetMode="External"/><Relationship Id="rId2270" Type="http://schemas.openxmlformats.org/officeDocument/2006/relationships/hyperlink" Target="https://drive.google.com/file/d/1AdiFfZq3bWEOx96LxUAeiI5kAx2nP621/view?usp=drivesdk" TargetMode="External"/><Relationship Id="rId2271" Type="http://schemas.openxmlformats.org/officeDocument/2006/relationships/hyperlink" Target="https://drive.google.com/file/d/115zWjMcC-hF4SKhXHLhwFjbJ3W-nOkOD/view?usp=drivesdk" TargetMode="External"/><Relationship Id="rId2272" Type="http://schemas.openxmlformats.org/officeDocument/2006/relationships/hyperlink" Target="https://drive.google.com/file/d/13riJv8Ag2w2gwr-mcNrm5zL44dDqeY8j/view?usp=drivesdk" TargetMode="External"/><Relationship Id="rId2273" Type="http://schemas.openxmlformats.org/officeDocument/2006/relationships/hyperlink" Target="https://drive.google.com/file/d/1sanEOEFYbwgrYOkiwVJ6_eA7bIHrN9R9/view?usp=drivesdk" TargetMode="External"/><Relationship Id="rId2274" Type="http://schemas.openxmlformats.org/officeDocument/2006/relationships/hyperlink" Target="https://drive.google.com/file/d/1dpJoWLkQbLDYnVZ6DGQQu_szFN9ShV-P/view?usp=drivesdk" TargetMode="External"/><Relationship Id="rId2275" Type="http://schemas.openxmlformats.org/officeDocument/2006/relationships/hyperlink" Target="https://drive.google.com/file/d/1lda_3MeuKCgsVjLAZ9L-Rjn7TzsxYg4I/view?usp=drivesdk" TargetMode="External"/><Relationship Id="rId2276" Type="http://schemas.openxmlformats.org/officeDocument/2006/relationships/hyperlink" Target="https://drive.google.com/file/d/1dB2QT1WLafQ8K_7j4cDK-5KbLvLQxpJa/view?usp=drivesdk" TargetMode="External"/><Relationship Id="rId2277" Type="http://schemas.openxmlformats.org/officeDocument/2006/relationships/hyperlink" Target="https://drive.google.com/file/d/1gHMYFb3ZCct4NxfS3W47O65e9j3bLeUZ/view?usp=drivesdk" TargetMode="External"/><Relationship Id="rId2278" Type="http://schemas.openxmlformats.org/officeDocument/2006/relationships/hyperlink" Target="https://drive.google.com/file/d/1DWxLNUN0dZrfOisQwocTP6YVLn6O-nQh/view?usp=drivesdk" TargetMode="External"/><Relationship Id="rId2279" Type="http://schemas.openxmlformats.org/officeDocument/2006/relationships/hyperlink" Target="https://drive.google.com/file/d/1-zU5o6Hum60D5l3-CLe8BUv4zWcbf3dT/view?usp=drivesdk" TargetMode="External"/><Relationship Id="rId2225" Type="http://schemas.openxmlformats.org/officeDocument/2006/relationships/hyperlink" Target="https://drive.google.com/file/d/1CdEQyYvLNTRD6SOCTHnEzNq4_7idYSso/view?usp=drivesdk" TargetMode="External"/><Relationship Id="rId2226" Type="http://schemas.openxmlformats.org/officeDocument/2006/relationships/hyperlink" Target="https://drive.google.com/file/d/1RDp-e9RUvDTNl1NQHtFv1UNXtdMvZDR6/view?usp=drivesdk" TargetMode="External"/><Relationship Id="rId2227" Type="http://schemas.openxmlformats.org/officeDocument/2006/relationships/hyperlink" Target="https://drive.google.com/file/d/1_OExGGBjAdYQ2E52VniESZK8P8IKaBBh/view?usp=drivesdk" TargetMode="External"/><Relationship Id="rId2228" Type="http://schemas.openxmlformats.org/officeDocument/2006/relationships/hyperlink" Target="https://drive.google.com/file/d/1ArVLOnZqcX5jehh3bn10vVF2xghjwvsr/view?usp=drivesdk" TargetMode="External"/><Relationship Id="rId2229" Type="http://schemas.openxmlformats.org/officeDocument/2006/relationships/hyperlink" Target="https://drive.google.com/file/d/1FCgDK4qVLeiaw-oGJRpF-EQPjuX0vnda/view?usp=drivesdk" TargetMode="External"/><Relationship Id="rId2220" Type="http://schemas.openxmlformats.org/officeDocument/2006/relationships/hyperlink" Target="https://drive.google.com/file/d/1shnbRAuA-xtQ2TR-EPTvLOwatrB0i4SB/view?usp=drivesdk" TargetMode="External"/><Relationship Id="rId2221" Type="http://schemas.openxmlformats.org/officeDocument/2006/relationships/hyperlink" Target="https://drive.google.com/file/d/1VQ_vob2ctJP-ZPbHAo4wR5Ht9Yq_4ILs/view?usp=drivesdk" TargetMode="External"/><Relationship Id="rId2222" Type="http://schemas.openxmlformats.org/officeDocument/2006/relationships/hyperlink" Target="https://drive.google.com/file/d/1UPsCNxS4XnO84-nP2omc3SnDQv6j3nP2/view?usp=drivesdk" TargetMode="External"/><Relationship Id="rId2223" Type="http://schemas.openxmlformats.org/officeDocument/2006/relationships/hyperlink" Target="https://drive.google.com/file/d/1rLm-LxLQQj_k88g3z5lCw-b-iCYejGZj/view?usp=drivesdk" TargetMode="External"/><Relationship Id="rId2224" Type="http://schemas.openxmlformats.org/officeDocument/2006/relationships/hyperlink" Target="https://drive.google.com/file/d/1ImQ7_FVlfdkpCwqCBeeORvW7ga4COViy/view?usp=drivesdk" TargetMode="External"/><Relationship Id="rId2214" Type="http://schemas.openxmlformats.org/officeDocument/2006/relationships/hyperlink" Target="https://drive.google.com/file/d/1p_d2RPLEMMOE7ZRnsx1s-YnTlzrB3Pm1/view?usp=drivesdk" TargetMode="External"/><Relationship Id="rId2215" Type="http://schemas.openxmlformats.org/officeDocument/2006/relationships/hyperlink" Target="https://drive.google.com/file/d/1jxzZZLhblYr8cc0gYwXO5tgfAmR9wFc7/view?usp=drivesdk" TargetMode="External"/><Relationship Id="rId2216" Type="http://schemas.openxmlformats.org/officeDocument/2006/relationships/hyperlink" Target="https://drive.google.com/file/d/1ryTuRg3ZsbKg9SpTZv9O_zQCZWTkC5Ao/view?usp=drivesdk" TargetMode="External"/><Relationship Id="rId2217" Type="http://schemas.openxmlformats.org/officeDocument/2006/relationships/hyperlink" Target="https://drive.google.com/file/d/1H4hzN97LQ9noOZKn7jXD0Q-zDm8_jSca/view?usp=drivesdk" TargetMode="External"/><Relationship Id="rId2218" Type="http://schemas.openxmlformats.org/officeDocument/2006/relationships/hyperlink" Target="http://rohani.a.s.psi.m.si" TargetMode="External"/><Relationship Id="rId2219" Type="http://schemas.openxmlformats.org/officeDocument/2006/relationships/hyperlink" Target="https://drive.google.com/file/d/1x-qMjMdLm0M_5J0GS8G1-IkGmZm7aE3E/view?usp=drivesdk" TargetMode="External"/><Relationship Id="rId2210" Type="http://schemas.openxmlformats.org/officeDocument/2006/relationships/hyperlink" Target="https://drive.google.com/file/d/1rVfNSXhCIsl1J5oR6RV0Wkj-ZLp79ah6/view?usp=drivesdk" TargetMode="External"/><Relationship Id="rId2211" Type="http://schemas.openxmlformats.org/officeDocument/2006/relationships/hyperlink" Target="https://drive.google.com/file/d/1jKmHHAkSs0jqzJRjlSHH1SxXwWDAq5ge/view?usp=drivesdk" TargetMode="External"/><Relationship Id="rId2212" Type="http://schemas.openxmlformats.org/officeDocument/2006/relationships/hyperlink" Target="https://drive.google.com/file/d/1iPdY52eujMnFPSJRFUPIrReEDUrKMRQs/view?usp=drivesdk" TargetMode="External"/><Relationship Id="rId2213" Type="http://schemas.openxmlformats.org/officeDocument/2006/relationships/hyperlink" Target="https://drive.google.com/file/d/1BWKw8WR-4yyPdcgzrx2Atz7qTA0O-EOA/view?usp=drivesdk" TargetMode="External"/><Relationship Id="rId2247" Type="http://schemas.openxmlformats.org/officeDocument/2006/relationships/hyperlink" Target="https://drive.google.com/file/d/17Mc-P50s_WkIW7wZz3t05d6DIa9O2ns_/view?usp=drivesdk" TargetMode="External"/><Relationship Id="rId2248" Type="http://schemas.openxmlformats.org/officeDocument/2006/relationships/hyperlink" Target="https://drive.google.com/file/d/1dk9KnAbmO3XQpL5Tk100zd_b8xH3XyHb/view?usp=drivesdk" TargetMode="External"/><Relationship Id="rId2249" Type="http://schemas.openxmlformats.org/officeDocument/2006/relationships/hyperlink" Target="https://drive.google.com/file/d/1nycxrg4A154iueZdsvEQLqdtRut0ez0Z/view?usp=drivesdk" TargetMode="External"/><Relationship Id="rId2240" Type="http://schemas.openxmlformats.org/officeDocument/2006/relationships/hyperlink" Target="https://drive.google.com/file/d/1GH0WMqJGLAmC4ISNwn95epp_aqcSnVXt/view?usp=drivesdk" TargetMode="External"/><Relationship Id="rId2241" Type="http://schemas.openxmlformats.org/officeDocument/2006/relationships/hyperlink" Target="https://drive.google.com/file/d/1tmZDxIvbZN-JpxxyUewdN0yjs4wWWLjs/view?usp=drivesdk" TargetMode="External"/><Relationship Id="rId2242" Type="http://schemas.openxmlformats.org/officeDocument/2006/relationships/hyperlink" Target="https://drive.google.com/file/d/16rqeuyR4rM5NgWDEzS4-1pY_ubORfw7-/view?usp=drivesdk" TargetMode="External"/><Relationship Id="rId2243" Type="http://schemas.openxmlformats.org/officeDocument/2006/relationships/hyperlink" Target="https://drive.google.com/file/d/1xHYI4Mz0bvP8zpvVNZtc81nuz5BaQckS/view?usp=drivesdk" TargetMode="External"/><Relationship Id="rId2244" Type="http://schemas.openxmlformats.org/officeDocument/2006/relationships/hyperlink" Target="https://drive.google.com/file/d/17THPLLfX9Cp8zr3txe1_i0sQbVMiWflV/view?usp=drivesdk" TargetMode="External"/><Relationship Id="rId2245" Type="http://schemas.openxmlformats.org/officeDocument/2006/relationships/hyperlink" Target="https://drive.google.com/file/d/1yLyf7oNp2aJB7-LU6PE0OfJwTCsVkKP2/view?usp=drivesdk" TargetMode="External"/><Relationship Id="rId2246" Type="http://schemas.openxmlformats.org/officeDocument/2006/relationships/hyperlink" Target="https://drive.google.com/file/d/1Cn4kWXSaxYP6JmDBON-hOv_xNciquPax/view?usp=drivesdk" TargetMode="External"/><Relationship Id="rId2236" Type="http://schemas.openxmlformats.org/officeDocument/2006/relationships/hyperlink" Target="https://drive.google.com/file/d/1gLrI9ECoTEYvQU9_2dO0QLRmSCffGXYA/view?usp=drivesdk" TargetMode="External"/><Relationship Id="rId2237" Type="http://schemas.openxmlformats.org/officeDocument/2006/relationships/hyperlink" Target="https://drive.google.com/file/d/1JXzBCEBBt8n-BpbH_NvUQMuIjygFSzaq/view?usp=drivesdk" TargetMode="External"/><Relationship Id="rId2238" Type="http://schemas.openxmlformats.org/officeDocument/2006/relationships/hyperlink" Target="https://drive.google.com/file/d/1_CGtDz-AMf_hoAoJRXOdRsdcKsqwXLPB/view?usp=drivesdk" TargetMode="External"/><Relationship Id="rId2239" Type="http://schemas.openxmlformats.org/officeDocument/2006/relationships/hyperlink" Target="https://drive.google.com/file/d/1tlwaWAWthUvzsgRpz1Kmr0NAV1vaHa2g/view?usp=drivesdk" TargetMode="External"/><Relationship Id="rId2230" Type="http://schemas.openxmlformats.org/officeDocument/2006/relationships/hyperlink" Target="https://drive.google.com/file/d/1RFLC5JYAJ2EgnXkwa8obq5GIV14-qu9o/view?usp=drivesdk" TargetMode="External"/><Relationship Id="rId2231" Type="http://schemas.openxmlformats.org/officeDocument/2006/relationships/hyperlink" Target="https://drive.google.com/file/d/17XtC-aW6TN9cadVKwPHy_3prJGylvNhT/view?usp=drivesdk" TargetMode="External"/><Relationship Id="rId2232" Type="http://schemas.openxmlformats.org/officeDocument/2006/relationships/hyperlink" Target="https://drive.google.com/file/d/10NvvSvUmnV_riakYk8HVMjNPNRS10uI9/view?usp=drivesdk" TargetMode="External"/><Relationship Id="rId2233" Type="http://schemas.openxmlformats.org/officeDocument/2006/relationships/hyperlink" Target="https://drive.google.com/file/d/1CvR4uR084VDS0dv3HsDwQTowAbJ_6GhN/view?usp=drivesdk" TargetMode="External"/><Relationship Id="rId2234" Type="http://schemas.openxmlformats.org/officeDocument/2006/relationships/hyperlink" Target="https://drive.google.com/file/d/153lnCdfCtb0Evg0s6W1XzXLDpSzLPgsO/view?usp=drivesdk" TargetMode="External"/><Relationship Id="rId2235" Type="http://schemas.openxmlformats.org/officeDocument/2006/relationships/hyperlink" Target="https://drive.google.com/file/d/1HaS_93jXmOgZj0cCNNMPbL1I9ichA_pC/view?usp=drivesdk" TargetMode="External"/><Relationship Id="rId2290" Type="http://schemas.openxmlformats.org/officeDocument/2006/relationships/hyperlink" Target="https://drive.google.com/file/d/1AKZtcGDGY_3oJrGzWGvazWbluxTiI0AW/view?usp=drivesdk" TargetMode="External"/><Relationship Id="rId2291" Type="http://schemas.openxmlformats.org/officeDocument/2006/relationships/hyperlink" Target="https://drive.google.com/file/d/1hHBb8Udeopxld_15fn0vmqa6A_8hFowx/view?usp=drivesdk" TargetMode="External"/><Relationship Id="rId2292" Type="http://schemas.openxmlformats.org/officeDocument/2006/relationships/hyperlink" Target="https://drive.google.com/file/d/15dxu3zspe7LkBMkGq2okvM9sqqfhqRJl/view?usp=drivesdk" TargetMode="External"/><Relationship Id="rId2293" Type="http://schemas.openxmlformats.org/officeDocument/2006/relationships/hyperlink" Target="https://drive.google.com/file/d/12VYmRGeDggvD5O6b5o9jsis2sLQhrpFp/view?usp=drivesdk" TargetMode="External"/><Relationship Id="rId2294" Type="http://schemas.openxmlformats.org/officeDocument/2006/relationships/hyperlink" Target="https://drive.google.com/file/d/1YKBvb6pHzkXucgnRDiJLS-CFTu1IgP9H/view?usp=drivesdk" TargetMode="External"/><Relationship Id="rId2295" Type="http://schemas.openxmlformats.org/officeDocument/2006/relationships/hyperlink" Target="https://drive.google.com/file/d/15EkPeBDN5tWdFQJBTNaeA46sqPueGWQu/view?usp=drivesdk" TargetMode="External"/><Relationship Id="rId2296" Type="http://schemas.openxmlformats.org/officeDocument/2006/relationships/hyperlink" Target="https://drive.google.com/file/d/11V79Tk-OOxgbmQRshOemyI9Wjtk9VT8O/view?usp=drivesdk" TargetMode="External"/><Relationship Id="rId2297" Type="http://schemas.openxmlformats.org/officeDocument/2006/relationships/hyperlink" Target="https://drive.google.com/file/d/1IJEquzJkqPij8epA5mbnYXYvwmZwJpOf/view?usp=drivesdk" TargetMode="External"/><Relationship Id="rId2298" Type="http://schemas.openxmlformats.org/officeDocument/2006/relationships/hyperlink" Target="https://drive.google.com/file/d/1-x9x_xgBzv4K46TgxxSijwfVJj4I-uYD/view?usp=drivesdk" TargetMode="External"/><Relationship Id="rId2299" Type="http://schemas.openxmlformats.org/officeDocument/2006/relationships/hyperlink" Target="https://drive.google.com/file/d/1RcAz8tdXZvf3HeCiNmFiBpeWMXuOIQWw/view?usp=drivesdk" TargetMode="External"/><Relationship Id="rId2302" Type="http://schemas.openxmlformats.org/officeDocument/2006/relationships/hyperlink" Target="https://drive.google.com/file/d/1A0jI-xJW8r-VxyBFkGwoMnnltEphGvw-/view?usp=drivesdk" TargetMode="External"/><Relationship Id="rId2303" Type="http://schemas.openxmlformats.org/officeDocument/2006/relationships/hyperlink" Target="https://drive.google.com/file/d/1Ut-_tqnrUwCCQPrn8Io2H7ERLHGbsUtF/view?usp=drivesdk" TargetMode="External"/><Relationship Id="rId2304" Type="http://schemas.openxmlformats.org/officeDocument/2006/relationships/hyperlink" Target="https://drive.google.com/file/d/1uEYO_BYPPmuTJhosSY8HxdMetRRp2pZT/view?usp=drivesdk" TargetMode="External"/><Relationship Id="rId2305" Type="http://schemas.openxmlformats.org/officeDocument/2006/relationships/hyperlink" Target="https://drive.google.com/file/d/1k_jVbiqyzmq0BPwf6pP-IectOfgD0pOx/view?usp=drivesdk" TargetMode="External"/><Relationship Id="rId2306" Type="http://schemas.openxmlformats.org/officeDocument/2006/relationships/hyperlink" Target="https://drive.google.com/file/d/1U-s7iV2pAEji9oNmM9ShOYm-71OtZHxW/view?usp=drivesdk" TargetMode="External"/><Relationship Id="rId2307" Type="http://schemas.openxmlformats.org/officeDocument/2006/relationships/hyperlink" Target="https://drive.google.com/file/d/1LbxlNwIVAqFWxWf59oNEpM2Eex5xK3jK/view?usp=drivesdk" TargetMode="External"/><Relationship Id="rId2308" Type="http://schemas.openxmlformats.org/officeDocument/2006/relationships/hyperlink" Target="https://drive.google.com/file/d/1hqUNL4USYU9iMYmFRwVwNY-gburtLWvf/view?usp=drivesdk" TargetMode="External"/><Relationship Id="rId2309" Type="http://schemas.openxmlformats.org/officeDocument/2006/relationships/hyperlink" Target="https://drive.google.com/file/d/17WM46RZ96toLwREE3LpwkHhLXLt3yETe/view?usp=drivesdk" TargetMode="External"/><Relationship Id="rId2300" Type="http://schemas.openxmlformats.org/officeDocument/2006/relationships/hyperlink" Target="https://drive.google.com/file/d/16ZQcwY9XDSPq27lt7se4qMQNAZLGyb20/view?usp=drivesdk" TargetMode="External"/><Relationship Id="rId2301" Type="http://schemas.openxmlformats.org/officeDocument/2006/relationships/hyperlink" Target="https://drive.google.com/file/d/1YIyEr4qJWoU463EoFBbCy2AoWjTC0Sd3/view?usp=drivesdk" TargetMode="External"/><Relationship Id="rId2324" Type="http://schemas.openxmlformats.org/officeDocument/2006/relationships/hyperlink" Target="https://drive.google.com/file/d/1BQSoV7n_Ghjxr0Utsr_KbOJUC1OQw8P0/view?usp=drivesdk" TargetMode="External"/><Relationship Id="rId2325" Type="http://schemas.openxmlformats.org/officeDocument/2006/relationships/hyperlink" Target="https://drive.google.com/file/d/1E02EHDhyaO9IviTkJaX2kCJMbKGujPLg/view?usp=drivesdk" TargetMode="External"/><Relationship Id="rId2326" Type="http://schemas.openxmlformats.org/officeDocument/2006/relationships/hyperlink" Target="https://drive.google.com/file/d/1482ncFcYV3fzWgUqnMKaQQ2PGBwOqxxC/view?usp=drivesdk" TargetMode="External"/><Relationship Id="rId2327" Type="http://schemas.openxmlformats.org/officeDocument/2006/relationships/hyperlink" Target="https://drive.google.com/file/d/156els75AH7g6nEO131iWHjhBHeblil6M/view?usp=drivesdk" TargetMode="External"/><Relationship Id="rId2328" Type="http://schemas.openxmlformats.org/officeDocument/2006/relationships/hyperlink" Target="https://drive.google.com/file/d/1pLXqK_k1-IuUp2yDIhQA5zDXFnkVw8sQ/view?usp=drivesdk" TargetMode="External"/><Relationship Id="rId2329" Type="http://schemas.openxmlformats.org/officeDocument/2006/relationships/hyperlink" Target="https://drive.google.com/file/d/1FNB6umijkjLyrCC5bCLIM89k2InfInZm/view?usp=drivesdk" TargetMode="External"/><Relationship Id="rId2320" Type="http://schemas.openxmlformats.org/officeDocument/2006/relationships/hyperlink" Target="https://drive.google.com/file/d/1FFpxyBKoRb5XEeXgrm-fFzib9Jfd0ftm/view?usp=drivesdk" TargetMode="External"/><Relationship Id="rId2321" Type="http://schemas.openxmlformats.org/officeDocument/2006/relationships/hyperlink" Target="https://drive.google.com/file/d/1HQTfL53mCfN4kZjlEXTqJz9ys3ZmcWPr/view?usp=drivesdk" TargetMode="External"/><Relationship Id="rId2322" Type="http://schemas.openxmlformats.org/officeDocument/2006/relationships/hyperlink" Target="https://drive.google.com/file/d/18EcYl6AC8j6cUYgED7TqcwFf8UbPfFzm/view?usp=drivesdk" TargetMode="External"/><Relationship Id="rId2323" Type="http://schemas.openxmlformats.org/officeDocument/2006/relationships/hyperlink" Target="https://drive.google.com/file/d/12WEiu3qkL8MUGr3gEqD10Oy1hLv7qPve/view?usp=drivesdk" TargetMode="External"/><Relationship Id="rId2313" Type="http://schemas.openxmlformats.org/officeDocument/2006/relationships/hyperlink" Target="https://drive.google.com/file/d/1TkkkQaQsl-oHJvEHVz1Yr4zT_15FnVc6/view?usp=drivesdk" TargetMode="External"/><Relationship Id="rId2314" Type="http://schemas.openxmlformats.org/officeDocument/2006/relationships/hyperlink" Target="https://drive.google.com/file/d/1kfd_PAhdj7RqnrxHUUC9mVCLkdBJiZE_/view?usp=drivesdk" TargetMode="External"/><Relationship Id="rId2315" Type="http://schemas.openxmlformats.org/officeDocument/2006/relationships/hyperlink" Target="https://drive.google.com/file/d/1FI9Nr9TDKHU62D18PFrxXwlySHCaYjIQ/view?usp=drivesdk" TargetMode="External"/><Relationship Id="rId2316" Type="http://schemas.openxmlformats.org/officeDocument/2006/relationships/hyperlink" Target="https://drive.google.com/file/d/1HPPWwcxjuwwZxXoDPG4WU_JiteJvrPnD/view?usp=drivesdk" TargetMode="External"/><Relationship Id="rId2317" Type="http://schemas.openxmlformats.org/officeDocument/2006/relationships/hyperlink" Target="https://drive.google.com/file/d/1LBsEL-QWWoAkr0aawZAjxyCnZt_sAaH3/view?usp=drivesdk" TargetMode="External"/><Relationship Id="rId2318" Type="http://schemas.openxmlformats.org/officeDocument/2006/relationships/hyperlink" Target="https://drive.google.com/file/d/1g9OOeXCjMDtq7c__x5ODzeNSsiPJB1f7/view?usp=drivesdk" TargetMode="External"/><Relationship Id="rId2319" Type="http://schemas.openxmlformats.org/officeDocument/2006/relationships/hyperlink" Target="https://drive.google.com/file/d/1yCaUr8Wxv-WkDGtq60E-PHNLqqXhbyYX/view?usp=drivesdk" TargetMode="External"/><Relationship Id="rId2310" Type="http://schemas.openxmlformats.org/officeDocument/2006/relationships/hyperlink" Target="https://drive.google.com/file/d/1agj_CC4Hi2pSb3HYwK_RD9OBu8RlwEX-/view?usp=drivesdk" TargetMode="External"/><Relationship Id="rId2311" Type="http://schemas.openxmlformats.org/officeDocument/2006/relationships/hyperlink" Target="https://drive.google.com/file/d/1N4kAxZP991xkRSy3F9m6eL5yWKFIFvkQ/view?usp=drivesdk" TargetMode="External"/><Relationship Id="rId2312" Type="http://schemas.openxmlformats.org/officeDocument/2006/relationships/hyperlink" Target="https://drive.google.com/file/d/1dJMgFTwdUa6XZPcvND4OnwhgBWxa8b1M/view?usp=drivesdk" TargetMode="External"/><Relationship Id="rId1059" Type="http://schemas.openxmlformats.org/officeDocument/2006/relationships/hyperlink" Target="https://drive.google.com/file/d/1kLdyVbp7vYOpjtoG2MopyNNCMnY-WoZ7/view?usp=drivesdk" TargetMode="External"/><Relationship Id="rId2380" Type="http://schemas.openxmlformats.org/officeDocument/2006/relationships/hyperlink" Target="https://drive.google.com/file/d/1IQaQaD7N8NdPdChqJWnHYt1giW2ENstl/view?usp=drivesdk" TargetMode="External"/><Relationship Id="rId1050" Type="http://schemas.openxmlformats.org/officeDocument/2006/relationships/hyperlink" Target="https://drive.google.com/file/d/1dZ0QzSbwgL9oaqZRlIEiEtW8Xv76uGg1/view?usp=drivesdk" TargetMode="External"/><Relationship Id="rId2381" Type="http://schemas.openxmlformats.org/officeDocument/2006/relationships/hyperlink" Target="https://drive.google.com/file/d/1W6DQXgDhvKRDnueij-fWw9OV3Zv8dZPs/view?usp=drivesdk" TargetMode="External"/><Relationship Id="rId1051" Type="http://schemas.openxmlformats.org/officeDocument/2006/relationships/hyperlink" Target="https://drive.google.com/file/d/1jv4aP7ipvk6mgnM0r06ZKiT0EbVp_wAu/view?usp=drivesdk" TargetMode="External"/><Relationship Id="rId2382" Type="http://schemas.openxmlformats.org/officeDocument/2006/relationships/hyperlink" Target="https://drive.google.com/file/d/16-PgM7JfV3ebmeburLPY1I057fllquU3/view?usp=drivesdk" TargetMode="External"/><Relationship Id="rId1052" Type="http://schemas.openxmlformats.org/officeDocument/2006/relationships/hyperlink" Target="https://drive.google.com/file/d/1cvU66b98db_UBcioiPnCtm9lT8e95KTd/view?usp=drivesdk" TargetMode="External"/><Relationship Id="rId2383" Type="http://schemas.openxmlformats.org/officeDocument/2006/relationships/hyperlink" Target="https://drive.google.com/file/d/1JQ7L7BA-7SkOQX6XeSdfK37qy_62EyH5/view?usp=drivesdk" TargetMode="External"/><Relationship Id="rId1053" Type="http://schemas.openxmlformats.org/officeDocument/2006/relationships/hyperlink" Target="https://drive.google.com/file/d/1qi1Pe5uX7dEfR_UIoPZDbRfVessN1BO8/view?usp=drivesdk" TargetMode="External"/><Relationship Id="rId2384" Type="http://schemas.openxmlformats.org/officeDocument/2006/relationships/hyperlink" Target="https://drive.google.com/file/d/1MK7OQyYpjluX6-M_--E5dwLl0A8klsYI/view?usp=drivesdk" TargetMode="External"/><Relationship Id="rId1054" Type="http://schemas.openxmlformats.org/officeDocument/2006/relationships/hyperlink" Target="https://drive.google.com/file/d/1_t2OsWssvBwE8SBBMasWA-PaoaHcF3M2/view?usp=drivesdk" TargetMode="External"/><Relationship Id="rId2385" Type="http://schemas.openxmlformats.org/officeDocument/2006/relationships/hyperlink" Target="https://drive.google.com/file/d/1FjXdf8c_Sx2cZoNgsttoUEddRYMrNYEy/view?usp=drivesdk" TargetMode="External"/><Relationship Id="rId1055" Type="http://schemas.openxmlformats.org/officeDocument/2006/relationships/hyperlink" Target="https://drive.google.com/file/d/1C2jJPVp3umfnhwnalP4dkB7GNr_mb5ZR/view?usp=drivesdk" TargetMode="External"/><Relationship Id="rId2386" Type="http://schemas.openxmlformats.org/officeDocument/2006/relationships/hyperlink" Target="https://drive.google.com/file/d/1CukwYPB89fPdmyHk6pmP18s3ausvxzOd/view?usp=drivesdk" TargetMode="External"/><Relationship Id="rId1056" Type="http://schemas.openxmlformats.org/officeDocument/2006/relationships/hyperlink" Target="https://drive.google.com/file/d/1C-3zs8slzSGb4DL18d-WwJFSExfQzoUT/view?usp=drivesdk" TargetMode="External"/><Relationship Id="rId2387" Type="http://schemas.openxmlformats.org/officeDocument/2006/relationships/hyperlink" Target="https://drive.google.com/file/d/1eTLe3HT8nCBcQwCPkaT7C5LviPGDWOCE/view?usp=drivesdk" TargetMode="External"/><Relationship Id="rId1057" Type="http://schemas.openxmlformats.org/officeDocument/2006/relationships/hyperlink" Target="https://drive.google.com/file/d/1xZBaq2OL5y8GRZeXPzF63Mk8XIeXtM6s/view?usp=drivesdk" TargetMode="External"/><Relationship Id="rId2388" Type="http://schemas.openxmlformats.org/officeDocument/2006/relationships/hyperlink" Target="https://drive.google.com/file/d/1RLF2FKQANgQ45tpQ9nFUt-SpZXxxDpuQ/view?usp=drivesdk" TargetMode="External"/><Relationship Id="rId1058" Type="http://schemas.openxmlformats.org/officeDocument/2006/relationships/hyperlink" Target="https://drive.google.com/file/d/1W-0EL5mQL_HHQOixplVL--1yj3ZHqFJ8/view?usp=drivesdk" TargetMode="External"/><Relationship Id="rId2389" Type="http://schemas.openxmlformats.org/officeDocument/2006/relationships/hyperlink" Target="https://drive.google.com/file/d/1Jk7io0MeI0uGHk9KkvtHFRV8oeJVN61H/view?usp=drivesdk" TargetMode="External"/><Relationship Id="rId1048" Type="http://schemas.openxmlformats.org/officeDocument/2006/relationships/hyperlink" Target="https://drive.google.com/file/d/1jYzFdlTqE9V4T313L--zJqRQ0qvrVZn_/view?usp=drivesdk" TargetMode="External"/><Relationship Id="rId2379" Type="http://schemas.openxmlformats.org/officeDocument/2006/relationships/hyperlink" Target="https://drive.google.com/file/d/16BkcIMqo8TJBd_itm-6qjV4b5bnW993j/view?usp=drivesdk" TargetMode="External"/><Relationship Id="rId1049" Type="http://schemas.openxmlformats.org/officeDocument/2006/relationships/hyperlink" Target="https://drive.google.com/file/d/17-anN9SX5zIqm9GO5bH_aMo5lg-l-YTh/view?usp=drivesdk" TargetMode="External"/><Relationship Id="rId2370" Type="http://schemas.openxmlformats.org/officeDocument/2006/relationships/hyperlink" Target="https://drive.google.com/file/d/1P5-p3o3XHA6QPC_MDSSDAxpCgnRQKtup/view?usp=drivesdk" TargetMode="External"/><Relationship Id="rId1040" Type="http://schemas.openxmlformats.org/officeDocument/2006/relationships/hyperlink" Target="https://drive.google.com/file/d/1lRM37qj36VvVLam1KF2NoN_GcKvFghAQ/view?usp=drivesdk" TargetMode="External"/><Relationship Id="rId2371" Type="http://schemas.openxmlformats.org/officeDocument/2006/relationships/hyperlink" Target="https://drive.google.com/file/d/1FfbOZT63LlYcEPQdXDRzF1Ls-pkFv31G/view?usp=drivesdk" TargetMode="External"/><Relationship Id="rId1041" Type="http://schemas.openxmlformats.org/officeDocument/2006/relationships/hyperlink" Target="https://drive.google.com/file/d/1ked0961skiSPtCfzpCQ0faSU3We-8LfT/view?usp=drivesdk" TargetMode="External"/><Relationship Id="rId2372" Type="http://schemas.openxmlformats.org/officeDocument/2006/relationships/hyperlink" Target="https://drive.google.com/file/d/19iL79xi0D76NSVT3CKZRc2ysqIZRqFyE/view?usp=drivesdk" TargetMode="External"/><Relationship Id="rId1042" Type="http://schemas.openxmlformats.org/officeDocument/2006/relationships/hyperlink" Target="https://drive.google.com/file/d/15WYwQd_n2nY_yctBp8D5VQVYK6OaeAXU/view?usp=drivesdk" TargetMode="External"/><Relationship Id="rId2373" Type="http://schemas.openxmlformats.org/officeDocument/2006/relationships/hyperlink" Target="https://drive.google.com/file/d/11plNrIDwWnA4uD5Bv0wCyQ9vWaO3-Wih/view?usp=drivesdk" TargetMode="External"/><Relationship Id="rId1043" Type="http://schemas.openxmlformats.org/officeDocument/2006/relationships/hyperlink" Target="https://drive.google.com/file/d/1qoekwrOZaRLTzZDLA8by6fWIpcWzkWEe/view?usp=drivesdk" TargetMode="External"/><Relationship Id="rId2374" Type="http://schemas.openxmlformats.org/officeDocument/2006/relationships/hyperlink" Target="https://drive.google.com/file/d/1LR8q5CuBF_J1BlIy3kZkZgbWskFnvYVm/view?usp=drivesdk" TargetMode="External"/><Relationship Id="rId1044" Type="http://schemas.openxmlformats.org/officeDocument/2006/relationships/hyperlink" Target="https://drive.google.com/file/d/1QMEvgN6tWba6u6SHl9cK_Qi1_1tTtGto/view?usp=drivesdk" TargetMode="External"/><Relationship Id="rId2375" Type="http://schemas.openxmlformats.org/officeDocument/2006/relationships/hyperlink" Target="https://drive.google.com/file/d/1R_c5-JAXOlS-qbXud5QVHRNbC9XuAO_0/view?usp=drivesdk" TargetMode="External"/><Relationship Id="rId1045" Type="http://schemas.openxmlformats.org/officeDocument/2006/relationships/hyperlink" Target="https://drive.google.com/file/d/19cAL8B29JiAFwWkmB2HOiN3_qrPKHU_5/view?usp=drivesdk" TargetMode="External"/><Relationship Id="rId2376" Type="http://schemas.openxmlformats.org/officeDocument/2006/relationships/hyperlink" Target="http://novita.s.si" TargetMode="External"/><Relationship Id="rId1046" Type="http://schemas.openxmlformats.org/officeDocument/2006/relationships/hyperlink" Target="https://drive.google.com/file/d/1nYNCTng-XHb5UUYq08v9707zmz7u1fnG/view?usp=drivesdk" TargetMode="External"/><Relationship Id="rId2377" Type="http://schemas.openxmlformats.org/officeDocument/2006/relationships/hyperlink" Target="https://drive.google.com/file/d/1slJWwUrawhrRUW5DEV_e0ZCyUne_QRXL/view?usp=drivesdk" TargetMode="External"/><Relationship Id="rId1047" Type="http://schemas.openxmlformats.org/officeDocument/2006/relationships/hyperlink" Target="https://drive.google.com/file/d/11hMOjyLL_DB05W15SvTP8iXkAJlskgSn/view?usp=drivesdk" TargetMode="External"/><Relationship Id="rId2378" Type="http://schemas.openxmlformats.org/officeDocument/2006/relationships/hyperlink" Target="https://drive.google.com/file/d/1SL0PbTSBoSTvAl6w-WyGpguB9ZtanyEY/view?usp=drivesdk" TargetMode="External"/><Relationship Id="rId1070" Type="http://schemas.openxmlformats.org/officeDocument/2006/relationships/hyperlink" Target="https://drive.google.com/file/d/108WpmXiThglWV8Ymobwsg8EvOp2czVhE/view?usp=drivesdk" TargetMode="External"/><Relationship Id="rId1071" Type="http://schemas.openxmlformats.org/officeDocument/2006/relationships/hyperlink" Target="https://drive.google.com/file/d/1hcGYapwKMUYvtXPc2oZlSmcgWOBWk0kN/view?usp=drivesdk" TargetMode="External"/><Relationship Id="rId1072" Type="http://schemas.openxmlformats.org/officeDocument/2006/relationships/hyperlink" Target="https://drive.google.com/file/d/1ynzkQetzoykeoUxcgw6WGgE-kgAOnOut/view?usp=drivesdk" TargetMode="External"/><Relationship Id="rId1073" Type="http://schemas.openxmlformats.org/officeDocument/2006/relationships/hyperlink" Target="https://drive.google.com/file/d/1UDKa-cXLBin2YT4sQXehPuPth2Zu9yks/view?usp=drivesdk" TargetMode="External"/><Relationship Id="rId1074" Type="http://schemas.openxmlformats.org/officeDocument/2006/relationships/hyperlink" Target="https://drive.google.com/file/d/1_Ah4AOEJqKzBlr5DczjOQj9yU5gZz-dZ/view?usp=drivesdk" TargetMode="External"/><Relationship Id="rId1075" Type="http://schemas.openxmlformats.org/officeDocument/2006/relationships/hyperlink" Target="https://drive.google.com/file/d/1i8LXKf3rhgiytgXniez_NM8P7LMUCEIe/view?usp=drivesdk" TargetMode="External"/><Relationship Id="rId1076" Type="http://schemas.openxmlformats.org/officeDocument/2006/relationships/hyperlink" Target="https://drive.google.com/file/d/1W4uWQSkNXaI-Z6OpmFmfl531cjc0jjO6/view?usp=drivesdk" TargetMode="External"/><Relationship Id="rId1077" Type="http://schemas.openxmlformats.org/officeDocument/2006/relationships/hyperlink" Target="https://drive.google.com/file/d/12K4MtfTltENRg6WVSOeR2yh433z3zeaR/view?usp=drivesdk" TargetMode="External"/><Relationship Id="rId1078" Type="http://schemas.openxmlformats.org/officeDocument/2006/relationships/hyperlink" Target="https://drive.google.com/file/d/1QZ9q1Kp0iHizd5PjFm-hGs625IMQHjZC/view?usp=drivesdk" TargetMode="External"/><Relationship Id="rId1079" Type="http://schemas.openxmlformats.org/officeDocument/2006/relationships/hyperlink" Target="https://drive.google.com/file/d/1YuRRj1ECMhAibrjtV5Q0ed-o69j7FG5-/view?usp=drivesdk" TargetMode="External"/><Relationship Id="rId2390" Type="http://schemas.openxmlformats.org/officeDocument/2006/relationships/hyperlink" Target="https://drive.google.com/file/d/13iaFKLCxQoFq3xnoC7iw3od-0bSUEJaQ/view?usp=drivesdk" TargetMode="External"/><Relationship Id="rId1060" Type="http://schemas.openxmlformats.org/officeDocument/2006/relationships/hyperlink" Target="https://drive.google.com/file/d/1aZgO3CGE9jXjWYVmLbgOO0IALbcfQjge/view?usp=drivesdk" TargetMode="External"/><Relationship Id="rId2391" Type="http://schemas.openxmlformats.org/officeDocument/2006/relationships/hyperlink" Target="https://drive.google.com/file/d/1x7OhideDaIdm-pu8zmu9CWXFOSDG1v8m/view?usp=drivesdk" TargetMode="External"/><Relationship Id="rId1061" Type="http://schemas.openxmlformats.org/officeDocument/2006/relationships/hyperlink" Target="https://drive.google.com/file/d/1TYGc1qvyqPMgluiM0nEad2UKSUNsk_uP/view?usp=drivesdk" TargetMode="External"/><Relationship Id="rId2392" Type="http://schemas.openxmlformats.org/officeDocument/2006/relationships/hyperlink" Target="https://drive.google.com/file/d/1DX9UYxPAKQWD6TRP8HHuAYjTysTHkbFz/view?usp=drivesdk" TargetMode="External"/><Relationship Id="rId1062" Type="http://schemas.openxmlformats.org/officeDocument/2006/relationships/hyperlink" Target="https://drive.google.com/file/d/1s9iigHfsRsu8EXBqlSgPoGD8rH2U3Yxf/view?usp=drivesdk" TargetMode="External"/><Relationship Id="rId2393" Type="http://schemas.openxmlformats.org/officeDocument/2006/relationships/hyperlink" Target="https://drive.google.com/file/d/1ogC7bX99_8iVcwmzGcTK1McsVE10AnJT/view?usp=drivesdk" TargetMode="External"/><Relationship Id="rId1063" Type="http://schemas.openxmlformats.org/officeDocument/2006/relationships/hyperlink" Target="https://drive.google.com/file/d/1ClpeTt70O0A8tiecdAZpFE4vpLo7Ql9A/view?usp=drivesdk" TargetMode="External"/><Relationship Id="rId2394" Type="http://schemas.openxmlformats.org/officeDocument/2006/relationships/hyperlink" Target="https://drive.google.com/file/d/1jYCUj-JcSW26KV-9ujYL_8uDOeY-ag4d/view?usp=drivesdk" TargetMode="External"/><Relationship Id="rId1064" Type="http://schemas.openxmlformats.org/officeDocument/2006/relationships/hyperlink" Target="https://drive.google.com/file/d/18BxEefZFi9D5eOJFIk5LNKruIjKPDtWk/view?usp=drivesdk" TargetMode="External"/><Relationship Id="rId2395" Type="http://schemas.openxmlformats.org/officeDocument/2006/relationships/hyperlink" Target="https://drive.google.com/file/d/1onXWdaNBE43jP1lrgOUOHm9DdhCD_lai/view?usp=drivesdk" TargetMode="External"/><Relationship Id="rId1065" Type="http://schemas.openxmlformats.org/officeDocument/2006/relationships/hyperlink" Target="https://drive.google.com/file/d/11HHU3h921skyszUcK25idiIk_sEOzx0J/view?usp=drivesdk" TargetMode="External"/><Relationship Id="rId2396" Type="http://schemas.openxmlformats.org/officeDocument/2006/relationships/hyperlink" Target="https://drive.google.com/file/d/1hbAQ0wHX2fOYdDVoyZxnHhgT6t-oDzis/view?usp=drivesdk" TargetMode="External"/><Relationship Id="rId1066" Type="http://schemas.openxmlformats.org/officeDocument/2006/relationships/hyperlink" Target="https://drive.google.com/file/d/1Mrxln-IV07brVuQ88IQX91tHfB0oKkM8/view?usp=drivesdk" TargetMode="External"/><Relationship Id="rId2397" Type="http://schemas.openxmlformats.org/officeDocument/2006/relationships/hyperlink" Target="https://drive.google.com/file/d/1JAO44goTMW6HJz7qy1DwkijgmIZKkxvB/view?usp=drivesdk" TargetMode="External"/><Relationship Id="rId1067" Type="http://schemas.openxmlformats.org/officeDocument/2006/relationships/hyperlink" Target="https://drive.google.com/file/d/1ssqrgGMWwRydWfyOiIoCc-PjnGcPIahg/view?usp=drivesdk" TargetMode="External"/><Relationship Id="rId2398" Type="http://schemas.openxmlformats.org/officeDocument/2006/relationships/hyperlink" Target="https://drive.google.com/file/d/1Gh2evcnNer-obEb8bUaLil3gXaECEWGb/view?usp=drivesdk" TargetMode="External"/><Relationship Id="rId1068" Type="http://schemas.openxmlformats.org/officeDocument/2006/relationships/hyperlink" Target="https://drive.google.com/file/d/1Vl1Ks0O36nv4yg4-_BiqgF8LGXFM29iH/view?usp=drivesdk" TargetMode="External"/><Relationship Id="rId2399" Type="http://schemas.openxmlformats.org/officeDocument/2006/relationships/hyperlink" Target="https://drive.google.com/file/d/1UWBpEiwPhrjh55I5hAYUx2uYa6MHJ_aX/view?usp=drivesdk" TargetMode="External"/><Relationship Id="rId1069" Type="http://schemas.openxmlformats.org/officeDocument/2006/relationships/hyperlink" Target="https://drive.google.com/file/d/1HTPxra0YYzr5HUY4rW2FVV1zES9nLeyh/view?usp=drivesdk" TargetMode="External"/><Relationship Id="rId1015" Type="http://schemas.openxmlformats.org/officeDocument/2006/relationships/hyperlink" Target="https://drive.google.com/file/d/1K0DDh3mG9sOcLAQDc532s7ZqD6Zf91Og/view?usp=drivesdk" TargetMode="External"/><Relationship Id="rId2346" Type="http://schemas.openxmlformats.org/officeDocument/2006/relationships/hyperlink" Target="https://drive.google.com/file/d/1HJb8t2gPTM94JJYPISWsIgYBRsoYHhse/view?usp=drivesdk" TargetMode="External"/><Relationship Id="rId1016" Type="http://schemas.openxmlformats.org/officeDocument/2006/relationships/hyperlink" Target="https://drive.google.com/file/d/1BSUacUHS9xFMTZ17304yZzAIsIkg4u1-/view?usp=drivesdk" TargetMode="External"/><Relationship Id="rId2347" Type="http://schemas.openxmlformats.org/officeDocument/2006/relationships/hyperlink" Target="https://drive.google.com/file/d/1b-pZuG228daoFLmtMpSkVgZ89mRD0U8E/view?usp=drivesdk" TargetMode="External"/><Relationship Id="rId1017" Type="http://schemas.openxmlformats.org/officeDocument/2006/relationships/hyperlink" Target="https://drive.google.com/file/d/1MMqKP4QBTFdbMjJEda2Ay7yM0oG0vFlR/view?usp=drivesdk" TargetMode="External"/><Relationship Id="rId2348" Type="http://schemas.openxmlformats.org/officeDocument/2006/relationships/hyperlink" Target="https://drive.google.com/file/d/180WIwad4qSDoksQiR3oQAVkxIQzrHVTW/view?usp=drivesdk" TargetMode="External"/><Relationship Id="rId1018" Type="http://schemas.openxmlformats.org/officeDocument/2006/relationships/hyperlink" Target="https://drive.google.com/file/d/1eXxq0wXW0d-1zwuCLBBbC9zDpjuctO1I/view?usp=drivesdk" TargetMode="External"/><Relationship Id="rId2349" Type="http://schemas.openxmlformats.org/officeDocument/2006/relationships/hyperlink" Target="https://drive.google.com/file/d/1Klmri6g5FxwUWt2pk3BQN4_tgOencHXP/view?usp=drivesdk" TargetMode="External"/><Relationship Id="rId1019" Type="http://schemas.openxmlformats.org/officeDocument/2006/relationships/hyperlink" Target="https://drive.google.com/file/d/1BI4bPLesq96C02l5uSuiNKeOsSmPXA_v/view?usp=drivesdk" TargetMode="External"/><Relationship Id="rId2340" Type="http://schemas.openxmlformats.org/officeDocument/2006/relationships/hyperlink" Target="https://drive.google.com/file/d/1sSGrMUvYJZpBaAgfDIlvLPDTQJnuRO-5/view?usp=drivesdk" TargetMode="External"/><Relationship Id="rId1010" Type="http://schemas.openxmlformats.org/officeDocument/2006/relationships/hyperlink" Target="https://drive.google.com/file/d/1fqt7s4c8KF5Er3xPQsqFs4ZOAt5dJXDF/view?usp=drivesdk" TargetMode="External"/><Relationship Id="rId2341" Type="http://schemas.openxmlformats.org/officeDocument/2006/relationships/hyperlink" Target="https://drive.google.com/file/d/1ozQVK7JgTivofSy3H7aq1IsWnzUcFloj/view?usp=drivesdk" TargetMode="External"/><Relationship Id="rId1011" Type="http://schemas.openxmlformats.org/officeDocument/2006/relationships/hyperlink" Target="https://drive.google.com/file/d/1kf4zjEJOW9Y7lIQiEtWpZ_XkMP_bjz8k/view?usp=drivesdk" TargetMode="External"/><Relationship Id="rId2342" Type="http://schemas.openxmlformats.org/officeDocument/2006/relationships/hyperlink" Target="https://drive.google.com/file/d/1cVvjFjzp1HSKXHWJ1miOta82qsq_vIzZ/view?usp=drivesdk" TargetMode="External"/><Relationship Id="rId1012" Type="http://schemas.openxmlformats.org/officeDocument/2006/relationships/hyperlink" Target="https://drive.google.com/file/d/1Ih2s4LNmIxfCecub5zpLwL-jXFvX9IS6/view?usp=drivesdk" TargetMode="External"/><Relationship Id="rId2343" Type="http://schemas.openxmlformats.org/officeDocument/2006/relationships/hyperlink" Target="https://drive.google.com/file/d/1_N_PNFqShs9Oojxs32uOaC4uUq1eozdK/view?usp=drivesdk" TargetMode="External"/><Relationship Id="rId1013" Type="http://schemas.openxmlformats.org/officeDocument/2006/relationships/hyperlink" Target="https://drive.google.com/file/d/1UPuYfiWHoo5bqt9rAdvWyseWXA64Ny5F/view?usp=drivesdk" TargetMode="External"/><Relationship Id="rId2344" Type="http://schemas.openxmlformats.org/officeDocument/2006/relationships/hyperlink" Target="https://drive.google.com/file/d/1JaomYl1s6Wce3xr3BEGrz8ExUeOT0z6X/view?usp=drivesdk" TargetMode="External"/><Relationship Id="rId1014" Type="http://schemas.openxmlformats.org/officeDocument/2006/relationships/hyperlink" Target="https://drive.google.com/file/d/1tKSX_2O-Mo-y6lgyyWHQZ5n7lmK3wLrT/view?usp=drivesdk" TargetMode="External"/><Relationship Id="rId2345" Type="http://schemas.openxmlformats.org/officeDocument/2006/relationships/hyperlink" Target="https://drive.google.com/file/d/1kainxWx2MswsDOkfSJZrzHB30PzfMrJl/view?usp=drivesdk" TargetMode="External"/><Relationship Id="rId1004" Type="http://schemas.openxmlformats.org/officeDocument/2006/relationships/hyperlink" Target="https://drive.google.com/file/d/1KcfJnine8yRREabCFCyHnSRH2wG3LjSu/view?usp=drivesdk" TargetMode="External"/><Relationship Id="rId2335" Type="http://schemas.openxmlformats.org/officeDocument/2006/relationships/hyperlink" Target="https://drive.google.com/file/d/1V06-KgNKdsfaxKEmP2n-1bwn3WfK7y-n/view?usp=drivesdk" TargetMode="External"/><Relationship Id="rId1005" Type="http://schemas.openxmlformats.org/officeDocument/2006/relationships/hyperlink" Target="https://drive.google.com/file/d/1sHaJbbxqarEiA6VrZE2nUksHx1qTf9BV/view?usp=drivesdk" TargetMode="External"/><Relationship Id="rId2336" Type="http://schemas.openxmlformats.org/officeDocument/2006/relationships/hyperlink" Target="https://drive.google.com/file/d/1BWjebya14M66KfMFQhQQ-iuAPT9C1xj5/view?usp=drivesdk" TargetMode="External"/><Relationship Id="rId1006" Type="http://schemas.openxmlformats.org/officeDocument/2006/relationships/hyperlink" Target="https://drive.google.com/file/d/1tdtqgP5RS3VijDHqumD9gu8zLQ13xm83/view?usp=drivesdk" TargetMode="External"/><Relationship Id="rId2337" Type="http://schemas.openxmlformats.org/officeDocument/2006/relationships/hyperlink" Target="https://drive.google.com/file/d/1vYwEC6VqQIYuHB3FznclGTvzeJRqPGwv/view?usp=drivesdk" TargetMode="External"/><Relationship Id="rId1007" Type="http://schemas.openxmlformats.org/officeDocument/2006/relationships/hyperlink" Target="https://drive.google.com/file/d/10hDviPC5GRBda1pMICNUG4bHW9DmYRwy/view?usp=drivesdk" TargetMode="External"/><Relationship Id="rId2338" Type="http://schemas.openxmlformats.org/officeDocument/2006/relationships/hyperlink" Target="https://drive.google.com/file/d/1HVcVKgkcHZhG1yIkNfY4TErX4e8PlGBl/view?usp=drivesdk" TargetMode="External"/><Relationship Id="rId1008" Type="http://schemas.openxmlformats.org/officeDocument/2006/relationships/hyperlink" Target="https://drive.google.com/file/d/1xVV9Lb8y7-OhDrIETl2Wx5DAo3xnbyut/view?usp=drivesdk" TargetMode="External"/><Relationship Id="rId2339" Type="http://schemas.openxmlformats.org/officeDocument/2006/relationships/hyperlink" Target="https://drive.google.com/file/d/11nKmUuIS6oqHQ0lR3GGvKjhEpVlr6jOk/view?usp=drivesdk" TargetMode="External"/><Relationship Id="rId1009" Type="http://schemas.openxmlformats.org/officeDocument/2006/relationships/hyperlink" Target="https://drive.google.com/file/d/1JZVN3WHB9t-BzjfpXswvWX8XB98fmyti/view?usp=drivesdk" TargetMode="External"/><Relationship Id="rId2330" Type="http://schemas.openxmlformats.org/officeDocument/2006/relationships/hyperlink" Target="https://drive.google.com/file/d/1AgAscyyN8v83nw4E3TX2nckiGW2jqbFF/view?usp=drivesdk" TargetMode="External"/><Relationship Id="rId1000" Type="http://schemas.openxmlformats.org/officeDocument/2006/relationships/hyperlink" Target="https://drive.google.com/file/d/1SrEd2L4p488R0H2LD0eoC53KJ2lFgJJW/view?usp=drivesdk" TargetMode="External"/><Relationship Id="rId2331" Type="http://schemas.openxmlformats.org/officeDocument/2006/relationships/hyperlink" Target="https://drive.google.com/file/d/1ta0j97f6uhRLKEyVYAWrBFLRo5aqUdeu/view?usp=drivesdk" TargetMode="External"/><Relationship Id="rId1001" Type="http://schemas.openxmlformats.org/officeDocument/2006/relationships/hyperlink" Target="https://drive.google.com/file/d/1RFb3bYsQ6MkiaV-IHpKxCQAWw-bztp4N/view?usp=drivesdk" TargetMode="External"/><Relationship Id="rId2332" Type="http://schemas.openxmlformats.org/officeDocument/2006/relationships/hyperlink" Target="https://drive.google.com/file/d/1E3pcb71x0qPNpNAOyhvJ5lFrhWWoz2NC/view?usp=drivesdk" TargetMode="External"/><Relationship Id="rId1002" Type="http://schemas.openxmlformats.org/officeDocument/2006/relationships/hyperlink" Target="https://drive.google.com/file/d/1xw5cgj3HSl345J0F3XipGBrvfP8t_bR6/view?usp=drivesdk" TargetMode="External"/><Relationship Id="rId2333" Type="http://schemas.openxmlformats.org/officeDocument/2006/relationships/hyperlink" Target="https://drive.google.com/file/d/1swO8GJfdcsdIDumXqOKN8ofRNEuKuSQp/view?usp=drivesdk" TargetMode="External"/><Relationship Id="rId1003" Type="http://schemas.openxmlformats.org/officeDocument/2006/relationships/hyperlink" Target="https://drive.google.com/file/d/1p6sdr8lSTK_sUjvJzsMOk_v4OIiTlzja/view?usp=drivesdk" TargetMode="External"/><Relationship Id="rId2334" Type="http://schemas.openxmlformats.org/officeDocument/2006/relationships/hyperlink" Target="https://drive.google.com/file/d/15LT-BPDXZQ3crxNGd0OUCzMD0wr-ESVE/view?usp=drivesdk" TargetMode="External"/><Relationship Id="rId1037" Type="http://schemas.openxmlformats.org/officeDocument/2006/relationships/hyperlink" Target="https://drive.google.com/file/d/1lrjCb2C90JKybenAYF9YteCRCfkDYLJ9/view?usp=drivesdk" TargetMode="External"/><Relationship Id="rId2368" Type="http://schemas.openxmlformats.org/officeDocument/2006/relationships/hyperlink" Target="https://drive.google.com/file/d/1uoEpyikIJGxyxaHjtyFZZ6u0I51blzsw/view?usp=drivesdk" TargetMode="External"/><Relationship Id="rId1038" Type="http://schemas.openxmlformats.org/officeDocument/2006/relationships/hyperlink" Target="https://drive.google.com/file/d/1QBwoDocyFPyAv8vrr0SDB0zdriBfY5Gm/view?usp=drivesdk" TargetMode="External"/><Relationship Id="rId2369" Type="http://schemas.openxmlformats.org/officeDocument/2006/relationships/hyperlink" Target="https://drive.google.com/file/d/1zGvMYRjO4PgDJmdcAE2zT-gccoMvW2C7/view?usp=drivesdk" TargetMode="External"/><Relationship Id="rId1039" Type="http://schemas.openxmlformats.org/officeDocument/2006/relationships/hyperlink" Target="https://drive.google.com/file/d/10Dk7YqEiIW91nyHnvVaKIa6LscXu5RNt/view?usp=drivesdk" TargetMode="External"/><Relationship Id="rId2360" Type="http://schemas.openxmlformats.org/officeDocument/2006/relationships/hyperlink" Target="https://drive.google.com/file/d/1bKEgk_qM8nUb3cfJqU7aSqu5miWlO90i/view?usp=drivesdk" TargetMode="External"/><Relationship Id="rId1030" Type="http://schemas.openxmlformats.org/officeDocument/2006/relationships/hyperlink" Target="https://drive.google.com/file/d/1mGrZFdNYIu-_miqOHqt3ogR1AywDnIF2/view?usp=drivesdk" TargetMode="External"/><Relationship Id="rId2361" Type="http://schemas.openxmlformats.org/officeDocument/2006/relationships/hyperlink" Target="https://drive.google.com/file/d/10Rta2lBnZ3FYVoYOZ_CD6FnRXNLZL7_p/view?usp=drivesdk" TargetMode="External"/><Relationship Id="rId1031" Type="http://schemas.openxmlformats.org/officeDocument/2006/relationships/hyperlink" Target="https://drive.google.com/file/d/1zNwGAHvInk9Jz7uyzbtdfljvlh-JNmhL/view?usp=drivesdk" TargetMode="External"/><Relationship Id="rId2362" Type="http://schemas.openxmlformats.org/officeDocument/2006/relationships/hyperlink" Target="https://drive.google.com/file/d/1tZImnWMO6UX4xdlaByFkS44KzbG8Jjuy/view?usp=drivesdk" TargetMode="External"/><Relationship Id="rId1032" Type="http://schemas.openxmlformats.org/officeDocument/2006/relationships/hyperlink" Target="https://drive.google.com/file/d/1mgGtbu8I7G9mTu7ihR7tBDcn3j4cke0K/view?usp=drivesdk" TargetMode="External"/><Relationship Id="rId2363" Type="http://schemas.openxmlformats.org/officeDocument/2006/relationships/hyperlink" Target="https://drive.google.com/file/d/1iW9SDGE7mMXX0IFCgH0RlJyyWzLR1MG2/view?usp=drivesdk" TargetMode="External"/><Relationship Id="rId1033" Type="http://schemas.openxmlformats.org/officeDocument/2006/relationships/hyperlink" Target="https://drive.google.com/file/d/1MUlq77UagGa7Gs2k330huPfK1A1uG0gF/view?usp=drivesdk" TargetMode="External"/><Relationship Id="rId2364" Type="http://schemas.openxmlformats.org/officeDocument/2006/relationships/hyperlink" Target="https://drive.google.com/file/d/1e7_DyW3RZTLyRr5ADqLOXwKZc2rImbWf/view?usp=drivesdk" TargetMode="External"/><Relationship Id="rId1034" Type="http://schemas.openxmlformats.org/officeDocument/2006/relationships/hyperlink" Target="https://drive.google.com/file/d/1GRi06V3Cc8FtUyngWPuf6IJcrduQnOY4/view?usp=drivesdk" TargetMode="External"/><Relationship Id="rId2365" Type="http://schemas.openxmlformats.org/officeDocument/2006/relationships/hyperlink" Target="https://drive.google.com/file/d/1-z3YK5fPcP2E4axlNsucGpDBoe-p1tY-/view?usp=drivesdk" TargetMode="External"/><Relationship Id="rId1035" Type="http://schemas.openxmlformats.org/officeDocument/2006/relationships/hyperlink" Target="https://drive.google.com/file/d/1E0s1ESOEvVdVjaQPyPP95ywoM-L28zee/view?usp=drivesdk" TargetMode="External"/><Relationship Id="rId2366" Type="http://schemas.openxmlformats.org/officeDocument/2006/relationships/hyperlink" Target="https://drive.google.com/file/d/1vVuY9EJbbvICQY53MMegZqwwgpnnsDxg/view?usp=drivesdk" TargetMode="External"/><Relationship Id="rId1036" Type="http://schemas.openxmlformats.org/officeDocument/2006/relationships/hyperlink" Target="https://drive.google.com/file/d/1xinKxLHB4brxVZd0m_53rb15FbcIcvrV/view?usp=drivesdk" TargetMode="External"/><Relationship Id="rId2367" Type="http://schemas.openxmlformats.org/officeDocument/2006/relationships/hyperlink" Target="https://drive.google.com/file/d/1ZaNvsn0gz9NDFsYnBllLvun6Z96XXUaD/view?usp=drivesdk" TargetMode="External"/><Relationship Id="rId1026" Type="http://schemas.openxmlformats.org/officeDocument/2006/relationships/hyperlink" Target="https://drive.google.com/file/d/1WMUciPuhFJ1Am1cVRrpKXvYqnlxn75G5/view?usp=drivesdk" TargetMode="External"/><Relationship Id="rId2357" Type="http://schemas.openxmlformats.org/officeDocument/2006/relationships/hyperlink" Target="https://drive.google.com/file/d/11mSZ5l9yym_VTaZboFJ45SH-JhuhlGPj/view?usp=drivesdk" TargetMode="External"/><Relationship Id="rId1027" Type="http://schemas.openxmlformats.org/officeDocument/2006/relationships/hyperlink" Target="https://drive.google.com/file/d/1AUBgcoJQs6nKAM26Xi2bwTlRsiFUH9k8/view?usp=drivesdk" TargetMode="External"/><Relationship Id="rId2358" Type="http://schemas.openxmlformats.org/officeDocument/2006/relationships/hyperlink" Target="https://drive.google.com/file/d/1BcyF4Wopb5MlmQuwAugOOncfBH6L9v2p/view?usp=drivesdk" TargetMode="External"/><Relationship Id="rId1028" Type="http://schemas.openxmlformats.org/officeDocument/2006/relationships/hyperlink" Target="https://drive.google.com/file/d/1z0EuBnWALLylKp9LAWbcUJgkj4J4tTIW/view?usp=drivesdk" TargetMode="External"/><Relationship Id="rId2359" Type="http://schemas.openxmlformats.org/officeDocument/2006/relationships/hyperlink" Target="https://drive.google.com/file/d/1yj84-6v_UwcT2zXh9OiyTer_oaDJd8od/view?usp=drivesdk" TargetMode="External"/><Relationship Id="rId1029" Type="http://schemas.openxmlformats.org/officeDocument/2006/relationships/hyperlink" Target="https://drive.google.com/file/d/1c2ODBBiJXVOEbRBbsT4road5eCtm-qlB/view?usp=drivesdk" TargetMode="External"/><Relationship Id="rId2350" Type="http://schemas.openxmlformats.org/officeDocument/2006/relationships/hyperlink" Target="https://drive.google.com/file/d/1Nm0b91elHljOLDf37TyN5MOA1dMEjzlP/view?usp=drivesdk" TargetMode="External"/><Relationship Id="rId1020" Type="http://schemas.openxmlformats.org/officeDocument/2006/relationships/hyperlink" Target="https://drive.google.com/file/d/10QHlaf8EtpkpOhKdOGFiDryjdwBSwVV-/view?usp=drivesdk" TargetMode="External"/><Relationship Id="rId2351" Type="http://schemas.openxmlformats.org/officeDocument/2006/relationships/hyperlink" Target="https://drive.google.com/file/d/1MLJzJ97bfh3v6se8CqTNCIZrYijJetEO/view?usp=drivesdk" TargetMode="External"/><Relationship Id="rId1021" Type="http://schemas.openxmlformats.org/officeDocument/2006/relationships/hyperlink" Target="https://drive.google.com/file/d/1o3kAo82jlN4wVzFWbwLczZsChGJcy5bA/view?usp=drivesdk" TargetMode="External"/><Relationship Id="rId2352" Type="http://schemas.openxmlformats.org/officeDocument/2006/relationships/hyperlink" Target="https://drive.google.com/file/d/1ywyKrAVgsvkoAK14TrZtFodbctt286aD/view?usp=drivesdk" TargetMode="External"/><Relationship Id="rId1022" Type="http://schemas.openxmlformats.org/officeDocument/2006/relationships/hyperlink" Target="https://drive.google.com/file/d/1JccJjxQODI9rNnrvE-YO9zC04j19sOm0/view?usp=drivesdk" TargetMode="External"/><Relationship Id="rId2353" Type="http://schemas.openxmlformats.org/officeDocument/2006/relationships/hyperlink" Target="https://drive.google.com/file/d/1iW2NkYBce24SdyFB_AFiGaxjx6w7Rzxx/view?usp=drivesdk" TargetMode="External"/><Relationship Id="rId1023" Type="http://schemas.openxmlformats.org/officeDocument/2006/relationships/hyperlink" Target="https://drive.google.com/file/d/1hsn_N1a3U4t61h6SbrkPViIRce4ulh0y/view?usp=drivesdk" TargetMode="External"/><Relationship Id="rId2354" Type="http://schemas.openxmlformats.org/officeDocument/2006/relationships/hyperlink" Target="https://drive.google.com/file/d/1t0LVVJQRoHAaR9AAukPshndMJ-sNPQuS/view?usp=drivesdk" TargetMode="External"/><Relationship Id="rId1024" Type="http://schemas.openxmlformats.org/officeDocument/2006/relationships/hyperlink" Target="https://drive.google.com/file/d/1ed9ujS8pSh7jc77VLpmniANDH_zYQGnt/view?usp=drivesdk" TargetMode="External"/><Relationship Id="rId2355" Type="http://schemas.openxmlformats.org/officeDocument/2006/relationships/hyperlink" Target="https://drive.google.com/file/d/1PqsbmVr6bBsZ_EdEFVmz-Eeu4s8sVhqc/view?usp=drivesdk" TargetMode="External"/><Relationship Id="rId1025" Type="http://schemas.openxmlformats.org/officeDocument/2006/relationships/hyperlink" Target="https://drive.google.com/file/d/1MSN_4ztDo6XO-1VzoqbK1cHH9Bwh7GJb/view?usp=drivesdk" TargetMode="External"/><Relationship Id="rId2356" Type="http://schemas.openxmlformats.org/officeDocument/2006/relationships/hyperlink" Target="https://drive.google.com/file/d/1cN8fYGOLgLdT3v1NsUTNgRDPNptp8dU1/view?usp=drivesdk" TargetMode="External"/><Relationship Id="rId1090" Type="http://schemas.openxmlformats.org/officeDocument/2006/relationships/hyperlink" Target="https://drive.google.com/file/d/11tcYemhI_QlBnp9KRm3yh-H4t2S0J9Zl/view?usp=drivesdk" TargetMode="External"/><Relationship Id="rId1091" Type="http://schemas.openxmlformats.org/officeDocument/2006/relationships/hyperlink" Target="https://drive.google.com/file/d/16sYkRJUy9oIDO-HcLACmT9p_K2-Yo-bu/view?usp=drivesdk" TargetMode="External"/><Relationship Id="rId1092" Type="http://schemas.openxmlformats.org/officeDocument/2006/relationships/hyperlink" Target="https://drive.google.com/file/d/1gKW3l3ZoLtnFc6Ft_XCRxOXKpkfeQYeu/view?usp=drivesdk" TargetMode="External"/><Relationship Id="rId1093" Type="http://schemas.openxmlformats.org/officeDocument/2006/relationships/hyperlink" Target="https://drive.google.com/file/d/1b-kwhyuGOlHZU_yaJTctW3AIMM_8wGzV/view?usp=drivesdk" TargetMode="External"/><Relationship Id="rId1094" Type="http://schemas.openxmlformats.org/officeDocument/2006/relationships/hyperlink" Target="https://drive.google.com/file/d/1mc6MwpYWDvZ9J9XeLZt7WD8cnT6pEvuq/view?usp=drivesdk" TargetMode="External"/><Relationship Id="rId1095" Type="http://schemas.openxmlformats.org/officeDocument/2006/relationships/hyperlink" Target="https://drive.google.com/file/d/1zXD_ikRtODljVHiQIo15FBusCPI-aMxc/view?usp=drivesdk" TargetMode="External"/><Relationship Id="rId1096" Type="http://schemas.openxmlformats.org/officeDocument/2006/relationships/hyperlink" Target="https://drive.google.com/file/d/1JnYi7K6oqIOjIXsgvbJkaYPElQ_3IHFB/view?usp=drivesdk" TargetMode="External"/><Relationship Id="rId1097" Type="http://schemas.openxmlformats.org/officeDocument/2006/relationships/hyperlink" Target="https://drive.google.com/file/d/14KmeVBlA6EcSTctJ_QeZhC-egTty0W5M/view?usp=drivesdk" TargetMode="External"/><Relationship Id="rId1098" Type="http://schemas.openxmlformats.org/officeDocument/2006/relationships/hyperlink" Target="https://drive.google.com/file/d/11XqjKrxkk-DUvy_cI2gPpvePi-kHMCP4/view?usp=drivesdk" TargetMode="External"/><Relationship Id="rId1099" Type="http://schemas.openxmlformats.org/officeDocument/2006/relationships/hyperlink" Target="https://drive.google.com/file/d/1XoKf3_TuXqE64HguyPbNBKq-dMTQzt4-/view?usp=drivesdk" TargetMode="External"/><Relationship Id="rId1080" Type="http://schemas.openxmlformats.org/officeDocument/2006/relationships/hyperlink" Target="https://drive.google.com/file/d/10R8rmbQwHMmHAHBpmb0aet90PpXzymbk/view?usp=drivesdk" TargetMode="External"/><Relationship Id="rId1081" Type="http://schemas.openxmlformats.org/officeDocument/2006/relationships/hyperlink" Target="https://drive.google.com/file/d/1k8ezbLzygF9NyMco7pDL9z0fqtmHqb1k/view?usp=drivesdk" TargetMode="External"/><Relationship Id="rId1082" Type="http://schemas.openxmlformats.org/officeDocument/2006/relationships/hyperlink" Target="https://drive.google.com/file/d/17gCjGAjn5IIE-VP9fJ7TfgAbABK84cIE/view?usp=drivesdk" TargetMode="External"/><Relationship Id="rId1083" Type="http://schemas.openxmlformats.org/officeDocument/2006/relationships/hyperlink" Target="https://drive.google.com/file/d/1QkkIwU7L8jQcCI3EGQ-i3Ab4FrzkRnE_/view?usp=drivesdk" TargetMode="External"/><Relationship Id="rId1084" Type="http://schemas.openxmlformats.org/officeDocument/2006/relationships/hyperlink" Target="https://drive.google.com/file/d/1h01oXJf4mYasL3kw28tIieuv8aZohEeg/view?usp=drivesdk" TargetMode="External"/><Relationship Id="rId1085" Type="http://schemas.openxmlformats.org/officeDocument/2006/relationships/hyperlink" Target="https://drive.google.com/file/d/12rH7mvjhAGu9XV-K0V91s00Jd0s4-m2n/view?usp=drivesdk" TargetMode="External"/><Relationship Id="rId1086" Type="http://schemas.openxmlformats.org/officeDocument/2006/relationships/hyperlink" Target="https://drive.google.com/file/d/1vqXgUhUthRyXGr6lrFPfi1LhudiUMbyj/view?usp=drivesdk" TargetMode="External"/><Relationship Id="rId1087" Type="http://schemas.openxmlformats.org/officeDocument/2006/relationships/hyperlink" Target="https://drive.google.com/file/d/15dXlW8fQOFCFKmFPH189vkYpPBfALjRA/view?usp=drivesdk" TargetMode="External"/><Relationship Id="rId1088" Type="http://schemas.openxmlformats.org/officeDocument/2006/relationships/hyperlink" Target="https://drive.google.com/file/d/1-it44g-YQ7gLWl8zCM6E3vZad9e5rYGU/view?usp=drivesdk" TargetMode="External"/><Relationship Id="rId1089" Type="http://schemas.openxmlformats.org/officeDocument/2006/relationships/hyperlink" Target="https://drive.google.com/file/d/1zhAKJvrNRhnzzY7gvLAFTfyaGbA_1LWI/view?usp=drivesdk" TargetMode="External"/><Relationship Id="rId2423" Type="http://schemas.openxmlformats.org/officeDocument/2006/relationships/hyperlink" Target="https://drive.google.com/file/d/1XLV-WcJCwV7rnQ8mYYc5hI-oJCZ_XgcH/view?usp=drivesdk" TargetMode="External"/><Relationship Id="rId2424" Type="http://schemas.openxmlformats.org/officeDocument/2006/relationships/hyperlink" Target="https://drive.google.com/file/d/1vMVgP84aCW2Fkid4WjF6y8jDetI17Fx0/view?usp=drivesdk" TargetMode="External"/><Relationship Id="rId2425" Type="http://schemas.openxmlformats.org/officeDocument/2006/relationships/hyperlink" Target="https://drive.google.com/file/d/1ZZ_TcENdTP_CGDd9kH0pOoOkPUnqCwNL/view?usp=drivesdk" TargetMode="External"/><Relationship Id="rId2426" Type="http://schemas.openxmlformats.org/officeDocument/2006/relationships/hyperlink" Target="https://drive.google.com/file/d/1YQ_L2E8VXWdcCeO5I41LOLMG26IytQ_N/view?usp=drivesdk" TargetMode="External"/><Relationship Id="rId2427" Type="http://schemas.openxmlformats.org/officeDocument/2006/relationships/hyperlink" Target="https://drive.google.com/file/d/1fZTwLp0PVJYMedf7wLnjhiTgwzPUldVx/view?usp=drivesdk" TargetMode="External"/><Relationship Id="rId2428" Type="http://schemas.openxmlformats.org/officeDocument/2006/relationships/hyperlink" Target="https://drive.google.com/file/d/1jPdarxhAoAumun1nwFSH-8RD-54F8DiC/view?usp=drivesdk" TargetMode="External"/><Relationship Id="rId2429" Type="http://schemas.openxmlformats.org/officeDocument/2006/relationships/hyperlink" Target="https://drive.google.com/file/d/1jRnuE8Opia1DnO2Z8I2ERJkghUAu0V61/view?usp=drivesdk" TargetMode="External"/><Relationship Id="rId2420" Type="http://schemas.openxmlformats.org/officeDocument/2006/relationships/hyperlink" Target="https://drive.google.com/file/d/10w8UQqA0Y3w2Mq5uYULzKfPpaJ8EZcdc/view?usp=drivesdk" TargetMode="External"/><Relationship Id="rId2421" Type="http://schemas.openxmlformats.org/officeDocument/2006/relationships/hyperlink" Target="https://drive.google.com/file/d/1ySpy4KeaHjZ2JV45h-QM6wbANoIWKMrv/view?usp=drivesdk" TargetMode="External"/><Relationship Id="rId2422" Type="http://schemas.openxmlformats.org/officeDocument/2006/relationships/hyperlink" Target="https://drive.google.com/file/d/1CI1-spUDKIHRSbwH7No-uNUsgsXyVpVg/view?usp=drivesdk" TargetMode="External"/><Relationship Id="rId2412" Type="http://schemas.openxmlformats.org/officeDocument/2006/relationships/hyperlink" Target="https://drive.google.com/file/d/13xUlOWearJfSKMC9TOIFeo9DoY5yZ655/view?usp=drivesdk" TargetMode="External"/><Relationship Id="rId2413" Type="http://schemas.openxmlformats.org/officeDocument/2006/relationships/hyperlink" Target="https://drive.google.com/file/d/1FF5Z8PCQNSDrLytkNk3F2PSq-tH_sJic/view?usp=drivesdk" TargetMode="External"/><Relationship Id="rId2414" Type="http://schemas.openxmlformats.org/officeDocument/2006/relationships/hyperlink" Target="https://drive.google.com/file/d/1GaRWCmhCnpL7H7VYAMDN4M8IAdjkzMIt/view?usp=drivesdk" TargetMode="External"/><Relationship Id="rId2415" Type="http://schemas.openxmlformats.org/officeDocument/2006/relationships/hyperlink" Target="https://drive.google.com/file/d/1T-5GyFPTL-gv8146Mol1bOYzy5zsXLN7/view?usp=drivesdk" TargetMode="External"/><Relationship Id="rId2416" Type="http://schemas.openxmlformats.org/officeDocument/2006/relationships/hyperlink" Target="https://drive.google.com/file/d/1HCE1wzWmrTy57_IOG7T2GcpxKCBC5vWd/view?usp=drivesdk" TargetMode="External"/><Relationship Id="rId2417" Type="http://schemas.openxmlformats.org/officeDocument/2006/relationships/hyperlink" Target="https://drive.google.com/file/d/149akmiz0x0S_-_By7VM8IK30kU8w7RQx/view?usp=drivesdk" TargetMode="External"/><Relationship Id="rId2418" Type="http://schemas.openxmlformats.org/officeDocument/2006/relationships/hyperlink" Target="https://drive.google.com/file/d/1bR82uYlElKH8fJNS4zrcn1VdknWVEbLS/view?usp=drivesdk" TargetMode="External"/><Relationship Id="rId2419" Type="http://schemas.openxmlformats.org/officeDocument/2006/relationships/hyperlink" Target="https://drive.google.com/file/d/1C5a79B3nurqmgkMMbOQJyBVRrEBa2LYq/view?usp=drivesdk" TargetMode="External"/><Relationship Id="rId2410" Type="http://schemas.openxmlformats.org/officeDocument/2006/relationships/hyperlink" Target="https://drive.google.com/file/d/1OwnVNzZDeSRKMqLB_I3bTwFe9IqruDAC/view?usp=drivesdk" TargetMode="External"/><Relationship Id="rId2411" Type="http://schemas.openxmlformats.org/officeDocument/2006/relationships/hyperlink" Target="https://drive.google.com/file/d/1w8Vzi0INm4JFdHv8ta5tKPCqXOxYxzM2/view?usp=drivesdk" TargetMode="External"/><Relationship Id="rId1114" Type="http://schemas.openxmlformats.org/officeDocument/2006/relationships/hyperlink" Target="https://drive.google.com/file/d/1ORzj0J65ZHLJevfs8XG44ZVjNLolGNwI/view?usp=drivesdk" TargetMode="External"/><Relationship Id="rId2445" Type="http://schemas.openxmlformats.org/officeDocument/2006/relationships/hyperlink" Target="https://drive.google.com/file/d/15pRiXIXbwUxyd1d4HiDyVAXFpq3WeJKI/view?usp=drivesdk" TargetMode="External"/><Relationship Id="rId1115" Type="http://schemas.openxmlformats.org/officeDocument/2006/relationships/hyperlink" Target="https://drive.google.com/file/d/1bC5g2F3Uv7I5cx27tPE55B4HCDwh_Rr8/view?usp=drivesdk" TargetMode="External"/><Relationship Id="rId2446" Type="http://schemas.openxmlformats.org/officeDocument/2006/relationships/hyperlink" Target="https://drive.google.com/file/d/1edp-4b7UREqgw_9t5SHloQLdGvHWDz_G/view?usp=drivesdk" TargetMode="External"/><Relationship Id="rId1116" Type="http://schemas.openxmlformats.org/officeDocument/2006/relationships/hyperlink" Target="https://drive.google.com/file/d/1-OcpNQbcy_d7ZJdX1ao55sgWTwuvSQvM/view?usp=drivesdk" TargetMode="External"/><Relationship Id="rId2447" Type="http://schemas.openxmlformats.org/officeDocument/2006/relationships/hyperlink" Target="https://drive.google.com/file/d/1alofqc6dndcc-B9rV-g1VuWJAMMICHi3/view?usp=drivesdk" TargetMode="External"/><Relationship Id="rId1117" Type="http://schemas.openxmlformats.org/officeDocument/2006/relationships/hyperlink" Target="https://drive.google.com/file/d/1XoS2pCuFhasHYK7UE05TViaRlzo-SJPh/view?usp=drivesdk" TargetMode="External"/><Relationship Id="rId2448" Type="http://schemas.openxmlformats.org/officeDocument/2006/relationships/hyperlink" Target="https://drive.google.com/file/d/1L9PKlBVYWXGcHX8cWJqtJlDhBxaSmGVP/view?usp=drivesdk" TargetMode="External"/><Relationship Id="rId1118" Type="http://schemas.openxmlformats.org/officeDocument/2006/relationships/hyperlink" Target="https://drive.google.com/file/d/1Rqo5arnhaqekea9PBXcPtAedz2tMHOZL/view?usp=drivesdk" TargetMode="External"/><Relationship Id="rId2449" Type="http://schemas.openxmlformats.org/officeDocument/2006/relationships/hyperlink" Target="https://drive.google.com/file/d/1mjTj7B4BWXEbZDmUMCV3DfGI6EH53PoQ/view?usp=drivesdk" TargetMode="External"/><Relationship Id="rId1119" Type="http://schemas.openxmlformats.org/officeDocument/2006/relationships/hyperlink" Target="https://drive.google.com/file/d/1qaX2cBcJoAnzQmZYtbF0fCZC21PRhaoJ/view?usp=drivesdk" TargetMode="External"/><Relationship Id="rId2440" Type="http://schemas.openxmlformats.org/officeDocument/2006/relationships/hyperlink" Target="https://drive.google.com/file/d/1vP0bVgj2altdXaa_CXYI0KIJ74C3SeM6/view?usp=drivesdk" TargetMode="External"/><Relationship Id="rId1110" Type="http://schemas.openxmlformats.org/officeDocument/2006/relationships/hyperlink" Target="https://drive.google.com/file/d/1CX5YU7AL_wWSkTBoo1VzRcFshrcxHWKn/view?usp=drivesdk" TargetMode="External"/><Relationship Id="rId2441" Type="http://schemas.openxmlformats.org/officeDocument/2006/relationships/hyperlink" Target="https://drive.google.com/file/d/1BJLlFvUiHNyh3bkWFrQqzLiy7JyX1e8G/view?usp=drivesdk" TargetMode="External"/><Relationship Id="rId1111" Type="http://schemas.openxmlformats.org/officeDocument/2006/relationships/hyperlink" Target="https://drive.google.com/file/d/1kypLBlj1LphGfnarDBgyJgFDee29BCKc/view?usp=drivesdk" TargetMode="External"/><Relationship Id="rId2442" Type="http://schemas.openxmlformats.org/officeDocument/2006/relationships/hyperlink" Target="https://drive.google.com/file/d/1Vmp8rIkc6VB1J3XpNDaBtzLRXsiglKR9/view?usp=drivesdk" TargetMode="External"/><Relationship Id="rId1112" Type="http://schemas.openxmlformats.org/officeDocument/2006/relationships/hyperlink" Target="https://drive.google.com/file/d/10YyjfkcY55US6LM16sBP-erJ0dUxehWO/view?usp=drivesdk" TargetMode="External"/><Relationship Id="rId2443" Type="http://schemas.openxmlformats.org/officeDocument/2006/relationships/hyperlink" Target="https://drive.google.com/file/d/1bqrdk7cwgc3NTwEzhoTbhkjRiD_jlo2u/view?usp=drivesdk" TargetMode="External"/><Relationship Id="rId1113" Type="http://schemas.openxmlformats.org/officeDocument/2006/relationships/hyperlink" Target="https://drive.google.com/file/d/1LsIbLJKyQjbz33BpbfqanXGRnG_rRloH/view?usp=drivesdk" TargetMode="External"/><Relationship Id="rId2444" Type="http://schemas.openxmlformats.org/officeDocument/2006/relationships/hyperlink" Target="https://drive.google.com/file/d/14Y_97c61qWc97KMQOcB-SFoiPR9L-Q7e/view?usp=drivesdk" TargetMode="External"/><Relationship Id="rId1103" Type="http://schemas.openxmlformats.org/officeDocument/2006/relationships/hyperlink" Target="https://drive.google.com/file/d/1A2s0s5twtYOMG0i9Vw6STvbL-A2QMdTX/view?usp=drivesdk" TargetMode="External"/><Relationship Id="rId2434" Type="http://schemas.openxmlformats.org/officeDocument/2006/relationships/hyperlink" Target="https://drive.google.com/file/d/1woYbVoaKZ3XDgZs3u1dJK-ZDptqzxsb6/view?usp=drivesdk" TargetMode="External"/><Relationship Id="rId1104" Type="http://schemas.openxmlformats.org/officeDocument/2006/relationships/hyperlink" Target="https://drive.google.com/file/d/1tvMyousjWUZvu2PAtmLsV-lJdCPfUO6T/view?usp=drivesdk" TargetMode="External"/><Relationship Id="rId2435" Type="http://schemas.openxmlformats.org/officeDocument/2006/relationships/hyperlink" Target="https://drive.google.com/file/d/1b16B56pG-6zWjwZGsDGE8DWsnLgH3RwU/view?usp=drivesdk" TargetMode="External"/><Relationship Id="rId1105" Type="http://schemas.openxmlformats.org/officeDocument/2006/relationships/hyperlink" Target="https://drive.google.com/file/d/1_ChzoeYdzU4Cvn2FSCNYoh-aBYSIv-ih/view?usp=drivesdk" TargetMode="External"/><Relationship Id="rId2436" Type="http://schemas.openxmlformats.org/officeDocument/2006/relationships/hyperlink" Target="https://drive.google.com/file/d/1pUpB4MPDYF-_XUrHhldz9Rr4sxetJ4_C/view?usp=drivesdk" TargetMode="External"/><Relationship Id="rId1106" Type="http://schemas.openxmlformats.org/officeDocument/2006/relationships/hyperlink" Target="https://drive.google.com/file/d/1ToPbcE5qQK_ohmAcge9alEPZq3hIC9xM/view?usp=drivesdk" TargetMode="External"/><Relationship Id="rId2437" Type="http://schemas.openxmlformats.org/officeDocument/2006/relationships/hyperlink" Target="https://drive.google.com/file/d/1-bhwjvfh0mYrbMZjROmvckQgoynTlr2t/view?usp=drivesdk" TargetMode="External"/><Relationship Id="rId1107" Type="http://schemas.openxmlformats.org/officeDocument/2006/relationships/hyperlink" Target="https://drive.google.com/file/d/1IOJUpufs0R0fCR14RMerbM-o_HWQB-gX/view?usp=drivesdk" TargetMode="External"/><Relationship Id="rId2438" Type="http://schemas.openxmlformats.org/officeDocument/2006/relationships/hyperlink" Target="https://drive.google.com/file/d/1A65zJFQM-rBr5N3c50ObBbbtzZbAcL1Y/view?usp=drivesdk" TargetMode="External"/><Relationship Id="rId1108" Type="http://schemas.openxmlformats.org/officeDocument/2006/relationships/hyperlink" Target="https://drive.google.com/file/d/1hTOCaq_RO7bINRKW8fjS6ab1Vxa6VkNp/view?usp=drivesdk" TargetMode="External"/><Relationship Id="rId2439" Type="http://schemas.openxmlformats.org/officeDocument/2006/relationships/hyperlink" Target="https://drive.google.com/file/d/1RCdYZ3IqYTNyMC1O5RxggHXpSnMI970o/view?usp=drivesdk" TargetMode="External"/><Relationship Id="rId1109" Type="http://schemas.openxmlformats.org/officeDocument/2006/relationships/hyperlink" Target="https://drive.google.com/file/d/1xbEPY4HfqT_N7iN32qReEHhqfylp_7ws/view?usp=drivesdk" TargetMode="External"/><Relationship Id="rId2430" Type="http://schemas.openxmlformats.org/officeDocument/2006/relationships/hyperlink" Target="https://drive.google.com/file/d/1zjs8MmImVtwMiIoPxYCb_8ON-abca4OR/view?usp=drivesdk" TargetMode="External"/><Relationship Id="rId1100" Type="http://schemas.openxmlformats.org/officeDocument/2006/relationships/hyperlink" Target="https://drive.google.com/file/d/1YvDNFF-TbZ1nicrF5mjhkYEZ-rC1Pz9_/view?usp=drivesdk" TargetMode="External"/><Relationship Id="rId2431" Type="http://schemas.openxmlformats.org/officeDocument/2006/relationships/hyperlink" Target="https://drive.google.com/file/d/1_MovZyhRcLGh2H0MH2B7rnobBX6-7_j-/view?usp=drivesdk" TargetMode="External"/><Relationship Id="rId1101" Type="http://schemas.openxmlformats.org/officeDocument/2006/relationships/hyperlink" Target="https://drive.google.com/file/d/1mCv6LJIF3tYa5OjnSqrLY9YFKSOizrjJ/view?usp=drivesdk" TargetMode="External"/><Relationship Id="rId2432" Type="http://schemas.openxmlformats.org/officeDocument/2006/relationships/hyperlink" Target="https://drive.google.com/file/d/1u6-rlfJwJFbRccjR6_jOnGhduoK-m3sy/view?usp=drivesdk" TargetMode="External"/><Relationship Id="rId1102" Type="http://schemas.openxmlformats.org/officeDocument/2006/relationships/hyperlink" Target="https://drive.google.com/file/d/12BZ_slDxrZYfn2WE0jegyItE9f_3Dlec/view?usp=drivesdk" TargetMode="External"/><Relationship Id="rId2433" Type="http://schemas.openxmlformats.org/officeDocument/2006/relationships/hyperlink" Target="https://drive.google.com/file/d/10iP5Z3tARo1CB2R3NxgaZ85CeNQ4nway/view?usp=drivesdk" TargetMode="External"/><Relationship Id="rId2401" Type="http://schemas.openxmlformats.org/officeDocument/2006/relationships/hyperlink" Target="https://drive.google.com/file/d/125Hqw2qTS93BBiJMg5A_cPvucEKazfjl/view?usp=drivesdk" TargetMode="External"/><Relationship Id="rId2402" Type="http://schemas.openxmlformats.org/officeDocument/2006/relationships/hyperlink" Target="https://drive.google.com/file/d/1d-ASStw_h1Nh2RVn_ktu_0XP-HgrAX63/view?usp=drivesdk" TargetMode="External"/><Relationship Id="rId2403" Type="http://schemas.openxmlformats.org/officeDocument/2006/relationships/hyperlink" Target="https://drive.google.com/file/d/12DW45I30fNulS9D2dQXoiURFOFN9M1yy/view?usp=drivesdk" TargetMode="External"/><Relationship Id="rId2404" Type="http://schemas.openxmlformats.org/officeDocument/2006/relationships/hyperlink" Target="https://drive.google.com/file/d/1ucFiDPhSVUnZPct6dCE5-jsrKTCCTsF2/view?usp=drivesdk" TargetMode="External"/><Relationship Id="rId2405" Type="http://schemas.openxmlformats.org/officeDocument/2006/relationships/hyperlink" Target="https://drive.google.com/file/d/11bL0sxnw87TAGZcmFM52xm-Pkk8CIfje/view?usp=drivesdk" TargetMode="External"/><Relationship Id="rId2406" Type="http://schemas.openxmlformats.org/officeDocument/2006/relationships/hyperlink" Target="https://drive.google.com/file/d/1lQiFIigaabJ3Nc0Bp7W4NnZlcEAH22bz/view?usp=drivesdk" TargetMode="External"/><Relationship Id="rId2407" Type="http://schemas.openxmlformats.org/officeDocument/2006/relationships/hyperlink" Target="https://drive.google.com/file/d/11zw7Ltx_ru3JctY_0Cya6QhYPLhSWiKO/view?usp=drivesdk" TargetMode="External"/><Relationship Id="rId2408" Type="http://schemas.openxmlformats.org/officeDocument/2006/relationships/hyperlink" Target="https://drive.google.com/file/d/1hobpGj5cMfjEkPh_DN1M7uKfJgcnVtMl/view?usp=drivesdk" TargetMode="External"/><Relationship Id="rId2409" Type="http://schemas.openxmlformats.org/officeDocument/2006/relationships/hyperlink" Target="https://drive.google.com/file/d/1h540qfZB13K7Xy0xxXCgZjIDT_ZUzcvv/view?usp=drivesdk" TargetMode="External"/><Relationship Id="rId2400" Type="http://schemas.openxmlformats.org/officeDocument/2006/relationships/hyperlink" Target="https://drive.google.com/file/d/1tzcX5I-xFjKuwBL7ZEJUw-OXEzT5Naw9/view?usp=drivesdk" TargetMode="External"/><Relationship Id="rId1170" Type="http://schemas.openxmlformats.org/officeDocument/2006/relationships/hyperlink" Target="https://drive.google.com/file/d/1aGyD7_PO0oHWi92HVce5hpaivRkJh2c5/view?usp=drivesdk" TargetMode="External"/><Relationship Id="rId1171" Type="http://schemas.openxmlformats.org/officeDocument/2006/relationships/hyperlink" Target="https://drive.google.com/file/d/1OMS2oj1ZxaGGcMn4n4YyAIjL7aixtjN_/view?usp=drivesdk" TargetMode="External"/><Relationship Id="rId1172" Type="http://schemas.openxmlformats.org/officeDocument/2006/relationships/hyperlink" Target="https://drive.google.com/file/d/1ZOM1un8uEk3WZbk5CfCz7tiPNTfx8ezG/view?usp=drivesdk" TargetMode="External"/><Relationship Id="rId1173" Type="http://schemas.openxmlformats.org/officeDocument/2006/relationships/hyperlink" Target="https://drive.google.com/file/d/19Q9YUS7-3wm-kTwNPbbZMqKScZJ3FKXD/view?usp=drivesdk" TargetMode="External"/><Relationship Id="rId1174" Type="http://schemas.openxmlformats.org/officeDocument/2006/relationships/hyperlink" Target="https://drive.google.com/file/d/1UuOZ8I6csio6e55ZOLKFyOp1s8C8BeyR/view?usp=drivesdk" TargetMode="External"/><Relationship Id="rId1175" Type="http://schemas.openxmlformats.org/officeDocument/2006/relationships/hyperlink" Target="https://drive.google.com/file/d/1ppyobx_va1dBBPUwrcsDCdq87IkmNO3z/view?usp=drivesdk" TargetMode="External"/><Relationship Id="rId1176" Type="http://schemas.openxmlformats.org/officeDocument/2006/relationships/hyperlink" Target="https://drive.google.com/file/d/1kcjBBRzspgzPyno6C_WijCjuIapdU7p9/view?usp=drivesdk" TargetMode="External"/><Relationship Id="rId1177" Type="http://schemas.openxmlformats.org/officeDocument/2006/relationships/hyperlink" Target="https://drive.google.com/file/d/1AMPXdFszZyRM8R2q_Ym9P55SHWQjb7Zp/view?usp=drivesdk" TargetMode="External"/><Relationship Id="rId1178" Type="http://schemas.openxmlformats.org/officeDocument/2006/relationships/hyperlink" Target="https://drive.google.com/file/d/13-zk6-zCfTYPjMWCj-5waTlXDsEM-ch0/view?usp=drivesdk" TargetMode="External"/><Relationship Id="rId1179" Type="http://schemas.openxmlformats.org/officeDocument/2006/relationships/hyperlink" Target="https://drive.google.com/file/d/1Zy59YDtx7--vjmUQrcMB_A42atXHoGrs/view?usp=drivesdk" TargetMode="External"/><Relationship Id="rId1169" Type="http://schemas.openxmlformats.org/officeDocument/2006/relationships/hyperlink" Target="https://drive.google.com/file/d/10c8BnQ9YA9i70Culy6h_egwaiLp6ITcj/view?usp=drivesdk" TargetMode="External"/><Relationship Id="rId2490" Type="http://schemas.openxmlformats.org/officeDocument/2006/relationships/hyperlink" Target="https://drive.google.com/file/d/10alkqrV2_zF773ka4aUhdiiuvpKEjlrH/view?usp=drivesdk" TargetMode="External"/><Relationship Id="rId1160" Type="http://schemas.openxmlformats.org/officeDocument/2006/relationships/hyperlink" Target="https://drive.google.com/file/d/1iRuFvwT_LizfqULEBcEefSeUn99Rrej_/view?usp=drivesdk" TargetMode="External"/><Relationship Id="rId2491" Type="http://schemas.openxmlformats.org/officeDocument/2006/relationships/hyperlink" Target="https://drive.google.com/file/d/1nr0eqrerw8Gv7VCL21UOU715LSRHuYoD/view?usp=drivesdk" TargetMode="External"/><Relationship Id="rId1161" Type="http://schemas.openxmlformats.org/officeDocument/2006/relationships/hyperlink" Target="https://drive.google.com/file/d/1Q1bxasCliScZ702kV_KrjRt8QS8EI6kS/view?usp=drivesdk" TargetMode="External"/><Relationship Id="rId2492" Type="http://schemas.openxmlformats.org/officeDocument/2006/relationships/hyperlink" Target="https://drive.google.com/file/d/1wxIhvdFTe7QFJIBeUMzG0q38JwNvidmZ/view?usp=drivesdk" TargetMode="External"/><Relationship Id="rId1162" Type="http://schemas.openxmlformats.org/officeDocument/2006/relationships/hyperlink" Target="https://drive.google.com/file/d/1RvHZTGkNEPoNpxPWPKGMYlPy7-AUgilQ/view?usp=drivesdk" TargetMode="External"/><Relationship Id="rId2493" Type="http://schemas.openxmlformats.org/officeDocument/2006/relationships/hyperlink" Target="https://drive.google.com/file/d/16ItPh7YMozpxuHcDvmdDba2-T_BEwFzb/view?usp=drivesdk" TargetMode="External"/><Relationship Id="rId1163" Type="http://schemas.openxmlformats.org/officeDocument/2006/relationships/hyperlink" Target="https://drive.google.com/file/d/1YX-b4PzPM3OJ8puEjwYa9vIbCyQXz4v0/view?usp=drivesdk" TargetMode="External"/><Relationship Id="rId2494" Type="http://schemas.openxmlformats.org/officeDocument/2006/relationships/hyperlink" Target="https://drive.google.com/file/d/1V1XxpN6314Cinu52rX1QcQWReUYowbcD/view?usp=drivesdk" TargetMode="External"/><Relationship Id="rId1164" Type="http://schemas.openxmlformats.org/officeDocument/2006/relationships/hyperlink" Target="https://drive.google.com/file/d/1WeDd4iGw62tnzuLmngXtJVABZ2O8c2RF/view?usp=drivesdk" TargetMode="External"/><Relationship Id="rId2495" Type="http://schemas.openxmlformats.org/officeDocument/2006/relationships/hyperlink" Target="https://drive.google.com/file/d/1YuU_sF3qu0qHYPdjWKYXRqh7YUIHpdvK/view?usp=drivesdk" TargetMode="External"/><Relationship Id="rId1165" Type="http://schemas.openxmlformats.org/officeDocument/2006/relationships/hyperlink" Target="https://drive.google.com/file/d/1R6hwKRePMOHkkFAQRDyJ8G0nPPsOPZZL/view?usp=drivesdk" TargetMode="External"/><Relationship Id="rId2496" Type="http://schemas.openxmlformats.org/officeDocument/2006/relationships/hyperlink" Target="https://drive.google.com/file/d/1_Vj9DqnlT51OpjCD9kDIeBSV1f4tCEWH/view?usp=drivesdk" TargetMode="External"/><Relationship Id="rId1166" Type="http://schemas.openxmlformats.org/officeDocument/2006/relationships/hyperlink" Target="https://drive.google.com/file/d/1Yh7YdJKZWoTRC2Oq-wS0xoRGm1RspDUr/view?usp=drivesdk" TargetMode="External"/><Relationship Id="rId2497" Type="http://schemas.openxmlformats.org/officeDocument/2006/relationships/hyperlink" Target="https://drive.google.com/file/d/1nVJvzy-IwQIXpQRQs2U7EcNs762zQfru/view?usp=drivesdk" TargetMode="External"/><Relationship Id="rId1167" Type="http://schemas.openxmlformats.org/officeDocument/2006/relationships/hyperlink" Target="https://drive.google.com/file/d/1_3c9-e3zRwG9fDhs5EgCEEvxVWdvB8Re/view?usp=drivesdk" TargetMode="External"/><Relationship Id="rId2498" Type="http://schemas.openxmlformats.org/officeDocument/2006/relationships/hyperlink" Target="https://drive.google.com/file/d/1x39wbIzIZnBWZbvj1tl4CVS6vijzS9n5/view?usp=drivesdk" TargetMode="External"/><Relationship Id="rId1168" Type="http://schemas.openxmlformats.org/officeDocument/2006/relationships/hyperlink" Target="https://drive.google.com/file/d/15dNE2kNVY9_3H7SII4lRN4FayotOTnnq/view?usp=drivesdk" TargetMode="External"/><Relationship Id="rId2499" Type="http://schemas.openxmlformats.org/officeDocument/2006/relationships/hyperlink" Target="https://drive.google.com/file/d/1WZjxuUzuReWC9DPvt5UVozqZAiMehHbC/view?usp=drivesdk" TargetMode="External"/><Relationship Id="rId1190" Type="http://schemas.openxmlformats.org/officeDocument/2006/relationships/hyperlink" Target="https://drive.google.com/file/d/1z-bKrom3VBicPPHg05IcSHI7Ytz4gll7/view?usp=drivesdk" TargetMode="External"/><Relationship Id="rId1191" Type="http://schemas.openxmlformats.org/officeDocument/2006/relationships/hyperlink" Target="https://drive.google.com/file/d/1vXoX4eg3obVyiqHKFmKn1FS6eRSkx4TI/view?usp=drivesdk" TargetMode="External"/><Relationship Id="rId1192" Type="http://schemas.openxmlformats.org/officeDocument/2006/relationships/hyperlink" Target="https://drive.google.com/file/d/1PaBvpy8KGVfqVu8xTt_kYV5eEmH2zhLo/view?usp=drivesdk" TargetMode="External"/><Relationship Id="rId1193" Type="http://schemas.openxmlformats.org/officeDocument/2006/relationships/hyperlink" Target="https://drive.google.com/file/d/1RYEaaE5wdMMc2hpqdOOT2I2XXYGYIfzI/view?usp=drivesdk" TargetMode="External"/><Relationship Id="rId1194" Type="http://schemas.openxmlformats.org/officeDocument/2006/relationships/hyperlink" Target="https://drive.google.com/file/d/1RdiAkIuJQZEJAAMuog0k1awxHzvY39aT/view?usp=drivesdk" TargetMode="External"/><Relationship Id="rId1195" Type="http://schemas.openxmlformats.org/officeDocument/2006/relationships/hyperlink" Target="https://drive.google.com/file/d/1vabzJ9PRspVWGtdtUtQRMawZG9iX8XrU/view?usp=drivesdk" TargetMode="External"/><Relationship Id="rId1196" Type="http://schemas.openxmlformats.org/officeDocument/2006/relationships/hyperlink" Target="https://drive.google.com/file/d/1Z4Cm34wGZDr2XrQ7F0b5rZaGIjGWmybb/view?usp=drivesdk" TargetMode="External"/><Relationship Id="rId1197" Type="http://schemas.openxmlformats.org/officeDocument/2006/relationships/hyperlink" Target="https://drive.google.com/file/d/1LTxDiD3TDYtizJBbGCF6IoSsIfG1SfiC/view?usp=drivesdk" TargetMode="External"/><Relationship Id="rId1198" Type="http://schemas.openxmlformats.org/officeDocument/2006/relationships/hyperlink" Target="https://drive.google.com/file/d/1yrlTxU1-5lWkl4OXKQK7UWC7epmi53SE/view?usp=drivesdk" TargetMode="External"/><Relationship Id="rId1199" Type="http://schemas.openxmlformats.org/officeDocument/2006/relationships/hyperlink" Target="https://drive.google.com/file/d/11ESDCuN6o6ATxbHa25-VtQiea8uNTvFv/view?usp=drivesdk" TargetMode="External"/><Relationship Id="rId1180" Type="http://schemas.openxmlformats.org/officeDocument/2006/relationships/hyperlink" Target="https://drive.google.com/file/d/1IFpRHp4dIZlbv1psoGLzT6V32Fbj1Waa/view?usp=drivesdk" TargetMode="External"/><Relationship Id="rId1181" Type="http://schemas.openxmlformats.org/officeDocument/2006/relationships/hyperlink" Target="https://drive.google.com/file/d/1YOWr0nkWNNA7-DpDqRS08B5bG01b2e7a/view?usp=drivesdk" TargetMode="External"/><Relationship Id="rId1182" Type="http://schemas.openxmlformats.org/officeDocument/2006/relationships/hyperlink" Target="https://drive.google.com/file/d/1uO54HqUVnPk08nTkfyluXEc5oljjGr06/view?usp=drivesdk" TargetMode="External"/><Relationship Id="rId1183" Type="http://schemas.openxmlformats.org/officeDocument/2006/relationships/hyperlink" Target="https://drive.google.com/file/d/1oR8JukP_Bvk8k-xfnx9KbvSuLKVtf7GG/view?usp=drivesdk" TargetMode="External"/><Relationship Id="rId1184" Type="http://schemas.openxmlformats.org/officeDocument/2006/relationships/hyperlink" Target="https://drive.google.com/file/d/1yUZReyfXdkQhBupnbstaQVcptW_1hKTp/view?usp=drivesdk" TargetMode="External"/><Relationship Id="rId1185" Type="http://schemas.openxmlformats.org/officeDocument/2006/relationships/hyperlink" Target="https://drive.google.com/file/d/14_gFT8npch741m8PNBVSqcMWUxo35BS_/view?usp=drivesdk" TargetMode="External"/><Relationship Id="rId1186" Type="http://schemas.openxmlformats.org/officeDocument/2006/relationships/hyperlink" Target="https://drive.google.com/file/d/1u_IwjQSs8lzKeX4p_4wGUvLJ-7pKILWv/view?usp=drivesdk" TargetMode="External"/><Relationship Id="rId1187" Type="http://schemas.openxmlformats.org/officeDocument/2006/relationships/hyperlink" Target="https://drive.google.com/file/d/11boDsGLkqmrn1WS_W0IgEJ6GCmmf_Ru1/view?usp=drivesdk" TargetMode="External"/><Relationship Id="rId1188" Type="http://schemas.openxmlformats.org/officeDocument/2006/relationships/hyperlink" Target="https://drive.google.com/file/d/1bCksTun7Ino0Rpe_0OMnYiMyZomxVU6O/view?usp=drivesdk" TargetMode="External"/><Relationship Id="rId1189" Type="http://schemas.openxmlformats.org/officeDocument/2006/relationships/hyperlink" Target="https://drive.google.com/file/d/1AQ4-R0HMJmjV26-S__SeWnQYp3MY7al6/view?usp=drivesdk" TargetMode="External"/><Relationship Id="rId1136" Type="http://schemas.openxmlformats.org/officeDocument/2006/relationships/hyperlink" Target="https://drive.google.com/file/d/1kq7VZhJ6rvYB7fUUWNjaf8VWmJwtTCrA/view?usp=drivesdk" TargetMode="External"/><Relationship Id="rId2467" Type="http://schemas.openxmlformats.org/officeDocument/2006/relationships/hyperlink" Target="https://drive.google.com/file/d/1nJn3EmhLAOrnpTRH7MNirhVDQzf6gV6p/view?usp=drivesdk" TargetMode="External"/><Relationship Id="rId1137" Type="http://schemas.openxmlformats.org/officeDocument/2006/relationships/hyperlink" Target="https://drive.google.com/file/d/1YkxciKx1IOLggdllLXYThnMKjlN26lhc/view?usp=drivesdk" TargetMode="External"/><Relationship Id="rId2468" Type="http://schemas.openxmlformats.org/officeDocument/2006/relationships/hyperlink" Target="https://drive.google.com/file/d/1jmhFKvOTU5TayVr69vibLVzUA_oBJuh6/view?usp=drivesdk" TargetMode="External"/><Relationship Id="rId1138" Type="http://schemas.openxmlformats.org/officeDocument/2006/relationships/hyperlink" Target="https://drive.google.com/file/d/1ELmFtwAp-CO71Y1HWxdTwgbvaG3vGaoS/view?usp=drivesdk" TargetMode="External"/><Relationship Id="rId2469" Type="http://schemas.openxmlformats.org/officeDocument/2006/relationships/hyperlink" Target="https://drive.google.com/file/d/1BlhnVv5J4mwHO59h2KGHqb3dkRh1vSZ5/view?usp=drivesdk" TargetMode="External"/><Relationship Id="rId1139" Type="http://schemas.openxmlformats.org/officeDocument/2006/relationships/hyperlink" Target="https://drive.google.com/file/d/1nJxGxHr0I-LoBR95Jc-ly9etSH0z3BpB/view?usp=drivesdk" TargetMode="External"/><Relationship Id="rId2460" Type="http://schemas.openxmlformats.org/officeDocument/2006/relationships/hyperlink" Target="https://drive.google.com/file/d/1qEX8kAY5YgYcMUMP_moNN74kOfFR2k-b/view?usp=drivesdk" TargetMode="External"/><Relationship Id="rId1130" Type="http://schemas.openxmlformats.org/officeDocument/2006/relationships/hyperlink" Target="https://drive.google.com/file/d/1AhMOp5YirgUU67oTyep1IX8lp99PhUKZ/view?usp=drivesdk" TargetMode="External"/><Relationship Id="rId2461" Type="http://schemas.openxmlformats.org/officeDocument/2006/relationships/hyperlink" Target="https://drive.google.com/file/d/1HkGrDuorUAdhh9uWlUmySBUuFZoJL6v7/view?usp=drivesdk" TargetMode="External"/><Relationship Id="rId1131" Type="http://schemas.openxmlformats.org/officeDocument/2006/relationships/hyperlink" Target="https://drive.google.com/file/d/1REjId97O7_Rvx6DhBC-D08VtFPYJ5AZr/view?usp=drivesdk" TargetMode="External"/><Relationship Id="rId2462" Type="http://schemas.openxmlformats.org/officeDocument/2006/relationships/hyperlink" Target="https://drive.google.com/file/d/1hYqaqxFPA4Sh0PHU0KDaOlVvJn5kD7jt/view?usp=drivesdk" TargetMode="External"/><Relationship Id="rId1132" Type="http://schemas.openxmlformats.org/officeDocument/2006/relationships/hyperlink" Target="https://drive.google.com/file/d/1vF13La2OpUeuvrz63mURjtst-Ax2mGoc/view?usp=drivesdk" TargetMode="External"/><Relationship Id="rId2463" Type="http://schemas.openxmlformats.org/officeDocument/2006/relationships/hyperlink" Target="https://drive.google.com/file/d/1WDPmKM530iUYpUTN8IbxLEarR8fkTjrJ/view?usp=drivesdk" TargetMode="External"/><Relationship Id="rId1133" Type="http://schemas.openxmlformats.org/officeDocument/2006/relationships/hyperlink" Target="https://drive.google.com/file/d/1KjlPxnz_ALpYWANCg_nUxkM6zDskeTJ0/view?usp=drivesdk" TargetMode="External"/><Relationship Id="rId2464" Type="http://schemas.openxmlformats.org/officeDocument/2006/relationships/hyperlink" Target="https://drive.google.com/file/d/1Qip0Yuum7XVsNPDPJ1uVRRbEvnseLB6p/view?usp=drivesdk" TargetMode="External"/><Relationship Id="rId1134" Type="http://schemas.openxmlformats.org/officeDocument/2006/relationships/hyperlink" Target="https://drive.google.com/file/d/1D5MqWCM_C5_7mjl_mqQC7e4JtNDKFsdx/view?usp=drivesdk" TargetMode="External"/><Relationship Id="rId2465" Type="http://schemas.openxmlformats.org/officeDocument/2006/relationships/hyperlink" Target="https://drive.google.com/file/d/1IZ-Rc3E35E75fNj-1sQ739Sw9WxeChFk/view?usp=drivesdk" TargetMode="External"/><Relationship Id="rId1135" Type="http://schemas.openxmlformats.org/officeDocument/2006/relationships/hyperlink" Target="https://drive.google.com/file/d/1dZ5Hz0ecxtVXQZoplJ_z4Hf_ffQm-FvK/view?usp=drivesdk" TargetMode="External"/><Relationship Id="rId2466" Type="http://schemas.openxmlformats.org/officeDocument/2006/relationships/hyperlink" Target="https://drive.google.com/file/d/1zi9umAc_XlH3yr0XduiVvDQyJg4D0W-K/view?usp=drivesdk" TargetMode="External"/><Relationship Id="rId1125" Type="http://schemas.openxmlformats.org/officeDocument/2006/relationships/hyperlink" Target="https://drive.google.com/file/d/1nMi10gADhybKRe0ZU-NCvKKl5-6lxnmy/view?usp=drivesdk" TargetMode="External"/><Relationship Id="rId2456" Type="http://schemas.openxmlformats.org/officeDocument/2006/relationships/hyperlink" Target="https://drive.google.com/file/d/1EIzW_xdXZaosHvmjtalWrEf6zDL46cmi/view?usp=drivesdk" TargetMode="External"/><Relationship Id="rId1126" Type="http://schemas.openxmlformats.org/officeDocument/2006/relationships/hyperlink" Target="https://drive.google.com/file/d/1XK-4BlvgVRDiPhH_jbvtyomBy7Vhtqz4/view?usp=drivesdk" TargetMode="External"/><Relationship Id="rId2457" Type="http://schemas.openxmlformats.org/officeDocument/2006/relationships/hyperlink" Target="https://drive.google.com/file/d/1_md3U7igo7HmlwYPNlxjMWAMO0BAfjuJ/view?usp=drivesdk" TargetMode="External"/><Relationship Id="rId1127" Type="http://schemas.openxmlformats.org/officeDocument/2006/relationships/hyperlink" Target="https://drive.google.com/file/d/1EqJKVUFkQf028AcmBh6hYUcHFjTaOn6d/view?usp=drivesdk" TargetMode="External"/><Relationship Id="rId2458" Type="http://schemas.openxmlformats.org/officeDocument/2006/relationships/hyperlink" Target="https://drive.google.com/file/d/1aeg1vhhz6Yeke9WpijCxxapEFbP1QDXM/view?usp=drivesdk" TargetMode="External"/><Relationship Id="rId1128" Type="http://schemas.openxmlformats.org/officeDocument/2006/relationships/hyperlink" Target="https://drive.google.com/file/d/1xzgWMUOsiVgv4H6x8QfL7H5tCBdWRRDZ/view?usp=drivesdk" TargetMode="External"/><Relationship Id="rId2459" Type="http://schemas.openxmlformats.org/officeDocument/2006/relationships/hyperlink" Target="https://drive.google.com/file/d/1Tg0Nhjcqv48wM1kpFR_jKdaMI17mmAGd/view?usp=drivesdk" TargetMode="External"/><Relationship Id="rId1129" Type="http://schemas.openxmlformats.org/officeDocument/2006/relationships/hyperlink" Target="https://drive.google.com/file/d/1tgjqZfTPqzpmkcnG1V2SEAXVFDrF5wBe/view?usp=drivesdk" TargetMode="External"/><Relationship Id="rId2450" Type="http://schemas.openxmlformats.org/officeDocument/2006/relationships/hyperlink" Target="https://drive.google.com/file/d/1YTP9lkWbVNEt3sJYqg4M6wwDNPAz3ABt/view?usp=drivesdk" TargetMode="External"/><Relationship Id="rId1120" Type="http://schemas.openxmlformats.org/officeDocument/2006/relationships/hyperlink" Target="https://drive.google.com/file/d/15U_1Yzc9_h2y9JGv_fhTUYxSmHfi1MZ7/view?usp=drivesdk" TargetMode="External"/><Relationship Id="rId2451" Type="http://schemas.openxmlformats.org/officeDocument/2006/relationships/hyperlink" Target="https://drive.google.com/file/d/1k-ur6kf6HlNYxqqVVx7uKsw-ULdjqWgA/view?usp=drivesdk" TargetMode="External"/><Relationship Id="rId1121" Type="http://schemas.openxmlformats.org/officeDocument/2006/relationships/hyperlink" Target="https://drive.google.com/file/d/1jBsHtG5DaKcmgJ9roCZiyJQTR4lsTe2V/view?usp=drivesdk" TargetMode="External"/><Relationship Id="rId2452" Type="http://schemas.openxmlformats.org/officeDocument/2006/relationships/hyperlink" Target="https://drive.google.com/file/d/1xuAd03lAUrWkqM59CbtWSr-Eq5oAfem9/view?usp=drivesdk" TargetMode="External"/><Relationship Id="rId1122" Type="http://schemas.openxmlformats.org/officeDocument/2006/relationships/hyperlink" Target="https://drive.google.com/file/d/16rfsZYJ2XulPBQYroGN6XbORvg3fPm7h/view?usp=drivesdk" TargetMode="External"/><Relationship Id="rId2453" Type="http://schemas.openxmlformats.org/officeDocument/2006/relationships/hyperlink" Target="https://drive.google.com/file/d/1IYtuuvg5tXpMJr6fCFPzxy-iZvq8Q5kB/view?usp=drivesdk" TargetMode="External"/><Relationship Id="rId1123" Type="http://schemas.openxmlformats.org/officeDocument/2006/relationships/hyperlink" Target="https://drive.google.com/file/d/1yOOZgPfuL7oJSSqKf7DUD-x-n3fJjkEr/view?usp=drivesdk" TargetMode="External"/><Relationship Id="rId2454" Type="http://schemas.openxmlformats.org/officeDocument/2006/relationships/hyperlink" Target="https://drive.google.com/file/d/1CQ-oa46yU2bNj4NWGaztf6drin2OyuG-/view?usp=drivesdk" TargetMode="External"/><Relationship Id="rId1124" Type="http://schemas.openxmlformats.org/officeDocument/2006/relationships/hyperlink" Target="https://drive.google.com/file/d/19gBeFxYKWBNzFLzK1H0LmX1-W-5AVpS4/view?usp=drivesdk" TargetMode="External"/><Relationship Id="rId2455" Type="http://schemas.openxmlformats.org/officeDocument/2006/relationships/hyperlink" Target="https://drive.google.com/file/d/1u61vLX1WDgamTsWB8BbdWVWvUqmgdzrz/view?usp=drivesdk" TargetMode="External"/><Relationship Id="rId1158" Type="http://schemas.openxmlformats.org/officeDocument/2006/relationships/hyperlink" Target="https://drive.google.com/file/d/1OaOYuJ-IGoIQQkbzMri1cUt5FIH9ZAnk/view?usp=drivesdk" TargetMode="External"/><Relationship Id="rId2489" Type="http://schemas.openxmlformats.org/officeDocument/2006/relationships/hyperlink" Target="https://drive.google.com/file/d/1n9kUeyA_UqvWUOEF6IGw9vfc9lBKyLFC/view?usp=drivesdk" TargetMode="External"/><Relationship Id="rId1159" Type="http://schemas.openxmlformats.org/officeDocument/2006/relationships/hyperlink" Target="https://drive.google.com/file/d/1gy5G6XTQAGkVoJHxz4ovKcRkvhLdK0YD/view?usp=drivesdk" TargetMode="External"/><Relationship Id="rId2480" Type="http://schemas.openxmlformats.org/officeDocument/2006/relationships/hyperlink" Target="https://drive.google.com/file/d/1tpwfFW9WHH36Wz8I73CpoTV01OYoKm0E/view?usp=drivesdk" TargetMode="External"/><Relationship Id="rId1150" Type="http://schemas.openxmlformats.org/officeDocument/2006/relationships/hyperlink" Target="https://drive.google.com/file/d/1w5CikUnhwfCAtMRVg3ZbCEKd9jGE_SeV/view?usp=drivesdk" TargetMode="External"/><Relationship Id="rId2481" Type="http://schemas.openxmlformats.org/officeDocument/2006/relationships/hyperlink" Target="https://drive.google.com/file/d/1QtJpsuqgWxVTjsSTDVxql8epGC2WzqBm/view?usp=drivesdk" TargetMode="External"/><Relationship Id="rId1151" Type="http://schemas.openxmlformats.org/officeDocument/2006/relationships/hyperlink" Target="https://drive.google.com/file/d/1ZsRJbrFqiGVtJkshhujuRyxVUOmVaSfB/view?usp=drivesdk" TargetMode="External"/><Relationship Id="rId2482" Type="http://schemas.openxmlformats.org/officeDocument/2006/relationships/hyperlink" Target="https://drive.google.com/file/d/1Fl_KZtYX-7m3o6scvoIZEUJ34QX18IXf/view?usp=drivesdk" TargetMode="External"/><Relationship Id="rId1152" Type="http://schemas.openxmlformats.org/officeDocument/2006/relationships/hyperlink" Target="https://drive.google.com/file/d/1mItPx_kKdX3Ab46tx0DWYqoqH-q7kXbD/view?usp=drivesdk" TargetMode="External"/><Relationship Id="rId2483" Type="http://schemas.openxmlformats.org/officeDocument/2006/relationships/hyperlink" Target="https://drive.google.com/file/d/1bTrOI6mcSjF5MNHegHVYAfAH2e1zOFgE/view?usp=drivesdk" TargetMode="External"/><Relationship Id="rId1153" Type="http://schemas.openxmlformats.org/officeDocument/2006/relationships/hyperlink" Target="https://drive.google.com/file/d/1_u4c2l5TKJnkjHXQ40pC52phceFJtpmy/view?usp=drivesdk" TargetMode="External"/><Relationship Id="rId2484" Type="http://schemas.openxmlformats.org/officeDocument/2006/relationships/hyperlink" Target="https://drive.google.com/file/d/10D586iKo_tcX7Fcx-T3TMh1uDwiCqmrS/view?usp=drivesdk" TargetMode="External"/><Relationship Id="rId1154" Type="http://schemas.openxmlformats.org/officeDocument/2006/relationships/hyperlink" Target="https://drive.google.com/file/d/1myefv-Drwm_a_-NVqktNmpm6y-QCOg8_/view?usp=drivesdk" TargetMode="External"/><Relationship Id="rId2485" Type="http://schemas.openxmlformats.org/officeDocument/2006/relationships/hyperlink" Target="https://drive.google.com/file/d/1tVFmZwPNe2Q0pE0Mrw-hGBO0QTDpkn0z/view?usp=drivesdk" TargetMode="External"/><Relationship Id="rId1155" Type="http://schemas.openxmlformats.org/officeDocument/2006/relationships/hyperlink" Target="https://drive.google.com/file/d/1ej0hSnG6z0KRF0nMrtvGvfrliwhsjc4t/view?usp=drivesdk" TargetMode="External"/><Relationship Id="rId2486" Type="http://schemas.openxmlformats.org/officeDocument/2006/relationships/hyperlink" Target="https://drive.google.com/file/d/1RfHT9taEyG1U-VbLz1gozUZKX_rP-St2/view?usp=drivesdk" TargetMode="External"/><Relationship Id="rId1156" Type="http://schemas.openxmlformats.org/officeDocument/2006/relationships/hyperlink" Target="https://drive.google.com/file/d/1VWVyGeB40lv7TLKDPps94s5vsosqWVKl/view?usp=drivesdk" TargetMode="External"/><Relationship Id="rId2487" Type="http://schemas.openxmlformats.org/officeDocument/2006/relationships/hyperlink" Target="https://drive.google.com/file/d/1LcmxaSuRmDHWew-e4p1BxcDE3TXOoDNG/view?usp=drivesdk" TargetMode="External"/><Relationship Id="rId1157" Type="http://schemas.openxmlformats.org/officeDocument/2006/relationships/hyperlink" Target="https://drive.google.com/file/d/1CWch3UYlQ628SbFo1ZmzB5fcOzzvSujf/view?usp=drivesdk" TargetMode="External"/><Relationship Id="rId2488" Type="http://schemas.openxmlformats.org/officeDocument/2006/relationships/hyperlink" Target="https://drive.google.com/file/d/1CgxAosg97ZNyzKotLGTsY0t2MaxK9wht/view?usp=drivesdk" TargetMode="External"/><Relationship Id="rId1147" Type="http://schemas.openxmlformats.org/officeDocument/2006/relationships/hyperlink" Target="https://drive.google.com/file/d/1AFMspwo97KQIZJCalA0pwlHyn6K3V71g/view?usp=drivesdk" TargetMode="External"/><Relationship Id="rId2478" Type="http://schemas.openxmlformats.org/officeDocument/2006/relationships/hyperlink" Target="https://drive.google.com/file/d/1vlcC-hdNdnGnqXhyAZboG1kafgEFhUC0/view?usp=drivesdk" TargetMode="External"/><Relationship Id="rId1148" Type="http://schemas.openxmlformats.org/officeDocument/2006/relationships/hyperlink" Target="https://drive.google.com/file/d/1wlCXoTEdd1z81vpkwRpQ9jeNolm3hDyz/view?usp=drivesdk" TargetMode="External"/><Relationship Id="rId2479" Type="http://schemas.openxmlformats.org/officeDocument/2006/relationships/hyperlink" Target="https://drive.google.com/file/d/1IfRYjpx9sD-SJnuQ4QSNP82ZqOXUJ6Jh/view?usp=drivesdk" TargetMode="External"/><Relationship Id="rId1149" Type="http://schemas.openxmlformats.org/officeDocument/2006/relationships/hyperlink" Target="https://drive.google.com/file/d/1Cxl0-m34LEx0gr40OIsua3kFjxIvNOgs/view?usp=drivesdk" TargetMode="External"/><Relationship Id="rId2470" Type="http://schemas.openxmlformats.org/officeDocument/2006/relationships/hyperlink" Target="https://drive.google.com/file/d/1xz51qLGqOcYTf-cYPEZfcs33JhZPHTj0/view?usp=drivesdk" TargetMode="External"/><Relationship Id="rId1140" Type="http://schemas.openxmlformats.org/officeDocument/2006/relationships/hyperlink" Target="https://drive.google.com/file/d/1iJ00Y-ucuPMudiL0B4IpaltTY3us0jF-/view?usp=drivesdk" TargetMode="External"/><Relationship Id="rId2471" Type="http://schemas.openxmlformats.org/officeDocument/2006/relationships/hyperlink" Target="https://drive.google.com/file/d/15PRLkzVcp6oebRxvnIcsJXSBXLYijqtG/view?usp=drivesdk" TargetMode="External"/><Relationship Id="rId1141" Type="http://schemas.openxmlformats.org/officeDocument/2006/relationships/hyperlink" Target="https://drive.google.com/file/d/1IhBqqXsUWd_LZyRl9L8QCgsPnvpPreKV/view?usp=drivesdk" TargetMode="External"/><Relationship Id="rId2472" Type="http://schemas.openxmlformats.org/officeDocument/2006/relationships/hyperlink" Target="https://drive.google.com/file/d/1b9V-x_Bxfs84ZA_jjdPyNif9K7XQ5-ma/view?usp=drivesdk" TargetMode="External"/><Relationship Id="rId1142" Type="http://schemas.openxmlformats.org/officeDocument/2006/relationships/hyperlink" Target="https://drive.google.com/file/d/1pN6mlG_z7rrzK5X02kfALhB4xhWhv9Sf/view?usp=drivesdk" TargetMode="External"/><Relationship Id="rId2473" Type="http://schemas.openxmlformats.org/officeDocument/2006/relationships/hyperlink" Target="https://drive.google.com/file/d/1T36QKsMc0fhqZkzAQ64Ydm0TQdNAfDct/view?usp=drivesdk" TargetMode="External"/><Relationship Id="rId1143" Type="http://schemas.openxmlformats.org/officeDocument/2006/relationships/hyperlink" Target="https://drive.google.com/file/d/1Ub1HXo1I27sjgf16cz99QfgvomeJWC97/view?usp=drivesdk" TargetMode="External"/><Relationship Id="rId2474" Type="http://schemas.openxmlformats.org/officeDocument/2006/relationships/hyperlink" Target="https://drive.google.com/file/d/1TBrw03lRNutPB9Q6v11UEVLgJw6rnu-P/view?usp=drivesdk" TargetMode="External"/><Relationship Id="rId1144" Type="http://schemas.openxmlformats.org/officeDocument/2006/relationships/hyperlink" Target="https://drive.google.com/file/d/1t3ZT1BTl-Wma1JGzb3b04695OBPL4_td/view?usp=drivesdk" TargetMode="External"/><Relationship Id="rId2475" Type="http://schemas.openxmlformats.org/officeDocument/2006/relationships/hyperlink" Target="https://drive.google.com/file/d/1Y7ns62slGhb0RC5-2yrboa7j6rFRF9Jd/view?usp=drivesdk" TargetMode="External"/><Relationship Id="rId1145" Type="http://schemas.openxmlformats.org/officeDocument/2006/relationships/hyperlink" Target="https://drive.google.com/file/d/1zq6wOYfDO1g--oA4nGl2q1aTOo6PRlmP/view?usp=drivesdk" TargetMode="External"/><Relationship Id="rId2476" Type="http://schemas.openxmlformats.org/officeDocument/2006/relationships/hyperlink" Target="https://drive.google.com/file/d/1O1zpSEuP56-s64sXLM4m2j3sV0-SrP2-/view?usp=drivesdk" TargetMode="External"/><Relationship Id="rId1146" Type="http://schemas.openxmlformats.org/officeDocument/2006/relationships/hyperlink" Target="https://drive.google.com/file/d/1YX1GUYlsxaqWQEjw8pW47iyM0zwnCDln/view?usp=drivesdk" TargetMode="External"/><Relationship Id="rId2477" Type="http://schemas.openxmlformats.org/officeDocument/2006/relationships/hyperlink" Target="https://drive.google.com/file/d/1WwkRuHgh_FElBD0rpMPpRsmU4dIxvB9c/view?usp=drivesdk" TargetMode="External"/><Relationship Id="rId1213" Type="http://schemas.openxmlformats.org/officeDocument/2006/relationships/hyperlink" Target="https://drive.google.com/file/d/1SXp8Ys8QGTkKwph0j23QXHyCvRQ7UEEz/view?usp=drivesdk" TargetMode="External"/><Relationship Id="rId2544" Type="http://schemas.openxmlformats.org/officeDocument/2006/relationships/hyperlink" Target="https://drive.google.com/file/d/1nq50Erwh6ipIs8afIouk3V09-Z0sdCha/view?usp=drivesdk" TargetMode="External"/><Relationship Id="rId1214" Type="http://schemas.openxmlformats.org/officeDocument/2006/relationships/hyperlink" Target="https://drive.google.com/file/d/1_6gu2W_mFkoKvoqyn0EuNayg7E14i8Jc/view?usp=drivesdk" TargetMode="External"/><Relationship Id="rId2545" Type="http://schemas.openxmlformats.org/officeDocument/2006/relationships/hyperlink" Target="https://drive.google.com/file/d/1cRwtAcdTCfDn-I_su7i-dVaTlzI6A8Xm/view?usp=drivesdk" TargetMode="External"/><Relationship Id="rId1215" Type="http://schemas.openxmlformats.org/officeDocument/2006/relationships/hyperlink" Target="https://drive.google.com/file/d/1Ydl8wPreP9L2IeBuI8d249sZiewh8j0K/view?usp=drivesdk" TargetMode="External"/><Relationship Id="rId2546" Type="http://schemas.openxmlformats.org/officeDocument/2006/relationships/hyperlink" Target="https://drive.google.com/file/d/1eFsZ_BktM9eR0xZTCbrY4Qw7ZawDNfpa/view?usp=drivesdk" TargetMode="External"/><Relationship Id="rId1216" Type="http://schemas.openxmlformats.org/officeDocument/2006/relationships/hyperlink" Target="https://drive.google.com/file/d/15F9cGHBcXv3sXBYpQdUBD_zsyxqZUBhG/view?usp=drivesdk" TargetMode="External"/><Relationship Id="rId2547" Type="http://schemas.openxmlformats.org/officeDocument/2006/relationships/hyperlink" Target="https://drive.google.com/file/d/1mT5d9gu2vFrUxg9gMxdIRwA_mWJMmgYX/view?usp=drivesdk" TargetMode="External"/><Relationship Id="rId1217" Type="http://schemas.openxmlformats.org/officeDocument/2006/relationships/hyperlink" Target="https://drive.google.com/file/d/1fZCLRtGzM5YofmXVqtUjOa3ypx3x_8Sw/view?usp=drivesdk" TargetMode="External"/><Relationship Id="rId2548" Type="http://schemas.openxmlformats.org/officeDocument/2006/relationships/hyperlink" Target="https://drive.google.com/file/d/1LZY4raZrybi9CLTpg9THhJIuNhfQn00H/view?usp=drivesdk" TargetMode="External"/><Relationship Id="rId1218" Type="http://schemas.openxmlformats.org/officeDocument/2006/relationships/hyperlink" Target="https://drive.google.com/file/d/1YirzyMT7NhHe0yLfOvI4Mf4BInuRSz_T/view?usp=drivesdk" TargetMode="External"/><Relationship Id="rId2549" Type="http://schemas.openxmlformats.org/officeDocument/2006/relationships/hyperlink" Target="https://drive.google.com/file/d/1T3z-JjTu6P0QjSNedrahp0Xz3dvSSb3E/view?usp=drivesdk" TargetMode="External"/><Relationship Id="rId1219" Type="http://schemas.openxmlformats.org/officeDocument/2006/relationships/hyperlink" Target="https://drive.google.com/file/d/1bUn6s6YkTByTpp0qsMyzAjF9bzs7RaOm/view?usp=drivesdk" TargetMode="External"/><Relationship Id="rId2540" Type="http://schemas.openxmlformats.org/officeDocument/2006/relationships/hyperlink" Target="https://drive.google.com/file/d/1ibGLP7fZLfrguh7XpQ49-YJPJ0Tx5hB0/view?usp=drivesdk" TargetMode="External"/><Relationship Id="rId1210" Type="http://schemas.openxmlformats.org/officeDocument/2006/relationships/hyperlink" Target="https://drive.google.com/file/d/1Bm_75_2j8oSHh2N-pq_DrnaOidt-yaDS/view?usp=drivesdk" TargetMode="External"/><Relationship Id="rId2541" Type="http://schemas.openxmlformats.org/officeDocument/2006/relationships/hyperlink" Target="https://drive.google.com/file/d/1hZMr263S5_kyfs0APT517RaKMI5e2zT3/view?usp=drivesdk" TargetMode="External"/><Relationship Id="rId1211" Type="http://schemas.openxmlformats.org/officeDocument/2006/relationships/hyperlink" Target="https://drive.google.com/file/d/1DcXLL62kEHXx_7gAgsg5HXs3UPoExkoK/view?usp=drivesdk" TargetMode="External"/><Relationship Id="rId2542" Type="http://schemas.openxmlformats.org/officeDocument/2006/relationships/hyperlink" Target="https://drive.google.com/file/d/1YC5BJGZ4Wqj6eK9ZA_Cz9_TXsC_WyDv-/view?usp=drivesdk" TargetMode="External"/><Relationship Id="rId1212" Type="http://schemas.openxmlformats.org/officeDocument/2006/relationships/hyperlink" Target="https://drive.google.com/file/d/1T6OwVV3Wo4FBTJBYOIp1JjCHaGGj5g_a/view?usp=drivesdk" TargetMode="External"/><Relationship Id="rId2543" Type="http://schemas.openxmlformats.org/officeDocument/2006/relationships/hyperlink" Target="https://drive.google.com/file/d/1yWPVbiKvPpIAUrtUp9HhpzBT5_R_KCXg/view?usp=drivesdk" TargetMode="External"/><Relationship Id="rId1202" Type="http://schemas.openxmlformats.org/officeDocument/2006/relationships/hyperlink" Target="https://drive.google.com/file/d/1dbgbPBH1d2L9Xkma4_r770mtSgso4plX/view?usp=drivesdk" TargetMode="External"/><Relationship Id="rId2533" Type="http://schemas.openxmlformats.org/officeDocument/2006/relationships/hyperlink" Target="https://drive.google.com/file/d/142WDcW2_eSgodMRogdrKueiiDa39461_/view?usp=drivesdk" TargetMode="External"/><Relationship Id="rId1203" Type="http://schemas.openxmlformats.org/officeDocument/2006/relationships/hyperlink" Target="https://drive.google.com/file/d/1H_-A5AwKrpnYJPcsqKlBFbDB8z0euiZ_/view?usp=drivesdk" TargetMode="External"/><Relationship Id="rId2534" Type="http://schemas.openxmlformats.org/officeDocument/2006/relationships/hyperlink" Target="https://drive.google.com/file/d/19U2S985Kic410qcl0JCwRjo7PNSszTRi/view?usp=drivesdk" TargetMode="External"/><Relationship Id="rId1204" Type="http://schemas.openxmlformats.org/officeDocument/2006/relationships/hyperlink" Target="https://drive.google.com/file/d/1ISv-YENqMhly8BcBIxL_E0uysKSftnxS/view?usp=drivesdk" TargetMode="External"/><Relationship Id="rId2535" Type="http://schemas.openxmlformats.org/officeDocument/2006/relationships/hyperlink" Target="https://drive.google.com/file/d/1IZWuGH4xKAK6JXPQ9oH_AX-X2cPZ8XNE/view?usp=drivesdk" TargetMode="External"/><Relationship Id="rId1205" Type="http://schemas.openxmlformats.org/officeDocument/2006/relationships/hyperlink" Target="https://drive.google.com/file/d/1aQrzrLQYMfCU50DcYUagouK6k97y-kau/view?usp=drivesdk" TargetMode="External"/><Relationship Id="rId2536" Type="http://schemas.openxmlformats.org/officeDocument/2006/relationships/hyperlink" Target="https://drive.google.com/file/d/1YXNKJv9G3N31n_ih2zd7S5i3o0nlFPYt/view?usp=drivesdk" TargetMode="External"/><Relationship Id="rId1206" Type="http://schemas.openxmlformats.org/officeDocument/2006/relationships/hyperlink" Target="https://drive.google.com/file/d/1H1LFPRmLBvjO7Dh8-K-IGOeedrifcRhK/view?usp=drivesdk" TargetMode="External"/><Relationship Id="rId2537" Type="http://schemas.openxmlformats.org/officeDocument/2006/relationships/hyperlink" Target="https://drive.google.com/file/d/1fDRF15zwUR8dgQ-3Sl6Wo5ShedyPEKri/view?usp=drivesdk" TargetMode="External"/><Relationship Id="rId1207" Type="http://schemas.openxmlformats.org/officeDocument/2006/relationships/hyperlink" Target="https://drive.google.com/file/d/1mrTX-EW8z9TtJL9M4_BynB_9L2xYXf7e/view?usp=drivesdk" TargetMode="External"/><Relationship Id="rId2538" Type="http://schemas.openxmlformats.org/officeDocument/2006/relationships/hyperlink" Target="https://drive.google.com/file/d/1RHP1AbMDNf-WhGGGWz1yCxLBQz1ENk-T/view?usp=drivesdk" TargetMode="External"/><Relationship Id="rId1208" Type="http://schemas.openxmlformats.org/officeDocument/2006/relationships/hyperlink" Target="https://drive.google.com/file/d/1yeQW99nM-TjqIRP78OUA-m3XbANm2e58/view?usp=drivesdk" TargetMode="External"/><Relationship Id="rId2539" Type="http://schemas.openxmlformats.org/officeDocument/2006/relationships/hyperlink" Target="https://drive.google.com/file/d/1jhuxLkBr4eOZx0XSV0JUvOXLXGZ22kxp/view?usp=drivesdk" TargetMode="External"/><Relationship Id="rId1209" Type="http://schemas.openxmlformats.org/officeDocument/2006/relationships/hyperlink" Target="https://drive.google.com/file/d/14qMwgNqbTBJcYY1DZBH8YhsBKpE2NlI9/view?usp=drivesdk" TargetMode="External"/><Relationship Id="rId2530" Type="http://schemas.openxmlformats.org/officeDocument/2006/relationships/hyperlink" Target="https://drive.google.com/file/d/1Rfk_XpQUkdjwsLHzyzkYjXlguT17AYvV/view?usp=drivesdk" TargetMode="External"/><Relationship Id="rId1200" Type="http://schemas.openxmlformats.org/officeDocument/2006/relationships/hyperlink" Target="https://drive.google.com/file/d/102xhk2Uumw-KnhmR56D-LHTHBunm-hMF/view?usp=drivesdk" TargetMode="External"/><Relationship Id="rId2531" Type="http://schemas.openxmlformats.org/officeDocument/2006/relationships/hyperlink" Target="https://drive.google.com/file/d/14Jvl9FsC9xGlQMWcfnaE5b54aEgo6H8G/view?usp=drivesdk" TargetMode="External"/><Relationship Id="rId1201" Type="http://schemas.openxmlformats.org/officeDocument/2006/relationships/hyperlink" Target="https://drive.google.com/file/d/1sW-ywNTjVw0byhM79hl29sOINaq6nglj/view?usp=drivesdk" TargetMode="External"/><Relationship Id="rId2532" Type="http://schemas.openxmlformats.org/officeDocument/2006/relationships/hyperlink" Target="https://drive.google.com/file/d/1nlDAI3HW9WiuA5PcCdIjoRZtFqChO3pE/view?usp=drivesdk" TargetMode="External"/><Relationship Id="rId1235" Type="http://schemas.openxmlformats.org/officeDocument/2006/relationships/hyperlink" Target="https://drive.google.com/file/d/19Umn2gSqrwj9gx6QOwr8O8fwK6S0m549/view?usp=drivesdk" TargetMode="External"/><Relationship Id="rId2566" Type="http://schemas.openxmlformats.org/officeDocument/2006/relationships/hyperlink" Target="https://drive.google.com/file/d/1sy-OrsWsiiybmdciXveSNn3xanjXO9m4/view?usp=drivesdk" TargetMode="External"/><Relationship Id="rId1236" Type="http://schemas.openxmlformats.org/officeDocument/2006/relationships/hyperlink" Target="https://drive.google.com/file/d/1dXa8kWMDW8DwjMv70SE0lCILD3krmzTS/view?usp=drivesdk" TargetMode="External"/><Relationship Id="rId2567" Type="http://schemas.openxmlformats.org/officeDocument/2006/relationships/hyperlink" Target="https://drive.google.com/file/d/1d0n-D1-1YaxqLCflUHBoEaK0ATV5SsT6/view?usp=drivesdk" TargetMode="External"/><Relationship Id="rId1237" Type="http://schemas.openxmlformats.org/officeDocument/2006/relationships/hyperlink" Target="https://drive.google.com/file/d/1KT_Eu2MXsNiCXbPVlzR-weIpwJXs50P9/view?usp=drivesdk" TargetMode="External"/><Relationship Id="rId2568" Type="http://schemas.openxmlformats.org/officeDocument/2006/relationships/hyperlink" Target="https://drive.google.com/file/d/1YLfHo-c3ZHy7yrnnfRvUbU1BO7_d-0KO/view?usp=drivesdk" TargetMode="External"/><Relationship Id="rId1238" Type="http://schemas.openxmlformats.org/officeDocument/2006/relationships/hyperlink" Target="https://drive.google.com/file/d/1lRUF81RZ14-nDH9Jiv1k2piq6mkDzoHZ/view?usp=drivesdk" TargetMode="External"/><Relationship Id="rId2569" Type="http://schemas.openxmlformats.org/officeDocument/2006/relationships/hyperlink" Target="https://drive.google.com/file/d/1vMfsoFYyEqhmLiYRT3BIRbhDtYhkni3O/view?usp=drivesdk" TargetMode="External"/><Relationship Id="rId1239" Type="http://schemas.openxmlformats.org/officeDocument/2006/relationships/hyperlink" Target="https://drive.google.com/file/d/1bMVos1IyrwyDpqlIZAi2YAni3G98dxuD/view?usp=drivesdk" TargetMode="External"/><Relationship Id="rId2560" Type="http://schemas.openxmlformats.org/officeDocument/2006/relationships/hyperlink" Target="https://drive.google.com/file/d/1sv8B5Sd04BUnElz5lylVrYez5YVse_F1/view?usp=drivesdk" TargetMode="External"/><Relationship Id="rId1230" Type="http://schemas.openxmlformats.org/officeDocument/2006/relationships/hyperlink" Target="https://drive.google.com/file/d/1doZxOmOqgEnyLt-bvQx6s2sH3TMKgxyN/view?usp=drivesdk" TargetMode="External"/><Relationship Id="rId2561" Type="http://schemas.openxmlformats.org/officeDocument/2006/relationships/hyperlink" Target="https://drive.google.com/file/d/1-aGpUdoA11ePlSbJE70Wm1zhPFbCFGbb/view?usp=drivesdk" TargetMode="External"/><Relationship Id="rId1231" Type="http://schemas.openxmlformats.org/officeDocument/2006/relationships/hyperlink" Target="https://drive.google.com/file/d/1lrLlCQxUwxv7WSuCyVsM6nzoBvLrnMul/view?usp=drivesdk" TargetMode="External"/><Relationship Id="rId2562" Type="http://schemas.openxmlformats.org/officeDocument/2006/relationships/hyperlink" Target="https://drive.google.com/file/d/10PxCftUivtjGDxtCY3cZkHSwXXKjfo6P/view?usp=drivesdk" TargetMode="External"/><Relationship Id="rId1232" Type="http://schemas.openxmlformats.org/officeDocument/2006/relationships/hyperlink" Target="https://drive.google.com/file/d/1QrNvIdiieULKDfqIJ2yVFKOzOjMh3_NG/view?usp=drivesdk" TargetMode="External"/><Relationship Id="rId2563" Type="http://schemas.openxmlformats.org/officeDocument/2006/relationships/hyperlink" Target="https://drive.google.com/file/d/1bEvO_0RrHPHXRzw_Zvwbo392B0uM0TuC/view?usp=drivesdk" TargetMode="External"/><Relationship Id="rId1233" Type="http://schemas.openxmlformats.org/officeDocument/2006/relationships/hyperlink" Target="https://drive.google.com/file/d/1Uyz0G2UfhOEWU6zD6Qmx1Zf2iKRHvvTU/view?usp=drivesdk" TargetMode="External"/><Relationship Id="rId2564" Type="http://schemas.openxmlformats.org/officeDocument/2006/relationships/hyperlink" Target="https://drive.google.com/file/d/1pR05O1Q692V-XGSjZ0cHNM63VeXk6xvA/view?usp=drivesdk" TargetMode="External"/><Relationship Id="rId1234" Type="http://schemas.openxmlformats.org/officeDocument/2006/relationships/hyperlink" Target="https://drive.google.com/file/d/1eN5MMFtMyRt3b0bqw5EPIp3NY-xjQuNd/view?usp=drivesdk" TargetMode="External"/><Relationship Id="rId2565" Type="http://schemas.openxmlformats.org/officeDocument/2006/relationships/hyperlink" Target="https://drive.google.com/file/d/1qw6ltLGxVhn0tbEdtgyIDYKda__dwjzu/view?usp=drivesdk" TargetMode="External"/><Relationship Id="rId1224" Type="http://schemas.openxmlformats.org/officeDocument/2006/relationships/hyperlink" Target="https://drive.google.com/file/d/1OCnd_2u7Ltoqa2R2RmWbrooVXqoY2vSx/view?usp=drivesdk" TargetMode="External"/><Relationship Id="rId2555" Type="http://schemas.openxmlformats.org/officeDocument/2006/relationships/hyperlink" Target="https://drive.google.com/file/d/1BPzaPrLE9G8Enwdi1KDUySwLluKXOkaI/view?usp=drivesdk" TargetMode="External"/><Relationship Id="rId1225" Type="http://schemas.openxmlformats.org/officeDocument/2006/relationships/hyperlink" Target="https://drive.google.com/file/d/11gc7W2wwCuTdjoUUm5VYqyWYWZlkqozz/view?usp=drivesdk" TargetMode="External"/><Relationship Id="rId2556" Type="http://schemas.openxmlformats.org/officeDocument/2006/relationships/hyperlink" Target="https://drive.google.com/file/d/1NOsDG63xIeLu_CzDLIBJPIXesMXH0Sjy/view?usp=drivesdk" TargetMode="External"/><Relationship Id="rId1226" Type="http://schemas.openxmlformats.org/officeDocument/2006/relationships/hyperlink" Target="https://drive.google.com/file/d/1qQvzC44WAhuL4xWF50-vtYXivXvq0_-j/view?usp=drivesdk" TargetMode="External"/><Relationship Id="rId2557" Type="http://schemas.openxmlformats.org/officeDocument/2006/relationships/hyperlink" Target="https://drive.google.com/file/d/1HWF5lWqO-PS5wGlD3xBftlIBtuWtF6Pp/view?usp=drivesdk" TargetMode="External"/><Relationship Id="rId1227" Type="http://schemas.openxmlformats.org/officeDocument/2006/relationships/hyperlink" Target="https://drive.google.com/file/d/1NkaQrXvk1_tKjhDeg1IJJ4dcJtXUdJsq/view?usp=drivesdk" TargetMode="External"/><Relationship Id="rId2558" Type="http://schemas.openxmlformats.org/officeDocument/2006/relationships/hyperlink" Target="https://drive.google.com/file/d/1hEy9jBye_ggPjlNYN5_8VtXb43BOp6n7/view?usp=drivesdk" TargetMode="External"/><Relationship Id="rId1228" Type="http://schemas.openxmlformats.org/officeDocument/2006/relationships/hyperlink" Target="https://drive.google.com/file/d/1aiJoWzUJ3ONla1d2A_2JtKOlxruagMNg/view?usp=drivesdk" TargetMode="External"/><Relationship Id="rId2559" Type="http://schemas.openxmlformats.org/officeDocument/2006/relationships/hyperlink" Target="https://drive.google.com/file/d/18aom2I2sXjC0SVLyklJg3F6wIf8dlViP/view?usp=drivesdk" TargetMode="External"/><Relationship Id="rId1229" Type="http://schemas.openxmlformats.org/officeDocument/2006/relationships/hyperlink" Target="https://drive.google.com/file/d/1V7ZYUJU0oUu7do8Gf5ehm3ChNkru0pfl/view?usp=drivesdk" TargetMode="External"/><Relationship Id="rId2550" Type="http://schemas.openxmlformats.org/officeDocument/2006/relationships/hyperlink" Target="https://drive.google.com/file/d/1_Sfiv3xB9jAcqczfAE-bRUatSrQ_CzVx/view?usp=drivesdk" TargetMode="External"/><Relationship Id="rId1220" Type="http://schemas.openxmlformats.org/officeDocument/2006/relationships/hyperlink" Target="https://drive.google.com/file/d/1loQZjX577qk75rLZHBo0j6B2EywE4b3g/view?usp=drivesdk" TargetMode="External"/><Relationship Id="rId2551" Type="http://schemas.openxmlformats.org/officeDocument/2006/relationships/hyperlink" Target="https://drive.google.com/file/d/1aAVigmtA5x-69nzRGZkjluOihjsDggiK/view?usp=drivesdk" TargetMode="External"/><Relationship Id="rId1221" Type="http://schemas.openxmlformats.org/officeDocument/2006/relationships/hyperlink" Target="https://drive.google.com/file/d/1TAxllkFVk4hl9EIXIiFdCBD14hod-RaT/view?usp=drivesdk" TargetMode="External"/><Relationship Id="rId2552" Type="http://schemas.openxmlformats.org/officeDocument/2006/relationships/hyperlink" Target="https://drive.google.com/file/d/1Tec-v4piq70CsEzTG3vdt792uEJIsr65/view?usp=drivesdk" TargetMode="External"/><Relationship Id="rId1222" Type="http://schemas.openxmlformats.org/officeDocument/2006/relationships/hyperlink" Target="https://drive.google.com/file/d/1iezo-_RPWzhTW8rqaowd2I8adTZhcsur/view?usp=drivesdk" TargetMode="External"/><Relationship Id="rId2553" Type="http://schemas.openxmlformats.org/officeDocument/2006/relationships/hyperlink" Target="https://drive.google.com/file/d/15rFKNXrw1lW2-es0vHUfa_Qq3r2PVhMw/view?usp=drivesdk" TargetMode="External"/><Relationship Id="rId1223" Type="http://schemas.openxmlformats.org/officeDocument/2006/relationships/hyperlink" Target="https://drive.google.com/file/d/18zcNIylGzr8QoWh-cYh28FLV0oBvf9y7/view?usp=drivesdk" TargetMode="External"/><Relationship Id="rId2554" Type="http://schemas.openxmlformats.org/officeDocument/2006/relationships/hyperlink" Target="https://drive.google.com/file/d/1qqDnp9KLfO6RZlpc-S9SxZptHuv9BHgt/view?usp=drivesdk" TargetMode="External"/><Relationship Id="rId2500" Type="http://schemas.openxmlformats.org/officeDocument/2006/relationships/hyperlink" Target="https://drive.google.com/file/d/178RWIJ2cnegx8du5RjdkQQeQxeAV3OZg/view?usp=drivesdk" TargetMode="External"/><Relationship Id="rId2501" Type="http://schemas.openxmlformats.org/officeDocument/2006/relationships/hyperlink" Target="https://drive.google.com/file/d/17UdHoUcoW_McYyMpMlByV3QtAXFUhTBb/view?usp=drivesdk" TargetMode="External"/><Relationship Id="rId2502" Type="http://schemas.openxmlformats.org/officeDocument/2006/relationships/hyperlink" Target="https://drive.google.com/file/d/1prvUbgTqoKQji7TUv9LhpltjkFbV9n7a/view?usp=drivesdk" TargetMode="External"/><Relationship Id="rId2503" Type="http://schemas.openxmlformats.org/officeDocument/2006/relationships/hyperlink" Target="https://drive.google.com/file/d/1jTStf-Dqt7zO16fcvM6ToHNElZV-gTie/view?usp=drivesdk" TargetMode="External"/><Relationship Id="rId2504" Type="http://schemas.openxmlformats.org/officeDocument/2006/relationships/hyperlink" Target="https://drive.google.com/file/d/15mJQSBcI8BfBUB5JPa5rne2-8p1I5hVm/view?usp=drivesdk" TargetMode="External"/><Relationship Id="rId2505" Type="http://schemas.openxmlformats.org/officeDocument/2006/relationships/hyperlink" Target="https://drive.google.com/file/d/1FUaJh289Vx5BtjXvxrLUnATikYoSDS2Y/view?usp=drivesdk" TargetMode="External"/><Relationship Id="rId2506" Type="http://schemas.openxmlformats.org/officeDocument/2006/relationships/hyperlink" Target="https://drive.google.com/file/d/1B_tkNS7jZLt8BFG2i_vkbMvWaS2LY1Mi/view?usp=drivesdk" TargetMode="External"/><Relationship Id="rId2507" Type="http://schemas.openxmlformats.org/officeDocument/2006/relationships/hyperlink" Target="https://drive.google.com/file/d/1BXoCuT7YNxJO3GU20VKK3cr-TB-vh8U9/view?usp=drivesdk" TargetMode="External"/><Relationship Id="rId2508" Type="http://schemas.openxmlformats.org/officeDocument/2006/relationships/hyperlink" Target="https://drive.google.com/file/d/1k8rGoDsmJkYSpNobcLiPk6zDjgFlzPCB/view?usp=drivesdk" TargetMode="External"/><Relationship Id="rId2509" Type="http://schemas.openxmlformats.org/officeDocument/2006/relationships/hyperlink" Target="https://drive.google.com/file/d/1C8j-61pA5xvE0l6lz7uTbM6jbeCCl_5r/view?usp=drivesdk" TargetMode="External"/><Relationship Id="rId2522" Type="http://schemas.openxmlformats.org/officeDocument/2006/relationships/hyperlink" Target="https://drive.google.com/file/d/12y8v03met3E3utU7iWjtGdjJe3nA3b-c/view?usp=drivesdk" TargetMode="External"/><Relationship Id="rId2523" Type="http://schemas.openxmlformats.org/officeDocument/2006/relationships/hyperlink" Target="https://drive.google.com/file/d/1l_3Sv3AbH6WBHMSOGUYUMSEo2n5zqTfK/view?usp=drivesdk" TargetMode="External"/><Relationship Id="rId2524" Type="http://schemas.openxmlformats.org/officeDocument/2006/relationships/hyperlink" Target="https://drive.google.com/file/d/1450t8N9SQjiOfnliGrpGaQZYQJ0hUzgc/view?usp=drivesdk" TargetMode="External"/><Relationship Id="rId2525" Type="http://schemas.openxmlformats.org/officeDocument/2006/relationships/hyperlink" Target="https://drive.google.com/file/d/1o4rcPZbAAJbZ2MA489QneTxnlS7WFxoM/view?usp=drivesdk" TargetMode="External"/><Relationship Id="rId2526" Type="http://schemas.openxmlformats.org/officeDocument/2006/relationships/hyperlink" Target="https://drive.google.com/file/d/1uOB0rqp6bjbN7UD5-89VGTVkh_RtAnKV/view?usp=drivesdk" TargetMode="External"/><Relationship Id="rId2527" Type="http://schemas.openxmlformats.org/officeDocument/2006/relationships/hyperlink" Target="https://drive.google.com/file/d/1vsuB_ocRX-XAsnyPlyGwRiE5kvaYZV1p/view?usp=drivesdk" TargetMode="External"/><Relationship Id="rId2528" Type="http://schemas.openxmlformats.org/officeDocument/2006/relationships/hyperlink" Target="https://drive.google.com/file/d/1ZPIFsemyj7BEE9nueSLXzjbIQtiCl0Mf/view?usp=drivesdk" TargetMode="External"/><Relationship Id="rId2529" Type="http://schemas.openxmlformats.org/officeDocument/2006/relationships/hyperlink" Target="https://drive.google.com/file/d/1bc2nVW6sdgnsqmhBNZb-WlfIYcVtkOoZ/view?usp=drivesdk" TargetMode="External"/><Relationship Id="rId2520" Type="http://schemas.openxmlformats.org/officeDocument/2006/relationships/hyperlink" Target="https://drive.google.com/file/d/1Ys89XJXCKnlWRKipHmZWozw8_UWOftm-/view?usp=drivesdk" TargetMode="External"/><Relationship Id="rId2521" Type="http://schemas.openxmlformats.org/officeDocument/2006/relationships/hyperlink" Target="https://drive.google.com/file/d/1KQHpxVi3IBKiw4sHBBTjD1nmlPUTLL-g/view?usp=drivesdk" TargetMode="External"/><Relationship Id="rId2511" Type="http://schemas.openxmlformats.org/officeDocument/2006/relationships/hyperlink" Target="https://drive.google.com/file/d/1fH2pQ1ZNabsPne7VJhL2rZiWpCBzdHGb/view?usp=drivesdk" TargetMode="External"/><Relationship Id="rId2512" Type="http://schemas.openxmlformats.org/officeDocument/2006/relationships/hyperlink" Target="https://drive.google.com/file/d/187wAO2mbph87wsl99mImyL8Wol96LBsQ/view?usp=drivesdk" TargetMode="External"/><Relationship Id="rId2513" Type="http://schemas.openxmlformats.org/officeDocument/2006/relationships/hyperlink" Target="https://drive.google.com/file/d/1iVlEQHXzRRCuLal0Szm1emEc9ZN4_Ky3/view?usp=drivesdk" TargetMode="External"/><Relationship Id="rId2514" Type="http://schemas.openxmlformats.org/officeDocument/2006/relationships/hyperlink" Target="https://drive.google.com/file/d/1hvWSzXjyAUDpv6B_ftrXj2drYCn5V4T3/view?usp=drivesdk" TargetMode="External"/><Relationship Id="rId2515" Type="http://schemas.openxmlformats.org/officeDocument/2006/relationships/hyperlink" Target="https://drive.google.com/file/d/12tRTeE0AgxXzuCdrzQTuJTS2izeklWwq/view?usp=drivesdk" TargetMode="External"/><Relationship Id="rId2516" Type="http://schemas.openxmlformats.org/officeDocument/2006/relationships/hyperlink" Target="https://drive.google.com/file/d/1dgEpWD6tAzxtdGd5Y0iTAmw9lGfObOz_/view?usp=drivesdk" TargetMode="External"/><Relationship Id="rId2517" Type="http://schemas.openxmlformats.org/officeDocument/2006/relationships/hyperlink" Target="https://drive.google.com/file/d/1tgqyDkn-2wIF3NVFp07S39XjEICs5S2C/view?usp=drivesdk" TargetMode="External"/><Relationship Id="rId2518" Type="http://schemas.openxmlformats.org/officeDocument/2006/relationships/hyperlink" Target="https://drive.google.com/file/d/1g3j54965mTK4gUEXue57MFFOuznBPDnJ/view?usp=drivesdk" TargetMode="External"/><Relationship Id="rId2519" Type="http://schemas.openxmlformats.org/officeDocument/2006/relationships/hyperlink" Target="https://drive.google.com/file/d/1x5n1QekyiaRlmmUPGTqXtBA--jhSFM8l/view?usp=drivesdk" TargetMode="External"/><Relationship Id="rId2510" Type="http://schemas.openxmlformats.org/officeDocument/2006/relationships/hyperlink" Target="https://drive.google.com/file/d/1jQPtpyrZjlFLNsj-SE52qz_vf9XD8ybn/view?usp=drivesdk" TargetMode="External"/><Relationship Id="rId1290" Type="http://schemas.openxmlformats.org/officeDocument/2006/relationships/hyperlink" Target="https://drive.google.com/file/d/15XyaGrdGB7fgIT7stt9oZW8QnY0_K1Pt/view?usp=drivesdk" TargetMode="External"/><Relationship Id="rId1291" Type="http://schemas.openxmlformats.org/officeDocument/2006/relationships/hyperlink" Target="https://drive.google.com/file/d/1j-PmQZ6_EPTvKTB4VIOnyi2SyQQpxQsW/view?usp=drivesdk" TargetMode="External"/><Relationship Id="rId1292" Type="http://schemas.openxmlformats.org/officeDocument/2006/relationships/hyperlink" Target="https://drive.google.com/file/d/1WK9mli7zxf9vGfYyH0f7cht9SgWgHj_s/view?usp=drivesdk" TargetMode="External"/><Relationship Id="rId1293" Type="http://schemas.openxmlformats.org/officeDocument/2006/relationships/hyperlink" Target="https://drive.google.com/file/d/1V226XkISYQS631elHRp7aiX6RzrQHubk/view?usp=drivesdk" TargetMode="External"/><Relationship Id="rId1294" Type="http://schemas.openxmlformats.org/officeDocument/2006/relationships/hyperlink" Target="https://drive.google.com/file/d/1ev9r2GAzwjJq6s87VmNZzTzlVzzLOStc/view?usp=drivesdk" TargetMode="External"/><Relationship Id="rId1295" Type="http://schemas.openxmlformats.org/officeDocument/2006/relationships/hyperlink" Target="https://drive.google.com/file/d/1tBASsGz6sywvBgbsROnT43lql7eCXj1N/view?usp=drivesdk" TargetMode="External"/><Relationship Id="rId1296" Type="http://schemas.openxmlformats.org/officeDocument/2006/relationships/hyperlink" Target="https://drive.google.com/file/d/1NvlESz-leSh6CH66SapgD_N29XuPWd_s/view?usp=drivesdk" TargetMode="External"/><Relationship Id="rId1297" Type="http://schemas.openxmlformats.org/officeDocument/2006/relationships/hyperlink" Target="https://drive.google.com/file/d/12c2G5neHYgyzRwXP8yyIrGnhAyIpsbT_/view?usp=drivesdk" TargetMode="External"/><Relationship Id="rId1298" Type="http://schemas.openxmlformats.org/officeDocument/2006/relationships/hyperlink" Target="https://drive.google.com/file/d/1X4XUo6Eyq235pjv0tehGvZc4Hwik53sj/view?usp=drivesdk" TargetMode="External"/><Relationship Id="rId1299" Type="http://schemas.openxmlformats.org/officeDocument/2006/relationships/hyperlink" Target="https://drive.google.com/file/d/1UN68peFhV-E37E2ea_TOUXq_kJPKFZj2/view?usp=drivesdk" TargetMode="External"/><Relationship Id="rId1280" Type="http://schemas.openxmlformats.org/officeDocument/2006/relationships/hyperlink" Target="https://drive.google.com/file/d/1EpHz6JqJu7jMQXwICCn4FxLi8CCpDOt3/view?usp=drivesdk" TargetMode="External"/><Relationship Id="rId1281" Type="http://schemas.openxmlformats.org/officeDocument/2006/relationships/hyperlink" Target="https://drive.google.com/file/d/1kLuN6MA-S8HHBFxH1xJ2rwgfphCEFp3e/view?usp=drivesdk" TargetMode="External"/><Relationship Id="rId1282" Type="http://schemas.openxmlformats.org/officeDocument/2006/relationships/hyperlink" Target="https://drive.google.com/file/d/1P_TF2d75YOhPzOqeuU1kMoNddj6eeRFG/view?usp=drivesdk" TargetMode="External"/><Relationship Id="rId1283" Type="http://schemas.openxmlformats.org/officeDocument/2006/relationships/hyperlink" Target="https://drive.google.com/file/d/1PEVW99kOrHF8eEqXD4yVSp8_45dflhib/view?usp=drivesdk" TargetMode="External"/><Relationship Id="rId1284" Type="http://schemas.openxmlformats.org/officeDocument/2006/relationships/hyperlink" Target="https://drive.google.com/file/d/1Jz51Dhqi110mtIzWNRk79dQzH7V2iuLK/view?usp=drivesdk" TargetMode="External"/><Relationship Id="rId1285" Type="http://schemas.openxmlformats.org/officeDocument/2006/relationships/hyperlink" Target="https://drive.google.com/file/d/1XpT4hhH_j7C854z8iW8REac9IccJEllJ/view?usp=drivesdk" TargetMode="External"/><Relationship Id="rId1286" Type="http://schemas.openxmlformats.org/officeDocument/2006/relationships/hyperlink" Target="https://drive.google.com/file/d/1F8Y22Xi5YqmbpAU7wjoykWJpV8R4TGNh/view?usp=drivesdk" TargetMode="External"/><Relationship Id="rId1287" Type="http://schemas.openxmlformats.org/officeDocument/2006/relationships/hyperlink" Target="https://drive.google.com/file/d/1qWv4FcdLzcp9OTz3YC6Dd3mz5AlU10PR/view?usp=drivesdk" TargetMode="External"/><Relationship Id="rId1288" Type="http://schemas.openxmlformats.org/officeDocument/2006/relationships/hyperlink" Target="https://drive.google.com/file/d/1tEVWPQ1IFd1lZgugsNEgIW7p0B7SGx3H/view?usp=drivesdk" TargetMode="External"/><Relationship Id="rId1289" Type="http://schemas.openxmlformats.org/officeDocument/2006/relationships/hyperlink" Target="https://drive.google.com/file/d/1E3TOFnHZaIFONEstGvunGbNouh0USkeA/view?usp=drivesdk" TargetMode="External"/><Relationship Id="rId1257" Type="http://schemas.openxmlformats.org/officeDocument/2006/relationships/hyperlink" Target="https://drive.google.com/file/d/1kpC_7KgnT7GrdlfEPhLn1v3MZdOfECqQ/view?usp=drivesdk" TargetMode="External"/><Relationship Id="rId2588" Type="http://schemas.openxmlformats.org/officeDocument/2006/relationships/hyperlink" Target="https://drive.google.com/file/d/1vKE7mOOpQyDuOUmVjUFOtoea1PWwxY_e/view?usp=drivesdk" TargetMode="External"/><Relationship Id="rId1258" Type="http://schemas.openxmlformats.org/officeDocument/2006/relationships/hyperlink" Target="https://drive.google.com/file/d/1rIqhSY0OqFvyS0g1vVMjmGnCxJViPwiW/view?usp=drivesdk" TargetMode="External"/><Relationship Id="rId2589" Type="http://schemas.openxmlformats.org/officeDocument/2006/relationships/hyperlink" Target="https://drive.google.com/file/d/1ym_kgM1PsWOoVhDDMvR9YokNrfoT_0s_/view?usp=drivesdk" TargetMode="External"/><Relationship Id="rId1259" Type="http://schemas.openxmlformats.org/officeDocument/2006/relationships/hyperlink" Target="https://drive.google.com/file/d/1cdQdGJyt_lBE4aStOVYQP1CZNMYyVxcE/view?usp=drivesdk" TargetMode="External"/><Relationship Id="rId2580" Type="http://schemas.openxmlformats.org/officeDocument/2006/relationships/hyperlink" Target="https://drive.google.com/file/d/1eo56Vmh-Y-EWvWoyx9uEkDCHk70oPhne/view?usp=drivesdk" TargetMode="External"/><Relationship Id="rId1250" Type="http://schemas.openxmlformats.org/officeDocument/2006/relationships/hyperlink" Target="https://drive.google.com/file/d/1woTXscfiKBNSI1-5rM658w48LaG0S_9B/view?usp=drivesdk" TargetMode="External"/><Relationship Id="rId2581" Type="http://schemas.openxmlformats.org/officeDocument/2006/relationships/hyperlink" Target="https://drive.google.com/file/d/1a3xdL2B4x9U7A31LAeSNOfFgGwqYLsyp/view?usp=drivesdk" TargetMode="External"/><Relationship Id="rId1251" Type="http://schemas.openxmlformats.org/officeDocument/2006/relationships/hyperlink" Target="https://drive.google.com/file/d/1ZE0vCgqrSzVwS81UFU8zLQU781xs23WO/view?usp=drivesdk" TargetMode="External"/><Relationship Id="rId2582" Type="http://schemas.openxmlformats.org/officeDocument/2006/relationships/hyperlink" Target="https://drive.google.com/file/d/1IK_ymfo_j0UZo7BeAmLuC2oJ1K23Eksw/view?usp=drivesdk" TargetMode="External"/><Relationship Id="rId1252" Type="http://schemas.openxmlformats.org/officeDocument/2006/relationships/hyperlink" Target="https://drive.google.com/file/d/1_xQs7y5Xb7yTCfhRTbZkLbPcbYx3-aVC/view?usp=drivesdk" TargetMode="External"/><Relationship Id="rId2583" Type="http://schemas.openxmlformats.org/officeDocument/2006/relationships/hyperlink" Target="https://drive.google.com/file/d/1mFM4ITt5xURJW-YJxyRM3JLK3lrgKbti/view?usp=drivesdk" TargetMode="External"/><Relationship Id="rId1253" Type="http://schemas.openxmlformats.org/officeDocument/2006/relationships/hyperlink" Target="https://drive.google.com/file/d/1fQGicwkbNJ1VChwoo9teYai0SRtHmTSO/view?usp=drivesdk" TargetMode="External"/><Relationship Id="rId2584" Type="http://schemas.openxmlformats.org/officeDocument/2006/relationships/hyperlink" Target="https://drive.google.com/file/d/1uGkptFIADzd95i_1z6zF34646e9xsl2x/view?usp=drivesdk" TargetMode="External"/><Relationship Id="rId1254" Type="http://schemas.openxmlformats.org/officeDocument/2006/relationships/hyperlink" Target="https://drive.google.com/file/d/1uQAzW_M02rkwxlXmtVozTMq3jvuRVSVl/view?usp=drivesdk" TargetMode="External"/><Relationship Id="rId2585" Type="http://schemas.openxmlformats.org/officeDocument/2006/relationships/hyperlink" Target="https://drive.google.com/file/d/1swGcajmuAk2dPxjlIjLW4ue5aRSq4v5w/view?usp=drivesdk" TargetMode="External"/><Relationship Id="rId1255" Type="http://schemas.openxmlformats.org/officeDocument/2006/relationships/hyperlink" Target="https://drive.google.com/file/d/17ZEkIWJOInbD_ZXERrY9X5ONuOp4Ivoe/view?usp=drivesdk" TargetMode="External"/><Relationship Id="rId2586" Type="http://schemas.openxmlformats.org/officeDocument/2006/relationships/hyperlink" Target="https://drive.google.com/file/d/1sKuuG-gqsTjT53-UtThLP9V176ivSDEJ/view?usp=drivesdk" TargetMode="External"/><Relationship Id="rId1256" Type="http://schemas.openxmlformats.org/officeDocument/2006/relationships/hyperlink" Target="https://drive.google.com/file/d/1vTt7NNckQMKyncGYgixt-maoBB1v0mPb/view?usp=drivesdk" TargetMode="External"/><Relationship Id="rId2587" Type="http://schemas.openxmlformats.org/officeDocument/2006/relationships/hyperlink" Target="https://drive.google.com/file/d/1BQWlY_DWfo4IRR_xAK5jayQMMBDw5Vxm/view?usp=drivesdk" TargetMode="External"/><Relationship Id="rId1246" Type="http://schemas.openxmlformats.org/officeDocument/2006/relationships/hyperlink" Target="https://drive.google.com/file/d/1ANN-lIT7h9xVYMCiJKTM8oq_giohIcZm/view?usp=drivesdk" TargetMode="External"/><Relationship Id="rId2577" Type="http://schemas.openxmlformats.org/officeDocument/2006/relationships/hyperlink" Target="https://drive.google.com/file/d/1JsUNa4eyGURnu4fY7GyWY25Z_iDu4g_g/view?usp=drivesdk" TargetMode="External"/><Relationship Id="rId1247" Type="http://schemas.openxmlformats.org/officeDocument/2006/relationships/hyperlink" Target="https://drive.google.com/file/d/1uby1xMb8dnNqG3-Qzm7MqW8IeaUK15tV/view?usp=drivesdk" TargetMode="External"/><Relationship Id="rId2578" Type="http://schemas.openxmlformats.org/officeDocument/2006/relationships/hyperlink" Target="https://drive.google.com/file/d/1B8Zrjwc8jYqlwHOVlJXHiA2fe2pobpfz/view?usp=drivesdk" TargetMode="External"/><Relationship Id="rId1248" Type="http://schemas.openxmlformats.org/officeDocument/2006/relationships/hyperlink" Target="https://drive.google.com/file/d/13SN_0I_EEV0cV2rI5vJq60SznA9boAv4/view?usp=drivesdk" TargetMode="External"/><Relationship Id="rId2579" Type="http://schemas.openxmlformats.org/officeDocument/2006/relationships/hyperlink" Target="https://drive.google.com/file/d/1zAzDWxHE8DSUdB6RzWVVF9w42hAnVfmy/view?usp=drivesdk" TargetMode="External"/><Relationship Id="rId1249" Type="http://schemas.openxmlformats.org/officeDocument/2006/relationships/hyperlink" Target="https://drive.google.com/file/d/1nlLYcktKaMpfLQE3HeYfs9ItRkNUzBK-/view?usp=drivesdk" TargetMode="External"/><Relationship Id="rId2570" Type="http://schemas.openxmlformats.org/officeDocument/2006/relationships/hyperlink" Target="https://drive.google.com/file/d/18UZie4haHSBiPYbTJ-HJA-n5cq7kW4bi/view?usp=drivesdk" TargetMode="External"/><Relationship Id="rId1240" Type="http://schemas.openxmlformats.org/officeDocument/2006/relationships/hyperlink" Target="https://drive.google.com/file/d/1YH7AHN6q4jS4Oo6VvZqLxmO7lWTbt7b5/view?usp=drivesdk" TargetMode="External"/><Relationship Id="rId2571" Type="http://schemas.openxmlformats.org/officeDocument/2006/relationships/hyperlink" Target="https://drive.google.com/file/d/1_RRcpv3wa2BForj5cP4mWxF2yGt1-vWB/view?usp=drivesdk" TargetMode="External"/><Relationship Id="rId1241" Type="http://schemas.openxmlformats.org/officeDocument/2006/relationships/hyperlink" Target="https://drive.google.com/file/d/15P1y02S5FzUib7jwjWSjcGntwbpQU-ow/view?usp=drivesdk" TargetMode="External"/><Relationship Id="rId2572" Type="http://schemas.openxmlformats.org/officeDocument/2006/relationships/hyperlink" Target="https://drive.google.com/file/d/15mUDeLbj5kEgvCGK2PDRlgwMlRs_1G5Z/view?usp=drivesdk" TargetMode="External"/><Relationship Id="rId1242" Type="http://schemas.openxmlformats.org/officeDocument/2006/relationships/hyperlink" Target="https://drive.google.com/file/d/13vaGglYH0t8hSTAk7NOLroDTVv__anCL/view?usp=drivesdk" TargetMode="External"/><Relationship Id="rId2573" Type="http://schemas.openxmlformats.org/officeDocument/2006/relationships/hyperlink" Target="https://drive.google.com/file/d/11cSafSG0NZYOmx7YJ1EilPCGmwciHmmf/view?usp=drivesdk" TargetMode="External"/><Relationship Id="rId1243" Type="http://schemas.openxmlformats.org/officeDocument/2006/relationships/hyperlink" Target="https://drive.google.com/file/d/1queA4WLms3g5JrzlshXtKW5W-hQLL_Q_/view?usp=drivesdk" TargetMode="External"/><Relationship Id="rId2574" Type="http://schemas.openxmlformats.org/officeDocument/2006/relationships/hyperlink" Target="https://drive.google.com/file/d/1Gv9g4hL9GCbcMNojMNXD1tjgylzvK0o1/view?usp=drivesdk" TargetMode="External"/><Relationship Id="rId1244" Type="http://schemas.openxmlformats.org/officeDocument/2006/relationships/hyperlink" Target="https://drive.google.com/file/d/15hSYctNlX05X7TGbz6YY6lrWFuM_Jub9/view?usp=drivesdk" TargetMode="External"/><Relationship Id="rId2575" Type="http://schemas.openxmlformats.org/officeDocument/2006/relationships/hyperlink" Target="https://drive.google.com/file/d/1XIEDY9I1JkGtTOyyjCdGcYdfFLP_x-HO/view?usp=drivesdk" TargetMode="External"/><Relationship Id="rId1245" Type="http://schemas.openxmlformats.org/officeDocument/2006/relationships/hyperlink" Target="https://drive.google.com/file/d/1l9mydYYcE7NakxS6I3SFU8_5-LUvtLbD/view?usp=drivesdk" TargetMode="External"/><Relationship Id="rId2576" Type="http://schemas.openxmlformats.org/officeDocument/2006/relationships/hyperlink" Target="https://drive.google.com/file/d/1BYJAGBiTn36r2JsnaDMauC385Mq7zCRh/view?usp=drivesdk" TargetMode="External"/><Relationship Id="rId1279" Type="http://schemas.openxmlformats.org/officeDocument/2006/relationships/hyperlink" Target="https://drive.google.com/file/d/1wQRfmCqb754d6e5SIk-Khfod14R3ZjdI/view?usp=drivesdk" TargetMode="External"/><Relationship Id="rId1270" Type="http://schemas.openxmlformats.org/officeDocument/2006/relationships/hyperlink" Target="https://drive.google.com/file/d/1t_ezM0Zicd7mqqKsYEX26iwCImdk3IVe/view?usp=drivesdk" TargetMode="External"/><Relationship Id="rId1271" Type="http://schemas.openxmlformats.org/officeDocument/2006/relationships/hyperlink" Target="https://drive.google.com/file/d/1K-HH6YF1XcvZvCtPs42xeADAR8gr-0hC/view?usp=drivesdk" TargetMode="External"/><Relationship Id="rId1272" Type="http://schemas.openxmlformats.org/officeDocument/2006/relationships/hyperlink" Target="https://drive.google.com/file/d/19itxLnKTw-PRiQ2TH1U2QAy1KUZJY5ig/view?usp=drivesdk" TargetMode="External"/><Relationship Id="rId1273" Type="http://schemas.openxmlformats.org/officeDocument/2006/relationships/hyperlink" Target="https://drive.google.com/file/d/1J4j5XXMXHBLbRhVLG6sRyMcHY81gBS1j/view?usp=drivesdk" TargetMode="External"/><Relationship Id="rId1274" Type="http://schemas.openxmlformats.org/officeDocument/2006/relationships/hyperlink" Target="https://drive.google.com/file/d/1PrURppqq6sCTgsyqtf9gdobsU9vT5VaZ/view?usp=drivesdk" TargetMode="External"/><Relationship Id="rId1275" Type="http://schemas.openxmlformats.org/officeDocument/2006/relationships/hyperlink" Target="https://drive.google.com/file/d/1F3HwiKVQ519V92uihbNKwUTmlL6ao6yr/view?usp=drivesdk" TargetMode="External"/><Relationship Id="rId1276" Type="http://schemas.openxmlformats.org/officeDocument/2006/relationships/hyperlink" Target="https://drive.google.com/file/d/1bzeblq7_oGiYNnFr5CNSQ2xxMapEX2zs/view?usp=drivesdk" TargetMode="External"/><Relationship Id="rId1277" Type="http://schemas.openxmlformats.org/officeDocument/2006/relationships/hyperlink" Target="https://drive.google.com/file/d/16oF6r-2r8iChrP33I8DY3wMOLzFFP3Wk/view?usp=drivesdk" TargetMode="External"/><Relationship Id="rId1278" Type="http://schemas.openxmlformats.org/officeDocument/2006/relationships/hyperlink" Target="https://drive.google.com/file/d/1TwLpbRKXEdmNGK3CExX7KI3hL_Ko31e0/view?usp=drivesdk" TargetMode="External"/><Relationship Id="rId1268" Type="http://schemas.openxmlformats.org/officeDocument/2006/relationships/hyperlink" Target="https://drive.google.com/file/d/1X_rxKO5a6dcYxhU1RXRV0JWy0tSRKzsM/view?usp=drivesdk" TargetMode="External"/><Relationship Id="rId2599" Type="http://schemas.openxmlformats.org/officeDocument/2006/relationships/hyperlink" Target="https://drive.google.com/file/d/1n7ZOffUVwJ0vKa8cxy8TUf8dV8i4sqSa/view?usp=drivesdk" TargetMode="External"/><Relationship Id="rId1269" Type="http://schemas.openxmlformats.org/officeDocument/2006/relationships/hyperlink" Target="https://drive.google.com/file/d/198BHXTfpH2lZkXxKHIIAmw2jqF6JvVGw/view?usp=drivesdk" TargetMode="External"/><Relationship Id="rId2590" Type="http://schemas.openxmlformats.org/officeDocument/2006/relationships/hyperlink" Target="https://drive.google.com/file/d/1gbzV5biq3ywA0OXeBlzOi7qnqdgTIWs0/view?usp=drivesdk" TargetMode="External"/><Relationship Id="rId1260" Type="http://schemas.openxmlformats.org/officeDocument/2006/relationships/hyperlink" Target="https://drive.google.com/file/d/1Q09XB4v_YM3fNtnr5QU57FdNb2h8MqCV/view?usp=drivesdk" TargetMode="External"/><Relationship Id="rId2591" Type="http://schemas.openxmlformats.org/officeDocument/2006/relationships/hyperlink" Target="https://drive.google.com/file/d/1mBYyxf4V_xeHYUHMSUVh3Zj-6Z4QAS8l/view?usp=drivesdk" TargetMode="External"/><Relationship Id="rId1261" Type="http://schemas.openxmlformats.org/officeDocument/2006/relationships/hyperlink" Target="https://drive.google.com/file/d/1P_GqcGx4vx117arr3uCFltjaV1PZrD_5/view?usp=drivesdk" TargetMode="External"/><Relationship Id="rId2592" Type="http://schemas.openxmlformats.org/officeDocument/2006/relationships/hyperlink" Target="https://drive.google.com/file/d/1cyduJAZasZeJxrjtiGWbg9yrlaBLhR_l/view?usp=drivesdk" TargetMode="External"/><Relationship Id="rId1262" Type="http://schemas.openxmlformats.org/officeDocument/2006/relationships/hyperlink" Target="https://drive.google.com/file/d/1qehv0JWsHC7Fp_G5QBWHffVCI9c6nGy5/view?usp=drivesdk" TargetMode="External"/><Relationship Id="rId2593" Type="http://schemas.openxmlformats.org/officeDocument/2006/relationships/hyperlink" Target="https://drive.google.com/file/d/1dIs2HFjwEAKY1WflvzGQp4VOpSJVFQJz/view?usp=drivesdk" TargetMode="External"/><Relationship Id="rId1263" Type="http://schemas.openxmlformats.org/officeDocument/2006/relationships/hyperlink" Target="https://drive.google.com/file/d/1JPkrqwX0JHesB_9wfH60BwLKXDQTNoA9/view?usp=drivesdk" TargetMode="External"/><Relationship Id="rId2594" Type="http://schemas.openxmlformats.org/officeDocument/2006/relationships/hyperlink" Target="https://drive.google.com/file/d/1GB-OSU1umuG_u4zYS1Xvo7Zc0YUE0FxT/view?usp=drivesdk" TargetMode="External"/><Relationship Id="rId1264" Type="http://schemas.openxmlformats.org/officeDocument/2006/relationships/hyperlink" Target="https://drive.google.com/file/d/1-LnHDUppf7bD0ZirYuOf_Bco1BGpMKF1/view?usp=drivesdk" TargetMode="External"/><Relationship Id="rId2595" Type="http://schemas.openxmlformats.org/officeDocument/2006/relationships/hyperlink" Target="https://drive.google.com/file/d/16yPWtonjLlnTn2vMpzzHOG5_zXryFhz2/view?usp=drivesdk" TargetMode="External"/><Relationship Id="rId1265" Type="http://schemas.openxmlformats.org/officeDocument/2006/relationships/hyperlink" Target="https://drive.google.com/file/d/1no4rpeGSCfArLZbUSFLbTHVTXiG5ZVBp/view?usp=drivesdk" TargetMode="External"/><Relationship Id="rId2596" Type="http://schemas.openxmlformats.org/officeDocument/2006/relationships/hyperlink" Target="https://drive.google.com/file/d/1o2u7D1oyv-uo3oGIYJiE69HKnwfpzTU0/view?usp=drivesdk" TargetMode="External"/><Relationship Id="rId1266" Type="http://schemas.openxmlformats.org/officeDocument/2006/relationships/hyperlink" Target="https://drive.google.com/file/d/1sJstk9PdEGYSKpT2_f0a9PpD7ejHwq1l/view?usp=drivesdk" TargetMode="External"/><Relationship Id="rId2597" Type="http://schemas.openxmlformats.org/officeDocument/2006/relationships/hyperlink" Target="https://drive.google.com/file/d/13pCgeOZlKqUqJcYAYGk1Qhic2JKEd_FP/view?usp=drivesdk" TargetMode="External"/><Relationship Id="rId1267" Type="http://schemas.openxmlformats.org/officeDocument/2006/relationships/hyperlink" Target="https://drive.google.com/file/d/1LVclwvdJUl_kfO9FCwGAf-0f-gnlkrRJ/view?usp=drivesdk" TargetMode="External"/><Relationship Id="rId2598" Type="http://schemas.openxmlformats.org/officeDocument/2006/relationships/hyperlink" Target="https://drive.google.com/file/d/191kh8soGuYlx7efyJxnB2LUiB0rngHnH/view?usp=drivesdk" TargetMode="External"/><Relationship Id="rId2027" Type="http://schemas.openxmlformats.org/officeDocument/2006/relationships/hyperlink" Target="https://drive.google.com/file/d/1NmnE_A_zbyDFyjMlfhZSeO-BJGqpFm0J/view?usp=drivesdk" TargetMode="External"/><Relationship Id="rId2028" Type="http://schemas.openxmlformats.org/officeDocument/2006/relationships/hyperlink" Target="https://drive.google.com/file/d/1-VUHHirePeb_ar6QZRZ3rY999Z05IEEU/view?usp=drivesdk" TargetMode="External"/><Relationship Id="rId2029" Type="http://schemas.openxmlformats.org/officeDocument/2006/relationships/hyperlink" Target="https://drive.google.com/file/d/14Cf6knXobAAkmZEFwCkfXSUVZjEW8TOm/view?usp=drivesdk" TargetMode="External"/><Relationship Id="rId2020" Type="http://schemas.openxmlformats.org/officeDocument/2006/relationships/hyperlink" Target="https://drive.google.com/file/d/1S_N-xiwhEiCeoxZRAxHnOE0N7QyQlvbo/view?usp=drivesdk" TargetMode="External"/><Relationship Id="rId2021" Type="http://schemas.openxmlformats.org/officeDocument/2006/relationships/hyperlink" Target="https://drive.google.com/file/d/1QbJw_MFq7--oVI775qrrIpOKQJB5Z7uh/view?usp=drivesdk" TargetMode="External"/><Relationship Id="rId2022" Type="http://schemas.openxmlformats.org/officeDocument/2006/relationships/hyperlink" Target="https://drive.google.com/file/d/14dSDlYKVBbjOkrk20TkpbgPvohonXpFZ/view?usp=drivesdk" TargetMode="External"/><Relationship Id="rId2023" Type="http://schemas.openxmlformats.org/officeDocument/2006/relationships/hyperlink" Target="https://drive.google.com/file/d/1dFOWuheHKQD2s_LGBOV6prcIl0Caf8lU/view?usp=drivesdk" TargetMode="External"/><Relationship Id="rId2024" Type="http://schemas.openxmlformats.org/officeDocument/2006/relationships/hyperlink" Target="https://drive.google.com/file/d/1KPec4fgjK25ZKFXrFscn-SCSGZbUq-gc/view?usp=drivesdk" TargetMode="External"/><Relationship Id="rId2025" Type="http://schemas.openxmlformats.org/officeDocument/2006/relationships/hyperlink" Target="https://drive.google.com/file/d/1Ts2FIU0ch3Sg_acHlYmQdCroZaiYwnK5/view?usp=drivesdk" TargetMode="External"/><Relationship Id="rId2026" Type="http://schemas.openxmlformats.org/officeDocument/2006/relationships/hyperlink" Target="https://drive.google.com/file/d/1V-RlqvnjuOlGTzdyMwHPE1YQ-3VySPMx/view?usp=drivesdk" TargetMode="External"/><Relationship Id="rId2016" Type="http://schemas.openxmlformats.org/officeDocument/2006/relationships/hyperlink" Target="https://drive.google.com/file/d/1Zm0P9kQUDkjkUMNguRX-SNAvZLX1No5R/view?usp=drivesdk" TargetMode="External"/><Relationship Id="rId2017" Type="http://schemas.openxmlformats.org/officeDocument/2006/relationships/hyperlink" Target="https://drive.google.com/file/d/1PjPtpv2OW6c111u189kF16QzOSqmPlTR/view?usp=drivesdk" TargetMode="External"/><Relationship Id="rId2018" Type="http://schemas.openxmlformats.org/officeDocument/2006/relationships/hyperlink" Target="https://drive.google.com/file/d/1JsrTIQRguqNKh7DzQ_1mNqPU0XGPt91a/view?usp=drivesdk" TargetMode="External"/><Relationship Id="rId2019" Type="http://schemas.openxmlformats.org/officeDocument/2006/relationships/hyperlink" Target="https://drive.google.com/file/d/1ExjT-VqCqFzgISN9mEqM2igppZHmCQbQ/view?usp=drivesdk" TargetMode="External"/><Relationship Id="rId2010" Type="http://schemas.openxmlformats.org/officeDocument/2006/relationships/hyperlink" Target="http://titi.sh" TargetMode="External"/><Relationship Id="rId2011" Type="http://schemas.openxmlformats.org/officeDocument/2006/relationships/hyperlink" Target="https://drive.google.com/file/d/1jYCHKPZXG_h4xYfQxFVgF0wI8c1E-9fC/view?usp=drivesdk" TargetMode="External"/><Relationship Id="rId2012" Type="http://schemas.openxmlformats.org/officeDocument/2006/relationships/hyperlink" Target="https://drive.google.com/file/d/1fPDPik7eXURLg1eIF2kKxKyfI4qbTaj4/view?usp=drivesdk" TargetMode="External"/><Relationship Id="rId2013" Type="http://schemas.openxmlformats.org/officeDocument/2006/relationships/hyperlink" Target="https://drive.google.com/file/d/1V9oMXFzaqS4XnY2X8IgjZWhwFx7TbT76/view?usp=drivesdk" TargetMode="External"/><Relationship Id="rId2014" Type="http://schemas.openxmlformats.org/officeDocument/2006/relationships/hyperlink" Target="https://drive.google.com/file/d/15X1vj4XD-LXOTbLNuzaRFG54iyK_6eN3/view?usp=drivesdk" TargetMode="External"/><Relationship Id="rId2015" Type="http://schemas.openxmlformats.org/officeDocument/2006/relationships/hyperlink" Target="https://drive.google.com/file/d/1fIfzj-DSNxgCVeOrliKnojuGteaLKXMG/view?usp=drivesdk" TargetMode="External"/><Relationship Id="rId2049" Type="http://schemas.openxmlformats.org/officeDocument/2006/relationships/hyperlink" Target="https://drive.google.com/file/d/1RqIVr8QlAU1eXZF06F4Ww3ZXSHZAoCCF/view?usp=drivesdk" TargetMode="External"/><Relationship Id="rId2040" Type="http://schemas.openxmlformats.org/officeDocument/2006/relationships/hyperlink" Target="https://drive.google.com/file/d/1rZy_yQWddM7OW504sdEpGXmZYOe9Gl1K/view?usp=drivesdk" TargetMode="External"/><Relationship Id="rId2041" Type="http://schemas.openxmlformats.org/officeDocument/2006/relationships/hyperlink" Target="https://drive.google.com/file/d/170uXcQaycfL5L5MGCkxbxsyzreo9YqI3/view?usp=drivesdk" TargetMode="External"/><Relationship Id="rId2042" Type="http://schemas.openxmlformats.org/officeDocument/2006/relationships/hyperlink" Target="https://drive.google.com/file/d/1AjbaEr6tqbm7fg_xwkiwWphIaUwHp_45/view?usp=drivesdk" TargetMode="External"/><Relationship Id="rId2043" Type="http://schemas.openxmlformats.org/officeDocument/2006/relationships/hyperlink" Target="https://drive.google.com/file/d/1yPVxcEA8HBVrWPmMs-n09oZJWp9C88B-/view?usp=drivesdk" TargetMode="External"/><Relationship Id="rId2044" Type="http://schemas.openxmlformats.org/officeDocument/2006/relationships/hyperlink" Target="https://drive.google.com/file/d/1zQuzQWFz1UkVukXrPWyyqjBltoJL3S9D/view?usp=drivesdk" TargetMode="External"/><Relationship Id="rId2045" Type="http://schemas.openxmlformats.org/officeDocument/2006/relationships/hyperlink" Target="https://drive.google.com/file/d/1Isjs3P9OO5oBJ3NJhpegFbEO8tmERr-1/view?usp=drivesdk" TargetMode="External"/><Relationship Id="rId2046" Type="http://schemas.openxmlformats.org/officeDocument/2006/relationships/hyperlink" Target="https://drive.google.com/file/d/1-bu0ThHDegsHn78jcl_gko_MF8VUCCle/view?usp=drivesdk" TargetMode="External"/><Relationship Id="rId2047" Type="http://schemas.openxmlformats.org/officeDocument/2006/relationships/hyperlink" Target="https://drive.google.com/file/d/1AP4IaGnt1F6_-pQvYn1Greye7KsZG4cU/view?usp=drivesdk" TargetMode="External"/><Relationship Id="rId2048" Type="http://schemas.openxmlformats.org/officeDocument/2006/relationships/hyperlink" Target="https://drive.google.com/file/d/1BhJW6UDcdqWObxNVp8NDshxpsicQUKgB/view?usp=drivesdk" TargetMode="External"/><Relationship Id="rId2038" Type="http://schemas.openxmlformats.org/officeDocument/2006/relationships/hyperlink" Target="https://drive.google.com/file/d/1TbkaBkW85KI9v_FVntsjpaELJ-hmcnAq/view?usp=drivesdk" TargetMode="External"/><Relationship Id="rId2039" Type="http://schemas.openxmlformats.org/officeDocument/2006/relationships/hyperlink" Target="https://drive.google.com/file/d/1WV-KijHFHRtMnrlu_CUKQzgHs-awAJ-w/view?usp=drivesdk" TargetMode="External"/><Relationship Id="rId2030" Type="http://schemas.openxmlformats.org/officeDocument/2006/relationships/hyperlink" Target="https://drive.google.com/file/d/1BooB-izGZOOtmaxWutoACwy6himUsZQT/view?usp=drivesdk" TargetMode="External"/><Relationship Id="rId2031" Type="http://schemas.openxmlformats.org/officeDocument/2006/relationships/hyperlink" Target="https://drive.google.com/file/d/1GFQWetifeqtono55JeJqQfkaGsNVCVeG/view?usp=drivesdk" TargetMode="External"/><Relationship Id="rId2032" Type="http://schemas.openxmlformats.org/officeDocument/2006/relationships/hyperlink" Target="https://drive.google.com/file/d/1fYP6cS52Ty-0eK4_mdqPvZ6OsbJeswSw/view?usp=drivesdk" TargetMode="External"/><Relationship Id="rId2033" Type="http://schemas.openxmlformats.org/officeDocument/2006/relationships/hyperlink" Target="https://drive.google.com/file/d/1rC99Y-sOXAOTvK1Oecg8zOSsbZTGUeSB/view?usp=drivesdk" TargetMode="External"/><Relationship Id="rId2034" Type="http://schemas.openxmlformats.org/officeDocument/2006/relationships/hyperlink" Target="https://drive.google.com/file/d/1L9LW_3qtsmWdH4sqqrerzyIgOD3lnXwe/view?usp=drivesdk" TargetMode="External"/><Relationship Id="rId2035" Type="http://schemas.openxmlformats.org/officeDocument/2006/relationships/hyperlink" Target="https://drive.google.com/file/d/1sGJTYuDx3Si1pqbRAbGxS7CLS7TviwSO/view?usp=drivesdk" TargetMode="External"/><Relationship Id="rId2036" Type="http://schemas.openxmlformats.org/officeDocument/2006/relationships/hyperlink" Target="https://drive.google.com/file/d/10VWcKXtYueUucw2p0aHwZ6T8ki-DiaJV/view?usp=drivesdk" TargetMode="External"/><Relationship Id="rId2037" Type="http://schemas.openxmlformats.org/officeDocument/2006/relationships/hyperlink" Target="https://drive.google.com/file/d/16IrUZnSRqmRPl148FwBh9upjoA4a3O8_/view?usp=drivesdk" TargetMode="External"/><Relationship Id="rId2005" Type="http://schemas.openxmlformats.org/officeDocument/2006/relationships/hyperlink" Target="https://drive.google.com/file/d/1B5agQyMf6SQFLDD0Gnuo8aG60rMCTzwa/view?usp=drivesdk" TargetMode="External"/><Relationship Id="rId2006" Type="http://schemas.openxmlformats.org/officeDocument/2006/relationships/hyperlink" Target="https://drive.google.com/file/d/1vIm9caVPqQxrz-2LiBs6PwdUAFqFeR9j/view?usp=drivesdk" TargetMode="External"/><Relationship Id="rId2007" Type="http://schemas.openxmlformats.org/officeDocument/2006/relationships/hyperlink" Target="https://drive.google.com/file/d/1JubeCy4sPTkvPdUleZcFIUIMKEr2mis5/view?usp=drivesdk" TargetMode="External"/><Relationship Id="rId2008" Type="http://schemas.openxmlformats.org/officeDocument/2006/relationships/hyperlink" Target="https://drive.google.com/file/d/1CHblbJ0CRwqmnZIubHXjVGPTa-W-zIS1/view?usp=drivesdk" TargetMode="External"/><Relationship Id="rId2009" Type="http://schemas.openxmlformats.org/officeDocument/2006/relationships/hyperlink" Target="https://drive.google.com/file/d/1ACMp5FebXWzacMVC2CE_IMDC_pc36yj9/view?usp=drivesdk" TargetMode="External"/><Relationship Id="rId2000" Type="http://schemas.openxmlformats.org/officeDocument/2006/relationships/hyperlink" Target="https://drive.google.com/file/d/1BMVOcw0S0KiKK7RpW3Ogf6mQsWJoxQRE/view?usp=drivesdk" TargetMode="External"/><Relationship Id="rId2001" Type="http://schemas.openxmlformats.org/officeDocument/2006/relationships/hyperlink" Target="https://drive.google.com/file/d/1_a05ddT-HQcMgJWInYQ2YZ52P3KVW5Kz/view?usp=drivesdk" TargetMode="External"/><Relationship Id="rId2002" Type="http://schemas.openxmlformats.org/officeDocument/2006/relationships/hyperlink" Target="https://drive.google.com/file/d/10EjXQw2CaLOUTWCCDfpkYdYoGIw3WG7C/view?usp=drivesdk" TargetMode="External"/><Relationship Id="rId2003" Type="http://schemas.openxmlformats.org/officeDocument/2006/relationships/hyperlink" Target="https://drive.google.com/file/d/1cl0WUhzQRoKf0diPIshdl82DjGo-l6ZE/view?usp=drivesdk" TargetMode="External"/><Relationship Id="rId2004" Type="http://schemas.openxmlformats.org/officeDocument/2006/relationships/hyperlink" Target="https://drive.google.com/file/d/1qTUeDonYtOkdc0KQ6toY8v4KrI65p3F4/view?usp=drivesdk" TargetMode="External"/><Relationship Id="rId2090" Type="http://schemas.openxmlformats.org/officeDocument/2006/relationships/hyperlink" Target="https://drive.google.com/file/d/13xm6je0pO8yGWwuiIaUwCp7gM2kZeWXn/view?usp=drivesdk" TargetMode="External"/><Relationship Id="rId2091" Type="http://schemas.openxmlformats.org/officeDocument/2006/relationships/hyperlink" Target="https://drive.google.com/file/d/1ejbVAZrRNs9U7hLZw8DDdN61xCfE5UKx/view?usp=drivesdk" TargetMode="External"/><Relationship Id="rId2092" Type="http://schemas.openxmlformats.org/officeDocument/2006/relationships/hyperlink" Target="https://drive.google.com/file/d/1TyrYp1ti71ng5bzcRfulzkZ9AUliH6HO/view?usp=drivesdk" TargetMode="External"/><Relationship Id="rId2093" Type="http://schemas.openxmlformats.org/officeDocument/2006/relationships/hyperlink" Target="https://drive.google.com/file/d/1MrgyBIQS0TIS4HL20tNQTKO52h8gV-wg/view?usp=drivesdk" TargetMode="External"/><Relationship Id="rId2094" Type="http://schemas.openxmlformats.org/officeDocument/2006/relationships/hyperlink" Target="https://drive.google.com/file/d/1UneiM9Hh2mQgDGtuPC6KgCib-6h9GshM/view?usp=drivesdk" TargetMode="External"/><Relationship Id="rId2095" Type="http://schemas.openxmlformats.org/officeDocument/2006/relationships/hyperlink" Target="https://drive.google.com/file/d/1iYMjHCGyi_qR4qMCyKHTQrQSTFeolOhJ/view?usp=drivesdk" TargetMode="External"/><Relationship Id="rId2096" Type="http://schemas.openxmlformats.org/officeDocument/2006/relationships/hyperlink" Target="https://drive.google.com/file/d/1lesmlKrSudqOxsO9PEL258oMpjKiohyj/view?usp=drivesdk" TargetMode="External"/><Relationship Id="rId2097" Type="http://schemas.openxmlformats.org/officeDocument/2006/relationships/hyperlink" Target="https://drive.google.com/file/d/1WE6rcitHuHuax_Um643aDwLz1dpPytdb/view?usp=drivesdk" TargetMode="External"/><Relationship Id="rId2098" Type="http://schemas.openxmlformats.org/officeDocument/2006/relationships/hyperlink" Target="https://drive.google.com/file/d/18I4GKCXz7iQ1ZGah5Uu9o_vQleDuskxl/view?usp=drivesdk" TargetMode="External"/><Relationship Id="rId2099" Type="http://schemas.openxmlformats.org/officeDocument/2006/relationships/hyperlink" Target="https://drive.google.com/file/d/1JqBrtEVYNmfxdNKsuSozXIKT7xScc-Mp/view?usp=drivesdk" TargetMode="External"/><Relationship Id="rId2060" Type="http://schemas.openxmlformats.org/officeDocument/2006/relationships/hyperlink" Target="https://drive.google.com/file/d/13_OOXeinTXbyBtjeI8LMwgP15xjk4Kcx/view?usp=drivesdk" TargetMode="External"/><Relationship Id="rId2061" Type="http://schemas.openxmlformats.org/officeDocument/2006/relationships/hyperlink" Target="https://drive.google.com/file/d/1eP8FjrxXCxFNZuF2AZ9FsWbUDxI9tFSc/view?usp=drivesdk" TargetMode="External"/><Relationship Id="rId2062" Type="http://schemas.openxmlformats.org/officeDocument/2006/relationships/hyperlink" Target="https://drive.google.com/file/d/1AlrKt-6vrPNIt98ut19OLxDmXIk5m7jr/view?usp=drivesdk" TargetMode="External"/><Relationship Id="rId2063" Type="http://schemas.openxmlformats.org/officeDocument/2006/relationships/hyperlink" Target="https://drive.google.com/file/d/1mmZWTLyEKGuTud9wEOZ20kqBtSoc6ech/view?usp=drivesdk" TargetMode="External"/><Relationship Id="rId2064" Type="http://schemas.openxmlformats.org/officeDocument/2006/relationships/hyperlink" Target="https://drive.google.com/file/d/1jCnapzq-QAPpUq20U5N8Z4j8gUZcqMkC/view?usp=drivesdk" TargetMode="External"/><Relationship Id="rId2065" Type="http://schemas.openxmlformats.org/officeDocument/2006/relationships/hyperlink" Target="https://drive.google.com/file/d/112M3PwvoexIvVU5om-YLFrZqK-jH3Uvt/view?usp=drivesdk" TargetMode="External"/><Relationship Id="rId2066" Type="http://schemas.openxmlformats.org/officeDocument/2006/relationships/hyperlink" Target="https://drive.google.com/file/d/1j31p5eGYqpofK6mzwfzcQYnK6h8IFuUZ/view?usp=drivesdk" TargetMode="External"/><Relationship Id="rId2067" Type="http://schemas.openxmlformats.org/officeDocument/2006/relationships/hyperlink" Target="https://drive.google.com/file/d/19S0AFJrOvPRVzVIBKJ4b0Yee9vvJmR-L/view?usp=drivesdk" TargetMode="External"/><Relationship Id="rId2068" Type="http://schemas.openxmlformats.org/officeDocument/2006/relationships/hyperlink" Target="https://drive.google.com/file/d/1OkD9YD_R7nXkc5epY_8G66BwFZz2WwkB/view?usp=drivesdk" TargetMode="External"/><Relationship Id="rId2069" Type="http://schemas.openxmlformats.org/officeDocument/2006/relationships/hyperlink" Target="https://drive.google.com/file/d/1VrjdNjPffxE87oMrVN71mnT_2ChykLXj/view?usp=drivesdk" TargetMode="External"/><Relationship Id="rId2050" Type="http://schemas.openxmlformats.org/officeDocument/2006/relationships/hyperlink" Target="https://drive.google.com/file/d/1cICb6DgoyJNMP06xBAcb0sceJ-csXSJn/view?usp=drivesdk" TargetMode="External"/><Relationship Id="rId2051" Type="http://schemas.openxmlformats.org/officeDocument/2006/relationships/hyperlink" Target="https://drive.google.com/file/d/1yCaEx0WJX6sIJFQEthk4OYDIR7TY_ty7/view?usp=drivesdk" TargetMode="External"/><Relationship Id="rId2052" Type="http://schemas.openxmlformats.org/officeDocument/2006/relationships/hyperlink" Target="https://drive.google.com/file/d/1kqYT7R49lGdz5EeOFpWhCNxGPnXUjz_W/view?usp=drivesdk" TargetMode="External"/><Relationship Id="rId2053" Type="http://schemas.openxmlformats.org/officeDocument/2006/relationships/hyperlink" Target="https://drive.google.com/file/d/15PYweRxLiVls29e2DUUU3BcI3Im7Vjw-/view?usp=drivesdk" TargetMode="External"/><Relationship Id="rId2054" Type="http://schemas.openxmlformats.org/officeDocument/2006/relationships/hyperlink" Target="https://drive.google.com/file/d/1rEo6yyah8Pk9Z8cJICfr1YQJYw37LTRk/view?usp=drivesdk" TargetMode="External"/><Relationship Id="rId2055" Type="http://schemas.openxmlformats.org/officeDocument/2006/relationships/hyperlink" Target="https://drive.google.com/file/d/19lsJ03XeInr_s8L-wCm30dkUIYoL2yQP/view?usp=drivesdk" TargetMode="External"/><Relationship Id="rId2056" Type="http://schemas.openxmlformats.org/officeDocument/2006/relationships/hyperlink" Target="https://drive.google.com/file/d/1Lz4H7YXDs4zfx4AGX-ZBtmPVRMX_qmCo/view?usp=drivesdk" TargetMode="External"/><Relationship Id="rId2057" Type="http://schemas.openxmlformats.org/officeDocument/2006/relationships/hyperlink" Target="https://drive.google.com/file/d/1R2E_eOgLqXClL71CcHo2by6LFM-32Ah4/view?usp=drivesdk" TargetMode="External"/><Relationship Id="rId2058" Type="http://schemas.openxmlformats.org/officeDocument/2006/relationships/hyperlink" Target="https://drive.google.com/file/d/1Xu08Dzmsf2knXt1Tr4A3MH-K1dGBK2ef/view?usp=drivesdk" TargetMode="External"/><Relationship Id="rId2059" Type="http://schemas.openxmlformats.org/officeDocument/2006/relationships/hyperlink" Target="https://drive.google.com/file/d/1dJEoeC2sO1hcSPoO6rGeMFyW4RMChpDf/view?usp=drivesdk" TargetMode="External"/><Relationship Id="rId2080" Type="http://schemas.openxmlformats.org/officeDocument/2006/relationships/hyperlink" Target="https://drive.google.com/file/d/1wC6hmDqeK-gUbV6-RnvbuEXLzA6f165b/view?usp=drivesdk" TargetMode="External"/><Relationship Id="rId2081" Type="http://schemas.openxmlformats.org/officeDocument/2006/relationships/hyperlink" Target="https://drive.google.com/file/d/1GyruqO0cpkdI3O7yM-0ojaynkZdPhD8f/view?usp=drivesdk" TargetMode="External"/><Relationship Id="rId2082" Type="http://schemas.openxmlformats.org/officeDocument/2006/relationships/hyperlink" Target="https://drive.google.com/file/d/1HERXb2N_a5jLLgv56AojRw2F2xWBvBT6/view?usp=drivesdk" TargetMode="External"/><Relationship Id="rId2083" Type="http://schemas.openxmlformats.org/officeDocument/2006/relationships/hyperlink" Target="https://drive.google.com/file/d/1JZ6sHAeFOCKjWmRzG8csPe2BVI9T2sAX/view?usp=drivesdk" TargetMode="External"/><Relationship Id="rId2084" Type="http://schemas.openxmlformats.org/officeDocument/2006/relationships/hyperlink" Target="https://drive.google.com/file/d/1R2mJn-2V-i93uQDQiKe62-TiQkj_wgIb/view?usp=drivesdk" TargetMode="External"/><Relationship Id="rId2085" Type="http://schemas.openxmlformats.org/officeDocument/2006/relationships/hyperlink" Target="https://drive.google.com/file/d/1HQPmB41WbaTyXFvnJ8mnGsLuDGkhxRck/view?usp=drivesdk" TargetMode="External"/><Relationship Id="rId2086" Type="http://schemas.openxmlformats.org/officeDocument/2006/relationships/hyperlink" Target="https://drive.google.com/file/d/1hh5JM3MpwOricWlsjsZ2ElQC1q48Os6p/view?usp=drivesdk" TargetMode="External"/><Relationship Id="rId2087" Type="http://schemas.openxmlformats.org/officeDocument/2006/relationships/hyperlink" Target="https://drive.google.com/file/d/1STgggQZbZiurUWzcSPDFk7YzYQ2H97cr/view?usp=drivesdk" TargetMode="External"/><Relationship Id="rId2088" Type="http://schemas.openxmlformats.org/officeDocument/2006/relationships/hyperlink" Target="https://drive.google.com/file/d/1T7-0LDRubgbikCryU5hcdvddlaMG6sJW/view?usp=drivesdk" TargetMode="External"/><Relationship Id="rId2089" Type="http://schemas.openxmlformats.org/officeDocument/2006/relationships/hyperlink" Target="https://drive.google.com/file/d/1upwUH1hirD2S3yVqnKYwxjtHhrqe9Vu9/view?usp=drivesdk" TargetMode="External"/><Relationship Id="rId2070" Type="http://schemas.openxmlformats.org/officeDocument/2006/relationships/hyperlink" Target="https://drive.google.com/file/d/1gBw8xHb0BIuGYBToSDoB6if9f80z8Oun/view?usp=drivesdk" TargetMode="External"/><Relationship Id="rId2071" Type="http://schemas.openxmlformats.org/officeDocument/2006/relationships/hyperlink" Target="https://drive.google.com/file/d/1UpcmFk2477Ef3bmyX8lNk69fADFRKC8s/view?usp=drivesdk" TargetMode="External"/><Relationship Id="rId2072" Type="http://schemas.openxmlformats.org/officeDocument/2006/relationships/hyperlink" Target="https://drive.google.com/file/d/1QF3mZvfQq-RLgcRo60HPyMVX0a2-STTy/view?usp=drivesdk" TargetMode="External"/><Relationship Id="rId2073" Type="http://schemas.openxmlformats.org/officeDocument/2006/relationships/hyperlink" Target="https://drive.google.com/file/d/138XS91MSmV4HvQ_ILwcte13bO5TzWXJk/view?usp=drivesdk" TargetMode="External"/><Relationship Id="rId2074" Type="http://schemas.openxmlformats.org/officeDocument/2006/relationships/hyperlink" Target="https://drive.google.com/file/d/16B-MrkrfxLjSLBjtR0-1op2NroIuT4XN/view?usp=drivesdk" TargetMode="External"/><Relationship Id="rId2075" Type="http://schemas.openxmlformats.org/officeDocument/2006/relationships/hyperlink" Target="https://drive.google.com/file/d/1y3-9cUwoXGoDBFyV_Bcw6Wa_zhUjghb4/view?usp=drivesdk" TargetMode="External"/><Relationship Id="rId2076" Type="http://schemas.openxmlformats.org/officeDocument/2006/relationships/hyperlink" Target="https://drive.google.com/file/d/1SkwCxQuraO_wmuOhfsF4q3LHMXUOYKlk/view?usp=drivesdk" TargetMode="External"/><Relationship Id="rId2077" Type="http://schemas.openxmlformats.org/officeDocument/2006/relationships/hyperlink" Target="https://drive.google.com/file/d/1aCvB2CWKpbwR4OSf6_71Ceplsun3Kkrr/view?usp=drivesdk" TargetMode="External"/><Relationship Id="rId2078" Type="http://schemas.openxmlformats.org/officeDocument/2006/relationships/hyperlink" Target="https://drive.google.com/file/d/1MdAdjfJkMNEZbameoY8zuhdEHgaQNU6z/view?usp=drivesdk" TargetMode="External"/><Relationship Id="rId2079" Type="http://schemas.openxmlformats.org/officeDocument/2006/relationships/hyperlink" Target="https://drive.google.com/file/d/1v5IdnspGr5YzfqNLSmGydOuJ5huK2NJ8/view?usp=drivesdk" TargetMode="External"/><Relationship Id="rId2148" Type="http://schemas.openxmlformats.org/officeDocument/2006/relationships/hyperlink" Target="https://drive.google.com/file/d/1MY7bc9sRJu7tvCUd3AriTsWytUMpX79p/view?usp=drivesdk" TargetMode="External"/><Relationship Id="rId2149" Type="http://schemas.openxmlformats.org/officeDocument/2006/relationships/hyperlink" Target="https://drive.google.com/file/d/1qLl1gx8Gv4HU3PHGwU6ivRL86FODleoo/view?usp=drivesdk" TargetMode="External"/><Relationship Id="rId2140" Type="http://schemas.openxmlformats.org/officeDocument/2006/relationships/hyperlink" Target="https://drive.google.com/file/d/1hIob9XTmgd_VeMxLzCETRURJiQIvi4lz/view?usp=drivesdk" TargetMode="External"/><Relationship Id="rId2141" Type="http://schemas.openxmlformats.org/officeDocument/2006/relationships/hyperlink" Target="https://drive.google.com/file/d/1iVTlZk8FEhtulcoz3Tsf__HgefsaHgSq/view?usp=drivesdk" TargetMode="External"/><Relationship Id="rId2142" Type="http://schemas.openxmlformats.org/officeDocument/2006/relationships/hyperlink" Target="https://drive.google.com/file/d/1dund-meAKwWhzi8L6UvCbkji-uZiLFuH/view?usp=drivesdk" TargetMode="External"/><Relationship Id="rId2143" Type="http://schemas.openxmlformats.org/officeDocument/2006/relationships/hyperlink" Target="https://drive.google.com/file/d/1SqR06cJ8f9sS9V3zyAk1WG11QZnducxL/view?usp=drivesdk" TargetMode="External"/><Relationship Id="rId2144" Type="http://schemas.openxmlformats.org/officeDocument/2006/relationships/hyperlink" Target="https://drive.google.com/file/d/1FJqGMAomuNVgz83uGyq7ggE8-MTb7VQY/view?usp=drivesdk" TargetMode="External"/><Relationship Id="rId2145" Type="http://schemas.openxmlformats.org/officeDocument/2006/relationships/hyperlink" Target="https://drive.google.com/file/d/1xKRxX49y_CaDI7LOdn-j1kaGne-Ssqsb/view?usp=drivesdk" TargetMode="External"/><Relationship Id="rId2146" Type="http://schemas.openxmlformats.org/officeDocument/2006/relationships/hyperlink" Target="https://drive.google.com/file/d/12nJkfkWV8d_eZBg6hWbwmIGc54DTLQRj/view?usp=drivesdk" TargetMode="External"/><Relationship Id="rId2147" Type="http://schemas.openxmlformats.org/officeDocument/2006/relationships/hyperlink" Target="https://drive.google.com/file/d/1xwXdnZnLmFOcATnKw5kDnPPHCVjuU-F6/view?usp=drivesdk" TargetMode="External"/><Relationship Id="rId2137" Type="http://schemas.openxmlformats.org/officeDocument/2006/relationships/hyperlink" Target="https://drive.google.com/file/d/16imI7PCFUV1J-a1Nppilfg-f_yET-3o0/view?usp=drivesdk" TargetMode="External"/><Relationship Id="rId2138" Type="http://schemas.openxmlformats.org/officeDocument/2006/relationships/hyperlink" Target="https://drive.google.com/file/d/15W814H1ZIFtyebY6c5oHcK273NGsPzuk/view?usp=drivesdk" TargetMode="External"/><Relationship Id="rId2139" Type="http://schemas.openxmlformats.org/officeDocument/2006/relationships/hyperlink" Target="https://drive.google.com/file/d/1IuRD82p0p2rCaymtJMEAP4Ps3gKXhLhj/view?usp=drivesdk" TargetMode="External"/><Relationship Id="rId2130" Type="http://schemas.openxmlformats.org/officeDocument/2006/relationships/hyperlink" Target="https://drive.google.com/file/d/1V8eALJACOU6lSYoYPVvjL_VAdJhaUqm_/view?usp=drivesdk" TargetMode="External"/><Relationship Id="rId2131" Type="http://schemas.openxmlformats.org/officeDocument/2006/relationships/hyperlink" Target="https://drive.google.com/file/d/1zTvtMBIfuva6CBQO2yTGXSoE2GDouDeX/view?usp=drivesdk" TargetMode="External"/><Relationship Id="rId2132" Type="http://schemas.openxmlformats.org/officeDocument/2006/relationships/hyperlink" Target="https://drive.google.com/file/d/1jlfo-2Cx8YDizwS3UOCy8wW6h-Dy6x_m/view?usp=drivesdk" TargetMode="External"/><Relationship Id="rId2133" Type="http://schemas.openxmlformats.org/officeDocument/2006/relationships/hyperlink" Target="https://drive.google.com/file/d/1ATWy8SfL-2bfEVPkTxvUXmft2nAd1dLd/view?usp=drivesdk" TargetMode="External"/><Relationship Id="rId2134" Type="http://schemas.openxmlformats.org/officeDocument/2006/relationships/hyperlink" Target="https://drive.google.com/file/d/1rJ8Ej4E4a9lCIUtpLztKS389LAZNuvXo/view?usp=drivesdk" TargetMode="External"/><Relationship Id="rId2135" Type="http://schemas.openxmlformats.org/officeDocument/2006/relationships/hyperlink" Target="https://drive.google.com/file/d/1yXwkR8hkSY8HqcWvB0FmhhrP7mNGjkoL/view?usp=drivesdk" TargetMode="External"/><Relationship Id="rId2136" Type="http://schemas.openxmlformats.org/officeDocument/2006/relationships/hyperlink" Target="https://drive.google.com/file/d/1YG1IJpG2T4W9liqWlBUAnogxWS08iute/view?usp=drivesdk" TargetMode="External"/><Relationship Id="rId2160" Type="http://schemas.openxmlformats.org/officeDocument/2006/relationships/hyperlink" Target="https://drive.google.com/file/d/1TsmmVIa2qLyusvGvViJIF-TSD3jNG5WO/view?usp=drivesdk" TargetMode="External"/><Relationship Id="rId2161" Type="http://schemas.openxmlformats.org/officeDocument/2006/relationships/hyperlink" Target="https://drive.google.com/file/d/1OP37KpGEpGQb9vmVsCpdB17C_mnlJ7rE/view?usp=drivesdk" TargetMode="External"/><Relationship Id="rId2162" Type="http://schemas.openxmlformats.org/officeDocument/2006/relationships/hyperlink" Target="https://drive.google.com/file/d/17NR8hS4GDk15Mxe6C33-pivqkpTZ1iU8/view?usp=drivesdk" TargetMode="External"/><Relationship Id="rId2163" Type="http://schemas.openxmlformats.org/officeDocument/2006/relationships/hyperlink" Target="https://drive.google.com/file/d/1CUz3x1qseR4RcBuYFqMHCmbHSwyfEI9-/view?usp=drivesdk" TargetMode="External"/><Relationship Id="rId2164" Type="http://schemas.openxmlformats.org/officeDocument/2006/relationships/hyperlink" Target="https://drive.google.com/file/d/1A7khHt5NuldLI__mqw5kTHbil5gMSPko/view?usp=drivesdk" TargetMode="External"/><Relationship Id="rId2165" Type="http://schemas.openxmlformats.org/officeDocument/2006/relationships/hyperlink" Target="https://drive.google.com/file/d/18sRS__j3DDipG7Z2YKwezHl_poIhAMo6/view?usp=drivesdk" TargetMode="External"/><Relationship Id="rId2166" Type="http://schemas.openxmlformats.org/officeDocument/2006/relationships/hyperlink" Target="https://drive.google.com/file/d/1gSfBlzRs2ctzCaoZ8MUxkrH2A9KD_qWf/view?usp=drivesdk" TargetMode="External"/><Relationship Id="rId2167" Type="http://schemas.openxmlformats.org/officeDocument/2006/relationships/hyperlink" Target="https://drive.google.com/file/d/1OoW2fGVF4nGXTJFJ0lJhpPy-yNrcms_L/view?usp=drivesdk" TargetMode="External"/><Relationship Id="rId2168" Type="http://schemas.openxmlformats.org/officeDocument/2006/relationships/hyperlink" Target="https://drive.google.com/file/d/1My3x_WkZk0SEwSMQNTIPsc9zMAmhECvj/view?usp=drivesdk" TargetMode="External"/><Relationship Id="rId2169" Type="http://schemas.openxmlformats.org/officeDocument/2006/relationships/hyperlink" Target="https://drive.google.com/file/d/13Ga6HxuMguLJANsM-32Fkwh2qJ6eTkdI/view?usp=drivesdk" TargetMode="External"/><Relationship Id="rId2159" Type="http://schemas.openxmlformats.org/officeDocument/2006/relationships/hyperlink" Target="https://drive.google.com/file/d/18QEU0KXihry-mMWsE12JsrOg7kcIbSU-/view?usp=drivesdk" TargetMode="External"/><Relationship Id="rId2150" Type="http://schemas.openxmlformats.org/officeDocument/2006/relationships/hyperlink" Target="https://drive.google.com/file/d/1QPVbul5P8rF8n5qJvfUD93WwzFfhtnkp/view?usp=drivesdk" TargetMode="External"/><Relationship Id="rId2151" Type="http://schemas.openxmlformats.org/officeDocument/2006/relationships/hyperlink" Target="https://drive.google.com/file/d/1GK6JERlD-1AyvXxAVRXX4BceuXDR4-Oy/view?usp=drivesdk" TargetMode="External"/><Relationship Id="rId2152" Type="http://schemas.openxmlformats.org/officeDocument/2006/relationships/hyperlink" Target="https://drive.google.com/file/d/1qy8QFRYT-LF8oepfcMfFduudlwiprg3y/view?usp=drivesdk" TargetMode="External"/><Relationship Id="rId2153" Type="http://schemas.openxmlformats.org/officeDocument/2006/relationships/hyperlink" Target="https://drive.google.com/file/d/1kcfB-9w1vgRjokv0Vl4_6bqhWeD9gBrc/view?usp=drivesdk" TargetMode="External"/><Relationship Id="rId2154" Type="http://schemas.openxmlformats.org/officeDocument/2006/relationships/hyperlink" Target="https://drive.google.com/file/d/10K20Ht5LJQULpCaJhJDHK4wZcPIvlmTC/view?usp=drivesdk" TargetMode="External"/><Relationship Id="rId2155" Type="http://schemas.openxmlformats.org/officeDocument/2006/relationships/hyperlink" Target="https://drive.google.com/file/d/1cmQiOinxnjcuJTWzeG40lOT0f2Qt5Owx/view?usp=drivesdk" TargetMode="External"/><Relationship Id="rId2156" Type="http://schemas.openxmlformats.org/officeDocument/2006/relationships/hyperlink" Target="https://drive.google.com/file/d/1F07Tp5uq5Dfcy3jA_IS7CtunfgzRRebH/view?usp=drivesdk" TargetMode="External"/><Relationship Id="rId2157" Type="http://schemas.openxmlformats.org/officeDocument/2006/relationships/hyperlink" Target="https://drive.google.com/file/d/12Xz5fNfaD5hrM7fvz3SbjSJPFxVr_OsZ/view?usp=drivesdk" TargetMode="External"/><Relationship Id="rId2158" Type="http://schemas.openxmlformats.org/officeDocument/2006/relationships/hyperlink" Target="https://drive.google.com/file/d/1XVm6O79wvP37Bifs6GbJGLM2UAXCxNWf/view?usp=drivesdk" TargetMode="External"/><Relationship Id="rId2104" Type="http://schemas.openxmlformats.org/officeDocument/2006/relationships/hyperlink" Target="https://drive.google.com/file/d/1Ps0UkrO2kUWyO3HX6Uw45k5SwhQQAXch/view?usp=drivesdk" TargetMode="External"/><Relationship Id="rId2105" Type="http://schemas.openxmlformats.org/officeDocument/2006/relationships/hyperlink" Target="https://drive.google.com/file/d/1xLBmZ9-2nOTJ7_RMl_Fhh2lOeJVWjHXh/view?usp=drivesdk" TargetMode="External"/><Relationship Id="rId2106" Type="http://schemas.openxmlformats.org/officeDocument/2006/relationships/hyperlink" Target="https://drive.google.com/file/d/1h8cJQ9QkLJR5jHxVPa7Urg8l5lVOlcFq/view?usp=drivesdk" TargetMode="External"/><Relationship Id="rId2107" Type="http://schemas.openxmlformats.org/officeDocument/2006/relationships/hyperlink" Target="https://drive.google.com/file/d/1hmiOqSdfi01fAIifLnjU1G7sS6VEwoXu/view?usp=drivesdk" TargetMode="External"/><Relationship Id="rId2108" Type="http://schemas.openxmlformats.org/officeDocument/2006/relationships/hyperlink" Target="https://drive.google.com/file/d/1sjD7044Jnm_lMXBJ2JEfwXqOjPQQuNPo/view?usp=drivesdk" TargetMode="External"/><Relationship Id="rId2109" Type="http://schemas.openxmlformats.org/officeDocument/2006/relationships/hyperlink" Target="https://drive.google.com/file/d/1KJ8bAizvFaK3a6d3mo7J8ValMTm3cyB4/view?usp=drivesdk" TargetMode="External"/><Relationship Id="rId2100" Type="http://schemas.openxmlformats.org/officeDocument/2006/relationships/hyperlink" Target="https://drive.google.com/file/d/12hTI2KcPpUHOWLxuYkq9m-l9zWGa_W2O/view?usp=drivesdk" TargetMode="External"/><Relationship Id="rId2101" Type="http://schemas.openxmlformats.org/officeDocument/2006/relationships/hyperlink" Target="https://drive.google.com/file/d/1w1gq7Ir__MHKDNREaAbAxqUm65fBH5Tt/view?usp=drivesdk" TargetMode="External"/><Relationship Id="rId2102" Type="http://schemas.openxmlformats.org/officeDocument/2006/relationships/hyperlink" Target="https://drive.google.com/file/d/1Tpxw4RVUlniyHg_ydjzfHJz7D54K69TQ/view?usp=drivesdk" TargetMode="External"/><Relationship Id="rId2103" Type="http://schemas.openxmlformats.org/officeDocument/2006/relationships/hyperlink" Target="https://drive.google.com/file/d/1uHtaa7RZ3-WRRt2oSOsq9RiV4SI_pwZR/view?usp=drivesdk" TargetMode="External"/><Relationship Id="rId2126" Type="http://schemas.openxmlformats.org/officeDocument/2006/relationships/hyperlink" Target="https://drive.google.com/file/d/1a2SMVHJGvWYVKJSLhvADpZlAUTutMojU/view?usp=drivesdk" TargetMode="External"/><Relationship Id="rId2127" Type="http://schemas.openxmlformats.org/officeDocument/2006/relationships/hyperlink" Target="https://drive.google.com/file/d/19m_xh7OebdBn9WJ6Fb8lv6aAODzZC4pD/view?usp=drivesdk" TargetMode="External"/><Relationship Id="rId2128" Type="http://schemas.openxmlformats.org/officeDocument/2006/relationships/hyperlink" Target="https://drive.google.com/file/d/1D0Fgtl0cNVY17xwmRsnc-RgIkxK4bmAG/view?usp=drivesdk" TargetMode="External"/><Relationship Id="rId2129" Type="http://schemas.openxmlformats.org/officeDocument/2006/relationships/hyperlink" Target="https://drive.google.com/file/d/1gW4r5-02VJ4MdIuE8CqcW0GewozK_DfD/view?usp=drivesdk" TargetMode="External"/><Relationship Id="rId2120" Type="http://schemas.openxmlformats.org/officeDocument/2006/relationships/hyperlink" Target="https://drive.google.com/file/d/19o3HZoeRNTeMQOBBHoYD_Sz5fuWst4B6/view?usp=drivesdk" TargetMode="External"/><Relationship Id="rId2121" Type="http://schemas.openxmlformats.org/officeDocument/2006/relationships/hyperlink" Target="https://drive.google.com/file/d/1Or-51F5C-7AVmz90gWLgbAuWxhAoSLf2/view?usp=drivesdk" TargetMode="External"/><Relationship Id="rId2122" Type="http://schemas.openxmlformats.org/officeDocument/2006/relationships/hyperlink" Target="https://drive.google.com/file/d/1B9aM2VxtezW_BJWMHy572jYNj9agHdW7/view?usp=drivesdk" TargetMode="External"/><Relationship Id="rId2123" Type="http://schemas.openxmlformats.org/officeDocument/2006/relationships/hyperlink" Target="https://drive.google.com/file/d/1dcGaJRYP09L-IMP1tFkzDWtLoCWDE7Xq/view?usp=drivesdk" TargetMode="External"/><Relationship Id="rId2124" Type="http://schemas.openxmlformats.org/officeDocument/2006/relationships/hyperlink" Target="https://drive.google.com/file/d/14Uop2_yoBIgAodj-2Xm4vSlihVrdKFsT/view?usp=drivesdk" TargetMode="External"/><Relationship Id="rId2125" Type="http://schemas.openxmlformats.org/officeDocument/2006/relationships/hyperlink" Target="https://drive.google.com/file/d/10ppAIQ67bq9QUPV1B3xI6wJAZ3mLy8mF/view?usp=drivesdk" TargetMode="External"/><Relationship Id="rId2115" Type="http://schemas.openxmlformats.org/officeDocument/2006/relationships/hyperlink" Target="https://drive.google.com/file/d/1W26yOZlkP1LfXZ7S5b70mXlzfjtw14Mf/view?usp=drivesdk" TargetMode="External"/><Relationship Id="rId2116" Type="http://schemas.openxmlformats.org/officeDocument/2006/relationships/hyperlink" Target="https://drive.google.com/file/d/1IvJteFCj802Gqes1yB-UDGGW5xPQP-Pp/view?usp=drivesdk" TargetMode="External"/><Relationship Id="rId2117" Type="http://schemas.openxmlformats.org/officeDocument/2006/relationships/hyperlink" Target="https://drive.google.com/file/d/1SNNeXu1cfYWUI45o77ZSA3AQHtBgUPJt/view?usp=drivesdk" TargetMode="External"/><Relationship Id="rId2118" Type="http://schemas.openxmlformats.org/officeDocument/2006/relationships/hyperlink" Target="https://drive.google.com/file/d/1HuW25CSlisyv05Mdbz9RRXMcPs6svHD2/view?usp=drivesdk" TargetMode="External"/><Relationship Id="rId2119" Type="http://schemas.openxmlformats.org/officeDocument/2006/relationships/hyperlink" Target="https://drive.google.com/file/d/1nSDY3vmTiatq9jM_8Zrs2C1LkUU3DxFY/view?usp=drivesdk" TargetMode="External"/><Relationship Id="rId2110" Type="http://schemas.openxmlformats.org/officeDocument/2006/relationships/hyperlink" Target="https://drive.google.com/file/d/1N8YO0cEF647J8Ok0YdTKC1B0xBbRgtQj/view?usp=drivesdk" TargetMode="External"/><Relationship Id="rId2111" Type="http://schemas.openxmlformats.org/officeDocument/2006/relationships/hyperlink" Target="https://drive.google.com/file/d/1tlwBK9Yt5v4S-eFZVB-9GgU2vbhp-sn7/view?usp=drivesdk" TargetMode="External"/><Relationship Id="rId2112" Type="http://schemas.openxmlformats.org/officeDocument/2006/relationships/hyperlink" Target="https://drive.google.com/file/d/1k4UmjVD2Xim7Z-oFTqGjUqxHenChishs/view?usp=drivesdk" TargetMode="External"/><Relationship Id="rId2113" Type="http://schemas.openxmlformats.org/officeDocument/2006/relationships/hyperlink" Target="https://drive.google.com/file/d/19JqWc4tN0IRs5xE7sZbD2DCbSisSzuJ7/view?usp=drivesdk" TargetMode="External"/><Relationship Id="rId2114" Type="http://schemas.openxmlformats.org/officeDocument/2006/relationships/hyperlink" Target="https://drive.google.com/file/d/1neKpLk8yv-9ZY32FpzS7-iEsWf0n52wu/view?usp=drivesdk" TargetMode="External"/><Relationship Id="rId1730" Type="http://schemas.openxmlformats.org/officeDocument/2006/relationships/hyperlink" Target="https://drive.google.com/file/d/1n7EKSE8lYGjvzp0z6kN9IEOcXP6E0HCq/view?usp=drivesdk" TargetMode="External"/><Relationship Id="rId1731" Type="http://schemas.openxmlformats.org/officeDocument/2006/relationships/hyperlink" Target="https://drive.google.com/file/d/1HGfyeedXg46Z7qVOAd_Pr5x9fA2PO1Mw/view?usp=drivesdk" TargetMode="External"/><Relationship Id="rId1732" Type="http://schemas.openxmlformats.org/officeDocument/2006/relationships/hyperlink" Target="https://drive.google.com/file/d/1Pjd9AkzTQSOIrJ2sXp8SYddZProf4RNJ/view?usp=drivesdk" TargetMode="External"/><Relationship Id="rId1733" Type="http://schemas.openxmlformats.org/officeDocument/2006/relationships/hyperlink" Target="https://drive.google.com/file/d/1UOO2TvFZMZThTP_tjxh1kY0-Rtm1fdxF/view?usp=drivesdk" TargetMode="External"/><Relationship Id="rId1734" Type="http://schemas.openxmlformats.org/officeDocument/2006/relationships/hyperlink" Target="https://drive.google.com/file/d/1eHV45DbhCX4WAkxO8kQWNR2boRncmu8M/view?usp=drivesdk" TargetMode="External"/><Relationship Id="rId1735" Type="http://schemas.openxmlformats.org/officeDocument/2006/relationships/hyperlink" Target="https://drive.google.com/file/d/1BofehexRCdKsVEC4bvHspfeCZBopa5-V/view?usp=drivesdk" TargetMode="External"/><Relationship Id="rId1736" Type="http://schemas.openxmlformats.org/officeDocument/2006/relationships/hyperlink" Target="https://drive.google.com/file/d/11eaurBWHHAj1XSGATOAKgOcFpllIQVGA/view?usp=drivesdk" TargetMode="External"/><Relationship Id="rId1737" Type="http://schemas.openxmlformats.org/officeDocument/2006/relationships/hyperlink" Target="https://drive.google.com/file/d/1zTuH8CrOybABHRlxdynLg9N33I2UNrYw/view?usp=drivesdk" TargetMode="External"/><Relationship Id="rId1738" Type="http://schemas.openxmlformats.org/officeDocument/2006/relationships/hyperlink" Target="https://drive.google.com/file/d/1cWHKiCwBwEudmLkgS3cT6rQwFMdzA09f/view?usp=drivesdk" TargetMode="External"/><Relationship Id="rId1739" Type="http://schemas.openxmlformats.org/officeDocument/2006/relationships/hyperlink" Target="https://drive.google.com/file/d/1BNpsLEvZk04wWsPmKUjVUnujzHTk7TQW/view?usp=drivesdk" TargetMode="External"/><Relationship Id="rId1720" Type="http://schemas.openxmlformats.org/officeDocument/2006/relationships/hyperlink" Target="https://drive.google.com/file/d/1ClbRYwKy5rPhHCEj83jMAFJQqFDhLhCf/view?usp=drivesdk" TargetMode="External"/><Relationship Id="rId1721" Type="http://schemas.openxmlformats.org/officeDocument/2006/relationships/hyperlink" Target="https://drive.google.com/file/d/1KLQQqisDyDP328-KGogeLcQ_dvFq4hh6/view?usp=drivesdk" TargetMode="External"/><Relationship Id="rId1722" Type="http://schemas.openxmlformats.org/officeDocument/2006/relationships/hyperlink" Target="https://drive.google.com/file/d/1ypzZuFBokyQySER7GZtfp8YneTMDacpv/view?usp=drivesdk" TargetMode="External"/><Relationship Id="rId1723" Type="http://schemas.openxmlformats.org/officeDocument/2006/relationships/hyperlink" Target="https://drive.google.com/file/d/1Ee0nEyNsn5W4IT64mwyl1aKGrRMe1W5m/view?usp=drivesdk" TargetMode="External"/><Relationship Id="rId1724" Type="http://schemas.openxmlformats.org/officeDocument/2006/relationships/hyperlink" Target="https://drive.google.com/file/d/1Kg-GJmyMfoFC9KpGlUiVrJhoxC_cmcJc/view?usp=drivesdk" TargetMode="External"/><Relationship Id="rId1725" Type="http://schemas.openxmlformats.org/officeDocument/2006/relationships/hyperlink" Target="https://drive.google.com/file/d/1-jnRLCjfl3DX33kTtu76j2GuxKnLvggn/view?usp=drivesdk" TargetMode="External"/><Relationship Id="rId1726" Type="http://schemas.openxmlformats.org/officeDocument/2006/relationships/hyperlink" Target="https://drive.google.com/file/d/1xFKGPEaB7lTPnMOG5gvIFZFHMoRHxWPk/view?usp=drivesdk" TargetMode="External"/><Relationship Id="rId1727" Type="http://schemas.openxmlformats.org/officeDocument/2006/relationships/hyperlink" Target="https://drive.google.com/file/d/1j1VEfGseGjJmuyt74GyZviiwx2gU2SvV/view?usp=drivesdk" TargetMode="External"/><Relationship Id="rId1728" Type="http://schemas.openxmlformats.org/officeDocument/2006/relationships/hyperlink" Target="https://drive.google.com/file/d/1Bh1NXgCM3ZUNltH-55fkH1fU51v5-sfS/view?usp=drivesdk" TargetMode="External"/><Relationship Id="rId1729" Type="http://schemas.openxmlformats.org/officeDocument/2006/relationships/hyperlink" Target="https://drive.google.com/file/d/1dQr9gOv1xFmyuKhgOSKttGYxnDh22vDz/view?usp=drivesdk" TargetMode="External"/><Relationship Id="rId1752" Type="http://schemas.openxmlformats.org/officeDocument/2006/relationships/hyperlink" Target="https://drive.google.com/file/d/1gxT5bTNo6Xn3rxPi5xo7GnfoFoE3f7hk/view?usp=drivesdk" TargetMode="External"/><Relationship Id="rId1753" Type="http://schemas.openxmlformats.org/officeDocument/2006/relationships/hyperlink" Target="https://drive.google.com/file/d/1Z5z0u3EJ2g9PeYUVi5E9TgNsDc_DPkNd/view?usp=drivesdk" TargetMode="External"/><Relationship Id="rId1754" Type="http://schemas.openxmlformats.org/officeDocument/2006/relationships/hyperlink" Target="https://drive.google.com/file/d/1OQmmios2K-kyFH7ZOnS_cLVoB4cTiEOB/view?usp=drivesdk" TargetMode="External"/><Relationship Id="rId1755" Type="http://schemas.openxmlformats.org/officeDocument/2006/relationships/hyperlink" Target="https://drive.google.com/file/d/1SPfj3xKJFuWSbD3dtYEg-55bpjq6lD9Y/view?usp=drivesdk" TargetMode="External"/><Relationship Id="rId1756" Type="http://schemas.openxmlformats.org/officeDocument/2006/relationships/hyperlink" Target="https://drive.google.com/file/d/1rxgvWYNOd2T5trjhsODuckWy8Osmc2ls/view?usp=drivesdk" TargetMode="External"/><Relationship Id="rId1757" Type="http://schemas.openxmlformats.org/officeDocument/2006/relationships/hyperlink" Target="https://drive.google.com/file/d/1QYaitsjZ3bTuBv0PQNhKQTeEj2dtYqVI/view?usp=drivesdk" TargetMode="External"/><Relationship Id="rId1758" Type="http://schemas.openxmlformats.org/officeDocument/2006/relationships/hyperlink" Target="https://drive.google.com/file/d/1C1mop9Lenfrw9siY9V4fxGgdeEKh_iTc/view?usp=drivesdk" TargetMode="External"/><Relationship Id="rId1759" Type="http://schemas.openxmlformats.org/officeDocument/2006/relationships/hyperlink" Target="https://drive.google.com/file/d/1qFCDWKqw3hgRtQfyf8YBsixPBDBb1MCG/view?usp=drivesdk" TargetMode="External"/><Relationship Id="rId1750" Type="http://schemas.openxmlformats.org/officeDocument/2006/relationships/hyperlink" Target="https://drive.google.com/file/d/1kZsb6_wPQ7l2ynCY3oS0N6mEvEvyzeAo/view?usp=drivesdk" TargetMode="External"/><Relationship Id="rId1751" Type="http://schemas.openxmlformats.org/officeDocument/2006/relationships/hyperlink" Target="https://drive.google.com/file/d/1iT1ODZ7qsdFmH22tU10AFyH2dZXgsW2W/view?usp=drivesdk" TargetMode="External"/><Relationship Id="rId1741" Type="http://schemas.openxmlformats.org/officeDocument/2006/relationships/hyperlink" Target="https://drive.google.com/file/d/1nAqHv-QzHUgl4P6o7bx5tN5ptr0X1P-N/view?usp=drivesdk" TargetMode="External"/><Relationship Id="rId1742" Type="http://schemas.openxmlformats.org/officeDocument/2006/relationships/hyperlink" Target="https://drive.google.com/file/d/13JSearYUC2fM1dJTa6zrkLG31zSwx_ne/view?usp=drivesdk" TargetMode="External"/><Relationship Id="rId1743" Type="http://schemas.openxmlformats.org/officeDocument/2006/relationships/hyperlink" Target="https://drive.google.com/file/d/1LvRV-Ok5U3N1fiMJFLV29j59E3UEj67O/view?usp=drivesdk" TargetMode="External"/><Relationship Id="rId1744" Type="http://schemas.openxmlformats.org/officeDocument/2006/relationships/hyperlink" Target="https://drive.google.com/file/d/1VYiInd5KuB53xMxq4Yk6ChNPhgkboIRR/view?usp=drivesdk" TargetMode="External"/><Relationship Id="rId1745" Type="http://schemas.openxmlformats.org/officeDocument/2006/relationships/hyperlink" Target="https://drive.google.com/file/d/1LQkws5BKmRljVMz6r4DIAgagd-nYVCjO/view?usp=drivesdk" TargetMode="External"/><Relationship Id="rId1746" Type="http://schemas.openxmlformats.org/officeDocument/2006/relationships/hyperlink" Target="https://drive.google.com/file/d/1qY9lciUE04CPvrSiEQX-zuLF4qKpRvey/view?usp=drivesdk" TargetMode="External"/><Relationship Id="rId1747" Type="http://schemas.openxmlformats.org/officeDocument/2006/relationships/hyperlink" Target="https://drive.google.com/file/d/1fYVP5eJsgmGcnTzmtY1QMaWK0MoL7hLj/view?usp=drivesdk" TargetMode="External"/><Relationship Id="rId1748" Type="http://schemas.openxmlformats.org/officeDocument/2006/relationships/hyperlink" Target="https://drive.google.com/file/d/18_eH09DSjzmQLfI_TUohWHO6fWODqubK/view?usp=drivesdk" TargetMode="External"/><Relationship Id="rId1749" Type="http://schemas.openxmlformats.org/officeDocument/2006/relationships/hyperlink" Target="https://drive.google.com/file/d/1MfVl3eCjRlAsv2S7cR1I2kEB2OdqMQDu/view?usp=drivesdk" TargetMode="External"/><Relationship Id="rId1740" Type="http://schemas.openxmlformats.org/officeDocument/2006/relationships/hyperlink" Target="https://drive.google.com/file/d/1IUWvarHlMoJ3wNkgTZyl2qbicW5R6eW_/view?usp=drivesdk" TargetMode="External"/><Relationship Id="rId1710" Type="http://schemas.openxmlformats.org/officeDocument/2006/relationships/hyperlink" Target="https://drive.google.com/file/d/1no8gV0MV0mzVVziwzOT0DJz2VyX7RLZP/view?usp=drivesdk" TargetMode="External"/><Relationship Id="rId1711" Type="http://schemas.openxmlformats.org/officeDocument/2006/relationships/hyperlink" Target="https://drive.google.com/file/d/1HbgzHZA8n9AUWP38nCS9ZTfT5-9Ht8ey/view?usp=drivesdk" TargetMode="External"/><Relationship Id="rId1712" Type="http://schemas.openxmlformats.org/officeDocument/2006/relationships/hyperlink" Target="https://drive.google.com/file/d/1macXzyp17Jzf4L3DCNnt59H1gTZPa1n3/view?usp=drivesdk" TargetMode="External"/><Relationship Id="rId1713" Type="http://schemas.openxmlformats.org/officeDocument/2006/relationships/hyperlink" Target="https://drive.google.com/file/d/1RMEAkfdYQo5YILx7eDPYifRbTknxgsjC/view?usp=drivesdk" TargetMode="External"/><Relationship Id="rId1714" Type="http://schemas.openxmlformats.org/officeDocument/2006/relationships/hyperlink" Target="https://drive.google.com/file/d/1cW6Rs0Jf-D2mcjiRvdfEolOBMTmR2kI8/view?usp=drivesdk" TargetMode="External"/><Relationship Id="rId1715" Type="http://schemas.openxmlformats.org/officeDocument/2006/relationships/hyperlink" Target="https://drive.google.com/file/d/1oql6Oc6afuF_0wI5vhMOz6-IOh7DpqfE/view?usp=drivesdk" TargetMode="External"/><Relationship Id="rId1716" Type="http://schemas.openxmlformats.org/officeDocument/2006/relationships/hyperlink" Target="https://drive.google.com/file/d/1bEHVuSLmlVrsnZMiTOlMITux8yw5c71w/view?usp=drivesdk" TargetMode="External"/><Relationship Id="rId1717" Type="http://schemas.openxmlformats.org/officeDocument/2006/relationships/hyperlink" Target="https://drive.google.com/file/d/1nJzrEfJTTTyCS-uJwxeYOQEww1y0s0UV/view?usp=drivesdk" TargetMode="External"/><Relationship Id="rId1718" Type="http://schemas.openxmlformats.org/officeDocument/2006/relationships/hyperlink" Target="https://drive.google.com/file/d/1BTH_dieWbxZot1vWbrVL0N3l08Hutdhk/view?usp=drivesdk" TargetMode="External"/><Relationship Id="rId1719" Type="http://schemas.openxmlformats.org/officeDocument/2006/relationships/hyperlink" Target="https://drive.google.com/file/d/13ZtCjUJlqWZtdsXewPe2FB17MoGXPOQS/view?usp=drivesdk" TargetMode="External"/><Relationship Id="rId1700" Type="http://schemas.openxmlformats.org/officeDocument/2006/relationships/hyperlink" Target="https://drive.google.com/file/d/1lqkBXrKTNAD9I-ZLyFKw7e5XJNVXgJgI/view?usp=drivesdk" TargetMode="External"/><Relationship Id="rId1701" Type="http://schemas.openxmlformats.org/officeDocument/2006/relationships/hyperlink" Target="https://drive.google.com/file/d/10KN4dzSL_mxkNisH6zastM758rjT_174/view?usp=drivesdk" TargetMode="External"/><Relationship Id="rId1702" Type="http://schemas.openxmlformats.org/officeDocument/2006/relationships/hyperlink" Target="https://drive.google.com/file/d/1LofptS-72FIL1KiGO2pTekePi8btDUI7/view?usp=drivesdk" TargetMode="External"/><Relationship Id="rId1703" Type="http://schemas.openxmlformats.org/officeDocument/2006/relationships/hyperlink" Target="https://drive.google.com/file/d/1B_v-o-_n71IHtYCOlDqf6I-jzKddbSMI/view?usp=drivesdk" TargetMode="External"/><Relationship Id="rId1704" Type="http://schemas.openxmlformats.org/officeDocument/2006/relationships/hyperlink" Target="https://drive.google.com/file/d/1Ojt9nxP4o-n9R-CzYWYw1MCuDvjyPrja/view?usp=drivesdk" TargetMode="External"/><Relationship Id="rId1705" Type="http://schemas.openxmlformats.org/officeDocument/2006/relationships/hyperlink" Target="https://drive.google.com/file/d/1i-Y1m01akCKGCXyQsHim2gxN4ZNhX-Vn/view?usp=drivesdk" TargetMode="External"/><Relationship Id="rId1706" Type="http://schemas.openxmlformats.org/officeDocument/2006/relationships/hyperlink" Target="https://drive.google.com/file/d/1S8DLEEZp7hpITnNpuka2dB3mi0DkF7y7/view?usp=drivesdk" TargetMode="External"/><Relationship Id="rId1707" Type="http://schemas.openxmlformats.org/officeDocument/2006/relationships/hyperlink" Target="https://drive.google.com/file/d/1WiF8rFhhAgNOuDYmxeztkdSDFuyxjhaw/view?usp=drivesdk" TargetMode="External"/><Relationship Id="rId1708" Type="http://schemas.openxmlformats.org/officeDocument/2006/relationships/hyperlink" Target="https://drive.google.com/file/d/17ADUHLPS598MP27kiRbC5k1N6DxjxUww/view?usp=drivesdk" TargetMode="External"/><Relationship Id="rId1709" Type="http://schemas.openxmlformats.org/officeDocument/2006/relationships/hyperlink" Target="https://drive.google.com/file/d/16v6Gn9MgV9Sas87tA6Rsv-W8dSTNG6kr/view?usp=drivesdk" TargetMode="External"/><Relationship Id="rId1774" Type="http://schemas.openxmlformats.org/officeDocument/2006/relationships/hyperlink" Target="https://drive.google.com/file/d/1mNbIRdUVIpZARghwQsqyN1IFb3Opc6aO/view?usp=drivesdk" TargetMode="External"/><Relationship Id="rId1775" Type="http://schemas.openxmlformats.org/officeDocument/2006/relationships/hyperlink" Target="https://drive.google.com/file/d/1qJ7vdMXFWdeXYiTMTYrzp1Y58t4-doNH/view?usp=drivesdk" TargetMode="External"/><Relationship Id="rId1776" Type="http://schemas.openxmlformats.org/officeDocument/2006/relationships/hyperlink" Target="https://drive.google.com/file/d/1oW-xcpERB03t89wnz6RFEZnvz3PVoco6/view?usp=drivesdk" TargetMode="External"/><Relationship Id="rId1777" Type="http://schemas.openxmlformats.org/officeDocument/2006/relationships/hyperlink" Target="https://drive.google.com/file/d/14KBiZJK8eogJ2qOwWDwGJAiwUtpjaPCs/view?usp=drivesdk" TargetMode="External"/><Relationship Id="rId1778" Type="http://schemas.openxmlformats.org/officeDocument/2006/relationships/hyperlink" Target="https://drive.google.com/file/d/1JqkRNyqDT8qMPwIzS6qCrUfXqo0x_r_d/view?usp=drivesdk" TargetMode="External"/><Relationship Id="rId1779" Type="http://schemas.openxmlformats.org/officeDocument/2006/relationships/hyperlink" Target="https://drive.google.com/file/d/13LumqHxsTnywaFuDwt9lmJGcJFFfdCtb/view?usp=drivesdk" TargetMode="External"/><Relationship Id="rId1770" Type="http://schemas.openxmlformats.org/officeDocument/2006/relationships/hyperlink" Target="https://drive.google.com/file/d/1nSGwCKeYHaxs5g9P0DSiZeib8r9RB1h_/view?usp=drivesdk" TargetMode="External"/><Relationship Id="rId1771" Type="http://schemas.openxmlformats.org/officeDocument/2006/relationships/hyperlink" Target="https://drive.google.com/file/d/1ZJijB1GTizydmw8bBS94YBFHDGOFqTSu/view?usp=drivesdk" TargetMode="External"/><Relationship Id="rId1772" Type="http://schemas.openxmlformats.org/officeDocument/2006/relationships/hyperlink" Target="https://drive.google.com/file/d/1-Q5HlTqnFTO9QMTWHGanGY2j3FQp-V_1/view?usp=drivesdk" TargetMode="External"/><Relationship Id="rId1773" Type="http://schemas.openxmlformats.org/officeDocument/2006/relationships/hyperlink" Target="https://drive.google.com/file/d/1RH1AO2o5_TEeroNLlMXoDhgQma84dAFJ/view?usp=drivesdk" TargetMode="External"/><Relationship Id="rId1763" Type="http://schemas.openxmlformats.org/officeDocument/2006/relationships/hyperlink" Target="https://drive.google.com/file/d/1uOEyAaBbOkUaXRIMMnFors4hAeXKTKR_/view?usp=drivesdk" TargetMode="External"/><Relationship Id="rId1764" Type="http://schemas.openxmlformats.org/officeDocument/2006/relationships/hyperlink" Target="https://drive.google.com/file/d/1Vw5OwhlPRBaBha9kK87dh_kOY4U6TUse/view?usp=drivesdk" TargetMode="External"/><Relationship Id="rId1765" Type="http://schemas.openxmlformats.org/officeDocument/2006/relationships/hyperlink" Target="https://drive.google.com/file/d/1cHPNphnFfiDU8LMrEcDhuS7Km8aQLRdd/view?usp=drivesdk" TargetMode="External"/><Relationship Id="rId1766" Type="http://schemas.openxmlformats.org/officeDocument/2006/relationships/hyperlink" Target="https://drive.google.com/file/d/1hzzTx57iBKaUPDBe1236J3L4Swet2ypQ/view?usp=drivesdk" TargetMode="External"/><Relationship Id="rId1767" Type="http://schemas.openxmlformats.org/officeDocument/2006/relationships/hyperlink" Target="https://drive.google.com/file/d/1ht8bgrCT997nsCAciYYj2UeI-0f_W3Mx/view?usp=drivesdk" TargetMode="External"/><Relationship Id="rId1768" Type="http://schemas.openxmlformats.org/officeDocument/2006/relationships/hyperlink" Target="https://drive.google.com/file/d/1mm5FpZwuLBlASqm3bDJPToahku89yK5C/view?usp=drivesdk" TargetMode="External"/><Relationship Id="rId1769" Type="http://schemas.openxmlformats.org/officeDocument/2006/relationships/hyperlink" Target="https://drive.google.com/file/d/1rodQOJ_KGqKkNzwgA8GWsVIyKaQE_QGJ/view?usp=drivesdk" TargetMode="External"/><Relationship Id="rId1760" Type="http://schemas.openxmlformats.org/officeDocument/2006/relationships/hyperlink" Target="https://drive.google.com/file/d/11KIxZcujnlM5V6EB_U7rhYV7bbEyWdpe/view?usp=drivesdk" TargetMode="External"/><Relationship Id="rId1761" Type="http://schemas.openxmlformats.org/officeDocument/2006/relationships/hyperlink" Target="https://drive.google.com/file/d/1S51U1Anp_P-uAsRy8-L2mGReo7vj9zxn/view?usp=drivesdk" TargetMode="External"/><Relationship Id="rId1762" Type="http://schemas.openxmlformats.org/officeDocument/2006/relationships/hyperlink" Target="https://drive.google.com/file/d/1vvffcqXoO3eC6RsJTtqNVU2JPD-VJslX/view?usp=drivesdk" TargetMode="External"/><Relationship Id="rId1796" Type="http://schemas.openxmlformats.org/officeDocument/2006/relationships/hyperlink" Target="https://drive.google.com/file/d/1cZ6lkNfSJnZEftOAEAZAhIxuYMm1pwM_/view?usp=drivesdk" TargetMode="External"/><Relationship Id="rId1797" Type="http://schemas.openxmlformats.org/officeDocument/2006/relationships/hyperlink" Target="https://drive.google.com/file/d/1Qi-FAJ9zQjP4gZSt9DEMGSMGNoh_AExv/view?usp=drivesdk" TargetMode="External"/><Relationship Id="rId1798" Type="http://schemas.openxmlformats.org/officeDocument/2006/relationships/hyperlink" Target="https://drive.google.com/file/d/1pltwjDPxDCA_OlrhsjFj-xteATNWrBxl/view?usp=drivesdk" TargetMode="External"/><Relationship Id="rId1799" Type="http://schemas.openxmlformats.org/officeDocument/2006/relationships/hyperlink" Target="https://drive.google.com/file/d/1kTjNzHv13JJoATRNmIh3fvcaPlIc_zpn/view?usp=drivesdk" TargetMode="External"/><Relationship Id="rId1790" Type="http://schemas.openxmlformats.org/officeDocument/2006/relationships/hyperlink" Target="https://drive.google.com/file/d/1Fj39NT68MG3HzXoUWiNu7WmZwlpJgaeV/view?usp=drivesdk" TargetMode="External"/><Relationship Id="rId1791" Type="http://schemas.openxmlformats.org/officeDocument/2006/relationships/hyperlink" Target="https://drive.google.com/file/d/1H4JRwBd15xMSzudWgAR6CAoW6G1bpTXY/view?usp=drivesdk" TargetMode="External"/><Relationship Id="rId1792" Type="http://schemas.openxmlformats.org/officeDocument/2006/relationships/hyperlink" Target="https://drive.google.com/file/d/1oME51enZRX3Edl5OKy08eWj5NhvUkGYm/view?usp=drivesdk" TargetMode="External"/><Relationship Id="rId1793" Type="http://schemas.openxmlformats.org/officeDocument/2006/relationships/hyperlink" Target="https://drive.google.com/file/d/1zH6CWQyMPVb4VUeSK2tUvLPjBjUE-kuA/view?usp=drivesdk" TargetMode="External"/><Relationship Id="rId1794" Type="http://schemas.openxmlformats.org/officeDocument/2006/relationships/hyperlink" Target="https://drive.google.com/file/d/1v3ufs_oQvLivPA_FH0NSZ83SOZHVgrmb/view?usp=drivesdk" TargetMode="External"/><Relationship Id="rId1795" Type="http://schemas.openxmlformats.org/officeDocument/2006/relationships/hyperlink" Target="https://drive.google.com/file/d/1QMCPtNoHPYjRR02zbGMHh6BHzMSXU_Mp/view?usp=drivesdk" TargetMode="External"/><Relationship Id="rId1785" Type="http://schemas.openxmlformats.org/officeDocument/2006/relationships/hyperlink" Target="https://drive.google.com/file/d/1b0AE8lXhUIfkaQXcPOBbNX7royapJK_q/view?usp=drivesdk" TargetMode="External"/><Relationship Id="rId1786" Type="http://schemas.openxmlformats.org/officeDocument/2006/relationships/hyperlink" Target="https://drive.google.com/file/d/1abDfb4uwtK9RGf4Ex-M01kwXNUvjzxnd/view?usp=drivesdk" TargetMode="External"/><Relationship Id="rId1787" Type="http://schemas.openxmlformats.org/officeDocument/2006/relationships/hyperlink" Target="https://drive.google.com/file/d/1TIqNQtsstuPCKNlFB-e5QXUPGdWNbB0D/view?usp=drivesdk" TargetMode="External"/><Relationship Id="rId1788" Type="http://schemas.openxmlformats.org/officeDocument/2006/relationships/hyperlink" Target="https://drive.google.com/file/d/1m_2K7t5RJAEkmX1M47NWWvlTOSPXgQbr/view?usp=drivesdk" TargetMode="External"/><Relationship Id="rId1789" Type="http://schemas.openxmlformats.org/officeDocument/2006/relationships/hyperlink" Target="https://drive.google.com/file/d/1dknBJNvwtPUlHQ35fKtsCQrIzrty0lSS/view?usp=drivesdk" TargetMode="External"/><Relationship Id="rId1780" Type="http://schemas.openxmlformats.org/officeDocument/2006/relationships/hyperlink" Target="https://drive.google.com/file/d/19z_T7TvLUwSSSj4jpTNy_yzqiRCAcYF1/view?usp=drivesdk" TargetMode="External"/><Relationship Id="rId1781" Type="http://schemas.openxmlformats.org/officeDocument/2006/relationships/hyperlink" Target="https://drive.google.com/file/d/1F_inWuOxmJ2kVM4ZRrRkYyyP-E-_oOlS/view?usp=drivesdk" TargetMode="External"/><Relationship Id="rId1782" Type="http://schemas.openxmlformats.org/officeDocument/2006/relationships/hyperlink" Target="https://drive.google.com/file/d/1YkGVKFJgYQCfXGYDj77f5Axjr0RtuJhf/view?usp=drivesdk" TargetMode="External"/><Relationship Id="rId1783" Type="http://schemas.openxmlformats.org/officeDocument/2006/relationships/hyperlink" Target="https://drive.google.com/file/d/16qNr6Qgk2HIzj9xKcgATJsO-Y0fhJO5C/view?usp=drivesdk" TargetMode="External"/><Relationship Id="rId1784" Type="http://schemas.openxmlformats.org/officeDocument/2006/relationships/hyperlink" Target="https://drive.google.com/file/d/1Sv9IJ4EZDgSXiZ54l-ylKDBAvpNgYAno/view?usp=drivesdk" TargetMode="External"/><Relationship Id="rId1851" Type="http://schemas.openxmlformats.org/officeDocument/2006/relationships/hyperlink" Target="https://drive.google.com/file/d/1r1b2I43IFdjBe0jLN879pBFKhBJE35A1/view?usp=drivesdk" TargetMode="External"/><Relationship Id="rId1852" Type="http://schemas.openxmlformats.org/officeDocument/2006/relationships/hyperlink" Target="https://drive.google.com/file/d/1SSM037jm1mESmGkBYykCWCpfqejhRJnm/view?usp=drivesdk" TargetMode="External"/><Relationship Id="rId1853" Type="http://schemas.openxmlformats.org/officeDocument/2006/relationships/hyperlink" Target="https://drive.google.com/file/d/1kJLnUMoYixv2KcU2Ah2hazxqiJ_B3YX4/view?usp=drivesdk" TargetMode="External"/><Relationship Id="rId1854" Type="http://schemas.openxmlformats.org/officeDocument/2006/relationships/hyperlink" Target="https://drive.google.com/file/d/1ikXSZGiQjLWVK_RU-tOJwUbfZ7OqrS-t/view?usp=drivesdk" TargetMode="External"/><Relationship Id="rId1855" Type="http://schemas.openxmlformats.org/officeDocument/2006/relationships/hyperlink" Target="https://drive.google.com/file/d/1kt1XPKcUu1JtjL6iHxB2c3ctMiPQJbqy/view?usp=drivesdk" TargetMode="External"/><Relationship Id="rId1856" Type="http://schemas.openxmlformats.org/officeDocument/2006/relationships/hyperlink" Target="https://drive.google.com/file/d/1VHSOxXVz-Y6hE2EGyh0f68h1Q5R6tSKW/view?usp=drivesdk" TargetMode="External"/><Relationship Id="rId1857" Type="http://schemas.openxmlformats.org/officeDocument/2006/relationships/hyperlink" Target="https://drive.google.com/file/d/1BuMHPdLIX-cEYMGvyKOY-l64ikPG56rq/view?usp=drivesdk" TargetMode="External"/><Relationship Id="rId1858" Type="http://schemas.openxmlformats.org/officeDocument/2006/relationships/hyperlink" Target="https://drive.google.com/file/d/1qlZ77zLfYV08d5ATgoETBQtKV-czrFeE/view?usp=drivesdk" TargetMode="External"/><Relationship Id="rId1859" Type="http://schemas.openxmlformats.org/officeDocument/2006/relationships/hyperlink" Target="https://drive.google.com/file/d/1SEbQC66mTHK45A7FWju3UPaj7sWyUIxF/view?usp=drivesdk" TargetMode="External"/><Relationship Id="rId1850" Type="http://schemas.openxmlformats.org/officeDocument/2006/relationships/hyperlink" Target="https://drive.google.com/file/d/1K8-yMnkHH5QERM23hcL5BVxMzsWwu99j/view?usp=drivesdk" TargetMode="External"/><Relationship Id="rId1840" Type="http://schemas.openxmlformats.org/officeDocument/2006/relationships/hyperlink" Target="https://drive.google.com/file/d/1AQ_ciiDkNKxxtnryuc5EE_ONUT8U-cpj/view?usp=drivesdk" TargetMode="External"/><Relationship Id="rId1841" Type="http://schemas.openxmlformats.org/officeDocument/2006/relationships/hyperlink" Target="https://drive.google.com/file/d/1XIP8AyZDDhs3cASFloVOvPBlDVjGopx0/view?usp=drivesdk" TargetMode="External"/><Relationship Id="rId1842" Type="http://schemas.openxmlformats.org/officeDocument/2006/relationships/hyperlink" Target="http://yulismawati.s.st" TargetMode="External"/><Relationship Id="rId1843" Type="http://schemas.openxmlformats.org/officeDocument/2006/relationships/hyperlink" Target="https://drive.google.com/file/d/1fPjFJYZk0XNgKSrFTwtQBe2hMLJiXpJM/view?usp=drivesdk" TargetMode="External"/><Relationship Id="rId1844" Type="http://schemas.openxmlformats.org/officeDocument/2006/relationships/hyperlink" Target="https://drive.google.com/file/d/1OaNmPUoi_SVUIqiFlilFKEFd0fqTRFS_/view?usp=drivesdk" TargetMode="External"/><Relationship Id="rId1845" Type="http://schemas.openxmlformats.org/officeDocument/2006/relationships/hyperlink" Target="https://drive.google.com/file/d/1GAN4PUNuBhk-0zLAeDfHGlgUo9QCs_Gd/view?usp=drivesdk" TargetMode="External"/><Relationship Id="rId1846" Type="http://schemas.openxmlformats.org/officeDocument/2006/relationships/hyperlink" Target="https://drive.google.com/file/d/1VnyKElh4Fnd2WzfaP1gGP2lqeu8dZDCf/view?usp=drivesdk" TargetMode="External"/><Relationship Id="rId1847" Type="http://schemas.openxmlformats.org/officeDocument/2006/relationships/hyperlink" Target="https://drive.google.com/file/d/17oyI5L9gIfX2O3ijUKvc5xDik6gZ2czh/view?usp=drivesdk" TargetMode="External"/><Relationship Id="rId1848" Type="http://schemas.openxmlformats.org/officeDocument/2006/relationships/hyperlink" Target="https://drive.google.com/file/d/1fI6FAJ-FdovTS1xteBxcC0cTwcm8dKIJ/view?usp=drivesdk" TargetMode="External"/><Relationship Id="rId1849" Type="http://schemas.openxmlformats.org/officeDocument/2006/relationships/hyperlink" Target="https://drive.google.com/file/d/1_XM_XneHxUbFbKQ3Rw2_wuDzlyapGzwP/view?usp=drivesdk" TargetMode="External"/><Relationship Id="rId1873" Type="http://schemas.openxmlformats.org/officeDocument/2006/relationships/hyperlink" Target="https://drive.google.com/file/d/19XCAdrVZtW9Yx9vGDpt8J1OMU7hE5H0b/view?usp=drivesdk" TargetMode="External"/><Relationship Id="rId1874" Type="http://schemas.openxmlformats.org/officeDocument/2006/relationships/hyperlink" Target="https://drive.google.com/file/d/12PdFovyGYdLUTA6yKY2McdLk6GIr-M8_/view?usp=drivesdk" TargetMode="External"/><Relationship Id="rId1875" Type="http://schemas.openxmlformats.org/officeDocument/2006/relationships/hyperlink" Target="https://drive.google.com/file/d/1ihC4YglMvBw7Gc85Sm2aC8qpNUk7Npll/view?usp=drivesdk" TargetMode="External"/><Relationship Id="rId1876" Type="http://schemas.openxmlformats.org/officeDocument/2006/relationships/hyperlink" Target="https://drive.google.com/file/d/1lv0yzvmcj9P8wn2lGJabsvSJyvdhgP2n/view?usp=drivesdk" TargetMode="External"/><Relationship Id="rId1877" Type="http://schemas.openxmlformats.org/officeDocument/2006/relationships/hyperlink" Target="https://drive.google.com/file/d/1B6NHCnQdaqxinmadQ1YTFrQ8qA1jVFNj/view?usp=drivesdk" TargetMode="External"/><Relationship Id="rId1878" Type="http://schemas.openxmlformats.org/officeDocument/2006/relationships/hyperlink" Target="https://drive.google.com/file/d/1_8gdEAO5C4qXcpDSLIRNAcwMh6B5lKMu/view?usp=drivesdk" TargetMode="External"/><Relationship Id="rId1879" Type="http://schemas.openxmlformats.org/officeDocument/2006/relationships/hyperlink" Target="https://drive.google.com/file/d/1f2slyUbtvpIi8QYLLvESuRJtAd9D64rr/view?usp=drivesdk" TargetMode="External"/><Relationship Id="rId1870" Type="http://schemas.openxmlformats.org/officeDocument/2006/relationships/hyperlink" Target="https://drive.google.com/file/d/1SQj1b1SITswbWsczQq-xr7N49Vepeyv2/view?usp=drivesdk" TargetMode="External"/><Relationship Id="rId1871" Type="http://schemas.openxmlformats.org/officeDocument/2006/relationships/hyperlink" Target="https://drive.google.com/file/d/1DaBeRKSfCGtVTh8Gq8fRycKHnMRy3plw/view?usp=drivesdk" TargetMode="External"/><Relationship Id="rId1872" Type="http://schemas.openxmlformats.org/officeDocument/2006/relationships/hyperlink" Target="https://drive.google.com/file/d/1aSYhbnRpRKW9rZ_9HLw0G2stnWkqthHJ/view?usp=drivesdk" TargetMode="External"/><Relationship Id="rId1862" Type="http://schemas.openxmlformats.org/officeDocument/2006/relationships/hyperlink" Target="https://drive.google.com/file/d/1dtILI4zsMjhJ9XClfQGMBHNGJI2a8bmY/view?usp=drivesdk" TargetMode="External"/><Relationship Id="rId1863" Type="http://schemas.openxmlformats.org/officeDocument/2006/relationships/hyperlink" Target="https://drive.google.com/file/d/1BReSeNtiC7UM3yK58Tf4wKECzLZCJbzP/view?usp=drivesdk" TargetMode="External"/><Relationship Id="rId1864" Type="http://schemas.openxmlformats.org/officeDocument/2006/relationships/hyperlink" Target="https://drive.google.com/file/d/1fSZxZ0MNvsKJunKUC36Leyt8ZrCSyNs6/view?usp=drivesdk" TargetMode="External"/><Relationship Id="rId1865" Type="http://schemas.openxmlformats.org/officeDocument/2006/relationships/hyperlink" Target="https://drive.google.com/file/d/1KT4BK2REMtlzUedD5VwySKS2mUw0wOvy/view?usp=drivesdk" TargetMode="External"/><Relationship Id="rId1866" Type="http://schemas.openxmlformats.org/officeDocument/2006/relationships/hyperlink" Target="https://drive.google.com/file/d/1fBU9rFR0G18gi0d5WPST36umrSQEy2Pp/view?usp=drivesdk" TargetMode="External"/><Relationship Id="rId1867" Type="http://schemas.openxmlformats.org/officeDocument/2006/relationships/hyperlink" Target="https://drive.google.com/file/d/1NJT7PD6A4A878qedJ8V2wvGqcUMappZn/view?usp=drivesdk" TargetMode="External"/><Relationship Id="rId1868" Type="http://schemas.openxmlformats.org/officeDocument/2006/relationships/hyperlink" Target="https://drive.google.com/file/d/1jTeF8u79Padsurw5H9k0idcb91o9YGtU/view?usp=drivesdk" TargetMode="External"/><Relationship Id="rId1869" Type="http://schemas.openxmlformats.org/officeDocument/2006/relationships/hyperlink" Target="https://drive.google.com/file/d/1L1tD4PiRafNcDQ1we1_6SY7nGHpeRHR0/view?usp=drivesdk" TargetMode="External"/><Relationship Id="rId1860" Type="http://schemas.openxmlformats.org/officeDocument/2006/relationships/hyperlink" Target="https://drive.google.com/file/d/1DAlmLMWGqjtfuO8oRi-6SGev1t7EX6Do/view?usp=drivesdk" TargetMode="External"/><Relationship Id="rId1861" Type="http://schemas.openxmlformats.org/officeDocument/2006/relationships/hyperlink" Target="https://drive.google.com/file/d/1VNIrvR5lOVhIT4EjgJFOalhN61DGnGlF/view?usp=drivesdk" TargetMode="External"/><Relationship Id="rId1810" Type="http://schemas.openxmlformats.org/officeDocument/2006/relationships/hyperlink" Target="https://drive.google.com/file/d/1Hzwx7amBmbuD0tEsUqBt1U2DGQo8YK0V/view?usp=drivesdk" TargetMode="External"/><Relationship Id="rId1811" Type="http://schemas.openxmlformats.org/officeDocument/2006/relationships/hyperlink" Target="https://drive.google.com/file/d/150jZwdR6jOS4oISGNH1QCQsKVZwjajW-/view?usp=drivesdk" TargetMode="External"/><Relationship Id="rId1812" Type="http://schemas.openxmlformats.org/officeDocument/2006/relationships/hyperlink" Target="https://drive.google.com/file/d/1rTGXNQHpsbtnPl0BKRBWRjn_Nt7pqErt/view?usp=drivesdk" TargetMode="External"/><Relationship Id="rId1813" Type="http://schemas.openxmlformats.org/officeDocument/2006/relationships/hyperlink" Target="https://drive.google.com/file/d/1Bu8Xdqki47Jg6jNE3uV8geoiwN9nyOev/view?usp=drivesdk" TargetMode="External"/><Relationship Id="rId1814" Type="http://schemas.openxmlformats.org/officeDocument/2006/relationships/hyperlink" Target="https://drive.google.com/file/d/1eRyfYUftaSZ9vscpD5AJIU_LfMgookaa/view?usp=drivesdk" TargetMode="External"/><Relationship Id="rId1815" Type="http://schemas.openxmlformats.org/officeDocument/2006/relationships/hyperlink" Target="https://drive.google.com/file/d/14hZgpz3FmNhAjCQPAXmuF1PdrTVnNlgs/view?usp=drivesdk" TargetMode="External"/><Relationship Id="rId1816" Type="http://schemas.openxmlformats.org/officeDocument/2006/relationships/hyperlink" Target="https://drive.google.com/file/d/1EeGok6G_MDnRsSxhfh1Yx9aBewdrSeI0/view?usp=drivesdk" TargetMode="External"/><Relationship Id="rId1817" Type="http://schemas.openxmlformats.org/officeDocument/2006/relationships/hyperlink" Target="https://drive.google.com/file/d/15Jv-ADgMaVVkx-W99aK6reF2qcmHw6wr/view?usp=drivesdk" TargetMode="External"/><Relationship Id="rId1818" Type="http://schemas.openxmlformats.org/officeDocument/2006/relationships/hyperlink" Target="https://drive.google.com/file/d/1m0m2c_aNtwFLMgFI2eiBsA73S7vgSrqQ/view?usp=drivesdk" TargetMode="External"/><Relationship Id="rId1819" Type="http://schemas.openxmlformats.org/officeDocument/2006/relationships/hyperlink" Target="https://drive.google.com/file/d/1PzFufXqDFlPHTGTp40wgWOeqcSWVVJj0/view?usp=drivesdk" TargetMode="External"/><Relationship Id="rId1800" Type="http://schemas.openxmlformats.org/officeDocument/2006/relationships/hyperlink" Target="https://drive.google.com/file/d/1PUTJk3wZCsMXtUyIxJcSBmVYx60C5q7M/view?usp=drivesdk" TargetMode="External"/><Relationship Id="rId1801" Type="http://schemas.openxmlformats.org/officeDocument/2006/relationships/hyperlink" Target="https://drive.google.com/file/d/1rx3vP1riDBvsUyJkPqYCuQzN6bGGEI_c/view?usp=drivesdk" TargetMode="External"/><Relationship Id="rId1802" Type="http://schemas.openxmlformats.org/officeDocument/2006/relationships/hyperlink" Target="https://drive.google.com/file/d/1k2hDBvEYfS42yfL_DvlNKlTfuwiD8y72/view?usp=drivesdk" TargetMode="External"/><Relationship Id="rId1803" Type="http://schemas.openxmlformats.org/officeDocument/2006/relationships/hyperlink" Target="https://drive.google.com/file/d/1f_q7kSe2QdIpX3i8UNs1Z7xv8TZkyCCI/view?usp=drivesdk" TargetMode="External"/><Relationship Id="rId1804" Type="http://schemas.openxmlformats.org/officeDocument/2006/relationships/hyperlink" Target="https://drive.google.com/file/d/1h13GAxCayx24Z5B0t0KnHxGsMHrvz9RU/view?usp=drivesdk" TargetMode="External"/><Relationship Id="rId1805" Type="http://schemas.openxmlformats.org/officeDocument/2006/relationships/hyperlink" Target="https://drive.google.com/file/d/1Ks3klBAw4uMk5o6A5UD7WdQgAaF9WrKS/view?usp=drivesdk" TargetMode="External"/><Relationship Id="rId1806" Type="http://schemas.openxmlformats.org/officeDocument/2006/relationships/hyperlink" Target="https://drive.google.com/file/d/12Hd3MAxD0Au9iQMhp9jakd2ElxRsaRJ4/view?usp=drivesdk" TargetMode="External"/><Relationship Id="rId1807" Type="http://schemas.openxmlformats.org/officeDocument/2006/relationships/hyperlink" Target="https://drive.google.com/file/d/10WgSp_ckDZ8v5FoaCpR4Dhp-UyqoXqUf/view?usp=drivesdk" TargetMode="External"/><Relationship Id="rId1808" Type="http://schemas.openxmlformats.org/officeDocument/2006/relationships/hyperlink" Target="https://drive.google.com/file/d/1YrNMUP7hP5HX6VX2M9GS_EYzEZ5OKA8r/view?usp=drivesdk" TargetMode="External"/><Relationship Id="rId1809" Type="http://schemas.openxmlformats.org/officeDocument/2006/relationships/hyperlink" Target="https://drive.google.com/file/d/15UAQLorFZ8KeG2AT5U8PDUfwz4qQIvW6/view?usp=drivesdk" TargetMode="External"/><Relationship Id="rId1830" Type="http://schemas.openxmlformats.org/officeDocument/2006/relationships/hyperlink" Target="https://drive.google.com/file/d/1jEK_l2HNRW4lpfpb6-4IbxEGR60vaGqc/view?usp=drivesdk" TargetMode="External"/><Relationship Id="rId1831" Type="http://schemas.openxmlformats.org/officeDocument/2006/relationships/hyperlink" Target="https://drive.google.com/file/d/103DePo5_xq9lc4SjhETYkmMzosqGq86F/view?usp=drivesdk" TargetMode="External"/><Relationship Id="rId1832" Type="http://schemas.openxmlformats.org/officeDocument/2006/relationships/hyperlink" Target="https://drive.google.com/file/d/1IwVYCIrCh2I8GlI1UzZEPZ0bKtFXhj8v/view?usp=drivesdk" TargetMode="External"/><Relationship Id="rId1833" Type="http://schemas.openxmlformats.org/officeDocument/2006/relationships/hyperlink" Target="https://drive.google.com/file/d/1W86Q7tJds0KibaBzcpnr65gvVB6gVBtT/view?usp=drivesdk" TargetMode="External"/><Relationship Id="rId1834" Type="http://schemas.openxmlformats.org/officeDocument/2006/relationships/hyperlink" Target="https://drive.google.com/file/d/1ooVZGZ8mXmP2Gt3gll2JxGJ4vOER8dLB/view?usp=drivesdk" TargetMode="External"/><Relationship Id="rId1835" Type="http://schemas.openxmlformats.org/officeDocument/2006/relationships/hyperlink" Target="https://drive.google.com/file/d/1wkO9UzGW7FY7inLup0S_HTg7mWBNmt_5/view?usp=drivesdk" TargetMode="External"/><Relationship Id="rId1836" Type="http://schemas.openxmlformats.org/officeDocument/2006/relationships/hyperlink" Target="https://drive.google.com/file/d/1Wu3XjyJ55yFINgeraylCx2JCjeLlVoGn/view?usp=drivesdk" TargetMode="External"/><Relationship Id="rId1837" Type="http://schemas.openxmlformats.org/officeDocument/2006/relationships/hyperlink" Target="https://drive.google.com/file/d/1cCjFH2RfrCw2y3yfYj5aMcgZiBp2myFH/view?usp=drivesdk" TargetMode="External"/><Relationship Id="rId1838" Type="http://schemas.openxmlformats.org/officeDocument/2006/relationships/hyperlink" Target="https://drive.google.com/file/d/1YQMSudcwYwvrVzlC81JVmtqIMtasYpME/view?usp=drivesdk" TargetMode="External"/><Relationship Id="rId1839" Type="http://schemas.openxmlformats.org/officeDocument/2006/relationships/hyperlink" Target="https://drive.google.com/file/d/1GIlkdWvRS5SDdK7cODBbAmV_T4_s1Ed2/view?usp=drivesdk" TargetMode="External"/><Relationship Id="rId1820" Type="http://schemas.openxmlformats.org/officeDocument/2006/relationships/hyperlink" Target="https://drive.google.com/file/d/1YCHIWLngVnu7VpQ3ile7-OeNtMPHkZ9k/view?usp=drivesdk" TargetMode="External"/><Relationship Id="rId1821" Type="http://schemas.openxmlformats.org/officeDocument/2006/relationships/hyperlink" Target="https://drive.google.com/file/d/1lXZrsFKaY3DmGGSKedGiVo8rA0LwKMFY/view?usp=drivesdk" TargetMode="External"/><Relationship Id="rId1822" Type="http://schemas.openxmlformats.org/officeDocument/2006/relationships/hyperlink" Target="https://drive.google.com/file/d/1Febew1g69iCSrbJCCEuD0aZwIkDpc7aw/view?usp=drivesdk" TargetMode="External"/><Relationship Id="rId1823" Type="http://schemas.openxmlformats.org/officeDocument/2006/relationships/hyperlink" Target="https://drive.google.com/file/d/1qQ7Sh6iY5nL0JgB96ielQx-lxS8dlWOd/view?usp=drivesdk" TargetMode="External"/><Relationship Id="rId1824" Type="http://schemas.openxmlformats.org/officeDocument/2006/relationships/hyperlink" Target="https://drive.google.com/file/d/1pLP6EpIwJU-I2upr89SNW7UigiG8l4bs/view?usp=drivesdk" TargetMode="External"/><Relationship Id="rId1825" Type="http://schemas.openxmlformats.org/officeDocument/2006/relationships/hyperlink" Target="https://drive.google.com/file/d/1fjm1JvvXnAMrgZ2LU5w0mZI7i9tHU9sO/view?usp=drivesdk" TargetMode="External"/><Relationship Id="rId1826" Type="http://schemas.openxmlformats.org/officeDocument/2006/relationships/hyperlink" Target="https://drive.google.com/file/d/1BLmCczIjlmzBw7zNnwghZWM9XucGdHSz/view?usp=drivesdk" TargetMode="External"/><Relationship Id="rId1827" Type="http://schemas.openxmlformats.org/officeDocument/2006/relationships/hyperlink" Target="https://drive.google.com/file/d/1A634yY16lxWmTpkVp5y0kBrp14UBU5g7/view?usp=drivesdk" TargetMode="External"/><Relationship Id="rId1828" Type="http://schemas.openxmlformats.org/officeDocument/2006/relationships/hyperlink" Target="https://drive.google.com/file/d/1IUxDIIzelT_117p4lcMi2vWxo_0mo5TY/view?usp=drivesdk" TargetMode="External"/><Relationship Id="rId1829" Type="http://schemas.openxmlformats.org/officeDocument/2006/relationships/hyperlink" Target="https://drive.google.com/file/d/1mUjzACLFe_SR2I1fyEXECUD2VeSW5u_A/view?usp=drivesdk" TargetMode="External"/><Relationship Id="rId1895" Type="http://schemas.openxmlformats.org/officeDocument/2006/relationships/hyperlink" Target="https://drive.google.com/file/d/1IsP8nsIZ96WaDPCCofVWkyvJNLARbFbB/view?usp=drivesdk" TargetMode="External"/><Relationship Id="rId1896" Type="http://schemas.openxmlformats.org/officeDocument/2006/relationships/hyperlink" Target="https://drive.google.com/file/d/19_iMGh_-i6HDjl_YsdM2qtW-6mlOVpod/view?usp=drivesdk" TargetMode="External"/><Relationship Id="rId1897" Type="http://schemas.openxmlformats.org/officeDocument/2006/relationships/hyperlink" Target="https://drive.google.com/file/d/1r6JP_ZADl01sXl9gjONB8W1rMJnZGqqN/view?usp=drivesdk" TargetMode="External"/><Relationship Id="rId1898" Type="http://schemas.openxmlformats.org/officeDocument/2006/relationships/hyperlink" Target="https://drive.google.com/file/d/1NRt6fj2VxatBHDy96qqihrMs3ji_b-uM/view?usp=drivesdk" TargetMode="External"/><Relationship Id="rId1899" Type="http://schemas.openxmlformats.org/officeDocument/2006/relationships/hyperlink" Target="https://drive.google.com/file/d/1aKk7zYUeptRSgGgcXcgN7DpZGOAesN13/view?usp=drivesdk" TargetMode="External"/><Relationship Id="rId1890" Type="http://schemas.openxmlformats.org/officeDocument/2006/relationships/hyperlink" Target="https://drive.google.com/file/d/1hBRioDHrtjVdKSuOmBrEcY3R4OF1KkO9/view?usp=drivesdk" TargetMode="External"/><Relationship Id="rId1891" Type="http://schemas.openxmlformats.org/officeDocument/2006/relationships/hyperlink" Target="https://drive.google.com/file/d/1-9RZWf9a2GPRDs-_tRoYelPVjVY4MrhM/view?usp=drivesdk" TargetMode="External"/><Relationship Id="rId1892" Type="http://schemas.openxmlformats.org/officeDocument/2006/relationships/hyperlink" Target="https://drive.google.com/file/d/1wcJ6De2_yqo83K71hsnnnkienDwRrN7A/view?usp=drivesdk" TargetMode="External"/><Relationship Id="rId1893" Type="http://schemas.openxmlformats.org/officeDocument/2006/relationships/hyperlink" Target="https://drive.google.com/file/d/1RYD7-PhZ4spAZaB6X-sTLr7QMr25vgUY/view?usp=drivesdk" TargetMode="External"/><Relationship Id="rId1894" Type="http://schemas.openxmlformats.org/officeDocument/2006/relationships/hyperlink" Target="https://drive.google.com/file/d/1xj48OZ5gu5k5jBUGcFecvmnw88lCXVYr/view?usp=drivesdk" TargetMode="External"/><Relationship Id="rId1884" Type="http://schemas.openxmlformats.org/officeDocument/2006/relationships/hyperlink" Target="https://drive.google.com/file/d/1Fr8RXDc6YTDrFo2KDLtDSfzph3OvjIbC/view?usp=drivesdk" TargetMode="External"/><Relationship Id="rId1885" Type="http://schemas.openxmlformats.org/officeDocument/2006/relationships/hyperlink" Target="https://drive.google.com/file/d/1tMGoVpbtDFtck0Do4-BXZXkhvfxWK4_w/view?usp=drivesdk" TargetMode="External"/><Relationship Id="rId1886" Type="http://schemas.openxmlformats.org/officeDocument/2006/relationships/hyperlink" Target="https://drive.google.com/file/d/1NbjlaalrypQ5D9XTmt1g07siKS5I3onB/view?usp=drivesdk" TargetMode="External"/><Relationship Id="rId1887" Type="http://schemas.openxmlformats.org/officeDocument/2006/relationships/hyperlink" Target="https://drive.google.com/file/d/1jJdTP_p-XwgseRPVt_cwXMHOJMi_vCVy/view?usp=drivesdk" TargetMode="External"/><Relationship Id="rId1888" Type="http://schemas.openxmlformats.org/officeDocument/2006/relationships/hyperlink" Target="https://drive.google.com/file/d/1Lc_KiS2O979xEJEOd_5EoUgAdMzpsmhU/view?usp=drivesdk" TargetMode="External"/><Relationship Id="rId1889" Type="http://schemas.openxmlformats.org/officeDocument/2006/relationships/hyperlink" Target="https://drive.google.com/file/d/1IBgMA7OV80W2ZhvUiA2XCJuEFimREr7-/view?usp=drivesdk" TargetMode="External"/><Relationship Id="rId1880" Type="http://schemas.openxmlformats.org/officeDocument/2006/relationships/hyperlink" Target="https://drive.google.com/file/d/1tQzCNxQrt3ve-ygQAdmqs-vbCYFIU_Sp/view?usp=drivesdk" TargetMode="External"/><Relationship Id="rId1881" Type="http://schemas.openxmlformats.org/officeDocument/2006/relationships/hyperlink" Target="https://drive.google.com/file/d/1KKg2i3bfyM5ozRYTIqp9fQ8tiA7JVYRq/view?usp=drivesdk" TargetMode="External"/><Relationship Id="rId1882" Type="http://schemas.openxmlformats.org/officeDocument/2006/relationships/hyperlink" Target="https://drive.google.com/file/d/1aWmt5ZuqcHQSkeAFQBnHXqTclcPCl98X/view?usp=drivesdk" TargetMode="External"/><Relationship Id="rId1883" Type="http://schemas.openxmlformats.org/officeDocument/2006/relationships/hyperlink" Target="https://drive.google.com/file/d/1ZBHVhB6nPs3P8jLmwfcw57fDS0Tp1_KA/view?usp=drivesdk" TargetMode="External"/><Relationship Id="rId1910" Type="http://schemas.openxmlformats.org/officeDocument/2006/relationships/hyperlink" Target="https://drive.google.com/file/d/1xRQbLwsem3XzdNbRp_wA9FCXw78LNi-1/view?usp=drivesdk" TargetMode="External"/><Relationship Id="rId1911" Type="http://schemas.openxmlformats.org/officeDocument/2006/relationships/hyperlink" Target="https://drive.google.com/file/d/1a1UizuzcR1Odv6hOh6s_Cu6xks-EgjAK/view?usp=drivesdk" TargetMode="External"/><Relationship Id="rId1912" Type="http://schemas.openxmlformats.org/officeDocument/2006/relationships/hyperlink" Target="https://drive.google.com/file/d/1tx3xh6lp3bYAlB8M3vJfhXhlckyCzT8X/view?usp=drivesdk" TargetMode="External"/><Relationship Id="rId1913" Type="http://schemas.openxmlformats.org/officeDocument/2006/relationships/hyperlink" Target="https://drive.google.com/file/d/18eRSwFvaMWo2RAm5jZHLk9Geo-DbZAme/view?usp=drivesdk" TargetMode="External"/><Relationship Id="rId1914" Type="http://schemas.openxmlformats.org/officeDocument/2006/relationships/hyperlink" Target="https://drive.google.com/file/d/1q4FB9Jnn2YZa-UE-6KhHGqXjOPeBE58w/view?usp=drivesdk" TargetMode="External"/><Relationship Id="rId1915" Type="http://schemas.openxmlformats.org/officeDocument/2006/relationships/hyperlink" Target="https://drive.google.com/file/d/1qPezSDT2iFVIcwDE96tqYqhkbykTGs_w/view?usp=drivesdk" TargetMode="External"/><Relationship Id="rId1916" Type="http://schemas.openxmlformats.org/officeDocument/2006/relationships/hyperlink" Target="https://drive.google.com/file/d/1oIsSxSXdPZiI9hGJu89KxW2C7mKMrmsT/view?usp=drivesdk" TargetMode="External"/><Relationship Id="rId1917" Type="http://schemas.openxmlformats.org/officeDocument/2006/relationships/hyperlink" Target="https://drive.google.com/file/d/1tH1AjmivUV3H-h7-5tiIRzBr6pIabqto/view?usp=drivesdk" TargetMode="External"/><Relationship Id="rId1918" Type="http://schemas.openxmlformats.org/officeDocument/2006/relationships/hyperlink" Target="https://drive.google.com/file/d/1QHXUmWmWHhS0EqHQoe4XevJZjaa3MqzX/view?usp=drivesdk" TargetMode="External"/><Relationship Id="rId1919" Type="http://schemas.openxmlformats.org/officeDocument/2006/relationships/hyperlink" Target="https://drive.google.com/file/d/1b9YAewE-yYDy1lOaPGlIbnEMKf8eMAzP/view?usp=drivesdk" TargetMode="External"/><Relationship Id="rId1900" Type="http://schemas.openxmlformats.org/officeDocument/2006/relationships/hyperlink" Target="https://drive.google.com/file/d/1_Bx_zF8_KV2Bd3nPciLgA80_2HwtxDdg/view?usp=drivesdk" TargetMode="External"/><Relationship Id="rId1901" Type="http://schemas.openxmlformats.org/officeDocument/2006/relationships/hyperlink" Target="https://drive.google.com/file/d/1FC1qHEm6CYt2dvKw1RdvX2oOt-LK31aA/view?usp=drivesdk" TargetMode="External"/><Relationship Id="rId1902" Type="http://schemas.openxmlformats.org/officeDocument/2006/relationships/hyperlink" Target="https://drive.google.com/file/d/1Qh6KMtMuWWU_x8nnZ6rjb80aSWX1j1us/view?usp=drivesdk" TargetMode="External"/><Relationship Id="rId1903" Type="http://schemas.openxmlformats.org/officeDocument/2006/relationships/hyperlink" Target="https://drive.google.com/file/d/1C9U5CMfOwZwe1P_dlu79fAQfjsMxAAfv/view?usp=drivesdk" TargetMode="External"/><Relationship Id="rId1904" Type="http://schemas.openxmlformats.org/officeDocument/2006/relationships/hyperlink" Target="https://drive.google.com/file/d/1qW2ubu-QV_uUN3LSvmtcNbPCqCkcTwB9/view?usp=drivesdk" TargetMode="External"/><Relationship Id="rId1905" Type="http://schemas.openxmlformats.org/officeDocument/2006/relationships/hyperlink" Target="https://drive.google.com/file/d/1LWnn8BW12ohtdy3k04HDpMXyoHt5STEo/view?usp=drivesdk" TargetMode="External"/><Relationship Id="rId1906" Type="http://schemas.openxmlformats.org/officeDocument/2006/relationships/hyperlink" Target="https://drive.google.com/file/d/1r0KQAOolojE4crKDHUBCt1bppTXbvYez/view?usp=drivesdk" TargetMode="External"/><Relationship Id="rId1907" Type="http://schemas.openxmlformats.org/officeDocument/2006/relationships/hyperlink" Target="https://drive.google.com/file/d/1-jXUDNaRPtEyrAzvLOTcFHb8r1hObcBq/view?usp=drivesdk" TargetMode="External"/><Relationship Id="rId1908" Type="http://schemas.openxmlformats.org/officeDocument/2006/relationships/hyperlink" Target="https://drive.google.com/file/d/1kZA9rCFW_K8mSH5Ii-rGCo8hXEaU9zXo/view?usp=drivesdk" TargetMode="External"/><Relationship Id="rId1909" Type="http://schemas.openxmlformats.org/officeDocument/2006/relationships/hyperlink" Target="https://drive.google.com/file/d/1ZHfHh1lQs2mVdOVBd6W6DOgUjfZFOoBB/view?usp=drivesdk" TargetMode="External"/><Relationship Id="rId1972" Type="http://schemas.openxmlformats.org/officeDocument/2006/relationships/hyperlink" Target="https://drive.google.com/file/d/1JrcJI12n7Xs9GjrFMCP-Lt5wLh6zpxWZ/view?usp=drivesdk" TargetMode="External"/><Relationship Id="rId1973" Type="http://schemas.openxmlformats.org/officeDocument/2006/relationships/hyperlink" Target="https://drive.google.com/file/d/1UcYRlSenOQJWfNzTQVEvGAXNbCrpQRzj/view?usp=drivesdk" TargetMode="External"/><Relationship Id="rId1974" Type="http://schemas.openxmlformats.org/officeDocument/2006/relationships/hyperlink" Target="https://drive.google.com/file/d/1BOdRZcynvgQm-ZmoHYfb7pmXCRfB095C/view?usp=drivesdk" TargetMode="External"/><Relationship Id="rId1975" Type="http://schemas.openxmlformats.org/officeDocument/2006/relationships/hyperlink" Target="https://drive.google.com/file/d/1pudCk9zSvaN4PTDthkcODTpMmU0diaTf/view?usp=drivesdk" TargetMode="External"/><Relationship Id="rId1976" Type="http://schemas.openxmlformats.org/officeDocument/2006/relationships/hyperlink" Target="https://drive.google.com/file/d/1iojiTIhb1p4L5PR1uQmhF3Q3DzyJzWeG/view?usp=drivesdk" TargetMode="External"/><Relationship Id="rId1977" Type="http://schemas.openxmlformats.org/officeDocument/2006/relationships/hyperlink" Target="https://drive.google.com/file/d/1zOasguDHf0W6fe0d8I3C-CCz9xpIywmv/view?usp=drivesdk" TargetMode="External"/><Relationship Id="rId1978" Type="http://schemas.openxmlformats.org/officeDocument/2006/relationships/hyperlink" Target="https://drive.google.com/file/d/1N4osntDw_bAWSm_78FjSxJhrAlFgRefU/view?usp=drivesdk" TargetMode="External"/><Relationship Id="rId1979" Type="http://schemas.openxmlformats.org/officeDocument/2006/relationships/hyperlink" Target="https://drive.google.com/file/d/1XyXyoMOVGqjt6YtURRTKS_oV1ANwYLYm/view?usp=drivesdk" TargetMode="External"/><Relationship Id="rId1970" Type="http://schemas.openxmlformats.org/officeDocument/2006/relationships/hyperlink" Target="https://drive.google.com/file/d/1mt3fyAcwDOf7jeLf0UTGDKpYFP7ha3-b/view?usp=drivesdk" TargetMode="External"/><Relationship Id="rId1971" Type="http://schemas.openxmlformats.org/officeDocument/2006/relationships/hyperlink" Target="https://drive.google.com/file/d/1cZlxT16L-EfmqFd9d7pk2LXssW_xtzuN/view?usp=drivesdk" TargetMode="External"/><Relationship Id="rId1961" Type="http://schemas.openxmlformats.org/officeDocument/2006/relationships/hyperlink" Target="https://drive.google.com/file/d/1eL1M13b90f3Aa_No6ckin1Nr-y_Nb8Ek/view?usp=drivesdk" TargetMode="External"/><Relationship Id="rId1962" Type="http://schemas.openxmlformats.org/officeDocument/2006/relationships/hyperlink" Target="https://drive.google.com/file/d/1Q0gCuntEi_xgVlrHNuaLlG5iH5g6dR6W/view?usp=drivesdk" TargetMode="External"/><Relationship Id="rId1963" Type="http://schemas.openxmlformats.org/officeDocument/2006/relationships/hyperlink" Target="https://drive.google.com/file/d/12z3NJNqfWu_Pl_Lr3k1hFC2Ejwaz3dZs/view?usp=drivesdk" TargetMode="External"/><Relationship Id="rId1964" Type="http://schemas.openxmlformats.org/officeDocument/2006/relationships/hyperlink" Target="https://drive.google.com/file/d/1ch_qiLN5xteQIZohvSbFLj0ySgQMf278/view?usp=drivesdk" TargetMode="External"/><Relationship Id="rId1965" Type="http://schemas.openxmlformats.org/officeDocument/2006/relationships/hyperlink" Target="https://drive.google.com/file/d/187pomCOOZLYTIGbVRL0lVudzVrcLF-PJ/view?usp=drivesdk" TargetMode="External"/><Relationship Id="rId1966" Type="http://schemas.openxmlformats.org/officeDocument/2006/relationships/hyperlink" Target="https://drive.google.com/file/d/198dZprrCgQqRL0tOenVeK28GXeQxms-W/view?usp=drivesdk" TargetMode="External"/><Relationship Id="rId1967" Type="http://schemas.openxmlformats.org/officeDocument/2006/relationships/hyperlink" Target="https://drive.google.com/file/d/1d0JPh61h1CaowS15a3vPpUJ0aaVtSaS3/view?usp=drivesdk" TargetMode="External"/><Relationship Id="rId1968" Type="http://schemas.openxmlformats.org/officeDocument/2006/relationships/hyperlink" Target="https://drive.google.com/file/d/1OExjfn4uJjPg7PTTB-U6Xam68wHOvsuj/view?usp=drivesdk" TargetMode="External"/><Relationship Id="rId1969" Type="http://schemas.openxmlformats.org/officeDocument/2006/relationships/hyperlink" Target="https://drive.google.com/file/d/1k5PhfKl4j0JfSmlqe_m3qFtP4qOcTgih/view?usp=drivesdk" TargetMode="External"/><Relationship Id="rId1960" Type="http://schemas.openxmlformats.org/officeDocument/2006/relationships/hyperlink" Target="https://drive.google.com/file/d/1cytReAKv55YJwyyxd2HH1uSR9dxrsEOX/view?usp=drivesdk" TargetMode="External"/><Relationship Id="rId1994" Type="http://schemas.openxmlformats.org/officeDocument/2006/relationships/hyperlink" Target="https://drive.google.com/file/d/1-jA7mxT0ArBmA1COQ2GfZJKTO97EcqEO/view?usp=drivesdk" TargetMode="External"/><Relationship Id="rId1995" Type="http://schemas.openxmlformats.org/officeDocument/2006/relationships/hyperlink" Target="https://drive.google.com/file/d/1GYOa-vy0IpUQrPE6jbzLKa1ROAWa9vGN/view?usp=drivesdk" TargetMode="External"/><Relationship Id="rId1996" Type="http://schemas.openxmlformats.org/officeDocument/2006/relationships/hyperlink" Target="https://drive.google.com/file/d/1_b8dA02crIc2VkmSWB1AyCH7svWpgcT-/view?usp=drivesdk" TargetMode="External"/><Relationship Id="rId1997" Type="http://schemas.openxmlformats.org/officeDocument/2006/relationships/hyperlink" Target="https://drive.google.com/file/d/1yw-GFD5pmO5UWaR2NMwJQidutmlmqkKk/view?usp=drivesdk" TargetMode="External"/><Relationship Id="rId1998" Type="http://schemas.openxmlformats.org/officeDocument/2006/relationships/hyperlink" Target="https://drive.google.com/file/d/1Ego8Dqo2g4cPHDzzkRgnH55e-BbGZ4O4/view?usp=drivesdk" TargetMode="External"/><Relationship Id="rId1999" Type="http://schemas.openxmlformats.org/officeDocument/2006/relationships/hyperlink" Target="https://drive.google.com/file/d/1wMlZ9OUtmTE0BeEpA8o7g8IxQcO1Z5Pz/view?usp=drivesdk" TargetMode="External"/><Relationship Id="rId1990" Type="http://schemas.openxmlformats.org/officeDocument/2006/relationships/hyperlink" Target="https://drive.google.com/file/d/1r3p4ZSp53GWAONHAnyP3mH63Wzbq3oNR/view?usp=drivesdk" TargetMode="External"/><Relationship Id="rId1991" Type="http://schemas.openxmlformats.org/officeDocument/2006/relationships/hyperlink" Target="https://drive.google.com/file/d/1OWJxgWFQemkHowDOt1ppmywubPC_oBs0/view?usp=drivesdk" TargetMode="External"/><Relationship Id="rId1992" Type="http://schemas.openxmlformats.org/officeDocument/2006/relationships/hyperlink" Target="https://drive.google.com/file/d/1maTf2f0m19x8nINq_KuhVF1FZ4vHnJ-X/view?usp=drivesdk" TargetMode="External"/><Relationship Id="rId1993" Type="http://schemas.openxmlformats.org/officeDocument/2006/relationships/hyperlink" Target="https://drive.google.com/file/d/14QCjhGUOFy1RbSb6OqP7TlgXwGuqUAVD/view?usp=drivesdk" TargetMode="External"/><Relationship Id="rId1983" Type="http://schemas.openxmlformats.org/officeDocument/2006/relationships/hyperlink" Target="https://drive.google.com/file/d/1_-d467bw3QuUc3xlQE16lxzK-2K9R5R_/view?usp=drivesdk" TargetMode="External"/><Relationship Id="rId1984" Type="http://schemas.openxmlformats.org/officeDocument/2006/relationships/hyperlink" Target="https://drive.google.com/file/d/1jHJv7u3sk9eGjc50CyX71jS1c4AFllGJ/view?usp=drivesdk" TargetMode="External"/><Relationship Id="rId1985" Type="http://schemas.openxmlformats.org/officeDocument/2006/relationships/hyperlink" Target="https://drive.google.com/file/d/1mxfImIM1yD53j-DujuF_EsQO6G9eLm2w/view?usp=drivesdk" TargetMode="External"/><Relationship Id="rId1986" Type="http://schemas.openxmlformats.org/officeDocument/2006/relationships/hyperlink" Target="https://drive.google.com/file/d/1P0n8lj_1rTjcd5Jgy7bTDMPmJAgFNMeD/view?usp=drivesdk" TargetMode="External"/><Relationship Id="rId1987" Type="http://schemas.openxmlformats.org/officeDocument/2006/relationships/hyperlink" Target="https://drive.google.com/file/d/1YZykOuEQr5Oen3Lj8W_OAT-bYanB7g-e/view?usp=drivesdk" TargetMode="External"/><Relationship Id="rId1988" Type="http://schemas.openxmlformats.org/officeDocument/2006/relationships/hyperlink" Target="https://drive.google.com/file/d/18gR6LO4f15bsSSNGupajQfuSe5ZTaoVE/view?usp=drivesdk" TargetMode="External"/><Relationship Id="rId1989" Type="http://schemas.openxmlformats.org/officeDocument/2006/relationships/hyperlink" Target="https://drive.google.com/file/d/1fuHDR5_biNkozrbeEAqnaFPxSW0RQiOR/view?usp=drivesdk" TargetMode="External"/><Relationship Id="rId1980" Type="http://schemas.openxmlformats.org/officeDocument/2006/relationships/hyperlink" Target="https://drive.google.com/file/d/1tZeVSk1fxLs2ba95fJLzAaC8bMoYdcB4/view?usp=drivesdk" TargetMode="External"/><Relationship Id="rId1981" Type="http://schemas.openxmlformats.org/officeDocument/2006/relationships/hyperlink" Target="https://drive.google.com/file/d/1tytXRrGcJ-nLmUXMyZrpu8My0Zl2dmu5/view?usp=drivesdk" TargetMode="External"/><Relationship Id="rId1982" Type="http://schemas.openxmlformats.org/officeDocument/2006/relationships/hyperlink" Target="https://drive.google.com/file/d/1YhYA82_hbwa6EWb9k6ztvnMjRnBMZRXk/view?usp=drivesdk" TargetMode="External"/><Relationship Id="rId1930" Type="http://schemas.openxmlformats.org/officeDocument/2006/relationships/hyperlink" Target="https://drive.google.com/file/d/1OxjK93w-FttJThpn6c2gAXW-F5eNUZWW/view?usp=drivesdk" TargetMode="External"/><Relationship Id="rId1931" Type="http://schemas.openxmlformats.org/officeDocument/2006/relationships/hyperlink" Target="https://drive.google.com/file/d/16grxy4USKK-WeTpOVWuM4lr-H9d0QtI9/view?usp=drivesdk" TargetMode="External"/><Relationship Id="rId1932" Type="http://schemas.openxmlformats.org/officeDocument/2006/relationships/hyperlink" Target="https://drive.google.com/file/d/1OKPKtNZ_gIublyvR159w3i6iJGTXnjCI/view?usp=drivesdk" TargetMode="External"/><Relationship Id="rId1933" Type="http://schemas.openxmlformats.org/officeDocument/2006/relationships/hyperlink" Target="https://drive.google.com/file/d/1oHkhcKvYbTHfTr2YpYHrha_HfJQFTgbM/view?usp=drivesdk" TargetMode="External"/><Relationship Id="rId1934" Type="http://schemas.openxmlformats.org/officeDocument/2006/relationships/hyperlink" Target="https://drive.google.com/file/d/1d8vBuX4RHQrzlJuh-j1mvN94R1IahJcp/view?usp=drivesdk" TargetMode="External"/><Relationship Id="rId1935" Type="http://schemas.openxmlformats.org/officeDocument/2006/relationships/hyperlink" Target="https://drive.google.com/file/d/1AuvRg3tnao45oUyxvNHn6chmEqHgtinh/view?usp=drivesdk" TargetMode="External"/><Relationship Id="rId1936" Type="http://schemas.openxmlformats.org/officeDocument/2006/relationships/hyperlink" Target="https://drive.google.com/file/d/1GAFc3Ns9qXf1xDqEcrSwwnz8HlPPCLjU/view?usp=drivesdk" TargetMode="External"/><Relationship Id="rId1937" Type="http://schemas.openxmlformats.org/officeDocument/2006/relationships/hyperlink" Target="https://drive.google.com/file/d/1cJXasOll3E4M3DsY16F11AMmzmJEfdsS/view?usp=drivesdk" TargetMode="External"/><Relationship Id="rId1938" Type="http://schemas.openxmlformats.org/officeDocument/2006/relationships/hyperlink" Target="https://drive.google.com/file/d/16yYsf9gApE_2Jqb3SKt66moUVc36vfgS/view?usp=drivesdk" TargetMode="External"/><Relationship Id="rId1939" Type="http://schemas.openxmlformats.org/officeDocument/2006/relationships/hyperlink" Target="https://drive.google.com/file/d/1tMVMo8Zc8AVdufH8U_zrTz5XxBI1F5KB/view?usp=drivesdk" TargetMode="External"/><Relationship Id="rId1920" Type="http://schemas.openxmlformats.org/officeDocument/2006/relationships/hyperlink" Target="https://drive.google.com/file/d/1CMDHyPa-4Ug5mL0SFBBKMay1A70SkDPh/view?usp=drivesdk" TargetMode="External"/><Relationship Id="rId1921" Type="http://schemas.openxmlformats.org/officeDocument/2006/relationships/hyperlink" Target="https://drive.google.com/file/d/11fWszxZ-xsw6M2KHCV13Wcy1ac2uGtWd/view?usp=drivesdk" TargetMode="External"/><Relationship Id="rId1922" Type="http://schemas.openxmlformats.org/officeDocument/2006/relationships/hyperlink" Target="https://drive.google.com/file/d/12djq_NX5VEFyGTCVRhlYjLZrIWz-3mIo/view?usp=drivesdk" TargetMode="External"/><Relationship Id="rId1923" Type="http://schemas.openxmlformats.org/officeDocument/2006/relationships/hyperlink" Target="https://drive.google.com/file/d/1kqmAQJqGwoP97q7XG0dYaQvVLwEd6MCX/view?usp=drivesdk" TargetMode="External"/><Relationship Id="rId1924" Type="http://schemas.openxmlformats.org/officeDocument/2006/relationships/hyperlink" Target="https://drive.google.com/file/d/1WzmGm479PijjKK6osvx-PSPiK7Fz3cHC/view?usp=drivesdk" TargetMode="External"/><Relationship Id="rId1925" Type="http://schemas.openxmlformats.org/officeDocument/2006/relationships/hyperlink" Target="https://drive.google.com/file/d/1SxJFy9SueUHZOeyowitMq1YNSoGeSmRE/view?usp=drivesdk" TargetMode="External"/><Relationship Id="rId1926" Type="http://schemas.openxmlformats.org/officeDocument/2006/relationships/hyperlink" Target="https://drive.google.com/file/d/1hXTSfUd5yDEMtw_LA3dg1X2QdVCkFCZD/view?usp=drivesdk" TargetMode="External"/><Relationship Id="rId1927" Type="http://schemas.openxmlformats.org/officeDocument/2006/relationships/hyperlink" Target="https://drive.google.com/file/d/1CYzdgK6q59Yd6wQmcn5ycR6IUo9ux28v/view?usp=drivesdk" TargetMode="External"/><Relationship Id="rId1928" Type="http://schemas.openxmlformats.org/officeDocument/2006/relationships/hyperlink" Target="https://drive.google.com/file/d/1I-y1LDctPnrlawAY1l6DK9AYEZ7A0SgT/view?usp=drivesdk" TargetMode="External"/><Relationship Id="rId1929" Type="http://schemas.openxmlformats.org/officeDocument/2006/relationships/hyperlink" Target="https://drive.google.com/file/d/1nufEuaspDEa33ald1WnPA3FJe7u32-Ze/view?usp=drivesdk" TargetMode="External"/><Relationship Id="rId1950" Type="http://schemas.openxmlformats.org/officeDocument/2006/relationships/hyperlink" Target="https://drive.google.com/file/d/1oI5VXcLjxtWUe1D8TpzC2l1dt1DvZytS/view?usp=drivesdk" TargetMode="External"/><Relationship Id="rId1951" Type="http://schemas.openxmlformats.org/officeDocument/2006/relationships/hyperlink" Target="https://drive.google.com/file/d/1J1-jSx13Rys7eZtcKrtPtYmt9rhcHsMa/view?usp=drivesdk" TargetMode="External"/><Relationship Id="rId1952" Type="http://schemas.openxmlformats.org/officeDocument/2006/relationships/hyperlink" Target="https://drive.google.com/file/d/1Fd3AYMC2eZ4g-Icyf4RebocLw4SQE4YF/view?usp=drivesdk" TargetMode="External"/><Relationship Id="rId1953" Type="http://schemas.openxmlformats.org/officeDocument/2006/relationships/hyperlink" Target="https://drive.google.com/file/d/12EujYx1wOnQ8kQFffuKIS4ngpBwe5dee/view?usp=drivesdk" TargetMode="External"/><Relationship Id="rId1954" Type="http://schemas.openxmlformats.org/officeDocument/2006/relationships/hyperlink" Target="https://drive.google.com/file/d/138rSDp3rySntHjA-8onNNC75sAWw0vWE/view?usp=drivesdk" TargetMode="External"/><Relationship Id="rId1955" Type="http://schemas.openxmlformats.org/officeDocument/2006/relationships/hyperlink" Target="https://drive.google.com/file/d/1XaFxw4uuf5vResD0mI8J8XiCpBiolTzH/view?usp=drivesdk" TargetMode="External"/><Relationship Id="rId1956" Type="http://schemas.openxmlformats.org/officeDocument/2006/relationships/hyperlink" Target="https://drive.google.com/file/d/1bG1pElJyQAWTnPfFeHv4WPPhyN8U5_Xo/view?usp=drivesdk" TargetMode="External"/><Relationship Id="rId1957" Type="http://schemas.openxmlformats.org/officeDocument/2006/relationships/hyperlink" Target="https://drive.google.com/file/d/1iVBI5NKOQWwhAtnPbBS5lb4nHqpvJPjW/view?usp=drivesdk" TargetMode="External"/><Relationship Id="rId1958" Type="http://schemas.openxmlformats.org/officeDocument/2006/relationships/hyperlink" Target="https://drive.google.com/file/d/1ef7AgOYovhZmR20b5Q2DkmK2_bpVf_tq/view?usp=drivesdk" TargetMode="External"/><Relationship Id="rId1959" Type="http://schemas.openxmlformats.org/officeDocument/2006/relationships/hyperlink" Target="https://drive.google.com/file/d/1amoFRvcsUo04bNGmdVCS9vqqiCMo9x-Z/view?usp=drivesdk" TargetMode="External"/><Relationship Id="rId1940" Type="http://schemas.openxmlformats.org/officeDocument/2006/relationships/hyperlink" Target="https://drive.google.com/file/d/1HyWYUepl1byzaYoyM4Su_5ppJFJq7zRy/view?usp=drivesdk" TargetMode="External"/><Relationship Id="rId1941" Type="http://schemas.openxmlformats.org/officeDocument/2006/relationships/hyperlink" Target="https://drive.google.com/file/d/1gLtleYo0CRVc7jmJI149yXlUAZWASTOq/view?usp=drivesdk" TargetMode="External"/><Relationship Id="rId1942" Type="http://schemas.openxmlformats.org/officeDocument/2006/relationships/hyperlink" Target="https://drive.google.com/file/d/1skjSIHpRS6pDwD7CeZFz7ecklcKHWRMI/view?usp=drivesdk" TargetMode="External"/><Relationship Id="rId1943" Type="http://schemas.openxmlformats.org/officeDocument/2006/relationships/hyperlink" Target="https://drive.google.com/file/d/16EaAlbgfD-4vpu-tlTelK-NgQtAezxzT/view?usp=drivesdk" TargetMode="External"/><Relationship Id="rId1944" Type="http://schemas.openxmlformats.org/officeDocument/2006/relationships/hyperlink" Target="https://drive.google.com/file/d/1fAbxfj9PglCqZjzxCtyC0yO2k2Me3WPN/view?usp=drivesdk" TargetMode="External"/><Relationship Id="rId1945" Type="http://schemas.openxmlformats.org/officeDocument/2006/relationships/hyperlink" Target="https://drive.google.com/file/d/1bzldVyQ2_QTdtTEByFUlgfr7ANL-6wrn/view?usp=drivesdk" TargetMode="External"/><Relationship Id="rId1946" Type="http://schemas.openxmlformats.org/officeDocument/2006/relationships/hyperlink" Target="https://drive.google.com/file/d/1K36hGgGVvbEe0ACizWvTWGDOiufOivWI/view?usp=drivesdk" TargetMode="External"/><Relationship Id="rId1947" Type="http://schemas.openxmlformats.org/officeDocument/2006/relationships/hyperlink" Target="https://drive.google.com/file/d/1TdY9Hy49zjYhUG6E4V5W8g0wTgwMBdXa/view?usp=drivesdk" TargetMode="External"/><Relationship Id="rId1948" Type="http://schemas.openxmlformats.org/officeDocument/2006/relationships/hyperlink" Target="https://drive.google.com/file/d/18jdAVU0g5KH_U-RnpQtAoGMX-LCDl6QF/view?usp=drivesdk" TargetMode="External"/><Relationship Id="rId1949" Type="http://schemas.openxmlformats.org/officeDocument/2006/relationships/hyperlink" Target="https://drive.google.com/file/d/1Epbck5SqpKIvXa13lluOmFCl_zLsHUBs/view?usp=drivesdk" TargetMode="External"/><Relationship Id="rId1" Type="http://schemas.openxmlformats.org/officeDocument/2006/relationships/hyperlink" Target="https://drive.google.com/file/d/15jPER5BaQuBSX5VEs0hQtAx-a8mLWvGk/view?usp=drivesdk" TargetMode="External"/><Relationship Id="rId2" Type="http://schemas.openxmlformats.org/officeDocument/2006/relationships/hyperlink" Target="https://drive.google.com/file/d/1j2QV6eO1_3RlAIyOA7-tf7AELCux1abB/view?usp=drivesdk" TargetMode="External"/><Relationship Id="rId3" Type="http://schemas.openxmlformats.org/officeDocument/2006/relationships/hyperlink" Target="https://drive.google.com/file/d/1E7CjfZ0aJEUgxxuhRDCL7bWpERORvwtG/view?usp=drivesdk" TargetMode="External"/><Relationship Id="rId4" Type="http://schemas.openxmlformats.org/officeDocument/2006/relationships/hyperlink" Target="https://drive.google.com/file/d/1lAvZx9E4zbzHLmf1WAd-Jy48kDIj0iDg/view?usp=drivesdk" TargetMode="External"/><Relationship Id="rId9" Type="http://schemas.openxmlformats.org/officeDocument/2006/relationships/hyperlink" Target="https://drive.google.com/file/d/1Nthirzo-zkIeTQ1EdDiUHoX3j4AK3RSY/view?usp=drivesdk" TargetMode="External"/><Relationship Id="rId5" Type="http://schemas.openxmlformats.org/officeDocument/2006/relationships/hyperlink" Target="https://drive.google.com/file/d/1pqPyhPt7alclYpmC6jjhk-ZvJTqVwn_f/view?usp=drivesdk" TargetMode="External"/><Relationship Id="rId6" Type="http://schemas.openxmlformats.org/officeDocument/2006/relationships/hyperlink" Target="https://drive.google.com/file/d/1yDB-diJ4di5QQD9g9LVw0uJMTsU2RTGj/view?usp=drivesdk" TargetMode="External"/><Relationship Id="rId7" Type="http://schemas.openxmlformats.org/officeDocument/2006/relationships/hyperlink" Target="https://drive.google.com/file/d/1HmV49TqD0EhgeEkh6eGnrIlGdpEWVLf5/view?usp=drivesdk" TargetMode="External"/><Relationship Id="rId8" Type="http://schemas.openxmlformats.org/officeDocument/2006/relationships/hyperlink" Target="https://drive.google.com/file/d/1DpAorMqVOW3u3Ww0aHdpvn-IOCxvmi8i/view?usp=drivesdk" TargetMode="External"/><Relationship Id="rId2600" Type="http://schemas.openxmlformats.org/officeDocument/2006/relationships/hyperlink" Target="https://drive.google.com/file/d/1AxBp9hXc4JqBBAmrBtqdgI00-wj4_aZN/view?usp=drivesdk" TargetMode="External"/><Relationship Id="rId2601" Type="http://schemas.openxmlformats.org/officeDocument/2006/relationships/hyperlink" Target="https://drive.google.com/file/d/1tpWmkAfXI8djjTlogZXrtZKBV7KMy5Xc/view?usp=drivesdk" TargetMode="External"/><Relationship Id="rId2602" Type="http://schemas.openxmlformats.org/officeDocument/2006/relationships/hyperlink" Target="https://drive.google.com/file/d/13X89HJqbZ37eX8L5cF7pUc3rdsFon6Xu/view?usp=drivesdk" TargetMode="External"/><Relationship Id="rId2603" Type="http://schemas.openxmlformats.org/officeDocument/2006/relationships/hyperlink" Target="https://drive.google.com/file/d/1PTgpjue_cHZWyCBT6OtRsr4EBLBuivzR/view?usp=drivesdk" TargetMode="External"/><Relationship Id="rId2604" Type="http://schemas.openxmlformats.org/officeDocument/2006/relationships/hyperlink" Target="https://drive.google.com/file/d/11Jg0t83hCCe48ka79dGEWWsvxSc2xMAY/view?usp=drivesdk" TargetMode="External"/><Relationship Id="rId2605" Type="http://schemas.openxmlformats.org/officeDocument/2006/relationships/hyperlink" Target="https://drive.google.com/file/d/11Dq1MKjxa-oebWmeC-2QH0WjvZ9yiD3N/view?usp=drivesdk" TargetMode="External"/><Relationship Id="rId2606" Type="http://schemas.openxmlformats.org/officeDocument/2006/relationships/hyperlink" Target="https://drive.google.com/file/d/1ElCh7aki_N1whSdbjt3EW3Cj9M-ZDUS4/view?usp=drivesdk" TargetMode="External"/><Relationship Id="rId2607" Type="http://schemas.openxmlformats.org/officeDocument/2006/relationships/hyperlink" Target="https://drive.google.com/file/d/1L5vYvVdT4X9gMb5ABaVKNp5hKIKKGLWJ/view?usp=drivesdk" TargetMode="External"/><Relationship Id="rId2608" Type="http://schemas.openxmlformats.org/officeDocument/2006/relationships/hyperlink" Target="https://drive.google.com/file/d/1XVteSAoNjKRrskmQ8LLKr7DTEnlHL2Oe/view?usp=drivesdk" TargetMode="External"/><Relationship Id="rId2609" Type="http://schemas.openxmlformats.org/officeDocument/2006/relationships/hyperlink" Target="https://drive.google.com/file/d/1xanLiyvMUV3uFMMqM8eyl2UcYLROIFr9/view?usp=drivesdk" TargetMode="External"/><Relationship Id="rId1334" Type="http://schemas.openxmlformats.org/officeDocument/2006/relationships/hyperlink" Target="https://drive.google.com/file/d/1wf5QvaLEm9QVy54RSiLIs_ocMnWBy9Jy/view?usp=drivesdk" TargetMode="External"/><Relationship Id="rId2665" Type="http://schemas.openxmlformats.org/officeDocument/2006/relationships/hyperlink" Target="https://drive.google.com/file/d/14rTdWGf4IK537z5rmLl4W1VMO5qGmT1w/view?usp=drivesdk" TargetMode="External"/><Relationship Id="rId1335" Type="http://schemas.openxmlformats.org/officeDocument/2006/relationships/hyperlink" Target="https://drive.google.com/file/d/1cKWHFHFzKx6Bcnq7FQvoLit3pWIFesvr/view?usp=drivesdk" TargetMode="External"/><Relationship Id="rId2666" Type="http://schemas.openxmlformats.org/officeDocument/2006/relationships/hyperlink" Target="https://drive.google.com/file/d/1HZjvzg9x4umS4kuqBbPB1UgB4rPPs840/view?usp=drivesdk" TargetMode="External"/><Relationship Id="rId1336" Type="http://schemas.openxmlformats.org/officeDocument/2006/relationships/hyperlink" Target="https://drive.google.com/file/d/1Jmg9V9YRGZR_o9V6I2-fg1xO9DtdV_jA/view?usp=drivesdk" TargetMode="External"/><Relationship Id="rId2667" Type="http://schemas.openxmlformats.org/officeDocument/2006/relationships/hyperlink" Target="https://drive.google.com/file/d/1FUkBcGbJGf_OgS7zU8ceApKNVsvoyCgv/view?usp=drivesdk" TargetMode="External"/><Relationship Id="rId1337" Type="http://schemas.openxmlformats.org/officeDocument/2006/relationships/hyperlink" Target="https://drive.google.com/file/d/1w8r0APmuT9mphKRFNCRW9zLNCOBHTjSp/view?usp=drivesdk" TargetMode="External"/><Relationship Id="rId2668" Type="http://schemas.openxmlformats.org/officeDocument/2006/relationships/hyperlink" Target="https://drive.google.com/file/d/1DxhX9h5yib8XrDJhEr0xVzcwwDtu29sK/view?usp=drivesdk" TargetMode="External"/><Relationship Id="rId1338" Type="http://schemas.openxmlformats.org/officeDocument/2006/relationships/hyperlink" Target="https://drive.google.com/file/d/1lIhwNEkG-WQHjWIDCeonNOqona68aZTO/view?usp=drivesdk" TargetMode="External"/><Relationship Id="rId2669" Type="http://schemas.openxmlformats.org/officeDocument/2006/relationships/hyperlink" Target="https://drive.google.com/file/d/1Jp6uIWf8tRxj2SULX9aRisObZTV7I2ID/view?usp=drivesdk" TargetMode="External"/><Relationship Id="rId1339" Type="http://schemas.openxmlformats.org/officeDocument/2006/relationships/hyperlink" Target="https://drive.google.com/file/d/1U0nrpTiwhzPDoHWeyuyfQix2atshFukJ/view?usp=drivesdk" TargetMode="External"/><Relationship Id="rId2660" Type="http://schemas.openxmlformats.org/officeDocument/2006/relationships/hyperlink" Target="https://drive.google.com/file/d/1MRPsa2QODEwp1d10-u56eBOlPo2Xl8_-/view?usp=drivesdk" TargetMode="External"/><Relationship Id="rId1330" Type="http://schemas.openxmlformats.org/officeDocument/2006/relationships/hyperlink" Target="https://drive.google.com/file/d/1DUDZ8UV0YesnhdXcRUKBbrML6Q87LIgo/view?usp=drivesdk" TargetMode="External"/><Relationship Id="rId2661" Type="http://schemas.openxmlformats.org/officeDocument/2006/relationships/hyperlink" Target="https://drive.google.com/file/d/1aLOMLvoWUTP1DI26e3sInUjqyvDJBVDQ/view?usp=drivesdk" TargetMode="External"/><Relationship Id="rId1331" Type="http://schemas.openxmlformats.org/officeDocument/2006/relationships/hyperlink" Target="https://drive.google.com/file/d/1CSIoqZjUxugWaT_wQhd9LWWFYZ1PvFme/view?usp=drivesdk" TargetMode="External"/><Relationship Id="rId2662" Type="http://schemas.openxmlformats.org/officeDocument/2006/relationships/hyperlink" Target="https://drive.google.com/file/d/1cQ0lcyjAzYg7ZtfGNvyEcxCOcG5-jUdo/view?usp=drivesdk" TargetMode="External"/><Relationship Id="rId1332" Type="http://schemas.openxmlformats.org/officeDocument/2006/relationships/hyperlink" Target="https://drive.google.com/file/d/1uzkRIR_pV6eE2vRWj0n3Adi5_FfL_EgN/view?usp=drivesdk" TargetMode="External"/><Relationship Id="rId2663" Type="http://schemas.openxmlformats.org/officeDocument/2006/relationships/hyperlink" Target="https://drive.google.com/file/d/1UMPzB_QWrQZVoSyCdWYOZ1tgQT4xqvcc/view?usp=drivesdk" TargetMode="External"/><Relationship Id="rId1333" Type="http://schemas.openxmlformats.org/officeDocument/2006/relationships/hyperlink" Target="https://drive.google.com/file/d/1BYuwsR4fotmj3ygVWwITb45AWJrdQ4Ze/view?usp=drivesdk" TargetMode="External"/><Relationship Id="rId2664" Type="http://schemas.openxmlformats.org/officeDocument/2006/relationships/hyperlink" Target="https://drive.google.com/file/d/1FU4MVbbyrEItVnVdcW3G_HTFQUDGijEy/view?usp=drivesdk" TargetMode="External"/><Relationship Id="rId1323" Type="http://schemas.openxmlformats.org/officeDocument/2006/relationships/hyperlink" Target="https://drive.google.com/file/d/1njFlT47NdSbJvtwDgb4te8KzrTjxWPIE/view?usp=drivesdk" TargetMode="External"/><Relationship Id="rId2654" Type="http://schemas.openxmlformats.org/officeDocument/2006/relationships/hyperlink" Target="https://drive.google.com/file/d/1ng7ekn_BE3h3tyHCI3QjdZoKtwn8b2c2/view?usp=drivesdk" TargetMode="External"/><Relationship Id="rId1324" Type="http://schemas.openxmlformats.org/officeDocument/2006/relationships/hyperlink" Target="https://drive.google.com/file/d/1Pz49QtywYQKFNJoKAji8R-Y0gDTQUxDH/view?usp=drivesdk" TargetMode="External"/><Relationship Id="rId2655" Type="http://schemas.openxmlformats.org/officeDocument/2006/relationships/hyperlink" Target="https://drive.google.com/file/d/13Nb8iWiJh5wsOltVe2RAWV5_qOWg93AJ/view?usp=drivesdk" TargetMode="External"/><Relationship Id="rId1325" Type="http://schemas.openxmlformats.org/officeDocument/2006/relationships/hyperlink" Target="https://drive.google.com/file/d/1LWejys6-VevmA4vqQuNv-2OU10wg9pj1/view?usp=drivesdk" TargetMode="External"/><Relationship Id="rId2656" Type="http://schemas.openxmlformats.org/officeDocument/2006/relationships/hyperlink" Target="https://drive.google.com/file/d/1LQo2ttJqYJ7_ynXKAX0TwK6wiWNxlHhD/view?usp=drivesdk" TargetMode="External"/><Relationship Id="rId1326" Type="http://schemas.openxmlformats.org/officeDocument/2006/relationships/hyperlink" Target="https://drive.google.com/file/d/1dnE5dNiolFkUvFVJnQCBwoxRdHOUNfYd/view?usp=drivesdk" TargetMode="External"/><Relationship Id="rId2657" Type="http://schemas.openxmlformats.org/officeDocument/2006/relationships/hyperlink" Target="https://drive.google.com/file/d/1l6aNkHaUo7s8U5OYpggobdVhXsM4s18h/view?usp=drivesdk" TargetMode="External"/><Relationship Id="rId1327" Type="http://schemas.openxmlformats.org/officeDocument/2006/relationships/hyperlink" Target="https://drive.google.com/file/d/1oUcNKhz7HOeHRCVn6eL91m9z4ez02yo9/view?usp=drivesdk" TargetMode="External"/><Relationship Id="rId2658" Type="http://schemas.openxmlformats.org/officeDocument/2006/relationships/hyperlink" Target="https://drive.google.com/file/d/1AkbecOk6QQNJSYs4mGZfeaSFQHOmk9_o/view?usp=drivesdk" TargetMode="External"/><Relationship Id="rId1328" Type="http://schemas.openxmlformats.org/officeDocument/2006/relationships/hyperlink" Target="https://drive.google.com/file/d/15m-g3Yvp2I2Bb7PYjWUz1-iPK60YqbCg/view?usp=drivesdk" TargetMode="External"/><Relationship Id="rId2659" Type="http://schemas.openxmlformats.org/officeDocument/2006/relationships/hyperlink" Target="https://drive.google.com/file/d/1ICXm2PZjWLSU4VgKLru9d9ivFH_vBoOS/view?usp=drivesdk" TargetMode="External"/><Relationship Id="rId1329" Type="http://schemas.openxmlformats.org/officeDocument/2006/relationships/hyperlink" Target="https://drive.google.com/file/d/1pIfQPSgWnBfnGDQf_uK_jz2W0x2iN8-k/view?usp=drivesdk" TargetMode="External"/><Relationship Id="rId2650" Type="http://schemas.openxmlformats.org/officeDocument/2006/relationships/hyperlink" Target="https://drive.google.com/file/d/1rGW9MAb0KAyDNy1sLCKAqmk45AXH8XKt/view?usp=drivesdk" TargetMode="External"/><Relationship Id="rId1320" Type="http://schemas.openxmlformats.org/officeDocument/2006/relationships/hyperlink" Target="https://drive.google.com/file/d/1PQs4s-2JWAmMzO3zlQn0ufq2bYAYA2gW/view?usp=drivesdk" TargetMode="External"/><Relationship Id="rId2651" Type="http://schemas.openxmlformats.org/officeDocument/2006/relationships/hyperlink" Target="https://drive.google.com/file/d/1Ik8M8xM_VfnPVT_1cEVu9bY5bKlBhjZ5/view?usp=drivesdk" TargetMode="External"/><Relationship Id="rId1321" Type="http://schemas.openxmlformats.org/officeDocument/2006/relationships/hyperlink" Target="https://drive.google.com/file/d/1z0SDUYAboO7zpyjX1EKzml_gLuA_1nAU/view?usp=drivesdk" TargetMode="External"/><Relationship Id="rId2652" Type="http://schemas.openxmlformats.org/officeDocument/2006/relationships/hyperlink" Target="https://drive.google.com/file/d/1-Ip0iuDo7JierJuNfEumFsJ7B_x0bfYz/view?usp=drivesdk" TargetMode="External"/><Relationship Id="rId1322" Type="http://schemas.openxmlformats.org/officeDocument/2006/relationships/hyperlink" Target="https://drive.google.com/file/d/16F8-gsF4Cw8DLOCHMyjWhHB0wooK6Y7Q/view?usp=drivesdk" TargetMode="External"/><Relationship Id="rId2653" Type="http://schemas.openxmlformats.org/officeDocument/2006/relationships/hyperlink" Target="https://drive.google.com/file/d/1u4xuwMO7g4Wlwt2NAZF7a6iBommJO0_P/view?usp=drivesdk" TargetMode="External"/><Relationship Id="rId1356" Type="http://schemas.openxmlformats.org/officeDocument/2006/relationships/hyperlink" Target="https://drive.google.com/file/d/1FWfWhJ01k97jTNuRWx6d08XIy7vhqTan/view?usp=drivesdk" TargetMode="External"/><Relationship Id="rId2687" Type="http://schemas.openxmlformats.org/officeDocument/2006/relationships/hyperlink" Target="https://drive.google.com/file/d/1ZFfRQB-L4zsrPg_rehjDj28qKu0m_AYz/view?usp=drivesdk" TargetMode="External"/><Relationship Id="rId1357" Type="http://schemas.openxmlformats.org/officeDocument/2006/relationships/hyperlink" Target="https://drive.google.com/file/d/1GUihyERxovEDMXJXCNUB5mVNHySakUEu/view?usp=drivesdk" TargetMode="External"/><Relationship Id="rId2688" Type="http://schemas.openxmlformats.org/officeDocument/2006/relationships/hyperlink" Target="https://drive.google.com/file/d/1T_qV3vR2BGaIUlMsiJwWE92sP6op67TY/view?usp=drivesdk" TargetMode="External"/><Relationship Id="rId1358" Type="http://schemas.openxmlformats.org/officeDocument/2006/relationships/hyperlink" Target="https://drive.google.com/file/d/1xlNO4ADxgqZYbFzJwkXjU9oxHlhb6183/view?usp=drivesdk" TargetMode="External"/><Relationship Id="rId2689" Type="http://schemas.openxmlformats.org/officeDocument/2006/relationships/hyperlink" Target="https://drive.google.com/file/d/1zzgmNCYLo-m8CY_BJubrXOJhSI6vu6C4/view?usp=drivesdk" TargetMode="External"/><Relationship Id="rId1359" Type="http://schemas.openxmlformats.org/officeDocument/2006/relationships/hyperlink" Target="https://drive.google.com/file/d/1H5LLwQGUjUVkUpUxlO-5u54reRkKOPZL/view?usp=drivesdk" TargetMode="External"/><Relationship Id="rId2680" Type="http://schemas.openxmlformats.org/officeDocument/2006/relationships/hyperlink" Target="https://drive.google.com/file/d/1dWpIrcTXKa3BW8lUTIy8njGFmvtUskl6/view?usp=drivesdk" TargetMode="External"/><Relationship Id="rId1350" Type="http://schemas.openxmlformats.org/officeDocument/2006/relationships/hyperlink" Target="https://drive.google.com/file/d/1cU6h6GSMOfz8AVYbGna0oMNt5yDTGEpp/view?usp=drivesdk" TargetMode="External"/><Relationship Id="rId2681" Type="http://schemas.openxmlformats.org/officeDocument/2006/relationships/hyperlink" Target="https://drive.google.com/file/d/13Ib7ppkEvw34DPFynwoNoYxUUeyVoBfr/view?usp=drivesdk" TargetMode="External"/><Relationship Id="rId1351" Type="http://schemas.openxmlformats.org/officeDocument/2006/relationships/hyperlink" Target="https://drive.google.com/file/d/1mT2pZxetroTTeOZd2MzentycpAbiwIgT/view?usp=drivesdk" TargetMode="External"/><Relationship Id="rId2682" Type="http://schemas.openxmlformats.org/officeDocument/2006/relationships/hyperlink" Target="https://drive.google.com/file/d/1k4vN2xuYL1Em22VYyU9qAdDj7XmczgBn/view?usp=drivesdk" TargetMode="External"/><Relationship Id="rId1352" Type="http://schemas.openxmlformats.org/officeDocument/2006/relationships/hyperlink" Target="https://drive.google.com/file/d/1JAmt9IeJCe6N6wjlCgumjqPR71rLiclV/view?usp=drivesdk" TargetMode="External"/><Relationship Id="rId2683" Type="http://schemas.openxmlformats.org/officeDocument/2006/relationships/hyperlink" Target="https://drive.google.com/file/d/1bJ9eE5H6tOUZ9sgG0ER_qwhaUQhpapnZ/view?usp=drivesdk" TargetMode="External"/><Relationship Id="rId1353" Type="http://schemas.openxmlformats.org/officeDocument/2006/relationships/hyperlink" Target="https://drive.google.com/file/d/1OAvj-dg9GHqOf2-8NqIOBtTPkazHi1LP/view?usp=drivesdk" TargetMode="External"/><Relationship Id="rId2684" Type="http://schemas.openxmlformats.org/officeDocument/2006/relationships/hyperlink" Target="https://drive.google.com/file/d/1nrFo7yFr4upW5p8A3K3-TI2DsCZKh9xt/view?usp=drivesdk" TargetMode="External"/><Relationship Id="rId1354" Type="http://schemas.openxmlformats.org/officeDocument/2006/relationships/hyperlink" Target="https://drive.google.com/file/d/14uu-r-3QMqiJ6FHSaqMFPUXNHOXukaQ8/view?usp=drivesdk" TargetMode="External"/><Relationship Id="rId2685" Type="http://schemas.openxmlformats.org/officeDocument/2006/relationships/hyperlink" Target="https://drive.google.com/file/d/1rcrWIpkXaXIIFf8-7wjcG9tOEbA485gx/view?usp=drivesdk" TargetMode="External"/><Relationship Id="rId1355" Type="http://schemas.openxmlformats.org/officeDocument/2006/relationships/hyperlink" Target="https://drive.google.com/file/d/1Xa5m9AAwnoUeB9MQDdxVwf7b0jcrrmCe/view?usp=drivesdk" TargetMode="External"/><Relationship Id="rId2686" Type="http://schemas.openxmlformats.org/officeDocument/2006/relationships/hyperlink" Target="https://drive.google.com/file/d/1bendlbWedrkVldOb0-U1R58vCiAulw4a/view?usp=drivesdk" TargetMode="External"/><Relationship Id="rId1345" Type="http://schemas.openxmlformats.org/officeDocument/2006/relationships/hyperlink" Target="https://drive.google.com/file/d/1AYyaErRe9lJQd2dKQDWWF3MDgHUqKYYF/view?usp=drivesdk" TargetMode="External"/><Relationship Id="rId2676" Type="http://schemas.openxmlformats.org/officeDocument/2006/relationships/hyperlink" Target="https://drive.google.com/file/d/1ePB1oeSBOG7FioN3eebogdbnWvZX_Dku/view?usp=drivesdk" TargetMode="External"/><Relationship Id="rId1346" Type="http://schemas.openxmlformats.org/officeDocument/2006/relationships/hyperlink" Target="https://drive.google.com/file/d/1o4Nq1wzHalkdFK52GGhUGaRRItIlrJU9/view?usp=drivesdk" TargetMode="External"/><Relationship Id="rId2677" Type="http://schemas.openxmlformats.org/officeDocument/2006/relationships/hyperlink" Target="https://drive.google.com/file/d/1vk_hCgyDnkvK0llPYGJrPkaWt0FCbO86/view?usp=drivesdk" TargetMode="External"/><Relationship Id="rId1347" Type="http://schemas.openxmlformats.org/officeDocument/2006/relationships/hyperlink" Target="https://drive.google.com/file/d/1dPQwULSgyAzc78jRUJohDWKz68rzV0Cr/view?usp=drivesdk" TargetMode="External"/><Relationship Id="rId2678" Type="http://schemas.openxmlformats.org/officeDocument/2006/relationships/hyperlink" Target="https://drive.google.com/file/d/1q_qu54TmLeT-7fJEikDgVxyt_ryMXDQD/view?usp=drivesdk" TargetMode="External"/><Relationship Id="rId1348" Type="http://schemas.openxmlformats.org/officeDocument/2006/relationships/hyperlink" Target="https://drive.google.com/file/d/1eU9PRrlyi_Gp6qF_kCbyK1ijRC90Sh9Q/view?usp=drivesdk" TargetMode="External"/><Relationship Id="rId2679" Type="http://schemas.openxmlformats.org/officeDocument/2006/relationships/hyperlink" Target="https://drive.google.com/file/d/1xEXRXalxaGe0dnIYgDFnwFJGfR0NJSwu/view?usp=drivesdk" TargetMode="External"/><Relationship Id="rId1349" Type="http://schemas.openxmlformats.org/officeDocument/2006/relationships/hyperlink" Target="https://drive.google.com/file/d/1PpYkM0nA_CQt20TaVMzNTU41gyCnVAaZ/view?usp=drivesdk" TargetMode="External"/><Relationship Id="rId2670" Type="http://schemas.openxmlformats.org/officeDocument/2006/relationships/hyperlink" Target="https://drive.google.com/file/d/1aOc_H8yflvLlIfJiG0fkBeeM5H_7mYvH/view?usp=drivesdk" TargetMode="External"/><Relationship Id="rId1340" Type="http://schemas.openxmlformats.org/officeDocument/2006/relationships/hyperlink" Target="https://drive.google.com/file/d/1HjYOvKQ-zLCvIw4mw-BR8FWsjNbI_jky/view?usp=drivesdk" TargetMode="External"/><Relationship Id="rId2671" Type="http://schemas.openxmlformats.org/officeDocument/2006/relationships/hyperlink" Target="https://drive.google.com/file/d/16HGkpWAlYkkpVSSbGmdyxHKkeENfygMT/view?usp=drivesdk" TargetMode="External"/><Relationship Id="rId1341" Type="http://schemas.openxmlformats.org/officeDocument/2006/relationships/hyperlink" Target="https://drive.google.com/file/d/1uT6DVGJ7YBm5wADSPQKzgR6udyfQgcGB/view?usp=drivesdk" TargetMode="External"/><Relationship Id="rId2672" Type="http://schemas.openxmlformats.org/officeDocument/2006/relationships/hyperlink" Target="https://drive.google.com/file/d/1ISU_Omawv19Q6z6PNBfatPn2aZdH2I2j/view?usp=drivesdk" TargetMode="External"/><Relationship Id="rId1342" Type="http://schemas.openxmlformats.org/officeDocument/2006/relationships/hyperlink" Target="https://drive.google.com/file/d/1576RCwwHCJSSEloRTDRFkvorn73awEJx/view?usp=drivesdk" TargetMode="External"/><Relationship Id="rId2673" Type="http://schemas.openxmlformats.org/officeDocument/2006/relationships/hyperlink" Target="https://drive.google.com/file/d/1grlMC94KFiQ0JGp_uim3pMAEMX-MwRpg/view?usp=drivesdk" TargetMode="External"/><Relationship Id="rId1343" Type="http://schemas.openxmlformats.org/officeDocument/2006/relationships/hyperlink" Target="https://drive.google.com/file/d/1Wzg2OaOA2ERnbwlC1KzYECgSxVrKtFag/view?usp=drivesdk" TargetMode="External"/><Relationship Id="rId2674" Type="http://schemas.openxmlformats.org/officeDocument/2006/relationships/hyperlink" Target="https://drive.google.com/file/d/1tyDzE74gzeVF2fAqIjPj9zIt0RmrdHXk/view?usp=drivesdk" TargetMode="External"/><Relationship Id="rId1344" Type="http://schemas.openxmlformats.org/officeDocument/2006/relationships/hyperlink" Target="https://drive.google.com/file/d/10W8upAzoJs-vcPsIhEONzgOyizXUxIkb/view?usp=drivesdk" TargetMode="External"/><Relationship Id="rId2675" Type="http://schemas.openxmlformats.org/officeDocument/2006/relationships/hyperlink" Target="https://drive.google.com/file/d/1YeCMp3CphW-K1gocEisjOLMoYWo8v02v/view?usp=drivesdk" TargetMode="External"/><Relationship Id="rId2621" Type="http://schemas.openxmlformats.org/officeDocument/2006/relationships/hyperlink" Target="https://drive.google.com/file/d/1AohEdQpCXpviWvzKHtv8q4QVYxv44-T-/view?usp=drivesdk" TargetMode="External"/><Relationship Id="rId2622" Type="http://schemas.openxmlformats.org/officeDocument/2006/relationships/hyperlink" Target="https://drive.google.com/file/d/1mlqGF1p4ImOBD0tf_tWOkenj70iWZN_K/view?usp=drivesdk" TargetMode="External"/><Relationship Id="rId2623" Type="http://schemas.openxmlformats.org/officeDocument/2006/relationships/hyperlink" Target="https://drive.google.com/file/d/1CHL5PQw7HnqsUFP9XLeP8tExa6eNCU8X/view?usp=drivesdk" TargetMode="External"/><Relationship Id="rId2624" Type="http://schemas.openxmlformats.org/officeDocument/2006/relationships/hyperlink" Target="https://drive.google.com/file/d/1sW67j7QdS0zQ7HdWjjNikqn8FuoXyHYN/view?usp=drivesdk" TargetMode="External"/><Relationship Id="rId2625" Type="http://schemas.openxmlformats.org/officeDocument/2006/relationships/hyperlink" Target="https://drive.google.com/file/d/1d_5AWAvHC1YOT_Gy87wcyJW-BxC6oS8J/view?usp=drivesdk" TargetMode="External"/><Relationship Id="rId2626" Type="http://schemas.openxmlformats.org/officeDocument/2006/relationships/hyperlink" Target="https://drive.google.com/file/d/1ZREKl2Bh823NFZXR2gnLLCZL3g4lK8iI/view?usp=drivesdk" TargetMode="External"/><Relationship Id="rId2627" Type="http://schemas.openxmlformats.org/officeDocument/2006/relationships/hyperlink" Target="https://drive.google.com/file/d/1QDECDgRmI0yYGySfuOYFb1oTyPAmLeQu/view?usp=drivesdk" TargetMode="External"/><Relationship Id="rId2628" Type="http://schemas.openxmlformats.org/officeDocument/2006/relationships/hyperlink" Target="https://drive.google.com/file/d/1fqRddJfl6mEwHe-ms7mP0E6sSGVCiKue/view?usp=drivesdk" TargetMode="External"/><Relationship Id="rId2629" Type="http://schemas.openxmlformats.org/officeDocument/2006/relationships/hyperlink" Target="https://drive.google.com/file/d/11eC2B3fKk5oZPro9O3deC54rbJAbPdpd/view?usp=drivesdk" TargetMode="External"/><Relationship Id="rId2620" Type="http://schemas.openxmlformats.org/officeDocument/2006/relationships/hyperlink" Target="https://drive.google.com/file/d/1helbPJownnonadhytWefUjluOCRNlPWW/view?usp=drivesdk" TargetMode="External"/><Relationship Id="rId2610" Type="http://schemas.openxmlformats.org/officeDocument/2006/relationships/hyperlink" Target="https://drive.google.com/file/d/1nj120piaP6-97pewYc8PzHaa5f3YEg7J/view?usp=drivesdk" TargetMode="External"/><Relationship Id="rId2611" Type="http://schemas.openxmlformats.org/officeDocument/2006/relationships/hyperlink" Target="https://drive.google.com/file/d/1iC-0hQX3g6oNjByiBqLxq929eezl0PlR/view?usp=drivesdk" TargetMode="External"/><Relationship Id="rId2612" Type="http://schemas.openxmlformats.org/officeDocument/2006/relationships/hyperlink" Target="https://drive.google.com/file/d/19TXfJathrGISk-OuKeBQYCb8FPkZ83EW/view?usp=drivesdk" TargetMode="External"/><Relationship Id="rId2613" Type="http://schemas.openxmlformats.org/officeDocument/2006/relationships/hyperlink" Target="https://drive.google.com/file/d/1uKWLeZoKmOdMqcIXkrsWGBa_xJ92BU06/view?usp=drivesdk" TargetMode="External"/><Relationship Id="rId2614" Type="http://schemas.openxmlformats.org/officeDocument/2006/relationships/hyperlink" Target="https://drive.google.com/file/d/1bdHwU0gsPlMKz9nNJT48QnucWI206Jqt/view?usp=drivesdk" TargetMode="External"/><Relationship Id="rId2615" Type="http://schemas.openxmlformats.org/officeDocument/2006/relationships/hyperlink" Target="https://drive.google.com/file/d/1_GlufRZ-yh2hcLQRzugpIswh_UFYgZRj/view?usp=drivesdk" TargetMode="External"/><Relationship Id="rId2616" Type="http://schemas.openxmlformats.org/officeDocument/2006/relationships/hyperlink" Target="https://drive.google.com/file/d/1Qe1s4ysoBK7JQUCGHd5an6HUyi3R3Quj/view?usp=drivesdk" TargetMode="External"/><Relationship Id="rId2617" Type="http://schemas.openxmlformats.org/officeDocument/2006/relationships/hyperlink" Target="https://drive.google.com/file/d/1bBHuSI0AzB4CrPGE5SUMgpLxlh41TZ_A/view?usp=drivesdk" TargetMode="External"/><Relationship Id="rId2618" Type="http://schemas.openxmlformats.org/officeDocument/2006/relationships/hyperlink" Target="https://drive.google.com/file/d/168i5OgXsUYh7ONLHMM5Cz8OXYtTWfIHY/view?usp=drivesdk" TargetMode="External"/><Relationship Id="rId2619" Type="http://schemas.openxmlformats.org/officeDocument/2006/relationships/hyperlink" Target="https://drive.google.com/file/d/170Pndw54M5emcKVJzIYQbMA2K-EcHT80/view?usp=drivesdk" TargetMode="External"/><Relationship Id="rId1312" Type="http://schemas.openxmlformats.org/officeDocument/2006/relationships/hyperlink" Target="https://drive.google.com/file/d/1c1jagKKUqicGeN1b3gtCXFlf3YJwJrYD/view?usp=drivesdk" TargetMode="External"/><Relationship Id="rId2643" Type="http://schemas.openxmlformats.org/officeDocument/2006/relationships/hyperlink" Target="https://drive.google.com/file/d/1dqIEK__9VRlJ-4axYbuaj15EBNoN5Vd9/view?usp=drivesdk" TargetMode="External"/><Relationship Id="rId1313" Type="http://schemas.openxmlformats.org/officeDocument/2006/relationships/hyperlink" Target="https://drive.google.com/file/d/1zA0-bUrqbZrgv1FzzmizOKJHK6eHhvie/view?usp=drivesdk" TargetMode="External"/><Relationship Id="rId2644" Type="http://schemas.openxmlformats.org/officeDocument/2006/relationships/hyperlink" Target="https://drive.google.com/file/d/17blwnEOpf5Z_xhFb5RjIsuM1b_mHLkbS/view?usp=drivesdk" TargetMode="External"/><Relationship Id="rId1314" Type="http://schemas.openxmlformats.org/officeDocument/2006/relationships/hyperlink" Target="https://drive.google.com/file/d/1EPttYQFRRqCMwiDUZHlDV5VvhL8vGUHJ/view?usp=drivesdk" TargetMode="External"/><Relationship Id="rId2645" Type="http://schemas.openxmlformats.org/officeDocument/2006/relationships/hyperlink" Target="https://drive.google.com/file/d/19nVPUMwFnAJpGT6EluD7fubP_YN4PBWb/view?usp=drivesdk" TargetMode="External"/><Relationship Id="rId1315" Type="http://schemas.openxmlformats.org/officeDocument/2006/relationships/hyperlink" Target="https://drive.google.com/file/d/11Xnfur9r8NwCr3c0z2MKkNq7O_RHCQZs/view?usp=drivesdk" TargetMode="External"/><Relationship Id="rId2646" Type="http://schemas.openxmlformats.org/officeDocument/2006/relationships/hyperlink" Target="https://drive.google.com/file/d/1golkJkuVgx4woV9lWB0sYXZ1NqlFOn0i/view?usp=drivesdk" TargetMode="External"/><Relationship Id="rId1316" Type="http://schemas.openxmlformats.org/officeDocument/2006/relationships/hyperlink" Target="https://drive.google.com/file/d/1EJdJTocPNvTe8uIrfZBnrp8ULVtKtuXd/view?usp=drivesdk" TargetMode="External"/><Relationship Id="rId2647" Type="http://schemas.openxmlformats.org/officeDocument/2006/relationships/hyperlink" Target="https://drive.google.com/file/d/1vWIzzCuRWxMSIOZL2SEwC88R6ZfPDh3w/view?usp=drivesdk" TargetMode="External"/><Relationship Id="rId1317" Type="http://schemas.openxmlformats.org/officeDocument/2006/relationships/hyperlink" Target="https://drive.google.com/file/d/1-kPj6k_N1ad-Mxo4SXJURrb5hCkJLGuF/view?usp=drivesdk" TargetMode="External"/><Relationship Id="rId2648" Type="http://schemas.openxmlformats.org/officeDocument/2006/relationships/hyperlink" Target="https://drive.google.com/file/d/188rf0x_Gvd6yX-YVJynm_cVMM52jfb4t/view?usp=drivesdk" TargetMode="External"/><Relationship Id="rId1318" Type="http://schemas.openxmlformats.org/officeDocument/2006/relationships/hyperlink" Target="https://drive.google.com/file/d/1CTzNi1UPl-AvzRjuNQ8Cq5Sab6un0gok/view?usp=drivesdk" TargetMode="External"/><Relationship Id="rId2649" Type="http://schemas.openxmlformats.org/officeDocument/2006/relationships/hyperlink" Target="https://drive.google.com/file/d/1AXr9mufaEmbcmGeNGq0ShHUqK1R6u4my/view?usp=drivesdk" TargetMode="External"/><Relationship Id="rId1319" Type="http://schemas.openxmlformats.org/officeDocument/2006/relationships/hyperlink" Target="https://drive.google.com/file/d/16Z2K0SllPd0QF8KRLCwuwSYBjViIEfqy/view?usp=drivesdk" TargetMode="External"/><Relationship Id="rId2640" Type="http://schemas.openxmlformats.org/officeDocument/2006/relationships/hyperlink" Target="https://drive.google.com/file/d/1Ln304Rm6KdqSVuPsPVziBazQ-HTeZeN3/view?usp=drivesdk" TargetMode="External"/><Relationship Id="rId1310" Type="http://schemas.openxmlformats.org/officeDocument/2006/relationships/hyperlink" Target="https://drive.google.com/file/d/1w0Un2Pif4K8X3AwjPQQhpA1uRJox2wRr/view?usp=drivesdk" TargetMode="External"/><Relationship Id="rId2641" Type="http://schemas.openxmlformats.org/officeDocument/2006/relationships/hyperlink" Target="https://drive.google.com/file/d/1er0JAKLiPbnSX4dp7BcbTN6nPcPNzcSO/view?usp=drivesdk" TargetMode="External"/><Relationship Id="rId1311" Type="http://schemas.openxmlformats.org/officeDocument/2006/relationships/hyperlink" Target="https://drive.google.com/file/d/10Lq9F4Ac9n8RMj7iSCSglDPef6R-MkwS/view?usp=drivesdk" TargetMode="External"/><Relationship Id="rId2642" Type="http://schemas.openxmlformats.org/officeDocument/2006/relationships/hyperlink" Target="https://drive.google.com/file/d/1CKOZer7wexvNY_br-H2ceDK_n4Gdbikc/view?usp=drivesdk" TargetMode="External"/><Relationship Id="rId1301" Type="http://schemas.openxmlformats.org/officeDocument/2006/relationships/hyperlink" Target="https://drive.google.com/file/d/1cDCriqXNJiMW5S9aZ-GKbVyG4ocL5cg3/view?usp=drivesdk" TargetMode="External"/><Relationship Id="rId2632" Type="http://schemas.openxmlformats.org/officeDocument/2006/relationships/hyperlink" Target="https://drive.google.com/file/d/1kwC0n1vQ3Xf5QIKs-8psxy5SL9ER2c-m/view?usp=drivesdk" TargetMode="External"/><Relationship Id="rId1302" Type="http://schemas.openxmlformats.org/officeDocument/2006/relationships/hyperlink" Target="https://drive.google.com/file/d/1y11gp9sPC7pWj3dOJoKUu0yeiMiSj6mA/view?usp=drivesdk" TargetMode="External"/><Relationship Id="rId2633" Type="http://schemas.openxmlformats.org/officeDocument/2006/relationships/hyperlink" Target="https://drive.google.com/file/d/1uwtyn5oEp9WWX2-7rMa5QYBSguZxrN8j/view?usp=drivesdk" TargetMode="External"/><Relationship Id="rId1303" Type="http://schemas.openxmlformats.org/officeDocument/2006/relationships/hyperlink" Target="https://drive.google.com/file/d/1GREzU7X_CV7pbTboxrW5tJtI8xzq0fHy/view?usp=drivesdk" TargetMode="External"/><Relationship Id="rId2634" Type="http://schemas.openxmlformats.org/officeDocument/2006/relationships/hyperlink" Target="https://drive.google.com/file/d/1yrgKXtjgxHchFVbvLNVPaKNYY2p3RTV9/view?usp=drivesdk" TargetMode="External"/><Relationship Id="rId1304" Type="http://schemas.openxmlformats.org/officeDocument/2006/relationships/hyperlink" Target="https://drive.google.com/file/d/1AliOa2tVz6ySN0OvWipjphzlYkYx5wb3/view?usp=drivesdk" TargetMode="External"/><Relationship Id="rId2635" Type="http://schemas.openxmlformats.org/officeDocument/2006/relationships/hyperlink" Target="https://drive.google.com/file/d/1myGCJ5PhRdYX5MYmeNeO1ZwmA4LWpdft/view?usp=drivesdk" TargetMode="External"/><Relationship Id="rId1305" Type="http://schemas.openxmlformats.org/officeDocument/2006/relationships/hyperlink" Target="https://drive.google.com/file/d/11pPkkADJ9V-CPvr1xOcRHMuwDbMbuGrP/view?usp=drivesdk" TargetMode="External"/><Relationship Id="rId2636" Type="http://schemas.openxmlformats.org/officeDocument/2006/relationships/hyperlink" Target="https://drive.google.com/file/d/1DTrXIFS7Z5Ahhe0HIJcLXlHaF9Vuo9aM/view?usp=drivesdk" TargetMode="External"/><Relationship Id="rId1306" Type="http://schemas.openxmlformats.org/officeDocument/2006/relationships/hyperlink" Target="https://drive.google.com/file/d/1jwuqdr4c8Wd388fmEWFOt70KjzdCsCkP/view?usp=drivesdk" TargetMode="External"/><Relationship Id="rId2637" Type="http://schemas.openxmlformats.org/officeDocument/2006/relationships/hyperlink" Target="https://drive.google.com/file/d/1ozy7Lv7AQW7AbfhP_riN9rtHVmIn_S1f/view?usp=drivesdk" TargetMode="External"/><Relationship Id="rId1307" Type="http://schemas.openxmlformats.org/officeDocument/2006/relationships/hyperlink" Target="https://drive.google.com/file/d/1tWGt6sdtPtPgNfTiOogcLKggkWr-6G1z/view?usp=drivesdk" TargetMode="External"/><Relationship Id="rId2638" Type="http://schemas.openxmlformats.org/officeDocument/2006/relationships/hyperlink" Target="https://drive.google.com/file/d/1gPnzFaAo3zqz54YNzNo5Zqj5Kk8oFKOQ/view?usp=drivesdk" TargetMode="External"/><Relationship Id="rId1308" Type="http://schemas.openxmlformats.org/officeDocument/2006/relationships/hyperlink" Target="https://drive.google.com/file/d/19O1-M7W3SXe9kf179CRBCdX784Cr5tyF/view?usp=drivesdk" TargetMode="External"/><Relationship Id="rId2639" Type="http://schemas.openxmlformats.org/officeDocument/2006/relationships/hyperlink" Target="https://drive.google.com/file/d/1kV_xW55vLaw2T_kRO_H_hpSluQrIcxFx/view?usp=drivesdk" TargetMode="External"/><Relationship Id="rId1309" Type="http://schemas.openxmlformats.org/officeDocument/2006/relationships/hyperlink" Target="https://drive.google.com/file/d/1VAPOwAjSGTReSbzODI-sUsCcYQFpj3qR/view?usp=drivesdk" TargetMode="External"/><Relationship Id="rId2630" Type="http://schemas.openxmlformats.org/officeDocument/2006/relationships/hyperlink" Target="https://drive.google.com/file/d/1uR8sdFGtpeR-HNUabwFV8AlhLj8iEH-y/view?usp=drivesdk" TargetMode="External"/><Relationship Id="rId1300" Type="http://schemas.openxmlformats.org/officeDocument/2006/relationships/hyperlink" Target="https://drive.google.com/file/d/1L7g2v8S6M-lQKKLUm6VMA9EEZaR8Dg7c/view?usp=drivesdk" TargetMode="External"/><Relationship Id="rId2631" Type="http://schemas.openxmlformats.org/officeDocument/2006/relationships/hyperlink" Target="https://drive.google.com/file/d/19fJBby0IbS_A102pCLU2mxmez_wZa5yP/view?usp=drivesdk" TargetMode="External"/><Relationship Id="rId1378" Type="http://schemas.openxmlformats.org/officeDocument/2006/relationships/hyperlink" Target="https://drive.google.com/file/d/14SCgUYL19KBG5N2xB6DTLGCMmJHtEYtn/view?usp=drivesdk" TargetMode="External"/><Relationship Id="rId1379" Type="http://schemas.openxmlformats.org/officeDocument/2006/relationships/hyperlink" Target="https://drive.google.com/file/d/1ygyqBRCjcVCfxUsC8_93akKmUsSB_O40/view?usp=drivesdk" TargetMode="External"/><Relationship Id="rId1370" Type="http://schemas.openxmlformats.org/officeDocument/2006/relationships/hyperlink" Target="https://drive.google.com/file/d/1KBmopwtN1IWKkXs21_MDVTAi0B7_xCzt/view?usp=drivesdk" TargetMode="External"/><Relationship Id="rId1371" Type="http://schemas.openxmlformats.org/officeDocument/2006/relationships/hyperlink" Target="https://drive.google.com/file/d/1ZLSmhV2Ume-MtNDtMPq7gR-pP3vktLL_/view?usp=drivesdk" TargetMode="External"/><Relationship Id="rId1372" Type="http://schemas.openxmlformats.org/officeDocument/2006/relationships/hyperlink" Target="https://drive.google.com/file/d/1VbmTFIlCzs2nxC1qBhJod-tta_AbSvJH/view?usp=drivesdk" TargetMode="External"/><Relationship Id="rId1373" Type="http://schemas.openxmlformats.org/officeDocument/2006/relationships/hyperlink" Target="https://drive.google.com/file/d/1cWf3z-qMbb_ve_1I_m0AoulQNHnIhdWo/view?usp=drivesdk" TargetMode="External"/><Relationship Id="rId1374" Type="http://schemas.openxmlformats.org/officeDocument/2006/relationships/hyperlink" Target="https://drive.google.com/file/d/128K_m2h9hZYFP-Qp_pQTe7FOaYwNYKr2/view?usp=drivesdk" TargetMode="External"/><Relationship Id="rId1375" Type="http://schemas.openxmlformats.org/officeDocument/2006/relationships/hyperlink" Target="https://drive.google.com/file/d/1tFxYRO5onjDkoW-03FfKKQDR7ps4wO0r/view?usp=drivesdk" TargetMode="External"/><Relationship Id="rId1376" Type="http://schemas.openxmlformats.org/officeDocument/2006/relationships/hyperlink" Target="https://drive.google.com/file/d/1fr_FQ05kZH0eQjcx7D5j2o7a8ZHyAVbJ/view?usp=drivesdk" TargetMode="External"/><Relationship Id="rId1377" Type="http://schemas.openxmlformats.org/officeDocument/2006/relationships/hyperlink" Target="https://drive.google.com/file/d/1XWWE-crQ8OY0J_TWZizL7dzNxm9NKMFS/view?usp=drivesdk" TargetMode="External"/><Relationship Id="rId1367" Type="http://schemas.openxmlformats.org/officeDocument/2006/relationships/hyperlink" Target="https://drive.google.com/file/d/1RewPwLsPtc-3pRQL5f9kmRYC1-r1NMhB/view?usp=drivesdk" TargetMode="External"/><Relationship Id="rId2698" Type="http://schemas.openxmlformats.org/officeDocument/2006/relationships/hyperlink" Target="https://drive.google.com/file/d/1i6UyY6YdijElJpHk69M3ReLE6GSJa2RH/view?usp=drivesdk" TargetMode="External"/><Relationship Id="rId1368" Type="http://schemas.openxmlformats.org/officeDocument/2006/relationships/hyperlink" Target="https://drive.google.com/file/d/1tsOOURRsKbt0ePCEJYfqH22vzcFERJ9b/view?usp=drivesdk" TargetMode="External"/><Relationship Id="rId2699" Type="http://schemas.openxmlformats.org/officeDocument/2006/relationships/hyperlink" Target="https://drive.google.com/file/d/1Seu4jGGNVtscZnDSoG19Sct6iV1orkgk/view?usp=drivesdk" TargetMode="External"/><Relationship Id="rId1369" Type="http://schemas.openxmlformats.org/officeDocument/2006/relationships/hyperlink" Target="https://drive.google.com/file/d/13iuPPv12q_l_FkkeERcvrFhYJW0rUs9k/view?usp=drivesdk" TargetMode="External"/><Relationship Id="rId2690" Type="http://schemas.openxmlformats.org/officeDocument/2006/relationships/hyperlink" Target="https://drive.google.com/file/d/1RFvPemIpoKsR3c2Of3E4lwcVJrq9vo_e/view?usp=drivesdk" TargetMode="External"/><Relationship Id="rId1360" Type="http://schemas.openxmlformats.org/officeDocument/2006/relationships/hyperlink" Target="https://drive.google.com/file/d/16xo2YQEh319txfG-waB5gmSnn9jC8Df3/view?usp=drivesdk" TargetMode="External"/><Relationship Id="rId2691" Type="http://schemas.openxmlformats.org/officeDocument/2006/relationships/hyperlink" Target="https://drive.google.com/file/d/1uckcfhB0FiS9vobG2pVuUhdkPDwH2Gs8/view?usp=drivesdk" TargetMode="External"/><Relationship Id="rId1361" Type="http://schemas.openxmlformats.org/officeDocument/2006/relationships/hyperlink" Target="https://drive.google.com/file/d/1HbwiWPXcvD6TSZH2TE2BoAXJQ0QvezMk/view?usp=drivesdk" TargetMode="External"/><Relationship Id="rId2692" Type="http://schemas.openxmlformats.org/officeDocument/2006/relationships/hyperlink" Target="https://drive.google.com/file/d/1tWqVF3Yq9hsBEbRE6PZyBMIoTqxt7uUf/view?usp=drivesdk" TargetMode="External"/><Relationship Id="rId1362" Type="http://schemas.openxmlformats.org/officeDocument/2006/relationships/hyperlink" Target="https://drive.google.com/file/d/1yiKtODBua6G7qO6vUUuLYWJX6z9oX3hn/view?usp=drivesdk" TargetMode="External"/><Relationship Id="rId2693" Type="http://schemas.openxmlformats.org/officeDocument/2006/relationships/hyperlink" Target="https://drive.google.com/file/d/1GU3JOilIbXYVZzgcUN4QB0ktxv2u0RzV/view?usp=drivesdk" TargetMode="External"/><Relationship Id="rId1363" Type="http://schemas.openxmlformats.org/officeDocument/2006/relationships/hyperlink" Target="https://drive.google.com/file/d/1FkK5e-hBrL701rZKwFQJqSU3IUNcH1Ur/view?usp=drivesdk" TargetMode="External"/><Relationship Id="rId2694" Type="http://schemas.openxmlformats.org/officeDocument/2006/relationships/hyperlink" Target="https://drive.google.com/file/d/1e2pAqXppjnnhJPhGiQAKpgmF-XMCKn-o/view?usp=drivesdk" TargetMode="External"/><Relationship Id="rId1364" Type="http://schemas.openxmlformats.org/officeDocument/2006/relationships/hyperlink" Target="https://drive.google.com/file/d/1U-yfy_NzgqEUP0TxJizY3UIcZbH6xJYd/view?usp=drivesdk" TargetMode="External"/><Relationship Id="rId2695" Type="http://schemas.openxmlformats.org/officeDocument/2006/relationships/hyperlink" Target="https://drive.google.com/file/d/1MCjgCjXf1iRvDD0dg8KPCfI3wSXGv6rI/view?usp=drivesdk" TargetMode="External"/><Relationship Id="rId1365" Type="http://schemas.openxmlformats.org/officeDocument/2006/relationships/hyperlink" Target="https://drive.google.com/file/d/1XB9TO5Px1tVOne9JhaktzoBIr8Ne8aI3/view?usp=drivesdk" TargetMode="External"/><Relationship Id="rId2696" Type="http://schemas.openxmlformats.org/officeDocument/2006/relationships/hyperlink" Target="https://drive.google.com/file/d/1K91s2W7om1ZV41iTfvH3PEMXj5H-NLtt/view?usp=drivesdk" TargetMode="External"/><Relationship Id="rId1366" Type="http://schemas.openxmlformats.org/officeDocument/2006/relationships/hyperlink" Target="https://drive.google.com/file/d/1Qvqhy0xT2D1JV2765VLu2E-j-TxAruc5/view?usp=drivesdk" TargetMode="External"/><Relationship Id="rId2697" Type="http://schemas.openxmlformats.org/officeDocument/2006/relationships/hyperlink" Target="https://drive.google.com/file/d/1x6RepOoiB6_WT0eVa5WS6lL-t-keBip5/view?usp=drivesdk" TargetMode="External"/><Relationship Id="rId1390" Type="http://schemas.openxmlformats.org/officeDocument/2006/relationships/hyperlink" Target="https://drive.google.com/file/d/1QS1tFLJhCdW4YfochJMxTn-y7YY7HfZL/view?usp=drivesdk" TargetMode="External"/><Relationship Id="rId1391" Type="http://schemas.openxmlformats.org/officeDocument/2006/relationships/hyperlink" Target="https://drive.google.com/file/d/1YCTmjFTfDr3AGFZkMTj-8eBWb-RVdoKN/view?usp=drivesdk" TargetMode="External"/><Relationship Id="rId1392" Type="http://schemas.openxmlformats.org/officeDocument/2006/relationships/hyperlink" Target="https://drive.google.com/file/d/1Ek4JWE4lQmQ4P010TRbGmk-HLdC3FAkC/view?usp=drivesdk" TargetMode="External"/><Relationship Id="rId1393" Type="http://schemas.openxmlformats.org/officeDocument/2006/relationships/hyperlink" Target="https://drive.google.com/file/d/1iXZh44b0cXplzayXkvGKHs-nitSgxzu1/view?usp=drivesdk" TargetMode="External"/><Relationship Id="rId1394" Type="http://schemas.openxmlformats.org/officeDocument/2006/relationships/hyperlink" Target="https://drive.google.com/file/d/1uacJojUKTUBq976G54hyqHS8lih7lBWr/view?usp=drivesdk" TargetMode="External"/><Relationship Id="rId1395" Type="http://schemas.openxmlformats.org/officeDocument/2006/relationships/hyperlink" Target="https://drive.google.com/file/d/1xfyl--GKTYOWaBh0-guC15Nbpj5zMAqP/view?usp=drivesdk" TargetMode="External"/><Relationship Id="rId1396" Type="http://schemas.openxmlformats.org/officeDocument/2006/relationships/hyperlink" Target="https://drive.google.com/file/d/1tTzW-FoGD4oGvy7KcNQ_SFyGpLn7Bo6Y/view?usp=drivesdk" TargetMode="External"/><Relationship Id="rId1397" Type="http://schemas.openxmlformats.org/officeDocument/2006/relationships/hyperlink" Target="https://drive.google.com/file/d/1ySmA49v5DkTW4YiPrxQcWs6fybkUPxpq/view?usp=drivesdk" TargetMode="External"/><Relationship Id="rId1398" Type="http://schemas.openxmlformats.org/officeDocument/2006/relationships/hyperlink" Target="https://drive.google.com/file/d/1579ou2R16DEIOfFC7rXUpZPODlX9_C0P/view?usp=drivesdk" TargetMode="External"/><Relationship Id="rId1399" Type="http://schemas.openxmlformats.org/officeDocument/2006/relationships/hyperlink" Target="https://drive.google.com/file/d/181BajdxLmcCLGy9mQ7Xx1gLVEFfGK1nw/view?usp=drivesdk" TargetMode="External"/><Relationship Id="rId1389" Type="http://schemas.openxmlformats.org/officeDocument/2006/relationships/hyperlink" Target="https://drive.google.com/file/d/1U-0Bx9yYxXEQtPZpVldgsbD0CqS5466x/view?usp=drivesdk" TargetMode="External"/><Relationship Id="rId1380" Type="http://schemas.openxmlformats.org/officeDocument/2006/relationships/hyperlink" Target="https://drive.google.com/file/d/1mg-0plRVGuJlIWvzwW_gg_3r8794Ynsl/view?usp=drivesdk" TargetMode="External"/><Relationship Id="rId1381" Type="http://schemas.openxmlformats.org/officeDocument/2006/relationships/hyperlink" Target="https://drive.google.com/file/d/1TREqMFYFlkDQ5Z5CCFjW5p6W9limt2vh/view?usp=drivesdk" TargetMode="External"/><Relationship Id="rId1382" Type="http://schemas.openxmlformats.org/officeDocument/2006/relationships/hyperlink" Target="https://drive.google.com/file/d/1fS7WbvHpmHVVo3ZSRCv22hL0N-tygQmb/view?usp=drivesdk" TargetMode="External"/><Relationship Id="rId1383" Type="http://schemas.openxmlformats.org/officeDocument/2006/relationships/hyperlink" Target="https://drive.google.com/file/d/1TLJFtSAT3QPcR2uLLMb1QsU1EOmAwVcB/view?usp=drivesdk" TargetMode="External"/><Relationship Id="rId1384" Type="http://schemas.openxmlformats.org/officeDocument/2006/relationships/hyperlink" Target="https://drive.google.com/file/d/14EJSbwAPrKSN-cI5B54qO1EbYPoPVGzm/view?usp=drivesdk" TargetMode="External"/><Relationship Id="rId1385" Type="http://schemas.openxmlformats.org/officeDocument/2006/relationships/hyperlink" Target="https://drive.google.com/file/d/1xI4GBDq6naCD_iRVv1KSMeRwqKs-35hx/view?usp=drivesdk" TargetMode="External"/><Relationship Id="rId1386" Type="http://schemas.openxmlformats.org/officeDocument/2006/relationships/hyperlink" Target="https://drive.google.com/file/d/1yhy3dacsk1RixhJ-57Np5GRfDQCmcRFP/view?usp=drivesdk" TargetMode="External"/><Relationship Id="rId1387" Type="http://schemas.openxmlformats.org/officeDocument/2006/relationships/hyperlink" Target="https://drive.google.com/file/d/1d_8W9yCPWB7BydSLy-4vlHR3nYc80YWv/view?usp=drivesdk" TargetMode="External"/><Relationship Id="rId1388" Type="http://schemas.openxmlformats.org/officeDocument/2006/relationships/hyperlink" Target="https://drive.google.com/file/d/1CcDjr-1YrmH-KqaPdAxQhLE5m_mzkpok/view?usp=drivesdk" TargetMode="External"/><Relationship Id="rId2700" Type="http://schemas.openxmlformats.org/officeDocument/2006/relationships/hyperlink" Target="https://drive.google.com/file/d/1u7ph0Zj1FSWQWN5BX4WczBpVmSo8ADGD/view?usp=drivesdk" TargetMode="External"/><Relationship Id="rId2701" Type="http://schemas.openxmlformats.org/officeDocument/2006/relationships/hyperlink" Target="https://drive.google.com/file/d/1uypfLjYj1V384e9TmqIFEdIjoTM0RGHI/view?usp=drivesdk" TargetMode="External"/><Relationship Id="rId2702" Type="http://schemas.openxmlformats.org/officeDocument/2006/relationships/hyperlink" Target="https://drive.google.com/file/d/1irUYV92lzQmZs_KuiibBe2lVQvWEDtqD/view?usp=drivesdk" TargetMode="External"/><Relationship Id="rId2703" Type="http://schemas.openxmlformats.org/officeDocument/2006/relationships/hyperlink" Target="https://drive.google.com/file/d/1xnwH3sy87UJmBjMX49Ch3_7IRuDEvXTI/view?usp=drivesdk" TargetMode="External"/><Relationship Id="rId2704" Type="http://schemas.openxmlformats.org/officeDocument/2006/relationships/hyperlink" Target="https://drive.google.com/file/d/1sNSS4nb0ozVbjdxNT0d9cWLzK8ocZsco/view?usp=drivesdk" TargetMode="External"/><Relationship Id="rId2705" Type="http://schemas.openxmlformats.org/officeDocument/2006/relationships/hyperlink" Target="https://drive.google.com/file/d/1p6CZa4Yuise8k0KcIZisTfrfaOXSzXj0/view?usp=drivesdk" TargetMode="External"/><Relationship Id="rId2706" Type="http://schemas.openxmlformats.org/officeDocument/2006/relationships/hyperlink" Target="https://drive.google.com/file/d/15sz-g0pEb0JCdMtLSIbrCKreksrMBIpA/view?usp=drivesdk" TargetMode="External"/><Relationship Id="rId2707" Type="http://schemas.openxmlformats.org/officeDocument/2006/relationships/hyperlink" Target="https://drive.google.com/file/d/1XNyax1XeuY1cpIWhImGOIj1r7xb1JUUC/view?usp=drivesdk" TargetMode="External"/><Relationship Id="rId2708" Type="http://schemas.openxmlformats.org/officeDocument/2006/relationships/hyperlink" Target="https://drive.google.com/file/d/164lYZsbs68s5-9bdA_52ccQIBqBe_USS/view?usp=drivesdk" TargetMode="External"/><Relationship Id="rId2709" Type="http://schemas.openxmlformats.org/officeDocument/2006/relationships/hyperlink" Target="https://drive.google.com/file/d/1iprFffjhhwq9kmIt8Hy1air9GBpi12bf/view?usp=drivesdk" TargetMode="External"/><Relationship Id="rId2720" Type="http://schemas.openxmlformats.org/officeDocument/2006/relationships/hyperlink" Target="https://drive.google.com/file/d/19ZEycfaNCigUxXMdIhmVhTT9eYCq-Qv8/view?usp=drivesdk" TargetMode="External"/><Relationship Id="rId2721" Type="http://schemas.openxmlformats.org/officeDocument/2006/relationships/hyperlink" Target="https://drive.google.com/file/d/1_CmOnAW5S3YXKBb0ea_6_EIVRzvrNWs-/view?usp=drivesdk" TargetMode="External"/><Relationship Id="rId2722" Type="http://schemas.openxmlformats.org/officeDocument/2006/relationships/hyperlink" Target="https://drive.google.com/file/d/1rinlricsgGDbSolvVV9JegJQ7WcrjV4k/view?usp=drivesdk" TargetMode="External"/><Relationship Id="rId2723" Type="http://schemas.openxmlformats.org/officeDocument/2006/relationships/hyperlink" Target="https://drive.google.com/file/d/18cwn3Y54LXQkc9WqOMJW7XrR4K6ovpW3/view?usp=drivesdk" TargetMode="External"/><Relationship Id="rId2724" Type="http://schemas.openxmlformats.org/officeDocument/2006/relationships/hyperlink" Target="https://drive.google.com/file/d/17zJ1t0zIjkpbb7vOwz3_1fMiUU-WubZU/view?usp=drivesdk" TargetMode="External"/><Relationship Id="rId2725" Type="http://schemas.openxmlformats.org/officeDocument/2006/relationships/hyperlink" Target="https://drive.google.com/file/d/1jcL-wWSZirrzYIFRxzvnJ1k4sBlkv2Rb/view?usp=drivesdk" TargetMode="External"/><Relationship Id="rId2726" Type="http://schemas.openxmlformats.org/officeDocument/2006/relationships/hyperlink" Target="https://drive.google.com/file/d/1OOWuKJArQZ_6kl9Epj_qY-XJCbHJTH2_/view?usp=drivesdk" TargetMode="External"/><Relationship Id="rId2727" Type="http://schemas.openxmlformats.org/officeDocument/2006/relationships/hyperlink" Target="https://drive.google.com/file/d/1kFB_pfdSBrwsulLZp8KhbrX8N08t4ffz/view?usp=drivesdk" TargetMode="External"/><Relationship Id="rId2728" Type="http://schemas.openxmlformats.org/officeDocument/2006/relationships/hyperlink" Target="https://drive.google.com/file/d/1NF8xNHjy3cBOAHnVz5i-We3jjwra3dbO/view?usp=drivesdk" TargetMode="External"/><Relationship Id="rId2729" Type="http://schemas.openxmlformats.org/officeDocument/2006/relationships/hyperlink" Target="https://drive.google.com/file/d/1eLldW5c33nPZ5THsOv17Wknmp1YYoLTy/view?usp=drivesdk" TargetMode="External"/><Relationship Id="rId2710" Type="http://schemas.openxmlformats.org/officeDocument/2006/relationships/hyperlink" Target="https://drive.google.com/file/d/1V6xe28hGVBJkFNE7yLKAG-7yJLzhoWVD/view?usp=drivesdk" TargetMode="External"/><Relationship Id="rId2711" Type="http://schemas.openxmlformats.org/officeDocument/2006/relationships/hyperlink" Target="http://hafis.s.si" TargetMode="External"/><Relationship Id="rId2712" Type="http://schemas.openxmlformats.org/officeDocument/2006/relationships/hyperlink" Target="https://drive.google.com/file/d/1fqnWXa5SiSKuC3YvjzP3V3l-gyQqLunv/view?usp=drivesdk" TargetMode="External"/><Relationship Id="rId2713" Type="http://schemas.openxmlformats.org/officeDocument/2006/relationships/hyperlink" Target="https://drive.google.com/file/d/1T68H7uI2hCHd22jy19uffY6MQ58ozk3m/view?usp=drivesdk" TargetMode="External"/><Relationship Id="rId2714" Type="http://schemas.openxmlformats.org/officeDocument/2006/relationships/hyperlink" Target="https://drive.google.com/file/d/1ElVHxj9GtW4oKspYa-mMJTBDphzgG4JY/view?usp=drivesdk" TargetMode="External"/><Relationship Id="rId2715" Type="http://schemas.openxmlformats.org/officeDocument/2006/relationships/hyperlink" Target="https://drive.google.com/file/d/1TY_2oXE9VSmVU8Wm6QtXTcFcGsoKMQ8R/view?usp=drivesdk" TargetMode="External"/><Relationship Id="rId2716" Type="http://schemas.openxmlformats.org/officeDocument/2006/relationships/hyperlink" Target="https://drive.google.com/file/d/1WE8gUtaQXBigzEs6RUiBCu5kulitN63D/view?usp=drivesdk" TargetMode="External"/><Relationship Id="rId2717" Type="http://schemas.openxmlformats.org/officeDocument/2006/relationships/hyperlink" Target="https://drive.google.com/file/d/1mMVvtkP0n_VFRgDwwBemrk8GGI2OJ2rT/view?usp=drivesdk" TargetMode="External"/><Relationship Id="rId2718" Type="http://schemas.openxmlformats.org/officeDocument/2006/relationships/hyperlink" Target="https://drive.google.com/file/d/1zVZRHKbjYkGLSVxuEPYnvs_AHg0GkRQD/view?usp=drivesdk" TargetMode="External"/><Relationship Id="rId2719" Type="http://schemas.openxmlformats.org/officeDocument/2006/relationships/hyperlink" Target="https://drive.google.com/file/d/1HU7KU2TmD-spg9UHtEdZPwgFew9kI5nJ/view?usp=drivesdk" TargetMode="External"/><Relationship Id="rId1455" Type="http://schemas.openxmlformats.org/officeDocument/2006/relationships/hyperlink" Target="https://drive.google.com/file/d/10dMzESJVreq5quJtPGQklDRDzt2ZuN-N/view?usp=drivesdk" TargetMode="External"/><Relationship Id="rId2786" Type="http://schemas.openxmlformats.org/officeDocument/2006/relationships/hyperlink" Target="https://drive.google.com/file/d/1SgOeDwtsmvUf2l4mi3vEYHIO2yYen94x/view?usp=drivesdk" TargetMode="External"/><Relationship Id="rId1456" Type="http://schemas.openxmlformats.org/officeDocument/2006/relationships/hyperlink" Target="https://drive.google.com/file/d/1Ktd0P2RVcA7UUtGZn7KYGkrkZbRoqRYF/view?usp=drivesdk" TargetMode="External"/><Relationship Id="rId2787" Type="http://schemas.openxmlformats.org/officeDocument/2006/relationships/hyperlink" Target="https://drive.google.com/file/d/1_2LX1E5GcA387CQE9gWd_nmfubV9na0S/view?usp=drivesdk" TargetMode="External"/><Relationship Id="rId1457" Type="http://schemas.openxmlformats.org/officeDocument/2006/relationships/hyperlink" Target="https://drive.google.com/file/d/1d9cO9u4Lr1XOwyyrw7DU2uoj67dg2_oS/view?usp=drivesdk" TargetMode="External"/><Relationship Id="rId2788" Type="http://schemas.openxmlformats.org/officeDocument/2006/relationships/hyperlink" Target="https://drive.google.com/file/d/1kOSExmOv88RkTYcdCC4pu_i4tEuSBZh3/view?usp=drivesdk" TargetMode="External"/><Relationship Id="rId1458" Type="http://schemas.openxmlformats.org/officeDocument/2006/relationships/hyperlink" Target="https://drive.google.com/file/d/1KHP6Dn32Le_Y71ZRKeJCP4RttrIq8X_n/view?usp=drivesdk" TargetMode="External"/><Relationship Id="rId2789" Type="http://schemas.openxmlformats.org/officeDocument/2006/relationships/hyperlink" Target="https://drive.google.com/file/d/1HU9BwVKOguKDxQ95QGX0rgBaCsW2mmyd/view?usp=drivesdk" TargetMode="External"/><Relationship Id="rId1459" Type="http://schemas.openxmlformats.org/officeDocument/2006/relationships/hyperlink" Target="https://drive.google.com/file/d/1ysswZmBkyJzHr8iwf8k0W-ghLxp0k_eD/view?usp=drivesdk" TargetMode="External"/><Relationship Id="rId2780" Type="http://schemas.openxmlformats.org/officeDocument/2006/relationships/hyperlink" Target="https://drive.google.com/file/d/1ArY8ZWL8y5m4lXCaqPTm0YzGXlUim01t/view?usp=drivesdk" TargetMode="External"/><Relationship Id="rId1450" Type="http://schemas.openxmlformats.org/officeDocument/2006/relationships/hyperlink" Target="https://drive.google.com/file/d/1S8ohR7Ja_cYFZTUtOb2F45ORdW5BBbm1/view?usp=drivesdk" TargetMode="External"/><Relationship Id="rId2781" Type="http://schemas.openxmlformats.org/officeDocument/2006/relationships/hyperlink" Target="https://drive.google.com/file/d/1jHD_qXRMOdo9ZdOVVcS8ABAnnQIj3FMV/view?usp=drivesdk" TargetMode="External"/><Relationship Id="rId1451" Type="http://schemas.openxmlformats.org/officeDocument/2006/relationships/hyperlink" Target="https://drive.google.com/file/d/1KYotS8THPWyU0gi8Dq5VnlF2Qm9s0IVB/view?usp=drivesdk" TargetMode="External"/><Relationship Id="rId2782" Type="http://schemas.openxmlformats.org/officeDocument/2006/relationships/hyperlink" Target="https://drive.google.com/file/d/1f2X4XHcXFSp7iFaAAIh4JgesydBpEIz3/view?usp=drivesdk" TargetMode="External"/><Relationship Id="rId1452" Type="http://schemas.openxmlformats.org/officeDocument/2006/relationships/hyperlink" Target="https://drive.google.com/file/d/1g-1-49_KPKAQt8dhshqXqMsizj61qv_V/view?usp=drivesdk" TargetMode="External"/><Relationship Id="rId2783" Type="http://schemas.openxmlformats.org/officeDocument/2006/relationships/hyperlink" Target="https://drive.google.com/file/d/1So3TB-GyDSJY9lYnMzPPSQwu4ZwMNF_n/view?usp=drivesdk" TargetMode="External"/><Relationship Id="rId1453" Type="http://schemas.openxmlformats.org/officeDocument/2006/relationships/hyperlink" Target="https://drive.google.com/file/d/11rk0W9FOgJwcEmN8ZJDaq__wmuZpoDYH/view?usp=drivesdk" TargetMode="External"/><Relationship Id="rId2784" Type="http://schemas.openxmlformats.org/officeDocument/2006/relationships/hyperlink" Target="https://drive.google.com/file/d/1fptEq7HYE4BjdPA6TxNQ3i4eRxyMDAmw/view?usp=drivesdk" TargetMode="External"/><Relationship Id="rId1454" Type="http://schemas.openxmlformats.org/officeDocument/2006/relationships/hyperlink" Target="https://drive.google.com/file/d/17iX2oFueLA8RwFYhGrzZrSh6y6-EEEPf/view?usp=drivesdk" TargetMode="External"/><Relationship Id="rId2785" Type="http://schemas.openxmlformats.org/officeDocument/2006/relationships/hyperlink" Target="https://drive.google.com/file/d/17qtHCgTFZqU_Cnu10ehS0T8df87uLDq_/view?usp=drivesdk" TargetMode="External"/><Relationship Id="rId1444" Type="http://schemas.openxmlformats.org/officeDocument/2006/relationships/hyperlink" Target="https://drive.google.com/file/d/105HfO6TG3EDe3U3RSU3vvjHTiN3VOS17/view?usp=drivesdk" TargetMode="External"/><Relationship Id="rId2775" Type="http://schemas.openxmlformats.org/officeDocument/2006/relationships/hyperlink" Target="https://drive.google.com/file/d/1iXvs8HnvEOMLYGoLtsQPhghj-WA1xAD_/view?usp=drivesdk" TargetMode="External"/><Relationship Id="rId1445" Type="http://schemas.openxmlformats.org/officeDocument/2006/relationships/hyperlink" Target="https://drive.google.com/file/d/1RkdvAhYex9MIpFdlCFyYhqgFAjQByw7n/view?usp=drivesdk" TargetMode="External"/><Relationship Id="rId2776" Type="http://schemas.openxmlformats.org/officeDocument/2006/relationships/hyperlink" Target="https://drive.google.com/file/d/1M354TLME3DrfrvlqCyFZpmsOsJfKuECb/view?usp=drivesdk" TargetMode="External"/><Relationship Id="rId1446" Type="http://schemas.openxmlformats.org/officeDocument/2006/relationships/hyperlink" Target="https://drive.google.com/file/d/1LWIJemmQazAhGlbaP1dckJ4IUgcpoxSR/view?usp=drivesdk" TargetMode="External"/><Relationship Id="rId2777" Type="http://schemas.openxmlformats.org/officeDocument/2006/relationships/hyperlink" Target="https://drive.google.com/file/d/1y-25-rtvsyv3_3_YnpBXKg_mNF7c044o/view?usp=drivesdk" TargetMode="External"/><Relationship Id="rId1447" Type="http://schemas.openxmlformats.org/officeDocument/2006/relationships/hyperlink" Target="https://drive.google.com/file/d/19Sj_Qjd4NtQ4HJ4lDM-XVriDMDJjNeF4/view?usp=drivesdk" TargetMode="External"/><Relationship Id="rId2778" Type="http://schemas.openxmlformats.org/officeDocument/2006/relationships/hyperlink" Target="https://drive.google.com/file/d/1SPUGrXyCOUl8VbPuHl5WQ-Uv2gte8a8M/view?usp=drivesdk" TargetMode="External"/><Relationship Id="rId1448" Type="http://schemas.openxmlformats.org/officeDocument/2006/relationships/hyperlink" Target="https://drive.google.com/file/d/1vDP6AEsi53GpOSdnWsjDyry4QTqvbBUp/view?usp=drivesdk" TargetMode="External"/><Relationship Id="rId2779" Type="http://schemas.openxmlformats.org/officeDocument/2006/relationships/hyperlink" Target="https://drive.google.com/file/d/1ocVYAef5s_LeH-oHMG2Mh-uMX5ZLWZcz/view?usp=drivesdk" TargetMode="External"/><Relationship Id="rId1449" Type="http://schemas.openxmlformats.org/officeDocument/2006/relationships/hyperlink" Target="https://drive.google.com/file/d/148V_i44FYLo_w8ZhjIKuCFoXg7Kkhf78/view?usp=drivesdk" TargetMode="External"/><Relationship Id="rId2770" Type="http://schemas.openxmlformats.org/officeDocument/2006/relationships/hyperlink" Target="https://drive.google.com/file/d/1Rg776lBOjxJZD9Wy6YL8pGvcAiqyI8El/view?usp=drivesdk" TargetMode="External"/><Relationship Id="rId1440" Type="http://schemas.openxmlformats.org/officeDocument/2006/relationships/hyperlink" Target="https://drive.google.com/file/d/1WAxi65R2xR2sE2yrV__-W8MZ1RkBfVCS/view?usp=drivesdk" TargetMode="External"/><Relationship Id="rId2771" Type="http://schemas.openxmlformats.org/officeDocument/2006/relationships/hyperlink" Target="https://drive.google.com/file/d/1qZtdqP5bakjxlBP9Tbg0oPBM-s9s3GOH/view?usp=drivesdk" TargetMode="External"/><Relationship Id="rId1441" Type="http://schemas.openxmlformats.org/officeDocument/2006/relationships/hyperlink" Target="https://drive.google.com/file/d/1EvYpkJ-8ofVzp4QhZjz0xGchWaOLxb-Z/view?usp=drivesdk" TargetMode="External"/><Relationship Id="rId2772" Type="http://schemas.openxmlformats.org/officeDocument/2006/relationships/hyperlink" Target="https://drive.google.com/file/d/1piwlfmiWe9SlTu5DPQI7QgSI8-bAPEYY/view?usp=drivesdk" TargetMode="External"/><Relationship Id="rId1442" Type="http://schemas.openxmlformats.org/officeDocument/2006/relationships/hyperlink" Target="https://drive.google.com/file/d/1magmrN3jNXKJTZUhf3iHV6ByQ_cCDk98/view?usp=drivesdk" TargetMode="External"/><Relationship Id="rId2773" Type="http://schemas.openxmlformats.org/officeDocument/2006/relationships/hyperlink" Target="https://drive.google.com/file/d/1xPhjoHkcYZOt_4KgshQ6ddsAnVVV73Wf/view?usp=drivesdk" TargetMode="External"/><Relationship Id="rId1443" Type="http://schemas.openxmlformats.org/officeDocument/2006/relationships/hyperlink" Target="https://drive.google.com/file/d/1WwjOpq4sGC-Naw2VRDT-slFYsl2vu4CU/view?usp=drivesdk" TargetMode="External"/><Relationship Id="rId2774" Type="http://schemas.openxmlformats.org/officeDocument/2006/relationships/hyperlink" Target="https://drive.google.com/file/d/1LrStdvXaCAVk-4zAU40SPxZUJDUdPK3a/view?usp=drivesdk" TargetMode="External"/><Relationship Id="rId1477" Type="http://schemas.openxmlformats.org/officeDocument/2006/relationships/hyperlink" Target="https://drive.google.com/file/d/1hpeTvhSWiAZp1ZrX_hyeXQlhcPsDqYhP/view?usp=drivesdk" TargetMode="External"/><Relationship Id="rId1478" Type="http://schemas.openxmlformats.org/officeDocument/2006/relationships/hyperlink" Target="https://drive.google.com/file/d/14AjeMg5yUdYZeD0lVlQY-1NCrCFYZjqU/view?usp=drivesdk" TargetMode="External"/><Relationship Id="rId1479" Type="http://schemas.openxmlformats.org/officeDocument/2006/relationships/hyperlink" Target="https://drive.google.com/file/d/1AyZFdsdQ4vJM_8WVvbGlO7EFr-x2tKBS/view?usp=drivesdk" TargetMode="External"/><Relationship Id="rId1470" Type="http://schemas.openxmlformats.org/officeDocument/2006/relationships/hyperlink" Target="https://drive.google.com/file/d/1JXoHjyaO3PlQ0rMLVPVAJenEbzQLLGN_/view?usp=drivesdk" TargetMode="External"/><Relationship Id="rId1471" Type="http://schemas.openxmlformats.org/officeDocument/2006/relationships/hyperlink" Target="https://drive.google.com/file/d/1AD1HPbf7sBnK2FKo3QbNyz3DaOVbXe4m/view?usp=drivesdk" TargetMode="External"/><Relationship Id="rId1472" Type="http://schemas.openxmlformats.org/officeDocument/2006/relationships/hyperlink" Target="https://drive.google.com/file/d/1k0GhNjCOOWfUGoi5Fyb33beuQ7obfo9d/view?usp=drivesdk" TargetMode="External"/><Relationship Id="rId1473" Type="http://schemas.openxmlformats.org/officeDocument/2006/relationships/hyperlink" Target="https://drive.google.com/file/d/12vz9QNOE1WptkycT825D9CrSz0CS_p9n/view?usp=drivesdk" TargetMode="External"/><Relationship Id="rId1474" Type="http://schemas.openxmlformats.org/officeDocument/2006/relationships/hyperlink" Target="https://drive.google.com/file/d/1911wItE34FDGOiKEgvVJ3yQBbxXYz-bP/view?usp=drivesdk" TargetMode="External"/><Relationship Id="rId1475" Type="http://schemas.openxmlformats.org/officeDocument/2006/relationships/hyperlink" Target="https://drive.google.com/file/d/1EBbnI6AGjPojDcTNz0-e1Xf-n1za88AO/view?usp=drivesdk" TargetMode="External"/><Relationship Id="rId1476" Type="http://schemas.openxmlformats.org/officeDocument/2006/relationships/hyperlink" Target="https://drive.google.com/file/d/1oa3af1i9h8-63Bc4HIuuPwHZoECTIQb0/view?usp=drivesdk" TargetMode="External"/><Relationship Id="rId1466" Type="http://schemas.openxmlformats.org/officeDocument/2006/relationships/hyperlink" Target="https://drive.google.com/file/d/14LMXoNXMAd_T6y9wWAKGkUpJ53b0oDvz/view?usp=drivesdk" TargetMode="External"/><Relationship Id="rId2797" Type="http://schemas.openxmlformats.org/officeDocument/2006/relationships/hyperlink" Target="https://drive.google.com/file/d/1kz1w0iFmDB4kjmH_xNCM13I1cTovJO8S/view?usp=drivesdk" TargetMode="External"/><Relationship Id="rId1467" Type="http://schemas.openxmlformats.org/officeDocument/2006/relationships/hyperlink" Target="https://drive.google.com/file/d/1d7GciCrGGnjouA5bSUTamtRSW4aVdsYj/view?usp=drivesdk" TargetMode="External"/><Relationship Id="rId2798" Type="http://schemas.openxmlformats.org/officeDocument/2006/relationships/hyperlink" Target="https://drive.google.com/file/d/1Nzv0szgp4gO8PylZdNaC3QaZ0ggWPxGT/view?usp=drivesdk" TargetMode="External"/><Relationship Id="rId1468" Type="http://schemas.openxmlformats.org/officeDocument/2006/relationships/hyperlink" Target="https://drive.google.com/file/d/1mSLuw6ViCu52jgSCRPZHywgQtZ9sUDZA/view?usp=drivesdk" TargetMode="External"/><Relationship Id="rId2799" Type="http://schemas.openxmlformats.org/officeDocument/2006/relationships/hyperlink" Target="http://ervina.se" TargetMode="External"/><Relationship Id="rId1469" Type="http://schemas.openxmlformats.org/officeDocument/2006/relationships/hyperlink" Target="https://drive.google.com/file/d/1mqwzGTmKDunUqgHq2FLWNyi_0unbfNHY/view?usp=drivesdk" TargetMode="External"/><Relationship Id="rId2790" Type="http://schemas.openxmlformats.org/officeDocument/2006/relationships/hyperlink" Target="https://drive.google.com/file/d/1CA87W4D8FE6L2lxLPsi1ibZWqVxUfD3F/view?usp=drivesdk" TargetMode="External"/><Relationship Id="rId1460" Type="http://schemas.openxmlformats.org/officeDocument/2006/relationships/hyperlink" Target="https://drive.google.com/file/d/1VuniJKUxrio-hJrCwiJz-ADHQZqBdgvi/view?usp=drivesdk" TargetMode="External"/><Relationship Id="rId2791" Type="http://schemas.openxmlformats.org/officeDocument/2006/relationships/hyperlink" Target="https://drive.google.com/file/d/1J2DNnrO6B3_w-azGW9QbpOd3utrv4VEp/view?usp=drivesdk" TargetMode="External"/><Relationship Id="rId1461" Type="http://schemas.openxmlformats.org/officeDocument/2006/relationships/hyperlink" Target="https://drive.google.com/file/d/11br8Pp4rHqqN06n46mQGtYLXSDnajIwW/view?usp=drivesdk" TargetMode="External"/><Relationship Id="rId2792" Type="http://schemas.openxmlformats.org/officeDocument/2006/relationships/hyperlink" Target="https://drive.google.com/file/d/1PjRgqJn6y4s8aJ9zSbcZ4lPMSQeU33yO/view?usp=drivesdk" TargetMode="External"/><Relationship Id="rId1462" Type="http://schemas.openxmlformats.org/officeDocument/2006/relationships/hyperlink" Target="https://drive.google.com/file/d/1GacSAzAJ4thE6HD2gDpyKSM9D8kRNMWP/view?usp=drivesdk" TargetMode="External"/><Relationship Id="rId2793" Type="http://schemas.openxmlformats.org/officeDocument/2006/relationships/hyperlink" Target="https://drive.google.com/file/d/1op3MEEjRsSGM8HaU7EjqVrmqliCes2bT/view?usp=drivesdk" TargetMode="External"/><Relationship Id="rId1463" Type="http://schemas.openxmlformats.org/officeDocument/2006/relationships/hyperlink" Target="https://drive.google.com/file/d/1gPody9QITivkztSYuF1nmqbSAZ0C463s/view?usp=drivesdk" TargetMode="External"/><Relationship Id="rId2794" Type="http://schemas.openxmlformats.org/officeDocument/2006/relationships/hyperlink" Target="https://drive.google.com/file/d/19F48SAv0kqv6cZnyt4HvprsaPh2huLE9/view?usp=drivesdk" TargetMode="External"/><Relationship Id="rId1464" Type="http://schemas.openxmlformats.org/officeDocument/2006/relationships/hyperlink" Target="https://drive.google.com/file/d/1IiOmM0iCKY1ELhuz4XBHPej2lf6K-nmY/view?usp=drivesdk" TargetMode="External"/><Relationship Id="rId2795" Type="http://schemas.openxmlformats.org/officeDocument/2006/relationships/hyperlink" Target="http://heriyanto.sm" TargetMode="External"/><Relationship Id="rId1465" Type="http://schemas.openxmlformats.org/officeDocument/2006/relationships/hyperlink" Target="https://drive.google.com/file/d/1exLPGguGzIBHOEoRXyghtzTqQsXD_aKP/view?usp=drivesdk" TargetMode="External"/><Relationship Id="rId2796" Type="http://schemas.openxmlformats.org/officeDocument/2006/relationships/hyperlink" Target="http://zulmaniar.sm" TargetMode="External"/><Relationship Id="rId1411" Type="http://schemas.openxmlformats.org/officeDocument/2006/relationships/hyperlink" Target="https://drive.google.com/file/d/1PIqiTxmIAqNPWZU_9dFeim6aymYPmuFZ/view?usp=drivesdk" TargetMode="External"/><Relationship Id="rId2742" Type="http://schemas.openxmlformats.org/officeDocument/2006/relationships/hyperlink" Target="https://drive.google.com/file/d/1BaJDBezrsXH7oDbqme2ez4epNxiz387x/view?usp=drivesdk" TargetMode="External"/><Relationship Id="rId1412" Type="http://schemas.openxmlformats.org/officeDocument/2006/relationships/hyperlink" Target="https://drive.google.com/file/d/1REdvLw6DZFlaPJeUzr5MiBUAT6XZZRC-/view?usp=drivesdk" TargetMode="External"/><Relationship Id="rId2743" Type="http://schemas.openxmlformats.org/officeDocument/2006/relationships/hyperlink" Target="https://drive.google.com/file/d/1eWeYVSUHBUncoSJO-sgUqTXfatonTt24/view?usp=drivesdk" TargetMode="External"/><Relationship Id="rId1413" Type="http://schemas.openxmlformats.org/officeDocument/2006/relationships/hyperlink" Target="https://drive.google.com/file/d/1w3VFYtYJX6Y-DsttZLQX59JiPSj5Q33m/view?usp=drivesdk" TargetMode="External"/><Relationship Id="rId2744" Type="http://schemas.openxmlformats.org/officeDocument/2006/relationships/hyperlink" Target="https://drive.google.com/file/d/1ZxI0EYETrs9VP3-6Jz6bAhX86e3H43jN/view?usp=drivesdk" TargetMode="External"/><Relationship Id="rId1414" Type="http://schemas.openxmlformats.org/officeDocument/2006/relationships/hyperlink" Target="https://drive.google.com/file/d/1vAiaZxc420KJwwDSRrPHWEEOo5IX0Bje/view?usp=drivesdk" TargetMode="External"/><Relationship Id="rId2745" Type="http://schemas.openxmlformats.org/officeDocument/2006/relationships/hyperlink" Target="https://drive.google.com/file/d/1wT9fT3DZ8qaEi33ssAN75tZ-YupUzpCk/view?usp=drivesdk" TargetMode="External"/><Relationship Id="rId1415" Type="http://schemas.openxmlformats.org/officeDocument/2006/relationships/hyperlink" Target="https://drive.google.com/file/d/12NjXqfioOnoJMa7YVNpM2DFAR8avsA6o/view?usp=drivesdk" TargetMode="External"/><Relationship Id="rId2746" Type="http://schemas.openxmlformats.org/officeDocument/2006/relationships/hyperlink" Target="https://drive.google.com/file/d/1NxmxaR35W-AEh7BL5QvouBARGgUoUWRA/view?usp=drivesdk" TargetMode="External"/><Relationship Id="rId1416" Type="http://schemas.openxmlformats.org/officeDocument/2006/relationships/hyperlink" Target="https://drive.google.com/file/d/1gZbbMRUpUCy0J5Va5q-FZfGjJqJf3rQZ/view?usp=drivesdk" TargetMode="External"/><Relationship Id="rId2747" Type="http://schemas.openxmlformats.org/officeDocument/2006/relationships/hyperlink" Target="https://drive.google.com/file/d/1uxe61wwUjitvBL6yOA1lPEymOLZdZ8rM/view?usp=drivesdk" TargetMode="External"/><Relationship Id="rId1417" Type="http://schemas.openxmlformats.org/officeDocument/2006/relationships/hyperlink" Target="https://drive.google.com/file/d/11dpqTQGro1AJOHP0rvLA5BLri9ZCXZGT/view?usp=drivesdk" TargetMode="External"/><Relationship Id="rId2748" Type="http://schemas.openxmlformats.org/officeDocument/2006/relationships/hyperlink" Target="https://drive.google.com/file/d/12-Tnm6d5XeriW2wWme0KMPPyw5UpVtNB/view?usp=drivesdk" TargetMode="External"/><Relationship Id="rId1418" Type="http://schemas.openxmlformats.org/officeDocument/2006/relationships/hyperlink" Target="https://drive.google.com/file/d/1fEMJruxxuHlSE99uo6u5laEZNYTCTPuI/view?usp=drivesdk" TargetMode="External"/><Relationship Id="rId2749" Type="http://schemas.openxmlformats.org/officeDocument/2006/relationships/hyperlink" Target="https://drive.google.com/file/d/1u1Ll6qUYZ12OlYjD7MzzEq-EmNkul15C/view?usp=drivesdk" TargetMode="External"/><Relationship Id="rId1419" Type="http://schemas.openxmlformats.org/officeDocument/2006/relationships/hyperlink" Target="https://drive.google.com/file/d/1If5EfNni2dMkrWvzQGre7ziLkb1mnMB_/view?usp=drivesdk" TargetMode="External"/><Relationship Id="rId2740" Type="http://schemas.openxmlformats.org/officeDocument/2006/relationships/hyperlink" Target="https://drive.google.com/file/d/13XXKgkxEdBzVqJYoz0uWcFURCksO0rcM/view?usp=drivesdk" TargetMode="External"/><Relationship Id="rId1410" Type="http://schemas.openxmlformats.org/officeDocument/2006/relationships/hyperlink" Target="https://drive.google.com/file/d/1o5jTx2MpYrWzp2XpjU13REUIvZhLkRai/view?usp=drivesdk" TargetMode="External"/><Relationship Id="rId2741" Type="http://schemas.openxmlformats.org/officeDocument/2006/relationships/hyperlink" Target="https://drive.google.com/file/d/18EdJXrSVkCMhvPeFNq2cGM0eEatt5jnM/view?usp=drivesdk" TargetMode="External"/><Relationship Id="rId1400" Type="http://schemas.openxmlformats.org/officeDocument/2006/relationships/hyperlink" Target="https://drive.google.com/file/d/1EgM0pc0pYsBEkVz_bOeAYTbTAc85Fc-T/view?usp=drivesdk" TargetMode="External"/><Relationship Id="rId2731" Type="http://schemas.openxmlformats.org/officeDocument/2006/relationships/hyperlink" Target="https://drive.google.com/file/d/1fH12N8ikbjf9kA6bYE0jRngJg0DhSUHC/view?usp=drivesdk" TargetMode="External"/><Relationship Id="rId1401" Type="http://schemas.openxmlformats.org/officeDocument/2006/relationships/hyperlink" Target="https://drive.google.com/file/d/18DnjQAdiejkaVfrWuHGcMZUn-WCvtUld/view?usp=drivesdk" TargetMode="External"/><Relationship Id="rId2732" Type="http://schemas.openxmlformats.org/officeDocument/2006/relationships/hyperlink" Target="https://drive.google.com/file/d/1uGU0Rx8J2axhssjFAMR2Ng4qT8-wlfhO/view?usp=drivesdk" TargetMode="External"/><Relationship Id="rId1402" Type="http://schemas.openxmlformats.org/officeDocument/2006/relationships/hyperlink" Target="https://drive.google.com/file/d/1K3K7uP0ZfyVDZkWnC2QauCXuoFUI70cc/view?usp=drivesdk" TargetMode="External"/><Relationship Id="rId2733" Type="http://schemas.openxmlformats.org/officeDocument/2006/relationships/hyperlink" Target="https://drive.google.com/file/d/10WuEBEASu2LPjKzoM5RG8N9m1oF4_Tm9/view?usp=drivesdk" TargetMode="External"/><Relationship Id="rId1403" Type="http://schemas.openxmlformats.org/officeDocument/2006/relationships/hyperlink" Target="https://drive.google.com/file/d/1TRb9zndTmjoD5XQXCUQ-0k98bcldU9xw/view?usp=drivesdk" TargetMode="External"/><Relationship Id="rId2734" Type="http://schemas.openxmlformats.org/officeDocument/2006/relationships/hyperlink" Target="https://drive.google.com/file/d/19gxF5_vLoYik0Eu-SPzeJlgtJEyZIlOI/view?usp=drivesdk" TargetMode="External"/><Relationship Id="rId1404" Type="http://schemas.openxmlformats.org/officeDocument/2006/relationships/hyperlink" Target="https://drive.google.com/file/d/1WielJi8mu7EI_ZRjAj18N2Ud_FUgew_A/view?usp=drivesdk" TargetMode="External"/><Relationship Id="rId2735" Type="http://schemas.openxmlformats.org/officeDocument/2006/relationships/hyperlink" Target="https://drive.google.com/file/d/1qLhDlRaoF34WNsUS_u1nW8QnHwdd6Bw-/view?usp=drivesdk" TargetMode="External"/><Relationship Id="rId1405" Type="http://schemas.openxmlformats.org/officeDocument/2006/relationships/hyperlink" Target="https://drive.google.com/file/d/1KmO_XFopI00b29lqIyfxTRrF6cUsDE3T/view?usp=drivesdk" TargetMode="External"/><Relationship Id="rId2736" Type="http://schemas.openxmlformats.org/officeDocument/2006/relationships/hyperlink" Target="https://drive.google.com/file/d/1G8AHQtCm6jo0d_aU0o7dR8lSTxZbVXfi/view?usp=drivesdk" TargetMode="External"/><Relationship Id="rId1406" Type="http://schemas.openxmlformats.org/officeDocument/2006/relationships/hyperlink" Target="https://drive.google.com/file/d/1KKsvWOLTzbp9jFeobmZdaLprIcWjXXS5/view?usp=drivesdk" TargetMode="External"/><Relationship Id="rId2737" Type="http://schemas.openxmlformats.org/officeDocument/2006/relationships/hyperlink" Target="https://drive.google.com/file/d/18wDVE6O4guoHN4EcEJO-7ClYpg1dYrhk/view?usp=drivesdk" TargetMode="External"/><Relationship Id="rId1407" Type="http://schemas.openxmlformats.org/officeDocument/2006/relationships/hyperlink" Target="https://drive.google.com/file/d/1fdNdTIOY-svvPK6oF-7A2XW1TPJDfrS7/view?usp=drivesdk" TargetMode="External"/><Relationship Id="rId2738" Type="http://schemas.openxmlformats.org/officeDocument/2006/relationships/hyperlink" Target="https://drive.google.com/file/d/1mfxxGlmkBHKiUK4rh9XR509CwxchPJzf/view?usp=drivesdk" TargetMode="External"/><Relationship Id="rId1408" Type="http://schemas.openxmlformats.org/officeDocument/2006/relationships/hyperlink" Target="https://drive.google.com/file/d/1ZcKfoInad7fY2Esb04MAtPM7RzEqLox_/view?usp=drivesdk" TargetMode="External"/><Relationship Id="rId2739" Type="http://schemas.openxmlformats.org/officeDocument/2006/relationships/hyperlink" Target="https://drive.google.com/file/d/1Qr28dptddU3TH47_LaHFtmoWzDmmeKza/view?usp=drivesdk" TargetMode="External"/><Relationship Id="rId1409" Type="http://schemas.openxmlformats.org/officeDocument/2006/relationships/hyperlink" Target="https://drive.google.com/file/d/10FcdjyvcbjIlOJsJnKAK5BNN0ZxjrUp_/view?usp=drivesdk" TargetMode="External"/><Relationship Id="rId2730" Type="http://schemas.openxmlformats.org/officeDocument/2006/relationships/hyperlink" Target="https://drive.google.com/file/d/1ahzYLIy4XU3bH9m-swr-OzxSdmbTKb2C/view?usp=drivesdk" TargetMode="External"/><Relationship Id="rId1433" Type="http://schemas.openxmlformats.org/officeDocument/2006/relationships/hyperlink" Target="https://drive.google.com/file/d/1lOL5-AGkmLJJJ5GUQaiFN0UMDjsQiuMZ/view?usp=drivesdk" TargetMode="External"/><Relationship Id="rId2764" Type="http://schemas.openxmlformats.org/officeDocument/2006/relationships/hyperlink" Target="https://drive.google.com/file/d/1lLDHPi_mvANliJKlZ0HXwAg7lUi68-NW/view?usp=drivesdk" TargetMode="External"/><Relationship Id="rId1434" Type="http://schemas.openxmlformats.org/officeDocument/2006/relationships/hyperlink" Target="https://drive.google.com/file/d/12maLUwnbL_Zf_1vRBlzsQeoSMmGNDXCy/view?usp=drivesdk" TargetMode="External"/><Relationship Id="rId2765" Type="http://schemas.openxmlformats.org/officeDocument/2006/relationships/hyperlink" Target="https://drive.google.com/file/d/11WRmiJEKEKbdnRg97ySCEnpSlfqLCROP/view?usp=drivesdk" TargetMode="External"/><Relationship Id="rId1435" Type="http://schemas.openxmlformats.org/officeDocument/2006/relationships/hyperlink" Target="https://drive.google.com/file/d/1K4FQGWyvgtEEfjNccm-PEwjhAYRvkrfW/view?usp=drivesdk" TargetMode="External"/><Relationship Id="rId2766" Type="http://schemas.openxmlformats.org/officeDocument/2006/relationships/hyperlink" Target="https://drive.google.com/file/d/1IVq18pfXXYzOQ9IXEcdjNA6gV6lzCRf9/view?usp=drivesdk" TargetMode="External"/><Relationship Id="rId1436" Type="http://schemas.openxmlformats.org/officeDocument/2006/relationships/hyperlink" Target="https://drive.google.com/file/d/1bxgscf0tjhJxdWiWBzosNPIdQ6-UKE7Z/view?usp=drivesdk" TargetMode="External"/><Relationship Id="rId2767" Type="http://schemas.openxmlformats.org/officeDocument/2006/relationships/hyperlink" Target="https://drive.google.com/file/d/1Oo6I_-XfWVQdZ0twyP2hrw9Kp37CHLAD/view?usp=drivesdk" TargetMode="External"/><Relationship Id="rId1437" Type="http://schemas.openxmlformats.org/officeDocument/2006/relationships/hyperlink" Target="https://drive.google.com/file/d/1-9WhgO8QxP3ULDWzIGDhH-kb3IMnzRmB/view?usp=drivesdk" TargetMode="External"/><Relationship Id="rId2768" Type="http://schemas.openxmlformats.org/officeDocument/2006/relationships/hyperlink" Target="https://drive.google.com/file/d/1Acb0mqKG_IFeF8FkQ6TjVRgBmemuJzX2/view?usp=drivesdk" TargetMode="External"/><Relationship Id="rId1438" Type="http://schemas.openxmlformats.org/officeDocument/2006/relationships/hyperlink" Target="https://drive.google.com/file/d/1-XH78EL7sP44gYsyTDy6WCMn7IzRCnR3/view?usp=drivesdk" TargetMode="External"/><Relationship Id="rId2769" Type="http://schemas.openxmlformats.org/officeDocument/2006/relationships/hyperlink" Target="https://drive.google.com/file/d/1cY74p8NtE7uLKz8REfTxWmeqNu-wwdSV/view?usp=drivesdk" TargetMode="External"/><Relationship Id="rId1439" Type="http://schemas.openxmlformats.org/officeDocument/2006/relationships/hyperlink" Target="https://drive.google.com/file/d/1UqN-lh_X-iI2U0S9xuob6xTK_r9zcF2s/view?usp=drivesdk" TargetMode="External"/><Relationship Id="rId2760" Type="http://schemas.openxmlformats.org/officeDocument/2006/relationships/hyperlink" Target="https://drive.google.com/file/d/1BQc6dcoLnNhaaZXp510ga18VgRY3Dspz/view?usp=drivesdk" TargetMode="External"/><Relationship Id="rId1430" Type="http://schemas.openxmlformats.org/officeDocument/2006/relationships/hyperlink" Target="https://drive.google.com/file/d/1K79Liu_0lKeVW-deh4XAS7AgS8ulDjkq/view?usp=drivesdk" TargetMode="External"/><Relationship Id="rId2761" Type="http://schemas.openxmlformats.org/officeDocument/2006/relationships/hyperlink" Target="https://drive.google.com/file/d/1DVWLm9ciWCXIG6LR7ho1_dFkEsRzeygu/view?usp=drivesdk" TargetMode="External"/><Relationship Id="rId1431" Type="http://schemas.openxmlformats.org/officeDocument/2006/relationships/hyperlink" Target="https://drive.google.com/file/d/1q6PhMLB4dPNAC896q8FwgcFeLm4D_Dpz/view?usp=drivesdk" TargetMode="External"/><Relationship Id="rId2762" Type="http://schemas.openxmlformats.org/officeDocument/2006/relationships/hyperlink" Target="https://drive.google.com/file/d/1fM2N8-ehh3F3480xvvbDYQYoXfX-EpL7/view?usp=drivesdk" TargetMode="External"/><Relationship Id="rId1432" Type="http://schemas.openxmlformats.org/officeDocument/2006/relationships/hyperlink" Target="https://drive.google.com/file/d/1nC-81TAetsEspUwRGCnqdL_CZyoj0FOt/view?usp=drivesdk" TargetMode="External"/><Relationship Id="rId2763" Type="http://schemas.openxmlformats.org/officeDocument/2006/relationships/hyperlink" Target="https://drive.google.com/file/d/1a8KBa-oCwJBPTOvsGIaByS0ht3ynGOpD/view?usp=drivesdk" TargetMode="External"/><Relationship Id="rId1422" Type="http://schemas.openxmlformats.org/officeDocument/2006/relationships/hyperlink" Target="https://drive.google.com/file/d/1YPl9OsTqIp14lAoQ2H6v7w2wVkfGLQeF/view?usp=drivesdk" TargetMode="External"/><Relationship Id="rId2753" Type="http://schemas.openxmlformats.org/officeDocument/2006/relationships/hyperlink" Target="https://drive.google.com/file/d/10GLJB53WySVHnpiGP07g0Ee2g7tcCDqS/view?usp=drivesdk" TargetMode="External"/><Relationship Id="rId1423" Type="http://schemas.openxmlformats.org/officeDocument/2006/relationships/hyperlink" Target="https://drive.google.com/file/d/1Wp_UW2fq2x6z02axFLlvcpp7_0YRT7Gm/view?usp=drivesdk" TargetMode="External"/><Relationship Id="rId2754" Type="http://schemas.openxmlformats.org/officeDocument/2006/relationships/hyperlink" Target="https://drive.google.com/file/d/1jMyntn8uSvlbZRCidvDtG5_tj4NlIFob/view?usp=drivesdk" TargetMode="External"/><Relationship Id="rId1424" Type="http://schemas.openxmlformats.org/officeDocument/2006/relationships/hyperlink" Target="https://drive.google.com/file/d/1wiDpbQco1OVbYSLvbuZrUEknJiIIgUfH/view?usp=drivesdk" TargetMode="External"/><Relationship Id="rId2755" Type="http://schemas.openxmlformats.org/officeDocument/2006/relationships/hyperlink" Target="https://drive.google.com/file/d/1rB1RNrNu8XRQOGWs0oQXwK7Ai8dM6Xgr/view?usp=drivesdk" TargetMode="External"/><Relationship Id="rId1425" Type="http://schemas.openxmlformats.org/officeDocument/2006/relationships/hyperlink" Target="https://drive.google.com/file/d/1krTjnfDjZ6wEcHJZOaZvBbgcPWIZOyhI/view?usp=drivesdk" TargetMode="External"/><Relationship Id="rId2756" Type="http://schemas.openxmlformats.org/officeDocument/2006/relationships/hyperlink" Target="https://drive.google.com/file/d/1Cb4GipSTsttXr_bBPmIRX9fc8igwF3E9/view?usp=drivesdk" TargetMode="External"/><Relationship Id="rId1426" Type="http://schemas.openxmlformats.org/officeDocument/2006/relationships/hyperlink" Target="https://drive.google.com/file/d/1RIYD8oluKcrSLnzI4NHokuR3ocNzdg-P/view?usp=drivesdk" TargetMode="External"/><Relationship Id="rId2757" Type="http://schemas.openxmlformats.org/officeDocument/2006/relationships/hyperlink" Target="https://drive.google.com/file/d/1MRDPgqj6hSjCL2Kf0GoTVhTERu34D_HY/view?usp=drivesdk" TargetMode="External"/><Relationship Id="rId1427" Type="http://schemas.openxmlformats.org/officeDocument/2006/relationships/hyperlink" Target="https://drive.google.com/file/d/1JJBacU-LVrsoXx6g_FZPqcvGwB9_6FZP/view?usp=drivesdk" TargetMode="External"/><Relationship Id="rId2758" Type="http://schemas.openxmlformats.org/officeDocument/2006/relationships/hyperlink" Target="https://drive.google.com/file/d/1PT-Ep83DUVMcHwgT2_owA88Uz1mT4FUy/view?usp=drivesdk" TargetMode="External"/><Relationship Id="rId1428" Type="http://schemas.openxmlformats.org/officeDocument/2006/relationships/hyperlink" Target="https://drive.google.com/file/d/16T8b1BDFW-OK3bZ30UGOIihS2OYTPDNU/view?usp=drivesdk" TargetMode="External"/><Relationship Id="rId2759" Type="http://schemas.openxmlformats.org/officeDocument/2006/relationships/hyperlink" Target="https://drive.google.com/file/d/1gRTA6Pkxh82W3cAi8kpxjcnDjrnGeW56/view?usp=drivesdk" TargetMode="External"/><Relationship Id="rId1429" Type="http://schemas.openxmlformats.org/officeDocument/2006/relationships/hyperlink" Target="https://drive.google.com/file/d/1whNcV51DJ2zS1GLIuJL1g64uc0HQapsN/view?usp=drivesdk" TargetMode="External"/><Relationship Id="rId2750" Type="http://schemas.openxmlformats.org/officeDocument/2006/relationships/hyperlink" Target="https://drive.google.com/file/d/1O3Aon-JO2K_aGrwy8x2wOIBFuAuSmcDp/view?usp=drivesdk" TargetMode="External"/><Relationship Id="rId1420" Type="http://schemas.openxmlformats.org/officeDocument/2006/relationships/hyperlink" Target="https://drive.google.com/file/d/1mTt5ID8MSP4Xfhf4pvm8W-YMsi1_PqQ4/view?usp=drivesdk" TargetMode="External"/><Relationship Id="rId2751" Type="http://schemas.openxmlformats.org/officeDocument/2006/relationships/hyperlink" Target="https://drive.google.com/file/d/1lvW22-OjrdUlFLUN7F4FSk_OxqbAc3vi/view?usp=drivesdk" TargetMode="External"/><Relationship Id="rId1421" Type="http://schemas.openxmlformats.org/officeDocument/2006/relationships/hyperlink" Target="https://drive.google.com/file/d/15KO3IFGYdoc-EdqtTwtEr021DHvQPUyj/view?usp=drivesdk" TargetMode="External"/><Relationship Id="rId2752" Type="http://schemas.openxmlformats.org/officeDocument/2006/relationships/hyperlink" Target="https://drive.google.com/file/d/1VCdDtkCO87CKX_XX5kKiBmmDZdHQyLhH/view?usp=drivesdk" TargetMode="External"/><Relationship Id="rId1499" Type="http://schemas.openxmlformats.org/officeDocument/2006/relationships/hyperlink" Target="https://drive.google.com/file/d/1Sxxl_FAFh9MmwF9dOsp2JxfMykLI14Lo/view?usp=drivesdk" TargetMode="External"/><Relationship Id="rId1490" Type="http://schemas.openxmlformats.org/officeDocument/2006/relationships/hyperlink" Target="https://drive.google.com/file/d/1LYb4VthSef8WeXDE2hJ9tm9VH3C9K7qA/view?usp=drivesdk" TargetMode="External"/><Relationship Id="rId1491" Type="http://schemas.openxmlformats.org/officeDocument/2006/relationships/hyperlink" Target="https://drive.google.com/file/d/1rZWpwnsh4y3OdKm0cHooWPeLRgFUEp-O/view?usp=drivesdk" TargetMode="External"/><Relationship Id="rId1492" Type="http://schemas.openxmlformats.org/officeDocument/2006/relationships/hyperlink" Target="https://drive.google.com/file/d/1Lm9bw785AkbB1v9_6etnWAJyrqU7lWMJ/view?usp=drivesdk" TargetMode="External"/><Relationship Id="rId1493" Type="http://schemas.openxmlformats.org/officeDocument/2006/relationships/hyperlink" Target="https://drive.google.com/file/d/1VHYuNtwMXe22hFzUwCc9L2oT1_QokrR3/view?usp=drivesdk" TargetMode="External"/><Relationship Id="rId1494" Type="http://schemas.openxmlformats.org/officeDocument/2006/relationships/hyperlink" Target="https://drive.google.com/file/d/1pxhaGpqChZJzJE3x11EVlsKvutvPy3dx/view?usp=drivesdk" TargetMode="External"/><Relationship Id="rId1495" Type="http://schemas.openxmlformats.org/officeDocument/2006/relationships/hyperlink" Target="https://drive.google.com/file/d/1p_85hmWlIop40wnZEPL_WlJLzbsCY0xV/view?usp=drivesdk" TargetMode="External"/><Relationship Id="rId1496" Type="http://schemas.openxmlformats.org/officeDocument/2006/relationships/hyperlink" Target="https://drive.google.com/file/d/18ESaDufHgSZGJhHcmQ_rEDnJftaceWde/view?usp=drivesdk" TargetMode="External"/><Relationship Id="rId1497" Type="http://schemas.openxmlformats.org/officeDocument/2006/relationships/hyperlink" Target="https://drive.google.com/file/d/1AAqOP7-jwwaLim4kYDIfJNy0j1mc_IAS/view?usp=drivesdk" TargetMode="External"/><Relationship Id="rId1498" Type="http://schemas.openxmlformats.org/officeDocument/2006/relationships/hyperlink" Target="https://drive.google.com/file/d/1JRVg2gpoKPyDHvcK_go6CVjJhGg9v0hS/view?usp=drivesdk" TargetMode="External"/><Relationship Id="rId1488" Type="http://schemas.openxmlformats.org/officeDocument/2006/relationships/hyperlink" Target="https://drive.google.com/file/d/1pAEusEjXw0kUyRVK47xftjxcsJi_nwmr/view?usp=drivesdk" TargetMode="External"/><Relationship Id="rId1489" Type="http://schemas.openxmlformats.org/officeDocument/2006/relationships/hyperlink" Target="https://drive.google.com/file/d/1N0xZEcujAGk8GiXTrXqKZIZlbP-yqC3j/view?usp=drivesdk" TargetMode="External"/><Relationship Id="rId1480" Type="http://schemas.openxmlformats.org/officeDocument/2006/relationships/hyperlink" Target="https://drive.google.com/file/d/1cvNej4F74MM-JniRnWr1JFF_CykymEYj/view?usp=drivesdk" TargetMode="External"/><Relationship Id="rId1481" Type="http://schemas.openxmlformats.org/officeDocument/2006/relationships/hyperlink" Target="https://drive.google.com/file/d/1qR4eeCtvhnoHfn1JtNiAytcgO_5-ZbEW/view?usp=drivesdk" TargetMode="External"/><Relationship Id="rId1482" Type="http://schemas.openxmlformats.org/officeDocument/2006/relationships/hyperlink" Target="https://drive.google.com/file/d/1-0hJ_cZsOE6V336SSeXKPjYLsTUzVVPX/view?usp=drivesdk" TargetMode="External"/><Relationship Id="rId1483" Type="http://schemas.openxmlformats.org/officeDocument/2006/relationships/hyperlink" Target="https://drive.google.com/file/d/10098JtnyLvFzV0-sVq1pj7hp9VwbWGAc/view?usp=drivesdk" TargetMode="External"/><Relationship Id="rId1484" Type="http://schemas.openxmlformats.org/officeDocument/2006/relationships/hyperlink" Target="https://drive.google.com/file/d/1jnGnK5GLnSMOROUDkied4YdsnfuvP2Jg/view?usp=drivesdk" TargetMode="External"/><Relationship Id="rId1485" Type="http://schemas.openxmlformats.org/officeDocument/2006/relationships/hyperlink" Target="https://drive.google.com/file/d/1yrGM347u2lW78fX-dsh_1OlQlE1N_UxG/view?usp=drivesdk" TargetMode="External"/><Relationship Id="rId1486" Type="http://schemas.openxmlformats.org/officeDocument/2006/relationships/hyperlink" Target="https://drive.google.com/file/d/1CuRf7bHuD2FtuF4aXKXrChT4IMPfSLJ7/view?usp=drivesdk" TargetMode="External"/><Relationship Id="rId1487" Type="http://schemas.openxmlformats.org/officeDocument/2006/relationships/hyperlink" Target="https://drive.google.com/file/d/1NDFb-VpgDU2S6bHftP7AjEJG_WZ6DaW6/view?usp=drivesdk" TargetMode="External"/><Relationship Id="rId2820" Type="http://schemas.openxmlformats.org/officeDocument/2006/relationships/hyperlink" Target="http://ilham.se" TargetMode="External"/><Relationship Id="rId2821" Type="http://schemas.openxmlformats.org/officeDocument/2006/relationships/hyperlink" Target="https://drive.google.com/file/d/10ocHAcLM4ZnFxvgQ8HXvCawg6WqLIx7F/view?usp=drivesdk" TargetMode="External"/><Relationship Id="rId2822" Type="http://schemas.openxmlformats.org/officeDocument/2006/relationships/hyperlink" Target="https://drive.google.com/file/d/1Q6xq1eljUtN1vgSm9LHxm9-grEw9zI4w/view?usp=drivesdk" TargetMode="External"/><Relationship Id="rId2823" Type="http://schemas.openxmlformats.org/officeDocument/2006/relationships/hyperlink" Target="https://drive.google.com/file/d/1BcwDlHyD05JB_7DvMUXVR075qim9zJvj/view?usp=drivesdk" TargetMode="External"/><Relationship Id="rId2824" Type="http://schemas.openxmlformats.org/officeDocument/2006/relationships/hyperlink" Target="https://drive.google.com/file/d/1E6-70qwOy69rKmA7xj83i0qXeWky55z-/view?usp=drivesdk" TargetMode="External"/><Relationship Id="rId2825" Type="http://schemas.openxmlformats.org/officeDocument/2006/relationships/hyperlink" Target="https://drive.google.com/file/d/1TzVicaLRbzFqxBbFXAGO3tb81Cgf4EWc/view?usp=drivesdk" TargetMode="External"/><Relationship Id="rId2826" Type="http://schemas.openxmlformats.org/officeDocument/2006/relationships/hyperlink" Target="https://drive.google.com/file/d/1_kWyM2x_b2WFFjka9FvHjh6WdoaQLGgj/view?usp=drivesdk" TargetMode="External"/><Relationship Id="rId2827" Type="http://schemas.openxmlformats.org/officeDocument/2006/relationships/hyperlink" Target="https://drive.google.com/file/d/1zHGBs-k25s1QzZTutNVxpiiTv-lz_zNB/view?usp=drivesdk" TargetMode="External"/><Relationship Id="rId2828" Type="http://schemas.openxmlformats.org/officeDocument/2006/relationships/drawing" Target="../drawings/drawing2.xml"/><Relationship Id="rId2810" Type="http://schemas.openxmlformats.org/officeDocument/2006/relationships/hyperlink" Target="https://drive.google.com/file/d/1Efh5bgHa8-g1g2mjKaRJXkCz63Sw8AKS/view?usp=drivesdk" TargetMode="External"/><Relationship Id="rId2811" Type="http://schemas.openxmlformats.org/officeDocument/2006/relationships/hyperlink" Target="https://drive.google.com/file/d/1m0p1HDmmV7aRooIjP9Fan3klHuGN_0bS/view?usp=drivesdk" TargetMode="External"/><Relationship Id="rId2812" Type="http://schemas.openxmlformats.org/officeDocument/2006/relationships/hyperlink" Target="https://drive.google.com/file/d/1gU_zwpmDe8qqNlbL6qTRnZVzXh7ROfN7/view?usp=drivesdk" TargetMode="External"/><Relationship Id="rId2813" Type="http://schemas.openxmlformats.org/officeDocument/2006/relationships/hyperlink" Target="https://drive.google.com/file/d/13ZyFO5vaXXVSDnqZ-3S_YFRcBTl2wREf/view?usp=drivesdk" TargetMode="External"/><Relationship Id="rId2814" Type="http://schemas.openxmlformats.org/officeDocument/2006/relationships/hyperlink" Target="http://yulianti.a.md" TargetMode="External"/><Relationship Id="rId2815" Type="http://schemas.openxmlformats.org/officeDocument/2006/relationships/hyperlink" Target="http://sarti.se" TargetMode="External"/><Relationship Id="rId2816" Type="http://schemas.openxmlformats.org/officeDocument/2006/relationships/hyperlink" Target="http://herawati.sm" TargetMode="External"/><Relationship Id="rId2817" Type="http://schemas.openxmlformats.org/officeDocument/2006/relationships/hyperlink" Target="http://fitriani.sh" TargetMode="External"/><Relationship Id="rId2818" Type="http://schemas.openxmlformats.org/officeDocument/2006/relationships/hyperlink" Target="http://kurdi.sh" TargetMode="External"/><Relationship Id="rId2819" Type="http://schemas.openxmlformats.org/officeDocument/2006/relationships/hyperlink" Target="http://sulastutik.sh" TargetMode="External"/><Relationship Id="rId1510" Type="http://schemas.openxmlformats.org/officeDocument/2006/relationships/hyperlink" Target="https://drive.google.com/file/d/1jEQveVQEELFVlkuzbJsB4qLC-PNPtBM-/view?usp=drivesdk" TargetMode="External"/><Relationship Id="rId1511" Type="http://schemas.openxmlformats.org/officeDocument/2006/relationships/hyperlink" Target="https://drive.google.com/file/d/1Q-iOUfBCjvUnm-_mnz0KZXRDhqysHhbU/view?usp=drivesdk" TargetMode="External"/><Relationship Id="rId1512" Type="http://schemas.openxmlformats.org/officeDocument/2006/relationships/hyperlink" Target="https://drive.google.com/file/d/1s-4Ftb08ku32dZCd7s-aWJfhJsZZsQ5P/view?usp=drivesdk" TargetMode="External"/><Relationship Id="rId1513" Type="http://schemas.openxmlformats.org/officeDocument/2006/relationships/hyperlink" Target="https://drive.google.com/file/d/1AADjFCYbQtAfpGAmu6eGPoFLnWGiEPCr/view?usp=drivesdk" TargetMode="External"/><Relationship Id="rId1514" Type="http://schemas.openxmlformats.org/officeDocument/2006/relationships/hyperlink" Target="https://drive.google.com/file/d/1ayWywmB98QZ1g1qgMABtrbtqzoWnaoOx/view?usp=drivesdk" TargetMode="External"/><Relationship Id="rId1515" Type="http://schemas.openxmlformats.org/officeDocument/2006/relationships/hyperlink" Target="https://drive.google.com/file/d/1R2Ud-rC5hVzIheu0q5fMfKEegk0VkMXP/view?usp=drivesdk" TargetMode="External"/><Relationship Id="rId1516" Type="http://schemas.openxmlformats.org/officeDocument/2006/relationships/hyperlink" Target="https://drive.google.com/file/d/1jaXkjFUOb9d72aamSy9reAYRHIeVqKZ_/view?usp=drivesdk" TargetMode="External"/><Relationship Id="rId1517" Type="http://schemas.openxmlformats.org/officeDocument/2006/relationships/hyperlink" Target="https://drive.google.com/file/d/1-5ApuCuyzPllZ2stbf7c9P-EScyBzO_e/view?usp=drivesdk" TargetMode="External"/><Relationship Id="rId1518" Type="http://schemas.openxmlformats.org/officeDocument/2006/relationships/hyperlink" Target="https://drive.google.com/file/d/1W5nJiGB3eAM3tGJrQjAY8RHs9h0nq69-/view?usp=drivesdk" TargetMode="External"/><Relationship Id="rId1519" Type="http://schemas.openxmlformats.org/officeDocument/2006/relationships/hyperlink" Target="https://drive.google.com/file/d/1pTTzjk5L6LHKb4_-j-BCzS7WFEK7WGFN/view?usp=drivesdk" TargetMode="External"/><Relationship Id="rId1500" Type="http://schemas.openxmlformats.org/officeDocument/2006/relationships/hyperlink" Target="https://drive.google.com/file/d/1Ilr61WpoikcSJTYrRRT96r_48UqtjsuY/view?usp=drivesdk" TargetMode="External"/><Relationship Id="rId1501" Type="http://schemas.openxmlformats.org/officeDocument/2006/relationships/hyperlink" Target="https://drive.google.com/file/d/16oklyLtdobzJRK0cDePEKoiE09J7SbAb/view?usp=drivesdk" TargetMode="External"/><Relationship Id="rId1502" Type="http://schemas.openxmlformats.org/officeDocument/2006/relationships/hyperlink" Target="https://drive.google.com/file/d/17L8hh6CkKhDBQx2mzE5kYAk1ezFpOaV0/view?usp=drivesdk" TargetMode="External"/><Relationship Id="rId1503" Type="http://schemas.openxmlformats.org/officeDocument/2006/relationships/hyperlink" Target="https://drive.google.com/file/d/1vZUZvgrI1_a5FRPgvuu5PfnE1gb1P6H5/view?usp=drivesdk" TargetMode="External"/><Relationship Id="rId1504" Type="http://schemas.openxmlformats.org/officeDocument/2006/relationships/hyperlink" Target="https://drive.google.com/file/d/1E7ry2EUMWbKLP-wPwAsEsxc3GAYhQqR6/view?usp=drivesdk" TargetMode="External"/><Relationship Id="rId1505" Type="http://schemas.openxmlformats.org/officeDocument/2006/relationships/hyperlink" Target="https://drive.google.com/file/d/1bS4OgcUd9mv1KwmF7F9YRodrE-rN8zj_/view?usp=drivesdk" TargetMode="External"/><Relationship Id="rId1506" Type="http://schemas.openxmlformats.org/officeDocument/2006/relationships/hyperlink" Target="https://drive.google.com/file/d/1vuOuCZMY9zR7YrRHmYaxUTDM1ViXispn/view?usp=drivesdk" TargetMode="External"/><Relationship Id="rId1507" Type="http://schemas.openxmlformats.org/officeDocument/2006/relationships/hyperlink" Target="https://drive.google.com/file/d/1UriDVyOskrHL2O4AYi38RkqtaHLCtAna/view?usp=drivesdk" TargetMode="External"/><Relationship Id="rId1508" Type="http://schemas.openxmlformats.org/officeDocument/2006/relationships/hyperlink" Target="https://drive.google.com/file/d/1d8VUFsGZvxI243hwr-YAC79hQ4gNDeHD/view?usp=drivesdk" TargetMode="External"/><Relationship Id="rId1509" Type="http://schemas.openxmlformats.org/officeDocument/2006/relationships/hyperlink" Target="https://drive.google.com/file/d/1OBtMXfGi8-91K_Pb9u4PcmrTrS_KeEsv/view?usp=drivesdk" TargetMode="External"/><Relationship Id="rId2800" Type="http://schemas.openxmlformats.org/officeDocument/2006/relationships/hyperlink" Target="https://drive.google.com/file/d/1uU109aXBzY0PHhWHWvIQ0DOoUvNISxzs/view?usp=drivesdk" TargetMode="External"/><Relationship Id="rId2801" Type="http://schemas.openxmlformats.org/officeDocument/2006/relationships/hyperlink" Target="https://drive.google.com/file/d/1j2Y6kweVWIjvZja8B6jyGJ9Mv2MeuMu6/view?usp=drivesdk" TargetMode="External"/><Relationship Id="rId2802" Type="http://schemas.openxmlformats.org/officeDocument/2006/relationships/hyperlink" Target="https://drive.google.com/file/d/1acsUMPXs4wS4cWF38UYgN_hoQ6mN6vHy/view?usp=drivesdk" TargetMode="External"/><Relationship Id="rId2803" Type="http://schemas.openxmlformats.org/officeDocument/2006/relationships/hyperlink" Target="https://drive.google.com/file/d/19S96eFT2V9Ri9jR1Mf7TcStGCawKLUpv/view?usp=drivesdk" TargetMode="External"/><Relationship Id="rId2804" Type="http://schemas.openxmlformats.org/officeDocument/2006/relationships/hyperlink" Target="https://drive.google.com/file/d/1Rm5HrCKL9uB8gqGgJxw_2D6_ywGrOOLn/view?usp=drivesdk" TargetMode="External"/><Relationship Id="rId2805" Type="http://schemas.openxmlformats.org/officeDocument/2006/relationships/hyperlink" Target="https://drive.google.com/file/d/1p8JqezGKIzfyTfdS7YQcWmpz3LXmTnjd/view?usp=drivesdk" TargetMode="External"/><Relationship Id="rId2806" Type="http://schemas.openxmlformats.org/officeDocument/2006/relationships/hyperlink" Target="https://drive.google.com/file/d/1Tv8Pn9VB1Q5efcfqu7-hhSik0VocKGfw/view?usp=drivesdk" TargetMode="External"/><Relationship Id="rId2807" Type="http://schemas.openxmlformats.org/officeDocument/2006/relationships/hyperlink" Target="https://drive.google.com/file/d/1jDJ5up48vcVUTDwjKcT8uflppCrdDQeA/view?usp=drivesdk" TargetMode="External"/><Relationship Id="rId2808" Type="http://schemas.openxmlformats.org/officeDocument/2006/relationships/hyperlink" Target="https://drive.google.com/file/d/1zUlruRfExib9PKXNQrhMbBDF56o3LriL/view?usp=drivesdk" TargetMode="External"/><Relationship Id="rId2809" Type="http://schemas.openxmlformats.org/officeDocument/2006/relationships/hyperlink" Target="https://drive.google.com/file/d/18uyWs4pahfpGPUds4J7ZPwJ5CE_kP_Cx/view?usp=drivesdk" TargetMode="External"/><Relationship Id="rId1576" Type="http://schemas.openxmlformats.org/officeDocument/2006/relationships/hyperlink" Target="https://drive.google.com/file/d/1PLCyHyL8lnapy2f3RQ6A3bJLtkeXZYD8/view?usp=drivesdk" TargetMode="External"/><Relationship Id="rId1577" Type="http://schemas.openxmlformats.org/officeDocument/2006/relationships/hyperlink" Target="https://drive.google.com/file/d/1P8of4Y2sMsQnWjgl5JvxkpXtjAm27Zzp/view?usp=drivesdk" TargetMode="External"/><Relationship Id="rId1578" Type="http://schemas.openxmlformats.org/officeDocument/2006/relationships/hyperlink" Target="https://drive.google.com/file/d/1nblvLIpO9IY3A6WtIbYz7HyLMJb2w9SA/view?usp=drivesdk" TargetMode="External"/><Relationship Id="rId1579" Type="http://schemas.openxmlformats.org/officeDocument/2006/relationships/hyperlink" Target="https://drive.google.com/file/d/1G1byewpBt4fto3FcXb27pAazr72Kvznd/view?usp=drivesdk" TargetMode="External"/><Relationship Id="rId1570" Type="http://schemas.openxmlformats.org/officeDocument/2006/relationships/hyperlink" Target="https://drive.google.com/file/d/16BFraqTwTG7_QhT-yZH8grTZ8QK2o6Ap/view?usp=drivesdk" TargetMode="External"/><Relationship Id="rId1571" Type="http://schemas.openxmlformats.org/officeDocument/2006/relationships/hyperlink" Target="https://drive.google.com/file/d/1wHF_csqmgMBUt_8dn3kPeCOyFqj_1iIo/view?usp=drivesdk" TargetMode="External"/><Relationship Id="rId1572" Type="http://schemas.openxmlformats.org/officeDocument/2006/relationships/hyperlink" Target="https://drive.google.com/file/d/1KO79wvootnn7mX0IEoTXeXZZnd5CsO0x/view?usp=drivesdk" TargetMode="External"/><Relationship Id="rId1573" Type="http://schemas.openxmlformats.org/officeDocument/2006/relationships/hyperlink" Target="https://drive.google.com/file/d/1xiTEwxxzrY_Wh6iXpkpIVv9iR6x6ULTk/view?usp=drivesdk" TargetMode="External"/><Relationship Id="rId1574" Type="http://schemas.openxmlformats.org/officeDocument/2006/relationships/hyperlink" Target="https://drive.google.com/file/d/1lzHQoYCgWq9jKbqao1IEcSMpglB458DC/view?usp=drivesdk" TargetMode="External"/><Relationship Id="rId1575" Type="http://schemas.openxmlformats.org/officeDocument/2006/relationships/hyperlink" Target="https://drive.google.com/file/d/1FIc5PR0ZIEjt4JO_KjfwBGT71Of1Z3AP/view?usp=drivesdk" TargetMode="External"/><Relationship Id="rId1565" Type="http://schemas.openxmlformats.org/officeDocument/2006/relationships/hyperlink" Target="https://drive.google.com/file/d/1eU2DNTyXnR84Yd3LnlzdN0FXfTS74-s_/view?usp=drivesdk" TargetMode="External"/><Relationship Id="rId1566" Type="http://schemas.openxmlformats.org/officeDocument/2006/relationships/hyperlink" Target="https://drive.google.com/file/d/1qMKIN7kFnXiu5zf62B1TKdwUpWmyCSgV/view?usp=drivesdk" TargetMode="External"/><Relationship Id="rId1567" Type="http://schemas.openxmlformats.org/officeDocument/2006/relationships/hyperlink" Target="https://drive.google.com/file/d/1BryUD8TV4fKXoznx4WBP6_2d0sa8csj0/view?usp=drivesdk" TargetMode="External"/><Relationship Id="rId1568" Type="http://schemas.openxmlformats.org/officeDocument/2006/relationships/hyperlink" Target="https://drive.google.com/file/d/1nca90YEJLcBxvbFB-ALKmiS7efFDAng2/view?usp=drivesdk" TargetMode="External"/><Relationship Id="rId1569" Type="http://schemas.openxmlformats.org/officeDocument/2006/relationships/hyperlink" Target="https://drive.google.com/file/d/10rcERrfxcmVw8nJlHtgf1laLxrXc9Ehk/view?usp=drivesdk" TargetMode="External"/><Relationship Id="rId1560" Type="http://schemas.openxmlformats.org/officeDocument/2006/relationships/hyperlink" Target="https://drive.google.com/file/d/1C2zWqhS_Yr16RS4JEXhUXiYop5w3ywKP/view?usp=drivesdk" TargetMode="External"/><Relationship Id="rId1561" Type="http://schemas.openxmlformats.org/officeDocument/2006/relationships/hyperlink" Target="https://drive.google.com/file/d/1xL5uIz8Q4TJJL-N95ch8kOB9nP_lGJP2/view?usp=drivesdk" TargetMode="External"/><Relationship Id="rId1562" Type="http://schemas.openxmlformats.org/officeDocument/2006/relationships/hyperlink" Target="https://drive.google.com/file/d/1dTH-srSayfLWwTzQEF-MBhNLHWihOv4H/view?usp=drivesdk" TargetMode="External"/><Relationship Id="rId1563" Type="http://schemas.openxmlformats.org/officeDocument/2006/relationships/hyperlink" Target="https://drive.google.com/file/d/1r6HaBEpRj8u0Q8HxkVank_Ax27-BEpXx/view?usp=drivesdk" TargetMode="External"/><Relationship Id="rId1564" Type="http://schemas.openxmlformats.org/officeDocument/2006/relationships/hyperlink" Target="https://drive.google.com/file/d/1UmjlSQA5JwPiC8L51hg0prWxmzBnt-so/view?usp=drivesdk" TargetMode="External"/><Relationship Id="rId1598" Type="http://schemas.openxmlformats.org/officeDocument/2006/relationships/hyperlink" Target="https://drive.google.com/file/d/1Sc5tAbuiW2S1LgCiha0QSzSlg670gKtQ/view?usp=drivesdk" TargetMode="External"/><Relationship Id="rId1599" Type="http://schemas.openxmlformats.org/officeDocument/2006/relationships/hyperlink" Target="https://drive.google.com/file/d/174iqAIEz3S0DnlkRWqUTK1bJVVaniQ0u/view?usp=drivesdk" TargetMode="External"/><Relationship Id="rId1590" Type="http://schemas.openxmlformats.org/officeDocument/2006/relationships/hyperlink" Target="https://drive.google.com/file/d/1besq3kXp5mPW3lLnkGi-q3n_bSioAsER/view?usp=drivesdk" TargetMode="External"/><Relationship Id="rId1591" Type="http://schemas.openxmlformats.org/officeDocument/2006/relationships/hyperlink" Target="https://drive.google.com/file/d/1FeqVxcf1HKM7vdryHQkcbU9rseIq1nmU/view?usp=drivesdk" TargetMode="External"/><Relationship Id="rId1592" Type="http://schemas.openxmlformats.org/officeDocument/2006/relationships/hyperlink" Target="https://drive.google.com/file/d/1zUJb3MPNJB8l0lrJkbwzGSHBiVHCGJPa/view?usp=drivesdk" TargetMode="External"/><Relationship Id="rId1593" Type="http://schemas.openxmlformats.org/officeDocument/2006/relationships/hyperlink" Target="https://drive.google.com/file/d/1Osu7mwUpZGddueAh8pmSTANPQj7XVlNr/view?usp=drivesdk" TargetMode="External"/><Relationship Id="rId1594" Type="http://schemas.openxmlformats.org/officeDocument/2006/relationships/hyperlink" Target="https://drive.google.com/file/d/1zgxKdtRp1TxXG5rQt7l-g47H7CGCFRn2/view?usp=drivesdk" TargetMode="External"/><Relationship Id="rId1595" Type="http://schemas.openxmlformats.org/officeDocument/2006/relationships/hyperlink" Target="https://drive.google.com/file/d/1vD8yFNqjkQuhF4vQqhmFLmuMZPIyoz8K/view?usp=drivesdk" TargetMode="External"/><Relationship Id="rId1596" Type="http://schemas.openxmlformats.org/officeDocument/2006/relationships/hyperlink" Target="https://drive.google.com/file/d/1ewNBY4Zxl80YM8KmLRPuhk067TidkgMG/view?usp=drivesdk" TargetMode="External"/><Relationship Id="rId1597" Type="http://schemas.openxmlformats.org/officeDocument/2006/relationships/hyperlink" Target="https://drive.google.com/file/d/1IW_r0f-4nyGCcyHQy3dSc4Dp_Y8L0SJ8/view?usp=drivesdk" TargetMode="External"/><Relationship Id="rId1587" Type="http://schemas.openxmlformats.org/officeDocument/2006/relationships/hyperlink" Target="https://drive.google.com/file/d/1IOvn2-1GboAl-s0Xq_AOwyJ6g6pwnj__/view?usp=drivesdk" TargetMode="External"/><Relationship Id="rId1588" Type="http://schemas.openxmlformats.org/officeDocument/2006/relationships/hyperlink" Target="https://drive.google.com/file/d/1d98CKOM3ALEPLoYhMIObdgFZY_khA5ze/view?usp=drivesdk" TargetMode="External"/><Relationship Id="rId1589" Type="http://schemas.openxmlformats.org/officeDocument/2006/relationships/hyperlink" Target="https://drive.google.com/file/d/1W2MsuyRpUnj2PX8znNooVJkIpUdXyoIm/view?usp=drivesdk" TargetMode="External"/><Relationship Id="rId1580" Type="http://schemas.openxmlformats.org/officeDocument/2006/relationships/hyperlink" Target="https://drive.google.com/file/d/1jWe098vdkZFlSv93Hn0t6CUGlVXdBEok/view?usp=drivesdk" TargetMode="External"/><Relationship Id="rId1581" Type="http://schemas.openxmlformats.org/officeDocument/2006/relationships/hyperlink" Target="https://drive.google.com/file/d/152EpaaYfLuXiwwZbPmCJT_N6-59ln9TB/view?usp=drivesdk" TargetMode="External"/><Relationship Id="rId1582" Type="http://schemas.openxmlformats.org/officeDocument/2006/relationships/hyperlink" Target="https://drive.google.com/file/d/1QDh0JnO5iSsSqIjwBw4h6DrHObu-Qkp6/view?usp=drivesdk" TargetMode="External"/><Relationship Id="rId1583" Type="http://schemas.openxmlformats.org/officeDocument/2006/relationships/hyperlink" Target="https://drive.google.com/file/d/1y4bEtdQTLO9JUXYDBYK_q6xgIaaGSnbQ/view?usp=drivesdk" TargetMode="External"/><Relationship Id="rId1584" Type="http://schemas.openxmlformats.org/officeDocument/2006/relationships/hyperlink" Target="https://drive.google.com/file/d/1WE0x45DMBbtaPHSyUtvvozWis3uoWLHA/view?usp=drivesdk" TargetMode="External"/><Relationship Id="rId1585" Type="http://schemas.openxmlformats.org/officeDocument/2006/relationships/hyperlink" Target="https://drive.google.com/file/d/1hI8jEtH17yaqj-KRED1w_KOO6XcW4LVa/view?usp=drivesdk" TargetMode="External"/><Relationship Id="rId1586" Type="http://schemas.openxmlformats.org/officeDocument/2006/relationships/hyperlink" Target="https://drive.google.com/file/d/1h9ITuv5RmLxX5jyXgRFuNFEC33yBi8s0/view?usp=drivesdk" TargetMode="External"/><Relationship Id="rId1532" Type="http://schemas.openxmlformats.org/officeDocument/2006/relationships/hyperlink" Target="https://drive.google.com/file/d/17BVJQ1CkeqswOevZ3QPVQNhmeUM5EEwj/view?usp=drivesdk" TargetMode="External"/><Relationship Id="rId1533" Type="http://schemas.openxmlformats.org/officeDocument/2006/relationships/hyperlink" Target="https://drive.google.com/file/d/1sLzLsupGpFOheycXmxTETC30bGludMWz/view?usp=drivesdk" TargetMode="External"/><Relationship Id="rId1534" Type="http://schemas.openxmlformats.org/officeDocument/2006/relationships/hyperlink" Target="https://drive.google.com/file/d/1QXt8t-UIubJrHo-7Zqn-5NfAfY16-Tgf/view?usp=drivesdk" TargetMode="External"/><Relationship Id="rId1535" Type="http://schemas.openxmlformats.org/officeDocument/2006/relationships/hyperlink" Target="https://drive.google.com/file/d/1Dd4AwfsnZ1MOLmclR6gGHK_U73FglBWu/view?usp=drivesdk" TargetMode="External"/><Relationship Id="rId1536" Type="http://schemas.openxmlformats.org/officeDocument/2006/relationships/hyperlink" Target="https://drive.google.com/file/d/1xaqbv_42___t9S4tPYKkI85KRvZ_da9W/view?usp=drivesdk" TargetMode="External"/><Relationship Id="rId1537" Type="http://schemas.openxmlformats.org/officeDocument/2006/relationships/hyperlink" Target="https://drive.google.com/file/d/1WUJCWC9uhuQso_tc5phimIWqcGLixY1u/view?usp=drivesdk" TargetMode="External"/><Relationship Id="rId1538" Type="http://schemas.openxmlformats.org/officeDocument/2006/relationships/hyperlink" Target="https://drive.google.com/file/d/1PlEcZJIG81Etrg1Vv2OvWTO8VhBmN4On/view?usp=drivesdk" TargetMode="External"/><Relationship Id="rId1539" Type="http://schemas.openxmlformats.org/officeDocument/2006/relationships/hyperlink" Target="https://drive.google.com/file/d/1G2X1Q9UUQuG498q1rc1VF-Ct-C88Huqg/view?usp=drivesdk" TargetMode="External"/><Relationship Id="rId1530" Type="http://schemas.openxmlformats.org/officeDocument/2006/relationships/hyperlink" Target="https://drive.google.com/file/d/1sYOQPrf1NfgvoNMfJzTOiIA-BRfDPQq1/view?usp=drivesdk" TargetMode="External"/><Relationship Id="rId1531" Type="http://schemas.openxmlformats.org/officeDocument/2006/relationships/hyperlink" Target="https://drive.google.com/file/d/1-V0VKfr2iN4knEmOhS6Sb7p8FUfkBcMb/view?usp=drivesdk" TargetMode="External"/><Relationship Id="rId1521" Type="http://schemas.openxmlformats.org/officeDocument/2006/relationships/hyperlink" Target="https://drive.google.com/file/d/1O_wTT21ukgSul1M6WLgPMJa5PomoSchW/view?usp=drivesdk" TargetMode="External"/><Relationship Id="rId1522" Type="http://schemas.openxmlformats.org/officeDocument/2006/relationships/hyperlink" Target="https://drive.google.com/file/d/1DKauUGDlw2zkL-K8ljdd3aUfpIA9v9r4/view?usp=drivesdk" TargetMode="External"/><Relationship Id="rId1523" Type="http://schemas.openxmlformats.org/officeDocument/2006/relationships/hyperlink" Target="https://drive.google.com/file/d/1bwEiOI6K-ancnCm2G_Ci7cFsIswVpJbr/view?usp=drivesdk" TargetMode="External"/><Relationship Id="rId1524" Type="http://schemas.openxmlformats.org/officeDocument/2006/relationships/hyperlink" Target="https://drive.google.com/file/d/1_f-OoL3tFFodxzw3iHgrny7wd0xaejGG/view?usp=drivesdk" TargetMode="External"/><Relationship Id="rId1525" Type="http://schemas.openxmlformats.org/officeDocument/2006/relationships/hyperlink" Target="https://drive.google.com/file/d/1u7ZSqswhi4FuiHQhaIeIqcBUnyR9J1o_/view?usp=drivesdk" TargetMode="External"/><Relationship Id="rId1526" Type="http://schemas.openxmlformats.org/officeDocument/2006/relationships/hyperlink" Target="https://drive.google.com/file/d/1YP00iFZMQPGf3rbdkGs9lStUonLdgoJ-/view?usp=drivesdk" TargetMode="External"/><Relationship Id="rId1527" Type="http://schemas.openxmlformats.org/officeDocument/2006/relationships/hyperlink" Target="https://drive.google.com/file/d/1dIqpRReRrD3U13hyde1RS3UKtZqDp-6i/view?usp=drivesdk" TargetMode="External"/><Relationship Id="rId1528" Type="http://schemas.openxmlformats.org/officeDocument/2006/relationships/hyperlink" Target="https://drive.google.com/file/d/1_SmkBVNdAfNQAyX3sj4lGiIO31O7XQPz/view?usp=drivesdk" TargetMode="External"/><Relationship Id="rId1529" Type="http://schemas.openxmlformats.org/officeDocument/2006/relationships/hyperlink" Target="https://drive.google.com/file/d/1-BiicOMAj1chFWlgvzltVllBEaZHLBIQ/view?usp=drivesdk" TargetMode="External"/><Relationship Id="rId1520" Type="http://schemas.openxmlformats.org/officeDocument/2006/relationships/hyperlink" Target="https://drive.google.com/file/d/1ENQLnDGdCo7r50c4zes9DF7W72cjOh8p/view?usp=drivesdk" TargetMode="External"/><Relationship Id="rId1554" Type="http://schemas.openxmlformats.org/officeDocument/2006/relationships/hyperlink" Target="https://drive.google.com/file/d/1sCKz0txvb1ZrWajbeev6KCgf0te5TD_q/view?usp=drivesdk" TargetMode="External"/><Relationship Id="rId1555" Type="http://schemas.openxmlformats.org/officeDocument/2006/relationships/hyperlink" Target="https://drive.google.com/file/d/1QhaiAqFPUXvQGvu9K2QvrqWxBO2tkhDF/view?usp=drivesdk" TargetMode="External"/><Relationship Id="rId1556" Type="http://schemas.openxmlformats.org/officeDocument/2006/relationships/hyperlink" Target="https://drive.google.com/file/d/16Ppem68b0OylfPMWzpFaEBAv2J9p5Dpr/view?usp=drivesdk" TargetMode="External"/><Relationship Id="rId1557" Type="http://schemas.openxmlformats.org/officeDocument/2006/relationships/hyperlink" Target="https://drive.google.com/file/d/1k5mU_vtXXp4RyZFwqWNQzRKL0pKjoa6B/view?usp=drivesdk" TargetMode="External"/><Relationship Id="rId1558" Type="http://schemas.openxmlformats.org/officeDocument/2006/relationships/hyperlink" Target="https://drive.google.com/file/d/1yNrdpt7u1SvalSAXDN2Wu6s3PKc0T9A-/view?usp=drivesdk" TargetMode="External"/><Relationship Id="rId1559" Type="http://schemas.openxmlformats.org/officeDocument/2006/relationships/hyperlink" Target="https://drive.google.com/file/d/1cziMiP-oOFD4bIrOMy9BatAgLbXVkmBF/view?usp=drivesdk" TargetMode="External"/><Relationship Id="rId1550" Type="http://schemas.openxmlformats.org/officeDocument/2006/relationships/hyperlink" Target="https://drive.google.com/file/d/19g0QTx5lQlJEXpqiBiLFBsYFKOLYES1s/view?usp=drivesdk" TargetMode="External"/><Relationship Id="rId1551" Type="http://schemas.openxmlformats.org/officeDocument/2006/relationships/hyperlink" Target="https://drive.google.com/file/d/1uZiszDK7EpIGzq-BQlE9klhP2LC7JXfg/view?usp=drivesdk" TargetMode="External"/><Relationship Id="rId1552" Type="http://schemas.openxmlformats.org/officeDocument/2006/relationships/hyperlink" Target="https://drive.google.com/file/d/1aPFriSUk7R2Uoa0SQMmF1OJCI6zClly5/view?usp=drivesdk" TargetMode="External"/><Relationship Id="rId1553" Type="http://schemas.openxmlformats.org/officeDocument/2006/relationships/hyperlink" Target="https://drive.google.com/file/d/1731jla51oPbHt-kULTcT3uYCJRB15K57/view?usp=drivesdk" TargetMode="External"/><Relationship Id="rId1543" Type="http://schemas.openxmlformats.org/officeDocument/2006/relationships/hyperlink" Target="https://drive.google.com/file/d/1rZ7jw3lpXw4LSJ7uzu44jw1_T-piIxur/view?usp=drivesdk" TargetMode="External"/><Relationship Id="rId1544" Type="http://schemas.openxmlformats.org/officeDocument/2006/relationships/hyperlink" Target="https://drive.google.com/file/d/1GCYkGlvZa6mm3579DdEE578nbFJal-JO/view?usp=drivesdk" TargetMode="External"/><Relationship Id="rId1545" Type="http://schemas.openxmlformats.org/officeDocument/2006/relationships/hyperlink" Target="https://drive.google.com/file/d/1cLACHBCRHgudQm-_az_3Vrnstl_Exlkp/view?usp=drivesdk" TargetMode="External"/><Relationship Id="rId1546" Type="http://schemas.openxmlformats.org/officeDocument/2006/relationships/hyperlink" Target="https://drive.google.com/file/d/19H58X9o28E-jfBXRElaacQK4-nIFk0ph/view?usp=drivesdk" TargetMode="External"/><Relationship Id="rId1547" Type="http://schemas.openxmlformats.org/officeDocument/2006/relationships/hyperlink" Target="https://drive.google.com/file/d/1072cdkhpK4EMxaAEimEWTcIOWEUqglUV/view?usp=drivesdk" TargetMode="External"/><Relationship Id="rId1548" Type="http://schemas.openxmlformats.org/officeDocument/2006/relationships/hyperlink" Target="https://drive.google.com/file/d/12-vsgTQb9MC7x9Cv1fAodjlY6eQkjSJT/view?usp=drivesdk" TargetMode="External"/><Relationship Id="rId1549" Type="http://schemas.openxmlformats.org/officeDocument/2006/relationships/hyperlink" Target="https://drive.google.com/file/d/1uUfOz88pjNC5JZlhdDcvpsIVOXWDMv5I/view?usp=drivesdk" TargetMode="External"/><Relationship Id="rId1540" Type="http://schemas.openxmlformats.org/officeDocument/2006/relationships/hyperlink" Target="https://drive.google.com/file/d/1kfnVrx0-xSmXPOM1mhhlx-wl9x92t8Dc/view?usp=drivesdk" TargetMode="External"/><Relationship Id="rId1541" Type="http://schemas.openxmlformats.org/officeDocument/2006/relationships/hyperlink" Target="https://drive.google.com/file/d/1CGMcN1XyIQRA1b4gDPq1Sdy3BZ1RJulI/view?usp=drivesdk" TargetMode="External"/><Relationship Id="rId1542" Type="http://schemas.openxmlformats.org/officeDocument/2006/relationships/hyperlink" Target="https://drive.google.com/file/d/1GyOI-i4OaOcw4SHXA043M7M2U_ikggAZ/view?usp=drivesdk" TargetMode="External"/><Relationship Id="rId1610" Type="http://schemas.openxmlformats.org/officeDocument/2006/relationships/hyperlink" Target="https://drive.google.com/file/d/1oI_htmIgRZaXvu0JIC-kBXArFKxNwnqK/view?usp=drivesdk" TargetMode="External"/><Relationship Id="rId1611" Type="http://schemas.openxmlformats.org/officeDocument/2006/relationships/hyperlink" Target="https://drive.google.com/file/d/1HGt39hBphCaUbFClisroLUKxD65sw4M7/view?usp=drivesdk" TargetMode="External"/><Relationship Id="rId1612" Type="http://schemas.openxmlformats.org/officeDocument/2006/relationships/hyperlink" Target="https://drive.google.com/file/d/1G2-FCiS0Zv4uirQTMmSCQKcsl2FVYjN5/view?usp=drivesdk" TargetMode="External"/><Relationship Id="rId1613" Type="http://schemas.openxmlformats.org/officeDocument/2006/relationships/hyperlink" Target="https://drive.google.com/file/d/17cwTaSXWpJotWSvOzrB-svLje6fNmPbV/view?usp=drivesdk" TargetMode="External"/><Relationship Id="rId1614" Type="http://schemas.openxmlformats.org/officeDocument/2006/relationships/hyperlink" Target="https://drive.google.com/file/d/1mhqnf5XYIndN6bIeiotpCEZsX7YKCAWl/view?usp=drivesdk" TargetMode="External"/><Relationship Id="rId1615" Type="http://schemas.openxmlformats.org/officeDocument/2006/relationships/hyperlink" Target="https://drive.google.com/file/d/1KnTBvQbfdIxIEmonAkcBOXFSV7PSlfi1/view?usp=drivesdk" TargetMode="External"/><Relationship Id="rId1616" Type="http://schemas.openxmlformats.org/officeDocument/2006/relationships/hyperlink" Target="https://drive.google.com/file/d/1D1qIVaJXAb6hEtkETfRuJyZkVmdalvSB/view?usp=drivesdk" TargetMode="External"/><Relationship Id="rId1617" Type="http://schemas.openxmlformats.org/officeDocument/2006/relationships/hyperlink" Target="https://drive.google.com/file/d/136-Xmio8IgN936wqeJDmpKYbUF6sk1J9/view?usp=drivesdk" TargetMode="External"/><Relationship Id="rId1618" Type="http://schemas.openxmlformats.org/officeDocument/2006/relationships/hyperlink" Target="https://drive.google.com/file/d/1ixoKDJvsMce3YH3d6YqPAxmU8w__GK_e/view?usp=drivesdk" TargetMode="External"/><Relationship Id="rId1619" Type="http://schemas.openxmlformats.org/officeDocument/2006/relationships/hyperlink" Target="https://drive.google.com/file/d/1zYo3iOLlHEI9IvcrVFdDbcW4n2llIIOQ/view?usp=drivesdk" TargetMode="External"/><Relationship Id="rId1600" Type="http://schemas.openxmlformats.org/officeDocument/2006/relationships/hyperlink" Target="https://drive.google.com/file/d/1OQUW1q8Xahpf5wMj7wkigEgfnzAgekay/view?usp=drivesdk" TargetMode="External"/><Relationship Id="rId1601" Type="http://schemas.openxmlformats.org/officeDocument/2006/relationships/hyperlink" Target="https://drive.google.com/file/d/1Y8a6DC8xKFxjfE_vSnVO_gI_CoDVSLOJ/view?usp=drivesdk" TargetMode="External"/><Relationship Id="rId1602" Type="http://schemas.openxmlformats.org/officeDocument/2006/relationships/hyperlink" Target="https://drive.google.com/file/d/1PkOGcpulVLPQAvthHbW561v8qnmUwEnx/view?usp=drivesdk" TargetMode="External"/><Relationship Id="rId1603" Type="http://schemas.openxmlformats.org/officeDocument/2006/relationships/hyperlink" Target="https://drive.google.com/file/d/1rtGdTKmDWG6bpRymC9NPu3cgOKHNXzCG/view?usp=drivesdk" TargetMode="External"/><Relationship Id="rId1604" Type="http://schemas.openxmlformats.org/officeDocument/2006/relationships/hyperlink" Target="https://drive.google.com/file/d/18fdSeRZjMf4Xu906nFp8ccN7L3EkvBYy/view?usp=drivesdk" TargetMode="External"/><Relationship Id="rId1605" Type="http://schemas.openxmlformats.org/officeDocument/2006/relationships/hyperlink" Target="https://drive.google.com/file/d/11TpN1DfNkKhMmBzV-S7D1BxVT1ST_1u7/view?usp=drivesdk" TargetMode="External"/><Relationship Id="rId1606" Type="http://schemas.openxmlformats.org/officeDocument/2006/relationships/hyperlink" Target="https://drive.google.com/file/d/1XImIbwWnxo2M-Cz-kJRQJiEtxF7othdp/view?usp=drivesdk" TargetMode="External"/><Relationship Id="rId1607" Type="http://schemas.openxmlformats.org/officeDocument/2006/relationships/hyperlink" Target="https://drive.google.com/file/d/1LKSLga7lCuEUz19RZ893xSmBJyFmxDRt/view?usp=drivesdk" TargetMode="External"/><Relationship Id="rId1608" Type="http://schemas.openxmlformats.org/officeDocument/2006/relationships/hyperlink" Target="https://drive.google.com/file/d/14acEu0rV33LJspPPMSEg_1XetnKFigKs/view?usp=drivesdk" TargetMode="External"/><Relationship Id="rId1609" Type="http://schemas.openxmlformats.org/officeDocument/2006/relationships/hyperlink" Target="https://drive.google.com/file/d/1h3si2tj3nxfPri8tLHzsKYSL5ZO7VrMr/view?usp=drivesdk" TargetMode="External"/><Relationship Id="rId1631" Type="http://schemas.openxmlformats.org/officeDocument/2006/relationships/hyperlink" Target="https://drive.google.com/file/d/12r3GUvf9o5B0hri1lG86KeX-qCewnfth/view?usp=drivesdk" TargetMode="External"/><Relationship Id="rId1632" Type="http://schemas.openxmlformats.org/officeDocument/2006/relationships/hyperlink" Target="https://drive.google.com/file/d/1XqoYxOnl2K8p-91VBEu-CfzuNJ9eowHQ/view?usp=drivesdk" TargetMode="External"/><Relationship Id="rId1633" Type="http://schemas.openxmlformats.org/officeDocument/2006/relationships/hyperlink" Target="https://drive.google.com/file/d/1ESZNXOv75MNLbAkB3-Icz_6RgeW6h3F5/view?usp=drivesdk" TargetMode="External"/><Relationship Id="rId1634" Type="http://schemas.openxmlformats.org/officeDocument/2006/relationships/hyperlink" Target="https://drive.google.com/file/d/1H4B8lDhuGrPHu1wPFWuI4SgK04zvxy5g/view?usp=drivesdk" TargetMode="External"/><Relationship Id="rId1635" Type="http://schemas.openxmlformats.org/officeDocument/2006/relationships/hyperlink" Target="https://drive.google.com/file/d/15Fwtzw7sBZloAPQ1yxrCnG64U2JQ1pxl/view?usp=drivesdk" TargetMode="External"/><Relationship Id="rId1636" Type="http://schemas.openxmlformats.org/officeDocument/2006/relationships/hyperlink" Target="https://drive.google.com/file/d/1T4DtVzDEC-huQrA8kyk1st7P8v5UsnZg/view?usp=drivesdk" TargetMode="External"/><Relationship Id="rId1637" Type="http://schemas.openxmlformats.org/officeDocument/2006/relationships/hyperlink" Target="https://drive.google.com/file/d/1EMPifs_iDtUB-veGS55nKEJsLQ7UwJr1/view?usp=drivesdk" TargetMode="External"/><Relationship Id="rId1638" Type="http://schemas.openxmlformats.org/officeDocument/2006/relationships/hyperlink" Target="https://drive.google.com/file/d/1MQ8-ByV0n8ZJIXsrEgyyKlem9gxAHB_w/view?usp=drivesdk" TargetMode="External"/><Relationship Id="rId1639" Type="http://schemas.openxmlformats.org/officeDocument/2006/relationships/hyperlink" Target="https://drive.google.com/file/d/1v-x06coa_6kz0E2CyZX8TMMnyFicibKY/view?usp=drivesdk" TargetMode="External"/><Relationship Id="rId1630" Type="http://schemas.openxmlformats.org/officeDocument/2006/relationships/hyperlink" Target="https://drive.google.com/file/d/1xOixOUDEYpOXBEr2cGsrBu9XU5fzn0KJ/view?usp=drivesdk" TargetMode="External"/><Relationship Id="rId1620" Type="http://schemas.openxmlformats.org/officeDocument/2006/relationships/hyperlink" Target="https://drive.google.com/file/d/1T67XzK1lZZNgeFh6fH723SCk169SgD9V/view?usp=drivesdk" TargetMode="External"/><Relationship Id="rId1621" Type="http://schemas.openxmlformats.org/officeDocument/2006/relationships/hyperlink" Target="https://drive.google.com/file/d/1V9xaCN3D5ch0xifKsF7ItMsewvqg59oE/view?usp=drivesdk" TargetMode="External"/><Relationship Id="rId1622" Type="http://schemas.openxmlformats.org/officeDocument/2006/relationships/hyperlink" Target="https://drive.google.com/file/d/1Zyb80k4bPFlscDzsSG6IOXG7DXjLPYxs/view?usp=drivesdk" TargetMode="External"/><Relationship Id="rId1623" Type="http://schemas.openxmlformats.org/officeDocument/2006/relationships/hyperlink" Target="https://drive.google.com/file/d/1lxmLw6jqJVfYrnSiJU0m0w_jVa1bFeEK/view?usp=drivesdk" TargetMode="External"/><Relationship Id="rId1624" Type="http://schemas.openxmlformats.org/officeDocument/2006/relationships/hyperlink" Target="http://lamusiah.se" TargetMode="External"/><Relationship Id="rId1625" Type="http://schemas.openxmlformats.org/officeDocument/2006/relationships/hyperlink" Target="http://sulastutik.sh" TargetMode="External"/><Relationship Id="rId1626" Type="http://schemas.openxmlformats.org/officeDocument/2006/relationships/hyperlink" Target="https://drive.google.com/file/d/1u7XKnzosx8IxV7TmC_biTVqXaNSDshmx/view?usp=drivesdk" TargetMode="External"/><Relationship Id="rId1627" Type="http://schemas.openxmlformats.org/officeDocument/2006/relationships/hyperlink" Target="https://drive.google.com/file/d/1eiE71FXh1wM2UsZdHpw3H6JrowzGmly-/view?usp=drivesdk" TargetMode="External"/><Relationship Id="rId1628" Type="http://schemas.openxmlformats.org/officeDocument/2006/relationships/hyperlink" Target="https://drive.google.com/file/d/11kNzuzlQMBvuLqB40PUjqSC7h4o3zCDW/view?usp=drivesdk" TargetMode="External"/><Relationship Id="rId1629" Type="http://schemas.openxmlformats.org/officeDocument/2006/relationships/hyperlink" Target="https://drive.google.com/file/d/179yJqbC0nAY0lIE0Reo6-Hj80sCAB31p/view?usp=drivesdk" TargetMode="External"/><Relationship Id="rId1697" Type="http://schemas.openxmlformats.org/officeDocument/2006/relationships/hyperlink" Target="https://drive.google.com/file/d/15mnqyZtgbD8tMLdSRqT8HWU3tiJ_3yn5/view?usp=drivesdk" TargetMode="External"/><Relationship Id="rId1698" Type="http://schemas.openxmlformats.org/officeDocument/2006/relationships/hyperlink" Target="https://drive.google.com/file/d/1pBYSJIH47YTCke1MJhsi9QSXvWd3Qn0G/view?usp=drivesdk" TargetMode="External"/><Relationship Id="rId1699" Type="http://schemas.openxmlformats.org/officeDocument/2006/relationships/hyperlink" Target="https://drive.google.com/file/d/1BKE2QpRviNA4a5Oulo1NTUlNITqJUJeY/view?usp=drivesdk" TargetMode="External"/><Relationship Id="rId1690" Type="http://schemas.openxmlformats.org/officeDocument/2006/relationships/hyperlink" Target="https://drive.google.com/file/d/1NddDxwaSCphN4-fUYseLX7UN9Nn_RuYt/view?usp=drivesdk" TargetMode="External"/><Relationship Id="rId1691" Type="http://schemas.openxmlformats.org/officeDocument/2006/relationships/hyperlink" Target="https://drive.google.com/file/d/1LF8xPJ-JLdnWt54lh85Z0WtXZDFeOZDG/view?usp=drivesdk" TargetMode="External"/><Relationship Id="rId1692" Type="http://schemas.openxmlformats.org/officeDocument/2006/relationships/hyperlink" Target="https://drive.google.com/file/d/1C-3KXbMWCARYjVkaxka_kuZ_z163qHhs/view?usp=drivesdk" TargetMode="External"/><Relationship Id="rId1693" Type="http://schemas.openxmlformats.org/officeDocument/2006/relationships/hyperlink" Target="https://drive.google.com/file/d/13bbG0ANuzs1MnzBRvPgOyLYKbY5512R8/view?usp=drivesdk" TargetMode="External"/><Relationship Id="rId1694" Type="http://schemas.openxmlformats.org/officeDocument/2006/relationships/hyperlink" Target="https://drive.google.com/file/d/1Y5k7-SUbX7TGFnk8bnP9eXcKAELOBFCW/view?usp=drivesdk" TargetMode="External"/><Relationship Id="rId1695" Type="http://schemas.openxmlformats.org/officeDocument/2006/relationships/hyperlink" Target="https://drive.google.com/file/d/1JSY-zVgAiPV22dXlReSupkxxIlWCdVtD/view?usp=drivesdk" TargetMode="External"/><Relationship Id="rId1696" Type="http://schemas.openxmlformats.org/officeDocument/2006/relationships/hyperlink" Target="https://drive.google.com/file/d/1UNFSt6u1udySpRPtN-Bdqvt-stgyTUlD/view?usp=drivesdk" TargetMode="External"/><Relationship Id="rId1686" Type="http://schemas.openxmlformats.org/officeDocument/2006/relationships/hyperlink" Target="https://drive.google.com/file/d/1SjzAWl-WLTKQwh7BQ3TYHBip1ORQBfsY/view?usp=drivesdk" TargetMode="External"/><Relationship Id="rId1687" Type="http://schemas.openxmlformats.org/officeDocument/2006/relationships/hyperlink" Target="https://drive.google.com/file/d/1f5wntPBtuAhfZHTgzOFcywBG_bdjILnp/view?usp=drivesdk" TargetMode="External"/><Relationship Id="rId1688" Type="http://schemas.openxmlformats.org/officeDocument/2006/relationships/hyperlink" Target="https://drive.google.com/file/d/1DgkmteweDRn62q21pSJHrhqt9g4m5gSb/view?usp=drivesdk" TargetMode="External"/><Relationship Id="rId1689" Type="http://schemas.openxmlformats.org/officeDocument/2006/relationships/hyperlink" Target="https://drive.google.com/file/d/1fcrIK29kpu7tl-P80fRqfLJXVFb1rNqd/view?usp=drivesdk" TargetMode="External"/><Relationship Id="rId1680" Type="http://schemas.openxmlformats.org/officeDocument/2006/relationships/hyperlink" Target="https://drive.google.com/file/d/1ln_hma5M4oUQmfCN3bKP0T1OivDMs_zH/view?usp=drivesdk" TargetMode="External"/><Relationship Id="rId1681" Type="http://schemas.openxmlformats.org/officeDocument/2006/relationships/hyperlink" Target="https://drive.google.com/file/d/1-7YXegD1lSOhYmZegCZhybPFXefkC5JD/view?usp=drivesdk" TargetMode="External"/><Relationship Id="rId1682" Type="http://schemas.openxmlformats.org/officeDocument/2006/relationships/hyperlink" Target="https://drive.google.com/file/d/1ThtNLwUBBbyzL1BJG-l-0QKsGFKAe30U/view?usp=drivesdk" TargetMode="External"/><Relationship Id="rId1683" Type="http://schemas.openxmlformats.org/officeDocument/2006/relationships/hyperlink" Target="https://drive.google.com/file/d/1dgdoXb56MstXb5hKb4lU3faOXSqXgK9d/view?usp=drivesdk" TargetMode="External"/><Relationship Id="rId1684" Type="http://schemas.openxmlformats.org/officeDocument/2006/relationships/hyperlink" Target="https://drive.google.com/file/d/12fgHm-kFUcfj0yTDPSS4HKRI9vnl4JAQ/view?usp=drivesdk" TargetMode="External"/><Relationship Id="rId1685" Type="http://schemas.openxmlformats.org/officeDocument/2006/relationships/hyperlink" Target="https://drive.google.com/file/d/1YbJYNHXJNtNNsjVGeEoQ7noufIsT4XT1/view?usp=drivesdk" TargetMode="External"/><Relationship Id="rId1653" Type="http://schemas.openxmlformats.org/officeDocument/2006/relationships/hyperlink" Target="https://drive.google.com/file/d/1Cj1e_DCMf2mTtWmKTMgSfr_WgFH-p7Mj/view?usp=drivesdk" TargetMode="External"/><Relationship Id="rId1654" Type="http://schemas.openxmlformats.org/officeDocument/2006/relationships/hyperlink" Target="https://drive.google.com/file/d/1xm7oXilNmIRCQPAziXwf47KoOnB-alwz/view?usp=drivesdk" TargetMode="External"/><Relationship Id="rId1655" Type="http://schemas.openxmlformats.org/officeDocument/2006/relationships/hyperlink" Target="https://drive.google.com/file/d/1aW9o-dE3uftf1sDAliLGmyFkZYouQA4Z/view?usp=drivesdk" TargetMode="External"/><Relationship Id="rId1656" Type="http://schemas.openxmlformats.org/officeDocument/2006/relationships/hyperlink" Target="https://drive.google.com/file/d/1mNcBMevpLjMLVb0Nc-qvoMULTx81FU7u/view?usp=drivesdk" TargetMode="External"/><Relationship Id="rId1657" Type="http://schemas.openxmlformats.org/officeDocument/2006/relationships/hyperlink" Target="https://drive.google.com/file/d/17LKz8TUgePdeCe4DizKbskGMY2t2xN9y/view?usp=drivesdk" TargetMode="External"/><Relationship Id="rId1658" Type="http://schemas.openxmlformats.org/officeDocument/2006/relationships/hyperlink" Target="https://drive.google.com/file/d/1j87hyEI26JOZ-HmFuuhvDY7jKP1QcRTF/view?usp=drivesdk" TargetMode="External"/><Relationship Id="rId1659" Type="http://schemas.openxmlformats.org/officeDocument/2006/relationships/hyperlink" Target="https://drive.google.com/file/d/1xOeFIEv1Zbgwe-aMhdjLxXlmFE0v90qS/view?usp=drivesdk" TargetMode="External"/><Relationship Id="rId1650" Type="http://schemas.openxmlformats.org/officeDocument/2006/relationships/hyperlink" Target="https://drive.google.com/file/d/16aVqHR_2QwHLTW8gIdej1m91oLzjNpWW/view?usp=drivesdk" TargetMode="External"/><Relationship Id="rId1651" Type="http://schemas.openxmlformats.org/officeDocument/2006/relationships/hyperlink" Target="https://drive.google.com/file/d/1BFCv5WoQxlpJ6jyN4XggNRhAhbPxgi5G/view?usp=drivesdk" TargetMode="External"/><Relationship Id="rId1652" Type="http://schemas.openxmlformats.org/officeDocument/2006/relationships/hyperlink" Target="https://drive.google.com/file/d/1O8O0kUomY3nnXEng7f03ZlsI3_ynruM0/view?usp=drivesdk" TargetMode="External"/><Relationship Id="rId1642" Type="http://schemas.openxmlformats.org/officeDocument/2006/relationships/hyperlink" Target="https://drive.google.com/file/d/1iBkdJhhrq96JF7_jyEZkTm8z8DHc34gf/view?usp=drivesdk" TargetMode="External"/><Relationship Id="rId1643" Type="http://schemas.openxmlformats.org/officeDocument/2006/relationships/hyperlink" Target="https://drive.google.com/file/d/1y346h8RHjcrgwCnKhhl6c-yeYjrdSfin/view?usp=drivesdk" TargetMode="External"/><Relationship Id="rId1644" Type="http://schemas.openxmlformats.org/officeDocument/2006/relationships/hyperlink" Target="https://drive.google.com/file/d/15lf0kwKAbkoq343nix_DdVHpG60tqh9a/view?usp=drivesdk" TargetMode="External"/><Relationship Id="rId1645" Type="http://schemas.openxmlformats.org/officeDocument/2006/relationships/hyperlink" Target="https://drive.google.com/file/d/1_qNQl25SUblu5sthjPJ75-j_RcO1J8ea/view?usp=drivesdk" TargetMode="External"/><Relationship Id="rId1646" Type="http://schemas.openxmlformats.org/officeDocument/2006/relationships/hyperlink" Target="https://drive.google.com/file/d/14hxEP0dFwe3xkxqJfVPzyyYE4n49PpDv/view?usp=drivesdk" TargetMode="External"/><Relationship Id="rId1647" Type="http://schemas.openxmlformats.org/officeDocument/2006/relationships/hyperlink" Target="https://drive.google.com/file/d/1yTE_4OXL2riwD0jrwA-wQJePeYouDsoI/view?usp=drivesdk" TargetMode="External"/><Relationship Id="rId1648" Type="http://schemas.openxmlformats.org/officeDocument/2006/relationships/hyperlink" Target="https://drive.google.com/file/d/1QFsvmRkfmi9aT85xacKTePhZ4PsqBCuk/view?usp=drivesdk" TargetMode="External"/><Relationship Id="rId1649" Type="http://schemas.openxmlformats.org/officeDocument/2006/relationships/hyperlink" Target="https://drive.google.com/file/d/1Q27jJHLnqxoMQh4jOebAG-gRbUTMCyko/view?usp=drivesdk" TargetMode="External"/><Relationship Id="rId1640" Type="http://schemas.openxmlformats.org/officeDocument/2006/relationships/hyperlink" Target="https://drive.google.com/file/d/1OH73lgNet_VV7qrUKuGbkXYNzaSdHgRO/view?usp=drivesdk" TargetMode="External"/><Relationship Id="rId1641" Type="http://schemas.openxmlformats.org/officeDocument/2006/relationships/hyperlink" Target="https://drive.google.com/file/d/1mth5qoSGzuN0nA0kFTCLPFEy4lsxJiiS/view?usp=drivesdk" TargetMode="External"/><Relationship Id="rId1675" Type="http://schemas.openxmlformats.org/officeDocument/2006/relationships/hyperlink" Target="https://drive.google.com/file/d/12MDGOgm5C8uPH5DsvHpx5KUWossSwiiO/view?usp=drivesdk" TargetMode="External"/><Relationship Id="rId1676" Type="http://schemas.openxmlformats.org/officeDocument/2006/relationships/hyperlink" Target="https://drive.google.com/file/d/1syFs3vxBeZd551T3HYSZD47hDWxHYA1o/view?usp=drivesdk" TargetMode="External"/><Relationship Id="rId1677" Type="http://schemas.openxmlformats.org/officeDocument/2006/relationships/hyperlink" Target="https://drive.google.com/file/d/1BR-a4ZDEdIJxnUn0w6OU7oSOpYQCCwrP/view?usp=drivesdk" TargetMode="External"/><Relationship Id="rId1678" Type="http://schemas.openxmlformats.org/officeDocument/2006/relationships/hyperlink" Target="https://drive.google.com/file/d/1qCSwYK6rEVAwrxvFFgzF1PAilLaKHEmS/view?usp=drivesdk" TargetMode="External"/><Relationship Id="rId1679" Type="http://schemas.openxmlformats.org/officeDocument/2006/relationships/hyperlink" Target="https://drive.google.com/file/d/1sVA3Qrx3cpZ41HWZqVlozVtXVNp8Le8-/view?usp=drivesdk" TargetMode="External"/><Relationship Id="rId1670" Type="http://schemas.openxmlformats.org/officeDocument/2006/relationships/hyperlink" Target="https://drive.google.com/file/d/1nfZQMDRvYFSR8JgdY8l5g2Rkm-nvTJaI/view?usp=drivesdk" TargetMode="External"/><Relationship Id="rId1671" Type="http://schemas.openxmlformats.org/officeDocument/2006/relationships/hyperlink" Target="https://drive.google.com/file/d/1V-dYPW8rDOsVec7XOok4jT1o9zYRiWF7/view?usp=drivesdk" TargetMode="External"/><Relationship Id="rId1672" Type="http://schemas.openxmlformats.org/officeDocument/2006/relationships/hyperlink" Target="https://drive.google.com/file/d/1__EDXY16Q1nmIRAJs0cxAH073bmps01q/view?usp=drivesdk" TargetMode="External"/><Relationship Id="rId1673" Type="http://schemas.openxmlformats.org/officeDocument/2006/relationships/hyperlink" Target="https://drive.google.com/file/d/1Gzoa6HTbk83toBJX1eRo7mMxJsbg37lK/view?usp=drivesdk" TargetMode="External"/><Relationship Id="rId1674" Type="http://schemas.openxmlformats.org/officeDocument/2006/relationships/hyperlink" Target="https://drive.google.com/file/d/1t7PzDxQMtNrwDHiDSDgVzAOH0xtCNENf/view?usp=drivesdk" TargetMode="External"/><Relationship Id="rId1664" Type="http://schemas.openxmlformats.org/officeDocument/2006/relationships/hyperlink" Target="https://drive.google.com/file/d/1lwUxrdPw3zor0HhgovKXsGUe4T_G1E3s/view?usp=drivesdk" TargetMode="External"/><Relationship Id="rId1665" Type="http://schemas.openxmlformats.org/officeDocument/2006/relationships/hyperlink" Target="https://drive.google.com/file/d/1fBt0yyQgdenDfFXp5zA4iOiTxhtYUw4q/view?usp=drivesdk" TargetMode="External"/><Relationship Id="rId1666" Type="http://schemas.openxmlformats.org/officeDocument/2006/relationships/hyperlink" Target="https://drive.google.com/file/d/1qfX8HpU7T2q1dL2MmsP_8U4CcCvvZQN8/view?usp=drivesdk" TargetMode="External"/><Relationship Id="rId1667" Type="http://schemas.openxmlformats.org/officeDocument/2006/relationships/hyperlink" Target="https://drive.google.com/file/d/1U2FEfGgMDbGDbPF-bmv5CRfGg_T1JhZh/view?usp=drivesdk" TargetMode="External"/><Relationship Id="rId1668" Type="http://schemas.openxmlformats.org/officeDocument/2006/relationships/hyperlink" Target="https://drive.google.com/file/d/14P1qYep2B1bJFBcYnL-aNYccNO4voQRv/view?usp=drivesdk" TargetMode="External"/><Relationship Id="rId1669" Type="http://schemas.openxmlformats.org/officeDocument/2006/relationships/hyperlink" Target="https://drive.google.com/file/d/149TGvmVuSrwgmd0bqhy7YkIkbSrexJw2/view?usp=drivesdk" TargetMode="External"/><Relationship Id="rId1660" Type="http://schemas.openxmlformats.org/officeDocument/2006/relationships/hyperlink" Target="https://drive.google.com/file/d/17_iZBVasrSrtnRT-NEQinMMTs9KM7f-w/view?usp=drivesdk" TargetMode="External"/><Relationship Id="rId1661" Type="http://schemas.openxmlformats.org/officeDocument/2006/relationships/hyperlink" Target="https://drive.google.com/file/d/1VrHZvQ7-v6l3RyEpa0hc91mVlKiRy5TX/view?usp=drivesdk" TargetMode="External"/><Relationship Id="rId1662" Type="http://schemas.openxmlformats.org/officeDocument/2006/relationships/hyperlink" Target="https://drive.google.com/file/d/1zxQUGUfckrZXpaRDXRk1Gi0jdh5KQFOn/view?usp=drivesdk" TargetMode="External"/><Relationship Id="rId1663" Type="http://schemas.openxmlformats.org/officeDocument/2006/relationships/hyperlink" Target="https://drive.google.com/file/d/1gFpvTLYYqCMEDwCopk7lVVCg80rNv8RV/view?usp=drivesdk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8.88"/>
    <col customWidth="1" min="7" max="7" width="36.5"/>
    <col customWidth="1" min="8" max="8" width="30.63"/>
    <col customWidth="1" min="9" max="9" width="70.75"/>
    <col customWidth="1" min="10" max="10" width="34.5"/>
    <col customWidth="1" min="11" max="11" width="183.5"/>
    <col customWidth="1" min="12" max="12" width="36.88"/>
    <col customWidth="1" min="13" max="13" width="38.0"/>
    <col customWidth="1" min="14" max="14" width="74.75"/>
    <col customWidth="1" min="15" max="15" width="83.75"/>
    <col customWidth="1" min="16" max="20" width="18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tr">
        <f t="array" ref="H1:H10553">IF(LEN(B:B),IF(ROW(B:B)=1,"ID",TEXT(ROW(B:B)-1,"00")),)</f>
        <v>ID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</row>
    <row r="2" hidden="1">
      <c r="A2" s="4">
        <v>45534.30042222222</v>
      </c>
      <c r="B2" s="5" t="s">
        <v>19</v>
      </c>
      <c r="C2" s="5" t="s">
        <v>20</v>
      </c>
      <c r="E2" s="5" t="s">
        <v>21</v>
      </c>
      <c r="F2" s="5" t="s">
        <v>22</v>
      </c>
      <c r="G2" s="5" t="s">
        <v>23</v>
      </c>
      <c r="H2" s="6" t="s">
        <v>24</v>
      </c>
      <c r="I2" s="7" t="s">
        <v>25</v>
      </c>
      <c r="J2" s="8" t="str">
        <f>HYPERLINK("https://drive.google.com/file/d/15jPER5BaQuBSX5VEs0hQtAx-a8mLWvGk/view?usp=drivesdk","SERTIFIKAT BerAKHLAK")</f>
        <v>SERTIFIKAT BerAKHLAK</v>
      </c>
      <c r="K2" s="5" t="s">
        <v>26</v>
      </c>
      <c r="L2" s="5" t="s">
        <v>27</v>
      </c>
      <c r="M2" s="5" t="s">
        <v>28</v>
      </c>
      <c r="N2" s="7" t="s">
        <v>29</v>
      </c>
      <c r="O2" s="8" t="str">
        <f>HYPERLINK("https://drive.google.com/file/d/1zswP-f59-5rt6OPuxzvaiUpNLoNZjvVv/view?usp=drivesdk","01 &lt;NAMA LENGKAP&gt;&gt; _ SERTIFIKAT BIMTEK IPASN BerAKHLASK")</f>
        <v>01 &lt;NAMA LENGKAP&gt;&gt; _ SERTIFIKAT BIMTEK IPASN BerAKHLASK</v>
      </c>
      <c r="P2" s="5" t="s">
        <v>30</v>
      </c>
      <c r="Q2" s="5" t="s">
        <v>31</v>
      </c>
      <c r="R2" s="7" t="s">
        <v>32</v>
      </c>
      <c r="S2" s="7" t="str">
        <f>HYPERLINK("https://drive.google.com/file/d/1oG_BWgv5TbnWwTsTc8afnWpWAe42mzwP/view?usp=drivesdk","01_Dra. YUYUN NURLAELASARI SERTIFIKAT BIMTEK IPASN-BerAKHLAK")</f>
        <v>01_Dra. YUYUN NURLAELASARI SERTIFIKAT BIMTEK IPASN-BerAKHLAK</v>
      </c>
      <c r="T2" s="5" t="s">
        <v>33</v>
      </c>
    </row>
    <row r="3">
      <c r="A3" s="4">
        <v>45534.302741747684</v>
      </c>
      <c r="B3" s="5" t="s">
        <v>34</v>
      </c>
      <c r="D3" s="5" t="s">
        <v>35</v>
      </c>
      <c r="E3" s="5" t="s">
        <v>36</v>
      </c>
      <c r="F3" s="5" t="s">
        <v>37</v>
      </c>
      <c r="G3" s="5" t="s">
        <v>38</v>
      </c>
      <c r="H3" s="6" t="s">
        <v>39</v>
      </c>
      <c r="I3" s="7" t="s">
        <v>40</v>
      </c>
      <c r="J3" s="8" t="str">
        <f>HYPERLINK("https://drive.google.com/file/d/1j2QV6eO1_3RlAIyOA7-tf7AELCux1abB/view?usp=drivesdk","SERTIFIKAT BerAKHLAK")</f>
        <v>SERTIFIKAT BerAKHLAK</v>
      </c>
      <c r="K3" s="5" t="s">
        <v>41</v>
      </c>
      <c r="L3" s="5" t="s">
        <v>42</v>
      </c>
      <c r="M3" s="5" t="s">
        <v>43</v>
      </c>
      <c r="N3" s="7" t="s">
        <v>44</v>
      </c>
      <c r="O3" s="8" t="str">
        <f>HYPERLINK("https://drive.google.com/file/d/19mPXeXdEzaR7Tx-jH8OqRUK_C6or0JmF/view?usp=drivesdk","02 &lt;NAMA LENGKAP&gt;&gt; _ SERTIFIKAT BIMTEK IPASN BerAKHLASK")</f>
        <v>02 &lt;NAMA LENGKAP&gt;&gt; _ SERTIFIKAT BIMTEK IPASN BerAKHLASK</v>
      </c>
      <c r="P3" s="5" t="s">
        <v>45</v>
      </c>
      <c r="Q3" s="5" t="s">
        <v>46</v>
      </c>
      <c r="R3" s="7" t="s">
        <v>47</v>
      </c>
      <c r="S3" s="7" t="str">
        <f>HYPERLINK("https://drive.google.com/file/d/1La9Ff2qGpH5KCJjCDegZPjPiK3ImNKhp/view?usp=drivesdk","02_KUSNAWIRAWAN SERTIFIKAT BIMTEK IPASN-BerAKHLAK")</f>
        <v>02_KUSNAWIRAWAN SERTIFIKAT BIMTEK IPASN-BerAKHLAK</v>
      </c>
      <c r="T3" s="5" t="s">
        <v>33</v>
      </c>
    </row>
    <row r="4">
      <c r="A4" s="4">
        <v>45534.304075127315</v>
      </c>
      <c r="B4" s="5" t="s">
        <v>34</v>
      </c>
      <c r="D4" s="5" t="s">
        <v>35</v>
      </c>
      <c r="E4" s="5" t="s">
        <v>48</v>
      </c>
      <c r="F4" s="5" t="s">
        <v>37</v>
      </c>
      <c r="G4" s="5" t="s">
        <v>49</v>
      </c>
      <c r="H4" s="6" t="s">
        <v>50</v>
      </c>
      <c r="I4" s="7" t="s">
        <v>51</v>
      </c>
      <c r="J4" s="8" t="str">
        <f>HYPERLINK("https://drive.google.com/file/d/1E7CjfZ0aJEUgxxuhRDCL7bWpERORvwtG/view?usp=drivesdk","SERTIFIKAT BerAKHLAK")</f>
        <v>SERTIFIKAT BerAKHLAK</v>
      </c>
      <c r="K4" s="5" t="s">
        <v>52</v>
      </c>
      <c r="L4" s="5" t="s">
        <v>53</v>
      </c>
      <c r="M4" s="5" t="s">
        <v>54</v>
      </c>
      <c r="N4" s="7" t="s">
        <v>55</v>
      </c>
      <c r="O4" s="8" t="str">
        <f>HYPERLINK("https://drive.google.com/file/d/1-35NsN2EzSVjSMnZWEa1STnUrqfdKX0m/view?usp=drivesdk","03 &lt;NAMA LENGKAP&gt;&gt; _ SERTIFIKAT BIMTEK IPASN BerAKHLASK")</f>
        <v>03 &lt;NAMA LENGKAP&gt;&gt; _ SERTIFIKAT BIMTEK IPASN BerAKHLASK</v>
      </c>
      <c r="P4" s="5" t="s">
        <v>56</v>
      </c>
      <c r="Q4" s="5" t="s">
        <v>57</v>
      </c>
      <c r="R4" s="7" t="s">
        <v>58</v>
      </c>
      <c r="S4" s="7" t="str">
        <f>HYPERLINK("https://drive.google.com/file/d/1jwVSOEA2eOeXTj62tXYpBRzPfyObdLiG/view?usp=drivesdk","03_AGUS KURNIAWAN SERTIFIKAT BIMTEK IPASN-BerAKHLAK")</f>
        <v>03_AGUS KURNIAWAN SERTIFIKAT BIMTEK IPASN-BerAKHLAK</v>
      </c>
      <c r="T4" s="5" t="s">
        <v>33</v>
      </c>
    </row>
    <row r="5">
      <c r="A5" s="4">
        <v>45534.30418565973</v>
      </c>
      <c r="B5" s="5" t="s">
        <v>34</v>
      </c>
      <c r="D5" s="5" t="s">
        <v>35</v>
      </c>
      <c r="E5" s="5" t="s">
        <v>59</v>
      </c>
      <c r="F5" s="5" t="s">
        <v>37</v>
      </c>
      <c r="G5" s="5" t="s">
        <v>60</v>
      </c>
      <c r="H5" s="6" t="s">
        <v>61</v>
      </c>
      <c r="I5" s="7" t="s">
        <v>62</v>
      </c>
      <c r="J5" s="8" t="str">
        <f>HYPERLINK("https://drive.google.com/file/d/1lAvZx9E4zbzHLmf1WAd-Jy48kDIj0iDg/view?usp=drivesdk","SERTIFIKAT BerAKHLAK")</f>
        <v>SERTIFIKAT BerAKHLAK</v>
      </c>
      <c r="K5" s="5" t="s">
        <v>63</v>
      </c>
      <c r="L5" s="5" t="s">
        <v>64</v>
      </c>
      <c r="M5" s="5" t="s">
        <v>65</v>
      </c>
      <c r="N5" s="7" t="s">
        <v>66</v>
      </c>
      <c r="O5" s="8" t="str">
        <f>HYPERLINK("https://drive.google.com/file/d/1GbkxLhDGXPYp_EeIjITC0HA-IwovIFEu/view?usp=drivesdk","04 &lt;NAMA LENGKAP&gt;&gt; _ SERTIFIKAT BIMTEK IPASN BerAKHLASK")</f>
        <v>04 &lt;NAMA LENGKAP&gt;&gt; _ SERTIFIKAT BIMTEK IPASN BerAKHLASK</v>
      </c>
      <c r="P5" s="5" t="s">
        <v>67</v>
      </c>
      <c r="Q5" s="5" t="s">
        <v>68</v>
      </c>
      <c r="R5" s="7" t="s">
        <v>69</v>
      </c>
      <c r="S5" s="7" t="str">
        <f>HYPERLINK("https://drive.google.com/file/d/1Mbx7v0oj2tSP80aFtvcahf6NK4tcd5t4/view?usp=drivesdk","04_MARINO AUSTRINO, S.H. SERTIFIKAT BIMTEK IPASN-BerAKHLAK")</f>
        <v>04_MARINO AUSTRINO, S.H. SERTIFIKAT BIMTEK IPASN-BerAKHLAK</v>
      </c>
      <c r="T5" s="5" t="s">
        <v>70</v>
      </c>
    </row>
    <row r="6">
      <c r="A6" s="4">
        <v>45534.304739756946</v>
      </c>
      <c r="B6" s="5" t="s">
        <v>34</v>
      </c>
      <c r="D6" s="5" t="s">
        <v>35</v>
      </c>
      <c r="E6" s="5" t="s">
        <v>71</v>
      </c>
      <c r="F6" s="5" t="s">
        <v>72</v>
      </c>
      <c r="G6" s="5" t="s">
        <v>73</v>
      </c>
      <c r="H6" s="6" t="s">
        <v>74</v>
      </c>
      <c r="I6" s="7" t="s">
        <v>75</v>
      </c>
      <c r="J6" s="8" t="str">
        <f>HYPERLINK("https://drive.google.com/file/d/1pqPyhPt7alclYpmC6jjhk-ZvJTqVwn_f/view?usp=drivesdk","DEDE SAEPUL RAHMAN SERTIFIKAT BerAKHLAK")</f>
        <v>DEDE SAEPUL RAHMAN SERTIFIKAT BerAKHLAK</v>
      </c>
      <c r="K6" s="5" t="s">
        <v>76</v>
      </c>
      <c r="L6" s="5" t="s">
        <v>77</v>
      </c>
      <c r="M6" s="5" t="s">
        <v>78</v>
      </c>
      <c r="N6" s="7" t="s">
        <v>79</v>
      </c>
      <c r="O6" s="8" t="str">
        <f>HYPERLINK("https://drive.google.com/file/d/1QG_ez-5_sT4jWoNA2hOQDM5_T3w8gFgT/view?usp=drivesdk","05 &lt;NAMA LENGKAP&gt;&gt; _ SERTIFIKAT BIMTEK IPASN BerAKHLASK")</f>
        <v>05 &lt;NAMA LENGKAP&gt;&gt; _ SERTIFIKAT BIMTEK IPASN BerAKHLASK</v>
      </c>
      <c r="P6" s="5" t="s">
        <v>80</v>
      </c>
      <c r="Q6" s="5" t="s">
        <v>81</v>
      </c>
      <c r="R6" s="7" t="s">
        <v>82</v>
      </c>
      <c r="S6" s="7" t="str">
        <f>HYPERLINK("https://drive.google.com/file/d/1G9UGg0unPFSqbWUhW-PRJuZk4gwVb1tN/view?usp=drivesdk","05_DEDE SAEPUL RAHMAN SERTIFIKAT BIMTEK IPASN-BerAKHLAK")</f>
        <v>05_DEDE SAEPUL RAHMAN SERTIFIKAT BIMTEK IPASN-BerAKHLAK</v>
      </c>
      <c r="T6" s="5" t="s">
        <v>70</v>
      </c>
    </row>
    <row r="7" hidden="1">
      <c r="A7" s="4">
        <v>45534.305054745375</v>
      </c>
      <c r="B7" s="5" t="s">
        <v>19</v>
      </c>
      <c r="C7" s="5" t="s">
        <v>83</v>
      </c>
      <c r="E7" s="5" t="s">
        <v>84</v>
      </c>
      <c r="F7" s="5" t="s">
        <v>85</v>
      </c>
      <c r="G7" s="5" t="s">
        <v>86</v>
      </c>
      <c r="H7" s="6" t="s">
        <v>87</v>
      </c>
      <c r="I7" s="7" t="s">
        <v>88</v>
      </c>
      <c r="J7" s="8" t="str">
        <f>HYPERLINK("https://drive.google.com/file/d/1yDB-diJ4di5QQD9g9LVw0uJMTsU2RTGj/view?usp=drivesdk","RIFKA SONIA SETYOWATI, S.M SERTIFIKAT BerAKHLAK")</f>
        <v>RIFKA SONIA SETYOWATI, S.M SERTIFIKAT BerAKHLAK</v>
      </c>
      <c r="K7" s="5" t="s">
        <v>89</v>
      </c>
      <c r="L7" s="5" t="s">
        <v>90</v>
      </c>
      <c r="M7" s="5" t="s">
        <v>91</v>
      </c>
      <c r="N7" s="7" t="s">
        <v>92</v>
      </c>
      <c r="O7" s="8" t="str">
        <f>HYPERLINK("https://drive.google.com/file/d/1PClGLOD30ncMHDqvC-dgXNMwlC_cUx9e/view?usp=drivesdk","06 &lt;NAMA LENGKAP&gt;&gt; _ SERTIFIKAT BIMTEK IPASN BerAKHLASK")</f>
        <v>06 &lt;NAMA LENGKAP&gt;&gt; _ SERTIFIKAT BIMTEK IPASN BerAKHLASK</v>
      </c>
      <c r="P7" s="5" t="s">
        <v>93</v>
      </c>
      <c r="Q7" s="5" t="s">
        <v>94</v>
      </c>
      <c r="R7" s="7" t="s">
        <v>95</v>
      </c>
      <c r="S7" s="7" t="str">
        <f>HYPERLINK("https://drive.google.com/file/d/1fH8bFYAUrn7e2WzBBCI-eeW2oC5qzKw8/view?usp=drivesdk","06_RIFKA SONIA SETYOWATI, S.M SERTIFIKAT BIMTEK IPASN-BerAKHLAK")</f>
        <v>06_RIFKA SONIA SETYOWATI, S.M SERTIFIKAT BIMTEK IPASN-BerAKHLAK</v>
      </c>
      <c r="T7" s="5" t="s">
        <v>70</v>
      </c>
    </row>
    <row r="8">
      <c r="A8" s="4">
        <v>45534.30505663194</v>
      </c>
      <c r="B8" s="5" t="s">
        <v>34</v>
      </c>
      <c r="D8" s="5" t="s">
        <v>35</v>
      </c>
      <c r="E8" s="5" t="s">
        <v>96</v>
      </c>
      <c r="F8" s="5" t="s">
        <v>37</v>
      </c>
      <c r="G8" s="5" t="s">
        <v>97</v>
      </c>
      <c r="H8" s="6" t="s">
        <v>98</v>
      </c>
      <c r="I8" s="7" t="s">
        <v>99</v>
      </c>
      <c r="J8" s="8" t="str">
        <f>HYPERLINK("https://drive.google.com/file/d/1HmV49TqD0EhgeEkh6eGnrIlGdpEWVLf5/view?usp=drivesdk","IWAN SETIAWAN SERTIFIKAT BerAKHLAK")</f>
        <v>IWAN SETIAWAN SERTIFIKAT BerAKHLAK</v>
      </c>
      <c r="K8" s="5" t="s">
        <v>100</v>
      </c>
      <c r="L8" s="5" t="s">
        <v>101</v>
      </c>
      <c r="M8" s="5" t="s">
        <v>102</v>
      </c>
      <c r="N8" s="7" t="s">
        <v>103</v>
      </c>
      <c r="O8" s="8" t="str">
        <f>HYPERLINK("https://drive.google.com/file/d/1EHqSaR6BpHi2QEbcEJyXvOufIaWG46LB/view?usp=drivesdk","07 &lt;NAMA LENGKAP&gt;&gt; _ SERTIFIKAT BIMTEK IPASN BerAKHLASK")</f>
        <v>07 &lt;NAMA LENGKAP&gt;&gt; _ SERTIFIKAT BIMTEK IPASN BerAKHLASK</v>
      </c>
      <c r="P8" s="5" t="s">
        <v>104</v>
      </c>
      <c r="Q8" s="5" t="s">
        <v>105</v>
      </c>
      <c r="R8" s="7" t="s">
        <v>106</v>
      </c>
      <c r="S8" s="7" t="str">
        <f>HYPERLINK("https://drive.google.com/file/d/1p2bLn6iaOTDweQYbxOHEdbFVsAHBym5Z/view?usp=drivesdk","07_IWAN SETIAWAN SERTIFIKAT BIMTEK IPASN-BerAKHLAK")</f>
        <v>07_IWAN SETIAWAN SERTIFIKAT BIMTEK IPASN-BerAKHLAK</v>
      </c>
      <c r="T8" s="5" t="s">
        <v>70</v>
      </c>
    </row>
    <row r="9">
      <c r="A9" s="4">
        <v>45534.30541298611</v>
      </c>
      <c r="B9" s="5" t="s">
        <v>34</v>
      </c>
      <c r="D9" s="5" t="s">
        <v>35</v>
      </c>
      <c r="E9" s="5" t="s">
        <v>107</v>
      </c>
      <c r="F9" s="5" t="s">
        <v>108</v>
      </c>
      <c r="G9" s="5" t="s">
        <v>109</v>
      </c>
      <c r="H9" s="6" t="s">
        <v>110</v>
      </c>
      <c r="I9" s="7" t="s">
        <v>111</v>
      </c>
      <c r="J9" s="8" t="str">
        <f>HYPERLINK("https://drive.google.com/file/d/1DpAorMqVOW3u3Ww0aHdpvn-IOCxvmi8i/view?usp=drivesdk","MAELASARI, SPD SM SERTIFIKAT BerAKHLAK")</f>
        <v>MAELASARI, SPD SM SERTIFIKAT BerAKHLAK</v>
      </c>
      <c r="K9" s="5" t="s">
        <v>112</v>
      </c>
      <c r="L9" s="5" t="s">
        <v>113</v>
      </c>
      <c r="M9" s="5" t="s">
        <v>114</v>
      </c>
      <c r="N9" s="7" t="s">
        <v>115</v>
      </c>
      <c r="O9" s="8" t="str">
        <f>HYPERLINK("https://drive.google.com/file/d/1myKzmolRtQI89P5lLbUvi6b7been7h99/view?usp=drivesdk","08 &lt;NAMA LENGKAP&gt;&gt; _ SERTIFIKAT BIMTEK IPASN BerAKHLASK")</f>
        <v>08 &lt;NAMA LENGKAP&gt;&gt; _ SERTIFIKAT BIMTEK IPASN BerAKHLASK</v>
      </c>
      <c r="P9" s="5" t="s">
        <v>116</v>
      </c>
      <c r="Q9" s="5" t="s">
        <v>117</v>
      </c>
      <c r="R9" s="7" t="s">
        <v>118</v>
      </c>
      <c r="S9" s="7" t="str">
        <f>HYPERLINK("https://drive.google.com/file/d/109kXVtHysBYIj01cna0uYPBBam6AnOWX/view?usp=drivesdk","08_MAELASARI, SPD SM SERTIFIKAT BIMTEK IPASN-BerAKHLAK")</f>
        <v>08_MAELASARI, SPD SM SERTIFIKAT BIMTEK IPASN-BerAKHLAK</v>
      </c>
      <c r="T9" s="5" t="s">
        <v>70</v>
      </c>
    </row>
    <row r="10" hidden="1">
      <c r="A10" s="4">
        <v>45534.3056380787</v>
      </c>
      <c r="B10" s="5" t="s">
        <v>19</v>
      </c>
      <c r="C10" s="5" t="s">
        <v>83</v>
      </c>
      <c r="E10" s="5" t="s">
        <v>119</v>
      </c>
      <c r="F10" s="5" t="s">
        <v>120</v>
      </c>
      <c r="G10" s="5" t="s">
        <v>121</v>
      </c>
      <c r="H10" s="6" t="s">
        <v>122</v>
      </c>
      <c r="I10" s="7" t="s">
        <v>123</v>
      </c>
      <c r="J10" s="8" t="str">
        <f>HYPERLINK("https://drive.google.com/file/d/1Nthirzo-zkIeTQ1EdDiUHoX3j4AK3RSY/view?usp=drivesdk","FEBBRY SUTEDJO, S.Si SERTIFIKAT BerAKHLAK")</f>
        <v>FEBBRY SUTEDJO, S.Si SERTIFIKAT BerAKHLAK</v>
      </c>
      <c r="K10" s="5" t="s">
        <v>124</v>
      </c>
      <c r="L10" s="5" t="s">
        <v>125</v>
      </c>
      <c r="M10" s="5" t="s">
        <v>126</v>
      </c>
      <c r="N10" s="7" t="s">
        <v>127</v>
      </c>
      <c r="O10" s="8" t="str">
        <f>HYPERLINK("https://drive.google.com/file/d/10bD4f2ETio9CpbpZSgOOEb8wwasvPOni/view?usp=drivesdk","09 &lt;NAMA LENGKAP&gt;&gt; _ SERTIFIKAT BIMTEK IPASN BerAKHLASK")</f>
        <v>09 &lt;NAMA LENGKAP&gt;&gt; _ SERTIFIKAT BIMTEK IPASN BerAKHLASK</v>
      </c>
      <c r="P10" s="5" t="s">
        <v>128</v>
      </c>
      <c r="Q10" s="5" t="s">
        <v>129</v>
      </c>
      <c r="R10" s="7" t="s">
        <v>130</v>
      </c>
      <c r="S10" s="7" t="str">
        <f>HYPERLINK("https://drive.google.com/file/d/1mRo39_A0u-FqCbLtk6DVMFHRhEMdPLVD/view?usp=drivesdk","09_FEBBRY SUTEDJO, S.Si SERTIFIKAT BIMTEK IPASN-BerAKHLAK")</f>
        <v>09_FEBBRY SUTEDJO, S.Si SERTIFIKAT BIMTEK IPASN-BerAKHLAK</v>
      </c>
      <c r="T10" s="5" t="s">
        <v>70</v>
      </c>
    </row>
    <row r="11">
      <c r="A11" s="4">
        <v>45534.306363807875</v>
      </c>
      <c r="B11" s="5" t="s">
        <v>34</v>
      </c>
      <c r="D11" s="5" t="s">
        <v>35</v>
      </c>
      <c r="E11" s="5" t="s">
        <v>131</v>
      </c>
      <c r="F11" s="5" t="s">
        <v>72</v>
      </c>
      <c r="G11" s="5" t="s">
        <v>132</v>
      </c>
      <c r="H11" s="6" t="s">
        <v>133</v>
      </c>
      <c r="I11" s="7" t="s">
        <v>134</v>
      </c>
      <c r="J11" s="8" t="str">
        <f>HYPERLINK("https://drive.google.com/file/d/1VuGwNlh9Gvp3CnwLqpuSPIiCdGmtnHbM/view?usp=drivesdk","ARI HAERUDDIN, S.Sos. SERTIFIKAT BerAKHLAK")</f>
        <v>ARI HAERUDDIN, S.Sos. SERTIFIKAT BerAKHLAK</v>
      </c>
      <c r="K11" s="5" t="s">
        <v>135</v>
      </c>
      <c r="L11" s="5" t="s">
        <v>136</v>
      </c>
      <c r="M11" s="5" t="s">
        <v>137</v>
      </c>
      <c r="N11" s="7" t="s">
        <v>138</v>
      </c>
      <c r="O11" s="8" t="str">
        <f>HYPERLINK("https://drive.google.com/file/d/10z7CYvboVwa-Kg8u4mYFD1A56GBW5Igo/view?usp=drivesdk","10 &lt;NAMA LENGKAP&gt;&gt; _ SERTIFIKAT BIMTEK IPASN BerAKHLASK")</f>
        <v>10 &lt;NAMA LENGKAP&gt;&gt; _ SERTIFIKAT BIMTEK IPASN BerAKHLASK</v>
      </c>
      <c r="P11" s="5" t="s">
        <v>139</v>
      </c>
      <c r="Q11" s="5" t="s">
        <v>140</v>
      </c>
      <c r="R11" s="7" t="s">
        <v>141</v>
      </c>
      <c r="S11" s="7" t="str">
        <f>HYPERLINK("https://drive.google.com/file/d/1WyEfCQsJZq0blTyTsgkjta-gN3ErrgFh/view?usp=drivesdk","10_ARI HAERUDDIN, S.Sos. SERTIFIKAT BIMTEK IPASN-BerAKHLAK")</f>
        <v>10_ARI HAERUDDIN, S.Sos. SERTIFIKAT BIMTEK IPASN-BerAKHLAK</v>
      </c>
      <c r="T11" s="5" t="s">
        <v>142</v>
      </c>
    </row>
    <row r="12">
      <c r="A12" s="4">
        <v>45534.30789545139</v>
      </c>
      <c r="B12" s="5" t="s">
        <v>34</v>
      </c>
      <c r="D12" s="5" t="s">
        <v>35</v>
      </c>
      <c r="E12" s="5" t="s">
        <v>143</v>
      </c>
      <c r="F12" s="5" t="s">
        <v>72</v>
      </c>
      <c r="G12" s="5" t="s">
        <v>144</v>
      </c>
      <c r="H12" s="6" t="s">
        <v>145</v>
      </c>
      <c r="I12" s="7" t="s">
        <v>146</v>
      </c>
      <c r="J12" s="8" t="str">
        <f>HYPERLINK("https://drive.google.com/file/d/17KT6k7b-xGCp3-7kagY8lrEAEBPgqhuR/view?usp=drivesdk","BETTY MONALISA SITUMORANG SERTIFIKAT BerAKHLAK")</f>
        <v>BETTY MONALISA SITUMORANG SERTIFIKAT BerAKHLAK</v>
      </c>
      <c r="K12" s="5" t="s">
        <v>147</v>
      </c>
      <c r="L12" s="5" t="s">
        <v>148</v>
      </c>
      <c r="M12" s="5" t="s">
        <v>149</v>
      </c>
      <c r="N12" s="7" t="s">
        <v>150</v>
      </c>
      <c r="O12" s="8" t="str">
        <f>HYPERLINK("https://drive.google.com/file/d/1qcHRVHdIQaoItMqyGHirwN59xOANDlp6/view?usp=drivesdk","11 &lt;NAMA LENGKAP&gt;&gt; _ SERTIFIKAT BIMTEK IPASN BerAKHLASK")</f>
        <v>11 &lt;NAMA LENGKAP&gt;&gt; _ SERTIFIKAT BIMTEK IPASN BerAKHLASK</v>
      </c>
      <c r="P12" s="5" t="s">
        <v>151</v>
      </c>
      <c r="Q12" s="5" t="s">
        <v>152</v>
      </c>
      <c r="R12" s="7" t="s">
        <v>153</v>
      </c>
      <c r="S12" s="7" t="str">
        <f>HYPERLINK("https://drive.google.com/file/d/1yzGUx96-o8HShp0GGySDO34u2bbxzMCi/view?usp=drivesdk","11_BETTY MONALISA SITUMORANG SERTIFIKAT BIMTEK IPASN-BerAKHLAK")</f>
        <v>11_BETTY MONALISA SITUMORANG SERTIFIKAT BIMTEK IPASN-BerAKHLAK</v>
      </c>
      <c r="T12" s="5" t="s">
        <v>142</v>
      </c>
    </row>
    <row r="13">
      <c r="A13" s="4">
        <v>45534.308767870374</v>
      </c>
      <c r="B13" s="5" t="s">
        <v>34</v>
      </c>
      <c r="D13" s="5" t="s">
        <v>35</v>
      </c>
      <c r="E13" s="5" t="s">
        <v>154</v>
      </c>
      <c r="F13" s="5" t="s">
        <v>37</v>
      </c>
      <c r="G13" s="5" t="s">
        <v>155</v>
      </c>
      <c r="H13" s="6" t="s">
        <v>156</v>
      </c>
      <c r="I13" s="7" t="s">
        <v>157</v>
      </c>
      <c r="J13" s="8" t="str">
        <f>HYPERLINK("https://drive.google.com/file/d/1Ld4SMEKbpWYGG6kWXBnDUoKVgtn6RcoW/view?usp=drivesdk","IWAN JUANDA GUNADI SERTIFIKAT BerAKHLAK")</f>
        <v>IWAN JUANDA GUNADI SERTIFIKAT BerAKHLAK</v>
      </c>
      <c r="K13" s="5" t="s">
        <v>158</v>
      </c>
      <c r="L13" s="5" t="s">
        <v>159</v>
      </c>
      <c r="M13" s="5" t="s">
        <v>160</v>
      </c>
      <c r="N13" s="7" t="s">
        <v>161</v>
      </c>
      <c r="O13" s="8" t="str">
        <f>HYPERLINK("https://drive.google.com/file/d/1yBz-YHkbgokWRiu6Vhl4DNpwIz2ODdh9/view?usp=drivesdk","12 &lt;NAMA LENGKAP&gt;&gt; _ SERTIFIKAT BIMTEK IPASN BerAKHLASK")</f>
        <v>12 &lt;NAMA LENGKAP&gt;&gt; _ SERTIFIKAT BIMTEK IPASN BerAKHLASK</v>
      </c>
      <c r="P13" s="5" t="s">
        <v>162</v>
      </c>
      <c r="Q13" s="5" t="s">
        <v>163</v>
      </c>
      <c r="R13" s="7" t="s">
        <v>164</v>
      </c>
      <c r="S13" s="7" t="str">
        <f>HYPERLINK("https://drive.google.com/file/d/1DpL7wr1qqa_03LYvHgrMzXpoQ0EJYC4R/view?usp=drivesdk","12_IWAN JUANDA GUNADI SERTIFIKAT BIMTEK IPASN-BerAKHLAK")</f>
        <v>12_IWAN JUANDA GUNADI SERTIFIKAT BIMTEK IPASN-BerAKHLAK</v>
      </c>
      <c r="T13" s="5" t="s">
        <v>142</v>
      </c>
    </row>
    <row r="14" hidden="1">
      <c r="A14" s="4">
        <v>45534.30897221065</v>
      </c>
      <c r="B14" s="5" t="s">
        <v>19</v>
      </c>
      <c r="C14" s="5" t="s">
        <v>20</v>
      </c>
      <c r="E14" s="5" t="s">
        <v>165</v>
      </c>
      <c r="F14" s="5" t="s">
        <v>72</v>
      </c>
      <c r="G14" s="5" t="s">
        <v>166</v>
      </c>
      <c r="H14" s="6" t="s">
        <v>167</v>
      </c>
      <c r="I14" s="7" t="s">
        <v>168</v>
      </c>
      <c r="J14" s="8" t="str">
        <f>HYPERLINK("https://drive.google.com/file/d/1Z8TLetSbHQ7rycUkdrI80RADo3FkzX6w/view?usp=drivesdk","NEITI JUWAIRIYAH, A.MD., S.TR.ADM.ARS SERTIFIKAT BerAKHLAK")</f>
        <v>NEITI JUWAIRIYAH, A.MD., S.TR.ADM.ARS SERTIFIKAT BerAKHLAK</v>
      </c>
      <c r="K14" s="5" t="s">
        <v>169</v>
      </c>
      <c r="L14" s="5" t="s">
        <v>170</v>
      </c>
      <c r="M14" s="5" t="s">
        <v>171</v>
      </c>
      <c r="N14" s="7" t="s">
        <v>172</v>
      </c>
      <c r="O14" s="8" t="str">
        <f>HYPERLINK("https://drive.google.com/file/d/1AhPrz2P747dFI9474_H_1TF-GaRDlX3R/view?usp=drivesdk","13 &lt;NAMA LENGKAP&gt;&gt; _ SERTIFIKAT BIMTEK IPASN BerAKHLASK")</f>
        <v>13 &lt;NAMA LENGKAP&gt;&gt; _ SERTIFIKAT BIMTEK IPASN BerAKHLASK</v>
      </c>
      <c r="P14" s="5" t="s">
        <v>173</v>
      </c>
      <c r="Q14" s="5" t="s">
        <v>174</v>
      </c>
      <c r="R14" s="7" t="s">
        <v>175</v>
      </c>
      <c r="S14" s="7" t="str">
        <f>HYPERLINK("https://drive.google.com/file/d/1-Tznu-hmp7V8iRHDZ6J6mpjQ_73WcZP7/view?usp=drivesdk","13_NEITI JUWAIRIYAH, A.MD., S.TR.ADM.ARS SERTIFIKAT BIMTEK IPASN-BerAKHLAK")</f>
        <v>13_NEITI JUWAIRIYAH, A.MD., S.TR.ADM.ARS SERTIFIKAT BIMTEK IPASN-BerAKHLAK</v>
      </c>
      <c r="T14" s="5" t="s">
        <v>142</v>
      </c>
    </row>
    <row r="15">
      <c r="A15" s="4">
        <v>45534.30898356481</v>
      </c>
      <c r="B15" s="5" t="s">
        <v>34</v>
      </c>
      <c r="D15" s="5" t="s">
        <v>35</v>
      </c>
      <c r="E15" s="5" t="s">
        <v>176</v>
      </c>
      <c r="F15" s="5" t="s">
        <v>37</v>
      </c>
      <c r="G15" s="5" t="s">
        <v>177</v>
      </c>
      <c r="H15" s="6" t="s">
        <v>178</v>
      </c>
      <c r="I15" s="7" t="s">
        <v>179</v>
      </c>
      <c r="J15" s="8" t="str">
        <f>HYPERLINK("https://drive.google.com/file/d/1NXQuueQUVUHknssDtdpJOHZk9i_q6oBo/view?usp=drivesdk","YANYAN SAKTIYANA SERTIFIKAT BerAKHLAK")</f>
        <v>YANYAN SAKTIYANA SERTIFIKAT BerAKHLAK</v>
      </c>
      <c r="K15" s="5" t="s">
        <v>180</v>
      </c>
      <c r="L15" s="5" t="s">
        <v>181</v>
      </c>
      <c r="M15" s="5" t="s">
        <v>182</v>
      </c>
      <c r="N15" s="7" t="s">
        <v>183</v>
      </c>
      <c r="O15" s="8" t="str">
        <f>HYPERLINK("https://drive.google.com/file/d/1wAa-A__kcwlQdUJGj8hZ7mW4RBkqCRuw/view?usp=drivesdk","14 &lt;NAMA LENGKAP&gt;&gt; _ SERTIFIKAT BIMTEK IPASN BerAKHLASK")</f>
        <v>14 &lt;NAMA LENGKAP&gt;&gt; _ SERTIFIKAT BIMTEK IPASN BerAKHLASK</v>
      </c>
      <c r="P15" s="5" t="s">
        <v>184</v>
      </c>
      <c r="Q15" s="5" t="s">
        <v>185</v>
      </c>
      <c r="R15" s="7" t="s">
        <v>186</v>
      </c>
      <c r="S15" s="7" t="str">
        <f>HYPERLINK("https://drive.google.com/file/d/19xRQ-vraXE_nC_s7JRD_Yg_edMnNbj0b/view?usp=drivesdk","14_YANYAN SAKTIYANA SERTIFIKAT BIMTEK IPASN-BerAKHLAK")</f>
        <v>14_YANYAN SAKTIYANA SERTIFIKAT BIMTEK IPASN-BerAKHLAK</v>
      </c>
      <c r="T15" s="5" t="s">
        <v>142</v>
      </c>
    </row>
    <row r="16" hidden="1">
      <c r="A16" s="4">
        <v>45534.30915814815</v>
      </c>
      <c r="B16" s="5" t="s">
        <v>19</v>
      </c>
      <c r="C16" s="5" t="s">
        <v>20</v>
      </c>
      <c r="E16" s="5" t="s">
        <v>187</v>
      </c>
      <c r="F16" s="5" t="s">
        <v>72</v>
      </c>
      <c r="G16" s="5" t="s">
        <v>188</v>
      </c>
      <c r="H16" s="6" t="s">
        <v>189</v>
      </c>
      <c r="I16" s="7" t="s">
        <v>190</v>
      </c>
      <c r="J16" s="8" t="str">
        <f>HYPERLINK("https://drive.google.com/file/d/1oo4Da621U6GkkoNzK-njwMAYfmk3U_G2/view?usp=drivesdk","DESTI WISNU WARDANI, A.Md., S.Pd. SERTIFIKAT BerAKHLAK")</f>
        <v>DESTI WISNU WARDANI, A.Md., S.Pd. SERTIFIKAT BerAKHLAK</v>
      </c>
      <c r="K16" s="5" t="s">
        <v>191</v>
      </c>
      <c r="L16" s="5" t="s">
        <v>192</v>
      </c>
      <c r="M16" s="5" t="s">
        <v>193</v>
      </c>
      <c r="N16" s="7" t="s">
        <v>194</v>
      </c>
      <c r="O16" s="8" t="str">
        <f>HYPERLINK("https://drive.google.com/file/d/11IwskoPoHT6ltiCeFNaK0b4QWT3oLB9C/view?usp=drivesdk","15 &lt;NAMA LENGKAP&gt;&gt; _ SERTIFIKAT BIMTEK IPASN BerAKHLASK")</f>
        <v>15 &lt;NAMA LENGKAP&gt;&gt; _ SERTIFIKAT BIMTEK IPASN BerAKHLASK</v>
      </c>
      <c r="P16" s="5" t="s">
        <v>195</v>
      </c>
      <c r="Q16" s="5" t="s">
        <v>196</v>
      </c>
      <c r="R16" s="7" t="s">
        <v>197</v>
      </c>
      <c r="S16" s="7" t="str">
        <f>HYPERLINK("https://drive.google.com/file/d/1ON2MxTBr1WaGmj2jcfHpxEY77u54srYT/view?usp=drivesdk","15_DESTI WISNU WARDANI, A.Md., S.Pd. SERTIFIKAT BIMTEK IPASN-BerAKHLAK")</f>
        <v>15_DESTI WISNU WARDANI, A.Md., S.Pd. SERTIFIKAT BIMTEK IPASN-BerAKHLAK</v>
      </c>
      <c r="T16" s="5" t="s">
        <v>142</v>
      </c>
    </row>
    <row r="17">
      <c r="A17" s="4">
        <v>45534.30966222222</v>
      </c>
      <c r="B17" s="5" t="s">
        <v>34</v>
      </c>
      <c r="D17" s="5" t="s">
        <v>35</v>
      </c>
      <c r="E17" s="5" t="s">
        <v>198</v>
      </c>
      <c r="F17" s="5" t="s">
        <v>199</v>
      </c>
      <c r="G17" s="5" t="s">
        <v>200</v>
      </c>
      <c r="H17" s="6" t="s">
        <v>201</v>
      </c>
      <c r="I17" s="7" t="s">
        <v>202</v>
      </c>
      <c r="J17" s="8" t="str">
        <f>HYPERLINK("https://drive.google.com/file/d/1XUSKoRObrgA6pVHPIZnUiUEl0pgrG-Lx/view?usp=drivesdk","YAYAN HARDYANA SERTIFIKAT BerAKHLAK")</f>
        <v>YAYAN HARDYANA SERTIFIKAT BerAKHLAK</v>
      </c>
      <c r="K17" s="5" t="s">
        <v>203</v>
      </c>
      <c r="L17" s="5" t="s">
        <v>204</v>
      </c>
      <c r="M17" s="5" t="s">
        <v>205</v>
      </c>
      <c r="N17" s="7" t="s">
        <v>206</v>
      </c>
      <c r="O17" s="8" t="str">
        <f>HYPERLINK("https://drive.google.com/file/d/15PhDS1w3arRjvw7kAjp7GIPxhly14Co4/view?usp=drivesdk","16 &lt;NAMA LENGKAP&gt;&gt; _ SERTIFIKAT BIMTEK IPASN BerAKHLASK")</f>
        <v>16 &lt;NAMA LENGKAP&gt;&gt; _ SERTIFIKAT BIMTEK IPASN BerAKHLASK</v>
      </c>
      <c r="P17" s="5" t="s">
        <v>207</v>
      </c>
      <c r="Q17" s="5" t="s">
        <v>208</v>
      </c>
      <c r="R17" s="7" t="s">
        <v>209</v>
      </c>
      <c r="S17" s="7" t="str">
        <f>HYPERLINK("https://drive.google.com/file/d/1tryYKZJ5y68mggcH8O8sL0IP8TC4ICyK/view?usp=drivesdk","16_YAYAN HARDYANA SERTIFIKAT BIMTEK IPASN-BerAKHLAK")</f>
        <v>16_YAYAN HARDYANA SERTIFIKAT BIMTEK IPASN-BerAKHLAK</v>
      </c>
      <c r="T17" s="5" t="s">
        <v>210</v>
      </c>
    </row>
    <row r="18">
      <c r="A18" s="4">
        <v>45534.3098178588</v>
      </c>
      <c r="B18" s="5" t="s">
        <v>34</v>
      </c>
      <c r="D18" s="5" t="s">
        <v>35</v>
      </c>
      <c r="E18" s="5" t="s">
        <v>211</v>
      </c>
      <c r="F18" s="5" t="s">
        <v>212</v>
      </c>
      <c r="G18" s="5" t="s">
        <v>213</v>
      </c>
      <c r="H18" s="6" t="s">
        <v>214</v>
      </c>
      <c r="I18" s="7" t="s">
        <v>215</v>
      </c>
      <c r="J18" s="8" t="str">
        <f>HYPERLINK("https://drive.google.com/file/d/1ukJKtX7UINDJ4PkkNQWTeizPMP_6gHBg/view?usp=drivesdk","TETI ROHAYATI SERTIFIKAT BerAKHLAK")</f>
        <v>TETI ROHAYATI SERTIFIKAT BerAKHLAK</v>
      </c>
      <c r="K18" s="5" t="s">
        <v>216</v>
      </c>
      <c r="L18" s="5" t="s">
        <v>217</v>
      </c>
      <c r="M18" s="5" t="s">
        <v>218</v>
      </c>
      <c r="N18" s="7" t="s">
        <v>219</v>
      </c>
      <c r="O18" s="8" t="str">
        <f>HYPERLINK("https://drive.google.com/file/d/10a448mbNqPj4h8HRMsksH3XslNG2n-8t/view?usp=drivesdk","17 &lt;NAMA LENGKAP&gt;&gt; _ SERTIFIKAT BIMTEK IPASN BerAKHLASK")</f>
        <v>17 &lt;NAMA LENGKAP&gt;&gt; _ SERTIFIKAT BIMTEK IPASN BerAKHLASK</v>
      </c>
      <c r="P18" s="5" t="s">
        <v>220</v>
      </c>
      <c r="Q18" s="5" t="s">
        <v>221</v>
      </c>
      <c r="R18" s="7" t="s">
        <v>222</v>
      </c>
      <c r="S18" s="7" t="str">
        <f>HYPERLINK("https://drive.google.com/file/d/1BjJ6cmY_b4UfM5iJtkHIQV5fwtAqzOXx/view?usp=drivesdk","17_TETI ROHAYATI SERTIFIKAT BIMTEK IPASN-BerAKHLAK")</f>
        <v>17_TETI ROHAYATI SERTIFIKAT BIMTEK IPASN-BerAKHLAK</v>
      </c>
      <c r="T18" s="5" t="s">
        <v>210</v>
      </c>
    </row>
    <row r="19">
      <c r="A19" s="4">
        <v>45534.30989395833</v>
      </c>
      <c r="B19" s="5" t="s">
        <v>34</v>
      </c>
      <c r="D19" s="5" t="s">
        <v>35</v>
      </c>
      <c r="E19" s="5" t="s">
        <v>223</v>
      </c>
      <c r="F19" s="5" t="s">
        <v>108</v>
      </c>
      <c r="G19" s="5" t="s">
        <v>224</v>
      </c>
      <c r="H19" s="6" t="s">
        <v>225</v>
      </c>
      <c r="I19" s="7" t="s">
        <v>226</v>
      </c>
      <c r="J19" s="8" t="str">
        <f>HYPERLINK("https://drive.google.com/file/d/1U5ziM6uOWgzQIlaooQw4bTxrdoCMroyI/view?usp=drivesdk","GITA FATWA QURNIATI SERTIFIKAT BerAKHLAK")</f>
        <v>GITA FATWA QURNIATI SERTIFIKAT BerAKHLAK</v>
      </c>
      <c r="K19" s="5" t="s">
        <v>227</v>
      </c>
      <c r="L19" s="5" t="s">
        <v>228</v>
      </c>
      <c r="M19" s="5" t="s">
        <v>229</v>
      </c>
      <c r="N19" s="7" t="s">
        <v>230</v>
      </c>
      <c r="O19" s="8" t="str">
        <f>HYPERLINK("https://drive.google.com/file/d/1HeEuH20b2DgSBqy8xMt2VYzYTbImavHg/view?usp=drivesdk","18 &lt;NAMA LENGKAP&gt;&gt; _ SERTIFIKAT BIMTEK IPASN BerAKHLASK")</f>
        <v>18 &lt;NAMA LENGKAP&gt;&gt; _ SERTIFIKAT BIMTEK IPASN BerAKHLASK</v>
      </c>
      <c r="P19" s="5" t="s">
        <v>231</v>
      </c>
      <c r="Q19" s="5" t="s">
        <v>232</v>
      </c>
      <c r="R19" s="7" t="s">
        <v>233</v>
      </c>
      <c r="S19" s="7" t="str">
        <f>HYPERLINK("https://drive.google.com/file/d/1HzKg9KZBY1VhkqlZBDHGJcQfh1KJiVbh/view?usp=drivesdk","18_GITA FATWA QURNIATI SERTIFIKAT BIMTEK IPASN-BerAKHLAK")</f>
        <v>18_GITA FATWA QURNIATI SERTIFIKAT BIMTEK IPASN-BerAKHLAK</v>
      </c>
      <c r="T19" s="5" t="s">
        <v>210</v>
      </c>
    </row>
    <row r="20">
      <c r="A20" s="4">
        <v>45534.30997483796</v>
      </c>
      <c r="B20" s="5" t="s">
        <v>34</v>
      </c>
      <c r="D20" s="5" t="s">
        <v>35</v>
      </c>
      <c r="E20" s="5" t="s">
        <v>234</v>
      </c>
      <c r="F20" s="5" t="s">
        <v>37</v>
      </c>
      <c r="G20" s="5" t="s">
        <v>235</v>
      </c>
      <c r="H20" s="6" t="s">
        <v>236</v>
      </c>
      <c r="I20" s="7" t="s">
        <v>237</v>
      </c>
      <c r="J20" s="8" t="str">
        <f>HYPERLINK("https://drive.google.com/file/d/1tUgB_Ss7Xv0tDyQs7BT9fVzorzUBK8Yu/view?usp=drivesdk","YAYA KARTADINATA SERTIFIKAT BerAKHLAK")</f>
        <v>YAYA KARTADINATA SERTIFIKAT BerAKHLAK</v>
      </c>
      <c r="K20" s="5" t="s">
        <v>238</v>
      </c>
      <c r="L20" s="5" t="s">
        <v>239</v>
      </c>
      <c r="M20" s="5" t="s">
        <v>240</v>
      </c>
      <c r="N20" s="7" t="s">
        <v>241</v>
      </c>
      <c r="O20" s="8" t="str">
        <f>HYPERLINK("https://drive.google.com/file/d/1oR2-NMR5wwIu4XW8SgSFOxcHonWjYcPU/view?usp=drivesdk","19 &lt;NAMA LENGKAP&gt;&gt; _ SERTIFIKAT BIMTEK IPASN BerAKHLASK")</f>
        <v>19 &lt;NAMA LENGKAP&gt;&gt; _ SERTIFIKAT BIMTEK IPASN BerAKHLASK</v>
      </c>
      <c r="P20" s="5" t="s">
        <v>242</v>
      </c>
      <c r="Q20" s="5" t="s">
        <v>243</v>
      </c>
      <c r="R20" s="7" t="s">
        <v>244</v>
      </c>
      <c r="S20" s="7" t="str">
        <f>HYPERLINK("https://drive.google.com/file/d/1xTKizLOfSTzXbiLMtrzGQx3Q36L9FNY_/view?usp=drivesdk","19_YAYA KARTADINATA SERTIFIKAT BIMTEK IPASN-BerAKHLAK")</f>
        <v>19_YAYA KARTADINATA SERTIFIKAT BIMTEK IPASN-BerAKHLAK</v>
      </c>
      <c r="T20" s="5" t="s">
        <v>210</v>
      </c>
    </row>
    <row r="21">
      <c r="A21" s="4">
        <v>45534.310116967594</v>
      </c>
      <c r="B21" s="5" t="s">
        <v>34</v>
      </c>
      <c r="D21" s="5" t="s">
        <v>35</v>
      </c>
      <c r="E21" s="5" t="s">
        <v>245</v>
      </c>
      <c r="F21" s="5" t="s">
        <v>37</v>
      </c>
      <c r="G21" s="5" t="s">
        <v>246</v>
      </c>
      <c r="H21" s="6" t="s">
        <v>247</v>
      </c>
      <c r="I21" s="7" t="s">
        <v>248</v>
      </c>
      <c r="J21" s="8" t="str">
        <f>HYPERLINK("https://drive.google.com/file/d/1z2-qHxKAc7XY5CEB5svbvZcg_VTgMe2J/view?usp=drivesdk","DIAHIKA PRASETIA SERTIFIKAT BerAKHLAK")</f>
        <v>DIAHIKA PRASETIA SERTIFIKAT BerAKHLAK</v>
      </c>
      <c r="K21" s="5" t="s">
        <v>249</v>
      </c>
      <c r="L21" s="5" t="s">
        <v>250</v>
      </c>
      <c r="M21" s="5" t="s">
        <v>251</v>
      </c>
      <c r="N21" s="7" t="s">
        <v>252</v>
      </c>
      <c r="O21" s="8" t="str">
        <f>HYPERLINK("https://drive.google.com/file/d/184O9VR_TLuyvP9A7WdeP-iD-vPT0r97M/view?usp=drivesdk","20 &lt;NAMA LENGKAP&gt;&gt; _ SERTIFIKAT BIMTEK IPASN BerAKHLASK")</f>
        <v>20 &lt;NAMA LENGKAP&gt;&gt; _ SERTIFIKAT BIMTEK IPASN BerAKHLASK</v>
      </c>
      <c r="P21" s="5" t="s">
        <v>253</v>
      </c>
      <c r="Q21" s="5" t="s">
        <v>254</v>
      </c>
      <c r="R21" s="7" t="s">
        <v>255</v>
      </c>
      <c r="S21" s="7" t="str">
        <f>HYPERLINK("https://drive.google.com/file/d/1VpyqTGEbxQ5DPnh5mvUgGM8Fy684vO_3/view?usp=drivesdk","20_DIAHIKA PRASETIA SERTIFIKAT BIMTEK IPASN-BerAKHLAK")</f>
        <v>20_DIAHIKA PRASETIA SERTIFIKAT BIMTEK IPASN-BerAKHLAK</v>
      </c>
      <c r="T21" s="5" t="s">
        <v>210</v>
      </c>
    </row>
    <row r="22">
      <c r="A22" s="4">
        <v>45534.31037295139</v>
      </c>
      <c r="B22" s="5" t="s">
        <v>34</v>
      </c>
      <c r="D22" s="5" t="s">
        <v>35</v>
      </c>
      <c r="E22" s="5" t="s">
        <v>256</v>
      </c>
      <c r="F22" s="5" t="s">
        <v>212</v>
      </c>
      <c r="G22" s="5" t="s">
        <v>257</v>
      </c>
      <c r="H22" s="6" t="s">
        <v>258</v>
      </c>
      <c r="I22" s="7" t="s">
        <v>259</v>
      </c>
      <c r="J22" s="8" t="str">
        <f>HYPERLINK("https://drive.google.com/file/d/12k9PNiHSDdCP24PEwcl5aADfNX34KLF3/view?usp=drivesdk","SISKA DAMAYANTI  SERTIFIKAT BerAKHLAK")</f>
        <v>SISKA DAMAYANTI  SERTIFIKAT BerAKHLAK</v>
      </c>
      <c r="K22" s="5" t="s">
        <v>260</v>
      </c>
      <c r="L22" s="5" t="s">
        <v>261</v>
      </c>
      <c r="M22" s="5" t="s">
        <v>262</v>
      </c>
      <c r="N22" s="7" t="s">
        <v>263</v>
      </c>
      <c r="O22" s="8" t="str">
        <f>HYPERLINK("https://drive.google.com/file/d/1heKWdMTPlAJfG6tZO9K-aQSNdCScWlnb/view?usp=drivesdk","21 &lt;NAMA LENGKAP&gt;&gt; _ SERTIFIKAT BIMTEK IPASN BerAKHLASK")</f>
        <v>21 &lt;NAMA LENGKAP&gt;&gt; _ SERTIFIKAT BIMTEK IPASN BerAKHLASK</v>
      </c>
      <c r="P22" s="5" t="s">
        <v>264</v>
      </c>
      <c r="Q22" s="5" t="s">
        <v>265</v>
      </c>
      <c r="R22" s="7" t="s">
        <v>266</v>
      </c>
      <c r="S22" s="7" t="str">
        <f>HYPERLINK("https://drive.google.com/file/d/16zIopBD7L5z2lJmk99GgTL0wrRIbimW5/view?usp=drivesdk","21_SISKA DAMAYANTI  SERTIFIKAT BIMTEK IPASN-BerAKHLAK")</f>
        <v>21_SISKA DAMAYANTI  SERTIFIKAT BIMTEK IPASN-BerAKHLAK</v>
      </c>
      <c r="T22" s="5" t="s">
        <v>210</v>
      </c>
    </row>
    <row r="23">
      <c r="A23" s="4">
        <v>45534.310388680555</v>
      </c>
      <c r="B23" s="5" t="s">
        <v>34</v>
      </c>
      <c r="D23" s="5" t="s">
        <v>267</v>
      </c>
      <c r="E23" s="5" t="s">
        <v>268</v>
      </c>
      <c r="F23" s="5" t="s">
        <v>22</v>
      </c>
      <c r="G23" s="5" t="s">
        <v>269</v>
      </c>
      <c r="H23" s="6" t="s">
        <v>270</v>
      </c>
      <c r="I23" s="7" t="s">
        <v>271</v>
      </c>
      <c r="J23" s="8" t="str">
        <f>HYPERLINK("https://drive.google.com/file/d/1XfiQ1hQA7OWgPJucgN_mJWxjGdjJGFd-/view?usp=drivesdk","dr SYAMSU TATANG TRIYUWANTO  SERTIFIKAT BerAKHLAK")</f>
        <v>dr SYAMSU TATANG TRIYUWANTO  SERTIFIKAT BerAKHLAK</v>
      </c>
      <c r="K23" s="5" t="s">
        <v>272</v>
      </c>
      <c r="L23" s="5" t="s">
        <v>273</v>
      </c>
      <c r="M23" s="5" t="s">
        <v>274</v>
      </c>
      <c r="N23" s="7" t="s">
        <v>275</v>
      </c>
      <c r="O23" s="8" t="str">
        <f>HYPERLINK("https://drive.google.com/file/d/1ZLhqV2xDS6blBakSIjTu6e190gDdeH-X/view?usp=drivesdk","22 &lt;NAMA LENGKAP&gt;&gt; _ SERTIFIKAT BIMTEK IPASN BerAKHLASK")</f>
        <v>22 &lt;NAMA LENGKAP&gt;&gt; _ SERTIFIKAT BIMTEK IPASN BerAKHLASK</v>
      </c>
      <c r="P23" s="5" t="s">
        <v>276</v>
      </c>
      <c r="Q23" s="5" t="s">
        <v>277</v>
      </c>
      <c r="R23" s="7" t="s">
        <v>278</v>
      </c>
      <c r="S23" s="7" t="str">
        <f>HYPERLINK("https://drive.google.com/file/d/1gAtUPRxwqjuSAtYW73aMuv57lw7cqVPG/view?usp=drivesdk","22_dr SYAMSU TATANG TRIYUWANTO  SERTIFIKAT BIMTEK IPASN-BerAKHLAK")</f>
        <v>22_dr SYAMSU TATANG TRIYUWANTO  SERTIFIKAT BIMTEK IPASN-BerAKHLAK</v>
      </c>
      <c r="T23" s="5" t="s">
        <v>279</v>
      </c>
    </row>
    <row r="24">
      <c r="A24" s="4">
        <v>45534.310401319446</v>
      </c>
      <c r="B24" s="5" t="s">
        <v>34</v>
      </c>
      <c r="D24" s="5" t="s">
        <v>280</v>
      </c>
      <c r="E24" s="5" t="s">
        <v>281</v>
      </c>
      <c r="F24" s="5" t="s">
        <v>212</v>
      </c>
      <c r="G24" s="5" t="s">
        <v>282</v>
      </c>
      <c r="H24" s="6" t="s">
        <v>283</v>
      </c>
      <c r="I24" s="7" t="s">
        <v>284</v>
      </c>
      <c r="J24" s="8" t="str">
        <f>HYPERLINK("https://drive.google.com/file/d/1CkCAAjhLZg1LYR-uih88RnFBMEJypMD3/view?usp=drivesdk","DIMAS ALFIATNO S.KOM SERTIFIKAT BerAKHLAK")</f>
        <v>DIMAS ALFIATNO S.KOM SERTIFIKAT BerAKHLAK</v>
      </c>
      <c r="K24" s="5" t="s">
        <v>285</v>
      </c>
      <c r="L24" s="5" t="s">
        <v>286</v>
      </c>
      <c r="M24" s="5" t="s">
        <v>287</v>
      </c>
      <c r="N24" s="7" t="s">
        <v>288</v>
      </c>
      <c r="O24" s="8" t="str">
        <f>HYPERLINK("https://drive.google.com/file/d/1yO_SXJxa4Q9MJIlmN3I3BsJIy1HINHRZ/view?usp=drivesdk","23 &lt;NAMA LENGKAP&gt;&gt; _ SERTIFIKAT BIMTEK IPASN BerAKHLASK")</f>
        <v>23 &lt;NAMA LENGKAP&gt;&gt; _ SERTIFIKAT BIMTEK IPASN BerAKHLASK</v>
      </c>
      <c r="P24" s="5" t="s">
        <v>289</v>
      </c>
      <c r="Q24" s="5" t="s">
        <v>290</v>
      </c>
      <c r="R24" s="7" t="s">
        <v>291</v>
      </c>
      <c r="S24" s="7" t="str">
        <f>HYPERLINK("https://drive.google.com/file/d/1n_PDLDAMuMgLvOokit3BpECHVqnD-M-F/view?usp=drivesdk","23_DIMAS ALFIATNO S.KOM SERTIFIKAT BIMTEK IPASN-BerAKHLAK")</f>
        <v>23_DIMAS ALFIATNO S.KOM SERTIFIKAT BIMTEK IPASN-BerAKHLAK</v>
      </c>
      <c r="T24" s="5" t="s">
        <v>279</v>
      </c>
    </row>
    <row r="25" hidden="1">
      <c r="A25" s="4">
        <v>45534.3104103125</v>
      </c>
      <c r="B25" s="5" t="s">
        <v>19</v>
      </c>
      <c r="C25" s="5" t="s">
        <v>292</v>
      </c>
      <c r="E25" s="5" t="s">
        <v>293</v>
      </c>
      <c r="F25" s="5" t="s">
        <v>37</v>
      </c>
      <c r="G25" s="5" t="s">
        <v>294</v>
      </c>
      <c r="H25" s="6" t="s">
        <v>295</v>
      </c>
      <c r="I25" s="7" t="s">
        <v>296</v>
      </c>
      <c r="J25" s="8" t="str">
        <f>HYPERLINK("https://drive.google.com/file/d/1692RMHZMGzySNEKr61EXwrA1BgB7Y20p/view?usp=drivesdk","YUNITA DIAN ANGGRAENI, A.Md. Farm.  SERTIFIKAT BerAKHLAK")</f>
        <v>YUNITA DIAN ANGGRAENI, A.Md. Farm.  SERTIFIKAT BerAKHLAK</v>
      </c>
      <c r="K25" s="5" t="s">
        <v>297</v>
      </c>
      <c r="L25" s="5" t="s">
        <v>298</v>
      </c>
      <c r="M25" s="5" t="s">
        <v>299</v>
      </c>
      <c r="N25" s="7" t="s">
        <v>300</v>
      </c>
      <c r="O25" s="8" t="str">
        <f>HYPERLINK("https://drive.google.com/file/d/1TdHY27N5fsrDouw-gLYLgpmybhikRBKw/view?usp=drivesdk","24 &lt;NAMA LENGKAP&gt;&gt; _ SERTIFIKAT BIMTEK IPASN BerAKHLASK")</f>
        <v>24 &lt;NAMA LENGKAP&gt;&gt; _ SERTIFIKAT BIMTEK IPASN BerAKHLASK</v>
      </c>
      <c r="P25" s="5" t="s">
        <v>301</v>
      </c>
      <c r="Q25" s="5" t="s">
        <v>302</v>
      </c>
      <c r="R25" s="7" t="s">
        <v>303</v>
      </c>
      <c r="S25" s="7" t="str">
        <f>HYPERLINK("https://drive.google.com/file/d/13cI8LsFqA72BpJ9k2OXEjx8jPFO3eRhR/view?usp=drivesdk","24_YUNITA DIAN ANGGRAENI, A.Md. Farm.  SERTIFIKAT BIMTEK IPASN-BerAKHLAK")</f>
        <v>24_YUNITA DIAN ANGGRAENI, A.Md. Farm.  SERTIFIKAT BIMTEK IPASN-BerAKHLAK</v>
      </c>
      <c r="T25" s="5" t="s">
        <v>279</v>
      </c>
    </row>
    <row r="26" hidden="1">
      <c r="A26" s="4">
        <v>45534.310479907406</v>
      </c>
      <c r="B26" s="5" t="s">
        <v>19</v>
      </c>
      <c r="C26" s="5" t="s">
        <v>20</v>
      </c>
      <c r="E26" s="5" t="s">
        <v>304</v>
      </c>
      <c r="F26" s="5" t="s">
        <v>37</v>
      </c>
      <c r="G26" s="5" t="s">
        <v>305</v>
      </c>
      <c r="H26" s="6" t="s">
        <v>306</v>
      </c>
      <c r="I26" s="7" t="s">
        <v>307</v>
      </c>
      <c r="J26" s="8" t="str">
        <f>HYPERLINK("https://drive.google.com/file/d/15TYP9oI3hA-8gaOA3k49Grmyfn3Gv6Ta/view?usp=drivesdk","ARUM HANDAYANI SERTIFIKAT BerAKHLAK")</f>
        <v>ARUM HANDAYANI SERTIFIKAT BerAKHLAK</v>
      </c>
      <c r="K26" s="5" t="s">
        <v>308</v>
      </c>
      <c r="L26" s="5" t="s">
        <v>309</v>
      </c>
      <c r="M26" s="5" t="s">
        <v>310</v>
      </c>
      <c r="N26" s="7" t="s">
        <v>311</v>
      </c>
      <c r="O26" s="8" t="str">
        <f>HYPERLINK("https://drive.google.com/file/d/1TVaS8Dj3ju1pYelXjPfxdOZQqF7JRd-u/view?usp=drivesdk","25 &lt;NAMA LENGKAP&gt;&gt; _ SERTIFIKAT BIMTEK IPASN BerAKHLASK")</f>
        <v>25 &lt;NAMA LENGKAP&gt;&gt; _ SERTIFIKAT BIMTEK IPASN BerAKHLASK</v>
      </c>
      <c r="P26" s="5" t="s">
        <v>312</v>
      </c>
      <c r="Q26" s="5" t="s">
        <v>313</v>
      </c>
      <c r="R26" s="7" t="s">
        <v>314</v>
      </c>
      <c r="S26" s="7" t="str">
        <f>HYPERLINK("https://drive.google.com/file/d/1cmvenbbfPlAT9F8LGMn_w_gYlLFQZRVx/view?usp=drivesdk","25_ARUM HANDAYANI SERTIFIKAT BIMTEK IPASN-BerAKHLAK")</f>
        <v>25_ARUM HANDAYANI SERTIFIKAT BIMTEK IPASN-BerAKHLAK</v>
      </c>
      <c r="T26" s="5" t="s">
        <v>279</v>
      </c>
    </row>
    <row r="27" hidden="1">
      <c r="A27" s="4">
        <v>45534.310524733795</v>
      </c>
      <c r="B27" s="5" t="s">
        <v>19</v>
      </c>
      <c r="C27" s="5" t="s">
        <v>315</v>
      </c>
      <c r="E27" s="5" t="s">
        <v>316</v>
      </c>
      <c r="F27" s="5" t="s">
        <v>120</v>
      </c>
      <c r="G27" s="5" t="s">
        <v>317</v>
      </c>
      <c r="H27" s="6" t="s">
        <v>318</v>
      </c>
      <c r="I27" s="7" t="s">
        <v>319</v>
      </c>
      <c r="J27" s="8" t="str">
        <f>HYPERLINK("https://drive.google.com/file/d/12oLF1zn9wqevI2bND5NQqlBRYZyxdKvY/view?usp=drivesdk","HENDRA WIDIYANA, S.S. SERTIFIKAT BerAKHLAK")</f>
        <v>HENDRA WIDIYANA, S.S. SERTIFIKAT BerAKHLAK</v>
      </c>
      <c r="K27" s="5" t="s">
        <v>320</v>
      </c>
      <c r="L27" s="5" t="s">
        <v>321</v>
      </c>
      <c r="M27" s="5" t="s">
        <v>322</v>
      </c>
      <c r="N27" s="7" t="s">
        <v>323</v>
      </c>
      <c r="O27" s="8" t="str">
        <f>HYPERLINK("https://drive.google.com/file/d/1jQHLeXjhbjd0Tv8wxBoQrbVk5iz3ZdmV/view?usp=drivesdk","26 &lt;NAMA LENGKAP&gt;&gt; _ SERTIFIKAT BIMTEK IPASN BerAKHLASK")</f>
        <v>26 &lt;NAMA LENGKAP&gt;&gt; _ SERTIFIKAT BIMTEK IPASN BerAKHLASK</v>
      </c>
      <c r="P27" s="5" t="s">
        <v>324</v>
      </c>
      <c r="Q27" s="5" t="s">
        <v>325</v>
      </c>
      <c r="R27" s="7" t="s">
        <v>326</v>
      </c>
      <c r="S27" s="7" t="str">
        <f>HYPERLINK("https://drive.google.com/file/d/1jkkn7jx8orQ6yPieFa-IbTQ1hKRBH8ug/view?usp=drivesdk","26_HENDRA WIDIYANA, S.S. SERTIFIKAT BIMTEK IPASN-BerAKHLAK")</f>
        <v>26_HENDRA WIDIYANA, S.S. SERTIFIKAT BIMTEK IPASN-BerAKHLAK</v>
      </c>
      <c r="T27" s="5" t="s">
        <v>279</v>
      </c>
    </row>
    <row r="28">
      <c r="A28" s="4">
        <v>45534.31053209491</v>
      </c>
      <c r="B28" s="5" t="s">
        <v>34</v>
      </c>
      <c r="D28" s="5" t="s">
        <v>35</v>
      </c>
      <c r="E28" s="5" t="s">
        <v>327</v>
      </c>
      <c r="F28" s="5" t="s">
        <v>328</v>
      </c>
      <c r="G28" s="5" t="s">
        <v>329</v>
      </c>
      <c r="H28" s="6" t="s">
        <v>330</v>
      </c>
      <c r="I28" s="7" t="s">
        <v>331</v>
      </c>
      <c r="J28" s="8" t="str">
        <f>HYPERLINK("https://drive.google.com/file/d/1K75CWyQCfOrvFD80CMRGF00oU9c7X-tT/view?usp=drivesdk","AGUS SETIAWAN SERTIFIKAT BerAKHLAK")</f>
        <v>AGUS SETIAWAN SERTIFIKAT BerAKHLAK</v>
      </c>
      <c r="K28" s="5" t="s">
        <v>332</v>
      </c>
      <c r="L28" s="5" t="s">
        <v>333</v>
      </c>
      <c r="M28" s="5" t="s">
        <v>334</v>
      </c>
      <c r="N28" s="7" t="s">
        <v>335</v>
      </c>
      <c r="O28" s="8" t="str">
        <f>HYPERLINK("https://drive.google.com/file/d/1AGXFpsDM-_Ih7aH1OhfYLmUTxPo7D35_/view?usp=drivesdk","27 &lt;NAMA LENGKAP&gt;&gt; _ SERTIFIKAT BIMTEK IPASN BerAKHLASK")</f>
        <v>27 &lt;NAMA LENGKAP&gt;&gt; _ SERTIFIKAT BIMTEK IPASN BerAKHLASK</v>
      </c>
      <c r="P28" s="5" t="s">
        <v>336</v>
      </c>
      <c r="Q28" s="5" t="s">
        <v>337</v>
      </c>
      <c r="R28" s="7" t="s">
        <v>338</v>
      </c>
      <c r="S28" s="7" t="str">
        <f>HYPERLINK("https://drive.google.com/file/d/1co56FKu-TxCqoqfSQ6NHR7PWZPKgFZSx/view?usp=drivesdk","27_AGUS SETIAWAN SERTIFIKAT BIMTEK IPASN-BerAKHLAK")</f>
        <v>27_AGUS SETIAWAN SERTIFIKAT BIMTEK IPASN-BerAKHLAK</v>
      </c>
      <c r="T28" s="5" t="s">
        <v>339</v>
      </c>
    </row>
    <row r="29" hidden="1">
      <c r="A29" s="4">
        <v>45534.31054525463</v>
      </c>
      <c r="B29" s="5" t="s">
        <v>19</v>
      </c>
      <c r="C29" s="5" t="s">
        <v>20</v>
      </c>
      <c r="E29" s="5" t="s">
        <v>340</v>
      </c>
      <c r="F29" s="5" t="s">
        <v>72</v>
      </c>
      <c r="G29" s="5" t="s">
        <v>341</v>
      </c>
      <c r="H29" s="6" t="s">
        <v>342</v>
      </c>
      <c r="I29" s="7" t="s">
        <v>343</v>
      </c>
      <c r="J29" s="8" t="str">
        <f>HYPERLINK("https://drive.google.com/file/d/1uNAQWYxMhOorC3wnDs8TB6oOK4wzZ4zt/view?usp=drivesdk","NUR WIDYA UTAMI, A.Md. SERTIFIKAT BerAKHLAK")</f>
        <v>NUR WIDYA UTAMI, A.Md. SERTIFIKAT BerAKHLAK</v>
      </c>
      <c r="K29" s="5" t="s">
        <v>344</v>
      </c>
      <c r="L29" s="5" t="s">
        <v>345</v>
      </c>
      <c r="M29" s="5" t="s">
        <v>346</v>
      </c>
      <c r="N29" s="7" t="s">
        <v>347</v>
      </c>
      <c r="O29" s="8" t="str">
        <f>HYPERLINK("https://drive.google.com/file/d/1-KerM3u_NFJwR0PDT-Mv9gDGfm9afg0x/view?usp=drivesdk","28 &lt;NAMA LENGKAP&gt;&gt; _ SERTIFIKAT BIMTEK IPASN BerAKHLASK")</f>
        <v>28 &lt;NAMA LENGKAP&gt;&gt; _ SERTIFIKAT BIMTEK IPASN BerAKHLASK</v>
      </c>
      <c r="P29" s="5" t="s">
        <v>348</v>
      </c>
      <c r="Q29" s="5" t="s">
        <v>349</v>
      </c>
      <c r="R29" s="7" t="s">
        <v>350</v>
      </c>
      <c r="S29" s="7" t="str">
        <f>HYPERLINK("https://drive.google.com/file/d/1V07sEllXXO0aO3TcYQg57tTXxqzDoLYp/view?usp=drivesdk","28_NUR WIDYA UTAMI, A.Md. SERTIFIKAT BIMTEK IPASN-BerAKHLAK")</f>
        <v>28_NUR WIDYA UTAMI, A.Md. SERTIFIKAT BIMTEK IPASN-BerAKHLAK</v>
      </c>
      <c r="T29" s="5" t="s">
        <v>339</v>
      </c>
    </row>
    <row r="30">
      <c r="A30" s="4">
        <v>45534.310676064815</v>
      </c>
      <c r="B30" s="5" t="s">
        <v>34</v>
      </c>
      <c r="D30" s="5" t="s">
        <v>267</v>
      </c>
      <c r="E30" s="5" t="s">
        <v>351</v>
      </c>
      <c r="F30" s="5" t="s">
        <v>72</v>
      </c>
      <c r="G30" s="5" t="s">
        <v>352</v>
      </c>
      <c r="H30" s="6" t="s">
        <v>353</v>
      </c>
      <c r="I30" s="7" t="s">
        <v>354</v>
      </c>
      <c r="J30" s="8" t="str">
        <f>HYPERLINK("https://drive.google.com/file/d/1BfgISoE_0xd_33G17QkGrKL3dm-N6MFJ/view?usp=drivesdk","SUFI HANDAYANI SERTIFIKAT BerAKHLAK")</f>
        <v>SUFI HANDAYANI SERTIFIKAT BerAKHLAK</v>
      </c>
      <c r="K30" s="5" t="s">
        <v>355</v>
      </c>
      <c r="L30" s="5" t="s">
        <v>356</v>
      </c>
      <c r="M30" s="5" t="s">
        <v>357</v>
      </c>
      <c r="N30" s="7" t="s">
        <v>358</v>
      </c>
      <c r="O30" s="8" t="str">
        <f>HYPERLINK("https://drive.google.com/file/d/1LrgyvP7_qS_3neqdIuF08etqe1Bx0WLx/view?usp=drivesdk","29 &lt;NAMA LENGKAP&gt;&gt; _ SERTIFIKAT BIMTEK IPASN BerAKHLASK")</f>
        <v>29 &lt;NAMA LENGKAP&gt;&gt; _ SERTIFIKAT BIMTEK IPASN BerAKHLASK</v>
      </c>
      <c r="P30" s="5" t="s">
        <v>359</v>
      </c>
      <c r="Q30" s="5" t="s">
        <v>360</v>
      </c>
      <c r="R30" s="7" t="s">
        <v>361</v>
      </c>
      <c r="S30" s="7" t="str">
        <f>HYPERLINK("https://drive.google.com/file/d/1sbTnvhUraMcbp55fIVxdOtXPK2t319gT/view?usp=drivesdk","29_SUFI HANDAYANI SERTIFIKAT BIMTEK IPASN-BerAKHLAK")</f>
        <v>29_SUFI HANDAYANI SERTIFIKAT BIMTEK IPASN-BerAKHLAK</v>
      </c>
      <c r="T30" s="5" t="s">
        <v>339</v>
      </c>
    </row>
    <row r="31">
      <c r="A31" s="4">
        <v>45534.31084443287</v>
      </c>
      <c r="B31" s="5" t="s">
        <v>34</v>
      </c>
      <c r="D31" s="5" t="s">
        <v>362</v>
      </c>
      <c r="E31" s="5" t="s">
        <v>363</v>
      </c>
      <c r="F31" s="5" t="s">
        <v>108</v>
      </c>
      <c r="G31" s="5" t="s">
        <v>364</v>
      </c>
      <c r="H31" s="6" t="s">
        <v>365</v>
      </c>
      <c r="I31" s="7" t="s">
        <v>366</v>
      </c>
      <c r="J31" s="8" t="str">
        <f>HYPERLINK("https://drive.google.com/file/d/1Lne-ot-WaAyz2ucWnrxTf0O0GkNhd5fd/view?usp=drivesdk","WILHELMUS MANGOPANG, SE SERTIFIKAT BerAKHLAK")</f>
        <v>WILHELMUS MANGOPANG, SE SERTIFIKAT BerAKHLAK</v>
      </c>
      <c r="K31" s="5" t="s">
        <v>367</v>
      </c>
      <c r="L31" s="5" t="s">
        <v>368</v>
      </c>
      <c r="M31" s="5" t="s">
        <v>369</v>
      </c>
      <c r="N31" s="7" t="s">
        <v>370</v>
      </c>
      <c r="O31" s="8" t="str">
        <f>HYPERLINK("https://drive.google.com/file/d/1J4-ZbqbvKUEHdLOzaH4CbNShMfvXWTN7/view?usp=drivesdk","30 &lt;NAMA LENGKAP&gt;&gt; _ SERTIFIKAT BIMTEK IPASN BerAKHLASK")</f>
        <v>30 &lt;NAMA LENGKAP&gt;&gt; _ SERTIFIKAT BIMTEK IPASN BerAKHLASK</v>
      </c>
      <c r="P31" s="5" t="s">
        <v>371</v>
      </c>
      <c r="Q31" s="5" t="s">
        <v>372</v>
      </c>
      <c r="R31" s="7" t="s">
        <v>373</v>
      </c>
      <c r="S31" s="7" t="str">
        <f>HYPERLINK("https://drive.google.com/file/d/1pI0qEaWbC6cHkbmzr3VfX15_sziIDgSf/view?usp=drivesdk","30_WILHELMUS MANGOPANG, SE SERTIFIKAT BIMTEK IPASN-BerAKHLAK")</f>
        <v>30_WILHELMUS MANGOPANG, SE SERTIFIKAT BIMTEK IPASN-BerAKHLAK</v>
      </c>
      <c r="T31" s="5" t="s">
        <v>339</v>
      </c>
    </row>
    <row r="32">
      <c r="A32" s="4">
        <v>45534.310952395834</v>
      </c>
      <c r="B32" s="5" t="s">
        <v>34</v>
      </c>
      <c r="D32" s="5" t="s">
        <v>267</v>
      </c>
      <c r="E32" s="5" t="s">
        <v>374</v>
      </c>
      <c r="F32" s="5" t="s">
        <v>375</v>
      </c>
      <c r="G32" s="5" t="s">
        <v>376</v>
      </c>
      <c r="H32" s="6" t="s">
        <v>377</v>
      </c>
      <c r="I32" s="7" t="s">
        <v>378</v>
      </c>
      <c r="J32" s="8" t="str">
        <f>HYPERLINK("https://drive.google.com/file/d/1GYoIWWqqSuwQUa68zmEaXqNknmLc8CWp/view?usp=drivesdk","BUDI MUSLIM RAHMAWAN, S.Si., M.M. SERTIFIKAT BerAKHLAK")</f>
        <v>BUDI MUSLIM RAHMAWAN, S.Si., M.M. SERTIFIKAT BerAKHLAK</v>
      </c>
      <c r="K32" s="5" t="s">
        <v>379</v>
      </c>
      <c r="L32" s="5" t="s">
        <v>380</v>
      </c>
      <c r="M32" s="5" t="s">
        <v>381</v>
      </c>
      <c r="N32" s="7" t="s">
        <v>382</v>
      </c>
      <c r="O32" s="8" t="str">
        <f>HYPERLINK("https://drive.google.com/file/d/1Ru53sB3BS1c1nreyZFzvejdqUMb5q8yw/view?usp=drivesdk","31 &lt;NAMA LENGKAP&gt;&gt; _ SERTIFIKAT BIMTEK IPASN BerAKHLASK")</f>
        <v>31 &lt;NAMA LENGKAP&gt;&gt; _ SERTIFIKAT BIMTEK IPASN BerAKHLASK</v>
      </c>
      <c r="P32" s="5" t="s">
        <v>383</v>
      </c>
      <c r="Q32" s="5" t="s">
        <v>384</v>
      </c>
      <c r="R32" s="7" t="s">
        <v>385</v>
      </c>
      <c r="S32" s="7" t="str">
        <f>HYPERLINK("https://drive.google.com/file/d/1fInGMuum2Zy-IO68g_ub0ryMoaD1D_KG/view?usp=drivesdk","31_BUDI MUSLIM RAHMAWAN, S.Si., M.M. SERTIFIKAT BIMTEK IPASN-BerAKHLAK")</f>
        <v>31_BUDI MUSLIM RAHMAWAN, S.Si., M.M. SERTIFIKAT BIMTEK IPASN-BerAKHLAK</v>
      </c>
      <c r="T32" s="5" t="s">
        <v>339</v>
      </c>
    </row>
    <row r="33">
      <c r="A33" s="4">
        <v>45534.31123255787</v>
      </c>
      <c r="B33" s="5" t="s">
        <v>34</v>
      </c>
      <c r="D33" s="5" t="s">
        <v>35</v>
      </c>
      <c r="E33" s="5" t="s">
        <v>386</v>
      </c>
      <c r="F33" s="5" t="s">
        <v>37</v>
      </c>
      <c r="G33" s="5" t="s">
        <v>387</v>
      </c>
      <c r="H33" s="6" t="s">
        <v>388</v>
      </c>
      <c r="I33" s="7" t="s">
        <v>389</v>
      </c>
      <c r="J33" s="8" t="str">
        <f>HYPERLINK("https://drive.google.com/file/d/1Qxba4TOdo75ICqz0IgihVGwhNOfmSwrp/view?usp=drivesdk","LELIN YULIANA, S.E. SERTIFIKAT BerAKHLAK")</f>
        <v>LELIN YULIANA, S.E. SERTIFIKAT BerAKHLAK</v>
      </c>
      <c r="K33" s="5" t="s">
        <v>390</v>
      </c>
      <c r="L33" s="5" t="s">
        <v>391</v>
      </c>
      <c r="M33" s="5" t="s">
        <v>392</v>
      </c>
      <c r="N33" s="7" t="s">
        <v>393</v>
      </c>
      <c r="O33" s="8" t="str">
        <f>HYPERLINK("https://drive.google.com/file/d/1RI2FgvuKzUiKE7kfH_2BErdW3DReFc75/view?usp=drivesdk","32 &lt;NAMA LENGKAP&gt;&gt; _ SERTIFIKAT BIMTEK IPASN BerAKHLASK")</f>
        <v>32 &lt;NAMA LENGKAP&gt;&gt; _ SERTIFIKAT BIMTEK IPASN BerAKHLASK</v>
      </c>
      <c r="P33" s="5" t="s">
        <v>394</v>
      </c>
      <c r="Q33" s="5" t="s">
        <v>395</v>
      </c>
      <c r="R33" s="7" t="s">
        <v>396</v>
      </c>
      <c r="S33" s="7" t="str">
        <f>HYPERLINK("https://drive.google.com/file/d/1Fc8z-rf9ItSATVTWviBiqXaavcg5buIR/view?usp=drivesdk","32_LELIN YULIANA, S.E. SERTIFIKAT BIMTEK IPASN-BerAKHLAK")</f>
        <v>32_LELIN YULIANA, S.E. SERTIFIKAT BIMTEK IPASN-BerAKHLAK</v>
      </c>
      <c r="T33" s="5" t="s">
        <v>397</v>
      </c>
    </row>
    <row r="34">
      <c r="A34" s="4">
        <v>45534.31128123842</v>
      </c>
      <c r="B34" s="5" t="s">
        <v>34</v>
      </c>
      <c r="D34" s="5" t="s">
        <v>35</v>
      </c>
      <c r="E34" s="5" t="s">
        <v>398</v>
      </c>
      <c r="F34" s="5" t="s">
        <v>37</v>
      </c>
      <c r="G34" s="5" t="s">
        <v>399</v>
      </c>
      <c r="H34" s="6" t="s">
        <v>400</v>
      </c>
      <c r="I34" s="7" t="s">
        <v>401</v>
      </c>
      <c r="J34" s="8" t="str">
        <f>HYPERLINK("https://drive.google.com/file/d/1uo8yP_HigRD8KrqidPKDZDW4MLOZ0E10/view?usp=drivesdk","WINDY PUZA ARTIE SYARIP, Amd.Kep SERTIFIKAT BerAKHLAK")</f>
        <v>WINDY PUZA ARTIE SYARIP, Amd.Kep SERTIFIKAT BerAKHLAK</v>
      </c>
      <c r="K34" s="5" t="s">
        <v>402</v>
      </c>
      <c r="L34" s="5" t="s">
        <v>403</v>
      </c>
      <c r="M34" s="5" t="s">
        <v>404</v>
      </c>
      <c r="N34" s="7" t="s">
        <v>405</v>
      </c>
      <c r="O34" s="8" t="str">
        <f>HYPERLINK("https://drive.google.com/file/d/1UQZRq3uEkaN2YkETrrqdPjOg5oo8OTLK/view?usp=drivesdk","33 &lt;NAMA LENGKAP&gt;&gt; _ SERTIFIKAT BIMTEK IPASN BerAKHLASK")</f>
        <v>33 &lt;NAMA LENGKAP&gt;&gt; _ SERTIFIKAT BIMTEK IPASN BerAKHLASK</v>
      </c>
      <c r="P34" s="5" t="s">
        <v>406</v>
      </c>
      <c r="Q34" s="5" t="s">
        <v>407</v>
      </c>
      <c r="R34" s="7" t="s">
        <v>408</v>
      </c>
      <c r="S34" s="7" t="str">
        <f>HYPERLINK("https://drive.google.com/file/d/107S-8tVO5LTMxiGNs7iF39oAYsEglGCY/view?usp=drivesdk","33_WINDY PUZA ARTIE SYARIP, Amd.Kep SERTIFIKAT BIMTEK IPASN-BerAKHLAK")</f>
        <v>33_WINDY PUZA ARTIE SYARIP, Amd.Kep SERTIFIKAT BIMTEK IPASN-BerAKHLAK</v>
      </c>
      <c r="T34" s="5" t="s">
        <v>397</v>
      </c>
    </row>
    <row r="35">
      <c r="A35" s="4">
        <v>45534.31132853009</v>
      </c>
      <c r="B35" s="5" t="s">
        <v>34</v>
      </c>
      <c r="D35" s="5" t="s">
        <v>35</v>
      </c>
      <c r="E35" s="5" t="s">
        <v>409</v>
      </c>
      <c r="F35" s="5" t="s">
        <v>212</v>
      </c>
      <c r="G35" s="5" t="s">
        <v>410</v>
      </c>
      <c r="H35" s="6" t="s">
        <v>411</v>
      </c>
      <c r="I35" s="7" t="s">
        <v>412</v>
      </c>
      <c r="J35" s="8" t="str">
        <f>HYPERLINK("https://drive.google.com/file/d/1_CHoTw0_qPmT_XVHr5gFav1hq9o0f6J4/view?usp=drivesdk","UUN KURNAESIH SERTIFIKAT BerAKHLAK")</f>
        <v>UUN KURNAESIH SERTIFIKAT BerAKHLAK</v>
      </c>
      <c r="K35" s="5" t="s">
        <v>413</v>
      </c>
      <c r="L35" s="5" t="s">
        <v>414</v>
      </c>
      <c r="M35" s="5" t="s">
        <v>415</v>
      </c>
      <c r="N35" s="7" t="s">
        <v>416</v>
      </c>
      <c r="O35" s="8" t="str">
        <f>HYPERLINK("https://drive.google.com/file/d/1uY5BrGkcOKUmF8UsvWhiLSJ3iCC8O_e1/view?usp=drivesdk","34 &lt;NAMA LENGKAP&gt;&gt; _ SERTIFIKAT BIMTEK IPASN BerAKHLASK")</f>
        <v>34 &lt;NAMA LENGKAP&gt;&gt; _ SERTIFIKAT BIMTEK IPASN BerAKHLASK</v>
      </c>
      <c r="P35" s="5" t="s">
        <v>417</v>
      </c>
      <c r="Q35" s="5" t="s">
        <v>418</v>
      </c>
      <c r="R35" s="7" t="s">
        <v>419</v>
      </c>
      <c r="S35" s="7" t="str">
        <f>HYPERLINK("https://drive.google.com/file/d/1WfU10XUOSnIxB-S2lldsXTJVl0WMIJO8/view?usp=drivesdk","34_UUN KURNAESIH SERTIFIKAT BIMTEK IPASN-BerAKHLAK")</f>
        <v>34_UUN KURNAESIH SERTIFIKAT BIMTEK IPASN-BerAKHLAK</v>
      </c>
      <c r="T35" s="5" t="s">
        <v>397</v>
      </c>
    </row>
    <row r="36">
      <c r="A36" s="4">
        <v>45534.3113391088</v>
      </c>
      <c r="B36" s="5" t="s">
        <v>34</v>
      </c>
      <c r="D36" s="5" t="s">
        <v>267</v>
      </c>
      <c r="E36" s="5" t="s">
        <v>420</v>
      </c>
      <c r="F36" s="5" t="s">
        <v>72</v>
      </c>
      <c r="G36" s="5" t="s">
        <v>421</v>
      </c>
      <c r="H36" s="6" t="s">
        <v>422</v>
      </c>
      <c r="I36" s="7" t="s">
        <v>423</v>
      </c>
      <c r="J36" s="8" t="str">
        <f>HYPERLINK("https://drive.google.com/file/d/1Po9MxcBB0lvn-FGdQy7g_yErGe9y9lPK/view?usp=drivesdk","PRINITA SWASTARINI, AMD SERTIFIKAT BerAKHLAK")</f>
        <v>PRINITA SWASTARINI, AMD SERTIFIKAT BerAKHLAK</v>
      </c>
      <c r="K36" s="5" t="s">
        <v>424</v>
      </c>
      <c r="L36" s="5" t="s">
        <v>425</v>
      </c>
      <c r="M36" s="5" t="s">
        <v>426</v>
      </c>
      <c r="N36" s="7" t="s">
        <v>427</v>
      </c>
      <c r="O36" s="8" t="str">
        <f>HYPERLINK("https://drive.google.com/file/d/17Cm8_PzKgZ_k2qKUvQU9b-B3hzXpHkdM/view?usp=drivesdk","35 &lt;NAMA LENGKAP&gt;&gt; _ SERTIFIKAT BIMTEK IPASN BerAKHLASK")</f>
        <v>35 &lt;NAMA LENGKAP&gt;&gt; _ SERTIFIKAT BIMTEK IPASN BerAKHLASK</v>
      </c>
      <c r="P36" s="5" t="s">
        <v>428</v>
      </c>
      <c r="Q36" s="5" t="s">
        <v>429</v>
      </c>
      <c r="R36" s="7" t="s">
        <v>430</v>
      </c>
      <c r="S36" s="7" t="str">
        <f>HYPERLINK("https://drive.google.com/file/d/1rGs5knj2hbSR-F0u1gApBgvkk_qjDXsO/view?usp=drivesdk","35_PRINITA SWASTARINI, AMD SERTIFIKAT BIMTEK IPASN-BerAKHLAK")</f>
        <v>35_PRINITA SWASTARINI, AMD SERTIFIKAT BIMTEK IPASN-BerAKHLAK</v>
      </c>
      <c r="T36" s="5" t="s">
        <v>397</v>
      </c>
    </row>
    <row r="37">
      <c r="A37" s="4">
        <v>45534.31151804398</v>
      </c>
      <c r="B37" s="5" t="s">
        <v>34</v>
      </c>
      <c r="D37" s="5" t="s">
        <v>267</v>
      </c>
      <c r="E37" s="5" t="s">
        <v>431</v>
      </c>
      <c r="F37" s="5" t="s">
        <v>72</v>
      </c>
      <c r="G37" s="5" t="s">
        <v>432</v>
      </c>
      <c r="H37" s="6" t="s">
        <v>433</v>
      </c>
      <c r="I37" s="7" t="s">
        <v>434</v>
      </c>
      <c r="J37" s="8" t="str">
        <f>HYPERLINK("https://drive.google.com/file/d/16QNMwfVVTs4UnQrtfsgi_VUG6csKD4a0/view?usp=drivesdk","SRI PURWANINGSIH, AMD SERTIFIKAT BerAKHLAK")</f>
        <v>SRI PURWANINGSIH, AMD SERTIFIKAT BerAKHLAK</v>
      </c>
      <c r="K37" s="5" t="s">
        <v>435</v>
      </c>
      <c r="L37" s="5" t="s">
        <v>436</v>
      </c>
      <c r="M37" s="5" t="s">
        <v>437</v>
      </c>
      <c r="N37" s="7" t="s">
        <v>438</v>
      </c>
      <c r="O37" s="8" t="str">
        <f>HYPERLINK("https://drive.google.com/file/d/1AkKgfQ22W_z3atii867kVUSyOS_pHiRp/view?usp=drivesdk","36 &lt;NAMA LENGKAP&gt;&gt; _ SERTIFIKAT BIMTEK IPASN BerAKHLASK")</f>
        <v>36 &lt;NAMA LENGKAP&gt;&gt; _ SERTIFIKAT BIMTEK IPASN BerAKHLASK</v>
      </c>
      <c r="P37" s="5" t="s">
        <v>439</v>
      </c>
      <c r="Q37" s="5" t="s">
        <v>440</v>
      </c>
      <c r="R37" s="7" t="s">
        <v>441</v>
      </c>
      <c r="S37" s="7" t="str">
        <f>HYPERLINK("https://drive.google.com/file/d/1rsUdPrAFoFwv-MqHN-tkJeAYKqAZuoJ9/view?usp=drivesdk","36_SRI PURWANINGSIH, AMD SERTIFIKAT BIMTEK IPASN-BerAKHLAK")</f>
        <v>36_SRI PURWANINGSIH, AMD SERTIFIKAT BIMTEK IPASN-BerAKHLAK</v>
      </c>
      <c r="T37" s="5" t="s">
        <v>397</v>
      </c>
    </row>
    <row r="38" hidden="1">
      <c r="A38" s="4">
        <v>45534.31154420139</v>
      </c>
      <c r="B38" s="5" t="s">
        <v>19</v>
      </c>
      <c r="C38" s="5" t="s">
        <v>442</v>
      </c>
      <c r="E38" s="5" t="s">
        <v>443</v>
      </c>
      <c r="F38" s="5" t="s">
        <v>212</v>
      </c>
      <c r="G38" s="5" t="s">
        <v>444</v>
      </c>
      <c r="H38" s="6" t="s">
        <v>445</v>
      </c>
      <c r="I38" s="7" t="s">
        <v>446</v>
      </c>
      <c r="J38" s="8" t="str">
        <f>HYPERLINK("https://drive.google.com/file/d/1yB_mMzXekebowwZx_NHbClELVQnyv7rW/view?usp=drivesdk","IIS SUDARYANTI  SERTIFIKAT BerAKHLAK")</f>
        <v>IIS SUDARYANTI  SERTIFIKAT BerAKHLAK</v>
      </c>
      <c r="K38" s="5" t="s">
        <v>447</v>
      </c>
      <c r="L38" s="5" t="s">
        <v>448</v>
      </c>
      <c r="M38" s="5" t="s">
        <v>449</v>
      </c>
      <c r="N38" s="7" t="s">
        <v>450</v>
      </c>
      <c r="O38" s="8" t="str">
        <f>HYPERLINK("https://drive.google.com/file/d/1GVB9QABrrMtQSrEvOdBJTMUviM2A3PpG/view?usp=drivesdk","37 &lt;NAMA LENGKAP&gt;&gt; _ SERTIFIKAT BIMTEK IPASN BerAKHLASK")</f>
        <v>37 &lt;NAMA LENGKAP&gt;&gt; _ SERTIFIKAT BIMTEK IPASN BerAKHLASK</v>
      </c>
      <c r="P38" s="5" t="s">
        <v>451</v>
      </c>
      <c r="Q38" s="5" t="s">
        <v>452</v>
      </c>
      <c r="R38" s="7" t="s">
        <v>453</v>
      </c>
      <c r="S38" s="7" t="str">
        <f>HYPERLINK("https://drive.google.com/file/d/1GL-5KG3nh6OdexBlY0LwuDgH-c02aZzD/view?usp=drivesdk","37_IIS SUDARYANTI  SERTIFIKAT BIMTEK IPASN-BerAKHLAK")</f>
        <v>37_IIS SUDARYANTI  SERTIFIKAT BIMTEK IPASN-BerAKHLAK</v>
      </c>
      <c r="T38" s="5" t="s">
        <v>397</v>
      </c>
    </row>
    <row r="39">
      <c r="A39" s="4">
        <v>45534.311569375</v>
      </c>
      <c r="B39" s="5" t="s">
        <v>34</v>
      </c>
      <c r="D39" s="5" t="s">
        <v>267</v>
      </c>
      <c r="E39" s="5" t="s">
        <v>454</v>
      </c>
      <c r="F39" s="5" t="s">
        <v>120</v>
      </c>
      <c r="G39" s="5" t="s">
        <v>455</v>
      </c>
      <c r="H39" s="6" t="s">
        <v>456</v>
      </c>
      <c r="I39" s="7" t="s">
        <v>457</v>
      </c>
      <c r="J39" s="8" t="str">
        <f>HYPERLINK("https://drive.google.com/file/d/1tOCTLZNoHPb_JNRzLOM3W10YcYsZUqWN/view?usp=drivesdk","HERU NURCAHYA,SH,MH SERTIFIKAT BerAKHLAK")</f>
        <v>HERU NURCAHYA,SH,MH SERTIFIKAT BerAKHLAK</v>
      </c>
      <c r="K39" s="5" t="s">
        <v>458</v>
      </c>
      <c r="L39" s="5" t="s">
        <v>459</v>
      </c>
      <c r="M39" s="5" t="s">
        <v>460</v>
      </c>
      <c r="N39" s="7" t="s">
        <v>461</v>
      </c>
      <c r="O39" s="8" t="str">
        <f>HYPERLINK("https://drive.google.com/file/d/10WdTRsWCLugTetPT1dxu-smYhwRzkeAP/view?usp=drivesdk","38 &lt;NAMA LENGKAP&gt;&gt; _ SERTIFIKAT BIMTEK IPASN BerAKHLASK")</f>
        <v>38 &lt;NAMA LENGKAP&gt;&gt; _ SERTIFIKAT BIMTEK IPASN BerAKHLASK</v>
      </c>
      <c r="P39" s="5" t="s">
        <v>462</v>
      </c>
      <c r="Q39" s="5" t="s">
        <v>463</v>
      </c>
      <c r="R39" s="7" t="s">
        <v>464</v>
      </c>
      <c r="S39" s="7" t="str">
        <f>HYPERLINK("https://drive.google.com/file/d/1Qs6QanfYyBh_67sc9S1nPT3_Mq7kH9fG/view?usp=drivesdk","38_HERU NURCAHYA,SH,MH SERTIFIKAT BIMTEK IPASN-BerAKHLAK")</f>
        <v>38_HERU NURCAHYA,SH,MH SERTIFIKAT BIMTEK IPASN-BerAKHLAK</v>
      </c>
      <c r="T39" s="5" t="s">
        <v>465</v>
      </c>
    </row>
    <row r="40" hidden="1">
      <c r="A40" s="4">
        <v>45534.31163303241</v>
      </c>
      <c r="B40" s="5" t="s">
        <v>19</v>
      </c>
      <c r="C40" s="5" t="s">
        <v>466</v>
      </c>
      <c r="E40" s="5" t="s">
        <v>467</v>
      </c>
      <c r="F40" s="5" t="s">
        <v>375</v>
      </c>
      <c r="G40" s="5" t="s">
        <v>468</v>
      </c>
      <c r="H40" s="6" t="s">
        <v>469</v>
      </c>
      <c r="I40" s="7" t="s">
        <v>470</v>
      </c>
      <c r="J40" s="8" t="str">
        <f>HYPERLINK("https://drive.google.com/file/d/1e1t8AuLQqIOJjojh4Dv7VtIcgCrLcEuL/view?usp=drivesdk","ETIN ROHAETIn SERTIFIKAT BerAKHLAK")</f>
        <v>ETIN ROHAETIn SERTIFIKAT BerAKHLAK</v>
      </c>
      <c r="K40" s="5" t="s">
        <v>471</v>
      </c>
      <c r="L40" s="5" t="s">
        <v>472</v>
      </c>
      <c r="M40" s="5" t="s">
        <v>473</v>
      </c>
      <c r="N40" s="7" t="s">
        <v>474</v>
      </c>
      <c r="O40" s="8" t="str">
        <f>HYPERLINK("https://drive.google.com/file/d/1q2IykwJE4OFbC7kUxIN72eu3YwtXZmw_/view?usp=drivesdk","39 &lt;NAMA LENGKAP&gt;&gt; _ SERTIFIKAT BIMTEK IPASN BerAKHLASK")</f>
        <v>39 &lt;NAMA LENGKAP&gt;&gt; _ SERTIFIKAT BIMTEK IPASN BerAKHLASK</v>
      </c>
      <c r="P40" s="5" t="s">
        <v>475</v>
      </c>
      <c r="Q40" s="5" t="s">
        <v>476</v>
      </c>
      <c r="R40" s="7" t="s">
        <v>477</v>
      </c>
      <c r="S40" s="7" t="str">
        <f>HYPERLINK("https://drive.google.com/file/d/1jW6Dm_xsx4jPprgYvBiQLPeUUCETqPHk/view?usp=drivesdk","39_ETIN ROHAETIn SERTIFIKAT BIMTEK IPASN-BerAKHLAK")</f>
        <v>39_ETIN ROHAETIn SERTIFIKAT BIMTEK IPASN-BerAKHLAK</v>
      </c>
      <c r="T40" s="5" t="s">
        <v>465</v>
      </c>
    </row>
    <row r="41" hidden="1">
      <c r="A41" s="4">
        <v>45534.31183957176</v>
      </c>
      <c r="B41" s="5" t="s">
        <v>19</v>
      </c>
      <c r="C41" s="5" t="s">
        <v>442</v>
      </c>
      <c r="E41" s="5" t="s">
        <v>478</v>
      </c>
      <c r="F41" s="5" t="s">
        <v>375</v>
      </c>
      <c r="G41" s="5" t="s">
        <v>479</v>
      </c>
      <c r="H41" s="6" t="s">
        <v>480</v>
      </c>
      <c r="I41" s="7" t="s">
        <v>481</v>
      </c>
      <c r="J41" s="8" t="str">
        <f>HYPERLINK("https://drive.google.com/file/d/1j9VxM0s2BWC2hLW39_NFiUK2LD3fsVdZ/view?usp=drivesdk","DWI YULIANTI, S.E., M.M. SERTIFIKAT BerAKHLAK")</f>
        <v>DWI YULIANTI, S.E., M.M. SERTIFIKAT BerAKHLAK</v>
      </c>
      <c r="K41" s="5" t="s">
        <v>482</v>
      </c>
      <c r="L41" s="5" t="s">
        <v>483</v>
      </c>
      <c r="M41" s="5" t="s">
        <v>484</v>
      </c>
      <c r="N41" s="7" t="s">
        <v>485</v>
      </c>
      <c r="O41" s="8" t="str">
        <f>HYPERLINK("https://drive.google.com/file/d/1V4ug63wN4hcajf5MXJAOvFvoD0xjIxzK/view?usp=drivesdk","40 &lt;NAMA LENGKAP&gt;&gt; _ SERTIFIKAT BIMTEK IPASN BerAKHLASK")</f>
        <v>40 &lt;NAMA LENGKAP&gt;&gt; _ SERTIFIKAT BIMTEK IPASN BerAKHLASK</v>
      </c>
      <c r="P41" s="5" t="s">
        <v>486</v>
      </c>
      <c r="Q41" s="5" t="s">
        <v>487</v>
      </c>
      <c r="R41" s="7" t="s">
        <v>488</v>
      </c>
      <c r="S41" s="7" t="str">
        <f>HYPERLINK("https://drive.google.com/file/d/17C7igu8kj2DLql_TkwVSQaqWSsTegQWE/view?usp=drivesdk","40_DWI YULIANTI, S.E., M.M. SERTIFIKAT BIMTEK IPASN-BerAKHLAK")</f>
        <v>40_DWI YULIANTI, S.E., M.M. SERTIFIKAT BIMTEK IPASN-BerAKHLAK</v>
      </c>
      <c r="T41" s="5" t="s">
        <v>465</v>
      </c>
    </row>
    <row r="42">
      <c r="A42" s="4">
        <v>45534.311844236116</v>
      </c>
      <c r="B42" s="5" t="s">
        <v>34</v>
      </c>
      <c r="D42" s="5" t="s">
        <v>267</v>
      </c>
      <c r="E42" s="5" t="s">
        <v>489</v>
      </c>
      <c r="F42" s="5" t="s">
        <v>120</v>
      </c>
      <c r="G42" s="5" t="s">
        <v>490</v>
      </c>
      <c r="H42" s="6" t="s">
        <v>491</v>
      </c>
      <c r="I42" s="7" t="s">
        <v>492</v>
      </c>
      <c r="J42" s="8" t="str">
        <f>HYPERLINK("https://drive.google.com/file/d/19ntV0gDK575WeWcl252A8nuVi3BQtWZ4/view?usp=drivesdk","RETNO WARDANI, S.T. SERTIFIKAT BerAKHLAK")</f>
        <v>RETNO WARDANI, S.T. SERTIFIKAT BerAKHLAK</v>
      </c>
      <c r="K42" s="5" t="s">
        <v>493</v>
      </c>
      <c r="L42" s="5" t="s">
        <v>494</v>
      </c>
      <c r="M42" s="5" t="s">
        <v>495</v>
      </c>
      <c r="N42" s="7" t="s">
        <v>496</v>
      </c>
      <c r="O42" s="8" t="str">
        <f>HYPERLINK("https://drive.google.com/file/d/1rAm_b6niPc8_S4otREtbyU_yiQMWr71t/view?usp=drivesdk","41 &lt;NAMA LENGKAP&gt;&gt; _ SERTIFIKAT BIMTEK IPASN BerAKHLASK")</f>
        <v>41 &lt;NAMA LENGKAP&gt;&gt; _ SERTIFIKAT BIMTEK IPASN BerAKHLASK</v>
      </c>
      <c r="P42" s="5" t="s">
        <v>497</v>
      </c>
      <c r="Q42" s="5" t="s">
        <v>498</v>
      </c>
      <c r="R42" s="7" t="s">
        <v>499</v>
      </c>
      <c r="S42" s="7" t="str">
        <f>HYPERLINK("https://drive.google.com/file/d/15H479_Aw1e--M-MXLR7c-3FXUYvFnRrP/view?usp=drivesdk","41_RETNO WARDANI, S.T. SERTIFIKAT BIMTEK IPASN-BerAKHLAK")</f>
        <v>41_RETNO WARDANI, S.T. SERTIFIKAT BIMTEK IPASN-BerAKHLAK</v>
      </c>
      <c r="T42" s="5" t="s">
        <v>465</v>
      </c>
    </row>
    <row r="43">
      <c r="A43" s="4">
        <v>45534.31202140046</v>
      </c>
      <c r="B43" s="5" t="s">
        <v>34</v>
      </c>
      <c r="D43" s="5" t="s">
        <v>267</v>
      </c>
      <c r="E43" s="5" t="s">
        <v>500</v>
      </c>
      <c r="F43" s="5" t="s">
        <v>108</v>
      </c>
      <c r="G43" s="5" t="s">
        <v>501</v>
      </c>
      <c r="H43" s="6" t="s">
        <v>502</v>
      </c>
      <c r="I43" s="7" t="s">
        <v>503</v>
      </c>
      <c r="J43" s="8" t="str">
        <f>HYPERLINK("https://drive.google.com/file/d/1R3x_ZxkKjbd6k3bifnIc7U8b2Rwm3Pmo/view?usp=drivesdk","E. DIAN TRI PUSPITASARI, SST SERTIFIKAT BerAKHLAK")</f>
        <v>E. DIAN TRI PUSPITASARI, SST SERTIFIKAT BerAKHLAK</v>
      </c>
      <c r="K43" s="5" t="s">
        <v>504</v>
      </c>
      <c r="L43" s="5" t="s">
        <v>505</v>
      </c>
      <c r="M43" s="5" t="s">
        <v>506</v>
      </c>
      <c r="N43" s="7" t="s">
        <v>507</v>
      </c>
      <c r="O43" s="8" t="str">
        <f>HYPERLINK("https://drive.google.com/file/d/1q-MRhEH5XRp68SeKo1cig9zsP7A1TNuO/view?usp=drivesdk","42 &lt;NAMA LENGKAP&gt;&gt; _ SERTIFIKAT BIMTEK IPASN BerAKHLASK")</f>
        <v>42 &lt;NAMA LENGKAP&gt;&gt; _ SERTIFIKAT BIMTEK IPASN BerAKHLASK</v>
      </c>
      <c r="P43" s="5" t="s">
        <v>508</v>
      </c>
      <c r="Q43" s="5" t="s">
        <v>509</v>
      </c>
      <c r="R43" s="7" t="s">
        <v>510</v>
      </c>
      <c r="S43" s="7" t="str">
        <f>HYPERLINK("https://drive.google.com/file/d/170GvrMpGPWDQBSb_gnzrBNNHghnfRvWZ/view?usp=drivesdk","42_E. DIAN TRI PUSPITASARI, SST SERTIFIKAT BIMTEK IPASN-BerAKHLAK")</f>
        <v>42_E. DIAN TRI PUSPITASARI, SST SERTIFIKAT BIMTEK IPASN-BerAKHLAK</v>
      </c>
      <c r="T43" s="5" t="s">
        <v>465</v>
      </c>
    </row>
    <row r="44" hidden="1">
      <c r="A44" s="4">
        <v>45534.31203069445</v>
      </c>
      <c r="B44" s="5" t="s">
        <v>19</v>
      </c>
      <c r="C44" s="5" t="s">
        <v>20</v>
      </c>
      <c r="E44" s="5" t="s">
        <v>511</v>
      </c>
      <c r="F44" s="5" t="s">
        <v>108</v>
      </c>
      <c r="G44" s="5" t="s">
        <v>512</v>
      </c>
      <c r="H44" s="6" t="s">
        <v>513</v>
      </c>
      <c r="I44" s="7" t="s">
        <v>514</v>
      </c>
      <c r="J44" s="8" t="str">
        <f>HYPERLINK("https://drive.google.com/file/d/1Mk3jjmSHa-ATOe0BWhgxh8lmNzGELchL/view?usp=drivesdk","HENI EVI TRIANINGSIH  SERTIFIKAT BerAKHLAK")</f>
        <v>HENI EVI TRIANINGSIH  SERTIFIKAT BerAKHLAK</v>
      </c>
      <c r="K44" s="5" t="s">
        <v>515</v>
      </c>
      <c r="L44" s="5" t="s">
        <v>516</v>
      </c>
      <c r="M44" s="5" t="s">
        <v>517</v>
      </c>
      <c r="N44" s="7" t="s">
        <v>518</v>
      </c>
      <c r="O44" s="8" t="str">
        <f>HYPERLINK("https://drive.google.com/file/d/163LVY241xoc6-PYriqcJlkNNvORw4-Oa/view?usp=drivesdk","43 &lt;NAMA LENGKAP&gt;&gt; _ SERTIFIKAT BIMTEK IPASN BerAKHLASK")</f>
        <v>43 &lt;NAMA LENGKAP&gt;&gt; _ SERTIFIKAT BIMTEK IPASN BerAKHLASK</v>
      </c>
      <c r="P44" s="5" t="s">
        <v>519</v>
      </c>
      <c r="Q44" s="5" t="s">
        <v>520</v>
      </c>
      <c r="R44" s="7" t="s">
        <v>521</v>
      </c>
      <c r="S44" s="7" t="str">
        <f>HYPERLINK("https://drive.google.com/file/d/1RiZSXEt5PvFY5BRfxvg-6kSoPO2Nvv6U/view?usp=drivesdk","43_HENI EVI TRIANINGSIH  SERTIFIKAT BIMTEK IPASN-BerAKHLAK")</f>
        <v>43_HENI EVI TRIANINGSIH  SERTIFIKAT BIMTEK IPASN-BerAKHLAK</v>
      </c>
      <c r="T44" s="5" t="s">
        <v>465</v>
      </c>
    </row>
    <row r="45">
      <c r="A45" s="4">
        <v>45534.31203111111</v>
      </c>
      <c r="B45" s="5" t="s">
        <v>34</v>
      </c>
      <c r="D45" s="5" t="s">
        <v>522</v>
      </c>
      <c r="E45" s="5" t="s">
        <v>523</v>
      </c>
      <c r="F45" s="5" t="s">
        <v>524</v>
      </c>
      <c r="G45" s="5" t="s">
        <v>525</v>
      </c>
      <c r="H45" s="6" t="s">
        <v>526</v>
      </c>
      <c r="I45" s="7" t="s">
        <v>527</v>
      </c>
      <c r="J45" s="8" t="str">
        <f>HYPERLINK("https://drive.google.com/file/d/1X4hQ35hJyz3zIuAV9VK7AYXog_5VqecP/view?usp=drivesdk","IDA AYU MADE YUNIASIH, S.E. SERTIFIKAT BerAKHLAK")</f>
        <v>IDA AYU MADE YUNIASIH, S.E. SERTIFIKAT BerAKHLAK</v>
      </c>
      <c r="K45" s="5" t="s">
        <v>528</v>
      </c>
      <c r="L45" s="5" t="s">
        <v>529</v>
      </c>
      <c r="M45" s="5" t="s">
        <v>530</v>
      </c>
      <c r="N45" s="7" t="s">
        <v>531</v>
      </c>
      <c r="O45" s="8" t="str">
        <f>HYPERLINK("https://drive.google.com/file/d/1RdQ2mA8Tr5PKPVUBgf7saVK57QChMQyR/view?usp=drivesdk","44 &lt;NAMA LENGKAP&gt;&gt; _ SERTIFIKAT BIMTEK IPASN BerAKHLASK")</f>
        <v>44 &lt;NAMA LENGKAP&gt;&gt; _ SERTIFIKAT BIMTEK IPASN BerAKHLASK</v>
      </c>
      <c r="P45" s="5" t="s">
        <v>532</v>
      </c>
      <c r="Q45" s="5" t="s">
        <v>533</v>
      </c>
      <c r="R45" s="7" t="s">
        <v>534</v>
      </c>
      <c r="S45" s="7" t="str">
        <f>HYPERLINK("https://drive.google.com/file/d/1S6qH7Yu16CSxiv_IPiYVl7u9p5sCHUYG/view?usp=drivesdk","44_IDA AYU MADE YUNIASIH, S.E. SERTIFIKAT BIMTEK IPASN-BerAKHLAK")</f>
        <v>44_IDA AYU MADE YUNIASIH, S.E. SERTIFIKAT BIMTEK IPASN-BerAKHLAK</v>
      </c>
      <c r="T45" s="5" t="s">
        <v>535</v>
      </c>
    </row>
    <row r="46">
      <c r="A46" s="4">
        <v>45534.3121224537</v>
      </c>
      <c r="B46" s="5" t="s">
        <v>34</v>
      </c>
      <c r="D46" s="5" t="s">
        <v>362</v>
      </c>
      <c r="E46" s="5" t="s">
        <v>536</v>
      </c>
      <c r="F46" s="5" t="s">
        <v>37</v>
      </c>
      <c r="G46" s="5" t="s">
        <v>537</v>
      </c>
      <c r="H46" s="6" t="s">
        <v>538</v>
      </c>
      <c r="I46" s="7" t="s">
        <v>539</v>
      </c>
      <c r="J46" s="8" t="str">
        <f>HYPERLINK("https://drive.google.com/file/d/1cJ7CQgN-K30aaVWkT-Er53WS-_OsPQPy/view?usp=drivesdk","FEBRIYANTO YAKIB, A.Md SERTIFIKAT BerAKHLAK")</f>
        <v>FEBRIYANTO YAKIB, A.Md SERTIFIKAT BerAKHLAK</v>
      </c>
      <c r="K46" s="5" t="s">
        <v>540</v>
      </c>
      <c r="L46" s="5" t="s">
        <v>541</v>
      </c>
      <c r="M46" s="5" t="s">
        <v>542</v>
      </c>
      <c r="N46" s="7" t="s">
        <v>543</v>
      </c>
      <c r="O46" s="8" t="str">
        <f>HYPERLINK("https://drive.google.com/file/d/1lQn-rnllCOasIdV_zAy8RbXplgk8Ku-o/view?usp=drivesdk","45 &lt;NAMA LENGKAP&gt;&gt; _ SERTIFIKAT BIMTEK IPASN BerAKHLASK")</f>
        <v>45 &lt;NAMA LENGKAP&gt;&gt; _ SERTIFIKAT BIMTEK IPASN BerAKHLASK</v>
      </c>
      <c r="P46" s="5" t="s">
        <v>544</v>
      </c>
      <c r="Q46" s="5" t="s">
        <v>545</v>
      </c>
      <c r="R46" s="7" t="s">
        <v>546</v>
      </c>
      <c r="S46" s="7" t="str">
        <f>HYPERLINK("https://drive.google.com/file/d/1nezBFzcrya-erVtCZO8EF-Ut6IJso1c0/view?usp=drivesdk","45_FEBRIYANTO YAKIB, A.Md SERTIFIKAT BIMTEK IPASN-BerAKHLAK")</f>
        <v>45_FEBRIYANTO YAKIB, A.Md SERTIFIKAT BIMTEK IPASN-BerAKHLAK</v>
      </c>
      <c r="T46" s="5" t="s">
        <v>535</v>
      </c>
    </row>
    <row r="47">
      <c r="A47" s="4">
        <v>45534.312201990746</v>
      </c>
      <c r="B47" s="5" t="s">
        <v>34</v>
      </c>
      <c r="D47" s="5" t="s">
        <v>35</v>
      </c>
      <c r="E47" s="5" t="s">
        <v>547</v>
      </c>
      <c r="F47" s="5" t="s">
        <v>108</v>
      </c>
      <c r="G47" s="5" t="s">
        <v>548</v>
      </c>
      <c r="H47" s="6" t="s">
        <v>549</v>
      </c>
      <c r="I47" s="7" t="s">
        <v>550</v>
      </c>
      <c r="J47" s="8" t="str">
        <f>HYPERLINK("https://drive.google.com/file/d/1ki-a9Cs3qt0CrIGsts77z20N6Bw_2SSr/view?usp=drivesdk","IMAS RAHMAWATI SERTIFIKAT BerAKHLAK")</f>
        <v>IMAS RAHMAWATI SERTIFIKAT BerAKHLAK</v>
      </c>
      <c r="K47" s="5" t="s">
        <v>551</v>
      </c>
      <c r="L47" s="5" t="s">
        <v>552</v>
      </c>
      <c r="M47" s="5" t="s">
        <v>553</v>
      </c>
      <c r="N47" s="7" t="s">
        <v>554</v>
      </c>
      <c r="O47" s="8" t="str">
        <f>HYPERLINK("https://drive.google.com/file/d/13IxwqWJhU73JTXEwgh3MB3p0NB92KfDX/view?usp=drivesdk","46 &lt;NAMA LENGKAP&gt;&gt; _ SERTIFIKAT BIMTEK IPASN BerAKHLASK")</f>
        <v>46 &lt;NAMA LENGKAP&gt;&gt; _ SERTIFIKAT BIMTEK IPASN BerAKHLASK</v>
      </c>
      <c r="P47" s="5" t="s">
        <v>555</v>
      </c>
      <c r="Q47" s="5" t="s">
        <v>556</v>
      </c>
      <c r="R47" s="7" t="s">
        <v>557</v>
      </c>
      <c r="S47" s="7" t="str">
        <f>HYPERLINK("https://drive.google.com/file/d/13xlrudbtnL5e15FGt_LeMuvx7jNMkWHP/view?usp=drivesdk","46_IMAS RAHMAWATI SERTIFIKAT BIMTEK IPASN-BerAKHLAK")</f>
        <v>46_IMAS RAHMAWATI SERTIFIKAT BIMTEK IPASN-BerAKHLAK</v>
      </c>
      <c r="T47" s="5" t="s">
        <v>535</v>
      </c>
    </row>
    <row r="48">
      <c r="A48" s="4">
        <v>45534.31232252315</v>
      </c>
      <c r="B48" s="5" t="s">
        <v>34</v>
      </c>
      <c r="D48" s="5" t="s">
        <v>35</v>
      </c>
      <c r="E48" s="5" t="s">
        <v>558</v>
      </c>
      <c r="F48" s="5" t="s">
        <v>72</v>
      </c>
      <c r="G48" s="5" t="s">
        <v>559</v>
      </c>
      <c r="H48" s="6" t="s">
        <v>560</v>
      </c>
      <c r="I48" s="7" t="s">
        <v>561</v>
      </c>
      <c r="J48" s="8" t="str">
        <f>HYPERLINK("https://drive.google.com/file/d/1_72PSniTFtlTuWK-m-J9DdZ6q7qwA7K0/view?usp=drivesdk","ELVAN HARDIANSYAH.,S.KOM SERTIFIKAT BerAKHLAK")</f>
        <v>ELVAN HARDIANSYAH.,S.KOM SERTIFIKAT BerAKHLAK</v>
      </c>
      <c r="K48" s="5" t="s">
        <v>562</v>
      </c>
      <c r="L48" s="5" t="s">
        <v>563</v>
      </c>
      <c r="M48" s="5" t="s">
        <v>564</v>
      </c>
      <c r="N48" s="7" t="s">
        <v>565</v>
      </c>
      <c r="O48" s="8" t="str">
        <f>HYPERLINK("https://drive.google.com/file/d/1BatxnLiNFLKmLjp-5EC6VmAumxbU5M2Q/view?usp=drivesdk","47 &lt;NAMA LENGKAP&gt;&gt; _ SERTIFIKAT BIMTEK IPASN BerAKHLASK")</f>
        <v>47 &lt;NAMA LENGKAP&gt;&gt; _ SERTIFIKAT BIMTEK IPASN BerAKHLASK</v>
      </c>
      <c r="P48" s="5" t="s">
        <v>566</v>
      </c>
      <c r="Q48" s="5" t="s">
        <v>567</v>
      </c>
      <c r="R48" s="7" t="s">
        <v>568</v>
      </c>
      <c r="S48" s="7" t="str">
        <f>HYPERLINK("https://drive.google.com/file/d/1RwfyWQa5ZwoLdQDMnibqb5KgQPGx_8Lr/view?usp=drivesdk","47_ELVAN HARDIANSYAH.,S.KOM SERTIFIKAT BIMTEK IPASN-BerAKHLAK")</f>
        <v>47_ELVAN HARDIANSYAH.,S.KOM SERTIFIKAT BIMTEK IPASN-BerAKHLAK</v>
      </c>
      <c r="T48" s="5" t="s">
        <v>535</v>
      </c>
    </row>
    <row r="49">
      <c r="A49" s="4">
        <v>45534.31233385416</v>
      </c>
      <c r="B49" s="5" t="s">
        <v>34</v>
      </c>
      <c r="D49" s="5" t="s">
        <v>35</v>
      </c>
      <c r="E49" s="5" t="s">
        <v>569</v>
      </c>
      <c r="F49" s="5" t="s">
        <v>524</v>
      </c>
      <c r="G49" s="5" t="s">
        <v>570</v>
      </c>
      <c r="H49" s="6" t="s">
        <v>571</v>
      </c>
      <c r="I49" s="7" t="s">
        <v>572</v>
      </c>
      <c r="J49" s="8" t="str">
        <f>HYPERLINK("https://drive.google.com/file/d/1s6sigVtCnpZKXM2ENgRQ9r7p8FF5n2-u/view?usp=drivesdk","DIAH PITALOKA  SERTIFIKAT BerAKHLAK")</f>
        <v>DIAH PITALOKA  SERTIFIKAT BerAKHLAK</v>
      </c>
      <c r="K49" s="5" t="s">
        <v>573</v>
      </c>
      <c r="L49" s="5" t="s">
        <v>574</v>
      </c>
      <c r="M49" s="5" t="s">
        <v>575</v>
      </c>
      <c r="N49" s="7" t="s">
        <v>576</v>
      </c>
      <c r="O49" s="8" t="str">
        <f>HYPERLINK("https://drive.google.com/file/d/1JcD0wOiZ6i2vdcEOVvk-2zlzAROgypOd/view?usp=drivesdk","48 &lt;NAMA LENGKAP&gt;&gt; _ SERTIFIKAT BIMTEK IPASN BerAKHLASK")</f>
        <v>48 &lt;NAMA LENGKAP&gt;&gt; _ SERTIFIKAT BIMTEK IPASN BerAKHLASK</v>
      </c>
      <c r="P49" s="5" t="s">
        <v>577</v>
      </c>
      <c r="Q49" s="5" t="s">
        <v>578</v>
      </c>
      <c r="R49" s="7" t="s">
        <v>579</v>
      </c>
      <c r="S49" s="7" t="str">
        <f>HYPERLINK("https://drive.google.com/file/d/1ho2cBZ9PkaPlSKCAEAIJye-vB-RH0hsE/view?usp=drivesdk","48_DIAH PITALOKA  SERTIFIKAT BIMTEK IPASN-BerAKHLAK")</f>
        <v>48_DIAH PITALOKA  SERTIFIKAT BIMTEK IPASN-BerAKHLAK</v>
      </c>
      <c r="T49" s="5" t="s">
        <v>535</v>
      </c>
    </row>
    <row r="50">
      <c r="A50" s="4">
        <v>45534.31234512731</v>
      </c>
      <c r="B50" s="5" t="s">
        <v>34</v>
      </c>
      <c r="D50" s="5" t="s">
        <v>580</v>
      </c>
      <c r="E50" s="5" t="s">
        <v>581</v>
      </c>
      <c r="F50" s="5" t="s">
        <v>120</v>
      </c>
      <c r="G50" s="5" t="s">
        <v>582</v>
      </c>
      <c r="H50" s="6" t="s">
        <v>583</v>
      </c>
      <c r="I50" s="7" t="s">
        <v>584</v>
      </c>
      <c r="J50" s="8" t="str">
        <f>HYPERLINK("https://drive.google.com/file/d/1BxzHI88T-W9l0GUpwNKSYrv-UPj4OcJG/view?usp=drivesdk","APT. DEWI INDRAWATY KARTOLO, S.SI SERTIFIKAT BerAKHLAK")</f>
        <v>APT. DEWI INDRAWATY KARTOLO, S.SI SERTIFIKAT BerAKHLAK</v>
      </c>
      <c r="K50" s="5" t="s">
        <v>585</v>
      </c>
      <c r="L50" s="5" t="s">
        <v>586</v>
      </c>
      <c r="M50" s="5" t="s">
        <v>587</v>
      </c>
      <c r="N50" s="7" t="s">
        <v>588</v>
      </c>
      <c r="O50" s="8" t="str">
        <f>HYPERLINK("https://drive.google.com/file/d/1nhEU6Dpw2mglDNOgVSlheN6X_CE-keNJ/view?usp=drivesdk","49 &lt;NAMA LENGKAP&gt;&gt; _ SERTIFIKAT BIMTEK IPASN BerAKHLASK")</f>
        <v>49 &lt;NAMA LENGKAP&gt;&gt; _ SERTIFIKAT BIMTEK IPASN BerAKHLASK</v>
      </c>
      <c r="P50" s="5" t="s">
        <v>589</v>
      </c>
      <c r="Q50" s="5" t="s">
        <v>590</v>
      </c>
      <c r="R50" s="7" t="s">
        <v>591</v>
      </c>
      <c r="S50" s="7" t="str">
        <f>HYPERLINK("https://drive.google.com/file/d/1kNwT0wmSMljam06oaNI053pWHyoudaLH/view?usp=drivesdk","49_APT. DEWI INDRAWATY KARTOLO, S.SI SERTIFIKAT BIMTEK IPASN-BerAKHLAK")</f>
        <v>49_APT. DEWI INDRAWATY KARTOLO, S.SI SERTIFIKAT BIMTEK IPASN-BerAKHLAK</v>
      </c>
      <c r="T50" s="5" t="s">
        <v>535</v>
      </c>
    </row>
    <row r="51">
      <c r="A51" s="4">
        <v>45534.312379016206</v>
      </c>
      <c r="B51" s="5" t="s">
        <v>34</v>
      </c>
      <c r="D51" s="5" t="s">
        <v>580</v>
      </c>
      <c r="E51" s="5" t="s">
        <v>592</v>
      </c>
      <c r="F51" s="5" t="s">
        <v>120</v>
      </c>
      <c r="G51" s="5" t="s">
        <v>593</v>
      </c>
      <c r="H51" s="6" t="s">
        <v>594</v>
      </c>
      <c r="I51" s="7" t="s">
        <v>595</v>
      </c>
      <c r="J51" s="8" t="str">
        <f>HYPERLINK("https://drive.google.com/file/d/1iiePQ0_2CCX7mzjMPtTRvK8-32kkf6Wk/view?usp=drivesdk","drg.LINA HANDAYANI SpKGA.MM SERTIFIKAT BerAKHLAK")</f>
        <v>drg.LINA HANDAYANI SpKGA.MM SERTIFIKAT BerAKHLAK</v>
      </c>
      <c r="K51" s="5" t="s">
        <v>596</v>
      </c>
      <c r="L51" s="5" t="s">
        <v>597</v>
      </c>
      <c r="M51" s="5" t="s">
        <v>598</v>
      </c>
      <c r="N51" s="7" t="s">
        <v>599</v>
      </c>
      <c r="O51" s="8" t="str">
        <f>HYPERLINK("https://drive.google.com/file/d/16VQ0PFknYq9Uu5w1vzHsDJa8Ng--l-D3/view?usp=drivesdk","50 &lt;NAMA LENGKAP&gt;&gt; _ SERTIFIKAT BIMTEK IPASN BerAKHLASK")</f>
        <v>50 &lt;NAMA LENGKAP&gt;&gt; _ SERTIFIKAT BIMTEK IPASN BerAKHLASK</v>
      </c>
      <c r="P51" s="5" t="s">
        <v>600</v>
      </c>
      <c r="Q51" s="5" t="s">
        <v>601</v>
      </c>
      <c r="R51" s="7" t="s">
        <v>602</v>
      </c>
      <c r="S51" s="7" t="str">
        <f>HYPERLINK("https://drive.google.com/file/d/1REw-DfaL4MfhwfjfXa6zZjA28G-_Dyhx/view?usp=drivesdk","50_drg.LINA HANDAYANI SpKGA.MM SERTIFIKAT BIMTEK IPASN-BerAKHLAK")</f>
        <v>50_drg.LINA HANDAYANI SpKGA.MM SERTIFIKAT BIMTEK IPASN-BerAKHLAK</v>
      </c>
      <c r="T51" s="5" t="s">
        <v>603</v>
      </c>
    </row>
    <row r="52">
      <c r="A52" s="4">
        <v>45534.312387048616</v>
      </c>
      <c r="B52" s="5" t="s">
        <v>34</v>
      </c>
      <c r="D52" s="5" t="s">
        <v>604</v>
      </c>
      <c r="E52" s="5" t="s">
        <v>605</v>
      </c>
      <c r="F52" s="5" t="s">
        <v>37</v>
      </c>
      <c r="G52" s="5" t="s">
        <v>606</v>
      </c>
      <c r="H52" s="6" t="s">
        <v>607</v>
      </c>
      <c r="I52" s="7" t="s">
        <v>608</v>
      </c>
      <c r="J52" s="8" t="str">
        <f>HYPERLINK("https://drive.google.com/file/d/1Z9Hi592aqIzJNuyFaPxXZ2nELKdGAHp3/view?usp=drivesdk","RAHMAD WIJAYANTO SERTIFIKAT BerAKHLAK")</f>
        <v>RAHMAD WIJAYANTO SERTIFIKAT BerAKHLAK</v>
      </c>
      <c r="K52" s="5" t="s">
        <v>609</v>
      </c>
      <c r="L52" s="5" t="s">
        <v>610</v>
      </c>
      <c r="M52" s="5" t="s">
        <v>611</v>
      </c>
      <c r="N52" s="7" t="s">
        <v>612</v>
      </c>
      <c r="O52" s="8" t="str">
        <f>HYPERLINK("https://drive.google.com/file/d/15GJMYoT-x-ndJLhfZzaLseu_mva55jK0/view?usp=drivesdk","51 &lt;NAMA LENGKAP&gt;&gt; _ SERTIFIKAT BIMTEK IPASN BerAKHLASK")</f>
        <v>51 &lt;NAMA LENGKAP&gt;&gt; _ SERTIFIKAT BIMTEK IPASN BerAKHLASK</v>
      </c>
      <c r="P52" s="5" t="s">
        <v>613</v>
      </c>
      <c r="Q52" s="5" t="s">
        <v>614</v>
      </c>
      <c r="R52" s="7" t="s">
        <v>615</v>
      </c>
      <c r="S52" s="7" t="str">
        <f>HYPERLINK("https://drive.google.com/file/d/1PshVxZ7myHKtAsd8-anwxD6F3g1hivBI/view?usp=drivesdk","51_RAHMAD WIJAYANTO SERTIFIKAT BIMTEK IPASN-BerAKHLAK")</f>
        <v>51_RAHMAD WIJAYANTO SERTIFIKAT BIMTEK IPASN-BerAKHLAK</v>
      </c>
      <c r="T52" s="5" t="s">
        <v>603</v>
      </c>
    </row>
    <row r="53">
      <c r="A53" s="4">
        <v>45534.31242427083</v>
      </c>
      <c r="B53" s="5" t="s">
        <v>34</v>
      </c>
      <c r="D53" s="5" t="s">
        <v>35</v>
      </c>
      <c r="E53" s="5" t="s">
        <v>616</v>
      </c>
      <c r="F53" s="5" t="s">
        <v>212</v>
      </c>
      <c r="G53" s="5" t="s">
        <v>617</v>
      </c>
      <c r="H53" s="6" t="s">
        <v>618</v>
      </c>
      <c r="I53" s="7" t="s">
        <v>619</v>
      </c>
      <c r="J53" s="8" t="str">
        <f>HYPERLINK("https://drive.google.com/file/d/1f9vr7fO-sWcIjS6MufZkohqsKOmH0u8Z/view?usp=drivesdk","ASEP SUHERMAN SERTIFIKAT BerAKHLAK")</f>
        <v>ASEP SUHERMAN SERTIFIKAT BerAKHLAK</v>
      </c>
      <c r="K53" s="5" t="s">
        <v>620</v>
      </c>
      <c r="L53" s="5" t="s">
        <v>621</v>
      </c>
      <c r="M53" s="5" t="s">
        <v>622</v>
      </c>
      <c r="N53" s="7" t="s">
        <v>623</v>
      </c>
      <c r="O53" s="8" t="str">
        <f>HYPERLINK("https://drive.google.com/file/d/1b06WrChGJDQZXsNtSOAzZQqdttd8z6A7/view?usp=drivesdk","52 &lt;NAMA LENGKAP&gt;&gt; _ SERTIFIKAT BIMTEK IPASN BerAKHLASK")</f>
        <v>52 &lt;NAMA LENGKAP&gt;&gt; _ SERTIFIKAT BIMTEK IPASN BerAKHLASK</v>
      </c>
      <c r="P53" s="5" t="s">
        <v>624</v>
      </c>
      <c r="Q53" s="5" t="s">
        <v>625</v>
      </c>
      <c r="R53" s="7" t="s">
        <v>626</v>
      </c>
      <c r="S53" s="7" t="str">
        <f>HYPERLINK("https://drive.google.com/file/d/1Onp1ijCex04TorcobTGqLTTYwCZQ4VRk/view?usp=drivesdk","52_ASEP SUHERMAN SERTIFIKAT BIMTEK IPASN-BerAKHLAK")</f>
        <v>52_ASEP SUHERMAN SERTIFIKAT BIMTEK IPASN-BerAKHLAK</v>
      </c>
      <c r="T53" s="5" t="s">
        <v>603</v>
      </c>
    </row>
    <row r="54">
      <c r="A54" s="4">
        <v>45534.31243740741</v>
      </c>
      <c r="B54" s="5" t="s">
        <v>34</v>
      </c>
      <c r="D54" s="5" t="s">
        <v>35</v>
      </c>
      <c r="E54" s="5" t="s">
        <v>627</v>
      </c>
      <c r="F54" s="5" t="s">
        <v>375</v>
      </c>
      <c r="G54" s="5" t="s">
        <v>628</v>
      </c>
      <c r="H54" s="6" t="s">
        <v>629</v>
      </c>
      <c r="I54" s="7" t="s">
        <v>630</v>
      </c>
      <c r="J54" s="8" t="str">
        <f>HYPERLINK("https://drive.google.com/file/d/1q-onVtIbR1_mKUkv-3h8tlh0XXWec_MJ/view?usp=drivesdk","METY SUPRIYATI, S.E. SERTIFIKAT BerAKHLAK")</f>
        <v>METY SUPRIYATI, S.E. SERTIFIKAT BerAKHLAK</v>
      </c>
      <c r="K54" s="5" t="s">
        <v>631</v>
      </c>
      <c r="L54" s="5" t="s">
        <v>632</v>
      </c>
      <c r="M54" s="5" t="s">
        <v>633</v>
      </c>
      <c r="N54" s="7" t="s">
        <v>634</v>
      </c>
      <c r="O54" s="8" t="str">
        <f>HYPERLINK("https://drive.google.com/file/d/16pz2EFnLHzP8yHyAGyIqNrg-zgbKh6rQ/view?usp=drivesdk","53 &lt;NAMA LENGKAP&gt;&gt; _ SERTIFIKAT BIMTEK IPASN BerAKHLASK")</f>
        <v>53 &lt;NAMA LENGKAP&gt;&gt; _ SERTIFIKAT BIMTEK IPASN BerAKHLASK</v>
      </c>
      <c r="P54" s="5" t="s">
        <v>635</v>
      </c>
      <c r="Q54" s="5" t="s">
        <v>636</v>
      </c>
      <c r="R54" s="7" t="s">
        <v>637</v>
      </c>
      <c r="S54" s="7" t="str">
        <f>HYPERLINK("https://drive.google.com/file/d/1X0UvOlklhPF6CgrEW_SvkGA1qS2E6IEg/view?usp=drivesdk","53_METY SUPRIYATI, S.E. SERTIFIKAT BIMTEK IPASN-BerAKHLAK")</f>
        <v>53_METY SUPRIYATI, S.E. SERTIFIKAT BIMTEK IPASN-BerAKHLAK</v>
      </c>
      <c r="T54" s="5" t="s">
        <v>603</v>
      </c>
    </row>
    <row r="55">
      <c r="A55" s="4">
        <v>45534.31252905093</v>
      </c>
      <c r="B55" s="5" t="s">
        <v>34</v>
      </c>
      <c r="D55" s="5" t="s">
        <v>362</v>
      </c>
      <c r="E55" s="5" t="s">
        <v>638</v>
      </c>
      <c r="F55" s="5" t="s">
        <v>212</v>
      </c>
      <c r="G55" s="5" t="s">
        <v>639</v>
      </c>
      <c r="H55" s="6" t="s">
        <v>640</v>
      </c>
      <c r="I55" s="7" t="s">
        <v>641</v>
      </c>
      <c r="J55" s="8" t="str">
        <f>HYPERLINK("https://drive.google.com/file/d/1Z9wigMSHJMOdaDbDD7crDXRi06Lt3LNE/view?usp=drivesdk","HAPRIADI HAFID SERTIFIKAT BerAKHLAK")</f>
        <v>HAPRIADI HAFID SERTIFIKAT BerAKHLAK</v>
      </c>
      <c r="K55" s="5" t="s">
        <v>642</v>
      </c>
      <c r="L55" s="5" t="s">
        <v>643</v>
      </c>
      <c r="M55" s="5" t="s">
        <v>644</v>
      </c>
      <c r="N55" s="7" t="s">
        <v>645</v>
      </c>
      <c r="O55" s="8" t="str">
        <f>HYPERLINK("https://drive.google.com/file/d/1W_CRPV3d4oG_VVVKRGN04cQ4bUNmEYi8/view?usp=drivesdk","54 &lt;NAMA LENGKAP&gt;&gt; _ SERTIFIKAT BIMTEK IPASN BerAKHLASK")</f>
        <v>54 &lt;NAMA LENGKAP&gt;&gt; _ SERTIFIKAT BIMTEK IPASN BerAKHLASK</v>
      </c>
      <c r="P55" s="5" t="s">
        <v>646</v>
      </c>
      <c r="Q55" s="5" t="s">
        <v>647</v>
      </c>
      <c r="R55" s="7" t="s">
        <v>648</v>
      </c>
      <c r="S55" s="7" t="str">
        <f>HYPERLINK("https://drive.google.com/file/d/10ASPo0Ych_-FmkVKuZ2pU1prjgJzsZTz/view?usp=drivesdk","54_HAPRIADI HAFID SERTIFIKAT BIMTEK IPASN-BerAKHLAK")</f>
        <v>54_HAPRIADI HAFID SERTIFIKAT BIMTEK IPASN-BerAKHLAK</v>
      </c>
      <c r="T55" s="5" t="s">
        <v>603</v>
      </c>
    </row>
    <row r="56">
      <c r="A56" s="4">
        <v>45534.312562962965</v>
      </c>
      <c r="B56" s="5" t="s">
        <v>34</v>
      </c>
      <c r="D56" s="5" t="s">
        <v>35</v>
      </c>
      <c r="E56" s="5" t="s">
        <v>649</v>
      </c>
      <c r="F56" s="5" t="s">
        <v>37</v>
      </c>
      <c r="G56" s="5" t="s">
        <v>650</v>
      </c>
      <c r="H56" s="6" t="s">
        <v>651</v>
      </c>
      <c r="I56" s="7" t="s">
        <v>652</v>
      </c>
      <c r="J56" s="8" t="str">
        <f>HYPERLINK("https://drive.google.com/file/d/1Q562loPl8eo8IrNiQrDsemb7ufBgELXb/view?usp=drivesdk","DIAN SULISTIANI AMd Kep SERTIFIKAT BerAKHLAK")</f>
        <v>DIAN SULISTIANI AMd Kep SERTIFIKAT BerAKHLAK</v>
      </c>
      <c r="K56" s="5" t="s">
        <v>653</v>
      </c>
      <c r="L56" s="5" t="s">
        <v>654</v>
      </c>
      <c r="M56" s="5" t="s">
        <v>655</v>
      </c>
      <c r="N56" s="7" t="s">
        <v>656</v>
      </c>
      <c r="O56" s="8" t="str">
        <f>HYPERLINK("https://drive.google.com/file/d/1IFpJmtb33wN6s0CM1eIJtITPAFnDf6B1/view?usp=drivesdk","55 &lt;NAMA LENGKAP&gt;&gt; _ SERTIFIKAT BIMTEK IPASN BerAKHLASK")</f>
        <v>55 &lt;NAMA LENGKAP&gt;&gt; _ SERTIFIKAT BIMTEK IPASN BerAKHLASK</v>
      </c>
      <c r="P56" s="5" t="s">
        <v>657</v>
      </c>
      <c r="Q56" s="5" t="s">
        <v>658</v>
      </c>
      <c r="R56" s="7" t="s">
        <v>659</v>
      </c>
      <c r="S56" s="7" t="str">
        <f>HYPERLINK("https://drive.google.com/file/d/1vZWt7PZQ-BJ6UbBfnIIcARD5iqxPPKWn/view?usp=drivesdk","55_DIAN SULISTIANI AMd Kep SERTIFIKAT BIMTEK IPASN-BerAKHLAK")</f>
        <v>55_DIAN SULISTIANI AMd Kep SERTIFIKAT BIMTEK IPASN-BerAKHLAK</v>
      </c>
      <c r="T56" s="5" t="s">
        <v>660</v>
      </c>
    </row>
    <row r="57">
      <c r="A57" s="4">
        <v>45534.312582928236</v>
      </c>
      <c r="B57" s="5" t="s">
        <v>34</v>
      </c>
      <c r="D57" s="5" t="s">
        <v>522</v>
      </c>
      <c r="E57" s="5" t="s">
        <v>661</v>
      </c>
      <c r="F57" s="5" t="s">
        <v>37</v>
      </c>
      <c r="G57" s="5" t="s">
        <v>662</v>
      </c>
      <c r="H57" s="6" t="s">
        <v>663</v>
      </c>
      <c r="I57" s="7" t="s">
        <v>664</v>
      </c>
      <c r="J57" s="8" t="str">
        <f>HYPERLINK("https://drive.google.com/file/d/1GRKuMe4sR3sVW9gSmPc9JX2oSQYwsUz4/view?usp=drivesdk","ERTINI ZAMRATINNISA, A.Md.,Kep SERTIFIKAT BerAKHLAK")</f>
        <v>ERTINI ZAMRATINNISA, A.Md.,Kep SERTIFIKAT BerAKHLAK</v>
      </c>
      <c r="K57" s="5" t="s">
        <v>665</v>
      </c>
      <c r="L57" s="5" t="s">
        <v>666</v>
      </c>
      <c r="M57" s="5" t="s">
        <v>667</v>
      </c>
      <c r="N57" s="7" t="s">
        <v>668</v>
      </c>
      <c r="O57" s="8" t="str">
        <f>HYPERLINK("https://drive.google.com/file/d/1l1jf7ZbRzlTuS1hpbIFN3AQ8LbeXb0tX/view?usp=drivesdk","56 &lt;NAMA LENGKAP&gt;&gt; _ SERTIFIKAT BIMTEK IPASN BerAKHLASK")</f>
        <v>56 &lt;NAMA LENGKAP&gt;&gt; _ SERTIFIKAT BIMTEK IPASN BerAKHLASK</v>
      </c>
      <c r="P57" s="5" t="s">
        <v>657</v>
      </c>
      <c r="Q57" s="5" t="s">
        <v>669</v>
      </c>
      <c r="R57" s="7" t="s">
        <v>670</v>
      </c>
      <c r="S57" s="7" t="str">
        <f>HYPERLINK("https://drive.google.com/file/d/1vx7LFgy-4UPRAH0BFwHv5VmVcl5NCIfF/view?usp=drivesdk","56_ERTINI ZAMRATINNISA, A.Md.,Kep SERTIFIKAT BIMTEK IPASN-BerAKHLAK")</f>
        <v>56_ERTINI ZAMRATINNISA, A.Md.,Kep SERTIFIKAT BIMTEK IPASN-BerAKHLAK</v>
      </c>
      <c r="T57" s="5" t="s">
        <v>660</v>
      </c>
    </row>
    <row r="58">
      <c r="A58" s="4">
        <v>45534.31259778935</v>
      </c>
      <c r="B58" s="5" t="s">
        <v>34</v>
      </c>
      <c r="D58" s="5" t="s">
        <v>35</v>
      </c>
      <c r="E58" s="5" t="s">
        <v>671</v>
      </c>
      <c r="F58" s="5" t="s">
        <v>108</v>
      </c>
      <c r="G58" s="5" t="s">
        <v>672</v>
      </c>
      <c r="H58" s="6" t="s">
        <v>673</v>
      </c>
      <c r="I58" s="7" t="s">
        <v>674</v>
      </c>
      <c r="J58" s="8" t="str">
        <f>HYPERLINK("https://drive.google.com/file/d/1SAPUlah8xOKlVw_LasihBh2gqphb44Ik/view?usp=drivesdk","M ALDIN SURYANATA SERTIFIKAT BerAKHLAK")</f>
        <v>M ALDIN SURYANATA SERTIFIKAT BerAKHLAK</v>
      </c>
      <c r="K58" s="5" t="s">
        <v>675</v>
      </c>
      <c r="L58" s="5" t="s">
        <v>676</v>
      </c>
      <c r="M58" s="5" t="s">
        <v>677</v>
      </c>
      <c r="N58" s="7" t="s">
        <v>678</v>
      </c>
      <c r="O58" s="8" t="str">
        <f>HYPERLINK("https://drive.google.com/file/d/1UA8mR2h6hnfnQjmtqewjJ9J-fgl8N6iu/view?usp=drivesdk","57 &lt;NAMA LENGKAP&gt;&gt; _ SERTIFIKAT BIMTEK IPASN BerAKHLASK")</f>
        <v>57 &lt;NAMA LENGKAP&gt;&gt; _ SERTIFIKAT BIMTEK IPASN BerAKHLASK</v>
      </c>
      <c r="P58" s="5" t="s">
        <v>657</v>
      </c>
      <c r="Q58" s="5" t="s">
        <v>679</v>
      </c>
      <c r="R58" s="7" t="s">
        <v>680</v>
      </c>
      <c r="S58" s="7" t="str">
        <f>HYPERLINK("https://drive.google.com/file/d/1MT2rmV3XPQ47vyH12K1sqYOpZLAEMr6q/view?usp=drivesdk","57_M ALDIN SURYANATA SERTIFIKAT BIMTEK IPASN-BerAKHLAK")</f>
        <v>57_M ALDIN SURYANATA SERTIFIKAT BIMTEK IPASN-BerAKHLAK</v>
      </c>
      <c r="T58" s="5" t="s">
        <v>660</v>
      </c>
    </row>
    <row r="59">
      <c r="A59" s="4">
        <v>45534.31261020833</v>
      </c>
      <c r="B59" s="5" t="s">
        <v>34</v>
      </c>
      <c r="D59" s="5" t="s">
        <v>580</v>
      </c>
      <c r="E59" s="5" t="s">
        <v>681</v>
      </c>
      <c r="F59" s="5" t="s">
        <v>524</v>
      </c>
      <c r="G59" s="5" t="s">
        <v>682</v>
      </c>
      <c r="H59" s="6" t="s">
        <v>683</v>
      </c>
      <c r="I59" s="7" t="s">
        <v>684</v>
      </c>
      <c r="J59" s="8" t="str">
        <f>HYPERLINK("https://drive.google.com/file/d/1g31JBWg67oopca4K7_YGrQK4DYdxJ0Oj/view?usp=drivesdk","NI MADE PANDA LESTARI, A.md.Kep SERTIFIKAT BerAKHLAK")</f>
        <v>NI MADE PANDA LESTARI, A.md.Kep SERTIFIKAT BerAKHLAK</v>
      </c>
      <c r="K59" s="5" t="s">
        <v>685</v>
      </c>
      <c r="L59" s="5" t="s">
        <v>686</v>
      </c>
      <c r="M59" s="5" t="s">
        <v>687</v>
      </c>
      <c r="N59" s="7" t="s">
        <v>688</v>
      </c>
      <c r="O59" s="8" t="str">
        <f>HYPERLINK("https://drive.google.com/file/d/1n476lA8IcnElccO4t1ly2UHNK3qC-iB4/view?usp=drivesdk","58 &lt;NAMA LENGKAP&gt;&gt; _ SERTIFIKAT BIMTEK IPASN BerAKHLASK")</f>
        <v>58 &lt;NAMA LENGKAP&gt;&gt; _ SERTIFIKAT BIMTEK IPASN BerAKHLASK</v>
      </c>
      <c r="P59" s="5" t="s">
        <v>657</v>
      </c>
      <c r="Q59" s="5" t="s">
        <v>689</v>
      </c>
      <c r="R59" s="7" t="s">
        <v>690</v>
      </c>
      <c r="S59" s="7" t="str">
        <f>HYPERLINK("https://drive.google.com/file/d/1UIkOXcM3vTsAeaRAb5yB12j1ssGX4QqP/view?usp=drivesdk","58_NI MADE PANDA LESTARI, A.md.Kep SERTIFIKAT BIMTEK IPASN-BerAKHLAK")</f>
        <v>58_NI MADE PANDA LESTARI, A.md.Kep SERTIFIKAT BIMTEK IPASN-BerAKHLAK</v>
      </c>
      <c r="T59" s="5" t="s">
        <v>660</v>
      </c>
    </row>
    <row r="60">
      <c r="A60" s="4">
        <v>45534.31264528935</v>
      </c>
      <c r="B60" s="5" t="s">
        <v>34</v>
      </c>
      <c r="D60" s="5" t="s">
        <v>35</v>
      </c>
      <c r="E60" s="5" t="s">
        <v>691</v>
      </c>
      <c r="F60" s="5" t="s">
        <v>375</v>
      </c>
      <c r="G60" s="5" t="s">
        <v>692</v>
      </c>
      <c r="H60" s="6" t="s">
        <v>693</v>
      </c>
      <c r="I60" s="7" t="s">
        <v>694</v>
      </c>
      <c r="J60" s="8" t="str">
        <f>HYPERLINK("https://drive.google.com/file/d/1_fTYL9LpMvKWe0YlRXyy9ssiyASYSsE7/view?usp=drivesdk","MAMI BARTINI, AKS SERTIFIKAT BerAKHLAK")</f>
        <v>MAMI BARTINI, AKS SERTIFIKAT BerAKHLAK</v>
      </c>
      <c r="K60" s="5" t="s">
        <v>695</v>
      </c>
      <c r="L60" s="5" t="s">
        <v>696</v>
      </c>
      <c r="M60" s="5" t="s">
        <v>697</v>
      </c>
      <c r="N60" s="7" t="s">
        <v>698</v>
      </c>
      <c r="O60" s="8" t="str">
        <f>HYPERLINK("https://drive.google.com/file/d/1ONWy0OssiUpCDSsRIu5RumE39980C2PU/view?usp=drivesdk","59 &lt;NAMA LENGKAP&gt;&gt; _ SERTIFIKAT BIMTEK IPASN BerAKHLASK")</f>
        <v>59 &lt;NAMA LENGKAP&gt;&gt; _ SERTIFIKAT BIMTEK IPASN BerAKHLASK</v>
      </c>
      <c r="P60" s="5" t="s">
        <v>657</v>
      </c>
      <c r="Q60" s="5" t="s">
        <v>699</v>
      </c>
      <c r="R60" s="7" t="s">
        <v>700</v>
      </c>
      <c r="S60" s="7" t="str">
        <f>HYPERLINK("https://drive.google.com/file/d/1dRmWfrMtUzovkfvqys05FKvn25cfjq23/view?usp=drivesdk","59_MAMI BARTINI, AKS SERTIFIKAT BIMTEK IPASN-BerAKHLAK")</f>
        <v>59_MAMI BARTINI, AKS SERTIFIKAT BIMTEK IPASN-BerAKHLAK</v>
      </c>
      <c r="T60" s="5" t="s">
        <v>660</v>
      </c>
    </row>
    <row r="61">
      <c r="A61" s="4">
        <v>45534.31265952546</v>
      </c>
      <c r="B61" s="5" t="s">
        <v>34</v>
      </c>
      <c r="D61" s="5" t="s">
        <v>701</v>
      </c>
      <c r="E61" s="5" t="s">
        <v>702</v>
      </c>
      <c r="F61" s="5" t="s">
        <v>375</v>
      </c>
      <c r="G61" s="5" t="s">
        <v>703</v>
      </c>
      <c r="H61" s="6" t="s">
        <v>704</v>
      </c>
      <c r="I61" s="7" t="s">
        <v>705</v>
      </c>
      <c r="J61" s="8" t="str">
        <f>HYPERLINK("https://drive.google.com/file/d/1Ra6lh1RvvOOfOoL269VZ6Y5ja4GV8MV_/view?usp=drivesdk","ASMAWATI TANDJUNG, S. Kep SERTIFIKAT BerAKHLAK")</f>
        <v>ASMAWATI TANDJUNG, S. Kep SERTIFIKAT BerAKHLAK</v>
      </c>
      <c r="K61" s="5" t="s">
        <v>706</v>
      </c>
      <c r="L61" s="5" t="s">
        <v>707</v>
      </c>
      <c r="M61" s="5" t="s">
        <v>708</v>
      </c>
      <c r="N61" s="7" t="s">
        <v>709</v>
      </c>
      <c r="O61" s="8" t="str">
        <f>HYPERLINK("https://drive.google.com/file/d/15DPjSg_8tM2jAjmIfiNnikunXuQp1h58/view?usp=drivesdk","60 &lt;NAMA LENGKAP&gt;&gt; _ SERTIFIKAT BIMTEK IPASN BerAKHLASK")</f>
        <v>60 &lt;NAMA LENGKAP&gt;&gt; _ SERTIFIKAT BIMTEK IPASN BerAKHLASK</v>
      </c>
      <c r="P61" s="5" t="s">
        <v>710</v>
      </c>
      <c r="Q61" s="5" t="s">
        <v>711</v>
      </c>
      <c r="R61" s="7" t="s">
        <v>712</v>
      </c>
      <c r="S61" s="7" t="str">
        <f>HYPERLINK("https://drive.google.com/file/d/11KnLcd607GKFvg31FT_KEjIYO9JtJE_K/view?usp=drivesdk","60_ASMAWATI TANDJUNG, S. Kep SERTIFIKAT BIMTEK IPASN-BerAKHLAK")</f>
        <v>60_ASMAWATI TANDJUNG, S. Kep SERTIFIKAT BIMTEK IPASN-BerAKHLAK</v>
      </c>
      <c r="T61" s="5" t="s">
        <v>713</v>
      </c>
    </row>
    <row r="62">
      <c r="A62" s="4">
        <v>45534.31268253472</v>
      </c>
      <c r="B62" s="5" t="s">
        <v>34</v>
      </c>
      <c r="D62" s="5" t="s">
        <v>522</v>
      </c>
      <c r="E62" s="5" t="s">
        <v>714</v>
      </c>
      <c r="F62" s="5" t="s">
        <v>715</v>
      </c>
      <c r="G62" s="5" t="s">
        <v>716</v>
      </c>
      <c r="H62" s="6" t="s">
        <v>717</v>
      </c>
      <c r="I62" s="7" t="s">
        <v>718</v>
      </c>
      <c r="J62" s="8" t="str">
        <f>HYPERLINK("https://drive.google.com/file/d/1ghplGOcNZhs3um1hJJXeEqy3cpd6M8rY/view?usp=drivesdk","ERNI FEBRIANTI,SE SERTIFIKAT BerAKHLAK")</f>
        <v>ERNI FEBRIANTI,SE SERTIFIKAT BerAKHLAK</v>
      </c>
      <c r="K62" s="5" t="s">
        <v>719</v>
      </c>
      <c r="L62" s="5" t="s">
        <v>720</v>
      </c>
      <c r="M62" s="5" t="s">
        <v>721</v>
      </c>
      <c r="N62" s="7" t="s">
        <v>722</v>
      </c>
      <c r="O62" s="8" t="str">
        <f>HYPERLINK("https://drive.google.com/file/d/15hLSBAnSkU9WykK0R-cn-rPRZPtAT4XR/view?usp=drivesdk","61 &lt;NAMA LENGKAP&gt;&gt; _ SERTIFIKAT BIMTEK IPASN BerAKHLASK")</f>
        <v>61 &lt;NAMA LENGKAP&gt;&gt; _ SERTIFIKAT BIMTEK IPASN BerAKHLASK</v>
      </c>
      <c r="P62" s="5" t="s">
        <v>710</v>
      </c>
      <c r="Q62" s="5" t="s">
        <v>723</v>
      </c>
      <c r="R62" s="7" t="s">
        <v>724</v>
      </c>
      <c r="S62" s="7" t="str">
        <f>HYPERLINK("https://drive.google.com/file/d/1fyLjhHVU0ZmjMN6Hx22cJa3ejxl4hWKQ/view?usp=drivesdk","61_ERNI FEBRIANTI,SE SERTIFIKAT BIMTEK IPASN-BerAKHLAK")</f>
        <v>61_ERNI FEBRIANTI,SE SERTIFIKAT BIMTEK IPASN-BerAKHLAK</v>
      </c>
      <c r="T62" s="5" t="s">
        <v>713</v>
      </c>
    </row>
    <row r="63" hidden="1">
      <c r="A63" s="4">
        <v>45534.31273929398</v>
      </c>
      <c r="B63" s="5" t="s">
        <v>19</v>
      </c>
      <c r="C63" s="5" t="s">
        <v>442</v>
      </c>
      <c r="E63" s="5" t="s">
        <v>725</v>
      </c>
      <c r="F63" s="5" t="s">
        <v>375</v>
      </c>
      <c r="G63" s="5" t="s">
        <v>726</v>
      </c>
      <c r="H63" s="6" t="s">
        <v>727</v>
      </c>
      <c r="I63" s="7" t="s">
        <v>728</v>
      </c>
      <c r="J63" s="8" t="str">
        <f>HYPERLINK("https://drive.google.com/file/d/1gPhQpB2OLWR4SYV22bz6VNa0Tuw8XC_6/view?usp=drivesdk","SELFIA IKA DIANA SARI, S.E. SERTIFIKAT BerAKHLAK")</f>
        <v>SELFIA IKA DIANA SARI, S.E. SERTIFIKAT BerAKHLAK</v>
      </c>
      <c r="K63" s="5" t="s">
        <v>729</v>
      </c>
      <c r="L63" s="5" t="s">
        <v>730</v>
      </c>
      <c r="M63" s="5" t="s">
        <v>731</v>
      </c>
      <c r="N63" s="7" t="s">
        <v>732</v>
      </c>
      <c r="O63" s="8" t="str">
        <f>HYPERLINK("https://drive.google.com/file/d/1Te99aNiodkhExG5RKC65f3RzeiFxZmvi/view?usp=drivesdk","62 &lt;NAMA LENGKAP&gt;&gt; _ SERTIFIKAT BIMTEK IPASN BerAKHLASK")</f>
        <v>62 &lt;NAMA LENGKAP&gt;&gt; _ SERTIFIKAT BIMTEK IPASN BerAKHLASK</v>
      </c>
      <c r="P63" s="5" t="s">
        <v>710</v>
      </c>
      <c r="Q63" s="5" t="s">
        <v>733</v>
      </c>
      <c r="R63" s="7" t="s">
        <v>734</v>
      </c>
      <c r="S63" s="7" t="str">
        <f>HYPERLINK("https://drive.google.com/file/d/1XvI2MtAzaHKpABIJ_gp3T10OyIGmnbVX/view?usp=drivesdk","62_SELFIA IKA DIANA SARI, S.E. SERTIFIKAT BIMTEK IPASN-BerAKHLAK")</f>
        <v>62_SELFIA IKA DIANA SARI, S.E. SERTIFIKAT BIMTEK IPASN-BerAKHLAK</v>
      </c>
      <c r="T63" s="5" t="s">
        <v>713</v>
      </c>
    </row>
    <row r="64">
      <c r="A64" s="4">
        <v>45534.31275596065</v>
      </c>
      <c r="B64" s="5" t="s">
        <v>34</v>
      </c>
      <c r="D64" s="5" t="s">
        <v>580</v>
      </c>
      <c r="E64" s="5" t="s">
        <v>735</v>
      </c>
      <c r="F64" s="5" t="s">
        <v>108</v>
      </c>
      <c r="G64" s="5" t="s">
        <v>736</v>
      </c>
      <c r="H64" s="6" t="s">
        <v>737</v>
      </c>
      <c r="I64" s="7" t="s">
        <v>738</v>
      </c>
      <c r="J64" s="8" t="str">
        <f>HYPERLINK("https://drive.google.com/file/d/17mu0my2mq4ZtJ_dxjZwh0_Rynaq8-fMT/view?usp=drivesdk","RIDHO AKHBAR AMKA, S.Tr.Kg, M.Kes SERTIFIKAT BerAKHLAK")</f>
        <v>RIDHO AKHBAR AMKA, S.Tr.Kg, M.Kes SERTIFIKAT BerAKHLAK</v>
      </c>
      <c r="K64" s="5" t="s">
        <v>739</v>
      </c>
      <c r="L64" s="5" t="s">
        <v>740</v>
      </c>
      <c r="M64" s="5" t="s">
        <v>741</v>
      </c>
      <c r="N64" s="7" t="s">
        <v>742</v>
      </c>
      <c r="O64" s="8" t="str">
        <f>HYPERLINK("https://drive.google.com/file/d/1ftmwvd2FUOITDBPtRzhlxStf1XevHIDw/view?usp=drivesdk","63 &lt;NAMA LENGKAP&gt;&gt; _ SERTIFIKAT BIMTEK IPASN BerAKHLASK")</f>
        <v>63 &lt;NAMA LENGKAP&gt;&gt; _ SERTIFIKAT BIMTEK IPASN BerAKHLASK</v>
      </c>
      <c r="P64" s="5" t="s">
        <v>710</v>
      </c>
      <c r="Q64" s="5" t="s">
        <v>743</v>
      </c>
      <c r="R64" s="7" t="s">
        <v>744</v>
      </c>
      <c r="S64" s="7" t="str">
        <f>HYPERLINK("https://drive.google.com/file/d/19nBLulfjQYET4XSAcHtiwT6jyWP0jfWh/view?usp=drivesdk","63_RIDHO AKHBAR AMKA, S.Tr.Kg, M.Kes SERTIFIKAT BIMTEK IPASN-BerAKHLAK")</f>
        <v>63_RIDHO AKHBAR AMKA, S.Tr.Kg, M.Kes SERTIFIKAT BIMTEK IPASN-BerAKHLAK</v>
      </c>
      <c r="T64" s="5" t="s">
        <v>713</v>
      </c>
    </row>
    <row r="65" hidden="1">
      <c r="A65" s="4">
        <v>45534.31276458333</v>
      </c>
      <c r="B65" s="5" t="s">
        <v>19</v>
      </c>
      <c r="C65" s="5" t="s">
        <v>292</v>
      </c>
      <c r="E65" s="5" t="s">
        <v>745</v>
      </c>
      <c r="F65" s="5" t="s">
        <v>375</v>
      </c>
      <c r="G65" s="5" t="s">
        <v>746</v>
      </c>
      <c r="H65" s="6" t="s">
        <v>747</v>
      </c>
      <c r="I65" s="7" t="s">
        <v>748</v>
      </c>
      <c r="J65" s="8" t="str">
        <f>HYPERLINK("https://drive.google.com/file/d/1zhFzLxMqoWmL1onimjOsCoY9JZOJgXiY/view?usp=drivesdk","EKA DAMAYANTI,AMK.,SKM SERTIFIKAT BerAKHLAK")</f>
        <v>EKA DAMAYANTI,AMK.,SKM SERTIFIKAT BerAKHLAK</v>
      </c>
      <c r="K65" s="5" t="s">
        <v>749</v>
      </c>
      <c r="L65" s="5" t="s">
        <v>750</v>
      </c>
      <c r="M65" s="5" t="s">
        <v>751</v>
      </c>
      <c r="N65" s="7" t="s">
        <v>752</v>
      </c>
      <c r="O65" s="8" t="str">
        <f>HYPERLINK("https://drive.google.com/file/d/12Gwz3uxAt2q0Cy1i05ZWaGJ9PFAvdskM/view?usp=drivesdk","64 &lt;NAMA LENGKAP&gt;&gt; _ SERTIFIKAT BIMTEK IPASN BerAKHLASK")</f>
        <v>64 &lt;NAMA LENGKAP&gt;&gt; _ SERTIFIKAT BIMTEK IPASN BerAKHLASK</v>
      </c>
      <c r="P65" s="5" t="s">
        <v>710</v>
      </c>
      <c r="Q65" s="5" t="s">
        <v>753</v>
      </c>
      <c r="R65" s="7" t="s">
        <v>754</v>
      </c>
      <c r="S65" s="7" t="str">
        <f>HYPERLINK("https://drive.google.com/file/d/1yVJ8wv6tf6PMucOHcEzuXH6mL3prTPtb/view?usp=drivesdk","64_EKA DAMAYANTI,AMK.,SKM SERTIFIKAT BIMTEK IPASN-BerAKHLAK")</f>
        <v>64_EKA DAMAYANTI,AMK.,SKM SERTIFIKAT BIMTEK IPASN-BerAKHLAK</v>
      </c>
      <c r="T65" s="5" t="s">
        <v>755</v>
      </c>
    </row>
    <row r="66" hidden="1">
      <c r="A66" s="4">
        <v>45534.31280859954</v>
      </c>
      <c r="B66" s="5" t="s">
        <v>19</v>
      </c>
      <c r="C66" s="5" t="s">
        <v>442</v>
      </c>
      <c r="E66" s="5" t="s">
        <v>756</v>
      </c>
      <c r="F66" s="5" t="s">
        <v>375</v>
      </c>
      <c r="G66" s="5" t="s">
        <v>757</v>
      </c>
      <c r="H66" s="6" t="s">
        <v>758</v>
      </c>
      <c r="I66" s="7" t="s">
        <v>759</v>
      </c>
      <c r="J66" s="8" t="str">
        <f>HYPERLINK("https://drive.google.com/file/d/1k37wEgYSnpdWwKvHZkcyMxyugCTd2exn/view?usp=drivesdk","YUNI SETIAWATI NINGSIH, S.Kom., M.H. SERTIFIKAT BerAKHLAK")</f>
        <v>YUNI SETIAWATI NINGSIH, S.Kom., M.H. SERTIFIKAT BerAKHLAK</v>
      </c>
      <c r="K66" s="5" t="s">
        <v>760</v>
      </c>
      <c r="L66" s="5" t="s">
        <v>761</v>
      </c>
      <c r="M66" s="5" t="s">
        <v>762</v>
      </c>
      <c r="N66" s="7" t="s">
        <v>763</v>
      </c>
      <c r="O66" s="8" t="str">
        <f>HYPERLINK("https://drive.google.com/file/d/1YJREIh9CKFQQe3BLu2XuL5yNj2o1h9Uj/view?usp=drivesdk","65 &lt;NAMA LENGKAP&gt;&gt; _ SERTIFIKAT BIMTEK IPASN BerAKHLASK")</f>
        <v>65 &lt;NAMA LENGKAP&gt;&gt; _ SERTIFIKAT BIMTEK IPASN BerAKHLASK</v>
      </c>
      <c r="P66" s="5" t="s">
        <v>710</v>
      </c>
      <c r="Q66" s="5" t="s">
        <v>764</v>
      </c>
      <c r="R66" s="7" t="s">
        <v>765</v>
      </c>
      <c r="S66" s="7" t="str">
        <f>HYPERLINK("https://drive.google.com/file/d/1OnLHVAKFaHE-rnfoRVnPd_cETk6GUEt8/view?usp=drivesdk","65_YUNI SETIAWATI NINGSIH, S.Kom., M.H. SERTIFIKAT BIMTEK IPASN-BerAKHLAK")</f>
        <v>65_YUNI SETIAWATI NINGSIH, S.Kom., M.H. SERTIFIKAT BIMTEK IPASN-BerAKHLAK</v>
      </c>
      <c r="T66" s="5" t="s">
        <v>755</v>
      </c>
    </row>
    <row r="67">
      <c r="A67" s="4">
        <v>45534.31281232639</v>
      </c>
      <c r="B67" s="5" t="s">
        <v>34</v>
      </c>
      <c r="D67" s="5" t="s">
        <v>522</v>
      </c>
      <c r="E67" s="5" t="s">
        <v>766</v>
      </c>
      <c r="F67" s="5" t="s">
        <v>72</v>
      </c>
      <c r="G67" s="5" t="s">
        <v>767</v>
      </c>
      <c r="H67" s="6" t="s">
        <v>768</v>
      </c>
      <c r="I67" s="7" t="s">
        <v>769</v>
      </c>
      <c r="J67" s="8" t="str">
        <f>HYPERLINK("https://drive.google.com/file/d/1MN0RZ6bm-MSRtpY3FQk5IOPRlqz2EYNw/view?usp=drivesdk","NI LUH EKA NOVYASTUTI, S.E. SERTIFIKAT BerAKHLAK")</f>
        <v>NI LUH EKA NOVYASTUTI, S.E. SERTIFIKAT BerAKHLAK</v>
      </c>
      <c r="K67" s="5" t="s">
        <v>770</v>
      </c>
      <c r="L67" s="5" t="s">
        <v>771</v>
      </c>
      <c r="M67" s="5" t="s">
        <v>772</v>
      </c>
      <c r="N67" s="7" t="s">
        <v>773</v>
      </c>
      <c r="O67" s="8" t="str">
        <f>HYPERLINK("https://drive.google.com/file/d/16awhK9YYFF-GETG2yXUN1ertYt1jXDc_/view?usp=drivesdk","66 &lt;NAMA LENGKAP&gt;&gt; _ SERTIFIKAT BIMTEK IPASN BerAKHLASK")</f>
        <v>66 &lt;NAMA LENGKAP&gt;&gt; _ SERTIFIKAT BIMTEK IPASN BerAKHLASK</v>
      </c>
      <c r="P67" s="5" t="s">
        <v>774</v>
      </c>
      <c r="Q67" s="5" t="s">
        <v>775</v>
      </c>
      <c r="R67" s="7" t="s">
        <v>776</v>
      </c>
      <c r="S67" s="7" t="str">
        <f>HYPERLINK("https://drive.google.com/file/d/1nbhTj7FRPmSDpk_iJMbrMBlmnm2xuwIf/view?usp=drivesdk","66_NI LUH EKA NOVYASTUTI, S.E. SERTIFIKAT BIMTEK IPASN-BerAKHLAK")</f>
        <v>66_NI LUH EKA NOVYASTUTI, S.E. SERTIFIKAT BIMTEK IPASN-BerAKHLAK</v>
      </c>
      <c r="T67" s="5" t="s">
        <v>755</v>
      </c>
    </row>
    <row r="68">
      <c r="A68" s="4">
        <v>45534.31284034722</v>
      </c>
      <c r="B68" s="5" t="s">
        <v>34</v>
      </c>
      <c r="D68" s="5" t="s">
        <v>580</v>
      </c>
      <c r="E68" s="5" t="s">
        <v>777</v>
      </c>
      <c r="F68" s="5" t="s">
        <v>524</v>
      </c>
      <c r="G68" s="5" t="s">
        <v>778</v>
      </c>
      <c r="H68" s="6" t="s">
        <v>779</v>
      </c>
      <c r="I68" s="7" t="s">
        <v>780</v>
      </c>
      <c r="J68" s="8" t="str">
        <f>HYPERLINK("https://drive.google.com/file/d/1xipLiJ83zyLBhCdK4T2f7FYZViPPRh3T/view?usp=drivesdk","AYU PUTRI SRI RAHAYUNING SUAMBA,STr.Keb SERTIFIKAT BerAKHLAK")</f>
        <v>AYU PUTRI SRI RAHAYUNING SUAMBA,STr.Keb SERTIFIKAT BerAKHLAK</v>
      </c>
      <c r="K68" s="5" t="s">
        <v>781</v>
      </c>
      <c r="L68" s="5" t="s">
        <v>782</v>
      </c>
      <c r="M68" s="5" t="s">
        <v>783</v>
      </c>
      <c r="N68" s="7" t="s">
        <v>784</v>
      </c>
      <c r="O68" s="8" t="str">
        <f>HYPERLINK("https://drive.google.com/file/d/1wEO9E7GWiVd69hgkN7sV7ceBMRZJe5Zp/view?usp=drivesdk","67 &lt;NAMA LENGKAP&gt;&gt; _ SERTIFIKAT BIMTEK IPASN BerAKHLASK")</f>
        <v>67 &lt;NAMA LENGKAP&gt;&gt; _ SERTIFIKAT BIMTEK IPASN BerAKHLASK</v>
      </c>
      <c r="P68" s="5" t="s">
        <v>774</v>
      </c>
      <c r="Q68" s="5" t="s">
        <v>785</v>
      </c>
      <c r="R68" s="7" t="s">
        <v>786</v>
      </c>
      <c r="S68" s="7" t="str">
        <f>HYPERLINK("https://drive.google.com/file/d/1jK8haqix9GjZbW35XSXpLBzp00kqdiX6/view?usp=drivesdk","67_AYU PUTRI SRI RAHAYUNING SUAMBA,STr.Keb SERTIFIKAT BIMTEK IPASN-BerAKHLAK")</f>
        <v>67_AYU PUTRI SRI RAHAYUNING SUAMBA,STr.Keb SERTIFIKAT BIMTEK IPASN-BerAKHLAK</v>
      </c>
      <c r="T68" s="5" t="s">
        <v>755</v>
      </c>
    </row>
    <row r="69">
      <c r="A69" s="4">
        <v>45534.312844375</v>
      </c>
      <c r="B69" s="5" t="s">
        <v>34</v>
      </c>
      <c r="D69" s="5" t="s">
        <v>580</v>
      </c>
      <c r="E69" s="5" t="s">
        <v>787</v>
      </c>
      <c r="F69" s="5" t="s">
        <v>524</v>
      </c>
      <c r="G69" s="5" t="s">
        <v>788</v>
      </c>
      <c r="H69" s="6" t="s">
        <v>789</v>
      </c>
      <c r="I69" s="7" t="s">
        <v>790</v>
      </c>
      <c r="J69" s="8" t="str">
        <f>HYPERLINK("https://drive.google.com/file/d/16g8au2th1pLH7TPdGw5J1TgspHFCYU9h/view?usp=drivesdk","NI WAYAN AYU ADNYANI, S.E. SERTIFIKAT BerAKHLAK")</f>
        <v>NI WAYAN AYU ADNYANI, S.E. SERTIFIKAT BerAKHLAK</v>
      </c>
      <c r="K69" s="5" t="s">
        <v>791</v>
      </c>
      <c r="L69" s="5" t="s">
        <v>792</v>
      </c>
      <c r="M69" s="5" t="s">
        <v>793</v>
      </c>
      <c r="N69" s="7" t="s">
        <v>794</v>
      </c>
      <c r="O69" s="8" t="str">
        <f>HYPERLINK("https://drive.google.com/file/d/1Ph69_TVqpTsjf4q56HPO_btN2YpyoIhO/view?usp=drivesdk","68 &lt;NAMA LENGKAP&gt;&gt; _ SERTIFIKAT BIMTEK IPASN BerAKHLASK")</f>
        <v>68 &lt;NAMA LENGKAP&gt;&gt; _ SERTIFIKAT BIMTEK IPASN BerAKHLASK</v>
      </c>
      <c r="P69" s="5" t="s">
        <v>774</v>
      </c>
      <c r="Q69" s="5" t="s">
        <v>795</v>
      </c>
      <c r="R69" s="7" t="s">
        <v>796</v>
      </c>
      <c r="S69" s="7" t="str">
        <f>HYPERLINK("https://drive.google.com/file/d/17y9HSeIzrowD8JHZn8gkM5c9W_NduWUI/view?usp=drivesdk","68_NI WAYAN AYU ADNYANI, S.E. SERTIFIKAT BIMTEK IPASN-BerAKHLAK")</f>
        <v>68_NI WAYAN AYU ADNYANI, S.E. SERTIFIKAT BIMTEK IPASN-BerAKHLAK</v>
      </c>
      <c r="T69" s="5" t="s">
        <v>755</v>
      </c>
    </row>
    <row r="70">
      <c r="A70" s="4">
        <v>45534.31284782407</v>
      </c>
      <c r="B70" s="5" t="s">
        <v>34</v>
      </c>
      <c r="D70" s="5" t="s">
        <v>362</v>
      </c>
      <c r="E70" s="5" t="s">
        <v>797</v>
      </c>
      <c r="F70" s="5" t="s">
        <v>798</v>
      </c>
      <c r="G70" s="5" t="s">
        <v>799</v>
      </c>
      <c r="H70" s="6" t="s">
        <v>800</v>
      </c>
      <c r="I70" s="7" t="s">
        <v>801</v>
      </c>
      <c r="J70" s="8" t="str">
        <f>HYPERLINK("https://drive.google.com/file/d/1CX12wR8yh4EikGPC6ylC_dttnzdYyz6J/view?usp=drivesdk","RIZA RIFENDI, S.H. SERTIFIKAT BerAKHLAK")</f>
        <v>RIZA RIFENDI, S.H. SERTIFIKAT BerAKHLAK</v>
      </c>
      <c r="K70" s="5" t="s">
        <v>802</v>
      </c>
      <c r="L70" s="5" t="s">
        <v>803</v>
      </c>
      <c r="M70" s="5" t="s">
        <v>804</v>
      </c>
      <c r="N70" s="7" t="s">
        <v>805</v>
      </c>
      <c r="O70" s="8" t="str">
        <f>HYPERLINK("https://drive.google.com/file/d/19q8bYchN5pwud50t0YTbHSzpaX55k6ls/view?usp=drivesdk","69 &lt;NAMA LENGKAP&gt;&gt; _ SERTIFIKAT BIMTEK IPASN BerAKHLASK")</f>
        <v>69 &lt;NAMA LENGKAP&gt;&gt; _ SERTIFIKAT BIMTEK IPASN BerAKHLASK</v>
      </c>
      <c r="P70" s="5" t="s">
        <v>774</v>
      </c>
      <c r="Q70" s="5" t="s">
        <v>806</v>
      </c>
      <c r="R70" s="7" t="s">
        <v>807</v>
      </c>
      <c r="S70" s="7" t="str">
        <f>HYPERLINK("https://drive.google.com/file/d/13Z1DxKX4letNJYfix2wyL-yqwYyZnuej/view?usp=drivesdk","69_RIZA RIFENDI, S.H. SERTIFIKAT BIMTEK IPASN-BerAKHLAK")</f>
        <v>69_RIZA RIFENDI, S.H. SERTIFIKAT BIMTEK IPASN-BerAKHLAK</v>
      </c>
      <c r="T70" s="5" t="s">
        <v>755</v>
      </c>
    </row>
    <row r="71">
      <c r="A71" s="4">
        <v>45534.31285050926</v>
      </c>
      <c r="B71" s="5" t="s">
        <v>34</v>
      </c>
      <c r="D71" s="5" t="s">
        <v>362</v>
      </c>
      <c r="E71" s="5" t="s">
        <v>808</v>
      </c>
      <c r="F71" s="5" t="s">
        <v>524</v>
      </c>
      <c r="G71" s="5" t="s">
        <v>809</v>
      </c>
      <c r="H71" s="6" t="s">
        <v>810</v>
      </c>
      <c r="I71" s="7" t="s">
        <v>811</v>
      </c>
      <c r="J71" s="8" t="str">
        <f>HYPERLINK("https://drive.google.com/file/d/1rPPBXRUoBPsNMgwrTtdcSH7oWr_RUs9Z/view?usp=drivesdk","SRI NISMAYANA, A.Md.Rad,SKM SERTIFIKAT BerAKHLAK")</f>
        <v>SRI NISMAYANA, A.Md.Rad,SKM SERTIFIKAT BerAKHLAK</v>
      </c>
      <c r="K71" s="5" t="s">
        <v>812</v>
      </c>
      <c r="L71" s="5" t="s">
        <v>813</v>
      </c>
      <c r="M71" s="5" t="s">
        <v>814</v>
      </c>
      <c r="N71" s="7" t="s">
        <v>815</v>
      </c>
      <c r="O71" s="8" t="str">
        <f>HYPERLINK("https://drive.google.com/file/d/1sCBBy6TO8dedAeAbf-_ywn0QzgFQtx4b/view?usp=drivesdk","70 &lt;NAMA LENGKAP&gt;&gt; _ SERTIFIKAT BIMTEK IPASN BerAKHLASK")</f>
        <v>70 &lt;NAMA LENGKAP&gt;&gt; _ SERTIFIKAT BIMTEK IPASN BerAKHLASK</v>
      </c>
      <c r="P71" s="5" t="s">
        <v>774</v>
      </c>
      <c r="Q71" s="5" t="s">
        <v>816</v>
      </c>
      <c r="R71" s="7" t="s">
        <v>817</v>
      </c>
      <c r="S71" s="7" t="str">
        <f>HYPERLINK("https://drive.google.com/file/d/1uOb5e2pMA4GvUCyfmcBzKPaJ1x02YhW9/view?usp=drivesdk","70_SRI NISMAYANA, A.Md.Rad,SKM SERTIFIKAT BIMTEK IPASN-BerAKHLAK")</f>
        <v>70_SRI NISMAYANA, A.Md.Rad,SKM SERTIFIKAT BIMTEK IPASN-BerAKHLAK</v>
      </c>
      <c r="T71" s="5" t="s">
        <v>755</v>
      </c>
    </row>
    <row r="72">
      <c r="A72" s="4">
        <v>45534.31288182871</v>
      </c>
      <c r="B72" s="5" t="s">
        <v>34</v>
      </c>
      <c r="D72" s="5" t="s">
        <v>267</v>
      </c>
      <c r="E72" s="5" t="s">
        <v>818</v>
      </c>
      <c r="F72" s="5" t="s">
        <v>212</v>
      </c>
      <c r="G72" s="5" t="s">
        <v>819</v>
      </c>
      <c r="H72" s="6" t="s">
        <v>820</v>
      </c>
      <c r="I72" s="7" t="s">
        <v>821</v>
      </c>
      <c r="J72" s="8" t="str">
        <f>HYPERLINK("https://drive.google.com/file/d/1vzedfjnKeldZosnAI8OtN5Manybz-R_I/view?usp=drivesdk","SURATMAN RATMAN SERTIFIKAT BerAKHLAK")</f>
        <v>SURATMAN RATMAN SERTIFIKAT BerAKHLAK</v>
      </c>
      <c r="K72" s="5" t="s">
        <v>822</v>
      </c>
      <c r="L72" s="5" t="s">
        <v>823</v>
      </c>
      <c r="M72" s="5" t="s">
        <v>824</v>
      </c>
      <c r="N72" s="7" t="s">
        <v>825</v>
      </c>
      <c r="O72" s="8" t="str">
        <f>HYPERLINK("https://drive.google.com/file/d/1ERNKuaKCo9glhh2OYMwaA_46lK9DSenV/view?usp=drivesdk","71 &lt;NAMA LENGKAP&gt;&gt; _ SERTIFIKAT BIMTEK IPASN BerAKHLASK")</f>
        <v>71 &lt;NAMA LENGKAP&gt;&gt; _ SERTIFIKAT BIMTEK IPASN BerAKHLASK</v>
      </c>
      <c r="P72" s="5" t="s">
        <v>774</v>
      </c>
      <c r="Q72" s="5" t="s">
        <v>826</v>
      </c>
      <c r="R72" s="7" t="s">
        <v>827</v>
      </c>
      <c r="S72" s="7" t="str">
        <f>HYPERLINK("https://drive.google.com/file/d/1VA4iq8F6CNX2dSlwWdOwayL8Bi2Qaixx/view?usp=drivesdk","71_SURATMAN RATMAN SERTIFIKAT BIMTEK IPASN-BerAKHLAK")</f>
        <v>71_SURATMAN RATMAN SERTIFIKAT BIMTEK IPASN-BerAKHLAK</v>
      </c>
      <c r="T72" s="5" t="s">
        <v>828</v>
      </c>
    </row>
    <row r="73" hidden="1">
      <c r="A73" s="4">
        <v>45534.31290138889</v>
      </c>
      <c r="B73" s="5" t="s">
        <v>19</v>
      </c>
      <c r="C73" s="5" t="s">
        <v>292</v>
      </c>
      <c r="E73" s="5" t="s">
        <v>829</v>
      </c>
      <c r="F73" s="5" t="s">
        <v>524</v>
      </c>
      <c r="G73" s="5" t="s">
        <v>830</v>
      </c>
      <c r="H73" s="6" t="s">
        <v>831</v>
      </c>
      <c r="I73" s="7" t="s">
        <v>832</v>
      </c>
      <c r="J73" s="8" t="str">
        <f>HYPERLINK("https://drive.google.com/file/d/1BCwXM5c-Kw3_uwbreXBf2qzKwlDtg_bn/view?usp=drivesdk","FITRI AMALIAH, AMK.,SKM. SERTIFIKAT BerAKHLAK")</f>
        <v>FITRI AMALIAH, AMK.,SKM. SERTIFIKAT BerAKHLAK</v>
      </c>
      <c r="K73" s="5" t="s">
        <v>833</v>
      </c>
      <c r="L73" s="5" t="s">
        <v>834</v>
      </c>
      <c r="M73" s="5" t="s">
        <v>835</v>
      </c>
      <c r="N73" s="7" t="s">
        <v>836</v>
      </c>
      <c r="O73" s="8" t="str">
        <f>HYPERLINK("https://drive.google.com/file/d/1NCl64CeqUkFEZvCgAGsawbESLL7Ct7qe/view?usp=drivesdk","72 &lt;NAMA LENGKAP&gt;&gt; _ SERTIFIKAT BIMTEK IPASN BerAKHLASK")</f>
        <v>72 &lt;NAMA LENGKAP&gt;&gt; _ SERTIFIKAT BIMTEK IPASN BerAKHLASK</v>
      </c>
      <c r="P73" s="5" t="s">
        <v>837</v>
      </c>
      <c r="Q73" s="5" t="s">
        <v>838</v>
      </c>
      <c r="R73" s="7" t="s">
        <v>839</v>
      </c>
      <c r="S73" s="7" t="str">
        <f>HYPERLINK("https://drive.google.com/file/d/1-vzy3sBKYQDAyyGa23zJGn9-6uORiA3Q/view?usp=drivesdk","72_FITRI AMALIAH, AMK.,SKM. SERTIFIKAT BIMTEK IPASN-BerAKHLAK")</f>
        <v>72_FITRI AMALIAH, AMK.,SKM. SERTIFIKAT BIMTEK IPASN-BerAKHLAK</v>
      </c>
      <c r="T73" s="5" t="s">
        <v>828</v>
      </c>
    </row>
    <row r="74">
      <c r="A74" s="4">
        <v>45534.31293015047</v>
      </c>
      <c r="B74" s="5" t="s">
        <v>34</v>
      </c>
      <c r="D74" s="5" t="s">
        <v>580</v>
      </c>
      <c r="E74" s="5" t="s">
        <v>840</v>
      </c>
      <c r="F74" s="5" t="s">
        <v>37</v>
      </c>
      <c r="G74" s="5" t="s">
        <v>841</v>
      </c>
      <c r="H74" s="6" t="s">
        <v>842</v>
      </c>
      <c r="I74" s="7" t="s">
        <v>843</v>
      </c>
      <c r="J74" s="8" t="str">
        <f>HYPERLINK("https://drive.google.com/file/d/1KNFeOBFyRFU_PTBYDy8gs7D28_Psv5Nv/view?usp=drivesdk","I GUSTI AYU MANIK JUNIANTARI, A.Md.Keb SERTIFIKAT BerAKHLAK")</f>
        <v>I GUSTI AYU MANIK JUNIANTARI, A.Md.Keb SERTIFIKAT BerAKHLAK</v>
      </c>
      <c r="K74" s="5" t="s">
        <v>844</v>
      </c>
      <c r="L74" s="5" t="s">
        <v>845</v>
      </c>
      <c r="M74" s="5" t="s">
        <v>846</v>
      </c>
      <c r="N74" s="7" t="s">
        <v>847</v>
      </c>
      <c r="O74" s="8" t="str">
        <f>HYPERLINK("https://drive.google.com/file/d/1IrxRcEvtw1EXu2SSVrldLldg9L83ZnXC/view?usp=drivesdk","73 &lt;NAMA LENGKAP&gt;&gt; _ SERTIFIKAT BIMTEK IPASN BerAKHLASK")</f>
        <v>73 &lt;NAMA LENGKAP&gt;&gt; _ SERTIFIKAT BIMTEK IPASN BerAKHLASK</v>
      </c>
      <c r="P74" s="5" t="s">
        <v>837</v>
      </c>
      <c r="Q74" s="5" t="s">
        <v>848</v>
      </c>
      <c r="R74" s="7" t="s">
        <v>849</v>
      </c>
      <c r="S74" s="7" t="str">
        <f>HYPERLINK("https://drive.google.com/file/d/1EOlvbWivrFsRTdnftx7MWs-LBFfZb7v7/view?usp=drivesdk","73_I GUSTI AYU MANIK JUNIANTARI, A.Md.Keb SERTIFIKAT BIMTEK IPASN-BerAKHLAK")</f>
        <v>73_I GUSTI AYU MANIK JUNIANTARI, A.Md.Keb SERTIFIKAT BIMTEK IPASN-BerAKHLAK</v>
      </c>
      <c r="T74" s="5" t="s">
        <v>828</v>
      </c>
    </row>
    <row r="75">
      <c r="A75" s="4">
        <v>45534.31293836806</v>
      </c>
      <c r="B75" s="5" t="s">
        <v>34</v>
      </c>
      <c r="D75" s="5" t="s">
        <v>580</v>
      </c>
      <c r="E75" s="5" t="s">
        <v>850</v>
      </c>
      <c r="F75" s="5" t="s">
        <v>212</v>
      </c>
      <c r="G75" s="5" t="s">
        <v>851</v>
      </c>
      <c r="H75" s="6" t="s">
        <v>852</v>
      </c>
      <c r="I75" s="7" t="s">
        <v>853</v>
      </c>
      <c r="J75" s="8" t="str">
        <f>HYPERLINK("https://drive.google.com/file/d/17Bnx2gk9VPpenLXlAUUAWaAmucL2ASys/view?usp=drivesdk","NI WAYAN EKA SURYA DIRGAYANI, A.Md.Kep SERTIFIKAT BerAKHLAK")</f>
        <v>NI WAYAN EKA SURYA DIRGAYANI, A.Md.Kep SERTIFIKAT BerAKHLAK</v>
      </c>
      <c r="K75" s="5" t="s">
        <v>854</v>
      </c>
      <c r="L75" s="5" t="s">
        <v>855</v>
      </c>
      <c r="M75" s="5" t="s">
        <v>856</v>
      </c>
      <c r="N75" s="7" t="s">
        <v>857</v>
      </c>
      <c r="O75" s="8" t="str">
        <f>HYPERLINK("https://drive.google.com/file/d/1B8GH9GRl6Cgq6oyRWM5qmTEWFj0trCh5/view?usp=drivesdk","74 &lt;NAMA LENGKAP&gt;&gt; _ SERTIFIKAT BIMTEK IPASN BerAKHLASK")</f>
        <v>74 &lt;NAMA LENGKAP&gt;&gt; _ SERTIFIKAT BIMTEK IPASN BerAKHLASK</v>
      </c>
      <c r="P75" s="5" t="s">
        <v>837</v>
      </c>
      <c r="Q75" s="5" t="s">
        <v>858</v>
      </c>
      <c r="R75" s="7" t="s">
        <v>859</v>
      </c>
      <c r="S75" s="7" t="str">
        <f>HYPERLINK("https://drive.google.com/file/d/1AZFHYJcJ4sN18c7mi9MTuHbHVMbUmz8v/view?usp=drivesdk","74_NI WAYAN EKA SURYA DIRGAYANI, A.Md.Kep SERTIFIKAT BIMTEK IPASN-BerAKHLAK")</f>
        <v>74_NI WAYAN EKA SURYA DIRGAYANI, A.Md.Kep SERTIFIKAT BIMTEK IPASN-BerAKHLAK</v>
      </c>
      <c r="T75" s="5" t="s">
        <v>828</v>
      </c>
    </row>
    <row r="76" hidden="1">
      <c r="A76" s="4">
        <v>45534.31300954861</v>
      </c>
      <c r="B76" s="5" t="s">
        <v>19</v>
      </c>
      <c r="C76" s="5" t="s">
        <v>466</v>
      </c>
      <c r="E76" s="5" t="s">
        <v>860</v>
      </c>
      <c r="F76" s="5" t="s">
        <v>108</v>
      </c>
      <c r="G76" s="5" t="s">
        <v>861</v>
      </c>
      <c r="H76" s="6" t="s">
        <v>862</v>
      </c>
      <c r="I76" s="7" t="s">
        <v>863</v>
      </c>
      <c r="J76" s="8" t="str">
        <f>HYPERLINK("https://drive.google.com/file/d/1N6xIsM1JBd0eI49HFf8Lkg5x7R2QsPvg/view?usp=drivesdk","DONY ANGGIAT MARULI SERTIFIKAT BerAKHLAK")</f>
        <v>DONY ANGGIAT MARULI SERTIFIKAT BerAKHLAK</v>
      </c>
      <c r="K76" s="5" t="s">
        <v>864</v>
      </c>
      <c r="L76" s="5" t="s">
        <v>865</v>
      </c>
      <c r="M76" s="5" t="s">
        <v>866</v>
      </c>
      <c r="N76" s="7" t="s">
        <v>867</v>
      </c>
      <c r="O76" s="8" t="str">
        <f>HYPERLINK("https://drive.google.com/file/d/1oXPFWM8chcckIMBBHySqoWvA4-o5MkXF/view?usp=drivesdk","75 &lt;NAMA LENGKAP&gt;&gt; _ SERTIFIKAT BIMTEK IPASN BerAKHLASK")</f>
        <v>75 &lt;NAMA LENGKAP&gt;&gt; _ SERTIFIKAT BIMTEK IPASN BerAKHLASK</v>
      </c>
      <c r="P76" s="5" t="s">
        <v>837</v>
      </c>
      <c r="Q76" s="5" t="s">
        <v>868</v>
      </c>
      <c r="R76" s="7" t="s">
        <v>869</v>
      </c>
      <c r="S76" s="7" t="str">
        <f>HYPERLINK("https://drive.google.com/file/d/1SrpLILZM_ykAer3cvbptnYfsRBpj-D6l/view?usp=drivesdk","75_DONY ANGGIAT MARULI SERTIFIKAT BIMTEK IPASN-BerAKHLAK")</f>
        <v>75_DONY ANGGIAT MARULI SERTIFIKAT BIMTEK IPASN-BerAKHLAK</v>
      </c>
      <c r="T76" s="5" t="s">
        <v>828</v>
      </c>
    </row>
    <row r="77">
      <c r="A77" s="4">
        <v>45534.31303134259</v>
      </c>
      <c r="B77" s="5" t="s">
        <v>34</v>
      </c>
      <c r="D77" s="5" t="s">
        <v>522</v>
      </c>
      <c r="E77" s="5" t="s">
        <v>870</v>
      </c>
      <c r="F77" s="5" t="s">
        <v>72</v>
      </c>
      <c r="G77" s="5" t="s">
        <v>871</v>
      </c>
      <c r="H77" s="6" t="s">
        <v>872</v>
      </c>
      <c r="I77" s="7" t="s">
        <v>873</v>
      </c>
      <c r="J77" s="8" t="str">
        <f>HYPERLINK("https://drive.google.com/file/d/1xJYFP8vcZUOqh92NL0tkWB977hqqNOq2/view?usp=drivesdk","NI GUSTI AYU RIKA DAMAYANTI SERTIFIKAT BerAKHLAK")</f>
        <v>NI GUSTI AYU RIKA DAMAYANTI SERTIFIKAT BerAKHLAK</v>
      </c>
      <c r="K77" s="5" t="s">
        <v>874</v>
      </c>
      <c r="L77" s="5" t="s">
        <v>875</v>
      </c>
      <c r="M77" s="5" t="s">
        <v>876</v>
      </c>
      <c r="N77" s="7" t="s">
        <v>877</v>
      </c>
      <c r="O77" s="8" t="str">
        <f>HYPERLINK("https://drive.google.com/file/d/1IvQguKqDyP4x_HxB_n4pPOywMlf8yLUQ/view?usp=drivesdk","76 &lt;NAMA LENGKAP&gt;&gt; _ SERTIFIKAT BIMTEK IPASN BerAKHLASK")</f>
        <v>76 &lt;NAMA LENGKAP&gt;&gt; _ SERTIFIKAT BIMTEK IPASN BerAKHLASK</v>
      </c>
      <c r="P77" s="5" t="s">
        <v>878</v>
      </c>
      <c r="Q77" s="5" t="s">
        <v>879</v>
      </c>
      <c r="R77" s="7" t="s">
        <v>880</v>
      </c>
      <c r="S77" s="7" t="str">
        <f>HYPERLINK("https://drive.google.com/file/d/1zxYLX9IZQJzQW1C47UXAIDX-fz8ySJI2/view?usp=drivesdk","76_NI GUSTI AYU RIKA DAMAYANTI SERTIFIKAT BIMTEK IPASN-BerAKHLAK")</f>
        <v>76_NI GUSTI AYU RIKA DAMAYANTI SERTIFIKAT BIMTEK IPASN-BerAKHLAK</v>
      </c>
      <c r="T77" s="5" t="s">
        <v>828</v>
      </c>
    </row>
    <row r="78">
      <c r="A78" s="4">
        <v>45534.31305991898</v>
      </c>
      <c r="B78" s="5" t="s">
        <v>34</v>
      </c>
      <c r="D78" s="5" t="s">
        <v>35</v>
      </c>
      <c r="E78" s="5" t="s">
        <v>881</v>
      </c>
      <c r="F78" s="5" t="s">
        <v>212</v>
      </c>
      <c r="G78" s="5" t="s">
        <v>882</v>
      </c>
      <c r="H78" s="6" t="s">
        <v>883</v>
      </c>
      <c r="I78" s="7" t="s">
        <v>884</v>
      </c>
      <c r="J78" s="8" t="str">
        <f>HYPERLINK("https://drive.google.com/file/d/1gPFbzkrTB5LtIorSicm34RN7mVF5txNk/view?usp=drivesdk","SITI MAEMUNAH SERTIFIKAT BerAKHLAK")</f>
        <v>SITI MAEMUNAH SERTIFIKAT BerAKHLAK</v>
      </c>
      <c r="K78" s="5" t="s">
        <v>885</v>
      </c>
      <c r="L78" s="5" t="s">
        <v>886</v>
      </c>
      <c r="M78" s="5" t="s">
        <v>887</v>
      </c>
      <c r="N78" s="7" t="s">
        <v>888</v>
      </c>
      <c r="O78" s="8" t="str">
        <f>HYPERLINK("https://drive.google.com/file/d/1GAEAN36hsYUhtvnbJjpXzvhrnfDV41dT/view?usp=drivesdk","77 &lt;NAMA LENGKAP&gt;&gt; _ SERTIFIKAT BIMTEK IPASN BerAKHLASK")</f>
        <v>77 &lt;NAMA LENGKAP&gt;&gt; _ SERTIFIKAT BIMTEK IPASN BerAKHLASK</v>
      </c>
      <c r="P78" s="5" t="s">
        <v>878</v>
      </c>
      <c r="Q78" s="5" t="s">
        <v>889</v>
      </c>
      <c r="R78" s="7" t="s">
        <v>890</v>
      </c>
      <c r="S78" s="7" t="str">
        <f>HYPERLINK("https://drive.google.com/file/d/13LfJQazt-pIEI4djhDA7jKxArZGey6QO/view?usp=drivesdk","77_SITI MAEMUNAH SERTIFIKAT BIMTEK IPASN-BerAKHLAK")</f>
        <v>77_SITI MAEMUNAH SERTIFIKAT BIMTEK IPASN-BerAKHLAK</v>
      </c>
      <c r="T78" s="5" t="s">
        <v>891</v>
      </c>
    </row>
    <row r="79">
      <c r="A79" s="4">
        <v>45534.313085312504</v>
      </c>
      <c r="B79" s="5" t="s">
        <v>34</v>
      </c>
      <c r="D79" s="5" t="s">
        <v>35</v>
      </c>
      <c r="E79" s="5" t="s">
        <v>892</v>
      </c>
      <c r="F79" s="5" t="s">
        <v>108</v>
      </c>
      <c r="G79" s="5" t="s">
        <v>893</v>
      </c>
      <c r="H79" s="6" t="s">
        <v>894</v>
      </c>
      <c r="I79" s="7" t="s">
        <v>895</v>
      </c>
      <c r="J79" s="8" t="str">
        <f>HYPERLINK("https://drive.google.com/file/d/1C645NeQ1VbgrmpgVebM6RVsGLDFJ-pMy/view?usp=drivesdk","ERNA KURNIAWATI, S. Ak SERTIFIKAT BerAKHLAK")</f>
        <v>ERNA KURNIAWATI, S. Ak SERTIFIKAT BerAKHLAK</v>
      </c>
      <c r="K79" s="5" t="s">
        <v>896</v>
      </c>
      <c r="L79" s="5" t="s">
        <v>897</v>
      </c>
      <c r="M79" s="5" t="s">
        <v>898</v>
      </c>
      <c r="N79" s="7" t="s">
        <v>899</v>
      </c>
      <c r="O79" s="8" t="str">
        <f>HYPERLINK("https://drive.google.com/file/d/1FjM8MhG5lUFyuj0tCS83R30RIkw3PclF/view?usp=drivesdk","78 &lt;NAMA LENGKAP&gt;&gt; _ SERTIFIKAT BIMTEK IPASN BerAKHLASK")</f>
        <v>78 &lt;NAMA LENGKAP&gt;&gt; _ SERTIFIKAT BIMTEK IPASN BerAKHLASK</v>
      </c>
      <c r="P79" s="5" t="s">
        <v>878</v>
      </c>
      <c r="Q79" s="5" t="s">
        <v>900</v>
      </c>
      <c r="R79" s="7" t="s">
        <v>901</v>
      </c>
      <c r="S79" s="7" t="str">
        <f>HYPERLINK("https://drive.google.com/file/d/1Cv2CEXqpuvByCuonada7s2MfPEVNSCqn/view?usp=drivesdk","78_ERNA KURNIAWATI, S. Ak SERTIFIKAT BIMTEK IPASN-BerAKHLAK")</f>
        <v>78_ERNA KURNIAWATI, S. Ak SERTIFIKAT BIMTEK IPASN-BerAKHLAK</v>
      </c>
      <c r="T79" s="5" t="s">
        <v>891</v>
      </c>
    </row>
    <row r="80">
      <c r="A80" s="4">
        <v>45534.31309038194</v>
      </c>
      <c r="B80" s="5" t="s">
        <v>34</v>
      </c>
      <c r="D80" s="5" t="s">
        <v>35</v>
      </c>
      <c r="E80" s="5" t="s">
        <v>902</v>
      </c>
      <c r="F80" s="5" t="s">
        <v>715</v>
      </c>
      <c r="G80" s="5" t="s">
        <v>903</v>
      </c>
      <c r="H80" s="6" t="s">
        <v>904</v>
      </c>
      <c r="I80" s="7" t="s">
        <v>905</v>
      </c>
      <c r="J80" s="8" t="str">
        <f>HYPERLINK("https://drive.google.com/file/d/1zWKh9xvCEr_0HYZkp149NYuROzWqy8q5/view?usp=drivesdk","DIDI WIJAYANTO, A.MD.KOM SERTIFIKAT BerAKHLAK")</f>
        <v>DIDI WIJAYANTO, A.MD.KOM SERTIFIKAT BerAKHLAK</v>
      </c>
      <c r="K80" s="5" t="s">
        <v>906</v>
      </c>
      <c r="L80" s="5" t="s">
        <v>907</v>
      </c>
      <c r="M80" s="5" t="s">
        <v>908</v>
      </c>
      <c r="N80" s="7" t="s">
        <v>909</v>
      </c>
      <c r="O80" s="8" t="str">
        <f>HYPERLINK("https://drive.google.com/file/d/1cwqzHd0VozObphpi5M6CmiyUiDqO4gy1/view?usp=drivesdk","79 &lt;NAMA LENGKAP&gt;&gt; _ SERTIFIKAT BIMTEK IPASN BerAKHLASK")</f>
        <v>79 &lt;NAMA LENGKAP&gt;&gt; _ SERTIFIKAT BIMTEK IPASN BerAKHLASK</v>
      </c>
      <c r="P80" s="5" t="s">
        <v>878</v>
      </c>
      <c r="Q80" s="5" t="s">
        <v>910</v>
      </c>
      <c r="R80" s="7" t="s">
        <v>911</v>
      </c>
      <c r="S80" s="7" t="str">
        <f>HYPERLINK("https://drive.google.com/file/d/132YFu8IxMuXCvBQKVNacjclYdlYbxLPA/view?usp=drivesdk","79_DIDI WIJAYANTO, A.MD.KOM SERTIFIKAT BIMTEK IPASN-BerAKHLAK")</f>
        <v>79_DIDI WIJAYANTO, A.MD.KOM SERTIFIKAT BIMTEK IPASN-BerAKHLAK</v>
      </c>
      <c r="T80" s="5" t="s">
        <v>891</v>
      </c>
    </row>
    <row r="81">
      <c r="A81" s="4">
        <v>45534.31310060185</v>
      </c>
      <c r="B81" s="5" t="s">
        <v>34</v>
      </c>
      <c r="D81" s="5" t="s">
        <v>362</v>
      </c>
      <c r="E81" s="5" t="s">
        <v>912</v>
      </c>
      <c r="F81" s="5" t="s">
        <v>37</v>
      </c>
      <c r="G81" s="5" t="s">
        <v>913</v>
      </c>
      <c r="H81" s="6" t="s">
        <v>914</v>
      </c>
      <c r="I81" s="7" t="s">
        <v>915</v>
      </c>
      <c r="J81" s="8" t="str">
        <f>HYPERLINK("https://drive.google.com/file/d/1a5k9Zx-nSrm2ZEPnzC3EXmOh9RD6da2F/view?usp=drivesdk","NUR RAHMAH ASHADI, A.Md SERTIFIKAT BerAKHLAK")</f>
        <v>NUR RAHMAH ASHADI, A.Md SERTIFIKAT BerAKHLAK</v>
      </c>
      <c r="K81" s="5" t="s">
        <v>916</v>
      </c>
      <c r="L81" s="5" t="s">
        <v>917</v>
      </c>
      <c r="M81" s="5" t="s">
        <v>918</v>
      </c>
      <c r="N81" s="7" t="s">
        <v>919</v>
      </c>
      <c r="O81" s="8" t="str">
        <f>HYPERLINK("https://drive.google.com/file/d/1NVPnvcWhyGpcZ6KU2nZAeIBQKWnX6kN4/view?usp=drivesdk","80 &lt;NAMA LENGKAP&gt;&gt; _ SERTIFIKAT BIMTEK IPASN BerAKHLASK")</f>
        <v>80 &lt;NAMA LENGKAP&gt;&gt; _ SERTIFIKAT BIMTEK IPASN BerAKHLASK</v>
      </c>
      <c r="P81" s="5" t="s">
        <v>878</v>
      </c>
      <c r="Q81" s="5" t="s">
        <v>920</v>
      </c>
      <c r="R81" s="7" t="s">
        <v>921</v>
      </c>
      <c r="S81" s="7" t="str">
        <f>HYPERLINK("https://drive.google.com/file/d/1FYFUvw1y9TlCfhKXl8Y_8VQwEw2Isetx/view?usp=drivesdk","80_NUR RAHMAH ASHADI, A.Md SERTIFIKAT BIMTEK IPASN-BerAKHLAK")</f>
        <v>80_NUR RAHMAH ASHADI, A.Md SERTIFIKAT BIMTEK IPASN-BerAKHLAK</v>
      </c>
      <c r="T81" s="5" t="s">
        <v>891</v>
      </c>
    </row>
    <row r="82">
      <c r="A82" s="4">
        <v>45534.31311048611</v>
      </c>
      <c r="B82" s="5" t="s">
        <v>34</v>
      </c>
      <c r="D82" s="5" t="s">
        <v>522</v>
      </c>
      <c r="E82" s="5" t="s">
        <v>922</v>
      </c>
      <c r="F82" s="5" t="s">
        <v>375</v>
      </c>
      <c r="G82" s="5" t="s">
        <v>923</v>
      </c>
      <c r="H82" s="6" t="s">
        <v>924</v>
      </c>
      <c r="I82" s="7" t="s">
        <v>925</v>
      </c>
      <c r="J82" s="8" t="str">
        <f>HYPERLINK("https://drive.google.com/file/d/18OB36DOs_214VWnwYfMy3oYPyU8HxeJ9/view?usp=drivesdk","WAHYUDDIN SYAH, S.T. SERTIFIKAT BerAKHLAK")</f>
        <v>WAHYUDDIN SYAH, S.T. SERTIFIKAT BerAKHLAK</v>
      </c>
      <c r="K82" s="5" t="s">
        <v>926</v>
      </c>
      <c r="L82" s="5" t="s">
        <v>927</v>
      </c>
      <c r="M82" s="5" t="s">
        <v>928</v>
      </c>
      <c r="N82" s="7" t="s">
        <v>929</v>
      </c>
      <c r="O82" s="8" t="str">
        <f>HYPERLINK("https://drive.google.com/file/d/1Nu4lVPdHgkq_ccHM9rLA4KvwWSqEc7XI/view?usp=drivesdk","81 &lt;NAMA LENGKAP&gt;&gt; _ SERTIFIKAT BIMTEK IPASN BerAKHLASK")</f>
        <v>81 &lt;NAMA LENGKAP&gt;&gt; _ SERTIFIKAT BIMTEK IPASN BerAKHLASK</v>
      </c>
      <c r="P82" s="5" t="s">
        <v>878</v>
      </c>
      <c r="Q82" s="5" t="s">
        <v>930</v>
      </c>
      <c r="R82" s="7" t="s">
        <v>931</v>
      </c>
      <c r="S82" s="7" t="str">
        <f>HYPERLINK("https://drive.google.com/file/d/1pohO-kxzCPpv1MkQ6IP-MXnl35ZilPnA/view?usp=drivesdk","81_WAHYUDDIN SYAH, S.T. SERTIFIKAT BIMTEK IPASN-BerAKHLAK")</f>
        <v>81_WAHYUDDIN SYAH, S.T. SERTIFIKAT BIMTEK IPASN-BerAKHLAK</v>
      </c>
      <c r="T82" s="5" t="s">
        <v>891</v>
      </c>
    </row>
    <row r="83" hidden="1">
      <c r="A83" s="4">
        <v>45534.313164583335</v>
      </c>
      <c r="B83" s="5" t="s">
        <v>19</v>
      </c>
      <c r="C83" s="5" t="s">
        <v>442</v>
      </c>
      <c r="E83" s="5" t="s">
        <v>932</v>
      </c>
      <c r="F83" s="5" t="s">
        <v>108</v>
      </c>
      <c r="G83" s="5" t="s">
        <v>933</v>
      </c>
      <c r="H83" s="6" t="s">
        <v>934</v>
      </c>
      <c r="I83" s="7" t="s">
        <v>935</v>
      </c>
      <c r="J83" s="8" t="str">
        <f>HYPERLINK("https://drive.google.com/file/d/1WTGQisjlciTi2xRXq7MPdDBSaqqJ5mmV/view?usp=drivesdk","INDRATNO SANTOSO, S.H. SERTIFIKAT BerAKHLAK")</f>
        <v>INDRATNO SANTOSO, S.H. SERTIFIKAT BerAKHLAK</v>
      </c>
      <c r="K83" s="5" t="s">
        <v>936</v>
      </c>
      <c r="L83" s="5" t="s">
        <v>937</v>
      </c>
      <c r="M83" s="5" t="s">
        <v>938</v>
      </c>
      <c r="N83" s="7" t="s">
        <v>939</v>
      </c>
      <c r="O83" s="8" t="str">
        <f>HYPERLINK("https://drive.google.com/file/d/1lrCIkJJs0pcem5nft9M0kcLoy_IzSLKU/view?usp=drivesdk","82 &lt;NAMA LENGKAP&gt;&gt; _ SERTIFIKAT BIMTEK IPASN BerAKHLASK")</f>
        <v>82 &lt;NAMA LENGKAP&gt;&gt; _ SERTIFIKAT BIMTEK IPASN BerAKHLASK</v>
      </c>
      <c r="P83" s="5" t="s">
        <v>940</v>
      </c>
      <c r="Q83" s="5" t="s">
        <v>941</v>
      </c>
      <c r="R83" s="7" t="s">
        <v>942</v>
      </c>
      <c r="S83" s="7" t="str">
        <f>HYPERLINK("https://drive.google.com/file/d/1SKxXSitCMPMjrhZFDaswWZzbIaxVhx_-/view?usp=drivesdk","82_INDRATNO SANTOSO, S.H. SERTIFIKAT BIMTEK IPASN-BerAKHLAK")</f>
        <v>82_INDRATNO SANTOSO, S.H. SERTIFIKAT BIMTEK IPASN-BerAKHLAK</v>
      </c>
      <c r="T83" s="5" t="s">
        <v>891</v>
      </c>
    </row>
    <row r="84">
      <c r="A84" s="4">
        <v>45534.313209942135</v>
      </c>
      <c r="B84" s="5" t="s">
        <v>34</v>
      </c>
      <c r="D84" s="5" t="s">
        <v>522</v>
      </c>
      <c r="E84" s="5" t="s">
        <v>943</v>
      </c>
      <c r="F84" s="5" t="s">
        <v>37</v>
      </c>
      <c r="G84" s="5" t="s">
        <v>944</v>
      </c>
      <c r="H84" s="6" t="s">
        <v>945</v>
      </c>
      <c r="I84" s="7" t="s">
        <v>946</v>
      </c>
      <c r="J84" s="8" t="str">
        <f>HYPERLINK("https://drive.google.com/file/d/1_Sovf_KX0wGoTZO80gwYign2y1du41fF/view?usp=drivesdk","SUHARDI MARDIYANTO, Amd.Kep. SERTIFIKAT BerAKHLAK")</f>
        <v>SUHARDI MARDIYANTO, Amd.Kep. SERTIFIKAT BerAKHLAK</v>
      </c>
      <c r="K84" s="5" t="s">
        <v>947</v>
      </c>
      <c r="L84" s="5" t="s">
        <v>948</v>
      </c>
      <c r="M84" s="5" t="s">
        <v>949</v>
      </c>
      <c r="N84" s="7" t="s">
        <v>950</v>
      </c>
      <c r="O84" s="8" t="str">
        <f>HYPERLINK("https://drive.google.com/file/d/1MVE02iOr9r4Os6_c4uHIezK_Hm31UWzc/view?usp=drivesdk","83 &lt;NAMA LENGKAP&gt;&gt; _ SERTIFIKAT BIMTEK IPASN BerAKHLASK")</f>
        <v>83 &lt;NAMA LENGKAP&gt;&gt; _ SERTIFIKAT BIMTEK IPASN BerAKHLASK</v>
      </c>
      <c r="P84" s="5" t="s">
        <v>951</v>
      </c>
      <c r="Q84" s="5" t="s">
        <v>952</v>
      </c>
      <c r="R84" s="7" t="s">
        <v>953</v>
      </c>
      <c r="S84" s="7" t="str">
        <f>HYPERLINK("https://drive.google.com/file/d/1K6HrZZ5xgeJl_NETyiW6EzlGRMUdzo4-/view?usp=drivesdk","83_SUHARDI MARDIYANTO, Amd.Kep. SERTIFIKAT BIMTEK IPASN-BerAKHLAK")</f>
        <v>83_SUHARDI MARDIYANTO, Amd.Kep. SERTIFIKAT BIMTEK IPASN-BerAKHLAK</v>
      </c>
      <c r="T84" s="5" t="s">
        <v>954</v>
      </c>
    </row>
    <row r="85">
      <c r="A85" s="4">
        <v>45534.31321096065</v>
      </c>
      <c r="B85" s="5" t="s">
        <v>34</v>
      </c>
      <c r="D85" s="5" t="s">
        <v>267</v>
      </c>
      <c r="E85" s="5" t="s">
        <v>955</v>
      </c>
      <c r="F85" s="5" t="s">
        <v>375</v>
      </c>
      <c r="G85" s="5" t="s">
        <v>956</v>
      </c>
      <c r="H85" s="6" t="s">
        <v>957</v>
      </c>
      <c r="I85" s="7" t="s">
        <v>958</v>
      </c>
      <c r="J85" s="8" t="str">
        <f>HYPERLINK("https://drive.google.com/file/d/1qgrWzAvzfM8WD3XG8pvL5WHjK-NDRXhI/view?usp=drivesdk","HARISTIONO RAMDHANI,S.E.,M.M. SERTIFIKAT BerAKHLAK")</f>
        <v>HARISTIONO RAMDHANI,S.E.,M.M. SERTIFIKAT BerAKHLAK</v>
      </c>
      <c r="K85" s="5" t="s">
        <v>959</v>
      </c>
      <c r="L85" s="5" t="s">
        <v>960</v>
      </c>
      <c r="M85" s="5" t="s">
        <v>961</v>
      </c>
      <c r="N85" s="7" t="s">
        <v>962</v>
      </c>
      <c r="O85" s="8" t="str">
        <f>HYPERLINK("https://drive.google.com/file/d/1uea9XbP8JAIAq4clTCeyNny2Pvjby_4a/view?usp=drivesdk","84 &lt;NAMA LENGKAP&gt;&gt; _ SERTIFIKAT BIMTEK IPASN BerAKHLASK")</f>
        <v>84 &lt;NAMA LENGKAP&gt;&gt; _ SERTIFIKAT BIMTEK IPASN BerAKHLASK</v>
      </c>
      <c r="P85" s="5" t="s">
        <v>951</v>
      </c>
      <c r="Q85" s="5" t="s">
        <v>963</v>
      </c>
      <c r="R85" s="7" t="s">
        <v>964</v>
      </c>
      <c r="S85" s="7" t="str">
        <f>HYPERLINK("https://drive.google.com/file/d/12v0QTJconuALn6GBcO96ojYZhPvy2-GJ/view?usp=drivesdk","84_HARISTIONO RAMDHANI,S.E.,M.M. SERTIFIKAT BIMTEK IPASN-BerAKHLAK")</f>
        <v>84_HARISTIONO RAMDHANI,S.E.,M.M. SERTIFIKAT BIMTEK IPASN-BerAKHLAK</v>
      </c>
      <c r="T85" s="5" t="s">
        <v>954</v>
      </c>
    </row>
    <row r="86">
      <c r="A86" s="4">
        <v>45534.31329597222</v>
      </c>
      <c r="B86" s="5" t="s">
        <v>34</v>
      </c>
      <c r="D86" s="5" t="s">
        <v>35</v>
      </c>
      <c r="E86" s="5" t="s">
        <v>965</v>
      </c>
      <c r="F86" s="5" t="s">
        <v>37</v>
      </c>
      <c r="G86" s="5" t="s">
        <v>966</v>
      </c>
      <c r="H86" s="6" t="s">
        <v>967</v>
      </c>
      <c r="I86" s="7" t="s">
        <v>968</v>
      </c>
      <c r="J86" s="8" t="str">
        <f>HYPERLINK("https://drive.google.com/file/d/1RoTwBad9-mYlDD9RwdDEuDtwB3IcT2og/view?usp=drivesdk","PENGATUR JUHANA SERTIFIKAT BerAKHLAK")</f>
        <v>PENGATUR JUHANA SERTIFIKAT BerAKHLAK</v>
      </c>
      <c r="K86" s="5" t="s">
        <v>969</v>
      </c>
      <c r="L86" s="5" t="s">
        <v>970</v>
      </c>
      <c r="M86" s="5" t="s">
        <v>971</v>
      </c>
      <c r="N86" s="7" t="s">
        <v>972</v>
      </c>
      <c r="O86" s="8" t="str">
        <f>HYPERLINK("https://drive.google.com/file/d/1F2m-RTnGEZGkqNrqFHsPXrubfb8XMl9C/view?usp=drivesdk","85 &lt;NAMA LENGKAP&gt;&gt; _ SERTIFIKAT BIMTEK IPASN BerAKHLASK")</f>
        <v>85 &lt;NAMA LENGKAP&gt;&gt; _ SERTIFIKAT BIMTEK IPASN BerAKHLASK</v>
      </c>
      <c r="P86" s="5" t="s">
        <v>951</v>
      </c>
      <c r="Q86" s="5" t="s">
        <v>973</v>
      </c>
      <c r="R86" s="7" t="s">
        <v>974</v>
      </c>
      <c r="S86" s="7" t="str">
        <f>HYPERLINK("https://drive.google.com/file/d/1JMeWb-n1cvok9nsE6_Y4b9G-7WRc8DC4/view?usp=drivesdk","85_PENGATUR JUHANA SERTIFIKAT BIMTEK IPASN-BerAKHLAK")</f>
        <v>85_PENGATUR JUHANA SERTIFIKAT BIMTEK IPASN-BerAKHLAK</v>
      </c>
      <c r="T86" s="5" t="s">
        <v>954</v>
      </c>
    </row>
    <row r="87">
      <c r="A87" s="4">
        <v>45534.313298611116</v>
      </c>
      <c r="B87" s="5" t="s">
        <v>34</v>
      </c>
      <c r="D87" s="5" t="s">
        <v>975</v>
      </c>
      <c r="E87" s="5" t="s">
        <v>976</v>
      </c>
      <c r="F87" s="5" t="s">
        <v>37</v>
      </c>
      <c r="G87" s="5" t="s">
        <v>977</v>
      </c>
      <c r="H87" s="6" t="s">
        <v>978</v>
      </c>
      <c r="I87" s="7" t="s">
        <v>979</v>
      </c>
      <c r="J87" s="8" t="str">
        <f>HYPERLINK("https://drive.google.com/file/d/15mKafEA-rM2cv-oXn8XOk5ZR3AMWM5Jg/view?usp=drivesdk","TABITA HENOCH, A. MD. FARM. SERTIFIKAT BerAKHLAK")</f>
        <v>TABITA HENOCH, A. MD. FARM. SERTIFIKAT BerAKHLAK</v>
      </c>
      <c r="K87" s="5" t="s">
        <v>980</v>
      </c>
      <c r="L87" s="5" t="s">
        <v>981</v>
      </c>
      <c r="M87" s="5" t="s">
        <v>982</v>
      </c>
      <c r="N87" s="7" t="s">
        <v>983</v>
      </c>
      <c r="O87" s="8" t="str">
        <f>HYPERLINK("https://drive.google.com/file/d/1DWxjuZVOe4nDxBg9ynG4YP-OVUq-00ob/view?usp=drivesdk","86 &lt;NAMA LENGKAP&gt;&gt; _ SERTIFIKAT BIMTEK IPASN BerAKHLASK")</f>
        <v>86 &lt;NAMA LENGKAP&gt;&gt; _ SERTIFIKAT BIMTEK IPASN BerAKHLASK</v>
      </c>
      <c r="P87" s="5" t="s">
        <v>951</v>
      </c>
      <c r="Q87" s="5" t="s">
        <v>984</v>
      </c>
      <c r="R87" s="7" t="s">
        <v>985</v>
      </c>
      <c r="S87" s="7" t="str">
        <f>HYPERLINK("https://drive.google.com/file/d/1Q3qHJ140yhjgYAFj27LyaVycvraoSDa8/view?usp=drivesdk","86_TABITA HENOCH, A. MD. FARM. SERTIFIKAT BIMTEK IPASN-BerAKHLAK")</f>
        <v>86_TABITA HENOCH, A. MD. FARM. SERTIFIKAT BIMTEK IPASN-BerAKHLAK</v>
      </c>
      <c r="T87" s="5" t="s">
        <v>954</v>
      </c>
    </row>
    <row r="88">
      <c r="A88" s="4">
        <v>45534.313319988425</v>
      </c>
      <c r="B88" s="5" t="s">
        <v>34</v>
      </c>
      <c r="D88" s="5" t="s">
        <v>35</v>
      </c>
      <c r="E88" s="5" t="s">
        <v>986</v>
      </c>
      <c r="F88" s="5" t="s">
        <v>37</v>
      </c>
      <c r="G88" s="5" t="s">
        <v>987</v>
      </c>
      <c r="H88" s="6" t="s">
        <v>988</v>
      </c>
      <c r="I88" s="7" t="s">
        <v>989</v>
      </c>
      <c r="J88" s="8" t="str">
        <f>HYPERLINK("https://drive.google.com/file/d/1IqDAzgHc3LjzD_E0gcnctS1vW_dXYx7L/view?usp=drivesdk","MIMIN SUMINARSIH SERTIFIKAT BerAKHLAK")</f>
        <v>MIMIN SUMINARSIH SERTIFIKAT BerAKHLAK</v>
      </c>
      <c r="K88" s="5" t="s">
        <v>990</v>
      </c>
      <c r="L88" s="5" t="s">
        <v>991</v>
      </c>
      <c r="M88" s="5" t="s">
        <v>992</v>
      </c>
      <c r="N88" s="7" t="s">
        <v>993</v>
      </c>
      <c r="O88" s="8" t="str">
        <f>HYPERLINK("https://drive.google.com/file/d/1eUajCtSncNMFXRwucYQ0Ry0sCQ5ek1p2/view?usp=drivesdk","87 &lt;NAMA LENGKAP&gt;&gt; _ SERTIFIKAT BIMTEK IPASN BerAKHLASK")</f>
        <v>87 &lt;NAMA LENGKAP&gt;&gt; _ SERTIFIKAT BIMTEK IPASN BerAKHLASK</v>
      </c>
      <c r="P88" s="5" t="s">
        <v>951</v>
      </c>
      <c r="Q88" s="5" t="s">
        <v>994</v>
      </c>
      <c r="R88" s="7" t="s">
        <v>995</v>
      </c>
      <c r="S88" s="7" t="str">
        <f>HYPERLINK("https://drive.google.com/file/d/1rqbqnXG4c_0_Sx1vVAKo5MwmyQl492GP/view?usp=drivesdk","87_MIMIN SUMINARSIH SERTIFIKAT BIMTEK IPASN-BerAKHLAK")</f>
        <v>87_MIMIN SUMINARSIH SERTIFIKAT BIMTEK IPASN-BerAKHLAK</v>
      </c>
      <c r="T88" s="5" t="s">
        <v>954</v>
      </c>
    </row>
    <row r="89">
      <c r="A89" s="4">
        <v>45534.31337130787</v>
      </c>
      <c r="B89" s="5" t="s">
        <v>34</v>
      </c>
      <c r="D89" s="5" t="s">
        <v>996</v>
      </c>
      <c r="E89" s="5" t="s">
        <v>997</v>
      </c>
      <c r="F89" s="5" t="s">
        <v>375</v>
      </c>
      <c r="G89" s="5" t="s">
        <v>998</v>
      </c>
      <c r="H89" s="6" t="s">
        <v>999</v>
      </c>
      <c r="I89" s="7" t="s">
        <v>1000</v>
      </c>
      <c r="J89" s="8" t="str">
        <f>HYPERLINK("https://drive.google.com/file/d/1r-l92c9Fl6qNxWV2h4Lsjh2wLaj93Td-/view?usp=drivesdk","SISWANTI ARIANI, S. Sos SERTIFIKAT BerAKHLAK")</f>
        <v>SISWANTI ARIANI, S. Sos SERTIFIKAT BerAKHLAK</v>
      </c>
      <c r="K89" s="5" t="s">
        <v>1001</v>
      </c>
      <c r="L89" s="5" t="s">
        <v>1002</v>
      </c>
      <c r="M89" s="5" t="s">
        <v>1003</v>
      </c>
      <c r="N89" s="7" t="s">
        <v>1004</v>
      </c>
      <c r="O89" s="8" t="str">
        <f>HYPERLINK("https://drive.google.com/file/d/122rS8fPsvMGcOwQ_D_33qaBIVkvGBmJs/view?usp=drivesdk","88 &lt;NAMA LENGKAP&gt;&gt; _ SERTIFIKAT BIMTEK IPASN BerAKHLASK")</f>
        <v>88 &lt;NAMA LENGKAP&gt;&gt; _ SERTIFIKAT BIMTEK IPASN BerAKHLASK</v>
      </c>
      <c r="P89" s="5" t="s">
        <v>951</v>
      </c>
      <c r="Q89" s="5" t="s">
        <v>1005</v>
      </c>
      <c r="R89" s="7" t="s">
        <v>1006</v>
      </c>
      <c r="S89" s="7" t="str">
        <f>HYPERLINK("https://drive.google.com/file/d/1Npcw6LKEHPxD0d5VrBGrrzOra2KseOB_/view?usp=drivesdk","88_SISWANTI ARIANI, S. Sos SERTIFIKAT BIMTEK IPASN-BerAKHLAK")</f>
        <v>88_SISWANTI ARIANI, S. Sos SERTIFIKAT BIMTEK IPASN-BerAKHLAK</v>
      </c>
      <c r="T89" s="5" t="s">
        <v>1007</v>
      </c>
    </row>
    <row r="90" hidden="1">
      <c r="A90" s="4">
        <v>45534.31343767361</v>
      </c>
      <c r="B90" s="5" t="s">
        <v>19</v>
      </c>
      <c r="C90" s="5" t="s">
        <v>292</v>
      </c>
      <c r="E90" s="5" t="s">
        <v>1008</v>
      </c>
      <c r="F90" s="5" t="s">
        <v>212</v>
      </c>
      <c r="G90" s="5" t="s">
        <v>1009</v>
      </c>
      <c r="H90" s="6" t="s">
        <v>1010</v>
      </c>
      <c r="I90" s="7" t="s">
        <v>1011</v>
      </c>
      <c r="J90" s="8" t="str">
        <f>HYPERLINK("https://drive.google.com/file/d/1vbtEt4_K85jVJ7AUTPF73VpzsVr8-A_k/view?usp=drivesdk","ANING SUMIRAT, S.Pd SERTIFIKAT BerAKHLAK")</f>
        <v>ANING SUMIRAT, S.Pd SERTIFIKAT BerAKHLAK</v>
      </c>
      <c r="K90" s="5" t="s">
        <v>1012</v>
      </c>
      <c r="L90" s="5" t="s">
        <v>1013</v>
      </c>
      <c r="M90" s="5" t="s">
        <v>1014</v>
      </c>
      <c r="N90" s="7" t="s">
        <v>1015</v>
      </c>
      <c r="O90" s="8" t="str">
        <f>HYPERLINK("https://drive.google.com/file/d/1Xj93FezdFHz7PAp7v9Qjv4uf7srwbne0/view?usp=drivesdk","89 &lt;NAMA LENGKAP&gt;&gt; _ SERTIFIKAT BIMTEK IPASN BerAKHLASK")</f>
        <v>89 &lt;NAMA LENGKAP&gt;&gt; _ SERTIFIKAT BIMTEK IPASN BerAKHLASK</v>
      </c>
      <c r="P90" s="5" t="s">
        <v>1016</v>
      </c>
      <c r="Q90" s="5" t="s">
        <v>1017</v>
      </c>
      <c r="R90" s="7" t="s">
        <v>1018</v>
      </c>
      <c r="S90" s="7" t="str">
        <f>HYPERLINK("https://drive.google.com/file/d/1wPX4MThnsCXeMPstk2KvM_O6uJRsDP7D/view?usp=drivesdk","89_ANING SUMIRAT, S.Pd SERTIFIKAT BIMTEK IPASN-BerAKHLAK")</f>
        <v>89_ANING SUMIRAT, S.Pd SERTIFIKAT BIMTEK IPASN-BerAKHLAK</v>
      </c>
      <c r="T90" s="5" t="s">
        <v>1007</v>
      </c>
    </row>
    <row r="91">
      <c r="A91" s="4">
        <v>45534.31343862269</v>
      </c>
      <c r="B91" s="5" t="s">
        <v>34</v>
      </c>
      <c r="D91" s="5" t="s">
        <v>35</v>
      </c>
      <c r="E91" s="5" t="s">
        <v>1019</v>
      </c>
      <c r="F91" s="5" t="s">
        <v>375</v>
      </c>
      <c r="G91" s="5" t="s">
        <v>1020</v>
      </c>
      <c r="H91" s="6" t="s">
        <v>1021</v>
      </c>
      <c r="I91" s="7" t="s">
        <v>1022</v>
      </c>
      <c r="J91" s="8" t="str">
        <f>HYPERLINK("https://drive.google.com/file/d/1RD6c20sSFbjQ5q1lDHiweAxitig6QwY4/view?usp=drivesdk","MOHAMAD ZAINAL ARIFIN, S.KOM. MM. SERTIFIKAT BerAKHLAK")</f>
        <v>MOHAMAD ZAINAL ARIFIN, S.KOM. MM. SERTIFIKAT BerAKHLAK</v>
      </c>
      <c r="K91" s="5" t="s">
        <v>1023</v>
      </c>
      <c r="L91" s="5" t="s">
        <v>1024</v>
      </c>
      <c r="M91" s="5" t="s">
        <v>1025</v>
      </c>
      <c r="N91" s="7" t="s">
        <v>1026</v>
      </c>
      <c r="O91" s="8" t="str">
        <f>HYPERLINK("https://drive.google.com/file/d/1_W3hQpb1hs0kV4xgYhAT_46YUTAIdAKX/view?usp=drivesdk","90 &lt;NAMA LENGKAP&gt;&gt; _ SERTIFIKAT BIMTEK IPASN BerAKHLASK")</f>
        <v>90 &lt;NAMA LENGKAP&gt;&gt; _ SERTIFIKAT BIMTEK IPASN BerAKHLASK</v>
      </c>
      <c r="P91" s="5" t="s">
        <v>1016</v>
      </c>
      <c r="Q91" s="5" t="s">
        <v>1027</v>
      </c>
      <c r="R91" s="7" t="s">
        <v>1028</v>
      </c>
      <c r="S91" s="7" t="str">
        <f>HYPERLINK("https://drive.google.com/file/d/1vfpjfkVIO5Z6XsabenuUElMAd485u6Wo/view?usp=drivesdk","90_MOHAMAD ZAINAL ARIFIN, S.KOM. MM. SERTIFIKAT BIMTEK IPASN-BerAKHLAK")</f>
        <v>90_MOHAMAD ZAINAL ARIFIN, S.KOM. MM. SERTIFIKAT BIMTEK IPASN-BerAKHLAK</v>
      </c>
      <c r="T91" s="5" t="s">
        <v>1007</v>
      </c>
    </row>
    <row r="92" hidden="1">
      <c r="A92" s="4">
        <v>45534.31345440973</v>
      </c>
      <c r="B92" s="5" t="s">
        <v>19</v>
      </c>
      <c r="C92" s="5" t="s">
        <v>466</v>
      </c>
      <c r="E92" s="5" t="s">
        <v>1029</v>
      </c>
      <c r="F92" s="5" t="s">
        <v>72</v>
      </c>
      <c r="G92" s="5" t="s">
        <v>1030</v>
      </c>
      <c r="H92" s="6" t="s">
        <v>1031</v>
      </c>
      <c r="I92" s="7" t="s">
        <v>1032</v>
      </c>
      <c r="J92" s="8" t="str">
        <f>HYPERLINK("https://drive.google.com/file/d/1Jb8nMy5taglEI1ai2dOnWHI9whBujkK6/view?usp=drivesdk","AGUS WIJAYANTO SERTIFIKAT BerAKHLAK")</f>
        <v>AGUS WIJAYANTO SERTIFIKAT BerAKHLAK</v>
      </c>
      <c r="K92" s="5" t="s">
        <v>1033</v>
      </c>
      <c r="L92" s="5" t="s">
        <v>1034</v>
      </c>
      <c r="M92" s="5" t="s">
        <v>1035</v>
      </c>
      <c r="N92" s="7" t="s">
        <v>1036</v>
      </c>
      <c r="O92" s="8" t="str">
        <f>HYPERLINK("https://drive.google.com/file/d/13Ni6l56_yzAwMVvzRxXMHOLZ06SPHInw/view?usp=drivesdk","91 &lt;NAMA LENGKAP&gt;&gt; _ SERTIFIKAT BIMTEK IPASN BerAKHLASK")</f>
        <v>91 &lt;NAMA LENGKAP&gt;&gt; _ SERTIFIKAT BIMTEK IPASN BerAKHLASK</v>
      </c>
      <c r="P92" s="5" t="s">
        <v>1016</v>
      </c>
      <c r="Q92" s="5" t="s">
        <v>1037</v>
      </c>
      <c r="R92" s="7" t="s">
        <v>1038</v>
      </c>
      <c r="S92" s="7" t="str">
        <f>HYPERLINK("https://drive.google.com/file/d/1mMGMhi1qDkS1GOyIkfEpgJkKkTbSC-tY/view?usp=drivesdk","91_AGUS WIJAYANTO SERTIFIKAT BIMTEK IPASN-BerAKHLAK")</f>
        <v>91_AGUS WIJAYANTO SERTIFIKAT BIMTEK IPASN-BerAKHLAK</v>
      </c>
      <c r="T92" s="5" t="s">
        <v>1007</v>
      </c>
    </row>
    <row r="93">
      <c r="A93" s="4">
        <v>45534.313463715276</v>
      </c>
      <c r="B93" s="5" t="s">
        <v>34</v>
      </c>
      <c r="D93" s="5" t="s">
        <v>35</v>
      </c>
      <c r="E93" s="5" t="s">
        <v>1039</v>
      </c>
      <c r="F93" s="5" t="s">
        <v>524</v>
      </c>
      <c r="G93" s="5" t="s">
        <v>1040</v>
      </c>
      <c r="H93" s="6" t="s">
        <v>1041</v>
      </c>
      <c r="I93" s="7" t="s">
        <v>1042</v>
      </c>
      <c r="J93" s="8" t="str">
        <f>HYPERLINK("https://drive.google.com/file/d/1bZH5j9Xun2RJBxpoF8dUohv0UL2X5ZnZ/view?usp=drivesdk","YANYAN NOERDIANSYAH SERTIFIKAT BerAKHLAK")</f>
        <v>YANYAN NOERDIANSYAH SERTIFIKAT BerAKHLAK</v>
      </c>
      <c r="K93" s="5" t="s">
        <v>1043</v>
      </c>
      <c r="L93" s="5" t="s">
        <v>1044</v>
      </c>
      <c r="M93" s="5" t="s">
        <v>1045</v>
      </c>
      <c r="N93" s="7" t="s">
        <v>1046</v>
      </c>
      <c r="O93" s="8" t="str">
        <f>HYPERLINK("https://drive.google.com/file/d/1KCajeZJgbu4b4L4MHItsE0ptpDFRPH8K/view?usp=drivesdk","92 &lt;NAMA LENGKAP&gt;&gt; _ SERTIFIKAT BIMTEK IPASN BerAKHLASK")</f>
        <v>92 &lt;NAMA LENGKAP&gt;&gt; _ SERTIFIKAT BIMTEK IPASN BerAKHLASK</v>
      </c>
      <c r="P93" s="5" t="s">
        <v>1016</v>
      </c>
      <c r="Q93" s="5" t="s">
        <v>1047</v>
      </c>
      <c r="R93" s="7" t="s">
        <v>1048</v>
      </c>
      <c r="S93" s="7" t="str">
        <f>HYPERLINK("https://drive.google.com/file/d/1kttdMpOaEmJzbScwectznzi4_sL4p4cb/view?usp=drivesdk","92_YANYAN NOERDIANSYAH SERTIFIKAT BIMTEK IPASN-BerAKHLAK")</f>
        <v>92_YANYAN NOERDIANSYAH SERTIFIKAT BIMTEK IPASN-BerAKHLAK</v>
      </c>
      <c r="T93" s="5" t="s">
        <v>1007</v>
      </c>
    </row>
    <row r="94">
      <c r="A94" s="4">
        <v>45534.3134709375</v>
      </c>
      <c r="B94" s="5" t="s">
        <v>34</v>
      </c>
      <c r="D94" s="5" t="s">
        <v>996</v>
      </c>
      <c r="E94" s="5" t="s">
        <v>1049</v>
      </c>
      <c r="F94" s="5" t="s">
        <v>212</v>
      </c>
      <c r="G94" s="5" t="s">
        <v>1050</v>
      </c>
      <c r="H94" s="6" t="s">
        <v>1051</v>
      </c>
      <c r="I94" s="7" t="s">
        <v>1052</v>
      </c>
      <c r="J94" s="8" t="str">
        <f>HYPERLINK("https://drive.google.com/file/d/1xBqPRydFt4JhnjZVUF0-A_vgKtS6mOeB/view?usp=drivesdk","ARIEF BUCHARI KURNIA AJI, S.SOS SERTIFIKAT BerAKHLAK")</f>
        <v>ARIEF BUCHARI KURNIA AJI, S.SOS SERTIFIKAT BerAKHLAK</v>
      </c>
      <c r="K94" s="5" t="s">
        <v>1053</v>
      </c>
      <c r="L94" s="5" t="s">
        <v>1054</v>
      </c>
      <c r="M94" s="5" t="s">
        <v>1055</v>
      </c>
      <c r="N94" s="7" t="s">
        <v>1056</v>
      </c>
      <c r="O94" s="8" t="str">
        <f>HYPERLINK("https://drive.google.com/file/d/1-S5kgDSeHNsJ-8QssgZSOhmo7yVfnnUw/view?usp=drivesdk","93 &lt;NAMA LENGKAP&gt;&gt; _ SERTIFIKAT BIMTEK IPASN BerAKHLASK")</f>
        <v>93 &lt;NAMA LENGKAP&gt;&gt; _ SERTIFIKAT BIMTEK IPASN BerAKHLASK</v>
      </c>
      <c r="P94" s="5" t="s">
        <v>1016</v>
      </c>
      <c r="Q94" s="5" t="s">
        <v>1057</v>
      </c>
      <c r="R94" s="7" t="s">
        <v>1058</v>
      </c>
      <c r="S94" s="7" t="str">
        <f>HYPERLINK("https://drive.google.com/file/d/1Mzzb_SCsTDBQV9VzGuj7NQSsTOM5SIiN/view?usp=drivesdk","93_ARIEF BUCHARI KURNIA AJI, S.SOS SERTIFIKAT BIMTEK IPASN-BerAKHLAK")</f>
        <v>93_ARIEF BUCHARI KURNIA AJI, S.SOS SERTIFIKAT BIMTEK IPASN-BerAKHLAK</v>
      </c>
      <c r="T94" s="5" t="s">
        <v>1059</v>
      </c>
    </row>
    <row r="95">
      <c r="A95" s="4">
        <v>45534.313498414354</v>
      </c>
      <c r="B95" s="5" t="s">
        <v>34</v>
      </c>
      <c r="D95" s="5" t="s">
        <v>975</v>
      </c>
      <c r="E95" s="5" t="s">
        <v>1060</v>
      </c>
      <c r="F95" s="5" t="s">
        <v>524</v>
      </c>
      <c r="G95" s="5" t="s">
        <v>1061</v>
      </c>
      <c r="H95" s="6" t="s">
        <v>1062</v>
      </c>
      <c r="I95" s="7" t="s">
        <v>1063</v>
      </c>
      <c r="J95" s="8" t="str">
        <f>HYPERLINK("https://drive.google.com/file/d/1lopTfRFMpRyjE4tj_8OHHkcbhknN6Zoe/view?usp=drivesdk","RISKA OKTAFIANI, S.Ak SERTIFIKAT BerAKHLAK")</f>
        <v>RISKA OKTAFIANI, S.Ak SERTIFIKAT BerAKHLAK</v>
      </c>
      <c r="K95" s="5" t="s">
        <v>1064</v>
      </c>
      <c r="L95" s="5" t="s">
        <v>1065</v>
      </c>
      <c r="M95" s="5" t="s">
        <v>1066</v>
      </c>
      <c r="N95" s="7" t="s">
        <v>1067</v>
      </c>
      <c r="O95" s="8" t="str">
        <f>HYPERLINK("https://drive.google.com/file/d/1B5Hsf_G9la9c67eLc_Qx0NaQUCBnR_ki/view?usp=drivesdk","94 &lt;NAMA LENGKAP&gt;&gt; _ SERTIFIKAT BIMTEK IPASN BerAKHLASK")</f>
        <v>94 &lt;NAMA LENGKAP&gt;&gt; _ SERTIFIKAT BIMTEK IPASN BerAKHLASK</v>
      </c>
      <c r="P95" s="5" t="s">
        <v>1016</v>
      </c>
      <c r="Q95" s="5" t="s">
        <v>1068</v>
      </c>
      <c r="R95" s="7" t="s">
        <v>1069</v>
      </c>
      <c r="S95" s="7" t="str">
        <f>HYPERLINK("https://drive.google.com/file/d/1rJu5e3Va88EqWecgJMIi25RQzw5DM6fL/view?usp=drivesdk","94_RISKA OKTAFIANI, S.Ak SERTIFIKAT BIMTEK IPASN-BerAKHLAK")</f>
        <v>94_RISKA OKTAFIANI, S.Ak SERTIFIKAT BIMTEK IPASN-BerAKHLAK</v>
      </c>
      <c r="T95" s="5" t="s">
        <v>1059</v>
      </c>
    </row>
    <row r="96">
      <c r="A96" s="4">
        <v>45534.31352217593</v>
      </c>
      <c r="B96" s="5" t="s">
        <v>34</v>
      </c>
      <c r="D96" s="5" t="s">
        <v>35</v>
      </c>
      <c r="E96" s="5" t="s">
        <v>1070</v>
      </c>
      <c r="F96" s="5" t="s">
        <v>375</v>
      </c>
      <c r="G96" s="5" t="s">
        <v>1071</v>
      </c>
      <c r="H96" s="6" t="s">
        <v>1072</v>
      </c>
      <c r="I96" s="7" t="s">
        <v>1073</v>
      </c>
      <c r="J96" s="8" t="str">
        <f>HYPERLINK("https://drive.google.com/file/d/1-6HwPOJdJfR-J1N0dZPLNNUjx4J7eTpt/view?usp=drivesdk","ANDI ALAMSYAH, S.Kom SERTIFIKAT BerAKHLAK")</f>
        <v>ANDI ALAMSYAH, S.Kom SERTIFIKAT BerAKHLAK</v>
      </c>
      <c r="K96" s="5" t="s">
        <v>1074</v>
      </c>
      <c r="L96" s="5" t="s">
        <v>1075</v>
      </c>
      <c r="M96" s="5" t="s">
        <v>1076</v>
      </c>
      <c r="N96" s="7" t="s">
        <v>1077</v>
      </c>
      <c r="O96" s="8" t="str">
        <f>HYPERLINK("https://drive.google.com/file/d/1tdqdc9LTyLGbghZ0NcqQri8OmJHhfSw0/view?usp=drivesdk","95 &lt;NAMA LENGKAP&gt;&gt; _ SERTIFIKAT BIMTEK IPASN BerAKHLASK")</f>
        <v>95 &lt;NAMA LENGKAP&gt;&gt; _ SERTIFIKAT BIMTEK IPASN BerAKHLASK</v>
      </c>
      <c r="P96" s="5" t="s">
        <v>1016</v>
      </c>
      <c r="Q96" s="5" t="s">
        <v>1078</v>
      </c>
      <c r="R96" s="7" t="s">
        <v>1079</v>
      </c>
      <c r="S96" s="7" t="str">
        <f>HYPERLINK("https://drive.google.com/file/d/1K9uWyc1EBwgbDkWo_DbklWI52_gdPl9c/view?usp=drivesdk","95_ANDI ALAMSYAH, S.Kom SERTIFIKAT BIMTEK IPASN-BerAKHLAK")</f>
        <v>95_ANDI ALAMSYAH, S.Kom SERTIFIKAT BIMTEK IPASN-BerAKHLAK</v>
      </c>
      <c r="T96" s="5" t="s">
        <v>1059</v>
      </c>
    </row>
    <row r="97" hidden="1">
      <c r="A97" s="4">
        <v>45534.31354880787</v>
      </c>
      <c r="B97" s="5" t="s">
        <v>19</v>
      </c>
      <c r="C97" s="5" t="s">
        <v>20</v>
      </c>
      <c r="E97" s="5" t="s">
        <v>1080</v>
      </c>
      <c r="F97" s="5" t="s">
        <v>72</v>
      </c>
      <c r="G97" s="5" t="s">
        <v>1081</v>
      </c>
      <c r="H97" s="6" t="s">
        <v>1082</v>
      </c>
      <c r="I97" s="7" t="s">
        <v>1083</v>
      </c>
      <c r="J97" s="8" t="str">
        <f>HYPERLINK("https://drive.google.com/file/d/1kytuhnYv6_CgOfU8p0sLd5rhoZpKmP3u/view?usp=drivesdk","JUNIASIH PURBOSARI, S.E. SERTIFIKAT BerAKHLAK")</f>
        <v>JUNIASIH PURBOSARI, S.E. SERTIFIKAT BerAKHLAK</v>
      </c>
      <c r="K97" s="5" t="s">
        <v>1084</v>
      </c>
      <c r="L97" s="5" t="s">
        <v>1085</v>
      </c>
      <c r="M97" s="5" t="s">
        <v>1086</v>
      </c>
      <c r="N97" s="7" t="s">
        <v>1087</v>
      </c>
      <c r="O97" s="8" t="str">
        <f>HYPERLINK("https://drive.google.com/file/d/1G8vCbjr7nKUFP1R6TYNOd07YLDu-qP_T/view?usp=drivesdk","96 &lt;NAMA LENGKAP&gt;&gt; _ SERTIFIKAT BIMTEK IPASN BerAKHLASK")</f>
        <v>96 &lt;NAMA LENGKAP&gt;&gt; _ SERTIFIKAT BIMTEK IPASN BerAKHLASK</v>
      </c>
      <c r="P97" s="5" t="s">
        <v>1088</v>
      </c>
      <c r="Q97" s="5" t="s">
        <v>1089</v>
      </c>
      <c r="R97" s="7" t="s">
        <v>1090</v>
      </c>
      <c r="S97" s="7" t="str">
        <f>HYPERLINK("https://drive.google.com/file/d/17qui4NkYpIIX99zZT2abF5iQcjAMR0mY/view?usp=drivesdk","96_JUNIASIH PURBOSARI, S.E. SERTIFIKAT BIMTEK IPASN-BerAKHLAK")</f>
        <v>96_JUNIASIH PURBOSARI, S.E. SERTIFIKAT BIMTEK IPASN-BerAKHLAK</v>
      </c>
      <c r="T97" s="5" t="s">
        <v>1059</v>
      </c>
    </row>
    <row r="98">
      <c r="A98" s="4">
        <v>45534.31358371528</v>
      </c>
      <c r="B98" s="5" t="s">
        <v>34</v>
      </c>
      <c r="D98" s="5" t="s">
        <v>522</v>
      </c>
      <c r="E98" s="5" t="s">
        <v>1091</v>
      </c>
      <c r="F98" s="5" t="s">
        <v>524</v>
      </c>
      <c r="G98" s="5" t="s">
        <v>1092</v>
      </c>
      <c r="H98" s="6" t="s">
        <v>1093</v>
      </c>
      <c r="I98" s="7" t="s">
        <v>1094</v>
      </c>
      <c r="J98" s="8" t="str">
        <f>HYPERLINK("https://drive.google.com/file/d/1Y8rXz6JODwdvB-l2ciI-rzxVH7xW1foi/view?usp=drivesdk","PUTU IKA SURYANDARI SERTIFIKAT BerAKHLAK")</f>
        <v>PUTU IKA SURYANDARI SERTIFIKAT BerAKHLAK</v>
      </c>
      <c r="K98" s="5" t="s">
        <v>1095</v>
      </c>
      <c r="L98" s="5" t="s">
        <v>1096</v>
      </c>
      <c r="M98" s="5" t="s">
        <v>1097</v>
      </c>
      <c r="N98" s="7" t="s">
        <v>1098</v>
      </c>
      <c r="O98" s="8" t="str">
        <f>HYPERLINK("https://drive.google.com/file/d/1Ro1hf_qZh7bUWII30IOEDZlpCy7o88jH/view?usp=drivesdk","97 &lt;NAMA LENGKAP&gt;&gt; _ SERTIFIKAT BIMTEK IPASN BerAKHLASK")</f>
        <v>97 &lt;NAMA LENGKAP&gt;&gt; _ SERTIFIKAT BIMTEK IPASN BerAKHLASK</v>
      </c>
      <c r="P98" s="5" t="s">
        <v>1088</v>
      </c>
      <c r="Q98" s="5" t="s">
        <v>1099</v>
      </c>
      <c r="R98" s="7" t="s">
        <v>1100</v>
      </c>
      <c r="S98" s="7" t="str">
        <f>HYPERLINK("https://drive.google.com/file/d/1bTD6uweTjWJ5B1IZSEnwCW-Ae6i0_Bj3/view?usp=drivesdk","97_PUTU IKA SURYANDARI SERTIFIKAT BIMTEK IPASN-BerAKHLAK")</f>
        <v>97_PUTU IKA SURYANDARI SERTIFIKAT BIMTEK IPASN-BerAKHLAK</v>
      </c>
      <c r="T98" s="5" t="s">
        <v>1059</v>
      </c>
    </row>
    <row r="99" hidden="1">
      <c r="A99" s="4">
        <v>45534.31359928241</v>
      </c>
      <c r="B99" s="5" t="s">
        <v>19</v>
      </c>
      <c r="C99" s="5" t="s">
        <v>292</v>
      </c>
      <c r="E99" s="5" t="s">
        <v>1101</v>
      </c>
      <c r="F99" s="5" t="s">
        <v>212</v>
      </c>
      <c r="G99" s="5" t="s">
        <v>1102</v>
      </c>
      <c r="H99" s="6" t="s">
        <v>1103</v>
      </c>
      <c r="I99" s="7" t="s">
        <v>1104</v>
      </c>
      <c r="J99" s="8" t="str">
        <f>HYPERLINK("https://drive.google.com/file/d/1sTw8YwtlefSi-AgvnlfNyBbzfAqKxTqC/view?usp=drivesdk","NUDFI VIDYA LESTARI, A.Md.,Kep SERTIFIKAT BerAKHLAK")</f>
        <v>NUDFI VIDYA LESTARI, A.Md.,Kep SERTIFIKAT BerAKHLAK</v>
      </c>
      <c r="K99" s="5" t="s">
        <v>1105</v>
      </c>
      <c r="L99" s="5" t="s">
        <v>1106</v>
      </c>
      <c r="M99" s="5" t="s">
        <v>1107</v>
      </c>
      <c r="N99" s="7" t="s">
        <v>1108</v>
      </c>
      <c r="O99" s="8" t="str">
        <f>HYPERLINK("https://drive.google.com/file/d/1gVrrbnugcIYpK4jux3sO_yuyHVdv86he/view?usp=drivesdk","98 &lt;NAMA LENGKAP&gt;&gt; _ SERTIFIKAT BIMTEK IPASN BerAKHLASK")</f>
        <v>98 &lt;NAMA LENGKAP&gt;&gt; _ SERTIFIKAT BIMTEK IPASN BerAKHLASK</v>
      </c>
      <c r="P99" s="5" t="s">
        <v>1088</v>
      </c>
      <c r="Q99" s="5" t="s">
        <v>1109</v>
      </c>
      <c r="R99" s="7" t="s">
        <v>1110</v>
      </c>
      <c r="S99" s="7" t="str">
        <f>HYPERLINK("https://drive.google.com/file/d/1zDlEzTMnuN3DPLqDVdwgAHjxpWlt5Xdu/view?usp=drivesdk","98_NUDFI VIDYA LESTARI, A.Md.,Kep SERTIFIKAT BIMTEK IPASN-BerAKHLAK")</f>
        <v>98_NUDFI VIDYA LESTARI, A.Md.,Kep SERTIFIKAT BIMTEK IPASN-BerAKHLAK</v>
      </c>
      <c r="T99" s="5" t="s">
        <v>1059</v>
      </c>
    </row>
    <row r="100" hidden="1">
      <c r="A100" s="4">
        <v>45534.3136071412</v>
      </c>
      <c r="B100" s="5" t="s">
        <v>19</v>
      </c>
      <c r="C100" s="5" t="s">
        <v>20</v>
      </c>
      <c r="E100" s="5" t="s">
        <v>1111</v>
      </c>
      <c r="F100" s="5" t="s">
        <v>212</v>
      </c>
      <c r="G100" s="5" t="s">
        <v>1112</v>
      </c>
      <c r="H100" s="6" t="s">
        <v>1113</v>
      </c>
      <c r="I100" s="7" t="s">
        <v>1114</v>
      </c>
      <c r="J100" s="8" t="str">
        <f>HYPERLINK("https://drive.google.com/file/d/1xDyeAFuDZ5IZfc50l6N4lbtsZlED6e6A/view?usp=drivesdk","EKO NUR WIDIYANTO SERTIFIKAT BerAKHLAK")</f>
        <v>EKO NUR WIDIYANTO SERTIFIKAT BerAKHLAK</v>
      </c>
      <c r="K100" s="5" t="s">
        <v>1115</v>
      </c>
      <c r="L100" s="5" t="s">
        <v>1116</v>
      </c>
      <c r="M100" s="5" t="s">
        <v>1117</v>
      </c>
      <c r="N100" s="7" t="s">
        <v>1118</v>
      </c>
      <c r="O100" s="8" t="str">
        <f>HYPERLINK("https://drive.google.com/file/d/1Xmdo-6XoUy5eY0bOTH5njXYvcHFK8t_H/view?usp=drivesdk","99 &lt;NAMA LENGKAP&gt;&gt; _ SERTIFIKAT BIMTEK IPASN BerAKHLASK")</f>
        <v>99 &lt;NAMA LENGKAP&gt;&gt; _ SERTIFIKAT BIMTEK IPASN BerAKHLASK</v>
      </c>
      <c r="P100" s="5" t="s">
        <v>1088</v>
      </c>
      <c r="Q100" s="5" t="s">
        <v>1119</v>
      </c>
      <c r="R100" s="7" t="s">
        <v>1120</v>
      </c>
      <c r="S100" s="7" t="str">
        <f>HYPERLINK("https://drive.google.com/file/d/1QyU6YkJzQuoIvmmPBZU_0m4Ap5Q_suMz/view?usp=drivesdk","99_EKO NUR WIDIYANTO SERTIFIKAT BIMTEK IPASN-BerAKHLAK")</f>
        <v>99_EKO NUR WIDIYANTO SERTIFIKAT BIMTEK IPASN-BerAKHLAK</v>
      </c>
      <c r="T100" s="5" t="s">
        <v>1121</v>
      </c>
    </row>
    <row r="101" hidden="1">
      <c r="A101" s="4">
        <v>45534.31361380787</v>
      </c>
      <c r="B101" s="5" t="s">
        <v>19</v>
      </c>
      <c r="C101" s="5" t="s">
        <v>292</v>
      </c>
      <c r="E101" s="5" t="s">
        <v>1122</v>
      </c>
      <c r="F101" s="5" t="s">
        <v>108</v>
      </c>
      <c r="G101" s="5" t="s">
        <v>1123</v>
      </c>
      <c r="H101" s="6" t="s">
        <v>1124</v>
      </c>
      <c r="I101" s="7" t="s">
        <v>1125</v>
      </c>
      <c r="J101" s="8" t="str">
        <f>HYPERLINK("https://drive.google.com/file/d/1rw0QCDTFXPGKkVKbj6N3nNRodvheMrY4/view?usp=drivesdk","ENUR NURHAYATI SERTIFIKAT BerAKHLAK")</f>
        <v>ENUR NURHAYATI SERTIFIKAT BerAKHLAK</v>
      </c>
      <c r="K101" s="5" t="s">
        <v>1126</v>
      </c>
      <c r="L101" s="5" t="s">
        <v>1127</v>
      </c>
      <c r="M101" s="5" t="s">
        <v>1128</v>
      </c>
      <c r="N101" s="7" t="s">
        <v>1129</v>
      </c>
      <c r="O101" s="8" t="str">
        <f>HYPERLINK("https://drive.google.com/file/d/1akl9Gh726nuJt-SAsyFhxLMsiNKzRc2q/view?usp=drivesdk","100 &lt;NAMA LENGKAP&gt;&gt; _ SERTIFIKAT BIMTEK IPASN BerAKHLASK")</f>
        <v>100 &lt;NAMA LENGKAP&gt;&gt; _ SERTIFIKAT BIMTEK IPASN BerAKHLASK</v>
      </c>
      <c r="P101" s="5" t="s">
        <v>1088</v>
      </c>
      <c r="Q101" s="5" t="s">
        <v>1130</v>
      </c>
      <c r="R101" s="7" t="s">
        <v>1131</v>
      </c>
      <c r="S101" s="7" t="str">
        <f>HYPERLINK("https://drive.google.com/file/d/1XjUYOaa3UHZn5eyCaJQa10G_W4qY9NUE/view?usp=drivesdk","100_ENUR NURHAYATI SERTIFIKAT BIMTEK IPASN-BerAKHLAK")</f>
        <v>100_ENUR NURHAYATI SERTIFIKAT BIMTEK IPASN-BerAKHLAK</v>
      </c>
      <c r="T101" s="5" t="s">
        <v>1121</v>
      </c>
    </row>
    <row r="102">
      <c r="A102" s="4">
        <v>45534.31365002315</v>
      </c>
      <c r="B102" s="5" t="s">
        <v>34</v>
      </c>
      <c r="D102" s="5" t="s">
        <v>604</v>
      </c>
      <c r="E102" s="5" t="s">
        <v>1132</v>
      </c>
      <c r="F102" s="5" t="s">
        <v>524</v>
      </c>
      <c r="G102" s="5" t="s">
        <v>1133</v>
      </c>
      <c r="H102" s="6" t="s">
        <v>1134</v>
      </c>
      <c r="I102" s="7" t="s">
        <v>1135</v>
      </c>
      <c r="J102" s="8" t="str">
        <f>HYPERLINK("https://drive.google.com/file/d/1pR7-hw5Jd_LIfdk1NY0gHhHEZmTdKUif/view?usp=drivesdk","GAGUT ARYANTO SH  SERTIFIKAT BerAKHLAK")</f>
        <v>GAGUT ARYANTO SH  SERTIFIKAT BerAKHLAK</v>
      </c>
      <c r="K102" s="5" t="s">
        <v>1136</v>
      </c>
      <c r="L102" s="5" t="s">
        <v>1137</v>
      </c>
      <c r="M102" s="5" t="s">
        <v>1138</v>
      </c>
      <c r="N102" s="7" t="s">
        <v>1139</v>
      </c>
      <c r="O102" s="8" t="str">
        <f>HYPERLINK("https://drive.google.com/file/d/11usDHhGk-VEQ5c9w6B-pV1BXlAoAq15C/view?usp=drivesdk","101 &lt;NAMA LENGKAP&gt;&gt; _ SERTIFIKAT BIMTEK IPASN BerAKHLASK")</f>
        <v>101 &lt;NAMA LENGKAP&gt;&gt; _ SERTIFIKAT BIMTEK IPASN BerAKHLASK</v>
      </c>
      <c r="P102" s="5" t="s">
        <v>1140</v>
      </c>
      <c r="Q102" s="5" t="s">
        <v>1141</v>
      </c>
      <c r="R102" s="7" t="s">
        <v>1142</v>
      </c>
      <c r="S102" s="7" t="str">
        <f>HYPERLINK("https://drive.google.com/file/d/16IsET_4ico4RY1kIokcNSZpfAXiuhVi5/view?usp=drivesdk","101_GAGUT ARYANTO SH  SERTIFIKAT BIMTEK IPASN-BerAKHLAK")</f>
        <v>101_GAGUT ARYANTO SH  SERTIFIKAT BIMTEK IPASN-BerAKHLAK</v>
      </c>
      <c r="T102" s="5" t="s">
        <v>1121</v>
      </c>
    </row>
    <row r="103">
      <c r="A103" s="4">
        <v>45534.3136890625</v>
      </c>
      <c r="B103" s="5" t="s">
        <v>34</v>
      </c>
      <c r="D103" s="5" t="s">
        <v>996</v>
      </c>
      <c r="E103" s="5" t="s">
        <v>1143</v>
      </c>
      <c r="F103" s="5" t="s">
        <v>37</v>
      </c>
      <c r="G103" s="5" t="s">
        <v>1144</v>
      </c>
      <c r="H103" s="6" t="s">
        <v>1145</v>
      </c>
      <c r="I103" s="7" t="s">
        <v>1146</v>
      </c>
      <c r="J103" s="8" t="str">
        <f>HYPERLINK("https://drive.google.com/file/d/1PBsH9r5ZAxoVOg0e1oE1Jjsv6rMOQQG7/view?usp=drivesdk","HADIJATUS RAHMANIAH SERTIFIKAT BerAKHLAK")</f>
        <v>HADIJATUS RAHMANIAH SERTIFIKAT BerAKHLAK</v>
      </c>
      <c r="K103" s="5" t="s">
        <v>1126</v>
      </c>
      <c r="L103" s="5" t="s">
        <v>1147</v>
      </c>
      <c r="M103" s="5" t="s">
        <v>1148</v>
      </c>
      <c r="N103" s="7" t="s">
        <v>1149</v>
      </c>
      <c r="O103" s="8" t="str">
        <f>HYPERLINK("https://drive.google.com/file/d/1OcBxjJv4wjqVecyUTKIeoPzZUinlD1w-/view?usp=drivesdk","102 &lt;NAMA LENGKAP&gt;&gt; _ SERTIFIKAT BIMTEK IPASN BerAKHLASK")</f>
        <v>102 &lt;NAMA LENGKAP&gt;&gt; _ SERTIFIKAT BIMTEK IPASN BerAKHLASK</v>
      </c>
      <c r="P103" s="5" t="s">
        <v>1150</v>
      </c>
      <c r="Q103" s="5" t="s">
        <v>1151</v>
      </c>
      <c r="R103" s="7" t="s">
        <v>1152</v>
      </c>
      <c r="S103" s="7" t="str">
        <f>HYPERLINK("https://drive.google.com/file/d/1AU4uE07YeXnL98646rZbgLNjw42i9pmr/view?usp=drivesdk","102_HADIJATUS RAHMANIAH SERTIFIKAT BIMTEK IPASN-BerAKHLAK")</f>
        <v>102_HADIJATUS RAHMANIAH SERTIFIKAT BIMTEK IPASN-BerAKHLAK</v>
      </c>
      <c r="T103" s="5" t="s">
        <v>1121</v>
      </c>
    </row>
    <row r="104">
      <c r="A104" s="4">
        <v>45534.31370597222</v>
      </c>
      <c r="B104" s="5" t="s">
        <v>34</v>
      </c>
      <c r="D104" s="5" t="s">
        <v>580</v>
      </c>
      <c r="E104" s="5" t="s">
        <v>1153</v>
      </c>
      <c r="F104" s="5" t="s">
        <v>524</v>
      </c>
      <c r="G104" s="5" t="s">
        <v>1154</v>
      </c>
      <c r="H104" s="6" t="s">
        <v>1155</v>
      </c>
      <c r="I104" s="7" t="s">
        <v>1156</v>
      </c>
      <c r="J104" s="8" t="str">
        <f>HYPERLINK("https://drive.google.com/file/d/1NdwcYVuXdViG7R4GR6_T5Ya4hFAXYQ6i/view?usp=drivesdk","I GUSTI AYU WIRATI,A.Md.KG SERTIFIKAT BerAKHLAK")</f>
        <v>I GUSTI AYU WIRATI,A.Md.KG SERTIFIKAT BerAKHLAK</v>
      </c>
      <c r="K104" s="5" t="s">
        <v>1126</v>
      </c>
      <c r="L104" s="5" t="s">
        <v>1157</v>
      </c>
      <c r="M104" s="5" t="s">
        <v>1158</v>
      </c>
      <c r="N104" s="7" t="s">
        <v>1159</v>
      </c>
      <c r="O104" s="8" t="str">
        <f>HYPERLINK("https://drive.google.com/file/d/1gklM2WB_LWVQcM0_BLLDOnok1BNV2r6P/view?usp=drivesdk","103 &lt;NAMA LENGKAP&gt;&gt; _ SERTIFIKAT BIMTEK IPASN BerAKHLASK")</f>
        <v>103 &lt;NAMA LENGKAP&gt;&gt; _ SERTIFIKAT BIMTEK IPASN BerAKHLASK</v>
      </c>
      <c r="P104" s="5" t="s">
        <v>1160</v>
      </c>
      <c r="Q104" s="5" t="s">
        <v>1161</v>
      </c>
      <c r="R104" s="7" t="s">
        <v>1162</v>
      </c>
      <c r="S104" s="7" t="str">
        <f>HYPERLINK("https://drive.google.com/file/d/1QWIRBajTcuL_nfyfxHu_5O4RcT6kLiw2/view?usp=drivesdk","103_I GUSTI AYU WIRATI,A.Md.KG SERTIFIKAT BIMTEK IPASN-BerAKHLAK")</f>
        <v>103_I GUSTI AYU WIRATI,A.Md.KG SERTIFIKAT BIMTEK IPASN-BerAKHLAK</v>
      </c>
      <c r="T104" s="5" t="s">
        <v>1121</v>
      </c>
    </row>
    <row r="105">
      <c r="A105" s="4">
        <v>45534.31374346065</v>
      </c>
      <c r="B105" s="5" t="s">
        <v>34</v>
      </c>
      <c r="D105" s="5" t="s">
        <v>35</v>
      </c>
      <c r="E105" s="5" t="s">
        <v>1163</v>
      </c>
      <c r="F105" s="5" t="s">
        <v>524</v>
      </c>
      <c r="G105" s="5" t="s">
        <v>1164</v>
      </c>
      <c r="H105" s="6" t="s">
        <v>1165</v>
      </c>
      <c r="I105" s="7" t="s">
        <v>1166</v>
      </c>
      <c r="J105" s="8" t="str">
        <f>HYPERLINK("https://drive.google.com/file/d/1_7JZz3d1m9NPMGH6OZAn2hZ1F4M7lyil/view?usp=drivesdk","DEDEN PRAMIADI, AMd.Kep SERTIFIKAT BerAKHLAK")</f>
        <v>DEDEN PRAMIADI, AMd.Kep SERTIFIKAT BerAKHLAK</v>
      </c>
      <c r="K105" s="5" t="s">
        <v>1167</v>
      </c>
      <c r="L105" s="5" t="s">
        <v>1168</v>
      </c>
      <c r="M105" s="5" t="s">
        <v>1169</v>
      </c>
      <c r="N105" s="7" t="s">
        <v>1170</v>
      </c>
      <c r="O105" s="8" t="str">
        <f>HYPERLINK("https://drive.google.com/file/d/1z_JZbhCgRemg7c6PzjarJ8CVBmHwiTyS/view?usp=drivesdk","104 &lt;NAMA LENGKAP&gt;&gt; _ SERTIFIKAT BIMTEK IPASN BerAKHLASK")</f>
        <v>104 &lt;NAMA LENGKAP&gt;&gt; _ SERTIFIKAT BIMTEK IPASN BerAKHLASK</v>
      </c>
      <c r="P105" s="5" t="s">
        <v>1171</v>
      </c>
      <c r="Q105" s="5" t="s">
        <v>1172</v>
      </c>
      <c r="R105" s="7" t="s">
        <v>1173</v>
      </c>
      <c r="S105" s="7" t="str">
        <f>HYPERLINK("https://drive.google.com/file/d/1AfNLACI1CMyMYtRL_rmf-2QX9VPwTbW_/view?usp=drivesdk","104_DEDEN PRAMIADI, AMd.Kep SERTIFIKAT BIMTEK IPASN-BerAKHLAK")</f>
        <v>104_DEDEN PRAMIADI, AMd.Kep SERTIFIKAT BIMTEK IPASN-BerAKHLAK</v>
      </c>
      <c r="T105" s="5" t="s">
        <v>1121</v>
      </c>
    </row>
    <row r="106" hidden="1">
      <c r="A106" s="4">
        <v>45534.31374922454</v>
      </c>
      <c r="B106" s="5" t="s">
        <v>19</v>
      </c>
      <c r="C106" s="5" t="s">
        <v>292</v>
      </c>
      <c r="E106" s="5" t="s">
        <v>1174</v>
      </c>
      <c r="F106" s="5" t="s">
        <v>375</v>
      </c>
      <c r="G106" s="5" t="s">
        <v>1175</v>
      </c>
      <c r="H106" s="6" t="s">
        <v>1176</v>
      </c>
      <c r="I106" s="7" t="s">
        <v>1177</v>
      </c>
      <c r="J106" s="8" t="str">
        <f>HYPERLINK("https://drive.google.com/file/d/17-_76pUTFDo_6n0GsNk_JUynyEroH9Rk/view?usp=drivesdk","RIKA SARASWATI, S.E SERTIFIKAT BerAKHLAK")</f>
        <v>RIKA SARASWATI, S.E SERTIFIKAT BerAKHLAK</v>
      </c>
      <c r="K106" s="5" t="s">
        <v>1126</v>
      </c>
      <c r="L106" s="5" t="s">
        <v>1178</v>
      </c>
      <c r="M106" s="5" t="s">
        <v>1179</v>
      </c>
      <c r="N106" s="7" t="s">
        <v>1180</v>
      </c>
      <c r="O106" s="8" t="str">
        <f>HYPERLINK("https://drive.google.com/file/d/1xec3mWSV1hM_ZynG85o1XRP5h7xybWfh/view?usp=drivesdk","105 &lt;NAMA LENGKAP&gt;&gt; _ SERTIFIKAT BIMTEK IPASN BerAKHLASK")</f>
        <v>105 &lt;NAMA LENGKAP&gt;&gt; _ SERTIFIKAT BIMTEK IPASN BerAKHLASK</v>
      </c>
      <c r="P106" s="5" t="s">
        <v>1181</v>
      </c>
      <c r="Q106" s="5" t="s">
        <v>1182</v>
      </c>
      <c r="R106" s="7" t="s">
        <v>1183</v>
      </c>
      <c r="S106" s="7" t="str">
        <f>HYPERLINK("https://drive.google.com/file/d/1YUCuJqDqODfHP5SSUj9IazKGUF9nCEym/view?usp=drivesdk","105_RIKA SARASWATI, S.E SERTIFIKAT BIMTEK IPASN-BerAKHLAK")</f>
        <v>105_RIKA SARASWATI, S.E SERTIFIKAT BIMTEK IPASN-BerAKHLAK</v>
      </c>
      <c r="T106" s="5" t="s">
        <v>1121</v>
      </c>
    </row>
    <row r="107">
      <c r="A107" s="4">
        <v>45534.313759675926</v>
      </c>
      <c r="B107" s="5" t="s">
        <v>34</v>
      </c>
      <c r="D107" s="5" t="s">
        <v>996</v>
      </c>
      <c r="E107" s="5" t="s">
        <v>1184</v>
      </c>
      <c r="F107" s="5" t="s">
        <v>72</v>
      </c>
      <c r="G107" s="5" t="s">
        <v>1185</v>
      </c>
      <c r="H107" s="6" t="s">
        <v>1186</v>
      </c>
      <c r="I107" s="7" t="s">
        <v>1187</v>
      </c>
      <c r="J107" s="8" t="str">
        <f>HYPERLINK("https://drive.google.com/file/d/1Ov5iBRaS1i7N6Dk7WYEV9TctXkNxZUcN/view?usp=drivesdk","YOGIE ESTININGSIH,S.Kep.,M.M. SERTIFIKAT BerAKHLAK")</f>
        <v>YOGIE ESTININGSIH,S.Kep.,M.M. SERTIFIKAT BerAKHLAK</v>
      </c>
      <c r="K107" s="5" t="s">
        <v>1126</v>
      </c>
      <c r="L107" s="5" t="s">
        <v>1188</v>
      </c>
      <c r="M107" s="5" t="s">
        <v>1189</v>
      </c>
      <c r="N107" s="7" t="s">
        <v>1190</v>
      </c>
      <c r="O107" s="8" t="str">
        <f>HYPERLINK("https://drive.google.com/file/d/1wyUh70pVjH-6NRfOqvzMdSJatMlqOvNQ/view?usp=drivesdk","106 &lt;NAMA LENGKAP&gt;&gt; _ SERTIFIKAT BIMTEK IPASN BerAKHLASK")</f>
        <v>106 &lt;NAMA LENGKAP&gt;&gt; _ SERTIFIKAT BIMTEK IPASN BerAKHLASK</v>
      </c>
      <c r="P107" s="5" t="s">
        <v>1191</v>
      </c>
      <c r="Q107" s="5" t="s">
        <v>1192</v>
      </c>
      <c r="R107" s="7" t="s">
        <v>1193</v>
      </c>
      <c r="S107" s="7" t="str">
        <f>HYPERLINK("https://drive.google.com/file/d/1pTV5zGkT5-EQYKq2tC4P0kbthSsjXuKK/view?usp=drivesdk","106_YOGIE ESTININGSIH,S.Kep.,M.M. SERTIFIKAT BIMTEK IPASN-BerAKHLAK")</f>
        <v>106_YOGIE ESTININGSIH,S.Kep.,M.M. SERTIFIKAT BIMTEK IPASN-BerAKHLAK</v>
      </c>
      <c r="T107" s="5" t="s">
        <v>1194</v>
      </c>
    </row>
    <row r="108">
      <c r="A108" s="4">
        <v>45534.313787534724</v>
      </c>
      <c r="B108" s="5" t="s">
        <v>34</v>
      </c>
      <c r="D108" s="5" t="s">
        <v>35</v>
      </c>
      <c r="E108" s="5" t="s">
        <v>1195</v>
      </c>
      <c r="F108" s="5" t="s">
        <v>375</v>
      </c>
      <c r="G108" s="5" t="s">
        <v>1196</v>
      </c>
      <c r="H108" s="6" t="s">
        <v>1197</v>
      </c>
      <c r="I108" s="7" t="s">
        <v>1198</v>
      </c>
      <c r="J108" s="8" t="str">
        <f>HYPERLINK("https://drive.google.com/file/d/13EBesa-FK_Fb0JCXljUvLjUCjiBADvF5/view?usp=drivesdk","HENRI DARMADI AMD SERTIFIKAT BerAKHLAK")</f>
        <v>HENRI DARMADI AMD SERTIFIKAT BerAKHLAK</v>
      </c>
      <c r="K108" s="5" t="s">
        <v>1199</v>
      </c>
      <c r="L108" s="5" t="s">
        <v>1200</v>
      </c>
      <c r="M108" s="5" t="s">
        <v>1201</v>
      </c>
      <c r="N108" s="7" t="s">
        <v>1202</v>
      </c>
      <c r="O108" s="8" t="str">
        <f>HYPERLINK("https://drive.google.com/file/d/14kqv1IlsDkiThk-zdZRHkmV-ejuWSpBh/view?usp=drivesdk","107 &lt;NAMA LENGKAP&gt;&gt; _ SERTIFIKAT BIMTEK IPASN BerAKHLASK")</f>
        <v>107 &lt;NAMA LENGKAP&gt;&gt; _ SERTIFIKAT BIMTEK IPASN BerAKHLASK</v>
      </c>
      <c r="P108" s="5" t="s">
        <v>1203</v>
      </c>
      <c r="Q108" s="5" t="s">
        <v>1204</v>
      </c>
      <c r="R108" s="7" t="s">
        <v>1205</v>
      </c>
      <c r="S108" s="7" t="str">
        <f>HYPERLINK("https://drive.google.com/file/d/1dk0VjxRlhEw6azfLxz6S9iVfz5l2PgCN/view?usp=drivesdk","107_HENRI DARMADI AMD SERTIFIKAT BIMTEK IPASN-BerAKHLAK")</f>
        <v>107_HENRI DARMADI AMD SERTIFIKAT BIMTEK IPASN-BerAKHLAK</v>
      </c>
      <c r="T108" s="5" t="s">
        <v>1194</v>
      </c>
    </row>
    <row r="109">
      <c r="A109" s="4">
        <v>45534.31380581019</v>
      </c>
      <c r="B109" s="5" t="s">
        <v>34</v>
      </c>
      <c r="D109" s="5" t="s">
        <v>1206</v>
      </c>
      <c r="E109" s="5" t="s">
        <v>1207</v>
      </c>
      <c r="F109" s="5" t="s">
        <v>108</v>
      </c>
      <c r="G109" s="5" t="s">
        <v>1208</v>
      </c>
      <c r="H109" s="6" t="s">
        <v>1209</v>
      </c>
      <c r="I109" s="7" t="s">
        <v>1210</v>
      </c>
      <c r="J109" s="8" t="str">
        <f>HYPERLINK("https://drive.google.com/file/d/1w7Q_yqkObPHbcsnotqh5K23tI0Wq7Uee/view?usp=drivesdk","ARY BUDI KUSUMA, A.Md. SERTIFIKAT BerAKHLAK")</f>
        <v>ARY BUDI KUSUMA, A.Md. SERTIFIKAT BerAKHLAK</v>
      </c>
      <c r="K109" s="5" t="s">
        <v>1126</v>
      </c>
      <c r="L109" s="5" t="s">
        <v>1211</v>
      </c>
      <c r="M109" s="5" t="s">
        <v>1212</v>
      </c>
      <c r="N109" s="7" t="s">
        <v>1213</v>
      </c>
      <c r="O109" s="8" t="str">
        <f>HYPERLINK("https://drive.google.com/file/d/1qrdOi1NZGx4y1JcKJOqAVPX_QWiYRGQ8/view?usp=drivesdk","108 &lt;NAMA LENGKAP&gt;&gt; _ SERTIFIKAT BIMTEK IPASN BerAKHLASK")</f>
        <v>108 &lt;NAMA LENGKAP&gt;&gt; _ SERTIFIKAT BIMTEK IPASN BerAKHLASK</v>
      </c>
      <c r="P109" s="5" t="s">
        <v>1214</v>
      </c>
      <c r="Q109" s="5" t="s">
        <v>1215</v>
      </c>
      <c r="R109" s="7" t="s">
        <v>1216</v>
      </c>
      <c r="S109" s="7" t="str">
        <f>HYPERLINK("https://drive.google.com/file/d/1AaqflwzALZx4uu6Ky1YttLmz2gQLoqNy/view?usp=drivesdk","108_ARY BUDI KUSUMA, A.Md. SERTIFIKAT BIMTEK IPASN-BerAKHLAK")</f>
        <v>108_ARY BUDI KUSUMA, A.Md. SERTIFIKAT BIMTEK IPASN-BerAKHLAK</v>
      </c>
      <c r="T109" s="5" t="s">
        <v>1194</v>
      </c>
    </row>
    <row r="110" hidden="1">
      <c r="A110" s="4">
        <v>45534.313843020835</v>
      </c>
      <c r="B110" s="5" t="s">
        <v>19</v>
      </c>
      <c r="C110" s="5" t="s">
        <v>292</v>
      </c>
      <c r="E110" s="5" t="s">
        <v>1217</v>
      </c>
      <c r="F110" s="5" t="s">
        <v>212</v>
      </c>
      <c r="G110" s="5" t="s">
        <v>1218</v>
      </c>
      <c r="H110" s="6" t="s">
        <v>1219</v>
      </c>
      <c r="I110" s="7" t="s">
        <v>1220</v>
      </c>
      <c r="J110" s="8" t="str">
        <f>HYPERLINK("https://drive.google.com/file/d/1l-U5lmU2W2zoDw3oU4XJg9vPjs2C1Qpl/view?usp=drivesdk","RIKA MARLINA SARI SERTIFIKAT BerAKHLAK")</f>
        <v>RIKA MARLINA SARI SERTIFIKAT BerAKHLAK</v>
      </c>
      <c r="K110" s="5" t="s">
        <v>1221</v>
      </c>
      <c r="L110" s="5" t="s">
        <v>1222</v>
      </c>
      <c r="M110" s="5" t="s">
        <v>1223</v>
      </c>
      <c r="N110" s="7" t="s">
        <v>1224</v>
      </c>
      <c r="O110" s="8" t="str">
        <f>HYPERLINK("https://drive.google.com/file/d/1clm3t47e_S3OcNyoZJJbiQuJeaMoUy6t/view?usp=drivesdk","109 &lt;NAMA LENGKAP&gt;&gt; _ SERTIFIKAT BIMTEK IPASN BerAKHLASK")</f>
        <v>109 &lt;NAMA LENGKAP&gt;&gt; _ SERTIFIKAT BIMTEK IPASN BerAKHLASK</v>
      </c>
      <c r="P110" s="5" t="s">
        <v>1225</v>
      </c>
      <c r="Q110" s="5" t="s">
        <v>1226</v>
      </c>
      <c r="R110" s="7" t="s">
        <v>1227</v>
      </c>
      <c r="S110" s="7" t="str">
        <f>HYPERLINK("https://drive.google.com/file/d/1yFzkQ5pW_67HOS-YETqaMZ79GnuvVaCb/view?usp=drivesdk","109_RIKA MARLINA SARI SERTIFIKAT BIMTEK IPASN-BerAKHLAK")</f>
        <v>109_RIKA MARLINA SARI SERTIFIKAT BIMTEK IPASN-BerAKHLAK</v>
      </c>
      <c r="T110" s="5" t="s">
        <v>1194</v>
      </c>
    </row>
    <row r="111" hidden="1">
      <c r="A111" s="4">
        <v>45534.31385465278</v>
      </c>
      <c r="B111" s="5" t="s">
        <v>19</v>
      </c>
      <c r="C111" s="5" t="s">
        <v>292</v>
      </c>
      <c r="E111" s="5" t="s">
        <v>1228</v>
      </c>
      <c r="F111" s="5" t="s">
        <v>375</v>
      </c>
      <c r="G111" s="5" t="s">
        <v>1229</v>
      </c>
      <c r="H111" s="6" t="s">
        <v>1230</v>
      </c>
      <c r="I111" s="7" t="s">
        <v>1231</v>
      </c>
      <c r="J111" s="8" t="str">
        <f>HYPERLINK("https://drive.google.com/file/d/1Qc5PXw7rwWb9MTMnNW8-qUl7XgO2k1o-/view?usp=drivesdk","FITRI SAEFULINA SERTIFIKAT BerAKHLAK")</f>
        <v>FITRI SAEFULINA SERTIFIKAT BerAKHLAK</v>
      </c>
      <c r="K111" s="5" t="s">
        <v>1126</v>
      </c>
      <c r="L111" s="5" t="s">
        <v>1232</v>
      </c>
      <c r="M111" s="5" t="s">
        <v>1233</v>
      </c>
      <c r="N111" s="7" t="s">
        <v>1234</v>
      </c>
      <c r="O111" s="8" t="str">
        <f>HYPERLINK("https://drive.google.com/file/d/1R4rTrQi79H94vIuj4ZE3GlfGN7V3rN6z/view?usp=drivesdk","110 &lt;NAMA LENGKAP&gt;&gt; _ SERTIFIKAT BIMTEK IPASN BerAKHLASK")</f>
        <v>110 &lt;NAMA LENGKAP&gt;&gt; _ SERTIFIKAT BIMTEK IPASN BerAKHLASK</v>
      </c>
      <c r="P111" s="5" t="s">
        <v>1235</v>
      </c>
      <c r="Q111" s="5" t="s">
        <v>1236</v>
      </c>
      <c r="R111" s="7" t="s">
        <v>1237</v>
      </c>
      <c r="S111" s="7" t="str">
        <f>HYPERLINK("https://drive.google.com/file/d/1LQ3ak7QmxppDWU76cFHIkPirAwo7E0Rf/view?usp=drivesdk","110_FITRI SAEFULINA SERTIFIKAT BIMTEK IPASN-BerAKHLAK")</f>
        <v>110_FITRI SAEFULINA SERTIFIKAT BIMTEK IPASN-BerAKHLAK</v>
      </c>
      <c r="T111" s="5" t="s">
        <v>1194</v>
      </c>
    </row>
    <row r="112">
      <c r="A112" s="4">
        <v>45534.31387946759</v>
      </c>
      <c r="B112" s="5" t="s">
        <v>34</v>
      </c>
      <c r="D112" s="5" t="s">
        <v>35</v>
      </c>
      <c r="E112" s="5" t="s">
        <v>1238</v>
      </c>
      <c r="F112" s="5" t="s">
        <v>375</v>
      </c>
      <c r="G112" s="5" t="s">
        <v>1239</v>
      </c>
      <c r="H112" s="6" t="s">
        <v>1240</v>
      </c>
      <c r="I112" s="7" t="s">
        <v>1241</v>
      </c>
      <c r="J112" s="8" t="str">
        <f>HYPERLINK("https://drive.google.com/file/d/1xibdt-DlmcRVhLvOsKajduWM7bWRv1-S/view?usp=drivesdk","ESIH RUKMINAH, S.Pd SERTIFIKAT BerAKHLAK")</f>
        <v>ESIH RUKMINAH, S.Pd SERTIFIKAT BerAKHLAK</v>
      </c>
      <c r="K112" s="5" t="s">
        <v>1126</v>
      </c>
      <c r="L112" s="5" t="s">
        <v>1242</v>
      </c>
      <c r="M112" s="5" t="s">
        <v>1243</v>
      </c>
      <c r="N112" s="7" t="s">
        <v>1244</v>
      </c>
      <c r="O112" s="8" t="str">
        <f>HYPERLINK("https://drive.google.com/file/d/1Rao3DMQk9GCfBJf8WdjQRtGG--X8V3KU/view?usp=drivesdk","111 &lt;NAMA LENGKAP&gt;&gt; _ SERTIFIKAT BIMTEK IPASN BerAKHLASK")</f>
        <v>111 &lt;NAMA LENGKAP&gt;&gt; _ SERTIFIKAT BIMTEK IPASN BerAKHLASK</v>
      </c>
      <c r="P112" s="5" t="s">
        <v>1245</v>
      </c>
      <c r="Q112" s="5" t="s">
        <v>1246</v>
      </c>
      <c r="R112" s="7" t="s">
        <v>1247</v>
      </c>
      <c r="S112" s="7" t="str">
        <f>HYPERLINK("https://drive.google.com/file/d/1ucp8o7x3bxkt9qb4TgFBodVF94DfirtV/view?usp=drivesdk","111_ESIH RUKMINAH, S.Pd SERTIFIKAT BIMTEK IPASN-BerAKHLAK")</f>
        <v>111_ESIH RUKMINAH, S.Pd SERTIFIKAT BIMTEK IPASN-BerAKHLAK</v>
      </c>
      <c r="T112" s="5" t="s">
        <v>1194</v>
      </c>
    </row>
    <row r="113">
      <c r="A113" s="4">
        <v>45534.313881932874</v>
      </c>
      <c r="B113" s="5" t="s">
        <v>34</v>
      </c>
      <c r="D113" s="5" t="s">
        <v>35</v>
      </c>
      <c r="E113" s="5" t="s">
        <v>1248</v>
      </c>
      <c r="F113" s="5" t="s">
        <v>375</v>
      </c>
      <c r="G113" s="5" t="s">
        <v>1249</v>
      </c>
      <c r="H113" s="6" t="s">
        <v>1250</v>
      </c>
      <c r="I113" s="7" t="s">
        <v>1251</v>
      </c>
      <c r="J113" s="8" t="str">
        <f>HYPERLINK("https://drive.google.com/file/d/15l4k8MsVUNnEzNdfS0VCkEEl4DAj9fYc/view?usp=drivesdk","ELIZABETH NOVRITA SMLG, S.E SERTIFIKAT BerAKHLAK")</f>
        <v>ELIZABETH NOVRITA SMLG, S.E SERTIFIKAT BerAKHLAK</v>
      </c>
      <c r="K113" s="5" t="s">
        <v>1126</v>
      </c>
      <c r="L113" s="5" t="s">
        <v>1252</v>
      </c>
      <c r="M113" s="5" t="s">
        <v>1253</v>
      </c>
      <c r="N113" s="7" t="s">
        <v>1254</v>
      </c>
      <c r="O113" s="8" t="str">
        <f>HYPERLINK("https://drive.google.com/file/d/1tzINUp4v5BQ_x7uFkiVRuOsec58IVfai/view?usp=drivesdk","112 &lt;NAMA LENGKAP&gt;&gt; _ SERTIFIKAT BIMTEK IPASN BerAKHLASK")</f>
        <v>112 &lt;NAMA LENGKAP&gt;&gt; _ SERTIFIKAT BIMTEK IPASN BerAKHLASK</v>
      </c>
      <c r="P113" s="5" t="s">
        <v>1255</v>
      </c>
      <c r="Q113" s="5" t="s">
        <v>1256</v>
      </c>
      <c r="R113" s="7" t="s">
        <v>1257</v>
      </c>
      <c r="S113" s="7" t="str">
        <f>HYPERLINK("https://drive.google.com/file/d/1oncFJFtZr_lMch_4eYxUkT6Zec1-pWp9/view?usp=drivesdk","112_ELIZABETH NOVRITA SMLG, S.E SERTIFIKAT BIMTEK IPASN-BerAKHLAK")</f>
        <v>112_ELIZABETH NOVRITA SMLG, S.E SERTIFIKAT BIMTEK IPASN-BerAKHLAK</v>
      </c>
      <c r="T113" s="5" t="s">
        <v>1258</v>
      </c>
    </row>
    <row r="114">
      <c r="A114" s="4">
        <v>45534.31388605324</v>
      </c>
      <c r="B114" s="5" t="s">
        <v>34</v>
      </c>
      <c r="D114" s="5" t="s">
        <v>996</v>
      </c>
      <c r="E114" s="5" t="s">
        <v>1259</v>
      </c>
      <c r="F114" s="5" t="s">
        <v>524</v>
      </c>
      <c r="G114" s="5" t="s">
        <v>1260</v>
      </c>
      <c r="H114" s="6" t="s">
        <v>1261</v>
      </c>
      <c r="I114" s="7" t="s">
        <v>1262</v>
      </c>
      <c r="J114" s="8" t="str">
        <f>HYPERLINK("https://drive.google.com/file/d/1CpEzLXX3CNk2xccpErw-Af3pqGfnCO2M/view?usp=drivesdk","SYAIDA FAKHRIANTI, S.H. SERTIFIKAT BerAKHLAK")</f>
        <v>SYAIDA FAKHRIANTI, S.H. SERTIFIKAT BerAKHLAK</v>
      </c>
      <c r="K114" s="5" t="s">
        <v>1126</v>
      </c>
      <c r="L114" s="5" t="s">
        <v>1263</v>
      </c>
      <c r="M114" s="5" t="s">
        <v>1264</v>
      </c>
      <c r="N114" s="7" t="s">
        <v>1265</v>
      </c>
      <c r="O114" s="8" t="str">
        <f>HYPERLINK("https://drive.google.com/file/d/1dHXVYkJwShhZy9JHZLPNh7mCs_kZGUOj/view?usp=drivesdk","113 &lt;NAMA LENGKAP&gt;&gt; _ SERTIFIKAT BIMTEK IPASN BerAKHLASK")</f>
        <v>113 &lt;NAMA LENGKAP&gt;&gt; _ SERTIFIKAT BIMTEK IPASN BerAKHLASK</v>
      </c>
      <c r="P114" s="5" t="s">
        <v>1266</v>
      </c>
      <c r="Q114" s="5" t="s">
        <v>1267</v>
      </c>
      <c r="R114" s="7" t="s">
        <v>1268</v>
      </c>
      <c r="S114" s="7" t="str">
        <f>HYPERLINK("https://drive.google.com/file/d/1j0PSJqx9yPa5J2VSU8E3SriCooYicPZu/view?usp=drivesdk","113_SYAIDA FAKHRIANTI, S.H. SERTIFIKAT BIMTEK IPASN-BerAKHLAK")</f>
        <v>113_SYAIDA FAKHRIANTI, S.H. SERTIFIKAT BIMTEK IPASN-BerAKHLAK</v>
      </c>
      <c r="T114" s="5" t="s">
        <v>1258</v>
      </c>
    </row>
    <row r="115">
      <c r="A115" s="4">
        <v>45534.31390969908</v>
      </c>
      <c r="B115" s="5" t="s">
        <v>34</v>
      </c>
      <c r="D115" s="5" t="s">
        <v>522</v>
      </c>
      <c r="E115" s="5" t="s">
        <v>1269</v>
      </c>
      <c r="F115" s="5" t="s">
        <v>72</v>
      </c>
      <c r="G115" s="5" t="s">
        <v>1270</v>
      </c>
      <c r="H115" s="6" t="s">
        <v>1271</v>
      </c>
      <c r="I115" s="7" t="s">
        <v>1272</v>
      </c>
      <c r="J115" s="8" t="str">
        <f>HYPERLINK("https://drive.google.com/file/d/1fcHjezWWESTPHXYbCw4CzY0ayxRF4iWZ/view?usp=drivesdk","MERI ENGDRIANI, A.MD SERTIFIKAT BerAKHLAK")</f>
        <v>MERI ENGDRIANI, A.MD SERTIFIKAT BerAKHLAK</v>
      </c>
      <c r="K115" s="5" t="s">
        <v>1273</v>
      </c>
      <c r="L115" s="5" t="s">
        <v>1274</v>
      </c>
      <c r="M115" s="5" t="s">
        <v>1275</v>
      </c>
      <c r="N115" s="7" t="s">
        <v>1276</v>
      </c>
      <c r="O115" s="8" t="str">
        <f>HYPERLINK("https://drive.google.com/file/d/1XHGJKZhCWJ-sD271ZJQ7mu7gWoGZ2Teo/view?usp=drivesdk","114 &lt;NAMA LENGKAP&gt;&gt; _ SERTIFIKAT BIMTEK IPASN BerAKHLASK")</f>
        <v>114 &lt;NAMA LENGKAP&gt;&gt; _ SERTIFIKAT BIMTEK IPASN BerAKHLASK</v>
      </c>
      <c r="P115" s="5" t="s">
        <v>1277</v>
      </c>
      <c r="Q115" s="5" t="s">
        <v>1278</v>
      </c>
      <c r="R115" s="7" t="s">
        <v>1279</v>
      </c>
      <c r="S115" s="7" t="str">
        <f>HYPERLINK("https://drive.google.com/file/d/1lyej5ir_b4Q2iCapOTUBEtHCSVGAsHlj/view?usp=drivesdk","114_MERI ENGDRIANI, A.MD SERTIFIKAT BIMTEK IPASN-BerAKHLAK")</f>
        <v>114_MERI ENGDRIANI, A.MD SERTIFIKAT BIMTEK IPASN-BerAKHLAK</v>
      </c>
      <c r="T115" s="5" t="s">
        <v>1258</v>
      </c>
    </row>
    <row r="116">
      <c r="A116" s="4">
        <v>45534.31392115741</v>
      </c>
      <c r="B116" s="5" t="s">
        <v>34</v>
      </c>
      <c r="D116" s="5" t="s">
        <v>522</v>
      </c>
      <c r="E116" s="5" t="s">
        <v>1280</v>
      </c>
      <c r="F116" s="5" t="s">
        <v>108</v>
      </c>
      <c r="G116" s="5" t="s">
        <v>1281</v>
      </c>
      <c r="H116" s="6" t="s">
        <v>1282</v>
      </c>
      <c r="I116" s="7" t="s">
        <v>1283</v>
      </c>
      <c r="J116" s="8" t="str">
        <f>HYPERLINK("https://drive.google.com/file/d/1_mXB-QVp1U3Pfx71sFeJpkGPpdKblixT/view?usp=drivesdk","DR GEDE ERI SUPARMAWIJAYA SERTIFIKAT BerAKHLAK")</f>
        <v>DR GEDE ERI SUPARMAWIJAYA SERTIFIKAT BerAKHLAK</v>
      </c>
      <c r="K116" s="5" t="s">
        <v>1126</v>
      </c>
      <c r="L116" s="5" t="s">
        <v>1284</v>
      </c>
      <c r="M116" s="5" t="s">
        <v>1285</v>
      </c>
      <c r="N116" s="7" t="s">
        <v>1286</v>
      </c>
      <c r="O116" s="8" t="str">
        <f>HYPERLINK("https://drive.google.com/file/d/1jbBX8LYqTLWiGtXaUbIBqqarRs13Ohrj/view?usp=drivesdk","115 &lt;NAMA LENGKAP&gt;&gt; _ SERTIFIKAT BIMTEK IPASN BerAKHLASK")</f>
        <v>115 &lt;NAMA LENGKAP&gt;&gt; _ SERTIFIKAT BIMTEK IPASN BerAKHLASK</v>
      </c>
      <c r="P116" s="5" t="s">
        <v>1287</v>
      </c>
      <c r="Q116" s="5" t="s">
        <v>1288</v>
      </c>
      <c r="R116" s="7" t="s">
        <v>1289</v>
      </c>
      <c r="S116" s="7" t="str">
        <f>HYPERLINK("https://drive.google.com/file/d/1SfhEWI24URDX_SsTN1y_TzDVcn03R7AH/view?usp=drivesdk","115_DR GEDE ERI SUPARMAWIJAYA SERTIFIKAT BIMTEK IPASN-BerAKHLAK")</f>
        <v>115_DR GEDE ERI SUPARMAWIJAYA SERTIFIKAT BIMTEK IPASN-BerAKHLAK</v>
      </c>
      <c r="T116" s="5" t="s">
        <v>1258</v>
      </c>
    </row>
    <row r="117" hidden="1">
      <c r="A117" s="4">
        <v>45534.31395711805</v>
      </c>
      <c r="B117" s="5" t="s">
        <v>19</v>
      </c>
      <c r="C117" s="5" t="s">
        <v>292</v>
      </c>
      <c r="E117" s="5" t="s">
        <v>1290</v>
      </c>
      <c r="F117" s="5" t="s">
        <v>524</v>
      </c>
      <c r="G117" s="5" t="s">
        <v>1291</v>
      </c>
      <c r="H117" s="6" t="s">
        <v>1292</v>
      </c>
      <c r="I117" s="7" t="s">
        <v>1293</v>
      </c>
      <c r="J117" s="8" t="str">
        <f>HYPERLINK("https://drive.google.com/file/d/1ybSKJHP0wApkQzJdcC7MelZOr77jMmaC/view?usp=drivesdk","SUCI ENDAH PURWOLESTARI, AMd.AK.,S.Si. SERTIFIKAT BerAKHLAK")</f>
        <v>SUCI ENDAH PURWOLESTARI, AMd.AK.,S.Si. SERTIFIKAT BerAKHLAK</v>
      </c>
      <c r="K117" s="5" t="s">
        <v>1126</v>
      </c>
      <c r="L117" s="5" t="s">
        <v>1294</v>
      </c>
      <c r="M117" s="5" t="s">
        <v>1295</v>
      </c>
      <c r="N117" s="7" t="s">
        <v>1296</v>
      </c>
      <c r="O117" s="8" t="str">
        <f>HYPERLINK("https://drive.google.com/file/d/1PC0VJnBNlLFhKUjKiJTZzwnUVhXY0gf0/view?usp=drivesdk","116 &lt;NAMA LENGKAP&gt;&gt; _ SERTIFIKAT BIMTEK IPASN BerAKHLASK")</f>
        <v>116 &lt;NAMA LENGKAP&gt;&gt; _ SERTIFIKAT BIMTEK IPASN BerAKHLASK</v>
      </c>
      <c r="P117" s="5" t="s">
        <v>1297</v>
      </c>
      <c r="Q117" s="5" t="s">
        <v>1298</v>
      </c>
      <c r="R117" s="7" t="s">
        <v>1299</v>
      </c>
      <c r="S117" s="7" t="str">
        <f>HYPERLINK("https://drive.google.com/file/d/1Fbmf-zZaKs_QGxEnvaZbfNRXDNAvaA7a/view?usp=drivesdk","116_SUCI ENDAH PURWOLESTARI, AMd.AK.,S.Si. SERTIFIKAT BIMTEK IPASN-BerAKHLAK")</f>
        <v>116_SUCI ENDAH PURWOLESTARI, AMd.AK.,S.Si. SERTIFIKAT BIMTEK IPASN-BerAKHLAK</v>
      </c>
      <c r="T117" s="5" t="s">
        <v>1258</v>
      </c>
    </row>
    <row r="118">
      <c r="A118" s="4">
        <v>45534.313984849534</v>
      </c>
      <c r="B118" s="5" t="s">
        <v>34</v>
      </c>
      <c r="D118" s="5" t="s">
        <v>35</v>
      </c>
      <c r="E118" s="5" t="s">
        <v>1300</v>
      </c>
      <c r="F118" s="5" t="s">
        <v>524</v>
      </c>
      <c r="G118" s="5" t="s">
        <v>1301</v>
      </c>
      <c r="H118" s="6" t="s">
        <v>1302</v>
      </c>
      <c r="I118" s="7" t="s">
        <v>1303</v>
      </c>
      <c r="J118" s="8" t="str">
        <f>HYPERLINK("https://drive.google.com/file/d/18MoM34g1snEpfxRyID8iWmJd6FdKDLvc/view?usp=drivesdk","AGUS HIDAYAT, S.IP SERTIFIKAT BerAKHLAK")</f>
        <v>AGUS HIDAYAT, S.IP SERTIFIKAT BerAKHLAK</v>
      </c>
      <c r="K118" s="5" t="s">
        <v>1304</v>
      </c>
      <c r="L118" s="5" t="s">
        <v>1305</v>
      </c>
      <c r="M118" s="5" t="s">
        <v>1306</v>
      </c>
      <c r="N118" s="7" t="s">
        <v>1307</v>
      </c>
      <c r="O118" s="8" t="str">
        <f>HYPERLINK("https://drive.google.com/file/d/1FfUjzYWZ2xufVl-dJxOf6acC3lJQ5T_2/view?usp=drivesdk","117 &lt;NAMA LENGKAP&gt;&gt; _ SERTIFIKAT BIMTEK IPASN BerAKHLASK")</f>
        <v>117 &lt;NAMA LENGKAP&gt;&gt; _ SERTIFIKAT BIMTEK IPASN BerAKHLASK</v>
      </c>
      <c r="P118" s="5" t="s">
        <v>1308</v>
      </c>
      <c r="Q118" s="5" t="s">
        <v>1309</v>
      </c>
      <c r="R118" s="7" t="s">
        <v>1310</v>
      </c>
      <c r="S118" s="7" t="str">
        <f>HYPERLINK("https://drive.google.com/file/d/1CjP8rRL93dvRsA9HWl_eyLVayiQgykPp/view?usp=drivesdk","117_AGUS HIDAYAT, S.IP SERTIFIKAT BIMTEK IPASN-BerAKHLAK")</f>
        <v>117_AGUS HIDAYAT, S.IP SERTIFIKAT BIMTEK IPASN-BerAKHLAK</v>
      </c>
      <c r="T118" s="5" t="s">
        <v>1311</v>
      </c>
    </row>
    <row r="119">
      <c r="A119" s="4">
        <v>45534.31401015046</v>
      </c>
      <c r="B119" s="5" t="s">
        <v>34</v>
      </c>
      <c r="D119" s="5" t="s">
        <v>35</v>
      </c>
      <c r="E119" s="5" t="s">
        <v>1312</v>
      </c>
      <c r="F119" s="5" t="s">
        <v>120</v>
      </c>
      <c r="G119" s="5" t="s">
        <v>1313</v>
      </c>
      <c r="H119" s="6" t="s">
        <v>1314</v>
      </c>
      <c r="I119" s="7" t="s">
        <v>1315</v>
      </c>
      <c r="J119" s="8" t="str">
        <f>HYPERLINK("https://drive.google.com/file/d/1o0fTIMqUPBPLxK1zrNwAvpSs-_dkGnb2/view?usp=drivesdk","INE DEWI KANIA, S.Psi, Psi, MM SERTIFIKAT BerAKHLAK")</f>
        <v>INE DEWI KANIA, S.Psi, Psi, MM SERTIFIKAT BerAKHLAK</v>
      </c>
      <c r="K119" s="5" t="s">
        <v>1316</v>
      </c>
      <c r="L119" s="5" t="s">
        <v>1317</v>
      </c>
      <c r="M119" s="5" t="s">
        <v>1318</v>
      </c>
      <c r="N119" s="7" t="s">
        <v>1319</v>
      </c>
      <c r="O119" s="8" t="str">
        <f>HYPERLINK("https://drive.google.com/file/d/1YS1GvFScgTaQNgTDnsUuLXDc23o9V_cW/view?usp=drivesdk","118 &lt;NAMA LENGKAP&gt;&gt; _ SERTIFIKAT BIMTEK IPASN BerAKHLASK")</f>
        <v>118 &lt;NAMA LENGKAP&gt;&gt; _ SERTIFIKAT BIMTEK IPASN BerAKHLASK</v>
      </c>
      <c r="P119" s="5" t="s">
        <v>1320</v>
      </c>
      <c r="Q119" s="5" t="s">
        <v>1321</v>
      </c>
      <c r="R119" s="7" t="s">
        <v>1322</v>
      </c>
      <c r="S119" s="7" t="str">
        <f>HYPERLINK("https://drive.google.com/file/d/14Fp_qshrMs8zerDvx-JzloUEUtBedP4a/view?usp=drivesdk","118_INE DEWI KANIA, S.Psi, Psi, MM SERTIFIKAT BIMTEK IPASN-BerAKHLAK")</f>
        <v>118_INE DEWI KANIA, S.Psi, Psi, MM SERTIFIKAT BIMTEK IPASN-BerAKHLAK</v>
      </c>
      <c r="T119" s="5" t="s">
        <v>1311</v>
      </c>
    </row>
    <row r="120">
      <c r="A120" s="4">
        <v>45534.314016979166</v>
      </c>
      <c r="B120" s="5" t="s">
        <v>34</v>
      </c>
      <c r="D120" s="5" t="s">
        <v>522</v>
      </c>
      <c r="E120" s="5" t="s">
        <v>1323</v>
      </c>
      <c r="F120" s="5" t="s">
        <v>37</v>
      </c>
      <c r="G120" s="5" t="s">
        <v>1324</v>
      </c>
      <c r="H120" s="6" t="s">
        <v>1325</v>
      </c>
      <c r="I120" s="7" t="s">
        <v>1326</v>
      </c>
      <c r="J120" s="8" t="str">
        <f>HYPERLINK("https://drive.google.com/file/d/1GldeYnFP7laCA7g-Oa-BgB3dAawo0lI4/view?usp=drivesdk","PENGATUR LALU YULIADI SERTIFIKAT BerAKHLAK")</f>
        <v>PENGATUR LALU YULIADI SERTIFIKAT BerAKHLAK</v>
      </c>
      <c r="K120" s="5" t="s">
        <v>1126</v>
      </c>
      <c r="L120" s="5" t="s">
        <v>1327</v>
      </c>
      <c r="M120" s="5" t="s">
        <v>1328</v>
      </c>
      <c r="N120" s="7" t="s">
        <v>1329</v>
      </c>
      <c r="O120" s="8" t="str">
        <f>HYPERLINK("https://drive.google.com/file/d/1NzBD0Ve7LOSluIuXjYNS4BfXu054qATL/view?usp=drivesdk","119 &lt;NAMA LENGKAP&gt;&gt; _ SERTIFIKAT BIMTEK IPASN BerAKHLASK")</f>
        <v>119 &lt;NAMA LENGKAP&gt;&gt; _ SERTIFIKAT BIMTEK IPASN BerAKHLASK</v>
      </c>
      <c r="P120" s="5" t="s">
        <v>1330</v>
      </c>
      <c r="Q120" s="5" t="s">
        <v>1331</v>
      </c>
      <c r="R120" s="7" t="s">
        <v>1332</v>
      </c>
      <c r="S120" s="7" t="str">
        <f>HYPERLINK("https://drive.google.com/file/d/13kFqy2vc2NXOZn5Nvm-CIEG-kPSVyoBq/view?usp=drivesdk","119_PENGATUR LALU YULIADI SERTIFIKAT BIMTEK IPASN-BerAKHLAK")</f>
        <v>119_PENGATUR LALU YULIADI SERTIFIKAT BIMTEK IPASN-BerAKHLAK</v>
      </c>
      <c r="T120" s="5" t="s">
        <v>1311</v>
      </c>
    </row>
    <row r="121">
      <c r="A121" s="4">
        <v>45534.31402456018</v>
      </c>
      <c r="B121" s="5" t="s">
        <v>34</v>
      </c>
      <c r="D121" s="5" t="s">
        <v>35</v>
      </c>
      <c r="E121" s="5" t="s">
        <v>1333</v>
      </c>
      <c r="F121" s="5" t="s">
        <v>37</v>
      </c>
      <c r="G121" s="5" t="s">
        <v>1334</v>
      </c>
      <c r="H121" s="6" t="s">
        <v>1335</v>
      </c>
      <c r="I121" s="7" t="s">
        <v>1336</v>
      </c>
      <c r="J121" s="8" t="str">
        <f>HYPERLINK("https://drive.google.com/file/d/162inUAtQkXWiFsH7735gHdCqTzwS6W19/view?usp=drivesdk","DEWI PUJI ASTUTI SERTIFIKAT BerAKHLAK")</f>
        <v>DEWI PUJI ASTUTI SERTIFIKAT BerAKHLAK</v>
      </c>
      <c r="K121" s="5" t="s">
        <v>1126</v>
      </c>
      <c r="L121" s="5" t="s">
        <v>1337</v>
      </c>
      <c r="M121" s="5" t="s">
        <v>1338</v>
      </c>
      <c r="N121" s="7" t="s">
        <v>1339</v>
      </c>
      <c r="O121" s="8" t="str">
        <f>HYPERLINK("https://drive.google.com/file/d/1b_-g0SOm_XYLFnSutfG7znEECjEWu6Mp/view?usp=drivesdk","120 &lt;NAMA LENGKAP&gt;&gt; _ SERTIFIKAT BIMTEK IPASN BerAKHLASK")</f>
        <v>120 &lt;NAMA LENGKAP&gt;&gt; _ SERTIFIKAT BIMTEK IPASN BerAKHLASK</v>
      </c>
      <c r="P121" s="5" t="s">
        <v>1340</v>
      </c>
      <c r="Q121" s="5" t="s">
        <v>1341</v>
      </c>
      <c r="R121" s="7" t="s">
        <v>1342</v>
      </c>
      <c r="S121" s="7" t="str">
        <f>HYPERLINK("https://drive.google.com/file/d/15n81f4yQEhmOF0mptxbmE5KY19odgZyR/view?usp=drivesdk","120_DEWI PUJI ASTUTI SERTIFIKAT BIMTEK IPASN-BerAKHLAK")</f>
        <v>120_DEWI PUJI ASTUTI SERTIFIKAT BIMTEK IPASN-BerAKHLAK</v>
      </c>
      <c r="T121" s="5" t="s">
        <v>1311</v>
      </c>
    </row>
    <row r="122">
      <c r="A122" s="4">
        <v>45534.31402475694</v>
      </c>
      <c r="B122" s="5" t="s">
        <v>34</v>
      </c>
      <c r="D122" s="5" t="s">
        <v>267</v>
      </c>
      <c r="E122" s="5" t="s">
        <v>1343</v>
      </c>
      <c r="F122" s="5" t="s">
        <v>72</v>
      </c>
      <c r="G122" s="5" t="s">
        <v>1344</v>
      </c>
      <c r="H122" s="6" t="s">
        <v>1345</v>
      </c>
      <c r="I122" s="7" t="s">
        <v>1346</v>
      </c>
      <c r="J122" s="8" t="str">
        <f>HYPERLINK("https://drive.google.com/file/d/1C_9PeNhE5XoWWfW11vdv9jMO_rQSyr15/view?usp=drivesdk","TETTY KARUNIAWATI,A.Md SERTIFIKAT BerAKHLAK")</f>
        <v>TETTY KARUNIAWATI,A.Md SERTIFIKAT BerAKHLAK</v>
      </c>
      <c r="K122" s="5" t="s">
        <v>1347</v>
      </c>
      <c r="L122" s="5" t="s">
        <v>1348</v>
      </c>
      <c r="M122" s="5" t="s">
        <v>1349</v>
      </c>
      <c r="N122" s="7" t="s">
        <v>1350</v>
      </c>
      <c r="O122" s="8" t="str">
        <f>HYPERLINK("https://drive.google.com/file/d/1Sx8y11uT7T-LYPW4KCTMGonpB6cvxQMX/view?usp=drivesdk","121 &lt;NAMA LENGKAP&gt;&gt; _ SERTIFIKAT BIMTEK IPASN BerAKHLASK")</f>
        <v>121 &lt;NAMA LENGKAP&gt;&gt; _ SERTIFIKAT BIMTEK IPASN BerAKHLASK</v>
      </c>
      <c r="P122" s="5" t="s">
        <v>1351</v>
      </c>
      <c r="Q122" s="5" t="s">
        <v>1352</v>
      </c>
      <c r="R122" s="7" t="s">
        <v>1353</v>
      </c>
      <c r="S122" s="7" t="str">
        <f>HYPERLINK("https://drive.google.com/file/d/12m6rJimDKEf0h7JT70Wu-fxj5aD9Ba-4/view?usp=drivesdk","121_TETTY KARUNIAWATI,A.Md SERTIFIKAT BIMTEK IPASN-BerAKHLAK")</f>
        <v>121_TETTY KARUNIAWATI,A.Md SERTIFIKAT BIMTEK IPASN-BerAKHLAK</v>
      </c>
      <c r="T122" s="5" t="s">
        <v>1354</v>
      </c>
    </row>
    <row r="123">
      <c r="A123" s="4">
        <v>45534.31408434028</v>
      </c>
      <c r="B123" s="5" t="s">
        <v>34</v>
      </c>
      <c r="D123" s="5" t="s">
        <v>362</v>
      </c>
      <c r="E123" s="5" t="s">
        <v>1355</v>
      </c>
      <c r="F123" s="5" t="s">
        <v>37</v>
      </c>
      <c r="G123" s="5" t="s">
        <v>1356</v>
      </c>
      <c r="H123" s="6" t="s">
        <v>1357</v>
      </c>
      <c r="I123" s="7" t="s">
        <v>1358</v>
      </c>
      <c r="J123" s="8" t="str">
        <f>HYPERLINK("https://drive.google.com/file/d/1OdDhwdA7yDA8zf14ZRgkEw5kMYJxHMtF/view?usp=drivesdk","UCI PURNAMA SARI, A.Md.Keb SERTIFIKAT BerAKHLAK")</f>
        <v>UCI PURNAMA SARI, A.Md.Keb SERTIFIKAT BerAKHLAK</v>
      </c>
      <c r="K123" s="5" t="s">
        <v>1126</v>
      </c>
      <c r="L123" s="5" t="s">
        <v>1359</v>
      </c>
      <c r="M123" s="5" t="s">
        <v>1360</v>
      </c>
      <c r="N123" s="7" t="s">
        <v>1361</v>
      </c>
      <c r="O123" s="8" t="str">
        <f>HYPERLINK("https://drive.google.com/file/d/1zapTn2hCkMzdpg_U7xzLzK_NC9bmauEd/view?usp=drivesdk","122 &lt;NAMA LENGKAP&gt;&gt; _ SERTIFIKAT BIMTEK IPASN BerAKHLASK")</f>
        <v>122 &lt;NAMA LENGKAP&gt;&gt; _ SERTIFIKAT BIMTEK IPASN BerAKHLASK</v>
      </c>
      <c r="P123" s="5" t="s">
        <v>1362</v>
      </c>
      <c r="Q123" s="5" t="s">
        <v>1363</v>
      </c>
      <c r="R123" s="7" t="s">
        <v>1364</v>
      </c>
      <c r="S123" s="7" t="str">
        <f>HYPERLINK("https://drive.google.com/file/d/1AKqxx0AWkGkJ2EwYchAEGcH2_sYk2Q4P/view?usp=drivesdk","122_UCI PURNAMA SARI, A.Md.Keb SERTIFIKAT BIMTEK IPASN-BerAKHLAK")</f>
        <v>122_UCI PURNAMA SARI, A.Md.Keb SERTIFIKAT BIMTEK IPASN-BerAKHLAK</v>
      </c>
      <c r="T123" s="5" t="s">
        <v>1354</v>
      </c>
    </row>
    <row r="124">
      <c r="A124" s="4">
        <v>45534.31408862269</v>
      </c>
      <c r="B124" s="5" t="s">
        <v>34</v>
      </c>
      <c r="D124" s="5" t="s">
        <v>35</v>
      </c>
      <c r="E124" s="5" t="s">
        <v>1365</v>
      </c>
      <c r="F124" s="5" t="s">
        <v>37</v>
      </c>
      <c r="G124" s="5" t="s">
        <v>1366</v>
      </c>
      <c r="H124" s="6" t="s">
        <v>1367</v>
      </c>
      <c r="I124" s="7" t="s">
        <v>1368</v>
      </c>
      <c r="J124" s="8" t="str">
        <f>HYPERLINK("https://drive.google.com/file/d/1SqAk68uMt5BD0bnAIVs2-p4kuNhUtmAA/view?usp=drivesdk","RD HANA KURAESIN SERTIFIKAT BerAKHLAK")</f>
        <v>RD HANA KURAESIN SERTIFIKAT BerAKHLAK</v>
      </c>
      <c r="K124" s="5" t="s">
        <v>1126</v>
      </c>
      <c r="L124" s="5" t="s">
        <v>1369</v>
      </c>
      <c r="M124" s="5" t="s">
        <v>1370</v>
      </c>
      <c r="N124" s="7" t="s">
        <v>1371</v>
      </c>
      <c r="O124" s="8" t="str">
        <f>HYPERLINK("https://drive.google.com/file/d/10DeDcctaHM6fCAnXZt0nmwyXcBC5ymBd/view?usp=drivesdk","123 &lt;NAMA LENGKAP&gt;&gt; _ SERTIFIKAT BIMTEK IPASN BerAKHLASK")</f>
        <v>123 &lt;NAMA LENGKAP&gt;&gt; _ SERTIFIKAT BIMTEK IPASN BerAKHLASK</v>
      </c>
      <c r="P124" s="5" t="s">
        <v>1372</v>
      </c>
      <c r="Q124" s="5" t="s">
        <v>1373</v>
      </c>
      <c r="R124" s="7" t="s">
        <v>1374</v>
      </c>
      <c r="S124" s="7" t="str">
        <f>HYPERLINK("https://drive.google.com/file/d/1_IkZgdjK6zhuvUTrDKgjAAa6q2Te_lpH/view?usp=drivesdk","123_RD HANA KURAESIN SERTIFIKAT BIMTEK IPASN-BerAKHLAK")</f>
        <v>123_RD HANA KURAESIN SERTIFIKAT BIMTEK IPASN-BerAKHLAK</v>
      </c>
      <c r="T124" s="5" t="s">
        <v>1354</v>
      </c>
    </row>
    <row r="125">
      <c r="A125" s="4">
        <v>45534.3141153125</v>
      </c>
      <c r="B125" s="5" t="s">
        <v>34</v>
      </c>
      <c r="D125" s="5" t="s">
        <v>580</v>
      </c>
      <c r="E125" s="5" t="s">
        <v>1375</v>
      </c>
      <c r="F125" s="5" t="s">
        <v>715</v>
      </c>
      <c r="G125" s="5" t="s">
        <v>1376</v>
      </c>
      <c r="H125" s="6" t="s">
        <v>1377</v>
      </c>
      <c r="I125" s="7" t="s">
        <v>1378</v>
      </c>
      <c r="J125" s="8" t="str">
        <f>HYPERLINK("https://drive.google.com/file/d/1qb7T1yL6Jqq6-X2SwqE6wDlGh8NAv-ci/view?usp=drivesdk","TJOKORDA ISTRI AGUNG RAY MAHA ADNYANI, A.Md.Kep SERTIFIKAT BerAKHLAK")</f>
        <v>TJOKORDA ISTRI AGUNG RAY MAHA ADNYANI, A.Md.Kep SERTIFIKAT BerAKHLAK</v>
      </c>
      <c r="K125" s="5" t="s">
        <v>1126</v>
      </c>
      <c r="L125" s="5" t="s">
        <v>1379</v>
      </c>
      <c r="M125" s="5" t="s">
        <v>1380</v>
      </c>
      <c r="N125" s="7" t="s">
        <v>1381</v>
      </c>
      <c r="O125" s="8" t="str">
        <f>HYPERLINK("https://drive.google.com/file/d/1BYPUPLo2SLLFDd3rlc_pjtO3NQJPHNRf/view?usp=drivesdk","124 &lt;NAMA LENGKAP&gt;&gt; _ SERTIFIKAT BIMTEK IPASN BerAKHLASK")</f>
        <v>124 &lt;NAMA LENGKAP&gt;&gt; _ SERTIFIKAT BIMTEK IPASN BerAKHLASK</v>
      </c>
      <c r="P125" s="5" t="s">
        <v>1382</v>
      </c>
      <c r="Q125" s="5" t="s">
        <v>1383</v>
      </c>
      <c r="R125" s="7" t="s">
        <v>1384</v>
      </c>
      <c r="S125" s="7" t="str">
        <f>HYPERLINK("https://drive.google.com/file/d/11fzeS6qyI2bUegYQgiSDhn8ZFVxbg9od/view?usp=drivesdk","124_TJOKORDA ISTRI AGUNG RAY MAHA ADNYANI, A.Md.Kep SERTIFIKAT BIMTEK IPASN-BerAKHLAK")</f>
        <v>124_TJOKORDA ISTRI AGUNG RAY MAHA ADNYANI, A.Md.Kep SERTIFIKAT BIMTEK IPASN-BerAKHLAK</v>
      </c>
      <c r="T125" s="5" t="s">
        <v>1354</v>
      </c>
    </row>
    <row r="126">
      <c r="A126" s="4">
        <v>45534.31412407407</v>
      </c>
      <c r="B126" s="5" t="s">
        <v>34</v>
      </c>
      <c r="D126" s="5" t="s">
        <v>580</v>
      </c>
      <c r="E126" s="5" t="s">
        <v>1385</v>
      </c>
      <c r="F126" s="5" t="s">
        <v>212</v>
      </c>
      <c r="G126" s="5" t="s">
        <v>1386</v>
      </c>
      <c r="H126" s="6" t="s">
        <v>1387</v>
      </c>
      <c r="I126" s="7" t="s">
        <v>1388</v>
      </c>
      <c r="J126" s="8" t="str">
        <f>HYPERLINK("https://drive.google.com/file/d/1F9IHLcrG0NPuCflniZXhE_m2Xu-k4Y-e/view?usp=drivesdk","NI LUH MADE BUNCING KARYAWATI SERTIFIKAT BerAKHLAK")</f>
        <v>NI LUH MADE BUNCING KARYAWATI SERTIFIKAT BerAKHLAK</v>
      </c>
      <c r="K126" s="5" t="s">
        <v>1126</v>
      </c>
      <c r="L126" s="5" t="s">
        <v>1389</v>
      </c>
      <c r="M126" s="5" t="s">
        <v>1390</v>
      </c>
      <c r="N126" s="7" t="s">
        <v>1391</v>
      </c>
      <c r="O126" s="8" t="str">
        <f>HYPERLINK("https://drive.google.com/file/d/1wQevcrCyHA55CA5MyCpB7bGBNJsEVn4W/view?usp=drivesdk","125 &lt;NAMA LENGKAP&gt;&gt; _ SERTIFIKAT BIMTEK IPASN BerAKHLASK")</f>
        <v>125 &lt;NAMA LENGKAP&gt;&gt; _ SERTIFIKAT BIMTEK IPASN BerAKHLASK</v>
      </c>
      <c r="P126" s="5" t="s">
        <v>1392</v>
      </c>
      <c r="Q126" s="5" t="s">
        <v>1393</v>
      </c>
      <c r="R126" s="7" t="s">
        <v>1394</v>
      </c>
      <c r="S126" s="7" t="str">
        <f>HYPERLINK("https://drive.google.com/file/d/1kOCX82NGSopDSJwzk8YnCDR0GRvPh49h/view?usp=drivesdk","125_NI LUH MADE BUNCING KARYAWATI SERTIFIKAT BIMTEK IPASN-BerAKHLAK")</f>
        <v>125_NI LUH MADE BUNCING KARYAWATI SERTIFIKAT BIMTEK IPASN-BerAKHLAK</v>
      </c>
      <c r="T126" s="5" t="s">
        <v>1354</v>
      </c>
    </row>
    <row r="127">
      <c r="A127" s="4">
        <v>45534.31413247685</v>
      </c>
      <c r="B127" s="5" t="s">
        <v>34</v>
      </c>
      <c r="D127" s="5" t="s">
        <v>580</v>
      </c>
      <c r="E127" s="5" t="s">
        <v>1395</v>
      </c>
      <c r="F127" s="5" t="s">
        <v>212</v>
      </c>
      <c r="G127" s="5" t="s">
        <v>1396</v>
      </c>
      <c r="H127" s="6" t="s">
        <v>1397</v>
      </c>
      <c r="I127" s="7" t="s">
        <v>1398</v>
      </c>
      <c r="J127" s="8" t="str">
        <f>HYPERLINK("https://drive.google.com/file/d/1SvTBqDLXpW278t0T1kDOIPXs2lnMyhGS/view?usp=drivesdk","NI KETUT SUPADMAWATI SERTIFIKAT BerAKHLAK")</f>
        <v>NI KETUT SUPADMAWATI SERTIFIKAT BerAKHLAK</v>
      </c>
      <c r="K127" s="5" t="s">
        <v>1126</v>
      </c>
      <c r="L127" s="5" t="s">
        <v>1399</v>
      </c>
      <c r="M127" s="5" t="s">
        <v>1400</v>
      </c>
      <c r="N127" s="7" t="s">
        <v>1401</v>
      </c>
      <c r="O127" s="8" t="str">
        <f>HYPERLINK("https://drive.google.com/file/d/1x4-1xbjEYY5-Y7IqqjY13Imflm9XOp3S/view?usp=drivesdk","126 &lt;NAMA LENGKAP&gt;&gt; _ SERTIFIKAT BIMTEK IPASN BerAKHLASK")</f>
        <v>126 &lt;NAMA LENGKAP&gt;&gt; _ SERTIFIKAT BIMTEK IPASN BerAKHLASK</v>
      </c>
      <c r="P127" s="5" t="s">
        <v>1402</v>
      </c>
      <c r="Q127" s="5" t="s">
        <v>1403</v>
      </c>
      <c r="R127" s="7" t="s">
        <v>1404</v>
      </c>
      <c r="S127" s="7" t="str">
        <f>HYPERLINK("https://drive.google.com/file/d/1Jkyseuz6GG9-Ggvz2rPpgZ2CVik1wFSx/view?usp=drivesdk","126_NI KETUT SUPADMAWATI SERTIFIKAT BIMTEK IPASN-BerAKHLAK")</f>
        <v>126_NI KETUT SUPADMAWATI SERTIFIKAT BIMTEK IPASN-BerAKHLAK</v>
      </c>
      <c r="T127" s="5" t="s">
        <v>1354</v>
      </c>
    </row>
    <row r="128">
      <c r="A128" s="4">
        <v>45534.31415136574</v>
      </c>
      <c r="B128" s="5" t="s">
        <v>34</v>
      </c>
      <c r="D128" s="5" t="s">
        <v>35</v>
      </c>
      <c r="E128" s="5" t="s">
        <v>1405</v>
      </c>
      <c r="F128" s="5" t="s">
        <v>212</v>
      </c>
      <c r="G128" s="5" t="s">
        <v>1406</v>
      </c>
      <c r="H128" s="6" t="s">
        <v>1407</v>
      </c>
      <c r="I128" s="7" t="s">
        <v>1408</v>
      </c>
      <c r="J128" s="8" t="str">
        <f>HYPERLINK("https://drive.google.com/file/d/1Ffi2fVx0PTkPk_bBrcLtR5reycqZZNpB/view?usp=drivesdk","SRI NIZAR ANNAS, SH SERTIFIKAT BerAKHLAK")</f>
        <v>SRI NIZAR ANNAS, SH SERTIFIKAT BerAKHLAK</v>
      </c>
      <c r="K128" s="5" t="s">
        <v>1347</v>
      </c>
      <c r="L128" s="5" t="s">
        <v>1409</v>
      </c>
      <c r="M128" s="5" t="s">
        <v>1410</v>
      </c>
      <c r="N128" s="7" t="s">
        <v>1411</v>
      </c>
      <c r="O128" s="8" t="str">
        <f>HYPERLINK("https://drive.google.com/file/d/1fvYpJ6nrfmgUqdniSk8vxwb6jxkFdTkZ/view?usp=drivesdk","127 &lt;NAMA LENGKAP&gt;&gt; _ SERTIFIKAT BIMTEK IPASN BerAKHLASK")</f>
        <v>127 &lt;NAMA LENGKAP&gt;&gt; _ SERTIFIKAT BIMTEK IPASN BerAKHLASK</v>
      </c>
      <c r="P128" s="5" t="s">
        <v>1412</v>
      </c>
      <c r="Q128" s="5" t="s">
        <v>1413</v>
      </c>
      <c r="R128" s="7" t="s">
        <v>1414</v>
      </c>
      <c r="S128" s="7" t="str">
        <f>HYPERLINK("https://drive.google.com/file/d/1WxswzaUOsWe9j58nQK-M0QgnK7Pp4hqC/view?usp=drivesdk","127_SRI NIZAR ANNAS, SH SERTIFIKAT BIMTEK IPASN-BerAKHLAK")</f>
        <v>127_SRI NIZAR ANNAS, SH SERTIFIKAT BIMTEK IPASN-BerAKHLAK</v>
      </c>
      <c r="T128" s="5" t="s">
        <v>1415</v>
      </c>
    </row>
    <row r="129">
      <c r="A129" s="4">
        <v>45534.31416355324</v>
      </c>
      <c r="B129" s="5" t="s">
        <v>34</v>
      </c>
      <c r="D129" s="5" t="s">
        <v>996</v>
      </c>
      <c r="E129" s="5" t="s">
        <v>1416</v>
      </c>
      <c r="F129" s="5" t="s">
        <v>375</v>
      </c>
      <c r="G129" s="5" t="s">
        <v>1417</v>
      </c>
      <c r="H129" s="6" t="s">
        <v>1418</v>
      </c>
      <c r="I129" s="7" t="s">
        <v>1419</v>
      </c>
      <c r="J129" s="8" t="str">
        <f>HYPERLINK("https://drive.google.com/file/d/1hX4oC_m2SB54aH7Gt3yU8JQuhJESP2Mu/view?usp=drivesdk","ENDAH NURYANTI, SH.SE SERTIFIKAT BerAKHLAK")</f>
        <v>ENDAH NURYANTI, SH.SE SERTIFIKAT BerAKHLAK</v>
      </c>
      <c r="K129" s="5" t="s">
        <v>1347</v>
      </c>
      <c r="L129" s="5" t="s">
        <v>1420</v>
      </c>
      <c r="M129" s="5" t="s">
        <v>1421</v>
      </c>
      <c r="N129" s="7" t="s">
        <v>1422</v>
      </c>
      <c r="O129" s="8" t="str">
        <f>HYPERLINK("https://drive.google.com/file/d/16isa4y3PBuXXwa81tomSrCyjo46lTwdM/view?usp=drivesdk","128 &lt;NAMA LENGKAP&gt;&gt; _ SERTIFIKAT BIMTEK IPASN BerAKHLASK")</f>
        <v>128 &lt;NAMA LENGKAP&gt;&gt; _ SERTIFIKAT BIMTEK IPASN BerAKHLASK</v>
      </c>
      <c r="P129" s="5" t="s">
        <v>1088</v>
      </c>
      <c r="Q129" s="5" t="s">
        <v>1423</v>
      </c>
      <c r="R129" s="7" t="s">
        <v>1424</v>
      </c>
      <c r="S129" s="7" t="str">
        <f>HYPERLINK("https://drive.google.com/file/d/1nnjFxWGzgvTUvEyb6VfDqF_bdq_1-MIC/view?usp=drivesdk","128_ENDAH NURYANTI, SH.SE SERTIFIKAT BIMTEK IPASN-BerAKHLAK")</f>
        <v>128_ENDAH NURYANTI, SH.SE SERTIFIKAT BIMTEK IPASN-BerAKHLAK</v>
      </c>
      <c r="T129" s="5" t="s">
        <v>1415</v>
      </c>
    </row>
    <row r="130">
      <c r="A130" s="4">
        <v>45534.31418563657</v>
      </c>
      <c r="B130" s="5" t="s">
        <v>34</v>
      </c>
      <c r="D130" s="5" t="s">
        <v>580</v>
      </c>
      <c r="E130" s="5" t="s">
        <v>1425</v>
      </c>
      <c r="F130" s="5" t="s">
        <v>37</v>
      </c>
      <c r="G130" s="5" t="s">
        <v>1426</v>
      </c>
      <c r="H130" s="6" t="s">
        <v>1427</v>
      </c>
      <c r="I130" s="7" t="s">
        <v>1428</v>
      </c>
      <c r="J130" s="8" t="str">
        <f>HYPERLINK("https://drive.google.com/file/d/1UWxUFNzIznAMy6oOl1jGoBWaWSW3_QDY/view?usp=drivesdk","PUTU IRMA YUNITA, A.Md.Keb SERTIFIKAT BerAKHLAK")</f>
        <v>PUTU IRMA YUNITA, A.Md.Keb SERTIFIKAT BerAKHLAK</v>
      </c>
      <c r="K130" s="5" t="s">
        <v>1126</v>
      </c>
      <c r="L130" s="5" t="s">
        <v>1429</v>
      </c>
      <c r="M130" s="5" t="s">
        <v>1430</v>
      </c>
      <c r="N130" s="7" t="s">
        <v>1431</v>
      </c>
      <c r="O130" s="8" t="str">
        <f>HYPERLINK("https://drive.google.com/file/d/1u1pplioDhPHtTs15LAK8-Tr9O99tigAy/view?usp=drivesdk","129 &lt;NAMA LENGKAP&gt;&gt; _ SERTIFIKAT BIMTEK IPASN BerAKHLASK")</f>
        <v>129 &lt;NAMA LENGKAP&gt;&gt; _ SERTIFIKAT BIMTEK IPASN BerAKHLASK</v>
      </c>
      <c r="P130" s="5" t="s">
        <v>1432</v>
      </c>
      <c r="Q130" s="5" t="s">
        <v>1433</v>
      </c>
      <c r="R130" s="7" t="s">
        <v>1434</v>
      </c>
      <c r="S130" s="7" t="str">
        <f>HYPERLINK("https://drive.google.com/file/d/1kI3BX0QrjaDKAERvnHHMg5mgiU6LEYx2/view?usp=drivesdk","129_PUTU IRMA YUNITA, A.Md.Keb SERTIFIKAT BIMTEK IPASN-BerAKHLAK")</f>
        <v>129_PUTU IRMA YUNITA, A.Md.Keb SERTIFIKAT BIMTEK IPASN-BerAKHLAK</v>
      </c>
      <c r="T130" s="5" t="s">
        <v>1415</v>
      </c>
    </row>
    <row r="131">
      <c r="A131" s="4">
        <v>45534.31419175926</v>
      </c>
      <c r="B131" s="5" t="s">
        <v>34</v>
      </c>
      <c r="D131" s="5" t="s">
        <v>267</v>
      </c>
      <c r="E131" s="5" t="s">
        <v>1435</v>
      </c>
      <c r="F131" s="5" t="s">
        <v>108</v>
      </c>
      <c r="G131" s="5" t="s">
        <v>1436</v>
      </c>
      <c r="H131" s="6" t="s">
        <v>1437</v>
      </c>
      <c r="I131" s="7" t="s">
        <v>1438</v>
      </c>
      <c r="J131" s="8" t="str">
        <f>HYPERLINK("https://drive.google.com/file/d/1nUrxKyNr6MWxphSI-GxuzBt_85mGzhen/view?usp=drivesdk","ENDAH WAHYUNI AMD SERTIFIKAT BerAKHLAK")</f>
        <v>ENDAH WAHYUNI AMD SERTIFIKAT BerAKHLAK</v>
      </c>
      <c r="K131" s="5" t="s">
        <v>1126</v>
      </c>
      <c r="L131" s="5" t="s">
        <v>1439</v>
      </c>
      <c r="M131" s="5" t="s">
        <v>1440</v>
      </c>
      <c r="N131" s="7" t="s">
        <v>1441</v>
      </c>
      <c r="O131" s="8" t="str">
        <f>HYPERLINK("https://drive.google.com/file/d/1UAHRsRSkB-Oa87KRJxIDD-fpKOSOBLRA/view?usp=drivesdk","130 &lt;NAMA LENGKAP&gt;&gt; _ SERTIFIKAT BIMTEK IPASN BerAKHLASK")</f>
        <v>130 &lt;NAMA LENGKAP&gt;&gt; _ SERTIFIKAT BIMTEK IPASN BerAKHLASK</v>
      </c>
      <c r="P131" s="5" t="s">
        <v>1442</v>
      </c>
      <c r="Q131" s="5" t="s">
        <v>1443</v>
      </c>
      <c r="R131" s="7" t="s">
        <v>1444</v>
      </c>
      <c r="S131" s="7" t="str">
        <f>HYPERLINK("https://drive.google.com/file/d/1dyRrpnz08PP7L6Sk3A0lmBsUIrMRvKVH/view?usp=drivesdk","130_ENDAH WAHYUNI AMD SERTIFIKAT BIMTEK IPASN-BerAKHLAK")</f>
        <v>130_ENDAH WAHYUNI AMD SERTIFIKAT BIMTEK IPASN-BerAKHLAK</v>
      </c>
      <c r="T131" s="5" t="s">
        <v>1415</v>
      </c>
    </row>
    <row r="132">
      <c r="A132" s="4">
        <v>45534.31422719907</v>
      </c>
      <c r="B132" s="5" t="s">
        <v>34</v>
      </c>
      <c r="D132" s="5" t="s">
        <v>522</v>
      </c>
      <c r="E132" s="5" t="s">
        <v>1445</v>
      </c>
      <c r="F132" s="5" t="s">
        <v>375</v>
      </c>
      <c r="G132" s="5" t="s">
        <v>1446</v>
      </c>
      <c r="H132" s="6" t="s">
        <v>1447</v>
      </c>
      <c r="I132" s="7" t="s">
        <v>1448</v>
      </c>
      <c r="J132" s="8" t="str">
        <f>HYPERLINK("https://drive.google.com/file/d/1_b77EptwWaCHcodDGHP0BNhbocJ8wr0x/view?usp=drivesdk","RINA YULIANINGSIH, SE.MM. SERTIFIKAT BerAKHLAK")</f>
        <v>RINA YULIANINGSIH, SE.MM. SERTIFIKAT BerAKHLAK</v>
      </c>
      <c r="K132" s="5" t="s">
        <v>1449</v>
      </c>
      <c r="L132" s="5" t="s">
        <v>1450</v>
      </c>
      <c r="M132" s="5" t="s">
        <v>1451</v>
      </c>
      <c r="N132" s="7" t="s">
        <v>1452</v>
      </c>
      <c r="O132" s="8" t="str">
        <f>HYPERLINK("https://drive.google.com/file/d/1wW0cPCrK--UEFoj0B63jkTjvnSv1XdHS/view?usp=drivesdk","131 &lt;NAMA LENGKAP&gt;&gt; _ SERTIFIKAT BIMTEK IPASN BerAKHLASK")</f>
        <v>131 &lt;NAMA LENGKAP&gt;&gt; _ SERTIFIKAT BIMTEK IPASN BerAKHLASK</v>
      </c>
      <c r="P132" s="5" t="s">
        <v>1453</v>
      </c>
      <c r="Q132" s="5" t="s">
        <v>1454</v>
      </c>
      <c r="R132" s="7" t="s">
        <v>1455</v>
      </c>
      <c r="S132" s="7" t="str">
        <f>HYPERLINK("https://drive.google.com/file/d/11A_lC39xjkBk8ltrjixvtn85m1p0p8IV/view?usp=drivesdk","131_RINA YULIANINGSIH, SE.MM. SERTIFIKAT BIMTEK IPASN-BerAKHLAK")</f>
        <v>131_RINA YULIANINGSIH, SE.MM. SERTIFIKAT BIMTEK IPASN-BerAKHLAK</v>
      </c>
      <c r="T132" s="5" t="s">
        <v>1415</v>
      </c>
    </row>
    <row r="133">
      <c r="A133" s="4">
        <v>45534.314245925925</v>
      </c>
      <c r="B133" s="5" t="s">
        <v>34</v>
      </c>
      <c r="D133" s="5" t="s">
        <v>1456</v>
      </c>
      <c r="E133" s="5" t="s">
        <v>1457</v>
      </c>
      <c r="F133" s="5" t="s">
        <v>120</v>
      </c>
      <c r="G133" s="5" t="s">
        <v>1458</v>
      </c>
      <c r="H133" s="6" t="s">
        <v>1459</v>
      </c>
      <c r="I133" s="7" t="s">
        <v>1460</v>
      </c>
      <c r="J133" s="8" t="str">
        <f>HYPERLINK("https://drive.google.com/file/d/1oyW9yfflZBVTrWqrPt64yRQ1cPH4JVLh/view?usp=drivesdk","TATOK SULISTIYAWAN  SERTIFIKAT BerAKHLAK")</f>
        <v>TATOK SULISTIYAWAN  SERTIFIKAT BerAKHLAK</v>
      </c>
      <c r="K133" s="5" t="s">
        <v>1126</v>
      </c>
      <c r="L133" s="5" t="s">
        <v>1461</v>
      </c>
      <c r="M133" s="5" t="s">
        <v>1462</v>
      </c>
      <c r="N133" s="7" t="s">
        <v>1463</v>
      </c>
      <c r="O133" s="8" t="str">
        <f>HYPERLINK("https://drive.google.com/file/d/1MgeA8gqrFVnqI9PJyh_Mvgh8zeicQphf/view?usp=drivesdk","132 &lt;NAMA LENGKAP&gt;&gt; _ SERTIFIKAT BIMTEK IPASN BerAKHLASK")</f>
        <v>132 &lt;NAMA LENGKAP&gt;&gt; _ SERTIFIKAT BIMTEK IPASN BerAKHLASK</v>
      </c>
      <c r="P133" s="5" t="s">
        <v>1464</v>
      </c>
      <c r="Q133" s="5" t="s">
        <v>1465</v>
      </c>
      <c r="R133" s="7" t="s">
        <v>1466</v>
      </c>
      <c r="S133" s="7" t="str">
        <f>HYPERLINK("https://drive.google.com/file/d/11JdB6m33KGTVeLwMV07Sv6BMMir-ufhs/view?usp=drivesdk","132_TATOK SULISTIYAWAN  SERTIFIKAT BIMTEK IPASN-BerAKHLAK")</f>
        <v>132_TATOK SULISTIYAWAN  SERTIFIKAT BIMTEK IPASN-BerAKHLAK</v>
      </c>
      <c r="T133" s="5" t="s">
        <v>1415</v>
      </c>
    </row>
    <row r="134">
      <c r="A134" s="4">
        <v>45534.31429969908</v>
      </c>
      <c r="B134" s="5" t="s">
        <v>34</v>
      </c>
      <c r="D134" s="5" t="s">
        <v>580</v>
      </c>
      <c r="E134" s="5" t="s">
        <v>1467</v>
      </c>
      <c r="F134" s="5" t="s">
        <v>37</v>
      </c>
      <c r="G134" s="5" t="s">
        <v>1468</v>
      </c>
      <c r="H134" s="6" t="s">
        <v>1469</v>
      </c>
      <c r="I134" s="7" t="s">
        <v>1470</v>
      </c>
      <c r="J134" s="8" t="str">
        <f>HYPERLINK("https://drive.google.com/file/d/18yFpvvsV-OYpFpKbWSsAW9QOtewvy7Ox/view?usp=drivesdk","NI MADE TRISNAWATI SERTIFIKAT BerAKHLAK")</f>
        <v>NI MADE TRISNAWATI SERTIFIKAT BerAKHLAK</v>
      </c>
      <c r="K134" s="5" t="s">
        <v>1126</v>
      </c>
      <c r="L134" s="5" t="s">
        <v>1471</v>
      </c>
      <c r="M134" s="5" t="s">
        <v>1472</v>
      </c>
      <c r="N134" s="7" t="s">
        <v>1473</v>
      </c>
      <c r="O134" s="8" t="str">
        <f>HYPERLINK("https://drive.google.com/file/d/1jpaDy7S-p3kksPmxEDrYC0CJthsoZXW-/view?usp=drivesdk","133 &lt;NAMA LENGKAP&gt;&gt; _ SERTIFIKAT BIMTEK IPASN BerAKHLASK")</f>
        <v>133 &lt;NAMA LENGKAP&gt;&gt; _ SERTIFIKAT BIMTEK IPASN BerAKHLASK</v>
      </c>
      <c r="P134" s="5" t="s">
        <v>1474</v>
      </c>
      <c r="Q134" s="5" t="s">
        <v>1475</v>
      </c>
      <c r="R134" s="7" t="s">
        <v>1476</v>
      </c>
      <c r="S134" s="7" t="str">
        <f>HYPERLINK("https://drive.google.com/file/d/1_rh1OvThmj9hlgTuIZCwhyzFx5trzPkr/view?usp=drivesdk","133_NI MADE TRISNAWATI SERTIFIKAT BIMTEK IPASN-BerAKHLAK")</f>
        <v>133_NI MADE TRISNAWATI SERTIFIKAT BIMTEK IPASN-BerAKHLAK</v>
      </c>
      <c r="T134" s="5" t="s">
        <v>1477</v>
      </c>
    </row>
    <row r="135">
      <c r="A135" s="4">
        <v>45534.31433163195</v>
      </c>
      <c r="B135" s="5" t="s">
        <v>34</v>
      </c>
      <c r="D135" s="5" t="s">
        <v>522</v>
      </c>
      <c r="E135" s="5" t="s">
        <v>1478</v>
      </c>
      <c r="F135" s="5" t="s">
        <v>715</v>
      </c>
      <c r="G135" s="5" t="s">
        <v>1479</v>
      </c>
      <c r="H135" s="6" t="s">
        <v>1480</v>
      </c>
      <c r="I135" s="7" t="s">
        <v>1481</v>
      </c>
      <c r="J135" s="8" t="str">
        <f>HYPERLINK("https://drive.google.com/file/d/1MOhvoeL1LWpTVGY1QeIo7lz0D49POIqD/view?usp=drivesdk","LALU BUSTANUL ATHFAL  SERTIFIKAT BerAKHLAK")</f>
        <v>LALU BUSTANUL ATHFAL  SERTIFIKAT BerAKHLAK</v>
      </c>
      <c r="K135" s="5" t="s">
        <v>1126</v>
      </c>
      <c r="L135" s="5" t="s">
        <v>1482</v>
      </c>
      <c r="M135" s="5" t="s">
        <v>1483</v>
      </c>
      <c r="N135" s="7" t="s">
        <v>1484</v>
      </c>
      <c r="O135" s="8" t="str">
        <f>HYPERLINK("https://drive.google.com/file/d/1TzLbzv8x5d749_MKNLmjrokHSykTMImI/view?usp=drivesdk","134 &lt;NAMA LENGKAP&gt;&gt; _ SERTIFIKAT BIMTEK IPASN BerAKHLASK")</f>
        <v>134 &lt;NAMA LENGKAP&gt;&gt; _ SERTIFIKAT BIMTEK IPASN BerAKHLASK</v>
      </c>
      <c r="P135" s="5" t="s">
        <v>1485</v>
      </c>
      <c r="Q135" s="5" t="s">
        <v>1486</v>
      </c>
      <c r="R135" s="7" t="s">
        <v>1487</v>
      </c>
      <c r="S135" s="7" t="str">
        <f>HYPERLINK("https://drive.google.com/file/d/1Egb15Kt19wDlxz7Xkyo8wPw8r6Bm_7TA/view?usp=drivesdk","134_LALU BUSTANUL ATHFAL  SERTIFIKAT BIMTEK IPASN-BerAKHLAK")</f>
        <v>134_LALU BUSTANUL ATHFAL  SERTIFIKAT BIMTEK IPASN-BerAKHLAK</v>
      </c>
      <c r="T135" s="5" t="s">
        <v>1477</v>
      </c>
    </row>
    <row r="136">
      <c r="A136" s="4">
        <v>45534.31434113426</v>
      </c>
      <c r="B136" s="5" t="s">
        <v>34</v>
      </c>
      <c r="D136" s="5" t="s">
        <v>35</v>
      </c>
      <c r="E136" s="5" t="s">
        <v>1488</v>
      </c>
      <c r="F136" s="5" t="s">
        <v>37</v>
      </c>
      <c r="G136" s="5" t="s">
        <v>1489</v>
      </c>
      <c r="H136" s="6" t="s">
        <v>1490</v>
      </c>
      <c r="I136" s="7" t="s">
        <v>1491</v>
      </c>
      <c r="J136" s="8" t="str">
        <f>HYPERLINK("https://drive.google.com/file/d/184t0RnoelMiIAnHi95k2pczszY1U5wll/view?usp=drivesdk","GAMA DWI LINGGA. A, Md SERTIFIKAT BerAKHLAK")</f>
        <v>GAMA DWI LINGGA. A, Md SERTIFIKAT BerAKHLAK</v>
      </c>
      <c r="K136" s="5" t="s">
        <v>1126</v>
      </c>
      <c r="L136" s="5" t="s">
        <v>1492</v>
      </c>
      <c r="M136" s="5" t="s">
        <v>1493</v>
      </c>
      <c r="N136" s="7" t="s">
        <v>1494</v>
      </c>
      <c r="O136" s="8" t="str">
        <f>HYPERLINK("https://drive.google.com/file/d/11-IQpdFsENSafeZ66kFkJNtJT6cHE7TR/view?usp=drivesdk","135 &lt;NAMA LENGKAP&gt;&gt; _ SERTIFIKAT BIMTEK IPASN BerAKHLASK")</f>
        <v>135 &lt;NAMA LENGKAP&gt;&gt; _ SERTIFIKAT BIMTEK IPASN BerAKHLASK</v>
      </c>
      <c r="P136" s="5" t="s">
        <v>1495</v>
      </c>
      <c r="Q136" s="5" t="s">
        <v>1496</v>
      </c>
      <c r="R136" s="7" t="s">
        <v>1497</v>
      </c>
      <c r="S136" s="7" t="str">
        <f>HYPERLINK("https://drive.google.com/file/d/1O5XYF_LzLpkC4X2ve8D_SgFXyrYOQkUm/view?usp=drivesdk","135_GAMA DWI LINGGA. A, Md SERTIFIKAT BIMTEK IPASN-BerAKHLAK")</f>
        <v>135_GAMA DWI LINGGA. A, Md SERTIFIKAT BIMTEK IPASN-BerAKHLAK</v>
      </c>
      <c r="T136" s="5" t="s">
        <v>1477</v>
      </c>
    </row>
    <row r="137" hidden="1">
      <c r="A137" s="4">
        <v>45534.314359525466</v>
      </c>
      <c r="B137" s="5" t="s">
        <v>19</v>
      </c>
      <c r="C137" s="5" t="s">
        <v>1498</v>
      </c>
      <c r="E137" s="5" t="s">
        <v>1499</v>
      </c>
      <c r="F137" s="5" t="s">
        <v>37</v>
      </c>
      <c r="G137" s="5" t="s">
        <v>1500</v>
      </c>
      <c r="H137" s="6" t="s">
        <v>1501</v>
      </c>
      <c r="I137" s="7" t="s">
        <v>1502</v>
      </c>
      <c r="J137" s="8" t="str">
        <f>HYPERLINK("https://drive.google.com/file/d/1cX9WIldZPP1YTAcf4UhMvOcJIlil_E6k/view?usp=drivesdk","WAHYU TANDRIYANTO, S.E SERTIFIKAT BerAKHLAK")</f>
        <v>WAHYU TANDRIYANTO, S.E SERTIFIKAT BerAKHLAK</v>
      </c>
      <c r="K137" s="5" t="s">
        <v>1126</v>
      </c>
      <c r="L137" s="5" t="s">
        <v>1503</v>
      </c>
      <c r="M137" s="5" t="s">
        <v>1504</v>
      </c>
      <c r="N137" s="7" t="s">
        <v>1505</v>
      </c>
      <c r="O137" s="8" t="str">
        <f>HYPERLINK("https://drive.google.com/file/d/1FCFBpL60UZGTA2CZqEHVYSoSEmxJuuE1/view?usp=drivesdk","136 &lt;NAMA LENGKAP&gt;&gt; _ SERTIFIKAT BIMTEK IPASN BerAKHLASK")</f>
        <v>136 &lt;NAMA LENGKAP&gt;&gt; _ SERTIFIKAT BIMTEK IPASN BerAKHLASK</v>
      </c>
      <c r="P137" s="5" t="s">
        <v>1506</v>
      </c>
      <c r="Q137" s="5" t="s">
        <v>1507</v>
      </c>
      <c r="R137" s="7" t="s">
        <v>1508</v>
      </c>
      <c r="S137" s="7" t="str">
        <f>HYPERLINK("https://drive.google.com/file/d/1RELTTwBu_gbZMN_3XtgTqb_JULnswg1H/view?usp=drivesdk","136_WAHYU TANDRIYANTO, S.E SERTIFIKAT BIMTEK IPASN-BerAKHLAK")</f>
        <v>136_WAHYU TANDRIYANTO, S.E SERTIFIKAT BIMTEK IPASN-BerAKHLAK</v>
      </c>
      <c r="T137" s="5" t="s">
        <v>1477</v>
      </c>
    </row>
    <row r="138" hidden="1">
      <c r="A138" s="4">
        <v>45534.31436292824</v>
      </c>
      <c r="B138" s="5" t="s">
        <v>19</v>
      </c>
      <c r="C138" s="5" t="s">
        <v>442</v>
      </c>
      <c r="E138" s="5" t="s">
        <v>1509</v>
      </c>
      <c r="F138" s="5" t="s">
        <v>120</v>
      </c>
      <c r="G138" s="5" t="s">
        <v>1510</v>
      </c>
      <c r="H138" s="6" t="s">
        <v>1511</v>
      </c>
      <c r="I138" s="7" t="s">
        <v>1512</v>
      </c>
      <c r="J138" s="8" t="str">
        <f>HYPERLINK("https://drive.google.com/file/d/1p7fkGVt8f7z4hyepQqsPy0bjCBwTCqGT/view?usp=drivesdk","DEDY HARYUDI, S.KOM SERTIFIKAT BerAKHLAK")</f>
        <v>DEDY HARYUDI, S.KOM SERTIFIKAT BerAKHLAK</v>
      </c>
      <c r="K138" s="5" t="s">
        <v>1347</v>
      </c>
      <c r="L138" s="5" t="s">
        <v>1513</v>
      </c>
      <c r="M138" s="5" t="s">
        <v>1514</v>
      </c>
      <c r="N138" s="7" t="s">
        <v>1515</v>
      </c>
      <c r="O138" s="8" t="str">
        <f>HYPERLINK("https://drive.google.com/file/d/14YsFHVXfaOsWFE1leyaxSyhCK_74_qlB/view?usp=drivesdk","137 &lt;NAMA LENGKAP&gt;&gt; _ SERTIFIKAT BIMTEK IPASN BerAKHLASK")</f>
        <v>137 &lt;NAMA LENGKAP&gt;&gt; _ SERTIFIKAT BIMTEK IPASN BerAKHLASK</v>
      </c>
      <c r="P138" s="5" t="s">
        <v>1516</v>
      </c>
      <c r="Q138" s="5" t="s">
        <v>1517</v>
      </c>
      <c r="R138" s="7" t="s">
        <v>1518</v>
      </c>
      <c r="S138" s="7" t="str">
        <f>HYPERLINK("https://drive.google.com/file/d/1I8riloXy3jiZHgyZQSrkTUy4SUTCsNeT/view?usp=drivesdk","137_DEDY HARYUDI, S.KOM SERTIFIKAT BIMTEK IPASN-BerAKHLAK")</f>
        <v>137_DEDY HARYUDI, S.KOM SERTIFIKAT BIMTEK IPASN-BerAKHLAK</v>
      </c>
      <c r="T138" s="5" t="s">
        <v>1477</v>
      </c>
    </row>
    <row r="139">
      <c r="A139" s="4">
        <v>45534.31437008102</v>
      </c>
      <c r="B139" s="5" t="s">
        <v>34</v>
      </c>
      <c r="D139" s="5" t="s">
        <v>580</v>
      </c>
      <c r="E139" s="5" t="s">
        <v>1519</v>
      </c>
      <c r="F139" s="5" t="s">
        <v>108</v>
      </c>
      <c r="G139" s="5" t="s">
        <v>1520</v>
      </c>
      <c r="H139" s="6" t="s">
        <v>1521</v>
      </c>
      <c r="I139" s="7" t="s">
        <v>1522</v>
      </c>
      <c r="J139" s="8" t="str">
        <f>HYPERLINK("https://drive.google.com/file/d/1xQSu1rbZvSNIXkk6RW6L83D9zVAaUfha/view?usp=drivesdk","MADE SRI WAHYUNI, A.md SERTIFIKAT BerAKHLAK")</f>
        <v>MADE SRI WAHYUNI, A.md SERTIFIKAT BerAKHLAK</v>
      </c>
      <c r="K139" s="5" t="s">
        <v>1347</v>
      </c>
      <c r="L139" s="5" t="s">
        <v>1523</v>
      </c>
      <c r="M139" s="5" t="s">
        <v>1524</v>
      </c>
      <c r="N139" s="7" t="s">
        <v>1525</v>
      </c>
      <c r="O139" s="8" t="str">
        <f>HYPERLINK("https://drive.google.com/file/d/1RrWbC-E49RbWd8DQpqhmN9Hd67zilgiJ/view?usp=drivesdk","138 &lt;NAMA LENGKAP&gt;&gt; _ SERTIFIKAT BIMTEK IPASN BerAKHLASK")</f>
        <v>138 &lt;NAMA LENGKAP&gt;&gt; _ SERTIFIKAT BIMTEK IPASN BerAKHLASK</v>
      </c>
      <c r="P139" s="5" t="s">
        <v>1526</v>
      </c>
      <c r="Q139" s="5" t="s">
        <v>1527</v>
      </c>
      <c r="R139" s="7" t="s">
        <v>1528</v>
      </c>
      <c r="S139" s="7" t="str">
        <f>HYPERLINK("https://drive.google.com/file/d/1OsHyOx3NqTPZMiawymXxIrQfTNTKBYhe/view?usp=drivesdk","138_MADE SRI WAHYUNI, A.md SERTIFIKAT BIMTEK IPASN-BerAKHLAK")</f>
        <v>138_MADE SRI WAHYUNI, A.md SERTIFIKAT BIMTEK IPASN-BerAKHLAK</v>
      </c>
      <c r="T139" s="5" t="s">
        <v>1477</v>
      </c>
    </row>
    <row r="140">
      <c r="A140" s="4">
        <v>45534.31439289352</v>
      </c>
      <c r="B140" s="5" t="s">
        <v>34</v>
      </c>
      <c r="D140" s="5" t="s">
        <v>522</v>
      </c>
      <c r="E140" s="5" t="s">
        <v>1529</v>
      </c>
      <c r="F140" s="5" t="s">
        <v>108</v>
      </c>
      <c r="G140" s="5" t="s">
        <v>1530</v>
      </c>
      <c r="H140" s="6" t="s">
        <v>1531</v>
      </c>
      <c r="I140" s="7" t="s">
        <v>1532</v>
      </c>
      <c r="J140" s="8" t="str">
        <f>HYPERLINK("https://drive.google.com/file/d/1jL24LtjFvD1wahpMsDDiHBNzCZ6jN-r5/view?usp=drivesdk","dr. DWITYO RAHMAT SETIAWAN SERTIFIKAT BerAKHLAK")</f>
        <v>dr. DWITYO RAHMAT SETIAWAN SERTIFIKAT BerAKHLAK</v>
      </c>
      <c r="K140" s="5" t="s">
        <v>1126</v>
      </c>
      <c r="L140" s="5" t="s">
        <v>1533</v>
      </c>
      <c r="M140" s="5" t="s">
        <v>1534</v>
      </c>
      <c r="N140" s="7" t="s">
        <v>1535</v>
      </c>
      <c r="O140" s="8" t="str">
        <f>HYPERLINK("https://drive.google.com/file/d/1Ao10P8WaPsg2EijhLj3ikUMm8K9aNdeH/view?usp=drivesdk","139 &lt;NAMA LENGKAP&gt;&gt; _ SERTIFIKAT BIMTEK IPASN BerAKHLASK")</f>
        <v>139 &lt;NAMA LENGKAP&gt;&gt; _ SERTIFIKAT BIMTEK IPASN BerAKHLASK</v>
      </c>
      <c r="P140" s="5" t="s">
        <v>1536</v>
      </c>
      <c r="Q140" s="5" t="s">
        <v>1537</v>
      </c>
      <c r="R140" s="7" t="s">
        <v>1538</v>
      </c>
      <c r="S140" s="7" t="str">
        <f>HYPERLINK("https://drive.google.com/file/d/1T5WzydGQS9OGVS1yp1PWpfTfTHx_f4xe/view?usp=drivesdk","139_dr. DWITYO RAHMAT SETIAWAN SERTIFIKAT BIMTEK IPASN-BerAKHLAK")</f>
        <v>139_dr. DWITYO RAHMAT SETIAWAN SERTIFIKAT BIMTEK IPASN-BerAKHLAK</v>
      </c>
      <c r="T140" s="5" t="s">
        <v>1539</v>
      </c>
    </row>
    <row r="141" hidden="1">
      <c r="A141" s="4">
        <v>45534.31440960648</v>
      </c>
      <c r="B141" s="5" t="s">
        <v>19</v>
      </c>
      <c r="C141" s="5" t="s">
        <v>292</v>
      </c>
      <c r="E141" s="5" t="s">
        <v>1540</v>
      </c>
      <c r="F141" s="5" t="s">
        <v>524</v>
      </c>
      <c r="G141" s="5" t="s">
        <v>1541</v>
      </c>
      <c r="H141" s="6" t="s">
        <v>1542</v>
      </c>
      <c r="I141" s="7" t="s">
        <v>1543</v>
      </c>
      <c r="J141" s="8" t="str">
        <f>HYPERLINK("https://drive.google.com/file/d/18sNs52-icVQ7tjF5R0zuP-lqlGjny6aV/view?usp=drivesdk","RINI JULAINI, S.E SERTIFIKAT BerAKHLAK")</f>
        <v>RINI JULAINI, S.E SERTIFIKAT BerAKHLAK</v>
      </c>
      <c r="K141" s="5" t="s">
        <v>1347</v>
      </c>
      <c r="L141" s="5" t="s">
        <v>1544</v>
      </c>
      <c r="M141" s="5" t="s">
        <v>1545</v>
      </c>
      <c r="N141" s="7" t="s">
        <v>1546</v>
      </c>
      <c r="O141" s="8" t="str">
        <f>HYPERLINK("https://drive.google.com/file/d/1yIrVE4KoOJK9LTnfI9wI1814IS8Fo-gJ/view?usp=drivesdk","140 &lt;NAMA LENGKAP&gt;&gt; _ SERTIFIKAT BIMTEK IPASN BerAKHLASK")</f>
        <v>140 &lt;NAMA LENGKAP&gt;&gt; _ SERTIFIKAT BIMTEK IPASN BerAKHLASK</v>
      </c>
      <c r="P141" s="5" t="s">
        <v>1536</v>
      </c>
      <c r="Q141" s="5" t="s">
        <v>1547</v>
      </c>
      <c r="R141" s="7" t="s">
        <v>1548</v>
      </c>
      <c r="S141" s="7" t="str">
        <f>HYPERLINK("https://drive.google.com/file/d/177C1w21a-cALLKM3JdiQ77Ui1KNr05do/view?usp=drivesdk","140_RINI JULAINI, S.E SERTIFIKAT BIMTEK IPASN-BerAKHLAK")</f>
        <v>140_RINI JULAINI, S.E SERTIFIKAT BIMTEK IPASN-BerAKHLAK</v>
      </c>
      <c r="T141" s="5" t="s">
        <v>1539</v>
      </c>
    </row>
    <row r="142">
      <c r="A142" s="4">
        <v>45534.31441253472</v>
      </c>
      <c r="B142" s="5" t="s">
        <v>34</v>
      </c>
      <c r="D142" s="5" t="s">
        <v>522</v>
      </c>
      <c r="E142" s="5" t="s">
        <v>1549</v>
      </c>
      <c r="F142" s="5" t="s">
        <v>375</v>
      </c>
      <c r="G142" s="5" t="s">
        <v>1550</v>
      </c>
      <c r="H142" s="6" t="s">
        <v>1551</v>
      </c>
      <c r="I142" s="7" t="s">
        <v>1552</v>
      </c>
      <c r="J142" s="8" t="str">
        <f>HYPERLINK("https://drive.google.com/file/d/1KMiMIZmX3w7NFucXHqN3aANxvaDoBmEV/view?usp=drivesdk","YUDHI SISWANTO ,S.E. SERTIFIKAT BerAKHLAK")</f>
        <v>YUDHI SISWANTO ,S.E. SERTIFIKAT BerAKHLAK</v>
      </c>
      <c r="K142" s="5" t="s">
        <v>1347</v>
      </c>
      <c r="L142" s="5" t="s">
        <v>1553</v>
      </c>
      <c r="M142" s="5" t="s">
        <v>1554</v>
      </c>
      <c r="N142" s="7" t="s">
        <v>1555</v>
      </c>
      <c r="O142" s="8" t="str">
        <f>HYPERLINK("https://drive.google.com/file/d/1eNk8OqPnOfdVttcXmNeWwKiAFSTZuBku/view?usp=drivesdk","141 &lt;NAMA LENGKAP&gt;&gt; _ SERTIFIKAT BIMTEK IPASN BerAKHLASK")</f>
        <v>141 &lt;NAMA LENGKAP&gt;&gt; _ SERTIFIKAT BIMTEK IPASN BerAKHLASK</v>
      </c>
      <c r="P142" s="5" t="s">
        <v>1536</v>
      </c>
      <c r="Q142" s="5" t="s">
        <v>1556</v>
      </c>
      <c r="R142" s="7" t="s">
        <v>1557</v>
      </c>
      <c r="S142" s="7" t="str">
        <f>HYPERLINK("https://drive.google.com/file/d/1R_eQnST9euG6PR4P8pF4fo9k4kNc5fYl/view?usp=drivesdk","141_YUDHI SISWANTO ,S.E. SERTIFIKAT BIMTEK IPASN-BerAKHLAK")</f>
        <v>141_YUDHI SISWANTO ,S.E. SERTIFIKAT BIMTEK IPASN-BerAKHLAK</v>
      </c>
      <c r="T142" s="5" t="s">
        <v>1539</v>
      </c>
    </row>
    <row r="143">
      <c r="A143" s="4">
        <v>45534.314435810185</v>
      </c>
      <c r="B143" s="5" t="s">
        <v>34</v>
      </c>
      <c r="D143" s="5" t="s">
        <v>1558</v>
      </c>
      <c r="E143" s="5" t="s">
        <v>1559</v>
      </c>
      <c r="F143" s="5" t="s">
        <v>108</v>
      </c>
      <c r="G143" s="5" t="s">
        <v>1560</v>
      </c>
      <c r="H143" s="6" t="s">
        <v>1561</v>
      </c>
      <c r="I143" s="7" t="s">
        <v>1562</v>
      </c>
      <c r="J143" s="8" t="str">
        <f>HYPERLINK("https://drive.google.com/file/d/1u6-p9X7iFFtYg9qQ3z6cLLXuE5H8b-PA/view?usp=drivesdk","MEULYTA MEGA DEVI APSARI, A.Md SERTIFIKAT BerAKHLAK")</f>
        <v>MEULYTA MEGA DEVI APSARI, A.Md SERTIFIKAT BerAKHLAK</v>
      </c>
      <c r="K143" s="5" t="s">
        <v>1347</v>
      </c>
      <c r="L143" s="5" t="s">
        <v>1563</v>
      </c>
      <c r="M143" s="5" t="s">
        <v>1564</v>
      </c>
      <c r="N143" s="7" t="s">
        <v>1565</v>
      </c>
      <c r="O143" s="8" t="str">
        <f>HYPERLINK("https://drive.google.com/file/d/1i7PbdlV273jSon8A-7ll2aeBqBQPTOek/view?usp=drivesdk","142 &lt;NAMA LENGKAP&gt;&gt; _ SERTIFIKAT BIMTEK IPASN BerAKHLASK")</f>
        <v>142 &lt;NAMA LENGKAP&gt;&gt; _ SERTIFIKAT BIMTEK IPASN BerAKHLASK</v>
      </c>
      <c r="P143" s="5" t="s">
        <v>1536</v>
      </c>
      <c r="Q143" s="5" t="s">
        <v>1566</v>
      </c>
      <c r="R143" s="7" t="s">
        <v>1567</v>
      </c>
      <c r="S143" s="7" t="str">
        <f>HYPERLINK("https://drive.google.com/file/d/1czhTR3Y7ohIHq8P9XtZ0yEwAMbFk9AqA/view?usp=drivesdk","142_MEULYTA MEGA DEVI APSARI, A.Md SERTIFIKAT BIMTEK IPASN-BerAKHLAK")</f>
        <v>142_MEULYTA MEGA DEVI APSARI, A.Md SERTIFIKAT BIMTEK IPASN-BerAKHLAK</v>
      </c>
      <c r="T143" s="5" t="s">
        <v>1539</v>
      </c>
    </row>
    <row r="144">
      <c r="A144" s="4">
        <v>45534.31444314815</v>
      </c>
      <c r="B144" s="5" t="s">
        <v>34</v>
      </c>
      <c r="D144" s="5" t="s">
        <v>522</v>
      </c>
      <c r="E144" s="5" t="s">
        <v>1568</v>
      </c>
      <c r="F144" s="5" t="s">
        <v>212</v>
      </c>
      <c r="G144" s="5" t="s">
        <v>1569</v>
      </c>
      <c r="H144" s="6" t="s">
        <v>1570</v>
      </c>
      <c r="I144" s="7" t="s">
        <v>1571</v>
      </c>
      <c r="J144" s="8" t="str">
        <f>HYPERLINK("https://drive.google.com/file/d/1Agdtr2or4Tm0VK1qDrHNnny2x0oLur1-/view?usp=drivesdk","PENGATUR TK.I SAFRI SERTIFIKAT BerAKHLAK")</f>
        <v>PENGATUR TK.I SAFRI SERTIFIKAT BerAKHLAK</v>
      </c>
      <c r="K144" s="5" t="s">
        <v>1347</v>
      </c>
      <c r="L144" s="5" t="s">
        <v>1572</v>
      </c>
      <c r="M144" s="5" t="s">
        <v>1573</v>
      </c>
      <c r="N144" s="7" t="s">
        <v>1574</v>
      </c>
      <c r="O144" s="8" t="str">
        <f>HYPERLINK("https://drive.google.com/file/d/1jGUwGXT3zEOqC7oGscrhwfAYuMcLmCWp/view?usp=drivesdk","143 &lt;NAMA LENGKAP&gt;&gt; _ SERTIFIKAT BIMTEK IPASN BerAKHLASK")</f>
        <v>143 &lt;NAMA LENGKAP&gt;&gt; _ SERTIFIKAT BIMTEK IPASN BerAKHLASK</v>
      </c>
      <c r="P144" s="5" t="s">
        <v>1536</v>
      </c>
      <c r="Q144" s="5" t="s">
        <v>1575</v>
      </c>
      <c r="R144" s="7" t="s">
        <v>1576</v>
      </c>
      <c r="S144" s="7" t="str">
        <f>HYPERLINK("https://drive.google.com/file/d/11trmPR0CdltdaVmmhzGDjAnAVSNGp_CU/view?usp=drivesdk","143_PENGATUR TK.I SAFRI SERTIFIKAT BIMTEK IPASN-BerAKHLAK")</f>
        <v>143_PENGATUR TK.I SAFRI SERTIFIKAT BIMTEK IPASN-BerAKHLAK</v>
      </c>
      <c r="T144" s="5" t="s">
        <v>1539</v>
      </c>
    </row>
    <row r="145">
      <c r="A145" s="4">
        <v>45534.31446146991</v>
      </c>
      <c r="B145" s="5" t="s">
        <v>34</v>
      </c>
      <c r="D145" s="5" t="s">
        <v>604</v>
      </c>
      <c r="E145" s="5" t="s">
        <v>1577</v>
      </c>
      <c r="F145" s="5" t="s">
        <v>72</v>
      </c>
      <c r="G145" s="5" t="s">
        <v>1578</v>
      </c>
      <c r="H145" s="6" t="s">
        <v>1579</v>
      </c>
      <c r="I145" s="7" t="s">
        <v>1580</v>
      </c>
      <c r="J145" s="8" t="str">
        <f>HYPERLINK("https://drive.google.com/file/d/1UeIFDraBc4i7mLWB2eHN-1VvNqZp1yrj/view?usp=drivesdk","dr. ANNISA R ALKATIRY SERTIFIKAT BerAKHLAK")</f>
        <v>dr. ANNISA R ALKATIRY SERTIFIKAT BerAKHLAK</v>
      </c>
      <c r="K145" s="5" t="s">
        <v>1347</v>
      </c>
      <c r="L145" s="5" t="s">
        <v>1581</v>
      </c>
      <c r="M145" s="5" t="s">
        <v>1582</v>
      </c>
      <c r="N145" s="7" t="s">
        <v>1583</v>
      </c>
      <c r="O145" s="8" t="str">
        <f>HYPERLINK("https://drive.google.com/file/d/1z6FhNSgZG4IrqDlkbzwOIkOfmf4YAA09/view?usp=drivesdk","144 &lt;NAMA LENGKAP&gt;&gt; _ SERTIFIKAT BIMTEK IPASN BerAKHLASK")</f>
        <v>144 &lt;NAMA LENGKAP&gt;&gt; _ SERTIFIKAT BIMTEK IPASN BerAKHLASK</v>
      </c>
      <c r="P145" s="5" t="s">
        <v>1584</v>
      </c>
      <c r="Q145" s="5" t="s">
        <v>1585</v>
      </c>
      <c r="R145" s="7" t="s">
        <v>1586</v>
      </c>
      <c r="S145" s="7" t="str">
        <f>HYPERLINK("https://drive.google.com/file/d/1jMqKuwA--tjFzaOip_Mx9C5PTBydNJej/view?usp=drivesdk","144_dr. ANNISA R ALKATIRY SERTIFIKAT BIMTEK IPASN-BerAKHLAK")</f>
        <v>144_dr. ANNISA R ALKATIRY SERTIFIKAT BIMTEK IPASN-BerAKHLAK</v>
      </c>
      <c r="T145" s="5" t="s">
        <v>1587</v>
      </c>
    </row>
    <row r="146">
      <c r="A146" s="4">
        <v>45534.31451096065</v>
      </c>
      <c r="B146" s="5" t="s">
        <v>34</v>
      </c>
      <c r="D146" s="5" t="s">
        <v>996</v>
      </c>
      <c r="E146" s="5" t="s">
        <v>1588</v>
      </c>
      <c r="F146" s="5" t="s">
        <v>108</v>
      </c>
      <c r="G146" s="5" t="s">
        <v>1589</v>
      </c>
      <c r="H146" s="6" t="s">
        <v>1590</v>
      </c>
      <c r="I146" s="7" t="s">
        <v>1591</v>
      </c>
      <c r="J146" s="8" t="str">
        <f>HYPERLINK("https://drive.google.com/file/d/1cucldBBAvVluI1HYuiGsz_VRBrRVIfYc/view?usp=drivesdk","ARIS YULIYANTO, S.Kom., M.M. SERTIFIKAT BerAKHLAK")</f>
        <v>ARIS YULIYANTO, S.Kom., M.M. SERTIFIKAT BerAKHLAK</v>
      </c>
      <c r="K146" s="5" t="s">
        <v>1347</v>
      </c>
      <c r="L146" s="5" t="s">
        <v>1592</v>
      </c>
      <c r="M146" s="5" t="s">
        <v>1593</v>
      </c>
      <c r="N146" s="7" t="s">
        <v>1594</v>
      </c>
      <c r="O146" s="8" t="str">
        <f>HYPERLINK("https://drive.google.com/file/d/1ojZ0TwYtUGZV6PdvPDFiFJCur-jbcOas/view?usp=drivesdk","145 &lt;NAMA LENGKAP&gt;&gt; _ SERTIFIKAT BIMTEK IPASN BerAKHLASK")</f>
        <v>145 &lt;NAMA LENGKAP&gt;&gt; _ SERTIFIKAT BIMTEK IPASN BerAKHLASK</v>
      </c>
      <c r="P146" s="5" t="s">
        <v>1584</v>
      </c>
      <c r="Q146" s="5" t="s">
        <v>1595</v>
      </c>
      <c r="R146" s="7" t="s">
        <v>1596</v>
      </c>
      <c r="S146" s="7" t="str">
        <f>HYPERLINK("https://drive.google.com/file/d/1M53mwL0sQzoIGWhQiVdyosOdZa3n4lpr/view?usp=drivesdk","145_ARIS YULIYANTO, S.Kom., M.M. SERTIFIKAT BIMTEK IPASN-BerAKHLAK")</f>
        <v>145_ARIS YULIYANTO, S.Kom., M.M. SERTIFIKAT BIMTEK IPASN-BerAKHLAK</v>
      </c>
      <c r="T146" s="5" t="s">
        <v>1587</v>
      </c>
    </row>
    <row r="147">
      <c r="A147" s="4">
        <v>45534.31451888889</v>
      </c>
      <c r="B147" s="5" t="s">
        <v>34</v>
      </c>
      <c r="D147" s="5" t="s">
        <v>975</v>
      </c>
      <c r="E147" s="5" t="s">
        <v>1597</v>
      </c>
      <c r="F147" s="5" t="s">
        <v>72</v>
      </c>
      <c r="G147" s="5" t="s">
        <v>1598</v>
      </c>
      <c r="H147" s="6" t="s">
        <v>1599</v>
      </c>
      <c r="I147" s="7" t="s">
        <v>1600</v>
      </c>
      <c r="J147" s="8" t="str">
        <f>HYPERLINK("https://drive.google.com/file/d/1Sn0mbuul5gML1aNXKsL-ILmc3kgndPkp/view?usp=drivesdk","RAHMAWATI YUNI ASTUTI SERTIFIKAT BerAKHLAK")</f>
        <v>RAHMAWATI YUNI ASTUTI SERTIFIKAT BerAKHLAK</v>
      </c>
      <c r="K147" s="5" t="s">
        <v>1347</v>
      </c>
      <c r="L147" s="5" t="s">
        <v>1601</v>
      </c>
      <c r="M147" s="5" t="s">
        <v>1602</v>
      </c>
      <c r="N147" s="7" t="s">
        <v>1603</v>
      </c>
      <c r="O147" s="8" t="str">
        <f>HYPERLINK("https://drive.google.com/file/d/1jrQIC1i7fO092b36m0zqIMylbfTKxAZW/view?usp=drivesdk","146 &lt;NAMA LENGKAP&gt;&gt; _ SERTIFIKAT BIMTEK IPASN BerAKHLASK")</f>
        <v>146 &lt;NAMA LENGKAP&gt;&gt; _ SERTIFIKAT BIMTEK IPASN BerAKHLASK</v>
      </c>
      <c r="P147" s="5" t="s">
        <v>1584</v>
      </c>
      <c r="Q147" s="5" t="s">
        <v>1604</v>
      </c>
      <c r="R147" s="7" t="s">
        <v>1605</v>
      </c>
      <c r="S147" s="7" t="str">
        <f>HYPERLINK("https://drive.google.com/file/d/1y-98OC0CiF9EdiD7AVvsVSsrv2QuL0ip/view?usp=drivesdk","146_RAHMAWATI YUNI ASTUTI SERTIFIKAT BIMTEK IPASN-BerAKHLAK")</f>
        <v>146_RAHMAWATI YUNI ASTUTI SERTIFIKAT BIMTEK IPASN-BerAKHLAK</v>
      </c>
      <c r="T147" s="5" t="s">
        <v>1587</v>
      </c>
    </row>
    <row r="148" hidden="1">
      <c r="A148" s="4">
        <v>45534.314561666666</v>
      </c>
      <c r="B148" s="5" t="s">
        <v>19</v>
      </c>
      <c r="C148" s="5" t="s">
        <v>1606</v>
      </c>
      <c r="E148" s="5" t="s">
        <v>1607</v>
      </c>
      <c r="F148" s="5" t="s">
        <v>375</v>
      </c>
      <c r="G148" s="5" t="s">
        <v>1608</v>
      </c>
      <c r="H148" s="6" t="s">
        <v>1609</v>
      </c>
      <c r="I148" s="7" t="s">
        <v>1610</v>
      </c>
      <c r="J148" s="8" t="str">
        <f>HYPERLINK("https://drive.google.com/file/d/102gfRy2DX28pb69ky27ipeR9BHSxlz4i/view?usp=drivesdk","NINING NURNANINGSIH, S.E. SERTIFIKAT BerAKHLAK")</f>
        <v>NINING NURNANINGSIH, S.E. SERTIFIKAT BerAKHLAK</v>
      </c>
      <c r="K148" s="5" t="s">
        <v>1347</v>
      </c>
      <c r="L148" s="5" t="s">
        <v>1611</v>
      </c>
      <c r="M148" s="5" t="s">
        <v>1612</v>
      </c>
      <c r="N148" s="7" t="s">
        <v>1613</v>
      </c>
      <c r="O148" s="8" t="str">
        <f>HYPERLINK("https://drive.google.com/file/d/14HDKN7LCzPaGIuYgP9A0l0mQ9qKJgfr1/view?usp=drivesdk","147 &lt;NAMA LENGKAP&gt;&gt; _ SERTIFIKAT BIMTEK IPASN BerAKHLASK")</f>
        <v>147 &lt;NAMA LENGKAP&gt;&gt; _ SERTIFIKAT BIMTEK IPASN BerAKHLASK</v>
      </c>
      <c r="P148" s="5" t="s">
        <v>1584</v>
      </c>
      <c r="Q148" s="5" t="s">
        <v>1614</v>
      </c>
      <c r="R148" s="7" t="s">
        <v>1615</v>
      </c>
      <c r="S148" s="7" t="str">
        <f>HYPERLINK("https://drive.google.com/file/d/1q2ruh0bbn9Xt4NKXNyu5Q8vfzdeXK81J/view?usp=drivesdk","147_NINING NURNANINGSIH, S.E. SERTIFIKAT BIMTEK IPASN-BerAKHLAK")</f>
        <v>147_NINING NURNANINGSIH, S.E. SERTIFIKAT BIMTEK IPASN-BerAKHLAK</v>
      </c>
      <c r="T148" s="5" t="s">
        <v>1587</v>
      </c>
    </row>
    <row r="149">
      <c r="A149" s="4">
        <v>45534.314620613426</v>
      </c>
      <c r="B149" s="5" t="s">
        <v>34</v>
      </c>
      <c r="D149" s="5" t="s">
        <v>35</v>
      </c>
      <c r="E149" s="5" t="s">
        <v>1616</v>
      </c>
      <c r="F149" s="5" t="s">
        <v>72</v>
      </c>
      <c r="G149" s="5" t="s">
        <v>1617</v>
      </c>
      <c r="H149" s="6" t="s">
        <v>1618</v>
      </c>
      <c r="I149" s="7" t="s">
        <v>1619</v>
      </c>
      <c r="J149" s="8" t="str">
        <f>HYPERLINK("https://drive.google.com/file/d/1T67Zom4EkSxrFPQ-NcKvrfl8qLT9w-VR/view?usp=drivesdk","PENATA NOVI SRI MANTINI. S.KOM SERTIFIKAT BerAKHLAK")</f>
        <v>PENATA NOVI SRI MANTINI. S.KOM SERTIFIKAT BerAKHLAK</v>
      </c>
      <c r="K149" s="5" t="s">
        <v>1347</v>
      </c>
      <c r="L149" s="5" t="s">
        <v>1620</v>
      </c>
      <c r="M149" s="5" t="s">
        <v>1621</v>
      </c>
      <c r="N149" s="7" t="s">
        <v>1622</v>
      </c>
      <c r="O149" s="8" t="str">
        <f>HYPERLINK("https://drive.google.com/file/d/1Gp4LbHXiM0yW51vLpC7U4lfvJqfgnP3E/view?usp=drivesdk","148 &lt;NAMA LENGKAP&gt;&gt; _ SERTIFIKAT BIMTEK IPASN BerAKHLASK")</f>
        <v>148 &lt;NAMA LENGKAP&gt;&gt; _ SERTIFIKAT BIMTEK IPASN BerAKHLASK</v>
      </c>
      <c r="P149" s="5" t="s">
        <v>1584</v>
      </c>
      <c r="Q149" s="5" t="s">
        <v>1623</v>
      </c>
      <c r="R149" s="7" t="s">
        <v>1624</v>
      </c>
      <c r="S149" s="7" t="str">
        <f>HYPERLINK("https://drive.google.com/file/d/1L3UBWkYOJW8LV0gWxvALZsxxhlZr5vSv/view?usp=drivesdk","148_PENATA NOVI SRI MANTINI. S.KOM SERTIFIKAT BIMTEK IPASN-BerAKHLAK")</f>
        <v>148_PENATA NOVI SRI MANTINI. S.KOM SERTIFIKAT BIMTEK IPASN-BerAKHLAK</v>
      </c>
      <c r="T149" s="5" t="s">
        <v>1587</v>
      </c>
    </row>
    <row r="150" hidden="1">
      <c r="A150" s="4">
        <v>45534.31462483796</v>
      </c>
      <c r="B150" s="5" t="s">
        <v>19</v>
      </c>
      <c r="C150" s="5" t="s">
        <v>292</v>
      </c>
      <c r="E150" s="5" t="s">
        <v>1625</v>
      </c>
      <c r="F150" s="5" t="s">
        <v>37</v>
      </c>
      <c r="G150" s="5" t="s">
        <v>1626</v>
      </c>
      <c r="H150" s="6" t="s">
        <v>1627</v>
      </c>
      <c r="I150" s="7" t="s">
        <v>1628</v>
      </c>
      <c r="J150" s="8" t="str">
        <f>HYPERLINK("https://drive.google.com/file/d/15sOIl5sqW5GLl6KGMcjFopWv-GPv7T85/view?usp=drivesdk","RIKKY SAEPUDIN AMDR. RAD SERTIFIKAT BerAKHLAK")</f>
        <v>RIKKY SAEPUDIN AMDR. RAD SERTIFIKAT BerAKHLAK</v>
      </c>
      <c r="K150" s="5" t="s">
        <v>1347</v>
      </c>
      <c r="L150" s="5" t="s">
        <v>1629</v>
      </c>
      <c r="M150" s="5" t="s">
        <v>1630</v>
      </c>
      <c r="N150" s="7" t="s">
        <v>1631</v>
      </c>
      <c r="O150" s="8" t="str">
        <f>HYPERLINK("https://drive.google.com/file/d/1VKkObWFrKrpIvUoTiEvCq-msCbAldCmA/view?usp=drivesdk","149 &lt;NAMA LENGKAP&gt;&gt; _ SERTIFIKAT BIMTEK IPASN BerAKHLASK")</f>
        <v>149 &lt;NAMA LENGKAP&gt;&gt; _ SERTIFIKAT BIMTEK IPASN BerAKHLASK</v>
      </c>
      <c r="P150" s="5" t="s">
        <v>1584</v>
      </c>
      <c r="Q150" s="5" t="s">
        <v>1632</v>
      </c>
      <c r="R150" s="7" t="s">
        <v>1633</v>
      </c>
      <c r="S150" s="7" t="str">
        <f>HYPERLINK("https://drive.google.com/file/d/1A4lsb49p5jSAt6T9UfyFdt071nhKTkhe/view?usp=drivesdk","149_RIKKY SAEPUDIN AMDR. RAD SERTIFIKAT BIMTEK IPASN-BerAKHLAK")</f>
        <v>149_RIKKY SAEPUDIN AMDR. RAD SERTIFIKAT BIMTEK IPASN-BerAKHLAK</v>
      </c>
      <c r="T150" s="5" t="s">
        <v>1634</v>
      </c>
    </row>
    <row r="151" hidden="1">
      <c r="A151" s="4">
        <v>45534.314677083334</v>
      </c>
      <c r="B151" s="5" t="s">
        <v>19</v>
      </c>
      <c r="C151" s="5" t="s">
        <v>292</v>
      </c>
      <c r="E151" s="5" t="s">
        <v>1635</v>
      </c>
      <c r="F151" s="5" t="s">
        <v>524</v>
      </c>
      <c r="G151" s="5" t="s">
        <v>1636</v>
      </c>
      <c r="H151" s="6" t="s">
        <v>1637</v>
      </c>
      <c r="I151" s="7" t="s">
        <v>1638</v>
      </c>
      <c r="J151" s="8" t="str">
        <f>HYPERLINK("https://drive.google.com/file/d/1m_6_ZiKbSpVDPu9bOJ7JHNsSk6gzyyq8/view?usp=drivesdk","RATIH SUTIYA PRATIWI, SM SERTIFIKAT BerAKHLAK")</f>
        <v>RATIH SUTIYA PRATIWI, SM SERTIFIKAT BerAKHLAK</v>
      </c>
      <c r="K151" s="5" t="s">
        <v>1347</v>
      </c>
      <c r="L151" s="5" t="s">
        <v>1639</v>
      </c>
      <c r="M151" s="5" t="s">
        <v>1640</v>
      </c>
      <c r="N151" s="7" t="s">
        <v>1641</v>
      </c>
      <c r="O151" s="8" t="str">
        <f>HYPERLINK("https://drive.google.com/file/d/1IcY0xnVq6gbt4hoYNxvptTPGth5-766E/view?usp=drivesdk","150 &lt;NAMA LENGKAP&gt;&gt; _ SERTIFIKAT BIMTEK IPASN BerAKHLASK")</f>
        <v>150 &lt;NAMA LENGKAP&gt;&gt; _ SERTIFIKAT BIMTEK IPASN BerAKHLASK</v>
      </c>
      <c r="P151" s="5" t="s">
        <v>1584</v>
      </c>
      <c r="Q151" s="5" t="s">
        <v>1642</v>
      </c>
      <c r="R151" s="7" t="s">
        <v>1643</v>
      </c>
      <c r="S151" s="7" t="str">
        <f>HYPERLINK("https://drive.google.com/file/d/1sTT6FnXcN_W6KHyc13ikUdIFvQ7JK19f/view?usp=drivesdk","150_RATIH SUTIYA PRATIWI, SM SERTIFIKAT BIMTEK IPASN-BerAKHLAK")</f>
        <v>150_RATIH SUTIYA PRATIWI, SM SERTIFIKAT BIMTEK IPASN-BerAKHLAK</v>
      </c>
      <c r="T151" s="5" t="s">
        <v>1634</v>
      </c>
    </row>
    <row r="152">
      <c r="A152" s="4">
        <v>45534.31468040509</v>
      </c>
      <c r="B152" s="5" t="s">
        <v>34</v>
      </c>
      <c r="D152" s="5" t="s">
        <v>35</v>
      </c>
      <c r="E152" s="5" t="s">
        <v>1644</v>
      </c>
      <c r="F152" s="5" t="s">
        <v>37</v>
      </c>
      <c r="G152" s="5" t="s">
        <v>1645</v>
      </c>
      <c r="H152" s="6" t="s">
        <v>1646</v>
      </c>
      <c r="I152" s="7" t="s">
        <v>1647</v>
      </c>
      <c r="J152" s="8" t="str">
        <f>HYPERLINK("https://drive.google.com/file/d/1tOqEFAXqgMW6u5tSOIKKT2RNdqv5TSgs/view?usp=drivesdk","ROHMAT AGUNG SURANTO SERTIFIKAT BerAKHLAK")</f>
        <v>ROHMAT AGUNG SURANTO SERTIFIKAT BerAKHLAK</v>
      </c>
      <c r="K152" s="5" t="s">
        <v>1347</v>
      </c>
      <c r="L152" s="5" t="s">
        <v>1648</v>
      </c>
      <c r="M152" s="5" t="s">
        <v>1649</v>
      </c>
      <c r="N152" s="7" t="s">
        <v>1650</v>
      </c>
      <c r="O152" s="8" t="str">
        <f>HYPERLINK("https://drive.google.com/file/d/1inp_Y-Gsa_ddtiW2inQFC0M1DevD9Jyy/view?usp=drivesdk","151 &lt;NAMA LENGKAP&gt;&gt; _ SERTIFIKAT BIMTEK IPASN BerAKHLASK")</f>
        <v>151 &lt;NAMA LENGKAP&gt;&gt; _ SERTIFIKAT BIMTEK IPASN BerAKHLASK</v>
      </c>
      <c r="P152" s="5" t="s">
        <v>1651</v>
      </c>
      <c r="Q152" s="5" t="s">
        <v>1652</v>
      </c>
      <c r="R152" s="7" t="s">
        <v>1653</v>
      </c>
      <c r="S152" s="7" t="str">
        <f>HYPERLINK("https://drive.google.com/file/d/1MAOqaZDWFybb2Ad3pnvLtChbgjVw9jTk/view?usp=drivesdk","151_ROHMAT AGUNG SURANTO SERTIFIKAT BIMTEK IPASN-BerAKHLAK")</f>
        <v>151_ROHMAT AGUNG SURANTO SERTIFIKAT BIMTEK IPASN-BerAKHLAK</v>
      </c>
      <c r="T152" s="5" t="s">
        <v>1634</v>
      </c>
    </row>
    <row r="153">
      <c r="A153" s="4">
        <v>45534.314693402775</v>
      </c>
      <c r="B153" s="5" t="s">
        <v>34</v>
      </c>
      <c r="D153" s="5" t="s">
        <v>975</v>
      </c>
      <c r="E153" s="5" t="s">
        <v>1654</v>
      </c>
      <c r="F153" s="5" t="s">
        <v>72</v>
      </c>
      <c r="G153" s="5" t="s">
        <v>1655</v>
      </c>
      <c r="H153" s="6" t="s">
        <v>1656</v>
      </c>
      <c r="I153" s="7" t="s">
        <v>1657</v>
      </c>
      <c r="J153" s="8" t="str">
        <f>HYPERLINK("https://drive.google.com/file/d/1SivD4ylkZHuETUYi3SjObFgZ869swKOX/view?usp=drivesdk","YANTI ROSEVA SIPAHUTAR ,AMD.KEB SERTIFIKAT BerAKHLAK")</f>
        <v>YANTI ROSEVA SIPAHUTAR ,AMD.KEB SERTIFIKAT BerAKHLAK</v>
      </c>
      <c r="K153" s="5" t="s">
        <v>1347</v>
      </c>
      <c r="L153" s="5" t="s">
        <v>1658</v>
      </c>
      <c r="M153" s="5" t="s">
        <v>1659</v>
      </c>
      <c r="N153" s="7" t="s">
        <v>1660</v>
      </c>
      <c r="O153" s="8" t="str">
        <f>HYPERLINK("https://drive.google.com/file/d/1OrLC-IRckzq705foFooyXT6JMPajy7B6/view?usp=drivesdk","152 &lt;NAMA LENGKAP&gt;&gt; _ SERTIFIKAT BIMTEK IPASN BerAKHLASK")</f>
        <v>152 &lt;NAMA LENGKAP&gt;&gt; _ SERTIFIKAT BIMTEK IPASN BerAKHLASK</v>
      </c>
      <c r="P153" s="5" t="s">
        <v>1651</v>
      </c>
      <c r="Q153" s="5" t="s">
        <v>1661</v>
      </c>
      <c r="R153" s="7" t="s">
        <v>1662</v>
      </c>
      <c r="S153" s="7" t="str">
        <f>HYPERLINK("https://drive.google.com/file/d/16RY77NOFIqZ0qR3hGOc6uPp14lJUCSBW/view?usp=drivesdk","152_YANTI ROSEVA SIPAHUTAR ,AMD.KEB SERTIFIKAT BIMTEK IPASN-BerAKHLAK")</f>
        <v>152_YANTI ROSEVA SIPAHUTAR ,AMD.KEB SERTIFIKAT BIMTEK IPASN-BerAKHLAK</v>
      </c>
      <c r="T153" s="5" t="s">
        <v>1634</v>
      </c>
    </row>
    <row r="154">
      <c r="A154" s="4">
        <v>45534.31472188658</v>
      </c>
      <c r="B154" s="5" t="s">
        <v>34</v>
      </c>
      <c r="D154" s="5" t="s">
        <v>1663</v>
      </c>
      <c r="E154" s="5" t="s">
        <v>1664</v>
      </c>
      <c r="F154" s="5" t="s">
        <v>108</v>
      </c>
      <c r="G154" s="5" t="s">
        <v>1665</v>
      </c>
      <c r="H154" s="6" t="s">
        <v>1666</v>
      </c>
      <c r="I154" s="7" t="s">
        <v>1667</v>
      </c>
      <c r="J154" s="8" t="str">
        <f>HYPERLINK("https://drive.google.com/file/d/1VC97V5XB9O8CqdOChmaH7JyYjKlMm9KV/view?usp=drivesdk","dr. NOVELINA IRIANTI DAMANIK SERTIFIKAT BerAKHLAK")</f>
        <v>dr. NOVELINA IRIANTI DAMANIK SERTIFIKAT BerAKHLAK</v>
      </c>
      <c r="K154" s="5" t="s">
        <v>1347</v>
      </c>
      <c r="L154" s="5" t="s">
        <v>1668</v>
      </c>
      <c r="M154" s="5" t="s">
        <v>1669</v>
      </c>
      <c r="N154" s="7" t="s">
        <v>1670</v>
      </c>
      <c r="O154" s="8" t="str">
        <f>HYPERLINK("https://drive.google.com/file/d/1apMBlCYM__WgIqAIGwRljTBGAAFAr1J1/view?usp=drivesdk","153 &lt;NAMA LENGKAP&gt;&gt; _ SERTIFIKAT BIMTEK IPASN BerAKHLASK")</f>
        <v>153 &lt;NAMA LENGKAP&gt;&gt; _ SERTIFIKAT BIMTEK IPASN BerAKHLASK</v>
      </c>
      <c r="P154" s="5" t="s">
        <v>1651</v>
      </c>
      <c r="Q154" s="5" t="s">
        <v>1671</v>
      </c>
      <c r="R154" s="7" t="s">
        <v>1672</v>
      </c>
      <c r="S154" s="7" t="str">
        <f>HYPERLINK("https://drive.google.com/file/d/1g3uzpgXET1cLrMl1ezItCS1z5YMeoWru/view?usp=drivesdk","153_dr. NOVELINA IRIANTI DAMANIK SERTIFIKAT BIMTEK IPASN-BerAKHLAK")</f>
        <v>153_dr. NOVELINA IRIANTI DAMANIK SERTIFIKAT BIMTEK IPASN-BerAKHLAK</v>
      </c>
      <c r="T154" s="5" t="s">
        <v>1634</v>
      </c>
    </row>
    <row r="155">
      <c r="A155" s="4">
        <v>45534.31473608797</v>
      </c>
      <c r="B155" s="5" t="s">
        <v>34</v>
      </c>
      <c r="D155" s="5" t="s">
        <v>35</v>
      </c>
      <c r="E155" s="5" t="s">
        <v>1673</v>
      </c>
      <c r="F155" s="5" t="s">
        <v>72</v>
      </c>
      <c r="G155" s="5" t="s">
        <v>1674</v>
      </c>
      <c r="H155" s="6" t="s">
        <v>1675</v>
      </c>
      <c r="I155" s="7" t="s">
        <v>1676</v>
      </c>
      <c r="J155" s="8" t="str">
        <f>HYPERLINK("https://drive.google.com/file/d/19474jNRMXBV90N9w6uHucO6lc20pSdr9/view?usp=drivesdk","DIDIN SAEPUDIN, A.Md SERTIFIKAT BerAKHLAK")</f>
        <v>DIDIN SAEPUDIN, A.Md SERTIFIKAT BerAKHLAK</v>
      </c>
      <c r="K155" s="5" t="s">
        <v>1347</v>
      </c>
      <c r="L155" s="5" t="s">
        <v>1677</v>
      </c>
      <c r="M155" s="5" t="s">
        <v>1678</v>
      </c>
      <c r="N155" s="7" t="s">
        <v>1679</v>
      </c>
      <c r="O155" s="8" t="str">
        <f>HYPERLINK("https://drive.google.com/file/d/1wDiKHTZKxiglScbmMCtcWMJcUWkcaqAz/view?usp=drivesdk","154 &lt;NAMA LENGKAP&gt;&gt; _ SERTIFIKAT BIMTEK IPASN BerAKHLASK")</f>
        <v>154 &lt;NAMA LENGKAP&gt;&gt; _ SERTIFIKAT BIMTEK IPASN BerAKHLASK</v>
      </c>
      <c r="P155" s="5" t="s">
        <v>1651</v>
      </c>
      <c r="Q155" s="5" t="s">
        <v>1680</v>
      </c>
      <c r="R155" s="7" t="s">
        <v>1681</v>
      </c>
      <c r="S155" s="7" t="str">
        <f>HYPERLINK("https://drive.google.com/file/d/10mtwbTe6umWJgQ7ldcWw4y0-BTfR6GE8/view?usp=drivesdk","154_DIDIN SAEPUDIN, A.Md SERTIFIKAT BIMTEK IPASN-BerAKHLAK")</f>
        <v>154_DIDIN SAEPUDIN, A.Md SERTIFIKAT BIMTEK IPASN-BerAKHLAK</v>
      </c>
      <c r="T155" s="5" t="s">
        <v>1682</v>
      </c>
    </row>
    <row r="156" hidden="1">
      <c r="A156" s="4">
        <v>45534.31476678241</v>
      </c>
      <c r="B156" s="5" t="s">
        <v>19</v>
      </c>
      <c r="C156" s="5" t="s">
        <v>292</v>
      </c>
      <c r="E156" s="5" t="s">
        <v>1683</v>
      </c>
      <c r="F156" s="5" t="s">
        <v>524</v>
      </c>
      <c r="G156" s="5" t="s">
        <v>1684</v>
      </c>
      <c r="H156" s="6" t="s">
        <v>1685</v>
      </c>
      <c r="I156" s="7" t="s">
        <v>1686</v>
      </c>
      <c r="J156" s="8" t="str">
        <f>HYPERLINK("https://drive.google.com/file/d/1XjgLsouqoPU8I8tbJeoCjhP9ow5WPKxC/view?usp=drivesdk","NENI NURAENY, S.AP SERTIFIKAT BerAKHLAK")</f>
        <v>NENI NURAENY, S.AP SERTIFIKAT BerAKHLAK</v>
      </c>
      <c r="K156" s="5" t="s">
        <v>1347</v>
      </c>
      <c r="L156" s="5" t="s">
        <v>1687</v>
      </c>
      <c r="M156" s="5" t="s">
        <v>1688</v>
      </c>
      <c r="N156" s="7" t="s">
        <v>1689</v>
      </c>
      <c r="O156" s="8" t="str">
        <f>HYPERLINK("https://drive.google.com/file/d/1QNQLn8G05-ypJl2aBK-TR4XNKJTW-T0o/view?usp=drivesdk","155 &lt;NAMA LENGKAP&gt;&gt; _ SERTIFIKAT BIMTEK IPASN BerAKHLASK")</f>
        <v>155 &lt;NAMA LENGKAP&gt;&gt; _ SERTIFIKAT BIMTEK IPASN BerAKHLASK</v>
      </c>
      <c r="P156" s="5" t="s">
        <v>1651</v>
      </c>
      <c r="Q156" s="5" t="s">
        <v>1690</v>
      </c>
      <c r="R156" s="7" t="s">
        <v>1691</v>
      </c>
      <c r="S156" s="7" t="str">
        <f>HYPERLINK("https://drive.google.com/file/d/1K81AO_EeSFz9YNEKSDtcxpzQJrSP3Ms9/view?usp=drivesdk","155_NENI NURAENY, S.AP SERTIFIKAT BIMTEK IPASN-BerAKHLAK")</f>
        <v>155_NENI NURAENY, S.AP SERTIFIKAT BIMTEK IPASN-BerAKHLAK</v>
      </c>
      <c r="T156" s="5" t="s">
        <v>1682</v>
      </c>
    </row>
    <row r="157">
      <c r="A157" s="4">
        <v>45534.31478260417</v>
      </c>
      <c r="B157" s="5" t="s">
        <v>34</v>
      </c>
      <c r="D157" s="5" t="s">
        <v>1692</v>
      </c>
      <c r="E157" s="5" t="s">
        <v>1693</v>
      </c>
      <c r="F157" s="5" t="s">
        <v>22</v>
      </c>
      <c r="G157" s="5" t="s">
        <v>1694</v>
      </c>
      <c r="H157" s="6" t="s">
        <v>1695</v>
      </c>
      <c r="I157" s="7" t="s">
        <v>1696</v>
      </c>
      <c r="J157" s="8" t="str">
        <f>HYPERLINK("https://drive.google.com/file/d/139MPdYJsUkYvOEmzz-y6ZY-0EyEcSLhf/view?usp=drivesdk","MAX RUDOLF R MANUSIWA, SH  SERTIFIKAT BerAKHLAK")</f>
        <v>MAX RUDOLF R MANUSIWA, SH  SERTIFIKAT BerAKHLAK</v>
      </c>
      <c r="K157" s="5" t="s">
        <v>1347</v>
      </c>
      <c r="L157" s="5" t="s">
        <v>1697</v>
      </c>
      <c r="M157" s="5" t="s">
        <v>1698</v>
      </c>
      <c r="N157" s="7" t="s">
        <v>1699</v>
      </c>
      <c r="O157" s="8" t="str">
        <f>HYPERLINK("https://drive.google.com/file/d/1rF-Qxdb0-9jHVshv5YHeuss5kmvtZtnZ/view?usp=drivesdk","156_MAX RUDOLF R MANUSIWA, SH  _ SERTIFIKAT BIMTEK IPASN BerAKHLASK")</f>
        <v>156_MAX RUDOLF R MANUSIWA, SH  _ SERTIFIKAT BIMTEK IPASN BerAKHLASK</v>
      </c>
      <c r="P157" s="5" t="s">
        <v>1700</v>
      </c>
      <c r="Q157" s="5" t="s">
        <v>1701</v>
      </c>
      <c r="R157" s="7" t="s">
        <v>1702</v>
      </c>
      <c r="S157" s="7" t="str">
        <f>HYPERLINK("https://drive.google.com/file/d/1JtAyTiROaUiKMGNNR2ohqcIHx2pcrSDp/view?usp=drivesdk","156_MAX RUDOLF R MANUSIWA, SH  SERTIFIKAT BIMTEK IPASN-BerAKHLAK")</f>
        <v>156_MAX RUDOLF R MANUSIWA, SH  SERTIFIKAT BIMTEK IPASN-BerAKHLAK</v>
      </c>
      <c r="T157" s="5" t="s">
        <v>1682</v>
      </c>
    </row>
    <row r="158">
      <c r="A158" s="4">
        <v>45534.314797824074</v>
      </c>
      <c r="B158" s="5" t="s">
        <v>34</v>
      </c>
      <c r="D158" s="5" t="s">
        <v>522</v>
      </c>
      <c r="E158" s="5" t="s">
        <v>1703</v>
      </c>
      <c r="F158" s="5" t="s">
        <v>72</v>
      </c>
      <c r="G158" s="5" t="s">
        <v>1704</v>
      </c>
      <c r="H158" s="6" t="s">
        <v>1705</v>
      </c>
      <c r="I158" s="7" t="s">
        <v>1706</v>
      </c>
      <c r="J158" s="8" t="str">
        <f>HYPERLINK("https://drive.google.com/file/d/1Jy8FxGSqaij4r-EzptyHZ0BdDM1Xzcf2/view?usp=drivesdk","M. ERHAN DWITYA SANRIMA, A.Md., S.E. SERTIFIKAT BerAKHLAK")</f>
        <v>M. ERHAN DWITYA SANRIMA, A.Md., S.E. SERTIFIKAT BerAKHLAK</v>
      </c>
      <c r="K158" s="5" t="s">
        <v>1347</v>
      </c>
      <c r="L158" s="5" t="s">
        <v>1707</v>
      </c>
      <c r="M158" s="5" t="s">
        <v>1708</v>
      </c>
      <c r="N158" s="7" t="s">
        <v>1709</v>
      </c>
      <c r="O158" s="8" t="str">
        <f>HYPERLINK("https://drive.google.com/file/d/1mjv8jLVf_Sm0ORAnCRAaEAHAYALMSbO_/view?usp=drivesdk","157_M. ERHAN DWITYA SANRIMA, A.Md., S.E. _ SERTIFIKAT BIMTEK IPASN BerAKHLASK")</f>
        <v>157_M. ERHAN DWITYA SANRIMA, A.Md., S.E. _ SERTIFIKAT BIMTEK IPASN BerAKHLASK</v>
      </c>
      <c r="P158" s="5" t="s">
        <v>1700</v>
      </c>
      <c r="Q158" s="5" t="s">
        <v>1710</v>
      </c>
      <c r="R158" s="7" t="s">
        <v>1711</v>
      </c>
      <c r="S158" s="7" t="str">
        <f>HYPERLINK("https://drive.google.com/file/d/1ioROUf9kMr5IuCMpF6svT-cszC2pySta/view?usp=drivesdk","157_M. ERHAN DWITYA SANRIMA, A.Md., S.E. SERTIFIKAT BIMTEK IPASN-BerAKHLAK")</f>
        <v>157_M. ERHAN DWITYA SANRIMA, A.Md., S.E. SERTIFIKAT BIMTEK IPASN-BerAKHLAK</v>
      </c>
      <c r="T158" s="5" t="s">
        <v>1682</v>
      </c>
    </row>
    <row r="159">
      <c r="A159" s="4">
        <v>45534.31480502315</v>
      </c>
      <c r="B159" s="5" t="s">
        <v>34</v>
      </c>
      <c r="D159" s="5" t="s">
        <v>35</v>
      </c>
      <c r="E159" s="5" t="s">
        <v>1712</v>
      </c>
      <c r="F159" s="5" t="s">
        <v>212</v>
      </c>
      <c r="G159" s="5" t="s">
        <v>1713</v>
      </c>
      <c r="H159" s="6" t="s">
        <v>1714</v>
      </c>
      <c r="I159" s="7" t="s">
        <v>1715</v>
      </c>
      <c r="J159" s="8" t="str">
        <f>HYPERLINK("https://drive.google.com/file/d/1L1DZZotScp8H-VjI_udp1aB1hf_D7rLp/view?usp=drivesdk","LINA ARDIANI, Amd.Keb SERTIFIKAT BerAKHLAK")</f>
        <v>LINA ARDIANI, Amd.Keb SERTIFIKAT BerAKHLAK</v>
      </c>
      <c r="K159" s="5" t="s">
        <v>1347</v>
      </c>
      <c r="L159" s="5" t="s">
        <v>1716</v>
      </c>
      <c r="M159" s="5" t="s">
        <v>1717</v>
      </c>
      <c r="N159" s="7" t="s">
        <v>1718</v>
      </c>
      <c r="O159" s="8" t="str">
        <f>HYPERLINK("https://drive.google.com/file/d/1k6Flc8gKXyWSmMSPmxySy5mLLyBnzp-0/view?usp=drivesdk","158_LINA ARDIANI, Amd.Keb _ SERTIFIKAT BIMTEK IPASN BerAKHLASK")</f>
        <v>158_LINA ARDIANI, Amd.Keb _ SERTIFIKAT BIMTEK IPASN BerAKHLASK</v>
      </c>
      <c r="P159" s="5" t="s">
        <v>1700</v>
      </c>
      <c r="Q159" s="5" t="s">
        <v>1719</v>
      </c>
      <c r="R159" s="7" t="s">
        <v>1720</v>
      </c>
      <c r="S159" s="7" t="str">
        <f>HYPERLINK("https://drive.google.com/file/d/14XHhGkFGBrJKhyoU5-jhGk58BdzZp6A7/view?usp=drivesdk","158_LINA ARDIANI, Amd.Keb SERTIFIKAT BIMTEK IPASN-BerAKHLAK")</f>
        <v>158_LINA ARDIANI, Amd.Keb SERTIFIKAT BIMTEK IPASN-BerAKHLAK</v>
      </c>
      <c r="T159" s="5" t="s">
        <v>1682</v>
      </c>
    </row>
    <row r="160">
      <c r="A160" s="4">
        <v>45534.31481556713</v>
      </c>
      <c r="B160" s="5" t="s">
        <v>34</v>
      </c>
      <c r="D160" s="5" t="s">
        <v>580</v>
      </c>
      <c r="E160" s="5" t="s">
        <v>1721</v>
      </c>
      <c r="F160" s="5" t="s">
        <v>375</v>
      </c>
      <c r="G160" s="5" t="s">
        <v>1722</v>
      </c>
      <c r="H160" s="6" t="s">
        <v>1723</v>
      </c>
      <c r="I160" s="7" t="s">
        <v>1724</v>
      </c>
      <c r="J160" s="8" t="str">
        <f>HYPERLINK("https://drive.google.com/file/d/1vvDNy8VJvaairg4QLFrvEXh_a8WpCwgb/view?usp=drivesdk","I DEWA GDE MGURAH MAHARDHIKA, S.E. SERTIFIKAT BerAKHLAK")</f>
        <v>I DEWA GDE MGURAH MAHARDHIKA, S.E. SERTIFIKAT BerAKHLAK</v>
      </c>
      <c r="K160" s="5" t="s">
        <v>1347</v>
      </c>
      <c r="L160" s="5" t="s">
        <v>1725</v>
      </c>
      <c r="M160" s="5" t="s">
        <v>1726</v>
      </c>
      <c r="N160" s="7" t="s">
        <v>1727</v>
      </c>
      <c r="O160" s="8" t="str">
        <f>HYPERLINK("https://drive.google.com/file/d/1TTGjFPkidcWv6lNJCV8fOR5BKdHKSy7b/view?usp=drivesdk","159_I DEWA GDE MGURAH MAHARDHIKA, S.E. _ SERTIFIKAT BIMTEK IPASN BerAKHLASK")</f>
        <v>159_I DEWA GDE MGURAH MAHARDHIKA, S.E. _ SERTIFIKAT BIMTEK IPASN BerAKHLASK</v>
      </c>
      <c r="P160" s="5" t="s">
        <v>1728</v>
      </c>
      <c r="Q160" s="5" t="s">
        <v>1729</v>
      </c>
      <c r="R160" s="7" t="s">
        <v>1730</v>
      </c>
      <c r="S160" s="7" t="str">
        <f>HYPERLINK("https://drive.google.com/file/d/1gOMdu-Ty4JKnnKpPsNT6aZEIH7hu06Sr/view?usp=drivesdk","159_I DEWA GDE MGURAH MAHARDHIKA, S.E. SERTIFIKAT BIMTEK IPASN-BerAKHLAK")</f>
        <v>159_I DEWA GDE MGURAH MAHARDHIKA, S.E. SERTIFIKAT BIMTEK IPASN-BerAKHLAK</v>
      </c>
      <c r="T160" s="5" t="s">
        <v>1682</v>
      </c>
    </row>
    <row r="161" hidden="1">
      <c r="A161" s="4">
        <v>45534.314837708334</v>
      </c>
      <c r="B161" s="5" t="s">
        <v>19</v>
      </c>
      <c r="C161" s="5" t="s">
        <v>292</v>
      </c>
      <c r="E161" s="5" t="s">
        <v>1731</v>
      </c>
      <c r="F161" s="5" t="s">
        <v>375</v>
      </c>
      <c r="G161" s="5" t="s">
        <v>1732</v>
      </c>
      <c r="H161" s="6" t="s">
        <v>1733</v>
      </c>
      <c r="I161" s="7" t="s">
        <v>1734</v>
      </c>
      <c r="J161" s="8" t="str">
        <f>HYPERLINK("https://drive.google.com/file/d/188fH39q8v2UT3Za-I9le-LzR-f4bIkY0/view?usp=drivesdk","EPI SUPYATMAN SERTIFIKAT BerAKHLAK")</f>
        <v>EPI SUPYATMAN SERTIFIKAT BerAKHLAK</v>
      </c>
      <c r="K161" s="5" t="s">
        <v>1347</v>
      </c>
      <c r="L161" s="5" t="s">
        <v>1735</v>
      </c>
      <c r="M161" s="5" t="s">
        <v>1736</v>
      </c>
      <c r="N161" s="7" t="s">
        <v>1737</v>
      </c>
      <c r="O161" s="8" t="str">
        <f>HYPERLINK("https://drive.google.com/file/d/1cdSR8n5tNE0x7X4V0b9zNpNZZViql4VF/view?usp=drivesdk","160_EPI SUPYATMAN _ SERTIFIKAT BIMTEK IPASN BerAKHLASK")</f>
        <v>160_EPI SUPYATMAN _ SERTIFIKAT BIMTEK IPASN BerAKHLASK</v>
      </c>
      <c r="P161" s="5" t="s">
        <v>1728</v>
      </c>
      <c r="Q161" s="5" t="s">
        <v>1738</v>
      </c>
      <c r="R161" s="7" t="s">
        <v>1739</v>
      </c>
      <c r="S161" s="7" t="str">
        <f>HYPERLINK("https://drive.google.com/file/d/1yr_E653b176_yGbQ316Favax4BlrkwL9/view?usp=drivesdk","160_EPI SUPYATMAN SERTIFIKAT BIMTEK IPASN-BerAKHLAK")</f>
        <v>160_EPI SUPYATMAN SERTIFIKAT BIMTEK IPASN-BerAKHLAK</v>
      </c>
      <c r="T161" s="5" t="s">
        <v>1740</v>
      </c>
    </row>
    <row r="162">
      <c r="A162" s="4">
        <v>45534.31485094907</v>
      </c>
      <c r="B162" s="5" t="s">
        <v>34</v>
      </c>
      <c r="D162" s="5" t="s">
        <v>522</v>
      </c>
      <c r="E162" s="5" t="s">
        <v>1741</v>
      </c>
      <c r="F162" s="5" t="s">
        <v>37</v>
      </c>
      <c r="G162" s="5" t="s">
        <v>1742</v>
      </c>
      <c r="H162" s="6" t="s">
        <v>1743</v>
      </c>
      <c r="I162" s="7" t="s">
        <v>1744</v>
      </c>
      <c r="J162" s="8" t="str">
        <f>HYPERLINK("https://drive.google.com/file/d/15DZ1_kuk7rzpbDuMPgzb92phW_h2YXba/view?usp=drivesdk","PENGATUR SOLIHIN SERTIFIKAT BerAKHLAK")</f>
        <v>PENGATUR SOLIHIN SERTIFIKAT BerAKHLAK</v>
      </c>
      <c r="K162" s="5" t="s">
        <v>1347</v>
      </c>
      <c r="L162" s="5" t="s">
        <v>1745</v>
      </c>
      <c r="M162" s="5" t="s">
        <v>1746</v>
      </c>
      <c r="N162" s="7" t="s">
        <v>1747</v>
      </c>
      <c r="O162" s="8" t="str">
        <f>HYPERLINK("https://drive.google.com/file/d/1VpRUBx1NT_tnANiOa2Mwlzpqexp7_9my/view?usp=drivesdk","161_PENGATUR SOLIHIN _ SERTIFIKAT BIMTEK IPASN BerAKHLASK")</f>
        <v>161_PENGATUR SOLIHIN _ SERTIFIKAT BIMTEK IPASN BerAKHLASK</v>
      </c>
      <c r="P162" s="5" t="s">
        <v>1728</v>
      </c>
      <c r="Q162" s="5" t="s">
        <v>1748</v>
      </c>
      <c r="R162" s="7" t="s">
        <v>1749</v>
      </c>
      <c r="S162" s="7" t="str">
        <f>HYPERLINK("https://drive.google.com/file/d/1ivcRzKuOY6SGXzIme5uuAGNecbjgf4Xp/view?usp=drivesdk","161_PENGATUR SOLIHIN SERTIFIKAT BIMTEK IPASN-BerAKHLAK")</f>
        <v>161_PENGATUR SOLIHIN SERTIFIKAT BIMTEK IPASN-BerAKHLAK</v>
      </c>
      <c r="T162" s="5" t="s">
        <v>1740</v>
      </c>
    </row>
    <row r="163">
      <c r="A163" s="4">
        <v>45534.31486976852</v>
      </c>
      <c r="B163" s="5" t="s">
        <v>34</v>
      </c>
      <c r="D163" s="5" t="s">
        <v>522</v>
      </c>
      <c r="E163" s="5" t="s">
        <v>1750</v>
      </c>
      <c r="F163" s="5" t="s">
        <v>37</v>
      </c>
      <c r="G163" s="5" t="s">
        <v>1751</v>
      </c>
      <c r="H163" s="6" t="s">
        <v>1752</v>
      </c>
      <c r="I163" s="7" t="s">
        <v>1753</v>
      </c>
      <c r="J163" s="8" t="str">
        <f>HYPERLINK("https://drive.google.com/file/d/1FyxABdG3mfrRGHmRBiXIXkhMBp72-z4p/view?usp=drivesdk","PENGATUR SUKARNI SERTIFIKAT BerAKHLAK")</f>
        <v>PENGATUR SUKARNI SERTIFIKAT BerAKHLAK</v>
      </c>
      <c r="K163" s="5" t="s">
        <v>1347</v>
      </c>
      <c r="L163" s="5" t="s">
        <v>1754</v>
      </c>
      <c r="M163" s="5" t="s">
        <v>1755</v>
      </c>
      <c r="N163" s="7" t="s">
        <v>1756</v>
      </c>
      <c r="O163" s="8" t="str">
        <f>HYPERLINK("https://drive.google.com/file/d/1EwKCqi6HhGDz3pPKE2J9cdVppCDEGZre/view?usp=drivesdk","162_PENGATUR SUKARNI _ SERTIFIKAT BIMTEK IPASN BerAKHLASK")</f>
        <v>162_PENGATUR SUKARNI _ SERTIFIKAT BIMTEK IPASN BerAKHLASK</v>
      </c>
      <c r="P163" s="5" t="s">
        <v>1728</v>
      </c>
      <c r="Q163" s="5" t="s">
        <v>1757</v>
      </c>
      <c r="R163" s="7" t="s">
        <v>1758</v>
      </c>
      <c r="S163" s="7" t="str">
        <f>HYPERLINK("https://drive.google.com/file/d/13A-qPz-9Uw4OOhhhYIQ_oINvB4wu1ZiW/view?usp=drivesdk","162_PENGATUR SUKARNI SERTIFIKAT BIMTEK IPASN-BerAKHLAK")</f>
        <v>162_PENGATUR SUKARNI SERTIFIKAT BIMTEK IPASN-BerAKHLAK</v>
      </c>
      <c r="T163" s="5" t="s">
        <v>1740</v>
      </c>
    </row>
    <row r="164">
      <c r="A164" s="4">
        <v>45534.31487416667</v>
      </c>
      <c r="B164" s="5" t="s">
        <v>34</v>
      </c>
      <c r="D164" s="5" t="s">
        <v>35</v>
      </c>
      <c r="E164" s="5" t="s">
        <v>1759</v>
      </c>
      <c r="F164" s="5" t="s">
        <v>212</v>
      </c>
      <c r="G164" s="5" t="s">
        <v>1760</v>
      </c>
      <c r="H164" s="6" t="s">
        <v>1761</v>
      </c>
      <c r="I164" s="7" t="s">
        <v>1762</v>
      </c>
      <c r="J164" s="8" t="str">
        <f>HYPERLINK("https://drive.google.com/file/d/1MQoGlAeZXQCOZvM3inC_qW_mlbvNJG_w/view?usp=drivesdk","ENDANG SUHANDI, S.H. SERTIFIKAT BerAKHLAK")</f>
        <v>ENDANG SUHANDI, S.H. SERTIFIKAT BerAKHLAK</v>
      </c>
      <c r="K164" s="5" t="s">
        <v>1347</v>
      </c>
      <c r="L164" s="5" t="s">
        <v>1763</v>
      </c>
      <c r="M164" s="5" t="s">
        <v>1764</v>
      </c>
      <c r="N164" s="7" t="s">
        <v>1765</v>
      </c>
      <c r="O164" s="8" t="str">
        <f>HYPERLINK("https://drive.google.com/file/d/1m0R0QnYDkuJxMstGG1vaQq4Ya0ohnuTh/view?usp=drivesdk","163_ENDANG SUHANDI, S.H. _ SERTIFIKAT BIMTEK IPASN BerAKHLASK")</f>
        <v>163_ENDANG SUHANDI, S.H. _ SERTIFIKAT BIMTEK IPASN BerAKHLASK</v>
      </c>
      <c r="P164" s="5" t="s">
        <v>1728</v>
      </c>
      <c r="Q164" s="5" t="s">
        <v>1766</v>
      </c>
      <c r="R164" s="7" t="s">
        <v>1767</v>
      </c>
      <c r="S164" s="7" t="str">
        <f>HYPERLINK("https://drive.google.com/file/d/1U0u_ZsR54mMpHdM0kyEJAdXhWcXKS1Mw/view?usp=drivesdk","163_ENDANG SUHANDI, S.H. SERTIFIKAT BIMTEK IPASN-BerAKHLAK")</f>
        <v>163_ENDANG SUHANDI, S.H. SERTIFIKAT BIMTEK IPASN-BerAKHLAK</v>
      </c>
      <c r="T164" s="5" t="s">
        <v>1740</v>
      </c>
    </row>
    <row r="165">
      <c r="A165" s="4">
        <v>45534.314876006945</v>
      </c>
      <c r="B165" s="5" t="s">
        <v>34</v>
      </c>
      <c r="D165" s="5" t="s">
        <v>1768</v>
      </c>
      <c r="E165" s="5" t="s">
        <v>1769</v>
      </c>
      <c r="F165" s="5" t="s">
        <v>120</v>
      </c>
      <c r="G165" s="5" t="s">
        <v>1770</v>
      </c>
      <c r="H165" s="6" t="s">
        <v>1771</v>
      </c>
      <c r="I165" s="7" t="s">
        <v>1772</v>
      </c>
      <c r="J165" s="8" t="str">
        <f>HYPERLINK("https://drive.google.com/file/d/1thnAfODnwHAynXF1khzRKkd-Epdr_fbY/view?usp=drivesdk","NI PUTU PENTY ARIANI, S.H. SERTIFIKAT BerAKHLAK")</f>
        <v>NI PUTU PENTY ARIANI, S.H. SERTIFIKAT BerAKHLAK</v>
      </c>
      <c r="K165" s="5" t="s">
        <v>1773</v>
      </c>
      <c r="L165" s="5" t="s">
        <v>1774</v>
      </c>
      <c r="M165" s="5" t="s">
        <v>1775</v>
      </c>
      <c r="N165" s="7" t="s">
        <v>1776</v>
      </c>
      <c r="O165" s="8" t="str">
        <f>HYPERLINK("https://drive.google.com/file/d/1Ff3lOts0tWrGgaYqv-a0oozUPjtg_cEt/view?usp=drivesdk","164_NI PUTU PENTY ARIANI, S.H. _ SERTIFIKAT BIMTEK IPASN BerAKHLASK")</f>
        <v>164_NI PUTU PENTY ARIANI, S.H. _ SERTIFIKAT BIMTEK IPASN BerAKHLASK</v>
      </c>
      <c r="P165" s="5" t="s">
        <v>1728</v>
      </c>
      <c r="Q165" s="5" t="s">
        <v>1777</v>
      </c>
      <c r="R165" s="7" t="s">
        <v>1778</v>
      </c>
      <c r="S165" s="7" t="str">
        <f>HYPERLINK("https://drive.google.com/file/d/1HM1qFq4IqYrmNT121cV4ibYv2dl_V9-e/view?usp=drivesdk","164_NI PUTU PENTY ARIANI, S.H. SERTIFIKAT BIMTEK IPASN-BerAKHLAK")</f>
        <v>164_NI PUTU PENTY ARIANI, S.H. SERTIFIKAT BIMTEK IPASN-BerAKHLAK</v>
      </c>
      <c r="T165" s="5" t="s">
        <v>1740</v>
      </c>
    </row>
    <row r="166" hidden="1">
      <c r="A166" s="4">
        <v>45534.314882499995</v>
      </c>
      <c r="B166" s="5" t="s">
        <v>19</v>
      </c>
      <c r="C166" s="5" t="s">
        <v>292</v>
      </c>
      <c r="E166" s="5" t="s">
        <v>1779</v>
      </c>
      <c r="F166" s="5" t="s">
        <v>72</v>
      </c>
      <c r="G166" s="5" t="s">
        <v>1780</v>
      </c>
      <c r="H166" s="6" t="s">
        <v>1781</v>
      </c>
      <c r="I166" s="7" t="s">
        <v>1782</v>
      </c>
      <c r="J166" s="8" t="str">
        <f>HYPERLINK("https://drive.google.com/file/d/19EtYct1WItyvFT6KDS5t1GjICu4vPgdb/view?usp=drivesdk","SEPTA MAULANA, S.IP., M.Si. SERTIFIKAT BerAKHLAK")</f>
        <v>SEPTA MAULANA, S.IP., M.Si. SERTIFIKAT BerAKHLAK</v>
      </c>
      <c r="K166" s="5" t="s">
        <v>1347</v>
      </c>
      <c r="L166" s="5" t="s">
        <v>1783</v>
      </c>
      <c r="M166" s="5" t="s">
        <v>1784</v>
      </c>
      <c r="N166" s="7" t="s">
        <v>1785</v>
      </c>
      <c r="O166" s="8" t="str">
        <f>HYPERLINK("https://drive.google.com/file/d/15W2O8NoDoXy05UOmZFg6PwkrATfSbQow/view?usp=drivesdk","165_SEPTA MAULANA, S.IP., M.Si. _ SERTIFIKAT BIMTEK IPASN BerAKHLASK")</f>
        <v>165_SEPTA MAULANA, S.IP., M.Si. _ SERTIFIKAT BIMTEK IPASN BerAKHLASK</v>
      </c>
      <c r="P166" s="5" t="s">
        <v>1786</v>
      </c>
      <c r="Q166" s="5" t="s">
        <v>1787</v>
      </c>
      <c r="R166" s="7" t="s">
        <v>1788</v>
      </c>
      <c r="S166" s="7" t="str">
        <f>HYPERLINK("https://drive.google.com/file/d/1EYeQ-IQNPtneQEqfF9mCbNC4mqM5ecx2/view?usp=drivesdk","165_SEPTA MAULANA, S.IP., M.Si. SERTIFIKAT BIMTEK IPASN-BerAKHLAK")</f>
        <v>165_SEPTA MAULANA, S.IP., M.Si. SERTIFIKAT BIMTEK IPASN-BerAKHLAK</v>
      </c>
      <c r="T166" s="5" t="s">
        <v>1740</v>
      </c>
    </row>
    <row r="167" hidden="1">
      <c r="A167" s="4">
        <v>45534.31490887731</v>
      </c>
      <c r="B167" s="5" t="s">
        <v>19</v>
      </c>
      <c r="C167" s="5" t="s">
        <v>292</v>
      </c>
      <c r="E167" s="5" t="s">
        <v>1789</v>
      </c>
      <c r="F167" s="5" t="s">
        <v>37</v>
      </c>
      <c r="G167" s="5" t="s">
        <v>1790</v>
      </c>
      <c r="H167" s="6" t="s">
        <v>1791</v>
      </c>
      <c r="I167" s="7" t="s">
        <v>1792</v>
      </c>
      <c r="J167" s="8" t="str">
        <f>HYPERLINK("https://drive.google.com/file/d/13yG86gDbCoBzLQyOMqd0vOnUWNn_WSGJ/view?usp=drivesdk","EROS ROSIDAH S.pd SERTIFIKAT BerAKHLAK")</f>
        <v>EROS ROSIDAH S.pd SERTIFIKAT BerAKHLAK</v>
      </c>
      <c r="K167" s="5" t="s">
        <v>1347</v>
      </c>
      <c r="L167" s="5" t="s">
        <v>1793</v>
      </c>
      <c r="M167" s="5" t="s">
        <v>1794</v>
      </c>
      <c r="N167" s="7" t="s">
        <v>1795</v>
      </c>
      <c r="O167" s="8" t="str">
        <f>HYPERLINK("https://drive.google.com/file/d/1RFOWHFScfll2rHVaBsXJ4T4NtdYsYW2a/view?usp=drivesdk","166_EROS ROSIDAH S.pd _ SERTIFIKAT BIMTEK IPASN BerAKHLASK")</f>
        <v>166_EROS ROSIDAH S.pd _ SERTIFIKAT BIMTEK IPASN BerAKHLASK</v>
      </c>
      <c r="P167" s="5" t="s">
        <v>1786</v>
      </c>
      <c r="Q167" s="5" t="s">
        <v>1796</v>
      </c>
      <c r="R167" s="7" t="s">
        <v>1797</v>
      </c>
      <c r="S167" s="7" t="str">
        <f>HYPERLINK("https://drive.google.com/file/d/1Palv4N7W12MdOSgxyQ5ABwDKx0K51H-F/view?usp=drivesdk","166_EROS ROSIDAH S.pd SERTIFIKAT BIMTEK IPASN-BerAKHLAK")</f>
        <v>166_EROS ROSIDAH S.pd SERTIFIKAT BIMTEK IPASN-BerAKHLAK</v>
      </c>
      <c r="T167" s="5" t="s">
        <v>1740</v>
      </c>
    </row>
    <row r="168">
      <c r="A168" s="4">
        <v>45534.31493769676</v>
      </c>
      <c r="B168" s="5" t="s">
        <v>34</v>
      </c>
      <c r="D168" s="5" t="s">
        <v>35</v>
      </c>
      <c r="E168" s="5" t="s">
        <v>1798</v>
      </c>
      <c r="F168" s="5" t="s">
        <v>72</v>
      </c>
      <c r="G168" s="5" t="s">
        <v>1799</v>
      </c>
      <c r="H168" s="6" t="s">
        <v>1800</v>
      </c>
      <c r="I168" s="7" t="s">
        <v>1801</v>
      </c>
      <c r="J168" s="8" t="str">
        <f>HYPERLINK("https://drive.google.com/file/d/1dwquueAHET6s2BNn8z53IHIxj5BiEY_c/view?usp=drivesdk","ARMAN JARDIANTO, S.Si. SERTIFIKAT BerAKHLAK")</f>
        <v>ARMAN JARDIANTO, S.Si. SERTIFIKAT BerAKHLAK</v>
      </c>
      <c r="K168" s="5" t="s">
        <v>1773</v>
      </c>
      <c r="L168" s="5" t="s">
        <v>1802</v>
      </c>
      <c r="M168" s="5" t="s">
        <v>1803</v>
      </c>
      <c r="N168" s="7" t="s">
        <v>1804</v>
      </c>
      <c r="O168" s="8" t="str">
        <f>HYPERLINK("https://drive.google.com/file/d/1R4eN8Us-uPRlcvlDjFXFVIT0ymn8H3sJ/view?usp=drivesdk","167_ARMAN JARDIANTO, S.Si. _ SERTIFIKAT BIMTEK IPASN BerAKHLASK")</f>
        <v>167_ARMAN JARDIANTO, S.Si. _ SERTIFIKAT BIMTEK IPASN BerAKHLASK</v>
      </c>
      <c r="P168" s="5" t="s">
        <v>1786</v>
      </c>
      <c r="Q168" s="5" t="s">
        <v>1805</v>
      </c>
      <c r="R168" s="7" t="s">
        <v>1806</v>
      </c>
      <c r="S168" s="7" t="str">
        <f>HYPERLINK("https://drive.google.com/file/d/1j5HLqNvPL51mpbzs40QDbCDPE9biszAK/view?usp=drivesdk","167_ARMAN JARDIANTO, S.Si. SERTIFIKAT BIMTEK IPASN-BerAKHLAK")</f>
        <v>167_ARMAN JARDIANTO, S.Si. SERTIFIKAT BIMTEK IPASN-BerAKHLAK</v>
      </c>
      <c r="T168" s="5" t="s">
        <v>1807</v>
      </c>
    </row>
    <row r="169">
      <c r="A169" s="4">
        <v>45534.31495315972</v>
      </c>
      <c r="B169" s="5" t="s">
        <v>34</v>
      </c>
      <c r="D169" s="5" t="s">
        <v>1768</v>
      </c>
      <c r="E169" s="5" t="s">
        <v>1808</v>
      </c>
      <c r="F169" s="5" t="s">
        <v>375</v>
      </c>
      <c r="G169" s="5" t="s">
        <v>1809</v>
      </c>
      <c r="H169" s="6" t="s">
        <v>1810</v>
      </c>
      <c r="I169" s="7" t="s">
        <v>1811</v>
      </c>
      <c r="J169" s="8" t="str">
        <f>HYPERLINK("https://drive.google.com/file/d/1ZUZx9x56NAx48fmZgvM26oTR7nzK3k0O/view?usp=drivesdk","PRIMA NIENDYA SUKMA DHEWANI, S.T. SERTIFIKAT BerAKHLAK")</f>
        <v>PRIMA NIENDYA SUKMA DHEWANI, S.T. SERTIFIKAT BerAKHLAK</v>
      </c>
      <c r="K169" s="5" t="s">
        <v>1347</v>
      </c>
      <c r="L169" s="5" t="s">
        <v>1812</v>
      </c>
      <c r="M169" s="5" t="s">
        <v>1813</v>
      </c>
      <c r="N169" s="7" t="s">
        <v>1814</v>
      </c>
      <c r="O169" s="8" t="str">
        <f>HYPERLINK("https://drive.google.com/file/d/1hTfTuktSS8HYOpRLp9xVkghmOE0pG0tl/view?usp=drivesdk","168_PRIMA NIENDYA SUKMA DHEWANI, S.T. _ SERTIFIKAT BIMTEK IPASN BerAKHLASK")</f>
        <v>168_PRIMA NIENDYA SUKMA DHEWANI, S.T. _ SERTIFIKAT BIMTEK IPASN BerAKHLASK</v>
      </c>
      <c r="P169" s="5" t="s">
        <v>1786</v>
      </c>
      <c r="Q169" s="5" t="s">
        <v>1815</v>
      </c>
      <c r="R169" s="7" t="s">
        <v>1816</v>
      </c>
      <c r="S169" s="7" t="str">
        <f>HYPERLINK("https://drive.google.com/file/d/1WgWXKnH0cEfVmsymam08TlAWhLcXnNOS/view?usp=drivesdk","168_PRIMA NIENDYA SUKMA DHEWANI, S.T. SERTIFIKAT BIMTEK IPASN-BerAKHLAK")</f>
        <v>168_PRIMA NIENDYA SUKMA DHEWANI, S.T. SERTIFIKAT BIMTEK IPASN-BerAKHLAK</v>
      </c>
      <c r="T169" s="5" t="s">
        <v>1807</v>
      </c>
    </row>
    <row r="170">
      <c r="A170" s="4">
        <v>45534.31495828704</v>
      </c>
      <c r="B170" s="5" t="s">
        <v>34</v>
      </c>
      <c r="D170" s="5" t="s">
        <v>580</v>
      </c>
      <c r="E170" s="5" t="s">
        <v>1817</v>
      </c>
      <c r="F170" s="5" t="s">
        <v>72</v>
      </c>
      <c r="G170" s="5" t="s">
        <v>1818</v>
      </c>
      <c r="H170" s="6" t="s">
        <v>1819</v>
      </c>
      <c r="I170" s="7" t="s">
        <v>1820</v>
      </c>
      <c r="J170" s="8" t="str">
        <f>HYPERLINK("https://drive.google.com/file/d/11ndDDzfMbvdoBRqwtD9lk9CC4OLHH4Qf/view?usp=drivesdk","I GUSTI AGUNG AYU SUGIASIH SERTIFIKAT BerAKHLAK")</f>
        <v>I GUSTI AGUNG AYU SUGIASIH SERTIFIKAT BerAKHLAK</v>
      </c>
      <c r="K170" s="5" t="s">
        <v>1347</v>
      </c>
      <c r="L170" s="5" t="s">
        <v>1821</v>
      </c>
      <c r="M170" s="5" t="s">
        <v>1822</v>
      </c>
      <c r="N170" s="7" t="s">
        <v>1823</v>
      </c>
      <c r="O170" s="8" t="str">
        <f>HYPERLINK("https://drive.google.com/file/d/1NOAotPeuCaRmnhPB5psdK0tD5SSRuh4w/view?usp=drivesdk","169_I GUSTI AGUNG AYU SUGIASIH _ SERTIFIKAT BIMTEK IPASN BerAKHLASK")</f>
        <v>169_I GUSTI AGUNG AYU SUGIASIH _ SERTIFIKAT BIMTEK IPASN BerAKHLASK</v>
      </c>
      <c r="P170" s="5" t="s">
        <v>1786</v>
      </c>
      <c r="Q170" s="5" t="s">
        <v>1824</v>
      </c>
      <c r="R170" s="7" t="s">
        <v>1825</v>
      </c>
      <c r="S170" s="7" t="str">
        <f>HYPERLINK("https://drive.google.com/file/d/1WOdw1jA6-omBTmQ5CXXsiHiNoVt7T2X-/view?usp=drivesdk","169_I GUSTI AGUNG AYU SUGIASIH SERTIFIKAT BIMTEK IPASN-BerAKHLAK")</f>
        <v>169_I GUSTI AGUNG AYU SUGIASIH SERTIFIKAT BIMTEK IPASN-BerAKHLAK</v>
      </c>
      <c r="T170" s="5" t="s">
        <v>1807</v>
      </c>
    </row>
    <row r="171">
      <c r="A171" s="4">
        <v>45534.31497670139</v>
      </c>
      <c r="B171" s="5" t="s">
        <v>34</v>
      </c>
      <c r="D171" s="5" t="s">
        <v>580</v>
      </c>
      <c r="E171" s="5" t="s">
        <v>1826</v>
      </c>
      <c r="F171" s="5" t="s">
        <v>524</v>
      </c>
      <c r="G171" s="5" t="s">
        <v>1827</v>
      </c>
      <c r="H171" s="6" t="s">
        <v>1828</v>
      </c>
      <c r="I171" s="7" t="s">
        <v>1829</v>
      </c>
      <c r="J171" s="8" t="str">
        <f>HYPERLINK("https://drive.google.com/file/d/1R5YggenJ0-eILwFlVSLW907gFG89g5Lq/view?usp=drivesdk","NI PUTU JULIARI EKA JAYANTINI SERTIFIKAT BerAKHLAK")</f>
        <v>NI PUTU JULIARI EKA JAYANTINI SERTIFIKAT BerAKHLAK</v>
      </c>
      <c r="K171" s="5" t="s">
        <v>1773</v>
      </c>
      <c r="L171" s="5" t="s">
        <v>1830</v>
      </c>
      <c r="M171" s="5" t="s">
        <v>1831</v>
      </c>
      <c r="N171" s="7" t="s">
        <v>1832</v>
      </c>
      <c r="O171" s="8" t="str">
        <f>HYPERLINK("https://drive.google.com/file/d/1BeBqKQAL9M9j42kNL8KBJXv-6eQciR5D/view?usp=drivesdk","170_NI PUTU JULIARI EKA JAYANTINI _ SERTIFIKAT BIMTEK IPASN BerAKHLASK")</f>
        <v>170_NI PUTU JULIARI EKA JAYANTINI _ SERTIFIKAT BIMTEK IPASN BerAKHLASK</v>
      </c>
      <c r="P171" s="5" t="s">
        <v>1786</v>
      </c>
      <c r="Q171" s="5" t="s">
        <v>1833</v>
      </c>
      <c r="R171" s="7" t="s">
        <v>1834</v>
      </c>
      <c r="S171" s="7" t="str">
        <f>HYPERLINK("https://drive.google.com/file/d/1nLHCbzTFwxqdjW-7ev--i0XgJrPcFUVa/view?usp=drivesdk","170_NI PUTU JULIARI EKA JAYANTINI SERTIFIKAT BIMTEK IPASN-BerAKHLAK")</f>
        <v>170_NI PUTU JULIARI EKA JAYANTINI SERTIFIKAT BIMTEK IPASN-BerAKHLAK</v>
      </c>
      <c r="T171" s="5" t="s">
        <v>1807</v>
      </c>
    </row>
    <row r="172">
      <c r="A172" s="4">
        <v>45534.3149968287</v>
      </c>
      <c r="B172" s="5" t="s">
        <v>34</v>
      </c>
      <c r="D172" s="5" t="s">
        <v>362</v>
      </c>
      <c r="E172" s="5" t="s">
        <v>1835</v>
      </c>
      <c r="F172" s="5" t="s">
        <v>37</v>
      </c>
      <c r="G172" s="5" t="s">
        <v>1836</v>
      </c>
      <c r="H172" s="6" t="s">
        <v>1837</v>
      </c>
      <c r="I172" s="7" t="s">
        <v>1838</v>
      </c>
      <c r="J172" s="8" t="str">
        <f>HYPERLINK("https://drive.google.com/file/d/1OHoF6MwNChb1D8B02g2wudt54SKil8QO/view?usp=drivesdk","HERIYANI, A.MD.FARM SERTIFIKAT BerAKHLAK")</f>
        <v>HERIYANI, A.MD.FARM SERTIFIKAT BerAKHLAK</v>
      </c>
      <c r="K172" s="5" t="s">
        <v>1347</v>
      </c>
      <c r="L172" s="5" t="s">
        <v>1839</v>
      </c>
      <c r="M172" s="5" t="s">
        <v>1840</v>
      </c>
      <c r="N172" s="7" t="s">
        <v>1841</v>
      </c>
      <c r="O172" s="8" t="str">
        <f>HYPERLINK("https://drive.google.com/file/d/1ZbjNwy52u9RgqBVtRFEZGPGC7esuz-Kl/view?usp=drivesdk","171_HERIYANI, A.MD.FARM _ SERTIFIKAT BIMTEK IPASN BerAKHLASK")</f>
        <v>171_HERIYANI, A.MD.FARM _ SERTIFIKAT BIMTEK IPASN BerAKHLASK</v>
      </c>
      <c r="P172" s="5" t="s">
        <v>1842</v>
      </c>
      <c r="Q172" s="5" t="s">
        <v>1843</v>
      </c>
      <c r="R172" s="7" t="s">
        <v>1844</v>
      </c>
      <c r="S172" s="7" t="str">
        <f>HYPERLINK("https://drive.google.com/file/d/1a9i5jwe_4hLidbUz5Tc8CgxInIqnEvXI/view?usp=drivesdk","171_HERIYANI, A.MD.FARM SERTIFIKAT BIMTEK IPASN-BerAKHLAK")</f>
        <v>171_HERIYANI, A.MD.FARM SERTIFIKAT BIMTEK IPASN-BerAKHLAK</v>
      </c>
      <c r="T172" s="5" t="s">
        <v>1807</v>
      </c>
    </row>
    <row r="173" hidden="1">
      <c r="A173" s="4">
        <v>45534.315007384255</v>
      </c>
      <c r="B173" s="5" t="s">
        <v>19</v>
      </c>
      <c r="C173" s="5" t="s">
        <v>292</v>
      </c>
      <c r="E173" s="5" t="s">
        <v>1845</v>
      </c>
      <c r="F173" s="5" t="s">
        <v>375</v>
      </c>
      <c r="G173" s="5" t="s">
        <v>1846</v>
      </c>
      <c r="H173" s="6" t="s">
        <v>1847</v>
      </c>
      <c r="I173" s="7" t="s">
        <v>1848</v>
      </c>
      <c r="J173" s="8" t="str">
        <f>HYPERLINK("https://drive.google.com/file/d/1nx9Ssadd8dw-EMXe2-6ewCNsQVXBqykZ/view?usp=drivesdk","TUTI SITI NURYAMAH SERTIFIKAT BerAKHLAK")</f>
        <v>TUTI SITI NURYAMAH SERTIFIKAT BerAKHLAK</v>
      </c>
      <c r="K173" s="5" t="s">
        <v>1773</v>
      </c>
      <c r="L173" s="5" t="s">
        <v>1849</v>
      </c>
      <c r="M173" s="5" t="s">
        <v>1850</v>
      </c>
      <c r="N173" s="7" t="s">
        <v>1851</v>
      </c>
      <c r="O173" s="8" t="str">
        <f>HYPERLINK("https://drive.google.com/file/d/1tdN15aEv4n_EOz-PisQa9iHrAqAh9IOU/view?usp=drivesdk","172_TUTI SITI NURYAMAH _ SERTIFIKAT BIMTEK IPASN BerAKHLASK")</f>
        <v>172_TUTI SITI NURYAMAH _ SERTIFIKAT BIMTEK IPASN BerAKHLASK</v>
      </c>
      <c r="P173" s="5" t="s">
        <v>1842</v>
      </c>
      <c r="Q173" s="5" t="s">
        <v>1852</v>
      </c>
      <c r="R173" s="7" t="s">
        <v>1853</v>
      </c>
      <c r="S173" s="7" t="str">
        <f>HYPERLINK("https://drive.google.com/file/d/1k3XSwIq356dLtXjbb5WZbthRKQhj9EYm/view?usp=drivesdk","172_TUTI SITI NURYAMAH SERTIFIKAT BIMTEK IPASN-BerAKHLAK")</f>
        <v>172_TUTI SITI NURYAMAH SERTIFIKAT BIMTEK IPASN-BerAKHLAK</v>
      </c>
      <c r="T173" s="5" t="s">
        <v>1807</v>
      </c>
    </row>
    <row r="174">
      <c r="A174" s="4">
        <v>45534.315032569444</v>
      </c>
      <c r="B174" s="5" t="s">
        <v>34</v>
      </c>
      <c r="D174" s="5" t="s">
        <v>996</v>
      </c>
      <c r="E174" s="5" t="s">
        <v>1854</v>
      </c>
      <c r="F174" s="5" t="s">
        <v>212</v>
      </c>
      <c r="G174" s="5" t="s">
        <v>1855</v>
      </c>
      <c r="H174" s="6" t="s">
        <v>1856</v>
      </c>
      <c r="I174" s="7" t="s">
        <v>1857</v>
      </c>
      <c r="J174" s="8" t="str">
        <f>HYPERLINK("https://drive.google.com/file/d/1fZiJ2aVY6ZMyAbAZdQ4igjrjC3MeTRrQ/view?usp=drivesdk","IKA PURNAMA SARI SERTIFIKAT BerAKHLAK")</f>
        <v>IKA PURNAMA SARI SERTIFIKAT BerAKHLAK</v>
      </c>
      <c r="K174" s="5" t="s">
        <v>1347</v>
      </c>
      <c r="L174" s="5" t="s">
        <v>1858</v>
      </c>
      <c r="M174" s="5" t="s">
        <v>1859</v>
      </c>
      <c r="N174" s="7" t="s">
        <v>1860</v>
      </c>
      <c r="O174" s="8" t="str">
        <f>HYPERLINK("https://drive.google.com/file/d/1r9YmAsCbLn23oYiNmNZNYCR6Knda67Zg/view?usp=drivesdk","173_IKA PURNAMA SARI _ SERTIFIKAT BIMTEK IPASN BerAKHLASK")</f>
        <v>173_IKA PURNAMA SARI _ SERTIFIKAT BIMTEK IPASN BerAKHLASK</v>
      </c>
      <c r="P174" s="5" t="s">
        <v>1842</v>
      </c>
      <c r="Q174" s="5" t="s">
        <v>1861</v>
      </c>
      <c r="R174" s="7" t="s">
        <v>1862</v>
      </c>
      <c r="S174" s="7" t="str">
        <f>HYPERLINK("https://drive.google.com/file/d/16cJi_u8BmFiTaqFXDfj05lYVGtdW4yZ9/view?usp=drivesdk","173_IKA PURNAMA SARI SERTIFIKAT BIMTEK IPASN-BerAKHLAK")</f>
        <v>173_IKA PURNAMA SARI SERTIFIKAT BIMTEK IPASN-BerAKHLAK</v>
      </c>
      <c r="T174" s="5" t="s">
        <v>1863</v>
      </c>
    </row>
    <row r="175">
      <c r="A175" s="4">
        <v>45534.315039444446</v>
      </c>
      <c r="B175" s="5" t="s">
        <v>34</v>
      </c>
      <c r="D175" s="5" t="s">
        <v>267</v>
      </c>
      <c r="E175" s="5" t="s">
        <v>1864</v>
      </c>
      <c r="F175" s="5" t="s">
        <v>375</v>
      </c>
      <c r="G175" s="5" t="s">
        <v>1865</v>
      </c>
      <c r="H175" s="6" t="s">
        <v>1866</v>
      </c>
      <c r="I175" s="7" t="s">
        <v>1867</v>
      </c>
      <c r="J175" s="8" t="str">
        <f>HYPERLINK("https://drive.google.com/file/d/1_0uJ80LsoKYeKc7sRG7tHo0RZ0qhj8Ot/view?usp=drivesdk","SRI MEI DWIJANTI, S.Pd SERTIFIKAT BerAKHLAK")</f>
        <v>SRI MEI DWIJANTI, S.Pd SERTIFIKAT BerAKHLAK</v>
      </c>
      <c r="K175" s="5" t="s">
        <v>1347</v>
      </c>
      <c r="L175" s="5" t="s">
        <v>1868</v>
      </c>
      <c r="M175" s="5" t="s">
        <v>1869</v>
      </c>
      <c r="N175" s="7" t="s">
        <v>1870</v>
      </c>
      <c r="O175" s="8" t="str">
        <f>HYPERLINK("https://drive.google.com/file/d/1I8lnDvDAs2URF0PwnLHHzXyhhOuaBEag/view?usp=drivesdk","174_SRI MEI DWIJANTI, S.Pd _ SERTIFIKAT BIMTEK IPASN BerAKHLASK")</f>
        <v>174_SRI MEI DWIJANTI, S.Pd _ SERTIFIKAT BIMTEK IPASN BerAKHLASK</v>
      </c>
      <c r="P175" s="5" t="s">
        <v>1842</v>
      </c>
      <c r="Q175" s="5" t="s">
        <v>1871</v>
      </c>
      <c r="R175" s="7" t="s">
        <v>1872</v>
      </c>
      <c r="S175" s="7" t="str">
        <f>HYPERLINK("https://drive.google.com/file/d/1UoAlodwohY-dA0JBGfRYSo8Cev4ZXIcA/view?usp=drivesdk","174_SRI MEI DWIJANTI, S.Pd SERTIFIKAT BIMTEK IPASN-BerAKHLAK")</f>
        <v>174_SRI MEI DWIJANTI, S.Pd SERTIFIKAT BIMTEK IPASN-BerAKHLAK</v>
      </c>
      <c r="T175" s="5" t="s">
        <v>1863</v>
      </c>
    </row>
    <row r="176">
      <c r="A176" s="4">
        <v>45534.31507780093</v>
      </c>
      <c r="B176" s="5" t="s">
        <v>34</v>
      </c>
      <c r="D176" s="5" t="s">
        <v>522</v>
      </c>
      <c r="E176" s="5" t="s">
        <v>1873</v>
      </c>
      <c r="F176" s="5" t="s">
        <v>715</v>
      </c>
      <c r="G176" s="5" t="s">
        <v>1874</v>
      </c>
      <c r="H176" s="6" t="s">
        <v>1875</v>
      </c>
      <c r="I176" s="7" t="s">
        <v>1876</v>
      </c>
      <c r="J176" s="8" t="str">
        <f>HYPERLINK("https://drive.google.com/file/d/1Dhkehh3zHXq3A5lAjgdW36ES6DAOpYtL/view?usp=drivesdk","NI YOMAN YASMINI Amd. kes SERTIFIKAT BerAKHLAK")</f>
        <v>NI YOMAN YASMINI Amd. kes SERTIFIKAT BerAKHLAK</v>
      </c>
      <c r="K176" s="5" t="s">
        <v>1773</v>
      </c>
      <c r="L176" s="5" t="s">
        <v>1877</v>
      </c>
      <c r="M176" s="5" t="s">
        <v>1878</v>
      </c>
      <c r="N176" s="7" t="s">
        <v>1879</v>
      </c>
      <c r="O176" s="8" t="str">
        <f>HYPERLINK("https://drive.google.com/file/d/1OeciS_kdUixwC9ws6T5jhxG4Vj0RdDIT/view?usp=drivesdk","175_NI YOMAN YASMINI Amd. kes _ SERTIFIKAT BIMTEK IPASN BerAKHLASK")</f>
        <v>175_NI YOMAN YASMINI Amd. kes _ SERTIFIKAT BIMTEK IPASN BerAKHLASK</v>
      </c>
      <c r="P176" s="5" t="s">
        <v>1842</v>
      </c>
      <c r="Q176" s="5" t="s">
        <v>1880</v>
      </c>
      <c r="R176" s="7" t="s">
        <v>1881</v>
      </c>
      <c r="S176" s="7" t="str">
        <f>HYPERLINK("https://drive.google.com/file/d/13lYgU0VvNSpXt69xqJdqHGgdHNC0IRwC/view?usp=drivesdk","175_NI YOMAN YASMINI Amd. kes SERTIFIKAT BIMTEK IPASN-BerAKHLAK")</f>
        <v>175_NI YOMAN YASMINI Amd. kes SERTIFIKAT BIMTEK IPASN-BerAKHLAK</v>
      </c>
      <c r="T176" s="5" t="s">
        <v>1863</v>
      </c>
    </row>
    <row r="177">
      <c r="A177" s="4">
        <v>45534.31509949074</v>
      </c>
      <c r="B177" s="5" t="s">
        <v>34</v>
      </c>
      <c r="D177" s="5" t="s">
        <v>580</v>
      </c>
      <c r="E177" s="5" t="s">
        <v>1882</v>
      </c>
      <c r="F177" s="5" t="s">
        <v>72</v>
      </c>
      <c r="G177" s="5" t="s">
        <v>1883</v>
      </c>
      <c r="H177" s="6" t="s">
        <v>1884</v>
      </c>
      <c r="I177" s="7" t="s">
        <v>1885</v>
      </c>
      <c r="J177" s="8" t="str">
        <f>HYPERLINK("https://drive.google.com/file/d/1pGKXPd-u1zfIMBA0dQBKXCYOfVdX_lK3/view?usp=drivesdk","NI LUH KETUT MARIANI, S.E. SERTIFIKAT BerAKHLAK")</f>
        <v>NI LUH KETUT MARIANI, S.E. SERTIFIKAT BerAKHLAK</v>
      </c>
      <c r="K177" s="5" t="s">
        <v>1347</v>
      </c>
      <c r="L177" s="5" t="s">
        <v>1886</v>
      </c>
      <c r="M177" s="5" t="s">
        <v>1887</v>
      </c>
      <c r="N177" s="7" t="s">
        <v>1888</v>
      </c>
      <c r="O177" s="8" t="str">
        <f>HYPERLINK("https://drive.google.com/file/d/1fRTwarcATz3F0YwrEYYVOI9m0Bp9S0VJ/view?usp=drivesdk","176_NI LUH KETUT MARIANI, S.E. _ SERTIFIKAT BIMTEK IPASN BerAKHLASK")</f>
        <v>176_NI LUH KETUT MARIANI, S.E. _ SERTIFIKAT BIMTEK IPASN BerAKHLASK</v>
      </c>
      <c r="P177" s="5" t="s">
        <v>1842</v>
      </c>
      <c r="Q177" s="5" t="s">
        <v>1889</v>
      </c>
      <c r="R177" s="7" t="s">
        <v>1890</v>
      </c>
      <c r="S177" s="7" t="str">
        <f>HYPERLINK("https://drive.google.com/file/d/1M10EXvZHI43dHQmkcMRKd8LnSRwstnIC/view?usp=drivesdk","176_NI LUH KETUT MARIANI, S.E. SERTIFIKAT BIMTEK IPASN-BerAKHLAK")</f>
        <v>176_NI LUH KETUT MARIANI, S.E. SERTIFIKAT BIMTEK IPASN-BerAKHLAK</v>
      </c>
      <c r="T177" s="5" t="s">
        <v>1863</v>
      </c>
    </row>
    <row r="178">
      <c r="A178" s="4">
        <v>45534.31512295139</v>
      </c>
      <c r="B178" s="5" t="s">
        <v>34</v>
      </c>
      <c r="D178" s="5" t="s">
        <v>1768</v>
      </c>
      <c r="E178" s="5" t="s">
        <v>1891</v>
      </c>
      <c r="F178" s="5" t="s">
        <v>524</v>
      </c>
      <c r="G178" s="5" t="s">
        <v>1892</v>
      </c>
      <c r="H178" s="6" t="s">
        <v>1893</v>
      </c>
      <c r="I178" s="7" t="s">
        <v>1894</v>
      </c>
      <c r="J178" s="8" t="str">
        <f>HYPERLINK("https://drive.google.com/file/d/1ZDQrYVgNiqBiQa7SYQ2OlINd1p-4XcN6/view?usp=drivesdk","MEILYNA UNTARI DEWI, S.H. SERTIFIKAT BerAKHLAK")</f>
        <v>MEILYNA UNTARI DEWI, S.H. SERTIFIKAT BerAKHLAK</v>
      </c>
      <c r="K178" s="5" t="s">
        <v>1773</v>
      </c>
      <c r="L178" s="5" t="s">
        <v>1895</v>
      </c>
      <c r="M178" s="5" t="s">
        <v>1896</v>
      </c>
      <c r="N178" s="7" t="s">
        <v>1897</v>
      </c>
      <c r="O178" s="8" t="str">
        <f>HYPERLINK("https://drive.google.com/file/d/1ci7DA6jvTgs3Y13emp8EDzUmrS5qIgbg/view?usp=drivesdk","177_MEILYNA UNTARI DEWI, S.H. _ SERTIFIKAT BIMTEK IPASN BerAKHLASK")</f>
        <v>177_MEILYNA UNTARI DEWI, S.H. _ SERTIFIKAT BIMTEK IPASN BerAKHLASK</v>
      </c>
      <c r="P178" s="5" t="s">
        <v>1898</v>
      </c>
      <c r="Q178" s="5" t="s">
        <v>1899</v>
      </c>
      <c r="R178" s="7" t="s">
        <v>1900</v>
      </c>
      <c r="S178" s="7" t="str">
        <f>HYPERLINK("https://drive.google.com/file/d/1YDSZ7sW7r_RnqbQq2MA15B62_WKtuRI2/view?usp=drivesdk","177_MEILYNA UNTARI DEWI, S.H. SERTIFIKAT BIMTEK IPASN-BerAKHLAK")</f>
        <v>177_MEILYNA UNTARI DEWI, S.H. SERTIFIKAT BIMTEK IPASN-BerAKHLAK</v>
      </c>
      <c r="T178" s="5" t="s">
        <v>1863</v>
      </c>
    </row>
    <row r="179">
      <c r="A179" s="4">
        <v>45534.31513023148</v>
      </c>
      <c r="B179" s="5" t="s">
        <v>34</v>
      </c>
      <c r="D179" s="5" t="s">
        <v>35</v>
      </c>
      <c r="E179" s="5" t="s">
        <v>1901</v>
      </c>
      <c r="F179" s="5" t="s">
        <v>212</v>
      </c>
      <c r="G179" s="5" t="s">
        <v>1902</v>
      </c>
      <c r="H179" s="6" t="s">
        <v>1903</v>
      </c>
      <c r="I179" s="7" t="s">
        <v>1904</v>
      </c>
      <c r="J179" s="8" t="str">
        <f>HYPERLINK("https://drive.google.com/file/d/1X7l9OwwRZyCdcsQKlDiqdKjoT-1Mt4Vu/view?usp=drivesdk","USHI APRIANI ZAQIAH  SERTIFIKAT BerAKHLAK")</f>
        <v>USHI APRIANI ZAQIAH  SERTIFIKAT BerAKHLAK</v>
      </c>
      <c r="K179" s="5" t="s">
        <v>1773</v>
      </c>
      <c r="L179" s="5" t="s">
        <v>1905</v>
      </c>
      <c r="M179" s="5" t="s">
        <v>1906</v>
      </c>
      <c r="N179" s="7" t="s">
        <v>1907</v>
      </c>
      <c r="O179" s="8" t="str">
        <f>HYPERLINK("https://drive.google.com/file/d/1591wUs1QEq2H7NJt6iX6-A5EzqUDBzHm/view?usp=drivesdk","178_USHI APRIANI ZAQIAH  _ SERTIFIKAT BIMTEK IPASN BerAKHLASK")</f>
        <v>178_USHI APRIANI ZAQIAH  _ SERTIFIKAT BIMTEK IPASN BerAKHLASK</v>
      </c>
      <c r="P179" s="5" t="s">
        <v>1898</v>
      </c>
      <c r="Q179" s="5" t="s">
        <v>1908</v>
      </c>
      <c r="R179" s="7" t="s">
        <v>1909</v>
      </c>
      <c r="S179" s="7" t="str">
        <f>HYPERLINK("https://drive.google.com/file/d/1O4E1SS-fJ5mFxcsKl7mPXM_mUcgDX8HD/view?usp=drivesdk","178_USHI APRIANI ZAQIAH  SERTIFIKAT BIMTEK IPASN-BerAKHLAK")</f>
        <v>178_USHI APRIANI ZAQIAH  SERTIFIKAT BIMTEK IPASN-BerAKHLAK</v>
      </c>
      <c r="T179" s="5" t="s">
        <v>1910</v>
      </c>
    </row>
    <row r="180">
      <c r="A180" s="4">
        <v>45534.31513072917</v>
      </c>
      <c r="B180" s="5" t="s">
        <v>34</v>
      </c>
      <c r="D180" s="5" t="s">
        <v>35</v>
      </c>
      <c r="E180" s="5" t="s">
        <v>1911</v>
      </c>
      <c r="F180" s="5" t="s">
        <v>72</v>
      </c>
      <c r="G180" s="5" t="s">
        <v>1912</v>
      </c>
      <c r="H180" s="6" t="s">
        <v>1913</v>
      </c>
      <c r="I180" s="7" t="s">
        <v>1914</v>
      </c>
      <c r="J180" s="8" t="str">
        <f>HYPERLINK("https://drive.google.com/file/d/1L5X21hadCnODsrGXWzX-1D9RPeraPABU/view?usp=drivesdk","YENI LISAWATI SERTIFIKAT BerAKHLAK")</f>
        <v>YENI LISAWATI SERTIFIKAT BerAKHLAK</v>
      </c>
      <c r="K180" s="5" t="s">
        <v>1773</v>
      </c>
      <c r="L180" s="5" t="s">
        <v>1915</v>
      </c>
      <c r="M180" s="5" t="s">
        <v>1916</v>
      </c>
      <c r="N180" s="7" t="s">
        <v>1917</v>
      </c>
      <c r="O180" s="8" t="str">
        <f>HYPERLINK("https://drive.google.com/file/d/1nEMCMRdU-hj6e16rIm-40SGN0tQvjmyx/view?usp=drivesdk","179_YENI LISAWATI _ SERTIFIKAT BIMTEK IPASN BerAKHLASK")</f>
        <v>179_YENI LISAWATI _ SERTIFIKAT BIMTEK IPASN BerAKHLASK</v>
      </c>
      <c r="P180" s="5" t="s">
        <v>1898</v>
      </c>
      <c r="Q180" s="5" t="s">
        <v>1918</v>
      </c>
      <c r="R180" s="7" t="s">
        <v>1919</v>
      </c>
      <c r="S180" s="7" t="str">
        <f>HYPERLINK("https://drive.google.com/file/d/1LGP0BCt1TScyCQQ9id3wdujUSwciXgCc/view?usp=drivesdk","179_YENI LISAWATI SERTIFIKAT BIMTEK IPASN-BerAKHLAK")</f>
        <v>179_YENI LISAWATI SERTIFIKAT BIMTEK IPASN-BerAKHLAK</v>
      </c>
      <c r="T180" s="5" t="s">
        <v>1910</v>
      </c>
    </row>
    <row r="181">
      <c r="A181" s="4">
        <v>45534.31526695602</v>
      </c>
      <c r="B181" s="5" t="s">
        <v>34</v>
      </c>
      <c r="D181" s="5" t="s">
        <v>1206</v>
      </c>
      <c r="E181" s="5" t="s">
        <v>1920</v>
      </c>
      <c r="F181" s="5" t="s">
        <v>375</v>
      </c>
      <c r="G181" s="5" t="s">
        <v>1921</v>
      </c>
      <c r="H181" s="6" t="s">
        <v>1922</v>
      </c>
      <c r="I181" s="7" t="s">
        <v>1923</v>
      </c>
      <c r="J181" s="8" t="str">
        <f>HYPERLINK("https://drive.google.com/file/d/14wL6c96MskOU-0N39fKIOOXQVKK_m2wO/view?usp=drivesdk","NEVI FITRIYAH SUTAMTO, S.T. SERTIFIKAT BerAKHLAK")</f>
        <v>NEVI FITRIYAH SUTAMTO, S.T. SERTIFIKAT BerAKHLAK</v>
      </c>
      <c r="K181" s="5" t="s">
        <v>1773</v>
      </c>
      <c r="L181" s="5" t="s">
        <v>1924</v>
      </c>
      <c r="M181" s="5" t="s">
        <v>1925</v>
      </c>
      <c r="N181" s="7" t="s">
        <v>1926</v>
      </c>
      <c r="O181" s="8" t="str">
        <f>HYPERLINK("https://drive.google.com/file/d/1Qu5ToQsQXFdQXS2mnr-aeorZO_j_nNVW/view?usp=drivesdk","180_NEVI FITRIYAH SUTAMTO, S.T. _ SERTIFIKAT BIMTEK IPASN BerAKHLASK")</f>
        <v>180_NEVI FITRIYAH SUTAMTO, S.T. _ SERTIFIKAT BIMTEK IPASN BerAKHLASK</v>
      </c>
      <c r="P181" s="5" t="s">
        <v>1898</v>
      </c>
      <c r="Q181" s="5" t="s">
        <v>1927</v>
      </c>
      <c r="R181" s="7" t="s">
        <v>1928</v>
      </c>
      <c r="S181" s="7" t="str">
        <f>HYPERLINK("https://drive.google.com/file/d/1PLXtKPCMBJpeZ2p5M3RKoO6yS9Vw7cPD/view?usp=drivesdk","180_NEVI FITRIYAH SUTAMTO, S.T. SERTIFIKAT BIMTEK IPASN-BerAKHLAK")</f>
        <v>180_NEVI FITRIYAH SUTAMTO, S.T. SERTIFIKAT BIMTEK IPASN-BerAKHLAK</v>
      </c>
      <c r="T181" s="5" t="s">
        <v>1910</v>
      </c>
    </row>
    <row r="182" hidden="1">
      <c r="A182" s="4">
        <v>45534.315296388886</v>
      </c>
      <c r="B182" s="5" t="s">
        <v>19</v>
      </c>
      <c r="C182" s="5" t="s">
        <v>466</v>
      </c>
      <c r="E182" s="5" t="s">
        <v>1929</v>
      </c>
      <c r="F182" s="5" t="s">
        <v>212</v>
      </c>
      <c r="G182" s="5" t="s">
        <v>1930</v>
      </c>
      <c r="H182" s="6" t="s">
        <v>1931</v>
      </c>
      <c r="I182" s="7" t="s">
        <v>1932</v>
      </c>
      <c r="J182" s="8" t="str">
        <f>HYPERLINK("https://drive.google.com/file/d/1e0TuaP9TOqyk7TZpxDXih4cpvo6xJhxQ/view?usp=drivesdk","MUHAMAD SALIM SERTIFIKAT BerAKHLAK")</f>
        <v>MUHAMAD SALIM SERTIFIKAT BerAKHLAK</v>
      </c>
      <c r="K182" s="5" t="s">
        <v>1773</v>
      </c>
      <c r="L182" s="5" t="s">
        <v>1933</v>
      </c>
      <c r="M182" s="5" t="s">
        <v>1934</v>
      </c>
      <c r="N182" s="7" t="s">
        <v>1935</v>
      </c>
      <c r="O182" s="8" t="str">
        <f>HYPERLINK("https://drive.google.com/file/d/1gIzqBHEG8XmBj1g-DcZepiP_RCiWuA0V/view?usp=drivesdk","181_MUHAMAD SALIM _ SERTIFIKAT BIMTEK IPASN BerAKHLASK")</f>
        <v>181_MUHAMAD SALIM _ SERTIFIKAT BIMTEK IPASN BerAKHLASK</v>
      </c>
      <c r="P182" s="5" t="s">
        <v>1898</v>
      </c>
      <c r="Q182" s="5" t="s">
        <v>1936</v>
      </c>
      <c r="R182" s="7" t="s">
        <v>1937</v>
      </c>
      <c r="S182" s="7" t="str">
        <f>HYPERLINK("https://drive.google.com/file/d/1aGHJhXX48mJvnil8F3qfeCO5OAkinXfO/view?usp=drivesdk","181_MUHAMAD SALIM SERTIFIKAT BIMTEK IPASN-BerAKHLAK")</f>
        <v>181_MUHAMAD SALIM SERTIFIKAT BIMTEK IPASN-BerAKHLAK</v>
      </c>
      <c r="T182" s="5" t="s">
        <v>1910</v>
      </c>
    </row>
    <row r="183">
      <c r="A183" s="4">
        <v>45534.31529922454</v>
      </c>
      <c r="B183" s="5" t="s">
        <v>34</v>
      </c>
      <c r="D183" s="5" t="s">
        <v>35</v>
      </c>
      <c r="E183" s="5" t="s">
        <v>1938</v>
      </c>
      <c r="F183" s="5" t="s">
        <v>37</v>
      </c>
      <c r="G183" s="5" t="s">
        <v>1939</v>
      </c>
      <c r="H183" s="6" t="s">
        <v>1940</v>
      </c>
      <c r="I183" s="7" t="s">
        <v>1941</v>
      </c>
      <c r="J183" s="8" t="str">
        <f>HYPERLINK("https://drive.google.com/file/d/1DTFaMaEPBOpHkM0r-wQdnilN1b_MVoL3/view?usp=drivesdk","RIZKY FEBRIANA, A.Md. SERTIFIKAT BerAKHLAK")</f>
        <v>RIZKY FEBRIANA, A.Md. SERTIFIKAT BerAKHLAK</v>
      </c>
      <c r="K183" s="5" t="s">
        <v>1773</v>
      </c>
      <c r="L183" s="5" t="s">
        <v>1942</v>
      </c>
      <c r="M183" s="5" t="s">
        <v>1943</v>
      </c>
      <c r="N183" s="7" t="s">
        <v>1944</v>
      </c>
      <c r="O183" s="8" t="str">
        <f>HYPERLINK("https://drive.google.com/file/d/1iTwGEIlzAzhbZqljPZ7ky8UqhlGGYaLc/view?usp=drivesdk","182_RIZKY FEBRIANA, A.Md. _ SERTIFIKAT BIMTEK IPASN BerAKHLASK")</f>
        <v>182_RIZKY FEBRIANA, A.Md. _ SERTIFIKAT BIMTEK IPASN BerAKHLASK</v>
      </c>
      <c r="P183" s="5" t="s">
        <v>1945</v>
      </c>
      <c r="Q183" s="5" t="s">
        <v>1946</v>
      </c>
      <c r="R183" s="7" t="s">
        <v>1947</v>
      </c>
      <c r="S183" s="7" t="str">
        <f>HYPERLINK("https://drive.google.com/file/d/1e7YZHXQ3cFit3G5fsP4JmI-pZ9c5gBlT/view?usp=drivesdk","182_RIZKY FEBRIANA, A.Md. SERTIFIKAT BIMTEK IPASN-BerAKHLAK")</f>
        <v>182_RIZKY FEBRIANA, A.Md. SERTIFIKAT BIMTEK IPASN-BerAKHLAK</v>
      </c>
      <c r="T183" s="5" t="s">
        <v>1948</v>
      </c>
    </row>
    <row r="184">
      <c r="A184" s="4">
        <v>45534.31529990741</v>
      </c>
      <c r="B184" s="5" t="s">
        <v>34</v>
      </c>
      <c r="D184" s="5" t="s">
        <v>1206</v>
      </c>
      <c r="E184" s="5" t="s">
        <v>1949</v>
      </c>
      <c r="F184" s="5" t="s">
        <v>37</v>
      </c>
      <c r="G184" s="5" t="s">
        <v>1950</v>
      </c>
      <c r="H184" s="6" t="s">
        <v>1951</v>
      </c>
      <c r="I184" s="7" t="s">
        <v>1952</v>
      </c>
      <c r="J184" s="8" t="str">
        <f>HYPERLINK("https://drive.google.com/file/d/1p9c6T2-8t-DFN3TDmvqaLEpUwbbH1vq1/view?usp=drivesdk","LUKMAN FATONI ASMARA K. SERTIFIKAT BerAKHLAK")</f>
        <v>LUKMAN FATONI ASMARA K. SERTIFIKAT BerAKHLAK</v>
      </c>
      <c r="K184" s="5" t="s">
        <v>1773</v>
      </c>
      <c r="L184" s="5" t="s">
        <v>1953</v>
      </c>
      <c r="M184" s="5" t="s">
        <v>1954</v>
      </c>
      <c r="N184" s="7" t="s">
        <v>1955</v>
      </c>
      <c r="O184" s="8" t="str">
        <f>HYPERLINK("https://drive.google.com/file/d/1JoqxGfY1AV73RBVMf34iZDNgkQIEP6t9/view?usp=drivesdk","183_LUKMAN FATONI ASMARA K. _ SERTIFIKAT BIMTEK IPASN BerAKHLASK")</f>
        <v>183_LUKMAN FATONI ASMARA K. _ SERTIFIKAT BIMTEK IPASN BerAKHLASK</v>
      </c>
      <c r="P184" s="5" t="s">
        <v>1945</v>
      </c>
      <c r="Q184" s="5" t="s">
        <v>1956</v>
      </c>
      <c r="R184" s="7" t="s">
        <v>1957</v>
      </c>
      <c r="S184" s="7" t="str">
        <f>HYPERLINK("https://drive.google.com/file/d/1jhvf9uHfaiIZlRFiBSnKjHaPiEUQy4X5/view?usp=drivesdk","183_LUKMAN FATONI ASMARA K. SERTIFIKAT BIMTEK IPASN-BerAKHLAK")</f>
        <v>183_LUKMAN FATONI ASMARA K. SERTIFIKAT BIMTEK IPASN-BerAKHLAK</v>
      </c>
      <c r="T184" s="5" t="s">
        <v>1948</v>
      </c>
    </row>
    <row r="185">
      <c r="A185" s="4">
        <v>45534.31535122685</v>
      </c>
      <c r="B185" s="5" t="s">
        <v>34</v>
      </c>
      <c r="D185" s="5" t="s">
        <v>580</v>
      </c>
      <c r="E185" s="5" t="s">
        <v>1958</v>
      </c>
      <c r="F185" s="5" t="s">
        <v>375</v>
      </c>
      <c r="G185" s="5" t="s">
        <v>1959</v>
      </c>
      <c r="H185" s="6" t="s">
        <v>1960</v>
      </c>
      <c r="I185" s="7" t="s">
        <v>1961</v>
      </c>
      <c r="J185" s="8" t="str">
        <f>HYPERLINK("https://drive.google.com/file/d/1l9xk8O_fy6TNA7KxjOg005B8PqmosYN8/view?usp=drivesdk","GUSTI AYU MADE ARTINI SERTIFIKAT BerAKHLAK")</f>
        <v>GUSTI AYU MADE ARTINI SERTIFIKAT BerAKHLAK</v>
      </c>
      <c r="K185" s="5" t="s">
        <v>1773</v>
      </c>
      <c r="L185" s="5" t="s">
        <v>1962</v>
      </c>
      <c r="M185" s="5" t="s">
        <v>1963</v>
      </c>
      <c r="N185" s="7" t="s">
        <v>1964</v>
      </c>
      <c r="O185" s="8" t="str">
        <f>HYPERLINK("https://drive.google.com/file/d/1L3VbS7sYoOcjllqy9Z_kgsCb175wr0J6/view?usp=drivesdk","184_GUSTI AYU MADE ARTINI _ SERTIFIKAT BIMTEK IPASN BerAKHLASK")</f>
        <v>184_GUSTI AYU MADE ARTINI _ SERTIFIKAT BIMTEK IPASN BerAKHLASK</v>
      </c>
      <c r="P185" s="5" t="s">
        <v>1945</v>
      </c>
      <c r="Q185" s="5" t="s">
        <v>1965</v>
      </c>
      <c r="R185" s="7" t="s">
        <v>1966</v>
      </c>
      <c r="S185" s="7" t="str">
        <f>HYPERLINK("https://drive.google.com/file/d/1usZz74ae-6lWQ_fCC4sLzCLaNMbhFIdG/view?usp=drivesdk","184_GUSTI AYU MADE ARTINI SERTIFIKAT BIMTEK IPASN-BerAKHLAK")</f>
        <v>184_GUSTI AYU MADE ARTINI SERTIFIKAT BIMTEK IPASN-BerAKHLAK</v>
      </c>
      <c r="T185" s="5" t="s">
        <v>1948</v>
      </c>
    </row>
    <row r="186">
      <c r="A186" s="4">
        <v>45534.31544136574</v>
      </c>
      <c r="B186" s="5" t="s">
        <v>34</v>
      </c>
      <c r="D186" s="5" t="s">
        <v>35</v>
      </c>
      <c r="E186" s="5" t="s">
        <v>1967</v>
      </c>
      <c r="F186" s="5" t="s">
        <v>37</v>
      </c>
      <c r="G186" s="5" t="s">
        <v>1968</v>
      </c>
      <c r="H186" s="6" t="s">
        <v>1969</v>
      </c>
      <c r="I186" s="7" t="s">
        <v>1970</v>
      </c>
      <c r="J186" s="8" t="str">
        <f>HYPERLINK("https://drive.google.com/file/d/1Tb5T-Kzb00MwgEcgTPC6OqXlKeND55Fh/view?usp=drivesdk","IKA RODIAWATI SERTIFIKAT BerAKHLAK")</f>
        <v>IKA RODIAWATI SERTIFIKAT BerAKHLAK</v>
      </c>
      <c r="K186" s="5" t="s">
        <v>1773</v>
      </c>
      <c r="L186" s="5" t="s">
        <v>1971</v>
      </c>
      <c r="M186" s="5" t="s">
        <v>1972</v>
      </c>
      <c r="N186" s="7" t="s">
        <v>1973</v>
      </c>
      <c r="O186" s="8" t="str">
        <f>HYPERLINK("https://drive.google.com/file/d/1p0Lu7xqmMvDqdzkxEIJWt6dLE836X41p/view?usp=drivesdk","185_IKA RODIAWATI _ SERTIFIKAT BIMTEK IPASN BerAKHLASK")</f>
        <v>185_IKA RODIAWATI _ SERTIFIKAT BIMTEK IPASN BerAKHLASK</v>
      </c>
      <c r="P186" s="5" t="s">
        <v>1945</v>
      </c>
      <c r="Q186" s="5" t="s">
        <v>1974</v>
      </c>
      <c r="R186" s="7" t="s">
        <v>1975</v>
      </c>
      <c r="S186" s="7" t="str">
        <f>HYPERLINK("https://drive.google.com/file/d/1y51WnjmtpfrjnOZKFmzn1tR20Loyogod/view?usp=drivesdk","185_IKA RODIAWATI SERTIFIKAT BIMTEK IPASN-BerAKHLAK")</f>
        <v>185_IKA RODIAWATI SERTIFIKAT BIMTEK IPASN-BerAKHLAK</v>
      </c>
      <c r="T186" s="5" t="s">
        <v>1948</v>
      </c>
    </row>
    <row r="187" hidden="1">
      <c r="A187" s="4">
        <v>45534.31544524306</v>
      </c>
      <c r="B187" s="5" t="s">
        <v>19</v>
      </c>
      <c r="C187" s="5" t="s">
        <v>466</v>
      </c>
      <c r="E187" s="5" t="s">
        <v>1976</v>
      </c>
      <c r="F187" s="5" t="s">
        <v>212</v>
      </c>
      <c r="G187" s="5" t="s">
        <v>1977</v>
      </c>
      <c r="H187" s="6" t="s">
        <v>1978</v>
      </c>
      <c r="I187" s="7" t="s">
        <v>1979</v>
      </c>
      <c r="J187" s="8" t="str">
        <f>HYPERLINK("https://drive.google.com/file/d/1tpOas9cMZTFyIzAHy-EwyBxYSwhDgm9p/view?usp=drivesdk","HERI HERYANTO  SERTIFIKAT BerAKHLAK")</f>
        <v>HERI HERYANTO  SERTIFIKAT BerAKHLAK</v>
      </c>
      <c r="K187" s="5" t="s">
        <v>1773</v>
      </c>
      <c r="L187" s="5" t="s">
        <v>1980</v>
      </c>
      <c r="M187" s="5" t="s">
        <v>1981</v>
      </c>
      <c r="N187" s="7" t="s">
        <v>1982</v>
      </c>
      <c r="O187" s="8" t="str">
        <f>HYPERLINK("https://drive.google.com/file/d/1dVqaCWqIvwXbi4GT2--N731lsA7ei1YY/view?usp=drivesdk","186 &lt;NAMA LENGKAP&gt;&gt; _ SERTIFIKAT BIMTEK IPASN BerAKHLASK")</f>
        <v>186 &lt;NAMA LENGKAP&gt;&gt; _ SERTIFIKAT BIMTEK IPASN BerAKHLASK</v>
      </c>
      <c r="P187" s="5" t="s">
        <v>1983</v>
      </c>
      <c r="Q187" s="5" t="s">
        <v>1984</v>
      </c>
      <c r="R187" s="7" t="s">
        <v>1985</v>
      </c>
      <c r="S187" s="7" t="str">
        <f>HYPERLINK("https://drive.google.com/file/d/1468tvbYxwlkiUqHghR6x9x0gyI1C3zNe/view?usp=drivesdk","186_HERI HERYANTO  SERTIFIKAT BIMTEK IPASN-BerAKHLAK")</f>
        <v>186_HERI HERYANTO  SERTIFIKAT BIMTEK IPASN-BerAKHLAK</v>
      </c>
      <c r="T187" s="5" t="s">
        <v>1948</v>
      </c>
    </row>
    <row r="188">
      <c r="A188" s="4">
        <v>45534.31545672454</v>
      </c>
      <c r="B188" s="5" t="s">
        <v>34</v>
      </c>
      <c r="D188" s="5" t="s">
        <v>1206</v>
      </c>
      <c r="E188" s="5" t="s">
        <v>1986</v>
      </c>
      <c r="F188" s="5" t="s">
        <v>37</v>
      </c>
      <c r="G188" s="5" t="s">
        <v>1987</v>
      </c>
      <c r="H188" s="6" t="s">
        <v>1988</v>
      </c>
      <c r="I188" s="7" t="s">
        <v>1989</v>
      </c>
      <c r="J188" s="8" t="str">
        <f>HYPERLINK("https://drive.google.com/file/d/1rap3NUtKrfNtoK0N7BAlDkBgMK7btSN_/view?usp=drivesdk","RIFQIATUL UMAM, S.KOM SERTIFIKAT BerAKHLAK")</f>
        <v>RIFQIATUL UMAM, S.KOM SERTIFIKAT BerAKHLAK</v>
      </c>
      <c r="K188" s="5" t="s">
        <v>1773</v>
      </c>
      <c r="L188" s="5" t="s">
        <v>1990</v>
      </c>
      <c r="M188" s="5" t="s">
        <v>1991</v>
      </c>
      <c r="N188" s="7" t="s">
        <v>1992</v>
      </c>
      <c r="O188" s="8" t="str">
        <f>HYPERLINK("https://drive.google.com/file/d/1teef1kKgR1R2g6N3SRGiS9M2zVxFoycN/view?usp=drivesdk","187 &lt;NAMA LENGKAP&gt;&gt; _ SERTIFIKAT BIMTEK IPASN BerAKHLASK")</f>
        <v>187 &lt;NAMA LENGKAP&gt;&gt; _ SERTIFIKAT BIMTEK IPASN BerAKHLASK</v>
      </c>
      <c r="P188" s="5" t="s">
        <v>1983</v>
      </c>
      <c r="Q188" s="5" t="s">
        <v>1993</v>
      </c>
      <c r="R188" s="7" t="s">
        <v>1994</v>
      </c>
      <c r="S188" s="7" t="str">
        <f>HYPERLINK("https://drive.google.com/file/d/1TDzXKrLvAafObhll8_CCyH0j7gPmpUre/view?usp=drivesdk","187_RIFQIATUL UMAM, S.KOM SERTIFIKAT BIMTEK IPASN-BerAKHLAK")</f>
        <v>187_RIFQIATUL UMAM, S.KOM SERTIFIKAT BIMTEK IPASN-BerAKHLAK</v>
      </c>
      <c r="T188" s="5" t="s">
        <v>1948</v>
      </c>
    </row>
    <row r="189">
      <c r="A189" s="4">
        <v>45534.315472685186</v>
      </c>
      <c r="B189" s="5" t="s">
        <v>34</v>
      </c>
      <c r="D189" s="5" t="s">
        <v>35</v>
      </c>
      <c r="E189" s="5" t="s">
        <v>1995</v>
      </c>
      <c r="F189" s="5" t="s">
        <v>37</v>
      </c>
      <c r="G189" s="5" t="s">
        <v>1996</v>
      </c>
      <c r="H189" s="6" t="s">
        <v>1997</v>
      </c>
      <c r="I189" s="7" t="s">
        <v>1998</v>
      </c>
      <c r="J189" s="8" t="str">
        <f>HYPERLINK("https://drive.google.com/file/d/13CjzLWq0HMRpv87-8e4RYoZfsgkfu-iT/view?usp=drivesdk","AGUS CAHYANTO SERTIFIKAT BerAKHLAK")</f>
        <v>AGUS CAHYANTO SERTIFIKAT BerAKHLAK</v>
      </c>
      <c r="K189" s="5" t="s">
        <v>1999</v>
      </c>
      <c r="L189" s="5" t="s">
        <v>2000</v>
      </c>
      <c r="M189" s="5" t="s">
        <v>2001</v>
      </c>
      <c r="N189" s="7" t="s">
        <v>2002</v>
      </c>
      <c r="O189" s="8" t="str">
        <f>HYPERLINK("https://drive.google.com/file/d/1AocAudrwOAV-2g42YvmVWxwzf9Gxz5gx/view?usp=drivesdk","188 &lt;NAMA LENGKAP&gt;&gt; _ SERTIFIKAT BIMTEK IPASN BerAKHLASK")</f>
        <v>188 &lt;NAMA LENGKAP&gt;&gt; _ SERTIFIKAT BIMTEK IPASN BerAKHLASK</v>
      </c>
      <c r="P189" s="5" t="s">
        <v>1983</v>
      </c>
      <c r="Q189" s="5" t="s">
        <v>2003</v>
      </c>
      <c r="R189" s="7" t="s">
        <v>2004</v>
      </c>
      <c r="S189" s="7" t="str">
        <f>HYPERLINK("https://drive.google.com/file/d/1OeFyUZFXVOwtsi5huVNFlv4AayuKsyRc/view?usp=drivesdk","188_AGUS CAHYANTO SERTIFIKAT BIMTEK IPASN-BerAKHLAK")</f>
        <v>188_AGUS CAHYANTO SERTIFIKAT BIMTEK IPASN-BerAKHLAK</v>
      </c>
      <c r="T189" s="5" t="s">
        <v>2005</v>
      </c>
    </row>
    <row r="190">
      <c r="A190" s="4">
        <v>45534.31547619213</v>
      </c>
      <c r="B190" s="5" t="s">
        <v>34</v>
      </c>
      <c r="D190" s="5" t="s">
        <v>35</v>
      </c>
      <c r="E190" s="5" t="s">
        <v>2006</v>
      </c>
      <c r="F190" s="5" t="s">
        <v>524</v>
      </c>
      <c r="G190" s="5" t="s">
        <v>2007</v>
      </c>
      <c r="H190" s="6" t="s">
        <v>2008</v>
      </c>
      <c r="I190" s="7" t="s">
        <v>2009</v>
      </c>
      <c r="J190" s="8" t="str">
        <f>HYPERLINK("https://drive.google.com/file/d/1mqWU4DT8MmtfVIM7TiDAFSBiPH8blF0G/view?usp=drivesdk","NENG LENY SUNARYA SERTIFIKAT BerAKHLAK")</f>
        <v>NENG LENY SUNARYA SERTIFIKAT BerAKHLAK</v>
      </c>
      <c r="K190" s="5" t="s">
        <v>1999</v>
      </c>
      <c r="L190" s="5" t="s">
        <v>2010</v>
      </c>
      <c r="M190" s="5" t="s">
        <v>2011</v>
      </c>
      <c r="N190" s="7" t="s">
        <v>2012</v>
      </c>
      <c r="O190" s="8" t="str">
        <f>HYPERLINK("https://drive.google.com/file/d/1eMpoIPHnv0ICO4bMm4Zl1QEkRrrxgX2i/view?usp=drivesdk","189 &lt;NAMA LENGKAP&gt;&gt; _ SERTIFIKAT BIMTEK IPASN BerAKHLASK")</f>
        <v>189 &lt;NAMA LENGKAP&gt;&gt; _ SERTIFIKAT BIMTEK IPASN BerAKHLASK</v>
      </c>
      <c r="P190" s="5" t="s">
        <v>1983</v>
      </c>
      <c r="Q190" s="5" t="s">
        <v>2013</v>
      </c>
      <c r="R190" s="7" t="s">
        <v>2014</v>
      </c>
      <c r="S190" s="7" t="str">
        <f>HYPERLINK("https://drive.google.com/file/d/1ku-4GfFTCiruXbcarf9cTFMT6MrXNFQH/view?usp=drivesdk","189_NENG LENY SUNARYA SERTIFIKAT BIMTEK IPASN-BerAKHLAK")</f>
        <v>189_NENG LENY SUNARYA SERTIFIKAT BIMTEK IPASN-BerAKHLAK</v>
      </c>
      <c r="T190" s="5" t="s">
        <v>2005</v>
      </c>
    </row>
    <row r="191">
      <c r="A191" s="4">
        <v>45534.31552351852</v>
      </c>
      <c r="B191" s="5" t="s">
        <v>34</v>
      </c>
      <c r="D191" s="5" t="s">
        <v>604</v>
      </c>
      <c r="E191" s="5" t="s">
        <v>2015</v>
      </c>
      <c r="F191" s="5" t="s">
        <v>37</v>
      </c>
      <c r="G191" s="5" t="s">
        <v>2016</v>
      </c>
      <c r="H191" s="6" t="s">
        <v>2017</v>
      </c>
      <c r="I191" s="7" t="s">
        <v>2018</v>
      </c>
      <c r="J191" s="8" t="str">
        <f>HYPERLINK("https://drive.google.com/file/d/16ZLYZK57MjexrNQdraLOTgdNbrwK_pDt/view?usp=drivesdk","EKA NOVIYANTI SERTIFIKAT BerAKHLAK")</f>
        <v>EKA NOVIYANTI SERTIFIKAT BerAKHLAK</v>
      </c>
      <c r="K191" s="5" t="s">
        <v>1773</v>
      </c>
      <c r="L191" s="5" t="s">
        <v>2019</v>
      </c>
      <c r="M191" s="5" t="s">
        <v>2020</v>
      </c>
      <c r="N191" s="7" t="s">
        <v>2021</v>
      </c>
      <c r="O191" s="8" t="str">
        <f>HYPERLINK("https://drive.google.com/file/d/1DPY6S0VvPRdRYcOo2Jk1FKPMTaU-9AKm/view?usp=drivesdk","190 &lt;NAMA LENGKAP&gt;&gt; _ SERTIFIKAT BIMTEK IPASN BerAKHLASK")</f>
        <v>190 &lt;NAMA LENGKAP&gt;&gt; _ SERTIFIKAT BIMTEK IPASN BerAKHLASK</v>
      </c>
      <c r="P191" s="5" t="s">
        <v>1983</v>
      </c>
      <c r="Q191" s="5" t="s">
        <v>2022</v>
      </c>
      <c r="R191" s="7" t="s">
        <v>2023</v>
      </c>
      <c r="S191" s="7" t="str">
        <f>HYPERLINK("https://drive.google.com/file/d/1mpeyA3m6iAgF66IeuAtheb2FY83ndcFn/view?usp=drivesdk","190_EKA NOVIYANTI SERTIFIKAT BIMTEK IPASN-BerAKHLAK")</f>
        <v>190_EKA NOVIYANTI SERTIFIKAT BIMTEK IPASN-BerAKHLAK</v>
      </c>
      <c r="T191" s="5" t="s">
        <v>2005</v>
      </c>
    </row>
    <row r="192">
      <c r="A192" s="4">
        <v>45534.31559637732</v>
      </c>
      <c r="B192" s="5" t="s">
        <v>34</v>
      </c>
      <c r="D192" s="5" t="s">
        <v>580</v>
      </c>
      <c r="E192" s="5" t="s">
        <v>2024</v>
      </c>
      <c r="F192" s="5" t="s">
        <v>37</v>
      </c>
      <c r="G192" s="5" t="s">
        <v>2025</v>
      </c>
      <c r="H192" s="6" t="s">
        <v>2026</v>
      </c>
      <c r="I192" s="7" t="s">
        <v>2027</v>
      </c>
      <c r="J192" s="8" t="str">
        <f>HYPERLINK("https://drive.google.com/file/d/1ihC2ktFj48zebxDg4wX6LyVCe6OK616Z/view?usp=drivesdk","LUH PUTU SUMARTINI, S. Pd SERTIFIKAT BerAKHLAK")</f>
        <v>LUH PUTU SUMARTINI, S. Pd SERTIFIKAT BerAKHLAK</v>
      </c>
      <c r="K192" s="5" t="s">
        <v>1773</v>
      </c>
      <c r="L192" s="5" t="s">
        <v>2028</v>
      </c>
      <c r="M192" s="5" t="s">
        <v>2029</v>
      </c>
      <c r="N192" s="7" t="s">
        <v>2030</v>
      </c>
      <c r="O192" s="8" t="str">
        <f>HYPERLINK("https://drive.google.com/file/d/1RPR5yg2LrUfs8vJWn4tHHYQV6S4L4HBq/view?usp=drivesdk","191 &lt;NAMA LENGKAP&gt;&gt; _ SERTIFIKAT BIMTEK IPASN BerAKHLASK")</f>
        <v>191 &lt;NAMA LENGKAP&gt;&gt; _ SERTIFIKAT BIMTEK IPASN BerAKHLASK</v>
      </c>
      <c r="P192" s="5" t="s">
        <v>2031</v>
      </c>
      <c r="Q192" s="5" t="s">
        <v>2032</v>
      </c>
      <c r="R192" s="7" t="s">
        <v>2033</v>
      </c>
      <c r="S192" s="7" t="str">
        <f>HYPERLINK("https://drive.google.com/file/d/196jiAda6fmLJ0yq20sn9Dvy93MZ-Yf5a/view?usp=drivesdk","191_LUH PUTU SUMARTINI, S. Pd SERTIFIKAT BIMTEK IPASN-BerAKHLAK")</f>
        <v>191_LUH PUTU SUMARTINI, S. Pd SERTIFIKAT BIMTEK IPASN-BerAKHLAK</v>
      </c>
      <c r="T192" s="5" t="s">
        <v>2005</v>
      </c>
    </row>
    <row r="193">
      <c r="A193" s="4">
        <v>45534.31563300926</v>
      </c>
      <c r="B193" s="5" t="s">
        <v>34</v>
      </c>
      <c r="D193" s="5" t="s">
        <v>522</v>
      </c>
      <c r="E193" s="5" t="s">
        <v>2034</v>
      </c>
      <c r="F193" s="5" t="s">
        <v>72</v>
      </c>
      <c r="G193" s="5" t="s">
        <v>2035</v>
      </c>
      <c r="H193" s="6" t="s">
        <v>2036</v>
      </c>
      <c r="I193" s="7" t="s">
        <v>2037</v>
      </c>
      <c r="J193" s="8" t="str">
        <f>HYPERLINK("https://drive.google.com/file/d/1xyPTGdEMZMLoVjorKtuqqAuzLTKikquA/view?usp=drivesdk","HELMI SATRIANI,S.AP SERTIFIKAT BerAKHLAK")</f>
        <v>HELMI SATRIANI,S.AP SERTIFIKAT BerAKHLAK</v>
      </c>
      <c r="K193" s="5" t="s">
        <v>1773</v>
      </c>
      <c r="L193" s="5" t="s">
        <v>2038</v>
      </c>
      <c r="M193" s="5" t="s">
        <v>2039</v>
      </c>
      <c r="N193" s="7" t="s">
        <v>2040</v>
      </c>
      <c r="O193" s="8" t="str">
        <f>HYPERLINK("https://drive.google.com/file/d/1orWHGh_7MLiS4-fCG5dJJmLXY0X_PRoC/view?usp=drivesdk","192 &lt;NAMA LENGKAP&gt;&gt; _ SERTIFIKAT BIMTEK IPASN BerAKHLASK")</f>
        <v>192 &lt;NAMA LENGKAP&gt;&gt; _ SERTIFIKAT BIMTEK IPASN BerAKHLASK</v>
      </c>
      <c r="P193" s="5" t="s">
        <v>2031</v>
      </c>
      <c r="Q193" s="5" t="s">
        <v>2041</v>
      </c>
      <c r="R193" s="7" t="s">
        <v>2042</v>
      </c>
      <c r="S193" s="7" t="str">
        <f>HYPERLINK("https://drive.google.com/file/d/1G5Y9IJEcFD2w1LrTvkACllQt1_4SM9HH/view?usp=drivesdk","192_HELMI SATRIANI,S.AP SERTIFIKAT BIMTEK IPASN-BerAKHLAK")</f>
        <v>192_HELMI SATRIANI,S.AP SERTIFIKAT BIMTEK IPASN-BerAKHLAK</v>
      </c>
      <c r="T193" s="5" t="s">
        <v>2005</v>
      </c>
    </row>
    <row r="194">
      <c r="A194" s="4">
        <v>45534.315665428236</v>
      </c>
      <c r="B194" s="5" t="s">
        <v>34</v>
      </c>
      <c r="D194" s="5" t="s">
        <v>580</v>
      </c>
      <c r="E194" s="5" t="s">
        <v>2043</v>
      </c>
      <c r="F194" s="5" t="s">
        <v>37</v>
      </c>
      <c r="G194" s="5" t="s">
        <v>2044</v>
      </c>
      <c r="H194" s="6" t="s">
        <v>2045</v>
      </c>
      <c r="I194" s="7" t="s">
        <v>2046</v>
      </c>
      <c r="J194" s="8" t="str">
        <f>HYPERLINK("https://drive.google.com/file/d/1DxJuiI0q1mMnaE3cZcbs4KV8aErU26Ze/view?usp=drivesdk","IKA PUSPITASARI, A.Md SERTIFIKAT BerAKHLAK")</f>
        <v>IKA PUSPITASARI, A.Md SERTIFIKAT BerAKHLAK</v>
      </c>
      <c r="K194" s="5" t="s">
        <v>1773</v>
      </c>
      <c r="L194" s="5" t="s">
        <v>2047</v>
      </c>
      <c r="M194" s="5" t="s">
        <v>2048</v>
      </c>
      <c r="N194" s="7" t="s">
        <v>2049</v>
      </c>
      <c r="O194" s="8" t="str">
        <f>HYPERLINK("https://drive.google.com/file/d/13jBwfI9VlmQLi_mpB3S72jEZkKK8ioIh/view?usp=drivesdk","193 &lt;NAMA LENGKAP&gt;&gt; _ SERTIFIKAT BIMTEK IPASN BerAKHLASK")</f>
        <v>193 &lt;NAMA LENGKAP&gt;&gt; _ SERTIFIKAT BIMTEK IPASN BerAKHLASK</v>
      </c>
      <c r="P194" s="5" t="s">
        <v>2031</v>
      </c>
      <c r="Q194" s="5" t="s">
        <v>2050</v>
      </c>
      <c r="R194" s="7" t="s">
        <v>2051</v>
      </c>
      <c r="S194" s="7" t="str">
        <f>HYPERLINK("https://drive.google.com/file/d/16g6Xh9HbJBPmIl-sbcw_rN7GV-PXz0XH/view?usp=drivesdk","193_IKA PUSPITASARI, A.Md SERTIFIKAT BIMTEK IPASN-BerAKHLAK")</f>
        <v>193_IKA PUSPITASARI, A.Md SERTIFIKAT BIMTEK IPASN-BerAKHLAK</v>
      </c>
      <c r="T194" s="5" t="s">
        <v>2005</v>
      </c>
    </row>
    <row r="195">
      <c r="A195" s="4">
        <v>45534.3157272338</v>
      </c>
      <c r="B195" s="5" t="s">
        <v>34</v>
      </c>
      <c r="D195" s="5" t="s">
        <v>35</v>
      </c>
      <c r="E195" s="5" t="s">
        <v>2052</v>
      </c>
      <c r="F195" s="5" t="s">
        <v>37</v>
      </c>
      <c r="G195" s="5" t="s">
        <v>2053</v>
      </c>
      <c r="H195" s="6" t="s">
        <v>2054</v>
      </c>
      <c r="I195" s="7" t="s">
        <v>2055</v>
      </c>
      <c r="J195" s="8" t="str">
        <f>HYPERLINK("https://drive.google.com/file/d/1NWCWz-UYq_kEJ5jVgR9IuMD4f17mM1ck/view?usp=drivesdk","SITI AENI NURLAMRIAH  SERTIFIKAT BerAKHLAK")</f>
        <v>SITI AENI NURLAMRIAH  SERTIFIKAT BerAKHLAK</v>
      </c>
      <c r="K195" s="5" t="s">
        <v>2056</v>
      </c>
      <c r="L195" s="5" t="s">
        <v>2057</v>
      </c>
      <c r="M195" s="5" t="s">
        <v>2058</v>
      </c>
      <c r="N195" s="7" t="s">
        <v>2059</v>
      </c>
      <c r="O195" s="8" t="str">
        <f>HYPERLINK("https://drive.google.com/file/d/17ADyFUYB6tNzN_jfzaQOFawFAon9aZZF/view?usp=drivesdk","194 &lt;NAMA LENGKAP&gt;&gt; _ SERTIFIKAT BIMTEK IPASN BerAKHLASK")</f>
        <v>194 &lt;NAMA LENGKAP&gt;&gt; _ SERTIFIKAT BIMTEK IPASN BerAKHLASK</v>
      </c>
      <c r="P195" s="5" t="s">
        <v>2031</v>
      </c>
      <c r="Q195" s="5" t="s">
        <v>2060</v>
      </c>
      <c r="R195" s="7" t="s">
        <v>2061</v>
      </c>
      <c r="S195" s="7" t="str">
        <f>HYPERLINK("https://drive.google.com/file/d/1zcImTz--f7R2xAcBkoDrV4apqhy-WUzJ/view?usp=drivesdk","194_SITI AENI NURLAMRIAH  SERTIFIKAT BIMTEK IPASN-BerAKHLAK")</f>
        <v>194_SITI AENI NURLAMRIAH  SERTIFIKAT BIMTEK IPASN-BerAKHLAK</v>
      </c>
      <c r="T195" s="5" t="s">
        <v>2062</v>
      </c>
    </row>
    <row r="196" hidden="1">
      <c r="A196" s="4">
        <v>45534.315728113426</v>
      </c>
      <c r="B196" s="5" t="s">
        <v>19</v>
      </c>
      <c r="C196" s="5" t="s">
        <v>442</v>
      </c>
      <c r="E196" s="5" t="s">
        <v>2063</v>
      </c>
      <c r="F196" s="5" t="s">
        <v>375</v>
      </c>
      <c r="G196" s="5" t="s">
        <v>2064</v>
      </c>
      <c r="H196" s="6" t="s">
        <v>2065</v>
      </c>
      <c r="I196" s="7" t="s">
        <v>2066</v>
      </c>
      <c r="J196" s="8" t="str">
        <f>HYPERLINK("https://drive.google.com/file/d/1c7guYdWd2zJAB_zuI3QTSnvJVCYl8bZk/view?usp=drivesdk","SITI BAENUR FITRY S.E., M.M SERTIFIKAT BerAKHLAK")</f>
        <v>SITI BAENUR FITRY S.E., M.M SERTIFIKAT BerAKHLAK</v>
      </c>
      <c r="K196" s="5" t="s">
        <v>1999</v>
      </c>
      <c r="L196" s="5" t="s">
        <v>2067</v>
      </c>
      <c r="M196" s="5" t="s">
        <v>2068</v>
      </c>
      <c r="N196" s="7" t="s">
        <v>2069</v>
      </c>
      <c r="O196" s="8" t="str">
        <f>HYPERLINK("https://drive.google.com/file/d/1zYILqAHJz3BHoD3ig01-T4T-DGH42xdW/view?usp=drivesdk","195 &lt;NAMA LENGKAP&gt;&gt; _ SERTIFIKAT BIMTEK IPASN BerAKHLASK")</f>
        <v>195 &lt;NAMA LENGKAP&gt;&gt; _ SERTIFIKAT BIMTEK IPASN BerAKHLASK</v>
      </c>
      <c r="P196" s="5" t="s">
        <v>2031</v>
      </c>
      <c r="Q196" s="5" t="s">
        <v>2070</v>
      </c>
      <c r="R196" s="7" t="s">
        <v>2071</v>
      </c>
      <c r="S196" s="7" t="str">
        <f>HYPERLINK("https://drive.google.com/file/d/1rEap2MDcX_TxWfgq7KERfWkQHG5eRs4R/view?usp=drivesdk","195_SITI BAENUR FITRY S.E., M.M SERTIFIKAT BIMTEK IPASN-BerAKHLAK")</f>
        <v>195_SITI BAENUR FITRY S.E., M.M SERTIFIKAT BIMTEK IPASN-BerAKHLAK</v>
      </c>
      <c r="T196" s="5" t="s">
        <v>2062</v>
      </c>
    </row>
    <row r="197">
      <c r="A197" s="4">
        <v>45534.31573184028</v>
      </c>
      <c r="B197" s="5" t="s">
        <v>34</v>
      </c>
      <c r="D197" s="5" t="s">
        <v>35</v>
      </c>
      <c r="E197" s="5" t="s">
        <v>2072</v>
      </c>
      <c r="F197" s="5" t="s">
        <v>108</v>
      </c>
      <c r="G197" s="5" t="s">
        <v>2073</v>
      </c>
      <c r="H197" s="6" t="s">
        <v>2074</v>
      </c>
      <c r="I197" s="7" t="s">
        <v>2075</v>
      </c>
      <c r="J197" s="8" t="str">
        <f>HYPERLINK("https://drive.google.com/file/d/1pRBfVpVOIXSN4xbledIH2KPmONGQLtDg/view?usp=drivesdk","EKA WAHYU WIJAYANTI, A.MD SERTIFIKAT BerAKHLAK")</f>
        <v>EKA WAHYU WIJAYANTI, A.MD SERTIFIKAT BerAKHLAK</v>
      </c>
      <c r="K197" s="5" t="s">
        <v>1999</v>
      </c>
      <c r="L197" s="5" t="s">
        <v>2076</v>
      </c>
      <c r="M197" s="5" t="s">
        <v>2077</v>
      </c>
      <c r="N197" s="7" t="s">
        <v>2078</v>
      </c>
      <c r="O197" s="8" t="str">
        <f>HYPERLINK("https://drive.google.com/file/d/1svZWISE59PlFsjTj5EslE76i-giixEVX/view?usp=drivesdk","196 &lt;NAMA LENGKAP&gt;&gt; _ SERTIFIKAT BIMTEK IPASN BerAKHLASK")</f>
        <v>196 &lt;NAMA LENGKAP&gt;&gt; _ SERTIFIKAT BIMTEK IPASN BerAKHLASK</v>
      </c>
      <c r="P197" s="5" t="s">
        <v>2079</v>
      </c>
      <c r="Q197" s="5" t="s">
        <v>2080</v>
      </c>
      <c r="R197" s="7" t="s">
        <v>2081</v>
      </c>
      <c r="S197" s="7" t="str">
        <f>HYPERLINK("https://drive.google.com/file/d/1chxpHTiIwb9AU_Hu_6YEJpTbygVHcKSd/view?usp=drivesdk","196_EKA WAHYU WIJAYANTI, A.MD SERTIFIKAT BIMTEK IPASN-BerAKHLAK")</f>
        <v>196_EKA WAHYU WIJAYANTI, A.MD SERTIFIKAT BIMTEK IPASN-BerAKHLAK</v>
      </c>
      <c r="T197" s="5" t="s">
        <v>2062</v>
      </c>
    </row>
    <row r="198">
      <c r="A198" s="4">
        <v>45534.3157321412</v>
      </c>
      <c r="B198" s="5" t="s">
        <v>34</v>
      </c>
      <c r="D198" s="5" t="s">
        <v>35</v>
      </c>
      <c r="E198" s="5" t="s">
        <v>2082</v>
      </c>
      <c r="F198" s="5" t="s">
        <v>37</v>
      </c>
      <c r="G198" s="5" t="s">
        <v>2083</v>
      </c>
      <c r="H198" s="6" t="s">
        <v>2084</v>
      </c>
      <c r="I198" s="7" t="s">
        <v>2085</v>
      </c>
      <c r="J198" s="8" t="str">
        <f>HYPERLINK("https://drive.google.com/file/d/1wwyBrAxW7s_Oyc-CYPX8cUCe60ov_0Yt/view?usp=drivesdk","ARINARAMDHANUARI, A.Md.Farm SERTIFIKAT BerAKHLAK")</f>
        <v>ARINARAMDHANUARI, A.Md.Farm SERTIFIKAT BerAKHLAK</v>
      </c>
      <c r="K198" s="5" t="s">
        <v>1999</v>
      </c>
      <c r="L198" s="5" t="s">
        <v>2086</v>
      </c>
      <c r="M198" s="5" t="s">
        <v>2087</v>
      </c>
      <c r="N198" s="7" t="s">
        <v>2088</v>
      </c>
      <c r="O198" s="8" t="str">
        <f>HYPERLINK("https://drive.google.com/file/d/1CdIs_BJDX58wPIOmobKDTpqckis9RgvU/view?usp=drivesdk","197 &lt;NAMA LENGKAP&gt;&gt; _ SERTIFIKAT BIMTEK IPASN BerAKHLASK")</f>
        <v>197 &lt;NAMA LENGKAP&gt;&gt; _ SERTIFIKAT BIMTEK IPASN BerAKHLASK</v>
      </c>
      <c r="P198" s="5" t="s">
        <v>2079</v>
      </c>
      <c r="Q198" s="5" t="s">
        <v>2089</v>
      </c>
      <c r="R198" s="7" t="s">
        <v>2090</v>
      </c>
      <c r="S198" s="7" t="str">
        <f>HYPERLINK("https://drive.google.com/file/d/1B39htzlU6-_BMaqQIUxxlrYuzgpeg2Vq/view?usp=drivesdk","197_ARINARAMDHANUARI, A.Md.Farm SERTIFIKAT BIMTEK IPASN-BerAKHLAK")</f>
        <v>197_ARINARAMDHANUARI, A.Md.Farm SERTIFIKAT BIMTEK IPASN-BerAKHLAK</v>
      </c>
      <c r="T198" s="5" t="s">
        <v>2062</v>
      </c>
    </row>
    <row r="199">
      <c r="A199" s="4">
        <v>45534.31573510417</v>
      </c>
      <c r="B199" s="5" t="s">
        <v>34</v>
      </c>
      <c r="D199" s="5" t="s">
        <v>996</v>
      </c>
      <c r="E199" s="5" t="s">
        <v>2091</v>
      </c>
      <c r="F199" s="5" t="s">
        <v>212</v>
      </c>
      <c r="G199" s="5" t="s">
        <v>2092</v>
      </c>
      <c r="H199" s="6" t="s">
        <v>2093</v>
      </c>
      <c r="I199" s="7" t="s">
        <v>2094</v>
      </c>
      <c r="J199" s="8" t="str">
        <f>HYPERLINK("https://drive.google.com/file/d/1qZL51--OvB0hgz1D0HArNYqWsF30nnQF/view?usp=drivesdk","SITI MARKAMAH  SERTIFIKAT BerAKHLAK")</f>
        <v>SITI MARKAMAH  SERTIFIKAT BerAKHLAK</v>
      </c>
      <c r="K199" s="5" t="s">
        <v>1999</v>
      </c>
      <c r="L199" s="5" t="s">
        <v>2095</v>
      </c>
      <c r="M199" s="5" t="s">
        <v>2096</v>
      </c>
      <c r="N199" s="7" t="s">
        <v>2097</v>
      </c>
      <c r="O199" s="8" t="str">
        <f>HYPERLINK("https://drive.google.com/file/d/1QJlw_oM4oZ7SzQXINyCKySwKV8-RA35L/view?usp=drivesdk","198 &lt;NAMA LENGKAP&gt;&gt; _ SERTIFIKAT BIMTEK IPASN BerAKHLASK")</f>
        <v>198 &lt;NAMA LENGKAP&gt;&gt; _ SERTIFIKAT BIMTEK IPASN BerAKHLASK</v>
      </c>
      <c r="P199" s="5" t="s">
        <v>2079</v>
      </c>
      <c r="Q199" s="5" t="s">
        <v>2098</v>
      </c>
      <c r="R199" s="7" t="s">
        <v>2099</v>
      </c>
      <c r="S199" s="7" t="str">
        <f>HYPERLINK("https://drive.google.com/file/d/1ZGe2fz7JP12er3e4UJQpkqIkJfmfvKCh/view?usp=drivesdk","198_SITI MARKAMAH  SERTIFIKAT BIMTEK IPASN-BerAKHLAK")</f>
        <v>198_SITI MARKAMAH  SERTIFIKAT BIMTEK IPASN-BerAKHLAK</v>
      </c>
      <c r="T199" s="5" t="s">
        <v>2062</v>
      </c>
    </row>
    <row r="200">
      <c r="A200" s="4">
        <v>45534.31575041667</v>
      </c>
      <c r="B200" s="5" t="s">
        <v>34</v>
      </c>
      <c r="D200" s="5" t="s">
        <v>996</v>
      </c>
      <c r="E200" s="5" t="s">
        <v>2100</v>
      </c>
      <c r="F200" s="5" t="s">
        <v>72</v>
      </c>
      <c r="G200" s="5" t="s">
        <v>2101</v>
      </c>
      <c r="H200" s="6" t="s">
        <v>2102</v>
      </c>
      <c r="I200" s="7" t="s">
        <v>2103</v>
      </c>
      <c r="J200" s="8" t="str">
        <f>HYPERLINK("https://drive.google.com/file/d/1lAjOLPvHfCXcWdCy71dbcE1WJF_Z5xje/view?usp=drivesdk","SIGIT DWIARSO, A.Md SERTIFIKAT BerAKHLAK")</f>
        <v>SIGIT DWIARSO, A.Md SERTIFIKAT BerAKHLAK</v>
      </c>
      <c r="K200" s="5" t="s">
        <v>1999</v>
      </c>
      <c r="L200" s="5" t="s">
        <v>2104</v>
      </c>
      <c r="M200" s="5" t="s">
        <v>2105</v>
      </c>
      <c r="N200" s="7" t="s">
        <v>2106</v>
      </c>
      <c r="O200" s="8" t="str">
        <f>HYPERLINK("https://drive.google.com/file/d/1BhelETrG9DLoySqWhSwO7NdGqYd-T-9r/view?usp=drivesdk","199 &lt;NAMA LENGKAP&gt;&gt; _ SERTIFIKAT BIMTEK IPASN BerAKHLASK")</f>
        <v>199 &lt;NAMA LENGKAP&gt;&gt; _ SERTIFIKAT BIMTEK IPASN BerAKHLASK</v>
      </c>
      <c r="P200" s="5" t="s">
        <v>2079</v>
      </c>
      <c r="Q200" s="5" t="s">
        <v>2107</v>
      </c>
      <c r="R200" s="7" t="s">
        <v>2108</v>
      </c>
      <c r="S200" s="7" t="str">
        <f>HYPERLINK("https://drive.google.com/file/d/1qR9ki5AyLXWsuNHhwkyYCZOEYbrZ3-lO/view?usp=drivesdk","199_SIGIT DWIARSO, A.Md SERTIFIKAT BIMTEK IPASN-BerAKHLAK")</f>
        <v>199_SIGIT DWIARSO, A.Md SERTIFIKAT BIMTEK IPASN-BerAKHLAK</v>
      </c>
      <c r="T200" s="5" t="s">
        <v>2062</v>
      </c>
    </row>
    <row r="201">
      <c r="A201" s="4">
        <v>45534.3157866088</v>
      </c>
      <c r="B201" s="5" t="s">
        <v>34</v>
      </c>
      <c r="D201" s="5" t="s">
        <v>580</v>
      </c>
      <c r="E201" s="5" t="s">
        <v>2109</v>
      </c>
      <c r="F201" s="5" t="s">
        <v>37</v>
      </c>
      <c r="G201" s="5" t="s">
        <v>2110</v>
      </c>
      <c r="H201" s="6" t="s">
        <v>2111</v>
      </c>
      <c r="I201" s="7" t="s">
        <v>2112</v>
      </c>
      <c r="J201" s="8" t="str">
        <f>HYPERLINK("https://drive.google.com/file/d/1sVxUzl4ygU1huJ42sdrXQxVAyaKjTyN8/view?usp=drivesdk","LUH PUTU PRATIWI WULANSARI SERTIFIKAT BerAKHLAK")</f>
        <v>LUH PUTU PRATIWI WULANSARI SERTIFIKAT BerAKHLAK</v>
      </c>
      <c r="K201" s="5" t="s">
        <v>1773</v>
      </c>
      <c r="L201" s="5" t="s">
        <v>2113</v>
      </c>
      <c r="M201" s="5" t="s">
        <v>2114</v>
      </c>
      <c r="N201" s="7" t="s">
        <v>2115</v>
      </c>
      <c r="O201" s="8" t="str">
        <f>HYPERLINK("https://drive.google.com/file/d/1i4GMz8iHFNBtssJ8UMd_xlLGPNAr1IEC/view?usp=drivesdk","200 &lt;NAMA LENGKAP&gt;&gt; _ SERTIFIKAT BIMTEK IPASN BerAKHLASK")</f>
        <v>200 &lt;NAMA LENGKAP&gt;&gt; _ SERTIFIKAT BIMTEK IPASN BerAKHLASK</v>
      </c>
      <c r="P201" s="5" t="s">
        <v>2079</v>
      </c>
      <c r="Q201" s="5" t="s">
        <v>2116</v>
      </c>
      <c r="R201" s="7" t="s">
        <v>2117</v>
      </c>
      <c r="S201" s="7" t="str">
        <f>HYPERLINK("https://drive.google.com/file/d/16s-iYU8JywLFrCbFXXZT3QPZQMdQpSb2/view?usp=drivesdk","200_LUH PUTU PRATIWI WULANSARI SERTIFIKAT BIMTEK IPASN-BerAKHLAK")</f>
        <v>200_LUH PUTU PRATIWI WULANSARI SERTIFIKAT BIMTEK IPASN-BerAKHLAK</v>
      </c>
      <c r="T201" s="5" t="s">
        <v>2118</v>
      </c>
    </row>
    <row r="202">
      <c r="A202" s="4">
        <v>45534.315807465275</v>
      </c>
      <c r="B202" s="5" t="s">
        <v>34</v>
      </c>
      <c r="D202" s="5" t="s">
        <v>35</v>
      </c>
      <c r="E202" s="5" t="s">
        <v>2119</v>
      </c>
      <c r="F202" s="5" t="s">
        <v>108</v>
      </c>
      <c r="G202" s="5" t="s">
        <v>2120</v>
      </c>
      <c r="H202" s="6" t="s">
        <v>2121</v>
      </c>
      <c r="I202" s="7" t="s">
        <v>2122</v>
      </c>
      <c r="J202" s="8" t="str">
        <f>HYPERLINK("https://drive.google.com/file/d/1KBn_3DsvWTtXGcPaYk_0n1ZMYCp126jl/view?usp=drivesdk","ANNE AGUSTINA SERTIFIKAT BerAKHLAK")</f>
        <v>ANNE AGUSTINA SERTIFIKAT BerAKHLAK</v>
      </c>
      <c r="K202" s="5" t="s">
        <v>1999</v>
      </c>
      <c r="L202" s="5" t="s">
        <v>2123</v>
      </c>
      <c r="M202" s="5" t="s">
        <v>2124</v>
      </c>
      <c r="N202" s="7" t="s">
        <v>2125</v>
      </c>
      <c r="O202" s="8" t="str">
        <f>HYPERLINK("https://drive.google.com/file/d/1t6xCnlr-SStMrtoDFruDcNrtfCo7cxTp/view?usp=drivesdk","201 &lt;NAMA LENGKAP&gt;&gt; _ SERTIFIKAT BIMTEK IPASN BerAKHLASK")</f>
        <v>201 &lt;NAMA LENGKAP&gt;&gt; _ SERTIFIKAT BIMTEK IPASN BerAKHLASK</v>
      </c>
      <c r="P202" s="5" t="s">
        <v>2126</v>
      </c>
      <c r="Q202" s="5" t="s">
        <v>2127</v>
      </c>
      <c r="R202" s="7" t="s">
        <v>2128</v>
      </c>
      <c r="S202" s="7" t="str">
        <f>HYPERLINK("https://drive.google.com/file/d/1dl-5qNPwqza4rc-soWDJ4l9saaC2QwRz/view?usp=drivesdk","201_ANNE AGUSTINA SERTIFIKAT BIMTEK IPASN-BerAKHLAK")</f>
        <v>201_ANNE AGUSTINA SERTIFIKAT BIMTEK IPASN-BerAKHLAK</v>
      </c>
      <c r="T202" s="5" t="s">
        <v>2118</v>
      </c>
    </row>
    <row r="203">
      <c r="A203" s="4">
        <v>45534.31581621528</v>
      </c>
      <c r="B203" s="5" t="s">
        <v>34</v>
      </c>
      <c r="D203" s="5" t="s">
        <v>522</v>
      </c>
      <c r="E203" s="5" t="s">
        <v>2129</v>
      </c>
      <c r="F203" s="5" t="s">
        <v>37</v>
      </c>
      <c r="G203" s="5" t="s">
        <v>2130</v>
      </c>
      <c r="H203" s="6" t="s">
        <v>2131</v>
      </c>
      <c r="I203" s="7" t="s">
        <v>2132</v>
      </c>
      <c r="J203" s="8" t="str">
        <f>HYPERLINK("https://drive.google.com/file/d/1hBtsmjCy-DGRUG2Mo4QcOtS1LAd6-0CD/view?usp=drivesdk","SITI AMINAH HADIYANTI, A.Md.Per. SERTIFIKAT BerAKHLAK")</f>
        <v>SITI AMINAH HADIYANTI, A.Md.Per. SERTIFIKAT BerAKHLAK</v>
      </c>
      <c r="K203" s="5" t="s">
        <v>1999</v>
      </c>
      <c r="L203" s="5" t="s">
        <v>2133</v>
      </c>
      <c r="M203" s="5" t="s">
        <v>2134</v>
      </c>
      <c r="N203" s="7" t="s">
        <v>2135</v>
      </c>
      <c r="O203" s="8" t="str">
        <f>HYPERLINK("https://drive.google.com/file/d/1BA8_KmwUC_eI1GRloiycYLJWA8XaTTCs/view?usp=drivesdk","202 &lt;NAMA LENGKAP&gt;&gt; _ SERTIFIKAT BIMTEK IPASN BerAKHLASK")</f>
        <v>202 &lt;NAMA LENGKAP&gt;&gt; _ SERTIFIKAT BIMTEK IPASN BerAKHLASK</v>
      </c>
      <c r="P203" s="5" t="s">
        <v>2126</v>
      </c>
      <c r="Q203" s="5" t="s">
        <v>2136</v>
      </c>
      <c r="R203" s="7" t="s">
        <v>2137</v>
      </c>
      <c r="S203" s="7" t="str">
        <f>HYPERLINK("https://drive.google.com/file/d/1kpxQQXbRKiQtCXn_o4180mJSR38yyOuK/view?usp=drivesdk","202_SITI AMINAH HADIYANTI, A.Md.Per. SERTIFIKAT BIMTEK IPASN-BerAKHLAK")</f>
        <v>202_SITI AMINAH HADIYANTI, A.Md.Per. SERTIFIKAT BIMTEK IPASN-BerAKHLAK</v>
      </c>
      <c r="T203" s="5" t="s">
        <v>2118</v>
      </c>
    </row>
    <row r="204">
      <c r="A204" s="4">
        <v>45534.31581659723</v>
      </c>
      <c r="B204" s="5" t="s">
        <v>34</v>
      </c>
      <c r="D204" s="5" t="s">
        <v>1768</v>
      </c>
      <c r="E204" s="5" t="s">
        <v>2138</v>
      </c>
      <c r="F204" s="5" t="s">
        <v>212</v>
      </c>
      <c r="G204" s="5" t="s">
        <v>2139</v>
      </c>
      <c r="H204" s="6" t="s">
        <v>2140</v>
      </c>
      <c r="I204" s="7" t="s">
        <v>2141</v>
      </c>
      <c r="J204" s="8" t="str">
        <f>HYPERLINK("https://drive.google.com/file/d/1IR7lAI45-zX-vv7fh5rRtmz_5WkRBw0a/view?usp=drivesdk","ENDAH SUGIHANDANi PUTRI SERTIFIKAT BerAKHLAK")</f>
        <v>ENDAH SUGIHANDANi PUTRI SERTIFIKAT BerAKHLAK</v>
      </c>
      <c r="K204" s="5" t="s">
        <v>1999</v>
      </c>
      <c r="L204" s="5" t="s">
        <v>2142</v>
      </c>
      <c r="M204" s="5" t="s">
        <v>2143</v>
      </c>
      <c r="N204" s="7" t="s">
        <v>2144</v>
      </c>
      <c r="O204" s="8" t="str">
        <f>HYPERLINK("https://drive.google.com/file/d/1tK6acEBWjxfPjp9JMwg0LsLZmJ9Se2Pt/view?usp=drivesdk","203 &lt;NAMA LENGKAP&gt;&gt; _ SERTIFIKAT BIMTEK IPASN BerAKHLASK")</f>
        <v>203 &lt;NAMA LENGKAP&gt;&gt; _ SERTIFIKAT BIMTEK IPASN BerAKHLASK</v>
      </c>
      <c r="P204" s="5" t="s">
        <v>2126</v>
      </c>
      <c r="Q204" s="5" t="s">
        <v>2145</v>
      </c>
      <c r="R204" s="7" t="s">
        <v>2146</v>
      </c>
      <c r="S204" s="7" t="str">
        <f>HYPERLINK("https://drive.google.com/file/d/1NCiCDcseGEYJhhISAK3j68mHH4w-Reho/view?usp=drivesdk","203_ENDAH SUGIHANDANi PUTRI SERTIFIKAT BIMTEK IPASN-BerAKHLAK")</f>
        <v>203_ENDAH SUGIHANDANi PUTRI SERTIFIKAT BIMTEK IPASN-BerAKHLAK</v>
      </c>
      <c r="T204" s="5" t="s">
        <v>2118</v>
      </c>
    </row>
    <row r="205">
      <c r="A205" s="4">
        <v>45534.31582916666</v>
      </c>
      <c r="B205" s="5" t="s">
        <v>34</v>
      </c>
      <c r="D205" s="5" t="s">
        <v>1768</v>
      </c>
      <c r="E205" s="5" t="s">
        <v>2147</v>
      </c>
      <c r="F205" s="5" t="s">
        <v>108</v>
      </c>
      <c r="G205" s="5" t="s">
        <v>2148</v>
      </c>
      <c r="H205" s="6" t="s">
        <v>2149</v>
      </c>
      <c r="I205" s="7" t="s">
        <v>2150</v>
      </c>
      <c r="J205" s="8" t="str">
        <f>HYPERLINK("https://drive.google.com/file/d/1TlILU_WTT4W_RCXYx_cYmwzPOuNFv0u8/view?usp=drivesdk","RAME HUTAGAOL SERTIFIKAT BerAKHLAK")</f>
        <v>RAME HUTAGAOL SERTIFIKAT BerAKHLAK</v>
      </c>
      <c r="K205" s="5" t="s">
        <v>1999</v>
      </c>
      <c r="L205" s="5" t="s">
        <v>2151</v>
      </c>
      <c r="M205" s="5" t="s">
        <v>2152</v>
      </c>
      <c r="N205" s="7" t="s">
        <v>2153</v>
      </c>
      <c r="O205" s="8" t="str">
        <f>HYPERLINK("https://drive.google.com/file/d/1valH_d2l2fVfXTubiolIksjBQDpMI1AY/view?usp=drivesdk","204 &lt;NAMA LENGKAP&gt;&gt; _ SERTIFIKAT BIMTEK IPASN BerAKHLASK")</f>
        <v>204 &lt;NAMA LENGKAP&gt;&gt; _ SERTIFIKAT BIMTEK IPASN BerAKHLASK</v>
      </c>
      <c r="P205" s="5" t="s">
        <v>2126</v>
      </c>
      <c r="Q205" s="5" t="s">
        <v>2154</v>
      </c>
      <c r="R205" s="7" t="s">
        <v>2155</v>
      </c>
      <c r="S205" s="7" t="str">
        <f>HYPERLINK("https://drive.google.com/file/d/1pPqe00do0PNhJXCP5OecY3c5kyyfYaX9/view?usp=drivesdk","204_RAME HUTAGAOL SERTIFIKAT BIMTEK IPASN-BerAKHLAK")</f>
        <v>204_RAME HUTAGAOL SERTIFIKAT BIMTEK IPASN-BerAKHLAK</v>
      </c>
      <c r="T205" s="5" t="s">
        <v>2118</v>
      </c>
    </row>
    <row r="206">
      <c r="A206" s="4">
        <v>45534.315830625</v>
      </c>
      <c r="B206" s="5" t="s">
        <v>34</v>
      </c>
      <c r="D206" s="5" t="s">
        <v>580</v>
      </c>
      <c r="E206" s="5" t="s">
        <v>2156</v>
      </c>
      <c r="F206" s="5" t="s">
        <v>108</v>
      </c>
      <c r="G206" s="5" t="s">
        <v>2157</v>
      </c>
      <c r="H206" s="6" t="s">
        <v>2158</v>
      </c>
      <c r="I206" s="7" t="s">
        <v>2159</v>
      </c>
      <c r="J206" s="8" t="str">
        <f>HYPERLINK("https://drive.google.com/file/d/182tWZTjSXrJ3kXkAZBK68ZWLyyzOOBTB/view?usp=drivesdk","NI WAYAN SUKAMIATI SERTIFIKAT BerAKHLAK")</f>
        <v>NI WAYAN SUKAMIATI SERTIFIKAT BerAKHLAK</v>
      </c>
      <c r="K206" s="5" t="s">
        <v>1999</v>
      </c>
      <c r="L206" s="5" t="s">
        <v>2160</v>
      </c>
      <c r="M206" s="5" t="s">
        <v>2161</v>
      </c>
      <c r="N206" s="7" t="s">
        <v>2162</v>
      </c>
      <c r="O206" s="8" t="str">
        <f>HYPERLINK("https://drive.google.com/file/d/1pJVlO_hX2_PFcZDQMXgU2-gWg4ehu_xh/view?usp=drivesdk","205 &lt;NAMA LENGKAP&gt;&gt; _ SERTIFIKAT BIMTEK IPASN BerAKHLASK")</f>
        <v>205 &lt;NAMA LENGKAP&gt;&gt; _ SERTIFIKAT BIMTEK IPASN BerAKHLASK</v>
      </c>
      <c r="P206" s="5" t="s">
        <v>2126</v>
      </c>
      <c r="Q206" s="5" t="s">
        <v>2163</v>
      </c>
      <c r="R206" s="7" t="s">
        <v>2164</v>
      </c>
      <c r="S206" s="7" t="str">
        <f>HYPERLINK("https://drive.google.com/file/d/1avIRgsVcAX3fh6iROvBFCN12Ba2GHZLA/view?usp=drivesdk","205_NI WAYAN SUKAMIATI SERTIFIKAT BIMTEK IPASN-BerAKHLAK")</f>
        <v>205_NI WAYAN SUKAMIATI SERTIFIKAT BIMTEK IPASN-BerAKHLAK</v>
      </c>
      <c r="T206" s="5" t="s">
        <v>2165</v>
      </c>
    </row>
    <row r="207">
      <c r="A207" s="4">
        <v>45534.315834340276</v>
      </c>
      <c r="B207" s="5" t="s">
        <v>34</v>
      </c>
      <c r="D207" s="5" t="s">
        <v>975</v>
      </c>
      <c r="E207" s="5" t="s">
        <v>2166</v>
      </c>
      <c r="F207" s="5" t="s">
        <v>212</v>
      </c>
      <c r="G207" s="5" t="s">
        <v>2167</v>
      </c>
      <c r="H207" s="6" t="s">
        <v>2168</v>
      </c>
      <c r="I207" s="7" t="s">
        <v>2169</v>
      </c>
      <c r="J207" s="8" t="str">
        <f>HYPERLINK("https://drive.google.com/file/d/1HaHalE_MdnuIIBFP1IU2msSYbJiixaFM/view?usp=drivesdk","NUSA INDRA MUKTHI WIBAWA SERTIFIKAT BerAKHLAK")</f>
        <v>NUSA INDRA MUKTHI WIBAWA SERTIFIKAT BerAKHLAK</v>
      </c>
      <c r="K207" s="5" t="s">
        <v>1999</v>
      </c>
      <c r="L207" s="5" t="s">
        <v>2170</v>
      </c>
      <c r="M207" s="5" t="s">
        <v>2171</v>
      </c>
      <c r="N207" s="7" t="s">
        <v>2172</v>
      </c>
      <c r="O207" s="8" t="str">
        <f>HYPERLINK("https://drive.google.com/file/d/13I990ve3cMs-f0z5fUa0katqmmIdRFCW/view?usp=drivesdk","206 &lt;NAMA LENGKAP&gt;&gt; _ SERTIFIKAT BIMTEK IPASN BerAKHLASK")</f>
        <v>206 &lt;NAMA LENGKAP&gt;&gt; _ SERTIFIKAT BIMTEK IPASN BerAKHLASK</v>
      </c>
      <c r="P207" s="5" t="s">
        <v>2126</v>
      </c>
      <c r="Q207" s="5" t="s">
        <v>2173</v>
      </c>
      <c r="R207" s="7" t="s">
        <v>2174</v>
      </c>
      <c r="S207" s="7" t="str">
        <f>HYPERLINK("https://drive.google.com/file/d/1LqXtiHiPfjZoKI9MjvDZ-JFhtjJmQYTt/view?usp=drivesdk","206_NUSA INDRA MUKTHI WIBAWA SERTIFIKAT BIMTEK IPASN-BerAKHLAK")</f>
        <v>206_NUSA INDRA MUKTHI WIBAWA SERTIFIKAT BIMTEK IPASN-BerAKHLAK</v>
      </c>
      <c r="T207" s="5" t="s">
        <v>2165</v>
      </c>
    </row>
    <row r="208">
      <c r="A208" s="4">
        <v>45534.31584081019</v>
      </c>
      <c r="B208" s="5" t="s">
        <v>34</v>
      </c>
      <c r="D208" s="5" t="s">
        <v>35</v>
      </c>
      <c r="E208" s="5" t="s">
        <v>2175</v>
      </c>
      <c r="F208" s="5" t="s">
        <v>37</v>
      </c>
      <c r="G208" s="5" t="s">
        <v>2176</v>
      </c>
      <c r="H208" s="6" t="s">
        <v>2177</v>
      </c>
      <c r="I208" s="7" t="s">
        <v>2178</v>
      </c>
      <c r="J208" s="8" t="str">
        <f>HYPERLINK("https://drive.google.com/file/d/1tZbxzTO4rVp8gunSahSG5aXC_rGAHuRW/view?usp=drivesdk","ATING HERNAWATI SERTIFIKAT BerAKHLAK")</f>
        <v>ATING HERNAWATI SERTIFIKAT BerAKHLAK</v>
      </c>
      <c r="K208" s="5" t="s">
        <v>1999</v>
      </c>
      <c r="L208" s="5" t="s">
        <v>2179</v>
      </c>
      <c r="M208" s="5" t="s">
        <v>2180</v>
      </c>
      <c r="N208" s="7" t="s">
        <v>2181</v>
      </c>
      <c r="O208" s="8" t="str">
        <f>HYPERLINK("https://drive.google.com/file/d/1QtXTs92-xSn0ndb5Qd8ezQvJiiAhz_1f/view?usp=drivesdk","207 &lt;NAMA LENGKAP&gt;&gt; _ SERTIFIKAT BIMTEK IPASN BerAKHLASK")</f>
        <v>207 &lt;NAMA LENGKAP&gt;&gt; _ SERTIFIKAT BIMTEK IPASN BerAKHLASK</v>
      </c>
      <c r="P208" s="5" t="s">
        <v>2182</v>
      </c>
      <c r="Q208" s="5" t="s">
        <v>2183</v>
      </c>
      <c r="R208" s="7" t="s">
        <v>2184</v>
      </c>
      <c r="S208" s="7" t="str">
        <f>HYPERLINK("https://drive.google.com/file/d/1kW9uB8B0ZEbfqUgYfSwFU97ZsPjAEv2T/view?usp=drivesdk","207_ATING HERNAWATI SERTIFIKAT BIMTEK IPASN-BerAKHLAK")</f>
        <v>207_ATING HERNAWATI SERTIFIKAT BIMTEK IPASN-BerAKHLAK</v>
      </c>
      <c r="T208" s="5" t="s">
        <v>2165</v>
      </c>
    </row>
    <row r="209">
      <c r="A209" s="4">
        <v>45534.31587019676</v>
      </c>
      <c r="B209" s="5" t="s">
        <v>34</v>
      </c>
      <c r="D209" s="5" t="s">
        <v>35</v>
      </c>
      <c r="E209" s="5" t="s">
        <v>2185</v>
      </c>
      <c r="F209" s="5" t="s">
        <v>37</v>
      </c>
      <c r="G209" s="5" t="s">
        <v>2186</v>
      </c>
      <c r="H209" s="6" t="s">
        <v>2187</v>
      </c>
      <c r="I209" s="7" t="s">
        <v>2188</v>
      </c>
      <c r="J209" s="8" t="str">
        <f>HYPERLINK("https://drive.google.com/file/d/1c70KpjSgSib1ZKrETll80yHthNicT54t/view?usp=drivesdk","DEDI SOEKENDAR SERTIFIKAT BerAKHLAK")</f>
        <v>DEDI SOEKENDAR SERTIFIKAT BerAKHLAK</v>
      </c>
      <c r="K209" s="5" t="s">
        <v>1999</v>
      </c>
      <c r="L209" s="5" t="s">
        <v>2189</v>
      </c>
      <c r="M209" s="5" t="s">
        <v>2190</v>
      </c>
      <c r="N209" s="7" t="s">
        <v>2191</v>
      </c>
      <c r="O209" s="8" t="str">
        <f>HYPERLINK("https://drive.google.com/file/d/1iIZGD_f4Lto4JOGeANBJdNIDhHObBUx-/view?usp=drivesdk","208 &lt;NAMA LENGKAP&gt;&gt; _ SERTIFIKAT BIMTEK IPASN BerAKHLASK")</f>
        <v>208 &lt;NAMA LENGKAP&gt;&gt; _ SERTIFIKAT BIMTEK IPASN BerAKHLASK</v>
      </c>
      <c r="P209" s="5" t="s">
        <v>2182</v>
      </c>
      <c r="Q209" s="5" t="s">
        <v>2192</v>
      </c>
      <c r="R209" s="7" t="s">
        <v>2193</v>
      </c>
      <c r="S209" s="7" t="str">
        <f>HYPERLINK("https://drive.google.com/file/d/1kWSApWe0BAELlD3qFx5nfkfTGfF4pT03/view?usp=drivesdk","208_DEDI SOEKENDAR SERTIFIKAT BIMTEK IPASN-BerAKHLAK")</f>
        <v>208_DEDI SOEKENDAR SERTIFIKAT BIMTEK IPASN-BerAKHLAK</v>
      </c>
      <c r="T209" s="5" t="s">
        <v>2165</v>
      </c>
    </row>
    <row r="210" hidden="1">
      <c r="A210" s="4">
        <v>45534.315921747686</v>
      </c>
      <c r="B210" s="5" t="s">
        <v>19</v>
      </c>
      <c r="C210" s="5" t="s">
        <v>292</v>
      </c>
      <c r="E210" s="5" t="s">
        <v>2194</v>
      </c>
      <c r="F210" s="5" t="s">
        <v>37</v>
      </c>
      <c r="G210" s="5" t="s">
        <v>2195</v>
      </c>
      <c r="H210" s="6" t="s">
        <v>2196</v>
      </c>
      <c r="I210" s="7" t="s">
        <v>2197</v>
      </c>
      <c r="J210" s="8" t="str">
        <f>HYPERLINK("https://drive.google.com/file/d/1vzbSvQvxkt33GqbyJmJyzrsnEGeZe7wF/view?usp=drivesdk","FITRIA ROZA ANDITA, A.Md.Gz SERTIFIKAT BerAKHLAK")</f>
        <v>FITRIA ROZA ANDITA, A.Md.Gz SERTIFIKAT BerAKHLAK</v>
      </c>
      <c r="K210" s="5" t="s">
        <v>1999</v>
      </c>
      <c r="L210" s="5" t="s">
        <v>2198</v>
      </c>
      <c r="M210" s="5" t="s">
        <v>2199</v>
      </c>
      <c r="N210" s="7" t="s">
        <v>2200</v>
      </c>
      <c r="O210" s="8" t="str">
        <f>HYPERLINK("https://drive.google.com/file/d/1HbDcO1gTjkF56ubqqTErM9B6ePC8hOaZ/view?usp=drivesdk","209 &lt;NAMA LENGKAP&gt;&gt; _ SERTIFIKAT BIMTEK IPASN BerAKHLASK")</f>
        <v>209 &lt;NAMA LENGKAP&gt;&gt; _ SERTIFIKAT BIMTEK IPASN BerAKHLASK</v>
      </c>
      <c r="P210" s="5" t="s">
        <v>2182</v>
      </c>
      <c r="Q210" s="5" t="s">
        <v>2201</v>
      </c>
      <c r="R210" s="7" t="s">
        <v>2202</v>
      </c>
      <c r="S210" s="7" t="str">
        <f>HYPERLINK("https://drive.google.com/file/d/1jE6y5WHCiTqaLSLY2ISohP9l6jPHZo92/view?usp=drivesdk","209_FITRIA ROZA ANDITA, A.Md.Gz SERTIFIKAT BIMTEK IPASN-BerAKHLAK")</f>
        <v>209_FITRIA ROZA ANDITA, A.Md.Gz SERTIFIKAT BIMTEK IPASN-BerAKHLAK</v>
      </c>
      <c r="T210" s="5" t="s">
        <v>2165</v>
      </c>
    </row>
    <row r="211" hidden="1">
      <c r="A211" s="4">
        <v>45534.315929895834</v>
      </c>
      <c r="B211" s="5" t="s">
        <v>19</v>
      </c>
      <c r="C211" s="5" t="s">
        <v>292</v>
      </c>
      <c r="E211" s="5" t="s">
        <v>2203</v>
      </c>
      <c r="F211" s="5" t="s">
        <v>524</v>
      </c>
      <c r="G211" s="5" t="s">
        <v>2204</v>
      </c>
      <c r="H211" s="6" t="s">
        <v>2205</v>
      </c>
      <c r="I211" s="7" t="s">
        <v>2206</v>
      </c>
      <c r="J211" s="8" t="str">
        <f>HYPERLINK("https://drive.google.com/file/d/1DS2paSp2nMfaedruPxDVo09gnqZT6pQO/view?usp=drivesdk","ERIK RESMANA SPD SERTIFIKAT BerAKHLAK")</f>
        <v>ERIK RESMANA SPD SERTIFIKAT BerAKHLAK</v>
      </c>
      <c r="K211" s="5" t="s">
        <v>1999</v>
      </c>
      <c r="L211" s="5" t="s">
        <v>2207</v>
      </c>
      <c r="M211" s="5" t="s">
        <v>2208</v>
      </c>
      <c r="N211" s="7" t="s">
        <v>2209</v>
      </c>
      <c r="O211" s="8" t="str">
        <f>HYPERLINK("https://drive.google.com/file/d/1zQgYbVsLwjqyhwPAvusKcqP_ro7epyog/view?usp=drivesdk","210 &lt;NAMA LENGKAP&gt;&gt; _ SERTIFIKAT BIMTEK IPASN BerAKHLASK")</f>
        <v>210 &lt;NAMA LENGKAP&gt;&gt; _ SERTIFIKAT BIMTEK IPASN BerAKHLASK</v>
      </c>
      <c r="P211" s="5" t="s">
        <v>2182</v>
      </c>
      <c r="Q211" s="5" t="s">
        <v>2210</v>
      </c>
      <c r="R211" s="7" t="s">
        <v>2211</v>
      </c>
      <c r="S211" s="7" t="str">
        <f>HYPERLINK("https://drive.google.com/file/d/1dUclqEfpD9Oo45rVBVUIsGS0TYa7bCfd/view?usp=drivesdk","210_ERIK RESMANA SPD SERTIFIKAT BIMTEK IPASN-BerAKHLAK")</f>
        <v>210_ERIK RESMANA SPD SERTIFIKAT BIMTEK IPASN-BerAKHLAK</v>
      </c>
      <c r="T211" s="5" t="s">
        <v>2165</v>
      </c>
    </row>
    <row r="212">
      <c r="A212" s="4">
        <v>45534.316041157406</v>
      </c>
      <c r="B212" s="5" t="s">
        <v>34</v>
      </c>
      <c r="D212" s="5" t="s">
        <v>35</v>
      </c>
      <c r="E212" s="5" t="s">
        <v>2212</v>
      </c>
      <c r="F212" s="5" t="s">
        <v>37</v>
      </c>
      <c r="G212" s="5" t="s">
        <v>2213</v>
      </c>
      <c r="H212" s="6" t="s">
        <v>2214</v>
      </c>
      <c r="I212" s="7" t="s">
        <v>2215</v>
      </c>
      <c r="J212" s="8" t="str">
        <f>HYPERLINK("https://drive.google.com/file/d/1F0i0KY65opG9MvRktXj9sx3i7oqZ-GMu/view?usp=drivesdk","CUCU WIDIANINGSIH SERTIFIKAT BerAKHLAK")</f>
        <v>CUCU WIDIANINGSIH SERTIFIKAT BerAKHLAK</v>
      </c>
      <c r="K212" s="5" t="s">
        <v>1999</v>
      </c>
      <c r="L212" s="5" t="s">
        <v>2216</v>
      </c>
      <c r="M212" s="5" t="s">
        <v>2217</v>
      </c>
      <c r="N212" s="7" t="s">
        <v>2218</v>
      </c>
      <c r="O212" s="8" t="str">
        <f>HYPERLINK("https://drive.google.com/file/d/1_mBoJ9GSOUts4Is_3CEMnPp6_htza-8T/view?usp=drivesdk","211 &lt;NAMA LENGKAP&gt;&gt; _ SERTIFIKAT BIMTEK IPASN BerAKHLASK")</f>
        <v>211 &lt;NAMA LENGKAP&gt;&gt; _ SERTIFIKAT BIMTEK IPASN BerAKHLASK</v>
      </c>
      <c r="P212" s="5" t="s">
        <v>2182</v>
      </c>
      <c r="Q212" s="5" t="s">
        <v>2219</v>
      </c>
      <c r="R212" s="7" t="s">
        <v>2220</v>
      </c>
      <c r="S212" s="7" t="str">
        <f>HYPERLINK("https://drive.google.com/file/d/1dZTCWnCk4TlWDVLGx-FEKx6QA3iT8MaP/view?usp=drivesdk","211_CUCU WIDIANINGSIH SERTIFIKAT BIMTEK IPASN-BerAKHLAK")</f>
        <v>211_CUCU WIDIANINGSIH SERTIFIKAT BIMTEK IPASN-BerAKHLAK</v>
      </c>
      <c r="T212" s="5" t="s">
        <v>2221</v>
      </c>
    </row>
    <row r="213">
      <c r="A213" s="4">
        <v>45534.31604607639</v>
      </c>
      <c r="B213" s="5" t="s">
        <v>34</v>
      </c>
      <c r="D213" s="5" t="s">
        <v>35</v>
      </c>
      <c r="E213" s="5" t="s">
        <v>2222</v>
      </c>
      <c r="F213" s="5" t="s">
        <v>375</v>
      </c>
      <c r="G213" s="5" t="s">
        <v>2223</v>
      </c>
      <c r="H213" s="6" t="s">
        <v>2224</v>
      </c>
      <c r="I213" s="7" t="s">
        <v>2225</v>
      </c>
      <c r="J213" s="8" t="str">
        <f>HYPERLINK("https://drive.google.com/file/d/13FcovMVM8W3eBFSynHxcWEgHKxN6QEXw/view?usp=drivesdk","RENI SEPTRONELA, S.E. SERTIFIKAT BerAKHLAK")</f>
        <v>RENI SEPTRONELA, S.E. SERTIFIKAT BerAKHLAK</v>
      </c>
      <c r="K213" s="5" t="s">
        <v>1999</v>
      </c>
      <c r="L213" s="5" t="s">
        <v>2226</v>
      </c>
      <c r="M213" s="5" t="s">
        <v>2227</v>
      </c>
      <c r="N213" s="7" t="s">
        <v>2228</v>
      </c>
      <c r="O213" s="8" t="str">
        <f>HYPERLINK("https://drive.google.com/file/d/1vvdkQU5BiO8b7OpMwkNLn1vT2lejvX9a/view?usp=drivesdk","212 &lt;NAMA LENGKAP&gt;&gt; _ SERTIFIKAT BIMTEK IPASN BerAKHLASK")</f>
        <v>212 &lt;NAMA LENGKAP&gt;&gt; _ SERTIFIKAT BIMTEK IPASN BerAKHLASK</v>
      </c>
      <c r="P213" s="5" t="s">
        <v>2182</v>
      </c>
      <c r="Q213" s="5" t="s">
        <v>2229</v>
      </c>
      <c r="R213" s="7" t="s">
        <v>2230</v>
      </c>
      <c r="S213" s="7" t="str">
        <f>HYPERLINK("https://drive.google.com/file/d/1gn7Z0xQdiqHHRQJj9eNl44SdN5qJZc6T/view?usp=drivesdk","212_RENI SEPTRONELA, S.E. SERTIFIKAT BIMTEK IPASN-BerAKHLAK")</f>
        <v>212_RENI SEPTRONELA, S.E. SERTIFIKAT BIMTEK IPASN-BerAKHLAK</v>
      </c>
      <c r="T213" s="5" t="s">
        <v>2221</v>
      </c>
    </row>
    <row r="214">
      <c r="A214" s="4">
        <v>45534.31605260417</v>
      </c>
      <c r="B214" s="5" t="s">
        <v>34</v>
      </c>
      <c r="D214" s="5" t="s">
        <v>35</v>
      </c>
      <c r="E214" s="5" t="s">
        <v>2231</v>
      </c>
      <c r="F214" s="5" t="s">
        <v>37</v>
      </c>
      <c r="G214" s="5" t="s">
        <v>2232</v>
      </c>
      <c r="H214" s="6" t="s">
        <v>2233</v>
      </c>
      <c r="I214" s="7" t="s">
        <v>2234</v>
      </c>
      <c r="J214" s="8" t="str">
        <f>HYPERLINK("https://drive.google.com/file/d/1o6olAjPmgTdhQceX--x_BYQAva3C_BSI/view?usp=drivesdk","LETTI KUSMAYANTI SERTIFIKAT BerAKHLAK")</f>
        <v>LETTI KUSMAYANTI SERTIFIKAT BerAKHLAK</v>
      </c>
      <c r="K214" s="5" t="s">
        <v>1999</v>
      </c>
      <c r="L214" s="5" t="s">
        <v>2235</v>
      </c>
      <c r="M214" s="5" t="s">
        <v>2236</v>
      </c>
      <c r="N214" s="7" t="s">
        <v>2237</v>
      </c>
      <c r="O214" s="8" t="str">
        <f>HYPERLINK("https://drive.google.com/file/d/1B45uT530vX7gTFZ6Fh5GUBngFe5NPQLc/view?usp=drivesdk","213 &lt;NAMA LENGKAP&gt;&gt; _ SERTIFIKAT BIMTEK IPASN BerAKHLASK")</f>
        <v>213 &lt;NAMA LENGKAP&gt;&gt; _ SERTIFIKAT BIMTEK IPASN BerAKHLASK</v>
      </c>
      <c r="P214" s="5" t="s">
        <v>2182</v>
      </c>
      <c r="Q214" s="5" t="s">
        <v>2238</v>
      </c>
      <c r="R214" s="7" t="s">
        <v>2239</v>
      </c>
      <c r="S214" s="7" t="str">
        <f>HYPERLINK("https://drive.google.com/file/d/10AL2UDbU3xXWCTnaw73CDWXRTobsGPV6/view?usp=drivesdk","213_LETTI KUSMAYANTI SERTIFIKAT BIMTEK IPASN-BerAKHLAK")</f>
        <v>213_LETTI KUSMAYANTI SERTIFIKAT BIMTEK IPASN-BerAKHLAK</v>
      </c>
      <c r="T214" s="5" t="s">
        <v>2221</v>
      </c>
    </row>
    <row r="215">
      <c r="A215" s="4">
        <v>45534.31606402778</v>
      </c>
      <c r="B215" s="5" t="s">
        <v>34</v>
      </c>
      <c r="D215" s="5" t="s">
        <v>35</v>
      </c>
      <c r="E215" s="5" t="s">
        <v>2240</v>
      </c>
      <c r="F215" s="5" t="s">
        <v>72</v>
      </c>
      <c r="G215" s="5" t="s">
        <v>2241</v>
      </c>
      <c r="H215" s="6" t="s">
        <v>2242</v>
      </c>
      <c r="I215" s="7" t="s">
        <v>2243</v>
      </c>
      <c r="J215" s="8" t="str">
        <f>HYPERLINK("https://drive.google.com/file/d/1crxx6f1Twmz20XkFkfBdbn1WS0GWsoT-/view?usp=drivesdk","NANI HARYANI SALIP, SH SERTIFIKAT BerAKHLAK")</f>
        <v>NANI HARYANI SALIP, SH SERTIFIKAT BerAKHLAK</v>
      </c>
      <c r="K215" s="5" t="s">
        <v>2244</v>
      </c>
      <c r="L215" s="5" t="s">
        <v>2245</v>
      </c>
      <c r="M215" s="5" t="s">
        <v>2246</v>
      </c>
      <c r="N215" s="7" t="s">
        <v>2247</v>
      </c>
      <c r="O215" s="8" t="str">
        <f>HYPERLINK("https://drive.google.com/file/d/1LZ-epEqL3mKMZA2lKiU1ucOI8PM2PCgA/view?usp=drivesdk","214 &lt;NAMA LENGKAP&gt;&gt; _ SERTIFIKAT BIMTEK IPASN BerAKHLASK")</f>
        <v>214 &lt;NAMA LENGKAP&gt;&gt; _ SERTIFIKAT BIMTEK IPASN BerAKHLASK</v>
      </c>
      <c r="P215" s="5" t="s">
        <v>2248</v>
      </c>
      <c r="Q215" s="5" t="s">
        <v>2249</v>
      </c>
      <c r="R215" s="7" t="s">
        <v>2250</v>
      </c>
      <c r="S215" s="7" t="str">
        <f>HYPERLINK("https://drive.google.com/file/d/1HE7bCkGbBnWvlAzcnIWAzgjP7TNqr3bq/view?usp=drivesdk","214_NANI HARYANI SALIP, SH SERTIFIKAT BIMTEK IPASN-BerAKHLAK")</f>
        <v>214_NANI HARYANI SALIP, SH SERTIFIKAT BIMTEK IPASN-BerAKHLAK</v>
      </c>
      <c r="T215" s="5" t="s">
        <v>2221</v>
      </c>
    </row>
    <row r="216">
      <c r="A216" s="4">
        <v>45534.31607739584</v>
      </c>
      <c r="B216" s="5" t="s">
        <v>34</v>
      </c>
      <c r="D216" s="5" t="s">
        <v>35</v>
      </c>
      <c r="E216" s="5" t="s">
        <v>2251</v>
      </c>
      <c r="F216" s="5" t="s">
        <v>120</v>
      </c>
      <c r="G216" s="5" t="s">
        <v>2252</v>
      </c>
      <c r="H216" s="6" t="s">
        <v>2253</v>
      </c>
      <c r="I216" s="7" t="s">
        <v>2254</v>
      </c>
      <c r="J216" s="8" t="str">
        <f>HYPERLINK("https://drive.google.com/file/d/1mu8AdNQbMctiOKgODmjL9JmQdDFcIEZs/view?usp=drivesdk","ARI FIRMANSYAH, S.Kom SERTIFIKAT BerAKHLAK")</f>
        <v>ARI FIRMANSYAH, S.Kom SERTIFIKAT BerAKHLAK</v>
      </c>
      <c r="K216" s="5" t="s">
        <v>2244</v>
      </c>
      <c r="L216" s="5" t="s">
        <v>2255</v>
      </c>
      <c r="M216" s="5" t="s">
        <v>2256</v>
      </c>
      <c r="N216" s="7" t="s">
        <v>2257</v>
      </c>
      <c r="O216" s="8" t="str">
        <f>HYPERLINK("https://drive.google.com/file/d/12sr2hROVVfnrkPm2xmMts1NgxDr0GTVa/view?usp=drivesdk","215 &lt;NAMA LENGKAP&gt;&gt; _ SERTIFIKAT BIMTEK IPASN BerAKHLASK")</f>
        <v>215 &lt;NAMA LENGKAP&gt;&gt; _ SERTIFIKAT BIMTEK IPASN BerAKHLASK</v>
      </c>
      <c r="P216" s="5" t="s">
        <v>2248</v>
      </c>
      <c r="Q216" s="5" t="s">
        <v>2258</v>
      </c>
      <c r="R216" s="7" t="s">
        <v>2259</v>
      </c>
      <c r="S216" s="7" t="str">
        <f>HYPERLINK("https://drive.google.com/file/d/1Cdska1Ko-Glow1oa2LaUAhp8QlK0WYET/view?usp=drivesdk","215_ARI FIRMANSYAH, S.Kom SERTIFIKAT BIMTEK IPASN-BerAKHLAK")</f>
        <v>215_ARI FIRMANSYAH, S.Kom SERTIFIKAT BIMTEK IPASN-BerAKHLAK</v>
      </c>
      <c r="T216" s="5" t="s">
        <v>2221</v>
      </c>
    </row>
    <row r="217">
      <c r="A217" s="4">
        <v>45534.31608001157</v>
      </c>
      <c r="B217" s="5" t="s">
        <v>34</v>
      </c>
      <c r="D217" s="5" t="s">
        <v>580</v>
      </c>
      <c r="E217" s="5" t="s">
        <v>2260</v>
      </c>
      <c r="F217" s="5" t="s">
        <v>108</v>
      </c>
      <c r="G217" s="5" t="s">
        <v>2261</v>
      </c>
      <c r="H217" s="6" t="s">
        <v>2262</v>
      </c>
      <c r="I217" s="7" t="s">
        <v>2263</v>
      </c>
      <c r="J217" s="8" t="str">
        <f>HYPERLINK("https://drive.google.com/file/d/1RREGR_pDLFljEMN-XgDeMj0OoUGrISZ_/view?usp=drivesdk","SRI HANDAYANI  SERTIFIKAT BerAKHLAK")</f>
        <v>SRI HANDAYANI  SERTIFIKAT BerAKHLAK</v>
      </c>
      <c r="K217" s="5" t="s">
        <v>2244</v>
      </c>
      <c r="L217" s="5" t="s">
        <v>2264</v>
      </c>
      <c r="M217" s="5" t="s">
        <v>2265</v>
      </c>
      <c r="N217" s="7" t="s">
        <v>2266</v>
      </c>
      <c r="O217" s="8" t="str">
        <f>HYPERLINK("https://drive.google.com/file/d/13veE9PYMRGZ-1W7jz1HMgEnoytqQ1SAi/view?usp=drivesdk","216 &lt;NAMA LENGKAP&gt;&gt; _ SERTIFIKAT BIMTEK IPASN BerAKHLASK")</f>
        <v>216 &lt;NAMA LENGKAP&gt;&gt; _ SERTIFIKAT BIMTEK IPASN BerAKHLASK</v>
      </c>
      <c r="P217" s="5" t="s">
        <v>2248</v>
      </c>
      <c r="Q217" s="5" t="s">
        <v>2267</v>
      </c>
      <c r="R217" s="7" t="s">
        <v>2268</v>
      </c>
      <c r="S217" s="7" t="str">
        <f>HYPERLINK("https://drive.google.com/file/d/1PIacgC5--Uu7bQxZ7q3jjNyOjXGUmlAA/view?usp=drivesdk","216_SRI HANDAYANI  SERTIFIKAT BIMTEK IPASN-BerAKHLAK")</f>
        <v>216_SRI HANDAYANI  SERTIFIKAT BIMTEK IPASN-BerAKHLAK</v>
      </c>
      <c r="T217" s="5" t="s">
        <v>2269</v>
      </c>
    </row>
    <row r="218">
      <c r="A218" s="4">
        <v>45534.31609114583</v>
      </c>
      <c r="B218" s="5" t="s">
        <v>34</v>
      </c>
      <c r="D218" s="5" t="s">
        <v>522</v>
      </c>
      <c r="E218" s="5" t="s">
        <v>2270</v>
      </c>
      <c r="F218" s="5" t="s">
        <v>37</v>
      </c>
      <c r="G218" s="5" t="s">
        <v>2271</v>
      </c>
      <c r="H218" s="6" t="s">
        <v>2272</v>
      </c>
      <c r="I218" s="7" t="s">
        <v>2273</v>
      </c>
      <c r="J218" s="8" t="str">
        <f>HYPERLINK("https://drive.google.com/file/d/1c6lMMKEl7amzBkBezVyHDm4wmcjr8BRF/view?usp=drivesdk","AULIA SAFITRI, A.Md.Kep SERTIFIKAT BerAKHLAK")</f>
        <v>AULIA SAFITRI, A.Md.Kep SERTIFIKAT BerAKHLAK</v>
      </c>
      <c r="K218" s="5" t="s">
        <v>1999</v>
      </c>
      <c r="L218" s="5" t="s">
        <v>2274</v>
      </c>
      <c r="M218" s="5" t="s">
        <v>2275</v>
      </c>
      <c r="N218" s="7" t="s">
        <v>2276</v>
      </c>
      <c r="O218" s="8" t="str">
        <f>HYPERLINK("https://drive.google.com/file/d/1CaDYi8jOtDQ8BkpWvLthzumNJvCjv9tj/view?usp=drivesdk","217 &lt;NAMA LENGKAP&gt;&gt; _ SERTIFIKAT BIMTEK IPASN BerAKHLASK")</f>
        <v>217 &lt;NAMA LENGKAP&gt;&gt; _ SERTIFIKAT BIMTEK IPASN BerAKHLASK</v>
      </c>
      <c r="P218" s="5" t="s">
        <v>2248</v>
      </c>
      <c r="Q218" s="5" t="s">
        <v>2277</v>
      </c>
      <c r="R218" s="7" t="s">
        <v>2278</v>
      </c>
      <c r="S218" s="7" t="str">
        <f>HYPERLINK("https://drive.google.com/file/d/1KOFP4HbTU4hPXMAS3-MLaJ8OSOKNypOZ/view?usp=drivesdk","217_AULIA SAFITRI, A.Md.Kep SERTIFIKAT BIMTEK IPASN-BerAKHLAK")</f>
        <v>217_AULIA SAFITRI, A.Md.Kep SERTIFIKAT BIMTEK IPASN-BerAKHLAK</v>
      </c>
      <c r="T218" s="5" t="s">
        <v>2269</v>
      </c>
    </row>
    <row r="219">
      <c r="A219" s="4">
        <v>45534.31611803241</v>
      </c>
      <c r="B219" s="5" t="s">
        <v>34</v>
      </c>
      <c r="D219" s="5" t="s">
        <v>267</v>
      </c>
      <c r="E219" s="5" t="s">
        <v>2279</v>
      </c>
      <c r="F219" s="5" t="s">
        <v>375</v>
      </c>
      <c r="G219" s="5" t="s">
        <v>2280</v>
      </c>
      <c r="H219" s="6" t="s">
        <v>2281</v>
      </c>
      <c r="I219" s="7" t="s">
        <v>2282</v>
      </c>
      <c r="J219" s="8" t="str">
        <f>HYPERLINK("https://drive.google.com/file/d/1dyPlbohU2Eeg6WiY-rsR0ov1SPC99irL/view?usp=drivesdk","YULIA SUSIANI SH SERTIFIKAT BerAKHLAK")</f>
        <v>YULIA SUSIANI SH SERTIFIKAT BerAKHLAK</v>
      </c>
      <c r="K219" s="5" t="s">
        <v>1999</v>
      </c>
      <c r="L219" s="5" t="s">
        <v>2283</v>
      </c>
      <c r="M219" s="5" t="s">
        <v>2284</v>
      </c>
      <c r="N219" s="7" t="s">
        <v>2285</v>
      </c>
      <c r="O219" s="8" t="str">
        <f>HYPERLINK("https://drive.google.com/file/d/1PL61rA9dj9iSNcMD16JMg3kaNnpAcWZ-/view?usp=drivesdk","218 &lt;NAMA LENGKAP&gt;&gt; _ SERTIFIKAT BIMTEK IPASN BerAKHLASK")</f>
        <v>218 &lt;NAMA LENGKAP&gt;&gt; _ SERTIFIKAT BIMTEK IPASN BerAKHLASK</v>
      </c>
      <c r="P219" s="5" t="s">
        <v>2248</v>
      </c>
      <c r="Q219" s="5" t="s">
        <v>2286</v>
      </c>
      <c r="R219" s="7" t="s">
        <v>2287</v>
      </c>
      <c r="S219" s="7" t="str">
        <f>HYPERLINK("https://drive.google.com/file/d/1rv-_AQbIdxsskMwdAq2sjpOq_s8Q8GUz/view?usp=drivesdk","218_YULIA SUSIANI SH SERTIFIKAT BIMTEK IPASN-BerAKHLAK")</f>
        <v>218_YULIA SUSIANI SH SERTIFIKAT BIMTEK IPASN-BerAKHLAK</v>
      </c>
      <c r="T219" s="5" t="s">
        <v>2269</v>
      </c>
    </row>
    <row r="220" hidden="1">
      <c r="A220" s="4">
        <v>45534.31615745371</v>
      </c>
      <c r="B220" s="5" t="s">
        <v>19</v>
      </c>
      <c r="C220" s="5" t="s">
        <v>292</v>
      </c>
      <c r="E220" s="5" t="s">
        <v>2288</v>
      </c>
      <c r="F220" s="5" t="s">
        <v>72</v>
      </c>
      <c r="G220" s="5" t="s">
        <v>2289</v>
      </c>
      <c r="H220" s="6" t="s">
        <v>2290</v>
      </c>
      <c r="I220" s="7" t="s">
        <v>2291</v>
      </c>
      <c r="J220" s="8" t="str">
        <f>HYPERLINK("https://drive.google.com/file/d/15yQjJWIhRBZksm2MmvM2MmawwCuGVKuM/view?usp=drivesdk","REPELITA BR SITEPU  SERTIFIKAT BerAKHLAK")</f>
        <v>REPELITA BR SITEPU  SERTIFIKAT BerAKHLAK</v>
      </c>
      <c r="K220" s="5" t="s">
        <v>1999</v>
      </c>
      <c r="L220" s="5" t="s">
        <v>2292</v>
      </c>
      <c r="M220" s="5" t="s">
        <v>2293</v>
      </c>
      <c r="N220" s="7" t="s">
        <v>2294</v>
      </c>
      <c r="O220" s="8" t="str">
        <f>HYPERLINK("https://drive.google.com/file/d/1RM7cQSy5dQf6QXt_bMcZe9vmS7-TYMYL/view?usp=drivesdk","219 &lt;NAMA LENGKAP&gt;&gt; _ SERTIFIKAT BIMTEK IPASN BerAKHLASK")</f>
        <v>219 &lt;NAMA LENGKAP&gt;&gt; _ SERTIFIKAT BIMTEK IPASN BerAKHLASK</v>
      </c>
      <c r="P220" s="5" t="s">
        <v>2295</v>
      </c>
      <c r="Q220" s="5" t="s">
        <v>2296</v>
      </c>
      <c r="R220" s="7" t="s">
        <v>2297</v>
      </c>
      <c r="S220" s="7" t="str">
        <f>HYPERLINK("https://drive.google.com/file/d/1UaaT_0nkqm02MBbOdKty1eE5JISpA6u8/view?usp=drivesdk","219_REPELITA BR SITEPU  SERTIFIKAT BIMTEK IPASN-BerAKHLAK")</f>
        <v>219_REPELITA BR SITEPU  SERTIFIKAT BIMTEK IPASN-BerAKHLAK</v>
      </c>
      <c r="T220" s="5" t="s">
        <v>2269</v>
      </c>
    </row>
    <row r="221" hidden="1">
      <c r="A221" s="4">
        <v>45534.31622741898</v>
      </c>
      <c r="B221" s="5" t="s">
        <v>19</v>
      </c>
      <c r="C221" s="5" t="s">
        <v>292</v>
      </c>
      <c r="E221" s="5" t="s">
        <v>2298</v>
      </c>
      <c r="F221" s="5" t="s">
        <v>72</v>
      </c>
      <c r="G221" s="5" t="s">
        <v>2299</v>
      </c>
      <c r="H221" s="6" t="s">
        <v>2300</v>
      </c>
      <c r="I221" s="7" t="s">
        <v>2301</v>
      </c>
      <c r="J221" s="8" t="str">
        <f>HYPERLINK("https://drive.google.com/file/d/1D5USBlelSONvKVTtk-toxY4uO56Zfs_n/view?usp=drivesdk","RINA RISTANTI HIDAYAT SERTIFIKAT BerAKHLAK")</f>
        <v>RINA RISTANTI HIDAYAT SERTIFIKAT BerAKHLAK</v>
      </c>
      <c r="K221" s="5" t="s">
        <v>1999</v>
      </c>
      <c r="L221" s="5" t="s">
        <v>2302</v>
      </c>
      <c r="M221" s="5" t="s">
        <v>2303</v>
      </c>
      <c r="N221" s="7" t="s">
        <v>2304</v>
      </c>
      <c r="O221" s="8" t="str">
        <f>HYPERLINK("https://drive.google.com/file/d/1lTF6NLMRsC3kjeD5ZF8wylgCcmR7j4NR/view?usp=drivesdk","220 &lt;NAMA LENGKAP&gt;&gt; _ SERTIFIKAT BIMTEK IPASN BerAKHLASK")</f>
        <v>220 &lt;NAMA LENGKAP&gt;&gt; _ SERTIFIKAT BIMTEK IPASN BerAKHLASK</v>
      </c>
      <c r="P221" s="5" t="s">
        <v>2295</v>
      </c>
      <c r="Q221" s="5" t="s">
        <v>2305</v>
      </c>
      <c r="R221" s="7" t="s">
        <v>2306</v>
      </c>
      <c r="S221" s="7" t="str">
        <f>HYPERLINK("https://drive.google.com/file/d/1kxZ51lut3g2xC1bSamhnUujuKF33yumG/view?usp=drivesdk","220_RINA RISTANTI HIDAYAT SERTIFIKAT BIMTEK IPASN-BerAKHLAK")</f>
        <v>220_RINA RISTANTI HIDAYAT SERTIFIKAT BIMTEK IPASN-BerAKHLAK</v>
      </c>
      <c r="T221" s="5" t="s">
        <v>2269</v>
      </c>
    </row>
    <row r="222">
      <c r="A222" s="4">
        <v>45534.31622978009</v>
      </c>
      <c r="B222" s="5" t="s">
        <v>34</v>
      </c>
      <c r="D222" s="5" t="s">
        <v>522</v>
      </c>
      <c r="E222" s="5" t="s">
        <v>2307</v>
      </c>
      <c r="F222" s="5" t="s">
        <v>37</v>
      </c>
      <c r="G222" s="5" t="s">
        <v>2308</v>
      </c>
      <c r="H222" s="6" t="s">
        <v>2309</v>
      </c>
      <c r="I222" s="7" t="s">
        <v>2310</v>
      </c>
      <c r="J222" s="8" t="str">
        <f>HYPERLINK("https://drive.google.com/file/d/1LT91osLSNGhNTSjx21-NO6TYdl-y6aRU/view?usp=drivesdk","ANJELLA EKAWATI POHAN SERTIFIKAT BerAKHLAK")</f>
        <v>ANJELLA EKAWATI POHAN SERTIFIKAT BerAKHLAK</v>
      </c>
      <c r="K222" s="5" t="s">
        <v>1999</v>
      </c>
      <c r="L222" s="5" t="s">
        <v>2311</v>
      </c>
      <c r="M222" s="5" t="s">
        <v>2312</v>
      </c>
      <c r="N222" s="7" t="s">
        <v>2313</v>
      </c>
      <c r="O222" s="8" t="str">
        <f>HYPERLINK("https://drive.google.com/file/d/1NcJb33uF-vIRnS4ReCAz2vC7Flhl9lpZ/view?usp=drivesdk","221 &lt;NAMA LENGKAP&gt;&gt; _ SERTIFIKAT BIMTEK IPASN BerAKHLASK")</f>
        <v>221 &lt;NAMA LENGKAP&gt;&gt; _ SERTIFIKAT BIMTEK IPASN BerAKHLASK</v>
      </c>
      <c r="P222" s="5" t="s">
        <v>2295</v>
      </c>
      <c r="Q222" s="5" t="s">
        <v>2314</v>
      </c>
      <c r="R222" s="7" t="s">
        <v>2315</v>
      </c>
      <c r="S222" s="7" t="str">
        <f>HYPERLINK("https://drive.google.com/file/d/1fXHmJMu90cjdMlHaCjL0lplEd9pf3MBS/view?usp=drivesdk","221_ANJELLA EKAWATI POHAN SERTIFIKAT BIMTEK IPASN-BerAKHLAK")</f>
        <v>221_ANJELLA EKAWATI POHAN SERTIFIKAT BIMTEK IPASN-BerAKHLAK</v>
      </c>
      <c r="T222" s="5" t="s">
        <v>2269</v>
      </c>
    </row>
    <row r="223" hidden="1">
      <c r="A223" s="4">
        <v>45534.316230717595</v>
      </c>
      <c r="B223" s="5" t="s">
        <v>19</v>
      </c>
      <c r="C223" s="5" t="s">
        <v>292</v>
      </c>
      <c r="E223" s="5" t="s">
        <v>2316</v>
      </c>
      <c r="F223" s="5" t="s">
        <v>524</v>
      </c>
      <c r="G223" s="5" t="s">
        <v>2317</v>
      </c>
      <c r="H223" s="6" t="s">
        <v>2318</v>
      </c>
      <c r="I223" s="7" t="s">
        <v>2319</v>
      </c>
      <c r="J223" s="8" t="str">
        <f>HYPERLINK("https://drive.google.com/file/d/1TPpJh6vUZoKXWVdn2U3PgO3lWbDy1Sqs/view?usp=drivesdk","ASEP FITRIADI, S.M. SERTIFIKAT BerAKHLAK")</f>
        <v>ASEP FITRIADI, S.M. SERTIFIKAT BerAKHLAK</v>
      </c>
      <c r="K223" s="5" t="s">
        <v>2244</v>
      </c>
      <c r="L223" s="5" t="s">
        <v>2320</v>
      </c>
      <c r="M223" s="5" t="s">
        <v>2321</v>
      </c>
      <c r="N223" s="7" t="s">
        <v>2322</v>
      </c>
      <c r="O223" s="8" t="str">
        <f>HYPERLINK("https://drive.google.com/file/d/15KUyHCHTCG0SRE9xL-JJMV3UNGKj3hP9/view?usp=drivesdk","222 &lt;NAMA LENGKAP&gt;&gt; _ SERTIFIKAT BIMTEK IPASN BerAKHLASK")</f>
        <v>222 &lt;NAMA LENGKAP&gt;&gt; _ SERTIFIKAT BIMTEK IPASN BerAKHLASK</v>
      </c>
      <c r="P223" s="5" t="s">
        <v>2295</v>
      </c>
      <c r="Q223" s="5" t="s">
        <v>2323</v>
      </c>
      <c r="R223" s="7" t="s">
        <v>2324</v>
      </c>
      <c r="S223" s="7" t="str">
        <f>HYPERLINK("https://drive.google.com/file/d/1qCiBrF7gE6acgLV48T3xd42Gd3JnycI_/view?usp=drivesdk","222_ASEP FITRIADI, S.M. SERTIFIKAT BIMTEK IPASN-BerAKHLAK")</f>
        <v>222_ASEP FITRIADI, S.M. SERTIFIKAT BIMTEK IPASN-BerAKHLAK</v>
      </c>
      <c r="T223" s="5" t="s">
        <v>2325</v>
      </c>
    </row>
    <row r="224">
      <c r="A224" s="4">
        <v>45534.31623494213</v>
      </c>
      <c r="B224" s="5" t="s">
        <v>34</v>
      </c>
      <c r="D224" s="5" t="s">
        <v>522</v>
      </c>
      <c r="E224" s="5" t="s">
        <v>2326</v>
      </c>
      <c r="F224" s="5" t="s">
        <v>37</v>
      </c>
      <c r="G224" s="5" t="s">
        <v>2327</v>
      </c>
      <c r="H224" s="6" t="s">
        <v>2328</v>
      </c>
      <c r="I224" s="7" t="s">
        <v>2329</v>
      </c>
      <c r="J224" s="8" t="str">
        <f>HYPERLINK("https://drive.google.com/file/d/1-I40Oe1fxUAtJh3_rhefZCeyp2VJnAmm/view?usp=drivesdk","NUNUK YULIANTI  SERTIFIKAT BerAKHLAK")</f>
        <v>NUNUK YULIANTI  SERTIFIKAT BerAKHLAK</v>
      </c>
      <c r="K224" s="5" t="s">
        <v>2244</v>
      </c>
      <c r="L224" s="5" t="s">
        <v>2330</v>
      </c>
      <c r="M224" s="5" t="s">
        <v>2331</v>
      </c>
      <c r="N224" s="7" t="s">
        <v>2332</v>
      </c>
      <c r="O224" s="8" t="str">
        <f>HYPERLINK("https://drive.google.com/file/d/1s2UiBIBUDumYi3G9Gbbrgl48RPrnGJ_j/view?usp=drivesdk","223 &lt;NAMA LENGKAP&gt;&gt; _ SERTIFIKAT BIMTEK IPASN BerAKHLASK")</f>
        <v>223 &lt;NAMA LENGKAP&gt;&gt; _ SERTIFIKAT BIMTEK IPASN BerAKHLASK</v>
      </c>
      <c r="P224" s="5" t="s">
        <v>2295</v>
      </c>
      <c r="Q224" s="5" t="s">
        <v>2333</v>
      </c>
      <c r="R224" s="7" t="s">
        <v>2334</v>
      </c>
      <c r="S224" s="7" t="str">
        <f>HYPERLINK("https://drive.google.com/file/d/1dGTHNT7quTKWCTT-1368rf1qvbRMP4We/view?usp=drivesdk","223_NUNUK YULIANTI  SERTIFIKAT BIMTEK IPASN-BerAKHLAK")</f>
        <v>223_NUNUK YULIANTI  SERTIFIKAT BIMTEK IPASN-BerAKHLAK</v>
      </c>
      <c r="T224" s="5" t="s">
        <v>2325</v>
      </c>
    </row>
    <row r="225">
      <c r="A225" s="4">
        <v>45534.31623732639</v>
      </c>
      <c r="B225" s="5" t="s">
        <v>34</v>
      </c>
      <c r="D225" s="5" t="s">
        <v>1206</v>
      </c>
      <c r="E225" s="5" t="s">
        <v>2335</v>
      </c>
      <c r="F225" s="5" t="s">
        <v>375</v>
      </c>
      <c r="G225" s="5" t="s">
        <v>2336</v>
      </c>
      <c r="H225" s="6" t="s">
        <v>2337</v>
      </c>
      <c r="I225" s="7" t="s">
        <v>2338</v>
      </c>
      <c r="J225" s="8" t="str">
        <f>HYPERLINK("https://drive.google.com/file/d/1mB4Z-z8kGgZyUZhZQoGvHyqktMJwMM2w/view?usp=drivesdk","LIS SUDANARSIH SERTIFIKAT BerAKHLAK")</f>
        <v>LIS SUDANARSIH SERTIFIKAT BerAKHLAK</v>
      </c>
      <c r="K225" s="5" t="s">
        <v>2244</v>
      </c>
      <c r="L225" s="5" t="s">
        <v>2339</v>
      </c>
      <c r="M225" s="5" t="s">
        <v>2340</v>
      </c>
      <c r="N225" s="7" t="s">
        <v>2341</v>
      </c>
      <c r="O225" s="8" t="str">
        <f>HYPERLINK("https://drive.google.com/file/d/1BA-MOt30fh0cPq095iSfRRqwIxZagzJJ/view?usp=drivesdk","224 &lt;NAMA LENGKAP&gt;&gt; _ SERTIFIKAT BIMTEK IPASN BerAKHLASK")</f>
        <v>224 &lt;NAMA LENGKAP&gt;&gt; _ SERTIFIKAT BIMTEK IPASN BerAKHLASK</v>
      </c>
      <c r="P225" s="5" t="s">
        <v>2342</v>
      </c>
      <c r="Q225" s="5" t="s">
        <v>2343</v>
      </c>
      <c r="R225" s="7" t="s">
        <v>2344</v>
      </c>
      <c r="S225" s="7" t="str">
        <f>HYPERLINK("https://drive.google.com/file/d/1qgTf5Q3Hpun2Vq6uJdFNm4fm9VFymO9l/view?usp=drivesdk","224_LIS SUDANARSIH SERTIFIKAT BIMTEK IPASN-BerAKHLAK")</f>
        <v>224_LIS SUDANARSIH SERTIFIKAT BIMTEK IPASN-BerAKHLAK</v>
      </c>
      <c r="T225" s="5" t="s">
        <v>2325</v>
      </c>
    </row>
    <row r="226">
      <c r="A226" s="4">
        <v>45534.31625232639</v>
      </c>
      <c r="B226" s="5" t="s">
        <v>34</v>
      </c>
      <c r="D226" s="5" t="s">
        <v>580</v>
      </c>
      <c r="E226" s="5" t="s">
        <v>2345</v>
      </c>
      <c r="F226" s="5" t="s">
        <v>212</v>
      </c>
      <c r="G226" s="5" t="s">
        <v>2346</v>
      </c>
      <c r="H226" s="6" t="s">
        <v>2347</v>
      </c>
      <c r="I226" s="7" t="s">
        <v>2348</v>
      </c>
      <c r="J226" s="8" t="str">
        <f>HYPERLINK("https://drive.google.com/file/d/1mcaUIoXEUhOYZXCvZqpLhG0Kw732FqKM/view?usp=drivesdk","KADEK OVA SUSIANI SERTIFIKAT BerAKHLAK")</f>
        <v>KADEK OVA SUSIANI SERTIFIKAT BerAKHLAK</v>
      </c>
      <c r="K226" s="5" t="s">
        <v>2244</v>
      </c>
      <c r="L226" s="5" t="s">
        <v>2349</v>
      </c>
      <c r="M226" s="5" t="s">
        <v>2350</v>
      </c>
      <c r="N226" s="7" t="s">
        <v>2351</v>
      </c>
      <c r="O226" s="8" t="str">
        <f>HYPERLINK("https://drive.google.com/file/d/1xS78pIDYxvKsR2dLbGHwZotfvoF302-s/view?usp=drivesdk","225 &lt;NAMA LENGKAP&gt;&gt; _ SERTIFIKAT BIMTEK IPASN BerAKHLASK")</f>
        <v>225 &lt;NAMA LENGKAP&gt;&gt; _ SERTIFIKAT BIMTEK IPASN BerAKHLASK</v>
      </c>
      <c r="P226" s="5" t="s">
        <v>2342</v>
      </c>
      <c r="Q226" s="5" t="s">
        <v>2352</v>
      </c>
      <c r="R226" s="7" t="s">
        <v>2353</v>
      </c>
      <c r="S226" s="7" t="str">
        <f>HYPERLINK("https://drive.google.com/file/d/10ekC7guaM1A277yHDu2XxcbsnYgIPMfm/view?usp=drivesdk","225_KADEK OVA SUSIANI SERTIFIKAT BIMTEK IPASN-BerAKHLAK")</f>
        <v>225_KADEK OVA SUSIANI SERTIFIKAT BIMTEK IPASN-BerAKHLAK</v>
      </c>
      <c r="T226" s="5" t="s">
        <v>2325</v>
      </c>
    </row>
    <row r="227" hidden="1">
      <c r="A227" s="4">
        <v>45534.316267268514</v>
      </c>
      <c r="B227" s="5" t="s">
        <v>19</v>
      </c>
      <c r="C227" s="5" t="s">
        <v>292</v>
      </c>
      <c r="E227" s="5" t="s">
        <v>2354</v>
      </c>
      <c r="F227" s="5" t="s">
        <v>108</v>
      </c>
      <c r="G227" s="5" t="s">
        <v>2355</v>
      </c>
      <c r="H227" s="6" t="s">
        <v>2356</v>
      </c>
      <c r="I227" s="7" t="s">
        <v>2357</v>
      </c>
      <c r="J227" s="8" t="str">
        <f>HYPERLINK("https://drive.google.com/file/d/11wVMJ4KkbwMRZi08UK1fIoM-BRPvdOd3/view?usp=drivesdk","MUFLIKHUDIN, S.E. SERTIFIKAT BerAKHLAK")</f>
        <v>MUFLIKHUDIN, S.E. SERTIFIKAT BerAKHLAK</v>
      </c>
      <c r="K227" s="5" t="s">
        <v>2358</v>
      </c>
      <c r="L227" s="5" t="s">
        <v>2359</v>
      </c>
      <c r="M227" s="5" t="s">
        <v>2360</v>
      </c>
      <c r="N227" s="7" t="s">
        <v>2361</v>
      </c>
      <c r="O227" s="8" t="str">
        <f>HYPERLINK("https://drive.google.com/file/d/1KkiXuFIZwDY0am2y0UY0v4Va2D0Sdeef/view?usp=drivesdk","226 &lt;NAMA LENGKAP&gt;&gt; _ SERTIFIKAT BIMTEK IPASN BerAKHLASK")</f>
        <v>226 &lt;NAMA LENGKAP&gt;&gt; _ SERTIFIKAT BIMTEK IPASN BerAKHLASK</v>
      </c>
      <c r="P227" s="5" t="s">
        <v>2342</v>
      </c>
      <c r="Q227" s="5" t="s">
        <v>2362</v>
      </c>
      <c r="R227" s="7" t="s">
        <v>2363</v>
      </c>
      <c r="S227" s="7" t="str">
        <f>HYPERLINK("https://drive.google.com/file/d/1hi49t2KvdhbTy_X1EWmF94Qgpz40aZua/view?usp=drivesdk","226_MUFLIKHUDIN, S.E. SERTIFIKAT BIMTEK IPASN-BerAKHLAK")</f>
        <v>226_MUFLIKHUDIN, S.E. SERTIFIKAT BIMTEK IPASN-BerAKHLAK</v>
      </c>
      <c r="T227" s="5" t="s">
        <v>2325</v>
      </c>
    </row>
    <row r="228">
      <c r="A228" s="4">
        <v>45534.316286076384</v>
      </c>
      <c r="B228" s="5" t="s">
        <v>34</v>
      </c>
      <c r="D228" s="5" t="s">
        <v>580</v>
      </c>
      <c r="E228" s="5" t="s">
        <v>2364</v>
      </c>
      <c r="F228" s="5" t="s">
        <v>715</v>
      </c>
      <c r="G228" s="5" t="s">
        <v>2365</v>
      </c>
      <c r="H228" s="6" t="s">
        <v>2366</v>
      </c>
      <c r="I228" s="7" t="s">
        <v>2367</v>
      </c>
      <c r="J228" s="8" t="str">
        <f>HYPERLINK("https://drive.google.com/file/d/1B4nsWjURmjYpKbQjHj5kZIxXc2F9G5gi/view?usp=drivesdk","NI PUTU PURWANINGSIH, S. H SERTIFIKAT BerAKHLAK")</f>
        <v>NI PUTU PURWANINGSIH, S. H SERTIFIKAT BerAKHLAK</v>
      </c>
      <c r="K228" s="5" t="s">
        <v>2358</v>
      </c>
      <c r="L228" s="5" t="s">
        <v>2368</v>
      </c>
      <c r="M228" s="5" t="s">
        <v>2369</v>
      </c>
      <c r="N228" s="7" t="s">
        <v>2370</v>
      </c>
      <c r="O228" s="8" t="str">
        <f>HYPERLINK("https://drive.google.com/file/d/1jtNrGslOAqsfdlCs0AlqaFWcHFVTkTJx/view?usp=drivesdk","227 &lt;NAMA LENGKAP&gt;&gt; _ SERTIFIKAT BIMTEK IPASN BerAKHLASK")</f>
        <v>227 &lt;NAMA LENGKAP&gt;&gt; _ SERTIFIKAT BIMTEK IPASN BerAKHLASK</v>
      </c>
      <c r="P228" s="5" t="s">
        <v>2342</v>
      </c>
      <c r="Q228" s="5" t="s">
        <v>2371</v>
      </c>
      <c r="R228" s="7" t="s">
        <v>2372</v>
      </c>
      <c r="S228" s="7" t="str">
        <f>HYPERLINK("https://drive.google.com/file/d/13W7aDuK9myoqrIqhYQy5W3mF7mRMP8_A/view?usp=drivesdk","227_NI PUTU PURWANINGSIH, S. H SERTIFIKAT BIMTEK IPASN-BerAKHLAK")</f>
        <v>227_NI PUTU PURWANINGSIH, S. H SERTIFIKAT BIMTEK IPASN-BerAKHLAK</v>
      </c>
      <c r="T228" s="5" t="s">
        <v>2325</v>
      </c>
    </row>
    <row r="229">
      <c r="A229" s="4">
        <v>45534.316287071764</v>
      </c>
      <c r="B229" s="5" t="s">
        <v>34</v>
      </c>
      <c r="D229" s="5" t="s">
        <v>1206</v>
      </c>
      <c r="E229" s="5" t="s">
        <v>2373</v>
      </c>
      <c r="F229" s="5" t="s">
        <v>212</v>
      </c>
      <c r="G229" s="5" t="s">
        <v>2374</v>
      </c>
      <c r="H229" s="6" t="s">
        <v>2375</v>
      </c>
      <c r="I229" s="7" t="s">
        <v>2376</v>
      </c>
      <c r="J229" s="8" t="str">
        <f>HYPERLINK("https://drive.google.com/file/d/1gex8rbMePdp8S0XBh7Rxdsxz6k0NAOvm/view?usp=drivesdk","VINCENTIA WAHYU CANDRA DEWI  SERTIFIKAT BerAKHLAK")</f>
        <v>VINCENTIA WAHYU CANDRA DEWI  SERTIFIKAT BerAKHLAK</v>
      </c>
      <c r="K229" s="5" t="s">
        <v>2358</v>
      </c>
      <c r="L229" s="5" t="s">
        <v>2377</v>
      </c>
      <c r="M229" s="5" t="s">
        <v>2378</v>
      </c>
      <c r="N229" s="7" t="s">
        <v>2379</v>
      </c>
      <c r="O229" s="8" t="str">
        <f>HYPERLINK("https://drive.google.com/file/d/1eJ0rWYD8NzPOzFdo2Yf8m5pffYib0HO5/view?usp=drivesdk","228_VINCENTIA WAHYU CANDRA DEWI  _ SERTIFIKAT BIMTEK IPASN BerAKHLASK")</f>
        <v>228_VINCENTIA WAHYU CANDRA DEWI  _ SERTIFIKAT BIMTEK IPASN BerAKHLASK</v>
      </c>
      <c r="P229" s="5" t="s">
        <v>2380</v>
      </c>
      <c r="Q229" s="5" t="s">
        <v>2381</v>
      </c>
      <c r="R229" s="7" t="s">
        <v>2382</v>
      </c>
      <c r="S229" s="7" t="str">
        <f>HYPERLINK("https://drive.google.com/file/d/1GIweh1Jfljcr5V26ykkCGniDje-Ag2dm/view?usp=drivesdk","228_VINCENTIA WAHYU CANDRA DEWI  SERTIFIKAT BIMTEK IPASN-BerAKHLAK")</f>
        <v>228_VINCENTIA WAHYU CANDRA DEWI  SERTIFIKAT BIMTEK IPASN-BerAKHLAK</v>
      </c>
      <c r="T229" s="5" t="s">
        <v>2383</v>
      </c>
    </row>
    <row r="230">
      <c r="A230" s="4">
        <v>45534.31634292824</v>
      </c>
      <c r="B230" s="5" t="s">
        <v>34</v>
      </c>
      <c r="D230" s="5" t="s">
        <v>1768</v>
      </c>
      <c r="E230" s="5" t="s">
        <v>2384</v>
      </c>
      <c r="F230" s="5" t="s">
        <v>37</v>
      </c>
      <c r="G230" s="5" t="s">
        <v>2385</v>
      </c>
      <c r="H230" s="6" t="s">
        <v>2386</v>
      </c>
      <c r="I230" s="7" t="s">
        <v>2387</v>
      </c>
      <c r="J230" s="8" t="str">
        <f>HYPERLINK("https://drive.google.com/file/d/1cB8gb4DPGdu4BH-7x4Lshu_CwoYtRDeK/view?usp=drivesdk","CHUSNUL CHOTIMAH SERTIFIKAT BerAKHLAK")</f>
        <v>CHUSNUL CHOTIMAH SERTIFIKAT BerAKHLAK</v>
      </c>
      <c r="K230" s="5" t="s">
        <v>1999</v>
      </c>
      <c r="L230" s="5" t="s">
        <v>2388</v>
      </c>
      <c r="M230" s="5" t="s">
        <v>2389</v>
      </c>
      <c r="N230" s="7" t="s">
        <v>2390</v>
      </c>
      <c r="O230" s="8" t="str">
        <f>HYPERLINK("https://drive.google.com/file/d/1EQSrJ1x9cuKQS6HIrSrRRPwsOD2zV9C2/view?usp=drivesdk","229_CHUSNUL CHOTIMAH _ SERTIFIKAT BIMTEK IPASN BerAKHLASK")</f>
        <v>229_CHUSNUL CHOTIMAH _ SERTIFIKAT BIMTEK IPASN BerAKHLASK</v>
      </c>
      <c r="P230" s="5" t="s">
        <v>2380</v>
      </c>
      <c r="Q230" s="5" t="s">
        <v>2391</v>
      </c>
      <c r="R230" s="7" t="s">
        <v>2392</v>
      </c>
      <c r="S230" s="7" t="str">
        <f>HYPERLINK("https://drive.google.com/file/d/16UIKu2GrbOm8hFG72F3uA0Qr9H8HceCn/view?usp=drivesdk","229_CHUSNUL CHOTIMAH SERTIFIKAT BIMTEK IPASN-BerAKHLAK")</f>
        <v>229_CHUSNUL CHOTIMAH SERTIFIKAT BIMTEK IPASN-BerAKHLAK</v>
      </c>
      <c r="T230" s="5" t="s">
        <v>2383</v>
      </c>
    </row>
    <row r="231">
      <c r="A231" s="4">
        <v>45534.316345115745</v>
      </c>
      <c r="B231" s="5" t="s">
        <v>34</v>
      </c>
      <c r="D231" s="5" t="s">
        <v>996</v>
      </c>
      <c r="E231" s="5" t="s">
        <v>2393</v>
      </c>
      <c r="F231" s="5" t="s">
        <v>37</v>
      </c>
      <c r="G231" s="5" t="s">
        <v>2394</v>
      </c>
      <c r="H231" s="6" t="s">
        <v>2395</v>
      </c>
      <c r="I231" s="7" t="s">
        <v>2396</v>
      </c>
      <c r="J231" s="8" t="str">
        <f>HYPERLINK("https://drive.google.com/file/d/1ZfUHQUzBYT0bik5kOB3gvGEWCPRfOJEA/view?usp=drivesdk","PENGATUR MIRA WYDIA POLRES TABALONG SERTIFIKAT BerAKHLAK")</f>
        <v>PENGATUR MIRA WYDIA POLRES TABALONG SERTIFIKAT BerAKHLAK</v>
      </c>
      <c r="K231" s="5" t="s">
        <v>1999</v>
      </c>
      <c r="L231" s="5" t="s">
        <v>2397</v>
      </c>
      <c r="M231" s="5" t="s">
        <v>2398</v>
      </c>
      <c r="N231" s="7" t="s">
        <v>2399</v>
      </c>
      <c r="O231" s="8" t="str">
        <f>HYPERLINK("https://drive.google.com/file/d/1vHVdPm18ogeIBKTWrw5a26PPd1cTprVa/view?usp=drivesdk","230_PENGATUR MIRA WYDIA POLRES TABALONG _ SERTIFIKAT BIMTEK IPASN BerAKHLASK")</f>
        <v>230_PENGATUR MIRA WYDIA POLRES TABALONG _ SERTIFIKAT BIMTEK IPASN BerAKHLASK</v>
      </c>
      <c r="P231" s="5" t="s">
        <v>2400</v>
      </c>
      <c r="Q231" s="5" t="s">
        <v>2401</v>
      </c>
      <c r="R231" s="7" t="s">
        <v>2402</v>
      </c>
      <c r="S231" s="7" t="str">
        <f>HYPERLINK("https://drive.google.com/file/d/1YiAyYxrMGTQWy42bNnI3V_t_EeeeWeHX/view?usp=drivesdk","230_PENGATUR MIRA WYDIA POLRES TABALONG SERTIFIKAT BIMTEK IPASN-BerAKHLAK")</f>
        <v>230_PENGATUR MIRA WYDIA POLRES TABALONG SERTIFIKAT BIMTEK IPASN-BerAKHLAK</v>
      </c>
      <c r="T231" s="5" t="s">
        <v>2383</v>
      </c>
    </row>
    <row r="232">
      <c r="A232" s="4">
        <v>45534.31637990741</v>
      </c>
      <c r="B232" s="5" t="s">
        <v>34</v>
      </c>
      <c r="D232" s="5" t="s">
        <v>604</v>
      </c>
      <c r="E232" s="5" t="s">
        <v>2403</v>
      </c>
      <c r="F232" s="5" t="s">
        <v>37</v>
      </c>
      <c r="G232" s="5" t="s">
        <v>2404</v>
      </c>
      <c r="H232" s="6" t="s">
        <v>2405</v>
      </c>
      <c r="I232" s="7" t="s">
        <v>2406</v>
      </c>
      <c r="J232" s="8" t="str">
        <f>HYPERLINK("https://drive.google.com/file/d/1VlMHL6zwSQ603sPhlAQsarU04f9lMys4/view?usp=drivesdk","SITI MARYATUN SERTIFIKAT BerAKHLAK")</f>
        <v>SITI MARYATUN SERTIFIKAT BerAKHLAK</v>
      </c>
      <c r="K232" s="5" t="s">
        <v>1999</v>
      </c>
      <c r="L232" s="5" t="s">
        <v>2407</v>
      </c>
      <c r="M232" s="5" t="s">
        <v>2408</v>
      </c>
      <c r="N232" s="7" t="s">
        <v>2409</v>
      </c>
      <c r="O232" s="8" t="str">
        <f>HYPERLINK("https://drive.google.com/file/d/1OoKAtU7yzyJLKKIT4oWuN9XC3r7rBjnB/view?usp=drivesdk","231 &lt;NAMA LENGKAP&gt;&gt; _ SERTIFIKAT BIMTEK IPASN BerAKHLASK")</f>
        <v>231 &lt;NAMA LENGKAP&gt;&gt; _ SERTIFIKAT BIMTEK IPASN BerAKHLASK</v>
      </c>
      <c r="P232" s="5" t="s">
        <v>2410</v>
      </c>
      <c r="Q232" s="5" t="s">
        <v>2411</v>
      </c>
      <c r="R232" s="7" t="s">
        <v>2412</v>
      </c>
      <c r="S232" s="7" t="str">
        <f>HYPERLINK("https://drive.google.com/file/d/19SBOPJR13Y5guhEltTQ514ttFOxvZvvC/view?usp=drivesdk","231_SITI MARYATUN SERTIFIKAT BIMTEK IPASN-BerAKHLAK")</f>
        <v>231_SITI MARYATUN SERTIFIKAT BIMTEK IPASN-BerAKHLAK</v>
      </c>
      <c r="T232" s="5" t="s">
        <v>2383</v>
      </c>
    </row>
    <row r="233">
      <c r="A233" s="4">
        <v>45534.316429259256</v>
      </c>
      <c r="B233" s="5" t="s">
        <v>34</v>
      </c>
      <c r="D233" s="5" t="s">
        <v>35</v>
      </c>
      <c r="E233" s="5" t="s">
        <v>2413</v>
      </c>
      <c r="F233" s="5" t="s">
        <v>37</v>
      </c>
      <c r="G233" s="5" t="s">
        <v>2414</v>
      </c>
      <c r="H233" s="6" t="s">
        <v>2415</v>
      </c>
      <c r="I233" s="7" t="s">
        <v>2416</v>
      </c>
      <c r="J233" s="8" t="str">
        <f>HYPERLINK("https://drive.google.com/file/d/1GdUjUMOADDsLYiTaWbvODs9QLNNZqpZH/view?usp=drivesdk","OFIK TAUFIKUROCHMAN SERTIFIKAT BerAKHLAK")</f>
        <v>OFIK TAUFIKUROCHMAN SERTIFIKAT BerAKHLAK</v>
      </c>
      <c r="K233" s="5" t="s">
        <v>1999</v>
      </c>
      <c r="L233" s="5" t="s">
        <v>2417</v>
      </c>
      <c r="M233" s="5" t="s">
        <v>2418</v>
      </c>
      <c r="N233" s="7" t="s">
        <v>2419</v>
      </c>
      <c r="O233" s="8" t="str">
        <f>HYPERLINK("https://drive.google.com/file/d/1HgmgUUX3Of5jfOxpUscGHNtE8rNX8_Er/view?usp=drivesdk","232 &lt;NAMA LENGKAP&gt;&gt; _ SERTIFIKAT BIMTEK IPASN BerAKHLASK")</f>
        <v>232 &lt;NAMA LENGKAP&gt;&gt; _ SERTIFIKAT BIMTEK IPASN BerAKHLASK</v>
      </c>
      <c r="P233" s="5" t="s">
        <v>657</v>
      </c>
      <c r="Q233" s="5" t="s">
        <v>2420</v>
      </c>
      <c r="R233" s="7" t="s">
        <v>2421</v>
      </c>
      <c r="S233" s="7" t="str">
        <f>HYPERLINK("https://drive.google.com/file/d/1BHhAHNZBsH1vA-Ahmno5x9FibyTjYSPC/view?usp=drivesdk","232_OFIK TAUFIKUROCHMAN SERTIFIKAT BIMTEK IPASN-BerAKHLAK")</f>
        <v>232_OFIK TAUFIKUROCHMAN SERTIFIKAT BIMTEK IPASN-BerAKHLAK</v>
      </c>
      <c r="T233" s="5" t="s">
        <v>2383</v>
      </c>
    </row>
    <row r="234">
      <c r="A234" s="4">
        <v>45534.31643556713</v>
      </c>
      <c r="B234" s="5" t="s">
        <v>34</v>
      </c>
      <c r="D234" s="5" t="s">
        <v>1456</v>
      </c>
      <c r="E234" s="5" t="s">
        <v>2422</v>
      </c>
      <c r="F234" s="5" t="s">
        <v>37</v>
      </c>
      <c r="G234" s="5" t="s">
        <v>2423</v>
      </c>
      <c r="H234" s="6" t="s">
        <v>2424</v>
      </c>
      <c r="I234" s="7" t="s">
        <v>2425</v>
      </c>
      <c r="J234" s="8" t="str">
        <f>HYPERLINK("https://drive.google.com/file/d/1tS8MTUQBlUQ9EJYkTxMlrRHnyCaoHSPP/view?usp=drivesdk","AGUS SUTANTO, S.H SERTIFIKAT BerAKHLAK")</f>
        <v>AGUS SUTANTO, S.H SERTIFIKAT BerAKHLAK</v>
      </c>
      <c r="K234" s="5" t="s">
        <v>2244</v>
      </c>
      <c r="L234" s="5" t="s">
        <v>2426</v>
      </c>
      <c r="M234" s="5" t="s">
        <v>2427</v>
      </c>
      <c r="N234" s="7" t="s">
        <v>2428</v>
      </c>
      <c r="O234" s="8" t="str">
        <f>HYPERLINK("https://drive.google.com/file/d/10aT--vR6Rq5RA1AXC-H9altPARkB4zzm/view?usp=drivesdk","233 &lt;NAMA LENGKAP&gt;&gt; _ SERTIFIKAT BIMTEK IPASN BerAKHLASK")</f>
        <v>233 &lt;NAMA LENGKAP&gt;&gt; _ SERTIFIKAT BIMTEK IPASN BerAKHLASK</v>
      </c>
      <c r="P234" s="5" t="s">
        <v>657</v>
      </c>
      <c r="Q234" s="5" t="s">
        <v>2429</v>
      </c>
      <c r="R234" s="7" t="s">
        <v>2430</v>
      </c>
      <c r="S234" s="7" t="str">
        <f>HYPERLINK("https://drive.google.com/file/d/1fkT8wLBmL-gZgV34O5WwSrhjaoaadfn-/view?usp=drivesdk","233_AGUS SUTANTO, S.H SERTIFIKAT BIMTEK IPASN-BerAKHLAK")</f>
        <v>233_AGUS SUTANTO, S.H SERTIFIKAT BIMTEK IPASN-BerAKHLAK</v>
      </c>
      <c r="T234" s="5" t="s">
        <v>2431</v>
      </c>
    </row>
    <row r="235">
      <c r="A235" s="4">
        <v>45534.31643693287</v>
      </c>
      <c r="B235" s="5" t="s">
        <v>34</v>
      </c>
      <c r="D235" s="5" t="s">
        <v>1768</v>
      </c>
      <c r="E235" s="5" t="s">
        <v>2432</v>
      </c>
      <c r="F235" s="5" t="s">
        <v>37</v>
      </c>
      <c r="G235" s="5" t="s">
        <v>2433</v>
      </c>
      <c r="H235" s="6" t="s">
        <v>2434</v>
      </c>
      <c r="I235" s="7" t="s">
        <v>2435</v>
      </c>
      <c r="J235" s="8" t="str">
        <f>HYPERLINK("https://drive.google.com/file/d/1zz5BVvlQKPJ8AXSM_i4Q5j02jpTOfkR6/view?usp=drivesdk","SITI HINDAYANI SERTIFIKAT BerAKHLAK")</f>
        <v>SITI HINDAYANI SERTIFIKAT BerAKHLAK</v>
      </c>
      <c r="K235" s="5" t="s">
        <v>2244</v>
      </c>
      <c r="L235" s="5" t="s">
        <v>2436</v>
      </c>
      <c r="M235" s="5" t="s">
        <v>2437</v>
      </c>
      <c r="N235" s="7" t="s">
        <v>2438</v>
      </c>
      <c r="O235" s="8" t="str">
        <f>HYPERLINK("https://drive.google.com/file/d/1tYhxu5uXcfxRqwL1bLvP0p6d0Q69KQfT/view?usp=drivesdk","234 &lt;NAMA LENGKAP&gt;&gt; _ SERTIFIKAT BIMTEK IPASN BerAKHLASK")</f>
        <v>234 &lt;NAMA LENGKAP&gt;&gt; _ SERTIFIKAT BIMTEK IPASN BerAKHLASK</v>
      </c>
      <c r="P235" s="5" t="s">
        <v>657</v>
      </c>
      <c r="Q235" s="5" t="s">
        <v>2439</v>
      </c>
      <c r="R235" s="7" t="s">
        <v>2440</v>
      </c>
      <c r="S235" s="7" t="str">
        <f>HYPERLINK("https://drive.google.com/file/d/1jkwATaXYngoTomdgmbhcLRl0xUwic5ra/view?usp=drivesdk","234_SITI HINDAYANI SERTIFIKAT BIMTEK IPASN-BerAKHLAK")</f>
        <v>234_SITI HINDAYANI SERTIFIKAT BIMTEK IPASN-BerAKHLAK</v>
      </c>
      <c r="T235" s="5" t="s">
        <v>2431</v>
      </c>
    </row>
    <row r="236">
      <c r="A236" s="4">
        <v>45534.316446956014</v>
      </c>
      <c r="B236" s="5" t="s">
        <v>34</v>
      </c>
      <c r="D236" s="5" t="s">
        <v>267</v>
      </c>
      <c r="E236" s="5" t="s">
        <v>2441</v>
      </c>
      <c r="F236" s="5" t="s">
        <v>37</v>
      </c>
      <c r="G236" s="5" t="s">
        <v>2442</v>
      </c>
      <c r="H236" s="6" t="s">
        <v>2443</v>
      </c>
      <c r="I236" s="7" t="s">
        <v>2444</v>
      </c>
      <c r="J236" s="8" t="str">
        <f>HYPERLINK("https://drive.google.com/file/d/1zLwGL1NDhTgm4-Qj_-sxtn7xI3azuElg/view?usp=drivesdk","HARNIS RIZKA PRATIWI SERTIFIKAT BerAKHLAK")</f>
        <v>HARNIS RIZKA PRATIWI SERTIFIKAT BerAKHLAK</v>
      </c>
      <c r="K236" s="5" t="s">
        <v>2244</v>
      </c>
      <c r="L236" s="5" t="s">
        <v>2445</v>
      </c>
      <c r="M236" s="5" t="s">
        <v>2446</v>
      </c>
      <c r="N236" s="7" t="s">
        <v>2447</v>
      </c>
      <c r="O236" s="8" t="str">
        <f>HYPERLINK("https://drive.google.com/file/d/1Toma5wrrh7xjkhIikEBgLOMOy-xObtq8/view?usp=drivesdk","235 &lt;NAMA LENGKAP&gt;&gt; _ SERTIFIKAT BIMTEK IPASN BerAKHLASK")</f>
        <v>235 &lt;NAMA LENGKAP&gt;&gt; _ SERTIFIKAT BIMTEK IPASN BerAKHLASK</v>
      </c>
      <c r="P236" s="5" t="s">
        <v>657</v>
      </c>
      <c r="Q236" s="5" t="s">
        <v>2448</v>
      </c>
      <c r="R236" s="7" t="s">
        <v>2449</v>
      </c>
      <c r="S236" s="7" t="str">
        <f>HYPERLINK("https://drive.google.com/file/d/1BGbdAZKgwhyPoqBsndFKu2k_OvivIjcz/view?usp=drivesdk","235_HARNIS RIZKA PRATIWI SERTIFIKAT BIMTEK IPASN-BerAKHLAK")</f>
        <v>235_HARNIS RIZKA PRATIWI SERTIFIKAT BIMTEK IPASN-BerAKHLAK</v>
      </c>
      <c r="T236" s="5" t="s">
        <v>2431</v>
      </c>
    </row>
    <row r="237" hidden="1">
      <c r="A237" s="4">
        <v>45534.31645939815</v>
      </c>
      <c r="B237" s="5" t="s">
        <v>19</v>
      </c>
      <c r="C237" s="5" t="s">
        <v>466</v>
      </c>
      <c r="E237" s="5" t="s">
        <v>2450</v>
      </c>
      <c r="F237" s="5" t="s">
        <v>375</v>
      </c>
      <c r="G237" s="5" t="s">
        <v>2451</v>
      </c>
      <c r="H237" s="6" t="s">
        <v>2452</v>
      </c>
      <c r="I237" s="7" t="s">
        <v>2453</v>
      </c>
      <c r="J237" s="8" t="str">
        <f>HYPERLINK("https://drive.google.com/file/d/10P_TUyiWsrBnMBXvC__SovKQSO6OJmpj/view?usp=drivesdk","DARU KURNIAWAN SERTIFIKAT BerAKHLAK")</f>
        <v>DARU KURNIAWAN SERTIFIKAT BerAKHLAK</v>
      </c>
      <c r="K237" s="5" t="s">
        <v>2244</v>
      </c>
      <c r="L237" s="5" t="s">
        <v>2454</v>
      </c>
      <c r="M237" s="5" t="s">
        <v>2455</v>
      </c>
      <c r="N237" s="7" t="s">
        <v>2456</v>
      </c>
      <c r="O237" s="8" t="str">
        <f>HYPERLINK("https://drive.google.com/file/d/1MI1Xi9EAPNvTc3DfzRJs6CQUSEFzEL5p/view?usp=drivesdk","236 &lt;NAMA LENGKAP&gt;&gt; _ SERTIFIKAT BIMTEK IPASN BerAKHLASK")</f>
        <v>236 &lt;NAMA LENGKAP&gt;&gt; _ SERTIFIKAT BIMTEK IPASN BerAKHLASK</v>
      </c>
      <c r="P237" s="5" t="s">
        <v>657</v>
      </c>
      <c r="Q237" s="5" t="s">
        <v>2457</v>
      </c>
      <c r="R237" s="7" t="s">
        <v>2458</v>
      </c>
      <c r="S237" s="7" t="str">
        <f>HYPERLINK("https://drive.google.com/file/d/1OgzQIxGD4rvly2tmmMFe-3Cv38TyWink/view?usp=drivesdk","236_DARU KURNIAWAN SERTIFIKAT BIMTEK IPASN-BerAKHLAK")</f>
        <v>236_DARU KURNIAWAN SERTIFIKAT BIMTEK IPASN-BerAKHLAK</v>
      </c>
      <c r="T237" s="5" t="s">
        <v>2431</v>
      </c>
    </row>
    <row r="238">
      <c r="A238" s="4">
        <v>45534.316462222225</v>
      </c>
      <c r="B238" s="5" t="s">
        <v>34</v>
      </c>
      <c r="D238" s="5" t="s">
        <v>1206</v>
      </c>
      <c r="E238" s="5" t="s">
        <v>2459</v>
      </c>
      <c r="F238" s="5" t="s">
        <v>37</v>
      </c>
      <c r="G238" s="5" t="s">
        <v>2460</v>
      </c>
      <c r="H238" s="6" t="s">
        <v>2461</v>
      </c>
      <c r="I238" s="7" t="s">
        <v>2462</v>
      </c>
      <c r="J238" s="8" t="str">
        <f>HYPERLINK("https://drive.google.com/file/d/1WJ3J4SxY-aZ_oUga5dHQCxu4mct0GAFv/view?usp=drivesdk","HENI HARYANISWATI SERTIFIKAT BerAKHLAK")</f>
        <v>HENI HARYANISWATI SERTIFIKAT BerAKHLAK</v>
      </c>
      <c r="K238" s="5" t="s">
        <v>2358</v>
      </c>
      <c r="L238" s="5" t="s">
        <v>2463</v>
      </c>
      <c r="M238" s="5" t="s">
        <v>2464</v>
      </c>
      <c r="N238" s="7" t="s">
        <v>2465</v>
      </c>
      <c r="O238" s="8" t="str">
        <f>HYPERLINK("https://drive.google.com/file/d/12PsBKKD7aSap3lSwtcf3NDpaSV-tI5w4/view?usp=drivesdk","237 &lt;NAMA LENGKAP&gt;&gt; _ SERTIFIKAT BIMTEK IPASN BerAKHLASK")</f>
        <v>237 &lt;NAMA LENGKAP&gt;&gt; _ SERTIFIKAT BIMTEK IPASN BerAKHLASK</v>
      </c>
      <c r="P238" s="5" t="s">
        <v>710</v>
      </c>
      <c r="Q238" s="5" t="s">
        <v>2466</v>
      </c>
      <c r="R238" s="7" t="s">
        <v>2467</v>
      </c>
      <c r="S238" s="7" t="str">
        <f>HYPERLINK("https://drive.google.com/file/d/1_Pzq21OuvbPrZN4rw8qLv_CNELhF34R3/view?usp=drivesdk","237_HENI HARYANISWATI SERTIFIKAT BIMTEK IPASN-BerAKHLAK")</f>
        <v>237_HENI HARYANISWATI SERTIFIKAT BIMTEK IPASN-BerAKHLAK</v>
      </c>
      <c r="T238" s="5" t="s">
        <v>2431</v>
      </c>
    </row>
    <row r="239">
      <c r="A239" s="4">
        <v>45534.31646726852</v>
      </c>
      <c r="B239" s="5" t="s">
        <v>34</v>
      </c>
      <c r="D239" s="5" t="s">
        <v>1768</v>
      </c>
      <c r="E239" s="5" t="s">
        <v>2468</v>
      </c>
      <c r="F239" s="5" t="s">
        <v>108</v>
      </c>
      <c r="G239" s="5" t="s">
        <v>2469</v>
      </c>
      <c r="H239" s="6" t="s">
        <v>2470</v>
      </c>
      <c r="I239" s="7" t="s">
        <v>2471</v>
      </c>
      <c r="J239" s="8" t="str">
        <f>HYPERLINK("https://drive.google.com/file/d/1TFF1AATfl5x7Du62DWXJAMELEf2c-vWe/view?usp=drivesdk","apt. ELSHA WIGUNA SUMANTI, S. Farm SERTIFIKAT BerAKHLAK")</f>
        <v>apt. ELSHA WIGUNA SUMANTI, S. Farm SERTIFIKAT BerAKHLAK</v>
      </c>
      <c r="K239" s="5" t="s">
        <v>2358</v>
      </c>
      <c r="L239" s="5" t="s">
        <v>2472</v>
      </c>
      <c r="M239" s="5" t="s">
        <v>2473</v>
      </c>
      <c r="N239" s="7" t="s">
        <v>2474</v>
      </c>
      <c r="O239" s="8" t="str">
        <f>HYPERLINK("https://drive.google.com/file/d/1rxgj4Hn832-WsgBDIEX_tkc_QZwBzKUn/view?usp=drivesdk","238 &lt;NAMA LENGKAP&gt;&gt; _ SERTIFIKAT BIMTEK IPASN BerAKHLASK")</f>
        <v>238 &lt;NAMA LENGKAP&gt;&gt; _ SERTIFIKAT BIMTEK IPASN BerAKHLASK</v>
      </c>
      <c r="P239" s="5" t="s">
        <v>710</v>
      </c>
      <c r="Q239" s="5" t="s">
        <v>2475</v>
      </c>
      <c r="R239" s="7" t="s">
        <v>2476</v>
      </c>
      <c r="S239" s="7" t="str">
        <f>HYPERLINK("https://drive.google.com/file/d/1EAlp_6fk2Yk8din3MSOE_tDfhKN2YmGr/view?usp=drivesdk","238_apt. ELSHA WIGUNA SUMANTI, S. Farm SERTIFIKAT BIMTEK IPASN-BerAKHLAK")</f>
        <v>238_apt. ELSHA WIGUNA SUMANTI, S. Farm SERTIFIKAT BIMTEK IPASN-BerAKHLAK</v>
      </c>
      <c r="T239" s="5" t="s">
        <v>2477</v>
      </c>
    </row>
    <row r="240">
      <c r="A240" s="4">
        <v>45534.31648354167</v>
      </c>
      <c r="B240" s="5" t="s">
        <v>34</v>
      </c>
      <c r="D240" s="5" t="s">
        <v>35</v>
      </c>
      <c r="E240" s="5" t="s">
        <v>2478</v>
      </c>
      <c r="F240" s="5" t="s">
        <v>37</v>
      </c>
      <c r="G240" s="5" t="s">
        <v>2479</v>
      </c>
      <c r="H240" s="6" t="s">
        <v>2480</v>
      </c>
      <c r="I240" s="7" t="s">
        <v>2481</v>
      </c>
      <c r="J240" s="8" t="str">
        <f>HYPERLINK("https://drive.google.com/file/d/1LGshiyePEMt3ZG2IoAaTsXlZsXaz1oVx/view?usp=drivesdk","RATNA KUSDINAR SERTIFIKAT BerAKHLAK")</f>
        <v>RATNA KUSDINAR SERTIFIKAT BerAKHLAK</v>
      </c>
      <c r="K240" s="5" t="s">
        <v>1999</v>
      </c>
      <c r="L240" s="5" t="s">
        <v>2482</v>
      </c>
      <c r="M240" s="5" t="s">
        <v>2483</v>
      </c>
      <c r="N240" s="7" t="s">
        <v>2484</v>
      </c>
      <c r="O240" s="8" t="str">
        <f>HYPERLINK("https://drive.google.com/file/d/1VObOaXGZDh7lYh9advNpDjFNHzsXD_9i/view?usp=drivesdk","239 &lt;NAMA LENGKAP&gt;&gt; _ SERTIFIKAT BIMTEK IPASN BerAKHLASK")</f>
        <v>239 &lt;NAMA LENGKAP&gt;&gt; _ SERTIFIKAT BIMTEK IPASN BerAKHLASK</v>
      </c>
      <c r="P240" s="5" t="s">
        <v>710</v>
      </c>
      <c r="Q240" s="5" t="s">
        <v>2485</v>
      </c>
      <c r="R240" s="7" t="s">
        <v>2486</v>
      </c>
      <c r="S240" s="7" t="str">
        <f>HYPERLINK("https://drive.google.com/file/d/12SxshVfGd-W2FJ54_Fid-VLQiDiPJITh/view?usp=drivesdk","239_RATNA KUSDINAR SERTIFIKAT BIMTEK IPASN-BerAKHLAK")</f>
        <v>239_RATNA KUSDINAR SERTIFIKAT BIMTEK IPASN-BerAKHLAK</v>
      </c>
      <c r="T240" s="5" t="s">
        <v>2477</v>
      </c>
    </row>
    <row r="241">
      <c r="A241" s="4">
        <v>45534.31652371528</v>
      </c>
      <c r="B241" s="5" t="s">
        <v>34</v>
      </c>
      <c r="D241" s="5" t="s">
        <v>522</v>
      </c>
      <c r="E241" s="5" t="s">
        <v>2487</v>
      </c>
      <c r="F241" s="5" t="s">
        <v>524</v>
      </c>
      <c r="G241" s="5" t="s">
        <v>2488</v>
      </c>
      <c r="H241" s="6" t="s">
        <v>2489</v>
      </c>
      <c r="I241" s="7" t="s">
        <v>2490</v>
      </c>
      <c r="J241" s="8" t="str">
        <f>HYPERLINK("https://drive.google.com/file/d/1O6hFjnhdyl2y2WHM-yBTfqmCBIacGE5X/view?usp=drivesdk","PENDA LALU MUHAMMAD ARIES KURNIAWAN SERTIFIKAT BerAKHLAK")</f>
        <v>PENDA LALU MUHAMMAD ARIES KURNIAWAN SERTIFIKAT BerAKHLAK</v>
      </c>
      <c r="K241" s="5" t="s">
        <v>2244</v>
      </c>
      <c r="L241" s="5" t="s">
        <v>2491</v>
      </c>
      <c r="M241" s="5" t="s">
        <v>2492</v>
      </c>
      <c r="N241" s="7" t="s">
        <v>2493</v>
      </c>
      <c r="O241" s="8" t="str">
        <f>HYPERLINK("https://drive.google.com/file/d/1Iyj-edYbz38dIknF0LoPcisjj35AGkRd/view?usp=drivesdk","240 &lt;NAMA LENGKAP&gt;&gt; _ SERTIFIKAT BIMTEK IPASN BerAKHLASK")</f>
        <v>240 &lt;NAMA LENGKAP&gt;&gt; _ SERTIFIKAT BIMTEK IPASN BerAKHLASK</v>
      </c>
      <c r="P241" s="5" t="s">
        <v>710</v>
      </c>
      <c r="Q241" s="5" t="s">
        <v>2494</v>
      </c>
      <c r="R241" s="7" t="s">
        <v>2495</v>
      </c>
      <c r="S241" s="7" t="str">
        <f>HYPERLINK("https://drive.google.com/file/d/1gKnwlWHB2VckarusH-j0PAIGH-1t_TsO/view?usp=drivesdk","240_PENDA LALU MUHAMMAD ARIES KURNIAWAN SERTIFIKAT BIMTEK IPASN-BerAKHLAK")</f>
        <v>240_PENDA LALU MUHAMMAD ARIES KURNIAWAN SERTIFIKAT BIMTEK IPASN-BerAKHLAK</v>
      </c>
      <c r="T241" s="5" t="s">
        <v>2477</v>
      </c>
    </row>
    <row r="242">
      <c r="A242" s="4">
        <v>45534.31652832176</v>
      </c>
      <c r="B242" s="5" t="s">
        <v>34</v>
      </c>
      <c r="D242" s="5" t="s">
        <v>1206</v>
      </c>
      <c r="E242" s="5" t="s">
        <v>2496</v>
      </c>
      <c r="F242" s="5" t="s">
        <v>212</v>
      </c>
      <c r="G242" s="5" t="s">
        <v>2497</v>
      </c>
      <c r="H242" s="6" t="s">
        <v>2498</v>
      </c>
      <c r="I242" s="7" t="s">
        <v>2499</v>
      </c>
      <c r="J242" s="8" t="str">
        <f>HYPERLINK("https://drive.google.com/file/d/175l1cjQodxHxECuberBXQTISebGFzJHu/view?usp=drivesdk","ANOM UTAMI KURNIA ASIH  SERTIFIKAT BerAKHLAK")</f>
        <v>ANOM UTAMI KURNIA ASIH  SERTIFIKAT BerAKHLAK</v>
      </c>
      <c r="K242" s="5" t="s">
        <v>2244</v>
      </c>
      <c r="L242" s="5" t="s">
        <v>2500</v>
      </c>
      <c r="M242" s="5" t="s">
        <v>2501</v>
      </c>
      <c r="N242" s="7" t="s">
        <v>2502</v>
      </c>
      <c r="O242" s="8" t="str">
        <f>HYPERLINK("https://drive.google.com/file/d/1KlhYonz1Dh31wi9k8CJYz9LO6CNFeM6j/view?usp=drivesdk","241 &lt;NAMA LENGKAP&gt;&gt; _ SERTIFIKAT BIMTEK IPASN BerAKHLASK")</f>
        <v>241 &lt;NAMA LENGKAP&gt;&gt; _ SERTIFIKAT BIMTEK IPASN BerAKHLASK</v>
      </c>
      <c r="P242" s="5" t="s">
        <v>710</v>
      </c>
      <c r="Q242" s="5" t="s">
        <v>2503</v>
      </c>
      <c r="R242" s="7" t="s">
        <v>2504</v>
      </c>
      <c r="S242" s="7" t="str">
        <f>HYPERLINK("https://drive.google.com/file/d/11G0MZpenmrm2UfDOuuDCCg8yfxc5X-IH/view?usp=drivesdk","241_ANOM UTAMI KURNIA ASIH  SERTIFIKAT BIMTEK IPASN-BerAKHLAK")</f>
        <v>241_ANOM UTAMI KURNIA ASIH  SERTIFIKAT BIMTEK IPASN-BerAKHLAK</v>
      </c>
      <c r="T242" s="5" t="s">
        <v>2477</v>
      </c>
    </row>
    <row r="243">
      <c r="A243" s="4">
        <v>45534.316534328704</v>
      </c>
      <c r="B243" s="5" t="s">
        <v>34</v>
      </c>
      <c r="D243" s="5" t="s">
        <v>580</v>
      </c>
      <c r="E243" s="5" t="s">
        <v>2505</v>
      </c>
      <c r="F243" s="5" t="s">
        <v>37</v>
      </c>
      <c r="G243" s="5" t="s">
        <v>2506</v>
      </c>
      <c r="H243" s="6" t="s">
        <v>2507</v>
      </c>
      <c r="I243" s="7" t="s">
        <v>2508</v>
      </c>
      <c r="J243" s="8" t="str">
        <f>HYPERLINK("https://drive.google.com/file/d/1ivX9aJ-4UlvAsXUEQbba4CzcZ_58O3ka/view?usp=drivesdk","KADEK JULI ASTUTI  SERTIFIKAT BerAKHLAK")</f>
        <v>KADEK JULI ASTUTI  SERTIFIKAT BerAKHLAK</v>
      </c>
      <c r="K243" s="5" t="s">
        <v>2244</v>
      </c>
      <c r="L243" s="5" t="s">
        <v>2509</v>
      </c>
      <c r="M243" s="5" t="s">
        <v>2510</v>
      </c>
      <c r="N243" s="7" t="s">
        <v>2511</v>
      </c>
      <c r="O243" s="8" t="str">
        <f>HYPERLINK("https://drive.google.com/file/d/1asfmLzpglC__vWaNFoq8HT9gwt5WFNGR/view?usp=drivesdk","242 &lt;NAMA LENGKAP&gt;&gt; _ SERTIFIKAT BIMTEK IPASN BerAKHLASK")</f>
        <v>242 &lt;NAMA LENGKAP&gt;&gt; _ SERTIFIKAT BIMTEK IPASN BerAKHLASK</v>
      </c>
      <c r="P243" s="5" t="s">
        <v>710</v>
      </c>
      <c r="Q243" s="5" t="s">
        <v>2512</v>
      </c>
      <c r="R243" s="7" t="s">
        <v>2513</v>
      </c>
      <c r="S243" s="7" t="str">
        <f>HYPERLINK("https://drive.google.com/file/d/1WGviuvKC6y3_sJS3fIZk3eGUGVaduXdJ/view?usp=drivesdk","242_KADEK JULI ASTUTI  SERTIFIKAT BIMTEK IPASN-BerAKHLAK")</f>
        <v>242_KADEK JULI ASTUTI  SERTIFIKAT BIMTEK IPASN-BerAKHLAK</v>
      </c>
      <c r="T243" s="5" t="s">
        <v>2477</v>
      </c>
    </row>
    <row r="244">
      <c r="A244" s="4">
        <v>45534.316562418986</v>
      </c>
      <c r="B244" s="5" t="s">
        <v>34</v>
      </c>
      <c r="D244" s="5" t="s">
        <v>1206</v>
      </c>
      <c r="E244" s="5" t="s">
        <v>2514</v>
      </c>
      <c r="F244" s="5" t="s">
        <v>72</v>
      </c>
      <c r="G244" s="5" t="s">
        <v>2515</v>
      </c>
      <c r="H244" s="6" t="s">
        <v>2516</v>
      </c>
      <c r="I244" s="7" t="s">
        <v>2517</v>
      </c>
      <c r="J244" s="8" t="str">
        <f>HYPERLINK("https://drive.google.com/file/d/1QaLx8pxsaFBTl_MS6Ynshj9N5poKG2pW/view?usp=drivesdk","AGUS SULEMAN, S. KEP. NS SERTIFIKAT BerAKHLAK")</f>
        <v>AGUS SULEMAN, S. KEP. NS SERTIFIKAT BerAKHLAK</v>
      </c>
      <c r="K244" s="5" t="s">
        <v>2244</v>
      </c>
      <c r="L244" s="5" t="s">
        <v>2518</v>
      </c>
      <c r="M244" s="5" t="s">
        <v>2519</v>
      </c>
      <c r="N244" s="7" t="s">
        <v>2520</v>
      </c>
      <c r="O244" s="8" t="str">
        <f>HYPERLINK("https://drive.google.com/file/d/1IfSw9pkgI_9GdbCS5hB6NtxLbqgSGdjw/view?usp=drivesdk","243 &lt;NAMA LENGKAP&gt;&gt; _ SERTIFIKAT BIMTEK IPASN BerAKHLASK")</f>
        <v>243 &lt;NAMA LENGKAP&gt;&gt; _ SERTIFIKAT BIMTEK IPASN BerAKHLASK</v>
      </c>
      <c r="P244" s="5" t="s">
        <v>710</v>
      </c>
      <c r="Q244" s="5" t="s">
        <v>2521</v>
      </c>
      <c r="R244" s="7" t="s">
        <v>2522</v>
      </c>
      <c r="S244" s="7" t="str">
        <f>HYPERLINK("https://drive.google.com/file/d/1bbnyU7kr7qUJUROcA0jsvvobSK6YsuHB/view?usp=drivesdk","243_AGUS SULEMAN, S. KEP. NS SERTIFIKAT BIMTEK IPASN-BerAKHLAK")</f>
        <v>243_AGUS SULEMAN, S. KEP. NS SERTIFIKAT BIMTEK IPASN-BerAKHLAK</v>
      </c>
      <c r="T244" s="5" t="s">
        <v>2523</v>
      </c>
    </row>
    <row r="245">
      <c r="A245" s="4">
        <v>45534.316590104165</v>
      </c>
      <c r="B245" s="5" t="s">
        <v>34</v>
      </c>
      <c r="D245" s="5" t="s">
        <v>1692</v>
      </c>
      <c r="E245" s="5" t="s">
        <v>2524</v>
      </c>
      <c r="F245" s="5" t="s">
        <v>212</v>
      </c>
      <c r="G245" s="5" t="s">
        <v>2525</v>
      </c>
      <c r="H245" s="6" t="s">
        <v>2526</v>
      </c>
      <c r="I245" s="7" t="s">
        <v>2527</v>
      </c>
      <c r="J245" s="8" t="str">
        <f>HYPERLINK("https://drive.google.com/file/d/1aNac1ZPzZ4V7wuvCXqd6_pzpdAhIUvRA/view?usp=drivesdk","MAIKEL JANES TETELEPTA SERTIFIKAT BerAKHLAK")</f>
        <v>MAIKEL JANES TETELEPTA SERTIFIKAT BerAKHLAK</v>
      </c>
      <c r="K245" s="5" t="s">
        <v>2244</v>
      </c>
      <c r="L245" s="5" t="s">
        <v>2528</v>
      </c>
      <c r="M245" s="5" t="s">
        <v>2529</v>
      </c>
      <c r="N245" s="7" t="s">
        <v>2530</v>
      </c>
      <c r="O245" s="8" t="str">
        <f>HYPERLINK("https://drive.google.com/file/d/1ZbdJYedJT_ZHu4dfM3pRJv2PzRrCii4o/view?usp=drivesdk","244 &lt;NAMA LENGKAP&gt;&gt; _ SERTIFIKAT BIMTEK IPASN BerAKHLASK")</f>
        <v>244 &lt;NAMA LENGKAP&gt;&gt; _ SERTIFIKAT BIMTEK IPASN BerAKHLASK</v>
      </c>
      <c r="P245" s="5" t="s">
        <v>774</v>
      </c>
      <c r="Q245" s="5" t="s">
        <v>2531</v>
      </c>
      <c r="R245" s="7" t="s">
        <v>2532</v>
      </c>
      <c r="S245" s="7" t="str">
        <f>HYPERLINK("https://drive.google.com/file/d/1M7QzXEVsXq1szNYRseLFRNu7y2d-HWvi/view?usp=drivesdk","244_MAIKEL JANES TETELEPTA SERTIFIKAT BIMTEK IPASN-BerAKHLAK")</f>
        <v>244_MAIKEL JANES TETELEPTA SERTIFIKAT BIMTEK IPASN-BerAKHLAK</v>
      </c>
      <c r="T245" s="5" t="s">
        <v>2523</v>
      </c>
    </row>
    <row r="246">
      <c r="A246" s="4">
        <v>45534.316590682865</v>
      </c>
      <c r="B246" s="5" t="s">
        <v>34</v>
      </c>
      <c r="D246" s="5" t="s">
        <v>1692</v>
      </c>
      <c r="E246" s="5" t="s">
        <v>2533</v>
      </c>
      <c r="F246" s="5" t="s">
        <v>37</v>
      </c>
      <c r="G246" s="5" t="s">
        <v>2534</v>
      </c>
      <c r="H246" s="6" t="s">
        <v>2535</v>
      </c>
      <c r="I246" s="7" t="s">
        <v>2536</v>
      </c>
      <c r="J246" s="8" t="str">
        <f>HYPERLINK("https://drive.google.com/file/d/1dod84rnnRq0C6gK2jkfjALwLA1Jhjj3q/view?usp=drivesdk","STANLLY ZEPNAT AIPASSA SERTIFIKAT BerAKHLAK")</f>
        <v>STANLLY ZEPNAT AIPASSA SERTIFIKAT BerAKHLAK</v>
      </c>
      <c r="K246" s="5" t="s">
        <v>2244</v>
      </c>
      <c r="L246" s="5" t="s">
        <v>2537</v>
      </c>
      <c r="M246" s="5" t="s">
        <v>2538</v>
      </c>
      <c r="N246" s="7" t="s">
        <v>2539</v>
      </c>
      <c r="O246" s="8" t="str">
        <f>HYPERLINK("https://drive.google.com/file/d/138xq0-GprMeWnZvRO1PG8uKyjCA1wJuc/view?usp=drivesdk","245 &lt;NAMA LENGKAP&gt;&gt; _ SERTIFIKAT BIMTEK IPASN BerAKHLASK")</f>
        <v>245 &lt;NAMA LENGKAP&gt;&gt; _ SERTIFIKAT BIMTEK IPASN BerAKHLASK</v>
      </c>
      <c r="P246" s="5" t="s">
        <v>774</v>
      </c>
      <c r="Q246" s="5" t="s">
        <v>2540</v>
      </c>
      <c r="R246" s="7" t="s">
        <v>2541</v>
      </c>
      <c r="S246" s="7" t="str">
        <f>HYPERLINK("https://drive.google.com/file/d/1ZWGyOSeOMwgcAy-SlgkK4fI_yTPpCLGe/view?usp=drivesdk","245_STANLLY ZEPNAT AIPASSA SERTIFIKAT BIMTEK IPASN-BerAKHLAK")</f>
        <v>245_STANLLY ZEPNAT AIPASSA SERTIFIKAT BIMTEK IPASN-BerAKHLAK</v>
      </c>
      <c r="T246" s="5" t="s">
        <v>2523</v>
      </c>
    </row>
    <row r="247">
      <c r="A247" s="4">
        <v>45534.31659377315</v>
      </c>
      <c r="B247" s="5" t="s">
        <v>34</v>
      </c>
      <c r="D247" s="5" t="s">
        <v>35</v>
      </c>
      <c r="E247" s="5" t="s">
        <v>2542</v>
      </c>
      <c r="F247" s="5" t="s">
        <v>715</v>
      </c>
      <c r="G247" s="5" t="s">
        <v>2543</v>
      </c>
      <c r="H247" s="6" t="s">
        <v>2544</v>
      </c>
      <c r="I247" s="7" t="s">
        <v>2545</v>
      </c>
      <c r="J247" s="8" t="str">
        <f>HYPERLINK("https://drive.google.com/file/d/1ITDE1bMjHDvuFpwqKuuBdWSh2xxfUa-V/view?usp=drivesdk","DENI WAHYUDIN, S. KOM SERTIFIKAT BerAKHLAK")</f>
        <v>DENI WAHYUDIN, S. KOM SERTIFIKAT BerAKHLAK</v>
      </c>
      <c r="K247" s="5" t="s">
        <v>2244</v>
      </c>
      <c r="L247" s="5" t="s">
        <v>2546</v>
      </c>
      <c r="M247" s="5" t="s">
        <v>2547</v>
      </c>
      <c r="N247" s="7" t="s">
        <v>2548</v>
      </c>
      <c r="O247" s="8" t="str">
        <f>HYPERLINK("https://drive.google.com/file/d/1s1C6A8mVMkjkMZpVs1xFROY4gRBCHBDs/view?usp=drivesdk","246 &lt;NAMA LENGKAP&gt;&gt; _ SERTIFIKAT BIMTEK IPASN BerAKHLASK")</f>
        <v>246 &lt;NAMA LENGKAP&gt;&gt; _ SERTIFIKAT BIMTEK IPASN BerAKHLASK</v>
      </c>
      <c r="P247" s="5" t="s">
        <v>774</v>
      </c>
      <c r="Q247" s="5" t="s">
        <v>2549</v>
      </c>
      <c r="R247" s="7" t="s">
        <v>2550</v>
      </c>
      <c r="S247" s="7" t="str">
        <f>HYPERLINK("https://drive.google.com/file/d/1SbFZH4vl6YvJX5Pcoo6ETshEjoxfl-Ui/view?usp=drivesdk","246_DENI WAHYUDIN, S. KOM SERTIFIKAT BIMTEK IPASN-BerAKHLAK")</f>
        <v>246_DENI WAHYUDIN, S. KOM SERTIFIKAT BIMTEK IPASN-BerAKHLAK</v>
      </c>
      <c r="T247" s="5" t="s">
        <v>2523</v>
      </c>
    </row>
    <row r="248">
      <c r="A248" s="4">
        <v>45534.316607615736</v>
      </c>
      <c r="B248" s="5" t="s">
        <v>34</v>
      </c>
      <c r="D248" s="5" t="s">
        <v>580</v>
      </c>
      <c r="E248" s="5" t="s">
        <v>2551</v>
      </c>
      <c r="F248" s="5" t="s">
        <v>524</v>
      </c>
      <c r="G248" s="5" t="s">
        <v>2552</v>
      </c>
      <c r="H248" s="6" t="s">
        <v>2553</v>
      </c>
      <c r="I248" s="7" t="s">
        <v>2554</v>
      </c>
      <c r="J248" s="8" t="str">
        <f>HYPERLINK("https://drive.google.com/file/d/1dyBvkV_hcW99b6vYHtnzELfYgtHOaBfX/view?usp=drivesdk","IDA AYU MADE ARININGSIH, A.Md.Kep SERTIFIKAT BerAKHLAK")</f>
        <v>IDA AYU MADE ARININGSIH, A.Md.Kep SERTIFIKAT BerAKHLAK</v>
      </c>
      <c r="K248" s="5" t="s">
        <v>2244</v>
      </c>
      <c r="L248" s="5" t="s">
        <v>2555</v>
      </c>
      <c r="M248" s="5" t="s">
        <v>2556</v>
      </c>
      <c r="N248" s="7" t="s">
        <v>2557</v>
      </c>
      <c r="O248" s="8" t="str">
        <f>HYPERLINK("https://drive.google.com/file/d/1EKNOG3yv_ecjpNFg0vukgT4n0JSyg5yx/view?usp=drivesdk","247 &lt;NAMA LENGKAP&gt;&gt; _ SERTIFIKAT BIMTEK IPASN BerAKHLASK")</f>
        <v>247 &lt;NAMA LENGKAP&gt;&gt; _ SERTIFIKAT BIMTEK IPASN BerAKHLASK</v>
      </c>
      <c r="P248" s="5" t="s">
        <v>774</v>
      </c>
      <c r="Q248" s="5" t="s">
        <v>2558</v>
      </c>
      <c r="R248" s="7" t="s">
        <v>2559</v>
      </c>
      <c r="S248" s="7" t="str">
        <f>HYPERLINK("https://drive.google.com/file/d/1JjbvWKg-09GLNlPwXrAY6joWM7rYbll_/view?usp=drivesdk","247_IDA AYU MADE ARININGSIH, A.Md.Kep SERTIFIKAT BIMTEK IPASN-BerAKHLAK")</f>
        <v>247_IDA AYU MADE ARININGSIH, A.Md.Kep SERTIFIKAT BIMTEK IPASN-BerAKHLAK</v>
      </c>
      <c r="T248" s="5" t="s">
        <v>2523</v>
      </c>
    </row>
    <row r="249">
      <c r="A249" s="4">
        <v>45534.3166096875</v>
      </c>
      <c r="B249" s="5" t="s">
        <v>34</v>
      </c>
      <c r="D249" s="5" t="s">
        <v>522</v>
      </c>
      <c r="E249" s="5" t="s">
        <v>2560</v>
      </c>
      <c r="F249" s="5" t="s">
        <v>524</v>
      </c>
      <c r="G249" s="5" t="s">
        <v>2561</v>
      </c>
      <c r="H249" s="6" t="s">
        <v>2562</v>
      </c>
      <c r="I249" s="7" t="s">
        <v>2563</v>
      </c>
      <c r="J249" s="8" t="str">
        <f>HYPERLINK("https://drive.google.com/file/d/1WNThO5kD7TbTJaLBs4r98K0jM0q7p0fy/view?usp=drivesdk","ISABELLA THERESIANA ASBANU, S.P. SERTIFIKAT BerAKHLAK")</f>
        <v>ISABELLA THERESIANA ASBANU, S.P. SERTIFIKAT BerAKHLAK</v>
      </c>
      <c r="K249" s="5" t="s">
        <v>2244</v>
      </c>
      <c r="L249" s="5" t="s">
        <v>2564</v>
      </c>
      <c r="M249" s="5" t="s">
        <v>2565</v>
      </c>
      <c r="N249" s="7" t="s">
        <v>2566</v>
      </c>
      <c r="O249" s="8" t="str">
        <f>HYPERLINK("https://drive.google.com/file/d/1C-oyyHZsNIHu2eSnxrFHU7FTY6nY2_6f/view?usp=drivesdk","248 &lt;NAMA LENGKAP&gt;&gt; _ SERTIFIKAT BIMTEK IPASN BerAKHLASK")</f>
        <v>248 &lt;NAMA LENGKAP&gt;&gt; _ SERTIFIKAT BIMTEK IPASN BerAKHLASK</v>
      </c>
      <c r="P249" s="5" t="s">
        <v>774</v>
      </c>
      <c r="Q249" s="5" t="s">
        <v>2567</v>
      </c>
      <c r="R249" s="7" t="s">
        <v>2568</v>
      </c>
      <c r="S249" s="7" t="str">
        <f>HYPERLINK("https://drive.google.com/file/d/1xcUFZ5ViwM7V7IK9WrTlUg43Uy7p_mdq/view?usp=drivesdk","248_ISABELLA THERESIANA ASBANU, S.P. SERTIFIKAT BIMTEK IPASN-BerAKHLAK")</f>
        <v>248_ISABELLA THERESIANA ASBANU, S.P. SERTIFIKAT BIMTEK IPASN-BerAKHLAK</v>
      </c>
      <c r="T249" s="5" t="s">
        <v>2523</v>
      </c>
    </row>
    <row r="250">
      <c r="A250" s="4">
        <v>45534.31662388889</v>
      </c>
      <c r="B250" s="5" t="s">
        <v>34</v>
      </c>
      <c r="D250" s="5" t="s">
        <v>35</v>
      </c>
      <c r="E250" s="5" t="s">
        <v>2569</v>
      </c>
      <c r="F250" s="5" t="s">
        <v>715</v>
      </c>
      <c r="G250" s="5" t="s">
        <v>2570</v>
      </c>
      <c r="H250" s="6" t="s">
        <v>2571</v>
      </c>
      <c r="I250" s="7" t="s">
        <v>2572</v>
      </c>
      <c r="J250" s="8" t="str">
        <f>HYPERLINK("https://drive.google.com/file/d/1l9SMikWFE-fAKwbQSHDxvPZb0Rdrrmy7/view?usp=drivesdk","INA AGUSTINA, SE SERTIFIKAT BerAKHLAK")</f>
        <v>INA AGUSTINA, SE SERTIFIKAT BerAKHLAK</v>
      </c>
      <c r="K250" s="5" t="s">
        <v>2244</v>
      </c>
      <c r="L250" s="5" t="s">
        <v>2573</v>
      </c>
      <c r="M250" s="5" t="s">
        <v>2574</v>
      </c>
      <c r="N250" s="7" t="s">
        <v>2575</v>
      </c>
      <c r="O250" s="8" t="str">
        <f>HYPERLINK("https://drive.google.com/file/d/1VuAVcWkAbktYZdS0363lP-pf6pfoSxMa/view?usp=drivesdk","249 &lt;NAMA LENGKAP&gt;&gt; _ SERTIFIKAT BIMTEK IPASN BerAKHLASK")</f>
        <v>249 &lt;NAMA LENGKAP&gt;&gt; _ SERTIFIKAT BIMTEK IPASN BerAKHLASK</v>
      </c>
      <c r="P250" s="5" t="s">
        <v>837</v>
      </c>
      <c r="Q250" s="5" t="s">
        <v>2576</v>
      </c>
      <c r="R250" s="7" t="s">
        <v>2577</v>
      </c>
      <c r="S250" s="7" t="str">
        <f>HYPERLINK("https://drive.google.com/file/d/1xZK5Ofg4vmeVSN3kN1fWcEQfu0w9M1TH/view?usp=drivesdk","249_INA AGUSTINA, SE SERTIFIKAT BIMTEK IPASN-BerAKHLAK")</f>
        <v>249_INA AGUSTINA, SE SERTIFIKAT BIMTEK IPASN-BerAKHLAK</v>
      </c>
      <c r="T250" s="5" t="s">
        <v>2578</v>
      </c>
    </row>
    <row r="251">
      <c r="A251" s="4">
        <v>45534.31663627315</v>
      </c>
      <c r="B251" s="5" t="s">
        <v>34</v>
      </c>
      <c r="D251" s="5" t="s">
        <v>35</v>
      </c>
      <c r="E251" s="5" t="s">
        <v>2579</v>
      </c>
      <c r="F251" s="5" t="s">
        <v>212</v>
      </c>
      <c r="G251" s="5" t="s">
        <v>2580</v>
      </c>
      <c r="H251" s="6" t="s">
        <v>2581</v>
      </c>
      <c r="I251" s="7" t="s">
        <v>2582</v>
      </c>
      <c r="J251" s="8" t="str">
        <f>HYPERLINK("https://drive.google.com/file/d/1YEmxJcG4X3bypw3lell1PcgrZ0l1tZ34/view?usp=drivesdk","PENGTU NUNUNG ATIKAH SERTIFIKAT BerAKHLAK")</f>
        <v>PENGTU NUNUNG ATIKAH SERTIFIKAT BerAKHLAK</v>
      </c>
      <c r="K251" s="5" t="s">
        <v>2358</v>
      </c>
      <c r="L251" s="5" t="s">
        <v>2583</v>
      </c>
      <c r="M251" s="5" t="s">
        <v>2584</v>
      </c>
      <c r="N251" s="7" t="s">
        <v>2585</v>
      </c>
      <c r="O251" s="8" t="str">
        <f>HYPERLINK("https://drive.google.com/file/d/1Hv2xMUqekfRu_DLtJXktP44puuIinogX/view?usp=drivesdk","250 &lt;NAMA LENGKAP&gt;&gt; _ SERTIFIKAT BIMTEK IPASN BerAKHLASK")</f>
        <v>250 &lt;NAMA LENGKAP&gt;&gt; _ SERTIFIKAT BIMTEK IPASN BerAKHLASK</v>
      </c>
      <c r="P251" s="5" t="s">
        <v>837</v>
      </c>
      <c r="Q251" s="5" t="s">
        <v>2586</v>
      </c>
      <c r="R251" s="7" t="s">
        <v>2587</v>
      </c>
      <c r="S251" s="7" t="str">
        <f>HYPERLINK("https://drive.google.com/file/d/1iHIgp5HMvQL8ghBiB2KuysExKJ3Q0bxT/view?usp=drivesdk","250_PENGTU NUNUNG ATIKAH SERTIFIKAT BIMTEK IPASN-BerAKHLAK")</f>
        <v>250_PENGTU NUNUNG ATIKAH SERTIFIKAT BIMTEK IPASN-BerAKHLAK</v>
      </c>
      <c r="T251" s="5" t="s">
        <v>2578</v>
      </c>
    </row>
    <row r="252" hidden="1">
      <c r="A252" s="4">
        <v>45534.31665879629</v>
      </c>
      <c r="B252" s="5" t="s">
        <v>19</v>
      </c>
      <c r="C252" s="5" t="s">
        <v>292</v>
      </c>
      <c r="E252" s="5" t="s">
        <v>2588</v>
      </c>
      <c r="F252" s="5" t="s">
        <v>212</v>
      </c>
      <c r="G252" s="5" t="s">
        <v>2589</v>
      </c>
      <c r="H252" s="6" t="s">
        <v>2590</v>
      </c>
      <c r="I252" s="7" t="s">
        <v>2591</v>
      </c>
      <c r="J252" s="8" t="str">
        <f>HYPERLINK("https://drive.google.com/file/d/1OaMlnX4acmIXK9oWXG-vQZ4-ax6aHBso/view?usp=drivesdk","RIDWAN HERMAWAN SUKANDAR S.KEP SERTIFIKAT BerAKHLAK")</f>
        <v>RIDWAN HERMAWAN SUKANDAR S.KEP SERTIFIKAT BerAKHLAK</v>
      </c>
      <c r="K252" s="5" t="s">
        <v>2244</v>
      </c>
      <c r="L252" s="5" t="s">
        <v>2592</v>
      </c>
      <c r="M252" s="5" t="s">
        <v>2593</v>
      </c>
      <c r="N252" s="7" t="s">
        <v>2594</v>
      </c>
      <c r="O252" s="8" t="str">
        <f>HYPERLINK("https://drive.google.com/file/d/1uiRuKRkbszZbjgz1xAnv7KuOmBAPWEBD/view?usp=drivesdk","251 &lt;NAMA LENGKAP&gt;&gt; _ SERTIFIKAT BIMTEK IPASN BerAKHLASK")</f>
        <v>251 &lt;NAMA LENGKAP&gt;&gt; _ SERTIFIKAT BIMTEK IPASN BerAKHLASK</v>
      </c>
      <c r="P252" s="5" t="s">
        <v>837</v>
      </c>
      <c r="Q252" s="5" t="s">
        <v>2595</v>
      </c>
      <c r="R252" s="7" t="s">
        <v>2596</v>
      </c>
      <c r="S252" s="7" t="str">
        <f>HYPERLINK("https://drive.google.com/file/d/1uhSB1TSo_3JQfOstLmQNOIMelw54_nFp/view?usp=drivesdk","251_RIDWAN HERMAWAN SUKANDAR S.KEP SERTIFIKAT BIMTEK IPASN-BerAKHLAK")</f>
        <v>251_RIDWAN HERMAWAN SUKANDAR S.KEP SERTIFIKAT BIMTEK IPASN-BerAKHLAK</v>
      </c>
      <c r="T252" s="5" t="s">
        <v>2578</v>
      </c>
    </row>
    <row r="253">
      <c r="A253" s="4">
        <v>45534.31667408565</v>
      </c>
      <c r="B253" s="5" t="s">
        <v>34</v>
      </c>
      <c r="D253" s="5" t="s">
        <v>35</v>
      </c>
      <c r="E253" s="5" t="s">
        <v>2597</v>
      </c>
      <c r="F253" s="5" t="s">
        <v>37</v>
      </c>
      <c r="G253" s="5" t="s">
        <v>2598</v>
      </c>
      <c r="H253" s="6" t="s">
        <v>2599</v>
      </c>
      <c r="I253" s="7" t="s">
        <v>2600</v>
      </c>
      <c r="J253" s="8" t="str">
        <f>HYPERLINK("https://drive.google.com/file/d/1q79gCfKTd6MA2An9Bh6FuKQBub2rRNZq/view?usp=drivesdk","UDIN MAULUDIN SERTIFIKAT BerAKHLAK")</f>
        <v>UDIN MAULUDIN SERTIFIKAT BerAKHLAK</v>
      </c>
      <c r="K253" s="5" t="s">
        <v>2244</v>
      </c>
      <c r="L253" s="5" t="s">
        <v>2601</v>
      </c>
      <c r="M253" s="5" t="s">
        <v>2602</v>
      </c>
      <c r="N253" s="7" t="s">
        <v>2603</v>
      </c>
      <c r="O253" s="8" t="str">
        <f>HYPERLINK("https://drive.google.com/file/d/1m7uLFe7xCwM8hxBLWJaV5d0iGwEBXAw4/view?usp=drivesdk","252 &lt;NAMA LENGKAP&gt;&gt; _ SERTIFIKAT BIMTEK IPASN BerAKHLASK")</f>
        <v>252 &lt;NAMA LENGKAP&gt;&gt; _ SERTIFIKAT BIMTEK IPASN BerAKHLASK</v>
      </c>
      <c r="P253" s="5" t="s">
        <v>837</v>
      </c>
      <c r="Q253" s="5" t="s">
        <v>2604</v>
      </c>
      <c r="R253" s="7" t="s">
        <v>2605</v>
      </c>
      <c r="S253" s="7" t="str">
        <f>HYPERLINK("https://drive.google.com/file/d/1OrXG52IX87eOPzhUtxN3sPHemtM4cEEU/view?usp=drivesdk","252_UDIN MAULUDIN SERTIFIKAT BIMTEK IPASN-BerAKHLAK")</f>
        <v>252_UDIN MAULUDIN SERTIFIKAT BIMTEK IPASN-BerAKHLAK</v>
      </c>
      <c r="T253" s="5" t="s">
        <v>2578</v>
      </c>
    </row>
    <row r="254">
      <c r="A254" s="4">
        <v>45534.31669478009</v>
      </c>
      <c r="B254" s="5" t="s">
        <v>34</v>
      </c>
      <c r="D254" s="5" t="s">
        <v>35</v>
      </c>
      <c r="E254" s="5" t="s">
        <v>2606</v>
      </c>
      <c r="F254" s="5" t="s">
        <v>328</v>
      </c>
      <c r="G254" s="5" t="s">
        <v>2607</v>
      </c>
      <c r="H254" s="6" t="s">
        <v>2608</v>
      </c>
      <c r="I254" s="7" t="s">
        <v>2609</v>
      </c>
      <c r="J254" s="8" t="str">
        <f>HYPERLINK("https://drive.google.com/file/d/14f6tyId9mikOYFuPsHzzl36wuVUgTWZx/view?usp=drivesdk","ANDRI SETIAWAN.,S.PD.I.,CPHR.,CHRA. SERTIFIKAT BerAKHLAK")</f>
        <v>ANDRI SETIAWAN.,S.PD.I.,CPHR.,CHRA. SERTIFIKAT BerAKHLAK</v>
      </c>
      <c r="K254" s="5" t="s">
        <v>2244</v>
      </c>
      <c r="L254" s="5" t="s">
        <v>2610</v>
      </c>
      <c r="M254" s="5" t="s">
        <v>2611</v>
      </c>
      <c r="N254" s="7" t="s">
        <v>2612</v>
      </c>
      <c r="O254" s="8" t="str">
        <f>HYPERLINK("https://drive.google.com/file/d/1zaeI4En_TVXk6FONzpJNSbSKoGroSp4B/view?usp=drivesdk","253 &lt;NAMA LENGKAP&gt;&gt; _ SERTIFIKAT BIMTEK IPASN BerAKHLASK")</f>
        <v>253 &lt;NAMA LENGKAP&gt;&gt; _ SERTIFIKAT BIMTEK IPASN BerAKHLASK</v>
      </c>
      <c r="P254" s="5" t="s">
        <v>837</v>
      </c>
      <c r="Q254" s="5" t="s">
        <v>2613</v>
      </c>
      <c r="R254" s="7" t="s">
        <v>2614</v>
      </c>
      <c r="S254" s="7" t="str">
        <f>HYPERLINK("https://drive.google.com/file/d/13DliNSPXsHEUFVagmUlz15LOSEx-7J8k/view?usp=drivesdk","253_ANDRI SETIAWAN.,S.PD.I.,CPHR.,CHRA. SERTIFIKAT BIMTEK IPASN-BerAKHLAK")</f>
        <v>253_ANDRI SETIAWAN.,S.PD.I.,CPHR.,CHRA. SERTIFIKAT BIMTEK IPASN-BerAKHLAK</v>
      </c>
      <c r="T254" s="5" t="s">
        <v>2578</v>
      </c>
    </row>
    <row r="255" hidden="1">
      <c r="A255" s="4">
        <v>45534.3167175</v>
      </c>
      <c r="B255" s="5" t="s">
        <v>19</v>
      </c>
      <c r="C255" s="5" t="s">
        <v>466</v>
      </c>
      <c r="E255" s="5" t="s">
        <v>2615</v>
      </c>
      <c r="F255" s="5" t="s">
        <v>212</v>
      </c>
      <c r="G255" s="5" t="s">
        <v>2616</v>
      </c>
      <c r="H255" s="6" t="s">
        <v>2617</v>
      </c>
      <c r="I255" s="7" t="s">
        <v>2618</v>
      </c>
      <c r="J255" s="8" t="str">
        <f>HYPERLINK("https://drive.google.com/file/d/1bYgSu8WES6Puw21eUnlxKQtRmTJf2NGb/view?usp=drivesdk","IIN SUWARTIIIII SERTIFIKAT BerAKHLAK")</f>
        <v>IIN SUWARTIIIII SERTIFIKAT BerAKHLAK</v>
      </c>
      <c r="K255" s="5" t="s">
        <v>2244</v>
      </c>
      <c r="L255" s="5" t="s">
        <v>2619</v>
      </c>
      <c r="M255" s="5" t="s">
        <v>2620</v>
      </c>
      <c r="N255" s="7" t="s">
        <v>2621</v>
      </c>
      <c r="O255" s="8" t="str">
        <f>HYPERLINK("https://drive.google.com/file/d/1cvEt8Ou3Rw8KBmgktW2fKlr48TGaXrWw/view?usp=drivesdk","254 &lt;NAMA LENGKAP&gt;&gt; _ SERTIFIKAT BIMTEK IPASN BerAKHLASK")</f>
        <v>254 &lt;NAMA LENGKAP&gt;&gt; _ SERTIFIKAT BIMTEK IPASN BerAKHLASK</v>
      </c>
      <c r="P255" s="5" t="s">
        <v>878</v>
      </c>
      <c r="Q255" s="5" t="s">
        <v>2622</v>
      </c>
      <c r="R255" s="7" t="s">
        <v>2623</v>
      </c>
      <c r="S255" s="7" t="str">
        <f>HYPERLINK("https://drive.google.com/file/d/1WU759MDb36KJHy5sKLZSSwSCIPe9xs5w/view?usp=drivesdk","254_IIN SUWARTIIIII SERTIFIKAT BIMTEK IPASN-BerAKHLAK")</f>
        <v>254_IIN SUWARTIIIII SERTIFIKAT BIMTEK IPASN-BerAKHLAK</v>
      </c>
      <c r="T255" s="5" t="s">
        <v>2578</v>
      </c>
    </row>
    <row r="256" hidden="1">
      <c r="A256" s="4">
        <v>45534.31673333333</v>
      </c>
      <c r="B256" s="5" t="s">
        <v>19</v>
      </c>
      <c r="C256" s="5" t="s">
        <v>292</v>
      </c>
      <c r="E256" s="5" t="s">
        <v>2624</v>
      </c>
      <c r="F256" s="5" t="s">
        <v>108</v>
      </c>
      <c r="G256" s="5" t="s">
        <v>2625</v>
      </c>
      <c r="H256" s="6" t="s">
        <v>2626</v>
      </c>
      <c r="I256" s="7" t="s">
        <v>2627</v>
      </c>
      <c r="J256" s="8" t="str">
        <f>HYPERLINK("https://drive.google.com/file/d/1TVLHzm2AwCUxDhiiWH56_9dZ-QoccrzN/view?usp=drivesdk","DEWI TRIYANA, A.Md.Keb SERTIFIKAT BerAKHLAK")</f>
        <v>DEWI TRIYANA, A.Md.Keb SERTIFIKAT BerAKHLAK</v>
      </c>
      <c r="K256" s="5" t="s">
        <v>2244</v>
      </c>
      <c r="L256" s="5" t="s">
        <v>2628</v>
      </c>
      <c r="M256" s="5" t="s">
        <v>2629</v>
      </c>
      <c r="N256" s="7" t="s">
        <v>2630</v>
      </c>
      <c r="O256" s="8" t="str">
        <f>HYPERLINK("https://drive.google.com/file/d/1Sk4-ExFLsRWkspyfDBOaGAu1qsK2H-kI/view?usp=drivesdk","255 &lt;NAMA LENGKAP&gt;&gt; _ SERTIFIKAT BIMTEK IPASN BerAKHLASK")</f>
        <v>255 &lt;NAMA LENGKAP&gt;&gt; _ SERTIFIKAT BIMTEK IPASN BerAKHLASK</v>
      </c>
      <c r="P256" s="5" t="s">
        <v>878</v>
      </c>
      <c r="Q256" s="5" t="s">
        <v>2631</v>
      </c>
      <c r="R256" s="7" t="s">
        <v>2632</v>
      </c>
      <c r="S256" s="7" t="str">
        <f>HYPERLINK("https://drive.google.com/file/d/13APWEW4kk3V7b34KO3HQKyiYUw3cQlh2/view?usp=drivesdk","255_DEWI TRIYANA, A.Md.Keb SERTIFIKAT BIMTEK IPASN-BerAKHLAK")</f>
        <v>255_DEWI TRIYANA, A.Md.Keb SERTIFIKAT BIMTEK IPASN-BerAKHLAK</v>
      </c>
      <c r="T256" s="5" t="s">
        <v>2578</v>
      </c>
    </row>
    <row r="257">
      <c r="A257" s="4">
        <v>45534.31674363426</v>
      </c>
      <c r="B257" s="5" t="s">
        <v>34</v>
      </c>
      <c r="D257" s="5" t="s">
        <v>1206</v>
      </c>
      <c r="E257" s="5" t="s">
        <v>2633</v>
      </c>
      <c r="F257" s="5" t="s">
        <v>375</v>
      </c>
      <c r="G257" s="5" t="s">
        <v>2634</v>
      </c>
      <c r="H257" s="6" t="s">
        <v>2635</v>
      </c>
      <c r="I257" s="7" t="s">
        <v>2636</v>
      </c>
      <c r="J257" s="8" t="str">
        <f>HYPERLINK("https://drive.google.com/file/d/1ddQxMcb1oIgXPnk1k_fddZ_s-HqL-bF6/view?usp=drivesdk","ANITA WURI HANDAYANI, S.E., M.M. SERTIFIKAT BerAKHLAK")</f>
        <v>ANITA WURI HANDAYANI, S.E., M.M. SERTIFIKAT BerAKHLAK</v>
      </c>
      <c r="K257" s="5" t="s">
        <v>2244</v>
      </c>
      <c r="L257" s="5" t="s">
        <v>2637</v>
      </c>
      <c r="M257" s="5" t="s">
        <v>2638</v>
      </c>
      <c r="N257" s="7" t="s">
        <v>2639</v>
      </c>
      <c r="O257" s="8" t="str">
        <f>HYPERLINK("https://drive.google.com/file/d/1Xq83ZE3YnK55Amx8RrSC_Qq6xeJn5KXS/view?usp=drivesdk","256 &lt;NAMA LENGKAP&gt;&gt; _ SERTIFIKAT BIMTEK IPASN BerAKHLASK")</f>
        <v>256 &lt;NAMA LENGKAP&gt;&gt; _ SERTIFIKAT BIMTEK IPASN BerAKHLASK</v>
      </c>
      <c r="P257" s="5" t="s">
        <v>878</v>
      </c>
      <c r="Q257" s="5" t="s">
        <v>2640</v>
      </c>
      <c r="R257" s="7" t="s">
        <v>2641</v>
      </c>
      <c r="S257" s="7" t="str">
        <f>HYPERLINK("https://drive.google.com/file/d/1GCHh_Jv2zfaLL-FOuSjfspTXrA12pTCo/view?usp=drivesdk","256_ANITA WURI HANDAYANI, S.E., M.M. SERTIFIKAT BIMTEK IPASN-BerAKHLAK")</f>
        <v>256_ANITA WURI HANDAYANI, S.E., M.M. SERTIFIKAT BIMTEK IPASN-BerAKHLAK</v>
      </c>
      <c r="T257" s="5" t="s">
        <v>2642</v>
      </c>
    </row>
    <row r="258">
      <c r="A258" s="4">
        <v>45534.31674988426</v>
      </c>
      <c r="B258" s="5" t="s">
        <v>34</v>
      </c>
      <c r="D258" s="5" t="s">
        <v>1206</v>
      </c>
      <c r="E258" s="5" t="s">
        <v>2643</v>
      </c>
      <c r="F258" s="5" t="s">
        <v>212</v>
      </c>
      <c r="G258" s="5" t="s">
        <v>2644</v>
      </c>
      <c r="H258" s="6" t="s">
        <v>2645</v>
      </c>
      <c r="I258" s="7" t="s">
        <v>2646</v>
      </c>
      <c r="J258" s="8" t="str">
        <f>HYPERLINK("https://drive.google.com/file/d/1t2ZCPpZJh3rN3RDs5GP31nqHEQKM-vbN/view?usp=drivesdk","SEPTINA FITRIYA SERTIFIKAT BerAKHLAK")</f>
        <v>SEPTINA FITRIYA SERTIFIKAT BerAKHLAK</v>
      </c>
      <c r="K258" s="5" t="s">
        <v>2244</v>
      </c>
      <c r="L258" s="5" t="s">
        <v>2647</v>
      </c>
      <c r="M258" s="5" t="s">
        <v>2648</v>
      </c>
      <c r="N258" s="7" t="s">
        <v>2649</v>
      </c>
      <c r="O258" s="8" t="str">
        <f>HYPERLINK("https://drive.google.com/file/d/19V3tjQUSxVL2ivGW93iaYzxc-3WW1KtW/view?usp=drivesdk","257 &lt;NAMA LENGKAP&gt;&gt; _ SERTIFIKAT BIMTEK IPASN BerAKHLASK")</f>
        <v>257 &lt;NAMA LENGKAP&gt;&gt; _ SERTIFIKAT BIMTEK IPASN BerAKHLASK</v>
      </c>
      <c r="P258" s="5" t="s">
        <v>878</v>
      </c>
      <c r="Q258" s="5" t="s">
        <v>2650</v>
      </c>
      <c r="R258" s="7" t="s">
        <v>2651</v>
      </c>
      <c r="S258" s="7" t="str">
        <f>HYPERLINK("https://drive.google.com/file/d/1bJJ5SAwAYtq25baq-1votoxWAFsUYFOa/view?usp=drivesdk","257_SEPTINA FITRIYA SERTIFIKAT BIMTEK IPASN-BerAKHLAK")</f>
        <v>257_SEPTINA FITRIYA SERTIFIKAT BIMTEK IPASN-BerAKHLAK</v>
      </c>
      <c r="T258" s="5" t="s">
        <v>2642</v>
      </c>
    </row>
    <row r="259">
      <c r="A259" s="4">
        <v>45534.31675077546</v>
      </c>
      <c r="B259" s="5" t="s">
        <v>34</v>
      </c>
      <c r="D259" s="5" t="s">
        <v>522</v>
      </c>
      <c r="E259" s="5" t="s">
        <v>2652</v>
      </c>
      <c r="F259" s="5" t="s">
        <v>37</v>
      </c>
      <c r="G259" s="5" t="s">
        <v>2653</v>
      </c>
      <c r="H259" s="6" t="s">
        <v>2654</v>
      </c>
      <c r="I259" s="7" t="s">
        <v>2655</v>
      </c>
      <c r="J259" s="8" t="str">
        <f>HYPERLINK("https://drive.google.com/file/d/14tgErcSy2Kp19Y9HPhHQ68-2gvI39zlw/view?usp=drivesdk","ROI HADI HAMDANI,A.Md.Kep. SERTIFIKAT BerAKHLAK")</f>
        <v>ROI HADI HAMDANI,A.Md.Kep. SERTIFIKAT BerAKHLAK</v>
      </c>
      <c r="K259" s="5" t="s">
        <v>2358</v>
      </c>
      <c r="L259" s="5" t="s">
        <v>2656</v>
      </c>
      <c r="M259" s="5" t="s">
        <v>2657</v>
      </c>
      <c r="N259" s="7" t="s">
        <v>2658</v>
      </c>
      <c r="O259" s="8" t="str">
        <f>HYPERLINK("https://drive.google.com/file/d/1_3EGG8_CkOeK_80q9D6sZfSUesxM4QMs/view?usp=drivesdk","258 &lt;NAMA LENGKAP&gt;&gt; _ SERTIFIKAT BIMTEK IPASN BerAKHLASK")</f>
        <v>258 &lt;NAMA LENGKAP&gt;&gt; _ SERTIFIKAT BIMTEK IPASN BerAKHLASK</v>
      </c>
      <c r="P259" s="5" t="s">
        <v>878</v>
      </c>
      <c r="Q259" s="5" t="s">
        <v>2659</v>
      </c>
      <c r="R259" s="7" t="s">
        <v>2660</v>
      </c>
      <c r="S259" s="7" t="str">
        <f>HYPERLINK("https://drive.google.com/file/d/1CeOVE0dMRIzAbE-V5j1eTOG3zu_NVpTD/view?usp=drivesdk","258_ROI HADI HAMDANI,A.Md.Kep. SERTIFIKAT BIMTEK IPASN-BerAKHLAK")</f>
        <v>258_ROI HADI HAMDANI,A.Md.Kep. SERTIFIKAT BIMTEK IPASN-BerAKHLAK</v>
      </c>
      <c r="T259" s="5" t="s">
        <v>2642</v>
      </c>
    </row>
    <row r="260">
      <c r="A260" s="4">
        <v>45534.31676425926</v>
      </c>
      <c r="B260" s="5" t="s">
        <v>34</v>
      </c>
      <c r="D260" s="5" t="s">
        <v>522</v>
      </c>
      <c r="E260" s="5" t="s">
        <v>2661</v>
      </c>
      <c r="F260" s="5" t="s">
        <v>715</v>
      </c>
      <c r="G260" s="5" t="s">
        <v>2662</v>
      </c>
      <c r="H260" s="6" t="s">
        <v>2663</v>
      </c>
      <c r="I260" s="7" t="s">
        <v>2664</v>
      </c>
      <c r="J260" s="8" t="str">
        <f>HYPERLINK("https://drive.google.com/file/d/1xoP-Zw0jFRrmNsH1XJShPmLzxO701Epb/view?usp=drivesdk","HERLINA EFENDI.A.M.D SERTIFIKAT BerAKHLAK")</f>
        <v>HERLINA EFENDI.A.M.D SERTIFIKAT BerAKHLAK</v>
      </c>
      <c r="K260" s="5" t="s">
        <v>2244</v>
      </c>
      <c r="L260" s="5" t="s">
        <v>2665</v>
      </c>
      <c r="M260" s="5" t="s">
        <v>2666</v>
      </c>
      <c r="N260" s="7" t="s">
        <v>2667</v>
      </c>
      <c r="O260" s="8" t="str">
        <f>HYPERLINK("https://drive.google.com/file/d/19caDpYDw9P5L-t8yKGi7t8N515RZzvNW/view?usp=drivesdk","259 &lt;NAMA LENGKAP&gt;&gt; _ SERTIFIKAT BIMTEK IPASN BerAKHLASK")</f>
        <v>259 &lt;NAMA LENGKAP&gt;&gt; _ SERTIFIKAT BIMTEK IPASN BerAKHLASK</v>
      </c>
      <c r="P260" s="5" t="s">
        <v>878</v>
      </c>
      <c r="Q260" s="5" t="s">
        <v>2668</v>
      </c>
      <c r="R260" s="7" t="s">
        <v>2669</v>
      </c>
      <c r="S260" s="7" t="str">
        <f>HYPERLINK("https://drive.google.com/file/d/1JxowHn4y2xMo8fh9w7HcZSAftTUoUY4y/view?usp=drivesdk","259_HERLINA EFENDI.A.M.D SERTIFIKAT BIMTEK IPASN-BerAKHLAK")</f>
        <v>259_HERLINA EFENDI.A.M.D SERTIFIKAT BIMTEK IPASN-BerAKHLAK</v>
      </c>
      <c r="T260" s="5" t="s">
        <v>2642</v>
      </c>
    </row>
    <row r="261">
      <c r="A261" s="4">
        <v>45534.316773252314</v>
      </c>
      <c r="B261" s="5" t="s">
        <v>34</v>
      </c>
      <c r="D261" s="5" t="s">
        <v>522</v>
      </c>
      <c r="E261" s="5" t="s">
        <v>2670</v>
      </c>
      <c r="F261" s="5" t="s">
        <v>715</v>
      </c>
      <c r="G261" s="5" t="s">
        <v>2671</v>
      </c>
      <c r="H261" s="6" t="s">
        <v>2672</v>
      </c>
      <c r="I261" s="7" t="s">
        <v>2673</v>
      </c>
      <c r="J261" s="8" t="str">
        <f>HYPERLINK("https://drive.google.com/file/d/1I2RPjowRAlMT9jdvfxCIMJCwfBoC06zH/view?usp=drivesdk","DEASY RAHMA WATI SERTIFIKAT BerAKHLAK")</f>
        <v>DEASY RAHMA WATI SERTIFIKAT BerAKHLAK</v>
      </c>
      <c r="K261" s="5" t="s">
        <v>2244</v>
      </c>
      <c r="L261" s="5" t="s">
        <v>2674</v>
      </c>
      <c r="M261" s="5" t="s">
        <v>2675</v>
      </c>
      <c r="N261" s="7" t="s">
        <v>2676</v>
      </c>
      <c r="O261" s="8" t="str">
        <f>HYPERLINK("https://drive.google.com/file/d/1h8x8-3PSQj9jH0EmbRMbfFn_VIAz3APH/view?usp=drivesdk","260 &lt;NAMA LENGKAP&gt;&gt; _ SERTIFIKAT BIMTEK IPASN BerAKHLASK")</f>
        <v>260 &lt;NAMA LENGKAP&gt;&gt; _ SERTIFIKAT BIMTEK IPASN BerAKHLASK</v>
      </c>
      <c r="P261" s="5" t="s">
        <v>940</v>
      </c>
      <c r="Q261" s="5" t="s">
        <v>2677</v>
      </c>
      <c r="R261" s="7" t="s">
        <v>2678</v>
      </c>
      <c r="S261" s="7" t="str">
        <f>HYPERLINK("https://drive.google.com/file/d/1BzcJg8CGTDe9r1gqNvmkTfA_Y2X8f-9_/view?usp=drivesdk","260_DEASY RAHMA WATI SERTIFIKAT BIMTEK IPASN-BerAKHLAK")</f>
        <v>260_DEASY RAHMA WATI SERTIFIKAT BIMTEK IPASN-BerAKHLAK</v>
      </c>
      <c r="T261" s="5" t="s">
        <v>2642</v>
      </c>
    </row>
    <row r="262">
      <c r="A262" s="4">
        <v>45534.31680425926</v>
      </c>
      <c r="B262" s="5" t="s">
        <v>34</v>
      </c>
      <c r="D262" s="5" t="s">
        <v>35</v>
      </c>
      <c r="E262" s="5" t="s">
        <v>2679</v>
      </c>
      <c r="F262" s="5" t="s">
        <v>37</v>
      </c>
      <c r="G262" s="5" t="s">
        <v>2680</v>
      </c>
      <c r="H262" s="6" t="s">
        <v>2681</v>
      </c>
      <c r="I262" s="7" t="s">
        <v>2682</v>
      </c>
      <c r="J262" s="8" t="str">
        <f>HYPERLINK("https://drive.google.com/file/d/1lUAhBoExJmIfysHTe_YHi_txk-sJDmcj/view?usp=drivesdk","ATEP SAEPUL ANWAR SERTIFIKAT BerAKHLAK")</f>
        <v>ATEP SAEPUL ANWAR SERTIFIKAT BerAKHLAK</v>
      </c>
      <c r="K262" s="5" t="s">
        <v>2244</v>
      </c>
      <c r="L262" s="5" t="s">
        <v>2683</v>
      </c>
      <c r="M262" s="5" t="s">
        <v>2684</v>
      </c>
      <c r="N262" s="7" t="s">
        <v>2685</v>
      </c>
      <c r="O262" s="8" t="str">
        <f>HYPERLINK("https://drive.google.com/file/d/1YK0XOQwTYh2WN1qos7Mv29dP5hL8PqwX/view?usp=drivesdk","261_ATEP SAEPUL ANWAR _ SERTIFIKAT BIMTEK IPASN BerAKHLASK")</f>
        <v>261_ATEP SAEPUL ANWAR _ SERTIFIKAT BIMTEK IPASN BerAKHLASK</v>
      </c>
      <c r="P262" s="5" t="s">
        <v>2400</v>
      </c>
      <c r="Q262" s="5" t="s">
        <v>2686</v>
      </c>
      <c r="R262" s="7" t="s">
        <v>2687</v>
      </c>
      <c r="S262" s="7" t="str">
        <f>HYPERLINK("https://drive.google.com/file/d/1QH4MhZcCkOmX7E44XDYlQIsIyxztDI8L/view?usp=drivesdk","261_ATEP SAEPUL ANWAR SERTIFIKAT BIMTEK IPASN-BerAKHLAK")</f>
        <v>261_ATEP SAEPUL ANWAR SERTIFIKAT BIMTEK IPASN-BerAKHLAK</v>
      </c>
      <c r="T262" s="5" t="s">
        <v>2688</v>
      </c>
    </row>
    <row r="263">
      <c r="A263" s="4">
        <v>45534.31681940972</v>
      </c>
      <c r="B263" s="5" t="s">
        <v>34</v>
      </c>
      <c r="D263" s="5" t="s">
        <v>1206</v>
      </c>
      <c r="E263" s="5" t="s">
        <v>2689</v>
      </c>
      <c r="F263" s="5" t="s">
        <v>328</v>
      </c>
      <c r="G263" s="5" t="s">
        <v>2690</v>
      </c>
      <c r="H263" s="6" t="s">
        <v>2691</v>
      </c>
      <c r="I263" s="7" t="s">
        <v>2692</v>
      </c>
      <c r="J263" s="8" t="str">
        <f>HYPERLINK("https://drive.google.com/file/d/1RNMJAbdBxjOm6VPIyaMNqBgOMW0kG9Tr/view?usp=drivesdk","MISLANI ROHIMAWATI SERTIFIKAT BerAKHLAK")</f>
        <v>MISLANI ROHIMAWATI SERTIFIKAT BerAKHLAK</v>
      </c>
      <c r="K263" s="5" t="s">
        <v>2244</v>
      </c>
      <c r="L263" s="5" t="s">
        <v>2693</v>
      </c>
      <c r="M263" s="5" t="s">
        <v>2694</v>
      </c>
      <c r="N263" s="7" t="s">
        <v>2695</v>
      </c>
      <c r="O263" s="8" t="str">
        <f>HYPERLINK("https://drive.google.com/file/d/1yiqdjsowCqT6pNlUXeV7LXAFCF5hE425/view?usp=drivesdk","262_MISLANI ROHIMAWATI _ SERTIFIKAT BIMTEK IPASN BerAKHLASK")</f>
        <v>262_MISLANI ROHIMAWATI _ SERTIFIKAT BIMTEK IPASN BerAKHLASK</v>
      </c>
      <c r="P263" s="5" t="s">
        <v>2400</v>
      </c>
      <c r="Q263" s="5" t="s">
        <v>2696</v>
      </c>
      <c r="R263" s="7" t="s">
        <v>2697</v>
      </c>
      <c r="S263" s="7" t="str">
        <f>HYPERLINK("https://drive.google.com/file/d/1OGI-cEQ8xwSXu41TsUJVyYrgtzHVIES1/view?usp=drivesdk","262_MISLANI ROHIMAWATI SERTIFIKAT BIMTEK IPASN-BerAKHLAK")</f>
        <v>262_MISLANI ROHIMAWATI SERTIFIKAT BIMTEK IPASN-BerAKHLAK</v>
      </c>
      <c r="T263" s="5" t="s">
        <v>2688</v>
      </c>
    </row>
    <row r="264">
      <c r="A264" s="4">
        <v>45534.31683545139</v>
      </c>
      <c r="B264" s="5" t="s">
        <v>34</v>
      </c>
      <c r="D264" s="5" t="s">
        <v>604</v>
      </c>
      <c r="E264" s="5" t="s">
        <v>2698</v>
      </c>
      <c r="F264" s="5" t="s">
        <v>120</v>
      </c>
      <c r="G264" s="5" t="s">
        <v>2699</v>
      </c>
      <c r="H264" s="6" t="s">
        <v>2700</v>
      </c>
      <c r="I264" s="7" t="s">
        <v>2701</v>
      </c>
      <c r="J264" s="8" t="str">
        <f>HYPERLINK("https://drive.google.com/file/d/1nAEkqOKHz3XA_aWPWKWUqqWoi2H_WOd6/view?usp=drivesdk","ERLINA HENDRIASTUTI SERTIFIKAT BerAKHLAK")</f>
        <v>ERLINA HENDRIASTUTI SERTIFIKAT BerAKHLAK</v>
      </c>
      <c r="K264" s="5" t="s">
        <v>2244</v>
      </c>
      <c r="L264" s="5" t="s">
        <v>2702</v>
      </c>
      <c r="M264" s="5" t="s">
        <v>2703</v>
      </c>
      <c r="N264" s="7" t="s">
        <v>2704</v>
      </c>
      <c r="O264" s="8" t="str">
        <f>HYPERLINK("https://drive.google.com/file/d/1TFvK5atqUaA50nXDilN4ivizsh1sfS6X/view?usp=drivesdk","263_ERLINA HENDRIASTUTI _ SERTIFIKAT BIMTEK IPASN BerAKHLASK")</f>
        <v>263_ERLINA HENDRIASTUTI _ SERTIFIKAT BIMTEK IPASN BerAKHLASK</v>
      </c>
      <c r="P264" s="5" t="s">
        <v>2400</v>
      </c>
      <c r="Q264" s="5" t="s">
        <v>2705</v>
      </c>
      <c r="R264" s="7" t="s">
        <v>2706</v>
      </c>
      <c r="S264" s="7" t="str">
        <f>HYPERLINK("https://drive.google.com/file/d/1RYwbJ5stno88YuFWDgjj7TXxeHvuiLrP/view?usp=drivesdk","263_ERLINA HENDRIASTUTI SERTIFIKAT BIMTEK IPASN-BerAKHLAK")</f>
        <v>263_ERLINA HENDRIASTUTI SERTIFIKAT BIMTEK IPASN-BerAKHLAK</v>
      </c>
      <c r="T264" s="5" t="s">
        <v>2688</v>
      </c>
    </row>
    <row r="265">
      <c r="A265" s="4">
        <v>45534.31686761574</v>
      </c>
      <c r="B265" s="5" t="s">
        <v>34</v>
      </c>
      <c r="D265" s="5" t="s">
        <v>1206</v>
      </c>
      <c r="E265" s="5" t="s">
        <v>2707</v>
      </c>
      <c r="F265" s="5" t="s">
        <v>212</v>
      </c>
      <c r="G265" s="5" t="s">
        <v>2708</v>
      </c>
      <c r="H265" s="6" t="s">
        <v>2709</v>
      </c>
      <c r="I265" s="7" t="s">
        <v>2710</v>
      </c>
      <c r="J265" s="8" t="str">
        <f>HYPERLINK("https://drive.google.com/file/d/14rzJ3XL7i1w2-0OEFI0r1mXnnN-4zYhj/view?usp=drivesdk","DWI NOVI ANDRIYANTO,S. Kep. Ners SERTIFIKAT BerAKHLAK")</f>
        <v>DWI NOVI ANDRIYANTO,S. Kep. Ners SERTIFIKAT BerAKHLAK</v>
      </c>
      <c r="K265" s="5" t="s">
        <v>2244</v>
      </c>
      <c r="L265" s="5" t="s">
        <v>2711</v>
      </c>
      <c r="M265" s="5" t="s">
        <v>2712</v>
      </c>
      <c r="N265" s="7" t="s">
        <v>2713</v>
      </c>
      <c r="O265" s="8" t="str">
        <f>HYPERLINK("https://drive.google.com/file/d/1gFT5hQ5GZ4NQNHQ2bq32dg4MeCdGeHFx/view?usp=drivesdk","264_DWI NOVI ANDRIYANTO,S. Kep. Ners _ SERTIFIKAT BIMTEK IPASN BerAKHLASK")</f>
        <v>264_DWI NOVI ANDRIYANTO,S. Kep. Ners _ SERTIFIKAT BIMTEK IPASN BerAKHLASK</v>
      </c>
      <c r="P265" s="5" t="s">
        <v>2400</v>
      </c>
      <c r="Q265" s="5" t="s">
        <v>2714</v>
      </c>
      <c r="R265" s="7" t="s">
        <v>2715</v>
      </c>
      <c r="S265" s="7" t="str">
        <f>HYPERLINK("https://drive.google.com/file/d/1fCftjvs5bgt50Xnl6itetm1DdvshBpCC/view?usp=drivesdk","264_DWI NOVI ANDRIYANTO,S. Kep. Ners SERTIFIKAT BIMTEK IPASN-BerAKHLAK")</f>
        <v>264_DWI NOVI ANDRIYANTO,S. Kep. Ners SERTIFIKAT BIMTEK IPASN-BerAKHLAK</v>
      </c>
      <c r="T265" s="5" t="s">
        <v>2688</v>
      </c>
    </row>
    <row r="266">
      <c r="A266" s="4">
        <v>45534.31687412037</v>
      </c>
      <c r="B266" s="5" t="s">
        <v>34</v>
      </c>
      <c r="D266" s="5" t="s">
        <v>1663</v>
      </c>
      <c r="E266" s="5" t="s">
        <v>2716</v>
      </c>
      <c r="F266" s="5" t="s">
        <v>37</v>
      </c>
      <c r="G266" s="5" t="s">
        <v>2717</v>
      </c>
      <c r="H266" s="6" t="s">
        <v>2718</v>
      </c>
      <c r="I266" s="7" t="s">
        <v>2719</v>
      </c>
      <c r="J266" s="8" t="str">
        <f>HYPERLINK("https://drive.google.com/file/d/1UyW5gA8I1egPlewK9Nd6r7GfTY3K7YhX/view?usp=drivesdk","DIAN RETNO HANDAYANI, S.H. SERTIFIKAT BerAKHLAK")</f>
        <v>DIAN RETNO HANDAYANI, S.H. SERTIFIKAT BerAKHLAK</v>
      </c>
      <c r="K266" s="5" t="s">
        <v>2244</v>
      </c>
      <c r="L266" s="5" t="s">
        <v>2720</v>
      </c>
      <c r="M266" s="5" t="s">
        <v>2721</v>
      </c>
      <c r="N266" s="7" t="s">
        <v>2722</v>
      </c>
      <c r="O266" s="8" t="str">
        <f>HYPERLINK("https://drive.google.com/file/d/1aMPMrAWAjeg4ySjqynGnr6RaohJ8PjlI/view?usp=drivesdk","265_DIAN RETNO HANDAYANI, S.H. _ SERTIFIKAT BIMTEK IPASN BerAKHLASK")</f>
        <v>265_DIAN RETNO HANDAYANI, S.H. _ SERTIFIKAT BIMTEK IPASN BerAKHLASK</v>
      </c>
      <c r="P266" s="5" t="s">
        <v>2400</v>
      </c>
      <c r="Q266" s="5" t="s">
        <v>2723</v>
      </c>
      <c r="R266" s="7" t="s">
        <v>2724</v>
      </c>
      <c r="S266" s="7" t="str">
        <f>HYPERLINK("https://drive.google.com/file/d/1qeQRGla8E_sHJ3afzH6s7ElGul5h7Wgh/view?usp=drivesdk","265_DIAN RETNO HANDAYANI, S.H. SERTIFIKAT BIMTEK IPASN-BerAKHLAK")</f>
        <v>265_DIAN RETNO HANDAYANI, S.H. SERTIFIKAT BIMTEK IPASN-BerAKHLAK</v>
      </c>
      <c r="T266" s="5" t="s">
        <v>2688</v>
      </c>
    </row>
    <row r="267">
      <c r="A267" s="4">
        <v>45534.31688075232</v>
      </c>
      <c r="B267" s="5" t="s">
        <v>34</v>
      </c>
      <c r="D267" s="5" t="s">
        <v>1456</v>
      </c>
      <c r="E267" s="5" t="s">
        <v>2725</v>
      </c>
      <c r="F267" s="5" t="s">
        <v>524</v>
      </c>
      <c r="G267" s="5" t="s">
        <v>2726</v>
      </c>
      <c r="H267" s="6" t="s">
        <v>2727</v>
      </c>
      <c r="I267" s="7" t="s">
        <v>2728</v>
      </c>
      <c r="J267" s="8" t="str">
        <f>HYPERLINK("https://drive.google.com/file/d/1sRIkwl76uf_C9wpQ17RIWYqBm3a_s1S9/view?usp=drivesdk","EKO NOPRIANSYAH  SERTIFIKAT BerAKHLAK")</f>
        <v>EKO NOPRIANSYAH  SERTIFIKAT BerAKHLAK</v>
      </c>
      <c r="K267" s="5" t="s">
        <v>2244</v>
      </c>
      <c r="L267" s="5" t="s">
        <v>2729</v>
      </c>
      <c r="M267" s="5" t="s">
        <v>2730</v>
      </c>
      <c r="N267" s="7" t="s">
        <v>2731</v>
      </c>
      <c r="O267" s="8" t="str">
        <f>HYPERLINK("https://drive.google.com/file/d/1cl_V3W026KKMme9XKt_S-Et7wfZz3jTT/view?usp=drivesdk","266_EKO NOPRIANSYAH  _ SERTIFIKAT BIMTEK IPASN BerAKHLASK")</f>
        <v>266_EKO NOPRIANSYAH  _ SERTIFIKAT BIMTEK IPASN BerAKHLASK</v>
      </c>
      <c r="P267" s="5" t="s">
        <v>2400</v>
      </c>
      <c r="Q267" s="5" t="s">
        <v>2732</v>
      </c>
      <c r="R267" s="7" t="s">
        <v>2733</v>
      </c>
      <c r="S267" s="7" t="str">
        <f>HYPERLINK("https://drive.google.com/file/d/1mNg9E_Wiq1s7yhRkl6bHlSKQxn1wHhXN/view?usp=drivesdk","266_EKO NOPRIANSYAH  SERTIFIKAT BIMTEK IPASN-BerAKHLAK")</f>
        <v>266_EKO NOPRIANSYAH  SERTIFIKAT BIMTEK IPASN-BerAKHLAK</v>
      </c>
      <c r="T267" s="5" t="s">
        <v>2734</v>
      </c>
    </row>
    <row r="268" hidden="1">
      <c r="A268" s="4">
        <v>45534.31689306713</v>
      </c>
      <c r="B268" s="5" t="s">
        <v>19</v>
      </c>
      <c r="C268" s="5" t="s">
        <v>466</v>
      </c>
      <c r="E268" s="5" t="s">
        <v>2735</v>
      </c>
      <c r="F268" s="5" t="s">
        <v>212</v>
      </c>
      <c r="G268" s="5" t="s">
        <v>2736</v>
      </c>
      <c r="H268" s="6" t="s">
        <v>2737</v>
      </c>
      <c r="I268" s="7" t="s">
        <v>2738</v>
      </c>
      <c r="J268" s="8" t="str">
        <f>HYPERLINK("https://drive.google.com/file/d/1UsjuXoxsRSOEFdDyl2-qsuNnwAoxCbwi/view?usp=drivesdk","ALIN NURHAFINI MAULANI SERTIFIKAT BerAKHLAK")</f>
        <v>ALIN NURHAFINI MAULANI SERTIFIKAT BerAKHLAK</v>
      </c>
      <c r="K268" s="5" t="s">
        <v>2244</v>
      </c>
      <c r="L268" s="5" t="s">
        <v>2739</v>
      </c>
      <c r="M268" s="5" t="s">
        <v>2740</v>
      </c>
      <c r="N268" s="7" t="s">
        <v>2741</v>
      </c>
      <c r="O268" s="8" t="str">
        <f>HYPERLINK("https://drive.google.com/file/d/1VRl9D_a6eaEkiq_EgpNySyqM6tVTVUQv/view?usp=drivesdk","267_ALIN NURHAFINI MAULANI _ SERTIFIKAT BIMTEK IPASN BerAKHLASK")</f>
        <v>267_ALIN NURHAFINI MAULANI _ SERTIFIKAT BIMTEK IPASN BerAKHLASK</v>
      </c>
      <c r="P268" s="5" t="s">
        <v>2742</v>
      </c>
      <c r="Q268" s="5" t="s">
        <v>2743</v>
      </c>
      <c r="R268" s="7" t="s">
        <v>2744</v>
      </c>
      <c r="S268" s="7" t="str">
        <f>HYPERLINK("https://drive.google.com/file/d/1lEX0bObsZg7rhNJGPeXY0k499HeLWOrX/view?usp=drivesdk","267_ALIN NURHAFINI MAULANI SERTIFIKAT BIMTEK IPASN-BerAKHLAK")</f>
        <v>267_ALIN NURHAFINI MAULANI SERTIFIKAT BIMTEK IPASN-BerAKHLAK</v>
      </c>
      <c r="T268" s="5" t="s">
        <v>2734</v>
      </c>
    </row>
    <row r="269">
      <c r="A269" s="4">
        <v>45534.316898668985</v>
      </c>
      <c r="B269" s="5" t="s">
        <v>34</v>
      </c>
      <c r="D269" s="5" t="s">
        <v>522</v>
      </c>
      <c r="E269" s="5" t="s">
        <v>2745</v>
      </c>
      <c r="F269" s="5" t="s">
        <v>375</v>
      </c>
      <c r="G269" s="5" t="s">
        <v>2746</v>
      </c>
      <c r="H269" s="6" t="s">
        <v>2747</v>
      </c>
      <c r="I269" s="7" t="s">
        <v>2748</v>
      </c>
      <c r="J269" s="8" t="str">
        <f>HYPERLINK("https://drive.google.com/file/d/1Y1JID9_F-zpO5UnmHUp91CNVBYoo6Cus/view?usp=drivesdk","PUTU WIWIK ASNAWATI. S.Ag., M.M. SERTIFIKAT BerAKHLAK")</f>
        <v>PUTU WIWIK ASNAWATI. S.Ag., M.M. SERTIFIKAT BerAKHLAK</v>
      </c>
      <c r="K269" s="5" t="s">
        <v>2358</v>
      </c>
      <c r="L269" s="5" t="s">
        <v>2749</v>
      </c>
      <c r="M269" s="5" t="s">
        <v>2750</v>
      </c>
      <c r="N269" s="7" t="s">
        <v>2751</v>
      </c>
      <c r="O269" s="8" t="str">
        <f>HYPERLINK("https://drive.google.com/file/d/1kjRyu-DBBXYPGbfF3KHmhuqgMOEIBQMl/view?usp=drivesdk","268_PUTU WIWIK ASNAWATI. S.Ag., M.M. _ SERTIFIKAT BIMTEK IPASN BerAKHLASK")</f>
        <v>268_PUTU WIWIK ASNAWATI. S.Ag., M.M. _ SERTIFIKAT BIMTEK IPASN BerAKHLASK</v>
      </c>
      <c r="P269" s="5" t="s">
        <v>2742</v>
      </c>
      <c r="Q269" s="5" t="s">
        <v>2752</v>
      </c>
      <c r="R269" s="7" t="s">
        <v>2753</v>
      </c>
      <c r="S269" s="7" t="str">
        <f>HYPERLINK("https://drive.google.com/file/d/1F5UiG7oDtLkzvY7qUwD1ZdiLjm9Bxzi5/view?usp=drivesdk","268_PUTU WIWIK ASNAWATI. S.Ag., M.M. SERTIFIKAT BIMTEK IPASN-BerAKHLAK")</f>
        <v>268_PUTU WIWIK ASNAWATI. S.Ag., M.M. SERTIFIKAT BIMTEK IPASN-BerAKHLAK</v>
      </c>
      <c r="T269" s="5" t="s">
        <v>2734</v>
      </c>
    </row>
    <row r="270">
      <c r="A270" s="4">
        <v>45534.31690417824</v>
      </c>
      <c r="B270" s="5" t="s">
        <v>34</v>
      </c>
      <c r="D270" s="5" t="s">
        <v>604</v>
      </c>
      <c r="E270" s="5" t="s">
        <v>2754</v>
      </c>
      <c r="F270" s="5" t="s">
        <v>72</v>
      </c>
      <c r="G270" s="5" t="s">
        <v>2755</v>
      </c>
      <c r="H270" s="6" t="s">
        <v>2756</v>
      </c>
      <c r="I270" s="7" t="s">
        <v>2757</v>
      </c>
      <c r="J270" s="8" t="str">
        <f>HYPERLINK("https://drive.google.com/file/d/13yJkFMOfYyCdseA0QK8bOwTGvHzW7m1s/view?usp=drivesdk","ASRIANI TODINGAN, AMK SERTIFIKAT BerAKHLAK")</f>
        <v>ASRIANI TODINGAN, AMK SERTIFIKAT BerAKHLAK</v>
      </c>
      <c r="K270" s="5" t="s">
        <v>2358</v>
      </c>
      <c r="L270" s="5" t="s">
        <v>2758</v>
      </c>
      <c r="M270" s="5" t="s">
        <v>2759</v>
      </c>
      <c r="N270" s="7" t="s">
        <v>2760</v>
      </c>
      <c r="O270" s="8" t="str">
        <f>HYPERLINK("https://drive.google.com/file/d/1hJmQcAxxXlEqHhkGHt1uddf2jlaCCUGw/view?usp=drivesdk","269_ASRIANI TODINGAN, AMK _ SERTIFIKAT BIMTEK IPASN BerAKHLASK")</f>
        <v>269_ASRIANI TODINGAN, AMK _ SERTIFIKAT BIMTEK IPASN BerAKHLASK</v>
      </c>
      <c r="P270" s="5" t="s">
        <v>2742</v>
      </c>
      <c r="Q270" s="5" t="s">
        <v>2761</v>
      </c>
      <c r="R270" s="7" t="s">
        <v>2762</v>
      </c>
      <c r="S270" s="7" t="str">
        <f>HYPERLINK("https://drive.google.com/file/d/1DeR1r45fe4dkigYzJwfSMIJLtAH9Mb1t/view?usp=drivesdk","269_ASRIANI TODINGAN, AMK SERTIFIKAT BIMTEK IPASN-BerAKHLAK")</f>
        <v>269_ASRIANI TODINGAN, AMK SERTIFIKAT BIMTEK IPASN-BerAKHLAK</v>
      </c>
      <c r="T270" s="5" t="s">
        <v>2734</v>
      </c>
    </row>
    <row r="271" hidden="1">
      <c r="A271" s="4">
        <v>45534.31691869213</v>
      </c>
      <c r="B271" s="5" t="s">
        <v>19</v>
      </c>
      <c r="C271" s="5" t="s">
        <v>20</v>
      </c>
      <c r="E271" s="5" t="s">
        <v>2763</v>
      </c>
      <c r="F271" s="5" t="s">
        <v>108</v>
      </c>
      <c r="G271" s="5" t="s">
        <v>2764</v>
      </c>
      <c r="H271" s="6" t="s">
        <v>2765</v>
      </c>
      <c r="I271" s="7" t="s">
        <v>2766</v>
      </c>
      <c r="J271" s="8" t="str">
        <f>HYPERLINK("https://drive.google.com/file/d/1BR9OUAwsYtVxJqdZr7e9HnYHXHr3mjtW/view?usp=drivesdk","AAI ALIT NANDYA EVAIRA, S.Psi SERTIFIKAT BerAKHLAK")</f>
        <v>AAI ALIT NANDYA EVAIRA, S.Psi SERTIFIKAT BerAKHLAK</v>
      </c>
      <c r="K271" s="5" t="s">
        <v>2244</v>
      </c>
      <c r="L271" s="5" t="s">
        <v>2767</v>
      </c>
      <c r="M271" s="5" t="s">
        <v>2768</v>
      </c>
      <c r="N271" s="7" t="s">
        <v>2769</v>
      </c>
      <c r="O271" s="8" t="str">
        <f>HYPERLINK("https://drive.google.com/file/d/1Ft0mHEcu3H0H49AsJYpOWfk10JjSxu-N/view?usp=drivesdk","270_AAI ALIT NANDYA EVAIRA, S.Psi _ SERTIFIKAT BIMTEK IPASN BerAKHLASK")</f>
        <v>270_AAI ALIT NANDYA EVAIRA, S.Psi _ SERTIFIKAT BIMTEK IPASN BerAKHLASK</v>
      </c>
      <c r="P271" s="5" t="s">
        <v>2742</v>
      </c>
      <c r="Q271" s="5" t="s">
        <v>2770</v>
      </c>
      <c r="R271" s="7" t="s">
        <v>2771</v>
      </c>
      <c r="S271" s="7" t="str">
        <f>HYPERLINK("https://drive.google.com/file/d/15OhZp8fux2vXGpkHhhzw1IyEUdTzkkqm/view?usp=drivesdk","270_AAI ALIT NANDYA EVAIRA, S.Psi SERTIFIKAT BIMTEK IPASN-BerAKHLAK")</f>
        <v>270_AAI ALIT NANDYA EVAIRA, S.Psi SERTIFIKAT BIMTEK IPASN-BerAKHLAK</v>
      </c>
      <c r="T271" s="5" t="s">
        <v>2734</v>
      </c>
    </row>
    <row r="272">
      <c r="A272" s="4">
        <v>45534.3169309838</v>
      </c>
      <c r="B272" s="5" t="s">
        <v>34</v>
      </c>
      <c r="D272" s="5" t="s">
        <v>1206</v>
      </c>
      <c r="E272" s="5" t="s">
        <v>2772</v>
      </c>
      <c r="F272" s="5" t="s">
        <v>375</v>
      </c>
      <c r="G272" s="5" t="s">
        <v>2773</v>
      </c>
      <c r="H272" s="6" t="s">
        <v>2774</v>
      </c>
      <c r="I272" s="7" t="s">
        <v>2775</v>
      </c>
      <c r="J272" s="8" t="str">
        <f>HYPERLINK("https://drive.google.com/file/d/1e8u1W0KTc5_OLqfVE-fS6Ch6UN-VGMf0/view?usp=drivesdk","ARYANTO ARIBOWO, S.T., M.MT. SERTIFIKAT BerAKHLAK")</f>
        <v>ARYANTO ARIBOWO, S.T., M.MT. SERTIFIKAT BerAKHLAK</v>
      </c>
      <c r="K272" s="5" t="s">
        <v>2244</v>
      </c>
      <c r="L272" s="5" t="s">
        <v>2776</v>
      </c>
      <c r="M272" s="5" t="s">
        <v>2777</v>
      </c>
      <c r="N272" s="7" t="s">
        <v>2778</v>
      </c>
      <c r="O272" s="8" t="str">
        <f>HYPERLINK("https://drive.google.com/file/d/13pwPh-6cW7XeqSwZphb-6tX_kYcauESg/view?usp=drivesdk","271_ARYANTO ARIBOWO, S.T., M.MT. _ SERTIFIKAT BIMTEK IPASN BerAKHLASK")</f>
        <v>271_ARYANTO ARIBOWO, S.T., M.MT. _ SERTIFIKAT BIMTEK IPASN BerAKHLASK</v>
      </c>
      <c r="P272" s="5" t="s">
        <v>2742</v>
      </c>
      <c r="Q272" s="5" t="s">
        <v>2779</v>
      </c>
      <c r="R272" s="7" t="s">
        <v>2780</v>
      </c>
      <c r="S272" s="7" t="str">
        <f>HYPERLINK("https://drive.google.com/file/d/14A0OT4fxRvS-horh80VdMEmkC5qs46So/view?usp=drivesdk","271_ARYANTO ARIBOWO, S.T., M.MT. SERTIFIKAT BIMTEK IPASN-BerAKHLAK")</f>
        <v>271_ARYANTO ARIBOWO, S.T., M.MT. SERTIFIKAT BIMTEK IPASN-BerAKHLAK</v>
      </c>
      <c r="T272" s="5" t="s">
        <v>2781</v>
      </c>
    </row>
    <row r="273">
      <c r="A273" s="4">
        <v>45534.31694421296</v>
      </c>
      <c r="B273" s="5" t="s">
        <v>34</v>
      </c>
      <c r="D273" s="5" t="s">
        <v>604</v>
      </c>
      <c r="E273" s="5" t="s">
        <v>2782</v>
      </c>
      <c r="F273" s="5" t="s">
        <v>72</v>
      </c>
      <c r="G273" s="5" t="s">
        <v>2783</v>
      </c>
      <c r="H273" s="6" t="s">
        <v>2784</v>
      </c>
      <c r="I273" s="7" t="s">
        <v>2785</v>
      </c>
      <c r="J273" s="8" t="str">
        <f>HYPERLINK("https://drive.google.com/file/d/1gKduw8UpdXiFn3llVU58Wl1rUTHSdMTf/view?usp=drivesdk","ELPIDAWATI SIREGAR SERTIFIKAT BerAKHLAK")</f>
        <v>ELPIDAWATI SIREGAR SERTIFIKAT BerAKHLAK</v>
      </c>
      <c r="K273" s="5" t="s">
        <v>2244</v>
      </c>
      <c r="L273" s="5" t="s">
        <v>2786</v>
      </c>
      <c r="M273" s="5" t="s">
        <v>2787</v>
      </c>
      <c r="N273" s="7" t="s">
        <v>2788</v>
      </c>
      <c r="O273" s="8" t="str">
        <f>HYPERLINK("https://drive.google.com/file/d/1ya6zhKD67LqM7jEpYxkDAxm-wUlfArLn/view?usp=drivesdk","272_ELPIDAWATI SIREGAR _ SERTIFIKAT BIMTEK IPASN BerAKHLASK")</f>
        <v>272_ELPIDAWATI SIREGAR _ SERTIFIKAT BIMTEK IPASN BerAKHLASK</v>
      </c>
      <c r="P273" s="5" t="s">
        <v>2742</v>
      </c>
      <c r="Q273" s="5" t="s">
        <v>2789</v>
      </c>
      <c r="R273" s="7" t="s">
        <v>2790</v>
      </c>
      <c r="S273" s="7" t="str">
        <f>HYPERLINK("https://drive.google.com/file/d/1GSeA5zbvBx_iJDqvoYmYAtVK21rpcozf/view?usp=drivesdk","272_ELPIDAWATI SIREGAR SERTIFIKAT BIMTEK IPASN-BerAKHLAK")</f>
        <v>272_ELPIDAWATI SIREGAR SERTIFIKAT BIMTEK IPASN-BerAKHLAK</v>
      </c>
      <c r="T273" s="5" t="s">
        <v>2781</v>
      </c>
    </row>
    <row r="274">
      <c r="A274" s="4">
        <v>45534.31698650463</v>
      </c>
      <c r="B274" s="5" t="s">
        <v>34</v>
      </c>
      <c r="D274" s="5" t="s">
        <v>1768</v>
      </c>
      <c r="E274" s="5" t="s">
        <v>2791</v>
      </c>
      <c r="F274" s="5" t="s">
        <v>72</v>
      </c>
      <c r="G274" s="5" t="s">
        <v>2792</v>
      </c>
      <c r="H274" s="6" t="s">
        <v>2793</v>
      </c>
      <c r="I274" s="7" t="s">
        <v>2794</v>
      </c>
      <c r="J274" s="8" t="str">
        <f>HYPERLINK("https://drive.google.com/file/d/1-VGCD3Z0eZZqHcQBDUhaRVxN7TPaeBL2/view?usp=drivesdk","NANI SUHARTINI SERTIFIKAT BerAKHLAK")</f>
        <v>NANI SUHARTINI SERTIFIKAT BerAKHLAK</v>
      </c>
      <c r="K274" s="5" t="s">
        <v>2244</v>
      </c>
      <c r="L274" s="5" t="s">
        <v>2795</v>
      </c>
      <c r="M274" s="5" t="s">
        <v>2796</v>
      </c>
      <c r="N274" s="7" t="s">
        <v>2797</v>
      </c>
      <c r="O274" s="8" t="str">
        <f>HYPERLINK("https://drive.google.com/file/d/1ZAdi1GAVWIzw92SXNg3Q5em-m0A7Lu95/view?usp=drivesdk","273_NANI SUHARTINI _ SERTIFIKAT BIMTEK IPASN BerAKHLASK")</f>
        <v>273_NANI SUHARTINI _ SERTIFIKAT BIMTEK IPASN BerAKHLASK</v>
      </c>
      <c r="P274" s="5" t="s">
        <v>2798</v>
      </c>
      <c r="Q274" s="5" t="s">
        <v>2799</v>
      </c>
      <c r="R274" s="7" t="s">
        <v>2800</v>
      </c>
      <c r="S274" s="7" t="str">
        <f>HYPERLINK("https://drive.google.com/file/d/12Nd6-WF2ugbdG_NWQgFxjllH2ym_E6P_/view?usp=drivesdk","273_NANI SUHARTINI SERTIFIKAT BIMTEK IPASN-BerAKHLAK")</f>
        <v>273_NANI SUHARTINI SERTIFIKAT BIMTEK IPASN-BerAKHLAK</v>
      </c>
      <c r="T274" s="5" t="s">
        <v>2781</v>
      </c>
    </row>
    <row r="275">
      <c r="A275" s="4">
        <v>45534.31706574074</v>
      </c>
      <c r="B275" s="5" t="s">
        <v>34</v>
      </c>
      <c r="D275" s="5" t="s">
        <v>975</v>
      </c>
      <c r="E275" s="5" t="s">
        <v>2801</v>
      </c>
      <c r="F275" s="5" t="s">
        <v>37</v>
      </c>
      <c r="G275" s="5" t="s">
        <v>2802</v>
      </c>
      <c r="H275" s="6" t="s">
        <v>2803</v>
      </c>
      <c r="I275" s="7" t="s">
        <v>2804</v>
      </c>
      <c r="J275" s="8" t="str">
        <f>HYPERLINK("https://drive.google.com/file/d/1RmZrod5_So-DIyjm0njyD9TIyY24Oo_e/view?usp=drivesdk","WINDA LESTARI, A.Md.Keb SERTIFIKAT BerAKHLAK")</f>
        <v>WINDA LESTARI, A.Md.Keb SERTIFIKAT BerAKHLAK</v>
      </c>
      <c r="K275" s="5" t="s">
        <v>2244</v>
      </c>
      <c r="L275" s="5" t="s">
        <v>2805</v>
      </c>
      <c r="M275" s="5" t="s">
        <v>2806</v>
      </c>
      <c r="N275" s="7" t="s">
        <v>2807</v>
      </c>
      <c r="O275" s="8" t="str">
        <f>HYPERLINK("https://drive.google.com/file/d/10JRhgTiUfQCjzUhZBiAIupIdsUKtGob5/view?usp=drivesdk","274_WINDA LESTARI, A.Md.Keb _ SERTIFIKAT BIMTEK IPASN BerAKHLASK")</f>
        <v>274_WINDA LESTARI, A.Md.Keb _ SERTIFIKAT BIMTEK IPASN BerAKHLASK</v>
      </c>
      <c r="P275" s="5" t="s">
        <v>2798</v>
      </c>
      <c r="Q275" s="5" t="s">
        <v>2808</v>
      </c>
      <c r="R275" s="7" t="s">
        <v>2809</v>
      </c>
      <c r="S275" s="7" t="str">
        <f>HYPERLINK("https://drive.google.com/file/d/1A-E8IdMyXUVo2wwVlRw5jhOB37VVMef3/view?usp=drivesdk","274_WINDA LESTARI, A.Md.Keb SERTIFIKAT BIMTEK IPASN-BerAKHLAK")</f>
        <v>274_WINDA LESTARI, A.Md.Keb SERTIFIKAT BIMTEK IPASN-BerAKHLAK</v>
      </c>
      <c r="T275" s="5" t="s">
        <v>2781</v>
      </c>
    </row>
    <row r="276">
      <c r="A276" s="4">
        <v>45534.317115451384</v>
      </c>
      <c r="B276" s="5" t="s">
        <v>34</v>
      </c>
      <c r="D276" s="5" t="s">
        <v>35</v>
      </c>
      <c r="E276" s="5" t="s">
        <v>2810</v>
      </c>
      <c r="F276" s="5" t="s">
        <v>212</v>
      </c>
      <c r="G276" s="5" t="s">
        <v>2811</v>
      </c>
      <c r="H276" s="6" t="s">
        <v>2812</v>
      </c>
      <c r="I276" s="7" t="s">
        <v>2813</v>
      </c>
      <c r="J276" s="8" t="str">
        <f>HYPERLINK("https://drive.google.com/file/d/1h3PflVtOtZCe2z4_ioh6MKeFqeEYk24Y/view?usp=drivesdk","PENGATUR TK. I TETI SUHERTI SERTIFIKAT BerAKHLAK")</f>
        <v>PENGATUR TK. I TETI SUHERTI SERTIFIKAT BerAKHLAK</v>
      </c>
      <c r="K276" s="5" t="s">
        <v>2244</v>
      </c>
      <c r="L276" s="5" t="s">
        <v>2814</v>
      </c>
      <c r="M276" s="5" t="s">
        <v>2815</v>
      </c>
      <c r="N276" s="7" t="s">
        <v>2816</v>
      </c>
      <c r="O276" s="8" t="str">
        <f>HYPERLINK("https://drive.google.com/file/d/1RXPHrgHGLTlS7VCphFIep-pWQexJj1wB/view?usp=drivesdk","275_PENGATUR TK. I TETI SUHERTI _ SERTIFIKAT BIMTEK IPASN BerAKHLASK")</f>
        <v>275_PENGATUR TK. I TETI SUHERTI _ SERTIFIKAT BIMTEK IPASN BerAKHLASK</v>
      </c>
      <c r="P276" s="5" t="s">
        <v>2798</v>
      </c>
      <c r="Q276" s="5" t="s">
        <v>2817</v>
      </c>
      <c r="R276" s="7" t="s">
        <v>2818</v>
      </c>
      <c r="S276" s="7" t="str">
        <f>HYPERLINK("https://drive.google.com/file/d/1WOBdCj__lPBxfzndvWYDjFc6pc3m-ifA/view?usp=drivesdk","275_PENGATUR TK. I TETI SUHERTI SERTIFIKAT BIMTEK IPASN-BerAKHLAK")</f>
        <v>275_PENGATUR TK. I TETI SUHERTI SERTIFIKAT BIMTEK IPASN-BerAKHLAK</v>
      </c>
      <c r="T276" s="5" t="s">
        <v>2781</v>
      </c>
    </row>
    <row r="277" hidden="1">
      <c r="A277" s="4">
        <v>45534.31712982639</v>
      </c>
      <c r="B277" s="5" t="s">
        <v>19</v>
      </c>
      <c r="C277" s="5" t="s">
        <v>466</v>
      </c>
      <c r="E277" s="5" t="s">
        <v>2819</v>
      </c>
      <c r="F277" s="5" t="s">
        <v>72</v>
      </c>
      <c r="G277" s="5" t="s">
        <v>2820</v>
      </c>
      <c r="H277" s="6" t="s">
        <v>2821</v>
      </c>
      <c r="I277" s="7" t="s">
        <v>2822</v>
      </c>
      <c r="J277" s="8" t="str">
        <f>HYPERLINK("https://drive.google.com/file/d/1BWvnV9G-43fF7u-v-2RbFwxcpHcaLd2-/view?usp=drivesdk","PENATA LAILA MURAD SERTIFIKAT BerAKHLAK")</f>
        <v>PENATA LAILA MURAD SERTIFIKAT BerAKHLAK</v>
      </c>
      <c r="K277" s="5" t="s">
        <v>2244</v>
      </c>
      <c r="L277" s="5" t="s">
        <v>2823</v>
      </c>
      <c r="M277" s="5" t="s">
        <v>2824</v>
      </c>
      <c r="N277" s="7" t="s">
        <v>2825</v>
      </c>
      <c r="O277" s="8" t="str">
        <f>HYPERLINK("https://drive.google.com/file/d/1mnqiOU3UVZj2Q00-dhY9p_iQT3M4AOEY/view?usp=drivesdk","276_PENATA LAILA MURAD _ SERTIFIKAT BIMTEK IPASN BerAKHLASK")</f>
        <v>276_PENATA LAILA MURAD _ SERTIFIKAT BIMTEK IPASN BerAKHLASK</v>
      </c>
      <c r="P277" s="5" t="s">
        <v>2798</v>
      </c>
      <c r="Q277" s="5" t="s">
        <v>2826</v>
      </c>
      <c r="R277" s="7" t="s">
        <v>2827</v>
      </c>
      <c r="S277" s="7" t="str">
        <f>HYPERLINK("https://drive.google.com/file/d/1TZw3zMkk--28o1Ez1kZpKAi6ZgNq4jsa/view?usp=drivesdk","276_PENATA LAILA MURAD SERTIFIKAT BIMTEK IPASN-BerAKHLAK")</f>
        <v>276_PENATA LAILA MURAD SERTIFIKAT BIMTEK IPASN-BerAKHLAK</v>
      </c>
      <c r="T277" s="5" t="s">
        <v>2781</v>
      </c>
    </row>
    <row r="278">
      <c r="A278" s="4">
        <v>45534.317132870376</v>
      </c>
      <c r="B278" s="5" t="s">
        <v>34</v>
      </c>
      <c r="D278" s="5" t="s">
        <v>1768</v>
      </c>
      <c r="E278" s="5" t="s">
        <v>2828</v>
      </c>
      <c r="F278" s="5" t="s">
        <v>72</v>
      </c>
      <c r="G278" s="5" t="s">
        <v>2829</v>
      </c>
      <c r="H278" s="6" t="s">
        <v>2830</v>
      </c>
      <c r="I278" s="7" t="s">
        <v>2831</v>
      </c>
      <c r="J278" s="8" t="str">
        <f>HYPERLINK("https://drive.google.com/file/d/1bPAeuzG0lDL7XF71AjeWxnf_yyd1OUvl/view?usp=drivesdk","dr. KRISTANTI ANDARINI SERTIFIKAT BerAKHLAK")</f>
        <v>dr. KRISTANTI ANDARINI SERTIFIKAT BerAKHLAK</v>
      </c>
      <c r="K278" s="5" t="s">
        <v>2358</v>
      </c>
      <c r="L278" s="5" t="s">
        <v>2832</v>
      </c>
      <c r="M278" s="5" t="s">
        <v>2833</v>
      </c>
      <c r="N278" s="7" t="s">
        <v>2834</v>
      </c>
      <c r="O278" s="8" t="str">
        <f>HYPERLINK("https://drive.google.com/file/d/1BjIEDkWej-V_ExRCKvcypTyFfEYLPcp2/view?usp=drivesdk","277_dr. KRISTANTI ANDARINI _ SERTIFIKAT BIMTEK IPASN BerAKHLASK")</f>
        <v>277_dr. KRISTANTI ANDARINI _ SERTIFIKAT BIMTEK IPASN BerAKHLASK</v>
      </c>
      <c r="P278" s="5" t="s">
        <v>2798</v>
      </c>
      <c r="Q278" s="5" t="s">
        <v>2835</v>
      </c>
      <c r="R278" s="7" t="s">
        <v>2836</v>
      </c>
      <c r="S278" s="7" t="str">
        <f>HYPERLINK("https://drive.google.com/file/d/1a6YAw5ZnS_qEOEv8uQ28UftPArnkxL54/view?usp=drivesdk","277_dr. KRISTANTI ANDARINI SERTIFIKAT BIMTEK IPASN-BerAKHLAK")</f>
        <v>277_dr. KRISTANTI ANDARINI SERTIFIKAT BIMTEK IPASN-BerAKHLAK</v>
      </c>
      <c r="T278" s="5" t="s">
        <v>2837</v>
      </c>
    </row>
    <row r="279">
      <c r="A279" s="4">
        <v>45534.31713576389</v>
      </c>
      <c r="B279" s="5" t="s">
        <v>34</v>
      </c>
      <c r="D279" s="5" t="s">
        <v>35</v>
      </c>
      <c r="E279" s="5" t="s">
        <v>2838</v>
      </c>
      <c r="F279" s="5" t="s">
        <v>199</v>
      </c>
      <c r="G279" s="5" t="s">
        <v>2839</v>
      </c>
      <c r="H279" s="6" t="s">
        <v>2840</v>
      </c>
      <c r="I279" s="7" t="s">
        <v>2841</v>
      </c>
      <c r="J279" s="8" t="str">
        <f>HYPERLINK("https://drive.google.com/file/d/1sseu6azWRvPqysk7HlGAJaX5ow5GO4sF/view?usp=drivesdk","TJUTJU KOMALAWATI SERTIFIKAT BerAKHLAK")</f>
        <v>TJUTJU KOMALAWATI SERTIFIKAT BerAKHLAK</v>
      </c>
      <c r="K279" s="5" t="s">
        <v>2358</v>
      </c>
      <c r="L279" s="5" t="s">
        <v>2842</v>
      </c>
      <c r="M279" s="5" t="s">
        <v>2843</v>
      </c>
      <c r="N279" s="7" t="s">
        <v>2844</v>
      </c>
      <c r="O279" s="8" t="str">
        <f>HYPERLINK("https://drive.google.com/file/d/1XFm6E8dL_PUMlWhsMvaqjcdZK92IfIMs/view?usp=drivesdk","278_TJUTJU KOMALAWATI _ SERTIFIKAT BIMTEK IPASN BerAKHLASK")</f>
        <v>278_TJUTJU KOMALAWATI _ SERTIFIKAT BIMTEK IPASN BerAKHLASK</v>
      </c>
      <c r="P279" s="5" t="s">
        <v>2798</v>
      </c>
      <c r="Q279" s="5" t="s">
        <v>2845</v>
      </c>
      <c r="R279" s="7" t="s">
        <v>2846</v>
      </c>
      <c r="S279" s="7" t="str">
        <f>HYPERLINK("https://drive.google.com/file/d/17gSR2aynisT3bOnHFcjBMB1qHAVT4_Wk/view?usp=drivesdk","278_TJUTJU KOMALAWATI SERTIFIKAT BIMTEK IPASN-BerAKHLAK")</f>
        <v>278_TJUTJU KOMALAWATI SERTIFIKAT BIMTEK IPASN-BerAKHLAK</v>
      </c>
      <c r="T279" s="5" t="s">
        <v>2837</v>
      </c>
    </row>
    <row r="280">
      <c r="A280" s="4">
        <v>45534.31713769676</v>
      </c>
      <c r="B280" s="5" t="s">
        <v>34</v>
      </c>
      <c r="D280" s="5" t="s">
        <v>1663</v>
      </c>
      <c r="E280" s="5" t="s">
        <v>2847</v>
      </c>
      <c r="F280" s="5" t="s">
        <v>108</v>
      </c>
      <c r="G280" s="5" t="s">
        <v>2848</v>
      </c>
      <c r="H280" s="6" t="s">
        <v>2849</v>
      </c>
      <c r="I280" s="7" t="s">
        <v>2850</v>
      </c>
      <c r="J280" s="8" t="str">
        <f>HYPERLINK("https://drive.google.com/file/d/1j0cEKTY28KJPav0yX6uc2S3pxqZ6Uzgv/view?usp=drivesdk","IIN ASTRI WAKANG,S.E. SERTIFIKAT BerAKHLAK")</f>
        <v>IIN ASTRI WAKANG,S.E. SERTIFIKAT BerAKHLAK</v>
      </c>
      <c r="K280" s="5" t="s">
        <v>2358</v>
      </c>
      <c r="L280" s="5" t="s">
        <v>2851</v>
      </c>
      <c r="M280" s="5" t="s">
        <v>2852</v>
      </c>
      <c r="N280" s="7" t="s">
        <v>2853</v>
      </c>
      <c r="O280" s="8" t="str">
        <f>HYPERLINK("https://drive.google.com/file/d/17kioKYkH286gZnoeRKUEvCrOZwdt3djP/view?usp=drivesdk","279_IIN ASTRI WAKANG,S.E. _ SERTIFIKAT BIMTEK IPASN BerAKHLASK")</f>
        <v>279_IIN ASTRI WAKANG,S.E. _ SERTIFIKAT BIMTEK IPASN BerAKHLASK</v>
      </c>
      <c r="P280" s="5" t="s">
        <v>2798</v>
      </c>
      <c r="Q280" s="5" t="s">
        <v>2854</v>
      </c>
      <c r="R280" s="7" t="s">
        <v>2855</v>
      </c>
      <c r="S280" s="7" t="str">
        <f>HYPERLINK("https://drive.google.com/file/d/1Aa12nDQb0s9i0VlPD9nCiarOCRq3qGoa/view?usp=drivesdk","279_IIN ASTRI WAKANG,S.E. SERTIFIKAT BIMTEK IPASN-BerAKHLAK")</f>
        <v>279_IIN ASTRI WAKANG,S.E. SERTIFIKAT BIMTEK IPASN-BerAKHLAK</v>
      </c>
      <c r="T280" s="5" t="s">
        <v>2837</v>
      </c>
    </row>
    <row r="281">
      <c r="A281" s="4">
        <v>45534.31715126157</v>
      </c>
      <c r="B281" s="5" t="s">
        <v>34</v>
      </c>
      <c r="D281" s="5" t="s">
        <v>522</v>
      </c>
      <c r="E281" s="5" t="s">
        <v>2856</v>
      </c>
      <c r="F281" s="5" t="s">
        <v>37</v>
      </c>
      <c r="G281" s="5" t="s">
        <v>2857</v>
      </c>
      <c r="H281" s="6" t="s">
        <v>2858</v>
      </c>
      <c r="I281" s="7" t="s">
        <v>2859</v>
      </c>
      <c r="J281" s="8" t="str">
        <f>HYPERLINK("https://drive.google.com/file/d/1uTK7ijK36hgYhTQ0MAha7NfMWhFDLhTt/view?usp=drivesdk","NI MADE RATIH PURWANTINI,A.Md.Kep SERTIFIKAT BerAKHLAK")</f>
        <v>NI MADE RATIH PURWANTINI,A.Md.Kep SERTIFIKAT BerAKHLAK</v>
      </c>
      <c r="K281" s="5" t="s">
        <v>2244</v>
      </c>
      <c r="L281" s="5" t="s">
        <v>2860</v>
      </c>
      <c r="M281" s="5" t="s">
        <v>2861</v>
      </c>
      <c r="N281" s="7" t="s">
        <v>2862</v>
      </c>
      <c r="O281" s="8" t="str">
        <f>HYPERLINK("https://drive.google.com/file/d/1FCRmHb06Twh11vmYH54tsf55hhnTmd_V/view?usp=drivesdk","280_NI MADE RATIH PURWANTINI,A.Md.Kep _ SERTIFIKAT BIMTEK IPASN BerAKHLASK")</f>
        <v>280_NI MADE RATIH PURWANTINI,A.Md.Kep _ SERTIFIKAT BIMTEK IPASN BerAKHLASK</v>
      </c>
      <c r="P281" s="5" t="s">
        <v>2863</v>
      </c>
      <c r="Q281" s="5" t="s">
        <v>2864</v>
      </c>
      <c r="R281" s="7" t="s">
        <v>2865</v>
      </c>
      <c r="S281" s="7" t="str">
        <f>HYPERLINK("https://drive.google.com/file/d/1s11AhZybElVahcHoZH-RxtGgbOYxOR-3/view?usp=drivesdk","280_NI MADE RATIH PURWANTINI,A.Md.Kep SERTIFIKAT BIMTEK IPASN-BerAKHLAK")</f>
        <v>280_NI MADE RATIH PURWANTINI,A.Md.Kep SERTIFIKAT BIMTEK IPASN-BerAKHLAK</v>
      </c>
      <c r="T281" s="5" t="s">
        <v>2837</v>
      </c>
    </row>
    <row r="282">
      <c r="A282" s="4">
        <v>45534.31715311343</v>
      </c>
      <c r="B282" s="5" t="s">
        <v>34</v>
      </c>
      <c r="D282" s="5" t="s">
        <v>580</v>
      </c>
      <c r="E282" s="5" t="s">
        <v>2866</v>
      </c>
      <c r="F282" s="5" t="s">
        <v>37</v>
      </c>
      <c r="G282" s="5" t="s">
        <v>2867</v>
      </c>
      <c r="H282" s="6" t="s">
        <v>2868</v>
      </c>
      <c r="I282" s="7" t="s">
        <v>2869</v>
      </c>
      <c r="J282" s="8" t="str">
        <f>HYPERLINK("https://drive.google.com/file/d/1BT8-yq2z5B91VeVyXCLqDd8APx_0MPTR/view?usp=drivesdk","NI LUH PINA FARIDA, A. Md. Keb SERTIFIKAT BerAKHLAK")</f>
        <v>NI LUH PINA FARIDA, A. Md. Keb SERTIFIKAT BerAKHLAK</v>
      </c>
      <c r="K282" s="5" t="s">
        <v>2358</v>
      </c>
      <c r="L282" s="5" t="s">
        <v>2870</v>
      </c>
      <c r="M282" s="5" t="s">
        <v>2871</v>
      </c>
      <c r="N282" s="7" t="s">
        <v>2872</v>
      </c>
      <c r="O282" s="8" t="str">
        <f>HYPERLINK("https://drive.google.com/file/d/1oX5DaUhGPqx7kukGxNcAgz1lsjfv2ata/view?usp=drivesdk","281_NI LUH PINA FARIDA, A. Md. Keb _ SERTIFIKAT BIMTEK IPASN BerAKHLASK")</f>
        <v>281_NI LUH PINA FARIDA, A. Md. Keb _ SERTIFIKAT BIMTEK IPASN BerAKHLASK</v>
      </c>
      <c r="P282" s="5" t="s">
        <v>2863</v>
      </c>
      <c r="Q282" s="5" t="s">
        <v>2873</v>
      </c>
      <c r="R282" s="7" t="s">
        <v>2874</v>
      </c>
      <c r="S282" s="7" t="str">
        <f>HYPERLINK("https://drive.google.com/file/d/17Nesmyp8DRKpUTTej0OpQBk4AoM8d4uv/view?usp=drivesdk","281_NI LUH PINA FARIDA, A. Md. Keb SERTIFIKAT BIMTEK IPASN-BerAKHLAK")</f>
        <v>281_NI LUH PINA FARIDA, A. Md. Keb SERTIFIKAT BIMTEK IPASN-BerAKHLAK</v>
      </c>
      <c r="T282" s="5" t="s">
        <v>2837</v>
      </c>
    </row>
    <row r="283">
      <c r="A283" s="4">
        <v>45534.31715494213</v>
      </c>
      <c r="B283" s="5" t="s">
        <v>34</v>
      </c>
      <c r="D283" s="5" t="s">
        <v>975</v>
      </c>
      <c r="E283" s="5" t="s">
        <v>2875</v>
      </c>
      <c r="F283" s="5" t="s">
        <v>524</v>
      </c>
      <c r="G283" s="5" t="s">
        <v>2876</v>
      </c>
      <c r="H283" s="6" t="s">
        <v>2877</v>
      </c>
      <c r="I283" s="7" t="s">
        <v>2878</v>
      </c>
      <c r="J283" s="8" t="str">
        <f>HYPERLINK("https://drive.google.com/file/d/1MjhGgLTxmpI6UOCFmtlhbhfVFOG3IMND/view?usp=drivesdk","MUHAMMAD HARMEN ALKAHFI, S.KOM SERTIFIKAT BerAKHLAK")</f>
        <v>MUHAMMAD HARMEN ALKAHFI, S.KOM SERTIFIKAT BerAKHLAK</v>
      </c>
      <c r="K283" s="5" t="s">
        <v>2358</v>
      </c>
      <c r="L283" s="5" t="s">
        <v>2879</v>
      </c>
      <c r="M283" s="5" t="s">
        <v>2880</v>
      </c>
      <c r="N283" s="7" t="s">
        <v>2881</v>
      </c>
      <c r="O283" s="8" t="str">
        <f>HYPERLINK("https://drive.google.com/file/d/1ku66smXhzus6nCgw5ajf2LjRlvEKrgHG/view?usp=drivesdk","282_MUHAMMAD HARMEN ALKAHFI, S.KOM _ SERTIFIKAT BIMTEK IPASN BerAKHLASK")</f>
        <v>282_MUHAMMAD HARMEN ALKAHFI, S.KOM _ SERTIFIKAT BIMTEK IPASN BerAKHLASK</v>
      </c>
      <c r="P283" s="5" t="s">
        <v>2863</v>
      </c>
      <c r="Q283" s="5" t="s">
        <v>2882</v>
      </c>
      <c r="R283" s="7" t="s">
        <v>2883</v>
      </c>
      <c r="S283" s="7" t="str">
        <f>HYPERLINK("https://drive.google.com/file/d/1sple4OJC-TKzze9q4KvP7m5HrJZVucmG/view?usp=drivesdk","282_MUHAMMAD HARMEN ALKAHFI, S.KOM SERTIFIKAT BIMTEK IPASN-BerAKHLAK")</f>
        <v>282_MUHAMMAD HARMEN ALKAHFI, S.KOM SERTIFIKAT BIMTEK IPASN-BerAKHLAK</v>
      </c>
      <c r="T283" s="5" t="s">
        <v>2884</v>
      </c>
    </row>
    <row r="284">
      <c r="A284" s="4">
        <v>45534.31718006944</v>
      </c>
      <c r="B284" s="5" t="s">
        <v>34</v>
      </c>
      <c r="D284" s="5" t="s">
        <v>604</v>
      </c>
      <c r="E284" s="5" t="s">
        <v>2885</v>
      </c>
      <c r="F284" s="5" t="s">
        <v>212</v>
      </c>
      <c r="G284" s="5" t="s">
        <v>2886</v>
      </c>
      <c r="H284" s="6" t="s">
        <v>2887</v>
      </c>
      <c r="I284" s="7" t="s">
        <v>2888</v>
      </c>
      <c r="J284" s="8" t="str">
        <f>HYPERLINK("https://drive.google.com/file/d/1Sqsq2--rDUa9uZwj69TEezOmLx-fguh7/view?usp=drivesdk","MUHAMAD RISAL SERTIFIKAT BerAKHLAK")</f>
        <v>MUHAMAD RISAL SERTIFIKAT BerAKHLAK</v>
      </c>
      <c r="K284" s="5" t="s">
        <v>2244</v>
      </c>
      <c r="L284" s="5" t="s">
        <v>2889</v>
      </c>
      <c r="M284" s="5" t="s">
        <v>2890</v>
      </c>
      <c r="N284" s="7" t="s">
        <v>2891</v>
      </c>
      <c r="O284" s="8" t="str">
        <f>HYPERLINK("https://drive.google.com/file/d/1dwCc-IEWldjyFBwYtHkqZMg7VXPNvpcj/view?usp=drivesdk","283_MUHAMAD RISAL _ SERTIFIKAT BIMTEK IPASN BerAKHLASK")</f>
        <v>283_MUHAMAD RISAL _ SERTIFIKAT BIMTEK IPASN BerAKHLASK</v>
      </c>
      <c r="P284" s="5" t="s">
        <v>2863</v>
      </c>
      <c r="Q284" s="5" t="s">
        <v>2892</v>
      </c>
      <c r="R284" s="7" t="s">
        <v>2893</v>
      </c>
      <c r="S284" s="7" t="str">
        <f>HYPERLINK("https://drive.google.com/file/d/1nOouBWzwK77yetiins6jP2LGcNfT8njI/view?usp=drivesdk","283_MUHAMAD RISAL SERTIFIKAT BIMTEK IPASN-BerAKHLAK")</f>
        <v>283_MUHAMAD RISAL SERTIFIKAT BIMTEK IPASN-BerAKHLAK</v>
      </c>
      <c r="T284" s="5" t="s">
        <v>2884</v>
      </c>
    </row>
    <row r="285">
      <c r="A285" s="4">
        <v>45534.31725121528</v>
      </c>
      <c r="B285" s="5" t="s">
        <v>34</v>
      </c>
      <c r="D285" s="5" t="s">
        <v>580</v>
      </c>
      <c r="E285" s="5" t="s">
        <v>2894</v>
      </c>
      <c r="F285" s="5" t="s">
        <v>120</v>
      </c>
      <c r="G285" s="5" t="s">
        <v>2895</v>
      </c>
      <c r="H285" s="6" t="s">
        <v>2896</v>
      </c>
      <c r="I285" s="7" t="s">
        <v>2897</v>
      </c>
      <c r="J285" s="8" t="str">
        <f>HYPERLINK("https://drive.google.com/file/d/1szFSQbVJLa_3nCrvwGA4RVKHw2_wfvf_/view?usp=drivesdk","NI PUTU RETNA RAHAYU SERTIFIKAT BerAKHLAK")</f>
        <v>NI PUTU RETNA RAHAYU SERTIFIKAT BerAKHLAK</v>
      </c>
      <c r="K285" s="5" t="s">
        <v>2244</v>
      </c>
      <c r="L285" s="5" t="s">
        <v>2898</v>
      </c>
      <c r="M285" s="5" t="s">
        <v>2899</v>
      </c>
      <c r="N285" s="7" t="s">
        <v>2900</v>
      </c>
      <c r="O285" s="8" t="str">
        <f>HYPERLINK("https://drive.google.com/file/d/1kEwQnBt4MziL26Z3PfEt-K7uHIa5Feg9/view?usp=drivesdk","284_NI PUTU RETNA RAHAYU _ SERTIFIKAT BIMTEK IPASN BerAKHLASK")</f>
        <v>284_NI PUTU RETNA RAHAYU _ SERTIFIKAT BIMTEK IPASN BerAKHLASK</v>
      </c>
      <c r="P285" s="5" t="s">
        <v>2863</v>
      </c>
      <c r="Q285" s="5" t="s">
        <v>2901</v>
      </c>
      <c r="R285" s="7" t="s">
        <v>2902</v>
      </c>
      <c r="S285" s="7" t="str">
        <f>HYPERLINK("https://drive.google.com/file/d/1kj5M3u69Y2VdXq9F-F_-WQqwv0ZqCRmL/view?usp=drivesdk","284_NI PUTU RETNA RAHAYU SERTIFIKAT BIMTEK IPASN-BerAKHLAK")</f>
        <v>284_NI PUTU RETNA RAHAYU SERTIFIKAT BIMTEK IPASN-BerAKHLAK</v>
      </c>
      <c r="T285" s="5" t="s">
        <v>2884</v>
      </c>
    </row>
    <row r="286">
      <c r="A286" s="4">
        <v>45534.31725612268</v>
      </c>
      <c r="B286" s="5" t="s">
        <v>34</v>
      </c>
      <c r="D286" s="5" t="s">
        <v>2903</v>
      </c>
      <c r="E286" s="5" t="s">
        <v>2904</v>
      </c>
      <c r="F286" s="5" t="s">
        <v>120</v>
      </c>
      <c r="G286" s="5" t="s">
        <v>2905</v>
      </c>
      <c r="H286" s="6" t="s">
        <v>2906</v>
      </c>
      <c r="I286" s="7" t="s">
        <v>2907</v>
      </c>
      <c r="J286" s="8" t="str">
        <f>HYPERLINK("https://drive.google.com/file/d/12D8-m-dWMjTasa6PoE4miqrs_fsS1hCz/view?usp=drivesdk","EVI NURHIDAYATI SERTIFIKAT BerAKHLAK")</f>
        <v>EVI NURHIDAYATI SERTIFIKAT BerAKHLAK</v>
      </c>
      <c r="K286" s="5" t="s">
        <v>2358</v>
      </c>
      <c r="L286" s="5" t="s">
        <v>2908</v>
      </c>
      <c r="M286" s="5" t="s">
        <v>2909</v>
      </c>
      <c r="N286" s="7" t="s">
        <v>2910</v>
      </c>
      <c r="O286" s="8" t="str">
        <f>HYPERLINK("https://drive.google.com/file/d/1TIySWwLc6GVEatviihDJPuM8uKtnDpk_/view?usp=drivesdk","285_EVI NURHIDAYATI _ SERTIFIKAT BIMTEK IPASN BerAKHLASK")</f>
        <v>285_EVI NURHIDAYATI _ SERTIFIKAT BIMTEK IPASN BerAKHLASK</v>
      </c>
      <c r="P286" s="5" t="s">
        <v>2911</v>
      </c>
      <c r="Q286" s="5" t="s">
        <v>2912</v>
      </c>
      <c r="R286" s="7" t="s">
        <v>2913</v>
      </c>
      <c r="S286" s="7" t="str">
        <f>HYPERLINK("https://drive.google.com/file/d/1ePht3iTD4lAbUDQRuDsm1sFk35xlrVH6/view?usp=drivesdk","285_EVI NURHIDAYATI SERTIFIKAT BIMTEK IPASN-BerAKHLAK")</f>
        <v>285_EVI NURHIDAYATI SERTIFIKAT BIMTEK IPASN-BerAKHLAK</v>
      </c>
      <c r="T286" s="5" t="s">
        <v>2884</v>
      </c>
    </row>
    <row r="287">
      <c r="A287" s="4">
        <v>45534.317274016204</v>
      </c>
      <c r="B287" s="5" t="s">
        <v>34</v>
      </c>
      <c r="D287" s="5" t="s">
        <v>1663</v>
      </c>
      <c r="E287" s="5" t="s">
        <v>2914</v>
      </c>
      <c r="F287" s="5" t="s">
        <v>37</v>
      </c>
      <c r="G287" s="5" t="s">
        <v>2915</v>
      </c>
      <c r="H287" s="6" t="s">
        <v>2916</v>
      </c>
      <c r="I287" s="7" t="s">
        <v>2917</v>
      </c>
      <c r="J287" s="8" t="str">
        <f>HYPERLINK("https://drive.google.com/file/d/1Ytv7VXFoO9-pf-he2GJO-YPL9SiCHIzz/view?usp=drivesdk","PENGATUR SUHERMANTO SERTIFIKAT BerAKHLAK")</f>
        <v>PENGATUR SUHERMANTO SERTIFIKAT BerAKHLAK</v>
      </c>
      <c r="K287" s="5" t="s">
        <v>2358</v>
      </c>
      <c r="L287" s="5" t="s">
        <v>2918</v>
      </c>
      <c r="M287" s="5" t="s">
        <v>2919</v>
      </c>
      <c r="N287" s="7" t="s">
        <v>2920</v>
      </c>
      <c r="O287" s="8" t="str">
        <f>HYPERLINK("https://drive.google.com/file/d/1NKDokhMhtivR0ULgbxhcyiyJv898dLlW/view?usp=drivesdk","286_PENGATUR SUHERMANTO _ SERTIFIKAT BIMTEK IPASN BerAKHLASK")</f>
        <v>286_PENGATUR SUHERMANTO _ SERTIFIKAT BIMTEK IPASN BerAKHLASK</v>
      </c>
      <c r="P287" s="5" t="s">
        <v>2911</v>
      </c>
      <c r="Q287" s="5" t="s">
        <v>2921</v>
      </c>
      <c r="R287" s="7" t="s">
        <v>2922</v>
      </c>
      <c r="S287" s="7" t="str">
        <f>HYPERLINK("https://drive.google.com/file/d/1e4Nkg2gGW9Ep49cZh5nUK2dVDNNNwXEv/view?usp=drivesdk","286_PENGATUR SUHERMANTO SERTIFIKAT BIMTEK IPASN-BerAKHLAK")</f>
        <v>286_PENGATUR SUHERMANTO SERTIFIKAT BIMTEK IPASN-BerAKHLAK</v>
      </c>
      <c r="T287" s="5" t="s">
        <v>2884</v>
      </c>
    </row>
    <row r="288">
      <c r="A288" s="4">
        <v>45534.317273981476</v>
      </c>
      <c r="B288" s="5" t="s">
        <v>34</v>
      </c>
      <c r="D288" s="5" t="s">
        <v>522</v>
      </c>
      <c r="E288" s="5" t="s">
        <v>2923</v>
      </c>
      <c r="F288" s="5" t="s">
        <v>37</v>
      </c>
      <c r="G288" s="5" t="s">
        <v>2924</v>
      </c>
      <c r="H288" s="6" t="s">
        <v>2925</v>
      </c>
      <c r="K288" s="5" t="s">
        <v>2926</v>
      </c>
      <c r="M288" s="5" t="s">
        <v>2927</v>
      </c>
      <c r="N288" s="7" t="s">
        <v>2928</v>
      </c>
      <c r="O288" s="8" t="str">
        <f>HYPERLINK("https://drive.google.com/file/d/1c1BRo8cy_yTwgb2Ui0MGWYZBOIW2C-oG/view?usp=drivesdk","287_LALU SIRHU ATMA, A.Md _ SERTIFIKAT BIMTEK IPASN BerAKHLASK")</f>
        <v>287_LALU SIRHU ATMA, A.Md _ SERTIFIKAT BIMTEK IPASN BerAKHLASK</v>
      </c>
      <c r="P288" s="5" t="s">
        <v>2911</v>
      </c>
      <c r="Q288" s="5" t="s">
        <v>2929</v>
      </c>
      <c r="R288" s="7" t="s">
        <v>2930</v>
      </c>
      <c r="S288" s="7" t="str">
        <f>HYPERLINK("https://drive.google.com/file/d/1rKJe4YVoKJnycng8lTPdZygJIAyM4RmT/view?usp=drivesdk","287_LALU SIRHU ATMA, A.Md SERTIFIKAT BIMTEK IPASN-BerAKHLAK")</f>
        <v>287_LALU SIRHU ATMA, A.Md SERTIFIKAT BIMTEK IPASN-BerAKHLAK</v>
      </c>
      <c r="T288" s="5" t="s">
        <v>2884</v>
      </c>
    </row>
    <row r="289">
      <c r="A289" s="4">
        <v>45534.317275208334</v>
      </c>
      <c r="B289" s="5" t="s">
        <v>34</v>
      </c>
      <c r="D289" s="5" t="s">
        <v>35</v>
      </c>
      <c r="E289" s="5" t="s">
        <v>2931</v>
      </c>
      <c r="F289" s="5" t="s">
        <v>212</v>
      </c>
      <c r="G289" s="5" t="s">
        <v>2932</v>
      </c>
      <c r="H289" s="6" t="s">
        <v>2933</v>
      </c>
      <c r="K289" s="5" t="s">
        <v>2926</v>
      </c>
      <c r="M289" s="5" t="s">
        <v>2934</v>
      </c>
      <c r="N289" s="7" t="s">
        <v>2935</v>
      </c>
      <c r="O289" s="8" t="str">
        <f>HYPERLINK("https://drive.google.com/file/d/1WXNM49IXMlPWYJZs5CmQU8huDnHqVFnW/view?usp=drivesdk","288_ATIH GUSTIANA  _ SERTIFIKAT BIMTEK IPASN BerAKHLASK")</f>
        <v>288_ATIH GUSTIANA  _ SERTIFIKAT BIMTEK IPASN BerAKHLASK</v>
      </c>
      <c r="P289" s="5" t="s">
        <v>2911</v>
      </c>
      <c r="Q289" s="5" t="s">
        <v>2936</v>
      </c>
      <c r="R289" s="7" t="s">
        <v>2937</v>
      </c>
      <c r="S289" s="7" t="str">
        <f>HYPERLINK("https://drive.google.com/file/d/13iaN-2BagqxO6RITq7ANQ-O5BHsymjU8/view?usp=drivesdk","288_ATIH GUSTIANA  SERTIFIKAT BIMTEK IPASN-BerAKHLAK")</f>
        <v>288_ATIH GUSTIANA  SERTIFIKAT BIMTEK IPASN-BerAKHLAK</v>
      </c>
      <c r="T289" s="5" t="s">
        <v>2884</v>
      </c>
    </row>
    <row r="290">
      <c r="A290" s="4">
        <v>45534.31729496528</v>
      </c>
      <c r="B290" s="5" t="s">
        <v>34</v>
      </c>
      <c r="D290" s="5" t="s">
        <v>996</v>
      </c>
      <c r="E290" s="5" t="s">
        <v>2938</v>
      </c>
      <c r="F290" s="5" t="s">
        <v>108</v>
      </c>
      <c r="G290" s="5" t="s">
        <v>2939</v>
      </c>
      <c r="H290" s="6" t="s">
        <v>2940</v>
      </c>
      <c r="I290" s="7" t="s">
        <v>2941</v>
      </c>
      <c r="J290" s="8" t="str">
        <f>HYPERLINK("https://drive.google.com/file/d/1QIr3OhIaLz0qXPdB3lBnKHWfFelsqXCn/view?usp=drivesdk","TRI HANDAYANI SERTIFIKAT BerAKHLAK")</f>
        <v>TRI HANDAYANI SERTIFIKAT BerAKHLAK</v>
      </c>
      <c r="K290" s="5" t="s">
        <v>2358</v>
      </c>
      <c r="L290" s="5" t="s">
        <v>2942</v>
      </c>
      <c r="M290" s="5" t="s">
        <v>2943</v>
      </c>
      <c r="N290" s="7" t="s">
        <v>2944</v>
      </c>
      <c r="O290" s="8" t="str">
        <f>HYPERLINK("https://drive.google.com/file/d/1Jq1MTedcJhYfJaY-6NeWn3EynV8pmmW9/view?usp=drivesdk","289_TRI HANDAYANI _ SERTIFIKAT BIMTEK IPASN BerAKHLASK")</f>
        <v>289_TRI HANDAYANI _ SERTIFIKAT BIMTEK IPASN BerAKHLASK</v>
      </c>
      <c r="P290" s="5" t="s">
        <v>2911</v>
      </c>
      <c r="Q290" s="5" t="s">
        <v>2945</v>
      </c>
      <c r="R290" s="7" t="s">
        <v>2946</v>
      </c>
      <c r="S290" s="7" t="str">
        <f>HYPERLINK("https://drive.google.com/file/d/1v8YtNYrky1d222ZaFnAv7RV1TGZY3nRJ/view?usp=drivesdk","289_TRI HANDAYANI SERTIFIKAT BIMTEK IPASN-BerAKHLAK")</f>
        <v>289_TRI HANDAYANI SERTIFIKAT BIMTEK IPASN-BerAKHLAK</v>
      </c>
      <c r="T290" s="5" t="s">
        <v>2947</v>
      </c>
    </row>
    <row r="291">
      <c r="A291" s="4">
        <v>45534.31729935185</v>
      </c>
      <c r="B291" s="5" t="s">
        <v>34</v>
      </c>
      <c r="D291" s="5" t="s">
        <v>35</v>
      </c>
      <c r="E291" s="5" t="s">
        <v>2948</v>
      </c>
      <c r="F291" s="5" t="s">
        <v>108</v>
      </c>
      <c r="G291" s="5" t="s">
        <v>2949</v>
      </c>
      <c r="H291" s="6" t="s">
        <v>2950</v>
      </c>
      <c r="I291" s="7" t="s">
        <v>2951</v>
      </c>
      <c r="J291" s="8" t="str">
        <f>HYPERLINK("https://drive.google.com/file/d/1aBmcAY5EPzKRwcLCtlj71aU_uoMuqea1/view?usp=drivesdk","FIRMAN PERDANA PUTRA, ST SERTIFIKAT BerAKHLAK")</f>
        <v>FIRMAN PERDANA PUTRA, ST SERTIFIKAT BerAKHLAK</v>
      </c>
      <c r="K291" s="5" t="s">
        <v>2358</v>
      </c>
      <c r="L291" s="5" t="s">
        <v>2952</v>
      </c>
      <c r="M291" s="5" t="s">
        <v>2953</v>
      </c>
      <c r="N291" s="7" t="s">
        <v>2954</v>
      </c>
      <c r="O291" s="8" t="str">
        <f>HYPERLINK("https://drive.google.com/file/d/1-jYnd8-jN0C1GdG-mkU3vXn0J1qiVX5-/view?usp=drivesdk","290_FIRMAN PERDANA PUTRA, ST _ SERTIFIKAT BIMTEK IPASN BerAKHLASK")</f>
        <v>290_FIRMAN PERDANA PUTRA, ST _ SERTIFIKAT BIMTEK IPASN BerAKHLASK</v>
      </c>
      <c r="P291" s="5" t="s">
        <v>2955</v>
      </c>
      <c r="Q291" s="5" t="s">
        <v>2956</v>
      </c>
      <c r="R291" s="7" t="s">
        <v>2957</v>
      </c>
      <c r="S291" s="7" t="str">
        <f>HYPERLINK("https://drive.google.com/file/d/10yZspCBTCjVujB1_OzajJYAtfOdCOXDt/view?usp=drivesdk","290_FIRMAN PERDANA PUTRA, ST SERTIFIKAT BIMTEK IPASN-BerAKHLAK")</f>
        <v>290_FIRMAN PERDANA PUTRA, ST SERTIFIKAT BIMTEK IPASN-BerAKHLAK</v>
      </c>
      <c r="T291" s="5" t="s">
        <v>2947</v>
      </c>
    </row>
    <row r="292">
      <c r="A292" s="4">
        <v>45534.31731225694</v>
      </c>
      <c r="B292" s="5" t="s">
        <v>34</v>
      </c>
      <c r="D292" s="5" t="s">
        <v>35</v>
      </c>
      <c r="E292" s="5" t="s">
        <v>2958</v>
      </c>
      <c r="F292" s="5" t="s">
        <v>37</v>
      </c>
      <c r="G292" s="5" t="s">
        <v>2959</v>
      </c>
      <c r="H292" s="6" t="s">
        <v>2960</v>
      </c>
      <c r="I292" s="7" t="s">
        <v>2961</v>
      </c>
      <c r="J292" s="8" t="str">
        <f>HYPERLINK("https://drive.google.com/file/d/1M10mqrvHIxJsOrjLwH5PQcHsdVY7rEkL/view?usp=drivesdk","PENGATUR TARSONO, S.KOM SERTIFIKAT BerAKHLAK")</f>
        <v>PENGATUR TARSONO, S.KOM SERTIFIKAT BerAKHLAK</v>
      </c>
      <c r="K292" s="5" t="s">
        <v>2358</v>
      </c>
      <c r="L292" s="5" t="s">
        <v>2962</v>
      </c>
      <c r="M292" s="5" t="s">
        <v>2963</v>
      </c>
      <c r="N292" s="7" t="s">
        <v>2964</v>
      </c>
      <c r="O292" s="8" t="str">
        <f>HYPERLINK("https://drive.google.com/file/d/13aDLMPG52PRCBNkGVbnNfxJsVNxUN35I/view?usp=drivesdk","291_PENGATUR TARSONO, S.KOM _ SERTIFIKAT BIMTEK IPASN BerAKHLASK")</f>
        <v>291_PENGATUR TARSONO, S.KOM _ SERTIFIKAT BIMTEK IPASN BerAKHLASK</v>
      </c>
      <c r="P292" s="5" t="s">
        <v>2955</v>
      </c>
      <c r="Q292" s="5" t="s">
        <v>2965</v>
      </c>
      <c r="R292" s="7" t="s">
        <v>2966</v>
      </c>
      <c r="S292" s="7" t="str">
        <f>HYPERLINK("https://drive.google.com/file/d/12-7jID-xVGMvFgmquB3Ar9DGFnqh2MCL/view?usp=drivesdk","291_PENGATUR TARSONO, S.KOM SERTIFIKAT BIMTEK IPASN-BerAKHLAK")</f>
        <v>291_PENGATUR TARSONO, S.KOM SERTIFIKAT BIMTEK IPASN-BerAKHLAK</v>
      </c>
      <c r="T292" s="5" t="s">
        <v>2947</v>
      </c>
    </row>
    <row r="293">
      <c r="A293" s="4">
        <v>45534.31731726852</v>
      </c>
      <c r="B293" s="5" t="s">
        <v>34</v>
      </c>
      <c r="D293" s="5" t="s">
        <v>35</v>
      </c>
      <c r="E293" s="5" t="s">
        <v>2967</v>
      </c>
      <c r="F293" s="5" t="s">
        <v>37</v>
      </c>
      <c r="G293" s="5" t="s">
        <v>2968</v>
      </c>
      <c r="H293" s="6" t="s">
        <v>2969</v>
      </c>
      <c r="I293" s="7" t="s">
        <v>2970</v>
      </c>
      <c r="J293" s="8" t="str">
        <f>HYPERLINK("https://drive.google.com/file/d/18aOB3x0L8p-52TmfdYSCyOMIdl5xoQY9/view?usp=drivesdk","ENDANG PRIYATNA  SERTIFIKAT BerAKHLAK")</f>
        <v>ENDANG PRIYATNA  SERTIFIKAT BerAKHLAK</v>
      </c>
      <c r="K293" s="5" t="s">
        <v>2358</v>
      </c>
      <c r="L293" s="5" t="s">
        <v>2971</v>
      </c>
      <c r="M293" s="5" t="s">
        <v>2972</v>
      </c>
      <c r="N293" s="7" t="s">
        <v>2973</v>
      </c>
      <c r="O293" s="8" t="str">
        <f>HYPERLINK("https://drive.google.com/file/d/1hkmqHwfnT2laMuDwAph2NjlVkNYOUD94/view?usp=drivesdk","292_ENDANG PRIYATNA  _ SERTIFIKAT BIMTEK IPASN BerAKHLASK")</f>
        <v>292_ENDANG PRIYATNA  _ SERTIFIKAT BIMTEK IPASN BerAKHLASK</v>
      </c>
      <c r="P293" s="5" t="s">
        <v>2955</v>
      </c>
      <c r="Q293" s="5" t="s">
        <v>2974</v>
      </c>
      <c r="R293" s="7" t="s">
        <v>2975</v>
      </c>
      <c r="S293" s="7" t="str">
        <f>HYPERLINK("https://drive.google.com/file/d/1e8speoED2XKkeHqN1gO81N7YylBlwZJu/view?usp=drivesdk","292_ENDANG PRIYATNA  SERTIFIKAT BIMTEK IPASN-BerAKHLAK")</f>
        <v>292_ENDANG PRIYATNA  SERTIFIKAT BIMTEK IPASN-BerAKHLAK</v>
      </c>
      <c r="T293" s="5" t="s">
        <v>2947</v>
      </c>
    </row>
    <row r="294">
      <c r="A294" s="4">
        <v>45534.31741846065</v>
      </c>
      <c r="B294" s="5" t="s">
        <v>34</v>
      </c>
      <c r="D294" s="5" t="s">
        <v>267</v>
      </c>
      <c r="E294" s="5" t="s">
        <v>2976</v>
      </c>
      <c r="F294" s="5" t="s">
        <v>375</v>
      </c>
      <c r="G294" s="5" t="s">
        <v>2977</v>
      </c>
      <c r="H294" s="6" t="s">
        <v>2978</v>
      </c>
      <c r="I294" s="7" t="s">
        <v>2979</v>
      </c>
      <c r="J294" s="8" t="str">
        <f>HYPERLINK("https://drive.google.com/file/d/1jA2SSWA8GpqG-B3uLeIweu9uxD6ROfsy/view?usp=drivesdk","ENY PRATIMURDIYANTI  SERTIFIKAT BerAKHLAK")</f>
        <v>ENY PRATIMURDIYANTI  SERTIFIKAT BerAKHLAK</v>
      </c>
      <c r="K294" s="5" t="s">
        <v>2358</v>
      </c>
      <c r="L294" s="5" t="s">
        <v>2980</v>
      </c>
      <c r="M294" s="5" t="s">
        <v>2981</v>
      </c>
      <c r="N294" s="7" t="s">
        <v>2982</v>
      </c>
      <c r="O294" s="8" t="str">
        <f>HYPERLINK("https://drive.google.com/file/d/1T3xxQJG5wMfJaXqZo8r4XrsLnyqFmPEc/view?usp=drivesdk","293_ENY PRATIMURDIYANTI  _ SERTIFIKAT BIMTEK IPASN BerAKHLASK")</f>
        <v>293_ENY PRATIMURDIYANTI  _ SERTIFIKAT BIMTEK IPASN BerAKHLASK</v>
      </c>
      <c r="P294" s="5" t="s">
        <v>2955</v>
      </c>
      <c r="Q294" s="5" t="s">
        <v>2983</v>
      </c>
      <c r="R294" s="7" t="s">
        <v>2984</v>
      </c>
      <c r="S294" s="7" t="str">
        <f>HYPERLINK("https://drive.google.com/file/d/1RNu6Uhbc7o-nLGhZ3x5mWutdJCg94fpM/view?usp=drivesdk","293_ENY PRATIMURDIYANTI  SERTIFIKAT BIMTEK IPASN-BerAKHLAK")</f>
        <v>293_ENY PRATIMURDIYANTI  SERTIFIKAT BIMTEK IPASN-BerAKHLAK</v>
      </c>
      <c r="T294" s="5" t="s">
        <v>2947</v>
      </c>
    </row>
    <row r="295">
      <c r="A295" s="4">
        <v>45534.31742181713</v>
      </c>
      <c r="B295" s="5" t="s">
        <v>34</v>
      </c>
      <c r="D295" s="5" t="s">
        <v>975</v>
      </c>
      <c r="E295" s="5" t="s">
        <v>2985</v>
      </c>
      <c r="F295" s="5" t="s">
        <v>37</v>
      </c>
      <c r="G295" s="5" t="s">
        <v>2986</v>
      </c>
      <c r="H295" s="6" t="s">
        <v>2987</v>
      </c>
      <c r="I295" s="7" t="s">
        <v>2988</v>
      </c>
      <c r="J295" s="8" t="str">
        <f>HYPERLINK("https://drive.google.com/file/d/1rHUd00pgd4dy4xO9opskdirM-ESWgee6/view?usp=drivesdk","VISTA VIONI JAYANTI SERTIFIKAT BerAKHLAK")</f>
        <v>VISTA VIONI JAYANTI SERTIFIKAT BerAKHLAK</v>
      </c>
      <c r="K295" s="5" t="s">
        <v>2358</v>
      </c>
      <c r="L295" s="5" t="s">
        <v>2989</v>
      </c>
      <c r="M295" s="5" t="s">
        <v>2990</v>
      </c>
      <c r="N295" s="7" t="s">
        <v>2991</v>
      </c>
      <c r="O295" s="8" t="str">
        <f>HYPERLINK("https://drive.google.com/file/d/13SuL-LrOcMRKXucHAd1wds5iGpP0fT4K/view?usp=drivesdk","294_VISTA VIONI JAYANTI _ SERTIFIKAT BIMTEK IPASN BerAKHLASK")</f>
        <v>294_VISTA VIONI JAYANTI _ SERTIFIKAT BIMTEK IPASN BerAKHLASK</v>
      </c>
      <c r="P295" s="5" t="s">
        <v>2955</v>
      </c>
      <c r="Q295" s="5" t="s">
        <v>2992</v>
      </c>
      <c r="R295" s="7" t="s">
        <v>2993</v>
      </c>
      <c r="S295" s="7" t="str">
        <f>HYPERLINK("https://drive.google.com/file/d/1lLREUaV9kkh8dCZJcCOtuNhWOoM1yjXN/view?usp=drivesdk","294_VISTA VIONI JAYANTI SERTIFIKAT BIMTEK IPASN-BerAKHLAK")</f>
        <v>294_VISTA VIONI JAYANTI SERTIFIKAT BIMTEK IPASN-BerAKHLAK</v>
      </c>
      <c r="T295" s="5" t="s">
        <v>2994</v>
      </c>
    </row>
    <row r="296">
      <c r="A296" s="4">
        <v>45534.31743630787</v>
      </c>
      <c r="B296" s="5" t="s">
        <v>34</v>
      </c>
      <c r="D296" s="5" t="s">
        <v>1692</v>
      </c>
      <c r="E296" s="5" t="s">
        <v>2995</v>
      </c>
      <c r="F296" s="5" t="s">
        <v>524</v>
      </c>
      <c r="G296" s="5" t="s">
        <v>2996</v>
      </c>
      <c r="H296" s="6" t="s">
        <v>2997</v>
      </c>
      <c r="I296" s="7" t="s">
        <v>2998</v>
      </c>
      <c r="J296" s="8" t="str">
        <f>HYPERLINK("https://drive.google.com/file/d/1-bGQqJn72j4FLWCg--NupMHU22NvdRzc/view?usp=drivesdk","JAMES LUNMISAY  SERTIFIKAT BerAKHLAK")</f>
        <v>JAMES LUNMISAY  SERTIFIKAT BerAKHLAK</v>
      </c>
      <c r="K296" s="5" t="s">
        <v>2358</v>
      </c>
      <c r="L296" s="5" t="s">
        <v>2999</v>
      </c>
      <c r="M296" s="5" t="s">
        <v>3000</v>
      </c>
      <c r="N296" s="7" t="s">
        <v>3001</v>
      </c>
      <c r="O296" s="8" t="str">
        <f>HYPERLINK("https://drive.google.com/file/d/1U22uMqOIo_jaw5B-jyGfwk5bg0SZrOXc/view?usp=drivesdk","295_JAMES LUNMISAY  _ SERTIFIKAT BIMTEK IPASN BerAKHLASK")</f>
        <v>295_JAMES LUNMISAY  _ SERTIFIKAT BIMTEK IPASN BerAKHLASK</v>
      </c>
      <c r="P296" s="5" t="s">
        <v>2955</v>
      </c>
      <c r="Q296" s="5" t="s">
        <v>3002</v>
      </c>
      <c r="R296" s="7" t="s">
        <v>3003</v>
      </c>
      <c r="S296" s="7" t="str">
        <f>HYPERLINK("https://drive.google.com/file/d/176rBd4F1-dU2YFfceuP04V9mvTQLFb4l/view?usp=drivesdk","295_JAMES LUNMISAY  SERTIFIKAT BIMTEK IPASN-BerAKHLAK")</f>
        <v>295_JAMES LUNMISAY  SERTIFIKAT BIMTEK IPASN-BerAKHLAK</v>
      </c>
      <c r="T296" s="5" t="s">
        <v>2994</v>
      </c>
    </row>
    <row r="297">
      <c r="A297" s="4">
        <v>45534.3174509838</v>
      </c>
      <c r="B297" s="5" t="s">
        <v>34</v>
      </c>
      <c r="D297" s="5" t="s">
        <v>1206</v>
      </c>
      <c r="E297" s="5" t="s">
        <v>3004</v>
      </c>
      <c r="F297" s="5" t="s">
        <v>212</v>
      </c>
      <c r="G297" s="5" t="s">
        <v>3005</v>
      </c>
      <c r="H297" s="6" t="s">
        <v>3006</v>
      </c>
      <c r="I297" s="7" t="s">
        <v>3007</v>
      </c>
      <c r="J297" s="8" t="str">
        <f>HYPERLINK("https://drive.google.com/file/d/1ubZ1godZIWJVRY9rNVbxQ_NY494HYpRw/view?usp=drivesdk","HINDUN TRI ASTUTIK SERTIFIKAT BerAKHLAK")</f>
        <v>HINDUN TRI ASTUTIK SERTIFIKAT BerAKHLAK</v>
      </c>
      <c r="K297" s="5" t="s">
        <v>2358</v>
      </c>
      <c r="L297" s="5" t="s">
        <v>3008</v>
      </c>
      <c r="M297" s="5" t="s">
        <v>3009</v>
      </c>
      <c r="N297" s="7" t="s">
        <v>3010</v>
      </c>
      <c r="O297" s="8" t="str">
        <f>HYPERLINK("https://drive.google.com/file/d/1oxsNw0OY_T-egGhLp0zUUXXYwfi6r9Tv/view?usp=drivesdk","296_HINDUN TRI ASTUTIK _ SERTIFIKAT BIMTEK IPASN BerAKHLASK")</f>
        <v>296_HINDUN TRI ASTUTIK _ SERTIFIKAT BIMTEK IPASN BerAKHLASK</v>
      </c>
      <c r="P297" s="5" t="s">
        <v>3011</v>
      </c>
      <c r="Q297" s="5" t="s">
        <v>3012</v>
      </c>
      <c r="R297" s="7" t="s">
        <v>3013</v>
      </c>
      <c r="S297" s="7" t="str">
        <f>HYPERLINK("https://drive.google.com/file/d/16GoMjLwTZc3EXqzww2-BIJ3Jub1lbuFh/view?usp=drivesdk","296_HINDUN TRI ASTUTIK SERTIFIKAT BIMTEK IPASN-BerAKHLAK")</f>
        <v>296_HINDUN TRI ASTUTIK SERTIFIKAT BIMTEK IPASN-BerAKHLAK</v>
      </c>
      <c r="T297" s="5" t="s">
        <v>2994</v>
      </c>
    </row>
    <row r="298">
      <c r="A298" s="4">
        <v>45534.31748210648</v>
      </c>
      <c r="B298" s="5" t="s">
        <v>34</v>
      </c>
      <c r="D298" s="5" t="s">
        <v>35</v>
      </c>
      <c r="E298" s="5" t="s">
        <v>3014</v>
      </c>
      <c r="F298" s="5" t="s">
        <v>524</v>
      </c>
      <c r="G298" s="5" t="s">
        <v>3015</v>
      </c>
      <c r="H298" s="6" t="s">
        <v>3016</v>
      </c>
      <c r="I298" s="7" t="s">
        <v>3017</v>
      </c>
      <c r="J298" s="8" t="str">
        <f>HYPERLINK("https://drive.google.com/file/d/1zidFshMzNP-9e40IzAGi0UNl_rEz6_qF/view?usp=drivesdk","SUCI SULASIAH,S.E SERTIFIKAT BerAKHLAK")</f>
        <v>SUCI SULASIAH,S.E SERTIFIKAT BerAKHLAK</v>
      </c>
      <c r="K298" s="5" t="s">
        <v>2358</v>
      </c>
      <c r="L298" s="5" t="s">
        <v>3018</v>
      </c>
      <c r="M298" s="5" t="s">
        <v>3019</v>
      </c>
      <c r="N298" s="7" t="s">
        <v>3020</v>
      </c>
      <c r="O298" s="8" t="str">
        <f>HYPERLINK("https://drive.google.com/file/d/1Zs2yHKMV58Uq40B-xRk8a2xZXZ6qMrNu/view?usp=drivesdk","297_SUCI SULASIAH,S.E _ SERTIFIKAT BIMTEK IPASN BerAKHLASK")</f>
        <v>297_SUCI SULASIAH,S.E _ SERTIFIKAT BIMTEK IPASN BerAKHLASK</v>
      </c>
      <c r="P298" s="5" t="s">
        <v>3011</v>
      </c>
      <c r="Q298" s="5" t="s">
        <v>3021</v>
      </c>
      <c r="R298" s="7" t="s">
        <v>3022</v>
      </c>
      <c r="S298" s="7" t="str">
        <f>HYPERLINK("https://drive.google.com/file/d/1HhMOyPwbXO-_i0VzrstfSHCMjVBWm3YL/view?usp=drivesdk","297_SUCI SULASIAH,S.E SERTIFIKAT BIMTEK IPASN-BerAKHLAK")</f>
        <v>297_SUCI SULASIAH,S.E SERTIFIKAT BIMTEK IPASN-BerAKHLAK</v>
      </c>
      <c r="T298" s="5" t="s">
        <v>2994</v>
      </c>
    </row>
    <row r="299">
      <c r="A299" s="4">
        <v>45534.31749107639</v>
      </c>
      <c r="B299" s="5" t="s">
        <v>34</v>
      </c>
      <c r="D299" s="5" t="s">
        <v>1768</v>
      </c>
      <c r="E299" s="5" t="s">
        <v>3023</v>
      </c>
      <c r="F299" s="5" t="s">
        <v>212</v>
      </c>
      <c r="G299" s="5" t="s">
        <v>3024</v>
      </c>
      <c r="H299" s="6" t="s">
        <v>3025</v>
      </c>
      <c r="I299" s="7" t="s">
        <v>3026</v>
      </c>
      <c r="J299" s="8" t="str">
        <f>HYPERLINK("https://drive.google.com/file/d/1Q81FS8ZK12MMhuaARXfDcG8f-ydTCCGN/view?usp=drivesdk","PENGATUR TK I SIHMIATI SERTIFIKAT BerAKHLAK")</f>
        <v>PENGATUR TK I SIHMIATI SERTIFIKAT BerAKHLAK</v>
      </c>
      <c r="K299" s="5" t="s">
        <v>2358</v>
      </c>
      <c r="L299" s="5" t="s">
        <v>3027</v>
      </c>
      <c r="M299" s="5" t="s">
        <v>3028</v>
      </c>
      <c r="N299" s="7" t="s">
        <v>3029</v>
      </c>
      <c r="O299" s="8" t="str">
        <f>HYPERLINK("https://drive.google.com/file/d/1NF0cWCpnFsj_hgvswLAnVQk6PJdTvtki/view?usp=drivesdk","298_PENGATUR TK I SIHMIATI _ SERTIFIKAT BIMTEK IPASN BerAKHLASK")</f>
        <v>298_PENGATUR TK I SIHMIATI _ SERTIFIKAT BIMTEK IPASN BerAKHLASK</v>
      </c>
      <c r="P299" s="5" t="s">
        <v>3011</v>
      </c>
      <c r="Q299" s="5" t="s">
        <v>3030</v>
      </c>
      <c r="R299" s="7" t="s">
        <v>3031</v>
      </c>
      <c r="S299" s="7" t="str">
        <f>HYPERLINK("https://drive.google.com/file/d/1SRwG9PHYjoC_zPZ8tNEQQB_aet7PCXi7/view?usp=drivesdk","298_PENGATUR TK I SIHMIATI SERTIFIKAT BIMTEK IPASN-BerAKHLAK")</f>
        <v>298_PENGATUR TK I SIHMIATI SERTIFIKAT BIMTEK IPASN-BerAKHLAK</v>
      </c>
      <c r="T299" s="5" t="s">
        <v>2994</v>
      </c>
    </row>
    <row r="300">
      <c r="A300" s="4">
        <v>45534.317495243056</v>
      </c>
      <c r="B300" s="5" t="s">
        <v>34</v>
      </c>
      <c r="D300" s="5" t="s">
        <v>1768</v>
      </c>
      <c r="E300" s="5" t="s">
        <v>3032</v>
      </c>
      <c r="F300" s="5" t="s">
        <v>375</v>
      </c>
      <c r="G300" s="5" t="s">
        <v>3033</v>
      </c>
      <c r="H300" s="6" t="s">
        <v>3034</v>
      </c>
      <c r="I300" s="7" t="s">
        <v>3035</v>
      </c>
      <c r="J300" s="8" t="str">
        <f>HYPERLINK("https://drive.google.com/file/d/1Kz9jaDKZ2VRspFpgYGYWKaKbKRUy3Vej/view?usp=drivesdk","HAYATUN NISA, AMD. KEB, SKM SERTIFIKAT BerAKHLAK")</f>
        <v>HAYATUN NISA, AMD. KEB, SKM SERTIFIKAT BerAKHLAK</v>
      </c>
      <c r="K300" s="5" t="s">
        <v>2358</v>
      </c>
      <c r="L300" s="5" t="s">
        <v>3036</v>
      </c>
      <c r="M300" s="5" t="s">
        <v>3037</v>
      </c>
      <c r="N300" s="7" t="s">
        <v>3038</v>
      </c>
      <c r="O300" s="8" t="str">
        <f>HYPERLINK("https://drive.google.com/file/d/1yxd6tE0-2AgeBXl_tLdtHMAsJj3gnI20/view?usp=drivesdk","299_HAYATUN NISA, AMD. KEB, SKM _ SERTIFIKAT BIMTEK IPASN BerAKHLASK")</f>
        <v>299_HAYATUN NISA, AMD. KEB, SKM _ SERTIFIKAT BIMTEK IPASN BerAKHLASK</v>
      </c>
      <c r="P300" s="5" t="s">
        <v>3011</v>
      </c>
      <c r="Q300" s="5" t="s">
        <v>3039</v>
      </c>
      <c r="R300" s="7" t="s">
        <v>3040</v>
      </c>
      <c r="S300" s="7" t="str">
        <f>HYPERLINK("https://drive.google.com/file/d/1hCMevyrkpSHRT6eVARXjlViOPqYOio3m/view?usp=drivesdk","299_HAYATUN NISA, AMD. KEB, SKM SERTIFIKAT BIMTEK IPASN-BerAKHLAK")</f>
        <v>299_HAYATUN NISA, AMD. KEB, SKM SERTIFIKAT BIMTEK IPASN-BerAKHLAK</v>
      </c>
      <c r="T300" s="5" t="s">
        <v>3041</v>
      </c>
    </row>
    <row r="301">
      <c r="A301" s="4">
        <v>45534.31749822917</v>
      </c>
      <c r="B301" s="5" t="s">
        <v>34</v>
      </c>
      <c r="D301" s="5" t="s">
        <v>1206</v>
      </c>
      <c r="E301" s="5" t="s">
        <v>3042</v>
      </c>
      <c r="F301" s="5" t="s">
        <v>212</v>
      </c>
      <c r="G301" s="5" t="s">
        <v>3043</v>
      </c>
      <c r="H301" s="6" t="s">
        <v>3044</v>
      </c>
      <c r="I301" s="7" t="s">
        <v>3045</v>
      </c>
      <c r="J301" s="8" t="str">
        <f>HYPERLINK("https://drive.google.com/file/d/1e_bxdgJm3u64eIbNzX9GPz0t263rhGBn/view?usp=drivesdk","SITI NUR KHOLIFAH Amd. Kes SERTIFIKAT BerAKHLAK")</f>
        <v>SITI NUR KHOLIFAH Amd. Kes SERTIFIKAT BerAKHLAK</v>
      </c>
      <c r="K301" s="5" t="s">
        <v>2358</v>
      </c>
      <c r="L301" s="5" t="s">
        <v>3046</v>
      </c>
      <c r="M301" s="5" t="s">
        <v>3047</v>
      </c>
      <c r="N301" s="7" t="s">
        <v>3048</v>
      </c>
      <c r="O301" s="8" t="str">
        <f>HYPERLINK("https://drive.google.com/file/d/1Eu9bGYpoBXR55FrHGykRKJEYSDqcvx8x/view?usp=drivesdk","300_SITI NUR KHOLIFAH Amd. Kes _ SERTIFIKAT BIMTEK IPASN BerAKHLASK")</f>
        <v>300_SITI NUR KHOLIFAH Amd. Kes _ SERTIFIKAT BIMTEK IPASN BerAKHLASK</v>
      </c>
      <c r="P301" s="5" t="s">
        <v>3011</v>
      </c>
      <c r="Q301" s="5" t="s">
        <v>3049</v>
      </c>
      <c r="R301" s="7" t="s">
        <v>3050</v>
      </c>
      <c r="S301" s="7" t="str">
        <f>HYPERLINK("https://drive.google.com/file/d/1dmED8WFvcF6cAsKqTZPWSfg_Xzi0KSib/view?usp=drivesdk","300_SITI NUR KHOLIFAH Amd. Kes SERTIFIKAT BIMTEK IPASN-BerAKHLAK")</f>
        <v>300_SITI NUR KHOLIFAH Amd. Kes SERTIFIKAT BIMTEK IPASN-BerAKHLAK</v>
      </c>
      <c r="T301" s="5" t="s">
        <v>3041</v>
      </c>
    </row>
    <row r="302">
      <c r="A302" s="4">
        <v>45534.3175012963</v>
      </c>
      <c r="B302" s="5" t="s">
        <v>34</v>
      </c>
      <c r="D302" s="5" t="s">
        <v>35</v>
      </c>
      <c r="E302" s="5" t="s">
        <v>3051</v>
      </c>
      <c r="F302" s="5" t="s">
        <v>212</v>
      </c>
      <c r="G302" s="5" t="s">
        <v>3052</v>
      </c>
      <c r="H302" s="6" t="s">
        <v>3053</v>
      </c>
      <c r="I302" s="7" t="s">
        <v>3054</v>
      </c>
      <c r="J302" s="8" t="str">
        <f>HYPERLINK("https://drive.google.com/file/d/1eH_W7AsXGlLqFoatH1tEK1ffbuBTtT3r/view?usp=drivesdk","JEJE SITI ZENAB SERTIFIKAT BerAKHLAK")</f>
        <v>JEJE SITI ZENAB SERTIFIKAT BerAKHLAK</v>
      </c>
      <c r="K302" s="5" t="s">
        <v>3055</v>
      </c>
      <c r="L302" s="5" t="s">
        <v>3056</v>
      </c>
      <c r="M302" s="5" t="s">
        <v>3057</v>
      </c>
      <c r="N302" s="7" t="s">
        <v>3058</v>
      </c>
      <c r="O302" s="8" t="str">
        <f>HYPERLINK("https://drive.google.com/file/d/1eZ_tkNb5r26huCMQI8opdlafkYPRcITU/view?usp=drivesdk","301_JEJE SITI ZENAB _ SERTIFIKAT BIMTEK IPASN BerAKHLASK")</f>
        <v>301_JEJE SITI ZENAB _ SERTIFIKAT BIMTEK IPASN BerAKHLASK</v>
      </c>
      <c r="P302" s="5" t="s">
        <v>3011</v>
      </c>
      <c r="Q302" s="5" t="s">
        <v>3059</v>
      </c>
      <c r="R302" s="7" t="s">
        <v>3060</v>
      </c>
      <c r="S302" s="7" t="str">
        <f>HYPERLINK("https://drive.google.com/file/d/1PgyBa_bRGigZ2p1UKmmi0l0lUi2VGhMD/view?usp=drivesdk","301_JEJE SITI ZENAB SERTIFIKAT BIMTEK IPASN-BerAKHLAK")</f>
        <v>301_JEJE SITI ZENAB SERTIFIKAT BIMTEK IPASN-BerAKHLAK</v>
      </c>
      <c r="T302" s="5" t="s">
        <v>3041</v>
      </c>
    </row>
    <row r="303" hidden="1">
      <c r="A303" s="4">
        <v>45534.317502129634</v>
      </c>
      <c r="B303" s="5" t="s">
        <v>19</v>
      </c>
      <c r="C303" s="5" t="s">
        <v>292</v>
      </c>
      <c r="E303" s="5" t="s">
        <v>3061</v>
      </c>
      <c r="F303" s="5" t="s">
        <v>120</v>
      </c>
      <c r="G303" s="5" t="s">
        <v>3062</v>
      </c>
      <c r="H303" s="6" t="s">
        <v>3063</v>
      </c>
      <c r="I303" s="7" t="s">
        <v>3064</v>
      </c>
      <c r="J303" s="8" t="str">
        <f>HYPERLINK("https://drive.google.com/file/d/1wVt7B-wrtxHPajID-IN2vcIAzlXy8XOm/view?usp=drivesdk","KOMANG PEBRIANI DELIYANA, S.E., M.M. SERTIFIKAT BerAKHLAK")</f>
        <v>KOMANG PEBRIANI DELIYANA, S.E., M.M. SERTIFIKAT BerAKHLAK</v>
      </c>
      <c r="K303" s="5" t="s">
        <v>2358</v>
      </c>
      <c r="L303" s="5" t="s">
        <v>3065</v>
      </c>
      <c r="M303" s="5" t="s">
        <v>3066</v>
      </c>
      <c r="N303" s="7" t="s">
        <v>3067</v>
      </c>
      <c r="O303" s="8" t="str">
        <f>HYPERLINK("https://drive.google.com/file/d/11HIsbKrZf311qtgb0FmC_vyoDidAkBKJ/view?usp=drivesdk","302_KOMANG PEBRIANI DELIYANA, S.E., M.M. _ SERTIFIKAT BIMTEK IPASN BerAKHLASK")</f>
        <v>302_KOMANG PEBRIANI DELIYANA, S.E., M.M. _ SERTIFIKAT BIMTEK IPASN BerAKHLASK</v>
      </c>
      <c r="P303" s="5" t="s">
        <v>3068</v>
      </c>
      <c r="Q303" s="5" t="s">
        <v>3069</v>
      </c>
      <c r="R303" s="7" t="s">
        <v>3070</v>
      </c>
      <c r="S303" s="7" t="str">
        <f>HYPERLINK("https://drive.google.com/file/d/1Phnhd7AG85xfQb9Rmpb73kzHAUuKR1Wu/view?usp=drivesdk","302_KOMANG PEBRIANI DELIYANA, S.E., M.M. SERTIFIKAT BIMTEK IPASN-BerAKHLAK")</f>
        <v>302_KOMANG PEBRIANI DELIYANA, S.E., M.M. SERTIFIKAT BIMTEK IPASN-BerAKHLAK</v>
      </c>
      <c r="T303" s="5" t="s">
        <v>3041</v>
      </c>
    </row>
    <row r="304">
      <c r="A304" s="4">
        <v>45534.317589328704</v>
      </c>
      <c r="B304" s="5" t="s">
        <v>34</v>
      </c>
      <c r="D304" s="5" t="s">
        <v>580</v>
      </c>
      <c r="E304" s="5" t="s">
        <v>3071</v>
      </c>
      <c r="F304" s="5" t="s">
        <v>37</v>
      </c>
      <c r="G304" s="5" t="s">
        <v>3072</v>
      </c>
      <c r="H304" s="6" t="s">
        <v>3073</v>
      </c>
      <c r="I304" s="7" t="s">
        <v>3074</v>
      </c>
      <c r="J304" s="8" t="str">
        <f>HYPERLINK("https://drive.google.com/file/d/1yCpRDoZayP2VYOSBpkkmIan3tCdvtFNs/view?usp=drivesdk","SITI MUNAWROH,A.Md.Kep SERTIFIKAT BerAKHLAK")</f>
        <v>SITI MUNAWROH,A.Md.Kep SERTIFIKAT BerAKHLAK</v>
      </c>
      <c r="K304" s="5" t="s">
        <v>2358</v>
      </c>
      <c r="L304" s="5" t="s">
        <v>3075</v>
      </c>
      <c r="M304" s="5" t="s">
        <v>3076</v>
      </c>
      <c r="N304" s="7" t="s">
        <v>3077</v>
      </c>
      <c r="O304" s="8" t="str">
        <f>HYPERLINK("https://drive.google.com/file/d/1c9EQphtgqRuJkSq1A2ZXgxv1obyUaOTA/view?usp=drivesdk","303_SITI MUNAWROH,A.Md.Kep _ SERTIFIKAT BIMTEK IPASN BerAKHLASK")</f>
        <v>303_SITI MUNAWROH,A.Md.Kep _ SERTIFIKAT BIMTEK IPASN BerAKHLASK</v>
      </c>
      <c r="P304" s="5" t="s">
        <v>3068</v>
      </c>
      <c r="Q304" s="5" t="s">
        <v>3078</v>
      </c>
      <c r="R304" s="7" t="s">
        <v>3079</v>
      </c>
      <c r="S304" s="7" t="str">
        <f>HYPERLINK("https://drive.google.com/file/d/1DD4nb8Q2OrtpF9vhy2JBfeh6oyLtDaG5/view?usp=drivesdk","303_SITI MUNAWROH,A.Md.Kep SERTIFIKAT BIMTEK IPASN-BerAKHLAK")</f>
        <v>303_SITI MUNAWROH,A.Md.Kep SERTIFIKAT BIMTEK IPASN-BerAKHLAK</v>
      </c>
      <c r="T304" s="5" t="s">
        <v>3041</v>
      </c>
    </row>
    <row r="305">
      <c r="A305" s="4">
        <v>45534.31761385417</v>
      </c>
      <c r="B305" s="5" t="s">
        <v>34</v>
      </c>
      <c r="D305" s="5" t="s">
        <v>522</v>
      </c>
      <c r="E305" s="5" t="s">
        <v>3080</v>
      </c>
      <c r="F305" s="5" t="s">
        <v>212</v>
      </c>
      <c r="G305" s="5" t="s">
        <v>3081</v>
      </c>
      <c r="H305" s="6" t="s">
        <v>3082</v>
      </c>
      <c r="I305" s="7" t="s">
        <v>3083</v>
      </c>
      <c r="J305" s="8" t="str">
        <f>HYPERLINK("https://drive.google.com/file/d/1MrPhrIPe1Xf1SDzxA8y1ICQieI50d73C/view?usp=drivesdk","IRSAN HAFIZ MANDILING SERTIFIKAT BerAKHLAK")</f>
        <v>IRSAN HAFIZ MANDILING SERTIFIKAT BerAKHLAK</v>
      </c>
      <c r="K305" s="5" t="s">
        <v>2358</v>
      </c>
      <c r="L305" s="5" t="s">
        <v>3084</v>
      </c>
      <c r="M305" s="5" t="s">
        <v>3085</v>
      </c>
      <c r="N305" s="7" t="s">
        <v>3086</v>
      </c>
      <c r="O305" s="8" t="str">
        <f>HYPERLINK("https://drive.google.com/file/d/1hPTcGO-9yBTh1WySdbitc85pP9HyKbF3/view?usp=drivesdk","304_IRSAN HAFIZ MANDILING _ SERTIFIKAT BIMTEK IPASN BerAKHLASK")</f>
        <v>304_IRSAN HAFIZ MANDILING _ SERTIFIKAT BIMTEK IPASN BerAKHLASK</v>
      </c>
      <c r="P305" s="5" t="s">
        <v>3068</v>
      </c>
      <c r="Q305" s="5" t="s">
        <v>3087</v>
      </c>
      <c r="R305" s="7" t="s">
        <v>3088</v>
      </c>
      <c r="S305" s="7" t="str">
        <f>HYPERLINK("https://drive.google.com/file/d/1mwhzZSTD4HavsUPStcj5N5C7y0py3sRP/view?usp=drivesdk","304_IRSAN HAFIZ MANDILING SERTIFIKAT BIMTEK IPASN-BerAKHLAK")</f>
        <v>304_IRSAN HAFIZ MANDILING SERTIFIKAT BIMTEK IPASN-BerAKHLAK</v>
      </c>
      <c r="T305" s="5" t="s">
        <v>3089</v>
      </c>
    </row>
    <row r="306">
      <c r="A306" s="4">
        <v>45534.317658368054</v>
      </c>
      <c r="B306" s="5" t="s">
        <v>34</v>
      </c>
      <c r="D306" s="5" t="s">
        <v>522</v>
      </c>
      <c r="E306" s="5" t="s">
        <v>3090</v>
      </c>
      <c r="F306" s="5" t="s">
        <v>108</v>
      </c>
      <c r="G306" s="5" t="s">
        <v>3091</v>
      </c>
      <c r="H306" s="6" t="s">
        <v>3092</v>
      </c>
      <c r="I306" s="7" t="s">
        <v>3093</v>
      </c>
      <c r="J306" s="8" t="str">
        <f>HYPERLINK("https://drive.google.com/file/d/167908nrvd79UwH7Izh0PLX14l3toqz7S/view?usp=drivesdk","BAIQ.MAHDAROH FINETERI.A.Md.Gz SERTIFIKAT BerAKHLAK")</f>
        <v>BAIQ.MAHDAROH FINETERI.A.Md.Gz SERTIFIKAT BerAKHLAK</v>
      </c>
      <c r="K306" s="5" t="s">
        <v>2358</v>
      </c>
      <c r="L306" s="5" t="s">
        <v>3094</v>
      </c>
      <c r="M306" s="5" t="s">
        <v>3095</v>
      </c>
      <c r="N306" s="7" t="s">
        <v>3096</v>
      </c>
      <c r="O306" s="8" t="str">
        <f>HYPERLINK("https://drive.google.com/file/d/1kwwTQy7HHkvzc3do3mM2s210K1htGZGa/view?usp=drivesdk","305_BAIQ.MAHDAROH FINETERI.A.Md.Gz _ SERTIFIKAT BIMTEK IPASN BerAKHLASK")</f>
        <v>305_BAIQ.MAHDAROH FINETERI.A.Md.Gz _ SERTIFIKAT BIMTEK IPASN BerAKHLASK</v>
      </c>
      <c r="P306" s="5" t="s">
        <v>3068</v>
      </c>
      <c r="Q306" s="5" t="s">
        <v>3097</v>
      </c>
      <c r="R306" s="7" t="s">
        <v>3098</v>
      </c>
      <c r="S306" s="7" t="str">
        <f>HYPERLINK("https://drive.google.com/file/d/1VahRz7kS49ZCG9cIxgLNeV9fWVS1oJbl/view?usp=drivesdk","305_BAIQ.MAHDAROH FINETERI.A.Md.Gz SERTIFIKAT BIMTEK IPASN-BerAKHLAK")</f>
        <v>305_BAIQ.MAHDAROH FINETERI.A.Md.Gz SERTIFIKAT BIMTEK IPASN-BerAKHLAK</v>
      </c>
      <c r="T306" s="5" t="s">
        <v>3089</v>
      </c>
    </row>
    <row r="307">
      <c r="A307" s="4">
        <v>45534.31766934028</v>
      </c>
      <c r="B307" s="5" t="s">
        <v>34</v>
      </c>
      <c r="D307" s="5" t="s">
        <v>1692</v>
      </c>
      <c r="E307" s="5" t="s">
        <v>3099</v>
      </c>
      <c r="F307" s="5" t="s">
        <v>108</v>
      </c>
      <c r="G307" s="5" t="s">
        <v>3100</v>
      </c>
      <c r="H307" s="6" t="s">
        <v>3101</v>
      </c>
      <c r="I307" s="7" t="s">
        <v>3102</v>
      </c>
      <c r="J307" s="8" t="str">
        <f>HYPERLINK("https://drive.google.com/file/d/16OyGjRwYGcqkTgeaXAVPVTU6Q0tePfSv/view?usp=drivesdk","BEATRIX GOMIES SERTIFIKAT BerAKHLAK")</f>
        <v>BEATRIX GOMIES SERTIFIKAT BerAKHLAK</v>
      </c>
      <c r="K307" s="5" t="s">
        <v>2358</v>
      </c>
      <c r="L307" s="5" t="s">
        <v>3103</v>
      </c>
      <c r="M307" s="5" t="s">
        <v>3104</v>
      </c>
      <c r="N307" s="7" t="s">
        <v>3105</v>
      </c>
      <c r="O307" s="8" t="str">
        <f>HYPERLINK("https://drive.google.com/file/d/1RFyczm53mXdcmYvxnwCFrlBDhFukh-ff/view?usp=drivesdk","306_BEATRIX GOMIES _ SERTIFIKAT BIMTEK IPASN BerAKHLASK")</f>
        <v>306_BEATRIX GOMIES _ SERTIFIKAT BIMTEK IPASN BerAKHLASK</v>
      </c>
      <c r="P307" s="5" t="s">
        <v>3068</v>
      </c>
      <c r="Q307" s="5" t="s">
        <v>3106</v>
      </c>
      <c r="R307" s="7" t="s">
        <v>3107</v>
      </c>
      <c r="S307" s="7" t="str">
        <f>HYPERLINK("https://drive.google.com/file/d/1Uq19ggzC-uoznE46_vUmJERgIvwwxuXO/view?usp=drivesdk","306_BEATRIX GOMIES SERTIFIKAT BIMTEK IPASN-BerAKHLAK")</f>
        <v>306_BEATRIX GOMIES SERTIFIKAT BIMTEK IPASN-BerAKHLAK</v>
      </c>
      <c r="T307" s="5" t="s">
        <v>3089</v>
      </c>
    </row>
    <row r="308">
      <c r="A308" s="4">
        <v>45534.31768445602</v>
      </c>
      <c r="B308" s="5" t="s">
        <v>34</v>
      </c>
      <c r="D308" s="5" t="s">
        <v>267</v>
      </c>
      <c r="E308" s="5" t="s">
        <v>3108</v>
      </c>
      <c r="F308" s="5" t="s">
        <v>72</v>
      </c>
      <c r="G308" s="5" t="s">
        <v>3109</v>
      </c>
      <c r="H308" s="6" t="s">
        <v>3110</v>
      </c>
      <c r="I308" s="7" t="s">
        <v>3111</v>
      </c>
      <c r="J308" s="8" t="str">
        <f>HYPERLINK("https://drive.google.com/file/d/1GbvLKpVc2ONYgTZZNqZCDnHCwQuSVDER/view?usp=drivesdk","M.ALI MUNIF, SAG, MM SERTIFIKAT BerAKHLAK")</f>
        <v>M.ALI MUNIF, SAG, MM SERTIFIKAT BerAKHLAK</v>
      </c>
      <c r="K308" s="5" t="s">
        <v>2358</v>
      </c>
      <c r="L308" s="5" t="s">
        <v>3112</v>
      </c>
      <c r="M308" s="5" t="s">
        <v>3113</v>
      </c>
      <c r="N308" s="7" t="s">
        <v>3114</v>
      </c>
      <c r="O308" s="8" t="str">
        <f>HYPERLINK("https://drive.google.com/file/d/1pyriaoVWp9P2IizbKe3bfbK48l3LHHPr/view?usp=drivesdk","307_M.ALI MUNIF, SAG, MM _ SERTIFIKAT BIMTEK IPASN BerAKHLASK")</f>
        <v>307_M.ALI MUNIF, SAG, MM _ SERTIFIKAT BIMTEK IPASN BerAKHLASK</v>
      </c>
      <c r="P308" s="5" t="s">
        <v>3068</v>
      </c>
      <c r="Q308" s="5" t="s">
        <v>3115</v>
      </c>
      <c r="R308" s="7" t="s">
        <v>3116</v>
      </c>
      <c r="S308" s="7" t="str">
        <f>HYPERLINK("https://drive.google.com/file/d/11R8gWmJuwc8kJlk6nsRFRK-kn8_Eflfs/view?usp=drivesdk","307_M.ALI MUNIF, SAG, MM SERTIFIKAT BIMTEK IPASN-BerAKHLAK")</f>
        <v>307_M.ALI MUNIF, SAG, MM SERTIFIKAT BIMTEK IPASN-BerAKHLAK</v>
      </c>
      <c r="T308" s="5" t="s">
        <v>3089</v>
      </c>
    </row>
    <row r="309">
      <c r="A309" s="4">
        <v>45534.317685347225</v>
      </c>
      <c r="B309" s="5" t="s">
        <v>34</v>
      </c>
      <c r="D309" s="5" t="s">
        <v>35</v>
      </c>
      <c r="E309" s="5" t="s">
        <v>3117</v>
      </c>
      <c r="F309" s="5" t="s">
        <v>120</v>
      </c>
      <c r="G309" s="5" t="s">
        <v>3118</v>
      </c>
      <c r="H309" s="6" t="s">
        <v>3119</v>
      </c>
      <c r="I309" s="7" t="s">
        <v>3120</v>
      </c>
      <c r="J309" s="8" t="str">
        <f>HYPERLINK("https://drive.google.com/file/d/1_mrjO3jv4qF5n4LTUjOaRLxvCzTsF4X_/view?usp=drivesdk","YURIS APOLO DHERMAWAN, SH SERTIFIKAT BerAKHLAK")</f>
        <v>YURIS APOLO DHERMAWAN, SH SERTIFIKAT BerAKHLAK</v>
      </c>
      <c r="K309" s="5" t="s">
        <v>2358</v>
      </c>
      <c r="L309" s="5" t="s">
        <v>3121</v>
      </c>
      <c r="M309" s="5" t="s">
        <v>3122</v>
      </c>
      <c r="N309" s="7" t="s">
        <v>3123</v>
      </c>
      <c r="O309" s="8" t="str">
        <f>HYPERLINK("https://drive.google.com/file/d/1mw9vlWQDncdP1Fr8HoeIVWrTTD3SakuM/view?usp=drivesdk","308_YURIS APOLO DHERMAWAN, SH _ SERTIFIKAT BIMTEK IPASN BerAKHLASK")</f>
        <v>308_YURIS APOLO DHERMAWAN, SH _ SERTIFIKAT BIMTEK IPASN BerAKHLASK</v>
      </c>
      <c r="P309" s="5" t="s">
        <v>3068</v>
      </c>
      <c r="Q309" s="5" t="s">
        <v>3124</v>
      </c>
      <c r="R309" s="7" t="s">
        <v>3125</v>
      </c>
      <c r="S309" s="7" t="str">
        <f>HYPERLINK("https://drive.google.com/file/d/1HAidXskx8gzlzHnrDsUtawEcYMB9vQd0/view?usp=drivesdk","308_YURIS APOLO DHERMAWAN, SH SERTIFIKAT BIMTEK IPASN-BerAKHLAK")</f>
        <v>308_YURIS APOLO DHERMAWAN, SH SERTIFIKAT BIMTEK IPASN-BerAKHLAK</v>
      </c>
      <c r="T309" s="5" t="s">
        <v>3089</v>
      </c>
    </row>
    <row r="310">
      <c r="A310" s="4">
        <v>45534.317703252316</v>
      </c>
      <c r="B310" s="5" t="s">
        <v>34</v>
      </c>
      <c r="D310" s="5" t="s">
        <v>580</v>
      </c>
      <c r="E310" s="5" t="s">
        <v>3126</v>
      </c>
      <c r="F310" s="5" t="s">
        <v>212</v>
      </c>
      <c r="G310" s="5" t="s">
        <v>3127</v>
      </c>
      <c r="H310" s="6" t="s">
        <v>3128</v>
      </c>
      <c r="I310" s="7" t="s">
        <v>3129</v>
      </c>
      <c r="J310" s="8" t="str">
        <f>HYPERLINK("https://drive.google.com/file/d/1AJ1qsByFKtV7wTDQarj9gE0Bwasz0U93/view?usp=drivesdk","OKTANIA PURNAMA SARI, A.Md. Farm. SERTIFIKAT BerAKHLAK")</f>
        <v>OKTANIA PURNAMA SARI, A.Md. Farm. SERTIFIKAT BerAKHLAK</v>
      </c>
      <c r="K310" s="5" t="s">
        <v>2358</v>
      </c>
      <c r="L310" s="5" t="s">
        <v>3130</v>
      </c>
      <c r="M310" s="5" t="s">
        <v>3131</v>
      </c>
      <c r="N310" s="7" t="s">
        <v>3132</v>
      </c>
      <c r="O310" s="8" t="str">
        <f>HYPERLINK("https://drive.google.com/file/d/1qsdS87AabSbwY1yQhb9vBzBfyhH5IIti/view?usp=drivesdk","309_OKTANIA PURNAMA SARI, A.Md. Farm. _ SERTIFIKAT BIMTEK IPASN BerAKHLASK")</f>
        <v>309_OKTANIA PURNAMA SARI, A.Md. Farm. _ SERTIFIKAT BIMTEK IPASN BerAKHLASK</v>
      </c>
      <c r="P310" s="5" t="s">
        <v>3133</v>
      </c>
      <c r="Q310" s="5" t="s">
        <v>3134</v>
      </c>
      <c r="R310" s="7" t="s">
        <v>3135</v>
      </c>
      <c r="S310" s="7" t="str">
        <f>HYPERLINK("https://drive.google.com/file/d/1A-LIoD_cgCld8MCWT9iAObLC6yfrai8D/view?usp=drivesdk","309_OKTANIA PURNAMA SARI, A.Md. Farm. SERTIFIKAT BIMTEK IPASN-BerAKHLAK")</f>
        <v>309_OKTANIA PURNAMA SARI, A.Md. Farm. SERTIFIKAT BIMTEK IPASN-BerAKHLAK</v>
      </c>
      <c r="T310" s="5" t="s">
        <v>3089</v>
      </c>
    </row>
    <row r="311">
      <c r="A311" s="4">
        <v>45534.31776582176</v>
      </c>
      <c r="B311" s="5" t="s">
        <v>34</v>
      </c>
      <c r="D311" s="5" t="s">
        <v>35</v>
      </c>
      <c r="E311" s="5" t="s">
        <v>3136</v>
      </c>
      <c r="F311" s="5" t="s">
        <v>715</v>
      </c>
      <c r="G311" s="5" t="s">
        <v>3137</v>
      </c>
      <c r="H311" s="6" t="s">
        <v>3138</v>
      </c>
      <c r="I311" s="7" t="s">
        <v>3139</v>
      </c>
      <c r="J311" s="8" t="str">
        <f>HYPERLINK("https://drive.google.com/file/d/1K3zQ0Ks9LlaDKMI5nMyM9D1UrfGIErz2/view?usp=drivesdk","INDAH NURMALASARI, A.Md.Kep. SERTIFIKAT BerAKHLAK")</f>
        <v>INDAH NURMALASARI, A.Md.Kep. SERTIFIKAT BerAKHLAK</v>
      </c>
      <c r="K311" s="5" t="s">
        <v>2358</v>
      </c>
      <c r="L311" s="5" t="s">
        <v>3140</v>
      </c>
      <c r="M311" s="5" t="s">
        <v>3141</v>
      </c>
      <c r="N311" s="7" t="s">
        <v>3142</v>
      </c>
      <c r="O311" s="8" t="str">
        <f>HYPERLINK("https://drive.google.com/file/d/1mleUVdNgNmAmttfYRC95k_HSxnqoz4Cm/view?usp=drivesdk","310_INDAH NURMALASARI, A.Md.Kep. _ SERTIFIKAT BIMTEK IPASN BerAKHLASK")</f>
        <v>310_INDAH NURMALASARI, A.Md.Kep. _ SERTIFIKAT BIMTEK IPASN BerAKHLASK</v>
      </c>
      <c r="P311" s="5" t="s">
        <v>3133</v>
      </c>
      <c r="Q311" s="5" t="s">
        <v>3143</v>
      </c>
      <c r="R311" s="7" t="s">
        <v>3144</v>
      </c>
      <c r="S311" s="7" t="str">
        <f>HYPERLINK("https://drive.google.com/file/d/1OSYNxDkA7lJlQM-k4RGVpohDUG-3X-O5/view?usp=drivesdk","310_INDAH NURMALASARI, A.Md.Kep. SERTIFIKAT BIMTEK IPASN-BerAKHLAK")</f>
        <v>310_INDAH NURMALASARI, A.Md.Kep. SERTIFIKAT BIMTEK IPASN-BerAKHLAK</v>
      </c>
      <c r="T311" s="5" t="s">
        <v>3145</v>
      </c>
    </row>
    <row r="312">
      <c r="A312" s="4">
        <v>45534.317774027775</v>
      </c>
      <c r="B312" s="5" t="s">
        <v>34</v>
      </c>
      <c r="D312" s="5" t="s">
        <v>35</v>
      </c>
      <c r="E312" s="5" t="s">
        <v>3146</v>
      </c>
      <c r="F312" s="5" t="s">
        <v>72</v>
      </c>
      <c r="G312" s="5" t="s">
        <v>3147</v>
      </c>
      <c r="H312" s="6" t="s">
        <v>3148</v>
      </c>
      <c r="I312" s="7" t="s">
        <v>3149</v>
      </c>
      <c r="J312" s="8" t="str">
        <f>HYPERLINK("https://drive.google.com/file/d/1t-l-yi7slaWuJttjsuMXXjCgh4bJJ7fs/view?usp=drivesdk","DWI PUJI SUSILAWATI,S.Kep SERTIFIKAT BerAKHLAK")</f>
        <v>DWI PUJI SUSILAWATI,S.Kep SERTIFIKAT BerAKHLAK</v>
      </c>
      <c r="K312" s="5" t="s">
        <v>2358</v>
      </c>
      <c r="L312" s="5" t="s">
        <v>3150</v>
      </c>
      <c r="M312" s="5" t="s">
        <v>3151</v>
      </c>
      <c r="N312" s="7" t="s">
        <v>3152</v>
      </c>
      <c r="O312" s="8" t="str">
        <f>HYPERLINK("https://drive.google.com/file/d/107sO2icZZQ13PgJwA02oKAeh7Yj4a7PV/view?usp=drivesdk","311_DWI PUJI SUSILAWATI,S.Kep _ SERTIFIKAT BIMTEK IPASN BerAKHLASK")</f>
        <v>311_DWI PUJI SUSILAWATI,S.Kep _ SERTIFIKAT BIMTEK IPASN BerAKHLASK</v>
      </c>
      <c r="P312" s="5" t="s">
        <v>3133</v>
      </c>
      <c r="Q312" s="5" t="s">
        <v>3153</v>
      </c>
      <c r="R312" s="7" t="s">
        <v>3154</v>
      </c>
      <c r="S312" s="7" t="str">
        <f>HYPERLINK("https://drive.google.com/file/d/1jyejhHAoJZHZ8BLJW34_szuqVr-YPJPg/view?usp=drivesdk","311_DWI PUJI SUSILAWATI,S.Kep SERTIFIKAT BIMTEK IPASN-BerAKHLAK")</f>
        <v>311_DWI PUJI SUSILAWATI,S.Kep SERTIFIKAT BIMTEK IPASN-BerAKHLAK</v>
      </c>
      <c r="T312" s="5" t="s">
        <v>3145</v>
      </c>
    </row>
    <row r="313">
      <c r="A313" s="4">
        <v>45534.317788472224</v>
      </c>
      <c r="B313" s="5" t="s">
        <v>34</v>
      </c>
      <c r="D313" s="5" t="s">
        <v>975</v>
      </c>
      <c r="E313" s="5" t="s">
        <v>3155</v>
      </c>
      <c r="F313" s="5" t="s">
        <v>37</v>
      </c>
      <c r="G313" s="5" t="s">
        <v>3156</v>
      </c>
      <c r="H313" s="6" t="s">
        <v>3157</v>
      </c>
      <c r="I313" s="7" t="s">
        <v>3158</v>
      </c>
      <c r="J313" s="8" t="str">
        <f>HYPERLINK("https://drive.google.com/file/d/1BwJ1WxCO1M_XtECTkVvwMrdIvXtXQk3d/view?usp=drivesdk","KURNIA WIDIANI,A.Md.Kes. SERTIFIKAT BerAKHLAK")</f>
        <v>KURNIA WIDIANI,A.Md.Kes. SERTIFIKAT BerAKHLAK</v>
      </c>
      <c r="K313" s="5" t="s">
        <v>3055</v>
      </c>
      <c r="L313" s="5" t="s">
        <v>3159</v>
      </c>
      <c r="M313" s="5" t="s">
        <v>3160</v>
      </c>
      <c r="N313" s="7" t="s">
        <v>3161</v>
      </c>
      <c r="O313" s="8" t="str">
        <f>HYPERLINK("https://drive.google.com/file/d/1vBdccNoqcMrr0jn0uKKNXkr9eUyc9MGq/view?usp=drivesdk","312_KURNIA WIDIANI,A.Md.Kes. _ SERTIFIKAT BIMTEK IPASN BerAKHLASK")</f>
        <v>312_KURNIA WIDIANI,A.Md.Kes. _ SERTIFIKAT BIMTEK IPASN BerAKHLASK</v>
      </c>
      <c r="P313" s="5" t="s">
        <v>3133</v>
      </c>
      <c r="Q313" s="5" t="s">
        <v>3162</v>
      </c>
      <c r="R313" s="7" t="s">
        <v>3163</v>
      </c>
      <c r="S313" s="7" t="str">
        <f>HYPERLINK("https://drive.google.com/file/d/1cY57meBmCOb88GsryCD48IFZmiHH7Jem/view?usp=drivesdk","312_KURNIA WIDIANI,A.Md.Kes. SERTIFIKAT BIMTEK IPASN-BerAKHLAK")</f>
        <v>312_KURNIA WIDIANI,A.Md.Kes. SERTIFIKAT BIMTEK IPASN-BerAKHLAK</v>
      </c>
      <c r="T313" s="5" t="s">
        <v>3145</v>
      </c>
    </row>
    <row r="314">
      <c r="A314" s="4">
        <v>45534.31779152778</v>
      </c>
      <c r="B314" s="5" t="s">
        <v>34</v>
      </c>
      <c r="D314" s="5" t="s">
        <v>1456</v>
      </c>
      <c r="E314" s="5" t="s">
        <v>3164</v>
      </c>
      <c r="F314" s="5" t="s">
        <v>72</v>
      </c>
      <c r="G314" s="5" t="s">
        <v>3165</v>
      </c>
      <c r="H314" s="6" t="s">
        <v>3166</v>
      </c>
      <c r="I314" s="7" t="s">
        <v>3167</v>
      </c>
      <c r="J314" s="8" t="str">
        <f>HYPERLINK("https://drive.google.com/file/d/1F6lwaGehF5Yao4ecvFsAl3qqMn18IoY_/view?usp=drivesdk","YULI KARYANTO SERTIFIKAT BerAKHLAK")</f>
        <v>YULI KARYANTO SERTIFIKAT BerAKHLAK</v>
      </c>
      <c r="K314" s="5" t="s">
        <v>3055</v>
      </c>
      <c r="L314" s="5" t="s">
        <v>3168</v>
      </c>
      <c r="M314" s="5" t="s">
        <v>3169</v>
      </c>
      <c r="N314" s="7" t="s">
        <v>3170</v>
      </c>
      <c r="O314" s="8" t="str">
        <f>HYPERLINK("https://drive.google.com/file/d/18Thf69gUWPLPoE0ZEc_bKOOtqPUSS7-u/view?usp=drivesdk","313_YULI KARYANTO _ SERTIFIKAT BIMTEK IPASN BerAKHLASK")</f>
        <v>313_YULI KARYANTO _ SERTIFIKAT BIMTEK IPASN BerAKHLASK</v>
      </c>
      <c r="P314" s="5" t="s">
        <v>3133</v>
      </c>
      <c r="Q314" s="5" t="s">
        <v>3171</v>
      </c>
      <c r="R314" s="7" t="s">
        <v>3172</v>
      </c>
      <c r="S314" s="7" t="str">
        <f>HYPERLINK("https://drive.google.com/file/d/1jEz7gXmkKR1Ps7do2bcZrz4j6sjKGOz_/view?usp=drivesdk","313_YULI KARYANTO SERTIFIKAT BIMTEK IPASN-BerAKHLAK")</f>
        <v>313_YULI KARYANTO SERTIFIKAT BIMTEK IPASN-BerAKHLAK</v>
      </c>
      <c r="T314" s="5" t="s">
        <v>3145</v>
      </c>
    </row>
    <row r="315">
      <c r="A315" s="4">
        <v>45534.31779555556</v>
      </c>
      <c r="B315" s="5" t="s">
        <v>34</v>
      </c>
      <c r="D315" s="5" t="s">
        <v>580</v>
      </c>
      <c r="E315" s="5" t="s">
        <v>3173</v>
      </c>
      <c r="F315" s="5" t="s">
        <v>212</v>
      </c>
      <c r="G315" s="5" t="s">
        <v>3174</v>
      </c>
      <c r="H315" s="6" t="s">
        <v>3175</v>
      </c>
      <c r="I315" s="7" t="s">
        <v>3176</v>
      </c>
      <c r="J315" s="8" t="str">
        <f>HYPERLINK("https://drive.google.com/file/d/1iNKMUfgsTm6-h3GaSRQBrNtxum1fAV3a/view?usp=drivesdk","PENGATUR NI NYOMAN ARTINI SERTIFIKAT BerAKHLAK")</f>
        <v>PENGATUR NI NYOMAN ARTINI SERTIFIKAT BerAKHLAK</v>
      </c>
      <c r="K315" s="5" t="s">
        <v>3055</v>
      </c>
      <c r="L315" s="5" t="s">
        <v>3177</v>
      </c>
      <c r="M315" s="5" t="s">
        <v>3178</v>
      </c>
      <c r="N315" s="7" t="s">
        <v>3179</v>
      </c>
      <c r="O315" s="8" t="str">
        <f>HYPERLINK("https://drive.google.com/file/d/12ANE8Wd41kGQ_HfQMicvzW3Yq-o73IRC/view?usp=drivesdk","314_PENGATUR NI NYOMAN ARTINI _ SERTIFIKAT BIMTEK IPASN BerAKHLASK")</f>
        <v>314_PENGATUR NI NYOMAN ARTINI _ SERTIFIKAT BIMTEK IPASN BerAKHLASK</v>
      </c>
      <c r="P315" s="5" t="s">
        <v>3180</v>
      </c>
      <c r="Q315" s="5" t="s">
        <v>3181</v>
      </c>
      <c r="R315" s="7" t="s">
        <v>3182</v>
      </c>
      <c r="S315" s="7" t="str">
        <f>HYPERLINK("https://drive.google.com/file/d/1Oj65bTaJzVnaVZD1eci6OJjwqxR-aLdd/view?usp=drivesdk","314_PENGATUR NI NYOMAN ARTINI SERTIFIKAT BIMTEK IPASN-BerAKHLAK")</f>
        <v>314_PENGATUR NI NYOMAN ARTINI SERTIFIKAT BIMTEK IPASN-BerAKHLAK</v>
      </c>
      <c r="T315" s="5" t="s">
        <v>3145</v>
      </c>
    </row>
    <row r="316" hidden="1">
      <c r="A316" s="4">
        <v>45534.31780148148</v>
      </c>
      <c r="B316" s="5" t="s">
        <v>19</v>
      </c>
      <c r="C316" s="5" t="s">
        <v>292</v>
      </c>
      <c r="E316" s="5" t="s">
        <v>3183</v>
      </c>
      <c r="F316" s="5" t="s">
        <v>72</v>
      </c>
      <c r="G316" s="5" t="s">
        <v>3184</v>
      </c>
      <c r="H316" s="6" t="s">
        <v>3185</v>
      </c>
      <c r="I316" s="7" t="s">
        <v>3186</v>
      </c>
      <c r="J316" s="8" t="str">
        <f>HYPERLINK("https://drive.google.com/file/d/1vHKLQXgMClug7apc4hjXOf_wLekxHSLq/view?usp=drivesdk","dr. DITA APERTAWA SERTIFIKAT BerAKHLAK")</f>
        <v>dr. DITA APERTAWA SERTIFIKAT BerAKHLAK</v>
      </c>
      <c r="K316" s="5" t="s">
        <v>3055</v>
      </c>
      <c r="L316" s="5" t="s">
        <v>3187</v>
      </c>
      <c r="M316" s="5" t="s">
        <v>3188</v>
      </c>
      <c r="N316" s="7" t="s">
        <v>3189</v>
      </c>
      <c r="O316" s="8" t="str">
        <f>HYPERLINK("https://drive.google.com/file/d/1jM4F0BEUzsC-oZvsfhAXWS1YEUT5XAl_/view?usp=drivesdk","315_dr. DITA APERTAWA _ SERTIFIKAT BIMTEK IPASN BerAKHLASK")</f>
        <v>315_dr. DITA APERTAWA _ SERTIFIKAT BIMTEK IPASN BerAKHLASK</v>
      </c>
      <c r="P316" s="5" t="s">
        <v>3180</v>
      </c>
      <c r="Q316" s="5" t="s">
        <v>3190</v>
      </c>
      <c r="R316" s="7" t="s">
        <v>3191</v>
      </c>
      <c r="S316" s="7" t="str">
        <f>HYPERLINK("https://drive.google.com/file/d/1cBUbC2OpWbC825WibvT6fsLkzTrEudVo/view?usp=drivesdk","315_dr. DITA APERTAWA SERTIFIKAT BIMTEK IPASN-BerAKHLAK")</f>
        <v>315_dr. DITA APERTAWA SERTIFIKAT BIMTEK IPASN-BerAKHLAK</v>
      </c>
      <c r="T316" s="5" t="s">
        <v>3145</v>
      </c>
    </row>
    <row r="317" hidden="1">
      <c r="A317" s="4">
        <v>45534.31780991898</v>
      </c>
      <c r="B317" s="5" t="s">
        <v>19</v>
      </c>
      <c r="C317" s="5" t="s">
        <v>292</v>
      </c>
      <c r="E317" s="5" t="s">
        <v>3192</v>
      </c>
      <c r="F317" s="5" t="s">
        <v>212</v>
      </c>
      <c r="G317" s="5" t="s">
        <v>3193</v>
      </c>
      <c r="H317" s="6" t="s">
        <v>3194</v>
      </c>
      <c r="I317" s="7" t="s">
        <v>3195</v>
      </c>
      <c r="J317" s="8" t="str">
        <f>HYPERLINK("https://drive.google.com/file/d/1cCuLAPDDbuxawYgX0oDg5thr7tcTaKNN/view?usp=drivesdk","DITA MARYA SANJAYA, A. Md. Keb. SERTIFIKAT BerAKHLAK")</f>
        <v>DITA MARYA SANJAYA, A. Md. Keb. SERTIFIKAT BerAKHLAK</v>
      </c>
      <c r="K317" s="5" t="s">
        <v>2358</v>
      </c>
      <c r="L317" s="5" t="s">
        <v>3196</v>
      </c>
      <c r="M317" s="5" t="s">
        <v>3197</v>
      </c>
      <c r="N317" s="7" t="s">
        <v>3198</v>
      </c>
      <c r="O317" s="8" t="str">
        <f>HYPERLINK("https://drive.google.com/file/d/1-ryBt8UaD3IAU9LbEDmHUmfcH6UJUiWf/view?usp=drivesdk","316_DITA MARYA SANJAYA, A. Md. Keb. _ SERTIFIKAT BIMTEK IPASN BerAKHLASK")</f>
        <v>316_DITA MARYA SANJAYA, A. Md. Keb. _ SERTIFIKAT BIMTEK IPASN BerAKHLASK</v>
      </c>
      <c r="P317" s="5" t="s">
        <v>3180</v>
      </c>
      <c r="Q317" s="5" t="s">
        <v>3199</v>
      </c>
      <c r="R317" s="7" t="s">
        <v>3200</v>
      </c>
      <c r="S317" s="7" t="str">
        <f>HYPERLINK("https://drive.google.com/file/d/1cjuWkTJ3Tx1mxfFiFdK-WrmyQldo6PrJ/view?usp=drivesdk","316_DITA MARYA SANJAYA, A. Md. Keb. SERTIFIKAT BIMTEK IPASN-BerAKHLAK")</f>
        <v>316_DITA MARYA SANJAYA, A. Md. Keb. SERTIFIKAT BIMTEK IPASN-BerAKHLAK</v>
      </c>
      <c r="T317" s="5" t="s">
        <v>3201</v>
      </c>
    </row>
    <row r="318">
      <c r="A318" s="4">
        <v>45534.31784133102</v>
      </c>
      <c r="B318" s="5" t="s">
        <v>34</v>
      </c>
      <c r="D318" s="5" t="s">
        <v>35</v>
      </c>
      <c r="E318" s="5" t="s">
        <v>3202</v>
      </c>
      <c r="F318" s="5" t="s">
        <v>108</v>
      </c>
      <c r="G318" s="5" t="s">
        <v>3203</v>
      </c>
      <c r="H318" s="6" t="s">
        <v>3204</v>
      </c>
      <c r="I318" s="7" t="s">
        <v>3205</v>
      </c>
      <c r="J318" s="8" t="str">
        <f>HYPERLINK("https://drive.google.com/file/d/1SdVho11cgZKJwIlFpgFsrnDEFvDl30uR/view?usp=drivesdk","EMPUD SARIPUDIN SERTIFIKAT BerAKHLAK")</f>
        <v>EMPUD SARIPUDIN SERTIFIKAT BerAKHLAK</v>
      </c>
      <c r="K318" s="5" t="s">
        <v>2358</v>
      </c>
      <c r="L318" s="5" t="s">
        <v>3206</v>
      </c>
      <c r="M318" s="5" t="s">
        <v>3207</v>
      </c>
      <c r="N318" s="7" t="s">
        <v>3208</v>
      </c>
      <c r="O318" s="8" t="str">
        <f>HYPERLINK("https://drive.google.com/file/d/1gvHki0AGBeoWwPgIzl9o0mTXC47nJaSk/view?usp=drivesdk","317_EMPUD SARIPUDIN _ SERTIFIKAT BIMTEK IPASN BerAKHLASK")</f>
        <v>317_EMPUD SARIPUDIN _ SERTIFIKAT BIMTEK IPASN BerAKHLASK</v>
      </c>
      <c r="P318" s="5" t="s">
        <v>3180</v>
      </c>
      <c r="Q318" s="5" t="s">
        <v>3209</v>
      </c>
      <c r="R318" s="7" t="s">
        <v>3210</v>
      </c>
      <c r="S318" s="7" t="str">
        <f>HYPERLINK("https://drive.google.com/file/d/1AnJ2XLAf-nFlS-w0iAolp2kgH5XVp3o3/view?usp=drivesdk","317_EMPUD SARIPUDIN SERTIFIKAT BIMTEK IPASN-BerAKHLAK")</f>
        <v>317_EMPUD SARIPUDIN SERTIFIKAT BIMTEK IPASN-BerAKHLAK</v>
      </c>
      <c r="T318" s="5" t="s">
        <v>3201</v>
      </c>
    </row>
    <row r="319">
      <c r="A319" s="4">
        <v>45534.31784988426</v>
      </c>
      <c r="B319" s="5" t="s">
        <v>34</v>
      </c>
      <c r="D319" s="5" t="s">
        <v>1206</v>
      </c>
      <c r="E319" s="5" t="s">
        <v>3211</v>
      </c>
      <c r="F319" s="5" t="s">
        <v>212</v>
      </c>
      <c r="G319" s="5" t="s">
        <v>3212</v>
      </c>
      <c r="H319" s="6" t="s">
        <v>3213</v>
      </c>
      <c r="K319" s="5" t="s">
        <v>3214</v>
      </c>
      <c r="M319" s="5" t="s">
        <v>3215</v>
      </c>
      <c r="N319" s="7" t="s">
        <v>3216</v>
      </c>
      <c r="O319" s="8" t="str">
        <f>HYPERLINK("https://drive.google.com/file/d/1wGQdi5BzG8oabMrmr5yannwc2Qz4bDxT/view?usp=drivesdk","318_LUKITA PERMANASARI,S.I.P. _ SERTIFIKAT BIMTEK IPASN BerAKHLASK")</f>
        <v>318_LUKITA PERMANASARI,S.I.P. _ SERTIFIKAT BIMTEK IPASN BerAKHLASK</v>
      </c>
      <c r="P319" s="5" t="s">
        <v>3180</v>
      </c>
      <c r="Q319" s="5" t="s">
        <v>3217</v>
      </c>
      <c r="R319" s="7" t="s">
        <v>3218</v>
      </c>
      <c r="S319" s="7" t="str">
        <f>HYPERLINK("https://drive.google.com/file/d/1qcNVYuBll5zVxbBRm04S5M-pR-JhG_TJ/view?usp=drivesdk","318_LUKITA PERMANASARI,S.I.P. SERTIFIKAT BIMTEK IPASN-BerAKHLAK")</f>
        <v>318_LUKITA PERMANASARI,S.I.P. SERTIFIKAT BIMTEK IPASN-BerAKHLAK</v>
      </c>
      <c r="T319" s="5" t="s">
        <v>3201</v>
      </c>
    </row>
    <row r="320">
      <c r="A320" s="4">
        <v>45534.317853078705</v>
      </c>
      <c r="B320" s="5" t="s">
        <v>34</v>
      </c>
      <c r="D320" s="5" t="s">
        <v>1206</v>
      </c>
      <c r="E320" s="5" t="s">
        <v>3219</v>
      </c>
      <c r="F320" s="5" t="s">
        <v>375</v>
      </c>
      <c r="G320" s="5" t="s">
        <v>3220</v>
      </c>
      <c r="H320" s="6" t="s">
        <v>3221</v>
      </c>
      <c r="K320" s="5" t="s">
        <v>3214</v>
      </c>
      <c r="M320" s="5" t="s">
        <v>3222</v>
      </c>
      <c r="N320" s="7" t="s">
        <v>3223</v>
      </c>
      <c r="O320" s="8" t="str">
        <f>HYPERLINK("https://drive.google.com/file/d/1mx4VHScMwBJeeQ6q2TQBYWyJlCUFt70f/view?usp=drivesdk","319_SRI SULISTYOWATI H _ SERTIFIKAT BIMTEK IPASN BerAKHLASK")</f>
        <v>319_SRI SULISTYOWATI H _ SERTIFIKAT BIMTEK IPASN BerAKHLASK</v>
      </c>
      <c r="P320" s="5" t="s">
        <v>3224</v>
      </c>
      <c r="Q320" s="5" t="s">
        <v>3225</v>
      </c>
      <c r="R320" s="7" t="s">
        <v>3226</v>
      </c>
      <c r="S320" s="7" t="str">
        <f>HYPERLINK("https://drive.google.com/file/d/1bvHoKMPOdylwaA6FegHInxUgrSmfuBTQ/view?usp=drivesdk","319_SRI SULISTYOWATI H SERTIFIKAT BIMTEK IPASN-BerAKHLAK")</f>
        <v>319_SRI SULISTYOWATI H SERTIFIKAT BIMTEK IPASN-BerAKHLAK</v>
      </c>
      <c r="T320" s="5" t="s">
        <v>3201</v>
      </c>
    </row>
    <row r="321">
      <c r="A321" s="4">
        <v>45534.31787038194</v>
      </c>
      <c r="B321" s="5" t="s">
        <v>34</v>
      </c>
      <c r="D321" s="5" t="s">
        <v>580</v>
      </c>
      <c r="E321" s="5" t="s">
        <v>3227</v>
      </c>
      <c r="F321" s="5" t="s">
        <v>212</v>
      </c>
      <c r="G321" s="5" t="s">
        <v>3228</v>
      </c>
      <c r="H321" s="6" t="s">
        <v>3229</v>
      </c>
      <c r="K321" s="5" t="s">
        <v>3214</v>
      </c>
      <c r="M321" s="5" t="s">
        <v>3230</v>
      </c>
      <c r="N321" s="7" t="s">
        <v>3231</v>
      </c>
      <c r="O321" s="8" t="str">
        <f>HYPERLINK("https://drive.google.com/file/d/1VeOD0wcXQr3ge2FD6TRyB9j7swUHofVH/view?usp=drivesdk","320_I GUSTI AYU YULI DIANASARI _ SERTIFIKAT BIMTEK IPASN BerAKHLASK")</f>
        <v>320_I GUSTI AYU YULI DIANASARI _ SERTIFIKAT BIMTEK IPASN BerAKHLASK</v>
      </c>
      <c r="P321" s="5" t="s">
        <v>3224</v>
      </c>
      <c r="Q321" s="5" t="s">
        <v>3232</v>
      </c>
      <c r="R321" s="7" t="s">
        <v>3233</v>
      </c>
      <c r="S321" s="7" t="str">
        <f>HYPERLINK("https://drive.google.com/file/d/1Eyo1jrPNdXppGV9L20bGT_s-KOj5B5ON/view?usp=drivesdk","320_I GUSTI AYU YULI DIANASARI SERTIFIKAT BIMTEK IPASN-BerAKHLAK")</f>
        <v>320_I GUSTI AYU YULI DIANASARI SERTIFIKAT BIMTEK IPASN-BerAKHLAK</v>
      </c>
      <c r="T321" s="5" t="s">
        <v>3201</v>
      </c>
    </row>
    <row r="322">
      <c r="A322" s="4">
        <v>45534.31788270833</v>
      </c>
      <c r="B322" s="5" t="s">
        <v>34</v>
      </c>
      <c r="D322" s="5" t="s">
        <v>267</v>
      </c>
      <c r="E322" s="5" t="s">
        <v>3234</v>
      </c>
      <c r="F322" s="5" t="s">
        <v>524</v>
      </c>
      <c r="G322" s="5" t="s">
        <v>3235</v>
      </c>
      <c r="H322" s="6" t="s">
        <v>3236</v>
      </c>
      <c r="I322" s="7" t="s">
        <v>3237</v>
      </c>
      <c r="J322" s="8" t="str">
        <f>HYPERLINK("https://drive.google.com/file/d/1NBBBLbv0mOgPWI2nn0VXqS8sMRbLt1lC/view?usp=drivesdk","DWI HERMIYANTI SERTIFIKAT BerAKHLAK")</f>
        <v>DWI HERMIYANTI SERTIFIKAT BerAKHLAK</v>
      </c>
      <c r="K322" s="5" t="s">
        <v>2358</v>
      </c>
      <c r="L322" s="5" t="s">
        <v>3238</v>
      </c>
      <c r="M322" s="5" t="s">
        <v>3239</v>
      </c>
      <c r="N322" s="7" t="s">
        <v>3240</v>
      </c>
      <c r="O322" s="8" t="str">
        <f>HYPERLINK("https://drive.google.com/file/d/1BD1K_jyVyg_fkVUXt8pfsk0hMILyYP1t/view?usp=drivesdk","321_DWI HERMIYANTI _ SERTIFIKAT BIMTEK IPASN BerAKHLASK")</f>
        <v>321_DWI HERMIYANTI _ SERTIFIKAT BIMTEK IPASN BerAKHLASK</v>
      </c>
      <c r="P322" s="5" t="s">
        <v>3224</v>
      </c>
      <c r="Q322" s="5" t="s">
        <v>3241</v>
      </c>
      <c r="R322" s="7" t="s">
        <v>3242</v>
      </c>
      <c r="S322" s="7" t="str">
        <f>HYPERLINK("https://drive.google.com/file/d/1QljJfG27Xz__Wda8CzsE2iO3MjYjBpqL/view?usp=drivesdk","321_DWI HERMIYANTI SERTIFIKAT BIMTEK IPASN-BerAKHLAK")</f>
        <v>321_DWI HERMIYANTI SERTIFIKAT BIMTEK IPASN-BerAKHLAK</v>
      </c>
      <c r="T322" s="5" t="s">
        <v>3201</v>
      </c>
    </row>
    <row r="323">
      <c r="A323" s="4">
        <v>45534.31788923611</v>
      </c>
      <c r="B323" s="5" t="s">
        <v>34</v>
      </c>
      <c r="D323" s="5" t="s">
        <v>35</v>
      </c>
      <c r="E323" s="5" t="s">
        <v>3243</v>
      </c>
      <c r="F323" s="5" t="s">
        <v>72</v>
      </c>
      <c r="G323" s="5" t="s">
        <v>3244</v>
      </c>
      <c r="H323" s="6" t="s">
        <v>3245</v>
      </c>
      <c r="I323" s="7" t="s">
        <v>3246</v>
      </c>
      <c r="J323" s="8" t="str">
        <f>HYPERLINK("https://drive.google.com/file/d/1Fy1UruuJsaWhv_l_J3UbgmBGkKQf4x4B/view?usp=drivesdk","AAIDO BENARDO PARDAMEAN SERTIFIKAT BerAKHLAK")</f>
        <v>AAIDO BENARDO PARDAMEAN SERTIFIKAT BerAKHLAK</v>
      </c>
      <c r="K323" s="5" t="s">
        <v>3055</v>
      </c>
      <c r="L323" s="5" t="s">
        <v>3247</v>
      </c>
      <c r="M323" s="5" t="s">
        <v>3248</v>
      </c>
      <c r="N323" s="7" t="s">
        <v>3249</v>
      </c>
      <c r="O323" s="8" t="str">
        <f>HYPERLINK("https://drive.google.com/file/d/1WiC51Cy8EwHrpKeyMYgh3KffR0Z8CuFz/view?usp=drivesdk","322_AAIDO BENARDO PARDAMEAN _ SERTIFIKAT BIMTEK IPASN BerAKHLASK")</f>
        <v>322_AAIDO BENARDO PARDAMEAN _ SERTIFIKAT BIMTEK IPASN BerAKHLASK</v>
      </c>
      <c r="P323" s="5" t="s">
        <v>3224</v>
      </c>
      <c r="Q323" s="5" t="s">
        <v>3250</v>
      </c>
      <c r="R323" s="7" t="s">
        <v>3251</v>
      </c>
      <c r="S323" s="7" t="str">
        <f>HYPERLINK("https://drive.google.com/file/d/1IhL9mBY0-z5Y4Pt9AKaCSN4S0KGPq3R-/view?usp=drivesdk","322_AAIDO BENARDO PARDAMEAN SERTIFIKAT BIMTEK IPASN-BerAKHLAK")</f>
        <v>322_AAIDO BENARDO PARDAMEAN SERTIFIKAT BIMTEK IPASN-BerAKHLAK</v>
      </c>
      <c r="T323" s="5" t="s">
        <v>3252</v>
      </c>
    </row>
    <row r="324">
      <c r="A324" s="4">
        <v>45534.31789064815</v>
      </c>
      <c r="B324" s="5" t="s">
        <v>34</v>
      </c>
      <c r="D324" s="5" t="s">
        <v>975</v>
      </c>
      <c r="E324" s="5" t="s">
        <v>3253</v>
      </c>
      <c r="F324" s="5" t="s">
        <v>72</v>
      </c>
      <c r="G324" s="5" t="s">
        <v>3254</v>
      </c>
      <c r="H324" s="6" t="s">
        <v>3255</v>
      </c>
      <c r="I324" s="7" t="s">
        <v>3256</v>
      </c>
      <c r="J324" s="8" t="str">
        <f>HYPERLINK("https://drive.google.com/file/d/1cUL4zeZADZGl3cNNYatBlK3rZs2rxoPw/view?usp=drivesdk","dr. FERDINAN HERSON MAPANAWANG SERTIFIKAT BerAKHLAK")</f>
        <v>dr. FERDINAN HERSON MAPANAWANG SERTIFIKAT BerAKHLAK</v>
      </c>
      <c r="K324" s="5" t="s">
        <v>3257</v>
      </c>
      <c r="L324" s="5" t="s">
        <v>3258</v>
      </c>
      <c r="M324" s="5" t="s">
        <v>3259</v>
      </c>
      <c r="N324" s="7" t="s">
        <v>3260</v>
      </c>
      <c r="O324" s="8" t="str">
        <f>HYPERLINK("https://drive.google.com/file/d/1VvdL2336-tmWiOKPg2KDMrNYVP8lGfV1/view?usp=drivesdk","323_dr. FERDINAN HERSON MAPANAWANG _ SERTIFIKAT BIMTEK IPASN BerAKHLASK")</f>
        <v>323_dr. FERDINAN HERSON MAPANAWANG _ SERTIFIKAT BIMTEK IPASN BerAKHLASK</v>
      </c>
      <c r="P324" s="5" t="s">
        <v>3224</v>
      </c>
      <c r="Q324" s="5" t="s">
        <v>3261</v>
      </c>
      <c r="R324" s="7" t="s">
        <v>3262</v>
      </c>
      <c r="S324" s="7" t="str">
        <f>HYPERLINK("https://drive.google.com/file/d/161mXZYBXPBrm1mzv2DNumaZUe5j0w1Kk/view?usp=drivesdk","323_dr. FERDINAN HERSON MAPANAWANG SERTIFIKAT BIMTEK IPASN-BerAKHLAK")</f>
        <v>323_dr. FERDINAN HERSON MAPANAWANG SERTIFIKAT BIMTEK IPASN-BerAKHLAK</v>
      </c>
      <c r="T324" s="5" t="s">
        <v>3252</v>
      </c>
    </row>
    <row r="325">
      <c r="A325" s="4">
        <v>45534.317940312496</v>
      </c>
      <c r="B325" s="5" t="s">
        <v>34</v>
      </c>
      <c r="D325" s="5" t="s">
        <v>35</v>
      </c>
      <c r="E325" s="5" t="s">
        <v>3263</v>
      </c>
      <c r="F325" s="5" t="s">
        <v>108</v>
      </c>
      <c r="G325" s="5" t="s">
        <v>3264</v>
      </c>
      <c r="H325" s="6" t="s">
        <v>3265</v>
      </c>
      <c r="I325" s="7" t="s">
        <v>3266</v>
      </c>
      <c r="J325" s="8" t="str">
        <f>HYPERLINK("https://drive.google.com/file/d/1yc71fyGyTLyU25vOwvJafnjE43navuzH/view?usp=drivesdk","TATANG SUTARMAN  SERTIFIKAT BerAKHLAK")</f>
        <v>TATANG SUTARMAN  SERTIFIKAT BerAKHLAK</v>
      </c>
      <c r="K325" s="5" t="s">
        <v>3055</v>
      </c>
      <c r="L325" s="5" t="s">
        <v>3267</v>
      </c>
      <c r="M325" s="5" t="s">
        <v>3268</v>
      </c>
      <c r="N325" s="7" t="s">
        <v>3269</v>
      </c>
      <c r="O325" s="8" t="str">
        <f>HYPERLINK("https://drive.google.com/file/d/1q2HhkJEBLqGjQc-UEnOBcKT-XnF4RMVl/view?usp=drivesdk","324_TATANG SUTARMAN  _ SERTIFIKAT BIMTEK IPASN BerAKHLASK")</f>
        <v>324_TATANG SUTARMAN  _ SERTIFIKAT BIMTEK IPASN BerAKHLASK</v>
      </c>
      <c r="P325" s="5" t="s">
        <v>3270</v>
      </c>
      <c r="Q325" s="5" t="s">
        <v>3271</v>
      </c>
      <c r="R325" s="7" t="s">
        <v>3272</v>
      </c>
      <c r="S325" s="7" t="str">
        <f>HYPERLINK("https://drive.google.com/file/d/1da3JshW3582ul8jNQl9HId0tQe7TksZp/view?usp=drivesdk","324_TATANG SUTARMAN  SERTIFIKAT BIMTEK IPASN-BerAKHLAK")</f>
        <v>324_TATANG SUTARMAN  SERTIFIKAT BIMTEK IPASN-BerAKHLAK</v>
      </c>
      <c r="T325" s="5" t="s">
        <v>3252</v>
      </c>
    </row>
    <row r="326">
      <c r="A326" s="4">
        <v>45534.31795508102</v>
      </c>
      <c r="B326" s="5" t="s">
        <v>34</v>
      </c>
      <c r="D326" s="5" t="s">
        <v>35</v>
      </c>
      <c r="E326" s="5" t="s">
        <v>3273</v>
      </c>
      <c r="F326" s="5" t="s">
        <v>108</v>
      </c>
      <c r="G326" s="5" t="s">
        <v>3274</v>
      </c>
      <c r="H326" s="6" t="s">
        <v>3275</v>
      </c>
      <c r="I326" s="7" t="s">
        <v>3276</v>
      </c>
      <c r="J326" s="8" t="str">
        <f>HYPERLINK("https://drive.google.com/file/d/1OL9Ur7_gKnK609gTTPgoajtpZ-wI4Fie/view?usp=drivesdk","ERMA ZULHAIDA HERMAN SERTIFIKAT BerAKHLAK")</f>
        <v>ERMA ZULHAIDA HERMAN SERTIFIKAT BerAKHLAK</v>
      </c>
      <c r="K326" s="5" t="s">
        <v>3055</v>
      </c>
      <c r="L326" s="5" t="s">
        <v>3277</v>
      </c>
      <c r="M326" s="5" t="s">
        <v>3278</v>
      </c>
      <c r="N326" s="7" t="s">
        <v>3279</v>
      </c>
      <c r="O326" s="8" t="str">
        <f>HYPERLINK("https://drive.google.com/file/d/1zGuy2pHk2qXkWBesZta4rCWgA6pwT7A1/view?usp=drivesdk","325_ERMA ZULHAIDA HERMAN _ SERTIFIKAT BIMTEK IPASN BerAKHLASK")</f>
        <v>325_ERMA ZULHAIDA HERMAN _ SERTIFIKAT BIMTEK IPASN BerAKHLASK</v>
      </c>
      <c r="P326" s="5" t="s">
        <v>3270</v>
      </c>
      <c r="Q326" s="5" t="s">
        <v>3280</v>
      </c>
      <c r="R326" s="7" t="s">
        <v>3281</v>
      </c>
      <c r="S326" s="7" t="str">
        <f>HYPERLINK("https://drive.google.com/file/d/1JHsDO5HeuHgeM8WMpunMm09rOKEgkWG3/view?usp=drivesdk","325_ERMA ZULHAIDA HERMAN SERTIFIKAT BIMTEK IPASN-BerAKHLAK")</f>
        <v>325_ERMA ZULHAIDA HERMAN SERTIFIKAT BIMTEK IPASN-BerAKHLAK</v>
      </c>
      <c r="T326" s="5" t="s">
        <v>3252</v>
      </c>
    </row>
    <row r="327">
      <c r="A327" s="4">
        <v>45534.3180184838</v>
      </c>
      <c r="B327" s="5" t="s">
        <v>34</v>
      </c>
      <c r="D327" s="5" t="s">
        <v>35</v>
      </c>
      <c r="E327" s="5" t="s">
        <v>3282</v>
      </c>
      <c r="F327" s="5" t="s">
        <v>37</v>
      </c>
      <c r="G327" s="5" t="s">
        <v>3283</v>
      </c>
      <c r="H327" s="6" t="s">
        <v>3284</v>
      </c>
      <c r="I327" s="7" t="s">
        <v>3285</v>
      </c>
      <c r="J327" s="8" t="str">
        <f>HYPERLINK("https://drive.google.com/file/d/1kk3e8v0qsx0IobJ43OIOp42gSSVx28rI/view?usp=drivesdk","DIDI JUNAEDI SE SERTIFIKAT BerAKHLAK")</f>
        <v>DIDI JUNAEDI SE SERTIFIKAT BerAKHLAK</v>
      </c>
      <c r="K327" s="5" t="s">
        <v>3055</v>
      </c>
      <c r="L327" s="5" t="s">
        <v>3286</v>
      </c>
      <c r="M327" s="5" t="s">
        <v>3287</v>
      </c>
      <c r="N327" s="7" t="s">
        <v>3288</v>
      </c>
      <c r="O327" s="8" t="str">
        <f>HYPERLINK("https://drive.google.com/file/d/1uZGU59Ezn-8zoXVwZIvHB7xMIuL8wI11/view?usp=drivesdk","326_DIDI JUNAEDI SE _ SERTIFIKAT BIMTEK IPASN BerAKHLASK")</f>
        <v>326_DIDI JUNAEDI SE _ SERTIFIKAT BIMTEK IPASN BerAKHLASK</v>
      </c>
      <c r="P327" s="5" t="s">
        <v>3270</v>
      </c>
      <c r="Q327" s="5" t="s">
        <v>3289</v>
      </c>
      <c r="R327" s="7" t="s">
        <v>3290</v>
      </c>
      <c r="S327" s="7" t="str">
        <f>HYPERLINK("https://drive.google.com/file/d/1HFqlxtBHtTcJY7IrQzjEKAg9dKCb8hpm/view?usp=drivesdk","326_DIDI JUNAEDI SE SERTIFIKAT BIMTEK IPASN-BerAKHLAK")</f>
        <v>326_DIDI JUNAEDI SE SERTIFIKAT BIMTEK IPASN-BerAKHLAK</v>
      </c>
      <c r="T327" s="5" t="s">
        <v>3252</v>
      </c>
    </row>
    <row r="328">
      <c r="A328" s="4">
        <v>45534.318031828705</v>
      </c>
      <c r="B328" s="5" t="s">
        <v>34</v>
      </c>
      <c r="D328" s="5" t="s">
        <v>604</v>
      </c>
      <c r="E328" s="5" t="s">
        <v>3291</v>
      </c>
      <c r="F328" s="5" t="s">
        <v>37</v>
      </c>
      <c r="G328" s="5" t="s">
        <v>3292</v>
      </c>
      <c r="H328" s="6" t="s">
        <v>3293</v>
      </c>
      <c r="I328" s="7" t="s">
        <v>3294</v>
      </c>
      <c r="J328" s="8" t="str">
        <f>HYPERLINK("https://drive.google.com/file/d/1akEGn4_MGyJu8oyS5hrdaDhpd-a69x5C/view?usp=drivesdk","RIANTY MARIA ELVIRA, A.MD SERTIFIKAT BerAKHLAK")</f>
        <v>RIANTY MARIA ELVIRA, A.MD SERTIFIKAT BerAKHLAK</v>
      </c>
      <c r="K328" s="5" t="s">
        <v>3055</v>
      </c>
      <c r="L328" s="5" t="s">
        <v>3295</v>
      </c>
      <c r="M328" s="5" t="s">
        <v>3296</v>
      </c>
      <c r="N328" s="7" t="s">
        <v>3297</v>
      </c>
      <c r="O328" s="8" t="str">
        <f>HYPERLINK("https://drive.google.com/file/d/1rsONLcm1g2-c1Fxozmc-L-fQ9B4z9NWR/view?usp=drivesdk","327_RIANTY MARIA ELVIRA, A.MD _ SERTIFIKAT BIMTEK IPASN BerAKHLASK")</f>
        <v>327_RIANTY MARIA ELVIRA, A.MD _ SERTIFIKAT BIMTEK IPASN BerAKHLASK</v>
      </c>
      <c r="P328" s="5" t="s">
        <v>3270</v>
      </c>
      <c r="Q328" s="5" t="s">
        <v>3298</v>
      </c>
      <c r="R328" s="7" t="s">
        <v>3299</v>
      </c>
      <c r="S328" s="7" t="str">
        <f>HYPERLINK("https://drive.google.com/file/d/1L4kpdPxHTzPzvwFnH97b_j6aH8V9STKi/view?usp=drivesdk","327_RIANTY MARIA ELVIRA, A.MD SERTIFIKAT BIMTEK IPASN-BerAKHLAK")</f>
        <v>327_RIANTY MARIA ELVIRA, A.MD SERTIFIKAT BIMTEK IPASN-BerAKHLAK</v>
      </c>
      <c r="T328" s="5" t="s">
        <v>3300</v>
      </c>
    </row>
    <row r="329" hidden="1">
      <c r="A329" s="4">
        <v>45534.31804407407</v>
      </c>
      <c r="B329" s="5" t="s">
        <v>19</v>
      </c>
      <c r="C329" s="5" t="s">
        <v>3301</v>
      </c>
      <c r="E329" s="5" t="s">
        <v>3302</v>
      </c>
      <c r="F329" s="5" t="s">
        <v>375</v>
      </c>
      <c r="G329" s="5" t="s">
        <v>3303</v>
      </c>
      <c r="H329" s="6" t="s">
        <v>3304</v>
      </c>
      <c r="I329" s="7" t="s">
        <v>3305</v>
      </c>
      <c r="J329" s="8" t="str">
        <f>HYPERLINK("https://drive.google.com/file/d/1PUdswe9-fqLytxo9Ky84-Sx7U4VYPH4k/view?usp=drivesdk","FERRY INDRA SEJATI, Amd.Keb, S.KM, M.KM SERTIFIKAT BerAKHLAK")</f>
        <v>FERRY INDRA SEJATI, Amd.Keb, S.KM, M.KM SERTIFIKAT BerAKHLAK</v>
      </c>
      <c r="K329" s="5" t="s">
        <v>3055</v>
      </c>
      <c r="L329" s="5" t="s">
        <v>3306</v>
      </c>
      <c r="M329" s="5" t="s">
        <v>3307</v>
      </c>
      <c r="N329" s="7" t="s">
        <v>3308</v>
      </c>
      <c r="O329" s="8" t="str">
        <f>HYPERLINK("https://drive.google.com/file/d/1YfCi5qAsfozcQ4roFEgm3UO2BDI5GInw/view?usp=drivesdk","328_FERRY INDRA SEJATI, Amd.Keb, S.KM, M.KM _ SERTIFIKAT BIMTEK IPASN BerAKHLASK")</f>
        <v>328_FERRY INDRA SEJATI, Amd.Keb, S.KM, M.KM _ SERTIFIKAT BIMTEK IPASN BerAKHLASK</v>
      </c>
      <c r="P329" s="5" t="s">
        <v>3270</v>
      </c>
      <c r="Q329" s="5" t="s">
        <v>3309</v>
      </c>
      <c r="R329" s="7" t="s">
        <v>3310</v>
      </c>
      <c r="S329" s="7" t="str">
        <f>HYPERLINK("https://drive.google.com/file/d/1HP15wWRa9BwncVqTvDYztlTVg6lsj4-T/view?usp=drivesdk","328_FERRY INDRA SEJATI, Amd.Keb, S.KM, M.KM SERTIFIKAT BIMTEK IPASN-BerAKHLAK")</f>
        <v>328_FERRY INDRA SEJATI, Amd.Keb, S.KM, M.KM SERTIFIKAT BIMTEK IPASN-BerAKHLAK</v>
      </c>
      <c r="T329" s="5" t="s">
        <v>3300</v>
      </c>
    </row>
    <row r="330">
      <c r="A330" s="4">
        <v>45534.31807712963</v>
      </c>
      <c r="B330" s="5" t="s">
        <v>34</v>
      </c>
      <c r="D330" s="5" t="s">
        <v>35</v>
      </c>
      <c r="E330" s="5" t="s">
        <v>3311</v>
      </c>
      <c r="F330" s="5" t="s">
        <v>37</v>
      </c>
      <c r="G330" s="5" t="s">
        <v>3312</v>
      </c>
      <c r="H330" s="6" t="s">
        <v>3313</v>
      </c>
      <c r="I330" s="7" t="s">
        <v>3314</v>
      </c>
      <c r="J330" s="8" t="str">
        <f>HYPERLINK("https://drive.google.com/file/d/1UcuUEOeeVa9tAx3PA9GLOm04YelLJnJc/view?usp=drivesdk","NASEP KUSNADI AMd Kep SERTIFIKAT BerAKHLAK")</f>
        <v>NASEP KUSNADI AMd Kep SERTIFIKAT BerAKHLAK</v>
      </c>
      <c r="K330" s="5" t="s">
        <v>3055</v>
      </c>
      <c r="L330" s="5" t="s">
        <v>3315</v>
      </c>
      <c r="M330" s="5" t="s">
        <v>3316</v>
      </c>
      <c r="N330" s="7" t="s">
        <v>3317</v>
      </c>
      <c r="O330" s="8" t="str">
        <f>HYPERLINK("https://drive.google.com/file/d/14P66ep4sk8f8Mvn7LWiy98lob6mkQbSE/view?usp=drivesdk","329_NASEP KUSNADI AMd Kep _ SERTIFIKAT BIMTEK IPASN BerAKHLASK")</f>
        <v>329_NASEP KUSNADI AMd Kep _ SERTIFIKAT BIMTEK IPASN BerAKHLASK</v>
      </c>
      <c r="P330" s="5" t="s">
        <v>3270</v>
      </c>
      <c r="Q330" s="5" t="s">
        <v>3318</v>
      </c>
      <c r="R330" s="7" t="s">
        <v>3319</v>
      </c>
      <c r="S330" s="7" t="str">
        <f>HYPERLINK("https://drive.google.com/file/d/1bvkT6nKASRkOC9B13tNWEQiKWn2FWD42/view?usp=drivesdk","329_NASEP KUSNADI AMd Kep SERTIFIKAT BIMTEK IPASN-BerAKHLAK")</f>
        <v>329_NASEP KUSNADI AMd Kep SERTIFIKAT BIMTEK IPASN-BerAKHLAK</v>
      </c>
      <c r="T330" s="5" t="s">
        <v>3300</v>
      </c>
    </row>
    <row r="331">
      <c r="A331" s="4">
        <v>45534.31808273148</v>
      </c>
      <c r="B331" s="5" t="s">
        <v>34</v>
      </c>
      <c r="D331" s="5" t="s">
        <v>35</v>
      </c>
      <c r="E331" s="5" t="s">
        <v>3320</v>
      </c>
      <c r="F331" s="5" t="s">
        <v>108</v>
      </c>
      <c r="G331" s="5" t="s">
        <v>3321</v>
      </c>
      <c r="H331" s="6" t="s">
        <v>3322</v>
      </c>
      <c r="I331" s="7" t="s">
        <v>3323</v>
      </c>
      <c r="J331" s="8" t="str">
        <f>HYPERLINK("https://drive.google.com/file/d/1XRHm_URgZkWvShvyfxQcqg10ZafmIa7M/view?usp=drivesdk","EGI LUCKY LEGIAN SERTIFIKAT BerAKHLAK")</f>
        <v>EGI LUCKY LEGIAN SERTIFIKAT BerAKHLAK</v>
      </c>
      <c r="K331" s="5" t="s">
        <v>3055</v>
      </c>
      <c r="L331" s="5" t="s">
        <v>3324</v>
      </c>
      <c r="M331" s="5" t="s">
        <v>3325</v>
      </c>
      <c r="N331" s="7" t="s">
        <v>3326</v>
      </c>
      <c r="O331" s="8" t="str">
        <f>HYPERLINK("https://drive.google.com/file/d/11ZD3qJO_sF2SxNqVRv7rPsFoRMgwxr3z/view?usp=drivesdk","330_EGI LUCKY LEGIAN _ SERTIFIKAT BIMTEK IPASN BerAKHLASK")</f>
        <v>330_EGI LUCKY LEGIAN _ SERTIFIKAT BIMTEK IPASN BerAKHLASK</v>
      </c>
      <c r="P331" s="5" t="s">
        <v>3270</v>
      </c>
      <c r="Q331" s="5" t="s">
        <v>3327</v>
      </c>
      <c r="R331" s="7" t="s">
        <v>3328</v>
      </c>
      <c r="S331" s="7" t="str">
        <f>HYPERLINK("https://drive.google.com/file/d/1K2O8kaDj7aIyRQqZVxIl8h7Z8q5EDZZ3/view?usp=drivesdk","330_EGI LUCKY LEGIAN SERTIFIKAT BIMTEK IPASN-BerAKHLAK")</f>
        <v>330_EGI LUCKY LEGIAN SERTIFIKAT BIMTEK IPASN-BerAKHLAK</v>
      </c>
      <c r="T331" s="5" t="s">
        <v>3300</v>
      </c>
    </row>
    <row r="332">
      <c r="A332" s="4">
        <v>45534.31809262732</v>
      </c>
      <c r="B332" s="5" t="s">
        <v>34</v>
      </c>
      <c r="D332" s="5" t="s">
        <v>1206</v>
      </c>
      <c r="E332" s="5" t="s">
        <v>3329</v>
      </c>
      <c r="F332" s="5" t="s">
        <v>37</v>
      </c>
      <c r="G332" s="5" t="s">
        <v>3330</v>
      </c>
      <c r="H332" s="6" t="s">
        <v>3331</v>
      </c>
      <c r="I332" s="7" t="s">
        <v>3332</v>
      </c>
      <c r="J332" s="8" t="str">
        <f>HYPERLINK("https://drive.google.com/file/d/151qEhwuq_ewwE-_pE9-gdTIl79_uV2ph/view?usp=drivesdk","MISWARININGSIH SERTIFIKAT BerAKHLAK")</f>
        <v>MISWARININGSIH SERTIFIKAT BerAKHLAK</v>
      </c>
      <c r="K332" s="5" t="s">
        <v>3055</v>
      </c>
      <c r="L332" s="5" t="s">
        <v>3333</v>
      </c>
      <c r="M332" s="5" t="s">
        <v>3334</v>
      </c>
      <c r="N332" s="7" t="s">
        <v>3335</v>
      </c>
      <c r="O332" s="8" t="str">
        <f>HYPERLINK("https://drive.google.com/file/d/1H2azsoYcp-akyxxC9b_iOkmmBiDkcsBH/view?usp=drivesdk","331 &lt;NAMA LENGKAP&gt;&gt; _ SERTIFIKAT BIMTEK IPASN BerAKHLASK")</f>
        <v>331 &lt;NAMA LENGKAP&gt;&gt; _ SERTIFIKAT BIMTEK IPASN BerAKHLASK</v>
      </c>
      <c r="P332" s="5" t="s">
        <v>1651</v>
      </c>
      <c r="Q332" s="5" t="s">
        <v>3336</v>
      </c>
      <c r="R332" s="7" t="s">
        <v>3337</v>
      </c>
      <c r="S332" s="7" t="str">
        <f>HYPERLINK("https://drive.google.com/file/d/1NoRqN5WoqZT_D8uUXjOr1yK3jyWJdN0d/view?usp=drivesdk","331_MISWARININGSIH SERTIFIKAT BIMTEK IPASN-BerAKHLAK")</f>
        <v>331_MISWARININGSIH SERTIFIKAT BIMTEK IPASN-BerAKHLAK</v>
      </c>
      <c r="T332" s="5" t="s">
        <v>3338</v>
      </c>
    </row>
    <row r="333">
      <c r="A333" s="4">
        <v>45534.318111817134</v>
      </c>
      <c r="B333" s="5" t="s">
        <v>34</v>
      </c>
      <c r="D333" s="5" t="s">
        <v>975</v>
      </c>
      <c r="E333" s="5" t="s">
        <v>3339</v>
      </c>
      <c r="F333" s="5" t="s">
        <v>108</v>
      </c>
      <c r="G333" s="5" t="s">
        <v>3340</v>
      </c>
      <c r="H333" s="6" t="s">
        <v>3341</v>
      </c>
      <c r="I333" s="7" t="s">
        <v>3342</v>
      </c>
      <c r="J333" s="8" t="str">
        <f>HYPERLINK("https://drive.google.com/file/d/1bKoF6EiQb6R89HugJX0N22xLYgFxSAq3/view?usp=drivesdk","ROSMIATI MANNAN SERTIFIKAT BerAKHLAK")</f>
        <v>ROSMIATI MANNAN SERTIFIKAT BerAKHLAK</v>
      </c>
      <c r="K333" s="5" t="s">
        <v>3055</v>
      </c>
      <c r="L333" s="5" t="s">
        <v>3343</v>
      </c>
      <c r="M333" s="5" t="s">
        <v>3344</v>
      </c>
      <c r="N333" s="7" t="s">
        <v>3345</v>
      </c>
      <c r="O333" s="8" t="str">
        <f>HYPERLINK("https://drive.google.com/file/d/1inOrC5Sj0Vh_cYLwF00LWMjWvKVqWFuC/view?usp=drivesdk","332 &lt;NAMA LENGKAP&gt;&gt; _ SERTIFIKAT BIMTEK IPASN BerAKHLASK")</f>
        <v>332 &lt;NAMA LENGKAP&gt;&gt; _ SERTIFIKAT BIMTEK IPASN BerAKHLASK</v>
      </c>
      <c r="P333" s="5" t="s">
        <v>1651</v>
      </c>
      <c r="Q333" s="5" t="s">
        <v>3346</v>
      </c>
      <c r="R333" s="7" t="s">
        <v>3347</v>
      </c>
      <c r="S333" s="7" t="str">
        <f>HYPERLINK("https://drive.google.com/file/d/1Z-pkuPosU5V_eopUphLWtwuf4UhZpTDN/view?usp=drivesdk","332_ROSMIATI MANNAN SERTIFIKAT BIMTEK IPASN-BerAKHLAK")</f>
        <v>332_ROSMIATI MANNAN SERTIFIKAT BIMTEK IPASN-BerAKHLAK</v>
      </c>
      <c r="T333" s="5" t="s">
        <v>3338</v>
      </c>
    </row>
    <row r="334">
      <c r="A334" s="4">
        <v>45534.31811208333</v>
      </c>
      <c r="B334" s="5" t="s">
        <v>34</v>
      </c>
      <c r="D334" s="5" t="s">
        <v>996</v>
      </c>
      <c r="E334" s="5" t="s">
        <v>3348</v>
      </c>
      <c r="F334" s="5" t="s">
        <v>524</v>
      </c>
      <c r="G334" s="5" t="s">
        <v>3349</v>
      </c>
      <c r="H334" s="6" t="s">
        <v>3350</v>
      </c>
      <c r="I334" s="7" t="s">
        <v>3351</v>
      </c>
      <c r="J334" s="8" t="str">
        <f>HYPERLINK("https://drive.google.com/file/d/1RMf7e01_1GsyXKrSqNx9vV9X9MvdzeEN/view?usp=drivesdk","RINA FATMAWATI., SH SERTIFIKAT BerAKHLAK")</f>
        <v>RINA FATMAWATI., SH SERTIFIKAT BerAKHLAK</v>
      </c>
      <c r="K334" s="5" t="s">
        <v>3055</v>
      </c>
      <c r="L334" s="5" t="s">
        <v>3352</v>
      </c>
      <c r="M334" s="5" t="s">
        <v>3353</v>
      </c>
      <c r="N334" s="7" t="s">
        <v>3354</v>
      </c>
      <c r="O334" s="8" t="str">
        <f>HYPERLINK("https://drive.google.com/file/d/1HtCioMuCFjBUGlbBwaX4T9Ci5zymzi8M/view?usp=drivesdk","333 &lt;NAMA LENGKAP&gt;&gt; _ SERTIFIKAT BIMTEK IPASN BerAKHLASK")</f>
        <v>333 &lt;NAMA LENGKAP&gt;&gt; _ SERTIFIKAT BIMTEK IPASN BerAKHLASK</v>
      </c>
      <c r="P334" s="5" t="s">
        <v>3355</v>
      </c>
      <c r="Q334" s="5" t="s">
        <v>3356</v>
      </c>
      <c r="R334" s="7" t="s">
        <v>3357</v>
      </c>
      <c r="S334" s="7" t="str">
        <f>HYPERLINK("https://drive.google.com/file/d/1V9l9R8VaLqAO18AOj8Ki68QFhvWVlfPu/view?usp=drivesdk","333_RINA FATMAWATI., SH SERTIFIKAT BIMTEK IPASN-BerAKHLAK")</f>
        <v>333_RINA FATMAWATI., SH SERTIFIKAT BIMTEK IPASN-BerAKHLAK</v>
      </c>
      <c r="T334" s="5" t="s">
        <v>3338</v>
      </c>
    </row>
    <row r="335" hidden="1">
      <c r="A335" s="4">
        <v>45534.3181228125</v>
      </c>
      <c r="B335" s="5" t="s">
        <v>19</v>
      </c>
      <c r="C335" s="5" t="s">
        <v>20</v>
      </c>
      <c r="E335" s="5" t="s">
        <v>3358</v>
      </c>
      <c r="F335" s="5" t="s">
        <v>37</v>
      </c>
      <c r="G335" s="5" t="s">
        <v>3359</v>
      </c>
      <c r="H335" s="6" t="s">
        <v>3360</v>
      </c>
      <c r="I335" s="7" t="s">
        <v>3361</v>
      </c>
      <c r="J335" s="8" t="str">
        <f>HYPERLINK("https://drive.google.com/file/d/17EkNjJ3XUeo7CBsn7CcyWfkTI9_jXicI/view?usp=drivesdk","DEDE FAUZIAH, A.Md SERTIFIKAT BerAKHLAK")</f>
        <v>DEDE FAUZIAH, A.Md SERTIFIKAT BerAKHLAK</v>
      </c>
      <c r="K335" s="5" t="s">
        <v>3055</v>
      </c>
      <c r="L335" s="5" t="s">
        <v>3362</v>
      </c>
      <c r="M335" s="5" t="s">
        <v>3363</v>
      </c>
      <c r="N335" s="7" t="s">
        <v>3364</v>
      </c>
      <c r="O335" s="8" t="str">
        <f>HYPERLINK("https://drive.google.com/file/d/18x_l3hhgWujXZ45wIpBf3Ur-TywIoK8W/view?usp=drivesdk","334 &lt;NAMA LENGKAP&gt;&gt; _ SERTIFIKAT BIMTEK IPASN BerAKHLASK")</f>
        <v>334 &lt;NAMA LENGKAP&gt;&gt; _ SERTIFIKAT BIMTEK IPASN BerAKHLASK</v>
      </c>
      <c r="P335" s="5" t="s">
        <v>3355</v>
      </c>
      <c r="Q335" s="5" t="s">
        <v>3365</v>
      </c>
      <c r="R335" s="7" t="s">
        <v>3366</v>
      </c>
      <c r="S335" s="7" t="str">
        <f>HYPERLINK("https://drive.google.com/file/d/1oXSNaSTwk5GOuOkWlX_Qt_PxovqWyXzX/view?usp=drivesdk","334_DEDE FAUZIAH, A.Md SERTIFIKAT BIMTEK IPASN-BerAKHLAK")</f>
        <v>334_DEDE FAUZIAH, A.Md SERTIFIKAT BIMTEK IPASN-BerAKHLAK</v>
      </c>
      <c r="T335" s="5" t="s">
        <v>3338</v>
      </c>
    </row>
    <row r="336">
      <c r="A336" s="4">
        <v>45534.31815097222</v>
      </c>
      <c r="B336" s="5" t="s">
        <v>34</v>
      </c>
      <c r="D336" s="5" t="s">
        <v>1663</v>
      </c>
      <c r="E336" s="5" t="s">
        <v>3367</v>
      </c>
      <c r="F336" s="5" t="s">
        <v>108</v>
      </c>
      <c r="G336" s="5" t="s">
        <v>3368</v>
      </c>
      <c r="H336" s="6" t="s">
        <v>3369</v>
      </c>
      <c r="I336" s="7" t="s">
        <v>3370</v>
      </c>
      <c r="J336" s="8" t="str">
        <f>HYPERLINK("https://drive.google.com/file/d/1W_f_JIAb5qmhG7QoGl92aQ3yoJ-js2PR/view?usp=drivesdk","IMANUEL FAKNIK, S.E. SERTIFIKAT BerAKHLAK")</f>
        <v>IMANUEL FAKNIK, S.E. SERTIFIKAT BerAKHLAK</v>
      </c>
      <c r="K336" s="5" t="s">
        <v>3055</v>
      </c>
      <c r="L336" s="5" t="s">
        <v>3371</v>
      </c>
      <c r="M336" s="5" t="s">
        <v>3372</v>
      </c>
      <c r="N336" s="7" t="s">
        <v>3373</v>
      </c>
      <c r="O336" s="8" t="str">
        <f>HYPERLINK("https://drive.google.com/file/d/1EA1AnCtIYFgCchLdneob9xWql1mKhIkA/view?usp=drivesdk","335 &lt;NAMA LENGKAP&gt;&gt; _ SERTIFIKAT BIMTEK IPASN BerAKHLASK")</f>
        <v>335 &lt;NAMA LENGKAP&gt;&gt; _ SERTIFIKAT BIMTEK IPASN BerAKHLASK</v>
      </c>
      <c r="P336" s="5" t="s">
        <v>3355</v>
      </c>
      <c r="Q336" s="5" t="s">
        <v>3374</v>
      </c>
      <c r="R336" s="7" t="s">
        <v>3375</v>
      </c>
      <c r="S336" s="7" t="str">
        <f>HYPERLINK("https://drive.google.com/file/d/15BSVPlx3Iwqgg6ntAHSbEa0ePFWgxTld/view?usp=drivesdk","335_IMANUEL FAKNIK, S.E. SERTIFIKAT BIMTEK IPASN-BerAKHLAK")</f>
        <v>335_IMANUEL FAKNIK, S.E. SERTIFIKAT BIMTEK IPASN-BerAKHLAK</v>
      </c>
      <c r="T336" s="5" t="s">
        <v>3338</v>
      </c>
    </row>
    <row r="337">
      <c r="A337" s="4">
        <v>45534.318181759256</v>
      </c>
      <c r="B337" s="5" t="s">
        <v>34</v>
      </c>
      <c r="D337" s="5" t="s">
        <v>35</v>
      </c>
      <c r="E337" s="5" t="s">
        <v>3376</v>
      </c>
      <c r="F337" s="5" t="s">
        <v>37</v>
      </c>
      <c r="G337" s="5" t="s">
        <v>3377</v>
      </c>
      <c r="H337" s="6" t="s">
        <v>3378</v>
      </c>
      <c r="I337" s="7" t="s">
        <v>3379</v>
      </c>
      <c r="J337" s="8" t="str">
        <f>HYPERLINK("https://drive.google.com/file/d/1MeeIiQ9-kBX0BuczFW802WNJSXFCa33s/view?usp=drivesdk","FITRI TRISWANTI SERTIFIKAT BerAKHLAK")</f>
        <v>FITRI TRISWANTI SERTIFIKAT BerAKHLAK</v>
      </c>
      <c r="K337" s="5" t="s">
        <v>3055</v>
      </c>
      <c r="L337" s="5" t="s">
        <v>3380</v>
      </c>
      <c r="M337" s="5" t="s">
        <v>3381</v>
      </c>
      <c r="N337" s="7" t="s">
        <v>3382</v>
      </c>
      <c r="O337" s="8" t="str">
        <f>HYPERLINK("https://drive.google.com/file/d/1dH08uIR7axRV936fVksn1RL3AkCKDFzZ/view?usp=drivesdk","336 &lt;NAMA LENGKAP&gt;&gt; _ SERTIFIKAT BIMTEK IPASN BerAKHLASK")</f>
        <v>336 &lt;NAMA LENGKAP&gt;&gt; _ SERTIFIKAT BIMTEK IPASN BerAKHLASK</v>
      </c>
      <c r="P337" s="5" t="s">
        <v>3355</v>
      </c>
      <c r="Q337" s="5" t="s">
        <v>3383</v>
      </c>
      <c r="R337" s="7" t="s">
        <v>3384</v>
      </c>
      <c r="S337" s="7" t="str">
        <f>HYPERLINK("https://drive.google.com/file/d/1GMjcPfC64wgEB6xbF-3tVqL1nIJ1y7sc/view?usp=drivesdk","336_FITRI TRISWANTI SERTIFIKAT BIMTEK IPASN-BerAKHLAK")</f>
        <v>336_FITRI TRISWANTI SERTIFIKAT BIMTEK IPASN-BerAKHLAK</v>
      </c>
      <c r="T337" s="5" t="s">
        <v>3338</v>
      </c>
    </row>
    <row r="338">
      <c r="A338" s="4">
        <v>45534.318197789355</v>
      </c>
      <c r="B338" s="5" t="s">
        <v>34</v>
      </c>
      <c r="D338" s="5" t="s">
        <v>975</v>
      </c>
      <c r="E338" s="5" t="s">
        <v>3385</v>
      </c>
      <c r="F338" s="5" t="s">
        <v>37</v>
      </c>
      <c r="G338" s="5" t="s">
        <v>3386</v>
      </c>
      <c r="H338" s="6" t="s">
        <v>3387</v>
      </c>
      <c r="I338" s="7" t="s">
        <v>3388</v>
      </c>
      <c r="J338" s="8" t="str">
        <f>HYPERLINK("https://drive.google.com/file/d/1gLfxe_8RVYgSMK6xXL58hwIcvgHRC5iK/view?usp=drivesdk","ANGGUN MUJI HARTINI, A. Md. Keb SERTIFIKAT BerAKHLAK")</f>
        <v>ANGGUN MUJI HARTINI, A. Md. Keb SERTIFIKAT BerAKHLAK</v>
      </c>
      <c r="K338" s="5" t="s">
        <v>3055</v>
      </c>
      <c r="L338" s="5" t="s">
        <v>3389</v>
      </c>
      <c r="M338" s="5" t="s">
        <v>3390</v>
      </c>
      <c r="N338" s="7" t="s">
        <v>3391</v>
      </c>
      <c r="O338" s="8" t="str">
        <f>HYPERLINK("https://drive.google.com/file/d/1LaultkRyMgXmowtvkBwZkAGQgVQEViYG/view?usp=drivesdk","337 &lt;NAMA LENGKAP&gt;&gt; _ SERTIFIKAT BIMTEK IPASN BerAKHLASK")</f>
        <v>337 &lt;NAMA LENGKAP&gt;&gt; _ SERTIFIKAT BIMTEK IPASN BerAKHLASK</v>
      </c>
      <c r="P338" s="5" t="s">
        <v>3355</v>
      </c>
      <c r="Q338" s="5" t="s">
        <v>3392</v>
      </c>
      <c r="R338" s="7" t="s">
        <v>3393</v>
      </c>
      <c r="S338" s="7" t="str">
        <f>HYPERLINK("https://drive.google.com/file/d/1qwwUgq3HeWxKKTAYWbkHEcz6BukR5V7n/view?usp=drivesdk","337_ANGGUN MUJI HARTINI, A. Md. Keb SERTIFIKAT BIMTEK IPASN-BerAKHLAK")</f>
        <v>337_ANGGUN MUJI HARTINI, A. Md. Keb SERTIFIKAT BIMTEK IPASN-BerAKHLAK</v>
      </c>
      <c r="T338" s="5" t="s">
        <v>3338</v>
      </c>
    </row>
    <row r="339">
      <c r="A339" s="4">
        <v>45534.31821016203</v>
      </c>
      <c r="B339" s="5" t="s">
        <v>34</v>
      </c>
      <c r="D339" s="5" t="s">
        <v>996</v>
      </c>
      <c r="E339" s="5" t="s">
        <v>3394</v>
      </c>
      <c r="F339" s="5" t="s">
        <v>108</v>
      </c>
      <c r="G339" s="5" t="s">
        <v>3395</v>
      </c>
      <c r="H339" s="6" t="s">
        <v>3396</v>
      </c>
      <c r="I339" s="7" t="s">
        <v>3397</v>
      </c>
      <c r="J339" s="8" t="str">
        <f>HYPERLINK("https://drive.google.com/file/d/1mYEFOrTJlEVVkSZ7UOM9BLg8yREqDeiP/view?usp=drivesdk","APT. HUMAIRAH, S.FARM SERTIFIKAT BerAKHLAK")</f>
        <v>APT. HUMAIRAH, S.FARM SERTIFIKAT BerAKHLAK</v>
      </c>
      <c r="K339" s="5" t="s">
        <v>3055</v>
      </c>
      <c r="L339" s="5" t="s">
        <v>3398</v>
      </c>
      <c r="M339" s="5" t="s">
        <v>3399</v>
      </c>
      <c r="N339" s="7" t="s">
        <v>3400</v>
      </c>
      <c r="O339" s="8" t="str">
        <f>HYPERLINK("https://drive.google.com/file/d/1HmeGoRKkMoN-qyfpD48qN06s_mPP1gWY/view?usp=drivesdk","338 &lt;NAMA LENGKAP&gt;&gt; _ SERTIFIKAT BIMTEK IPASN BerAKHLASK")</f>
        <v>338 &lt;NAMA LENGKAP&gt;&gt; _ SERTIFIKAT BIMTEK IPASN BerAKHLASK</v>
      </c>
      <c r="P339" s="5" t="s">
        <v>3401</v>
      </c>
      <c r="Q339" s="5" t="s">
        <v>3402</v>
      </c>
      <c r="R339" s="7" t="s">
        <v>3403</v>
      </c>
      <c r="S339" s="7" t="str">
        <f>HYPERLINK("https://drive.google.com/file/d/1PD4ZVKDEnQz2q_O9ww75ZIuRv1aMztcz/view?usp=drivesdk","338_APT. HUMAIRAH, S.FARM SERTIFIKAT BIMTEK IPASN-BerAKHLAK")</f>
        <v>338_APT. HUMAIRAH, S.FARM SERTIFIKAT BIMTEK IPASN-BerAKHLAK</v>
      </c>
      <c r="T339" s="5" t="s">
        <v>3404</v>
      </c>
    </row>
    <row r="340">
      <c r="A340" s="4">
        <v>45534.31822608796</v>
      </c>
      <c r="B340" s="5" t="s">
        <v>34</v>
      </c>
      <c r="D340" s="5" t="s">
        <v>1206</v>
      </c>
      <c r="E340" s="5" t="s">
        <v>3405</v>
      </c>
      <c r="F340" s="5" t="s">
        <v>375</v>
      </c>
      <c r="G340" s="5" t="s">
        <v>3406</v>
      </c>
      <c r="H340" s="6" t="s">
        <v>3407</v>
      </c>
      <c r="I340" s="7" t="s">
        <v>3408</v>
      </c>
      <c r="J340" s="8" t="str">
        <f>HYPERLINK("https://drive.google.com/file/d/14vKTHNDO5MjfAWR_Wo9BuDXtPS5eUM_Y/view?usp=drivesdk","RATIH SULISTYOWATI, S.S., M.Pd SERTIFIKAT BerAKHLAK")</f>
        <v>RATIH SULISTYOWATI, S.S., M.Pd SERTIFIKAT BerAKHLAK</v>
      </c>
      <c r="K340" s="5" t="s">
        <v>3055</v>
      </c>
      <c r="L340" s="5" t="s">
        <v>3409</v>
      </c>
      <c r="M340" s="5" t="s">
        <v>3410</v>
      </c>
      <c r="N340" s="7" t="s">
        <v>3411</v>
      </c>
      <c r="O340" s="8" t="str">
        <f>HYPERLINK("https://drive.google.com/file/d/1Tjh6wl5-LDVtuEKdYrAh0dFJvDdMqcft/view?usp=drivesdk","339 &lt;NAMA LENGKAP&gt;&gt; _ SERTIFIKAT BIMTEK IPASN BerAKHLASK")</f>
        <v>339 &lt;NAMA LENGKAP&gt;&gt; _ SERTIFIKAT BIMTEK IPASN BerAKHLASK</v>
      </c>
      <c r="P340" s="5" t="s">
        <v>3401</v>
      </c>
      <c r="Q340" s="5" t="s">
        <v>3412</v>
      </c>
      <c r="R340" s="7" t="s">
        <v>3413</v>
      </c>
      <c r="S340" s="7" t="str">
        <f>HYPERLINK("https://drive.google.com/file/d/1SCuCJ4n_k7RuuUqIebji3ncz5Pxp05mB/view?usp=drivesdk","339_RATIH SULISTYOWATI, S.S., M.Pd SERTIFIKAT BIMTEK IPASN-BerAKHLAK")</f>
        <v>339_RATIH SULISTYOWATI, S.S., M.Pd SERTIFIKAT BIMTEK IPASN-BerAKHLAK</v>
      </c>
      <c r="T340" s="5" t="s">
        <v>3404</v>
      </c>
    </row>
    <row r="341">
      <c r="A341" s="4">
        <v>45534.31823462963</v>
      </c>
      <c r="B341" s="5" t="s">
        <v>34</v>
      </c>
      <c r="D341" s="5" t="s">
        <v>1206</v>
      </c>
      <c r="E341" s="5" t="s">
        <v>3414</v>
      </c>
      <c r="F341" s="5" t="s">
        <v>212</v>
      </c>
      <c r="G341" s="5" t="s">
        <v>3415</v>
      </c>
      <c r="H341" s="6" t="s">
        <v>3416</v>
      </c>
      <c r="I341" s="7" t="s">
        <v>3417</v>
      </c>
      <c r="J341" s="8" t="str">
        <f>HYPERLINK("https://drive.google.com/file/d/1EqzjKr02H2Fo94HAE5arl7Kvu74zBMUq/view?usp=drivesdk","NURUL MAHMUDAH, S.Sos. SERTIFIKAT BerAKHLAK")</f>
        <v>NURUL MAHMUDAH, S.Sos. SERTIFIKAT BerAKHLAK</v>
      </c>
      <c r="K341" s="5" t="s">
        <v>3055</v>
      </c>
      <c r="L341" s="5" t="s">
        <v>3418</v>
      </c>
      <c r="M341" s="5" t="s">
        <v>3419</v>
      </c>
      <c r="N341" s="7" t="s">
        <v>3420</v>
      </c>
      <c r="O341" s="8" t="str">
        <f>HYPERLINK("https://drive.google.com/file/d/1WrG3tovcl_QqVEJvk6OgwqI2KY6O1MEc/view?usp=drivesdk","340 &lt;NAMA LENGKAP&gt;&gt; _ SERTIFIKAT BIMTEK IPASN BerAKHLASK")</f>
        <v>340 &lt;NAMA LENGKAP&gt;&gt; _ SERTIFIKAT BIMTEK IPASN BerAKHLASK</v>
      </c>
      <c r="P341" s="5" t="s">
        <v>3401</v>
      </c>
      <c r="Q341" s="5" t="s">
        <v>3421</v>
      </c>
      <c r="R341" s="7" t="s">
        <v>3422</v>
      </c>
      <c r="S341" s="7" t="str">
        <f>HYPERLINK("https://drive.google.com/file/d/13kNjHy3byMkDWFL3-g1SD4zMgkC0D-zj/view?usp=drivesdk","340_NURUL MAHMUDAH, S.Sos. SERTIFIKAT BIMTEK IPASN-BerAKHLAK")</f>
        <v>340_NURUL MAHMUDAH, S.Sos. SERTIFIKAT BIMTEK IPASN-BerAKHLAK</v>
      </c>
      <c r="T341" s="5" t="s">
        <v>3404</v>
      </c>
    </row>
    <row r="342" hidden="1">
      <c r="A342" s="4">
        <v>45534.31825827547</v>
      </c>
      <c r="B342" s="5" t="s">
        <v>19</v>
      </c>
      <c r="C342" s="5" t="s">
        <v>292</v>
      </c>
      <c r="E342" s="5" t="s">
        <v>3423</v>
      </c>
      <c r="F342" s="5" t="s">
        <v>715</v>
      </c>
      <c r="G342" s="5" t="s">
        <v>3424</v>
      </c>
      <c r="H342" s="6" t="s">
        <v>3425</v>
      </c>
      <c r="I342" s="7" t="s">
        <v>3426</v>
      </c>
      <c r="J342" s="8" t="str">
        <f>HYPERLINK("https://drive.google.com/file/d/1vgAchmpO4VUBG9Hp1IAyv_HCN-U_LSwP/view?usp=drivesdk","IIN SUWANDINI, S.E. SERTIFIKAT BerAKHLAK")</f>
        <v>IIN SUWANDINI, S.E. SERTIFIKAT BerAKHLAK</v>
      </c>
      <c r="K342" s="5" t="s">
        <v>3055</v>
      </c>
      <c r="L342" s="5" t="s">
        <v>3427</v>
      </c>
      <c r="M342" s="5" t="s">
        <v>3428</v>
      </c>
      <c r="N342" s="7" t="s">
        <v>3429</v>
      </c>
      <c r="O342" s="8" t="str">
        <f>HYPERLINK("https://drive.google.com/file/d/1Kx993hFgBeGj3UymlYaOqIJmhw5Tz3VK/view?usp=drivesdk","341 &lt;NAMA LENGKAP&gt;&gt; _ SERTIFIKAT BIMTEK IPASN BerAKHLASK")</f>
        <v>341 &lt;NAMA LENGKAP&gt;&gt; _ SERTIFIKAT BIMTEK IPASN BerAKHLASK</v>
      </c>
      <c r="P342" s="5" t="s">
        <v>3401</v>
      </c>
      <c r="Q342" s="5" t="s">
        <v>3430</v>
      </c>
      <c r="R342" s="7" t="s">
        <v>3431</v>
      </c>
      <c r="S342" s="7" t="str">
        <f>HYPERLINK("https://drive.google.com/file/d/1wqHlfKpcYjoLCcrVOtLfSNlmtnxZLhIG/view?usp=drivesdk","341_IIN SUWANDINI, S.E. SERTIFIKAT BIMTEK IPASN-BerAKHLAK")</f>
        <v>341_IIN SUWANDINI, S.E. SERTIFIKAT BIMTEK IPASN-BerAKHLAK</v>
      </c>
      <c r="T342" s="5" t="s">
        <v>3404</v>
      </c>
    </row>
    <row r="343">
      <c r="A343" s="4">
        <v>45534.31826047454</v>
      </c>
      <c r="B343" s="5" t="s">
        <v>34</v>
      </c>
      <c r="D343" s="5" t="s">
        <v>3432</v>
      </c>
      <c r="E343" s="5" t="s">
        <v>3433</v>
      </c>
      <c r="F343" s="5" t="s">
        <v>72</v>
      </c>
      <c r="G343" s="5" t="s">
        <v>3434</v>
      </c>
      <c r="H343" s="6" t="s">
        <v>3435</v>
      </c>
      <c r="I343" s="7" t="s">
        <v>3436</v>
      </c>
      <c r="J343" s="8" t="str">
        <f>HYPERLINK("https://drive.google.com/file/d/1pm-ql1gd-tvA8URUo7b1Ame41I5QghF0/view?usp=drivesdk","ANIK INDRIANAWATI SERTIFIKAT BerAKHLAK")</f>
        <v>ANIK INDRIANAWATI SERTIFIKAT BerAKHLAK</v>
      </c>
      <c r="K343" s="5" t="s">
        <v>3055</v>
      </c>
      <c r="L343" s="5" t="s">
        <v>3437</v>
      </c>
      <c r="M343" s="5" t="s">
        <v>3438</v>
      </c>
      <c r="N343" s="7" t="s">
        <v>3439</v>
      </c>
      <c r="O343" s="8" t="str">
        <f>HYPERLINK("https://drive.google.com/file/d/1OiEDTnKlKXK-TwKGqKcMVlGQyaGI4dFd/view?usp=drivesdk","342 &lt;NAMA LENGKAP&gt;&gt; _ SERTIFIKAT BIMTEK IPASN BerAKHLASK")</f>
        <v>342 &lt;NAMA LENGKAP&gt;&gt; _ SERTIFIKAT BIMTEK IPASN BerAKHLASK</v>
      </c>
      <c r="P343" s="5" t="s">
        <v>3401</v>
      </c>
      <c r="Q343" s="5" t="s">
        <v>3440</v>
      </c>
      <c r="R343" s="7" t="s">
        <v>3441</v>
      </c>
      <c r="S343" s="7" t="str">
        <f>HYPERLINK("https://drive.google.com/file/d/1baAaFEp6tR_zQp7ggVM4Fi8EagtdSM7H/view?usp=drivesdk","342_ANIK INDRIANAWATI SERTIFIKAT BIMTEK IPASN-BerAKHLAK")</f>
        <v>342_ANIK INDRIANAWATI SERTIFIKAT BIMTEK IPASN-BerAKHLAK</v>
      </c>
      <c r="T343" s="5" t="s">
        <v>3404</v>
      </c>
    </row>
    <row r="344">
      <c r="A344" s="4">
        <v>45534.318268229166</v>
      </c>
      <c r="B344" s="5" t="s">
        <v>34</v>
      </c>
      <c r="D344" s="5" t="s">
        <v>1206</v>
      </c>
      <c r="E344" s="5" t="s">
        <v>3442</v>
      </c>
      <c r="F344" s="5" t="s">
        <v>72</v>
      </c>
      <c r="G344" s="5" t="s">
        <v>3443</v>
      </c>
      <c r="H344" s="6" t="s">
        <v>3444</v>
      </c>
      <c r="I344" s="7" t="s">
        <v>3445</v>
      </c>
      <c r="J344" s="8" t="str">
        <f>HYPERLINK("https://drive.google.com/file/d/1_SJq9qWjzFtHNu4rkGFXzhkNyocrIaz-/view?usp=drivesdk","AGUS WIYONO, S.KEP.NERS SERTIFIKAT BerAKHLAK")</f>
        <v>AGUS WIYONO, S.KEP.NERS SERTIFIKAT BerAKHLAK</v>
      </c>
      <c r="K344" s="5" t="s">
        <v>3055</v>
      </c>
      <c r="L344" s="5" t="s">
        <v>3446</v>
      </c>
      <c r="M344" s="5" t="s">
        <v>3447</v>
      </c>
      <c r="N344" s="7" t="s">
        <v>3448</v>
      </c>
      <c r="O344" s="8" t="str">
        <f>HYPERLINK("https://drive.google.com/file/d/1Pvlx3CfNlYT2LJFTAEPYVcNR5ADyrIjU/view?usp=drivesdk","343 &lt;NAMA LENGKAP&gt;&gt; _ SERTIFIKAT BIMTEK IPASN BerAKHLASK")</f>
        <v>343 &lt;NAMA LENGKAP&gt;&gt; _ SERTIFIKAT BIMTEK IPASN BerAKHLASK</v>
      </c>
      <c r="P344" s="5" t="s">
        <v>3449</v>
      </c>
      <c r="Q344" s="5" t="s">
        <v>3450</v>
      </c>
      <c r="R344" s="7" t="s">
        <v>3451</v>
      </c>
      <c r="S344" s="7" t="str">
        <f>HYPERLINK("https://drive.google.com/file/d/1DoeMtKrxiNU4tyn4LVVDoLDw3l3Usi57/view?usp=drivesdk","343_AGUS WIYONO, S.KEP.NERS SERTIFIKAT BIMTEK IPASN-BerAKHLAK")</f>
        <v>343_AGUS WIYONO, S.KEP.NERS SERTIFIKAT BIMTEK IPASN-BerAKHLAK</v>
      </c>
      <c r="T344" s="5" t="s">
        <v>3404</v>
      </c>
    </row>
    <row r="345">
      <c r="A345" s="4">
        <v>45534.31826971065</v>
      </c>
      <c r="B345" s="5" t="s">
        <v>34</v>
      </c>
      <c r="D345" s="5" t="s">
        <v>3432</v>
      </c>
      <c r="E345" s="5" t="s">
        <v>3452</v>
      </c>
      <c r="F345" s="5" t="s">
        <v>524</v>
      </c>
      <c r="G345" s="5" t="s">
        <v>3453</v>
      </c>
      <c r="H345" s="6" t="s">
        <v>3454</v>
      </c>
      <c r="I345" s="7" t="s">
        <v>3455</v>
      </c>
      <c r="J345" s="8" t="str">
        <f>HYPERLINK("https://drive.google.com/file/d/1XkaUqE7mpBBYc8a_2lkMlDUPhfIaphYc/view?usp=drivesdk","LINDA JUNNE TOUMAHUW,S.KM.M.KM SERTIFIKAT BerAKHLAK")</f>
        <v>LINDA JUNNE TOUMAHUW,S.KM.M.KM SERTIFIKAT BerAKHLAK</v>
      </c>
      <c r="K345" s="5" t="s">
        <v>3257</v>
      </c>
      <c r="L345" s="5" t="s">
        <v>3456</v>
      </c>
      <c r="M345" s="5" t="s">
        <v>3457</v>
      </c>
      <c r="N345" s="7" t="s">
        <v>3458</v>
      </c>
      <c r="O345" s="8" t="str">
        <f>HYPERLINK("https://drive.google.com/file/d/1Jv-RERidjwpYN_ATESiBBnFlulK9KP9b/view?usp=drivesdk","344 &lt;NAMA LENGKAP&gt;&gt; _ SERTIFIKAT BIMTEK IPASN BerAKHLASK")</f>
        <v>344 &lt;NAMA LENGKAP&gt;&gt; _ SERTIFIKAT BIMTEK IPASN BerAKHLASK</v>
      </c>
      <c r="P345" s="5" t="s">
        <v>3449</v>
      </c>
      <c r="Q345" s="5" t="s">
        <v>3459</v>
      </c>
      <c r="R345" s="7" t="s">
        <v>3460</v>
      </c>
      <c r="S345" s="7" t="str">
        <f>HYPERLINK("https://drive.google.com/file/d/1ZAfyVvTeNwv_6auLgtbiuDtkEVTV3R_u/view?usp=drivesdk","344_LINDA JUNNE TOUMAHUW,S.KM.M.KM SERTIFIKAT BIMTEK IPASN-BerAKHLAK")</f>
        <v>344_LINDA JUNNE TOUMAHUW,S.KM.M.KM SERTIFIKAT BIMTEK IPASN-BerAKHLAK</v>
      </c>
      <c r="T345" s="5" t="s">
        <v>3461</v>
      </c>
    </row>
    <row r="346">
      <c r="A346" s="4">
        <v>45534.31828047454</v>
      </c>
      <c r="B346" s="5" t="s">
        <v>34</v>
      </c>
      <c r="D346" s="5" t="s">
        <v>1206</v>
      </c>
      <c r="E346" s="5" t="s">
        <v>3462</v>
      </c>
      <c r="F346" s="5" t="s">
        <v>72</v>
      </c>
      <c r="G346" s="5" t="s">
        <v>3463</v>
      </c>
      <c r="H346" s="6" t="s">
        <v>3464</v>
      </c>
      <c r="I346" s="7" t="s">
        <v>3465</v>
      </c>
      <c r="J346" s="8" t="str">
        <f>HYPERLINK("https://drive.google.com/file/d/1WFhmrlV4BJ3Ilhi2-5YDBLu2N7KrmrBz/view?usp=drivesdk","NOVI WIJAYANTI SERTIFIKAT BerAKHLAK")</f>
        <v>NOVI WIJAYANTI SERTIFIKAT BerAKHLAK</v>
      </c>
      <c r="K346" s="5" t="s">
        <v>3055</v>
      </c>
      <c r="L346" s="5" t="s">
        <v>3466</v>
      </c>
      <c r="M346" s="5" t="s">
        <v>3467</v>
      </c>
      <c r="N346" s="7" t="s">
        <v>3468</v>
      </c>
      <c r="O346" s="8" t="str">
        <f>HYPERLINK("https://drive.google.com/file/d/10TkcGtyArBvQCXpd0sGoy2Tvc-axGO3o/view?usp=drivesdk","345 &lt;NAMA LENGKAP&gt;&gt; _ SERTIFIKAT BIMTEK IPASN BerAKHLASK")</f>
        <v>345 &lt;NAMA LENGKAP&gt;&gt; _ SERTIFIKAT BIMTEK IPASN BerAKHLASK</v>
      </c>
      <c r="P346" s="5" t="s">
        <v>3449</v>
      </c>
      <c r="Q346" s="5" t="s">
        <v>3469</v>
      </c>
      <c r="R346" s="7" t="s">
        <v>3470</v>
      </c>
      <c r="S346" s="7" t="str">
        <f>HYPERLINK("https://drive.google.com/file/d/1Iuy2n0l5sJ05xrS_1UqOztloiqS_FLkR/view?usp=drivesdk","345_NOVI WIJAYANTI SERTIFIKAT BIMTEK IPASN-BerAKHLAK")</f>
        <v>345_NOVI WIJAYANTI SERTIFIKAT BIMTEK IPASN-BerAKHLAK</v>
      </c>
      <c r="T346" s="5" t="s">
        <v>3461</v>
      </c>
    </row>
    <row r="347" hidden="1">
      <c r="A347" s="4">
        <v>45534.318310752315</v>
      </c>
      <c r="B347" s="5" t="s">
        <v>19</v>
      </c>
      <c r="C347" s="5" t="s">
        <v>3471</v>
      </c>
      <c r="E347" s="5" t="s">
        <v>3472</v>
      </c>
      <c r="F347" s="5" t="s">
        <v>120</v>
      </c>
      <c r="G347" s="5" t="s">
        <v>3473</v>
      </c>
      <c r="H347" s="6" t="s">
        <v>3474</v>
      </c>
      <c r="I347" s="7" t="s">
        <v>3475</v>
      </c>
      <c r="J347" s="8" t="str">
        <f>HYPERLINK("https://drive.google.com/file/d/1-hkKTBwc7KB0NFBWejaV_ymZjOTch38N/view?usp=drivesdk","SENO AJI,S.KOM,M.M. SERTIFIKAT BerAKHLAK")</f>
        <v>SENO AJI,S.KOM,M.M. SERTIFIKAT BerAKHLAK</v>
      </c>
      <c r="K347" s="5" t="s">
        <v>3055</v>
      </c>
      <c r="L347" s="5" t="s">
        <v>3476</v>
      </c>
      <c r="M347" s="5" t="s">
        <v>3477</v>
      </c>
      <c r="N347" s="7" t="s">
        <v>3478</v>
      </c>
      <c r="O347" s="8" t="str">
        <f>HYPERLINK("https://drive.google.com/file/d/1qX98KYzx9AI6i21CYoPeYhwMbs_u6JIs/view?usp=drivesdk","346 &lt;NAMA LENGKAP&gt;&gt; _ SERTIFIKAT BIMTEK IPASN BerAKHLASK")</f>
        <v>346 &lt;NAMA LENGKAP&gt;&gt; _ SERTIFIKAT BIMTEK IPASN BerAKHLASK</v>
      </c>
      <c r="P347" s="5" t="s">
        <v>3449</v>
      </c>
      <c r="Q347" s="5" t="s">
        <v>3479</v>
      </c>
      <c r="R347" s="7" t="s">
        <v>3480</v>
      </c>
      <c r="S347" s="7" t="str">
        <f>HYPERLINK("https://drive.google.com/file/d/1T_rplXrOrKUI56siHkIPDiHuChbyrjZ0/view?usp=drivesdk","346_SENO AJI,S.KOM,M.M. SERTIFIKAT BIMTEK IPASN-BerAKHLAK")</f>
        <v>346_SENO AJI,S.KOM,M.M. SERTIFIKAT BIMTEK IPASN-BerAKHLAK</v>
      </c>
      <c r="T347" s="5" t="s">
        <v>3461</v>
      </c>
    </row>
    <row r="348">
      <c r="A348" s="4">
        <v>45534.31831635417</v>
      </c>
      <c r="B348" s="5" t="s">
        <v>34</v>
      </c>
      <c r="D348" s="5" t="s">
        <v>580</v>
      </c>
      <c r="E348" s="5" t="s">
        <v>3481</v>
      </c>
      <c r="F348" s="5" t="s">
        <v>212</v>
      </c>
      <c r="G348" s="5" t="s">
        <v>3482</v>
      </c>
      <c r="H348" s="6" t="s">
        <v>3483</v>
      </c>
      <c r="I348" s="7" t="s">
        <v>3484</v>
      </c>
      <c r="J348" s="8" t="str">
        <f>HYPERLINK("https://drive.google.com/file/d/19LYQ-ySdo_6quo3e7WqPEXGUck53AfIx/view?usp=drivesdk","IDA AYU GEDE MILA CAHYANTHY, A.Md.Kep., S.H. SERTIFIKAT BerAKHLAK")</f>
        <v>IDA AYU GEDE MILA CAHYANTHY, A.Md.Kep., S.H. SERTIFIKAT BerAKHLAK</v>
      </c>
      <c r="K348" s="5" t="s">
        <v>3055</v>
      </c>
      <c r="L348" s="5" t="s">
        <v>3485</v>
      </c>
      <c r="M348" s="5" t="s">
        <v>3486</v>
      </c>
      <c r="N348" s="7" t="s">
        <v>3487</v>
      </c>
      <c r="O348" s="8" t="str">
        <f>HYPERLINK("https://drive.google.com/file/d/1M7a4ou-iX9ZU9eRLcXRNsfgv9ehdme5h/view?usp=drivesdk","347 &lt;NAMA LENGKAP&gt;&gt; _ SERTIFIKAT BIMTEK IPASN BerAKHLASK")</f>
        <v>347 &lt;NAMA LENGKAP&gt;&gt; _ SERTIFIKAT BIMTEK IPASN BerAKHLASK</v>
      </c>
      <c r="P348" s="5" t="s">
        <v>3488</v>
      </c>
      <c r="Q348" s="5" t="s">
        <v>3489</v>
      </c>
      <c r="R348" s="7" t="s">
        <v>3490</v>
      </c>
      <c r="S348" s="7" t="str">
        <f>HYPERLINK("https://drive.google.com/file/d/1weQ3wU4XAws3gP7JssEeaEVi0skT69QX/view?usp=drivesdk","347_IDA AYU GEDE MILA CAHYANTHY, A.Md.Kep., S.H. SERTIFIKAT BIMTEK IPASN-BerAKHLAK")</f>
        <v>347_IDA AYU GEDE MILA CAHYANTHY, A.Md.Kep., S.H. SERTIFIKAT BIMTEK IPASN-BerAKHLAK</v>
      </c>
      <c r="T348" s="5" t="s">
        <v>3461</v>
      </c>
    </row>
    <row r="349" hidden="1">
      <c r="A349" s="4">
        <v>45534.31833060185</v>
      </c>
      <c r="B349" s="5" t="s">
        <v>19</v>
      </c>
      <c r="C349" s="5" t="s">
        <v>292</v>
      </c>
      <c r="E349" s="5" t="s">
        <v>3491</v>
      </c>
      <c r="F349" s="5" t="s">
        <v>524</v>
      </c>
      <c r="G349" s="5" t="s">
        <v>3492</v>
      </c>
      <c r="H349" s="6" t="s">
        <v>3493</v>
      </c>
      <c r="I349" s="7" t="s">
        <v>3494</v>
      </c>
      <c r="J349" s="8" t="str">
        <f>HYPERLINK("https://drive.google.com/file/d/1NDN5DkIRZL6bS86x2D4zKZaIe1dM42ta/view?usp=drivesdk","IMAS KARWATI, S.KEP.,NERS SERTIFIKAT BerAKHLAK")</f>
        <v>IMAS KARWATI, S.KEP.,NERS SERTIFIKAT BerAKHLAK</v>
      </c>
      <c r="K349" s="5" t="s">
        <v>3055</v>
      </c>
      <c r="L349" s="5" t="s">
        <v>3495</v>
      </c>
      <c r="M349" s="5" t="s">
        <v>3496</v>
      </c>
      <c r="N349" s="7" t="s">
        <v>3497</v>
      </c>
      <c r="O349" s="8" t="str">
        <f>HYPERLINK("https://drive.google.com/file/d/1npjD21uzOuVLDLsGR-q2iy-AW-tW-3pQ/view?usp=drivesdk","348 &lt;NAMA LENGKAP&gt;&gt; _ SERTIFIKAT BIMTEK IPASN BerAKHLASK")</f>
        <v>348 &lt;NAMA LENGKAP&gt;&gt; _ SERTIFIKAT BIMTEK IPASN BerAKHLASK</v>
      </c>
      <c r="P349" s="5" t="s">
        <v>3488</v>
      </c>
      <c r="Q349" s="5" t="s">
        <v>3498</v>
      </c>
      <c r="R349" s="7" t="s">
        <v>3499</v>
      </c>
      <c r="S349" s="7" t="str">
        <f>HYPERLINK("https://drive.google.com/file/d/1jbO5bLNPiCUYVAYQkwZE_AoFgwaiTef3/view?usp=drivesdk","348_IMAS KARWATI, S.KEP.,NERS SERTIFIKAT BIMTEK IPASN-BerAKHLAK")</f>
        <v>348_IMAS KARWATI, S.KEP.,NERS SERTIFIKAT BIMTEK IPASN-BerAKHLAK</v>
      </c>
      <c r="T349" s="5" t="s">
        <v>3461</v>
      </c>
    </row>
    <row r="350" hidden="1">
      <c r="A350" s="4">
        <v>45534.31833841435</v>
      </c>
      <c r="B350" s="5" t="s">
        <v>19</v>
      </c>
      <c r="C350" s="5" t="s">
        <v>292</v>
      </c>
      <c r="E350" s="5" t="s">
        <v>3500</v>
      </c>
      <c r="F350" s="5" t="s">
        <v>108</v>
      </c>
      <c r="G350" s="5" t="s">
        <v>3501</v>
      </c>
      <c r="H350" s="6" t="s">
        <v>3502</v>
      </c>
      <c r="I350" s="7" t="s">
        <v>3503</v>
      </c>
      <c r="J350" s="8" t="str">
        <f>HYPERLINK("https://drive.google.com/file/d/1nTLOgele5Dr3dYMlKTpVxMseY7v_vmJH/view?usp=drivesdk","RENI MURNIATI, S.AP SERTIFIKAT BerAKHLAK")</f>
        <v>RENI MURNIATI, S.AP SERTIFIKAT BerAKHLAK</v>
      </c>
      <c r="K350" s="5" t="s">
        <v>3257</v>
      </c>
      <c r="L350" s="5" t="s">
        <v>3504</v>
      </c>
      <c r="M350" s="5" t="s">
        <v>3505</v>
      </c>
      <c r="N350" s="7" t="s">
        <v>3506</v>
      </c>
      <c r="O350" s="8" t="str">
        <f>HYPERLINK("https://drive.google.com/file/d/14TJm14vSP4MGeq_c2cBAq8PyJY9oJXTr/view?usp=drivesdk","349 &lt;NAMA LENGKAP&gt;&gt; _ SERTIFIKAT BIMTEK IPASN BerAKHLASK")</f>
        <v>349 &lt;NAMA LENGKAP&gt;&gt; _ SERTIFIKAT BIMTEK IPASN BerAKHLASK</v>
      </c>
      <c r="P350" s="5" t="s">
        <v>3488</v>
      </c>
      <c r="Q350" s="5" t="s">
        <v>3507</v>
      </c>
      <c r="R350" s="7" t="s">
        <v>3508</v>
      </c>
      <c r="S350" s="7" t="str">
        <f>HYPERLINK("https://drive.google.com/file/d/1jzncqYiVsaS1V6i6p8w9elV4D9bXFCim/view?usp=drivesdk","349_RENI MURNIATI, S.AP SERTIFIKAT BIMTEK IPASN-BerAKHLAK")</f>
        <v>349_RENI MURNIATI, S.AP SERTIFIKAT BIMTEK IPASN-BerAKHLAK</v>
      </c>
      <c r="T350" s="5" t="s">
        <v>3461</v>
      </c>
    </row>
    <row r="351">
      <c r="A351" s="4">
        <v>45534.31841416667</v>
      </c>
      <c r="B351" s="5" t="s">
        <v>34</v>
      </c>
      <c r="D351" s="5" t="s">
        <v>604</v>
      </c>
      <c r="E351" s="5" t="s">
        <v>3509</v>
      </c>
      <c r="F351" s="5" t="s">
        <v>524</v>
      </c>
      <c r="G351" s="5" t="s">
        <v>3510</v>
      </c>
      <c r="H351" s="6" t="s">
        <v>3511</v>
      </c>
      <c r="I351" s="7" t="s">
        <v>3512</v>
      </c>
      <c r="J351" s="8" t="str">
        <f>HYPERLINK("https://drive.google.com/file/d/1jLxvq6GdjkhSwHzm0t7g5JVqQK-ZbKJ-/view?usp=drivesdk","DARSIH SRI REJEKI SERTIFIKAT BerAKHLAK")</f>
        <v>DARSIH SRI REJEKI SERTIFIKAT BerAKHLAK</v>
      </c>
      <c r="K351" s="5" t="s">
        <v>3055</v>
      </c>
      <c r="L351" s="5" t="s">
        <v>3513</v>
      </c>
      <c r="M351" s="5" t="s">
        <v>3514</v>
      </c>
      <c r="N351" s="7" t="s">
        <v>3515</v>
      </c>
      <c r="O351" s="8" t="str">
        <f>HYPERLINK("https://drive.google.com/file/d/1YTrE5lCsdgkmd-39miJPB3RDazJv-bCg/view?usp=drivesdk","350 &lt;NAMA LENGKAP&gt;&gt; _ SERTIFIKAT BIMTEK IPASN BerAKHLASK")</f>
        <v>350 &lt;NAMA LENGKAP&gt;&gt; _ SERTIFIKAT BIMTEK IPASN BerAKHLASK</v>
      </c>
      <c r="P351" s="5" t="s">
        <v>3488</v>
      </c>
      <c r="Q351" s="5" t="s">
        <v>3516</v>
      </c>
      <c r="R351" s="7" t="s">
        <v>3517</v>
      </c>
      <c r="S351" s="7" t="str">
        <f>HYPERLINK("https://drive.google.com/file/d/18lrc6s1ZWxFg_mU9UiQ22aOz0Lnhlda3/view?usp=drivesdk","350_DARSIH SRI REJEKI SERTIFIKAT BIMTEK IPASN-BerAKHLAK")</f>
        <v>350_DARSIH SRI REJEKI SERTIFIKAT BIMTEK IPASN-BerAKHLAK</v>
      </c>
      <c r="T351" s="5" t="s">
        <v>3518</v>
      </c>
    </row>
    <row r="352">
      <c r="A352" s="4">
        <v>45534.318431747684</v>
      </c>
      <c r="B352" s="5" t="s">
        <v>34</v>
      </c>
      <c r="D352" s="5" t="s">
        <v>267</v>
      </c>
      <c r="E352" s="5" t="s">
        <v>3519</v>
      </c>
      <c r="F352" s="5" t="s">
        <v>120</v>
      </c>
      <c r="G352" s="5" t="s">
        <v>3520</v>
      </c>
      <c r="H352" s="6" t="s">
        <v>3521</v>
      </c>
      <c r="I352" s="7" t="s">
        <v>3522</v>
      </c>
      <c r="J352" s="8" t="str">
        <f>HYPERLINK("https://drive.google.com/file/d/1_XG1r08hFCmDJGuiuiPvsp_uOQl9_cuY/view?usp=drivesdk","NUR SUPRIYANTI, S.T., M.M. SERTIFIKAT BerAKHLAK")</f>
        <v>NUR SUPRIYANTI, S.T., M.M. SERTIFIKAT BerAKHLAK</v>
      </c>
      <c r="K352" s="5" t="s">
        <v>3055</v>
      </c>
      <c r="L352" s="5" t="s">
        <v>3523</v>
      </c>
      <c r="M352" s="5" t="s">
        <v>3524</v>
      </c>
      <c r="N352" s="7" t="s">
        <v>3525</v>
      </c>
      <c r="O352" s="8" t="str">
        <f>HYPERLINK("https://drive.google.com/file/d/1EvAniVOV38iBg7icaE7KaW5wzkCAN_vX/view?usp=drivesdk","351 &lt;NAMA LENGKAP&gt;&gt; _ SERTIFIKAT BIMTEK IPASN BerAKHLASK")</f>
        <v>351 &lt;NAMA LENGKAP&gt;&gt; _ SERTIFIKAT BIMTEK IPASN BerAKHLASK</v>
      </c>
      <c r="P352" s="5" t="s">
        <v>3488</v>
      </c>
      <c r="Q352" s="5" t="s">
        <v>3526</v>
      </c>
      <c r="R352" s="7" t="s">
        <v>3527</v>
      </c>
      <c r="S352" s="7" t="str">
        <f>HYPERLINK("https://drive.google.com/file/d/1-gOJNLN5U-YhizUTS3waalqSMvjVqsiS/view?usp=drivesdk","351_NUR SUPRIYANTI, S.T., M.M. SERTIFIKAT BIMTEK IPASN-BerAKHLAK")</f>
        <v>351_NUR SUPRIYANTI, S.T., M.M. SERTIFIKAT BIMTEK IPASN-BerAKHLAK</v>
      </c>
      <c r="T352" s="5" t="s">
        <v>3518</v>
      </c>
    </row>
    <row r="353">
      <c r="A353" s="4">
        <v>45534.31843225694</v>
      </c>
      <c r="B353" s="5" t="s">
        <v>34</v>
      </c>
      <c r="D353" s="5" t="s">
        <v>1206</v>
      </c>
      <c r="E353" s="5" t="s">
        <v>3528</v>
      </c>
      <c r="F353" s="5" t="s">
        <v>37</v>
      </c>
      <c r="G353" s="5" t="s">
        <v>3529</v>
      </c>
      <c r="H353" s="6" t="s">
        <v>3530</v>
      </c>
      <c r="I353" s="7" t="s">
        <v>3531</v>
      </c>
      <c r="J353" s="8" t="str">
        <f>HYPERLINK("https://drive.google.com/file/d/1sk6mAWq5VSZHUeLhizRh6LNnjZGqcBk3/view?usp=drivesdk","SRI ENDAH SARI SERTIFIKAT BerAKHLAK")</f>
        <v>SRI ENDAH SARI SERTIFIKAT BerAKHLAK</v>
      </c>
      <c r="K353" s="5" t="s">
        <v>3257</v>
      </c>
      <c r="L353" s="5" t="s">
        <v>3532</v>
      </c>
      <c r="M353" s="5" t="s">
        <v>3533</v>
      </c>
      <c r="N353" s="7" t="s">
        <v>3534</v>
      </c>
      <c r="O353" s="8" t="str">
        <f>HYPERLINK("https://drive.google.com/file/d/1kr6gyKAgMEteJQnpJo0PiucGHyBLxDev/view?usp=drivesdk","352 &lt;NAMA LENGKAP&gt;&gt; _ SERTIFIKAT BIMTEK IPASN BerAKHLASK")</f>
        <v>352 &lt;NAMA LENGKAP&gt;&gt; _ SERTIFIKAT BIMTEK IPASN BerAKHLASK</v>
      </c>
      <c r="P353" s="5" t="s">
        <v>3535</v>
      </c>
      <c r="Q353" s="5" t="s">
        <v>3536</v>
      </c>
      <c r="R353" s="7" t="s">
        <v>3537</v>
      </c>
      <c r="S353" s="7" t="str">
        <f>HYPERLINK("https://drive.google.com/file/d/1ZOC6791uRXvktm1LgB4CblVeqfk3DIir/view?usp=drivesdk","352_SRI ENDAH SARI SERTIFIKAT BIMTEK IPASN-BerAKHLAK")</f>
        <v>352_SRI ENDAH SARI SERTIFIKAT BIMTEK IPASN-BerAKHLAK</v>
      </c>
      <c r="T353" s="5" t="s">
        <v>3518</v>
      </c>
    </row>
    <row r="354" hidden="1">
      <c r="A354" s="4">
        <v>45534.31844847222</v>
      </c>
      <c r="B354" s="5" t="s">
        <v>19</v>
      </c>
      <c r="C354" s="5" t="s">
        <v>292</v>
      </c>
      <c r="E354" s="5" t="s">
        <v>3538</v>
      </c>
      <c r="F354" s="5" t="s">
        <v>524</v>
      </c>
      <c r="G354" s="5" t="s">
        <v>3539</v>
      </c>
      <c r="H354" s="6" t="s">
        <v>3540</v>
      </c>
      <c r="I354" s="7" t="s">
        <v>3541</v>
      </c>
      <c r="J354" s="8" t="str">
        <f>HYPERLINK("https://drive.google.com/file/d/1_1RWe1f6WrpcKrbZPnvkV-EGstKLtuxN/view?usp=drivesdk","INEKE YULIA WIDIASTUTI.S.Kep.Ners SERTIFIKAT BerAKHLAK")</f>
        <v>INEKE YULIA WIDIASTUTI.S.Kep.Ners SERTIFIKAT BerAKHLAK</v>
      </c>
      <c r="K354" s="5" t="s">
        <v>3055</v>
      </c>
      <c r="L354" s="5" t="s">
        <v>3542</v>
      </c>
      <c r="M354" s="5" t="s">
        <v>3543</v>
      </c>
      <c r="N354" s="7" t="s">
        <v>3544</v>
      </c>
      <c r="O354" s="8" t="str">
        <f>HYPERLINK("https://drive.google.com/file/d/1Juf-9X1XzM3HmwdR3Anatx4x3Tuaz1Wn/view?usp=drivesdk","353 &lt;NAMA LENGKAP&gt;&gt; _ SERTIFIKAT BIMTEK IPASN BerAKHLASK")</f>
        <v>353 &lt;NAMA LENGKAP&gt;&gt; _ SERTIFIKAT BIMTEK IPASN BerAKHLASK</v>
      </c>
      <c r="P354" s="5" t="s">
        <v>3535</v>
      </c>
      <c r="Q354" s="5" t="s">
        <v>3545</v>
      </c>
      <c r="R354" s="7" t="s">
        <v>3546</v>
      </c>
      <c r="S354" s="7" t="str">
        <f>HYPERLINK("https://drive.google.com/file/d/1KnPufbYJVZleJDG76j5kUuxXbfAk80m8/view?usp=drivesdk","353_INEKE YULIA WIDIASTUTI.S.Kep.Ners SERTIFIKAT BIMTEK IPASN-BerAKHLAK")</f>
        <v>353_INEKE YULIA WIDIASTUTI.S.Kep.Ners SERTIFIKAT BIMTEK IPASN-BerAKHLAK</v>
      </c>
      <c r="T354" s="5" t="s">
        <v>3518</v>
      </c>
    </row>
    <row r="355">
      <c r="A355" s="4">
        <v>45534.31850780093</v>
      </c>
      <c r="B355" s="5" t="s">
        <v>34</v>
      </c>
      <c r="D355" s="5" t="s">
        <v>996</v>
      </c>
      <c r="E355" s="5" t="s">
        <v>3547</v>
      </c>
      <c r="F355" s="5" t="s">
        <v>212</v>
      </c>
      <c r="G355" s="5" t="s">
        <v>3548</v>
      </c>
      <c r="H355" s="6" t="s">
        <v>3549</v>
      </c>
      <c r="I355" s="7" t="s">
        <v>3550</v>
      </c>
      <c r="J355" s="8" t="str">
        <f>HYPERLINK("https://drive.google.com/file/d/1lHAIU2TuB0SBiKei6ZudEveai0PW2YMq/view?usp=drivesdk","PURNAMA SARI, Sos.  SERTIFIKAT BerAKHLAK")</f>
        <v>PURNAMA SARI, Sos.  SERTIFIKAT BerAKHLAK</v>
      </c>
      <c r="K355" s="5" t="s">
        <v>3055</v>
      </c>
      <c r="L355" s="5" t="s">
        <v>3551</v>
      </c>
      <c r="M355" s="5" t="s">
        <v>3552</v>
      </c>
      <c r="N355" s="7" t="s">
        <v>3553</v>
      </c>
      <c r="O355" s="8" t="str">
        <f>HYPERLINK("https://drive.google.com/file/d/1GDUkx7jRSxz-MrTtaOEYXCupKbBdSV0I/view?usp=drivesdk","354 &lt;NAMA LENGKAP&gt;&gt; _ SERTIFIKAT BIMTEK IPASN BerAKHLASK")</f>
        <v>354 &lt;NAMA LENGKAP&gt;&gt; _ SERTIFIKAT BIMTEK IPASN BerAKHLASK</v>
      </c>
      <c r="P355" s="5" t="s">
        <v>3535</v>
      </c>
      <c r="Q355" s="5" t="s">
        <v>3554</v>
      </c>
      <c r="R355" s="7" t="s">
        <v>3555</v>
      </c>
      <c r="S355" s="7" t="str">
        <f>HYPERLINK("https://drive.google.com/file/d/1ubu18pUB-dv9_g_UNHIJM3gO_VI9hKHS/view?usp=drivesdk","354_PURNAMA SARI, Sos.  SERTIFIKAT BIMTEK IPASN-BerAKHLAK")</f>
        <v>354_PURNAMA SARI, Sos.  SERTIFIKAT BIMTEK IPASN-BerAKHLAK</v>
      </c>
      <c r="T355" s="5" t="s">
        <v>3518</v>
      </c>
    </row>
    <row r="356">
      <c r="A356" s="4">
        <v>45534.31851597222</v>
      </c>
      <c r="B356" s="5" t="s">
        <v>34</v>
      </c>
      <c r="D356" s="5" t="s">
        <v>35</v>
      </c>
      <c r="E356" s="5" t="s">
        <v>3556</v>
      </c>
      <c r="F356" s="5" t="s">
        <v>375</v>
      </c>
      <c r="G356" s="5" t="s">
        <v>3557</v>
      </c>
      <c r="H356" s="6" t="s">
        <v>3558</v>
      </c>
      <c r="I356" s="7" t="s">
        <v>3559</v>
      </c>
      <c r="J356" s="8" t="str">
        <f>HYPERLINK("https://drive.google.com/file/d/1dwUk40VE8maiI_W6dTAM_Dmvdmn0Ku51/view?usp=drivesdk","EMA DAMAYANTI, S.E SERTIFIKAT BerAKHLAK")</f>
        <v>EMA DAMAYANTI, S.E SERTIFIKAT BerAKHLAK</v>
      </c>
      <c r="K356" s="5" t="s">
        <v>3055</v>
      </c>
      <c r="L356" s="5" t="s">
        <v>3560</v>
      </c>
      <c r="M356" s="5" t="s">
        <v>3561</v>
      </c>
      <c r="N356" s="7" t="s">
        <v>3562</v>
      </c>
      <c r="O356" s="8" t="str">
        <f>HYPERLINK("https://drive.google.com/file/d/1Wkj4hjtDkdXAuUotsO-5wCvaPt0B9CFo/view?usp=drivesdk","355 &lt;NAMA LENGKAP&gt;&gt; _ SERTIFIKAT BIMTEK IPASN BerAKHLASK")</f>
        <v>355 &lt;NAMA LENGKAP&gt;&gt; _ SERTIFIKAT BIMTEK IPASN BerAKHLASK</v>
      </c>
      <c r="P356" s="5" t="s">
        <v>3563</v>
      </c>
      <c r="Q356" s="5" t="s">
        <v>3564</v>
      </c>
      <c r="R356" s="7" t="s">
        <v>3565</v>
      </c>
      <c r="S356" s="7" t="str">
        <f>HYPERLINK("https://drive.google.com/file/d/1wSsShROkSIRL8Mm9gAuySgw6JoC6Hjf9/view?usp=drivesdk","355_EMA DAMAYANTI, S.E SERTIFIKAT BIMTEK IPASN-BerAKHLAK")</f>
        <v>355_EMA DAMAYANTI, S.E SERTIFIKAT BIMTEK IPASN-BerAKHLAK</v>
      </c>
      <c r="T356" s="5" t="s">
        <v>3518</v>
      </c>
    </row>
    <row r="357">
      <c r="A357" s="4">
        <v>45534.31853077546</v>
      </c>
      <c r="B357" s="5" t="s">
        <v>34</v>
      </c>
      <c r="D357" s="5" t="s">
        <v>1206</v>
      </c>
      <c r="E357" s="5" t="s">
        <v>3566</v>
      </c>
      <c r="F357" s="5" t="s">
        <v>212</v>
      </c>
      <c r="G357" s="5" t="s">
        <v>3567</v>
      </c>
      <c r="H357" s="6" t="s">
        <v>3568</v>
      </c>
      <c r="I357" s="7" t="s">
        <v>3569</v>
      </c>
      <c r="J357" s="8" t="str">
        <f>HYPERLINK("https://drive.google.com/file/d/1c6Fb5Zxs6JUzkKxbvGMb9ZyuHcKD6CyL/view?usp=drivesdk","IIS DWI RAHMAWATI SERTIFIKAT BerAKHLAK")</f>
        <v>IIS DWI RAHMAWATI SERTIFIKAT BerAKHLAK</v>
      </c>
      <c r="K357" s="5" t="s">
        <v>3257</v>
      </c>
      <c r="L357" s="5" t="s">
        <v>3570</v>
      </c>
      <c r="M357" s="5" t="s">
        <v>3571</v>
      </c>
      <c r="N357" s="7" t="s">
        <v>3572</v>
      </c>
      <c r="O357" s="8" t="str">
        <f>HYPERLINK("https://drive.google.com/file/d/1yd1zRCcIvh3prHZkh2KLmD_mhyRlRztj/view?usp=drivesdk","356 &lt;NAMA LENGKAP&gt;&gt; _ SERTIFIKAT BIMTEK IPASN BerAKHLASK")</f>
        <v>356 &lt;NAMA LENGKAP&gt;&gt; _ SERTIFIKAT BIMTEK IPASN BerAKHLASK</v>
      </c>
      <c r="P357" s="5" t="s">
        <v>3563</v>
      </c>
      <c r="Q357" s="5" t="s">
        <v>3573</v>
      </c>
      <c r="R357" s="7" t="s">
        <v>3574</v>
      </c>
      <c r="S357" s="7" t="str">
        <f>HYPERLINK("https://drive.google.com/file/d/19eGjn2-SQ0khm50_pvDAcEuXq6pNgHfr/view?usp=drivesdk","356_IIS DWI RAHMAWATI SERTIFIKAT BIMTEK IPASN-BerAKHLAK")</f>
        <v>356_IIS DWI RAHMAWATI SERTIFIKAT BIMTEK IPASN-BerAKHLAK</v>
      </c>
      <c r="T357" s="5" t="s">
        <v>3575</v>
      </c>
    </row>
    <row r="358" hidden="1">
      <c r="A358" s="4">
        <v>45534.318560740736</v>
      </c>
      <c r="B358" s="5" t="s">
        <v>19</v>
      </c>
      <c r="C358" s="5" t="s">
        <v>292</v>
      </c>
      <c r="E358" s="5" t="s">
        <v>3576</v>
      </c>
      <c r="F358" s="5" t="s">
        <v>120</v>
      </c>
      <c r="G358" s="5" t="s">
        <v>3577</v>
      </c>
      <c r="H358" s="6" t="s">
        <v>3578</v>
      </c>
      <c r="I358" s="7" t="s">
        <v>3579</v>
      </c>
      <c r="J358" s="8" t="str">
        <f>HYPERLINK("https://drive.google.com/file/d/1Ks3W0cIn_R2UTBxmBlWw-u5sxhW_p7ZC/view?usp=drivesdk","Dr. WAHDAN SANUR TARIHORAN, S. Sos. I, M. M SERTIFIKAT BerAKHLAK")</f>
        <v>Dr. WAHDAN SANUR TARIHORAN, S. Sos. I, M. M SERTIFIKAT BerAKHLAK</v>
      </c>
      <c r="K358" s="5" t="s">
        <v>3055</v>
      </c>
      <c r="L358" s="5" t="s">
        <v>3580</v>
      </c>
      <c r="M358" s="5" t="s">
        <v>3581</v>
      </c>
      <c r="N358" s="7" t="s">
        <v>3582</v>
      </c>
      <c r="O358" s="8" t="str">
        <f>HYPERLINK("https://drive.google.com/file/d/1TSGBr5txgf9MFqrvi7vH5J7-oDc2bdJM/view?usp=drivesdk","357 &lt;NAMA LENGKAP&gt;&gt; _ SERTIFIKAT BIMTEK IPASN BerAKHLASK")</f>
        <v>357 &lt;NAMA LENGKAP&gt;&gt; _ SERTIFIKAT BIMTEK IPASN BerAKHLASK</v>
      </c>
      <c r="P358" s="5" t="s">
        <v>3563</v>
      </c>
      <c r="Q358" s="5" t="s">
        <v>3583</v>
      </c>
      <c r="R358" s="7" t="s">
        <v>3584</v>
      </c>
      <c r="S358" s="7" t="str">
        <f>HYPERLINK("https://drive.google.com/file/d/1hkx_jRhX9oj3f4KEh0Xjo6JVXW7s4lF8/view?usp=drivesdk","357_Dr. WAHDAN SANUR TARIHORAN, S. Sos. I, M. M SERTIFIKAT BIMTEK IPASN-BerAKHLAK")</f>
        <v>357_Dr. WAHDAN SANUR TARIHORAN, S. Sos. I, M. M SERTIFIKAT BIMTEK IPASN-BerAKHLAK</v>
      </c>
      <c r="T358" s="5" t="s">
        <v>3575</v>
      </c>
    </row>
    <row r="359">
      <c r="A359" s="4">
        <v>45534.31858568287</v>
      </c>
      <c r="B359" s="5" t="s">
        <v>34</v>
      </c>
      <c r="D359" s="5" t="s">
        <v>604</v>
      </c>
      <c r="E359" s="5" t="s">
        <v>3585</v>
      </c>
      <c r="F359" s="5" t="s">
        <v>108</v>
      </c>
      <c r="G359" s="5" t="s">
        <v>3586</v>
      </c>
      <c r="H359" s="6" t="s">
        <v>3587</v>
      </c>
      <c r="I359" s="7" t="s">
        <v>3588</v>
      </c>
      <c r="J359" s="8" t="str">
        <f>HYPERLINK("https://drive.google.com/file/d/1bEwKOoCYdpofIGmx3QY3NX4fPe51BYYZ/view?usp=drivesdk","ALVIA PRADIPTA PUTRI, M.Psi., Psikolog SERTIFIKAT BerAKHLAK")</f>
        <v>ALVIA PRADIPTA PUTRI, M.Psi., Psikolog SERTIFIKAT BerAKHLAK</v>
      </c>
      <c r="K359" s="5" t="s">
        <v>3257</v>
      </c>
      <c r="L359" s="5" t="s">
        <v>3589</v>
      </c>
      <c r="M359" s="5" t="s">
        <v>3590</v>
      </c>
      <c r="N359" s="7" t="s">
        <v>3591</v>
      </c>
      <c r="O359" s="8" t="str">
        <f>HYPERLINK("https://drive.google.com/file/d/1O-6yRp26qK5dDVLcIy5nB40pBx10o8ll/view?usp=drivesdk","358 &lt;NAMA LENGKAP&gt;&gt; _ SERTIFIKAT BIMTEK IPASN BerAKHLASK")</f>
        <v>358 &lt;NAMA LENGKAP&gt;&gt; _ SERTIFIKAT BIMTEK IPASN BerAKHLASK</v>
      </c>
      <c r="P359" s="5" t="s">
        <v>3592</v>
      </c>
      <c r="Q359" s="5" t="s">
        <v>3593</v>
      </c>
      <c r="R359" s="7" t="s">
        <v>3594</v>
      </c>
      <c r="S359" s="7" t="str">
        <f>HYPERLINK("https://drive.google.com/file/d/104jrvXS_2hUVfnT1SssH8I9vaF3wFVFP/view?usp=drivesdk","358_ALVIA PRADIPTA PUTRI, M.Psi., Psikolog SERTIFIKAT BIMTEK IPASN-BerAKHLAK")</f>
        <v>358_ALVIA PRADIPTA PUTRI, M.Psi., Psikolog SERTIFIKAT BIMTEK IPASN-BerAKHLAK</v>
      </c>
      <c r="T359" s="5" t="s">
        <v>3575</v>
      </c>
    </row>
    <row r="360">
      <c r="A360" s="4">
        <v>45534.318591863426</v>
      </c>
      <c r="B360" s="5" t="s">
        <v>34</v>
      </c>
      <c r="D360" s="5" t="s">
        <v>1768</v>
      </c>
      <c r="E360" s="5" t="s">
        <v>3595</v>
      </c>
      <c r="F360" s="5" t="s">
        <v>72</v>
      </c>
      <c r="G360" s="5" t="s">
        <v>3596</v>
      </c>
      <c r="H360" s="6" t="s">
        <v>3597</v>
      </c>
      <c r="I360" s="7" t="s">
        <v>3598</v>
      </c>
      <c r="J360" s="8" t="str">
        <f>HYPERLINK("https://drive.google.com/file/d/1neDhVu7oQyfMFVbtBOqP3KBf2ptj44z6/view?usp=drivesdk","DEWI RULIYANTI ANDI RUSDIN NURUDDIN, A.MD, S.AKUN. SERTIFIKAT BerAKHLAK")</f>
        <v>DEWI RULIYANTI ANDI RUSDIN NURUDDIN, A.MD, S.AKUN. SERTIFIKAT BerAKHLAK</v>
      </c>
      <c r="K360" s="5" t="s">
        <v>3257</v>
      </c>
      <c r="L360" s="5" t="s">
        <v>3599</v>
      </c>
      <c r="M360" s="5" t="s">
        <v>3600</v>
      </c>
      <c r="N360" s="7" t="s">
        <v>3601</v>
      </c>
      <c r="O360" s="8" t="str">
        <f>HYPERLINK("https://drive.google.com/file/d/12wPVra8hnKFeHQTEz6Koof-3m-l9Dc57/view?usp=drivesdk","359 &lt;NAMA LENGKAP&gt;&gt; _ SERTIFIKAT BIMTEK IPASN BerAKHLASK")</f>
        <v>359 &lt;NAMA LENGKAP&gt;&gt; _ SERTIFIKAT BIMTEK IPASN BerAKHLASK</v>
      </c>
      <c r="P360" s="5" t="s">
        <v>3592</v>
      </c>
      <c r="Q360" s="5" t="s">
        <v>3602</v>
      </c>
      <c r="R360" s="7" t="s">
        <v>3603</v>
      </c>
      <c r="S360" s="7" t="str">
        <f>HYPERLINK("https://drive.google.com/file/d/10LnupzDvDJH7TVlvT4VwiTS9z3Ee-tkE/view?usp=drivesdk","359_DEWI RULIYANTI ANDI RUSDIN NURUDDIN, A.MD, S.AKUN. SERTIFIKAT BIMTEK IPASN-BerAKHLAK")</f>
        <v>359_DEWI RULIYANTI ANDI RUSDIN NURUDDIN, A.MD, S.AKUN. SERTIFIKAT BIMTEK IPASN-BerAKHLAK</v>
      </c>
      <c r="T360" s="5" t="s">
        <v>3575</v>
      </c>
    </row>
    <row r="361">
      <c r="A361" s="4">
        <v>45534.31859844907</v>
      </c>
      <c r="B361" s="5" t="s">
        <v>34</v>
      </c>
      <c r="D361" s="5" t="s">
        <v>35</v>
      </c>
      <c r="E361" s="5" t="s">
        <v>3604</v>
      </c>
      <c r="F361" s="5" t="s">
        <v>120</v>
      </c>
      <c r="G361" s="5" t="s">
        <v>3605</v>
      </c>
      <c r="H361" s="6" t="s">
        <v>3606</v>
      </c>
      <c r="I361" s="7" t="s">
        <v>3607</v>
      </c>
      <c r="J361" s="8" t="str">
        <f>HYPERLINK("https://drive.google.com/file/d/1KB8F2LVX-TxFFQ8JpAy6oAhXsXfSzj40/view?usp=drivesdk","Drg RETNO WIDAYANTI, SpBM.  SERTIFIKAT BerAKHLAK")</f>
        <v>Drg RETNO WIDAYANTI, SpBM.  SERTIFIKAT BerAKHLAK</v>
      </c>
      <c r="K361" s="5" t="s">
        <v>3257</v>
      </c>
      <c r="L361" s="5" t="s">
        <v>3608</v>
      </c>
      <c r="M361" s="5" t="s">
        <v>3609</v>
      </c>
      <c r="N361" s="7" t="s">
        <v>3610</v>
      </c>
      <c r="O361" s="8" t="str">
        <f>HYPERLINK("https://drive.google.com/file/d/1aAQGcOPQgBRazWBdTcvYoj2bbkrBdBPB/view?usp=drivesdk","360 &lt;NAMA LENGKAP&gt;&gt; _ SERTIFIKAT BIMTEK IPASN BerAKHLASK")</f>
        <v>360 &lt;NAMA LENGKAP&gt;&gt; _ SERTIFIKAT BIMTEK IPASN BerAKHLASK</v>
      </c>
      <c r="P361" s="5" t="s">
        <v>3592</v>
      </c>
      <c r="Q361" s="5" t="s">
        <v>3611</v>
      </c>
      <c r="R361" s="7" t="s">
        <v>3612</v>
      </c>
      <c r="S361" s="7" t="str">
        <f>HYPERLINK("https://drive.google.com/file/d/1PGcJlYuhJ8sxDS7JlFfplhBdnmciHdcL/view?usp=drivesdk","360_Drg RETNO WIDAYANTI, SpBM.  SERTIFIKAT BIMTEK IPASN-BerAKHLAK")</f>
        <v>360_Drg RETNO WIDAYANTI, SpBM.  SERTIFIKAT BIMTEK IPASN-BerAKHLAK</v>
      </c>
      <c r="T361" s="5" t="s">
        <v>3575</v>
      </c>
    </row>
    <row r="362" hidden="1">
      <c r="A362" s="4">
        <v>45534.31860010416</v>
      </c>
      <c r="B362" s="5" t="s">
        <v>19</v>
      </c>
      <c r="C362" s="5" t="s">
        <v>466</v>
      </c>
      <c r="E362" s="5" t="s">
        <v>3613</v>
      </c>
      <c r="F362" s="5" t="s">
        <v>199</v>
      </c>
      <c r="G362" s="5" t="s">
        <v>3614</v>
      </c>
      <c r="H362" s="6" t="s">
        <v>3615</v>
      </c>
      <c r="I362" s="7" t="s">
        <v>3616</v>
      </c>
      <c r="J362" s="8" t="str">
        <f>HYPERLINK("https://drive.google.com/file/d/1m_ruydDXXFi58NQ2N8BT5R_fCa_9nLgB/view?usp=drivesdk","YAYAT SUPRIATNA SERTIFIKAT BerAKHLAK")</f>
        <v>YAYAT SUPRIATNA SERTIFIKAT BerAKHLAK</v>
      </c>
      <c r="K362" s="5" t="s">
        <v>3257</v>
      </c>
      <c r="L362" s="5" t="s">
        <v>3617</v>
      </c>
      <c r="M362" s="5" t="s">
        <v>3618</v>
      </c>
      <c r="N362" s="7" t="s">
        <v>3619</v>
      </c>
      <c r="O362" s="8" t="str">
        <f>HYPERLINK("https://drive.google.com/file/d/1wXdnOFqlfg7Q9hi9f1vO9xd9VMPB4USR/view?usp=drivesdk","361 &lt;NAMA LENGKAP&gt;&gt; _ SERTIFIKAT BIMTEK IPASN BerAKHLASK")</f>
        <v>361 &lt;NAMA LENGKAP&gt;&gt; _ SERTIFIKAT BIMTEK IPASN BerAKHLASK</v>
      </c>
      <c r="P362" s="5" t="s">
        <v>3592</v>
      </c>
      <c r="Q362" s="5" t="s">
        <v>3620</v>
      </c>
      <c r="R362" s="7" t="s">
        <v>3621</v>
      </c>
      <c r="S362" s="7" t="str">
        <f>HYPERLINK("https://drive.google.com/file/d/1VWtqEQQ9u5Lz2lQlLARSk0NNok40u-eM/view?usp=drivesdk","361_YAYAT SUPRIATNA SERTIFIKAT BIMTEK IPASN-BerAKHLAK")</f>
        <v>361_YAYAT SUPRIATNA SERTIFIKAT BIMTEK IPASN-BerAKHLAK</v>
      </c>
      <c r="T362" s="5" t="s">
        <v>3622</v>
      </c>
    </row>
    <row r="363">
      <c r="A363" s="4">
        <v>45534.31864195602</v>
      </c>
      <c r="B363" s="5" t="s">
        <v>34</v>
      </c>
      <c r="D363" s="5" t="s">
        <v>996</v>
      </c>
      <c r="E363" s="5" t="s">
        <v>3623</v>
      </c>
      <c r="F363" s="5" t="s">
        <v>37</v>
      </c>
      <c r="G363" s="5" t="s">
        <v>3624</v>
      </c>
      <c r="H363" s="6" t="s">
        <v>3625</v>
      </c>
      <c r="I363" s="7" t="s">
        <v>3626</v>
      </c>
      <c r="J363" s="8" t="str">
        <f>HYPERLINK("https://drive.google.com/file/d/1mXV-dB73N2n6EeK86lEG-r9J4JSbLceg/view?usp=drivesdk","WIGIT DONO PRANOTO SERTIFIKAT BerAKHLAK")</f>
        <v>WIGIT DONO PRANOTO SERTIFIKAT BerAKHLAK</v>
      </c>
      <c r="K363" s="5" t="s">
        <v>3257</v>
      </c>
      <c r="L363" s="5" t="s">
        <v>3627</v>
      </c>
      <c r="M363" s="5" t="s">
        <v>3628</v>
      </c>
      <c r="N363" s="7" t="s">
        <v>3629</v>
      </c>
      <c r="O363" s="8" t="str">
        <f>HYPERLINK("https://drive.google.com/file/d/1Sl2G3pdGx4TyNijtLvR5FuQxKJ3zARAJ/view?usp=drivesdk","362 &lt;NAMA LENGKAP&gt;&gt; _ SERTIFIKAT BIMTEK IPASN BerAKHLASK")</f>
        <v>362 &lt;NAMA LENGKAP&gt;&gt; _ SERTIFIKAT BIMTEK IPASN BerAKHLASK</v>
      </c>
      <c r="P363" s="5" t="s">
        <v>3592</v>
      </c>
      <c r="Q363" s="5" t="s">
        <v>3630</v>
      </c>
      <c r="R363" s="7" t="s">
        <v>3631</v>
      </c>
      <c r="S363" s="7" t="str">
        <f>HYPERLINK("https://drive.google.com/file/d/1zhXhHrDYA7CRFWep0mAX-DOvRJEh6m41/view?usp=drivesdk","362_WIGIT DONO PRANOTO SERTIFIKAT BIMTEK IPASN-BerAKHLAK")</f>
        <v>362_WIGIT DONO PRANOTO SERTIFIKAT BIMTEK IPASN-BerAKHLAK</v>
      </c>
      <c r="T363" s="5" t="s">
        <v>3632</v>
      </c>
    </row>
    <row r="364">
      <c r="A364" s="4">
        <v>45534.31865197916</v>
      </c>
      <c r="B364" s="5" t="s">
        <v>34</v>
      </c>
      <c r="D364" s="5" t="s">
        <v>580</v>
      </c>
      <c r="E364" s="5" t="s">
        <v>3633</v>
      </c>
      <c r="F364" s="5" t="s">
        <v>212</v>
      </c>
      <c r="G364" s="5" t="s">
        <v>3634</v>
      </c>
      <c r="H364" s="6" t="s">
        <v>3635</v>
      </c>
      <c r="I364" s="7" t="s">
        <v>3636</v>
      </c>
      <c r="J364" s="8" t="str">
        <f>HYPERLINK("https://drive.google.com/file/d/1gFnvafx_umECPB5K8---OtCxzRQKLz0x/view?usp=drivesdk","NI NYOMAN SRI AYU SUSENI SERTIFIKAT BerAKHLAK")</f>
        <v>NI NYOMAN SRI AYU SUSENI SERTIFIKAT BerAKHLAK</v>
      </c>
      <c r="K364" s="5" t="s">
        <v>3257</v>
      </c>
      <c r="L364" s="5" t="s">
        <v>3637</v>
      </c>
      <c r="M364" s="5" t="s">
        <v>3638</v>
      </c>
      <c r="N364" s="7" t="s">
        <v>3639</v>
      </c>
      <c r="O364" s="8" t="str">
        <f>HYPERLINK("https://drive.google.com/file/d/1F8YcXT23Q8MwgomYPvTqP8hVEkZ9En4T/view?usp=drivesdk","363 &lt;NAMA LENGKAP&gt;&gt; _ SERTIFIKAT BIMTEK IPASN BerAKHLASK")</f>
        <v>363 &lt;NAMA LENGKAP&gt;&gt; _ SERTIFIKAT BIMTEK IPASN BerAKHLASK</v>
      </c>
      <c r="P364" s="5" t="s">
        <v>3592</v>
      </c>
      <c r="Q364" s="5" t="s">
        <v>3640</v>
      </c>
      <c r="R364" s="7" t="s">
        <v>3641</v>
      </c>
      <c r="S364" s="7" t="str">
        <f>HYPERLINK("https://drive.google.com/file/d/1ei-g6U6rObuRr_XzGj0tJ1qkr6A5zgZw/view?usp=drivesdk","363_NI NYOMAN SRI AYU SUSENI SERTIFIKAT BIMTEK IPASN-BerAKHLAK")</f>
        <v>363_NI NYOMAN SRI AYU SUSENI SERTIFIKAT BIMTEK IPASN-BerAKHLAK</v>
      </c>
      <c r="T364" s="5" t="s">
        <v>3632</v>
      </c>
    </row>
    <row r="365">
      <c r="A365" s="4">
        <v>45534.31865641204</v>
      </c>
      <c r="B365" s="5" t="s">
        <v>34</v>
      </c>
      <c r="D365" s="5" t="s">
        <v>1206</v>
      </c>
      <c r="E365" s="5" t="s">
        <v>3642</v>
      </c>
      <c r="F365" s="5" t="s">
        <v>85</v>
      </c>
      <c r="G365" s="5" t="s">
        <v>3643</v>
      </c>
      <c r="H365" s="6" t="s">
        <v>3644</v>
      </c>
      <c r="I365" s="7" t="s">
        <v>3645</v>
      </c>
      <c r="J365" s="8" t="str">
        <f>HYPERLINK("https://drive.google.com/file/d/1GZVmWhgMcHfYQE1_cbBG8IL-UPD6D_t-/view?usp=drivesdk","ARI YULIANTO, S.H. SERTIFIKAT BerAKHLAK")</f>
        <v>ARI YULIANTO, S.H. SERTIFIKAT BerAKHLAK</v>
      </c>
      <c r="K365" s="5" t="s">
        <v>3257</v>
      </c>
      <c r="L365" s="5" t="s">
        <v>3646</v>
      </c>
      <c r="M365" s="5" t="s">
        <v>3647</v>
      </c>
      <c r="N365" s="7" t="s">
        <v>3648</v>
      </c>
      <c r="O365" s="8" t="str">
        <f>HYPERLINK("https://drive.google.com/file/d/1d1-Cu84QEPqcb-KsG2GYiFtB5Yj0E0An/view?usp=drivesdk","364 &lt;NAMA LENGKAP&gt;&gt; _ SERTIFIKAT BIMTEK IPASN BerAKHLASK")</f>
        <v>364 &lt;NAMA LENGKAP&gt;&gt; _ SERTIFIKAT BIMTEK IPASN BerAKHLASK</v>
      </c>
      <c r="P365" s="5" t="s">
        <v>3649</v>
      </c>
      <c r="Q365" s="5" t="s">
        <v>3650</v>
      </c>
      <c r="R365" s="7" t="s">
        <v>3651</v>
      </c>
      <c r="S365" s="7" t="str">
        <f>HYPERLINK("https://drive.google.com/file/d/1fi1FnKSEGXudmsbV2PgaGs3wLV0mCVLJ/view?usp=drivesdk","364_ARI YULIANTO, S.H. SERTIFIKAT BIMTEK IPASN-BerAKHLAK")</f>
        <v>364_ARI YULIANTO, S.H. SERTIFIKAT BIMTEK IPASN-BerAKHLAK</v>
      </c>
      <c r="T365" s="5" t="s">
        <v>3632</v>
      </c>
    </row>
    <row r="366">
      <c r="A366" s="4">
        <v>45534.3186780324</v>
      </c>
      <c r="B366" s="5" t="s">
        <v>34</v>
      </c>
      <c r="D366" s="5" t="s">
        <v>267</v>
      </c>
      <c r="E366" s="5" t="s">
        <v>3652</v>
      </c>
      <c r="F366" s="5" t="s">
        <v>375</v>
      </c>
      <c r="G366" s="5" t="s">
        <v>3653</v>
      </c>
      <c r="H366" s="6" t="s">
        <v>3654</v>
      </c>
      <c r="I366" s="7" t="s">
        <v>3655</v>
      </c>
      <c r="J366" s="8" t="str">
        <f>HYPERLINK("https://drive.google.com/file/d/1Gn5omi77oVIVbV6t9rL81pueO_jMitcF/view?usp=drivesdk","WINARNI SETYANINGTYAS, S. Kom.  SERTIFIKAT BerAKHLAK")</f>
        <v>WINARNI SETYANINGTYAS, S. Kom.  SERTIFIKAT BerAKHLAK</v>
      </c>
      <c r="K366" s="5" t="s">
        <v>3257</v>
      </c>
      <c r="L366" s="5" t="s">
        <v>3656</v>
      </c>
      <c r="M366" s="5" t="s">
        <v>3657</v>
      </c>
      <c r="N366" s="7" t="s">
        <v>3658</v>
      </c>
      <c r="O366" s="8" t="str">
        <f>HYPERLINK("https://drive.google.com/file/d/1wTdJk-abR92gtuj1CABszJEuHrSozQV3/view?usp=drivesdk","365 &lt;NAMA LENGKAP&gt;&gt; _ SERTIFIKAT BIMTEK IPASN BerAKHLASK")</f>
        <v>365 &lt;NAMA LENGKAP&gt;&gt; _ SERTIFIKAT BIMTEK IPASN BerAKHLASK</v>
      </c>
      <c r="P366" s="5" t="s">
        <v>3649</v>
      </c>
      <c r="Q366" s="5" t="s">
        <v>3659</v>
      </c>
      <c r="R366" s="7" t="s">
        <v>3660</v>
      </c>
      <c r="S366" s="7" t="str">
        <f>HYPERLINK("https://drive.google.com/file/d/1y1tv4tWtQvdjInOVX5pTN4nXWFGH80A4/view?usp=drivesdk","365_WINARNI SETYANINGTYAS, S. Kom.  SERTIFIKAT BIMTEK IPASN-BerAKHLAK")</f>
        <v>365_WINARNI SETYANINGTYAS, S. Kom.  SERTIFIKAT BIMTEK IPASN-BerAKHLAK</v>
      </c>
      <c r="T366" s="5" t="s">
        <v>3632</v>
      </c>
    </row>
    <row r="367">
      <c r="A367" s="4">
        <v>45534.318689837964</v>
      </c>
      <c r="B367" s="5" t="s">
        <v>34</v>
      </c>
      <c r="D367" s="5" t="s">
        <v>580</v>
      </c>
      <c r="E367" s="5" t="s">
        <v>3661</v>
      </c>
      <c r="F367" s="5" t="s">
        <v>524</v>
      </c>
      <c r="G367" s="5" t="s">
        <v>3662</v>
      </c>
      <c r="H367" s="6" t="s">
        <v>3663</v>
      </c>
      <c r="I367" s="7" t="s">
        <v>3664</v>
      </c>
      <c r="J367" s="8" t="str">
        <f>HYPERLINK("https://drive.google.com/file/d/1l_eWPbeX_4Y9I1PBKsna48d6PNahnBLY/view?usp=drivesdk","NI NENGAH PURNIWATI SERTIFIKAT BerAKHLAK")</f>
        <v>NI NENGAH PURNIWATI SERTIFIKAT BerAKHLAK</v>
      </c>
      <c r="K367" s="5" t="s">
        <v>3257</v>
      </c>
      <c r="L367" s="5" t="s">
        <v>3665</v>
      </c>
      <c r="M367" s="5" t="s">
        <v>3666</v>
      </c>
      <c r="N367" s="7" t="s">
        <v>3667</v>
      </c>
      <c r="O367" s="8" t="str">
        <f>HYPERLINK("https://drive.google.com/file/d/1UXkVD8Lt6WE2FuazEpDeYzMaeHpub3kM/view?usp=drivesdk","366 &lt;NAMA LENGKAP&gt;&gt; _ SERTIFIKAT BIMTEK IPASN BerAKHLASK")</f>
        <v>366 &lt;NAMA LENGKAP&gt;&gt; _ SERTIFIKAT BIMTEK IPASN BerAKHLASK</v>
      </c>
      <c r="P367" s="5" t="s">
        <v>3649</v>
      </c>
      <c r="Q367" s="5" t="s">
        <v>3668</v>
      </c>
      <c r="R367" s="7" t="s">
        <v>3669</v>
      </c>
      <c r="S367" s="7" t="str">
        <f>HYPERLINK("https://drive.google.com/file/d/1Fq0y6sgcuG3XMTw23vBOmClO2L-V_0Ua/view?usp=drivesdk","366_NI NENGAH PURNIWATI SERTIFIKAT BIMTEK IPASN-BerAKHLAK")</f>
        <v>366_NI NENGAH PURNIWATI SERTIFIKAT BIMTEK IPASN-BerAKHLAK</v>
      </c>
      <c r="T367" s="5" t="s">
        <v>3632</v>
      </c>
    </row>
    <row r="368">
      <c r="A368" s="4">
        <v>45534.31870769676</v>
      </c>
      <c r="B368" s="5" t="s">
        <v>34</v>
      </c>
      <c r="D368" s="5" t="s">
        <v>580</v>
      </c>
      <c r="E368" s="5" t="s">
        <v>3670</v>
      </c>
      <c r="F368" s="5" t="s">
        <v>37</v>
      </c>
      <c r="G368" s="5" t="s">
        <v>3671</v>
      </c>
      <c r="H368" s="6" t="s">
        <v>3672</v>
      </c>
      <c r="I368" s="7" t="s">
        <v>3673</v>
      </c>
      <c r="J368" s="8" t="str">
        <f>HYPERLINK("https://drive.google.com/file/d/10zNEbR_NQ3MJYpgABlR4GY6VhTRFXNc-/view?usp=drivesdk","IDA AYU NYOMAN WAHYUDARI, A. Md. Keb SERTIFIKAT BerAKHLAK")</f>
        <v>IDA AYU NYOMAN WAHYUDARI, A. Md. Keb SERTIFIKAT BerAKHLAK</v>
      </c>
      <c r="K368" s="5" t="s">
        <v>3257</v>
      </c>
      <c r="L368" s="5" t="s">
        <v>3674</v>
      </c>
      <c r="M368" s="5" t="s">
        <v>3675</v>
      </c>
      <c r="N368" s="7" t="s">
        <v>3676</v>
      </c>
      <c r="O368" s="8" t="str">
        <f>HYPERLINK("https://drive.google.com/file/d/1f3z_uGNXmd8DY53scb4Ks2kgBEmJdnx9/view?usp=drivesdk","367 &lt;NAMA LENGKAP&gt;&gt; _ SERTIFIKAT BIMTEK IPASN BerAKHLASK")</f>
        <v>367 &lt;NAMA LENGKAP&gt;&gt; _ SERTIFIKAT BIMTEK IPASN BerAKHLASK</v>
      </c>
      <c r="P368" s="5" t="s">
        <v>3649</v>
      </c>
      <c r="Q368" s="5" t="s">
        <v>3677</v>
      </c>
      <c r="R368" s="7" t="s">
        <v>3678</v>
      </c>
      <c r="S368" s="7" t="str">
        <f>HYPERLINK("https://drive.google.com/file/d/1lv-SO6t2dSMKSatARJpt6UlBaOq5RtGU/view?usp=drivesdk","367_IDA AYU NYOMAN WAHYUDARI, A. Md. Keb SERTIFIKAT BIMTEK IPASN-BerAKHLAK")</f>
        <v>367_IDA AYU NYOMAN WAHYUDARI, A. Md. Keb SERTIFIKAT BIMTEK IPASN-BerAKHLAK</v>
      </c>
      <c r="T368" s="5" t="s">
        <v>3679</v>
      </c>
    </row>
    <row r="369">
      <c r="A369" s="4">
        <v>45534.31874038195</v>
      </c>
      <c r="B369" s="5" t="s">
        <v>34</v>
      </c>
      <c r="D369" s="5" t="s">
        <v>996</v>
      </c>
      <c r="E369" s="5" t="s">
        <v>3680</v>
      </c>
      <c r="F369" s="5" t="s">
        <v>37</v>
      </c>
      <c r="G369" s="5" t="s">
        <v>3681</v>
      </c>
      <c r="H369" s="6" t="s">
        <v>3682</v>
      </c>
      <c r="I369" s="7" t="s">
        <v>3683</v>
      </c>
      <c r="J369" s="8" t="str">
        <f>HYPERLINK("https://drive.google.com/file/d/1yxkorhqE77EuYKIaakO7sq5lYUHL15D6/view?usp=drivesdk","ANDY PURWANDI SERTIFIKAT BerAKHLAK")</f>
        <v>ANDY PURWANDI SERTIFIKAT BerAKHLAK</v>
      </c>
      <c r="K369" s="5" t="s">
        <v>3257</v>
      </c>
      <c r="L369" s="5" t="s">
        <v>3684</v>
      </c>
      <c r="M369" s="5" t="s">
        <v>3685</v>
      </c>
      <c r="N369" s="7" t="s">
        <v>3686</v>
      </c>
      <c r="O369" s="8" t="str">
        <f>HYPERLINK("https://drive.google.com/file/d/1717gS7ddFC5Ji2QKvgSbDj1HNxjaJF5y/view?usp=drivesdk","368 &lt;NAMA LENGKAP&gt;&gt; _ SERTIFIKAT BIMTEK IPASN BerAKHLASK")</f>
        <v>368 &lt;NAMA LENGKAP&gt;&gt; _ SERTIFIKAT BIMTEK IPASN BerAKHLASK</v>
      </c>
      <c r="P369" s="5" t="s">
        <v>3649</v>
      </c>
      <c r="Q369" s="5" t="s">
        <v>3687</v>
      </c>
      <c r="R369" s="7" t="s">
        <v>3688</v>
      </c>
      <c r="S369" s="7" t="str">
        <f>HYPERLINK("https://drive.google.com/file/d/1jH7tv4-YU99t91m7aA2iG4Begq3P4s7k/view?usp=drivesdk","368_ANDY PURWANDI SERTIFIKAT BIMTEK IPASN-BerAKHLAK")</f>
        <v>368_ANDY PURWANDI SERTIFIKAT BIMTEK IPASN-BerAKHLAK</v>
      </c>
      <c r="T369" s="5" t="s">
        <v>3679</v>
      </c>
    </row>
    <row r="370">
      <c r="A370" s="4">
        <v>45534.318767523146</v>
      </c>
      <c r="B370" s="5" t="s">
        <v>34</v>
      </c>
      <c r="D370" s="5" t="s">
        <v>522</v>
      </c>
      <c r="E370" s="5" t="s">
        <v>3689</v>
      </c>
      <c r="F370" s="5" t="s">
        <v>37</v>
      </c>
      <c r="G370" s="5" t="s">
        <v>3690</v>
      </c>
      <c r="H370" s="6" t="s">
        <v>3691</v>
      </c>
      <c r="I370" s="7" t="s">
        <v>3692</v>
      </c>
      <c r="J370" s="8" t="str">
        <f>HYPERLINK("https://drive.google.com/file/d/1H-2x6krFVPei_eder_wLDLv0KJvK821x/view?usp=drivesdk","M. HIRNAWAN SAPUTRA. A.Md.Kep SERTIFIKAT BerAKHLAK")</f>
        <v>M. HIRNAWAN SAPUTRA. A.Md.Kep SERTIFIKAT BerAKHLAK</v>
      </c>
      <c r="K370" s="5" t="s">
        <v>3257</v>
      </c>
      <c r="L370" s="5" t="s">
        <v>3693</v>
      </c>
      <c r="M370" s="5" t="s">
        <v>3694</v>
      </c>
      <c r="N370" s="7" t="s">
        <v>3695</v>
      </c>
      <c r="O370" s="8" t="str">
        <f>HYPERLINK("https://drive.google.com/file/d/1CtEMIhg6wS2WjKJqkgOqWkGx6pZ79AvA/view?usp=drivesdk","369 &lt;NAMA LENGKAP&gt;&gt; _ SERTIFIKAT BIMTEK IPASN BerAKHLASK")</f>
        <v>369 &lt;NAMA LENGKAP&gt;&gt; _ SERTIFIKAT BIMTEK IPASN BerAKHLASK</v>
      </c>
      <c r="P370" s="5" t="s">
        <v>3649</v>
      </c>
      <c r="Q370" s="5" t="s">
        <v>3696</v>
      </c>
      <c r="R370" s="7" t="s">
        <v>3697</v>
      </c>
      <c r="S370" s="7" t="str">
        <f>HYPERLINK("https://drive.google.com/file/d/1Cuzm_y05bmMKQNe7_GSIOD5cYeVNF2Ck/view?usp=drivesdk","369_M. HIRNAWAN SAPUTRA. A.Md.Kep SERTIFIKAT BIMTEK IPASN-BerAKHLAK")</f>
        <v>369_M. HIRNAWAN SAPUTRA. A.Md.Kep SERTIFIKAT BIMTEK IPASN-BerAKHLAK</v>
      </c>
      <c r="T370" s="5" t="s">
        <v>3679</v>
      </c>
    </row>
    <row r="371">
      <c r="A371" s="4">
        <v>45534.31881457176</v>
      </c>
      <c r="B371" s="5" t="s">
        <v>34</v>
      </c>
      <c r="D371" s="5" t="s">
        <v>1768</v>
      </c>
      <c r="E371" s="5" t="s">
        <v>3698</v>
      </c>
      <c r="F371" s="5" t="s">
        <v>72</v>
      </c>
      <c r="G371" s="5" t="s">
        <v>3699</v>
      </c>
      <c r="H371" s="6" t="s">
        <v>3700</v>
      </c>
      <c r="I371" s="7" t="s">
        <v>3701</v>
      </c>
      <c r="J371" s="8" t="str">
        <f>HYPERLINK("https://drive.google.com/file/d/1bt8c2QBkhIDCGaIgtwTrM3w4-0xTKS5s/view?usp=drivesdk","YANTI LYDIA NOBELINA SITUMORANG SRINGORINGO, A.Md SERTIFIKAT BerAKHLAK")</f>
        <v>YANTI LYDIA NOBELINA SITUMORANG SRINGORINGO, A.Md SERTIFIKAT BerAKHLAK</v>
      </c>
      <c r="K371" s="5" t="s">
        <v>3257</v>
      </c>
      <c r="L371" s="5" t="s">
        <v>3702</v>
      </c>
      <c r="M371" s="5" t="s">
        <v>3703</v>
      </c>
      <c r="N371" s="7" t="s">
        <v>3704</v>
      </c>
      <c r="O371" s="8" t="str">
        <f>HYPERLINK("https://drive.google.com/file/d/1_4s7e81vmW074rYvmoGzWqKUATbmilUS/view?usp=drivesdk","370 &lt;NAMA LENGKAP&gt;&gt; _ SERTIFIKAT BIMTEK IPASN BerAKHLASK")</f>
        <v>370 &lt;NAMA LENGKAP&gt;&gt; _ SERTIFIKAT BIMTEK IPASN BerAKHLASK</v>
      </c>
      <c r="P371" s="5" t="s">
        <v>3705</v>
      </c>
      <c r="Q371" s="5" t="s">
        <v>3706</v>
      </c>
      <c r="R371" s="7" t="s">
        <v>3707</v>
      </c>
      <c r="S371" s="7" t="str">
        <f>HYPERLINK("https://drive.google.com/file/d/1JtUSBsa_R9gHGyTt_N87U5gXnwylcay2/view?usp=drivesdk","370_YANTI LYDIA NOBELINA SITUMORANG SRINGORINGO, A.Md SERTIFIKAT BIMTEK IPASN-BerAKHLAK")</f>
        <v>370_YANTI LYDIA NOBELINA SITUMORANG SRINGORINGO, A.Md SERTIFIKAT BIMTEK IPASN-BerAKHLAK</v>
      </c>
      <c r="T371" s="5" t="s">
        <v>3679</v>
      </c>
    </row>
    <row r="372">
      <c r="A372" s="4">
        <v>45534.318821215275</v>
      </c>
      <c r="B372" s="5" t="s">
        <v>34</v>
      </c>
      <c r="D372" s="5" t="s">
        <v>1206</v>
      </c>
      <c r="E372" s="5" t="s">
        <v>3708</v>
      </c>
      <c r="F372" s="5" t="s">
        <v>212</v>
      </c>
      <c r="G372" s="5" t="s">
        <v>3709</v>
      </c>
      <c r="H372" s="6" t="s">
        <v>3710</v>
      </c>
      <c r="I372" s="7" t="s">
        <v>3711</v>
      </c>
      <c r="J372" s="8" t="str">
        <f>HYPERLINK("https://drive.google.com/file/d/1jJQFMOPaQd1-T65QncHGyT2O4cUwcEBI/view?usp=drivesdk","LUH PUTU SUARNI PUWI SERTIFIKAT BerAKHLAK")</f>
        <v>LUH PUTU SUARNI PUWI SERTIFIKAT BerAKHLAK</v>
      </c>
      <c r="K372" s="5" t="s">
        <v>3257</v>
      </c>
      <c r="L372" s="5" t="s">
        <v>3712</v>
      </c>
      <c r="M372" s="5" t="s">
        <v>3713</v>
      </c>
      <c r="N372" s="7" t="s">
        <v>3714</v>
      </c>
      <c r="O372" s="8" t="str">
        <f>HYPERLINK("https://drive.google.com/file/d/1JqvfsjaXgIU3qdSQRU6AqzQmyo6Y6Z1C/view?usp=drivesdk","371 &lt;NAMA LENGKAP&gt;&gt; _ SERTIFIKAT BIMTEK IPASN BerAKHLASK")</f>
        <v>371 &lt;NAMA LENGKAP&gt;&gt; _ SERTIFIKAT BIMTEK IPASN BerAKHLASK</v>
      </c>
      <c r="P372" s="5" t="s">
        <v>3705</v>
      </c>
      <c r="Q372" s="5" t="s">
        <v>3715</v>
      </c>
      <c r="R372" s="7" t="s">
        <v>3716</v>
      </c>
      <c r="S372" s="7" t="str">
        <f>HYPERLINK("https://drive.google.com/file/d/18LHYKFOJooHZ5OlKQZtbLDQMbu3Ujy2u/view?usp=drivesdk","371_LUH PUTU SUARNI PUWI SERTIFIKAT BIMTEK IPASN-BerAKHLAK")</f>
        <v>371_LUH PUTU SUARNI PUWI SERTIFIKAT BIMTEK IPASN-BerAKHLAK</v>
      </c>
      <c r="T372" s="5" t="s">
        <v>3679</v>
      </c>
    </row>
    <row r="373">
      <c r="A373" s="4">
        <v>45534.31882966435</v>
      </c>
      <c r="B373" s="5" t="s">
        <v>34</v>
      </c>
      <c r="D373" s="5" t="s">
        <v>267</v>
      </c>
      <c r="E373" s="5" t="s">
        <v>3717</v>
      </c>
      <c r="F373" s="5" t="s">
        <v>108</v>
      </c>
      <c r="G373" s="5" t="s">
        <v>3718</v>
      </c>
      <c r="H373" s="6" t="s">
        <v>3719</v>
      </c>
      <c r="I373" s="7" t="s">
        <v>3720</v>
      </c>
      <c r="J373" s="8" t="str">
        <f>HYPERLINK("https://drive.google.com/file/d/16gs9zOJVCYzl_xj4RxynZ23KgY7-AnS9/view?usp=drivesdk","PURNOMO TEDY SETYAWAN SERTIFIKAT BerAKHLAK")</f>
        <v>PURNOMO TEDY SETYAWAN SERTIFIKAT BerAKHLAK</v>
      </c>
      <c r="K373" s="5" t="s">
        <v>3257</v>
      </c>
      <c r="L373" s="5" t="s">
        <v>3721</v>
      </c>
      <c r="M373" s="5" t="s">
        <v>3722</v>
      </c>
      <c r="N373" s="7" t="s">
        <v>3723</v>
      </c>
      <c r="O373" s="8" t="str">
        <f>HYPERLINK("https://drive.google.com/file/d/18_CIM9-_AT2H5d3xsdFhcAqzmP7RDu9k/view?usp=drivesdk","372 &lt;NAMA LENGKAP&gt;&gt; _ SERTIFIKAT BIMTEK IPASN BerAKHLASK")</f>
        <v>372 &lt;NAMA LENGKAP&gt;&gt; _ SERTIFIKAT BIMTEK IPASN BerAKHLASK</v>
      </c>
      <c r="P373" s="5" t="s">
        <v>3705</v>
      </c>
      <c r="Q373" s="5" t="s">
        <v>3724</v>
      </c>
      <c r="R373" s="7" t="s">
        <v>3725</v>
      </c>
      <c r="S373" s="7" t="str">
        <f>HYPERLINK("https://drive.google.com/file/d/1ac0sXlXxZe23TqkN9H_qK5gkQG0Jdvth/view?usp=drivesdk","372_PURNOMO TEDY SETYAWAN SERTIFIKAT BIMTEK IPASN-BerAKHLAK")</f>
        <v>372_PURNOMO TEDY SETYAWAN SERTIFIKAT BIMTEK IPASN-BerAKHLAK</v>
      </c>
      <c r="T373" s="5" t="s">
        <v>3679</v>
      </c>
    </row>
    <row r="374">
      <c r="A374" s="4">
        <v>45534.31885951389</v>
      </c>
      <c r="B374" s="5" t="s">
        <v>34</v>
      </c>
      <c r="D374" s="5" t="s">
        <v>1206</v>
      </c>
      <c r="E374" s="5" t="s">
        <v>3726</v>
      </c>
      <c r="F374" s="5" t="s">
        <v>37</v>
      </c>
      <c r="G374" s="5" t="s">
        <v>3727</v>
      </c>
      <c r="H374" s="6" t="s">
        <v>3728</v>
      </c>
      <c r="I374" s="7" t="s">
        <v>3729</v>
      </c>
      <c r="J374" s="8" t="str">
        <f>HYPERLINK("https://drive.google.com/file/d/1flJW20odiEt-PkB6JmvlN6qAGshtdsLs/view?usp=drivesdk","MALIK SYAIFUDDIN SERTIFIKAT BerAKHLAK")</f>
        <v>MALIK SYAIFUDDIN SERTIFIKAT BerAKHLAK</v>
      </c>
      <c r="K374" s="5" t="s">
        <v>3257</v>
      </c>
      <c r="L374" s="5" t="s">
        <v>3730</v>
      </c>
      <c r="M374" s="5" t="s">
        <v>3731</v>
      </c>
      <c r="N374" s="7" t="s">
        <v>3732</v>
      </c>
      <c r="O374" s="8" t="str">
        <f>HYPERLINK("https://drive.google.com/file/d/1amT6AS24MlXJdeT_vUFGmXK0lbMpDmi3/view?usp=drivesdk","373 &lt;NAMA LENGKAP&gt;&gt; _ SERTIFIKAT BIMTEK IPASN BerAKHLASK")</f>
        <v>373 &lt;NAMA LENGKAP&gt;&gt; _ SERTIFIKAT BIMTEK IPASN BerAKHLASK</v>
      </c>
      <c r="P374" s="5" t="s">
        <v>3705</v>
      </c>
      <c r="Q374" s="5" t="s">
        <v>3733</v>
      </c>
      <c r="R374" s="7" t="s">
        <v>3734</v>
      </c>
      <c r="S374" s="7" t="str">
        <f>HYPERLINK("https://drive.google.com/file/d/1UVoF7qncKbTSbA07oked8s9ISPqO93Vh/view?usp=drivesdk","373_MALIK SYAIFUDDIN SERTIFIKAT BIMTEK IPASN-BerAKHLAK")</f>
        <v>373_MALIK SYAIFUDDIN SERTIFIKAT BIMTEK IPASN-BerAKHLAK</v>
      </c>
      <c r="T374" s="5" t="s">
        <v>3735</v>
      </c>
    </row>
    <row r="375">
      <c r="A375" s="4">
        <v>45534.31886085648</v>
      </c>
      <c r="B375" s="5" t="s">
        <v>34</v>
      </c>
      <c r="D375" s="5" t="s">
        <v>267</v>
      </c>
      <c r="E375" s="5" t="s">
        <v>3736</v>
      </c>
      <c r="F375" s="5" t="s">
        <v>37</v>
      </c>
      <c r="G375" s="5" t="s">
        <v>3737</v>
      </c>
      <c r="H375" s="6" t="s">
        <v>3738</v>
      </c>
      <c r="I375" s="7" t="s">
        <v>3739</v>
      </c>
      <c r="J375" s="8" t="str">
        <f>HYPERLINK("https://drive.google.com/file/d/1sXPPFmiX_MZmME0fcq3r9DNCUvMSRtkR/view?usp=drivesdk","HERU SURYANTO SERTIFIKAT BerAKHLAK")</f>
        <v>HERU SURYANTO SERTIFIKAT BerAKHLAK</v>
      </c>
      <c r="K375" s="5" t="s">
        <v>3257</v>
      </c>
      <c r="L375" s="5" t="s">
        <v>3740</v>
      </c>
      <c r="M375" s="5" t="s">
        <v>3741</v>
      </c>
      <c r="N375" s="7" t="s">
        <v>3742</v>
      </c>
      <c r="O375" s="8" t="str">
        <f>HYPERLINK("https://drive.google.com/file/d/1zp9gpMP0FnH3ooszFWVGmchfCtYaAQhY/view?usp=drivesdk","374 &lt;NAMA LENGKAP&gt;&gt; _ SERTIFIKAT BIMTEK IPASN BerAKHLASK")</f>
        <v>374 &lt;NAMA LENGKAP&gt;&gt; _ SERTIFIKAT BIMTEK IPASN BerAKHLASK</v>
      </c>
      <c r="P375" s="5" t="s">
        <v>3705</v>
      </c>
      <c r="Q375" s="5" t="s">
        <v>3743</v>
      </c>
      <c r="R375" s="7" t="s">
        <v>3744</v>
      </c>
      <c r="S375" s="7" t="str">
        <f>HYPERLINK("https://drive.google.com/file/d/1yCjPLxPmnI709WNxuDRY_wjt0h-pKnVv/view?usp=drivesdk","374_HERU SURYANTO SERTIFIKAT BIMTEK IPASN-BerAKHLAK")</f>
        <v>374_HERU SURYANTO SERTIFIKAT BIMTEK IPASN-BerAKHLAK</v>
      </c>
      <c r="T375" s="5" t="s">
        <v>3735</v>
      </c>
    </row>
    <row r="376">
      <c r="A376" s="4">
        <v>45534.31886526621</v>
      </c>
      <c r="B376" s="5" t="s">
        <v>34</v>
      </c>
      <c r="D376" s="5" t="s">
        <v>580</v>
      </c>
      <c r="E376" s="5" t="s">
        <v>3745</v>
      </c>
      <c r="F376" s="5" t="s">
        <v>524</v>
      </c>
      <c r="G376" s="5" t="s">
        <v>3746</v>
      </c>
      <c r="H376" s="6" t="s">
        <v>3747</v>
      </c>
      <c r="I376" s="7" t="s">
        <v>3748</v>
      </c>
      <c r="J376" s="8" t="str">
        <f>HYPERLINK("https://drive.google.com/file/d/1FGU19pBQ0GDZm335prhI-y5oC0J6h-O1/view?usp=drivesdk","Ns. NYOMAN SANTINI DEWI,S.Kep SERTIFIKAT BerAKHLAK")</f>
        <v>Ns. NYOMAN SANTINI DEWI,S.Kep SERTIFIKAT BerAKHLAK</v>
      </c>
      <c r="K376" s="5" t="s">
        <v>3257</v>
      </c>
      <c r="L376" s="5" t="s">
        <v>3749</v>
      </c>
      <c r="M376" s="5" t="s">
        <v>3750</v>
      </c>
      <c r="N376" s="7" t="s">
        <v>3751</v>
      </c>
      <c r="O376" s="8" t="str">
        <f>HYPERLINK("https://drive.google.com/file/d/1T_rdHbQL2U3R_LBJ4HxP_QOmQUcJNPXj/view?usp=drivesdk","375 &lt;NAMA LENGKAP&gt;&gt; _ SERTIFIKAT BIMTEK IPASN BerAKHLASK")</f>
        <v>375 &lt;NAMA LENGKAP&gt;&gt; _ SERTIFIKAT BIMTEK IPASN BerAKHLASK</v>
      </c>
      <c r="P376" s="5" t="s">
        <v>3705</v>
      </c>
      <c r="Q376" s="5" t="s">
        <v>3752</v>
      </c>
      <c r="R376" s="7" t="s">
        <v>3753</v>
      </c>
      <c r="S376" s="7" t="str">
        <f>HYPERLINK("https://drive.google.com/file/d/1AFlsY8pfkMPJvOSqLNQjOP1CQMlkOj3f/view?usp=drivesdk","375_Ns. NYOMAN SANTINI DEWI,S.Kep SERTIFIKAT BIMTEK IPASN-BerAKHLAK")</f>
        <v>375_Ns. NYOMAN SANTINI DEWI,S.Kep SERTIFIKAT BIMTEK IPASN-BerAKHLAK</v>
      </c>
      <c r="T376" s="5" t="s">
        <v>3735</v>
      </c>
    </row>
    <row r="377">
      <c r="A377" s="4">
        <v>45534.31888614583</v>
      </c>
      <c r="B377" s="5" t="s">
        <v>34</v>
      </c>
      <c r="D377" s="5" t="s">
        <v>35</v>
      </c>
      <c r="E377" s="5" t="s">
        <v>3754</v>
      </c>
      <c r="F377" s="5" t="s">
        <v>212</v>
      </c>
      <c r="G377" s="5" t="s">
        <v>3755</v>
      </c>
      <c r="H377" s="6" t="s">
        <v>3756</v>
      </c>
      <c r="I377" s="7" t="s">
        <v>3757</v>
      </c>
      <c r="J377" s="8" t="str">
        <f>HYPERLINK("https://drive.google.com/file/d/1AW3qju-K40HimJ59xXbw-ET2ADhgxYk4/view?usp=drivesdk","LILIS ELGAWATI SERTIFIKAT BerAKHLAK")</f>
        <v>LILIS ELGAWATI SERTIFIKAT BerAKHLAK</v>
      </c>
      <c r="K377" s="5" t="s">
        <v>3758</v>
      </c>
      <c r="L377" s="5" t="s">
        <v>3759</v>
      </c>
      <c r="M377" s="5" t="s">
        <v>3760</v>
      </c>
      <c r="N377" s="7" t="s">
        <v>3761</v>
      </c>
      <c r="O377" s="8" t="str">
        <f>HYPERLINK("https://drive.google.com/file/d/1OIda0Nujy79-CVjSlCIIWmuoqhfITip9/view?usp=drivesdk","376 &lt;NAMA LENGKAP&gt;&gt; _ SERTIFIKAT BIMTEK IPASN BerAKHLASK")</f>
        <v>376 &lt;NAMA LENGKAP&gt;&gt; _ SERTIFIKAT BIMTEK IPASN BerAKHLASK</v>
      </c>
      <c r="P377" s="5" t="s">
        <v>3762</v>
      </c>
      <c r="Q377" s="5" t="s">
        <v>3763</v>
      </c>
      <c r="R377" s="7" t="s">
        <v>3764</v>
      </c>
      <c r="S377" s="7" t="str">
        <f>HYPERLINK("https://drive.google.com/file/d/1A_Js9p_a6JDwt0XSx-gjNMMolJOu98zm/view?usp=drivesdk","376_LILIS ELGAWATI SERTIFIKAT BIMTEK IPASN-BerAKHLAK")</f>
        <v>376_LILIS ELGAWATI SERTIFIKAT BIMTEK IPASN-BerAKHLAK</v>
      </c>
      <c r="T377" s="5" t="s">
        <v>3735</v>
      </c>
    </row>
    <row r="378">
      <c r="A378" s="4">
        <v>45534.318896412035</v>
      </c>
      <c r="B378" s="5" t="s">
        <v>34</v>
      </c>
      <c r="D378" s="5" t="s">
        <v>996</v>
      </c>
      <c r="E378" s="5" t="s">
        <v>3765</v>
      </c>
      <c r="F378" s="5" t="s">
        <v>212</v>
      </c>
      <c r="G378" s="5" t="s">
        <v>3766</v>
      </c>
      <c r="H378" s="6" t="s">
        <v>3767</v>
      </c>
      <c r="I378" s="7" t="s">
        <v>3768</v>
      </c>
      <c r="J378" s="8" t="str">
        <f>HYPERLINK("https://drive.google.com/file/d/1IDkLG9tw8sQAS3gAm9C_d4vjYIMyrO4X/view?usp=drivesdk","SUHARTINI SUHARTINI SERTIFIKAT BerAKHLAK")</f>
        <v>SUHARTINI SUHARTINI SERTIFIKAT BerAKHLAK</v>
      </c>
      <c r="K378" s="5" t="s">
        <v>3257</v>
      </c>
      <c r="L378" s="5" t="s">
        <v>3769</v>
      </c>
      <c r="M378" s="5" t="s">
        <v>3770</v>
      </c>
      <c r="N378" s="7" t="s">
        <v>3771</v>
      </c>
      <c r="O378" s="8" t="str">
        <f>HYPERLINK("https://drive.google.com/file/d/1ZPkW8uODtgotKighR56z99DHcp9fvZz_/view?usp=drivesdk","377 &lt;NAMA LENGKAP&gt;&gt; _ SERTIFIKAT BIMTEK IPASN BerAKHLASK")</f>
        <v>377 &lt;NAMA LENGKAP&gt;&gt; _ SERTIFIKAT BIMTEK IPASN BerAKHLASK</v>
      </c>
      <c r="P378" s="5" t="s">
        <v>3762</v>
      </c>
      <c r="Q378" s="5" t="s">
        <v>3772</v>
      </c>
      <c r="R378" s="7" t="s">
        <v>3773</v>
      </c>
      <c r="S378" s="7" t="str">
        <f>HYPERLINK("https://drive.google.com/file/d/1tS8A_Etus3ldi-ZpXEkl9SXUhSDyqQ67/view?usp=drivesdk","377_SUHARTINI SUHARTINI SERTIFIKAT BIMTEK IPASN-BerAKHLAK")</f>
        <v>377_SUHARTINI SUHARTINI SERTIFIKAT BIMTEK IPASN-BerAKHLAK</v>
      </c>
      <c r="T378" s="5" t="s">
        <v>3735</v>
      </c>
    </row>
    <row r="379">
      <c r="A379" s="4">
        <v>45534.31893311343</v>
      </c>
      <c r="B379" s="5" t="s">
        <v>34</v>
      </c>
      <c r="D379" s="5" t="s">
        <v>1692</v>
      </c>
      <c r="E379" s="5" t="s">
        <v>3774</v>
      </c>
      <c r="F379" s="5" t="s">
        <v>212</v>
      </c>
      <c r="G379" s="5" t="s">
        <v>3775</v>
      </c>
      <c r="H379" s="6" t="s">
        <v>3776</v>
      </c>
      <c r="I379" s="7" t="s">
        <v>3777</v>
      </c>
      <c r="J379" s="8" t="str">
        <f>HYPERLINK("https://drive.google.com/file/d/1gqlrNnTKkORK0gmL8wt2PArEqqJP2uES/view?usp=drivesdk","SENGGO SAGALA , AHLI MADYA AKUPUNKTUR SERTIFIKAT BerAKHLAK")</f>
        <v>SENGGO SAGALA , AHLI MADYA AKUPUNKTUR SERTIFIKAT BerAKHLAK</v>
      </c>
      <c r="K379" s="5" t="s">
        <v>3257</v>
      </c>
      <c r="L379" s="5" t="s">
        <v>3778</v>
      </c>
      <c r="M379" s="5" t="s">
        <v>3779</v>
      </c>
      <c r="N379" s="7" t="s">
        <v>3780</v>
      </c>
      <c r="O379" s="8" t="str">
        <f>HYPERLINK("https://drive.google.com/file/d/1YsECUSpvPWOuqZ3FkQW4EC1HpGrhdHSc/view?usp=drivesdk","378 &lt;NAMA LENGKAP&gt;&gt; _ SERTIFIKAT BIMTEK IPASN BerAKHLASK")</f>
        <v>378 &lt;NAMA LENGKAP&gt;&gt; _ SERTIFIKAT BIMTEK IPASN BerAKHLASK</v>
      </c>
      <c r="P379" s="5" t="s">
        <v>3762</v>
      </c>
      <c r="Q379" s="5" t="s">
        <v>3781</v>
      </c>
      <c r="R379" s="7" t="s">
        <v>3782</v>
      </c>
      <c r="S379" s="7" t="str">
        <f>HYPERLINK("https://drive.google.com/file/d/1boDeisekV4LXyvYovvHVKYXJS4I-427B/view?usp=drivesdk","378_SENGGO SAGALA , AHLI MADYA AKUPUNKTUR SERTIFIKAT BIMTEK IPASN-BerAKHLAK")</f>
        <v>378_SENGGO SAGALA , AHLI MADYA AKUPUNKTUR SERTIFIKAT BIMTEK IPASN-BerAKHLAK</v>
      </c>
      <c r="T379" s="5" t="s">
        <v>3735</v>
      </c>
    </row>
    <row r="380">
      <c r="A380" s="4">
        <v>45534.31895789352</v>
      </c>
      <c r="B380" s="5" t="s">
        <v>34</v>
      </c>
      <c r="D380" s="5" t="s">
        <v>1206</v>
      </c>
      <c r="E380" s="5" t="s">
        <v>3783</v>
      </c>
      <c r="F380" s="5" t="s">
        <v>37</v>
      </c>
      <c r="G380" s="5" t="s">
        <v>3784</v>
      </c>
      <c r="H380" s="6" t="s">
        <v>3785</v>
      </c>
      <c r="I380" s="7" t="s">
        <v>3786</v>
      </c>
      <c r="J380" s="8" t="str">
        <f>HYPERLINK("https://drive.google.com/file/d/1KCYaTjjaazmjyh0fTgkOmDCnFg5TgFUU/view?usp=drivesdk","IKA SETYAWATI, S.Psi SERTIFIKAT BerAKHLAK")</f>
        <v>IKA SETYAWATI, S.Psi SERTIFIKAT BerAKHLAK</v>
      </c>
      <c r="K380" s="5" t="s">
        <v>3257</v>
      </c>
      <c r="L380" s="5" t="s">
        <v>3787</v>
      </c>
      <c r="M380" s="5" t="s">
        <v>3788</v>
      </c>
      <c r="N380" s="7" t="s">
        <v>3789</v>
      </c>
      <c r="O380" s="8" t="str">
        <f>HYPERLINK("https://drive.google.com/file/d/1SClKlDWOtzraU3wRaNQio7962RB1nF01/view?usp=drivesdk","379 &lt;NAMA LENGKAP&gt;&gt; _ SERTIFIKAT BIMTEK IPASN BerAKHLASK")</f>
        <v>379 &lt;NAMA LENGKAP&gt;&gt; _ SERTIFIKAT BIMTEK IPASN BerAKHLASK</v>
      </c>
      <c r="P380" s="5" t="s">
        <v>3762</v>
      </c>
      <c r="Q380" s="5" t="s">
        <v>3790</v>
      </c>
      <c r="R380" s="7" t="s">
        <v>3791</v>
      </c>
      <c r="S380" s="7" t="str">
        <f>HYPERLINK("https://drive.google.com/file/d/1uI7D5ejozus-1Un_qmDcGhOIvZonS8Fp/view?usp=drivesdk","379_IKA SETYAWATI, S.Psi SERTIFIKAT BIMTEK IPASN-BerAKHLAK")</f>
        <v>379_IKA SETYAWATI, S.Psi SERTIFIKAT BIMTEK IPASN-BerAKHLAK</v>
      </c>
      <c r="T380" s="5" t="s">
        <v>3735</v>
      </c>
    </row>
    <row r="381">
      <c r="A381" s="4">
        <v>45534.31897386574</v>
      </c>
      <c r="B381" s="5" t="s">
        <v>34</v>
      </c>
      <c r="D381" s="5" t="s">
        <v>580</v>
      </c>
      <c r="E381" s="5" t="s">
        <v>3792</v>
      </c>
      <c r="F381" s="5" t="s">
        <v>72</v>
      </c>
      <c r="G381" s="5" t="s">
        <v>3793</v>
      </c>
      <c r="H381" s="6" t="s">
        <v>3794</v>
      </c>
      <c r="I381" s="7" t="s">
        <v>3795</v>
      </c>
      <c r="J381" s="8" t="str">
        <f>HYPERLINK("https://drive.google.com/file/d/1HoV6dcyoltsck7rO6NpNILfo_EAtacF0/view?usp=drivesdk","WIRAWAN I KETUT SERTIFIKAT BerAKHLAK")</f>
        <v>WIRAWAN I KETUT SERTIFIKAT BerAKHLAK</v>
      </c>
      <c r="K381" s="5" t="s">
        <v>3257</v>
      </c>
      <c r="L381" s="5" t="s">
        <v>3796</v>
      </c>
      <c r="M381" s="5" t="s">
        <v>3797</v>
      </c>
      <c r="N381" s="7" t="s">
        <v>3798</v>
      </c>
      <c r="O381" s="8" t="str">
        <f>HYPERLINK("https://drive.google.com/file/d/1fS3mHTvrhRHMzUgPrJJvdudI5Ova-ztz/view?usp=drivesdk","380 &lt;NAMA LENGKAP&gt;&gt; _ SERTIFIKAT BIMTEK IPASN BerAKHLASK")</f>
        <v>380 &lt;NAMA LENGKAP&gt;&gt; _ SERTIFIKAT BIMTEK IPASN BerAKHLASK</v>
      </c>
      <c r="P381" s="5" t="s">
        <v>3762</v>
      </c>
      <c r="Q381" s="5" t="s">
        <v>3799</v>
      </c>
      <c r="R381" s="7" t="s">
        <v>3800</v>
      </c>
      <c r="S381" s="7" t="str">
        <f>HYPERLINK("https://drive.google.com/file/d/10QBckAxhvgCO5jhtOAs_g1KTnPDYi9TB/view?usp=drivesdk","380_WIRAWAN I KETUT SERTIFIKAT BIMTEK IPASN-BerAKHLAK")</f>
        <v>380_WIRAWAN I KETUT SERTIFIKAT BIMTEK IPASN-BerAKHLAK</v>
      </c>
      <c r="T381" s="5" t="s">
        <v>3801</v>
      </c>
    </row>
    <row r="382">
      <c r="A382" s="4">
        <v>45534.31898589121</v>
      </c>
      <c r="B382" s="5" t="s">
        <v>34</v>
      </c>
      <c r="D382" s="5" t="s">
        <v>580</v>
      </c>
      <c r="E382" s="5" t="s">
        <v>3802</v>
      </c>
      <c r="F382" s="5" t="s">
        <v>375</v>
      </c>
      <c r="G382" s="5" t="s">
        <v>3803</v>
      </c>
      <c r="H382" s="6" t="s">
        <v>3804</v>
      </c>
      <c r="I382" s="7" t="s">
        <v>3805</v>
      </c>
      <c r="J382" s="8" t="str">
        <f>HYPERLINK("https://drive.google.com/file/d/1ysfhiYr_TeX_yt5T8_nXfVn94euNddvf/view?usp=drivesdk","NI WAYAN SERIYATI,A.Md.Keb SERTIFIKAT BerAKHLAK")</f>
        <v>NI WAYAN SERIYATI,A.Md.Keb SERTIFIKAT BerAKHLAK</v>
      </c>
      <c r="K382" s="5" t="s">
        <v>3257</v>
      </c>
      <c r="L382" s="5" t="s">
        <v>3806</v>
      </c>
      <c r="M382" s="5" t="s">
        <v>3807</v>
      </c>
      <c r="N382" s="7" t="s">
        <v>3808</v>
      </c>
      <c r="O382" s="8" t="str">
        <f>HYPERLINK("https://drive.google.com/file/d/1vLl0BFfksoNR3r2AjyleodvNn8L88GOL/view?usp=drivesdk","381 &lt;NAMA LENGKAP&gt;&gt; _ SERTIFIKAT BIMTEK IPASN BerAKHLASK")</f>
        <v>381 &lt;NAMA LENGKAP&gt;&gt; _ SERTIFIKAT BIMTEK IPASN BerAKHLASK</v>
      </c>
      <c r="P382" s="5" t="s">
        <v>3809</v>
      </c>
      <c r="Q382" s="5" t="s">
        <v>3810</v>
      </c>
      <c r="R382" s="7" t="s">
        <v>3811</v>
      </c>
      <c r="S382" s="7" t="str">
        <f>HYPERLINK("https://drive.google.com/file/d/1n3KdVnw4-_WeCqr_HAf8jZf-F2n1TRPx/view?usp=drivesdk","381_NI WAYAN SERIYATI,A.Md.Keb SERTIFIKAT BIMTEK IPASN-BerAKHLAK")</f>
        <v>381_NI WAYAN SERIYATI,A.Md.Keb SERTIFIKAT BIMTEK IPASN-BerAKHLAK</v>
      </c>
      <c r="T382" s="5" t="s">
        <v>3801</v>
      </c>
    </row>
    <row r="383">
      <c r="A383" s="4">
        <v>45534.319023414355</v>
      </c>
      <c r="B383" s="5" t="s">
        <v>34</v>
      </c>
      <c r="D383" s="5" t="s">
        <v>35</v>
      </c>
      <c r="E383" s="5" t="s">
        <v>3812</v>
      </c>
      <c r="F383" s="5" t="s">
        <v>212</v>
      </c>
      <c r="G383" s="5" t="s">
        <v>3813</v>
      </c>
      <c r="H383" s="6" t="s">
        <v>3814</v>
      </c>
      <c r="I383" s="7" t="s">
        <v>3815</v>
      </c>
      <c r="J383" s="8" t="str">
        <f>HYPERLINK("https://drive.google.com/file/d/1Mq-uHe7wlx8zSL9kz7bhmAY30X2vlPo_/view?usp=drivesdk","MIRA RATNA YUNIAR SERTIFIKAT BerAKHLAK")</f>
        <v>MIRA RATNA YUNIAR SERTIFIKAT BerAKHLAK</v>
      </c>
      <c r="K383" s="5" t="s">
        <v>3257</v>
      </c>
      <c r="L383" s="5" t="s">
        <v>3816</v>
      </c>
      <c r="M383" s="5" t="s">
        <v>3817</v>
      </c>
      <c r="N383" s="7" t="s">
        <v>3818</v>
      </c>
      <c r="O383" s="8" t="str">
        <f>HYPERLINK("https://drive.google.com/file/d/1DF1nw5I1PBFWoACM1L-glR-lp8LtHfwY/view?usp=drivesdk","382 &lt;NAMA LENGKAP&gt;&gt; _ SERTIFIKAT BIMTEK IPASN BerAKHLASK")</f>
        <v>382 &lt;NAMA LENGKAP&gt;&gt; _ SERTIFIKAT BIMTEK IPASN BerAKHLASK</v>
      </c>
      <c r="P383" s="5" t="s">
        <v>3809</v>
      </c>
      <c r="Q383" s="5" t="s">
        <v>3819</v>
      </c>
      <c r="R383" s="7" t="s">
        <v>3820</v>
      </c>
      <c r="S383" s="7" t="str">
        <f>HYPERLINK("https://drive.google.com/file/d/1G4W_8EYs-3r9C9mRFzG-YvRYG7Mblg9I/view?usp=drivesdk","382_MIRA RATNA YUNIAR SERTIFIKAT BIMTEK IPASN-BerAKHLAK")</f>
        <v>382_MIRA RATNA YUNIAR SERTIFIKAT BIMTEK IPASN-BerAKHLAK</v>
      </c>
      <c r="T383" s="5" t="s">
        <v>3801</v>
      </c>
    </row>
    <row r="384">
      <c r="A384" s="4">
        <v>45534.31904578704</v>
      </c>
      <c r="B384" s="5" t="s">
        <v>34</v>
      </c>
      <c r="D384" s="5" t="s">
        <v>975</v>
      </c>
      <c r="E384" s="5" t="s">
        <v>3821</v>
      </c>
      <c r="F384" s="5" t="s">
        <v>524</v>
      </c>
      <c r="G384" s="5" t="s">
        <v>3822</v>
      </c>
      <c r="H384" s="6" t="s">
        <v>3823</v>
      </c>
      <c r="I384" s="7" t="s">
        <v>3824</v>
      </c>
      <c r="J384" s="8" t="str">
        <f>HYPERLINK("https://drive.google.com/file/d/1674nnarGRz8Lz4sVrN9eLnVWTsn4iS5f/view?usp=drivesdk","SEPTIANA SHANDY PERTIWI, S.ST. SERTIFIKAT BerAKHLAK")</f>
        <v>SEPTIANA SHANDY PERTIWI, S.ST. SERTIFIKAT BerAKHLAK</v>
      </c>
      <c r="K384" s="5" t="s">
        <v>3257</v>
      </c>
      <c r="L384" s="5" t="s">
        <v>3825</v>
      </c>
      <c r="M384" s="5" t="s">
        <v>3826</v>
      </c>
      <c r="N384" s="7" t="s">
        <v>3827</v>
      </c>
      <c r="O384" s="8" t="str">
        <f>HYPERLINK("https://drive.google.com/file/d/1NI5Ahgy4UjwAeLJXqx7GufIcZcuL-AVZ/view?usp=drivesdk","383_SEPTIANA SHANDY PERTIWI, S.ST. _ SERTIFIKAT BIMTEK IPASN BerAKHLASK")</f>
        <v>383_SEPTIANA SHANDY PERTIWI, S.ST. _ SERTIFIKAT BIMTEK IPASN BerAKHLASK</v>
      </c>
      <c r="P384" s="5" t="s">
        <v>2248</v>
      </c>
      <c r="Q384" s="5" t="s">
        <v>3828</v>
      </c>
      <c r="R384" s="7" t="s">
        <v>3829</v>
      </c>
      <c r="S384" s="7" t="str">
        <f>HYPERLINK("https://drive.google.com/file/d/1FKlfRvOqgUxkbz00w_da8OTfD8Cf-uBe/view?usp=drivesdk","383_SEPTIANA SHANDY PERTIWI, S.ST. SERTIFIKAT BIMTEK IPASN-BerAKHLAK")</f>
        <v>383_SEPTIANA SHANDY PERTIWI, S.ST. SERTIFIKAT BIMTEK IPASN-BerAKHLAK</v>
      </c>
      <c r="T384" s="5" t="s">
        <v>3801</v>
      </c>
    </row>
    <row r="385">
      <c r="A385" s="4">
        <v>45534.31906768518</v>
      </c>
      <c r="B385" s="5" t="s">
        <v>34</v>
      </c>
      <c r="D385" s="5" t="s">
        <v>1206</v>
      </c>
      <c r="E385" s="5" t="s">
        <v>3830</v>
      </c>
      <c r="F385" s="5" t="s">
        <v>212</v>
      </c>
      <c r="G385" s="5" t="s">
        <v>3831</v>
      </c>
      <c r="H385" s="6" t="s">
        <v>3832</v>
      </c>
      <c r="I385" s="7" t="s">
        <v>3833</v>
      </c>
      <c r="J385" s="8" t="str">
        <f>HYPERLINK("https://drive.google.com/file/d/126xZG_h-A93US5jqJWdxrgUULkkjbHfU/view?usp=drivesdk","ANING KHOIRIYAH SERTIFIKAT BerAKHLAK")</f>
        <v>ANING KHOIRIYAH SERTIFIKAT BerAKHLAK</v>
      </c>
      <c r="K385" s="5" t="s">
        <v>3257</v>
      </c>
      <c r="L385" s="5" t="s">
        <v>3834</v>
      </c>
      <c r="M385" s="5" t="s">
        <v>3835</v>
      </c>
      <c r="N385" s="7" t="s">
        <v>3836</v>
      </c>
      <c r="O385" s="8" t="str">
        <f>HYPERLINK("https://drive.google.com/file/d/11mmc6P-CNWYMnFyQVFmKmTrwkIJke-fT/view?usp=drivesdk","384_ANING KHOIRIYAH _ SERTIFIKAT BIMTEK IPASN BerAKHLASK")</f>
        <v>384_ANING KHOIRIYAH _ SERTIFIKAT BIMTEK IPASN BerAKHLASK</v>
      </c>
      <c r="P385" s="5" t="s">
        <v>2248</v>
      </c>
      <c r="Q385" s="5" t="s">
        <v>3837</v>
      </c>
      <c r="R385" s="7" t="s">
        <v>3838</v>
      </c>
      <c r="S385" s="7" t="str">
        <f>HYPERLINK("https://drive.google.com/file/d/16BKyC0gRC8gVvrdsGiM0_gAoxirZT5iP/view?usp=drivesdk","384_ANING KHOIRIYAH SERTIFIKAT BIMTEK IPASN-BerAKHLAK")</f>
        <v>384_ANING KHOIRIYAH SERTIFIKAT BIMTEK IPASN-BerAKHLAK</v>
      </c>
      <c r="T385" s="5" t="s">
        <v>3801</v>
      </c>
    </row>
    <row r="386" hidden="1">
      <c r="A386" s="4">
        <v>45534.31906844907</v>
      </c>
      <c r="B386" s="5" t="s">
        <v>19</v>
      </c>
      <c r="C386" s="5" t="s">
        <v>292</v>
      </c>
      <c r="E386" s="5" t="s">
        <v>3839</v>
      </c>
      <c r="F386" s="5" t="s">
        <v>375</v>
      </c>
      <c r="G386" s="5" t="s">
        <v>3840</v>
      </c>
      <c r="H386" s="6" t="s">
        <v>3841</v>
      </c>
      <c r="I386" s="7" t="s">
        <v>3842</v>
      </c>
      <c r="J386" s="8" t="str">
        <f>HYPERLINK("https://drive.google.com/file/d/1hTKSwnI_8Kh6AT0jUSm5AIEPYP5TaV1j/view?usp=drivesdk","NOOR IRFAN CHRISTANTO  SERTIFIKAT BerAKHLAK")</f>
        <v>NOOR IRFAN CHRISTANTO  SERTIFIKAT BerAKHLAK</v>
      </c>
      <c r="K386" s="5" t="s">
        <v>3257</v>
      </c>
      <c r="L386" s="5" t="s">
        <v>3843</v>
      </c>
      <c r="M386" s="5" t="s">
        <v>3844</v>
      </c>
      <c r="N386" s="7" t="s">
        <v>3845</v>
      </c>
      <c r="O386" s="8" t="str">
        <f>HYPERLINK("https://drive.google.com/file/d/12Y07bl8ZdegD2Xv15e2-p8W9GDpCtnQ4/view?usp=drivesdk","385_NOOR IRFAN CHRISTANTO  _ SERTIFIKAT BIMTEK IPASN BerAKHLASK")</f>
        <v>385_NOOR IRFAN CHRISTANTO  _ SERTIFIKAT BIMTEK IPASN BerAKHLASK</v>
      </c>
      <c r="P386" s="5" t="s">
        <v>2248</v>
      </c>
      <c r="Q386" s="5" t="s">
        <v>3846</v>
      </c>
      <c r="R386" s="7" t="s">
        <v>3847</v>
      </c>
      <c r="S386" s="7" t="str">
        <f>HYPERLINK("https://drive.google.com/file/d/1TPnbl8710mGQznaJN4fVQZyrbQwv-iK-/view?usp=drivesdk","385_NOOR IRFAN CHRISTANTO  SERTIFIKAT BIMTEK IPASN-BerAKHLAK")</f>
        <v>385_NOOR IRFAN CHRISTANTO  SERTIFIKAT BIMTEK IPASN-BerAKHLAK</v>
      </c>
      <c r="T386" s="5" t="s">
        <v>3848</v>
      </c>
    </row>
    <row r="387">
      <c r="A387" s="4">
        <v>45534.319073645835</v>
      </c>
      <c r="B387" s="5" t="s">
        <v>34</v>
      </c>
      <c r="D387" s="5" t="s">
        <v>3849</v>
      </c>
      <c r="E387" s="5" t="s">
        <v>3850</v>
      </c>
      <c r="F387" s="5" t="s">
        <v>120</v>
      </c>
      <c r="G387" s="5" t="s">
        <v>3851</v>
      </c>
      <c r="H387" s="6" t="s">
        <v>3852</v>
      </c>
      <c r="I387" s="7" t="s">
        <v>3853</v>
      </c>
      <c r="J387" s="8" t="str">
        <f>HYPERLINK("https://drive.google.com/file/d/19UutyXD4PTMRv5eqCdEwD-kbeTtZJj8E/view?usp=drivesdk","ANA PRATIWININGSIH  SERTIFIKAT BerAKHLAK")</f>
        <v>ANA PRATIWININGSIH  SERTIFIKAT BerAKHLAK</v>
      </c>
      <c r="K387" s="5" t="s">
        <v>3758</v>
      </c>
      <c r="L387" s="5" t="s">
        <v>3854</v>
      </c>
      <c r="M387" s="5" t="s">
        <v>3855</v>
      </c>
      <c r="N387" s="7" t="s">
        <v>3856</v>
      </c>
      <c r="O387" s="8" t="str">
        <f>HYPERLINK("https://drive.google.com/file/d/1JaK4HSLJ3oKTAHiYixrL-Cj_hTCgEu7M/view?usp=drivesdk","386_ANA PRATIWININGSIH  _ SERTIFIKAT BIMTEK IPASN BerAKHLASK")</f>
        <v>386_ANA PRATIWININGSIH  _ SERTIFIKAT BIMTEK IPASN BerAKHLASK</v>
      </c>
      <c r="P387" s="5" t="s">
        <v>2248</v>
      </c>
      <c r="Q387" s="5" t="s">
        <v>3857</v>
      </c>
      <c r="R387" s="7" t="s">
        <v>3858</v>
      </c>
      <c r="S387" s="7" t="str">
        <f>HYPERLINK("https://drive.google.com/file/d/1FnFlmjF9r8leSZa5SMc8HqtanpOjAnJD/view?usp=drivesdk","386_ANA PRATIWININGSIH  SERTIFIKAT BIMTEK IPASN-BerAKHLAK")</f>
        <v>386_ANA PRATIWININGSIH  SERTIFIKAT BIMTEK IPASN-BerAKHLAK</v>
      </c>
      <c r="T387" s="5" t="s">
        <v>3848</v>
      </c>
    </row>
    <row r="388">
      <c r="A388" s="4">
        <v>45534.31908230324</v>
      </c>
      <c r="B388" s="5" t="s">
        <v>34</v>
      </c>
      <c r="D388" s="5" t="s">
        <v>996</v>
      </c>
      <c r="E388" s="5" t="s">
        <v>3859</v>
      </c>
      <c r="F388" s="5" t="s">
        <v>212</v>
      </c>
      <c r="G388" s="5" t="s">
        <v>3860</v>
      </c>
      <c r="H388" s="6" t="s">
        <v>3861</v>
      </c>
      <c r="I388" s="7" t="s">
        <v>3862</v>
      </c>
      <c r="J388" s="8" t="str">
        <f>HYPERLINK("https://drive.google.com/file/d/1Hbxi8fVWji2OuVDsLnn3nRs6uy4GXyQO/view?usp=drivesdk","MUHAMMAD RIDUANSYAH SERTIFIKAT BerAKHLAK")</f>
        <v>MUHAMMAD RIDUANSYAH SERTIFIKAT BerAKHLAK</v>
      </c>
      <c r="K388" s="5" t="s">
        <v>3758</v>
      </c>
      <c r="L388" s="5" t="s">
        <v>3863</v>
      </c>
      <c r="M388" s="5" t="s">
        <v>3864</v>
      </c>
      <c r="N388" s="7" t="s">
        <v>3865</v>
      </c>
      <c r="O388" s="8" t="str">
        <f>HYPERLINK("https://drive.google.com/file/d/12Wmkif791Myhl2Tg1rnhLnu-lCp6MgtG/view?usp=drivesdk","387_MUHAMMAD RIDUANSYAH _ SERTIFIKAT BIMTEK IPASN BerAKHLASK")</f>
        <v>387_MUHAMMAD RIDUANSYAH _ SERTIFIKAT BIMTEK IPASN BerAKHLASK</v>
      </c>
      <c r="P388" s="5" t="s">
        <v>2295</v>
      </c>
      <c r="Q388" s="5" t="s">
        <v>3866</v>
      </c>
      <c r="R388" s="7" t="s">
        <v>3867</v>
      </c>
      <c r="S388" s="7" t="str">
        <f>HYPERLINK("https://drive.google.com/file/d/1N4_JAnMNNA3G6oNHCEtGklpFdBxvOenU/view?usp=drivesdk","387_MUHAMMAD RIDUANSYAH SERTIFIKAT BIMTEK IPASN-BerAKHLAK")</f>
        <v>387_MUHAMMAD RIDUANSYAH SERTIFIKAT BIMTEK IPASN-BerAKHLAK</v>
      </c>
      <c r="T388" s="5" t="s">
        <v>3848</v>
      </c>
    </row>
    <row r="389">
      <c r="A389" s="4">
        <v>45534.319099050925</v>
      </c>
      <c r="B389" s="5" t="s">
        <v>34</v>
      </c>
      <c r="D389" s="5" t="s">
        <v>1206</v>
      </c>
      <c r="E389" s="5" t="s">
        <v>3868</v>
      </c>
      <c r="F389" s="5" t="s">
        <v>212</v>
      </c>
      <c r="G389" s="5" t="s">
        <v>3869</v>
      </c>
      <c r="H389" s="6" t="s">
        <v>3870</v>
      </c>
      <c r="I389" s="7" t="s">
        <v>3871</v>
      </c>
      <c r="J389" s="8" t="str">
        <f>HYPERLINK("https://drive.google.com/file/d/1LWES7yT4J_xnVTmKUY4LdClEjpnTbzmd/view?usp=drivesdk","MUFROTUL FAIDAH SERTIFIKAT BerAKHLAK")</f>
        <v>MUFROTUL FAIDAH SERTIFIKAT BerAKHLAK</v>
      </c>
      <c r="K389" s="5" t="s">
        <v>3758</v>
      </c>
      <c r="L389" s="5" t="s">
        <v>3872</v>
      </c>
      <c r="M389" s="5" t="s">
        <v>3873</v>
      </c>
      <c r="N389" s="7" t="s">
        <v>3874</v>
      </c>
      <c r="O389" s="8" t="str">
        <f>HYPERLINK("https://drive.google.com/file/d/1LJZKiVr7xRmIf-Bhu-hsSIGt1UKE_afM/view?usp=drivesdk","388_MUFROTUL FAIDAH _ SERTIFIKAT BIMTEK IPASN BerAKHLASK")</f>
        <v>388_MUFROTUL FAIDAH _ SERTIFIKAT BIMTEK IPASN BerAKHLASK</v>
      </c>
      <c r="P389" s="5" t="s">
        <v>2295</v>
      </c>
      <c r="Q389" s="5" t="s">
        <v>3875</v>
      </c>
      <c r="R389" s="7" t="s">
        <v>3876</v>
      </c>
      <c r="S389" s="7" t="str">
        <f>HYPERLINK("https://drive.google.com/file/d/1lHPy2GI_feFQCwGM7iTx8OzDpivhhHga/view?usp=drivesdk","388_MUFROTUL FAIDAH SERTIFIKAT BIMTEK IPASN-BerAKHLAK")</f>
        <v>388_MUFROTUL FAIDAH SERTIFIKAT BIMTEK IPASN-BerAKHLAK</v>
      </c>
      <c r="T389" s="5" t="s">
        <v>3848</v>
      </c>
    </row>
    <row r="390" hidden="1">
      <c r="A390" s="4">
        <v>45534.31911664351</v>
      </c>
      <c r="B390" s="5" t="s">
        <v>19</v>
      </c>
      <c r="C390" s="5" t="s">
        <v>292</v>
      </c>
      <c r="E390" s="5" t="s">
        <v>3877</v>
      </c>
      <c r="F390" s="5" t="s">
        <v>212</v>
      </c>
      <c r="G390" s="5" t="s">
        <v>3878</v>
      </c>
      <c r="H390" s="6" t="s">
        <v>3879</v>
      </c>
      <c r="I390" s="7" t="s">
        <v>3880</v>
      </c>
      <c r="J390" s="8" t="str">
        <f>HYPERLINK("https://drive.google.com/file/d/1bJoR0xFKNPmYNuMoIbDbnASQ-EFlk4bG/view?usp=drivesdk","DARA FIRDANIANTY  SERTIFIKAT BerAKHLAK")</f>
        <v>DARA FIRDANIANTY  SERTIFIKAT BerAKHLAK</v>
      </c>
      <c r="K390" s="5" t="s">
        <v>3758</v>
      </c>
      <c r="L390" s="5" t="s">
        <v>3881</v>
      </c>
      <c r="M390" s="5" t="s">
        <v>3882</v>
      </c>
      <c r="N390" s="7" t="s">
        <v>3883</v>
      </c>
      <c r="O390" s="8" t="str">
        <f>HYPERLINK("https://drive.google.com/file/d/1hPUOdtQ9ACz09uVMlCdltn9zhWZPtDSY/view?usp=drivesdk","389_DARA FIRDANIANTY  _ SERTIFIKAT BIMTEK IPASN BerAKHLASK")</f>
        <v>389_DARA FIRDANIANTY  _ SERTIFIKAT BIMTEK IPASN BerAKHLASK</v>
      </c>
      <c r="P390" s="5" t="s">
        <v>2295</v>
      </c>
      <c r="Q390" s="5" t="s">
        <v>3884</v>
      </c>
      <c r="R390" s="7" t="s">
        <v>3885</v>
      </c>
      <c r="S390" s="7" t="str">
        <f>HYPERLINK("https://drive.google.com/file/d/18xmBaORL0lnuJDLT1F9NyAhcxuH_qKRx/view?usp=drivesdk","389_DARA FIRDANIANTY  SERTIFIKAT BIMTEK IPASN-BerAKHLAK")</f>
        <v>389_DARA FIRDANIANTY  SERTIFIKAT BIMTEK IPASN-BerAKHLAK</v>
      </c>
      <c r="T390" s="5" t="s">
        <v>3848</v>
      </c>
    </row>
    <row r="391">
      <c r="A391" s="4">
        <v>45534.31911778935</v>
      </c>
      <c r="B391" s="5" t="s">
        <v>34</v>
      </c>
      <c r="D391" s="5" t="s">
        <v>35</v>
      </c>
      <c r="E391" s="5" t="s">
        <v>3886</v>
      </c>
      <c r="F391" s="5" t="s">
        <v>120</v>
      </c>
      <c r="G391" s="5" t="s">
        <v>3887</v>
      </c>
      <c r="H391" s="6" t="s">
        <v>3888</v>
      </c>
      <c r="I391" s="7" t="s">
        <v>3889</v>
      </c>
      <c r="J391" s="8" t="str">
        <f>HYPERLINK("https://drive.google.com/file/d/1FELKYU1k5ZcVuCP2kGJDme8Ou85l84w4/view?usp=drivesdk","DR SRI PUSPA HANDAYANI, SpKN SERTIFIKAT BerAKHLAK")</f>
        <v>DR SRI PUSPA HANDAYANI, SpKN SERTIFIKAT BerAKHLAK</v>
      </c>
      <c r="K391" s="5" t="s">
        <v>3758</v>
      </c>
      <c r="L391" s="5" t="s">
        <v>3890</v>
      </c>
      <c r="M391" s="5" t="s">
        <v>3891</v>
      </c>
      <c r="N391" s="7" t="s">
        <v>3892</v>
      </c>
      <c r="O391" s="8" t="str">
        <f>HYPERLINK("https://drive.google.com/file/d/1qga5u5ZtCggdlua8epgqhJTddoxtNqI8/view?usp=drivesdk","390_DR SRI PUSPA HANDAYANI, SpKN _ SERTIFIKAT BIMTEK IPASN BerAKHLASK")</f>
        <v>390_DR SRI PUSPA HANDAYANI, SpKN _ SERTIFIKAT BIMTEK IPASN BerAKHLASK</v>
      </c>
      <c r="P391" s="5" t="s">
        <v>2295</v>
      </c>
      <c r="Q391" s="5" t="s">
        <v>3893</v>
      </c>
      <c r="R391" s="7" t="s">
        <v>3894</v>
      </c>
      <c r="S391" s="7" t="str">
        <f>HYPERLINK("https://drive.google.com/file/d/14A5AD-ez6Eiw--KjHY6G5bSA7GvFRlHX/view?usp=drivesdk","390_DR SRI PUSPA HANDAYANI, SpKN SERTIFIKAT BIMTEK IPASN-BerAKHLAK")</f>
        <v>390_DR SRI PUSPA HANDAYANI, SpKN SERTIFIKAT BIMTEK IPASN-BerAKHLAK</v>
      </c>
      <c r="T391" s="5" t="s">
        <v>3895</v>
      </c>
    </row>
    <row r="392" hidden="1">
      <c r="A392" s="4">
        <v>45534.31911927083</v>
      </c>
      <c r="B392" s="5" t="s">
        <v>19</v>
      </c>
      <c r="C392" s="5" t="s">
        <v>292</v>
      </c>
      <c r="E392" s="5" t="s">
        <v>3896</v>
      </c>
      <c r="F392" s="5" t="s">
        <v>108</v>
      </c>
      <c r="G392" s="5" t="s">
        <v>3897</v>
      </c>
      <c r="H392" s="6" t="s">
        <v>3898</v>
      </c>
      <c r="I392" s="7" t="s">
        <v>3899</v>
      </c>
      <c r="J392" s="8" t="str">
        <f>HYPERLINK("https://drive.google.com/file/d/1sJHb3-ZxNIjOUp7vOZLkNjLH5gvQwQ0w/view?usp=drivesdk","AGUSTINA SUSANTI SERTIFIKAT BerAKHLAK")</f>
        <v>AGUSTINA SUSANTI SERTIFIKAT BerAKHLAK</v>
      </c>
      <c r="K392" s="5" t="s">
        <v>3900</v>
      </c>
      <c r="L392" s="5" t="s">
        <v>3901</v>
      </c>
      <c r="M392" s="5" t="s">
        <v>3902</v>
      </c>
      <c r="N392" s="7" t="s">
        <v>3903</v>
      </c>
      <c r="O392" s="8" t="str">
        <f>HYPERLINK("https://drive.google.com/file/d/12dn1UJtqyttHqSOwtPt9RAk4wc9HvCXo/view?usp=drivesdk","391_AGUSTINA SUSANTI _ SERTIFIKAT BIMTEK IPASN BerAKHLASK")</f>
        <v>391_AGUSTINA SUSANTI _ SERTIFIKAT BIMTEK IPASN BerAKHLASK</v>
      </c>
      <c r="P392" s="5" t="s">
        <v>2295</v>
      </c>
      <c r="Q392" s="5" t="s">
        <v>3904</v>
      </c>
      <c r="R392" s="7" t="s">
        <v>3905</v>
      </c>
      <c r="S392" s="7" t="str">
        <f>HYPERLINK("https://drive.google.com/file/d/1UY3C2LK98slxO24ETS4zVnWdFWgy_Ar0/view?usp=drivesdk","391_AGUSTINA SUSANTI SERTIFIKAT BIMTEK IPASN-BerAKHLAK")</f>
        <v>391_AGUSTINA SUSANTI SERTIFIKAT BIMTEK IPASN-BerAKHLAK</v>
      </c>
      <c r="T392" s="5" t="s">
        <v>3895</v>
      </c>
    </row>
    <row r="393" hidden="1">
      <c r="A393" s="4">
        <v>45534.319140775464</v>
      </c>
      <c r="B393" s="5" t="s">
        <v>19</v>
      </c>
      <c r="C393" s="5" t="s">
        <v>292</v>
      </c>
      <c r="E393" s="5" t="s">
        <v>3906</v>
      </c>
      <c r="F393" s="5" t="s">
        <v>108</v>
      </c>
      <c r="G393" s="5" t="s">
        <v>3907</v>
      </c>
      <c r="H393" s="6" t="s">
        <v>3908</v>
      </c>
      <c r="I393" s="7" t="s">
        <v>3909</v>
      </c>
      <c r="J393" s="8" t="str">
        <f>HYPERLINK("https://drive.google.com/file/d/1a26Q0r6CkTJfjDKyiVdtngCi1ZPror3m/view?usp=drivesdk","HANI NUR ASYIAH SERTIFIKAT BerAKHLAK")</f>
        <v>HANI NUR ASYIAH SERTIFIKAT BerAKHLAK</v>
      </c>
      <c r="K393" s="5" t="s">
        <v>3257</v>
      </c>
      <c r="L393" s="5" t="s">
        <v>3910</v>
      </c>
      <c r="M393" s="5" t="s">
        <v>3911</v>
      </c>
      <c r="N393" s="7" t="s">
        <v>3912</v>
      </c>
      <c r="O393" s="8" t="str">
        <f>HYPERLINK("https://drive.google.com/file/d/1Fuc1lUIuFau0nqkNAzIyoiPuR4W2v_ZS/view?usp=drivesdk","392_HANI NUR ASYIAH _ SERTIFIKAT BIMTEK IPASN BerAKHLASK")</f>
        <v>392_HANI NUR ASYIAH _ SERTIFIKAT BIMTEK IPASN BerAKHLASK</v>
      </c>
      <c r="P393" s="5" t="s">
        <v>2295</v>
      </c>
      <c r="Q393" s="5" t="s">
        <v>3913</v>
      </c>
      <c r="R393" s="7" t="s">
        <v>3914</v>
      </c>
      <c r="S393" s="7" t="str">
        <f>HYPERLINK("https://drive.google.com/file/d/1kmgdCjZ28ndLsk8ud10xwCp--9DRLnMB/view?usp=drivesdk","392_HANI NUR ASYIAH SERTIFIKAT BIMTEK IPASN-BerAKHLAK")</f>
        <v>392_HANI NUR ASYIAH SERTIFIKAT BIMTEK IPASN-BerAKHLAK</v>
      </c>
      <c r="T393" s="5" t="s">
        <v>3895</v>
      </c>
    </row>
    <row r="394">
      <c r="A394" s="4">
        <v>45534.31916951389</v>
      </c>
      <c r="B394" s="5" t="s">
        <v>34</v>
      </c>
      <c r="D394" s="5" t="s">
        <v>604</v>
      </c>
      <c r="E394" s="5" t="s">
        <v>3915</v>
      </c>
      <c r="F394" s="5" t="s">
        <v>375</v>
      </c>
      <c r="G394" s="5" t="s">
        <v>3916</v>
      </c>
      <c r="H394" s="6" t="s">
        <v>3917</v>
      </c>
      <c r="I394" s="7" t="s">
        <v>3918</v>
      </c>
      <c r="J394" s="8" t="str">
        <f>HYPERLINK("https://drive.google.com/file/d/1ey-iM6W2wrRtfoyPxmZPZcouZFIy7Jx4/view?usp=drivesdk","SANDRA AYU SUKMAYANTI, S.E. SERTIFIKAT BerAKHLAK")</f>
        <v>SANDRA AYU SUKMAYANTI, S.E. SERTIFIKAT BerAKHLAK</v>
      </c>
      <c r="K394" s="5" t="s">
        <v>3257</v>
      </c>
      <c r="L394" s="5" t="s">
        <v>3919</v>
      </c>
      <c r="M394" s="5" t="s">
        <v>3920</v>
      </c>
      <c r="N394" s="7" t="s">
        <v>3921</v>
      </c>
      <c r="O394" s="8" t="str">
        <f>HYPERLINK("https://drive.google.com/file/d/1GqCyaK5N5tQLUXKblVwmbu2wgPhKvOHw/view?usp=drivesdk","393_SANDRA AYU SUKMAYANTI, S.E. _ SERTIFIKAT BIMTEK IPASN BerAKHLASK")</f>
        <v>393_SANDRA AYU SUKMAYANTI, S.E. _ SERTIFIKAT BIMTEK IPASN BerAKHLASK</v>
      </c>
      <c r="P394" s="5" t="s">
        <v>2342</v>
      </c>
      <c r="Q394" s="5" t="s">
        <v>3922</v>
      </c>
      <c r="R394" s="7" t="s">
        <v>3923</v>
      </c>
      <c r="S394" s="7" t="str">
        <f>HYPERLINK("https://drive.google.com/file/d/1OiC7hi329cGIxoMlwsAfRFlbgvmcfmBd/view?usp=drivesdk","393_SANDRA AYU SUKMAYANTI, S.E. SERTIFIKAT BIMTEK IPASN-BerAKHLAK")</f>
        <v>393_SANDRA AYU SUKMAYANTI, S.E. SERTIFIKAT BIMTEK IPASN-BerAKHLAK</v>
      </c>
      <c r="T394" s="5" t="s">
        <v>3895</v>
      </c>
    </row>
    <row r="395">
      <c r="A395" s="4">
        <v>45534.319182708336</v>
      </c>
      <c r="B395" s="5" t="s">
        <v>34</v>
      </c>
      <c r="D395" s="5" t="s">
        <v>522</v>
      </c>
      <c r="E395" s="5" t="s">
        <v>3924</v>
      </c>
      <c r="F395" s="5" t="s">
        <v>715</v>
      </c>
      <c r="G395" s="5" t="s">
        <v>3925</v>
      </c>
      <c r="H395" s="6" t="s">
        <v>3926</v>
      </c>
      <c r="I395" s="7" t="s">
        <v>3927</v>
      </c>
      <c r="J395" s="8" t="str">
        <f>HYPERLINK("https://drive.google.com/file/d/1lN4U3auv3caWlS9opzh2i7TSS9M30ONH/view?usp=drivesdk","NURUL HIDAYATI, S.I.P SERTIFIKAT BerAKHLAK")</f>
        <v>NURUL HIDAYATI, S.I.P SERTIFIKAT BerAKHLAK</v>
      </c>
      <c r="K395" s="5" t="s">
        <v>3758</v>
      </c>
      <c r="L395" s="5" t="s">
        <v>3928</v>
      </c>
      <c r="M395" s="5" t="s">
        <v>3929</v>
      </c>
      <c r="N395" s="7" t="s">
        <v>3930</v>
      </c>
      <c r="O395" s="8" t="str">
        <f>HYPERLINK("https://drive.google.com/file/d/1AVAgpGnRnsyvoDtJIc76ntodipNTyNrf/view?usp=drivesdk","394_NURUL HIDAYATI, S.I.P _ SERTIFIKAT BIMTEK IPASN BerAKHLASK")</f>
        <v>394_NURUL HIDAYATI, S.I.P _ SERTIFIKAT BIMTEK IPASN BerAKHLASK</v>
      </c>
      <c r="P395" s="5" t="s">
        <v>2342</v>
      </c>
      <c r="Q395" s="5" t="s">
        <v>3931</v>
      </c>
      <c r="R395" s="7" t="s">
        <v>3932</v>
      </c>
      <c r="S395" s="7" t="str">
        <f>HYPERLINK("https://drive.google.com/file/d/11xrZ4odH6_KN6Rq37djBeIMca40TKl7b/view?usp=drivesdk","394_NURUL HIDAYATI, S.I.P SERTIFIKAT BIMTEK IPASN-BerAKHLAK")</f>
        <v>394_NURUL HIDAYATI, S.I.P SERTIFIKAT BIMTEK IPASN-BerAKHLAK</v>
      </c>
      <c r="T395" s="5" t="s">
        <v>3933</v>
      </c>
    </row>
    <row r="396">
      <c r="A396" s="4">
        <v>45534.31918278935</v>
      </c>
      <c r="B396" s="5" t="s">
        <v>34</v>
      </c>
      <c r="D396" s="5" t="s">
        <v>522</v>
      </c>
      <c r="E396" s="5" t="s">
        <v>3934</v>
      </c>
      <c r="F396" s="5" t="s">
        <v>108</v>
      </c>
      <c r="G396" s="5" t="s">
        <v>3935</v>
      </c>
      <c r="H396" s="6" t="s">
        <v>3936</v>
      </c>
      <c r="I396" s="7" t="s">
        <v>3937</v>
      </c>
      <c r="J396" s="8" t="str">
        <f>HYPERLINK("https://drive.google.com/file/d/1YBea0bDGx50fosVgyuqGdjDyAlJq6ME0/view?usp=drivesdk","PENDATU dr. NI KOMANG DHANA GITAISWARI SERTIFIKAT BerAKHLAK")</f>
        <v>PENDATU dr. NI KOMANG DHANA GITAISWARI SERTIFIKAT BerAKHLAK</v>
      </c>
      <c r="K396" s="5" t="s">
        <v>3758</v>
      </c>
      <c r="L396" s="5" t="s">
        <v>3938</v>
      </c>
      <c r="M396" s="5" t="s">
        <v>3939</v>
      </c>
      <c r="N396" s="7" t="s">
        <v>3940</v>
      </c>
      <c r="O396" s="8" t="str">
        <f>HYPERLINK("https://drive.google.com/file/d/1_DpCIFsbpcGZSaZNJ96evODhpim21n4W/view?usp=drivesdk","395_PENDATU dr. NI KOMANG DHANA GITAISWARI _ SERTIFIKAT BIMTEK IPASN BerAKHLASK")</f>
        <v>395_PENDATU dr. NI KOMANG DHANA GITAISWARI _ SERTIFIKAT BIMTEK IPASN BerAKHLASK</v>
      </c>
      <c r="P396" s="5" t="s">
        <v>2342</v>
      </c>
      <c r="Q396" s="5" t="s">
        <v>3941</v>
      </c>
      <c r="R396" s="7" t="s">
        <v>3942</v>
      </c>
      <c r="S396" s="7" t="str">
        <f>HYPERLINK("https://drive.google.com/file/d/14Svb850t9SXRfogDOS4CCArSHnbitYfd/view?usp=drivesdk","395_PENDATU dr. NI KOMANG DHANA GITAISWARI SERTIFIKAT BIMTEK IPASN-BerAKHLAK")</f>
        <v>395_PENDATU dr. NI KOMANG DHANA GITAISWARI SERTIFIKAT BIMTEK IPASN-BerAKHLAK</v>
      </c>
      <c r="T396" s="5" t="s">
        <v>3933</v>
      </c>
    </row>
    <row r="397">
      <c r="A397" s="4">
        <v>45534.31923263889</v>
      </c>
      <c r="B397" s="5" t="s">
        <v>34</v>
      </c>
      <c r="D397" s="5" t="s">
        <v>3432</v>
      </c>
      <c r="E397" s="5" t="s">
        <v>3943</v>
      </c>
      <c r="F397" s="5" t="s">
        <v>524</v>
      </c>
      <c r="G397" s="5" t="s">
        <v>3944</v>
      </c>
      <c r="H397" s="6" t="s">
        <v>3945</v>
      </c>
      <c r="I397" s="7" t="s">
        <v>3946</v>
      </c>
      <c r="J397" s="8" t="str">
        <f>HYPERLINK("https://drive.google.com/file/d/1Bih0RaTYDzfQqDJ54ONZLBK1WhkH2eb3/view?usp=drivesdk","AFRIZAL KANIMORO, S.H. SERTIFIKAT BerAKHLAK")</f>
        <v>AFRIZAL KANIMORO, S.H. SERTIFIKAT BerAKHLAK</v>
      </c>
      <c r="K397" s="5" t="s">
        <v>3257</v>
      </c>
      <c r="L397" s="5" t="s">
        <v>3947</v>
      </c>
      <c r="M397" s="5" t="s">
        <v>3948</v>
      </c>
      <c r="N397" s="7" t="s">
        <v>3949</v>
      </c>
      <c r="O397" s="8" t="str">
        <f>HYPERLINK("https://drive.google.com/file/d/1NDs6N8_zzBM6DVeOXfZrebtETn3gkR03/view?usp=drivesdk","396_AFRIZAL KANIMORO, S.H. _ SERTIFIKAT BIMTEK IPASN BerAKHLASK")</f>
        <v>396_AFRIZAL KANIMORO, S.H. _ SERTIFIKAT BIMTEK IPASN BerAKHLASK</v>
      </c>
      <c r="P397" s="5" t="s">
        <v>2342</v>
      </c>
      <c r="Q397" s="5" t="s">
        <v>3950</v>
      </c>
      <c r="R397" s="7" t="s">
        <v>3951</v>
      </c>
      <c r="S397" s="7" t="str">
        <f>HYPERLINK("https://drive.google.com/file/d/1lfgspVI_KXdbIPZInD6AeZqJNutZtD5c/view?usp=drivesdk","396_AFRIZAL KANIMORO, S.H. SERTIFIKAT BIMTEK IPASN-BerAKHLAK")</f>
        <v>396_AFRIZAL KANIMORO, S.H. SERTIFIKAT BIMTEK IPASN-BerAKHLAK</v>
      </c>
      <c r="T397" s="5" t="s">
        <v>3933</v>
      </c>
    </row>
    <row r="398">
      <c r="A398" s="4">
        <v>45534.319261145836</v>
      </c>
      <c r="B398" s="5" t="s">
        <v>34</v>
      </c>
      <c r="D398" s="5" t="s">
        <v>280</v>
      </c>
      <c r="E398" s="5" t="s">
        <v>3952</v>
      </c>
      <c r="F398" s="5" t="s">
        <v>37</v>
      </c>
      <c r="G398" s="5" t="s">
        <v>3953</v>
      </c>
      <c r="H398" s="6" t="s">
        <v>3954</v>
      </c>
      <c r="I398" s="7" t="s">
        <v>3955</v>
      </c>
      <c r="J398" s="8" t="str">
        <f>HYPERLINK("https://drive.google.com/file/d/1J9IB1jgB_vN4JuMDegnNz4s3M5fwKKo8/view?usp=drivesdk","JAHESKIEL SIRAIT, A.Md. SERTIFIKAT BerAKHLAK")</f>
        <v>JAHESKIEL SIRAIT, A.Md. SERTIFIKAT BerAKHLAK</v>
      </c>
      <c r="K398" s="5" t="s">
        <v>3758</v>
      </c>
      <c r="L398" s="5" t="s">
        <v>3956</v>
      </c>
      <c r="M398" s="5" t="s">
        <v>3957</v>
      </c>
      <c r="N398" s="7" t="s">
        <v>3958</v>
      </c>
      <c r="O398" s="8" t="str">
        <f>HYPERLINK("https://drive.google.com/file/d/1KEjeV9oe714JE0KKyMPA3O5xdhcFyZSn/view?usp=drivesdk","397_JAHESKIEL SIRAIT, A.Md. _ SERTIFIKAT BIMTEK IPASN BerAKHLASK")</f>
        <v>397_JAHESKIEL SIRAIT, A.Md. _ SERTIFIKAT BIMTEK IPASN BerAKHLASK</v>
      </c>
      <c r="P398" s="5" t="s">
        <v>2342</v>
      </c>
      <c r="Q398" s="5" t="s">
        <v>3959</v>
      </c>
      <c r="R398" s="7" t="s">
        <v>3960</v>
      </c>
      <c r="S398" s="7" t="str">
        <f>HYPERLINK("https://drive.google.com/file/d/1vPwwI6e5YS7vomRoL_5_B5MpejWaNgSV/view?usp=drivesdk","397_JAHESKIEL SIRAIT, A.Md. SERTIFIKAT BIMTEK IPASN-BerAKHLAK")</f>
        <v>397_JAHESKIEL SIRAIT, A.Md. SERTIFIKAT BIMTEK IPASN-BerAKHLAK</v>
      </c>
      <c r="T398" s="5" t="s">
        <v>3933</v>
      </c>
    </row>
    <row r="399">
      <c r="A399" s="4">
        <v>45534.319345324075</v>
      </c>
      <c r="B399" s="5" t="s">
        <v>34</v>
      </c>
      <c r="D399" s="5" t="s">
        <v>35</v>
      </c>
      <c r="E399" s="5" t="s">
        <v>3961</v>
      </c>
      <c r="F399" s="5" t="s">
        <v>375</v>
      </c>
      <c r="G399" s="5" t="s">
        <v>3962</v>
      </c>
      <c r="H399" s="6" t="s">
        <v>3963</v>
      </c>
      <c r="I399" s="7" t="s">
        <v>3964</v>
      </c>
      <c r="J399" s="8" t="str">
        <f>HYPERLINK("https://drive.google.com/file/d/1RC_fC5y4rsUQrKr2U3gu91nG-tgVDIIg/view?usp=drivesdk","MILA SARI TAMBURAKA  SERTIFIKAT BerAKHLAK")</f>
        <v>MILA SARI TAMBURAKA  SERTIFIKAT BerAKHLAK</v>
      </c>
      <c r="K399" s="5" t="s">
        <v>3758</v>
      </c>
      <c r="L399" s="5" t="s">
        <v>3965</v>
      </c>
      <c r="M399" s="5" t="s">
        <v>3966</v>
      </c>
      <c r="N399" s="7" t="s">
        <v>3967</v>
      </c>
      <c r="O399" s="8" t="str">
        <f>HYPERLINK("https://drive.google.com/file/d/1TCmocybf1CK2Cu-L8fAntX0dS47XWv8_/view?usp=drivesdk","398_MILA SARI TAMBURAKA  _ SERTIFIKAT BIMTEK IPASN BerAKHLASK")</f>
        <v>398_MILA SARI TAMBURAKA  _ SERTIFIKAT BIMTEK IPASN BerAKHLASK</v>
      </c>
      <c r="P399" s="5" t="s">
        <v>2342</v>
      </c>
      <c r="Q399" s="5" t="s">
        <v>3968</v>
      </c>
      <c r="R399" s="7" t="s">
        <v>3969</v>
      </c>
      <c r="S399" s="7" t="str">
        <f>HYPERLINK("https://drive.google.com/file/d/1fm_r-AQE3jmVrXQs5tE8Ji0bmXCAOp9L/view?usp=drivesdk","398_MILA SARI TAMBURAKA  SERTIFIKAT BIMTEK IPASN-BerAKHLAK")</f>
        <v>398_MILA SARI TAMBURAKA  SERTIFIKAT BIMTEK IPASN-BerAKHLAK</v>
      </c>
      <c r="T399" s="5" t="s">
        <v>3933</v>
      </c>
    </row>
    <row r="400">
      <c r="A400" s="4">
        <v>45534.31936302083</v>
      </c>
      <c r="B400" s="5" t="s">
        <v>34</v>
      </c>
      <c r="D400" s="5" t="s">
        <v>362</v>
      </c>
      <c r="E400" s="5" t="s">
        <v>3970</v>
      </c>
      <c r="F400" s="5" t="s">
        <v>37</v>
      </c>
      <c r="G400" s="5" t="s">
        <v>3971</v>
      </c>
      <c r="H400" s="6" t="s">
        <v>3972</v>
      </c>
      <c r="I400" s="7" t="s">
        <v>3973</v>
      </c>
      <c r="J400" s="8" t="str">
        <f>HYPERLINK("https://drive.google.com/file/d/1ypV4VOgKpQ5mp5--9uxbrv0HGTjRtuCm/view?usp=drivesdk","ANDI REZKY AFNILLAH SAPUTRI, A.Md.Keb SERTIFIKAT BerAKHLAK")</f>
        <v>ANDI REZKY AFNILLAH SAPUTRI, A.Md.Keb SERTIFIKAT BerAKHLAK</v>
      </c>
      <c r="K400" s="5" t="s">
        <v>3758</v>
      </c>
      <c r="L400" s="5" t="s">
        <v>3974</v>
      </c>
      <c r="M400" s="5" t="s">
        <v>3975</v>
      </c>
      <c r="N400" s="7" t="s">
        <v>3976</v>
      </c>
      <c r="O400" s="8" t="str">
        <f>HYPERLINK("https://drive.google.com/file/d/1qETPMsLRzMcDZgdKsiW9cTUcSUD4J485/view?usp=drivesdk","399_ANDI REZKY AFNILLAH SAPUTRI, A.Md.Keb _ SERTIFIKAT BIMTEK IPASN BerAKHLASK")</f>
        <v>399_ANDI REZKY AFNILLAH SAPUTRI, A.Md.Keb _ SERTIFIKAT BIMTEK IPASN BerAKHLASK</v>
      </c>
      <c r="P400" s="5" t="s">
        <v>3977</v>
      </c>
      <c r="Q400" s="5" t="s">
        <v>3978</v>
      </c>
      <c r="R400" s="7" t="s">
        <v>3979</v>
      </c>
      <c r="S400" s="7" t="str">
        <f>HYPERLINK("https://drive.google.com/file/d/1gGwLaw-aNjcvfzN_FnG2kdCI-osEfcom/view?usp=drivesdk","399_ANDI REZKY AFNILLAH SAPUTRI, A.Md.Keb SERTIFIKAT BIMTEK IPASN-BerAKHLAK")</f>
        <v>399_ANDI REZKY AFNILLAH SAPUTRI, A.Md.Keb SERTIFIKAT BIMTEK IPASN-BerAKHLAK</v>
      </c>
      <c r="T400" s="5" t="s">
        <v>3933</v>
      </c>
    </row>
    <row r="401">
      <c r="A401" s="4">
        <v>45534.319411539356</v>
      </c>
      <c r="B401" s="5" t="s">
        <v>34</v>
      </c>
      <c r="D401" s="5" t="s">
        <v>35</v>
      </c>
      <c r="E401" s="5" t="s">
        <v>3980</v>
      </c>
      <c r="F401" s="5" t="s">
        <v>108</v>
      </c>
      <c r="G401" s="5" t="s">
        <v>3981</v>
      </c>
      <c r="H401" s="6" t="s">
        <v>3982</v>
      </c>
      <c r="I401" s="7" t="s">
        <v>3983</v>
      </c>
      <c r="J401" s="8" t="str">
        <f>HYPERLINK("https://drive.google.com/file/d/1nqlUf5U2GVJzI-bNx57GBK_rIW9LLNNT/view?usp=drivesdk","NOVY NURMAWATI, S.Pd. SERTIFIKAT BerAKHLAK")</f>
        <v>NOVY NURMAWATI, S.Pd. SERTIFIKAT BerAKHLAK</v>
      </c>
      <c r="K401" s="5" t="s">
        <v>3758</v>
      </c>
      <c r="L401" s="5" t="s">
        <v>3984</v>
      </c>
      <c r="M401" s="5" t="s">
        <v>3985</v>
      </c>
      <c r="N401" s="7" t="s">
        <v>3986</v>
      </c>
      <c r="O401" s="8" t="str">
        <f>HYPERLINK("https://drive.google.com/file/d/16d2J5NF3mmZDKM4Frd83k0tmKJIknimc/view?usp=drivesdk","400_NOVY NURMAWATI, S.Pd. _ SERTIFIKAT BIMTEK IPASN BerAKHLASK")</f>
        <v>400_NOVY NURMAWATI, S.Pd. _ SERTIFIKAT BIMTEK IPASN BerAKHLASK</v>
      </c>
      <c r="P401" s="5" t="s">
        <v>3977</v>
      </c>
      <c r="Q401" s="5" t="s">
        <v>3987</v>
      </c>
      <c r="R401" s="7" t="s">
        <v>3988</v>
      </c>
      <c r="S401" s="7" t="str">
        <f>HYPERLINK("https://drive.google.com/file/d/1IcsGz-ozcWa7hyHOWHk6VkvjMIIbI3pN/view?usp=drivesdk","400_NOVY NURMAWATI, S.Pd. SERTIFIKAT BIMTEK IPASN-BerAKHLAK")</f>
        <v>400_NOVY NURMAWATI, S.Pd. SERTIFIKAT BIMTEK IPASN-BerAKHLAK</v>
      </c>
      <c r="T401" s="5" t="s">
        <v>3989</v>
      </c>
    </row>
    <row r="402">
      <c r="A402" s="4">
        <v>45534.319416388884</v>
      </c>
      <c r="B402" s="5" t="s">
        <v>34</v>
      </c>
      <c r="D402" s="5" t="s">
        <v>1206</v>
      </c>
      <c r="E402" s="5" t="s">
        <v>3990</v>
      </c>
      <c r="F402" s="5" t="s">
        <v>37</v>
      </c>
      <c r="G402" s="5" t="s">
        <v>3991</v>
      </c>
      <c r="H402" s="6" t="s">
        <v>3992</v>
      </c>
      <c r="I402" s="7" t="s">
        <v>3993</v>
      </c>
      <c r="J402" s="8" t="str">
        <f>HYPERLINK("https://drive.google.com/file/d/1vFtJcmvVvuxnglGNuhvK6H0iMcsMihxd/view?usp=drivesdk","MUHAMMAD TAHIR SERTIFIKAT BerAKHLAK")</f>
        <v>MUHAMMAD TAHIR SERTIFIKAT BerAKHLAK</v>
      </c>
      <c r="K402" s="5" t="s">
        <v>3758</v>
      </c>
      <c r="L402" s="5" t="s">
        <v>3994</v>
      </c>
      <c r="M402" s="5" t="s">
        <v>3995</v>
      </c>
      <c r="N402" s="7" t="s">
        <v>3996</v>
      </c>
      <c r="O402" s="8" t="str">
        <f>HYPERLINK("https://drive.google.com/file/d/1yINF0-QFORPo3XCEZrsomQ3hYFSXfhzc/view?usp=drivesdk","401_MUHAMMAD TAHIR _ SERTIFIKAT BIMTEK IPASN BerAKHLASK")</f>
        <v>401_MUHAMMAD TAHIR _ SERTIFIKAT BIMTEK IPASN BerAKHLASK</v>
      </c>
      <c r="P402" s="5" t="s">
        <v>3977</v>
      </c>
      <c r="Q402" s="5" t="s">
        <v>3997</v>
      </c>
      <c r="R402" s="7" t="s">
        <v>3998</v>
      </c>
      <c r="S402" s="7" t="str">
        <f>HYPERLINK("https://drive.google.com/file/d/1xnheJ99nOA0XBMRWuEi0tK_U1p9grpB0/view?usp=drivesdk","401_MUHAMMAD TAHIR SERTIFIKAT BIMTEK IPASN-BerAKHLAK")</f>
        <v>401_MUHAMMAD TAHIR SERTIFIKAT BIMTEK IPASN-BerAKHLAK</v>
      </c>
      <c r="T402" s="5" t="s">
        <v>3989</v>
      </c>
    </row>
    <row r="403">
      <c r="A403" s="4">
        <v>45534.31942005787</v>
      </c>
      <c r="B403" s="5" t="s">
        <v>34</v>
      </c>
      <c r="D403" s="5" t="s">
        <v>1692</v>
      </c>
      <c r="E403" s="5" t="s">
        <v>3999</v>
      </c>
      <c r="F403" s="5" t="s">
        <v>37</v>
      </c>
      <c r="G403" s="5" t="s">
        <v>4000</v>
      </c>
      <c r="H403" s="6" t="s">
        <v>4001</v>
      </c>
      <c r="I403" s="7" t="s">
        <v>4002</v>
      </c>
      <c r="J403" s="8" t="str">
        <f>HYPERLINK("https://drive.google.com/file/d/1kQcEgqtAGZ-yZ2zywU-KgSVJgHJjzZST/view?usp=drivesdk","CLIEFF ARTHUR PATTIKAWA SERTIFIKAT BerAKHLAK")</f>
        <v>CLIEFF ARTHUR PATTIKAWA SERTIFIKAT BerAKHLAK</v>
      </c>
      <c r="K403" s="5" t="s">
        <v>3758</v>
      </c>
      <c r="L403" s="5" t="s">
        <v>4003</v>
      </c>
      <c r="M403" s="5" t="s">
        <v>4004</v>
      </c>
      <c r="N403" s="7" t="s">
        <v>4005</v>
      </c>
      <c r="O403" s="8" t="str">
        <f>HYPERLINK("https://drive.google.com/file/d/1kbo9uFEyC3fK10pAfzqPDEyZ03vlrwey/view?usp=drivesdk","402_CLIEFF ARTHUR PATTIKAWA _ SERTIFIKAT BIMTEK IPASN BerAKHLASK")</f>
        <v>402_CLIEFF ARTHUR PATTIKAWA _ SERTIFIKAT BIMTEK IPASN BerAKHLASK</v>
      </c>
      <c r="P403" s="5" t="s">
        <v>3977</v>
      </c>
      <c r="Q403" s="5" t="s">
        <v>4006</v>
      </c>
      <c r="R403" s="7" t="s">
        <v>4007</v>
      </c>
      <c r="S403" s="7" t="str">
        <f>HYPERLINK("https://drive.google.com/file/d/1gXpXFAWKJCLy1OdoV-yhSx5XZZwlDu2q/view?usp=drivesdk","402_CLIEFF ARTHUR PATTIKAWA SERTIFIKAT BIMTEK IPASN-BerAKHLAK")</f>
        <v>402_CLIEFF ARTHUR PATTIKAWA SERTIFIKAT BIMTEK IPASN-BerAKHLAK</v>
      </c>
      <c r="T403" s="5" t="s">
        <v>3989</v>
      </c>
    </row>
    <row r="404">
      <c r="A404" s="4">
        <v>45534.3194553125</v>
      </c>
      <c r="B404" s="5" t="s">
        <v>34</v>
      </c>
      <c r="D404" s="5" t="s">
        <v>35</v>
      </c>
      <c r="E404" s="5" t="s">
        <v>4008</v>
      </c>
      <c r="F404" s="5" t="s">
        <v>212</v>
      </c>
      <c r="G404" s="5" t="s">
        <v>4009</v>
      </c>
      <c r="H404" s="6" t="s">
        <v>4010</v>
      </c>
      <c r="I404" s="7" t="s">
        <v>4011</v>
      </c>
      <c r="J404" s="8" t="str">
        <f>HYPERLINK("https://drive.google.com/file/d/14sUTvjMHknMgR59flLxUCz2TzwHF1tN8/view?usp=drivesdk","SRI RAHAYU AGUSTINI SERTIFIKAT BerAKHLAK")</f>
        <v>SRI RAHAYU AGUSTINI SERTIFIKAT BerAKHLAK</v>
      </c>
      <c r="K404" s="5" t="s">
        <v>3758</v>
      </c>
      <c r="L404" s="5" t="s">
        <v>4012</v>
      </c>
      <c r="M404" s="5" t="s">
        <v>4013</v>
      </c>
      <c r="N404" s="7" t="s">
        <v>4014</v>
      </c>
      <c r="O404" s="8" t="str">
        <f>HYPERLINK("https://drive.google.com/file/d/1ipSjkIinjRpxX5GAfU0HehhrTLYrbW98/view?usp=drivesdk","403_SRI RAHAYU AGUSTINI _ SERTIFIKAT BIMTEK IPASN BerAKHLASK")</f>
        <v>403_SRI RAHAYU AGUSTINI _ SERTIFIKAT BIMTEK IPASN BerAKHLASK</v>
      </c>
      <c r="P404" s="5" t="s">
        <v>3977</v>
      </c>
      <c r="Q404" s="5" t="s">
        <v>4015</v>
      </c>
      <c r="R404" s="7" t="s">
        <v>4016</v>
      </c>
      <c r="S404" s="7" t="str">
        <f>HYPERLINK("https://drive.google.com/file/d/1_WjsH0ytk1H96L_8PuECfOWpiOCi8f4i/view?usp=drivesdk","403_SRI RAHAYU AGUSTINI SERTIFIKAT BIMTEK IPASN-BerAKHLAK")</f>
        <v>403_SRI RAHAYU AGUSTINI SERTIFIKAT BIMTEK IPASN-BerAKHLAK</v>
      </c>
      <c r="T404" s="5" t="s">
        <v>3989</v>
      </c>
    </row>
    <row r="405">
      <c r="A405" s="4">
        <v>45534.31946557871</v>
      </c>
      <c r="B405" s="5" t="s">
        <v>34</v>
      </c>
      <c r="D405" s="5" t="s">
        <v>1206</v>
      </c>
      <c r="E405" s="5" t="s">
        <v>4017</v>
      </c>
      <c r="F405" s="5" t="s">
        <v>37</v>
      </c>
      <c r="G405" s="5" t="s">
        <v>4018</v>
      </c>
      <c r="H405" s="6" t="s">
        <v>4019</v>
      </c>
      <c r="I405" s="7" t="s">
        <v>4020</v>
      </c>
      <c r="J405" s="8" t="str">
        <f>HYPERLINK("https://drive.google.com/file/d/1QtiWgJaTkhx0-gClj9J3wbN9ZLaA_lrP/view?usp=drivesdk","YENIK KURNIAWATI SERTIFIKAT BerAKHLAK")</f>
        <v>YENIK KURNIAWATI SERTIFIKAT BerAKHLAK</v>
      </c>
      <c r="K405" s="5" t="s">
        <v>3758</v>
      </c>
      <c r="L405" s="5" t="s">
        <v>4021</v>
      </c>
      <c r="M405" s="5" t="s">
        <v>4022</v>
      </c>
      <c r="N405" s="7" t="s">
        <v>4023</v>
      </c>
      <c r="O405" s="8" t="str">
        <f>HYPERLINK("https://drive.google.com/file/d/1lYZuFUGCPziD1m2oAjDQpyFUWX9-krsE/view?usp=drivesdk","404_YENIK KURNIAWATI _ SERTIFIKAT BIMTEK IPASN BerAKHLASK")</f>
        <v>404_YENIK KURNIAWATI _ SERTIFIKAT BIMTEK IPASN BerAKHLASK</v>
      </c>
      <c r="P405" s="5" t="s">
        <v>3977</v>
      </c>
      <c r="Q405" s="5" t="s">
        <v>4024</v>
      </c>
      <c r="R405" s="7" t="s">
        <v>4025</v>
      </c>
      <c r="S405" s="7" t="str">
        <f>HYPERLINK("https://drive.google.com/file/d/1qSLLwwfAFx5BqWqf4T_RnmkR5U-_L2Av/view?usp=drivesdk","404_YENIK KURNIAWATI SERTIFIKAT BIMTEK IPASN-BerAKHLAK")</f>
        <v>404_YENIK KURNIAWATI SERTIFIKAT BIMTEK IPASN-BerAKHLAK</v>
      </c>
      <c r="T405" s="5" t="s">
        <v>3989</v>
      </c>
    </row>
    <row r="406">
      <c r="A406" s="4">
        <v>45534.3194841088</v>
      </c>
      <c r="B406" s="5" t="s">
        <v>34</v>
      </c>
      <c r="D406" s="5" t="s">
        <v>996</v>
      </c>
      <c r="E406" s="5" t="s">
        <v>4026</v>
      </c>
      <c r="F406" s="5" t="s">
        <v>212</v>
      </c>
      <c r="G406" s="5" t="s">
        <v>4027</v>
      </c>
      <c r="H406" s="6" t="s">
        <v>4028</v>
      </c>
      <c r="I406" s="7" t="s">
        <v>4029</v>
      </c>
      <c r="J406" s="8" t="str">
        <f>HYPERLINK("https://drive.google.com/file/d/1ewi6Wp2Qs29Qbhkpdt2cVTl1CD2mfusw/view?usp=drivesdk","YULIANA SARI, A. Md SERTIFIKAT BerAKHLAK")</f>
        <v>YULIANA SARI, A. Md SERTIFIKAT BerAKHLAK</v>
      </c>
      <c r="K406" s="5" t="s">
        <v>3758</v>
      </c>
      <c r="L406" s="5" t="s">
        <v>4030</v>
      </c>
      <c r="M406" s="5" t="s">
        <v>4031</v>
      </c>
      <c r="N406" s="7" t="s">
        <v>4032</v>
      </c>
      <c r="O406" s="8" t="str">
        <f>HYPERLINK("https://drive.google.com/file/d/1F2kQCpY6srS2xrZ4Y5rAhkJiHMhaUIEm/view?usp=drivesdk","405_YULIANA SARI, A. Md _ SERTIFIKAT BIMTEK IPASN BerAKHLASK")</f>
        <v>405_YULIANA SARI, A. Md _ SERTIFIKAT BIMTEK IPASN BerAKHLASK</v>
      </c>
      <c r="P406" s="5" t="s">
        <v>4033</v>
      </c>
      <c r="Q406" s="5" t="s">
        <v>4034</v>
      </c>
      <c r="R406" s="7" t="s">
        <v>4035</v>
      </c>
      <c r="S406" s="7" t="str">
        <f>HYPERLINK("https://drive.google.com/file/d/1t0LNu6NQbfJAxiarhnBCTIdCMoslUh5a/view?usp=drivesdk","405_YULIANA SARI, A. Md SERTIFIKAT BIMTEK IPASN-BerAKHLAK")</f>
        <v>405_YULIANA SARI, A. Md SERTIFIKAT BIMTEK IPASN-BerAKHLAK</v>
      </c>
      <c r="T406" s="5" t="s">
        <v>3989</v>
      </c>
    </row>
    <row r="407">
      <c r="A407" s="4">
        <v>45534.31950197917</v>
      </c>
      <c r="B407" s="5" t="s">
        <v>34</v>
      </c>
      <c r="D407" s="5" t="s">
        <v>1768</v>
      </c>
      <c r="E407" s="5" t="s">
        <v>4036</v>
      </c>
      <c r="F407" s="5" t="s">
        <v>72</v>
      </c>
      <c r="G407" s="5" t="s">
        <v>4037</v>
      </c>
      <c r="H407" s="6" t="s">
        <v>4038</v>
      </c>
      <c r="I407" s="7" t="s">
        <v>4039</v>
      </c>
      <c r="J407" s="8" t="str">
        <f>HYPERLINK("https://drive.google.com/file/d/14bJhd7fhvwaNwxvVSRxviHIGVVadq1xd/view?usp=drivesdk","PENATA RINAWATI  SERTIFIKAT BerAKHLAK")</f>
        <v>PENATA RINAWATI  SERTIFIKAT BerAKHLAK</v>
      </c>
      <c r="K407" s="5" t="s">
        <v>3758</v>
      </c>
      <c r="L407" s="5" t="s">
        <v>4040</v>
      </c>
      <c r="M407" s="5" t="s">
        <v>4041</v>
      </c>
      <c r="N407" s="7" t="s">
        <v>4042</v>
      </c>
      <c r="O407" s="8" t="str">
        <f>HYPERLINK("https://drive.google.com/file/d/1qLnshUvm6RpXi_3_jUAHI1T3HKUBKeKI/view?usp=drivesdk","406_PENATA RINAWATI  _ SERTIFIKAT BIMTEK IPASN BerAKHLASK")</f>
        <v>406_PENATA RINAWATI  _ SERTIFIKAT BIMTEK IPASN BerAKHLASK</v>
      </c>
      <c r="P407" s="5" t="s">
        <v>4033</v>
      </c>
      <c r="Q407" s="5" t="s">
        <v>4043</v>
      </c>
      <c r="R407" s="7" t="s">
        <v>4044</v>
      </c>
      <c r="S407" s="7" t="str">
        <f>HYPERLINK("https://drive.google.com/file/d/1L_g70rRpH1J6YpIkcl-mISomoHT1Uv43/view?usp=drivesdk","406_PENATA RINAWATI  SERTIFIKAT BIMTEK IPASN-BerAKHLAK")</f>
        <v>406_PENATA RINAWATI  SERTIFIKAT BIMTEK IPASN-BerAKHLAK</v>
      </c>
      <c r="T407" s="5" t="s">
        <v>4045</v>
      </c>
    </row>
    <row r="408" hidden="1">
      <c r="A408" s="4">
        <v>45534.31953190972</v>
      </c>
      <c r="B408" s="5" t="s">
        <v>19</v>
      </c>
      <c r="C408" s="5" t="s">
        <v>292</v>
      </c>
      <c r="E408" s="5" t="s">
        <v>4046</v>
      </c>
      <c r="F408" s="5" t="s">
        <v>37</v>
      </c>
      <c r="G408" s="5" t="s">
        <v>4047</v>
      </c>
      <c r="H408" s="6" t="s">
        <v>4048</v>
      </c>
      <c r="I408" s="7" t="s">
        <v>4049</v>
      </c>
      <c r="J408" s="8" t="str">
        <f>HYPERLINK("https://drive.google.com/file/d/1pPVNGdlMBox6npIPdVoFTCbXe_WO7ki4/view?usp=drivesdk","YUSUP SUPRIATNA SERTIFIKAT BerAKHLAK")</f>
        <v>YUSUP SUPRIATNA SERTIFIKAT BerAKHLAK</v>
      </c>
      <c r="K408" s="5" t="s">
        <v>3758</v>
      </c>
      <c r="L408" s="5" t="s">
        <v>4050</v>
      </c>
      <c r="M408" s="5" t="s">
        <v>4051</v>
      </c>
      <c r="N408" s="7" t="s">
        <v>4052</v>
      </c>
      <c r="O408" s="8" t="str">
        <f>HYPERLINK("https://drive.google.com/file/d/12_oWnverkZUY2nfr1GMQuCCCBgSfA76x/view?usp=drivesdk","407_YUSUP SUPRIATNA _ SERTIFIKAT BIMTEK IPASN BerAKHLASK")</f>
        <v>407_YUSUP SUPRIATNA _ SERTIFIKAT BIMTEK IPASN BerAKHLASK</v>
      </c>
      <c r="P408" s="5" t="s">
        <v>4033</v>
      </c>
      <c r="Q408" s="5" t="s">
        <v>4053</v>
      </c>
      <c r="R408" s="7" t="s">
        <v>4054</v>
      </c>
      <c r="S408" s="7" t="str">
        <f>HYPERLINK("https://drive.google.com/file/d/1eCjZwTt409y35Dam6AXD1DTlHKBUuvsW/view?usp=drivesdk","407_YUSUP SUPRIATNA SERTIFIKAT BIMTEK IPASN-BerAKHLAK")</f>
        <v>407_YUSUP SUPRIATNA SERTIFIKAT BIMTEK IPASN-BerAKHLAK</v>
      </c>
      <c r="T408" s="5" t="s">
        <v>4045</v>
      </c>
    </row>
    <row r="409">
      <c r="A409" s="4">
        <v>45534.319549074076</v>
      </c>
      <c r="B409" s="5" t="s">
        <v>34</v>
      </c>
      <c r="D409" s="5" t="s">
        <v>267</v>
      </c>
      <c r="E409" s="5" t="s">
        <v>4055</v>
      </c>
      <c r="F409" s="5" t="s">
        <v>524</v>
      </c>
      <c r="G409" s="5" t="s">
        <v>4056</v>
      </c>
      <c r="H409" s="6" t="s">
        <v>4057</v>
      </c>
      <c r="I409" s="7" t="s">
        <v>4058</v>
      </c>
      <c r="J409" s="8" t="str">
        <f>HYPERLINK("https://drive.google.com/file/d/1RZ50yTfKaXvDaipcSW2eGdvJIKfmGTQd/view?usp=drivesdk","SYLVIA INDAH DJAYA, S.Ak., M.Ak. SERTIFIKAT BerAKHLAK")</f>
        <v>SYLVIA INDAH DJAYA, S.Ak., M.Ak. SERTIFIKAT BerAKHLAK</v>
      </c>
      <c r="K409" s="5" t="s">
        <v>3758</v>
      </c>
      <c r="L409" s="5" t="s">
        <v>4059</v>
      </c>
      <c r="M409" s="5" t="s">
        <v>4060</v>
      </c>
      <c r="N409" s="7" t="s">
        <v>4061</v>
      </c>
      <c r="O409" s="8" t="str">
        <f>HYPERLINK("https://drive.google.com/file/d/1m3YJOB577JUL_QNDVQLLycB-VcTN-FOW/view?usp=drivesdk","408_SYLVIA INDAH DJAYA, S.Ak., M.Ak. _ SERTIFIKAT BIMTEK IPASN BerAKHLASK")</f>
        <v>408_SYLVIA INDAH DJAYA, S.Ak., M.Ak. _ SERTIFIKAT BIMTEK IPASN BerAKHLASK</v>
      </c>
      <c r="P409" s="5" t="s">
        <v>4033</v>
      </c>
      <c r="Q409" s="5" t="s">
        <v>4062</v>
      </c>
      <c r="R409" s="7" t="s">
        <v>4063</v>
      </c>
      <c r="S409" s="7" t="str">
        <f>HYPERLINK("https://drive.google.com/file/d/1F2Qmhunp890TnlkNp7qhCo0fmokn91Nd/view?usp=drivesdk","408_SYLVIA INDAH DJAYA, S.Ak., M.Ak. SERTIFIKAT BIMTEK IPASN-BerAKHLAK")</f>
        <v>408_SYLVIA INDAH DJAYA, S.Ak., M.Ak. SERTIFIKAT BIMTEK IPASN-BerAKHLAK</v>
      </c>
      <c r="T409" s="5" t="s">
        <v>4045</v>
      </c>
    </row>
    <row r="410">
      <c r="A410" s="4">
        <v>45534.3195709838</v>
      </c>
      <c r="B410" s="5" t="s">
        <v>34</v>
      </c>
      <c r="D410" s="5" t="s">
        <v>1692</v>
      </c>
      <c r="E410" s="5" t="s">
        <v>4064</v>
      </c>
      <c r="F410" s="5" t="s">
        <v>524</v>
      </c>
      <c r="G410" s="5" t="s">
        <v>4065</v>
      </c>
      <c r="H410" s="6" t="s">
        <v>4066</v>
      </c>
      <c r="I410" s="7" t="s">
        <v>4067</v>
      </c>
      <c r="J410" s="8" t="str">
        <f>HYPERLINK("https://drive.google.com/file/d/1gPrS89_YNLo_pJ1wgxGV8HoErGISypSj/view?usp=drivesdk","RISNAWATI TUNNY, S. KM SERTIFIKAT BerAKHLAK")</f>
        <v>RISNAWATI TUNNY, S. KM SERTIFIKAT BerAKHLAK</v>
      </c>
      <c r="K410" s="5" t="s">
        <v>3758</v>
      </c>
      <c r="L410" s="5" t="s">
        <v>4068</v>
      </c>
      <c r="M410" s="5" t="s">
        <v>4069</v>
      </c>
      <c r="N410" s="7" t="s">
        <v>4070</v>
      </c>
      <c r="O410" s="8" t="str">
        <f>HYPERLINK("https://drive.google.com/file/d/1qV_ervw9CAJbQCJM6gQU6osY5CelJra3/view?usp=drivesdk","409_RISNAWATI TUNNY, S. KM _ SERTIFIKAT BIMTEK IPASN BerAKHLASK")</f>
        <v>409_RISNAWATI TUNNY, S. KM _ SERTIFIKAT BIMTEK IPASN BerAKHLASK</v>
      </c>
      <c r="P410" s="5" t="s">
        <v>4033</v>
      </c>
      <c r="Q410" s="5" t="s">
        <v>4071</v>
      </c>
      <c r="R410" s="7" t="s">
        <v>4072</v>
      </c>
      <c r="S410" s="7" t="str">
        <f>HYPERLINK("https://drive.google.com/file/d/1ZxnKTS1vpKJt9sYuwx2IK_AAVHgoP3AC/view?usp=drivesdk","409_RISNAWATI TUNNY, S. KM SERTIFIKAT BIMTEK IPASN-BerAKHLAK")</f>
        <v>409_RISNAWATI TUNNY, S. KM SERTIFIKAT BIMTEK IPASN-BerAKHLAK</v>
      </c>
      <c r="T410" s="5" t="s">
        <v>4045</v>
      </c>
    </row>
    <row r="411">
      <c r="A411" s="4">
        <v>45534.31958170139</v>
      </c>
      <c r="B411" s="5" t="s">
        <v>34</v>
      </c>
      <c r="D411" s="5" t="s">
        <v>1206</v>
      </c>
      <c r="E411" s="5" t="s">
        <v>4073</v>
      </c>
      <c r="F411" s="5" t="s">
        <v>212</v>
      </c>
      <c r="G411" s="5" t="s">
        <v>4074</v>
      </c>
      <c r="H411" s="6" t="s">
        <v>4075</v>
      </c>
      <c r="I411" s="7" t="s">
        <v>4076</v>
      </c>
      <c r="J411" s="8" t="str">
        <f>HYPERLINK("https://drive.google.com/file/d/1hl67WMvR5doJb-H2XTSsnGd6eh2Gt8-V/view?usp=drivesdk","ARIN WINARSIH SERTIFIKAT BerAKHLAK")</f>
        <v>ARIN WINARSIH SERTIFIKAT BerAKHLAK</v>
      </c>
      <c r="K411" s="5" t="s">
        <v>3758</v>
      </c>
      <c r="L411" s="5" t="s">
        <v>4077</v>
      </c>
      <c r="M411" s="5" t="s">
        <v>4078</v>
      </c>
      <c r="N411" s="7" t="s">
        <v>4079</v>
      </c>
      <c r="O411" s="8" t="str">
        <f>HYPERLINK("https://drive.google.com/file/d/1X82UAVCgg0gCLxXuyEpbD2RKz32K4vlZ/view?usp=drivesdk","410_ARIN WINARSIH _ SERTIFIKAT BIMTEK IPASN BerAKHLASK")</f>
        <v>410_ARIN WINARSIH _ SERTIFIKAT BIMTEK IPASN BerAKHLASK</v>
      </c>
      <c r="P411" s="5" t="s">
        <v>2380</v>
      </c>
      <c r="Q411" s="5" t="s">
        <v>4080</v>
      </c>
      <c r="R411" s="7" t="s">
        <v>4081</v>
      </c>
      <c r="S411" s="7" t="str">
        <f>HYPERLINK("https://drive.google.com/file/d/1GqL4qKw9UAaVsz0OW7r6v2BVd9kOfGbK/view?usp=drivesdk","410_ARIN WINARSIH SERTIFIKAT BIMTEK IPASN-BerAKHLAK")</f>
        <v>410_ARIN WINARSIH SERTIFIKAT BIMTEK IPASN-BerAKHLAK</v>
      </c>
      <c r="T411" s="5" t="s">
        <v>4045</v>
      </c>
    </row>
    <row r="412">
      <c r="A412" s="4">
        <v>45534.31958591435</v>
      </c>
      <c r="B412" s="5" t="s">
        <v>34</v>
      </c>
      <c r="D412" s="5" t="s">
        <v>1206</v>
      </c>
      <c r="E412" s="5" t="s">
        <v>4082</v>
      </c>
      <c r="F412" s="5" t="s">
        <v>120</v>
      </c>
      <c r="G412" s="5" t="s">
        <v>4083</v>
      </c>
      <c r="H412" s="6" t="s">
        <v>4084</v>
      </c>
      <c r="I412" s="7" t="s">
        <v>4085</v>
      </c>
      <c r="J412" s="8" t="str">
        <f>HYPERLINK("https://drive.google.com/file/d/1SqXQ4rmUsWdQS7HdxC29A4BIp7ptTXCc/view?usp=drivesdk","YULIAWAN KRISTIONO, S.Pd. M.M. SERTIFIKAT BerAKHLAK")</f>
        <v>YULIAWAN KRISTIONO, S.Pd. M.M. SERTIFIKAT BerAKHLAK</v>
      </c>
      <c r="K412" s="5" t="s">
        <v>3758</v>
      </c>
      <c r="L412" s="5" t="s">
        <v>4086</v>
      </c>
      <c r="M412" s="5" t="s">
        <v>4087</v>
      </c>
      <c r="N412" s="7" t="s">
        <v>4088</v>
      </c>
      <c r="O412" s="8" t="str">
        <f>HYPERLINK("https://drive.google.com/file/d/1p9huPUEnxjksI0lf3NWPZdcBKUrrVU8h/view?usp=drivesdk","411_YULIAWAN KRISTIONO, S.Pd. M.M. _ SERTIFIKAT BIMTEK IPASN BerAKHLASK")</f>
        <v>411_YULIAWAN KRISTIONO, S.Pd. M.M. _ SERTIFIKAT BIMTEK IPASN BerAKHLASK</v>
      </c>
      <c r="P412" s="5" t="s">
        <v>2380</v>
      </c>
      <c r="Q412" s="5" t="s">
        <v>4089</v>
      </c>
      <c r="R412" s="7" t="s">
        <v>4090</v>
      </c>
      <c r="S412" s="7" t="str">
        <f>HYPERLINK("https://drive.google.com/file/d/1BUBTa2hVs85wsWPqTcoZ6suUKVE92gmq/view?usp=drivesdk","411_YULIAWAN KRISTIONO, S.Pd. M.M. SERTIFIKAT BIMTEK IPASN-BerAKHLAK")</f>
        <v>411_YULIAWAN KRISTIONO, S.Pd. M.M. SERTIFIKAT BIMTEK IPASN-BerAKHLAK</v>
      </c>
      <c r="T412" s="5" t="s">
        <v>4045</v>
      </c>
    </row>
    <row r="413" hidden="1">
      <c r="A413" s="4">
        <v>45534.31958930555</v>
      </c>
      <c r="B413" s="5" t="s">
        <v>19</v>
      </c>
      <c r="C413" s="5" t="s">
        <v>292</v>
      </c>
      <c r="E413" s="5" t="s">
        <v>4091</v>
      </c>
      <c r="F413" s="5" t="s">
        <v>524</v>
      </c>
      <c r="G413" s="5" t="s">
        <v>4092</v>
      </c>
      <c r="H413" s="6" t="s">
        <v>4093</v>
      </c>
      <c r="I413" s="7" t="s">
        <v>4094</v>
      </c>
      <c r="J413" s="8" t="str">
        <f>HYPERLINK("https://drive.google.com/file/d/1TolZQZbMEG3d_Vt_58k_k8D4whYD4v01/view?usp=drivesdk","MUHAMAD LUTFI SERTIFIKAT BerAKHLAK")</f>
        <v>MUHAMAD LUTFI SERTIFIKAT BerAKHLAK</v>
      </c>
      <c r="K413" s="5" t="s">
        <v>3758</v>
      </c>
      <c r="L413" s="5" t="s">
        <v>4095</v>
      </c>
      <c r="M413" s="5" t="s">
        <v>4096</v>
      </c>
      <c r="N413" s="7" t="s">
        <v>4097</v>
      </c>
      <c r="O413" s="8" t="str">
        <f>HYPERLINK("https://drive.google.com/file/d/1piW0UgYn72YRf3xmKmi2frByFQPi7sxG/view?usp=drivesdk","412_MUHAMAD LUTFI _ SERTIFIKAT BIMTEK IPASN BerAKHLASK")</f>
        <v>412_MUHAMAD LUTFI _ SERTIFIKAT BIMTEK IPASN BerAKHLASK</v>
      </c>
      <c r="P413" s="5" t="s">
        <v>2380</v>
      </c>
      <c r="Q413" s="5" t="s">
        <v>4098</v>
      </c>
      <c r="R413" s="7" t="s">
        <v>4099</v>
      </c>
      <c r="S413" s="7" t="str">
        <f>HYPERLINK("https://drive.google.com/file/d/1sw7BFuP-zYJwAqNPb0l1PnoNgw8SGJkf/view?usp=drivesdk","412_MUHAMAD LUTFI SERTIFIKAT BIMTEK IPASN-BerAKHLAK")</f>
        <v>412_MUHAMAD LUTFI SERTIFIKAT BIMTEK IPASN-BerAKHLAK</v>
      </c>
      <c r="T413" s="5" t="s">
        <v>4100</v>
      </c>
    </row>
    <row r="414">
      <c r="A414" s="4">
        <v>45534.3196122338</v>
      </c>
      <c r="B414" s="5" t="s">
        <v>34</v>
      </c>
      <c r="D414" s="5" t="s">
        <v>1768</v>
      </c>
      <c r="E414" s="5" t="s">
        <v>4101</v>
      </c>
      <c r="F414" s="5" t="s">
        <v>212</v>
      </c>
      <c r="G414" s="5" t="s">
        <v>4102</v>
      </c>
      <c r="H414" s="6" t="s">
        <v>4103</v>
      </c>
      <c r="I414" s="7" t="s">
        <v>4104</v>
      </c>
      <c r="J414" s="8" t="str">
        <f>HYPERLINK("https://drive.google.com/file/d/1K103-5PjBXOCnAOLzXpab4ONeYcjFqbI/view?usp=drivesdk","MARSYANA TIUR NOVITA SAGALA SERTIFIKAT BerAKHLAK")</f>
        <v>MARSYANA TIUR NOVITA SAGALA SERTIFIKAT BerAKHLAK</v>
      </c>
      <c r="K414" s="5" t="s">
        <v>3758</v>
      </c>
      <c r="L414" s="5" t="s">
        <v>4105</v>
      </c>
      <c r="M414" s="5" t="s">
        <v>4106</v>
      </c>
      <c r="N414" s="7" t="s">
        <v>4107</v>
      </c>
      <c r="O414" s="8" t="str">
        <f>HYPERLINK("https://drive.google.com/file/d/1MAgMv6hxeE0WgpCxUlqDGyQJ09jtUmQx/view?usp=drivesdk","413_MARSYANA TIUR NOVITA SAGALA _ SERTIFIKAT BIMTEK IPASN BerAKHLASK")</f>
        <v>413_MARSYANA TIUR NOVITA SAGALA _ SERTIFIKAT BIMTEK IPASN BerAKHLASK</v>
      </c>
      <c r="P414" s="5" t="s">
        <v>4108</v>
      </c>
      <c r="Q414" s="5" t="s">
        <v>4109</v>
      </c>
      <c r="R414" s="7" t="s">
        <v>4110</v>
      </c>
      <c r="S414" s="7" t="str">
        <f>HYPERLINK("https://drive.google.com/file/d/1h-ttQ4HuDEEoYg_yWLAadmXXG4KBwNQt/view?usp=drivesdk","413_MARSYANA TIUR NOVITA SAGALA SERTIFIKAT BIMTEK IPASN-BerAKHLAK")</f>
        <v>413_MARSYANA TIUR NOVITA SAGALA SERTIFIKAT BIMTEK IPASN-BerAKHLAK</v>
      </c>
      <c r="T414" s="5" t="s">
        <v>4100</v>
      </c>
    </row>
    <row r="415">
      <c r="A415" s="4">
        <v>45534.31962342592</v>
      </c>
      <c r="B415" s="5" t="s">
        <v>34</v>
      </c>
      <c r="D415" s="5" t="s">
        <v>580</v>
      </c>
      <c r="E415" s="5" t="s">
        <v>4111</v>
      </c>
      <c r="F415" s="5" t="s">
        <v>37</v>
      </c>
      <c r="G415" s="5" t="s">
        <v>4112</v>
      </c>
      <c r="H415" s="6" t="s">
        <v>4113</v>
      </c>
      <c r="I415" s="7" t="s">
        <v>4114</v>
      </c>
      <c r="J415" s="8" t="str">
        <f>HYPERLINK("https://drive.google.com/file/d/16vaN9X0Au5eImBMdYuAX77rX8GUYBaXF/view?usp=drivesdk","MADE DWIANA PRADNYA YUSTIKA, A.Md.Keb SERTIFIKAT BerAKHLAK")</f>
        <v>MADE DWIANA PRADNYA YUSTIKA, A.Md.Keb SERTIFIKAT BerAKHLAK</v>
      </c>
      <c r="K415" s="5" t="s">
        <v>3758</v>
      </c>
      <c r="L415" s="5" t="s">
        <v>4115</v>
      </c>
      <c r="M415" s="5" t="s">
        <v>4116</v>
      </c>
      <c r="N415" s="7" t="s">
        <v>4117</v>
      </c>
      <c r="O415" s="8" t="str">
        <f>HYPERLINK("https://drive.google.com/file/d/1W1_nrGCzXIqhuZvnjU9UUminiPAUHNt7/view?usp=drivesdk","414_MADE DWIANA PRADNYA YUSTIKA, A.Md.Keb _ SERTIFIKAT BIMTEK IPASN BerAKHLASK")</f>
        <v>414_MADE DWIANA PRADNYA YUSTIKA, A.Md.Keb _ SERTIFIKAT BIMTEK IPASN BerAKHLASK</v>
      </c>
      <c r="P415" s="5" t="s">
        <v>4108</v>
      </c>
      <c r="Q415" s="5" t="s">
        <v>4118</v>
      </c>
      <c r="R415" s="7" t="s">
        <v>4119</v>
      </c>
      <c r="S415" s="7" t="str">
        <f>HYPERLINK("https://drive.google.com/file/d/1ecVREBtfQcMsXPXJ22hZVL25YU8fUZl4/view?usp=drivesdk","414_MADE DWIANA PRADNYA YUSTIKA, A.Md.Keb SERTIFIKAT BIMTEK IPASN-BerAKHLAK")</f>
        <v>414_MADE DWIANA PRADNYA YUSTIKA, A.Md.Keb SERTIFIKAT BIMTEK IPASN-BerAKHLAK</v>
      </c>
      <c r="T415" s="5" t="s">
        <v>4100</v>
      </c>
    </row>
    <row r="416">
      <c r="A416" s="4">
        <v>45534.31964980324</v>
      </c>
      <c r="B416" s="5" t="s">
        <v>34</v>
      </c>
      <c r="D416" s="5" t="s">
        <v>1206</v>
      </c>
      <c r="E416" s="5" t="s">
        <v>4120</v>
      </c>
      <c r="F416" s="5" t="s">
        <v>37</v>
      </c>
      <c r="G416" s="5" t="s">
        <v>4121</v>
      </c>
      <c r="H416" s="6" t="s">
        <v>4122</v>
      </c>
      <c r="I416" s="7" t="s">
        <v>4123</v>
      </c>
      <c r="J416" s="8" t="str">
        <f>HYPERLINK("https://drive.google.com/file/d/1na22c6JSdqFQY8rejp4J0rnwoguhZ0pM/view?usp=drivesdk","GESANGPRIBADI  SERTIFIKAT BerAKHLAK")</f>
        <v>GESANGPRIBADI  SERTIFIKAT BerAKHLAK</v>
      </c>
      <c r="K416" s="5" t="s">
        <v>3758</v>
      </c>
      <c r="L416" s="5" t="s">
        <v>4124</v>
      </c>
      <c r="M416" s="5" t="s">
        <v>4125</v>
      </c>
      <c r="N416" s="7" t="s">
        <v>4126</v>
      </c>
      <c r="O416" s="8" t="str">
        <f>HYPERLINK("https://drive.google.com/file/d/1l5BZVDfRoQgSJAnxy1qEXp9kJYs2qHt1/view?usp=drivesdk","415_GESANGPRIBADI  _ SERTIFIKAT BIMTEK IPASN BerAKHLASK")</f>
        <v>415_GESANGPRIBADI  _ SERTIFIKAT BIMTEK IPASN BerAKHLASK</v>
      </c>
      <c r="P416" s="5" t="s">
        <v>4108</v>
      </c>
      <c r="Q416" s="5" t="s">
        <v>4127</v>
      </c>
      <c r="R416" s="7" t="s">
        <v>4128</v>
      </c>
      <c r="S416" s="7" t="str">
        <f>HYPERLINK("https://drive.google.com/file/d/1lzIaHosFd7TIN5dU37MfVpnBsJ6mmBuJ/view?usp=drivesdk","415_GESANGPRIBADI  SERTIFIKAT BIMTEK IPASN-BerAKHLAK")</f>
        <v>415_GESANGPRIBADI  SERTIFIKAT BIMTEK IPASN-BerAKHLAK</v>
      </c>
      <c r="T416" s="5" t="s">
        <v>4100</v>
      </c>
    </row>
    <row r="417">
      <c r="A417" s="4">
        <v>45534.319667511576</v>
      </c>
      <c r="B417" s="5" t="s">
        <v>34</v>
      </c>
      <c r="D417" s="5" t="s">
        <v>1206</v>
      </c>
      <c r="E417" s="5" t="s">
        <v>4129</v>
      </c>
      <c r="F417" s="5" t="s">
        <v>328</v>
      </c>
      <c r="G417" s="5" t="s">
        <v>4130</v>
      </c>
      <c r="H417" s="6" t="s">
        <v>4131</v>
      </c>
      <c r="I417" s="7" t="s">
        <v>4132</v>
      </c>
      <c r="J417" s="8" t="str">
        <f>HYPERLINK("https://drive.google.com/file/d/1fm8yZwHzCGtzIZxYdJwoLqr8O-PNyshf/view?usp=drivesdk","SUGIYANTO PENGDA SERTIFIKAT BerAKHLAK")</f>
        <v>SUGIYANTO PENGDA SERTIFIKAT BerAKHLAK</v>
      </c>
      <c r="K417" s="5" t="s">
        <v>3758</v>
      </c>
      <c r="L417" s="5" t="s">
        <v>4133</v>
      </c>
      <c r="M417" s="5" t="s">
        <v>4134</v>
      </c>
      <c r="N417" s="7" t="s">
        <v>4135</v>
      </c>
      <c r="O417" s="8" t="str">
        <f>HYPERLINK("https://drive.google.com/file/d/1KdhBQI7P_pv2S2tHdSi2ScUNrvlA0eCu/view?usp=drivesdk","416_SUGIYANTO PENGDA _ SERTIFIKAT BIMTEK IPASN BerAKHLASK")</f>
        <v>416_SUGIYANTO PENGDA _ SERTIFIKAT BIMTEK IPASN BerAKHLASK</v>
      </c>
      <c r="P417" s="5" t="s">
        <v>4108</v>
      </c>
      <c r="Q417" s="5" t="s">
        <v>4136</v>
      </c>
      <c r="R417" s="7" t="s">
        <v>4137</v>
      </c>
      <c r="S417" s="7" t="str">
        <f>HYPERLINK("https://drive.google.com/file/d/1F8pdPtYZuHfS_Vz0HTqMq1A2Uu17lbv_/view?usp=drivesdk","416_SUGIYANTO PENGDA SERTIFIKAT BIMTEK IPASN-BerAKHLAK")</f>
        <v>416_SUGIYANTO PENGDA SERTIFIKAT BIMTEK IPASN-BerAKHLAK</v>
      </c>
      <c r="T417" s="5" t="s">
        <v>4100</v>
      </c>
    </row>
    <row r="418">
      <c r="A418" s="4">
        <v>45534.31966746528</v>
      </c>
      <c r="B418" s="5" t="s">
        <v>34</v>
      </c>
      <c r="D418" s="5" t="s">
        <v>975</v>
      </c>
      <c r="E418" s="5" t="s">
        <v>4138</v>
      </c>
      <c r="F418" s="5" t="s">
        <v>72</v>
      </c>
      <c r="G418" s="5" t="s">
        <v>4139</v>
      </c>
      <c r="H418" s="6" t="s">
        <v>4140</v>
      </c>
      <c r="I418" s="7" t="s">
        <v>4141</v>
      </c>
      <c r="J418" s="8" t="str">
        <f>HYPERLINK("https://drive.google.com/file/d/1u_Xcy_Q-A4yR4HzFHKgI-O9qMeRgVn2C/view?usp=drivesdk","MARIANI RANTE SANDU,A.MD.KEP SERTIFIKAT BerAKHLAK")</f>
        <v>MARIANI RANTE SANDU,A.MD.KEP SERTIFIKAT BerAKHLAK</v>
      </c>
      <c r="K418" s="5" t="s">
        <v>3758</v>
      </c>
      <c r="L418" s="5" t="s">
        <v>4142</v>
      </c>
      <c r="M418" s="5" t="s">
        <v>4143</v>
      </c>
      <c r="N418" s="7" t="s">
        <v>4144</v>
      </c>
      <c r="O418" s="8" t="str">
        <f>HYPERLINK("https://drive.google.com/file/d/12iySQnnbj3EtITQzfwCCkbDHETgZi_ny/view?usp=drivesdk","417_MARIANI RANTE SANDU,A.MD.KEP _ SERTIFIKAT BIMTEK IPASN BerAKHLASK")</f>
        <v>417_MARIANI RANTE SANDU,A.MD.KEP _ SERTIFIKAT BIMTEK IPASN BerAKHLASK</v>
      </c>
      <c r="P418" s="5" t="s">
        <v>4108</v>
      </c>
      <c r="Q418" s="5" t="s">
        <v>4145</v>
      </c>
      <c r="R418" s="7" t="s">
        <v>4146</v>
      </c>
      <c r="S418" s="7" t="str">
        <f>HYPERLINK("https://drive.google.com/file/d/19whBulW666j1y0VCh33-SaQ-1a4dNn7V/view?usp=drivesdk","417_MARIANI RANTE SANDU,A.MD.KEP SERTIFIKAT BIMTEK IPASN-BerAKHLAK")</f>
        <v>417_MARIANI RANTE SANDU,A.MD.KEP SERTIFIKAT BIMTEK IPASN-BerAKHLAK</v>
      </c>
      <c r="T418" s="5" t="s">
        <v>4147</v>
      </c>
    </row>
    <row r="419">
      <c r="A419" s="4">
        <v>45534.31966861111</v>
      </c>
      <c r="B419" s="5" t="s">
        <v>34</v>
      </c>
      <c r="D419" s="5" t="s">
        <v>522</v>
      </c>
      <c r="E419" s="5" t="s">
        <v>4148</v>
      </c>
      <c r="F419" s="5" t="s">
        <v>37</v>
      </c>
      <c r="G419" s="5" t="s">
        <v>4149</v>
      </c>
      <c r="H419" s="6" t="s">
        <v>4150</v>
      </c>
      <c r="I419" s="7" t="s">
        <v>4151</v>
      </c>
      <c r="J419" s="8" t="str">
        <f>HYPERLINK("https://drive.google.com/file/d/1r3KqSvfVGR_26Lx1EeyiPbzMyqC6uccC/view?usp=drivesdk","SITI MARLINA YULIANA,AMD.KEP. SERTIFIKAT BerAKHLAK")</f>
        <v>SITI MARLINA YULIANA,AMD.KEP. SERTIFIKAT BerAKHLAK</v>
      </c>
      <c r="K419" s="5" t="s">
        <v>3758</v>
      </c>
      <c r="L419" s="5" t="s">
        <v>4152</v>
      </c>
      <c r="M419" s="5" t="s">
        <v>4153</v>
      </c>
      <c r="N419" s="7" t="s">
        <v>4154</v>
      </c>
      <c r="O419" s="8" t="str">
        <f>HYPERLINK("https://drive.google.com/file/d/19LyH7P6JE5MSYvrYQd-yFjkQpIf72JK7/view?usp=drivesdk","418_SITI MARLINA YULIANA,AMD.KEP. _ SERTIFIKAT BIMTEK IPASN BerAKHLASK")</f>
        <v>418_SITI MARLINA YULIANA,AMD.KEP. _ SERTIFIKAT BIMTEK IPASN BerAKHLASK</v>
      </c>
      <c r="P419" s="5" t="s">
        <v>4108</v>
      </c>
      <c r="Q419" s="5" t="s">
        <v>4155</v>
      </c>
      <c r="R419" s="7" t="s">
        <v>4156</v>
      </c>
      <c r="S419" s="7" t="str">
        <f>HYPERLINK("https://drive.google.com/file/d/1ZWpvj6Ljt9zeQuUxmj8r5shPNXvgme3g/view?usp=drivesdk","418_SITI MARLINA YULIANA,AMD.KEP. SERTIFIKAT BIMTEK IPASN-BerAKHLAK")</f>
        <v>418_SITI MARLINA YULIANA,AMD.KEP. SERTIFIKAT BIMTEK IPASN-BerAKHLAK</v>
      </c>
      <c r="T419" s="5" t="s">
        <v>4147</v>
      </c>
    </row>
    <row r="420">
      <c r="A420" s="4">
        <v>45534.319681469904</v>
      </c>
      <c r="B420" s="5" t="s">
        <v>34</v>
      </c>
      <c r="D420" s="5" t="s">
        <v>604</v>
      </c>
      <c r="E420" s="5" t="s">
        <v>4157</v>
      </c>
      <c r="F420" s="5" t="s">
        <v>37</v>
      </c>
      <c r="G420" s="5" t="s">
        <v>4158</v>
      </c>
      <c r="H420" s="6" t="s">
        <v>4159</v>
      </c>
      <c r="I420" s="7" t="s">
        <v>4160</v>
      </c>
      <c r="J420" s="8" t="str">
        <f>HYPERLINK("https://drive.google.com/file/d/1pn8r__-ODh3DqJGICz90cijiBK3rd-6V/view?usp=drivesdk","VATIM DWI CAHYANI, A.Md. AK SERTIFIKAT BerAKHLAK")</f>
        <v>VATIM DWI CAHYANI, A.Md. AK SERTIFIKAT BerAKHLAK</v>
      </c>
      <c r="K420" s="5" t="s">
        <v>3758</v>
      </c>
      <c r="L420" s="5" t="s">
        <v>4161</v>
      </c>
      <c r="M420" s="5" t="s">
        <v>4162</v>
      </c>
      <c r="N420" s="7" t="s">
        <v>4163</v>
      </c>
      <c r="O420" s="8" t="str">
        <f>HYPERLINK("https://drive.google.com/file/d/1YZjRbuvA79GXQ7mUVySBQCj3DMgxX6R8/view?usp=drivesdk","419_VATIM DWI CAHYANI, A.Md. AK _ SERTIFIKAT BIMTEK IPASN BerAKHLASK")</f>
        <v>419_VATIM DWI CAHYANI, A.Md. AK _ SERTIFIKAT BIMTEK IPASN BerAKHLASK</v>
      </c>
      <c r="P420" s="5" t="s">
        <v>4164</v>
      </c>
      <c r="Q420" s="5" t="s">
        <v>4165</v>
      </c>
      <c r="R420" s="7" t="s">
        <v>4166</v>
      </c>
      <c r="S420" s="7" t="str">
        <f>HYPERLINK("https://drive.google.com/file/d/1oScLHCJrmURRMSFcV-LtNQpc8aJ7hvDd/view?usp=drivesdk","419_VATIM DWI CAHYANI, A.Md. AK SERTIFIKAT BIMTEK IPASN-BerAKHLAK")</f>
        <v>419_VATIM DWI CAHYANI, A.Md. AK SERTIFIKAT BIMTEK IPASN-BerAKHLAK</v>
      </c>
      <c r="T420" s="5" t="s">
        <v>4147</v>
      </c>
    </row>
    <row r="421">
      <c r="A421" s="4">
        <v>45534.31968266204</v>
      </c>
      <c r="B421" s="5" t="s">
        <v>34</v>
      </c>
      <c r="D421" s="5" t="s">
        <v>280</v>
      </c>
      <c r="E421" s="5" t="s">
        <v>4167</v>
      </c>
      <c r="F421" s="5" t="s">
        <v>108</v>
      </c>
      <c r="G421" s="5" t="s">
        <v>4168</v>
      </c>
      <c r="H421" s="6" t="s">
        <v>4169</v>
      </c>
      <c r="I421" s="7" t="s">
        <v>4170</v>
      </c>
      <c r="J421" s="8" t="str">
        <f>HYPERLINK("https://drive.google.com/file/d/1ocrkPSBbSJ16P2jIWjkCRgltBpu5kqhY/view?usp=drivesdk","VIQIEH HANDAYANTI  SERTIFIKAT BerAKHLAK")</f>
        <v>VIQIEH HANDAYANTI  SERTIFIKAT BerAKHLAK</v>
      </c>
      <c r="K421" s="5" t="s">
        <v>3758</v>
      </c>
      <c r="L421" s="5" t="s">
        <v>4171</v>
      </c>
      <c r="M421" s="5" t="s">
        <v>4172</v>
      </c>
      <c r="N421" s="7" t="s">
        <v>4173</v>
      </c>
      <c r="O421" s="8" t="str">
        <f>HYPERLINK("https://drive.google.com/file/d/1vKbdzuUl9wpmG0wKebCOb2QxwhTzEoQD/view?usp=drivesdk","420_VIQIEH HANDAYANTI  _ SERTIFIKAT BIMTEK IPASN BerAKHLASK")</f>
        <v>420_VIQIEH HANDAYANTI  _ SERTIFIKAT BIMTEK IPASN BerAKHLASK</v>
      </c>
      <c r="P421" s="5" t="s">
        <v>4164</v>
      </c>
      <c r="Q421" s="5" t="s">
        <v>4174</v>
      </c>
      <c r="R421" s="7" t="s">
        <v>4175</v>
      </c>
      <c r="S421" s="7" t="str">
        <f>HYPERLINK("https://drive.google.com/file/d/13Q9B0d6Ey5JaSAZggaN3YSlad4uLZmd_/view?usp=drivesdk","420_VIQIEH HANDAYANTI  SERTIFIKAT BIMTEK IPASN-BerAKHLAK")</f>
        <v>420_VIQIEH HANDAYANTI  SERTIFIKAT BIMTEK IPASN-BerAKHLAK</v>
      </c>
      <c r="T421" s="5" t="s">
        <v>4147</v>
      </c>
    </row>
    <row r="422">
      <c r="A422" s="4">
        <v>45534.31968927084</v>
      </c>
      <c r="B422" s="5" t="s">
        <v>34</v>
      </c>
      <c r="D422" s="5" t="s">
        <v>35</v>
      </c>
      <c r="E422" s="5" t="s">
        <v>4176</v>
      </c>
      <c r="F422" s="5" t="s">
        <v>37</v>
      </c>
      <c r="G422" s="5" t="s">
        <v>4177</v>
      </c>
      <c r="H422" s="6" t="s">
        <v>4178</v>
      </c>
      <c r="I422" s="7" t="s">
        <v>4179</v>
      </c>
      <c r="J422" s="8" t="str">
        <f>HYPERLINK("https://drive.google.com/file/d/1IHZL52MeldtjzYzO1nJ3-hYbCLOfUe-0/view?usp=drivesdk","JAJANG RISNANDAR SERTIFIKAT BerAKHLAK")</f>
        <v>JAJANG RISNANDAR SERTIFIKAT BerAKHLAK</v>
      </c>
      <c r="K422" s="5" t="s">
        <v>3900</v>
      </c>
      <c r="L422" s="5" t="s">
        <v>4180</v>
      </c>
      <c r="M422" s="5" t="s">
        <v>4181</v>
      </c>
      <c r="N422" s="7" t="s">
        <v>4182</v>
      </c>
      <c r="O422" s="8" t="str">
        <f>HYPERLINK("https://drive.google.com/file/d/1JQWfXNTfv-9t_I7UU6rd8XbOLlUapnOt/view?usp=drivesdk","421_JAJANG RISNANDAR _ SERTIFIKAT BIMTEK IPASN BerAKHLASK")</f>
        <v>421_JAJANG RISNANDAR _ SERTIFIKAT BIMTEK IPASN BerAKHLASK</v>
      </c>
      <c r="P422" s="5" t="s">
        <v>4164</v>
      </c>
      <c r="Q422" s="5" t="s">
        <v>4183</v>
      </c>
      <c r="R422" s="7" t="s">
        <v>4184</v>
      </c>
      <c r="S422" s="7" t="str">
        <f>HYPERLINK("https://drive.google.com/file/d/1HzuZ38ndWOXCnGfQF44u0j__MF9DdC3_/view?usp=drivesdk","421_JAJANG RISNANDAR SERTIFIKAT BIMTEK IPASN-BerAKHLAK")</f>
        <v>421_JAJANG RISNANDAR SERTIFIKAT BIMTEK IPASN-BerAKHLAK</v>
      </c>
      <c r="T422" s="5" t="s">
        <v>4185</v>
      </c>
    </row>
    <row r="423">
      <c r="A423" s="4">
        <v>45534.319715300924</v>
      </c>
      <c r="B423" s="5" t="s">
        <v>34</v>
      </c>
      <c r="D423" s="5" t="s">
        <v>1206</v>
      </c>
      <c r="E423" s="5" t="s">
        <v>4186</v>
      </c>
      <c r="F423" s="5" t="s">
        <v>37</v>
      </c>
      <c r="G423" s="5" t="s">
        <v>4187</v>
      </c>
      <c r="H423" s="6" t="s">
        <v>4188</v>
      </c>
      <c r="I423" s="7" t="s">
        <v>4189</v>
      </c>
      <c r="J423" s="8" t="str">
        <f>HYPERLINK("https://drive.google.com/file/d/10QkLZ4uLfghS3TOwOFRnqg3sM_Wy2aHS/view?usp=drivesdk","AGUS SUPRIYADI SERTIFIKAT BerAKHLAK")</f>
        <v>AGUS SUPRIYADI SERTIFIKAT BerAKHLAK</v>
      </c>
      <c r="K423" s="5" t="s">
        <v>3900</v>
      </c>
      <c r="L423" s="5" t="s">
        <v>4190</v>
      </c>
      <c r="M423" s="5" t="s">
        <v>4191</v>
      </c>
      <c r="N423" s="7" t="s">
        <v>4192</v>
      </c>
      <c r="O423" s="8" t="str">
        <f>HYPERLINK("https://drive.google.com/file/d/10bK-mH60nSa5k7JSVkTRYdde2je0ZxHl/view?usp=drivesdk","422_AGUS SUPRIYADI _ SERTIFIKAT BIMTEK IPASN BerAKHLASK")</f>
        <v>422_AGUS SUPRIYADI _ SERTIFIKAT BIMTEK IPASN BerAKHLASK</v>
      </c>
      <c r="P423" s="5" t="s">
        <v>4164</v>
      </c>
      <c r="Q423" s="5" t="s">
        <v>4193</v>
      </c>
      <c r="R423" s="7" t="s">
        <v>4194</v>
      </c>
      <c r="S423" s="7" t="str">
        <f>HYPERLINK("https://drive.google.com/file/d/1EKeY6bzRzZ7uKpFtiknDOZSIlMr-IISB/view?usp=drivesdk","422_AGUS SUPRIYADI SERTIFIKAT BIMTEK IPASN-BerAKHLAK")</f>
        <v>422_AGUS SUPRIYADI SERTIFIKAT BIMTEK IPASN-BerAKHLAK</v>
      </c>
      <c r="T423" s="5" t="s">
        <v>4185</v>
      </c>
    </row>
    <row r="424">
      <c r="A424" s="4">
        <v>45534.3197246412</v>
      </c>
      <c r="B424" s="5" t="s">
        <v>34</v>
      </c>
      <c r="D424" s="5" t="s">
        <v>522</v>
      </c>
      <c r="E424" s="5" t="s">
        <v>4195</v>
      </c>
      <c r="F424" s="5" t="s">
        <v>72</v>
      </c>
      <c r="G424" s="5" t="s">
        <v>4196</v>
      </c>
      <c r="H424" s="6" t="s">
        <v>4197</v>
      </c>
      <c r="I424" s="7" t="s">
        <v>4198</v>
      </c>
      <c r="J424" s="8" t="str">
        <f>HYPERLINK("https://drive.google.com/file/d/1P81vOIL4g_dI_Ah9tkRjKwygelmQ52d-/view?usp=drivesdk","NI KETUT MUNI KARTIKA SARI, S. Adm.  SERTIFIKAT BerAKHLAK")</f>
        <v>NI KETUT MUNI KARTIKA SARI, S. Adm.  SERTIFIKAT BerAKHLAK</v>
      </c>
      <c r="K424" s="5" t="s">
        <v>3900</v>
      </c>
      <c r="L424" s="5" t="s">
        <v>4199</v>
      </c>
      <c r="M424" s="5" t="s">
        <v>4200</v>
      </c>
      <c r="N424" s="7" t="s">
        <v>4201</v>
      </c>
      <c r="O424" s="8" t="str">
        <f>HYPERLINK("https://drive.google.com/file/d/1JYvqbuDpdxXtAHKY2NLeDaWp9Iup-mP0/view?usp=drivesdk","423_NI KETUT MUNI KARTIKA SARI, S. Adm.  _ SERTIFIKAT BIMTEK IPASN BerAKHLASK")</f>
        <v>423_NI KETUT MUNI KARTIKA SARI, S. Adm.  _ SERTIFIKAT BIMTEK IPASN BerAKHLASK</v>
      </c>
      <c r="P424" s="5" t="s">
        <v>4164</v>
      </c>
      <c r="Q424" s="5" t="s">
        <v>4202</v>
      </c>
      <c r="R424" s="7" t="s">
        <v>4203</v>
      </c>
      <c r="S424" s="7" t="str">
        <f>HYPERLINK("https://drive.google.com/file/d/1PF9PZyZAvlzkN0Zh7eg1QHiCfxjrvUXa/view?usp=drivesdk","423_NI KETUT MUNI KARTIKA SARI, S. Adm.  SERTIFIKAT BIMTEK IPASN-BerAKHLAK")</f>
        <v>423_NI KETUT MUNI KARTIKA SARI, S. Adm.  SERTIFIKAT BIMTEK IPASN-BerAKHLAK</v>
      </c>
      <c r="T424" s="5" t="s">
        <v>4185</v>
      </c>
    </row>
    <row r="425">
      <c r="A425" s="4">
        <v>45534.31972488426</v>
      </c>
      <c r="B425" s="5" t="s">
        <v>34</v>
      </c>
      <c r="D425" s="5" t="s">
        <v>1206</v>
      </c>
      <c r="E425" s="5" t="s">
        <v>4204</v>
      </c>
      <c r="F425" s="5" t="s">
        <v>199</v>
      </c>
      <c r="G425" s="5" t="s">
        <v>4205</v>
      </c>
      <c r="H425" s="6" t="s">
        <v>4206</v>
      </c>
      <c r="I425" s="7" t="s">
        <v>4207</v>
      </c>
      <c r="J425" s="8" t="str">
        <f>HYPERLINK("https://drive.google.com/file/d/1lPQiM2xmcFDJrxtQIA1cG9Sn1J_6N4pU/view?usp=drivesdk","MOHAMMAD SUBAIDI ROSADI SERTIFIKAT BerAKHLAK")</f>
        <v>MOHAMMAD SUBAIDI ROSADI SERTIFIKAT BerAKHLAK</v>
      </c>
      <c r="K425" s="5" t="s">
        <v>3900</v>
      </c>
      <c r="L425" s="5" t="s">
        <v>4208</v>
      </c>
      <c r="M425" s="5" t="s">
        <v>4209</v>
      </c>
      <c r="N425" s="7" t="s">
        <v>4210</v>
      </c>
      <c r="O425" s="8" t="str">
        <f>HYPERLINK("https://drive.google.com/file/d/18DlSg_D4WwQmN3Ik0oB0Tye2fHuGXnDA/view?usp=drivesdk","424_MOHAMMAD SUBAIDI ROSADI _ SERTIFIKAT BIMTEK IPASN BerAKHLASK")</f>
        <v>424_MOHAMMAD SUBAIDI ROSADI _ SERTIFIKAT BIMTEK IPASN BerAKHLASK</v>
      </c>
      <c r="P425" s="5" t="s">
        <v>4211</v>
      </c>
      <c r="Q425" s="5" t="s">
        <v>4212</v>
      </c>
      <c r="R425" s="7" t="s">
        <v>4213</v>
      </c>
      <c r="S425" s="7" t="str">
        <f>HYPERLINK("https://drive.google.com/file/d/1ALoyM3as2AFL71NPf7kAXaN7pr-HLcta/view?usp=drivesdk","424_MOHAMMAD SUBAIDI ROSADI SERTIFIKAT BIMTEK IPASN-BerAKHLAK")</f>
        <v>424_MOHAMMAD SUBAIDI ROSADI SERTIFIKAT BIMTEK IPASN-BerAKHLAK</v>
      </c>
      <c r="T425" s="5" t="s">
        <v>4185</v>
      </c>
    </row>
    <row r="426">
      <c r="A426" s="4">
        <v>45534.3197246875</v>
      </c>
      <c r="B426" s="5" t="s">
        <v>34</v>
      </c>
      <c r="D426" s="5" t="s">
        <v>522</v>
      </c>
      <c r="E426" s="5" t="s">
        <v>4214</v>
      </c>
      <c r="F426" s="5" t="s">
        <v>37</v>
      </c>
      <c r="G426" s="5" t="s">
        <v>4215</v>
      </c>
      <c r="H426" s="6" t="s">
        <v>4216</v>
      </c>
      <c r="I426" s="7" t="s">
        <v>4217</v>
      </c>
      <c r="J426" s="8" t="str">
        <f>HYPERLINK("https://drive.google.com/file/d/1w6UyX5FavI7fUSiwk57RJrmUZT2TJCs2/view?usp=drivesdk","LALU YUSUF SYAHRONI Amd. Kep.  SERTIFIKAT BerAKHLAK")</f>
        <v>LALU YUSUF SYAHRONI Amd. Kep.  SERTIFIKAT BerAKHLAK</v>
      </c>
      <c r="K426" s="5" t="s">
        <v>4218</v>
      </c>
      <c r="L426" s="5" t="s">
        <v>4219</v>
      </c>
      <c r="M426" s="5" t="s">
        <v>4220</v>
      </c>
      <c r="N426" s="7" t="s">
        <v>4221</v>
      </c>
      <c r="O426" s="8" t="str">
        <f>HYPERLINK("https://drive.google.com/file/d/1DNMkG2gP1IJxP1eHSKgeJ9j0UVb6ZsQ6/view?usp=drivesdk","425_LALU YUSUF SYAHRONI Amd. Kep.  _ SERTIFIKAT BIMTEK IPASN BerAKHLASK")</f>
        <v>425_LALU YUSUF SYAHRONI Amd. Kep.  _ SERTIFIKAT BIMTEK IPASN BerAKHLASK</v>
      </c>
      <c r="P426" s="5" t="s">
        <v>4211</v>
      </c>
      <c r="Q426" s="5" t="s">
        <v>4222</v>
      </c>
      <c r="R426" s="7" t="s">
        <v>4223</v>
      </c>
      <c r="S426" s="7" t="str">
        <f>HYPERLINK("https://drive.google.com/file/d/17xVB8xtdTO654c0BTuNK3HoN7aGfMXC3/view?usp=drivesdk","425_LALU YUSUF SYAHRONI Amd. Kep.  SERTIFIKAT BIMTEK IPASN-BerAKHLAK")</f>
        <v>425_LALU YUSUF SYAHRONI Amd. Kep.  SERTIFIKAT BIMTEK IPASN-BerAKHLAK</v>
      </c>
      <c r="T426" s="5" t="s">
        <v>4185</v>
      </c>
    </row>
    <row r="427">
      <c r="A427" s="4">
        <v>45534.31974291667</v>
      </c>
      <c r="B427" s="5" t="s">
        <v>34</v>
      </c>
      <c r="D427" s="5" t="s">
        <v>280</v>
      </c>
      <c r="E427" s="5" t="s">
        <v>4224</v>
      </c>
      <c r="F427" s="5" t="s">
        <v>108</v>
      </c>
      <c r="G427" s="5" t="s">
        <v>4225</v>
      </c>
      <c r="H427" s="6" t="s">
        <v>4226</v>
      </c>
      <c r="I427" s="7" t="s">
        <v>4227</v>
      </c>
      <c r="J427" s="8" t="str">
        <f>HYPERLINK("https://drive.google.com/file/d/19dnghOCFt5UZLr1tQLjLbyAKn2iAkIVJ/view?usp=drivesdk","LASMAULI BINTARI ANGELIA MANIHURUK, AMd SERTIFIKAT BerAKHLAK")</f>
        <v>LASMAULI BINTARI ANGELIA MANIHURUK, AMd SERTIFIKAT BerAKHLAK</v>
      </c>
      <c r="K427" s="5" t="s">
        <v>4218</v>
      </c>
      <c r="L427" s="5" t="s">
        <v>4228</v>
      </c>
      <c r="M427" s="5" t="s">
        <v>4229</v>
      </c>
      <c r="N427" s="7" t="s">
        <v>4230</v>
      </c>
      <c r="O427" s="8" t="str">
        <f>HYPERLINK("https://drive.google.com/file/d/12sg_OMvZUZUXWRIVRkSfBgx_LvPkbiNZ/view?usp=drivesdk","426_LASMAULI BINTARI ANGELIA MANIHURUK, AMd _ SERTIFIKAT BIMTEK IPASN BerAKHLASK")</f>
        <v>426_LASMAULI BINTARI ANGELIA MANIHURUK, AMd _ SERTIFIKAT BIMTEK IPASN BerAKHLASK</v>
      </c>
      <c r="P427" s="5" t="s">
        <v>4211</v>
      </c>
      <c r="Q427" s="5" t="s">
        <v>4231</v>
      </c>
      <c r="R427" s="7" t="s">
        <v>4232</v>
      </c>
      <c r="S427" s="7" t="str">
        <f>HYPERLINK("https://drive.google.com/file/d/1JSNObDoj9T0BbqYlExSasFj_aIxfo3K_/view?usp=drivesdk","426_LASMAULI BINTARI ANGELIA MANIHURUK, AMd SERTIFIKAT BIMTEK IPASN-BerAKHLAK")</f>
        <v>426_LASMAULI BINTARI ANGELIA MANIHURUK, AMd SERTIFIKAT BIMTEK IPASN-BerAKHLAK</v>
      </c>
      <c r="T427" s="5" t="s">
        <v>4233</v>
      </c>
    </row>
    <row r="428">
      <c r="A428" s="4">
        <v>45534.31976773148</v>
      </c>
      <c r="B428" s="5" t="s">
        <v>34</v>
      </c>
      <c r="D428" s="5" t="s">
        <v>975</v>
      </c>
      <c r="E428" s="5" t="s">
        <v>4234</v>
      </c>
      <c r="F428" s="5" t="s">
        <v>37</v>
      </c>
      <c r="G428" s="5" t="s">
        <v>4235</v>
      </c>
      <c r="H428" s="6" t="s">
        <v>4236</v>
      </c>
      <c r="I428" s="7" t="s">
        <v>4237</v>
      </c>
      <c r="J428" s="8" t="str">
        <f>HYPERLINK("https://drive.google.com/file/d/15cNf4oJjeDAKGriguOeo7qg2kaq8Fra7/view?usp=drivesdk","YEREMIAS EMI,AMAK SERTIFIKAT BerAKHLAK")</f>
        <v>YEREMIAS EMI,AMAK SERTIFIKAT BerAKHLAK</v>
      </c>
      <c r="K428" s="5" t="s">
        <v>3758</v>
      </c>
      <c r="L428" s="5" t="s">
        <v>4238</v>
      </c>
      <c r="M428" s="5" t="s">
        <v>4239</v>
      </c>
      <c r="N428" s="7" t="s">
        <v>4240</v>
      </c>
      <c r="O428" s="8" t="str">
        <f>HYPERLINK("https://drive.google.com/file/d/1ppUiNW_rNV6xflKaz-ZHhjTFDiM__Lqb/view?usp=drivesdk","427_YEREMIAS EMI,AMAK _ SERTIFIKAT BIMTEK IPASN BerAKHLASK")</f>
        <v>427_YEREMIAS EMI,AMAK _ SERTIFIKAT BIMTEK IPASN BerAKHLASK</v>
      </c>
      <c r="P428" s="5" t="s">
        <v>4211</v>
      </c>
      <c r="Q428" s="5" t="s">
        <v>4241</v>
      </c>
      <c r="R428" s="7" t="s">
        <v>4242</v>
      </c>
      <c r="S428" s="7" t="str">
        <f>HYPERLINK("https://drive.google.com/file/d/1Eklq9JUn6my5a_e7ha_uq7gaP8jQwqrK/view?usp=drivesdk","427_YEREMIAS EMI,AMAK SERTIFIKAT BIMTEK IPASN-BerAKHLAK")</f>
        <v>427_YEREMIAS EMI,AMAK SERTIFIKAT BIMTEK IPASN-BerAKHLAK</v>
      </c>
      <c r="T428" s="5" t="s">
        <v>4233</v>
      </c>
    </row>
    <row r="429">
      <c r="A429" s="4">
        <v>45534.31977105324</v>
      </c>
      <c r="B429" s="5" t="s">
        <v>34</v>
      </c>
      <c r="D429" s="5" t="s">
        <v>280</v>
      </c>
      <c r="E429" s="5" t="s">
        <v>4243</v>
      </c>
      <c r="F429" s="5" t="s">
        <v>37</v>
      </c>
      <c r="G429" s="5" t="s">
        <v>4244</v>
      </c>
      <c r="H429" s="6" t="s">
        <v>4245</v>
      </c>
      <c r="I429" s="7" t="s">
        <v>4246</v>
      </c>
      <c r="J429" s="8" t="str">
        <f>HYPERLINK("https://drive.google.com/file/d/1JRkQiGfvkQG_L794TQNu-fs0UdBiYnQX/view?usp=drivesdk","MUHAMAD HAFID ASFAHANI SERTIFIKAT BerAKHLAK")</f>
        <v>MUHAMAD HAFID ASFAHANI SERTIFIKAT BerAKHLAK</v>
      </c>
      <c r="K429" s="5" t="s">
        <v>3758</v>
      </c>
      <c r="L429" s="5" t="s">
        <v>4247</v>
      </c>
      <c r="M429" s="5" t="s">
        <v>4248</v>
      </c>
      <c r="N429" s="7" t="s">
        <v>4249</v>
      </c>
      <c r="O429" s="8" t="str">
        <f>HYPERLINK("https://drive.google.com/file/d/1pOwjoVzv76IsOCiNLOuNVuewApSlolNM/view?usp=drivesdk","428_MUHAMAD HAFID ASFAHANI _ SERTIFIKAT BIMTEK IPASN BerAKHLASK")</f>
        <v>428_MUHAMAD HAFID ASFAHANI _ SERTIFIKAT BIMTEK IPASN BerAKHLASK</v>
      </c>
      <c r="P429" s="5" t="s">
        <v>4211</v>
      </c>
      <c r="Q429" s="5" t="s">
        <v>4250</v>
      </c>
      <c r="R429" s="7" t="s">
        <v>4251</v>
      </c>
      <c r="S429" s="7" t="str">
        <f>HYPERLINK("https://drive.google.com/file/d/1i-zk3qkiXG3lms3vDpLHeO6AYHXvJUsR/view?usp=drivesdk","428_MUHAMAD HAFID ASFAHANI SERTIFIKAT BIMTEK IPASN-BerAKHLAK")</f>
        <v>428_MUHAMAD HAFID ASFAHANI SERTIFIKAT BIMTEK IPASN-BerAKHLAK</v>
      </c>
      <c r="T429" s="5" t="s">
        <v>4233</v>
      </c>
    </row>
    <row r="430">
      <c r="A430" s="4">
        <v>45534.319797013886</v>
      </c>
      <c r="B430" s="5" t="s">
        <v>34</v>
      </c>
      <c r="D430" s="5" t="s">
        <v>280</v>
      </c>
      <c r="E430" s="5" t="s">
        <v>4252</v>
      </c>
      <c r="F430" s="5" t="s">
        <v>212</v>
      </c>
      <c r="G430" s="5" t="s">
        <v>4253</v>
      </c>
      <c r="H430" s="6" t="s">
        <v>4254</v>
      </c>
      <c r="I430" s="7" t="s">
        <v>4255</v>
      </c>
      <c r="J430" s="8" t="str">
        <f>HYPERLINK("https://drive.google.com/file/d/1iIAqGAvwI1xGWf3H_VUp8fTAjArQEN8t/view?usp=drivesdk","OSCAR PRAWIRA, A.Md.Kom SERTIFIKAT BerAKHLAK")</f>
        <v>OSCAR PRAWIRA, A.Md.Kom SERTIFIKAT BerAKHLAK</v>
      </c>
      <c r="K430" s="5" t="s">
        <v>3758</v>
      </c>
      <c r="L430" s="5" t="s">
        <v>4256</v>
      </c>
      <c r="M430" s="5" t="s">
        <v>4257</v>
      </c>
      <c r="N430" s="7" t="s">
        <v>4258</v>
      </c>
      <c r="O430" s="8" t="str">
        <f>HYPERLINK("https://drive.google.com/file/d/1vW9UNmrzxxwOHxn6wtqH7lqdTvre7Sr3/view?usp=drivesdk","429_OSCAR PRAWIRA, A.Md.Kom _ SERTIFIKAT BIMTEK IPASN BerAKHLASK")</f>
        <v>429_OSCAR PRAWIRA, A.Md.Kom _ SERTIFIKAT BIMTEK IPASN BerAKHLASK</v>
      </c>
      <c r="P430" s="5" t="s">
        <v>4211</v>
      </c>
      <c r="Q430" s="5" t="s">
        <v>4259</v>
      </c>
      <c r="R430" s="7" t="s">
        <v>4260</v>
      </c>
      <c r="S430" s="7" t="str">
        <f>HYPERLINK("https://drive.google.com/file/d/1Ia1hEFR6FHxyNIHvT4LJALedugp5vZLo/view?usp=drivesdk","429_OSCAR PRAWIRA, A.Md.Kom SERTIFIKAT BIMTEK IPASN-BerAKHLAK")</f>
        <v>429_OSCAR PRAWIRA, A.Md.Kom SERTIFIKAT BIMTEK IPASN-BerAKHLAK</v>
      </c>
      <c r="T430" s="5" t="s">
        <v>4233</v>
      </c>
    </row>
    <row r="431">
      <c r="A431" s="4">
        <v>45534.31981349537</v>
      </c>
      <c r="B431" s="5" t="s">
        <v>34</v>
      </c>
      <c r="D431" s="5" t="s">
        <v>580</v>
      </c>
      <c r="E431" s="5" t="s">
        <v>4261</v>
      </c>
      <c r="F431" s="5" t="s">
        <v>375</v>
      </c>
      <c r="G431" s="5" t="s">
        <v>4262</v>
      </c>
      <c r="H431" s="6" t="s">
        <v>4263</v>
      </c>
      <c r="I431" s="7" t="s">
        <v>4264</v>
      </c>
      <c r="J431" s="8" t="str">
        <f>HYPERLINK("https://drive.google.com/file/d/1cVxyNPivNPyGWRNBMDVQkMP5X1j0FDtq/view?usp=drivesdk","SRI SAMDHANI UTAMI, S.H. SERTIFIKAT BerAKHLAK")</f>
        <v>SRI SAMDHANI UTAMI, S.H. SERTIFIKAT BerAKHLAK</v>
      </c>
      <c r="K431" s="5" t="s">
        <v>3758</v>
      </c>
      <c r="L431" s="5" t="s">
        <v>4265</v>
      </c>
      <c r="M431" s="5" t="s">
        <v>4266</v>
      </c>
      <c r="N431" s="7" t="s">
        <v>4267</v>
      </c>
      <c r="O431" s="8" t="str">
        <f>HYPERLINK("https://drive.google.com/file/d/12lPtTM01IHJ-o2kFxfNO-DDU0IE3uaKi/view?usp=drivesdk","430_SRI SAMDHANI UTAMI, S.H. _ SERTIFIKAT BIMTEK IPASN BerAKHLASK")</f>
        <v>430_SRI SAMDHANI UTAMI, S.H. _ SERTIFIKAT BIMTEK IPASN BerAKHLASK</v>
      </c>
      <c r="P431" s="5" t="s">
        <v>4268</v>
      </c>
      <c r="Q431" s="5" t="s">
        <v>4269</v>
      </c>
      <c r="R431" s="7" t="s">
        <v>4270</v>
      </c>
      <c r="S431" s="7" t="str">
        <f>HYPERLINK("https://drive.google.com/file/d/1gfw-dmzMy5mnV2rdgBfPad7QT4lP5JdF/view?usp=drivesdk","430_SRI SAMDHANI UTAMI, S.H. SERTIFIKAT BIMTEK IPASN-BerAKHLAK")</f>
        <v>430_SRI SAMDHANI UTAMI, S.H. SERTIFIKAT BIMTEK IPASN-BerAKHLAK</v>
      </c>
      <c r="T431" s="5" t="s">
        <v>4233</v>
      </c>
    </row>
    <row r="432">
      <c r="A432" s="4">
        <v>45534.319871597225</v>
      </c>
      <c r="B432" s="5" t="s">
        <v>34</v>
      </c>
      <c r="D432" s="5" t="s">
        <v>1206</v>
      </c>
      <c r="E432" s="5" t="s">
        <v>4271</v>
      </c>
      <c r="F432" s="5" t="s">
        <v>37</v>
      </c>
      <c r="G432" s="5" t="s">
        <v>4272</v>
      </c>
      <c r="H432" s="6" t="s">
        <v>4273</v>
      </c>
      <c r="I432" s="7" t="s">
        <v>4274</v>
      </c>
      <c r="J432" s="8" t="str">
        <f>HYPERLINK("https://drive.google.com/file/d/1nTD8G6btnT4br_jHpZ9oC3jovCQA9p0b/view?usp=drivesdk","ARI WIDIA RETNO SERTIFIKAT BerAKHLAK")</f>
        <v>ARI WIDIA RETNO SERTIFIKAT BerAKHLAK</v>
      </c>
      <c r="K432" s="5" t="s">
        <v>3758</v>
      </c>
      <c r="L432" s="5" t="s">
        <v>4275</v>
      </c>
      <c r="M432" s="5" t="s">
        <v>4276</v>
      </c>
      <c r="N432" s="7" t="s">
        <v>4277</v>
      </c>
      <c r="O432" s="8" t="str">
        <f>HYPERLINK("https://drive.google.com/file/d/1DpFEJqieLXb3d_Ztsl9wQ9cCYE0r2BTJ/view?usp=drivesdk","431_ARI WIDIA RETNO _ SERTIFIKAT BIMTEK IPASN BerAKHLASK")</f>
        <v>431_ARI WIDIA RETNO _ SERTIFIKAT BIMTEK IPASN BerAKHLASK</v>
      </c>
      <c r="P432" s="5" t="s">
        <v>4268</v>
      </c>
      <c r="Q432" s="5" t="s">
        <v>4278</v>
      </c>
      <c r="R432" s="7" t="s">
        <v>4279</v>
      </c>
      <c r="S432" s="7" t="str">
        <f>HYPERLINK("https://drive.google.com/file/d/16F0U9TOnt9i_GDOreiRMmxu4yB3QRHgi/view?usp=drivesdk","431_ARI WIDIA RETNO SERTIFIKAT BIMTEK IPASN-BerAKHLAK")</f>
        <v>431_ARI WIDIA RETNO SERTIFIKAT BIMTEK IPASN-BerAKHLAK</v>
      </c>
      <c r="T432" s="5" t="s">
        <v>4280</v>
      </c>
    </row>
    <row r="433">
      <c r="A433" s="4">
        <v>45534.31987679398</v>
      </c>
      <c r="B433" s="5" t="s">
        <v>34</v>
      </c>
      <c r="D433" s="5" t="s">
        <v>522</v>
      </c>
      <c r="E433" s="5" t="s">
        <v>4281</v>
      </c>
      <c r="F433" s="5" t="s">
        <v>375</v>
      </c>
      <c r="G433" s="5" t="s">
        <v>4282</v>
      </c>
      <c r="H433" s="6" t="s">
        <v>4283</v>
      </c>
      <c r="I433" s="7" t="s">
        <v>4284</v>
      </c>
      <c r="J433" s="8" t="str">
        <f>HYPERLINK("https://drive.google.com/file/d/1z8L1k3j5C_4pqA2SIKLzTtrhRPr6vekY/view?usp=drivesdk","DIAN MEFIANA, S.E. SERTIFIKAT BerAKHLAK")</f>
        <v>DIAN MEFIANA, S.E. SERTIFIKAT BerAKHLAK</v>
      </c>
      <c r="K433" s="5" t="s">
        <v>3900</v>
      </c>
      <c r="L433" s="5" t="s">
        <v>4285</v>
      </c>
      <c r="M433" s="5" t="s">
        <v>4286</v>
      </c>
      <c r="N433" s="7" t="s">
        <v>4287</v>
      </c>
      <c r="O433" s="8" t="str">
        <f>HYPERLINK("https://drive.google.com/file/d/1ZVhyOQwkcmDrNW7u2_ofJfRFy_rlv61b/view?usp=drivesdk","432_DIAN MEFIANA, S.E. _ SERTIFIKAT BIMTEK IPASN BerAKHLASK")</f>
        <v>432_DIAN MEFIANA, S.E. _ SERTIFIKAT BIMTEK IPASN BerAKHLASK</v>
      </c>
      <c r="P433" s="5" t="s">
        <v>4268</v>
      </c>
      <c r="Q433" s="5" t="s">
        <v>4288</v>
      </c>
      <c r="R433" s="7" t="s">
        <v>4289</v>
      </c>
      <c r="S433" s="7" t="str">
        <f>HYPERLINK("https://drive.google.com/file/d/16R6KMRwcifEC2uopKWs6x9UGuNcMOMsn/view?usp=drivesdk","432_DIAN MEFIANA, S.E. SERTIFIKAT BIMTEK IPASN-BerAKHLAK")</f>
        <v>432_DIAN MEFIANA, S.E. SERTIFIKAT BIMTEK IPASN-BerAKHLAK</v>
      </c>
      <c r="T433" s="5" t="s">
        <v>4290</v>
      </c>
    </row>
    <row r="434">
      <c r="A434" s="4">
        <v>45534.319879421295</v>
      </c>
      <c r="B434" s="5" t="s">
        <v>34</v>
      </c>
      <c r="D434" s="5" t="s">
        <v>580</v>
      </c>
      <c r="E434" s="5" t="s">
        <v>4291</v>
      </c>
      <c r="F434" s="5" t="s">
        <v>37</v>
      </c>
      <c r="G434" s="5" t="s">
        <v>4292</v>
      </c>
      <c r="H434" s="6" t="s">
        <v>4293</v>
      </c>
      <c r="I434" s="7" t="s">
        <v>4294</v>
      </c>
      <c r="J434" s="8" t="str">
        <f>HYPERLINK("https://drive.google.com/file/d/1Tsm3LXLimRv3rD4lxrWpTwLWfzdB-Zuy/view?usp=drivesdk","I WAYAN DIVA DANANJAYA, Amd.Kom. SERTIFIKAT BerAKHLAK")</f>
        <v>I WAYAN DIVA DANANJAYA, Amd.Kom. SERTIFIKAT BerAKHLAK</v>
      </c>
      <c r="K434" s="5" t="s">
        <v>3900</v>
      </c>
      <c r="L434" s="5" t="s">
        <v>4295</v>
      </c>
      <c r="M434" s="5" t="s">
        <v>4296</v>
      </c>
      <c r="N434" s="7" t="s">
        <v>4297</v>
      </c>
      <c r="O434" s="8" t="str">
        <f>HYPERLINK("https://drive.google.com/file/d/1A-je5Dwr_4TsPFrhPU3H6shIGf4s4xbq/view?usp=drivesdk","433_I WAYAN DIVA DANANJAYA, Amd.Kom. _ SERTIFIKAT BIMTEK IPASN BerAKHLASK")</f>
        <v>433_I WAYAN DIVA DANANJAYA, Amd.Kom. _ SERTIFIKAT BIMTEK IPASN BerAKHLASK</v>
      </c>
      <c r="P434" s="5" t="s">
        <v>4268</v>
      </c>
      <c r="Q434" s="5" t="s">
        <v>4298</v>
      </c>
      <c r="R434" s="7" t="s">
        <v>4299</v>
      </c>
      <c r="S434" s="7" t="str">
        <f>HYPERLINK("https://drive.google.com/file/d/1rMbhlL8NoqPDfXn9iRTuHPJGSj-ZO_Nt/view?usp=drivesdk","433_I WAYAN DIVA DANANJAYA, Amd.Kom. SERTIFIKAT BIMTEK IPASN-BerAKHLAK")</f>
        <v>433_I WAYAN DIVA DANANJAYA, Amd.Kom. SERTIFIKAT BIMTEK IPASN-BerAKHLAK</v>
      </c>
      <c r="T434" s="5" t="s">
        <v>4290</v>
      </c>
    </row>
    <row r="435">
      <c r="A435" s="4">
        <v>45534.31991346065</v>
      </c>
      <c r="B435" s="5" t="s">
        <v>34</v>
      </c>
      <c r="D435" s="5" t="s">
        <v>3432</v>
      </c>
      <c r="E435" s="5" t="s">
        <v>4300</v>
      </c>
      <c r="F435" s="5" t="s">
        <v>212</v>
      </c>
      <c r="G435" s="5" t="s">
        <v>4301</v>
      </c>
      <c r="H435" s="6" t="s">
        <v>4302</v>
      </c>
      <c r="I435" s="7" t="s">
        <v>4303</v>
      </c>
      <c r="J435" s="8" t="str">
        <f>HYPERLINK("https://drive.google.com/file/d/1NA7Q0ReCLHSx0Ge3m842GbvgSvXa2uiB/view?usp=drivesdk","FAHNI AULIA SIDIK, A.Md.Kep SERTIFIKAT BerAKHLAK")</f>
        <v>FAHNI AULIA SIDIK, A.Md.Kep SERTIFIKAT BerAKHLAK</v>
      </c>
      <c r="K435" s="5" t="s">
        <v>3758</v>
      </c>
      <c r="L435" s="5" t="s">
        <v>4304</v>
      </c>
      <c r="M435" s="5" t="s">
        <v>4305</v>
      </c>
      <c r="N435" s="7" t="s">
        <v>4306</v>
      </c>
      <c r="O435" s="8" t="str">
        <f>HYPERLINK("https://drive.google.com/file/d/1Tt_Nt2ION3-wE7Wm35Q0gec538_uSjge/view?usp=drivesdk","434_FAHNI AULIA SIDIK, A.Md.Kep _ SERTIFIKAT BIMTEK IPASN BerAKHLASK")</f>
        <v>434_FAHNI AULIA SIDIK, A.Md.Kep _ SERTIFIKAT BIMTEK IPASN BerAKHLASK</v>
      </c>
      <c r="P435" s="5" t="s">
        <v>4307</v>
      </c>
      <c r="Q435" s="5" t="s">
        <v>4308</v>
      </c>
      <c r="R435" s="7" t="s">
        <v>4309</v>
      </c>
      <c r="S435" s="7" t="str">
        <f>HYPERLINK("https://drive.google.com/file/d/1NZV4aHg9ZO-yX6UucDshB_a3BL8s70EZ/view?usp=drivesdk","434_FAHNI AULIA SIDIK, A.Md.Kep SERTIFIKAT BIMTEK IPASN-BerAKHLAK")</f>
        <v>434_FAHNI AULIA SIDIK, A.Md.Kep SERTIFIKAT BIMTEK IPASN-BerAKHLAK</v>
      </c>
      <c r="T435" s="5" t="s">
        <v>4290</v>
      </c>
    </row>
    <row r="436">
      <c r="A436" s="4">
        <v>45534.31994071759</v>
      </c>
      <c r="B436" s="5" t="s">
        <v>34</v>
      </c>
      <c r="D436" s="5" t="s">
        <v>1206</v>
      </c>
      <c r="E436" s="5" t="s">
        <v>4310</v>
      </c>
      <c r="F436" s="5" t="s">
        <v>212</v>
      </c>
      <c r="G436" s="5" t="s">
        <v>4311</v>
      </c>
      <c r="H436" s="6" t="s">
        <v>4312</v>
      </c>
      <c r="I436" s="7" t="s">
        <v>4313</v>
      </c>
      <c r="J436" s="8" t="str">
        <f>HYPERLINK("https://drive.google.com/file/d/1prddupUKE3mA60A6PZ2f5Vq8ARRn99SL/view?usp=drivesdk","GLORIA HERAWATI SERTIFIKAT BerAKHLAK")</f>
        <v>GLORIA HERAWATI SERTIFIKAT BerAKHLAK</v>
      </c>
      <c r="K436" s="5" t="s">
        <v>3758</v>
      </c>
      <c r="L436" s="5" t="s">
        <v>4314</v>
      </c>
      <c r="M436" s="5" t="s">
        <v>4315</v>
      </c>
      <c r="N436" s="7" t="s">
        <v>4316</v>
      </c>
      <c r="O436" s="8" t="str">
        <f>HYPERLINK("https://drive.google.com/file/d/1JO90hwEpBuMqDUsFxDmHaLtNzbsLiVIC/view?usp=drivesdk","435_GLORIA HERAWATI _ SERTIFIKAT BIMTEK IPASN BerAKHLASK")</f>
        <v>435_GLORIA HERAWATI _ SERTIFIKAT BIMTEK IPASN BerAKHLASK</v>
      </c>
      <c r="P436" s="5" t="s">
        <v>4307</v>
      </c>
      <c r="Q436" s="5" t="s">
        <v>4317</v>
      </c>
      <c r="R436" s="7" t="s">
        <v>4318</v>
      </c>
      <c r="S436" s="7" t="str">
        <f>HYPERLINK("https://drive.google.com/file/d/1SZ5Rr02vc_mE8nGHnSLhTUifxNVfIWw1/view?usp=drivesdk","435_GLORIA HERAWATI SERTIFIKAT BIMTEK IPASN-BerAKHLAK")</f>
        <v>435_GLORIA HERAWATI SERTIFIKAT BIMTEK IPASN-BerAKHLAK</v>
      </c>
      <c r="T436" s="5" t="s">
        <v>4290</v>
      </c>
    </row>
    <row r="437">
      <c r="A437" s="4">
        <v>45534.31996474537</v>
      </c>
      <c r="B437" s="5" t="s">
        <v>34</v>
      </c>
      <c r="D437" s="5" t="s">
        <v>1206</v>
      </c>
      <c r="E437" s="5" t="s">
        <v>4319</v>
      </c>
      <c r="F437" s="5" t="s">
        <v>212</v>
      </c>
      <c r="G437" s="5" t="s">
        <v>4320</v>
      </c>
      <c r="H437" s="6" t="s">
        <v>4321</v>
      </c>
      <c r="I437" s="7" t="s">
        <v>4322</v>
      </c>
      <c r="J437" s="8" t="str">
        <f>HYPERLINK("https://drive.google.com/file/d/13L6HzJNdkD484hnDkCd7VOCJ_IafeVL3/view?usp=drivesdk","RINA APRILIAN YUSTITIA  SERTIFIKAT BerAKHLAK")</f>
        <v>RINA APRILIAN YUSTITIA  SERTIFIKAT BerAKHLAK</v>
      </c>
      <c r="K437" s="5" t="s">
        <v>3900</v>
      </c>
      <c r="L437" s="5" t="s">
        <v>4323</v>
      </c>
      <c r="M437" s="5" t="s">
        <v>4324</v>
      </c>
      <c r="N437" s="7" t="s">
        <v>4325</v>
      </c>
      <c r="O437" s="8" t="str">
        <f>HYPERLINK("https://drive.google.com/file/d/11SOTLQy3n2ViDov7Tcdcl2RuEg3CL3vy/view?usp=drivesdk","436_RINA APRILIAN YUSTITIA  _ SERTIFIKAT BIMTEK IPASN BerAKHLASK")</f>
        <v>436_RINA APRILIAN YUSTITIA  _ SERTIFIKAT BIMTEK IPASN BerAKHLASK</v>
      </c>
      <c r="P437" s="5" t="s">
        <v>4307</v>
      </c>
      <c r="Q437" s="5" t="s">
        <v>4326</v>
      </c>
      <c r="R437" s="7" t="s">
        <v>4327</v>
      </c>
      <c r="S437" s="7" t="str">
        <f>HYPERLINK("https://drive.google.com/file/d/1tvA3ecixk5cjZSY2wPZZiFMvq_uzdrGW/view?usp=drivesdk","436_RINA APRILIAN YUSTITIA  SERTIFIKAT BIMTEK IPASN-BerAKHLAK")</f>
        <v>436_RINA APRILIAN YUSTITIA  SERTIFIKAT BIMTEK IPASN-BerAKHLAK</v>
      </c>
      <c r="T437" s="5" t="s">
        <v>4290</v>
      </c>
    </row>
    <row r="438">
      <c r="A438" s="4">
        <v>45534.31999258102</v>
      </c>
      <c r="B438" s="5" t="s">
        <v>34</v>
      </c>
      <c r="D438" s="5" t="s">
        <v>3849</v>
      </c>
      <c r="E438" s="5" t="s">
        <v>4328</v>
      </c>
      <c r="F438" s="5" t="s">
        <v>37</v>
      </c>
      <c r="G438" s="5" t="s">
        <v>4329</v>
      </c>
      <c r="H438" s="6" t="s">
        <v>4330</v>
      </c>
      <c r="I438" s="7" t="s">
        <v>4331</v>
      </c>
      <c r="J438" s="8" t="str">
        <f>HYPERLINK("https://drive.google.com/file/d/1QJtxFP2YiUC_TEzERo4-oPbp_hVffLzd/view?usp=drivesdk","HENNY FITRIANI  SERTIFIKAT BerAKHLAK")</f>
        <v>HENNY FITRIANI  SERTIFIKAT BerAKHLAK</v>
      </c>
      <c r="K438" s="5" t="s">
        <v>3758</v>
      </c>
      <c r="L438" s="5" t="s">
        <v>4332</v>
      </c>
      <c r="M438" s="5" t="s">
        <v>4333</v>
      </c>
      <c r="N438" s="7" t="s">
        <v>4334</v>
      </c>
      <c r="O438" s="8" t="str">
        <f>HYPERLINK("https://drive.google.com/file/d/1oFAAvD1riEBmAjm0qP1D2Ve1hgEhsFeK/view?usp=drivesdk","437_HENNY FITRIANI  _ SERTIFIKAT BIMTEK IPASN BerAKHLASK")</f>
        <v>437_HENNY FITRIANI  _ SERTIFIKAT BIMTEK IPASN BerAKHLASK</v>
      </c>
      <c r="P438" s="5" t="s">
        <v>4307</v>
      </c>
      <c r="Q438" s="5" t="s">
        <v>4335</v>
      </c>
      <c r="R438" s="7" t="s">
        <v>4336</v>
      </c>
      <c r="S438" s="7" t="str">
        <f>HYPERLINK("https://drive.google.com/file/d/1JUvzaSCAZuEQ2rpJGknFYXe27bROdUcU/view?usp=drivesdk","437_HENNY FITRIANI  SERTIFIKAT BIMTEK IPASN-BerAKHLAK")</f>
        <v>437_HENNY FITRIANI  SERTIFIKAT BIMTEK IPASN-BerAKHLAK</v>
      </c>
      <c r="T438" s="5" t="s">
        <v>4337</v>
      </c>
    </row>
    <row r="439">
      <c r="A439" s="4">
        <v>45534.320011909724</v>
      </c>
      <c r="B439" s="5" t="s">
        <v>34</v>
      </c>
      <c r="D439" s="5" t="s">
        <v>3849</v>
      </c>
      <c r="E439" s="5" t="s">
        <v>4338</v>
      </c>
      <c r="F439" s="5" t="s">
        <v>37</v>
      </c>
      <c r="G439" s="5" t="s">
        <v>4339</v>
      </c>
      <c r="H439" s="6" t="s">
        <v>4340</v>
      </c>
      <c r="I439" s="7" t="s">
        <v>4341</v>
      </c>
      <c r="J439" s="8" t="str">
        <f>HYPERLINK("https://drive.google.com/file/d/111N-vh9qzMfld7WdGi9qfICHeqefucNa/view?usp=drivesdk","AMRINA ROSYADA, A.Md.Keb. SERTIFIKAT BerAKHLAK")</f>
        <v>AMRINA ROSYADA, A.Md.Keb. SERTIFIKAT BerAKHLAK</v>
      </c>
      <c r="K439" s="5" t="s">
        <v>3900</v>
      </c>
      <c r="L439" s="5" t="s">
        <v>4342</v>
      </c>
      <c r="M439" s="5" t="s">
        <v>4343</v>
      </c>
      <c r="N439" s="7" t="s">
        <v>4344</v>
      </c>
      <c r="O439" s="8" t="str">
        <f>HYPERLINK("https://drive.google.com/file/d/1yj6plvrb3o0cDuqMweqK9iL7jNqJDQ7Q/view?usp=drivesdk","438_AMRINA ROSYADA, A.Md.Keb. _ SERTIFIKAT BIMTEK IPASN BerAKHLASK")</f>
        <v>438_AMRINA ROSYADA, A.Md.Keb. _ SERTIFIKAT BIMTEK IPASN BerAKHLASK</v>
      </c>
      <c r="P439" s="5" t="s">
        <v>4307</v>
      </c>
      <c r="Q439" s="5" t="s">
        <v>4345</v>
      </c>
      <c r="R439" s="7" t="s">
        <v>4346</v>
      </c>
      <c r="S439" s="7" t="str">
        <f>HYPERLINK("https://drive.google.com/file/d/1bLiGBtozr9hBNOak717boTuTTvtAQSHb/view?usp=drivesdk","438_AMRINA ROSYADA, A.Md.Keb. SERTIFIKAT BIMTEK IPASN-BerAKHLAK")</f>
        <v>438_AMRINA ROSYADA, A.Md.Keb. SERTIFIKAT BIMTEK IPASN-BerAKHLAK</v>
      </c>
      <c r="T439" s="5" t="s">
        <v>4337</v>
      </c>
    </row>
    <row r="440">
      <c r="A440" s="4">
        <v>45534.32003203704</v>
      </c>
      <c r="B440" s="5" t="s">
        <v>34</v>
      </c>
      <c r="D440" s="5" t="s">
        <v>996</v>
      </c>
      <c r="E440" s="5" t="s">
        <v>4347</v>
      </c>
      <c r="F440" s="5" t="s">
        <v>37</v>
      </c>
      <c r="G440" s="5" t="s">
        <v>4348</v>
      </c>
      <c r="H440" s="6" t="s">
        <v>4349</v>
      </c>
      <c r="I440" s="7" t="s">
        <v>4350</v>
      </c>
      <c r="J440" s="8" t="str">
        <f>HYPERLINK("https://drive.google.com/file/d/12n1rBgCEW6StruncqRVzku9iDC1ftDKh/view?usp=drivesdk","MEILINDA SUSANTI SERTIFIKAT BerAKHLAK")</f>
        <v>MEILINDA SUSANTI SERTIFIKAT BerAKHLAK</v>
      </c>
      <c r="K440" s="5" t="s">
        <v>3900</v>
      </c>
      <c r="L440" s="5" t="s">
        <v>4351</v>
      </c>
      <c r="M440" s="5" t="s">
        <v>4352</v>
      </c>
      <c r="N440" s="7" t="s">
        <v>4353</v>
      </c>
      <c r="O440" s="8" t="str">
        <f>HYPERLINK("https://drive.google.com/file/d/1uvHMS2cU-zlO7OlV2awiiZ8ddvIgXbOR/view?usp=drivesdk","439_MEILINDA SUSANTI _ SERTIFIKAT BIMTEK IPASN BerAKHLASK")</f>
        <v>439_MEILINDA SUSANTI _ SERTIFIKAT BIMTEK IPASN BerAKHLASK</v>
      </c>
      <c r="P440" s="5" t="s">
        <v>4307</v>
      </c>
      <c r="Q440" s="5" t="s">
        <v>4354</v>
      </c>
      <c r="R440" s="7" t="s">
        <v>4355</v>
      </c>
      <c r="S440" s="7" t="str">
        <f>HYPERLINK("https://drive.google.com/file/d/1e8EcXKWBScaeoZ3s6vNFeRD2AdeaYiej/view?usp=drivesdk","439_MEILINDA SUSANTI SERTIFIKAT BIMTEK IPASN-BerAKHLAK")</f>
        <v>439_MEILINDA SUSANTI SERTIFIKAT BIMTEK IPASN-BerAKHLAK</v>
      </c>
      <c r="T440" s="5" t="s">
        <v>4337</v>
      </c>
    </row>
    <row r="441" hidden="1">
      <c r="A441" s="4">
        <v>45534.32005142361</v>
      </c>
      <c r="B441" s="5" t="s">
        <v>19</v>
      </c>
      <c r="C441" s="5" t="s">
        <v>292</v>
      </c>
      <c r="E441" s="5" t="s">
        <v>4356</v>
      </c>
      <c r="F441" s="5" t="s">
        <v>524</v>
      </c>
      <c r="G441" s="5" t="s">
        <v>4357</v>
      </c>
      <c r="H441" s="6" t="s">
        <v>4358</v>
      </c>
      <c r="I441" s="7" t="s">
        <v>4359</v>
      </c>
      <c r="J441" s="8" t="str">
        <f>HYPERLINK("https://drive.google.com/file/d/14ADirn9i_bg27_WCse-E3SefOaoaKg10/view?usp=drivesdk","YULIA HARYANI, S.IP SERTIFIKAT BerAKHLAK")</f>
        <v>YULIA HARYANI, S.IP SERTIFIKAT BerAKHLAK</v>
      </c>
      <c r="K441" s="5" t="s">
        <v>3900</v>
      </c>
      <c r="L441" s="5" t="s">
        <v>4360</v>
      </c>
      <c r="M441" s="5" t="s">
        <v>4361</v>
      </c>
      <c r="N441" s="7" t="s">
        <v>4362</v>
      </c>
      <c r="O441" s="8" t="str">
        <f>HYPERLINK("https://drive.google.com/file/d/1pb5U1ewjFUlXtRcZa-TmwwVWqp3hJQt4/view?usp=drivesdk","440_YULIA HARYANI, S.IP _ SERTIFIKAT BIMTEK IPASN BerAKHLASK")</f>
        <v>440_YULIA HARYANI, S.IP _ SERTIFIKAT BIMTEK IPASN BerAKHLASK</v>
      </c>
      <c r="P441" s="5" t="s">
        <v>4363</v>
      </c>
      <c r="Q441" s="5" t="s">
        <v>4364</v>
      </c>
      <c r="R441" s="7" t="s">
        <v>4365</v>
      </c>
      <c r="S441" s="7" t="str">
        <f>HYPERLINK("https://drive.google.com/file/d/1FVw1b0XwuB9Vma8EPJi6LV70sPCDS04O/view?usp=drivesdk","440_YULIA HARYANI, S.IP SERTIFIKAT BIMTEK IPASN-BerAKHLAK")</f>
        <v>440_YULIA HARYANI, S.IP SERTIFIKAT BIMTEK IPASN-BerAKHLAK</v>
      </c>
      <c r="T441" s="5" t="s">
        <v>4337</v>
      </c>
    </row>
    <row r="442">
      <c r="A442" s="4">
        <v>45534.320054780095</v>
      </c>
      <c r="B442" s="5" t="s">
        <v>34</v>
      </c>
      <c r="D442" s="5" t="s">
        <v>35</v>
      </c>
      <c r="E442" s="5" t="s">
        <v>4366</v>
      </c>
      <c r="F442" s="5" t="s">
        <v>37</v>
      </c>
      <c r="G442" s="5" t="s">
        <v>4367</v>
      </c>
      <c r="H442" s="6" t="s">
        <v>4368</v>
      </c>
      <c r="I442" s="7" t="s">
        <v>4369</v>
      </c>
      <c r="J442" s="8" t="str">
        <f>HYPERLINK("https://drive.google.com/file/d/1UxRMIouP1ew2zbQ8Y4QVO1jzmE2OMhST/view?usp=drivesdk","DIAN RESDIANA,AMTE SERTIFIKAT BerAKHLAK")</f>
        <v>DIAN RESDIANA,AMTE SERTIFIKAT BerAKHLAK</v>
      </c>
      <c r="K442" s="5" t="s">
        <v>3900</v>
      </c>
      <c r="L442" s="5" t="s">
        <v>4370</v>
      </c>
      <c r="M442" s="5" t="s">
        <v>4371</v>
      </c>
      <c r="N442" s="7" t="s">
        <v>4372</v>
      </c>
      <c r="O442" s="8" t="str">
        <f>HYPERLINK("https://drive.google.com/file/d/1XSzM9-x6-tniiGzX4d1uThfcmbhZqXVO/view?usp=drivesdk","441_DIAN RESDIANA,AMTE _ SERTIFIKAT BIMTEK IPASN BerAKHLASK")</f>
        <v>441_DIAN RESDIANA,AMTE _ SERTIFIKAT BIMTEK IPASN BerAKHLASK</v>
      </c>
      <c r="P442" s="5" t="s">
        <v>4363</v>
      </c>
      <c r="Q442" s="5" t="s">
        <v>4373</v>
      </c>
      <c r="R442" s="7" t="s">
        <v>4374</v>
      </c>
      <c r="S442" s="7" t="str">
        <f>HYPERLINK("https://drive.google.com/file/d/1MtF-zS5NqZiVI23MSDohVYg5-BLLv96o/view?usp=drivesdk","441_DIAN RESDIANA,AMTE SERTIFIKAT BIMTEK IPASN-BerAKHLAK")</f>
        <v>441_DIAN RESDIANA,AMTE SERTIFIKAT BIMTEK IPASN-BerAKHLAK</v>
      </c>
      <c r="T442" s="5" t="s">
        <v>4337</v>
      </c>
    </row>
    <row r="443">
      <c r="A443" s="4">
        <v>45534.32006885417</v>
      </c>
      <c r="B443" s="5" t="s">
        <v>34</v>
      </c>
      <c r="D443" s="5" t="s">
        <v>1768</v>
      </c>
      <c r="E443" s="5" t="s">
        <v>2147</v>
      </c>
      <c r="F443" s="5" t="s">
        <v>108</v>
      </c>
      <c r="G443" s="5" t="s">
        <v>4375</v>
      </c>
      <c r="H443" s="6" t="s">
        <v>4376</v>
      </c>
      <c r="I443" s="7" t="s">
        <v>4377</v>
      </c>
      <c r="J443" s="8" t="str">
        <f>HYPERLINK("https://drive.google.com/file/d/1EbEXuug61QOws52R748dTFwhLFrISjuF/view?usp=drivesdk","RAME HUTAGAOL SERTIFIKAT BerAKHLAK")</f>
        <v>RAME HUTAGAOL SERTIFIKAT BerAKHLAK</v>
      </c>
      <c r="K443" s="5" t="s">
        <v>3900</v>
      </c>
      <c r="L443" s="5" t="s">
        <v>4378</v>
      </c>
      <c r="M443" s="5" t="s">
        <v>4379</v>
      </c>
      <c r="N443" s="7" t="s">
        <v>4380</v>
      </c>
      <c r="O443" s="8" t="str">
        <f>HYPERLINK("https://drive.google.com/file/d/1d-glFs2M3TWv9H4PGYU5pI_xgC9yL0qI/view?usp=drivesdk","442_RAME HUTAGAOL _ SERTIFIKAT BIMTEK IPASN BerAKHLASK")</f>
        <v>442_RAME HUTAGAOL _ SERTIFIKAT BIMTEK IPASN BerAKHLASK</v>
      </c>
      <c r="P443" s="5" t="s">
        <v>4363</v>
      </c>
      <c r="Q443" s="5" t="s">
        <v>4381</v>
      </c>
      <c r="R443" s="7" t="s">
        <v>4382</v>
      </c>
      <c r="S443" s="7" t="str">
        <f>HYPERLINK("https://drive.google.com/file/d/1r2xZsPhKoFAcoaHs_UC3xrrEvdHs244y/view?usp=drivesdk","442_RAME HUTAGAOL SERTIFIKAT BIMTEK IPASN-BerAKHLAK")</f>
        <v>442_RAME HUTAGAOL SERTIFIKAT BIMTEK IPASN-BerAKHLAK</v>
      </c>
      <c r="T443" s="5" t="s">
        <v>4337</v>
      </c>
    </row>
    <row r="444" hidden="1">
      <c r="A444" s="4">
        <v>45534.320075185184</v>
      </c>
      <c r="B444" s="5" t="s">
        <v>19</v>
      </c>
      <c r="C444" s="5" t="s">
        <v>442</v>
      </c>
      <c r="E444" s="5" t="s">
        <v>4383</v>
      </c>
      <c r="F444" s="5" t="s">
        <v>22</v>
      </c>
      <c r="G444" s="5" t="s">
        <v>4384</v>
      </c>
      <c r="H444" s="6" t="s">
        <v>4385</v>
      </c>
      <c r="I444" s="7" t="s">
        <v>4386</v>
      </c>
      <c r="J444" s="8" t="str">
        <f>HYPERLINK("https://drive.google.com/file/d/1Tngt2Y8KmvgXhWu8Ee67VX5HcQl4Za_o/view?usp=drivesdk","FILIA INDRI DADARI, S.Si SERTIFIKAT BerAKHLAK")</f>
        <v>FILIA INDRI DADARI, S.Si SERTIFIKAT BerAKHLAK</v>
      </c>
      <c r="K444" s="5" t="s">
        <v>3900</v>
      </c>
      <c r="L444" s="5" t="s">
        <v>4387</v>
      </c>
      <c r="M444" s="5" t="s">
        <v>4388</v>
      </c>
      <c r="N444" s="7" t="s">
        <v>4389</v>
      </c>
      <c r="O444" s="8" t="str">
        <f>HYPERLINK("https://drive.google.com/file/d/1okdRV6bN09hYbZrD9sjEY0WHyFYpst-Z/view?usp=drivesdk","443_FILIA INDRI DADARI, S.Si _ SERTIFIKAT BIMTEK IPASN BerAKHLASK")</f>
        <v>443_FILIA INDRI DADARI, S.Si _ SERTIFIKAT BIMTEK IPASN BerAKHLASK</v>
      </c>
      <c r="P444" s="5" t="s">
        <v>4363</v>
      </c>
      <c r="Q444" s="5" t="s">
        <v>4390</v>
      </c>
      <c r="R444" s="7" t="s">
        <v>4391</v>
      </c>
      <c r="S444" s="7" t="str">
        <f>HYPERLINK("https://drive.google.com/file/d/1W09p717x20wGeUdVxIFKQA6jnUkv3E_T/view?usp=drivesdk","443_FILIA INDRI DADARI, S.Si SERTIFIKAT BIMTEK IPASN-BerAKHLAK")</f>
        <v>443_FILIA INDRI DADARI, S.Si SERTIFIKAT BIMTEK IPASN-BerAKHLAK</v>
      </c>
      <c r="T444" s="5" t="s">
        <v>4392</v>
      </c>
    </row>
    <row r="445">
      <c r="A445" s="4">
        <v>45534.32012068287</v>
      </c>
      <c r="B445" s="5" t="s">
        <v>34</v>
      </c>
      <c r="D445" s="5" t="s">
        <v>35</v>
      </c>
      <c r="E445" s="5" t="s">
        <v>4393</v>
      </c>
      <c r="F445" s="5" t="s">
        <v>37</v>
      </c>
      <c r="G445" s="5" t="s">
        <v>4394</v>
      </c>
      <c r="H445" s="6" t="s">
        <v>4395</v>
      </c>
      <c r="I445" s="7" t="s">
        <v>4396</v>
      </c>
      <c r="J445" s="8" t="str">
        <f>HYPERLINK("https://drive.google.com/file/d/1s59ox_nFnYummaWqrpK2VZHkTwvg9FFU/view?usp=drivesdk","LILIS KONARIAH  SERTIFIKAT BerAKHLAK")</f>
        <v>LILIS KONARIAH  SERTIFIKAT BerAKHLAK</v>
      </c>
      <c r="K445" s="5" t="s">
        <v>3900</v>
      </c>
      <c r="L445" s="5" t="s">
        <v>4397</v>
      </c>
      <c r="M445" s="5" t="s">
        <v>4398</v>
      </c>
      <c r="N445" s="7" t="s">
        <v>4399</v>
      </c>
      <c r="O445" s="8" t="str">
        <f>HYPERLINK("https://drive.google.com/file/d/1RDQ0gQm7Q1CTV1d_ICpNn8a2-kG76DDS/view?usp=drivesdk","444_LILIS KONARIAH  _ SERTIFIKAT BIMTEK IPASN BerAKHLASK")</f>
        <v>444_LILIS KONARIAH  _ SERTIFIKAT BIMTEK IPASN BerAKHLASK</v>
      </c>
      <c r="P445" s="5" t="s">
        <v>4363</v>
      </c>
      <c r="Q445" s="5" t="s">
        <v>4400</v>
      </c>
      <c r="R445" s="7" t="s">
        <v>4401</v>
      </c>
      <c r="S445" s="7" t="str">
        <f>HYPERLINK("https://drive.google.com/file/d/11sBLrrwyWp0LCqqmI6hArnB5z3GrncRo/view?usp=drivesdk","444_LILIS KONARIAH  SERTIFIKAT BIMTEK IPASN-BerAKHLAK")</f>
        <v>444_LILIS KONARIAH  SERTIFIKAT BIMTEK IPASN-BerAKHLAK</v>
      </c>
      <c r="T445" s="5" t="s">
        <v>4392</v>
      </c>
    </row>
    <row r="446">
      <c r="A446" s="4">
        <v>45534.32015796297</v>
      </c>
      <c r="B446" s="5" t="s">
        <v>34</v>
      </c>
      <c r="D446" s="5" t="s">
        <v>1206</v>
      </c>
      <c r="E446" s="5" t="s">
        <v>4402</v>
      </c>
      <c r="F446" s="5" t="s">
        <v>212</v>
      </c>
      <c r="G446" s="5" t="s">
        <v>4403</v>
      </c>
      <c r="H446" s="6" t="s">
        <v>4404</v>
      </c>
      <c r="I446" s="7" t="s">
        <v>4405</v>
      </c>
      <c r="J446" s="8" t="str">
        <f>HYPERLINK("https://drive.google.com/file/d/1W3whfkZulYOlONQ9bNpdcLzf6--npYYf/view?usp=drivesdk","PURWANTI OKTAVINA SERTIFIKAT BerAKHLAK")</f>
        <v>PURWANTI OKTAVINA SERTIFIKAT BerAKHLAK</v>
      </c>
      <c r="K446" s="5" t="s">
        <v>3900</v>
      </c>
      <c r="L446" s="5" t="s">
        <v>4406</v>
      </c>
      <c r="M446" s="5" t="s">
        <v>4407</v>
      </c>
      <c r="N446" s="7" t="s">
        <v>4408</v>
      </c>
      <c r="O446" s="8" t="str">
        <f>HYPERLINK("https://drive.google.com/file/d/1LBMXVzeMJaKQhgPkw-zIDq8wd3hdbZr9/view?usp=drivesdk","445_PURWANTI OKTAVINA _ SERTIFIKAT BIMTEK IPASN BerAKHLASK")</f>
        <v>445_PURWANTI OKTAVINA _ SERTIFIKAT BIMTEK IPASN BerAKHLASK</v>
      </c>
      <c r="P446" s="5" t="s">
        <v>4363</v>
      </c>
      <c r="Q446" s="5" t="s">
        <v>4409</v>
      </c>
      <c r="R446" s="7" t="s">
        <v>4410</v>
      </c>
      <c r="S446" s="7" t="str">
        <f>HYPERLINK("https://drive.google.com/file/d/1YFiJZE1K1s9v6r7MEFIhDTW9ixWnUIsC/view?usp=drivesdk","445_PURWANTI OKTAVINA SERTIFIKAT BIMTEK IPASN-BerAKHLAK")</f>
        <v>445_PURWANTI OKTAVINA SERTIFIKAT BIMTEK IPASN-BerAKHLAK</v>
      </c>
      <c r="T446" s="5" t="s">
        <v>4392</v>
      </c>
    </row>
    <row r="447" hidden="1">
      <c r="A447" s="4">
        <v>45534.32018328704</v>
      </c>
      <c r="B447" s="5" t="s">
        <v>19</v>
      </c>
      <c r="C447" s="5" t="s">
        <v>292</v>
      </c>
      <c r="E447" s="5" t="s">
        <v>4411</v>
      </c>
      <c r="F447" s="5" t="s">
        <v>524</v>
      </c>
      <c r="G447" s="5" t="s">
        <v>4412</v>
      </c>
      <c r="H447" s="6" t="s">
        <v>4413</v>
      </c>
      <c r="I447" s="7" t="s">
        <v>4414</v>
      </c>
      <c r="J447" s="8" t="str">
        <f>HYPERLINK("https://drive.google.com/file/d/1Ix1BjJGn0li4r73f3FdGzcHaATHvuL-f/view?usp=drivesdk","ANTONIUS MULYANTO, S. M SERTIFIKAT BerAKHLAK")</f>
        <v>ANTONIUS MULYANTO, S. M SERTIFIKAT BerAKHLAK</v>
      </c>
      <c r="K447" s="5" t="s">
        <v>3900</v>
      </c>
      <c r="L447" s="5" t="s">
        <v>4415</v>
      </c>
      <c r="M447" s="5" t="s">
        <v>4416</v>
      </c>
      <c r="N447" s="7" t="s">
        <v>4417</v>
      </c>
      <c r="O447" s="8" t="str">
        <f>HYPERLINK("https://drive.google.com/file/d/14VM89NvBXf6e7C-GN0NDcpUUnMbmRUMf/view?usp=drivesdk","446_ANTONIUS MULYANTO, S. M _ SERTIFIKAT BIMTEK IPASN BerAKHLASK")</f>
        <v>446_ANTONIUS MULYANTO, S. M _ SERTIFIKAT BIMTEK IPASN BerAKHLASK</v>
      </c>
      <c r="P447" s="5" t="s">
        <v>4418</v>
      </c>
      <c r="Q447" s="5" t="s">
        <v>4419</v>
      </c>
      <c r="R447" s="7" t="s">
        <v>4420</v>
      </c>
      <c r="S447" s="7" t="str">
        <f>HYPERLINK("https://drive.google.com/file/d/1qk_RFqAJIPZJUFYiWtx-Ko7Go3XfpIjm/view?usp=drivesdk","446_ANTONIUS MULYANTO, S. M SERTIFIKAT BIMTEK IPASN-BerAKHLAK")</f>
        <v>446_ANTONIUS MULYANTO, S. M SERTIFIKAT BIMTEK IPASN-BerAKHLAK</v>
      </c>
      <c r="T447" s="5" t="s">
        <v>4392</v>
      </c>
    </row>
    <row r="448">
      <c r="A448" s="4">
        <v>45534.32020716435</v>
      </c>
      <c r="B448" s="5" t="s">
        <v>34</v>
      </c>
      <c r="D448" s="5" t="s">
        <v>280</v>
      </c>
      <c r="E448" s="5" t="s">
        <v>4421</v>
      </c>
      <c r="F448" s="5" t="s">
        <v>108</v>
      </c>
      <c r="G448" s="5" t="s">
        <v>4422</v>
      </c>
      <c r="H448" s="6" t="s">
        <v>4423</v>
      </c>
      <c r="I448" s="7" t="s">
        <v>4424</v>
      </c>
      <c r="J448" s="8" t="str">
        <f>HYPERLINK("https://drive.google.com/file/d/1pQBY9aKynvpySZzXg3uOQCoPOYMY4Oyk/view?usp=drivesdk","MATILLA PAKPAHAN SERTIFIKAT BerAKHLAK")</f>
        <v>MATILLA PAKPAHAN SERTIFIKAT BerAKHLAK</v>
      </c>
      <c r="K448" s="5" t="s">
        <v>3900</v>
      </c>
      <c r="L448" s="5" t="s">
        <v>4425</v>
      </c>
      <c r="M448" s="5" t="s">
        <v>4426</v>
      </c>
      <c r="N448" s="7" t="s">
        <v>4427</v>
      </c>
      <c r="O448" s="8" t="str">
        <f>HYPERLINK("https://drive.google.com/file/d/1Yy9iu0WK6J1FkJP7JAPrzcdZYRW_2YM9/view?usp=drivesdk","447_MATILLA PAKPAHAN _ SERTIFIKAT BIMTEK IPASN BerAKHLASK")</f>
        <v>447_MATILLA PAKPAHAN _ SERTIFIKAT BIMTEK IPASN BerAKHLASK</v>
      </c>
      <c r="P448" s="5" t="s">
        <v>4418</v>
      </c>
      <c r="Q448" s="5" t="s">
        <v>4428</v>
      </c>
      <c r="R448" s="7" t="s">
        <v>4429</v>
      </c>
      <c r="S448" s="7" t="str">
        <f>HYPERLINK("https://drive.google.com/file/d/1JK56gC92K7gFdX3QhNNbZIe58QqYc2_0/view?usp=drivesdk","447_MATILLA PAKPAHAN SERTIFIKAT BIMTEK IPASN-BerAKHLAK")</f>
        <v>447_MATILLA PAKPAHAN SERTIFIKAT BIMTEK IPASN-BerAKHLAK</v>
      </c>
      <c r="T448" s="5" t="s">
        <v>4392</v>
      </c>
    </row>
    <row r="449">
      <c r="A449" s="4">
        <v>45534.320216990745</v>
      </c>
      <c r="B449" s="5" t="s">
        <v>34</v>
      </c>
      <c r="D449" s="5" t="s">
        <v>1206</v>
      </c>
      <c r="E449" s="5" t="s">
        <v>4430</v>
      </c>
      <c r="F449" s="5" t="s">
        <v>37</v>
      </c>
      <c r="G449" s="5" t="s">
        <v>4431</v>
      </c>
      <c r="H449" s="6" t="s">
        <v>4432</v>
      </c>
      <c r="I449" s="7" t="s">
        <v>4433</v>
      </c>
      <c r="J449" s="8" t="str">
        <f>HYPERLINK("https://drive.google.com/file/d/1FIV_5ws2Qpd0selMAW680uEFzRQ1OvR6/view?usp=drivesdk","REZANDI EKA PRATAMA,AMD SERTIFIKAT BerAKHLAK")</f>
        <v>REZANDI EKA PRATAMA,AMD SERTIFIKAT BerAKHLAK</v>
      </c>
      <c r="K449" s="5" t="s">
        <v>3900</v>
      </c>
      <c r="L449" s="5" t="s">
        <v>4434</v>
      </c>
      <c r="M449" s="5" t="s">
        <v>4435</v>
      </c>
      <c r="N449" s="7" t="s">
        <v>4436</v>
      </c>
      <c r="O449" s="8" t="str">
        <f>HYPERLINK("https://drive.google.com/file/d/1C1gSb4Mq5tnmIps1Wq1vRqNhLB-d6643/view?usp=drivesdk","448_REZANDI EKA PRATAMA,AMD _ SERTIFIKAT BIMTEK IPASN BerAKHLASK")</f>
        <v>448_REZANDI EKA PRATAMA,AMD _ SERTIFIKAT BIMTEK IPASN BerAKHLASK</v>
      </c>
      <c r="P449" s="5" t="s">
        <v>4418</v>
      </c>
      <c r="Q449" s="5" t="s">
        <v>4437</v>
      </c>
      <c r="R449" s="7" t="s">
        <v>4438</v>
      </c>
      <c r="S449" s="7" t="str">
        <f>HYPERLINK("https://drive.google.com/file/d/1zAahtEb6l8T3wEApFwlwm-OVZQhuPegv/view?usp=drivesdk","448_REZANDI EKA PRATAMA,AMD SERTIFIKAT BIMTEK IPASN-BerAKHLAK")</f>
        <v>448_REZANDI EKA PRATAMA,AMD SERTIFIKAT BIMTEK IPASN-BerAKHLAK</v>
      </c>
      <c r="T449" s="5" t="s">
        <v>4439</v>
      </c>
    </row>
    <row r="450">
      <c r="A450" s="4">
        <v>45534.320221250004</v>
      </c>
      <c r="B450" s="5" t="s">
        <v>34</v>
      </c>
      <c r="D450" s="5" t="s">
        <v>1206</v>
      </c>
      <c r="E450" s="5" t="s">
        <v>4440</v>
      </c>
      <c r="F450" s="5" t="s">
        <v>212</v>
      </c>
      <c r="G450" s="5" t="s">
        <v>4441</v>
      </c>
      <c r="H450" s="6" t="s">
        <v>4442</v>
      </c>
      <c r="I450" s="7" t="s">
        <v>4443</v>
      </c>
      <c r="J450" s="8" t="str">
        <f>HYPERLINK("https://drive.google.com/file/d/1G-r2dSFc9zC9rWAdIBiT24nw2no1JgyY/view?usp=drivesdk","NINUK DEWI AMBARWATI, S.I.P. SERTIFIKAT BerAKHLAK")</f>
        <v>NINUK DEWI AMBARWATI, S.I.P. SERTIFIKAT BerAKHLAK</v>
      </c>
      <c r="K450" s="5" t="s">
        <v>3900</v>
      </c>
      <c r="L450" s="5" t="s">
        <v>4444</v>
      </c>
      <c r="M450" s="5" t="s">
        <v>4445</v>
      </c>
      <c r="N450" s="7" t="s">
        <v>4446</v>
      </c>
      <c r="O450" s="8" t="str">
        <f>HYPERLINK("https://drive.google.com/file/d/17dVstnN6wIA8Bzvc9hvWEkFo_Mvuyrvl/view?usp=drivesdk","449_NINUK DEWI AMBARWATI, S.I.P. _ SERTIFIKAT BIMTEK IPASN BerAKHLASK")</f>
        <v>449_NINUK DEWI AMBARWATI, S.I.P. _ SERTIFIKAT BIMTEK IPASN BerAKHLASK</v>
      </c>
      <c r="P450" s="5" t="s">
        <v>4418</v>
      </c>
      <c r="Q450" s="5" t="s">
        <v>4447</v>
      </c>
      <c r="R450" s="7" t="s">
        <v>4448</v>
      </c>
      <c r="S450" s="7" t="str">
        <f>HYPERLINK("https://drive.google.com/file/d/1l2rawtviUpyMtOzC-fJz_4KpWbAAx1ZQ/view?usp=drivesdk","449_NINUK DEWI AMBARWATI, S.I.P. SERTIFIKAT BIMTEK IPASN-BerAKHLAK")</f>
        <v>449_NINUK DEWI AMBARWATI, S.I.P. SERTIFIKAT BIMTEK IPASN-BerAKHLAK</v>
      </c>
      <c r="T450" s="5" t="s">
        <v>4439</v>
      </c>
    </row>
    <row r="451">
      <c r="A451" s="4">
        <v>45534.320221041664</v>
      </c>
      <c r="B451" s="5" t="s">
        <v>34</v>
      </c>
      <c r="D451" s="5" t="s">
        <v>522</v>
      </c>
      <c r="E451" s="5" t="s">
        <v>4449</v>
      </c>
      <c r="F451" s="5" t="s">
        <v>37</v>
      </c>
      <c r="G451" s="5" t="s">
        <v>4450</v>
      </c>
      <c r="H451" s="6" t="s">
        <v>4451</v>
      </c>
      <c r="I451" s="7" t="s">
        <v>4452</v>
      </c>
      <c r="J451" s="8" t="str">
        <f>HYPERLINK("https://drive.google.com/file/d/1CwKYAu264Cakoct_-C1Y1O_36CGVhgLE/view?usp=drivesdk","USWATUL HASANAH SERTIFIKAT BerAKHLAK")</f>
        <v>USWATUL HASANAH SERTIFIKAT BerAKHLAK</v>
      </c>
      <c r="K451" s="5" t="s">
        <v>3900</v>
      </c>
      <c r="L451" s="5" t="s">
        <v>4453</v>
      </c>
      <c r="M451" s="5" t="s">
        <v>4454</v>
      </c>
      <c r="N451" s="7" t="s">
        <v>4455</v>
      </c>
      <c r="O451" s="8" t="str">
        <f>HYPERLINK("https://drive.google.com/file/d/1JTOvJMnrV1GF4uaqOUoqhFYrMMiwzMPr/view?usp=drivesdk","450_USWATUL HASANAH _ SERTIFIKAT BIMTEK IPASN BerAKHLASK")</f>
        <v>450_USWATUL HASANAH _ SERTIFIKAT BIMTEK IPASN BerAKHLASK</v>
      </c>
      <c r="P451" s="5" t="s">
        <v>4418</v>
      </c>
      <c r="Q451" s="5" t="s">
        <v>4456</v>
      </c>
      <c r="R451" s="7" t="s">
        <v>4457</v>
      </c>
      <c r="S451" s="7" t="str">
        <f>HYPERLINK("https://drive.google.com/file/d/1H_CMq8hO5JL0lfAAGyLAmkRk5N20BtN-/view?usp=drivesdk","450_USWATUL HASANAH SERTIFIKAT BIMTEK IPASN-BerAKHLAK")</f>
        <v>450_USWATUL HASANAH SERTIFIKAT BIMTEK IPASN-BerAKHLAK</v>
      </c>
      <c r="T451" s="5" t="s">
        <v>4439</v>
      </c>
    </row>
    <row r="452">
      <c r="A452" s="4">
        <v>45534.3202234375</v>
      </c>
      <c r="B452" s="5" t="s">
        <v>34</v>
      </c>
      <c r="D452" s="5" t="s">
        <v>280</v>
      </c>
      <c r="E452" s="5" t="s">
        <v>4458</v>
      </c>
      <c r="F452" s="5" t="s">
        <v>212</v>
      </c>
      <c r="G452" s="5" t="s">
        <v>4459</v>
      </c>
      <c r="H452" s="6" t="s">
        <v>4460</v>
      </c>
      <c r="I452" s="7" t="s">
        <v>4461</v>
      </c>
      <c r="J452" s="8" t="str">
        <f>HYPERLINK("https://drive.google.com/file/d/1-aTg1nKts1EENtKkD0XuIyzYbLk9bS7x/view?usp=drivesdk","ZULFADLI DAULAY SERTIFIKAT BerAKHLAK")</f>
        <v>ZULFADLI DAULAY SERTIFIKAT BerAKHLAK</v>
      </c>
      <c r="K452" s="5" t="s">
        <v>3900</v>
      </c>
      <c r="L452" s="5" t="s">
        <v>4462</v>
      </c>
      <c r="M452" s="5" t="s">
        <v>4463</v>
      </c>
      <c r="N452" s="7" t="s">
        <v>4464</v>
      </c>
      <c r="O452" s="8" t="str">
        <f>HYPERLINK("https://drive.google.com/file/d/1wlT9yB5z4rmd-BlYi0TCbf3dreybmDM7/view?usp=drivesdk","451_ZULFADLI DAULAY _ SERTIFIKAT BIMTEK IPASN BerAKHLASK")</f>
        <v>451_ZULFADLI DAULAY _ SERTIFIKAT BIMTEK IPASN BerAKHLASK</v>
      </c>
      <c r="P452" s="5" t="s">
        <v>4418</v>
      </c>
      <c r="Q452" s="5" t="s">
        <v>4465</v>
      </c>
      <c r="R452" s="7" t="s">
        <v>4466</v>
      </c>
      <c r="S452" s="7" t="str">
        <f>HYPERLINK("https://drive.google.com/file/d/1LGEk9ecGPBs6EUACKbfJfqkd96_eGfdj/view?usp=drivesdk","451_ZULFADLI DAULAY SERTIFIKAT BIMTEK IPASN-BerAKHLAK")</f>
        <v>451_ZULFADLI DAULAY SERTIFIKAT BIMTEK IPASN-BerAKHLAK</v>
      </c>
      <c r="T452" s="5" t="s">
        <v>4439</v>
      </c>
    </row>
    <row r="453">
      <c r="A453" s="4">
        <v>45534.320249895834</v>
      </c>
      <c r="B453" s="5" t="s">
        <v>34</v>
      </c>
      <c r="D453" s="5" t="s">
        <v>280</v>
      </c>
      <c r="E453" s="5" t="s">
        <v>4467</v>
      </c>
      <c r="F453" s="5" t="s">
        <v>375</v>
      </c>
      <c r="G453" s="5" t="s">
        <v>4468</v>
      </c>
      <c r="H453" s="6" t="s">
        <v>4469</v>
      </c>
      <c r="I453" s="7" t="s">
        <v>4470</v>
      </c>
      <c r="J453" s="8" t="str">
        <f>HYPERLINK("https://drive.google.com/file/d/1F2Bs_9OhezFxLNR930A9S6oVAf8_jS__/view?usp=drivesdk","SEVNA SYOLEARI, S.E. SERTIFIKAT BerAKHLAK")</f>
        <v>SEVNA SYOLEARI, S.E. SERTIFIKAT BerAKHLAK</v>
      </c>
      <c r="K453" s="5" t="s">
        <v>3900</v>
      </c>
      <c r="L453" s="5" t="s">
        <v>4471</v>
      </c>
      <c r="M453" s="5" t="s">
        <v>4472</v>
      </c>
      <c r="N453" s="7" t="s">
        <v>4473</v>
      </c>
      <c r="O453" s="8" t="str">
        <f>HYPERLINK("https://drive.google.com/file/d/1o9MmrThv54Xf1ByAIE7mY3IAgf3jHpD3/view?usp=drivesdk","452_SEVNA SYOLEARI, S.E. _ SERTIFIKAT BIMTEK IPASN BerAKHLASK")</f>
        <v>452_SEVNA SYOLEARI, S.E. _ SERTIFIKAT BIMTEK IPASN BerAKHLASK</v>
      </c>
      <c r="P453" s="5" t="s">
        <v>4474</v>
      </c>
      <c r="Q453" s="5" t="s">
        <v>4475</v>
      </c>
      <c r="R453" s="7" t="s">
        <v>4476</v>
      </c>
      <c r="S453" s="7" t="str">
        <f>HYPERLINK("https://drive.google.com/file/d/1JVbPz1HRgM1kJ8oUu7ucxETQb2S-oHpJ/view?usp=drivesdk","452_SEVNA SYOLEARI, S.E. SERTIFIKAT BIMTEK IPASN-BerAKHLAK")</f>
        <v>452_SEVNA SYOLEARI, S.E. SERTIFIKAT BIMTEK IPASN-BerAKHLAK</v>
      </c>
      <c r="T453" s="5" t="s">
        <v>4439</v>
      </c>
    </row>
    <row r="454">
      <c r="A454" s="4">
        <v>45534.3202591088</v>
      </c>
      <c r="B454" s="5" t="s">
        <v>34</v>
      </c>
      <c r="D454" s="5" t="s">
        <v>996</v>
      </c>
      <c r="E454" s="5" t="s">
        <v>4477</v>
      </c>
      <c r="F454" s="5" t="s">
        <v>212</v>
      </c>
      <c r="G454" s="5" t="s">
        <v>4478</v>
      </c>
      <c r="H454" s="6" t="s">
        <v>4479</v>
      </c>
      <c r="I454" s="7" t="s">
        <v>4480</v>
      </c>
      <c r="J454" s="8" t="str">
        <f>HYPERLINK("https://drive.google.com/file/d/1ba_biI2XtOKkraFdgloEIL4VmaRUqAMb/view?usp=drivesdk","DEWANTI DWI ANGGRAINI SERTIFIKAT BerAKHLAK")</f>
        <v>DEWANTI DWI ANGGRAINI SERTIFIKAT BerAKHLAK</v>
      </c>
      <c r="K454" s="5" t="s">
        <v>3900</v>
      </c>
      <c r="L454" s="5" t="s">
        <v>4481</v>
      </c>
      <c r="M454" s="5" t="s">
        <v>4482</v>
      </c>
      <c r="N454" s="7" t="s">
        <v>4483</v>
      </c>
      <c r="O454" s="8" t="str">
        <f>HYPERLINK("https://drive.google.com/file/d/1c4yvpVGjmDqQtRMhm6-6I9bjfssZQIC8/view?usp=drivesdk","453_DEWANTI DWI ANGGRAINI _ SERTIFIKAT BIMTEK IPASN BerAKHLASK")</f>
        <v>453_DEWANTI DWI ANGGRAINI _ SERTIFIKAT BIMTEK IPASN BerAKHLASK</v>
      </c>
      <c r="P454" s="5" t="s">
        <v>4474</v>
      </c>
      <c r="Q454" s="5" t="s">
        <v>4484</v>
      </c>
      <c r="R454" s="7" t="s">
        <v>4485</v>
      </c>
      <c r="S454" s="7" t="str">
        <f>HYPERLINK("https://drive.google.com/file/d/15TmqMmBsLfexH0pL7JqPRQjVqU9DxoVi/view?usp=drivesdk","453_DEWANTI DWI ANGGRAINI SERTIFIKAT BIMTEK IPASN-BerAKHLAK")</f>
        <v>453_DEWANTI DWI ANGGRAINI SERTIFIKAT BIMTEK IPASN-BerAKHLAK</v>
      </c>
      <c r="T454" s="5" t="s">
        <v>4486</v>
      </c>
    </row>
    <row r="455">
      <c r="A455" s="4">
        <v>45534.32027762731</v>
      </c>
      <c r="B455" s="5" t="s">
        <v>34</v>
      </c>
      <c r="D455" s="5" t="s">
        <v>1206</v>
      </c>
      <c r="E455" s="5" t="s">
        <v>4487</v>
      </c>
      <c r="F455" s="5" t="s">
        <v>37</v>
      </c>
      <c r="G455" s="5" t="s">
        <v>4488</v>
      </c>
      <c r="H455" s="6" t="s">
        <v>4489</v>
      </c>
      <c r="I455" s="7" t="s">
        <v>4490</v>
      </c>
      <c r="J455" s="8" t="str">
        <f>HYPERLINK("https://drive.google.com/file/d/1hNXxqZIhHjR1dnSSSAJl_Hrp8XiKXc6h/view?usp=drivesdk","PENGATUR AGUS SUWANTO SERTIFIKAT BerAKHLAK")</f>
        <v>PENGATUR AGUS SUWANTO SERTIFIKAT BerAKHLAK</v>
      </c>
      <c r="K455" s="5" t="s">
        <v>3900</v>
      </c>
      <c r="L455" s="5" t="s">
        <v>4491</v>
      </c>
      <c r="M455" s="5" t="s">
        <v>4492</v>
      </c>
      <c r="N455" s="7" t="s">
        <v>4493</v>
      </c>
      <c r="O455" s="8" t="str">
        <f>HYPERLINK("https://drive.google.com/file/d/1dES-ij-6T3pwIzoTTfISJwgCkMIET_5y/view?usp=drivesdk","454_PENGATUR AGUS SUWANTO _ SERTIFIKAT BIMTEK IPASN BerAKHLASK")</f>
        <v>454_PENGATUR AGUS SUWANTO _ SERTIFIKAT BIMTEK IPASN BerAKHLASK</v>
      </c>
      <c r="P455" s="5" t="s">
        <v>4474</v>
      </c>
      <c r="Q455" s="5" t="s">
        <v>4494</v>
      </c>
      <c r="R455" s="7" t="s">
        <v>4495</v>
      </c>
      <c r="S455" s="7" t="str">
        <f>HYPERLINK("https://drive.google.com/file/d/1f385dhBzwqSvkH800V1mxOq4gocaDkqC/view?usp=drivesdk","454_PENGATUR AGUS SUWANTO SERTIFIKAT BIMTEK IPASN-BerAKHLAK")</f>
        <v>454_PENGATUR AGUS SUWANTO SERTIFIKAT BIMTEK IPASN-BerAKHLAK</v>
      </c>
      <c r="T455" s="5" t="s">
        <v>4486</v>
      </c>
    </row>
    <row r="456" hidden="1">
      <c r="A456" s="4">
        <v>45534.32029721065</v>
      </c>
      <c r="B456" s="5" t="s">
        <v>19</v>
      </c>
      <c r="C456" s="5" t="s">
        <v>292</v>
      </c>
      <c r="E456" s="5" t="s">
        <v>4496</v>
      </c>
      <c r="F456" s="5" t="s">
        <v>199</v>
      </c>
      <c r="G456" s="5" t="s">
        <v>4497</v>
      </c>
      <c r="H456" s="6" t="s">
        <v>4498</v>
      </c>
      <c r="I456" s="7" t="s">
        <v>4499</v>
      </c>
      <c r="J456" s="8" t="str">
        <f>HYPERLINK("https://drive.google.com/file/d/1RnlfhCVvKkEikqsb_duk9X1TQbKtBO0K/view?usp=drivesdk","ARY KUNCAHYANI AMD.KEP SERTIFIKAT BerAKHLAK")</f>
        <v>ARY KUNCAHYANI AMD.KEP SERTIFIKAT BerAKHLAK</v>
      </c>
      <c r="K456" s="5" t="s">
        <v>3900</v>
      </c>
      <c r="L456" s="5" t="s">
        <v>4500</v>
      </c>
      <c r="M456" s="5" t="s">
        <v>4501</v>
      </c>
      <c r="N456" s="7" t="s">
        <v>4502</v>
      </c>
      <c r="O456" s="8" t="str">
        <f>HYPERLINK("https://drive.google.com/file/d/1-xOdcU6CAa3RB8Ih2i2xwUNp9wwXMfZ3/view?usp=drivesdk","455_ARY KUNCAHYANI AMD.KEP _ SERTIFIKAT BIMTEK IPASN BerAKHLASK")</f>
        <v>455_ARY KUNCAHYANI AMD.KEP _ SERTIFIKAT BIMTEK IPASN BerAKHLASK</v>
      </c>
      <c r="P456" s="5" t="s">
        <v>4474</v>
      </c>
      <c r="Q456" s="5" t="s">
        <v>4503</v>
      </c>
      <c r="R456" s="7" t="s">
        <v>4504</v>
      </c>
      <c r="S456" s="7" t="str">
        <f>HYPERLINK("https://drive.google.com/file/d/1N28432BeM-kRpkdz0znUzjNyjeYQXD2c/view?usp=drivesdk","455_ARY KUNCAHYANI AMD.KEP SERTIFIKAT BIMTEK IPASN-BerAKHLAK")</f>
        <v>455_ARY KUNCAHYANI AMD.KEP SERTIFIKAT BIMTEK IPASN-BerAKHLAK</v>
      </c>
      <c r="T456" s="5" t="s">
        <v>4486</v>
      </c>
    </row>
    <row r="457">
      <c r="A457" s="4">
        <v>45534.32031164352</v>
      </c>
      <c r="B457" s="5" t="s">
        <v>34</v>
      </c>
      <c r="D457" s="5" t="s">
        <v>1206</v>
      </c>
      <c r="E457" s="5" t="s">
        <v>4505</v>
      </c>
      <c r="F457" s="5" t="s">
        <v>212</v>
      </c>
      <c r="G457" s="5" t="s">
        <v>4506</v>
      </c>
      <c r="H457" s="6" t="s">
        <v>4507</v>
      </c>
      <c r="I457" s="7" t="s">
        <v>4508</v>
      </c>
      <c r="J457" s="8" t="str">
        <f>HYPERLINK("https://drive.google.com/file/d/1D7gnildjiLUmQOdyRDfgvnBA1uD_NfNs/view?usp=drivesdk","NELY WIDIASTUTI SERTIFIKAT BerAKHLAK")</f>
        <v>NELY WIDIASTUTI SERTIFIKAT BerAKHLAK</v>
      </c>
      <c r="K457" s="5" t="s">
        <v>3900</v>
      </c>
      <c r="L457" s="5" t="s">
        <v>4509</v>
      </c>
      <c r="M457" s="5" t="s">
        <v>4510</v>
      </c>
      <c r="N457" s="7" t="s">
        <v>4511</v>
      </c>
      <c r="O457" s="8" t="str">
        <f>HYPERLINK("https://drive.google.com/file/d/17WTkOWU5fttJjmi3JGMABPXDHJ7n-HCk/view?usp=drivesdk","456_NELY WIDIASTUTI _ SERTIFIKAT BIMTEK IPASN BerAKHLASK")</f>
        <v>456_NELY WIDIASTUTI _ SERTIFIKAT BIMTEK IPASN BerAKHLASK</v>
      </c>
      <c r="P457" s="5" t="s">
        <v>4474</v>
      </c>
      <c r="Q457" s="5" t="s">
        <v>4512</v>
      </c>
      <c r="R457" s="7" t="s">
        <v>4513</v>
      </c>
      <c r="S457" s="7" t="str">
        <f>HYPERLINK("https://drive.google.com/file/d/1vhT1Zqt-rWizxrpEZnaQL1Sr6YwY7_9q/view?usp=drivesdk","456_NELY WIDIASTUTI SERTIFIKAT BIMTEK IPASN-BerAKHLAK")</f>
        <v>456_NELY WIDIASTUTI SERTIFIKAT BIMTEK IPASN-BerAKHLAK</v>
      </c>
      <c r="T457" s="5" t="s">
        <v>4486</v>
      </c>
    </row>
    <row r="458">
      <c r="A458" s="4">
        <v>45534.32037372685</v>
      </c>
      <c r="B458" s="5" t="s">
        <v>34</v>
      </c>
      <c r="D458" s="5" t="s">
        <v>1206</v>
      </c>
      <c r="E458" s="5" t="s">
        <v>4514</v>
      </c>
      <c r="F458" s="5" t="s">
        <v>212</v>
      </c>
      <c r="G458" s="5" t="s">
        <v>4515</v>
      </c>
      <c r="H458" s="6" t="s">
        <v>4516</v>
      </c>
      <c r="I458" s="7" t="s">
        <v>4517</v>
      </c>
      <c r="J458" s="8" t="str">
        <f>HYPERLINK("https://drive.google.com/file/d/1cKkR3GeZTzh3TzraL-aobyEOQ2pXU9uf/view?usp=drivesdk","NANIN INDRIANA SERTIFIKAT BerAKHLAK")</f>
        <v>NANIN INDRIANA SERTIFIKAT BerAKHLAK</v>
      </c>
      <c r="K458" s="5" t="s">
        <v>3900</v>
      </c>
      <c r="L458" s="5" t="s">
        <v>4518</v>
      </c>
      <c r="M458" s="5" t="s">
        <v>4519</v>
      </c>
      <c r="N458" s="7" t="s">
        <v>4520</v>
      </c>
      <c r="O458" s="8" t="str">
        <f>HYPERLINK("https://drive.google.com/file/d/18uNJSNZfDT5VDdXmnSrkMwChsOY7PDKI/view?usp=drivesdk","457_NANIN INDRIANA _ SERTIFIKAT BIMTEK IPASN BerAKHLASK")</f>
        <v>457_NANIN INDRIANA _ SERTIFIKAT BIMTEK IPASN BerAKHLASK</v>
      </c>
      <c r="P458" s="5" t="s">
        <v>4474</v>
      </c>
      <c r="Q458" s="5" t="s">
        <v>4521</v>
      </c>
      <c r="R458" s="7" t="s">
        <v>4522</v>
      </c>
      <c r="S458" s="7" t="str">
        <f>HYPERLINK("https://drive.google.com/file/d/13TOUzaJ9ZpckTKFmBQzHj16T47wOOxb3/view?usp=drivesdk","457_NANIN INDRIANA SERTIFIKAT BIMTEK IPASN-BerAKHLAK")</f>
        <v>457_NANIN INDRIANA SERTIFIKAT BIMTEK IPASN-BerAKHLAK</v>
      </c>
      <c r="T458" s="5" t="s">
        <v>4486</v>
      </c>
    </row>
    <row r="459">
      <c r="A459" s="4">
        <v>45534.32038320602</v>
      </c>
      <c r="B459" s="5" t="s">
        <v>34</v>
      </c>
      <c r="D459" s="5" t="s">
        <v>996</v>
      </c>
      <c r="E459" s="5" t="s">
        <v>4523</v>
      </c>
      <c r="F459" s="5" t="s">
        <v>212</v>
      </c>
      <c r="G459" s="5" t="s">
        <v>4524</v>
      </c>
      <c r="H459" s="6" t="s">
        <v>4525</v>
      </c>
      <c r="I459" s="7" t="s">
        <v>4526</v>
      </c>
      <c r="J459" s="8" t="str">
        <f>HYPERLINK("https://drive.google.com/file/d/120ss0j9KMizN9SXPD8-bo_7nyMWxNWLI/view?usp=drivesdk","NURUL KHOTIMAH, SAP. SERTIFIKAT BerAKHLAK")</f>
        <v>NURUL KHOTIMAH, SAP. SERTIFIKAT BerAKHLAK</v>
      </c>
      <c r="K459" s="5" t="s">
        <v>3900</v>
      </c>
      <c r="L459" s="5" t="s">
        <v>4527</v>
      </c>
      <c r="M459" s="5" t="s">
        <v>4528</v>
      </c>
      <c r="N459" s="7" t="s">
        <v>4529</v>
      </c>
      <c r="O459" s="8" t="str">
        <f>HYPERLINK("https://drive.google.com/file/d/14fMN9c1m74OXZ8fyHFLv0qrmOCr4eojh/view?usp=drivesdk","458_NURUL KHOTIMAH, SAP. _ SERTIFIKAT BIMTEK IPASN BerAKHLASK")</f>
        <v>458_NURUL KHOTIMAH, SAP. _ SERTIFIKAT BIMTEK IPASN BerAKHLASK</v>
      </c>
      <c r="P459" s="5" t="s">
        <v>4530</v>
      </c>
      <c r="Q459" s="5" t="s">
        <v>4531</v>
      </c>
      <c r="R459" s="7" t="s">
        <v>4532</v>
      </c>
      <c r="S459" s="7" t="str">
        <f>HYPERLINK("https://drive.google.com/file/d/1EW4fV3mI7c8KiKUQA4Y3Bacua1UtZ8by/view?usp=drivesdk","458_NURUL KHOTIMAH, SAP. SERTIFIKAT BIMTEK IPASN-BerAKHLAK")</f>
        <v>458_NURUL KHOTIMAH, SAP. SERTIFIKAT BIMTEK IPASN-BerAKHLAK</v>
      </c>
      <c r="T459" s="5" t="s">
        <v>4233</v>
      </c>
    </row>
    <row r="460" hidden="1">
      <c r="A460" s="4">
        <v>45534.320398854165</v>
      </c>
      <c r="B460" s="5" t="s">
        <v>19</v>
      </c>
      <c r="C460" s="5" t="s">
        <v>442</v>
      </c>
      <c r="E460" s="5" t="s">
        <v>4533</v>
      </c>
      <c r="F460" s="5" t="s">
        <v>22</v>
      </c>
      <c r="G460" s="5" t="s">
        <v>4534</v>
      </c>
      <c r="H460" s="6" t="s">
        <v>4535</v>
      </c>
      <c r="I460" s="7" t="s">
        <v>4536</v>
      </c>
      <c r="J460" s="8" t="str">
        <f>HYPERLINK("https://drive.google.com/file/d/1cMxwW9xxzF7kFou5bpma2szlNw1X9hod/view?usp=drivesdk","VERA KARTIANA APRILIA, S.E., M.AP. SERTIFIKAT BerAKHLAK")</f>
        <v>VERA KARTIANA APRILIA, S.E., M.AP. SERTIFIKAT BerAKHLAK</v>
      </c>
      <c r="K460" s="5" t="s">
        <v>3900</v>
      </c>
      <c r="L460" s="5" t="s">
        <v>4537</v>
      </c>
      <c r="M460" s="5" t="s">
        <v>4538</v>
      </c>
      <c r="N460" s="7" t="s">
        <v>4539</v>
      </c>
      <c r="O460" s="8" t="str">
        <f>HYPERLINK("https://drive.google.com/file/d/1ANJzaAk5ZFP0mgfxx6ivsCOWBP-B6lbr/view?usp=drivesdk","459_VERA KARTIANA APRILIA, S.E., M.AP. _ SERTIFIKAT BIMTEK IPASN BerAKHLASK")</f>
        <v>459_VERA KARTIANA APRILIA, S.E., M.AP. _ SERTIFIKAT BIMTEK IPASN BerAKHLASK</v>
      </c>
      <c r="P460" s="5" t="s">
        <v>4530</v>
      </c>
      <c r="Q460" s="5" t="s">
        <v>4540</v>
      </c>
      <c r="R460" s="7" t="s">
        <v>4541</v>
      </c>
      <c r="S460" s="7" t="str">
        <f>HYPERLINK("https://drive.google.com/file/d/1KtVh1lYmMEawaHzVSjUv75y3V2W6UaqP/view?usp=drivesdk","459_VERA KARTIANA APRILIA, S.E., M.AP. SERTIFIKAT BIMTEK IPASN-BerAKHLAK")</f>
        <v>459_VERA KARTIANA APRILIA, S.E., M.AP. SERTIFIKAT BIMTEK IPASN-BerAKHLAK</v>
      </c>
      <c r="T460" s="5" t="s">
        <v>4542</v>
      </c>
    </row>
    <row r="461" hidden="1">
      <c r="A461" s="4">
        <v>45534.320420902775</v>
      </c>
      <c r="B461" s="5" t="s">
        <v>19</v>
      </c>
      <c r="C461" s="5" t="s">
        <v>292</v>
      </c>
      <c r="E461" s="5" t="s">
        <v>4543</v>
      </c>
      <c r="F461" s="5" t="s">
        <v>524</v>
      </c>
      <c r="G461" s="5" t="s">
        <v>4544</v>
      </c>
      <c r="H461" s="6" t="s">
        <v>4545</v>
      </c>
      <c r="I461" s="7" t="s">
        <v>4546</v>
      </c>
      <c r="J461" s="8" t="str">
        <f>HYPERLINK("https://drive.google.com/file/d/15k6kwD7Bwj1q4-nukg-kjn7C9jiCjFRZ/view?usp=drivesdk","IMAS MULYANI, S.M. SERTIFIKAT BerAKHLAK")</f>
        <v>IMAS MULYANI, S.M. SERTIFIKAT BerAKHLAK</v>
      </c>
      <c r="K461" s="5" t="s">
        <v>3900</v>
      </c>
      <c r="L461" s="5" t="s">
        <v>4547</v>
      </c>
      <c r="M461" s="5" t="s">
        <v>4548</v>
      </c>
      <c r="N461" s="7" t="s">
        <v>4549</v>
      </c>
      <c r="O461" s="8" t="str">
        <f>HYPERLINK("https://drive.google.com/file/d/1krSVX0jg4whWopxfbeC_YLpopg0zFoxy/view?usp=drivesdk","460_IMAS MULYANI, S.M. _ SERTIFIKAT BIMTEK IPASN BerAKHLASK")</f>
        <v>460_IMAS MULYANI, S.M. _ SERTIFIKAT BIMTEK IPASN BerAKHLASK</v>
      </c>
      <c r="P461" s="5" t="s">
        <v>4530</v>
      </c>
      <c r="Q461" s="5" t="s">
        <v>4550</v>
      </c>
      <c r="R461" s="7" t="s">
        <v>4551</v>
      </c>
      <c r="S461" s="7" t="str">
        <f>HYPERLINK("https://drive.google.com/file/d/1Gyo7x2ycvMBmpaZVoaS0qCdUIKjpaqPn/view?usp=drivesdk","460_IMAS MULYANI, S.M. SERTIFIKAT BIMTEK IPASN-BerAKHLAK")</f>
        <v>460_IMAS MULYANI, S.M. SERTIFIKAT BIMTEK IPASN-BerAKHLAK</v>
      </c>
      <c r="T461" s="5" t="s">
        <v>4542</v>
      </c>
    </row>
    <row r="462">
      <c r="A462" s="4">
        <v>45534.32042701389</v>
      </c>
      <c r="B462" s="5" t="s">
        <v>34</v>
      </c>
      <c r="D462" s="5" t="s">
        <v>267</v>
      </c>
      <c r="E462" s="5" t="s">
        <v>4552</v>
      </c>
      <c r="F462" s="5" t="s">
        <v>72</v>
      </c>
      <c r="G462" s="5" t="s">
        <v>4553</v>
      </c>
      <c r="H462" s="6" t="s">
        <v>4554</v>
      </c>
      <c r="I462" s="7" t="s">
        <v>4555</v>
      </c>
      <c r="J462" s="8" t="str">
        <f>HYPERLINK("https://drive.google.com/file/d/164baYnjyrwzXoYW9iWUGe0vq9dD85EW5/view?usp=drivesdk","ASIH PRIYATMI, S.SOS SERTIFIKAT BerAKHLAK")</f>
        <v>ASIH PRIYATMI, S.SOS SERTIFIKAT BerAKHLAK</v>
      </c>
      <c r="K462" s="5" t="s">
        <v>4218</v>
      </c>
      <c r="L462" s="5" t="s">
        <v>4556</v>
      </c>
      <c r="M462" s="5" t="s">
        <v>4557</v>
      </c>
      <c r="N462" s="7" t="s">
        <v>4558</v>
      </c>
      <c r="O462" s="8" t="str">
        <f>HYPERLINK("https://drive.google.com/file/d/1_RCP2tZdMzblo45s-wy2rYpdjQKbl3xN/view?usp=drivesdk","461_ASIH PRIYATMI, S.SOS _ SERTIFIKAT BIMTEK IPASN BerAKHLASK")</f>
        <v>461_ASIH PRIYATMI, S.SOS _ SERTIFIKAT BIMTEK IPASN BerAKHLASK</v>
      </c>
      <c r="P462" s="5" t="s">
        <v>4530</v>
      </c>
      <c r="Q462" s="5" t="s">
        <v>4559</v>
      </c>
      <c r="R462" s="7" t="s">
        <v>4560</v>
      </c>
      <c r="S462" s="7" t="str">
        <f>HYPERLINK("https://drive.google.com/file/d/1lJUipUuN82pwRXlnCNPD7wE4-lsxpI0w/view?usp=drivesdk","461_ASIH PRIYATMI, S.SOS SERTIFIKAT BIMTEK IPASN-BerAKHLAK")</f>
        <v>461_ASIH PRIYATMI, S.SOS SERTIFIKAT BIMTEK IPASN-BerAKHLAK</v>
      </c>
      <c r="T462" s="5" t="s">
        <v>4542</v>
      </c>
    </row>
    <row r="463">
      <c r="A463" s="4">
        <v>45534.32043378473</v>
      </c>
      <c r="B463" s="5" t="s">
        <v>34</v>
      </c>
      <c r="D463" s="5" t="s">
        <v>1692</v>
      </c>
      <c r="E463" s="5" t="s">
        <v>4561</v>
      </c>
      <c r="F463" s="5" t="s">
        <v>375</v>
      </c>
      <c r="G463" s="5" t="s">
        <v>4562</v>
      </c>
      <c r="H463" s="6" t="s">
        <v>4563</v>
      </c>
      <c r="I463" s="7" t="s">
        <v>4564</v>
      </c>
      <c r="J463" s="8" t="str">
        <f>HYPERLINK("https://drive.google.com/file/d/1ehtId5DUmngpxwSdx5k0MSJJW1AbNVeT/view?usp=drivesdk","KANDIDUS TARAS NIKODEMUS, S.Kom. SERTIFIKAT BerAKHLAK")</f>
        <v>KANDIDUS TARAS NIKODEMUS, S.Kom. SERTIFIKAT BerAKHLAK</v>
      </c>
      <c r="K463" s="5" t="s">
        <v>4218</v>
      </c>
      <c r="L463" s="5" t="s">
        <v>4565</v>
      </c>
      <c r="M463" s="5" t="s">
        <v>4566</v>
      </c>
      <c r="N463" s="7" t="s">
        <v>4567</v>
      </c>
      <c r="O463" s="8" t="str">
        <f>HYPERLINK("https://drive.google.com/file/d/1zzLYIrLY8ZI7d-XIGqbCyqBc7CoYYzl6/view?usp=drivesdk","462_KANDIDUS TARAS NIKODEMUS, S.Kom. _ SERTIFIKAT BIMTEK IPASN BerAKHLASK")</f>
        <v>462_KANDIDUS TARAS NIKODEMUS, S.Kom. _ SERTIFIKAT BIMTEK IPASN BerAKHLASK</v>
      </c>
      <c r="P463" s="5" t="s">
        <v>4530</v>
      </c>
      <c r="Q463" s="5" t="s">
        <v>4568</v>
      </c>
      <c r="R463" s="7" t="s">
        <v>4569</v>
      </c>
      <c r="S463" s="7" t="str">
        <f>HYPERLINK("https://drive.google.com/file/d/1ucUfCHlMfXjbYAyei28jDGcMqG8Op9Mf/view?usp=drivesdk","462_KANDIDUS TARAS NIKODEMUS, S.Kom. SERTIFIKAT BIMTEK IPASN-BerAKHLAK")</f>
        <v>462_KANDIDUS TARAS NIKODEMUS, S.Kom. SERTIFIKAT BIMTEK IPASN-BerAKHLAK</v>
      </c>
      <c r="T463" s="5" t="s">
        <v>4542</v>
      </c>
    </row>
    <row r="464">
      <c r="A464" s="4">
        <v>45534.32044041667</v>
      </c>
      <c r="B464" s="5" t="s">
        <v>34</v>
      </c>
      <c r="D464" s="5" t="s">
        <v>1206</v>
      </c>
      <c r="E464" s="5" t="s">
        <v>4570</v>
      </c>
      <c r="F464" s="5" t="s">
        <v>212</v>
      </c>
      <c r="G464" s="5" t="s">
        <v>4571</v>
      </c>
      <c r="H464" s="6" t="s">
        <v>4572</v>
      </c>
      <c r="I464" s="7" t="s">
        <v>4573</v>
      </c>
      <c r="J464" s="8" t="str">
        <f>HYPERLINK("https://drive.google.com/file/d/1d9KnkjYzRUHoAvEHrmZVlx6Yh252qnJQ/view?usp=drivesdk","RORY KARTIKASARI, S.E. SERTIFIKAT BerAKHLAK")</f>
        <v>RORY KARTIKASARI, S.E. SERTIFIKAT BerAKHLAK</v>
      </c>
      <c r="K464" s="5" t="s">
        <v>4218</v>
      </c>
      <c r="L464" s="5" t="s">
        <v>4574</v>
      </c>
      <c r="M464" s="5" t="s">
        <v>4575</v>
      </c>
      <c r="N464" s="7" t="s">
        <v>4576</v>
      </c>
      <c r="O464" s="8" t="str">
        <f>HYPERLINK("https://drive.google.com/file/d/1-NYFhd1tgZgc5O3yVCxrt2_hOZ0AWPcA/view?usp=drivesdk","463_RORY KARTIKASARI, S.E. _ SERTIFIKAT BIMTEK IPASN BerAKHLASK")</f>
        <v>463_RORY KARTIKASARI, S.E. _ SERTIFIKAT BIMTEK IPASN BerAKHLASK</v>
      </c>
      <c r="P464" s="5" t="s">
        <v>4577</v>
      </c>
      <c r="Q464" s="5" t="s">
        <v>4578</v>
      </c>
      <c r="R464" s="7" t="s">
        <v>4579</v>
      </c>
      <c r="S464" s="7" t="str">
        <f>HYPERLINK("https://drive.google.com/file/d/1LVSx32mdzWN8kgvHWYzAilefhI-t8zKl/view?usp=drivesdk","463_RORY KARTIKASARI, S.E. SERTIFIKAT BIMTEK IPASN-BerAKHLAK")</f>
        <v>463_RORY KARTIKASARI, S.E. SERTIFIKAT BIMTEK IPASN-BerAKHLAK</v>
      </c>
      <c r="T464" s="5" t="s">
        <v>4542</v>
      </c>
    </row>
    <row r="465">
      <c r="A465" s="4">
        <v>45534.32044480324</v>
      </c>
      <c r="B465" s="5" t="s">
        <v>34</v>
      </c>
      <c r="D465" s="5" t="s">
        <v>35</v>
      </c>
      <c r="E465" s="5" t="s">
        <v>4580</v>
      </c>
      <c r="F465" s="5" t="s">
        <v>37</v>
      </c>
      <c r="G465" s="5" t="s">
        <v>4581</v>
      </c>
      <c r="H465" s="6" t="s">
        <v>4582</v>
      </c>
      <c r="I465" s="7" t="s">
        <v>4583</v>
      </c>
      <c r="J465" s="8" t="str">
        <f>HYPERLINK("https://drive.google.com/file/d/1xj4kOOc2V96bIvWKaoOKYl8LrPKLn8Vb/view?usp=drivesdk","ANDRIE ADI DARMAN SERTIFIKAT BerAKHLAK")</f>
        <v>ANDRIE ADI DARMAN SERTIFIKAT BerAKHLAK</v>
      </c>
      <c r="K465" s="5" t="s">
        <v>4218</v>
      </c>
      <c r="L465" s="5" t="s">
        <v>4584</v>
      </c>
      <c r="M465" s="5" t="s">
        <v>4585</v>
      </c>
      <c r="N465" s="7" t="s">
        <v>4586</v>
      </c>
      <c r="O465" s="8" t="str">
        <f>HYPERLINK("https://drive.google.com/file/d/1yYDWb6a3k1CgITqDgyJeilQU29fEBnxJ/view?usp=drivesdk","464_ANDRIE ADI DARMAN _ SERTIFIKAT BIMTEK IPASN BerAKHLASK")</f>
        <v>464_ANDRIE ADI DARMAN _ SERTIFIKAT BIMTEK IPASN BerAKHLASK</v>
      </c>
      <c r="P465" s="5" t="s">
        <v>4577</v>
      </c>
      <c r="Q465" s="5" t="s">
        <v>4587</v>
      </c>
      <c r="R465" s="7" t="s">
        <v>4588</v>
      </c>
      <c r="S465" s="7" t="str">
        <f>HYPERLINK("https://drive.google.com/file/d/1DHH9zkNhgHTrhKrQeaaa5zumOLoC0iEZ/view?usp=drivesdk","464_ANDRIE ADI DARMAN SERTIFIKAT BIMTEK IPASN-BerAKHLAK")</f>
        <v>464_ANDRIE ADI DARMAN SERTIFIKAT BIMTEK IPASN-BerAKHLAK</v>
      </c>
      <c r="T465" s="5" t="s">
        <v>4542</v>
      </c>
    </row>
    <row r="466">
      <c r="A466" s="4">
        <v>45534.320445613426</v>
      </c>
      <c r="B466" s="5" t="s">
        <v>34</v>
      </c>
      <c r="D466" s="5" t="s">
        <v>280</v>
      </c>
      <c r="E466" s="5" t="s">
        <v>4589</v>
      </c>
      <c r="F466" s="5" t="s">
        <v>375</v>
      </c>
      <c r="G466" s="5" t="s">
        <v>4590</v>
      </c>
      <c r="H466" s="6" t="s">
        <v>4591</v>
      </c>
      <c r="I466" s="7" t="s">
        <v>4592</v>
      </c>
      <c r="J466" s="8" t="str">
        <f>HYPERLINK("https://drive.google.com/file/d/1dUMAJncer-uqF8hq9RS-rRMhXJ-PRZ0I/view?usp=drivesdk","BASKORO WIDIARSO SERTIFIKAT BerAKHLAK")</f>
        <v>BASKORO WIDIARSO SERTIFIKAT BerAKHLAK</v>
      </c>
      <c r="K466" s="5" t="s">
        <v>4218</v>
      </c>
      <c r="L466" s="5" t="s">
        <v>4593</v>
      </c>
      <c r="M466" s="5" t="s">
        <v>4594</v>
      </c>
      <c r="N466" s="7" t="s">
        <v>4595</v>
      </c>
      <c r="O466" s="8" t="str">
        <f>HYPERLINK("https://drive.google.com/file/d/1PZk2l23RWWKn_8Qm4kQYX9u5OAdfVs9p/view?usp=drivesdk","465_BASKORO WIDIARSO _ SERTIFIKAT BIMTEK IPASN BerAKHLASK")</f>
        <v>465_BASKORO WIDIARSO _ SERTIFIKAT BIMTEK IPASN BerAKHLASK</v>
      </c>
      <c r="P466" s="5" t="s">
        <v>4577</v>
      </c>
      <c r="Q466" s="5" t="s">
        <v>4596</v>
      </c>
      <c r="R466" s="7" t="s">
        <v>4597</v>
      </c>
      <c r="S466" s="7" t="str">
        <f>HYPERLINK("https://drive.google.com/file/d/15Tr1EXZZZsAnoiBsJxLbKnoUK5QtN5if/view?usp=drivesdk","465_BASKORO WIDIARSO SERTIFIKAT BIMTEK IPASN-BerAKHLAK")</f>
        <v>465_BASKORO WIDIARSO SERTIFIKAT BIMTEK IPASN-BerAKHLAK</v>
      </c>
      <c r="T466" s="5" t="s">
        <v>4598</v>
      </c>
    </row>
    <row r="467">
      <c r="A467" s="4">
        <v>45534.32052028935</v>
      </c>
      <c r="B467" s="5" t="s">
        <v>34</v>
      </c>
      <c r="D467" s="5" t="s">
        <v>280</v>
      </c>
      <c r="E467" s="5" t="s">
        <v>4599</v>
      </c>
      <c r="F467" s="5" t="s">
        <v>524</v>
      </c>
      <c r="G467" s="5" t="s">
        <v>4600</v>
      </c>
      <c r="H467" s="6" t="s">
        <v>4601</v>
      </c>
      <c r="I467" s="7" t="s">
        <v>4602</v>
      </c>
      <c r="J467" s="8" t="str">
        <f>HYPERLINK("https://drive.google.com/file/d/1AniQiZh9hPk4BZv12o2Hc_sU1P48V5C_/view?usp=drivesdk","NOVELLIAZAZA SERTIFIKAT BerAKHLAK")</f>
        <v>NOVELLIAZAZA SERTIFIKAT BerAKHLAK</v>
      </c>
      <c r="K467" s="5" t="s">
        <v>3900</v>
      </c>
      <c r="L467" s="5" t="s">
        <v>4603</v>
      </c>
      <c r="M467" s="5" t="s">
        <v>4604</v>
      </c>
      <c r="N467" s="7" t="s">
        <v>4605</v>
      </c>
      <c r="O467" s="8" t="str">
        <f>HYPERLINK("https://drive.google.com/file/d/1-hbSQfR59qm2_JR8ej-iKqjOkHq6qEUB/view?usp=drivesdk","466_NOVELLIAZAZA _ SERTIFIKAT BIMTEK IPASN BerAKHLASK")</f>
        <v>466_NOVELLIAZAZA _ SERTIFIKAT BIMTEK IPASN BerAKHLASK</v>
      </c>
      <c r="P467" s="5" t="s">
        <v>4577</v>
      </c>
      <c r="Q467" s="5" t="s">
        <v>4606</v>
      </c>
      <c r="R467" s="7" t="s">
        <v>4607</v>
      </c>
      <c r="S467" s="7" t="str">
        <f>HYPERLINK("https://drive.google.com/file/d/1e1C7hiU2qfjafOSe5-MO9-xNuKIPuaoc/view?usp=drivesdk","466_NOVELLIAZAZA SERTIFIKAT BIMTEK IPASN-BerAKHLAK")</f>
        <v>466_NOVELLIAZAZA SERTIFIKAT BIMTEK IPASN-BerAKHLAK</v>
      </c>
      <c r="T467" s="5" t="s">
        <v>4598</v>
      </c>
    </row>
    <row r="468">
      <c r="A468" s="4">
        <v>45534.320539699074</v>
      </c>
      <c r="B468" s="5" t="s">
        <v>34</v>
      </c>
      <c r="D468" s="5" t="s">
        <v>280</v>
      </c>
      <c r="E468" s="5" t="s">
        <v>4608</v>
      </c>
      <c r="F468" s="5" t="s">
        <v>375</v>
      </c>
      <c r="G468" s="5" t="s">
        <v>4609</v>
      </c>
      <c r="H468" s="6" t="s">
        <v>4610</v>
      </c>
      <c r="I468" s="7" t="s">
        <v>4611</v>
      </c>
      <c r="J468" s="8" t="str">
        <f>HYPERLINK("https://drive.google.com/file/d/1Nz3IMunOGeD-5SRn4pFBjZU9voV41a0F/view?usp=drivesdk","ARDIANSYAH, S.KOM, M.M. SERTIFIKAT BerAKHLAK")</f>
        <v>ARDIANSYAH, S.KOM, M.M. SERTIFIKAT BerAKHLAK</v>
      </c>
      <c r="K468" s="5" t="s">
        <v>3900</v>
      </c>
      <c r="L468" s="5" t="s">
        <v>4612</v>
      </c>
      <c r="M468" s="5" t="s">
        <v>4613</v>
      </c>
      <c r="N468" s="7" t="s">
        <v>4614</v>
      </c>
      <c r="O468" s="8" t="str">
        <f>HYPERLINK("https://drive.google.com/file/d/1JiN5zqV6EwPSKbhecGD01tZ2vDyEieAG/view?usp=drivesdk","467_ARDIANSYAH, S.KOM, M.M. _ SERTIFIKAT BIMTEK IPASN BerAKHLASK")</f>
        <v>467_ARDIANSYAH, S.KOM, M.M. _ SERTIFIKAT BIMTEK IPASN BerAKHLASK</v>
      </c>
      <c r="P468" s="5" t="s">
        <v>4577</v>
      </c>
      <c r="Q468" s="5" t="s">
        <v>4615</v>
      </c>
      <c r="R468" s="7" t="s">
        <v>4616</v>
      </c>
      <c r="S468" s="7" t="str">
        <f>HYPERLINK("https://drive.google.com/file/d/1HACaVAMLVRXJI1vfRBW5JmccSWwddaBR/view?usp=drivesdk","467_ARDIANSYAH, S.KOM, M.M. SERTIFIKAT BIMTEK IPASN-BerAKHLAK")</f>
        <v>467_ARDIANSYAH, S.KOM, M.M. SERTIFIKAT BIMTEK IPASN-BerAKHLAK</v>
      </c>
      <c r="T468" s="5" t="s">
        <v>4598</v>
      </c>
    </row>
    <row r="469">
      <c r="A469" s="4">
        <v>45534.32055680556</v>
      </c>
      <c r="B469" s="5" t="s">
        <v>34</v>
      </c>
      <c r="D469" s="5" t="s">
        <v>1768</v>
      </c>
      <c r="E469" s="5" t="s">
        <v>4617</v>
      </c>
      <c r="F469" s="5" t="s">
        <v>120</v>
      </c>
      <c r="G469" s="5" t="s">
        <v>4618</v>
      </c>
      <c r="H469" s="6" t="s">
        <v>4619</v>
      </c>
      <c r="I469" s="7" t="s">
        <v>4620</v>
      </c>
      <c r="J469" s="8" t="str">
        <f>HYPERLINK("https://drive.google.com/file/d/1IZLUapSXb2TeMJ3-h7eg8Ht5dXzhhh4j/view?usp=drivesdk","DWI RAHAYU ARIEF SAPUTRI, S.T. SERTIFIKAT BerAKHLAK")</f>
        <v>DWI RAHAYU ARIEF SAPUTRI, S.T. SERTIFIKAT BerAKHLAK</v>
      </c>
      <c r="K469" s="5" t="s">
        <v>4218</v>
      </c>
      <c r="L469" s="5" t="s">
        <v>4621</v>
      </c>
      <c r="M469" s="5" t="s">
        <v>4622</v>
      </c>
      <c r="N469" s="7" t="s">
        <v>4623</v>
      </c>
      <c r="O469" s="8" t="str">
        <f>HYPERLINK("https://drive.google.com/file/d/11i4tl0YN0glXgCdPptU96yGWJMFbyhUE/view?usp=drivesdk","468_DWI RAHAYU ARIEF SAPUTRI, S.T. _ SERTIFIKAT BIMTEK IPASN BerAKHLASK")</f>
        <v>468_DWI RAHAYU ARIEF SAPUTRI, S.T. _ SERTIFIKAT BIMTEK IPASN BerAKHLASK</v>
      </c>
      <c r="P469" s="5" t="s">
        <v>4624</v>
      </c>
      <c r="Q469" s="5" t="s">
        <v>4625</v>
      </c>
      <c r="R469" s="7" t="s">
        <v>4626</v>
      </c>
      <c r="S469" s="7" t="str">
        <f>HYPERLINK("https://drive.google.com/file/d/1-MF1p-9q1TS74rUG_E_v10qTalh2v-TR/view?usp=drivesdk","468_DWI RAHAYU ARIEF SAPUTRI, S.T. SERTIFIKAT BIMTEK IPASN-BerAKHLAK")</f>
        <v>468_DWI RAHAYU ARIEF SAPUTRI, S.T. SERTIFIKAT BIMTEK IPASN-BerAKHLAK</v>
      </c>
      <c r="T469" s="5" t="s">
        <v>4598</v>
      </c>
    </row>
    <row r="470">
      <c r="A470" s="4">
        <v>45534.32056420139</v>
      </c>
      <c r="B470" s="5" t="s">
        <v>34</v>
      </c>
      <c r="D470" s="5" t="s">
        <v>1692</v>
      </c>
      <c r="E470" s="5" t="s">
        <v>4627</v>
      </c>
      <c r="F470" s="5" t="s">
        <v>72</v>
      </c>
      <c r="G470" s="5" t="s">
        <v>4628</v>
      </c>
      <c r="H470" s="6" t="s">
        <v>4629</v>
      </c>
      <c r="I470" s="7" t="s">
        <v>4630</v>
      </c>
      <c r="J470" s="8" t="str">
        <f>HYPERLINK("https://drive.google.com/file/d/1cQK2272Q7jF6H6Rn7fSkvmaoudYXiPgx/view?usp=drivesdk","VICTOR NOIYAAMK SERTIFIKAT BerAKHLAK")</f>
        <v>VICTOR NOIYAAMK SERTIFIKAT BerAKHLAK</v>
      </c>
      <c r="K470" s="5" t="s">
        <v>3900</v>
      </c>
      <c r="L470" s="5" t="s">
        <v>4631</v>
      </c>
      <c r="M470" s="5" t="s">
        <v>4632</v>
      </c>
      <c r="N470" s="7" t="s">
        <v>4633</v>
      </c>
      <c r="O470" s="8" t="str">
        <f>HYPERLINK("https://drive.google.com/file/d/1p1wb6X3tQ9bmrOKF_v_Pw3Rv-1r6PpoC/view?usp=drivesdk","469_VICTOR NOIYAAMK _ SERTIFIKAT BIMTEK IPASN BerAKHLASK")</f>
        <v>469_VICTOR NOIYAAMK _ SERTIFIKAT BIMTEK IPASN BerAKHLASK</v>
      </c>
      <c r="P470" s="5" t="s">
        <v>4624</v>
      </c>
      <c r="Q470" s="5" t="s">
        <v>4634</v>
      </c>
      <c r="R470" s="7" t="s">
        <v>4635</v>
      </c>
      <c r="S470" s="7" t="str">
        <f>HYPERLINK("https://drive.google.com/file/d/1pQi60ynlqKuLrVX-TAZUaqvsJbh0neqe/view?usp=drivesdk","469_VICTOR NOIYAAMK SERTIFIKAT BIMTEK IPASN-BerAKHLAK")</f>
        <v>469_VICTOR NOIYAAMK SERTIFIKAT BIMTEK IPASN-BerAKHLAK</v>
      </c>
      <c r="T470" s="5" t="s">
        <v>4598</v>
      </c>
    </row>
    <row r="471" hidden="1">
      <c r="A471" s="4">
        <v>45534.32056597222</v>
      </c>
      <c r="B471" s="5" t="s">
        <v>19</v>
      </c>
      <c r="C471" s="5" t="s">
        <v>292</v>
      </c>
      <c r="E471" s="5" t="s">
        <v>4636</v>
      </c>
      <c r="F471" s="5" t="s">
        <v>524</v>
      </c>
      <c r="G471" s="5" t="s">
        <v>4637</v>
      </c>
      <c r="H471" s="6" t="s">
        <v>4638</v>
      </c>
      <c r="I471" s="7" t="s">
        <v>4639</v>
      </c>
      <c r="J471" s="8" t="str">
        <f>HYPERLINK("https://drive.google.com/file/d/1O2HWrMNfBTEi4qHz2_QCAltoyKTI_BwB/view?usp=drivesdk","DINAN TASBIYAN, S. Farm SERTIFIKAT BerAKHLAK")</f>
        <v>DINAN TASBIYAN, S. Farm SERTIFIKAT BerAKHLAK</v>
      </c>
      <c r="K471" s="5" t="s">
        <v>3900</v>
      </c>
      <c r="L471" s="5" t="s">
        <v>4640</v>
      </c>
      <c r="M471" s="5" t="s">
        <v>4641</v>
      </c>
      <c r="N471" s="7" t="s">
        <v>4642</v>
      </c>
      <c r="O471" s="8" t="str">
        <f>HYPERLINK("https://drive.google.com/file/d/1jvSoliluqg1m4PngW358NdBclkXb4UWl/view?usp=drivesdk","470_DINAN TASBIYAN, S. Farm _ SERTIFIKAT BIMTEK IPASN BerAKHLASK")</f>
        <v>470_DINAN TASBIYAN, S. Farm _ SERTIFIKAT BIMTEK IPASN BerAKHLASK</v>
      </c>
      <c r="P471" s="5" t="s">
        <v>4624</v>
      </c>
      <c r="Q471" s="5" t="s">
        <v>4643</v>
      </c>
      <c r="R471" s="7" t="s">
        <v>4644</v>
      </c>
      <c r="S471" s="7" t="str">
        <f>HYPERLINK("https://drive.google.com/file/d/1c6fTDsarqQLB-efXIuxPtKPjtsfp1yQx/view?usp=drivesdk","470_DINAN TASBIYAN, S. Farm SERTIFIKAT BIMTEK IPASN-BerAKHLAK")</f>
        <v>470_DINAN TASBIYAN, S. Farm SERTIFIKAT BIMTEK IPASN-BerAKHLAK</v>
      </c>
      <c r="T471" s="5" t="s">
        <v>4598</v>
      </c>
    </row>
    <row r="472" hidden="1">
      <c r="A472" s="4">
        <v>45534.32058721065</v>
      </c>
      <c r="B472" s="5" t="s">
        <v>19</v>
      </c>
      <c r="C472" s="5" t="s">
        <v>442</v>
      </c>
      <c r="E472" s="5" t="s">
        <v>4645</v>
      </c>
      <c r="F472" s="5" t="s">
        <v>375</v>
      </c>
      <c r="G472" s="5" t="s">
        <v>4646</v>
      </c>
      <c r="H472" s="6" t="s">
        <v>4647</v>
      </c>
      <c r="I472" s="7" t="s">
        <v>4648</v>
      </c>
      <c r="J472" s="8" t="str">
        <f>HYPERLINK("https://drive.google.com/file/d/1CbvgfV-ATSDmeZmkjx3KbZgGf0qWrGw7/view?usp=drivesdk","RIZKYWATI ASMARA, S.H. SERTIFIKAT BerAKHLAK")</f>
        <v>RIZKYWATI ASMARA, S.H. SERTIFIKAT BerAKHLAK</v>
      </c>
      <c r="K472" s="5" t="s">
        <v>4218</v>
      </c>
      <c r="L472" s="5" t="s">
        <v>4649</v>
      </c>
      <c r="M472" s="5" t="s">
        <v>4650</v>
      </c>
      <c r="N472" s="7" t="s">
        <v>4651</v>
      </c>
      <c r="O472" s="8" t="str">
        <f>HYPERLINK("https://drive.google.com/file/d/19nOZ0wuJolozGgUDQ0ekbrXEOMcConIf/view?usp=drivesdk","471_RIZKYWATI ASMARA, S.H. _ SERTIFIKAT BIMTEK IPASN BerAKHLASK")</f>
        <v>471_RIZKYWATI ASMARA, S.H. _ SERTIFIKAT BIMTEK IPASN BerAKHLASK</v>
      </c>
      <c r="P472" s="5" t="s">
        <v>4624</v>
      </c>
      <c r="Q472" s="5" t="s">
        <v>4652</v>
      </c>
      <c r="R472" s="7" t="s">
        <v>4653</v>
      </c>
      <c r="S472" s="7" t="str">
        <f>HYPERLINK("https://drive.google.com/file/d/1Yu-NWJY0jzJjzUNBCdvGOpYu85saS3gn/view?usp=drivesdk","471_RIZKYWATI ASMARA, S.H. SERTIFIKAT BIMTEK IPASN-BerAKHLAK")</f>
        <v>471_RIZKYWATI ASMARA, S.H. SERTIFIKAT BIMTEK IPASN-BerAKHLAK</v>
      </c>
      <c r="T472" s="5" t="s">
        <v>4654</v>
      </c>
    </row>
    <row r="473" hidden="1">
      <c r="A473" s="4">
        <v>45534.320628217596</v>
      </c>
      <c r="B473" s="5" t="s">
        <v>19</v>
      </c>
      <c r="C473" s="5" t="s">
        <v>83</v>
      </c>
      <c r="E473" s="5" t="s">
        <v>4655</v>
      </c>
      <c r="F473" s="5" t="s">
        <v>375</v>
      </c>
      <c r="G473" s="5" t="s">
        <v>4656</v>
      </c>
      <c r="H473" s="6" t="s">
        <v>4657</v>
      </c>
      <c r="I473" s="7" t="s">
        <v>4658</v>
      </c>
      <c r="J473" s="8" t="str">
        <f>HYPERLINK("https://drive.google.com/file/d/1iZQ-nSgX-9cDMzOAV4vwCaG2zp8348yz/view?usp=drivesdk","HERI SUPRAPTO, S.E., M.A. SERTIFIKAT BerAKHLAK")</f>
        <v>HERI SUPRAPTO, S.E., M.A. SERTIFIKAT BerAKHLAK</v>
      </c>
      <c r="K473" s="5" t="s">
        <v>3900</v>
      </c>
      <c r="L473" s="5" t="s">
        <v>4659</v>
      </c>
      <c r="M473" s="5" t="s">
        <v>4660</v>
      </c>
      <c r="N473" s="7" t="s">
        <v>4661</v>
      </c>
      <c r="O473" s="8" t="str">
        <f>HYPERLINK("https://drive.google.com/file/d/1pl9g3O_dgv0dD74G3nG48mTT_rYq10cX/view?usp=drivesdk","472_HERI SUPRAPTO, S.E., M.A. _ SERTIFIKAT BIMTEK IPASN BerAKHLASK")</f>
        <v>472_HERI SUPRAPTO, S.E., M.A. _ SERTIFIKAT BIMTEK IPASN BerAKHLASK</v>
      </c>
      <c r="P473" s="5" t="s">
        <v>4624</v>
      </c>
      <c r="Q473" s="5" t="s">
        <v>4662</v>
      </c>
      <c r="R473" s="7" t="s">
        <v>4663</v>
      </c>
      <c r="S473" s="7" t="str">
        <f>HYPERLINK("https://drive.google.com/file/d/1nsyhY0SEPrmC5gNMClZbnqe1bo3nvkY8/view?usp=drivesdk","472_HERI SUPRAPTO, S.E., M.A. SERTIFIKAT BIMTEK IPASN-BerAKHLAK")</f>
        <v>472_HERI SUPRAPTO, S.E., M.A. SERTIFIKAT BIMTEK IPASN-BerAKHLAK</v>
      </c>
      <c r="T473" s="5" t="s">
        <v>4654</v>
      </c>
    </row>
    <row r="474">
      <c r="A474" s="4">
        <v>45534.320646782406</v>
      </c>
      <c r="B474" s="5" t="s">
        <v>34</v>
      </c>
      <c r="D474" s="5" t="s">
        <v>35</v>
      </c>
      <c r="E474" s="5" t="s">
        <v>4664</v>
      </c>
      <c r="F474" s="5" t="s">
        <v>212</v>
      </c>
      <c r="G474" s="5" t="s">
        <v>4665</v>
      </c>
      <c r="H474" s="6" t="s">
        <v>4666</v>
      </c>
      <c r="I474" s="7" t="s">
        <v>4667</v>
      </c>
      <c r="J474" s="8" t="str">
        <f>HYPERLINK("https://drive.google.com/file/d/1aVnGc7MjjadXw0XvwjWmQvlo3ofWY42Z/view?usp=drivesdk","PENGATUR TK. I AGUS SUPENA SERTIFIKAT BerAKHLAK")</f>
        <v>PENGATUR TK. I AGUS SUPENA SERTIFIKAT BerAKHLAK</v>
      </c>
      <c r="K474" s="5" t="s">
        <v>4218</v>
      </c>
      <c r="L474" s="5" t="s">
        <v>4668</v>
      </c>
      <c r="M474" s="5" t="s">
        <v>4669</v>
      </c>
      <c r="N474" s="7" t="s">
        <v>4670</v>
      </c>
      <c r="O474" s="8" t="str">
        <f>HYPERLINK("https://drive.google.com/file/d/1KCOLDlKK48Odsodub6id6Zb3lk36mDoB/view?usp=drivesdk","473_PENGATUR TK. I AGUS SUPENA _ SERTIFIKAT BIMTEK IPASN BerAKHLASK")</f>
        <v>473_PENGATUR TK. I AGUS SUPENA _ SERTIFIKAT BIMTEK IPASN BerAKHLASK</v>
      </c>
      <c r="P474" s="5" t="s">
        <v>4624</v>
      </c>
      <c r="Q474" s="5" t="s">
        <v>4671</v>
      </c>
      <c r="R474" s="7" t="s">
        <v>4672</v>
      </c>
      <c r="S474" s="7" t="str">
        <f>HYPERLINK("https://drive.google.com/file/d/17zT2Ic-4IfZUF81wgtLbHGKUMdChfR_B/view?usp=drivesdk","473_PENGATUR TK. I AGUS SUPENA SERTIFIKAT BIMTEK IPASN-BerAKHLAK")</f>
        <v>473_PENGATUR TK. I AGUS SUPENA SERTIFIKAT BIMTEK IPASN-BerAKHLAK</v>
      </c>
      <c r="T474" s="5" t="s">
        <v>4654</v>
      </c>
    </row>
    <row r="475">
      <c r="A475" s="4">
        <v>45534.32066054398</v>
      </c>
      <c r="B475" s="5" t="s">
        <v>34</v>
      </c>
      <c r="D475" s="5" t="s">
        <v>280</v>
      </c>
      <c r="E475" s="5" t="s">
        <v>4673</v>
      </c>
      <c r="F475" s="5" t="s">
        <v>108</v>
      </c>
      <c r="G475" s="5" t="s">
        <v>4674</v>
      </c>
      <c r="H475" s="6" t="s">
        <v>4675</v>
      </c>
      <c r="I475" s="7" t="s">
        <v>4676</v>
      </c>
      <c r="J475" s="8" t="str">
        <f>HYPERLINK("https://drive.google.com/file/d/1K1NG9B2-uKpW2VCUo6LqyxPjv3rawQdH/view?usp=drivesdk","DRG. SAFRIANI SITOMPUL SERTIFIKAT BerAKHLAK")</f>
        <v>DRG. SAFRIANI SITOMPUL SERTIFIKAT BerAKHLAK</v>
      </c>
      <c r="K475" s="5" t="s">
        <v>3900</v>
      </c>
      <c r="L475" s="5" t="s">
        <v>4677</v>
      </c>
      <c r="M475" s="5" t="s">
        <v>4678</v>
      </c>
      <c r="N475" s="7" t="s">
        <v>4679</v>
      </c>
      <c r="O475" s="8" t="str">
        <f>HYPERLINK("https://drive.google.com/file/d/14MqYJCSv8DS2DxejfC-wF5wMvKe_foHx/view?usp=drivesdk","474_DRG. SAFRIANI SITOMPUL _ SERTIFIKAT BIMTEK IPASN BerAKHLASK")</f>
        <v>474_DRG. SAFRIANI SITOMPUL _ SERTIFIKAT BIMTEK IPASN BerAKHLASK</v>
      </c>
      <c r="P475" s="5" t="s">
        <v>4624</v>
      </c>
      <c r="Q475" s="5" t="s">
        <v>4680</v>
      </c>
      <c r="R475" s="7" t="s">
        <v>4681</v>
      </c>
      <c r="S475" s="7" t="str">
        <f>HYPERLINK("https://drive.google.com/file/d/1eTEDSZNLxUOQgxy2_IfverxRhaTReYaF/view?usp=drivesdk","474_DRG. SAFRIANI SITOMPUL SERTIFIKAT BIMTEK IPASN-BerAKHLAK")</f>
        <v>474_DRG. SAFRIANI SITOMPUL SERTIFIKAT BIMTEK IPASN-BerAKHLAK</v>
      </c>
      <c r="T475" s="5" t="s">
        <v>4654</v>
      </c>
    </row>
    <row r="476" hidden="1">
      <c r="A476" s="4">
        <v>45534.32066679398</v>
      </c>
      <c r="B476" s="5" t="s">
        <v>19</v>
      </c>
      <c r="C476" s="5" t="s">
        <v>20</v>
      </c>
      <c r="E476" s="5" t="s">
        <v>4682</v>
      </c>
      <c r="F476" s="5" t="s">
        <v>120</v>
      </c>
      <c r="G476" s="5" t="s">
        <v>4683</v>
      </c>
      <c r="H476" s="6" t="s">
        <v>4684</v>
      </c>
      <c r="I476" s="7" t="s">
        <v>4685</v>
      </c>
      <c r="J476" s="8" t="str">
        <f>HYPERLINK("https://drive.google.com/file/d/1-yI90IhR0dbHHppsdrT6gBWmK6lc3JPC/view?usp=drivesdk","MUHAMMAD SUKARDONO, S.E., M.M. SERTIFIKAT BerAKHLAK")</f>
        <v>MUHAMMAD SUKARDONO, S.E., M.M. SERTIFIKAT BerAKHLAK</v>
      </c>
      <c r="K476" s="5" t="s">
        <v>4218</v>
      </c>
      <c r="L476" s="5" t="s">
        <v>4686</v>
      </c>
      <c r="M476" s="5" t="s">
        <v>4687</v>
      </c>
      <c r="N476" s="7" t="s">
        <v>4688</v>
      </c>
      <c r="O476" s="8" t="str">
        <f>HYPERLINK("https://drive.google.com/file/d/1nglpipck_OxpNzdON3yFVng0Qushlq7x/view?usp=drivesdk","475_MUHAMMAD SUKARDONO, S.E., M.M. _ SERTIFIKAT BIMTEK IPASN BerAKHLASK")</f>
        <v>475_MUHAMMAD SUKARDONO, S.E., M.M. _ SERTIFIKAT BIMTEK IPASN BerAKHLASK</v>
      </c>
      <c r="P476" s="5" t="s">
        <v>4689</v>
      </c>
      <c r="Q476" s="5" t="s">
        <v>4690</v>
      </c>
      <c r="R476" s="7" t="s">
        <v>4691</v>
      </c>
      <c r="S476" s="7" t="str">
        <f>HYPERLINK("https://drive.google.com/file/d/1RLHoSqTaNJHLNvl3vAo80H5_PlvGuFR_/view?usp=drivesdk","475_MUHAMMAD SUKARDONO, S.E., M.M. SERTIFIKAT BIMTEK IPASN-BerAKHLAK")</f>
        <v>475_MUHAMMAD SUKARDONO, S.E., M.M. SERTIFIKAT BIMTEK IPASN-BerAKHLAK</v>
      </c>
      <c r="T476" s="5" t="s">
        <v>4654</v>
      </c>
    </row>
    <row r="477">
      <c r="A477" s="4">
        <v>45534.32067947916</v>
      </c>
      <c r="B477" s="5" t="s">
        <v>34</v>
      </c>
      <c r="D477" s="5" t="s">
        <v>1206</v>
      </c>
      <c r="E477" s="5" t="s">
        <v>4692</v>
      </c>
      <c r="F477" s="5" t="s">
        <v>37</v>
      </c>
      <c r="G477" s="5" t="s">
        <v>4693</v>
      </c>
      <c r="H477" s="6" t="s">
        <v>4694</v>
      </c>
      <c r="I477" s="7" t="s">
        <v>4695</v>
      </c>
      <c r="J477" s="8" t="str">
        <f>HYPERLINK("https://drive.google.com/file/d/1_QaQ-15x6NoXrpa_mAZ37PukwAQQDZ3-/view?usp=drivesdk","DWI SUHERMI KUSUMA NINGRUM,SM SERTIFIKAT BerAKHLAK")</f>
        <v>DWI SUHERMI KUSUMA NINGRUM,SM SERTIFIKAT BerAKHLAK</v>
      </c>
      <c r="K477" s="5" t="s">
        <v>4218</v>
      </c>
      <c r="L477" s="5" t="s">
        <v>4696</v>
      </c>
      <c r="M477" s="5" t="s">
        <v>4697</v>
      </c>
      <c r="N477" s="7" t="s">
        <v>4698</v>
      </c>
      <c r="O477" s="8" t="str">
        <f>HYPERLINK("https://drive.google.com/file/d/1JSXES1T2e0fIvJEgCkj8s7a9XiUKqgoe/view?usp=drivesdk","476_DWI SUHERMI KUSUMA NINGRUM,SM _ SERTIFIKAT BIMTEK IPASN BerAKHLASK")</f>
        <v>476_DWI SUHERMI KUSUMA NINGRUM,SM _ SERTIFIKAT BIMTEK IPASN BerAKHLASK</v>
      </c>
      <c r="P477" s="5" t="s">
        <v>4689</v>
      </c>
      <c r="Q477" s="5" t="s">
        <v>4699</v>
      </c>
      <c r="R477" s="7" t="s">
        <v>4700</v>
      </c>
      <c r="S477" s="7" t="str">
        <f>HYPERLINK("https://drive.google.com/file/d/1HcYLMqNlxiha70TjYfo-N87phzCX7OiC/view?usp=drivesdk","476_DWI SUHERMI KUSUMA NINGRUM,SM SERTIFIKAT BIMTEK IPASN-BerAKHLAK")</f>
        <v>476_DWI SUHERMI KUSUMA NINGRUM,SM SERTIFIKAT BIMTEK IPASN-BerAKHLAK</v>
      </c>
      <c r="T477" s="5" t="s">
        <v>4701</v>
      </c>
    </row>
    <row r="478" hidden="1">
      <c r="A478" s="4">
        <v>45534.32070928241</v>
      </c>
      <c r="B478" s="5" t="s">
        <v>19</v>
      </c>
      <c r="C478" s="5" t="s">
        <v>3301</v>
      </c>
      <c r="E478" s="5" t="s">
        <v>4702</v>
      </c>
      <c r="F478" s="5" t="s">
        <v>37</v>
      </c>
      <c r="G478" s="5" t="s">
        <v>4703</v>
      </c>
      <c r="H478" s="6" t="s">
        <v>4704</v>
      </c>
      <c r="I478" s="7" t="s">
        <v>4705</v>
      </c>
      <c r="J478" s="8" t="str">
        <f>HYPERLINK("https://drive.google.com/file/d/1lxFMQ6d9EjR7OQEArU-8NQEkypYOs_a4/view?usp=drivesdk","GILANG ABIMANYU, A.MD SERTIFIKAT BerAKHLAK")</f>
        <v>GILANG ABIMANYU, A.MD SERTIFIKAT BerAKHLAK</v>
      </c>
      <c r="K478" s="5" t="s">
        <v>3900</v>
      </c>
      <c r="L478" s="5" t="s">
        <v>4706</v>
      </c>
      <c r="M478" s="5" t="s">
        <v>4707</v>
      </c>
      <c r="N478" s="7" t="s">
        <v>4708</v>
      </c>
      <c r="O478" s="8" t="str">
        <f>HYPERLINK("https://drive.google.com/file/d/1S8ZEyJ9yhnfIfs-1hixmqDHnuG21-tKP/view?usp=drivesdk","477_GILANG ABIMANYU, A.MD _ SERTIFIKAT BIMTEK IPASN BerAKHLASK")</f>
        <v>477_GILANG ABIMANYU, A.MD _ SERTIFIKAT BIMTEK IPASN BerAKHLASK</v>
      </c>
      <c r="P478" s="5" t="s">
        <v>4689</v>
      </c>
      <c r="Q478" s="5" t="s">
        <v>4709</v>
      </c>
      <c r="R478" s="7" t="s">
        <v>4710</v>
      </c>
      <c r="S478" s="7" t="str">
        <f>HYPERLINK("https://drive.google.com/file/d/1LFvMKOX3I1WHQ7Ze0nums_tQjSFqgXB_/view?usp=drivesdk","477_GILANG ABIMANYU, A.MD SERTIFIKAT BIMTEK IPASN-BerAKHLAK")</f>
        <v>477_GILANG ABIMANYU, A.MD SERTIFIKAT BIMTEK IPASN-BerAKHLAK</v>
      </c>
      <c r="T478" s="5" t="s">
        <v>4701</v>
      </c>
    </row>
    <row r="479">
      <c r="A479" s="4">
        <v>45534.320722731485</v>
      </c>
      <c r="B479" s="5" t="s">
        <v>34</v>
      </c>
      <c r="D479" s="5" t="s">
        <v>1206</v>
      </c>
      <c r="E479" s="5" t="s">
        <v>4711</v>
      </c>
      <c r="F479" s="5" t="s">
        <v>212</v>
      </c>
      <c r="G479" s="5" t="s">
        <v>4712</v>
      </c>
      <c r="H479" s="6" t="s">
        <v>4713</v>
      </c>
      <c r="I479" s="7" t="s">
        <v>4714</v>
      </c>
      <c r="J479" s="8" t="str">
        <f>HYPERLINK("https://drive.google.com/file/d/1xj9eiwAMtrGVMG_8LNUq1_2lAT8JOxMm/view?usp=drivesdk","PENGATUR TK I HARIANTO SERTIFIKAT BerAKHLAK")</f>
        <v>PENGATUR TK I HARIANTO SERTIFIKAT BerAKHLAK</v>
      </c>
      <c r="K479" s="5" t="s">
        <v>4218</v>
      </c>
      <c r="L479" s="5" t="s">
        <v>4715</v>
      </c>
      <c r="M479" s="5" t="s">
        <v>4716</v>
      </c>
      <c r="N479" s="7" t="s">
        <v>4717</v>
      </c>
      <c r="O479" s="8" t="str">
        <f>HYPERLINK("https://drive.google.com/file/d/1KKgYL8WLsIKoQ2wzs1V5vBTJzSSb008t/view?usp=drivesdk","478_PENGATUR TK I HARIANTO _ SERTIFIKAT BIMTEK IPASN BerAKHLASK")</f>
        <v>478_PENGATUR TK I HARIANTO _ SERTIFIKAT BIMTEK IPASN BerAKHLASK</v>
      </c>
      <c r="P479" s="5" t="s">
        <v>4689</v>
      </c>
      <c r="Q479" s="5" t="s">
        <v>4718</v>
      </c>
      <c r="R479" s="7" t="s">
        <v>4719</v>
      </c>
      <c r="S479" s="7" t="str">
        <f>HYPERLINK("https://drive.google.com/file/d/1vmE1HmcpilwEMd0l-FQ76x5bjiIErDjI/view?usp=drivesdk","478_PENGATUR TK I HARIANTO SERTIFIKAT BIMTEK IPASN-BerAKHLAK")</f>
        <v>478_PENGATUR TK I HARIANTO SERTIFIKAT BIMTEK IPASN-BerAKHLAK</v>
      </c>
      <c r="T479" s="5" t="s">
        <v>4701</v>
      </c>
    </row>
    <row r="480">
      <c r="A480" s="4">
        <v>45534.32072570602</v>
      </c>
      <c r="B480" s="5" t="s">
        <v>34</v>
      </c>
      <c r="D480" s="5" t="s">
        <v>280</v>
      </c>
      <c r="E480" s="5" t="s">
        <v>4720</v>
      </c>
      <c r="F480" s="5" t="s">
        <v>37</v>
      </c>
      <c r="G480" s="5" t="s">
        <v>4721</v>
      </c>
      <c r="H480" s="6" t="s">
        <v>4722</v>
      </c>
      <c r="I480" s="7" t="s">
        <v>4723</v>
      </c>
      <c r="J480" s="8" t="str">
        <f>HYPERLINK("https://drive.google.com/file/d/1AlB5nvnS_bX-08wbQRNPnWvGpTshHMsQ/view?usp=drivesdk","ELSA AFRIANI, A.Md.Kom SERTIFIKAT BerAKHLAK")</f>
        <v>ELSA AFRIANI, A.Md.Kom SERTIFIKAT BerAKHLAK</v>
      </c>
      <c r="K480" s="5" t="s">
        <v>4218</v>
      </c>
      <c r="L480" s="5" t="s">
        <v>4724</v>
      </c>
      <c r="M480" s="5" t="s">
        <v>4725</v>
      </c>
      <c r="N480" s="7" t="s">
        <v>4726</v>
      </c>
      <c r="O480" s="8" t="str">
        <f>HYPERLINK("https://drive.google.com/file/d/1bFKShDErO26yi6xVLB6w4A_cEtGjnxDf/view?usp=drivesdk","479_ELSA AFRIANI, A.Md.Kom _ SERTIFIKAT BIMTEK IPASN BerAKHLASK")</f>
        <v>479_ELSA AFRIANI, A.Md.Kom _ SERTIFIKAT BIMTEK IPASN BerAKHLASK</v>
      </c>
      <c r="P480" s="5" t="s">
        <v>4689</v>
      </c>
      <c r="Q480" s="5" t="s">
        <v>4727</v>
      </c>
      <c r="R480" s="7" t="s">
        <v>4728</v>
      </c>
      <c r="S480" s="7" t="str">
        <f>HYPERLINK("https://drive.google.com/file/d/1XwtlvrsW967nQDe2xnzWXkTsTvfdndOf/view?usp=drivesdk","479_ELSA AFRIANI, A.Md.Kom SERTIFIKAT BIMTEK IPASN-BerAKHLAK")</f>
        <v>479_ELSA AFRIANI, A.Md.Kom SERTIFIKAT BIMTEK IPASN-BerAKHLAK</v>
      </c>
      <c r="T480" s="5" t="s">
        <v>4701</v>
      </c>
    </row>
    <row r="481">
      <c r="A481" s="4">
        <v>45534.320743599535</v>
      </c>
      <c r="B481" s="5" t="s">
        <v>34</v>
      </c>
      <c r="D481" s="5" t="s">
        <v>35</v>
      </c>
      <c r="E481" s="5" t="s">
        <v>4729</v>
      </c>
      <c r="F481" s="5" t="s">
        <v>37</v>
      </c>
      <c r="G481" s="5" t="s">
        <v>4730</v>
      </c>
      <c r="H481" s="6" t="s">
        <v>4731</v>
      </c>
      <c r="I481" s="7" t="s">
        <v>4732</v>
      </c>
      <c r="J481" s="8" t="str">
        <f>HYPERLINK("https://drive.google.com/file/d/1pYCWg2sfXVlFQZittWNncYCe2uMWOIkQ/view?usp=drivesdk","PENGATUR DEDI JUANDI SERTIFIKAT BerAKHLAK")</f>
        <v>PENGATUR DEDI JUANDI SERTIFIKAT BerAKHLAK</v>
      </c>
      <c r="K481" s="5" t="s">
        <v>4218</v>
      </c>
      <c r="L481" s="5" t="s">
        <v>4733</v>
      </c>
      <c r="M481" s="5" t="s">
        <v>4734</v>
      </c>
      <c r="N481" s="7" t="s">
        <v>4735</v>
      </c>
      <c r="O481" s="8" t="str">
        <f>HYPERLINK("https://drive.google.com/file/d/1uFVs5VIAhqdGBvSxn1Ut5fUbD_nQ9TQq/view?usp=drivesdk","480 &lt;NAMA LENGKAP&gt;&gt; _ SERTIFIKAT BIMTEK IPASN BerAKHLASK")</f>
        <v>480 &lt;NAMA LENGKAP&gt;&gt; _ SERTIFIKAT BIMTEK IPASN BerAKHLASK</v>
      </c>
      <c r="P481" s="5" t="s">
        <v>3563</v>
      </c>
      <c r="Q481" s="5" t="s">
        <v>4736</v>
      </c>
      <c r="R481" s="7" t="s">
        <v>4737</v>
      </c>
      <c r="S481" s="7" t="str">
        <f>HYPERLINK("https://drive.google.com/file/d/1NJiPl1DSxHvdqU7Ss94EfKJvZgDfinR2/view?usp=drivesdk","480_PENGATUR DEDI JUANDI SERTIFIKAT BIMTEK IPASN-BerAKHLAK")</f>
        <v>480_PENGATUR DEDI JUANDI SERTIFIKAT BIMTEK IPASN-BerAKHLAK</v>
      </c>
      <c r="T481" s="5" t="s">
        <v>4701</v>
      </c>
    </row>
    <row r="482">
      <c r="A482" s="4">
        <v>45534.32074459491</v>
      </c>
      <c r="B482" s="5" t="s">
        <v>34</v>
      </c>
      <c r="D482" s="5" t="s">
        <v>280</v>
      </c>
      <c r="E482" s="5" t="s">
        <v>4738</v>
      </c>
      <c r="F482" s="5" t="s">
        <v>524</v>
      </c>
      <c r="G482" s="5" t="s">
        <v>4739</v>
      </c>
      <c r="H482" s="6" t="s">
        <v>4740</v>
      </c>
      <c r="I482" s="7" t="s">
        <v>4741</v>
      </c>
      <c r="J482" s="8" t="str">
        <f>HYPERLINK("https://drive.google.com/file/d/1OA6Hm_clAA3Wu-RuJ0t9EKMhLCNjWA1G/view?usp=drivesdk","DESMI YETRI AMD FARM SE SERTIFIKAT BerAKHLAK")</f>
        <v>DESMI YETRI AMD FARM SE SERTIFIKAT BerAKHLAK</v>
      </c>
      <c r="K482" s="5" t="s">
        <v>4218</v>
      </c>
      <c r="L482" s="5" t="s">
        <v>4742</v>
      </c>
      <c r="M482" s="5" t="s">
        <v>4743</v>
      </c>
      <c r="N482" s="7" t="s">
        <v>4744</v>
      </c>
      <c r="O482" s="8" t="str">
        <f>HYPERLINK("https://drive.google.com/file/d/1nsdOtbHF_Lat7YrsMLApG7k9F9uL81Jc/view?usp=drivesdk","481 &lt;NAMA LENGKAP&gt;&gt; _ SERTIFIKAT BIMTEK IPASN BerAKHLASK")</f>
        <v>481 &lt;NAMA LENGKAP&gt;&gt; _ SERTIFIKAT BIMTEK IPASN BerAKHLASK</v>
      </c>
      <c r="P482" s="5" t="s">
        <v>3563</v>
      </c>
      <c r="Q482" s="5" t="s">
        <v>4745</v>
      </c>
      <c r="R482" s="7" t="s">
        <v>4746</v>
      </c>
      <c r="S482" s="7" t="str">
        <f>HYPERLINK("https://drive.google.com/file/d/1OKbju8ohknmDKix7rmvWNIZFErw0SjWe/view?usp=drivesdk","481_DESMI YETRI AMD FARM SE SERTIFIKAT BIMTEK IPASN-BerAKHLAK")</f>
        <v>481_DESMI YETRI AMD FARM SE SERTIFIKAT BIMTEK IPASN-BerAKHLAK</v>
      </c>
      <c r="T482" s="5" t="s">
        <v>4747</v>
      </c>
    </row>
    <row r="483" hidden="1">
      <c r="A483" s="4">
        <v>45534.320763993055</v>
      </c>
      <c r="B483" s="5" t="s">
        <v>19</v>
      </c>
      <c r="C483" s="5" t="s">
        <v>3471</v>
      </c>
      <c r="E483" s="5" t="s">
        <v>4748</v>
      </c>
      <c r="F483" s="5" t="s">
        <v>375</v>
      </c>
      <c r="G483" s="5" t="s">
        <v>4749</v>
      </c>
      <c r="H483" s="6" t="s">
        <v>4750</v>
      </c>
      <c r="I483" s="7" t="s">
        <v>4751</v>
      </c>
      <c r="J483" s="8" t="str">
        <f>HYPERLINK("https://drive.google.com/file/d/1OU69EcuP-VSgyBajE2xTWnI__xD3zZMt/view?usp=drivesdk","DENiS TRISNI LESTARI SERTIFIKAT BerAKHLAK")</f>
        <v>DENiS TRISNI LESTARI SERTIFIKAT BerAKHLAK</v>
      </c>
      <c r="K483" s="5" t="s">
        <v>4218</v>
      </c>
      <c r="L483" s="5" t="s">
        <v>4752</v>
      </c>
      <c r="M483" s="5" t="s">
        <v>4753</v>
      </c>
      <c r="N483" s="7" t="s">
        <v>4754</v>
      </c>
      <c r="O483" s="8" t="str">
        <f>HYPERLINK("https://drive.google.com/file/d/1eASRsqN5qjG1X2h1mQeVicErurAoOBQE/view?usp=drivesdk","482 &lt;NAMA LENGKAP&gt;&gt; _ SERTIFIKAT BIMTEK IPASN BerAKHLASK")</f>
        <v>482 &lt;NAMA LENGKAP&gt;&gt; _ SERTIFIKAT BIMTEK IPASN BerAKHLASK</v>
      </c>
      <c r="P483" s="5" t="s">
        <v>3563</v>
      </c>
      <c r="Q483" s="5" t="s">
        <v>4755</v>
      </c>
      <c r="R483" s="7" t="s">
        <v>4756</v>
      </c>
      <c r="S483" s="7" t="str">
        <f>HYPERLINK("https://drive.google.com/file/d/1Fu4RwDhhM9fONIesPJFvgxB9FBK19N_x/view?usp=drivesdk","482_DENiS TRISNI LESTARI SERTIFIKAT BIMTEK IPASN-BerAKHLAK")</f>
        <v>482_DENiS TRISNI LESTARI SERTIFIKAT BIMTEK IPASN-BerAKHLAK</v>
      </c>
      <c r="T483" s="5" t="s">
        <v>4747</v>
      </c>
    </row>
    <row r="484">
      <c r="A484" s="4">
        <v>45534.32077222222</v>
      </c>
      <c r="B484" s="5" t="s">
        <v>34</v>
      </c>
      <c r="D484" s="5" t="s">
        <v>267</v>
      </c>
      <c r="E484" s="5" t="s">
        <v>4757</v>
      </c>
      <c r="F484" s="5" t="s">
        <v>375</v>
      </c>
      <c r="G484" s="5" t="s">
        <v>4758</v>
      </c>
      <c r="H484" s="6" t="s">
        <v>4759</v>
      </c>
      <c r="I484" s="7" t="s">
        <v>4760</v>
      </c>
      <c r="J484" s="8" t="str">
        <f>HYPERLINK("https://drive.google.com/file/d/1jchk1t1MUB2HoskGUeAPk_Rl2U8RDHim/view?usp=drivesdk","TRESNORAHAYU  SERTIFIKAT BerAKHLAK")</f>
        <v>TRESNORAHAYU  SERTIFIKAT BerAKHLAK</v>
      </c>
      <c r="K484" s="5" t="s">
        <v>4218</v>
      </c>
      <c r="L484" s="5" t="s">
        <v>4761</v>
      </c>
      <c r="M484" s="5" t="s">
        <v>4762</v>
      </c>
      <c r="N484" s="7" t="s">
        <v>4763</v>
      </c>
      <c r="O484" s="8" t="str">
        <f>HYPERLINK("https://drive.google.com/file/d/1azHu2ZHkAKRu1cxoDPSZSHivrxLsccS7/view?usp=drivesdk","483 &lt;NAMA LENGKAP&gt;&gt; _ SERTIFIKAT BIMTEK IPASN BerAKHLASK")</f>
        <v>483 &lt;NAMA LENGKAP&gt;&gt; _ SERTIFIKAT BIMTEK IPASN BerAKHLASK</v>
      </c>
      <c r="P484" s="5" t="s">
        <v>3563</v>
      </c>
      <c r="Q484" s="5" t="s">
        <v>4764</v>
      </c>
      <c r="R484" s="7" t="s">
        <v>4765</v>
      </c>
      <c r="S484" s="7" t="str">
        <f>HYPERLINK("https://drive.google.com/file/d/1im0zkBhppFnufuXbEZu_6XTVbSucG6p8/view?usp=drivesdk","483_TRESNORAHAYU  SERTIFIKAT BIMTEK IPASN-BerAKHLAK")</f>
        <v>483_TRESNORAHAYU  SERTIFIKAT BIMTEK IPASN-BerAKHLAK</v>
      </c>
      <c r="T484" s="5" t="s">
        <v>4747</v>
      </c>
    </row>
    <row r="485">
      <c r="A485" s="4">
        <v>45534.3207809375</v>
      </c>
      <c r="B485" s="5" t="s">
        <v>34</v>
      </c>
      <c r="D485" s="5" t="s">
        <v>35</v>
      </c>
      <c r="E485" s="5" t="s">
        <v>4766</v>
      </c>
      <c r="F485" s="5" t="s">
        <v>37</v>
      </c>
      <c r="G485" s="5" t="s">
        <v>4767</v>
      </c>
      <c r="H485" s="6" t="s">
        <v>4768</v>
      </c>
      <c r="I485" s="7" t="s">
        <v>4769</v>
      </c>
      <c r="J485" s="8" t="str">
        <f>HYPERLINK("https://drive.google.com/file/d/1-28taPWKjEDcRhTzqMs7DByeC_HUYOp1/view?usp=drivesdk","EUIS RATNAMULYA SERTIFIKAT BerAKHLAK")</f>
        <v>EUIS RATNAMULYA SERTIFIKAT BerAKHLAK</v>
      </c>
      <c r="K485" s="5" t="s">
        <v>4218</v>
      </c>
      <c r="L485" s="5" t="s">
        <v>4770</v>
      </c>
      <c r="M485" s="5" t="s">
        <v>4771</v>
      </c>
      <c r="N485" s="7" t="s">
        <v>4772</v>
      </c>
      <c r="O485" s="8" t="str">
        <f>HYPERLINK("https://drive.google.com/file/d/1CRFfDHJidWL-8mIRH6Pa3nV4f_2U-zWW/view?usp=drivesdk","484 &lt;NAMA LENGKAP&gt;&gt; _ SERTIFIKAT BIMTEK IPASN BerAKHLASK")</f>
        <v>484 &lt;NAMA LENGKAP&gt;&gt; _ SERTIFIKAT BIMTEK IPASN BerAKHLASK</v>
      </c>
      <c r="P485" s="5" t="s">
        <v>3592</v>
      </c>
      <c r="Q485" s="5" t="s">
        <v>4773</v>
      </c>
      <c r="R485" s="7" t="s">
        <v>4774</v>
      </c>
      <c r="S485" s="7" t="str">
        <f>HYPERLINK("https://drive.google.com/file/d/1FMPOzNTsxp3HYSyzUY0dFIG4tMw9IfuM/view?usp=drivesdk","484_EUIS RATNAMULYA SERTIFIKAT BIMTEK IPASN-BerAKHLAK")</f>
        <v>484_EUIS RATNAMULYA SERTIFIKAT BIMTEK IPASN-BerAKHLAK</v>
      </c>
      <c r="T485" s="5" t="s">
        <v>4747</v>
      </c>
    </row>
    <row r="486">
      <c r="A486" s="4">
        <v>45534.32080483796</v>
      </c>
      <c r="B486" s="5" t="s">
        <v>34</v>
      </c>
      <c r="D486" s="5" t="s">
        <v>4775</v>
      </c>
      <c r="E486" s="5" t="s">
        <v>4776</v>
      </c>
      <c r="F486" s="5" t="s">
        <v>37</v>
      </c>
      <c r="G486" s="5" t="s">
        <v>4777</v>
      </c>
      <c r="H486" s="6" t="s">
        <v>4778</v>
      </c>
      <c r="I486" s="7" t="s">
        <v>4779</v>
      </c>
      <c r="J486" s="8" t="str">
        <f>HYPERLINK("https://drive.google.com/file/d/1yXuNRqKIn1nK5tEaIc8OY9WaG2AwIt3t/view?usp=drivesdk","WIDODO DWI ATMOJO, A.Md. SERTIFIKAT BerAKHLAK")</f>
        <v>WIDODO DWI ATMOJO, A.Md. SERTIFIKAT BerAKHLAK</v>
      </c>
      <c r="K486" s="5" t="s">
        <v>4218</v>
      </c>
      <c r="L486" s="5" t="s">
        <v>4780</v>
      </c>
      <c r="M486" s="5" t="s">
        <v>4781</v>
      </c>
      <c r="N486" s="7" t="s">
        <v>4782</v>
      </c>
      <c r="O486" s="8" t="str">
        <f>HYPERLINK("https://drive.google.com/file/d/1cOycetZzw--nSENWbLfL3lRy5oBcy1AI/view?usp=drivesdk","485 &lt;NAMA LENGKAP&gt;&gt; _ SERTIFIKAT BIMTEK IPASN BerAKHLASK")</f>
        <v>485 &lt;NAMA LENGKAP&gt;&gt; _ SERTIFIKAT BIMTEK IPASN BerAKHLASK</v>
      </c>
      <c r="P486" s="5" t="s">
        <v>3592</v>
      </c>
      <c r="Q486" s="5" t="s">
        <v>4783</v>
      </c>
      <c r="R486" s="7" t="s">
        <v>4784</v>
      </c>
      <c r="S486" s="7" t="str">
        <f>HYPERLINK("https://drive.google.com/file/d/1EpnIJRRxWtdJQT-s8K3JaLWBPFGwA6F4/view?usp=drivesdk","485_WIDODO DWI ATMOJO, A.Md. SERTIFIKAT BIMTEK IPASN-BerAKHLAK")</f>
        <v>485_WIDODO DWI ATMOJO, A.Md. SERTIFIKAT BIMTEK IPASN-BerAKHLAK</v>
      </c>
      <c r="T486" s="5" t="s">
        <v>4747</v>
      </c>
    </row>
    <row r="487" hidden="1">
      <c r="A487" s="4">
        <v>45534.320811631944</v>
      </c>
      <c r="B487" s="5" t="s">
        <v>19</v>
      </c>
      <c r="C487" s="5" t="s">
        <v>3301</v>
      </c>
      <c r="E487" s="5" t="s">
        <v>4785</v>
      </c>
      <c r="F487" s="5" t="s">
        <v>108</v>
      </c>
      <c r="G487" s="5" t="s">
        <v>4786</v>
      </c>
      <c r="H487" s="6" t="s">
        <v>4787</v>
      </c>
      <c r="I487" s="7" t="s">
        <v>4788</v>
      </c>
      <c r="J487" s="8" t="str">
        <f>HYPERLINK("https://drive.google.com/file/d/133Azy0q0nzQqx_Q2PzW38cRvhvDWdt1V/view?usp=drivesdk","apt. FITRIA CHAIRUNNISA, S. Farm. SERTIFIKAT BerAKHLAK")</f>
        <v>apt. FITRIA CHAIRUNNISA, S. Farm. SERTIFIKAT BerAKHLAK</v>
      </c>
      <c r="K487" s="5" t="s">
        <v>4218</v>
      </c>
      <c r="L487" s="5" t="s">
        <v>4789</v>
      </c>
      <c r="M487" s="5" t="s">
        <v>4790</v>
      </c>
      <c r="N487" s="7" t="s">
        <v>4791</v>
      </c>
      <c r="O487" s="8" t="str">
        <f>HYPERLINK("https://drive.google.com/file/d/1yT0db5kBd3N55yjVhZ9oSylkR2PLeO3l/view?usp=drivesdk","486 &lt;NAMA LENGKAP&gt;&gt; _ SERTIFIKAT BIMTEK IPASN BerAKHLASK")</f>
        <v>486 &lt;NAMA LENGKAP&gt;&gt; _ SERTIFIKAT BIMTEK IPASN BerAKHLASK</v>
      </c>
      <c r="P487" s="5" t="s">
        <v>3592</v>
      </c>
      <c r="Q487" s="5" t="s">
        <v>4792</v>
      </c>
      <c r="R487" s="7" t="s">
        <v>4793</v>
      </c>
      <c r="S487" s="7" t="str">
        <f>HYPERLINK("https://drive.google.com/file/d/1hf_kZpYMQdp3XUYjZcaSDj1uJQM_RfXR/view?usp=drivesdk","486_apt. FITRIA CHAIRUNNISA, S. Farm. SERTIFIKAT BIMTEK IPASN-BerAKHLAK")</f>
        <v>486_apt. FITRIA CHAIRUNNISA, S. Farm. SERTIFIKAT BIMTEK IPASN-BerAKHLAK</v>
      </c>
      <c r="T487" s="5" t="s">
        <v>4747</v>
      </c>
    </row>
    <row r="488" hidden="1">
      <c r="A488" s="4">
        <v>45534.320837129635</v>
      </c>
      <c r="B488" s="5" t="s">
        <v>19</v>
      </c>
      <c r="C488" s="5" t="s">
        <v>3301</v>
      </c>
      <c r="E488" s="5" t="s">
        <v>4794</v>
      </c>
      <c r="F488" s="5" t="s">
        <v>108</v>
      </c>
      <c r="G488" s="5" t="s">
        <v>4795</v>
      </c>
      <c r="H488" s="6" t="s">
        <v>4796</v>
      </c>
      <c r="I488" s="7" t="s">
        <v>4797</v>
      </c>
      <c r="J488" s="8" t="str">
        <f>HYPERLINK("https://drive.google.com/file/d/1vLIOuVW6H2ayqdQ3WvFnWHgWnnuYSiWI/view?usp=drivesdk","dr.SONY NOVRIANDI SERTIFIKAT BerAKHLAK")</f>
        <v>dr.SONY NOVRIANDI SERTIFIKAT BerAKHLAK</v>
      </c>
      <c r="K488" s="5" t="s">
        <v>4218</v>
      </c>
      <c r="L488" s="5" t="s">
        <v>4798</v>
      </c>
      <c r="M488" s="5" t="s">
        <v>4799</v>
      </c>
      <c r="N488" s="7" t="s">
        <v>4800</v>
      </c>
      <c r="O488" s="8" t="str">
        <f>HYPERLINK("https://drive.google.com/file/d/1MrT_SGaUHrx--kCItmW1pl9UhJNDNP2E/view?usp=drivesdk","487 &lt;NAMA LENGKAP&gt;&gt; _ SERTIFIKAT BIMTEK IPASN BerAKHLASK")</f>
        <v>487 &lt;NAMA LENGKAP&gt;&gt; _ SERTIFIKAT BIMTEK IPASN BerAKHLASK</v>
      </c>
      <c r="P488" s="5" t="s">
        <v>3592</v>
      </c>
      <c r="Q488" s="5" t="s">
        <v>4801</v>
      </c>
      <c r="R488" s="7" t="s">
        <v>4802</v>
      </c>
      <c r="S488" s="7" t="str">
        <f>HYPERLINK("https://drive.google.com/file/d/1SU5ffD-pLu3xGzy8Iuk8zoikh6totvjN/view?usp=drivesdk","487_dr.SONY NOVRIANDI SERTIFIKAT BIMTEK IPASN-BerAKHLAK")</f>
        <v>487_dr.SONY NOVRIANDI SERTIFIKAT BIMTEK IPASN-BerAKHLAK</v>
      </c>
      <c r="T488" s="5" t="s">
        <v>4803</v>
      </c>
    </row>
    <row r="489" hidden="1">
      <c r="A489" s="4">
        <v>45534.32083916667</v>
      </c>
      <c r="B489" s="5" t="s">
        <v>19</v>
      </c>
      <c r="C489" s="5" t="s">
        <v>3301</v>
      </c>
      <c r="E489" s="5" t="s">
        <v>4804</v>
      </c>
      <c r="F489" s="5" t="s">
        <v>375</v>
      </c>
      <c r="G489" s="5" t="s">
        <v>4805</v>
      </c>
      <c r="H489" s="6" t="s">
        <v>4806</v>
      </c>
      <c r="I489" s="7" t="s">
        <v>4807</v>
      </c>
      <c r="J489" s="8" t="str">
        <f>HYPERLINK("https://drive.google.com/file/d/1YuwSmeEj1EO6qF609liaB0KuK9HGblsL/view?usp=drivesdk","NURUL FEBIANI IBRAHIM, SKM., M.A SERTIFIKAT BerAKHLAK")</f>
        <v>NURUL FEBIANI IBRAHIM, SKM., M.A SERTIFIKAT BerAKHLAK</v>
      </c>
      <c r="K489" s="5" t="s">
        <v>4218</v>
      </c>
      <c r="L489" s="5" t="s">
        <v>4808</v>
      </c>
      <c r="M489" s="5" t="s">
        <v>4809</v>
      </c>
      <c r="N489" s="7" t="s">
        <v>4810</v>
      </c>
      <c r="O489" s="8" t="str">
        <f>HYPERLINK("https://drive.google.com/file/d/1etaBrzO0vduOZ57R-EQx6M2kopaLate3/view?usp=drivesdk","488 &lt;NAMA LENGKAP&gt;&gt; _ SERTIFIKAT BIMTEK IPASN BerAKHLASK")</f>
        <v>488 &lt;NAMA LENGKAP&gt;&gt; _ SERTIFIKAT BIMTEK IPASN BerAKHLASK</v>
      </c>
      <c r="P489" s="5" t="s">
        <v>3592</v>
      </c>
      <c r="Q489" s="5" t="s">
        <v>4811</v>
      </c>
      <c r="R489" s="7" t="s">
        <v>4812</v>
      </c>
      <c r="S489" s="7" t="str">
        <f>HYPERLINK("https://drive.google.com/file/d/1GmBLLf_4IH5byFdP66gPCKtPzRtTSUhu/view?usp=drivesdk","488_NURUL FEBIANI IBRAHIM, SKM., M.A SERTIFIKAT BIMTEK IPASN-BerAKHLAK")</f>
        <v>488_NURUL FEBIANI IBRAHIM, SKM., M.A SERTIFIKAT BIMTEK IPASN-BerAKHLAK</v>
      </c>
      <c r="T489" s="5" t="s">
        <v>4803</v>
      </c>
    </row>
    <row r="490">
      <c r="A490" s="4">
        <v>45534.32089070602</v>
      </c>
      <c r="B490" s="5" t="s">
        <v>34</v>
      </c>
      <c r="D490" s="5" t="s">
        <v>3432</v>
      </c>
      <c r="E490" s="5" t="s">
        <v>4813</v>
      </c>
      <c r="F490" s="5" t="s">
        <v>72</v>
      </c>
      <c r="G490" s="5" t="s">
        <v>4814</v>
      </c>
      <c r="H490" s="6" t="s">
        <v>4815</v>
      </c>
      <c r="I490" s="7" t="s">
        <v>4816</v>
      </c>
      <c r="J490" s="8" t="str">
        <f>HYPERLINK("https://drive.google.com/file/d/1YAaZ_GSvbiVWeFyFKV359UZd1DKbnNlL/view?usp=drivesdk","ADAWIAH UMASUGI, Skep  SERTIFIKAT BerAKHLAK")</f>
        <v>ADAWIAH UMASUGI, Skep  SERTIFIKAT BerAKHLAK</v>
      </c>
      <c r="K490" s="5" t="s">
        <v>4218</v>
      </c>
      <c r="L490" s="5" t="s">
        <v>4817</v>
      </c>
      <c r="M490" s="5" t="s">
        <v>4818</v>
      </c>
      <c r="N490" s="7" t="s">
        <v>4819</v>
      </c>
      <c r="O490" s="8" t="str">
        <f>HYPERLINK("https://drive.google.com/file/d/1NjzFf_s96VotIGwmHxUNXGpges7U4G5x/view?usp=drivesdk","489 &lt;NAMA LENGKAP&gt;&gt; _ SERTIFIKAT BIMTEK IPASN BerAKHLASK")</f>
        <v>489 &lt;NAMA LENGKAP&gt;&gt; _ SERTIFIKAT BIMTEK IPASN BerAKHLASK</v>
      </c>
      <c r="P490" s="5" t="s">
        <v>3592</v>
      </c>
      <c r="Q490" s="5" t="s">
        <v>4820</v>
      </c>
      <c r="R490" s="7" t="s">
        <v>4821</v>
      </c>
      <c r="S490" s="7" t="str">
        <f>HYPERLINK("https://drive.google.com/file/d/1BezrslIqZ2fmhM2N03xnucspzRBjwiLq/view?usp=drivesdk","489_ADAWIAH UMASUGI, Skep  SERTIFIKAT BIMTEK IPASN-BerAKHLAK")</f>
        <v>489_ADAWIAH UMASUGI, Skep  SERTIFIKAT BIMTEK IPASN-BerAKHLAK</v>
      </c>
      <c r="T490" s="5" t="s">
        <v>4803</v>
      </c>
    </row>
    <row r="491">
      <c r="A491" s="4">
        <v>45534.32089525463</v>
      </c>
      <c r="B491" s="5" t="s">
        <v>34</v>
      </c>
      <c r="D491" s="5" t="s">
        <v>35</v>
      </c>
      <c r="E491" s="5" t="s">
        <v>4822</v>
      </c>
      <c r="F491" s="5" t="s">
        <v>72</v>
      </c>
      <c r="G491" s="5" t="s">
        <v>4823</v>
      </c>
      <c r="H491" s="6" t="s">
        <v>4824</v>
      </c>
      <c r="I491" s="7" t="s">
        <v>4825</v>
      </c>
      <c r="J491" s="8" t="str">
        <f>HYPERLINK("https://drive.google.com/file/d/1gAa9yvmr1asjHST3OtSYSDhpfAxpvJgx/view?usp=drivesdk","AGUSSSSSSSSSSS SERTIFIKAT BerAKHLAK")</f>
        <v>AGUSSSSSSSSSSS SERTIFIKAT BerAKHLAK</v>
      </c>
      <c r="K491" s="5" t="s">
        <v>4218</v>
      </c>
      <c r="L491" s="5" t="s">
        <v>4826</v>
      </c>
      <c r="M491" s="5" t="s">
        <v>4827</v>
      </c>
      <c r="N491" s="7" t="s">
        <v>4828</v>
      </c>
      <c r="O491" s="8" t="str">
        <f>HYPERLINK("https://drive.google.com/file/d/1v5QSKv_1eQOh2IQQdVWrjgK0yMrVE-P1/view?usp=drivesdk","490 &lt;NAMA LENGKAP&gt;&gt; _ SERTIFIKAT BIMTEK IPASN BerAKHLASK")</f>
        <v>490 &lt;NAMA LENGKAP&gt;&gt; _ SERTIFIKAT BIMTEK IPASN BerAKHLASK</v>
      </c>
      <c r="P491" s="5" t="s">
        <v>3649</v>
      </c>
      <c r="Q491" s="5" t="s">
        <v>4829</v>
      </c>
      <c r="R491" s="7" t="s">
        <v>4830</v>
      </c>
      <c r="S491" s="7" t="str">
        <f>HYPERLINK("https://drive.google.com/file/d/1KCjh-9m1aAEfBoczxNJPy2bKANL02AWp/view?usp=drivesdk","490_AGUSSSSSSSSSSS SERTIFIKAT BIMTEK IPASN-BerAKHLAK")</f>
        <v>490_AGUSSSSSSSSSSS SERTIFIKAT BIMTEK IPASN-BerAKHLAK</v>
      </c>
      <c r="T491" s="5" t="s">
        <v>4803</v>
      </c>
    </row>
    <row r="492">
      <c r="A492" s="4">
        <v>45534.320914386575</v>
      </c>
      <c r="B492" s="5" t="s">
        <v>34</v>
      </c>
      <c r="D492" s="5" t="s">
        <v>280</v>
      </c>
      <c r="E492" s="5" t="s">
        <v>4831</v>
      </c>
      <c r="F492" s="5" t="s">
        <v>212</v>
      </c>
      <c r="G492" s="5" t="s">
        <v>4832</v>
      </c>
      <c r="H492" s="6" t="s">
        <v>4833</v>
      </c>
      <c r="I492" s="7" t="s">
        <v>4834</v>
      </c>
      <c r="J492" s="8" t="str">
        <f>HYPERLINK("https://drive.google.com/file/d/1u5SVhr_-yBJt__Kril0u1mgikzDD1C0W/view?usp=drivesdk","ANJAR DWI NURWIYANTI SAMSAH, A.Md.Kep SERTIFIKAT BerAKHLAK")</f>
        <v>ANJAR DWI NURWIYANTI SAMSAH, A.Md.Kep SERTIFIKAT BerAKHLAK</v>
      </c>
      <c r="K492" s="5" t="s">
        <v>4218</v>
      </c>
      <c r="L492" s="5" t="s">
        <v>4835</v>
      </c>
      <c r="M492" s="5" t="s">
        <v>4836</v>
      </c>
      <c r="N492" s="7" t="s">
        <v>4837</v>
      </c>
      <c r="O492" s="8" t="str">
        <f>HYPERLINK("https://drive.google.com/file/d/1LgnRYks0YWpHKhUkmqTe07T54AfpULmO/view?usp=drivesdk","491 &lt;NAMA LENGKAP&gt;&gt; _ SERTIFIKAT BIMTEK IPASN BerAKHLASK")</f>
        <v>491 &lt;NAMA LENGKAP&gt;&gt; _ SERTIFIKAT BIMTEK IPASN BerAKHLASK</v>
      </c>
      <c r="P492" s="5" t="s">
        <v>3649</v>
      </c>
      <c r="Q492" s="5" t="s">
        <v>4838</v>
      </c>
      <c r="R492" s="7" t="s">
        <v>4839</v>
      </c>
      <c r="S492" s="7" t="str">
        <f>HYPERLINK("https://drive.google.com/file/d/1pK22q2rvfYEwN0aECi6FIaV5zqUJ6l2d/view?usp=drivesdk","491_ANJAR DWI NURWIYANTI SAMSAH, A.Md.Kep SERTIFIKAT BIMTEK IPASN-BerAKHLAK")</f>
        <v>491_ANJAR DWI NURWIYANTI SAMSAH, A.Md.Kep SERTIFIKAT BIMTEK IPASN-BerAKHLAK</v>
      </c>
      <c r="T492" s="5" t="s">
        <v>4803</v>
      </c>
    </row>
    <row r="493">
      <c r="A493" s="4">
        <v>45534.3209705787</v>
      </c>
      <c r="B493" s="5" t="s">
        <v>34</v>
      </c>
      <c r="D493" s="5" t="s">
        <v>35</v>
      </c>
      <c r="E493" s="5" t="s">
        <v>4840</v>
      </c>
      <c r="F493" s="5" t="s">
        <v>37</v>
      </c>
      <c r="G493" s="5" t="s">
        <v>4841</v>
      </c>
      <c r="H493" s="6" t="s">
        <v>4842</v>
      </c>
      <c r="I493" s="7" t="s">
        <v>4843</v>
      </c>
      <c r="J493" s="8" t="str">
        <f>HYPERLINK("https://drive.google.com/file/d/1fLaZMbX3NnOVHUzt6PyvGri4mo20rJiG/view?usp=drivesdk","IYAN SOPIAN S.IKOM SERTIFIKAT BerAKHLAK")</f>
        <v>IYAN SOPIAN S.IKOM SERTIFIKAT BerAKHLAK</v>
      </c>
      <c r="K493" s="5" t="s">
        <v>4218</v>
      </c>
      <c r="L493" s="5" t="s">
        <v>4844</v>
      </c>
      <c r="M493" s="5" t="s">
        <v>4845</v>
      </c>
      <c r="N493" s="7" t="s">
        <v>4846</v>
      </c>
      <c r="O493" s="8" t="str">
        <f>HYPERLINK("https://drive.google.com/file/d/133vfyWdECCLzOGH3r87gH-BJYmjZGit-/view?usp=drivesdk","492 &lt;NAMA LENGKAP&gt;&gt; _ SERTIFIKAT BIMTEK IPASN BerAKHLASK")</f>
        <v>492 &lt;NAMA LENGKAP&gt;&gt; _ SERTIFIKAT BIMTEK IPASN BerAKHLASK</v>
      </c>
      <c r="P493" s="5" t="s">
        <v>3649</v>
      </c>
      <c r="Q493" s="5" t="s">
        <v>4847</v>
      </c>
      <c r="R493" s="7" t="s">
        <v>4848</v>
      </c>
      <c r="S493" s="7" t="str">
        <f>HYPERLINK("https://drive.google.com/file/d/1IpIVO30lOih9WRyedm9kl9vDtDg1i61p/view?usp=drivesdk","492_IYAN SOPIAN S.IKOM SERTIFIKAT BIMTEK IPASN-BerAKHLAK")</f>
        <v>492_IYAN SOPIAN S.IKOM SERTIFIKAT BIMTEK IPASN-BerAKHLAK</v>
      </c>
      <c r="T493" s="5" t="s">
        <v>4803</v>
      </c>
    </row>
    <row r="494">
      <c r="A494" s="4">
        <v>45534.32101247685</v>
      </c>
      <c r="B494" s="5" t="s">
        <v>34</v>
      </c>
      <c r="D494" s="5" t="s">
        <v>3849</v>
      </c>
      <c r="E494" s="5" t="s">
        <v>4849</v>
      </c>
      <c r="F494" s="5" t="s">
        <v>212</v>
      </c>
      <c r="G494" s="5" t="s">
        <v>4850</v>
      </c>
      <c r="H494" s="6" t="s">
        <v>4851</v>
      </c>
      <c r="I494" s="7" t="s">
        <v>4852</v>
      </c>
      <c r="J494" s="8" t="str">
        <f>HYPERLINK("https://drive.google.com/file/d/1c1iEqpefbjNibn8bjDBk3VXfMJP3yXJj/view?usp=drivesdk","BAMBANG SUPRAYITNO SERTIFIKAT BerAKHLAK")</f>
        <v>BAMBANG SUPRAYITNO SERTIFIKAT BerAKHLAK</v>
      </c>
      <c r="K494" s="5" t="s">
        <v>4218</v>
      </c>
      <c r="L494" s="5" t="s">
        <v>4853</v>
      </c>
      <c r="M494" s="5" t="s">
        <v>4854</v>
      </c>
      <c r="N494" s="7" t="s">
        <v>4855</v>
      </c>
      <c r="O494" s="8" t="str">
        <f>HYPERLINK("https://drive.google.com/file/d/1Xv8eypMo-XUFgc3gHQaNHOPXxvGYkG-q/view?usp=drivesdk","493 &lt;NAMA LENGKAP&gt;&gt; _ SERTIFIKAT BIMTEK IPASN BerAKHLASK")</f>
        <v>493 &lt;NAMA LENGKAP&gt;&gt; _ SERTIFIKAT BIMTEK IPASN BerAKHLASK</v>
      </c>
      <c r="P494" s="5" t="s">
        <v>3649</v>
      </c>
      <c r="Q494" s="5" t="s">
        <v>4856</v>
      </c>
      <c r="R494" s="7" t="s">
        <v>4857</v>
      </c>
      <c r="S494" s="7" t="str">
        <f>HYPERLINK("https://drive.google.com/file/d/1pCCGt13ms8xshqIjcigBUaGkqc2KD_Ad/view?usp=drivesdk","493_BAMBANG SUPRAYITNO SERTIFIKAT BIMTEK IPASN-BerAKHLAK")</f>
        <v>493_BAMBANG SUPRAYITNO SERTIFIKAT BIMTEK IPASN-BerAKHLAK</v>
      </c>
      <c r="T494" s="5" t="s">
        <v>4858</v>
      </c>
    </row>
    <row r="495">
      <c r="A495" s="4">
        <v>45534.32102726852</v>
      </c>
      <c r="B495" s="5" t="s">
        <v>34</v>
      </c>
      <c r="D495" s="5" t="s">
        <v>280</v>
      </c>
      <c r="E495" s="5" t="s">
        <v>4859</v>
      </c>
      <c r="F495" s="5" t="s">
        <v>72</v>
      </c>
      <c r="G495" s="5" t="s">
        <v>4860</v>
      </c>
      <c r="H495" s="6" t="s">
        <v>4861</v>
      </c>
      <c r="I495" s="7" t="s">
        <v>4862</v>
      </c>
      <c r="J495" s="8" t="str">
        <f>HYPERLINK("https://drive.google.com/file/d/1NzL4IZLMlVqIUuXYHv4hilt8hp3tMxkZ/view?usp=drivesdk","RATNA DEWI NUVITASARI, A.Md SERTIFIKAT BerAKHLAK")</f>
        <v>RATNA DEWI NUVITASARI, A.Md SERTIFIKAT BerAKHLAK</v>
      </c>
      <c r="K495" s="5" t="s">
        <v>4218</v>
      </c>
      <c r="L495" s="5" t="s">
        <v>4863</v>
      </c>
      <c r="M495" s="5" t="s">
        <v>4864</v>
      </c>
      <c r="N495" s="7" t="s">
        <v>4865</v>
      </c>
      <c r="O495" s="8" t="str">
        <f>HYPERLINK("https://drive.google.com/file/d/18lXhnUsGBqCfOezG-sq6GUzz2zVJeyAi/view?usp=drivesdk","494 &lt;NAMA LENGKAP&gt;&gt; _ SERTIFIKAT BIMTEK IPASN BerAKHLASK")</f>
        <v>494 &lt;NAMA LENGKAP&gt;&gt; _ SERTIFIKAT BIMTEK IPASN BerAKHLASK</v>
      </c>
      <c r="P495" s="5" t="s">
        <v>3649</v>
      </c>
      <c r="Q495" s="5" t="s">
        <v>4866</v>
      </c>
      <c r="R495" s="7" t="s">
        <v>4867</v>
      </c>
      <c r="S495" s="7" t="str">
        <f>HYPERLINK("https://drive.google.com/file/d/1Nwev9Cdp55gmNkjkdrEkGnBMFK9BtC8F/view?usp=drivesdk","494_RATNA DEWI NUVITASARI, A.Md SERTIFIKAT BIMTEK IPASN-BerAKHLAK")</f>
        <v>494_RATNA DEWI NUVITASARI, A.Md SERTIFIKAT BIMTEK IPASN-BerAKHLAK</v>
      </c>
      <c r="T495" s="5" t="s">
        <v>4858</v>
      </c>
    </row>
    <row r="496" hidden="1">
      <c r="A496" s="4">
        <v>45534.32102737269</v>
      </c>
      <c r="B496" s="5" t="s">
        <v>19</v>
      </c>
      <c r="C496" s="5" t="s">
        <v>3471</v>
      </c>
      <c r="E496" s="5" t="s">
        <v>4868</v>
      </c>
      <c r="F496" s="5" t="s">
        <v>108</v>
      </c>
      <c r="G496" s="5" t="s">
        <v>4869</v>
      </c>
      <c r="H496" s="6" t="s">
        <v>4870</v>
      </c>
      <c r="I496" s="7" t="s">
        <v>4871</v>
      </c>
      <c r="J496" s="8" t="str">
        <f>HYPERLINK("https://drive.google.com/file/d/1mDnF9qRQ33T4NZrkmKa6nCGvqraNGcpI/view?usp=drivesdk","UNTORO ARI WIBOWO, S.E. SERTIFIKAT BerAKHLAK")</f>
        <v>UNTORO ARI WIBOWO, S.E. SERTIFIKAT BerAKHLAK</v>
      </c>
      <c r="K496" s="5" t="s">
        <v>4872</v>
      </c>
      <c r="L496" s="5" t="s">
        <v>4873</v>
      </c>
      <c r="M496" s="5" t="s">
        <v>4874</v>
      </c>
      <c r="N496" s="7" t="s">
        <v>4875</v>
      </c>
      <c r="O496" s="8" t="str">
        <f>HYPERLINK("https://drive.google.com/file/d/1Ia4MhgGROW8LoUWhqs0WsfSBdcZ51vo-/view?usp=drivesdk","495 &lt;NAMA LENGKAP&gt;&gt; _ SERTIFIKAT BIMTEK IPASN BerAKHLASK")</f>
        <v>495 &lt;NAMA LENGKAP&gt;&gt; _ SERTIFIKAT BIMTEK IPASN BerAKHLASK</v>
      </c>
      <c r="P496" s="5" t="s">
        <v>3649</v>
      </c>
      <c r="Q496" s="5" t="s">
        <v>4876</v>
      </c>
      <c r="R496" s="7" t="s">
        <v>4877</v>
      </c>
      <c r="S496" s="7" t="str">
        <f>HYPERLINK("https://drive.google.com/file/d/1RDX6M6XtfRwQh8k-RE7m7DJEBy8M_EGB/view?usp=drivesdk","495_UNTORO ARI WIBOWO, S.E. SERTIFIKAT BIMTEK IPASN-BerAKHLAK")</f>
        <v>495_UNTORO ARI WIBOWO, S.E. SERTIFIKAT BIMTEK IPASN-BerAKHLAK</v>
      </c>
      <c r="T496" s="5" t="s">
        <v>4858</v>
      </c>
    </row>
    <row r="497">
      <c r="A497" s="4">
        <v>45534.32103432871</v>
      </c>
      <c r="B497" s="5" t="s">
        <v>34</v>
      </c>
      <c r="D497" s="5" t="s">
        <v>1206</v>
      </c>
      <c r="E497" s="5" t="s">
        <v>4878</v>
      </c>
      <c r="F497" s="5" t="s">
        <v>212</v>
      </c>
      <c r="G497" s="5" t="s">
        <v>4879</v>
      </c>
      <c r="H497" s="6" t="s">
        <v>4880</v>
      </c>
      <c r="I497" s="7" t="s">
        <v>4881</v>
      </c>
      <c r="J497" s="8" t="str">
        <f>HYPERLINK("https://drive.google.com/file/d/1u3VYt3kMQqqkeTh2C9rkAsHpX47zU5Ax/view?usp=drivesdk","PUJI ASTUTIK ERNAWATI SERTIFIKAT BerAKHLAK")</f>
        <v>PUJI ASTUTIK ERNAWATI SERTIFIKAT BerAKHLAK</v>
      </c>
      <c r="K497" s="5" t="s">
        <v>4872</v>
      </c>
      <c r="L497" s="5" t="s">
        <v>4882</v>
      </c>
      <c r="M497" s="5" t="s">
        <v>4883</v>
      </c>
      <c r="N497" s="7" t="s">
        <v>4884</v>
      </c>
      <c r="O497" s="8" t="str">
        <f>HYPERLINK("https://drive.google.com/file/d/17C7LON6xKlrDGgPDxHsHkH-PIlg1SyGP/view?usp=drivesdk","496 &lt;NAMA LENGKAP&gt;&gt; _ SERTIFIKAT BIMTEK IPASN BerAKHLASK")</f>
        <v>496 &lt;NAMA LENGKAP&gt;&gt; _ SERTIFIKAT BIMTEK IPASN BerAKHLASK</v>
      </c>
      <c r="P497" s="5" t="s">
        <v>3649</v>
      </c>
      <c r="Q497" s="5" t="s">
        <v>4885</v>
      </c>
      <c r="R497" s="7" t="s">
        <v>4886</v>
      </c>
      <c r="S497" s="7" t="str">
        <f>HYPERLINK("https://drive.google.com/file/d/1klhdX6LPXb2_SG5vLbWcAVDTJ0AEOgLv/view?usp=drivesdk","496_PUJI ASTUTIK ERNAWATI SERTIFIKAT BIMTEK IPASN-BerAKHLAK")</f>
        <v>496_PUJI ASTUTIK ERNAWATI SERTIFIKAT BIMTEK IPASN-BerAKHLAK</v>
      </c>
      <c r="T497" s="5" t="s">
        <v>4858</v>
      </c>
    </row>
    <row r="498">
      <c r="A498" s="4">
        <v>45534.321046990735</v>
      </c>
      <c r="B498" s="5" t="s">
        <v>34</v>
      </c>
      <c r="D498" s="5" t="s">
        <v>1692</v>
      </c>
      <c r="E498" s="5" t="s">
        <v>4887</v>
      </c>
      <c r="F498" s="5" t="s">
        <v>524</v>
      </c>
      <c r="G498" s="5" t="s">
        <v>4888</v>
      </c>
      <c r="H498" s="6" t="s">
        <v>4889</v>
      </c>
      <c r="I498" s="7" t="s">
        <v>4890</v>
      </c>
      <c r="J498" s="8" t="str">
        <f>HYPERLINK("https://drive.google.com/file/d/14quRNwy6RW_sEvyMtqhAPoW0p1elBT3K/view?usp=drivesdk","DEISY LEIHITU, S.Kep.Ns SERTIFIKAT BerAKHLAK")</f>
        <v>DEISY LEIHITU, S.Kep.Ns SERTIFIKAT BerAKHLAK</v>
      </c>
      <c r="K498" s="5" t="s">
        <v>4218</v>
      </c>
      <c r="L498" s="5" t="s">
        <v>4891</v>
      </c>
      <c r="M498" s="5" t="s">
        <v>4892</v>
      </c>
      <c r="N498" s="7" t="s">
        <v>4893</v>
      </c>
      <c r="O498" s="8" t="str">
        <f>HYPERLINK("https://drive.google.com/file/d/17jaVaToz6W5BgTSM6diHTbfBLjmgBIo0/view?usp=drivesdk","497 &lt;NAMA LENGKAP&gt;&gt; _ SERTIFIKAT BIMTEK IPASN BerAKHLASK")</f>
        <v>497 &lt;NAMA LENGKAP&gt;&gt; _ SERTIFIKAT BIMTEK IPASN BerAKHLASK</v>
      </c>
      <c r="P498" s="5" t="s">
        <v>3705</v>
      </c>
      <c r="Q498" s="5" t="s">
        <v>4894</v>
      </c>
      <c r="R498" s="7" t="s">
        <v>4895</v>
      </c>
      <c r="S498" s="7" t="str">
        <f>HYPERLINK("https://drive.google.com/file/d/1WyVih8zTpdK3En_rylnYMj8QvZtVj8IK/view?usp=drivesdk","497_DEISY LEIHITU, S.Kep.Ns SERTIFIKAT BIMTEK IPASN-BerAKHLAK")</f>
        <v>497_DEISY LEIHITU, S.Kep.Ns SERTIFIKAT BIMTEK IPASN-BerAKHLAK</v>
      </c>
      <c r="T498" s="5" t="s">
        <v>4858</v>
      </c>
    </row>
    <row r="499">
      <c r="A499" s="4">
        <v>45534.32105892361</v>
      </c>
      <c r="B499" s="5" t="s">
        <v>34</v>
      </c>
      <c r="D499" s="5" t="s">
        <v>996</v>
      </c>
      <c r="E499" s="5" t="s">
        <v>4896</v>
      </c>
      <c r="F499" s="5" t="s">
        <v>212</v>
      </c>
      <c r="G499" s="5" t="s">
        <v>4897</v>
      </c>
      <c r="H499" s="6" t="s">
        <v>4898</v>
      </c>
      <c r="I499" s="7" t="s">
        <v>4899</v>
      </c>
      <c r="J499" s="8" t="str">
        <f>HYPERLINK("https://drive.google.com/file/d/1z5_YxyFahagaONZDjK_6ojVoirLDgorc/view?usp=drivesdk","IDA SUSILOWATI SERTIFIKAT BerAKHLAK")</f>
        <v>IDA SUSILOWATI SERTIFIKAT BerAKHLAK</v>
      </c>
      <c r="K499" s="5" t="s">
        <v>4218</v>
      </c>
      <c r="L499" s="5" t="s">
        <v>4900</v>
      </c>
      <c r="M499" s="5" t="s">
        <v>4901</v>
      </c>
      <c r="N499" s="7" t="s">
        <v>4902</v>
      </c>
      <c r="O499" s="8" t="str">
        <f>HYPERLINK("https://drive.google.com/file/d/1ewXLIWcrsEh8ysiJLeQgkQIYPkOR72oo/view?usp=drivesdk","498 &lt;NAMA LENGKAP&gt;&gt; _ SERTIFIKAT BIMTEK IPASN BerAKHLASK")</f>
        <v>498 &lt;NAMA LENGKAP&gt;&gt; _ SERTIFIKAT BIMTEK IPASN BerAKHLASK</v>
      </c>
      <c r="P499" s="5" t="s">
        <v>3705</v>
      </c>
      <c r="Q499" s="5" t="s">
        <v>4903</v>
      </c>
      <c r="R499" s="7" t="s">
        <v>4904</v>
      </c>
      <c r="S499" s="7" t="str">
        <f>HYPERLINK("https://drive.google.com/file/d/1qI12CgAW2HU-C1cYTXDFRJ7WYpR5kXVm/view?usp=drivesdk","498_IDA SUSILOWATI SERTIFIKAT BIMTEK IPASN-BerAKHLAK")</f>
        <v>498_IDA SUSILOWATI SERTIFIKAT BIMTEK IPASN-BerAKHLAK</v>
      </c>
      <c r="T499" s="5" t="s">
        <v>4858</v>
      </c>
    </row>
    <row r="500">
      <c r="A500" s="4">
        <v>45534.3210671875</v>
      </c>
      <c r="B500" s="5" t="s">
        <v>34</v>
      </c>
      <c r="D500" s="5" t="s">
        <v>1206</v>
      </c>
      <c r="E500" s="5" t="s">
        <v>4905</v>
      </c>
      <c r="F500" s="5" t="s">
        <v>212</v>
      </c>
      <c r="G500" s="5" t="s">
        <v>4906</v>
      </c>
      <c r="H500" s="6" t="s">
        <v>4907</v>
      </c>
      <c r="I500" s="7" t="s">
        <v>4908</v>
      </c>
      <c r="J500" s="8" t="str">
        <f>HYPERLINK("https://drive.google.com/file/d/1-0ktq5ACFd6cODsEsDp8TxCErEMTWOAv/view?usp=drivesdk","PENGATUR TK I ANTON SUDARYONO SERTIFIKAT BerAKHLAK")</f>
        <v>PENGATUR TK I ANTON SUDARYONO SERTIFIKAT BerAKHLAK</v>
      </c>
      <c r="K500" s="5" t="s">
        <v>4218</v>
      </c>
      <c r="L500" s="5" t="s">
        <v>4909</v>
      </c>
      <c r="M500" s="5" t="s">
        <v>4910</v>
      </c>
      <c r="N500" s="7" t="s">
        <v>4911</v>
      </c>
      <c r="O500" s="8" t="str">
        <f>HYPERLINK("https://drive.google.com/file/d/1-6rP3ZHRvtaBTYltC9U4NGxnpc7DzSVY/view?usp=drivesdk","499 &lt;NAMA LENGKAP&gt;&gt; _ SERTIFIKAT BIMTEK IPASN BerAKHLASK")</f>
        <v>499 &lt;NAMA LENGKAP&gt;&gt; _ SERTIFIKAT BIMTEK IPASN BerAKHLASK</v>
      </c>
      <c r="P500" s="5" t="s">
        <v>3705</v>
      </c>
      <c r="Q500" s="5" t="s">
        <v>4912</v>
      </c>
      <c r="R500" s="7" t="s">
        <v>4913</v>
      </c>
      <c r="S500" s="7" t="str">
        <f>HYPERLINK("https://drive.google.com/file/d/1bopqSCE0_4CQWNJ8vUI2cPiizS8e7tit/view?usp=drivesdk","499_PENGATUR TK I ANTON SUDARYONO SERTIFIKAT BIMTEK IPASN-BerAKHLAK")</f>
        <v>499_PENGATUR TK I ANTON SUDARYONO SERTIFIKAT BIMTEK IPASN-BerAKHLAK</v>
      </c>
      <c r="T500" s="5" t="s">
        <v>4914</v>
      </c>
    </row>
    <row r="501">
      <c r="A501" s="4">
        <v>45534.3211155787</v>
      </c>
      <c r="B501" s="5" t="s">
        <v>34</v>
      </c>
      <c r="D501" s="5" t="s">
        <v>1206</v>
      </c>
      <c r="E501" s="5" t="s">
        <v>4915</v>
      </c>
      <c r="F501" s="5" t="s">
        <v>72</v>
      </c>
      <c r="G501" s="5" t="s">
        <v>4916</v>
      </c>
      <c r="H501" s="6" t="s">
        <v>4917</v>
      </c>
      <c r="I501" s="7" t="s">
        <v>4918</v>
      </c>
      <c r="J501" s="8" t="str">
        <f>HYPERLINK("https://drive.google.com/file/d/1IfN-7sNxiSN-qqjKj2cX4jD8teNdtZvY/view?usp=drivesdk","EKO ARIYANTO WIBOWO SERTIFIKAT BerAKHLAK")</f>
        <v>EKO ARIYANTO WIBOWO SERTIFIKAT BerAKHLAK</v>
      </c>
      <c r="K501" s="5" t="s">
        <v>4872</v>
      </c>
      <c r="L501" s="5" t="s">
        <v>4919</v>
      </c>
      <c r="M501" s="5" t="s">
        <v>4920</v>
      </c>
      <c r="N501" s="7" t="s">
        <v>4921</v>
      </c>
      <c r="O501" s="8" t="str">
        <f>HYPERLINK("https://drive.google.com/file/d/1hx1mkAq4Rpf3o-8LKvmfrkCxIq_uYKru/view?usp=drivesdk","500 &lt;NAMA LENGKAP&gt;&gt; _ SERTIFIKAT BIMTEK IPASN BerAKHLASK")</f>
        <v>500 &lt;NAMA LENGKAP&gt;&gt; _ SERTIFIKAT BIMTEK IPASN BerAKHLASK</v>
      </c>
      <c r="P501" s="5" t="s">
        <v>3705</v>
      </c>
      <c r="Q501" s="5" t="s">
        <v>4922</v>
      </c>
      <c r="R501" s="7" t="s">
        <v>4923</v>
      </c>
      <c r="S501" s="7" t="str">
        <f>HYPERLINK("https://drive.google.com/file/d/1cKTZar2iVTP-I99x9aJ2BbPYc6cWj1uQ/view?usp=drivesdk","500_EKO ARIYANTO WIBOWO SERTIFIKAT BIMTEK IPASN-BerAKHLAK")</f>
        <v>500_EKO ARIYANTO WIBOWO SERTIFIKAT BIMTEK IPASN-BerAKHLAK</v>
      </c>
      <c r="T501" s="5" t="s">
        <v>4914</v>
      </c>
    </row>
    <row r="502">
      <c r="A502" s="4">
        <v>45534.32112234954</v>
      </c>
      <c r="B502" s="5" t="s">
        <v>34</v>
      </c>
      <c r="D502" s="5" t="s">
        <v>35</v>
      </c>
      <c r="E502" s="5" t="s">
        <v>4924</v>
      </c>
      <c r="F502" s="5" t="s">
        <v>212</v>
      </c>
      <c r="G502" s="5" t="s">
        <v>4925</v>
      </c>
      <c r="H502" s="6" t="s">
        <v>4926</v>
      </c>
      <c r="I502" s="7" t="s">
        <v>4927</v>
      </c>
      <c r="J502" s="8" t="str">
        <f>HYPERLINK("https://drive.google.com/file/d/19FQrqTFZWxTsO00dxWMHSsnW6y_AwpRo/view?usp=drivesdk","SITI NURJANAH, S.T. SERTIFIKAT BerAKHLAK")</f>
        <v>SITI NURJANAH, S.T. SERTIFIKAT BerAKHLAK</v>
      </c>
      <c r="K502" s="5" t="s">
        <v>4872</v>
      </c>
      <c r="L502" s="5" t="s">
        <v>4928</v>
      </c>
      <c r="M502" s="5" t="s">
        <v>4929</v>
      </c>
      <c r="N502" s="7" t="s">
        <v>4930</v>
      </c>
      <c r="O502" s="8" t="str">
        <f>HYPERLINK("https://drive.google.com/file/d/1mxgOheAUg_sjFjL2XHUEipEGJXGcf9fi/view?usp=drivesdk","501 &lt;NAMA LENGKAP&gt;&gt; _ SERTIFIKAT BIMTEK IPASN BerAKHLASK")</f>
        <v>501 &lt;NAMA LENGKAP&gt;&gt; _ SERTIFIKAT BIMTEK IPASN BerAKHLASK</v>
      </c>
      <c r="P502" s="5" t="s">
        <v>3705</v>
      </c>
      <c r="Q502" s="5" t="s">
        <v>4931</v>
      </c>
      <c r="R502" s="7" t="s">
        <v>4932</v>
      </c>
      <c r="S502" s="7" t="str">
        <f>HYPERLINK("https://drive.google.com/file/d/19Do65pSrF5PevrVwD2u1iblP8-tA1CmF/view?usp=drivesdk","501_SITI NURJANAH, S.T. SERTIFIKAT BIMTEK IPASN-BerAKHLAK")</f>
        <v>501_SITI NURJANAH, S.T. SERTIFIKAT BIMTEK IPASN-BerAKHLAK</v>
      </c>
      <c r="T502" s="5" t="s">
        <v>4914</v>
      </c>
    </row>
    <row r="503" hidden="1">
      <c r="A503" s="4">
        <v>45534.321137928244</v>
      </c>
      <c r="B503" s="5" t="s">
        <v>19</v>
      </c>
      <c r="C503" s="5" t="s">
        <v>3301</v>
      </c>
      <c r="E503" s="5" t="s">
        <v>4933</v>
      </c>
      <c r="F503" s="5" t="s">
        <v>108</v>
      </c>
      <c r="G503" s="5" t="s">
        <v>4934</v>
      </c>
      <c r="H503" s="6" t="s">
        <v>4935</v>
      </c>
      <c r="I503" s="7" t="s">
        <v>4936</v>
      </c>
      <c r="J503" s="8" t="str">
        <f>HYPERLINK("https://drive.google.com/file/d/10K8PUcsyiO2PRnBZhGxtb_1JIJID5_VI/view?usp=drivesdk","RULLY IRMA DAMAYANTI, S. Kep SERTIFIKAT BerAKHLAK")</f>
        <v>RULLY IRMA DAMAYANTI, S. Kep SERTIFIKAT BerAKHLAK</v>
      </c>
      <c r="K503" s="5" t="s">
        <v>4872</v>
      </c>
      <c r="L503" s="5" t="s">
        <v>4937</v>
      </c>
      <c r="M503" s="5" t="s">
        <v>4938</v>
      </c>
      <c r="N503" s="7" t="s">
        <v>4939</v>
      </c>
      <c r="O503" s="8" t="str">
        <f>HYPERLINK("https://drive.google.com/file/d/1TKU2FHTALoy1Vp4qv0yuC7toe-H4Nw1h/view?usp=drivesdk","502 &lt;NAMA LENGKAP&gt;&gt; _ SERTIFIKAT BIMTEK IPASN BerAKHLASK")</f>
        <v>502 &lt;NAMA LENGKAP&gt;&gt; _ SERTIFIKAT BIMTEK IPASN BerAKHLASK</v>
      </c>
      <c r="P503" s="5" t="s">
        <v>3705</v>
      </c>
      <c r="Q503" s="5" t="s">
        <v>4940</v>
      </c>
      <c r="R503" s="7" t="s">
        <v>4941</v>
      </c>
      <c r="S503" s="7" t="str">
        <f>HYPERLINK("https://drive.google.com/file/d/11uv0c8UhC9BTSRtWBO0ii_1otUYpFfiO/view?usp=drivesdk","502_RULLY IRMA DAMAYANTI, S. Kep SERTIFIKAT BIMTEK IPASN-BerAKHLAK")</f>
        <v>502_RULLY IRMA DAMAYANTI, S. Kep SERTIFIKAT BIMTEK IPASN-BerAKHLAK</v>
      </c>
      <c r="T503" s="5" t="s">
        <v>4914</v>
      </c>
    </row>
    <row r="504">
      <c r="A504" s="4">
        <v>45534.32114697917</v>
      </c>
      <c r="B504" s="5" t="s">
        <v>34</v>
      </c>
      <c r="D504" s="5" t="s">
        <v>580</v>
      </c>
      <c r="E504" s="5" t="s">
        <v>4942</v>
      </c>
      <c r="F504" s="5" t="s">
        <v>375</v>
      </c>
      <c r="G504" s="5" t="s">
        <v>4943</v>
      </c>
      <c r="H504" s="6" t="s">
        <v>4944</v>
      </c>
      <c r="I504" s="7" t="s">
        <v>4945</v>
      </c>
      <c r="J504" s="8" t="str">
        <f>HYPERLINK("https://drive.google.com/file/d/1NkUzlHRmYzdcTvgZ8G1VecrD_zFigTYd/view?usp=drivesdk","NI PUTU WIDHI ASTUTI SE SERTIFIKAT BerAKHLAK")</f>
        <v>NI PUTU WIDHI ASTUTI SE SERTIFIKAT BerAKHLAK</v>
      </c>
      <c r="K504" s="5" t="s">
        <v>4872</v>
      </c>
      <c r="L504" s="5" t="s">
        <v>4946</v>
      </c>
      <c r="M504" s="5" t="s">
        <v>4947</v>
      </c>
      <c r="N504" s="7" t="s">
        <v>4948</v>
      </c>
      <c r="O504" s="8" t="str">
        <f>HYPERLINK("https://drive.google.com/file/d/1YlYffcI0AFmnPpUU_e7g2Q3JqT6tbw-V/view?usp=drivesdk","503 &lt;NAMA LENGKAP&gt;&gt; _ SERTIFIKAT BIMTEK IPASN BerAKHLASK")</f>
        <v>503 &lt;NAMA LENGKAP&gt;&gt; _ SERTIFIKAT BIMTEK IPASN BerAKHLASK</v>
      </c>
      <c r="P504" s="5" t="s">
        <v>3762</v>
      </c>
      <c r="Q504" s="5" t="s">
        <v>4949</v>
      </c>
      <c r="R504" s="7" t="s">
        <v>4950</v>
      </c>
      <c r="S504" s="7" t="str">
        <f>HYPERLINK("https://drive.google.com/file/d/1oZ0SoF7l7Nx27xBqTRa83VaKF4sxF6_B/view?usp=drivesdk","503_NI PUTU WIDHI ASTUTI SE SERTIFIKAT BIMTEK IPASN-BerAKHLAK")</f>
        <v>503_NI PUTU WIDHI ASTUTI SE SERTIFIKAT BIMTEK IPASN-BerAKHLAK</v>
      </c>
      <c r="T504" s="5" t="s">
        <v>4914</v>
      </c>
    </row>
    <row r="505">
      <c r="A505" s="4">
        <v>45534.32118049769</v>
      </c>
      <c r="B505" s="5" t="s">
        <v>34</v>
      </c>
      <c r="D505" s="5" t="s">
        <v>280</v>
      </c>
      <c r="E505" s="5" t="s">
        <v>4951</v>
      </c>
      <c r="F505" s="5" t="s">
        <v>108</v>
      </c>
      <c r="G505" s="5" t="s">
        <v>4952</v>
      </c>
      <c r="H505" s="6" t="s">
        <v>4953</v>
      </c>
      <c r="I505" s="7" t="s">
        <v>4954</v>
      </c>
      <c r="J505" s="8" t="str">
        <f>HYPERLINK("https://drive.google.com/file/d/1489yrY2VhsOHXIZs83sqCui2iAFwsqOF/view?usp=drivesdk","SRI SULASTRI, SH SERTIFIKAT BerAKHLAK")</f>
        <v>SRI SULASTRI, SH SERTIFIKAT BerAKHLAK</v>
      </c>
      <c r="K505" s="5" t="s">
        <v>4218</v>
      </c>
      <c r="L505" s="5" t="s">
        <v>4955</v>
      </c>
      <c r="M505" s="5" t="s">
        <v>4956</v>
      </c>
      <c r="N505" s="7" t="s">
        <v>4957</v>
      </c>
      <c r="O505" s="8" t="str">
        <f>HYPERLINK("https://drive.google.com/file/d/1XklPfaf5psTK-EmuUgtgdtWYF1SVhXBr/view?usp=drivesdk","504 &lt;NAMA LENGKAP&gt;&gt; _ SERTIFIKAT BIMTEK IPASN BerAKHLASK")</f>
        <v>504 &lt;NAMA LENGKAP&gt;&gt; _ SERTIFIKAT BIMTEK IPASN BerAKHLASK</v>
      </c>
      <c r="P505" s="5" t="s">
        <v>3762</v>
      </c>
      <c r="Q505" s="5" t="s">
        <v>4958</v>
      </c>
      <c r="R505" s="7" t="s">
        <v>4959</v>
      </c>
      <c r="S505" s="7" t="str">
        <f>HYPERLINK("https://drive.google.com/file/d/1JQUd6mul-o--CIjJ1UxdFbE1WDhsvTfI/view?usp=drivesdk","504_SRI SULASTRI, SH SERTIFIKAT BIMTEK IPASN-BerAKHLAK")</f>
        <v>504_SRI SULASTRI, SH SERTIFIKAT BIMTEK IPASN-BerAKHLAK</v>
      </c>
      <c r="T505" s="5" t="s">
        <v>4960</v>
      </c>
    </row>
    <row r="506">
      <c r="A506" s="4">
        <v>45534.32118560185</v>
      </c>
      <c r="B506" s="5" t="s">
        <v>34</v>
      </c>
      <c r="D506" s="5" t="s">
        <v>35</v>
      </c>
      <c r="E506" s="5" t="s">
        <v>4961</v>
      </c>
      <c r="F506" s="5" t="s">
        <v>120</v>
      </c>
      <c r="G506" s="5" t="s">
        <v>4962</v>
      </c>
      <c r="H506" s="6" t="s">
        <v>4963</v>
      </c>
      <c r="I506" s="7" t="s">
        <v>4964</v>
      </c>
      <c r="J506" s="8" t="str">
        <f>HYPERLINK("https://drive.google.com/file/d/1gvjz-h5WBR4lyDhZeI-yQxGQHO_VnDvI/view?usp=drivesdk","apt. FEBI ISHFAHANI SERTIFIKAT BerAKHLAK")</f>
        <v>apt. FEBI ISHFAHANI SERTIFIKAT BerAKHLAK</v>
      </c>
      <c r="K506" s="5" t="s">
        <v>4218</v>
      </c>
      <c r="L506" s="5" t="s">
        <v>4965</v>
      </c>
      <c r="M506" s="5" t="s">
        <v>4966</v>
      </c>
      <c r="N506" s="7" t="s">
        <v>4967</v>
      </c>
      <c r="O506" s="8" t="str">
        <f>HYPERLINK("https://drive.google.com/file/d/1NmYBbKdpZe899gYhhqubYlI4RU7ArjKQ/view?usp=drivesdk","505 &lt;NAMA LENGKAP&gt;&gt; _ SERTIFIKAT BIMTEK IPASN BerAKHLASK")</f>
        <v>505 &lt;NAMA LENGKAP&gt;&gt; _ SERTIFIKAT BIMTEK IPASN BerAKHLASK</v>
      </c>
      <c r="P506" s="5" t="s">
        <v>3762</v>
      </c>
      <c r="Q506" s="5" t="s">
        <v>4968</v>
      </c>
      <c r="R506" s="7" t="s">
        <v>4969</v>
      </c>
      <c r="S506" s="7" t="str">
        <f>HYPERLINK("https://drive.google.com/file/d/1moe_SOMhWda0UEj2FrTynSyJjcM5jhn5/view?usp=drivesdk","505_apt. FEBI ISHFAHANI SERTIFIKAT BIMTEK IPASN-BerAKHLAK")</f>
        <v>505_apt. FEBI ISHFAHANI SERTIFIKAT BIMTEK IPASN-BerAKHLAK</v>
      </c>
      <c r="T506" s="5" t="s">
        <v>4960</v>
      </c>
    </row>
    <row r="507">
      <c r="A507" s="4">
        <v>45534.32119152778</v>
      </c>
      <c r="B507" s="5" t="s">
        <v>34</v>
      </c>
      <c r="D507" s="5" t="s">
        <v>35</v>
      </c>
      <c r="E507" s="5" t="s">
        <v>4970</v>
      </c>
      <c r="F507" s="5" t="s">
        <v>328</v>
      </c>
      <c r="G507" s="5" t="s">
        <v>4971</v>
      </c>
      <c r="H507" s="6" t="s">
        <v>4972</v>
      </c>
      <c r="I507" s="7" t="s">
        <v>4973</v>
      </c>
      <c r="J507" s="8" t="str">
        <f>HYPERLINK("https://drive.google.com/file/d/18EshwL26-6BxHO18nCp5Z-QS4k4L6V4i/view?usp=drivesdk","NANDAR SUTIAWAN SERTIFIKAT BerAKHLAK")</f>
        <v>NANDAR SUTIAWAN SERTIFIKAT BerAKHLAK</v>
      </c>
      <c r="K507" s="5" t="s">
        <v>4872</v>
      </c>
      <c r="L507" s="5" t="s">
        <v>4974</v>
      </c>
      <c r="M507" s="5" t="s">
        <v>4975</v>
      </c>
      <c r="N507" s="7" t="s">
        <v>4976</v>
      </c>
      <c r="O507" s="8" t="str">
        <f>HYPERLINK("https://drive.google.com/file/d/13eQZIZepVh5w368p3xY51PmiKLOqhDNB/view?usp=drivesdk","506 &lt;NAMA LENGKAP&gt;&gt; _ SERTIFIKAT BIMTEK IPASN BerAKHLASK")</f>
        <v>506 &lt;NAMA LENGKAP&gt;&gt; _ SERTIFIKAT BIMTEK IPASN BerAKHLASK</v>
      </c>
      <c r="P507" s="5" t="s">
        <v>3762</v>
      </c>
      <c r="Q507" s="5" t="s">
        <v>4977</v>
      </c>
      <c r="R507" s="7" t="s">
        <v>4978</v>
      </c>
      <c r="S507" s="7" t="str">
        <f>HYPERLINK("https://drive.google.com/file/d/1gA9FYEYKoyn4-WI7B3V_nuG0Harb7Udm/view?usp=drivesdk","506_NANDAR SUTIAWAN SERTIFIKAT BIMTEK IPASN-BerAKHLAK")</f>
        <v>506_NANDAR SUTIAWAN SERTIFIKAT BIMTEK IPASN-BerAKHLAK</v>
      </c>
      <c r="T507" s="5" t="s">
        <v>4960</v>
      </c>
    </row>
    <row r="508">
      <c r="A508" s="4">
        <v>45534.32119952547</v>
      </c>
      <c r="B508" s="5" t="s">
        <v>34</v>
      </c>
      <c r="D508" s="5" t="s">
        <v>604</v>
      </c>
      <c r="E508" s="5" t="s">
        <v>4979</v>
      </c>
      <c r="F508" s="5" t="s">
        <v>108</v>
      </c>
      <c r="G508" s="5" t="s">
        <v>4980</v>
      </c>
      <c r="H508" s="6" t="s">
        <v>4981</v>
      </c>
      <c r="I508" s="7" t="s">
        <v>4982</v>
      </c>
      <c r="J508" s="8" t="str">
        <f>HYPERLINK("https://drive.google.com/file/d/1muHRKI6a7GxpOQBpU5TJmt35Ozd_UPA1/view?usp=drivesdk","FITRIA NURUL BUDIATI SERTIFIKAT BerAKHLAK")</f>
        <v>FITRIA NURUL BUDIATI SERTIFIKAT BerAKHLAK</v>
      </c>
      <c r="K508" s="5" t="s">
        <v>4872</v>
      </c>
      <c r="L508" s="5" t="s">
        <v>4983</v>
      </c>
      <c r="M508" s="5" t="s">
        <v>4984</v>
      </c>
      <c r="N508" s="7" t="s">
        <v>4985</v>
      </c>
      <c r="O508" s="8" t="str">
        <f>HYPERLINK("https://drive.google.com/file/d/1EpJV7ctQFD28_G5CpUiwrqFWUDj8-1P1/view?usp=drivesdk","507 &lt;NAMA LENGKAP&gt;&gt; _ SERTIFIKAT BIMTEK IPASN BerAKHLASK")</f>
        <v>507 &lt;NAMA LENGKAP&gt;&gt; _ SERTIFIKAT BIMTEK IPASN BerAKHLASK</v>
      </c>
      <c r="P508" s="5" t="s">
        <v>3762</v>
      </c>
      <c r="Q508" s="5" t="s">
        <v>4986</v>
      </c>
      <c r="R508" s="7" t="s">
        <v>4987</v>
      </c>
      <c r="S508" s="7" t="str">
        <f>HYPERLINK("https://drive.google.com/file/d/1vbUBXnXXlkLTM97_OoOZmUtbFYdmJAo_/view?usp=drivesdk","507_FITRIA NURUL BUDIATI SERTIFIKAT BIMTEK IPASN-BerAKHLAK")</f>
        <v>507_FITRIA NURUL BUDIATI SERTIFIKAT BIMTEK IPASN-BerAKHLAK</v>
      </c>
      <c r="T508" s="5" t="s">
        <v>4960</v>
      </c>
    </row>
    <row r="509">
      <c r="A509" s="4">
        <v>45534.32120435185</v>
      </c>
      <c r="B509" s="5" t="s">
        <v>34</v>
      </c>
      <c r="D509" s="5" t="s">
        <v>1206</v>
      </c>
      <c r="E509" s="5" t="s">
        <v>4988</v>
      </c>
      <c r="F509" s="5" t="s">
        <v>212</v>
      </c>
      <c r="G509" s="5" t="s">
        <v>4989</v>
      </c>
      <c r="H509" s="6" t="s">
        <v>4990</v>
      </c>
      <c r="I509" s="7" t="s">
        <v>4991</v>
      </c>
      <c r="J509" s="8" t="str">
        <f>HYPERLINK("https://drive.google.com/file/d/1q99aWK8wHESOiqD_cnwk8z6LlUSoECpI/view?usp=drivesdk","EMY MARTIYANA  SERTIFIKAT BerAKHLAK")</f>
        <v>EMY MARTIYANA  SERTIFIKAT BerAKHLAK</v>
      </c>
      <c r="K509" s="5" t="s">
        <v>4872</v>
      </c>
      <c r="L509" s="5" t="s">
        <v>4992</v>
      </c>
      <c r="M509" s="5" t="s">
        <v>4993</v>
      </c>
      <c r="N509" s="7" t="s">
        <v>4994</v>
      </c>
      <c r="O509" s="8" t="str">
        <f>HYPERLINK("https://drive.google.com/file/d/196o6cnfm7PvoEkwCOC73VscFffg-ls3j/view?usp=drivesdk","508 &lt;NAMA LENGKAP&gt;&gt; _ SERTIFIKAT BIMTEK IPASN BerAKHLASK")</f>
        <v>508 &lt;NAMA LENGKAP&gt;&gt; _ SERTIFIKAT BIMTEK IPASN BerAKHLASK</v>
      </c>
      <c r="P509" s="5" t="s">
        <v>3809</v>
      </c>
      <c r="Q509" s="5" t="s">
        <v>4995</v>
      </c>
      <c r="R509" s="7" t="s">
        <v>4996</v>
      </c>
      <c r="S509" s="7" t="str">
        <f>HYPERLINK("https://drive.google.com/file/d/1ATNFnzvXJdVBNHEms9oe1BqssBVboUn_/view?usp=drivesdk","508_EMY MARTIYANA  SERTIFIKAT BIMTEK IPASN-BerAKHLAK")</f>
        <v>508_EMY MARTIYANA  SERTIFIKAT BIMTEK IPASN-BerAKHLAK</v>
      </c>
      <c r="T509" s="5" t="s">
        <v>4997</v>
      </c>
    </row>
    <row r="510">
      <c r="A510" s="4">
        <v>45534.321231469905</v>
      </c>
      <c r="B510" s="5" t="s">
        <v>34</v>
      </c>
      <c r="D510" s="5" t="s">
        <v>280</v>
      </c>
      <c r="E510" s="5" t="s">
        <v>4998</v>
      </c>
      <c r="F510" s="5" t="s">
        <v>375</v>
      </c>
      <c r="G510" s="5" t="s">
        <v>4999</v>
      </c>
      <c r="H510" s="6" t="s">
        <v>5000</v>
      </c>
      <c r="I510" s="7" t="s">
        <v>5001</v>
      </c>
      <c r="J510" s="8" t="str">
        <f>HYPERLINK("https://drive.google.com/file/d/140SgabY-MzkPyyP8NXLulqSFbVJnp1gi/view?usp=drivesdk","ARTINIS NUR HAZIZAH, S.T., M.Si. SERTIFIKAT BerAKHLAK")</f>
        <v>ARTINIS NUR HAZIZAH, S.T., M.Si. SERTIFIKAT BerAKHLAK</v>
      </c>
      <c r="K510" s="5" t="s">
        <v>4218</v>
      </c>
      <c r="L510" s="5" t="s">
        <v>5002</v>
      </c>
      <c r="M510" s="5" t="s">
        <v>5003</v>
      </c>
      <c r="N510" s="7" t="s">
        <v>5004</v>
      </c>
      <c r="O510" s="8" t="str">
        <f>HYPERLINK("https://drive.google.com/file/d/1HmZw6oNJO1mG5COmXibhj70WfG1Jie6-/view?usp=drivesdk","509 &lt;NAMA LENGKAP&gt;&gt; _ SERTIFIKAT BIMTEK IPASN BerAKHLASK")</f>
        <v>509 &lt;NAMA LENGKAP&gt;&gt; _ SERTIFIKAT BIMTEK IPASN BerAKHLASK</v>
      </c>
      <c r="P510" s="5" t="s">
        <v>3809</v>
      </c>
      <c r="Q510" s="5" t="s">
        <v>5005</v>
      </c>
      <c r="R510" s="7" t="s">
        <v>5006</v>
      </c>
      <c r="S510" s="7" t="str">
        <f>HYPERLINK("https://drive.google.com/file/d/1Dd6cygHnavvXekDjCPsz-9eJbrOEQhqh/view?usp=drivesdk","509_ARTINIS NUR HAZIZAH, S.T., M.Si. SERTIFIKAT BIMTEK IPASN-BerAKHLAK")</f>
        <v>509_ARTINIS NUR HAZIZAH, S.T., M.Si. SERTIFIKAT BIMTEK IPASN-BerAKHLAK</v>
      </c>
      <c r="T510" s="5" t="s">
        <v>4997</v>
      </c>
    </row>
    <row r="511">
      <c r="A511" s="4">
        <v>45534.32128650463</v>
      </c>
      <c r="B511" s="5" t="s">
        <v>34</v>
      </c>
      <c r="D511" s="5" t="s">
        <v>3849</v>
      </c>
      <c r="E511" s="5" t="s">
        <v>5007</v>
      </c>
      <c r="F511" s="5" t="s">
        <v>37</v>
      </c>
      <c r="G511" s="5" t="s">
        <v>5008</v>
      </c>
      <c r="H511" s="6" t="s">
        <v>5009</v>
      </c>
      <c r="I511" s="7" t="s">
        <v>5010</v>
      </c>
      <c r="J511" s="8" t="str">
        <f>HYPERLINK("https://drive.google.com/file/d/1Np4ds6N9IEZE-T0qJGw94WI9a0neJMDP/view?usp=drivesdk","KRISNA SETIAWAN, A.Md.Kom. SERTIFIKAT BerAKHLAK")</f>
        <v>KRISNA SETIAWAN, A.Md.Kom. SERTIFIKAT BerAKHLAK</v>
      </c>
      <c r="K511" s="5" t="s">
        <v>4218</v>
      </c>
      <c r="L511" s="5" t="s">
        <v>5011</v>
      </c>
      <c r="M511" s="5" t="s">
        <v>5012</v>
      </c>
      <c r="N511" s="7" t="s">
        <v>5013</v>
      </c>
      <c r="O511" s="8" t="str">
        <f>HYPERLINK("https://drive.google.com/file/d/1DCUKRDG9-9S-6QQQk3rgxSTGA3bqh82X/view?usp=drivesdk","510_KRISNA SETIAWAN, A.Md.Kom. _ SERTIFIKAT BIMTEK IPASN BerAKHLASK")</f>
        <v>510_KRISNA SETIAWAN, A.Md.Kom. _ SERTIFIKAT BIMTEK IPASN BerAKHLASK</v>
      </c>
      <c r="P511" s="5" t="s">
        <v>4689</v>
      </c>
      <c r="Q511" s="5" t="s">
        <v>5014</v>
      </c>
      <c r="R511" s="7" t="s">
        <v>5015</v>
      </c>
      <c r="S511" s="7" t="str">
        <f>HYPERLINK("https://drive.google.com/file/d/1GSwGMhYDjoNSbXcxAeOlzFTT74kREnih/view?usp=drivesdk","510_KRISNA SETIAWAN, A.Md.Kom. SERTIFIKAT BIMTEK IPASN-BerAKHLAK")</f>
        <v>510_KRISNA SETIAWAN, A.Md.Kom. SERTIFIKAT BIMTEK IPASN-BerAKHLAK</v>
      </c>
      <c r="T511" s="5" t="s">
        <v>4997</v>
      </c>
    </row>
    <row r="512">
      <c r="A512" s="4">
        <v>45534.32129251157</v>
      </c>
      <c r="B512" s="5" t="s">
        <v>34</v>
      </c>
      <c r="D512" s="5" t="s">
        <v>3849</v>
      </c>
      <c r="E512" s="5" t="s">
        <v>5016</v>
      </c>
      <c r="F512" s="5" t="s">
        <v>72</v>
      </c>
      <c r="G512" s="5" t="s">
        <v>5017</v>
      </c>
      <c r="H512" s="6" t="s">
        <v>5018</v>
      </c>
      <c r="I512" s="7" t="s">
        <v>5019</v>
      </c>
      <c r="J512" s="8" t="str">
        <f>HYPERLINK("https://drive.google.com/file/d/1cmbjn3i7Z86KnFTXJLet13KgP9MLdTA2/view?usp=drivesdk","MELLA RAITIES, S.E. SERTIFIKAT BerAKHLAK")</f>
        <v>MELLA RAITIES, S.E. SERTIFIKAT BerAKHLAK</v>
      </c>
      <c r="K512" s="5" t="s">
        <v>4872</v>
      </c>
      <c r="L512" s="5" t="s">
        <v>5020</v>
      </c>
      <c r="M512" s="5" t="s">
        <v>5021</v>
      </c>
      <c r="N512" s="7" t="s">
        <v>5022</v>
      </c>
      <c r="O512" s="8" t="str">
        <f>HYPERLINK("https://drive.google.com/file/d/1BKxlLTOBVnqI46ZKMaVmZIOCiFqoXR78/view?usp=drivesdk","511_MELLA RAITIES, S.E. _ SERTIFIKAT BIMTEK IPASN BerAKHLASK")</f>
        <v>511_MELLA RAITIES, S.E. _ SERTIFIKAT BIMTEK IPASN BerAKHLASK</v>
      </c>
      <c r="P512" s="5" t="s">
        <v>5023</v>
      </c>
      <c r="Q512" s="5" t="s">
        <v>5024</v>
      </c>
      <c r="R512" s="7" t="s">
        <v>5025</v>
      </c>
      <c r="S512" s="7" t="str">
        <f>HYPERLINK("https://drive.google.com/file/d/1Fe4p3bW8aePGZqLhJBEcz6mvNjMP2mKF/view?usp=drivesdk","511_MELLA RAITIES, S.E. SERTIFIKAT BIMTEK IPASN-BerAKHLAK")</f>
        <v>511_MELLA RAITIES, S.E. SERTIFIKAT BIMTEK IPASN-BerAKHLAK</v>
      </c>
      <c r="T512" s="5" t="s">
        <v>4997</v>
      </c>
    </row>
    <row r="513">
      <c r="A513" s="4">
        <v>45534.32131945602</v>
      </c>
      <c r="B513" s="5" t="s">
        <v>34</v>
      </c>
      <c r="D513" s="5" t="s">
        <v>1206</v>
      </c>
      <c r="E513" s="5" t="s">
        <v>5026</v>
      </c>
      <c r="F513" s="5" t="s">
        <v>37</v>
      </c>
      <c r="G513" s="5" t="s">
        <v>5027</v>
      </c>
      <c r="H513" s="6" t="s">
        <v>5028</v>
      </c>
      <c r="K513" s="5" t="s">
        <v>5029</v>
      </c>
      <c r="M513" s="5" t="s">
        <v>5030</v>
      </c>
      <c r="N513" s="7" t="s">
        <v>5031</v>
      </c>
      <c r="O513" s="8" t="str">
        <f>HYPERLINK("https://drive.google.com/file/d/1WRq4PyKppgRoiZjb-nHBv94h0t6j_Ykm/view?usp=drivesdk","512_YULI HARYANTO _ SERTIFIKAT BIMTEK IPASN BerAKHLASK")</f>
        <v>512_YULI HARYANTO _ SERTIFIKAT BIMTEK IPASN BerAKHLASK</v>
      </c>
      <c r="P513" s="5" t="s">
        <v>5023</v>
      </c>
      <c r="Q513" s="5" t="s">
        <v>5032</v>
      </c>
      <c r="R513" s="7" t="s">
        <v>5033</v>
      </c>
      <c r="S513" s="7" t="str">
        <f>HYPERLINK("https://drive.google.com/file/d/1bosOaOl6nKbGfKdtxLTQl3GOaJAS0Aex/view?usp=drivesdk","512_YULI HARYANTO SERTIFIKAT BIMTEK IPASN-BerAKHLAK")</f>
        <v>512_YULI HARYANTO SERTIFIKAT BIMTEK IPASN-BerAKHLAK</v>
      </c>
      <c r="T513" s="5" t="s">
        <v>4997</v>
      </c>
    </row>
    <row r="514">
      <c r="A514" s="4">
        <v>45534.3213290162</v>
      </c>
      <c r="B514" s="5" t="s">
        <v>34</v>
      </c>
      <c r="D514" s="5" t="s">
        <v>3849</v>
      </c>
      <c r="E514" s="5" t="s">
        <v>5034</v>
      </c>
      <c r="F514" s="5" t="s">
        <v>375</v>
      </c>
      <c r="G514" s="5" t="s">
        <v>5035</v>
      </c>
      <c r="H514" s="6" t="s">
        <v>5036</v>
      </c>
      <c r="K514" s="5" t="s">
        <v>5029</v>
      </c>
      <c r="M514" s="5" t="s">
        <v>5037</v>
      </c>
      <c r="N514" s="7" t="s">
        <v>5038</v>
      </c>
      <c r="O514" s="8" t="str">
        <f>HYPERLINK("https://drive.google.com/file/d/1U81oebKBs1VJ1XhCMi1bMJ2S73r9OHMi/view?usp=drivesdk","513_EKA LISDA OKTA SAPUTRI, S.Kep _ SERTIFIKAT BIMTEK IPASN BerAKHLASK")</f>
        <v>513_EKA LISDA OKTA SAPUTRI, S.Kep _ SERTIFIKAT BIMTEK IPASN BerAKHLASK</v>
      </c>
      <c r="P514" s="5" t="s">
        <v>5023</v>
      </c>
      <c r="Q514" s="5" t="s">
        <v>5039</v>
      </c>
      <c r="R514" s="7" t="s">
        <v>5040</v>
      </c>
      <c r="S514" s="7" t="str">
        <f>HYPERLINK("https://drive.google.com/file/d/18j2BAQW7wofAZ-Gy7V8Q9OIkro5nPe4l/view?usp=drivesdk","513_EKA LISDA OKTA SAPUTRI, S.Kep SERTIFIKAT BIMTEK IPASN-BerAKHLAK")</f>
        <v>513_EKA LISDA OKTA SAPUTRI, S.Kep SERTIFIKAT BIMTEK IPASN-BerAKHLAK</v>
      </c>
      <c r="T514" s="5" t="s">
        <v>4997</v>
      </c>
    </row>
    <row r="515">
      <c r="A515" s="4">
        <v>45534.321335879635</v>
      </c>
      <c r="B515" s="5" t="s">
        <v>34</v>
      </c>
      <c r="D515" s="5" t="s">
        <v>280</v>
      </c>
      <c r="E515" s="5" t="s">
        <v>5041</v>
      </c>
      <c r="F515" s="5" t="s">
        <v>37</v>
      </c>
      <c r="G515" s="5" t="s">
        <v>5042</v>
      </c>
      <c r="H515" s="6" t="s">
        <v>5043</v>
      </c>
      <c r="K515" s="5" t="s">
        <v>5029</v>
      </c>
      <c r="M515" s="5" t="s">
        <v>5044</v>
      </c>
      <c r="N515" s="7" t="s">
        <v>5045</v>
      </c>
      <c r="O515" s="8" t="str">
        <f>HYPERLINK("https://drive.google.com/file/d/10ogxOS93NFgaJtK4UNgM1yehd_ZnyGnB/view?usp=drivesdk","514_VICTOR MATHEOS, S.KOM _ SERTIFIKAT BIMTEK IPASN BerAKHLASK")</f>
        <v>514_VICTOR MATHEOS, S.KOM _ SERTIFIKAT BIMTEK IPASN BerAKHLASK</v>
      </c>
      <c r="P515" s="5" t="s">
        <v>5023</v>
      </c>
      <c r="Q515" s="5" t="s">
        <v>5046</v>
      </c>
      <c r="R515" s="7" t="s">
        <v>5047</v>
      </c>
      <c r="S515" s="7" t="str">
        <f>HYPERLINK("https://drive.google.com/file/d/1JMi7lQ8t0DaxU7-__FIfRKGoKRcf_ty0/view?usp=drivesdk","514_VICTOR MATHEOS, S.KOM SERTIFIKAT BIMTEK IPASN-BerAKHLAK")</f>
        <v>514_VICTOR MATHEOS, S.KOM SERTIFIKAT BIMTEK IPASN-BerAKHLAK</v>
      </c>
      <c r="T515" s="5" t="s">
        <v>5048</v>
      </c>
    </row>
    <row r="516" hidden="1">
      <c r="A516" s="4">
        <v>45534.32140100695</v>
      </c>
      <c r="B516" s="5" t="s">
        <v>19</v>
      </c>
      <c r="C516" s="5" t="s">
        <v>3301</v>
      </c>
      <c r="E516" s="5" t="s">
        <v>5049</v>
      </c>
      <c r="F516" s="5" t="s">
        <v>108</v>
      </c>
      <c r="G516" s="5" t="s">
        <v>5050</v>
      </c>
      <c r="H516" s="6" t="s">
        <v>5051</v>
      </c>
      <c r="I516" s="7" t="s">
        <v>5052</v>
      </c>
      <c r="J516" s="8" t="str">
        <f>HYPERLINK("https://drive.google.com/file/d/1IqqSql7fmae4_SlixO4JDpKzUqaa7TcO/view?usp=drivesdk","SITI NURHAYATI, S.Si SERTIFIKAT BerAKHLAK")</f>
        <v>SITI NURHAYATI, S.Si SERTIFIKAT BerAKHLAK</v>
      </c>
      <c r="K516" s="5" t="s">
        <v>4872</v>
      </c>
      <c r="L516" s="5" t="s">
        <v>5053</v>
      </c>
      <c r="M516" s="5" t="s">
        <v>5054</v>
      </c>
      <c r="N516" s="7" t="s">
        <v>5055</v>
      </c>
      <c r="O516" s="8" t="str">
        <f>HYPERLINK("https://drive.google.com/file/d/1vJSlAlRjEzo43T53whlkL49NcdOYU2aX/view?usp=drivesdk","515_SITI NURHAYATI, S.Si _ SERTIFIKAT BIMTEK IPASN BerAKHLASK")</f>
        <v>515_SITI NURHAYATI, S.Si _ SERTIFIKAT BIMTEK IPASN BerAKHLASK</v>
      </c>
      <c r="P516" s="5" t="s">
        <v>5023</v>
      </c>
      <c r="Q516" s="5" t="s">
        <v>5056</v>
      </c>
      <c r="R516" s="7" t="s">
        <v>5057</v>
      </c>
      <c r="S516" s="7" t="str">
        <f>HYPERLINK("https://drive.google.com/file/d/1wac10jgw3RIZjOIgy3ZCzPxV_lcu5T9r/view?usp=drivesdk","515_SITI NURHAYATI, S.Si SERTIFIKAT BIMTEK IPASN-BerAKHLAK")</f>
        <v>515_SITI NURHAYATI, S.Si SERTIFIKAT BIMTEK IPASN-BerAKHLAK</v>
      </c>
      <c r="T516" s="5" t="s">
        <v>5048</v>
      </c>
    </row>
    <row r="517" hidden="1">
      <c r="A517" s="4">
        <v>45534.32141452546</v>
      </c>
      <c r="B517" s="5" t="s">
        <v>19</v>
      </c>
      <c r="C517" s="5" t="s">
        <v>5058</v>
      </c>
      <c r="E517" s="5" t="s">
        <v>5059</v>
      </c>
      <c r="F517" s="5" t="s">
        <v>108</v>
      </c>
      <c r="G517" s="5" t="s">
        <v>5060</v>
      </c>
      <c r="H517" s="6" t="s">
        <v>5061</v>
      </c>
      <c r="I517" s="7" t="s">
        <v>5062</v>
      </c>
      <c r="J517" s="8" t="str">
        <f>HYPERLINK("https://drive.google.com/file/d/1EFOVwJDISR4rJCE-krpzUmxaSVzM36-K/view?usp=drivesdk","AYU RATNA SARI, S.Ak SERTIFIKAT BerAKHLAK")</f>
        <v>AYU RATNA SARI, S.Ak SERTIFIKAT BerAKHLAK</v>
      </c>
      <c r="K517" s="5" t="s">
        <v>4872</v>
      </c>
      <c r="L517" s="5" t="s">
        <v>5063</v>
      </c>
      <c r="M517" s="5" t="s">
        <v>5064</v>
      </c>
      <c r="N517" s="7" t="s">
        <v>5065</v>
      </c>
      <c r="O517" s="8" t="str">
        <f>HYPERLINK("https://drive.google.com/file/d/1NL0p6eK6QhQe79nj6zu-iP8cRsYA-pai/view?usp=drivesdk","516_AYU RATNA SARI, S.Ak _ SERTIFIKAT BIMTEK IPASN BerAKHLASK")</f>
        <v>516_AYU RATNA SARI, S.Ak _ SERTIFIKAT BIMTEK IPASN BerAKHLASK</v>
      </c>
      <c r="P517" s="5" t="s">
        <v>5023</v>
      </c>
      <c r="Q517" s="5" t="s">
        <v>5066</v>
      </c>
      <c r="R517" s="7" t="s">
        <v>5067</v>
      </c>
      <c r="S517" s="7" t="str">
        <f>HYPERLINK("https://drive.google.com/file/d/1gHv9r7zZiizhfXsiCf08snNYk56tpiHh/view?usp=drivesdk","516_AYU RATNA SARI, S.Ak SERTIFIKAT BIMTEK IPASN-BerAKHLAK")</f>
        <v>516_AYU RATNA SARI, S.Ak SERTIFIKAT BIMTEK IPASN-BerAKHLAK</v>
      </c>
      <c r="T517" s="5" t="s">
        <v>5048</v>
      </c>
    </row>
    <row r="518">
      <c r="A518" s="4">
        <v>45534.32142079861</v>
      </c>
      <c r="B518" s="5" t="s">
        <v>34</v>
      </c>
      <c r="D518" s="5" t="s">
        <v>975</v>
      </c>
      <c r="E518" s="5" t="s">
        <v>5068</v>
      </c>
      <c r="F518" s="5" t="s">
        <v>524</v>
      </c>
      <c r="G518" s="5" t="s">
        <v>5069</v>
      </c>
      <c r="H518" s="6" t="s">
        <v>5070</v>
      </c>
      <c r="I518" s="7" t="s">
        <v>5071</v>
      </c>
      <c r="J518" s="8" t="str">
        <f>HYPERLINK("https://drive.google.com/file/d/1QX2PGZLT0YIFvqu5eB9JlfvDDzV7CF9g/view?usp=drivesdk","INDAH OKTAVIA SARI,S.Ak SERTIFIKAT BerAKHLAK")</f>
        <v>INDAH OKTAVIA SARI,S.Ak SERTIFIKAT BerAKHLAK</v>
      </c>
      <c r="K518" s="5" t="s">
        <v>4872</v>
      </c>
      <c r="L518" s="5" t="s">
        <v>5072</v>
      </c>
      <c r="M518" s="5" t="s">
        <v>5073</v>
      </c>
      <c r="N518" s="7" t="s">
        <v>5074</v>
      </c>
      <c r="O518" s="8" t="str">
        <f>HYPERLINK("https://drive.google.com/file/d/1m0PMEmzmYcLcbSsqFrGcRY2acqdLALHV/view?usp=drivesdk","517_INDAH OKTAVIA SARI,S.Ak _ SERTIFIKAT BIMTEK IPASN BerAKHLASK")</f>
        <v>517_INDAH OKTAVIA SARI,S.Ak _ SERTIFIKAT BIMTEK IPASN BerAKHLASK</v>
      </c>
      <c r="P518" s="5" t="s">
        <v>5075</v>
      </c>
      <c r="Q518" s="5" t="s">
        <v>5076</v>
      </c>
      <c r="R518" s="7" t="s">
        <v>5077</v>
      </c>
      <c r="S518" s="7" t="str">
        <f>HYPERLINK("https://drive.google.com/file/d/1SG_Cc9hzKq4euhWlPA2kB1OrSjwWRwy3/view?usp=drivesdk","517_INDAH OKTAVIA SARI,S.Ak SERTIFIKAT BIMTEK IPASN-BerAKHLAK")</f>
        <v>517_INDAH OKTAVIA SARI,S.Ak SERTIFIKAT BIMTEK IPASN-BerAKHLAK</v>
      </c>
      <c r="T518" s="5" t="s">
        <v>5048</v>
      </c>
    </row>
    <row r="519" hidden="1">
      <c r="A519" s="4">
        <v>45534.32145004629</v>
      </c>
      <c r="B519" s="5" t="s">
        <v>19</v>
      </c>
      <c r="C519" s="5" t="s">
        <v>292</v>
      </c>
      <c r="E519" s="5" t="s">
        <v>5078</v>
      </c>
      <c r="F519" s="5" t="s">
        <v>524</v>
      </c>
      <c r="G519" s="5" t="s">
        <v>5079</v>
      </c>
      <c r="H519" s="6" t="s">
        <v>5080</v>
      </c>
      <c r="I519" s="7" t="s">
        <v>5081</v>
      </c>
      <c r="J519" s="8" t="str">
        <f>HYPERLINK("https://drive.google.com/file/d/1lq3YK4UY-XvmOH4p_vskVLLsasLk3kV7/view?usp=drivesdk","SUPARDI ISMAWIJAYA SERTIFIKAT BerAKHLAK")</f>
        <v>SUPARDI ISMAWIJAYA SERTIFIKAT BerAKHLAK</v>
      </c>
      <c r="K519" s="5" t="s">
        <v>4872</v>
      </c>
      <c r="L519" s="5" t="s">
        <v>5082</v>
      </c>
      <c r="M519" s="5" t="s">
        <v>5083</v>
      </c>
      <c r="N519" s="7" t="s">
        <v>5084</v>
      </c>
      <c r="O519" s="8" t="str">
        <f>HYPERLINK("https://drive.google.com/file/d/115-x2gWcLqwPTZNP1xCKdbvrReyTpUud/view?usp=drivesdk","518_SUPARDI ISMAWIJAYA _ SERTIFIKAT BIMTEK IPASN BerAKHLASK")</f>
        <v>518_SUPARDI ISMAWIJAYA _ SERTIFIKAT BIMTEK IPASN BerAKHLASK</v>
      </c>
      <c r="P519" s="5" t="s">
        <v>5075</v>
      </c>
      <c r="Q519" s="5" t="s">
        <v>5085</v>
      </c>
      <c r="R519" s="7" t="s">
        <v>5086</v>
      </c>
      <c r="S519" s="7" t="str">
        <f>HYPERLINK("https://drive.google.com/file/d/1RwKIImLZS3c5gH5TsbzAER-0hF2KVtf_/view?usp=drivesdk","518_SUPARDI ISMAWIJAYA SERTIFIKAT BIMTEK IPASN-BerAKHLAK")</f>
        <v>518_SUPARDI ISMAWIJAYA SERTIFIKAT BIMTEK IPASN-BerAKHLAK</v>
      </c>
      <c r="T519" s="5" t="s">
        <v>5048</v>
      </c>
    </row>
    <row r="520">
      <c r="A520" s="4">
        <v>45534.32146791667</v>
      </c>
      <c r="B520" s="5" t="s">
        <v>34</v>
      </c>
      <c r="D520" s="5" t="s">
        <v>522</v>
      </c>
      <c r="E520" s="5" t="s">
        <v>5087</v>
      </c>
      <c r="F520" s="5" t="s">
        <v>37</v>
      </c>
      <c r="G520" s="5" t="s">
        <v>5088</v>
      </c>
      <c r="H520" s="6" t="s">
        <v>5089</v>
      </c>
      <c r="I520" s="7" t="s">
        <v>5090</v>
      </c>
      <c r="J520" s="8" t="str">
        <f>HYPERLINK("https://drive.google.com/file/d/1dP6yoXAd4EvNv-tBbaTdzJz2mnT7GUMa/view?usp=drivesdk","RAHMAT MULYADIN, A.Md SERTIFIKAT BerAKHLAK")</f>
        <v>RAHMAT MULYADIN, A.Md SERTIFIKAT BerAKHLAK</v>
      </c>
      <c r="K520" s="5" t="s">
        <v>4872</v>
      </c>
      <c r="L520" s="5" t="s">
        <v>5091</v>
      </c>
      <c r="M520" s="5" t="s">
        <v>5092</v>
      </c>
      <c r="N520" s="7" t="s">
        <v>5093</v>
      </c>
      <c r="O520" s="8" t="str">
        <f>HYPERLINK("https://drive.google.com/file/d/1ImxVKyqky2-HC-5TbPDq1E0aYOqZEFt7/view?usp=drivesdk","519_RAHMAT MULYADIN, A.Md _ SERTIFIKAT BIMTEK IPASN BerAKHLASK")</f>
        <v>519_RAHMAT MULYADIN, A.Md _ SERTIFIKAT BIMTEK IPASN BerAKHLASK</v>
      </c>
      <c r="P520" s="5" t="s">
        <v>5075</v>
      </c>
      <c r="Q520" s="5" t="s">
        <v>5094</v>
      </c>
      <c r="R520" s="7" t="s">
        <v>5095</v>
      </c>
      <c r="S520" s="7" t="str">
        <f>HYPERLINK("https://drive.google.com/file/d/16cb0RX9yJCw80T36e8MtXZTJiiF-Z_YN/view?usp=drivesdk","519_RAHMAT MULYADIN, A.Md SERTIFIKAT BIMTEK IPASN-BerAKHLAK")</f>
        <v>519_RAHMAT MULYADIN, A.Md SERTIFIKAT BIMTEK IPASN-BerAKHLAK</v>
      </c>
      <c r="T520" s="5" t="s">
        <v>5048</v>
      </c>
    </row>
    <row r="521" hidden="1">
      <c r="A521" s="4">
        <v>45534.32148268518</v>
      </c>
      <c r="B521" s="5" t="s">
        <v>19</v>
      </c>
      <c r="C521" s="5" t="s">
        <v>3301</v>
      </c>
      <c r="E521" s="5" t="s">
        <v>5096</v>
      </c>
      <c r="F521" s="5" t="s">
        <v>72</v>
      </c>
      <c r="G521" s="5" t="s">
        <v>5097</v>
      </c>
      <c r="H521" s="6" t="s">
        <v>5098</v>
      </c>
      <c r="I521" s="7" t="s">
        <v>5099</v>
      </c>
      <c r="J521" s="8" t="str">
        <f>HYPERLINK("https://drive.google.com/file/d/19Iqc38HPQOf6mJi9-gvLCy2EW3Abb6gi/view?usp=drivesdk","NUR FAJAR HAYATI Amd.RO SERTIFIKAT BerAKHLAK")</f>
        <v>NUR FAJAR HAYATI Amd.RO SERTIFIKAT BerAKHLAK</v>
      </c>
      <c r="K521" s="5" t="s">
        <v>4872</v>
      </c>
      <c r="L521" s="5" t="s">
        <v>5100</v>
      </c>
      <c r="M521" s="5" t="s">
        <v>5101</v>
      </c>
      <c r="N521" s="7" t="s">
        <v>5102</v>
      </c>
      <c r="O521" s="8" t="str">
        <f>HYPERLINK("https://drive.google.com/file/d/1qntZBG2VJgkCDArHXV1pXXYb9XCU4W6m/view?usp=drivesdk","520_NUR FAJAR HAYATI Amd.RO _ SERTIFIKAT BIMTEK IPASN BerAKHLASK")</f>
        <v>520_NUR FAJAR HAYATI Amd.RO _ SERTIFIKAT BIMTEK IPASN BerAKHLASK</v>
      </c>
      <c r="P521" s="5" t="s">
        <v>5075</v>
      </c>
      <c r="Q521" s="5" t="s">
        <v>5103</v>
      </c>
      <c r="R521" s="7" t="s">
        <v>5104</v>
      </c>
      <c r="S521" s="7" t="str">
        <f>HYPERLINK("https://drive.google.com/file/d/1RlBrZSfSVMLw-RwRT5vGOO_H7Yw46mVN/view?usp=drivesdk","520_NUR FAJAR HAYATI Amd.RO SERTIFIKAT BIMTEK IPASN-BerAKHLAK")</f>
        <v>520_NUR FAJAR HAYATI Amd.RO SERTIFIKAT BIMTEK IPASN-BerAKHLAK</v>
      </c>
      <c r="T521" s="5" t="s">
        <v>5105</v>
      </c>
    </row>
    <row r="522" hidden="1">
      <c r="A522" s="4">
        <v>45534.32148421297</v>
      </c>
      <c r="B522" s="5" t="s">
        <v>19</v>
      </c>
      <c r="C522" s="5" t="s">
        <v>3301</v>
      </c>
      <c r="E522" s="5" t="s">
        <v>5106</v>
      </c>
      <c r="F522" s="5" t="s">
        <v>37</v>
      </c>
      <c r="G522" s="5" t="s">
        <v>5107</v>
      </c>
      <c r="H522" s="6" t="s">
        <v>5108</v>
      </c>
      <c r="I522" s="7" t="s">
        <v>5109</v>
      </c>
      <c r="J522" s="8" t="str">
        <f>HYPERLINK("https://drive.google.com/file/d/1NH66vTkWYiXjzMk4vzUjFNXmxkSVpYsx/view?usp=drivesdk","MAYANG NUGRAHENI, S.Tr.Kes. SERTIFIKAT BerAKHLAK")</f>
        <v>MAYANG NUGRAHENI, S.Tr.Kes. SERTIFIKAT BerAKHLAK</v>
      </c>
      <c r="K522" s="5" t="s">
        <v>4872</v>
      </c>
      <c r="L522" s="5" t="s">
        <v>5110</v>
      </c>
      <c r="M522" s="5" t="s">
        <v>5111</v>
      </c>
      <c r="N522" s="7" t="s">
        <v>5112</v>
      </c>
      <c r="O522" s="8" t="str">
        <f>HYPERLINK("https://drive.google.com/file/d/1T9fgERusPcinklcOxU9FWBj2twjbPzQ7/view?usp=drivesdk","521_MAYANG NUGRAHENI, S.Tr.Kes. _ SERTIFIKAT BIMTEK IPASN BerAKHLASK")</f>
        <v>521_MAYANG NUGRAHENI, S.Tr.Kes. _ SERTIFIKAT BIMTEK IPASN BerAKHLASK</v>
      </c>
      <c r="P522" s="5" t="s">
        <v>5075</v>
      </c>
      <c r="Q522" s="5" t="s">
        <v>5113</v>
      </c>
      <c r="R522" s="7" t="s">
        <v>5114</v>
      </c>
      <c r="S522" s="7" t="str">
        <f>HYPERLINK("https://drive.google.com/file/d/16nNWL7df74DG7kmLlb5ivOskxUj5zK77/view?usp=drivesdk","521_MAYANG NUGRAHENI, S.Tr.Kes. SERTIFIKAT BIMTEK IPASN-BerAKHLAK")</f>
        <v>521_MAYANG NUGRAHENI, S.Tr.Kes. SERTIFIKAT BIMTEK IPASN-BerAKHLAK</v>
      </c>
      <c r="T522" s="5" t="s">
        <v>5105</v>
      </c>
    </row>
    <row r="523" hidden="1">
      <c r="A523" s="4">
        <v>45534.32148576389</v>
      </c>
      <c r="B523" s="5" t="s">
        <v>19</v>
      </c>
      <c r="C523" s="5" t="s">
        <v>442</v>
      </c>
      <c r="E523" s="5" t="s">
        <v>5115</v>
      </c>
      <c r="F523" s="5" t="s">
        <v>37</v>
      </c>
      <c r="G523" s="5" t="s">
        <v>5116</v>
      </c>
      <c r="H523" s="6" t="s">
        <v>5117</v>
      </c>
      <c r="I523" s="7" t="s">
        <v>5118</v>
      </c>
      <c r="J523" s="8" t="str">
        <f>HYPERLINK("https://drive.google.com/file/d/1-gc1B9CFOYo6JvwC_INbf9bS1kDbwMsQ/view?usp=drivesdk","ABDI FARHANUDDIN SERTIFIKAT BerAKHLAK")</f>
        <v>ABDI FARHANUDDIN SERTIFIKAT BerAKHLAK</v>
      </c>
      <c r="K523" s="5" t="s">
        <v>4872</v>
      </c>
      <c r="L523" s="5" t="s">
        <v>5119</v>
      </c>
      <c r="M523" s="5" t="s">
        <v>5120</v>
      </c>
      <c r="N523" s="7" t="s">
        <v>5121</v>
      </c>
      <c r="O523" s="8" t="str">
        <f>HYPERLINK("https://drive.google.com/file/d/1bxeU6sIwwjjqb1v-ujrbWbmQB8UVytBw/view?usp=drivesdk","522_ABDI FARHANUDDIN _ SERTIFIKAT BIMTEK IPASN BerAKHLASK")</f>
        <v>522_ABDI FARHANUDDIN _ SERTIFIKAT BIMTEK IPASN BerAKHLASK</v>
      </c>
      <c r="P523" s="5" t="s">
        <v>5122</v>
      </c>
      <c r="Q523" s="5" t="s">
        <v>5123</v>
      </c>
      <c r="R523" s="7" t="s">
        <v>5124</v>
      </c>
      <c r="S523" s="7" t="str">
        <f>HYPERLINK("https://drive.google.com/file/d/11olXGtHsatDVViVPjor0FnvWqgfY7rvw/view?usp=drivesdk","522_ABDI FARHANUDDIN SERTIFIKAT BIMTEK IPASN-BerAKHLAK")</f>
        <v>522_ABDI FARHANUDDIN SERTIFIKAT BIMTEK IPASN-BerAKHLAK</v>
      </c>
      <c r="T523" s="5" t="s">
        <v>5105</v>
      </c>
    </row>
    <row r="524">
      <c r="A524" s="4">
        <v>45534.321546481486</v>
      </c>
      <c r="B524" s="5" t="s">
        <v>34</v>
      </c>
      <c r="D524" s="5" t="s">
        <v>522</v>
      </c>
      <c r="E524" s="5" t="s">
        <v>5125</v>
      </c>
      <c r="F524" s="5" t="s">
        <v>375</v>
      </c>
      <c r="G524" s="5" t="s">
        <v>5126</v>
      </c>
      <c r="H524" s="6" t="s">
        <v>5127</v>
      </c>
      <c r="I524" s="7" t="s">
        <v>5128</v>
      </c>
      <c r="J524" s="8" t="str">
        <f>HYPERLINK("https://drive.google.com/file/d/1VmiDVJNS9epMXmItAG9y30HqzX2UKc21/view?usp=drivesdk","NI PUTU MULIATI, S.Adm SERTIFIKAT BerAKHLAK")</f>
        <v>NI PUTU MULIATI, S.Adm SERTIFIKAT BerAKHLAK</v>
      </c>
      <c r="K524" s="5" t="s">
        <v>4872</v>
      </c>
      <c r="L524" s="5" t="s">
        <v>5129</v>
      </c>
      <c r="M524" s="5" t="s">
        <v>5130</v>
      </c>
      <c r="N524" s="7" t="s">
        <v>5131</v>
      </c>
      <c r="O524" s="8" t="str">
        <f>HYPERLINK("https://drive.google.com/file/d/1Rh6ikPzPJZ9h64ll02CEjyZOOGuA1eJd/view?usp=drivesdk","523_NI PUTU MULIATI, S.Adm _ SERTIFIKAT BIMTEK IPASN BerAKHLASK")</f>
        <v>523_NI PUTU MULIATI, S.Adm _ SERTIFIKAT BIMTEK IPASN BerAKHLASK</v>
      </c>
      <c r="P524" s="5" t="s">
        <v>5122</v>
      </c>
      <c r="Q524" s="5" t="s">
        <v>5132</v>
      </c>
      <c r="R524" s="7" t="s">
        <v>5133</v>
      </c>
      <c r="S524" s="7" t="str">
        <f>HYPERLINK("https://drive.google.com/file/d/12lnDTcEDMvDYGLNlimlE4dfm34IT-CVW/view?usp=drivesdk","523_NI PUTU MULIATI, S.Adm SERTIFIKAT BIMTEK IPASN-BerAKHLAK")</f>
        <v>523_NI PUTU MULIATI, S.Adm SERTIFIKAT BIMTEK IPASN-BerAKHLAK</v>
      </c>
      <c r="T524" s="5" t="s">
        <v>5105</v>
      </c>
    </row>
    <row r="525">
      <c r="A525" s="4">
        <v>45534.32155671297</v>
      </c>
      <c r="B525" s="5" t="s">
        <v>34</v>
      </c>
      <c r="D525" s="5" t="s">
        <v>604</v>
      </c>
      <c r="E525" s="5" t="s">
        <v>5134</v>
      </c>
      <c r="F525" s="5" t="s">
        <v>108</v>
      </c>
      <c r="G525" s="5" t="s">
        <v>5135</v>
      </c>
      <c r="H525" s="6" t="s">
        <v>5136</v>
      </c>
      <c r="I525" s="7" t="s">
        <v>5137</v>
      </c>
      <c r="J525" s="8" t="str">
        <f>HYPERLINK("https://drive.google.com/file/d/1qKjL0hhiPhQt_r8zwYXTgQ5fwk4d0RZt/view?usp=drivesdk","PENATA MUDA TK. I ISMAIL SERTIFIKAT BerAKHLAK")</f>
        <v>PENATA MUDA TK. I ISMAIL SERTIFIKAT BerAKHLAK</v>
      </c>
      <c r="K525" s="5" t="s">
        <v>4872</v>
      </c>
      <c r="L525" s="5" t="s">
        <v>5138</v>
      </c>
      <c r="M525" s="5" t="s">
        <v>5139</v>
      </c>
      <c r="N525" s="7" t="s">
        <v>5140</v>
      </c>
      <c r="O525" s="8" t="str">
        <f>HYPERLINK("https://drive.google.com/file/d/1cbt9Ib7T9ctdwNfHXw6Jh1OCNaD_bAHe/view?usp=drivesdk","524_PENATA MUDA TK. I ISMAIL _ SERTIFIKAT BIMTEK IPASN BerAKHLASK")</f>
        <v>524_PENATA MUDA TK. I ISMAIL _ SERTIFIKAT BIMTEK IPASN BerAKHLASK</v>
      </c>
      <c r="P525" s="5" t="s">
        <v>5122</v>
      </c>
      <c r="Q525" s="5" t="s">
        <v>5141</v>
      </c>
      <c r="R525" s="7" t="s">
        <v>5142</v>
      </c>
      <c r="S525" s="7" t="str">
        <f>HYPERLINK("https://drive.google.com/file/d/16IXiFv_fG-_g8eFAuLsyQMX1Q7HctmR5/view?usp=drivesdk","524_PENATA MUDA TK. I ISMAIL SERTIFIKAT BIMTEK IPASN-BerAKHLAK")</f>
        <v>524_PENATA MUDA TK. I ISMAIL SERTIFIKAT BIMTEK IPASN-BerAKHLAK</v>
      </c>
      <c r="T525" s="5" t="s">
        <v>5105</v>
      </c>
    </row>
    <row r="526">
      <c r="A526" s="4">
        <v>45534.321560219905</v>
      </c>
      <c r="B526" s="5" t="s">
        <v>34</v>
      </c>
      <c r="D526" s="5" t="s">
        <v>280</v>
      </c>
      <c r="E526" s="5" t="s">
        <v>5143</v>
      </c>
      <c r="F526" s="5" t="s">
        <v>37</v>
      </c>
      <c r="G526" s="5" t="s">
        <v>5144</v>
      </c>
      <c r="H526" s="6" t="s">
        <v>5145</v>
      </c>
      <c r="I526" s="7" t="s">
        <v>5146</v>
      </c>
      <c r="J526" s="8" t="str">
        <f>HYPERLINK("https://drive.google.com/file/d/1HzoG3KVoAKrIWgvPScJ0nHG2x0qB4OOO/view?usp=drivesdk","RINI FATMASARI SERTIFIKAT BerAKHLAK")</f>
        <v>RINI FATMASARI SERTIFIKAT BerAKHLAK</v>
      </c>
      <c r="K526" s="5" t="s">
        <v>4872</v>
      </c>
      <c r="L526" s="5" t="s">
        <v>5147</v>
      </c>
      <c r="M526" s="5" t="s">
        <v>5148</v>
      </c>
      <c r="N526" s="7" t="s">
        <v>5149</v>
      </c>
      <c r="O526" s="8" t="str">
        <f>HYPERLINK("https://drive.google.com/file/d/1AaRl4po3EfgoSTm-aVwcBBFyaF6ilrHA/view?usp=drivesdk","525_RINI FATMASARI _ SERTIFIKAT BIMTEK IPASN BerAKHLASK")</f>
        <v>525_RINI FATMASARI _ SERTIFIKAT BIMTEK IPASN BerAKHLASK</v>
      </c>
      <c r="P526" s="5" t="s">
        <v>5122</v>
      </c>
      <c r="Q526" s="5" t="s">
        <v>5150</v>
      </c>
      <c r="R526" s="7" t="s">
        <v>5151</v>
      </c>
      <c r="S526" s="7" t="str">
        <f>HYPERLINK("https://drive.google.com/file/d/15GkUM6bt64wgLfT7SXSfpmIKbjUAgpJE/view?usp=drivesdk","525_RINI FATMASARI SERTIFIKAT BIMTEK IPASN-BerAKHLAK")</f>
        <v>525_RINI FATMASARI SERTIFIKAT BIMTEK IPASN-BerAKHLAK</v>
      </c>
      <c r="T526" s="5" t="s">
        <v>5105</v>
      </c>
    </row>
    <row r="527">
      <c r="A527" s="4">
        <v>45534.32157296296</v>
      </c>
      <c r="B527" s="5" t="s">
        <v>34</v>
      </c>
      <c r="D527" s="5" t="s">
        <v>280</v>
      </c>
      <c r="E527" s="5" t="s">
        <v>5152</v>
      </c>
      <c r="F527" s="5" t="s">
        <v>212</v>
      </c>
      <c r="G527" s="5" t="s">
        <v>5153</v>
      </c>
      <c r="H527" s="6" t="s">
        <v>5154</v>
      </c>
      <c r="I527" s="7" t="s">
        <v>5155</v>
      </c>
      <c r="J527" s="8" t="str">
        <f>HYPERLINK("https://drive.google.com/file/d/1Hf4Cksi20_TE6dxk3rObAzTg48IwUmVg/view?usp=drivesdk","DITA PRIHADINA PERTIWI, A.Md, Keb SERTIFIKAT BerAKHLAK")</f>
        <v>DITA PRIHADINA PERTIWI, A.Md, Keb SERTIFIKAT BerAKHLAK</v>
      </c>
      <c r="K527" s="5" t="s">
        <v>5156</v>
      </c>
      <c r="L527" s="5" t="s">
        <v>5157</v>
      </c>
      <c r="M527" s="5" t="s">
        <v>5158</v>
      </c>
      <c r="N527" s="7" t="s">
        <v>5159</v>
      </c>
      <c r="O527" s="8" t="str">
        <f>HYPERLINK("https://drive.google.com/file/d/1LWkFMYNtdNX5t35LKFyIedxvjVAK6eYI/view?usp=drivesdk","526_DITA PRIHADINA PERTIWI, A.Md, Keb _ SERTIFIKAT BIMTEK IPASN BerAKHLASK")</f>
        <v>526_DITA PRIHADINA PERTIWI, A.Md, Keb _ SERTIFIKAT BIMTEK IPASN BerAKHLASK</v>
      </c>
      <c r="P527" s="5" t="s">
        <v>5122</v>
      </c>
      <c r="Q527" s="5" t="s">
        <v>5160</v>
      </c>
      <c r="R527" s="7" t="s">
        <v>5161</v>
      </c>
      <c r="S527" s="7" t="str">
        <f>HYPERLINK("https://drive.google.com/file/d/1seQ7-b1hSi4IpTvnAc-qSo7DCmrlrWpA/view?usp=drivesdk","526_DITA PRIHADINA PERTIWI, A.Md, Keb SERTIFIKAT BIMTEK IPASN-BerAKHLAK")</f>
        <v>526_DITA PRIHADINA PERTIWI, A.Md, Keb SERTIFIKAT BIMTEK IPASN-BerAKHLAK</v>
      </c>
      <c r="T527" s="5" t="s">
        <v>5162</v>
      </c>
    </row>
    <row r="528">
      <c r="A528" s="4">
        <v>45534.321589479165</v>
      </c>
      <c r="B528" s="5" t="s">
        <v>34</v>
      </c>
      <c r="D528" s="5" t="s">
        <v>996</v>
      </c>
      <c r="E528" s="5" t="s">
        <v>5163</v>
      </c>
      <c r="F528" s="5" t="s">
        <v>212</v>
      </c>
      <c r="G528" s="5" t="s">
        <v>5164</v>
      </c>
      <c r="H528" s="6" t="s">
        <v>5165</v>
      </c>
      <c r="I528" s="7" t="s">
        <v>5166</v>
      </c>
      <c r="J528" s="8" t="str">
        <f>HYPERLINK("https://drive.google.com/file/d/1-uDn57n1Yok6g4SGYNU6eo3Qy9ftC77u/view?usp=drivesdk","YULIASTUTIK HERMININGSIH  SERTIFIKAT BerAKHLAK")</f>
        <v>YULIASTUTIK HERMININGSIH  SERTIFIKAT BerAKHLAK</v>
      </c>
      <c r="K528" s="5" t="s">
        <v>4872</v>
      </c>
      <c r="L528" s="5" t="s">
        <v>5167</v>
      </c>
      <c r="M528" s="5" t="s">
        <v>5168</v>
      </c>
      <c r="N528" s="7" t="s">
        <v>5169</v>
      </c>
      <c r="O528" s="8" t="str">
        <f>HYPERLINK("https://drive.google.com/file/d/1egXi0qIpdvfoHbYzUtHPsPx3iE_cfeHw/view?usp=drivesdk","527_YULIASTUTIK HERMININGSIH  _ SERTIFIKAT BIMTEK IPASN BerAKHLASK")</f>
        <v>527_YULIASTUTIK HERMININGSIH  _ SERTIFIKAT BIMTEK IPASN BerAKHLASK</v>
      </c>
      <c r="P528" s="5" t="s">
        <v>5170</v>
      </c>
      <c r="Q528" s="5" t="s">
        <v>5171</v>
      </c>
      <c r="R528" s="7" t="s">
        <v>5172</v>
      </c>
      <c r="S528" s="7" t="str">
        <f>HYPERLINK("https://drive.google.com/file/d/1M7q-VSAA1Vx9ddeGh2yhRNzSOmaaNHUk/view?usp=drivesdk","527_YULIASTUTIK HERMININGSIH  SERTIFIKAT BIMTEK IPASN-BerAKHLAK")</f>
        <v>527_YULIASTUTIK HERMININGSIH  SERTIFIKAT BIMTEK IPASN-BerAKHLAK</v>
      </c>
      <c r="T528" s="5" t="s">
        <v>5162</v>
      </c>
    </row>
    <row r="529">
      <c r="A529" s="4">
        <v>45534.32158900463</v>
      </c>
      <c r="B529" s="5" t="s">
        <v>34</v>
      </c>
      <c r="D529" s="5" t="s">
        <v>35</v>
      </c>
      <c r="E529" s="5" t="s">
        <v>5173</v>
      </c>
      <c r="F529" s="5" t="s">
        <v>120</v>
      </c>
      <c r="G529" s="5" t="s">
        <v>5174</v>
      </c>
      <c r="H529" s="6" t="s">
        <v>5175</v>
      </c>
      <c r="I529" s="7" t="s">
        <v>5176</v>
      </c>
      <c r="J529" s="8" t="str">
        <f>HYPERLINK("https://drive.google.com/file/d/1XxzaOHkQ6CSFVJnkRuWE6O4lMRfs4JBI/view?usp=drivesdk","GUNGUN RIFKI ALMANSHUR SERTIFIKAT BerAKHLAK")</f>
        <v>GUNGUN RIFKI ALMANSHUR SERTIFIKAT BerAKHLAK</v>
      </c>
      <c r="K529" s="5" t="s">
        <v>4872</v>
      </c>
      <c r="L529" s="5" t="s">
        <v>5177</v>
      </c>
      <c r="M529" s="5" t="s">
        <v>5178</v>
      </c>
      <c r="N529" s="7" t="s">
        <v>5179</v>
      </c>
      <c r="O529" s="8" t="str">
        <f>HYPERLINK("https://drive.google.com/file/d/1aVhSKnaAHDfmuoj4i5ucOh5W9h0hrDiu/view?usp=drivesdk","528_GUNGUN RIFKI ALMANSHUR _ SERTIFIKAT BIMTEK IPASN BerAKHLASK")</f>
        <v>528_GUNGUN RIFKI ALMANSHUR _ SERTIFIKAT BIMTEK IPASN BerAKHLASK</v>
      </c>
      <c r="P529" s="5" t="s">
        <v>5170</v>
      </c>
      <c r="Q529" s="5" t="s">
        <v>5180</v>
      </c>
      <c r="R529" s="7" t="s">
        <v>5181</v>
      </c>
      <c r="S529" s="7" t="str">
        <f>HYPERLINK("https://drive.google.com/file/d/1zaNmHuB2aqdF3DAXpNT7hgmFWf9IYJmR/view?usp=drivesdk","528_GUNGUN RIFKI ALMANSHUR SERTIFIKAT BIMTEK IPASN-BerAKHLAK")</f>
        <v>528_GUNGUN RIFKI ALMANSHUR SERTIFIKAT BIMTEK IPASN-BerAKHLAK</v>
      </c>
      <c r="T529" s="5" t="s">
        <v>5162</v>
      </c>
    </row>
    <row r="530">
      <c r="A530" s="4">
        <v>45534.321594953704</v>
      </c>
      <c r="B530" s="5" t="s">
        <v>34</v>
      </c>
      <c r="D530" s="5" t="s">
        <v>522</v>
      </c>
      <c r="E530" s="5" t="s">
        <v>5182</v>
      </c>
      <c r="F530" s="5" t="s">
        <v>375</v>
      </c>
      <c r="G530" s="5" t="s">
        <v>5183</v>
      </c>
      <c r="H530" s="6" t="s">
        <v>5184</v>
      </c>
      <c r="I530" s="7" t="s">
        <v>5185</v>
      </c>
      <c r="J530" s="8" t="str">
        <f>HYPERLINK("https://drive.google.com/file/d/14WwvG-e2eIS2UXdbAM3_l9l3IJWvYrSC/view?usp=drivesdk","INDAH RIA SALEAN, S.E. SERTIFIKAT BerAKHLAK")</f>
        <v>INDAH RIA SALEAN, S.E. SERTIFIKAT BerAKHLAK</v>
      </c>
      <c r="K530" s="5" t="s">
        <v>4872</v>
      </c>
      <c r="L530" s="5" t="s">
        <v>5186</v>
      </c>
      <c r="M530" s="5" t="s">
        <v>5187</v>
      </c>
      <c r="N530" s="7" t="s">
        <v>5188</v>
      </c>
      <c r="O530" s="8" t="str">
        <f>HYPERLINK("https://drive.google.com/file/d/1iuZMrY7zLZCJr1RqsM2GNzIigbchinhP/view?usp=drivesdk","529_INDAH RIA SALEAN, S.E. _ SERTIFIKAT BIMTEK IPASN BerAKHLASK")</f>
        <v>529_INDAH RIA SALEAN, S.E. _ SERTIFIKAT BIMTEK IPASN BerAKHLASK</v>
      </c>
      <c r="P530" s="5" t="s">
        <v>5170</v>
      </c>
      <c r="Q530" s="5" t="s">
        <v>5189</v>
      </c>
      <c r="R530" s="7" t="s">
        <v>5190</v>
      </c>
      <c r="S530" s="7" t="str">
        <f>HYPERLINK("https://drive.google.com/file/d/1XC9qnwagFMrDwXOVHffRwxzZVqWHbMqz/view?usp=drivesdk","529_INDAH RIA SALEAN, S.E. SERTIFIKAT BIMTEK IPASN-BerAKHLAK")</f>
        <v>529_INDAH RIA SALEAN, S.E. SERTIFIKAT BIMTEK IPASN-BerAKHLAK</v>
      </c>
      <c r="T530" s="5" t="s">
        <v>5162</v>
      </c>
    </row>
    <row r="531">
      <c r="A531" s="4">
        <v>45534.32161293981</v>
      </c>
      <c r="B531" s="5" t="s">
        <v>34</v>
      </c>
      <c r="D531" s="5" t="s">
        <v>3849</v>
      </c>
      <c r="E531" s="5" t="s">
        <v>5191</v>
      </c>
      <c r="F531" s="5" t="s">
        <v>72</v>
      </c>
      <c r="G531" s="5" t="s">
        <v>5192</v>
      </c>
      <c r="H531" s="6" t="s">
        <v>5193</v>
      </c>
      <c r="I531" s="7" t="s">
        <v>5194</v>
      </c>
      <c r="J531" s="8" t="str">
        <f>HYPERLINK("https://drive.google.com/file/d/1dmW8oeeljhr2Fd6PTwQ76PYFP0tB7tIQ/view?usp=drivesdk","HERY SUSIANTO SERTIFIKAT BerAKHLAK")</f>
        <v>HERY SUSIANTO SERTIFIKAT BerAKHLAK</v>
      </c>
      <c r="K531" s="5" t="s">
        <v>4872</v>
      </c>
      <c r="L531" s="5" t="s">
        <v>5195</v>
      </c>
      <c r="M531" s="5" t="s">
        <v>5196</v>
      </c>
      <c r="N531" s="7" t="s">
        <v>5197</v>
      </c>
      <c r="O531" s="8" t="str">
        <f>HYPERLINK("https://drive.google.com/file/d/1Uqp0jWjyM8pWfAU6Iawrs0JOSVNFQxes/view?usp=drivesdk","530_HERY SUSIANTO _ SERTIFIKAT BIMTEK IPASN BerAKHLASK")</f>
        <v>530_HERY SUSIANTO _ SERTIFIKAT BIMTEK IPASN BerAKHLASK</v>
      </c>
      <c r="P531" s="5" t="s">
        <v>5170</v>
      </c>
      <c r="Q531" s="5" t="s">
        <v>5198</v>
      </c>
      <c r="R531" s="7" t="s">
        <v>5199</v>
      </c>
      <c r="S531" s="7" t="str">
        <f>HYPERLINK("https://drive.google.com/file/d/1PvzIPyiaSdx4uuStI9aKbPpYzYSTE5sR/view?usp=drivesdk","530_HERY SUSIANTO SERTIFIKAT BIMTEK IPASN-BerAKHLAK")</f>
        <v>530_HERY SUSIANTO SERTIFIKAT BIMTEK IPASN-BerAKHLAK</v>
      </c>
      <c r="T531" s="5" t="s">
        <v>5162</v>
      </c>
    </row>
    <row r="532">
      <c r="A532" s="4">
        <v>45534.321614120374</v>
      </c>
      <c r="B532" s="5" t="s">
        <v>34</v>
      </c>
      <c r="D532" s="5" t="s">
        <v>267</v>
      </c>
      <c r="E532" s="5" t="s">
        <v>5200</v>
      </c>
      <c r="F532" s="5" t="s">
        <v>37</v>
      </c>
      <c r="G532" s="5" t="s">
        <v>5201</v>
      </c>
      <c r="H532" s="6" t="s">
        <v>5202</v>
      </c>
      <c r="I532" s="7" t="s">
        <v>5203</v>
      </c>
      <c r="J532" s="8" t="str">
        <f>HYPERLINK("https://drive.google.com/file/d/1NoZfumuisuj4_Np2YrkyKtKfc9hwcxR6/view?usp=drivesdk","FERILINA MIRTA RATRI, A. Md. SERTIFIKAT BerAKHLAK")</f>
        <v>FERILINA MIRTA RATRI, A. Md. SERTIFIKAT BerAKHLAK</v>
      </c>
      <c r="K532" s="5" t="s">
        <v>5156</v>
      </c>
      <c r="L532" s="5" t="s">
        <v>5204</v>
      </c>
      <c r="M532" s="5" t="s">
        <v>5205</v>
      </c>
      <c r="N532" s="7" t="s">
        <v>5206</v>
      </c>
      <c r="O532" s="8" t="str">
        <f>HYPERLINK("https://drive.google.com/file/d/1pCzmDJnC1f72iONdhU0beRcOO-mnKA7L/view?usp=drivesdk","531_FERILINA MIRTA RATRI, A. Md. _ SERTIFIKAT BIMTEK IPASN BerAKHLASK")</f>
        <v>531_FERILINA MIRTA RATRI, A. Md. _ SERTIFIKAT BIMTEK IPASN BerAKHLASK</v>
      </c>
      <c r="P532" s="5" t="s">
        <v>5170</v>
      </c>
      <c r="Q532" s="5" t="s">
        <v>5207</v>
      </c>
      <c r="R532" s="7" t="s">
        <v>5208</v>
      </c>
      <c r="S532" s="7" t="str">
        <f>HYPERLINK("https://drive.google.com/file/d/1hHB7jRddusHGSFzbIzcty2qDfYWPMVsJ/view?usp=drivesdk","531_FERILINA MIRTA RATRI, A. Md. SERTIFIKAT BIMTEK IPASN-BerAKHLAK")</f>
        <v>531_FERILINA MIRTA RATRI, A. Md. SERTIFIKAT BIMTEK IPASN-BerAKHLAK</v>
      </c>
      <c r="T532" s="5" t="s">
        <v>5162</v>
      </c>
    </row>
    <row r="533" hidden="1">
      <c r="A533" s="4">
        <v>45534.32161672454</v>
      </c>
      <c r="B533" s="5" t="s">
        <v>19</v>
      </c>
      <c r="C533" s="5" t="s">
        <v>3301</v>
      </c>
      <c r="E533" s="5" t="s">
        <v>5209</v>
      </c>
      <c r="F533" s="5" t="s">
        <v>22</v>
      </c>
      <c r="G533" s="5" t="s">
        <v>5210</v>
      </c>
      <c r="H533" s="6" t="s">
        <v>5211</v>
      </c>
      <c r="I533" s="7" t="s">
        <v>5212</v>
      </c>
      <c r="J533" s="8" t="str">
        <f>HYPERLINK("https://drive.google.com/file/d/1SuGpwWSz6vULHuyqunM1FfAG2agUSCO4/view?usp=drivesdk","DR PAULA LIHAWA, MFORSC SERTIFIKAT BerAKHLAK")</f>
        <v>DR PAULA LIHAWA, MFORSC SERTIFIKAT BerAKHLAK</v>
      </c>
      <c r="K533" s="5" t="s">
        <v>5156</v>
      </c>
      <c r="L533" s="5" t="s">
        <v>5213</v>
      </c>
      <c r="M533" s="5" t="s">
        <v>5214</v>
      </c>
      <c r="N533" s="7" t="s">
        <v>5215</v>
      </c>
      <c r="O533" s="8" t="str">
        <f>HYPERLINK("https://drive.google.com/file/d/1ceEfj4oergK7S1ajTDWeeFEbsqZt_v1J/view?usp=drivesdk","532_DR PAULA LIHAWA, MFORSC _ SERTIFIKAT BIMTEK IPASN BerAKHLASK")</f>
        <v>532_DR PAULA LIHAWA, MFORSC _ SERTIFIKAT BIMTEK IPASN BerAKHLASK</v>
      </c>
      <c r="P533" s="5" t="s">
        <v>5170</v>
      </c>
      <c r="Q533" s="5" t="s">
        <v>5216</v>
      </c>
      <c r="R533" s="7" t="s">
        <v>5217</v>
      </c>
      <c r="S533" s="7" t="str">
        <f>HYPERLINK("https://drive.google.com/file/d/1WM6XNhfuDKHkqsZSP7Gz_YOtUAgQzf6L/view?usp=drivesdk","532_DR PAULA LIHAWA, MFORSC SERTIFIKAT BIMTEK IPASN-BerAKHLAK")</f>
        <v>532_DR PAULA LIHAWA, MFORSC SERTIFIKAT BIMTEK IPASN-BerAKHLAK</v>
      </c>
      <c r="T533" s="5" t="s">
        <v>5218</v>
      </c>
    </row>
    <row r="534" hidden="1">
      <c r="A534" s="4">
        <v>45534.32162342593</v>
      </c>
      <c r="B534" s="5" t="s">
        <v>19</v>
      </c>
      <c r="C534" s="5" t="s">
        <v>292</v>
      </c>
      <c r="E534" s="5" t="s">
        <v>5219</v>
      </c>
      <c r="F534" s="5" t="s">
        <v>524</v>
      </c>
      <c r="G534" s="5" t="s">
        <v>5220</v>
      </c>
      <c r="H534" s="6" t="s">
        <v>5221</v>
      </c>
      <c r="I534" s="7" t="s">
        <v>5222</v>
      </c>
      <c r="J534" s="8" t="str">
        <f>HYPERLINK("https://drive.google.com/file/d/1DnuZXyCN1BX7wrZk8BzmphsHKUgdV3iJ/view?usp=drivesdk","AGUS MULYANA, S.Pd SERTIFIKAT BerAKHLAK")</f>
        <v>AGUS MULYANA, S.Pd SERTIFIKAT BerAKHLAK</v>
      </c>
      <c r="K534" s="5" t="s">
        <v>5156</v>
      </c>
      <c r="L534" s="5" t="s">
        <v>5223</v>
      </c>
      <c r="M534" s="5" t="s">
        <v>5224</v>
      </c>
      <c r="N534" s="7" t="s">
        <v>5225</v>
      </c>
      <c r="O534" s="8" t="str">
        <f>HYPERLINK("https://drive.google.com/file/d/1zJhVNcFrd9m9Fd01LDzfsq4vjU5oHBHM/view?usp=drivesdk","533_AGUS MULYANA, S.Pd _ SERTIFIKAT BIMTEK IPASN BerAKHLASK")</f>
        <v>533_AGUS MULYANA, S.Pd _ SERTIFIKAT BIMTEK IPASN BerAKHLASK</v>
      </c>
      <c r="P534" s="5" t="s">
        <v>5226</v>
      </c>
      <c r="Q534" s="5" t="s">
        <v>5227</v>
      </c>
      <c r="R534" s="7" t="s">
        <v>5228</v>
      </c>
      <c r="S534" s="7" t="str">
        <f>HYPERLINK("https://drive.google.com/file/d/1mPo-s_Tuui6vMuzzWMmahwocF2PrsZ4D/view?usp=drivesdk","533_AGUS MULYANA, S.Pd SERTIFIKAT BIMTEK IPASN-BerAKHLAK")</f>
        <v>533_AGUS MULYANA, S.Pd SERTIFIKAT BIMTEK IPASN-BerAKHLAK</v>
      </c>
      <c r="T534" s="5" t="s">
        <v>5218</v>
      </c>
    </row>
    <row r="535" hidden="1">
      <c r="A535" s="4">
        <v>45534.321671666665</v>
      </c>
      <c r="B535" s="5" t="s">
        <v>19</v>
      </c>
      <c r="C535" s="5" t="s">
        <v>3301</v>
      </c>
      <c r="E535" s="5" t="s">
        <v>5229</v>
      </c>
      <c r="F535" s="5" t="s">
        <v>375</v>
      </c>
      <c r="G535" s="5" t="s">
        <v>5230</v>
      </c>
      <c r="H535" s="6" t="s">
        <v>5231</v>
      </c>
      <c r="K535" s="5" t="s">
        <v>5232</v>
      </c>
      <c r="M535" s="5" t="s">
        <v>5233</v>
      </c>
      <c r="N535" s="7" t="s">
        <v>5234</v>
      </c>
      <c r="O535" s="8" t="str">
        <f>HYPERLINK("https://drive.google.com/file/d/1uds_YnSGzHiuG-RC_T0JAaZqrXIj85Fn/view?usp=drivesdk","534_NANI KARMILA, SKM, M.Kes _ SERTIFIKAT BIMTEK IPASN BerAKHLASK")</f>
        <v>534_NANI KARMILA, SKM, M.Kes _ SERTIFIKAT BIMTEK IPASN BerAKHLASK</v>
      </c>
      <c r="P535" s="5" t="s">
        <v>5226</v>
      </c>
      <c r="Q535" s="5" t="s">
        <v>5235</v>
      </c>
      <c r="R535" s="7" t="s">
        <v>5236</v>
      </c>
      <c r="S535" s="7" t="str">
        <f>HYPERLINK("https://drive.google.com/file/d/1dwSgPZ36d7fueQaJLS-Omu2CoqdZfaWj/view?usp=drivesdk","534_NANI KARMILA, SKM, M.Kes SERTIFIKAT BIMTEK IPASN-BerAKHLAK")</f>
        <v>534_NANI KARMILA, SKM, M.Kes SERTIFIKAT BIMTEK IPASN-BerAKHLAK</v>
      </c>
      <c r="T535" s="5" t="s">
        <v>5218</v>
      </c>
    </row>
    <row r="536">
      <c r="A536" s="4">
        <v>45534.32167350694</v>
      </c>
      <c r="B536" s="5" t="s">
        <v>34</v>
      </c>
      <c r="D536" s="5" t="s">
        <v>1206</v>
      </c>
      <c r="E536" s="5" t="s">
        <v>5237</v>
      </c>
      <c r="F536" s="5" t="s">
        <v>212</v>
      </c>
      <c r="G536" s="5" t="s">
        <v>5238</v>
      </c>
      <c r="H536" s="6" t="s">
        <v>5239</v>
      </c>
      <c r="K536" s="5" t="s">
        <v>5232</v>
      </c>
      <c r="M536" s="5" t="s">
        <v>5240</v>
      </c>
      <c r="N536" s="7" t="s">
        <v>5241</v>
      </c>
      <c r="O536" s="8" t="str">
        <f>HYPERLINK("https://drive.google.com/file/d/1HefsNkhUtWs9aaPVnllwk97QAD5VfLHN/view?usp=drivesdk","535_EKA RACHMAWSTI, A.MD _ SERTIFIKAT BIMTEK IPASN BerAKHLASK")</f>
        <v>535_EKA RACHMAWSTI, A.MD _ SERTIFIKAT BIMTEK IPASN BerAKHLASK</v>
      </c>
      <c r="P536" s="5" t="s">
        <v>5226</v>
      </c>
      <c r="Q536" s="5" t="s">
        <v>5242</v>
      </c>
      <c r="R536" s="7" t="s">
        <v>5243</v>
      </c>
      <c r="S536" s="7" t="str">
        <f>HYPERLINK("https://drive.google.com/file/d/12XPqHTDoR1hC-k9XylRJVsXoELvX5uyZ/view?usp=drivesdk","535_EKA RACHMAWSTI, A.MD SERTIFIKAT BIMTEK IPASN-BerAKHLAK")</f>
        <v>535_EKA RACHMAWSTI, A.MD SERTIFIKAT BIMTEK IPASN-BerAKHLAK</v>
      </c>
      <c r="T536" s="5" t="s">
        <v>5218</v>
      </c>
    </row>
    <row r="537">
      <c r="A537" s="4">
        <v>45534.32167978009</v>
      </c>
      <c r="B537" s="5" t="s">
        <v>34</v>
      </c>
      <c r="D537" s="5" t="s">
        <v>1206</v>
      </c>
      <c r="E537" s="5" t="s">
        <v>5244</v>
      </c>
      <c r="F537" s="5" t="s">
        <v>72</v>
      </c>
      <c r="G537" s="5" t="s">
        <v>5245</v>
      </c>
      <c r="H537" s="6" t="s">
        <v>5246</v>
      </c>
      <c r="K537" s="5" t="s">
        <v>5232</v>
      </c>
      <c r="M537" s="5" t="s">
        <v>5247</v>
      </c>
      <c r="N537" s="7" t="s">
        <v>5248</v>
      </c>
      <c r="O537" s="8" t="str">
        <f>HYPERLINK("https://drive.google.com/file/d/1QbCyVSbdwLRn913N4CptMQHUSkXhYs7G/view?usp=drivesdk","536_SUBUR WINARSIH, S.H. _ SERTIFIKAT BIMTEK IPASN BerAKHLASK")</f>
        <v>536_SUBUR WINARSIH, S.H. _ SERTIFIKAT BIMTEK IPASN BerAKHLASK</v>
      </c>
      <c r="P537" s="5" t="s">
        <v>5226</v>
      </c>
      <c r="Q537" s="5" t="s">
        <v>5249</v>
      </c>
      <c r="R537" s="7" t="s">
        <v>5250</v>
      </c>
      <c r="S537" s="7" t="str">
        <f>HYPERLINK("https://drive.google.com/file/d/1aThB4YbQoDs-e2IKlLlzDN6zvzYvqKeg/view?usp=drivesdk","536_SUBUR WINARSIH, S.H. SERTIFIKAT BIMTEK IPASN-BerAKHLAK")</f>
        <v>536_SUBUR WINARSIH, S.H. SERTIFIKAT BIMTEK IPASN-BerAKHLAK</v>
      </c>
      <c r="T537" s="5" t="s">
        <v>5218</v>
      </c>
    </row>
    <row r="538" hidden="1">
      <c r="A538" s="4">
        <v>45534.321691481484</v>
      </c>
      <c r="B538" s="5" t="s">
        <v>19</v>
      </c>
      <c r="C538" s="5" t="s">
        <v>466</v>
      </c>
      <c r="E538" s="5" t="s">
        <v>5251</v>
      </c>
      <c r="F538" s="5" t="s">
        <v>108</v>
      </c>
      <c r="G538" s="5" t="s">
        <v>5252</v>
      </c>
      <c r="H538" s="6" t="s">
        <v>5253</v>
      </c>
      <c r="K538" s="5" t="s">
        <v>5232</v>
      </c>
      <c r="M538" s="5" t="s">
        <v>5254</v>
      </c>
      <c r="N538" s="7" t="s">
        <v>5255</v>
      </c>
      <c r="O538" s="8" t="str">
        <f>HYPERLINK("https://drive.google.com/file/d/1VyJcc_Ki_KVZMgbFB0VG-1KvLuDREnY8/view?usp=drivesdk","537_FERRY YULISTIANA AMD _ SERTIFIKAT BIMTEK IPASN BerAKHLASK")</f>
        <v>537_FERRY YULISTIANA AMD _ SERTIFIKAT BIMTEK IPASN BerAKHLASK</v>
      </c>
      <c r="P538" s="5" t="s">
        <v>5226</v>
      </c>
      <c r="Q538" s="5" t="s">
        <v>5256</v>
      </c>
      <c r="R538" s="7" t="s">
        <v>5257</v>
      </c>
      <c r="S538" s="7" t="str">
        <f>HYPERLINK("https://drive.google.com/file/d/18EsEhtCmAkPLXuDyXTXZk5Ng6rvxsv2O/view?usp=drivesdk","537_FERRY YULISTIANA AMD SERTIFIKAT BIMTEK IPASN-BerAKHLAK")</f>
        <v>537_FERRY YULISTIANA AMD SERTIFIKAT BIMTEK IPASN-BerAKHLAK</v>
      </c>
      <c r="T538" s="5" t="s">
        <v>5258</v>
      </c>
    </row>
    <row r="539">
      <c r="A539" s="4">
        <v>45534.32171358797</v>
      </c>
      <c r="B539" s="5" t="s">
        <v>34</v>
      </c>
      <c r="D539" s="5" t="s">
        <v>522</v>
      </c>
      <c r="E539" s="5" t="s">
        <v>5259</v>
      </c>
      <c r="F539" s="5" t="s">
        <v>72</v>
      </c>
      <c r="G539" s="5" t="s">
        <v>5260</v>
      </c>
      <c r="H539" s="6" t="s">
        <v>5261</v>
      </c>
      <c r="K539" s="5" t="s">
        <v>5232</v>
      </c>
      <c r="M539" s="5" t="s">
        <v>5262</v>
      </c>
      <c r="N539" s="7" t="s">
        <v>5263</v>
      </c>
      <c r="O539" s="8" t="str">
        <f>HYPERLINK("https://drive.google.com/file/d/1h_Cfy5mYxCzS59GrUISZNkMPgRi9QZFd/view?usp=drivesdk","538_DWI YUNI ASIH, A.Md., S.Pd. _ SERTIFIKAT BIMTEK IPASN BerAKHLASK")</f>
        <v>538_DWI YUNI ASIH, A.Md., S.Pd. _ SERTIFIKAT BIMTEK IPASN BerAKHLASK</v>
      </c>
      <c r="P539" s="5" t="s">
        <v>5226</v>
      </c>
      <c r="Q539" s="5" t="s">
        <v>5264</v>
      </c>
      <c r="R539" s="7" t="s">
        <v>5265</v>
      </c>
      <c r="S539" s="7" t="str">
        <f>HYPERLINK("https://drive.google.com/file/d/1zIyn--ie-F2UEXoWFbKxepQpSphIwhyj/view?usp=drivesdk","538_DWI YUNI ASIH, A.Md., S.Pd. SERTIFIKAT BIMTEK IPASN-BerAKHLAK")</f>
        <v>538_DWI YUNI ASIH, A.Md., S.Pd. SERTIFIKAT BIMTEK IPASN-BerAKHLAK</v>
      </c>
      <c r="T539" s="5" t="s">
        <v>5258</v>
      </c>
    </row>
    <row r="540" hidden="1">
      <c r="A540" s="4">
        <v>45534.321745451394</v>
      </c>
      <c r="B540" s="5" t="s">
        <v>19</v>
      </c>
      <c r="C540" s="5" t="s">
        <v>442</v>
      </c>
      <c r="E540" s="5" t="s">
        <v>5266</v>
      </c>
      <c r="F540" s="5" t="s">
        <v>108</v>
      </c>
      <c r="G540" s="5" t="s">
        <v>5267</v>
      </c>
      <c r="H540" s="6" t="s">
        <v>5268</v>
      </c>
      <c r="I540" s="7" t="s">
        <v>5269</v>
      </c>
      <c r="J540" s="8" t="str">
        <f>HYPERLINK("https://drive.google.com/file/d/1b8zuvHuW1BO8bwl0BMWPfhebreiPmXiC/view?usp=drivesdk","MIFTAHUL FARID, A. Md SERTIFIKAT BerAKHLAK")</f>
        <v>MIFTAHUL FARID, A. Md SERTIFIKAT BerAKHLAK</v>
      </c>
      <c r="K540" s="5" t="s">
        <v>4872</v>
      </c>
      <c r="L540" s="5" t="s">
        <v>5270</v>
      </c>
      <c r="M540" s="5" t="s">
        <v>5271</v>
      </c>
      <c r="N540" s="7" t="s">
        <v>5272</v>
      </c>
      <c r="O540" s="8" t="str">
        <f>HYPERLINK("https://drive.google.com/file/d/1DqgIApARSXSk996MMf6ToTnDGxxZC5lm/view?usp=drivesdk","539_MIFTAHUL FARID, A. Md _ SERTIFIKAT BIMTEK IPASN BerAKHLASK")</f>
        <v>539_MIFTAHUL FARID, A. Md _ SERTIFIKAT BIMTEK IPASN BerAKHLASK</v>
      </c>
      <c r="P540" s="5" t="s">
        <v>5273</v>
      </c>
      <c r="Q540" s="5" t="s">
        <v>5274</v>
      </c>
      <c r="R540" s="7" t="s">
        <v>5275</v>
      </c>
      <c r="S540" s="7" t="str">
        <f>HYPERLINK("https://drive.google.com/file/d/1-F1fBppFybkdoQ-A0NI0-urUsXGOxlJc/view?usp=drivesdk","539_MIFTAHUL FARID, A. Md SERTIFIKAT BIMTEK IPASN-BerAKHLAK")</f>
        <v>539_MIFTAHUL FARID, A. Md SERTIFIKAT BIMTEK IPASN-BerAKHLAK</v>
      </c>
      <c r="T540" s="5" t="s">
        <v>5258</v>
      </c>
    </row>
    <row r="541">
      <c r="A541" s="4">
        <v>45534.32179217592</v>
      </c>
      <c r="B541" s="5" t="s">
        <v>34</v>
      </c>
      <c r="D541" s="5" t="s">
        <v>35</v>
      </c>
      <c r="E541" s="5" t="s">
        <v>5276</v>
      </c>
      <c r="F541" s="5" t="s">
        <v>328</v>
      </c>
      <c r="G541" s="5" t="s">
        <v>5277</v>
      </c>
      <c r="H541" s="6" t="s">
        <v>5278</v>
      </c>
      <c r="I541" s="7" t="s">
        <v>5279</v>
      </c>
      <c r="J541" s="8" t="str">
        <f>HYPERLINK("https://drive.google.com/file/d/1_HX2cJtTrQPc294zOG-57KCOQtOVdqqI/view?usp=drivesdk","MUHAMAD TOPIK, SH SERTIFIKAT BerAKHLAK")</f>
        <v>MUHAMAD TOPIK, SH SERTIFIKAT BerAKHLAK</v>
      </c>
      <c r="K541" s="5" t="s">
        <v>4872</v>
      </c>
      <c r="L541" s="5" t="s">
        <v>5280</v>
      </c>
      <c r="M541" s="5" t="s">
        <v>5281</v>
      </c>
      <c r="N541" s="7" t="s">
        <v>5282</v>
      </c>
      <c r="O541" s="8" t="str">
        <f>HYPERLINK("https://drive.google.com/file/d/17zG_zzSisG-hZ0YMv985XKM6Db8ELkJ6/view?usp=drivesdk","540_MUHAMAD TOPIK, SH _ SERTIFIKAT BIMTEK IPASN BerAKHLASK")</f>
        <v>540_MUHAMAD TOPIK, SH _ SERTIFIKAT BIMTEK IPASN BerAKHLASK</v>
      </c>
      <c r="P541" s="5" t="s">
        <v>5273</v>
      </c>
      <c r="Q541" s="5" t="s">
        <v>5283</v>
      </c>
      <c r="R541" s="7" t="s">
        <v>5284</v>
      </c>
      <c r="S541" s="7" t="str">
        <f>HYPERLINK("https://drive.google.com/file/d/1vP9uj43Ivq3eSeltzEBlm_hQTq9Ys7hs/view?usp=drivesdk","540_MUHAMAD TOPIK, SH SERTIFIKAT BIMTEK IPASN-BerAKHLAK")</f>
        <v>540_MUHAMAD TOPIK, SH SERTIFIKAT BIMTEK IPASN-BerAKHLAK</v>
      </c>
      <c r="T541" s="5" t="s">
        <v>5258</v>
      </c>
    </row>
    <row r="542">
      <c r="A542" s="4">
        <v>45534.321798495366</v>
      </c>
      <c r="B542" s="5" t="s">
        <v>34</v>
      </c>
      <c r="D542" s="5" t="s">
        <v>35</v>
      </c>
      <c r="E542" s="5" t="s">
        <v>5285</v>
      </c>
      <c r="F542" s="5" t="s">
        <v>524</v>
      </c>
      <c r="G542" s="5" t="s">
        <v>5286</v>
      </c>
      <c r="H542" s="6" t="s">
        <v>5287</v>
      </c>
      <c r="I542" s="7" t="s">
        <v>5288</v>
      </c>
      <c r="J542" s="8" t="str">
        <f>HYPERLINK("https://drive.google.com/file/d/1B7f2JxZNxr3lLEd7aZxdF6QbkUPbBE1r/view?usp=drivesdk","WIWIN WINARSIH,Amd.Kep SERTIFIKAT BerAKHLAK")</f>
        <v>WIWIN WINARSIH,Amd.Kep SERTIFIKAT BerAKHLAK</v>
      </c>
      <c r="K542" s="5" t="s">
        <v>4872</v>
      </c>
      <c r="L542" s="5" t="s">
        <v>5289</v>
      </c>
      <c r="M542" s="5" t="s">
        <v>5290</v>
      </c>
      <c r="N542" s="7" t="s">
        <v>5291</v>
      </c>
      <c r="O542" s="8" t="str">
        <f>HYPERLINK("https://drive.google.com/file/d/1hAVsZuDz9qH0aKitjuCqe4-00mmdDsA0/view?usp=drivesdk","541_WIWIN WINARSIH,Amd.Kep _ SERTIFIKAT BIMTEK IPASN BerAKHLASK")</f>
        <v>541_WIWIN WINARSIH,Amd.Kep _ SERTIFIKAT BIMTEK IPASN BerAKHLASK</v>
      </c>
      <c r="P542" s="5" t="s">
        <v>5273</v>
      </c>
      <c r="Q542" s="5" t="s">
        <v>5292</v>
      </c>
      <c r="R542" s="7" t="s">
        <v>5293</v>
      </c>
      <c r="S542" s="7" t="str">
        <f>HYPERLINK("https://drive.google.com/file/d/15v8NsP-6bJBLlwPTdZoh_luui8BsE4c5/view?usp=drivesdk","541_WIWIN WINARSIH,Amd.Kep SERTIFIKAT BIMTEK IPASN-BerAKHLAK")</f>
        <v>541_WIWIN WINARSIH,Amd.Kep SERTIFIKAT BIMTEK IPASN-BerAKHLAK</v>
      </c>
      <c r="T542" s="5" t="s">
        <v>5258</v>
      </c>
    </row>
    <row r="543">
      <c r="A543" s="4">
        <v>45534.32184322916</v>
      </c>
      <c r="B543" s="5" t="s">
        <v>34</v>
      </c>
      <c r="D543" s="5" t="s">
        <v>3849</v>
      </c>
      <c r="E543" s="5" t="s">
        <v>5294</v>
      </c>
      <c r="F543" s="5" t="s">
        <v>375</v>
      </c>
      <c r="G543" s="5" t="s">
        <v>5295</v>
      </c>
      <c r="H543" s="6" t="s">
        <v>5296</v>
      </c>
      <c r="I543" s="7" t="s">
        <v>5297</v>
      </c>
      <c r="J543" s="8" t="str">
        <f>HYPERLINK("https://drive.google.com/file/d/155bDAR04n9MJo3jCK9uG2RvfStYyOlNQ/view?usp=drivesdk","JAHARUDDIN SIREGAR SERTIFIKAT BerAKHLAK")</f>
        <v>JAHARUDDIN SIREGAR SERTIFIKAT BerAKHLAK</v>
      </c>
      <c r="K543" s="5" t="s">
        <v>4872</v>
      </c>
      <c r="L543" s="5" t="s">
        <v>5298</v>
      </c>
      <c r="M543" s="5" t="s">
        <v>5299</v>
      </c>
      <c r="N543" s="7" t="s">
        <v>5300</v>
      </c>
      <c r="O543" s="8" t="str">
        <f>HYPERLINK("https://drive.google.com/file/d/1yXC-yPswAO2N-GSrmJ8lr8fznRZW5rSW/view?usp=drivesdk","542_JAHARUDDIN SIREGAR _ SERTIFIKAT BIMTEK IPASN BerAKHLASK")</f>
        <v>542_JAHARUDDIN SIREGAR _ SERTIFIKAT BIMTEK IPASN BerAKHLASK</v>
      </c>
      <c r="P543" s="5" t="s">
        <v>5273</v>
      </c>
      <c r="Q543" s="5" t="s">
        <v>5301</v>
      </c>
      <c r="R543" s="7" t="s">
        <v>5302</v>
      </c>
      <c r="S543" s="7" t="str">
        <f>HYPERLINK("https://drive.google.com/file/d/12dYUHx718sUtSeCXhXHKEAnSQFUwvQES/view?usp=drivesdk","542_JAHARUDDIN SIREGAR SERTIFIKAT BIMTEK IPASN-BerAKHLAK")</f>
        <v>542_JAHARUDDIN SIREGAR SERTIFIKAT BIMTEK IPASN-BerAKHLAK</v>
      </c>
      <c r="T543" s="5" t="s">
        <v>5303</v>
      </c>
    </row>
    <row r="544">
      <c r="A544" s="4">
        <v>45534.32186175926</v>
      </c>
      <c r="B544" s="5" t="s">
        <v>34</v>
      </c>
      <c r="D544" s="5" t="s">
        <v>1206</v>
      </c>
      <c r="E544" s="5" t="s">
        <v>5304</v>
      </c>
      <c r="F544" s="5" t="s">
        <v>212</v>
      </c>
      <c r="G544" s="5" t="s">
        <v>5305</v>
      </c>
      <c r="H544" s="6" t="s">
        <v>5306</v>
      </c>
      <c r="I544" s="7" t="s">
        <v>5307</v>
      </c>
      <c r="J544" s="8" t="str">
        <f>HYPERLINK("https://drive.google.com/file/d/1J9_xQzoVpVNgL8zhS_DIpja6-9tikxST/view?usp=drivesdk","NANIK SIMOLANG  SERTIFIKAT BerAKHLAK")</f>
        <v>NANIK SIMOLANG  SERTIFIKAT BerAKHLAK</v>
      </c>
      <c r="K544" s="5" t="s">
        <v>4872</v>
      </c>
      <c r="L544" s="5" t="s">
        <v>5308</v>
      </c>
      <c r="M544" s="5" t="s">
        <v>5309</v>
      </c>
      <c r="N544" s="7" t="s">
        <v>5310</v>
      </c>
      <c r="O544" s="8" t="str">
        <f>HYPERLINK("https://drive.google.com/file/d/1qc-AvkYHry7FZ_u0YCadjRlAgVvqmvtO/view?usp=drivesdk","543_NANIK SIMOLANG  _ SERTIFIKAT BIMTEK IPASN BerAKHLASK")</f>
        <v>543_NANIK SIMOLANG  _ SERTIFIKAT BIMTEK IPASN BerAKHLASK</v>
      </c>
      <c r="P544" s="5" t="s">
        <v>5273</v>
      </c>
      <c r="Q544" s="5" t="s">
        <v>5311</v>
      </c>
      <c r="R544" s="7" t="s">
        <v>5312</v>
      </c>
      <c r="S544" s="7" t="str">
        <f>HYPERLINK("https://drive.google.com/file/d/1ri1dQcHH28OgnLIjamJzMxBNqrn4dqXA/view?usp=drivesdk","543_NANIK SIMOLANG  SERTIFIKAT BIMTEK IPASN-BerAKHLAK")</f>
        <v>543_NANIK SIMOLANG  SERTIFIKAT BIMTEK IPASN-BerAKHLAK</v>
      </c>
      <c r="T544" s="5" t="s">
        <v>5303</v>
      </c>
    </row>
    <row r="545">
      <c r="A545" s="4">
        <v>45534.32186393518</v>
      </c>
      <c r="B545" s="5" t="s">
        <v>34</v>
      </c>
      <c r="D545" s="5" t="s">
        <v>3849</v>
      </c>
      <c r="E545" s="5" t="s">
        <v>5313</v>
      </c>
      <c r="F545" s="5" t="s">
        <v>212</v>
      </c>
      <c r="G545" s="5" t="s">
        <v>5314</v>
      </c>
      <c r="H545" s="6" t="s">
        <v>5315</v>
      </c>
      <c r="I545" s="7" t="s">
        <v>5316</v>
      </c>
      <c r="J545" s="8" t="str">
        <f>HYPERLINK("https://drive.google.com/file/d/1pMmA3H93Nl1B0fQh6JY9xc5-BhkmIkhR/view?usp=drivesdk","ADI DAYA PUTRA, AMD. KEP SERTIFIKAT BerAKHLAK")</f>
        <v>ADI DAYA PUTRA, AMD. KEP SERTIFIKAT BerAKHLAK</v>
      </c>
      <c r="K545" s="5" t="s">
        <v>4872</v>
      </c>
      <c r="L545" s="5" t="s">
        <v>5317</v>
      </c>
      <c r="M545" s="5" t="s">
        <v>5318</v>
      </c>
      <c r="N545" s="7" t="s">
        <v>5319</v>
      </c>
      <c r="O545" s="8" t="str">
        <f>HYPERLINK("https://drive.google.com/file/d/1YRDLv2RgvndkIcLqv7dLYk7qTJolh7Cx/view?usp=drivesdk","544_ADI DAYA PUTRA, AMD. KEP _ SERTIFIKAT BIMTEK IPASN BerAKHLASK")</f>
        <v>544_ADI DAYA PUTRA, AMD. KEP _ SERTIFIKAT BIMTEK IPASN BerAKHLASK</v>
      </c>
      <c r="P545" s="5" t="s">
        <v>5273</v>
      </c>
      <c r="Q545" s="5" t="s">
        <v>5320</v>
      </c>
      <c r="R545" s="7" t="s">
        <v>5321</v>
      </c>
      <c r="S545" s="7" t="str">
        <f>HYPERLINK("https://drive.google.com/file/d/1w-Mb1HkdkbA25ao7FplFSav0sscMVG76/view?usp=drivesdk","544_ADI DAYA PUTRA, AMD. KEP SERTIFIKAT BIMTEK IPASN-BerAKHLAK")</f>
        <v>544_ADI DAYA PUTRA, AMD. KEP SERTIFIKAT BIMTEK IPASN-BerAKHLAK</v>
      </c>
      <c r="T545" s="5" t="s">
        <v>5303</v>
      </c>
    </row>
    <row r="546">
      <c r="A546" s="4">
        <v>45534.32188001157</v>
      </c>
      <c r="B546" s="5" t="s">
        <v>34</v>
      </c>
      <c r="D546" s="5" t="s">
        <v>580</v>
      </c>
      <c r="E546" s="5" t="s">
        <v>5322</v>
      </c>
      <c r="F546" s="5" t="s">
        <v>37</v>
      </c>
      <c r="G546" s="5" t="s">
        <v>5323</v>
      </c>
      <c r="H546" s="6" t="s">
        <v>5324</v>
      </c>
      <c r="I546" s="7" t="s">
        <v>5325</v>
      </c>
      <c r="J546" s="8" t="str">
        <f>HYPERLINK("https://drive.google.com/file/d/1yRM7PMjJmp9V2dth5_R4EYPWrfFH18v6/view?usp=drivesdk","NYOMAN ASRIMINI SERTIFIKAT BerAKHLAK")</f>
        <v>NYOMAN ASRIMINI SERTIFIKAT BerAKHLAK</v>
      </c>
      <c r="K546" s="5" t="s">
        <v>5156</v>
      </c>
      <c r="L546" s="5" t="s">
        <v>5326</v>
      </c>
      <c r="M546" s="5" t="s">
        <v>5327</v>
      </c>
      <c r="N546" s="7" t="s">
        <v>5328</v>
      </c>
      <c r="O546" s="8" t="str">
        <f>HYPERLINK("https://drive.google.com/file/d/1RDRVw54pUc5K54lU8hiW4Ah2cy1eMSMW/view?usp=drivesdk","545_NYOMAN ASRIMINI _ SERTIFIKAT BIMTEK IPASN BerAKHLASK")</f>
        <v>545_NYOMAN ASRIMINI _ SERTIFIKAT BIMTEK IPASN BerAKHLASK</v>
      </c>
      <c r="P546" s="5" t="s">
        <v>5329</v>
      </c>
      <c r="Q546" s="5" t="s">
        <v>5330</v>
      </c>
      <c r="R546" s="7" t="s">
        <v>5331</v>
      </c>
      <c r="S546" s="7" t="str">
        <f>HYPERLINK("https://drive.google.com/file/d/1mx0u0nsWLnUm99fBGQY2JThfb-O6TixR/view?usp=drivesdk","545_NYOMAN ASRIMINI SERTIFIKAT BIMTEK IPASN-BerAKHLAK")</f>
        <v>545_NYOMAN ASRIMINI SERTIFIKAT BIMTEK IPASN-BerAKHLAK</v>
      </c>
      <c r="T546" s="5" t="s">
        <v>5303</v>
      </c>
    </row>
    <row r="547">
      <c r="A547" s="4">
        <v>45534.321880937496</v>
      </c>
      <c r="B547" s="5" t="s">
        <v>34</v>
      </c>
      <c r="D547" s="5" t="s">
        <v>3849</v>
      </c>
      <c r="E547" s="5" t="s">
        <v>5332</v>
      </c>
      <c r="F547" s="5" t="s">
        <v>37</v>
      </c>
      <c r="G547" s="5" t="s">
        <v>5333</v>
      </c>
      <c r="H547" s="6" t="s">
        <v>5334</v>
      </c>
      <c r="I547" s="7" t="s">
        <v>5335</v>
      </c>
      <c r="J547" s="8" t="str">
        <f>HYPERLINK("https://drive.google.com/file/d/1pT_iO7SI6HjXN_dhGzK1lj9TBZ_XeSlZ/view?usp=drivesdk","KARTIKAYANTI SERTIFIKAT BerAKHLAK")</f>
        <v>KARTIKAYANTI SERTIFIKAT BerAKHLAK</v>
      </c>
      <c r="K547" s="5" t="s">
        <v>5156</v>
      </c>
      <c r="L547" s="5" t="s">
        <v>5336</v>
      </c>
      <c r="M547" s="5" t="s">
        <v>5337</v>
      </c>
      <c r="N547" s="7" t="s">
        <v>5338</v>
      </c>
      <c r="O547" s="8" t="str">
        <f>HYPERLINK("https://drive.google.com/file/d/1I3Z9-XLQQP--d23yX8jnSYySruOaWYrP/view?usp=drivesdk","546_KARTIKAYANTI _ SERTIFIKAT BIMTEK IPASN BerAKHLASK")</f>
        <v>546_KARTIKAYANTI _ SERTIFIKAT BIMTEK IPASN BerAKHLASK</v>
      </c>
      <c r="P547" s="5" t="s">
        <v>5329</v>
      </c>
      <c r="Q547" s="5" t="s">
        <v>5339</v>
      </c>
      <c r="R547" s="7" t="s">
        <v>5340</v>
      </c>
      <c r="S547" s="7" t="str">
        <f>HYPERLINK("https://drive.google.com/file/d/10SNlTbYlMVlcIqFPNhLOBCKtZ5sKlus1/view?usp=drivesdk","546_KARTIKAYANTI SERTIFIKAT BIMTEK IPASN-BerAKHLAK")</f>
        <v>546_KARTIKAYANTI SERTIFIKAT BIMTEK IPASN-BerAKHLAK</v>
      </c>
      <c r="T547" s="5" t="s">
        <v>5303</v>
      </c>
    </row>
    <row r="548">
      <c r="A548" s="4">
        <v>45534.32191155093</v>
      </c>
      <c r="B548" s="5" t="s">
        <v>34</v>
      </c>
      <c r="D548" s="5" t="s">
        <v>522</v>
      </c>
      <c r="E548" s="5" t="s">
        <v>2938</v>
      </c>
      <c r="F548" s="5" t="s">
        <v>524</v>
      </c>
      <c r="G548" s="5" t="s">
        <v>5341</v>
      </c>
      <c r="H548" s="6" t="s">
        <v>5342</v>
      </c>
      <c r="I548" s="7" t="s">
        <v>5343</v>
      </c>
      <c r="J548" s="8" t="str">
        <f>HYPERLINK("https://drive.google.com/file/d/1hZfrKGRTe27qDXQfRsEhKzmlHcIi7ZbK/view?usp=drivesdk","TRI HANDAYANI SERTIFIKAT BerAKHLAK")</f>
        <v>TRI HANDAYANI SERTIFIKAT BerAKHLAK</v>
      </c>
      <c r="K548" s="5" t="s">
        <v>4872</v>
      </c>
      <c r="L548" s="5" t="s">
        <v>5344</v>
      </c>
      <c r="M548" s="5" t="s">
        <v>5345</v>
      </c>
      <c r="N548" s="7" t="s">
        <v>5346</v>
      </c>
      <c r="O548" s="8" t="str">
        <f>HYPERLINK("https://drive.google.com/file/d/1C_KUe24p7813wm2-yncV_LGYLsODXEvr/view?usp=drivesdk","547_TRI HANDAYANI _ SERTIFIKAT BIMTEK IPASN BerAKHLASK")</f>
        <v>547_TRI HANDAYANI _ SERTIFIKAT BIMTEK IPASN BerAKHLASK</v>
      </c>
      <c r="P548" s="5" t="s">
        <v>5329</v>
      </c>
      <c r="Q548" s="5" t="s">
        <v>5347</v>
      </c>
      <c r="R548" s="7" t="s">
        <v>5348</v>
      </c>
      <c r="S548" s="7" t="str">
        <f>HYPERLINK("https://drive.google.com/file/d/1_CXk66GPfZtV8nr0LFBQkPtjGHUUtDoe/view?usp=drivesdk","547_TRI HANDAYANI SERTIFIKAT BIMTEK IPASN-BerAKHLAK")</f>
        <v>547_TRI HANDAYANI SERTIFIKAT BIMTEK IPASN-BerAKHLAK</v>
      </c>
      <c r="T548" s="5" t="s">
        <v>5303</v>
      </c>
    </row>
    <row r="549">
      <c r="A549" s="4">
        <v>45534.32191894676</v>
      </c>
      <c r="B549" s="5" t="s">
        <v>34</v>
      </c>
      <c r="D549" s="5" t="s">
        <v>35</v>
      </c>
      <c r="E549" s="5" t="s">
        <v>5349</v>
      </c>
      <c r="F549" s="5" t="s">
        <v>37</v>
      </c>
      <c r="G549" s="5" t="s">
        <v>5350</v>
      </c>
      <c r="H549" s="6" t="s">
        <v>5351</v>
      </c>
      <c r="I549" s="7" t="s">
        <v>5352</v>
      </c>
      <c r="J549" s="8" t="str">
        <f>HYPERLINK("https://drive.google.com/file/d/1u_aaqLOznwGDjS-0vEEg7V2ZscJVliwT/view?usp=drivesdk","CAHYUTI HENDRANINGSIH, A.Md.Kep SERTIFIKAT BerAKHLAK")</f>
        <v>CAHYUTI HENDRANINGSIH, A.Md.Kep SERTIFIKAT BerAKHLAK</v>
      </c>
      <c r="K549" s="5" t="s">
        <v>5156</v>
      </c>
      <c r="L549" s="5" t="s">
        <v>5353</v>
      </c>
      <c r="M549" s="5" t="s">
        <v>5354</v>
      </c>
      <c r="N549" s="7" t="s">
        <v>5355</v>
      </c>
      <c r="O549" s="8" t="str">
        <f>HYPERLINK("https://drive.google.com/file/d/1sR9sOUuxdZahuPND_XNip7eMd5qMWQsb/view?usp=drivesdk","548_CAHYUTI HENDRANINGSIH, A.Md.Kep _ SERTIFIKAT BIMTEK IPASN BerAKHLASK")</f>
        <v>548_CAHYUTI HENDRANINGSIH, A.Md.Kep _ SERTIFIKAT BIMTEK IPASN BerAKHLASK</v>
      </c>
      <c r="P549" s="5" t="s">
        <v>5329</v>
      </c>
      <c r="Q549" s="5" t="s">
        <v>5356</v>
      </c>
      <c r="R549" s="7" t="s">
        <v>5357</v>
      </c>
      <c r="S549" s="7" t="str">
        <f>HYPERLINK("https://drive.google.com/file/d/1NfM4lQXAes4Aj4twfD5HhBP6F1WSjRZ_/view?usp=drivesdk","548_CAHYUTI HENDRANINGSIH, A.Md.Kep SERTIFIKAT BIMTEK IPASN-BerAKHLAK")</f>
        <v>548_CAHYUTI HENDRANINGSIH, A.Md.Kep SERTIFIKAT BIMTEK IPASN-BerAKHLAK</v>
      </c>
      <c r="T549" s="5" t="s">
        <v>5303</v>
      </c>
    </row>
    <row r="550">
      <c r="A550" s="4">
        <v>45534.32193958333</v>
      </c>
      <c r="B550" s="5" t="s">
        <v>34</v>
      </c>
      <c r="D550" s="5" t="s">
        <v>1206</v>
      </c>
      <c r="E550" s="5" t="s">
        <v>5358</v>
      </c>
      <c r="F550" s="5" t="s">
        <v>37</v>
      </c>
      <c r="G550" s="5" t="s">
        <v>5359</v>
      </c>
      <c r="H550" s="6" t="s">
        <v>5360</v>
      </c>
      <c r="I550" s="7" t="s">
        <v>5361</v>
      </c>
      <c r="J550" s="8" t="str">
        <f>HYPERLINK("https://drive.google.com/file/d/19GyUUvLBaQzkXUMMbjuAT3JBtG9ya3qm/view?usp=drivesdk","AVIV ACHMAD ROZAQ  SERTIFIKAT BerAKHLAK")</f>
        <v>AVIV ACHMAD ROZAQ  SERTIFIKAT BerAKHLAK</v>
      </c>
      <c r="K550" s="5" t="s">
        <v>4872</v>
      </c>
      <c r="L550" s="5" t="s">
        <v>5362</v>
      </c>
      <c r="M550" s="5" t="s">
        <v>5363</v>
      </c>
      <c r="N550" s="7" t="s">
        <v>5364</v>
      </c>
      <c r="O550" s="8" t="str">
        <f>HYPERLINK("https://drive.google.com/file/d/1iZD0PkdGigYLQW0ZhTLeJGR5X7SELV3Q/view?usp=drivesdk","549_AVIV ACHMAD ROZAQ  _ SERTIFIKAT BIMTEK IPASN BerAKHLASK")</f>
        <v>549_AVIV ACHMAD ROZAQ  _ SERTIFIKAT BIMTEK IPASN BerAKHLASK</v>
      </c>
      <c r="P550" s="5" t="s">
        <v>5329</v>
      </c>
      <c r="Q550" s="5" t="s">
        <v>5365</v>
      </c>
      <c r="R550" s="7" t="s">
        <v>5366</v>
      </c>
      <c r="S550" s="7" t="str">
        <f>HYPERLINK("https://drive.google.com/file/d/1ET6UW8OdnhXzReWA66md_fei2FXRI6X7/view?usp=drivesdk","549_AVIV ACHMAD ROZAQ  SERTIFIKAT BIMTEK IPASN-BerAKHLAK")</f>
        <v>549_AVIV ACHMAD ROZAQ  SERTIFIKAT BIMTEK IPASN-BerAKHLAK</v>
      </c>
      <c r="T550" s="5" t="s">
        <v>5367</v>
      </c>
    </row>
    <row r="551">
      <c r="A551" s="4">
        <v>45534.3219446875</v>
      </c>
      <c r="B551" s="5" t="s">
        <v>34</v>
      </c>
      <c r="D551" s="5" t="s">
        <v>522</v>
      </c>
      <c r="E551" s="5" t="s">
        <v>5368</v>
      </c>
      <c r="F551" s="5" t="s">
        <v>37</v>
      </c>
      <c r="G551" s="5" t="s">
        <v>5369</v>
      </c>
      <c r="H551" s="6" t="s">
        <v>5370</v>
      </c>
      <c r="I551" s="7" t="s">
        <v>5371</v>
      </c>
      <c r="J551" s="8" t="str">
        <f>HYPERLINK("https://drive.google.com/file/d/165rTPMRkT3QB1ZDQWQE7IeXk4YTUYhnJ/view?usp=drivesdk","ELVA PRATIWI, A.Md.Kep. SERTIFIKAT BerAKHLAK")</f>
        <v>ELVA PRATIWI, A.Md.Kep. SERTIFIKAT BerAKHLAK</v>
      </c>
      <c r="K551" s="5" t="s">
        <v>4872</v>
      </c>
      <c r="L551" s="5" t="s">
        <v>5372</v>
      </c>
      <c r="M551" s="5" t="s">
        <v>5373</v>
      </c>
      <c r="N551" s="7" t="s">
        <v>5374</v>
      </c>
      <c r="O551" s="8" t="str">
        <f>HYPERLINK("https://drive.google.com/file/d/1mWKr0dAT1W2q6mRuefSDPNgSO4GS8iTB/view?usp=drivesdk","550_ELVA PRATIWI, A.Md.Kep. _ SERTIFIKAT BIMTEK IPASN BerAKHLASK")</f>
        <v>550_ELVA PRATIWI, A.Md.Kep. _ SERTIFIKAT BIMTEK IPASN BerAKHLASK</v>
      </c>
      <c r="P551" s="5" t="s">
        <v>5329</v>
      </c>
      <c r="Q551" s="5" t="s">
        <v>5375</v>
      </c>
      <c r="R551" s="7" t="s">
        <v>5376</v>
      </c>
      <c r="S551" s="7" t="str">
        <f>HYPERLINK("https://drive.google.com/file/d/1bf3-tVFLMVJgMz-YGsFIFGCAjGqLxQCj/view?usp=drivesdk","550_ELVA PRATIWI, A.Md.Kep. SERTIFIKAT BIMTEK IPASN-BerAKHLAK")</f>
        <v>550_ELVA PRATIWI, A.Md.Kep. SERTIFIKAT BIMTEK IPASN-BerAKHLAK</v>
      </c>
      <c r="T551" s="5" t="s">
        <v>5367</v>
      </c>
    </row>
    <row r="552">
      <c r="A552" s="4">
        <v>45534.321964305556</v>
      </c>
      <c r="B552" s="5" t="s">
        <v>34</v>
      </c>
      <c r="D552" s="5" t="s">
        <v>1206</v>
      </c>
      <c r="E552" s="5" t="s">
        <v>5377</v>
      </c>
      <c r="F552" s="5" t="s">
        <v>37</v>
      </c>
      <c r="G552" s="5" t="s">
        <v>5378</v>
      </c>
      <c r="H552" s="6" t="s">
        <v>5379</v>
      </c>
      <c r="I552" s="7" t="s">
        <v>5380</v>
      </c>
      <c r="J552" s="8" t="str">
        <f>HYPERLINK("https://drive.google.com/file/d/1xBriVpNBXgBSLUlZHzsy1imuxsn6UeC6/view?usp=drivesdk","HERRYPURNOMO SERTIFIKAT BerAKHLAK")</f>
        <v>HERRYPURNOMO SERTIFIKAT BerAKHLAK</v>
      </c>
      <c r="K552" s="5" t="s">
        <v>4872</v>
      </c>
      <c r="L552" s="5" t="s">
        <v>5381</v>
      </c>
      <c r="M552" s="5" t="s">
        <v>5382</v>
      </c>
      <c r="N552" s="7" t="s">
        <v>5383</v>
      </c>
      <c r="O552" s="8" t="str">
        <f>HYPERLINK("https://drive.google.com/file/d/1OkCa0GARIehI0K7GaPwuuXW6xNo-91Cf/view?usp=drivesdk","551_HERRYPURNOMO _ SERTIFIKAT BIMTEK IPASN BerAKHLASK")</f>
        <v>551_HERRYPURNOMO _ SERTIFIKAT BIMTEK IPASN BerAKHLASK</v>
      </c>
      <c r="P552" s="5" t="s">
        <v>5384</v>
      </c>
      <c r="Q552" s="5" t="s">
        <v>5385</v>
      </c>
      <c r="R552" s="7" t="s">
        <v>5386</v>
      </c>
      <c r="S552" s="7" t="str">
        <f>HYPERLINK("https://drive.google.com/file/d/1z4biIZ3BGercGxAAWGp-0nXvXeV_Hknu/view?usp=drivesdk","551_HERRYPURNOMO SERTIFIKAT BIMTEK IPASN-BerAKHLAK")</f>
        <v>551_HERRYPURNOMO SERTIFIKAT BIMTEK IPASN-BerAKHLAK</v>
      </c>
      <c r="T552" s="5" t="s">
        <v>5367</v>
      </c>
    </row>
    <row r="553">
      <c r="A553" s="4">
        <v>45534.32197619213</v>
      </c>
      <c r="B553" s="5" t="s">
        <v>34</v>
      </c>
      <c r="D553" s="5" t="s">
        <v>1692</v>
      </c>
      <c r="E553" s="5" t="s">
        <v>5387</v>
      </c>
      <c r="F553" s="5" t="s">
        <v>108</v>
      </c>
      <c r="G553" s="5" t="s">
        <v>5388</v>
      </c>
      <c r="H553" s="6" t="s">
        <v>5389</v>
      </c>
      <c r="I553" s="7" t="s">
        <v>5390</v>
      </c>
      <c r="J553" s="8" t="str">
        <f>HYPERLINK("https://drive.google.com/file/d/1De4heUCNZrBHtK_HwtWxFg5ojku0LET9/view?usp=drivesdk","LODIA LIENCE BARAGAIN SERTIFIKAT BerAKHLAK")</f>
        <v>LODIA LIENCE BARAGAIN SERTIFIKAT BerAKHLAK</v>
      </c>
      <c r="K553" s="5" t="s">
        <v>5156</v>
      </c>
      <c r="L553" s="5" t="s">
        <v>5391</v>
      </c>
      <c r="M553" s="5" t="s">
        <v>5392</v>
      </c>
      <c r="N553" s="7" t="s">
        <v>5393</v>
      </c>
      <c r="O553" s="8" t="str">
        <f>HYPERLINK("https://drive.google.com/file/d/16VWlb5j8WuKIv_B1qXmg_XDxYDufSASr/view?usp=drivesdk","552_LODIA LIENCE BARAGAIN _ SERTIFIKAT BIMTEK IPASN BerAKHLASK")</f>
        <v>552_LODIA LIENCE BARAGAIN _ SERTIFIKAT BIMTEK IPASN BerAKHLASK</v>
      </c>
      <c r="P553" s="5" t="s">
        <v>5384</v>
      </c>
      <c r="Q553" s="5" t="s">
        <v>5394</v>
      </c>
      <c r="R553" s="7" t="s">
        <v>5395</v>
      </c>
      <c r="S553" s="7" t="str">
        <f>HYPERLINK("https://drive.google.com/file/d/1w0cfVpG7w47HOCq_ZozpOxEX_mfRbS5k/view?usp=drivesdk","552_LODIA LIENCE BARAGAIN SERTIFIKAT BIMTEK IPASN-BerAKHLAK")</f>
        <v>552_LODIA LIENCE BARAGAIN SERTIFIKAT BIMTEK IPASN-BerAKHLAK</v>
      </c>
      <c r="T553" s="5" t="s">
        <v>5367</v>
      </c>
    </row>
    <row r="554">
      <c r="A554" s="4">
        <v>45534.32203674769</v>
      </c>
      <c r="B554" s="5" t="s">
        <v>34</v>
      </c>
      <c r="D554" s="5" t="s">
        <v>1206</v>
      </c>
      <c r="E554" s="5" t="s">
        <v>5396</v>
      </c>
      <c r="F554" s="5" t="s">
        <v>212</v>
      </c>
      <c r="G554" s="5" t="s">
        <v>5397</v>
      </c>
      <c r="H554" s="6" t="s">
        <v>5398</v>
      </c>
      <c r="I554" s="7" t="s">
        <v>5399</v>
      </c>
      <c r="J554" s="8" t="str">
        <f>HYPERLINK("https://drive.google.com/file/d/1fzcckGQbCI4yv9AMsG1yrq_GMGJsMMuT/view?usp=drivesdk","SITI MUSAROFAH SERTIFIKAT BerAKHLAK")</f>
        <v>SITI MUSAROFAH SERTIFIKAT BerAKHLAK</v>
      </c>
      <c r="K554" s="5" t="s">
        <v>4872</v>
      </c>
      <c r="L554" s="5" t="s">
        <v>5400</v>
      </c>
      <c r="M554" s="5" t="s">
        <v>5401</v>
      </c>
      <c r="N554" s="7" t="s">
        <v>5402</v>
      </c>
      <c r="O554" s="8" t="str">
        <f>HYPERLINK("https://drive.google.com/file/d/1o69v7_91OIRNR8VMvO37fsxZK3myMADd/view?usp=drivesdk","553_SITI MUSAROFAH _ SERTIFIKAT BIMTEK IPASN BerAKHLASK")</f>
        <v>553_SITI MUSAROFAH _ SERTIFIKAT BIMTEK IPASN BerAKHLASK</v>
      </c>
      <c r="P554" s="5" t="s">
        <v>5384</v>
      </c>
      <c r="Q554" s="5" t="s">
        <v>5403</v>
      </c>
      <c r="R554" s="7" t="s">
        <v>5404</v>
      </c>
      <c r="S554" s="7" t="str">
        <f>HYPERLINK("https://drive.google.com/file/d/1gYxTg3nOg13Pv56aeRF60i_jxFy8lI4N/view?usp=drivesdk","553_SITI MUSAROFAH SERTIFIKAT BIMTEK IPASN-BerAKHLAK")</f>
        <v>553_SITI MUSAROFAH SERTIFIKAT BIMTEK IPASN-BerAKHLAK</v>
      </c>
      <c r="T554" s="5" t="s">
        <v>5367</v>
      </c>
    </row>
    <row r="555">
      <c r="A555" s="4">
        <v>45534.32203855324</v>
      </c>
      <c r="B555" s="5" t="s">
        <v>34</v>
      </c>
      <c r="D555" s="5" t="s">
        <v>280</v>
      </c>
      <c r="E555" s="5" t="s">
        <v>5405</v>
      </c>
      <c r="F555" s="5" t="s">
        <v>524</v>
      </c>
      <c r="G555" s="5" t="s">
        <v>5406</v>
      </c>
      <c r="H555" s="6" t="s">
        <v>5407</v>
      </c>
      <c r="I555" s="7" t="s">
        <v>5408</v>
      </c>
      <c r="J555" s="8" t="str">
        <f>HYPERLINK("https://drive.google.com/file/d/12ZkSjvodCaHuIADZAEfGnekozn4yHDTv/view?usp=drivesdk","SINDI ANDIKA PUTRI,S.Kep SERTIFIKAT BerAKHLAK")</f>
        <v>SINDI ANDIKA PUTRI,S.Kep SERTIFIKAT BerAKHLAK</v>
      </c>
      <c r="K555" s="5" t="s">
        <v>5156</v>
      </c>
      <c r="L555" s="5" t="s">
        <v>5409</v>
      </c>
      <c r="M555" s="5" t="s">
        <v>5410</v>
      </c>
      <c r="N555" s="7" t="s">
        <v>5411</v>
      </c>
      <c r="O555" s="8" t="str">
        <f>HYPERLINK("https://drive.google.com/file/d/1dl0w4l8tbcuf2uNBNQlm5Y1X027kIkLA/view?usp=drivesdk","554_SINDI ANDIKA PUTRI,S.Kep _ SERTIFIKAT BIMTEK IPASN BerAKHLASK")</f>
        <v>554_SINDI ANDIKA PUTRI,S.Kep _ SERTIFIKAT BIMTEK IPASN BerAKHLASK</v>
      </c>
      <c r="P555" s="5" t="s">
        <v>5384</v>
      </c>
      <c r="Q555" s="5" t="s">
        <v>5412</v>
      </c>
      <c r="R555" s="7" t="s">
        <v>5413</v>
      </c>
      <c r="S555" s="7" t="str">
        <f>HYPERLINK("https://drive.google.com/file/d/1TRRMPAbQNhy6n7P5GjhZCjQc0lZYNRk0/view?usp=drivesdk","554_SINDI ANDIKA PUTRI,S.Kep SERTIFIKAT BIMTEK IPASN-BerAKHLAK")</f>
        <v>554_SINDI ANDIKA PUTRI,S.Kep SERTIFIKAT BIMTEK IPASN-BerAKHLAK</v>
      </c>
      <c r="T555" s="5" t="s">
        <v>5414</v>
      </c>
    </row>
    <row r="556">
      <c r="A556" s="4">
        <v>45534.32208146991</v>
      </c>
      <c r="B556" s="5" t="s">
        <v>34</v>
      </c>
      <c r="D556" s="5" t="s">
        <v>35</v>
      </c>
      <c r="E556" s="5" t="s">
        <v>5415</v>
      </c>
      <c r="F556" s="5" t="s">
        <v>212</v>
      </c>
      <c r="G556" s="5" t="s">
        <v>5416</v>
      </c>
      <c r="H556" s="6" t="s">
        <v>5417</v>
      </c>
      <c r="I556" s="7" t="s">
        <v>5418</v>
      </c>
      <c r="J556" s="8" t="str">
        <f>HYPERLINK("https://drive.google.com/file/d/1_to9cSqjdRhbyGVov9DMmetVxchVuTMC/view?usp=drivesdk","ARTIASIH SEPTIANI Amd. Kep SERTIFIKAT BerAKHLAK")</f>
        <v>ARTIASIH SEPTIANI Amd. Kep SERTIFIKAT BerAKHLAK</v>
      </c>
      <c r="K556" s="5" t="s">
        <v>4872</v>
      </c>
      <c r="L556" s="5" t="s">
        <v>5419</v>
      </c>
      <c r="M556" s="5" t="s">
        <v>5420</v>
      </c>
      <c r="N556" s="7" t="s">
        <v>5421</v>
      </c>
      <c r="O556" s="8" t="str">
        <f>HYPERLINK("https://drive.google.com/file/d/1LGZA4CKA2bN_S9fmcS4-MfEwMMpERZe7/view?usp=drivesdk","555_ARTIASIH SEPTIANI Amd. Kep _ SERTIFIKAT BIMTEK IPASN BerAKHLASK")</f>
        <v>555_ARTIASIH SEPTIANI Amd. Kep _ SERTIFIKAT BIMTEK IPASN BerAKHLASK</v>
      </c>
      <c r="P556" s="5" t="s">
        <v>5384</v>
      </c>
      <c r="Q556" s="5" t="s">
        <v>5422</v>
      </c>
      <c r="R556" s="7" t="s">
        <v>5423</v>
      </c>
      <c r="S556" s="7" t="str">
        <f>HYPERLINK("https://drive.google.com/file/d/1lGQDoIQsn0eFT3GO0t8E0-EqHhor_SX3/view?usp=drivesdk","555_ARTIASIH SEPTIANI Amd. Kep SERTIFIKAT BIMTEK IPASN-BerAKHLAK")</f>
        <v>555_ARTIASIH SEPTIANI Amd. Kep SERTIFIKAT BIMTEK IPASN-BerAKHLAK</v>
      </c>
      <c r="T556" s="5" t="s">
        <v>5414</v>
      </c>
    </row>
    <row r="557">
      <c r="A557" s="4">
        <v>45534.322082314815</v>
      </c>
      <c r="B557" s="5" t="s">
        <v>34</v>
      </c>
      <c r="D557" s="5" t="s">
        <v>1206</v>
      </c>
      <c r="E557" s="5" t="s">
        <v>5424</v>
      </c>
      <c r="F557" s="5" t="s">
        <v>199</v>
      </c>
      <c r="G557" s="5" t="s">
        <v>5425</v>
      </c>
      <c r="H557" s="6" t="s">
        <v>5426</v>
      </c>
      <c r="I557" s="7" t="s">
        <v>5427</v>
      </c>
      <c r="J557" s="8" t="str">
        <f>HYPERLINK("https://drive.google.com/file/d/1OJhhJGVHReLLvLNmHeUJkdEk-Jowuves/view?usp=drivesdk","R MOH SYAMSUL ARIFIN  SERTIFIKAT BerAKHLAK")</f>
        <v>R MOH SYAMSUL ARIFIN  SERTIFIKAT BerAKHLAK</v>
      </c>
      <c r="K557" s="5" t="s">
        <v>5156</v>
      </c>
      <c r="L557" s="5" t="s">
        <v>5428</v>
      </c>
      <c r="M557" s="5" t="s">
        <v>5429</v>
      </c>
      <c r="N557" s="7" t="s">
        <v>5430</v>
      </c>
      <c r="O557" s="8" t="str">
        <f>HYPERLINK("https://drive.google.com/file/d/1eFwRtbV6LxJukAsoj7u0_QKkjtMbZDcx/view?usp=drivesdk","556_R MOH SYAMSUL ARIFIN  _ SERTIFIKAT BIMTEK IPASN BerAKHLASK")</f>
        <v>556_R MOH SYAMSUL ARIFIN  _ SERTIFIKAT BIMTEK IPASN BerAKHLASK</v>
      </c>
      <c r="P557" s="5" t="s">
        <v>5431</v>
      </c>
      <c r="Q557" s="5" t="s">
        <v>5432</v>
      </c>
      <c r="R557" s="7" t="s">
        <v>5433</v>
      </c>
      <c r="S557" s="7" t="str">
        <f>HYPERLINK("https://drive.google.com/file/d/1Ux_TpzU15h6q-8UWGqaqAzdVlkSDj2JF/view?usp=drivesdk","556_R MOH SYAMSUL ARIFIN  SERTIFIKAT BIMTEK IPASN-BerAKHLAK")</f>
        <v>556_R MOH SYAMSUL ARIFIN  SERTIFIKAT BIMTEK IPASN-BerAKHLAK</v>
      </c>
      <c r="T557" s="5" t="s">
        <v>5414</v>
      </c>
    </row>
    <row r="558">
      <c r="A558" s="4">
        <v>45534.32214730324</v>
      </c>
      <c r="B558" s="5" t="s">
        <v>34</v>
      </c>
      <c r="D558" s="5" t="s">
        <v>280</v>
      </c>
      <c r="E558" s="5" t="s">
        <v>5434</v>
      </c>
      <c r="F558" s="5" t="s">
        <v>108</v>
      </c>
      <c r="G558" s="5" t="s">
        <v>5435</v>
      </c>
      <c r="H558" s="6" t="s">
        <v>5436</v>
      </c>
      <c r="I558" s="7" t="s">
        <v>5437</v>
      </c>
      <c r="J558" s="8" t="str">
        <f>HYPERLINK("https://drive.google.com/file/d/1cahxtE-ekwMfNY-e9DSwxDnKEHkfbpoI/view?usp=drivesdk","DRG. HELNI RAHMA YULIA SERTIFIKAT BerAKHLAK")</f>
        <v>DRG. HELNI RAHMA YULIA SERTIFIKAT BerAKHLAK</v>
      </c>
      <c r="K558" s="5" t="s">
        <v>5156</v>
      </c>
      <c r="L558" s="5" t="s">
        <v>5438</v>
      </c>
      <c r="M558" s="5" t="s">
        <v>5439</v>
      </c>
      <c r="N558" s="7" t="s">
        <v>5440</v>
      </c>
      <c r="O558" s="8" t="str">
        <f>HYPERLINK("https://drive.google.com/file/d/1G1g_OY3X4gr0amEh6uy_gMvX1vbgAROr/view?usp=drivesdk","557_DRG. HELNI RAHMA YULIA _ SERTIFIKAT BIMTEK IPASN BerAKHLASK")</f>
        <v>557_DRG. HELNI RAHMA YULIA _ SERTIFIKAT BIMTEK IPASN BerAKHLASK</v>
      </c>
      <c r="P558" s="5" t="s">
        <v>5431</v>
      </c>
      <c r="Q558" s="5" t="s">
        <v>5441</v>
      </c>
      <c r="R558" s="7" t="s">
        <v>5442</v>
      </c>
      <c r="S558" s="7" t="str">
        <f>HYPERLINK("https://drive.google.com/file/d/1rDDECTJnp53IVaJ4qppCs0CVlAf8ydDG/view?usp=drivesdk","557_DRG. HELNI RAHMA YULIA SERTIFIKAT BIMTEK IPASN-BerAKHLAK")</f>
        <v>557_DRG. HELNI RAHMA YULIA SERTIFIKAT BIMTEK IPASN-BerAKHLAK</v>
      </c>
      <c r="T558" s="5" t="s">
        <v>5414</v>
      </c>
    </row>
    <row r="559">
      <c r="A559" s="4">
        <v>45534.32218939815</v>
      </c>
      <c r="B559" s="5" t="s">
        <v>34</v>
      </c>
      <c r="D559" s="5" t="s">
        <v>35</v>
      </c>
      <c r="E559" s="5" t="s">
        <v>5443</v>
      </c>
      <c r="F559" s="5" t="s">
        <v>37</v>
      </c>
      <c r="G559" s="5" t="s">
        <v>5444</v>
      </c>
      <c r="H559" s="6" t="s">
        <v>5445</v>
      </c>
      <c r="I559" s="7" t="s">
        <v>5446</v>
      </c>
      <c r="J559" s="8" t="str">
        <f>HYPERLINK("https://drive.google.com/file/d/1zNCJ60FQI0VQDk5SmAR29hUJAz1e8Zi2/view?usp=drivesdk","RAE RIDHA ZULFIQOR SERTIFIKAT BerAKHLAK")</f>
        <v>RAE RIDHA ZULFIQOR SERTIFIKAT BerAKHLAK</v>
      </c>
      <c r="K559" s="5" t="s">
        <v>5156</v>
      </c>
      <c r="L559" s="5" t="s">
        <v>5447</v>
      </c>
      <c r="M559" s="5" t="s">
        <v>5448</v>
      </c>
      <c r="N559" s="7" t="s">
        <v>5449</v>
      </c>
      <c r="O559" s="8" t="str">
        <f>HYPERLINK("https://drive.google.com/file/d/1poR0rpJSepZgrQ7VNjcVIBHWVSF28o69/view?usp=drivesdk","558_RAE RIDHA ZULFIQOR _ SERTIFIKAT BIMTEK IPASN BerAKHLASK")</f>
        <v>558_RAE RIDHA ZULFIQOR _ SERTIFIKAT BIMTEK IPASN BerAKHLASK</v>
      </c>
      <c r="P559" s="5" t="s">
        <v>5431</v>
      </c>
      <c r="Q559" s="5" t="s">
        <v>5450</v>
      </c>
      <c r="R559" s="7" t="s">
        <v>5451</v>
      </c>
      <c r="S559" s="7" t="str">
        <f>HYPERLINK("https://drive.google.com/file/d/1WaqqalPaSxbee2AwHpZ_WsROqM9iWUBa/view?usp=drivesdk","558_RAE RIDHA ZULFIQOR SERTIFIKAT BIMTEK IPASN-BerAKHLAK")</f>
        <v>558_RAE RIDHA ZULFIQOR SERTIFIKAT BIMTEK IPASN-BerAKHLAK</v>
      </c>
      <c r="T559" s="5" t="s">
        <v>5414</v>
      </c>
    </row>
    <row r="560">
      <c r="A560" s="4">
        <v>45534.32221702546</v>
      </c>
      <c r="B560" s="5" t="s">
        <v>34</v>
      </c>
      <c r="D560" s="5" t="s">
        <v>1692</v>
      </c>
      <c r="E560" s="5" t="s">
        <v>5452</v>
      </c>
      <c r="F560" s="5" t="s">
        <v>72</v>
      </c>
      <c r="G560" s="5" t="s">
        <v>5453</v>
      </c>
      <c r="H560" s="6" t="s">
        <v>5454</v>
      </c>
      <c r="I560" s="7" t="s">
        <v>5455</v>
      </c>
      <c r="J560" s="8" t="str">
        <f>HYPERLINK("https://drive.google.com/file/d/1fvlYNkPFQXlGOe7iKupkuIqjJyeyafoE/view?usp=drivesdk","JANTI SUSANA JESAJAS SERTIFIKAT BerAKHLAK")</f>
        <v>JANTI SUSANA JESAJAS SERTIFIKAT BerAKHLAK</v>
      </c>
      <c r="K560" s="5" t="s">
        <v>5156</v>
      </c>
      <c r="L560" s="5" t="s">
        <v>5456</v>
      </c>
      <c r="M560" s="5" t="s">
        <v>5457</v>
      </c>
      <c r="N560" s="7" t="s">
        <v>5458</v>
      </c>
      <c r="O560" s="8" t="str">
        <f>HYPERLINK("https://drive.google.com/file/d/1dSwLno7X4vo92HXRPNOu6b_1QXtXrMiE/view?usp=drivesdk","559_JANTI SUSANA JESAJAS _ SERTIFIKAT BIMTEK IPASN BerAKHLASK")</f>
        <v>559_JANTI SUSANA JESAJAS _ SERTIFIKAT BIMTEK IPASN BerAKHLASK</v>
      </c>
      <c r="P560" s="5" t="s">
        <v>5431</v>
      </c>
      <c r="Q560" s="5" t="s">
        <v>5459</v>
      </c>
      <c r="R560" s="7" t="s">
        <v>5460</v>
      </c>
      <c r="S560" s="7" t="str">
        <f>HYPERLINK("https://drive.google.com/file/d/1EOFSGCaG8Im0wmE5y-x9O1mW0VYe8Nf9/view?usp=drivesdk","559_JANTI SUSANA JESAJAS SERTIFIKAT BIMTEK IPASN-BerAKHLAK")</f>
        <v>559_JANTI SUSANA JESAJAS SERTIFIKAT BIMTEK IPASN-BerAKHLAK</v>
      </c>
      <c r="T560" s="5" t="s">
        <v>5414</v>
      </c>
    </row>
    <row r="561">
      <c r="A561" s="4">
        <v>45534.322233645835</v>
      </c>
      <c r="B561" s="5" t="s">
        <v>34</v>
      </c>
      <c r="D561" s="5" t="s">
        <v>280</v>
      </c>
      <c r="E561" s="5" t="s">
        <v>5461</v>
      </c>
      <c r="F561" s="5" t="s">
        <v>375</v>
      </c>
      <c r="G561" s="5" t="s">
        <v>5462</v>
      </c>
      <c r="H561" s="6" t="s">
        <v>5463</v>
      </c>
      <c r="I561" s="7" t="s">
        <v>5464</v>
      </c>
      <c r="J561" s="8" t="str">
        <f>HYPERLINK("https://drive.google.com/file/d/1uBD4AB4TL0jfv0TOZtE5vs4J3AI36v-p/view?usp=drivesdk","JIMMI CANDRA PARNINGOTAN RUMAHORBO, S.Kom SERTIFIKAT BerAKHLAK")</f>
        <v>JIMMI CANDRA PARNINGOTAN RUMAHORBO, S.Kom SERTIFIKAT BerAKHLAK</v>
      </c>
      <c r="K561" s="5" t="s">
        <v>5156</v>
      </c>
      <c r="L561" s="5" t="s">
        <v>5465</v>
      </c>
      <c r="M561" s="5" t="s">
        <v>5466</v>
      </c>
      <c r="N561" s="7" t="s">
        <v>5467</v>
      </c>
      <c r="O561" s="8" t="str">
        <f>HYPERLINK("https://drive.google.com/file/d/1RnC8Cwi9z5_28NPkZ9mnHS1Xz7sJD1CW/view?usp=drivesdk","560_JIMMI CANDRA PARNINGOTAN RUMAHORBO, S.Kom _ SERTIFIKAT BIMTEK IPASN BerAKHLASK")</f>
        <v>560_JIMMI CANDRA PARNINGOTAN RUMAHORBO, S.Kom _ SERTIFIKAT BIMTEK IPASN BerAKHLASK</v>
      </c>
      <c r="P561" s="5" t="s">
        <v>5431</v>
      </c>
      <c r="Q561" s="5" t="s">
        <v>5468</v>
      </c>
      <c r="R561" s="7" t="s">
        <v>5469</v>
      </c>
      <c r="S561" s="7" t="str">
        <f>HYPERLINK("https://drive.google.com/file/d/1kgH9Q0pAuGEleVewaR-mELpfbh_BFRkT/view?usp=drivesdk","560_JIMMI CANDRA PARNINGOTAN RUMAHORBO, S.Kom SERTIFIKAT BIMTEK IPASN-BerAKHLAK")</f>
        <v>560_JIMMI CANDRA PARNINGOTAN RUMAHORBO, S.Kom SERTIFIKAT BIMTEK IPASN-BerAKHLAK</v>
      </c>
      <c r="T561" s="5" t="s">
        <v>5470</v>
      </c>
    </row>
    <row r="562">
      <c r="A562" s="4">
        <v>45534.3222527662</v>
      </c>
      <c r="B562" s="5" t="s">
        <v>34</v>
      </c>
      <c r="D562" s="5" t="s">
        <v>35</v>
      </c>
      <c r="E562" s="5" t="s">
        <v>5471</v>
      </c>
      <c r="F562" s="5" t="s">
        <v>212</v>
      </c>
      <c r="G562" s="5" t="s">
        <v>5472</v>
      </c>
      <c r="H562" s="6" t="s">
        <v>5473</v>
      </c>
      <c r="K562" s="5" t="s">
        <v>5474</v>
      </c>
      <c r="M562" s="5" t="s">
        <v>5475</v>
      </c>
      <c r="N562" s="7" t="s">
        <v>5476</v>
      </c>
      <c r="O562" s="8" t="str">
        <f>HYPERLINK("https://drive.google.com/file/d/1QAsqpO3vrq8ifV7G1ROiQYdI6l4impJP/view?usp=drivesdk","561_TOTO HERMANTO _ SERTIFIKAT BIMTEK IPASN BerAKHLASK")</f>
        <v>561_TOTO HERMANTO _ SERTIFIKAT BIMTEK IPASN BerAKHLASK</v>
      </c>
      <c r="P562" s="5" t="s">
        <v>5477</v>
      </c>
      <c r="Q562" s="5" t="s">
        <v>5478</v>
      </c>
      <c r="R562" s="7" t="s">
        <v>5479</v>
      </c>
      <c r="S562" s="7" t="str">
        <f>HYPERLINK("https://drive.google.com/file/d/1NRpo5WIdAybaremoRKmUc6pNLZl9uXNY/view?usp=drivesdk","561_TOTO HERMANTO SERTIFIKAT BIMTEK IPASN-BerAKHLAK")</f>
        <v>561_TOTO HERMANTO SERTIFIKAT BIMTEK IPASN-BerAKHLAK</v>
      </c>
      <c r="T562" s="5" t="s">
        <v>5470</v>
      </c>
    </row>
    <row r="563">
      <c r="A563" s="4">
        <v>45534.32225349537</v>
      </c>
      <c r="B563" s="5" t="s">
        <v>34</v>
      </c>
      <c r="D563" s="5" t="s">
        <v>1206</v>
      </c>
      <c r="E563" s="5" t="s">
        <v>5480</v>
      </c>
      <c r="F563" s="5" t="s">
        <v>108</v>
      </c>
      <c r="G563" s="5" t="s">
        <v>5481</v>
      </c>
      <c r="H563" s="6" t="s">
        <v>5482</v>
      </c>
      <c r="I563" s="7" t="s">
        <v>5483</v>
      </c>
      <c r="J563" s="8" t="str">
        <f>HYPERLINK("https://drive.google.com/file/d/1tqPHuGU3YJjQUh6UaHCHuXbh3jSOHWal/view?usp=drivesdk","KOERNIA INDRASTOETI, S.E. SERTIFIKAT BerAKHLAK")</f>
        <v>KOERNIA INDRASTOETI, S.E. SERTIFIKAT BerAKHLAK</v>
      </c>
      <c r="K563" s="5" t="s">
        <v>5156</v>
      </c>
      <c r="L563" s="5" t="s">
        <v>5484</v>
      </c>
      <c r="M563" s="5" t="s">
        <v>5485</v>
      </c>
      <c r="N563" s="7" t="s">
        <v>5486</v>
      </c>
      <c r="O563" s="8" t="str">
        <f>HYPERLINK("https://drive.google.com/file/d/19uw41-tOxROUlA75abKWCu4mgBjc1ePE/view?usp=drivesdk","562_KOERNIA INDRASTOETI, S.E. _ SERTIFIKAT BIMTEK IPASN BerAKHLASK")</f>
        <v>562_KOERNIA INDRASTOETI, S.E. _ SERTIFIKAT BIMTEK IPASN BerAKHLASK</v>
      </c>
      <c r="P563" s="5" t="s">
        <v>5477</v>
      </c>
      <c r="Q563" s="5" t="s">
        <v>5487</v>
      </c>
      <c r="R563" s="7" t="s">
        <v>5488</v>
      </c>
      <c r="S563" s="7" t="str">
        <f>HYPERLINK("https://drive.google.com/file/d/1ozj8EFMq8utyD0s0M2cihUa6yNw2SA67/view?usp=drivesdk","562_KOERNIA INDRASTOETI, S.E. SERTIFIKAT BIMTEK IPASN-BerAKHLAK")</f>
        <v>562_KOERNIA INDRASTOETI, S.E. SERTIFIKAT BIMTEK IPASN-BerAKHLAK</v>
      </c>
      <c r="T563" s="5" t="s">
        <v>5470</v>
      </c>
    </row>
    <row r="564">
      <c r="A564" s="4">
        <v>45534.32226296296</v>
      </c>
      <c r="B564" s="5" t="s">
        <v>34</v>
      </c>
      <c r="D564" s="5" t="s">
        <v>35</v>
      </c>
      <c r="E564" s="5" t="s">
        <v>5489</v>
      </c>
      <c r="F564" s="5" t="s">
        <v>375</v>
      </c>
      <c r="G564" s="5" t="s">
        <v>5490</v>
      </c>
      <c r="H564" s="6" t="s">
        <v>5491</v>
      </c>
      <c r="I564" s="7" t="s">
        <v>5492</v>
      </c>
      <c r="J564" s="8" t="str">
        <f>HYPERLINK("https://drive.google.com/file/d/10UHXEd7p7fz6Tba2RYCd2YiRfXcvmsTi/view?usp=drivesdk","CHRISTIAN BAMBANG TRIWAHYUJATI, S.E SERTIFIKAT BerAKHLAK")</f>
        <v>CHRISTIAN BAMBANG TRIWAHYUJATI, S.E SERTIFIKAT BerAKHLAK</v>
      </c>
      <c r="K564" s="5" t="s">
        <v>5156</v>
      </c>
      <c r="L564" s="5" t="s">
        <v>5493</v>
      </c>
      <c r="M564" s="5" t="s">
        <v>5494</v>
      </c>
      <c r="N564" s="7" t="s">
        <v>5495</v>
      </c>
      <c r="O564" s="8" t="str">
        <f>HYPERLINK("https://drive.google.com/file/d/1qZvdHTHW2LVq1f4M68kMDX3sCCEZ5jmB/view?usp=drivesdk","563_CHRISTIAN BAMBANG TRIWAHYUJATI, S.E _ SERTIFIKAT BIMTEK IPASN BerAKHLASK")</f>
        <v>563_CHRISTIAN BAMBANG TRIWAHYUJATI, S.E _ SERTIFIKAT BIMTEK IPASN BerAKHLASK</v>
      </c>
      <c r="P564" s="5" t="s">
        <v>5477</v>
      </c>
      <c r="Q564" s="5" t="s">
        <v>5496</v>
      </c>
      <c r="R564" s="7" t="s">
        <v>5497</v>
      </c>
      <c r="S564" s="7" t="str">
        <f>HYPERLINK("https://drive.google.com/file/d/13CIhv4nrSPWn3TTg2i_-JUbmTl38zYal/view?usp=drivesdk","563_CHRISTIAN BAMBANG TRIWAHYUJATI, S.E SERTIFIKAT BIMTEK IPASN-BerAKHLAK")</f>
        <v>563_CHRISTIAN BAMBANG TRIWAHYUJATI, S.E SERTIFIKAT BIMTEK IPASN-BerAKHLAK</v>
      </c>
      <c r="T564" s="5" t="s">
        <v>5470</v>
      </c>
    </row>
    <row r="565">
      <c r="A565" s="4">
        <v>45534.32227240741</v>
      </c>
      <c r="B565" s="5" t="s">
        <v>34</v>
      </c>
      <c r="D565" s="5" t="s">
        <v>1206</v>
      </c>
      <c r="E565" s="5" t="s">
        <v>5498</v>
      </c>
      <c r="F565" s="5" t="s">
        <v>212</v>
      </c>
      <c r="G565" s="5" t="s">
        <v>5499</v>
      </c>
      <c r="H565" s="6" t="s">
        <v>5500</v>
      </c>
      <c r="I565" s="7" t="s">
        <v>5501</v>
      </c>
      <c r="J565" s="8" t="str">
        <f>HYPERLINK("https://drive.google.com/file/d/1JU278w8ekGDAKQ3gWS0BtLjluanK5o4U/view?usp=drivesdk","SULISTYOWATI SERTIFIKAT BerAKHLAK")</f>
        <v>SULISTYOWATI SERTIFIKAT BerAKHLAK</v>
      </c>
      <c r="K565" s="5" t="s">
        <v>5156</v>
      </c>
      <c r="L565" s="5" t="s">
        <v>5502</v>
      </c>
      <c r="M565" s="5" t="s">
        <v>5503</v>
      </c>
      <c r="N565" s="7" t="s">
        <v>5504</v>
      </c>
      <c r="O565" s="8" t="str">
        <f>HYPERLINK("https://drive.google.com/file/d/1NUPmHnyhBx1v5b_YDMh1HcN2SfEX738G/view?usp=drivesdk","564_SULISTYOWATI _ SERTIFIKAT BIMTEK IPASN BerAKHLASK")</f>
        <v>564_SULISTYOWATI _ SERTIFIKAT BIMTEK IPASN BerAKHLASK</v>
      </c>
      <c r="P565" s="5" t="s">
        <v>5477</v>
      </c>
      <c r="Q565" s="5" t="s">
        <v>5505</v>
      </c>
      <c r="R565" s="7" t="s">
        <v>5506</v>
      </c>
      <c r="S565" s="7" t="str">
        <f>HYPERLINK("https://drive.google.com/file/d/1PTMpgPBJ2RbApI7YT93WSb7paZumU3XS/view?usp=drivesdk","564_SULISTYOWATI SERTIFIKAT BIMTEK IPASN-BerAKHLAK")</f>
        <v>564_SULISTYOWATI SERTIFIKAT BIMTEK IPASN-BerAKHLAK</v>
      </c>
      <c r="T565" s="5" t="s">
        <v>5470</v>
      </c>
    </row>
    <row r="566">
      <c r="A566" s="4">
        <v>45534.32231413195</v>
      </c>
      <c r="B566" s="5" t="s">
        <v>34</v>
      </c>
      <c r="D566" s="5" t="s">
        <v>1206</v>
      </c>
      <c r="E566" s="5" t="s">
        <v>5507</v>
      </c>
      <c r="F566" s="5" t="s">
        <v>524</v>
      </c>
      <c r="G566" s="5" t="s">
        <v>5508</v>
      </c>
      <c r="H566" s="6" t="s">
        <v>5509</v>
      </c>
      <c r="I566" s="7" t="s">
        <v>5510</v>
      </c>
      <c r="J566" s="8" t="str">
        <f>HYPERLINK("https://drive.google.com/file/d/1pgcBjt64hp9UGMLn_d601KoqdsO0Um1J/view?usp=drivesdk","YULIA TUTUS ANGGRAINI, A.Md. SERTIFIKAT BerAKHLAK")</f>
        <v>YULIA TUTUS ANGGRAINI, A.Md. SERTIFIKAT BerAKHLAK</v>
      </c>
      <c r="K566" s="5" t="s">
        <v>5156</v>
      </c>
      <c r="L566" s="5" t="s">
        <v>5511</v>
      </c>
      <c r="M566" s="5" t="s">
        <v>5512</v>
      </c>
      <c r="N566" s="7" t="s">
        <v>5513</v>
      </c>
      <c r="O566" s="8" t="str">
        <f>HYPERLINK("https://drive.google.com/file/d/18LZmlNg9flDydqLEgDEzw1PoPu0paFH-/view?usp=drivesdk","565_YULIA TUTUS ANGGRAINI, A.Md. _ SERTIFIKAT BIMTEK IPASN BerAKHLASK")</f>
        <v>565_YULIA TUTUS ANGGRAINI, A.Md. _ SERTIFIKAT BIMTEK IPASN BerAKHLASK</v>
      </c>
      <c r="P566" s="5" t="s">
        <v>5477</v>
      </c>
      <c r="Q566" s="5" t="s">
        <v>5514</v>
      </c>
      <c r="R566" s="7" t="s">
        <v>5515</v>
      </c>
      <c r="S566" s="7" t="str">
        <f>HYPERLINK("https://drive.google.com/file/d/1PgXv9nxo_5JsF4ul7MDH1cpele2C78De/view?usp=drivesdk","565_YULIA TUTUS ANGGRAINI, A.Md. SERTIFIKAT BIMTEK IPASN-BerAKHLAK")</f>
        <v>565_YULIA TUTUS ANGGRAINI, A.Md. SERTIFIKAT BIMTEK IPASN-BerAKHLAK</v>
      </c>
      <c r="T566" s="5" t="s">
        <v>5516</v>
      </c>
    </row>
    <row r="567">
      <c r="A567" s="4">
        <v>45534.322316805556</v>
      </c>
      <c r="B567" s="5" t="s">
        <v>34</v>
      </c>
      <c r="D567" s="5" t="s">
        <v>1692</v>
      </c>
      <c r="E567" s="5" t="s">
        <v>5517</v>
      </c>
      <c r="F567" s="5" t="s">
        <v>524</v>
      </c>
      <c r="G567" s="5" t="s">
        <v>5518</v>
      </c>
      <c r="H567" s="6" t="s">
        <v>5519</v>
      </c>
      <c r="I567" s="7" t="s">
        <v>5520</v>
      </c>
      <c r="J567" s="8" t="str">
        <f>HYPERLINK("https://drive.google.com/file/d/19upEl06vDge-tnc3zWFR72raTR5C8xTS/view?usp=drivesdk","SALMA TUHULELE S.Kep SERTIFIKAT BerAKHLAK")</f>
        <v>SALMA TUHULELE S.Kep SERTIFIKAT BerAKHLAK</v>
      </c>
      <c r="K567" s="5" t="s">
        <v>5156</v>
      </c>
      <c r="L567" s="5" t="s">
        <v>5521</v>
      </c>
      <c r="M567" s="5" t="s">
        <v>5522</v>
      </c>
      <c r="N567" s="7" t="s">
        <v>5523</v>
      </c>
      <c r="O567" s="8" t="str">
        <f>HYPERLINK("https://drive.google.com/file/d/1uCTE1bnIvzDmhwv9S2fN3S9tFmzg7Lqb/view?usp=drivesdk","566_SALMA TUHULELE S.Kep _ SERTIFIKAT BIMTEK IPASN BerAKHLASK")</f>
        <v>566_SALMA TUHULELE S.Kep _ SERTIFIKAT BIMTEK IPASN BerAKHLASK</v>
      </c>
      <c r="P567" s="5" t="s">
        <v>5477</v>
      </c>
      <c r="Q567" s="5" t="s">
        <v>5524</v>
      </c>
      <c r="R567" s="7" t="s">
        <v>5525</v>
      </c>
      <c r="S567" s="7" t="str">
        <f>HYPERLINK("https://drive.google.com/file/d/1JbPx16UkOC9Al5Xm1lrdUJYXTN1XzHuV/view?usp=drivesdk","566_SALMA TUHULELE S.Kep SERTIFIKAT BIMTEK IPASN-BerAKHLAK")</f>
        <v>566_SALMA TUHULELE S.Kep SERTIFIKAT BIMTEK IPASN-BerAKHLAK</v>
      </c>
      <c r="T567" s="5" t="s">
        <v>5516</v>
      </c>
    </row>
    <row r="568">
      <c r="A568" s="4">
        <v>45534.32236045139</v>
      </c>
      <c r="B568" s="5" t="s">
        <v>34</v>
      </c>
      <c r="D568" s="5" t="s">
        <v>35</v>
      </c>
      <c r="E568" s="5" t="s">
        <v>5526</v>
      </c>
      <c r="F568" s="5" t="s">
        <v>37</v>
      </c>
      <c r="G568" s="5" t="s">
        <v>5527</v>
      </c>
      <c r="H568" s="6" t="s">
        <v>5528</v>
      </c>
      <c r="I568" s="7" t="s">
        <v>5529</v>
      </c>
      <c r="J568" s="8" t="str">
        <f>HYPERLINK("https://drive.google.com/file/d/1AGYncXyLJlKBcjOzjm_IlHZFpe60e1Ig/view?usp=drivesdk","PENGATUR ST MUANIPAH SERTIFIKAT BerAKHLAK")</f>
        <v>PENGATUR ST MUANIPAH SERTIFIKAT BerAKHLAK</v>
      </c>
      <c r="K568" s="5" t="s">
        <v>5156</v>
      </c>
      <c r="L568" s="5" t="s">
        <v>5530</v>
      </c>
      <c r="M568" s="5" t="s">
        <v>5531</v>
      </c>
      <c r="N568" s="7" t="s">
        <v>5532</v>
      </c>
      <c r="O568" s="8" t="str">
        <f>HYPERLINK("https://drive.google.com/file/d/1TNkCsK-m7P09bwxF4pb-MNejd766XkVw/view?usp=drivesdk","567_PENGATUR ST MUANIPAH _ SERTIFIKAT BIMTEK IPASN BerAKHLASK")</f>
        <v>567_PENGATUR ST MUANIPAH _ SERTIFIKAT BIMTEK IPASN BerAKHLASK</v>
      </c>
      <c r="P568" s="5" t="s">
        <v>5533</v>
      </c>
      <c r="Q568" s="5" t="s">
        <v>5534</v>
      </c>
      <c r="R568" s="7" t="s">
        <v>5535</v>
      </c>
      <c r="S568" s="7" t="str">
        <f>HYPERLINK("https://drive.google.com/file/d/1sG289E6bMwfOheS1mYqK32ggIMdCy3bP/view?usp=drivesdk","567_PENGATUR ST MUANIPAH SERTIFIKAT BIMTEK IPASN-BerAKHLAK")</f>
        <v>567_PENGATUR ST MUANIPAH SERTIFIKAT BIMTEK IPASN-BerAKHLAK</v>
      </c>
      <c r="T568" s="5" t="s">
        <v>5516</v>
      </c>
    </row>
    <row r="569">
      <c r="A569" s="4">
        <v>45534.3223693287</v>
      </c>
      <c r="B569" s="5" t="s">
        <v>34</v>
      </c>
      <c r="D569" s="5" t="s">
        <v>35</v>
      </c>
      <c r="E569" s="5" t="s">
        <v>5536</v>
      </c>
      <c r="F569" s="5" t="s">
        <v>72</v>
      </c>
      <c r="G569" s="5" t="s">
        <v>5537</v>
      </c>
      <c r="H569" s="6" t="s">
        <v>5538</v>
      </c>
      <c r="I569" s="7" t="s">
        <v>5539</v>
      </c>
      <c r="J569" s="8" t="str">
        <f>HYPERLINK("https://drive.google.com/file/d/1XYFAU9ME7DcSvtQKB86cLfpX_qR_mI3O/view?usp=drivesdk","YUNIAR EKA WAHYUNINGTYAS, AMd.Keb. SERTIFIKAT BerAKHLAK")</f>
        <v>YUNIAR EKA WAHYUNINGTYAS, AMd.Keb. SERTIFIKAT BerAKHLAK</v>
      </c>
      <c r="K569" s="5" t="s">
        <v>5156</v>
      </c>
      <c r="L569" s="5" t="s">
        <v>5540</v>
      </c>
      <c r="M569" s="5" t="s">
        <v>5541</v>
      </c>
      <c r="N569" s="7" t="s">
        <v>5542</v>
      </c>
      <c r="O569" s="8" t="str">
        <f>HYPERLINK("https://drive.google.com/file/d/17jcIEr20WakXNPQS5OcVNJ5AK4ibiw_K/view?usp=drivesdk","568_YUNIAR EKA WAHYUNINGTYAS, AMd.Keb. _ SERTIFIKAT BIMTEK IPASN BerAKHLASK")</f>
        <v>568_YUNIAR EKA WAHYUNINGTYAS, AMd.Keb. _ SERTIFIKAT BIMTEK IPASN BerAKHLASK</v>
      </c>
      <c r="P569" s="5" t="s">
        <v>5533</v>
      </c>
      <c r="Q569" s="5" t="s">
        <v>5543</v>
      </c>
      <c r="R569" s="7" t="s">
        <v>5544</v>
      </c>
      <c r="S569" s="7" t="str">
        <f>HYPERLINK("https://drive.google.com/file/d/13mNQ1273w_Mn8xQ4b9DN-Y4PGMvFjzy3/view?usp=drivesdk","568_YUNIAR EKA WAHYUNINGTYAS, AMd.Keb. SERTIFIKAT BIMTEK IPASN-BerAKHLAK")</f>
        <v>568_YUNIAR EKA WAHYUNINGTYAS, AMd.Keb. SERTIFIKAT BIMTEK IPASN-BerAKHLAK</v>
      </c>
      <c r="T569" s="5" t="s">
        <v>5516</v>
      </c>
    </row>
    <row r="570">
      <c r="A570" s="4">
        <v>45534.32238133102</v>
      </c>
      <c r="B570" s="5" t="s">
        <v>34</v>
      </c>
      <c r="D570" s="5" t="s">
        <v>267</v>
      </c>
      <c r="E570" s="5" t="s">
        <v>5545</v>
      </c>
      <c r="F570" s="5" t="s">
        <v>72</v>
      </c>
      <c r="G570" s="5" t="s">
        <v>5546</v>
      </c>
      <c r="H570" s="6" t="s">
        <v>5547</v>
      </c>
      <c r="I570" s="7" t="s">
        <v>5548</v>
      </c>
      <c r="J570" s="8" t="str">
        <f>HYPERLINK("https://drive.google.com/file/d/17eaFKTO321IyL9LciICKK2EDoCUhBNKt/view?usp=drivesdk","RINA SRI WIDIYANTI, S.E. SERTIFIKAT BerAKHLAK")</f>
        <v>RINA SRI WIDIYANTI, S.E. SERTIFIKAT BerAKHLAK</v>
      </c>
      <c r="K570" s="5" t="s">
        <v>5156</v>
      </c>
      <c r="L570" s="5" t="s">
        <v>5549</v>
      </c>
      <c r="M570" s="5" t="s">
        <v>5550</v>
      </c>
      <c r="N570" s="7" t="s">
        <v>5551</v>
      </c>
      <c r="O570" s="8" t="str">
        <f>HYPERLINK("https://drive.google.com/file/d/1Az7Gf32artmyq6WTbWeXrRhrkCdwrRw9/view?usp=drivesdk","569_RINA SRI WIDIYANTI, S.E. _ SERTIFIKAT BIMTEK IPASN BerAKHLASK")</f>
        <v>569_RINA SRI WIDIYANTI, S.E. _ SERTIFIKAT BIMTEK IPASN BerAKHLASK</v>
      </c>
      <c r="P570" s="5" t="s">
        <v>5533</v>
      </c>
      <c r="Q570" s="5" t="s">
        <v>5552</v>
      </c>
      <c r="R570" s="7" t="s">
        <v>5553</v>
      </c>
      <c r="S570" s="7" t="str">
        <f>HYPERLINK("https://drive.google.com/file/d/1tyD7xJ4E_Se17l2CELyA57VUDZcVRAPg/view?usp=drivesdk","569_RINA SRI WIDIYANTI, S.E. SERTIFIKAT BIMTEK IPASN-BerAKHLAK")</f>
        <v>569_RINA SRI WIDIYANTI, S.E. SERTIFIKAT BIMTEK IPASN-BerAKHLAK</v>
      </c>
      <c r="T570" s="5" t="s">
        <v>5516</v>
      </c>
    </row>
    <row r="571">
      <c r="A571" s="4">
        <v>45534.32240547454</v>
      </c>
      <c r="B571" s="5" t="s">
        <v>34</v>
      </c>
      <c r="D571" s="5" t="s">
        <v>1768</v>
      </c>
      <c r="E571" s="5" t="s">
        <v>5554</v>
      </c>
      <c r="F571" s="5" t="s">
        <v>37</v>
      </c>
      <c r="G571" s="5" t="s">
        <v>5555</v>
      </c>
      <c r="H571" s="6" t="s">
        <v>5556</v>
      </c>
      <c r="I571" s="7" t="s">
        <v>5557</v>
      </c>
      <c r="J571" s="8" t="str">
        <f>HYPERLINK("https://drive.google.com/file/d/1_L7rGAb4LT77g7GBK7GzddX2lmFVab8x/view?usp=drivesdk","NIKEN SURYAWATI SERTIFIKAT BerAKHLAK")</f>
        <v>NIKEN SURYAWATI SERTIFIKAT BerAKHLAK</v>
      </c>
      <c r="K571" s="5" t="s">
        <v>5156</v>
      </c>
      <c r="L571" s="5" t="s">
        <v>5558</v>
      </c>
      <c r="M571" s="5" t="s">
        <v>5559</v>
      </c>
      <c r="N571" s="7" t="s">
        <v>5560</v>
      </c>
      <c r="O571" s="8" t="str">
        <f>HYPERLINK("https://drive.google.com/file/d/1XnAWNQgi6QlM1YbrWCEu1-apYvO2CygW/view?usp=drivesdk","570_NIKEN SURYAWATI _ SERTIFIKAT BIMTEK IPASN BerAKHLASK")</f>
        <v>570_NIKEN SURYAWATI _ SERTIFIKAT BIMTEK IPASN BerAKHLASK</v>
      </c>
      <c r="P571" s="5" t="s">
        <v>5533</v>
      </c>
      <c r="Q571" s="5" t="s">
        <v>5561</v>
      </c>
      <c r="R571" s="7" t="s">
        <v>5562</v>
      </c>
      <c r="S571" s="7" t="str">
        <f>HYPERLINK("https://drive.google.com/file/d/1Sba_Nkl0ZobeCLqFd8yaq0dBSZzH3yHZ/view?usp=drivesdk","570_NIKEN SURYAWATI SERTIFIKAT BIMTEK IPASN-BerAKHLAK")</f>
        <v>570_NIKEN SURYAWATI SERTIFIKAT BIMTEK IPASN-BerAKHLAK</v>
      </c>
      <c r="T571" s="5" t="s">
        <v>5563</v>
      </c>
    </row>
    <row r="572" hidden="1">
      <c r="A572" s="4">
        <v>45534.32240990741</v>
      </c>
      <c r="B572" s="5" t="s">
        <v>19</v>
      </c>
      <c r="C572" s="5" t="s">
        <v>5564</v>
      </c>
      <c r="E572" s="5" t="s">
        <v>5565</v>
      </c>
      <c r="F572" s="5" t="s">
        <v>5566</v>
      </c>
      <c r="G572" s="5" t="s">
        <v>5567</v>
      </c>
      <c r="H572" s="6" t="s">
        <v>5568</v>
      </c>
      <c r="I572" s="7" t="s">
        <v>5569</v>
      </c>
      <c r="J572" s="8" t="str">
        <f>HYPERLINK("https://drive.google.com/file/d/103IW8csSFsTyKx67X6piIx_pgpZp7Y4a/view?usp=drivesdk","AZALIKA NINDYA ADHIGANA SERTIFIKAT BerAKHLAK")</f>
        <v>AZALIKA NINDYA ADHIGANA SERTIFIKAT BerAKHLAK</v>
      </c>
      <c r="K572" s="5" t="s">
        <v>5156</v>
      </c>
      <c r="L572" s="5" t="s">
        <v>5570</v>
      </c>
      <c r="M572" s="5" t="s">
        <v>5571</v>
      </c>
      <c r="N572" s="7" t="s">
        <v>5572</v>
      </c>
      <c r="O572" s="8" t="str">
        <f>HYPERLINK("https://drive.google.com/file/d/1RLX7MrUK77ajtzIvZDRUtPPNDPSOpm_5/view?usp=drivesdk","571_AZALIKA NINDYA ADHIGANA _ SERTIFIKAT BIMTEK IPASN BerAKHLASK")</f>
        <v>571_AZALIKA NINDYA ADHIGANA _ SERTIFIKAT BIMTEK IPASN BerAKHLASK</v>
      </c>
      <c r="P572" s="5" t="s">
        <v>5533</v>
      </c>
      <c r="Q572" s="5" t="s">
        <v>5573</v>
      </c>
      <c r="R572" s="7" t="s">
        <v>5574</v>
      </c>
      <c r="S572" s="7" t="str">
        <f>HYPERLINK("https://drive.google.com/file/d/1Nk-U8IlpYU5Vc8l1t4ySwa9JFchgP9G9/view?usp=drivesdk","571_AZALIKA NINDYA ADHIGANA SERTIFIKAT BIMTEK IPASN-BerAKHLAK")</f>
        <v>571_AZALIKA NINDYA ADHIGANA SERTIFIKAT BIMTEK IPASN-BerAKHLAK</v>
      </c>
      <c r="T572" s="5" t="s">
        <v>5563</v>
      </c>
    </row>
    <row r="573">
      <c r="A573" s="4">
        <v>45534.3224443287</v>
      </c>
      <c r="B573" s="5" t="s">
        <v>34</v>
      </c>
      <c r="D573" s="5" t="s">
        <v>267</v>
      </c>
      <c r="E573" s="5" t="s">
        <v>5575</v>
      </c>
      <c r="F573" s="5" t="s">
        <v>375</v>
      </c>
      <c r="G573" s="5" t="s">
        <v>5576</v>
      </c>
      <c r="H573" s="6" t="s">
        <v>5577</v>
      </c>
      <c r="I573" s="7" t="s">
        <v>5578</v>
      </c>
      <c r="J573" s="8" t="str">
        <f>HYPERLINK("https://drive.google.com/file/d/1KmE4CB9E5X--bxRWYB27l_fWUYWTyAcI/view?usp=drivesdk","TITO HENDRA WIJAYA SERTIFIKAT BerAKHLAK")</f>
        <v>TITO HENDRA WIJAYA SERTIFIKAT BerAKHLAK</v>
      </c>
      <c r="K573" s="5" t="s">
        <v>5156</v>
      </c>
      <c r="L573" s="5" t="s">
        <v>5579</v>
      </c>
      <c r="M573" s="5" t="s">
        <v>5580</v>
      </c>
      <c r="N573" s="7" t="s">
        <v>5581</v>
      </c>
      <c r="O573" s="8" t="str">
        <f>HYPERLINK("https://drive.google.com/file/d/1uGS6F680r5EbaqCRzMrgcI-ZodgC9N-T/view?usp=drivesdk","572_TITO HENDRA WIJAYA _ SERTIFIKAT BIMTEK IPASN BerAKHLASK")</f>
        <v>572_TITO HENDRA WIJAYA _ SERTIFIKAT BIMTEK IPASN BerAKHLASK</v>
      </c>
      <c r="P573" s="5" t="s">
        <v>5533</v>
      </c>
      <c r="Q573" s="5" t="s">
        <v>5582</v>
      </c>
      <c r="R573" s="7" t="s">
        <v>5583</v>
      </c>
      <c r="S573" s="7" t="str">
        <f>HYPERLINK("https://drive.google.com/file/d/1kO1ZwDiwVR5NAspYJ-R2Q_aOjZzDhk3i/view?usp=drivesdk","572_TITO HENDRA WIJAYA SERTIFIKAT BIMTEK IPASN-BerAKHLAK")</f>
        <v>572_TITO HENDRA WIJAYA SERTIFIKAT BIMTEK IPASN-BerAKHLAK</v>
      </c>
      <c r="T573" s="5" t="s">
        <v>5563</v>
      </c>
    </row>
    <row r="574" hidden="1">
      <c r="A574" s="4">
        <v>45534.32245883102</v>
      </c>
      <c r="B574" s="5" t="s">
        <v>19</v>
      </c>
      <c r="C574" s="5" t="s">
        <v>5564</v>
      </c>
      <c r="E574" s="5" t="s">
        <v>5584</v>
      </c>
      <c r="F574" s="5" t="s">
        <v>5585</v>
      </c>
      <c r="G574" s="5" t="s">
        <v>5586</v>
      </c>
      <c r="H574" s="6" t="s">
        <v>5587</v>
      </c>
      <c r="I574" s="7" t="s">
        <v>5588</v>
      </c>
      <c r="J574" s="8" t="str">
        <f>HYPERLINK("https://drive.google.com/file/d/1Tr_yqHSXRAoWUwDloP2BeUFk_vOeRhmJ/view?usp=drivesdk","ASTRID MURTININGSIH SERTIFIKAT BerAKHLAK")</f>
        <v>ASTRID MURTININGSIH SERTIFIKAT BerAKHLAK</v>
      </c>
      <c r="K574" s="5" t="s">
        <v>5156</v>
      </c>
      <c r="L574" s="5" t="s">
        <v>5589</v>
      </c>
      <c r="M574" s="5" t="s">
        <v>5590</v>
      </c>
      <c r="N574" s="7" t="s">
        <v>5591</v>
      </c>
      <c r="O574" s="8" t="str">
        <f>HYPERLINK("https://drive.google.com/file/d/1HQNJZEvzhVg6-2gWWc8FdsspQXA5A4K1/view?usp=drivesdk","573_ASTRID MURTININGSIH _ SERTIFIKAT BIMTEK IPASN BerAKHLASK")</f>
        <v>573_ASTRID MURTININGSIH _ SERTIFIKAT BIMTEK IPASN BerAKHLASK</v>
      </c>
      <c r="P574" s="5" t="s">
        <v>5533</v>
      </c>
      <c r="Q574" s="5" t="s">
        <v>5592</v>
      </c>
      <c r="R574" s="7" t="s">
        <v>5593</v>
      </c>
      <c r="S574" s="7" t="str">
        <f>HYPERLINK("https://drive.google.com/file/d/1yjG91eslITedn29Hi-zDjCQlA_uKmV0N/view?usp=drivesdk","573_ASTRID MURTININGSIH SERTIFIKAT BIMTEK IPASN-BerAKHLAK")</f>
        <v>573_ASTRID MURTININGSIH SERTIFIKAT BIMTEK IPASN-BerAKHLAK</v>
      </c>
      <c r="T574" s="5" t="s">
        <v>5563</v>
      </c>
    </row>
    <row r="575">
      <c r="A575" s="4">
        <v>45534.32246725695</v>
      </c>
      <c r="B575" s="5" t="s">
        <v>34</v>
      </c>
      <c r="D575" s="5" t="s">
        <v>1206</v>
      </c>
      <c r="E575" s="5" t="s">
        <v>5594</v>
      </c>
      <c r="F575" s="5" t="s">
        <v>37</v>
      </c>
      <c r="G575" s="5" t="s">
        <v>5595</v>
      </c>
      <c r="H575" s="6" t="s">
        <v>5596</v>
      </c>
      <c r="I575" s="7" t="s">
        <v>5597</v>
      </c>
      <c r="J575" s="8" t="str">
        <f>HYPERLINK("https://drive.google.com/file/d/14jrXYY594Ad2WZufs1YVZQmYx8Q-riHS/view?usp=drivesdk","FITRIYA YULIHARTANTI SERTIFIKAT BerAKHLAK")</f>
        <v>FITRIYA YULIHARTANTI SERTIFIKAT BerAKHLAK</v>
      </c>
      <c r="K575" s="5" t="s">
        <v>5598</v>
      </c>
      <c r="L575" s="5" t="s">
        <v>5599</v>
      </c>
      <c r="M575" s="5" t="s">
        <v>5600</v>
      </c>
      <c r="N575" s="7" t="s">
        <v>5601</v>
      </c>
      <c r="O575" s="8" t="str">
        <f>HYPERLINK("https://drive.google.com/file/d/1TnKWuDwmA5hq_3osuty2rXQ6WZ7L_JdS/view?usp=drivesdk","574_FITRIYA YULIHARTANTI _ SERTIFIKAT BIMTEK IPASN BerAKHLASK")</f>
        <v>574_FITRIYA YULIHARTANTI _ SERTIFIKAT BIMTEK IPASN BerAKHLASK</v>
      </c>
      <c r="P575" s="5" t="s">
        <v>5602</v>
      </c>
      <c r="Q575" s="5" t="s">
        <v>5603</v>
      </c>
      <c r="R575" s="7" t="s">
        <v>5604</v>
      </c>
      <c r="S575" s="7" t="str">
        <f>HYPERLINK("https://drive.google.com/file/d/1yvvV71UVwgNFsevXPIBvpXAq5uW5fnCk/view?usp=drivesdk","574_FITRIYA YULIHARTANTI SERTIFIKAT BIMTEK IPASN-BerAKHLAK")</f>
        <v>574_FITRIYA YULIHARTANTI SERTIFIKAT BIMTEK IPASN-BerAKHLAK</v>
      </c>
      <c r="T575" s="5" t="s">
        <v>5563</v>
      </c>
    </row>
    <row r="576">
      <c r="A576" s="4">
        <v>45534.32248130787</v>
      </c>
      <c r="B576" s="5" t="s">
        <v>34</v>
      </c>
      <c r="D576" s="5" t="s">
        <v>35</v>
      </c>
      <c r="E576" s="5" t="s">
        <v>5605</v>
      </c>
      <c r="F576" s="5" t="s">
        <v>37</v>
      </c>
      <c r="G576" s="5" t="s">
        <v>5606</v>
      </c>
      <c r="H576" s="6" t="s">
        <v>5607</v>
      </c>
      <c r="I576" s="7" t="s">
        <v>5608</v>
      </c>
      <c r="J576" s="8" t="str">
        <f>HYPERLINK("https://drive.google.com/file/d/1djWYuzxFM22sf7u8thkIhluyESl7dWOa/view?usp=drivesdk","IMRONZAELANI SERTIFIKAT BerAKHLAK")</f>
        <v>IMRONZAELANI SERTIFIKAT BerAKHLAK</v>
      </c>
      <c r="K576" s="5" t="s">
        <v>5156</v>
      </c>
      <c r="L576" s="5" t="s">
        <v>5609</v>
      </c>
      <c r="M576" s="5" t="s">
        <v>5610</v>
      </c>
      <c r="N576" s="7" t="s">
        <v>5611</v>
      </c>
      <c r="O576" s="8" t="str">
        <f>HYPERLINK("https://drive.google.com/file/d/1JSwKDX3wUwzBkiR1OsCnum9IotIPbK97/view?usp=drivesdk","575_IMRONZAELANI _ SERTIFIKAT BIMTEK IPASN BerAKHLASK")</f>
        <v>575_IMRONZAELANI _ SERTIFIKAT BIMTEK IPASN BerAKHLASK</v>
      </c>
      <c r="P576" s="5" t="s">
        <v>5602</v>
      </c>
      <c r="Q576" s="5" t="s">
        <v>5612</v>
      </c>
      <c r="R576" s="7" t="s">
        <v>5613</v>
      </c>
      <c r="S576" s="7" t="str">
        <f>HYPERLINK("https://drive.google.com/file/d/1F1rUrt0H9LOwmuRehV5QSUaZMvAionNH/view?usp=drivesdk","575_IMRONZAELANI SERTIFIKAT BIMTEK IPASN-BerAKHLAK")</f>
        <v>575_IMRONZAELANI SERTIFIKAT BIMTEK IPASN-BerAKHLAK</v>
      </c>
      <c r="T576" s="5" t="s">
        <v>5614</v>
      </c>
    </row>
    <row r="577">
      <c r="A577" s="4">
        <v>45534.322490798615</v>
      </c>
      <c r="B577" s="5" t="s">
        <v>34</v>
      </c>
      <c r="D577" s="5" t="s">
        <v>35</v>
      </c>
      <c r="E577" s="5" t="s">
        <v>5615</v>
      </c>
      <c r="F577" s="5" t="s">
        <v>375</v>
      </c>
      <c r="G577" s="5" t="s">
        <v>5616</v>
      </c>
      <c r="H577" s="6" t="s">
        <v>5617</v>
      </c>
      <c r="I577" s="7" t="s">
        <v>5618</v>
      </c>
      <c r="J577" s="8" t="str">
        <f>HYPERLINK("https://drive.google.com/file/d/1fDygZL0jXP13klcOuoDgCY60avw__Yuu/view?usp=drivesdk","HJ SUHANA WIHANINGSIH, S.Ap SERTIFIKAT BerAKHLAK")</f>
        <v>HJ SUHANA WIHANINGSIH, S.Ap SERTIFIKAT BerAKHLAK</v>
      </c>
      <c r="K577" s="5" t="s">
        <v>5156</v>
      </c>
      <c r="L577" s="5" t="s">
        <v>5619</v>
      </c>
      <c r="M577" s="5" t="s">
        <v>5620</v>
      </c>
      <c r="N577" s="7" t="s">
        <v>5621</v>
      </c>
      <c r="O577" s="8" t="str">
        <f>HYPERLINK("https://drive.google.com/file/d/1t4c7tICtT04eXx18j6u7K_-Vvmb0IU_6/view?usp=drivesdk","576_HJ SUHANA WIHANINGSIH, S.Ap _ SERTIFIKAT BIMTEK IPASN BerAKHLASK")</f>
        <v>576_HJ SUHANA WIHANINGSIH, S.Ap _ SERTIFIKAT BIMTEK IPASN BerAKHLASK</v>
      </c>
      <c r="P577" s="5" t="s">
        <v>5602</v>
      </c>
      <c r="Q577" s="5" t="s">
        <v>5622</v>
      </c>
      <c r="R577" s="7" t="s">
        <v>5623</v>
      </c>
      <c r="S577" s="7" t="str">
        <f>HYPERLINK("https://drive.google.com/file/d/1nqfXzwUxz2e1N7GMqrmGeanTW1YP8Llq/view?usp=drivesdk","576_HJ SUHANA WIHANINGSIH, S.Ap SERTIFIKAT BIMTEK IPASN-BerAKHLAK")</f>
        <v>576_HJ SUHANA WIHANINGSIH, S.Ap SERTIFIKAT BIMTEK IPASN-BerAKHLAK</v>
      </c>
      <c r="T577" s="5" t="s">
        <v>5614</v>
      </c>
    </row>
    <row r="578">
      <c r="A578" s="4">
        <v>45534.322495625005</v>
      </c>
      <c r="B578" s="5" t="s">
        <v>34</v>
      </c>
      <c r="D578" s="5" t="s">
        <v>580</v>
      </c>
      <c r="E578" s="5" t="s">
        <v>5624</v>
      </c>
      <c r="F578" s="5" t="s">
        <v>375</v>
      </c>
      <c r="G578" s="5" t="s">
        <v>5625</v>
      </c>
      <c r="H578" s="6" t="s">
        <v>5626</v>
      </c>
      <c r="I578" s="7" t="s">
        <v>5627</v>
      </c>
      <c r="J578" s="8" t="str">
        <f>HYPERLINK("https://drive.google.com/file/d/1oowD38OVr-FBHu8no979hvDo7SwRbmhj/view?usp=drivesdk","I NYOMAN P. WAHYUNA, S.E. SERTIFIKAT BerAKHLAK")</f>
        <v>I NYOMAN P. WAHYUNA, S.E. SERTIFIKAT BerAKHLAK</v>
      </c>
      <c r="K578" s="5" t="s">
        <v>5156</v>
      </c>
      <c r="L578" s="5" t="s">
        <v>5628</v>
      </c>
      <c r="M578" s="5" t="s">
        <v>5629</v>
      </c>
      <c r="N578" s="7" t="s">
        <v>5630</v>
      </c>
      <c r="O578" s="8" t="str">
        <f>HYPERLINK("https://drive.google.com/file/d/1YPCqUVnFgzz2eJx887CZ-O8fLEYa0fn7/view?usp=drivesdk","577_I NYOMAN P. WAHYUNA, S.E. _ SERTIFIKAT BIMTEK IPASN BerAKHLASK")</f>
        <v>577_I NYOMAN P. WAHYUNA, S.E. _ SERTIFIKAT BIMTEK IPASN BerAKHLASK</v>
      </c>
      <c r="P578" s="5" t="s">
        <v>5602</v>
      </c>
      <c r="Q578" s="5" t="s">
        <v>5631</v>
      </c>
      <c r="R578" s="7" t="s">
        <v>5632</v>
      </c>
      <c r="S578" s="7" t="str">
        <f>HYPERLINK("https://drive.google.com/file/d/1YwpyAqA47dWbhq29O4_gZ5Baeq6oHU0A/view?usp=drivesdk","577_I NYOMAN P. WAHYUNA, S.E. SERTIFIKAT BIMTEK IPASN-BerAKHLAK")</f>
        <v>577_I NYOMAN P. WAHYUNA, S.E. SERTIFIKAT BIMTEK IPASN-BerAKHLAK</v>
      </c>
      <c r="T578" s="5" t="s">
        <v>5614</v>
      </c>
    </row>
    <row r="579">
      <c r="A579" s="4">
        <v>45534.32251518518</v>
      </c>
      <c r="B579" s="5" t="s">
        <v>34</v>
      </c>
      <c r="D579" s="5" t="s">
        <v>35</v>
      </c>
      <c r="E579" s="5" t="s">
        <v>5633</v>
      </c>
      <c r="F579" s="5" t="s">
        <v>375</v>
      </c>
      <c r="G579" s="5" t="s">
        <v>5634</v>
      </c>
      <c r="H579" s="6" t="s">
        <v>5635</v>
      </c>
      <c r="I579" s="7" t="s">
        <v>5636</v>
      </c>
      <c r="J579" s="8" t="str">
        <f>HYPERLINK("https://drive.google.com/file/d/1tbNets7nP4LbgNjrukHozmkF9HfJpYFK/view?usp=drivesdk","TETI ERMIATI, S.H. SERTIFIKAT BerAKHLAK")</f>
        <v>TETI ERMIATI, S.H. SERTIFIKAT BerAKHLAK</v>
      </c>
      <c r="K579" s="5" t="s">
        <v>5598</v>
      </c>
      <c r="L579" s="5" t="s">
        <v>5637</v>
      </c>
      <c r="M579" s="5" t="s">
        <v>5638</v>
      </c>
      <c r="N579" s="7" t="s">
        <v>5639</v>
      </c>
      <c r="O579" s="8" t="str">
        <f>HYPERLINK("https://drive.google.com/file/d/1hVTvjaxSxZoTlZAHzNR246Ew9xziVKBj/view?usp=drivesdk","578_TETI ERMIATI, S.H. _ SERTIFIKAT BIMTEK IPASN BerAKHLASK")</f>
        <v>578_TETI ERMIATI, S.H. _ SERTIFIKAT BIMTEK IPASN BerAKHLASK</v>
      </c>
      <c r="P579" s="5" t="s">
        <v>5602</v>
      </c>
      <c r="Q579" s="5" t="s">
        <v>5640</v>
      </c>
      <c r="R579" s="7" t="s">
        <v>5641</v>
      </c>
      <c r="S579" s="7" t="str">
        <f>HYPERLINK("https://drive.google.com/file/d/1cbOQiH2o1G_Xx8hMGyWLGTq4LElhXFjs/view?usp=drivesdk","578_TETI ERMIATI, S.H. SERTIFIKAT BIMTEK IPASN-BerAKHLAK")</f>
        <v>578_TETI ERMIATI, S.H. SERTIFIKAT BIMTEK IPASN-BerAKHLAK</v>
      </c>
      <c r="T579" s="5" t="s">
        <v>5614</v>
      </c>
    </row>
    <row r="580">
      <c r="A580" s="4">
        <v>45534.32251618056</v>
      </c>
      <c r="B580" s="5" t="s">
        <v>34</v>
      </c>
      <c r="D580" s="5" t="s">
        <v>522</v>
      </c>
      <c r="E580" s="5" t="s">
        <v>5642</v>
      </c>
      <c r="F580" s="5" t="s">
        <v>120</v>
      </c>
      <c r="G580" s="5" t="s">
        <v>5643</v>
      </c>
      <c r="H580" s="6" t="s">
        <v>5644</v>
      </c>
      <c r="I580" s="7" t="s">
        <v>5645</v>
      </c>
      <c r="J580" s="8" t="str">
        <f>HYPERLINK("https://drive.google.com/file/d/16c95SWc4WwqtNyUA601EfMLxZwnsXTs9/view?usp=drivesdk","MAGDALENA COMALASARI POETY, S.E. SERTIFIKAT BerAKHLAK")</f>
        <v>MAGDALENA COMALASARI POETY, S.E. SERTIFIKAT BerAKHLAK</v>
      </c>
      <c r="K580" s="5" t="s">
        <v>5598</v>
      </c>
      <c r="L580" s="5" t="s">
        <v>5646</v>
      </c>
      <c r="M580" s="5" t="s">
        <v>5647</v>
      </c>
      <c r="N580" s="7" t="s">
        <v>5648</v>
      </c>
      <c r="O580" s="8" t="str">
        <f>HYPERLINK("https://drive.google.com/file/d/1g0NZlzNCNMko2Koe8T8MfN3Fz-mFNLph/view?usp=drivesdk","579_MAGDALENA COMALASARI POETY, S.E. _ SERTIFIKAT BIMTEK IPASN BerAKHLASK")</f>
        <v>579_MAGDALENA COMALASARI POETY, S.E. _ SERTIFIKAT BIMTEK IPASN BerAKHLASK</v>
      </c>
      <c r="P580" s="5" t="s">
        <v>5649</v>
      </c>
      <c r="Q580" s="5" t="s">
        <v>5650</v>
      </c>
      <c r="R580" s="7" t="s">
        <v>5651</v>
      </c>
      <c r="S580" s="7" t="str">
        <f>HYPERLINK("https://drive.google.com/file/d/10IZRBGuqAFbyqZEbDnTM5mZ7ZBJ97B7h/view?usp=drivesdk","579_MAGDALENA COMALASARI POETY, S.E. SERTIFIKAT BIMTEK IPASN-BerAKHLAK")</f>
        <v>579_MAGDALENA COMALASARI POETY, S.E. SERTIFIKAT BIMTEK IPASN-BerAKHLAK</v>
      </c>
      <c r="T580" s="5" t="s">
        <v>5614</v>
      </c>
    </row>
    <row r="581">
      <c r="A581" s="4">
        <v>45534.32252773148</v>
      </c>
      <c r="B581" s="5" t="s">
        <v>34</v>
      </c>
      <c r="D581" s="5" t="s">
        <v>522</v>
      </c>
      <c r="E581" s="5" t="s">
        <v>5652</v>
      </c>
      <c r="F581" s="5" t="s">
        <v>212</v>
      </c>
      <c r="G581" s="5" t="s">
        <v>5653</v>
      </c>
      <c r="H581" s="6" t="s">
        <v>5654</v>
      </c>
      <c r="I581" s="7" t="s">
        <v>5655</v>
      </c>
      <c r="J581" s="8" t="str">
        <f>HYPERLINK("https://drive.google.com/file/d/1cHbU-yYnXP5qUK3-oCIAsCrHoG4RuOSX/view?usp=drivesdk","HADIYATOLLAH SERTIFIKAT BerAKHLAK")</f>
        <v>HADIYATOLLAH SERTIFIKAT BerAKHLAK</v>
      </c>
      <c r="K581" s="5" t="s">
        <v>5156</v>
      </c>
      <c r="L581" s="5" t="s">
        <v>5656</v>
      </c>
      <c r="M581" s="5" t="s">
        <v>5657</v>
      </c>
      <c r="N581" s="7" t="s">
        <v>5658</v>
      </c>
      <c r="O581" s="8" t="str">
        <f>HYPERLINK("https://drive.google.com/file/d/1MH8qV0tOfoxRAPlSkXos_9sd1DjvdxWq/view?usp=drivesdk","580_HADIYATOLLAH _ SERTIFIKAT BIMTEK IPASN BerAKHLASK")</f>
        <v>580_HADIYATOLLAH _ SERTIFIKAT BIMTEK IPASN BerAKHLASK</v>
      </c>
      <c r="P581" s="5" t="s">
        <v>5649</v>
      </c>
      <c r="Q581" s="5" t="s">
        <v>5659</v>
      </c>
      <c r="R581" s="7" t="s">
        <v>5660</v>
      </c>
      <c r="S581" s="7" t="str">
        <f>HYPERLINK("https://drive.google.com/file/d/1YTtZ7MOYROL-wQzGbtrfvkSjk0hbVpCf/view?usp=drivesdk","580_HADIYATOLLAH SERTIFIKAT BIMTEK IPASN-BerAKHLAK")</f>
        <v>580_HADIYATOLLAH SERTIFIKAT BIMTEK IPASN-BerAKHLAK</v>
      </c>
      <c r="T581" s="5" t="s">
        <v>5614</v>
      </c>
    </row>
    <row r="582">
      <c r="A582" s="4">
        <v>45534.32256523149</v>
      </c>
      <c r="B582" s="5" t="s">
        <v>34</v>
      </c>
      <c r="D582" s="5" t="s">
        <v>996</v>
      </c>
      <c r="E582" s="5" t="s">
        <v>5661</v>
      </c>
      <c r="F582" s="5" t="s">
        <v>375</v>
      </c>
      <c r="G582" s="5" t="s">
        <v>5662</v>
      </c>
      <c r="H582" s="6" t="s">
        <v>5663</v>
      </c>
      <c r="I582" s="7" t="s">
        <v>5664</v>
      </c>
      <c r="J582" s="8" t="str">
        <f>HYPERLINK("https://drive.google.com/file/d/1XQ9yaZzMq07WBM0uZTBeoTtCvXgkILi1/view?usp=drivesdk","H. BAMBANG MEDIANTO, SE SERTIFIKAT BerAKHLAK")</f>
        <v>H. BAMBANG MEDIANTO, SE SERTIFIKAT BerAKHLAK</v>
      </c>
      <c r="K582" s="5" t="s">
        <v>5156</v>
      </c>
      <c r="L582" s="5" t="s">
        <v>5665</v>
      </c>
      <c r="M582" s="5" t="s">
        <v>5666</v>
      </c>
      <c r="N582" s="7" t="s">
        <v>5667</v>
      </c>
      <c r="O582" s="8" t="str">
        <f>HYPERLINK("https://drive.google.com/file/d/1sElWDWDH4X2eG0GMwqBipXqu_yAPBYWE/view?usp=drivesdk","581_H. BAMBANG MEDIANTO, SE _ SERTIFIKAT BIMTEK IPASN BerAKHLASK")</f>
        <v>581_H. BAMBANG MEDIANTO, SE _ SERTIFIKAT BIMTEK IPASN BerAKHLASK</v>
      </c>
      <c r="P582" s="5" t="s">
        <v>5649</v>
      </c>
      <c r="Q582" s="5" t="s">
        <v>5668</v>
      </c>
      <c r="R582" s="7" t="s">
        <v>5669</v>
      </c>
      <c r="S582" s="7" t="str">
        <f>HYPERLINK("https://drive.google.com/file/d/1pWw_EpBg-CkTOG6uKg__qd6jYRNBNUb3/view?usp=drivesdk","581_H. BAMBANG MEDIANTO, SE SERTIFIKAT BIMTEK IPASN-BerAKHLAK")</f>
        <v>581_H. BAMBANG MEDIANTO, SE SERTIFIKAT BIMTEK IPASN-BerAKHLAK</v>
      </c>
      <c r="T582" s="5" t="s">
        <v>5670</v>
      </c>
    </row>
    <row r="583">
      <c r="A583" s="4">
        <v>45534.3225669213</v>
      </c>
      <c r="B583" s="5" t="s">
        <v>34</v>
      </c>
      <c r="D583" s="5" t="s">
        <v>267</v>
      </c>
      <c r="E583" s="5" t="s">
        <v>5671</v>
      </c>
      <c r="F583" s="5" t="s">
        <v>212</v>
      </c>
      <c r="G583" s="5" t="s">
        <v>5672</v>
      </c>
      <c r="H583" s="6" t="s">
        <v>5673</v>
      </c>
      <c r="I583" s="7" t="s">
        <v>5674</v>
      </c>
      <c r="J583" s="8" t="str">
        <f>HYPERLINK("https://drive.google.com/file/d/1Qt2oOT3C-lsiLtUgI_3Y3V7qm-wUN8ix/view?usp=drivesdk","HERLINA PANGKI N SERTIFIKAT BerAKHLAK")</f>
        <v>HERLINA PANGKI N SERTIFIKAT BerAKHLAK</v>
      </c>
      <c r="K583" s="5" t="s">
        <v>5156</v>
      </c>
      <c r="L583" s="5" t="s">
        <v>5675</v>
      </c>
      <c r="M583" s="5" t="s">
        <v>5676</v>
      </c>
      <c r="N583" s="7" t="s">
        <v>5677</v>
      </c>
      <c r="O583" s="8" t="str">
        <f>HYPERLINK("https://drive.google.com/file/d/1YxqaflK2MPa1AiouWYSi-M0qGI7jLXO3/view?usp=drivesdk","582_HERLINA PANGKI N _ SERTIFIKAT BIMTEK IPASN BerAKHLASK")</f>
        <v>582_HERLINA PANGKI N _ SERTIFIKAT BIMTEK IPASN BerAKHLASK</v>
      </c>
      <c r="P583" s="5" t="s">
        <v>5649</v>
      </c>
      <c r="Q583" s="5" t="s">
        <v>5678</v>
      </c>
      <c r="R583" s="7" t="s">
        <v>5679</v>
      </c>
      <c r="S583" s="7" t="str">
        <f>HYPERLINK("https://drive.google.com/file/d/10Q0pb87fazvRVzTMrtEvtqgquPjeJ74a/view?usp=drivesdk","582_HERLINA PANGKI N SERTIFIKAT BIMTEK IPASN-BerAKHLAK")</f>
        <v>582_HERLINA PANGKI N SERTIFIKAT BIMTEK IPASN-BerAKHLAK</v>
      </c>
      <c r="T583" s="5" t="s">
        <v>5670</v>
      </c>
    </row>
    <row r="584">
      <c r="A584" s="4">
        <v>45534.32258146991</v>
      </c>
      <c r="B584" s="5" t="s">
        <v>34</v>
      </c>
      <c r="D584" s="5" t="s">
        <v>3432</v>
      </c>
      <c r="E584" s="5" t="s">
        <v>5680</v>
      </c>
      <c r="F584" s="5" t="s">
        <v>212</v>
      </c>
      <c r="G584" s="5" t="s">
        <v>5681</v>
      </c>
      <c r="H584" s="6" t="s">
        <v>5682</v>
      </c>
      <c r="I584" s="7" t="s">
        <v>5683</v>
      </c>
      <c r="J584" s="8" t="str">
        <f>HYPERLINK("https://drive.google.com/file/d/1KzuHJSNk6CC6fMLr_vqkjV_jjZh48VIE/view?usp=drivesdk","DANU SULISTYA SERTIFIKAT BerAKHLAK")</f>
        <v>DANU SULISTYA SERTIFIKAT BerAKHLAK</v>
      </c>
      <c r="K584" s="5" t="s">
        <v>5156</v>
      </c>
      <c r="L584" s="5" t="s">
        <v>5684</v>
      </c>
      <c r="M584" s="5" t="s">
        <v>5685</v>
      </c>
      <c r="N584" s="7" t="s">
        <v>5686</v>
      </c>
      <c r="O584" s="8" t="str">
        <f>HYPERLINK("https://drive.google.com/file/d/1eCpvdwt5D7lTK6YIy0G21d6eNAVwHAyh/view?usp=drivesdk","583_DANU SULISTYA _ SERTIFIKAT BIMTEK IPASN BerAKHLASK")</f>
        <v>583_DANU SULISTYA _ SERTIFIKAT BIMTEK IPASN BerAKHLASK</v>
      </c>
      <c r="P584" s="5" t="s">
        <v>5649</v>
      </c>
      <c r="Q584" s="5" t="s">
        <v>5687</v>
      </c>
      <c r="R584" s="7" t="s">
        <v>5688</v>
      </c>
      <c r="S584" s="7" t="str">
        <f>HYPERLINK("https://drive.google.com/file/d/1e67p82poZEPqPy1ag8boy0rHA3uAzpTt/view?usp=drivesdk","583_DANU SULISTYA SERTIFIKAT BIMTEK IPASN-BerAKHLAK")</f>
        <v>583_DANU SULISTYA SERTIFIKAT BIMTEK IPASN-BerAKHLAK</v>
      </c>
      <c r="T584" s="5" t="s">
        <v>5670</v>
      </c>
    </row>
    <row r="585">
      <c r="A585" s="4">
        <v>45534.32258641203</v>
      </c>
      <c r="B585" s="5" t="s">
        <v>34</v>
      </c>
      <c r="D585" s="5" t="s">
        <v>975</v>
      </c>
      <c r="E585" s="5" t="s">
        <v>5689</v>
      </c>
      <c r="F585" s="5" t="s">
        <v>108</v>
      </c>
      <c r="G585" s="5" t="s">
        <v>5690</v>
      </c>
      <c r="H585" s="6" t="s">
        <v>5691</v>
      </c>
      <c r="I585" s="7" t="s">
        <v>5692</v>
      </c>
      <c r="J585" s="8" t="str">
        <f>HYPERLINK("https://drive.google.com/file/d/1nU4G-IsGNkUmlftYMc8-6o-jqZyDDRez/view?usp=drivesdk","DEWI PURNAMA SARI,SE SERTIFIKAT BerAKHLAK")</f>
        <v>DEWI PURNAMA SARI,SE SERTIFIKAT BerAKHLAK</v>
      </c>
      <c r="K585" s="5" t="s">
        <v>5156</v>
      </c>
      <c r="L585" s="5" t="s">
        <v>5693</v>
      </c>
      <c r="M585" s="5" t="s">
        <v>5694</v>
      </c>
      <c r="N585" s="7" t="s">
        <v>5695</v>
      </c>
      <c r="O585" s="8" t="str">
        <f>HYPERLINK("https://drive.google.com/file/d/1vjYOOVQB08a_m_C-YgLI6a2gsHGs7F40/view?usp=drivesdk","584_DEWI PURNAMA SARI,SE _ SERTIFIKAT BIMTEK IPASN BerAKHLASK")</f>
        <v>584_DEWI PURNAMA SARI,SE _ SERTIFIKAT BIMTEK IPASN BerAKHLASK</v>
      </c>
      <c r="P585" s="5" t="s">
        <v>5696</v>
      </c>
      <c r="Q585" s="5" t="s">
        <v>5697</v>
      </c>
      <c r="R585" s="7" t="s">
        <v>5698</v>
      </c>
      <c r="S585" s="7" t="str">
        <f>HYPERLINK("https://drive.google.com/file/d/1kmqHS2_ePCOfpQlthTQhgRTGCjFNMhPe/view?usp=drivesdk","584_DEWI PURNAMA SARI,SE SERTIFIKAT BIMTEK IPASN-BerAKHLAK")</f>
        <v>584_DEWI PURNAMA SARI,SE SERTIFIKAT BIMTEK IPASN-BerAKHLAK</v>
      </c>
      <c r="T585" s="5" t="s">
        <v>5670</v>
      </c>
    </row>
    <row r="586" hidden="1">
      <c r="A586" s="4">
        <v>45534.322597962964</v>
      </c>
      <c r="B586" s="5" t="s">
        <v>19</v>
      </c>
      <c r="C586" s="5" t="s">
        <v>292</v>
      </c>
      <c r="E586" s="5" t="s">
        <v>5699</v>
      </c>
      <c r="F586" s="5" t="s">
        <v>108</v>
      </c>
      <c r="G586" s="5" t="s">
        <v>5700</v>
      </c>
      <c r="H586" s="6" t="s">
        <v>5701</v>
      </c>
      <c r="I586" s="7" t="s">
        <v>5702</v>
      </c>
      <c r="J586" s="8" t="str">
        <f>HYPERLINK("https://drive.google.com/file/d/1k_sHiuhiWOK08j4tWiLM0y9Du0sMXSxL/view?usp=drivesdk","NUR CAHYANTI, S. AP.  SERTIFIKAT BerAKHLAK")</f>
        <v>NUR CAHYANTI, S. AP.  SERTIFIKAT BerAKHLAK</v>
      </c>
      <c r="K586" s="5" t="s">
        <v>5156</v>
      </c>
      <c r="L586" s="5" t="s">
        <v>5703</v>
      </c>
      <c r="M586" s="5" t="s">
        <v>5704</v>
      </c>
      <c r="N586" s="7" t="s">
        <v>5705</v>
      </c>
      <c r="O586" s="8" t="str">
        <f>HYPERLINK("https://drive.google.com/file/d/1cIFP5J4vlYa87WFVhMmif-NI-Nz1MY8U/view?usp=drivesdk","585_NUR CAHYANTI, S. AP.  _ SERTIFIKAT BIMTEK IPASN BerAKHLASK")</f>
        <v>585_NUR CAHYANTI, S. AP.  _ SERTIFIKAT BIMTEK IPASN BerAKHLASK</v>
      </c>
      <c r="P586" s="5" t="s">
        <v>5696</v>
      </c>
      <c r="Q586" s="5" t="s">
        <v>5706</v>
      </c>
      <c r="R586" s="7" t="s">
        <v>5707</v>
      </c>
      <c r="S586" s="7" t="str">
        <f>HYPERLINK("https://drive.google.com/file/d/16Ff1QBRPaQKqQ1RfcIgpJEnZ1TPPwgMG/view?usp=drivesdk","585_NUR CAHYANTI, S. AP.  SERTIFIKAT BIMTEK IPASN-BerAKHLAK")</f>
        <v>585_NUR CAHYANTI, S. AP.  SERTIFIKAT BIMTEK IPASN-BerAKHLAK</v>
      </c>
      <c r="T586" s="5" t="s">
        <v>5670</v>
      </c>
    </row>
    <row r="587">
      <c r="A587" s="4">
        <v>45534.32259804398</v>
      </c>
      <c r="B587" s="5" t="s">
        <v>34</v>
      </c>
      <c r="D587" s="5" t="s">
        <v>1768</v>
      </c>
      <c r="E587" s="5" t="s">
        <v>5708</v>
      </c>
      <c r="F587" s="5" t="s">
        <v>212</v>
      </c>
      <c r="G587" s="5" t="s">
        <v>5709</v>
      </c>
      <c r="H587" s="6" t="s">
        <v>5710</v>
      </c>
      <c r="I587" s="7" t="s">
        <v>5711</v>
      </c>
      <c r="J587" s="8" t="str">
        <f>HYPERLINK("https://drive.google.com/file/d/1P98HKIpx2-yGJFwEPUEFKEUuFz1zpFw6/view?usp=drivesdk","MAHENDRA BAGUS PURNAMA, A.Md.,Far SERTIFIKAT BerAKHLAK")</f>
        <v>MAHENDRA BAGUS PURNAMA, A.Md.,Far SERTIFIKAT BerAKHLAK</v>
      </c>
      <c r="K587" s="5" t="s">
        <v>5598</v>
      </c>
      <c r="L587" s="5" t="s">
        <v>5712</v>
      </c>
      <c r="M587" s="5" t="s">
        <v>5713</v>
      </c>
      <c r="N587" s="7" t="s">
        <v>5714</v>
      </c>
      <c r="O587" s="8" t="str">
        <f>HYPERLINK("https://drive.google.com/file/d/1kafVyHC6DDLkjRkCvrttYzYpqlvbTioq/view?usp=drivesdk","586_MAHENDRA BAGUS PURNAMA, A.Md.,Far _ SERTIFIKAT BIMTEK IPASN BerAKHLASK")</f>
        <v>586_MAHENDRA BAGUS PURNAMA, A.Md.,Far _ SERTIFIKAT BIMTEK IPASN BerAKHLASK</v>
      </c>
      <c r="P587" s="5" t="s">
        <v>5696</v>
      </c>
      <c r="Q587" s="5" t="s">
        <v>5715</v>
      </c>
      <c r="R587" s="7" t="s">
        <v>5716</v>
      </c>
      <c r="S587" s="7" t="str">
        <f>HYPERLINK("https://drive.google.com/file/d/1bsDh8DhsXG9VlfDXbanj8x7nqKxQM2LY/view?usp=drivesdk","586_MAHENDRA BAGUS PURNAMA, A.Md.,Far SERTIFIKAT BIMTEK IPASN-BerAKHLAK")</f>
        <v>586_MAHENDRA BAGUS PURNAMA, A.Md.,Far SERTIFIKAT BIMTEK IPASN-BerAKHLAK</v>
      </c>
      <c r="T587" s="5" t="s">
        <v>5670</v>
      </c>
    </row>
    <row r="588">
      <c r="A588" s="4">
        <v>45534.32266173611</v>
      </c>
      <c r="B588" s="5" t="s">
        <v>34</v>
      </c>
      <c r="D588" s="5" t="s">
        <v>35</v>
      </c>
      <c r="E588" s="5" t="s">
        <v>5717</v>
      </c>
      <c r="F588" s="5" t="s">
        <v>212</v>
      </c>
      <c r="G588" s="5" t="s">
        <v>5718</v>
      </c>
      <c r="H588" s="6" t="s">
        <v>5719</v>
      </c>
      <c r="I588" s="7" t="s">
        <v>5720</v>
      </c>
      <c r="J588" s="8" t="str">
        <f>HYPERLINK("https://drive.google.com/file/d/1AKe-dphaHaBH6faGmqQRYfC-hj9UgoBS/view?usp=drivesdk","HENDI HERNADI S.H SERTIFIKAT BerAKHLAK")</f>
        <v>HENDI HERNADI S.H SERTIFIKAT BerAKHLAK</v>
      </c>
      <c r="K588" s="5" t="s">
        <v>5156</v>
      </c>
      <c r="L588" s="5" t="s">
        <v>5721</v>
      </c>
      <c r="M588" s="5" t="s">
        <v>5722</v>
      </c>
      <c r="N588" s="7" t="s">
        <v>5723</v>
      </c>
      <c r="O588" s="8" t="str">
        <f>HYPERLINK("https://drive.google.com/file/d/1WYj7pZsTfbMIoc-aZX5uiYaYXMj_M8JG/view?usp=drivesdk","587_HENDI HERNADI S.H _ SERTIFIKAT BIMTEK IPASN BerAKHLASK")</f>
        <v>587_HENDI HERNADI S.H _ SERTIFIKAT BIMTEK IPASN BerAKHLASK</v>
      </c>
      <c r="P588" s="5" t="s">
        <v>5696</v>
      </c>
      <c r="Q588" s="5" t="s">
        <v>5724</v>
      </c>
      <c r="R588" s="7" t="s">
        <v>5725</v>
      </c>
      <c r="S588" s="7" t="str">
        <f>HYPERLINK("https://drive.google.com/file/d/1A50a3MKd8OHA6QOWjQJfEGsH4jd1fI6U/view?usp=drivesdk","587_HENDI HERNADI S.H SERTIFIKAT BIMTEK IPASN-BerAKHLAK")</f>
        <v>587_HENDI HERNADI S.H SERTIFIKAT BIMTEK IPASN-BerAKHLAK</v>
      </c>
      <c r="T588" s="5" t="s">
        <v>5726</v>
      </c>
    </row>
    <row r="589">
      <c r="A589" s="4">
        <v>45534.32266474537</v>
      </c>
      <c r="B589" s="5" t="s">
        <v>34</v>
      </c>
      <c r="D589" s="5" t="s">
        <v>35</v>
      </c>
      <c r="E589" s="5" t="s">
        <v>5727</v>
      </c>
      <c r="F589" s="5" t="s">
        <v>524</v>
      </c>
      <c r="G589" s="5" t="s">
        <v>5728</v>
      </c>
      <c r="H589" s="6" t="s">
        <v>5729</v>
      </c>
      <c r="I589" s="7" t="s">
        <v>5730</v>
      </c>
      <c r="J589" s="8" t="str">
        <f>HYPERLINK("https://drive.google.com/file/d/1ktRtL-9zFlOkGyyooAl9iaR1rJDd0Jfi/view?usp=drivesdk","HERI SYUHAERI SERTIFIKAT BerAKHLAK")</f>
        <v>HERI SYUHAERI SERTIFIKAT BerAKHLAK</v>
      </c>
      <c r="K589" s="5" t="s">
        <v>5156</v>
      </c>
      <c r="L589" s="5" t="s">
        <v>5731</v>
      </c>
      <c r="M589" s="5" t="s">
        <v>5732</v>
      </c>
      <c r="N589" s="7" t="s">
        <v>5733</v>
      </c>
      <c r="O589" s="8" t="str">
        <f>HYPERLINK("https://drive.google.com/file/d/1qxhWWiCJLmKxkleOs7mRhkagwuN4UGs3/view?usp=drivesdk","588_HERI SYUHAERI _ SERTIFIKAT BIMTEK IPASN BerAKHLASK")</f>
        <v>588_HERI SYUHAERI _ SERTIFIKAT BIMTEK IPASN BerAKHLASK</v>
      </c>
      <c r="P589" s="5" t="s">
        <v>5696</v>
      </c>
      <c r="Q589" s="5" t="s">
        <v>5734</v>
      </c>
      <c r="R589" s="7" t="s">
        <v>5735</v>
      </c>
      <c r="S589" s="7" t="str">
        <f>HYPERLINK("https://drive.google.com/file/d/1RNKPIzaezLXYcwi7RXlBuFf_k_T2Vep1/view?usp=drivesdk","588_HERI SYUHAERI SERTIFIKAT BIMTEK IPASN-BerAKHLAK")</f>
        <v>588_HERI SYUHAERI SERTIFIKAT BIMTEK IPASN-BerAKHLAK</v>
      </c>
      <c r="T589" s="5" t="s">
        <v>5726</v>
      </c>
    </row>
    <row r="590">
      <c r="A590" s="4">
        <v>45534.32267916667</v>
      </c>
      <c r="B590" s="5" t="s">
        <v>34</v>
      </c>
      <c r="D590" s="5" t="s">
        <v>35</v>
      </c>
      <c r="E590" s="5" t="s">
        <v>5736</v>
      </c>
      <c r="F590" s="5" t="s">
        <v>715</v>
      </c>
      <c r="G590" s="5" t="s">
        <v>5737</v>
      </c>
      <c r="H590" s="6" t="s">
        <v>5738</v>
      </c>
      <c r="I590" s="7" t="s">
        <v>5739</v>
      </c>
      <c r="J590" s="8" t="str">
        <f>HYPERLINK("https://drive.google.com/file/d/1apQ9VW9YQQP2knN0BfHL2yP3gHo8h-mM/view?usp=drivesdk","UJANG SAEPULOH,SPd SERTIFIKAT BerAKHLAK")</f>
        <v>UJANG SAEPULOH,SPd SERTIFIKAT BerAKHLAK</v>
      </c>
      <c r="K590" s="5" t="s">
        <v>5156</v>
      </c>
      <c r="L590" s="5" t="s">
        <v>5740</v>
      </c>
      <c r="M590" s="5" t="s">
        <v>5741</v>
      </c>
      <c r="N590" s="7" t="s">
        <v>5742</v>
      </c>
      <c r="O590" s="8" t="str">
        <f>HYPERLINK("https://drive.google.com/file/d/1hjJIv36jgg8DcA9x1iEtqSrFHSIuzuTc/view?usp=drivesdk","589_UJANG SAEPULOH,SPd _ SERTIFIKAT BIMTEK IPASN BerAKHLASK")</f>
        <v>589_UJANG SAEPULOH,SPd _ SERTIFIKAT BIMTEK IPASN BerAKHLASK</v>
      </c>
      <c r="P590" s="5" t="s">
        <v>5743</v>
      </c>
      <c r="Q590" s="5" t="s">
        <v>5744</v>
      </c>
      <c r="R590" s="7" t="s">
        <v>5745</v>
      </c>
      <c r="S590" s="7" t="str">
        <f>HYPERLINK("https://drive.google.com/file/d/1You_aSCymLe_LWYritz1sQE6MCA07iNU/view?usp=drivesdk","589_UJANG SAEPULOH,SPd SERTIFIKAT BIMTEK IPASN-BerAKHLAK")</f>
        <v>589_UJANG SAEPULOH,SPd SERTIFIKAT BIMTEK IPASN-BerAKHLAK</v>
      </c>
      <c r="T590" s="5" t="s">
        <v>5726</v>
      </c>
    </row>
    <row r="591" hidden="1">
      <c r="A591" s="4">
        <v>45534.32271184028</v>
      </c>
      <c r="B591" s="5" t="s">
        <v>19</v>
      </c>
      <c r="C591" s="5" t="s">
        <v>292</v>
      </c>
      <c r="E591" s="5" t="s">
        <v>5746</v>
      </c>
      <c r="F591" s="5" t="s">
        <v>524</v>
      </c>
      <c r="G591" s="5" t="s">
        <v>5747</v>
      </c>
      <c r="H591" s="6" t="s">
        <v>5748</v>
      </c>
      <c r="I591" s="7" t="s">
        <v>5749</v>
      </c>
      <c r="J591" s="8" t="str">
        <f>HYPERLINK("https://drive.google.com/file/d/1DWFsS8NuJG28dB1zFrEGeDQXRh65RPiB/view?usp=drivesdk","IRA YUNIARTI,SP.d. SERTIFIKAT BerAKHLAK")</f>
        <v>IRA YUNIARTI,SP.d. SERTIFIKAT BerAKHLAK</v>
      </c>
      <c r="K591" s="5" t="s">
        <v>5598</v>
      </c>
      <c r="L591" s="5" t="s">
        <v>5750</v>
      </c>
      <c r="M591" s="5" t="s">
        <v>5751</v>
      </c>
      <c r="N591" s="7" t="s">
        <v>5752</v>
      </c>
      <c r="O591" s="8" t="str">
        <f>HYPERLINK("https://drive.google.com/file/d/1skVbmfQTVW3WLbxr5J8AJajmLQzU-jub/view?usp=drivesdk","590_IRA YUNIARTI,SP.d. _ SERTIFIKAT BIMTEK IPASN BerAKHLASK")</f>
        <v>590_IRA YUNIARTI,SP.d. _ SERTIFIKAT BIMTEK IPASN BerAKHLASK</v>
      </c>
      <c r="P591" s="5" t="s">
        <v>5743</v>
      </c>
      <c r="Q591" s="5" t="s">
        <v>5753</v>
      </c>
      <c r="R591" s="7" t="s">
        <v>5754</v>
      </c>
      <c r="S591" s="7" t="str">
        <f>HYPERLINK("https://drive.google.com/file/d/1GRwABoIUn2cz1zJ82pGxYvWhGDMGk1z9/view?usp=drivesdk","590_IRA YUNIARTI,SP.d. SERTIFIKAT BIMTEK IPASN-BerAKHLAK")</f>
        <v>590_IRA YUNIARTI,SP.d. SERTIFIKAT BIMTEK IPASN-BerAKHLAK</v>
      </c>
      <c r="T591" s="5" t="s">
        <v>5726</v>
      </c>
    </row>
    <row r="592">
      <c r="A592" s="4">
        <v>45534.32272144676</v>
      </c>
      <c r="B592" s="5" t="s">
        <v>34</v>
      </c>
      <c r="D592" s="5" t="s">
        <v>267</v>
      </c>
      <c r="E592" s="5" t="s">
        <v>5755</v>
      </c>
      <c r="F592" s="5" t="s">
        <v>524</v>
      </c>
      <c r="G592" s="5" t="s">
        <v>5756</v>
      </c>
      <c r="H592" s="6" t="s">
        <v>5757</v>
      </c>
      <c r="I592" s="7" t="s">
        <v>5758</v>
      </c>
      <c r="J592" s="8" t="str">
        <f>HYPERLINK("https://drive.google.com/file/d/1ZvXKqcNSkF-Rat-kFw2RkHaPQgva-Igv/view?usp=drivesdk","MUSANTO SANTO SERTIFIKAT BerAKHLAK")</f>
        <v>MUSANTO SANTO SERTIFIKAT BerAKHLAK</v>
      </c>
      <c r="K592" s="5" t="s">
        <v>5598</v>
      </c>
      <c r="L592" s="5" t="s">
        <v>5759</v>
      </c>
      <c r="M592" s="5" t="s">
        <v>5760</v>
      </c>
      <c r="N592" s="7" t="s">
        <v>5761</v>
      </c>
      <c r="O592" s="8" t="str">
        <f>HYPERLINK("https://drive.google.com/file/d/19CfRkQ9g79YCR7V42PN7wo53KJK2EeuI/view?usp=drivesdk","591_MUSANTO SANTO _ SERTIFIKAT BIMTEK IPASN BerAKHLASK")</f>
        <v>591_MUSANTO SANTO _ SERTIFIKAT BIMTEK IPASN BerAKHLASK</v>
      </c>
      <c r="P592" s="5" t="s">
        <v>5743</v>
      </c>
      <c r="Q592" s="5" t="s">
        <v>5762</v>
      </c>
      <c r="R592" s="7" t="s">
        <v>5763</v>
      </c>
      <c r="S592" s="7" t="str">
        <f>HYPERLINK("https://drive.google.com/file/d/1YL-ac2OXEcztC19n5Mm8UhSvL4c5lwBG/view?usp=drivesdk","591_MUSANTO SANTO SERTIFIKAT BIMTEK IPASN-BerAKHLAK")</f>
        <v>591_MUSANTO SANTO SERTIFIKAT BIMTEK IPASN-BerAKHLAK</v>
      </c>
      <c r="T592" s="5" t="s">
        <v>5726</v>
      </c>
    </row>
    <row r="593">
      <c r="A593" s="4">
        <v>45534.3227344676</v>
      </c>
      <c r="B593" s="5" t="s">
        <v>34</v>
      </c>
      <c r="D593" s="5" t="s">
        <v>35</v>
      </c>
      <c r="E593" s="5" t="s">
        <v>5764</v>
      </c>
      <c r="F593" s="5" t="s">
        <v>375</v>
      </c>
      <c r="G593" s="5" t="s">
        <v>5765</v>
      </c>
      <c r="H593" s="6" t="s">
        <v>5766</v>
      </c>
      <c r="I593" s="7" t="s">
        <v>5767</v>
      </c>
      <c r="J593" s="8" t="str">
        <f>HYPERLINK("https://drive.google.com/file/d/1n0Q0ZCQbF-vVm2BzrZFA2UZDtBVSXowS/view?usp=drivesdk","FERRY FARMONO, SE SERTIFIKAT BerAKHLAK")</f>
        <v>FERRY FARMONO, SE SERTIFIKAT BerAKHLAK</v>
      </c>
      <c r="K593" s="5" t="s">
        <v>5156</v>
      </c>
      <c r="L593" s="5" t="s">
        <v>5768</v>
      </c>
      <c r="M593" s="5" t="s">
        <v>5769</v>
      </c>
      <c r="N593" s="7" t="s">
        <v>5770</v>
      </c>
      <c r="O593" s="8" t="str">
        <f>HYPERLINK("https://drive.google.com/file/d/1xV5ya-B1MlcTIBXIRGA2e_vnvnu0sSMu/view?usp=drivesdk","592_FERRY FARMONO, SE _ SERTIFIKAT BIMTEK IPASN BerAKHLASK")</f>
        <v>592_FERRY FARMONO, SE _ SERTIFIKAT BIMTEK IPASN BerAKHLASK</v>
      </c>
      <c r="P593" s="5" t="s">
        <v>5743</v>
      </c>
      <c r="Q593" s="5" t="s">
        <v>5771</v>
      </c>
      <c r="R593" s="7" t="s">
        <v>5772</v>
      </c>
      <c r="S593" s="7" t="str">
        <f>HYPERLINK("https://drive.google.com/file/d/1BV8gEPy5uXfUi_BtThWXQdWNESq_E8jk/view?usp=drivesdk","592_FERRY FARMONO, SE SERTIFIKAT BIMTEK IPASN-BerAKHLAK")</f>
        <v>592_FERRY FARMONO, SE SERTIFIKAT BIMTEK IPASN-BerAKHLAK</v>
      </c>
      <c r="T593" s="5" t="s">
        <v>5726</v>
      </c>
    </row>
    <row r="594" hidden="1">
      <c r="A594" s="4">
        <v>45534.322769039354</v>
      </c>
      <c r="B594" s="5" t="s">
        <v>19</v>
      </c>
      <c r="C594" s="5" t="s">
        <v>466</v>
      </c>
      <c r="E594" s="5" t="s">
        <v>5773</v>
      </c>
      <c r="F594" s="5" t="s">
        <v>108</v>
      </c>
      <c r="G594" s="5" t="s">
        <v>5774</v>
      </c>
      <c r="H594" s="6" t="s">
        <v>5775</v>
      </c>
      <c r="I594" s="7" t="s">
        <v>5776</v>
      </c>
      <c r="J594" s="8" t="str">
        <f>HYPERLINK("https://drive.google.com/file/d/1TnhYMlF3VrgFLFznrblPMWpsb6uTeMY3/view?usp=drivesdk","PRITA ROSSANI, A.Md. SERTIFIKAT BerAKHLAK")</f>
        <v>PRITA ROSSANI, A.Md. SERTIFIKAT BerAKHLAK</v>
      </c>
      <c r="K594" s="5" t="s">
        <v>5156</v>
      </c>
      <c r="L594" s="5" t="s">
        <v>5777</v>
      </c>
      <c r="M594" s="5" t="s">
        <v>5778</v>
      </c>
      <c r="N594" s="7" t="s">
        <v>5779</v>
      </c>
      <c r="O594" s="8" t="str">
        <f>HYPERLINK("https://drive.google.com/file/d/1nFo98cT3zSOBx3OV1iQNQKaPMJOHhofm/view?usp=drivesdk","593_PRITA ROSSANI, A.Md. _ SERTIFIKAT BIMTEK IPASN BerAKHLASK")</f>
        <v>593_PRITA ROSSANI, A.Md. _ SERTIFIKAT BIMTEK IPASN BerAKHLASK</v>
      </c>
      <c r="P594" s="5" t="s">
        <v>5743</v>
      </c>
      <c r="Q594" s="5" t="s">
        <v>5780</v>
      </c>
      <c r="R594" s="7" t="s">
        <v>5781</v>
      </c>
      <c r="S594" s="7" t="str">
        <f>HYPERLINK("https://drive.google.com/file/d/1xpV7-Y34klvoIRHum8vrla8vUDpEw2HW/view?usp=drivesdk","593_PRITA ROSSANI, A.Md. SERTIFIKAT BIMTEK IPASN-BerAKHLAK")</f>
        <v>593_PRITA ROSSANI, A.Md. SERTIFIKAT BIMTEK IPASN-BerAKHLAK</v>
      </c>
      <c r="T594" s="5" t="s">
        <v>5782</v>
      </c>
    </row>
    <row r="595">
      <c r="A595" s="4">
        <v>45534.32277533565</v>
      </c>
      <c r="B595" s="5" t="s">
        <v>34</v>
      </c>
      <c r="D595" s="5" t="s">
        <v>1692</v>
      </c>
      <c r="E595" s="5" t="s">
        <v>5783</v>
      </c>
      <c r="F595" s="5" t="s">
        <v>212</v>
      </c>
      <c r="G595" s="5" t="s">
        <v>5784</v>
      </c>
      <c r="H595" s="6" t="s">
        <v>5785</v>
      </c>
      <c r="I595" s="7" t="s">
        <v>5786</v>
      </c>
      <c r="J595" s="8" t="str">
        <f>HYPERLINK("https://drive.google.com/file/d/1U8FH59X8bct0lOfh_vAmRve64TmXleqf/view?usp=drivesdk","NONI ADUNG DAMSIK SERTIFIKAT BerAKHLAK")</f>
        <v>NONI ADUNG DAMSIK SERTIFIKAT BerAKHLAK</v>
      </c>
      <c r="K595" s="5" t="s">
        <v>5598</v>
      </c>
      <c r="L595" s="5" t="s">
        <v>5787</v>
      </c>
      <c r="M595" s="5" t="s">
        <v>5788</v>
      </c>
      <c r="N595" s="7" t="s">
        <v>5789</v>
      </c>
      <c r="O595" s="8" t="str">
        <f>HYPERLINK("https://drive.google.com/file/d/1MaFMyNa_Zc4nxFlCLSvRroKLYwmNl-KK/view?usp=drivesdk","594_NONI ADUNG DAMSIK _ SERTIFIKAT BIMTEK IPASN BerAKHLASK")</f>
        <v>594_NONI ADUNG DAMSIK _ SERTIFIKAT BIMTEK IPASN BerAKHLASK</v>
      </c>
      <c r="P595" s="5" t="s">
        <v>5743</v>
      </c>
      <c r="Q595" s="5" t="s">
        <v>5790</v>
      </c>
      <c r="R595" s="7" t="s">
        <v>5791</v>
      </c>
      <c r="S595" s="7" t="str">
        <f>HYPERLINK("https://drive.google.com/file/d/1kbdSlDQQykp2PKTDDHWdXBg3LcVnCkIx/view?usp=drivesdk","594_NONI ADUNG DAMSIK SERTIFIKAT BIMTEK IPASN-BerAKHLAK")</f>
        <v>594_NONI ADUNG DAMSIK SERTIFIKAT BIMTEK IPASN-BerAKHLAK</v>
      </c>
      <c r="T595" s="5" t="s">
        <v>5782</v>
      </c>
    </row>
    <row r="596">
      <c r="A596" s="4">
        <v>45534.32277854167</v>
      </c>
      <c r="B596" s="5" t="s">
        <v>34</v>
      </c>
      <c r="D596" s="5" t="s">
        <v>35</v>
      </c>
      <c r="E596" s="5" t="s">
        <v>5792</v>
      </c>
      <c r="F596" s="5" t="s">
        <v>37</v>
      </c>
      <c r="G596" s="5" t="s">
        <v>5793</v>
      </c>
      <c r="H596" s="6" t="s">
        <v>5794</v>
      </c>
      <c r="I596" s="7" t="s">
        <v>5795</v>
      </c>
      <c r="J596" s="8" t="str">
        <f>HYPERLINK("https://drive.google.com/file/d/1_Bb65MjlkkSOXiN1pDnqQS2f8kwFoDl8/view?usp=drivesdk","HENDRAWIJAYA SERTIFIKAT BerAKHLAK")</f>
        <v>HENDRAWIJAYA SERTIFIKAT BerAKHLAK</v>
      </c>
      <c r="K596" s="5" t="s">
        <v>5598</v>
      </c>
      <c r="L596" s="5" t="s">
        <v>5796</v>
      </c>
      <c r="M596" s="5" t="s">
        <v>5797</v>
      </c>
      <c r="N596" s="7" t="s">
        <v>5798</v>
      </c>
      <c r="O596" s="8" t="str">
        <f>HYPERLINK("https://drive.google.com/file/d/1dy2lGFbRLxqrr6ktLzKpQZZU4Zy3B5pZ/view?usp=drivesdk","595_HENDRAWIJAYA _ SERTIFIKAT BIMTEK IPASN BerAKHLASK")</f>
        <v>595_HENDRAWIJAYA _ SERTIFIKAT BIMTEK IPASN BerAKHLASK</v>
      </c>
      <c r="P596" s="5" t="s">
        <v>5799</v>
      </c>
      <c r="Q596" s="5" t="s">
        <v>5800</v>
      </c>
      <c r="R596" s="7" t="s">
        <v>5801</v>
      </c>
      <c r="S596" s="7" t="str">
        <f>HYPERLINK("https://drive.google.com/file/d/1QQWcnxug3qItKmaUKPp_a5L3DoV_wsDO/view?usp=drivesdk","595_HENDRAWIJAYA SERTIFIKAT BIMTEK IPASN-BerAKHLAK")</f>
        <v>595_HENDRAWIJAYA SERTIFIKAT BIMTEK IPASN-BerAKHLAK</v>
      </c>
      <c r="T596" s="5" t="s">
        <v>5782</v>
      </c>
    </row>
    <row r="597">
      <c r="A597" s="4">
        <v>45534.322787743055</v>
      </c>
      <c r="B597" s="5" t="s">
        <v>34</v>
      </c>
      <c r="D597" s="5" t="s">
        <v>3849</v>
      </c>
      <c r="E597" s="5" t="s">
        <v>5802</v>
      </c>
      <c r="F597" s="5" t="s">
        <v>524</v>
      </c>
      <c r="G597" s="5" t="s">
        <v>5803</v>
      </c>
      <c r="H597" s="6" t="s">
        <v>5804</v>
      </c>
      <c r="I597" s="7" t="s">
        <v>5805</v>
      </c>
      <c r="J597" s="8" t="str">
        <f>HYPERLINK("https://drive.google.com/file/d/11c1WbyQ6jYX51g2R3gvZVj2J9JXO5iAt/view?usp=drivesdk","RONALD HADINATA  SERTIFIKAT BerAKHLAK")</f>
        <v>RONALD HADINATA  SERTIFIKAT BerAKHLAK</v>
      </c>
      <c r="K597" s="5" t="s">
        <v>5598</v>
      </c>
      <c r="L597" s="5" t="s">
        <v>5806</v>
      </c>
      <c r="M597" s="5" t="s">
        <v>5807</v>
      </c>
      <c r="N597" s="7" t="s">
        <v>5808</v>
      </c>
      <c r="O597" s="8" t="str">
        <f>HYPERLINK("https://drive.google.com/file/d/1PRcmqr5hDdujS2O3GKoJpL0vhlLP76Ox/view?usp=drivesdk","596_RONALD HADINATA  _ SERTIFIKAT BIMTEK IPASN BerAKHLASK")</f>
        <v>596_RONALD HADINATA  _ SERTIFIKAT BIMTEK IPASN BerAKHLASK</v>
      </c>
      <c r="P597" s="5" t="s">
        <v>5799</v>
      </c>
      <c r="Q597" s="5" t="s">
        <v>5809</v>
      </c>
      <c r="R597" s="7" t="s">
        <v>5810</v>
      </c>
      <c r="S597" s="7" t="str">
        <f>HYPERLINK("https://drive.google.com/file/d/12yYeXilARkexKI5gkM4QAGDCOa3RhiAi/view?usp=drivesdk","596_RONALD HADINATA  SERTIFIKAT BIMTEK IPASN-BerAKHLAK")</f>
        <v>596_RONALD HADINATA  SERTIFIKAT BIMTEK IPASN-BerAKHLAK</v>
      </c>
      <c r="T597" s="5" t="s">
        <v>5782</v>
      </c>
    </row>
    <row r="598">
      <c r="A598" s="4">
        <v>45534.3228706713</v>
      </c>
      <c r="B598" s="5" t="s">
        <v>34</v>
      </c>
      <c r="D598" s="5" t="s">
        <v>522</v>
      </c>
      <c r="E598" s="5" t="s">
        <v>5811</v>
      </c>
      <c r="F598" s="5" t="s">
        <v>37</v>
      </c>
      <c r="G598" s="5" t="s">
        <v>5812</v>
      </c>
      <c r="H598" s="6" t="s">
        <v>5813</v>
      </c>
      <c r="I598" s="7" t="s">
        <v>5814</v>
      </c>
      <c r="J598" s="8" t="str">
        <f>HYPERLINK("https://drive.google.com/file/d/1iAJLgUnfhsDATKJqhky4Y4ITPTxYBzrR/view?usp=drivesdk","SRI YULIANA RAHAYU, A.Md.Kep. SERTIFIKAT BerAKHLAK")</f>
        <v>SRI YULIANA RAHAYU, A.Md.Kep. SERTIFIKAT BerAKHLAK</v>
      </c>
      <c r="K598" s="5" t="s">
        <v>5598</v>
      </c>
      <c r="L598" s="5" t="s">
        <v>5815</v>
      </c>
      <c r="M598" s="5" t="s">
        <v>5816</v>
      </c>
      <c r="N598" s="7" t="s">
        <v>5817</v>
      </c>
      <c r="O598" s="8" t="str">
        <f>HYPERLINK("https://drive.google.com/file/d/1OhfmfMIxwhZO2_RvYbimaI-iTK4lx3E5/view?usp=drivesdk","597_SRI YULIANA RAHAYU, A.Md.Kep. _ SERTIFIKAT BIMTEK IPASN BerAKHLASK")</f>
        <v>597_SRI YULIANA RAHAYU, A.Md.Kep. _ SERTIFIKAT BIMTEK IPASN BerAKHLASK</v>
      </c>
      <c r="P598" s="5" t="s">
        <v>5799</v>
      </c>
      <c r="Q598" s="5" t="s">
        <v>5818</v>
      </c>
      <c r="R598" s="7" t="s">
        <v>5819</v>
      </c>
      <c r="S598" s="7" t="str">
        <f>HYPERLINK("https://drive.google.com/file/d/1sV_TOq5FboS-L9_UjvuahVaMcPnCvhZ7/view?usp=drivesdk","597_SRI YULIANA RAHAYU, A.Md.Kep. SERTIFIKAT BIMTEK IPASN-BerAKHLAK")</f>
        <v>597_SRI YULIANA RAHAYU, A.Md.Kep. SERTIFIKAT BIMTEK IPASN-BerAKHLAK</v>
      </c>
      <c r="T598" s="5" t="s">
        <v>5820</v>
      </c>
    </row>
    <row r="599" hidden="1">
      <c r="A599" s="4">
        <v>45534.32290277778</v>
      </c>
      <c r="B599" s="5" t="s">
        <v>19</v>
      </c>
      <c r="C599" s="5" t="s">
        <v>292</v>
      </c>
      <c r="E599" s="5" t="s">
        <v>5821</v>
      </c>
      <c r="F599" s="5" t="s">
        <v>108</v>
      </c>
      <c r="G599" s="5" t="s">
        <v>5822</v>
      </c>
      <c r="H599" s="6" t="s">
        <v>5823</v>
      </c>
      <c r="I599" s="7" t="s">
        <v>5824</v>
      </c>
      <c r="J599" s="8" t="str">
        <f>HYPERLINK("https://drive.google.com/file/d/1lMJWBbOtOtUFjAfmKWFa4OfRFnH-3WU9/view?usp=drivesdk","PUTU EKAWATI, SKM SERTIFIKAT BerAKHLAK")</f>
        <v>PUTU EKAWATI, SKM SERTIFIKAT BerAKHLAK</v>
      </c>
      <c r="K599" s="5" t="s">
        <v>5598</v>
      </c>
      <c r="L599" s="5" t="s">
        <v>5825</v>
      </c>
      <c r="M599" s="5" t="s">
        <v>5826</v>
      </c>
      <c r="N599" s="7" t="s">
        <v>5827</v>
      </c>
      <c r="O599" s="8" t="str">
        <f>HYPERLINK("https://drive.google.com/file/d/1FC6rCBE-frvaenNMQovneJQPcG5ekAVg/view?usp=drivesdk","598_PUTU EKAWATI, SKM _ SERTIFIKAT BIMTEK IPASN BerAKHLASK")</f>
        <v>598_PUTU EKAWATI, SKM _ SERTIFIKAT BIMTEK IPASN BerAKHLASK</v>
      </c>
      <c r="P599" s="5" t="s">
        <v>5799</v>
      </c>
      <c r="Q599" s="5" t="s">
        <v>5828</v>
      </c>
      <c r="R599" s="7" t="s">
        <v>5829</v>
      </c>
      <c r="S599" s="7" t="str">
        <f>HYPERLINK("https://drive.google.com/file/d/1aAQECJ2TB7t5pxSruxEMvsAEfIBBGzfh/view?usp=drivesdk","598_PUTU EKAWATI, SKM SERTIFIKAT BIMTEK IPASN-BerAKHLAK")</f>
        <v>598_PUTU EKAWATI, SKM SERTIFIKAT BIMTEK IPASN-BerAKHLAK</v>
      </c>
      <c r="T599" s="5" t="s">
        <v>5820</v>
      </c>
    </row>
    <row r="600">
      <c r="A600" s="4">
        <v>45534.32290905093</v>
      </c>
      <c r="B600" s="5" t="s">
        <v>34</v>
      </c>
      <c r="D600" s="5" t="s">
        <v>522</v>
      </c>
      <c r="E600" s="5" t="s">
        <v>5830</v>
      </c>
      <c r="F600" s="5" t="s">
        <v>212</v>
      </c>
      <c r="G600" s="5" t="s">
        <v>5831</v>
      </c>
      <c r="H600" s="6" t="s">
        <v>5832</v>
      </c>
      <c r="I600" s="7" t="s">
        <v>5833</v>
      </c>
      <c r="J600" s="8" t="str">
        <f>HYPERLINK("https://drive.google.com/file/d/1RfrH1qM0kBVaDaDw0VBctKjgBWZwEPxW/view?usp=drivesdk","NI PUTU SUMIARTINI SERTIFIKAT BerAKHLAK")</f>
        <v>NI PUTU SUMIARTINI SERTIFIKAT BerAKHLAK</v>
      </c>
      <c r="K600" s="5" t="s">
        <v>5598</v>
      </c>
      <c r="L600" s="5" t="s">
        <v>5834</v>
      </c>
      <c r="M600" s="5" t="s">
        <v>5835</v>
      </c>
      <c r="N600" s="7" t="s">
        <v>5836</v>
      </c>
      <c r="O600" s="8" t="str">
        <f>HYPERLINK("https://drive.google.com/file/d/1vbZATjIy6Pzkrc6UuEyK-DMA2RsWOVLf/view?usp=drivesdk","599_NI PUTU SUMIARTINI _ SERTIFIKAT BIMTEK IPASN BerAKHLASK")</f>
        <v>599_NI PUTU SUMIARTINI _ SERTIFIKAT BIMTEK IPASN BerAKHLASK</v>
      </c>
      <c r="P600" s="5" t="s">
        <v>5799</v>
      </c>
      <c r="Q600" s="5" t="s">
        <v>5837</v>
      </c>
      <c r="R600" s="7" t="s">
        <v>5838</v>
      </c>
      <c r="S600" s="7" t="str">
        <f>HYPERLINK("https://drive.google.com/file/d/1rSJwntwj3NoZZQ6jFVWr9WO7DPDt1BkC/view?usp=drivesdk","599_NI PUTU SUMIARTINI SERTIFIKAT BIMTEK IPASN-BerAKHLAK")</f>
        <v>599_NI PUTU SUMIARTINI SERTIFIKAT BIMTEK IPASN-BerAKHLAK</v>
      </c>
      <c r="T600" s="5" t="s">
        <v>5820</v>
      </c>
    </row>
    <row r="601" hidden="1">
      <c r="A601" s="4">
        <v>45534.32293673611</v>
      </c>
      <c r="B601" s="5" t="s">
        <v>19</v>
      </c>
      <c r="C601" s="5" t="s">
        <v>442</v>
      </c>
      <c r="E601" s="5" t="s">
        <v>5839</v>
      </c>
      <c r="F601" s="5" t="s">
        <v>72</v>
      </c>
      <c r="G601" s="5" t="s">
        <v>5840</v>
      </c>
      <c r="H601" s="6" t="s">
        <v>5841</v>
      </c>
      <c r="I601" s="7" t="s">
        <v>5842</v>
      </c>
      <c r="J601" s="8" t="str">
        <f>HYPERLINK("https://drive.google.com/file/d/1MIfG-fG4GYrE4HrSvBxB0TrCgCnMbrfy/view?usp=drivesdk","NI MADE HARTUTININGSIH SERTIFIKAT BerAKHLAK")</f>
        <v>NI MADE HARTUTININGSIH SERTIFIKAT BerAKHLAK</v>
      </c>
      <c r="K601" s="5" t="s">
        <v>5598</v>
      </c>
      <c r="L601" s="5" t="s">
        <v>5843</v>
      </c>
      <c r="M601" s="5" t="s">
        <v>5844</v>
      </c>
      <c r="N601" s="7" t="s">
        <v>5845</v>
      </c>
      <c r="O601" s="8" t="str">
        <f>HYPERLINK("https://drive.google.com/file/d/1h1oBGSYdYNc1rjjtLS-CPoa_azYLTUwM/view?usp=drivesdk","600_NI MADE HARTUTININGSIH _ SERTIFIKAT BIMTEK IPASN BerAKHLASK")</f>
        <v>600_NI MADE HARTUTININGSIH _ SERTIFIKAT BIMTEK IPASN BerAKHLASK</v>
      </c>
      <c r="P601" s="5" t="s">
        <v>5799</v>
      </c>
      <c r="Q601" s="5" t="s">
        <v>5846</v>
      </c>
      <c r="R601" s="7" t="s">
        <v>5847</v>
      </c>
      <c r="S601" s="7" t="str">
        <f>HYPERLINK("https://drive.google.com/file/d/1Ua1gt99PXK_aGCoEKUjmnxMXIhdxuH0U/view?usp=drivesdk","600_NI MADE HARTUTININGSIH SERTIFIKAT BIMTEK IPASN-BerAKHLAK")</f>
        <v>600_NI MADE HARTUTININGSIH SERTIFIKAT BIMTEK IPASN-BerAKHLAK</v>
      </c>
      <c r="T601" s="5" t="s">
        <v>5820</v>
      </c>
    </row>
    <row r="602">
      <c r="A602" s="4">
        <v>45534.32300130787</v>
      </c>
      <c r="B602" s="5" t="s">
        <v>34</v>
      </c>
      <c r="D602" s="5" t="s">
        <v>1768</v>
      </c>
      <c r="E602" s="5" t="s">
        <v>5848</v>
      </c>
      <c r="F602" s="5" t="s">
        <v>212</v>
      </c>
      <c r="G602" s="5" t="s">
        <v>5849</v>
      </c>
      <c r="H602" s="6" t="s">
        <v>5850</v>
      </c>
      <c r="I602" s="7" t="s">
        <v>5851</v>
      </c>
      <c r="J602" s="8" t="str">
        <f>HYPERLINK("https://drive.google.com/file/d/1yXwjbfmpbVx78RJJi4V9ypi-jaKirBrh/view?usp=drivesdk","DWI PURWANTI SE SERTIFIKAT BerAKHLAK")</f>
        <v>DWI PURWANTI SE SERTIFIKAT BerAKHLAK</v>
      </c>
      <c r="K602" s="5" t="s">
        <v>5598</v>
      </c>
      <c r="L602" s="5" t="s">
        <v>5852</v>
      </c>
      <c r="M602" s="5" t="s">
        <v>5853</v>
      </c>
      <c r="N602" s="7" t="s">
        <v>5854</v>
      </c>
      <c r="O602" s="8" t="str">
        <f>HYPERLINK("https://drive.google.com/file/d/12ZSTxw_nUVFGyHXZZ2ba0huc_PGWm3gt/view?usp=drivesdk","601_DWI PURWANTI SE _ SERTIFIKAT BIMTEK IPASN BerAKHLASK")</f>
        <v>601_DWI PURWANTI SE _ SERTIFIKAT BIMTEK IPASN BerAKHLASK</v>
      </c>
      <c r="P602" s="5" t="s">
        <v>5855</v>
      </c>
      <c r="Q602" s="5" t="s">
        <v>5856</v>
      </c>
      <c r="R602" s="7" t="s">
        <v>5857</v>
      </c>
      <c r="S602" s="7" t="str">
        <f>HYPERLINK("https://drive.google.com/file/d/1eDTRWHfXVeWfBYKFvQ6ScHxXipo_0efZ/view?usp=drivesdk","601_DWI PURWANTI SE SERTIFIKAT BIMTEK IPASN-BerAKHLAK")</f>
        <v>601_DWI PURWANTI SE SERTIFIKAT BIMTEK IPASN-BerAKHLAK</v>
      </c>
      <c r="T602" s="5" t="s">
        <v>5820</v>
      </c>
    </row>
    <row r="603">
      <c r="A603" s="4">
        <v>45534.32302186343</v>
      </c>
      <c r="B603" s="5" t="s">
        <v>34</v>
      </c>
      <c r="D603" s="5" t="s">
        <v>280</v>
      </c>
      <c r="E603" s="5" t="s">
        <v>5858</v>
      </c>
      <c r="F603" s="5" t="s">
        <v>5859</v>
      </c>
      <c r="G603" s="5" t="s">
        <v>5860</v>
      </c>
      <c r="H603" s="6" t="s">
        <v>5861</v>
      </c>
      <c r="I603" s="7" t="s">
        <v>5862</v>
      </c>
      <c r="J603" s="8" t="str">
        <f>HYPERLINK("https://drive.google.com/file/d/1troeoCcC0yG4TTyn86t9Ag3GPVXK7hp4/view?usp=drivesdk","SYARIFAH FATIN HANANA SERTIFIKAT BerAKHLAK")</f>
        <v>SYARIFAH FATIN HANANA SERTIFIKAT BerAKHLAK</v>
      </c>
      <c r="K603" s="5" t="s">
        <v>5598</v>
      </c>
      <c r="L603" s="5" t="s">
        <v>5863</v>
      </c>
      <c r="M603" s="5" t="s">
        <v>5864</v>
      </c>
      <c r="N603" s="7" t="s">
        <v>5865</v>
      </c>
      <c r="O603" s="8" t="str">
        <f>HYPERLINK("https://drive.google.com/file/d/1bS4bkQSRVnbiy1sSB4FGbgve1x1slNud/view?usp=drivesdk","602_SYARIFAH FATIN HANANA _ SERTIFIKAT BIMTEK IPASN BerAKHLASK")</f>
        <v>602_SYARIFAH FATIN HANANA _ SERTIFIKAT BIMTEK IPASN BerAKHLASK</v>
      </c>
      <c r="P603" s="5" t="s">
        <v>5855</v>
      </c>
      <c r="Q603" s="5" t="s">
        <v>5866</v>
      </c>
      <c r="R603" s="7" t="s">
        <v>5867</v>
      </c>
      <c r="S603" s="7" t="str">
        <f>HYPERLINK("https://drive.google.com/file/d/1yGJSdf5d1P4K8AD1YHnR4xydsbD-acyD/view?usp=drivesdk","602_SYARIFAH FATIN HANANA SERTIFIKAT BIMTEK IPASN-BerAKHLAK")</f>
        <v>602_SYARIFAH FATIN HANANA SERTIFIKAT BIMTEK IPASN-BerAKHLAK</v>
      </c>
      <c r="T603" s="5" t="s">
        <v>5820</v>
      </c>
    </row>
    <row r="604" hidden="1">
      <c r="A604" s="4">
        <v>45534.32303491898</v>
      </c>
      <c r="B604" s="5" t="s">
        <v>19</v>
      </c>
      <c r="C604" s="5" t="s">
        <v>466</v>
      </c>
      <c r="E604" s="5" t="s">
        <v>5868</v>
      </c>
      <c r="F604" s="5" t="s">
        <v>524</v>
      </c>
      <c r="G604" s="5" t="s">
        <v>5869</v>
      </c>
      <c r="H604" s="6" t="s">
        <v>5870</v>
      </c>
      <c r="I604" s="7" t="s">
        <v>5871</v>
      </c>
      <c r="J604" s="8" t="str">
        <f>HYPERLINK("https://drive.google.com/file/d/1_USUZ8aIa8XtzvXOArHbF80LdUtyuu0k/view?usp=drivesdk","FITROH DIKA PRADANA SERTIFIKAT BerAKHLAK")</f>
        <v>FITROH DIKA PRADANA SERTIFIKAT BerAKHLAK</v>
      </c>
      <c r="K604" s="5" t="s">
        <v>5598</v>
      </c>
      <c r="L604" s="5" t="s">
        <v>5872</v>
      </c>
      <c r="M604" s="5" t="s">
        <v>5873</v>
      </c>
      <c r="N604" s="7" t="s">
        <v>5874</v>
      </c>
      <c r="O604" s="8" t="str">
        <f>HYPERLINK("https://drive.google.com/file/d/1J2mvCLUxsxmzNJz2zI2Qf-dzJZTEoZr8/view?usp=drivesdk","603_FITROH DIKA PRADANA _ SERTIFIKAT BIMTEK IPASN BerAKHLASK")</f>
        <v>603_FITROH DIKA PRADANA _ SERTIFIKAT BIMTEK IPASN BerAKHLASK</v>
      </c>
      <c r="P604" s="5" t="s">
        <v>5855</v>
      </c>
      <c r="Q604" s="5" t="s">
        <v>5875</v>
      </c>
      <c r="R604" s="7" t="s">
        <v>5876</v>
      </c>
      <c r="S604" s="7" t="str">
        <f>HYPERLINK("https://drive.google.com/file/d/19JvTkz1yfpIN4NlrJCNxPxgM7uujAseh/view?usp=drivesdk","603_FITROH DIKA PRADANA SERTIFIKAT BIMTEK IPASN-BerAKHLAK")</f>
        <v>603_FITROH DIKA PRADANA SERTIFIKAT BIMTEK IPASN-BerAKHLAK</v>
      </c>
      <c r="T604" s="5" t="s">
        <v>5877</v>
      </c>
    </row>
    <row r="605">
      <c r="A605" s="4">
        <v>45534.323099814814</v>
      </c>
      <c r="B605" s="5" t="s">
        <v>34</v>
      </c>
      <c r="D605" s="5" t="s">
        <v>1206</v>
      </c>
      <c r="E605" s="5" t="s">
        <v>5878</v>
      </c>
      <c r="F605" s="5" t="s">
        <v>37</v>
      </c>
      <c r="G605" s="5" t="s">
        <v>5879</v>
      </c>
      <c r="H605" s="6" t="s">
        <v>5880</v>
      </c>
      <c r="I605" s="7" t="s">
        <v>5881</v>
      </c>
      <c r="J605" s="8" t="str">
        <f>HYPERLINK("https://drive.google.com/file/d/1P_l_LHgvj6UgFNXiRhnLFoLXX2Ejq9Uv/view?usp=drivesdk","DITA INDAH SEPTIARIN SERTIFIKAT BerAKHLAK")</f>
        <v>DITA INDAH SEPTIARIN SERTIFIKAT BerAKHLAK</v>
      </c>
      <c r="K605" s="5" t="s">
        <v>5598</v>
      </c>
      <c r="L605" s="5" t="s">
        <v>5882</v>
      </c>
      <c r="M605" s="5" t="s">
        <v>5883</v>
      </c>
      <c r="N605" s="7" t="s">
        <v>5884</v>
      </c>
      <c r="O605" s="8" t="str">
        <f>HYPERLINK("https://drive.google.com/file/d/1vhrWktU8TLR9Nw9ETXQA8xMOjK5_tn7F/view?usp=drivesdk","604_DITA INDAH SEPTIARIN _ SERTIFIKAT BIMTEK IPASN BerAKHLASK")</f>
        <v>604_DITA INDAH SEPTIARIN _ SERTIFIKAT BIMTEK IPASN BerAKHLASK</v>
      </c>
      <c r="P605" s="5" t="s">
        <v>5855</v>
      </c>
      <c r="Q605" s="5" t="s">
        <v>5885</v>
      </c>
      <c r="R605" s="7" t="s">
        <v>5886</v>
      </c>
      <c r="S605" s="7" t="str">
        <f>HYPERLINK("https://drive.google.com/file/d/118bBd0H-kSPPm-Z90w9bdZMlS_Fy04LR/view?usp=drivesdk","604_DITA INDAH SEPTIARIN SERTIFIKAT BIMTEK IPASN-BerAKHLAK")</f>
        <v>604_DITA INDAH SEPTIARIN SERTIFIKAT BIMTEK IPASN-BerAKHLAK</v>
      </c>
      <c r="T605" s="5" t="s">
        <v>5877</v>
      </c>
    </row>
    <row r="606">
      <c r="A606" s="4">
        <v>45534.32311295139</v>
      </c>
      <c r="B606" s="5" t="s">
        <v>34</v>
      </c>
      <c r="D606" s="5" t="s">
        <v>280</v>
      </c>
      <c r="E606" s="5" t="s">
        <v>5887</v>
      </c>
      <c r="F606" s="5" t="s">
        <v>524</v>
      </c>
      <c r="G606" s="5" t="s">
        <v>5888</v>
      </c>
      <c r="H606" s="6" t="s">
        <v>5889</v>
      </c>
      <c r="I606" s="7" t="s">
        <v>5890</v>
      </c>
      <c r="J606" s="8" t="str">
        <f>HYPERLINK("https://drive.google.com/file/d/1YX_31m-xc5VFKMAyNtqb0VP14Xm5fwFv/view?usp=drivesdk","TASWIRA AGUSTINE,S.KKK SERTIFIKAT BerAKHLAK")</f>
        <v>TASWIRA AGUSTINE,S.KKK SERTIFIKAT BerAKHLAK</v>
      </c>
      <c r="K606" s="5" t="s">
        <v>5598</v>
      </c>
      <c r="L606" s="5" t="s">
        <v>5891</v>
      </c>
      <c r="M606" s="5" t="s">
        <v>5892</v>
      </c>
      <c r="N606" s="7" t="s">
        <v>5893</v>
      </c>
      <c r="O606" s="8" t="str">
        <f>HYPERLINK("https://drive.google.com/file/d/1HwU-7jX4_KWJtaiMwx5RSKenVu-27RlM/view?usp=drivesdk","605_TASWIRA AGUSTINE,S.KKK _ SERTIFIKAT BIMTEK IPASN BerAKHLASK")</f>
        <v>605_TASWIRA AGUSTINE,S.KKK _ SERTIFIKAT BIMTEK IPASN BerAKHLASK</v>
      </c>
      <c r="P606" s="5" t="s">
        <v>5855</v>
      </c>
      <c r="Q606" s="5" t="s">
        <v>5894</v>
      </c>
      <c r="R606" s="7" t="s">
        <v>5895</v>
      </c>
      <c r="S606" s="7" t="str">
        <f>HYPERLINK("https://drive.google.com/file/d/1pOkX8IOiaEkjGwy023MwBtiFDTUByp6O/view?usp=drivesdk","605_TASWIRA AGUSTINE,S.KKK SERTIFIKAT BIMTEK IPASN-BerAKHLAK")</f>
        <v>605_TASWIRA AGUSTINE,S.KKK SERTIFIKAT BIMTEK IPASN-BerAKHLAK</v>
      </c>
      <c r="T606" s="5" t="s">
        <v>5877</v>
      </c>
    </row>
    <row r="607" hidden="1">
      <c r="A607" s="4">
        <v>45534.32311334491</v>
      </c>
      <c r="B607" s="5" t="s">
        <v>19</v>
      </c>
      <c r="C607" s="5" t="s">
        <v>466</v>
      </c>
      <c r="E607" s="5" t="s">
        <v>5896</v>
      </c>
      <c r="F607" s="5" t="s">
        <v>199</v>
      </c>
      <c r="G607" s="5" t="s">
        <v>5897</v>
      </c>
      <c r="H607" s="6" t="s">
        <v>5898</v>
      </c>
      <c r="I607" s="7" t="s">
        <v>5899</v>
      </c>
      <c r="J607" s="8" t="str">
        <f>HYPERLINK("https://drive.google.com/file/d/1lLjx_Rrm3ZTOJE4XndRvlK03Y5JuWx28/view?usp=drivesdk","NURMANHUSADA SERTIFIKAT BerAKHLAK")</f>
        <v>NURMANHUSADA SERTIFIKAT BerAKHLAK</v>
      </c>
      <c r="K607" s="5" t="s">
        <v>5598</v>
      </c>
      <c r="L607" s="5" t="s">
        <v>5900</v>
      </c>
      <c r="M607" s="5" t="s">
        <v>5901</v>
      </c>
      <c r="N607" s="7" t="s">
        <v>5902</v>
      </c>
      <c r="O607" s="8" t="str">
        <f>HYPERLINK("https://drive.google.com/file/d/1asn31dlIK4d5-cHoPhmmqJqc4qdTckx1/view?usp=drivesdk","606_NURMANHUSADA _ SERTIFIKAT BIMTEK IPASN BerAKHLASK")</f>
        <v>606_NURMANHUSADA _ SERTIFIKAT BIMTEK IPASN BerAKHLASK</v>
      </c>
      <c r="P607" s="5" t="s">
        <v>5855</v>
      </c>
      <c r="Q607" s="5" t="s">
        <v>5903</v>
      </c>
      <c r="R607" s="7" t="s">
        <v>5904</v>
      </c>
      <c r="S607" s="7" t="str">
        <f>HYPERLINK("https://drive.google.com/file/d/1_zCFO8Zcjen6-nsCZE2ZFqzc0i7Pr8U6/view?usp=drivesdk","606_NURMANHUSADA SERTIFIKAT BIMTEK IPASN-BerAKHLAK")</f>
        <v>606_NURMANHUSADA SERTIFIKAT BIMTEK IPASN-BerAKHLAK</v>
      </c>
      <c r="T607" s="5" t="s">
        <v>5877</v>
      </c>
    </row>
    <row r="608">
      <c r="A608" s="4">
        <v>45534.32312019676</v>
      </c>
      <c r="B608" s="5" t="s">
        <v>34</v>
      </c>
      <c r="D608" s="5" t="s">
        <v>280</v>
      </c>
      <c r="E608" s="5" t="s">
        <v>5905</v>
      </c>
      <c r="F608" s="5" t="s">
        <v>375</v>
      </c>
      <c r="G608" s="5" t="s">
        <v>5906</v>
      </c>
      <c r="H608" s="6" t="s">
        <v>5907</v>
      </c>
      <c r="I608" s="7" t="s">
        <v>5908</v>
      </c>
      <c r="J608" s="8" t="str">
        <f>HYPERLINK("https://drive.google.com/file/d/1i4G4KoC1WkK9bUXnzqCrON11Cc0_WvPs/view?usp=drivesdk","RIKA ANDRIANY, SE SERTIFIKAT BerAKHLAK")</f>
        <v>RIKA ANDRIANY, SE SERTIFIKAT BerAKHLAK</v>
      </c>
      <c r="K608" s="5" t="s">
        <v>5598</v>
      </c>
      <c r="L608" s="5" t="s">
        <v>5909</v>
      </c>
      <c r="M608" s="5" t="s">
        <v>5910</v>
      </c>
      <c r="N608" s="7" t="s">
        <v>5911</v>
      </c>
      <c r="O608" s="8" t="str">
        <f>HYPERLINK("https://drive.google.com/file/d/1skamrKTHfenC6KEndfaYynG2UzTioqtu/view?usp=drivesdk","607_RIKA ANDRIANY, SE _ SERTIFIKAT BIMTEK IPASN BerAKHLASK")</f>
        <v>607_RIKA ANDRIANY, SE _ SERTIFIKAT BIMTEK IPASN BerAKHLASK</v>
      </c>
      <c r="P608" s="5" t="s">
        <v>5912</v>
      </c>
      <c r="Q608" s="5" t="s">
        <v>5913</v>
      </c>
      <c r="R608" s="7" t="s">
        <v>5914</v>
      </c>
      <c r="S608" s="7" t="str">
        <f>HYPERLINK("https://drive.google.com/file/d/1nuV4JbVmEiYCcOo2YtnZ8gJR-yezd8Sk/view?usp=drivesdk","607_RIKA ANDRIANY, SE SERTIFIKAT BIMTEK IPASN-BerAKHLAK")</f>
        <v>607_RIKA ANDRIANY, SE SERTIFIKAT BIMTEK IPASN-BerAKHLAK</v>
      </c>
      <c r="T608" s="5" t="s">
        <v>5877</v>
      </c>
    </row>
    <row r="609">
      <c r="A609" s="4">
        <v>45534.32312149306</v>
      </c>
      <c r="B609" s="5" t="s">
        <v>34</v>
      </c>
      <c r="D609" s="5" t="s">
        <v>35</v>
      </c>
      <c r="E609" s="5" t="s">
        <v>5915</v>
      </c>
      <c r="F609" s="5" t="s">
        <v>375</v>
      </c>
      <c r="G609" s="5" t="s">
        <v>5916</v>
      </c>
      <c r="H609" s="6" t="s">
        <v>5917</v>
      </c>
      <c r="I609" s="7" t="s">
        <v>5918</v>
      </c>
      <c r="J609" s="8" t="str">
        <f>HYPERLINK("https://drive.google.com/file/d/14IMcw-NnjpqaYQIYMTZrqeOSImrryejb/view?usp=drivesdk","MIRNA PUJAWATI, S.H. SERTIFIKAT BerAKHLAK")</f>
        <v>MIRNA PUJAWATI, S.H. SERTIFIKAT BerAKHLAK</v>
      </c>
      <c r="K609" s="5" t="s">
        <v>5598</v>
      </c>
      <c r="L609" s="5" t="s">
        <v>5919</v>
      </c>
      <c r="M609" s="5" t="s">
        <v>5920</v>
      </c>
      <c r="N609" s="7" t="s">
        <v>5921</v>
      </c>
      <c r="O609" s="8" t="str">
        <f>HYPERLINK("https://drive.google.com/file/d/1GsCLXoddUeAXjnONZB4t7YClMfKFihGM/view?usp=drivesdk","608_MIRNA PUJAWATI, S.H. _ SERTIFIKAT BIMTEK IPASN BerAKHLASK")</f>
        <v>608_MIRNA PUJAWATI, S.H. _ SERTIFIKAT BIMTEK IPASN BerAKHLASK</v>
      </c>
      <c r="P609" s="5" t="s">
        <v>5912</v>
      </c>
      <c r="Q609" s="5" t="s">
        <v>5922</v>
      </c>
      <c r="R609" s="7" t="s">
        <v>5923</v>
      </c>
      <c r="S609" s="7" t="str">
        <f>HYPERLINK("https://drive.google.com/file/d/18FW6IVRzoFixS_SpstxiNrRlKsFzdz2f/view?usp=drivesdk","608_MIRNA PUJAWATI, S.H. SERTIFIKAT BIMTEK IPASN-BerAKHLAK")</f>
        <v>608_MIRNA PUJAWATI, S.H. SERTIFIKAT BIMTEK IPASN-BerAKHLAK</v>
      </c>
      <c r="T609" s="5" t="s">
        <v>5877</v>
      </c>
    </row>
    <row r="610">
      <c r="A610" s="4">
        <v>45534.323144050926</v>
      </c>
      <c r="B610" s="5" t="s">
        <v>34</v>
      </c>
      <c r="D610" s="5" t="s">
        <v>35</v>
      </c>
      <c r="E610" s="5" t="s">
        <v>5924</v>
      </c>
      <c r="F610" s="5" t="s">
        <v>37</v>
      </c>
      <c r="G610" s="5" t="s">
        <v>5925</v>
      </c>
      <c r="H610" s="6" t="s">
        <v>5926</v>
      </c>
      <c r="I610" s="7" t="s">
        <v>5927</v>
      </c>
      <c r="J610" s="8" t="str">
        <f>HYPERLINK("https://drive.google.com/file/d/1V0SFpvTE0PTbtzHPNfI-ekGjdSYsleuN/view?usp=drivesdk","ENUR NURWATI, S. Ak SERTIFIKAT BerAKHLAK")</f>
        <v>ENUR NURWATI, S. Ak SERTIFIKAT BerAKHLAK</v>
      </c>
      <c r="K610" s="5" t="s">
        <v>5598</v>
      </c>
      <c r="L610" s="5" t="s">
        <v>5928</v>
      </c>
      <c r="M610" s="5" t="s">
        <v>5929</v>
      </c>
      <c r="N610" s="7" t="s">
        <v>5930</v>
      </c>
      <c r="O610" s="8" t="str">
        <f>HYPERLINK("https://drive.google.com/file/d/1hUg-nAibwoZKwm2dGhvpxs6ypBH6rlol/view?usp=drivesdk","609_ENUR NURWATI, S. Ak _ SERTIFIKAT BIMTEK IPASN BerAKHLASK")</f>
        <v>609_ENUR NURWATI, S. Ak _ SERTIFIKAT BIMTEK IPASN BerAKHLASK</v>
      </c>
      <c r="P610" s="5" t="s">
        <v>5912</v>
      </c>
      <c r="Q610" s="5" t="s">
        <v>5931</v>
      </c>
      <c r="R610" s="7" t="s">
        <v>5932</v>
      </c>
      <c r="S610" s="7" t="str">
        <f>HYPERLINK("https://drive.google.com/file/d/1aSbgB2fS31USpdXWtYs8K53jPy9pWmfQ/view?usp=drivesdk","609_ENUR NURWATI, S. Ak SERTIFIKAT BIMTEK IPASN-BerAKHLAK")</f>
        <v>609_ENUR NURWATI, S. Ak SERTIFIKAT BIMTEK IPASN-BerAKHLAK</v>
      </c>
      <c r="T610" s="5" t="s">
        <v>5933</v>
      </c>
    </row>
    <row r="611">
      <c r="A611" s="4">
        <v>45534.3231631713</v>
      </c>
      <c r="B611" s="5" t="s">
        <v>34</v>
      </c>
      <c r="D611" s="5" t="s">
        <v>1663</v>
      </c>
      <c r="E611" s="5" t="s">
        <v>5934</v>
      </c>
      <c r="F611" s="5" t="s">
        <v>212</v>
      </c>
      <c r="G611" s="5" t="s">
        <v>5935</v>
      </c>
      <c r="H611" s="6" t="s">
        <v>5936</v>
      </c>
      <c r="I611" s="7" t="s">
        <v>5937</v>
      </c>
      <c r="J611" s="8" t="str">
        <f>HYPERLINK("https://drive.google.com/file/d/156Kqy-nyVO4kF8HKuCsDVeHDRIqd9fv1/view?usp=drivesdk","AGNESTASIA SAPUTRI BALAWELING,S.KEP SERTIFIKAT BerAKHLAK")</f>
        <v>AGNESTASIA SAPUTRI BALAWELING,S.KEP SERTIFIKAT BerAKHLAK</v>
      </c>
      <c r="K611" s="5" t="s">
        <v>5598</v>
      </c>
      <c r="L611" s="5" t="s">
        <v>5938</v>
      </c>
      <c r="M611" s="5" t="s">
        <v>5939</v>
      </c>
      <c r="N611" s="7" t="s">
        <v>5940</v>
      </c>
      <c r="O611" s="8" t="str">
        <f>HYPERLINK("https://drive.google.com/file/d/1KdsLqm7PzYOkQo3uuvIyoNpVoaNMcIjA/view?usp=drivesdk","610_AGNESTASIA SAPUTRI BALAWELING,S.KEP _ SERTIFIKAT BIMTEK IPASN BerAKHLASK")</f>
        <v>610_AGNESTASIA SAPUTRI BALAWELING,S.KEP _ SERTIFIKAT BIMTEK IPASN BerAKHLASK</v>
      </c>
      <c r="P611" s="5" t="s">
        <v>5912</v>
      </c>
      <c r="Q611" s="5" t="s">
        <v>5941</v>
      </c>
      <c r="R611" s="7" t="s">
        <v>5942</v>
      </c>
      <c r="S611" s="7" t="str">
        <f>HYPERLINK("https://drive.google.com/file/d/14-kt1qshb4uWvMjNx-_RBjjwtOIsMtEm/view?usp=drivesdk","610_AGNESTASIA SAPUTRI BALAWELING,S.KEP SERTIFIKAT BIMTEK IPASN-BerAKHLAK")</f>
        <v>610_AGNESTASIA SAPUTRI BALAWELING,S.KEP SERTIFIKAT BIMTEK IPASN-BerAKHLAK</v>
      </c>
      <c r="T611" s="5" t="s">
        <v>5933</v>
      </c>
    </row>
    <row r="612">
      <c r="A612" s="4">
        <v>45534.32317</v>
      </c>
      <c r="B612" s="5" t="s">
        <v>34</v>
      </c>
      <c r="D612" s="5" t="s">
        <v>3849</v>
      </c>
      <c r="E612" s="5" t="s">
        <v>5943</v>
      </c>
      <c r="F612" s="5" t="s">
        <v>37</v>
      </c>
      <c r="G612" s="5" t="s">
        <v>5944</v>
      </c>
      <c r="H612" s="6" t="s">
        <v>5945</v>
      </c>
      <c r="I612" s="7" t="s">
        <v>5946</v>
      </c>
      <c r="J612" s="8" t="str">
        <f>HYPERLINK("https://drive.google.com/file/d/1KAg8W1zwe6CW1lvDrVp5NXnZYSiH3-Cw/view?usp=drivesdk","AZHARI YOGAS SAPUTRA, A.Md. SERTIFIKAT BerAKHLAK")</f>
        <v>AZHARI YOGAS SAPUTRA, A.Md. SERTIFIKAT BerAKHLAK</v>
      </c>
      <c r="K612" s="5" t="s">
        <v>5598</v>
      </c>
      <c r="L612" s="5" t="s">
        <v>5947</v>
      </c>
      <c r="M612" s="5" t="s">
        <v>5948</v>
      </c>
      <c r="N612" s="7" t="s">
        <v>5949</v>
      </c>
      <c r="O612" s="8" t="str">
        <f>HYPERLINK("https://drive.google.com/file/d/1TiGUAzDssvMypfZwYB7AN4mdWhkahIzf/view?usp=drivesdk","611_AZHARI YOGAS SAPUTRA, A.Md. _ SERTIFIKAT BIMTEK IPASN BerAKHLASK")</f>
        <v>611_AZHARI YOGAS SAPUTRA, A.Md. _ SERTIFIKAT BIMTEK IPASN BerAKHLASK</v>
      </c>
      <c r="P612" s="5" t="s">
        <v>5912</v>
      </c>
      <c r="Q612" s="5" t="s">
        <v>5950</v>
      </c>
      <c r="R612" s="7" t="s">
        <v>5951</v>
      </c>
      <c r="S612" s="7" t="str">
        <f>HYPERLINK("https://drive.google.com/file/d/1FuBQuk_jnIfWoKhJ_zlK0t5Z2WXxsiwV/view?usp=drivesdk","611_AZHARI YOGAS SAPUTRA, A.Md. SERTIFIKAT BIMTEK IPASN-BerAKHLAK")</f>
        <v>611_AZHARI YOGAS SAPUTRA, A.Md. SERTIFIKAT BIMTEK IPASN-BerAKHLAK</v>
      </c>
      <c r="T612" s="5" t="s">
        <v>5933</v>
      </c>
    </row>
    <row r="613">
      <c r="A613" s="4">
        <v>45534.32317341435</v>
      </c>
      <c r="B613" s="5" t="s">
        <v>34</v>
      </c>
      <c r="D613" s="5" t="s">
        <v>3849</v>
      </c>
      <c r="E613" s="5" t="s">
        <v>5952</v>
      </c>
      <c r="F613" s="5" t="s">
        <v>37</v>
      </c>
      <c r="G613" s="5" t="s">
        <v>5953</v>
      </c>
      <c r="H613" s="6" t="s">
        <v>5954</v>
      </c>
      <c r="I613" s="7" t="s">
        <v>5955</v>
      </c>
      <c r="J613" s="8" t="str">
        <f>HYPERLINK("https://drive.google.com/file/d/1e2jvKXbag1dETDHvj6KhJU0dp_AukS-Y/view?usp=drivesdk","HESTY KOMALA SARI, AMK SERTIFIKAT BerAKHLAK")</f>
        <v>HESTY KOMALA SARI, AMK SERTIFIKAT BerAKHLAK</v>
      </c>
      <c r="K613" s="5" t="s">
        <v>5598</v>
      </c>
      <c r="L613" s="5" t="s">
        <v>5956</v>
      </c>
      <c r="M613" s="5" t="s">
        <v>5957</v>
      </c>
      <c r="N613" s="7" t="s">
        <v>5958</v>
      </c>
      <c r="O613" s="8" t="str">
        <f>HYPERLINK("https://drive.google.com/file/d/1f4_esS8HxSOiPJohWMHecNNc8VMmf_Yy/view?usp=drivesdk","612_HESTY KOMALA SARI, AMK _ SERTIFIKAT BIMTEK IPASN BerAKHLASK")</f>
        <v>612_HESTY KOMALA SARI, AMK _ SERTIFIKAT BIMTEK IPASN BerAKHLASK</v>
      </c>
      <c r="P613" s="5" t="s">
        <v>5959</v>
      </c>
      <c r="Q613" s="5" t="s">
        <v>5960</v>
      </c>
      <c r="R613" s="7" t="s">
        <v>5961</v>
      </c>
      <c r="S613" s="7" t="str">
        <f>HYPERLINK("https://drive.google.com/file/d/1n_8N9A1g7EIWqMQnVm_V5ZX9ywzjsLWi/view?usp=drivesdk","612_HESTY KOMALA SARI, AMK SERTIFIKAT BIMTEK IPASN-BerAKHLAK")</f>
        <v>612_HESTY KOMALA SARI, AMK SERTIFIKAT BIMTEK IPASN-BerAKHLAK</v>
      </c>
      <c r="T613" s="5" t="s">
        <v>5933</v>
      </c>
    </row>
    <row r="614">
      <c r="A614" s="4">
        <v>45534.323186180554</v>
      </c>
      <c r="B614" s="5" t="s">
        <v>34</v>
      </c>
      <c r="D614" s="5" t="s">
        <v>35</v>
      </c>
      <c r="E614" s="5" t="s">
        <v>5962</v>
      </c>
      <c r="F614" s="5" t="s">
        <v>37</v>
      </c>
      <c r="G614" s="5" t="s">
        <v>5963</v>
      </c>
      <c r="H614" s="6" t="s">
        <v>5964</v>
      </c>
      <c r="I614" s="7" t="s">
        <v>5965</v>
      </c>
      <c r="J614" s="8" t="str">
        <f>HYPERLINK("https://drive.google.com/file/d/1ktqWD_xluvwqEQMzJ_Q5VEvF2cMnB4tr/view?usp=drivesdk","SRII EKAWATII SERTIFIKAT BerAKHLAK")</f>
        <v>SRII EKAWATII SERTIFIKAT BerAKHLAK</v>
      </c>
      <c r="K614" s="5" t="s">
        <v>5598</v>
      </c>
      <c r="L614" s="5" t="s">
        <v>5966</v>
      </c>
      <c r="M614" s="5" t="s">
        <v>5967</v>
      </c>
      <c r="N614" s="7" t="s">
        <v>5968</v>
      </c>
      <c r="O614" s="8" t="str">
        <f>HYPERLINK("https://drive.google.com/file/d/1JNLkzTeTUIjr07a0ZRajq5pxDdXaa3gD/view?usp=drivesdk","613_SRII EKAWATII _ SERTIFIKAT BIMTEK IPASN BerAKHLASK")</f>
        <v>613_SRII EKAWATII _ SERTIFIKAT BIMTEK IPASN BerAKHLASK</v>
      </c>
      <c r="P614" s="5" t="s">
        <v>5959</v>
      </c>
      <c r="Q614" s="5" t="s">
        <v>5969</v>
      </c>
      <c r="R614" s="7" t="s">
        <v>5970</v>
      </c>
      <c r="S614" s="7" t="str">
        <f>HYPERLINK("https://drive.google.com/file/d/1MpUdD-OAresJ2v6bFAPaLKso60yqgH7Q/view?usp=drivesdk","613_SRII EKAWATII SERTIFIKAT BIMTEK IPASN-BerAKHLAK")</f>
        <v>613_SRII EKAWATII SERTIFIKAT BIMTEK IPASN-BerAKHLAK</v>
      </c>
      <c r="T614" s="5" t="s">
        <v>5933</v>
      </c>
    </row>
    <row r="615" hidden="1">
      <c r="A615" s="4">
        <v>45534.323213344906</v>
      </c>
      <c r="B615" s="5" t="s">
        <v>19</v>
      </c>
      <c r="C615" s="5" t="s">
        <v>442</v>
      </c>
      <c r="E615" s="5" t="s">
        <v>5971</v>
      </c>
      <c r="F615" s="5" t="s">
        <v>108</v>
      </c>
      <c r="G615" s="5" t="s">
        <v>5972</v>
      </c>
      <c r="H615" s="6" t="s">
        <v>5973</v>
      </c>
      <c r="I615" s="7" t="s">
        <v>5974</v>
      </c>
      <c r="J615" s="8" t="str">
        <f>HYPERLINK("https://drive.google.com/file/d/1Fmd2STo0Jlp0BXvnytCPM2a4laUVfrub/view?usp=drivesdk","ICHTIAR LESTARI SERTIFIKAT BerAKHLAK")</f>
        <v>ICHTIAR LESTARI SERTIFIKAT BerAKHLAK</v>
      </c>
      <c r="K615" s="5" t="s">
        <v>5598</v>
      </c>
      <c r="L615" s="5" t="s">
        <v>5975</v>
      </c>
      <c r="M615" s="5" t="s">
        <v>5976</v>
      </c>
      <c r="N615" s="7" t="s">
        <v>5977</v>
      </c>
      <c r="O615" s="8" t="str">
        <f>HYPERLINK("https://drive.google.com/file/d/1roSDrp28tN3LY3s-ctSgQWKUJG_CbJNq/view?usp=drivesdk","614_ICHTIAR LESTARI _ SERTIFIKAT BIMTEK IPASN BerAKHLASK")</f>
        <v>614_ICHTIAR LESTARI _ SERTIFIKAT BIMTEK IPASN BerAKHLASK</v>
      </c>
      <c r="P615" s="5" t="s">
        <v>5959</v>
      </c>
      <c r="Q615" s="5" t="s">
        <v>5978</v>
      </c>
      <c r="R615" s="7" t="s">
        <v>5979</v>
      </c>
      <c r="S615" s="7" t="str">
        <f>HYPERLINK("https://drive.google.com/file/d/1VUEkVJnC5JKENRpvwjXeqnwUf7l8rggl/view?usp=drivesdk","614_ICHTIAR LESTARI SERTIFIKAT BIMTEK IPASN-BerAKHLAK")</f>
        <v>614_ICHTIAR LESTARI SERTIFIKAT BIMTEK IPASN-BerAKHLAK</v>
      </c>
      <c r="T615" s="5" t="s">
        <v>5933</v>
      </c>
    </row>
    <row r="616">
      <c r="A616" s="4">
        <v>45534.3232146875</v>
      </c>
      <c r="B616" s="5" t="s">
        <v>34</v>
      </c>
      <c r="D616" s="5" t="s">
        <v>604</v>
      </c>
      <c r="E616" s="5" t="s">
        <v>5980</v>
      </c>
      <c r="F616" s="5" t="s">
        <v>37</v>
      </c>
      <c r="G616" s="5" t="s">
        <v>5981</v>
      </c>
      <c r="H616" s="6" t="s">
        <v>5982</v>
      </c>
      <c r="I616" s="7" t="s">
        <v>5983</v>
      </c>
      <c r="J616" s="8" t="str">
        <f>HYPERLINK("https://drive.google.com/file/d/1SsyFP0P3RVz0Y-WbWSB0Tg2R-ReLUyPB/view?usp=drivesdk","MUHAMMAD IRSANDY, A.MD.AK SERTIFIKAT BerAKHLAK")</f>
        <v>MUHAMMAD IRSANDY, A.MD.AK SERTIFIKAT BerAKHLAK</v>
      </c>
      <c r="K616" s="5" t="s">
        <v>5598</v>
      </c>
      <c r="L616" s="5" t="s">
        <v>5984</v>
      </c>
      <c r="M616" s="5" t="s">
        <v>5985</v>
      </c>
      <c r="N616" s="7" t="s">
        <v>5986</v>
      </c>
      <c r="O616" s="8" t="str">
        <f>HYPERLINK("https://drive.google.com/file/d/1VAcATXUUVA-K6-tLYjDkRTPoBbg3RnQI/view?usp=drivesdk","615_MUHAMMAD IRSANDY, A.MD.AK _ SERTIFIKAT BIMTEK IPASN BerAKHLASK")</f>
        <v>615_MUHAMMAD IRSANDY, A.MD.AK _ SERTIFIKAT BIMTEK IPASN BerAKHLASK</v>
      </c>
      <c r="P616" s="5" t="s">
        <v>5959</v>
      </c>
      <c r="Q616" s="5" t="s">
        <v>5987</v>
      </c>
      <c r="R616" s="7" t="s">
        <v>5988</v>
      </c>
      <c r="S616" s="7" t="str">
        <f>HYPERLINK("https://drive.google.com/file/d/1ofwVvMPD745Ub5MX7yixKDoYfEku-m6v/view?usp=drivesdk","615_MUHAMMAD IRSANDY, A.MD.AK SERTIFIKAT BIMTEK IPASN-BerAKHLAK")</f>
        <v>615_MUHAMMAD IRSANDY, A.MD.AK SERTIFIKAT BIMTEK IPASN-BerAKHLAK</v>
      </c>
      <c r="T616" s="5" t="s">
        <v>5989</v>
      </c>
    </row>
    <row r="617">
      <c r="A617" s="4">
        <v>45534.323227175926</v>
      </c>
      <c r="B617" s="5" t="s">
        <v>34</v>
      </c>
      <c r="D617" s="5" t="s">
        <v>280</v>
      </c>
      <c r="E617" s="5" t="s">
        <v>5990</v>
      </c>
      <c r="F617" s="5" t="s">
        <v>212</v>
      </c>
      <c r="G617" s="5" t="s">
        <v>5991</v>
      </c>
      <c r="H617" s="6" t="s">
        <v>5992</v>
      </c>
      <c r="I617" s="7" t="s">
        <v>5993</v>
      </c>
      <c r="J617" s="8" t="str">
        <f>HYPERLINK("https://drive.google.com/file/d/1khBqEyxEqj5Qyzc7lAbJlqq8nQNas6go/view?usp=drivesdk","DEDY KURNIAWAN SERTIFIKAT BerAKHLAK")</f>
        <v>DEDY KURNIAWAN SERTIFIKAT BerAKHLAK</v>
      </c>
      <c r="K617" s="5" t="s">
        <v>5598</v>
      </c>
      <c r="L617" s="5" t="s">
        <v>5994</v>
      </c>
      <c r="M617" s="5" t="s">
        <v>5995</v>
      </c>
      <c r="N617" s="7" t="s">
        <v>5996</v>
      </c>
      <c r="O617" s="8" t="str">
        <f>HYPERLINK("https://drive.google.com/file/d/1XnMaAzddaiSGEN73wfKp99pojgIJr6tg/view?usp=drivesdk","616_DEDY KURNIAWAN _ SERTIFIKAT BIMTEK IPASN BerAKHLASK")</f>
        <v>616_DEDY KURNIAWAN _ SERTIFIKAT BIMTEK IPASN BerAKHLASK</v>
      </c>
      <c r="P617" s="5" t="s">
        <v>5997</v>
      </c>
      <c r="Q617" s="5" t="s">
        <v>5998</v>
      </c>
      <c r="R617" s="7" t="s">
        <v>5999</v>
      </c>
      <c r="S617" s="7" t="str">
        <f>HYPERLINK("https://drive.google.com/file/d/1Zq73ns0GgRcXZAVgxJSjfF-KIvoDqmC5/view?usp=drivesdk","616_DEDY KURNIAWAN SERTIFIKAT BIMTEK IPASN-BerAKHLAK")</f>
        <v>616_DEDY KURNIAWAN SERTIFIKAT BIMTEK IPASN-BerAKHLAK</v>
      </c>
      <c r="T617" s="5" t="s">
        <v>5989</v>
      </c>
    </row>
    <row r="618">
      <c r="A618" s="4">
        <v>45534.32325741898</v>
      </c>
      <c r="B618" s="5" t="s">
        <v>34</v>
      </c>
      <c r="D618" s="5" t="s">
        <v>1206</v>
      </c>
      <c r="E618" s="5" t="s">
        <v>6000</v>
      </c>
      <c r="F618" s="5" t="s">
        <v>37</v>
      </c>
      <c r="G618" s="5" t="s">
        <v>6001</v>
      </c>
      <c r="H618" s="6" t="s">
        <v>6002</v>
      </c>
      <c r="I618" s="7" t="s">
        <v>6003</v>
      </c>
      <c r="J618" s="8" t="str">
        <f>HYPERLINK("https://drive.google.com/file/d/15KcuvpsAdMnqSodMcZL5JQEeSacN8DHe/view?usp=drivesdk","GALUH HARSWATI,SE SERTIFIKAT BerAKHLAK")</f>
        <v>GALUH HARSWATI,SE SERTIFIKAT BerAKHLAK</v>
      </c>
      <c r="K618" s="5" t="s">
        <v>6004</v>
      </c>
      <c r="L618" s="5" t="s">
        <v>6005</v>
      </c>
      <c r="M618" s="5" t="s">
        <v>6006</v>
      </c>
      <c r="N618" s="7" t="s">
        <v>6007</v>
      </c>
      <c r="O618" s="8" t="str">
        <f>HYPERLINK("https://drive.google.com/file/d/1Q997_akqYO2mt3NFPajXOPOU_S60XLwl/view?usp=drivesdk","617_GALUH HARSWATI,SE _ SERTIFIKAT BIMTEK IPASN BerAKHLASK")</f>
        <v>617_GALUH HARSWATI,SE _ SERTIFIKAT BIMTEK IPASN BerAKHLASK</v>
      </c>
      <c r="P618" s="5" t="s">
        <v>5997</v>
      </c>
      <c r="Q618" s="5" t="s">
        <v>6008</v>
      </c>
      <c r="R618" s="7" t="s">
        <v>6009</v>
      </c>
      <c r="S618" s="7" t="str">
        <f>HYPERLINK("https://drive.google.com/file/d/1jE7MEqH0tvZmbbxxctlVfYVv8_JCw_v6/view?usp=drivesdk","617_GALUH HARSWATI,SE SERTIFIKAT BIMTEK IPASN-BerAKHLAK")</f>
        <v>617_GALUH HARSWATI,SE SERTIFIKAT BIMTEK IPASN-BerAKHLAK</v>
      </c>
      <c r="T618" s="5" t="s">
        <v>5989</v>
      </c>
    </row>
    <row r="619">
      <c r="A619" s="4">
        <v>45534.323287638894</v>
      </c>
      <c r="B619" s="5" t="s">
        <v>34</v>
      </c>
      <c r="D619" s="5" t="s">
        <v>280</v>
      </c>
      <c r="E619" s="5" t="s">
        <v>6010</v>
      </c>
      <c r="F619" s="5" t="s">
        <v>212</v>
      </c>
      <c r="G619" s="5" t="s">
        <v>6011</v>
      </c>
      <c r="H619" s="6" t="s">
        <v>6012</v>
      </c>
      <c r="I619" s="7" t="s">
        <v>6013</v>
      </c>
      <c r="J619" s="8" t="str">
        <f>HYPERLINK("https://drive.google.com/file/d/1r4VpRnjcnojbElqr5xq7xq3mhUuxHRGt/view?usp=drivesdk","KIMOM HN NASUTION, S.T SERTIFIKAT BerAKHLAK")</f>
        <v>KIMOM HN NASUTION, S.T SERTIFIKAT BerAKHLAK</v>
      </c>
      <c r="K619" s="5" t="s">
        <v>5598</v>
      </c>
      <c r="L619" s="5" t="s">
        <v>6014</v>
      </c>
      <c r="M619" s="5" t="s">
        <v>6015</v>
      </c>
      <c r="N619" s="7" t="s">
        <v>6016</v>
      </c>
      <c r="O619" s="8" t="str">
        <f>HYPERLINK("https://drive.google.com/file/d/1AnGC_bjS1RUwFLM4-d7ouD4JvSnCnoqR/view?usp=drivesdk","618_KIMOM HN NASUTION, S.T _ SERTIFIKAT BIMTEK IPASN BerAKHLASK")</f>
        <v>618_KIMOM HN NASUTION, S.T _ SERTIFIKAT BIMTEK IPASN BerAKHLASK</v>
      </c>
      <c r="P619" s="5" t="s">
        <v>5997</v>
      </c>
      <c r="Q619" s="5" t="s">
        <v>6017</v>
      </c>
      <c r="R619" s="7" t="s">
        <v>6018</v>
      </c>
      <c r="S619" s="7" t="str">
        <f>HYPERLINK("https://drive.google.com/file/d/1RRf6wwoK7WBC3eNQCerDURgVYGF77Yqg/view?usp=drivesdk","618_KIMOM HN NASUTION, S.T SERTIFIKAT BIMTEK IPASN-BerAKHLAK")</f>
        <v>618_KIMOM HN NASUTION, S.T SERTIFIKAT BIMTEK IPASN-BerAKHLAK</v>
      </c>
      <c r="T619" s="5" t="s">
        <v>5989</v>
      </c>
    </row>
    <row r="620">
      <c r="A620" s="4">
        <v>45534.32329384259</v>
      </c>
      <c r="B620" s="5" t="s">
        <v>34</v>
      </c>
      <c r="D620" s="5" t="s">
        <v>1768</v>
      </c>
      <c r="E620" s="5" t="s">
        <v>6019</v>
      </c>
      <c r="F620" s="5" t="s">
        <v>375</v>
      </c>
      <c r="G620" s="5" t="s">
        <v>6020</v>
      </c>
      <c r="H620" s="6" t="s">
        <v>6021</v>
      </c>
      <c r="I620" s="7" t="s">
        <v>6022</v>
      </c>
      <c r="J620" s="8" t="str">
        <f>HYPERLINK("https://drive.google.com/file/d/1FjyPMSbFCv3forc3Pr7c5fiZFJkvr5dW/view?usp=drivesdk","DWI APRIANI PUSPARINI SERTIFIKAT BerAKHLAK")</f>
        <v>DWI APRIANI PUSPARINI SERTIFIKAT BerAKHLAK</v>
      </c>
      <c r="K620" s="5" t="s">
        <v>5598</v>
      </c>
      <c r="L620" s="5" t="s">
        <v>6023</v>
      </c>
      <c r="M620" s="5" t="s">
        <v>6024</v>
      </c>
      <c r="N620" s="7" t="s">
        <v>6025</v>
      </c>
      <c r="O620" s="8" t="str">
        <f>HYPERLINK("https://drive.google.com/file/d/19dU2HPZ-Yp6aJuECqt6Uqk4Z4QNtEIK-/view?usp=drivesdk","619_DWI APRIANI PUSPARINI _ SERTIFIKAT BIMTEK IPASN BerAKHLASK")</f>
        <v>619_DWI APRIANI PUSPARINI _ SERTIFIKAT BIMTEK IPASN BerAKHLASK</v>
      </c>
      <c r="P620" s="5" t="s">
        <v>5997</v>
      </c>
      <c r="Q620" s="5" t="s">
        <v>6026</v>
      </c>
      <c r="R620" s="7" t="s">
        <v>6027</v>
      </c>
      <c r="S620" s="7" t="str">
        <f>HYPERLINK("https://drive.google.com/file/d/1C0GxHNAtrX194_bqRDmgUEGBs085OIGm/view?usp=drivesdk","619_DWI APRIANI PUSPARINI SERTIFIKAT BIMTEK IPASN-BerAKHLAK")</f>
        <v>619_DWI APRIANI PUSPARINI SERTIFIKAT BIMTEK IPASN-BerAKHLAK</v>
      </c>
      <c r="T620" s="5" t="s">
        <v>5989</v>
      </c>
    </row>
    <row r="621">
      <c r="A621" s="4">
        <v>45534.32337560185</v>
      </c>
      <c r="B621" s="5" t="s">
        <v>34</v>
      </c>
      <c r="D621" s="5" t="s">
        <v>35</v>
      </c>
      <c r="E621" s="5" t="s">
        <v>6028</v>
      </c>
      <c r="F621" s="5" t="s">
        <v>212</v>
      </c>
      <c r="G621" s="5" t="s">
        <v>6029</v>
      </c>
      <c r="H621" s="6" t="s">
        <v>6030</v>
      </c>
      <c r="I621" s="7" t="s">
        <v>6031</v>
      </c>
      <c r="J621" s="8" t="str">
        <f>HYPERLINK("https://drive.google.com/file/d/1n95zwil3VhL00VQbDJICJtGz84TadRQo/view?usp=drivesdk","HERI MUJOHAR m SERTIFIKAT BerAKHLAK")</f>
        <v>HERI MUJOHAR m SERTIFIKAT BerAKHLAK</v>
      </c>
      <c r="K621" s="5" t="s">
        <v>5598</v>
      </c>
      <c r="L621" s="5" t="s">
        <v>6032</v>
      </c>
      <c r="M621" s="5" t="s">
        <v>6033</v>
      </c>
      <c r="N621" s="7" t="s">
        <v>6034</v>
      </c>
      <c r="O621" s="8" t="str">
        <f>HYPERLINK("https://drive.google.com/file/d/1y0m13DXq74lFzoM4TSzB-k9CNej5YeGu/view?usp=drivesdk","620_HERI MUJOHAR m _ SERTIFIKAT BIMTEK IPASN BerAKHLASK")</f>
        <v>620_HERI MUJOHAR m _ SERTIFIKAT BIMTEK IPASN BerAKHLASK</v>
      </c>
      <c r="P621" s="5" t="s">
        <v>5997</v>
      </c>
      <c r="Q621" s="5" t="s">
        <v>6035</v>
      </c>
      <c r="R621" s="7" t="s">
        <v>6036</v>
      </c>
      <c r="S621" s="7" t="str">
        <f>HYPERLINK("https://drive.google.com/file/d/1ZvacoJe1wBmZ30_UZfoeJ6xdFq3ghR2v/view?usp=drivesdk","620_HERI MUJOHAR m SERTIFIKAT BIMTEK IPASN-BerAKHLAK")</f>
        <v>620_HERI MUJOHAR m SERTIFIKAT BIMTEK IPASN-BerAKHLAK</v>
      </c>
      <c r="T621" s="5" t="s">
        <v>5989</v>
      </c>
    </row>
    <row r="622">
      <c r="A622" s="4">
        <v>45534.32338827546</v>
      </c>
      <c r="B622" s="5" t="s">
        <v>34</v>
      </c>
      <c r="D622" s="5" t="s">
        <v>1206</v>
      </c>
      <c r="E622" s="5" t="s">
        <v>6037</v>
      </c>
      <c r="F622" s="5" t="s">
        <v>37</v>
      </c>
      <c r="G622" s="5" t="s">
        <v>6038</v>
      </c>
      <c r="H622" s="6" t="s">
        <v>6039</v>
      </c>
      <c r="I622" s="7" t="s">
        <v>6040</v>
      </c>
      <c r="J622" s="8" t="str">
        <f>HYPERLINK("https://drive.google.com/file/d/1IPUoHLwOvewYCWDY1-INK1CIpshUHKOY/view?usp=drivesdk","BAYU ADI WIGUNA SERTIFIKAT BerAKHLAK")</f>
        <v>BAYU ADI WIGUNA SERTIFIKAT BerAKHLAK</v>
      </c>
      <c r="K622" s="5" t="s">
        <v>6004</v>
      </c>
      <c r="L622" s="5" t="s">
        <v>6041</v>
      </c>
      <c r="M622" s="5" t="s">
        <v>6042</v>
      </c>
      <c r="N622" s="7" t="s">
        <v>6043</v>
      </c>
      <c r="O622" s="8" t="str">
        <f>HYPERLINK("https://drive.google.com/file/d/1gzLTLd7RM12cK0yvTjrplxVTT4yCT5bM/view?usp=drivesdk","621_BAYU ADI WIGUNA _ SERTIFIKAT BIMTEK IPASN BerAKHLASK")</f>
        <v>621_BAYU ADI WIGUNA _ SERTIFIKAT BIMTEK IPASN BerAKHLASK</v>
      </c>
      <c r="P622" s="5" t="s">
        <v>5997</v>
      </c>
      <c r="Q622" s="5" t="s">
        <v>6044</v>
      </c>
      <c r="R622" s="7" t="s">
        <v>6045</v>
      </c>
      <c r="S622" s="7" t="str">
        <f>HYPERLINK("https://drive.google.com/file/d/1pFABZzCnWuSC0FxglDvDW_9wnTsc-Hoz/view?usp=drivesdk","621_BAYU ADI WIGUNA SERTIFIKAT BIMTEK IPASN-BerAKHLAK")</f>
        <v>621_BAYU ADI WIGUNA SERTIFIKAT BIMTEK IPASN-BerAKHLAK</v>
      </c>
      <c r="T622" s="5" t="s">
        <v>6046</v>
      </c>
    </row>
    <row r="623">
      <c r="A623" s="4">
        <v>45534.32339247685</v>
      </c>
      <c r="B623" s="5" t="s">
        <v>34</v>
      </c>
      <c r="D623" s="5" t="s">
        <v>522</v>
      </c>
      <c r="E623" s="5" t="s">
        <v>6047</v>
      </c>
      <c r="F623" s="5" t="s">
        <v>375</v>
      </c>
      <c r="G623" s="5" t="s">
        <v>6048</v>
      </c>
      <c r="H623" s="6" t="s">
        <v>6049</v>
      </c>
      <c r="I623" s="7" t="s">
        <v>6050</v>
      </c>
      <c r="J623" s="8" t="str">
        <f>HYPERLINK("https://drive.google.com/file/d/1lpLWzD9zuk-jBOHyTY5zpl6ow-4AstNV/view?usp=drivesdk","WAHYU TYAS PRASETYANINGSIH, SE SERTIFIKAT BerAKHLAK")</f>
        <v>WAHYU TYAS PRASETYANINGSIH, SE SERTIFIKAT BerAKHLAK</v>
      </c>
      <c r="K623" s="5" t="s">
        <v>6004</v>
      </c>
      <c r="L623" s="5" t="s">
        <v>6051</v>
      </c>
      <c r="M623" s="5" t="s">
        <v>6052</v>
      </c>
      <c r="N623" s="7" t="s">
        <v>6053</v>
      </c>
      <c r="O623" s="8" t="str">
        <f>HYPERLINK("https://drive.google.com/file/d/1nVgkBDALftJC-iF92da_wsiRBVaQhnhr/view?usp=drivesdk","622_WAHYU TYAS PRASETYANINGSIH, SE _ SERTIFIKAT BIMTEK IPASN BerAKHLASK")</f>
        <v>622_WAHYU TYAS PRASETYANINGSIH, SE _ SERTIFIKAT BIMTEK IPASN BerAKHLASK</v>
      </c>
      <c r="P623" s="5" t="s">
        <v>6054</v>
      </c>
      <c r="Q623" s="5" t="s">
        <v>6055</v>
      </c>
      <c r="R623" s="7" t="s">
        <v>6056</v>
      </c>
      <c r="S623" s="7" t="str">
        <f>HYPERLINK("https://drive.google.com/file/d/1xSbX2fQg0Ri6TBuTPUXx71X_C_H3Ko-q/view?usp=drivesdk","622_WAHYU TYAS PRASETYANINGSIH, SE SERTIFIKAT BIMTEK IPASN-BerAKHLAK")</f>
        <v>622_WAHYU TYAS PRASETYANINGSIH, SE SERTIFIKAT BIMTEK IPASN-BerAKHLAK</v>
      </c>
      <c r="T623" s="5" t="s">
        <v>6046</v>
      </c>
    </row>
    <row r="624">
      <c r="A624" s="4">
        <v>45534.32343412037</v>
      </c>
      <c r="B624" s="5" t="s">
        <v>34</v>
      </c>
      <c r="D624" s="5" t="s">
        <v>3849</v>
      </c>
      <c r="E624" s="5" t="s">
        <v>6057</v>
      </c>
      <c r="F624" s="5" t="s">
        <v>212</v>
      </c>
      <c r="G624" s="5" t="s">
        <v>6058</v>
      </c>
      <c r="H624" s="6" t="s">
        <v>6059</v>
      </c>
      <c r="I624" s="7" t="s">
        <v>6060</v>
      </c>
      <c r="J624" s="8" t="str">
        <f>HYPERLINK("https://drive.google.com/file/d/1lxaaYTIhyr0maS9Mb4aX5_WBjt9xr9vK/view?usp=drivesdk","MELDAANTIKA, A.Md.Kep SERTIFIKAT BerAKHLAK")</f>
        <v>MELDAANTIKA, A.Md.Kep SERTIFIKAT BerAKHLAK</v>
      </c>
      <c r="K624" s="5" t="s">
        <v>5598</v>
      </c>
      <c r="L624" s="5" t="s">
        <v>6061</v>
      </c>
      <c r="M624" s="5" t="s">
        <v>6062</v>
      </c>
      <c r="N624" s="7" t="s">
        <v>6063</v>
      </c>
      <c r="O624" s="8" t="str">
        <f>HYPERLINK("https://drive.google.com/file/d/1ltFZnaPWOSIk9w0fgFGIdLD4oj--4GZv/view?usp=drivesdk","623_MELDAANTIKA, A.Md.Kep _ SERTIFIKAT BIMTEK IPASN BerAKHLASK")</f>
        <v>623_MELDAANTIKA, A.Md.Kep _ SERTIFIKAT BIMTEK IPASN BerAKHLASK</v>
      </c>
      <c r="P624" s="5" t="s">
        <v>6054</v>
      </c>
      <c r="Q624" s="5" t="s">
        <v>6064</v>
      </c>
      <c r="R624" s="7" t="s">
        <v>6065</v>
      </c>
      <c r="S624" s="7" t="str">
        <f>HYPERLINK("https://drive.google.com/file/d/1a8AbG68EX6VXJfAsJawUlpEhSKzASS31/view?usp=drivesdk","623_MELDAANTIKA, A.Md.Kep SERTIFIKAT BIMTEK IPASN-BerAKHLAK")</f>
        <v>623_MELDAANTIKA, A.Md.Kep SERTIFIKAT BIMTEK IPASN-BerAKHLAK</v>
      </c>
      <c r="T624" s="5" t="s">
        <v>6046</v>
      </c>
    </row>
    <row r="625">
      <c r="A625" s="4">
        <v>45534.323461458334</v>
      </c>
      <c r="B625" s="5" t="s">
        <v>34</v>
      </c>
      <c r="D625" s="5" t="s">
        <v>2903</v>
      </c>
      <c r="E625" s="5" t="s">
        <v>6066</v>
      </c>
      <c r="F625" s="5" t="s">
        <v>22</v>
      </c>
      <c r="G625" s="5" t="s">
        <v>6067</v>
      </c>
      <c r="H625" s="6" t="s">
        <v>6068</v>
      </c>
      <c r="I625" s="7" t="s">
        <v>6069</v>
      </c>
      <c r="J625" s="8" t="str">
        <f>HYPERLINK("https://drive.google.com/file/d/1Dpu95BXVzq6T9L2dTfLl9zq4GI4B0QXl/view?usp=drivesdk","NONI HEVIANTI, S.Psi. SERTIFIKAT BerAKHLAK")</f>
        <v>NONI HEVIANTI, S.Psi. SERTIFIKAT BerAKHLAK</v>
      </c>
      <c r="K625" s="5" t="s">
        <v>6004</v>
      </c>
      <c r="L625" s="5" t="s">
        <v>6070</v>
      </c>
      <c r="M625" s="5" t="s">
        <v>6071</v>
      </c>
      <c r="N625" s="7" t="s">
        <v>6072</v>
      </c>
      <c r="O625" s="8" t="str">
        <f>HYPERLINK("https://drive.google.com/file/d/1vxR1p9nENaOjQry3o0dkW3grBQkmdSce/view?usp=drivesdk","624_NONI HEVIANTI, S.Psi. _ SERTIFIKAT BIMTEK IPASN BerAKHLASK")</f>
        <v>624_NONI HEVIANTI, S.Psi. _ SERTIFIKAT BIMTEK IPASN BerAKHLASK</v>
      </c>
      <c r="P625" s="5" t="s">
        <v>6054</v>
      </c>
      <c r="Q625" s="5" t="s">
        <v>6073</v>
      </c>
      <c r="R625" s="7" t="s">
        <v>6074</v>
      </c>
      <c r="S625" s="7" t="str">
        <f>HYPERLINK("https://drive.google.com/file/d/1IxuLdlN4jtTdhQKG0JxLjPagzcpStwIH/view?usp=drivesdk","624_NONI HEVIANTI, S.Psi. SERTIFIKAT BIMTEK IPASN-BerAKHLAK")</f>
        <v>624_NONI HEVIANTI, S.Psi. SERTIFIKAT BIMTEK IPASN-BerAKHLAK</v>
      </c>
      <c r="T625" s="5" t="s">
        <v>6046</v>
      </c>
    </row>
    <row r="626">
      <c r="A626" s="4">
        <v>45534.323471724536</v>
      </c>
      <c r="B626" s="5" t="s">
        <v>34</v>
      </c>
      <c r="D626" s="5" t="s">
        <v>1692</v>
      </c>
      <c r="E626" s="5" t="s">
        <v>6075</v>
      </c>
      <c r="F626" s="5" t="s">
        <v>212</v>
      </c>
      <c r="G626" s="5" t="s">
        <v>6076</v>
      </c>
      <c r="H626" s="6" t="s">
        <v>6077</v>
      </c>
      <c r="I626" s="7" t="s">
        <v>6078</v>
      </c>
      <c r="J626" s="8" t="str">
        <f>HYPERLINK("https://drive.google.com/file/d/1PO8RVC_2QkjMabpVf_cfZNelP2PZU8BN/view?usp=drivesdk","CHRISTINNE D. de FRETES SERTIFIKAT BerAKHLAK")</f>
        <v>CHRISTINNE D. de FRETES SERTIFIKAT BerAKHLAK</v>
      </c>
      <c r="K626" s="5" t="s">
        <v>6004</v>
      </c>
      <c r="L626" s="5" t="s">
        <v>6079</v>
      </c>
      <c r="M626" s="5" t="s">
        <v>6080</v>
      </c>
      <c r="N626" s="7" t="s">
        <v>6081</v>
      </c>
      <c r="O626" s="8" t="str">
        <f>HYPERLINK("https://drive.google.com/file/d/16VFXFvOib_A5raPNEeBMqodgXa6feaa4/view?usp=drivesdk","625_CHRISTINNE D. de FRETES _ SERTIFIKAT BIMTEK IPASN BerAKHLASK")</f>
        <v>625_CHRISTINNE D. de FRETES _ SERTIFIKAT BIMTEK IPASN BerAKHLASK</v>
      </c>
      <c r="P626" s="5" t="s">
        <v>6054</v>
      </c>
      <c r="Q626" s="5" t="s">
        <v>6082</v>
      </c>
      <c r="R626" s="7" t="s">
        <v>6083</v>
      </c>
      <c r="S626" s="7" t="str">
        <f>HYPERLINK("https://drive.google.com/file/d/1q89gBspopEpalR2xGgy-on11VP_RWgQ6/view?usp=drivesdk","625_CHRISTINNE D. de FRETES SERTIFIKAT BIMTEK IPASN-BerAKHLAK")</f>
        <v>625_CHRISTINNE D. de FRETES SERTIFIKAT BIMTEK IPASN-BerAKHLAK</v>
      </c>
      <c r="T626" s="5" t="s">
        <v>6046</v>
      </c>
    </row>
    <row r="627">
      <c r="A627" s="4">
        <v>45534.32348027777</v>
      </c>
      <c r="B627" s="5" t="s">
        <v>34</v>
      </c>
      <c r="D627" s="5" t="s">
        <v>35</v>
      </c>
      <c r="E627" s="5" t="s">
        <v>6084</v>
      </c>
      <c r="F627" s="5" t="s">
        <v>72</v>
      </c>
      <c r="G627" s="5" t="s">
        <v>6085</v>
      </c>
      <c r="H627" s="6" t="s">
        <v>6086</v>
      </c>
      <c r="I627" s="7" t="s">
        <v>6087</v>
      </c>
      <c r="J627" s="8" t="str">
        <f>HYPERLINK("https://drive.google.com/file/d/1Ck1myzVerHb5xsfY65XUnpf_D5QF4I25/view?usp=drivesdk","FARIDA INGANTA GINTING SERTIFIKAT BerAKHLAK")</f>
        <v>FARIDA INGANTA GINTING SERTIFIKAT BerAKHLAK</v>
      </c>
      <c r="K627" s="5" t="s">
        <v>6004</v>
      </c>
      <c r="L627" s="5" t="s">
        <v>6088</v>
      </c>
      <c r="M627" s="5" t="s">
        <v>6089</v>
      </c>
      <c r="N627" s="7" t="s">
        <v>6090</v>
      </c>
      <c r="O627" s="8" t="str">
        <f>HYPERLINK("https://drive.google.com/file/d/1OhFAasOEyC5Dx_RJifaxp8JQu0-CrJMY/view?usp=drivesdk","626_FARIDA INGANTA GINTING _ SERTIFIKAT BIMTEK IPASN BerAKHLASK")</f>
        <v>626_FARIDA INGANTA GINTING _ SERTIFIKAT BIMTEK IPASN BerAKHLASK</v>
      </c>
      <c r="P627" s="5" t="s">
        <v>6054</v>
      </c>
      <c r="Q627" s="5" t="s">
        <v>6091</v>
      </c>
      <c r="R627" s="7" t="s">
        <v>6092</v>
      </c>
      <c r="S627" s="7" t="str">
        <f>HYPERLINK("https://drive.google.com/file/d/14ilaExEWYQgMa2wnw2MzEIEgaiSWYxP-/view?usp=drivesdk","626_FARIDA INGANTA GINTING SERTIFIKAT BIMTEK IPASN-BerAKHLAK")</f>
        <v>626_FARIDA INGANTA GINTING SERTIFIKAT BIMTEK IPASN-BerAKHLAK</v>
      </c>
      <c r="T627" s="5" t="s">
        <v>6093</v>
      </c>
    </row>
    <row r="628" hidden="1">
      <c r="A628" s="4">
        <v>45534.32353018518</v>
      </c>
      <c r="B628" s="5" t="s">
        <v>19</v>
      </c>
      <c r="C628" s="5" t="s">
        <v>5058</v>
      </c>
      <c r="E628" s="5" t="s">
        <v>6094</v>
      </c>
      <c r="F628" s="5" t="s">
        <v>524</v>
      </c>
      <c r="G628" s="5" t="s">
        <v>6095</v>
      </c>
      <c r="H628" s="6" t="s">
        <v>6096</v>
      </c>
      <c r="I628" s="7" t="s">
        <v>6097</v>
      </c>
      <c r="J628" s="8" t="str">
        <f>HYPERLINK("https://drive.google.com/file/d/1By7qaqrZf5mEKE1Ylsi1Z-6-48_aw6OI/view?usp=drivesdk","KELI SUSANTO, S.E. SERTIFIKAT BerAKHLAK")</f>
        <v>KELI SUSANTO, S.E. SERTIFIKAT BerAKHLAK</v>
      </c>
      <c r="K628" s="5" t="s">
        <v>6004</v>
      </c>
      <c r="L628" s="5" t="s">
        <v>6098</v>
      </c>
      <c r="M628" s="5" t="s">
        <v>6099</v>
      </c>
      <c r="N628" s="7" t="s">
        <v>6100</v>
      </c>
      <c r="O628" s="8" t="str">
        <f>HYPERLINK("https://drive.google.com/file/d/1WqOo_GqLNvgaFVyjFGkXGEnSvNSQaPVb/view?usp=drivesdk","627_KELI SUSANTO, S.E. _ SERTIFIKAT BIMTEK IPASN BerAKHLASK")</f>
        <v>627_KELI SUSANTO, S.E. _ SERTIFIKAT BIMTEK IPASN BerAKHLASK</v>
      </c>
      <c r="P628" s="5" t="s">
        <v>6054</v>
      </c>
      <c r="Q628" s="5" t="s">
        <v>6101</v>
      </c>
      <c r="R628" s="7" t="s">
        <v>6102</v>
      </c>
      <c r="S628" s="7" t="str">
        <f>HYPERLINK("https://drive.google.com/file/d/1Qf1ZMMq8Ge8whGFB4hmhjQS3RYgZKqh4/view?usp=drivesdk","627_KELI SUSANTO, S.E. SERTIFIKAT BIMTEK IPASN-BerAKHLAK")</f>
        <v>627_KELI SUSANTO, S.E. SERTIFIKAT BIMTEK IPASN-BerAKHLAK</v>
      </c>
      <c r="T628" s="5" t="s">
        <v>6093</v>
      </c>
    </row>
    <row r="629">
      <c r="A629" s="4">
        <v>45534.32353927083</v>
      </c>
      <c r="B629" s="5" t="s">
        <v>34</v>
      </c>
      <c r="D629" s="5" t="s">
        <v>1206</v>
      </c>
      <c r="E629" s="5" t="s">
        <v>6103</v>
      </c>
      <c r="F629" s="5" t="s">
        <v>108</v>
      </c>
      <c r="G629" s="5" t="s">
        <v>6104</v>
      </c>
      <c r="H629" s="6" t="s">
        <v>6105</v>
      </c>
      <c r="I629" s="7" t="s">
        <v>6106</v>
      </c>
      <c r="J629" s="8" t="str">
        <f>HYPERLINK("https://drive.google.com/file/d/10dcd193nAKQ0BhQU5qHiCAPbKa7rXvCR/view?usp=drivesdk","LUSIANA SEMBIRING.S.KEP  SERTIFIKAT BerAKHLAK")</f>
        <v>LUSIANA SEMBIRING.S.KEP  SERTIFIKAT BerAKHLAK</v>
      </c>
      <c r="K629" s="5" t="s">
        <v>6004</v>
      </c>
      <c r="L629" s="5" t="s">
        <v>6107</v>
      </c>
      <c r="M629" s="5" t="s">
        <v>6108</v>
      </c>
      <c r="N629" s="7" t="s">
        <v>6109</v>
      </c>
      <c r="O629" s="8" t="str">
        <f>HYPERLINK("https://drive.google.com/file/d/19MBeen8ImbdQuK0K85wyas0ucot00bKt/view?usp=drivesdk","628_LUSIANA SEMBIRING.S.KEP  _ SERTIFIKAT BIMTEK IPASN BerAKHLASK")</f>
        <v>628_LUSIANA SEMBIRING.S.KEP  _ SERTIFIKAT BIMTEK IPASN BerAKHLASK</v>
      </c>
      <c r="P629" s="5" t="s">
        <v>6054</v>
      </c>
      <c r="Q629" s="5" t="s">
        <v>6110</v>
      </c>
      <c r="R629" s="7" t="s">
        <v>6111</v>
      </c>
      <c r="S629" s="7" t="str">
        <f>HYPERLINK("https://drive.google.com/file/d/1dVKLoIcP4eXnwZyHFLPeQ1kmo7u3GRid/view?usp=drivesdk","628_LUSIANA SEMBIRING.S.KEP  SERTIFIKAT BIMTEK IPASN-BerAKHLAK")</f>
        <v>628_LUSIANA SEMBIRING.S.KEP  SERTIFIKAT BIMTEK IPASN-BerAKHLAK</v>
      </c>
      <c r="T629" s="5" t="s">
        <v>6093</v>
      </c>
    </row>
    <row r="630" hidden="1">
      <c r="A630" s="4">
        <v>45534.32357018518</v>
      </c>
      <c r="B630" s="5" t="s">
        <v>19</v>
      </c>
      <c r="C630" s="5" t="s">
        <v>3301</v>
      </c>
      <c r="E630" s="5" t="s">
        <v>6112</v>
      </c>
      <c r="F630" s="5" t="s">
        <v>120</v>
      </c>
      <c r="G630" s="5" t="s">
        <v>6113</v>
      </c>
      <c r="H630" s="6" t="s">
        <v>6114</v>
      </c>
      <c r="I630" s="7" t="s">
        <v>6115</v>
      </c>
      <c r="J630" s="8" t="str">
        <f>HYPERLINK("https://drive.google.com/file/d/1ns0lQZLj-wTitipkj3hAQ4me3a_1swCC/view?usp=drivesdk","Drg.ASTITI HANDAYANI, GDFO, SP.OF SERTIFIKAT BerAKHLAK")</f>
        <v>Drg.ASTITI HANDAYANI, GDFO, SP.OF SERTIFIKAT BerAKHLAK</v>
      </c>
      <c r="K630" s="5" t="s">
        <v>6004</v>
      </c>
      <c r="L630" s="5" t="s">
        <v>6116</v>
      </c>
      <c r="M630" s="5" t="s">
        <v>6117</v>
      </c>
      <c r="N630" s="7" t="s">
        <v>6118</v>
      </c>
      <c r="O630" s="8" t="str">
        <f>HYPERLINK("https://drive.google.com/file/d/1I8PJUUs8lWcM0Yw9N0qpuyfeWgbbDMlT/view?usp=drivesdk","629_Drg.ASTITI HANDAYANI, GDFO, SP.OF _ SERTIFIKAT BIMTEK IPASN BerAKHLASK")</f>
        <v>629_Drg.ASTITI HANDAYANI, GDFO, SP.OF _ SERTIFIKAT BIMTEK IPASN BerAKHLASK</v>
      </c>
      <c r="P630" s="5" t="s">
        <v>6119</v>
      </c>
      <c r="Q630" s="5" t="s">
        <v>6120</v>
      </c>
      <c r="R630" s="7" t="s">
        <v>6121</v>
      </c>
      <c r="S630" s="7" t="str">
        <f>HYPERLINK("https://drive.google.com/file/d/1t6-ga70QElljxO7uhz0J-uiboRozfeWH/view?usp=drivesdk","629_Drg.ASTITI HANDAYANI, GDFO, SP.OF SERTIFIKAT BIMTEK IPASN-BerAKHLAK")</f>
        <v>629_Drg.ASTITI HANDAYANI, GDFO, SP.OF SERTIFIKAT BIMTEK IPASN-BerAKHLAK</v>
      </c>
      <c r="T630" s="5" t="s">
        <v>6122</v>
      </c>
    </row>
    <row r="631">
      <c r="A631" s="4">
        <v>45534.32361378473</v>
      </c>
      <c r="B631" s="5" t="s">
        <v>34</v>
      </c>
      <c r="D631" s="5" t="s">
        <v>604</v>
      </c>
      <c r="E631" s="5" t="s">
        <v>6123</v>
      </c>
      <c r="F631" s="5" t="s">
        <v>375</v>
      </c>
      <c r="G631" s="5" t="s">
        <v>6124</v>
      </c>
      <c r="H631" s="6" t="s">
        <v>6125</v>
      </c>
      <c r="I631" s="7" t="s">
        <v>6126</v>
      </c>
      <c r="J631" s="8" t="str">
        <f>HYPERLINK("https://drive.google.com/file/d/1Lz3GzFz4OZup7MGDhyzMaWSvC-wlZrPT/view?usp=drivesdk","RIBKA LIKUN SAPAN SERTIFIKAT BerAKHLAK")</f>
        <v>RIBKA LIKUN SAPAN SERTIFIKAT BerAKHLAK</v>
      </c>
      <c r="K631" s="5" t="s">
        <v>6004</v>
      </c>
      <c r="L631" s="5" t="s">
        <v>6127</v>
      </c>
      <c r="M631" s="5" t="s">
        <v>6128</v>
      </c>
      <c r="N631" s="7" t="s">
        <v>6129</v>
      </c>
      <c r="O631" s="8" t="str">
        <f>HYPERLINK("https://drive.google.com/file/d/1MwpR0MlfO048QKrWo2Qqxg3qacUI7cmh/view?usp=drivesdk","630_RIBKA LIKUN SAPAN _ SERTIFIKAT BIMTEK IPASN BerAKHLASK")</f>
        <v>630_RIBKA LIKUN SAPAN _ SERTIFIKAT BIMTEK IPASN BerAKHLASK</v>
      </c>
      <c r="P631" s="5" t="s">
        <v>6119</v>
      </c>
      <c r="Q631" s="5" t="s">
        <v>6130</v>
      </c>
      <c r="R631" s="7" t="s">
        <v>6131</v>
      </c>
      <c r="S631" s="7" t="str">
        <f>HYPERLINK("https://drive.google.com/file/d/1F8JcX0FW5qWW7xvq-67uq3g6mZ3EXstK/view?usp=drivesdk","630_RIBKA LIKUN SAPAN SERTIFIKAT BIMTEK IPASN-BerAKHLAK")</f>
        <v>630_RIBKA LIKUN SAPAN SERTIFIKAT BIMTEK IPASN-BerAKHLAK</v>
      </c>
      <c r="T631" s="5" t="s">
        <v>6122</v>
      </c>
    </row>
    <row r="632">
      <c r="A632" s="4">
        <v>45534.323618553244</v>
      </c>
      <c r="B632" s="5" t="s">
        <v>34</v>
      </c>
      <c r="D632" s="5" t="s">
        <v>1768</v>
      </c>
      <c r="E632" s="5" t="s">
        <v>6132</v>
      </c>
      <c r="F632" s="5" t="s">
        <v>212</v>
      </c>
      <c r="G632" s="5" t="s">
        <v>6133</v>
      </c>
      <c r="H632" s="6" t="s">
        <v>6134</v>
      </c>
      <c r="I632" s="7" t="s">
        <v>6135</v>
      </c>
      <c r="J632" s="8" t="str">
        <f>HYPERLINK("https://drive.google.com/file/d/1ylAjTuzMQx9abqxk8Nwezz7JalFcfTN2/view?usp=drivesdk","EHRI MUL YANTO SERTIFIKAT BerAKHLAK")</f>
        <v>EHRI MUL YANTO SERTIFIKAT BerAKHLAK</v>
      </c>
      <c r="K632" s="5" t="s">
        <v>6004</v>
      </c>
      <c r="L632" s="5" t="s">
        <v>6136</v>
      </c>
      <c r="M632" s="5" t="s">
        <v>6137</v>
      </c>
      <c r="N632" s="7" t="s">
        <v>6138</v>
      </c>
      <c r="O632" s="8" t="str">
        <f>HYPERLINK("https://drive.google.com/file/d/1xh3UK8q_yYBQZfEt6yvGPiVgK2yEh7eV/view?usp=drivesdk","631_EHRI MUL YANTO _ SERTIFIKAT BIMTEK IPASN BerAKHLASK")</f>
        <v>631_EHRI MUL YANTO _ SERTIFIKAT BIMTEK IPASN BerAKHLASK</v>
      </c>
      <c r="P632" s="5" t="s">
        <v>6119</v>
      </c>
      <c r="Q632" s="5" t="s">
        <v>6139</v>
      </c>
      <c r="R632" s="7" t="s">
        <v>6140</v>
      </c>
      <c r="S632" s="7" t="str">
        <f>HYPERLINK("https://drive.google.com/file/d/1aPNSpXduxKHC2Mj686MEbJlNPvtmAuXe/view?usp=drivesdk","631_EHRI MUL YANTO SERTIFIKAT BIMTEK IPASN-BerAKHLAK")</f>
        <v>631_EHRI MUL YANTO SERTIFIKAT BIMTEK IPASN-BerAKHLAK</v>
      </c>
      <c r="T632" s="5" t="s">
        <v>6122</v>
      </c>
    </row>
    <row r="633">
      <c r="A633" s="4">
        <v>45534.32362565972</v>
      </c>
      <c r="B633" s="5" t="s">
        <v>34</v>
      </c>
      <c r="D633" s="5" t="s">
        <v>3432</v>
      </c>
      <c r="E633" s="5" t="s">
        <v>6141</v>
      </c>
      <c r="F633" s="5" t="s">
        <v>524</v>
      </c>
      <c r="G633" s="5" t="s">
        <v>6142</v>
      </c>
      <c r="H633" s="6" t="s">
        <v>6143</v>
      </c>
      <c r="I633" s="7" t="s">
        <v>6144</v>
      </c>
      <c r="J633" s="8" t="str">
        <f>HYPERLINK("https://drive.google.com/file/d/1fNK38DJjWrWcTwrEJNXyVh_sE0OvWoUl/view?usp=drivesdk","ASRI KAUSAHA, S. H.  SERTIFIKAT BerAKHLAK")</f>
        <v>ASRI KAUSAHA, S. H.  SERTIFIKAT BerAKHLAK</v>
      </c>
      <c r="K633" s="5" t="s">
        <v>6004</v>
      </c>
      <c r="L633" s="5" t="s">
        <v>6145</v>
      </c>
      <c r="M633" s="5" t="s">
        <v>6146</v>
      </c>
      <c r="N633" s="7" t="s">
        <v>6147</v>
      </c>
      <c r="O633" s="8" t="str">
        <f>HYPERLINK("https://drive.google.com/file/d/1LstOZgP04zBtP_W1OPZBUw-8wXLYHj-V/view?usp=drivesdk","632_ASRI KAUSAHA, S. H.  _ SERTIFIKAT BIMTEK IPASN BerAKHLASK")</f>
        <v>632_ASRI KAUSAHA, S. H.  _ SERTIFIKAT BIMTEK IPASN BerAKHLASK</v>
      </c>
      <c r="P633" s="5" t="s">
        <v>6119</v>
      </c>
      <c r="Q633" s="5" t="s">
        <v>6148</v>
      </c>
      <c r="R633" s="7" t="s">
        <v>6149</v>
      </c>
      <c r="S633" s="7" t="str">
        <f>HYPERLINK("https://drive.google.com/file/d/1uNmbt6UNIR_k59EeoQffsFxb97uKB3Nm/view?usp=drivesdk","632_ASRI KAUSAHA, S. H.  SERTIFIKAT BIMTEK IPASN-BerAKHLAK")</f>
        <v>632_ASRI KAUSAHA, S. H.  SERTIFIKAT BIMTEK IPASN-BerAKHLAK</v>
      </c>
      <c r="T633" s="5" t="s">
        <v>6122</v>
      </c>
    </row>
    <row r="634">
      <c r="A634" s="4">
        <v>45534.323629606486</v>
      </c>
      <c r="B634" s="5" t="s">
        <v>34</v>
      </c>
      <c r="D634" s="5" t="s">
        <v>4775</v>
      </c>
      <c r="E634" s="5" t="s">
        <v>6150</v>
      </c>
      <c r="F634" s="5" t="s">
        <v>108</v>
      </c>
      <c r="G634" s="5" t="s">
        <v>6151</v>
      </c>
      <c r="H634" s="6" t="s">
        <v>6152</v>
      </c>
      <c r="I634" s="7" t="s">
        <v>6153</v>
      </c>
      <c r="J634" s="8" t="str">
        <f>HYPERLINK("https://drive.google.com/file/d/1tDbDgG7UznSmUofUBrZoGbWCOGsvkB89/view?usp=drivesdk","NUR SEPTIANUDIN, S.E. SERTIFIKAT BerAKHLAK")</f>
        <v>NUR SEPTIANUDIN, S.E. SERTIFIKAT BerAKHLAK</v>
      </c>
      <c r="K634" s="5" t="s">
        <v>6004</v>
      </c>
      <c r="L634" s="5" t="s">
        <v>6154</v>
      </c>
      <c r="M634" s="5" t="s">
        <v>6155</v>
      </c>
      <c r="N634" s="7" t="s">
        <v>6156</v>
      </c>
      <c r="O634" s="8" t="str">
        <f>HYPERLINK("https://drive.google.com/file/d/1lxIjNqIPDi_7vx5PDEc8Ld2xmfPct9NA/view?usp=drivesdk","633_NUR SEPTIANUDIN, S.E. _ SERTIFIKAT BIMTEK IPASN BerAKHLASK")</f>
        <v>633_NUR SEPTIANUDIN, S.E. _ SERTIFIKAT BIMTEK IPASN BerAKHLASK</v>
      </c>
      <c r="P634" s="5" t="s">
        <v>6119</v>
      </c>
      <c r="Q634" s="5" t="s">
        <v>6157</v>
      </c>
      <c r="R634" s="7" t="s">
        <v>6158</v>
      </c>
      <c r="S634" s="7" t="str">
        <f>HYPERLINK("https://drive.google.com/file/d/1p_5Di0Gg124zyyklcSSkRvQFzu5iSQcI/view?usp=drivesdk","633_NUR SEPTIANUDIN, S.E. SERTIFIKAT BIMTEK IPASN-BerAKHLAK")</f>
        <v>633_NUR SEPTIANUDIN, S.E. SERTIFIKAT BIMTEK IPASN-BerAKHLAK</v>
      </c>
      <c r="T634" s="5" t="s">
        <v>6122</v>
      </c>
    </row>
    <row r="635">
      <c r="A635" s="4">
        <v>45534.32362978009</v>
      </c>
      <c r="B635" s="5" t="s">
        <v>34</v>
      </c>
      <c r="D635" s="5" t="s">
        <v>3849</v>
      </c>
      <c r="E635" s="5" t="s">
        <v>6159</v>
      </c>
      <c r="F635" s="5" t="s">
        <v>37</v>
      </c>
      <c r="G635" s="5" t="s">
        <v>6160</v>
      </c>
      <c r="H635" s="6" t="s">
        <v>6161</v>
      </c>
      <c r="K635" s="5" t="s">
        <v>6162</v>
      </c>
      <c r="M635" s="5" t="s">
        <v>6163</v>
      </c>
      <c r="N635" s="7" t="s">
        <v>6164</v>
      </c>
      <c r="O635" s="8" t="str">
        <f>HYPERLINK("https://drive.google.com/file/d/1KTqct3Iq5e9Zc1lGvCFVw0xYuWjDYcO1/view?usp=drivesdk","634_EKATRIDIANA, A.Md. Kep _ SERTIFIKAT BIMTEK IPASN BerAKHLASK")</f>
        <v>634_EKATRIDIANA, A.Md. Kep _ SERTIFIKAT BIMTEK IPASN BerAKHLASK</v>
      </c>
      <c r="P635" s="5" t="s">
        <v>6119</v>
      </c>
      <c r="Q635" s="5" t="s">
        <v>6165</v>
      </c>
      <c r="R635" s="7" t="s">
        <v>6166</v>
      </c>
      <c r="S635" s="7" t="str">
        <f>HYPERLINK("https://drive.google.com/file/d/1veiQ8uedIN3P3wOinMvzSnlPI2h0ujpu/view?usp=drivesdk","634_EKATRIDIANA, A.Md. Kep SERTIFIKAT BIMTEK IPASN-BerAKHLAK")</f>
        <v>634_EKATRIDIANA, A.Md. Kep SERTIFIKAT BIMTEK IPASN-BerAKHLAK</v>
      </c>
      <c r="T635" s="5" t="s">
        <v>6122</v>
      </c>
    </row>
    <row r="636">
      <c r="A636" s="4">
        <v>45534.32364037037</v>
      </c>
      <c r="B636" s="5" t="s">
        <v>34</v>
      </c>
      <c r="D636" s="5" t="s">
        <v>1206</v>
      </c>
      <c r="E636" s="5" t="s">
        <v>6167</v>
      </c>
      <c r="F636" s="5" t="s">
        <v>37</v>
      </c>
      <c r="G636" s="5" t="s">
        <v>6168</v>
      </c>
      <c r="H636" s="6" t="s">
        <v>6169</v>
      </c>
      <c r="K636" s="5" t="s">
        <v>6162</v>
      </c>
      <c r="M636" s="5" t="s">
        <v>6170</v>
      </c>
      <c r="N636" s="7" t="s">
        <v>6171</v>
      </c>
      <c r="O636" s="8" t="str">
        <f>HYPERLINK("https://drive.google.com/file/d/113h1-uW0Q2Ok3585fTvP10fq4YpMXqut/view?usp=drivesdk","635_BAMBANG HARIANTO _ SERTIFIKAT BIMTEK IPASN BerAKHLASK")</f>
        <v>635_BAMBANG HARIANTO _ SERTIFIKAT BIMTEK IPASN BerAKHLASK</v>
      </c>
      <c r="P636" s="5" t="s">
        <v>6172</v>
      </c>
      <c r="Q636" s="5" t="s">
        <v>6173</v>
      </c>
      <c r="R636" s="7" t="s">
        <v>6174</v>
      </c>
      <c r="S636" s="7" t="str">
        <f>HYPERLINK("https://drive.google.com/file/d/1na7kEXRhUjhe_DxDtmGzAosXBXQltRIl/view?usp=drivesdk","635_BAMBANG HARIANTO SERTIFIKAT BIMTEK IPASN-BerAKHLAK")</f>
        <v>635_BAMBANG HARIANTO SERTIFIKAT BIMTEK IPASN-BerAKHLAK</v>
      </c>
      <c r="T636" s="5" t="s">
        <v>6122</v>
      </c>
    </row>
    <row r="637" hidden="1">
      <c r="A637" s="4">
        <v>45534.32364462963</v>
      </c>
      <c r="B637" s="5" t="s">
        <v>19</v>
      </c>
      <c r="C637" s="5" t="s">
        <v>3301</v>
      </c>
      <c r="E637" s="5" t="s">
        <v>6175</v>
      </c>
      <c r="F637" s="5" t="s">
        <v>524</v>
      </c>
      <c r="G637" s="5" t="s">
        <v>6176</v>
      </c>
      <c r="H637" s="6" t="s">
        <v>6177</v>
      </c>
      <c r="I637" s="7" t="s">
        <v>6178</v>
      </c>
      <c r="J637" s="8" t="str">
        <f>HYPERLINK("https://drive.google.com/file/d/1rFke1DfyMfCSXz4TmquK_68ShINpCIoM/view?usp=drivesdk","TRI MEDY YANTI SERTIFIKAT BerAKHLAK")</f>
        <v>TRI MEDY YANTI SERTIFIKAT BerAKHLAK</v>
      </c>
      <c r="K637" s="5" t="s">
        <v>6004</v>
      </c>
      <c r="L637" s="5" t="s">
        <v>6179</v>
      </c>
      <c r="M637" s="5" t="s">
        <v>6180</v>
      </c>
      <c r="N637" s="7" t="s">
        <v>6181</v>
      </c>
      <c r="O637" s="8" t="str">
        <f>HYPERLINK("https://drive.google.com/file/d/1NWrQNTdZ-Qb-tBW5-OCOjPofef4-QfAi/view?usp=drivesdk","636_TRI MEDY YANTI _ SERTIFIKAT BIMTEK IPASN BerAKHLASK")</f>
        <v>636_TRI MEDY YANTI _ SERTIFIKAT BIMTEK IPASN BerAKHLASK</v>
      </c>
      <c r="P637" s="5" t="s">
        <v>6172</v>
      </c>
      <c r="Q637" s="5" t="s">
        <v>6182</v>
      </c>
      <c r="R637" s="7" t="s">
        <v>6183</v>
      </c>
      <c r="S637" s="7" t="str">
        <f>HYPERLINK("https://drive.google.com/file/d/1VtIXLd6hpTvRLOIsgWXFUz1qWj22acni/view?usp=drivesdk","636_TRI MEDY YANTI SERTIFIKAT BIMTEK IPASN-BerAKHLAK")</f>
        <v>636_TRI MEDY YANTI SERTIFIKAT BIMTEK IPASN-BerAKHLAK</v>
      </c>
      <c r="T637" s="5" t="s">
        <v>6184</v>
      </c>
    </row>
    <row r="638">
      <c r="A638" s="4">
        <v>45534.323665081014</v>
      </c>
      <c r="B638" s="5" t="s">
        <v>34</v>
      </c>
      <c r="D638" s="5" t="s">
        <v>267</v>
      </c>
      <c r="E638" s="5" t="s">
        <v>6185</v>
      </c>
      <c r="F638" s="5" t="s">
        <v>72</v>
      </c>
      <c r="G638" s="5" t="s">
        <v>6186</v>
      </c>
      <c r="H638" s="6" t="s">
        <v>6187</v>
      </c>
      <c r="I638" s="7" t="s">
        <v>6188</v>
      </c>
      <c r="J638" s="8" t="str">
        <f>HYPERLINK("https://drive.google.com/file/d/1JOqJBe7ew2tJElHtQbGNPw-imC9Qapb5/view?usp=drivesdk","FRANSISKA YUDIAWATI SERTIFIKAT BerAKHLAK")</f>
        <v>FRANSISKA YUDIAWATI SERTIFIKAT BerAKHLAK</v>
      </c>
      <c r="K638" s="5" t="s">
        <v>6004</v>
      </c>
      <c r="L638" s="5" t="s">
        <v>6189</v>
      </c>
      <c r="M638" s="5" t="s">
        <v>6190</v>
      </c>
      <c r="N638" s="7" t="s">
        <v>6191</v>
      </c>
      <c r="O638" s="8" t="str">
        <f>HYPERLINK("https://drive.google.com/file/d/1XYtSOkrcluuXUWVv2qjbcWQwScpw-iW8/view?usp=drivesdk","637_FRANSISKA YUDIAWATI _ SERTIFIKAT BIMTEK IPASN BerAKHLASK")</f>
        <v>637_FRANSISKA YUDIAWATI _ SERTIFIKAT BIMTEK IPASN BerAKHLASK</v>
      </c>
      <c r="P638" s="5" t="s">
        <v>6172</v>
      </c>
      <c r="Q638" s="5" t="s">
        <v>6192</v>
      </c>
      <c r="R638" s="7" t="s">
        <v>6193</v>
      </c>
      <c r="S638" s="7" t="str">
        <f>HYPERLINK("https://drive.google.com/file/d/1Mw-tsX10oAkD7rApQWk6k55uYpqNY1tL/view?usp=drivesdk","637_FRANSISKA YUDIAWATI SERTIFIKAT BIMTEK IPASN-BerAKHLAK")</f>
        <v>637_FRANSISKA YUDIAWATI SERTIFIKAT BIMTEK IPASN-BerAKHLAK</v>
      </c>
      <c r="T638" s="5" t="s">
        <v>6184</v>
      </c>
    </row>
    <row r="639">
      <c r="A639" s="4">
        <v>45534.32367484954</v>
      </c>
      <c r="B639" s="5" t="s">
        <v>34</v>
      </c>
      <c r="D639" s="5" t="s">
        <v>35</v>
      </c>
      <c r="E639" s="5" t="s">
        <v>6194</v>
      </c>
      <c r="F639" s="5" t="s">
        <v>375</v>
      </c>
      <c r="G639" s="5" t="s">
        <v>6195</v>
      </c>
      <c r="H639" s="6" t="s">
        <v>6196</v>
      </c>
      <c r="I639" s="7" t="s">
        <v>6197</v>
      </c>
      <c r="J639" s="8" t="str">
        <f>HYPERLINK("https://drive.google.com/file/d/18UVlSm8wHBIz9bbtVTyuUARqCgRlYg-Q/view?usp=drivesdk","HENI DWI ASTUTI, S. KOM SERTIFIKAT BerAKHLAK")</f>
        <v>HENI DWI ASTUTI, S. KOM SERTIFIKAT BerAKHLAK</v>
      </c>
      <c r="K639" s="5" t="s">
        <v>6198</v>
      </c>
      <c r="L639" s="5" t="s">
        <v>6199</v>
      </c>
      <c r="M639" s="5" t="s">
        <v>6200</v>
      </c>
      <c r="N639" s="7" t="s">
        <v>6201</v>
      </c>
      <c r="O639" s="8" t="str">
        <f>HYPERLINK("https://drive.google.com/file/d/1DlmySM8EVEljf942KLxipZOsrRT30Kgv/view?usp=drivesdk","638_HENI DWI ASTUTI, S. KOM _ SERTIFIKAT BIMTEK IPASN BerAKHLASK")</f>
        <v>638_HENI DWI ASTUTI, S. KOM _ SERTIFIKAT BIMTEK IPASN BerAKHLASK</v>
      </c>
      <c r="P639" s="5" t="s">
        <v>6172</v>
      </c>
      <c r="Q639" s="5" t="s">
        <v>6202</v>
      </c>
      <c r="R639" s="7" t="s">
        <v>6203</v>
      </c>
      <c r="S639" s="7" t="str">
        <f>HYPERLINK("https://drive.google.com/file/d/1Kr5aZ7ouD8oOaq5NMxWxtIr1zmHuxSX7/view?usp=drivesdk","638_HENI DWI ASTUTI, S. KOM SERTIFIKAT BIMTEK IPASN-BerAKHLAK")</f>
        <v>638_HENI DWI ASTUTI, S. KOM SERTIFIKAT BIMTEK IPASN-BerAKHLAK</v>
      </c>
      <c r="T639" s="5" t="s">
        <v>6184</v>
      </c>
    </row>
    <row r="640" hidden="1">
      <c r="A640" s="4">
        <v>45534.323705138886</v>
      </c>
      <c r="B640" s="5" t="s">
        <v>19</v>
      </c>
      <c r="C640" s="5" t="s">
        <v>292</v>
      </c>
      <c r="E640" s="5" t="s">
        <v>6204</v>
      </c>
      <c r="F640" s="5" t="s">
        <v>22</v>
      </c>
      <c r="G640" s="5" t="s">
        <v>6205</v>
      </c>
      <c r="H640" s="6" t="s">
        <v>6206</v>
      </c>
      <c r="I640" s="7" t="s">
        <v>6207</v>
      </c>
      <c r="J640" s="8" t="str">
        <f>HYPERLINK("https://drive.google.com/file/d/1chaXcRw3zao2NyWCTR2MKok_9XhjnEOk/view?usp=drivesdk","drg.FELISIA ANDRIANI, Sp.KG SERTIFIKAT BerAKHLAK")</f>
        <v>drg.FELISIA ANDRIANI, Sp.KG SERTIFIKAT BerAKHLAK</v>
      </c>
      <c r="K640" s="5" t="s">
        <v>6198</v>
      </c>
      <c r="L640" s="5" t="s">
        <v>6208</v>
      </c>
      <c r="M640" s="5" t="s">
        <v>6209</v>
      </c>
      <c r="N640" s="7" t="s">
        <v>6210</v>
      </c>
      <c r="O640" s="8" t="str">
        <f>HYPERLINK("https://drive.google.com/file/d/11pA-ombipaJzskcEbjAF3-S1BReyJCyc/view?usp=drivesdk","639_drg.FELISIA ANDRIANI, Sp.KG _ SERTIFIKAT BIMTEK IPASN BerAKHLASK")</f>
        <v>639_drg.FELISIA ANDRIANI, Sp.KG _ SERTIFIKAT BIMTEK IPASN BerAKHLASK</v>
      </c>
      <c r="P640" s="5" t="s">
        <v>6172</v>
      </c>
      <c r="Q640" s="5" t="s">
        <v>6211</v>
      </c>
      <c r="R640" s="7" t="s">
        <v>6212</v>
      </c>
      <c r="S640" s="7" t="str">
        <f>HYPERLINK("https://drive.google.com/file/d/1R1y4Q_TJ03GiDh3uoN646RdB5_iMtECf/view?usp=drivesdk","639_drg.FELISIA ANDRIANI, Sp.KG SERTIFIKAT BIMTEK IPASN-BerAKHLAK")</f>
        <v>639_drg.FELISIA ANDRIANI, Sp.KG SERTIFIKAT BIMTEK IPASN-BerAKHLAK</v>
      </c>
      <c r="T640" s="5" t="s">
        <v>6184</v>
      </c>
    </row>
    <row r="641">
      <c r="A641" s="4">
        <v>45534.323715011575</v>
      </c>
      <c r="B641" s="5" t="s">
        <v>34</v>
      </c>
      <c r="D641" s="5" t="s">
        <v>1768</v>
      </c>
      <c r="E641" s="5" t="s">
        <v>6213</v>
      </c>
      <c r="F641" s="5" t="s">
        <v>72</v>
      </c>
      <c r="G641" s="5" t="s">
        <v>6214</v>
      </c>
      <c r="H641" s="6" t="s">
        <v>6215</v>
      </c>
      <c r="I641" s="7" t="s">
        <v>6216</v>
      </c>
      <c r="J641" s="8" t="str">
        <f>HYPERLINK("https://drive.google.com/file/d/1OQweyzE7u9xUmLXk0mKW3rVeR_09dcbe/view?usp=drivesdk","TRI KURNIALIN RUSLIANA,S.Keb SERTIFIKAT BerAKHLAK")</f>
        <v>TRI KURNIALIN RUSLIANA,S.Keb SERTIFIKAT BerAKHLAK</v>
      </c>
      <c r="K641" s="5" t="s">
        <v>6198</v>
      </c>
      <c r="L641" s="5" t="s">
        <v>6217</v>
      </c>
      <c r="M641" s="5" t="s">
        <v>6218</v>
      </c>
      <c r="N641" s="7" t="s">
        <v>6219</v>
      </c>
      <c r="O641" s="8" t="str">
        <f>HYPERLINK("https://drive.google.com/file/d/1uayC5sBajQa_8VTOIZk2yszv4x8tPa-J/view?usp=drivesdk","640_TRI KURNIALIN RUSLIANA,S.Keb _ SERTIFIKAT BIMTEK IPASN BerAKHLASK")</f>
        <v>640_TRI KURNIALIN RUSLIANA,S.Keb _ SERTIFIKAT BIMTEK IPASN BerAKHLASK</v>
      </c>
      <c r="P641" s="5" t="s">
        <v>6220</v>
      </c>
      <c r="Q641" s="5" t="s">
        <v>6221</v>
      </c>
      <c r="R641" s="7" t="s">
        <v>6222</v>
      </c>
      <c r="S641" s="7" t="str">
        <f>HYPERLINK("https://drive.google.com/file/d/1QA86F23Bp0ItgHHU7cH0l6ZxVOJyfSC9/view?usp=drivesdk","640_TRI KURNIALIN RUSLIANA,S.Keb SERTIFIKAT BIMTEK IPASN-BerAKHLAK")</f>
        <v>640_TRI KURNIALIN RUSLIANA,S.Keb SERTIFIKAT BIMTEK IPASN-BerAKHLAK</v>
      </c>
      <c r="T641" s="5" t="s">
        <v>6184</v>
      </c>
    </row>
    <row r="642">
      <c r="A642" s="4">
        <v>45534.32371590278</v>
      </c>
      <c r="B642" s="5" t="s">
        <v>34</v>
      </c>
      <c r="D642" s="5" t="s">
        <v>522</v>
      </c>
      <c r="E642" s="5" t="s">
        <v>6223</v>
      </c>
      <c r="F642" s="5" t="s">
        <v>37</v>
      </c>
      <c r="G642" s="5" t="s">
        <v>6224</v>
      </c>
      <c r="H642" s="6" t="s">
        <v>6225</v>
      </c>
      <c r="I642" s="7" t="s">
        <v>6226</v>
      </c>
      <c r="J642" s="8" t="str">
        <f>HYPERLINK("https://drive.google.com/file/d/1sqiUuxLVaLWOFcA0RCDZKQbgpjJgmzkj/view?usp=drivesdk","LALU DENDY SATRIA WIBAWA, A.Md.Kep SERTIFIKAT BerAKHLAK")</f>
        <v>LALU DENDY SATRIA WIBAWA, A.Md.Kep SERTIFIKAT BerAKHLAK</v>
      </c>
      <c r="K642" s="5" t="s">
        <v>6198</v>
      </c>
      <c r="L642" s="5" t="s">
        <v>6227</v>
      </c>
      <c r="M642" s="5" t="s">
        <v>6228</v>
      </c>
      <c r="N642" s="7" t="s">
        <v>6229</v>
      </c>
      <c r="O642" s="8" t="str">
        <f>HYPERLINK("https://drive.google.com/file/d/1X1jIAijrMGZXYp78GUMkqQLN9SyxcqEG/view?usp=drivesdk","641_LALU DENDY SATRIA WIBAWA, A.Md.Kep _ SERTIFIKAT BIMTEK IPASN BerAKHLASK")</f>
        <v>641_LALU DENDY SATRIA WIBAWA, A.Md.Kep _ SERTIFIKAT BIMTEK IPASN BerAKHLASK</v>
      </c>
      <c r="P642" s="5" t="s">
        <v>6220</v>
      </c>
      <c r="Q642" s="5" t="s">
        <v>6230</v>
      </c>
      <c r="R642" s="7" t="s">
        <v>6231</v>
      </c>
      <c r="S642" s="7" t="str">
        <f>HYPERLINK("https://drive.google.com/file/d/17EdyZhMVNYqD93uFakopVn-NFl4uPGOn/view?usp=drivesdk","641_LALU DENDY SATRIA WIBAWA, A.Md.Kep SERTIFIKAT BIMTEK IPASN-BerAKHLAK")</f>
        <v>641_LALU DENDY SATRIA WIBAWA, A.Md.Kep SERTIFIKAT BIMTEK IPASN-BerAKHLAK</v>
      </c>
      <c r="T642" s="5" t="s">
        <v>6184</v>
      </c>
    </row>
    <row r="643">
      <c r="A643" s="4">
        <v>45534.32376755787</v>
      </c>
      <c r="B643" s="5" t="s">
        <v>34</v>
      </c>
      <c r="D643" s="5" t="s">
        <v>6232</v>
      </c>
      <c r="E643" s="5" t="s">
        <v>6233</v>
      </c>
      <c r="F643" s="5" t="s">
        <v>120</v>
      </c>
      <c r="G643" s="5" t="s">
        <v>6234</v>
      </c>
      <c r="H643" s="6" t="s">
        <v>6235</v>
      </c>
      <c r="I643" s="7" t="s">
        <v>6236</v>
      </c>
      <c r="J643" s="8" t="str">
        <f>HYPERLINK("https://drive.google.com/file/d/1f5uUhCNxwnsswSE8AKEgAYI_ZJNakgSC/view?usp=drivesdk","FERRY HARYONO S KOM SERTIFIKAT BerAKHLAK")</f>
        <v>FERRY HARYONO S KOM SERTIFIKAT BerAKHLAK</v>
      </c>
      <c r="K643" s="5" t="s">
        <v>6237</v>
      </c>
      <c r="L643" s="5" t="s">
        <v>6238</v>
      </c>
      <c r="M643" s="5" t="s">
        <v>6239</v>
      </c>
      <c r="N643" s="7" t="s">
        <v>6240</v>
      </c>
      <c r="O643" s="8" t="str">
        <f>HYPERLINK("https://drive.google.com/file/d/1uWzFG9azEkVx8vwH0LrZjcGHinRZUCjQ/view?usp=drivesdk","642_FERRY HARYONO S KOM _ SERTIFIKAT BIMTEK IPASN BerAKHLASK")</f>
        <v>642_FERRY HARYONO S KOM _ SERTIFIKAT BIMTEK IPASN BerAKHLASK</v>
      </c>
      <c r="P643" s="5" t="s">
        <v>6220</v>
      </c>
      <c r="Q643" s="5" t="s">
        <v>6241</v>
      </c>
      <c r="R643" s="7" t="s">
        <v>6242</v>
      </c>
      <c r="S643" s="7" t="str">
        <f>HYPERLINK("https://drive.google.com/file/d/1ujCBDuOijZOSmHw6fwf-JGf9a3QH2Pwt/view?usp=drivesdk","642_FERRY HARYONO S KOM SERTIFIKAT BIMTEK IPASN-BerAKHLAK")</f>
        <v>642_FERRY HARYONO S KOM SERTIFIKAT BIMTEK IPASN-BerAKHLAK</v>
      </c>
      <c r="T643" s="5" t="s">
        <v>6243</v>
      </c>
    </row>
    <row r="644">
      <c r="A644" s="4">
        <v>45534.32382813658</v>
      </c>
      <c r="B644" s="5" t="s">
        <v>34</v>
      </c>
      <c r="D644" s="5" t="s">
        <v>35</v>
      </c>
      <c r="E644" s="5" t="s">
        <v>6244</v>
      </c>
      <c r="F644" s="5" t="s">
        <v>37</v>
      </c>
      <c r="G644" s="5" t="s">
        <v>6245</v>
      </c>
      <c r="H644" s="6" t="s">
        <v>6246</v>
      </c>
      <c r="I644" s="7" t="s">
        <v>6247</v>
      </c>
      <c r="J644" s="8" t="str">
        <f>HYPERLINK("https://drive.google.com/file/d/1iK9Z5sSgXBbKleNx11yJ8_Wsrlloz-V6/view?usp=drivesdk","ZAKI ABDILLAH, S.E. SERTIFIKAT BerAKHLAK")</f>
        <v>ZAKI ABDILLAH, S.E. SERTIFIKAT BerAKHLAK</v>
      </c>
      <c r="K644" s="5" t="s">
        <v>6248</v>
      </c>
      <c r="L644" s="5" t="s">
        <v>6249</v>
      </c>
      <c r="M644" s="5" t="s">
        <v>6250</v>
      </c>
      <c r="N644" s="7" t="s">
        <v>6251</v>
      </c>
      <c r="O644" s="8" t="str">
        <f>HYPERLINK("https://drive.google.com/file/d/15uGLT4-IQ9n5lFrFZ061U30TrwwmIGtP/view?usp=drivesdk","643_ZAKI ABDILLAH, S.E. _ SERTIFIKAT BIMTEK IPASN BerAKHLASK")</f>
        <v>643_ZAKI ABDILLAH, S.E. _ SERTIFIKAT BIMTEK IPASN BerAKHLASK</v>
      </c>
      <c r="P644" s="5" t="s">
        <v>6220</v>
      </c>
      <c r="Q644" s="5" t="s">
        <v>6252</v>
      </c>
      <c r="R644" s="7" t="s">
        <v>6253</v>
      </c>
      <c r="S644" s="7" t="str">
        <f>HYPERLINK("https://drive.google.com/file/d/1DOBPhuzkYulAinZQXO1sPd_DzS0yZlZj/view?usp=drivesdk","643_ZAKI ABDILLAH, S.E. SERTIFIKAT BIMTEK IPASN-BerAKHLAK")</f>
        <v>643_ZAKI ABDILLAH, S.E. SERTIFIKAT BIMTEK IPASN-BerAKHLAK</v>
      </c>
      <c r="T644" s="5" t="s">
        <v>6243</v>
      </c>
    </row>
    <row r="645">
      <c r="A645" s="4">
        <v>45534.323842743055</v>
      </c>
      <c r="B645" s="5" t="s">
        <v>34</v>
      </c>
      <c r="D645" s="5" t="s">
        <v>1206</v>
      </c>
      <c r="E645" s="5" t="s">
        <v>6254</v>
      </c>
      <c r="F645" s="5" t="s">
        <v>37</v>
      </c>
      <c r="G645" s="5" t="s">
        <v>6255</v>
      </c>
      <c r="H645" s="6" t="s">
        <v>6256</v>
      </c>
      <c r="I645" s="7" t="s">
        <v>6257</v>
      </c>
      <c r="J645" s="8" t="str">
        <f>HYPERLINK("https://drive.google.com/file/d/1h7oVGlgpXs3E_SIm6giw5uQBFtznCUVt/view?usp=drivesdk","MUNICHA OKTAFIA ARSANTI SERTIFIKAT BerAKHLAK")</f>
        <v>MUNICHA OKTAFIA ARSANTI SERTIFIKAT BerAKHLAK</v>
      </c>
      <c r="K645" s="5" t="s">
        <v>6258</v>
      </c>
      <c r="L645" s="5" t="s">
        <v>6259</v>
      </c>
      <c r="M645" s="5" t="s">
        <v>6260</v>
      </c>
      <c r="N645" s="7" t="s">
        <v>6261</v>
      </c>
      <c r="O645" s="8" t="str">
        <f>HYPERLINK("https://drive.google.com/file/d/1ww7-lYmhJjikYN-ci2jI4_lOQdIXhbeu/view?usp=drivesdk","644_MUNICHA OKTAFIA ARSANTI _ SERTIFIKAT BIMTEK IPASN BerAKHLASK")</f>
        <v>644_MUNICHA OKTAFIA ARSANTI _ SERTIFIKAT BIMTEK IPASN BerAKHLASK</v>
      </c>
      <c r="P645" s="5" t="s">
        <v>6220</v>
      </c>
      <c r="Q645" s="5" t="s">
        <v>6262</v>
      </c>
      <c r="R645" s="7" t="s">
        <v>6263</v>
      </c>
      <c r="S645" s="7" t="str">
        <f>HYPERLINK("https://drive.google.com/file/d/1R_IJAuegZSpF_kdvNrRLE21I0j3c8PIn/view?usp=drivesdk","644_MUNICHA OKTAFIA ARSANTI SERTIFIKAT BIMTEK IPASN-BerAKHLAK")</f>
        <v>644_MUNICHA OKTAFIA ARSANTI SERTIFIKAT BIMTEK IPASN-BerAKHLAK</v>
      </c>
      <c r="T645" s="5" t="s">
        <v>6243</v>
      </c>
    </row>
    <row r="646">
      <c r="A646" s="4">
        <v>45534.323845555555</v>
      </c>
      <c r="B646" s="5" t="s">
        <v>34</v>
      </c>
      <c r="D646" s="5" t="s">
        <v>35</v>
      </c>
      <c r="E646" s="5" t="s">
        <v>6264</v>
      </c>
      <c r="F646" s="5" t="s">
        <v>212</v>
      </c>
      <c r="G646" s="5" t="s">
        <v>6265</v>
      </c>
      <c r="H646" s="6" t="s">
        <v>6266</v>
      </c>
      <c r="I646" s="7" t="s">
        <v>6267</v>
      </c>
      <c r="J646" s="8" t="str">
        <f>HYPERLINK("https://drive.google.com/file/d/1KMOQHIcaD64aK1zZtwdtj02BPNZGNPDD/view?usp=drivesdk","RINI SUPRIATIN SERTIFIKAT BerAKHLAK")</f>
        <v>RINI SUPRIATIN SERTIFIKAT BerAKHLAK</v>
      </c>
      <c r="K646" s="5" t="s">
        <v>6258</v>
      </c>
      <c r="L646" s="5" t="s">
        <v>6268</v>
      </c>
      <c r="M646" s="5" t="s">
        <v>6269</v>
      </c>
      <c r="N646" s="7" t="s">
        <v>6270</v>
      </c>
      <c r="O646" s="8" t="str">
        <f>HYPERLINK("https://drive.google.com/file/d/1Yv2jabyYsGVb7Fc4WdBmfjjtHr007EoV/view?usp=drivesdk","645_RINI SUPRIATIN _ SERTIFIKAT BIMTEK IPASN BerAKHLASK")</f>
        <v>645_RINI SUPRIATIN _ SERTIFIKAT BIMTEK IPASN BerAKHLASK</v>
      </c>
      <c r="P646" s="5" t="s">
        <v>6271</v>
      </c>
      <c r="Q646" s="5" t="s">
        <v>6272</v>
      </c>
      <c r="R646" s="7" t="s">
        <v>6273</v>
      </c>
      <c r="S646" s="7" t="str">
        <f>HYPERLINK("https://drive.google.com/file/d/1kxg8WuadcEkJvtoCKQPZsWw16PGs7iN_/view?usp=drivesdk","645_RINI SUPRIATIN SERTIFIKAT BIMTEK IPASN-BerAKHLAK")</f>
        <v>645_RINI SUPRIATIN SERTIFIKAT BIMTEK IPASN-BerAKHLAK</v>
      </c>
      <c r="T646" s="5" t="s">
        <v>6243</v>
      </c>
    </row>
    <row r="647">
      <c r="A647" s="4">
        <v>45534.32385564815</v>
      </c>
      <c r="B647" s="5" t="s">
        <v>34</v>
      </c>
      <c r="D647" s="5" t="s">
        <v>4775</v>
      </c>
      <c r="E647" s="5" t="s">
        <v>6274</v>
      </c>
      <c r="F647" s="5" t="s">
        <v>212</v>
      </c>
      <c r="G647" s="5" t="s">
        <v>6275</v>
      </c>
      <c r="H647" s="6" t="s">
        <v>6276</v>
      </c>
      <c r="I647" s="7" t="s">
        <v>6277</v>
      </c>
      <c r="J647" s="8" t="str">
        <f>HYPERLINK("https://drive.google.com/file/d/1ESmd_pv550uW_eKSkGIjVv0nb7PtA_v6/view?usp=drivesdk","WIWIN ERNAWATI SERTIFIKAT BerAKHLAK")</f>
        <v>WIWIN ERNAWATI SERTIFIKAT BerAKHLAK</v>
      </c>
      <c r="K647" s="5" t="s">
        <v>6258</v>
      </c>
      <c r="L647" s="5" t="s">
        <v>6278</v>
      </c>
      <c r="M647" s="5" t="s">
        <v>6279</v>
      </c>
      <c r="N647" s="7" t="s">
        <v>6280</v>
      </c>
      <c r="O647" s="8" t="str">
        <f>HYPERLINK("https://drive.google.com/file/d/1voW5WeRIlPbICVIAPK8bZl9bLEz2bbtY/view?usp=drivesdk","646_WIWIN ERNAWATI _ SERTIFIKAT BIMTEK IPASN BerAKHLASK")</f>
        <v>646_WIWIN ERNAWATI _ SERTIFIKAT BIMTEK IPASN BerAKHLASK</v>
      </c>
      <c r="P647" s="5" t="s">
        <v>6271</v>
      </c>
      <c r="Q647" s="5" t="s">
        <v>6281</v>
      </c>
      <c r="R647" s="7" t="s">
        <v>6282</v>
      </c>
      <c r="S647" s="7" t="str">
        <f>HYPERLINK("https://drive.google.com/file/d/1rIRm31xOyflzFktA3Fbq1jc_TLGnWoE3/view?usp=drivesdk","646_WIWIN ERNAWATI SERTIFIKAT BIMTEK IPASN-BerAKHLAK")</f>
        <v>646_WIWIN ERNAWATI SERTIFIKAT BIMTEK IPASN-BerAKHLAK</v>
      </c>
      <c r="T647" s="5" t="s">
        <v>6243</v>
      </c>
    </row>
    <row r="648">
      <c r="A648" s="4">
        <v>45534.32387972222</v>
      </c>
      <c r="B648" s="5" t="s">
        <v>34</v>
      </c>
      <c r="D648" s="5" t="s">
        <v>280</v>
      </c>
      <c r="E648" s="5" t="s">
        <v>6283</v>
      </c>
      <c r="F648" s="5" t="s">
        <v>72</v>
      </c>
      <c r="G648" s="5" t="s">
        <v>6284</v>
      </c>
      <c r="H648" s="6" t="s">
        <v>6285</v>
      </c>
      <c r="I648" s="7" t="s">
        <v>6286</v>
      </c>
      <c r="J648" s="8" t="str">
        <f>HYPERLINK("https://drive.google.com/file/d/15uOD0JkTvITOhaooMHTCAWeBmIu7BM7k/view?usp=drivesdk","IDA SOPIAH SILAEN, S.H. SERTIFIKAT BerAKHLAK")</f>
        <v>IDA SOPIAH SILAEN, S.H. SERTIFIKAT BerAKHLAK</v>
      </c>
      <c r="K648" s="5" t="s">
        <v>6258</v>
      </c>
      <c r="L648" s="5" t="s">
        <v>6287</v>
      </c>
      <c r="M648" s="5" t="s">
        <v>6288</v>
      </c>
      <c r="N648" s="7" t="s">
        <v>6289</v>
      </c>
      <c r="O648" s="8" t="str">
        <f>HYPERLINK("https://drive.google.com/file/d/1upphpo3YVs7nftzxP2NOoM7OaHf_5RLD/view?usp=drivesdk","647_IDA SOPIAH SILAEN, S.H. _ SERTIFIKAT BIMTEK IPASN BerAKHLASK")</f>
        <v>647_IDA SOPIAH SILAEN, S.H. _ SERTIFIKAT BIMTEK IPASN BerAKHLASK</v>
      </c>
      <c r="P648" s="5" t="s">
        <v>6271</v>
      </c>
      <c r="Q648" s="5" t="s">
        <v>6290</v>
      </c>
      <c r="R648" s="7" t="s">
        <v>6291</v>
      </c>
      <c r="S648" s="7" t="str">
        <f>HYPERLINK("https://drive.google.com/file/d/16AHrqlBDgKfotJgoIJXgrqfcz8PdzOFt/view?usp=drivesdk","647_IDA SOPIAH SILAEN, S.H. SERTIFIKAT BIMTEK IPASN-BerAKHLAK")</f>
        <v>647_IDA SOPIAH SILAEN, S.H. SERTIFIKAT BIMTEK IPASN-BerAKHLAK</v>
      </c>
      <c r="T648" s="5" t="s">
        <v>6243</v>
      </c>
    </row>
    <row r="649">
      <c r="A649" s="4">
        <v>45534.32388481482</v>
      </c>
      <c r="B649" s="5" t="s">
        <v>34</v>
      </c>
      <c r="D649" s="5" t="s">
        <v>1206</v>
      </c>
      <c r="E649" s="5" t="s">
        <v>6292</v>
      </c>
      <c r="F649" s="5" t="s">
        <v>37</v>
      </c>
      <c r="G649" s="5" t="s">
        <v>6293</v>
      </c>
      <c r="H649" s="6" t="s">
        <v>6294</v>
      </c>
      <c r="I649" s="7" t="s">
        <v>6295</v>
      </c>
      <c r="J649" s="8" t="str">
        <f>HYPERLINK("https://drive.google.com/file/d/1qIwZao1Ao746ruQtpfMOgAS8urrG4jXq/view?usp=drivesdk","NILA WULANDARI  SERTIFIKAT BerAKHLAK")</f>
        <v>NILA WULANDARI  SERTIFIKAT BerAKHLAK</v>
      </c>
      <c r="K649" s="5" t="s">
        <v>6296</v>
      </c>
      <c r="L649" s="5" t="s">
        <v>6297</v>
      </c>
      <c r="M649" s="5" t="s">
        <v>6298</v>
      </c>
      <c r="N649" s="7" t="s">
        <v>6299</v>
      </c>
      <c r="O649" s="8" t="str">
        <f>HYPERLINK("https://drive.google.com/file/d/1rsexHo7qXQSFzRfQT5slYpoRTdTgAVjp/view?usp=drivesdk","648_NILA WULANDARI  _ SERTIFIKAT BIMTEK IPASN BerAKHLASK")</f>
        <v>648_NILA WULANDARI  _ SERTIFIKAT BIMTEK IPASN BerAKHLASK</v>
      </c>
      <c r="P649" s="5" t="s">
        <v>6271</v>
      </c>
      <c r="Q649" s="5" t="s">
        <v>6300</v>
      </c>
      <c r="R649" s="7" t="s">
        <v>6301</v>
      </c>
      <c r="S649" s="7" t="str">
        <f>HYPERLINK("https://drive.google.com/file/d/1d4qO5ga6lM9y8hatbCL9N23WKunJfy0L/view?usp=drivesdk","648_NILA WULANDARI  SERTIFIKAT BIMTEK IPASN-BerAKHLAK")</f>
        <v>648_NILA WULANDARI  SERTIFIKAT BIMTEK IPASN-BerAKHLAK</v>
      </c>
      <c r="T649" s="5" t="s">
        <v>6302</v>
      </c>
    </row>
    <row r="650">
      <c r="A650" s="4">
        <v>45534.323901400465</v>
      </c>
      <c r="B650" s="5" t="s">
        <v>34</v>
      </c>
      <c r="D650" s="5" t="s">
        <v>2903</v>
      </c>
      <c r="E650" s="5" t="s">
        <v>6303</v>
      </c>
      <c r="F650" s="5" t="s">
        <v>212</v>
      </c>
      <c r="G650" s="5" t="s">
        <v>6304</v>
      </c>
      <c r="H650" s="6" t="s">
        <v>6305</v>
      </c>
      <c r="I650" s="7" t="s">
        <v>6306</v>
      </c>
      <c r="J650" s="8" t="str">
        <f>HYPERLINK("https://drive.google.com/file/d/12NDmF5KFYkn5gFv3EUWhdxPTZaPp_vj5/view?usp=drivesdk","CHENDI ABDUL KAFI, S.Kep SERTIFIKAT BerAKHLAK")</f>
        <v>CHENDI ABDUL KAFI, S.Kep SERTIFIKAT BerAKHLAK</v>
      </c>
      <c r="K650" s="5" t="s">
        <v>6296</v>
      </c>
      <c r="L650" s="5" t="s">
        <v>6307</v>
      </c>
      <c r="M650" s="5" t="s">
        <v>6308</v>
      </c>
      <c r="N650" s="7" t="s">
        <v>6309</v>
      </c>
      <c r="O650" s="8" t="str">
        <f>HYPERLINK("https://drive.google.com/file/d/1C74HBOt-Q83mWzpl_wJPEnk9BwNRSiqy/view?usp=drivesdk","649_CHENDI ABDUL KAFI, S.Kep _ SERTIFIKAT BIMTEK IPASN BerAKHLASK")</f>
        <v>649_CHENDI ABDUL KAFI, S.Kep _ SERTIFIKAT BIMTEK IPASN BerAKHLASK</v>
      </c>
      <c r="P650" s="5" t="s">
        <v>6271</v>
      </c>
      <c r="Q650" s="5" t="s">
        <v>6310</v>
      </c>
      <c r="R650" s="7" t="s">
        <v>6311</v>
      </c>
      <c r="S650" s="7" t="str">
        <f>HYPERLINK("https://drive.google.com/file/d/1RQh8HQm0c3MfBeOEfDbeeu0xdIqnWM5L/view?usp=drivesdk","649_CHENDI ABDUL KAFI, S.Kep SERTIFIKAT BIMTEK IPASN-BerAKHLAK")</f>
        <v>649_CHENDI ABDUL KAFI, S.Kep SERTIFIKAT BIMTEK IPASN-BerAKHLAK</v>
      </c>
      <c r="T650" s="5" t="s">
        <v>6302</v>
      </c>
    </row>
    <row r="651">
      <c r="A651" s="4">
        <v>45534.323907569444</v>
      </c>
      <c r="B651" s="5" t="s">
        <v>34</v>
      </c>
      <c r="D651" s="5" t="s">
        <v>4775</v>
      </c>
      <c r="E651" s="5" t="s">
        <v>6312</v>
      </c>
      <c r="F651" s="5" t="s">
        <v>375</v>
      </c>
      <c r="G651" s="5" t="s">
        <v>6313</v>
      </c>
      <c r="H651" s="6" t="s">
        <v>6314</v>
      </c>
      <c r="I651" s="7" t="s">
        <v>6315</v>
      </c>
      <c r="J651" s="8" t="str">
        <f>HYPERLINK("https://drive.google.com/file/d/1n0RtGy5TKhYjYFHU850Awjde3KIQv6di/view?usp=drivesdk","ADITYA AGUNG WIJAYA, S. Kom SERTIFIKAT BerAKHLAK")</f>
        <v>ADITYA AGUNG WIJAYA, S. Kom SERTIFIKAT BerAKHLAK</v>
      </c>
      <c r="K651" s="5" t="s">
        <v>6296</v>
      </c>
      <c r="L651" s="5" t="s">
        <v>6316</v>
      </c>
      <c r="M651" s="5" t="s">
        <v>6317</v>
      </c>
      <c r="N651" s="7" t="s">
        <v>6318</v>
      </c>
      <c r="O651" s="8" t="str">
        <f>HYPERLINK("https://drive.google.com/file/d/1SCJmCrgwz2YlCjN7yLJhMAuAIM-rN-ZB/view?usp=drivesdk","650_ADITYA AGUNG WIJAYA, S. Kom _ SERTIFIKAT BIMTEK IPASN BerAKHLASK")</f>
        <v>650_ADITYA AGUNG WIJAYA, S. Kom _ SERTIFIKAT BIMTEK IPASN BerAKHLASK</v>
      </c>
      <c r="P651" s="5" t="s">
        <v>6319</v>
      </c>
      <c r="Q651" s="5" t="s">
        <v>6320</v>
      </c>
      <c r="R651" s="7" t="s">
        <v>6321</v>
      </c>
      <c r="S651" s="7" t="str">
        <f>HYPERLINK("https://drive.google.com/file/d/1nsKGLeVaQgKrmf0rv3mTD4l8cg7Q2JEm/view?usp=drivesdk","650_ADITYA AGUNG WIJAYA, S. Kom SERTIFIKAT BIMTEK IPASN-BerAKHLAK")</f>
        <v>650_ADITYA AGUNG WIJAYA, S. Kom SERTIFIKAT BIMTEK IPASN-BerAKHLAK</v>
      </c>
      <c r="T651" s="5" t="s">
        <v>6302</v>
      </c>
    </row>
    <row r="652">
      <c r="A652" s="4">
        <v>45534.323933657404</v>
      </c>
      <c r="B652" s="5" t="s">
        <v>34</v>
      </c>
      <c r="D652" s="5" t="s">
        <v>35</v>
      </c>
      <c r="E652" s="5" t="s">
        <v>6322</v>
      </c>
      <c r="F652" s="5" t="s">
        <v>37</v>
      </c>
      <c r="G652" s="5" t="s">
        <v>6323</v>
      </c>
      <c r="H652" s="6" t="s">
        <v>6324</v>
      </c>
      <c r="I652" s="7" t="s">
        <v>6325</v>
      </c>
      <c r="J652" s="8" t="str">
        <f>HYPERLINK("https://drive.google.com/file/d/1exgd3Ox7ppgocdxx2NwPaFqhoeCDVNty/view?usp=drivesdk","WITA WITDYININGSIH SERTIFIKAT BerAKHLAK")</f>
        <v>WITA WITDYININGSIH SERTIFIKAT BerAKHLAK</v>
      </c>
      <c r="K652" s="5" t="s">
        <v>6296</v>
      </c>
      <c r="L652" s="5" t="s">
        <v>6326</v>
      </c>
      <c r="M652" s="5" t="s">
        <v>6327</v>
      </c>
      <c r="N652" s="7" t="s">
        <v>6328</v>
      </c>
      <c r="O652" s="8" t="str">
        <f>HYPERLINK("https://drive.google.com/file/d/1vndDQCy5HvrdO1afzAQNe54C3EMgiqsX/view?usp=drivesdk","651_WITA WITDYININGSIH _ SERTIFIKAT BIMTEK IPASN BerAKHLASK")</f>
        <v>651_WITA WITDYININGSIH _ SERTIFIKAT BIMTEK IPASN BerAKHLASK</v>
      </c>
      <c r="P652" s="5" t="s">
        <v>6319</v>
      </c>
      <c r="Q652" s="5" t="s">
        <v>6329</v>
      </c>
      <c r="R652" s="7" t="s">
        <v>6330</v>
      </c>
      <c r="S652" s="7" t="str">
        <f>HYPERLINK("https://drive.google.com/file/d/1SLbZjNBpCc-iuUUj8-Dbh-M1w3YmExn6/view?usp=drivesdk","651_WITA WITDYININGSIH SERTIFIKAT BIMTEK IPASN-BerAKHLAK")</f>
        <v>651_WITA WITDYININGSIH SERTIFIKAT BIMTEK IPASN-BerAKHLAK</v>
      </c>
      <c r="T652" s="5" t="s">
        <v>6302</v>
      </c>
    </row>
    <row r="653">
      <c r="A653" s="4">
        <v>45534.323938518515</v>
      </c>
      <c r="B653" s="5" t="s">
        <v>34</v>
      </c>
      <c r="D653" s="5" t="s">
        <v>522</v>
      </c>
      <c r="E653" s="5" t="s">
        <v>6331</v>
      </c>
      <c r="F653" s="5" t="s">
        <v>72</v>
      </c>
      <c r="G653" s="5" t="s">
        <v>6332</v>
      </c>
      <c r="H653" s="6" t="s">
        <v>6333</v>
      </c>
      <c r="I653" s="7" t="s">
        <v>6334</v>
      </c>
      <c r="J653" s="8" t="str">
        <f>HYPERLINK("https://drive.google.com/file/d/1WuZopXyAUgBrIe3D54y2nZw6Sn5cuS2z/view?usp=drivesdk","NOVA ARIANTI, A.Md., S.E. SERTIFIKAT BerAKHLAK")</f>
        <v>NOVA ARIANTI, A.Md., S.E. SERTIFIKAT BerAKHLAK</v>
      </c>
      <c r="K653" s="5" t="s">
        <v>6335</v>
      </c>
      <c r="L653" s="5" t="s">
        <v>6336</v>
      </c>
      <c r="M653" s="5" t="s">
        <v>6337</v>
      </c>
      <c r="N653" s="7" t="s">
        <v>6338</v>
      </c>
      <c r="O653" s="8" t="str">
        <f>HYPERLINK("https://drive.google.com/file/d/18ZbF4LQUIhucfb8Iz5RYqfm8AS796qOJ/view?usp=drivesdk","652_NOVA ARIANTI, A.Md., S.E. _ SERTIFIKAT BIMTEK IPASN BerAKHLASK")</f>
        <v>652_NOVA ARIANTI, A.Md., S.E. _ SERTIFIKAT BIMTEK IPASN BerAKHLASK</v>
      </c>
      <c r="P653" s="5" t="s">
        <v>6319</v>
      </c>
      <c r="Q653" s="5" t="s">
        <v>6339</v>
      </c>
      <c r="R653" s="7" t="s">
        <v>6340</v>
      </c>
      <c r="S653" s="7" t="str">
        <f>HYPERLINK("https://drive.google.com/file/d/1TUuoDHA0y8Av8V0wEMma3mVcqHkj8KMs/view?usp=drivesdk","652_NOVA ARIANTI, A.Md., S.E. SERTIFIKAT BIMTEK IPASN-BerAKHLAK")</f>
        <v>652_NOVA ARIANTI, A.Md., S.E. SERTIFIKAT BIMTEK IPASN-BerAKHLAK</v>
      </c>
      <c r="T653" s="5" t="s">
        <v>6302</v>
      </c>
    </row>
    <row r="654">
      <c r="A654" s="4">
        <v>45534.3239394213</v>
      </c>
      <c r="B654" s="5" t="s">
        <v>34</v>
      </c>
      <c r="D654" s="5" t="s">
        <v>1456</v>
      </c>
      <c r="E654" s="5" t="s">
        <v>6341</v>
      </c>
      <c r="F654" s="5" t="s">
        <v>37</v>
      </c>
      <c r="G654" s="5" t="s">
        <v>6342</v>
      </c>
      <c r="H654" s="6" t="s">
        <v>6343</v>
      </c>
      <c r="I654" s="7" t="s">
        <v>6344</v>
      </c>
      <c r="J654" s="8" t="str">
        <f>HYPERLINK("https://drive.google.com/file/d/115Y9_0jGMZdzeh9ZO3pAYZh9AbgKCwbM/view?usp=drivesdk","AGUS SUBARIYANTO SERTIFIKAT BerAKHLAK")</f>
        <v>AGUS SUBARIYANTO SERTIFIKAT BerAKHLAK</v>
      </c>
      <c r="K654" s="5" t="s">
        <v>6335</v>
      </c>
      <c r="L654" s="5" t="s">
        <v>6345</v>
      </c>
      <c r="M654" s="5" t="s">
        <v>6346</v>
      </c>
      <c r="N654" s="7" t="s">
        <v>6347</v>
      </c>
      <c r="O654" s="8" t="str">
        <f>HYPERLINK("https://drive.google.com/file/d/1K4Sr53qJPM2pfjCkTtnLIjd7aEZKEZDb/view?usp=drivesdk","653_AGUS SUBARIYANTO _ SERTIFIKAT BIMTEK IPASN BerAKHLASK")</f>
        <v>653_AGUS SUBARIYANTO _ SERTIFIKAT BIMTEK IPASN BerAKHLASK</v>
      </c>
      <c r="P654" s="5" t="s">
        <v>6319</v>
      </c>
      <c r="Q654" s="5" t="s">
        <v>6348</v>
      </c>
      <c r="R654" s="7" t="s">
        <v>6349</v>
      </c>
      <c r="S654" s="7" t="str">
        <f>HYPERLINK("https://drive.google.com/file/d/1l9pr7cB686ewNVMWAX57prOudeJGp0PC/view?usp=drivesdk","653_AGUS SUBARIYANTO SERTIFIKAT BIMTEK IPASN-BerAKHLAK")</f>
        <v>653_AGUS SUBARIYANTO SERTIFIKAT BIMTEK IPASN-BerAKHLAK</v>
      </c>
      <c r="T654" s="5" t="s">
        <v>6350</v>
      </c>
    </row>
    <row r="655">
      <c r="A655" s="4">
        <v>45534.32396486111</v>
      </c>
      <c r="B655" s="5" t="s">
        <v>34</v>
      </c>
      <c r="D655" s="5" t="s">
        <v>522</v>
      </c>
      <c r="E655" s="5" t="s">
        <v>6351</v>
      </c>
      <c r="F655" s="5" t="s">
        <v>715</v>
      </c>
      <c r="G655" s="5" t="s">
        <v>6352</v>
      </c>
      <c r="H655" s="6" t="s">
        <v>6353</v>
      </c>
      <c r="I655" s="7" t="s">
        <v>6354</v>
      </c>
      <c r="J655" s="8" t="str">
        <f>HYPERLINK("https://drive.google.com/file/d/1XX1vGto0VGCkZGl_jpbUl8ixTkqymRuh/view?usp=drivesdk","TITYN HERDINA, S.E. SERTIFIKAT BerAKHLAK")</f>
        <v>TITYN HERDINA, S.E. SERTIFIKAT BerAKHLAK</v>
      </c>
      <c r="K655" s="5" t="s">
        <v>6335</v>
      </c>
      <c r="L655" s="5" t="s">
        <v>6355</v>
      </c>
      <c r="M655" s="5" t="s">
        <v>6356</v>
      </c>
      <c r="N655" s="7" t="s">
        <v>6357</v>
      </c>
      <c r="O655" s="8" t="str">
        <f>HYPERLINK("https://drive.google.com/file/d/1TFoXNxqda90rUBg-MqxJwEc_8NWu-1VD/view?usp=drivesdk","654_TITYN HERDINA, S.E. _ SERTIFIKAT BIMTEK IPASN BerAKHLASK")</f>
        <v>654_TITYN HERDINA, S.E. _ SERTIFIKAT BIMTEK IPASN BerAKHLASK</v>
      </c>
      <c r="P655" s="5" t="s">
        <v>6319</v>
      </c>
      <c r="Q655" s="5" t="s">
        <v>6358</v>
      </c>
      <c r="R655" s="7" t="s">
        <v>6359</v>
      </c>
      <c r="S655" s="7" t="str">
        <f>HYPERLINK("https://drive.google.com/file/d/1xpq3VhYHXxFApGT_Wdpkd1PJTg6ulLx8/view?usp=drivesdk","654_TITYN HERDINA, S.E. SERTIFIKAT BIMTEK IPASN-BerAKHLAK")</f>
        <v>654_TITYN HERDINA, S.E. SERTIFIKAT BIMTEK IPASN-BerAKHLAK</v>
      </c>
      <c r="T655" s="5" t="s">
        <v>6350</v>
      </c>
    </row>
    <row r="656">
      <c r="A656" s="4">
        <v>45534.323970578705</v>
      </c>
      <c r="B656" s="5" t="s">
        <v>34</v>
      </c>
      <c r="D656" s="5" t="s">
        <v>267</v>
      </c>
      <c r="E656" s="5" t="s">
        <v>6360</v>
      </c>
      <c r="F656" s="5" t="s">
        <v>524</v>
      </c>
      <c r="G656" s="5" t="s">
        <v>6361</v>
      </c>
      <c r="H656" s="6" t="s">
        <v>6362</v>
      </c>
      <c r="I656" s="7" t="s">
        <v>6363</v>
      </c>
      <c r="J656" s="8" t="str">
        <f>HYPERLINK("https://drive.google.com/file/d/1PpXz_QJkF6n2B-s9Dxtolg1H4ZPQcKWY/view?usp=drivesdk","KUKUH PUJI HARIYADI SERTIFIKAT BerAKHLAK")</f>
        <v>KUKUH PUJI HARIYADI SERTIFIKAT BerAKHLAK</v>
      </c>
      <c r="K656" s="5" t="s">
        <v>6335</v>
      </c>
      <c r="L656" s="5" t="s">
        <v>6364</v>
      </c>
      <c r="M656" s="5" t="s">
        <v>6365</v>
      </c>
      <c r="N656" s="7" t="s">
        <v>6366</v>
      </c>
      <c r="O656" s="8" t="str">
        <f>HYPERLINK("https://drive.google.com/file/d/15u4B74u5Tt3WYT4ZB3IwuS8KeKXNWFfL/view?usp=drivesdk","655_KUKUH PUJI HARIYADI _ SERTIFIKAT BIMTEK IPASN BerAKHLASK")</f>
        <v>655_KUKUH PUJI HARIYADI _ SERTIFIKAT BIMTEK IPASN BerAKHLASK</v>
      </c>
      <c r="P656" s="5" t="s">
        <v>6319</v>
      </c>
      <c r="Q656" s="5" t="s">
        <v>6367</v>
      </c>
      <c r="R656" s="7" t="s">
        <v>6368</v>
      </c>
      <c r="S656" s="7" t="str">
        <f>HYPERLINK("https://drive.google.com/file/d/1_ZkJtmOmC4icM12KNoTZES_3ZLZxiujZ/view?usp=drivesdk","655_KUKUH PUJI HARIYADI SERTIFIKAT BIMTEK IPASN-BerAKHLAK")</f>
        <v>655_KUKUH PUJI HARIYADI SERTIFIKAT BIMTEK IPASN-BerAKHLAK</v>
      </c>
      <c r="T656" s="5" t="s">
        <v>6350</v>
      </c>
    </row>
    <row r="657">
      <c r="A657" s="4">
        <v>45534.323973819446</v>
      </c>
      <c r="B657" s="5" t="s">
        <v>34</v>
      </c>
      <c r="D657" s="5" t="s">
        <v>1206</v>
      </c>
      <c r="E657" s="5" t="s">
        <v>6369</v>
      </c>
      <c r="F657" s="5" t="s">
        <v>72</v>
      </c>
      <c r="G657" s="5" t="s">
        <v>6370</v>
      </c>
      <c r="H657" s="6" t="s">
        <v>6371</v>
      </c>
      <c r="I657" s="7" t="s">
        <v>6372</v>
      </c>
      <c r="J657" s="8" t="str">
        <f>HYPERLINK("https://drive.google.com/file/d/1_qNEv7FW_jLZ1dGgNl-uONE9cbt_M-y2/view?usp=drivesdk","DWI YUNITA BUDIARTI, S.E.  SERTIFIKAT BerAKHLAK")</f>
        <v>DWI YUNITA BUDIARTI, S.E.  SERTIFIKAT BerAKHLAK</v>
      </c>
      <c r="K657" s="5" t="s">
        <v>6373</v>
      </c>
      <c r="L657" s="5" t="s">
        <v>6374</v>
      </c>
      <c r="M657" s="5" t="s">
        <v>6375</v>
      </c>
      <c r="N657" s="7" t="s">
        <v>6376</v>
      </c>
      <c r="O657" s="8" t="str">
        <f>HYPERLINK("https://drive.google.com/file/d/1ld1E8BoPK9on4uxbm0F8s2FzAwbePt8L/view?usp=drivesdk","656_DWI YUNITA BUDIARTI, S.E.  _ SERTIFIKAT BIMTEK IPASN BerAKHLASK")</f>
        <v>656_DWI YUNITA BUDIARTI, S.E.  _ SERTIFIKAT BIMTEK IPASN BerAKHLASK</v>
      </c>
      <c r="P657" s="5" t="s">
        <v>6377</v>
      </c>
      <c r="Q657" s="5" t="s">
        <v>6378</v>
      </c>
      <c r="R657" s="7" t="s">
        <v>6379</v>
      </c>
      <c r="S657" s="7" t="str">
        <f>HYPERLINK("https://drive.google.com/file/d/1BtF7HQmGTPNYhret_n7G_BnMRW-NslV5/view?usp=drivesdk","656_DWI YUNITA BUDIARTI, S.E.  SERTIFIKAT BIMTEK IPASN-BerAKHLAK")</f>
        <v>656_DWI YUNITA BUDIARTI, S.E.  SERTIFIKAT BIMTEK IPASN-BerAKHLAK</v>
      </c>
      <c r="T657" s="5" t="s">
        <v>6350</v>
      </c>
    </row>
    <row r="658" hidden="1">
      <c r="A658" s="4">
        <v>45534.32398140046</v>
      </c>
      <c r="B658" s="5" t="s">
        <v>19</v>
      </c>
      <c r="C658" s="5" t="s">
        <v>442</v>
      </c>
      <c r="E658" s="5" t="s">
        <v>6380</v>
      </c>
      <c r="F658" s="5" t="s">
        <v>108</v>
      </c>
      <c r="G658" s="5" t="s">
        <v>6381</v>
      </c>
      <c r="H658" s="6" t="s">
        <v>6382</v>
      </c>
      <c r="I658" s="7" t="s">
        <v>6383</v>
      </c>
      <c r="J658" s="8" t="str">
        <f>HYPERLINK("https://drive.google.com/file/d/1g_qC_PNq78Jt6TuNNW5RHhlPo0UWKEcp/view?usp=drivesdk","TUTIK JUNIFAH S.H. SERTIFIKAT BerAKHLAK")</f>
        <v>TUTIK JUNIFAH S.H. SERTIFIKAT BerAKHLAK</v>
      </c>
      <c r="K658" s="5" t="s">
        <v>6373</v>
      </c>
      <c r="L658" s="5" t="s">
        <v>6384</v>
      </c>
      <c r="M658" s="5" t="s">
        <v>6385</v>
      </c>
      <c r="N658" s="7" t="s">
        <v>6386</v>
      </c>
      <c r="O658" s="8" t="str">
        <f>HYPERLINK("https://drive.google.com/file/d/1qR8FqCiNf6a1y6i1ZV1C0sEAqbDLJe10/view?usp=drivesdk","657_TUTIK JUNIFAH S.H. _ SERTIFIKAT BIMTEK IPASN BerAKHLASK")</f>
        <v>657_TUTIK JUNIFAH S.H. _ SERTIFIKAT BIMTEK IPASN BerAKHLASK</v>
      </c>
      <c r="P658" s="5" t="s">
        <v>6377</v>
      </c>
      <c r="Q658" s="5"/>
      <c r="R658" s="5"/>
      <c r="S658" s="5"/>
      <c r="T658" s="5" t="s">
        <v>6387</v>
      </c>
    </row>
    <row r="659">
      <c r="A659" s="4">
        <v>45534.324040023144</v>
      </c>
      <c r="B659" s="5" t="s">
        <v>34</v>
      </c>
      <c r="D659" s="5" t="s">
        <v>4775</v>
      </c>
      <c r="E659" s="5" t="s">
        <v>6388</v>
      </c>
      <c r="F659" s="5" t="s">
        <v>212</v>
      </c>
      <c r="G659" s="5" t="s">
        <v>6389</v>
      </c>
      <c r="H659" s="6" t="s">
        <v>6390</v>
      </c>
      <c r="I659" s="7" t="s">
        <v>6391</v>
      </c>
      <c r="J659" s="8" t="str">
        <f>HYPERLINK("https://drive.google.com/file/d/1MqhoXC7-XP17462JT5AsbVDEHaa7pBOl/view?usp=drivesdk","YULI NUGRAENI SERTIFIKAT BerAKHLAK")</f>
        <v>YULI NUGRAENI SERTIFIKAT BerAKHLAK</v>
      </c>
      <c r="K659" s="5" t="s">
        <v>6004</v>
      </c>
      <c r="L659" s="5" t="s">
        <v>6392</v>
      </c>
      <c r="M659" s="5" t="s">
        <v>6393</v>
      </c>
      <c r="N659" s="7" t="s">
        <v>6394</v>
      </c>
      <c r="O659" s="8" t="str">
        <f>HYPERLINK("https://drive.google.com/file/d/1ILzoQxV2fdDVleVODJhLCWlO9A8JrjEF/view?usp=drivesdk","658_YULI NUGRAENI _ SERTIFIKAT BIMTEK IPASN BerAKHLASK")</f>
        <v>658_YULI NUGRAENI _ SERTIFIKAT BIMTEK IPASN BerAKHLASK</v>
      </c>
      <c r="P659" s="5" t="s">
        <v>6377</v>
      </c>
      <c r="Q659" s="5"/>
      <c r="R659" s="5"/>
      <c r="S659" s="5"/>
      <c r="T659" s="5" t="s">
        <v>6387</v>
      </c>
    </row>
    <row r="660">
      <c r="A660" s="4">
        <v>45534.32404877315</v>
      </c>
      <c r="B660" s="5" t="s">
        <v>34</v>
      </c>
      <c r="D660" s="5" t="s">
        <v>996</v>
      </c>
      <c r="E660" s="5" t="s">
        <v>6395</v>
      </c>
      <c r="F660" s="5" t="s">
        <v>212</v>
      </c>
      <c r="G660" s="5" t="s">
        <v>6396</v>
      </c>
      <c r="H660" s="6" t="s">
        <v>6397</v>
      </c>
      <c r="I660" s="7" t="s">
        <v>6398</v>
      </c>
      <c r="J660" s="8" t="str">
        <f>HYPERLINK("https://drive.google.com/file/d/1K-sV-1RfEzhxC85E8e6dKrKIZfBqyDdy/view?usp=drivesdk","ERRYDA JANUARTI SERTIFIKAT BerAKHLAK")</f>
        <v>ERRYDA JANUARTI SERTIFIKAT BerAKHLAK</v>
      </c>
      <c r="K660" s="5" t="s">
        <v>6004</v>
      </c>
      <c r="L660" s="5" t="s">
        <v>6399</v>
      </c>
      <c r="M660" s="5" t="s">
        <v>6400</v>
      </c>
      <c r="N660" s="7" t="s">
        <v>6401</v>
      </c>
      <c r="O660" s="8" t="str">
        <f>HYPERLINK("https://drive.google.com/file/d/1vh3YxmG2y0d_9jSBnjRw6ED8W8a5gU6S/view?usp=drivesdk","659_ERRYDA JANUARTI _ SERTIFIKAT BIMTEK IPASN BerAKHLASK")</f>
        <v>659_ERRYDA JANUARTI _ SERTIFIKAT BIMTEK IPASN BerAKHLASK</v>
      </c>
      <c r="P660" s="5" t="s">
        <v>6377</v>
      </c>
      <c r="Q660" s="5"/>
      <c r="R660" s="5"/>
      <c r="S660" s="5"/>
      <c r="T660" s="5" t="s">
        <v>6387</v>
      </c>
    </row>
    <row r="661">
      <c r="A661" s="4">
        <v>45534.32407270833</v>
      </c>
      <c r="B661" s="5" t="s">
        <v>34</v>
      </c>
      <c r="D661" s="5" t="s">
        <v>35</v>
      </c>
      <c r="E661" s="5" t="s">
        <v>6402</v>
      </c>
      <c r="F661" s="5" t="s">
        <v>120</v>
      </c>
      <c r="G661" s="5" t="s">
        <v>6403</v>
      </c>
      <c r="H661" s="6" t="s">
        <v>6404</v>
      </c>
      <c r="I661" s="7" t="s">
        <v>6405</v>
      </c>
      <c r="J661" s="8" t="str">
        <f>HYPERLINK("https://drive.google.com/file/d/1dvsvWZbSJ1qS_0ual50VPu_jjHxUwp5d/view?usp=drivesdk","GITA GENTANIA, S.T., M.M. SERTIFIKAT BerAKHLAK")</f>
        <v>GITA GENTANIA, S.T., M.M. SERTIFIKAT BerAKHLAK</v>
      </c>
      <c r="K661" s="5" t="s">
        <v>6004</v>
      </c>
      <c r="L661" s="5" t="s">
        <v>6406</v>
      </c>
      <c r="M661" s="5" t="s">
        <v>6407</v>
      </c>
      <c r="N661" s="7" t="s">
        <v>6408</v>
      </c>
      <c r="O661" s="8" t="str">
        <f>HYPERLINK("https://drive.google.com/file/d/1GMvDsjG3UqyjhZgoRxFMIDNgsyFKfSBj/view?usp=drivesdk","660_GITA GENTANIA, S.T., M.M. _ SERTIFIKAT BIMTEK IPASN BerAKHLASK")</f>
        <v>660_GITA GENTANIA, S.T., M.M. _ SERTIFIKAT BIMTEK IPASN BerAKHLASK</v>
      </c>
      <c r="P661" s="5" t="s">
        <v>6377</v>
      </c>
      <c r="Q661" s="5"/>
      <c r="R661" s="5"/>
      <c r="S661" s="5"/>
      <c r="T661" s="5" t="s">
        <v>6387</v>
      </c>
    </row>
    <row r="662" hidden="1">
      <c r="A662" s="4">
        <v>45534.324085636574</v>
      </c>
      <c r="B662" s="5" t="s">
        <v>19</v>
      </c>
      <c r="C662" s="5" t="s">
        <v>292</v>
      </c>
      <c r="E662" s="5" t="s">
        <v>6409</v>
      </c>
      <c r="F662" s="5" t="s">
        <v>524</v>
      </c>
      <c r="G662" s="5" t="s">
        <v>6410</v>
      </c>
      <c r="H662" s="6" t="s">
        <v>6411</v>
      </c>
      <c r="I662" s="7" t="s">
        <v>6412</v>
      </c>
      <c r="J662" s="8" t="str">
        <f>HYPERLINK("https://drive.google.com/file/d/1b2MqVEm3eRM9BZiTJdX25EozZWBsgjJs/view?usp=drivesdk","EKA BUDI SANTOSA S.Pd SERTIFIKAT BerAKHLAK")</f>
        <v>EKA BUDI SANTOSA S.Pd SERTIFIKAT BerAKHLAK</v>
      </c>
      <c r="K662" s="5" t="s">
        <v>6004</v>
      </c>
      <c r="L662" s="5" t="s">
        <v>6413</v>
      </c>
      <c r="M662" s="5" t="s">
        <v>6414</v>
      </c>
      <c r="N662" s="7" t="s">
        <v>6415</v>
      </c>
      <c r="O662" s="8" t="str">
        <f>HYPERLINK("https://drive.google.com/file/d/1jk70OscvQ8VGsi_hOl9hKxNKRXvwECEh/view?usp=drivesdk","661_EKA BUDI SANTOSA S.Pd _ SERTIFIKAT BIMTEK IPASN BerAKHLASK")</f>
        <v>661_EKA BUDI SANTOSA S.Pd _ SERTIFIKAT BIMTEK IPASN BerAKHLASK</v>
      </c>
      <c r="P662" s="5" t="s">
        <v>6377</v>
      </c>
      <c r="Q662" s="5"/>
      <c r="R662" s="5"/>
      <c r="S662" s="5"/>
      <c r="T662" s="5" t="s">
        <v>6387</v>
      </c>
    </row>
    <row r="663">
      <c r="A663" s="4">
        <v>45534.324089988426</v>
      </c>
      <c r="B663" s="5" t="s">
        <v>34</v>
      </c>
      <c r="D663" s="5" t="s">
        <v>4775</v>
      </c>
      <c r="E663" s="5" t="s">
        <v>6416</v>
      </c>
      <c r="F663" s="5" t="s">
        <v>524</v>
      </c>
      <c r="G663" s="5" t="s">
        <v>6417</v>
      </c>
      <c r="H663" s="6" t="s">
        <v>6418</v>
      </c>
      <c r="I663" s="7" t="s">
        <v>6419</v>
      </c>
      <c r="J663" s="8" t="str">
        <f>HYPERLINK("https://drive.google.com/file/d/1OVzX4GqH8tG0T0YosXAHXy-xCIebkn19/view?usp=drivesdk","SOFAN OKTANTO, A.MD. SERTIFIKAT BerAKHLAK")</f>
        <v>SOFAN OKTANTO, A.MD. SERTIFIKAT BerAKHLAK</v>
      </c>
      <c r="K663" s="5" t="s">
        <v>6198</v>
      </c>
      <c r="L663" s="5" t="s">
        <v>6420</v>
      </c>
      <c r="M663" s="5" t="s">
        <v>6421</v>
      </c>
      <c r="N663" s="7" t="s">
        <v>6422</v>
      </c>
      <c r="O663" s="8" t="str">
        <f>HYPERLINK("https://drive.google.com/file/d/1p7M58vo1NMDobCVtJ2GsvUqUY6zsFuk6/view?usp=drivesdk","662_SOFAN OKTANTO, A.MD. _ SERTIFIKAT BIMTEK IPASN BerAKHLASK")</f>
        <v>662_SOFAN OKTANTO, A.MD. _ SERTIFIKAT BIMTEK IPASN BerAKHLASK</v>
      </c>
      <c r="P663" s="5" t="s">
        <v>6423</v>
      </c>
      <c r="Q663" s="5"/>
      <c r="R663" s="5"/>
      <c r="S663" s="5"/>
      <c r="T663" s="5" t="s">
        <v>6387</v>
      </c>
    </row>
    <row r="664" hidden="1">
      <c r="A664" s="4">
        <v>45534.32409912037</v>
      </c>
      <c r="B664" s="5" t="s">
        <v>19</v>
      </c>
      <c r="C664" s="5" t="s">
        <v>292</v>
      </c>
      <c r="E664" s="5" t="s">
        <v>6424</v>
      </c>
      <c r="F664" s="5" t="s">
        <v>212</v>
      </c>
      <c r="G664" s="5" t="s">
        <v>6425</v>
      </c>
      <c r="H664" s="6" t="s">
        <v>6426</v>
      </c>
      <c r="I664" s="7" t="s">
        <v>6427</v>
      </c>
      <c r="J664" s="8" t="str">
        <f>HYPERLINK("https://drive.google.com/file/d/1tb979E7j-cAny7pqAsEno-lcZfkI8DDR/view?usp=drivesdk","SURYANI KATRI WIDHIANINGRUM SERTIFIKAT BerAKHLAK")</f>
        <v>SURYANI KATRI WIDHIANINGRUM SERTIFIKAT BerAKHLAK</v>
      </c>
      <c r="K664" s="5" t="s">
        <v>6198</v>
      </c>
      <c r="L664" s="5" t="s">
        <v>6428</v>
      </c>
      <c r="M664" s="5" t="s">
        <v>6429</v>
      </c>
      <c r="N664" s="7" t="s">
        <v>6430</v>
      </c>
      <c r="O664" s="8" t="str">
        <f>HYPERLINK("https://drive.google.com/file/d/1M9PH18B38OPQjBnzNyDrvq4L4G4By3og/view?usp=drivesdk","663_SURYANI KATRI WIDHIANINGRUM _ SERTIFIKAT BIMTEK IPASN BerAKHLASK")</f>
        <v>663_SURYANI KATRI WIDHIANINGRUM _ SERTIFIKAT BIMTEK IPASN BerAKHLASK</v>
      </c>
      <c r="P664" s="5" t="s">
        <v>6423</v>
      </c>
      <c r="Q664" s="5"/>
      <c r="R664" s="5"/>
      <c r="S664" s="5"/>
      <c r="T664" s="5" t="s">
        <v>6387</v>
      </c>
    </row>
    <row r="665">
      <c r="A665" s="4">
        <v>45534.32411165509</v>
      </c>
      <c r="B665" s="5" t="s">
        <v>34</v>
      </c>
      <c r="D665" s="5" t="s">
        <v>996</v>
      </c>
      <c r="E665" s="5" t="s">
        <v>6431</v>
      </c>
      <c r="F665" s="5" t="s">
        <v>524</v>
      </c>
      <c r="G665" s="5" t="s">
        <v>6432</v>
      </c>
      <c r="H665" s="6" t="s">
        <v>6433</v>
      </c>
      <c r="I665" s="7" t="s">
        <v>6434</v>
      </c>
      <c r="J665" s="8" t="str">
        <f>HYPERLINK("https://drive.google.com/file/d/1QMUBMgfJ12qbTViv7Mjh5kveBaMgmB2i/view?usp=drivesdk","RABIWTUL LAILA SKM SERTIFIKAT BerAKHLAK")</f>
        <v>RABIWTUL LAILA SKM SERTIFIKAT BerAKHLAK</v>
      </c>
      <c r="K665" s="5" t="s">
        <v>6004</v>
      </c>
      <c r="L665" s="5" t="s">
        <v>6435</v>
      </c>
      <c r="M665" s="5" t="s">
        <v>6436</v>
      </c>
      <c r="N665" s="7" t="s">
        <v>6437</v>
      </c>
      <c r="O665" s="8" t="str">
        <f>HYPERLINK("https://drive.google.com/file/d/1IKxPfD9CMPEiTEu8wXld6s58xWrdEuui/view?usp=drivesdk","664_RABIWTUL LAILA SKM _ SERTIFIKAT BIMTEK IPASN BerAKHLASK")</f>
        <v>664_RABIWTUL LAILA SKM _ SERTIFIKAT BIMTEK IPASN BerAKHLASK</v>
      </c>
      <c r="P665" s="5" t="s">
        <v>6423</v>
      </c>
      <c r="Q665" s="5"/>
      <c r="R665" s="5"/>
      <c r="S665" s="5"/>
      <c r="T665" s="5" t="s">
        <v>6387</v>
      </c>
    </row>
    <row r="666">
      <c r="A666" s="4">
        <v>45534.32412506944</v>
      </c>
      <c r="B666" s="5" t="s">
        <v>34</v>
      </c>
      <c r="D666" s="5" t="s">
        <v>604</v>
      </c>
      <c r="E666" s="5" t="s">
        <v>6438</v>
      </c>
      <c r="F666" s="5" t="s">
        <v>22</v>
      </c>
      <c r="G666" s="5" t="s">
        <v>6439</v>
      </c>
      <c r="H666" s="6" t="s">
        <v>6440</v>
      </c>
      <c r="I666" s="7" t="s">
        <v>6441</v>
      </c>
      <c r="J666" s="8" t="str">
        <f>HYPERLINK("https://drive.google.com/file/d/17kbJEkBwvcMox9eGeAaNCGWz2UjSBev6/view?usp=drivesdk","KORNELIUS S KAMBA, SE.,MM SERTIFIKAT BerAKHLAK")</f>
        <v>KORNELIUS S KAMBA, SE.,MM SERTIFIKAT BerAKHLAK</v>
      </c>
      <c r="K666" s="5" t="s">
        <v>6004</v>
      </c>
      <c r="L666" s="5" t="s">
        <v>6442</v>
      </c>
      <c r="M666" s="5" t="s">
        <v>6443</v>
      </c>
      <c r="N666" s="7" t="s">
        <v>6444</v>
      </c>
      <c r="O666" s="8" t="str">
        <f>HYPERLINK("https://drive.google.com/file/d/1akCsGAQ8YjJ54dsGNCEOn27Af3aahsUx/view?usp=drivesdk","665_KORNELIUS S KAMBA, SE.,MM _ SERTIFIKAT BIMTEK IPASN BerAKHLASK")</f>
        <v>665_KORNELIUS S KAMBA, SE.,MM _ SERTIFIKAT BIMTEK IPASN BerAKHLASK</v>
      </c>
      <c r="P666" s="5" t="s">
        <v>6423</v>
      </c>
      <c r="Q666" s="5"/>
      <c r="R666" s="5"/>
      <c r="S666" s="5"/>
      <c r="T666" s="5" t="s">
        <v>6387</v>
      </c>
    </row>
    <row r="667" hidden="1">
      <c r="A667" s="4">
        <v>45534.324125486106</v>
      </c>
      <c r="B667" s="5" t="s">
        <v>19</v>
      </c>
      <c r="C667" s="5" t="s">
        <v>292</v>
      </c>
      <c r="E667" s="5" t="s">
        <v>6445</v>
      </c>
      <c r="F667" s="5" t="s">
        <v>524</v>
      </c>
      <c r="G667" s="5" t="s">
        <v>6446</v>
      </c>
      <c r="H667" s="6" t="s">
        <v>6447</v>
      </c>
      <c r="I667" s="7" t="s">
        <v>6448</v>
      </c>
      <c r="J667" s="8" t="str">
        <f>HYPERLINK("https://drive.google.com/file/d/1Gs5V7aTwJ2RoqJ2bxYfFXju6_TgiKLRs/view?usp=drivesdk","ARI DJUNAEDI, AMD SERTIFIKAT BerAKHLAK")</f>
        <v>ARI DJUNAEDI, AMD SERTIFIKAT BerAKHLAK</v>
      </c>
      <c r="K667" s="5" t="s">
        <v>6198</v>
      </c>
      <c r="L667" s="5" t="s">
        <v>6449</v>
      </c>
      <c r="M667" s="5" t="s">
        <v>6450</v>
      </c>
      <c r="N667" s="7" t="s">
        <v>6451</v>
      </c>
      <c r="O667" s="8" t="str">
        <f>HYPERLINK("https://drive.google.com/file/d/1U3-hZyd2SPUljnTM-gBmL6fteP6dO0Hv/view?usp=drivesdk","666_ARI DJUNAEDI, AMD _ SERTIFIKAT BIMTEK IPASN BerAKHLASK")</f>
        <v>666_ARI DJUNAEDI, AMD _ SERTIFIKAT BIMTEK IPASN BerAKHLASK</v>
      </c>
      <c r="P667" s="5" t="s">
        <v>6423</v>
      </c>
      <c r="Q667" s="5"/>
      <c r="R667" s="5"/>
      <c r="S667" s="5"/>
      <c r="T667" s="5" t="s">
        <v>6387</v>
      </c>
    </row>
    <row r="668">
      <c r="A668" s="4">
        <v>45534.32416315972</v>
      </c>
      <c r="B668" s="5" t="s">
        <v>34</v>
      </c>
      <c r="D668" s="5" t="s">
        <v>1456</v>
      </c>
      <c r="E668" s="5" t="s">
        <v>6452</v>
      </c>
      <c r="F668" s="5" t="s">
        <v>72</v>
      </c>
      <c r="G668" s="5" t="s">
        <v>6453</v>
      </c>
      <c r="H668" s="6" t="s">
        <v>6454</v>
      </c>
      <c r="I668" s="7" t="s">
        <v>6455</v>
      </c>
      <c r="J668" s="8" t="str">
        <f>HYPERLINK("https://drive.google.com/file/d/1U40HeNBCje99qjsQhwd5IpBU0KVpKgfy/view?usp=drivesdk","VITHA ANASTIWI SERTIFIKAT BerAKHLAK")</f>
        <v>VITHA ANASTIWI SERTIFIKAT BerAKHLAK</v>
      </c>
      <c r="K668" s="5" t="s">
        <v>6004</v>
      </c>
      <c r="L668" s="5" t="s">
        <v>6456</v>
      </c>
      <c r="M668" s="5" t="s">
        <v>6457</v>
      </c>
      <c r="N668" s="7" t="s">
        <v>6458</v>
      </c>
      <c r="O668" s="8" t="str">
        <f>HYPERLINK("https://drive.google.com/file/d/1otGuBQIz04e1bhVEWhOvyhqTMEW6AnOT/view?usp=drivesdk","667_VITHA ANASTIWI _ SERTIFIKAT BIMTEK IPASN BerAKHLASK")</f>
        <v>667_VITHA ANASTIWI _ SERTIFIKAT BIMTEK IPASN BerAKHLASK</v>
      </c>
      <c r="P668" s="5" t="s">
        <v>6459</v>
      </c>
      <c r="Q668" s="5"/>
      <c r="R668" s="5"/>
      <c r="S668" s="5"/>
      <c r="T668" s="5" t="s">
        <v>6387</v>
      </c>
    </row>
    <row r="669" hidden="1">
      <c r="A669" s="4">
        <v>45534.32417310185</v>
      </c>
      <c r="B669" s="5" t="s">
        <v>19</v>
      </c>
      <c r="C669" s="5" t="s">
        <v>292</v>
      </c>
      <c r="E669" s="5" t="s">
        <v>6460</v>
      </c>
      <c r="F669" s="5" t="s">
        <v>524</v>
      </c>
      <c r="G669" s="5" t="s">
        <v>6461</v>
      </c>
      <c r="H669" s="6" t="s">
        <v>6462</v>
      </c>
      <c r="I669" s="7" t="s">
        <v>6463</v>
      </c>
      <c r="J669" s="8" t="str">
        <f>HYPERLINK("https://drive.google.com/file/d/1mxgFQdv2lbfAbogoQNwygwWjuLO7R8Yc/view?usp=drivesdk","ANANG WAHYU DWI PRASETYO, S.Pd. SERTIFIKAT BerAKHLAK")</f>
        <v>ANANG WAHYU DWI PRASETYO, S.Pd. SERTIFIKAT BerAKHLAK</v>
      </c>
      <c r="K669" s="5" t="s">
        <v>6198</v>
      </c>
      <c r="L669" s="5" t="s">
        <v>6464</v>
      </c>
      <c r="M669" s="5" t="s">
        <v>6465</v>
      </c>
      <c r="N669" s="7" t="s">
        <v>6466</v>
      </c>
      <c r="O669" s="8" t="str">
        <f>HYPERLINK("https://drive.google.com/file/d/1CloSywrhEPp7cNAgyAfXIaVWNwkRG9B8/view?usp=drivesdk","668_ANANG WAHYU DWI PRASETYO, S.Pd. _ SERTIFIKAT BIMTEK IPASN BerAKHLASK")</f>
        <v>668_ANANG WAHYU DWI PRASETYO, S.Pd. _ SERTIFIKAT BIMTEK IPASN BerAKHLASK</v>
      </c>
      <c r="P669" s="5" t="s">
        <v>6459</v>
      </c>
      <c r="Q669" s="5"/>
      <c r="R669" s="5"/>
      <c r="S669" s="5"/>
      <c r="T669" s="5" t="s">
        <v>6387</v>
      </c>
    </row>
    <row r="670" hidden="1">
      <c r="A670" s="4">
        <v>45534.3241759838</v>
      </c>
      <c r="B670" s="5" t="s">
        <v>19</v>
      </c>
      <c r="C670" s="5" t="s">
        <v>3301</v>
      </c>
      <c r="E670" s="5" t="s">
        <v>6467</v>
      </c>
      <c r="F670" s="5" t="s">
        <v>72</v>
      </c>
      <c r="G670" s="5" t="s">
        <v>6468</v>
      </c>
      <c r="H670" s="6" t="s">
        <v>6469</v>
      </c>
      <c r="I670" s="7" t="s">
        <v>6470</v>
      </c>
      <c r="J670" s="8" t="str">
        <f>HYPERLINK("https://drive.google.com/file/d/11ENOBDizlvuxnNWJan9xcjIF2SLyeSot/view?usp=drivesdk","DESTIANA TARIGAN, AMD KEP SERTIFIKAT BerAKHLAK")</f>
        <v>DESTIANA TARIGAN, AMD KEP SERTIFIKAT BerAKHLAK</v>
      </c>
      <c r="K670" s="5" t="s">
        <v>6198</v>
      </c>
      <c r="L670" s="5" t="s">
        <v>6471</v>
      </c>
      <c r="M670" s="5" t="s">
        <v>6472</v>
      </c>
      <c r="N670" s="7" t="s">
        <v>6473</v>
      </c>
      <c r="O670" s="8" t="str">
        <f>HYPERLINK("https://drive.google.com/file/d/1vwsxru5tgTKgQXL8GoVZfOZKS33DP1MG/view?usp=drivesdk","669_DESTIANA TARIGAN, AMD KEP _ SERTIFIKAT BIMTEK IPASN BerAKHLASK")</f>
        <v>669_DESTIANA TARIGAN, AMD KEP _ SERTIFIKAT BIMTEK IPASN BerAKHLASK</v>
      </c>
      <c r="P670" s="5" t="s">
        <v>6459</v>
      </c>
      <c r="Q670" s="5"/>
      <c r="R670" s="5"/>
      <c r="S670" s="5"/>
      <c r="T670" s="5" t="s">
        <v>6387</v>
      </c>
    </row>
    <row r="671">
      <c r="A671" s="4">
        <v>45534.32418434028</v>
      </c>
      <c r="B671" s="5" t="s">
        <v>34</v>
      </c>
      <c r="D671" s="5" t="s">
        <v>280</v>
      </c>
      <c r="E671" s="5" t="s">
        <v>6474</v>
      </c>
      <c r="F671" s="5" t="s">
        <v>212</v>
      </c>
      <c r="G671" s="5" t="s">
        <v>6475</v>
      </c>
      <c r="H671" s="6" t="s">
        <v>6476</v>
      </c>
      <c r="I671" s="7" t="s">
        <v>6477</v>
      </c>
      <c r="J671" s="8" t="str">
        <f>HYPERLINK("https://drive.google.com/file/d/1Zyp_UGp8QEPkXp0KEDloK9vXVNqEvRIl/view?usp=drivesdk","MUHAMAD SANUSI SERTIFIKAT BerAKHLAK")</f>
        <v>MUHAMAD SANUSI SERTIFIKAT BerAKHLAK</v>
      </c>
      <c r="K671" s="5" t="s">
        <v>6198</v>
      </c>
      <c r="L671" s="5" t="s">
        <v>6478</v>
      </c>
      <c r="M671" s="5" t="s">
        <v>6479</v>
      </c>
      <c r="N671" s="7" t="s">
        <v>6480</v>
      </c>
      <c r="O671" s="8" t="str">
        <f>HYPERLINK("https://drive.google.com/file/d/1V3RZxmHRSqU2LWSIGNlQqHtFuJHtVj60/view?usp=drivesdk","670_MUHAMAD SANUSI _ SERTIFIKAT BIMTEK IPASN BerAKHLASK")</f>
        <v>670_MUHAMAD SANUSI _ SERTIFIKAT BIMTEK IPASN BerAKHLASK</v>
      </c>
      <c r="P671" s="5" t="s">
        <v>6459</v>
      </c>
      <c r="Q671" s="5"/>
      <c r="R671" s="5"/>
      <c r="S671" s="5"/>
      <c r="T671" s="5" t="s">
        <v>6387</v>
      </c>
    </row>
    <row r="672">
      <c r="A672" s="4">
        <v>45534.32422765046</v>
      </c>
      <c r="B672" s="5" t="s">
        <v>34</v>
      </c>
      <c r="D672" s="5" t="s">
        <v>1206</v>
      </c>
      <c r="E672" s="5" t="s">
        <v>6481</v>
      </c>
      <c r="F672" s="5" t="s">
        <v>212</v>
      </c>
      <c r="G672" s="5" t="s">
        <v>6482</v>
      </c>
      <c r="H672" s="6" t="s">
        <v>6483</v>
      </c>
      <c r="I672" s="7" t="s">
        <v>6484</v>
      </c>
      <c r="J672" s="8" t="str">
        <f>HYPERLINK("https://drive.google.com/file/d/1PCrEKMQ-ry0X8-yVPb2qVnlxvnSk5h6r/view?usp=drivesdk","EKO SUPRIYANTO, SIP SERTIFIKAT BerAKHLAK")</f>
        <v>EKO SUPRIYANTO, SIP SERTIFIKAT BerAKHLAK</v>
      </c>
      <c r="K672" s="5" t="s">
        <v>6198</v>
      </c>
      <c r="L672" s="5" t="s">
        <v>6485</v>
      </c>
      <c r="M672" s="5" t="s">
        <v>6486</v>
      </c>
      <c r="N672" s="7" t="s">
        <v>6487</v>
      </c>
      <c r="O672" s="8" t="str">
        <f>HYPERLINK("https://drive.google.com/file/d/153sR0HaJgeoeHItSpGxyZQVhEIL7Sn8E/view?usp=drivesdk","671_EKO SUPRIYANTO, SIP _ SERTIFIKAT BIMTEK IPASN BerAKHLASK")</f>
        <v>671_EKO SUPRIYANTO, SIP _ SERTIFIKAT BIMTEK IPASN BerAKHLASK</v>
      </c>
      <c r="P672" s="5" t="s">
        <v>6459</v>
      </c>
      <c r="Q672" s="5"/>
      <c r="R672" s="5"/>
      <c r="S672" s="5"/>
      <c r="T672" s="5" t="s">
        <v>6387</v>
      </c>
    </row>
    <row r="673">
      <c r="A673" s="4">
        <v>45534.32423025463</v>
      </c>
      <c r="B673" s="5" t="s">
        <v>34</v>
      </c>
      <c r="D673" s="5" t="s">
        <v>35</v>
      </c>
      <c r="E673" s="5" t="s">
        <v>6488</v>
      </c>
      <c r="F673" s="5" t="s">
        <v>37</v>
      </c>
      <c r="G673" s="5" t="s">
        <v>6489</v>
      </c>
      <c r="H673" s="6" t="s">
        <v>6490</v>
      </c>
      <c r="I673" s="7" t="s">
        <v>6491</v>
      </c>
      <c r="J673" s="8" t="str">
        <f>HYPERLINK("https://drive.google.com/file/d/1asIt1mzaZl6Y9ysdZf79UG-sivCCLLs9/view?usp=drivesdk","HERRY SUPRAYITNO SERTIFIKAT BerAKHLAK")</f>
        <v>HERRY SUPRAYITNO SERTIFIKAT BerAKHLAK</v>
      </c>
      <c r="K673" s="5" t="s">
        <v>6198</v>
      </c>
      <c r="L673" s="5" t="s">
        <v>6492</v>
      </c>
      <c r="M673" s="5" t="s">
        <v>6493</v>
      </c>
      <c r="N673" s="7" t="s">
        <v>6494</v>
      </c>
      <c r="O673" s="8" t="str">
        <f>HYPERLINK("https://drive.google.com/file/d/1IbIEN0I9EKE5cs_3b610JC5Q8YN_H_gV/view?usp=drivesdk","672_HERRY SUPRAYITNO _ SERTIFIKAT BIMTEK IPASN BerAKHLASK")</f>
        <v>672_HERRY SUPRAYITNO _ SERTIFIKAT BIMTEK IPASN BerAKHLASK</v>
      </c>
      <c r="P673" s="5" t="s">
        <v>6495</v>
      </c>
      <c r="Q673" s="5"/>
      <c r="R673" s="5"/>
      <c r="S673" s="5"/>
      <c r="T673" s="5" t="s">
        <v>6387</v>
      </c>
    </row>
    <row r="674">
      <c r="A674" s="4">
        <v>45534.32424290509</v>
      </c>
      <c r="B674" s="5" t="s">
        <v>34</v>
      </c>
      <c r="D674" s="5" t="s">
        <v>35</v>
      </c>
      <c r="E674" s="5" t="s">
        <v>6496</v>
      </c>
      <c r="F674" s="5" t="s">
        <v>212</v>
      </c>
      <c r="G674" s="5" t="s">
        <v>6497</v>
      </c>
      <c r="H674" s="6" t="s">
        <v>6498</v>
      </c>
      <c r="I674" s="7" t="s">
        <v>6499</v>
      </c>
      <c r="J674" s="8" t="str">
        <f>HYPERLINK("https://drive.google.com/file/d/1x1sIae-LZDhd-sA8BGZWIoEVhGYlRDu5/view?usp=drivesdk","SANTI DIANA KARINI, SH SERTIFIKAT BerAKHLAK")</f>
        <v>SANTI DIANA KARINI, SH SERTIFIKAT BerAKHLAK</v>
      </c>
      <c r="K674" s="5" t="s">
        <v>6198</v>
      </c>
      <c r="L674" s="5" t="s">
        <v>6500</v>
      </c>
      <c r="M674" s="5" t="s">
        <v>6501</v>
      </c>
      <c r="N674" s="7" t="s">
        <v>6502</v>
      </c>
      <c r="O674" s="8" t="str">
        <f>HYPERLINK("https://drive.google.com/file/d/150b0JsPbd9AeOn1xkSt4_ZtlnKhyFRT0/view?usp=drivesdk","673_SANTI DIANA KARINI, SH _ SERTIFIKAT BIMTEK IPASN BerAKHLASK")</f>
        <v>673_SANTI DIANA KARINI, SH _ SERTIFIKAT BIMTEK IPASN BerAKHLASK</v>
      </c>
      <c r="P674" s="5" t="s">
        <v>6495</v>
      </c>
      <c r="Q674" s="5"/>
      <c r="R674" s="5"/>
      <c r="S674" s="5"/>
      <c r="T674" s="5" t="s">
        <v>6387</v>
      </c>
    </row>
    <row r="675">
      <c r="A675" s="4">
        <v>45534.32424986111</v>
      </c>
      <c r="B675" s="5" t="s">
        <v>34</v>
      </c>
      <c r="D675" s="5" t="s">
        <v>35</v>
      </c>
      <c r="E675" s="5" t="s">
        <v>6503</v>
      </c>
      <c r="F675" s="5" t="s">
        <v>375</v>
      </c>
      <c r="G675" s="5" t="s">
        <v>6504</v>
      </c>
      <c r="H675" s="6" t="s">
        <v>6505</v>
      </c>
      <c r="I675" s="7" t="s">
        <v>6506</v>
      </c>
      <c r="J675" s="8" t="str">
        <f>HYPERLINK("https://drive.google.com/file/d/1sEAWwlzrMk0ps9_BvHlNFxTuG5_V51QQ/view?usp=drivesdk","FERNANDO TIMOTEUS PARDEDE, S.E., M.M. SERTIFIKAT BerAKHLAK")</f>
        <v>FERNANDO TIMOTEUS PARDEDE, S.E., M.M. SERTIFIKAT BerAKHLAK</v>
      </c>
      <c r="K675" s="5" t="s">
        <v>6198</v>
      </c>
      <c r="L675" s="5" t="s">
        <v>6507</v>
      </c>
      <c r="M675" s="5" t="s">
        <v>6508</v>
      </c>
      <c r="N675" s="7" t="s">
        <v>6509</v>
      </c>
      <c r="O675" s="8" t="str">
        <f>HYPERLINK("https://drive.google.com/file/d/1r-0P_Ohba23zuHR47s70TUhj-FYS-Nrl/view?usp=drivesdk","674_FERNANDO TIMOTEUS PARDEDE, S.E., M.M. _ SERTIFIKAT BIMTEK IPASN BerAKHLASK")</f>
        <v>674_FERNANDO TIMOTEUS PARDEDE, S.E., M.M. _ SERTIFIKAT BIMTEK IPASN BerAKHLASK</v>
      </c>
      <c r="P675" s="5" t="s">
        <v>6495</v>
      </c>
      <c r="Q675" s="5"/>
      <c r="R675" s="5"/>
      <c r="S675" s="5"/>
      <c r="T675" s="5" t="s">
        <v>6387</v>
      </c>
    </row>
    <row r="676" hidden="1">
      <c r="A676" s="4">
        <v>45534.32433646991</v>
      </c>
      <c r="B676" s="5" t="s">
        <v>19</v>
      </c>
      <c r="C676" s="5" t="s">
        <v>3301</v>
      </c>
      <c r="E676" s="5" t="s">
        <v>6510</v>
      </c>
      <c r="F676" s="5" t="s">
        <v>375</v>
      </c>
      <c r="G676" s="5" t="s">
        <v>6511</v>
      </c>
      <c r="H676" s="6" t="s">
        <v>6512</v>
      </c>
      <c r="K676" s="5" t="s">
        <v>6513</v>
      </c>
      <c r="M676" s="5" t="s">
        <v>6514</v>
      </c>
      <c r="N676" s="7" t="s">
        <v>6515</v>
      </c>
      <c r="O676" s="8" t="str">
        <f>HYPERLINK("https://drive.google.com/file/d/1twelyVUSI1r98SpNnx3rhBFnatqXK87a/view?usp=drivesdk","675_RAKA A. SWASTIKA, S.Si., M.Sc _ SERTIFIKAT BIMTEK IPASN BerAKHLASK")</f>
        <v>675_RAKA A. SWASTIKA, S.Si., M.Sc _ SERTIFIKAT BIMTEK IPASN BerAKHLASK</v>
      </c>
      <c r="P676" s="5" t="s">
        <v>6495</v>
      </c>
      <c r="Q676" s="5"/>
      <c r="R676" s="5"/>
      <c r="S676" s="5"/>
      <c r="T676" s="5" t="s">
        <v>6387</v>
      </c>
    </row>
    <row r="677">
      <c r="A677" s="4">
        <v>45534.32436449074</v>
      </c>
      <c r="B677" s="5" t="s">
        <v>34</v>
      </c>
      <c r="D677" s="5" t="s">
        <v>3849</v>
      </c>
      <c r="E677" s="5" t="s">
        <v>6516</v>
      </c>
      <c r="F677" s="5" t="s">
        <v>37</v>
      </c>
      <c r="G677" s="5" t="s">
        <v>6517</v>
      </c>
      <c r="H677" s="6" t="s">
        <v>6518</v>
      </c>
      <c r="I677" s="7" t="s">
        <v>6519</v>
      </c>
      <c r="J677" s="8" t="str">
        <f>HYPERLINK("https://drive.google.com/file/d/1SdOdf87Ru6mYs6MHVlVVJH40p4bBKtwO/view?usp=drivesdk","A. HAMIDI YANSYAH, AM.KEP SERTIFIKAT BerAKHLAK")</f>
        <v>A. HAMIDI YANSYAH, AM.KEP SERTIFIKAT BerAKHLAK</v>
      </c>
      <c r="K677" s="5" t="s">
        <v>6198</v>
      </c>
      <c r="L677" s="5" t="s">
        <v>6520</v>
      </c>
      <c r="M677" s="5" t="s">
        <v>6521</v>
      </c>
      <c r="N677" s="7" t="s">
        <v>6522</v>
      </c>
      <c r="O677" s="8" t="str">
        <f>HYPERLINK("https://drive.google.com/file/d/1m7_60YN_dF0iCba0D-UgjhsvNnGBQRCh/view?usp=drivesdk","676_A. HAMIDI YANSYAH, AM.KEP _ SERTIFIKAT BIMTEK IPASN BerAKHLASK")</f>
        <v>676_A. HAMIDI YANSYAH, AM.KEP _ SERTIFIKAT BIMTEK IPASN BerAKHLASK</v>
      </c>
      <c r="P677" s="5" t="s">
        <v>6495</v>
      </c>
      <c r="Q677" s="5"/>
      <c r="R677" s="5"/>
      <c r="S677" s="5"/>
      <c r="T677" s="5" t="s">
        <v>6387</v>
      </c>
    </row>
    <row r="678">
      <c r="A678" s="4">
        <v>45534.324410706016</v>
      </c>
      <c r="B678" s="5" t="s">
        <v>34</v>
      </c>
      <c r="D678" s="5" t="s">
        <v>35</v>
      </c>
      <c r="E678" s="5" t="s">
        <v>6523</v>
      </c>
      <c r="F678" s="5" t="s">
        <v>375</v>
      </c>
      <c r="G678" s="5" t="s">
        <v>6524</v>
      </c>
      <c r="H678" s="6" t="s">
        <v>6525</v>
      </c>
      <c r="I678" s="7" t="s">
        <v>6526</v>
      </c>
      <c r="J678" s="8" t="str">
        <f>HYPERLINK("https://drive.google.com/file/d/17VYVsKSRlRpyTOWBo5aEyjtX8vPjegEC/view?usp=drivesdk","DEDEH HENDARSIH, S.E. SERTIFIKAT BerAKHLAK")</f>
        <v>DEDEH HENDARSIH, S.E. SERTIFIKAT BerAKHLAK</v>
      </c>
      <c r="K678" s="5" t="s">
        <v>6198</v>
      </c>
      <c r="L678" s="5" t="s">
        <v>6527</v>
      </c>
      <c r="M678" s="5" t="s">
        <v>6528</v>
      </c>
      <c r="N678" s="7" t="s">
        <v>6529</v>
      </c>
      <c r="O678" s="8" t="str">
        <f>HYPERLINK("https://drive.google.com/file/d/1EYr2Z-63Vt9TA6X2em3NguPbOH55LMOE/view?usp=drivesdk","677_DEDEH HENDARSIH, S.E. _ SERTIFIKAT BIMTEK IPASN BerAKHLASK")</f>
        <v>677_DEDEH HENDARSIH, S.E. _ SERTIFIKAT BIMTEK IPASN BerAKHLASK</v>
      </c>
      <c r="P678" s="5" t="s">
        <v>6530</v>
      </c>
      <c r="Q678" s="5"/>
      <c r="R678" s="5"/>
      <c r="S678" s="5"/>
      <c r="T678" s="5" t="s">
        <v>6387</v>
      </c>
    </row>
    <row r="679">
      <c r="A679" s="4">
        <v>45534.324420370365</v>
      </c>
      <c r="B679" s="5" t="s">
        <v>34</v>
      </c>
      <c r="D679" s="5" t="s">
        <v>4775</v>
      </c>
      <c r="E679" s="5" t="s">
        <v>6531</v>
      </c>
      <c r="F679" s="5" t="s">
        <v>120</v>
      </c>
      <c r="G679" s="5" t="s">
        <v>6532</v>
      </c>
      <c r="H679" s="6" t="s">
        <v>6533</v>
      </c>
      <c r="I679" s="7" t="s">
        <v>6534</v>
      </c>
      <c r="J679" s="8" t="str">
        <f>HYPERLINK("https://drive.google.com/file/d/188LrCeKQCaNfBhFHKMcav-Xv6GcKvXZR/view?usp=drivesdk","ESTI LESTARI, S.Si SERTIFIKAT BerAKHLAK")</f>
        <v>ESTI LESTARI, S.Si SERTIFIKAT BerAKHLAK</v>
      </c>
      <c r="K679" s="5" t="s">
        <v>6198</v>
      </c>
      <c r="L679" s="5" t="s">
        <v>6535</v>
      </c>
      <c r="M679" s="5" t="s">
        <v>6536</v>
      </c>
      <c r="N679" s="7" t="s">
        <v>6537</v>
      </c>
      <c r="O679" s="8" t="str">
        <f>HYPERLINK("https://drive.google.com/file/d/1_qFNnPz0zk4qYun0xDL1h7Rmomsj_xqp/view?usp=drivesdk","678_ESTI LESTARI, S.Si _ SERTIFIKAT BIMTEK IPASN BerAKHLASK")</f>
        <v>678_ESTI LESTARI, S.Si _ SERTIFIKAT BIMTEK IPASN BerAKHLASK</v>
      </c>
      <c r="P679" s="5" t="s">
        <v>6530</v>
      </c>
      <c r="Q679" s="5"/>
      <c r="R679" s="5"/>
      <c r="S679" s="5"/>
      <c r="T679" s="5" t="s">
        <v>6387</v>
      </c>
    </row>
    <row r="680">
      <c r="A680" s="4">
        <v>45534.32443626157</v>
      </c>
      <c r="B680" s="5" t="s">
        <v>34</v>
      </c>
      <c r="D680" s="5" t="s">
        <v>1206</v>
      </c>
      <c r="E680" s="5" t="s">
        <v>6538</v>
      </c>
      <c r="F680" s="5" t="s">
        <v>212</v>
      </c>
      <c r="G680" s="5" t="s">
        <v>6539</v>
      </c>
      <c r="H680" s="6" t="s">
        <v>6540</v>
      </c>
      <c r="I680" s="7" t="s">
        <v>6541</v>
      </c>
      <c r="J680" s="8" t="str">
        <f>HYPERLINK("https://drive.google.com/file/d/1j35XC1pJrWQhIk76c8cfqDslt-LC0Xyf/view?usp=drivesdk","UMI EKA WAHYUNI, S.H. SERTIFIKAT BerAKHLAK")</f>
        <v>UMI EKA WAHYUNI, S.H. SERTIFIKAT BerAKHLAK</v>
      </c>
      <c r="K680" s="5" t="s">
        <v>6198</v>
      </c>
      <c r="L680" s="5" t="s">
        <v>6542</v>
      </c>
      <c r="M680" s="5" t="s">
        <v>6543</v>
      </c>
      <c r="N680" s="7" t="s">
        <v>6544</v>
      </c>
      <c r="O680" s="8" t="str">
        <f>HYPERLINK("https://drive.google.com/file/d/1yYeclKFcAg2goUZPqXhTjKay_UFxfnIn/view?usp=drivesdk","679_UMI EKA WAHYUNI, S.H. _ SERTIFIKAT BIMTEK IPASN BerAKHLASK")</f>
        <v>679_UMI EKA WAHYUNI, S.H. _ SERTIFIKAT BIMTEK IPASN BerAKHLASK</v>
      </c>
      <c r="P680" s="5" t="s">
        <v>6530</v>
      </c>
      <c r="Q680" s="5"/>
      <c r="R680" s="5"/>
      <c r="S680" s="5"/>
      <c r="T680" s="5" t="s">
        <v>6387</v>
      </c>
    </row>
    <row r="681">
      <c r="A681" s="4">
        <v>45534.3244462963</v>
      </c>
      <c r="B681" s="5" t="s">
        <v>34</v>
      </c>
      <c r="D681" s="5" t="s">
        <v>1206</v>
      </c>
      <c r="E681" s="5" t="s">
        <v>6545</v>
      </c>
      <c r="F681" s="5" t="s">
        <v>37</v>
      </c>
      <c r="G681" s="5" t="s">
        <v>6546</v>
      </c>
      <c r="H681" s="6" t="s">
        <v>6547</v>
      </c>
      <c r="I681" s="7" t="s">
        <v>6548</v>
      </c>
      <c r="J681" s="8" t="str">
        <f>HYPERLINK("https://drive.google.com/file/d/11RGRsCTWw43j6-QwFuSX16_3aXn9SW19/view?usp=drivesdk","ITA FATMAWATI  SERTIFIKAT BerAKHLAK")</f>
        <v>ITA FATMAWATI  SERTIFIKAT BerAKHLAK</v>
      </c>
      <c r="K681" s="5" t="s">
        <v>6198</v>
      </c>
      <c r="L681" s="5" t="s">
        <v>6549</v>
      </c>
      <c r="M681" s="5" t="s">
        <v>6550</v>
      </c>
      <c r="N681" s="7" t="s">
        <v>6551</v>
      </c>
      <c r="O681" s="8" t="str">
        <f>HYPERLINK("https://drive.google.com/file/d/1mBS763UjSOgZ-7U7Zv7C0lG3obJMBaqh/view?usp=drivesdk","680_ITA FATMAWATI  _ SERTIFIKAT BIMTEK IPASN BerAKHLASK")</f>
        <v>680_ITA FATMAWATI  _ SERTIFIKAT BIMTEK IPASN BerAKHLASK</v>
      </c>
      <c r="P681" s="5" t="s">
        <v>6530</v>
      </c>
      <c r="Q681" s="5"/>
      <c r="R681" s="5"/>
      <c r="S681" s="5"/>
      <c r="T681" s="5" t="s">
        <v>6387</v>
      </c>
    </row>
    <row r="682">
      <c r="A682" s="4">
        <v>45534.324457361115</v>
      </c>
      <c r="B682" s="5" t="s">
        <v>34</v>
      </c>
      <c r="D682" s="5" t="s">
        <v>35</v>
      </c>
      <c r="E682" s="5" t="s">
        <v>6552</v>
      </c>
      <c r="F682" s="5" t="s">
        <v>108</v>
      </c>
      <c r="G682" s="5" t="s">
        <v>6553</v>
      </c>
      <c r="H682" s="6" t="s">
        <v>6554</v>
      </c>
      <c r="I682" s="7" t="s">
        <v>6555</v>
      </c>
      <c r="J682" s="8" t="str">
        <f>HYPERLINK("https://drive.google.com/file/d/1p5HjzYxdxyqbdauTSNA_m7fRfkg41XCt/view?usp=drivesdk","ERWIN TASMAWINATA SERTIFIKAT BerAKHLAK")</f>
        <v>ERWIN TASMAWINATA SERTIFIKAT BerAKHLAK</v>
      </c>
      <c r="K682" s="5" t="s">
        <v>6237</v>
      </c>
      <c r="L682" s="5" t="s">
        <v>6556</v>
      </c>
      <c r="M682" s="5" t="s">
        <v>6557</v>
      </c>
      <c r="N682" s="7" t="s">
        <v>6558</v>
      </c>
      <c r="O682" s="8" t="str">
        <f>HYPERLINK("https://drive.google.com/file/d/108oE51xsGRpJWdCNwPlStOeRGrLE54RM/view?usp=drivesdk","681_ERWIN TASMAWINATA _ SERTIFIKAT BIMTEK IPASN BerAKHLASK")</f>
        <v>681_ERWIN TASMAWINATA _ SERTIFIKAT BIMTEK IPASN BerAKHLASK</v>
      </c>
      <c r="P682" s="5" t="s">
        <v>6530</v>
      </c>
      <c r="Q682" s="5"/>
      <c r="R682" s="5"/>
      <c r="S682" s="5"/>
      <c r="T682" s="5" t="s">
        <v>6387</v>
      </c>
    </row>
    <row r="683">
      <c r="A683" s="4">
        <v>45534.32449732639</v>
      </c>
      <c r="B683" s="5" t="s">
        <v>34</v>
      </c>
      <c r="D683" s="5" t="s">
        <v>267</v>
      </c>
      <c r="E683" s="5" t="s">
        <v>6559</v>
      </c>
      <c r="F683" s="5" t="s">
        <v>120</v>
      </c>
      <c r="G683" s="5" t="s">
        <v>6560</v>
      </c>
      <c r="H683" s="6" t="s">
        <v>6561</v>
      </c>
      <c r="I683" s="7" t="s">
        <v>6562</v>
      </c>
      <c r="J683" s="8" t="str">
        <f>HYPERLINK("https://drive.google.com/file/d/1BZPrftkKnB894x5jdf-0QidXx9qz_gaQ/view?usp=drivesdk","V. HARYO DHANENDRO, S.H., M.H. SERTIFIKAT BerAKHLAK")</f>
        <v>V. HARYO DHANENDRO, S.H., M.H. SERTIFIKAT BerAKHLAK</v>
      </c>
      <c r="K683" s="5" t="s">
        <v>6198</v>
      </c>
      <c r="L683" s="5" t="s">
        <v>6563</v>
      </c>
      <c r="M683" s="5" t="s">
        <v>6564</v>
      </c>
      <c r="N683" s="7" t="s">
        <v>6565</v>
      </c>
      <c r="O683" s="8" t="str">
        <f>HYPERLINK("https://drive.google.com/file/d/1eSh6P47XvasXvPeu7dB6XxGV_botmsKe/view?usp=drivesdk","682_V. HARYO DHANENDRO, S.H., M.H. _ SERTIFIKAT BIMTEK IPASN BerAKHLASK")</f>
        <v>682_V. HARYO DHANENDRO, S.H., M.H. _ SERTIFIKAT BIMTEK IPASN BerAKHLASK</v>
      </c>
      <c r="P683" s="5" t="s">
        <v>6530</v>
      </c>
      <c r="Q683" s="5"/>
      <c r="R683" s="5"/>
      <c r="S683" s="5"/>
      <c r="T683" s="5" t="s">
        <v>6387</v>
      </c>
    </row>
    <row r="684">
      <c r="A684" s="4">
        <v>45534.32450710648</v>
      </c>
      <c r="B684" s="5" t="s">
        <v>34</v>
      </c>
      <c r="D684" s="5" t="s">
        <v>267</v>
      </c>
      <c r="E684" s="5" t="s">
        <v>6566</v>
      </c>
      <c r="F684" s="5" t="s">
        <v>72</v>
      </c>
      <c r="G684" s="5" t="s">
        <v>6567</v>
      </c>
      <c r="H684" s="6" t="s">
        <v>6568</v>
      </c>
      <c r="I684" s="7" t="s">
        <v>6569</v>
      </c>
      <c r="J684" s="8" t="str">
        <f>HYPERLINK("https://drive.google.com/file/d/1p6GbwYnCuH0cHScTd0c4Q2Q1lpCl-0Xi/view?usp=drivesdk","RATNA ANASTASIA TRIWIDIASTUTI, A.Md SERTIFIKAT BerAKHLAK")</f>
        <v>RATNA ANASTASIA TRIWIDIASTUTI, A.Md SERTIFIKAT BerAKHLAK</v>
      </c>
      <c r="K684" s="5" t="s">
        <v>6198</v>
      </c>
      <c r="L684" s="5" t="s">
        <v>6570</v>
      </c>
      <c r="M684" s="5" t="s">
        <v>6571</v>
      </c>
      <c r="N684" s="7" t="s">
        <v>6572</v>
      </c>
      <c r="O684" s="8" t="str">
        <f>HYPERLINK("https://drive.google.com/file/d/1EeA3rGl7BzjJt86J1cjtSVu7jHrDhUNu/view?usp=drivesdk","683_RATNA ANASTASIA TRIWIDIASTUTI, A.Md _ SERTIFIKAT BIMTEK IPASN BerAKHLASK")</f>
        <v>683_RATNA ANASTASIA TRIWIDIASTUTI, A.Md _ SERTIFIKAT BIMTEK IPASN BerAKHLASK</v>
      </c>
      <c r="P684" s="5" t="s">
        <v>6573</v>
      </c>
      <c r="Q684" s="5"/>
      <c r="R684" s="5"/>
      <c r="S684" s="5"/>
      <c r="T684" s="5" t="s">
        <v>6387</v>
      </c>
    </row>
    <row r="685">
      <c r="A685" s="4">
        <v>45534.32451261574</v>
      </c>
      <c r="B685" s="5" t="s">
        <v>34</v>
      </c>
      <c r="D685" s="5" t="s">
        <v>35</v>
      </c>
      <c r="E685" s="5" t="s">
        <v>6574</v>
      </c>
      <c r="F685" s="5" t="s">
        <v>72</v>
      </c>
      <c r="G685" s="5" t="s">
        <v>6575</v>
      </c>
      <c r="H685" s="6" t="s">
        <v>6576</v>
      </c>
      <c r="I685" s="7" t="s">
        <v>6577</v>
      </c>
      <c r="J685" s="8" t="str">
        <f>HYPERLINK("https://drive.google.com/file/d/1wx4KCE9Rv01RBY6HKioQMWExjyqNJSNQ/view?usp=drivesdk","LITA NUR AMBAEWATI, S.Kep, Ners SERTIFIKAT BerAKHLAK")</f>
        <v>LITA NUR AMBAEWATI, S.Kep, Ners SERTIFIKAT BerAKHLAK</v>
      </c>
      <c r="K685" s="5" t="s">
        <v>6198</v>
      </c>
      <c r="L685" s="5" t="s">
        <v>6578</v>
      </c>
      <c r="M685" s="5" t="s">
        <v>6579</v>
      </c>
      <c r="N685" s="7" t="s">
        <v>6580</v>
      </c>
      <c r="O685" s="8" t="str">
        <f>HYPERLINK("https://drive.google.com/file/d/1IsFGXUoIlcaIl5zZqIkykZrOzuoEXA8e/view?usp=drivesdk","684_LITA NUR AMBAEWATI, S.Kep, Ners _ SERTIFIKAT BIMTEK IPASN BerAKHLASK")</f>
        <v>684_LITA NUR AMBAEWATI, S.Kep, Ners _ SERTIFIKAT BIMTEK IPASN BerAKHLASK</v>
      </c>
      <c r="P685" s="5" t="s">
        <v>6573</v>
      </c>
      <c r="Q685" s="5"/>
      <c r="R685" s="5"/>
      <c r="S685" s="5"/>
      <c r="T685" s="5" t="s">
        <v>6387</v>
      </c>
    </row>
    <row r="686">
      <c r="A686" s="4">
        <v>45534.32451230324</v>
      </c>
      <c r="B686" s="5" t="s">
        <v>34</v>
      </c>
      <c r="D686" s="5" t="s">
        <v>4775</v>
      </c>
      <c r="E686" s="5" t="s">
        <v>6581</v>
      </c>
      <c r="F686" s="5" t="s">
        <v>37</v>
      </c>
      <c r="G686" s="5" t="s">
        <v>6582</v>
      </c>
      <c r="H686" s="6" t="s">
        <v>6583</v>
      </c>
      <c r="I686" s="7" t="s">
        <v>6584</v>
      </c>
      <c r="J686" s="8" t="str">
        <f>HYPERLINK("https://drive.google.com/file/d/1AlVyVa3RWUsGf6jlKdXsN_6q0ozPb2-r/view?usp=drivesdk","IDAM NURSUHANTO SERTIFIKAT BerAKHLAK")</f>
        <v>IDAM NURSUHANTO SERTIFIKAT BerAKHLAK</v>
      </c>
      <c r="K686" s="5" t="s">
        <v>6237</v>
      </c>
      <c r="L686" s="5" t="s">
        <v>6585</v>
      </c>
      <c r="M686" s="5" t="s">
        <v>6586</v>
      </c>
      <c r="N686" s="7" t="s">
        <v>6587</v>
      </c>
      <c r="O686" s="8" t="str">
        <f>HYPERLINK("https://drive.google.com/file/d/1XcPtnwAhRgAe0ukLf9Rgggb8id9vsL0_/view?usp=drivesdk","685_IDAM NURSUHANTO _ SERTIFIKAT BIMTEK IPASN BerAKHLASK")</f>
        <v>685_IDAM NURSUHANTO _ SERTIFIKAT BIMTEK IPASN BerAKHLASK</v>
      </c>
      <c r="P686" s="5" t="s">
        <v>6573</v>
      </c>
      <c r="Q686" s="5"/>
      <c r="R686" s="5"/>
      <c r="S686" s="5"/>
      <c r="T686" s="5" t="s">
        <v>6387</v>
      </c>
    </row>
    <row r="687" hidden="1">
      <c r="A687" s="4">
        <v>45534.32451543982</v>
      </c>
      <c r="B687" s="5" t="s">
        <v>19</v>
      </c>
      <c r="C687" s="5" t="s">
        <v>3301</v>
      </c>
      <c r="E687" s="5" t="s">
        <v>6588</v>
      </c>
      <c r="F687" s="5" t="s">
        <v>108</v>
      </c>
      <c r="G687" s="5" t="s">
        <v>6589</v>
      </c>
      <c r="H687" s="6" t="s">
        <v>6590</v>
      </c>
      <c r="I687" s="7" t="s">
        <v>6591</v>
      </c>
      <c r="J687" s="8" t="str">
        <f>HYPERLINK("https://drive.google.com/file/d/1fw55wyBFflciy7a6G46MFrMw0efUsbb6/view?usp=drivesdk","NOPI SUSILOWATI SERTIFIKAT BerAKHLAK")</f>
        <v>NOPI SUSILOWATI SERTIFIKAT BerAKHLAK</v>
      </c>
      <c r="K687" s="5" t="s">
        <v>6237</v>
      </c>
      <c r="L687" s="5" t="s">
        <v>6592</v>
      </c>
      <c r="M687" s="5" t="s">
        <v>6593</v>
      </c>
      <c r="N687" s="7" t="s">
        <v>6594</v>
      </c>
      <c r="O687" s="8" t="str">
        <f>HYPERLINK("https://drive.google.com/file/d/1UYmJxNO41I1rd729Ofbc9EXdf6Z7Y8AZ/view?usp=drivesdk","686_NOPI SUSILOWATI _ SERTIFIKAT BIMTEK IPASN BerAKHLASK")</f>
        <v>686_NOPI SUSILOWATI _ SERTIFIKAT BIMTEK IPASN BerAKHLASK</v>
      </c>
      <c r="P687" s="5" t="s">
        <v>6573</v>
      </c>
      <c r="Q687" s="5"/>
      <c r="R687" s="5"/>
      <c r="S687" s="5"/>
      <c r="T687" s="5" t="s">
        <v>6387</v>
      </c>
    </row>
    <row r="688">
      <c r="A688" s="4">
        <v>45534.324534479165</v>
      </c>
      <c r="B688" s="5" t="s">
        <v>34</v>
      </c>
      <c r="D688" s="5" t="s">
        <v>2903</v>
      </c>
      <c r="E688" s="5" t="s">
        <v>6595</v>
      </c>
      <c r="F688" s="5" t="s">
        <v>524</v>
      </c>
      <c r="G688" s="5" t="s">
        <v>6596</v>
      </c>
      <c r="H688" s="6" t="s">
        <v>6597</v>
      </c>
      <c r="I688" s="7" t="s">
        <v>6598</v>
      </c>
      <c r="J688" s="8" t="str">
        <f>HYPERLINK("https://drive.google.com/file/d/16tYReHYqj62vr9smCOl-Vg_KLVA7f7rb/view?usp=drivesdk","ETIKA HUSNIATI  SERTIFIKAT BerAKHLAK")</f>
        <v>ETIKA HUSNIATI  SERTIFIKAT BerAKHLAK</v>
      </c>
      <c r="K688" s="5" t="s">
        <v>6198</v>
      </c>
      <c r="L688" s="5" t="s">
        <v>6599</v>
      </c>
      <c r="M688" s="5" t="s">
        <v>6600</v>
      </c>
      <c r="N688" s="7" t="s">
        <v>6601</v>
      </c>
      <c r="O688" s="8" t="str">
        <f>HYPERLINK("https://drive.google.com/file/d/1NGpFqUnJwHr6XXlYt_ihZoYPRbPFQ90q/view?usp=drivesdk","687_ETIKA HUSNIATI  _ SERTIFIKAT BIMTEK IPASN BerAKHLASK")</f>
        <v>687_ETIKA HUSNIATI  _ SERTIFIKAT BIMTEK IPASN BerAKHLASK</v>
      </c>
      <c r="P688" s="5" t="s">
        <v>6573</v>
      </c>
      <c r="Q688" s="5"/>
      <c r="R688" s="5"/>
      <c r="S688" s="5"/>
      <c r="T688" s="5" t="s">
        <v>6387</v>
      </c>
    </row>
    <row r="689">
      <c r="A689" s="4">
        <v>45534.324544999996</v>
      </c>
      <c r="B689" s="5" t="s">
        <v>34</v>
      </c>
      <c r="D689" s="5" t="s">
        <v>1768</v>
      </c>
      <c r="E689" s="5" t="s">
        <v>6602</v>
      </c>
      <c r="F689" s="5" t="s">
        <v>37</v>
      </c>
      <c r="G689" s="5" t="s">
        <v>6603</v>
      </c>
      <c r="H689" s="6" t="s">
        <v>6604</v>
      </c>
      <c r="I689" s="7" t="s">
        <v>6605</v>
      </c>
      <c r="J689" s="8" t="str">
        <f>HYPERLINK("https://drive.google.com/file/d/1Eblqfp4ueHcKDT1zoRxVnsSPR1ppmnHb/view?usp=drivesdk","LAILATUL ISLAMIAH SERTIFIKAT BerAKHLAK")</f>
        <v>LAILATUL ISLAMIAH SERTIFIKAT BerAKHLAK</v>
      </c>
      <c r="K689" s="5" t="s">
        <v>6198</v>
      </c>
      <c r="L689" s="5" t="s">
        <v>6606</v>
      </c>
      <c r="M689" s="5" t="s">
        <v>6607</v>
      </c>
      <c r="N689" s="7" t="s">
        <v>6608</v>
      </c>
      <c r="O689" s="8" t="str">
        <f>HYPERLINK("https://drive.google.com/file/d/1DjRwmf98j6hTjn8qQ9GPzA_TMydFodxj/view?usp=drivesdk","688_LAILATUL ISLAMIAH _ SERTIFIKAT BIMTEK IPASN BerAKHLASK")</f>
        <v>688_LAILATUL ISLAMIAH _ SERTIFIKAT BIMTEK IPASN BerAKHLASK</v>
      </c>
      <c r="P689" s="5" t="s">
        <v>6573</v>
      </c>
      <c r="Q689" s="5"/>
      <c r="R689" s="5"/>
      <c r="S689" s="5"/>
      <c r="T689" s="5" t="s">
        <v>6387</v>
      </c>
    </row>
    <row r="690">
      <c r="A690" s="4">
        <v>45534.32455319444</v>
      </c>
      <c r="B690" s="5" t="s">
        <v>34</v>
      </c>
      <c r="D690" s="5" t="s">
        <v>35</v>
      </c>
      <c r="E690" s="5" t="s">
        <v>6609</v>
      </c>
      <c r="F690" s="5" t="s">
        <v>37</v>
      </c>
      <c r="G690" s="5" t="s">
        <v>6610</v>
      </c>
      <c r="H690" s="6" t="s">
        <v>6611</v>
      </c>
      <c r="I690" s="7" t="s">
        <v>6612</v>
      </c>
      <c r="J690" s="8" t="str">
        <f>HYPERLINK("https://drive.google.com/file/d/1EvU8r3hf1Z1gyULkyabnxsPa3V7sYfac/view?usp=drivesdk","NOVIANA LISDIYANTI SERTIFIKAT BerAKHLAK")</f>
        <v>NOVIANA LISDIYANTI SERTIFIKAT BerAKHLAK</v>
      </c>
      <c r="K690" s="5" t="s">
        <v>6198</v>
      </c>
      <c r="L690" s="5" t="s">
        <v>6613</v>
      </c>
      <c r="M690" s="5" t="s">
        <v>6614</v>
      </c>
      <c r="N690" s="7" t="s">
        <v>6615</v>
      </c>
      <c r="O690" s="8" t="str">
        <f>HYPERLINK("https://drive.google.com/file/d/1GE7KYhiJ2v5F0lwVK7BqxP2pilyw95YD/view?usp=drivesdk","689_NOVIANA LISDIYANTI _ SERTIFIKAT BIMTEK IPASN BerAKHLASK")</f>
        <v>689_NOVIANA LISDIYANTI _ SERTIFIKAT BIMTEK IPASN BerAKHLASK</v>
      </c>
      <c r="P690" s="5" t="s">
        <v>6573</v>
      </c>
      <c r="Q690" s="5"/>
      <c r="R690" s="5"/>
      <c r="S690" s="5"/>
      <c r="T690" s="5" t="s">
        <v>6387</v>
      </c>
    </row>
    <row r="691">
      <c r="A691" s="4">
        <v>45534.324570173616</v>
      </c>
      <c r="B691" s="5" t="s">
        <v>34</v>
      </c>
      <c r="D691" s="5" t="s">
        <v>4775</v>
      </c>
      <c r="E691" s="5" t="s">
        <v>6616</v>
      </c>
      <c r="F691" s="5" t="s">
        <v>120</v>
      </c>
      <c r="G691" s="5" t="s">
        <v>6617</v>
      </c>
      <c r="H691" s="6" t="s">
        <v>6618</v>
      </c>
      <c r="I691" s="7" t="s">
        <v>6619</v>
      </c>
      <c r="J691" s="8" t="str">
        <f>HYPERLINK("https://drive.google.com/file/d/15ru3laM8-jF7a9vl4AvvW8ZT-07L7ari/view?usp=drivesdk","DARU SETYO WAHYONO, S.E., M.M. SERTIFIKAT BerAKHLAK")</f>
        <v>DARU SETYO WAHYONO, S.E., M.M. SERTIFIKAT BerAKHLAK</v>
      </c>
      <c r="K691" s="5" t="s">
        <v>6198</v>
      </c>
      <c r="L691" s="5" t="s">
        <v>6620</v>
      </c>
      <c r="M691" s="5" t="s">
        <v>6621</v>
      </c>
      <c r="N691" s="7" t="s">
        <v>6622</v>
      </c>
      <c r="O691" s="8" t="str">
        <f>HYPERLINK("https://drive.google.com/file/d/15lDEwEV9unV-LEH6iqIZcRyBFCTdeyPP/view?usp=drivesdk","690_DARU SETYO WAHYONO, S.E., M.M. _ SERTIFIKAT BIMTEK IPASN BerAKHLASK")</f>
        <v>690_DARU SETYO WAHYONO, S.E., M.M. _ SERTIFIKAT BIMTEK IPASN BerAKHLASK</v>
      </c>
      <c r="P691" s="5" t="s">
        <v>6623</v>
      </c>
      <c r="Q691" s="5"/>
      <c r="R691" s="5"/>
      <c r="S691" s="5"/>
      <c r="T691" s="5" t="s">
        <v>6387</v>
      </c>
    </row>
    <row r="692">
      <c r="A692" s="4">
        <v>45534.324585752314</v>
      </c>
      <c r="B692" s="5" t="s">
        <v>34</v>
      </c>
      <c r="D692" s="5" t="s">
        <v>4775</v>
      </c>
      <c r="E692" s="5" t="s">
        <v>6624</v>
      </c>
      <c r="F692" s="5" t="s">
        <v>6625</v>
      </c>
      <c r="G692" s="5" t="s">
        <v>6626</v>
      </c>
      <c r="H692" s="6" t="s">
        <v>6627</v>
      </c>
      <c r="I692" s="7" t="s">
        <v>6628</v>
      </c>
      <c r="J692" s="8" t="str">
        <f>HYPERLINK("https://drive.google.com/file/d/11BpdYZcHuigvt3dGiwtyg83_m_I3LYj6/view?usp=drivesdk","RIZKA HIMAWATY SERTIFIKAT BerAKHLAK")</f>
        <v>RIZKA HIMAWATY SERTIFIKAT BerAKHLAK</v>
      </c>
      <c r="K692" s="5" t="s">
        <v>6198</v>
      </c>
      <c r="L692" s="5" t="s">
        <v>6629</v>
      </c>
      <c r="M692" s="5" t="s">
        <v>6630</v>
      </c>
      <c r="N692" s="7" t="s">
        <v>6631</v>
      </c>
      <c r="O692" s="8" t="str">
        <f>HYPERLINK("https://drive.google.com/file/d/1_urTIXbsrcpmRcrSTdW548w-OQJLjEXx/view?usp=drivesdk","691_RIZKA HIMAWATY _ SERTIFIKAT BIMTEK IPASN BerAKHLASK")</f>
        <v>691_RIZKA HIMAWATY _ SERTIFIKAT BIMTEK IPASN BerAKHLASK</v>
      </c>
      <c r="P692" s="5" t="s">
        <v>6623</v>
      </c>
      <c r="Q692" s="5"/>
      <c r="R692" s="5"/>
      <c r="S692" s="5"/>
      <c r="T692" s="5" t="s">
        <v>6387</v>
      </c>
    </row>
    <row r="693">
      <c r="A693" s="4">
        <v>45534.32463195602</v>
      </c>
      <c r="B693" s="5" t="s">
        <v>34</v>
      </c>
      <c r="D693" s="5" t="s">
        <v>35</v>
      </c>
      <c r="E693" s="5" t="s">
        <v>6632</v>
      </c>
      <c r="F693" s="5" t="s">
        <v>72</v>
      </c>
      <c r="G693" s="5" t="s">
        <v>6633</v>
      </c>
      <c r="H693" s="6" t="s">
        <v>6634</v>
      </c>
      <c r="I693" s="7" t="s">
        <v>6635</v>
      </c>
      <c r="J693" s="8" t="str">
        <f>HYPERLINK("https://drive.google.com/file/d/1bFD02uh5rOh5s7b9nWinr6G7Awh_go6y/view?usp=drivesdk","HINDANSYAH S.KEP.,NERS SERTIFIKAT BerAKHLAK")</f>
        <v>HINDANSYAH S.KEP.,NERS SERTIFIKAT BerAKHLAK</v>
      </c>
      <c r="K693" s="5" t="s">
        <v>6198</v>
      </c>
      <c r="L693" s="5" t="s">
        <v>6636</v>
      </c>
      <c r="M693" s="5" t="s">
        <v>6637</v>
      </c>
      <c r="N693" s="7" t="s">
        <v>6638</v>
      </c>
      <c r="O693" s="8" t="str">
        <f>HYPERLINK("https://drive.google.com/file/d/1bky6pJHIgKe8xRNQTP6zROSxTZDaXddU/view?usp=drivesdk","692_HINDANSYAH S.KEP.,NERS _ SERTIFIKAT BIMTEK IPASN BerAKHLASK")</f>
        <v>692_HINDANSYAH S.KEP.,NERS _ SERTIFIKAT BIMTEK IPASN BerAKHLASK</v>
      </c>
      <c r="P693" s="5" t="s">
        <v>6623</v>
      </c>
      <c r="Q693" s="5"/>
      <c r="R693" s="5"/>
      <c r="S693" s="5"/>
      <c r="T693" s="5" t="s">
        <v>6387</v>
      </c>
    </row>
    <row r="694">
      <c r="A694" s="4">
        <v>45534.32464365741</v>
      </c>
      <c r="B694" s="5" t="s">
        <v>34</v>
      </c>
      <c r="D694" s="5" t="s">
        <v>996</v>
      </c>
      <c r="E694" s="5" t="s">
        <v>6639</v>
      </c>
      <c r="F694" s="5" t="s">
        <v>37</v>
      </c>
      <c r="G694" s="5" t="s">
        <v>6640</v>
      </c>
      <c r="H694" s="6" t="s">
        <v>6641</v>
      </c>
      <c r="I694" s="7" t="s">
        <v>6642</v>
      </c>
      <c r="J694" s="8" t="str">
        <f>HYPERLINK("https://drive.google.com/file/d/1nayvfqseQmrY3YyxmrWO7R6V1oNVM0B3/view?usp=drivesdk","MOHAMMAD HASIM SERTIFIKAT BerAKHLAK")</f>
        <v>MOHAMMAD HASIM SERTIFIKAT BerAKHLAK</v>
      </c>
      <c r="K694" s="5" t="s">
        <v>6198</v>
      </c>
      <c r="L694" s="5" t="s">
        <v>6643</v>
      </c>
      <c r="M694" s="5" t="s">
        <v>6644</v>
      </c>
      <c r="N694" s="7" t="s">
        <v>6645</v>
      </c>
      <c r="O694" s="8" t="str">
        <f>HYPERLINK("https://drive.google.com/file/d/1VW64PKx67yYkTpPfg3TdzmGkZWE3qBvp/view?usp=drivesdk","693_MOHAMMAD HASIM _ SERTIFIKAT BIMTEK IPASN BerAKHLASK")</f>
        <v>693_MOHAMMAD HASIM _ SERTIFIKAT BIMTEK IPASN BerAKHLASK</v>
      </c>
      <c r="P694" s="5" t="s">
        <v>6623</v>
      </c>
      <c r="Q694" s="5"/>
      <c r="R694" s="5"/>
      <c r="S694" s="5"/>
      <c r="T694" s="5" t="s">
        <v>6387</v>
      </c>
    </row>
    <row r="695">
      <c r="A695" s="4">
        <v>45534.32465768518</v>
      </c>
      <c r="B695" s="5" t="s">
        <v>34</v>
      </c>
      <c r="D695" s="5" t="s">
        <v>522</v>
      </c>
      <c r="E695" s="5" t="s">
        <v>6646</v>
      </c>
      <c r="F695" s="5" t="s">
        <v>72</v>
      </c>
      <c r="G695" s="5" t="s">
        <v>6647</v>
      </c>
      <c r="H695" s="6" t="s">
        <v>6648</v>
      </c>
      <c r="I695" s="7" t="s">
        <v>6649</v>
      </c>
      <c r="J695" s="8" t="str">
        <f>HYPERLINK("https://drive.google.com/file/d/1cCh5EOrYkZ_mGtZQ26LMMx7QSST4-fBB/view?usp=drivesdk","PENATA PURWANTI, SM SERTIFIKAT BerAKHLAK")</f>
        <v>PENATA PURWANTI, SM SERTIFIKAT BerAKHLAK</v>
      </c>
      <c r="K695" s="5" t="s">
        <v>6198</v>
      </c>
      <c r="L695" s="5" t="s">
        <v>6650</v>
      </c>
      <c r="M695" s="5" t="s">
        <v>6651</v>
      </c>
      <c r="N695" s="7" t="s">
        <v>6652</v>
      </c>
      <c r="O695" s="8" t="str">
        <f>HYPERLINK("https://drive.google.com/file/d/1LHhQNJqSIIFIk6pdLxGSDPCwv-1ldNpZ/view?usp=drivesdk","694_PENATA PURWANTI, SM _ SERTIFIKAT BIMTEK IPASN BerAKHLASK")</f>
        <v>694_PENATA PURWANTI, SM _ SERTIFIKAT BIMTEK IPASN BerAKHLASK</v>
      </c>
      <c r="P695" s="5" t="s">
        <v>6623</v>
      </c>
      <c r="Q695" s="5"/>
      <c r="R695" s="5"/>
      <c r="S695" s="5"/>
      <c r="T695" s="5" t="s">
        <v>6387</v>
      </c>
    </row>
    <row r="696">
      <c r="A696" s="4">
        <v>45534.32466943287</v>
      </c>
      <c r="B696" s="5" t="s">
        <v>34</v>
      </c>
      <c r="D696" s="5" t="s">
        <v>3849</v>
      </c>
      <c r="E696" s="5" t="s">
        <v>6653</v>
      </c>
      <c r="F696" s="5" t="s">
        <v>37</v>
      </c>
      <c r="G696" s="5" t="s">
        <v>6654</v>
      </c>
      <c r="H696" s="6" t="s">
        <v>6655</v>
      </c>
      <c r="I696" s="7" t="s">
        <v>6656</v>
      </c>
      <c r="J696" s="8" t="str">
        <f>HYPERLINK("https://drive.google.com/file/d/1ORXb0LGHy6cMlpWAxog4QNHf3ezpFe5J/view?usp=drivesdk","RIEZKY RIANA ANGGRAINI SERTIFIKAT BerAKHLAK")</f>
        <v>RIEZKY RIANA ANGGRAINI SERTIFIKAT BerAKHLAK</v>
      </c>
      <c r="K696" s="5" t="s">
        <v>6237</v>
      </c>
      <c r="L696" s="5" t="s">
        <v>6657</v>
      </c>
      <c r="M696" s="5" t="s">
        <v>6658</v>
      </c>
      <c r="N696" s="7" t="s">
        <v>6659</v>
      </c>
      <c r="O696" s="8" t="str">
        <f>HYPERLINK("https://drive.google.com/file/d/1mthUAHCxfVUALwlD8z2Vyg_TqYO6yEV3/view?usp=drivesdk","695_RIEZKY RIANA ANGGRAINI _ SERTIFIKAT BIMTEK IPASN BerAKHLASK")</f>
        <v>695_RIEZKY RIANA ANGGRAINI _ SERTIFIKAT BIMTEK IPASN BerAKHLASK</v>
      </c>
      <c r="P696" s="5" t="s">
        <v>6623</v>
      </c>
      <c r="Q696" s="5"/>
      <c r="R696" s="5"/>
      <c r="S696" s="5"/>
      <c r="T696" s="5" t="s">
        <v>6387</v>
      </c>
    </row>
    <row r="697">
      <c r="A697" s="4">
        <v>45534.32467120371</v>
      </c>
      <c r="B697" s="5" t="s">
        <v>34</v>
      </c>
      <c r="D697" s="5" t="s">
        <v>35</v>
      </c>
      <c r="E697" s="5" t="s">
        <v>6660</v>
      </c>
      <c r="F697" s="5" t="s">
        <v>37</v>
      </c>
      <c r="G697" s="5" t="s">
        <v>6661</v>
      </c>
      <c r="H697" s="6" t="s">
        <v>6662</v>
      </c>
      <c r="I697" s="7" t="s">
        <v>6663</v>
      </c>
      <c r="J697" s="8" t="str">
        <f>HYPERLINK("https://drive.google.com/file/d/1te7Q1Stj8wt9NiPWJ17XboxJb6t0E757/view?usp=drivesdk","GALIH OKTAVIANO, A.Md.Kep SERTIFIKAT BerAKHLAK")</f>
        <v>GALIH OKTAVIANO, A.Md.Kep SERTIFIKAT BerAKHLAK</v>
      </c>
      <c r="K697" s="5" t="s">
        <v>6237</v>
      </c>
      <c r="L697" s="5" t="s">
        <v>6664</v>
      </c>
      <c r="M697" s="5" t="s">
        <v>6665</v>
      </c>
      <c r="N697" s="7" t="s">
        <v>6666</v>
      </c>
      <c r="O697" s="8" t="str">
        <f>HYPERLINK("https://drive.google.com/file/d/1B_NESIE8OB0NF0Wv956HPiJWXjRx1MBX/view?usp=drivesdk","696_GALIH OKTAVIANO, A.Md.Kep _ SERTIFIKAT BIMTEK IPASN BerAKHLASK")</f>
        <v>696_GALIH OKTAVIANO, A.Md.Kep _ SERTIFIKAT BIMTEK IPASN BerAKHLASK</v>
      </c>
      <c r="P697" s="5" t="s">
        <v>6667</v>
      </c>
      <c r="Q697" s="5"/>
      <c r="R697" s="5"/>
      <c r="S697" s="5"/>
      <c r="T697" s="5" t="s">
        <v>6387</v>
      </c>
    </row>
    <row r="698">
      <c r="A698" s="4">
        <v>45534.32471127315</v>
      </c>
      <c r="B698" s="5" t="s">
        <v>34</v>
      </c>
      <c r="D698" s="5" t="s">
        <v>4775</v>
      </c>
      <c r="E698" s="5" t="s">
        <v>6668</v>
      </c>
      <c r="F698" s="5" t="s">
        <v>375</v>
      </c>
      <c r="G698" s="5" t="s">
        <v>6669</v>
      </c>
      <c r="H698" s="6" t="s">
        <v>6670</v>
      </c>
      <c r="I698" s="7" t="s">
        <v>6671</v>
      </c>
      <c r="J698" s="8" t="str">
        <f>HYPERLINK("https://drive.google.com/file/d/1HxvExIkpDscNC4gnQVSscwYvAAnNo-uQ/view?usp=drivesdk","SHINTA ANDROMEDA, S.T. SERTIFIKAT BerAKHLAK")</f>
        <v>SHINTA ANDROMEDA, S.T. SERTIFIKAT BerAKHLAK</v>
      </c>
      <c r="K698" s="5" t="s">
        <v>6198</v>
      </c>
      <c r="L698" s="5" t="s">
        <v>6672</v>
      </c>
      <c r="M698" s="5" t="s">
        <v>6673</v>
      </c>
      <c r="N698" s="7" t="s">
        <v>6674</v>
      </c>
      <c r="O698" s="8" t="str">
        <f>HYPERLINK("https://drive.google.com/file/d/1rmllSW-mdf944Sz2bFh-kNoc1Dk06jB-/view?usp=drivesdk","697_SHINTA ANDROMEDA, S.T. _ SERTIFIKAT BIMTEK IPASN BerAKHLASK")</f>
        <v>697_SHINTA ANDROMEDA, S.T. _ SERTIFIKAT BIMTEK IPASN BerAKHLASK</v>
      </c>
      <c r="P698" s="5" t="s">
        <v>6667</v>
      </c>
      <c r="Q698" s="5"/>
      <c r="R698" s="5"/>
      <c r="S698" s="5"/>
      <c r="T698" s="5" t="s">
        <v>6387</v>
      </c>
    </row>
    <row r="699">
      <c r="A699" s="4">
        <v>45534.32473163195</v>
      </c>
      <c r="B699" s="5" t="s">
        <v>34</v>
      </c>
      <c r="D699" s="5" t="s">
        <v>4775</v>
      </c>
      <c r="E699" s="5" t="s">
        <v>6675</v>
      </c>
      <c r="F699" s="5" t="s">
        <v>212</v>
      </c>
      <c r="G699" s="5" t="s">
        <v>6676</v>
      </c>
      <c r="H699" s="6" t="s">
        <v>6677</v>
      </c>
      <c r="I699" s="7" t="s">
        <v>6678</v>
      </c>
      <c r="J699" s="8" t="str">
        <f>HYPERLINK("https://drive.google.com/file/d/1mOf5EOUx30u0vz231Sg-Xpgn-ExGs9v6/view?usp=drivesdk","ARDITA SETIAWAN SERTIFIKAT BerAKHLAK")</f>
        <v>ARDITA SETIAWAN SERTIFIKAT BerAKHLAK</v>
      </c>
      <c r="K699" s="5" t="s">
        <v>6198</v>
      </c>
      <c r="L699" s="5" t="s">
        <v>6679</v>
      </c>
      <c r="M699" s="5" t="s">
        <v>6680</v>
      </c>
      <c r="N699" s="7" t="s">
        <v>6681</v>
      </c>
      <c r="O699" s="8" t="str">
        <f>HYPERLINK("https://drive.google.com/file/d/1OA3D1OP6U9q_Xl3SBaRnXH6MghYoURrR/view?usp=drivesdk","698_ARDITA SETIAWAN _ SERTIFIKAT BIMTEK IPASN BerAKHLASK")</f>
        <v>698_ARDITA SETIAWAN _ SERTIFIKAT BIMTEK IPASN BerAKHLASK</v>
      </c>
      <c r="P699" s="5" t="s">
        <v>6667</v>
      </c>
      <c r="Q699" s="5"/>
      <c r="R699" s="5"/>
      <c r="S699" s="5"/>
      <c r="T699" s="5" t="s">
        <v>6387</v>
      </c>
    </row>
    <row r="700">
      <c r="A700" s="4">
        <v>45534.32474177083</v>
      </c>
      <c r="B700" s="5" t="s">
        <v>34</v>
      </c>
      <c r="D700" s="5" t="s">
        <v>280</v>
      </c>
      <c r="E700" s="5" t="s">
        <v>6682</v>
      </c>
      <c r="F700" s="5" t="s">
        <v>524</v>
      </c>
      <c r="G700" s="5" t="s">
        <v>6683</v>
      </c>
      <c r="H700" s="6" t="s">
        <v>6684</v>
      </c>
      <c r="I700" s="7" t="s">
        <v>6685</v>
      </c>
      <c r="J700" s="8" t="str">
        <f>HYPERLINK("https://drive.google.com/file/d/15kwAiAd5atAUWzpvXCUAJMhhYHI2G_BM/view?usp=drivesdk","RENNY GUSNELLY SERTIFIKAT BerAKHLAK")</f>
        <v>RENNY GUSNELLY SERTIFIKAT BerAKHLAK</v>
      </c>
      <c r="K700" s="5" t="s">
        <v>6198</v>
      </c>
      <c r="L700" s="5" t="s">
        <v>6686</v>
      </c>
      <c r="M700" s="5" t="s">
        <v>6687</v>
      </c>
      <c r="N700" s="7" t="s">
        <v>6688</v>
      </c>
      <c r="O700" s="8" t="str">
        <f>HYPERLINK("https://drive.google.com/file/d/16ooKmrVUWEqzjBfP3ftiv-84wH3gXr2c/view?usp=drivesdk","699_RENNY GUSNELLY _ SERTIFIKAT BIMTEK IPASN BerAKHLASK")</f>
        <v>699_RENNY GUSNELLY _ SERTIFIKAT BIMTEK IPASN BerAKHLASK</v>
      </c>
      <c r="P700" s="5" t="s">
        <v>6667</v>
      </c>
      <c r="Q700" s="5"/>
      <c r="R700" s="5"/>
      <c r="S700" s="5"/>
      <c r="T700" s="5" t="s">
        <v>6387</v>
      </c>
    </row>
    <row r="701">
      <c r="A701" s="4">
        <v>45534.32474809028</v>
      </c>
      <c r="B701" s="5" t="s">
        <v>34</v>
      </c>
      <c r="D701" s="5" t="s">
        <v>1768</v>
      </c>
      <c r="E701" s="5" t="s">
        <v>6689</v>
      </c>
      <c r="F701" s="5" t="s">
        <v>108</v>
      </c>
      <c r="G701" s="5" t="s">
        <v>6690</v>
      </c>
      <c r="H701" s="6" t="s">
        <v>6691</v>
      </c>
      <c r="I701" s="7" t="s">
        <v>6692</v>
      </c>
      <c r="J701" s="8" t="str">
        <f>HYPERLINK("https://drive.google.com/file/d/1R8uajOg0HcxoQEuM7AQeMh-VmjqcZkXq/view?usp=drivesdk","YULI HARTATI, Amd. Kep SERTIFIKAT BerAKHLAK")</f>
        <v>YULI HARTATI, Amd. Kep SERTIFIKAT BerAKHLAK</v>
      </c>
      <c r="K701" s="5" t="s">
        <v>6237</v>
      </c>
      <c r="L701" s="5" t="s">
        <v>6693</v>
      </c>
      <c r="M701" s="5" t="s">
        <v>6694</v>
      </c>
      <c r="N701" s="7" t="s">
        <v>6695</v>
      </c>
      <c r="O701" s="8" t="str">
        <f>HYPERLINK("https://drive.google.com/file/d/1njpRkkd7K2G9Sx5OMv6ZPHwxC38H0tBG/view?usp=drivesdk","700_YULI HARTATI, Amd. Kep _ SERTIFIKAT BIMTEK IPASN BerAKHLASK")</f>
        <v>700_YULI HARTATI, Amd. Kep _ SERTIFIKAT BIMTEK IPASN BerAKHLASK</v>
      </c>
      <c r="P701" s="5" t="s">
        <v>6667</v>
      </c>
      <c r="Q701" s="5"/>
      <c r="R701" s="5"/>
      <c r="S701" s="5"/>
      <c r="T701" s="5" t="s">
        <v>6387</v>
      </c>
    </row>
    <row r="702">
      <c r="A702" s="4">
        <v>45534.32475165509</v>
      </c>
      <c r="B702" s="5" t="s">
        <v>34</v>
      </c>
      <c r="D702" s="5" t="s">
        <v>35</v>
      </c>
      <c r="E702" s="5" t="s">
        <v>6696</v>
      </c>
      <c r="F702" s="5" t="s">
        <v>72</v>
      </c>
      <c r="G702" s="5" t="s">
        <v>6697</v>
      </c>
      <c r="H702" s="6" t="s">
        <v>6698</v>
      </c>
      <c r="I702" s="7" t="s">
        <v>6699</v>
      </c>
      <c r="J702" s="8" t="str">
        <f>HYPERLINK("https://drive.google.com/file/d/1IlRqlao7qTjq2s1-6sEp1RKOiRjoHmsj/view?usp=drivesdk","ELSA MARDIAN, S.Si SERTIFIKAT BerAKHLAK")</f>
        <v>ELSA MARDIAN, S.Si SERTIFIKAT BerAKHLAK</v>
      </c>
      <c r="K702" s="5" t="s">
        <v>6237</v>
      </c>
      <c r="L702" s="5" t="s">
        <v>6700</v>
      </c>
      <c r="M702" s="5" t="s">
        <v>6701</v>
      </c>
      <c r="N702" s="7" t="s">
        <v>6702</v>
      </c>
      <c r="O702" s="8" t="str">
        <f>HYPERLINK("https://drive.google.com/file/d/1XUwYSomd4vzCQ0ffexBIu9A49VEctUXi/view?usp=drivesdk","701_ELSA MARDIAN, S.Si _ SERTIFIKAT BIMTEK IPASN BerAKHLASK")</f>
        <v>701_ELSA MARDIAN, S.Si _ SERTIFIKAT BIMTEK IPASN BerAKHLASK</v>
      </c>
      <c r="P702" s="5" t="s">
        <v>6703</v>
      </c>
      <c r="Q702" s="5"/>
      <c r="R702" s="5"/>
      <c r="S702" s="5"/>
      <c r="T702" s="5" t="s">
        <v>6387</v>
      </c>
    </row>
    <row r="703">
      <c r="A703" s="4">
        <v>45534.32476231482</v>
      </c>
      <c r="B703" s="5" t="s">
        <v>34</v>
      </c>
      <c r="D703" s="5" t="s">
        <v>35</v>
      </c>
      <c r="E703" s="5" t="s">
        <v>6704</v>
      </c>
      <c r="F703" s="5" t="s">
        <v>108</v>
      </c>
      <c r="G703" s="5" t="s">
        <v>6705</v>
      </c>
      <c r="H703" s="6" t="s">
        <v>6706</v>
      </c>
      <c r="I703" s="7" t="s">
        <v>6707</v>
      </c>
      <c r="J703" s="8" t="str">
        <f>HYPERLINK("https://drive.google.com/file/d/1oFyTrvUsXYzUbq38i9yOJDQAE58u64Lq/view?usp=drivesdk","LELY PUSPITA SARI,AMK SERTIFIKAT BerAKHLAK")</f>
        <v>LELY PUSPITA SARI,AMK SERTIFIKAT BerAKHLAK</v>
      </c>
      <c r="K703" s="5" t="s">
        <v>6237</v>
      </c>
      <c r="L703" s="5" t="s">
        <v>6708</v>
      </c>
      <c r="M703" s="5" t="s">
        <v>6709</v>
      </c>
      <c r="N703" s="7" t="s">
        <v>6710</v>
      </c>
      <c r="O703" s="8" t="str">
        <f>HYPERLINK("https://drive.google.com/file/d/1saGthpZ61bpK__65B36c0MMhGFOKkza5/view?usp=drivesdk","702_LELY PUSPITA SARI,AMK _ SERTIFIKAT BIMTEK IPASN BerAKHLASK")</f>
        <v>702_LELY PUSPITA SARI,AMK _ SERTIFIKAT BIMTEK IPASN BerAKHLASK</v>
      </c>
      <c r="P703" s="5" t="s">
        <v>6703</v>
      </c>
      <c r="Q703" s="5"/>
      <c r="R703" s="5"/>
      <c r="S703" s="5"/>
      <c r="T703" s="5" t="s">
        <v>6387</v>
      </c>
    </row>
    <row r="704">
      <c r="A704" s="4">
        <v>45534.32476267361</v>
      </c>
      <c r="B704" s="5" t="s">
        <v>34</v>
      </c>
      <c r="D704" s="5" t="s">
        <v>580</v>
      </c>
      <c r="E704" s="5" t="s">
        <v>6711</v>
      </c>
      <c r="F704" s="5" t="s">
        <v>37</v>
      </c>
      <c r="G704" s="5" t="s">
        <v>6712</v>
      </c>
      <c r="H704" s="6" t="s">
        <v>6713</v>
      </c>
      <c r="I704" s="7" t="s">
        <v>6714</v>
      </c>
      <c r="J704" s="8" t="str">
        <f>HYPERLINK("https://drive.google.com/file/d/1Nw-kCUy98cjT8BQU8SVzllUta-Gslcci/view?usp=drivesdk","RIA REVIANA AMD KEB SERTIFIKAT BerAKHLAK")</f>
        <v>RIA REVIANA AMD KEB SERTIFIKAT BerAKHLAK</v>
      </c>
      <c r="K704" s="5" t="s">
        <v>6237</v>
      </c>
      <c r="L704" s="5" t="s">
        <v>6715</v>
      </c>
      <c r="M704" s="5" t="s">
        <v>6716</v>
      </c>
      <c r="N704" s="7" t="s">
        <v>6717</v>
      </c>
      <c r="O704" s="8" t="str">
        <f>HYPERLINK("https://drive.google.com/file/d/11w_FwR8uAci-bSTUnjafJje2n2Xc2dAN/view?usp=drivesdk","703_RIA REVIANA AMD KEB _ SERTIFIKAT BIMTEK IPASN BerAKHLASK")</f>
        <v>703_RIA REVIANA AMD KEB _ SERTIFIKAT BIMTEK IPASN BerAKHLASK</v>
      </c>
      <c r="P704" s="5" t="s">
        <v>6703</v>
      </c>
      <c r="Q704" s="5"/>
      <c r="R704" s="5"/>
      <c r="S704" s="5"/>
      <c r="T704" s="5" t="s">
        <v>6387</v>
      </c>
    </row>
    <row r="705">
      <c r="A705" s="4">
        <v>45534.324768148144</v>
      </c>
      <c r="B705" s="5" t="s">
        <v>34</v>
      </c>
      <c r="D705" s="5" t="s">
        <v>1206</v>
      </c>
      <c r="E705" s="5" t="s">
        <v>6718</v>
      </c>
      <c r="F705" s="5" t="s">
        <v>37</v>
      </c>
      <c r="G705" s="5" t="s">
        <v>6719</v>
      </c>
      <c r="H705" s="6" t="s">
        <v>6720</v>
      </c>
      <c r="I705" s="7" t="s">
        <v>6721</v>
      </c>
      <c r="J705" s="8" t="str">
        <f>HYPERLINK("https://drive.google.com/file/d/1NSeH_henH08nUpxnEQG7TXTaE3v4juCz/view?usp=drivesdk","MOH SAIFUL ULUM  SERTIFIKAT BerAKHLAK")</f>
        <v>MOH SAIFUL ULUM  SERTIFIKAT BerAKHLAK</v>
      </c>
      <c r="K705" s="5" t="s">
        <v>6248</v>
      </c>
      <c r="L705" s="5" t="s">
        <v>6722</v>
      </c>
      <c r="M705" s="5" t="s">
        <v>6723</v>
      </c>
      <c r="N705" s="7" t="s">
        <v>6724</v>
      </c>
      <c r="O705" s="8" t="str">
        <f>HYPERLINK("https://drive.google.com/file/d/1iuDwOtK49MmbM0s8X2C1b0eTYP7irSVi/view?usp=drivesdk","704_MOH SAIFUL ULUM  _ SERTIFIKAT BIMTEK IPASN BerAKHLASK")</f>
        <v>704_MOH SAIFUL ULUM  _ SERTIFIKAT BIMTEK IPASN BerAKHLASK</v>
      </c>
      <c r="P705" s="5" t="s">
        <v>6703</v>
      </c>
      <c r="Q705" s="5"/>
      <c r="R705" s="5"/>
      <c r="S705" s="5"/>
      <c r="T705" s="5" t="s">
        <v>6387</v>
      </c>
    </row>
    <row r="706">
      <c r="A706" s="4">
        <v>45534.32478473379</v>
      </c>
      <c r="B706" s="5" t="s">
        <v>34</v>
      </c>
      <c r="D706" s="5" t="s">
        <v>4775</v>
      </c>
      <c r="E706" s="5" t="s">
        <v>6725</v>
      </c>
      <c r="F706" s="5" t="s">
        <v>37</v>
      </c>
      <c r="G706" s="5" t="s">
        <v>6726</v>
      </c>
      <c r="H706" s="6" t="s">
        <v>6727</v>
      </c>
      <c r="I706" s="7" t="s">
        <v>6728</v>
      </c>
      <c r="J706" s="8" t="str">
        <f>HYPERLINK("https://drive.google.com/file/d/1vEfTUxLwSu3_qorAkr223A7bIOuGlQEY/view?usp=drivesdk","TRIKA PUJI ASTUTI SERTIFIKAT BerAKHLAK")</f>
        <v>TRIKA PUJI ASTUTI SERTIFIKAT BerAKHLAK</v>
      </c>
      <c r="K706" s="5" t="s">
        <v>6198</v>
      </c>
      <c r="L706" s="5" t="s">
        <v>6729</v>
      </c>
      <c r="M706" s="5" t="s">
        <v>6730</v>
      </c>
      <c r="N706" s="7" t="s">
        <v>6731</v>
      </c>
      <c r="O706" s="8" t="str">
        <f>HYPERLINK("https://drive.google.com/file/d/1prMXLVsKlTpaI7nO98Qv7K-goMYN6pe1/view?usp=drivesdk","705_TRIKA PUJI ASTUTI _ SERTIFIKAT BIMTEK IPASN BerAKHLASK")</f>
        <v>705_TRIKA PUJI ASTUTI _ SERTIFIKAT BIMTEK IPASN BerAKHLASK</v>
      </c>
      <c r="P706" s="5" t="s">
        <v>6703</v>
      </c>
      <c r="Q706" s="5"/>
      <c r="R706" s="5"/>
      <c r="S706" s="5"/>
      <c r="T706" s="5" t="s">
        <v>6387</v>
      </c>
    </row>
    <row r="707">
      <c r="A707" s="4">
        <v>45534.324805798606</v>
      </c>
      <c r="B707" s="5" t="s">
        <v>34</v>
      </c>
      <c r="D707" s="5" t="s">
        <v>280</v>
      </c>
      <c r="E707" s="5" t="s">
        <v>6732</v>
      </c>
      <c r="F707" s="5" t="s">
        <v>120</v>
      </c>
      <c r="G707" s="5" t="s">
        <v>6733</v>
      </c>
      <c r="H707" s="6" t="s">
        <v>6734</v>
      </c>
      <c r="I707" s="7" t="s">
        <v>6735</v>
      </c>
      <c r="J707" s="8" t="str">
        <f>HYPERLINK("https://drive.google.com/file/d/17Hj8gEG82041RVPeZz-uNxEvTmjQsIhQ/view?usp=drivesdk","JULIANA MULOKO SERTIFIKAT BerAKHLAK")</f>
        <v>JULIANA MULOKO SERTIFIKAT BerAKHLAK</v>
      </c>
      <c r="K707" s="5" t="s">
        <v>6198</v>
      </c>
      <c r="L707" s="5" t="s">
        <v>6736</v>
      </c>
      <c r="M707" s="5" t="s">
        <v>6737</v>
      </c>
      <c r="N707" s="7" t="s">
        <v>6738</v>
      </c>
      <c r="O707" s="8" t="str">
        <f>HYPERLINK("https://drive.google.com/file/d/1GTCx_N-p_sarhpd4pH_y2YSjWtm0aLJ8/view?usp=drivesdk","706_JULIANA MULOKO _ SERTIFIKAT BIMTEK IPASN BerAKHLASK")</f>
        <v>706_JULIANA MULOKO _ SERTIFIKAT BIMTEK IPASN BerAKHLASK</v>
      </c>
      <c r="P707" s="5" t="s">
        <v>6739</v>
      </c>
      <c r="Q707" s="5"/>
      <c r="R707" s="5"/>
      <c r="S707" s="5"/>
      <c r="T707" s="5" t="s">
        <v>6387</v>
      </c>
    </row>
    <row r="708">
      <c r="A708" s="4">
        <v>45534.32482804398</v>
      </c>
      <c r="B708" s="5" t="s">
        <v>34</v>
      </c>
      <c r="D708" s="5" t="s">
        <v>1558</v>
      </c>
      <c r="E708" s="5" t="s">
        <v>6740</v>
      </c>
      <c r="F708" s="5" t="s">
        <v>524</v>
      </c>
      <c r="G708" s="5" t="s">
        <v>6741</v>
      </c>
      <c r="H708" s="6" t="s">
        <v>6742</v>
      </c>
      <c r="I708" s="7" t="s">
        <v>6743</v>
      </c>
      <c r="J708" s="8" t="str">
        <f>HYPERLINK("https://drive.google.com/file/d/16-XOpGgVCULls5UYelGEAOIG90MSfUnX/view?usp=drivesdk","YUDI ISMAWAN, Amd SERTIFIKAT BerAKHLAK")</f>
        <v>YUDI ISMAWAN, Amd SERTIFIKAT BerAKHLAK</v>
      </c>
      <c r="K708" s="5" t="s">
        <v>6237</v>
      </c>
      <c r="L708" s="5" t="s">
        <v>6744</v>
      </c>
      <c r="M708" s="5" t="s">
        <v>6745</v>
      </c>
      <c r="N708" s="7" t="s">
        <v>6746</v>
      </c>
      <c r="O708" s="8" t="str">
        <f>HYPERLINK("https://drive.google.com/file/d/1JaFXp3hQ_pRs8koq5dlpo4yMw2NdqqRL/view?usp=drivesdk","707_YUDI ISMAWAN, Amd _ SERTIFIKAT BIMTEK IPASN BerAKHLASK")</f>
        <v>707_YUDI ISMAWAN, Amd _ SERTIFIKAT BIMTEK IPASN BerAKHLASK</v>
      </c>
      <c r="P708" s="5" t="s">
        <v>6739</v>
      </c>
      <c r="Q708" s="5"/>
      <c r="R708" s="5"/>
      <c r="S708" s="5"/>
      <c r="T708" s="5" t="s">
        <v>6387</v>
      </c>
    </row>
    <row r="709">
      <c r="A709" s="4">
        <v>45534.32483104167</v>
      </c>
      <c r="B709" s="5" t="s">
        <v>34</v>
      </c>
      <c r="D709" s="5" t="s">
        <v>2903</v>
      </c>
      <c r="E709" s="5" t="s">
        <v>6747</v>
      </c>
      <c r="F709" s="5" t="s">
        <v>524</v>
      </c>
      <c r="G709" s="5" t="s">
        <v>6748</v>
      </c>
      <c r="H709" s="6" t="s">
        <v>6749</v>
      </c>
      <c r="I709" s="7" t="s">
        <v>6750</v>
      </c>
      <c r="J709" s="8" t="str">
        <f>HYPERLINK("https://drive.google.com/file/d/10cypDqkcaeVlTQ-jFWUlXHM6Bj6qf5Mx/view?usp=drivesdk","YULI FITRI HANDRIYANI SERTIFIKAT BerAKHLAK")</f>
        <v>YULI FITRI HANDRIYANI SERTIFIKAT BerAKHLAK</v>
      </c>
      <c r="K709" s="5" t="s">
        <v>6237</v>
      </c>
      <c r="L709" s="5" t="s">
        <v>6751</v>
      </c>
      <c r="M709" s="5" t="s">
        <v>6752</v>
      </c>
      <c r="N709" s="7" t="s">
        <v>6753</v>
      </c>
      <c r="O709" s="8" t="str">
        <f>HYPERLINK("https://drive.google.com/file/d/1gUwy3fBK5qlFZWTEY6Sr6QPr-702Z96F/view?usp=drivesdk","708_YULI FITRI HANDRIYANI _ SERTIFIKAT BIMTEK IPASN BerAKHLASK")</f>
        <v>708_YULI FITRI HANDRIYANI _ SERTIFIKAT BIMTEK IPASN BerAKHLASK</v>
      </c>
      <c r="P709" s="5" t="s">
        <v>6739</v>
      </c>
      <c r="Q709" s="5"/>
      <c r="R709" s="5"/>
      <c r="S709" s="5"/>
      <c r="T709" s="5" t="s">
        <v>6387</v>
      </c>
    </row>
    <row r="710">
      <c r="A710" s="4">
        <v>45534.324854108796</v>
      </c>
      <c r="B710" s="5" t="s">
        <v>34</v>
      </c>
      <c r="D710" s="5" t="s">
        <v>1206</v>
      </c>
      <c r="E710" s="5" t="s">
        <v>6754</v>
      </c>
      <c r="F710" s="5" t="s">
        <v>37</v>
      </c>
      <c r="G710" s="5" t="s">
        <v>6755</v>
      </c>
      <c r="H710" s="6" t="s">
        <v>6756</v>
      </c>
      <c r="I710" s="7" t="s">
        <v>6757</v>
      </c>
      <c r="J710" s="8" t="str">
        <f>HYPERLINK("https://drive.google.com/file/d/1-r0LnxQhjZ6pw1RbGMvpK0KrWdxhQQ7l/view?usp=drivesdk","YULI FATMAWATI SERTIFIKAT BerAKHLAK")</f>
        <v>YULI FATMAWATI SERTIFIKAT BerAKHLAK</v>
      </c>
      <c r="K710" s="5" t="s">
        <v>6237</v>
      </c>
      <c r="L710" s="5" t="s">
        <v>6758</v>
      </c>
      <c r="M710" s="5" t="s">
        <v>6759</v>
      </c>
      <c r="N710" s="7" t="s">
        <v>6760</v>
      </c>
      <c r="O710" s="8" t="str">
        <f>HYPERLINK("https://drive.google.com/file/d/1K85wI5zB8MzKCTixBZxfO6bF-JmxaxB5/view?usp=drivesdk","709_YULI FATMAWATI _ SERTIFIKAT BIMTEK IPASN BerAKHLASK")</f>
        <v>709_YULI FATMAWATI _ SERTIFIKAT BIMTEK IPASN BerAKHLASK</v>
      </c>
      <c r="P710" s="5" t="s">
        <v>6739</v>
      </c>
      <c r="Q710" s="5"/>
      <c r="R710" s="5"/>
      <c r="S710" s="5"/>
      <c r="T710" s="5" t="s">
        <v>6387</v>
      </c>
    </row>
    <row r="711">
      <c r="A711" s="4">
        <v>45534.32488770833</v>
      </c>
      <c r="B711" s="5" t="s">
        <v>34</v>
      </c>
      <c r="D711" s="5" t="s">
        <v>4775</v>
      </c>
      <c r="E711" s="5" t="s">
        <v>6761</v>
      </c>
      <c r="F711" s="5" t="s">
        <v>108</v>
      </c>
      <c r="G711" s="5" t="s">
        <v>6762</v>
      </c>
      <c r="H711" s="6" t="s">
        <v>6763</v>
      </c>
      <c r="I711" s="7" t="s">
        <v>6764</v>
      </c>
      <c r="J711" s="8" t="str">
        <f>HYPERLINK("https://drive.google.com/file/d/1qmYBgSP3Zz4aGzD1icv8JJDjSDICg6Y7/view?usp=drivesdk","RAHAYU KURNIAWATI, S. Kom. SERTIFIKAT BerAKHLAK")</f>
        <v>RAHAYU KURNIAWATI, S. Kom. SERTIFIKAT BerAKHLAK</v>
      </c>
      <c r="K711" s="5" t="s">
        <v>6237</v>
      </c>
      <c r="L711" s="5" t="s">
        <v>6765</v>
      </c>
      <c r="M711" s="5" t="s">
        <v>6766</v>
      </c>
      <c r="N711" s="7" t="s">
        <v>6767</v>
      </c>
      <c r="O711" s="8" t="str">
        <f>HYPERLINK("https://drive.google.com/file/d/1OzJY5bbq2mRmDdXPo4m0J5N75WfcL1uO/view?usp=drivesdk","710_RAHAYU KURNIAWATI, S. Kom. _ SERTIFIKAT BIMTEK IPASN BerAKHLASK")</f>
        <v>710_RAHAYU KURNIAWATI, S. Kom. _ SERTIFIKAT BIMTEK IPASN BerAKHLASK</v>
      </c>
      <c r="P711" s="5" t="s">
        <v>6739</v>
      </c>
      <c r="Q711" s="5"/>
      <c r="R711" s="5"/>
      <c r="S711" s="5"/>
      <c r="T711" s="5" t="s">
        <v>6387</v>
      </c>
    </row>
    <row r="712">
      <c r="A712" s="4">
        <v>45534.32489135417</v>
      </c>
      <c r="B712" s="5" t="s">
        <v>34</v>
      </c>
      <c r="D712" s="5" t="s">
        <v>267</v>
      </c>
      <c r="E712" s="5" t="s">
        <v>6768</v>
      </c>
      <c r="F712" s="5" t="s">
        <v>120</v>
      </c>
      <c r="G712" s="5" t="s">
        <v>6769</v>
      </c>
      <c r="H712" s="6" t="s">
        <v>6770</v>
      </c>
      <c r="I712" s="7" t="s">
        <v>6771</v>
      </c>
      <c r="J712" s="8" t="str">
        <f>HYPERLINK("https://drive.google.com/file/d/1p9LY_vuf0Ihr5xYDIIO3I4ZdGNvvQsgJ/view?usp=drivesdk","SISTHA WIDURI SUZAN, S.Si SERTIFIKAT BerAKHLAK")</f>
        <v>SISTHA WIDURI SUZAN, S.Si SERTIFIKAT BerAKHLAK</v>
      </c>
      <c r="K712" s="5" t="s">
        <v>6237</v>
      </c>
      <c r="L712" s="5" t="s">
        <v>6772</v>
      </c>
      <c r="M712" s="5" t="s">
        <v>6773</v>
      </c>
      <c r="N712" s="7" t="s">
        <v>6774</v>
      </c>
      <c r="O712" s="8" t="str">
        <f>HYPERLINK("https://drive.google.com/file/d/12ZRZMYNOLhAcpMzwwHoTcopXmXXBoK-x/view?usp=drivesdk","711_SISTHA WIDURI SUZAN, S.Si _ SERTIFIKAT BIMTEK IPASN BerAKHLASK")</f>
        <v>711_SISTHA WIDURI SUZAN, S.Si _ SERTIFIKAT BIMTEK IPASN BerAKHLASK</v>
      </c>
      <c r="P712" s="5" t="s">
        <v>6739</v>
      </c>
      <c r="Q712" s="5"/>
      <c r="R712" s="5"/>
      <c r="S712" s="5"/>
      <c r="T712" s="5" t="s">
        <v>6387</v>
      </c>
    </row>
    <row r="713" hidden="1">
      <c r="A713" s="4">
        <v>45534.32491115741</v>
      </c>
      <c r="B713" s="5" t="s">
        <v>19</v>
      </c>
      <c r="C713" s="5" t="s">
        <v>466</v>
      </c>
      <c r="E713" s="5" t="s">
        <v>6775</v>
      </c>
      <c r="F713" s="5" t="s">
        <v>6776</v>
      </c>
      <c r="G713" s="5" t="s">
        <v>6777</v>
      </c>
      <c r="H713" s="6" t="s">
        <v>6778</v>
      </c>
      <c r="I713" s="7" t="s">
        <v>6779</v>
      </c>
      <c r="J713" s="8" t="str">
        <f>HYPERLINK("https://drive.google.com/file/d/1L8RtUAvuAB5DKWa1ohZV6QIc092pYspN/view?usp=drivesdk","EKO BUDI RISWANTO SERTIFIKAT BerAKHLAK")</f>
        <v>EKO BUDI RISWANTO SERTIFIKAT BerAKHLAK</v>
      </c>
      <c r="K713" s="5" t="s">
        <v>6237</v>
      </c>
      <c r="L713" s="5" t="s">
        <v>6780</v>
      </c>
      <c r="M713" s="5" t="s">
        <v>6781</v>
      </c>
      <c r="N713" s="7" t="s">
        <v>6782</v>
      </c>
      <c r="O713" s="8" t="str">
        <f>HYPERLINK("https://drive.google.com/file/d/1vAIgsPlc_tlYUn4dwzr9DoPUcX4jlypJ/view?usp=drivesdk","712_EKO BUDI RISWANTO _ SERTIFIKAT BIMTEK IPASN BerAKHLASK")</f>
        <v>712_EKO BUDI RISWANTO _ SERTIFIKAT BIMTEK IPASN BerAKHLASK</v>
      </c>
      <c r="P713" s="5" t="s">
        <v>6783</v>
      </c>
      <c r="Q713" s="5"/>
      <c r="R713" s="5"/>
      <c r="S713" s="5"/>
      <c r="T713" s="5" t="s">
        <v>6387</v>
      </c>
    </row>
    <row r="714">
      <c r="A714" s="4">
        <v>45534.324911979165</v>
      </c>
      <c r="B714" s="5" t="s">
        <v>34</v>
      </c>
      <c r="D714" s="5" t="s">
        <v>280</v>
      </c>
      <c r="E714" s="5" t="s">
        <v>6784</v>
      </c>
      <c r="F714" s="5" t="s">
        <v>37</v>
      </c>
      <c r="G714" s="5" t="s">
        <v>6785</v>
      </c>
      <c r="H714" s="6" t="s">
        <v>6786</v>
      </c>
      <c r="I714" s="7" t="s">
        <v>6787</v>
      </c>
      <c r="J714" s="8" t="str">
        <f>HYPERLINK("https://drive.google.com/file/d/1KIs5oStktzuFGbtDpnuWXUUdZACr2vQ8/view?usp=drivesdk","MILDA FATHURRIZKIYAH GISMA, A.MD SERTIFIKAT BerAKHLAK")</f>
        <v>MILDA FATHURRIZKIYAH GISMA, A.MD SERTIFIKAT BerAKHLAK</v>
      </c>
      <c r="K714" s="5" t="s">
        <v>6237</v>
      </c>
      <c r="L714" s="5" t="s">
        <v>6788</v>
      </c>
      <c r="M714" s="5" t="s">
        <v>6789</v>
      </c>
      <c r="N714" s="7" t="s">
        <v>6790</v>
      </c>
      <c r="O714" s="8" t="str">
        <f>HYPERLINK("https://drive.google.com/file/d/1lwWU_DCyllRMjI5rGSvxdyjpiVMPF2RJ/view?usp=drivesdk","713_MILDA FATHURRIZKIYAH GISMA, A.MD _ SERTIFIKAT BIMTEK IPASN BerAKHLASK")</f>
        <v>713_MILDA FATHURRIZKIYAH GISMA, A.MD _ SERTIFIKAT BIMTEK IPASN BerAKHLASK</v>
      </c>
      <c r="P714" s="5" t="s">
        <v>6783</v>
      </c>
      <c r="Q714" s="5"/>
      <c r="R714" s="5"/>
      <c r="S714" s="5"/>
      <c r="T714" s="5" t="s">
        <v>6387</v>
      </c>
    </row>
    <row r="715">
      <c r="A715" s="4">
        <v>45534.3249452662</v>
      </c>
      <c r="B715" s="5" t="s">
        <v>34</v>
      </c>
      <c r="D715" s="5" t="s">
        <v>1206</v>
      </c>
      <c r="E715" s="5" t="s">
        <v>6791</v>
      </c>
      <c r="F715" s="5" t="s">
        <v>37</v>
      </c>
      <c r="G715" s="5" t="s">
        <v>6792</v>
      </c>
      <c r="H715" s="6" t="s">
        <v>6793</v>
      </c>
      <c r="I715" s="7" t="s">
        <v>6794</v>
      </c>
      <c r="J715" s="8" t="str">
        <f>HYPERLINK("https://drive.google.com/file/d/1khZt7uYUAjNiEYHi8kmgo0qS-Uh1XtH2/view?usp=drivesdk","DITA MIANINGSARI SERTIFIKAT BerAKHLAK")</f>
        <v>DITA MIANINGSARI SERTIFIKAT BerAKHLAK</v>
      </c>
      <c r="K715" s="5" t="s">
        <v>6237</v>
      </c>
      <c r="L715" s="5" t="s">
        <v>6795</v>
      </c>
      <c r="M715" s="5" t="s">
        <v>6796</v>
      </c>
      <c r="N715" s="7" t="s">
        <v>6797</v>
      </c>
      <c r="O715" s="8" t="str">
        <f>HYPERLINK("https://drive.google.com/file/d/1fVydC041sF9LKlQWEcIoPw3j5R6wOZxs/view?usp=drivesdk","714_DITA MIANINGSARI _ SERTIFIKAT BIMTEK IPASN BerAKHLASK")</f>
        <v>714_DITA MIANINGSARI _ SERTIFIKAT BIMTEK IPASN BerAKHLASK</v>
      </c>
      <c r="P715" s="5" t="s">
        <v>6783</v>
      </c>
      <c r="Q715" s="5"/>
      <c r="R715" s="5"/>
      <c r="S715" s="5"/>
      <c r="T715" s="5" t="s">
        <v>6387</v>
      </c>
    </row>
    <row r="716">
      <c r="A716" s="4">
        <v>45534.32494600695</v>
      </c>
      <c r="B716" s="5" t="s">
        <v>34</v>
      </c>
      <c r="D716" s="5" t="s">
        <v>580</v>
      </c>
      <c r="E716" s="5" t="s">
        <v>6798</v>
      </c>
      <c r="F716" s="5" t="s">
        <v>72</v>
      </c>
      <c r="G716" s="5" t="s">
        <v>6799</v>
      </c>
      <c r="H716" s="6" t="s">
        <v>6800</v>
      </c>
      <c r="I716" s="7" t="s">
        <v>6801</v>
      </c>
      <c r="J716" s="8" t="str">
        <f>HYPERLINK("https://drive.google.com/file/d/1ePt073qEIY0ksS5LXlpiX_xlrdRY8P2t/view?usp=drivesdk","NI WAYAN LARASATI SERTIFIKAT BerAKHLAK")</f>
        <v>NI WAYAN LARASATI SERTIFIKAT BerAKHLAK</v>
      </c>
      <c r="K716" s="5" t="s">
        <v>6237</v>
      </c>
      <c r="L716" s="5" t="s">
        <v>6802</v>
      </c>
      <c r="M716" s="5" t="s">
        <v>6803</v>
      </c>
      <c r="N716" s="7" t="s">
        <v>6804</v>
      </c>
      <c r="O716" s="8" t="str">
        <f>HYPERLINK("https://drive.google.com/file/d/1Ca9bQsP1ISiupxtQ8DYYvC7mZP9kjuKb/view?usp=drivesdk","715_NI WAYAN LARASATI _ SERTIFIKAT BIMTEK IPASN BerAKHLASK")</f>
        <v>715_NI WAYAN LARASATI _ SERTIFIKAT BIMTEK IPASN BerAKHLASK</v>
      </c>
      <c r="P716" s="5" t="s">
        <v>6783</v>
      </c>
      <c r="Q716" s="5"/>
      <c r="R716" s="5"/>
      <c r="S716" s="5"/>
      <c r="T716" s="5" t="s">
        <v>6387</v>
      </c>
    </row>
    <row r="717">
      <c r="A717" s="4">
        <v>45534.32495422453</v>
      </c>
      <c r="B717" s="5" t="s">
        <v>34</v>
      </c>
      <c r="D717" s="5" t="s">
        <v>4775</v>
      </c>
      <c r="E717" s="5" t="s">
        <v>6805</v>
      </c>
      <c r="F717" s="5" t="s">
        <v>212</v>
      </c>
      <c r="G717" s="5" t="s">
        <v>6806</v>
      </c>
      <c r="H717" s="6" t="s">
        <v>6807</v>
      </c>
      <c r="I717" s="7" t="s">
        <v>6808</v>
      </c>
      <c r="J717" s="8" t="str">
        <f>HYPERLINK("https://drive.google.com/file/d/1YCthsXqyBKWD3jqPxcmzvwyh0JKrqt05/view?usp=drivesdk","SAFITRI EKA SARI SERTIFIKAT BerAKHLAK")</f>
        <v>SAFITRI EKA SARI SERTIFIKAT BerAKHLAK</v>
      </c>
      <c r="K717" s="5" t="s">
        <v>6237</v>
      </c>
      <c r="L717" s="5" t="s">
        <v>6809</v>
      </c>
      <c r="M717" s="5" t="s">
        <v>6810</v>
      </c>
      <c r="N717" s="7" t="s">
        <v>6811</v>
      </c>
      <c r="O717" s="8" t="str">
        <f>HYPERLINK("https://drive.google.com/file/d/1SqpD6M7iQmyjwxG2ZyvruNctwM6Lojaw/view?usp=drivesdk","716_SAFITRI EKA SARI _ SERTIFIKAT BIMTEK IPASN BerAKHLASK")</f>
        <v>716_SAFITRI EKA SARI _ SERTIFIKAT BIMTEK IPASN BerAKHLASK</v>
      </c>
      <c r="P717" s="5" t="s">
        <v>6783</v>
      </c>
      <c r="Q717" s="5"/>
      <c r="R717" s="5"/>
      <c r="S717" s="5"/>
      <c r="T717" s="5" t="s">
        <v>6387</v>
      </c>
    </row>
    <row r="718">
      <c r="A718" s="4">
        <v>45534.32495538195</v>
      </c>
      <c r="B718" s="5" t="s">
        <v>34</v>
      </c>
      <c r="D718" s="5" t="s">
        <v>2903</v>
      </c>
      <c r="E718" s="5" t="s">
        <v>6812</v>
      </c>
      <c r="F718" s="5" t="s">
        <v>72</v>
      </c>
      <c r="G718" s="5" t="s">
        <v>6813</v>
      </c>
      <c r="H718" s="6" t="s">
        <v>6814</v>
      </c>
      <c r="I718" s="7" t="s">
        <v>6815</v>
      </c>
      <c r="J718" s="8" t="str">
        <f>HYPERLINK("https://drive.google.com/file/d/1EGfsIxdJc9hP5ffxwKQQzxfPFcCEmOdM/view?usp=drivesdk","SRI MULYA NINGSIH SERTIFIKAT BerAKHLAK")</f>
        <v>SRI MULYA NINGSIH SERTIFIKAT BerAKHLAK</v>
      </c>
      <c r="K718" s="5" t="s">
        <v>6237</v>
      </c>
      <c r="L718" s="5" t="s">
        <v>6816</v>
      </c>
      <c r="M718" s="5" t="s">
        <v>6817</v>
      </c>
      <c r="N718" s="7" t="s">
        <v>6818</v>
      </c>
      <c r="O718" s="8" t="str">
        <f>HYPERLINK("https://drive.google.com/file/d/17JOkNQZLU2RUkrzS-Q43Apx4yIB79wfq/view?usp=drivesdk","717_SRI MULYA NINGSIH _ SERTIFIKAT BIMTEK IPASN BerAKHLASK")</f>
        <v>717_SRI MULYA NINGSIH _ SERTIFIKAT BIMTEK IPASN BerAKHLASK</v>
      </c>
      <c r="P718" s="5" t="s">
        <v>6783</v>
      </c>
      <c r="Q718" s="5"/>
      <c r="R718" s="5"/>
      <c r="S718" s="5"/>
      <c r="T718" s="5" t="s">
        <v>6387</v>
      </c>
    </row>
    <row r="719">
      <c r="A719" s="4">
        <v>45534.32497721065</v>
      </c>
      <c r="B719" s="5" t="s">
        <v>34</v>
      </c>
      <c r="D719" s="5" t="s">
        <v>1768</v>
      </c>
      <c r="E719" s="5" t="s">
        <v>6819</v>
      </c>
      <c r="F719" s="5" t="s">
        <v>375</v>
      </c>
      <c r="G719" s="5" t="s">
        <v>6820</v>
      </c>
      <c r="H719" s="6" t="s">
        <v>6821</v>
      </c>
      <c r="I719" s="7" t="s">
        <v>6822</v>
      </c>
      <c r="J719" s="8" t="str">
        <f>HYPERLINK("https://drive.google.com/file/d/1quTDtOhek596_39htomocEUuFgpl5qb9/view?usp=drivesdk","DEWI ASTUTI, SKEP SERTIFIKAT BerAKHLAK")</f>
        <v>DEWI ASTUTI, SKEP SERTIFIKAT BerAKHLAK</v>
      </c>
      <c r="K719" s="5" t="s">
        <v>6237</v>
      </c>
      <c r="L719" s="5" t="s">
        <v>6823</v>
      </c>
      <c r="M719" s="5" t="s">
        <v>6824</v>
      </c>
      <c r="N719" s="7" t="s">
        <v>6825</v>
      </c>
      <c r="O719" s="8" t="str">
        <f>HYPERLINK("https://drive.google.com/file/d/1VGyUQYZB1Xftuocfrxjydnicqcg7Ye-4/view?usp=drivesdk","718_DEWI ASTUTI, SKEP _ SERTIFIKAT BIMTEK IPASN BerAKHLASK")</f>
        <v>718_DEWI ASTUTI, SKEP _ SERTIFIKAT BIMTEK IPASN BerAKHLASK</v>
      </c>
      <c r="P719" s="5" t="s">
        <v>6826</v>
      </c>
      <c r="Q719" s="5"/>
      <c r="R719" s="5"/>
      <c r="S719" s="5"/>
      <c r="T719" s="5" t="s">
        <v>6387</v>
      </c>
    </row>
    <row r="720">
      <c r="A720" s="4">
        <v>45534.32500557871</v>
      </c>
      <c r="B720" s="5" t="s">
        <v>34</v>
      </c>
      <c r="D720" s="5" t="s">
        <v>2903</v>
      </c>
      <c r="E720" s="5" t="s">
        <v>6827</v>
      </c>
      <c r="F720" s="5" t="s">
        <v>524</v>
      </c>
      <c r="G720" s="5" t="s">
        <v>6828</v>
      </c>
      <c r="H720" s="6" t="s">
        <v>6829</v>
      </c>
      <c r="I720" s="7" t="s">
        <v>6830</v>
      </c>
      <c r="J720" s="8" t="str">
        <f>HYPERLINK("https://drive.google.com/file/d/1JDdldS1O2slAnPoQjvuC3-qskdUG0AMH/view?usp=drivesdk","YENNI ROSMAWATI,S.KM SERTIFIKAT BerAKHLAK")</f>
        <v>YENNI ROSMAWATI,S.KM SERTIFIKAT BerAKHLAK</v>
      </c>
      <c r="K720" s="5" t="s">
        <v>6237</v>
      </c>
      <c r="L720" s="5" t="s">
        <v>6831</v>
      </c>
      <c r="M720" s="5" t="s">
        <v>6832</v>
      </c>
      <c r="N720" s="7" t="s">
        <v>6833</v>
      </c>
      <c r="O720" s="8" t="str">
        <f>HYPERLINK("https://drive.google.com/file/d/1x-DBmmZEtExqR8JRMrqld4LFlAVfE_DN/view?usp=drivesdk","719_YENNI ROSMAWATI,S.KM _ SERTIFIKAT BIMTEK IPASN BerAKHLASK")</f>
        <v>719_YENNI ROSMAWATI,S.KM _ SERTIFIKAT BIMTEK IPASN BerAKHLASK</v>
      </c>
      <c r="P720" s="5" t="s">
        <v>6826</v>
      </c>
      <c r="Q720" s="5"/>
      <c r="R720" s="5"/>
      <c r="S720" s="5"/>
      <c r="T720" s="5" t="s">
        <v>6387</v>
      </c>
    </row>
    <row r="721">
      <c r="A721" s="4">
        <v>45534.32503158565</v>
      </c>
      <c r="B721" s="5" t="s">
        <v>34</v>
      </c>
      <c r="D721" s="5" t="s">
        <v>362</v>
      </c>
      <c r="E721" s="5" t="s">
        <v>6834</v>
      </c>
      <c r="F721" s="5" t="s">
        <v>524</v>
      </c>
      <c r="G721" s="5" t="s">
        <v>6835</v>
      </c>
      <c r="H721" s="6" t="s">
        <v>6836</v>
      </c>
      <c r="I721" s="7" t="s">
        <v>6837</v>
      </c>
      <c r="J721" s="8" t="str">
        <f>HYPERLINK("https://drive.google.com/file/d/1yPD3eiRmoClOfysynX56IMXM2iLaAL05/view?usp=drivesdk","PECKY JEAN TAMAROLA, A.md.Kep SERTIFIKAT BerAKHLAK")</f>
        <v>PECKY JEAN TAMAROLA, A.md.Kep SERTIFIKAT BerAKHLAK</v>
      </c>
      <c r="K721" s="5" t="s">
        <v>6237</v>
      </c>
      <c r="L721" s="5" t="s">
        <v>6838</v>
      </c>
      <c r="M721" s="5" t="s">
        <v>6839</v>
      </c>
      <c r="N721" s="7" t="s">
        <v>6840</v>
      </c>
      <c r="O721" s="8" t="str">
        <f>HYPERLINK("https://drive.google.com/file/d/1TI06ihW9FYsNHmiiwk1e-XHVR1JmZYTj/view?usp=drivesdk","720_PECKY JEAN TAMAROLA, A.md.Kep _ SERTIFIKAT BIMTEK IPASN BerAKHLASK")</f>
        <v>720_PECKY JEAN TAMAROLA, A.md.Kep _ SERTIFIKAT BIMTEK IPASN BerAKHLASK</v>
      </c>
      <c r="P721" s="5" t="s">
        <v>6826</v>
      </c>
      <c r="Q721" s="5"/>
      <c r="R721" s="5"/>
      <c r="S721" s="5"/>
      <c r="T721" s="5" t="s">
        <v>6387</v>
      </c>
    </row>
    <row r="722">
      <c r="A722" s="4">
        <v>45534.32505836806</v>
      </c>
      <c r="B722" s="5" t="s">
        <v>34</v>
      </c>
      <c r="D722" s="5" t="s">
        <v>580</v>
      </c>
      <c r="E722" s="5" t="s">
        <v>6841</v>
      </c>
      <c r="F722" s="5" t="s">
        <v>120</v>
      </c>
      <c r="G722" s="5" t="s">
        <v>6842</v>
      </c>
      <c r="H722" s="6" t="s">
        <v>6843</v>
      </c>
      <c r="I722" s="7" t="s">
        <v>6844</v>
      </c>
      <c r="J722" s="8" t="str">
        <f>HYPERLINK("https://drive.google.com/file/d/1dqDdmzq-mVApLrAYug7DVO5gznO4yC5X/view?usp=drivesdk","DRH. PUTU MULIARTA SERTIFIKAT BerAKHLAK")</f>
        <v>DRH. PUTU MULIARTA SERTIFIKAT BerAKHLAK</v>
      </c>
      <c r="K722" s="5" t="s">
        <v>6237</v>
      </c>
      <c r="L722" s="5" t="s">
        <v>6845</v>
      </c>
      <c r="M722" s="5" t="s">
        <v>6846</v>
      </c>
      <c r="N722" s="7" t="s">
        <v>6847</v>
      </c>
      <c r="O722" s="8" t="str">
        <f>HYPERLINK("https://drive.google.com/file/d/1MO8b8M7O8qpT9ZJqF5NXtV5LAReBit0s/view?usp=drivesdk","721_DRH. PUTU MULIARTA _ SERTIFIKAT BIMTEK IPASN BerAKHLASK")</f>
        <v>721_DRH. PUTU MULIARTA _ SERTIFIKAT BIMTEK IPASN BerAKHLASK</v>
      </c>
      <c r="P722" s="5" t="s">
        <v>6826</v>
      </c>
      <c r="Q722" s="5"/>
      <c r="R722" s="5"/>
      <c r="S722" s="5"/>
      <c r="T722" s="5" t="s">
        <v>6387</v>
      </c>
    </row>
    <row r="723">
      <c r="A723" s="4">
        <v>45534.32508699074</v>
      </c>
      <c r="B723" s="5" t="s">
        <v>34</v>
      </c>
      <c r="D723" s="5" t="s">
        <v>35</v>
      </c>
      <c r="E723" s="5" t="s">
        <v>6848</v>
      </c>
      <c r="F723" s="5" t="s">
        <v>37</v>
      </c>
      <c r="G723" s="5" t="s">
        <v>6849</v>
      </c>
      <c r="H723" s="6" t="s">
        <v>6850</v>
      </c>
      <c r="I723" s="7" t="s">
        <v>6851</v>
      </c>
      <c r="J723" s="8" t="str">
        <f>HYPERLINK("https://drive.google.com/file/d/1ZI3WUapRAuyaziBJJnNAWS9dkeBsb0X8/view?usp=drivesdk","MOCH NURFIKIH SERTIFIKAT BerAKHLAK")</f>
        <v>MOCH NURFIKIH SERTIFIKAT BerAKHLAK</v>
      </c>
      <c r="K723" s="5" t="s">
        <v>6237</v>
      </c>
      <c r="L723" s="5" t="s">
        <v>6852</v>
      </c>
      <c r="M723" s="5" t="s">
        <v>6853</v>
      </c>
      <c r="N723" s="7" t="s">
        <v>6854</v>
      </c>
      <c r="O723" s="8" t="str">
        <f>HYPERLINK("https://drive.google.com/file/d/1W4TWRWcF-lT2lX_R8fNgmVX1jd42lkit/view?usp=drivesdk","722_MOCH NURFIKIH _ SERTIFIKAT BIMTEK IPASN BerAKHLASK")</f>
        <v>722_MOCH NURFIKIH _ SERTIFIKAT BIMTEK IPASN BerAKHLASK</v>
      </c>
      <c r="P723" s="5" t="s">
        <v>6826</v>
      </c>
      <c r="Q723" s="5"/>
      <c r="R723" s="5"/>
      <c r="S723" s="5"/>
      <c r="T723" s="5" t="s">
        <v>6387</v>
      </c>
    </row>
    <row r="724">
      <c r="A724" s="4">
        <v>45534.32509430556</v>
      </c>
      <c r="B724" s="5" t="s">
        <v>34</v>
      </c>
      <c r="D724" s="5" t="s">
        <v>35</v>
      </c>
      <c r="E724" s="5" t="s">
        <v>6855</v>
      </c>
      <c r="F724" s="5" t="s">
        <v>108</v>
      </c>
      <c r="G724" s="5" t="s">
        <v>6856</v>
      </c>
      <c r="H724" s="6" t="s">
        <v>6857</v>
      </c>
      <c r="I724" s="7" t="s">
        <v>6858</v>
      </c>
      <c r="J724" s="8" t="str">
        <f>HYPERLINK("https://drive.google.com/file/d/1VHKMRnMfj26gOZHmwqDl5gNqqe-KCm_o/view?usp=drivesdk","YANA MULYANA, S.Kom SERTIFIKAT BerAKHLAK")</f>
        <v>YANA MULYANA, S.Kom SERTIFIKAT BerAKHLAK</v>
      </c>
      <c r="K724" s="5" t="s">
        <v>6237</v>
      </c>
      <c r="L724" s="5" t="s">
        <v>6859</v>
      </c>
      <c r="M724" s="5" t="s">
        <v>6860</v>
      </c>
      <c r="N724" s="7" t="s">
        <v>6861</v>
      </c>
      <c r="O724" s="8" t="str">
        <f>HYPERLINK("https://drive.google.com/file/d/1WlpK_aT-RSaut6gCWVOw34r6xG1C9co8/view?usp=drivesdk","723_YANA MULYANA, S.Kom _ SERTIFIKAT BIMTEK IPASN BerAKHLASK")</f>
        <v>723_YANA MULYANA, S.Kom _ SERTIFIKAT BIMTEK IPASN BerAKHLASK</v>
      </c>
      <c r="P724" s="5" t="s">
        <v>6826</v>
      </c>
      <c r="Q724" s="5"/>
      <c r="R724" s="5"/>
      <c r="S724" s="5"/>
      <c r="T724" s="5" t="s">
        <v>6387</v>
      </c>
    </row>
    <row r="725">
      <c r="A725" s="4">
        <v>45534.32510223379</v>
      </c>
      <c r="B725" s="5" t="s">
        <v>34</v>
      </c>
      <c r="D725" s="5" t="s">
        <v>4775</v>
      </c>
      <c r="E725" s="5" t="s">
        <v>6862</v>
      </c>
      <c r="F725" s="5" t="s">
        <v>212</v>
      </c>
      <c r="G725" s="5" t="s">
        <v>6863</v>
      </c>
      <c r="H725" s="6" t="s">
        <v>6864</v>
      </c>
      <c r="I725" s="7" t="s">
        <v>6865</v>
      </c>
      <c r="J725" s="8" t="str">
        <f>HYPERLINK("https://drive.google.com/file/d/1RtYmO98M20Pa1kZTF-V587SWUmlQgVDv/view?usp=drivesdk","AHSANUL FITRI SERTIFIKAT BerAKHLAK")</f>
        <v>AHSANUL FITRI SERTIFIKAT BerAKHLAK</v>
      </c>
      <c r="K725" s="5" t="s">
        <v>6237</v>
      </c>
      <c r="L725" s="5" t="s">
        <v>6866</v>
      </c>
      <c r="M725" s="5" t="s">
        <v>6867</v>
      </c>
      <c r="N725" s="7" t="s">
        <v>6868</v>
      </c>
      <c r="O725" s="8" t="str">
        <f>HYPERLINK("https://drive.google.com/file/d/1Pc7fXp3svUbYm5Y66AKmKaka21ZA_Gys/view?usp=drivesdk","724_AHSANUL FITRI _ SERTIFIKAT BIMTEK IPASN BerAKHLASK")</f>
        <v>724_AHSANUL FITRI _ SERTIFIKAT BIMTEK IPASN BerAKHLASK</v>
      </c>
      <c r="P725" s="5" t="s">
        <v>6869</v>
      </c>
      <c r="Q725" s="5"/>
      <c r="R725" s="5"/>
      <c r="S725" s="5"/>
      <c r="T725" s="5" t="s">
        <v>6387</v>
      </c>
    </row>
    <row r="726">
      <c r="A726" s="4">
        <v>45534.325131562495</v>
      </c>
      <c r="B726" s="5" t="s">
        <v>34</v>
      </c>
      <c r="D726" s="5" t="s">
        <v>1456</v>
      </c>
      <c r="E726" s="5" t="s">
        <v>6870</v>
      </c>
      <c r="F726" s="5" t="s">
        <v>120</v>
      </c>
      <c r="G726" s="5" t="s">
        <v>6871</v>
      </c>
      <c r="H726" s="6" t="s">
        <v>6872</v>
      </c>
      <c r="I726" s="7" t="s">
        <v>6873</v>
      </c>
      <c r="J726" s="8" t="str">
        <f>HYPERLINK("https://drive.google.com/file/d/1p7s70Np8Qu-DCI0sI2RPjo5tr-_P1tRm/view?usp=drivesdk","EMI ZULKARNAIN, S.E., M.M SERTIFIKAT BerAKHLAK")</f>
        <v>EMI ZULKARNAIN, S.E., M.M SERTIFIKAT BerAKHLAK</v>
      </c>
      <c r="K726" s="5" t="s">
        <v>6237</v>
      </c>
      <c r="L726" s="5" t="s">
        <v>6874</v>
      </c>
      <c r="M726" s="5" t="s">
        <v>6875</v>
      </c>
      <c r="N726" s="7" t="s">
        <v>6876</v>
      </c>
      <c r="O726" s="8" t="str">
        <f>HYPERLINK("https://drive.google.com/file/d/1QYIvc6RoMFpeeCmoBhpi_3fs84V1adYT/view?usp=drivesdk","725_EMI ZULKARNAIN, S.E., M.M _ SERTIFIKAT BIMTEK IPASN BerAKHLASK")</f>
        <v>725_EMI ZULKARNAIN, S.E., M.M _ SERTIFIKAT BIMTEK IPASN BerAKHLASK</v>
      </c>
      <c r="P726" s="5" t="s">
        <v>6869</v>
      </c>
      <c r="Q726" s="5"/>
      <c r="R726" s="5"/>
      <c r="S726" s="5"/>
      <c r="T726" s="5" t="s">
        <v>6387</v>
      </c>
    </row>
    <row r="727" hidden="1">
      <c r="A727" s="4">
        <v>45534.32514716435</v>
      </c>
      <c r="B727" s="5" t="s">
        <v>19</v>
      </c>
      <c r="C727" s="5" t="s">
        <v>5058</v>
      </c>
      <c r="E727" s="5" t="s">
        <v>6877</v>
      </c>
      <c r="F727" s="5" t="s">
        <v>72</v>
      </c>
      <c r="G727" s="5" t="s">
        <v>6878</v>
      </c>
      <c r="H727" s="6" t="s">
        <v>6879</v>
      </c>
      <c r="K727" s="5" t="s">
        <v>6880</v>
      </c>
      <c r="M727" s="5" t="s">
        <v>6881</v>
      </c>
      <c r="N727" s="7" t="s">
        <v>6882</v>
      </c>
      <c r="O727" s="8" t="str">
        <f>HYPERLINK("https://drive.google.com/file/d/1K0OuCC12jFJ3q-n6goVkvD2Rnx0Yn2vU/view?usp=drivesdk","726_SITI YULIYANTI, AM.d _ SERTIFIKAT BIMTEK IPASN BerAKHLASK")</f>
        <v>726_SITI YULIYANTI, AM.d _ SERTIFIKAT BIMTEK IPASN BerAKHLASK</v>
      </c>
      <c r="P727" s="5" t="s">
        <v>6869</v>
      </c>
      <c r="Q727" s="5"/>
      <c r="R727" s="5"/>
      <c r="S727" s="5"/>
      <c r="T727" s="5" t="s">
        <v>6387</v>
      </c>
    </row>
    <row r="728">
      <c r="A728" s="4">
        <v>45534.325161886576</v>
      </c>
      <c r="B728" s="5" t="s">
        <v>34</v>
      </c>
      <c r="D728" s="5" t="s">
        <v>4775</v>
      </c>
      <c r="E728" s="5" t="s">
        <v>6883</v>
      </c>
      <c r="F728" s="5" t="s">
        <v>72</v>
      </c>
      <c r="G728" s="5" t="s">
        <v>6884</v>
      </c>
      <c r="H728" s="6" t="s">
        <v>6885</v>
      </c>
      <c r="I728" s="7" t="s">
        <v>6886</v>
      </c>
      <c r="J728" s="8" t="str">
        <f>HYPERLINK("https://drive.google.com/file/d/1oVV9kIXtIPio6kFHUxAo6QeHZB1VlTYD/view?usp=drivesdk","KHOIRUN NISAK  SERTIFIKAT BerAKHLAK")</f>
        <v>KHOIRUN NISAK  SERTIFIKAT BerAKHLAK</v>
      </c>
      <c r="K728" s="5" t="s">
        <v>6237</v>
      </c>
      <c r="L728" s="5" t="s">
        <v>6887</v>
      </c>
      <c r="M728" s="5" t="s">
        <v>6888</v>
      </c>
      <c r="N728" s="7" t="s">
        <v>6889</v>
      </c>
      <c r="O728" s="8" t="str">
        <f>HYPERLINK("https://drive.google.com/file/d/1OUrueWeWT0COLNRDRW4TVx4xh9noZMM_/view?usp=drivesdk","727_KHOIRUN NISAK  _ SERTIFIKAT BIMTEK IPASN BerAKHLASK")</f>
        <v>727_KHOIRUN NISAK  _ SERTIFIKAT BIMTEK IPASN BerAKHLASK</v>
      </c>
      <c r="P728" s="5" t="s">
        <v>6869</v>
      </c>
      <c r="Q728" s="5" t="s">
        <v>6890</v>
      </c>
      <c r="R728" s="7" t="s">
        <v>6891</v>
      </c>
      <c r="S728" s="7" t="str">
        <f>HYPERLINK("https://drive.google.com/file/d/1j1QpiOgdsT-0jdkLDkBAWWwhbqS01Ob_/view?usp=drivesdk","727_KHOIRUN NISAK  SERTIFIKAT BIMTEK IPASN-BerAKHLAK")</f>
        <v>727_KHOIRUN NISAK  SERTIFIKAT BIMTEK IPASN-BerAKHLAK</v>
      </c>
      <c r="T728" s="5" t="s">
        <v>6892</v>
      </c>
    </row>
    <row r="729">
      <c r="A729" s="4">
        <v>45534.325168599535</v>
      </c>
      <c r="B729" s="5" t="s">
        <v>34</v>
      </c>
      <c r="D729" s="5" t="s">
        <v>267</v>
      </c>
      <c r="E729" s="5" t="s">
        <v>6893</v>
      </c>
      <c r="F729" s="5" t="s">
        <v>212</v>
      </c>
      <c r="G729" s="5" t="s">
        <v>6894</v>
      </c>
      <c r="H729" s="6" t="s">
        <v>6895</v>
      </c>
      <c r="I729" s="7" t="s">
        <v>6896</v>
      </c>
      <c r="J729" s="8" t="str">
        <f>HYPERLINK("https://drive.google.com/file/d/1wUdRPAmatAn-5OXuAgbI7lgdPHwVHaI2/view?usp=drivesdk","NANIK SULISTIYANI SERTIFIKAT BerAKHLAK")</f>
        <v>NANIK SULISTIYANI SERTIFIKAT BerAKHLAK</v>
      </c>
      <c r="K729" s="5" t="s">
        <v>6237</v>
      </c>
      <c r="L729" s="5" t="s">
        <v>6897</v>
      </c>
      <c r="M729" s="5" t="s">
        <v>6898</v>
      </c>
      <c r="N729" s="7" t="s">
        <v>6899</v>
      </c>
      <c r="O729" s="8" t="str">
        <f>HYPERLINK("https://drive.google.com/file/d/1ABGssTWwt2542uSvp4EnKuI2RuN4HHxF/view?usp=drivesdk","728_NANIK SULISTIYANI _ SERTIFIKAT BIMTEK IPASN BerAKHLASK")</f>
        <v>728_NANIK SULISTIYANI _ SERTIFIKAT BIMTEK IPASN BerAKHLASK</v>
      </c>
      <c r="P729" s="5" t="s">
        <v>6869</v>
      </c>
      <c r="Q729" s="5" t="s">
        <v>6900</v>
      </c>
      <c r="R729" s="7" t="s">
        <v>6901</v>
      </c>
      <c r="S729" s="7" t="str">
        <f>HYPERLINK("https://drive.google.com/file/d/1aoOE-pIbMxV6dtHEFWHCO9wgXO9W8yx9/view?usp=drivesdk","728_NANIK SULISTIYANI SERTIFIKAT BIMTEK IPASN-BerAKHLAK")</f>
        <v>728_NANIK SULISTIYANI SERTIFIKAT BIMTEK IPASN-BerAKHLAK</v>
      </c>
      <c r="T729" s="5" t="s">
        <v>6902</v>
      </c>
    </row>
    <row r="730">
      <c r="A730" s="4">
        <v>45534.32518315972</v>
      </c>
      <c r="B730" s="5" t="s">
        <v>34</v>
      </c>
      <c r="D730" s="5" t="s">
        <v>4775</v>
      </c>
      <c r="E730" s="5" t="s">
        <v>6903</v>
      </c>
      <c r="F730" s="5" t="s">
        <v>120</v>
      </c>
      <c r="G730" s="5" t="s">
        <v>6904</v>
      </c>
      <c r="H730" s="6" t="s">
        <v>6905</v>
      </c>
      <c r="I730" s="7" t="s">
        <v>6906</v>
      </c>
      <c r="J730" s="8" t="str">
        <f>HYPERLINK("https://drive.google.com/file/d/1J9mG70Rk2cfSUqs_JGR6NpxysDibsBKk/view?usp=drivesdk","INTAN YULIYATI, S.Psi.,M.Si SERTIFIKAT BerAKHLAK")</f>
        <v>INTAN YULIYATI, S.Psi.,M.Si SERTIFIKAT BerAKHLAK</v>
      </c>
      <c r="K730" s="5" t="s">
        <v>6237</v>
      </c>
      <c r="L730" s="5" t="s">
        <v>6907</v>
      </c>
      <c r="M730" s="5" t="s">
        <v>6908</v>
      </c>
      <c r="N730" s="7" t="s">
        <v>6909</v>
      </c>
      <c r="O730" s="8" t="str">
        <f>HYPERLINK("https://drive.google.com/file/d/1J1of75S8PCOZxGYzEDeGijM3GsStFYkm/view?usp=drivesdk","729_INTAN YULIYATI, S.Psi.,M.Si _ SERTIFIKAT BIMTEK IPASN BerAKHLASK")</f>
        <v>729_INTAN YULIYATI, S.Psi.,M.Si _ SERTIFIKAT BIMTEK IPASN BerAKHLASK</v>
      </c>
      <c r="P730" s="5" t="s">
        <v>6869</v>
      </c>
      <c r="Q730" s="5" t="s">
        <v>6910</v>
      </c>
      <c r="R730" s="7" t="s">
        <v>6911</v>
      </c>
      <c r="S730" s="7" t="str">
        <f>HYPERLINK("https://drive.google.com/file/d/1Ooff0EXMllO-dyDrIIpuW689VclQMXS7/view?usp=drivesdk","729_INTAN YULIYATI, S.Psi.,M.Si SERTIFIKAT BIMTEK IPASN-BerAKHLAK")</f>
        <v>729_INTAN YULIYATI, S.Psi.,M.Si SERTIFIKAT BIMTEK IPASN-BerAKHLAK</v>
      </c>
      <c r="T730" s="5" t="s">
        <v>6902</v>
      </c>
    </row>
    <row r="731">
      <c r="A731" s="4">
        <v>45534.32520759259</v>
      </c>
      <c r="B731" s="5" t="s">
        <v>34</v>
      </c>
      <c r="D731" s="5" t="s">
        <v>580</v>
      </c>
      <c r="E731" s="5" t="s">
        <v>6912</v>
      </c>
      <c r="F731" s="5" t="s">
        <v>120</v>
      </c>
      <c r="G731" s="5" t="s">
        <v>6913</v>
      </c>
      <c r="H731" s="6" t="s">
        <v>6914</v>
      </c>
      <c r="I731" s="7" t="s">
        <v>6915</v>
      </c>
      <c r="J731" s="8" t="str">
        <f>HYPERLINK("https://drive.google.com/file/d/1fHKDmg1MtbOwElSSfMvxDuBYR9hbxb9f/view?usp=drivesdk","NI PUTU ARY PARMINI, S.KM SERTIFIKAT BerAKHLAK")</f>
        <v>NI PUTU ARY PARMINI, S.KM SERTIFIKAT BerAKHLAK</v>
      </c>
      <c r="K731" s="5" t="s">
        <v>6237</v>
      </c>
      <c r="L731" s="5" t="s">
        <v>6916</v>
      </c>
      <c r="M731" s="5" t="s">
        <v>6917</v>
      </c>
      <c r="N731" s="7" t="s">
        <v>6918</v>
      </c>
      <c r="O731" s="8" t="str">
        <f>HYPERLINK("https://drive.google.com/file/d/1muCT8S8LHc36eYS8dcBsQ8a3gx5HmUM6/view?usp=drivesdk","730_NI PUTU ARY PARMINI, S.KM _ SERTIFIKAT BIMTEK IPASN BerAKHLASK")</f>
        <v>730_NI PUTU ARY PARMINI, S.KM _ SERTIFIKAT BIMTEK IPASN BerAKHLASK</v>
      </c>
      <c r="P731" s="5" t="s">
        <v>6919</v>
      </c>
      <c r="Q731" s="5" t="s">
        <v>6920</v>
      </c>
      <c r="R731" s="7" t="s">
        <v>6921</v>
      </c>
      <c r="S731" s="7" t="str">
        <f>HYPERLINK("https://drive.google.com/file/d/12y-lntUlctvPjCsEDysNzA2_b3uTcmy9/view?usp=drivesdk","730_NI PUTU ARY PARMINI, S.KM SERTIFIKAT BIMTEK IPASN-BerAKHLAK")</f>
        <v>730_NI PUTU ARY PARMINI, S.KM SERTIFIKAT BIMTEK IPASN-BerAKHLAK</v>
      </c>
      <c r="T731" s="5" t="s">
        <v>6902</v>
      </c>
    </row>
    <row r="732">
      <c r="A732" s="4">
        <v>45534.325227974536</v>
      </c>
      <c r="B732" s="5" t="s">
        <v>34</v>
      </c>
      <c r="D732" s="5" t="s">
        <v>1206</v>
      </c>
      <c r="E732" s="5" t="s">
        <v>6922</v>
      </c>
      <c r="F732" s="5" t="s">
        <v>5859</v>
      </c>
      <c r="G732" s="5" t="s">
        <v>6923</v>
      </c>
      <c r="H732" s="6" t="s">
        <v>6924</v>
      </c>
      <c r="I732" s="7" t="s">
        <v>6925</v>
      </c>
      <c r="J732" s="8" t="str">
        <f>HYPERLINK("https://drive.google.com/file/d/1EmRqMwG72iRmWYFdRas47mjxpAfTc01H/view?usp=drivesdk","ALPANSANYOTO SERTIFIKAT BerAKHLAK")</f>
        <v>ALPANSANYOTO SERTIFIKAT BerAKHLAK</v>
      </c>
      <c r="K732" s="5" t="s">
        <v>6237</v>
      </c>
      <c r="L732" s="5" t="s">
        <v>6926</v>
      </c>
      <c r="M732" s="5" t="s">
        <v>6927</v>
      </c>
      <c r="N732" s="7" t="s">
        <v>6928</v>
      </c>
      <c r="O732" s="8" t="str">
        <f>HYPERLINK("https://drive.google.com/file/d/1LZhRdNQeA0hvBqzLJLUEO_EM7NaR22Pf/view?usp=drivesdk","731_ALPANSANYOTO _ SERTIFIKAT BIMTEK IPASN BerAKHLASK")</f>
        <v>731_ALPANSANYOTO _ SERTIFIKAT BIMTEK IPASN BerAKHLASK</v>
      </c>
      <c r="P732" s="5" t="s">
        <v>6919</v>
      </c>
      <c r="Q732" s="5" t="s">
        <v>6929</v>
      </c>
      <c r="R732" s="7" t="s">
        <v>6930</v>
      </c>
      <c r="S732" s="7" t="str">
        <f>HYPERLINK("https://drive.google.com/file/d/1Tm-8SwH-du_wWluu6vIcSmb__BXcDOYN/view?usp=drivesdk","731_ALPANSANYOTO SERTIFIKAT BIMTEK IPASN-BerAKHLAK")</f>
        <v>731_ALPANSANYOTO SERTIFIKAT BIMTEK IPASN-BerAKHLAK</v>
      </c>
      <c r="T732" s="5" t="s">
        <v>6902</v>
      </c>
    </row>
    <row r="733">
      <c r="A733" s="4">
        <v>45534.32523981482</v>
      </c>
      <c r="B733" s="5" t="s">
        <v>34</v>
      </c>
      <c r="D733" s="5" t="s">
        <v>1206</v>
      </c>
      <c r="E733" s="5" t="s">
        <v>6931</v>
      </c>
      <c r="F733" s="5" t="s">
        <v>375</v>
      </c>
      <c r="G733" s="5" t="s">
        <v>6932</v>
      </c>
      <c r="H733" s="6" t="s">
        <v>6933</v>
      </c>
      <c r="K733" s="5" t="s">
        <v>6934</v>
      </c>
      <c r="M733" s="5" t="s">
        <v>6935</v>
      </c>
      <c r="N733" s="7" t="s">
        <v>6936</v>
      </c>
      <c r="O733" s="8" t="str">
        <f>HYPERLINK("https://drive.google.com/file/d/1fEiCTLj9kNiz8SyL6Bbtufdg7UwfC6Dm/view?usp=drivesdk","732_WAHYUNINGSIH _ SERTIFIKAT BIMTEK IPASN BerAKHLASK")</f>
        <v>732_WAHYUNINGSIH _ SERTIFIKAT BIMTEK IPASN BerAKHLASK</v>
      </c>
      <c r="P733" s="5" t="s">
        <v>6919</v>
      </c>
      <c r="Q733" s="5" t="s">
        <v>6937</v>
      </c>
      <c r="R733" s="7" t="s">
        <v>6938</v>
      </c>
      <c r="S733" s="7" t="str">
        <f>HYPERLINK("https://drive.google.com/file/d/1bt3RSwx7vT17u4OCFWNz5004cM8cgz7n/view?usp=drivesdk","732_WAHYUNINGSIH SERTIFIKAT BIMTEK IPASN-BerAKHLAK")</f>
        <v>732_WAHYUNINGSIH SERTIFIKAT BIMTEK IPASN-BerAKHLAK</v>
      </c>
      <c r="T733" s="5" t="s">
        <v>6902</v>
      </c>
    </row>
    <row r="734">
      <c r="A734" s="4">
        <v>45534.325269050925</v>
      </c>
      <c r="B734" s="5" t="s">
        <v>34</v>
      </c>
      <c r="D734" s="5" t="s">
        <v>4775</v>
      </c>
      <c r="E734" s="5" t="s">
        <v>6939</v>
      </c>
      <c r="F734" s="5" t="s">
        <v>37</v>
      </c>
      <c r="G734" s="5" t="s">
        <v>6940</v>
      </c>
      <c r="H734" s="6" t="s">
        <v>6941</v>
      </c>
      <c r="I734" s="7" t="s">
        <v>6942</v>
      </c>
      <c r="J734" s="8" t="str">
        <f>HYPERLINK("https://drive.google.com/file/d/12DWAx7eUrxfsn36axdai4fJc5QDKhb5T/view?usp=drivesdk","MOKHAMAD SHOLEH, S.Pd.I., M.M. SERTIFIKAT BerAKHLAK")</f>
        <v>MOKHAMAD SHOLEH, S.Pd.I., M.M. SERTIFIKAT BerAKHLAK</v>
      </c>
      <c r="K734" s="5" t="s">
        <v>6237</v>
      </c>
      <c r="L734" s="5" t="s">
        <v>6943</v>
      </c>
      <c r="M734" s="5" t="s">
        <v>6944</v>
      </c>
      <c r="N734" s="7" t="s">
        <v>6945</v>
      </c>
      <c r="O734" s="8" t="str">
        <f>HYPERLINK("https://drive.google.com/file/d/1hJJgmsiUmMpb02IDIuhyrXAMGn1auuYa/view?usp=drivesdk","733_MOKHAMAD SHOLEH, S.Pd.I., M.M. _ SERTIFIKAT BIMTEK IPASN BerAKHLASK")</f>
        <v>733_MOKHAMAD SHOLEH, S.Pd.I., M.M. _ SERTIFIKAT BIMTEK IPASN BerAKHLASK</v>
      </c>
      <c r="P734" s="5" t="s">
        <v>6919</v>
      </c>
      <c r="Q734" s="5" t="s">
        <v>6946</v>
      </c>
      <c r="R734" s="7" t="s">
        <v>6947</v>
      </c>
      <c r="S734" s="7" t="str">
        <f>HYPERLINK("https://drive.google.com/file/d/1pw2gMafQfTO6n4rIze7pqIOFje-y88S_/view?usp=drivesdk","733_MOKHAMAD SHOLEH, S.Pd.I., M.M. SERTIFIKAT BIMTEK IPASN-BerAKHLAK")</f>
        <v>733_MOKHAMAD SHOLEH, S.Pd.I., M.M. SERTIFIKAT BIMTEK IPASN-BerAKHLAK</v>
      </c>
      <c r="T734" s="5" t="s">
        <v>6948</v>
      </c>
    </row>
    <row r="735">
      <c r="A735" s="4">
        <v>45534.32527347222</v>
      </c>
      <c r="B735" s="5" t="s">
        <v>34</v>
      </c>
      <c r="D735" s="5" t="s">
        <v>580</v>
      </c>
      <c r="E735" s="5" t="s">
        <v>6949</v>
      </c>
      <c r="F735" s="5" t="s">
        <v>120</v>
      </c>
      <c r="G735" s="5" t="s">
        <v>6950</v>
      </c>
      <c r="H735" s="6" t="s">
        <v>6951</v>
      </c>
      <c r="I735" s="7" t="s">
        <v>6952</v>
      </c>
      <c r="J735" s="8" t="str">
        <f>HYPERLINK("https://drive.google.com/file/d/1P2LqEAFyfUlxT5RbHNyiHT9wNMRTrqVD/view?usp=drivesdk","NI KETUT NATALIA WULANSARI, ST SERTIFIKAT BerAKHLAK")</f>
        <v>NI KETUT NATALIA WULANSARI, ST SERTIFIKAT BerAKHLAK</v>
      </c>
      <c r="K735" s="5" t="s">
        <v>6237</v>
      </c>
      <c r="L735" s="5" t="s">
        <v>6953</v>
      </c>
      <c r="M735" s="5" t="s">
        <v>6954</v>
      </c>
      <c r="N735" s="7" t="s">
        <v>6955</v>
      </c>
      <c r="O735" s="8" t="str">
        <f>HYPERLINK("https://drive.google.com/file/d/1-6ft2gfxsyBCzIOw03EMRv3jwLTAyzX-/view?usp=drivesdk","734_NI KETUT NATALIA WULANSARI, ST _ SERTIFIKAT BIMTEK IPASN BerAKHLASK")</f>
        <v>734_NI KETUT NATALIA WULANSARI, ST _ SERTIFIKAT BIMTEK IPASN BerAKHLASK</v>
      </c>
      <c r="P735" s="5" t="s">
        <v>6919</v>
      </c>
      <c r="Q735" s="5" t="s">
        <v>6956</v>
      </c>
      <c r="R735" s="7" t="s">
        <v>6957</v>
      </c>
      <c r="S735" s="7" t="str">
        <f>HYPERLINK("https://drive.google.com/file/d/15hI274TnObgH1oq8HEpnbfF5bJy3VM4v/view?usp=drivesdk","734_NI KETUT NATALIA WULANSARI, ST SERTIFIKAT BIMTEK IPASN-BerAKHLAK")</f>
        <v>734_NI KETUT NATALIA WULANSARI, ST SERTIFIKAT BIMTEK IPASN-BerAKHLAK</v>
      </c>
      <c r="T735" s="5" t="s">
        <v>6948</v>
      </c>
    </row>
    <row r="736">
      <c r="A736" s="4">
        <v>45534.32527789352</v>
      </c>
      <c r="B736" s="5" t="s">
        <v>34</v>
      </c>
      <c r="D736" s="5" t="s">
        <v>35</v>
      </c>
      <c r="E736" s="5" t="s">
        <v>6958</v>
      </c>
      <c r="F736" s="5" t="s">
        <v>37</v>
      </c>
      <c r="G736" s="5" t="s">
        <v>6959</v>
      </c>
      <c r="H736" s="6" t="s">
        <v>6960</v>
      </c>
      <c r="I736" s="7" t="s">
        <v>6961</v>
      </c>
      <c r="J736" s="8" t="str">
        <f>HYPERLINK("https://drive.google.com/file/d/1mV132d8juEbaBX6wJCNMKrK8k40NeczA/view?usp=drivesdk","M PANDU FARHATUNAWAN SERTIFIKAT BerAKHLAK")</f>
        <v>M PANDU FARHATUNAWAN SERTIFIKAT BerAKHLAK</v>
      </c>
      <c r="K736" s="5" t="s">
        <v>6248</v>
      </c>
      <c r="L736" s="5" t="s">
        <v>6962</v>
      </c>
      <c r="M736" s="5" t="s">
        <v>6963</v>
      </c>
      <c r="N736" s="7" t="s">
        <v>6964</v>
      </c>
      <c r="O736" s="8" t="str">
        <f>HYPERLINK("https://drive.google.com/file/d/1nR9uu63o0nj5lOMltMbaj1TrFGx7CwmT/view?usp=drivesdk","735_M PANDU FARHATUNAWAN _ SERTIFIKAT BIMTEK IPASN BerAKHLASK")</f>
        <v>735_M PANDU FARHATUNAWAN _ SERTIFIKAT BIMTEK IPASN BerAKHLASK</v>
      </c>
      <c r="P736" s="5" t="s">
        <v>6965</v>
      </c>
      <c r="Q736" s="5" t="s">
        <v>6966</v>
      </c>
      <c r="R736" s="7" t="s">
        <v>6967</v>
      </c>
      <c r="S736" s="7" t="str">
        <f>HYPERLINK("https://drive.google.com/file/d/1e8tY2iofpl-d8SFl4hRSNrjRHOs8kyxo/view?usp=drivesdk","735_M PANDU FARHATUNAWAN SERTIFIKAT BIMTEK IPASN-BerAKHLAK")</f>
        <v>735_M PANDU FARHATUNAWAN SERTIFIKAT BIMTEK IPASN-BerAKHLAK</v>
      </c>
      <c r="T736" s="5" t="s">
        <v>6948</v>
      </c>
    </row>
    <row r="737">
      <c r="A737" s="4">
        <v>45534.32529101852</v>
      </c>
      <c r="B737" s="5" t="s">
        <v>34</v>
      </c>
      <c r="D737" s="5" t="s">
        <v>4775</v>
      </c>
      <c r="E737" s="5" t="s">
        <v>6968</v>
      </c>
      <c r="F737" s="5" t="s">
        <v>524</v>
      </c>
      <c r="G737" s="5" t="s">
        <v>6969</v>
      </c>
      <c r="H737" s="6" t="s">
        <v>6970</v>
      </c>
      <c r="I737" s="7" t="s">
        <v>6971</v>
      </c>
      <c r="J737" s="8" t="str">
        <f>HYPERLINK("https://drive.google.com/file/d/1LpZIdNDfMUTKT7iMnvtZZlLvWIcStYBs/view?usp=drivesdk","PUSPITANINGSIH, S. Tr. Kom SERTIFIKAT BerAKHLAK")</f>
        <v>PUSPITANINGSIH, S. Tr. Kom SERTIFIKAT BerAKHLAK</v>
      </c>
      <c r="K737" s="5" t="s">
        <v>6248</v>
      </c>
      <c r="L737" s="5" t="s">
        <v>6972</v>
      </c>
      <c r="M737" s="5" t="s">
        <v>6973</v>
      </c>
      <c r="N737" s="7" t="s">
        <v>6974</v>
      </c>
      <c r="O737" s="8" t="str">
        <f>HYPERLINK("https://drive.google.com/file/d/15ZpvS9r3hJifcGP6vW93cAJXjnq2Urjn/view?usp=drivesdk","736_PUSPITANINGSIH, S. Tr. Kom _ SERTIFIKAT BIMTEK IPASN BerAKHLASK")</f>
        <v>736_PUSPITANINGSIH, S. Tr. Kom _ SERTIFIKAT BIMTEK IPASN BerAKHLASK</v>
      </c>
      <c r="P737" s="5" t="s">
        <v>6965</v>
      </c>
      <c r="Q737" s="5" t="s">
        <v>6975</v>
      </c>
      <c r="R737" s="7" t="s">
        <v>6976</v>
      </c>
      <c r="S737" s="7" t="str">
        <f>HYPERLINK("https://drive.google.com/file/d/1QPiA5gGyPzEgor6wEKVAyFCOFIZQThdO/view?usp=drivesdk","736_PUSPITANINGSIH, S. Tr. Kom SERTIFIKAT BIMTEK IPASN-BerAKHLAK")</f>
        <v>736_PUSPITANINGSIH, S. Tr. Kom SERTIFIKAT BIMTEK IPASN-BerAKHLAK</v>
      </c>
      <c r="T737" s="5" t="s">
        <v>6948</v>
      </c>
    </row>
    <row r="738">
      <c r="A738" s="4">
        <v>45534.32529289352</v>
      </c>
      <c r="B738" s="5" t="s">
        <v>34</v>
      </c>
      <c r="D738" s="5" t="s">
        <v>1663</v>
      </c>
      <c r="E738" s="5" t="s">
        <v>6977</v>
      </c>
      <c r="F738" s="5" t="s">
        <v>212</v>
      </c>
      <c r="G738" s="5" t="s">
        <v>6978</v>
      </c>
      <c r="H738" s="6" t="s">
        <v>6979</v>
      </c>
      <c r="I738" s="7" t="s">
        <v>6980</v>
      </c>
      <c r="J738" s="8" t="str">
        <f>HYPERLINK("https://drive.google.com/file/d/1XKL91bMYiwbJ8QruvrHIodHGeI3GD74Z/view?usp=drivesdk","ERLIKA LUMBANTUNGKUP Amd.Kep SERTIFIKAT BerAKHLAK")</f>
        <v>ERLIKA LUMBANTUNGKUP Amd.Kep SERTIFIKAT BerAKHLAK</v>
      </c>
      <c r="K738" s="5" t="s">
        <v>6248</v>
      </c>
      <c r="L738" s="5" t="s">
        <v>6981</v>
      </c>
      <c r="M738" s="5" t="s">
        <v>6982</v>
      </c>
      <c r="N738" s="7" t="s">
        <v>6983</v>
      </c>
      <c r="O738" s="8" t="str">
        <f>HYPERLINK("https://drive.google.com/file/d/1MGVy7OW50OKlM8qkPIysQkIsorMlMb8U/view?usp=drivesdk","737_ERLIKA LUMBANTUNGKUP Amd.Kep _ SERTIFIKAT BIMTEK IPASN BerAKHLASK")</f>
        <v>737_ERLIKA LUMBANTUNGKUP Amd.Kep _ SERTIFIKAT BIMTEK IPASN BerAKHLASK</v>
      </c>
      <c r="P738" s="5" t="s">
        <v>6965</v>
      </c>
      <c r="Q738" s="5" t="s">
        <v>6984</v>
      </c>
      <c r="R738" s="7" t="s">
        <v>6985</v>
      </c>
      <c r="S738" s="7" t="str">
        <f>HYPERLINK("https://drive.google.com/file/d/1EJog4Ta0UGIHmEgPVv4MI7a6kj9tWlAz/view?usp=drivesdk","737_ERLIKA LUMBANTUNGKUP Amd.Kep SERTIFIKAT BIMTEK IPASN-BerAKHLAK")</f>
        <v>737_ERLIKA LUMBANTUNGKUP Amd.Kep SERTIFIKAT BIMTEK IPASN-BerAKHLAK</v>
      </c>
      <c r="T738" s="5" t="s">
        <v>6948</v>
      </c>
    </row>
    <row r="739" hidden="1">
      <c r="A739" s="4">
        <v>45534.325302743055</v>
      </c>
      <c r="B739" s="5" t="s">
        <v>19</v>
      </c>
      <c r="C739" s="5" t="s">
        <v>3301</v>
      </c>
      <c r="E739" s="5" t="s">
        <v>6986</v>
      </c>
      <c r="F739" s="5" t="s">
        <v>212</v>
      </c>
      <c r="G739" s="5" t="s">
        <v>6987</v>
      </c>
      <c r="H739" s="6" t="s">
        <v>6988</v>
      </c>
      <c r="I739" s="7" t="s">
        <v>6989</v>
      </c>
      <c r="J739" s="8" t="str">
        <f>HYPERLINK("https://drive.google.com/file/d/1fDqUg8ngmgOEK73gj5sizxD2pXRzXzLj/view?usp=drivesdk","SONYA NATALIA, A.Md.Kep SERTIFIKAT BerAKHLAK")</f>
        <v>SONYA NATALIA, A.Md.Kep SERTIFIKAT BerAKHLAK</v>
      </c>
      <c r="K739" s="5" t="s">
        <v>6248</v>
      </c>
      <c r="L739" s="5" t="s">
        <v>6990</v>
      </c>
      <c r="M739" s="5" t="s">
        <v>6991</v>
      </c>
      <c r="N739" s="7" t="s">
        <v>6992</v>
      </c>
      <c r="O739" s="8" t="str">
        <f>HYPERLINK("https://drive.google.com/file/d/1HF7s804KDNd6lw3e8uzBJWVDj9QRWj4v/view?usp=drivesdk","738_SONYA NATALIA, A.Md.Kep _ SERTIFIKAT BIMTEK IPASN BerAKHLASK")</f>
        <v>738_SONYA NATALIA, A.Md.Kep _ SERTIFIKAT BIMTEK IPASN BerAKHLASK</v>
      </c>
      <c r="P739" s="5" t="s">
        <v>6965</v>
      </c>
      <c r="Q739" s="5" t="s">
        <v>6993</v>
      </c>
      <c r="R739" s="7" t="s">
        <v>6994</v>
      </c>
      <c r="S739" s="7" t="str">
        <f>HYPERLINK("https://drive.google.com/file/d/1EpRx-74k8WKKtDOz5YoPBhe6CQU2Y4g1/view?usp=drivesdk","738_SONYA NATALIA, A.Md.Kep SERTIFIKAT BIMTEK IPASN-BerAKHLAK")</f>
        <v>738_SONYA NATALIA, A.Md.Kep SERTIFIKAT BIMTEK IPASN-BerAKHLAK</v>
      </c>
      <c r="T739" s="5" t="s">
        <v>6948</v>
      </c>
    </row>
    <row r="740">
      <c r="A740" s="4">
        <v>45534.32530440972</v>
      </c>
      <c r="B740" s="5" t="s">
        <v>34</v>
      </c>
      <c r="D740" s="5" t="s">
        <v>604</v>
      </c>
      <c r="E740" s="5" t="s">
        <v>6995</v>
      </c>
      <c r="F740" s="5" t="s">
        <v>37</v>
      </c>
      <c r="G740" s="5" t="s">
        <v>6996</v>
      </c>
      <c r="H740" s="6" t="s">
        <v>6997</v>
      </c>
      <c r="I740" s="7" t="s">
        <v>6998</v>
      </c>
      <c r="J740" s="8" t="str">
        <f>HYPERLINK("https://drive.google.com/file/d/1kjh7PK0Ox-qGpEMXz_UUeQNURMNYBKqt/view?usp=drivesdk","IKA PUJI RAHAYU, A. Md. AK SERTIFIKAT BerAKHLAK")</f>
        <v>IKA PUJI RAHAYU, A. Md. AK SERTIFIKAT BerAKHLAK</v>
      </c>
      <c r="K740" s="5" t="s">
        <v>6248</v>
      </c>
      <c r="L740" s="5" t="s">
        <v>6999</v>
      </c>
      <c r="M740" s="5" t="s">
        <v>7000</v>
      </c>
      <c r="N740" s="7" t="s">
        <v>7001</v>
      </c>
      <c r="O740" s="8" t="str">
        <f>HYPERLINK("https://drive.google.com/file/d/14LMsTGSU3czPMjr7_ekiL7NxOjHWNBnV/view?usp=drivesdk","739_IKA PUJI RAHAYU, A. Md. AK _ SERTIFIKAT BIMTEK IPASN BerAKHLASK")</f>
        <v>739_IKA PUJI RAHAYU, A. Md. AK _ SERTIFIKAT BIMTEK IPASN BerAKHLASK</v>
      </c>
      <c r="P740" s="5" t="s">
        <v>6965</v>
      </c>
      <c r="Q740" s="5" t="s">
        <v>7002</v>
      </c>
      <c r="R740" s="7" t="s">
        <v>7003</v>
      </c>
      <c r="S740" s="7" t="str">
        <f>HYPERLINK("https://drive.google.com/file/d/1EF2NEoLJbVuVdi8TXarEMNPu5CCKiRVP/view?usp=drivesdk","739_IKA PUJI RAHAYU, A. Md. AK SERTIFIKAT BIMTEK IPASN-BerAKHLAK")</f>
        <v>739_IKA PUJI RAHAYU, A. Md. AK SERTIFIKAT BIMTEK IPASN-BerAKHLAK</v>
      </c>
      <c r="T740" s="5" t="s">
        <v>7004</v>
      </c>
    </row>
    <row r="741">
      <c r="A741" s="4">
        <v>45534.32531958334</v>
      </c>
      <c r="B741" s="5" t="s">
        <v>34</v>
      </c>
      <c r="D741" s="5" t="s">
        <v>35</v>
      </c>
      <c r="E741" s="5" t="s">
        <v>7005</v>
      </c>
      <c r="F741" s="5" t="s">
        <v>524</v>
      </c>
      <c r="G741" s="5" t="s">
        <v>7006</v>
      </c>
      <c r="H741" s="6" t="s">
        <v>7007</v>
      </c>
      <c r="I741" s="7" t="s">
        <v>7008</v>
      </c>
      <c r="J741" s="8" t="str">
        <f>HYPERLINK("https://drive.google.com/file/d/1s5CZVyZPlWfxPe_BCx9wQZhiTfSxSVyR/view?usp=drivesdk","KUSDIYANTOO,Amd.Kep SERTIFIKAT BerAKHLAK")</f>
        <v>KUSDIYANTOO,Amd.Kep SERTIFIKAT BerAKHLAK</v>
      </c>
      <c r="K741" s="5" t="s">
        <v>6237</v>
      </c>
      <c r="L741" s="5" t="s">
        <v>7009</v>
      </c>
      <c r="M741" s="5" t="s">
        <v>7010</v>
      </c>
      <c r="N741" s="7" t="s">
        <v>7011</v>
      </c>
      <c r="O741" s="8" t="str">
        <f>HYPERLINK("https://drive.google.com/file/d/1RBRrwye6yQqaUjMfFtWYAK4c2ZX6bPCk/view?usp=drivesdk","740_KUSDIYANTOO,Amd.Kep _ SERTIFIKAT BIMTEK IPASN BerAKHLASK")</f>
        <v>740_KUSDIYANTOO,Amd.Kep _ SERTIFIKAT BIMTEK IPASN BerAKHLASK</v>
      </c>
      <c r="P741" s="5" t="s">
        <v>7012</v>
      </c>
      <c r="Q741" s="5" t="s">
        <v>7013</v>
      </c>
      <c r="R741" s="7" t="s">
        <v>7014</v>
      </c>
      <c r="S741" s="7" t="str">
        <f>HYPERLINK("https://drive.google.com/file/d/1l0akJkVWXuNiep-f77Yx5IgWCxc0dReq/view?usp=drivesdk","740_KUSDIYANTOO,Amd.Kep SERTIFIKAT BIMTEK IPASN-BerAKHLAK")</f>
        <v>740_KUSDIYANTOO,Amd.Kep SERTIFIKAT BIMTEK IPASN-BerAKHLAK</v>
      </c>
      <c r="T741" s="5" t="s">
        <v>7004</v>
      </c>
    </row>
    <row r="742">
      <c r="A742" s="4">
        <v>45534.32533393519</v>
      </c>
      <c r="B742" s="5" t="s">
        <v>34</v>
      </c>
      <c r="D742" s="5" t="s">
        <v>280</v>
      </c>
      <c r="E742" s="5" t="s">
        <v>7015</v>
      </c>
      <c r="F742" s="5" t="s">
        <v>715</v>
      </c>
      <c r="G742" s="5" t="s">
        <v>7016</v>
      </c>
      <c r="H742" s="6" t="s">
        <v>7017</v>
      </c>
      <c r="I742" s="7" t="s">
        <v>7018</v>
      </c>
      <c r="J742" s="8" t="str">
        <f>HYPERLINK("https://drive.google.com/file/d/1QfRiU62z9FYVvEOScw50GLKYZz4HeLVA/view?usp=drivesdk","Ns.CHORRY BELLARIA OKTAVIA,S.Kep SERTIFIKAT BerAKHLAK")</f>
        <v>Ns.CHORRY BELLARIA OKTAVIA,S.Kep SERTIFIKAT BerAKHLAK</v>
      </c>
      <c r="K742" s="5" t="s">
        <v>6237</v>
      </c>
      <c r="L742" s="5" t="s">
        <v>7019</v>
      </c>
      <c r="M742" s="5" t="s">
        <v>7020</v>
      </c>
      <c r="N742" s="7" t="s">
        <v>7021</v>
      </c>
      <c r="O742" s="8" t="str">
        <f>HYPERLINK("https://drive.google.com/file/d/1tqEIlOGMaEN2Wp5GXR2cBpht3h5NKLQw/view?usp=drivesdk","741_Ns.CHORRY BELLARIA OKTAVIA,S.Kep _ SERTIFIKAT BIMTEK IPASN BerAKHLASK")</f>
        <v>741_Ns.CHORRY BELLARIA OKTAVIA,S.Kep _ SERTIFIKAT BIMTEK IPASN BerAKHLASK</v>
      </c>
      <c r="P742" s="5" t="s">
        <v>7012</v>
      </c>
      <c r="Q742" s="5" t="s">
        <v>7022</v>
      </c>
      <c r="R742" s="7" t="s">
        <v>7023</v>
      </c>
      <c r="S742" s="7" t="str">
        <f>HYPERLINK("https://drive.google.com/file/d/1eB8_PrrrxGdznU5mzKZryYiRfJK0Suw-/view?usp=drivesdk","741_Ns.CHORRY BELLARIA OKTAVIA,S.Kep SERTIFIKAT BIMTEK IPASN-BerAKHLAK")</f>
        <v>741_Ns.CHORRY BELLARIA OKTAVIA,S.Kep SERTIFIKAT BIMTEK IPASN-BerAKHLAK</v>
      </c>
      <c r="T742" s="5" t="s">
        <v>7004</v>
      </c>
    </row>
    <row r="743">
      <c r="A743" s="4">
        <v>45534.325371666666</v>
      </c>
      <c r="B743" s="5" t="s">
        <v>34</v>
      </c>
      <c r="D743" s="5" t="s">
        <v>35</v>
      </c>
      <c r="E743" s="5" t="s">
        <v>7024</v>
      </c>
      <c r="F743" s="5" t="s">
        <v>120</v>
      </c>
      <c r="G743" s="5" t="s">
        <v>7025</v>
      </c>
      <c r="H743" s="6" t="s">
        <v>7026</v>
      </c>
      <c r="I743" s="7" t="s">
        <v>7027</v>
      </c>
      <c r="J743" s="8" t="str">
        <f>HYPERLINK("https://drive.google.com/file/d/1ZrV4xXWKEFTl6fKJFLvK63fadi2XhHDi/view?usp=drivesdk","DIANA SRI NUGROHO. SKM SERTIFIKAT BerAKHLAK")</f>
        <v>DIANA SRI NUGROHO. SKM SERTIFIKAT BerAKHLAK</v>
      </c>
      <c r="K743" s="5" t="s">
        <v>6237</v>
      </c>
      <c r="L743" s="5" t="s">
        <v>7028</v>
      </c>
      <c r="M743" s="5" t="s">
        <v>7029</v>
      </c>
      <c r="N743" s="7" t="s">
        <v>7030</v>
      </c>
      <c r="O743" s="8" t="str">
        <f>HYPERLINK("https://drive.google.com/file/d/1PZ-BGDT9fl__ZDIRnYb61qRcP8PGyi9P/view?usp=drivesdk","742_DIANA SRI NUGROHO. SKM _ SERTIFIKAT BIMTEK IPASN BerAKHLASK")</f>
        <v>742_DIANA SRI NUGROHO. SKM _ SERTIFIKAT BIMTEK IPASN BerAKHLASK</v>
      </c>
      <c r="P743" s="5" t="s">
        <v>7012</v>
      </c>
      <c r="Q743" s="5" t="s">
        <v>7031</v>
      </c>
      <c r="R743" s="7" t="s">
        <v>7032</v>
      </c>
      <c r="S743" s="7" t="str">
        <f>HYPERLINK("https://drive.google.com/file/d/1E-nTlo-gUe-Dfjx-6ZkmKI4dmQWMrW2h/view?usp=drivesdk","742_DIANA SRI NUGROHO. SKM SERTIFIKAT BIMTEK IPASN-BerAKHLAK")</f>
        <v>742_DIANA SRI NUGROHO. SKM SERTIFIKAT BIMTEK IPASN-BerAKHLAK</v>
      </c>
      <c r="T743" s="5" t="s">
        <v>7004</v>
      </c>
    </row>
    <row r="744">
      <c r="A744" s="4">
        <v>45534.325374039356</v>
      </c>
      <c r="B744" s="5" t="s">
        <v>34</v>
      </c>
      <c r="D744" s="5" t="s">
        <v>580</v>
      </c>
      <c r="E744" s="5" t="s">
        <v>7033</v>
      </c>
      <c r="F744" s="5" t="s">
        <v>72</v>
      </c>
      <c r="G744" s="5" t="s">
        <v>7034</v>
      </c>
      <c r="H744" s="6" t="s">
        <v>7035</v>
      </c>
      <c r="I744" s="7" t="s">
        <v>7036</v>
      </c>
      <c r="J744" s="8" t="str">
        <f>HYPERLINK("https://drive.google.com/file/d/10Tj8_Xyle9eiIdyJI2JcbDFy2w1ZnGAu/view?usp=drivesdk","NI WAYAN SUCIATI,A.Md.Keb SERTIFIKAT BerAKHLAK")</f>
        <v>NI WAYAN SUCIATI,A.Md.Keb SERTIFIKAT BerAKHLAK</v>
      </c>
      <c r="K744" s="5" t="s">
        <v>6237</v>
      </c>
      <c r="L744" s="5" t="s">
        <v>7037</v>
      </c>
      <c r="M744" s="5" t="s">
        <v>7038</v>
      </c>
      <c r="N744" s="7" t="s">
        <v>7039</v>
      </c>
      <c r="O744" s="8" t="str">
        <f>HYPERLINK("https://drive.google.com/file/d/1_huDmFMAAB4ENseHGvGYE69D6b4ZTA1w/view?usp=drivesdk","743_NI WAYAN SUCIATI,A.Md.Keb _ SERTIFIKAT BIMTEK IPASN BerAKHLASK")</f>
        <v>743_NI WAYAN SUCIATI,A.Md.Keb _ SERTIFIKAT BIMTEK IPASN BerAKHLASK</v>
      </c>
      <c r="P744" s="5" t="s">
        <v>7012</v>
      </c>
      <c r="Q744" s="5" t="s">
        <v>7040</v>
      </c>
      <c r="R744" s="7" t="s">
        <v>7041</v>
      </c>
      <c r="S744" s="7" t="str">
        <f>HYPERLINK("https://drive.google.com/file/d/1t3SDFaFZ0P_DATugCURIdJaIErp6CdSl/view?usp=drivesdk","743_NI WAYAN SUCIATI,A.Md.Keb SERTIFIKAT BIMTEK IPASN-BerAKHLAK")</f>
        <v>743_NI WAYAN SUCIATI,A.Md.Keb SERTIFIKAT BIMTEK IPASN-BerAKHLAK</v>
      </c>
      <c r="T744" s="5" t="s">
        <v>7004</v>
      </c>
    </row>
    <row r="745">
      <c r="A745" s="4">
        <v>45534.325380208335</v>
      </c>
      <c r="B745" s="5" t="s">
        <v>34</v>
      </c>
      <c r="D745" s="5" t="s">
        <v>1692</v>
      </c>
      <c r="E745" s="5" t="s">
        <v>7042</v>
      </c>
      <c r="F745" s="5" t="s">
        <v>524</v>
      </c>
      <c r="G745" s="5" t="s">
        <v>7043</v>
      </c>
      <c r="H745" s="6" t="s">
        <v>7044</v>
      </c>
      <c r="I745" s="7" t="s">
        <v>7045</v>
      </c>
      <c r="J745" s="8" t="str">
        <f>HYPERLINK("https://drive.google.com/file/d/154gRv0hfGqijWm_paMhGF0CG-V9afnmi/view?usp=drivesdk","ELISABETH LELAPARY SERTIFIKAT BerAKHLAK")</f>
        <v>ELISABETH LELAPARY SERTIFIKAT BerAKHLAK</v>
      </c>
      <c r="K745" s="5" t="s">
        <v>6248</v>
      </c>
      <c r="L745" s="5" t="s">
        <v>7046</v>
      </c>
      <c r="M745" s="5" t="s">
        <v>7047</v>
      </c>
      <c r="N745" s="7" t="s">
        <v>7048</v>
      </c>
      <c r="O745" s="8" t="str">
        <f>HYPERLINK("https://drive.google.com/file/d/1Oqcv28tcD53bFZg2h2XehvXfZPJxZ1hV/view?usp=drivesdk","744_ELISABETH LELAPARY _ SERTIFIKAT BIMTEK IPASN BerAKHLASK")</f>
        <v>744_ELISABETH LELAPARY _ SERTIFIKAT BIMTEK IPASN BerAKHLASK</v>
      </c>
      <c r="P745" s="5" t="s">
        <v>7012</v>
      </c>
      <c r="Q745" s="5" t="s">
        <v>7049</v>
      </c>
      <c r="R745" s="7" t="s">
        <v>7050</v>
      </c>
      <c r="S745" s="7" t="str">
        <f>HYPERLINK("https://drive.google.com/file/d/1ZSo0zUZDUaNXtMZUQQKX2QjD3AGHUFUr/view?usp=drivesdk","744_ELISABETH LELAPARY SERTIFIKAT BIMTEK IPASN-BerAKHLAK")</f>
        <v>744_ELISABETH LELAPARY SERTIFIKAT BIMTEK IPASN-BerAKHLAK</v>
      </c>
      <c r="T745" s="5" t="s">
        <v>7004</v>
      </c>
    </row>
    <row r="746">
      <c r="A746" s="4">
        <v>45534.32538721064</v>
      </c>
      <c r="B746" s="5" t="s">
        <v>34</v>
      </c>
      <c r="D746" s="5" t="s">
        <v>267</v>
      </c>
      <c r="E746" s="5" t="s">
        <v>7051</v>
      </c>
      <c r="F746" s="5" t="s">
        <v>212</v>
      </c>
      <c r="G746" s="5" t="s">
        <v>7052</v>
      </c>
      <c r="H746" s="6" t="s">
        <v>7053</v>
      </c>
      <c r="I746" s="7" t="s">
        <v>7054</v>
      </c>
      <c r="J746" s="8" t="str">
        <f>HYPERLINK("https://drive.google.com/file/d/1HK6W_AYlF8xF8_p3fgGF6vafL75d4uSy/view?usp=drivesdk","RUBIYANTO RUBIYANTO  SERTIFIKAT BerAKHLAK")</f>
        <v>RUBIYANTO RUBIYANTO  SERTIFIKAT BerAKHLAK</v>
      </c>
      <c r="K746" s="5" t="s">
        <v>6248</v>
      </c>
      <c r="L746" s="5" t="s">
        <v>7055</v>
      </c>
      <c r="M746" s="5" t="s">
        <v>7056</v>
      </c>
      <c r="N746" s="7" t="s">
        <v>7057</v>
      </c>
      <c r="O746" s="8" t="str">
        <f>HYPERLINK("https://drive.google.com/file/d/1-gd7tqPoh1Y5_qIZbGVJJl-wu7EySyi-/view?usp=drivesdk","745_RUBIYANTO RUBIYANTO  _ SERTIFIKAT BIMTEK IPASN BerAKHLASK")</f>
        <v>745_RUBIYANTO RUBIYANTO  _ SERTIFIKAT BIMTEK IPASN BerAKHLASK</v>
      </c>
      <c r="P746" s="5" t="s">
        <v>7058</v>
      </c>
      <c r="Q746" s="5" t="s">
        <v>7059</v>
      </c>
      <c r="R746" s="7" t="s">
        <v>7060</v>
      </c>
      <c r="S746" s="7" t="str">
        <f>HYPERLINK("https://drive.google.com/file/d/1qV2YMwtU-jTX-oH0AO8PccVlzmzTSH9S/view?usp=drivesdk","745_RUBIYANTO RUBIYANTO  SERTIFIKAT BIMTEK IPASN-BerAKHLAK")</f>
        <v>745_RUBIYANTO RUBIYANTO  SERTIFIKAT BIMTEK IPASN-BerAKHLAK</v>
      </c>
      <c r="T746" s="5" t="s">
        <v>7061</v>
      </c>
    </row>
    <row r="747">
      <c r="A747" s="4">
        <v>45534.32538815972</v>
      </c>
      <c r="B747" s="5" t="s">
        <v>34</v>
      </c>
      <c r="D747" s="5" t="s">
        <v>522</v>
      </c>
      <c r="E747" s="5" t="s">
        <v>7062</v>
      </c>
      <c r="F747" s="5" t="s">
        <v>37</v>
      </c>
      <c r="G747" s="5" t="s">
        <v>7063</v>
      </c>
      <c r="H747" s="6" t="s">
        <v>7064</v>
      </c>
      <c r="I747" s="7" t="s">
        <v>7065</v>
      </c>
      <c r="J747" s="8" t="str">
        <f>HYPERLINK("https://drive.google.com/file/d/1neLC_n_0FwW3fVerXyYKX6xIMFRNF2vT/view?usp=drivesdk","ROSIANA ROSIANA SERTIFIKAT BerAKHLAK")</f>
        <v>ROSIANA ROSIANA SERTIFIKAT BerAKHLAK</v>
      </c>
      <c r="K747" s="5" t="s">
        <v>6248</v>
      </c>
      <c r="L747" s="5" t="s">
        <v>7066</v>
      </c>
      <c r="M747" s="5" t="s">
        <v>7067</v>
      </c>
      <c r="N747" s="7" t="s">
        <v>7068</v>
      </c>
      <c r="O747" s="8" t="str">
        <f>HYPERLINK("https://drive.google.com/file/d/1X7sC1_Ujd3My5G-nG1Dr8oDFxU8L0XDQ/view?usp=drivesdk","746_ROSIANA ROSIANA _ SERTIFIKAT BIMTEK IPASN BerAKHLASK")</f>
        <v>746_ROSIANA ROSIANA _ SERTIFIKAT BIMTEK IPASN BerAKHLASK</v>
      </c>
      <c r="P747" s="5" t="s">
        <v>7058</v>
      </c>
      <c r="Q747" s="5" t="s">
        <v>7069</v>
      </c>
      <c r="R747" s="7" t="s">
        <v>7070</v>
      </c>
      <c r="S747" s="7" t="str">
        <f>HYPERLINK("https://drive.google.com/file/d/1Z90NbSw90fvXeFROVqe-0r10DiGMppKw/view?usp=drivesdk","746_ROSIANA ROSIANA SERTIFIKAT BIMTEK IPASN-BerAKHLAK")</f>
        <v>746_ROSIANA ROSIANA SERTIFIKAT BIMTEK IPASN-BerAKHLAK</v>
      </c>
      <c r="T747" s="5" t="s">
        <v>7061</v>
      </c>
    </row>
    <row r="748">
      <c r="A748" s="4">
        <v>45534.325399884256</v>
      </c>
      <c r="B748" s="5" t="s">
        <v>34</v>
      </c>
      <c r="D748" s="5" t="s">
        <v>35</v>
      </c>
      <c r="E748" s="5" t="s">
        <v>7071</v>
      </c>
      <c r="F748" s="5" t="s">
        <v>72</v>
      </c>
      <c r="G748" s="5" t="s">
        <v>7072</v>
      </c>
      <c r="H748" s="6" t="s">
        <v>7073</v>
      </c>
      <c r="I748" s="7" t="s">
        <v>7074</v>
      </c>
      <c r="J748" s="8" t="str">
        <f>HYPERLINK("https://drive.google.com/file/d/1IVVOHxnAxsKXLNsc36cZWvTMsfrbtSE9/view?usp=drivesdk","YUYUNSUGANDA SERTIFIKAT BerAKHLAK")</f>
        <v>YUYUNSUGANDA SERTIFIKAT BerAKHLAK</v>
      </c>
      <c r="K748" s="5" t="s">
        <v>6248</v>
      </c>
      <c r="L748" s="5" t="s">
        <v>7075</v>
      </c>
      <c r="M748" s="5" t="s">
        <v>7076</v>
      </c>
      <c r="N748" s="7" t="s">
        <v>7077</v>
      </c>
      <c r="O748" s="8" t="str">
        <f>HYPERLINK("https://drive.google.com/file/d/1R7aZAsU2xi31zzJrvghj3__oo58iAtSP/view?usp=drivesdk","747_YUYUNSUGANDA _ SERTIFIKAT BIMTEK IPASN BerAKHLASK")</f>
        <v>747_YUYUNSUGANDA _ SERTIFIKAT BIMTEK IPASN BerAKHLASK</v>
      </c>
      <c r="P748" s="5" t="s">
        <v>7078</v>
      </c>
      <c r="Q748" s="5" t="s">
        <v>7079</v>
      </c>
      <c r="R748" s="7" t="s">
        <v>7080</v>
      </c>
      <c r="S748" s="7" t="str">
        <f>HYPERLINK("https://drive.google.com/file/d/1kGTlOrQL7h-9o7eCWlI5nw26vWc-X7k0/view?usp=drivesdk","747_YUYUNSUGANDA SERTIFIKAT BIMTEK IPASN-BerAKHLAK")</f>
        <v>747_YUYUNSUGANDA SERTIFIKAT BIMTEK IPASN-BerAKHLAK</v>
      </c>
      <c r="T748" s="5" t="s">
        <v>7061</v>
      </c>
    </row>
    <row r="749">
      <c r="A749" s="4">
        <v>45534.325433125</v>
      </c>
      <c r="B749" s="5" t="s">
        <v>34</v>
      </c>
      <c r="D749" s="5" t="s">
        <v>35</v>
      </c>
      <c r="E749" s="5" t="s">
        <v>7081</v>
      </c>
      <c r="F749" s="5" t="s">
        <v>212</v>
      </c>
      <c r="G749" s="5" t="s">
        <v>7082</v>
      </c>
      <c r="H749" s="6" t="s">
        <v>7083</v>
      </c>
      <c r="I749" s="7" t="s">
        <v>7084</v>
      </c>
      <c r="J749" s="8" t="str">
        <f>HYPERLINK("https://drive.google.com/file/d/1_-lIeW9hC9bP3sYIXN3OtdQ_zIyeBxCS/view?usp=drivesdk","AIDA FITRI ARDIYANI SERTIFIKAT BerAKHLAK")</f>
        <v>AIDA FITRI ARDIYANI SERTIFIKAT BerAKHLAK</v>
      </c>
      <c r="K749" s="5" t="s">
        <v>6248</v>
      </c>
      <c r="L749" s="5" t="s">
        <v>7085</v>
      </c>
      <c r="M749" s="5" t="s">
        <v>7086</v>
      </c>
      <c r="N749" s="7" t="s">
        <v>7087</v>
      </c>
      <c r="O749" s="8" t="str">
        <f>HYPERLINK("https://drive.google.com/file/d/1nz6Kus9cHljR46FV7CVmgvM3HqT_0qWt/view?usp=drivesdk","748_AIDA FITRI ARDIYANI _ SERTIFIKAT BIMTEK IPASN BerAKHLASK")</f>
        <v>748_AIDA FITRI ARDIYANI _ SERTIFIKAT BIMTEK IPASN BerAKHLASK</v>
      </c>
      <c r="P749" s="5" t="s">
        <v>7078</v>
      </c>
      <c r="Q749" s="5" t="s">
        <v>7088</v>
      </c>
      <c r="R749" s="7" t="s">
        <v>7089</v>
      </c>
      <c r="S749" s="7" t="str">
        <f>HYPERLINK("https://drive.google.com/file/d/1bRctuHIaFsYocXAm8qNdAhokjNkokxmB/view?usp=drivesdk","748_AIDA FITRI ARDIYANI SERTIFIKAT BIMTEK IPASN-BerAKHLAK")</f>
        <v>748_AIDA FITRI ARDIYANI SERTIFIKAT BIMTEK IPASN-BerAKHLAK</v>
      </c>
      <c r="T749" s="5" t="s">
        <v>7061</v>
      </c>
    </row>
    <row r="750">
      <c r="A750" s="4">
        <v>45534.325459907406</v>
      </c>
      <c r="B750" s="5" t="s">
        <v>34</v>
      </c>
      <c r="D750" s="5" t="s">
        <v>35</v>
      </c>
      <c r="E750" s="5" t="s">
        <v>7090</v>
      </c>
      <c r="F750" s="5" t="s">
        <v>72</v>
      </c>
      <c r="G750" s="5" t="s">
        <v>7091</v>
      </c>
      <c r="H750" s="6" t="s">
        <v>7092</v>
      </c>
      <c r="I750" s="7" t="s">
        <v>7093</v>
      </c>
      <c r="J750" s="8" t="str">
        <f>HYPERLINK("https://drive.google.com/file/d/13v5KbERPDWmrsjVE1F3ImyTu_G2Tet6m/view?usp=drivesdk","DYAH PUSPITASARI, A.Md.Keb SERTIFIKAT BerAKHLAK")</f>
        <v>DYAH PUSPITASARI, A.Md.Keb SERTIFIKAT BerAKHLAK</v>
      </c>
      <c r="K750" s="5" t="s">
        <v>6248</v>
      </c>
      <c r="L750" s="5" t="s">
        <v>7094</v>
      </c>
      <c r="M750" s="5" t="s">
        <v>7095</v>
      </c>
      <c r="N750" s="7" t="s">
        <v>7096</v>
      </c>
      <c r="O750" s="8" t="str">
        <f>HYPERLINK("https://drive.google.com/file/d/1AkNw3E4T8_J2tNzqWVDNiI83hZR1VW7g/view?usp=drivesdk","749_DYAH PUSPITASARI, A.Md.Keb _ SERTIFIKAT BIMTEK IPASN BerAKHLASK")</f>
        <v>749_DYAH PUSPITASARI, A.Md.Keb _ SERTIFIKAT BIMTEK IPASN BerAKHLASK</v>
      </c>
      <c r="P750" s="5" t="s">
        <v>7078</v>
      </c>
      <c r="Q750" s="5" t="s">
        <v>7097</v>
      </c>
      <c r="R750" s="7" t="s">
        <v>7098</v>
      </c>
      <c r="S750" s="7" t="str">
        <f>HYPERLINK("https://drive.google.com/file/d/1YDJBBYMCBjWY_kMPjoJYL_es22McyRkN/view?usp=drivesdk","749_DYAH PUSPITASARI, A.Md.Keb SERTIFIKAT BIMTEK IPASN-BerAKHLAK")</f>
        <v>749_DYAH PUSPITASARI, A.Md.Keb SERTIFIKAT BIMTEK IPASN-BerAKHLAK</v>
      </c>
      <c r="T750" s="5" t="s">
        <v>7061</v>
      </c>
    </row>
    <row r="751">
      <c r="A751" s="4">
        <v>45534.325477199076</v>
      </c>
      <c r="B751" s="5" t="s">
        <v>34</v>
      </c>
      <c r="D751" s="5" t="s">
        <v>35</v>
      </c>
      <c r="E751" s="5" t="s">
        <v>7099</v>
      </c>
      <c r="F751" s="5" t="s">
        <v>37</v>
      </c>
      <c r="G751" s="5" t="s">
        <v>7100</v>
      </c>
      <c r="H751" s="6" t="s">
        <v>7101</v>
      </c>
      <c r="I751" s="7" t="s">
        <v>7102</v>
      </c>
      <c r="J751" s="8" t="str">
        <f>HYPERLINK("https://drive.google.com/file/d/1o1Ye0Z8AXa0sJ1GaFBFQv_90Yya-Fqdo/view?usp=drivesdk","NITA OKTAVIANI HERMAWATI  SERTIFIKAT BerAKHLAK")</f>
        <v>NITA OKTAVIANI HERMAWATI  SERTIFIKAT BerAKHLAK</v>
      </c>
      <c r="K751" s="5" t="s">
        <v>6248</v>
      </c>
      <c r="L751" s="5" t="s">
        <v>7103</v>
      </c>
      <c r="M751" s="5" t="s">
        <v>7104</v>
      </c>
      <c r="N751" s="7" t="s">
        <v>7105</v>
      </c>
      <c r="O751" s="8" t="str">
        <f>HYPERLINK("https://drive.google.com/file/d/1Mxh19_e4MHb-Nw7MqqML4gyxGyF9zERH/view?usp=drivesdk","750_NITA OKTAVIANI HERMAWATI  _ SERTIFIKAT BIMTEK IPASN BerAKHLASK")</f>
        <v>750_NITA OKTAVIANI HERMAWATI  _ SERTIFIKAT BIMTEK IPASN BerAKHLASK</v>
      </c>
      <c r="P751" s="5" t="s">
        <v>7106</v>
      </c>
      <c r="Q751" s="5" t="s">
        <v>7107</v>
      </c>
      <c r="R751" s="7" t="s">
        <v>7108</v>
      </c>
      <c r="S751" s="7" t="str">
        <f>HYPERLINK("https://drive.google.com/file/d/1y7dJ8lPJeaDR5_QJMQsrN3SB0IHoLPPY/view?usp=drivesdk","750_NITA OKTAVIANI HERMAWATI  SERTIFIKAT BIMTEK IPASN-BerAKHLAK")</f>
        <v>750_NITA OKTAVIANI HERMAWATI  SERTIFIKAT BIMTEK IPASN-BerAKHLAK</v>
      </c>
      <c r="T751" s="5" t="s">
        <v>7109</v>
      </c>
    </row>
    <row r="752" hidden="1">
      <c r="A752" s="4">
        <v>45534.32548251157</v>
      </c>
      <c r="B752" s="5" t="s">
        <v>19</v>
      </c>
      <c r="C752" s="5" t="s">
        <v>292</v>
      </c>
      <c r="E752" s="5" t="s">
        <v>7110</v>
      </c>
      <c r="F752" s="5" t="s">
        <v>212</v>
      </c>
      <c r="G752" s="5" t="s">
        <v>7111</v>
      </c>
      <c r="H752" s="6" t="s">
        <v>7112</v>
      </c>
      <c r="I752" s="7" t="s">
        <v>7113</v>
      </c>
      <c r="J752" s="8" t="str">
        <f>HYPERLINK("https://drive.google.com/file/d/1twaohFr9UeCKtVdT6jti1aEj9bi4_GSI/view?usp=drivesdk","NANA TRI KURNIA SARI  SERTIFIKAT BerAKHLAK")</f>
        <v>NANA TRI KURNIA SARI  SERTIFIKAT BerAKHLAK</v>
      </c>
      <c r="K752" s="5" t="s">
        <v>6248</v>
      </c>
      <c r="L752" s="5" t="s">
        <v>7114</v>
      </c>
      <c r="M752" s="5" t="s">
        <v>7115</v>
      </c>
      <c r="N752" s="7" t="s">
        <v>7116</v>
      </c>
      <c r="O752" s="8" t="str">
        <f>HYPERLINK("https://drive.google.com/file/d/1h-WFP3UMADFY-7RFOIi_y-J32Qhd-fr7/view?usp=drivesdk","751_NANA TRI KURNIA SARI  _ SERTIFIKAT BIMTEK IPASN BerAKHLASK")</f>
        <v>751_NANA TRI KURNIA SARI  _ SERTIFIKAT BIMTEK IPASN BerAKHLASK</v>
      </c>
      <c r="P752" s="5" t="s">
        <v>7106</v>
      </c>
      <c r="Q752" s="5" t="s">
        <v>7117</v>
      </c>
      <c r="R752" s="7" t="s">
        <v>7118</v>
      </c>
      <c r="S752" s="7" t="str">
        <f>HYPERLINK("https://drive.google.com/file/d/1ynuMblf0QfVDtQQx8gp-KB0jiF7d46L2/view?usp=drivesdk","751_NANA TRI KURNIA SARI  SERTIFIKAT BIMTEK IPASN-BerAKHLAK")</f>
        <v>751_NANA TRI KURNIA SARI  SERTIFIKAT BIMTEK IPASN-BerAKHLAK</v>
      </c>
      <c r="T752" s="5" t="s">
        <v>7109</v>
      </c>
    </row>
    <row r="753">
      <c r="A753" s="4">
        <v>45534.32549894676</v>
      </c>
      <c r="B753" s="5" t="s">
        <v>34</v>
      </c>
      <c r="D753" s="5" t="s">
        <v>996</v>
      </c>
      <c r="E753" s="5" t="s">
        <v>7119</v>
      </c>
      <c r="F753" s="5" t="s">
        <v>212</v>
      </c>
      <c r="G753" s="5" t="s">
        <v>7120</v>
      </c>
      <c r="H753" s="6" t="s">
        <v>7121</v>
      </c>
      <c r="I753" s="7" t="s">
        <v>7122</v>
      </c>
      <c r="J753" s="8" t="str">
        <f>HYPERLINK("https://drive.google.com/file/d/1bDVRXQUDVsy0DQBW3sC0TexcxkLWnBQ5/view?usp=drivesdk","JUMIATI MISBAH SERTIFIKAT BerAKHLAK")</f>
        <v>JUMIATI MISBAH SERTIFIKAT BerAKHLAK</v>
      </c>
      <c r="K753" s="5" t="s">
        <v>6248</v>
      </c>
      <c r="L753" s="5" t="s">
        <v>7123</v>
      </c>
      <c r="M753" s="5" t="s">
        <v>7124</v>
      </c>
      <c r="N753" s="7" t="s">
        <v>7125</v>
      </c>
      <c r="O753" s="8" t="str">
        <f>HYPERLINK("https://drive.google.com/file/d/1mJLxtlyC0MUxdINL0vCWnK0oEFs_WoOm/view?usp=drivesdk","752_JUMIATI MISBAH _ SERTIFIKAT BIMTEK IPASN BerAKHLASK")</f>
        <v>752_JUMIATI MISBAH _ SERTIFIKAT BIMTEK IPASN BerAKHLASK</v>
      </c>
      <c r="P753" s="5" t="s">
        <v>7106</v>
      </c>
      <c r="Q753" s="5" t="s">
        <v>7126</v>
      </c>
      <c r="R753" s="7" t="s">
        <v>7127</v>
      </c>
      <c r="S753" s="7" t="str">
        <f>HYPERLINK("https://drive.google.com/file/d/1CTaodXXznLyglQt_QM5JyUETrfsNuPKn/view?usp=drivesdk","752_JUMIATI MISBAH SERTIFIKAT BIMTEK IPASN-BerAKHLAK")</f>
        <v>752_JUMIATI MISBAH SERTIFIKAT BIMTEK IPASN-BerAKHLAK</v>
      </c>
      <c r="T753" s="5" t="s">
        <v>7109</v>
      </c>
    </row>
    <row r="754">
      <c r="A754" s="4">
        <v>45534.32550905093</v>
      </c>
      <c r="B754" s="5" t="s">
        <v>34</v>
      </c>
      <c r="D754" s="5" t="s">
        <v>1206</v>
      </c>
      <c r="E754" s="5" t="s">
        <v>7128</v>
      </c>
      <c r="F754" s="5" t="s">
        <v>72</v>
      </c>
      <c r="G754" s="5" t="s">
        <v>7129</v>
      </c>
      <c r="H754" s="6" t="s">
        <v>7130</v>
      </c>
      <c r="I754" s="7" t="s">
        <v>7131</v>
      </c>
      <c r="J754" s="8" t="str">
        <f>HYPERLINK("https://drive.google.com/file/d/1FPcBqfMQVYjPjIz60W-_vqphZKXJLgQD/view?usp=drivesdk","INDAH HANDAYANI, S.T. SERTIFIKAT BerAKHLAK")</f>
        <v>INDAH HANDAYANI, S.T. SERTIFIKAT BerAKHLAK</v>
      </c>
      <c r="K754" s="5" t="s">
        <v>6237</v>
      </c>
      <c r="L754" s="5" t="s">
        <v>7132</v>
      </c>
      <c r="M754" s="5" t="s">
        <v>7133</v>
      </c>
      <c r="N754" s="7" t="s">
        <v>7134</v>
      </c>
      <c r="O754" s="8" t="str">
        <f>HYPERLINK("https://drive.google.com/file/d/1EqB2HOmLGAClYktWgpqut_gpxLfWSoe0/view?usp=drivesdk","753_INDAH HANDAYANI, S.T. _ SERTIFIKAT BIMTEK IPASN BerAKHLASK")</f>
        <v>753_INDAH HANDAYANI, S.T. _ SERTIFIKAT BIMTEK IPASN BerAKHLASK</v>
      </c>
      <c r="P754" s="5" t="s">
        <v>7106</v>
      </c>
      <c r="Q754" s="5" t="s">
        <v>7135</v>
      </c>
      <c r="R754" s="7" t="s">
        <v>7136</v>
      </c>
      <c r="S754" s="7" t="str">
        <f>HYPERLINK("https://drive.google.com/file/d/1fS8JqkFlT6jYiBng66SNOqbWI6vuHxQm/view?usp=drivesdk","753_INDAH HANDAYANI, S.T. SERTIFIKAT BIMTEK IPASN-BerAKHLAK")</f>
        <v>753_INDAH HANDAYANI, S.T. SERTIFIKAT BIMTEK IPASN-BerAKHLAK</v>
      </c>
      <c r="T754" s="5" t="s">
        <v>7109</v>
      </c>
    </row>
    <row r="755" hidden="1">
      <c r="A755" s="4">
        <v>45534.32552195602</v>
      </c>
      <c r="B755" s="5" t="s">
        <v>19</v>
      </c>
      <c r="C755" s="5" t="s">
        <v>442</v>
      </c>
      <c r="E755" s="5" t="s">
        <v>7137</v>
      </c>
      <c r="F755" s="5" t="s">
        <v>108</v>
      </c>
      <c r="G755" s="5" t="s">
        <v>7138</v>
      </c>
      <c r="H755" s="6" t="s">
        <v>7139</v>
      </c>
      <c r="I755" s="7" t="s">
        <v>7140</v>
      </c>
      <c r="J755" s="8" t="str">
        <f>HYPERLINK("https://drive.google.com/file/d/1r-66mAALOhNVOcSamMt93SFZpRs0PPQ5/view?usp=drivesdk","WASIS MARSUDI A.Md SERTIFIKAT BerAKHLAK")</f>
        <v>WASIS MARSUDI A.Md SERTIFIKAT BerAKHLAK</v>
      </c>
      <c r="K755" s="5" t="s">
        <v>6248</v>
      </c>
      <c r="L755" s="5" t="s">
        <v>7141</v>
      </c>
      <c r="M755" s="5" t="s">
        <v>7142</v>
      </c>
      <c r="N755" s="7" t="s">
        <v>7143</v>
      </c>
      <c r="O755" s="8" t="str">
        <f>HYPERLINK("https://drive.google.com/file/d/1cTb0TiCVeiiTHxwDS90ds0PrWDR5fWxI/view?usp=drivesdk","754_WASIS MARSUDI A.Md _ SERTIFIKAT BIMTEK IPASN BerAKHLASK")</f>
        <v>754_WASIS MARSUDI A.Md _ SERTIFIKAT BIMTEK IPASN BerAKHLASK</v>
      </c>
      <c r="P755" s="5" t="s">
        <v>7106</v>
      </c>
      <c r="Q755" s="5"/>
      <c r="R755" s="5"/>
      <c r="S755" s="5"/>
      <c r="T755" s="5" t="s">
        <v>7144</v>
      </c>
    </row>
    <row r="756">
      <c r="A756" s="4">
        <v>45534.32553484954</v>
      </c>
      <c r="B756" s="5" t="s">
        <v>34</v>
      </c>
      <c r="D756" s="5" t="s">
        <v>280</v>
      </c>
      <c r="E756" s="5" t="s">
        <v>7145</v>
      </c>
      <c r="F756" s="5" t="s">
        <v>199</v>
      </c>
      <c r="G756" s="5" t="s">
        <v>7146</v>
      </c>
      <c r="H756" s="6" t="s">
        <v>7147</v>
      </c>
      <c r="I756" s="7" t="s">
        <v>7148</v>
      </c>
      <c r="J756" s="8" t="str">
        <f>HYPERLINK("https://drive.google.com/file/d/1M-VDbNunDxe0SIX-ofkWWyEyTjRIriuH/view?usp=drivesdk","APINAR LENI LIZAR SERTIFIKAT BerAKHLAK")</f>
        <v>APINAR LENI LIZAR SERTIFIKAT BerAKHLAK</v>
      </c>
      <c r="K756" s="5" t="s">
        <v>6248</v>
      </c>
      <c r="L756" s="5" t="s">
        <v>7149</v>
      </c>
      <c r="M756" s="5" t="s">
        <v>7150</v>
      </c>
      <c r="N756" s="7" t="s">
        <v>7151</v>
      </c>
      <c r="O756" s="8" t="str">
        <f>HYPERLINK("https://drive.google.com/file/d/1O2P33mb4DGWmgq0fEw9RO83nrwm3NSov/view?usp=drivesdk","755_APINAR LENI LIZAR _ SERTIFIKAT BIMTEK IPASN BerAKHLASK")</f>
        <v>755_APINAR LENI LIZAR _ SERTIFIKAT BIMTEK IPASN BerAKHLASK</v>
      </c>
      <c r="P756" s="5" t="s">
        <v>7152</v>
      </c>
      <c r="Q756" s="5"/>
      <c r="R756" s="5"/>
      <c r="S756" s="5"/>
      <c r="T756" s="5" t="s">
        <v>7144</v>
      </c>
    </row>
    <row r="757">
      <c r="A757" s="4">
        <v>45534.32558578704</v>
      </c>
      <c r="B757" s="5" t="s">
        <v>34</v>
      </c>
      <c r="D757" s="5" t="s">
        <v>1456</v>
      </c>
      <c r="E757" s="5" t="s">
        <v>7153</v>
      </c>
      <c r="F757" s="5" t="s">
        <v>212</v>
      </c>
      <c r="G757" s="5" t="s">
        <v>7154</v>
      </c>
      <c r="H757" s="6" t="s">
        <v>7155</v>
      </c>
      <c r="I757" s="7" t="s">
        <v>7156</v>
      </c>
      <c r="J757" s="8" t="str">
        <f>HYPERLINK("https://drive.google.com/file/d/12HZu3Njomr_fL0-m77frrSvR1jL_RzHz/view?usp=drivesdk","MUHAMMAD RIFA'I, S.AP SERTIFIKAT BerAKHLAK")</f>
        <v>MUHAMMAD RIFA'I, S.AP SERTIFIKAT BerAKHLAK</v>
      </c>
      <c r="K757" s="5" t="s">
        <v>6237</v>
      </c>
      <c r="L757" s="5" t="s">
        <v>7157</v>
      </c>
      <c r="M757" s="5" t="s">
        <v>7158</v>
      </c>
      <c r="N757" s="7" t="s">
        <v>7159</v>
      </c>
      <c r="O757" s="8" t="str">
        <f>HYPERLINK("https://drive.google.com/file/d/1tCyx2LLHK7K7xJ71P49JEYu4eEFYx_Fa/view?usp=drivesdk","756_MUHAMMAD RIFA'I, S.AP _ SERTIFIKAT BIMTEK IPASN BerAKHLASK")</f>
        <v>756_MUHAMMAD RIFA'I, S.AP _ SERTIFIKAT BIMTEK IPASN BerAKHLASK</v>
      </c>
      <c r="P757" s="5" t="s">
        <v>7152</v>
      </c>
      <c r="Q757" s="5"/>
      <c r="R757" s="5"/>
      <c r="S757" s="5"/>
      <c r="T757" s="5" t="s">
        <v>7144</v>
      </c>
    </row>
    <row r="758">
      <c r="A758" s="4">
        <v>45534.32561636574</v>
      </c>
      <c r="B758" s="5" t="s">
        <v>34</v>
      </c>
      <c r="D758" s="5" t="s">
        <v>975</v>
      </c>
      <c r="E758" s="5" t="s">
        <v>7160</v>
      </c>
      <c r="F758" s="5" t="s">
        <v>37</v>
      </c>
      <c r="G758" s="5" t="s">
        <v>7161</v>
      </c>
      <c r="H758" s="6" t="s">
        <v>7162</v>
      </c>
      <c r="I758" s="7" t="s">
        <v>7163</v>
      </c>
      <c r="J758" s="8" t="str">
        <f>HYPERLINK("https://drive.google.com/file/d/196aQUfapuW3rd2k9wWiz7AsqqqQNRdmg/view?usp=drivesdk","HENI PURWATI, AMD KEB SERTIFIKAT BerAKHLAK")</f>
        <v>HENI PURWATI, AMD KEB SERTIFIKAT BerAKHLAK</v>
      </c>
      <c r="K758" s="5" t="s">
        <v>6248</v>
      </c>
      <c r="L758" s="5" t="s">
        <v>7164</v>
      </c>
      <c r="M758" s="5" t="s">
        <v>7165</v>
      </c>
      <c r="N758" s="7" t="s">
        <v>7166</v>
      </c>
      <c r="O758" s="8" t="str">
        <f>HYPERLINK("https://drive.google.com/file/d/1VvdAbn9hd92YopBBp0bUiIOeqdeZHgyk/view?usp=drivesdk","757_HENI PURWATI, AMD KEB _ SERTIFIKAT BIMTEK IPASN BerAKHLASK")</f>
        <v>757_HENI PURWATI, AMD KEB _ SERTIFIKAT BIMTEK IPASN BerAKHLASK</v>
      </c>
      <c r="P758" s="5" t="s">
        <v>7152</v>
      </c>
      <c r="Q758" s="5"/>
      <c r="R758" s="5"/>
      <c r="S758" s="5"/>
      <c r="T758" s="5" t="s">
        <v>7144</v>
      </c>
    </row>
    <row r="759" hidden="1">
      <c r="A759" s="4">
        <v>45534.325629976855</v>
      </c>
      <c r="B759" s="5" t="s">
        <v>19</v>
      </c>
      <c r="C759" s="5" t="s">
        <v>3301</v>
      </c>
      <c r="E759" s="5" t="s">
        <v>7167</v>
      </c>
      <c r="F759" s="5" t="s">
        <v>37</v>
      </c>
      <c r="G759" s="5" t="s">
        <v>7168</v>
      </c>
      <c r="H759" s="6" t="s">
        <v>7169</v>
      </c>
      <c r="I759" s="7" t="s">
        <v>7170</v>
      </c>
      <c r="J759" s="8" t="str">
        <f>HYPERLINK("https://drive.google.com/file/d/1sEXNG2guvIeVTC5ub6xQltrB3cL9OxkW/view?usp=drivesdk","SITI NURLAELA  SERTIFIKAT BerAKHLAK")</f>
        <v>SITI NURLAELA  SERTIFIKAT BerAKHLAK</v>
      </c>
      <c r="K759" s="5" t="s">
        <v>6248</v>
      </c>
      <c r="L759" s="5" t="s">
        <v>7171</v>
      </c>
      <c r="M759" s="5" t="s">
        <v>7172</v>
      </c>
      <c r="N759" s="7" t="s">
        <v>7173</v>
      </c>
      <c r="O759" s="8" t="str">
        <f>HYPERLINK("https://drive.google.com/file/d/1kPFMhvfhJzdmeaM9D60LJpSiRZRUxUfo/view?usp=drivesdk","758_SITI NURLAELA  _ SERTIFIKAT BIMTEK IPASN BerAKHLASK")</f>
        <v>758_SITI NURLAELA  _ SERTIFIKAT BIMTEK IPASN BerAKHLASK</v>
      </c>
      <c r="P759" s="5" t="s">
        <v>7152</v>
      </c>
      <c r="Q759" s="5"/>
      <c r="R759" s="5"/>
      <c r="S759" s="5"/>
      <c r="T759" s="5" t="s">
        <v>7144</v>
      </c>
    </row>
    <row r="760">
      <c r="A760" s="4">
        <v>45534.32563994213</v>
      </c>
      <c r="B760" s="5" t="s">
        <v>34</v>
      </c>
      <c r="D760" s="5" t="s">
        <v>604</v>
      </c>
      <c r="E760" s="5" t="s">
        <v>7174</v>
      </c>
      <c r="F760" s="5" t="s">
        <v>524</v>
      </c>
      <c r="G760" s="5" t="s">
        <v>7175</v>
      </c>
      <c r="H760" s="6" t="s">
        <v>7176</v>
      </c>
      <c r="I760" s="7" t="s">
        <v>7177</v>
      </c>
      <c r="J760" s="8" t="str">
        <f>HYPERLINK("https://drive.google.com/file/d/1kBlW3244WVj5jG7NLzrLNHv1UbK8pLTe/view?usp=drivesdk","TOMI ANGGORO PUTRO SERTIFIKAT BerAKHLAK")</f>
        <v>TOMI ANGGORO PUTRO SERTIFIKAT BerAKHLAK</v>
      </c>
      <c r="K760" s="5" t="s">
        <v>6248</v>
      </c>
      <c r="L760" s="5" t="s">
        <v>7178</v>
      </c>
      <c r="M760" s="5" t="s">
        <v>7179</v>
      </c>
      <c r="N760" s="7" t="s">
        <v>7180</v>
      </c>
      <c r="O760" s="8" t="str">
        <f>HYPERLINK("https://drive.google.com/file/d/1Ns3EHQGXNj9tyooTloEkxczHwhUznH1v/view?usp=drivesdk","759_TOMI ANGGORO PUTRO _ SERTIFIKAT BIMTEK IPASN BerAKHLASK")</f>
        <v>759_TOMI ANGGORO PUTRO _ SERTIFIKAT BIMTEK IPASN BerAKHLASK</v>
      </c>
      <c r="P760" s="5" t="s">
        <v>7181</v>
      </c>
      <c r="Q760" s="5"/>
      <c r="R760" s="5"/>
      <c r="S760" s="5"/>
      <c r="T760" s="5" t="s">
        <v>7144</v>
      </c>
    </row>
    <row r="761">
      <c r="A761" s="4">
        <v>45534.325656967594</v>
      </c>
      <c r="B761" s="5" t="s">
        <v>34</v>
      </c>
      <c r="D761" s="5" t="s">
        <v>35</v>
      </c>
      <c r="E761" s="5" t="s">
        <v>7182</v>
      </c>
      <c r="F761" s="5" t="s">
        <v>37</v>
      </c>
      <c r="G761" s="5" t="s">
        <v>7183</v>
      </c>
      <c r="H761" s="6" t="s">
        <v>7184</v>
      </c>
      <c r="I761" s="7" t="s">
        <v>7185</v>
      </c>
      <c r="J761" s="8" t="str">
        <f>HYPERLINK("https://drive.google.com/file/d/1EXdRCKLGGOoAc3ao3aUV30oC83_lHySv/view?usp=drivesdk","MUHAMAD SEPTIAJI SERTIFIKAT BerAKHLAK")</f>
        <v>MUHAMAD SEPTIAJI SERTIFIKAT BerAKHLAK</v>
      </c>
      <c r="K761" s="5" t="s">
        <v>6248</v>
      </c>
      <c r="L761" s="5" t="s">
        <v>7186</v>
      </c>
      <c r="M761" s="5" t="s">
        <v>7187</v>
      </c>
      <c r="N761" s="7" t="s">
        <v>7188</v>
      </c>
      <c r="O761" s="8" t="str">
        <f>HYPERLINK("https://drive.google.com/file/d/1nJ2w2ulMgst2lj-UTv6cvlqJY3UY4NWc/view?usp=drivesdk","760_MUHAMAD SEPTIAJI _ SERTIFIKAT BIMTEK IPASN BerAKHLASK")</f>
        <v>760_MUHAMAD SEPTIAJI _ SERTIFIKAT BIMTEK IPASN BerAKHLASK</v>
      </c>
      <c r="P761" s="5" t="s">
        <v>7181</v>
      </c>
      <c r="Q761" s="5"/>
      <c r="R761" s="5"/>
      <c r="S761" s="5"/>
      <c r="T761" s="5" t="s">
        <v>7144</v>
      </c>
    </row>
    <row r="762" hidden="1">
      <c r="A762" s="4">
        <v>45534.32565994213</v>
      </c>
      <c r="B762" s="5" t="s">
        <v>19</v>
      </c>
      <c r="C762" s="5" t="s">
        <v>1606</v>
      </c>
      <c r="E762" s="5" t="s">
        <v>7189</v>
      </c>
      <c r="F762" s="5" t="s">
        <v>375</v>
      </c>
      <c r="G762" s="5" t="s">
        <v>7190</v>
      </c>
      <c r="H762" s="6" t="s">
        <v>7191</v>
      </c>
      <c r="I762" s="7" t="s">
        <v>7192</v>
      </c>
      <c r="J762" s="8" t="str">
        <f>HYPERLINK("https://drive.google.com/file/d/1hkiVUvAwIt_BdN7I7OF5amtcBrGWmm9Z/view?usp=drivesdk","RIAN DIBYANTI, SE SERTIFIKAT BerAKHLAK")</f>
        <v>RIAN DIBYANTI, SE SERTIFIKAT BerAKHLAK</v>
      </c>
      <c r="K762" s="5" t="s">
        <v>6248</v>
      </c>
      <c r="L762" s="5" t="s">
        <v>7193</v>
      </c>
      <c r="M762" s="5" t="s">
        <v>7194</v>
      </c>
      <c r="N762" s="7" t="s">
        <v>7195</v>
      </c>
      <c r="O762" s="8" t="str">
        <f>HYPERLINK("https://drive.google.com/file/d/1tms_PTeE_aBQvLEHVcWqj0Uo98nbGOg4/view?usp=drivesdk","761_RIAN DIBYANTI, SE _ SERTIFIKAT BIMTEK IPASN BerAKHLASK")</f>
        <v>761_RIAN DIBYANTI, SE _ SERTIFIKAT BIMTEK IPASN BerAKHLASK</v>
      </c>
      <c r="P762" s="5" t="s">
        <v>7181</v>
      </c>
      <c r="Q762" s="5"/>
      <c r="R762" s="5"/>
      <c r="S762" s="5"/>
      <c r="T762" s="5" t="s">
        <v>7144</v>
      </c>
    </row>
    <row r="763">
      <c r="A763" s="4">
        <v>45534.32566659722</v>
      </c>
      <c r="B763" s="5" t="s">
        <v>34</v>
      </c>
      <c r="D763" s="5" t="s">
        <v>522</v>
      </c>
      <c r="E763" s="5" t="s">
        <v>7196</v>
      </c>
      <c r="F763" s="5" t="s">
        <v>72</v>
      </c>
      <c r="G763" s="5" t="s">
        <v>7197</v>
      </c>
      <c r="H763" s="6" t="s">
        <v>7198</v>
      </c>
      <c r="I763" s="7" t="s">
        <v>7199</v>
      </c>
      <c r="J763" s="8" t="str">
        <f>HYPERLINK("https://drive.google.com/file/d/1CMUxyLixwh6Uo2LtNiyek0qTuqGFQUy1/view?usp=drivesdk","dr. PUTU PRIDA PURNAMASARI, S.Ked SERTIFIKAT BerAKHLAK")</f>
        <v>dr. PUTU PRIDA PURNAMASARI, S.Ked SERTIFIKAT BerAKHLAK</v>
      </c>
      <c r="K763" s="5" t="s">
        <v>6248</v>
      </c>
      <c r="L763" s="5" t="s">
        <v>7200</v>
      </c>
      <c r="M763" s="5" t="s">
        <v>7201</v>
      </c>
      <c r="N763" s="7" t="s">
        <v>7202</v>
      </c>
      <c r="O763" s="8" t="str">
        <f>HYPERLINK("https://drive.google.com/file/d/1oHucwxv5aIBNAx60ksIKzLjpm9SR16zZ/view?usp=drivesdk","762_dr. PUTU PRIDA PURNAMASARI, S.Ked _ SERTIFIKAT BIMTEK IPASN BerAKHLASK")</f>
        <v>762_dr. PUTU PRIDA PURNAMASARI, S.Ked _ SERTIFIKAT BIMTEK IPASN BerAKHLASK</v>
      </c>
      <c r="P763" s="5" t="s">
        <v>7181</v>
      </c>
      <c r="Q763" s="5"/>
      <c r="R763" s="5"/>
      <c r="S763" s="5"/>
      <c r="T763" s="5" t="s">
        <v>7144</v>
      </c>
    </row>
    <row r="764" hidden="1">
      <c r="A764" s="4">
        <v>45534.32571232639</v>
      </c>
      <c r="B764" s="5" t="s">
        <v>19</v>
      </c>
      <c r="C764" s="5" t="s">
        <v>3301</v>
      </c>
      <c r="E764" s="5" t="s">
        <v>7203</v>
      </c>
      <c r="F764" s="5" t="s">
        <v>22</v>
      </c>
      <c r="G764" s="5" t="s">
        <v>7204</v>
      </c>
      <c r="H764" s="6" t="s">
        <v>7205</v>
      </c>
      <c r="I764" s="7" t="s">
        <v>7206</v>
      </c>
      <c r="J764" s="8" t="str">
        <f>HYPERLINK("https://drive.google.com/file/d/16PR7a6IuID9gCa_ABGRM9Klw0enh0vWV/view?usp=drivesdk","Dr. RINI AFRIANTI, M.K.K. SERTIFIKAT BerAKHLAK")</f>
        <v>Dr. RINI AFRIANTI, M.K.K. SERTIFIKAT BerAKHLAK</v>
      </c>
      <c r="K764" s="5" t="s">
        <v>6248</v>
      </c>
      <c r="L764" s="5" t="s">
        <v>7207</v>
      </c>
      <c r="M764" s="5" t="s">
        <v>7208</v>
      </c>
      <c r="N764" s="7" t="s">
        <v>7209</v>
      </c>
      <c r="O764" s="8" t="str">
        <f>HYPERLINK("https://drive.google.com/file/d/1krKBdJ5_eSYHQcG1QuvgGH9d9pY2nPJs/view?usp=drivesdk","763_Dr. RINI AFRIANTI, M.K.K. _ SERTIFIKAT BIMTEK IPASN BerAKHLASK")</f>
        <v>763_Dr. RINI AFRIANTI, M.K.K. _ SERTIFIKAT BIMTEK IPASN BerAKHLASK</v>
      </c>
      <c r="P764" s="5" t="s">
        <v>7210</v>
      </c>
      <c r="Q764" s="5"/>
      <c r="R764" s="5"/>
      <c r="S764" s="5"/>
      <c r="T764" s="5" t="s">
        <v>7144</v>
      </c>
    </row>
    <row r="765">
      <c r="A765" s="4">
        <v>45534.325722615744</v>
      </c>
      <c r="B765" s="5" t="s">
        <v>34</v>
      </c>
      <c r="D765" s="5" t="s">
        <v>1768</v>
      </c>
      <c r="E765" s="5" t="s">
        <v>7211</v>
      </c>
      <c r="F765" s="5" t="s">
        <v>108</v>
      </c>
      <c r="G765" s="5" t="s">
        <v>7212</v>
      </c>
      <c r="H765" s="6" t="s">
        <v>7213</v>
      </c>
      <c r="I765" s="7" t="s">
        <v>7214</v>
      </c>
      <c r="J765" s="8" t="str">
        <f>HYPERLINK("https://drive.google.com/file/d/19k9Yq-Z2xnQxqBPY-ibrjyViozOCEYUS/view?usp=drivesdk","RAHAYU RIFANECHA, SKM SERTIFIKAT BerAKHLAK")</f>
        <v>RAHAYU RIFANECHA, SKM SERTIFIKAT BerAKHLAK</v>
      </c>
      <c r="K765" s="5" t="s">
        <v>6248</v>
      </c>
      <c r="L765" s="5" t="s">
        <v>7215</v>
      </c>
      <c r="M765" s="5" t="s">
        <v>7216</v>
      </c>
      <c r="N765" s="7" t="s">
        <v>7217</v>
      </c>
      <c r="O765" s="8" t="str">
        <f>HYPERLINK("https://drive.google.com/file/d/1nuDykLLIT19ff9wP970U2YqCkpgq5riY/view?usp=drivesdk","764_RAHAYU RIFANECHA, SKM _ SERTIFIKAT BIMTEK IPASN BerAKHLASK")</f>
        <v>764_RAHAYU RIFANECHA, SKM _ SERTIFIKAT BIMTEK IPASN BerAKHLASK</v>
      </c>
      <c r="P765" s="5" t="s">
        <v>7012</v>
      </c>
      <c r="Q765" s="5"/>
      <c r="R765" s="5"/>
      <c r="S765" s="5"/>
      <c r="T765" s="5" t="s">
        <v>7144</v>
      </c>
    </row>
    <row r="766">
      <c r="A766" s="4">
        <v>45534.325730185185</v>
      </c>
      <c r="B766" s="5" t="s">
        <v>34</v>
      </c>
      <c r="D766" s="5" t="s">
        <v>1206</v>
      </c>
      <c r="E766" s="5" t="s">
        <v>7218</v>
      </c>
      <c r="F766" s="5" t="s">
        <v>212</v>
      </c>
      <c r="G766" s="5" t="s">
        <v>7219</v>
      </c>
      <c r="H766" s="6" t="s">
        <v>7220</v>
      </c>
      <c r="I766" s="7" t="s">
        <v>7221</v>
      </c>
      <c r="J766" s="8" t="str">
        <f>HYPERLINK("https://drive.google.com/file/d/1WDnTnusdML0SRJxLl7sn_nwT37_QZcSd/view?usp=drivesdk","LILIK SUSILOWATI SERTIFIKAT BerAKHLAK")</f>
        <v>LILIK SUSILOWATI SERTIFIKAT BerAKHLAK</v>
      </c>
      <c r="K766" s="5" t="s">
        <v>6248</v>
      </c>
      <c r="L766" s="5" t="s">
        <v>7222</v>
      </c>
      <c r="M766" s="5" t="s">
        <v>7223</v>
      </c>
      <c r="N766" s="7" t="s">
        <v>7224</v>
      </c>
      <c r="O766" s="8" t="str">
        <f>HYPERLINK("https://drive.google.com/file/d/14M8Z9H4gHK-UeJnhetsUugMVqZrZkyft/view?usp=drivesdk","765_LILIK SUSILOWATI _ SERTIFIKAT BIMTEK IPASN BerAKHLASK")</f>
        <v>765_LILIK SUSILOWATI _ SERTIFIKAT BIMTEK IPASN BerAKHLASK</v>
      </c>
      <c r="P766" s="5" t="s">
        <v>7225</v>
      </c>
      <c r="Q766" s="5"/>
      <c r="R766" s="5"/>
      <c r="S766" s="5"/>
      <c r="T766" s="5" t="s">
        <v>7144</v>
      </c>
    </row>
    <row r="767">
      <c r="A767" s="4">
        <v>45534.32574626157</v>
      </c>
      <c r="B767" s="5" t="s">
        <v>34</v>
      </c>
      <c r="D767" s="5" t="s">
        <v>580</v>
      </c>
      <c r="E767" s="5" t="s">
        <v>7226</v>
      </c>
      <c r="F767" s="5" t="s">
        <v>212</v>
      </c>
      <c r="G767" s="5" t="s">
        <v>7227</v>
      </c>
      <c r="H767" s="6" t="s">
        <v>7228</v>
      </c>
      <c r="I767" s="7" t="s">
        <v>7229</v>
      </c>
      <c r="J767" s="8" t="str">
        <f>HYPERLINK("https://drive.google.com/file/d/123ANjbPOKiNv4VQ2tafaAHfdfycEO33D/view?usp=drivesdk","DESAK KETUT MAYUNI SERTIFIKAT BerAKHLAK")</f>
        <v>DESAK KETUT MAYUNI SERTIFIKAT BerAKHLAK</v>
      </c>
      <c r="K767" s="5" t="s">
        <v>6248</v>
      </c>
      <c r="L767" s="5" t="s">
        <v>7230</v>
      </c>
      <c r="M767" s="5" t="s">
        <v>7231</v>
      </c>
      <c r="N767" s="7" t="s">
        <v>7232</v>
      </c>
      <c r="O767" s="8" t="str">
        <f>HYPERLINK("https://drive.google.com/file/d/1XEIkPofVKk6xfHN5tbTo-Xo2EN-t1WMt/view?usp=drivesdk","766_DESAK KETUT MAYUNI _ SERTIFIKAT BIMTEK IPASN BerAKHLASK")</f>
        <v>766_DESAK KETUT MAYUNI _ SERTIFIKAT BIMTEK IPASN BerAKHLASK</v>
      </c>
      <c r="P767" s="5" t="s">
        <v>7225</v>
      </c>
      <c r="Q767" s="5"/>
      <c r="R767" s="5"/>
      <c r="S767" s="5"/>
      <c r="T767" s="5" t="s">
        <v>7144</v>
      </c>
    </row>
    <row r="768">
      <c r="A768" s="4">
        <v>45534.32575512731</v>
      </c>
      <c r="B768" s="5" t="s">
        <v>34</v>
      </c>
      <c r="D768" s="5" t="s">
        <v>1692</v>
      </c>
      <c r="E768" s="5" t="s">
        <v>7233</v>
      </c>
      <c r="F768" s="5" t="s">
        <v>328</v>
      </c>
      <c r="G768" s="5" t="s">
        <v>7234</v>
      </c>
      <c r="H768" s="6" t="s">
        <v>7235</v>
      </c>
      <c r="I768" s="7" t="s">
        <v>7236</v>
      </c>
      <c r="J768" s="8" t="str">
        <f>HYPERLINK("https://drive.google.com/file/d/1_maac-jO_vH6GAD9ydX4Wyg6DLfaAY1i/view?usp=drivesdk","HERMALINA NONIA WUARLELA SERTIFIKAT BerAKHLAK")</f>
        <v>HERMALINA NONIA WUARLELA SERTIFIKAT BerAKHLAK</v>
      </c>
      <c r="K768" s="5" t="s">
        <v>6248</v>
      </c>
      <c r="L768" s="5" t="s">
        <v>7237</v>
      </c>
      <c r="M768" s="5" t="s">
        <v>7238</v>
      </c>
      <c r="N768" s="7" t="s">
        <v>7239</v>
      </c>
      <c r="O768" s="8" t="str">
        <f>HYPERLINK("https://drive.google.com/file/d/1YIz4_jTlhz5n9gK9BeYLitFZfIeQ_2Td/view?usp=drivesdk","767_HERMALINA NONIA WUARLELA _ SERTIFIKAT BIMTEK IPASN BerAKHLASK")</f>
        <v>767_HERMALINA NONIA WUARLELA _ SERTIFIKAT BIMTEK IPASN BerAKHLASK</v>
      </c>
      <c r="P768" s="5" t="s">
        <v>7225</v>
      </c>
      <c r="Q768" s="5"/>
      <c r="R768" s="5"/>
      <c r="S768" s="5"/>
      <c r="T768" s="5" t="s">
        <v>7144</v>
      </c>
    </row>
    <row r="769">
      <c r="A769" s="4">
        <v>45534.3258024074</v>
      </c>
      <c r="B769" s="5" t="s">
        <v>34</v>
      </c>
      <c r="D769" s="5" t="s">
        <v>1206</v>
      </c>
      <c r="E769" s="5" t="s">
        <v>7240</v>
      </c>
      <c r="F769" s="5" t="s">
        <v>37</v>
      </c>
      <c r="G769" s="5" t="s">
        <v>7241</v>
      </c>
      <c r="H769" s="6" t="s">
        <v>7242</v>
      </c>
      <c r="I769" s="7" t="s">
        <v>7243</v>
      </c>
      <c r="J769" s="8" t="str">
        <f>HYPERLINK("https://drive.google.com/file/d/1EsBTkbs9luiK-YgXfFKYkEopJU6Dbe4F/view?usp=drivesdk","NINNA NURUL ISMA SERTIFIKAT BerAKHLAK")</f>
        <v>NINNA NURUL ISMA SERTIFIKAT BerAKHLAK</v>
      </c>
      <c r="K769" s="5" t="s">
        <v>6248</v>
      </c>
      <c r="L769" s="5" t="s">
        <v>7244</v>
      </c>
      <c r="M769" s="5" t="s">
        <v>7245</v>
      </c>
      <c r="N769" s="7" t="s">
        <v>7246</v>
      </c>
      <c r="O769" s="8" t="str">
        <f>HYPERLINK("https://drive.google.com/file/d/1_O3q6NiFncWeAwg21Y_-9QR9HgXYUas9/view?usp=drivesdk","768_NINNA NURUL ISMA _ SERTIFIKAT BIMTEK IPASN BerAKHLASK")</f>
        <v>768_NINNA NURUL ISMA _ SERTIFIKAT BIMTEK IPASN BerAKHLASK</v>
      </c>
      <c r="P769" s="5" t="s">
        <v>7225</v>
      </c>
      <c r="Q769" s="5"/>
      <c r="R769" s="5"/>
      <c r="S769" s="5"/>
      <c r="T769" s="5" t="s">
        <v>7144</v>
      </c>
    </row>
    <row r="770">
      <c r="A770" s="4">
        <v>45534.32581520833</v>
      </c>
      <c r="B770" s="5" t="s">
        <v>34</v>
      </c>
      <c r="D770" s="5" t="s">
        <v>280</v>
      </c>
      <c r="E770" s="5" t="s">
        <v>7247</v>
      </c>
      <c r="F770" s="5" t="s">
        <v>524</v>
      </c>
      <c r="G770" s="5" t="s">
        <v>7248</v>
      </c>
      <c r="H770" s="6" t="s">
        <v>7249</v>
      </c>
      <c r="I770" s="7" t="s">
        <v>7250</v>
      </c>
      <c r="J770" s="8" t="str">
        <f>HYPERLINK("https://drive.google.com/file/d/1cdkSv8BAiUJSlo8x2ZPFo1s2QXDsE_zq/view?usp=drivesdk","NS. QORI FITRIA NUR ASHRIYAH, S.KEP SERTIFIKAT BerAKHLAK")</f>
        <v>NS. QORI FITRIA NUR ASHRIYAH, S.KEP SERTIFIKAT BerAKHLAK</v>
      </c>
      <c r="K770" s="5" t="s">
        <v>6248</v>
      </c>
      <c r="L770" s="5" t="s">
        <v>7251</v>
      </c>
      <c r="M770" s="5" t="s">
        <v>7252</v>
      </c>
      <c r="N770" s="7" t="s">
        <v>7253</v>
      </c>
      <c r="O770" s="8" t="str">
        <f>HYPERLINK("https://drive.google.com/file/d/1q8fQXPx6ngsJkL3uSWfsJCKXhl4MwykP/view?usp=drivesdk","769_NS. QORI FITRIA NUR ASHRIYAH, S.KEP _ SERTIFIKAT BIMTEK IPASN BerAKHLASK")</f>
        <v>769_NS. QORI FITRIA NUR ASHRIYAH, S.KEP _ SERTIFIKAT BIMTEK IPASN BerAKHLASK</v>
      </c>
      <c r="P770" s="5" t="s">
        <v>7225</v>
      </c>
      <c r="Q770" s="5"/>
      <c r="R770" s="5"/>
      <c r="S770" s="5"/>
      <c r="T770" s="5" t="s">
        <v>7144</v>
      </c>
    </row>
    <row r="771">
      <c r="A771" s="4">
        <v>45534.3258203588</v>
      </c>
      <c r="B771" s="5" t="s">
        <v>34</v>
      </c>
      <c r="D771" s="5" t="s">
        <v>1206</v>
      </c>
      <c r="E771" s="5" t="s">
        <v>7254</v>
      </c>
      <c r="F771" s="5" t="s">
        <v>212</v>
      </c>
      <c r="G771" s="5" t="s">
        <v>7255</v>
      </c>
      <c r="H771" s="6" t="s">
        <v>7256</v>
      </c>
      <c r="I771" s="7" t="s">
        <v>7257</v>
      </c>
      <c r="J771" s="8" t="str">
        <f>HYPERLINK("https://drive.google.com/file/d/1TggK5bPL_CbwzAuw7JK5_7mzndqC6LRb/view?usp=drivesdk","SINGGIH PURBO LESMONO SERTIFIKAT BerAKHLAK")</f>
        <v>SINGGIH PURBO LESMONO SERTIFIKAT BerAKHLAK</v>
      </c>
      <c r="K771" s="5" t="s">
        <v>6248</v>
      </c>
      <c r="L771" s="5" t="s">
        <v>7258</v>
      </c>
      <c r="M771" s="5" t="s">
        <v>7259</v>
      </c>
      <c r="N771" s="7" t="s">
        <v>7260</v>
      </c>
      <c r="O771" s="8" t="str">
        <f>HYPERLINK("https://drive.google.com/file/d/1qqo3VbZiMsDCwk8HHq2HM_mbSz7OFSE-/view?usp=drivesdk","770_SINGGIH PURBO LESMONO _ SERTIFIKAT BIMTEK IPASN BerAKHLASK")</f>
        <v>770_SINGGIH PURBO LESMONO _ SERTIFIKAT BIMTEK IPASN BerAKHLASK</v>
      </c>
      <c r="P771" s="5" t="s">
        <v>7225</v>
      </c>
      <c r="Q771" s="5"/>
      <c r="R771" s="5"/>
      <c r="S771" s="5"/>
      <c r="T771" s="5" t="s">
        <v>7144</v>
      </c>
    </row>
    <row r="772">
      <c r="A772" s="4">
        <v>45534.32586179399</v>
      </c>
      <c r="B772" s="5" t="s">
        <v>34</v>
      </c>
      <c r="D772" s="5" t="s">
        <v>4775</v>
      </c>
      <c r="E772" s="5" t="s">
        <v>7261</v>
      </c>
      <c r="F772" s="5" t="s">
        <v>212</v>
      </c>
      <c r="G772" s="5" t="s">
        <v>7262</v>
      </c>
      <c r="H772" s="6" t="s">
        <v>7263</v>
      </c>
      <c r="I772" s="7" t="s">
        <v>7264</v>
      </c>
      <c r="J772" s="8" t="str">
        <f>HYPERLINK("https://drive.google.com/file/d/1I9-7Rt_8G6Ob_H7kJKnsbfRXphI8xM0I/view?usp=drivesdk","MAULUDI HARTOYO SERTIFIKAT BerAKHLAK")</f>
        <v>MAULUDI HARTOYO SERTIFIKAT BerAKHLAK</v>
      </c>
      <c r="K772" s="5" t="s">
        <v>6248</v>
      </c>
      <c r="L772" s="5" t="s">
        <v>7265</v>
      </c>
      <c r="M772" s="5" t="s">
        <v>7266</v>
      </c>
      <c r="N772" s="7" t="s">
        <v>7267</v>
      </c>
      <c r="O772" s="8" t="str">
        <f>HYPERLINK("https://drive.google.com/file/d/1Lt7QYJ2d0_dji0x_wJ4RULcTx4AItuJh/view?usp=drivesdk","771_MAULUDI HARTOYO _ SERTIFIKAT BIMTEK IPASN BerAKHLASK")</f>
        <v>771_MAULUDI HARTOYO _ SERTIFIKAT BIMTEK IPASN BerAKHLASK</v>
      </c>
      <c r="P772" s="5" t="s">
        <v>7268</v>
      </c>
      <c r="Q772" s="5"/>
      <c r="R772" s="5"/>
      <c r="S772" s="5"/>
      <c r="T772" s="5" t="s">
        <v>7144</v>
      </c>
    </row>
    <row r="773">
      <c r="A773" s="4">
        <v>45534.3258737037</v>
      </c>
      <c r="B773" s="5" t="s">
        <v>34</v>
      </c>
      <c r="D773" s="5" t="s">
        <v>4775</v>
      </c>
      <c r="E773" s="5" t="s">
        <v>7269</v>
      </c>
      <c r="F773" s="5" t="s">
        <v>212</v>
      </c>
      <c r="G773" s="5" t="s">
        <v>7270</v>
      </c>
      <c r="H773" s="6" t="s">
        <v>7271</v>
      </c>
      <c r="I773" s="7" t="s">
        <v>7272</v>
      </c>
      <c r="J773" s="8" t="str">
        <f>HYPERLINK("https://drive.google.com/file/d/1elJ-1VnOY1yhHpaLL53mqcxZChoq7c9Y/view?usp=drivesdk","SRI ANDRIANI, S.Psi SERTIFIKAT BerAKHLAK")</f>
        <v>SRI ANDRIANI, S.Psi SERTIFIKAT BerAKHLAK</v>
      </c>
      <c r="K773" s="5" t="s">
        <v>6248</v>
      </c>
      <c r="L773" s="5" t="s">
        <v>7273</v>
      </c>
      <c r="M773" s="5" t="s">
        <v>7274</v>
      </c>
      <c r="N773" s="7" t="s">
        <v>7275</v>
      </c>
      <c r="O773" s="8" t="str">
        <f>HYPERLINK("https://drive.google.com/file/d/18m9fzl6YcTO4A4N0G6WD2AWutFkBFgJf/view?usp=drivesdk","772_SRI ANDRIANI, S.Psi _ SERTIFIKAT BIMTEK IPASN BerAKHLASK")</f>
        <v>772_SRI ANDRIANI, S.Psi _ SERTIFIKAT BIMTEK IPASN BerAKHLASK</v>
      </c>
      <c r="P773" s="5" t="s">
        <v>7268</v>
      </c>
      <c r="Q773" s="5"/>
      <c r="R773" s="5"/>
      <c r="S773" s="5"/>
      <c r="T773" s="5" t="s">
        <v>7144</v>
      </c>
    </row>
    <row r="774">
      <c r="A774" s="4">
        <v>45534.325890277774</v>
      </c>
      <c r="B774" s="5" t="s">
        <v>34</v>
      </c>
      <c r="D774" s="5" t="s">
        <v>4775</v>
      </c>
      <c r="E774" s="5" t="s">
        <v>7276</v>
      </c>
      <c r="F774" s="5" t="s">
        <v>524</v>
      </c>
      <c r="G774" s="5" t="s">
        <v>7277</v>
      </c>
      <c r="H774" s="6" t="s">
        <v>7278</v>
      </c>
      <c r="I774" s="7" t="s">
        <v>7279</v>
      </c>
      <c r="J774" s="8" t="str">
        <f>HYPERLINK("https://drive.google.com/file/d/1k2ytf4pBcVrBZfHEZSAiFjQVE4q2kuMo/view?usp=drivesdk","WAHYU ARTININGSIH SERTIFIKAT BerAKHLAK")</f>
        <v>WAHYU ARTININGSIH SERTIFIKAT BerAKHLAK</v>
      </c>
      <c r="K774" s="5" t="s">
        <v>6248</v>
      </c>
      <c r="L774" s="5" t="s">
        <v>7280</v>
      </c>
      <c r="M774" s="5" t="s">
        <v>7281</v>
      </c>
      <c r="N774" s="7" t="s">
        <v>7282</v>
      </c>
      <c r="O774" s="8" t="str">
        <f>HYPERLINK("https://drive.google.com/file/d/1NSVbfrov6cpHVlpt1GpvwP3xiF4y0HCY/view?usp=drivesdk","773_WAHYU ARTININGSIH _ SERTIFIKAT BIMTEK IPASN BerAKHLASK")</f>
        <v>773_WAHYU ARTININGSIH _ SERTIFIKAT BIMTEK IPASN BerAKHLASK</v>
      </c>
      <c r="P774" s="5" t="s">
        <v>7268</v>
      </c>
      <c r="Q774" s="5"/>
      <c r="R774" s="5"/>
      <c r="S774" s="5"/>
      <c r="T774" s="5" t="s">
        <v>7144</v>
      </c>
    </row>
    <row r="775">
      <c r="A775" s="4">
        <v>45534.325910659725</v>
      </c>
      <c r="B775" s="5" t="s">
        <v>34</v>
      </c>
      <c r="D775" s="5" t="s">
        <v>4775</v>
      </c>
      <c r="E775" s="5" t="s">
        <v>7283</v>
      </c>
      <c r="F775" s="5" t="s">
        <v>108</v>
      </c>
      <c r="G775" s="5" t="s">
        <v>7284</v>
      </c>
      <c r="H775" s="6" t="s">
        <v>7285</v>
      </c>
      <c r="K775" s="5" t="s">
        <v>7286</v>
      </c>
      <c r="M775" s="5" t="s">
        <v>7287</v>
      </c>
      <c r="N775" s="7" t="s">
        <v>7288</v>
      </c>
      <c r="O775" s="8" t="str">
        <f>HYPERLINK("https://drive.google.com/file/d/1zq2aUcFPnPc3Cznj8R0VHKtPAsxkUBXD/view?usp=drivesdk","774_MUHAMMAD AGUNG WIBOWO  _ SERTIFIKAT BIMTEK IPASN BerAKHLASK")</f>
        <v>774_MUHAMMAD AGUNG WIBOWO  _ SERTIFIKAT BIMTEK IPASN BerAKHLASK</v>
      </c>
      <c r="P775" s="5" t="s">
        <v>7268</v>
      </c>
      <c r="Q775" s="5"/>
      <c r="R775" s="5"/>
      <c r="S775" s="5"/>
      <c r="T775" s="5" t="s">
        <v>7144</v>
      </c>
    </row>
    <row r="776" hidden="1">
      <c r="A776" s="4">
        <v>45534.325917361115</v>
      </c>
      <c r="B776" s="5" t="s">
        <v>19</v>
      </c>
      <c r="C776" s="5" t="s">
        <v>292</v>
      </c>
      <c r="E776" s="5" t="s">
        <v>7289</v>
      </c>
      <c r="F776" s="5" t="s">
        <v>108</v>
      </c>
      <c r="G776" s="5" t="s">
        <v>7290</v>
      </c>
      <c r="H776" s="6" t="s">
        <v>7291</v>
      </c>
      <c r="K776" s="5" t="s">
        <v>7286</v>
      </c>
      <c r="M776" s="5" t="s">
        <v>7292</v>
      </c>
      <c r="N776" s="7" t="s">
        <v>7293</v>
      </c>
      <c r="O776" s="8" t="str">
        <f>HYPERLINK("https://drive.google.com/file/d/1wUIWwfG6_rHwwDzKsXhhXpieH8SMz4si/view?usp=drivesdk","775_RIFA SUSILAWATI _ SERTIFIKAT BIMTEK IPASN BerAKHLASK")</f>
        <v>775_RIFA SUSILAWATI _ SERTIFIKAT BIMTEK IPASN BerAKHLASK</v>
      </c>
      <c r="P776" s="5" t="s">
        <v>7268</v>
      </c>
      <c r="Q776" s="5"/>
      <c r="R776" s="5"/>
      <c r="S776" s="5"/>
      <c r="T776" s="5" t="s">
        <v>7144</v>
      </c>
    </row>
    <row r="777">
      <c r="A777" s="4">
        <v>45534.325919131945</v>
      </c>
      <c r="B777" s="5" t="s">
        <v>34</v>
      </c>
      <c r="D777" s="5" t="s">
        <v>1206</v>
      </c>
      <c r="E777" s="5" t="s">
        <v>7294</v>
      </c>
      <c r="F777" s="5" t="s">
        <v>375</v>
      </c>
      <c r="G777" s="5" t="s">
        <v>7295</v>
      </c>
      <c r="H777" s="6" t="s">
        <v>7296</v>
      </c>
      <c r="I777" s="7" t="s">
        <v>7297</v>
      </c>
      <c r="J777" s="8" t="str">
        <f>HYPERLINK("https://drive.google.com/file/d/1XS5bNMvCtzfaVTjdzAO5hh3qGbQ7TXqk/view?usp=drivesdk","YULI DIAN FATMAWATI SERTIFIKAT BerAKHLAK")</f>
        <v>YULI DIAN FATMAWATI SERTIFIKAT BerAKHLAK</v>
      </c>
      <c r="K777" s="5" t="s">
        <v>6248</v>
      </c>
      <c r="L777" s="5" t="s">
        <v>7298</v>
      </c>
      <c r="M777" s="5" t="s">
        <v>7299</v>
      </c>
      <c r="N777" s="7" t="s">
        <v>7300</v>
      </c>
      <c r="O777" s="8" t="str">
        <f>HYPERLINK("https://drive.google.com/file/d/1NWxjlQjmLtrXnHBSvehBzDvGz3ZI5h7q/view?usp=drivesdk","776_YULI DIAN FATMAWATI _ SERTIFIKAT BIMTEK IPASN BerAKHLASK")</f>
        <v>776_YULI DIAN FATMAWATI _ SERTIFIKAT BIMTEK IPASN BerAKHLASK</v>
      </c>
      <c r="P777" s="5" t="s">
        <v>7301</v>
      </c>
      <c r="Q777" s="5"/>
      <c r="R777" s="5"/>
      <c r="S777" s="5"/>
      <c r="T777" s="5" t="s">
        <v>7144</v>
      </c>
    </row>
    <row r="778">
      <c r="A778" s="4">
        <v>45534.32592405092</v>
      </c>
      <c r="B778" s="5" t="s">
        <v>34</v>
      </c>
      <c r="D778" s="5" t="s">
        <v>4775</v>
      </c>
      <c r="E778" s="5" t="s">
        <v>7302</v>
      </c>
      <c r="F778" s="5" t="s">
        <v>72</v>
      </c>
      <c r="G778" s="5" t="s">
        <v>7303</v>
      </c>
      <c r="H778" s="6" t="s">
        <v>7304</v>
      </c>
      <c r="I778" s="7" t="s">
        <v>7305</v>
      </c>
      <c r="J778" s="8" t="str">
        <f>HYPERLINK("https://drive.google.com/file/d/1yXcHfpEBxoXh7_Cg-mwlBjL3EP2pC2Dn/view?usp=drivesdk","ENDAH PUJIHASTUTI, A.Md.Gz SERTIFIKAT BerAKHLAK")</f>
        <v>ENDAH PUJIHASTUTI, A.Md.Gz SERTIFIKAT BerAKHLAK</v>
      </c>
      <c r="K778" s="5" t="s">
        <v>6248</v>
      </c>
      <c r="L778" s="5" t="s">
        <v>7306</v>
      </c>
      <c r="M778" s="5" t="s">
        <v>7307</v>
      </c>
      <c r="N778" s="7" t="s">
        <v>7308</v>
      </c>
      <c r="O778" s="8" t="str">
        <f>HYPERLINK("https://drive.google.com/file/d/1RdVx5Mbpmd_J-5L98xfQXXCa4MyMSdMm/view?usp=drivesdk","777_ENDAH PUJIHASTUTI, A.Md.Gz _ SERTIFIKAT BIMTEK IPASN BerAKHLASK")</f>
        <v>777_ENDAH PUJIHASTUTI, A.Md.Gz _ SERTIFIKAT BIMTEK IPASN BerAKHLASK</v>
      </c>
      <c r="P778" s="5" t="s">
        <v>7301</v>
      </c>
      <c r="Q778" s="5"/>
      <c r="R778" s="5"/>
      <c r="S778" s="5"/>
      <c r="T778" s="5" t="s">
        <v>7144</v>
      </c>
    </row>
    <row r="779">
      <c r="A779" s="4">
        <v>45534.325942129624</v>
      </c>
      <c r="B779" s="5" t="s">
        <v>34</v>
      </c>
      <c r="D779" s="5" t="s">
        <v>267</v>
      </c>
      <c r="E779" s="5" t="s">
        <v>7309</v>
      </c>
      <c r="F779" s="5" t="s">
        <v>72</v>
      </c>
      <c r="G779" s="5" t="s">
        <v>7310</v>
      </c>
      <c r="H779" s="6" t="s">
        <v>7311</v>
      </c>
      <c r="I779" s="7" t="s">
        <v>7312</v>
      </c>
      <c r="J779" s="8" t="str">
        <f>HYPERLINK("https://drive.google.com/file/d/1JJxt-PHKFpureeEwTJhlGBuviGt-a1Q5/view?usp=drivesdk","DIDIK ARDIYANTO. A.Md SERTIFIKAT BerAKHLAK")</f>
        <v>DIDIK ARDIYANTO. A.Md SERTIFIKAT BerAKHLAK</v>
      </c>
      <c r="K779" s="5" t="s">
        <v>6248</v>
      </c>
      <c r="L779" s="5" t="s">
        <v>7313</v>
      </c>
      <c r="M779" s="5" t="s">
        <v>7314</v>
      </c>
      <c r="N779" s="7" t="s">
        <v>7315</v>
      </c>
      <c r="O779" s="8" t="str">
        <f>HYPERLINK("https://drive.google.com/file/d/1_WtjdY-MEl8NHDhB-nm3wXcvm2CnxfLP/view?usp=drivesdk","778_DIDIK ARDIYANTO. A.Md _ SERTIFIKAT BIMTEK IPASN BerAKHLASK")</f>
        <v>778_DIDIK ARDIYANTO. A.Md _ SERTIFIKAT BIMTEK IPASN BerAKHLASK</v>
      </c>
      <c r="P779" s="5" t="s">
        <v>7301</v>
      </c>
      <c r="Q779" s="5"/>
      <c r="R779" s="5"/>
      <c r="S779" s="5"/>
      <c r="T779" s="5" t="s">
        <v>7144</v>
      </c>
    </row>
    <row r="780">
      <c r="A780" s="4">
        <v>45534.32595520833</v>
      </c>
      <c r="B780" s="5" t="s">
        <v>34</v>
      </c>
      <c r="D780" s="5" t="s">
        <v>580</v>
      </c>
      <c r="E780" s="5" t="s">
        <v>7316</v>
      </c>
      <c r="F780" s="5" t="s">
        <v>37</v>
      </c>
      <c r="G780" s="5" t="s">
        <v>7317</v>
      </c>
      <c r="H780" s="6" t="s">
        <v>7318</v>
      </c>
      <c r="I780" s="7" t="s">
        <v>7319</v>
      </c>
      <c r="J780" s="8" t="str">
        <f>HYPERLINK("https://drive.google.com/file/d/1GfHoFrdZgWzFy-R5BV6KwdNPgWoAP_Y9/view?usp=drivesdk","I NYOMAN SUKAYASA SERTIFIKAT BerAKHLAK")</f>
        <v>I NYOMAN SUKAYASA SERTIFIKAT BerAKHLAK</v>
      </c>
      <c r="K780" s="5" t="s">
        <v>6248</v>
      </c>
      <c r="L780" s="5" t="s">
        <v>7320</v>
      </c>
      <c r="M780" s="5" t="s">
        <v>7321</v>
      </c>
      <c r="N780" s="7" t="s">
        <v>7322</v>
      </c>
      <c r="O780" s="8" t="str">
        <f>HYPERLINK("https://drive.google.com/file/d/1bwsGPJm_wkRq2emi84Bzo1_CNS-_cLdE/view?usp=drivesdk","779_I NYOMAN SUKAYASA _ SERTIFIKAT BIMTEK IPASN BerAKHLASK")</f>
        <v>779_I NYOMAN SUKAYASA _ SERTIFIKAT BIMTEK IPASN BerAKHLASK</v>
      </c>
      <c r="P780" s="5" t="s">
        <v>7301</v>
      </c>
      <c r="Q780" s="5"/>
      <c r="R780" s="5"/>
      <c r="S780" s="5"/>
      <c r="T780" s="5" t="s">
        <v>7144</v>
      </c>
    </row>
    <row r="781">
      <c r="A781" s="4">
        <v>45534.32596394676</v>
      </c>
      <c r="B781" s="5" t="s">
        <v>34</v>
      </c>
      <c r="D781" s="5" t="s">
        <v>4775</v>
      </c>
      <c r="E781" s="5" t="s">
        <v>7323</v>
      </c>
      <c r="F781" s="5" t="s">
        <v>212</v>
      </c>
      <c r="G781" s="5" t="s">
        <v>7324</v>
      </c>
      <c r="H781" s="6" t="s">
        <v>7325</v>
      </c>
      <c r="I781" s="7" t="s">
        <v>7326</v>
      </c>
      <c r="J781" s="8" t="str">
        <f>HYPERLINK("https://drive.google.com/file/d/1KTr_w1FGXVLT8MzfCox0ZL80TmnbnQsk/view?usp=drivesdk","EKO PURWANTO ,SPd.I SERTIFIKAT BerAKHLAK")</f>
        <v>EKO PURWANTO ,SPd.I SERTIFIKAT BerAKHLAK</v>
      </c>
      <c r="K781" s="5" t="s">
        <v>6248</v>
      </c>
      <c r="L781" s="5" t="s">
        <v>7327</v>
      </c>
      <c r="M781" s="5" t="s">
        <v>7328</v>
      </c>
      <c r="N781" s="7" t="s">
        <v>7329</v>
      </c>
      <c r="O781" s="8" t="str">
        <f>HYPERLINK("https://drive.google.com/file/d/1a1rPMpyihruju63rx3CY6qK_WmCpUVMZ/view?usp=drivesdk","780_EKO PURWANTO ,SPd.I _ SERTIFIKAT BIMTEK IPASN BerAKHLASK")</f>
        <v>780_EKO PURWANTO ,SPd.I _ SERTIFIKAT BIMTEK IPASN BerAKHLASK</v>
      </c>
      <c r="P781" s="5" t="s">
        <v>7301</v>
      </c>
      <c r="Q781" s="5"/>
      <c r="R781" s="5"/>
      <c r="S781" s="5"/>
      <c r="T781" s="5" t="s">
        <v>7144</v>
      </c>
    </row>
    <row r="782">
      <c r="A782" s="4">
        <v>45534.32597831018</v>
      </c>
      <c r="B782" s="5" t="s">
        <v>34</v>
      </c>
      <c r="D782" s="5" t="s">
        <v>280</v>
      </c>
      <c r="E782" s="5" t="s">
        <v>7330</v>
      </c>
      <c r="F782" s="5" t="s">
        <v>212</v>
      </c>
      <c r="G782" s="5" t="s">
        <v>7331</v>
      </c>
      <c r="H782" s="6" t="s">
        <v>7332</v>
      </c>
      <c r="I782" s="7" t="s">
        <v>7333</v>
      </c>
      <c r="J782" s="8" t="str">
        <f>HYPERLINK("https://drive.google.com/file/d/1-GvIRjoiNxQa6xturaYTIL9DpJn9lygT/view?usp=drivesdk","IGOR IRZANTO, AMd SERTIFIKAT BerAKHLAK")</f>
        <v>IGOR IRZANTO, AMd SERTIFIKAT BerAKHLAK</v>
      </c>
      <c r="K782" s="5" t="s">
        <v>6248</v>
      </c>
      <c r="L782" s="5" t="s">
        <v>7334</v>
      </c>
      <c r="M782" s="5" t="s">
        <v>7335</v>
      </c>
      <c r="N782" s="7" t="s">
        <v>7336</v>
      </c>
      <c r="O782" s="8" t="str">
        <f>HYPERLINK("https://drive.google.com/file/d/1PDtfZJjZ3GfkEMsr6HdKJYXXBSlWD7g1/view?usp=drivesdk","781_IGOR IRZANTO, AMd _ SERTIFIKAT BIMTEK IPASN BerAKHLASK")</f>
        <v>781_IGOR IRZANTO, AMd _ SERTIFIKAT BIMTEK IPASN BerAKHLASK</v>
      </c>
      <c r="P782" s="5" t="s">
        <v>7337</v>
      </c>
      <c r="Q782" s="5"/>
      <c r="R782" s="5"/>
      <c r="S782" s="5"/>
      <c r="T782" s="5" t="s">
        <v>7144</v>
      </c>
    </row>
    <row r="783">
      <c r="A783" s="4">
        <v>45534.32604359953</v>
      </c>
      <c r="B783" s="5" t="s">
        <v>34</v>
      </c>
      <c r="D783" s="5" t="s">
        <v>1768</v>
      </c>
      <c r="E783" s="5" t="s">
        <v>7338</v>
      </c>
      <c r="F783" s="5" t="s">
        <v>120</v>
      </c>
      <c r="G783" s="5" t="s">
        <v>7339</v>
      </c>
      <c r="H783" s="6" t="s">
        <v>7340</v>
      </c>
      <c r="I783" s="7" t="s">
        <v>7341</v>
      </c>
      <c r="J783" s="8" t="str">
        <f>HYPERLINK("https://drive.google.com/file/d/1JdPe1EOfZZSig4WhokLLINgRq2UWE23Q/view?usp=drivesdk","YUYUN YUNINGSIH, S.T. SERTIFIKAT BerAKHLAK")</f>
        <v>YUYUN YUNINGSIH, S.T. SERTIFIKAT BerAKHLAK</v>
      </c>
      <c r="K783" s="5" t="s">
        <v>6248</v>
      </c>
      <c r="L783" s="5" t="s">
        <v>7342</v>
      </c>
      <c r="M783" s="5" t="s">
        <v>7343</v>
      </c>
      <c r="N783" s="7" t="s">
        <v>7344</v>
      </c>
      <c r="O783" s="8" t="str">
        <f>HYPERLINK("https://drive.google.com/file/d/1-EGtsUHj2LqfPkF7QBCPcqux16duty4j/view?usp=drivesdk","782_YUYUN YUNINGSIH, S.T. _ SERTIFIKAT BIMTEK IPASN BerAKHLASK")</f>
        <v>782_YUYUN YUNINGSIH, S.T. _ SERTIFIKAT BIMTEK IPASN BerAKHLASK</v>
      </c>
      <c r="P783" s="5" t="s">
        <v>7337</v>
      </c>
      <c r="Q783" s="5"/>
      <c r="R783" s="5"/>
      <c r="S783" s="5"/>
      <c r="T783" s="5" t="s">
        <v>7144</v>
      </c>
    </row>
    <row r="784">
      <c r="A784" s="4">
        <v>45534.326061608794</v>
      </c>
      <c r="B784" s="5" t="s">
        <v>34</v>
      </c>
      <c r="D784" s="5" t="s">
        <v>3432</v>
      </c>
      <c r="E784" s="5" t="s">
        <v>7345</v>
      </c>
      <c r="F784" s="5" t="s">
        <v>524</v>
      </c>
      <c r="G784" s="5" t="s">
        <v>7346</v>
      </c>
      <c r="H784" s="6" t="s">
        <v>7347</v>
      </c>
      <c r="I784" s="7" t="s">
        <v>7348</v>
      </c>
      <c r="J784" s="8" t="str">
        <f>HYPERLINK("https://drive.google.com/file/d/1UqCpvfmrI5V7nlWnv0gboxTHXB_NRz4j/view?usp=drivesdk","MIRDAWATI MUSTAFA S.H SERTIFIKAT BerAKHLAK")</f>
        <v>MIRDAWATI MUSTAFA S.H SERTIFIKAT BerAKHLAK</v>
      </c>
      <c r="K784" s="5" t="s">
        <v>6248</v>
      </c>
      <c r="L784" s="5" t="s">
        <v>7349</v>
      </c>
      <c r="M784" s="5" t="s">
        <v>7350</v>
      </c>
      <c r="N784" s="7" t="s">
        <v>7351</v>
      </c>
      <c r="O784" s="8" t="str">
        <f>HYPERLINK("https://drive.google.com/file/d/14d8UFqbYoDIcAG5nu4-hBtRMef_JjWBD/view?usp=drivesdk","783_MIRDAWATI MUSTAFA S.H _ SERTIFIKAT BIMTEK IPASN BerAKHLASK")</f>
        <v>783_MIRDAWATI MUSTAFA S.H _ SERTIFIKAT BIMTEK IPASN BerAKHLASK</v>
      </c>
      <c r="P784" s="5" t="s">
        <v>7337</v>
      </c>
      <c r="Q784" s="5"/>
      <c r="R784" s="5"/>
      <c r="S784" s="5"/>
      <c r="T784" s="5" t="s">
        <v>7144</v>
      </c>
    </row>
    <row r="785">
      <c r="A785" s="4">
        <v>45534.3260739699</v>
      </c>
      <c r="B785" s="5" t="s">
        <v>34</v>
      </c>
      <c r="D785" s="5" t="s">
        <v>35</v>
      </c>
      <c r="E785" s="5" t="s">
        <v>7352</v>
      </c>
      <c r="F785" s="5" t="s">
        <v>524</v>
      </c>
      <c r="G785" s="5" t="s">
        <v>7353</v>
      </c>
      <c r="H785" s="6" t="s">
        <v>7354</v>
      </c>
      <c r="I785" s="7" t="s">
        <v>7355</v>
      </c>
      <c r="J785" s="8" t="str">
        <f>HYPERLINK("https://drive.google.com/file/d/10FXuDKnklMJPsxID7-OYNywJCh9YohRM/view?usp=drivesdk","IMAS MULHIDAH AMK SERTIFIKAT BerAKHLAK")</f>
        <v>IMAS MULHIDAH AMK SERTIFIKAT BerAKHLAK</v>
      </c>
      <c r="K785" s="5" t="s">
        <v>6248</v>
      </c>
      <c r="L785" s="5" t="s">
        <v>7356</v>
      </c>
      <c r="M785" s="5" t="s">
        <v>7357</v>
      </c>
      <c r="N785" s="7" t="s">
        <v>7358</v>
      </c>
      <c r="O785" s="8" t="str">
        <f>HYPERLINK("https://drive.google.com/file/d/146CM9zYehw0HoU5mkx-Nc6oT5rCa2xWz/view?usp=drivesdk","784_IMAS MULHIDAH AMK _ SERTIFIKAT BIMTEK IPASN BerAKHLASK")</f>
        <v>784_IMAS MULHIDAH AMK _ SERTIFIKAT BIMTEK IPASN BerAKHLASK</v>
      </c>
      <c r="P785" s="5" t="s">
        <v>7337</v>
      </c>
      <c r="Q785" s="5"/>
      <c r="R785" s="5"/>
      <c r="S785" s="5"/>
      <c r="T785" s="5" t="s">
        <v>7144</v>
      </c>
    </row>
    <row r="786">
      <c r="A786" s="4">
        <v>45534.32607793981</v>
      </c>
      <c r="B786" s="5" t="s">
        <v>34</v>
      </c>
      <c r="D786" s="5" t="s">
        <v>1206</v>
      </c>
      <c r="E786" s="5" t="s">
        <v>7359</v>
      </c>
      <c r="F786" s="5" t="s">
        <v>212</v>
      </c>
      <c r="G786" s="5" t="s">
        <v>7360</v>
      </c>
      <c r="H786" s="6" t="s">
        <v>7361</v>
      </c>
      <c r="I786" s="7" t="s">
        <v>7362</v>
      </c>
      <c r="J786" s="8" t="str">
        <f>HYPERLINK("https://drive.google.com/file/d/1Gbgb5MvPaAcbRrKIWa-GdkKj6ZywjT5J/view?usp=drivesdk","ADI SUROSO SUROSO SERTIFIKAT BerAKHLAK")</f>
        <v>ADI SUROSO SUROSO SERTIFIKAT BerAKHLAK</v>
      </c>
      <c r="K786" s="5" t="s">
        <v>6258</v>
      </c>
      <c r="L786" s="5" t="s">
        <v>7363</v>
      </c>
      <c r="M786" s="5" t="s">
        <v>7364</v>
      </c>
      <c r="N786" s="7" t="s">
        <v>7365</v>
      </c>
      <c r="O786" s="8" t="str">
        <f>HYPERLINK("https://drive.google.com/file/d/1q0FvDrscSDhGWYXPeYPdVl6oqSysx9R2/view?usp=drivesdk","785_ADI SUROSO SUROSO _ SERTIFIKAT BIMTEK IPASN BerAKHLASK")</f>
        <v>785_ADI SUROSO SUROSO _ SERTIFIKAT BIMTEK IPASN BerAKHLASK</v>
      </c>
      <c r="P786" s="5" t="s">
        <v>7337</v>
      </c>
      <c r="Q786" s="5"/>
      <c r="R786" s="5"/>
      <c r="S786" s="5"/>
      <c r="T786" s="5" t="s">
        <v>7144</v>
      </c>
    </row>
    <row r="787">
      <c r="A787" s="4">
        <v>45534.32608337963</v>
      </c>
      <c r="B787" s="5" t="s">
        <v>34</v>
      </c>
      <c r="D787" s="5" t="s">
        <v>1692</v>
      </c>
      <c r="E787" s="5" t="s">
        <v>7366</v>
      </c>
      <c r="F787" s="5" t="s">
        <v>524</v>
      </c>
      <c r="G787" s="5" t="s">
        <v>7367</v>
      </c>
      <c r="H787" s="6" t="s">
        <v>7368</v>
      </c>
      <c r="I787" s="7" t="s">
        <v>7369</v>
      </c>
      <c r="J787" s="8" t="str">
        <f>HYPERLINK("https://drive.google.com/file/d/1JqxZleQGSD2jUuRyvmX3cBRruUXFXZTR/view?usp=drivesdk","VICTOR OKTOVIANUS TAIHUTTU, S.KM SERTIFIKAT BerAKHLAK")</f>
        <v>VICTOR OKTOVIANUS TAIHUTTU, S.KM SERTIFIKAT BerAKHLAK</v>
      </c>
      <c r="K787" s="5" t="s">
        <v>6258</v>
      </c>
      <c r="L787" s="5" t="s">
        <v>7370</v>
      </c>
      <c r="M787" s="5" t="s">
        <v>7371</v>
      </c>
      <c r="N787" s="7" t="s">
        <v>7372</v>
      </c>
      <c r="O787" s="8" t="str">
        <f>HYPERLINK("https://drive.google.com/file/d/1fI8p9yaALvEG6Hbf1OvU-AotZduM0Bg4/view?usp=drivesdk","786_VICTOR OKTOVIANUS TAIHUTTU, S.KM _ SERTIFIKAT BIMTEK IPASN BerAKHLASK")</f>
        <v>786_VICTOR OKTOVIANUS TAIHUTTU, S.KM _ SERTIFIKAT BIMTEK IPASN BerAKHLASK</v>
      </c>
      <c r="P787" s="5" t="s">
        <v>7373</v>
      </c>
      <c r="Q787" s="5"/>
      <c r="R787" s="5"/>
      <c r="S787" s="5"/>
      <c r="T787" s="5" t="s">
        <v>7144</v>
      </c>
    </row>
    <row r="788">
      <c r="A788" s="4">
        <v>45534.32609700231</v>
      </c>
      <c r="B788" s="5" t="s">
        <v>34</v>
      </c>
      <c r="D788" s="5" t="s">
        <v>267</v>
      </c>
      <c r="E788" s="5" t="s">
        <v>7374</v>
      </c>
      <c r="F788" s="5" t="s">
        <v>212</v>
      </c>
      <c r="G788" s="5" t="s">
        <v>7375</v>
      </c>
      <c r="H788" s="6" t="s">
        <v>7376</v>
      </c>
      <c r="I788" s="7" t="s">
        <v>7377</v>
      </c>
      <c r="J788" s="8" t="str">
        <f>HYPERLINK("https://drive.google.com/file/d/1h1eM3Ezl3N9tML8YfkwP06Q64UhyANjH/view?usp=drivesdk","TRI AGUSTININGSIH SERTIFIKAT BerAKHLAK")</f>
        <v>TRI AGUSTININGSIH SERTIFIKAT BerAKHLAK</v>
      </c>
      <c r="K788" s="5" t="s">
        <v>6248</v>
      </c>
      <c r="L788" s="5" t="s">
        <v>7378</v>
      </c>
      <c r="M788" s="5" t="s">
        <v>7379</v>
      </c>
      <c r="N788" s="7" t="s">
        <v>7380</v>
      </c>
      <c r="O788" s="8" t="str">
        <f>HYPERLINK("https://drive.google.com/file/d/1sL7l-BUTSp0gTLhRHFJMIHMERNAmS6fb/view?usp=drivesdk","787_TRI AGUSTININGSIH _ SERTIFIKAT BIMTEK IPASN BerAKHLASK")</f>
        <v>787_TRI AGUSTININGSIH _ SERTIFIKAT BIMTEK IPASN BerAKHLASK</v>
      </c>
      <c r="P788" s="5" t="s">
        <v>7373</v>
      </c>
      <c r="Q788" s="5"/>
      <c r="R788" s="5"/>
      <c r="S788" s="5"/>
      <c r="T788" s="5" t="s">
        <v>7144</v>
      </c>
    </row>
    <row r="789">
      <c r="A789" s="4">
        <v>45534.32614016204</v>
      </c>
      <c r="B789" s="5" t="s">
        <v>34</v>
      </c>
      <c r="D789" s="5" t="s">
        <v>280</v>
      </c>
      <c r="E789" s="5" t="s">
        <v>7381</v>
      </c>
      <c r="F789" s="5" t="s">
        <v>120</v>
      </c>
      <c r="G789" s="5" t="s">
        <v>7382</v>
      </c>
      <c r="H789" s="6" t="s">
        <v>7383</v>
      </c>
      <c r="I789" s="7" t="s">
        <v>7384</v>
      </c>
      <c r="J789" s="8" t="str">
        <f>HYPERLINK("https://drive.google.com/file/d/11Vfz-9JbU981Fu0EbrVWLhSWVjgJ6c4p/view?usp=drivesdk","AGUS WANDOYO, S.Kom. SERTIFIKAT BerAKHLAK")</f>
        <v>AGUS WANDOYO, S.Kom. SERTIFIKAT BerAKHLAK</v>
      </c>
      <c r="K789" s="5" t="s">
        <v>6248</v>
      </c>
      <c r="L789" s="5" t="s">
        <v>7385</v>
      </c>
      <c r="M789" s="5" t="s">
        <v>7386</v>
      </c>
      <c r="N789" s="7" t="s">
        <v>7387</v>
      </c>
      <c r="O789" s="8" t="str">
        <f>HYPERLINK("https://drive.google.com/file/d/1L330U_bl8mTM37tBD5Lk1z8WVvwZW3zC/view?usp=drivesdk","788_AGUS WANDOYO, S.Kom. _ SERTIFIKAT BIMTEK IPASN BerAKHLASK")</f>
        <v>788_AGUS WANDOYO, S.Kom. _ SERTIFIKAT BIMTEK IPASN BerAKHLASK</v>
      </c>
      <c r="P789" s="5" t="s">
        <v>7373</v>
      </c>
      <c r="Q789" s="5"/>
      <c r="R789" s="5"/>
      <c r="S789" s="5"/>
      <c r="T789" s="5" t="s">
        <v>7144</v>
      </c>
    </row>
    <row r="790">
      <c r="A790" s="4">
        <v>45534.32614689815</v>
      </c>
      <c r="B790" s="5" t="s">
        <v>34</v>
      </c>
      <c r="D790" s="5" t="s">
        <v>280</v>
      </c>
      <c r="E790" s="5" t="s">
        <v>7388</v>
      </c>
      <c r="F790" s="5" t="s">
        <v>212</v>
      </c>
      <c r="G790" s="5" t="s">
        <v>7389</v>
      </c>
      <c r="H790" s="6" t="s">
        <v>7390</v>
      </c>
      <c r="I790" s="7" t="s">
        <v>7391</v>
      </c>
      <c r="J790" s="8" t="str">
        <f>HYPERLINK("https://drive.google.com/file/d/17-8oLWxIh0fWYXgrOGe68GSGm5czX5Wm/view?usp=drivesdk","KHAIRUL NAWAR SERTIFIKAT BerAKHLAK")</f>
        <v>KHAIRUL NAWAR SERTIFIKAT BerAKHLAK</v>
      </c>
      <c r="K790" s="5" t="s">
        <v>6258</v>
      </c>
      <c r="L790" s="5" t="s">
        <v>7392</v>
      </c>
      <c r="M790" s="5" t="s">
        <v>7393</v>
      </c>
      <c r="N790" s="7" t="s">
        <v>7394</v>
      </c>
      <c r="O790" s="8" t="str">
        <f>HYPERLINK("https://drive.google.com/file/d/1E0YL80AVWQ_G-UfAEvSoN7zHrvMIi5wH/view?usp=drivesdk","789_KHAIRUL NAWAR _ SERTIFIKAT BIMTEK IPASN BerAKHLASK")</f>
        <v>789_KHAIRUL NAWAR _ SERTIFIKAT BIMTEK IPASN BerAKHLASK</v>
      </c>
      <c r="P790" s="5" t="s">
        <v>7373</v>
      </c>
      <c r="Q790" s="5"/>
      <c r="R790" s="5"/>
      <c r="S790" s="5"/>
      <c r="T790" s="5" t="s">
        <v>7144</v>
      </c>
    </row>
    <row r="791" hidden="1">
      <c r="A791" s="4">
        <v>45534.32615086806</v>
      </c>
      <c r="B791" s="5" t="s">
        <v>19</v>
      </c>
      <c r="C791" s="5" t="s">
        <v>292</v>
      </c>
      <c r="E791" s="5" t="s">
        <v>7395</v>
      </c>
      <c r="F791" s="5" t="s">
        <v>212</v>
      </c>
      <c r="G791" s="5" t="s">
        <v>7396</v>
      </c>
      <c r="H791" s="6" t="s">
        <v>7397</v>
      </c>
      <c r="I791" s="7" t="s">
        <v>7398</v>
      </c>
      <c r="J791" s="8" t="str">
        <f>HYPERLINK("https://drive.google.com/file/d/1ACQivQYLQom7zGntIDsY7zDfVTt9u3uK/view?usp=drivesdk","SETYA PRAMBUDI SERTIFIKAT BerAKHLAK")</f>
        <v>SETYA PRAMBUDI SERTIFIKAT BerAKHLAK</v>
      </c>
      <c r="K791" s="5" t="s">
        <v>6258</v>
      </c>
      <c r="L791" s="5" t="s">
        <v>7399</v>
      </c>
      <c r="M791" s="5" t="s">
        <v>7400</v>
      </c>
      <c r="N791" s="7" t="s">
        <v>7401</v>
      </c>
      <c r="O791" s="8" t="str">
        <f>HYPERLINK("https://drive.google.com/file/d/15iqwmVCovJgOIk6tG320Hlc7kmyEHe_6/view?usp=drivesdk","790_SETYA PRAMBUDI _ SERTIFIKAT BIMTEK IPASN BerAKHLASK")</f>
        <v>790_SETYA PRAMBUDI _ SERTIFIKAT BIMTEK IPASN BerAKHLASK</v>
      </c>
      <c r="P791" s="5" t="s">
        <v>7373</v>
      </c>
      <c r="Q791" s="5"/>
      <c r="R791" s="5"/>
      <c r="S791" s="5"/>
      <c r="T791" s="5" t="s">
        <v>7144</v>
      </c>
    </row>
    <row r="792">
      <c r="A792" s="4">
        <v>45534.32617921296</v>
      </c>
      <c r="B792" s="5" t="s">
        <v>34</v>
      </c>
      <c r="D792" s="5" t="s">
        <v>1768</v>
      </c>
      <c r="E792" s="5" t="s">
        <v>7402</v>
      </c>
      <c r="F792" s="5" t="s">
        <v>108</v>
      </c>
      <c r="G792" s="5" t="s">
        <v>7403</v>
      </c>
      <c r="H792" s="6" t="s">
        <v>7404</v>
      </c>
      <c r="I792" s="7" t="s">
        <v>7405</v>
      </c>
      <c r="J792" s="8" t="str">
        <f>HYPERLINK("https://drive.google.com/file/d/1C2ZiAwOT8mm0dkpX7Cctt9-ZjusmH3GQ/view?usp=drivesdk","MARHENI WIDYA CAHYANI, S.E. SERTIFIKAT BerAKHLAK")</f>
        <v>MARHENI WIDYA CAHYANI, S.E. SERTIFIKAT BerAKHLAK</v>
      </c>
      <c r="K792" s="5" t="s">
        <v>6258</v>
      </c>
      <c r="L792" s="5" t="s">
        <v>7406</v>
      </c>
      <c r="M792" s="5" t="s">
        <v>7407</v>
      </c>
      <c r="N792" s="7" t="s">
        <v>7408</v>
      </c>
      <c r="O792" s="8" t="str">
        <f>HYPERLINK("https://drive.google.com/file/d/1f4iI1ZQYdvCcuEhAchnvHen4T3N2o9ku/view?usp=drivesdk","791_MARHENI WIDYA CAHYANI, S.E. _ SERTIFIKAT BIMTEK IPASN BerAKHLASK")</f>
        <v>791_MARHENI WIDYA CAHYANI, S.E. _ SERTIFIKAT BIMTEK IPASN BerAKHLASK</v>
      </c>
      <c r="P792" s="5" t="s">
        <v>7373</v>
      </c>
      <c r="Q792" s="5"/>
      <c r="R792" s="5"/>
      <c r="S792" s="5"/>
      <c r="T792" s="5" t="s">
        <v>7144</v>
      </c>
    </row>
    <row r="793">
      <c r="A793" s="4">
        <v>45534.326199247684</v>
      </c>
      <c r="B793" s="5" t="s">
        <v>34</v>
      </c>
      <c r="D793" s="5" t="s">
        <v>1692</v>
      </c>
      <c r="E793" s="5" t="s">
        <v>7409</v>
      </c>
      <c r="F793" s="5" t="s">
        <v>212</v>
      </c>
      <c r="G793" s="5" t="s">
        <v>7410</v>
      </c>
      <c r="H793" s="6" t="s">
        <v>7411</v>
      </c>
      <c r="I793" s="7" t="s">
        <v>7412</v>
      </c>
      <c r="J793" s="8" t="str">
        <f>HYPERLINK("https://drive.google.com/file/d/1rO3VQ2nXKek5GhGELokzv5rJv4NdxszI/view?usp=drivesdk","TIFANY LISA TAIHUTTU, Amd.Kep SERTIFIKAT BerAKHLAK")</f>
        <v>TIFANY LISA TAIHUTTU, Amd.Kep SERTIFIKAT BerAKHLAK</v>
      </c>
      <c r="K793" s="5" t="s">
        <v>6248</v>
      </c>
      <c r="L793" s="5" t="s">
        <v>7413</v>
      </c>
      <c r="M793" s="5" t="s">
        <v>7414</v>
      </c>
      <c r="N793" s="7" t="s">
        <v>7415</v>
      </c>
      <c r="O793" s="8" t="str">
        <f>HYPERLINK("https://drive.google.com/file/d/195-X0n3WkitgqtWCG5RTNv8mfL4fNMHe/view?usp=drivesdk","792_TIFANY LISA TAIHUTTU, Amd.Kep _ SERTIFIKAT BIMTEK IPASN BerAKHLASK")</f>
        <v>792_TIFANY LISA TAIHUTTU, Amd.Kep _ SERTIFIKAT BIMTEK IPASN BerAKHLASK</v>
      </c>
      <c r="P793" s="5" t="s">
        <v>7416</v>
      </c>
      <c r="Q793" s="5"/>
      <c r="R793" s="5"/>
      <c r="S793" s="5"/>
      <c r="T793" s="5" t="s">
        <v>7144</v>
      </c>
    </row>
    <row r="794">
      <c r="A794" s="4">
        <v>45534.326213692126</v>
      </c>
      <c r="B794" s="5" t="s">
        <v>34</v>
      </c>
      <c r="D794" s="5" t="s">
        <v>4775</v>
      </c>
      <c r="E794" s="5" t="s">
        <v>7417</v>
      </c>
      <c r="F794" s="5" t="s">
        <v>212</v>
      </c>
      <c r="G794" s="5" t="s">
        <v>7418</v>
      </c>
      <c r="H794" s="6" t="s">
        <v>7419</v>
      </c>
      <c r="I794" s="7" t="s">
        <v>7420</v>
      </c>
      <c r="J794" s="8" t="str">
        <f>HYPERLINK("https://drive.google.com/file/d/1Nlv9R79up6p7iA-I3fy2Xnv72sYLnp2n/view?usp=drivesdk","DJONY SOESANTO SERTIFIKAT BerAKHLAK")</f>
        <v>DJONY SOESANTO SERTIFIKAT BerAKHLAK</v>
      </c>
      <c r="K794" s="5" t="s">
        <v>6258</v>
      </c>
      <c r="L794" s="5" t="s">
        <v>7421</v>
      </c>
      <c r="M794" s="5" t="s">
        <v>7422</v>
      </c>
      <c r="N794" s="7" t="s">
        <v>7423</v>
      </c>
      <c r="O794" s="8" t="str">
        <f>HYPERLINK("https://drive.google.com/file/d/1zYGXy7kpoKxfvoCE-dOmJuzRTFjKLDpD/view?usp=drivesdk","793_DJONY SOESANTO _ SERTIFIKAT BIMTEK IPASN BerAKHLASK")</f>
        <v>793_DJONY SOESANTO _ SERTIFIKAT BIMTEK IPASN BerAKHLASK</v>
      </c>
      <c r="P794" s="5" t="s">
        <v>7416</v>
      </c>
      <c r="Q794" s="5"/>
      <c r="R794" s="5"/>
      <c r="S794" s="5"/>
      <c r="T794" s="5" t="s">
        <v>7144</v>
      </c>
    </row>
    <row r="795">
      <c r="A795" s="4">
        <v>45534.32622796296</v>
      </c>
      <c r="B795" s="5" t="s">
        <v>34</v>
      </c>
      <c r="D795" s="5" t="s">
        <v>1663</v>
      </c>
      <c r="E795" s="5" t="s">
        <v>7424</v>
      </c>
      <c r="F795" s="5" t="s">
        <v>72</v>
      </c>
      <c r="G795" s="5" t="s">
        <v>7425</v>
      </c>
      <c r="H795" s="6" t="s">
        <v>7426</v>
      </c>
      <c r="K795" s="5" t="s">
        <v>7427</v>
      </c>
      <c r="M795" s="5" t="s">
        <v>7428</v>
      </c>
      <c r="N795" s="7" t="s">
        <v>7429</v>
      </c>
      <c r="O795" s="8" t="str">
        <f>HYPERLINK("https://drive.google.com/file/d/1bh2cDThW4Cpxik43MVCqu8M2LT-KZSsY/view?usp=drivesdk","794_dr.ENI INDRAWATI _ SERTIFIKAT BIMTEK IPASN BerAKHLASK")</f>
        <v>794_dr.ENI INDRAWATI _ SERTIFIKAT BIMTEK IPASN BerAKHLASK</v>
      </c>
      <c r="P795" s="5" t="s">
        <v>7416</v>
      </c>
      <c r="Q795" s="5"/>
      <c r="R795" s="5"/>
      <c r="S795" s="5"/>
      <c r="T795" s="5" t="s">
        <v>7144</v>
      </c>
    </row>
    <row r="796">
      <c r="A796" s="4">
        <v>45534.32622796296</v>
      </c>
      <c r="B796" s="5" t="s">
        <v>34</v>
      </c>
      <c r="D796" s="5" t="s">
        <v>996</v>
      </c>
      <c r="E796" s="5" t="s">
        <v>7430</v>
      </c>
      <c r="F796" s="5" t="s">
        <v>212</v>
      </c>
      <c r="G796" s="5" t="s">
        <v>7431</v>
      </c>
      <c r="H796" s="6" t="s">
        <v>7432</v>
      </c>
      <c r="K796" s="5" t="s">
        <v>7427</v>
      </c>
      <c r="M796" s="5" t="s">
        <v>7433</v>
      </c>
      <c r="N796" s="7" t="s">
        <v>7434</v>
      </c>
      <c r="O796" s="8" t="str">
        <f>HYPERLINK("https://drive.google.com/file/d/1rHRCiTghvINthinzUdqMnBpzvtXpnZ-Z/view?usp=drivesdk","795_ABDUL RACHMAN SALEH,SE _ SERTIFIKAT BIMTEK IPASN BerAKHLASK")</f>
        <v>795_ABDUL RACHMAN SALEH,SE _ SERTIFIKAT BIMTEK IPASN BerAKHLASK</v>
      </c>
      <c r="P796" s="5" t="s">
        <v>7416</v>
      </c>
      <c r="Q796" s="5"/>
      <c r="R796" s="5"/>
      <c r="S796" s="5"/>
      <c r="T796" s="5" t="s">
        <v>7144</v>
      </c>
    </row>
    <row r="797">
      <c r="A797" s="4">
        <v>45534.32623903935</v>
      </c>
      <c r="B797" s="5" t="s">
        <v>34</v>
      </c>
      <c r="D797" s="5" t="s">
        <v>4775</v>
      </c>
      <c r="E797" s="5" t="s">
        <v>7435</v>
      </c>
      <c r="F797" s="5" t="s">
        <v>212</v>
      </c>
      <c r="G797" s="5" t="s">
        <v>7436</v>
      </c>
      <c r="H797" s="6" t="s">
        <v>7437</v>
      </c>
      <c r="K797" s="5" t="s">
        <v>7427</v>
      </c>
      <c r="M797" s="5" t="s">
        <v>7438</v>
      </c>
      <c r="N797" s="7" t="s">
        <v>7439</v>
      </c>
      <c r="O797" s="8" t="str">
        <f>HYPERLINK("https://drive.google.com/file/d/1ZYAHErVYCJWudiO07YBerRIsQ1TGkt9b/view?usp=drivesdk","796_TITIK KISWANTI,AMD.Kep _ SERTIFIKAT BIMTEK IPASN BerAKHLASK")</f>
        <v>796_TITIK KISWANTI,AMD.Kep _ SERTIFIKAT BIMTEK IPASN BerAKHLASK</v>
      </c>
      <c r="P797" s="5" t="s">
        <v>7416</v>
      </c>
      <c r="Q797" s="5"/>
      <c r="R797" s="5"/>
      <c r="S797" s="5"/>
      <c r="T797" s="5" t="s">
        <v>7144</v>
      </c>
    </row>
    <row r="798" hidden="1">
      <c r="A798" s="4">
        <v>45534.32624149305</v>
      </c>
      <c r="B798" s="5" t="s">
        <v>19</v>
      </c>
      <c r="C798" s="5" t="s">
        <v>292</v>
      </c>
      <c r="E798" s="5" t="s">
        <v>7440</v>
      </c>
      <c r="F798" s="5" t="s">
        <v>37</v>
      </c>
      <c r="G798" s="5" t="s">
        <v>7441</v>
      </c>
      <c r="H798" s="6" t="s">
        <v>7442</v>
      </c>
      <c r="K798" s="5" t="s">
        <v>7427</v>
      </c>
      <c r="M798" s="5" t="s">
        <v>7443</v>
      </c>
      <c r="N798" s="7" t="s">
        <v>7444</v>
      </c>
      <c r="O798" s="8" t="str">
        <f>HYPERLINK("https://drive.google.com/file/d/1PyFUVY1eS-Q0ZrJx1j0c2FTz5QuNOUxe/view?usp=drivesdk","797_ANGGI DWI CAHYA A.M.Keb _ SERTIFIKAT BIMTEK IPASN BerAKHLASK")</f>
        <v>797_ANGGI DWI CAHYA A.M.Keb _ SERTIFIKAT BIMTEK IPASN BerAKHLASK</v>
      </c>
      <c r="P798" s="5" t="s">
        <v>7416</v>
      </c>
      <c r="Q798" s="5"/>
      <c r="R798" s="5"/>
      <c r="S798" s="5"/>
      <c r="T798" s="5" t="s">
        <v>7144</v>
      </c>
    </row>
    <row r="799">
      <c r="A799" s="4">
        <v>45534.32624178241</v>
      </c>
      <c r="B799" s="5" t="s">
        <v>34</v>
      </c>
      <c r="D799" s="5" t="s">
        <v>580</v>
      </c>
      <c r="E799" s="5" t="s">
        <v>7445</v>
      </c>
      <c r="F799" s="5" t="s">
        <v>212</v>
      </c>
      <c r="G799" s="5" t="s">
        <v>7446</v>
      </c>
      <c r="H799" s="6" t="s">
        <v>7447</v>
      </c>
      <c r="K799" s="5" t="s">
        <v>7427</v>
      </c>
      <c r="M799" s="5" t="s">
        <v>7448</v>
      </c>
      <c r="N799" s="7" t="s">
        <v>7449</v>
      </c>
      <c r="O799" s="8" t="str">
        <f>HYPERLINK("https://drive.google.com/file/d/1UUxnFTZaAsl2w6FMDft7EGolQAAglYqT/view?usp=drivesdk","798_SANG MADE SUARTAMA,SH _ SERTIFIKAT BIMTEK IPASN BerAKHLASK")</f>
        <v>798_SANG MADE SUARTAMA,SH _ SERTIFIKAT BIMTEK IPASN BerAKHLASK</v>
      </c>
      <c r="P799" s="5" t="s">
        <v>7416</v>
      </c>
      <c r="Q799" s="5"/>
      <c r="R799" s="5"/>
      <c r="S799" s="5"/>
      <c r="T799" s="5" t="s">
        <v>7144</v>
      </c>
    </row>
    <row r="800">
      <c r="A800" s="4">
        <v>45534.32626028935</v>
      </c>
      <c r="B800" s="5" t="s">
        <v>34</v>
      </c>
      <c r="D800" s="5" t="s">
        <v>4775</v>
      </c>
      <c r="E800" s="5" t="s">
        <v>4186</v>
      </c>
      <c r="F800" s="5" t="s">
        <v>37</v>
      </c>
      <c r="G800" s="5" t="s">
        <v>7450</v>
      </c>
      <c r="H800" s="6" t="s">
        <v>7451</v>
      </c>
      <c r="I800" s="7" t="s">
        <v>7452</v>
      </c>
      <c r="J800" s="8" t="str">
        <f>HYPERLINK("https://drive.google.com/file/d/1w9TH0FNG5MNAy_h3m3Y8TVQLyuqt0WE8/view?usp=drivesdk","AGUS SUPRIYADI SERTIFIKAT BerAKHLAK")</f>
        <v>AGUS SUPRIYADI SERTIFIKAT BerAKHLAK</v>
      </c>
      <c r="K800" s="5" t="s">
        <v>6248</v>
      </c>
      <c r="L800" s="5" t="s">
        <v>7453</v>
      </c>
      <c r="M800" s="5" t="s">
        <v>7454</v>
      </c>
      <c r="N800" s="7" t="s">
        <v>7455</v>
      </c>
      <c r="O800" s="8" t="str">
        <f>HYPERLINK("https://drive.google.com/file/d/1Pf31uPHoUMA8CWehY7Gp-25cKQIMgH1V/view?usp=drivesdk","799_AGUS SUPRIYADI _ SERTIFIKAT BIMTEK IPASN BerAKHLASK")</f>
        <v>799_AGUS SUPRIYADI _ SERTIFIKAT BIMTEK IPASN BerAKHLASK</v>
      </c>
      <c r="P800" s="5" t="s">
        <v>7456</v>
      </c>
      <c r="Q800" s="5"/>
      <c r="R800" s="5"/>
      <c r="S800" s="5"/>
      <c r="T800" s="5" t="s">
        <v>7144</v>
      </c>
    </row>
    <row r="801" hidden="1">
      <c r="A801" s="4">
        <v>45534.32626310185</v>
      </c>
      <c r="B801" s="5" t="s">
        <v>19</v>
      </c>
      <c r="C801" s="5" t="s">
        <v>5058</v>
      </c>
      <c r="E801" s="5" t="s">
        <v>7457</v>
      </c>
      <c r="F801" s="5" t="s">
        <v>108</v>
      </c>
      <c r="G801" s="5" t="s">
        <v>7458</v>
      </c>
      <c r="H801" s="6" t="s">
        <v>7459</v>
      </c>
      <c r="I801" s="7" t="s">
        <v>7460</v>
      </c>
      <c r="J801" s="8" t="str">
        <f>HYPERLINK("https://drive.google.com/file/d/1gECqfaOZXnbo_j-MxC66AkaKCGEGVAhq/view?usp=drivesdk","DARMANI IKA SUSANTI SERTIFIKAT BerAKHLAK")</f>
        <v>DARMANI IKA SUSANTI SERTIFIKAT BerAKHLAK</v>
      </c>
      <c r="K801" s="5" t="s">
        <v>6258</v>
      </c>
      <c r="L801" s="5" t="s">
        <v>7461</v>
      </c>
      <c r="M801" s="5" t="s">
        <v>7462</v>
      </c>
      <c r="N801" s="7" t="s">
        <v>7463</v>
      </c>
      <c r="O801" s="8" t="str">
        <f>HYPERLINK("https://drive.google.com/file/d/1EgVI-T3fJrf9vevkbN2ToSmgduAaNkyg/view?usp=drivesdk","800_DARMANI IKA SUSANTI _ SERTIFIKAT BIMTEK IPASN BerAKHLASK")</f>
        <v>800_DARMANI IKA SUSANTI _ SERTIFIKAT BIMTEK IPASN BerAKHLASK</v>
      </c>
      <c r="P801" s="5" t="s">
        <v>7456</v>
      </c>
      <c r="Q801" s="5"/>
      <c r="R801" s="5"/>
      <c r="S801" s="5"/>
      <c r="T801" s="5" t="s">
        <v>7144</v>
      </c>
    </row>
    <row r="802">
      <c r="A802" s="4">
        <v>45534.326270335645</v>
      </c>
      <c r="B802" s="5" t="s">
        <v>34</v>
      </c>
      <c r="D802" s="5" t="s">
        <v>1206</v>
      </c>
      <c r="E802" s="5" t="s">
        <v>7464</v>
      </c>
      <c r="F802" s="5" t="s">
        <v>212</v>
      </c>
      <c r="G802" s="5" t="s">
        <v>7465</v>
      </c>
      <c r="H802" s="6" t="s">
        <v>7466</v>
      </c>
      <c r="I802" s="7" t="s">
        <v>7467</v>
      </c>
      <c r="J802" s="8" t="str">
        <f>HYPERLINK("https://drive.google.com/file/d/1JKQ1BQ0GdT_DYBEfe0I5XGupaWc1rrRE/view?usp=drivesdk","ENDANG YULIYATI SERTIFIKAT BerAKHLAK")</f>
        <v>ENDANG YULIYATI SERTIFIKAT BerAKHLAK</v>
      </c>
      <c r="K802" s="5" t="s">
        <v>6258</v>
      </c>
      <c r="L802" s="5" t="s">
        <v>7468</v>
      </c>
      <c r="M802" s="5" t="s">
        <v>7469</v>
      </c>
      <c r="N802" s="7" t="s">
        <v>7470</v>
      </c>
      <c r="O802" s="8" t="str">
        <f>HYPERLINK("https://drive.google.com/file/d/1XsvVD4Xf6AOmq8glI3xINBbPMh8NuKXc/view?usp=drivesdk","801_ENDANG YULIYATI _ SERTIFIKAT BIMTEK IPASN BerAKHLASK")</f>
        <v>801_ENDANG YULIYATI _ SERTIFIKAT BIMTEK IPASN BerAKHLASK</v>
      </c>
      <c r="P802" s="5" t="s">
        <v>7456</v>
      </c>
      <c r="Q802" s="5"/>
      <c r="R802" s="5"/>
      <c r="S802" s="5"/>
      <c r="T802" s="5" t="s">
        <v>7144</v>
      </c>
    </row>
    <row r="803">
      <c r="A803" s="4">
        <v>45534.32627439815</v>
      </c>
      <c r="B803" s="5" t="s">
        <v>34</v>
      </c>
      <c r="D803" s="5" t="s">
        <v>1206</v>
      </c>
      <c r="E803" s="5" t="s">
        <v>7471</v>
      </c>
      <c r="F803" s="5" t="s">
        <v>37</v>
      </c>
      <c r="G803" s="5" t="s">
        <v>7472</v>
      </c>
      <c r="H803" s="6" t="s">
        <v>7473</v>
      </c>
      <c r="I803" s="7" t="s">
        <v>7474</v>
      </c>
      <c r="J803" s="8" t="str">
        <f>HYPERLINK("https://drive.google.com/file/d/1DGrYvO2iNXe6SP-UCfUrJR3fnR3rYCWi/view?usp=drivesdk","WAHYU AGUNG BINTORO SERTIFIKAT BerAKHLAK")</f>
        <v>WAHYU AGUNG BINTORO SERTIFIKAT BerAKHLAK</v>
      </c>
      <c r="K803" s="5" t="s">
        <v>6258</v>
      </c>
      <c r="L803" s="5" t="s">
        <v>7475</v>
      </c>
      <c r="M803" s="5" t="s">
        <v>7476</v>
      </c>
      <c r="N803" s="7" t="s">
        <v>7477</v>
      </c>
      <c r="O803" s="8" t="str">
        <f>HYPERLINK("https://drive.google.com/file/d/1FIWWZQmRLe6wwFlOWD0C3IOakLS1Zhou/view?usp=drivesdk","802_WAHYU AGUNG BINTORO _ SERTIFIKAT BIMTEK IPASN BerAKHLASK")</f>
        <v>802_WAHYU AGUNG BINTORO _ SERTIFIKAT BIMTEK IPASN BerAKHLASK</v>
      </c>
      <c r="P803" s="5" t="s">
        <v>7456</v>
      </c>
      <c r="Q803" s="5"/>
      <c r="R803" s="5"/>
      <c r="S803" s="5"/>
      <c r="T803" s="5" t="s">
        <v>7144</v>
      </c>
    </row>
    <row r="804">
      <c r="A804" s="4">
        <v>45534.326275</v>
      </c>
      <c r="B804" s="5" t="s">
        <v>34</v>
      </c>
      <c r="D804" s="5" t="s">
        <v>35</v>
      </c>
      <c r="E804" s="5" t="s">
        <v>7478</v>
      </c>
      <c r="F804" s="5" t="s">
        <v>37</v>
      </c>
      <c r="G804" s="5" t="s">
        <v>7479</v>
      </c>
      <c r="H804" s="6" t="s">
        <v>7480</v>
      </c>
      <c r="I804" s="7" t="s">
        <v>7481</v>
      </c>
      <c r="J804" s="8" t="str">
        <f>HYPERLINK("https://drive.google.com/file/d/1JmTny-588LBvh0qK4ETO4_ay6ovXsnYI/view?usp=drivesdk","NATAL FRANSISKUS SIHOTANG SERTIFIKAT BerAKHLAK")</f>
        <v>NATAL FRANSISKUS SIHOTANG SERTIFIKAT BerAKHLAK</v>
      </c>
      <c r="K804" s="5" t="s">
        <v>6258</v>
      </c>
      <c r="L804" s="5" t="s">
        <v>7482</v>
      </c>
      <c r="M804" s="5" t="s">
        <v>7483</v>
      </c>
      <c r="N804" s="7" t="s">
        <v>7484</v>
      </c>
      <c r="O804" s="8" t="str">
        <f>HYPERLINK("https://drive.google.com/file/d/1sGuW7eI_MK8ustndsYQQ5TCcTrGNTTot/view?usp=drivesdk","803_NATAL FRANSISKUS SIHOTANG _ SERTIFIKAT BIMTEK IPASN BerAKHLASK")</f>
        <v>803_NATAL FRANSISKUS SIHOTANG _ SERTIFIKAT BIMTEK IPASN BerAKHLASK</v>
      </c>
      <c r="P804" s="5" t="s">
        <v>7456</v>
      </c>
      <c r="Q804" s="5"/>
      <c r="R804" s="5"/>
      <c r="S804" s="5"/>
      <c r="T804" s="5" t="s">
        <v>7144</v>
      </c>
    </row>
    <row r="805">
      <c r="A805" s="4">
        <v>45534.32627583333</v>
      </c>
      <c r="B805" s="5" t="s">
        <v>34</v>
      </c>
      <c r="D805" s="5" t="s">
        <v>4775</v>
      </c>
      <c r="E805" s="5" t="s">
        <v>7485</v>
      </c>
      <c r="F805" s="5" t="s">
        <v>212</v>
      </c>
      <c r="G805" s="5" t="s">
        <v>7486</v>
      </c>
      <c r="H805" s="6" t="s">
        <v>7487</v>
      </c>
      <c r="I805" s="7" t="s">
        <v>7488</v>
      </c>
      <c r="J805" s="8" t="str">
        <f>HYPERLINK("https://drive.google.com/file/d/1QOB3e7o_m6Lt6UaIvTqu8R6DpNpH7GsT/view?usp=drivesdk","NURWIDAYATI  PRATIWI, AMK SERTIFIKAT BerAKHLAK")</f>
        <v>NURWIDAYATI  PRATIWI, AMK SERTIFIKAT BerAKHLAK</v>
      </c>
      <c r="K805" s="5" t="s">
        <v>6258</v>
      </c>
      <c r="L805" s="5" t="s">
        <v>7489</v>
      </c>
      <c r="M805" s="5" t="s">
        <v>7490</v>
      </c>
      <c r="N805" s="7" t="s">
        <v>7491</v>
      </c>
      <c r="O805" s="8" t="str">
        <f>HYPERLINK("https://drive.google.com/file/d/1YTBPjM46cWWU1qwTDxO8J8gEKnWZ2_lz/view?usp=drivesdk","804_NURWIDAYATI  PRATIWI, AMK _ SERTIFIKAT BIMTEK IPASN BerAKHLASK")</f>
        <v>804_NURWIDAYATI  PRATIWI, AMK _ SERTIFIKAT BIMTEK IPASN BerAKHLASK</v>
      </c>
      <c r="P805" s="5" t="s">
        <v>7456</v>
      </c>
      <c r="Q805" s="5"/>
      <c r="R805" s="5"/>
      <c r="S805" s="5"/>
      <c r="T805" s="5" t="s">
        <v>7144</v>
      </c>
    </row>
    <row r="806">
      <c r="A806" s="4">
        <v>45534.32628631944</v>
      </c>
      <c r="B806" s="5" t="s">
        <v>34</v>
      </c>
      <c r="D806" s="5" t="s">
        <v>4775</v>
      </c>
      <c r="E806" s="5" t="s">
        <v>7492</v>
      </c>
      <c r="F806" s="5" t="s">
        <v>37</v>
      </c>
      <c r="G806" s="5" t="s">
        <v>7493</v>
      </c>
      <c r="H806" s="6" t="s">
        <v>7494</v>
      </c>
      <c r="I806" s="7" t="s">
        <v>7495</v>
      </c>
      <c r="J806" s="8" t="str">
        <f>HYPERLINK("https://drive.google.com/file/d/1JSll60vGJnEZDPurhqhV8wG8Nz_pz_sF/view?usp=drivesdk","MURTI DHAMAYANTI SERTIFIKAT BerAKHLAK")</f>
        <v>MURTI DHAMAYANTI SERTIFIKAT BerAKHLAK</v>
      </c>
      <c r="K806" s="5" t="s">
        <v>6258</v>
      </c>
      <c r="L806" s="5" t="s">
        <v>7496</v>
      </c>
      <c r="M806" s="5" t="s">
        <v>7497</v>
      </c>
      <c r="N806" s="7" t="s">
        <v>7498</v>
      </c>
      <c r="O806" s="8" t="str">
        <f>HYPERLINK("https://drive.google.com/file/d/1ubiZkHYA7yv-49d9L2UayeiUrX3qJQZl/view?usp=drivesdk","805_MURTI DHAMAYANTI _ SERTIFIKAT BIMTEK IPASN BerAKHLASK")</f>
        <v>805_MURTI DHAMAYANTI _ SERTIFIKAT BIMTEK IPASN BerAKHLASK</v>
      </c>
      <c r="P806" s="5" t="s">
        <v>7499</v>
      </c>
      <c r="Q806" s="5"/>
      <c r="R806" s="5"/>
      <c r="S806" s="5"/>
      <c r="T806" s="5" t="s">
        <v>7144</v>
      </c>
    </row>
    <row r="807">
      <c r="A807" s="4">
        <v>45534.326290185185</v>
      </c>
      <c r="B807" s="5" t="s">
        <v>34</v>
      </c>
      <c r="D807" s="5" t="s">
        <v>35</v>
      </c>
      <c r="E807" s="5" t="s">
        <v>7500</v>
      </c>
      <c r="F807" s="5" t="s">
        <v>212</v>
      </c>
      <c r="G807" s="5" t="s">
        <v>7501</v>
      </c>
      <c r="H807" s="6" t="s">
        <v>7502</v>
      </c>
      <c r="I807" s="7" t="s">
        <v>7503</v>
      </c>
      <c r="J807" s="8" t="str">
        <f>HYPERLINK("https://drive.google.com/file/d/149L19eJpey4VJtXrEnoiPId-XKjQj44_/view?usp=drivesdk","MOHAMAD SMAIL SERTIFIKAT BerAKHLAK")</f>
        <v>MOHAMAD SMAIL SERTIFIKAT BerAKHLAK</v>
      </c>
      <c r="K807" s="5" t="s">
        <v>6296</v>
      </c>
      <c r="L807" s="5" t="s">
        <v>7504</v>
      </c>
      <c r="M807" s="5" t="s">
        <v>7505</v>
      </c>
      <c r="N807" s="7" t="s">
        <v>7506</v>
      </c>
      <c r="O807" s="8" t="str">
        <f>HYPERLINK("https://drive.google.com/file/d/19RqLK8bHyT5zXnD_iNxvDRGXJVr8hrSE/view?usp=drivesdk","806_MOHAMAD SMAIL _ SERTIFIKAT BIMTEK IPASN BerAKHLASK")</f>
        <v>806_MOHAMAD SMAIL _ SERTIFIKAT BIMTEK IPASN BerAKHLASK</v>
      </c>
      <c r="P807" s="5" t="s">
        <v>7499</v>
      </c>
      <c r="Q807" s="5"/>
      <c r="R807" s="5"/>
      <c r="S807" s="5"/>
      <c r="T807" s="5" t="s">
        <v>7144</v>
      </c>
    </row>
    <row r="808">
      <c r="A808" s="4">
        <v>45534.32629429398</v>
      </c>
      <c r="B808" s="5" t="s">
        <v>34</v>
      </c>
      <c r="D808" s="5" t="s">
        <v>1206</v>
      </c>
      <c r="E808" s="5" t="s">
        <v>7507</v>
      </c>
      <c r="F808" s="5" t="s">
        <v>212</v>
      </c>
      <c r="G808" s="5" t="s">
        <v>7508</v>
      </c>
      <c r="H808" s="6" t="s">
        <v>7509</v>
      </c>
      <c r="I808" s="7" t="s">
        <v>7510</v>
      </c>
      <c r="J808" s="8" t="str">
        <f>HYPERLINK("https://drive.google.com/file/d/1Fk4Z3jcgVeeJsXaPLYEcZ9ZeKBOUk1j3/view?usp=drivesdk","AGUSTINUS RUDDY HARTONO SERTIFIKAT BerAKHLAK")</f>
        <v>AGUSTINUS RUDDY HARTONO SERTIFIKAT BerAKHLAK</v>
      </c>
      <c r="K808" s="5" t="s">
        <v>6296</v>
      </c>
      <c r="L808" s="5" t="s">
        <v>7511</v>
      </c>
      <c r="M808" s="5" t="s">
        <v>7512</v>
      </c>
      <c r="N808" s="7" t="s">
        <v>7513</v>
      </c>
      <c r="O808" s="8" t="str">
        <f>HYPERLINK("https://drive.google.com/file/d/1ailEUuaQccP2WXadsgPMOxQOJwaF_AC0/view?usp=drivesdk","807_AGUSTINUS RUDDY HARTONO _ SERTIFIKAT BIMTEK IPASN BerAKHLASK")</f>
        <v>807_AGUSTINUS RUDDY HARTONO _ SERTIFIKAT BIMTEK IPASN BerAKHLASK</v>
      </c>
      <c r="P808" s="5" t="s">
        <v>7499</v>
      </c>
      <c r="Q808" s="5"/>
      <c r="R808" s="5"/>
      <c r="S808" s="5"/>
      <c r="T808" s="5" t="s">
        <v>7144</v>
      </c>
    </row>
    <row r="809">
      <c r="A809" s="4">
        <v>45534.326327187504</v>
      </c>
      <c r="B809" s="5" t="s">
        <v>34</v>
      </c>
      <c r="D809" s="5" t="s">
        <v>280</v>
      </c>
      <c r="E809" s="5" t="s">
        <v>7514</v>
      </c>
      <c r="F809" s="5" t="s">
        <v>212</v>
      </c>
      <c r="G809" s="5" t="s">
        <v>7515</v>
      </c>
      <c r="H809" s="6" t="s">
        <v>7516</v>
      </c>
      <c r="I809" s="7" t="s">
        <v>7517</v>
      </c>
      <c r="J809" s="8" t="str">
        <f>HYPERLINK("https://drive.google.com/file/d/1TwWwpJV7WkGqLukHq90qA4J6IfRC5i6c/view?usp=drivesdk","ANDIANSYAHS, S.M. SERTIFIKAT BerAKHLAK")</f>
        <v>ANDIANSYAHS, S.M. SERTIFIKAT BerAKHLAK</v>
      </c>
      <c r="K809" s="5" t="s">
        <v>6258</v>
      </c>
      <c r="L809" s="5" t="s">
        <v>7518</v>
      </c>
      <c r="M809" s="5" t="s">
        <v>7519</v>
      </c>
      <c r="N809" s="7" t="s">
        <v>7520</v>
      </c>
      <c r="O809" s="8" t="str">
        <f>HYPERLINK("https://drive.google.com/file/d/1fNznagGGzg0q8bTovhjgE00k5Uda2ViG/view?usp=drivesdk","808_ANDIANSYAHS, S.M. _ SERTIFIKAT BIMTEK IPASN BerAKHLASK")</f>
        <v>808_ANDIANSYAHS, S.M. _ SERTIFIKAT BIMTEK IPASN BerAKHLASK</v>
      </c>
      <c r="P809" s="5" t="s">
        <v>7499</v>
      </c>
      <c r="Q809" s="5"/>
      <c r="R809" s="5"/>
      <c r="S809" s="5"/>
      <c r="T809" s="5" t="s">
        <v>7144</v>
      </c>
    </row>
    <row r="810">
      <c r="A810" s="4">
        <v>45534.32640532407</v>
      </c>
      <c r="B810" s="5" t="s">
        <v>34</v>
      </c>
      <c r="D810" s="5" t="s">
        <v>4775</v>
      </c>
      <c r="E810" s="5" t="s">
        <v>7521</v>
      </c>
      <c r="F810" s="5" t="s">
        <v>212</v>
      </c>
      <c r="G810" s="5" t="s">
        <v>7522</v>
      </c>
      <c r="H810" s="6" t="s">
        <v>7523</v>
      </c>
      <c r="I810" s="7" t="s">
        <v>7524</v>
      </c>
      <c r="J810" s="8" t="str">
        <f>HYPERLINK("https://drive.google.com/file/d/1u2WERi9J38iDr6IfHpnr88JL_Wd9yifx/view?usp=drivesdk","SRI SUWARTINI SERTIFIKAT BerAKHLAK")</f>
        <v>SRI SUWARTINI SERTIFIKAT BerAKHLAK</v>
      </c>
      <c r="K810" s="5" t="s">
        <v>6258</v>
      </c>
      <c r="L810" s="5" t="s">
        <v>7525</v>
      </c>
      <c r="M810" s="5" t="s">
        <v>7526</v>
      </c>
      <c r="N810" s="7" t="s">
        <v>7527</v>
      </c>
      <c r="O810" s="8" t="str">
        <f>HYPERLINK("https://drive.google.com/file/d/1owBLjZGO5git8V83q-f_cSdmyOfEoC7o/view?usp=drivesdk","809_SRI SUWARTINI _ SERTIFIKAT BIMTEK IPASN BerAKHLASK")</f>
        <v>809_SRI SUWARTINI _ SERTIFIKAT BIMTEK IPASN BerAKHLASK</v>
      </c>
      <c r="P810" s="5" t="s">
        <v>7499</v>
      </c>
      <c r="Q810" s="5"/>
      <c r="R810" s="5"/>
      <c r="S810" s="5"/>
      <c r="T810" s="5" t="s">
        <v>7144</v>
      </c>
    </row>
    <row r="811">
      <c r="A811" s="4">
        <v>45534.326416412034</v>
      </c>
      <c r="B811" s="5" t="s">
        <v>34</v>
      </c>
      <c r="D811" s="5" t="s">
        <v>3849</v>
      </c>
      <c r="E811" s="5" t="s">
        <v>7528</v>
      </c>
      <c r="F811" s="5" t="s">
        <v>37</v>
      </c>
      <c r="G811" s="5" t="s">
        <v>7529</v>
      </c>
      <c r="H811" s="6" t="s">
        <v>7530</v>
      </c>
      <c r="I811" s="7" t="s">
        <v>7531</v>
      </c>
      <c r="J811" s="8" t="str">
        <f>HYPERLINK("https://drive.google.com/file/d/1hKEGvMIv7DJJPSnWxJgLNpNMZv3AOlqU/view?usp=drivesdk","AFTADI YULIANSYAH, A.Md.Farm SERTIFIKAT BerAKHLAK")</f>
        <v>AFTADI YULIANSYAH, A.Md.Farm SERTIFIKAT BerAKHLAK</v>
      </c>
      <c r="K811" s="5" t="s">
        <v>6258</v>
      </c>
      <c r="L811" s="5" t="s">
        <v>7532</v>
      </c>
      <c r="M811" s="5" t="s">
        <v>7533</v>
      </c>
      <c r="N811" s="7" t="s">
        <v>7534</v>
      </c>
      <c r="O811" s="8" t="str">
        <f>HYPERLINK("https://drive.google.com/file/d/1Z7xUcq3Iqqh1mlo0fwFmckD3D4x1CESo/view?usp=drivesdk","810_AFTADI YULIANSYAH, A.Md.Farm _ SERTIFIKAT BIMTEK IPASN BerAKHLASK")</f>
        <v>810_AFTADI YULIANSYAH, A.Md.Farm _ SERTIFIKAT BIMTEK IPASN BerAKHLASK</v>
      </c>
      <c r="P811" s="5" t="s">
        <v>7535</v>
      </c>
      <c r="Q811" s="5"/>
      <c r="R811" s="5"/>
      <c r="S811" s="5"/>
      <c r="T811" s="5" t="s">
        <v>7144</v>
      </c>
    </row>
    <row r="812" hidden="1">
      <c r="A812" s="4">
        <v>45534.3264340162</v>
      </c>
      <c r="B812" s="5" t="s">
        <v>19</v>
      </c>
      <c r="C812" s="5" t="s">
        <v>466</v>
      </c>
      <c r="E812" s="5" t="s">
        <v>7536</v>
      </c>
      <c r="F812" s="5" t="s">
        <v>37</v>
      </c>
      <c r="G812" s="5" t="s">
        <v>7537</v>
      </c>
      <c r="H812" s="6" t="s">
        <v>7538</v>
      </c>
      <c r="I812" s="7" t="s">
        <v>7539</v>
      </c>
      <c r="J812" s="8" t="str">
        <f>HYPERLINK("https://drive.google.com/file/d/17_4rLObgYeGx47WoFJofU7RuvjxmjlQr/view?usp=drivesdk","DINA MUJI RAHAYU SERTIFIKAT BerAKHLAK")</f>
        <v>DINA MUJI RAHAYU SERTIFIKAT BerAKHLAK</v>
      </c>
      <c r="K812" s="5" t="s">
        <v>6258</v>
      </c>
      <c r="L812" s="5" t="s">
        <v>7540</v>
      </c>
      <c r="M812" s="5" t="s">
        <v>7541</v>
      </c>
      <c r="N812" s="7" t="s">
        <v>7542</v>
      </c>
      <c r="O812" s="8" t="str">
        <f>HYPERLINK("https://drive.google.com/file/d/1Ouo196U2VDtyxIuwxc_Gq6bwhN5Uh1r_/view?usp=drivesdk","811_DINA MUJI RAHAYU _ SERTIFIKAT BIMTEK IPASN BerAKHLASK")</f>
        <v>811_DINA MUJI RAHAYU _ SERTIFIKAT BIMTEK IPASN BerAKHLASK</v>
      </c>
      <c r="P812" s="5" t="s">
        <v>7535</v>
      </c>
      <c r="Q812" s="5"/>
      <c r="R812" s="5"/>
      <c r="S812" s="5"/>
      <c r="T812" s="5" t="s">
        <v>7144</v>
      </c>
    </row>
    <row r="813" hidden="1">
      <c r="A813" s="4">
        <v>45534.326453229165</v>
      </c>
      <c r="B813" s="5" t="s">
        <v>19</v>
      </c>
      <c r="C813" s="5" t="s">
        <v>292</v>
      </c>
      <c r="E813" s="5" t="s">
        <v>7543</v>
      </c>
      <c r="F813" s="5" t="s">
        <v>524</v>
      </c>
      <c r="G813" s="5" t="s">
        <v>7544</v>
      </c>
      <c r="H813" s="6" t="s">
        <v>7545</v>
      </c>
      <c r="I813" s="7" t="s">
        <v>7546</v>
      </c>
      <c r="J813" s="8" t="str">
        <f>HYPERLINK("https://drive.google.com/file/d/1bG0Jw8-BToWF_W8qtj4bcOy4GeMOPorw/view?usp=drivesdk","DODI SUHANDI, S.E. SERTIFIKAT BerAKHLAK")</f>
        <v>DODI SUHANDI, S.E. SERTIFIKAT BerAKHLAK</v>
      </c>
      <c r="K813" s="5" t="s">
        <v>6258</v>
      </c>
      <c r="L813" s="5" t="s">
        <v>7547</v>
      </c>
      <c r="M813" s="5" t="s">
        <v>7548</v>
      </c>
      <c r="N813" s="7" t="s">
        <v>7549</v>
      </c>
      <c r="O813" s="8" t="str">
        <f>HYPERLINK("https://drive.google.com/file/d/14mnYB2ZHwkG8aZy8fRqken8a9p2NqtNE/view?usp=drivesdk","812_DODI SUHANDI, S.E. _ SERTIFIKAT BIMTEK IPASN BerAKHLASK")</f>
        <v>812_DODI SUHANDI, S.E. _ SERTIFIKAT BIMTEK IPASN BerAKHLASK</v>
      </c>
      <c r="P813" s="5" t="s">
        <v>7535</v>
      </c>
      <c r="Q813" s="5"/>
      <c r="R813" s="5"/>
      <c r="S813" s="5"/>
      <c r="T813" s="5" t="s">
        <v>7144</v>
      </c>
    </row>
    <row r="814">
      <c r="A814" s="4">
        <v>45534.32647296296</v>
      </c>
      <c r="B814" s="5" t="s">
        <v>34</v>
      </c>
      <c r="D814" s="5" t="s">
        <v>1206</v>
      </c>
      <c r="E814" s="5" t="s">
        <v>7550</v>
      </c>
      <c r="F814" s="5" t="s">
        <v>37</v>
      </c>
      <c r="G814" s="5" t="s">
        <v>7551</v>
      </c>
      <c r="H814" s="6" t="s">
        <v>7552</v>
      </c>
      <c r="I814" s="7" t="s">
        <v>7553</v>
      </c>
      <c r="J814" s="8" t="str">
        <f>HYPERLINK("https://drive.google.com/file/d/1l72uOIVdb919diFBn7yVv9EnMaelyY3H/view?usp=drivesdk","PENGATUR SUHARTOYO SERTIFIKAT BerAKHLAK")</f>
        <v>PENGATUR SUHARTOYO SERTIFIKAT BerAKHLAK</v>
      </c>
      <c r="K814" s="5" t="s">
        <v>6258</v>
      </c>
      <c r="L814" s="5" t="s">
        <v>7554</v>
      </c>
      <c r="M814" s="5" t="s">
        <v>7555</v>
      </c>
      <c r="N814" s="7" t="s">
        <v>7556</v>
      </c>
      <c r="O814" s="8" t="str">
        <f>HYPERLINK("https://drive.google.com/file/d/1dZCX51DoYoF-WLh5JET490UF59OnfqPN/view?usp=drivesdk","813_PENGATUR SUHARTOYO _ SERTIFIKAT BIMTEK IPASN BerAKHLASK")</f>
        <v>813_PENGATUR SUHARTOYO _ SERTIFIKAT BIMTEK IPASN BerAKHLASK</v>
      </c>
      <c r="P814" s="5" t="s">
        <v>7535</v>
      </c>
      <c r="Q814" s="5"/>
      <c r="R814" s="5"/>
      <c r="S814" s="5"/>
      <c r="T814" s="5" t="s">
        <v>7144</v>
      </c>
    </row>
    <row r="815" hidden="1">
      <c r="A815" s="4">
        <v>45534.32648476852</v>
      </c>
      <c r="B815" s="5" t="s">
        <v>19</v>
      </c>
      <c r="C815" s="5" t="s">
        <v>292</v>
      </c>
      <c r="E815" s="5" t="s">
        <v>7557</v>
      </c>
      <c r="F815" s="5" t="s">
        <v>108</v>
      </c>
      <c r="G815" s="5" t="s">
        <v>7558</v>
      </c>
      <c r="H815" s="6" t="s">
        <v>7559</v>
      </c>
      <c r="I815" s="7" t="s">
        <v>7560</v>
      </c>
      <c r="J815" s="8" t="str">
        <f>HYPERLINK("https://drive.google.com/file/d/1AswNDqpqEeEmlcY83mllDe9Q3-5zYTOu/view?usp=drivesdk","IROM MUHAROM, S.KOM. SERTIFIKAT BerAKHLAK")</f>
        <v>IROM MUHAROM, S.KOM. SERTIFIKAT BerAKHLAK</v>
      </c>
      <c r="K815" s="5" t="s">
        <v>6258</v>
      </c>
      <c r="L815" s="5" t="s">
        <v>7561</v>
      </c>
      <c r="M815" s="5" t="s">
        <v>7562</v>
      </c>
      <c r="N815" s="7" t="s">
        <v>7563</v>
      </c>
      <c r="O815" s="8" t="str">
        <f>HYPERLINK("https://drive.google.com/file/d/1MmyglXg2KaxLLLWVMB45M2r1FDrIVKM5/view?usp=drivesdk","814_IROM MUHAROM, S.KOM. _ SERTIFIKAT BIMTEK IPASN BerAKHLASK")</f>
        <v>814_IROM MUHAROM, S.KOM. _ SERTIFIKAT BIMTEK IPASN BerAKHLASK</v>
      </c>
      <c r="P815" s="5" t="s">
        <v>7535</v>
      </c>
      <c r="Q815" s="5"/>
      <c r="R815" s="5"/>
      <c r="S815" s="5"/>
      <c r="T815" s="5" t="s">
        <v>7144</v>
      </c>
    </row>
    <row r="816" hidden="1">
      <c r="A816" s="4">
        <v>45534.32648783565</v>
      </c>
      <c r="B816" s="5" t="s">
        <v>19</v>
      </c>
      <c r="C816" s="5" t="s">
        <v>3471</v>
      </c>
      <c r="E816" s="5" t="s">
        <v>7564</v>
      </c>
      <c r="F816" s="5" t="s">
        <v>199</v>
      </c>
      <c r="G816" s="5" t="s">
        <v>7565</v>
      </c>
      <c r="H816" s="6" t="s">
        <v>7566</v>
      </c>
      <c r="I816" s="7" t="s">
        <v>7567</v>
      </c>
      <c r="J816" s="8" t="str">
        <f>HYPERLINK("https://drive.google.com/file/d/1eqixNfcxAQTKtujRVW-woemnjoBcZj3q/view?usp=drivesdk","EKO YUDHI PURWANTO  SERTIFIKAT BerAKHLAK")</f>
        <v>EKO YUDHI PURWANTO  SERTIFIKAT BerAKHLAK</v>
      </c>
      <c r="K816" s="5" t="s">
        <v>6258</v>
      </c>
      <c r="L816" s="5" t="s">
        <v>7568</v>
      </c>
      <c r="M816" s="5" t="s">
        <v>7569</v>
      </c>
      <c r="N816" s="7" t="s">
        <v>7570</v>
      </c>
      <c r="O816" s="8" t="str">
        <f>HYPERLINK("https://drive.google.com/file/d/1OOULa44HZmXyipI9GZ_AF3VbHpJouImY/view?usp=drivesdk","815_EKO YUDHI PURWANTO  _ SERTIFIKAT BIMTEK IPASN BerAKHLASK")</f>
        <v>815_EKO YUDHI PURWANTO  _ SERTIFIKAT BIMTEK IPASN BerAKHLASK</v>
      </c>
      <c r="P816" s="5" t="s">
        <v>7571</v>
      </c>
      <c r="Q816" s="5"/>
      <c r="R816" s="5"/>
      <c r="S816" s="5"/>
      <c r="T816" s="5" t="s">
        <v>7144</v>
      </c>
    </row>
    <row r="817">
      <c r="A817" s="4">
        <v>45534.326522777774</v>
      </c>
      <c r="B817" s="5" t="s">
        <v>34</v>
      </c>
      <c r="D817" s="5" t="s">
        <v>2903</v>
      </c>
      <c r="E817" s="5" t="s">
        <v>7572</v>
      </c>
      <c r="F817" s="5" t="s">
        <v>108</v>
      </c>
      <c r="G817" s="5" t="s">
        <v>7573</v>
      </c>
      <c r="H817" s="6" t="s">
        <v>7574</v>
      </c>
      <c r="I817" s="7" t="s">
        <v>7575</v>
      </c>
      <c r="J817" s="8" t="str">
        <f>HYPERLINK("https://drive.google.com/file/d/1J4aZQgkx-qXjhJjLwtnoK6aizz6PN5EW/view?usp=drivesdk","KHAIRUL IRFAN  SERTIFIKAT BerAKHLAK")</f>
        <v>KHAIRUL IRFAN  SERTIFIKAT BerAKHLAK</v>
      </c>
      <c r="K817" s="5" t="s">
        <v>6258</v>
      </c>
      <c r="L817" s="5" t="s">
        <v>7576</v>
      </c>
      <c r="M817" s="5" t="s">
        <v>7577</v>
      </c>
      <c r="N817" s="7" t="s">
        <v>7578</v>
      </c>
      <c r="O817" s="8" t="str">
        <f>HYPERLINK("https://drive.google.com/file/d/1yLv5YeEo6XS-npXdE0gkN4EcWudwpa41/view?usp=drivesdk","816_KHAIRUL IRFAN  _ SERTIFIKAT BIMTEK IPASN BerAKHLASK")</f>
        <v>816_KHAIRUL IRFAN  _ SERTIFIKAT BIMTEK IPASN BerAKHLASK</v>
      </c>
      <c r="P817" s="5" t="s">
        <v>7571</v>
      </c>
      <c r="Q817" s="5"/>
      <c r="R817" s="5"/>
      <c r="S817" s="5"/>
      <c r="T817" s="5" t="s">
        <v>7144</v>
      </c>
    </row>
    <row r="818">
      <c r="A818" s="4">
        <v>45534.32653259259</v>
      </c>
      <c r="B818" s="5" t="s">
        <v>34</v>
      </c>
      <c r="D818" s="5" t="s">
        <v>3432</v>
      </c>
      <c r="E818" s="5" t="s">
        <v>7579</v>
      </c>
      <c r="F818" s="5" t="s">
        <v>524</v>
      </c>
      <c r="G818" s="5" t="s">
        <v>7580</v>
      </c>
      <c r="H818" s="6" t="s">
        <v>7581</v>
      </c>
      <c r="I818" s="7" t="s">
        <v>7582</v>
      </c>
      <c r="J818" s="8" t="str">
        <f>HYPERLINK("https://drive.google.com/file/d/1jFXCLihBV0Aw6yYTkWg9kvrszHELzhCn/view?usp=drivesdk","ARNY MARHAINY ZAINUL ASIKIN, S.H.,  SERTIFIKAT BerAKHLAK")</f>
        <v>ARNY MARHAINY ZAINUL ASIKIN, S.H.,  SERTIFIKAT BerAKHLAK</v>
      </c>
      <c r="K818" s="5" t="s">
        <v>6258</v>
      </c>
      <c r="L818" s="5" t="s">
        <v>7583</v>
      </c>
      <c r="M818" s="5" t="s">
        <v>7584</v>
      </c>
      <c r="N818" s="7" t="s">
        <v>7585</v>
      </c>
      <c r="O818" s="8" t="str">
        <f>HYPERLINK("https://drive.google.com/file/d/1ZI8xjnsGK0vUA5KIviS6yQ0ez0-XSGTg/view?usp=drivesdk","817_ARNY MARHAINY ZAINUL ASIKIN, S.H.,  _ SERTIFIKAT BIMTEK IPASN BerAKHLASK")</f>
        <v>817_ARNY MARHAINY ZAINUL ASIKIN, S.H.,  _ SERTIFIKAT BIMTEK IPASN BerAKHLASK</v>
      </c>
      <c r="P818" s="5" t="s">
        <v>7571</v>
      </c>
      <c r="Q818" s="5"/>
      <c r="R818" s="5"/>
      <c r="S818" s="5"/>
      <c r="T818" s="5" t="s">
        <v>7144</v>
      </c>
    </row>
    <row r="819">
      <c r="A819" s="4">
        <v>45534.32656128472</v>
      </c>
      <c r="B819" s="5" t="s">
        <v>34</v>
      </c>
      <c r="D819" s="5" t="s">
        <v>267</v>
      </c>
      <c r="E819" s="5" t="s">
        <v>7586</v>
      </c>
      <c r="F819" s="5" t="s">
        <v>37</v>
      </c>
      <c r="G819" s="5" t="s">
        <v>7587</v>
      </c>
      <c r="H819" s="6" t="s">
        <v>7588</v>
      </c>
      <c r="I819" s="7" t="s">
        <v>7589</v>
      </c>
      <c r="J819" s="8" t="str">
        <f>HYPERLINK("https://drive.google.com/file/d/12thLKjT4P1hpgYWH1Z-toDJWty4tByxh/view?usp=drivesdk","NISA JUWITA RAHMAWATI, A.Md.AK SERTIFIKAT BerAKHLAK")</f>
        <v>NISA JUWITA RAHMAWATI, A.Md.AK SERTIFIKAT BerAKHLAK</v>
      </c>
      <c r="K819" s="5" t="s">
        <v>6258</v>
      </c>
      <c r="L819" s="5" t="s">
        <v>7590</v>
      </c>
      <c r="M819" s="5" t="s">
        <v>7591</v>
      </c>
      <c r="N819" s="7" t="s">
        <v>7592</v>
      </c>
      <c r="O819" s="8" t="str">
        <f>HYPERLINK("https://drive.google.com/file/d/1HKsOe1yE9lJJrtrIrRo5wF2wsuQZyEfV/view?usp=drivesdk","818_NISA JUWITA RAHMAWATI, A.Md.AK _ SERTIFIKAT BIMTEK IPASN BerAKHLASK")</f>
        <v>818_NISA JUWITA RAHMAWATI, A.Md.AK _ SERTIFIKAT BIMTEK IPASN BerAKHLASK</v>
      </c>
      <c r="P819" s="5" t="s">
        <v>7571</v>
      </c>
      <c r="Q819" s="5"/>
      <c r="R819" s="5"/>
      <c r="S819" s="5"/>
      <c r="T819" s="5" t="s">
        <v>7144</v>
      </c>
    </row>
    <row r="820">
      <c r="A820" s="4">
        <v>45534.32658826389</v>
      </c>
      <c r="B820" s="5" t="s">
        <v>34</v>
      </c>
      <c r="D820" s="5" t="s">
        <v>1206</v>
      </c>
      <c r="E820" s="5" t="s">
        <v>7593</v>
      </c>
      <c r="F820" s="5" t="s">
        <v>375</v>
      </c>
      <c r="G820" s="5" t="s">
        <v>7594</v>
      </c>
      <c r="H820" s="6" t="s">
        <v>7595</v>
      </c>
      <c r="I820" s="7" t="s">
        <v>7596</v>
      </c>
      <c r="J820" s="8" t="str">
        <f>HYPERLINK("https://drive.google.com/file/d/1yaZGp5q3MfI8a-RWuyOhab45fk0g6rwM/view?usp=drivesdk","TANTI ARIESTIANA, S. H SERTIFIKAT BerAKHLAK")</f>
        <v>TANTI ARIESTIANA, S. H SERTIFIKAT BerAKHLAK</v>
      </c>
      <c r="K820" s="5" t="s">
        <v>6258</v>
      </c>
      <c r="L820" s="5" t="s">
        <v>7597</v>
      </c>
      <c r="M820" s="5" t="s">
        <v>7598</v>
      </c>
      <c r="N820" s="7" t="s">
        <v>7599</v>
      </c>
      <c r="O820" s="8" t="str">
        <f>HYPERLINK("https://drive.google.com/file/d/1kf7qpADQEXVXmFL9c8Wb2rmRpnJ_ko1A/view?usp=drivesdk","819_TANTI ARIESTIANA, S. H _ SERTIFIKAT BIMTEK IPASN BerAKHLASK")</f>
        <v>819_TANTI ARIESTIANA, S. H _ SERTIFIKAT BIMTEK IPASN BerAKHLASK</v>
      </c>
      <c r="P820" s="5" t="s">
        <v>7571</v>
      </c>
      <c r="Q820" s="5"/>
      <c r="R820" s="5"/>
      <c r="S820" s="5"/>
      <c r="T820" s="5" t="s">
        <v>7144</v>
      </c>
    </row>
    <row r="821">
      <c r="A821" s="4">
        <v>45534.326603761576</v>
      </c>
      <c r="B821" s="5" t="s">
        <v>34</v>
      </c>
      <c r="D821" s="5" t="s">
        <v>1206</v>
      </c>
      <c r="E821" s="5" t="s">
        <v>7600</v>
      </c>
      <c r="F821" s="5" t="s">
        <v>108</v>
      </c>
      <c r="G821" s="5" t="s">
        <v>7601</v>
      </c>
      <c r="H821" s="6" t="s">
        <v>7602</v>
      </c>
      <c r="I821" s="7" t="s">
        <v>7603</v>
      </c>
      <c r="J821" s="8" t="str">
        <f>HYPERLINK("https://drive.google.com/file/d/1Ik7m8DaFz48u0nAyOL0-vPC2QtGCfTcZ/view?usp=drivesdk","SAIDAH WAHYU MULARTI  SERTIFIKAT BerAKHLAK")</f>
        <v>SAIDAH WAHYU MULARTI  SERTIFIKAT BerAKHLAK</v>
      </c>
      <c r="K821" s="5" t="s">
        <v>6258</v>
      </c>
      <c r="L821" s="5" t="s">
        <v>7604</v>
      </c>
      <c r="M821" s="5" t="s">
        <v>7605</v>
      </c>
      <c r="N821" s="7" t="s">
        <v>7606</v>
      </c>
      <c r="O821" s="8" t="str">
        <f>HYPERLINK("https://drive.google.com/file/d/1fpUHNwB-nUiAKScUIvoCwBe92NSFfE8o/view?usp=drivesdk","820_SAIDAH WAHYU MULARTI  _ SERTIFIKAT BIMTEK IPASN BerAKHLASK")</f>
        <v>820_SAIDAH WAHYU MULARTI  _ SERTIFIKAT BIMTEK IPASN BerAKHLASK</v>
      </c>
      <c r="P821" s="5" t="s">
        <v>7607</v>
      </c>
      <c r="Q821" s="5"/>
      <c r="R821" s="5"/>
      <c r="S821" s="5"/>
      <c r="T821" s="5" t="s">
        <v>7144</v>
      </c>
    </row>
    <row r="822">
      <c r="A822" s="4">
        <v>45534.32660511574</v>
      </c>
      <c r="B822" s="5" t="s">
        <v>34</v>
      </c>
      <c r="D822" s="5" t="s">
        <v>1206</v>
      </c>
      <c r="E822" s="5" t="s">
        <v>7608</v>
      </c>
      <c r="F822" s="5" t="s">
        <v>37</v>
      </c>
      <c r="G822" s="5" t="s">
        <v>7609</v>
      </c>
      <c r="H822" s="6" t="s">
        <v>7610</v>
      </c>
      <c r="I822" s="7" t="s">
        <v>7611</v>
      </c>
      <c r="J822" s="8" t="str">
        <f>HYPERLINK("https://drive.google.com/file/d/153r8-j8RbperTS9CXUH1SHJ5pheM_xOB/view?usp=drivesdk","EDY WAHYU WIJAYANTO, SH SERTIFIKAT BerAKHLAK")</f>
        <v>EDY WAHYU WIJAYANTO, SH SERTIFIKAT BerAKHLAK</v>
      </c>
      <c r="K822" s="5" t="s">
        <v>6258</v>
      </c>
      <c r="L822" s="5" t="s">
        <v>7612</v>
      </c>
      <c r="M822" s="5" t="s">
        <v>7613</v>
      </c>
      <c r="N822" s="7" t="s">
        <v>7614</v>
      </c>
      <c r="O822" s="8" t="str">
        <f>HYPERLINK("https://drive.google.com/file/d/1X_BzjyoimPr53jOGaOGsYrwln6NpLmid/view?usp=drivesdk","821_EDY WAHYU WIJAYANTO, SH _ SERTIFIKAT BIMTEK IPASN BerAKHLASK")</f>
        <v>821_EDY WAHYU WIJAYANTO, SH _ SERTIFIKAT BIMTEK IPASN BerAKHLASK</v>
      </c>
      <c r="P822" s="5" t="s">
        <v>7607</v>
      </c>
      <c r="Q822" s="5"/>
      <c r="R822" s="5"/>
      <c r="S822" s="5"/>
      <c r="T822" s="5" t="s">
        <v>7144</v>
      </c>
    </row>
    <row r="823">
      <c r="A823" s="4">
        <v>45534.32664344907</v>
      </c>
      <c r="B823" s="5" t="s">
        <v>34</v>
      </c>
      <c r="D823" s="5" t="s">
        <v>522</v>
      </c>
      <c r="E823" s="5" t="s">
        <v>7615</v>
      </c>
      <c r="F823" s="5" t="s">
        <v>37</v>
      </c>
      <c r="G823" s="5" t="s">
        <v>7616</v>
      </c>
      <c r="H823" s="6" t="s">
        <v>7617</v>
      </c>
      <c r="I823" s="7" t="s">
        <v>7618</v>
      </c>
      <c r="J823" s="8" t="str">
        <f>HYPERLINK("https://drive.google.com/file/d/1SSvcRY34nTmsAVYp2VHgLgygAwtSZn0y/view?usp=drivesdk","I NYOMAN JANU ARIMBAWA SERTIFIKAT BerAKHLAK")</f>
        <v>I NYOMAN JANU ARIMBAWA SERTIFIKAT BerAKHLAK</v>
      </c>
      <c r="K823" s="5" t="s">
        <v>6296</v>
      </c>
      <c r="L823" s="5" t="s">
        <v>7619</v>
      </c>
      <c r="M823" s="5" t="s">
        <v>7620</v>
      </c>
      <c r="N823" s="7" t="s">
        <v>7621</v>
      </c>
      <c r="O823" s="8" t="str">
        <f>HYPERLINK("https://drive.google.com/file/d/1Q4pdThD3hMH6bbK3W-sU6rcbAogl0mpP/view?usp=drivesdk","822_I NYOMAN JANU ARIMBAWA _ SERTIFIKAT BIMTEK IPASN BerAKHLASK")</f>
        <v>822_I NYOMAN JANU ARIMBAWA _ SERTIFIKAT BIMTEK IPASN BerAKHLASK</v>
      </c>
      <c r="P823" s="5" t="s">
        <v>7607</v>
      </c>
      <c r="Q823" s="5"/>
      <c r="R823" s="5"/>
      <c r="S823" s="5"/>
      <c r="T823" s="5" t="s">
        <v>7144</v>
      </c>
    </row>
    <row r="824" hidden="1">
      <c r="A824" s="4">
        <v>45534.326645520836</v>
      </c>
      <c r="B824" s="5" t="s">
        <v>19</v>
      </c>
      <c r="C824" s="5" t="s">
        <v>315</v>
      </c>
      <c r="E824" s="5" t="s">
        <v>7622</v>
      </c>
      <c r="F824" s="5" t="s">
        <v>524</v>
      </c>
      <c r="G824" s="5" t="s">
        <v>7623</v>
      </c>
      <c r="H824" s="6" t="s">
        <v>7624</v>
      </c>
      <c r="I824" s="7" t="s">
        <v>7625</v>
      </c>
      <c r="J824" s="8" t="str">
        <f>HYPERLINK("https://drive.google.com/file/d/1kbyTei5BmyOcp94fbMXcuhu_vR4WkcAD/view?usp=drivesdk","AAN AHMAD SHOLIKIN. A. Md SERTIFIKAT BerAKHLAK")</f>
        <v>AAN AHMAD SHOLIKIN. A. Md SERTIFIKAT BerAKHLAK</v>
      </c>
      <c r="K824" s="5" t="s">
        <v>6296</v>
      </c>
      <c r="L824" s="5" t="s">
        <v>7626</v>
      </c>
      <c r="M824" s="5" t="s">
        <v>7627</v>
      </c>
      <c r="N824" s="7" t="s">
        <v>7628</v>
      </c>
      <c r="O824" s="8" t="str">
        <f>HYPERLINK("https://drive.google.com/file/d/1gTFINVHyXR0MMQNYfQLWGyLFqL8F1QrH/view?usp=drivesdk","823_AAN AHMAD SHOLIKIN. A. Md _ SERTIFIKAT BIMTEK IPASN BerAKHLASK")</f>
        <v>823_AAN AHMAD SHOLIKIN. A. Md _ SERTIFIKAT BIMTEK IPASN BerAKHLASK</v>
      </c>
      <c r="P824" s="5" t="s">
        <v>7607</v>
      </c>
      <c r="Q824" s="5"/>
      <c r="R824" s="5"/>
      <c r="S824" s="5"/>
      <c r="T824" s="5" t="s">
        <v>7144</v>
      </c>
    </row>
    <row r="825">
      <c r="A825" s="4">
        <v>45534.326652557866</v>
      </c>
      <c r="B825" s="5" t="s">
        <v>34</v>
      </c>
      <c r="D825" s="5" t="s">
        <v>1206</v>
      </c>
      <c r="E825" s="5" t="s">
        <v>7629</v>
      </c>
      <c r="F825" s="5" t="s">
        <v>72</v>
      </c>
      <c r="G825" s="5" t="s">
        <v>7630</v>
      </c>
      <c r="H825" s="6" t="s">
        <v>7631</v>
      </c>
      <c r="I825" s="7" t="s">
        <v>7632</v>
      </c>
      <c r="J825" s="8" t="str">
        <f>HYPERLINK("https://drive.google.com/file/d/1mkGFfpaw-061iQYVrs56SpLCh_2df5k_/view?usp=drivesdk","YUNI SUPRIATIN, S.E. SERTIFIKAT BerAKHLAK")</f>
        <v>YUNI SUPRIATIN, S.E. SERTIFIKAT BerAKHLAK</v>
      </c>
      <c r="K825" s="5" t="s">
        <v>6296</v>
      </c>
      <c r="L825" s="5" t="s">
        <v>7633</v>
      </c>
      <c r="M825" s="5" t="s">
        <v>7634</v>
      </c>
      <c r="N825" s="7" t="s">
        <v>7635</v>
      </c>
      <c r="O825" s="8" t="str">
        <f>HYPERLINK("https://drive.google.com/file/d/1uoCfynS8j-NaCvO0Pp5KugV9wZfv8K6R/view?usp=drivesdk","824_YUNI SUPRIATIN, S.E. _ SERTIFIKAT BIMTEK IPASN BerAKHLASK")</f>
        <v>824_YUNI SUPRIATIN, S.E. _ SERTIFIKAT BIMTEK IPASN BerAKHLASK</v>
      </c>
      <c r="P825" s="5" t="s">
        <v>7607</v>
      </c>
      <c r="Q825" s="5"/>
      <c r="R825" s="5"/>
      <c r="S825" s="5"/>
      <c r="T825" s="5" t="s">
        <v>7144</v>
      </c>
    </row>
    <row r="826">
      <c r="A826" s="4">
        <v>45534.32665582176</v>
      </c>
      <c r="B826" s="5" t="s">
        <v>34</v>
      </c>
      <c r="D826" s="5" t="s">
        <v>1206</v>
      </c>
      <c r="E826" s="5" t="s">
        <v>7636</v>
      </c>
      <c r="F826" s="5" t="s">
        <v>37</v>
      </c>
      <c r="G826" s="5" t="s">
        <v>7637</v>
      </c>
      <c r="H826" s="6" t="s">
        <v>7638</v>
      </c>
      <c r="I826" s="7" t="s">
        <v>7639</v>
      </c>
      <c r="J826" s="8" t="str">
        <f>HYPERLINK("https://drive.google.com/file/d/1YXKly1P-7ZY6bFj1uNDDO2Ux_UB0TNio/view?usp=drivesdk","HERI NOVIYANTO SERTIFIKAT BerAKHLAK")</f>
        <v>HERI NOVIYANTO SERTIFIKAT BerAKHLAK</v>
      </c>
      <c r="K826" s="5" t="s">
        <v>6258</v>
      </c>
      <c r="L826" s="5" t="s">
        <v>7640</v>
      </c>
      <c r="M826" s="5" t="s">
        <v>7641</v>
      </c>
      <c r="N826" s="7" t="s">
        <v>7642</v>
      </c>
      <c r="O826" s="8" t="str">
        <f>HYPERLINK("https://drive.google.com/file/d/1HRe9ilIOd8jvpth5BwMrKJVIKzuzjh0W/view?usp=drivesdk","825_HERI NOVIYANTO _ SERTIFIKAT BIMTEK IPASN BerAKHLASK")</f>
        <v>825_HERI NOVIYANTO _ SERTIFIKAT BIMTEK IPASN BerAKHLASK</v>
      </c>
      <c r="P826" s="5" t="s">
        <v>7607</v>
      </c>
      <c r="Q826" s="5"/>
      <c r="R826" s="5"/>
      <c r="S826" s="5"/>
      <c r="T826" s="5" t="s">
        <v>7144</v>
      </c>
    </row>
    <row r="827">
      <c r="A827" s="4">
        <v>45534.32668733796</v>
      </c>
      <c r="B827" s="5" t="s">
        <v>34</v>
      </c>
      <c r="D827" s="5" t="s">
        <v>4775</v>
      </c>
      <c r="E827" s="5" t="s">
        <v>7643</v>
      </c>
      <c r="F827" s="5" t="s">
        <v>108</v>
      </c>
      <c r="G827" s="5" t="s">
        <v>7644</v>
      </c>
      <c r="H827" s="6" t="s">
        <v>7645</v>
      </c>
      <c r="I827" s="7" t="s">
        <v>7646</v>
      </c>
      <c r="J827" s="8" t="str">
        <f>HYPERLINK("https://drive.google.com/file/d/1zRd-tnkhTyPbAq_53-V0sAf8NVzzE5-6/view?usp=drivesdk","ENDRI MUSTIKANINGSIH, S. Kom.  SERTIFIKAT BerAKHLAK")</f>
        <v>ENDRI MUSTIKANINGSIH, S. Kom.  SERTIFIKAT BerAKHLAK</v>
      </c>
      <c r="K827" s="5" t="s">
        <v>6258</v>
      </c>
      <c r="L827" s="5" t="s">
        <v>7647</v>
      </c>
      <c r="M827" s="5" t="s">
        <v>7648</v>
      </c>
      <c r="N827" s="7" t="s">
        <v>7649</v>
      </c>
      <c r="O827" s="8" t="str">
        <f>HYPERLINK("https://drive.google.com/file/d/1BvRylgQov-tm8XNViqrZHSJVrAGy3fZ4/view?usp=drivesdk","826_ENDRI MUSTIKANINGSIH, S. Kom.  _ SERTIFIKAT BIMTEK IPASN BerAKHLASK")</f>
        <v>826_ENDRI MUSTIKANINGSIH, S. Kom.  _ SERTIFIKAT BIMTEK IPASN BerAKHLASK</v>
      </c>
      <c r="P827" s="5" t="s">
        <v>7650</v>
      </c>
      <c r="Q827" s="5"/>
      <c r="R827" s="5"/>
      <c r="S827" s="5"/>
      <c r="T827" s="5" t="s">
        <v>7144</v>
      </c>
    </row>
    <row r="828">
      <c r="A828" s="4">
        <v>45534.32671900463</v>
      </c>
      <c r="B828" s="5" t="s">
        <v>34</v>
      </c>
      <c r="D828" s="5" t="s">
        <v>1456</v>
      </c>
      <c r="E828" s="5" t="s">
        <v>7651</v>
      </c>
      <c r="F828" s="5" t="s">
        <v>375</v>
      </c>
      <c r="G828" s="5" t="s">
        <v>7652</v>
      </c>
      <c r="H828" s="6" t="s">
        <v>7653</v>
      </c>
      <c r="I828" s="7" t="s">
        <v>7654</v>
      </c>
      <c r="J828" s="8" t="str">
        <f>HYPERLINK("https://drive.google.com/file/d/13UjMj1wx9KKIdPLOrpgfjhjA6VgozROD/view?usp=drivesdk","ERWANTO, S.SOS, M.M. SERTIFIKAT BerAKHLAK")</f>
        <v>ERWANTO, S.SOS, M.M. SERTIFIKAT BerAKHLAK</v>
      </c>
      <c r="K828" s="5" t="s">
        <v>6258</v>
      </c>
      <c r="L828" s="5" t="s">
        <v>7655</v>
      </c>
      <c r="M828" s="5" t="s">
        <v>7656</v>
      </c>
      <c r="N828" s="7" t="s">
        <v>7657</v>
      </c>
      <c r="O828" s="8" t="str">
        <f>HYPERLINK("https://drive.google.com/file/d/1_wkzvL-JjhSkoWyXn05scXOlKDecupEf/view?usp=drivesdk","827_ERWANTO, S.SOS, M.M. _ SERTIFIKAT BIMTEK IPASN BerAKHLASK")</f>
        <v>827_ERWANTO, S.SOS, M.M. _ SERTIFIKAT BIMTEK IPASN BerAKHLASK</v>
      </c>
      <c r="P828" s="5" t="s">
        <v>7650</v>
      </c>
      <c r="Q828" s="5"/>
      <c r="R828" s="5"/>
      <c r="S828" s="5"/>
      <c r="T828" s="5"/>
    </row>
    <row r="829" hidden="1">
      <c r="A829" s="4">
        <v>45534.32672008102</v>
      </c>
      <c r="B829" s="5" t="s">
        <v>19</v>
      </c>
      <c r="C829" s="5" t="s">
        <v>442</v>
      </c>
      <c r="E829" s="5" t="s">
        <v>7658</v>
      </c>
      <c r="F829" s="5" t="s">
        <v>375</v>
      </c>
      <c r="G829" s="5" t="s">
        <v>7659</v>
      </c>
      <c r="H829" s="6" t="s">
        <v>7660</v>
      </c>
      <c r="I829" s="7" t="s">
        <v>7661</v>
      </c>
      <c r="J829" s="8" t="str">
        <f>HYPERLINK("https://drive.google.com/file/d/1HN7u00RKaiA1jywwtJJLZcJOW_SuDUvR/view?usp=drivesdk","ESTI KURNIASIH SERTIFIKAT BerAKHLAK")</f>
        <v>ESTI KURNIASIH SERTIFIKAT BerAKHLAK</v>
      </c>
      <c r="K829" s="5" t="s">
        <v>6258</v>
      </c>
      <c r="L829" s="5" t="s">
        <v>7662</v>
      </c>
      <c r="M829" s="5" t="s">
        <v>7663</v>
      </c>
      <c r="N829" s="7" t="s">
        <v>7664</v>
      </c>
      <c r="O829" s="8" t="str">
        <f>HYPERLINK("https://drive.google.com/file/d/1TGq5c1jdkg1-jIbIEkllZjotgM7Cr6YB/view?usp=drivesdk","828_ESTI KURNIASIH _ SERTIFIKAT BIMTEK IPASN BerAKHLASK")</f>
        <v>828_ESTI KURNIASIH _ SERTIFIKAT BIMTEK IPASN BerAKHLASK</v>
      </c>
      <c r="P829" s="5" t="s">
        <v>7650</v>
      </c>
      <c r="Q829" s="5"/>
      <c r="R829" s="5"/>
      <c r="S829" s="5"/>
      <c r="T829" s="5"/>
    </row>
    <row r="830">
      <c r="A830" s="4">
        <v>45534.32674541666</v>
      </c>
      <c r="B830" s="5" t="s">
        <v>34</v>
      </c>
      <c r="D830" s="5" t="s">
        <v>2903</v>
      </c>
      <c r="E830" s="5" t="s">
        <v>7665</v>
      </c>
      <c r="F830" s="5" t="s">
        <v>108</v>
      </c>
      <c r="G830" s="5" t="s">
        <v>7666</v>
      </c>
      <c r="H830" s="6" t="s">
        <v>7667</v>
      </c>
      <c r="I830" s="7" t="s">
        <v>7668</v>
      </c>
      <c r="J830" s="8" t="str">
        <f>HYPERLINK("https://drive.google.com/file/d/1J05ROsZ3VBq8I_nQpvwihMTWKeZK6u59/view?usp=drivesdk","APT. SHAFIRA WIDYANTI.,S.FARM SERTIFIKAT BerAKHLAK")</f>
        <v>APT. SHAFIRA WIDYANTI.,S.FARM SERTIFIKAT BerAKHLAK</v>
      </c>
      <c r="K830" s="5" t="s">
        <v>6258</v>
      </c>
      <c r="L830" s="5" t="s">
        <v>7669</v>
      </c>
      <c r="M830" s="5" t="s">
        <v>7670</v>
      </c>
      <c r="N830" s="7" t="s">
        <v>7671</v>
      </c>
      <c r="O830" s="8" t="str">
        <f>HYPERLINK("https://drive.google.com/file/d/1v5drvmY-MC8VluEGm2N28eQnitvIqISV/view?usp=drivesdk","829_APT. SHAFIRA WIDYANTI.,S.FARM _ SERTIFIKAT BIMTEK IPASN BerAKHLASK")</f>
        <v>829_APT. SHAFIRA WIDYANTI.,S.FARM _ SERTIFIKAT BIMTEK IPASN BerAKHLASK</v>
      </c>
      <c r="P830" s="5" t="s">
        <v>7650</v>
      </c>
      <c r="Q830" s="5"/>
      <c r="R830" s="5"/>
      <c r="S830" s="5"/>
      <c r="T830" s="5"/>
    </row>
    <row r="831">
      <c r="A831" s="4">
        <v>45534.3267984375</v>
      </c>
      <c r="B831" s="5" t="s">
        <v>34</v>
      </c>
      <c r="D831" s="5" t="s">
        <v>35</v>
      </c>
      <c r="E831" s="5" t="s">
        <v>7672</v>
      </c>
      <c r="F831" s="5" t="s">
        <v>375</v>
      </c>
      <c r="G831" s="5" t="s">
        <v>7673</v>
      </c>
      <c r="H831" s="6" t="s">
        <v>7674</v>
      </c>
      <c r="K831" s="5" t="s">
        <v>7675</v>
      </c>
      <c r="M831" s="5" t="s">
        <v>7676</v>
      </c>
      <c r="N831" s="7" t="s">
        <v>7677</v>
      </c>
      <c r="O831" s="8" t="str">
        <f>HYPERLINK("https://drive.google.com/file/d/1ygtzc2ilJrRpdXuai0gLYs4hv88_xISn/view?usp=drivesdk","830_WAWAN SETIAWAN, S.Kom _ SERTIFIKAT BIMTEK IPASN BerAKHLASK")</f>
        <v>830_WAWAN SETIAWAN, S.Kom _ SERTIFIKAT BIMTEK IPASN BerAKHLASK</v>
      </c>
      <c r="P831" s="5" t="s">
        <v>7650</v>
      </c>
      <c r="Q831" s="5"/>
      <c r="R831" s="5"/>
      <c r="S831" s="5"/>
      <c r="T831" s="5"/>
    </row>
    <row r="832" hidden="1">
      <c r="A832" s="4">
        <v>45534.32681423611</v>
      </c>
      <c r="B832" s="5" t="s">
        <v>19</v>
      </c>
      <c r="C832" s="5" t="s">
        <v>292</v>
      </c>
      <c r="E832" s="5" t="s">
        <v>7678</v>
      </c>
      <c r="F832" s="5" t="s">
        <v>375</v>
      </c>
      <c r="G832" s="5" t="s">
        <v>7679</v>
      </c>
      <c r="H832" s="6" t="s">
        <v>7680</v>
      </c>
      <c r="I832" s="7" t="s">
        <v>7681</v>
      </c>
      <c r="J832" s="8" t="str">
        <f>HYPERLINK("https://drive.google.com/file/d/1r7KUpAdziAYXhLGD9uM7VmGCnwOv5yec/view?usp=drivesdk","ENI TRISNAWATI  S.E.M.Si SERTIFIKAT BerAKHLAK")</f>
        <v>ENI TRISNAWATI  S.E.M.Si SERTIFIKAT BerAKHLAK</v>
      </c>
      <c r="K832" s="5" t="s">
        <v>6258</v>
      </c>
      <c r="L832" s="5" t="s">
        <v>7682</v>
      </c>
      <c r="M832" s="5" t="s">
        <v>7683</v>
      </c>
      <c r="N832" s="7" t="s">
        <v>7684</v>
      </c>
      <c r="O832" s="8" t="str">
        <f>HYPERLINK("https://drive.google.com/file/d/1B9nbdojQ78l1kVpxtdayjB1ZQxIua28O/view?usp=drivesdk","831_ENI TRISNAWATI  S.E.M.Si _ SERTIFIKAT BIMTEK IPASN BerAKHLASK")</f>
        <v>831_ENI TRISNAWATI  S.E.M.Si _ SERTIFIKAT BIMTEK IPASN BerAKHLASK</v>
      </c>
      <c r="P832" s="5" t="s">
        <v>7650</v>
      </c>
      <c r="Q832" s="5"/>
      <c r="R832" s="5"/>
      <c r="S832" s="5"/>
      <c r="T832" s="5"/>
    </row>
    <row r="833" hidden="1">
      <c r="A833" s="4">
        <v>45534.32682202546</v>
      </c>
      <c r="B833" s="5" t="s">
        <v>19</v>
      </c>
      <c r="C833" s="5" t="s">
        <v>5058</v>
      </c>
      <c r="E833" s="5" t="s">
        <v>7685</v>
      </c>
      <c r="F833" s="5" t="s">
        <v>524</v>
      </c>
      <c r="G833" s="5" t="s">
        <v>7686</v>
      </c>
      <c r="H833" s="6" t="s">
        <v>7687</v>
      </c>
      <c r="I833" s="7" t="s">
        <v>7688</v>
      </c>
      <c r="J833" s="8" t="str">
        <f>HYPERLINK("https://drive.google.com/file/d/1nMtkCnVgUDIDEiiFFxoyJogjUhO3LrNa/view?usp=drivesdk","DANIEL SUGIANTO, S.M. SERTIFIKAT BerAKHLAK")</f>
        <v>DANIEL SUGIANTO, S.M. SERTIFIKAT BerAKHLAK</v>
      </c>
      <c r="K833" s="5" t="s">
        <v>6258</v>
      </c>
      <c r="L833" s="5" t="s">
        <v>7689</v>
      </c>
      <c r="M833" s="5" t="s">
        <v>7690</v>
      </c>
      <c r="N833" s="7" t="s">
        <v>7691</v>
      </c>
      <c r="O833" s="8" t="str">
        <f>HYPERLINK("https://drive.google.com/file/d/1HO0Z2es5QNZa5q1Au-xLma34KGtkKxWV/view?usp=drivesdk","832_DANIEL SUGIANTO, S.M. _ SERTIFIKAT BIMTEK IPASN BerAKHLASK")</f>
        <v>832_DANIEL SUGIANTO, S.M. _ SERTIFIKAT BIMTEK IPASN BerAKHLASK</v>
      </c>
      <c r="P833" s="5" t="s">
        <v>7692</v>
      </c>
      <c r="Q833" s="5"/>
      <c r="R833" s="5"/>
      <c r="S833" s="5"/>
      <c r="T833" s="5"/>
    </row>
    <row r="834">
      <c r="A834" s="4">
        <v>45534.32685320602</v>
      </c>
      <c r="B834" s="5" t="s">
        <v>34</v>
      </c>
      <c r="D834" s="5" t="s">
        <v>996</v>
      </c>
      <c r="E834" s="5" t="s">
        <v>7693</v>
      </c>
      <c r="F834" s="5" t="s">
        <v>212</v>
      </c>
      <c r="G834" s="5" t="s">
        <v>7694</v>
      </c>
      <c r="H834" s="6" t="s">
        <v>7695</v>
      </c>
      <c r="I834" s="7" t="s">
        <v>7696</v>
      </c>
      <c r="J834" s="8" t="str">
        <f>HYPERLINK("https://drive.google.com/file/d/1nKWYV0Z5RnF0j9vArryJx2-D8rDl-V4b/view?usp=drivesdk","ELFRIDA ANISYAH SERTIFIKAT BerAKHLAK")</f>
        <v>ELFRIDA ANISYAH SERTIFIKAT BerAKHLAK</v>
      </c>
      <c r="K834" s="5" t="s">
        <v>6258</v>
      </c>
      <c r="L834" s="5" t="s">
        <v>7697</v>
      </c>
      <c r="M834" s="5" t="s">
        <v>7698</v>
      </c>
      <c r="N834" s="7" t="s">
        <v>7699</v>
      </c>
      <c r="O834" s="8" t="str">
        <f>HYPERLINK("https://drive.google.com/file/d/1FscyAA0oZ5bpnQoCIL3NoSwBHJSByhTt/view?usp=drivesdk","833_ELFRIDA ANISYAH _ SERTIFIKAT BIMTEK IPASN BerAKHLASK")</f>
        <v>833_ELFRIDA ANISYAH _ SERTIFIKAT BIMTEK IPASN BerAKHLASK</v>
      </c>
      <c r="P834" s="5" t="s">
        <v>7692</v>
      </c>
      <c r="Q834" s="5"/>
      <c r="R834" s="5"/>
      <c r="S834" s="5"/>
      <c r="T834" s="5"/>
    </row>
    <row r="835">
      <c r="A835" s="4">
        <v>45534.32686769676</v>
      </c>
      <c r="B835" s="5" t="s">
        <v>34</v>
      </c>
      <c r="D835" s="5" t="s">
        <v>4775</v>
      </c>
      <c r="E835" s="5" t="s">
        <v>7700</v>
      </c>
      <c r="F835" s="5" t="s">
        <v>524</v>
      </c>
      <c r="G835" s="5" t="s">
        <v>7701</v>
      </c>
      <c r="H835" s="6" t="s">
        <v>7702</v>
      </c>
      <c r="I835" s="7" t="s">
        <v>7703</v>
      </c>
      <c r="J835" s="8" t="str">
        <f>HYPERLINK("https://drive.google.com/file/d/1TyeyeaBny5Cequ1I5XJs6rdjDIOw4sl7/view?usp=drivesdk","WINDY PERMATA SARI, S.Kep SERTIFIKAT BerAKHLAK")</f>
        <v>WINDY PERMATA SARI, S.Kep SERTIFIKAT BerAKHLAK</v>
      </c>
      <c r="K835" s="5" t="s">
        <v>6296</v>
      </c>
      <c r="L835" s="5" t="s">
        <v>7704</v>
      </c>
      <c r="M835" s="5" t="s">
        <v>7705</v>
      </c>
      <c r="N835" s="7" t="s">
        <v>7706</v>
      </c>
      <c r="O835" s="8" t="str">
        <f>HYPERLINK("https://drive.google.com/file/d/140ZjDjMTFLQLSVtIiX2l-GzIHFCLRyCN/view?usp=drivesdk","834_WINDY PERMATA SARI, S.Kep _ SERTIFIKAT BIMTEK IPASN BerAKHLASK")</f>
        <v>834_WINDY PERMATA SARI, S.Kep _ SERTIFIKAT BIMTEK IPASN BerAKHLASK</v>
      </c>
      <c r="P835" s="5" t="s">
        <v>7692</v>
      </c>
      <c r="Q835" s="5"/>
      <c r="R835" s="5"/>
      <c r="S835" s="5"/>
      <c r="T835" s="5"/>
    </row>
    <row r="836">
      <c r="A836" s="4">
        <v>45534.326904375004</v>
      </c>
      <c r="B836" s="5" t="s">
        <v>34</v>
      </c>
      <c r="D836" s="5" t="s">
        <v>1206</v>
      </c>
      <c r="E836" s="5" t="s">
        <v>7707</v>
      </c>
      <c r="F836" s="5" t="s">
        <v>715</v>
      </c>
      <c r="G836" s="5" t="s">
        <v>7708</v>
      </c>
      <c r="H836" s="6" t="s">
        <v>7709</v>
      </c>
      <c r="I836" s="7" t="s">
        <v>7710</v>
      </c>
      <c r="J836" s="8" t="str">
        <f>HYPERLINK("https://drive.google.com/file/d/1ff2Tl8ycKhUIrH3XYLuJIZWhrMH7XBrd/view?usp=drivesdk","YUNI EKA SETYANINGSIH,S.E. SERTIFIKAT BerAKHLAK")</f>
        <v>YUNI EKA SETYANINGSIH,S.E. SERTIFIKAT BerAKHLAK</v>
      </c>
      <c r="K836" s="5" t="s">
        <v>6258</v>
      </c>
      <c r="L836" s="5" t="s">
        <v>7711</v>
      </c>
      <c r="M836" s="5" t="s">
        <v>7712</v>
      </c>
      <c r="N836" s="7" t="s">
        <v>7713</v>
      </c>
      <c r="O836" s="8" t="str">
        <f>HYPERLINK("https://drive.google.com/file/d/14kjtbbXouPWBXnqsH1TVLQu5-tJyLAb8/view?usp=drivesdk","835_YUNI EKA SETYANINGSIH,S.E. _ SERTIFIKAT BIMTEK IPASN BerAKHLASK")</f>
        <v>835_YUNI EKA SETYANINGSIH,S.E. _ SERTIFIKAT BIMTEK IPASN BerAKHLASK</v>
      </c>
      <c r="P836" s="5" t="s">
        <v>7692</v>
      </c>
      <c r="Q836" s="5"/>
      <c r="R836" s="5"/>
      <c r="S836" s="5"/>
      <c r="T836" s="5"/>
    </row>
    <row r="837" hidden="1">
      <c r="A837" s="4">
        <v>45534.32692225694</v>
      </c>
      <c r="B837" s="5" t="s">
        <v>19</v>
      </c>
      <c r="C837" s="5" t="s">
        <v>292</v>
      </c>
      <c r="E837" s="5" t="s">
        <v>7714</v>
      </c>
      <c r="F837" s="5" t="s">
        <v>72</v>
      </c>
      <c r="G837" s="5" t="s">
        <v>7715</v>
      </c>
      <c r="H837" s="6" t="s">
        <v>7716</v>
      </c>
      <c r="I837" s="7" t="s">
        <v>7717</v>
      </c>
      <c r="J837" s="8" t="str">
        <f>HYPERLINK("https://drive.google.com/file/d/1I6lVH4H3HI51n12YTI3u5tww9GaebxUb/view?usp=drivesdk","ENDANG SRI RAHAYU SERTIFIKAT BerAKHLAK")</f>
        <v>ENDANG SRI RAHAYU SERTIFIKAT BerAKHLAK</v>
      </c>
      <c r="K837" s="5" t="s">
        <v>6258</v>
      </c>
      <c r="L837" s="5" t="s">
        <v>7718</v>
      </c>
      <c r="M837" s="5" t="s">
        <v>7719</v>
      </c>
      <c r="N837" s="7" t="s">
        <v>7720</v>
      </c>
      <c r="O837" s="8" t="str">
        <f>HYPERLINK("https://drive.google.com/file/d/1ktbnlF6HeOQHnguY4rYevuHwAVHfpsAZ/view?usp=drivesdk","836_ENDANG SRI RAHAYU _ SERTIFIKAT BIMTEK IPASN BerAKHLASK")</f>
        <v>836_ENDANG SRI RAHAYU _ SERTIFIKAT BIMTEK IPASN BerAKHLASK</v>
      </c>
      <c r="P837" s="5" t="s">
        <v>7692</v>
      </c>
      <c r="Q837" s="5"/>
      <c r="R837" s="5"/>
      <c r="S837" s="5"/>
      <c r="T837" s="5"/>
    </row>
    <row r="838" hidden="1">
      <c r="A838" s="4">
        <v>45534.32694407407</v>
      </c>
      <c r="B838" s="5" t="s">
        <v>19</v>
      </c>
      <c r="C838" s="5" t="s">
        <v>292</v>
      </c>
      <c r="E838" s="5" t="s">
        <v>7721</v>
      </c>
      <c r="F838" s="5" t="s">
        <v>212</v>
      </c>
      <c r="G838" s="5" t="s">
        <v>7722</v>
      </c>
      <c r="H838" s="6" t="s">
        <v>7723</v>
      </c>
      <c r="I838" s="7" t="s">
        <v>7724</v>
      </c>
      <c r="J838" s="8" t="str">
        <f>HYPERLINK("https://drive.google.com/file/d/11aEQZkv50KQsRqQ9qy3X1gt1bV_sBCS5/view?usp=drivesdk","MOCHAMAD SODIK SERTIFIKAT BerAKHLAK")</f>
        <v>MOCHAMAD SODIK SERTIFIKAT BerAKHLAK</v>
      </c>
      <c r="K838" s="5" t="s">
        <v>6296</v>
      </c>
      <c r="L838" s="5" t="s">
        <v>7725</v>
      </c>
      <c r="M838" s="5" t="s">
        <v>7726</v>
      </c>
      <c r="N838" s="7" t="s">
        <v>7727</v>
      </c>
      <c r="O838" s="8" t="str">
        <f>HYPERLINK("https://drive.google.com/file/d/1uV791ctuWmvQFdsiOovnvYHCr4qw0MRs/view?usp=drivesdk","837_MOCHAMAD SODIK _ SERTIFIKAT BIMTEK IPASN BerAKHLASK")</f>
        <v>837_MOCHAMAD SODIK _ SERTIFIKAT BIMTEK IPASN BerAKHLASK</v>
      </c>
      <c r="P838" s="5" t="s">
        <v>7692</v>
      </c>
      <c r="Q838" s="5"/>
      <c r="R838" s="5"/>
      <c r="S838" s="5"/>
      <c r="T838" s="5"/>
    </row>
    <row r="839">
      <c r="A839" s="4">
        <v>45534.32696828704</v>
      </c>
      <c r="B839" s="5" t="s">
        <v>34</v>
      </c>
      <c r="D839" s="5" t="s">
        <v>1768</v>
      </c>
      <c r="E839" s="5" t="s">
        <v>7728</v>
      </c>
      <c r="F839" s="5" t="s">
        <v>120</v>
      </c>
      <c r="G839" s="5" t="s">
        <v>7729</v>
      </c>
      <c r="H839" s="6" t="s">
        <v>7730</v>
      </c>
      <c r="I839" s="7" t="s">
        <v>7731</v>
      </c>
      <c r="J839" s="8" t="str">
        <f>HYPERLINK("https://drive.google.com/file/d/1WqEW2ibiSOFiPNWGkQMwnlcL-_FQrVti/view?usp=drivesdk","DR. OKSEN PARIANGAN, MKKK SERTIFIKAT BerAKHLAK")</f>
        <v>DR. OKSEN PARIANGAN, MKKK SERTIFIKAT BerAKHLAK</v>
      </c>
      <c r="K839" s="5" t="s">
        <v>6296</v>
      </c>
      <c r="L839" s="5" t="s">
        <v>7732</v>
      </c>
      <c r="M839" s="5" t="s">
        <v>7733</v>
      </c>
      <c r="N839" s="7" t="s">
        <v>7734</v>
      </c>
      <c r="O839" s="8" t="str">
        <f>HYPERLINK("https://drive.google.com/file/d/19DA5o9iWS-dyDGqEzWT-Iy9d2iUjOI4M/view?usp=drivesdk","838_DR. OKSEN PARIANGAN, MKKK _ SERTIFIKAT BIMTEK IPASN BerAKHLASK")</f>
        <v>838_DR. OKSEN PARIANGAN, MKKK _ SERTIFIKAT BIMTEK IPASN BerAKHLASK</v>
      </c>
      <c r="P839" s="5" t="s">
        <v>7735</v>
      </c>
      <c r="Q839" s="5"/>
      <c r="R839" s="5"/>
      <c r="S839" s="5"/>
      <c r="T839" s="5"/>
    </row>
    <row r="840">
      <c r="A840" s="4">
        <v>45534.32697401621</v>
      </c>
      <c r="B840" s="5" t="s">
        <v>34</v>
      </c>
      <c r="D840" s="5" t="s">
        <v>35</v>
      </c>
      <c r="E840" s="5" t="s">
        <v>7736</v>
      </c>
      <c r="F840" s="5" t="s">
        <v>37</v>
      </c>
      <c r="G840" s="5" t="s">
        <v>7737</v>
      </c>
      <c r="H840" s="6" t="s">
        <v>7738</v>
      </c>
      <c r="I840" s="7" t="s">
        <v>7739</v>
      </c>
      <c r="J840" s="8" t="str">
        <f>HYPERLINK("https://drive.google.com/file/d/1CjAT6YKxng1tcx11DvcoE1D3Wbsxoijf/view?usp=drivesdk","SANDRA ANDRIANSYAH SERTIFIKAT BerAKHLAK")</f>
        <v>SANDRA ANDRIANSYAH SERTIFIKAT BerAKHLAK</v>
      </c>
      <c r="K840" s="5" t="s">
        <v>6296</v>
      </c>
      <c r="L840" s="5" t="s">
        <v>7740</v>
      </c>
      <c r="M840" s="5" t="s">
        <v>7741</v>
      </c>
      <c r="N840" s="7" t="s">
        <v>7742</v>
      </c>
      <c r="O840" s="8" t="str">
        <f>HYPERLINK("https://drive.google.com/file/d/1Ml70kIJ1BFgtmxp4wKZGBb-PNWKD8PT2/view?usp=drivesdk","839_SANDRA ANDRIANSYAH _ SERTIFIKAT BIMTEK IPASN BerAKHLASK")</f>
        <v>839_SANDRA ANDRIANSYAH _ SERTIFIKAT BIMTEK IPASN BerAKHLASK</v>
      </c>
      <c r="P840" s="5" t="s">
        <v>7735</v>
      </c>
      <c r="Q840" s="5"/>
      <c r="R840" s="5"/>
      <c r="S840" s="5"/>
      <c r="T840" s="5"/>
    </row>
    <row r="841" hidden="1">
      <c r="A841" s="4">
        <v>45534.327011863425</v>
      </c>
      <c r="B841" s="5" t="s">
        <v>19</v>
      </c>
      <c r="C841" s="5" t="s">
        <v>315</v>
      </c>
      <c r="E841" s="5" t="s">
        <v>7743</v>
      </c>
      <c r="F841" s="5" t="s">
        <v>37</v>
      </c>
      <c r="G841" s="5" t="s">
        <v>7744</v>
      </c>
      <c r="H841" s="6" t="s">
        <v>7745</v>
      </c>
      <c r="I841" s="7" t="s">
        <v>7746</v>
      </c>
      <c r="J841" s="8" t="str">
        <f>HYPERLINK("https://drive.google.com/file/d/1bjVSwaIxk4YvWUq78di4lSnWrx4HnZfL/view?usp=drivesdk","NURAVIANI SRI RAHAYU, A.Md.Lib SERTIFIKAT BerAKHLAK")</f>
        <v>NURAVIANI SRI RAHAYU, A.Md.Lib SERTIFIKAT BerAKHLAK</v>
      </c>
      <c r="K841" s="5" t="s">
        <v>6296</v>
      </c>
      <c r="L841" s="5" t="s">
        <v>7747</v>
      </c>
      <c r="M841" s="5" t="s">
        <v>7748</v>
      </c>
      <c r="N841" s="7" t="s">
        <v>7749</v>
      </c>
      <c r="O841" s="8" t="str">
        <f>HYPERLINK("https://drive.google.com/file/d/1ikhcDUymCMcefauyqm2Wz0c8JAq-QIDU/view?usp=drivesdk","840_NURAVIANI SRI RAHAYU, A.Md.Lib _ SERTIFIKAT BIMTEK IPASN BerAKHLASK")</f>
        <v>840_NURAVIANI SRI RAHAYU, A.Md.Lib _ SERTIFIKAT BIMTEK IPASN BerAKHLASK</v>
      </c>
      <c r="P841" s="5" t="s">
        <v>7735</v>
      </c>
      <c r="Q841" s="5"/>
      <c r="R841" s="5"/>
      <c r="S841" s="5"/>
      <c r="T841" s="5"/>
    </row>
    <row r="842" hidden="1">
      <c r="A842" s="4">
        <v>45534.32702398148</v>
      </c>
      <c r="B842" s="5" t="s">
        <v>19</v>
      </c>
      <c r="C842" s="5" t="s">
        <v>292</v>
      </c>
      <c r="E842" s="5" t="s">
        <v>7750</v>
      </c>
      <c r="F842" s="5" t="s">
        <v>212</v>
      </c>
      <c r="G842" s="5" t="s">
        <v>7751</v>
      </c>
      <c r="H842" s="6" t="s">
        <v>7752</v>
      </c>
      <c r="I842" s="7" t="s">
        <v>7753</v>
      </c>
      <c r="J842" s="8" t="str">
        <f>HYPERLINK("https://drive.google.com/file/d/1xs--hUr7I2WdRBZbDhXz627-1NMgppaO/view?usp=drivesdk","HABIBI SONTASWARA, Amd.Kep SERTIFIKAT BerAKHLAK")</f>
        <v>HABIBI SONTASWARA, Amd.Kep SERTIFIKAT BerAKHLAK</v>
      </c>
      <c r="K842" s="5" t="s">
        <v>6296</v>
      </c>
      <c r="L842" s="5" t="s">
        <v>7754</v>
      </c>
      <c r="M842" s="5" t="s">
        <v>7755</v>
      </c>
      <c r="N842" s="7" t="s">
        <v>7756</v>
      </c>
      <c r="O842" s="8" t="str">
        <f>HYPERLINK("https://drive.google.com/file/d/1b2R4GeaFOJgh_vo7QB9TbfEBk9abttTI/view?usp=drivesdk","841_HABIBI SONTASWARA, Amd.Kep _ SERTIFIKAT BIMTEK IPASN BerAKHLASK")</f>
        <v>841_HABIBI SONTASWARA, Amd.Kep _ SERTIFIKAT BIMTEK IPASN BerAKHLASK</v>
      </c>
      <c r="P842" s="5" t="s">
        <v>7735</v>
      </c>
      <c r="Q842" s="5"/>
      <c r="R842" s="5"/>
      <c r="S842" s="5"/>
      <c r="T842" s="5"/>
    </row>
    <row r="843">
      <c r="A843" s="4">
        <v>45534.32702386574</v>
      </c>
      <c r="B843" s="5" t="s">
        <v>34</v>
      </c>
      <c r="D843" s="5" t="s">
        <v>1206</v>
      </c>
      <c r="E843" s="5" t="s">
        <v>7757</v>
      </c>
      <c r="F843" s="5" t="s">
        <v>37</v>
      </c>
      <c r="G843" s="5" t="s">
        <v>7758</v>
      </c>
      <c r="H843" s="6" t="s">
        <v>7759</v>
      </c>
      <c r="I843" s="7" t="s">
        <v>7760</v>
      </c>
      <c r="J843" s="8" t="str">
        <f>HYPERLINK("https://drive.google.com/file/d/1B0bA9n5xvdboHEPIjDln1RtGzqf_S60H/view?usp=drivesdk","YUSLIM SUGI IRWANTO SERTIFIKAT BerAKHLAK")</f>
        <v>YUSLIM SUGI IRWANTO SERTIFIKAT BerAKHLAK</v>
      </c>
      <c r="K843" s="5" t="s">
        <v>6296</v>
      </c>
      <c r="L843" s="5" t="s">
        <v>7761</v>
      </c>
      <c r="M843" s="5" t="s">
        <v>7762</v>
      </c>
      <c r="N843" s="7" t="s">
        <v>7763</v>
      </c>
      <c r="O843" s="8" t="str">
        <f>HYPERLINK("https://drive.google.com/file/d/1sngsyKz6Sns3Ir2B3vv8N81KUbkqVYZO/view?usp=drivesdk","842_YUSLIM SUGI IRWANTO _ SERTIFIKAT BIMTEK IPASN BerAKHLASK")</f>
        <v>842_YUSLIM SUGI IRWANTO _ SERTIFIKAT BIMTEK IPASN BerAKHLASK</v>
      </c>
      <c r="P843" s="5" t="s">
        <v>7735</v>
      </c>
      <c r="Q843" s="5"/>
      <c r="R843" s="5"/>
      <c r="S843" s="5"/>
      <c r="T843" s="5"/>
    </row>
    <row r="844">
      <c r="A844" s="4">
        <v>45534.32703006944</v>
      </c>
      <c r="B844" s="5" t="s">
        <v>34</v>
      </c>
      <c r="D844" s="5" t="s">
        <v>4775</v>
      </c>
      <c r="E844" s="5" t="s">
        <v>7764</v>
      </c>
      <c r="F844" s="5" t="s">
        <v>212</v>
      </c>
      <c r="G844" s="5" t="s">
        <v>7765</v>
      </c>
      <c r="H844" s="6" t="s">
        <v>7766</v>
      </c>
      <c r="I844" s="7" t="s">
        <v>7767</v>
      </c>
      <c r="J844" s="8" t="str">
        <f>HYPERLINK("https://drive.google.com/file/d/1Nzycd1yIKmoMyXzq2HFYwzvUX9KI2o5V/view?usp=drivesdk","YENI KUSUMAWATI SERTIFIKAT BerAKHLAK")</f>
        <v>YENI KUSUMAWATI SERTIFIKAT BerAKHLAK</v>
      </c>
      <c r="K844" s="5" t="s">
        <v>6296</v>
      </c>
      <c r="L844" s="5" t="s">
        <v>7768</v>
      </c>
      <c r="M844" s="5" t="s">
        <v>7769</v>
      </c>
      <c r="N844" s="7" t="s">
        <v>7770</v>
      </c>
      <c r="O844" s="8" t="str">
        <f>HYPERLINK("https://drive.google.com/file/d/1u5pqR_zHAGrwfXFpIn_Civa259N6K8Cb/view?usp=drivesdk","843_YENI KUSUMAWATI _ SERTIFIKAT BIMTEK IPASN BerAKHLASK")</f>
        <v>843_YENI KUSUMAWATI _ SERTIFIKAT BIMTEK IPASN BerAKHLASK</v>
      </c>
      <c r="P844" s="5" t="s">
        <v>7771</v>
      </c>
      <c r="Q844" s="5"/>
      <c r="R844" s="5"/>
      <c r="S844" s="5"/>
      <c r="T844" s="5"/>
    </row>
    <row r="845">
      <c r="A845" s="4">
        <v>45534.3270396875</v>
      </c>
      <c r="B845" s="5" t="s">
        <v>34</v>
      </c>
      <c r="D845" s="5" t="s">
        <v>4775</v>
      </c>
      <c r="E845" s="5" t="s">
        <v>7772</v>
      </c>
      <c r="F845" s="5" t="s">
        <v>375</v>
      </c>
      <c r="G845" s="5" t="s">
        <v>7773</v>
      </c>
      <c r="H845" s="6" t="s">
        <v>7774</v>
      </c>
      <c r="I845" s="7" t="s">
        <v>7775</v>
      </c>
      <c r="J845" s="8" t="str">
        <f>HYPERLINK("https://drive.google.com/file/d/1wZ-yp5SzHYJuf1iCCflzdWPjq0osKEs_/view?usp=drivesdk","CIPTA KURNIAWAN S.KOM. M.M. SERTIFIKAT BerAKHLAK")</f>
        <v>CIPTA KURNIAWAN S.KOM. M.M. SERTIFIKAT BerAKHLAK</v>
      </c>
      <c r="K845" s="5" t="s">
        <v>6335</v>
      </c>
      <c r="L845" s="5" t="s">
        <v>7776</v>
      </c>
      <c r="M845" s="5" t="s">
        <v>7777</v>
      </c>
      <c r="N845" s="7" t="s">
        <v>7778</v>
      </c>
      <c r="O845" s="8" t="str">
        <f>HYPERLINK("https://drive.google.com/file/d/1JmoGpWrHa_X9i7KXobwjggNVhA7pmwHu/view?usp=drivesdk","844_CIPTA KURNIAWAN S.KOM. M.M. _ SERTIFIKAT BIMTEK IPASN BerAKHLASK")</f>
        <v>844_CIPTA KURNIAWAN S.KOM. M.M. _ SERTIFIKAT BIMTEK IPASN BerAKHLASK</v>
      </c>
      <c r="P845" s="5" t="s">
        <v>7771</v>
      </c>
      <c r="Q845" s="5"/>
      <c r="R845" s="5"/>
      <c r="S845" s="5"/>
      <c r="T845" s="5"/>
    </row>
    <row r="846">
      <c r="A846" s="4">
        <v>45534.32704082176</v>
      </c>
      <c r="B846" s="5" t="s">
        <v>34</v>
      </c>
      <c r="D846" s="5" t="s">
        <v>4775</v>
      </c>
      <c r="E846" s="5" t="s">
        <v>7779</v>
      </c>
      <c r="F846" s="5" t="s">
        <v>37</v>
      </c>
      <c r="G846" s="5" t="s">
        <v>7780</v>
      </c>
      <c r="H846" s="6" t="s">
        <v>7781</v>
      </c>
      <c r="I846" s="7" t="s">
        <v>7782</v>
      </c>
      <c r="J846" s="8" t="str">
        <f>HYPERLINK("https://drive.google.com/file/d/1mrGiymaVKlMseGpa4CFw_B9AJTjnt9HY/view?usp=drivesdk","ADE NURLAELA, SH SERTIFIKAT BerAKHLAK")</f>
        <v>ADE NURLAELA, SH SERTIFIKAT BerAKHLAK</v>
      </c>
      <c r="K846" s="5" t="s">
        <v>6335</v>
      </c>
      <c r="L846" s="5" t="s">
        <v>7783</v>
      </c>
      <c r="M846" s="5" t="s">
        <v>7784</v>
      </c>
      <c r="N846" s="7" t="s">
        <v>7785</v>
      </c>
      <c r="O846" s="8" t="str">
        <f>HYPERLINK("https://drive.google.com/file/d/1dS-7APrQleqh_FBPC_Gfh3IaM2-1n4As/view?usp=drivesdk","845_ADE NURLAELA, SH _ SERTIFIKAT BIMTEK IPASN BerAKHLASK")</f>
        <v>845_ADE NURLAELA, SH _ SERTIFIKAT BIMTEK IPASN BerAKHLASK</v>
      </c>
      <c r="P846" s="5" t="s">
        <v>7771</v>
      </c>
      <c r="Q846" s="5"/>
      <c r="R846" s="5"/>
      <c r="S846" s="5"/>
      <c r="T846" s="5"/>
    </row>
    <row r="847" hidden="1">
      <c r="A847" s="4">
        <v>45534.32706128473</v>
      </c>
      <c r="B847" s="5" t="s">
        <v>19</v>
      </c>
      <c r="C847" s="5" t="s">
        <v>20</v>
      </c>
      <c r="E847" s="5" t="s">
        <v>7786</v>
      </c>
      <c r="F847" s="5" t="s">
        <v>120</v>
      </c>
      <c r="G847" s="5" t="s">
        <v>7787</v>
      </c>
      <c r="H847" s="6" t="s">
        <v>7788</v>
      </c>
      <c r="I847" s="7" t="s">
        <v>7789</v>
      </c>
      <c r="J847" s="8" t="str">
        <f>HYPERLINK("https://drive.google.com/file/d/195S5yCgO3ET94USivVXmUjGYjk9yUkrC/view?usp=drivesdk","ETTY MUDHIHANDARI, S.Kom SERTIFIKAT BerAKHLAK")</f>
        <v>ETTY MUDHIHANDARI, S.Kom SERTIFIKAT BerAKHLAK</v>
      </c>
      <c r="K847" s="5" t="s">
        <v>6296</v>
      </c>
      <c r="L847" s="5" t="s">
        <v>7790</v>
      </c>
      <c r="M847" s="5" t="s">
        <v>7791</v>
      </c>
      <c r="N847" s="7" t="s">
        <v>7792</v>
      </c>
      <c r="O847" s="8" t="str">
        <f>HYPERLINK("https://drive.google.com/file/d/1JbQyGbqVoPrmkFq1RR6uIsz2pfGpc_R3/view?usp=drivesdk","846_ETTY MUDHIHANDARI, S.Kom _ SERTIFIKAT BIMTEK IPASN BerAKHLASK")</f>
        <v>846_ETTY MUDHIHANDARI, S.Kom _ SERTIFIKAT BIMTEK IPASN BerAKHLASK</v>
      </c>
      <c r="P847" s="5" t="s">
        <v>7771</v>
      </c>
      <c r="Q847" s="5"/>
      <c r="R847" s="5"/>
      <c r="S847" s="5"/>
      <c r="T847" s="5"/>
    </row>
    <row r="848">
      <c r="A848" s="4">
        <v>45534.32712001157</v>
      </c>
      <c r="B848" s="5" t="s">
        <v>34</v>
      </c>
      <c r="D848" s="5" t="s">
        <v>1206</v>
      </c>
      <c r="E848" s="5" t="s">
        <v>7793</v>
      </c>
      <c r="F848" s="5" t="s">
        <v>212</v>
      </c>
      <c r="G848" s="5" t="s">
        <v>7794</v>
      </c>
      <c r="H848" s="6" t="s">
        <v>7795</v>
      </c>
      <c r="I848" s="7" t="s">
        <v>7796</v>
      </c>
      <c r="J848" s="8" t="str">
        <f>HYPERLINK("https://drive.google.com/file/d/1CKp2y1xBIXAKprh6jllW6WPKbVzFVPYI/view?usp=drivesdk","PENGATUR TK I LASIMUN SERTIFIKAT BerAKHLAK")</f>
        <v>PENGATUR TK I LASIMUN SERTIFIKAT BerAKHLAK</v>
      </c>
      <c r="K848" s="5" t="s">
        <v>6296</v>
      </c>
      <c r="L848" s="5" t="s">
        <v>7797</v>
      </c>
      <c r="M848" s="5" t="s">
        <v>7798</v>
      </c>
      <c r="N848" s="7" t="s">
        <v>7799</v>
      </c>
      <c r="O848" s="8" t="str">
        <f>HYPERLINK("https://drive.google.com/file/d/11cuq4pJAbGGrvtzqR4Jgd0zc5haNWaT-/view?usp=drivesdk","847_PENGATUR TK I LASIMUN _ SERTIFIKAT BIMTEK IPASN BerAKHLASK")</f>
        <v>847_PENGATUR TK I LASIMUN _ SERTIFIKAT BIMTEK IPASN BerAKHLASK</v>
      </c>
      <c r="P848" s="5" t="s">
        <v>7771</v>
      </c>
      <c r="Q848" s="5"/>
      <c r="R848" s="5"/>
      <c r="S848" s="5"/>
      <c r="T848" s="5"/>
    </row>
    <row r="849">
      <c r="A849" s="4">
        <v>45534.327136493055</v>
      </c>
      <c r="B849" s="5" t="s">
        <v>34</v>
      </c>
      <c r="D849" s="5" t="s">
        <v>1206</v>
      </c>
      <c r="E849" s="5" t="s">
        <v>7800</v>
      </c>
      <c r="F849" s="5" t="s">
        <v>108</v>
      </c>
      <c r="G849" s="5" t="s">
        <v>7801</v>
      </c>
      <c r="H849" s="6" t="s">
        <v>7802</v>
      </c>
      <c r="I849" s="7" t="s">
        <v>7803</v>
      </c>
      <c r="J849" s="8" t="str">
        <f>HYPERLINK("https://drive.google.com/file/d/1WhvU9e8kqpVjx163KdLl7COhefUpfBMv/view?usp=drivesdk","I GUSTI AYU SRI EKAWATI, S.E SERTIFIKAT BerAKHLAK")</f>
        <v>I GUSTI AYU SRI EKAWATI, S.E SERTIFIKAT BerAKHLAK</v>
      </c>
      <c r="K849" s="5" t="s">
        <v>6296</v>
      </c>
      <c r="L849" s="5" t="s">
        <v>7804</v>
      </c>
      <c r="M849" s="5" t="s">
        <v>7805</v>
      </c>
      <c r="N849" s="7" t="s">
        <v>7806</v>
      </c>
      <c r="O849" s="8" t="str">
        <f>HYPERLINK("https://drive.google.com/file/d/14anv85QmLQfJ1u7vfzZOQ0b4Ch8LzNSV/view?usp=drivesdk","848_I GUSTI AYU SRI EKAWATI, S.E _ SERTIFIKAT BIMTEK IPASN BerAKHLASK")</f>
        <v>848_I GUSTI AYU SRI EKAWATI, S.E _ SERTIFIKAT BIMTEK IPASN BerAKHLASK</v>
      </c>
      <c r="P849" s="5" t="s">
        <v>7807</v>
      </c>
      <c r="Q849" s="5"/>
      <c r="R849" s="5"/>
      <c r="S849" s="5"/>
      <c r="T849" s="5"/>
    </row>
    <row r="850" hidden="1">
      <c r="A850" s="4">
        <v>45534.32715457176</v>
      </c>
      <c r="B850" s="5" t="s">
        <v>19</v>
      </c>
      <c r="C850" s="5" t="s">
        <v>1606</v>
      </c>
      <c r="E850" s="5" t="s">
        <v>7808</v>
      </c>
      <c r="F850" s="5" t="s">
        <v>375</v>
      </c>
      <c r="G850" s="5" t="s">
        <v>7809</v>
      </c>
      <c r="H850" s="6" t="s">
        <v>7810</v>
      </c>
      <c r="I850" s="7" t="s">
        <v>7811</v>
      </c>
      <c r="J850" s="8" t="str">
        <f>HYPERLINK("https://drive.google.com/file/d/1czyAgPyRUzBkT4Lqj3WF8ocYNAnumADl/view?usp=drivesdk","MARETA SILVANY, S.E. SERTIFIKAT BerAKHLAK")</f>
        <v>MARETA SILVANY, S.E. SERTIFIKAT BerAKHLAK</v>
      </c>
      <c r="K850" s="5" t="s">
        <v>6296</v>
      </c>
      <c r="L850" s="5" t="s">
        <v>7812</v>
      </c>
      <c r="M850" s="5" t="s">
        <v>7813</v>
      </c>
      <c r="N850" s="7" t="s">
        <v>7814</v>
      </c>
      <c r="O850" s="8" t="str">
        <f>HYPERLINK("https://drive.google.com/file/d/1bV4fWiMpm9qUlAAcpajs_bfIJddNECNU/view?usp=drivesdk","849_MARETA SILVANY, S.E. _ SERTIFIKAT BIMTEK IPASN BerAKHLASK")</f>
        <v>849_MARETA SILVANY, S.E. _ SERTIFIKAT BIMTEK IPASN BerAKHLASK</v>
      </c>
      <c r="P850" s="5" t="s">
        <v>7807</v>
      </c>
      <c r="Q850" s="5"/>
      <c r="R850" s="5"/>
      <c r="S850" s="5"/>
      <c r="T850" s="5"/>
    </row>
    <row r="851">
      <c r="A851" s="4">
        <v>45534.327174791666</v>
      </c>
      <c r="B851" s="5" t="s">
        <v>34</v>
      </c>
      <c r="D851" s="5" t="s">
        <v>522</v>
      </c>
      <c r="E851" s="5" t="s">
        <v>7815</v>
      </c>
      <c r="F851" s="5" t="s">
        <v>715</v>
      </c>
      <c r="G851" s="5" t="s">
        <v>7816</v>
      </c>
      <c r="H851" s="6" t="s">
        <v>7817</v>
      </c>
      <c r="I851" s="7" t="s">
        <v>7818</v>
      </c>
      <c r="J851" s="8" t="str">
        <f>HYPERLINK("https://drive.google.com/file/d/1uATrtvKiytBH4kJrp51Fw3qn43B6wqzh/view?usp=drivesdk","VIVI PURWANTI ARIYANI,SH. SERTIFIKAT BerAKHLAK")</f>
        <v>VIVI PURWANTI ARIYANI,SH. SERTIFIKAT BerAKHLAK</v>
      </c>
      <c r="K851" s="5" t="s">
        <v>6296</v>
      </c>
      <c r="L851" s="5" t="s">
        <v>7819</v>
      </c>
      <c r="M851" s="5" t="s">
        <v>7820</v>
      </c>
      <c r="N851" s="7" t="s">
        <v>7821</v>
      </c>
      <c r="O851" s="8" t="str">
        <f>HYPERLINK("https://drive.google.com/file/d/1uIFgeLqf4cHTX2w-77vZQvPrbLFCLDcB/view?usp=drivesdk","850_VIVI PURWANTI ARIYANI,SH. _ SERTIFIKAT BIMTEK IPASN BerAKHLASK")</f>
        <v>850_VIVI PURWANTI ARIYANI,SH. _ SERTIFIKAT BIMTEK IPASN BerAKHLASK</v>
      </c>
      <c r="P851" s="5" t="s">
        <v>7807</v>
      </c>
      <c r="Q851" s="5"/>
      <c r="R851" s="5"/>
      <c r="S851" s="5"/>
      <c r="T851" s="5"/>
    </row>
    <row r="852">
      <c r="A852" s="4">
        <v>45534.32717609954</v>
      </c>
      <c r="B852" s="5" t="s">
        <v>34</v>
      </c>
      <c r="D852" s="5" t="s">
        <v>35</v>
      </c>
      <c r="E852" s="5" t="s">
        <v>7822</v>
      </c>
      <c r="F852" s="5" t="s">
        <v>108</v>
      </c>
      <c r="G852" s="5" t="s">
        <v>7823</v>
      </c>
      <c r="H852" s="6" t="s">
        <v>7824</v>
      </c>
      <c r="I852" s="7" t="s">
        <v>7825</v>
      </c>
      <c r="J852" s="8" t="str">
        <f>HYPERLINK("https://drive.google.com/file/d/1BceTp01LEnVxCHWrV6a06t2UHpEpEiS9/view?usp=drivesdk","RUDI HENDRA SETIAWAN SERTIFIKAT BerAKHLAK")</f>
        <v>RUDI HENDRA SETIAWAN SERTIFIKAT BerAKHLAK</v>
      </c>
      <c r="K852" s="5" t="s">
        <v>6296</v>
      </c>
      <c r="L852" s="5" t="s">
        <v>7826</v>
      </c>
      <c r="M852" s="5" t="s">
        <v>7827</v>
      </c>
      <c r="N852" s="7" t="s">
        <v>7828</v>
      </c>
      <c r="O852" s="8" t="str">
        <f>HYPERLINK("https://drive.google.com/file/d/1r3WquhdbLJx_OZvLKBfhK-NYYTLGIXQ-/view?usp=drivesdk","851_RUDI HENDRA SETIAWAN _ SERTIFIKAT BIMTEK IPASN BerAKHLASK")</f>
        <v>851_RUDI HENDRA SETIAWAN _ SERTIFIKAT BIMTEK IPASN BerAKHLASK</v>
      </c>
      <c r="P852" s="5" t="s">
        <v>7807</v>
      </c>
      <c r="Q852" s="5"/>
      <c r="R852" s="5"/>
      <c r="S852" s="5"/>
      <c r="T852" s="5"/>
    </row>
    <row r="853">
      <c r="A853" s="4">
        <v>45534.32718173611</v>
      </c>
      <c r="B853" s="5" t="s">
        <v>34</v>
      </c>
      <c r="D853" s="5" t="s">
        <v>522</v>
      </c>
      <c r="E853" s="5" t="s">
        <v>7829</v>
      </c>
      <c r="F853" s="5" t="s">
        <v>715</v>
      </c>
      <c r="G853" s="5" t="s">
        <v>7830</v>
      </c>
      <c r="H853" s="6" t="s">
        <v>7831</v>
      </c>
      <c r="I853" s="7" t="s">
        <v>7832</v>
      </c>
      <c r="J853" s="8" t="str">
        <f>HYPERLINK("https://drive.google.com/file/d/1Sj7k0coyUKZlFixzLmCAP6LgXwuZWejY/view?usp=drivesdk","LILI MARIANA, SH SERTIFIKAT BerAKHLAK")</f>
        <v>LILI MARIANA, SH SERTIFIKAT BerAKHLAK</v>
      </c>
      <c r="K853" s="5" t="s">
        <v>6296</v>
      </c>
      <c r="L853" s="5" t="s">
        <v>7833</v>
      </c>
      <c r="M853" s="5" t="s">
        <v>7834</v>
      </c>
      <c r="N853" s="7" t="s">
        <v>7835</v>
      </c>
      <c r="O853" s="8" t="str">
        <f>HYPERLINK("https://drive.google.com/file/d/1xMATptBlFSLIcOIgTLYKomnxi0lOZ0wo/view?usp=drivesdk","852_LILI MARIANA, SH _ SERTIFIKAT BIMTEK IPASN BerAKHLASK")</f>
        <v>852_LILI MARIANA, SH _ SERTIFIKAT BIMTEK IPASN BerAKHLASK</v>
      </c>
      <c r="P853" s="5" t="s">
        <v>7807</v>
      </c>
      <c r="Q853" s="5"/>
      <c r="R853" s="5"/>
      <c r="S853" s="5"/>
      <c r="T853" s="5"/>
    </row>
    <row r="854">
      <c r="A854" s="4">
        <v>45534.3271844213</v>
      </c>
      <c r="B854" s="5" t="s">
        <v>34</v>
      </c>
      <c r="D854" s="5" t="s">
        <v>280</v>
      </c>
      <c r="E854" s="5" t="s">
        <v>7836</v>
      </c>
      <c r="F854" s="5" t="s">
        <v>375</v>
      </c>
      <c r="G854" s="5" t="s">
        <v>7837</v>
      </c>
      <c r="H854" s="6" t="s">
        <v>7838</v>
      </c>
      <c r="I854" s="7" t="s">
        <v>7839</v>
      </c>
      <c r="J854" s="8" t="str">
        <f>HYPERLINK("https://drive.google.com/file/d/1vB57cHTihtqcfWhGfsUAE8xv4ADR4Xnn/view?usp=drivesdk","IMELDA TIURMAULINA SERTIFIKAT BerAKHLAK")</f>
        <v>IMELDA TIURMAULINA SERTIFIKAT BerAKHLAK</v>
      </c>
      <c r="K854" s="5" t="s">
        <v>6335</v>
      </c>
      <c r="L854" s="5" t="s">
        <v>7840</v>
      </c>
      <c r="M854" s="5" t="s">
        <v>7841</v>
      </c>
      <c r="N854" s="7" t="s">
        <v>7842</v>
      </c>
      <c r="O854" s="8" t="str">
        <f>HYPERLINK("https://drive.google.com/file/d/1kpJk1y1fYnoETLIfNyt4cObZ9oQIysen/view?usp=drivesdk","853_IMELDA TIURMAULINA _ SERTIFIKAT BIMTEK IPASN BerAKHLASK")</f>
        <v>853_IMELDA TIURMAULINA _ SERTIFIKAT BIMTEK IPASN BerAKHLASK</v>
      </c>
      <c r="P854" s="5" t="s">
        <v>7807</v>
      </c>
      <c r="Q854" s="5"/>
      <c r="R854" s="5"/>
      <c r="S854" s="5"/>
      <c r="T854" s="5"/>
    </row>
    <row r="855" hidden="1">
      <c r="A855" s="4">
        <v>45534.327198240746</v>
      </c>
      <c r="B855" s="5" t="s">
        <v>19</v>
      </c>
      <c r="C855" s="5" t="s">
        <v>3301</v>
      </c>
      <c r="E855" s="5" t="s">
        <v>7843</v>
      </c>
      <c r="F855" s="5" t="s">
        <v>108</v>
      </c>
      <c r="G855" s="5" t="s">
        <v>7844</v>
      </c>
      <c r="H855" s="6" t="s">
        <v>7845</v>
      </c>
      <c r="I855" s="7" t="s">
        <v>7846</v>
      </c>
      <c r="J855" s="8" t="str">
        <f>HYPERLINK("https://drive.google.com/file/d/16p3NOhtonhqaN1NV8nvLEihjWWaQIyBx/view?usp=drivesdk","Ns. ADHELIA LESTARI, S.Kep SERTIFIKAT BerAKHLAK")</f>
        <v>Ns. ADHELIA LESTARI, S.Kep SERTIFIKAT BerAKHLAK</v>
      </c>
      <c r="K855" s="5" t="s">
        <v>6296</v>
      </c>
      <c r="L855" s="5" t="s">
        <v>7847</v>
      </c>
      <c r="M855" s="5" t="s">
        <v>7848</v>
      </c>
      <c r="N855" s="7" t="s">
        <v>7849</v>
      </c>
      <c r="O855" s="8" t="str">
        <f>HYPERLINK("https://drive.google.com/file/d/17HJQcS5qI3Cb-0ZS-9uqOZEtGQfBYLhk/view?usp=drivesdk","854_Ns. ADHELIA LESTARI, S.Kep _ SERTIFIKAT BIMTEK IPASN BerAKHLASK")</f>
        <v>854_Ns. ADHELIA LESTARI, S.Kep _ SERTIFIKAT BIMTEK IPASN BerAKHLASK</v>
      </c>
      <c r="P855" s="5" t="s">
        <v>7850</v>
      </c>
      <c r="Q855" s="5"/>
      <c r="R855" s="5"/>
      <c r="S855" s="5"/>
      <c r="T855" s="5"/>
    </row>
    <row r="856">
      <c r="A856" s="4">
        <v>45534.32720636574</v>
      </c>
      <c r="B856" s="5" t="s">
        <v>34</v>
      </c>
      <c r="D856" s="5" t="s">
        <v>1206</v>
      </c>
      <c r="E856" s="5" t="s">
        <v>7851</v>
      </c>
      <c r="F856" s="5" t="s">
        <v>212</v>
      </c>
      <c r="G856" s="5" t="s">
        <v>7852</v>
      </c>
      <c r="H856" s="6" t="s">
        <v>7853</v>
      </c>
      <c r="I856" s="7" t="s">
        <v>7854</v>
      </c>
      <c r="J856" s="8" t="str">
        <f>HYPERLINK("https://drive.google.com/file/d/1AP6t8lb2x0-EqiWeIid4-fgqt4sparNi/view?usp=drivesdk","DIAN PUSPITA SARI SERTIFIKAT BerAKHLAK")</f>
        <v>DIAN PUSPITA SARI SERTIFIKAT BerAKHLAK</v>
      </c>
      <c r="K856" s="5" t="s">
        <v>6296</v>
      </c>
      <c r="L856" s="5" t="s">
        <v>7855</v>
      </c>
      <c r="M856" s="5" t="s">
        <v>7856</v>
      </c>
      <c r="N856" s="7" t="s">
        <v>7857</v>
      </c>
      <c r="O856" s="8" t="str">
        <f>HYPERLINK("https://drive.google.com/file/d/1356x059hOIvjsZtsHLoYy5XB73X7-J1k/view?usp=drivesdk","855_DIAN PUSPITA SARI _ SERTIFIKAT BIMTEK IPASN BerAKHLASK")</f>
        <v>855_DIAN PUSPITA SARI _ SERTIFIKAT BIMTEK IPASN BerAKHLASK</v>
      </c>
      <c r="P856" s="5" t="s">
        <v>7850</v>
      </c>
      <c r="Q856" s="5"/>
      <c r="R856" s="5"/>
      <c r="S856" s="5"/>
      <c r="T856" s="5"/>
    </row>
    <row r="857">
      <c r="A857" s="4">
        <v>45534.3272102662</v>
      </c>
      <c r="B857" s="5" t="s">
        <v>34</v>
      </c>
      <c r="D857" s="5" t="s">
        <v>7858</v>
      </c>
      <c r="E857" s="5" t="s">
        <v>7859</v>
      </c>
      <c r="F857" s="5" t="s">
        <v>5585</v>
      </c>
      <c r="G857" s="5" t="s">
        <v>7860</v>
      </c>
      <c r="H857" s="6" t="s">
        <v>7861</v>
      </c>
      <c r="I857" s="7" t="s">
        <v>7862</v>
      </c>
      <c r="J857" s="8" t="str">
        <f>HYPERLINK("https://drive.google.com/file/d/1bUgy38ehoeS-FyDNRiJm3cnNxLf6l_u1/view?usp=drivesdk","EKA TRISNOWATI SERTIFIKAT BerAKHLAK")</f>
        <v>EKA TRISNOWATI SERTIFIKAT BerAKHLAK</v>
      </c>
      <c r="K857" s="5" t="s">
        <v>6296</v>
      </c>
      <c r="L857" s="5" t="s">
        <v>7863</v>
      </c>
      <c r="M857" s="5" t="s">
        <v>7864</v>
      </c>
      <c r="N857" s="7" t="s">
        <v>7865</v>
      </c>
      <c r="O857" s="8" t="str">
        <f>HYPERLINK("https://drive.google.com/file/d/10hRfAwRgBnLvC0oeiOvEHJk-6SujKGIl/view?usp=drivesdk","856_EKA TRISNOWATI _ SERTIFIKAT BIMTEK IPASN BerAKHLASK")</f>
        <v>856_EKA TRISNOWATI _ SERTIFIKAT BIMTEK IPASN BerAKHLASK</v>
      </c>
      <c r="P857" s="5" t="s">
        <v>7850</v>
      </c>
      <c r="Q857" s="5"/>
      <c r="R857" s="5"/>
      <c r="S857" s="5"/>
      <c r="T857" s="5"/>
    </row>
    <row r="858">
      <c r="A858" s="4">
        <v>45534.3272150463</v>
      </c>
      <c r="B858" s="5" t="s">
        <v>34</v>
      </c>
      <c r="D858" s="5" t="s">
        <v>4775</v>
      </c>
      <c r="E858" s="5" t="s">
        <v>7866</v>
      </c>
      <c r="F858" s="5" t="s">
        <v>120</v>
      </c>
      <c r="G858" s="5" t="s">
        <v>7867</v>
      </c>
      <c r="H858" s="6" t="s">
        <v>7868</v>
      </c>
      <c r="I858" s="7" t="s">
        <v>7869</v>
      </c>
      <c r="J858" s="8" t="str">
        <f>HYPERLINK("https://drive.google.com/file/d/1pj9Dp3XC9ILUY2u7wqm0T2mqjQ4x3JiP/view?usp=drivesdk","RETNO WULANDARI,S.H.,M.H. SERTIFIKAT BerAKHLAK")</f>
        <v>RETNO WULANDARI,S.H.,M.H. SERTIFIKAT BerAKHLAK</v>
      </c>
      <c r="K858" s="5" t="s">
        <v>6296</v>
      </c>
      <c r="L858" s="5" t="s">
        <v>7870</v>
      </c>
      <c r="M858" s="5" t="s">
        <v>7871</v>
      </c>
      <c r="N858" s="7" t="s">
        <v>7872</v>
      </c>
      <c r="O858" s="8" t="str">
        <f>HYPERLINK("https://drive.google.com/file/d/1xDIM6wVIUbfltrKs5cnhHKOurDhkZSev/view?usp=drivesdk","857_RETNO WULANDARI,S.H.,M.H. _ SERTIFIKAT BIMTEK IPASN BerAKHLASK")</f>
        <v>857_RETNO WULANDARI,S.H.,M.H. _ SERTIFIKAT BIMTEK IPASN BerAKHLASK</v>
      </c>
      <c r="P858" s="5" t="s">
        <v>7850</v>
      </c>
      <c r="Q858" s="5"/>
      <c r="R858" s="5"/>
      <c r="S858" s="5"/>
      <c r="T858" s="5"/>
    </row>
    <row r="859">
      <c r="A859" s="4">
        <v>45534.32722261574</v>
      </c>
      <c r="B859" s="5" t="s">
        <v>34</v>
      </c>
      <c r="D859" s="5" t="s">
        <v>4775</v>
      </c>
      <c r="E859" s="5" t="s">
        <v>7873</v>
      </c>
      <c r="F859" s="5" t="s">
        <v>524</v>
      </c>
      <c r="G859" s="5" t="s">
        <v>7874</v>
      </c>
      <c r="H859" s="6" t="s">
        <v>7875</v>
      </c>
      <c r="I859" s="7" t="s">
        <v>7876</v>
      </c>
      <c r="J859" s="8" t="str">
        <f>HYPERLINK("https://drive.google.com/file/d/1it7d1Xn5ydZxzjW3HIK19IfxlA1s6FNw/view?usp=drivesdk","AGUS TRIONO BASUKI  SERTIFIKAT BerAKHLAK")</f>
        <v>AGUS TRIONO BASUKI  SERTIFIKAT BerAKHLAK</v>
      </c>
      <c r="K859" s="5" t="s">
        <v>6296</v>
      </c>
      <c r="L859" s="5" t="s">
        <v>7877</v>
      </c>
      <c r="M859" s="5" t="s">
        <v>7878</v>
      </c>
      <c r="N859" s="7" t="s">
        <v>7879</v>
      </c>
      <c r="O859" s="8" t="str">
        <f>HYPERLINK("https://drive.google.com/file/d/11_AOBv0PgPIt1uZydq3B5pGUKuOLoVIv/view?usp=drivesdk","858_AGUS TRIONO BASUKI  _ SERTIFIKAT BIMTEK IPASN BerAKHLASK")</f>
        <v>858_AGUS TRIONO BASUKI  _ SERTIFIKAT BIMTEK IPASN BerAKHLASK</v>
      </c>
      <c r="P859" s="5" t="s">
        <v>7850</v>
      </c>
      <c r="Q859" s="5"/>
      <c r="R859" s="5"/>
      <c r="S859" s="5"/>
      <c r="T859" s="5"/>
    </row>
    <row r="860">
      <c r="A860" s="4">
        <v>45534.32722710648</v>
      </c>
      <c r="B860" s="5" t="s">
        <v>34</v>
      </c>
      <c r="D860" s="5" t="s">
        <v>1768</v>
      </c>
      <c r="E860" s="5" t="s">
        <v>7880</v>
      </c>
      <c r="F860" s="5" t="s">
        <v>72</v>
      </c>
      <c r="G860" s="5" t="s">
        <v>7881</v>
      </c>
      <c r="H860" s="6" t="s">
        <v>7882</v>
      </c>
      <c r="I860" s="7" t="s">
        <v>7883</v>
      </c>
      <c r="J860" s="8" t="str">
        <f>HYPERLINK("https://drive.google.com/file/d/1YBCIkdUvhFw9LSaDLwJnxH8WN1fsJMzS/view?usp=drivesdk","RINA YULIANTI SERTIFIKAT BerAKHLAK")</f>
        <v>RINA YULIANTI SERTIFIKAT BerAKHLAK</v>
      </c>
      <c r="K860" s="5" t="s">
        <v>6296</v>
      </c>
      <c r="L860" s="5" t="s">
        <v>7884</v>
      </c>
      <c r="M860" s="5" t="s">
        <v>7885</v>
      </c>
      <c r="N860" s="7" t="s">
        <v>7886</v>
      </c>
      <c r="O860" s="8" t="str">
        <f>HYPERLINK("https://drive.google.com/file/d/1hIEuUMzXONVr_lHqIDxKTGK5nTzldAKd/view?usp=drivesdk","859_RINA YULIANTI _ SERTIFIKAT BIMTEK IPASN BerAKHLASK")</f>
        <v>859_RINA YULIANTI _ SERTIFIKAT BIMTEK IPASN BerAKHLASK</v>
      </c>
      <c r="P860" s="5" t="s">
        <v>7887</v>
      </c>
      <c r="Q860" s="5"/>
      <c r="R860" s="5"/>
      <c r="S860" s="5"/>
      <c r="T860" s="5"/>
    </row>
    <row r="861">
      <c r="A861" s="4">
        <v>45534.327233958335</v>
      </c>
      <c r="B861" s="5" t="s">
        <v>34</v>
      </c>
      <c r="D861" s="5" t="s">
        <v>4775</v>
      </c>
      <c r="E861" s="5" t="s">
        <v>7888</v>
      </c>
      <c r="F861" s="5" t="s">
        <v>37</v>
      </c>
      <c r="G861" s="5" t="s">
        <v>7889</v>
      </c>
      <c r="H861" s="6" t="s">
        <v>7890</v>
      </c>
      <c r="I861" s="7" t="s">
        <v>7891</v>
      </c>
      <c r="J861" s="8" t="str">
        <f>HYPERLINK("https://drive.google.com/file/d/1VV4E-tRxmX2fWdJACwx3jfMs44mUMWRY/view?usp=drivesdk","SUHARTI  YANMA SERTIFIKAT BerAKHLAK")</f>
        <v>SUHARTI  YANMA SERTIFIKAT BerAKHLAK</v>
      </c>
      <c r="K861" s="5" t="s">
        <v>6335</v>
      </c>
      <c r="L861" s="5" t="s">
        <v>7892</v>
      </c>
      <c r="M861" s="5" t="s">
        <v>7893</v>
      </c>
      <c r="N861" s="7" t="s">
        <v>7894</v>
      </c>
      <c r="O861" s="8" t="str">
        <f>HYPERLINK("https://drive.google.com/file/d/1QLGqVLBa_bAiDoMse8KFFnS-T6BmtkNN/view?usp=drivesdk","860_SUHARTI  YANMA _ SERTIFIKAT BIMTEK IPASN BerAKHLASK")</f>
        <v>860_SUHARTI  YANMA _ SERTIFIKAT BIMTEK IPASN BerAKHLASK</v>
      </c>
      <c r="P861" s="5" t="s">
        <v>7887</v>
      </c>
      <c r="Q861" s="5"/>
      <c r="R861" s="5"/>
      <c r="S861" s="5"/>
      <c r="T861" s="5"/>
    </row>
    <row r="862" hidden="1">
      <c r="A862" s="4">
        <v>45534.32723622685</v>
      </c>
      <c r="B862" s="5" t="s">
        <v>19</v>
      </c>
      <c r="C862" s="5" t="s">
        <v>466</v>
      </c>
      <c r="E862" s="5" t="s">
        <v>7895</v>
      </c>
      <c r="F862" s="5" t="s">
        <v>37</v>
      </c>
      <c r="G862" s="5" t="s">
        <v>7896</v>
      </c>
      <c r="H862" s="6" t="s">
        <v>7897</v>
      </c>
      <c r="I862" s="7" t="s">
        <v>7898</v>
      </c>
      <c r="J862" s="8" t="str">
        <f>HYPERLINK("https://drive.google.com/file/d/1pP0EfFeRUmN1iIqiraTOTUzbb3Ty3YMk/view?usp=drivesdk","ANDRIAH WANTINI SERTIFIKAT BerAKHLAK")</f>
        <v>ANDRIAH WANTINI SERTIFIKAT BerAKHLAK</v>
      </c>
      <c r="K862" s="5" t="s">
        <v>6296</v>
      </c>
      <c r="L862" s="5" t="s">
        <v>7899</v>
      </c>
      <c r="M862" s="5" t="s">
        <v>7900</v>
      </c>
      <c r="N862" s="7" t="s">
        <v>7901</v>
      </c>
      <c r="O862" s="8" t="str">
        <f>HYPERLINK("https://drive.google.com/file/d/1IIAC5GG2U-po3mq6rNcPeW5w1axd_s1I/view?usp=drivesdk","861_ANDRIAH WANTINI _ SERTIFIKAT BIMTEK IPASN BerAKHLASK")</f>
        <v>861_ANDRIAH WANTINI _ SERTIFIKAT BIMTEK IPASN BerAKHLASK</v>
      </c>
      <c r="P862" s="5" t="s">
        <v>7887</v>
      </c>
      <c r="Q862" s="5"/>
      <c r="R862" s="5"/>
      <c r="S862" s="5"/>
      <c r="T862" s="5"/>
    </row>
    <row r="863">
      <c r="A863" s="4">
        <v>45534.327245127315</v>
      </c>
      <c r="B863" s="5" t="s">
        <v>34</v>
      </c>
      <c r="D863" s="5" t="s">
        <v>604</v>
      </c>
      <c r="E863" s="5" t="s">
        <v>7902</v>
      </c>
      <c r="F863" s="5" t="s">
        <v>72</v>
      </c>
      <c r="G863" s="5" t="s">
        <v>7903</v>
      </c>
      <c r="H863" s="6" t="s">
        <v>7904</v>
      </c>
      <c r="I863" s="7" t="s">
        <v>7905</v>
      </c>
      <c r="J863" s="8" t="str">
        <f>HYPERLINK("https://drive.google.com/file/d/1nlACUkfQ2qU4u3bAMGaohiLwwSnUn3Qv/view?usp=drivesdk","dr. ENJULDELA M. ROHROHMANA SERTIFIKAT BerAKHLAK")</f>
        <v>dr. ENJULDELA M. ROHROHMANA SERTIFIKAT BerAKHLAK</v>
      </c>
      <c r="K863" s="5" t="s">
        <v>6296</v>
      </c>
      <c r="L863" s="5" t="s">
        <v>7906</v>
      </c>
      <c r="M863" s="5" t="s">
        <v>7907</v>
      </c>
      <c r="N863" s="7" t="s">
        <v>7908</v>
      </c>
      <c r="O863" s="8" t="str">
        <f>HYPERLINK("https://drive.google.com/file/d/18t5J50_7M6gVhW4HmnBf3b8c4llZQ7UE/view?usp=drivesdk","862_dr. ENJULDELA M. ROHROHMANA _ SERTIFIKAT BIMTEK IPASN BerAKHLASK")</f>
        <v>862_dr. ENJULDELA M. ROHROHMANA _ SERTIFIKAT BIMTEK IPASN BerAKHLASK</v>
      </c>
      <c r="P863" s="5" t="s">
        <v>7887</v>
      </c>
      <c r="Q863" s="5"/>
      <c r="R863" s="5"/>
      <c r="S863" s="5"/>
      <c r="T863" s="5"/>
    </row>
    <row r="864">
      <c r="A864" s="4">
        <v>45534.327272372684</v>
      </c>
      <c r="B864" s="5" t="s">
        <v>34</v>
      </c>
      <c r="D864" s="5" t="s">
        <v>267</v>
      </c>
      <c r="E864" s="5" t="s">
        <v>7909</v>
      </c>
      <c r="F864" s="5" t="s">
        <v>212</v>
      </c>
      <c r="G864" s="5" t="s">
        <v>7910</v>
      </c>
      <c r="H864" s="6" t="s">
        <v>7911</v>
      </c>
      <c r="K864" s="5" t="s">
        <v>7912</v>
      </c>
      <c r="M864" s="5" t="s">
        <v>7913</v>
      </c>
      <c r="N864" s="7" t="s">
        <v>7914</v>
      </c>
      <c r="O864" s="8" t="str">
        <f>HYPERLINK("https://drive.google.com/file/d/1dsWF6LiajO1WfbvJKoWBhEbjiGLJkdua/view?usp=drivesdk","863_EKA FEBRU RUSYANTO _ SERTIFIKAT BIMTEK IPASN BerAKHLASK")</f>
        <v>863_EKA FEBRU RUSYANTO _ SERTIFIKAT BIMTEK IPASN BerAKHLASK</v>
      </c>
      <c r="P864" s="5" t="s">
        <v>7887</v>
      </c>
      <c r="Q864" s="5"/>
      <c r="R864" s="5"/>
      <c r="S864" s="5"/>
      <c r="T864" s="5"/>
    </row>
    <row r="865">
      <c r="A865" s="4">
        <v>45534.32727363426</v>
      </c>
      <c r="B865" s="5" t="s">
        <v>34</v>
      </c>
      <c r="D865" s="5" t="s">
        <v>996</v>
      </c>
      <c r="E865" s="5" t="s">
        <v>7915</v>
      </c>
      <c r="F865" s="5" t="s">
        <v>212</v>
      </c>
      <c r="G865" s="5" t="s">
        <v>7916</v>
      </c>
      <c r="H865" s="6" t="s">
        <v>7917</v>
      </c>
      <c r="K865" s="5" t="s">
        <v>7912</v>
      </c>
      <c r="M865" s="5" t="s">
        <v>7918</v>
      </c>
      <c r="N865" s="7" t="s">
        <v>7919</v>
      </c>
      <c r="O865" s="8" t="str">
        <f>HYPERLINK("https://drive.google.com/file/d/1ksglrSxMqvyTtvHGsn1w2Sg1Yp_PDNJm/view?usp=drivesdk","864_ROSMAWATI BR TARIGAN _ SERTIFIKAT BIMTEK IPASN BerAKHLASK")</f>
        <v>864_ROSMAWATI BR TARIGAN _ SERTIFIKAT BIMTEK IPASN BerAKHLASK</v>
      </c>
      <c r="P865" s="5" t="s">
        <v>7887</v>
      </c>
      <c r="Q865" s="5"/>
      <c r="R865" s="5"/>
      <c r="S865" s="5"/>
      <c r="T865" s="5"/>
    </row>
    <row r="866">
      <c r="A866" s="4">
        <v>45534.32728258102</v>
      </c>
      <c r="B866" s="5" t="s">
        <v>34</v>
      </c>
      <c r="D866" s="5" t="s">
        <v>267</v>
      </c>
      <c r="E866" s="5" t="s">
        <v>7920</v>
      </c>
      <c r="F866" s="5" t="s">
        <v>524</v>
      </c>
      <c r="G866" s="5" t="s">
        <v>7921</v>
      </c>
      <c r="H866" s="6" t="s">
        <v>7922</v>
      </c>
      <c r="K866" s="5" t="s">
        <v>7912</v>
      </c>
      <c r="M866" s="5" t="s">
        <v>7923</v>
      </c>
      <c r="N866" s="7" t="s">
        <v>7924</v>
      </c>
      <c r="O866" s="8" t="str">
        <f>HYPERLINK("https://drive.google.com/file/d/1r0iG0OVOsc2R8CS9ZZ4btMBz_L1gn8th/view?usp=drivesdk","865_SRI MARYATIII _ SERTIFIKAT BIMTEK IPASN BerAKHLASK")</f>
        <v>865_SRI MARYATIII _ SERTIFIKAT BIMTEK IPASN BerAKHLASK</v>
      </c>
      <c r="P866" s="5" t="s">
        <v>7925</v>
      </c>
      <c r="Q866" s="5"/>
      <c r="R866" s="5"/>
      <c r="S866" s="5"/>
      <c r="T866" s="5"/>
    </row>
    <row r="867">
      <c r="A867" s="4">
        <v>45534.32728486111</v>
      </c>
      <c r="B867" s="5" t="s">
        <v>34</v>
      </c>
      <c r="D867" s="5" t="s">
        <v>1663</v>
      </c>
      <c r="E867" s="5" t="s">
        <v>7926</v>
      </c>
      <c r="F867" s="5" t="s">
        <v>212</v>
      </c>
      <c r="G867" s="5" t="s">
        <v>7927</v>
      </c>
      <c r="H867" s="6" t="s">
        <v>7928</v>
      </c>
      <c r="K867" s="5" t="s">
        <v>7912</v>
      </c>
      <c r="M867" s="5" t="s">
        <v>7929</v>
      </c>
      <c r="N867" s="7" t="s">
        <v>7930</v>
      </c>
      <c r="O867" s="8" t="str">
        <f>HYPERLINK("https://drive.google.com/file/d/1t4sJIcyVbxFWLc9lu0B_LdDKsBv1nHrq/view?usp=drivesdk","866_AHMAD JAKA IRAWAN _ SERTIFIKAT BIMTEK IPASN BerAKHLASK")</f>
        <v>866_AHMAD JAKA IRAWAN _ SERTIFIKAT BIMTEK IPASN BerAKHLASK</v>
      </c>
      <c r="P867" s="5" t="s">
        <v>7925</v>
      </c>
      <c r="Q867" s="5"/>
      <c r="R867" s="5"/>
      <c r="S867" s="5"/>
      <c r="T867" s="5"/>
    </row>
    <row r="868">
      <c r="A868" s="4">
        <v>45534.32729619213</v>
      </c>
      <c r="B868" s="5" t="s">
        <v>34</v>
      </c>
      <c r="D868" s="5" t="s">
        <v>1206</v>
      </c>
      <c r="E868" s="5" t="s">
        <v>7931</v>
      </c>
      <c r="F868" s="5" t="s">
        <v>212</v>
      </c>
      <c r="G868" s="5" t="s">
        <v>7932</v>
      </c>
      <c r="H868" s="6" t="s">
        <v>7933</v>
      </c>
      <c r="K868" s="5" t="s">
        <v>7912</v>
      </c>
      <c r="M868" s="5" t="s">
        <v>7934</v>
      </c>
      <c r="N868" s="7" t="s">
        <v>7935</v>
      </c>
      <c r="O868" s="8" t="str">
        <f>HYPERLINK("https://drive.google.com/file/d/1axR9NXdtYCV8xg13KcsgTcskCeZ3YInv/view?usp=drivesdk","867_NANING SUGIARTI _ SERTIFIKAT BIMTEK IPASN BerAKHLASK")</f>
        <v>867_NANING SUGIARTI _ SERTIFIKAT BIMTEK IPASN BerAKHLASK</v>
      </c>
      <c r="P868" s="5" t="s">
        <v>7925</v>
      </c>
      <c r="Q868" s="5"/>
      <c r="R868" s="5"/>
      <c r="S868" s="5"/>
      <c r="T868" s="5"/>
    </row>
    <row r="869">
      <c r="A869" s="4">
        <v>45534.32734466435</v>
      </c>
      <c r="B869" s="5" t="s">
        <v>34</v>
      </c>
      <c r="D869" s="5" t="s">
        <v>1206</v>
      </c>
      <c r="E869" s="5" t="s">
        <v>7936</v>
      </c>
      <c r="F869" s="5" t="s">
        <v>212</v>
      </c>
      <c r="G869" s="5" t="s">
        <v>7937</v>
      </c>
      <c r="H869" s="6" t="s">
        <v>7938</v>
      </c>
      <c r="I869" s="7" t="s">
        <v>7939</v>
      </c>
      <c r="J869" s="8" t="str">
        <f>HYPERLINK("https://drive.google.com/file/d/1VbnjNeNXnrB0Kc5EkIYQN7JhwZPX1oG9/view?usp=drivesdk","SRI SOEMARTIYANI SERTIFIKAT BerAKHLAK")</f>
        <v>SRI SOEMARTIYANI SERTIFIKAT BerAKHLAK</v>
      </c>
      <c r="K869" s="5" t="s">
        <v>6296</v>
      </c>
      <c r="L869" s="5" t="s">
        <v>7940</v>
      </c>
      <c r="M869" s="5" t="s">
        <v>7941</v>
      </c>
      <c r="N869" s="7" t="s">
        <v>7942</v>
      </c>
      <c r="O869" s="8" t="str">
        <f>HYPERLINK("https://drive.google.com/file/d/1GKCQzF_nQwV7Jb8cTHHDdJb15Irk7w40/view?usp=drivesdk","868_SRI SOEMARTIYANI _ SERTIFIKAT BIMTEK IPASN BerAKHLASK")</f>
        <v>868_SRI SOEMARTIYANI _ SERTIFIKAT BIMTEK IPASN BerAKHLASK</v>
      </c>
      <c r="P869" s="5" t="s">
        <v>7925</v>
      </c>
      <c r="Q869" s="5"/>
      <c r="R869" s="5"/>
      <c r="S869" s="5"/>
      <c r="T869" s="5"/>
    </row>
    <row r="870" hidden="1">
      <c r="A870" s="4">
        <v>45534.32737850695</v>
      </c>
      <c r="B870" s="5" t="s">
        <v>19</v>
      </c>
      <c r="C870" s="5" t="s">
        <v>3471</v>
      </c>
      <c r="E870" s="5" t="s">
        <v>7943</v>
      </c>
      <c r="F870" s="5" t="s">
        <v>108</v>
      </c>
      <c r="G870" s="5" t="s">
        <v>7944</v>
      </c>
      <c r="H870" s="6" t="s">
        <v>7945</v>
      </c>
      <c r="I870" s="7" t="s">
        <v>7946</v>
      </c>
      <c r="J870" s="8" t="str">
        <f>HYPERLINK("https://drive.google.com/file/d/1fAbeq8P2y-SN7P2NGLH4jPGf4Em8Z46W/view?usp=drivesdk","DYAH RARASATI, S.E. SERTIFIKAT BerAKHLAK")</f>
        <v>DYAH RARASATI, S.E. SERTIFIKAT BerAKHLAK</v>
      </c>
      <c r="K870" s="5" t="s">
        <v>6296</v>
      </c>
      <c r="L870" s="5" t="s">
        <v>7947</v>
      </c>
      <c r="M870" s="5" t="s">
        <v>7948</v>
      </c>
      <c r="N870" s="7" t="s">
        <v>7949</v>
      </c>
      <c r="O870" s="8" t="str">
        <f>HYPERLINK("https://drive.google.com/file/d/1DwlUI7VVo46rxf_AxJ0t2aDzY-8Aukvs/view?usp=drivesdk","869_DYAH RARASATI, S.E. _ SERTIFIKAT BIMTEK IPASN BerAKHLASK")</f>
        <v>869_DYAH RARASATI, S.E. _ SERTIFIKAT BIMTEK IPASN BerAKHLASK</v>
      </c>
      <c r="P870" s="5" t="s">
        <v>7925</v>
      </c>
      <c r="Q870" s="5"/>
      <c r="R870" s="5"/>
      <c r="S870" s="5"/>
      <c r="T870" s="5"/>
    </row>
    <row r="871" hidden="1">
      <c r="A871" s="4">
        <v>45534.3273949537</v>
      </c>
      <c r="B871" s="5" t="s">
        <v>19</v>
      </c>
      <c r="C871" s="5" t="s">
        <v>5058</v>
      </c>
      <c r="E871" s="5" t="s">
        <v>7950</v>
      </c>
      <c r="F871" s="5" t="s">
        <v>524</v>
      </c>
      <c r="G871" s="5" t="s">
        <v>7951</v>
      </c>
      <c r="H871" s="6" t="s">
        <v>7952</v>
      </c>
      <c r="I871" s="7" t="s">
        <v>7953</v>
      </c>
      <c r="J871" s="8" t="str">
        <f>HYPERLINK("https://drive.google.com/file/d/16EO8abaG_hfhfwnwhWitQ_jN8QMahgww/view?usp=drivesdk","TRI YULIARTI, S.E. SERTIFIKAT BerAKHLAK")</f>
        <v>TRI YULIARTI, S.E. SERTIFIKAT BerAKHLAK</v>
      </c>
      <c r="K871" s="5" t="s">
        <v>6296</v>
      </c>
      <c r="L871" s="5" t="s">
        <v>7954</v>
      </c>
      <c r="M871" s="5" t="s">
        <v>7955</v>
      </c>
      <c r="N871" s="7" t="s">
        <v>7956</v>
      </c>
      <c r="O871" s="8" t="str">
        <f>HYPERLINK("https://drive.google.com/file/d/1kYVNGvDpfoFNrtOuvhcPvR83E_9ycYQj/view?usp=drivesdk","870_TRI YULIARTI, S.E. _ SERTIFIKAT BIMTEK IPASN BerAKHLASK")</f>
        <v>870_TRI YULIARTI, S.E. _ SERTIFIKAT BIMTEK IPASN BerAKHLASK</v>
      </c>
      <c r="P871" s="5" t="s">
        <v>7925</v>
      </c>
      <c r="Q871" s="5"/>
      <c r="R871" s="5"/>
      <c r="S871" s="5"/>
      <c r="T871" s="5"/>
    </row>
    <row r="872">
      <c r="A872" s="4">
        <v>45534.32740620371</v>
      </c>
      <c r="B872" s="5" t="s">
        <v>34</v>
      </c>
      <c r="D872" s="5" t="s">
        <v>35</v>
      </c>
      <c r="E872" s="5" t="s">
        <v>7957</v>
      </c>
      <c r="F872" s="5" t="s">
        <v>375</v>
      </c>
      <c r="G872" s="5" t="s">
        <v>7958</v>
      </c>
      <c r="H872" s="6" t="s">
        <v>7959</v>
      </c>
      <c r="I872" s="7" t="s">
        <v>7960</v>
      </c>
      <c r="J872" s="8" t="str">
        <f>HYPERLINK("https://drive.google.com/file/d/15vLsAwkijPWhX63YyjuK52QvXREDokYE/view?usp=drivesdk","USUP KENSUPIADI. SE SERTIFIKAT BerAKHLAK")</f>
        <v>USUP KENSUPIADI. SE SERTIFIKAT BerAKHLAK</v>
      </c>
      <c r="K872" s="5" t="s">
        <v>6296</v>
      </c>
      <c r="L872" s="5" t="s">
        <v>7961</v>
      </c>
      <c r="M872" s="5" t="s">
        <v>7962</v>
      </c>
      <c r="N872" s="7" t="s">
        <v>7963</v>
      </c>
      <c r="O872" s="8" t="str">
        <f>HYPERLINK("https://drive.google.com/file/d/17u76lTvLaY28kb1zPVMkMPcWU57drJUe/view?usp=drivesdk","871_USUP KENSUPIADI. SE _ SERTIFIKAT BIMTEK IPASN BerAKHLASK")</f>
        <v>871_USUP KENSUPIADI. SE _ SERTIFIKAT BIMTEK IPASN BerAKHLASK</v>
      </c>
      <c r="P872" s="5" t="s">
        <v>7964</v>
      </c>
      <c r="Q872" s="5"/>
      <c r="R872" s="5"/>
      <c r="S872" s="5"/>
      <c r="T872" s="5"/>
    </row>
    <row r="873">
      <c r="A873" s="4">
        <v>45534.32742611111</v>
      </c>
      <c r="B873" s="5" t="s">
        <v>34</v>
      </c>
      <c r="D873" s="5" t="s">
        <v>4775</v>
      </c>
      <c r="E873" s="5" t="s">
        <v>7965</v>
      </c>
      <c r="F873" s="5" t="s">
        <v>375</v>
      </c>
      <c r="G873" s="5" t="s">
        <v>7966</v>
      </c>
      <c r="H873" s="6" t="s">
        <v>7967</v>
      </c>
      <c r="I873" s="7" t="s">
        <v>7968</v>
      </c>
      <c r="J873" s="8" t="str">
        <f>HYPERLINK("https://drive.google.com/file/d/1mQn9UkaOoYrcH_fejBmi9oTQMihcR65j/view?usp=drivesdk","DEDY KRISNAMURTI, S.E. SERTIFIKAT BerAKHLAK")</f>
        <v>DEDY KRISNAMURTI, S.E. SERTIFIKAT BerAKHLAK</v>
      </c>
      <c r="K873" s="5" t="s">
        <v>6296</v>
      </c>
      <c r="L873" s="5" t="s">
        <v>7969</v>
      </c>
      <c r="M873" s="5" t="s">
        <v>7970</v>
      </c>
      <c r="N873" s="7" t="s">
        <v>7971</v>
      </c>
      <c r="O873" s="8" t="str">
        <f>HYPERLINK("https://drive.google.com/file/d/1YP38AGUiy9lid04eGZsCNdxTkbE2D3Ub/view?usp=drivesdk","872_DEDY KRISNAMURTI, S.E. _ SERTIFIKAT BIMTEK IPASN BerAKHLASK")</f>
        <v>872_DEDY KRISNAMURTI, S.E. _ SERTIFIKAT BIMTEK IPASN BerAKHLASK</v>
      </c>
      <c r="P873" s="5" t="s">
        <v>7964</v>
      </c>
      <c r="Q873" s="5"/>
      <c r="R873" s="5"/>
      <c r="S873" s="5"/>
      <c r="T873" s="5"/>
    </row>
    <row r="874">
      <c r="A874" s="4">
        <v>45534.32744857639</v>
      </c>
      <c r="B874" s="5" t="s">
        <v>34</v>
      </c>
      <c r="D874" s="5" t="s">
        <v>580</v>
      </c>
      <c r="E874" s="5" t="s">
        <v>7972</v>
      </c>
      <c r="F874" s="5" t="s">
        <v>72</v>
      </c>
      <c r="G874" s="5" t="s">
        <v>7973</v>
      </c>
      <c r="H874" s="6" t="s">
        <v>7974</v>
      </c>
      <c r="K874" s="5" t="s">
        <v>7975</v>
      </c>
      <c r="M874" s="5" t="s">
        <v>7976</v>
      </c>
      <c r="N874" s="7" t="s">
        <v>7977</v>
      </c>
      <c r="O874" s="8" t="str">
        <f>HYPERLINK("https://drive.google.com/file/d/1AAAu9LDzKCWDQOileondlSG41y801iKD/view?usp=drivesdk","873_DEWA AYU SRI PRAMESTI, A. Md. Kep _ SERTIFIKAT BIMTEK IPASN BerAKHLASK")</f>
        <v>873_DEWA AYU SRI PRAMESTI, A. Md. Kep _ SERTIFIKAT BIMTEK IPASN BerAKHLASK</v>
      </c>
      <c r="P874" s="5" t="s">
        <v>7964</v>
      </c>
      <c r="Q874" s="5"/>
      <c r="R874" s="5"/>
      <c r="S874" s="5"/>
      <c r="T874" s="5"/>
    </row>
    <row r="875">
      <c r="A875" s="4">
        <v>45534.327452199075</v>
      </c>
      <c r="B875" s="5" t="s">
        <v>34</v>
      </c>
      <c r="D875" s="5" t="s">
        <v>1206</v>
      </c>
      <c r="E875" s="5" t="s">
        <v>7978</v>
      </c>
      <c r="F875" s="5" t="s">
        <v>212</v>
      </c>
      <c r="G875" s="5" t="s">
        <v>7979</v>
      </c>
      <c r="H875" s="6" t="s">
        <v>7980</v>
      </c>
      <c r="K875" s="5" t="s">
        <v>7975</v>
      </c>
      <c r="M875" s="5" t="s">
        <v>7981</v>
      </c>
      <c r="N875" s="7" t="s">
        <v>7982</v>
      </c>
      <c r="O875" s="8" t="str">
        <f>HYPERLINK("https://drive.google.com/file/d/1TXq-cLiQ5Pi_e06Y7TGcOl9PcUj6AnvN/view?usp=drivesdk","874_DEDI RHOMANZAH _ SERTIFIKAT BIMTEK IPASN BerAKHLASK")</f>
        <v>874_DEDI RHOMANZAH _ SERTIFIKAT BIMTEK IPASN BerAKHLASK</v>
      </c>
      <c r="P875" s="5" t="s">
        <v>7964</v>
      </c>
      <c r="Q875" s="5"/>
      <c r="R875" s="5"/>
      <c r="S875" s="5"/>
      <c r="T875" s="5"/>
    </row>
    <row r="876">
      <c r="A876" s="4">
        <v>45534.32745453704</v>
      </c>
      <c r="B876" s="5" t="s">
        <v>34</v>
      </c>
      <c r="D876" s="5" t="s">
        <v>4775</v>
      </c>
      <c r="E876" s="5" t="s">
        <v>7983</v>
      </c>
      <c r="F876" s="5" t="s">
        <v>37</v>
      </c>
      <c r="G876" s="5" t="s">
        <v>7984</v>
      </c>
      <c r="H876" s="6" t="s">
        <v>7985</v>
      </c>
      <c r="K876" s="5" t="s">
        <v>7975</v>
      </c>
      <c r="M876" s="5" t="s">
        <v>7986</v>
      </c>
      <c r="N876" s="7" t="s">
        <v>7987</v>
      </c>
      <c r="O876" s="8" t="str">
        <f>HYPERLINK("https://drive.google.com/file/d/1i9jh5Dnf519xAcKwxJbBzpD7oRabryay/view?usp=drivesdk","875_AGUS OBET PRAMILO,AMa pd _ SERTIFIKAT BIMTEK IPASN BerAKHLASK")</f>
        <v>875_AGUS OBET PRAMILO,AMa pd _ SERTIFIKAT BIMTEK IPASN BerAKHLASK</v>
      </c>
      <c r="P876" s="5" t="s">
        <v>7964</v>
      </c>
      <c r="Q876" s="5"/>
      <c r="R876" s="5"/>
      <c r="S876" s="5"/>
      <c r="T876" s="5"/>
    </row>
    <row r="877">
      <c r="A877" s="4">
        <v>45534.32746020833</v>
      </c>
      <c r="B877" s="5" t="s">
        <v>34</v>
      </c>
      <c r="D877" s="5" t="s">
        <v>4775</v>
      </c>
      <c r="E877" s="5" t="s">
        <v>7988</v>
      </c>
      <c r="F877" s="5" t="s">
        <v>212</v>
      </c>
      <c r="G877" s="5" t="s">
        <v>7989</v>
      </c>
      <c r="H877" s="6" t="s">
        <v>7990</v>
      </c>
      <c r="K877" s="5" t="s">
        <v>7975</v>
      </c>
      <c r="M877" s="5" t="s">
        <v>7991</v>
      </c>
      <c r="N877" s="7" t="s">
        <v>7992</v>
      </c>
      <c r="O877" s="8" t="str">
        <f>HYPERLINK("https://drive.google.com/file/d/1dpFBLB4323RgI5rJRvFTKgYlc9FmF2Mt/view?usp=drivesdk","876_SITI MUSTAQIMAH _ SERTIFIKAT BIMTEK IPASN BerAKHLASK")</f>
        <v>876_SITI MUSTAQIMAH _ SERTIFIKAT BIMTEK IPASN BerAKHLASK</v>
      </c>
      <c r="P877" s="5" t="s">
        <v>7993</v>
      </c>
      <c r="Q877" s="5"/>
      <c r="R877" s="5"/>
      <c r="S877" s="5"/>
      <c r="T877" s="5"/>
    </row>
    <row r="878">
      <c r="A878" s="4">
        <v>45534.32746136574</v>
      </c>
      <c r="B878" s="5" t="s">
        <v>34</v>
      </c>
      <c r="D878" s="5" t="s">
        <v>1768</v>
      </c>
      <c r="E878" s="5" t="s">
        <v>7994</v>
      </c>
      <c r="F878" s="5" t="s">
        <v>375</v>
      </c>
      <c r="G878" s="5" t="s">
        <v>7995</v>
      </c>
      <c r="H878" s="6" t="s">
        <v>7996</v>
      </c>
      <c r="K878" s="5" t="s">
        <v>7975</v>
      </c>
      <c r="M878" s="5" t="s">
        <v>7997</v>
      </c>
      <c r="N878" s="7" t="s">
        <v>7998</v>
      </c>
      <c r="O878" s="8" t="str">
        <f>HYPERLINK("https://drive.google.com/file/d/1hus7WZ77wwai0AleVsLm5CesNhPL621i/view?usp=drivesdk","877_KATHARINA ROMAULI LUMBANRAJA, S.E. _ SERTIFIKAT BIMTEK IPASN BerAKHLASK")</f>
        <v>877_KATHARINA ROMAULI LUMBANRAJA, S.E. _ SERTIFIKAT BIMTEK IPASN BerAKHLASK</v>
      </c>
      <c r="P878" s="5" t="s">
        <v>7993</v>
      </c>
      <c r="Q878" s="5"/>
      <c r="R878" s="5"/>
      <c r="S878" s="5"/>
      <c r="T878" s="5"/>
    </row>
    <row r="879">
      <c r="A879" s="4">
        <v>45534.327462500005</v>
      </c>
      <c r="B879" s="5" t="s">
        <v>34</v>
      </c>
      <c r="D879" s="5" t="s">
        <v>1206</v>
      </c>
      <c r="E879" s="5" t="s">
        <v>7999</v>
      </c>
      <c r="F879" s="5" t="s">
        <v>37</v>
      </c>
      <c r="G879" s="5" t="s">
        <v>8000</v>
      </c>
      <c r="H879" s="6" t="s">
        <v>8001</v>
      </c>
      <c r="K879" s="5" t="s">
        <v>7975</v>
      </c>
      <c r="M879" s="5" t="s">
        <v>8002</v>
      </c>
      <c r="N879" s="7" t="s">
        <v>8003</v>
      </c>
      <c r="O879" s="8" t="str">
        <f>HYPERLINK("https://drive.google.com/file/d/1nFAILz7ZILdVB9xDrHYvEXnCst08ZHUc/view?usp=drivesdk","878_DEVI KHANTHI DWI BHAKTI, A.Md.T. _ SERTIFIKAT BIMTEK IPASN BerAKHLASK")</f>
        <v>878_DEVI KHANTHI DWI BHAKTI, A.Md.T. _ SERTIFIKAT BIMTEK IPASN BerAKHLASK</v>
      </c>
      <c r="P879" s="5" t="s">
        <v>7993</v>
      </c>
      <c r="Q879" s="5"/>
      <c r="R879" s="5"/>
      <c r="S879" s="5"/>
      <c r="T879" s="5"/>
    </row>
    <row r="880">
      <c r="A880" s="4">
        <v>45534.3274809375</v>
      </c>
      <c r="B880" s="5" t="s">
        <v>34</v>
      </c>
      <c r="D880" s="5" t="s">
        <v>4775</v>
      </c>
      <c r="E880" s="5" t="s">
        <v>8004</v>
      </c>
      <c r="F880" s="5" t="s">
        <v>375</v>
      </c>
      <c r="G880" s="5" t="s">
        <v>8005</v>
      </c>
      <c r="H880" s="6" t="s">
        <v>8006</v>
      </c>
      <c r="K880" s="5" t="s">
        <v>7975</v>
      </c>
      <c r="M880" s="5" t="s">
        <v>8007</v>
      </c>
      <c r="N880" s="7" t="s">
        <v>8008</v>
      </c>
      <c r="O880" s="8" t="str">
        <f>HYPERLINK("https://drive.google.com/file/d/1_dCxiE2dr9m3Y5NSXB1GUhAj72sH1pgv/view?usp=drivesdk","879_RIKA ENDRIYANI,S.E.,M.H. _ SERTIFIKAT BIMTEK IPASN BerAKHLASK")</f>
        <v>879_RIKA ENDRIYANI,S.E.,M.H. _ SERTIFIKAT BIMTEK IPASN BerAKHLASK</v>
      </c>
      <c r="P880" s="5" t="s">
        <v>7993</v>
      </c>
      <c r="Q880" s="5"/>
      <c r="R880" s="5"/>
      <c r="S880" s="5"/>
      <c r="T880" s="5"/>
    </row>
    <row r="881">
      <c r="A881" s="4">
        <v>45534.32748493056</v>
      </c>
      <c r="B881" s="5" t="s">
        <v>34</v>
      </c>
      <c r="D881" s="5" t="s">
        <v>35</v>
      </c>
      <c r="E881" s="5" t="s">
        <v>8009</v>
      </c>
      <c r="F881" s="5" t="s">
        <v>72</v>
      </c>
      <c r="G881" s="5" t="s">
        <v>8010</v>
      </c>
      <c r="H881" s="6" t="s">
        <v>8011</v>
      </c>
      <c r="I881" s="7" t="s">
        <v>8012</v>
      </c>
      <c r="J881" s="8" t="str">
        <f>HYPERLINK("https://drive.google.com/file/d/1l1OhxdLF4twGmnOpMHucNEzRhjFm1oO6/view?usp=drivesdk","E. DIDIH SUDHIEANA, S.H., M.H. SERTIFIKAT BerAKHLAK")</f>
        <v>E. DIDIH SUDHIEANA, S.H., M.H. SERTIFIKAT BerAKHLAK</v>
      </c>
      <c r="K881" s="5" t="s">
        <v>6296</v>
      </c>
      <c r="L881" s="5" t="s">
        <v>8013</v>
      </c>
      <c r="M881" s="5" t="s">
        <v>8014</v>
      </c>
      <c r="N881" s="7" t="s">
        <v>8015</v>
      </c>
      <c r="O881" s="8" t="str">
        <f>HYPERLINK("https://drive.google.com/file/d/1MZ8XsGJ9lMacATK3lk_xO-Xd8m1IMCFx/view?usp=drivesdk","880_E. DIDIH SUDHIEANA, S.H., M.H. _ SERTIFIKAT BIMTEK IPASN BerAKHLASK")</f>
        <v>880_E. DIDIH SUDHIEANA, S.H., M.H. _ SERTIFIKAT BIMTEK IPASN BerAKHLASK</v>
      </c>
      <c r="P881" s="5" t="s">
        <v>7993</v>
      </c>
      <c r="Q881" s="5"/>
      <c r="R881" s="5"/>
      <c r="S881" s="5"/>
      <c r="T881" s="5"/>
    </row>
    <row r="882">
      <c r="A882" s="4">
        <v>45534.327491759264</v>
      </c>
      <c r="B882" s="5" t="s">
        <v>34</v>
      </c>
      <c r="D882" s="5" t="s">
        <v>580</v>
      </c>
      <c r="E882" s="5" t="s">
        <v>8016</v>
      </c>
      <c r="F882" s="5" t="s">
        <v>524</v>
      </c>
      <c r="G882" s="5" t="s">
        <v>8017</v>
      </c>
      <c r="H882" s="6" t="s">
        <v>8018</v>
      </c>
      <c r="I882" s="7" t="s">
        <v>8019</v>
      </c>
      <c r="J882" s="8" t="str">
        <f>HYPERLINK("https://drive.google.com/file/d/1LrdO44zX4kX1og7hYJ118I6WcTbVFhJL/view?usp=drivesdk","NI LUH YENNI PUSPITASARI, Amd.Kep SERTIFIKAT BerAKHLAK")</f>
        <v>NI LUH YENNI PUSPITASARI, Amd.Kep SERTIFIKAT BerAKHLAK</v>
      </c>
      <c r="K882" s="5" t="s">
        <v>6335</v>
      </c>
      <c r="L882" s="5" t="s">
        <v>8020</v>
      </c>
      <c r="M882" s="5" t="s">
        <v>8021</v>
      </c>
      <c r="N882" s="7" t="s">
        <v>8022</v>
      </c>
      <c r="O882" s="8" t="str">
        <f>HYPERLINK("https://drive.google.com/file/d/1azSIx8LH6StEEN7LRzXA0h7cKCLAWVmq/view?usp=drivesdk","881_NI LUH YENNI PUSPITASARI, Amd.Kep _ SERTIFIKAT BIMTEK IPASN BerAKHLASK")</f>
        <v>881_NI LUH YENNI PUSPITASARI, Amd.Kep _ SERTIFIKAT BIMTEK IPASN BerAKHLASK</v>
      </c>
      <c r="P882" s="5" t="s">
        <v>7993</v>
      </c>
      <c r="Q882" s="5"/>
      <c r="R882" s="5"/>
      <c r="S882" s="5"/>
      <c r="T882" s="5"/>
    </row>
    <row r="883">
      <c r="A883" s="4">
        <v>45534.32749195602</v>
      </c>
      <c r="B883" s="5" t="s">
        <v>34</v>
      </c>
      <c r="D883" s="5" t="s">
        <v>1206</v>
      </c>
      <c r="E883" s="5" t="s">
        <v>8023</v>
      </c>
      <c r="F883" s="5" t="s">
        <v>108</v>
      </c>
      <c r="G883" s="5" t="s">
        <v>8024</v>
      </c>
      <c r="H883" s="6" t="s">
        <v>8025</v>
      </c>
      <c r="I883" s="7" t="s">
        <v>8026</v>
      </c>
      <c r="J883" s="8" t="str">
        <f>HYPERLINK("https://drive.google.com/file/d/1VbhpwNohD9c0UhPP94CFwHxI1J94cEQr/view?usp=drivesdk","HENRICK LEDY CHRISTIAN SERTIFIKAT BerAKHLAK")</f>
        <v>HENRICK LEDY CHRISTIAN SERTIFIKAT BerAKHLAK</v>
      </c>
      <c r="K883" s="5" t="s">
        <v>6335</v>
      </c>
      <c r="L883" s="5" t="s">
        <v>8027</v>
      </c>
      <c r="M883" s="5" t="s">
        <v>8028</v>
      </c>
      <c r="N883" s="7" t="s">
        <v>8029</v>
      </c>
      <c r="O883" s="8" t="str">
        <f>HYPERLINK("https://drive.google.com/file/d/1Kwwqpd1XbyiWjSCY_pIDIJbOkjN1U0eN/view?usp=drivesdk","882_HENRICK LEDY CHRISTIAN _ SERTIFIKAT BIMTEK IPASN BerAKHLASK")</f>
        <v>882_HENRICK LEDY CHRISTIAN _ SERTIFIKAT BIMTEK IPASN BerAKHLASK</v>
      </c>
      <c r="P883" s="5" t="s">
        <v>8030</v>
      </c>
      <c r="Q883" s="5"/>
      <c r="R883" s="5"/>
      <c r="S883" s="5"/>
      <c r="T883" s="5"/>
    </row>
    <row r="884">
      <c r="A884" s="4">
        <v>45534.32749344908</v>
      </c>
      <c r="B884" s="5" t="s">
        <v>34</v>
      </c>
      <c r="D884" s="5" t="s">
        <v>522</v>
      </c>
      <c r="E884" s="5" t="s">
        <v>8031</v>
      </c>
      <c r="F884" s="5" t="s">
        <v>715</v>
      </c>
      <c r="G884" s="5" t="s">
        <v>8032</v>
      </c>
      <c r="H884" s="6" t="s">
        <v>8033</v>
      </c>
      <c r="I884" s="7" t="s">
        <v>8034</v>
      </c>
      <c r="J884" s="8" t="str">
        <f>HYPERLINK("https://drive.google.com/file/d/1JXP8J4_7cZJBB1XUW1PeS67l2WK0Y3YE/view?usp=drivesdk","MUSTIKE SUMARLIN, S Sos SERTIFIKAT BerAKHLAK")</f>
        <v>MUSTIKE SUMARLIN, S Sos SERTIFIKAT BerAKHLAK</v>
      </c>
      <c r="K884" s="5" t="s">
        <v>6335</v>
      </c>
      <c r="L884" s="5" t="s">
        <v>8035</v>
      </c>
      <c r="M884" s="5" t="s">
        <v>8036</v>
      </c>
      <c r="N884" s="7" t="s">
        <v>8037</v>
      </c>
      <c r="O884" s="8" t="str">
        <f>HYPERLINK("https://drive.google.com/file/d/1F3l96TASRaf4eixym7EqBhG6QMtAyRHN/view?usp=drivesdk","883_MUSTIKE SUMARLIN, S Sos _ SERTIFIKAT BIMTEK IPASN BerAKHLASK")</f>
        <v>883_MUSTIKE SUMARLIN, S Sos _ SERTIFIKAT BIMTEK IPASN BerAKHLASK</v>
      </c>
      <c r="P884" s="5" t="s">
        <v>8030</v>
      </c>
      <c r="Q884" s="5"/>
      <c r="R884" s="5"/>
      <c r="S884" s="5"/>
      <c r="T884" s="5"/>
    </row>
    <row r="885">
      <c r="A885" s="4">
        <v>45534.32750084491</v>
      </c>
      <c r="B885" s="5" t="s">
        <v>34</v>
      </c>
      <c r="D885" s="5" t="s">
        <v>4775</v>
      </c>
      <c r="E885" s="5" t="s">
        <v>8038</v>
      </c>
      <c r="F885" s="5" t="s">
        <v>375</v>
      </c>
      <c r="G885" s="5" t="s">
        <v>8039</v>
      </c>
      <c r="H885" s="6" t="s">
        <v>8040</v>
      </c>
      <c r="I885" s="7" t="s">
        <v>8041</v>
      </c>
      <c r="J885" s="8" t="str">
        <f>HYPERLINK("https://drive.google.com/file/d/1KxtabYVKqNVf6xgF76MHDa4zXq6BpJTq/view?usp=drivesdk","DINA MUNFA'ATIKA, S.E., M.M. SERTIFIKAT BerAKHLAK")</f>
        <v>DINA MUNFA'ATIKA, S.E., M.M. SERTIFIKAT BerAKHLAK</v>
      </c>
      <c r="K885" s="5" t="s">
        <v>6335</v>
      </c>
      <c r="L885" s="5" t="s">
        <v>8042</v>
      </c>
      <c r="M885" s="5" t="s">
        <v>8043</v>
      </c>
      <c r="N885" s="7" t="s">
        <v>8044</v>
      </c>
      <c r="O885" s="8" t="str">
        <f>HYPERLINK("https://drive.google.com/file/d/1BcZyil9-5R5wGvE0abyNfyiDY6qtihJ6/view?usp=drivesdk","884_DINA MUNFA'ATIKA, S.E., M.M. _ SERTIFIKAT BIMTEK IPASN BerAKHLASK")</f>
        <v>884_DINA MUNFA'ATIKA, S.E., M.M. _ SERTIFIKAT BIMTEK IPASN BerAKHLASK</v>
      </c>
      <c r="P885" s="5" t="s">
        <v>8030</v>
      </c>
      <c r="Q885" s="5"/>
      <c r="R885" s="5"/>
      <c r="S885" s="5"/>
      <c r="T885" s="5"/>
    </row>
    <row r="886">
      <c r="A886" s="4">
        <v>45534.32751480324</v>
      </c>
      <c r="B886" s="5" t="s">
        <v>34</v>
      </c>
      <c r="D886" s="5" t="s">
        <v>35</v>
      </c>
      <c r="E886" s="5" t="s">
        <v>8045</v>
      </c>
      <c r="F886" s="5" t="s">
        <v>375</v>
      </c>
      <c r="G886" s="5" t="s">
        <v>8046</v>
      </c>
      <c r="H886" s="6" t="s">
        <v>8047</v>
      </c>
      <c r="I886" s="7" t="s">
        <v>8048</v>
      </c>
      <c r="J886" s="8" t="str">
        <f>HYPERLINK("https://drive.google.com/file/d/1MJW8ctBxt4elnOOP_azOuotVIE2gjsAv/view?usp=drivesdk","NANI ERNANINGSIH SERTIFIKAT BerAKHLAK")</f>
        <v>NANI ERNANINGSIH SERTIFIKAT BerAKHLAK</v>
      </c>
      <c r="K886" s="5" t="s">
        <v>6296</v>
      </c>
      <c r="L886" s="5" t="s">
        <v>8049</v>
      </c>
      <c r="M886" s="5" t="s">
        <v>8050</v>
      </c>
      <c r="N886" s="7" t="s">
        <v>8051</v>
      </c>
      <c r="O886" s="8" t="str">
        <f>HYPERLINK("https://drive.google.com/file/d/1tEMVpj37KrS0Ys4N1cNDwJhm4AfWaXJd/view?usp=drivesdk","885_NANI ERNANINGSIH _ SERTIFIKAT BIMTEK IPASN BerAKHLASK")</f>
        <v>885_NANI ERNANINGSIH _ SERTIFIKAT BIMTEK IPASN BerAKHLASK</v>
      </c>
      <c r="P886" s="5" t="s">
        <v>8030</v>
      </c>
      <c r="Q886" s="5"/>
      <c r="R886" s="5"/>
      <c r="S886" s="5"/>
      <c r="T886" s="5"/>
    </row>
    <row r="887">
      <c r="A887" s="4">
        <v>45534.32751828704</v>
      </c>
      <c r="B887" s="5" t="s">
        <v>34</v>
      </c>
      <c r="D887" s="5" t="s">
        <v>4775</v>
      </c>
      <c r="E887" s="5" t="s">
        <v>8052</v>
      </c>
      <c r="F887" s="5" t="s">
        <v>120</v>
      </c>
      <c r="G887" s="5" t="s">
        <v>8053</v>
      </c>
      <c r="H887" s="6" t="s">
        <v>8054</v>
      </c>
      <c r="I887" s="7" t="s">
        <v>8055</v>
      </c>
      <c r="J887" s="8" t="str">
        <f>HYPERLINK("https://drive.google.com/file/d/1V7gIsaPaQkV_TW_4SE28nTYO6qTyUgZG/view?usp=drivesdk","DYAH LIS APRIYANI, S.T, M.M SERTIFIKAT BerAKHLAK")</f>
        <v>DYAH LIS APRIYANI, S.T, M.M SERTIFIKAT BerAKHLAK</v>
      </c>
      <c r="K887" s="5" t="s">
        <v>6335</v>
      </c>
      <c r="L887" s="5" t="s">
        <v>8056</v>
      </c>
      <c r="M887" s="5" t="s">
        <v>8057</v>
      </c>
      <c r="N887" s="7" t="s">
        <v>8058</v>
      </c>
      <c r="O887" s="8" t="str">
        <f>HYPERLINK("https://drive.google.com/file/d/1x-BT94cWfCRwIv570jc3uGORRF9mZ2Cs/view?usp=drivesdk","886_DYAH LIS APRIYANI, S.T, M.M _ SERTIFIKAT BIMTEK IPASN BerAKHLASK")</f>
        <v>886_DYAH LIS APRIYANI, S.T, M.M _ SERTIFIKAT BIMTEK IPASN BerAKHLASK</v>
      </c>
      <c r="P887" s="5" t="s">
        <v>8030</v>
      </c>
      <c r="Q887" s="5"/>
      <c r="R887" s="5"/>
      <c r="S887" s="5"/>
      <c r="T887" s="5"/>
    </row>
    <row r="888">
      <c r="A888" s="4">
        <v>45534.32752136574</v>
      </c>
      <c r="B888" s="5" t="s">
        <v>34</v>
      </c>
      <c r="D888" s="5" t="s">
        <v>35</v>
      </c>
      <c r="E888" s="5" t="s">
        <v>8059</v>
      </c>
      <c r="F888" s="5" t="s">
        <v>212</v>
      </c>
      <c r="G888" s="5" t="s">
        <v>8060</v>
      </c>
      <c r="H888" s="6" t="s">
        <v>8061</v>
      </c>
      <c r="I888" s="7" t="s">
        <v>8062</v>
      </c>
      <c r="J888" s="8" t="str">
        <f>HYPERLINK("https://drive.google.com/file/d/10a5-Zzd6v3x5XVr9_ngLuJZtPpfcos7r/view?usp=drivesdk","PENGATUR TK.I ETI SRIMUKTI SERTIFIKAT BerAKHLAK")</f>
        <v>PENGATUR TK.I ETI SRIMUKTI SERTIFIKAT BerAKHLAK</v>
      </c>
      <c r="K888" s="5" t="s">
        <v>6296</v>
      </c>
      <c r="L888" s="5" t="s">
        <v>8063</v>
      </c>
      <c r="M888" s="5" t="s">
        <v>8064</v>
      </c>
      <c r="N888" s="7" t="s">
        <v>8065</v>
      </c>
      <c r="O888" s="8" t="str">
        <f>HYPERLINK("https://drive.google.com/file/d/1meLUhaFELw_CXahjzcA5X-UcDQuRrE7l/view?usp=drivesdk","887_PENGATUR TK.I ETI SRIMUKTI _ SERTIFIKAT BIMTEK IPASN BerAKHLASK")</f>
        <v>887_PENGATUR TK.I ETI SRIMUKTI _ SERTIFIKAT BIMTEK IPASN BerAKHLASK</v>
      </c>
      <c r="P888" s="5" t="s">
        <v>8030</v>
      </c>
      <c r="Q888" s="5"/>
      <c r="R888" s="5"/>
      <c r="S888" s="5"/>
      <c r="T888" s="5"/>
    </row>
    <row r="889">
      <c r="A889" s="4">
        <v>45534.327529918985</v>
      </c>
      <c r="B889" s="5" t="s">
        <v>34</v>
      </c>
      <c r="D889" s="5" t="s">
        <v>35</v>
      </c>
      <c r="E889" s="5" t="s">
        <v>7338</v>
      </c>
      <c r="F889" s="5" t="s">
        <v>108</v>
      </c>
      <c r="G889" s="5" t="s">
        <v>8066</v>
      </c>
      <c r="H889" s="6" t="s">
        <v>8067</v>
      </c>
      <c r="I889" s="7" t="s">
        <v>8068</v>
      </c>
      <c r="J889" s="8" t="str">
        <f>HYPERLINK("https://drive.google.com/file/d/1RuP8Tn-qDbmMN5-MED_cY2y30owK7f4L/view?usp=drivesdk","YUYUN YUNINGSIH, S.T. SERTIFIKAT BerAKHLAK")</f>
        <v>YUYUN YUNINGSIH, S.T. SERTIFIKAT BerAKHLAK</v>
      </c>
      <c r="K889" s="5" t="s">
        <v>6335</v>
      </c>
      <c r="L889" s="5" t="s">
        <v>8069</v>
      </c>
      <c r="M889" s="5" t="s">
        <v>8070</v>
      </c>
      <c r="N889" s="7" t="s">
        <v>8071</v>
      </c>
      <c r="O889" s="8" t="str">
        <f>HYPERLINK("https://drive.google.com/file/d/1XpgwURN4SlbIVWRFUFv2b5rE6EJs_w7a/view?usp=drivesdk","888_YUYUN YUNINGSIH, S.T. _ SERTIFIKAT BIMTEK IPASN BerAKHLASK")</f>
        <v>888_YUYUN YUNINGSIH, S.T. _ SERTIFIKAT BIMTEK IPASN BerAKHLASK</v>
      </c>
      <c r="P889" s="5" t="s">
        <v>8072</v>
      </c>
      <c r="Q889" s="5"/>
      <c r="R889" s="5"/>
      <c r="S889" s="5"/>
      <c r="T889" s="5"/>
    </row>
    <row r="890">
      <c r="A890" s="4">
        <v>45534.32752961805</v>
      </c>
      <c r="B890" s="5" t="s">
        <v>34</v>
      </c>
      <c r="D890" s="5" t="s">
        <v>4775</v>
      </c>
      <c r="E890" s="5" t="s">
        <v>8073</v>
      </c>
      <c r="F890" s="5" t="s">
        <v>212</v>
      </c>
      <c r="G890" s="5" t="s">
        <v>8074</v>
      </c>
      <c r="H890" s="6" t="s">
        <v>8075</v>
      </c>
      <c r="I890" s="7" t="s">
        <v>8076</v>
      </c>
      <c r="J890" s="8" t="str">
        <f>HYPERLINK("https://drive.google.com/file/d/1-0Vo7uONIg5c6WFhp6QpQ-Tomhf2J0Em/view?usp=drivesdk","MUHAMMAD FAKHRORUZI,S.H SERTIFIKAT BerAKHLAK")</f>
        <v>MUHAMMAD FAKHRORUZI,S.H SERTIFIKAT BerAKHLAK</v>
      </c>
      <c r="K890" s="5" t="s">
        <v>6335</v>
      </c>
      <c r="L890" s="5" t="s">
        <v>8077</v>
      </c>
      <c r="M890" s="5" t="s">
        <v>8078</v>
      </c>
      <c r="N890" s="7" t="s">
        <v>8079</v>
      </c>
      <c r="O890" s="8" t="str">
        <f>HYPERLINK("https://drive.google.com/file/d/1k7N6udATZ5JNg4aCg43KUZ_pk4tLpM8U/view?usp=drivesdk","889_MUHAMMAD FAKHRORUZI,S.H _ SERTIFIKAT BIMTEK IPASN BerAKHLASK")</f>
        <v>889_MUHAMMAD FAKHRORUZI,S.H _ SERTIFIKAT BIMTEK IPASN BerAKHLASK</v>
      </c>
      <c r="P890" s="5" t="s">
        <v>8072</v>
      </c>
      <c r="Q890" s="5"/>
      <c r="R890" s="5"/>
      <c r="S890" s="5"/>
      <c r="T890" s="5"/>
    </row>
    <row r="891" hidden="1">
      <c r="A891" s="4">
        <v>45534.327546747685</v>
      </c>
      <c r="B891" s="5" t="s">
        <v>19</v>
      </c>
      <c r="C891" s="5" t="s">
        <v>292</v>
      </c>
      <c r="E891" s="5" t="s">
        <v>8080</v>
      </c>
      <c r="F891" s="5" t="s">
        <v>108</v>
      </c>
      <c r="G891" s="5" t="s">
        <v>8081</v>
      </c>
      <c r="H891" s="6" t="s">
        <v>8082</v>
      </c>
      <c r="I891" s="7" t="s">
        <v>8083</v>
      </c>
      <c r="J891" s="8" t="str">
        <f>HYPERLINK("https://drive.google.com/file/d/1dPfBpTW2KjMmADBYIZuJncS7BdkOg0Ut/view?usp=drivesdk","MOHAMMAD MA'FUD FAUZI SERTIFIKAT BerAKHLAK")</f>
        <v>MOHAMMAD MA'FUD FAUZI SERTIFIKAT BerAKHLAK</v>
      </c>
      <c r="K891" s="5" t="s">
        <v>6335</v>
      </c>
      <c r="L891" s="5" t="s">
        <v>8084</v>
      </c>
      <c r="M891" s="5" t="s">
        <v>8085</v>
      </c>
      <c r="N891" s="7" t="s">
        <v>8086</v>
      </c>
      <c r="O891" s="8" t="str">
        <f>HYPERLINK("https://drive.google.com/file/d/1Xtz14YbHnh13zFH1KbomRqjxmahaHiVT/view?usp=drivesdk","890_MOHAMMAD MA'FUD FAUZI _ SERTIFIKAT BIMTEK IPASN BerAKHLASK")</f>
        <v>890_MOHAMMAD MA'FUD FAUZI _ SERTIFIKAT BIMTEK IPASN BerAKHLASK</v>
      </c>
      <c r="P891" s="5" t="s">
        <v>8072</v>
      </c>
      <c r="Q891" s="5"/>
      <c r="R891" s="5"/>
      <c r="S891" s="5"/>
      <c r="T891" s="5"/>
    </row>
    <row r="892">
      <c r="A892" s="4">
        <v>45534.32755461805</v>
      </c>
      <c r="B892" s="5" t="s">
        <v>34</v>
      </c>
      <c r="D892" s="5" t="s">
        <v>580</v>
      </c>
      <c r="E892" s="5" t="s">
        <v>8087</v>
      </c>
      <c r="F892" s="5" t="s">
        <v>524</v>
      </c>
      <c r="G892" s="5" t="s">
        <v>8088</v>
      </c>
      <c r="H892" s="6" t="s">
        <v>8089</v>
      </c>
      <c r="I892" s="7" t="s">
        <v>8090</v>
      </c>
      <c r="J892" s="8" t="str">
        <f>HYPERLINK("https://drive.google.com/file/d/1iW69reiD83aHbKYiLP88riRu3eoOAuDb/view?usp=drivesdk","NI MADE PURNAMAWATI,Amd.Keb SERTIFIKAT BerAKHLAK")</f>
        <v>NI MADE PURNAMAWATI,Amd.Keb SERTIFIKAT BerAKHLAK</v>
      </c>
      <c r="K892" s="5" t="s">
        <v>6335</v>
      </c>
      <c r="L892" s="5" t="s">
        <v>8091</v>
      </c>
      <c r="M892" s="5" t="s">
        <v>8092</v>
      </c>
      <c r="N892" s="7" t="s">
        <v>8093</v>
      </c>
      <c r="O892" s="8" t="str">
        <f>HYPERLINK("https://drive.google.com/file/d/1r7Bo-Jwu7JBXFw2iM4NZgvh7gA8VIAb_/view?usp=drivesdk","891_NI MADE PURNAMAWATI,Amd.Keb _ SERTIFIKAT BIMTEK IPASN BerAKHLASK")</f>
        <v>891_NI MADE PURNAMAWATI,Amd.Keb _ SERTIFIKAT BIMTEK IPASN BerAKHLASK</v>
      </c>
      <c r="P892" s="5" t="s">
        <v>8072</v>
      </c>
      <c r="Q892" s="5"/>
      <c r="R892" s="5"/>
      <c r="S892" s="5"/>
      <c r="T892" s="5"/>
    </row>
    <row r="893">
      <c r="A893" s="4">
        <v>45534.32756065972</v>
      </c>
      <c r="B893" s="5" t="s">
        <v>34</v>
      </c>
      <c r="D893" s="5" t="s">
        <v>35</v>
      </c>
      <c r="E893" s="5" t="s">
        <v>8094</v>
      </c>
      <c r="F893" s="5" t="s">
        <v>524</v>
      </c>
      <c r="G893" s="5" t="s">
        <v>8095</v>
      </c>
      <c r="H893" s="6" t="s">
        <v>8096</v>
      </c>
      <c r="I893" s="7" t="s">
        <v>8097</v>
      </c>
      <c r="J893" s="8" t="str">
        <f>HYPERLINK("https://drive.google.com/file/d/1pQfehGRtFjrj8FxHVdMgNiVTx0FK8JnW/view?usp=drivesdk","GALIH PRIA ESA, A.Md.Kep SERTIFIKAT BerAKHLAK")</f>
        <v>GALIH PRIA ESA, A.Md.Kep SERTIFIKAT BerAKHLAK</v>
      </c>
      <c r="K893" s="5" t="s">
        <v>6335</v>
      </c>
      <c r="L893" s="5" t="s">
        <v>8098</v>
      </c>
      <c r="M893" s="5" t="s">
        <v>8099</v>
      </c>
      <c r="N893" s="7" t="s">
        <v>8100</v>
      </c>
      <c r="O893" s="8" t="str">
        <f>HYPERLINK("https://drive.google.com/file/d/1XRG2kme24jmKe-50Kk9Rg0YcqFfe4X-v/view?usp=drivesdk","892_GALIH PRIA ESA, A.Md.Kep _ SERTIFIKAT BIMTEK IPASN BerAKHLASK")</f>
        <v>892_GALIH PRIA ESA, A.Md.Kep _ SERTIFIKAT BIMTEK IPASN BerAKHLASK</v>
      </c>
      <c r="P893" s="5" t="s">
        <v>8072</v>
      </c>
      <c r="Q893" s="5"/>
      <c r="R893" s="5"/>
      <c r="S893" s="5"/>
      <c r="T893" s="5"/>
    </row>
    <row r="894">
      <c r="A894" s="4">
        <v>45534.32757753472</v>
      </c>
      <c r="B894" s="5" t="s">
        <v>34</v>
      </c>
      <c r="D894" s="5" t="s">
        <v>1206</v>
      </c>
      <c r="E894" s="5" t="s">
        <v>8101</v>
      </c>
      <c r="F894" s="5" t="s">
        <v>212</v>
      </c>
      <c r="G894" s="5" t="s">
        <v>8102</v>
      </c>
      <c r="H894" s="6" t="s">
        <v>8103</v>
      </c>
      <c r="I894" s="7" t="s">
        <v>8104</v>
      </c>
      <c r="J894" s="8" t="str">
        <f>HYPERLINK("https://drive.google.com/file/d/1IkBpn6yws0zPhg-KmyMuFjWuUBGW-On7/view?usp=drivesdk","ERDIAN YUSWANTO SERTIFIKAT BerAKHLAK")</f>
        <v>ERDIAN YUSWANTO SERTIFIKAT BerAKHLAK</v>
      </c>
      <c r="K894" s="5" t="s">
        <v>6335</v>
      </c>
      <c r="L894" s="5" t="s">
        <v>8105</v>
      </c>
      <c r="M894" s="5" t="s">
        <v>8106</v>
      </c>
      <c r="N894" s="7" t="s">
        <v>8107</v>
      </c>
      <c r="O894" s="8" t="str">
        <f>HYPERLINK("https://drive.google.com/file/d/1LU5ZAFy0VCikYCDAo8cpcX4haKmwPvLM/view?usp=drivesdk","893_ERDIAN YUSWANTO _ SERTIFIKAT BIMTEK IPASN BerAKHLASK")</f>
        <v>893_ERDIAN YUSWANTO _ SERTIFIKAT BIMTEK IPASN BerAKHLASK</v>
      </c>
      <c r="P894" s="5" t="s">
        <v>8072</v>
      </c>
      <c r="Q894" s="5"/>
      <c r="R894" s="5"/>
      <c r="S894" s="5"/>
      <c r="T894" s="5"/>
    </row>
    <row r="895">
      <c r="A895" s="4">
        <v>45534.32758304398</v>
      </c>
      <c r="B895" s="5" t="s">
        <v>34</v>
      </c>
      <c r="D895" s="5" t="s">
        <v>280</v>
      </c>
      <c r="E895" s="5" t="s">
        <v>8108</v>
      </c>
      <c r="F895" s="5" t="s">
        <v>108</v>
      </c>
      <c r="G895" s="5" t="s">
        <v>8109</v>
      </c>
      <c r="H895" s="6" t="s">
        <v>8110</v>
      </c>
      <c r="I895" s="7" t="s">
        <v>8111</v>
      </c>
      <c r="J895" s="8" t="str">
        <f>HYPERLINK("https://drive.google.com/file/d/1bTj38pl9uApiInr_UU2UPKIE8XdmwcKv/view?usp=drivesdk","ELVI SUSANTI S. Kep SERTIFIKAT BerAKHLAK")</f>
        <v>ELVI SUSANTI S. Kep SERTIFIKAT BerAKHLAK</v>
      </c>
      <c r="K895" s="5" t="s">
        <v>6335</v>
      </c>
      <c r="L895" s="5" t="s">
        <v>8112</v>
      </c>
      <c r="M895" s="5" t="s">
        <v>8113</v>
      </c>
      <c r="N895" s="7" t="s">
        <v>8114</v>
      </c>
      <c r="O895" s="8" t="str">
        <f>HYPERLINK("https://drive.google.com/file/d/14R4rZjtcgt5jqYEbckpIkKdlILLI_I9d/view?usp=drivesdk","894_ELVI SUSANTI S. Kep _ SERTIFIKAT BIMTEK IPASN BerAKHLASK")</f>
        <v>894_ELVI SUSANTI S. Kep _ SERTIFIKAT BIMTEK IPASN BerAKHLASK</v>
      </c>
      <c r="P895" s="5" t="s">
        <v>8072</v>
      </c>
      <c r="Q895" s="5"/>
      <c r="R895" s="5"/>
      <c r="S895" s="5"/>
      <c r="T895" s="5"/>
    </row>
    <row r="896">
      <c r="A896" s="4">
        <v>45534.32758877314</v>
      </c>
      <c r="B896" s="5" t="s">
        <v>34</v>
      </c>
      <c r="D896" s="5" t="s">
        <v>4775</v>
      </c>
      <c r="E896" s="5" t="s">
        <v>8115</v>
      </c>
      <c r="F896" s="5" t="s">
        <v>37</v>
      </c>
      <c r="G896" s="5" t="s">
        <v>8116</v>
      </c>
      <c r="H896" s="6" t="s">
        <v>8117</v>
      </c>
      <c r="I896" s="7" t="s">
        <v>8118</v>
      </c>
      <c r="J896" s="8" t="str">
        <f>HYPERLINK("https://drive.google.com/file/d/10KZaFg8zdmR8lpXMLyfOdE9uaeLLYPG8/view?usp=drivesdk","HARI SETIAWAN  SERTIFIKAT BerAKHLAK")</f>
        <v>HARI SETIAWAN  SERTIFIKAT BerAKHLAK</v>
      </c>
      <c r="K896" s="5" t="s">
        <v>6335</v>
      </c>
      <c r="L896" s="5" t="s">
        <v>8119</v>
      </c>
      <c r="M896" s="5" t="s">
        <v>8120</v>
      </c>
      <c r="N896" s="7" t="s">
        <v>8121</v>
      </c>
      <c r="O896" s="8" t="str">
        <f>HYPERLINK("https://drive.google.com/file/d/1icH8f8qzXxBZgQn34xtIZuh1HCXavxQ0/view?usp=drivesdk","895_HARI SETIAWAN  _ SERTIFIKAT BIMTEK IPASN BerAKHLASK")</f>
        <v>895_HARI SETIAWAN  _ SERTIFIKAT BIMTEK IPASN BerAKHLASK</v>
      </c>
      <c r="P896" s="5" t="s">
        <v>8122</v>
      </c>
      <c r="Q896" s="5"/>
      <c r="R896" s="5"/>
      <c r="S896" s="5"/>
      <c r="T896" s="5"/>
    </row>
    <row r="897">
      <c r="A897" s="4">
        <v>45534.32759303241</v>
      </c>
      <c r="B897" s="5" t="s">
        <v>34</v>
      </c>
      <c r="D897" s="5" t="s">
        <v>35</v>
      </c>
      <c r="E897" s="5" t="s">
        <v>8123</v>
      </c>
      <c r="F897" s="5" t="s">
        <v>524</v>
      </c>
      <c r="G897" s="5" t="s">
        <v>8124</v>
      </c>
      <c r="H897" s="6" t="s">
        <v>8125</v>
      </c>
      <c r="I897" s="7" t="s">
        <v>8126</v>
      </c>
      <c r="J897" s="8" t="str">
        <f>HYPERLINK("https://drive.google.com/file/d/1KmnJKe_l4Tmd-4uOmY-8Yc-keStE2roH/view?usp=drivesdk","WANDI PRIATNA, A.Md. SERTIFIKAT BerAKHLAK")</f>
        <v>WANDI PRIATNA, A.Md. SERTIFIKAT BerAKHLAK</v>
      </c>
      <c r="K897" s="5" t="s">
        <v>6335</v>
      </c>
      <c r="L897" s="5" t="s">
        <v>8127</v>
      </c>
      <c r="M897" s="5" t="s">
        <v>8128</v>
      </c>
      <c r="N897" s="7" t="s">
        <v>8129</v>
      </c>
      <c r="O897" s="8" t="str">
        <f>HYPERLINK("https://drive.google.com/file/d/1e1p36v_N7pmuqXA6ZvZ1fW38Ely2GjlT/view?usp=drivesdk","896_WANDI PRIATNA, A.Md. _ SERTIFIKAT BIMTEK IPASN BerAKHLASK")</f>
        <v>896_WANDI PRIATNA, A.Md. _ SERTIFIKAT BIMTEK IPASN BerAKHLASK</v>
      </c>
      <c r="P897" s="5" t="s">
        <v>8122</v>
      </c>
      <c r="Q897" s="5"/>
      <c r="R897" s="5"/>
      <c r="S897" s="5"/>
      <c r="T897" s="5"/>
    </row>
    <row r="898">
      <c r="A898" s="4">
        <v>45534.32761403936</v>
      </c>
      <c r="B898" s="5" t="s">
        <v>34</v>
      </c>
      <c r="D898" s="5" t="s">
        <v>4775</v>
      </c>
      <c r="E898" s="5" t="s">
        <v>8130</v>
      </c>
      <c r="F898" s="5" t="s">
        <v>212</v>
      </c>
      <c r="G898" s="5" t="s">
        <v>8131</v>
      </c>
      <c r="H898" s="6" t="s">
        <v>8132</v>
      </c>
      <c r="I898" s="7" t="s">
        <v>8133</v>
      </c>
      <c r="J898" s="8" t="str">
        <f>HYPERLINK("https://drive.google.com/file/d/1yZltpQRvVGgoBepYbG-Z3CdYhJItx1NH/view?usp=drivesdk","RETNO KUSWIDANARTI SERTIFIKAT BerAKHLAK")</f>
        <v>RETNO KUSWIDANARTI SERTIFIKAT BerAKHLAK</v>
      </c>
      <c r="K898" s="5" t="s">
        <v>6335</v>
      </c>
      <c r="L898" s="5" t="s">
        <v>8134</v>
      </c>
      <c r="M898" s="5" t="s">
        <v>8135</v>
      </c>
      <c r="N898" s="7" t="s">
        <v>8136</v>
      </c>
      <c r="O898" s="8" t="str">
        <f>HYPERLINK("https://drive.google.com/file/d/1kXQDVdtu4Fb3rt_ca0dfJyrqGLT03JRF/view?usp=drivesdk","897_RETNO KUSWIDANARTI _ SERTIFIKAT BIMTEK IPASN BerAKHLASK")</f>
        <v>897_RETNO KUSWIDANARTI _ SERTIFIKAT BIMTEK IPASN BerAKHLASK</v>
      </c>
      <c r="P898" s="5" t="s">
        <v>8122</v>
      </c>
      <c r="Q898" s="5"/>
      <c r="R898" s="5"/>
      <c r="S898" s="5"/>
      <c r="T898" s="5"/>
    </row>
    <row r="899">
      <c r="A899" s="4">
        <v>45534.32762159722</v>
      </c>
      <c r="B899" s="5" t="s">
        <v>34</v>
      </c>
      <c r="D899" s="5" t="s">
        <v>4775</v>
      </c>
      <c r="E899" s="5" t="s">
        <v>8137</v>
      </c>
      <c r="F899" s="5" t="s">
        <v>72</v>
      </c>
      <c r="G899" s="5" t="s">
        <v>8138</v>
      </c>
      <c r="H899" s="6" t="s">
        <v>8139</v>
      </c>
      <c r="I899" s="7" t="s">
        <v>8140</v>
      </c>
      <c r="J899" s="8" t="str">
        <f>HYPERLINK("https://drive.google.com/file/d/1QXnWwqrUphDV1qEgHWlfZbHJAQtep9jv/view?usp=drivesdk","YUNI WIDIYANTI SERTIFIKAT BerAKHLAK")</f>
        <v>YUNI WIDIYANTI SERTIFIKAT BerAKHLAK</v>
      </c>
      <c r="K899" s="5" t="s">
        <v>6335</v>
      </c>
      <c r="L899" s="5" t="s">
        <v>8141</v>
      </c>
      <c r="M899" s="5" t="s">
        <v>8142</v>
      </c>
      <c r="N899" s="7" t="s">
        <v>8143</v>
      </c>
      <c r="O899" s="8" t="str">
        <f>HYPERLINK("https://drive.google.com/file/d/1L3IY8_GW78A6p8sZ2KHhrpX6Jp-J-fiV/view?usp=drivesdk","898_YUNI WIDIYANTI _ SERTIFIKAT BIMTEK IPASN BerAKHLASK")</f>
        <v>898_YUNI WIDIYANTI _ SERTIFIKAT BIMTEK IPASN BerAKHLASK</v>
      </c>
      <c r="P899" s="5" t="s">
        <v>8122</v>
      </c>
      <c r="Q899" s="5"/>
      <c r="R899" s="5"/>
      <c r="S899" s="5"/>
      <c r="T899" s="5"/>
    </row>
    <row r="900">
      <c r="A900" s="4">
        <v>45534.32763136574</v>
      </c>
      <c r="B900" s="5" t="s">
        <v>34</v>
      </c>
      <c r="D900" s="5" t="s">
        <v>604</v>
      </c>
      <c r="E900" s="5" t="s">
        <v>8144</v>
      </c>
      <c r="F900" s="5" t="s">
        <v>108</v>
      </c>
      <c r="G900" s="5" t="s">
        <v>8145</v>
      </c>
      <c r="H900" s="6" t="s">
        <v>8146</v>
      </c>
      <c r="I900" s="7" t="s">
        <v>8147</v>
      </c>
      <c r="J900" s="8" t="str">
        <f>HYPERLINK("https://drive.google.com/file/d/1QRcz0J7lRcGvDpxA775xvxd5PtlEbp8q/view?usp=drivesdk","BONITA SYAFITRI, S.Psi SERTIFIKAT BerAKHLAK")</f>
        <v>BONITA SYAFITRI, S.Psi SERTIFIKAT BerAKHLAK</v>
      </c>
      <c r="K900" s="5" t="s">
        <v>6335</v>
      </c>
      <c r="L900" s="5" t="s">
        <v>8148</v>
      </c>
      <c r="M900" s="5" t="s">
        <v>8149</v>
      </c>
      <c r="N900" s="7" t="s">
        <v>8150</v>
      </c>
      <c r="O900" s="8" t="str">
        <f>HYPERLINK("https://drive.google.com/file/d/1rMocAf0fz9axKn-3Hu_qxDUOgqrT_EQ7/view?usp=drivesdk","899_BONITA SYAFITRI, S.Psi _ SERTIFIKAT BIMTEK IPASN BerAKHLASK")</f>
        <v>899_BONITA SYAFITRI, S.Psi _ SERTIFIKAT BIMTEK IPASN BerAKHLASK</v>
      </c>
      <c r="P900" s="5" t="s">
        <v>8122</v>
      </c>
      <c r="Q900" s="5"/>
      <c r="R900" s="5"/>
      <c r="S900" s="5"/>
      <c r="T900" s="5"/>
    </row>
    <row r="901" hidden="1">
      <c r="A901" s="4">
        <v>45534.3276625463</v>
      </c>
      <c r="B901" s="5" t="s">
        <v>19</v>
      </c>
      <c r="C901" s="5" t="s">
        <v>466</v>
      </c>
      <c r="E901" s="5" t="s">
        <v>8151</v>
      </c>
      <c r="F901" s="5" t="s">
        <v>108</v>
      </c>
      <c r="G901" s="5" t="s">
        <v>8152</v>
      </c>
      <c r="H901" s="6" t="s">
        <v>8153</v>
      </c>
      <c r="I901" s="7" t="s">
        <v>8154</v>
      </c>
      <c r="J901" s="8" t="str">
        <f>HYPERLINK("https://drive.google.com/file/d/1qrfP5r2n4xE-N2_ZDHFVN519Sd0mmzaw/view?usp=drivesdk","LOISA FARIDA HERNAWATY GULTOM, S.KOM, M.M. SERTIFIKAT BerAKHLAK")</f>
        <v>LOISA FARIDA HERNAWATY GULTOM, S.KOM, M.M. SERTIFIKAT BerAKHLAK</v>
      </c>
      <c r="K901" s="5" t="s">
        <v>6373</v>
      </c>
      <c r="L901" s="5" t="s">
        <v>8155</v>
      </c>
      <c r="M901" s="5" t="s">
        <v>8156</v>
      </c>
      <c r="N901" s="7" t="s">
        <v>8157</v>
      </c>
      <c r="O901" s="8" t="str">
        <f>HYPERLINK("https://drive.google.com/file/d/1T6ijPwsVkMeuyNCWJ4JIQNBEasSW0Q7I/view?usp=drivesdk","900_LOISA FARIDA HERNAWATY GULTOM, S.KOM, M.M. _ SERTIFIKAT BIMTEK IPASN BerAKHLASK")</f>
        <v>900_LOISA FARIDA HERNAWATY GULTOM, S.KOM, M.M. _ SERTIFIKAT BIMTEK IPASN BerAKHLASK</v>
      </c>
      <c r="P901" s="5" t="s">
        <v>8158</v>
      </c>
      <c r="Q901" s="5"/>
      <c r="R901" s="5"/>
      <c r="S901" s="5"/>
      <c r="T901" s="5"/>
    </row>
    <row r="902">
      <c r="A902" s="4">
        <v>45534.32767362268</v>
      </c>
      <c r="B902" s="5" t="s">
        <v>34</v>
      </c>
      <c r="D902" s="5" t="s">
        <v>1692</v>
      </c>
      <c r="E902" s="5" t="s">
        <v>8159</v>
      </c>
      <c r="F902" s="5" t="s">
        <v>22</v>
      </c>
      <c r="G902" s="5" t="s">
        <v>8160</v>
      </c>
      <c r="H902" s="6" t="s">
        <v>8161</v>
      </c>
      <c r="I902" s="7" t="s">
        <v>8162</v>
      </c>
      <c r="J902" s="8" t="str">
        <f>HYPERLINK("https://drive.google.com/file/d/1HXFFBv_T5_TavMjrnrKq8SrZsPQyZj3S/view?usp=drivesdk","dr. VICTORINA TABITHA LARWUY SERTIFIKAT BerAKHLAK")</f>
        <v>dr. VICTORINA TABITHA LARWUY SERTIFIKAT BerAKHLAK</v>
      </c>
      <c r="K902" s="5" t="s">
        <v>6335</v>
      </c>
      <c r="L902" s="5" t="s">
        <v>8163</v>
      </c>
      <c r="M902" s="5" t="s">
        <v>8164</v>
      </c>
      <c r="N902" s="7" t="s">
        <v>8165</v>
      </c>
      <c r="O902" s="8" t="str">
        <f>HYPERLINK("https://drive.google.com/file/d/1RkvNsezDUKjTsIQgEZwH9Z_wLeLizBry/view?usp=drivesdk","901_dr. VICTORINA TABITHA LARWUY _ SERTIFIKAT BIMTEK IPASN BerAKHLASK")</f>
        <v>901_dr. VICTORINA TABITHA LARWUY _ SERTIFIKAT BIMTEK IPASN BerAKHLASK</v>
      </c>
      <c r="P902" s="5" t="s">
        <v>8158</v>
      </c>
      <c r="Q902" s="5"/>
      <c r="R902" s="5"/>
      <c r="S902" s="5"/>
      <c r="T902" s="5"/>
    </row>
    <row r="903">
      <c r="A903" s="4">
        <v>45534.32767770834</v>
      </c>
      <c r="B903" s="5" t="s">
        <v>34</v>
      </c>
      <c r="D903" s="5" t="s">
        <v>280</v>
      </c>
      <c r="E903" s="5" t="s">
        <v>8166</v>
      </c>
      <c r="F903" s="5" t="s">
        <v>37</v>
      </c>
      <c r="G903" s="5" t="s">
        <v>8167</v>
      </c>
      <c r="H903" s="6" t="s">
        <v>8168</v>
      </c>
      <c r="I903" s="7" t="s">
        <v>8169</v>
      </c>
      <c r="J903" s="8" t="str">
        <f>HYPERLINK("https://drive.google.com/file/d/1vXoQUl_ghurKDk691l1Xr8uKjb58K8DY/view?usp=drivesdk","RIKA RAHMA SARI SERTIFIKAT BerAKHLAK")</f>
        <v>RIKA RAHMA SARI SERTIFIKAT BerAKHLAK</v>
      </c>
      <c r="K903" s="5" t="s">
        <v>6335</v>
      </c>
      <c r="L903" s="5" t="s">
        <v>8170</v>
      </c>
      <c r="M903" s="5" t="s">
        <v>8171</v>
      </c>
      <c r="N903" s="7" t="s">
        <v>8172</v>
      </c>
      <c r="O903" s="8" t="str">
        <f>HYPERLINK("https://drive.google.com/file/d/1WYOEsNvMcdila_GqDigpHdN7egC41MtY/view?usp=drivesdk","902_RIKA RAHMA SARI _ SERTIFIKAT BIMTEK IPASN BerAKHLASK")</f>
        <v>902_RIKA RAHMA SARI _ SERTIFIKAT BIMTEK IPASN BerAKHLASK</v>
      </c>
      <c r="P903" s="5" t="s">
        <v>8158</v>
      </c>
      <c r="Q903" s="5"/>
      <c r="R903" s="5"/>
      <c r="S903" s="5"/>
      <c r="T903" s="5"/>
    </row>
    <row r="904">
      <c r="A904" s="4">
        <v>45534.32770332176</v>
      </c>
      <c r="B904" s="5" t="s">
        <v>34</v>
      </c>
      <c r="D904" s="5" t="s">
        <v>1206</v>
      </c>
      <c r="E904" s="5" t="s">
        <v>8173</v>
      </c>
      <c r="F904" s="5" t="s">
        <v>37</v>
      </c>
      <c r="G904" s="5" t="s">
        <v>8174</v>
      </c>
      <c r="H904" s="6" t="s">
        <v>8175</v>
      </c>
      <c r="I904" s="7" t="s">
        <v>8176</v>
      </c>
      <c r="J904" s="8" t="str">
        <f>HYPERLINK("https://drive.google.com/file/d/14CSfhxEgbAGK7Q3S8FeXOYoVrBUK0gpW/view?usp=drivesdk","ANDY MOCHAMAD KURNIA SERTIFIKAT BerAKHLAK")</f>
        <v>ANDY MOCHAMAD KURNIA SERTIFIKAT BerAKHLAK</v>
      </c>
      <c r="K904" s="5" t="s">
        <v>6335</v>
      </c>
      <c r="L904" s="5" t="s">
        <v>8177</v>
      </c>
      <c r="M904" s="5" t="s">
        <v>8178</v>
      </c>
      <c r="N904" s="7" t="s">
        <v>8179</v>
      </c>
      <c r="O904" s="8" t="str">
        <f>HYPERLINK("https://drive.google.com/file/d/1J9EmSt4JxN-vaodsNVKBro0K6IVF3TGP/view?usp=drivesdk","903_ANDY MOCHAMAD KURNIA _ SERTIFIKAT BIMTEK IPASN BerAKHLASK")</f>
        <v>903_ANDY MOCHAMAD KURNIA _ SERTIFIKAT BIMTEK IPASN BerAKHLASK</v>
      </c>
      <c r="P904" s="5" t="s">
        <v>8158</v>
      </c>
      <c r="Q904" s="5"/>
      <c r="R904" s="5"/>
      <c r="S904" s="5"/>
      <c r="T904" s="5"/>
    </row>
    <row r="905">
      <c r="A905" s="4">
        <v>45534.32771077546</v>
      </c>
      <c r="B905" s="5" t="s">
        <v>34</v>
      </c>
      <c r="D905" s="5" t="s">
        <v>1206</v>
      </c>
      <c r="E905" s="5" t="s">
        <v>8180</v>
      </c>
      <c r="F905" s="5" t="s">
        <v>120</v>
      </c>
      <c r="G905" s="5" t="s">
        <v>8181</v>
      </c>
      <c r="H905" s="6" t="s">
        <v>8182</v>
      </c>
      <c r="I905" s="7" t="s">
        <v>8183</v>
      </c>
      <c r="J905" s="8" t="str">
        <f>HYPERLINK("https://drive.google.com/file/d/1UvlQsu3TpclGnG2_J4lLUYJKPxl6hu32/view?usp=drivesdk","UMMI MAISAROH SERTIFIKAT BerAKHLAK")</f>
        <v>UMMI MAISAROH SERTIFIKAT BerAKHLAK</v>
      </c>
      <c r="K905" s="5" t="s">
        <v>6335</v>
      </c>
      <c r="L905" s="5" t="s">
        <v>8184</v>
      </c>
      <c r="M905" s="5" t="s">
        <v>8185</v>
      </c>
      <c r="N905" s="7" t="s">
        <v>8186</v>
      </c>
      <c r="O905" s="8" t="str">
        <f>HYPERLINK("https://drive.google.com/file/d/1JjKSY9oK_-Mwq4vEQZ97Ed1SeBWqpiE2/view?usp=drivesdk","904_UMMI MAISAROH _ SERTIFIKAT BIMTEK IPASN BerAKHLASK")</f>
        <v>904_UMMI MAISAROH _ SERTIFIKAT BIMTEK IPASN BerAKHLASK</v>
      </c>
      <c r="P905" s="5" t="s">
        <v>8158</v>
      </c>
      <c r="Q905" s="5"/>
      <c r="R905" s="5"/>
      <c r="S905" s="5"/>
      <c r="T905" s="5"/>
    </row>
    <row r="906">
      <c r="A906" s="4">
        <v>45534.32772197916</v>
      </c>
      <c r="B906" s="5" t="s">
        <v>34</v>
      </c>
      <c r="D906" s="5" t="s">
        <v>4775</v>
      </c>
      <c r="E906" s="5" t="s">
        <v>8187</v>
      </c>
      <c r="F906" s="5" t="s">
        <v>108</v>
      </c>
      <c r="G906" s="5" t="s">
        <v>8188</v>
      </c>
      <c r="H906" s="6" t="s">
        <v>8189</v>
      </c>
      <c r="I906" s="7" t="s">
        <v>8190</v>
      </c>
      <c r="J906" s="8" t="str">
        <f>HYPERLINK("https://drive.google.com/file/d/1f1wCBTvP7Ifvn3C9D-VCiadiwoHWTSny/view?usp=drivesdk","PUSPITA SARI, S.H. SERTIFIKAT BerAKHLAK")</f>
        <v>PUSPITA SARI, S.H. SERTIFIKAT BerAKHLAK</v>
      </c>
      <c r="K906" s="5" t="s">
        <v>6335</v>
      </c>
      <c r="L906" s="5" t="s">
        <v>8191</v>
      </c>
      <c r="M906" s="5" t="s">
        <v>8192</v>
      </c>
      <c r="N906" s="7" t="s">
        <v>8193</v>
      </c>
      <c r="O906" s="8" t="str">
        <f>HYPERLINK("https://drive.google.com/file/d/1RDOjWlqnSA54xyBORpUot6T0xkFaa1dk/view?usp=drivesdk","905_PUSPITA SARI, S.H. _ SERTIFIKAT BIMTEK IPASN BerAKHLASK")</f>
        <v>905_PUSPITA SARI, S.H. _ SERTIFIKAT BIMTEK IPASN BerAKHLASK</v>
      </c>
      <c r="P906" s="5" t="s">
        <v>8194</v>
      </c>
      <c r="Q906" s="5"/>
      <c r="R906" s="5"/>
      <c r="S906" s="5"/>
      <c r="T906" s="5"/>
    </row>
    <row r="907">
      <c r="A907" s="4">
        <v>45534.327726550924</v>
      </c>
      <c r="B907" s="5" t="s">
        <v>34</v>
      </c>
      <c r="D907" s="5" t="s">
        <v>35</v>
      </c>
      <c r="E907" s="5" t="s">
        <v>8195</v>
      </c>
      <c r="F907" s="5" t="s">
        <v>37</v>
      </c>
      <c r="G907" s="5" t="s">
        <v>8196</v>
      </c>
      <c r="H907" s="6" t="s">
        <v>8197</v>
      </c>
      <c r="I907" s="7" t="s">
        <v>8198</v>
      </c>
      <c r="J907" s="8" t="str">
        <f>HYPERLINK("https://drive.google.com/file/d/1U9VHuEpU-yeIHsoqA-CWyZaAw3LnWatX/view?usp=drivesdk","MOHAMMAD RAMDHAN SERTIFIKAT BerAKHLAK")</f>
        <v>MOHAMMAD RAMDHAN SERTIFIKAT BerAKHLAK</v>
      </c>
      <c r="K907" s="5" t="s">
        <v>6335</v>
      </c>
      <c r="L907" s="5" t="s">
        <v>8199</v>
      </c>
      <c r="M907" s="5" t="s">
        <v>8200</v>
      </c>
      <c r="N907" s="7" t="s">
        <v>8201</v>
      </c>
      <c r="O907" s="8" t="str">
        <f>HYPERLINK("https://drive.google.com/file/d/14vE-yoqB9rXN5xEbHfqOfmCFXI10iNKn/view?usp=drivesdk","906_MOHAMMAD RAMDHAN _ SERTIFIKAT BIMTEK IPASN BerAKHLASK")</f>
        <v>906_MOHAMMAD RAMDHAN _ SERTIFIKAT BIMTEK IPASN BerAKHLASK</v>
      </c>
      <c r="P907" s="5" t="s">
        <v>8194</v>
      </c>
      <c r="Q907" s="5"/>
      <c r="R907" s="5"/>
      <c r="S907" s="5"/>
      <c r="T907" s="5"/>
    </row>
    <row r="908">
      <c r="A908" s="4">
        <v>45534.32774400463</v>
      </c>
      <c r="B908" s="5" t="s">
        <v>34</v>
      </c>
      <c r="D908" s="5" t="s">
        <v>1206</v>
      </c>
      <c r="E908" s="5" t="s">
        <v>8202</v>
      </c>
      <c r="F908" s="5" t="s">
        <v>37</v>
      </c>
      <c r="G908" s="5" t="s">
        <v>8203</v>
      </c>
      <c r="H908" s="6" t="s">
        <v>8204</v>
      </c>
      <c r="I908" s="7" t="s">
        <v>8205</v>
      </c>
      <c r="J908" s="8" t="str">
        <f>HYPERLINK("https://drive.google.com/file/d/1mvBKJOnNkjRGIOweynJp3Vtj-ZuVbt8O/view?usp=drivesdk","DEWI INDAH MAYASARI, S.H. SERTIFIKAT BerAKHLAK")</f>
        <v>DEWI INDAH MAYASARI, S.H. SERTIFIKAT BerAKHLAK</v>
      </c>
      <c r="K908" s="5" t="s">
        <v>6335</v>
      </c>
      <c r="L908" s="5" t="s">
        <v>8206</v>
      </c>
      <c r="M908" s="5" t="s">
        <v>8207</v>
      </c>
      <c r="N908" s="7" t="s">
        <v>8208</v>
      </c>
      <c r="O908" s="8" t="str">
        <f>HYPERLINK("https://drive.google.com/file/d/1D8wIuLL10FsPrY7CJxQvO9OGIEBr9RcQ/view?usp=drivesdk","907_DEWI INDAH MAYASARI, S.H. _ SERTIFIKAT BIMTEK IPASN BerAKHLASK")</f>
        <v>907_DEWI INDAH MAYASARI, S.H. _ SERTIFIKAT BIMTEK IPASN BerAKHLASK</v>
      </c>
      <c r="P908" s="5" t="s">
        <v>8194</v>
      </c>
      <c r="Q908" s="5"/>
      <c r="R908" s="5"/>
      <c r="S908" s="5"/>
      <c r="T908" s="5"/>
    </row>
    <row r="909">
      <c r="A909" s="4">
        <v>45534.32774579861</v>
      </c>
      <c r="B909" s="5" t="s">
        <v>34</v>
      </c>
      <c r="D909" s="5" t="s">
        <v>580</v>
      </c>
      <c r="E909" s="5" t="s">
        <v>8209</v>
      </c>
      <c r="F909" s="5" t="s">
        <v>212</v>
      </c>
      <c r="G909" s="5" t="s">
        <v>8210</v>
      </c>
      <c r="H909" s="6" t="s">
        <v>8211</v>
      </c>
      <c r="I909" s="7" t="s">
        <v>8212</v>
      </c>
      <c r="J909" s="8" t="str">
        <f>HYPERLINK("https://drive.google.com/file/d/1tPvjTNTfbNz6Ikk0q2yag4EB7esdjxfb/view?usp=drivesdk","ANAK AGUNG ISTRI ANOM SUTARMINI  SERTIFIKAT BerAKHLAK")</f>
        <v>ANAK AGUNG ISTRI ANOM SUTARMINI  SERTIFIKAT BerAKHLAK</v>
      </c>
      <c r="K909" s="5" t="s">
        <v>6335</v>
      </c>
      <c r="L909" s="5" t="s">
        <v>8213</v>
      </c>
      <c r="M909" s="5" t="s">
        <v>8214</v>
      </c>
      <c r="N909" s="7" t="s">
        <v>8215</v>
      </c>
      <c r="O909" s="8" t="str">
        <f>HYPERLINK("https://drive.google.com/file/d/18wtl8OFjkjT20Mn3fJpraE6jA63DtnHf/view?usp=drivesdk","908_ANAK AGUNG ISTRI ANOM SUTARMINI  _ SERTIFIKAT BIMTEK IPASN BerAKHLASK")</f>
        <v>908_ANAK AGUNG ISTRI ANOM SUTARMINI  _ SERTIFIKAT BIMTEK IPASN BerAKHLASK</v>
      </c>
      <c r="P909" s="5" t="s">
        <v>8194</v>
      </c>
      <c r="Q909" s="5"/>
      <c r="R909" s="5"/>
      <c r="S909" s="5"/>
      <c r="T909" s="5"/>
    </row>
    <row r="910">
      <c r="A910" s="4">
        <v>45534.32774922454</v>
      </c>
      <c r="B910" s="5" t="s">
        <v>34</v>
      </c>
      <c r="D910" s="5" t="s">
        <v>1206</v>
      </c>
      <c r="E910" s="5" t="s">
        <v>8216</v>
      </c>
      <c r="F910" s="5" t="s">
        <v>212</v>
      </c>
      <c r="G910" s="5" t="s">
        <v>8217</v>
      </c>
      <c r="H910" s="6" t="s">
        <v>8218</v>
      </c>
      <c r="I910" s="7" t="s">
        <v>8219</v>
      </c>
      <c r="J910" s="8" t="str">
        <f>HYPERLINK("https://drive.google.com/file/d/13LaS53eBAYKNuArTFyp-qLBncql3LmnL/view?usp=drivesdk","WIWOEK INDRA ANDRIANI SERTIFIKAT BerAKHLAK")</f>
        <v>WIWOEK INDRA ANDRIANI SERTIFIKAT BerAKHLAK</v>
      </c>
      <c r="K910" s="5" t="s">
        <v>6335</v>
      </c>
      <c r="L910" s="5" t="s">
        <v>8220</v>
      </c>
      <c r="M910" s="5" t="s">
        <v>8221</v>
      </c>
      <c r="N910" s="7" t="s">
        <v>8222</v>
      </c>
      <c r="O910" s="8" t="str">
        <f>HYPERLINK("https://drive.google.com/file/d/11lRIozfQpvZ4ACXKX4iU8Gr9vrihJCEa/view?usp=drivesdk","909_WIWOEK INDRA ANDRIANI _ SERTIFIKAT BIMTEK IPASN BerAKHLASK")</f>
        <v>909_WIWOEK INDRA ANDRIANI _ SERTIFIKAT BIMTEK IPASN BerAKHLASK</v>
      </c>
      <c r="P910" s="5" t="s">
        <v>8194</v>
      </c>
      <c r="Q910" s="5"/>
      <c r="R910" s="5"/>
      <c r="S910" s="5"/>
      <c r="T910" s="5"/>
    </row>
    <row r="911">
      <c r="A911" s="4">
        <v>45534.32775914352</v>
      </c>
      <c r="B911" s="5" t="s">
        <v>34</v>
      </c>
      <c r="D911" s="5" t="s">
        <v>1206</v>
      </c>
      <c r="E911" s="5" t="s">
        <v>8223</v>
      </c>
      <c r="F911" s="5" t="s">
        <v>212</v>
      </c>
      <c r="G911" s="5" t="s">
        <v>8224</v>
      </c>
      <c r="H911" s="6" t="s">
        <v>8225</v>
      </c>
      <c r="K911" s="5" t="s">
        <v>8226</v>
      </c>
      <c r="M911" s="5" t="s">
        <v>8227</v>
      </c>
      <c r="N911" s="7" t="s">
        <v>8228</v>
      </c>
      <c r="O911" s="8" t="str">
        <f>HYPERLINK("https://drive.google.com/file/d/1pttu4Tw8Fw8VBbrswbP3V_3ttJiBvUSV/view?usp=drivesdk","910_IPA KUSTININGSIH  _ SERTIFIKAT BIMTEK IPASN BerAKHLASK")</f>
        <v>910_IPA KUSTININGSIH  _ SERTIFIKAT BIMTEK IPASN BerAKHLASK</v>
      </c>
      <c r="P911" s="5" t="s">
        <v>8229</v>
      </c>
      <c r="Q911" s="5"/>
      <c r="R911" s="5"/>
      <c r="S911" s="5"/>
      <c r="T911" s="5"/>
    </row>
    <row r="912">
      <c r="A912" s="4">
        <v>45534.327760960645</v>
      </c>
      <c r="B912" s="5" t="s">
        <v>34</v>
      </c>
      <c r="D912" s="5" t="s">
        <v>4775</v>
      </c>
      <c r="E912" s="5" t="s">
        <v>8230</v>
      </c>
      <c r="F912" s="5" t="s">
        <v>72</v>
      </c>
      <c r="G912" s="5" t="s">
        <v>8231</v>
      </c>
      <c r="H912" s="6" t="s">
        <v>8232</v>
      </c>
      <c r="K912" s="5" t="s">
        <v>8226</v>
      </c>
      <c r="M912" s="5" t="s">
        <v>8233</v>
      </c>
      <c r="N912" s="7" t="s">
        <v>8234</v>
      </c>
      <c r="O912" s="8" t="str">
        <f>HYPERLINK("https://drive.google.com/file/d/1kY-yfWItIAeAldQ9vSLR5o7saew5nJfC/view?usp=drivesdk","911_DIAN FITRIANISARI,S.E. _ SERTIFIKAT BIMTEK IPASN BerAKHLASK")</f>
        <v>911_DIAN FITRIANISARI,S.E. _ SERTIFIKAT BIMTEK IPASN BerAKHLASK</v>
      </c>
      <c r="P912" s="5" t="s">
        <v>8229</v>
      </c>
      <c r="Q912" s="5"/>
      <c r="R912" s="5"/>
      <c r="S912" s="5"/>
      <c r="T912" s="5"/>
    </row>
    <row r="913">
      <c r="A913" s="4">
        <v>45534.32777422454</v>
      </c>
      <c r="B913" s="5" t="s">
        <v>34</v>
      </c>
      <c r="D913" s="5" t="s">
        <v>1206</v>
      </c>
      <c r="E913" s="5" t="s">
        <v>8235</v>
      </c>
      <c r="F913" s="5" t="s">
        <v>199</v>
      </c>
      <c r="G913" s="5" t="s">
        <v>8236</v>
      </c>
      <c r="H913" s="6" t="s">
        <v>8237</v>
      </c>
      <c r="I913" s="7" t="s">
        <v>8238</v>
      </c>
      <c r="J913" s="8" t="str">
        <f>HYPERLINK("https://drive.google.com/file/d/1C3lRVs_Zzqf05VPT1PyMobPSPBoaM1tv/view?usp=drivesdk","SEPTIMIA AMBARWATI, SH  SERTIFIKAT BerAKHLAK")</f>
        <v>SEPTIMIA AMBARWATI, SH  SERTIFIKAT BerAKHLAK</v>
      </c>
      <c r="K913" s="5" t="s">
        <v>6335</v>
      </c>
      <c r="L913" s="5" t="s">
        <v>8239</v>
      </c>
      <c r="M913" s="5" t="s">
        <v>8240</v>
      </c>
      <c r="N913" s="7" t="s">
        <v>8241</v>
      </c>
      <c r="O913" s="8" t="str">
        <f>HYPERLINK("https://drive.google.com/file/d/1eO87Ii-rD0C7fWHlPOh9lrhLOTHoTUHl/view?usp=drivesdk","912_SEPTIMIA AMBARWATI, SH  _ SERTIFIKAT BIMTEK IPASN BerAKHLASK")</f>
        <v>912_SEPTIMIA AMBARWATI, SH  _ SERTIFIKAT BIMTEK IPASN BerAKHLASK</v>
      </c>
      <c r="P913" s="5" t="s">
        <v>8229</v>
      </c>
      <c r="Q913" s="5"/>
      <c r="R913" s="5"/>
      <c r="S913" s="5"/>
      <c r="T913" s="5"/>
    </row>
    <row r="914">
      <c r="A914" s="4">
        <v>45534.32778497685</v>
      </c>
      <c r="B914" s="5" t="s">
        <v>34</v>
      </c>
      <c r="D914" s="5" t="s">
        <v>4775</v>
      </c>
      <c r="E914" s="5" t="s">
        <v>8242</v>
      </c>
      <c r="F914" s="5" t="s">
        <v>212</v>
      </c>
      <c r="G914" s="5" t="s">
        <v>8243</v>
      </c>
      <c r="H914" s="6" t="s">
        <v>8244</v>
      </c>
      <c r="I914" s="7" t="s">
        <v>8245</v>
      </c>
      <c r="J914" s="8" t="str">
        <f>HYPERLINK("https://drive.google.com/file/d/1ToE2PqQedJeC_697uTaN1nEHY_HBFo3L/view?usp=drivesdk","RETNO AMBARSARI SERTIFIKAT BerAKHLAK")</f>
        <v>RETNO AMBARSARI SERTIFIKAT BerAKHLAK</v>
      </c>
      <c r="K914" s="5" t="s">
        <v>6335</v>
      </c>
      <c r="L914" s="5" t="s">
        <v>8246</v>
      </c>
      <c r="M914" s="5" t="s">
        <v>8247</v>
      </c>
      <c r="N914" s="7" t="s">
        <v>8248</v>
      </c>
      <c r="O914" s="8" t="str">
        <f>HYPERLINK("https://drive.google.com/file/d/1m-crwriJghgDIBLYGB0V8bEWaYIQYwE8/view?usp=drivesdk","913_RETNO AMBARSARI _ SERTIFIKAT BIMTEK IPASN BerAKHLASK")</f>
        <v>913_RETNO AMBARSARI _ SERTIFIKAT BIMTEK IPASN BerAKHLASK</v>
      </c>
      <c r="P914" s="5" t="s">
        <v>8229</v>
      </c>
      <c r="Q914" s="5"/>
      <c r="R914" s="5"/>
      <c r="S914" s="5"/>
      <c r="T914" s="5"/>
    </row>
    <row r="915">
      <c r="A915" s="4">
        <v>45534.32782680556</v>
      </c>
      <c r="B915" s="5" t="s">
        <v>34</v>
      </c>
      <c r="D915" s="5" t="s">
        <v>2903</v>
      </c>
      <c r="E915" s="5" t="s">
        <v>8249</v>
      </c>
      <c r="F915" s="5" t="s">
        <v>72</v>
      </c>
      <c r="G915" s="5" t="s">
        <v>8250</v>
      </c>
      <c r="H915" s="6" t="s">
        <v>8251</v>
      </c>
      <c r="I915" s="7" t="s">
        <v>8252</v>
      </c>
      <c r="J915" s="8" t="str">
        <f>HYPERLINK("https://drive.google.com/file/d/1iktXEPhM0bhnl1DYSOZio1wBnVHUCUe6/view?usp=drivesdk","HUSNI THAMRIN,S,SOS SERTIFIKAT BerAKHLAK")</f>
        <v>HUSNI THAMRIN,S,SOS SERTIFIKAT BerAKHLAK</v>
      </c>
      <c r="K915" s="5" t="s">
        <v>6335</v>
      </c>
      <c r="L915" s="5" t="s">
        <v>8253</v>
      </c>
      <c r="M915" s="5" t="s">
        <v>8254</v>
      </c>
      <c r="N915" s="7" t="s">
        <v>8255</v>
      </c>
      <c r="O915" s="8" t="str">
        <f>HYPERLINK("https://drive.google.com/file/d/1oDSWzy_r2tulSDi0rGX4TZQozVQNyjk9/view?usp=drivesdk","914_HUSNI THAMRIN,S,SOS _ SERTIFIKAT BIMTEK IPASN BerAKHLASK")</f>
        <v>914_HUSNI THAMRIN,S,SOS _ SERTIFIKAT BIMTEK IPASN BerAKHLASK</v>
      </c>
      <c r="P915" s="5" t="s">
        <v>8229</v>
      </c>
      <c r="Q915" s="5"/>
      <c r="R915" s="5"/>
      <c r="S915" s="5"/>
      <c r="T915" s="5"/>
    </row>
    <row r="916">
      <c r="A916" s="4">
        <v>45534.327839861115</v>
      </c>
      <c r="B916" s="5" t="s">
        <v>34</v>
      </c>
      <c r="D916" s="5" t="s">
        <v>3849</v>
      </c>
      <c r="E916" s="5" t="s">
        <v>8256</v>
      </c>
      <c r="F916" s="5" t="s">
        <v>524</v>
      </c>
      <c r="G916" s="5" t="s">
        <v>8257</v>
      </c>
      <c r="H916" s="6" t="s">
        <v>8258</v>
      </c>
      <c r="I916" s="7" t="s">
        <v>8259</v>
      </c>
      <c r="J916" s="8" t="str">
        <f>HYPERLINK("https://drive.google.com/file/d/1i9abN036BZ9rLG-4N2UK5Dp8Qh-gh1Fs/view?usp=drivesdk","R.TRIWIDA MARLINAWATI SERTIFIKAT BerAKHLAK")</f>
        <v>R.TRIWIDA MARLINAWATI SERTIFIKAT BerAKHLAK</v>
      </c>
      <c r="K916" s="5" t="s">
        <v>6335</v>
      </c>
      <c r="L916" s="5" t="s">
        <v>8260</v>
      </c>
      <c r="M916" s="5" t="s">
        <v>8261</v>
      </c>
      <c r="N916" s="7" t="s">
        <v>8262</v>
      </c>
      <c r="O916" s="8" t="str">
        <f>HYPERLINK("https://drive.google.com/file/d/1BhmCgXS6iU7NuB0431XhiEhNS0eKFnn2/view?usp=drivesdk","915_R.TRIWIDA MARLINAWATI _ SERTIFIKAT BIMTEK IPASN BerAKHLASK")</f>
        <v>915_R.TRIWIDA MARLINAWATI _ SERTIFIKAT BIMTEK IPASN BerAKHLASK</v>
      </c>
      <c r="P916" s="5" t="s">
        <v>8229</v>
      </c>
      <c r="Q916" s="5"/>
      <c r="R916" s="5"/>
      <c r="S916" s="5"/>
      <c r="T916" s="5"/>
    </row>
    <row r="917">
      <c r="A917" s="4">
        <v>45534.32786641204</v>
      </c>
      <c r="B917" s="5" t="s">
        <v>34</v>
      </c>
      <c r="D917" s="5" t="s">
        <v>1456</v>
      </c>
      <c r="E917" s="5" t="s">
        <v>8263</v>
      </c>
      <c r="F917" s="5" t="s">
        <v>108</v>
      </c>
      <c r="G917" s="5" t="s">
        <v>8264</v>
      </c>
      <c r="H917" s="6" t="s">
        <v>8265</v>
      </c>
      <c r="I917" s="7" t="s">
        <v>8266</v>
      </c>
      <c r="J917" s="8" t="str">
        <f>HYPERLINK("https://drive.google.com/file/d/17aJx93VZ3pFVIB6UXcwuWY9sSq7FdHRS/view?usp=drivesdk","MERRY ANGGRAINI AMIN SERTIFIKAT BerAKHLAK")</f>
        <v>MERRY ANGGRAINI AMIN SERTIFIKAT BerAKHLAK</v>
      </c>
      <c r="K917" s="5" t="s">
        <v>6335</v>
      </c>
      <c r="L917" s="5" t="s">
        <v>8267</v>
      </c>
      <c r="M917" s="5" t="s">
        <v>8268</v>
      </c>
      <c r="N917" s="7" t="s">
        <v>8269</v>
      </c>
      <c r="O917" s="8" t="str">
        <f>HYPERLINK("https://drive.google.com/file/d/1Ip8OvjcDrHmqI2NYhvhPX1Rs_sx5gEaM/view?usp=drivesdk","916_MERRY ANGGRAINI AMIN _ SERTIFIKAT BIMTEK IPASN BerAKHLASK")</f>
        <v>916_MERRY ANGGRAINI AMIN _ SERTIFIKAT BIMTEK IPASN BerAKHLASK</v>
      </c>
      <c r="P917" s="5" t="s">
        <v>8270</v>
      </c>
      <c r="Q917" s="5"/>
      <c r="R917" s="5"/>
      <c r="S917" s="5"/>
      <c r="T917" s="5"/>
    </row>
    <row r="918">
      <c r="A918" s="4">
        <v>45534.32788037037</v>
      </c>
      <c r="B918" s="5" t="s">
        <v>34</v>
      </c>
      <c r="D918" s="5" t="s">
        <v>35</v>
      </c>
      <c r="E918" s="5" t="s">
        <v>8271</v>
      </c>
      <c r="F918" s="5" t="s">
        <v>108</v>
      </c>
      <c r="G918" s="5" t="s">
        <v>8272</v>
      </c>
      <c r="H918" s="6" t="s">
        <v>8273</v>
      </c>
      <c r="I918" s="7" t="s">
        <v>8274</v>
      </c>
      <c r="J918" s="8" t="str">
        <f>HYPERLINK("https://drive.google.com/file/d/1OKq6W7RGo5SLNbZ2vSgU-Oq5AQyflllG/view?usp=drivesdk","NURSRILESTARI SERTIFIKAT BerAKHLAK")</f>
        <v>NURSRILESTARI SERTIFIKAT BerAKHLAK</v>
      </c>
      <c r="K918" s="5" t="s">
        <v>6335</v>
      </c>
      <c r="L918" s="5" t="s">
        <v>8275</v>
      </c>
      <c r="M918" s="5" t="s">
        <v>8276</v>
      </c>
      <c r="N918" s="7" t="s">
        <v>8277</v>
      </c>
      <c r="O918" s="8" t="str">
        <f>HYPERLINK("https://drive.google.com/file/d/1H1bhA6pRgrSGB9tAFgcmtWg3YVZcsnAd/view?usp=drivesdk","917_NURSRILESTARI _ SERTIFIKAT BIMTEK IPASN BerAKHLASK")</f>
        <v>917_NURSRILESTARI _ SERTIFIKAT BIMTEK IPASN BerAKHLASK</v>
      </c>
      <c r="P918" s="5" t="s">
        <v>8270</v>
      </c>
      <c r="Q918" s="5"/>
      <c r="R918" s="5"/>
      <c r="S918" s="5"/>
      <c r="T918" s="5"/>
    </row>
    <row r="919">
      <c r="A919" s="4">
        <v>45534.32791353009</v>
      </c>
      <c r="B919" s="5" t="s">
        <v>34</v>
      </c>
      <c r="D919" s="5" t="s">
        <v>280</v>
      </c>
      <c r="E919" s="5" t="s">
        <v>8278</v>
      </c>
      <c r="F919" s="5" t="s">
        <v>37</v>
      </c>
      <c r="G919" s="5" t="s">
        <v>8279</v>
      </c>
      <c r="H919" s="6" t="s">
        <v>8280</v>
      </c>
      <c r="I919" s="7" t="s">
        <v>8281</v>
      </c>
      <c r="J919" s="8" t="str">
        <f>HYPERLINK("https://drive.google.com/file/d/1i8_WBC6-BrG0XtnFgFJu65L0PuQG69TV/view?usp=drivesdk","DIAN OKTARIA RESTIANI SERTIFIKAT BerAKHLAK")</f>
        <v>DIAN OKTARIA RESTIANI SERTIFIKAT BerAKHLAK</v>
      </c>
      <c r="K919" s="5" t="s">
        <v>6335</v>
      </c>
      <c r="L919" s="5" t="s">
        <v>8282</v>
      </c>
      <c r="M919" s="5" t="s">
        <v>8283</v>
      </c>
      <c r="N919" s="7" t="s">
        <v>8284</v>
      </c>
      <c r="O919" s="8" t="str">
        <f>HYPERLINK("https://drive.google.com/file/d/12A7E4JtHpTkZaUAtmsWnTlUik3IzmCjl/view?usp=drivesdk","918_DIAN OKTARIA RESTIANI _ SERTIFIKAT BIMTEK IPASN BerAKHLASK")</f>
        <v>918_DIAN OKTARIA RESTIANI _ SERTIFIKAT BIMTEK IPASN BerAKHLASK</v>
      </c>
      <c r="P919" s="5" t="s">
        <v>8270</v>
      </c>
      <c r="Q919" s="5"/>
      <c r="R919" s="5"/>
      <c r="S919" s="5"/>
      <c r="T919" s="5"/>
    </row>
    <row r="920">
      <c r="A920" s="4">
        <v>45534.32794658565</v>
      </c>
      <c r="B920" s="5" t="s">
        <v>34</v>
      </c>
      <c r="D920" s="5" t="s">
        <v>4775</v>
      </c>
      <c r="E920" s="5" t="s">
        <v>8285</v>
      </c>
      <c r="F920" s="5" t="s">
        <v>375</v>
      </c>
      <c r="G920" s="5" t="s">
        <v>8286</v>
      </c>
      <c r="H920" s="6" t="s">
        <v>8287</v>
      </c>
      <c r="I920" s="7" t="s">
        <v>8288</v>
      </c>
      <c r="J920" s="8" t="str">
        <f>HYPERLINK("https://drive.google.com/file/d/1s3jh1mzYSHVYtRuFFN1YeivuIvrL_jNe/view?usp=drivesdk","SUSI HANDAYANI SERTIFIKAT BerAKHLAK")</f>
        <v>SUSI HANDAYANI SERTIFIKAT BerAKHLAK</v>
      </c>
      <c r="K920" s="5" t="s">
        <v>6335</v>
      </c>
      <c r="L920" s="5" t="s">
        <v>8289</v>
      </c>
      <c r="M920" s="5" t="s">
        <v>8290</v>
      </c>
      <c r="N920" s="7" t="s">
        <v>8291</v>
      </c>
      <c r="O920" s="8" t="str">
        <f>HYPERLINK("https://drive.google.com/file/d/1bVhRkVR3GSZbhQ5xPfPVfrHPjWW9dcFw/view?usp=drivesdk","919_SUSI HANDAYANI _ SERTIFIKAT BIMTEK IPASN BerAKHLASK")</f>
        <v>919_SUSI HANDAYANI _ SERTIFIKAT BIMTEK IPASN BerAKHLASK</v>
      </c>
      <c r="P920" s="5" t="s">
        <v>8270</v>
      </c>
      <c r="Q920" s="5"/>
      <c r="R920" s="5"/>
      <c r="S920" s="5"/>
      <c r="T920" s="5"/>
    </row>
    <row r="921">
      <c r="A921" s="4">
        <v>45534.327947997685</v>
      </c>
      <c r="B921" s="5" t="s">
        <v>34</v>
      </c>
      <c r="D921" s="5" t="s">
        <v>267</v>
      </c>
      <c r="E921" s="5" t="s">
        <v>8292</v>
      </c>
      <c r="F921" s="5" t="s">
        <v>72</v>
      </c>
      <c r="G921" s="5" t="s">
        <v>8293</v>
      </c>
      <c r="H921" s="6" t="s">
        <v>8294</v>
      </c>
      <c r="I921" s="7" t="s">
        <v>8295</v>
      </c>
      <c r="J921" s="8" t="str">
        <f>HYPERLINK("https://drive.google.com/file/d/11Pow2mkJyMpq9yEwsDySSdfoQyApl8wR/view?usp=drivesdk","SUISMI WIDIYANTINI, S.I.Kom SERTIFIKAT BerAKHLAK")</f>
        <v>SUISMI WIDIYANTINI, S.I.Kom SERTIFIKAT BerAKHLAK</v>
      </c>
      <c r="K921" s="5" t="s">
        <v>6335</v>
      </c>
      <c r="L921" s="5" t="s">
        <v>8296</v>
      </c>
      <c r="M921" s="5" t="s">
        <v>8297</v>
      </c>
      <c r="N921" s="7" t="s">
        <v>8298</v>
      </c>
      <c r="O921" s="8" t="str">
        <f>HYPERLINK("https://drive.google.com/file/d/1XC-uujyJfq3LEKGtYLxlU_gffbE3-306/view?usp=drivesdk","920_SUISMI WIDIYANTINI, S.I.Kom _ SERTIFIKAT BIMTEK IPASN BerAKHLASK")</f>
        <v>920_SUISMI WIDIYANTINI, S.I.Kom _ SERTIFIKAT BIMTEK IPASN BerAKHLASK</v>
      </c>
      <c r="P921" s="5" t="s">
        <v>8270</v>
      </c>
      <c r="Q921" s="5"/>
      <c r="R921" s="5"/>
      <c r="S921" s="5"/>
      <c r="T921" s="5"/>
    </row>
    <row r="922">
      <c r="A922" s="4">
        <v>45534.327966956014</v>
      </c>
      <c r="B922" s="5" t="s">
        <v>34</v>
      </c>
      <c r="D922" s="5" t="s">
        <v>35</v>
      </c>
      <c r="E922" s="5" t="s">
        <v>8299</v>
      </c>
      <c r="F922" s="5" t="s">
        <v>5859</v>
      </c>
      <c r="G922" s="5" t="s">
        <v>8300</v>
      </c>
      <c r="H922" s="6" t="s">
        <v>8301</v>
      </c>
      <c r="I922" s="7" t="s">
        <v>8302</v>
      </c>
      <c r="J922" s="8" t="str">
        <f>HYPERLINK("https://drive.google.com/file/d/1CKZVRIdmJHjWwzlod6y-4XXEPxtyELWT/view?usp=drivesdk","MUHAMAD SHOLEH SERTIFIKAT BerAKHLAK")</f>
        <v>MUHAMAD SHOLEH SERTIFIKAT BerAKHLAK</v>
      </c>
      <c r="K922" s="5" t="s">
        <v>6335</v>
      </c>
      <c r="L922" s="5" t="s">
        <v>8303</v>
      </c>
      <c r="M922" s="5" t="s">
        <v>8304</v>
      </c>
      <c r="N922" s="7" t="s">
        <v>8305</v>
      </c>
      <c r="O922" s="8" t="str">
        <f>HYPERLINK("https://drive.google.com/file/d/1Klr2jsmfYdP35IDZmDhZP6UFoLenNOld/view?usp=drivesdk","921_MUHAMAD SHOLEH _ SERTIFIKAT BIMTEK IPASN BerAKHLASK")</f>
        <v>921_MUHAMAD SHOLEH _ SERTIFIKAT BIMTEK IPASN BerAKHLASK</v>
      </c>
      <c r="P922" s="5" t="s">
        <v>8270</v>
      </c>
      <c r="Q922" s="5"/>
      <c r="R922" s="5"/>
      <c r="S922" s="5"/>
      <c r="T922" s="5"/>
    </row>
    <row r="923">
      <c r="A923" s="4">
        <v>45534.32798545139</v>
      </c>
      <c r="B923" s="5" t="s">
        <v>34</v>
      </c>
      <c r="D923" s="5" t="s">
        <v>1206</v>
      </c>
      <c r="E923" s="5" t="s">
        <v>8306</v>
      </c>
      <c r="F923" s="5" t="s">
        <v>212</v>
      </c>
      <c r="G923" s="5" t="s">
        <v>8307</v>
      </c>
      <c r="H923" s="6" t="s">
        <v>8308</v>
      </c>
      <c r="I923" s="7" t="s">
        <v>8309</v>
      </c>
      <c r="J923" s="8" t="str">
        <f>HYPERLINK("https://drive.google.com/file/d/1BPfTzI0ti40KLK-OTZ26WRkMs7lCq96t/view?usp=drivesdk","ARY KUSUMAWARDHANI, SE SERTIFIKAT BerAKHLAK")</f>
        <v>ARY KUSUMAWARDHANI, SE SERTIFIKAT BerAKHLAK</v>
      </c>
      <c r="K923" s="5" t="s">
        <v>6335</v>
      </c>
      <c r="L923" s="5" t="s">
        <v>8310</v>
      </c>
      <c r="M923" s="5" t="s">
        <v>8311</v>
      </c>
      <c r="N923" s="7" t="s">
        <v>8312</v>
      </c>
      <c r="O923" s="8" t="str">
        <f>HYPERLINK("https://drive.google.com/file/d/141MiuL_77koY8tiu1X7mI6MZm1xa0LFN/view?usp=drivesdk","922_ARY KUSUMAWARDHANI, SE _ SERTIFIKAT BIMTEK IPASN BerAKHLASK")</f>
        <v>922_ARY KUSUMAWARDHANI, SE _ SERTIFIKAT BIMTEK IPASN BerAKHLASK</v>
      </c>
      <c r="P923" s="5" t="s">
        <v>8313</v>
      </c>
      <c r="Q923" s="5"/>
      <c r="R923" s="5"/>
      <c r="S923" s="5"/>
      <c r="T923" s="5"/>
    </row>
    <row r="924" hidden="1">
      <c r="A924" s="4">
        <v>45534.32799329861</v>
      </c>
      <c r="B924" s="5" t="s">
        <v>19</v>
      </c>
      <c r="C924" s="5" t="s">
        <v>292</v>
      </c>
      <c r="E924" s="5" t="s">
        <v>8314</v>
      </c>
      <c r="F924" s="5" t="s">
        <v>72</v>
      </c>
      <c r="G924" s="5" t="s">
        <v>8315</v>
      </c>
      <c r="H924" s="6" t="s">
        <v>8316</v>
      </c>
      <c r="I924" s="7" t="s">
        <v>8317</v>
      </c>
      <c r="J924" s="8" t="str">
        <f>HYPERLINK("https://drive.google.com/file/d/1JBUlqHOxaqh9O_xETSCvFyzsO7jaCV1Q/view?usp=drivesdk","IRAWATISUMITRA SERTIFIKAT BerAKHLAK")</f>
        <v>IRAWATISUMITRA SERTIFIKAT BerAKHLAK</v>
      </c>
      <c r="K924" s="5" t="s">
        <v>6335</v>
      </c>
      <c r="L924" s="5" t="s">
        <v>8318</v>
      </c>
      <c r="M924" s="5" t="s">
        <v>8319</v>
      </c>
      <c r="N924" s="7" t="s">
        <v>8320</v>
      </c>
      <c r="O924" s="8" t="str">
        <f>HYPERLINK("https://drive.google.com/file/d/19PYpCS8zqqIo7DeT3WrsWAQ4nWg-zcp2/view?usp=drivesdk","923_IRAWATISUMITRA _ SERTIFIKAT BIMTEK IPASN BerAKHLASK")</f>
        <v>923_IRAWATISUMITRA _ SERTIFIKAT BIMTEK IPASN BerAKHLASK</v>
      </c>
      <c r="P924" s="5" t="s">
        <v>8313</v>
      </c>
      <c r="Q924" s="5"/>
      <c r="R924" s="5"/>
      <c r="S924" s="5"/>
      <c r="T924" s="5"/>
    </row>
    <row r="925">
      <c r="A925" s="4">
        <v>45534.32800256944</v>
      </c>
      <c r="B925" s="5" t="s">
        <v>34</v>
      </c>
      <c r="D925" s="5" t="s">
        <v>4775</v>
      </c>
      <c r="E925" s="5" t="s">
        <v>8321</v>
      </c>
      <c r="F925" s="5" t="s">
        <v>37</v>
      </c>
      <c r="G925" s="5" t="s">
        <v>8322</v>
      </c>
      <c r="H925" s="6" t="s">
        <v>8323</v>
      </c>
      <c r="I925" s="7" t="s">
        <v>8324</v>
      </c>
      <c r="J925" s="8" t="str">
        <f>HYPERLINK("https://drive.google.com/file/d/1Ex-H53RSnQ_b_vqNmGVm22q6h9EYO_3i/view?usp=drivesdk","DANANG PURWO WIBOWO SERTIFIKAT BerAKHLAK")</f>
        <v>DANANG PURWO WIBOWO SERTIFIKAT BerAKHLAK</v>
      </c>
      <c r="K925" s="5" t="s">
        <v>6335</v>
      </c>
      <c r="L925" s="5" t="s">
        <v>8325</v>
      </c>
      <c r="M925" s="5" t="s">
        <v>8326</v>
      </c>
      <c r="N925" s="7" t="s">
        <v>8327</v>
      </c>
      <c r="O925" s="8" t="str">
        <f>HYPERLINK("https://drive.google.com/file/d/1ozknowEjQDyLbpihtziFO51r2ro_tezN/view?usp=drivesdk","924_DANANG PURWO WIBOWO _ SERTIFIKAT BIMTEK IPASN BerAKHLASK")</f>
        <v>924_DANANG PURWO WIBOWO _ SERTIFIKAT BIMTEK IPASN BerAKHLASK</v>
      </c>
      <c r="P925" s="5" t="s">
        <v>8313</v>
      </c>
      <c r="Q925" s="5"/>
      <c r="R925" s="5"/>
      <c r="S925" s="5"/>
      <c r="T925" s="5"/>
    </row>
    <row r="926">
      <c r="A926" s="4">
        <v>45534.32802429398</v>
      </c>
      <c r="B926" s="5" t="s">
        <v>34</v>
      </c>
      <c r="D926" s="5" t="s">
        <v>3849</v>
      </c>
      <c r="E926" s="5" t="s">
        <v>8328</v>
      </c>
      <c r="F926" s="5" t="s">
        <v>37</v>
      </c>
      <c r="G926" s="5" t="s">
        <v>8329</v>
      </c>
      <c r="H926" s="6" t="s">
        <v>8330</v>
      </c>
      <c r="I926" s="7" t="s">
        <v>8331</v>
      </c>
      <c r="J926" s="8" t="str">
        <f>HYPERLINK("https://drive.google.com/file/d/110F2shx7gdZ8ypIbH1fBL-zBtv9vmX5h/view?usp=drivesdk","AGNES PUSPITA SARI SERTIFIKAT BerAKHLAK")</f>
        <v>AGNES PUSPITA SARI SERTIFIKAT BerAKHLAK</v>
      </c>
      <c r="K926" s="5" t="s">
        <v>6373</v>
      </c>
      <c r="L926" s="5" t="s">
        <v>8332</v>
      </c>
      <c r="M926" s="5" t="s">
        <v>8333</v>
      </c>
      <c r="N926" s="7" t="s">
        <v>8334</v>
      </c>
      <c r="O926" s="8" t="str">
        <f>HYPERLINK("https://drive.google.com/file/d/1BMnNgmNERx391njtAOBzjedR3FlhAzPr/view?usp=drivesdk","925_AGNES PUSPITA SARI _ SERTIFIKAT BIMTEK IPASN BerAKHLASK")</f>
        <v>925_AGNES PUSPITA SARI _ SERTIFIKAT BIMTEK IPASN BerAKHLASK</v>
      </c>
      <c r="P926" s="5" t="s">
        <v>8313</v>
      </c>
      <c r="Q926" s="5"/>
      <c r="R926" s="5"/>
      <c r="S926" s="5"/>
      <c r="T926" s="5"/>
    </row>
    <row r="927">
      <c r="A927" s="4">
        <v>45534.3280345949</v>
      </c>
      <c r="B927" s="5" t="s">
        <v>34</v>
      </c>
      <c r="D927" s="5" t="s">
        <v>4775</v>
      </c>
      <c r="E927" s="5" t="s">
        <v>8335</v>
      </c>
      <c r="F927" s="5" t="s">
        <v>375</v>
      </c>
      <c r="G927" s="5" t="s">
        <v>8336</v>
      </c>
      <c r="H927" s="6" t="s">
        <v>8337</v>
      </c>
      <c r="I927" s="7" t="s">
        <v>8338</v>
      </c>
      <c r="J927" s="8" t="str">
        <f>HYPERLINK("https://drive.google.com/file/d/1oSfHzB0Ks5xnT9U1HIEd2Cgj-2GIm74t/view?usp=drivesdk","DINA SARI TRI RAHAYU, S.E. SERTIFIKAT BerAKHLAK")</f>
        <v>DINA SARI TRI RAHAYU, S.E. SERTIFIKAT BerAKHLAK</v>
      </c>
      <c r="K927" s="5" t="s">
        <v>6335</v>
      </c>
      <c r="L927" s="5" t="s">
        <v>8339</v>
      </c>
      <c r="M927" s="5" t="s">
        <v>8340</v>
      </c>
      <c r="N927" s="7" t="s">
        <v>8341</v>
      </c>
      <c r="O927" s="8" t="str">
        <f>HYPERLINK("https://drive.google.com/file/d/1YnVC8gyz22h_VoxhNHrjTjOY69wmh1kM/view?usp=drivesdk","926_DINA SARI TRI RAHAYU, S.E. _ SERTIFIKAT BIMTEK IPASN BerAKHLASK")</f>
        <v>926_DINA SARI TRI RAHAYU, S.E. _ SERTIFIKAT BIMTEK IPASN BerAKHLASK</v>
      </c>
      <c r="P927" s="5" t="s">
        <v>8342</v>
      </c>
      <c r="Q927" s="5"/>
      <c r="R927" s="5"/>
      <c r="S927" s="5"/>
      <c r="T927" s="5"/>
    </row>
    <row r="928">
      <c r="A928" s="4">
        <v>45534.32804097222</v>
      </c>
      <c r="B928" s="5" t="s">
        <v>34</v>
      </c>
      <c r="D928" s="5" t="s">
        <v>1206</v>
      </c>
      <c r="E928" s="5" t="s">
        <v>8343</v>
      </c>
      <c r="F928" s="5" t="s">
        <v>212</v>
      </c>
      <c r="G928" s="5" t="s">
        <v>8344</v>
      </c>
      <c r="H928" s="6" t="s">
        <v>8345</v>
      </c>
      <c r="I928" s="7" t="s">
        <v>8346</v>
      </c>
      <c r="J928" s="8" t="str">
        <f>HYPERLINK("https://drive.google.com/file/d/1O43HjaoL56ePlt0WTROFRkpn1wrsjNpL/view?usp=drivesdk","SUSI MIGAWATI SERTIFIKAT BerAKHLAK")</f>
        <v>SUSI MIGAWATI SERTIFIKAT BerAKHLAK</v>
      </c>
      <c r="K928" s="5" t="s">
        <v>6335</v>
      </c>
      <c r="L928" s="5" t="s">
        <v>8347</v>
      </c>
      <c r="M928" s="5" t="s">
        <v>8348</v>
      </c>
      <c r="N928" s="7" t="s">
        <v>8349</v>
      </c>
      <c r="O928" s="8" t="str">
        <f>HYPERLINK("https://drive.google.com/file/d/1X1NuhVx5yR_a9HR46wk1KkHqNQeCirQB/view?usp=drivesdk","927_SUSI MIGAWATI _ SERTIFIKAT BIMTEK IPASN BerAKHLASK")</f>
        <v>927_SUSI MIGAWATI _ SERTIFIKAT BIMTEK IPASN BerAKHLASK</v>
      </c>
      <c r="P928" s="5" t="s">
        <v>8313</v>
      </c>
      <c r="Q928" s="5"/>
      <c r="R928" s="5"/>
      <c r="S928" s="5"/>
      <c r="T928" s="5"/>
    </row>
    <row r="929">
      <c r="A929" s="4">
        <v>45534.328075405094</v>
      </c>
      <c r="B929" s="5" t="s">
        <v>34</v>
      </c>
      <c r="D929" s="5" t="s">
        <v>580</v>
      </c>
      <c r="E929" s="5" t="s">
        <v>8350</v>
      </c>
      <c r="F929" s="5" t="s">
        <v>72</v>
      </c>
      <c r="G929" s="5" t="s">
        <v>8351</v>
      </c>
      <c r="H929" s="6" t="s">
        <v>8352</v>
      </c>
      <c r="K929" s="5" t="s">
        <v>8353</v>
      </c>
      <c r="M929" s="5" t="s">
        <v>8354</v>
      </c>
      <c r="N929" s="7" t="s">
        <v>8355</v>
      </c>
      <c r="O929" s="8" t="str">
        <f>HYPERLINK("https://drive.google.com/file/d/10orlGIRtMQKS3IB0KOXf7xBrxSsVVT53/view?usp=drivesdk","928_I MADE SUARDIKA,S.H. _ SERTIFIKAT BIMTEK IPASN BerAKHLASK")</f>
        <v>928_I MADE SUARDIKA,S.H. _ SERTIFIKAT BIMTEK IPASN BerAKHLASK</v>
      </c>
      <c r="P929" s="5" t="s">
        <v>8313</v>
      </c>
      <c r="Q929" s="5"/>
      <c r="R929" s="5"/>
      <c r="S929" s="5"/>
      <c r="T929" s="5"/>
    </row>
    <row r="930">
      <c r="A930" s="4">
        <v>45534.32807971065</v>
      </c>
      <c r="B930" s="5" t="s">
        <v>34</v>
      </c>
      <c r="D930" s="5" t="s">
        <v>35</v>
      </c>
      <c r="E930" s="5" t="s">
        <v>8356</v>
      </c>
      <c r="F930" s="5" t="s">
        <v>524</v>
      </c>
      <c r="G930" s="5" t="s">
        <v>8357</v>
      </c>
      <c r="H930" s="6" t="s">
        <v>8358</v>
      </c>
      <c r="K930" s="5" t="s">
        <v>8353</v>
      </c>
      <c r="M930" s="5" t="s">
        <v>8359</v>
      </c>
      <c r="N930" s="7" t="s">
        <v>8360</v>
      </c>
      <c r="O930" s="8" t="str">
        <f>HYPERLINK("https://drive.google.com/file/d/1S4oq88ni8LPeHHy5wJsgqUl9zKHsKYg0/view?usp=drivesdk","929_SUGANDIICHSAN _ SERTIFIKAT BIMTEK IPASN BerAKHLASK")</f>
        <v>929_SUGANDIICHSAN _ SERTIFIKAT BIMTEK IPASN BerAKHLASK</v>
      </c>
      <c r="P930" s="5" t="s">
        <v>8361</v>
      </c>
      <c r="Q930" s="5"/>
      <c r="R930" s="5"/>
      <c r="S930" s="5"/>
      <c r="T930" s="5"/>
    </row>
    <row r="931">
      <c r="A931" s="4">
        <v>45534.32808196759</v>
      </c>
      <c r="B931" s="5" t="s">
        <v>34</v>
      </c>
      <c r="D931" s="5" t="s">
        <v>267</v>
      </c>
      <c r="E931" s="5" t="s">
        <v>8362</v>
      </c>
      <c r="F931" s="5" t="s">
        <v>108</v>
      </c>
      <c r="G931" s="5" t="s">
        <v>8363</v>
      </c>
      <c r="H931" s="6" t="s">
        <v>8364</v>
      </c>
      <c r="K931" s="5" t="s">
        <v>8353</v>
      </c>
      <c r="M931" s="5" t="s">
        <v>8365</v>
      </c>
      <c r="N931" s="7" t="s">
        <v>8366</v>
      </c>
      <c r="O931" s="8" t="str">
        <f>HYPERLINK("https://drive.google.com/file/d/1L7C_4WVPH6uzss4reb24_xeY2pQFAbXf/view?usp=drivesdk","930_DWI INDAH LESTARI, S.M. _ SERTIFIKAT BIMTEK IPASN BerAKHLASK")</f>
        <v>930_DWI INDAH LESTARI, S.M. _ SERTIFIKAT BIMTEK IPASN BerAKHLASK</v>
      </c>
      <c r="P931" s="5" t="s">
        <v>8361</v>
      </c>
      <c r="Q931" s="5"/>
      <c r="R931" s="5"/>
      <c r="S931" s="5"/>
      <c r="T931" s="5"/>
    </row>
    <row r="932">
      <c r="A932" s="4">
        <v>45534.32808818287</v>
      </c>
      <c r="B932" s="5" t="s">
        <v>34</v>
      </c>
      <c r="D932" s="5" t="s">
        <v>267</v>
      </c>
      <c r="E932" s="5" t="s">
        <v>8367</v>
      </c>
      <c r="F932" s="5" t="s">
        <v>72</v>
      </c>
      <c r="G932" s="5" t="s">
        <v>8368</v>
      </c>
      <c r="H932" s="6" t="s">
        <v>8369</v>
      </c>
      <c r="K932" s="5" t="s">
        <v>8353</v>
      </c>
      <c r="M932" s="5" t="s">
        <v>8370</v>
      </c>
      <c r="N932" s="7" t="s">
        <v>8371</v>
      </c>
      <c r="O932" s="8" t="str">
        <f>HYPERLINK("https://drive.google.com/file/d/1GVyeAe4RL6MWkxiXISrce12nSFBzNzDt/view?usp=drivesdk","931_NUR WIJAYANTO _ SERTIFIKAT BIMTEK IPASN BerAKHLASK")</f>
        <v>931_NUR WIJAYANTO _ SERTIFIKAT BIMTEK IPASN BerAKHLASK</v>
      </c>
      <c r="P932" s="5" t="s">
        <v>8361</v>
      </c>
      <c r="Q932" s="5"/>
      <c r="R932" s="5"/>
      <c r="S932" s="5"/>
      <c r="T932" s="5"/>
    </row>
    <row r="933">
      <c r="A933" s="4">
        <v>45534.32809097222</v>
      </c>
      <c r="B933" s="5" t="s">
        <v>34</v>
      </c>
      <c r="D933" s="5" t="s">
        <v>1206</v>
      </c>
      <c r="E933" s="5" t="s">
        <v>8372</v>
      </c>
      <c r="F933" s="5" t="s">
        <v>37</v>
      </c>
      <c r="G933" s="5" t="s">
        <v>8373</v>
      </c>
      <c r="H933" s="6" t="s">
        <v>8374</v>
      </c>
      <c r="K933" s="5" t="s">
        <v>8353</v>
      </c>
      <c r="M933" s="5" t="s">
        <v>8375</v>
      </c>
      <c r="N933" s="7" t="s">
        <v>8376</v>
      </c>
      <c r="O933" s="8" t="str">
        <f>HYPERLINK("https://drive.google.com/file/d/1b_c7pfJYdq6GPs3dDDVbnMr0aqRv4czi/view?usp=drivesdk","932_TITIK FEBRIANTI DWI SETYOWATI  _ SERTIFIKAT BIMTEK IPASN BerAKHLASK")</f>
        <v>932_TITIK FEBRIANTI DWI SETYOWATI  _ SERTIFIKAT BIMTEK IPASN BerAKHLASK</v>
      </c>
      <c r="P933" s="5" t="s">
        <v>8361</v>
      </c>
      <c r="Q933" s="5"/>
      <c r="R933" s="5"/>
      <c r="S933" s="5"/>
      <c r="T933" s="5"/>
    </row>
    <row r="934">
      <c r="A934" s="4">
        <v>45534.328090462965</v>
      </c>
      <c r="B934" s="5" t="s">
        <v>34</v>
      </c>
      <c r="D934" s="5" t="s">
        <v>35</v>
      </c>
      <c r="E934" s="5" t="s">
        <v>8377</v>
      </c>
      <c r="F934" s="5" t="s">
        <v>108</v>
      </c>
      <c r="G934" s="5" t="s">
        <v>8378</v>
      </c>
      <c r="H934" s="6" t="s">
        <v>8379</v>
      </c>
      <c r="K934" s="5" t="s">
        <v>8353</v>
      </c>
      <c r="M934" s="5" t="s">
        <v>8380</v>
      </c>
      <c r="N934" s="7" t="s">
        <v>8381</v>
      </c>
      <c r="O934" s="8" t="str">
        <f>HYPERLINK("https://drive.google.com/file/d/10IbIEq7sSGEbUgTP2odntHJM8evs-uGn/view?usp=drivesdk","933_NENDEN NURTANZILLAH, AMK _ SERTIFIKAT BIMTEK IPASN BerAKHLASK")</f>
        <v>933_NENDEN NURTANZILLAH, AMK _ SERTIFIKAT BIMTEK IPASN BerAKHLASK</v>
      </c>
      <c r="P934" s="5" t="s">
        <v>8361</v>
      </c>
      <c r="Q934" s="5"/>
      <c r="R934" s="5"/>
      <c r="S934" s="5"/>
      <c r="T934" s="5"/>
    </row>
    <row r="935" hidden="1">
      <c r="A935" s="4">
        <v>45534.32809701389</v>
      </c>
      <c r="B935" s="5" t="s">
        <v>19</v>
      </c>
      <c r="C935" s="5" t="s">
        <v>3301</v>
      </c>
      <c r="E935" s="5" t="s">
        <v>8382</v>
      </c>
      <c r="F935" s="5" t="s">
        <v>108</v>
      </c>
      <c r="G935" s="5" t="s">
        <v>8383</v>
      </c>
      <c r="H935" s="6" t="s">
        <v>8384</v>
      </c>
      <c r="K935" s="5" t="s">
        <v>8353</v>
      </c>
      <c r="M935" s="5" t="s">
        <v>8385</v>
      </c>
      <c r="N935" s="7" t="s">
        <v>8386</v>
      </c>
      <c r="O935" s="8" t="str">
        <f>HYPERLINK("https://drive.google.com/file/d/1jAaUkTNLmluL6NL5foXZm5NSCEkxjLFH/view?usp=drivesdk","934_RIRIN HERNIANTI _ SERTIFIKAT BIMTEK IPASN BerAKHLASK")</f>
        <v>934_RIRIN HERNIANTI _ SERTIFIKAT BIMTEK IPASN BerAKHLASK</v>
      </c>
      <c r="P935" s="5" t="s">
        <v>8361</v>
      </c>
      <c r="Q935" s="5"/>
      <c r="R935" s="5"/>
      <c r="S935" s="5"/>
      <c r="T935" s="5"/>
    </row>
    <row r="936">
      <c r="A936" s="4">
        <v>45534.328100983796</v>
      </c>
      <c r="B936" s="5" t="s">
        <v>34</v>
      </c>
      <c r="D936" s="5" t="s">
        <v>267</v>
      </c>
      <c r="E936" s="5" t="s">
        <v>8387</v>
      </c>
      <c r="F936" s="5" t="s">
        <v>108</v>
      </c>
      <c r="G936" s="5" t="s">
        <v>8388</v>
      </c>
      <c r="H936" s="6" t="s">
        <v>8389</v>
      </c>
      <c r="K936" s="5" t="s">
        <v>8353</v>
      </c>
      <c r="M936" s="5" t="s">
        <v>8390</v>
      </c>
      <c r="N936" s="7" t="s">
        <v>8391</v>
      </c>
      <c r="O936" s="8" t="str">
        <f>HYPERLINK("https://drive.google.com/file/d/1b6zJtv7ZT0fm3xFWoD4ZCf71E3U1C3wu/view?usp=drivesdk","935_ANNA ANITA KUSUMA _ SERTIFIKAT BIMTEK IPASN BerAKHLASK")</f>
        <v>935_ANNA ANITA KUSUMA _ SERTIFIKAT BIMTEK IPASN BerAKHLASK</v>
      </c>
      <c r="P936" s="5" t="s">
        <v>8392</v>
      </c>
      <c r="Q936" s="5"/>
      <c r="R936" s="5"/>
      <c r="S936" s="5"/>
      <c r="T936" s="5"/>
    </row>
    <row r="937" hidden="1">
      <c r="A937" s="4">
        <v>45534.32812689815</v>
      </c>
      <c r="B937" s="5" t="s">
        <v>19</v>
      </c>
      <c r="C937" s="5" t="s">
        <v>3471</v>
      </c>
      <c r="E937" s="5" t="s">
        <v>8393</v>
      </c>
      <c r="F937" s="5" t="s">
        <v>108</v>
      </c>
      <c r="G937" s="5" t="s">
        <v>8394</v>
      </c>
      <c r="H937" s="6" t="s">
        <v>8395</v>
      </c>
      <c r="K937" s="5" t="s">
        <v>8353</v>
      </c>
      <c r="M937" s="5" t="s">
        <v>8396</v>
      </c>
      <c r="N937" s="7" t="s">
        <v>8397</v>
      </c>
      <c r="O937" s="8" t="str">
        <f>HYPERLINK("https://drive.google.com/file/d/1JXGw_aULavry0Q9PAe-DGRGnCSVK9uWE/view?usp=drivesdk","936_DWI ANGGRAINI, S.E. _ SERTIFIKAT BIMTEK IPASN BerAKHLASK")</f>
        <v>936_DWI ANGGRAINI, S.E. _ SERTIFIKAT BIMTEK IPASN BerAKHLASK</v>
      </c>
      <c r="P937" s="5" t="s">
        <v>8392</v>
      </c>
      <c r="Q937" s="5"/>
      <c r="R937" s="5"/>
      <c r="S937" s="5"/>
      <c r="T937" s="5"/>
    </row>
    <row r="938">
      <c r="A938" s="4">
        <v>45534.328131863425</v>
      </c>
      <c r="B938" s="5" t="s">
        <v>34</v>
      </c>
      <c r="D938" s="5" t="s">
        <v>4775</v>
      </c>
      <c r="E938" s="5" t="s">
        <v>8398</v>
      </c>
      <c r="F938" s="5" t="s">
        <v>72</v>
      </c>
      <c r="G938" s="5" t="s">
        <v>8399</v>
      </c>
      <c r="H938" s="6" t="s">
        <v>8400</v>
      </c>
      <c r="K938" s="5" t="s">
        <v>8353</v>
      </c>
      <c r="M938" s="5" t="s">
        <v>8401</v>
      </c>
      <c r="N938" s="7" t="s">
        <v>8402</v>
      </c>
      <c r="O938" s="8" t="str">
        <f>HYPERLINK("https://drive.google.com/file/d/1I80_boCQOiPU1PLZwWZ_TwM0nP6Tb0Gf/view?usp=drivesdk","937_FATHAN AMIEN MA'RUF, S.I.Kom. _ SERTIFIKAT BIMTEK IPASN BerAKHLASK")</f>
        <v>937_FATHAN AMIEN MA'RUF, S.I.Kom. _ SERTIFIKAT BIMTEK IPASN BerAKHLASK</v>
      </c>
      <c r="P938" s="5" t="s">
        <v>8392</v>
      </c>
      <c r="Q938" s="5"/>
      <c r="R938" s="5"/>
      <c r="S938" s="5"/>
      <c r="T938" s="5"/>
    </row>
    <row r="939">
      <c r="A939" s="4">
        <v>45534.328138136574</v>
      </c>
      <c r="B939" s="5" t="s">
        <v>34</v>
      </c>
      <c r="D939" s="5" t="s">
        <v>35</v>
      </c>
      <c r="E939" s="5" t="s">
        <v>8403</v>
      </c>
      <c r="F939" s="5" t="s">
        <v>328</v>
      </c>
      <c r="G939" s="5" t="s">
        <v>8404</v>
      </c>
      <c r="H939" s="6" t="s">
        <v>8405</v>
      </c>
      <c r="K939" s="5" t="s">
        <v>8353</v>
      </c>
      <c r="M939" s="5" t="s">
        <v>8406</v>
      </c>
      <c r="N939" s="7" t="s">
        <v>8407</v>
      </c>
      <c r="O939" s="8" t="str">
        <f>HYPERLINK("https://drive.google.com/file/d/1yvTrbpz8zjV9ve-8FbeIW6VVh8oXL4sy/view?usp=drivesdk","938_ASN ENGKUS KUSNADI  _ SERTIFIKAT BIMTEK IPASN BerAKHLASK")</f>
        <v>938_ASN ENGKUS KUSNADI  _ SERTIFIKAT BIMTEK IPASN BerAKHLASK</v>
      </c>
      <c r="P939" s="5" t="s">
        <v>8392</v>
      </c>
      <c r="Q939" s="5"/>
      <c r="R939" s="5"/>
      <c r="S939" s="5"/>
      <c r="T939" s="5"/>
    </row>
    <row r="940">
      <c r="A940" s="4">
        <v>45534.328157199074</v>
      </c>
      <c r="B940" s="5" t="s">
        <v>34</v>
      </c>
      <c r="D940" s="5" t="s">
        <v>4775</v>
      </c>
      <c r="E940" s="5" t="s">
        <v>8408</v>
      </c>
      <c r="F940" s="5" t="s">
        <v>524</v>
      </c>
      <c r="G940" s="5" t="s">
        <v>8409</v>
      </c>
      <c r="H940" s="6" t="s">
        <v>8410</v>
      </c>
      <c r="I940" s="7" t="s">
        <v>8411</v>
      </c>
      <c r="J940" s="8" t="str">
        <f>HYPERLINK("https://drive.google.com/file/d/1lP18j1x48chnBVHSUEPKBsM95Q_34Pmb/view?usp=drivesdk","ADHISTY PRIMASARI,SH SERTIFIKAT BerAKHLAK")</f>
        <v>ADHISTY PRIMASARI,SH SERTIFIKAT BerAKHLAK</v>
      </c>
      <c r="K940" s="5" t="s">
        <v>6335</v>
      </c>
      <c r="L940" s="5" t="s">
        <v>8412</v>
      </c>
      <c r="M940" s="5" t="s">
        <v>8413</v>
      </c>
      <c r="N940" s="7" t="s">
        <v>8414</v>
      </c>
      <c r="O940" s="8" t="str">
        <f>HYPERLINK("https://drive.google.com/file/d/13UzHuslFkJaWnkuw3HmGlQti0-33Bpdt/view?usp=drivesdk","939_ADHISTY PRIMASARI,SH _ SERTIFIKAT BIMTEK IPASN BerAKHLASK")</f>
        <v>939_ADHISTY PRIMASARI,SH _ SERTIFIKAT BIMTEK IPASN BerAKHLASK</v>
      </c>
      <c r="P940" s="5" t="s">
        <v>8392</v>
      </c>
      <c r="Q940" s="5"/>
      <c r="R940" s="5"/>
      <c r="S940" s="5"/>
      <c r="T940" s="5"/>
    </row>
    <row r="941" hidden="1">
      <c r="A941" s="4">
        <v>45534.32816133102</v>
      </c>
      <c r="B941" s="5" t="s">
        <v>19</v>
      </c>
      <c r="C941" s="5" t="s">
        <v>3301</v>
      </c>
      <c r="E941" s="5" t="s">
        <v>8415</v>
      </c>
      <c r="F941" s="5" t="s">
        <v>108</v>
      </c>
      <c r="G941" s="5" t="s">
        <v>8416</v>
      </c>
      <c r="H941" s="6" t="s">
        <v>8417</v>
      </c>
      <c r="I941" s="7" t="s">
        <v>8418</v>
      </c>
      <c r="J941" s="8" t="str">
        <f>HYPERLINK("https://drive.google.com/file/d/1vd8A025-1kxh1kpGA8U8PGnFieYAaj1O/view?usp=drivesdk","NS. TRIULAN AGUSTINA SIDABUTAR, S.KEP SERTIFIKAT BerAKHLAK")</f>
        <v>NS. TRIULAN AGUSTINA SIDABUTAR, S.KEP SERTIFIKAT BerAKHLAK</v>
      </c>
      <c r="K941" s="5" t="s">
        <v>6335</v>
      </c>
      <c r="L941" s="5" t="s">
        <v>8419</v>
      </c>
      <c r="M941" s="5" t="s">
        <v>8420</v>
      </c>
      <c r="N941" s="7" t="s">
        <v>8421</v>
      </c>
      <c r="O941" s="8" t="str">
        <f>HYPERLINK("https://drive.google.com/file/d/1dv3RPV-xbtgVhGOwsv0BfxtUqEsaLSEt/view?usp=drivesdk","940_NS. TRIULAN AGUSTINA SIDABUTAR, S.KEP _ SERTIFIKAT BIMTEK IPASN BerAKHLASK")</f>
        <v>940_NS. TRIULAN AGUSTINA SIDABUTAR, S.KEP _ SERTIFIKAT BIMTEK IPASN BerAKHLASK</v>
      </c>
      <c r="P941" s="5" t="s">
        <v>8392</v>
      </c>
      <c r="Q941" s="5"/>
      <c r="R941" s="5"/>
      <c r="S941" s="5"/>
      <c r="T941" s="5"/>
    </row>
    <row r="942">
      <c r="A942" s="4">
        <v>45534.32816295139</v>
      </c>
      <c r="B942" s="5" t="s">
        <v>34</v>
      </c>
      <c r="D942" s="5" t="s">
        <v>4775</v>
      </c>
      <c r="E942" s="5" t="s">
        <v>8422</v>
      </c>
      <c r="F942" s="5" t="s">
        <v>524</v>
      </c>
      <c r="G942" s="5" t="s">
        <v>8423</v>
      </c>
      <c r="H942" s="6" t="s">
        <v>8424</v>
      </c>
      <c r="I942" s="7" t="s">
        <v>8425</v>
      </c>
      <c r="J942" s="8" t="str">
        <f>HYPERLINK("https://drive.google.com/file/d/1M0qfRsOHQBNGSanH_zAvmJEZj9h6Dkd5/view?usp=drivesdk","FAJAR SETIYOWATI, S. Ak.  SERTIFIKAT BerAKHLAK")</f>
        <v>FAJAR SETIYOWATI, S. Ak.  SERTIFIKAT BerAKHLAK</v>
      </c>
      <c r="K942" s="5" t="s">
        <v>6373</v>
      </c>
      <c r="L942" s="5" t="s">
        <v>8426</v>
      </c>
      <c r="M942" s="5" t="s">
        <v>8427</v>
      </c>
      <c r="N942" s="7" t="s">
        <v>8428</v>
      </c>
      <c r="O942" s="8" t="str">
        <f>HYPERLINK("https://drive.google.com/file/d/1j9XcLG2ifEsoQzh3I6sb-_983Teu0U_D/view?usp=drivesdk","941_FAJAR SETIYOWATI, S. Ak.  _ SERTIFIKAT BIMTEK IPASN BerAKHLASK")</f>
        <v>941_FAJAR SETIYOWATI, S. Ak.  _ SERTIFIKAT BIMTEK IPASN BerAKHLASK</v>
      </c>
      <c r="P942" s="5" t="s">
        <v>8429</v>
      </c>
      <c r="Q942" s="5"/>
      <c r="R942" s="5"/>
      <c r="S942" s="5"/>
      <c r="T942" s="5"/>
    </row>
    <row r="943">
      <c r="A943" s="4">
        <v>45534.328206192135</v>
      </c>
      <c r="B943" s="5" t="s">
        <v>34</v>
      </c>
      <c r="D943" s="5" t="s">
        <v>1206</v>
      </c>
      <c r="E943" s="5" t="s">
        <v>8430</v>
      </c>
      <c r="F943" s="5" t="s">
        <v>120</v>
      </c>
      <c r="G943" s="5" t="s">
        <v>8431</v>
      </c>
      <c r="H943" s="6" t="s">
        <v>8432</v>
      </c>
      <c r="I943" s="7" t="s">
        <v>8433</v>
      </c>
      <c r="J943" s="8" t="str">
        <f>HYPERLINK("https://drive.google.com/file/d/1WTx1SSf8_oZxVGtVZyF_36xcDbOY-kOz/view?usp=drivesdk","RACHMAD HARDADI, S.H., M.H. SERTIFIKAT BerAKHLAK")</f>
        <v>RACHMAD HARDADI, S.H., M.H. SERTIFIKAT BerAKHLAK</v>
      </c>
      <c r="K943" s="5" t="s">
        <v>6335</v>
      </c>
      <c r="L943" s="5" t="s">
        <v>8434</v>
      </c>
      <c r="M943" s="5" t="s">
        <v>8435</v>
      </c>
      <c r="N943" s="7" t="s">
        <v>8436</v>
      </c>
      <c r="O943" s="8" t="str">
        <f>HYPERLINK("https://drive.google.com/file/d/1pHLZbhn_F1q5dwX9P8W2zmkHoVuH3ugR/view?usp=drivesdk","942_RACHMAD HARDADI, S.H., M.H. _ SERTIFIKAT BIMTEK IPASN BerAKHLASK")</f>
        <v>942_RACHMAD HARDADI, S.H., M.H. _ SERTIFIKAT BIMTEK IPASN BerAKHLASK</v>
      </c>
      <c r="P943" s="5" t="s">
        <v>8429</v>
      </c>
      <c r="Q943" s="5"/>
      <c r="R943" s="5"/>
      <c r="S943" s="5"/>
      <c r="T943" s="5"/>
    </row>
    <row r="944">
      <c r="A944" s="4">
        <v>45534.328221979165</v>
      </c>
      <c r="B944" s="5" t="s">
        <v>34</v>
      </c>
      <c r="D944" s="5" t="s">
        <v>4775</v>
      </c>
      <c r="E944" s="5" t="s">
        <v>8437</v>
      </c>
      <c r="F944" s="5" t="s">
        <v>37</v>
      </c>
      <c r="G944" s="5" t="s">
        <v>8438</v>
      </c>
      <c r="H944" s="6" t="s">
        <v>8439</v>
      </c>
      <c r="I944" s="7" t="s">
        <v>8440</v>
      </c>
      <c r="J944" s="8" t="str">
        <f>HYPERLINK("https://drive.google.com/file/d/1qkb7o_Pv5ufs5mvvSBZqwvkDggBku2e-/view?usp=drivesdk","ARIS SULISTIYONO  SERTIFIKAT BerAKHLAK")</f>
        <v>ARIS SULISTIYONO  SERTIFIKAT BerAKHLAK</v>
      </c>
      <c r="K944" s="5" t="s">
        <v>6335</v>
      </c>
      <c r="L944" s="5" t="s">
        <v>8441</v>
      </c>
      <c r="M944" s="5" t="s">
        <v>8442</v>
      </c>
      <c r="N944" s="7" t="s">
        <v>8443</v>
      </c>
      <c r="O944" s="8" t="str">
        <f>HYPERLINK("https://drive.google.com/file/d/1ieHsBz2gkojYEvOE9zHu_uMq831umKpx/view?usp=drivesdk","943_ARIS SULISTIYONO  _ SERTIFIKAT BIMTEK IPASN BerAKHLASK")</f>
        <v>943_ARIS SULISTIYONO  _ SERTIFIKAT BIMTEK IPASN BerAKHLASK</v>
      </c>
      <c r="P944" s="5" t="s">
        <v>8429</v>
      </c>
      <c r="Q944" s="5"/>
      <c r="R944" s="5"/>
      <c r="S944" s="5"/>
      <c r="T944" s="5"/>
    </row>
    <row r="945">
      <c r="A945" s="4">
        <v>45534.32822469907</v>
      </c>
      <c r="B945" s="5" t="s">
        <v>34</v>
      </c>
      <c r="D945" s="5" t="s">
        <v>1206</v>
      </c>
      <c r="E945" s="5" t="s">
        <v>8444</v>
      </c>
      <c r="F945" s="5" t="s">
        <v>37</v>
      </c>
      <c r="G945" s="5" t="s">
        <v>8445</v>
      </c>
      <c r="H945" s="6" t="s">
        <v>8446</v>
      </c>
      <c r="K945" s="5" t="s">
        <v>8447</v>
      </c>
      <c r="M945" s="5" t="s">
        <v>8448</v>
      </c>
      <c r="N945" s="7" t="s">
        <v>8449</v>
      </c>
      <c r="O945" s="8" t="str">
        <f>HYPERLINK("https://drive.google.com/file/d/1dpKcoSPRTwIKUWpbSf9oEzTfmC2ekmGD/view?usp=drivesdk","944_PENGATUR ASHADI PURNOMO _ SERTIFIKAT BIMTEK IPASN BerAKHLASK")</f>
        <v>944_PENGATUR ASHADI PURNOMO _ SERTIFIKAT BIMTEK IPASN BerAKHLASK</v>
      </c>
      <c r="P945" s="5" t="s">
        <v>8429</v>
      </c>
      <c r="Q945" s="5"/>
      <c r="R945" s="5"/>
      <c r="S945" s="5"/>
      <c r="T945" s="5"/>
    </row>
    <row r="946" hidden="1">
      <c r="A946" s="4">
        <v>45534.328246875</v>
      </c>
      <c r="B946" s="5" t="s">
        <v>19</v>
      </c>
      <c r="C946" s="5" t="s">
        <v>5058</v>
      </c>
      <c r="E946" s="5" t="s">
        <v>8450</v>
      </c>
      <c r="F946" s="5" t="s">
        <v>120</v>
      </c>
      <c r="G946" s="5" t="s">
        <v>8451</v>
      </c>
      <c r="H946" s="6" t="s">
        <v>8452</v>
      </c>
      <c r="I946" s="7" t="s">
        <v>8453</v>
      </c>
      <c r="J946" s="8" t="str">
        <f>HYPERLINK("https://drive.google.com/file/d/1a45PhG1bbACi262wlF6MyHg-CN138fmt/view?usp=drivesdk","NINOY SANTI KRESNORINI, S.E. SERTIFIKAT BerAKHLAK")</f>
        <v>NINOY SANTI KRESNORINI, S.E. SERTIFIKAT BerAKHLAK</v>
      </c>
      <c r="K946" s="5" t="s">
        <v>6335</v>
      </c>
      <c r="L946" s="5" t="s">
        <v>8454</v>
      </c>
      <c r="M946" s="5" t="s">
        <v>8455</v>
      </c>
      <c r="N946" s="7" t="s">
        <v>8456</v>
      </c>
      <c r="O946" s="8" t="str">
        <f>HYPERLINK("https://drive.google.com/file/d/1SzcLCosPOd6TClSEZF9TraBGCOpHRWVp/view?usp=drivesdk","945_NINOY SANTI KRESNORINI, S.E. _ SERTIFIKAT BIMTEK IPASN BerAKHLASK")</f>
        <v>945_NINOY SANTI KRESNORINI, S.E. _ SERTIFIKAT BIMTEK IPASN BerAKHLASK</v>
      </c>
      <c r="P946" s="5" t="s">
        <v>8429</v>
      </c>
      <c r="Q946" s="5"/>
      <c r="R946" s="5"/>
      <c r="S946" s="5"/>
      <c r="T946" s="5"/>
    </row>
    <row r="947">
      <c r="A947" s="4">
        <v>45534.32825320602</v>
      </c>
      <c r="B947" s="5" t="s">
        <v>34</v>
      </c>
      <c r="D947" s="5" t="s">
        <v>4775</v>
      </c>
      <c r="E947" s="5" t="s">
        <v>8457</v>
      </c>
      <c r="F947" s="5" t="s">
        <v>108</v>
      </c>
      <c r="G947" s="5" t="s">
        <v>8458</v>
      </c>
      <c r="H947" s="6" t="s">
        <v>8459</v>
      </c>
      <c r="I947" s="7" t="s">
        <v>8460</v>
      </c>
      <c r="J947" s="8" t="str">
        <f>HYPERLINK("https://drive.google.com/file/d/1JPdP4e8V_7x45SznZh0NXI5TJ2amWa3s/view?usp=drivesdk","DANY APRIASTUTI, SE SERTIFIKAT BerAKHLAK")</f>
        <v>DANY APRIASTUTI, SE SERTIFIKAT BerAKHLAK</v>
      </c>
      <c r="K947" s="5" t="s">
        <v>6335</v>
      </c>
      <c r="L947" s="5" t="s">
        <v>8461</v>
      </c>
      <c r="M947" s="5" t="s">
        <v>8462</v>
      </c>
      <c r="N947" s="7" t="s">
        <v>8463</v>
      </c>
      <c r="O947" s="8" t="str">
        <f>HYPERLINK("https://drive.google.com/file/d/1Ti0aqmRilKUA_mmmSDZvRl93xOeAzZYz/view?usp=drivesdk","946_DANY APRIASTUTI, SE _ SERTIFIKAT BIMTEK IPASN BerAKHLASK")</f>
        <v>946_DANY APRIASTUTI, SE _ SERTIFIKAT BIMTEK IPASN BerAKHLASK</v>
      </c>
      <c r="P947" s="5" t="s">
        <v>8464</v>
      </c>
      <c r="Q947" s="5"/>
      <c r="R947" s="5"/>
      <c r="S947" s="5"/>
      <c r="T947" s="5"/>
    </row>
    <row r="948">
      <c r="A948" s="4">
        <v>45534.32827219907</v>
      </c>
      <c r="B948" s="5" t="s">
        <v>34</v>
      </c>
      <c r="D948" s="5" t="s">
        <v>35</v>
      </c>
      <c r="E948" s="5" t="s">
        <v>8465</v>
      </c>
      <c r="F948" s="5" t="s">
        <v>715</v>
      </c>
      <c r="G948" s="5" t="s">
        <v>8466</v>
      </c>
      <c r="H948" s="6" t="s">
        <v>8467</v>
      </c>
      <c r="I948" s="7" t="s">
        <v>8468</v>
      </c>
      <c r="J948" s="8" t="str">
        <f>HYPERLINK("https://drive.google.com/file/d/1vPs-M_wP_MPVmal0YvkQumNG_PoHZVIs/view?usp=drivesdk","YANA SURYANA, SE SERTIFIKAT BerAKHLAK")</f>
        <v>YANA SURYANA, SE SERTIFIKAT BerAKHLAK</v>
      </c>
      <c r="K948" s="5" t="s">
        <v>6373</v>
      </c>
      <c r="L948" s="5" t="s">
        <v>8469</v>
      </c>
      <c r="M948" s="5" t="s">
        <v>8470</v>
      </c>
      <c r="N948" s="7" t="s">
        <v>8471</v>
      </c>
      <c r="O948" s="8" t="str">
        <f>HYPERLINK("https://drive.google.com/file/d/1czIZSEZ5lkI0dd1jjgDd3Fu8WLtYPwKj/view?usp=drivesdk","947_YANA SURYANA, SE _ SERTIFIKAT BIMTEK IPASN BerAKHLASK")</f>
        <v>947_YANA SURYANA, SE _ SERTIFIKAT BIMTEK IPASN BerAKHLASK</v>
      </c>
      <c r="P948" s="5" t="s">
        <v>8342</v>
      </c>
      <c r="Q948" s="5"/>
      <c r="R948" s="5"/>
      <c r="S948" s="5"/>
      <c r="T948" s="5"/>
    </row>
    <row r="949">
      <c r="A949" s="4">
        <v>45534.328290868056</v>
      </c>
      <c r="B949" s="5" t="s">
        <v>34</v>
      </c>
      <c r="D949" s="5" t="s">
        <v>604</v>
      </c>
      <c r="E949" s="5" t="s">
        <v>2403</v>
      </c>
      <c r="F949" s="5" t="s">
        <v>37</v>
      </c>
      <c r="G949" s="5" t="s">
        <v>8472</v>
      </c>
      <c r="H949" s="6" t="s">
        <v>8473</v>
      </c>
      <c r="I949" s="7" t="s">
        <v>8474</v>
      </c>
      <c r="J949" s="8" t="str">
        <f>HYPERLINK("https://drive.google.com/file/d/1MHXWdYc9an7JJC7zDXtaisKFabLt3Lsy/view?usp=drivesdk","SITI MARYATUN SERTIFIKAT BerAKHLAK")</f>
        <v>SITI MARYATUN SERTIFIKAT BerAKHLAK</v>
      </c>
      <c r="K949" s="5" t="s">
        <v>6373</v>
      </c>
      <c r="L949" s="5" t="s">
        <v>8475</v>
      </c>
      <c r="M949" s="5" t="s">
        <v>8476</v>
      </c>
      <c r="N949" s="7" t="s">
        <v>8477</v>
      </c>
      <c r="O949" s="8" t="str">
        <f>HYPERLINK("https://drive.google.com/file/d/1A9Jh1JxIPP0ABmYKw4lfrjDN4s0Pc3mH/view?usp=drivesdk","948_SITI MARYATUN _ SERTIFIKAT BIMTEK IPASN BerAKHLASK")</f>
        <v>948_SITI MARYATUN _ SERTIFIKAT BIMTEK IPASN BerAKHLASK</v>
      </c>
      <c r="P949" s="5" t="s">
        <v>8342</v>
      </c>
      <c r="Q949" s="5"/>
      <c r="R949" s="5"/>
      <c r="S949" s="5"/>
      <c r="T949" s="5"/>
    </row>
    <row r="950">
      <c r="A950" s="4">
        <v>45534.32829859953</v>
      </c>
      <c r="B950" s="5" t="s">
        <v>34</v>
      </c>
      <c r="D950" s="5" t="s">
        <v>3849</v>
      </c>
      <c r="E950" s="5" t="s">
        <v>8478</v>
      </c>
      <c r="F950" s="5" t="s">
        <v>37</v>
      </c>
      <c r="G950" s="5" t="s">
        <v>8479</v>
      </c>
      <c r="H950" s="6" t="s">
        <v>8480</v>
      </c>
      <c r="I950" s="7" t="s">
        <v>8481</v>
      </c>
      <c r="J950" s="8" t="str">
        <f>HYPERLINK("https://drive.google.com/file/d/14ExBbm-nkxHk5t1EyH02hAl9xwVK7mNq/view?usp=drivesdk","BUDI SUPRAYITNO  SERTIFIKAT BerAKHLAK")</f>
        <v>BUDI SUPRAYITNO  SERTIFIKAT BerAKHLAK</v>
      </c>
      <c r="K950" s="5" t="s">
        <v>6373</v>
      </c>
      <c r="L950" s="5" t="s">
        <v>8482</v>
      </c>
      <c r="M950" s="5" t="s">
        <v>8483</v>
      </c>
      <c r="N950" s="7" t="s">
        <v>8484</v>
      </c>
      <c r="O950" s="8" t="str">
        <f>HYPERLINK("https://drive.google.com/file/d/1Oqh-YH7FxzTxgU8jkf6RtJEQ4aSYmy3p/view?usp=drivesdk","949_BUDI SUPRAYITNO  _ SERTIFIKAT BIMTEK IPASN BerAKHLASK")</f>
        <v>949_BUDI SUPRAYITNO  _ SERTIFIKAT BIMTEK IPASN BerAKHLASK</v>
      </c>
      <c r="P950" s="5" t="s">
        <v>8342</v>
      </c>
      <c r="Q950" s="5"/>
      <c r="R950" s="5"/>
      <c r="S950" s="5"/>
      <c r="T950" s="5"/>
    </row>
    <row r="951">
      <c r="A951" s="4">
        <v>45534.32829893519</v>
      </c>
      <c r="B951" s="5" t="s">
        <v>34</v>
      </c>
      <c r="D951" s="5" t="s">
        <v>1768</v>
      </c>
      <c r="E951" s="5" t="s">
        <v>8485</v>
      </c>
      <c r="F951" s="5" t="s">
        <v>524</v>
      </c>
      <c r="G951" s="5" t="s">
        <v>8486</v>
      </c>
      <c r="H951" s="6" t="s">
        <v>8487</v>
      </c>
      <c r="I951" s="7" t="s">
        <v>8488</v>
      </c>
      <c r="J951" s="8" t="str">
        <f>HYPERLINK("https://drive.google.com/file/d/1XT82pBBxamyZTNAOjlM1Ay7D0yMBKTNj/view?usp=drivesdk","WEDAR ARI PRASTI SERTIFIKAT BerAKHLAK")</f>
        <v>WEDAR ARI PRASTI SERTIFIKAT BerAKHLAK</v>
      </c>
      <c r="K951" s="5" t="s">
        <v>6373</v>
      </c>
      <c r="L951" s="5" t="s">
        <v>8489</v>
      </c>
      <c r="M951" s="5" t="s">
        <v>8490</v>
      </c>
      <c r="N951" s="7" t="s">
        <v>8491</v>
      </c>
      <c r="O951" s="8" t="str">
        <f>HYPERLINK("https://drive.google.com/file/d/1Xq5tmpbD0Zjvv7qnEdn4xsrT_hcavzkt/view?usp=drivesdk","950_WEDAR ARI PRASTI _ SERTIFIKAT BIMTEK IPASN BerAKHLASK")</f>
        <v>950_WEDAR ARI PRASTI _ SERTIFIKAT BIMTEK IPASN BerAKHLASK</v>
      </c>
      <c r="P951" s="5" t="s">
        <v>8342</v>
      </c>
      <c r="Q951" s="5"/>
      <c r="R951" s="5"/>
      <c r="S951" s="5"/>
      <c r="T951" s="5"/>
    </row>
    <row r="952">
      <c r="A952" s="4">
        <v>45534.32830900463</v>
      </c>
      <c r="B952" s="5" t="s">
        <v>34</v>
      </c>
      <c r="D952" s="5" t="s">
        <v>4775</v>
      </c>
      <c r="E952" s="5" t="s">
        <v>8492</v>
      </c>
      <c r="F952" s="5" t="s">
        <v>108</v>
      </c>
      <c r="G952" s="5" t="s">
        <v>8493</v>
      </c>
      <c r="H952" s="6" t="s">
        <v>8494</v>
      </c>
      <c r="I952" s="7" t="s">
        <v>8495</v>
      </c>
      <c r="J952" s="8" t="str">
        <f>HYPERLINK("https://drive.google.com/file/d/1WSDF5YzqLfpx_peJTBaFSa6Q6lMmA1gM/view?usp=drivesdk","JOKO SUTARNO SH SERTIFIKAT BerAKHLAK")</f>
        <v>JOKO SUTARNO SH SERTIFIKAT BerAKHLAK</v>
      </c>
      <c r="K952" s="5" t="s">
        <v>6373</v>
      </c>
      <c r="L952" s="5" t="s">
        <v>8496</v>
      </c>
      <c r="M952" s="5" t="s">
        <v>8497</v>
      </c>
      <c r="N952" s="7" t="s">
        <v>8498</v>
      </c>
      <c r="O952" s="8" t="str">
        <f>HYPERLINK("https://drive.google.com/file/d/10lebPVbGSFeVnx6sYyFEGWXsCpA7oTfE/view?usp=drivesdk","951_JOKO SUTARNO SH _ SERTIFIKAT BIMTEK IPASN BerAKHLASK")</f>
        <v>951_JOKO SUTARNO SH _ SERTIFIKAT BIMTEK IPASN BerAKHLASK</v>
      </c>
      <c r="P952" s="5" t="s">
        <v>8342</v>
      </c>
      <c r="Q952" s="5"/>
      <c r="R952" s="5"/>
      <c r="S952" s="5"/>
      <c r="T952" s="5"/>
    </row>
    <row r="953">
      <c r="A953" s="4">
        <v>45534.32833243055</v>
      </c>
      <c r="B953" s="5" t="s">
        <v>34</v>
      </c>
      <c r="D953" s="5" t="s">
        <v>4775</v>
      </c>
      <c r="E953" s="5" t="s">
        <v>8499</v>
      </c>
      <c r="F953" s="5" t="s">
        <v>375</v>
      </c>
      <c r="G953" s="5" t="s">
        <v>8500</v>
      </c>
      <c r="H953" s="6" t="s">
        <v>8501</v>
      </c>
      <c r="I953" s="7" t="s">
        <v>8502</v>
      </c>
      <c r="J953" s="8" t="str">
        <f>HYPERLINK("https://drive.google.com/file/d/1UIvRip8sb8DnJ5wmho2fyTZ7Ep3doXkM/view?usp=drivesdk","DIAH AYU TETI PERMANASARI  SERTIFIKAT BerAKHLAK")</f>
        <v>DIAH AYU TETI PERMANASARI  SERTIFIKAT BerAKHLAK</v>
      </c>
      <c r="K953" s="5" t="s">
        <v>6373</v>
      </c>
      <c r="L953" s="5" t="s">
        <v>8503</v>
      </c>
      <c r="M953" s="5" t="s">
        <v>8504</v>
      </c>
      <c r="N953" s="7" t="s">
        <v>8505</v>
      </c>
      <c r="O953" s="8" t="str">
        <f>HYPERLINK("https://drive.google.com/file/d/1Hv1SfYyfdV-_qM5VqZYx0M4XLUI7d-mI/view?usp=drivesdk","952_DIAH AYU TETI PERMANASARI  _ SERTIFIKAT BIMTEK IPASN BerAKHLASK")</f>
        <v>952_DIAH AYU TETI PERMANASARI  _ SERTIFIKAT BIMTEK IPASN BerAKHLASK</v>
      </c>
      <c r="P953" s="5" t="s">
        <v>8506</v>
      </c>
      <c r="Q953" s="5"/>
      <c r="R953" s="5"/>
      <c r="S953" s="5"/>
      <c r="T953" s="5"/>
    </row>
    <row r="954">
      <c r="A954" s="4">
        <v>45534.32837853009</v>
      </c>
      <c r="B954" s="5" t="s">
        <v>34</v>
      </c>
      <c r="D954" s="5" t="s">
        <v>4775</v>
      </c>
      <c r="E954" s="5" t="s">
        <v>8507</v>
      </c>
      <c r="F954" s="5" t="s">
        <v>108</v>
      </c>
      <c r="G954" s="5" t="s">
        <v>8508</v>
      </c>
      <c r="H954" s="6" t="s">
        <v>8509</v>
      </c>
      <c r="I954" s="7" t="s">
        <v>8510</v>
      </c>
      <c r="J954" s="8" t="str">
        <f>HYPERLINK("https://drive.google.com/file/d/1WjCzyykqPyQ-khmTEmeJsUV-HoNaxl3u/view?usp=drivesdk","NUNI WAHYUNINGSIH SERTIFIKAT BerAKHLAK")</f>
        <v>NUNI WAHYUNINGSIH SERTIFIKAT BerAKHLAK</v>
      </c>
      <c r="K954" s="5" t="s">
        <v>6373</v>
      </c>
      <c r="L954" s="5" t="s">
        <v>8511</v>
      </c>
      <c r="M954" s="5" t="s">
        <v>8512</v>
      </c>
      <c r="N954" s="7" t="s">
        <v>8513</v>
      </c>
      <c r="O954" s="8" t="str">
        <f>HYPERLINK("https://drive.google.com/file/d/1nnVU3kigTNlCUDjzyCx9KWNiSEkU2Fre/view?usp=drivesdk","953_NUNI WAHYUNINGSIH _ SERTIFIKAT BIMTEK IPASN BerAKHLASK")</f>
        <v>953_NUNI WAHYUNINGSIH _ SERTIFIKAT BIMTEK IPASN BerAKHLASK</v>
      </c>
      <c r="P954" s="5" t="s">
        <v>8506</v>
      </c>
      <c r="Q954" s="5"/>
      <c r="R954" s="5"/>
      <c r="S954" s="5"/>
      <c r="T954" s="5"/>
    </row>
    <row r="955">
      <c r="A955" s="4">
        <v>45534.32838965278</v>
      </c>
      <c r="B955" s="5" t="s">
        <v>34</v>
      </c>
      <c r="D955" s="5" t="s">
        <v>267</v>
      </c>
      <c r="E955" s="5" t="s">
        <v>8514</v>
      </c>
      <c r="F955" s="5" t="s">
        <v>212</v>
      </c>
      <c r="G955" s="5" t="s">
        <v>8515</v>
      </c>
      <c r="H955" s="6" t="s">
        <v>8516</v>
      </c>
      <c r="I955" s="7" t="s">
        <v>8517</v>
      </c>
      <c r="J955" s="8" t="str">
        <f>HYPERLINK("https://drive.google.com/file/d/1gns5b5fyZboZ7mLgEOD7zhYAranGY-9A/view?usp=drivesdk","NANIK HERNANINGSIH SERTIFIKAT BerAKHLAK")</f>
        <v>NANIK HERNANINGSIH SERTIFIKAT BerAKHLAK</v>
      </c>
      <c r="K955" s="5" t="s">
        <v>6373</v>
      </c>
      <c r="L955" s="5" t="s">
        <v>8518</v>
      </c>
      <c r="M955" s="5" t="s">
        <v>8519</v>
      </c>
      <c r="N955" s="7" t="s">
        <v>8520</v>
      </c>
      <c r="O955" s="8" t="str">
        <f>HYPERLINK("https://drive.google.com/file/d/1xf1j0yHGG0rEPJ1DB3WancpVKmOeJ1z1/view?usp=drivesdk","954_NANIK HERNANINGSIH _ SERTIFIKAT BIMTEK IPASN BerAKHLASK")</f>
        <v>954_NANIK HERNANINGSIH _ SERTIFIKAT BIMTEK IPASN BerAKHLASK</v>
      </c>
      <c r="P955" s="5" t="s">
        <v>8506</v>
      </c>
      <c r="Q955" s="5"/>
      <c r="R955" s="5"/>
      <c r="S955" s="5"/>
      <c r="T955" s="5"/>
    </row>
    <row r="956">
      <c r="A956" s="4">
        <v>45534.32839927083</v>
      </c>
      <c r="B956" s="5" t="s">
        <v>34</v>
      </c>
      <c r="D956" s="5" t="s">
        <v>35</v>
      </c>
      <c r="E956" s="5" t="s">
        <v>8521</v>
      </c>
      <c r="F956" s="5" t="s">
        <v>524</v>
      </c>
      <c r="G956" s="5" t="s">
        <v>8522</v>
      </c>
      <c r="H956" s="6" t="s">
        <v>8523</v>
      </c>
      <c r="I956" s="7" t="s">
        <v>8524</v>
      </c>
      <c r="J956" s="8" t="str">
        <f>HYPERLINK("https://drive.google.com/file/d/1VD6tBdIKuBYAf4IevSTxEv_2rwfJ7Sct/view?usp=drivesdk","RINGGO KARYAWATI  SERTIFIKAT BerAKHLAK")</f>
        <v>RINGGO KARYAWATI  SERTIFIKAT BerAKHLAK</v>
      </c>
      <c r="K956" s="5" t="s">
        <v>6373</v>
      </c>
      <c r="L956" s="5" t="s">
        <v>8525</v>
      </c>
      <c r="M956" s="5" t="s">
        <v>8526</v>
      </c>
      <c r="N956" s="7" t="s">
        <v>8527</v>
      </c>
      <c r="O956" s="8" t="str">
        <f>HYPERLINK("https://drive.google.com/file/d/1kKT4Ms5bvMbK4sP6RyULxsaWlwXb6JOE/view?usp=drivesdk","955_RINGGO KARYAWATI  _ SERTIFIKAT BIMTEK IPASN BerAKHLASK")</f>
        <v>955_RINGGO KARYAWATI  _ SERTIFIKAT BIMTEK IPASN BerAKHLASK</v>
      </c>
      <c r="P956" s="5" t="s">
        <v>8506</v>
      </c>
      <c r="Q956" s="5"/>
      <c r="R956" s="5"/>
      <c r="S956" s="5"/>
      <c r="T956" s="5"/>
    </row>
    <row r="957">
      <c r="A957" s="4">
        <v>45534.32841297454</v>
      </c>
      <c r="B957" s="5" t="s">
        <v>34</v>
      </c>
      <c r="D957" s="5" t="s">
        <v>4775</v>
      </c>
      <c r="E957" s="5" t="s">
        <v>8528</v>
      </c>
      <c r="F957" s="5" t="s">
        <v>375</v>
      </c>
      <c r="G957" s="5" t="s">
        <v>8529</v>
      </c>
      <c r="H957" s="6" t="s">
        <v>8530</v>
      </c>
      <c r="I957" s="7" t="s">
        <v>8531</v>
      </c>
      <c r="J957" s="8" t="str">
        <f>HYPERLINK("https://drive.google.com/file/d/1kb__GRcM4KkXkc0dHUet4GkH4SigadfB/view?usp=drivesdk","TRI MULYANIII SERTIFIKAT BerAKHLAK")</f>
        <v>TRI MULYANIII SERTIFIKAT BerAKHLAK</v>
      </c>
      <c r="K957" s="5" t="s">
        <v>6373</v>
      </c>
      <c r="L957" s="5" t="s">
        <v>8532</v>
      </c>
      <c r="M957" s="5" t="s">
        <v>8533</v>
      </c>
      <c r="N957" s="7" t="s">
        <v>8534</v>
      </c>
      <c r="O957" s="8" t="str">
        <f>HYPERLINK("https://drive.google.com/file/d/1-SyaxFnqKRu20IpnF5zyS96pfz5QlAbr/view?usp=drivesdk","956_TRI MULYANIII _ SERTIFIKAT BIMTEK IPASN BerAKHLASK")</f>
        <v>956_TRI MULYANIII _ SERTIFIKAT BIMTEK IPASN BerAKHLASK</v>
      </c>
      <c r="P957" s="5" t="s">
        <v>8506</v>
      </c>
      <c r="Q957" s="5"/>
      <c r="R957" s="5"/>
      <c r="S957" s="5"/>
      <c r="T957" s="5"/>
    </row>
    <row r="958">
      <c r="A958" s="4">
        <v>45534.328429050925</v>
      </c>
      <c r="B958" s="5" t="s">
        <v>34</v>
      </c>
      <c r="D958" s="5" t="s">
        <v>35</v>
      </c>
      <c r="E958" s="5" t="s">
        <v>8535</v>
      </c>
      <c r="F958" s="5" t="s">
        <v>37</v>
      </c>
      <c r="G958" s="5" t="s">
        <v>8536</v>
      </c>
      <c r="H958" s="6" t="s">
        <v>8537</v>
      </c>
      <c r="I958" s="7" t="s">
        <v>8538</v>
      </c>
      <c r="J958" s="8" t="str">
        <f>HYPERLINK("https://drive.google.com/file/d/16KL_NHuT819Sz1xwkvRCHNg-cyoArvje/view?usp=drivesdk","ASEP HERMAWAN SERTIFIKAT BerAKHLAK")</f>
        <v>ASEP HERMAWAN SERTIFIKAT BerAKHLAK</v>
      </c>
      <c r="K958" s="5" t="s">
        <v>6373</v>
      </c>
      <c r="L958" s="5" t="s">
        <v>8539</v>
      </c>
      <c r="M958" s="5" t="s">
        <v>8540</v>
      </c>
      <c r="N958" s="7" t="s">
        <v>8541</v>
      </c>
      <c r="O958" s="8" t="str">
        <f>HYPERLINK("https://drive.google.com/file/d/1vTnzDhj6LGBTpKAvv5gLQCi0zyH6QZTq/view?usp=drivesdk","957_ASEP HERMAWAN _ SERTIFIKAT BIMTEK IPASN BerAKHLASK")</f>
        <v>957_ASEP HERMAWAN _ SERTIFIKAT BIMTEK IPASN BerAKHLASK</v>
      </c>
      <c r="P958" s="5" t="s">
        <v>8506</v>
      </c>
      <c r="Q958" s="5"/>
      <c r="R958" s="5"/>
      <c r="S958" s="5"/>
      <c r="T958" s="5"/>
    </row>
    <row r="959">
      <c r="A959" s="4">
        <v>45534.32843552083</v>
      </c>
      <c r="B959" s="5" t="s">
        <v>34</v>
      </c>
      <c r="D959" s="5" t="s">
        <v>580</v>
      </c>
      <c r="E959" s="5" t="s">
        <v>8542</v>
      </c>
      <c r="F959" s="5" t="s">
        <v>37</v>
      </c>
      <c r="G959" s="5" t="s">
        <v>8543</v>
      </c>
      <c r="H959" s="6" t="s">
        <v>8544</v>
      </c>
      <c r="I959" s="7" t="s">
        <v>8545</v>
      </c>
      <c r="J959" s="8" t="str">
        <f>HYPERLINK("https://drive.google.com/file/d/1irp4oIfq2eTx0lc67g1sKu6t-lDu3XSU/view?usp=drivesdk","PUTU YUNI WULANDARI A.MD.KEB SERTIFIKAT BerAKHLAK")</f>
        <v>PUTU YUNI WULANDARI A.MD.KEB SERTIFIKAT BerAKHLAK</v>
      </c>
      <c r="K959" s="5" t="s">
        <v>6373</v>
      </c>
      <c r="L959" s="5" t="s">
        <v>8546</v>
      </c>
      <c r="M959" s="5" t="s">
        <v>8547</v>
      </c>
      <c r="N959" s="7" t="s">
        <v>8548</v>
      </c>
      <c r="O959" s="8" t="str">
        <f>HYPERLINK("https://drive.google.com/file/d/1wAYCkj1zKL1dLuHYOdUNAPvN4VkExexF/view?usp=drivesdk","958_PUTU YUNI WULANDARI A.MD.KEB _ SERTIFIKAT BIMTEK IPASN BerAKHLASK")</f>
        <v>958_PUTU YUNI WULANDARI A.MD.KEB _ SERTIFIKAT BIMTEK IPASN BerAKHLASK</v>
      </c>
      <c r="P959" s="5" t="s">
        <v>8549</v>
      </c>
      <c r="Q959" s="5"/>
      <c r="R959" s="5"/>
      <c r="S959" s="5"/>
      <c r="T959" s="5"/>
    </row>
    <row r="960">
      <c r="A960" s="4">
        <v>45534.32843260417</v>
      </c>
      <c r="B960" s="5" t="s">
        <v>34</v>
      </c>
      <c r="D960" s="5" t="s">
        <v>4775</v>
      </c>
      <c r="E960" s="5" t="s">
        <v>8550</v>
      </c>
      <c r="F960" s="5" t="s">
        <v>212</v>
      </c>
      <c r="G960" s="5" t="s">
        <v>8551</v>
      </c>
      <c r="H960" s="6" t="s">
        <v>8552</v>
      </c>
      <c r="I960" s="7" t="s">
        <v>8553</v>
      </c>
      <c r="J960" s="8" t="str">
        <f>HYPERLINK("https://drive.google.com/file/d/1KSJO3D63sD6a4D0O2YyiBU5aPAoh4f98/view?usp=drivesdk","NINIK SUPRIYANTI SERTIFIKAT BerAKHLAK")</f>
        <v>NINIK SUPRIYANTI SERTIFIKAT BerAKHLAK</v>
      </c>
      <c r="K960" s="5" t="s">
        <v>6373</v>
      </c>
      <c r="L960" s="5" t="s">
        <v>8554</v>
      </c>
      <c r="M960" s="5" t="s">
        <v>8555</v>
      </c>
      <c r="N960" s="7" t="s">
        <v>8556</v>
      </c>
      <c r="O960" s="8" t="str">
        <f>HYPERLINK("https://drive.google.com/file/d/1ULu6B9CtRigUdid8hhifHuTG9kPmGNUN/view?usp=drivesdk","959_NINIK SUPRIYANTI _ SERTIFIKAT BIMTEK IPASN BerAKHLASK")</f>
        <v>959_NINIK SUPRIYANTI _ SERTIFIKAT BIMTEK IPASN BerAKHLASK</v>
      </c>
      <c r="P960" s="5" t="s">
        <v>8549</v>
      </c>
      <c r="Q960" s="5"/>
      <c r="R960" s="5"/>
      <c r="S960" s="5"/>
      <c r="T960" s="5"/>
    </row>
    <row r="961">
      <c r="A961" s="4">
        <v>45534.32846127315</v>
      </c>
      <c r="B961" s="5" t="s">
        <v>34</v>
      </c>
      <c r="D961" s="5" t="s">
        <v>1206</v>
      </c>
      <c r="E961" s="5" t="s">
        <v>8557</v>
      </c>
      <c r="F961" s="5" t="s">
        <v>199</v>
      </c>
      <c r="G961" s="5" t="s">
        <v>8558</v>
      </c>
      <c r="H961" s="6" t="s">
        <v>8559</v>
      </c>
      <c r="I961" s="7" t="s">
        <v>8560</v>
      </c>
      <c r="J961" s="8" t="str">
        <f>HYPERLINK("https://drive.google.com/file/d/1gPR6A84pveBa4Gx5k1hitr0rCY4VR6Sb/view?usp=drivesdk","RIKY FIRMANSYAH SERTIFIKAT BerAKHLAK")</f>
        <v>RIKY FIRMANSYAH SERTIFIKAT BerAKHLAK</v>
      </c>
      <c r="K961" s="5" t="s">
        <v>6373</v>
      </c>
      <c r="L961" s="5" t="s">
        <v>8561</v>
      </c>
      <c r="M961" s="5" t="s">
        <v>8562</v>
      </c>
      <c r="N961" s="7" t="s">
        <v>8563</v>
      </c>
      <c r="O961" s="8" t="str">
        <f>HYPERLINK("https://drive.google.com/file/d/1PH1H2tqEeVYl8gXDoFMPeBJmeIeNdaZx/view?usp=drivesdk","960_RIKY FIRMANSYAH _ SERTIFIKAT BIMTEK IPASN BerAKHLASK")</f>
        <v>960_RIKY FIRMANSYAH _ SERTIFIKAT BIMTEK IPASN BerAKHLASK</v>
      </c>
      <c r="P961" s="5" t="s">
        <v>8549</v>
      </c>
      <c r="Q961" s="5"/>
      <c r="R961" s="5"/>
      <c r="S961" s="5"/>
      <c r="T961" s="5"/>
    </row>
    <row r="962">
      <c r="A962" s="4">
        <v>45534.32847821759</v>
      </c>
      <c r="B962" s="5" t="s">
        <v>34</v>
      </c>
      <c r="D962" s="5" t="s">
        <v>1206</v>
      </c>
      <c r="E962" s="5" t="s">
        <v>8564</v>
      </c>
      <c r="F962" s="5" t="s">
        <v>212</v>
      </c>
      <c r="G962" s="5" t="s">
        <v>8565</v>
      </c>
      <c r="H962" s="6" t="s">
        <v>8566</v>
      </c>
      <c r="I962" s="7" t="s">
        <v>8567</v>
      </c>
      <c r="J962" s="8" t="str">
        <f>HYPERLINK("https://drive.google.com/file/d/1kj6k713F1nGWK8JqHobMbcq2CrERARFd/view?usp=drivesdk","NINUK WIDYA IRAWATI SERTIFIKAT BerAKHLAK")</f>
        <v>NINUK WIDYA IRAWATI SERTIFIKAT BerAKHLAK</v>
      </c>
      <c r="K962" s="5" t="s">
        <v>6373</v>
      </c>
      <c r="L962" s="5" t="s">
        <v>8568</v>
      </c>
      <c r="M962" s="5" t="s">
        <v>8569</v>
      </c>
      <c r="N962" s="7" t="s">
        <v>8570</v>
      </c>
      <c r="O962" s="8" t="str">
        <f>HYPERLINK("https://drive.google.com/file/d/19K0aCpAPDdNa1UESG8H0Pzqf9XQkxoer/view?usp=drivesdk","961_NINUK WIDYA IRAWATI _ SERTIFIKAT BIMTEK IPASN BerAKHLASK")</f>
        <v>961_NINUK WIDYA IRAWATI _ SERTIFIKAT BIMTEK IPASN BerAKHLASK</v>
      </c>
      <c r="P962" s="5" t="s">
        <v>8549</v>
      </c>
      <c r="Q962" s="5"/>
      <c r="R962" s="5"/>
      <c r="S962" s="5"/>
      <c r="T962" s="5"/>
    </row>
    <row r="963">
      <c r="A963" s="4">
        <v>45534.32849247685</v>
      </c>
      <c r="B963" s="5" t="s">
        <v>34</v>
      </c>
      <c r="D963" s="5" t="s">
        <v>580</v>
      </c>
      <c r="E963" s="5" t="s">
        <v>8571</v>
      </c>
      <c r="F963" s="5" t="s">
        <v>120</v>
      </c>
      <c r="G963" s="5" t="s">
        <v>8572</v>
      </c>
      <c r="H963" s="6" t="s">
        <v>8573</v>
      </c>
      <c r="I963" s="7" t="s">
        <v>8574</v>
      </c>
      <c r="J963" s="8" t="str">
        <f>HYPERLINK("https://drive.google.com/file/d/1ySJeU_S_rX0itoqGGAPlyzjKQP0sQ_Ig/view?usp=drivesdk","I WAYAN DARNA S SOS MAP SERTIFIKAT BerAKHLAK")</f>
        <v>I WAYAN DARNA S SOS MAP SERTIFIKAT BerAKHLAK</v>
      </c>
      <c r="K963" s="5" t="s">
        <v>6373</v>
      </c>
      <c r="L963" s="5" t="s">
        <v>8575</v>
      </c>
      <c r="M963" s="5" t="s">
        <v>8576</v>
      </c>
      <c r="N963" s="7" t="s">
        <v>8577</v>
      </c>
      <c r="O963" s="8" t="str">
        <f>HYPERLINK("https://drive.google.com/file/d/14C0O8w6VIAuRrSNtD62ps0p948PXoR62/view?usp=drivesdk","962_I WAYAN DARNA S SOS MAP _ SERTIFIKAT BIMTEK IPASN BerAKHLASK")</f>
        <v>962_I WAYAN DARNA S SOS MAP _ SERTIFIKAT BIMTEK IPASN BerAKHLASK</v>
      </c>
      <c r="P963" s="5" t="s">
        <v>8549</v>
      </c>
      <c r="Q963" s="5"/>
      <c r="R963" s="5"/>
      <c r="S963" s="5"/>
      <c r="T963" s="5"/>
    </row>
    <row r="964">
      <c r="A964" s="4">
        <v>45534.3285006713</v>
      </c>
      <c r="B964" s="5" t="s">
        <v>34</v>
      </c>
      <c r="D964" s="5" t="s">
        <v>4775</v>
      </c>
      <c r="E964" s="5" t="s">
        <v>8578</v>
      </c>
      <c r="F964" s="5" t="s">
        <v>37</v>
      </c>
      <c r="G964" s="5" t="s">
        <v>8579</v>
      </c>
      <c r="H964" s="6" t="s">
        <v>8580</v>
      </c>
      <c r="I964" s="7" t="s">
        <v>8581</v>
      </c>
      <c r="J964" s="8" t="str">
        <f>HYPERLINK("https://drive.google.com/file/d/1DY43vP-BxbwPJo8D9cr9Ev6L1pwEtq1i/view?usp=drivesdk","SUDARSONO, SKOM SERTIFIKAT BerAKHLAK")</f>
        <v>SUDARSONO, SKOM SERTIFIKAT BerAKHLAK</v>
      </c>
      <c r="K964" s="5" t="s">
        <v>6373</v>
      </c>
      <c r="L964" s="5" t="s">
        <v>8582</v>
      </c>
      <c r="M964" s="5" t="s">
        <v>8583</v>
      </c>
      <c r="N964" s="7" t="s">
        <v>8584</v>
      </c>
      <c r="O964" s="8" t="str">
        <f>HYPERLINK("https://drive.google.com/file/d/1YeXlRdOBwm2NfOXBgmmbUW83UhamvRqZ/view?usp=drivesdk","963_SUDARSONO, SKOM _ SERTIFIKAT BIMTEK IPASN BerAKHLASK")</f>
        <v>963_SUDARSONO, SKOM _ SERTIFIKAT BIMTEK IPASN BerAKHLASK</v>
      </c>
      <c r="P964" s="5" t="s">
        <v>8549</v>
      </c>
      <c r="Q964" s="5"/>
      <c r="R964" s="5"/>
      <c r="S964" s="5"/>
      <c r="T964" s="5"/>
    </row>
    <row r="965">
      <c r="A965" s="4">
        <v>45534.32850560185</v>
      </c>
      <c r="B965" s="5" t="s">
        <v>34</v>
      </c>
      <c r="D965" s="5" t="s">
        <v>1206</v>
      </c>
      <c r="E965" s="5" t="s">
        <v>8585</v>
      </c>
      <c r="F965" s="5" t="s">
        <v>212</v>
      </c>
      <c r="G965" s="5" t="s">
        <v>8586</v>
      </c>
      <c r="H965" s="6" t="s">
        <v>8587</v>
      </c>
      <c r="I965" s="7" t="s">
        <v>8588</v>
      </c>
      <c r="J965" s="8" t="str">
        <f>HYPERLINK("https://drive.google.com/file/d/1tVotXpT7uQgJyOIettGEi-NilSYmCPw7/view?usp=drivesdk","TRIANA DIANTARI SERTIFIKAT BerAKHLAK")</f>
        <v>TRIANA DIANTARI SERTIFIKAT BerAKHLAK</v>
      </c>
      <c r="K965" s="5" t="s">
        <v>6373</v>
      </c>
      <c r="L965" s="5" t="s">
        <v>8589</v>
      </c>
      <c r="M965" s="5" t="s">
        <v>8590</v>
      </c>
      <c r="N965" s="7" t="s">
        <v>8591</v>
      </c>
      <c r="O965" s="8" t="str">
        <f>HYPERLINK("https://drive.google.com/file/d/1m3CvtX6OZ2OPW7RAmY2H2lIifr8v2Y-_/view?usp=drivesdk","964_TRIANA DIANTARI _ SERTIFIKAT BIMTEK IPASN BerAKHLASK")</f>
        <v>964_TRIANA DIANTARI _ SERTIFIKAT BIMTEK IPASN BerAKHLASK</v>
      </c>
      <c r="P965" s="5" t="s">
        <v>8592</v>
      </c>
      <c r="Q965" s="5"/>
      <c r="R965" s="5"/>
      <c r="S965" s="5"/>
      <c r="T965" s="5"/>
    </row>
    <row r="966">
      <c r="A966" s="4">
        <v>45534.32851475694</v>
      </c>
      <c r="B966" s="5" t="s">
        <v>34</v>
      </c>
      <c r="D966" s="5" t="s">
        <v>280</v>
      </c>
      <c r="E966" s="5" t="s">
        <v>8593</v>
      </c>
      <c r="F966" s="5" t="s">
        <v>37</v>
      </c>
      <c r="G966" s="5" t="s">
        <v>8594</v>
      </c>
      <c r="H966" s="6" t="s">
        <v>8595</v>
      </c>
      <c r="I966" s="7" t="s">
        <v>8596</v>
      </c>
      <c r="J966" s="8" t="str">
        <f>HYPERLINK("https://drive.google.com/file/d/1hDw41mUiHEOya0gJYNwTvtixYu2bcoiq/view?usp=drivesdk","SUNDARI DARJO SERTIFIKAT BerAKHLAK")</f>
        <v>SUNDARI DARJO SERTIFIKAT BerAKHLAK</v>
      </c>
      <c r="K966" s="5" t="s">
        <v>6373</v>
      </c>
      <c r="L966" s="5" t="s">
        <v>8597</v>
      </c>
      <c r="M966" s="5" t="s">
        <v>8598</v>
      </c>
      <c r="N966" s="7" t="s">
        <v>8599</v>
      </c>
      <c r="O966" s="8" t="str">
        <f>HYPERLINK("https://drive.google.com/file/d/1degR3cHZDpd8ngEYxwcKCsDBJHJfr5E1/view?usp=drivesdk","965_SUNDARI DARJO _ SERTIFIKAT BIMTEK IPASN BerAKHLASK")</f>
        <v>965_SUNDARI DARJO _ SERTIFIKAT BIMTEK IPASN BerAKHLASK</v>
      </c>
      <c r="P966" s="5" t="s">
        <v>8592</v>
      </c>
      <c r="Q966" s="5"/>
      <c r="R966" s="5"/>
      <c r="S966" s="5"/>
      <c r="T966" s="5"/>
    </row>
    <row r="967">
      <c r="A967" s="4">
        <v>45534.3285486574</v>
      </c>
      <c r="B967" s="5" t="s">
        <v>34</v>
      </c>
      <c r="D967" s="5" t="s">
        <v>1206</v>
      </c>
      <c r="E967" s="5" t="s">
        <v>8600</v>
      </c>
      <c r="F967" s="5" t="s">
        <v>375</v>
      </c>
      <c r="G967" s="5" t="s">
        <v>8601</v>
      </c>
      <c r="H967" s="6" t="s">
        <v>8602</v>
      </c>
      <c r="I967" s="7" t="s">
        <v>8603</v>
      </c>
      <c r="J967" s="8" t="str">
        <f>HYPERLINK("https://drive.google.com/file/d/1a1csyMTwnWrHAJQ_KmNMZDJynKiCxhRG/view?usp=drivesdk","IWID YULIANI, SE SERTIFIKAT BerAKHLAK")</f>
        <v>IWID YULIANI, SE SERTIFIKAT BerAKHLAK</v>
      </c>
      <c r="K967" s="5" t="s">
        <v>6373</v>
      </c>
      <c r="L967" s="5" t="s">
        <v>8604</v>
      </c>
      <c r="M967" s="5" t="s">
        <v>8605</v>
      </c>
      <c r="N967" s="7" t="s">
        <v>8606</v>
      </c>
      <c r="O967" s="8" t="str">
        <f>HYPERLINK("https://drive.google.com/file/d/11fCkFJEtVXzB_EeDnzc0TyzPVfVUoePY/view?usp=drivesdk","966_IWID YULIANI, SE _ SERTIFIKAT BIMTEK IPASN BerAKHLASK")</f>
        <v>966_IWID YULIANI, SE _ SERTIFIKAT BIMTEK IPASN BerAKHLASK</v>
      </c>
      <c r="P967" s="5" t="s">
        <v>8592</v>
      </c>
      <c r="Q967" s="5"/>
      <c r="R967" s="5"/>
      <c r="S967" s="5"/>
      <c r="T967" s="5"/>
    </row>
    <row r="968">
      <c r="A968" s="4">
        <v>45534.328550185186</v>
      </c>
      <c r="B968" s="5" t="s">
        <v>34</v>
      </c>
      <c r="D968" s="5" t="s">
        <v>3849</v>
      </c>
      <c r="E968" s="5" t="s">
        <v>8607</v>
      </c>
      <c r="F968" s="5" t="s">
        <v>37</v>
      </c>
      <c r="G968" s="5" t="s">
        <v>8608</v>
      </c>
      <c r="H968" s="6" t="s">
        <v>8609</v>
      </c>
      <c r="I968" s="7" t="s">
        <v>8610</v>
      </c>
      <c r="J968" s="8" t="str">
        <f>HYPERLINK("https://drive.google.com/file/d/1RIpLFLD-MVOtBNpVNEhHWGszgmzW9KpG/view?usp=drivesdk","ENY WAHYUNINGSIH, Amd. Kep SERTIFIKAT BerAKHLAK")</f>
        <v>ENY WAHYUNINGSIH, Amd. Kep SERTIFIKAT BerAKHLAK</v>
      </c>
      <c r="K968" s="5" t="s">
        <v>6373</v>
      </c>
      <c r="L968" s="5" t="s">
        <v>8611</v>
      </c>
      <c r="M968" s="5" t="s">
        <v>8612</v>
      </c>
      <c r="N968" s="7" t="s">
        <v>8613</v>
      </c>
      <c r="O968" s="8" t="str">
        <f>HYPERLINK("https://drive.google.com/file/d/1j7-BWWU-nBXJ6YkaI98vbWC3myrjujys/view?usp=drivesdk","967_ENY WAHYUNINGSIH, Amd. Kep _ SERTIFIKAT BIMTEK IPASN BerAKHLASK")</f>
        <v>967_ENY WAHYUNINGSIH, Amd. Kep _ SERTIFIKAT BIMTEK IPASN BerAKHLASK</v>
      </c>
      <c r="P968" s="5" t="s">
        <v>8592</v>
      </c>
      <c r="Q968" s="5"/>
      <c r="R968" s="5"/>
      <c r="S968" s="5"/>
      <c r="T968" s="5"/>
    </row>
    <row r="969">
      <c r="A969" s="4">
        <v>45534.3285812963</v>
      </c>
      <c r="B969" s="5" t="s">
        <v>34</v>
      </c>
      <c r="D969" s="5" t="s">
        <v>580</v>
      </c>
      <c r="E969" s="5" t="s">
        <v>8614</v>
      </c>
      <c r="F969" s="5" t="s">
        <v>375</v>
      </c>
      <c r="G969" s="5" t="s">
        <v>8615</v>
      </c>
      <c r="H969" s="6" t="s">
        <v>8616</v>
      </c>
      <c r="I969" s="7" t="s">
        <v>8617</v>
      </c>
      <c r="J969" s="8" t="str">
        <f>HYPERLINK("https://drive.google.com/file/d/1a0uPatNQZTXSxDctyEyzLXn_Ojg-BlNV/view?usp=drivesdk","NI KOMANG SRI ANGGRENI, SH SERTIFIKAT BerAKHLAK")</f>
        <v>NI KOMANG SRI ANGGRENI, SH SERTIFIKAT BerAKHLAK</v>
      </c>
      <c r="K969" s="5" t="s">
        <v>6373</v>
      </c>
      <c r="L969" s="5" t="s">
        <v>8618</v>
      </c>
      <c r="M969" s="5" t="s">
        <v>8619</v>
      </c>
      <c r="N969" s="7" t="s">
        <v>8620</v>
      </c>
      <c r="O969" s="8" t="str">
        <f>HYPERLINK("https://drive.google.com/file/d/1Bhp7f2dDvEw2v1LygTvBrsD3VbzcSsf-/view?usp=drivesdk","968_NI KOMANG SRI ANGGRENI, SH _ SERTIFIKAT BIMTEK IPASN BerAKHLASK")</f>
        <v>968_NI KOMANG SRI ANGGRENI, SH _ SERTIFIKAT BIMTEK IPASN BerAKHLASK</v>
      </c>
      <c r="P969" s="5" t="s">
        <v>8621</v>
      </c>
      <c r="Q969" s="5"/>
      <c r="R969" s="5"/>
      <c r="S969" s="5"/>
      <c r="T969" s="5"/>
    </row>
    <row r="970">
      <c r="A970" s="4">
        <v>45534.328582002316</v>
      </c>
      <c r="B970" s="5" t="s">
        <v>34</v>
      </c>
      <c r="D970" s="5" t="s">
        <v>604</v>
      </c>
      <c r="E970" s="5" t="s">
        <v>8622</v>
      </c>
      <c r="F970" s="5" t="s">
        <v>524</v>
      </c>
      <c r="G970" s="5" t="s">
        <v>8623</v>
      </c>
      <c r="H970" s="6" t="s">
        <v>8624</v>
      </c>
      <c r="I970" s="7" t="s">
        <v>8625</v>
      </c>
      <c r="J970" s="8" t="str">
        <f>HYPERLINK("https://drive.google.com/file/d/1fJ02bN-tipDZF9FMPzbHwkACy25mGh4h/view?usp=drivesdk","NURVIN LILIYANTI, SKM SERTIFIKAT BerAKHLAK")</f>
        <v>NURVIN LILIYANTI, SKM SERTIFIKAT BerAKHLAK</v>
      </c>
      <c r="K970" s="5" t="s">
        <v>6373</v>
      </c>
      <c r="L970" s="5" t="s">
        <v>8626</v>
      </c>
      <c r="M970" s="5" t="s">
        <v>8627</v>
      </c>
      <c r="N970" s="7" t="s">
        <v>8628</v>
      </c>
      <c r="O970" s="8" t="str">
        <f>HYPERLINK("https://drive.google.com/file/d/13T9_j5bBDPt7g27bIFrn_kUTdNXiTSk3/view?usp=drivesdk","969_NURVIN LILIYANTI, SKM _ SERTIFIKAT BIMTEK IPASN BerAKHLASK")</f>
        <v>969_NURVIN LILIYANTI, SKM _ SERTIFIKAT BIMTEK IPASN BerAKHLASK</v>
      </c>
      <c r="P970" s="5" t="s">
        <v>8621</v>
      </c>
      <c r="Q970" s="5"/>
      <c r="R970" s="5"/>
      <c r="S970" s="5"/>
      <c r="T970" s="5"/>
    </row>
    <row r="971">
      <c r="A971" s="4">
        <v>45534.32859179398</v>
      </c>
      <c r="B971" s="5" t="s">
        <v>34</v>
      </c>
      <c r="D971" s="5" t="s">
        <v>3849</v>
      </c>
      <c r="E971" s="5" t="s">
        <v>8629</v>
      </c>
      <c r="F971" s="5" t="s">
        <v>37</v>
      </c>
      <c r="G971" s="5" t="s">
        <v>8630</v>
      </c>
      <c r="H971" s="6" t="s">
        <v>8631</v>
      </c>
      <c r="I971" s="7" t="s">
        <v>8632</v>
      </c>
      <c r="J971" s="8" t="str">
        <f>HYPERLINK("https://drive.google.com/file/d/13WSwtbYv5sgUruHNrqECQpCeI66YkE0q/view?usp=drivesdk","TUTUSSARASTI SERTIFIKAT BerAKHLAK")</f>
        <v>TUTUSSARASTI SERTIFIKAT BerAKHLAK</v>
      </c>
      <c r="K971" s="5" t="s">
        <v>6373</v>
      </c>
      <c r="L971" s="5" t="s">
        <v>8633</v>
      </c>
      <c r="M971" s="5" t="s">
        <v>8634</v>
      </c>
      <c r="N971" s="7" t="s">
        <v>8635</v>
      </c>
      <c r="O971" s="8" t="str">
        <f>HYPERLINK("https://drive.google.com/file/d/1Ex_rDEhtX2Rbu44CCo26AgXYmzRmJP3c/view?usp=drivesdk","970_TUTUSSARASTI _ SERTIFIKAT BIMTEK IPASN BerAKHLASK")</f>
        <v>970_TUTUSSARASTI _ SERTIFIKAT BIMTEK IPASN BerAKHLASK</v>
      </c>
      <c r="P971" s="5" t="s">
        <v>8621</v>
      </c>
      <c r="Q971" s="5"/>
      <c r="R971" s="5"/>
      <c r="S971" s="5"/>
      <c r="T971" s="5"/>
    </row>
    <row r="972">
      <c r="A972" s="4">
        <v>45534.3286047338</v>
      </c>
      <c r="B972" s="5" t="s">
        <v>34</v>
      </c>
      <c r="D972" s="5" t="s">
        <v>1206</v>
      </c>
      <c r="E972" s="5" t="s">
        <v>8636</v>
      </c>
      <c r="F972" s="5" t="s">
        <v>212</v>
      </c>
      <c r="G972" s="5" t="s">
        <v>8637</v>
      </c>
      <c r="H972" s="6" t="s">
        <v>8638</v>
      </c>
      <c r="I972" s="7" t="s">
        <v>8639</v>
      </c>
      <c r="J972" s="8" t="str">
        <f>HYPERLINK("https://drive.google.com/file/d/1JbqE1l0IczSwRtVNbLMOALcdoAqZSJnS/view?usp=drivesdk","SITI RACHMAWATI SH SERTIFIKAT BerAKHLAK")</f>
        <v>SITI RACHMAWATI SH SERTIFIKAT BerAKHLAK</v>
      </c>
      <c r="K972" s="5" t="s">
        <v>6373</v>
      </c>
      <c r="L972" s="5" t="s">
        <v>8640</v>
      </c>
      <c r="M972" s="5" t="s">
        <v>8641</v>
      </c>
      <c r="N972" s="7" t="s">
        <v>8642</v>
      </c>
      <c r="O972" s="8" t="str">
        <f>HYPERLINK("https://drive.google.com/file/d/18g_bZR08WXACP6CpEMvdkpXXoGFPwcRc/view?usp=drivesdk","971_SITI RACHMAWATI SH _ SERTIFIKAT BIMTEK IPASN BerAKHLASK")</f>
        <v>971_SITI RACHMAWATI SH _ SERTIFIKAT BIMTEK IPASN BerAKHLASK</v>
      </c>
      <c r="P972" s="5" t="s">
        <v>8621</v>
      </c>
      <c r="Q972" s="5"/>
      <c r="R972" s="5"/>
      <c r="S972" s="5"/>
      <c r="T972" s="5"/>
    </row>
    <row r="973">
      <c r="A973" s="4">
        <v>45534.32860652778</v>
      </c>
      <c r="B973" s="5" t="s">
        <v>34</v>
      </c>
      <c r="D973" s="5" t="s">
        <v>1206</v>
      </c>
      <c r="E973" s="5" t="s">
        <v>8643</v>
      </c>
      <c r="F973" s="5" t="s">
        <v>37</v>
      </c>
      <c r="G973" s="5" t="s">
        <v>8644</v>
      </c>
      <c r="H973" s="6" t="s">
        <v>8645</v>
      </c>
      <c r="I973" s="7" t="s">
        <v>8646</v>
      </c>
      <c r="J973" s="8" t="str">
        <f>HYPERLINK("https://drive.google.com/file/d/1kFWPXdJmsa81tJwX4y3pR_8C9W5azDcc/view?usp=drivesdk","AUNUR ROSYIDAH SERTIFIKAT BerAKHLAK")</f>
        <v>AUNUR ROSYIDAH SERTIFIKAT BerAKHLAK</v>
      </c>
      <c r="K973" s="5" t="s">
        <v>8647</v>
      </c>
      <c r="L973" s="5" t="s">
        <v>8648</v>
      </c>
      <c r="M973" s="5" t="s">
        <v>8649</v>
      </c>
      <c r="N973" s="7" t="s">
        <v>8650</v>
      </c>
      <c r="O973" s="8" t="str">
        <f>HYPERLINK("https://drive.google.com/file/d/16yfw9XD80_DgzMVNCDqpLeg8q9lUoWwn/view?usp=drivesdk","972_AUNUR ROSYIDAH _ SERTIFIKAT BIMTEK IPASN BerAKHLASK")</f>
        <v>972_AUNUR ROSYIDAH _ SERTIFIKAT BIMTEK IPASN BerAKHLASK</v>
      </c>
      <c r="P973" s="5" t="s">
        <v>8621</v>
      </c>
      <c r="Q973" s="5"/>
      <c r="R973" s="5"/>
      <c r="S973" s="5"/>
      <c r="T973" s="5"/>
    </row>
    <row r="974">
      <c r="A974" s="4">
        <v>45534.32860620371</v>
      </c>
      <c r="B974" s="5" t="s">
        <v>34</v>
      </c>
      <c r="D974" s="5" t="s">
        <v>580</v>
      </c>
      <c r="E974" s="5" t="s">
        <v>8651</v>
      </c>
      <c r="F974" s="5" t="s">
        <v>37</v>
      </c>
      <c r="G974" s="5" t="s">
        <v>8652</v>
      </c>
      <c r="H974" s="6" t="s">
        <v>8653</v>
      </c>
      <c r="I974" s="7" t="s">
        <v>8654</v>
      </c>
      <c r="J974" s="8" t="str">
        <f>HYPERLINK("https://drive.google.com/file/d/1LkaVIA6paOE-Eqs4FiHSLGImfH5kn9uh/view?usp=drivesdk","NI KADEK PUSPA SARI YANDHI MERTI PUTRI SERTIFIKAT BerAKHLAK")</f>
        <v>NI KADEK PUSPA SARI YANDHI MERTI PUTRI SERTIFIKAT BerAKHLAK</v>
      </c>
      <c r="K974" s="5" t="s">
        <v>8647</v>
      </c>
      <c r="L974" s="5" t="s">
        <v>8655</v>
      </c>
      <c r="M974" s="5" t="s">
        <v>8656</v>
      </c>
      <c r="N974" s="7" t="s">
        <v>8657</v>
      </c>
      <c r="O974" s="8" t="str">
        <f>HYPERLINK("https://drive.google.com/file/d/1kR7Sz0M7aOnPzpszvEChq0i7nKtoJHYm/view?usp=drivesdk","973_NI KADEK PUSPA SARI YANDHI MERTI PUTRI _ SERTIFIKAT BIMTEK IPASN BerAKHLASK")</f>
        <v>973_NI KADEK PUSPA SARI YANDHI MERTI PUTRI _ SERTIFIKAT BIMTEK IPASN BerAKHLASK</v>
      </c>
      <c r="P974" s="5" t="s">
        <v>8621</v>
      </c>
      <c r="Q974" s="5"/>
      <c r="R974" s="5"/>
      <c r="S974" s="5"/>
      <c r="T974" s="5"/>
    </row>
    <row r="975">
      <c r="A975" s="4">
        <v>45534.32860952546</v>
      </c>
      <c r="B975" s="5" t="s">
        <v>34</v>
      </c>
      <c r="D975" s="5" t="s">
        <v>1206</v>
      </c>
      <c r="E975" s="5" t="s">
        <v>8658</v>
      </c>
      <c r="F975" s="5" t="s">
        <v>37</v>
      </c>
      <c r="G975" s="5" t="s">
        <v>8659</v>
      </c>
      <c r="H975" s="6" t="s">
        <v>8660</v>
      </c>
      <c r="I975" s="7" t="s">
        <v>8661</v>
      </c>
      <c r="J975" s="8" t="str">
        <f>HYPERLINK("https://drive.google.com/file/d/1gq2BvBnrfVCNirjWdiyVtDY3TUiDxzfo/view?usp=drivesdk","DESI INDRIANA PUSPITAWATI, A.Md.Kep SERTIFIKAT BerAKHLAK")</f>
        <v>DESI INDRIANA PUSPITAWATI, A.Md.Kep SERTIFIKAT BerAKHLAK</v>
      </c>
      <c r="K975" s="5" t="s">
        <v>8647</v>
      </c>
      <c r="L975" s="5" t="s">
        <v>8662</v>
      </c>
      <c r="M975" s="5" t="s">
        <v>8663</v>
      </c>
      <c r="N975" s="7" t="s">
        <v>8664</v>
      </c>
      <c r="O975" s="8" t="str">
        <f>HYPERLINK("https://drive.google.com/file/d/1WnnbxI9AsA3aXenm3EYrsNHNoU38WxxJ/view?usp=drivesdk","974_DESI INDRIANA PUSPITAWATI, A.Md.Kep _ SERTIFIKAT BIMTEK IPASN BerAKHLASK")</f>
        <v>974_DESI INDRIANA PUSPITAWATI, A.Md.Kep _ SERTIFIKAT BIMTEK IPASN BerAKHLASK</v>
      </c>
      <c r="P975" s="5" t="s">
        <v>8665</v>
      </c>
      <c r="Q975" s="5"/>
      <c r="R975" s="5"/>
      <c r="S975" s="5"/>
      <c r="T975" s="5"/>
    </row>
    <row r="976" hidden="1">
      <c r="A976" s="4">
        <v>45534.32861197917</v>
      </c>
      <c r="B976" s="5" t="s">
        <v>19</v>
      </c>
      <c r="C976" s="5" t="s">
        <v>8666</v>
      </c>
      <c r="E976" s="5" t="s">
        <v>8667</v>
      </c>
      <c r="F976" s="5" t="s">
        <v>108</v>
      </c>
      <c r="G976" s="5" t="s">
        <v>8668</v>
      </c>
      <c r="H976" s="6" t="s">
        <v>8669</v>
      </c>
      <c r="I976" s="7" t="s">
        <v>8670</v>
      </c>
      <c r="J976" s="8" t="str">
        <f>HYPERLINK("https://drive.google.com/file/d/1NV1Mdn-Zt9-7u1Oa7u4QmkdF0-_wEqYJ/view?usp=drivesdk","PIPIT INDRAWATI  SERTIFIKAT BerAKHLAK")</f>
        <v>PIPIT INDRAWATI  SERTIFIKAT BerAKHLAK</v>
      </c>
      <c r="K976" s="5" t="s">
        <v>8647</v>
      </c>
      <c r="L976" s="5" t="s">
        <v>8671</v>
      </c>
      <c r="M976" s="5" t="s">
        <v>8672</v>
      </c>
      <c r="N976" s="7" t="s">
        <v>8673</v>
      </c>
      <c r="O976" s="8" t="str">
        <f>HYPERLINK("https://drive.google.com/file/d/1pQ4USsC1WbC-u8OvZOOrMS8wQvfTHlib/view?usp=drivesdk","975_PIPIT INDRAWATI  _ SERTIFIKAT BIMTEK IPASN BerAKHLASK")</f>
        <v>975_PIPIT INDRAWATI  _ SERTIFIKAT BIMTEK IPASN BerAKHLASK</v>
      </c>
      <c r="P976" s="5" t="s">
        <v>8665</v>
      </c>
      <c r="Q976" s="5"/>
      <c r="R976" s="5"/>
      <c r="S976" s="5"/>
      <c r="T976" s="5"/>
    </row>
    <row r="977">
      <c r="A977" s="4">
        <v>45534.32861658565</v>
      </c>
      <c r="B977" s="5" t="s">
        <v>34</v>
      </c>
      <c r="D977" s="5" t="s">
        <v>1206</v>
      </c>
      <c r="E977" s="5" t="s">
        <v>8674</v>
      </c>
      <c r="F977" s="5" t="s">
        <v>72</v>
      </c>
      <c r="G977" s="5" t="s">
        <v>8675</v>
      </c>
      <c r="H977" s="6" t="s">
        <v>8676</v>
      </c>
      <c r="I977" s="7" t="s">
        <v>8677</v>
      </c>
      <c r="J977" s="8" t="str">
        <f>HYPERLINK("https://drive.google.com/file/d/1TA9mujcpEdbeU-R1l8j_3laoIxJ4Qz87/view?usp=drivesdk","dr DONY ASPRIADI S,Kediaman, M.M. SERTIFIKAT BerAKHLAK")</f>
        <v>dr DONY ASPRIADI S,Kediaman, M.M. SERTIFIKAT BerAKHLAK</v>
      </c>
      <c r="K977" s="5" t="s">
        <v>8647</v>
      </c>
      <c r="L977" s="5" t="s">
        <v>8678</v>
      </c>
      <c r="M977" s="5" t="s">
        <v>8679</v>
      </c>
      <c r="N977" s="7" t="s">
        <v>8680</v>
      </c>
      <c r="O977" s="8" t="str">
        <f>HYPERLINK("https://drive.google.com/file/d/1E9xneMXty7bYvWrroiXO7Sd2QqdBTRLu/view?usp=drivesdk","976_dr DONY ASPRIADI S,Kediaman, M.M. _ SERTIFIKAT BIMTEK IPASN BerAKHLASK")</f>
        <v>976_dr DONY ASPRIADI S,Kediaman, M.M. _ SERTIFIKAT BIMTEK IPASN BerAKHLASK</v>
      </c>
      <c r="P977" s="5" t="s">
        <v>8665</v>
      </c>
      <c r="Q977" s="5"/>
      <c r="R977" s="5"/>
      <c r="S977" s="5"/>
      <c r="T977" s="5"/>
    </row>
    <row r="978">
      <c r="A978" s="4">
        <v>45534.328624560185</v>
      </c>
      <c r="B978" s="5" t="s">
        <v>34</v>
      </c>
      <c r="D978" s="5" t="s">
        <v>1663</v>
      </c>
      <c r="E978" s="5" t="s">
        <v>8681</v>
      </c>
      <c r="F978" s="5" t="s">
        <v>37</v>
      </c>
      <c r="G978" s="5" t="s">
        <v>8682</v>
      </c>
      <c r="H978" s="6" t="s">
        <v>8683</v>
      </c>
      <c r="I978" s="7" t="s">
        <v>8684</v>
      </c>
      <c r="J978" s="8" t="str">
        <f>HYPERLINK("https://drive.google.com/file/d/1fJ847BBLmDvIZkj6015rL9WnEcTFXG7O/view?usp=drivesdk","UNA NAVALINA, A.Md.AK SERTIFIKAT BerAKHLAK")</f>
        <v>UNA NAVALINA, A.Md.AK SERTIFIKAT BerAKHLAK</v>
      </c>
      <c r="K978" s="5" t="s">
        <v>8685</v>
      </c>
      <c r="L978" s="5" t="s">
        <v>8686</v>
      </c>
      <c r="M978" s="5" t="s">
        <v>8687</v>
      </c>
      <c r="N978" s="7" t="s">
        <v>8688</v>
      </c>
      <c r="O978" s="8" t="str">
        <f>HYPERLINK("https://drive.google.com/file/d/1YI-VJj-zZulAB4G9bhf3U757hzJFBUhd/view?usp=drivesdk","977_UNA NAVALINA, A.Md.AK _ SERTIFIKAT BIMTEK IPASN BerAKHLASK")</f>
        <v>977_UNA NAVALINA, A.Md.AK _ SERTIFIKAT BIMTEK IPASN BerAKHLASK</v>
      </c>
      <c r="P978" s="5" t="s">
        <v>8665</v>
      </c>
      <c r="Q978" s="5"/>
      <c r="R978" s="5"/>
      <c r="S978" s="5"/>
      <c r="T978" s="5"/>
    </row>
    <row r="979">
      <c r="A979" s="4">
        <v>45534.32862971065</v>
      </c>
      <c r="B979" s="5" t="s">
        <v>34</v>
      </c>
      <c r="D979" s="5" t="s">
        <v>4775</v>
      </c>
      <c r="E979" s="5" t="s">
        <v>8689</v>
      </c>
      <c r="F979" s="5" t="s">
        <v>199</v>
      </c>
      <c r="G979" s="5" t="s">
        <v>8690</v>
      </c>
      <c r="H979" s="6" t="s">
        <v>8691</v>
      </c>
      <c r="I979" s="7" t="s">
        <v>8692</v>
      </c>
      <c r="J979" s="8" t="str">
        <f>HYPERLINK("https://drive.google.com/file/d/1NYkqZTvb8iNQl35_1K5ugLqL6gmjpbAI/view?usp=drivesdk","KOESHERIANTO SERTIFIKAT BerAKHLAK")</f>
        <v>KOESHERIANTO SERTIFIKAT BerAKHLAK</v>
      </c>
      <c r="K979" s="5" t="s">
        <v>6373</v>
      </c>
      <c r="L979" s="5" t="s">
        <v>8693</v>
      </c>
      <c r="M979" s="5" t="s">
        <v>8694</v>
      </c>
      <c r="N979" s="7" t="s">
        <v>8695</v>
      </c>
      <c r="O979" s="8" t="str">
        <f>HYPERLINK("https://drive.google.com/file/d/13z8vilbVgFvmdrSKdoG6t2P7yTGJOSrS/view?usp=drivesdk","978_KOESHERIANTO _ SERTIFIKAT BIMTEK IPASN BerAKHLASK")</f>
        <v>978_KOESHERIANTO _ SERTIFIKAT BIMTEK IPASN BerAKHLASK</v>
      </c>
      <c r="P979" s="5" t="s">
        <v>8665</v>
      </c>
      <c r="Q979" s="5"/>
      <c r="R979" s="5"/>
      <c r="S979" s="5"/>
      <c r="T979" s="5"/>
    </row>
    <row r="980">
      <c r="A980" s="4">
        <v>45534.32863106481</v>
      </c>
      <c r="B980" s="5" t="s">
        <v>34</v>
      </c>
      <c r="D980" s="5" t="s">
        <v>580</v>
      </c>
      <c r="E980" s="5" t="s">
        <v>8696</v>
      </c>
      <c r="F980" s="5" t="s">
        <v>375</v>
      </c>
      <c r="G980" s="5" t="s">
        <v>8697</v>
      </c>
      <c r="H980" s="6" t="s">
        <v>8698</v>
      </c>
      <c r="I980" s="7" t="s">
        <v>8699</v>
      </c>
      <c r="J980" s="8" t="str">
        <f>HYPERLINK("https://drive.google.com/file/d/1yA7BtlWYdCOSuFyWbxuj3fVJ7iP46Ilk/view?usp=drivesdk","NI WAYAN RASMINI, S.E SERTIFIKAT BerAKHLAK")</f>
        <v>NI WAYAN RASMINI, S.E SERTIFIKAT BerAKHLAK</v>
      </c>
      <c r="K980" s="5" t="s">
        <v>6373</v>
      </c>
      <c r="L980" s="5" t="s">
        <v>8700</v>
      </c>
      <c r="M980" s="5" t="s">
        <v>8701</v>
      </c>
      <c r="N980" s="7" t="s">
        <v>8702</v>
      </c>
      <c r="O980" s="8" t="str">
        <f>HYPERLINK("https://drive.google.com/file/d/1QspekesunY-ot6SV6z2NMhrLKTNGEqfG/view?usp=drivesdk","979_NI WAYAN RASMINI, S.E _ SERTIFIKAT BIMTEK IPASN BerAKHLASK")</f>
        <v>979_NI WAYAN RASMINI, S.E _ SERTIFIKAT BIMTEK IPASN BerAKHLASK</v>
      </c>
      <c r="P980" s="5" t="s">
        <v>8665</v>
      </c>
      <c r="Q980" s="5"/>
      <c r="R980" s="5"/>
      <c r="S980" s="5"/>
      <c r="T980" s="5"/>
    </row>
    <row r="981">
      <c r="A981" s="4">
        <v>45534.328632766206</v>
      </c>
      <c r="B981" s="5" t="s">
        <v>34</v>
      </c>
      <c r="D981" s="5" t="s">
        <v>35</v>
      </c>
      <c r="E981" s="5" t="s">
        <v>8703</v>
      </c>
      <c r="F981" s="5" t="s">
        <v>37</v>
      </c>
      <c r="G981" s="5" t="s">
        <v>8704</v>
      </c>
      <c r="H981" s="6" t="s">
        <v>8705</v>
      </c>
      <c r="I981" s="7" t="s">
        <v>8706</v>
      </c>
      <c r="J981" s="8" t="str">
        <f>HYPERLINK("https://drive.google.com/file/d/17hj-SAjK6z7ZyDX4cdwa2BKyA19xFG48/view?usp=drivesdk","SAEPULLOH BAHRI,S.IP SERTIFIKAT BerAKHLAK")</f>
        <v>SAEPULLOH BAHRI,S.IP SERTIFIKAT BerAKHLAK</v>
      </c>
      <c r="K981" s="5" t="s">
        <v>8647</v>
      </c>
      <c r="L981" s="5" t="s">
        <v>8707</v>
      </c>
      <c r="M981" s="5" t="s">
        <v>8708</v>
      </c>
      <c r="N981" s="7" t="s">
        <v>8709</v>
      </c>
      <c r="O981" s="8" t="str">
        <f>HYPERLINK("https://drive.google.com/file/d/1XwoydxUNqQ6QteJhyaNVGQfCyOBq-CTJ/view?usp=drivesdk","980_SAEPULLOH BAHRI,S.IP _ SERTIFIKAT BIMTEK IPASN BerAKHLASK")</f>
        <v>980_SAEPULLOH BAHRI,S.IP _ SERTIFIKAT BIMTEK IPASN BerAKHLASK</v>
      </c>
      <c r="P981" s="5" t="s">
        <v>8665</v>
      </c>
      <c r="Q981" s="5"/>
      <c r="R981" s="5"/>
      <c r="S981" s="5"/>
      <c r="T981" s="5"/>
    </row>
    <row r="982">
      <c r="A982" s="4">
        <v>45534.32868569445</v>
      </c>
      <c r="B982" s="5" t="s">
        <v>34</v>
      </c>
      <c r="D982" s="5" t="s">
        <v>35</v>
      </c>
      <c r="E982" s="5" t="s">
        <v>8710</v>
      </c>
      <c r="F982" s="5" t="s">
        <v>375</v>
      </c>
      <c r="G982" s="5" t="s">
        <v>8711</v>
      </c>
      <c r="H982" s="6" t="s">
        <v>8712</v>
      </c>
      <c r="I982" s="7" t="s">
        <v>8713</v>
      </c>
      <c r="J982" s="8" t="str">
        <f>HYPERLINK("https://drive.google.com/file/d/16YwwfN2ZDxpnK1wJmFZQxYXqJF9Hbqo3/view?usp=drivesdk","DEWI MUSTIKA, SE SERTIFIKAT BerAKHLAK")</f>
        <v>DEWI MUSTIKA, SE SERTIFIKAT BerAKHLAK</v>
      </c>
      <c r="K982" s="5" t="s">
        <v>6373</v>
      </c>
      <c r="L982" s="5" t="s">
        <v>8714</v>
      </c>
      <c r="M982" s="5" t="s">
        <v>8715</v>
      </c>
      <c r="N982" s="7" t="s">
        <v>8716</v>
      </c>
      <c r="O982" s="8" t="str">
        <f>HYPERLINK("https://drive.google.com/file/d/1NkBiQug-YnvO3F1MkVfIYEF3ytsgntPp/view?usp=drivesdk","981_DEWI MUSTIKA, SE _ SERTIFIKAT BIMTEK IPASN BerAKHLASK")</f>
        <v>981_DEWI MUSTIKA, SE _ SERTIFIKAT BIMTEK IPASN BerAKHLASK</v>
      </c>
      <c r="P982" s="5" t="s">
        <v>8717</v>
      </c>
      <c r="Q982" s="5"/>
      <c r="R982" s="5"/>
      <c r="S982" s="5"/>
      <c r="T982" s="5"/>
    </row>
    <row r="983">
      <c r="A983" s="4">
        <v>45534.32868869213</v>
      </c>
      <c r="B983" s="5" t="s">
        <v>34</v>
      </c>
      <c r="D983" s="5" t="s">
        <v>6232</v>
      </c>
      <c r="E983" s="5" t="s">
        <v>8718</v>
      </c>
      <c r="F983" s="5" t="s">
        <v>375</v>
      </c>
      <c r="G983" s="5" t="s">
        <v>8719</v>
      </c>
      <c r="H983" s="6" t="s">
        <v>8720</v>
      </c>
      <c r="I983" s="7" t="s">
        <v>8721</v>
      </c>
      <c r="J983" s="8" t="str">
        <f>HYPERLINK("https://drive.google.com/file/d/1Ocs55OzIG1hq43-mtAij469fkp39IHYG/view?usp=drivesdk","HERI ZULPANDRA, S.E.,M.S.Ak. SERTIFIKAT BerAKHLAK")</f>
        <v>HERI ZULPANDRA, S.E.,M.S.Ak. SERTIFIKAT BerAKHLAK</v>
      </c>
      <c r="K983" s="5" t="s">
        <v>6373</v>
      </c>
      <c r="L983" s="5" t="s">
        <v>8722</v>
      </c>
      <c r="M983" s="5" t="s">
        <v>8723</v>
      </c>
      <c r="N983" s="7" t="s">
        <v>8724</v>
      </c>
      <c r="O983" s="8" t="str">
        <f>HYPERLINK("https://drive.google.com/file/d/1UmcGV53ZZ12cK_Jk8_gJ8oH_jxHAMQY8/view?usp=drivesdk","982_HERI ZULPANDRA, S.E.,M.S.Ak. _ SERTIFIKAT BIMTEK IPASN BerAKHLASK")</f>
        <v>982_HERI ZULPANDRA, S.E.,M.S.Ak. _ SERTIFIKAT BIMTEK IPASN BerAKHLASK</v>
      </c>
      <c r="P983" s="5" t="s">
        <v>8717</v>
      </c>
      <c r="Q983" s="5"/>
      <c r="R983" s="5"/>
      <c r="S983" s="5"/>
      <c r="T983" s="5"/>
    </row>
    <row r="984">
      <c r="A984" s="4">
        <v>45534.32869332176</v>
      </c>
      <c r="B984" s="5" t="s">
        <v>34</v>
      </c>
      <c r="D984" s="5" t="s">
        <v>35</v>
      </c>
      <c r="E984" s="5" t="s">
        <v>8725</v>
      </c>
      <c r="F984" s="5" t="s">
        <v>199</v>
      </c>
      <c r="G984" s="5" t="s">
        <v>8726</v>
      </c>
      <c r="H984" s="6" t="s">
        <v>8727</v>
      </c>
      <c r="I984" s="7" t="s">
        <v>8728</v>
      </c>
      <c r="J984" s="8" t="str">
        <f>HYPERLINK("https://drive.google.com/file/d/12WGpcQ44lltbq0_JN7Cbj6piJnja-Pvw/view?usp=drivesdk","YUYU YULIAWATI SERTIFIKAT BerAKHLAK")</f>
        <v>YUYU YULIAWATI SERTIFIKAT BerAKHLAK</v>
      </c>
      <c r="K984" s="5" t="s">
        <v>6373</v>
      </c>
      <c r="L984" s="5" t="s">
        <v>8729</v>
      </c>
      <c r="M984" s="5" t="s">
        <v>8730</v>
      </c>
      <c r="N984" s="7" t="s">
        <v>8731</v>
      </c>
      <c r="O984" s="8" t="str">
        <f>HYPERLINK("https://drive.google.com/file/d/1V2FeDICfwzm9_DcAP5kOZ7QEHTMgUTro/view?usp=drivesdk","983_YUYU YULIAWATI _ SERTIFIKAT BIMTEK IPASN BerAKHLASK")</f>
        <v>983_YUYU YULIAWATI _ SERTIFIKAT BIMTEK IPASN BerAKHLASK</v>
      </c>
      <c r="P984" s="5" t="s">
        <v>8717</v>
      </c>
      <c r="Q984" s="5"/>
      <c r="R984" s="5"/>
      <c r="S984" s="5"/>
      <c r="T984" s="5"/>
    </row>
    <row r="985">
      <c r="A985" s="4">
        <v>45534.328715069445</v>
      </c>
      <c r="B985" s="5" t="s">
        <v>34</v>
      </c>
      <c r="D985" s="5" t="s">
        <v>4775</v>
      </c>
      <c r="E985" s="5" t="s">
        <v>8732</v>
      </c>
      <c r="F985" s="5" t="s">
        <v>212</v>
      </c>
      <c r="G985" s="5" t="s">
        <v>8733</v>
      </c>
      <c r="H985" s="6" t="s">
        <v>8734</v>
      </c>
      <c r="K985" s="5" t="s">
        <v>8735</v>
      </c>
      <c r="M985" s="5" t="s">
        <v>8736</v>
      </c>
      <c r="N985" s="7" t="s">
        <v>8737</v>
      </c>
      <c r="O985" s="8" t="str">
        <f>HYPERLINK("https://drive.google.com/file/d/1GDLL_2zAN_PNAW5hzljOUUVNq6iPtOY1/view?usp=drivesdk","984_WIJI LILANIATI _ SERTIFIKAT BIMTEK IPASN BerAKHLASK")</f>
        <v>984_WIJI LILANIATI _ SERTIFIKAT BIMTEK IPASN BerAKHLASK</v>
      </c>
      <c r="P985" s="5" t="s">
        <v>8717</v>
      </c>
      <c r="Q985" s="5"/>
      <c r="R985" s="5"/>
      <c r="S985" s="5"/>
      <c r="T985" s="5"/>
    </row>
    <row r="986">
      <c r="A986" s="4">
        <v>45534.32872280093</v>
      </c>
      <c r="B986" s="5" t="s">
        <v>34</v>
      </c>
      <c r="D986" s="5" t="s">
        <v>1206</v>
      </c>
      <c r="E986" s="5" t="s">
        <v>8738</v>
      </c>
      <c r="F986" s="5" t="s">
        <v>212</v>
      </c>
      <c r="G986" s="5" t="s">
        <v>8739</v>
      </c>
      <c r="H986" s="6" t="s">
        <v>8740</v>
      </c>
      <c r="I986" s="7" t="s">
        <v>8741</v>
      </c>
      <c r="J986" s="8" t="str">
        <f>HYPERLINK("https://drive.google.com/file/d/1SDWhTzjosOwGxBZjD2TNnEsCpruyd-Cf/view?usp=drivesdk","DEVI AGUSTIN ENDRIANA SERTIFIKAT BerAKHLAK")</f>
        <v>DEVI AGUSTIN ENDRIANA SERTIFIKAT BerAKHLAK</v>
      </c>
      <c r="K986" s="5" t="s">
        <v>6373</v>
      </c>
      <c r="L986" s="5" t="s">
        <v>8742</v>
      </c>
      <c r="M986" s="5" t="s">
        <v>8743</v>
      </c>
      <c r="N986" s="7" t="s">
        <v>8744</v>
      </c>
      <c r="O986" s="8" t="str">
        <f>HYPERLINK("https://drive.google.com/file/d/1u3DRvvoNZN8lYOwGmDcgGqxQnrFlxD29/view?usp=drivesdk","985_DEVI AGUSTIN ENDRIANA _ SERTIFIKAT BIMTEK IPASN BerAKHLASK")</f>
        <v>985_DEVI AGUSTIN ENDRIANA _ SERTIFIKAT BIMTEK IPASN BerAKHLASK</v>
      </c>
      <c r="P986" s="5" t="s">
        <v>8717</v>
      </c>
      <c r="Q986" s="5"/>
      <c r="R986" s="5"/>
      <c r="S986" s="5"/>
      <c r="T986" s="5"/>
    </row>
    <row r="987">
      <c r="A987" s="4">
        <v>45534.32872521991</v>
      </c>
      <c r="B987" s="5" t="s">
        <v>34</v>
      </c>
      <c r="D987" s="5" t="s">
        <v>4775</v>
      </c>
      <c r="E987" s="5" t="s">
        <v>8745</v>
      </c>
      <c r="F987" s="5" t="s">
        <v>37</v>
      </c>
      <c r="G987" s="5" t="s">
        <v>8746</v>
      </c>
      <c r="H987" s="6" t="s">
        <v>8747</v>
      </c>
      <c r="I987" s="7" t="s">
        <v>8748</v>
      </c>
      <c r="J987" s="8" t="str">
        <f>HYPERLINK("https://drive.google.com/file/d/1kDdkAtd2SvTjurAZErks1Bej_ghhX-C0/view?usp=drivesdk","CHANDRA WIYONO SERTIFIKAT BerAKHLAK")</f>
        <v>CHANDRA WIYONO SERTIFIKAT BerAKHLAK</v>
      </c>
      <c r="K987" s="5" t="s">
        <v>6373</v>
      </c>
      <c r="L987" s="5" t="s">
        <v>8749</v>
      </c>
      <c r="M987" s="5" t="s">
        <v>8750</v>
      </c>
      <c r="N987" s="7" t="s">
        <v>8751</v>
      </c>
      <c r="O987" s="8" t="str">
        <f>HYPERLINK("https://drive.google.com/file/d/1xwHrRelXqBNjbciTiC0OM36US_NOsfmJ/view?usp=drivesdk","986_CHANDRA WIYONO _ SERTIFIKAT BIMTEK IPASN BerAKHLASK")</f>
        <v>986_CHANDRA WIYONO _ SERTIFIKAT BIMTEK IPASN BerAKHLASK</v>
      </c>
      <c r="P987" s="5" t="s">
        <v>8717</v>
      </c>
      <c r="Q987" s="5"/>
      <c r="R987" s="5"/>
      <c r="S987" s="5"/>
      <c r="T987" s="5"/>
    </row>
    <row r="988">
      <c r="A988" s="4">
        <v>45534.32874055556</v>
      </c>
      <c r="B988" s="5" t="s">
        <v>34</v>
      </c>
      <c r="D988" s="5" t="s">
        <v>1663</v>
      </c>
      <c r="E988" s="5" t="s">
        <v>8752</v>
      </c>
      <c r="F988" s="5" t="s">
        <v>37</v>
      </c>
      <c r="G988" s="5" t="s">
        <v>8753</v>
      </c>
      <c r="H988" s="6" t="s">
        <v>8754</v>
      </c>
      <c r="I988" s="7" t="s">
        <v>8755</v>
      </c>
      <c r="J988" s="8" t="str">
        <f>HYPERLINK("https://drive.google.com/file/d/1BU2MPdWubYzbHqQVfpWcvEqAsrJS5BX5/view?usp=drivesdk","RIZA HERMAYA PUTRI, AMD.KEB SERTIFIKAT BerAKHLAK")</f>
        <v>RIZA HERMAYA PUTRI, AMD.KEB SERTIFIKAT BerAKHLAK</v>
      </c>
      <c r="K988" s="5" t="s">
        <v>6373</v>
      </c>
      <c r="L988" s="5" t="s">
        <v>8756</v>
      </c>
      <c r="M988" s="5" t="s">
        <v>8757</v>
      </c>
      <c r="N988" s="7" t="s">
        <v>8758</v>
      </c>
      <c r="O988" s="8" t="str">
        <f>HYPERLINK("https://drive.google.com/file/d/1hqcvQd3JdLH8M4zex1qs4tHlF6XmXpPh/view?usp=drivesdk","987_RIZA HERMAYA PUTRI, AMD.KEB _ SERTIFIKAT BIMTEK IPASN BerAKHLASK")</f>
        <v>987_RIZA HERMAYA PUTRI, AMD.KEB _ SERTIFIKAT BIMTEK IPASN BerAKHLASK</v>
      </c>
      <c r="P988" s="5" t="s">
        <v>8759</v>
      </c>
      <c r="Q988" s="5"/>
      <c r="R988" s="5"/>
      <c r="S988" s="5"/>
      <c r="T988" s="5"/>
    </row>
    <row r="989">
      <c r="A989" s="4">
        <v>45534.32874690973</v>
      </c>
      <c r="B989" s="5" t="s">
        <v>34</v>
      </c>
      <c r="D989" s="5" t="s">
        <v>4775</v>
      </c>
      <c r="E989" s="5" t="s">
        <v>8760</v>
      </c>
      <c r="F989" s="5" t="s">
        <v>72</v>
      </c>
      <c r="G989" s="5" t="s">
        <v>8761</v>
      </c>
      <c r="H989" s="6" t="s">
        <v>8762</v>
      </c>
      <c r="I989" s="7" t="s">
        <v>8763</v>
      </c>
      <c r="J989" s="8" t="str">
        <f>HYPERLINK("https://drive.google.com/file/d/1BjDob5h0JpwfTfRw0_zyAA-bnF39fySu/view?usp=drivesdk","IWAN ADI PRIYONO  SERTIFIKAT BerAKHLAK")</f>
        <v>IWAN ADI PRIYONO  SERTIFIKAT BerAKHLAK</v>
      </c>
      <c r="K989" s="5" t="s">
        <v>8647</v>
      </c>
      <c r="L989" s="5" t="s">
        <v>8764</v>
      </c>
      <c r="M989" s="5" t="s">
        <v>8765</v>
      </c>
      <c r="N989" s="7" t="s">
        <v>8766</v>
      </c>
      <c r="O989" s="8" t="str">
        <f>HYPERLINK("https://drive.google.com/file/d/1tOxX4YC4czEZFaNJdfjjraT3p7pL8UdU/view?usp=drivesdk","988_IWAN ADI PRIYONO  _ SERTIFIKAT BIMTEK IPASN BerAKHLASK")</f>
        <v>988_IWAN ADI PRIYONO  _ SERTIFIKAT BIMTEK IPASN BerAKHLASK</v>
      </c>
      <c r="P989" s="5" t="s">
        <v>8759</v>
      </c>
      <c r="Q989" s="5"/>
      <c r="R989" s="5"/>
      <c r="S989" s="5"/>
      <c r="T989" s="5"/>
    </row>
    <row r="990">
      <c r="A990" s="4">
        <v>45534.3287602662</v>
      </c>
      <c r="B990" s="5" t="s">
        <v>34</v>
      </c>
      <c r="D990" s="5" t="s">
        <v>1206</v>
      </c>
      <c r="E990" s="5" t="s">
        <v>8767</v>
      </c>
      <c r="F990" s="5" t="s">
        <v>375</v>
      </c>
      <c r="G990" s="5" t="s">
        <v>8768</v>
      </c>
      <c r="H990" s="6" t="s">
        <v>8769</v>
      </c>
      <c r="I990" s="7" t="s">
        <v>8770</v>
      </c>
      <c r="J990" s="8" t="str">
        <f>HYPERLINK("https://drive.google.com/file/d/1u7gpCLt-A2c8bKf7WTWIrw4DSTnmqhcz/view?usp=drivesdk","GUNTUR PRIYO JATMIKO, S.E., M.M. SERTIFIKAT BerAKHLAK")</f>
        <v>GUNTUR PRIYO JATMIKO, S.E., M.M. SERTIFIKAT BerAKHLAK</v>
      </c>
      <c r="K990" s="5" t="s">
        <v>8647</v>
      </c>
      <c r="L990" s="5" t="s">
        <v>8771</v>
      </c>
      <c r="M990" s="5" t="s">
        <v>8772</v>
      </c>
      <c r="N990" s="7" t="s">
        <v>8773</v>
      </c>
      <c r="O990" s="8" t="str">
        <f>HYPERLINK("https://drive.google.com/file/d/1B48ht8shW3Oul0NlX7nirOD8D7_veOUp/view?usp=drivesdk","989_GUNTUR PRIYO JATMIKO, S.E., M.M. _ SERTIFIKAT BIMTEK IPASN BerAKHLASK")</f>
        <v>989_GUNTUR PRIYO JATMIKO, S.E., M.M. _ SERTIFIKAT BIMTEK IPASN BerAKHLASK</v>
      </c>
      <c r="P990" s="5" t="s">
        <v>8759</v>
      </c>
      <c r="Q990" s="5"/>
      <c r="R990" s="5"/>
      <c r="S990" s="5"/>
      <c r="T990" s="5"/>
    </row>
    <row r="991">
      <c r="A991" s="4">
        <v>45534.32876097222</v>
      </c>
      <c r="B991" s="5" t="s">
        <v>34</v>
      </c>
      <c r="D991" s="5" t="s">
        <v>35</v>
      </c>
      <c r="E991" s="5" t="s">
        <v>8774</v>
      </c>
      <c r="F991" s="5" t="s">
        <v>37</v>
      </c>
      <c r="G991" s="5" t="s">
        <v>8775</v>
      </c>
      <c r="H991" s="6" t="s">
        <v>8776</v>
      </c>
      <c r="I991" s="7" t="s">
        <v>8777</v>
      </c>
      <c r="J991" s="8" t="str">
        <f>HYPERLINK("https://drive.google.com/file/d/17S2m69BSGfA7boLQwTFh6w7NryRS8-5w/view?usp=drivesdk","LIA ALAWIYAH, A.Md.Gz SERTIFIKAT BerAKHLAK")</f>
        <v>LIA ALAWIYAH, A.Md.Gz SERTIFIKAT BerAKHLAK</v>
      </c>
      <c r="K991" s="5" t="s">
        <v>8647</v>
      </c>
      <c r="L991" s="5" t="s">
        <v>8778</v>
      </c>
      <c r="M991" s="5" t="s">
        <v>8779</v>
      </c>
      <c r="N991" s="7" t="s">
        <v>8780</v>
      </c>
      <c r="O991" s="8" t="str">
        <f>HYPERLINK("https://drive.google.com/file/d/1VQ6jJutnaW3LvZ2Vav7Ve3734gWYpx7c/view?usp=drivesdk","990_LIA ALAWIYAH, A.Md.Gz _ SERTIFIKAT BIMTEK IPASN BerAKHLASK")</f>
        <v>990_LIA ALAWIYAH, A.Md.Gz _ SERTIFIKAT BIMTEK IPASN BerAKHLASK</v>
      </c>
      <c r="P991" s="5" t="s">
        <v>8759</v>
      </c>
      <c r="Q991" s="5"/>
      <c r="R991" s="5"/>
      <c r="S991" s="5"/>
      <c r="T991" s="5"/>
    </row>
    <row r="992">
      <c r="A992" s="4">
        <v>45534.32876307871</v>
      </c>
      <c r="B992" s="5" t="s">
        <v>34</v>
      </c>
      <c r="D992" s="5" t="s">
        <v>1768</v>
      </c>
      <c r="E992" s="5" t="s">
        <v>8781</v>
      </c>
      <c r="F992" s="5" t="s">
        <v>72</v>
      </c>
      <c r="G992" s="5" t="s">
        <v>8782</v>
      </c>
      <c r="H992" s="6" t="s">
        <v>8783</v>
      </c>
      <c r="I992" s="7" t="s">
        <v>8784</v>
      </c>
      <c r="J992" s="8" t="str">
        <f>HYPERLINK("https://drive.google.com/file/d/156u0Qj99f8sqRmjVmXQ_PkMdf4q-CS2S/view?usp=drivesdk","SRI PUJI NURYANINGSIH SERTIFIKAT BerAKHLAK")</f>
        <v>SRI PUJI NURYANINGSIH SERTIFIKAT BerAKHLAK</v>
      </c>
      <c r="K992" s="5" t="s">
        <v>8647</v>
      </c>
      <c r="L992" s="5" t="s">
        <v>8785</v>
      </c>
      <c r="M992" s="5" t="s">
        <v>8786</v>
      </c>
      <c r="N992" s="7" t="s">
        <v>8787</v>
      </c>
      <c r="O992" s="8" t="str">
        <f>HYPERLINK("https://drive.google.com/file/d/1Kgbi5zGJjzh3F0iVXwqOamKpVzfglSA4/view?usp=drivesdk","991_SRI PUJI NURYANINGSIH _ SERTIFIKAT BIMTEK IPASN BerAKHLASK")</f>
        <v>991_SRI PUJI NURYANINGSIH _ SERTIFIKAT BIMTEK IPASN BerAKHLASK</v>
      </c>
      <c r="P992" s="5" t="s">
        <v>8759</v>
      </c>
      <c r="Q992" s="5"/>
      <c r="R992" s="5"/>
      <c r="S992" s="5"/>
      <c r="T992" s="5"/>
    </row>
    <row r="993" hidden="1">
      <c r="A993" s="4">
        <v>45534.328764039354</v>
      </c>
      <c r="B993" s="5" t="s">
        <v>19</v>
      </c>
      <c r="C993" s="5" t="s">
        <v>292</v>
      </c>
      <c r="E993" s="5" t="s">
        <v>8788</v>
      </c>
      <c r="F993" s="5" t="s">
        <v>375</v>
      </c>
      <c r="G993" s="5" t="s">
        <v>8789</v>
      </c>
      <c r="H993" s="6" t="s">
        <v>8790</v>
      </c>
      <c r="I993" s="7" t="s">
        <v>8791</v>
      </c>
      <c r="J993" s="8" t="str">
        <f>HYPERLINK("https://drive.google.com/file/d/1DCwluSRWKYi9aHthWXJiRvXNFwnLIHzg/view?usp=drivesdk","BUDI HENDRIYANTO  SERTIFIKAT BerAKHLAK")</f>
        <v>BUDI HENDRIYANTO  SERTIFIKAT BerAKHLAK</v>
      </c>
      <c r="K993" s="5" t="s">
        <v>8647</v>
      </c>
      <c r="L993" s="5" t="s">
        <v>8792</v>
      </c>
      <c r="M993" s="5" t="s">
        <v>8793</v>
      </c>
      <c r="N993" s="7" t="s">
        <v>8794</v>
      </c>
      <c r="O993" s="8" t="str">
        <f>HYPERLINK("https://drive.google.com/file/d/1cvHlzzuZ5e09_7d1Ud--PvCHgL9DbBR3/view?usp=drivesdk","992_BUDI HENDRIYANTO  _ SERTIFIKAT BIMTEK IPASN BerAKHLASK")</f>
        <v>992_BUDI HENDRIYANTO  _ SERTIFIKAT BIMTEK IPASN BerAKHLASK</v>
      </c>
      <c r="P993" s="5" t="s">
        <v>8759</v>
      </c>
      <c r="Q993" s="5"/>
      <c r="R993" s="5"/>
      <c r="S993" s="5"/>
      <c r="T993" s="5"/>
    </row>
    <row r="994">
      <c r="A994" s="4">
        <v>45534.328765451384</v>
      </c>
      <c r="B994" s="5" t="s">
        <v>34</v>
      </c>
      <c r="D994" s="5" t="s">
        <v>280</v>
      </c>
      <c r="E994" s="5" t="s">
        <v>8795</v>
      </c>
      <c r="F994" s="5" t="s">
        <v>37</v>
      </c>
      <c r="G994" s="5" t="s">
        <v>8796</v>
      </c>
      <c r="H994" s="6" t="s">
        <v>8797</v>
      </c>
      <c r="I994" s="7" t="s">
        <v>8798</v>
      </c>
      <c r="J994" s="8" t="str">
        <f>HYPERLINK("https://drive.google.com/file/d/1BjvIJGwZT1sivG__vwZ45LX8usrTyFOy/view?usp=drivesdk","REKA APRIALIANTI  SERTIFIKAT BerAKHLAK")</f>
        <v>REKA APRIALIANTI  SERTIFIKAT BerAKHLAK</v>
      </c>
      <c r="K994" s="5" t="s">
        <v>8647</v>
      </c>
      <c r="L994" s="5" t="s">
        <v>8799</v>
      </c>
      <c r="M994" s="5" t="s">
        <v>8800</v>
      </c>
      <c r="N994" s="7" t="s">
        <v>8801</v>
      </c>
      <c r="O994" s="8" t="str">
        <f>HYPERLINK("https://drive.google.com/file/d/1FQ9HxsgcAHtw0P0kQdZAA_0qFQ9RpPXp/view?usp=drivesdk","993_REKA APRIALIANTI  _ SERTIFIKAT BIMTEK IPASN BerAKHLASK")</f>
        <v>993_REKA APRIALIANTI  _ SERTIFIKAT BIMTEK IPASN BerAKHLASK</v>
      </c>
      <c r="P994" s="5" t="s">
        <v>8802</v>
      </c>
      <c r="Q994" s="5"/>
      <c r="R994" s="5"/>
      <c r="S994" s="5"/>
      <c r="T994" s="5"/>
    </row>
    <row r="995">
      <c r="A995" s="4">
        <v>45534.328773125</v>
      </c>
      <c r="B995" s="5" t="s">
        <v>34</v>
      </c>
      <c r="D995" s="5" t="s">
        <v>1692</v>
      </c>
      <c r="E995" s="5" t="s">
        <v>8803</v>
      </c>
      <c r="F995" s="5" t="s">
        <v>37</v>
      </c>
      <c r="G995" s="5" t="s">
        <v>8804</v>
      </c>
      <c r="H995" s="6" t="s">
        <v>8805</v>
      </c>
      <c r="I995" s="7" t="s">
        <v>8806</v>
      </c>
      <c r="J995" s="8" t="str">
        <f>HYPERLINK("https://drive.google.com/file/d/1nCdBfKqwJDtDlH4ZXjoe-Zi_KmwK7Vj-/view?usp=drivesdk","WIDIYANTI CESILYA DIN PATTY, AMd SERTIFIKAT BerAKHLAK")</f>
        <v>WIDIYANTI CESILYA DIN PATTY, AMd SERTIFIKAT BerAKHLAK</v>
      </c>
      <c r="K995" s="5" t="s">
        <v>8685</v>
      </c>
      <c r="L995" s="5" t="s">
        <v>8807</v>
      </c>
      <c r="M995" s="5" t="s">
        <v>8808</v>
      </c>
      <c r="N995" s="7" t="s">
        <v>8809</v>
      </c>
      <c r="O995" s="8" t="str">
        <f>HYPERLINK("https://drive.google.com/file/d/1F8sVE672ytPkKIIUiuiib9SKgsMS0Ha3/view?usp=drivesdk","994_WIDIYANTI CESILYA DIN PATTY, AMd _ SERTIFIKAT BIMTEK IPASN BerAKHLASK")</f>
        <v>994_WIDIYANTI CESILYA DIN PATTY, AMd _ SERTIFIKAT BIMTEK IPASN BerAKHLASK</v>
      </c>
      <c r="P995" s="5" t="s">
        <v>8802</v>
      </c>
      <c r="Q995" s="5"/>
      <c r="R995" s="5"/>
      <c r="S995" s="5"/>
      <c r="T995" s="5"/>
    </row>
    <row r="996">
      <c r="A996" s="4">
        <v>45534.32877939814</v>
      </c>
      <c r="B996" s="5" t="s">
        <v>34</v>
      </c>
      <c r="D996" s="5" t="s">
        <v>4775</v>
      </c>
      <c r="E996" s="5" t="s">
        <v>8810</v>
      </c>
      <c r="F996" s="5" t="s">
        <v>37</v>
      </c>
      <c r="G996" s="5" t="s">
        <v>8811</v>
      </c>
      <c r="H996" s="6" t="s">
        <v>8812</v>
      </c>
      <c r="I996" s="7" t="s">
        <v>8813</v>
      </c>
      <c r="J996" s="8" t="str">
        <f>HYPERLINK("https://drive.google.com/file/d/17mAmo0Iy1F9k11TxS8_NwkP_YxHLR3dT/view?usp=drivesdk","ERNI SETYAWATI SERTIFIKAT BerAKHLAK")</f>
        <v>ERNI SETYAWATI SERTIFIKAT BerAKHLAK</v>
      </c>
      <c r="K996" s="5" t="s">
        <v>8685</v>
      </c>
      <c r="L996" s="5" t="s">
        <v>8814</v>
      </c>
      <c r="M996" s="5" t="s">
        <v>8815</v>
      </c>
      <c r="N996" s="7" t="s">
        <v>8816</v>
      </c>
      <c r="O996" s="8" t="str">
        <f>HYPERLINK("https://drive.google.com/file/d/17__yzE1pvNdrrUAe8YTomjPnnVfnPu5g/view?usp=drivesdk","995_ERNI SETYAWATI _ SERTIFIKAT BIMTEK IPASN BerAKHLASK")</f>
        <v>995_ERNI SETYAWATI _ SERTIFIKAT BIMTEK IPASN BerAKHLASK</v>
      </c>
      <c r="P996" s="5" t="s">
        <v>8802</v>
      </c>
      <c r="Q996" s="5"/>
      <c r="R996" s="5"/>
      <c r="S996" s="5"/>
      <c r="T996" s="5"/>
    </row>
    <row r="997">
      <c r="A997" s="4">
        <v>45534.32878130787</v>
      </c>
      <c r="B997" s="5" t="s">
        <v>34</v>
      </c>
      <c r="D997" s="5" t="s">
        <v>35</v>
      </c>
      <c r="E997" s="5" t="s">
        <v>8817</v>
      </c>
      <c r="F997" s="5" t="s">
        <v>375</v>
      </c>
      <c r="G997" s="5" t="s">
        <v>8818</v>
      </c>
      <c r="H997" s="6" t="s">
        <v>8819</v>
      </c>
      <c r="I997" s="7" t="s">
        <v>8820</v>
      </c>
      <c r="J997" s="8" t="str">
        <f>HYPERLINK("https://drive.google.com/file/d/1cnP4saNdGt667_52_1X6hE_S_lybVp1E/view?usp=drivesdk","ROMI MEILANADA SERTIFIKAT BerAKHLAK")</f>
        <v>ROMI MEILANADA SERTIFIKAT BerAKHLAK</v>
      </c>
      <c r="K997" s="5" t="s">
        <v>6373</v>
      </c>
      <c r="L997" s="5" t="s">
        <v>8821</v>
      </c>
      <c r="M997" s="5" t="s">
        <v>8822</v>
      </c>
      <c r="N997" s="7" t="s">
        <v>8823</v>
      </c>
      <c r="O997" s="8" t="str">
        <f>HYPERLINK("https://drive.google.com/file/d/1b4gI321duj9VbL9ERbFYjZ1b7cMAsH8f/view?usp=drivesdk","996_ROMI MEILANADA _ SERTIFIKAT BIMTEK IPASN BerAKHLASK")</f>
        <v>996_ROMI MEILANADA _ SERTIFIKAT BIMTEK IPASN BerAKHLASK</v>
      </c>
      <c r="P997" s="5" t="s">
        <v>8802</v>
      </c>
      <c r="Q997" s="5"/>
      <c r="R997" s="5"/>
      <c r="S997" s="5"/>
      <c r="T997" s="5"/>
    </row>
    <row r="998">
      <c r="A998" s="4">
        <v>45534.328789756946</v>
      </c>
      <c r="B998" s="5" t="s">
        <v>34</v>
      </c>
      <c r="D998" s="5" t="s">
        <v>4775</v>
      </c>
      <c r="E998" s="5" t="s">
        <v>8824</v>
      </c>
      <c r="F998" s="5" t="s">
        <v>375</v>
      </c>
      <c r="G998" s="5" t="s">
        <v>8825</v>
      </c>
      <c r="H998" s="6" t="s">
        <v>8826</v>
      </c>
      <c r="I998" s="7" t="s">
        <v>8827</v>
      </c>
      <c r="J998" s="8" t="str">
        <f>HYPERLINK("https://drive.google.com/file/d/1pnCUMaVMR0u7sHz57d0-rJKDlA5t3hqr/view?usp=drivesdk","MIKE INDRIATI RUSITA SERTIFIKAT BerAKHLAK")</f>
        <v>MIKE INDRIATI RUSITA SERTIFIKAT BerAKHLAK</v>
      </c>
      <c r="K998" s="5" t="s">
        <v>6373</v>
      </c>
      <c r="L998" s="5" t="s">
        <v>8828</v>
      </c>
      <c r="M998" s="5" t="s">
        <v>8829</v>
      </c>
      <c r="N998" s="7" t="s">
        <v>8830</v>
      </c>
      <c r="O998" s="8" t="str">
        <f>HYPERLINK("https://drive.google.com/file/d/1rc4RLX6oh9upXzFpSdy2B9CYkOHPs0lT/view?usp=drivesdk","997_MIKE INDRIATI RUSITA _ SERTIFIKAT BIMTEK IPASN BerAKHLASK")</f>
        <v>997_MIKE INDRIATI RUSITA _ SERTIFIKAT BIMTEK IPASN BerAKHLASK</v>
      </c>
      <c r="P998" s="5" t="s">
        <v>8802</v>
      </c>
      <c r="Q998" s="5"/>
      <c r="R998" s="5"/>
      <c r="S998" s="5"/>
      <c r="T998" s="5"/>
    </row>
    <row r="999">
      <c r="A999" s="4">
        <v>45534.32879738426</v>
      </c>
      <c r="B999" s="5" t="s">
        <v>34</v>
      </c>
      <c r="D999" s="5" t="s">
        <v>4775</v>
      </c>
      <c r="E999" s="5" t="s">
        <v>8831</v>
      </c>
      <c r="F999" s="5" t="s">
        <v>375</v>
      </c>
      <c r="G999" s="5" t="s">
        <v>8832</v>
      </c>
      <c r="H999" s="6" t="s">
        <v>8833</v>
      </c>
      <c r="I999" s="7" t="s">
        <v>8834</v>
      </c>
      <c r="J999" s="8" t="str">
        <f>HYPERLINK("https://drive.google.com/file/d/1BiJ15BdNd9JW6R9CYpasHllXzCn-kL0V/view?usp=drivesdk","SISKA ARIESTYAWATI, S.KOM, M.M. SERTIFIKAT BerAKHLAK")</f>
        <v>SISKA ARIESTYAWATI, S.KOM, M.M. SERTIFIKAT BerAKHLAK</v>
      </c>
      <c r="K999" s="5" t="s">
        <v>8647</v>
      </c>
      <c r="L999" s="5" t="s">
        <v>8835</v>
      </c>
      <c r="M999" s="5" t="s">
        <v>8836</v>
      </c>
      <c r="N999" s="7" t="s">
        <v>8837</v>
      </c>
      <c r="O999" s="8" t="str">
        <f>HYPERLINK("https://drive.google.com/file/d/1xHnMuDhQTHNEbeJkOhEfBYHTcj0_HQJF/view?usp=drivesdk","998_SISKA ARIESTYAWATI, S.KOM, M.M. _ SERTIFIKAT BIMTEK IPASN BerAKHLASK")</f>
        <v>998_SISKA ARIESTYAWATI, S.KOM, M.M. _ SERTIFIKAT BIMTEK IPASN BerAKHLASK</v>
      </c>
      <c r="P999" s="5" t="s">
        <v>8838</v>
      </c>
      <c r="Q999" s="5"/>
      <c r="R999" s="5"/>
      <c r="S999" s="5"/>
      <c r="T999" s="5"/>
    </row>
    <row r="1000">
      <c r="A1000" s="4">
        <v>45534.32880106481</v>
      </c>
      <c r="B1000" s="5" t="s">
        <v>34</v>
      </c>
      <c r="D1000" s="5" t="s">
        <v>522</v>
      </c>
      <c r="E1000" s="5" t="s">
        <v>8839</v>
      </c>
      <c r="F1000" s="5" t="s">
        <v>375</v>
      </c>
      <c r="G1000" s="5" t="s">
        <v>8840</v>
      </c>
      <c r="H1000" s="6" t="s">
        <v>8841</v>
      </c>
      <c r="I1000" s="7" t="s">
        <v>8842</v>
      </c>
      <c r="J1000" s="8" t="str">
        <f>HYPERLINK("https://drive.google.com/file/d/1bGw8LskpLZxj96TuTcRtEdfLhzfp1f_Z/view?usp=drivesdk","KADEK SRI PARWATI,S.K.M.,M.Ikom SERTIFIKAT BerAKHLAK")</f>
        <v>KADEK SRI PARWATI,S.K.M.,M.Ikom SERTIFIKAT BerAKHLAK</v>
      </c>
      <c r="K1000" s="5" t="s">
        <v>8647</v>
      </c>
      <c r="L1000" s="5" t="s">
        <v>8843</v>
      </c>
      <c r="M1000" s="5" t="s">
        <v>8844</v>
      </c>
      <c r="N1000" s="7" t="s">
        <v>8845</v>
      </c>
      <c r="O1000" s="8" t="str">
        <f>HYPERLINK("https://drive.google.com/file/d/15TIYAvVgE8wLlM7lXPd7UEIKpL0kVdcN/view?usp=drivesdk","999_KADEK SRI PARWATI,S.K.M.,M.Ikom _ SERTIFIKAT BIMTEK IPASN BerAKHLASK")</f>
        <v>999_KADEK SRI PARWATI,S.K.M.,M.Ikom _ SERTIFIKAT BIMTEK IPASN BerAKHLASK</v>
      </c>
      <c r="P1000" s="5" t="s">
        <v>8838</v>
      </c>
      <c r="Q1000" s="5"/>
      <c r="R1000" s="5"/>
      <c r="S1000" s="5"/>
      <c r="T1000" s="5"/>
    </row>
    <row r="1001">
      <c r="A1001" s="4">
        <v>45534.328802118056</v>
      </c>
      <c r="B1001" s="5" t="s">
        <v>34</v>
      </c>
      <c r="D1001" s="5" t="s">
        <v>4775</v>
      </c>
      <c r="E1001" s="5" t="s">
        <v>8846</v>
      </c>
      <c r="F1001" s="5" t="s">
        <v>375</v>
      </c>
      <c r="G1001" s="5" t="s">
        <v>8847</v>
      </c>
      <c r="H1001" s="6" t="s">
        <v>8848</v>
      </c>
      <c r="I1001" s="7" t="s">
        <v>8849</v>
      </c>
      <c r="J1001" s="8" t="str">
        <f>HYPERLINK("https://drive.google.com/file/d/1bkkVATQQ2iy73u_UDgDDbRbe7bepNsmY/view?usp=drivesdk","RAHAYU WINANTI, SH SERTIFIKAT BerAKHLAK")</f>
        <v>RAHAYU WINANTI, SH SERTIFIKAT BerAKHLAK</v>
      </c>
      <c r="K1001" s="5" t="s">
        <v>8647</v>
      </c>
      <c r="L1001" s="5" t="s">
        <v>8850</v>
      </c>
      <c r="M1001" s="5" t="s">
        <v>8851</v>
      </c>
      <c r="N1001" s="7" t="s">
        <v>8852</v>
      </c>
      <c r="O1001" s="8" t="str">
        <f>HYPERLINK("https://drive.google.com/file/d/1WETmgJwucQZmZDCPu90lMsbmxKw_l7R3/view?usp=drivesdk","1000_RAHAYU WINANTI, SH _ SERTIFIKAT BIMTEK IPASN BerAKHLASK")</f>
        <v>1000_RAHAYU WINANTI, SH _ SERTIFIKAT BIMTEK IPASN BerAKHLASK</v>
      </c>
      <c r="P1001" s="5" t="s">
        <v>8838</v>
      </c>
      <c r="Q1001" s="5"/>
      <c r="R1001" s="5"/>
      <c r="S1001" s="5"/>
      <c r="T1001" s="5"/>
    </row>
    <row r="1002">
      <c r="A1002" s="4">
        <v>45534.32881708333</v>
      </c>
      <c r="B1002" s="5" t="s">
        <v>34</v>
      </c>
      <c r="D1002" s="5" t="s">
        <v>4775</v>
      </c>
      <c r="E1002" s="5" t="s">
        <v>8853</v>
      </c>
      <c r="F1002" s="5" t="s">
        <v>108</v>
      </c>
      <c r="G1002" s="5" t="s">
        <v>8854</v>
      </c>
      <c r="H1002" s="6" t="s">
        <v>8855</v>
      </c>
      <c r="I1002" s="7" t="s">
        <v>8856</v>
      </c>
      <c r="J1002" s="8" t="str">
        <f>HYPERLINK("https://drive.google.com/file/d/1z2qV-NGDxg9B-Q-qTaQK6SusDoyUnjQn/view?usp=drivesdk","DENIK OKTANINGRUM  SERTIFIKAT BerAKHLAK")</f>
        <v>DENIK OKTANINGRUM  SERTIFIKAT BerAKHLAK</v>
      </c>
      <c r="K1002" s="5" t="s">
        <v>8647</v>
      </c>
      <c r="L1002" s="5" t="s">
        <v>8857</v>
      </c>
      <c r="M1002" s="5" t="s">
        <v>8858</v>
      </c>
      <c r="N1002" s="7" t="s">
        <v>8859</v>
      </c>
      <c r="O1002" s="8" t="str">
        <f>HYPERLINK("https://drive.google.com/file/d/1-ScCTwcZyY2fDARZcxL7cXJl_purbwFu/view?usp=drivesdk","1001_DENIK OKTANINGRUM  _ SERTIFIKAT BIMTEK IPASN BerAKHLASK")</f>
        <v>1001_DENIK OKTANINGRUM  _ SERTIFIKAT BIMTEK IPASN BerAKHLASK</v>
      </c>
      <c r="P1002" s="5" t="s">
        <v>8838</v>
      </c>
      <c r="Q1002" s="5"/>
      <c r="R1002" s="5"/>
      <c r="S1002" s="5"/>
      <c r="T1002" s="5"/>
    </row>
    <row r="1003">
      <c r="A1003" s="4">
        <v>45534.32882603009</v>
      </c>
      <c r="B1003" s="5" t="s">
        <v>34</v>
      </c>
      <c r="D1003" s="5" t="s">
        <v>1206</v>
      </c>
      <c r="E1003" s="5" t="s">
        <v>8860</v>
      </c>
      <c r="F1003" s="5" t="s">
        <v>212</v>
      </c>
      <c r="G1003" s="5" t="s">
        <v>8861</v>
      </c>
      <c r="H1003" s="6" t="s">
        <v>8862</v>
      </c>
      <c r="I1003" s="7" t="s">
        <v>8863</v>
      </c>
      <c r="J1003" s="8" t="str">
        <f>HYPERLINK("https://drive.google.com/file/d/1dVqmzsngb2oH_tAcX9R_FyfMgvzK9Z2k/view?usp=drivesdk","SRI ANDARWATI SERTIFIKAT BerAKHLAK")</f>
        <v>SRI ANDARWATI SERTIFIKAT BerAKHLAK</v>
      </c>
      <c r="K1003" s="5" t="s">
        <v>8647</v>
      </c>
      <c r="L1003" s="5" t="s">
        <v>8864</v>
      </c>
      <c r="M1003" s="5" t="s">
        <v>8865</v>
      </c>
      <c r="N1003" s="7" t="s">
        <v>8866</v>
      </c>
      <c r="O1003" s="8" t="str">
        <f>HYPERLINK("https://drive.google.com/file/d/1r91Fyf8os3DhTluzunxKrNifBHU-VI_g/view?usp=drivesdk","1002_SRI ANDARWATI _ SERTIFIKAT BIMTEK IPASN BerAKHLASK")</f>
        <v>1002_SRI ANDARWATI _ SERTIFIKAT BIMTEK IPASN BerAKHLASK</v>
      </c>
      <c r="P1003" s="5" t="s">
        <v>8838</v>
      </c>
      <c r="Q1003" s="5"/>
      <c r="R1003" s="5"/>
      <c r="S1003" s="5"/>
      <c r="T1003" s="5"/>
    </row>
    <row r="1004">
      <c r="A1004" s="4">
        <v>45534.32884636574</v>
      </c>
      <c r="B1004" s="5" t="s">
        <v>34</v>
      </c>
      <c r="D1004" s="5" t="s">
        <v>4775</v>
      </c>
      <c r="E1004" s="5" t="s">
        <v>8867</v>
      </c>
      <c r="F1004" s="5" t="s">
        <v>37</v>
      </c>
      <c r="G1004" s="5" t="s">
        <v>8868</v>
      </c>
      <c r="H1004" s="6" t="s">
        <v>8869</v>
      </c>
      <c r="I1004" s="7" t="s">
        <v>8870</v>
      </c>
      <c r="J1004" s="8" t="str">
        <f>HYPERLINK("https://drive.google.com/file/d/1tk4K7QaGlJjneo7azb8rd__0xhMMe5__/view?usp=drivesdk","RIBUT SRIWAHYUNI SERTIFIKAT BerAKHLAK")</f>
        <v>RIBUT SRIWAHYUNI SERTIFIKAT BerAKHLAK</v>
      </c>
      <c r="K1004" s="5" t="s">
        <v>8647</v>
      </c>
      <c r="L1004" s="5" t="s">
        <v>8871</v>
      </c>
      <c r="M1004" s="5" t="s">
        <v>8872</v>
      </c>
      <c r="N1004" s="7" t="s">
        <v>8873</v>
      </c>
      <c r="O1004" s="8" t="str">
        <f>HYPERLINK("https://drive.google.com/file/d/1Id6SprTzJ4IBUZm3CBXZYROJqq0iVsis/view?usp=drivesdk","1003_RIBUT SRIWAHYUNI _ SERTIFIKAT BIMTEK IPASN BerAKHLASK")</f>
        <v>1003_RIBUT SRIWAHYUNI _ SERTIFIKAT BIMTEK IPASN BerAKHLASK</v>
      </c>
      <c r="P1004" s="5" t="s">
        <v>8874</v>
      </c>
      <c r="Q1004" s="5"/>
      <c r="R1004" s="5"/>
      <c r="S1004" s="5"/>
      <c r="T1004" s="5"/>
    </row>
    <row r="1005">
      <c r="A1005" s="4">
        <v>45534.32885430555</v>
      </c>
      <c r="B1005" s="5" t="s">
        <v>34</v>
      </c>
      <c r="D1005" s="5" t="s">
        <v>4775</v>
      </c>
      <c r="E1005" s="5" t="s">
        <v>8875</v>
      </c>
      <c r="F1005" s="5" t="s">
        <v>37</v>
      </c>
      <c r="G1005" s="5" t="s">
        <v>8876</v>
      </c>
      <c r="H1005" s="6" t="s">
        <v>8877</v>
      </c>
      <c r="K1005" s="5" t="s">
        <v>8878</v>
      </c>
      <c r="M1005" s="5" t="s">
        <v>8879</v>
      </c>
      <c r="N1005" s="7" t="s">
        <v>8880</v>
      </c>
      <c r="O1005" s="8" t="str">
        <f>HYPERLINK("https://drive.google.com/file/d/1sINkFMDhT62K1gGExQv54IJkwxUW3r0T/view?usp=drivesdk","1004_RITA SURYOWATI _ SERTIFIKAT BIMTEK IPASN BerAKHLASK")</f>
        <v>1004_RITA SURYOWATI _ SERTIFIKAT BIMTEK IPASN BerAKHLASK</v>
      </c>
      <c r="P1005" s="5" t="s">
        <v>8874</v>
      </c>
      <c r="Q1005" s="5"/>
      <c r="R1005" s="5"/>
      <c r="S1005" s="5"/>
      <c r="T1005" s="5"/>
    </row>
    <row r="1006">
      <c r="A1006" s="4">
        <v>45534.328870983794</v>
      </c>
      <c r="B1006" s="5" t="s">
        <v>34</v>
      </c>
      <c r="D1006" s="5" t="s">
        <v>4775</v>
      </c>
      <c r="E1006" s="5" t="s">
        <v>8881</v>
      </c>
      <c r="F1006" s="5" t="s">
        <v>212</v>
      </c>
      <c r="G1006" s="5" t="s">
        <v>8882</v>
      </c>
      <c r="H1006" s="6" t="s">
        <v>8883</v>
      </c>
      <c r="K1006" s="5" t="s">
        <v>8878</v>
      </c>
      <c r="M1006" s="5" t="s">
        <v>8884</v>
      </c>
      <c r="N1006" s="7" t="s">
        <v>8885</v>
      </c>
      <c r="O1006" s="8" t="str">
        <f>HYPERLINK("https://drive.google.com/file/d/11eGUF5LgJ1_G_ISb5OWG_P66qKYwYc4Q/view?usp=drivesdk","1005_HARI PUJI ASTUTIK _ SERTIFIKAT BIMTEK IPASN BerAKHLASK")</f>
        <v>1005_HARI PUJI ASTUTIK _ SERTIFIKAT BIMTEK IPASN BerAKHLASK</v>
      </c>
      <c r="P1006" s="5" t="s">
        <v>8874</v>
      </c>
      <c r="Q1006" s="5"/>
      <c r="R1006" s="5"/>
      <c r="S1006" s="5"/>
      <c r="T1006" s="5"/>
    </row>
    <row r="1007" hidden="1">
      <c r="A1007" s="4">
        <v>45534.32887114583</v>
      </c>
      <c r="B1007" s="5" t="s">
        <v>19</v>
      </c>
      <c r="C1007" s="5" t="s">
        <v>3471</v>
      </c>
      <c r="E1007" s="5" t="s">
        <v>8886</v>
      </c>
      <c r="F1007" s="5" t="s">
        <v>108</v>
      </c>
      <c r="G1007" s="5" t="s">
        <v>8887</v>
      </c>
      <c r="H1007" s="6" t="s">
        <v>8888</v>
      </c>
      <c r="K1007" s="5" t="s">
        <v>8878</v>
      </c>
      <c r="M1007" s="5" t="s">
        <v>8889</v>
      </c>
      <c r="N1007" s="7" t="s">
        <v>8890</v>
      </c>
      <c r="O1007" s="8" t="str">
        <f>HYPERLINK("https://drive.google.com/file/d/1ODwp-t0c2xwqbiNCcbkpCewj_a-_Gb9S/view?usp=drivesdk","1006_FANNY GUSTANTI _ SERTIFIKAT BIMTEK IPASN BerAKHLASK")</f>
        <v>1006_FANNY GUSTANTI _ SERTIFIKAT BIMTEK IPASN BerAKHLASK</v>
      </c>
      <c r="P1007" s="5" t="s">
        <v>8874</v>
      </c>
      <c r="Q1007" s="5"/>
      <c r="R1007" s="5"/>
      <c r="S1007" s="5"/>
      <c r="T1007" s="5"/>
    </row>
    <row r="1008">
      <c r="A1008" s="4">
        <v>45534.32887300926</v>
      </c>
      <c r="B1008" s="5" t="s">
        <v>34</v>
      </c>
      <c r="D1008" s="5" t="s">
        <v>4775</v>
      </c>
      <c r="E1008" s="5" t="s">
        <v>8891</v>
      </c>
      <c r="F1008" s="5" t="s">
        <v>524</v>
      </c>
      <c r="G1008" s="5" t="s">
        <v>8892</v>
      </c>
      <c r="H1008" s="6" t="s">
        <v>8893</v>
      </c>
      <c r="K1008" s="5" t="s">
        <v>8878</v>
      </c>
      <c r="M1008" s="5" t="s">
        <v>8894</v>
      </c>
      <c r="N1008" s="7" t="s">
        <v>8895</v>
      </c>
      <c r="O1008" s="8" t="str">
        <f>HYPERLINK("https://drive.google.com/file/d/1ovIYe8raWdO5u__eV_EAyCU-VIf9qpMs/view?usp=drivesdk","1007_SITO RUKMI PRATIWI,SE _ SERTIFIKAT BIMTEK IPASN BerAKHLASK")</f>
        <v>1007_SITO RUKMI PRATIWI,SE _ SERTIFIKAT BIMTEK IPASN BerAKHLASK</v>
      </c>
      <c r="P1008" s="5" t="s">
        <v>8874</v>
      </c>
      <c r="Q1008" s="5"/>
      <c r="R1008" s="5"/>
      <c r="S1008" s="5"/>
      <c r="T1008" s="5"/>
    </row>
    <row r="1009">
      <c r="A1009" s="4">
        <v>45534.328891261575</v>
      </c>
      <c r="B1009" s="5" t="s">
        <v>34</v>
      </c>
      <c r="D1009" s="5" t="s">
        <v>3849</v>
      </c>
      <c r="E1009" s="5" t="s">
        <v>8896</v>
      </c>
      <c r="F1009" s="5" t="s">
        <v>37</v>
      </c>
      <c r="G1009" s="5" t="s">
        <v>8897</v>
      </c>
      <c r="H1009" s="6" t="s">
        <v>8898</v>
      </c>
      <c r="K1009" s="5" t="s">
        <v>8878</v>
      </c>
      <c r="M1009" s="5" t="s">
        <v>8899</v>
      </c>
      <c r="N1009" s="7" t="s">
        <v>8900</v>
      </c>
      <c r="O1009" s="8" t="str">
        <f>HYPERLINK("https://drive.google.com/file/d/1HIfvj4Pr_TaS-Yb6uTLGyNfLr35UBa7e/view?usp=drivesdk","1008_DAVID RIO SAPUTRA, AMK _ SERTIFIKAT BIMTEK IPASN BerAKHLASK")</f>
        <v>1008_DAVID RIO SAPUTRA, AMK _ SERTIFIKAT BIMTEK IPASN BerAKHLASK</v>
      </c>
      <c r="P1009" s="5" t="s">
        <v>8874</v>
      </c>
      <c r="Q1009" s="5"/>
      <c r="R1009" s="5"/>
      <c r="S1009" s="5"/>
      <c r="T1009" s="5"/>
    </row>
    <row r="1010">
      <c r="A1010" s="4">
        <v>45534.32890324074</v>
      </c>
      <c r="B1010" s="5" t="s">
        <v>34</v>
      </c>
      <c r="D1010" s="5" t="s">
        <v>4775</v>
      </c>
      <c r="E1010" s="5" t="s">
        <v>8901</v>
      </c>
      <c r="F1010" s="5" t="s">
        <v>212</v>
      </c>
      <c r="G1010" s="5" t="s">
        <v>8902</v>
      </c>
      <c r="H1010" s="6" t="s">
        <v>8903</v>
      </c>
      <c r="I1010" s="7" t="s">
        <v>8904</v>
      </c>
      <c r="J1010" s="8" t="str">
        <f>HYPERLINK("https://drive.google.com/file/d/1QNLnH8j1mckhnf8-d-3aHCcf9I7kVNMu/view?usp=drivesdk","TUTIK HANDAYANI SERTIFIKAT BerAKHLAK")</f>
        <v>TUTIK HANDAYANI SERTIFIKAT BerAKHLAK</v>
      </c>
      <c r="K1010" s="5" t="s">
        <v>6373</v>
      </c>
      <c r="L1010" s="5" t="s">
        <v>8905</v>
      </c>
      <c r="M1010" s="5" t="s">
        <v>8906</v>
      </c>
      <c r="N1010" s="7" t="s">
        <v>8907</v>
      </c>
      <c r="O1010" s="8" t="str">
        <f>HYPERLINK("https://drive.google.com/file/d/10BY9bpfINXHreIwSLgT2RVFBI7uAKiKV/view?usp=drivesdk","1009_TUTIK HANDAYANI _ SERTIFIKAT BIMTEK IPASN BerAKHLASK")</f>
        <v>1009_TUTIK HANDAYANI _ SERTIFIKAT BIMTEK IPASN BerAKHLASK</v>
      </c>
      <c r="P1010" s="5" t="s">
        <v>8908</v>
      </c>
      <c r="Q1010" s="5"/>
      <c r="R1010" s="5"/>
      <c r="S1010" s="5"/>
      <c r="T1010" s="5"/>
    </row>
    <row r="1011">
      <c r="A1011" s="4">
        <v>45534.328904699076</v>
      </c>
      <c r="B1011" s="5" t="s">
        <v>34</v>
      </c>
      <c r="D1011" s="5" t="s">
        <v>3849</v>
      </c>
      <c r="E1011" s="5" t="s">
        <v>8909</v>
      </c>
      <c r="F1011" s="5" t="s">
        <v>37</v>
      </c>
      <c r="G1011" s="5" t="s">
        <v>8910</v>
      </c>
      <c r="H1011" s="6" t="s">
        <v>8911</v>
      </c>
      <c r="I1011" s="7" t="s">
        <v>8912</v>
      </c>
      <c r="J1011" s="8" t="str">
        <f>HYPERLINK("https://drive.google.com/file/d/15jj9w1eFVQHHJk_ANqpgZ_1cTFjUljeE/view?usp=drivesdk","YAYUK DAMAYANTI SERTIFIKAT BerAKHLAK")</f>
        <v>YAYUK DAMAYANTI SERTIFIKAT BerAKHLAK</v>
      </c>
      <c r="K1011" s="5" t="s">
        <v>6373</v>
      </c>
      <c r="L1011" s="5" t="s">
        <v>8913</v>
      </c>
      <c r="M1011" s="5" t="s">
        <v>8914</v>
      </c>
      <c r="N1011" s="7" t="s">
        <v>8915</v>
      </c>
      <c r="O1011" s="8" t="str">
        <f>HYPERLINK("https://drive.google.com/file/d/137E09a3aE3uZhk6ly6_FsDpnhpmyJJFX/view?usp=drivesdk","1010_YAYUK DAMAYANTI _ SERTIFIKAT BIMTEK IPASN BerAKHLASK")</f>
        <v>1010_YAYUK DAMAYANTI _ SERTIFIKAT BIMTEK IPASN BerAKHLASK</v>
      </c>
      <c r="P1011" s="5" t="s">
        <v>8908</v>
      </c>
      <c r="Q1011" s="5"/>
      <c r="R1011" s="5"/>
      <c r="S1011" s="5"/>
      <c r="T1011" s="5"/>
    </row>
    <row r="1012">
      <c r="A1012" s="4">
        <v>45534.328905937495</v>
      </c>
      <c r="B1012" s="5" t="s">
        <v>34</v>
      </c>
      <c r="D1012" s="5" t="s">
        <v>4775</v>
      </c>
      <c r="E1012" s="5" t="s">
        <v>8916</v>
      </c>
      <c r="F1012" s="5" t="s">
        <v>212</v>
      </c>
      <c r="G1012" s="5" t="s">
        <v>8917</v>
      </c>
      <c r="H1012" s="6" t="s">
        <v>8918</v>
      </c>
      <c r="I1012" s="7" t="s">
        <v>8919</v>
      </c>
      <c r="J1012" s="8" t="str">
        <f>HYPERLINK("https://drive.google.com/file/d/1FW1EHbfe5yD8ZdTOlU2viUhrC8t0W6NI/view?usp=drivesdk","WAHYUDI DWI PURWANTO SERTIFIKAT BerAKHLAK")</f>
        <v>WAHYUDI DWI PURWANTO SERTIFIKAT BerAKHLAK</v>
      </c>
      <c r="K1012" s="5" t="s">
        <v>8647</v>
      </c>
      <c r="L1012" s="5" t="s">
        <v>8920</v>
      </c>
      <c r="M1012" s="5" t="s">
        <v>8921</v>
      </c>
      <c r="N1012" s="7" t="s">
        <v>8922</v>
      </c>
      <c r="O1012" s="8" t="str">
        <f>HYPERLINK("https://drive.google.com/file/d/1VWQSqjmtJzJsLSFvCZnMJwnViYZzOiIy/view?usp=drivesdk","1011_WAHYUDI DWI PURWANTO _ SERTIFIKAT BIMTEK IPASN BerAKHLASK")</f>
        <v>1011_WAHYUDI DWI PURWANTO _ SERTIFIKAT BIMTEK IPASN BerAKHLASK</v>
      </c>
      <c r="P1012" s="5" t="s">
        <v>8908</v>
      </c>
      <c r="Q1012" s="5"/>
      <c r="R1012" s="5"/>
      <c r="S1012" s="5"/>
      <c r="T1012" s="5"/>
    </row>
    <row r="1013">
      <c r="A1013" s="4">
        <v>45534.32892368056</v>
      </c>
      <c r="B1013" s="5" t="s">
        <v>34</v>
      </c>
      <c r="D1013" s="5" t="s">
        <v>35</v>
      </c>
      <c r="E1013" s="5" t="s">
        <v>8923</v>
      </c>
      <c r="F1013" s="5" t="s">
        <v>524</v>
      </c>
      <c r="G1013" s="5" t="s">
        <v>8924</v>
      </c>
      <c r="H1013" s="6" t="s">
        <v>8925</v>
      </c>
      <c r="I1013" s="7" t="s">
        <v>8926</v>
      </c>
      <c r="J1013" s="8" t="str">
        <f>HYPERLINK("https://drive.google.com/file/d/19UIaCf59I1VQveD2GkjcaXfoL6AjMk74/view?usp=drivesdk","YANI SURYANI,Amd.Kep SERTIFIKAT BerAKHLAK")</f>
        <v>YANI SURYANI,Amd.Kep SERTIFIKAT BerAKHLAK</v>
      </c>
      <c r="K1013" s="5" t="s">
        <v>6373</v>
      </c>
      <c r="L1013" s="5" t="s">
        <v>8927</v>
      </c>
      <c r="M1013" s="5" t="s">
        <v>8928</v>
      </c>
      <c r="N1013" s="7" t="s">
        <v>8929</v>
      </c>
      <c r="O1013" s="8" t="str">
        <f>HYPERLINK("https://drive.google.com/file/d/1RPNnSnQeCDeKRxgPOlJLf59IzqyUVFUc/view?usp=drivesdk","1012_YANI SURYANI,Amd.Kep _ SERTIFIKAT BIMTEK IPASN BerAKHLASK")</f>
        <v>1012_YANI SURYANI,Amd.Kep _ SERTIFIKAT BIMTEK IPASN BerAKHLASK</v>
      </c>
      <c r="P1013" s="5" t="s">
        <v>8908</v>
      </c>
      <c r="Q1013" s="5"/>
      <c r="R1013" s="5"/>
      <c r="S1013" s="5"/>
      <c r="T1013" s="5"/>
    </row>
    <row r="1014">
      <c r="A1014" s="4">
        <v>45534.328936770835</v>
      </c>
      <c r="B1014" s="5" t="s">
        <v>34</v>
      </c>
      <c r="D1014" s="5" t="s">
        <v>580</v>
      </c>
      <c r="E1014" s="5" t="s">
        <v>8930</v>
      </c>
      <c r="F1014" s="5" t="s">
        <v>524</v>
      </c>
      <c r="G1014" s="5" t="s">
        <v>8931</v>
      </c>
      <c r="H1014" s="6" t="s">
        <v>8932</v>
      </c>
      <c r="I1014" s="7" t="s">
        <v>8933</v>
      </c>
      <c r="J1014" s="8" t="str">
        <f>HYPERLINK("https://drive.google.com/file/d/1Nwm0qhvQ6bZXeO0_m5fxKH5Enu42KLzJ/view?usp=drivesdk","DEWA AYU PUTU DEWI SUMANTRI, A.Md.Kep SERTIFIKAT BerAKHLAK")</f>
        <v>DEWA AYU PUTU DEWI SUMANTRI, A.Md.Kep SERTIFIKAT BerAKHLAK</v>
      </c>
      <c r="K1014" s="5" t="s">
        <v>8647</v>
      </c>
      <c r="L1014" s="5" t="s">
        <v>8934</v>
      </c>
      <c r="M1014" s="5" t="s">
        <v>8935</v>
      </c>
      <c r="N1014" s="7" t="s">
        <v>8936</v>
      </c>
      <c r="O1014" s="8" t="str">
        <f>HYPERLINK("https://drive.google.com/file/d/1ufKjWO6kOwjJKZY8B7Bp9zSjtIxpHBBS/view?usp=drivesdk","1013_DEWA AYU PUTU DEWI SUMANTRI, A.Md.Kep _ SERTIFIKAT BIMTEK IPASN BerAKHLASK")</f>
        <v>1013_DEWA AYU PUTU DEWI SUMANTRI, A.Md.Kep _ SERTIFIKAT BIMTEK IPASN BerAKHLASK</v>
      </c>
      <c r="P1014" s="5" t="s">
        <v>8908</v>
      </c>
      <c r="Q1014" s="5"/>
      <c r="R1014" s="5"/>
      <c r="S1014" s="5"/>
      <c r="T1014" s="5"/>
    </row>
    <row r="1015">
      <c r="A1015" s="4">
        <v>45534.328944953704</v>
      </c>
      <c r="B1015" s="5" t="s">
        <v>34</v>
      </c>
      <c r="D1015" s="5" t="s">
        <v>4775</v>
      </c>
      <c r="E1015" s="5" t="s">
        <v>8937</v>
      </c>
      <c r="F1015" s="5" t="s">
        <v>375</v>
      </c>
      <c r="G1015" s="5" t="s">
        <v>8938</v>
      </c>
      <c r="H1015" s="6" t="s">
        <v>8939</v>
      </c>
      <c r="I1015" s="7" t="s">
        <v>8940</v>
      </c>
      <c r="J1015" s="8" t="str">
        <f>HYPERLINK("https://drive.google.com/file/d/15afSriXXaJXkSM2ssYUkEeLaOura0lKr/view?usp=drivesdk","YULLY IDAYANTI HIDAYAT,SKM., M.Si. SERTIFIKAT BerAKHLAK")</f>
        <v>YULLY IDAYANTI HIDAYAT,SKM., M.Si. SERTIFIKAT BerAKHLAK</v>
      </c>
      <c r="K1015" s="5" t="s">
        <v>8647</v>
      </c>
      <c r="L1015" s="5" t="s">
        <v>8941</v>
      </c>
      <c r="M1015" s="5" t="s">
        <v>8942</v>
      </c>
      <c r="N1015" s="7" t="s">
        <v>8943</v>
      </c>
      <c r="O1015" s="8" t="str">
        <f>HYPERLINK("https://drive.google.com/file/d/1LSdxH3HRnJF4Ax_Y0qofQH1m7s0--8sG/view?usp=drivesdk","1014_YULLY IDAYANTI HIDAYAT,SKM., M.Si. _ SERTIFIKAT BIMTEK IPASN BerAKHLASK")</f>
        <v>1014_YULLY IDAYANTI HIDAYAT,SKM., M.Si. _ SERTIFIKAT BIMTEK IPASN BerAKHLASK</v>
      </c>
      <c r="P1015" s="5" t="s">
        <v>8908</v>
      </c>
      <c r="Q1015" s="5"/>
      <c r="R1015" s="5"/>
      <c r="S1015" s="5"/>
      <c r="T1015" s="5"/>
    </row>
    <row r="1016">
      <c r="A1016" s="4">
        <v>45534.3289558449</v>
      </c>
      <c r="B1016" s="5" t="s">
        <v>34</v>
      </c>
      <c r="D1016" s="5" t="s">
        <v>1206</v>
      </c>
      <c r="E1016" s="5" t="s">
        <v>8944</v>
      </c>
      <c r="F1016" s="5" t="s">
        <v>37</v>
      </c>
      <c r="G1016" s="5" t="s">
        <v>8945</v>
      </c>
      <c r="H1016" s="6" t="s">
        <v>8946</v>
      </c>
      <c r="I1016" s="7" t="s">
        <v>8947</v>
      </c>
      <c r="J1016" s="8" t="str">
        <f>HYPERLINK("https://drive.google.com/file/d/1p8bWbTKCinW9R74AAyvQd9pk9-PNG_PZ/view?usp=drivesdk","BAMBANG TRIONO SERTIFIKAT BerAKHLAK")</f>
        <v>BAMBANG TRIONO SERTIFIKAT BerAKHLAK</v>
      </c>
      <c r="K1016" s="5" t="s">
        <v>6373</v>
      </c>
      <c r="L1016" s="5" t="s">
        <v>8948</v>
      </c>
      <c r="M1016" s="5" t="s">
        <v>8949</v>
      </c>
      <c r="N1016" s="7" t="s">
        <v>8950</v>
      </c>
      <c r="O1016" s="8" t="str">
        <f>HYPERLINK("https://drive.google.com/file/d/1afH4OgbFUN1aSdTo0wVYb5v95VTDEgSq/view?usp=drivesdk","1015_BAMBANG TRIONO _ SERTIFIKAT BIMTEK IPASN BerAKHLASK")</f>
        <v>1015_BAMBANG TRIONO _ SERTIFIKAT BIMTEK IPASN BerAKHLASK</v>
      </c>
      <c r="P1016" s="5" t="s">
        <v>8951</v>
      </c>
      <c r="Q1016" s="5"/>
      <c r="R1016" s="5"/>
      <c r="S1016" s="5"/>
      <c r="T1016" s="5"/>
    </row>
    <row r="1017">
      <c r="A1017" s="4">
        <v>45534.32896893518</v>
      </c>
      <c r="B1017" s="5" t="s">
        <v>34</v>
      </c>
      <c r="D1017" s="5" t="s">
        <v>1206</v>
      </c>
      <c r="E1017" s="5" t="s">
        <v>8952</v>
      </c>
      <c r="F1017" s="5" t="s">
        <v>120</v>
      </c>
      <c r="G1017" s="5" t="s">
        <v>8953</v>
      </c>
      <c r="H1017" s="6" t="s">
        <v>8954</v>
      </c>
      <c r="I1017" s="7" t="s">
        <v>8955</v>
      </c>
      <c r="J1017" s="8" t="str">
        <f>HYPERLINK("https://drive.google.com/file/d/12Tu-s3XPNW1O4RGYuvo7Rf3lfjvPZNDX/view?usp=drivesdk","WAHYU SOLAEKA, S.T., M.M. SERTIFIKAT BerAKHLAK")</f>
        <v>WAHYU SOLAEKA, S.T., M.M. SERTIFIKAT BerAKHLAK</v>
      </c>
      <c r="K1017" s="5" t="s">
        <v>8647</v>
      </c>
      <c r="L1017" s="5" t="s">
        <v>8956</v>
      </c>
      <c r="M1017" s="5" t="s">
        <v>8957</v>
      </c>
      <c r="N1017" s="7" t="s">
        <v>8958</v>
      </c>
      <c r="O1017" s="8" t="str">
        <f>HYPERLINK("https://drive.google.com/file/d/1Lg0x-7wgnl05h-ZW1OYgmbOEDKcAmbJu/view?usp=drivesdk","1016_WAHYU SOLAEKA, S.T., M.M. _ SERTIFIKAT BIMTEK IPASN BerAKHLASK")</f>
        <v>1016_WAHYU SOLAEKA, S.T., M.M. _ SERTIFIKAT BIMTEK IPASN BerAKHLASK</v>
      </c>
      <c r="P1017" s="5" t="s">
        <v>8951</v>
      </c>
      <c r="Q1017" s="5"/>
      <c r="R1017" s="5"/>
      <c r="S1017" s="5"/>
      <c r="T1017" s="5"/>
    </row>
    <row r="1018">
      <c r="A1018" s="4">
        <v>45534.32897337963</v>
      </c>
      <c r="B1018" s="5" t="s">
        <v>34</v>
      </c>
      <c r="D1018" s="5" t="s">
        <v>2903</v>
      </c>
      <c r="E1018" s="5" t="s">
        <v>8959</v>
      </c>
      <c r="F1018" s="5" t="s">
        <v>212</v>
      </c>
      <c r="G1018" s="5" t="s">
        <v>8960</v>
      </c>
      <c r="H1018" s="6" t="s">
        <v>8961</v>
      </c>
      <c r="I1018" s="7" t="s">
        <v>8962</v>
      </c>
      <c r="J1018" s="8" t="str">
        <f>HYPERLINK("https://drive.google.com/file/d/107fX4lc3GPPVWwaDsOYdoSuXsbStdQvs/view?usp=drivesdk","LUCIA PUTRIAWANI, A.MD., FAR SERTIFIKAT BerAKHLAK")</f>
        <v>LUCIA PUTRIAWANI, A.MD., FAR SERTIFIKAT BerAKHLAK</v>
      </c>
      <c r="K1018" s="5" t="s">
        <v>8647</v>
      </c>
      <c r="L1018" s="5" t="s">
        <v>8963</v>
      </c>
      <c r="M1018" s="5" t="s">
        <v>8964</v>
      </c>
      <c r="N1018" s="7" t="s">
        <v>8965</v>
      </c>
      <c r="O1018" s="8" t="str">
        <f>HYPERLINK("https://drive.google.com/file/d/1o7bVXHFCafXg0mu1yko2Z-wa6yfK6_Gi/view?usp=drivesdk","1017_LUCIA PUTRIAWANI, A.MD., FAR _ SERTIFIKAT BIMTEK IPASN BerAKHLASK")</f>
        <v>1017_LUCIA PUTRIAWANI, A.MD., FAR _ SERTIFIKAT BIMTEK IPASN BerAKHLASK</v>
      </c>
      <c r="P1018" s="5" t="s">
        <v>8951</v>
      </c>
      <c r="Q1018" s="5"/>
      <c r="R1018" s="5"/>
      <c r="S1018" s="5"/>
      <c r="T1018" s="5"/>
    </row>
    <row r="1019">
      <c r="A1019" s="4">
        <v>45534.32900385417</v>
      </c>
      <c r="B1019" s="5" t="s">
        <v>34</v>
      </c>
      <c r="D1019" s="5" t="s">
        <v>4775</v>
      </c>
      <c r="E1019" s="5" t="s">
        <v>8966</v>
      </c>
      <c r="F1019" s="5" t="s">
        <v>212</v>
      </c>
      <c r="G1019" s="5" t="s">
        <v>8967</v>
      </c>
      <c r="H1019" s="6" t="s">
        <v>8968</v>
      </c>
      <c r="I1019" s="7" t="s">
        <v>8969</v>
      </c>
      <c r="J1019" s="8" t="str">
        <f>HYPERLINK("https://drive.google.com/file/d/1-sOjD__Ckwf4glr6wsXbrRqtG-d1FcqK/view?usp=drivesdk","AGUNG TRIADI PRABOWO SERTIFIKAT BerAKHLAK")</f>
        <v>AGUNG TRIADI PRABOWO SERTIFIKAT BerAKHLAK</v>
      </c>
      <c r="K1019" s="5" t="s">
        <v>8647</v>
      </c>
      <c r="L1019" s="5" t="s">
        <v>8970</v>
      </c>
      <c r="M1019" s="5" t="s">
        <v>8971</v>
      </c>
      <c r="N1019" s="7" t="s">
        <v>8972</v>
      </c>
      <c r="O1019" s="8" t="str">
        <f>HYPERLINK("https://drive.google.com/file/d/1kTTxFQURlSSp_5yDZqiKTQWCpsnhGk7L/view?usp=drivesdk","1018_AGUNG TRIADI PRABOWO _ SERTIFIKAT BIMTEK IPASN BerAKHLASK")</f>
        <v>1018_AGUNG TRIADI PRABOWO _ SERTIFIKAT BIMTEK IPASN BerAKHLASK</v>
      </c>
      <c r="P1019" s="5" t="s">
        <v>8951</v>
      </c>
      <c r="Q1019" s="5"/>
      <c r="R1019" s="5"/>
      <c r="S1019" s="5"/>
      <c r="T1019" s="5"/>
    </row>
    <row r="1020">
      <c r="A1020" s="4">
        <v>45534.32900913194</v>
      </c>
      <c r="B1020" s="5" t="s">
        <v>34</v>
      </c>
      <c r="D1020" s="5" t="s">
        <v>35</v>
      </c>
      <c r="E1020" s="5" t="s">
        <v>8973</v>
      </c>
      <c r="F1020" s="5" t="s">
        <v>37</v>
      </c>
      <c r="G1020" s="5" t="s">
        <v>8974</v>
      </c>
      <c r="H1020" s="6" t="s">
        <v>8975</v>
      </c>
      <c r="I1020" s="7" t="s">
        <v>8976</v>
      </c>
      <c r="J1020" s="8" t="str">
        <f>HYPERLINK("https://drive.google.com/file/d/1Twu1EmVYMqqNumUBCYFYEFqPbNCkInb2/view?usp=drivesdk","NURHAYATIIIIII SERTIFIKAT BerAKHLAK")</f>
        <v>NURHAYATIIIIII SERTIFIKAT BerAKHLAK</v>
      </c>
      <c r="K1020" s="5" t="s">
        <v>8647</v>
      </c>
      <c r="L1020" s="5" t="s">
        <v>8977</v>
      </c>
      <c r="M1020" s="5" t="s">
        <v>8978</v>
      </c>
      <c r="N1020" s="7" t="s">
        <v>8979</v>
      </c>
      <c r="O1020" s="8" t="str">
        <f>HYPERLINK("https://drive.google.com/file/d/1SilTYJ5wxzb4smg9YmRseYMmjgp3pUM_/view?usp=drivesdk","1019_NURHAYATIIIIII _ SERTIFIKAT BIMTEK IPASN BerAKHLASK")</f>
        <v>1019_NURHAYATIIIIII _ SERTIFIKAT BIMTEK IPASN BerAKHLASK</v>
      </c>
      <c r="P1020" s="5" t="s">
        <v>8951</v>
      </c>
      <c r="Q1020" s="5"/>
      <c r="R1020" s="5"/>
      <c r="S1020" s="5"/>
      <c r="T1020" s="5"/>
    </row>
    <row r="1021" hidden="1">
      <c r="A1021" s="4">
        <v>45534.32901425926</v>
      </c>
      <c r="B1021" s="5" t="s">
        <v>19</v>
      </c>
      <c r="C1021" s="5" t="s">
        <v>3301</v>
      </c>
      <c r="E1021" s="5" t="s">
        <v>8980</v>
      </c>
      <c r="F1021" s="5" t="s">
        <v>37</v>
      </c>
      <c r="G1021" s="5" t="s">
        <v>8981</v>
      </c>
      <c r="H1021" s="6" t="s">
        <v>8982</v>
      </c>
      <c r="I1021" s="7" t="s">
        <v>8983</v>
      </c>
      <c r="J1021" s="8" t="str">
        <f>HYPERLINK("https://drive.google.com/file/d/1a4YGBRDkxpiLbSyCsS9kJgjdQIvjfji9/view?usp=drivesdk","PRATIWI PURWANTO, A.MD.KES SERTIFIKAT BerAKHLAK")</f>
        <v>PRATIWI PURWANTO, A.MD.KES SERTIFIKAT BerAKHLAK</v>
      </c>
      <c r="K1021" s="5" t="s">
        <v>8647</v>
      </c>
      <c r="L1021" s="5" t="s">
        <v>8984</v>
      </c>
      <c r="M1021" s="5" t="s">
        <v>8985</v>
      </c>
      <c r="N1021" s="7" t="s">
        <v>8986</v>
      </c>
      <c r="O1021" s="8" t="str">
        <f>HYPERLINK("https://drive.google.com/file/d/1-hU0LDhAALwpREvXI2Ctrk59pNkPPen1/view?usp=drivesdk","1020_PRATIWI PURWANTO, A.MD.KES _ SERTIFIKAT BIMTEK IPASN BerAKHLASK")</f>
        <v>1020_PRATIWI PURWANTO, A.MD.KES _ SERTIFIKAT BIMTEK IPASN BerAKHLASK</v>
      </c>
      <c r="P1021" s="5" t="s">
        <v>8951</v>
      </c>
      <c r="Q1021" s="5"/>
      <c r="R1021" s="5"/>
      <c r="S1021" s="5"/>
      <c r="T1021" s="5"/>
    </row>
    <row r="1022">
      <c r="A1022" s="4">
        <v>45534.32901806713</v>
      </c>
      <c r="B1022" s="5" t="s">
        <v>34</v>
      </c>
      <c r="D1022" s="5" t="s">
        <v>1768</v>
      </c>
      <c r="E1022" s="5" t="s">
        <v>8987</v>
      </c>
      <c r="F1022" s="5" t="s">
        <v>108</v>
      </c>
      <c r="G1022" s="5" t="s">
        <v>8988</v>
      </c>
      <c r="H1022" s="6" t="s">
        <v>8989</v>
      </c>
      <c r="I1022" s="7" t="s">
        <v>8990</v>
      </c>
      <c r="J1022" s="8" t="str">
        <f>HYPERLINK("https://drive.google.com/file/d/1DkToMCmmx0FLT-fAC0vuwa-Tnjpl4rWu/view?usp=drivesdk","PENDA TK. I SRI ANDAYANI SERTIFIKAT BerAKHLAK")</f>
        <v>PENDA TK. I SRI ANDAYANI SERTIFIKAT BerAKHLAK</v>
      </c>
      <c r="K1022" s="5" t="s">
        <v>8647</v>
      </c>
      <c r="L1022" s="5" t="s">
        <v>8991</v>
      </c>
      <c r="M1022" s="5" t="s">
        <v>8992</v>
      </c>
      <c r="N1022" s="7" t="s">
        <v>8993</v>
      </c>
      <c r="O1022" s="8" t="str">
        <f>HYPERLINK("https://drive.google.com/file/d/1j96UzAENcJB5xvJBES_uQxgkIA0Yu8zK/view?usp=drivesdk","1021_PENDA TK. I SRI ANDAYANI _ SERTIFIKAT BIMTEK IPASN BerAKHLASK")</f>
        <v>1021_PENDA TK. I SRI ANDAYANI _ SERTIFIKAT BIMTEK IPASN BerAKHLASK</v>
      </c>
      <c r="P1022" s="5" t="s">
        <v>8994</v>
      </c>
      <c r="Q1022" s="5"/>
      <c r="R1022" s="5"/>
      <c r="S1022" s="5"/>
      <c r="T1022" s="5"/>
    </row>
    <row r="1023">
      <c r="A1023" s="4">
        <v>45534.32901891204</v>
      </c>
      <c r="B1023" s="5" t="s">
        <v>34</v>
      </c>
      <c r="D1023" s="5" t="s">
        <v>1206</v>
      </c>
      <c r="E1023" s="5" t="s">
        <v>8995</v>
      </c>
      <c r="F1023" s="5" t="s">
        <v>37</v>
      </c>
      <c r="G1023" s="5" t="s">
        <v>8996</v>
      </c>
      <c r="H1023" s="6" t="s">
        <v>8997</v>
      </c>
      <c r="K1023" s="5" t="s">
        <v>8998</v>
      </c>
      <c r="M1023" s="5" t="s">
        <v>8999</v>
      </c>
      <c r="N1023" s="7" t="s">
        <v>9000</v>
      </c>
      <c r="O1023" s="8" t="str">
        <f>HYPERLINK("https://drive.google.com/file/d/1y6OQlJLszUtkEWSJwVJHol1z_UYA11tT/view?usp=drivesdk","1022_ABDULRIAJIN AMD.KEP _ SERTIFIKAT BIMTEK IPASN BerAKHLASK")</f>
        <v>1022_ABDULRIAJIN AMD.KEP _ SERTIFIKAT BIMTEK IPASN BerAKHLASK</v>
      </c>
      <c r="P1023" s="5" t="s">
        <v>8994</v>
      </c>
      <c r="Q1023" s="5"/>
      <c r="R1023" s="5"/>
      <c r="S1023" s="5"/>
      <c r="T1023" s="5"/>
    </row>
    <row r="1024">
      <c r="A1024" s="4">
        <v>45534.32902769676</v>
      </c>
      <c r="B1024" s="5" t="s">
        <v>34</v>
      </c>
      <c r="D1024" s="5" t="s">
        <v>1768</v>
      </c>
      <c r="E1024" s="5" t="s">
        <v>9001</v>
      </c>
      <c r="F1024" s="5" t="s">
        <v>199</v>
      </c>
      <c r="G1024" s="5" t="s">
        <v>9002</v>
      </c>
      <c r="H1024" s="6" t="s">
        <v>9003</v>
      </c>
      <c r="K1024" s="5" t="s">
        <v>8998</v>
      </c>
      <c r="M1024" s="5" t="s">
        <v>9004</v>
      </c>
      <c r="N1024" s="7" t="s">
        <v>9005</v>
      </c>
      <c r="O1024" s="8" t="str">
        <f>HYPERLINK("https://drive.google.com/file/d/1ZfqN9sTPk5cV1p0Rur08b-nn9m8JUQII/view?usp=drivesdk","1023_SANIRAH DIPLOMA III _ SERTIFIKAT BIMTEK IPASN BerAKHLASK")</f>
        <v>1023_SANIRAH DIPLOMA III _ SERTIFIKAT BIMTEK IPASN BerAKHLASK</v>
      </c>
      <c r="P1024" s="5" t="s">
        <v>8994</v>
      </c>
      <c r="Q1024" s="5"/>
      <c r="R1024" s="5"/>
      <c r="S1024" s="5"/>
      <c r="T1024" s="5"/>
    </row>
    <row r="1025">
      <c r="A1025" s="4">
        <v>45534.32904236111</v>
      </c>
      <c r="B1025" s="5" t="s">
        <v>34</v>
      </c>
      <c r="D1025" s="5" t="s">
        <v>35</v>
      </c>
      <c r="E1025" s="5" t="s">
        <v>9006</v>
      </c>
      <c r="F1025" s="5" t="s">
        <v>524</v>
      </c>
      <c r="G1025" s="5" t="s">
        <v>9007</v>
      </c>
      <c r="H1025" s="6" t="s">
        <v>9008</v>
      </c>
      <c r="I1025" s="7" t="s">
        <v>9009</v>
      </c>
      <c r="J1025" s="8" t="str">
        <f>HYPERLINK("https://drive.google.com/file/d/1FEQRqgZnnf0G5Yy5r0YANh8CKLyFntxz/view?usp=drivesdk","INDRI HAFSARY, A.Md.Kep SERTIFIKAT BerAKHLAK")</f>
        <v>INDRI HAFSARY, A.Md.Kep SERTIFIKAT BerAKHLAK</v>
      </c>
      <c r="K1025" s="5" t="s">
        <v>8647</v>
      </c>
      <c r="L1025" s="5" t="s">
        <v>9010</v>
      </c>
      <c r="M1025" s="5" t="s">
        <v>9011</v>
      </c>
      <c r="N1025" s="7" t="s">
        <v>9012</v>
      </c>
      <c r="O1025" s="8" t="str">
        <f>HYPERLINK("https://drive.google.com/file/d/1n6md4d6hb0sivP-fuBnsRHMEIyVx5YiU/view?usp=drivesdk","1024_INDRI HAFSARY, A.Md.Kep _ SERTIFIKAT BIMTEK IPASN BerAKHLASK")</f>
        <v>1024_INDRI HAFSARY, A.Md.Kep _ SERTIFIKAT BIMTEK IPASN BerAKHLASK</v>
      </c>
      <c r="P1025" s="5" t="s">
        <v>8994</v>
      </c>
      <c r="Q1025" s="5"/>
      <c r="R1025" s="5"/>
      <c r="S1025" s="5"/>
      <c r="T1025" s="5"/>
    </row>
    <row r="1026">
      <c r="A1026" s="4">
        <v>45534.32904319445</v>
      </c>
      <c r="B1026" s="5" t="s">
        <v>34</v>
      </c>
      <c r="D1026" s="5" t="s">
        <v>35</v>
      </c>
      <c r="E1026" s="5" t="s">
        <v>9013</v>
      </c>
      <c r="F1026" s="5" t="s">
        <v>108</v>
      </c>
      <c r="G1026" s="5" t="s">
        <v>9014</v>
      </c>
      <c r="H1026" s="6" t="s">
        <v>9015</v>
      </c>
      <c r="I1026" s="7" t="s">
        <v>9016</v>
      </c>
      <c r="J1026" s="8" t="str">
        <f>HYPERLINK("https://drive.google.com/file/d/148xbkxH2sBItRecW7Asu7DT7CLSt91Ls/view?usp=drivesdk","PERTIWI SISWANDARI SERTIFIKAT BerAKHLAK")</f>
        <v>PERTIWI SISWANDARI SERTIFIKAT BerAKHLAK</v>
      </c>
      <c r="K1026" s="5" t="s">
        <v>8647</v>
      </c>
      <c r="L1026" s="5" t="s">
        <v>9017</v>
      </c>
      <c r="M1026" s="5" t="s">
        <v>9018</v>
      </c>
      <c r="N1026" s="7" t="s">
        <v>9019</v>
      </c>
      <c r="O1026" s="8" t="str">
        <f>HYPERLINK("https://drive.google.com/file/d/1Q3cIzQfTQICBBhzsoAseMpWU4yMozSlL/view?usp=drivesdk","1025_PERTIWI SISWANDARI _ SERTIFIKAT BIMTEK IPASN BerAKHLASK")</f>
        <v>1025_PERTIWI SISWANDARI _ SERTIFIKAT BIMTEK IPASN BerAKHLASK</v>
      </c>
      <c r="P1026" s="5" t="s">
        <v>8994</v>
      </c>
      <c r="Q1026" s="5"/>
      <c r="R1026" s="5"/>
      <c r="S1026" s="5"/>
      <c r="T1026" s="5"/>
    </row>
    <row r="1027">
      <c r="A1027" s="4">
        <v>45534.329044467595</v>
      </c>
      <c r="B1027" s="5" t="s">
        <v>34</v>
      </c>
      <c r="D1027" s="5" t="s">
        <v>9020</v>
      </c>
      <c r="E1027" s="5" t="s">
        <v>9021</v>
      </c>
      <c r="F1027" s="5" t="s">
        <v>37</v>
      </c>
      <c r="G1027" s="5" t="s">
        <v>9022</v>
      </c>
      <c r="H1027" s="6" t="s">
        <v>9023</v>
      </c>
      <c r="I1027" s="7" t="s">
        <v>9024</v>
      </c>
      <c r="J1027" s="8" t="str">
        <f>HYPERLINK("https://drive.google.com/file/d/1vG4aOG704YQIe50usdtjzWs1_G5jKb6A/view?usp=drivesdk","MARIA GORETTY SIGALINGGING SERTIFIKAT BerAKHLAK")</f>
        <v>MARIA GORETTY SIGALINGGING SERTIFIKAT BerAKHLAK</v>
      </c>
      <c r="K1027" s="5" t="s">
        <v>8647</v>
      </c>
      <c r="L1027" s="5" t="s">
        <v>9025</v>
      </c>
      <c r="M1027" s="5" t="s">
        <v>9026</v>
      </c>
      <c r="N1027" s="7" t="s">
        <v>9027</v>
      </c>
      <c r="O1027" s="8" t="str">
        <f>HYPERLINK("https://drive.google.com/file/d/1FVj6no-Qa4pZphPDvYqXnMbKjx_OWiKh/view?usp=drivesdk","1026_MARIA GORETTY SIGALINGGING _ SERTIFIKAT BIMTEK IPASN BerAKHLASK")</f>
        <v>1026_MARIA GORETTY SIGALINGGING _ SERTIFIKAT BIMTEK IPASN BerAKHLASK</v>
      </c>
      <c r="P1027" s="5" t="s">
        <v>8994</v>
      </c>
      <c r="Q1027" s="5"/>
      <c r="R1027" s="5"/>
      <c r="S1027" s="5"/>
      <c r="T1027" s="5"/>
    </row>
    <row r="1028">
      <c r="A1028" s="4">
        <v>45534.329056030096</v>
      </c>
      <c r="B1028" s="5" t="s">
        <v>34</v>
      </c>
      <c r="D1028" s="5" t="s">
        <v>280</v>
      </c>
      <c r="E1028" s="5" t="s">
        <v>9028</v>
      </c>
      <c r="F1028" s="5" t="s">
        <v>524</v>
      </c>
      <c r="G1028" s="5" t="s">
        <v>9029</v>
      </c>
      <c r="H1028" s="6" t="s">
        <v>9030</v>
      </c>
      <c r="I1028" s="7" t="s">
        <v>9031</v>
      </c>
      <c r="J1028" s="8" t="str">
        <f>HYPERLINK("https://drive.google.com/file/d/128PSveUjMUwvuiRXxIcEdjOnOmsHjU1O/view?usp=drivesdk","PENDA IDA WAHYUNI SERTIFIKAT BerAKHLAK")</f>
        <v>PENDA IDA WAHYUNI SERTIFIKAT BerAKHLAK</v>
      </c>
      <c r="K1028" s="5" t="s">
        <v>8647</v>
      </c>
      <c r="L1028" s="5" t="s">
        <v>9032</v>
      </c>
      <c r="M1028" s="5" t="s">
        <v>9033</v>
      </c>
      <c r="N1028" s="7" t="s">
        <v>9034</v>
      </c>
      <c r="O1028" s="8" t="str">
        <f>HYPERLINK("https://drive.google.com/file/d/1-anORtBVcQf0DsaM4oOgBMCt1mtDpSG6/view?usp=drivesdk","1027_PENDA IDA WAHYUNI _ SERTIFIKAT BIMTEK IPASN BerAKHLASK")</f>
        <v>1027_PENDA IDA WAHYUNI _ SERTIFIKAT BIMTEK IPASN BerAKHLASK</v>
      </c>
      <c r="P1028" s="5" t="s">
        <v>9035</v>
      </c>
      <c r="Q1028" s="5"/>
      <c r="R1028" s="5"/>
      <c r="S1028" s="5"/>
      <c r="T1028" s="5"/>
    </row>
    <row r="1029">
      <c r="A1029" s="4">
        <v>45534.32905612269</v>
      </c>
      <c r="B1029" s="5" t="s">
        <v>34</v>
      </c>
      <c r="D1029" s="5" t="s">
        <v>280</v>
      </c>
      <c r="E1029" s="5" t="s">
        <v>9036</v>
      </c>
      <c r="F1029" s="5" t="s">
        <v>37</v>
      </c>
      <c r="G1029" s="5" t="s">
        <v>9037</v>
      </c>
      <c r="H1029" s="6" t="s">
        <v>9038</v>
      </c>
      <c r="I1029" s="7" t="s">
        <v>9039</v>
      </c>
      <c r="J1029" s="8" t="str">
        <f>HYPERLINK("https://drive.google.com/file/d/1wCmyewTuvO9CUP46LZ0pWg173aY8mZoZ/view?usp=drivesdk","AGUSTINA NAHAR SERTIFIKAT BerAKHLAK")</f>
        <v>AGUSTINA NAHAR SERTIFIKAT BerAKHLAK</v>
      </c>
      <c r="K1029" s="5" t="s">
        <v>8647</v>
      </c>
      <c r="L1029" s="5" t="s">
        <v>9040</v>
      </c>
      <c r="M1029" s="5" t="s">
        <v>9041</v>
      </c>
      <c r="N1029" s="7" t="s">
        <v>9042</v>
      </c>
      <c r="O1029" s="8" t="str">
        <f>HYPERLINK("https://drive.google.com/file/d/1X5NwbYMNjEfUz82n3OrOpZedS5slmkia/view?usp=drivesdk","1028_AGUSTINA NAHAR _ SERTIFIKAT BIMTEK IPASN BerAKHLASK")</f>
        <v>1028_AGUSTINA NAHAR _ SERTIFIKAT BIMTEK IPASN BerAKHLASK</v>
      </c>
      <c r="P1029" s="5" t="s">
        <v>9035</v>
      </c>
      <c r="Q1029" s="5"/>
      <c r="R1029" s="5"/>
      <c r="S1029" s="5"/>
      <c r="T1029" s="5"/>
    </row>
    <row r="1030">
      <c r="A1030" s="4">
        <v>45534.32906787037</v>
      </c>
      <c r="B1030" s="5" t="s">
        <v>34</v>
      </c>
      <c r="D1030" s="5" t="s">
        <v>9020</v>
      </c>
      <c r="E1030" s="5" t="s">
        <v>9043</v>
      </c>
      <c r="F1030" s="5" t="s">
        <v>9044</v>
      </c>
      <c r="G1030" s="5" t="s">
        <v>9045</v>
      </c>
      <c r="H1030" s="6" t="s">
        <v>9046</v>
      </c>
      <c r="I1030" s="7" t="s">
        <v>9047</v>
      </c>
      <c r="J1030" s="8" t="str">
        <f>HYPERLINK("https://drive.google.com/file/d/1QP9_w7C46oE8uMTxDgV2nBqbV3jFHaW4/view?usp=drivesdk","MUHAMMAD TIKO NOVIAN, S.H., M.M. SERTIFIKAT BerAKHLAK")</f>
        <v>MUHAMMAD TIKO NOVIAN, S.H., M.M. SERTIFIKAT BerAKHLAK</v>
      </c>
      <c r="K1030" s="5" t="s">
        <v>8647</v>
      </c>
      <c r="L1030" s="5" t="s">
        <v>9048</v>
      </c>
      <c r="M1030" s="5" t="s">
        <v>9049</v>
      </c>
      <c r="N1030" s="7" t="s">
        <v>9050</v>
      </c>
      <c r="O1030" s="8" t="str">
        <f>HYPERLINK("https://drive.google.com/file/d/1lFzQ26MdX87dFNf9YU0qwS6kMsvhcqBD/view?usp=drivesdk","1029_MUHAMMAD TIKO NOVIAN, S.H., M.M. _ SERTIFIKAT BIMTEK IPASN BerAKHLASK")</f>
        <v>1029_MUHAMMAD TIKO NOVIAN, S.H., M.M. _ SERTIFIKAT BIMTEK IPASN BerAKHLASK</v>
      </c>
      <c r="P1030" s="5" t="s">
        <v>9035</v>
      </c>
      <c r="Q1030" s="5"/>
      <c r="R1030" s="5"/>
      <c r="S1030" s="5"/>
      <c r="T1030" s="5"/>
    </row>
    <row r="1031">
      <c r="A1031" s="4">
        <v>45534.32907091435</v>
      </c>
      <c r="B1031" s="5" t="s">
        <v>34</v>
      </c>
      <c r="D1031" s="5" t="s">
        <v>4775</v>
      </c>
      <c r="E1031" s="5" t="s">
        <v>9051</v>
      </c>
      <c r="F1031" s="5" t="s">
        <v>72</v>
      </c>
      <c r="G1031" s="5" t="s">
        <v>9052</v>
      </c>
      <c r="H1031" s="6" t="s">
        <v>9053</v>
      </c>
      <c r="I1031" s="7" t="s">
        <v>9054</v>
      </c>
      <c r="J1031" s="8" t="str">
        <f>HYPERLINK("https://drive.google.com/file/d/11X51ubC9aBm1VCXvtK0aUl42-o4F1vpd/view?usp=drivesdk","HENY SETYANINGSIH SERTIFIKAT BerAKHLAK")</f>
        <v>HENY SETYANINGSIH SERTIFIKAT BerAKHLAK</v>
      </c>
      <c r="K1031" s="5" t="s">
        <v>8685</v>
      </c>
      <c r="L1031" s="5" t="s">
        <v>9055</v>
      </c>
      <c r="M1031" s="5" t="s">
        <v>9056</v>
      </c>
      <c r="N1031" s="7" t="s">
        <v>9057</v>
      </c>
      <c r="O1031" s="8" t="str">
        <f>HYPERLINK("https://drive.google.com/file/d/17OSCI6XzXdQK1CLHVG1CmSxhtbqFPq4V/view?usp=drivesdk","1030_HENY SETYANINGSIH _ SERTIFIKAT BIMTEK IPASN BerAKHLASK")</f>
        <v>1030_HENY SETYANINGSIH _ SERTIFIKAT BIMTEK IPASN BerAKHLASK</v>
      </c>
      <c r="P1031" s="5" t="s">
        <v>9035</v>
      </c>
      <c r="Q1031" s="5"/>
      <c r="R1031" s="5"/>
      <c r="S1031" s="5"/>
      <c r="T1031" s="5"/>
    </row>
    <row r="1032">
      <c r="A1032" s="4">
        <v>45534.32907581019</v>
      </c>
      <c r="B1032" s="5" t="s">
        <v>34</v>
      </c>
      <c r="D1032" s="5" t="s">
        <v>1206</v>
      </c>
      <c r="E1032" s="5" t="s">
        <v>9058</v>
      </c>
      <c r="F1032" s="5" t="s">
        <v>37</v>
      </c>
      <c r="G1032" s="5" t="s">
        <v>9059</v>
      </c>
      <c r="H1032" s="6" t="s">
        <v>9060</v>
      </c>
      <c r="I1032" s="7" t="s">
        <v>9061</v>
      </c>
      <c r="J1032" s="8" t="str">
        <f>HYPERLINK("https://drive.google.com/file/d/139oik3hPx_APmNJuZ3FfVSuT-YwZ2LHy/view?usp=drivesdk","MOH ARIF RAHMAN SERTIFIKAT BerAKHLAK")</f>
        <v>MOH ARIF RAHMAN SERTIFIKAT BerAKHLAK</v>
      </c>
      <c r="K1032" s="5" t="s">
        <v>8685</v>
      </c>
      <c r="L1032" s="5" t="s">
        <v>9062</v>
      </c>
      <c r="M1032" s="5" t="s">
        <v>9063</v>
      </c>
      <c r="N1032" s="7" t="s">
        <v>9064</v>
      </c>
      <c r="O1032" s="8" t="str">
        <f>HYPERLINK("https://drive.google.com/file/d/1AH1SfwE8Cmp6wtcJQ68v0FwP3ff-ej7q/view?usp=drivesdk","1031_MOH ARIF RAHMAN _ SERTIFIKAT BIMTEK IPASN BerAKHLASK")</f>
        <v>1031_MOH ARIF RAHMAN _ SERTIFIKAT BIMTEK IPASN BerAKHLASK</v>
      </c>
      <c r="P1032" s="5" t="s">
        <v>9065</v>
      </c>
      <c r="Q1032" s="5"/>
      <c r="R1032" s="5"/>
      <c r="S1032" s="5"/>
      <c r="T1032" s="5"/>
    </row>
    <row r="1033">
      <c r="A1033" s="4">
        <v>45534.32907755787</v>
      </c>
      <c r="B1033" s="5" t="s">
        <v>34</v>
      </c>
      <c r="D1033" s="5" t="s">
        <v>1768</v>
      </c>
      <c r="E1033" s="5" t="s">
        <v>7714</v>
      </c>
      <c r="F1033" s="5" t="s">
        <v>108</v>
      </c>
      <c r="G1033" s="5" t="s">
        <v>9066</v>
      </c>
      <c r="H1033" s="6" t="s">
        <v>9067</v>
      </c>
      <c r="I1033" s="7" t="s">
        <v>9068</v>
      </c>
      <c r="J1033" s="8" t="str">
        <f>HYPERLINK("https://drive.google.com/file/d/1H_wS9QW8i65U06Zpz07cufW-tbj0t8xI/view?usp=drivesdk","ENDANG SRI RAHAYU SERTIFIKAT BerAKHLAK")</f>
        <v>ENDANG SRI RAHAYU SERTIFIKAT BerAKHLAK</v>
      </c>
      <c r="K1033" s="5" t="s">
        <v>8685</v>
      </c>
      <c r="L1033" s="5" t="s">
        <v>9069</v>
      </c>
      <c r="M1033" s="5" t="s">
        <v>9070</v>
      </c>
      <c r="N1033" s="7" t="s">
        <v>9071</v>
      </c>
      <c r="O1033" s="8" t="str">
        <f>HYPERLINK("https://drive.google.com/file/d/1GzVJpIA8ey-oBEZKgVvajT3JCVLaNZjf/view?usp=drivesdk","1032_ENDANG SRI RAHAYU _ SERTIFIKAT BIMTEK IPASN BerAKHLASK")</f>
        <v>1032_ENDANG SRI RAHAYU _ SERTIFIKAT BIMTEK IPASN BerAKHLASK</v>
      </c>
      <c r="P1033" s="5" t="s">
        <v>9065</v>
      </c>
      <c r="Q1033" s="5"/>
      <c r="R1033" s="5"/>
      <c r="S1033" s="5"/>
      <c r="T1033" s="5"/>
    </row>
    <row r="1034">
      <c r="A1034" s="4">
        <v>45534.32909234954</v>
      </c>
      <c r="B1034" s="5" t="s">
        <v>34</v>
      </c>
      <c r="D1034" s="5" t="s">
        <v>35</v>
      </c>
      <c r="E1034" s="5" t="s">
        <v>9072</v>
      </c>
      <c r="F1034" s="5" t="s">
        <v>108</v>
      </c>
      <c r="G1034" s="5" t="s">
        <v>9073</v>
      </c>
      <c r="H1034" s="6" t="s">
        <v>9074</v>
      </c>
      <c r="I1034" s="7" t="s">
        <v>9075</v>
      </c>
      <c r="J1034" s="8" t="str">
        <f>HYPERLINK("https://drive.google.com/file/d/1d5ex8bVD4zzgDJlC6IY5-Bf4FC6avzKC/view?usp=drivesdk","TAOPIK HIDAYAT, AMK SERTIFIKAT BerAKHLAK")</f>
        <v>TAOPIK HIDAYAT, AMK SERTIFIKAT BerAKHLAK</v>
      </c>
      <c r="K1034" s="5" t="s">
        <v>8647</v>
      </c>
      <c r="L1034" s="5" t="s">
        <v>9076</v>
      </c>
      <c r="M1034" s="5" t="s">
        <v>9077</v>
      </c>
      <c r="N1034" s="7" t="s">
        <v>9078</v>
      </c>
      <c r="O1034" s="8" t="str">
        <f>HYPERLINK("https://drive.google.com/file/d/1s5uly59nEskb4r7URgJ1rVqViy9ceseZ/view?usp=drivesdk","1033_TAOPIK HIDAYAT, AMK _ SERTIFIKAT BIMTEK IPASN BerAKHLASK")</f>
        <v>1033_TAOPIK HIDAYAT, AMK _ SERTIFIKAT BIMTEK IPASN BerAKHLASK</v>
      </c>
      <c r="P1034" s="5" t="s">
        <v>9065</v>
      </c>
      <c r="Q1034" s="5"/>
      <c r="R1034" s="5"/>
      <c r="S1034" s="5"/>
      <c r="T1034" s="5"/>
    </row>
    <row r="1035">
      <c r="A1035" s="4">
        <v>45534.32910560185</v>
      </c>
      <c r="B1035" s="5" t="s">
        <v>34</v>
      </c>
      <c r="D1035" s="5" t="s">
        <v>267</v>
      </c>
      <c r="E1035" s="5" t="s">
        <v>9079</v>
      </c>
      <c r="F1035" s="5" t="s">
        <v>37</v>
      </c>
      <c r="G1035" s="5" t="s">
        <v>9080</v>
      </c>
      <c r="H1035" s="6" t="s">
        <v>9081</v>
      </c>
      <c r="I1035" s="7" t="s">
        <v>9082</v>
      </c>
      <c r="J1035" s="8" t="str">
        <f>HYPERLINK("https://drive.google.com/file/d/1WK3pHAHGuvXR0DjsRxtmCL-gRtPoRbWH/view?usp=drivesdk","YOHANES AGUNG PRIHATMOKO SERTIFIKAT BerAKHLAK")</f>
        <v>YOHANES AGUNG PRIHATMOKO SERTIFIKAT BerAKHLAK</v>
      </c>
      <c r="K1035" s="5" t="s">
        <v>8647</v>
      </c>
      <c r="L1035" s="5" t="s">
        <v>9083</v>
      </c>
      <c r="M1035" s="5" t="s">
        <v>9084</v>
      </c>
      <c r="N1035" s="7" t="s">
        <v>9085</v>
      </c>
      <c r="O1035" s="8" t="str">
        <f>HYPERLINK("https://drive.google.com/file/d/16TcDZV6z6GMBtKj0xJh0BUYFHKHDnk6H/view?usp=drivesdk","1034_YOHANES AGUNG PRIHATMOKO _ SERTIFIKAT BIMTEK IPASN BerAKHLASK")</f>
        <v>1034_YOHANES AGUNG PRIHATMOKO _ SERTIFIKAT BIMTEK IPASN BerAKHLASK</v>
      </c>
      <c r="P1035" s="5" t="s">
        <v>9065</v>
      </c>
      <c r="Q1035" s="5"/>
      <c r="R1035" s="5"/>
      <c r="S1035" s="5"/>
      <c r="T1035" s="5"/>
    </row>
    <row r="1036">
      <c r="A1036" s="4">
        <v>45534.32912284722</v>
      </c>
      <c r="B1036" s="5" t="s">
        <v>34</v>
      </c>
      <c r="D1036" s="5" t="s">
        <v>4775</v>
      </c>
      <c r="E1036" s="5" t="s">
        <v>9086</v>
      </c>
      <c r="F1036" s="5" t="s">
        <v>375</v>
      </c>
      <c r="G1036" s="5" t="s">
        <v>9087</v>
      </c>
      <c r="H1036" s="6" t="s">
        <v>9088</v>
      </c>
      <c r="I1036" s="7" t="s">
        <v>9089</v>
      </c>
      <c r="J1036" s="8" t="str">
        <f>HYPERLINK("https://drive.google.com/file/d/1F3F9ljpl23qrYj004dJjYd2c0JjBzoZs/view?usp=drivesdk","RIZZCHI WIDIJATMOKO, S.E. SERTIFIKAT BerAKHLAK")</f>
        <v>RIZZCHI WIDIJATMOKO, S.E. SERTIFIKAT BerAKHLAK</v>
      </c>
      <c r="K1036" s="5" t="s">
        <v>8647</v>
      </c>
      <c r="L1036" s="5" t="s">
        <v>9090</v>
      </c>
      <c r="M1036" s="5" t="s">
        <v>9091</v>
      </c>
      <c r="N1036" s="7" t="s">
        <v>9092</v>
      </c>
      <c r="O1036" s="8" t="str">
        <f>HYPERLINK("https://drive.google.com/file/d/1FDComEIbL5fRXJ95I9qpEil1TclwyKfq/view?usp=drivesdk","1035_RIZZCHI WIDIJATMOKO, S.E. _ SERTIFIKAT BIMTEK IPASN BerAKHLASK")</f>
        <v>1035_RIZZCHI WIDIJATMOKO, S.E. _ SERTIFIKAT BIMTEK IPASN BerAKHLASK</v>
      </c>
      <c r="P1036" s="5" t="s">
        <v>9065</v>
      </c>
      <c r="Q1036" s="5"/>
      <c r="R1036" s="5"/>
      <c r="S1036" s="5"/>
      <c r="T1036" s="5"/>
    </row>
    <row r="1037">
      <c r="A1037" s="4">
        <v>45534.329140856484</v>
      </c>
      <c r="B1037" s="5" t="s">
        <v>34</v>
      </c>
      <c r="D1037" s="5" t="s">
        <v>4775</v>
      </c>
      <c r="E1037" s="5" t="s">
        <v>9093</v>
      </c>
      <c r="F1037" s="5" t="s">
        <v>212</v>
      </c>
      <c r="G1037" s="5" t="s">
        <v>9094</v>
      </c>
      <c r="H1037" s="6" t="s">
        <v>9095</v>
      </c>
      <c r="I1037" s="7" t="s">
        <v>9096</v>
      </c>
      <c r="J1037" s="8" t="str">
        <f>HYPERLINK("https://drive.google.com/file/d/1a8UxkaRxeges74faltkjoo1jlcUmMDH4/view?usp=drivesdk","ERY WAHYUNI PUSPITASARI  SERTIFIKAT BerAKHLAK")</f>
        <v>ERY WAHYUNI PUSPITASARI  SERTIFIKAT BerAKHLAK</v>
      </c>
      <c r="K1037" s="5" t="s">
        <v>8647</v>
      </c>
      <c r="L1037" s="5" t="s">
        <v>9097</v>
      </c>
      <c r="M1037" s="5" t="s">
        <v>9098</v>
      </c>
      <c r="N1037" s="7" t="s">
        <v>9099</v>
      </c>
      <c r="O1037" s="8" t="str">
        <f>HYPERLINK("https://drive.google.com/file/d/19npQ39JAnpR8GDOOcEoFZwr9fSikk16K/view?usp=drivesdk","1036_ERY WAHYUNI PUSPITASARI  _ SERTIFIKAT BIMTEK IPASN BerAKHLASK")</f>
        <v>1036_ERY WAHYUNI PUSPITASARI  _ SERTIFIKAT BIMTEK IPASN BerAKHLASK</v>
      </c>
      <c r="P1037" s="5" t="s">
        <v>9065</v>
      </c>
      <c r="Q1037" s="5"/>
      <c r="R1037" s="5"/>
      <c r="S1037" s="5"/>
      <c r="T1037" s="5"/>
    </row>
    <row r="1038">
      <c r="A1038" s="4">
        <v>45534.32918480324</v>
      </c>
      <c r="B1038" s="5" t="s">
        <v>34</v>
      </c>
      <c r="D1038" s="5" t="s">
        <v>35</v>
      </c>
      <c r="E1038" s="5" t="s">
        <v>9100</v>
      </c>
      <c r="F1038" s="5" t="s">
        <v>37</v>
      </c>
      <c r="G1038" s="5" t="s">
        <v>9101</v>
      </c>
      <c r="H1038" s="6" t="s">
        <v>9102</v>
      </c>
      <c r="I1038" s="7" t="s">
        <v>9103</v>
      </c>
      <c r="J1038" s="8" t="str">
        <f>HYPERLINK("https://drive.google.com/file/d/11r9NHaKAjD4ELjmJ8DZ2Cmk4JkHZYwcu/view?usp=drivesdk","TINI YUNIARTI SERTIFIKAT BerAKHLAK")</f>
        <v>TINI YUNIARTI SERTIFIKAT BerAKHLAK</v>
      </c>
      <c r="K1038" s="5" t="s">
        <v>8647</v>
      </c>
      <c r="L1038" s="5" t="s">
        <v>9104</v>
      </c>
      <c r="M1038" s="5" t="s">
        <v>9105</v>
      </c>
      <c r="N1038" s="7" t="s">
        <v>9106</v>
      </c>
      <c r="O1038" s="8" t="str">
        <f>HYPERLINK("https://drive.google.com/file/d/1p3teYhF9UGDmYRCbZKw0BisDjAXHR0PA/view?usp=drivesdk","1037_TINI YUNIARTI _ SERTIFIKAT BIMTEK IPASN BerAKHLASK")</f>
        <v>1037_TINI YUNIARTI _ SERTIFIKAT BIMTEK IPASN BerAKHLASK</v>
      </c>
      <c r="P1038" s="5" t="s">
        <v>9107</v>
      </c>
      <c r="Q1038" s="5"/>
      <c r="R1038" s="5"/>
      <c r="S1038" s="5"/>
      <c r="T1038" s="5"/>
    </row>
    <row r="1039">
      <c r="A1039" s="4">
        <v>45534.329184965274</v>
      </c>
      <c r="B1039" s="5" t="s">
        <v>34</v>
      </c>
      <c r="D1039" s="5" t="s">
        <v>280</v>
      </c>
      <c r="E1039" s="5" t="s">
        <v>9108</v>
      </c>
      <c r="F1039" s="5" t="s">
        <v>37</v>
      </c>
      <c r="G1039" s="5" t="s">
        <v>9109</v>
      </c>
      <c r="H1039" s="6" t="s">
        <v>9110</v>
      </c>
      <c r="I1039" s="7" t="s">
        <v>9111</v>
      </c>
      <c r="J1039" s="8" t="str">
        <f>HYPERLINK("https://drive.google.com/file/d/1QwvDUIwP8k8_tceiw8gs5O67-ecZ9v02/view?usp=drivesdk","EMIL DARIANA NAHAR SERTIFIKAT BerAKHLAK")</f>
        <v>EMIL DARIANA NAHAR SERTIFIKAT BerAKHLAK</v>
      </c>
      <c r="K1039" s="5" t="s">
        <v>8647</v>
      </c>
      <c r="L1039" s="5" t="s">
        <v>9112</v>
      </c>
      <c r="M1039" s="5" t="s">
        <v>9113</v>
      </c>
      <c r="N1039" s="7" t="s">
        <v>9114</v>
      </c>
      <c r="O1039" s="8" t="str">
        <f>HYPERLINK("https://drive.google.com/file/d/19VVdSaYc87OtqVZ6o-JvQvDIG7raT5Hz/view?usp=drivesdk","1038_EMIL DARIANA NAHAR _ SERTIFIKAT BIMTEK IPASN BerAKHLASK")</f>
        <v>1038_EMIL DARIANA NAHAR _ SERTIFIKAT BIMTEK IPASN BerAKHLASK</v>
      </c>
      <c r="P1039" s="5" t="s">
        <v>9107</v>
      </c>
      <c r="Q1039" s="5"/>
      <c r="R1039" s="5"/>
      <c r="S1039" s="5"/>
      <c r="T1039" s="5"/>
    </row>
    <row r="1040" hidden="1">
      <c r="A1040" s="4">
        <v>45534.32919179398</v>
      </c>
      <c r="B1040" s="5" t="s">
        <v>19</v>
      </c>
      <c r="C1040" s="5" t="s">
        <v>20</v>
      </c>
      <c r="E1040" s="5" t="s">
        <v>9115</v>
      </c>
      <c r="F1040" s="5" t="s">
        <v>120</v>
      </c>
      <c r="G1040" s="5" t="s">
        <v>9116</v>
      </c>
      <c r="H1040" s="6" t="s">
        <v>9117</v>
      </c>
      <c r="I1040" s="7" t="s">
        <v>9118</v>
      </c>
      <c r="J1040" s="8" t="str">
        <f>HYPERLINK("https://drive.google.com/file/d/1tv_jJQje9pLBn9Frq36nWV-6VguIaq1q/view?usp=drivesdk","AGUNG SURADYANTO, S.E. SERTIFIKAT BerAKHLAK")</f>
        <v>AGUNG SURADYANTO, S.E. SERTIFIKAT BerAKHLAK</v>
      </c>
      <c r="K1040" s="5" t="s">
        <v>8685</v>
      </c>
      <c r="L1040" s="5" t="s">
        <v>9119</v>
      </c>
      <c r="M1040" s="5" t="s">
        <v>9120</v>
      </c>
      <c r="N1040" s="7" t="s">
        <v>9121</v>
      </c>
      <c r="O1040" s="8" t="str">
        <f>HYPERLINK("https://drive.google.com/file/d/1UdDt_63-mYJVO6RugKLO3B2xRJkkbspG/view?usp=drivesdk","1039_AGUNG SURADYANTO, S.E. _ SERTIFIKAT BIMTEK IPASN BerAKHLASK")</f>
        <v>1039_AGUNG SURADYANTO, S.E. _ SERTIFIKAT BIMTEK IPASN BerAKHLASK</v>
      </c>
      <c r="P1040" s="5" t="s">
        <v>9107</v>
      </c>
      <c r="Q1040" s="5"/>
      <c r="R1040" s="5"/>
      <c r="S1040" s="5"/>
      <c r="T1040" s="5"/>
    </row>
    <row r="1041" hidden="1">
      <c r="A1041" s="4">
        <v>45534.32921119213</v>
      </c>
      <c r="B1041" s="5" t="s">
        <v>19</v>
      </c>
      <c r="C1041" s="5" t="s">
        <v>20</v>
      </c>
      <c r="E1041" s="5" t="s">
        <v>9122</v>
      </c>
      <c r="F1041" s="5" t="s">
        <v>524</v>
      </c>
      <c r="G1041" s="5" t="s">
        <v>9123</v>
      </c>
      <c r="H1041" s="6" t="s">
        <v>9124</v>
      </c>
      <c r="I1041" s="7" t="s">
        <v>9125</v>
      </c>
      <c r="J1041" s="8" t="str">
        <f>HYPERLINK("https://drive.google.com/file/d/18sEi9HzB6fn0_6VVTA7c4xbH9nTV718o/view?usp=drivesdk","HADI APRI SUYANTO SERTIFIKAT BerAKHLAK")</f>
        <v>HADI APRI SUYANTO SERTIFIKAT BerAKHLAK</v>
      </c>
      <c r="K1041" s="5" t="s">
        <v>8647</v>
      </c>
      <c r="L1041" s="5" t="s">
        <v>9126</v>
      </c>
      <c r="M1041" s="5" t="s">
        <v>9127</v>
      </c>
      <c r="N1041" s="7" t="s">
        <v>9128</v>
      </c>
      <c r="O1041" s="8" t="str">
        <f>HYPERLINK("https://drive.google.com/file/d/1x0t0ifhaYt94jqAn_i3dN24qRa2KhN_6/view?usp=drivesdk","1040_HADI APRI SUYANTO _ SERTIFIKAT BIMTEK IPASN BerAKHLASK")</f>
        <v>1040_HADI APRI SUYANTO _ SERTIFIKAT BIMTEK IPASN BerAKHLASK</v>
      </c>
      <c r="P1041" s="5" t="s">
        <v>9107</v>
      </c>
      <c r="Q1041" s="5"/>
      <c r="R1041" s="5"/>
      <c r="S1041" s="5"/>
      <c r="T1041" s="5"/>
    </row>
    <row r="1042">
      <c r="A1042" s="4">
        <v>45534.32922496527</v>
      </c>
      <c r="B1042" s="5" t="s">
        <v>34</v>
      </c>
      <c r="D1042" s="5" t="s">
        <v>1206</v>
      </c>
      <c r="E1042" s="5" t="s">
        <v>9129</v>
      </c>
      <c r="F1042" s="5" t="s">
        <v>375</v>
      </c>
      <c r="G1042" s="5" t="s">
        <v>9130</v>
      </c>
      <c r="H1042" s="6" t="s">
        <v>9131</v>
      </c>
      <c r="I1042" s="7" t="s">
        <v>9132</v>
      </c>
      <c r="J1042" s="8" t="str">
        <f>HYPERLINK("https://drive.google.com/file/d/1sD4NVJ0-UmrcsnqEJkCE4TrFefuFPvOh/view?usp=drivesdk","YENI KISMAWATI  SERTIFIKAT BerAKHLAK")</f>
        <v>YENI KISMAWATI  SERTIFIKAT BerAKHLAK</v>
      </c>
      <c r="K1042" s="5" t="s">
        <v>8647</v>
      </c>
      <c r="L1042" s="5" t="s">
        <v>9133</v>
      </c>
      <c r="M1042" s="5" t="s">
        <v>9134</v>
      </c>
      <c r="N1042" s="7" t="s">
        <v>9135</v>
      </c>
      <c r="O1042" s="8" t="str">
        <f>HYPERLINK("https://drive.google.com/file/d/1lKStS89w8zr1uMucRrwL8vxkLoGiHLun/view?usp=drivesdk","1041_YENI KISMAWATI  _ SERTIFIKAT BIMTEK IPASN BerAKHLASK")</f>
        <v>1041_YENI KISMAWATI  _ SERTIFIKAT BIMTEK IPASN BerAKHLASK</v>
      </c>
      <c r="P1042" s="5" t="s">
        <v>9136</v>
      </c>
      <c r="Q1042" s="5"/>
      <c r="R1042" s="5"/>
      <c r="S1042" s="5"/>
      <c r="T1042" s="5"/>
    </row>
    <row r="1043">
      <c r="A1043" s="4">
        <v>45534.329225821755</v>
      </c>
      <c r="B1043" s="5" t="s">
        <v>34</v>
      </c>
      <c r="D1043" s="5" t="s">
        <v>280</v>
      </c>
      <c r="E1043" s="5" t="s">
        <v>9137</v>
      </c>
      <c r="F1043" s="5" t="s">
        <v>715</v>
      </c>
      <c r="G1043" s="5" t="s">
        <v>9138</v>
      </c>
      <c r="H1043" s="6" t="s">
        <v>9139</v>
      </c>
      <c r="I1043" s="7" t="s">
        <v>9140</v>
      </c>
      <c r="J1043" s="8" t="str">
        <f>HYPERLINK("https://drive.google.com/file/d/1gpNwModp0cmn0jMxVh7cxJLBQpecrCxd/view?usp=drivesdk","AWDIA SUCIETY, S.E SERTIFIKAT BerAKHLAK")</f>
        <v>AWDIA SUCIETY, S.E SERTIFIKAT BerAKHLAK</v>
      </c>
      <c r="K1043" s="5" t="s">
        <v>8647</v>
      </c>
      <c r="L1043" s="5" t="s">
        <v>9141</v>
      </c>
      <c r="M1043" s="5" t="s">
        <v>9142</v>
      </c>
      <c r="N1043" s="7" t="s">
        <v>9143</v>
      </c>
      <c r="O1043" s="8" t="str">
        <f>HYPERLINK("https://drive.google.com/file/d/1sUo02oMEqFTl_ZvOewe4Lq3voEOJzr_N/view?usp=drivesdk","1042_AWDIA SUCIETY, S.E _ SERTIFIKAT BIMTEK IPASN BerAKHLASK")</f>
        <v>1042_AWDIA SUCIETY, S.E _ SERTIFIKAT BIMTEK IPASN BerAKHLASK</v>
      </c>
      <c r="P1043" s="5" t="s">
        <v>9136</v>
      </c>
      <c r="Q1043" s="5"/>
      <c r="R1043" s="5"/>
      <c r="S1043" s="5"/>
      <c r="T1043" s="5"/>
    </row>
    <row r="1044">
      <c r="A1044" s="4">
        <v>45534.32923509259</v>
      </c>
      <c r="B1044" s="5" t="s">
        <v>34</v>
      </c>
      <c r="D1044" s="5" t="s">
        <v>3432</v>
      </c>
      <c r="E1044" s="5" t="s">
        <v>9144</v>
      </c>
      <c r="F1044" s="5" t="s">
        <v>37</v>
      </c>
      <c r="G1044" s="5" t="s">
        <v>9145</v>
      </c>
      <c r="H1044" s="6" t="s">
        <v>9146</v>
      </c>
      <c r="I1044" s="7" t="s">
        <v>9147</v>
      </c>
      <c r="J1044" s="8" t="str">
        <f>HYPERLINK("https://drive.google.com/file/d/1wdyVp9NOUPMwhUEdcoCA31mWA29jdJJK/view?usp=drivesdk","MUHAMMAD AL GHAZALI NUHUYANANA, A.MD. KEP SERTIFIKAT BerAKHLAK")</f>
        <v>MUHAMMAD AL GHAZALI NUHUYANANA, A.MD. KEP SERTIFIKAT BerAKHLAK</v>
      </c>
      <c r="K1044" s="5" t="s">
        <v>8647</v>
      </c>
      <c r="L1044" s="5" t="s">
        <v>9148</v>
      </c>
      <c r="M1044" s="5" t="s">
        <v>9149</v>
      </c>
      <c r="N1044" s="7" t="s">
        <v>9150</v>
      </c>
      <c r="O1044" s="8" t="str">
        <f>HYPERLINK("https://drive.google.com/file/d/1FaxWdkv3IwplLjsZGLhmVPE22w6ZboSy/view?usp=drivesdk","1043_MUHAMMAD AL GHAZALI NUHUYANANA, A.MD. KEP _ SERTIFIKAT BIMTEK IPASN BerAKHLASK")</f>
        <v>1043_MUHAMMAD AL GHAZALI NUHUYANANA, A.MD. KEP _ SERTIFIKAT BIMTEK IPASN BerAKHLASK</v>
      </c>
      <c r="P1044" s="5" t="s">
        <v>9136</v>
      </c>
      <c r="Q1044" s="5"/>
      <c r="R1044" s="5"/>
      <c r="S1044" s="5"/>
      <c r="T1044" s="5"/>
    </row>
    <row r="1045">
      <c r="A1045" s="4">
        <v>45534.32928770833</v>
      </c>
      <c r="B1045" s="5" t="s">
        <v>34</v>
      </c>
      <c r="D1045" s="5" t="s">
        <v>35</v>
      </c>
      <c r="E1045" s="5" t="s">
        <v>9151</v>
      </c>
      <c r="F1045" s="5" t="s">
        <v>108</v>
      </c>
      <c r="G1045" s="5" t="s">
        <v>9152</v>
      </c>
      <c r="H1045" s="6" t="s">
        <v>9153</v>
      </c>
      <c r="I1045" s="7" t="s">
        <v>9154</v>
      </c>
      <c r="J1045" s="8" t="str">
        <f>HYPERLINK("https://drive.google.com/file/d/1DV0cWia07ug0It1iy1G8cZ1b46ZZWmae/view?usp=drivesdk","ALIEN KHAIRUNNISA SERTIFIKAT BerAKHLAK")</f>
        <v>ALIEN KHAIRUNNISA SERTIFIKAT BerAKHLAK</v>
      </c>
      <c r="K1045" s="5" t="s">
        <v>8647</v>
      </c>
      <c r="L1045" s="5" t="s">
        <v>9155</v>
      </c>
      <c r="M1045" s="5" t="s">
        <v>9156</v>
      </c>
      <c r="N1045" s="7" t="s">
        <v>9157</v>
      </c>
      <c r="O1045" s="8" t="str">
        <f>HYPERLINK("https://drive.google.com/file/d/11Vo2UPL5uIhP9NVq6qeas77RysOZF5mA/view?usp=drivesdk","1044_ALIEN KHAIRUNNISA _ SERTIFIKAT BIMTEK IPASN BerAKHLASK")</f>
        <v>1044_ALIEN KHAIRUNNISA _ SERTIFIKAT BIMTEK IPASN BerAKHLASK</v>
      </c>
      <c r="P1045" s="5" t="s">
        <v>9136</v>
      </c>
      <c r="Q1045" s="5"/>
      <c r="R1045" s="5"/>
      <c r="S1045" s="5"/>
      <c r="T1045" s="5"/>
    </row>
    <row r="1046">
      <c r="A1046" s="4">
        <v>45534.3293341088</v>
      </c>
      <c r="B1046" s="5" t="s">
        <v>34</v>
      </c>
      <c r="D1046" s="5" t="s">
        <v>3432</v>
      </c>
      <c r="E1046" s="5" t="s">
        <v>9158</v>
      </c>
      <c r="F1046" s="5" t="s">
        <v>37</v>
      </c>
      <c r="G1046" s="5" t="s">
        <v>9159</v>
      </c>
      <c r="H1046" s="6" t="s">
        <v>9160</v>
      </c>
      <c r="I1046" s="7" t="s">
        <v>9161</v>
      </c>
      <c r="J1046" s="8" t="str">
        <f>HYPERLINK("https://drive.google.com/file/d/1QgVXd0Sj1rgPwnrtooe3dS-EHMJ8KEhM/view?usp=drivesdk","DEWI SEPTIYANTI TJAN,A.MD  SERTIFIKAT BerAKHLAK")</f>
        <v>DEWI SEPTIYANTI TJAN,A.MD  SERTIFIKAT BerAKHLAK</v>
      </c>
      <c r="K1046" s="5" t="s">
        <v>8647</v>
      </c>
      <c r="L1046" s="5" t="s">
        <v>9162</v>
      </c>
      <c r="M1046" s="5" t="s">
        <v>9163</v>
      </c>
      <c r="N1046" s="7" t="s">
        <v>9164</v>
      </c>
      <c r="O1046" s="8" t="str">
        <f>HYPERLINK("https://drive.google.com/file/d/1vgGnJE9yFnKnBmJKUSskgvzGyIKquTO3/view?usp=drivesdk","1045_DEWI SEPTIYANTI TJAN,A.MD  _ SERTIFIKAT BIMTEK IPASN BerAKHLASK")</f>
        <v>1045_DEWI SEPTIYANTI TJAN,A.MD  _ SERTIFIKAT BIMTEK IPASN BerAKHLASK</v>
      </c>
      <c r="P1046" s="5" t="s">
        <v>9136</v>
      </c>
      <c r="Q1046" s="5"/>
      <c r="R1046" s="5"/>
      <c r="S1046" s="5"/>
      <c r="T1046" s="5"/>
    </row>
    <row r="1047">
      <c r="A1047" s="4">
        <v>45534.32933518519</v>
      </c>
      <c r="B1047" s="5" t="s">
        <v>34</v>
      </c>
      <c r="D1047" s="5" t="s">
        <v>4775</v>
      </c>
      <c r="E1047" s="5" t="s">
        <v>9165</v>
      </c>
      <c r="F1047" s="5" t="s">
        <v>375</v>
      </c>
      <c r="G1047" s="5" t="s">
        <v>9166</v>
      </c>
      <c r="H1047" s="6" t="s">
        <v>9167</v>
      </c>
      <c r="I1047" s="7" t="s">
        <v>9168</v>
      </c>
      <c r="J1047" s="8" t="str">
        <f>HYPERLINK("https://drive.google.com/file/d/12w8vRT5UQwJN2yRC4QCw6nldTCgBk9_A/view?usp=drivesdk","JOKO RAHARJO, S.T. SERTIFIKAT BerAKHLAK")</f>
        <v>JOKO RAHARJO, S.T. SERTIFIKAT BerAKHLAK</v>
      </c>
      <c r="K1047" s="5" t="s">
        <v>8647</v>
      </c>
      <c r="L1047" s="5" t="s">
        <v>9169</v>
      </c>
      <c r="M1047" s="5" t="s">
        <v>9170</v>
      </c>
      <c r="N1047" s="7" t="s">
        <v>9171</v>
      </c>
      <c r="O1047" s="8" t="str">
        <f>HYPERLINK("https://drive.google.com/file/d/1r7orGWC6fBmUj1_9wAf1KwNq86W0fgfe/view?usp=drivesdk","1046_JOKO RAHARJO, S.T. _ SERTIFIKAT BIMTEK IPASN BerAKHLASK")</f>
        <v>1046_JOKO RAHARJO, S.T. _ SERTIFIKAT BIMTEK IPASN BerAKHLASK</v>
      </c>
      <c r="P1047" s="5" t="s">
        <v>9172</v>
      </c>
      <c r="Q1047" s="5"/>
      <c r="R1047" s="5"/>
      <c r="S1047" s="5"/>
      <c r="T1047" s="5"/>
    </row>
    <row r="1048">
      <c r="A1048" s="4">
        <v>45534.32934952546</v>
      </c>
      <c r="B1048" s="5" t="s">
        <v>34</v>
      </c>
      <c r="D1048" s="5" t="s">
        <v>4775</v>
      </c>
      <c r="E1048" s="5" t="s">
        <v>9173</v>
      </c>
      <c r="F1048" s="5" t="s">
        <v>37</v>
      </c>
      <c r="G1048" s="5" t="s">
        <v>9174</v>
      </c>
      <c r="H1048" s="6" t="s">
        <v>9175</v>
      </c>
      <c r="I1048" s="7" t="s">
        <v>9176</v>
      </c>
      <c r="J1048" s="8" t="str">
        <f>HYPERLINK("https://drive.google.com/file/d/1TCX5VU-9UXHBGu4bY1cSTAyXq7S5pQb3/view?usp=drivesdk","TAUFIK SAPRUDIN SERTIFIKAT BerAKHLAK")</f>
        <v>TAUFIK SAPRUDIN SERTIFIKAT BerAKHLAK</v>
      </c>
      <c r="K1048" s="5" t="s">
        <v>8647</v>
      </c>
      <c r="L1048" s="5" t="s">
        <v>9177</v>
      </c>
      <c r="M1048" s="5" t="s">
        <v>9178</v>
      </c>
      <c r="N1048" s="7" t="s">
        <v>9179</v>
      </c>
      <c r="O1048" s="8" t="str">
        <f>HYPERLINK("https://drive.google.com/file/d/1P0Ly35SUDX0y-foOa2TypX6UBAzI-xYl/view?usp=drivesdk","1047_TAUFIK SAPRUDIN _ SERTIFIKAT BIMTEK IPASN BerAKHLASK")</f>
        <v>1047_TAUFIK SAPRUDIN _ SERTIFIKAT BIMTEK IPASN BerAKHLASK</v>
      </c>
      <c r="P1048" s="5" t="s">
        <v>9172</v>
      </c>
      <c r="Q1048" s="5"/>
      <c r="R1048" s="5"/>
      <c r="S1048" s="5"/>
      <c r="T1048" s="5"/>
    </row>
    <row r="1049">
      <c r="A1049" s="4">
        <v>45534.329378842594</v>
      </c>
      <c r="B1049" s="5" t="s">
        <v>34</v>
      </c>
      <c r="D1049" s="5" t="s">
        <v>1206</v>
      </c>
      <c r="E1049" s="5" t="s">
        <v>9180</v>
      </c>
      <c r="F1049" s="5" t="s">
        <v>37</v>
      </c>
      <c r="G1049" s="5" t="s">
        <v>9181</v>
      </c>
      <c r="H1049" s="6" t="s">
        <v>9182</v>
      </c>
      <c r="I1049" s="7" t="s">
        <v>9183</v>
      </c>
      <c r="J1049" s="8" t="str">
        <f>HYPERLINK("https://drive.google.com/file/d/1MoLdLCiu1z3sm9FVoYFDvllWiLzWw4Tm/view?usp=drivesdk","JUNI SETIAWAN SERTIFIKAT BerAKHLAK")</f>
        <v>JUNI SETIAWAN SERTIFIKAT BerAKHLAK</v>
      </c>
      <c r="K1049" s="5" t="s">
        <v>8647</v>
      </c>
      <c r="L1049" s="5" t="s">
        <v>9184</v>
      </c>
      <c r="M1049" s="5" t="s">
        <v>9185</v>
      </c>
      <c r="N1049" s="7" t="s">
        <v>9186</v>
      </c>
      <c r="O1049" s="8" t="str">
        <f>HYPERLINK("https://drive.google.com/file/d/1f5qhT6tlFgwj5fIZsSnK5tViCsowphoP/view?usp=drivesdk","1048_JUNI SETIAWAN _ SERTIFIKAT BIMTEK IPASN BerAKHLASK")</f>
        <v>1048_JUNI SETIAWAN _ SERTIFIKAT BIMTEK IPASN BerAKHLASK</v>
      </c>
      <c r="P1049" s="5" t="s">
        <v>9172</v>
      </c>
      <c r="Q1049" s="5"/>
      <c r="R1049" s="5"/>
      <c r="S1049" s="5"/>
      <c r="T1049" s="5"/>
    </row>
    <row r="1050">
      <c r="A1050" s="4">
        <v>45534.329385115736</v>
      </c>
      <c r="B1050" s="5" t="s">
        <v>34</v>
      </c>
      <c r="D1050" s="5" t="s">
        <v>267</v>
      </c>
      <c r="E1050" s="5" t="s">
        <v>9187</v>
      </c>
      <c r="F1050" s="5" t="s">
        <v>375</v>
      </c>
      <c r="G1050" s="5" t="s">
        <v>9188</v>
      </c>
      <c r="H1050" s="6" t="s">
        <v>9189</v>
      </c>
      <c r="K1050" s="5" t="s">
        <v>9190</v>
      </c>
      <c r="M1050" s="5" t="s">
        <v>9191</v>
      </c>
      <c r="N1050" s="7" t="s">
        <v>9192</v>
      </c>
      <c r="O1050" s="8" t="str">
        <f>HYPERLINK("https://drive.google.com/file/d/11z8UY6ED98UBXsTV0lGYox7h_zA9uCdT/view?usp=drivesdk","1049_MURWANI WAHYU ASMORO,SKM _ SERTIFIKAT BIMTEK IPASN BerAKHLASK")</f>
        <v>1049_MURWANI WAHYU ASMORO,SKM _ SERTIFIKAT BIMTEK IPASN BerAKHLASK</v>
      </c>
      <c r="P1050" s="5" t="s">
        <v>9193</v>
      </c>
      <c r="Q1050" s="5"/>
      <c r="R1050" s="5"/>
      <c r="S1050" s="5"/>
      <c r="T1050" s="5"/>
    </row>
    <row r="1051" hidden="1">
      <c r="A1051" s="4">
        <v>45534.32939597222</v>
      </c>
      <c r="B1051" s="5" t="s">
        <v>19</v>
      </c>
      <c r="C1051" s="5" t="s">
        <v>5058</v>
      </c>
      <c r="E1051" s="5" t="s">
        <v>9194</v>
      </c>
      <c r="F1051" s="5" t="s">
        <v>375</v>
      </c>
      <c r="G1051" s="5" t="s">
        <v>9195</v>
      </c>
      <c r="H1051" s="6" t="s">
        <v>9196</v>
      </c>
      <c r="K1051" s="5" t="s">
        <v>9190</v>
      </c>
      <c r="M1051" s="5" t="s">
        <v>9197</v>
      </c>
      <c r="N1051" s="7" t="s">
        <v>9198</v>
      </c>
      <c r="O1051" s="8" t="str">
        <f>HYPERLINK("https://drive.google.com/file/d/1ocaACcEb79MG3-bikqG48SMlnKO5S1pC/view?usp=drivesdk","1050_AHMAD DAMANHURI _ SERTIFIKAT BIMTEK IPASN BerAKHLASK")</f>
        <v>1050_AHMAD DAMANHURI _ SERTIFIKAT BIMTEK IPASN BerAKHLASK</v>
      </c>
      <c r="P1051" s="5" t="s">
        <v>9193</v>
      </c>
      <c r="Q1051" s="5"/>
      <c r="R1051" s="5"/>
      <c r="S1051" s="5"/>
      <c r="T1051" s="5"/>
    </row>
    <row r="1052">
      <c r="A1052" s="4">
        <v>45534.32940488426</v>
      </c>
      <c r="B1052" s="5" t="s">
        <v>34</v>
      </c>
      <c r="D1052" s="5" t="s">
        <v>4775</v>
      </c>
      <c r="E1052" s="5" t="s">
        <v>9199</v>
      </c>
      <c r="F1052" s="5" t="s">
        <v>524</v>
      </c>
      <c r="G1052" s="5" t="s">
        <v>9200</v>
      </c>
      <c r="H1052" s="6" t="s">
        <v>9201</v>
      </c>
      <c r="K1052" s="5" t="s">
        <v>9190</v>
      </c>
      <c r="M1052" s="5" t="s">
        <v>9202</v>
      </c>
      <c r="N1052" s="7" t="s">
        <v>9203</v>
      </c>
      <c r="O1052" s="8" t="str">
        <f>HYPERLINK("https://drive.google.com/file/d/1y9R-fZK347OYdUpFcgHh0d_JoSaQVV8w/view?usp=drivesdk","1051_SITI MAEMUNAH, SH _ SERTIFIKAT BIMTEK IPASN BerAKHLASK")</f>
        <v>1051_SITI MAEMUNAH, SH _ SERTIFIKAT BIMTEK IPASN BerAKHLASK</v>
      </c>
      <c r="P1052" s="5" t="s">
        <v>9193</v>
      </c>
      <c r="Q1052" s="5"/>
      <c r="R1052" s="5"/>
      <c r="S1052" s="5"/>
      <c r="T1052" s="5"/>
    </row>
    <row r="1053">
      <c r="A1053" s="4">
        <v>45534.329409432874</v>
      </c>
      <c r="B1053" s="5" t="s">
        <v>34</v>
      </c>
      <c r="D1053" s="5" t="s">
        <v>522</v>
      </c>
      <c r="E1053" s="5" t="s">
        <v>9204</v>
      </c>
      <c r="F1053" s="5" t="s">
        <v>108</v>
      </c>
      <c r="G1053" s="5" t="s">
        <v>9205</v>
      </c>
      <c r="H1053" s="6" t="s">
        <v>9206</v>
      </c>
      <c r="K1053" s="5" t="s">
        <v>9190</v>
      </c>
      <c r="M1053" s="5" t="s">
        <v>9207</v>
      </c>
      <c r="N1053" s="7" t="s">
        <v>9208</v>
      </c>
      <c r="O1053" s="8" t="str">
        <f>HYPERLINK("https://drive.google.com/file/d/1u9_E64qywb4LS_NQCTh3avhQEpBTksT7/view?usp=drivesdk","1052_RINI ADANINGGAR, A.Akun _ SERTIFIKAT BIMTEK IPASN BerAKHLASK")</f>
        <v>1052_RINI ADANINGGAR, A.Akun _ SERTIFIKAT BIMTEK IPASN BerAKHLASK</v>
      </c>
      <c r="P1053" s="5" t="s">
        <v>9193</v>
      </c>
      <c r="Q1053" s="5"/>
      <c r="R1053" s="5"/>
      <c r="S1053" s="5"/>
      <c r="T1053" s="5"/>
    </row>
    <row r="1054">
      <c r="A1054" s="4">
        <v>45534.3294118287</v>
      </c>
      <c r="B1054" s="5" t="s">
        <v>34</v>
      </c>
      <c r="D1054" s="5" t="s">
        <v>1206</v>
      </c>
      <c r="E1054" s="5" t="s">
        <v>9209</v>
      </c>
      <c r="F1054" s="5" t="s">
        <v>328</v>
      </c>
      <c r="G1054" s="5" t="s">
        <v>9210</v>
      </c>
      <c r="H1054" s="6" t="s">
        <v>9211</v>
      </c>
      <c r="K1054" s="5" t="s">
        <v>9190</v>
      </c>
      <c r="M1054" s="5" t="s">
        <v>9212</v>
      </c>
      <c r="N1054" s="7" t="s">
        <v>9213</v>
      </c>
      <c r="O1054" s="8" t="str">
        <f>HYPERLINK("https://drive.google.com/file/d/1GBLiksPewj-WMx3Sn8JW7vH9ZOyPKjjG/view?usp=drivesdk","1053_DWI SETYOWATI _ SERTIFIKAT BIMTEK IPASN BerAKHLASK")</f>
        <v>1053_DWI SETYOWATI _ SERTIFIKAT BIMTEK IPASN BerAKHLASK</v>
      </c>
      <c r="P1054" s="5" t="s">
        <v>9193</v>
      </c>
      <c r="Q1054" s="5"/>
      <c r="R1054" s="5"/>
      <c r="S1054" s="5"/>
      <c r="T1054" s="5"/>
    </row>
    <row r="1055">
      <c r="A1055" s="4">
        <v>45534.32942217593</v>
      </c>
      <c r="B1055" s="5" t="s">
        <v>34</v>
      </c>
      <c r="D1055" s="5" t="s">
        <v>522</v>
      </c>
      <c r="E1055" s="5" t="s">
        <v>9214</v>
      </c>
      <c r="F1055" s="5" t="s">
        <v>72</v>
      </c>
      <c r="G1055" s="5" t="s">
        <v>9215</v>
      </c>
      <c r="H1055" s="6" t="s">
        <v>9216</v>
      </c>
      <c r="K1055" s="5" t="s">
        <v>9190</v>
      </c>
      <c r="M1055" s="5" t="s">
        <v>9217</v>
      </c>
      <c r="N1055" s="7" t="s">
        <v>9218</v>
      </c>
      <c r="O1055" s="8" t="str">
        <f>HYPERLINK("https://drive.google.com/file/d/1LzEwPfaxmOlOHy1oebrDyE9Cn2ryQfKc/view?usp=drivesdk","1054_PENATA PURWANTI, S.M. _ SERTIFIKAT BIMTEK IPASN BerAKHLASK")</f>
        <v>1054_PENATA PURWANTI, S.M. _ SERTIFIKAT BIMTEK IPASN BerAKHLASK</v>
      </c>
      <c r="P1055" s="5" t="s">
        <v>9219</v>
      </c>
      <c r="Q1055" s="5"/>
      <c r="R1055" s="5"/>
      <c r="S1055" s="5"/>
      <c r="T1055" s="5"/>
    </row>
    <row r="1056">
      <c r="A1056" s="4">
        <v>45534.32944973379</v>
      </c>
      <c r="B1056" s="5" t="s">
        <v>34</v>
      </c>
      <c r="D1056" s="5" t="s">
        <v>522</v>
      </c>
      <c r="E1056" s="5" t="s">
        <v>9220</v>
      </c>
      <c r="F1056" s="5" t="s">
        <v>108</v>
      </c>
      <c r="G1056" s="5" t="s">
        <v>9221</v>
      </c>
      <c r="H1056" s="6" t="s">
        <v>9222</v>
      </c>
      <c r="K1056" s="5" t="s">
        <v>9190</v>
      </c>
      <c r="M1056" s="5" t="s">
        <v>9223</v>
      </c>
      <c r="N1056" s="7" t="s">
        <v>9224</v>
      </c>
      <c r="O1056" s="8" t="str">
        <f>HYPERLINK("https://drive.google.com/file/d/19n-vvK_DpOWO50ZFKvRvDgC3U1nA9t9b/view?usp=drivesdk","1055_NI MADE SUCI LASTARI,AMK _ SERTIFIKAT BIMTEK IPASN BerAKHLASK")</f>
        <v>1055_NI MADE SUCI LASTARI,AMK _ SERTIFIKAT BIMTEK IPASN BerAKHLASK</v>
      </c>
      <c r="P1056" s="5" t="s">
        <v>9219</v>
      </c>
      <c r="Q1056" s="5"/>
      <c r="R1056" s="5"/>
      <c r="S1056" s="5"/>
      <c r="T1056" s="5"/>
    </row>
    <row r="1057">
      <c r="A1057" s="4">
        <v>45534.32945528935</v>
      </c>
      <c r="B1057" s="5" t="s">
        <v>34</v>
      </c>
      <c r="D1057" s="5" t="s">
        <v>4775</v>
      </c>
      <c r="E1057" s="5" t="s">
        <v>9225</v>
      </c>
      <c r="F1057" s="5" t="s">
        <v>22</v>
      </c>
      <c r="G1057" s="5" t="s">
        <v>9226</v>
      </c>
      <c r="H1057" s="6" t="s">
        <v>9227</v>
      </c>
      <c r="I1057" s="7" t="s">
        <v>9228</v>
      </c>
      <c r="J1057" s="8" t="str">
        <f>HYPERLINK("https://drive.google.com/file/d/1tkU_vnz7LNh4TopDqIZ0vlQGDZ6Mgjd2/view?usp=drivesdk","NINING MURDYANINGSIH SE  SERTIFIKAT BerAKHLAK")</f>
        <v>NINING MURDYANINGSIH SE  SERTIFIKAT BerAKHLAK</v>
      </c>
      <c r="K1057" s="5" t="s">
        <v>8647</v>
      </c>
      <c r="L1057" s="5" t="s">
        <v>9229</v>
      </c>
      <c r="M1057" s="5" t="s">
        <v>9230</v>
      </c>
      <c r="N1057" s="7" t="s">
        <v>9231</v>
      </c>
      <c r="O1057" s="8" t="str">
        <f>HYPERLINK("https://drive.google.com/file/d/1TsgfMjC29IhtcZHR7fIEH3bu7Le1kPYe/view?usp=drivesdk","1056_NINING MURDYANINGSIH SE  _ SERTIFIKAT BIMTEK IPASN BerAKHLASK")</f>
        <v>1056_NINING MURDYANINGSIH SE  _ SERTIFIKAT BIMTEK IPASN BerAKHLASK</v>
      </c>
      <c r="P1057" s="5" t="s">
        <v>9219</v>
      </c>
      <c r="Q1057" s="5"/>
      <c r="R1057" s="5"/>
      <c r="S1057" s="5"/>
      <c r="T1057" s="5"/>
    </row>
    <row r="1058">
      <c r="A1058" s="4">
        <v>45534.32945887731</v>
      </c>
      <c r="B1058" s="5" t="s">
        <v>34</v>
      </c>
      <c r="D1058" s="5" t="s">
        <v>4775</v>
      </c>
      <c r="E1058" s="5" t="s">
        <v>9232</v>
      </c>
      <c r="F1058" s="5" t="s">
        <v>375</v>
      </c>
      <c r="G1058" s="5" t="s">
        <v>9233</v>
      </c>
      <c r="H1058" s="6" t="s">
        <v>9234</v>
      </c>
      <c r="K1058" s="5" t="s">
        <v>9235</v>
      </c>
      <c r="M1058" s="5" t="s">
        <v>9236</v>
      </c>
      <c r="N1058" s="7" t="s">
        <v>9237</v>
      </c>
      <c r="O1058" s="8" t="str">
        <f>HYPERLINK("https://drive.google.com/file/d/13aZ3GuZgOKwNWhaYUlfNEAPIheGrldzY/view?usp=drivesdk","1057_MEITA HANDAYANI INDRATNO, SH _ SERTIFIKAT BIMTEK IPASN BerAKHLASK")</f>
        <v>1057_MEITA HANDAYANI INDRATNO, SH _ SERTIFIKAT BIMTEK IPASN BerAKHLASK</v>
      </c>
      <c r="P1058" s="5" t="s">
        <v>9219</v>
      </c>
      <c r="Q1058" s="5"/>
      <c r="R1058" s="5"/>
      <c r="S1058" s="5"/>
      <c r="T1058" s="5"/>
    </row>
    <row r="1059">
      <c r="A1059" s="4">
        <v>45534.32946201389</v>
      </c>
      <c r="B1059" s="5" t="s">
        <v>34</v>
      </c>
      <c r="D1059" s="5" t="s">
        <v>522</v>
      </c>
      <c r="E1059" s="5" t="s">
        <v>9238</v>
      </c>
      <c r="F1059" s="5" t="s">
        <v>22</v>
      </c>
      <c r="G1059" s="5" t="s">
        <v>9239</v>
      </c>
      <c r="H1059" s="6" t="s">
        <v>9240</v>
      </c>
      <c r="K1059" s="5" t="s">
        <v>9235</v>
      </c>
      <c r="M1059" s="5" t="s">
        <v>9241</v>
      </c>
      <c r="N1059" s="7" t="s">
        <v>9242</v>
      </c>
      <c r="O1059" s="8" t="str">
        <f>HYPERLINK("https://drive.google.com/file/d/1L8IfumKnqdT3sMCUkr7_N-8-A0jQ5ael/view?usp=drivesdk","1058_APT NI PUTU EKARYATHI WIRYANATHA, S.Si. _ SERTIFIKAT BIMTEK IPASN BerAKHLASK")</f>
        <v>1058_APT NI PUTU EKARYATHI WIRYANATHA, S.Si. _ SERTIFIKAT BIMTEK IPASN BerAKHLASK</v>
      </c>
      <c r="P1059" s="5" t="s">
        <v>9243</v>
      </c>
      <c r="Q1059" s="5"/>
      <c r="R1059" s="5"/>
      <c r="S1059" s="5"/>
      <c r="T1059" s="5"/>
    </row>
    <row r="1060">
      <c r="A1060" s="4">
        <v>45534.32948318287</v>
      </c>
      <c r="B1060" s="5" t="s">
        <v>34</v>
      </c>
      <c r="D1060" s="5" t="s">
        <v>522</v>
      </c>
      <c r="E1060" s="5" t="s">
        <v>9244</v>
      </c>
      <c r="F1060" s="5" t="s">
        <v>715</v>
      </c>
      <c r="G1060" s="5" t="s">
        <v>9245</v>
      </c>
      <c r="H1060" s="6" t="s">
        <v>9246</v>
      </c>
      <c r="K1060" s="5" t="s">
        <v>9235</v>
      </c>
      <c r="M1060" s="5" t="s">
        <v>9247</v>
      </c>
      <c r="N1060" s="7" t="s">
        <v>9248</v>
      </c>
      <c r="O1060" s="8" t="str">
        <f>HYPERLINK("https://drive.google.com/file/d/1z4AyPp5vaAaDJ8OY0qFMS7mbtZHAoLO3/view?usp=drivesdk","1059_NENI HARIYANTI, SH _ SERTIFIKAT BIMTEK IPASN BerAKHLASK")</f>
        <v>1059_NENI HARIYANTI, SH _ SERTIFIKAT BIMTEK IPASN BerAKHLASK</v>
      </c>
      <c r="P1060" s="5" t="s">
        <v>9243</v>
      </c>
      <c r="Q1060" s="5"/>
      <c r="R1060" s="5"/>
      <c r="S1060" s="5"/>
      <c r="T1060" s="5"/>
    </row>
    <row r="1061">
      <c r="A1061" s="4">
        <v>45534.32950792824</v>
      </c>
      <c r="B1061" s="5" t="s">
        <v>34</v>
      </c>
      <c r="D1061" s="5" t="s">
        <v>1206</v>
      </c>
      <c r="E1061" s="5" t="s">
        <v>9249</v>
      </c>
      <c r="F1061" s="5" t="s">
        <v>212</v>
      </c>
      <c r="G1061" s="5" t="s">
        <v>9250</v>
      </c>
      <c r="H1061" s="6" t="s">
        <v>9251</v>
      </c>
      <c r="I1061" s="7" t="s">
        <v>9252</v>
      </c>
      <c r="J1061" s="8" t="str">
        <f>HYPERLINK("https://drive.google.com/file/d/1f5zC94vGs0QDeP9FdNoAU5D_K6anCmzm/view?usp=drivesdk","DEDY SUGIANTO  SERTIFIKAT BerAKHLAK")</f>
        <v>DEDY SUGIANTO  SERTIFIKAT BerAKHLAK</v>
      </c>
      <c r="K1061" s="5" t="s">
        <v>8647</v>
      </c>
      <c r="L1061" s="5" t="s">
        <v>9253</v>
      </c>
      <c r="M1061" s="5" t="s">
        <v>9254</v>
      </c>
      <c r="N1061" s="7" t="s">
        <v>9255</v>
      </c>
      <c r="O1061" s="8" t="str">
        <f>HYPERLINK("https://drive.google.com/file/d/1rJ8TFoh3vPn2Tma97uuLdGZgSDAgGUC2/view?usp=drivesdk","1060_DEDY SUGIANTO  _ SERTIFIKAT BIMTEK IPASN BerAKHLASK")</f>
        <v>1060_DEDY SUGIANTO  _ SERTIFIKAT BIMTEK IPASN BerAKHLASK</v>
      </c>
      <c r="P1061" s="5" t="s">
        <v>9243</v>
      </c>
      <c r="Q1061" s="5"/>
      <c r="R1061" s="5"/>
      <c r="S1061" s="5"/>
      <c r="T1061" s="5"/>
    </row>
    <row r="1062">
      <c r="A1062" s="4">
        <v>45534.329514259254</v>
      </c>
      <c r="B1062" s="5" t="s">
        <v>34</v>
      </c>
      <c r="D1062" s="5" t="s">
        <v>4775</v>
      </c>
      <c r="E1062" s="5" t="s">
        <v>9256</v>
      </c>
      <c r="F1062" s="5" t="s">
        <v>212</v>
      </c>
      <c r="G1062" s="5" t="s">
        <v>9257</v>
      </c>
      <c r="H1062" s="6" t="s">
        <v>9258</v>
      </c>
      <c r="K1062" s="5" t="s">
        <v>9259</v>
      </c>
      <c r="M1062" s="5" t="s">
        <v>9260</v>
      </c>
      <c r="N1062" s="7" t="s">
        <v>9261</v>
      </c>
      <c r="O1062" s="8" t="str">
        <f>HYPERLINK("https://drive.google.com/file/d/1R3nE_OTSHgt-lacIz7U56fCk5FY6IwGS/view?usp=drivesdk","1061_NOFITA ANGGRAENI _ SERTIFIKAT BIMTEK IPASN BerAKHLASK")</f>
        <v>1061_NOFITA ANGGRAENI _ SERTIFIKAT BIMTEK IPASN BerAKHLASK</v>
      </c>
      <c r="P1062" s="5" t="s">
        <v>9243</v>
      </c>
      <c r="Q1062" s="5"/>
      <c r="R1062" s="5"/>
      <c r="S1062" s="5"/>
      <c r="T1062" s="5"/>
    </row>
    <row r="1063">
      <c r="A1063" s="4">
        <v>45534.329518750004</v>
      </c>
      <c r="B1063" s="5" t="s">
        <v>34</v>
      </c>
      <c r="D1063" s="5" t="s">
        <v>4775</v>
      </c>
      <c r="E1063" s="5" t="s">
        <v>9262</v>
      </c>
      <c r="F1063" s="5" t="s">
        <v>524</v>
      </c>
      <c r="G1063" s="5" t="s">
        <v>9263</v>
      </c>
      <c r="H1063" s="6" t="s">
        <v>9264</v>
      </c>
      <c r="K1063" s="5" t="s">
        <v>9259</v>
      </c>
      <c r="M1063" s="5" t="s">
        <v>9265</v>
      </c>
      <c r="N1063" s="7" t="s">
        <v>9266</v>
      </c>
      <c r="O1063" s="8" t="str">
        <f>HYPERLINK("https://drive.google.com/file/d/1FVDixOmEf13GzPVn3KIHijzyMCqgrWOt/view?usp=drivesdk","1062_AGUS RIYANTO, A.MD. _ SERTIFIKAT BIMTEK IPASN BerAKHLASK")</f>
        <v>1062_AGUS RIYANTO, A.MD. _ SERTIFIKAT BIMTEK IPASN BerAKHLASK</v>
      </c>
      <c r="P1063" s="5" t="s">
        <v>9243</v>
      </c>
      <c r="Q1063" s="5"/>
      <c r="R1063" s="5"/>
      <c r="S1063" s="5"/>
      <c r="T1063" s="5"/>
    </row>
    <row r="1064">
      <c r="A1064" s="4">
        <v>45534.32952211806</v>
      </c>
      <c r="B1064" s="5" t="s">
        <v>34</v>
      </c>
      <c r="D1064" s="5" t="s">
        <v>35</v>
      </c>
      <c r="E1064" s="5" t="s">
        <v>9267</v>
      </c>
      <c r="F1064" s="5" t="s">
        <v>37</v>
      </c>
      <c r="G1064" s="5" t="s">
        <v>9268</v>
      </c>
      <c r="H1064" s="6" t="s">
        <v>9269</v>
      </c>
      <c r="K1064" s="5" t="s">
        <v>9259</v>
      </c>
      <c r="M1064" s="5" t="s">
        <v>9270</v>
      </c>
      <c r="N1064" s="7" t="s">
        <v>9271</v>
      </c>
      <c r="O1064" s="8" t="str">
        <f>HYPERLINK("https://drive.google.com/file/d/1fBkMsyz72B-4cgAffkUtVSx7sNIBFaaF/view?usp=drivesdk","1063_INDRIANINGSIH _ SERTIFIKAT BIMTEK IPASN BerAKHLASK")</f>
        <v>1063_INDRIANINGSIH _ SERTIFIKAT BIMTEK IPASN BerAKHLASK</v>
      </c>
      <c r="P1064" s="5" t="s">
        <v>9243</v>
      </c>
      <c r="Q1064" s="5"/>
      <c r="R1064" s="5"/>
      <c r="S1064" s="5"/>
      <c r="T1064" s="5"/>
    </row>
    <row r="1065">
      <c r="A1065" s="4">
        <v>45534.32952753472</v>
      </c>
      <c r="B1065" s="5" t="s">
        <v>34</v>
      </c>
      <c r="D1065" s="5" t="s">
        <v>2903</v>
      </c>
      <c r="E1065" s="5" t="s">
        <v>9272</v>
      </c>
      <c r="F1065" s="5" t="s">
        <v>37</v>
      </c>
      <c r="G1065" s="5" t="s">
        <v>9273</v>
      </c>
      <c r="H1065" s="6" t="s">
        <v>9274</v>
      </c>
      <c r="K1065" s="5" t="s">
        <v>9259</v>
      </c>
      <c r="M1065" s="5" t="s">
        <v>9275</v>
      </c>
      <c r="N1065" s="7" t="s">
        <v>9276</v>
      </c>
      <c r="O1065" s="8" t="str">
        <f>HYPERLINK("https://drive.google.com/file/d/1gMOJJEavoRIZYXYp79v0SAc4ujLbGhuF/view?usp=drivesdk","1064_KELANA AKILA TANJUNG.Amd.Kep _ SERTIFIKAT BIMTEK IPASN BerAKHLASK")</f>
        <v>1064_KELANA AKILA TANJUNG.Amd.Kep _ SERTIFIKAT BIMTEK IPASN BerAKHLASK</v>
      </c>
      <c r="P1065" s="5" t="s">
        <v>9243</v>
      </c>
      <c r="Q1065" s="5"/>
      <c r="R1065" s="5"/>
      <c r="S1065" s="5"/>
      <c r="T1065" s="5"/>
    </row>
    <row r="1066">
      <c r="A1066" s="4">
        <v>45534.32955473379</v>
      </c>
      <c r="B1066" s="5" t="s">
        <v>34</v>
      </c>
      <c r="D1066" s="5" t="s">
        <v>9020</v>
      </c>
      <c r="E1066" s="5" t="s">
        <v>9277</v>
      </c>
      <c r="F1066" s="5" t="s">
        <v>212</v>
      </c>
      <c r="G1066" s="5" t="s">
        <v>9278</v>
      </c>
      <c r="H1066" s="6" t="s">
        <v>9279</v>
      </c>
      <c r="I1066" s="7" t="s">
        <v>9280</v>
      </c>
      <c r="J1066" s="8" t="str">
        <f>HYPERLINK("https://drive.google.com/file/d/18SjKBluhRUanMj9OcLWWr0kOuT9Q9iB2/view?usp=drivesdk","RELLY RAKHMANI PANE, S.H., M.H. SERTIFIKAT BerAKHLAK")</f>
        <v>RELLY RAKHMANI PANE, S.H., M.H. SERTIFIKAT BerAKHLAK</v>
      </c>
      <c r="K1066" s="5" t="s">
        <v>8647</v>
      </c>
      <c r="L1066" s="5" t="s">
        <v>9281</v>
      </c>
      <c r="M1066" s="5" t="s">
        <v>9282</v>
      </c>
      <c r="N1066" s="7" t="s">
        <v>9283</v>
      </c>
      <c r="O1066" s="8" t="str">
        <f>HYPERLINK("https://drive.google.com/file/d/1NNjppW9tUgtt5rekoTMw-iGEtn9NdDlT/view?usp=drivesdk","1065_RELLY RAKHMANI PANE, S.H., M.H. _ SERTIFIKAT BIMTEK IPASN BerAKHLASK")</f>
        <v>1065_RELLY RAKHMANI PANE, S.H., M.H. _ SERTIFIKAT BIMTEK IPASN BerAKHLASK</v>
      </c>
      <c r="P1066" s="5" t="s">
        <v>9284</v>
      </c>
      <c r="Q1066" s="5"/>
      <c r="R1066" s="5"/>
      <c r="S1066" s="5"/>
      <c r="T1066" s="5"/>
    </row>
    <row r="1067">
      <c r="A1067" s="4">
        <v>45534.32957180556</v>
      </c>
      <c r="B1067" s="5" t="s">
        <v>34</v>
      </c>
      <c r="D1067" s="5" t="s">
        <v>4775</v>
      </c>
      <c r="E1067" s="5" t="s">
        <v>9285</v>
      </c>
      <c r="F1067" s="5" t="s">
        <v>120</v>
      </c>
      <c r="G1067" s="5" t="s">
        <v>9286</v>
      </c>
      <c r="H1067" s="6" t="s">
        <v>9287</v>
      </c>
      <c r="K1067" s="5" t="s">
        <v>9288</v>
      </c>
      <c r="M1067" s="5" t="s">
        <v>9289</v>
      </c>
      <c r="N1067" s="7" t="s">
        <v>9290</v>
      </c>
      <c r="O1067" s="8" t="str">
        <f>HYPERLINK("https://drive.google.com/file/d/1IMY04gGuGFh202_DGWV_PrRYjTqYBMro/view?usp=drivesdk","1066_HUDA HASAN, S.KOM, MM _ SERTIFIKAT BIMTEK IPASN BerAKHLASK")</f>
        <v>1066_HUDA HASAN, S.KOM, MM _ SERTIFIKAT BIMTEK IPASN BerAKHLASK</v>
      </c>
      <c r="P1067" s="5" t="s">
        <v>9284</v>
      </c>
      <c r="Q1067" s="5"/>
      <c r="R1067" s="5"/>
      <c r="S1067" s="5"/>
      <c r="T1067" s="5"/>
    </row>
    <row r="1068">
      <c r="A1068" s="4">
        <v>45534.329571932874</v>
      </c>
      <c r="B1068" s="5" t="s">
        <v>34</v>
      </c>
      <c r="D1068" s="5" t="s">
        <v>580</v>
      </c>
      <c r="E1068" s="5" t="s">
        <v>9291</v>
      </c>
      <c r="F1068" s="5" t="s">
        <v>524</v>
      </c>
      <c r="G1068" s="5" t="s">
        <v>9292</v>
      </c>
      <c r="H1068" s="6" t="s">
        <v>9293</v>
      </c>
      <c r="K1068" s="5" t="s">
        <v>9288</v>
      </c>
      <c r="M1068" s="5" t="s">
        <v>9294</v>
      </c>
      <c r="N1068" s="7" t="s">
        <v>9295</v>
      </c>
      <c r="O1068" s="8" t="str">
        <f>HYPERLINK("https://drive.google.com/file/d/1eD7quUyVj2kR3URhu4nUIl4YWmbdm9ue/view?usp=drivesdk","1067_LUH GITA INDRIYANI, A.Md.Kep. _ SERTIFIKAT BIMTEK IPASN BerAKHLASK")</f>
        <v>1067_LUH GITA INDRIYANI, A.Md.Kep. _ SERTIFIKAT BIMTEK IPASN BerAKHLASK</v>
      </c>
      <c r="P1068" s="5" t="s">
        <v>9284</v>
      </c>
      <c r="Q1068" s="5"/>
      <c r="R1068" s="5"/>
      <c r="S1068" s="5"/>
      <c r="T1068" s="5"/>
    </row>
    <row r="1069">
      <c r="A1069" s="4">
        <v>45534.32957800926</v>
      </c>
      <c r="B1069" s="5" t="s">
        <v>34</v>
      </c>
      <c r="D1069" s="5" t="s">
        <v>4775</v>
      </c>
      <c r="E1069" s="5" t="s">
        <v>9296</v>
      </c>
      <c r="F1069" s="5" t="s">
        <v>72</v>
      </c>
      <c r="G1069" s="5" t="s">
        <v>9297</v>
      </c>
      <c r="H1069" s="6" t="s">
        <v>9298</v>
      </c>
      <c r="K1069" s="5" t="s">
        <v>9288</v>
      </c>
      <c r="M1069" s="5" t="s">
        <v>9299</v>
      </c>
      <c r="N1069" s="7" t="s">
        <v>9300</v>
      </c>
      <c r="O1069" s="8" t="str">
        <f>HYPERLINK("https://drive.google.com/file/d/11sEUYVqBhNczKwcFUVCEFsD70mRWamKa/view?usp=drivesdk","1068_THEODORA SULISTYORINI  _ SERTIFIKAT BIMTEK IPASN BerAKHLASK")</f>
        <v>1068_THEODORA SULISTYORINI  _ SERTIFIKAT BIMTEK IPASN BerAKHLASK</v>
      </c>
      <c r="P1069" s="5" t="s">
        <v>9284</v>
      </c>
      <c r="Q1069" s="5"/>
      <c r="R1069" s="5"/>
      <c r="S1069" s="5"/>
      <c r="T1069" s="5"/>
    </row>
    <row r="1070">
      <c r="A1070" s="4">
        <v>45534.32959721065</v>
      </c>
      <c r="B1070" s="5" t="s">
        <v>34</v>
      </c>
      <c r="D1070" s="5" t="s">
        <v>267</v>
      </c>
      <c r="E1070" s="5" t="s">
        <v>9301</v>
      </c>
      <c r="F1070" s="5" t="s">
        <v>72</v>
      </c>
      <c r="G1070" s="5" t="s">
        <v>9302</v>
      </c>
      <c r="H1070" s="6" t="s">
        <v>9303</v>
      </c>
      <c r="K1070" s="5" t="s">
        <v>9288</v>
      </c>
      <c r="M1070" s="5" t="s">
        <v>9304</v>
      </c>
      <c r="N1070" s="7" t="s">
        <v>9305</v>
      </c>
      <c r="O1070" s="8" t="str">
        <f>HYPERLINK("https://drive.google.com/file/d/1zcrymMX7aNZDXzNQUHDqekBYPhzlEmSA/view?usp=drivesdk","1069_RIYA DINAYANTI _ SERTIFIKAT BIMTEK IPASN BerAKHLASK")</f>
        <v>1069_RIYA DINAYANTI _ SERTIFIKAT BIMTEK IPASN BerAKHLASK</v>
      </c>
      <c r="P1070" s="5" t="s">
        <v>9284</v>
      </c>
      <c r="Q1070" s="5"/>
      <c r="R1070" s="5"/>
      <c r="S1070" s="5"/>
      <c r="T1070" s="5"/>
    </row>
    <row r="1071">
      <c r="A1071" s="4">
        <v>45534.32960827547</v>
      </c>
      <c r="B1071" s="5" t="s">
        <v>34</v>
      </c>
      <c r="D1071" s="5" t="s">
        <v>35</v>
      </c>
      <c r="E1071" s="5" t="s">
        <v>9306</v>
      </c>
      <c r="F1071" s="5" t="s">
        <v>37</v>
      </c>
      <c r="G1071" s="5" t="s">
        <v>9307</v>
      </c>
      <c r="H1071" s="6" t="s">
        <v>9308</v>
      </c>
      <c r="K1071" s="5" t="s">
        <v>9288</v>
      </c>
      <c r="M1071" s="5" t="s">
        <v>9309</v>
      </c>
      <c r="N1071" s="7" t="s">
        <v>9310</v>
      </c>
      <c r="O1071" s="8" t="str">
        <f>HYPERLINK("https://drive.google.com/file/d/1bYdtpMVAYkLSgElY7EQAemK09U_KjKTg/view?usp=drivesdk","1070_GANJAR GUMILAR, S.T _ SERTIFIKAT BIMTEK IPASN BerAKHLASK")</f>
        <v>1070_GANJAR GUMILAR, S.T _ SERTIFIKAT BIMTEK IPASN BerAKHLASK</v>
      </c>
      <c r="P1071" s="5" t="s">
        <v>9284</v>
      </c>
      <c r="Q1071" s="5"/>
      <c r="R1071" s="5"/>
      <c r="S1071" s="5"/>
      <c r="T1071" s="5"/>
    </row>
    <row r="1072">
      <c r="A1072" s="4">
        <v>45534.32961204861</v>
      </c>
      <c r="B1072" s="5" t="s">
        <v>34</v>
      </c>
      <c r="D1072" s="5" t="s">
        <v>1206</v>
      </c>
      <c r="E1072" s="5" t="s">
        <v>9311</v>
      </c>
      <c r="F1072" s="5" t="s">
        <v>212</v>
      </c>
      <c r="G1072" s="5" t="s">
        <v>9312</v>
      </c>
      <c r="H1072" s="6" t="s">
        <v>9313</v>
      </c>
      <c r="K1072" s="5" t="s">
        <v>9288</v>
      </c>
      <c r="M1072" s="5" t="s">
        <v>9314</v>
      </c>
      <c r="N1072" s="7" t="s">
        <v>9315</v>
      </c>
      <c r="O1072" s="8" t="str">
        <f>HYPERLINK("https://drive.google.com/file/d/1gYu3fmphuqw3NHwOacCZeVTCLlZBUp0X/view?usp=drivesdk","1071_SUNANDAR  SUNAN _ SERTIFIKAT BIMTEK IPASN BerAKHLASK")</f>
        <v>1071_SUNANDAR  SUNAN _ SERTIFIKAT BIMTEK IPASN BerAKHLASK</v>
      </c>
      <c r="P1072" s="5" t="s">
        <v>9316</v>
      </c>
      <c r="Q1072" s="5"/>
      <c r="R1072" s="5"/>
      <c r="S1072" s="5"/>
      <c r="T1072" s="5"/>
    </row>
    <row r="1073">
      <c r="A1073" s="4">
        <v>45534.32961907407</v>
      </c>
      <c r="B1073" s="5" t="s">
        <v>34</v>
      </c>
      <c r="D1073" s="5" t="s">
        <v>580</v>
      </c>
      <c r="E1073" s="5" t="s">
        <v>9317</v>
      </c>
      <c r="F1073" s="5" t="s">
        <v>72</v>
      </c>
      <c r="G1073" s="5" t="s">
        <v>9318</v>
      </c>
      <c r="H1073" s="6" t="s">
        <v>9319</v>
      </c>
      <c r="K1073" s="5" t="s">
        <v>9288</v>
      </c>
      <c r="M1073" s="5" t="s">
        <v>9320</v>
      </c>
      <c r="N1073" s="7" t="s">
        <v>9321</v>
      </c>
      <c r="O1073" s="8" t="str">
        <f>HYPERLINK("https://drive.google.com/file/d/1TG3Snh7bFjfyJHbuL8yM_mumxChu5-sx/view?usp=drivesdk","1072_NI KADEK SRI ASTARI A,Md Kes _ SERTIFIKAT BIMTEK IPASN BerAKHLASK")</f>
        <v>1072_NI KADEK SRI ASTARI A,Md Kes _ SERTIFIKAT BIMTEK IPASN BerAKHLASK</v>
      </c>
      <c r="P1073" s="5" t="s">
        <v>9316</v>
      </c>
      <c r="Q1073" s="5"/>
      <c r="R1073" s="5"/>
      <c r="S1073" s="5"/>
      <c r="T1073" s="5"/>
    </row>
    <row r="1074">
      <c r="A1074" s="4">
        <v>45534.32963878472</v>
      </c>
      <c r="B1074" s="5" t="s">
        <v>34</v>
      </c>
      <c r="D1074" s="5" t="s">
        <v>35</v>
      </c>
      <c r="E1074" s="5" t="s">
        <v>9322</v>
      </c>
      <c r="F1074" s="5" t="s">
        <v>37</v>
      </c>
      <c r="G1074" s="5" t="s">
        <v>9323</v>
      </c>
      <c r="H1074" s="6" t="s">
        <v>9324</v>
      </c>
      <c r="I1074" s="7" t="s">
        <v>9325</v>
      </c>
      <c r="J1074" s="8" t="str">
        <f>HYPERLINK("https://drive.google.com/file/d/19vQGM4oGo638lXAXmLiQfnwTVAYGNhwB/view?usp=drivesdk","BAMBANG MARJONO SERTIFIKAT BerAKHLAK")</f>
        <v>BAMBANG MARJONO SERTIFIKAT BerAKHLAK</v>
      </c>
      <c r="K1074" s="5" t="s">
        <v>8647</v>
      </c>
      <c r="L1074" s="5" t="s">
        <v>9326</v>
      </c>
      <c r="M1074" s="5" t="s">
        <v>9327</v>
      </c>
      <c r="N1074" s="7" t="s">
        <v>9328</v>
      </c>
      <c r="O1074" s="8" t="str">
        <f>HYPERLINK("https://drive.google.com/file/d/1lpjSuimvsUhA0yrTGHxhjia63pyS7_o8/view?usp=drivesdk","1073_BAMBANG MARJONO _ SERTIFIKAT BIMTEK IPASN BerAKHLASK")</f>
        <v>1073_BAMBANG MARJONO _ SERTIFIKAT BIMTEK IPASN BerAKHLASK</v>
      </c>
      <c r="P1074" s="5" t="s">
        <v>9316</v>
      </c>
      <c r="Q1074" s="5"/>
      <c r="R1074" s="5"/>
      <c r="S1074" s="5"/>
      <c r="T1074" s="5"/>
    </row>
    <row r="1075">
      <c r="A1075" s="4">
        <v>45534.329658738425</v>
      </c>
      <c r="B1075" s="5" t="s">
        <v>34</v>
      </c>
      <c r="D1075" s="5" t="s">
        <v>522</v>
      </c>
      <c r="E1075" s="5" t="s">
        <v>9329</v>
      </c>
      <c r="F1075" s="5" t="s">
        <v>108</v>
      </c>
      <c r="G1075" s="5" t="s">
        <v>9330</v>
      </c>
      <c r="H1075" s="6" t="s">
        <v>9331</v>
      </c>
      <c r="I1075" s="7" t="s">
        <v>9332</v>
      </c>
      <c r="J1075" s="8" t="str">
        <f>HYPERLINK("https://drive.google.com/file/d/1NRauB1H0d6BhY7nJDhwRCfF314McURRl/view?usp=drivesdk","NI MADE SUSANTI S.ADM SERTIFIKAT BerAKHLAK")</f>
        <v>NI MADE SUSANTI S.ADM SERTIFIKAT BerAKHLAK</v>
      </c>
      <c r="K1075" s="5" t="s">
        <v>8685</v>
      </c>
      <c r="L1075" s="5" t="s">
        <v>9333</v>
      </c>
      <c r="M1075" s="5" t="s">
        <v>9334</v>
      </c>
      <c r="N1075" s="7" t="s">
        <v>9335</v>
      </c>
      <c r="O1075" s="8" t="str">
        <f>HYPERLINK("https://drive.google.com/file/d/1NPVDPf2iPBTyHcyomnVgUeX7kZuVvYq9/view?usp=drivesdk","1074_NI MADE SUSANTI S.ADM _ SERTIFIKAT BIMTEK IPASN BerAKHLASK")</f>
        <v>1074_NI MADE SUSANTI S.ADM _ SERTIFIKAT BIMTEK IPASN BerAKHLASK</v>
      </c>
      <c r="P1075" s="5" t="s">
        <v>9316</v>
      </c>
      <c r="Q1075" s="5"/>
      <c r="R1075" s="5"/>
      <c r="S1075" s="5"/>
      <c r="T1075" s="5"/>
    </row>
    <row r="1076">
      <c r="A1076" s="4">
        <v>45534.32966239583</v>
      </c>
      <c r="B1076" s="5" t="s">
        <v>34</v>
      </c>
      <c r="D1076" s="5" t="s">
        <v>1206</v>
      </c>
      <c r="E1076" s="5" t="s">
        <v>9336</v>
      </c>
      <c r="F1076" s="5" t="s">
        <v>212</v>
      </c>
      <c r="G1076" s="5" t="s">
        <v>9337</v>
      </c>
      <c r="H1076" s="6" t="s">
        <v>9338</v>
      </c>
      <c r="I1076" s="7" t="s">
        <v>9339</v>
      </c>
      <c r="J1076" s="8" t="str">
        <f>HYPERLINK("https://drive.google.com/file/d/1nB7V5E6KoD-50xQ5MMDXYp4QCVSSvHfv/view?usp=drivesdk","NINIS INDRAWATI SERTIFIKAT BerAKHLAK")</f>
        <v>NINIS INDRAWATI SERTIFIKAT BerAKHLAK</v>
      </c>
      <c r="K1076" s="5" t="s">
        <v>8685</v>
      </c>
      <c r="L1076" s="5" t="s">
        <v>9340</v>
      </c>
      <c r="M1076" s="5" t="s">
        <v>9341</v>
      </c>
      <c r="N1076" s="7" t="s">
        <v>9342</v>
      </c>
      <c r="O1076" s="8" t="str">
        <f>HYPERLINK("https://drive.google.com/file/d/1aKHoHQJf_BhDadipIi8tpulYM0zKp9XF/view?usp=drivesdk","1075_NINIS INDRAWATI _ SERTIFIKAT BIMTEK IPASN BerAKHLASK")</f>
        <v>1075_NINIS INDRAWATI _ SERTIFIKAT BIMTEK IPASN BerAKHLASK</v>
      </c>
      <c r="P1076" s="5" t="s">
        <v>9316</v>
      </c>
      <c r="Q1076" s="5"/>
      <c r="R1076" s="5"/>
      <c r="S1076" s="5"/>
      <c r="T1076" s="5"/>
    </row>
    <row r="1077">
      <c r="A1077" s="4">
        <v>45534.329689618055</v>
      </c>
      <c r="B1077" s="5" t="s">
        <v>34</v>
      </c>
      <c r="D1077" s="5" t="s">
        <v>35</v>
      </c>
      <c r="E1077" s="5" t="s">
        <v>9343</v>
      </c>
      <c r="F1077" s="5" t="s">
        <v>72</v>
      </c>
      <c r="G1077" s="5" t="s">
        <v>9344</v>
      </c>
      <c r="H1077" s="6" t="s">
        <v>9345</v>
      </c>
      <c r="I1077" s="7" t="s">
        <v>9346</v>
      </c>
      <c r="J1077" s="8" t="str">
        <f>HYPERLINK("https://drive.google.com/file/d/1POtqmwATkN6XtNjArYaVIN8APRMfalcb/view?usp=drivesdk","EMANG SULAEMAN SH SERTIFIKAT BerAKHLAK")</f>
        <v>EMANG SULAEMAN SH SERTIFIKAT BerAKHLAK</v>
      </c>
      <c r="K1077" s="5" t="s">
        <v>8647</v>
      </c>
      <c r="L1077" s="5" t="s">
        <v>9347</v>
      </c>
      <c r="M1077" s="5" t="s">
        <v>9348</v>
      </c>
      <c r="N1077" s="7" t="s">
        <v>9349</v>
      </c>
      <c r="O1077" s="8" t="str">
        <f>HYPERLINK("https://drive.google.com/file/d/11mnGfgYpBKYWlQ42RPdHgsJEq_DpK-Vi/view?usp=drivesdk","1076_EMANG SULAEMAN SH _ SERTIFIKAT BIMTEK IPASN BerAKHLASK")</f>
        <v>1076_EMANG SULAEMAN SH _ SERTIFIKAT BIMTEK IPASN BerAKHLASK</v>
      </c>
      <c r="P1077" s="5" t="s">
        <v>9350</v>
      </c>
      <c r="Q1077" s="5"/>
      <c r="R1077" s="5"/>
      <c r="S1077" s="5"/>
      <c r="T1077" s="5"/>
    </row>
    <row r="1078">
      <c r="A1078" s="4">
        <v>45534.32971034722</v>
      </c>
      <c r="B1078" s="5" t="s">
        <v>34</v>
      </c>
      <c r="D1078" s="5" t="s">
        <v>1206</v>
      </c>
      <c r="E1078" s="5" t="s">
        <v>9351</v>
      </c>
      <c r="F1078" s="5" t="s">
        <v>375</v>
      </c>
      <c r="G1078" s="5" t="s">
        <v>9352</v>
      </c>
      <c r="H1078" s="6" t="s">
        <v>9353</v>
      </c>
      <c r="I1078" s="7" t="s">
        <v>9354</v>
      </c>
      <c r="J1078" s="8" t="str">
        <f>HYPERLINK("https://drive.google.com/file/d/1SX8gU9dEgD1u1ZVB0Mid9ClQ35uWY42Q/view?usp=drivesdk","MOHAMAD ISKHAK, S.E. SERTIFIKAT BerAKHLAK")</f>
        <v>MOHAMAD ISKHAK, S.E. SERTIFIKAT BerAKHLAK</v>
      </c>
      <c r="K1078" s="5" t="s">
        <v>8685</v>
      </c>
      <c r="L1078" s="5" t="s">
        <v>9355</v>
      </c>
      <c r="M1078" s="5" t="s">
        <v>9356</v>
      </c>
      <c r="N1078" s="7" t="s">
        <v>9357</v>
      </c>
      <c r="O1078" s="8" t="str">
        <f>HYPERLINK("https://drive.google.com/file/d/16N5mYP8pk-ZXZX0fF1w5U7yEgYtTxiGx/view?usp=drivesdk","1077_MOHAMAD ISKHAK, S.E. _ SERTIFIKAT BIMTEK IPASN BerAKHLASK")</f>
        <v>1077_MOHAMAD ISKHAK, S.E. _ SERTIFIKAT BIMTEK IPASN BerAKHLASK</v>
      </c>
      <c r="P1078" s="5" t="s">
        <v>9350</v>
      </c>
      <c r="Q1078" s="5"/>
      <c r="R1078" s="5"/>
      <c r="S1078" s="5"/>
      <c r="T1078" s="5"/>
    </row>
    <row r="1079">
      <c r="A1079" s="4">
        <v>45534.329717175926</v>
      </c>
      <c r="B1079" s="5" t="s">
        <v>34</v>
      </c>
      <c r="D1079" s="5" t="s">
        <v>1206</v>
      </c>
      <c r="E1079" s="5" t="s">
        <v>9358</v>
      </c>
      <c r="F1079" s="5" t="s">
        <v>120</v>
      </c>
      <c r="G1079" s="5" t="s">
        <v>9359</v>
      </c>
      <c r="H1079" s="6" t="s">
        <v>9360</v>
      </c>
      <c r="I1079" s="7" t="s">
        <v>9361</v>
      </c>
      <c r="J1079" s="8" t="str">
        <f>HYPERLINK("https://drive.google.com/file/d/1xrzGHmujnc1IA_-XUws4cqUiyr1unKjn/view?usp=drivesdk","DIAN FADHILA SETIANI, S.KOM., M.M. SERTIFIKAT BerAKHLAK")</f>
        <v>DIAN FADHILA SETIANI, S.KOM., M.M. SERTIFIKAT BerAKHLAK</v>
      </c>
      <c r="K1079" s="5" t="s">
        <v>8685</v>
      </c>
      <c r="L1079" s="5" t="s">
        <v>9362</v>
      </c>
      <c r="M1079" s="5" t="s">
        <v>9363</v>
      </c>
      <c r="N1079" s="7" t="s">
        <v>9364</v>
      </c>
      <c r="O1079" s="8" t="str">
        <f>HYPERLINK("https://drive.google.com/file/d/1eUn4xCye17pbKi1azy65Gpzq65xuE2it/view?usp=drivesdk","1078_DIAN FADHILA SETIANI, S.KOM., M.M. _ SERTIFIKAT BIMTEK IPASN BerAKHLASK")</f>
        <v>1078_DIAN FADHILA SETIANI, S.KOM., M.M. _ SERTIFIKAT BIMTEK IPASN BerAKHLASK</v>
      </c>
      <c r="P1079" s="5" t="s">
        <v>9350</v>
      </c>
      <c r="Q1079" s="5"/>
      <c r="R1079" s="5"/>
      <c r="S1079" s="5"/>
      <c r="T1079" s="5"/>
    </row>
    <row r="1080">
      <c r="A1080" s="4">
        <v>45534.32972268519</v>
      </c>
      <c r="B1080" s="5" t="s">
        <v>34</v>
      </c>
      <c r="D1080" s="5" t="s">
        <v>4775</v>
      </c>
      <c r="E1080" s="5" t="s">
        <v>9365</v>
      </c>
      <c r="F1080" s="5" t="s">
        <v>524</v>
      </c>
      <c r="G1080" s="5" t="s">
        <v>9366</v>
      </c>
      <c r="H1080" s="6" t="s">
        <v>9367</v>
      </c>
      <c r="I1080" s="7" t="s">
        <v>9368</v>
      </c>
      <c r="J1080" s="8" t="str">
        <f>HYPERLINK("https://drive.google.com/file/d/1cKjoV_FQkFvav435M52IABkczjWCMID4/view?usp=drivesdk","UNIK DEWI RAHAYU.S.Kep.Ns.M.H SERTIFIKAT BerAKHLAK")</f>
        <v>UNIK DEWI RAHAYU.S.Kep.Ns.M.H SERTIFIKAT BerAKHLAK</v>
      </c>
      <c r="K1080" s="5" t="s">
        <v>8685</v>
      </c>
      <c r="L1080" s="5" t="s">
        <v>9369</v>
      </c>
      <c r="M1080" s="5" t="s">
        <v>9370</v>
      </c>
      <c r="N1080" s="7" t="s">
        <v>9371</v>
      </c>
      <c r="O1080" s="8" t="str">
        <f>HYPERLINK("https://drive.google.com/file/d/192vwTz3eMXT2ZKyT7MYxMFrQSHUxOrR3/view?usp=drivesdk","1079_UNIK DEWI RAHAYU.S.Kep.Ns.M.H _ SERTIFIKAT BIMTEK IPASN BerAKHLASK")</f>
        <v>1079_UNIK DEWI RAHAYU.S.Kep.Ns.M.H _ SERTIFIKAT BIMTEK IPASN BerAKHLASK</v>
      </c>
      <c r="P1080" s="5" t="s">
        <v>9350</v>
      </c>
      <c r="Q1080" s="5"/>
      <c r="R1080" s="5"/>
      <c r="S1080" s="5"/>
      <c r="T1080" s="5"/>
    </row>
    <row r="1081">
      <c r="A1081" s="4">
        <v>45534.32973511574</v>
      </c>
      <c r="B1081" s="5" t="s">
        <v>34</v>
      </c>
      <c r="D1081" s="5" t="s">
        <v>1206</v>
      </c>
      <c r="E1081" s="5" t="s">
        <v>9372</v>
      </c>
      <c r="F1081" s="5" t="s">
        <v>212</v>
      </c>
      <c r="G1081" s="5" t="s">
        <v>9373</v>
      </c>
      <c r="H1081" s="6" t="s">
        <v>9374</v>
      </c>
      <c r="I1081" s="7" t="s">
        <v>9375</v>
      </c>
      <c r="J1081" s="8" t="str">
        <f>HYPERLINK("https://drive.google.com/file/d/11PX1Y6FdwVBgMAkMtR_MhaoTjspxEx94/view?usp=drivesdk","ELI SUNARWATI SERTIFIKAT BerAKHLAK")</f>
        <v>ELI SUNARWATI SERTIFIKAT BerAKHLAK</v>
      </c>
      <c r="K1081" s="5" t="s">
        <v>8685</v>
      </c>
      <c r="L1081" s="5" t="s">
        <v>9376</v>
      </c>
      <c r="M1081" s="5" t="s">
        <v>9377</v>
      </c>
      <c r="N1081" s="7" t="s">
        <v>9378</v>
      </c>
      <c r="O1081" s="8" t="str">
        <f>HYPERLINK("https://drive.google.com/file/d/1jlfdUinguppEL2aa4dc0el3iiYo3Xu2y/view?usp=drivesdk","1080_ELI SUNARWATI _ SERTIFIKAT BIMTEK IPASN BerAKHLASK")</f>
        <v>1080_ELI SUNARWATI _ SERTIFIKAT BIMTEK IPASN BerAKHLASK</v>
      </c>
      <c r="P1081" s="5" t="s">
        <v>9379</v>
      </c>
      <c r="Q1081" s="5"/>
      <c r="R1081" s="5"/>
      <c r="S1081" s="5"/>
      <c r="T1081" s="5"/>
    </row>
    <row r="1082">
      <c r="A1082" s="4">
        <v>45534.32973537037</v>
      </c>
      <c r="B1082" s="5" t="s">
        <v>34</v>
      </c>
      <c r="D1082" s="5" t="s">
        <v>1206</v>
      </c>
      <c r="E1082" s="5" t="s">
        <v>9380</v>
      </c>
      <c r="F1082" s="5" t="s">
        <v>212</v>
      </c>
      <c r="G1082" s="5" t="s">
        <v>9381</v>
      </c>
      <c r="H1082" s="6" t="s">
        <v>9382</v>
      </c>
      <c r="I1082" s="7" t="s">
        <v>9383</v>
      </c>
      <c r="J1082" s="8" t="str">
        <f>HYPERLINK("https://drive.google.com/file/d/1qiWg1KdutMoGtB3TCcYe1_p_FZbPl1cX/view?usp=drivesdk","MOHAMMAD LUTFI  SERTIFIKAT BerAKHLAK")</f>
        <v>MOHAMMAD LUTFI  SERTIFIKAT BerAKHLAK</v>
      </c>
      <c r="K1082" s="5" t="s">
        <v>8685</v>
      </c>
      <c r="L1082" s="5" t="s">
        <v>9384</v>
      </c>
      <c r="M1082" s="5" t="s">
        <v>9385</v>
      </c>
      <c r="N1082" s="7" t="s">
        <v>9386</v>
      </c>
      <c r="O1082" s="8" t="str">
        <f>HYPERLINK("https://drive.google.com/file/d/1B-Nr0SayA1IOPEaUfmwcIIqtsVShcQ-e/view?usp=drivesdk","1081_MOHAMMAD LUTFI  _ SERTIFIKAT BIMTEK IPASN BerAKHLASK")</f>
        <v>1081_MOHAMMAD LUTFI  _ SERTIFIKAT BIMTEK IPASN BerAKHLASK</v>
      </c>
      <c r="P1082" s="5" t="s">
        <v>9379</v>
      </c>
      <c r="Q1082" s="5"/>
      <c r="R1082" s="5"/>
      <c r="S1082" s="5"/>
      <c r="T1082" s="5"/>
    </row>
    <row r="1083">
      <c r="A1083" s="4">
        <v>45534.32975253472</v>
      </c>
      <c r="B1083" s="5" t="s">
        <v>34</v>
      </c>
      <c r="D1083" s="5" t="s">
        <v>1768</v>
      </c>
      <c r="E1083" s="5" t="s">
        <v>9387</v>
      </c>
      <c r="F1083" s="5" t="s">
        <v>375</v>
      </c>
      <c r="G1083" s="5" t="s">
        <v>9388</v>
      </c>
      <c r="H1083" s="6" t="s">
        <v>9389</v>
      </c>
      <c r="I1083" s="7" t="s">
        <v>9390</v>
      </c>
      <c r="J1083" s="8" t="str">
        <f>HYPERLINK("https://drive.google.com/file/d/1SrEd2L4p488R0H2LD0eoC53KJ2lFgJJW/view?usp=drivesdk","BADRUSSALAM, S.KOM SERTIFIKAT BerAKHLAK")</f>
        <v>BADRUSSALAM, S.KOM SERTIFIKAT BerAKHLAK</v>
      </c>
      <c r="K1083" s="5" t="s">
        <v>8685</v>
      </c>
      <c r="L1083" s="5" t="s">
        <v>9391</v>
      </c>
      <c r="M1083" s="5" t="s">
        <v>9392</v>
      </c>
      <c r="N1083" s="7" t="s">
        <v>9393</v>
      </c>
      <c r="O1083" s="8" t="str">
        <f>HYPERLINK("https://drive.google.com/file/d/1P6MhbgyDSkrHASN90NjV29k2_Z5ZfgbW/view?usp=drivesdk","1082_BADRUSSALAM, S.KOM _ SERTIFIKAT BIMTEK IPASN BerAKHLASK")</f>
        <v>1082_BADRUSSALAM, S.KOM _ SERTIFIKAT BIMTEK IPASN BerAKHLASK</v>
      </c>
      <c r="P1083" s="5" t="s">
        <v>9379</v>
      </c>
      <c r="Q1083" s="5"/>
      <c r="R1083" s="5"/>
      <c r="S1083" s="5"/>
      <c r="T1083" s="5"/>
    </row>
    <row r="1084">
      <c r="A1084" s="4">
        <v>45534.32977521991</v>
      </c>
      <c r="B1084" s="5" t="s">
        <v>34</v>
      </c>
      <c r="D1084" s="5" t="s">
        <v>9394</v>
      </c>
      <c r="E1084" s="5" t="s">
        <v>9395</v>
      </c>
      <c r="F1084" s="5" t="s">
        <v>715</v>
      </c>
      <c r="G1084" s="5" t="s">
        <v>9396</v>
      </c>
      <c r="H1084" s="6" t="s">
        <v>9397</v>
      </c>
      <c r="I1084" s="7" t="s">
        <v>9398</v>
      </c>
      <c r="J1084" s="8" t="str">
        <f>HYPERLINK("https://drive.google.com/file/d/1RFb3bYsQ6MkiaV-IHpKxCQAWw-bztp4N/view?usp=drivesdk","ARISTA RENNY APRILYA, S.E. SERTIFIKAT BerAKHLAK")</f>
        <v>ARISTA RENNY APRILYA, S.E. SERTIFIKAT BerAKHLAK</v>
      </c>
      <c r="K1084" s="5" t="s">
        <v>8685</v>
      </c>
      <c r="L1084" s="5" t="s">
        <v>9399</v>
      </c>
      <c r="M1084" s="5" t="s">
        <v>9400</v>
      </c>
      <c r="N1084" s="7" t="s">
        <v>9401</v>
      </c>
      <c r="O1084" s="8" t="str">
        <f>HYPERLINK("https://drive.google.com/file/d/1wJXSVXQO8Ojrw2ZMSNztbBrpHutwIVSo/view?usp=drivesdk","1083_ARISTA RENNY APRILYA, S.E. _ SERTIFIKAT BIMTEK IPASN BerAKHLASK")</f>
        <v>1083_ARISTA RENNY APRILYA, S.E. _ SERTIFIKAT BIMTEK IPASN BerAKHLASK</v>
      </c>
      <c r="P1084" s="5" t="s">
        <v>9379</v>
      </c>
      <c r="Q1084" s="5"/>
      <c r="R1084" s="5"/>
      <c r="S1084" s="5"/>
      <c r="T1084" s="5"/>
    </row>
    <row r="1085">
      <c r="A1085" s="4">
        <v>45534.32978934028</v>
      </c>
      <c r="B1085" s="5" t="s">
        <v>34</v>
      </c>
      <c r="D1085" s="5" t="s">
        <v>1206</v>
      </c>
      <c r="E1085" s="5" t="s">
        <v>9402</v>
      </c>
      <c r="F1085" s="5" t="s">
        <v>72</v>
      </c>
      <c r="G1085" s="5" t="s">
        <v>9403</v>
      </c>
      <c r="H1085" s="6" t="s">
        <v>9404</v>
      </c>
      <c r="I1085" s="7" t="s">
        <v>9405</v>
      </c>
      <c r="J1085" s="8" t="str">
        <f>HYPERLINK("https://drive.google.com/file/d/1xw5cgj3HSl345J0F3XipGBrvfP8t_bR6/view?usp=drivesdk","NELA NOERITA, SE SERTIFIKAT BerAKHLAK")</f>
        <v>NELA NOERITA, SE SERTIFIKAT BerAKHLAK</v>
      </c>
      <c r="K1085" s="5" t="s">
        <v>8685</v>
      </c>
      <c r="L1085" s="5" t="s">
        <v>9406</v>
      </c>
      <c r="M1085" s="5" t="s">
        <v>9407</v>
      </c>
      <c r="N1085" s="7" t="s">
        <v>9408</v>
      </c>
      <c r="O1085" s="8" t="str">
        <f>HYPERLINK("https://drive.google.com/file/d/1VtXccdseCpp9wcKY9TluyUq1t9vDkecq/view?usp=drivesdk","1084_NELA NOERITA, SE _ SERTIFIKAT BIMTEK IPASN BerAKHLASK")</f>
        <v>1084_NELA NOERITA, SE _ SERTIFIKAT BIMTEK IPASN BerAKHLASK</v>
      </c>
      <c r="P1085" s="5" t="s">
        <v>9379</v>
      </c>
      <c r="Q1085" s="5"/>
      <c r="R1085" s="5"/>
      <c r="S1085" s="5"/>
      <c r="T1085" s="5"/>
    </row>
    <row r="1086">
      <c r="A1086" s="4">
        <v>45534.32979950232</v>
      </c>
      <c r="B1086" s="5" t="s">
        <v>34</v>
      </c>
      <c r="D1086" s="5" t="s">
        <v>9020</v>
      </c>
      <c r="E1086" s="5" t="s">
        <v>9409</v>
      </c>
      <c r="F1086" s="5" t="s">
        <v>524</v>
      </c>
      <c r="G1086" s="5" t="s">
        <v>9410</v>
      </c>
      <c r="H1086" s="6" t="s">
        <v>9411</v>
      </c>
      <c r="I1086" s="7" t="s">
        <v>9412</v>
      </c>
      <c r="J1086" s="8" t="str">
        <f>HYPERLINK("https://drive.google.com/file/d/1p6sdr8lSTK_sUjvJzsMOk_v4OIiTlzja/view?usp=drivesdk","RITA EVINA PURBA, S. T.  SERTIFIKAT BerAKHLAK")</f>
        <v>RITA EVINA PURBA, S. T.  SERTIFIKAT BerAKHLAK</v>
      </c>
      <c r="K1086" s="5" t="s">
        <v>8685</v>
      </c>
      <c r="L1086" s="5" t="s">
        <v>9413</v>
      </c>
      <c r="M1086" s="5" t="s">
        <v>9414</v>
      </c>
      <c r="N1086" s="7" t="s">
        <v>9415</v>
      </c>
      <c r="O1086" s="8" t="str">
        <f>HYPERLINK("https://drive.google.com/file/d/12rtjZhQV98fyEJaCj-RvPB2xm3qJaFT7/view?usp=drivesdk","1085_RITA EVINA PURBA, S. T.  _ SERTIFIKAT BIMTEK IPASN BerAKHLASK")</f>
        <v>1085_RITA EVINA PURBA, S. T.  _ SERTIFIKAT BIMTEK IPASN BerAKHLASK</v>
      </c>
      <c r="P1086" s="5" t="s">
        <v>9379</v>
      </c>
      <c r="Q1086" s="5"/>
      <c r="R1086" s="5"/>
      <c r="S1086" s="5"/>
      <c r="T1086" s="5"/>
    </row>
    <row r="1087">
      <c r="A1087" s="4">
        <v>45534.32980997685</v>
      </c>
      <c r="B1087" s="5" t="s">
        <v>34</v>
      </c>
      <c r="D1087" s="5" t="s">
        <v>4775</v>
      </c>
      <c r="E1087" s="5" t="s">
        <v>9416</v>
      </c>
      <c r="F1087" s="5" t="s">
        <v>212</v>
      </c>
      <c r="G1087" s="5" t="s">
        <v>9417</v>
      </c>
      <c r="H1087" s="6" t="s">
        <v>9418</v>
      </c>
      <c r="I1087" s="7" t="s">
        <v>9419</v>
      </c>
      <c r="J1087" s="8" t="str">
        <f>HYPERLINK("https://drive.google.com/file/d/1KcfJnine8yRREabCFCyHnSRH2wG3LjSu/view?usp=drivesdk","SHINTA PUSPITASARI SERTIFIKAT BerAKHLAK")</f>
        <v>SHINTA PUSPITASARI SERTIFIKAT BerAKHLAK</v>
      </c>
      <c r="K1087" s="5" t="s">
        <v>8685</v>
      </c>
      <c r="L1087" s="5" t="s">
        <v>9420</v>
      </c>
      <c r="M1087" s="5" t="s">
        <v>9421</v>
      </c>
      <c r="N1087" s="7" t="s">
        <v>9422</v>
      </c>
      <c r="O1087" s="8" t="str">
        <f>HYPERLINK("https://drive.google.com/file/d/15RYmGez_OVdHl-U3XU6LudZEAAKR_KGt/view?usp=drivesdk","1086_SHINTA PUSPITASARI _ SERTIFIKAT BIMTEK IPASN BerAKHLASK")</f>
        <v>1086_SHINTA PUSPITASARI _ SERTIFIKAT BIMTEK IPASN BerAKHLASK</v>
      </c>
      <c r="P1087" s="5" t="s">
        <v>9423</v>
      </c>
      <c r="Q1087" s="5"/>
      <c r="R1087" s="5"/>
      <c r="S1087" s="5"/>
      <c r="T1087" s="5"/>
    </row>
    <row r="1088">
      <c r="A1088" s="4">
        <v>45534.32983361111</v>
      </c>
      <c r="B1088" s="5" t="s">
        <v>34</v>
      </c>
      <c r="D1088" s="5" t="s">
        <v>1663</v>
      </c>
      <c r="E1088" s="5" t="s">
        <v>9424</v>
      </c>
      <c r="F1088" s="5" t="s">
        <v>212</v>
      </c>
      <c r="G1088" s="5" t="s">
        <v>9425</v>
      </c>
      <c r="H1088" s="6" t="s">
        <v>9426</v>
      </c>
      <c r="I1088" s="7" t="s">
        <v>9427</v>
      </c>
      <c r="J1088" s="8" t="str">
        <f>HYPERLINK("https://drive.google.com/file/d/1sHaJbbxqarEiA6VrZE2nUksHx1qTf9BV/view?usp=drivesdk","SRI ENDANG HARTININGSIH, A. Md. Kep SERTIFIKAT BerAKHLAK")</f>
        <v>SRI ENDANG HARTININGSIH, A. Md. Kep SERTIFIKAT BerAKHLAK</v>
      </c>
      <c r="K1088" s="5" t="s">
        <v>8685</v>
      </c>
      <c r="L1088" s="5" t="s">
        <v>9428</v>
      </c>
      <c r="M1088" s="5" t="s">
        <v>9429</v>
      </c>
      <c r="N1088" s="7" t="s">
        <v>9430</v>
      </c>
      <c r="O1088" s="8" t="str">
        <f>HYPERLINK("https://drive.google.com/file/d/1M5Zvn8WU6a8nDu3JuwVr--eW11IAL8A3/view?usp=drivesdk","1087_SRI ENDANG HARTININGSIH, A. Md. Kep _ SERTIFIKAT BIMTEK IPASN BerAKHLASK")</f>
        <v>1087_SRI ENDANG HARTININGSIH, A. Md. Kep _ SERTIFIKAT BIMTEK IPASN BerAKHLASK</v>
      </c>
      <c r="P1088" s="5" t="s">
        <v>9423</v>
      </c>
      <c r="Q1088" s="5"/>
      <c r="R1088" s="5"/>
      <c r="S1088" s="5"/>
      <c r="T1088" s="5"/>
    </row>
    <row r="1089">
      <c r="A1089" s="4">
        <v>45534.32983746528</v>
      </c>
      <c r="B1089" s="5" t="s">
        <v>34</v>
      </c>
      <c r="D1089" s="5" t="s">
        <v>9020</v>
      </c>
      <c r="E1089" s="5" t="s">
        <v>9431</v>
      </c>
      <c r="F1089" s="5" t="s">
        <v>72</v>
      </c>
      <c r="G1089" s="5" t="s">
        <v>9432</v>
      </c>
      <c r="H1089" s="6" t="s">
        <v>9433</v>
      </c>
      <c r="I1089" s="7" t="s">
        <v>9434</v>
      </c>
      <c r="J1089" s="8" t="str">
        <f>HYPERLINK("https://drive.google.com/file/d/1tdtqgP5RS3VijDHqumD9gu8zLQ13xm83/view?usp=drivesdk","NILAWARNI,SKM,MKM SERTIFIKAT BerAKHLAK")</f>
        <v>NILAWARNI,SKM,MKM SERTIFIKAT BerAKHLAK</v>
      </c>
      <c r="K1089" s="5" t="s">
        <v>8685</v>
      </c>
      <c r="L1089" s="5" t="s">
        <v>9435</v>
      </c>
      <c r="M1089" s="5" t="s">
        <v>9436</v>
      </c>
      <c r="N1089" s="7" t="s">
        <v>9437</v>
      </c>
      <c r="O1089" s="8" t="str">
        <f>HYPERLINK("https://drive.google.com/file/d/1qcQxiqQDWJKs7Kv1hoU_cLkGok4I0wvD/view?usp=drivesdk","1088_NILAWARNI,SKM,MKM _ SERTIFIKAT BIMTEK IPASN BerAKHLASK")</f>
        <v>1088_NILAWARNI,SKM,MKM _ SERTIFIKAT BIMTEK IPASN BerAKHLASK</v>
      </c>
      <c r="P1089" s="5" t="s">
        <v>9423</v>
      </c>
      <c r="Q1089" s="5"/>
      <c r="R1089" s="5"/>
      <c r="S1089" s="5"/>
      <c r="T1089" s="5"/>
    </row>
    <row r="1090">
      <c r="A1090" s="4">
        <v>45534.32984853009</v>
      </c>
      <c r="B1090" s="5" t="s">
        <v>34</v>
      </c>
      <c r="D1090" s="5" t="s">
        <v>35</v>
      </c>
      <c r="E1090" s="5" t="s">
        <v>9438</v>
      </c>
      <c r="F1090" s="5" t="s">
        <v>212</v>
      </c>
      <c r="G1090" s="5" t="s">
        <v>9439</v>
      </c>
      <c r="H1090" s="6" t="s">
        <v>9440</v>
      </c>
      <c r="I1090" s="7" t="s">
        <v>9441</v>
      </c>
      <c r="J1090" s="8" t="str">
        <f>HYPERLINK("https://drive.google.com/file/d/10hDviPC5GRBda1pMICNUG4bHW9DmYRwy/view?usp=drivesdk","JONI SUKMAWAN SERTIFIKAT BerAKHLAK")</f>
        <v>JONI SUKMAWAN SERTIFIKAT BerAKHLAK</v>
      </c>
      <c r="K1090" s="5" t="s">
        <v>8685</v>
      </c>
      <c r="L1090" s="5" t="s">
        <v>9442</v>
      </c>
      <c r="M1090" s="5" t="s">
        <v>9443</v>
      </c>
      <c r="N1090" s="7" t="s">
        <v>9444</v>
      </c>
      <c r="O1090" s="8" t="str">
        <f>HYPERLINK("https://drive.google.com/file/d/1GtwoHtRpuLlmfl19QyUilfcjCMAvSCyq/view?usp=drivesdk","1089_JONI SUKMAWAN _ SERTIFIKAT BIMTEK IPASN BerAKHLASK")</f>
        <v>1089_JONI SUKMAWAN _ SERTIFIKAT BIMTEK IPASN BerAKHLASK</v>
      </c>
      <c r="P1090" s="5" t="s">
        <v>9423</v>
      </c>
      <c r="Q1090" s="5"/>
      <c r="R1090" s="5"/>
      <c r="S1090" s="5"/>
      <c r="T1090" s="5"/>
    </row>
    <row r="1091">
      <c r="A1091" s="4">
        <v>45534.32987288194</v>
      </c>
      <c r="B1091" s="5" t="s">
        <v>34</v>
      </c>
      <c r="D1091" s="5" t="s">
        <v>280</v>
      </c>
      <c r="E1091" s="5" t="s">
        <v>9445</v>
      </c>
      <c r="F1091" s="5" t="s">
        <v>37</v>
      </c>
      <c r="G1091" s="5" t="s">
        <v>9446</v>
      </c>
      <c r="H1091" s="6" t="s">
        <v>9447</v>
      </c>
      <c r="I1091" s="7" t="s">
        <v>9448</v>
      </c>
      <c r="J1091" s="8" t="str">
        <f>HYPERLINK("https://drive.google.com/file/d/1xVV9Lb8y7-OhDrIETl2Wx5DAo3xnbyut/view?usp=drivesdk","NOVA RAMADHAN SERTIFIKAT BerAKHLAK")</f>
        <v>NOVA RAMADHAN SERTIFIKAT BerAKHLAK</v>
      </c>
      <c r="K1091" s="5" t="s">
        <v>8685</v>
      </c>
      <c r="L1091" s="5" t="s">
        <v>9449</v>
      </c>
      <c r="M1091" s="5" t="s">
        <v>9450</v>
      </c>
      <c r="N1091" s="7" t="s">
        <v>9451</v>
      </c>
      <c r="O1091" s="8" t="str">
        <f>HYPERLINK("https://drive.google.com/file/d/1R7axKR9X6nmg-kyDCTuMSKRdVKE761M8/view?usp=drivesdk","1090_NOVA RAMADHAN _ SERTIFIKAT BIMTEK IPASN BerAKHLASK")</f>
        <v>1090_NOVA RAMADHAN _ SERTIFIKAT BIMTEK IPASN BerAKHLASK</v>
      </c>
      <c r="P1091" s="5" t="s">
        <v>9423</v>
      </c>
      <c r="Q1091" s="5"/>
      <c r="R1091" s="5"/>
      <c r="S1091" s="5"/>
      <c r="T1091" s="5"/>
    </row>
    <row r="1092">
      <c r="A1092" s="4">
        <v>45534.329876180556</v>
      </c>
      <c r="B1092" s="5" t="s">
        <v>34</v>
      </c>
      <c r="D1092" s="5" t="s">
        <v>280</v>
      </c>
      <c r="E1092" s="5" t="s">
        <v>9452</v>
      </c>
      <c r="F1092" s="5" t="s">
        <v>524</v>
      </c>
      <c r="G1092" s="5" t="s">
        <v>9453</v>
      </c>
      <c r="H1092" s="6" t="s">
        <v>9454</v>
      </c>
      <c r="I1092" s="7" t="s">
        <v>9455</v>
      </c>
      <c r="J1092" s="8" t="str">
        <f>HYPERLINK("https://drive.google.com/file/d/1JZVN3WHB9t-BzjfpXswvWX8XB98fmyti/view?usp=drivesdk","RISA MARLINA BINTI SULAIMAN SERTIFIKAT BerAKHLAK")</f>
        <v>RISA MARLINA BINTI SULAIMAN SERTIFIKAT BerAKHLAK</v>
      </c>
      <c r="K1092" s="5" t="s">
        <v>8685</v>
      </c>
      <c r="L1092" s="5" t="s">
        <v>9456</v>
      </c>
      <c r="M1092" s="5" t="s">
        <v>9457</v>
      </c>
      <c r="N1092" s="7" t="s">
        <v>9458</v>
      </c>
      <c r="O1092" s="8" t="str">
        <f>HYPERLINK("https://drive.google.com/file/d/12RHGOegiYczhyLyooqcxOpN_tAQpQVI3/view?usp=drivesdk","1091_RISA MARLINA BINTI SULAIMAN _ SERTIFIKAT BIMTEK IPASN BerAKHLASK")</f>
        <v>1091_RISA MARLINA BINTI SULAIMAN _ SERTIFIKAT BIMTEK IPASN BerAKHLASK</v>
      </c>
      <c r="P1092" s="5" t="s">
        <v>9423</v>
      </c>
      <c r="Q1092" s="5"/>
      <c r="R1092" s="5"/>
      <c r="S1092" s="5"/>
      <c r="T1092" s="5"/>
    </row>
    <row r="1093">
      <c r="A1093" s="4">
        <v>45534.329878530094</v>
      </c>
      <c r="B1093" s="5" t="s">
        <v>34</v>
      </c>
      <c r="D1093" s="5" t="s">
        <v>1768</v>
      </c>
      <c r="E1093" s="5" t="s">
        <v>9459</v>
      </c>
      <c r="F1093" s="5" t="s">
        <v>72</v>
      </c>
      <c r="G1093" s="5" t="s">
        <v>9460</v>
      </c>
      <c r="H1093" s="6" t="s">
        <v>9461</v>
      </c>
      <c r="I1093" s="7" t="s">
        <v>9462</v>
      </c>
      <c r="J1093" s="8" t="str">
        <f>HYPERLINK("https://drive.google.com/file/d/1fqt7s4c8KF5Er3xPQsqFs4ZOAt5dJXDF/view?usp=drivesdk","ESI INDRAYANI SERTIFIKAT BerAKHLAK")</f>
        <v>ESI INDRAYANI SERTIFIKAT BerAKHLAK</v>
      </c>
      <c r="K1093" s="5" t="s">
        <v>8685</v>
      </c>
      <c r="L1093" s="5" t="s">
        <v>9463</v>
      </c>
      <c r="M1093" s="5" t="s">
        <v>9464</v>
      </c>
      <c r="N1093" s="7" t="s">
        <v>9465</v>
      </c>
      <c r="O1093" s="8" t="str">
        <f>HYPERLINK("https://drive.google.com/file/d/1-GPYNj17tAkFgZWQdFFOrdcJy3lLLlWS/view?usp=drivesdk","1092_ESI INDRAYANI _ SERTIFIKAT BIMTEK IPASN BerAKHLASK")</f>
        <v>1092_ESI INDRAYANI _ SERTIFIKAT BIMTEK IPASN BerAKHLASK</v>
      </c>
      <c r="P1093" s="5" t="s">
        <v>9423</v>
      </c>
      <c r="Q1093" s="5"/>
      <c r="R1093" s="5"/>
      <c r="S1093" s="5"/>
      <c r="T1093" s="5"/>
    </row>
    <row r="1094">
      <c r="A1094" s="4">
        <v>45534.32989626157</v>
      </c>
      <c r="B1094" s="5" t="s">
        <v>34</v>
      </c>
      <c r="D1094" s="5" t="s">
        <v>996</v>
      </c>
      <c r="E1094" s="5" t="s">
        <v>9466</v>
      </c>
      <c r="F1094" s="5" t="s">
        <v>37</v>
      </c>
      <c r="G1094" s="5" t="s">
        <v>9467</v>
      </c>
      <c r="H1094" s="6" t="s">
        <v>9468</v>
      </c>
      <c r="I1094" s="7" t="s">
        <v>9469</v>
      </c>
      <c r="J1094" s="8" t="str">
        <f>HYPERLINK("https://drive.google.com/file/d/1kf4zjEJOW9Y7lIQiEtWpZ_XkMP_bjz8k/view?usp=drivesdk","MULIYANI MULIYANI  SERTIFIKAT BerAKHLAK")</f>
        <v>MULIYANI MULIYANI  SERTIFIKAT BerAKHLAK</v>
      </c>
      <c r="K1094" s="5" t="s">
        <v>8685</v>
      </c>
      <c r="L1094" s="5" t="s">
        <v>9470</v>
      </c>
      <c r="M1094" s="5" t="s">
        <v>9471</v>
      </c>
      <c r="N1094" s="7" t="s">
        <v>9472</v>
      </c>
      <c r="O1094" s="8" t="str">
        <f>HYPERLINK("https://drive.google.com/file/d/1SfqS3xkEliTj2zelHWeCQwyKrT9-EiFp/view?usp=drivesdk","1093_MULIYANI MULIYANI  _ SERTIFIKAT BIMTEK IPASN BerAKHLASK")</f>
        <v>1093_MULIYANI MULIYANI  _ SERTIFIKAT BIMTEK IPASN BerAKHLASK</v>
      </c>
      <c r="P1094" s="5" t="s">
        <v>9473</v>
      </c>
      <c r="Q1094" s="5"/>
      <c r="R1094" s="5"/>
      <c r="S1094" s="5"/>
      <c r="T1094" s="5"/>
    </row>
    <row r="1095">
      <c r="A1095" s="4">
        <v>45534.329902488425</v>
      </c>
      <c r="B1095" s="5" t="s">
        <v>34</v>
      </c>
      <c r="D1095" s="5" t="s">
        <v>4775</v>
      </c>
      <c r="E1095" s="5" t="s">
        <v>9474</v>
      </c>
      <c r="F1095" s="5" t="s">
        <v>375</v>
      </c>
      <c r="G1095" s="5" t="s">
        <v>9475</v>
      </c>
      <c r="H1095" s="6" t="s">
        <v>9476</v>
      </c>
      <c r="I1095" s="7" t="s">
        <v>9477</v>
      </c>
      <c r="J1095" s="8" t="str">
        <f>HYPERLINK("https://drive.google.com/file/d/1Ih2s4LNmIxfCecub5zpLwL-jXFvX9IS6/view?usp=drivesdk","AGUS KRISTIYANTO.S.H SERTIFIKAT BerAKHLAK")</f>
        <v>AGUS KRISTIYANTO.S.H SERTIFIKAT BerAKHLAK</v>
      </c>
      <c r="K1095" s="5" t="s">
        <v>8685</v>
      </c>
      <c r="L1095" s="5" t="s">
        <v>9478</v>
      </c>
      <c r="M1095" s="5" t="s">
        <v>9479</v>
      </c>
      <c r="N1095" s="7" t="s">
        <v>9480</v>
      </c>
      <c r="O1095" s="8" t="str">
        <f>HYPERLINK("https://drive.google.com/file/d/174Q0jOnDffxphOGCBUgrq4xIhL8hDss5/view?usp=drivesdk","1094_AGUS KRISTIYANTO.S.H _ SERTIFIKAT BIMTEK IPASN BerAKHLASK")</f>
        <v>1094_AGUS KRISTIYANTO.S.H _ SERTIFIKAT BIMTEK IPASN BerAKHLASK</v>
      </c>
      <c r="P1095" s="5" t="s">
        <v>9473</v>
      </c>
      <c r="Q1095" s="5"/>
      <c r="R1095" s="5"/>
      <c r="S1095" s="5"/>
      <c r="T1095" s="5"/>
    </row>
    <row r="1096">
      <c r="A1096" s="4">
        <v>45534.329906643514</v>
      </c>
      <c r="B1096" s="5" t="s">
        <v>34</v>
      </c>
      <c r="D1096" s="5" t="s">
        <v>4775</v>
      </c>
      <c r="E1096" s="5" t="s">
        <v>9481</v>
      </c>
      <c r="F1096" s="5" t="s">
        <v>524</v>
      </c>
      <c r="G1096" s="5" t="s">
        <v>9482</v>
      </c>
      <c r="H1096" s="6" t="s">
        <v>9483</v>
      </c>
      <c r="I1096" s="7" t="s">
        <v>9484</v>
      </c>
      <c r="J1096" s="8" t="str">
        <f>HYPERLINK("https://drive.google.com/file/d/1UPuYfiWHoo5bqt9rAdvWyseWXA64Ny5F/view?usp=drivesdk","WAHYU PRABAWANI, S.M. SERTIFIKAT BerAKHLAK")</f>
        <v>WAHYU PRABAWANI, S.M. SERTIFIKAT BerAKHLAK</v>
      </c>
      <c r="K1096" s="5" t="s">
        <v>8685</v>
      </c>
      <c r="L1096" s="5" t="s">
        <v>9485</v>
      </c>
      <c r="M1096" s="5" t="s">
        <v>9486</v>
      </c>
      <c r="N1096" s="7" t="s">
        <v>9487</v>
      </c>
      <c r="O1096" s="8" t="str">
        <f>HYPERLINK("https://drive.google.com/file/d/1kLlqGqdKoZ4PBunBZy1hspKletxY9fHW/view?usp=drivesdk","1095_WAHYU PRABAWANI, S.M. _ SERTIFIKAT BIMTEK IPASN BerAKHLASK")</f>
        <v>1095_WAHYU PRABAWANI, S.M. _ SERTIFIKAT BIMTEK IPASN BerAKHLASK</v>
      </c>
      <c r="P1096" s="5" t="s">
        <v>9473</v>
      </c>
      <c r="Q1096" s="5"/>
      <c r="R1096" s="5"/>
      <c r="S1096" s="5"/>
      <c r="T1096" s="5"/>
    </row>
    <row r="1097">
      <c r="A1097" s="4">
        <v>45534.32991277778</v>
      </c>
      <c r="B1097" s="5" t="s">
        <v>34</v>
      </c>
      <c r="D1097" s="5" t="s">
        <v>35</v>
      </c>
      <c r="E1097" s="5" t="s">
        <v>9488</v>
      </c>
      <c r="F1097" s="5" t="s">
        <v>37</v>
      </c>
      <c r="G1097" s="5" t="s">
        <v>9489</v>
      </c>
      <c r="H1097" s="6" t="s">
        <v>9490</v>
      </c>
      <c r="I1097" s="7" t="s">
        <v>9491</v>
      </c>
      <c r="J1097" s="8" t="str">
        <f>HYPERLINK("https://drive.google.com/file/d/1tKSX_2O-Mo-y6lgyyWHQZ5n7lmK3wLrT/view?usp=drivesdk","SRI CASMIATI, S.H. SERTIFIKAT BerAKHLAK")</f>
        <v>SRI CASMIATI, S.H. SERTIFIKAT BerAKHLAK</v>
      </c>
      <c r="K1097" s="5" t="s">
        <v>8685</v>
      </c>
      <c r="L1097" s="5" t="s">
        <v>9492</v>
      </c>
      <c r="M1097" s="5" t="s">
        <v>9493</v>
      </c>
      <c r="N1097" s="7" t="s">
        <v>9494</v>
      </c>
      <c r="O1097" s="8" t="str">
        <f>HYPERLINK("https://drive.google.com/file/d/1de2D0a9qO7Ux1_bKJ4pyYIkQx_y_PCzb/view?usp=drivesdk","1096_SRI CASMIATI, S.H. _ SERTIFIKAT BIMTEK IPASN BerAKHLASK")</f>
        <v>1096_SRI CASMIATI, S.H. _ SERTIFIKAT BIMTEK IPASN BerAKHLASK</v>
      </c>
      <c r="P1097" s="5" t="s">
        <v>9473</v>
      </c>
      <c r="Q1097" s="5"/>
      <c r="R1097" s="5"/>
      <c r="S1097" s="5"/>
      <c r="T1097" s="5"/>
    </row>
    <row r="1098">
      <c r="A1098" s="4">
        <v>45534.3299165625</v>
      </c>
      <c r="B1098" s="5" t="s">
        <v>34</v>
      </c>
      <c r="D1098" s="5" t="s">
        <v>580</v>
      </c>
      <c r="E1098" s="5" t="s">
        <v>9495</v>
      </c>
      <c r="F1098" s="5" t="s">
        <v>212</v>
      </c>
      <c r="G1098" s="5" t="s">
        <v>9496</v>
      </c>
      <c r="H1098" s="6" t="s">
        <v>9497</v>
      </c>
      <c r="I1098" s="7" t="s">
        <v>9498</v>
      </c>
      <c r="J1098" s="8" t="str">
        <f>HYPERLINK("https://drive.google.com/file/d/1K0DDh3mG9sOcLAQDc532s7ZqD6Zf91Og/view?usp=drivesdk","LUH PUTu DYAH WREDIASTITI SERTIFIKAT BerAKHLAK")</f>
        <v>LUH PUTu DYAH WREDIASTITI SERTIFIKAT BerAKHLAK</v>
      </c>
      <c r="K1098" s="5" t="s">
        <v>8685</v>
      </c>
      <c r="L1098" s="5" t="s">
        <v>9499</v>
      </c>
      <c r="M1098" s="5" t="s">
        <v>9500</v>
      </c>
      <c r="N1098" s="7" t="s">
        <v>9501</v>
      </c>
      <c r="O1098" s="8" t="str">
        <f>HYPERLINK("https://drive.google.com/file/d/1bj8Pje4HGZibgRVStMJBRlDyJUSbQ579/view?usp=drivesdk","1097_LUH PUTu DYAH WREDIASTITI _ SERTIFIKAT BIMTEK IPASN BerAKHLASK")</f>
        <v>1097_LUH PUTu DYAH WREDIASTITI _ SERTIFIKAT BIMTEK IPASN BerAKHLASK</v>
      </c>
      <c r="P1098" s="5" t="s">
        <v>9473</v>
      </c>
      <c r="Q1098" s="5"/>
      <c r="R1098" s="5"/>
      <c r="S1098" s="5"/>
      <c r="T1098" s="5"/>
    </row>
    <row r="1099">
      <c r="A1099" s="4">
        <v>45534.32993663194</v>
      </c>
      <c r="B1099" s="5" t="s">
        <v>34</v>
      </c>
      <c r="D1099" s="5" t="s">
        <v>1206</v>
      </c>
      <c r="E1099" s="5" t="s">
        <v>9502</v>
      </c>
      <c r="F1099" s="5" t="s">
        <v>37</v>
      </c>
      <c r="G1099" s="5" t="s">
        <v>9503</v>
      </c>
      <c r="H1099" s="6" t="s">
        <v>9504</v>
      </c>
      <c r="I1099" s="7" t="s">
        <v>9505</v>
      </c>
      <c r="J1099" s="8" t="str">
        <f>HYPERLINK("https://drive.google.com/file/d/1BSUacUHS9xFMTZ17304yZzAIsIkg4u1-/view?usp=drivesdk","EKA SULISTIYANA WIJAYANTI SERTIFIKAT BerAKHLAK")</f>
        <v>EKA SULISTIYANA WIJAYANTI SERTIFIKAT BerAKHLAK</v>
      </c>
      <c r="K1099" s="5" t="s">
        <v>8685</v>
      </c>
      <c r="L1099" s="5" t="s">
        <v>9506</v>
      </c>
      <c r="M1099" s="5" t="s">
        <v>9507</v>
      </c>
      <c r="N1099" s="7" t="s">
        <v>9508</v>
      </c>
      <c r="O1099" s="8" t="str">
        <f>HYPERLINK("https://drive.google.com/file/d/1qVHnSbA0N_vOZRGN26eAhq2MdVOVJvNt/view?usp=drivesdk","1098_EKA SULISTIYANA WIJAYANTI _ SERTIFIKAT BIMTEK IPASN BerAKHLASK")</f>
        <v>1098_EKA SULISTIYANA WIJAYANTI _ SERTIFIKAT BIMTEK IPASN BerAKHLASK</v>
      </c>
      <c r="P1099" s="5" t="s">
        <v>9473</v>
      </c>
      <c r="Q1099" s="5"/>
      <c r="R1099" s="5"/>
      <c r="S1099" s="5"/>
      <c r="T1099" s="5"/>
    </row>
    <row r="1100">
      <c r="A1100" s="4">
        <v>45534.32993756945</v>
      </c>
      <c r="B1100" s="5" t="s">
        <v>34</v>
      </c>
      <c r="D1100" s="5" t="s">
        <v>267</v>
      </c>
      <c r="E1100" s="5" t="s">
        <v>9509</v>
      </c>
      <c r="F1100" s="5" t="s">
        <v>212</v>
      </c>
      <c r="G1100" s="5" t="s">
        <v>9510</v>
      </c>
      <c r="H1100" s="6" t="s">
        <v>9511</v>
      </c>
      <c r="I1100" s="7" t="s">
        <v>9512</v>
      </c>
      <c r="J1100" s="8" t="str">
        <f>HYPERLINK("https://drive.google.com/file/d/1MMqKP4QBTFdbMjJEda2Ay7yM0oG0vFlR/view?usp=drivesdk","HENRY HERMAWAN SERTIFIKAT BerAKHLAK")</f>
        <v>HENRY HERMAWAN SERTIFIKAT BerAKHLAK</v>
      </c>
      <c r="K1100" s="5" t="s">
        <v>8685</v>
      </c>
      <c r="L1100" s="5" t="s">
        <v>9513</v>
      </c>
      <c r="M1100" s="5" t="s">
        <v>9514</v>
      </c>
      <c r="N1100" s="7" t="s">
        <v>9515</v>
      </c>
      <c r="O1100" s="8" t="str">
        <f>HYPERLINK("https://drive.google.com/file/d/1WJ3jxCT4G9KEJw8cri90Ra9M2gnJB3el/view?usp=drivesdk","1099_HENRY HERMAWAN _ SERTIFIKAT BIMTEK IPASN BerAKHLASK")</f>
        <v>1099_HENRY HERMAWAN _ SERTIFIKAT BIMTEK IPASN BerAKHLASK</v>
      </c>
      <c r="P1100" s="5" t="s">
        <v>9516</v>
      </c>
      <c r="Q1100" s="5"/>
      <c r="R1100" s="5"/>
      <c r="S1100" s="5"/>
      <c r="T1100" s="5"/>
    </row>
    <row r="1101">
      <c r="A1101" s="4">
        <v>45534.32994207176</v>
      </c>
      <c r="B1101" s="5" t="s">
        <v>34</v>
      </c>
      <c r="D1101" s="5" t="s">
        <v>4775</v>
      </c>
      <c r="E1101" s="5" t="s">
        <v>9517</v>
      </c>
      <c r="F1101" s="5" t="s">
        <v>375</v>
      </c>
      <c r="G1101" s="5" t="s">
        <v>9518</v>
      </c>
      <c r="H1101" s="6" t="s">
        <v>9519</v>
      </c>
      <c r="I1101" s="7" t="s">
        <v>9520</v>
      </c>
      <c r="J1101" s="8" t="str">
        <f>HYPERLINK("https://drive.google.com/file/d/1eXxq0wXW0d-1zwuCLBBbC9zDpjuctO1I/view?usp=drivesdk","AGUS PRIYANTO  SERTIFIKAT BerAKHLAK")</f>
        <v>AGUS PRIYANTO  SERTIFIKAT BerAKHLAK</v>
      </c>
      <c r="K1101" s="5" t="s">
        <v>8685</v>
      </c>
      <c r="L1101" s="5" t="s">
        <v>9521</v>
      </c>
      <c r="M1101" s="5" t="s">
        <v>9522</v>
      </c>
      <c r="N1101" s="7" t="s">
        <v>9523</v>
      </c>
      <c r="O1101" s="8" t="str">
        <f>HYPERLINK("https://drive.google.com/file/d/1aLbuPXBhISpwZ9GeyGUZKM9QoZ1Jefov/view?usp=drivesdk","1100_AGUS PRIYANTO  _ SERTIFIKAT BIMTEK IPASN BerAKHLASK")</f>
        <v>1100_AGUS PRIYANTO  _ SERTIFIKAT BIMTEK IPASN BerAKHLASK</v>
      </c>
      <c r="P1101" s="5" t="s">
        <v>9516</v>
      </c>
      <c r="Q1101" s="5"/>
      <c r="R1101" s="5"/>
      <c r="S1101" s="5"/>
      <c r="T1101" s="5"/>
    </row>
    <row r="1102">
      <c r="A1102" s="4">
        <v>45534.329943206016</v>
      </c>
      <c r="B1102" s="5" t="s">
        <v>34</v>
      </c>
      <c r="D1102" s="5" t="s">
        <v>580</v>
      </c>
      <c r="E1102" s="5" t="s">
        <v>9524</v>
      </c>
      <c r="F1102" s="5" t="s">
        <v>37</v>
      </c>
      <c r="G1102" s="5" t="s">
        <v>9525</v>
      </c>
      <c r="H1102" s="6" t="s">
        <v>9526</v>
      </c>
      <c r="I1102" s="7" t="s">
        <v>9527</v>
      </c>
      <c r="J1102" s="8" t="str">
        <f>HYPERLINK("https://drive.google.com/file/d/1BI4bPLesq96C02l5uSuiNKeOsSmPXA_v/view?usp=drivesdk","I GUSTI NGURAH KOMANG PARMADI SERTIFIKAT BerAKHLAK")</f>
        <v>I GUSTI NGURAH KOMANG PARMADI SERTIFIKAT BerAKHLAK</v>
      </c>
      <c r="K1102" s="5" t="s">
        <v>9528</v>
      </c>
      <c r="L1102" s="5" t="s">
        <v>9529</v>
      </c>
      <c r="M1102" s="5" t="s">
        <v>9530</v>
      </c>
      <c r="N1102" s="7" t="s">
        <v>9531</v>
      </c>
      <c r="O1102" s="8" t="str">
        <f>HYPERLINK("https://drive.google.com/file/d/1FSvHXEtHjj9gMXq3ILx7zTq-oONf1Blo/view?usp=drivesdk","1101_I GUSTI NGURAH KOMANG PARMADI _ SERTIFIKAT BIMTEK IPASN BerAKHLASK")</f>
        <v>1101_I GUSTI NGURAH KOMANG PARMADI _ SERTIFIKAT BIMTEK IPASN BerAKHLASK</v>
      </c>
      <c r="P1102" s="5" t="s">
        <v>9516</v>
      </c>
      <c r="Q1102" s="5"/>
      <c r="R1102" s="5"/>
      <c r="S1102" s="5"/>
      <c r="T1102" s="5"/>
    </row>
    <row r="1103">
      <c r="A1103" s="4">
        <v>45534.329956828704</v>
      </c>
      <c r="B1103" s="5" t="s">
        <v>34</v>
      </c>
      <c r="D1103" s="5" t="s">
        <v>267</v>
      </c>
      <c r="E1103" s="5" t="s">
        <v>9532</v>
      </c>
      <c r="F1103" s="5" t="s">
        <v>524</v>
      </c>
      <c r="G1103" s="5" t="s">
        <v>9533</v>
      </c>
      <c r="H1103" s="6" t="s">
        <v>9534</v>
      </c>
      <c r="I1103" s="7" t="s">
        <v>9535</v>
      </c>
      <c r="J1103" s="8" t="str">
        <f>HYPERLINK("https://drive.google.com/file/d/10QHlaf8EtpkpOhKdOGFiDryjdwBSwVV-/view?usp=drivesdk","MISERY DESIANA, A.MD SERTIFIKAT BerAKHLAK")</f>
        <v>MISERY DESIANA, A.MD SERTIFIKAT BerAKHLAK</v>
      </c>
      <c r="K1103" s="5" t="s">
        <v>9528</v>
      </c>
      <c r="L1103" s="5" t="s">
        <v>9536</v>
      </c>
      <c r="M1103" s="5" t="s">
        <v>9537</v>
      </c>
      <c r="N1103" s="7" t="s">
        <v>9538</v>
      </c>
      <c r="O1103" s="8" t="str">
        <f>HYPERLINK("https://drive.google.com/file/d/1StKb0PWmI2l0vB-mSkIkNLOWsx4WFWmT/view?usp=drivesdk","1102_MISERY DESIANA, A.MD _ SERTIFIKAT BIMTEK IPASN BerAKHLASK")</f>
        <v>1102_MISERY DESIANA, A.MD _ SERTIFIKAT BIMTEK IPASN BerAKHLASK</v>
      </c>
      <c r="P1103" s="5" t="s">
        <v>9516</v>
      </c>
      <c r="Q1103" s="5"/>
      <c r="R1103" s="5"/>
      <c r="S1103" s="5"/>
      <c r="T1103" s="5"/>
    </row>
    <row r="1104">
      <c r="A1104" s="4">
        <v>45534.329968969905</v>
      </c>
      <c r="B1104" s="5" t="s">
        <v>34</v>
      </c>
      <c r="D1104" s="5" t="s">
        <v>4775</v>
      </c>
      <c r="E1104" s="5" t="s">
        <v>9539</v>
      </c>
      <c r="F1104" s="5" t="s">
        <v>212</v>
      </c>
      <c r="G1104" s="5" t="s">
        <v>9540</v>
      </c>
      <c r="H1104" s="6" t="s">
        <v>9541</v>
      </c>
      <c r="I1104" s="7" t="s">
        <v>9542</v>
      </c>
      <c r="J1104" s="8" t="str">
        <f>HYPERLINK("https://drive.google.com/file/d/1o3kAo82jlN4wVzFWbwLczZsChGJcy5bA/view?usp=drivesdk","AGUS ISTIAWAN SERTIFIKAT BerAKHLAK")</f>
        <v>AGUS ISTIAWAN SERTIFIKAT BerAKHLAK</v>
      </c>
      <c r="K1104" s="5" t="s">
        <v>9528</v>
      </c>
      <c r="L1104" s="5" t="s">
        <v>9543</v>
      </c>
      <c r="M1104" s="5" t="s">
        <v>9544</v>
      </c>
      <c r="N1104" s="7" t="s">
        <v>9545</v>
      </c>
      <c r="O1104" s="8" t="str">
        <f>HYPERLINK("https://drive.google.com/file/d/1aRRx3-gdKfeNIYJVLgPCIqg-VJgtGf42/view?usp=drivesdk","1103_AGUS ISTIAWAN _ SERTIFIKAT BIMTEK IPASN BerAKHLASK")</f>
        <v>1103_AGUS ISTIAWAN _ SERTIFIKAT BIMTEK IPASN BerAKHLASK</v>
      </c>
      <c r="P1104" s="5" t="s">
        <v>9516</v>
      </c>
      <c r="Q1104" s="5"/>
      <c r="R1104" s="5"/>
      <c r="S1104" s="5"/>
      <c r="T1104" s="5"/>
    </row>
    <row r="1105">
      <c r="A1105" s="4">
        <v>45534.32998018518</v>
      </c>
      <c r="B1105" s="5" t="s">
        <v>34</v>
      </c>
      <c r="D1105" s="5" t="s">
        <v>4775</v>
      </c>
      <c r="E1105" s="5" t="s">
        <v>9546</v>
      </c>
      <c r="F1105" s="5" t="s">
        <v>212</v>
      </c>
      <c r="G1105" s="5" t="s">
        <v>9547</v>
      </c>
      <c r="H1105" s="6" t="s">
        <v>9548</v>
      </c>
      <c r="I1105" s="7" t="s">
        <v>9549</v>
      </c>
      <c r="J1105" s="8" t="str">
        <f>HYPERLINK("https://drive.google.com/file/d/1JccJjxQODI9rNnrvE-YO9zC04j19sOm0/view?usp=drivesdk","ENDANG LISTYAWATI SERTIFIKAT BerAKHLAK")</f>
        <v>ENDANG LISTYAWATI SERTIFIKAT BerAKHLAK</v>
      </c>
      <c r="K1105" s="5" t="s">
        <v>9528</v>
      </c>
      <c r="L1105" s="5" t="s">
        <v>9550</v>
      </c>
      <c r="M1105" s="5" t="s">
        <v>9551</v>
      </c>
      <c r="N1105" s="7" t="s">
        <v>9552</v>
      </c>
      <c r="O1105" s="8" t="str">
        <f>HYPERLINK("https://drive.google.com/file/d/1FSBzoDv4QR0VHDud1ozuihKvJLSxTuj9/view?usp=drivesdk","1104_ENDANG LISTYAWATI _ SERTIFIKAT BIMTEK IPASN BerAKHLASK")</f>
        <v>1104_ENDANG LISTYAWATI _ SERTIFIKAT BIMTEK IPASN BerAKHLASK</v>
      </c>
      <c r="P1105" s="5" t="s">
        <v>9516</v>
      </c>
      <c r="Q1105" s="5"/>
      <c r="R1105" s="5"/>
      <c r="S1105" s="5"/>
      <c r="T1105" s="5"/>
    </row>
    <row r="1106">
      <c r="A1106" s="4">
        <v>45534.32998480324</v>
      </c>
      <c r="B1106" s="5" t="s">
        <v>34</v>
      </c>
      <c r="D1106" s="5" t="s">
        <v>280</v>
      </c>
      <c r="E1106" s="5" t="s">
        <v>9553</v>
      </c>
      <c r="F1106" s="5" t="s">
        <v>212</v>
      </c>
      <c r="G1106" s="5" t="s">
        <v>9554</v>
      </c>
      <c r="H1106" s="6" t="s">
        <v>9555</v>
      </c>
      <c r="I1106" s="7" t="s">
        <v>9556</v>
      </c>
      <c r="J1106" s="8" t="str">
        <f>HYPERLINK("https://drive.google.com/file/d/1hsn_N1a3U4t61h6SbrkPViIRce4ulh0y/view?usp=drivesdk","ADE HARIANTY BINTI KADENI SA'IAN SERTIFIKAT BerAKHLAK")</f>
        <v>ADE HARIANTY BINTI KADENI SA'IAN SERTIFIKAT BerAKHLAK</v>
      </c>
      <c r="K1106" s="5" t="s">
        <v>9528</v>
      </c>
      <c r="L1106" s="5" t="s">
        <v>9557</v>
      </c>
      <c r="M1106" s="5" t="s">
        <v>9558</v>
      </c>
      <c r="N1106" s="7" t="s">
        <v>9559</v>
      </c>
      <c r="O1106" s="8" t="str">
        <f>HYPERLINK("https://drive.google.com/file/d/15pzxWvcCBQNGGG1rkO_tmKk4iiwc7VG6/view?usp=drivesdk","1105_ADE HARIANTY BINTI KADENI SA'IAN _ SERTIFIKAT BIMTEK IPASN BerAKHLASK")</f>
        <v>1105_ADE HARIANTY BINTI KADENI SA'IAN _ SERTIFIKAT BIMTEK IPASN BerAKHLASK</v>
      </c>
      <c r="P1106" s="5" t="s">
        <v>9560</v>
      </c>
      <c r="Q1106" s="5"/>
      <c r="R1106" s="5"/>
      <c r="S1106" s="5"/>
      <c r="T1106" s="5"/>
    </row>
    <row r="1107">
      <c r="A1107" s="4">
        <v>45534.32999229166</v>
      </c>
      <c r="B1107" s="5" t="s">
        <v>34</v>
      </c>
      <c r="D1107" s="5" t="s">
        <v>4775</v>
      </c>
      <c r="E1107" s="5" t="s">
        <v>9561</v>
      </c>
      <c r="F1107" s="5" t="s">
        <v>212</v>
      </c>
      <c r="G1107" s="5" t="s">
        <v>9562</v>
      </c>
      <c r="H1107" s="6" t="s">
        <v>9563</v>
      </c>
      <c r="I1107" s="7" t="s">
        <v>9564</v>
      </c>
      <c r="J1107" s="8" t="str">
        <f>HYPERLINK("https://drive.google.com/file/d/1ed9ujS8pSh7jc77VLpmniANDH_zYQGnt/view?usp=drivesdk","MUHAMMAD PRAYOGI SUNDOYO SERTIFIKAT BerAKHLAK")</f>
        <v>MUHAMMAD PRAYOGI SUNDOYO SERTIFIKAT BerAKHLAK</v>
      </c>
      <c r="K1107" s="5" t="s">
        <v>9565</v>
      </c>
      <c r="L1107" s="5" t="s">
        <v>9566</v>
      </c>
      <c r="M1107" s="5" t="s">
        <v>9567</v>
      </c>
      <c r="N1107" s="7" t="s">
        <v>9568</v>
      </c>
      <c r="O1107" s="8" t="str">
        <f>HYPERLINK("https://drive.google.com/file/d/17PjslcdT9WUaChAPDg9HqkXKS6yMJNbT/view?usp=drivesdk","1106_MUHAMMAD PRAYOGI SUNDOYO _ SERTIFIKAT BIMTEK IPASN BerAKHLASK")</f>
        <v>1106_MUHAMMAD PRAYOGI SUNDOYO _ SERTIFIKAT BIMTEK IPASN BerAKHLASK</v>
      </c>
      <c r="P1107" s="5" t="s">
        <v>9560</v>
      </c>
      <c r="Q1107" s="5"/>
      <c r="R1107" s="5"/>
      <c r="S1107" s="5"/>
      <c r="T1107" s="5"/>
    </row>
    <row r="1108" hidden="1">
      <c r="A1108" s="4">
        <v>45534.32999489583</v>
      </c>
      <c r="B1108" s="5" t="s">
        <v>19</v>
      </c>
      <c r="C1108" s="5" t="s">
        <v>292</v>
      </c>
      <c r="E1108" s="5" t="s">
        <v>9569</v>
      </c>
      <c r="F1108" s="5" t="s">
        <v>212</v>
      </c>
      <c r="G1108" s="5" t="s">
        <v>9570</v>
      </c>
      <c r="H1108" s="6" t="s">
        <v>9571</v>
      </c>
      <c r="I1108" s="7" t="s">
        <v>9572</v>
      </c>
      <c r="J1108" s="8" t="str">
        <f>HYPERLINK("https://drive.google.com/file/d/1MSN_4ztDo6XO-1VzoqbK1cHH9Bwh7GJb/view?usp=drivesdk","LASMIIZAINII SERTIFIKAT BerAKHLAK")</f>
        <v>LASMIIZAINII SERTIFIKAT BerAKHLAK</v>
      </c>
      <c r="K1108" s="5" t="s">
        <v>9565</v>
      </c>
      <c r="L1108" s="5" t="s">
        <v>9573</v>
      </c>
      <c r="M1108" s="5" t="s">
        <v>9574</v>
      </c>
      <c r="N1108" s="7" t="s">
        <v>9575</v>
      </c>
      <c r="O1108" s="8" t="str">
        <f>HYPERLINK("https://drive.google.com/file/d/1yshlWYY4psaneJQqShm5PAxrXfHtS439/view?usp=drivesdk","1107_LASMIIZAINII _ SERTIFIKAT BIMTEK IPASN BerAKHLASK")</f>
        <v>1107_LASMIIZAINII _ SERTIFIKAT BIMTEK IPASN BerAKHLASK</v>
      </c>
      <c r="P1108" s="5" t="s">
        <v>9560</v>
      </c>
      <c r="Q1108" s="5"/>
      <c r="R1108" s="5"/>
      <c r="S1108" s="5"/>
      <c r="T1108" s="5"/>
    </row>
    <row r="1109">
      <c r="A1109" s="4">
        <v>45534.330003553245</v>
      </c>
      <c r="B1109" s="5" t="s">
        <v>34</v>
      </c>
      <c r="D1109" s="5" t="s">
        <v>9020</v>
      </c>
      <c r="E1109" s="5" t="s">
        <v>9576</v>
      </c>
      <c r="F1109" s="5" t="s">
        <v>375</v>
      </c>
      <c r="G1109" s="5" t="s">
        <v>9577</v>
      </c>
      <c r="H1109" s="6" t="s">
        <v>9578</v>
      </c>
      <c r="I1109" s="7" t="s">
        <v>9579</v>
      </c>
      <c r="J1109" s="8" t="str">
        <f>HYPERLINK("https://drive.google.com/file/d/1WMUciPuhFJ1Am1cVRrpKXvYqnlxn75G5/view?usp=drivesdk","ARISTO BASTIAN SIANIPAR, S.E., M.Ak SERTIFIKAT BerAKHLAK")</f>
        <v>ARISTO BASTIAN SIANIPAR, S.E., M.Ak SERTIFIKAT BerAKHLAK</v>
      </c>
      <c r="K1109" s="5" t="s">
        <v>8685</v>
      </c>
      <c r="L1109" s="5" t="s">
        <v>9580</v>
      </c>
      <c r="M1109" s="5" t="s">
        <v>9581</v>
      </c>
      <c r="N1109" s="7" t="s">
        <v>9582</v>
      </c>
      <c r="O1109" s="8" t="str">
        <f>HYPERLINK("https://drive.google.com/file/d/1qqOrhWNNbPBdXkOpfHMBeo_M2_GIR0df/view?usp=drivesdk","1108_ARISTO BASTIAN SIANIPAR, S.E., M.Ak _ SERTIFIKAT BIMTEK IPASN BerAKHLASK")</f>
        <v>1108_ARISTO BASTIAN SIANIPAR, S.E., M.Ak _ SERTIFIKAT BIMTEK IPASN BerAKHLASK</v>
      </c>
      <c r="P1109" s="5" t="s">
        <v>9560</v>
      </c>
      <c r="Q1109" s="5"/>
      <c r="R1109" s="5"/>
      <c r="S1109" s="5"/>
      <c r="T1109" s="5"/>
    </row>
    <row r="1110">
      <c r="A1110" s="4">
        <v>45534.3300194676</v>
      </c>
      <c r="B1110" s="5" t="s">
        <v>34</v>
      </c>
      <c r="D1110" s="5" t="s">
        <v>35</v>
      </c>
      <c r="E1110" s="5" t="s">
        <v>9583</v>
      </c>
      <c r="F1110" s="5" t="s">
        <v>524</v>
      </c>
      <c r="G1110" s="5" t="s">
        <v>9584</v>
      </c>
      <c r="H1110" s="6" t="s">
        <v>9585</v>
      </c>
      <c r="I1110" s="7" t="s">
        <v>9586</v>
      </c>
      <c r="J1110" s="8" t="str">
        <f>HYPERLINK("https://drive.google.com/file/d/1AUBgcoJQs6nKAM26Xi2bwTlRsiFUH9k8/view?usp=drivesdk","BUDIMANTORO,AMK SERTIFIKAT BerAKHLAK")</f>
        <v>BUDIMANTORO,AMK SERTIFIKAT BerAKHLAK</v>
      </c>
      <c r="K1110" s="5" t="s">
        <v>8685</v>
      </c>
      <c r="L1110" s="5" t="s">
        <v>9587</v>
      </c>
      <c r="M1110" s="5" t="s">
        <v>9588</v>
      </c>
      <c r="N1110" s="7" t="s">
        <v>9589</v>
      </c>
      <c r="O1110" s="8" t="str">
        <f>HYPERLINK("https://drive.google.com/file/d/1x_TaG-XwBiQ6UGC-PDkZHqFEtgmcpGdK/view?usp=drivesdk","1109_BUDIMANTORO,AMK _ SERTIFIKAT BIMTEK IPASN BerAKHLASK")</f>
        <v>1109_BUDIMANTORO,AMK _ SERTIFIKAT BIMTEK IPASN BerAKHLASK</v>
      </c>
      <c r="P1110" s="5" t="s">
        <v>9560</v>
      </c>
      <c r="Q1110" s="5"/>
      <c r="R1110" s="5"/>
      <c r="S1110" s="5"/>
      <c r="T1110" s="5"/>
    </row>
    <row r="1111">
      <c r="A1111" s="4">
        <v>45534.3300196412</v>
      </c>
      <c r="B1111" s="5" t="s">
        <v>34</v>
      </c>
      <c r="D1111" s="5" t="s">
        <v>4775</v>
      </c>
      <c r="E1111" s="5" t="s">
        <v>9590</v>
      </c>
      <c r="F1111" s="5" t="s">
        <v>108</v>
      </c>
      <c r="G1111" s="5" t="s">
        <v>9591</v>
      </c>
      <c r="H1111" s="6" t="s">
        <v>9592</v>
      </c>
      <c r="I1111" s="7" t="s">
        <v>9593</v>
      </c>
      <c r="J1111" s="8" t="str">
        <f>HYPERLINK("https://drive.google.com/file/d/1z0EuBnWALLylKp9LAWbcUJgkj4J4tTIW/view?usp=drivesdk","RATNA KUSUMADEWI, S.Kom. SERTIFIKAT BerAKHLAK")</f>
        <v>RATNA KUSUMADEWI, S.Kom. SERTIFIKAT BerAKHLAK</v>
      </c>
      <c r="K1111" s="5" t="s">
        <v>8685</v>
      </c>
      <c r="L1111" s="5" t="s">
        <v>9594</v>
      </c>
      <c r="M1111" s="5" t="s">
        <v>9595</v>
      </c>
      <c r="N1111" s="7" t="s">
        <v>9596</v>
      </c>
      <c r="O1111" s="8" t="str">
        <f>HYPERLINK("https://drive.google.com/file/d/1Ha_I0maFuzmapHt6w5QZS6p7O4XwxmE4/view?usp=drivesdk","1110_RATNA KUSUMADEWI, S.Kom. _ SERTIFIKAT BIMTEK IPASN BerAKHLASK")</f>
        <v>1110_RATNA KUSUMADEWI, S.Kom. _ SERTIFIKAT BIMTEK IPASN BerAKHLASK</v>
      </c>
      <c r="P1111" s="5" t="s">
        <v>9597</v>
      </c>
      <c r="Q1111" s="5"/>
      <c r="R1111" s="5"/>
      <c r="S1111" s="5"/>
      <c r="T1111" s="5"/>
    </row>
    <row r="1112" hidden="1">
      <c r="A1112" s="4">
        <v>45534.33002277778</v>
      </c>
      <c r="B1112" s="5" t="s">
        <v>19</v>
      </c>
      <c r="C1112" s="5" t="s">
        <v>8666</v>
      </c>
      <c r="E1112" s="5" t="s">
        <v>9598</v>
      </c>
      <c r="F1112" s="5" t="s">
        <v>120</v>
      </c>
      <c r="G1112" s="5" t="s">
        <v>9599</v>
      </c>
      <c r="H1112" s="6" t="s">
        <v>9600</v>
      </c>
      <c r="I1112" s="7" t="s">
        <v>9601</v>
      </c>
      <c r="J1112" s="8" t="str">
        <f>HYPERLINK("https://drive.google.com/file/d/1c2ODBBiJXVOEbRBbsT4road5eCtm-qlB/view?usp=drivesdk","NURHANA AFRIDA NASUTION SERTIFIKAT BerAKHLAK")</f>
        <v>NURHANA AFRIDA NASUTION SERTIFIKAT BerAKHLAK</v>
      </c>
      <c r="K1112" s="5" t="s">
        <v>8685</v>
      </c>
      <c r="L1112" s="5" t="s">
        <v>9602</v>
      </c>
      <c r="M1112" s="5" t="s">
        <v>9603</v>
      </c>
      <c r="N1112" s="7" t="s">
        <v>9604</v>
      </c>
      <c r="O1112" s="8" t="str">
        <f>HYPERLINK("https://drive.google.com/file/d/1yNNtnb65ChF2N1IdZ_LwFqT5apS6ktoA/view?usp=drivesdk","1111_NURHANA AFRIDA NASUTION _ SERTIFIKAT BIMTEK IPASN BerAKHLASK")</f>
        <v>1111_NURHANA AFRIDA NASUTION _ SERTIFIKAT BIMTEK IPASN BerAKHLASK</v>
      </c>
      <c r="P1112" s="5" t="s">
        <v>9597</v>
      </c>
      <c r="Q1112" s="5"/>
      <c r="R1112" s="5"/>
      <c r="S1112" s="5"/>
      <c r="T1112" s="5"/>
    </row>
    <row r="1113" hidden="1">
      <c r="A1113" s="4">
        <v>45534.33002474537</v>
      </c>
      <c r="B1113" s="5" t="s">
        <v>19</v>
      </c>
      <c r="C1113" s="5" t="s">
        <v>292</v>
      </c>
      <c r="E1113" s="5" t="s">
        <v>9605</v>
      </c>
      <c r="F1113" s="5" t="s">
        <v>375</v>
      </c>
      <c r="G1113" s="5" t="s">
        <v>9606</v>
      </c>
      <c r="H1113" s="6" t="s">
        <v>9607</v>
      </c>
      <c r="I1113" s="7" t="s">
        <v>9608</v>
      </c>
      <c r="J1113" s="8" t="str">
        <f>HYPERLINK("https://drive.google.com/file/d/1mGrZFdNYIu-_miqOHqt3ogR1AywDnIF2/view?usp=drivesdk","DWI MULYATI RAHAYU NINGSIH SERTIFIKAT BerAKHLAK")</f>
        <v>DWI MULYATI RAHAYU NINGSIH SERTIFIKAT BerAKHLAK</v>
      </c>
      <c r="K1113" s="5" t="s">
        <v>9528</v>
      </c>
      <c r="L1113" s="5" t="s">
        <v>9609</v>
      </c>
      <c r="M1113" s="5" t="s">
        <v>9610</v>
      </c>
      <c r="N1113" s="7" t="s">
        <v>9611</v>
      </c>
      <c r="O1113" s="8" t="str">
        <f>HYPERLINK("https://drive.google.com/file/d/1aPLd31YbCbmA2pzP1DLyNEyHhRyXvtEP/view?usp=drivesdk","1112_DWI MULYATI RAHAYU NINGSIH _ SERTIFIKAT BIMTEK IPASN BerAKHLASK")</f>
        <v>1112_DWI MULYATI RAHAYU NINGSIH _ SERTIFIKAT BIMTEK IPASN BerAKHLASK</v>
      </c>
      <c r="P1113" s="5" t="s">
        <v>9597</v>
      </c>
      <c r="Q1113" s="5"/>
      <c r="R1113" s="5"/>
      <c r="S1113" s="5"/>
      <c r="T1113" s="5"/>
    </row>
    <row r="1114">
      <c r="A1114" s="4">
        <v>45534.33004532407</v>
      </c>
      <c r="B1114" s="5" t="s">
        <v>34</v>
      </c>
      <c r="D1114" s="5" t="s">
        <v>1206</v>
      </c>
      <c r="E1114" s="5" t="s">
        <v>9612</v>
      </c>
      <c r="F1114" s="5" t="s">
        <v>212</v>
      </c>
      <c r="G1114" s="5" t="s">
        <v>9613</v>
      </c>
      <c r="H1114" s="6" t="s">
        <v>9614</v>
      </c>
      <c r="I1114" s="7" t="s">
        <v>9615</v>
      </c>
      <c r="J1114" s="8" t="str">
        <f>HYPERLINK("https://drive.google.com/file/d/1zNwGAHvInk9Jz7uyzbtdfljvlh-JNmhL/view?usp=drivesdk","ITA TIKTIYANA  SERTIFIKAT BerAKHLAK")</f>
        <v>ITA TIKTIYANA  SERTIFIKAT BerAKHLAK</v>
      </c>
      <c r="K1114" s="5" t="s">
        <v>8685</v>
      </c>
      <c r="L1114" s="5" t="s">
        <v>9616</v>
      </c>
      <c r="M1114" s="5" t="s">
        <v>9617</v>
      </c>
      <c r="N1114" s="7" t="s">
        <v>9618</v>
      </c>
      <c r="O1114" s="8" t="str">
        <f>HYPERLINK("https://drive.google.com/file/d/1OD23QR_9WFns4VXpd2dYvAqpTtM6xVbd/view?usp=drivesdk","1113_ITA TIKTIYANA  _ SERTIFIKAT BIMTEK IPASN BerAKHLASK")</f>
        <v>1113_ITA TIKTIYANA  _ SERTIFIKAT BIMTEK IPASN BerAKHLASK</v>
      </c>
      <c r="P1114" s="5" t="s">
        <v>9597</v>
      </c>
      <c r="Q1114" s="5"/>
      <c r="R1114" s="5"/>
      <c r="S1114" s="5"/>
      <c r="T1114" s="5"/>
    </row>
    <row r="1115" hidden="1">
      <c r="A1115" s="4">
        <v>45534.33005204861</v>
      </c>
      <c r="B1115" s="5" t="s">
        <v>19</v>
      </c>
      <c r="C1115" s="5" t="s">
        <v>3471</v>
      </c>
      <c r="E1115" s="5" t="s">
        <v>9619</v>
      </c>
      <c r="F1115" s="5" t="s">
        <v>85</v>
      </c>
      <c r="G1115" s="5" t="s">
        <v>9620</v>
      </c>
      <c r="H1115" s="6" t="s">
        <v>9621</v>
      </c>
      <c r="I1115" s="7" t="s">
        <v>9622</v>
      </c>
      <c r="J1115" s="8" t="str">
        <f>HYPERLINK("https://drive.google.com/file/d/1mgGtbu8I7G9mTu7ihR7tBDcn3j4cke0K/view?usp=drivesdk","DINI ABHARINA, S.H. SERTIFIKAT BerAKHLAK")</f>
        <v>DINI ABHARINA, S.H. SERTIFIKAT BerAKHLAK</v>
      </c>
      <c r="K1115" s="5" t="s">
        <v>8685</v>
      </c>
      <c r="L1115" s="5" t="s">
        <v>9623</v>
      </c>
      <c r="M1115" s="5" t="s">
        <v>9624</v>
      </c>
      <c r="N1115" s="7" t="s">
        <v>9625</v>
      </c>
      <c r="O1115" s="8" t="str">
        <f>HYPERLINK("https://drive.google.com/file/d/1vJmwh3sLXGLzw2QRE_98Wmed8Zp6rDki/view?usp=drivesdk","1114_DINI ABHARINA, S.H. _ SERTIFIKAT BIMTEK IPASN BerAKHLASK")</f>
        <v>1114_DINI ABHARINA, S.H. _ SERTIFIKAT BIMTEK IPASN BerAKHLASK</v>
      </c>
      <c r="P1115" s="5" t="s">
        <v>9597</v>
      </c>
      <c r="Q1115" s="5"/>
      <c r="R1115" s="5"/>
      <c r="S1115" s="5"/>
      <c r="T1115" s="5"/>
    </row>
    <row r="1116">
      <c r="A1116" s="4">
        <v>45534.33005476852</v>
      </c>
      <c r="B1116" s="5" t="s">
        <v>34</v>
      </c>
      <c r="D1116" s="5" t="s">
        <v>3849</v>
      </c>
      <c r="E1116" s="5" t="s">
        <v>9626</v>
      </c>
      <c r="F1116" s="5" t="s">
        <v>37</v>
      </c>
      <c r="G1116" s="5" t="s">
        <v>9627</v>
      </c>
      <c r="H1116" s="6" t="s">
        <v>9628</v>
      </c>
      <c r="I1116" s="7" t="s">
        <v>9629</v>
      </c>
      <c r="J1116" s="8" t="str">
        <f>HYPERLINK("https://drive.google.com/file/d/1MUlq77UagGa7Gs2k330huPfK1A1uG0gF/view?usp=drivesdk","ADI SISWANTO, A.MD. SERTIFIKAT BerAKHLAK")</f>
        <v>ADI SISWANTO, A.MD. SERTIFIKAT BerAKHLAK</v>
      </c>
      <c r="K1116" s="5" t="s">
        <v>9528</v>
      </c>
      <c r="L1116" s="5" t="s">
        <v>9630</v>
      </c>
      <c r="M1116" s="5" t="s">
        <v>9631</v>
      </c>
      <c r="N1116" s="7" t="s">
        <v>9632</v>
      </c>
      <c r="O1116" s="8" t="str">
        <f>HYPERLINK("https://drive.google.com/file/d/1ZGZrvntVVyq9UlaVJCuZZu4Owf-dNmUQ/view?usp=drivesdk","1115_ADI SISWANTO, A.MD. _ SERTIFIKAT BIMTEK IPASN BerAKHLASK")</f>
        <v>1115_ADI SISWANTO, A.MD. _ SERTIFIKAT BIMTEK IPASN BerAKHLASK</v>
      </c>
      <c r="P1116" s="5" t="s">
        <v>9633</v>
      </c>
      <c r="Q1116" s="5"/>
      <c r="R1116" s="5"/>
      <c r="S1116" s="5"/>
      <c r="T1116" s="5"/>
    </row>
    <row r="1117">
      <c r="A1117" s="4">
        <v>45534.33005527778</v>
      </c>
      <c r="B1117" s="5" t="s">
        <v>34</v>
      </c>
      <c r="D1117" s="5" t="s">
        <v>1206</v>
      </c>
      <c r="E1117" s="5" t="s">
        <v>9634</v>
      </c>
      <c r="F1117" s="5" t="s">
        <v>212</v>
      </c>
      <c r="G1117" s="5" t="s">
        <v>9635</v>
      </c>
      <c r="H1117" s="6" t="s">
        <v>9636</v>
      </c>
      <c r="I1117" s="7" t="s">
        <v>9637</v>
      </c>
      <c r="J1117" s="8" t="str">
        <f>HYPERLINK("https://drive.google.com/file/d/1GRi06V3Cc8FtUyngWPuf6IJcrduQnOY4/view?usp=drivesdk","MUHAMMAD ABU SUHARJO SERTIFIKAT BerAKHLAK")</f>
        <v>MUHAMMAD ABU SUHARJO SERTIFIKAT BerAKHLAK</v>
      </c>
      <c r="K1117" s="5" t="s">
        <v>9528</v>
      </c>
      <c r="L1117" s="5" t="s">
        <v>9638</v>
      </c>
      <c r="M1117" s="5" t="s">
        <v>9639</v>
      </c>
      <c r="N1117" s="7" t="s">
        <v>9640</v>
      </c>
      <c r="O1117" s="8" t="str">
        <f>HYPERLINK("https://drive.google.com/file/d/1C7D9mPeHNzSAiKIELnrMK1k4rMb1_-vq/view?usp=drivesdk","1116_MUHAMMAD ABU SUHARJO _ SERTIFIKAT BIMTEK IPASN BerAKHLASK")</f>
        <v>1116_MUHAMMAD ABU SUHARJO _ SERTIFIKAT BIMTEK IPASN BerAKHLASK</v>
      </c>
      <c r="P1117" s="5" t="s">
        <v>9633</v>
      </c>
      <c r="Q1117" s="5"/>
      <c r="R1117" s="5"/>
      <c r="S1117" s="5"/>
      <c r="T1117" s="5"/>
    </row>
    <row r="1118">
      <c r="A1118" s="4">
        <v>45534.3300593287</v>
      </c>
      <c r="B1118" s="5" t="s">
        <v>34</v>
      </c>
      <c r="D1118" s="5" t="s">
        <v>35</v>
      </c>
      <c r="E1118" s="5" t="s">
        <v>9641</v>
      </c>
      <c r="F1118" s="5" t="s">
        <v>120</v>
      </c>
      <c r="G1118" s="5" t="s">
        <v>9642</v>
      </c>
      <c r="H1118" s="6" t="s">
        <v>9643</v>
      </c>
      <c r="I1118" s="7" t="s">
        <v>9644</v>
      </c>
      <c r="J1118" s="8" t="str">
        <f>HYPERLINK("https://drive.google.com/file/d/1E0s1ESOEvVdVjaQPyPP95ywoM-L28zee/view?usp=drivesdk","DRG EMMA FRYDA DESYANNA PAKPAHAN  SERTIFIKAT BerAKHLAK")</f>
        <v>DRG EMMA FRYDA DESYANNA PAKPAHAN  SERTIFIKAT BerAKHLAK</v>
      </c>
      <c r="K1118" s="5" t="s">
        <v>9528</v>
      </c>
      <c r="L1118" s="5" t="s">
        <v>9645</v>
      </c>
      <c r="M1118" s="5" t="s">
        <v>9646</v>
      </c>
      <c r="N1118" s="7" t="s">
        <v>9647</v>
      </c>
      <c r="O1118" s="8" t="str">
        <f>HYPERLINK("https://drive.google.com/file/d/1d-GR0XHi8UWlKNCQH1IJhcRSgyrLp8pi/view?usp=drivesdk","1117_DRG EMMA FRYDA DESYANNA PAKPAHAN  _ SERTIFIKAT BIMTEK IPASN BerAKHLASK")</f>
        <v>1117_DRG EMMA FRYDA DESYANNA PAKPAHAN  _ SERTIFIKAT BIMTEK IPASN BerAKHLASK</v>
      </c>
      <c r="P1118" s="5" t="s">
        <v>9633</v>
      </c>
      <c r="Q1118" s="5"/>
      <c r="R1118" s="5"/>
      <c r="S1118" s="5"/>
      <c r="T1118" s="5"/>
    </row>
    <row r="1119">
      <c r="A1119" s="4">
        <v>45534.33008730324</v>
      </c>
      <c r="B1119" s="5" t="s">
        <v>34</v>
      </c>
      <c r="D1119" s="5" t="s">
        <v>1206</v>
      </c>
      <c r="E1119" s="5" t="s">
        <v>9648</v>
      </c>
      <c r="F1119" s="5" t="s">
        <v>212</v>
      </c>
      <c r="G1119" s="5" t="s">
        <v>9649</v>
      </c>
      <c r="H1119" s="6" t="s">
        <v>9650</v>
      </c>
      <c r="I1119" s="7" t="s">
        <v>9651</v>
      </c>
      <c r="J1119" s="8" t="str">
        <f>HYPERLINK("https://drive.google.com/file/d/1xinKxLHB4brxVZd0m_53rb15FbcIcvrV/view?usp=drivesdk","MEGA WIRAKASIH SERTIFIKAT BerAKHLAK")</f>
        <v>MEGA WIRAKASIH SERTIFIKAT BerAKHLAK</v>
      </c>
      <c r="K1119" s="5" t="s">
        <v>8685</v>
      </c>
      <c r="L1119" s="5" t="s">
        <v>9652</v>
      </c>
      <c r="M1119" s="5" t="s">
        <v>9653</v>
      </c>
      <c r="N1119" s="7" t="s">
        <v>9654</v>
      </c>
      <c r="O1119" s="8" t="str">
        <f>HYPERLINK("https://drive.google.com/file/d/1iDuCXWPY9sNetjUUnnsftIwFtSKr6Fv9/view?usp=drivesdk","1118_MEGA WIRAKASIH _ SERTIFIKAT BIMTEK IPASN BerAKHLASK")</f>
        <v>1118_MEGA WIRAKASIH _ SERTIFIKAT BIMTEK IPASN BerAKHLASK</v>
      </c>
      <c r="P1119" s="5" t="s">
        <v>9633</v>
      </c>
      <c r="Q1119" s="5"/>
      <c r="R1119" s="5"/>
      <c r="S1119" s="5"/>
      <c r="T1119" s="5"/>
    </row>
    <row r="1120">
      <c r="A1120" s="4">
        <v>45534.33008748843</v>
      </c>
      <c r="B1120" s="5" t="s">
        <v>34</v>
      </c>
      <c r="D1120" s="5" t="s">
        <v>267</v>
      </c>
      <c r="E1120" s="5" t="s">
        <v>9655</v>
      </c>
      <c r="F1120" s="5" t="s">
        <v>212</v>
      </c>
      <c r="G1120" s="5" t="s">
        <v>9656</v>
      </c>
      <c r="H1120" s="6" t="s">
        <v>9657</v>
      </c>
      <c r="K1120" s="5" t="s">
        <v>9658</v>
      </c>
      <c r="M1120" s="5" t="s">
        <v>9659</v>
      </c>
      <c r="N1120" s="7" t="s">
        <v>9660</v>
      </c>
      <c r="O1120" s="8" t="str">
        <f>HYPERLINK("https://drive.google.com/file/d/1VNYVsrOIsZ7rdyvZHaR3VdiLRm6vy-sD/view?usp=drivesdk","1119_LELY WAHYU HARDIYANINGSIH, SAP _ SERTIFIKAT BIMTEK IPASN BerAKHLASK")</f>
        <v>1119_LELY WAHYU HARDIYANINGSIH, SAP _ SERTIFIKAT BIMTEK IPASN BerAKHLASK</v>
      </c>
      <c r="P1120" s="5" t="s">
        <v>9633</v>
      </c>
      <c r="Q1120" s="5"/>
      <c r="R1120" s="5"/>
      <c r="S1120" s="5"/>
      <c r="T1120" s="5"/>
    </row>
    <row r="1121">
      <c r="A1121" s="4">
        <v>45534.330111585645</v>
      </c>
      <c r="B1121" s="5" t="s">
        <v>34</v>
      </c>
      <c r="D1121" s="5" t="s">
        <v>9020</v>
      </c>
      <c r="E1121" s="5" t="s">
        <v>9661</v>
      </c>
      <c r="F1121" s="5" t="s">
        <v>120</v>
      </c>
      <c r="G1121" s="5" t="s">
        <v>9662</v>
      </c>
      <c r="H1121" s="6" t="s">
        <v>9663</v>
      </c>
      <c r="I1121" s="7" t="s">
        <v>9664</v>
      </c>
      <c r="J1121" s="8" t="str">
        <f>HYPERLINK("https://drive.google.com/file/d/1lrjCb2C90JKybenAYF9YteCRCfkDYLJ9/view?usp=drivesdk","RINI SUKARSI, S. Kom SERTIFIKAT BerAKHLAK")</f>
        <v>RINI SUKARSI, S. Kom SERTIFIKAT BerAKHLAK</v>
      </c>
      <c r="K1121" s="5" t="s">
        <v>8685</v>
      </c>
      <c r="L1121" s="5" t="s">
        <v>9665</v>
      </c>
      <c r="M1121" s="5" t="s">
        <v>9666</v>
      </c>
      <c r="N1121" s="7" t="s">
        <v>9667</v>
      </c>
      <c r="O1121" s="8" t="str">
        <f>HYPERLINK("https://drive.google.com/file/d/1479TvMpFoXPu8Twp2dscDDQ3hGYYWm9T/view?usp=drivesdk","1120_RINI SUKARSI, S. Kom _ SERTIFIKAT BIMTEK IPASN BerAKHLASK")</f>
        <v>1120_RINI SUKARSI, S. Kom _ SERTIFIKAT BIMTEK IPASN BerAKHLASK</v>
      </c>
      <c r="P1121" s="5" t="s">
        <v>9633</v>
      </c>
      <c r="Q1121" s="5"/>
      <c r="R1121" s="5"/>
      <c r="S1121" s="5"/>
      <c r="T1121" s="5"/>
    </row>
    <row r="1122">
      <c r="A1122" s="4">
        <v>45534.33011765046</v>
      </c>
      <c r="B1122" s="5" t="s">
        <v>34</v>
      </c>
      <c r="D1122" s="5" t="s">
        <v>1206</v>
      </c>
      <c r="E1122" s="5" t="s">
        <v>9668</v>
      </c>
      <c r="F1122" s="5" t="s">
        <v>72</v>
      </c>
      <c r="G1122" s="5" t="s">
        <v>9669</v>
      </c>
      <c r="H1122" s="6" t="s">
        <v>9670</v>
      </c>
      <c r="I1122" s="7" t="s">
        <v>9671</v>
      </c>
      <c r="J1122" s="8" t="str">
        <f>HYPERLINK("https://drive.google.com/file/d/1QBwoDocyFPyAv8vrr0SDB0zdriBfY5Gm/view?usp=drivesdk","AMIRUL WIELUDAN SURYANTO, S.KOM., S.E., M.M. SERTIFIKAT BerAKHLAK")</f>
        <v>AMIRUL WIELUDAN SURYANTO, S.KOM., S.E., M.M. SERTIFIKAT BerAKHLAK</v>
      </c>
      <c r="K1122" s="5" t="s">
        <v>9528</v>
      </c>
      <c r="L1122" s="5" t="s">
        <v>9672</v>
      </c>
      <c r="M1122" s="5" t="s">
        <v>9673</v>
      </c>
      <c r="N1122" s="7" t="s">
        <v>9674</v>
      </c>
      <c r="O1122" s="8" t="str">
        <f>HYPERLINK("https://drive.google.com/file/d/162vguYsdbMVJqr18QDcOAMMC6GxJAO-M/view?usp=drivesdk","1121_AMIRUL WIELUDAN SURYANTO, S.KOM., S.E., M.M. _ SERTIFIKAT BIMTEK IPASN BerAKHLASK")</f>
        <v>1121_AMIRUL WIELUDAN SURYANTO, S.KOM., S.E., M.M. _ SERTIFIKAT BIMTEK IPASN BerAKHLASK</v>
      </c>
      <c r="P1122" s="5" t="s">
        <v>9633</v>
      </c>
      <c r="Q1122" s="5"/>
      <c r="R1122" s="5"/>
      <c r="S1122" s="5"/>
      <c r="T1122" s="5"/>
    </row>
    <row r="1123">
      <c r="A1123" s="4">
        <v>45534.33014416667</v>
      </c>
      <c r="B1123" s="5" t="s">
        <v>34</v>
      </c>
      <c r="D1123" s="5" t="s">
        <v>1663</v>
      </c>
      <c r="E1123" s="5" t="s">
        <v>9675</v>
      </c>
      <c r="F1123" s="5" t="s">
        <v>108</v>
      </c>
      <c r="G1123" s="5" t="s">
        <v>9676</v>
      </c>
      <c r="H1123" s="6" t="s">
        <v>9677</v>
      </c>
      <c r="I1123" s="7" t="s">
        <v>9678</v>
      </c>
      <c r="J1123" s="8" t="str">
        <f>HYPERLINK("https://drive.google.com/file/d/10Dk7YqEiIW91nyHnvVaKIa6LscXu5RNt/view?usp=drivesdk","SYAMSI RIZKI GULKIANKEDI KUBANGUN SERTIFIKAT BerAKHLAK")</f>
        <v>SYAMSI RIZKI GULKIANKEDI KUBANGUN SERTIFIKAT BerAKHLAK</v>
      </c>
      <c r="K1123" s="5" t="s">
        <v>8685</v>
      </c>
      <c r="L1123" s="5" t="s">
        <v>9679</v>
      </c>
      <c r="M1123" s="5" t="s">
        <v>9680</v>
      </c>
      <c r="N1123" s="7" t="s">
        <v>9681</v>
      </c>
      <c r="O1123" s="8" t="str">
        <f>HYPERLINK("https://drive.google.com/file/d/1K6U7M_gQLdeBZXH0HrCYemuFA7ud1uPa/view?usp=drivesdk","1122_SYAMSI RIZKI GULKIANKEDI KUBANGUN _ SERTIFIKAT BIMTEK IPASN BerAKHLASK")</f>
        <v>1122_SYAMSI RIZKI GULKIANKEDI KUBANGUN _ SERTIFIKAT BIMTEK IPASN BerAKHLASK</v>
      </c>
      <c r="P1123" s="5" t="s">
        <v>9682</v>
      </c>
      <c r="Q1123" s="5"/>
      <c r="R1123" s="5"/>
      <c r="S1123" s="5"/>
      <c r="T1123" s="5"/>
    </row>
    <row r="1124">
      <c r="A1124" s="4">
        <v>45534.33017605324</v>
      </c>
      <c r="B1124" s="5" t="s">
        <v>34</v>
      </c>
      <c r="D1124" s="5" t="s">
        <v>35</v>
      </c>
      <c r="E1124" s="5" t="s">
        <v>9267</v>
      </c>
      <c r="F1124" s="5" t="s">
        <v>37</v>
      </c>
      <c r="G1124" s="5" t="s">
        <v>9683</v>
      </c>
      <c r="H1124" s="6" t="s">
        <v>9684</v>
      </c>
      <c r="I1124" s="7" t="s">
        <v>9685</v>
      </c>
      <c r="J1124" s="8" t="str">
        <f>HYPERLINK("https://drive.google.com/file/d/1lRM37qj36VvVLam1KF2NoN_GcKvFghAQ/view?usp=drivesdk","INDRIANINGSIH SERTIFIKAT BerAKHLAK")</f>
        <v>INDRIANINGSIH SERTIFIKAT BerAKHLAK</v>
      </c>
      <c r="K1124" s="5" t="s">
        <v>8685</v>
      </c>
      <c r="L1124" s="5" t="s">
        <v>9686</v>
      </c>
      <c r="M1124" s="5" t="s">
        <v>9687</v>
      </c>
      <c r="N1124" s="7" t="s">
        <v>9688</v>
      </c>
      <c r="O1124" s="8" t="str">
        <f>HYPERLINK("https://drive.google.com/file/d/12Hau6HZJYmuoDCsDtsl_AKpxerKKXbAM/view?usp=drivesdk","1123_INDRIANINGSIH _ SERTIFIKAT BIMTEK IPASN BerAKHLASK")</f>
        <v>1123_INDRIANINGSIH _ SERTIFIKAT BIMTEK IPASN BerAKHLASK</v>
      </c>
      <c r="P1124" s="5" t="s">
        <v>9682</v>
      </c>
      <c r="Q1124" s="5"/>
      <c r="R1124" s="5"/>
      <c r="S1124" s="5"/>
      <c r="T1124" s="5"/>
    </row>
    <row r="1125">
      <c r="A1125" s="4">
        <v>45534.330178171294</v>
      </c>
      <c r="B1125" s="5" t="s">
        <v>34</v>
      </c>
      <c r="D1125" s="5" t="s">
        <v>4775</v>
      </c>
      <c r="E1125" s="5" t="s">
        <v>9689</v>
      </c>
      <c r="F1125" s="5" t="s">
        <v>524</v>
      </c>
      <c r="G1125" s="5" t="s">
        <v>9690</v>
      </c>
      <c r="H1125" s="6" t="s">
        <v>9691</v>
      </c>
      <c r="I1125" s="7" t="s">
        <v>9692</v>
      </c>
      <c r="J1125" s="8" t="str">
        <f>HYPERLINK("https://drive.google.com/file/d/1ked0961skiSPtCfzpCQ0faSU3We-8LfT/view?usp=drivesdk","AMALIA ROSINTA DEWI SERTIFIKAT BerAKHLAK")</f>
        <v>AMALIA ROSINTA DEWI SERTIFIKAT BerAKHLAK</v>
      </c>
      <c r="K1125" s="5" t="s">
        <v>9528</v>
      </c>
      <c r="L1125" s="5" t="s">
        <v>9693</v>
      </c>
      <c r="M1125" s="5" t="s">
        <v>9694</v>
      </c>
      <c r="N1125" s="7" t="s">
        <v>9695</v>
      </c>
      <c r="O1125" s="8" t="str">
        <f>HYPERLINK("https://drive.google.com/file/d/18JZM1Ia5jXd_ZaR00z5Me9sCb4Acd-RM/view?usp=drivesdk","1124_AMALIA ROSINTA DEWI _ SERTIFIKAT BIMTEK IPASN BerAKHLASK")</f>
        <v>1124_AMALIA ROSINTA DEWI _ SERTIFIKAT BIMTEK IPASN BerAKHLASK</v>
      </c>
      <c r="P1125" s="5" t="s">
        <v>9682</v>
      </c>
      <c r="Q1125" s="5"/>
      <c r="R1125" s="5"/>
      <c r="S1125" s="5"/>
      <c r="T1125" s="5"/>
    </row>
    <row r="1126">
      <c r="A1126" s="4">
        <v>45534.33018201389</v>
      </c>
      <c r="B1126" s="5" t="s">
        <v>34</v>
      </c>
      <c r="D1126" s="5" t="s">
        <v>522</v>
      </c>
      <c r="E1126" s="5" t="s">
        <v>9696</v>
      </c>
      <c r="F1126" s="5" t="s">
        <v>524</v>
      </c>
      <c r="G1126" s="5" t="s">
        <v>9697</v>
      </c>
      <c r="H1126" s="6" t="s">
        <v>9698</v>
      </c>
      <c r="I1126" s="7" t="s">
        <v>9699</v>
      </c>
      <c r="J1126" s="8" t="str">
        <f>HYPERLINK("https://drive.google.com/file/d/15WYwQd_n2nY_yctBp8D5VQVYK6OaeAXU/view?usp=drivesdk","EDI SAPUTERA WIDJAYA SERTIFIKAT BerAKHLAK")</f>
        <v>EDI SAPUTERA WIDJAYA SERTIFIKAT BerAKHLAK</v>
      </c>
      <c r="K1126" s="5" t="s">
        <v>9528</v>
      </c>
      <c r="L1126" s="5" t="s">
        <v>9700</v>
      </c>
      <c r="M1126" s="5" t="s">
        <v>9701</v>
      </c>
      <c r="N1126" s="7" t="s">
        <v>9702</v>
      </c>
      <c r="O1126" s="8" t="str">
        <f>HYPERLINK("https://drive.google.com/file/d/141Fj4gI8jjEd2mRdAHV6Zln_aceNNeMF/view?usp=drivesdk","1125_EDI SAPUTERA WIDJAYA _ SERTIFIKAT BIMTEK IPASN BerAKHLASK")</f>
        <v>1125_EDI SAPUTERA WIDJAYA _ SERTIFIKAT BIMTEK IPASN BerAKHLASK</v>
      </c>
      <c r="P1126" s="5" t="s">
        <v>9682</v>
      </c>
      <c r="Q1126" s="5"/>
      <c r="R1126" s="5"/>
      <c r="S1126" s="5"/>
      <c r="T1126" s="5"/>
    </row>
    <row r="1127">
      <c r="A1127" s="4">
        <v>45534.330191064815</v>
      </c>
      <c r="B1127" s="5" t="s">
        <v>34</v>
      </c>
      <c r="D1127" s="5" t="s">
        <v>604</v>
      </c>
      <c r="E1127" s="5" t="s">
        <v>9703</v>
      </c>
      <c r="F1127" s="5" t="s">
        <v>212</v>
      </c>
      <c r="G1127" s="5" t="s">
        <v>9704</v>
      </c>
      <c r="H1127" s="6" t="s">
        <v>9705</v>
      </c>
      <c r="I1127" s="7" t="s">
        <v>9706</v>
      </c>
      <c r="J1127" s="8" t="str">
        <f>HYPERLINK("https://drive.google.com/file/d/1qoekwrOZaRLTzZDLA8by6fWIpcWzkWEe/view?usp=drivesdk","TRISNAWATI AMAMEHI SERTIFIKAT BerAKHLAK")</f>
        <v>TRISNAWATI AMAMEHI SERTIFIKAT BerAKHLAK</v>
      </c>
      <c r="K1127" s="5" t="s">
        <v>9565</v>
      </c>
      <c r="L1127" s="5" t="s">
        <v>9707</v>
      </c>
      <c r="M1127" s="5" t="s">
        <v>9708</v>
      </c>
      <c r="N1127" s="7" t="s">
        <v>9709</v>
      </c>
      <c r="O1127" s="8" t="str">
        <f>HYPERLINK("https://drive.google.com/file/d/12hy3OHZfuxqDJCvgUTQ9qOnIdqjDjqrQ/view?usp=drivesdk","1126_TRISNAWATI AMAMEHI _ SERTIFIKAT BIMTEK IPASN BerAKHLASK")</f>
        <v>1126_TRISNAWATI AMAMEHI _ SERTIFIKAT BIMTEK IPASN BerAKHLASK</v>
      </c>
      <c r="P1127" s="5" t="s">
        <v>9682</v>
      </c>
      <c r="Q1127" s="5"/>
      <c r="R1127" s="5"/>
      <c r="S1127" s="5"/>
      <c r="T1127" s="5"/>
    </row>
    <row r="1128">
      <c r="A1128" s="4">
        <v>45534.33019219908</v>
      </c>
      <c r="B1128" s="5" t="s">
        <v>34</v>
      </c>
      <c r="D1128" s="5" t="s">
        <v>1768</v>
      </c>
      <c r="E1128" s="5" t="s">
        <v>9710</v>
      </c>
      <c r="F1128" s="5" t="s">
        <v>108</v>
      </c>
      <c r="G1128" s="5" t="s">
        <v>9711</v>
      </c>
      <c r="H1128" s="6" t="s">
        <v>9712</v>
      </c>
      <c r="I1128" s="7" t="s">
        <v>9713</v>
      </c>
      <c r="J1128" s="8" t="str">
        <f>HYPERLINK("https://drive.google.com/file/d/1QMEvgN6tWba6u6SHl9cK_Qi1_1tTtGto/view?usp=drivesdk","LODIA MARTHA LATUHARHARY  SERTIFIKAT BerAKHLAK")</f>
        <v>LODIA MARTHA LATUHARHARY  SERTIFIKAT BerAKHLAK</v>
      </c>
      <c r="K1128" s="5" t="s">
        <v>9528</v>
      </c>
      <c r="L1128" s="5" t="s">
        <v>9714</v>
      </c>
      <c r="M1128" s="5" t="s">
        <v>9715</v>
      </c>
      <c r="N1128" s="7" t="s">
        <v>9716</v>
      </c>
      <c r="O1128" s="8" t="str">
        <f>HYPERLINK("https://drive.google.com/file/d/1KCt08Ql0rPtyUMSQokXnVJ8mNtKXyRkU/view?usp=drivesdk","1127_LODIA MARTHA LATUHARHARY  _ SERTIFIKAT BIMTEK IPASN BerAKHLASK")</f>
        <v>1127_LODIA MARTHA LATUHARHARY  _ SERTIFIKAT BIMTEK IPASN BerAKHLASK</v>
      </c>
      <c r="P1128" s="5" t="s">
        <v>9682</v>
      </c>
      <c r="Q1128" s="5"/>
      <c r="R1128" s="5"/>
      <c r="S1128" s="5"/>
      <c r="T1128" s="5"/>
    </row>
    <row r="1129">
      <c r="A1129" s="4">
        <v>45534.33020862269</v>
      </c>
      <c r="B1129" s="5" t="s">
        <v>34</v>
      </c>
      <c r="D1129" s="5" t="s">
        <v>1206</v>
      </c>
      <c r="E1129" s="5" t="s">
        <v>9717</v>
      </c>
      <c r="F1129" s="5" t="s">
        <v>524</v>
      </c>
      <c r="G1129" s="5" t="s">
        <v>9718</v>
      </c>
      <c r="H1129" s="6" t="s">
        <v>9719</v>
      </c>
      <c r="I1129" s="7" t="s">
        <v>9720</v>
      </c>
      <c r="J1129" s="8" t="str">
        <f>HYPERLINK("https://drive.google.com/file/d/19cAL8B29JiAFwWkmB2HOiN3_qrPKHU_5/view?usp=drivesdk","IDA SETIYOWATI,S.Kep,Ns SERTIFIKAT BerAKHLAK")</f>
        <v>IDA SETIYOWATI,S.Kep,Ns SERTIFIKAT BerAKHLAK</v>
      </c>
      <c r="K1129" s="5" t="s">
        <v>9528</v>
      </c>
      <c r="L1129" s="5" t="s">
        <v>9721</v>
      </c>
      <c r="M1129" s="5" t="s">
        <v>9722</v>
      </c>
      <c r="N1129" s="7" t="s">
        <v>9723</v>
      </c>
      <c r="O1129" s="8" t="str">
        <f>HYPERLINK("https://drive.google.com/file/d/1V6uiq4El1D50WL4qPcEyXi0O8XowhZu9/view?usp=drivesdk","1128_IDA SETIYOWATI,S.Kep,Ns _ SERTIFIKAT BIMTEK IPASN BerAKHLASK")</f>
        <v>1128_IDA SETIYOWATI,S.Kep,Ns _ SERTIFIKAT BIMTEK IPASN BerAKHLASK</v>
      </c>
      <c r="P1129" s="5" t="s">
        <v>9724</v>
      </c>
      <c r="Q1129" s="5"/>
      <c r="R1129" s="5"/>
      <c r="S1129" s="5"/>
      <c r="T1129" s="5"/>
    </row>
    <row r="1130">
      <c r="A1130" s="4">
        <v>45534.33021666667</v>
      </c>
      <c r="B1130" s="5" t="s">
        <v>34</v>
      </c>
      <c r="D1130" s="5" t="s">
        <v>35</v>
      </c>
      <c r="E1130" s="5" t="s">
        <v>9725</v>
      </c>
      <c r="F1130" s="5" t="s">
        <v>212</v>
      </c>
      <c r="G1130" s="5" t="s">
        <v>9726</v>
      </c>
      <c r="H1130" s="6" t="s">
        <v>9727</v>
      </c>
      <c r="I1130" s="7" t="s">
        <v>9728</v>
      </c>
      <c r="J1130" s="8" t="str">
        <f>HYPERLINK("https://drive.google.com/file/d/1nYNCTng-XHb5UUYq08v9707zmz7u1fnG/view?usp=drivesdk","NENENG KARMILAH SERTIFIKAT BerAKHLAK")</f>
        <v>NENENG KARMILAH SERTIFIKAT BerAKHLAK</v>
      </c>
      <c r="K1130" s="5" t="s">
        <v>9528</v>
      </c>
      <c r="L1130" s="5" t="s">
        <v>9729</v>
      </c>
      <c r="M1130" s="5" t="s">
        <v>9730</v>
      </c>
      <c r="N1130" s="7" t="s">
        <v>9731</v>
      </c>
      <c r="O1130" s="8" t="str">
        <f>HYPERLINK("https://drive.google.com/file/d/1Zvdqgg2EtYq4BR8xcZsYbxaCKvrdq4f-/view?usp=drivesdk","1129_NENENG KARMILAH _ SERTIFIKAT BIMTEK IPASN BerAKHLASK")</f>
        <v>1129_NENENG KARMILAH _ SERTIFIKAT BIMTEK IPASN BerAKHLASK</v>
      </c>
      <c r="P1130" s="5" t="s">
        <v>9724</v>
      </c>
      <c r="Q1130" s="5"/>
      <c r="R1130" s="5"/>
      <c r="S1130" s="5"/>
      <c r="T1130" s="5"/>
    </row>
    <row r="1131" hidden="1">
      <c r="A1131" s="4">
        <v>45534.33021857639</v>
      </c>
      <c r="B1131" s="5" t="s">
        <v>19</v>
      </c>
      <c r="C1131" s="5" t="s">
        <v>3301</v>
      </c>
      <c r="E1131" s="5" t="s">
        <v>9732</v>
      </c>
      <c r="F1131" s="5" t="s">
        <v>108</v>
      </c>
      <c r="G1131" s="5" t="s">
        <v>9733</v>
      </c>
      <c r="H1131" s="6" t="s">
        <v>9734</v>
      </c>
      <c r="I1131" s="7" t="s">
        <v>9735</v>
      </c>
      <c r="J1131" s="8" t="str">
        <f>HYPERLINK("https://drive.google.com/file/d/11hMOjyLL_DB05W15SvTP8iXkAJlskgSn/view?usp=drivesdk","KURNIAWAN PAMBUDI  SERTIFIKAT BerAKHLAK")</f>
        <v>KURNIAWAN PAMBUDI  SERTIFIKAT BerAKHLAK</v>
      </c>
      <c r="K1131" s="5" t="s">
        <v>9528</v>
      </c>
      <c r="L1131" s="5" t="s">
        <v>9736</v>
      </c>
      <c r="M1131" s="5" t="s">
        <v>9737</v>
      </c>
      <c r="N1131" s="7" t="s">
        <v>9738</v>
      </c>
      <c r="O1131" s="8" t="str">
        <f>HYPERLINK("https://drive.google.com/file/d/1cZKwW_2u_-dL7EQvz6CPOShsafOzJFzm/view?usp=drivesdk","1130_KURNIAWAN PAMBUDI  _ SERTIFIKAT BIMTEK IPASN BerAKHLASK")</f>
        <v>1130_KURNIAWAN PAMBUDI  _ SERTIFIKAT BIMTEK IPASN BerAKHLASK</v>
      </c>
      <c r="P1131" s="5" t="s">
        <v>9724</v>
      </c>
      <c r="Q1131" s="5"/>
      <c r="R1131" s="5"/>
      <c r="S1131" s="5"/>
      <c r="T1131" s="5"/>
    </row>
    <row r="1132" hidden="1">
      <c r="A1132" s="4">
        <v>45534.33021865741</v>
      </c>
      <c r="B1132" s="5" t="s">
        <v>19</v>
      </c>
      <c r="C1132" s="5" t="s">
        <v>292</v>
      </c>
      <c r="E1132" s="5" t="s">
        <v>9739</v>
      </c>
      <c r="F1132" s="5" t="s">
        <v>72</v>
      </c>
      <c r="G1132" s="5" t="s">
        <v>9740</v>
      </c>
      <c r="H1132" s="6" t="s">
        <v>9741</v>
      </c>
      <c r="K1132" s="5" t="s">
        <v>9742</v>
      </c>
      <c r="M1132" s="5" t="s">
        <v>9743</v>
      </c>
      <c r="N1132" s="7" t="s">
        <v>9744</v>
      </c>
      <c r="O1132" s="8" t="str">
        <f>HYPERLINK("https://drive.google.com/file/d/1eaOTON0957rGyttAqa4JJApJAcyTcqve/view?usp=drivesdk","1131_MOHAMMAD ARIEF ARYO W, S.Kep _ SERTIFIKAT BIMTEK IPASN BerAKHLASK")</f>
        <v>1131_MOHAMMAD ARIEF ARYO W, S.Kep _ SERTIFIKAT BIMTEK IPASN BerAKHLASK</v>
      </c>
      <c r="P1132" s="5" t="s">
        <v>9724</v>
      </c>
      <c r="Q1132" s="5"/>
      <c r="R1132" s="5"/>
      <c r="S1132" s="5"/>
      <c r="T1132" s="5"/>
    </row>
    <row r="1133">
      <c r="A1133" s="4">
        <v>45534.33022392361</v>
      </c>
      <c r="B1133" s="5" t="s">
        <v>34</v>
      </c>
      <c r="D1133" s="5" t="s">
        <v>3849</v>
      </c>
      <c r="E1133" s="5" t="s">
        <v>9745</v>
      </c>
      <c r="F1133" s="5" t="s">
        <v>715</v>
      </c>
      <c r="G1133" s="5" t="s">
        <v>9746</v>
      </c>
      <c r="H1133" s="6" t="s">
        <v>9747</v>
      </c>
      <c r="K1133" s="5" t="s">
        <v>9742</v>
      </c>
      <c r="M1133" s="5" t="s">
        <v>9748</v>
      </c>
      <c r="N1133" s="7" t="s">
        <v>9749</v>
      </c>
      <c r="O1133" s="8" t="str">
        <f>HYPERLINK("https://drive.google.com/file/d/1cGSsU9dMqLUZqj327bA-sG5v00be-fLf/view?usp=drivesdk","1132_DEA RISCA APRILLIANI _ SERTIFIKAT BIMTEK IPASN BerAKHLASK")</f>
        <v>1132_DEA RISCA APRILLIANI _ SERTIFIKAT BIMTEK IPASN BerAKHLASK</v>
      </c>
      <c r="P1133" s="5" t="s">
        <v>9724</v>
      </c>
      <c r="Q1133" s="5"/>
      <c r="R1133" s="5"/>
      <c r="S1133" s="5"/>
      <c r="T1133" s="5"/>
    </row>
    <row r="1134">
      <c r="A1134" s="4">
        <v>45534.33022697917</v>
      </c>
      <c r="B1134" s="5" t="s">
        <v>34</v>
      </c>
      <c r="D1134" s="5" t="s">
        <v>267</v>
      </c>
      <c r="E1134" s="5" t="s">
        <v>9750</v>
      </c>
      <c r="F1134" s="5" t="s">
        <v>37</v>
      </c>
      <c r="G1134" s="5" t="s">
        <v>9751</v>
      </c>
      <c r="H1134" s="6" t="s">
        <v>9752</v>
      </c>
      <c r="K1134" s="5" t="s">
        <v>9742</v>
      </c>
      <c r="M1134" s="5" t="s">
        <v>9753</v>
      </c>
      <c r="N1134" s="7" t="s">
        <v>9754</v>
      </c>
      <c r="O1134" s="8" t="str">
        <f>HYPERLINK("https://drive.google.com/file/d/1frDYpqdhfdsNpmnhZ5av6d6XljYyQZCO/view?usp=drivesdk","1133_SRI SARIASIH, S.E. _ SERTIFIKAT BIMTEK IPASN BerAKHLASK")</f>
        <v>1133_SRI SARIASIH, S.E. _ SERTIFIKAT BIMTEK IPASN BerAKHLASK</v>
      </c>
      <c r="P1134" s="5" t="s">
        <v>9724</v>
      </c>
      <c r="Q1134" s="5"/>
      <c r="R1134" s="5"/>
      <c r="S1134" s="5"/>
      <c r="T1134" s="5"/>
    </row>
    <row r="1135">
      <c r="A1135" s="4">
        <v>45534.33022912037</v>
      </c>
      <c r="B1135" s="5" t="s">
        <v>34</v>
      </c>
      <c r="D1135" s="5" t="s">
        <v>1206</v>
      </c>
      <c r="E1135" s="5" t="s">
        <v>9755</v>
      </c>
      <c r="F1135" s="5" t="s">
        <v>375</v>
      </c>
      <c r="G1135" s="5" t="s">
        <v>9756</v>
      </c>
      <c r="H1135" s="6" t="s">
        <v>9757</v>
      </c>
      <c r="K1135" s="5" t="s">
        <v>9742</v>
      </c>
      <c r="M1135" s="5" t="s">
        <v>9758</v>
      </c>
      <c r="N1135" s="7" t="s">
        <v>9759</v>
      </c>
      <c r="O1135" s="8" t="str">
        <f>HYPERLINK("https://drive.google.com/file/d/1hwAkdI0HRzAg7NlfcGspOg0sFOTmZIIM/view?usp=drivesdk","1134_SIGIT PURWANTO, S.Pd. _ SERTIFIKAT BIMTEK IPASN BerAKHLASK")</f>
        <v>1134_SIGIT PURWANTO, S.Pd. _ SERTIFIKAT BIMTEK IPASN BerAKHLASK</v>
      </c>
      <c r="P1135" s="5" t="s">
        <v>9760</v>
      </c>
      <c r="Q1135" s="5"/>
      <c r="R1135" s="5"/>
      <c r="S1135" s="5"/>
      <c r="T1135" s="5"/>
    </row>
    <row r="1136">
      <c r="A1136" s="4">
        <v>45534.33023490741</v>
      </c>
      <c r="B1136" s="5" t="s">
        <v>34</v>
      </c>
      <c r="D1136" s="5" t="s">
        <v>1206</v>
      </c>
      <c r="E1136" s="5" t="s">
        <v>9761</v>
      </c>
      <c r="F1136" s="5" t="s">
        <v>37</v>
      </c>
      <c r="G1136" s="5" t="s">
        <v>9762</v>
      </c>
      <c r="H1136" s="6" t="s">
        <v>9763</v>
      </c>
      <c r="K1136" s="5" t="s">
        <v>9742</v>
      </c>
      <c r="M1136" s="5" t="s">
        <v>9764</v>
      </c>
      <c r="N1136" s="7" t="s">
        <v>9765</v>
      </c>
      <c r="O1136" s="8" t="str">
        <f>HYPERLINK("https://drive.google.com/file/d/1Sfudl8bPsZ2jXJ5iIqVTCTKD7plblCcE/view?usp=drivesdk","1135_ARIEF BUDIMAN, S.Pd.SD _ SERTIFIKAT BIMTEK IPASN BerAKHLASK")</f>
        <v>1135_ARIEF BUDIMAN, S.Pd.SD _ SERTIFIKAT BIMTEK IPASN BerAKHLASK</v>
      </c>
      <c r="P1136" s="5" t="s">
        <v>9760</v>
      </c>
      <c r="Q1136" s="5"/>
      <c r="R1136" s="5"/>
      <c r="S1136" s="5"/>
      <c r="T1136" s="5"/>
    </row>
    <row r="1137">
      <c r="A1137" s="4">
        <v>45534.330246655096</v>
      </c>
      <c r="B1137" s="5" t="s">
        <v>34</v>
      </c>
      <c r="D1137" s="5" t="s">
        <v>9020</v>
      </c>
      <c r="E1137" s="5" t="s">
        <v>9766</v>
      </c>
      <c r="F1137" s="5" t="s">
        <v>120</v>
      </c>
      <c r="G1137" s="5" t="s">
        <v>9767</v>
      </c>
      <c r="H1137" s="6" t="s">
        <v>9768</v>
      </c>
      <c r="K1137" s="5" t="s">
        <v>9742</v>
      </c>
      <c r="M1137" s="5" t="s">
        <v>9769</v>
      </c>
      <c r="N1137" s="7" t="s">
        <v>9770</v>
      </c>
      <c r="O1137" s="8" t="str">
        <f>HYPERLINK("https://drive.google.com/file/d/18p137JiTG2olyVVOWwUMyjySpES65hW5/view?usp=drivesdk","1136_LOLASARI NOVELLY HUTABARAT, M.M _ SERTIFIKAT BIMTEK IPASN BerAKHLASK")</f>
        <v>1136_LOLASARI NOVELLY HUTABARAT, M.M _ SERTIFIKAT BIMTEK IPASN BerAKHLASK</v>
      </c>
      <c r="P1137" s="5" t="s">
        <v>9760</v>
      </c>
      <c r="Q1137" s="5"/>
      <c r="R1137" s="5"/>
      <c r="S1137" s="5"/>
      <c r="T1137" s="5"/>
    </row>
    <row r="1138">
      <c r="A1138" s="4">
        <v>45534.33027152778</v>
      </c>
      <c r="B1138" s="5" t="s">
        <v>34</v>
      </c>
      <c r="D1138" s="5" t="s">
        <v>3432</v>
      </c>
      <c r="E1138" s="5" t="s">
        <v>9771</v>
      </c>
      <c r="F1138" s="5" t="s">
        <v>524</v>
      </c>
      <c r="G1138" s="5" t="s">
        <v>9772</v>
      </c>
      <c r="H1138" s="6" t="s">
        <v>9773</v>
      </c>
      <c r="I1138" s="7" t="s">
        <v>9774</v>
      </c>
      <c r="J1138" s="8" t="str">
        <f>HYPERLINK("https://drive.google.com/file/d/1jYzFdlTqE9V4T313L--zJqRQ0qvrVZn_/view?usp=drivesdk","JOHN MAX HAKIM, Amd.Kep SERTIFIKAT BerAKHLAK")</f>
        <v>JOHN MAX HAKIM, Amd.Kep SERTIFIKAT BerAKHLAK</v>
      </c>
      <c r="K1138" s="5" t="s">
        <v>8685</v>
      </c>
      <c r="L1138" s="5" t="s">
        <v>9775</v>
      </c>
      <c r="M1138" s="5" t="s">
        <v>9776</v>
      </c>
      <c r="N1138" s="7" t="s">
        <v>9777</v>
      </c>
      <c r="O1138" s="8" t="str">
        <f>HYPERLINK("https://drive.google.com/file/d/1Yd0CNtYrKd1nB_nEr6thTe1yxMAm34nb/view?usp=drivesdk","1137_JOHN MAX HAKIM, Amd.Kep _ SERTIFIKAT BIMTEK IPASN BerAKHLASK")</f>
        <v>1137_JOHN MAX HAKIM, Amd.Kep _ SERTIFIKAT BIMTEK IPASN BerAKHLASK</v>
      </c>
      <c r="P1138" s="5" t="s">
        <v>9760</v>
      </c>
      <c r="Q1138" s="5"/>
      <c r="R1138" s="5"/>
      <c r="S1138" s="5"/>
      <c r="T1138" s="5"/>
    </row>
    <row r="1139">
      <c r="A1139" s="4">
        <v>45534.33029381944</v>
      </c>
      <c r="B1139" s="5" t="s">
        <v>34</v>
      </c>
      <c r="D1139" s="5" t="s">
        <v>35</v>
      </c>
      <c r="E1139" s="5" t="s">
        <v>9778</v>
      </c>
      <c r="F1139" s="5" t="s">
        <v>212</v>
      </c>
      <c r="G1139" s="5" t="s">
        <v>9779</v>
      </c>
      <c r="H1139" s="6" t="s">
        <v>9780</v>
      </c>
      <c r="I1139" s="7" t="s">
        <v>9781</v>
      </c>
      <c r="J1139" s="8" t="str">
        <f>HYPERLINK("https://drive.google.com/file/d/17-anN9SX5zIqm9GO5bH_aMo5lg-l-YTh/view?usp=drivesdk","MAMAT HENDRAWAN  SERTIFIKAT BerAKHLAK")</f>
        <v>MAMAT HENDRAWAN  SERTIFIKAT BerAKHLAK</v>
      </c>
      <c r="K1139" s="5" t="s">
        <v>9528</v>
      </c>
      <c r="L1139" s="5" t="s">
        <v>9782</v>
      </c>
      <c r="M1139" s="5" t="s">
        <v>9783</v>
      </c>
      <c r="N1139" s="7" t="s">
        <v>9784</v>
      </c>
      <c r="O1139" s="8" t="str">
        <f>HYPERLINK("https://drive.google.com/file/d/1BRYN0a0OicVDisPHN_CgbbkRNnsDKlf6/view?usp=drivesdk","1138_MAMAT HENDRAWAN  _ SERTIFIKAT BIMTEK IPASN BerAKHLASK")</f>
        <v>1138_MAMAT HENDRAWAN  _ SERTIFIKAT BIMTEK IPASN BerAKHLASK</v>
      </c>
      <c r="P1139" s="5" t="s">
        <v>9760</v>
      </c>
      <c r="Q1139" s="5"/>
      <c r="R1139" s="5"/>
      <c r="S1139" s="5"/>
      <c r="T1139" s="5"/>
    </row>
    <row r="1140">
      <c r="A1140" s="4">
        <v>45534.33033505787</v>
      </c>
      <c r="B1140" s="5" t="s">
        <v>34</v>
      </c>
      <c r="D1140" s="5" t="s">
        <v>9394</v>
      </c>
      <c r="E1140" s="5" t="s">
        <v>9785</v>
      </c>
      <c r="F1140" s="5" t="s">
        <v>72</v>
      </c>
      <c r="G1140" s="5" t="s">
        <v>9786</v>
      </c>
      <c r="H1140" s="6" t="s">
        <v>9787</v>
      </c>
      <c r="I1140" s="7" t="s">
        <v>9788</v>
      </c>
      <c r="J1140" s="8" t="str">
        <f>HYPERLINK("https://drive.google.com/file/d/1dZ0QzSbwgL9oaqZRlIEiEtW8Xv76uGg1/view?usp=drivesdk","VIVI OKTRIANA SERTIFIKAT BerAKHLAK")</f>
        <v>VIVI OKTRIANA SERTIFIKAT BerAKHLAK</v>
      </c>
      <c r="K1140" s="5" t="s">
        <v>8685</v>
      </c>
      <c r="L1140" s="5" t="s">
        <v>9789</v>
      </c>
      <c r="M1140" s="5" t="s">
        <v>9790</v>
      </c>
      <c r="N1140" s="7" t="s">
        <v>9791</v>
      </c>
      <c r="O1140" s="8" t="str">
        <f>HYPERLINK("https://drive.google.com/file/d/1bXac-lStQGhcaFf1M-K4RQQTCBtpye4X/view?usp=drivesdk","1139_VIVI OKTRIANA _ SERTIFIKAT BIMTEK IPASN BerAKHLASK")</f>
        <v>1139_VIVI OKTRIANA _ SERTIFIKAT BIMTEK IPASN BerAKHLASK</v>
      </c>
      <c r="P1140" s="5" t="s">
        <v>9792</v>
      </c>
      <c r="Q1140" s="5"/>
      <c r="R1140" s="5"/>
      <c r="S1140" s="5"/>
      <c r="T1140" s="5"/>
    </row>
    <row r="1141">
      <c r="A1141" s="4">
        <v>45534.33034049769</v>
      </c>
      <c r="B1141" s="5" t="s">
        <v>34</v>
      </c>
      <c r="D1141" s="5" t="s">
        <v>1206</v>
      </c>
      <c r="E1141" s="5" t="s">
        <v>9793</v>
      </c>
      <c r="F1141" s="5" t="s">
        <v>37</v>
      </c>
      <c r="G1141" s="5" t="s">
        <v>9794</v>
      </c>
      <c r="H1141" s="6" t="s">
        <v>9795</v>
      </c>
      <c r="I1141" s="7" t="s">
        <v>9796</v>
      </c>
      <c r="J1141" s="8" t="str">
        <f>HYPERLINK("https://drive.google.com/file/d/1jv4aP7ipvk6mgnM0r06ZKiT0EbVp_wAu/view?usp=drivesdk","IKE FEBRIWATI SUPRAYITNO SERTIFIKAT BerAKHLAK")</f>
        <v>IKE FEBRIWATI SUPRAYITNO SERTIFIKAT BerAKHLAK</v>
      </c>
      <c r="K1141" s="5" t="s">
        <v>9528</v>
      </c>
      <c r="L1141" s="5" t="s">
        <v>9797</v>
      </c>
      <c r="M1141" s="5" t="s">
        <v>9798</v>
      </c>
      <c r="N1141" s="7" t="s">
        <v>9799</v>
      </c>
      <c r="O1141" s="8" t="str">
        <f>HYPERLINK("https://drive.google.com/file/d/1Q3y5CbMp1lswGyNUdknRQJTF7q8TwvIX/view?usp=drivesdk","1140_IKE FEBRIWATI SUPRAYITNO _ SERTIFIKAT BIMTEK IPASN BerAKHLASK")</f>
        <v>1140_IKE FEBRIWATI SUPRAYITNO _ SERTIFIKAT BIMTEK IPASN BerAKHLASK</v>
      </c>
      <c r="P1141" s="5" t="s">
        <v>9792</v>
      </c>
      <c r="Q1141" s="5"/>
      <c r="R1141" s="5"/>
      <c r="S1141" s="5"/>
      <c r="T1141" s="5"/>
    </row>
    <row r="1142">
      <c r="A1142" s="4">
        <v>45534.33036060185</v>
      </c>
      <c r="B1142" s="5" t="s">
        <v>34</v>
      </c>
      <c r="D1142" s="5" t="s">
        <v>1206</v>
      </c>
      <c r="E1142" s="5" t="s">
        <v>9800</v>
      </c>
      <c r="F1142" s="5" t="s">
        <v>212</v>
      </c>
      <c r="G1142" s="5" t="s">
        <v>9801</v>
      </c>
      <c r="H1142" s="6" t="s">
        <v>9802</v>
      </c>
      <c r="I1142" s="7" t="s">
        <v>9803</v>
      </c>
      <c r="J1142" s="8" t="str">
        <f>HYPERLINK("https://drive.google.com/file/d/1cvU66b98db_UBcioiPnCtm9lT8e95KTd/view?usp=drivesdk","KUNARSIH KUNARSIH  SERTIFIKAT BerAKHLAK")</f>
        <v>KUNARSIH KUNARSIH  SERTIFIKAT BerAKHLAK</v>
      </c>
      <c r="K1142" s="5" t="s">
        <v>8685</v>
      </c>
      <c r="L1142" s="5" t="s">
        <v>9804</v>
      </c>
      <c r="M1142" s="5" t="s">
        <v>9805</v>
      </c>
      <c r="N1142" s="7" t="s">
        <v>9806</v>
      </c>
      <c r="O1142" s="8" t="str">
        <f>HYPERLINK("https://drive.google.com/file/d/1YA6pqso1UlubUAs5kbsvm1_iUluDg258/view?usp=drivesdk","1141_KUNARSIH KUNARSIH  _ SERTIFIKAT BIMTEK IPASN BerAKHLASK")</f>
        <v>1141_KUNARSIH KUNARSIH  _ SERTIFIKAT BIMTEK IPASN BerAKHLASK</v>
      </c>
      <c r="P1142" s="5" t="s">
        <v>9792</v>
      </c>
      <c r="Q1142" s="5"/>
      <c r="R1142" s="5"/>
      <c r="S1142" s="5"/>
      <c r="T1142" s="5"/>
    </row>
    <row r="1143">
      <c r="A1143" s="4">
        <v>45534.33036186342</v>
      </c>
      <c r="B1143" s="5" t="s">
        <v>34</v>
      </c>
      <c r="D1143" s="5" t="s">
        <v>1768</v>
      </c>
      <c r="E1143" s="5" t="s">
        <v>9807</v>
      </c>
      <c r="F1143" s="5" t="s">
        <v>108</v>
      </c>
      <c r="G1143" s="5" t="s">
        <v>9808</v>
      </c>
      <c r="H1143" s="6" t="s">
        <v>9809</v>
      </c>
      <c r="I1143" s="7" t="s">
        <v>9810</v>
      </c>
      <c r="J1143" s="8" t="str">
        <f>HYPERLINK("https://drive.google.com/file/d/1qi1Pe5uX7dEfR_UIoPZDbRfVessN1BO8/view?usp=drivesdk","YUDIPURWONO,S SERTIFIKAT BerAKHLAK")</f>
        <v>YUDIPURWONO,S SERTIFIKAT BerAKHLAK</v>
      </c>
      <c r="K1143" s="5" t="s">
        <v>9528</v>
      </c>
      <c r="L1143" s="5" t="s">
        <v>9811</v>
      </c>
      <c r="M1143" s="5" t="s">
        <v>9812</v>
      </c>
      <c r="N1143" s="7" t="s">
        <v>9813</v>
      </c>
      <c r="O1143" s="8" t="str">
        <f>HYPERLINK("https://drive.google.com/file/d/1tqRxj6Rd1B7ZeX6SDGhAgiwaL_KFhxwf/view?usp=drivesdk","1142_YUDIPURWONO,S _ SERTIFIKAT BIMTEK IPASN BerAKHLASK")</f>
        <v>1142_YUDIPURWONO,S _ SERTIFIKAT BIMTEK IPASN BerAKHLASK</v>
      </c>
      <c r="P1143" s="5" t="s">
        <v>9792</v>
      </c>
      <c r="Q1143" s="5"/>
      <c r="R1143" s="5"/>
      <c r="S1143" s="5"/>
      <c r="T1143" s="5"/>
    </row>
    <row r="1144" hidden="1">
      <c r="A1144" s="4">
        <v>45534.33036309028</v>
      </c>
      <c r="B1144" s="5" t="s">
        <v>19</v>
      </c>
      <c r="C1144" s="5" t="s">
        <v>292</v>
      </c>
      <c r="E1144" s="5" t="s">
        <v>9814</v>
      </c>
      <c r="F1144" s="5" t="s">
        <v>524</v>
      </c>
      <c r="G1144" s="5" t="s">
        <v>9815</v>
      </c>
      <c r="H1144" s="6" t="s">
        <v>9816</v>
      </c>
      <c r="I1144" s="7" t="s">
        <v>9817</v>
      </c>
      <c r="J1144" s="8" t="str">
        <f>HYPERLINK("https://drive.google.com/file/d/1_t2OsWssvBwE8SBBMasWA-PaoaHcF3M2/view?usp=drivesdk","HENI INDAWATI,S.Pd SERTIFIKAT BerAKHLAK")</f>
        <v>HENI INDAWATI,S.Pd SERTIFIKAT BerAKHLAK</v>
      </c>
      <c r="K1144" s="5" t="s">
        <v>9528</v>
      </c>
      <c r="L1144" s="5" t="s">
        <v>9818</v>
      </c>
      <c r="M1144" s="5" t="s">
        <v>9819</v>
      </c>
      <c r="N1144" s="7" t="s">
        <v>9820</v>
      </c>
      <c r="O1144" s="8" t="str">
        <f>HYPERLINK("https://drive.google.com/file/d/1nV46hH58yW2EswCLuYjs6YgcxEkcwvNW/view?usp=drivesdk","1143_HENI INDAWATI,S.Pd _ SERTIFIKAT BIMTEK IPASN BerAKHLASK")</f>
        <v>1143_HENI INDAWATI,S.Pd _ SERTIFIKAT BIMTEK IPASN BerAKHLASK</v>
      </c>
      <c r="P1144" s="5" t="s">
        <v>9821</v>
      </c>
      <c r="Q1144" s="5"/>
      <c r="R1144" s="5"/>
      <c r="S1144" s="5"/>
      <c r="T1144" s="5"/>
    </row>
    <row r="1145">
      <c r="A1145" s="4">
        <v>45534.330364340276</v>
      </c>
      <c r="B1145" s="5" t="s">
        <v>34</v>
      </c>
      <c r="D1145" s="5" t="s">
        <v>4775</v>
      </c>
      <c r="E1145" s="5" t="s">
        <v>9822</v>
      </c>
      <c r="F1145" s="5" t="s">
        <v>212</v>
      </c>
      <c r="G1145" s="5" t="s">
        <v>9823</v>
      </c>
      <c r="H1145" s="6" t="s">
        <v>9824</v>
      </c>
      <c r="I1145" s="7" t="s">
        <v>9825</v>
      </c>
      <c r="J1145" s="8" t="str">
        <f>HYPERLINK("https://drive.google.com/file/d/1C2jJPVp3umfnhwnalP4dkB7GNr_mb5ZR/view?usp=drivesdk","BUDI WAHYUNING ASTUTI SERTIFIKAT BerAKHLAK")</f>
        <v>BUDI WAHYUNING ASTUTI SERTIFIKAT BerAKHLAK</v>
      </c>
      <c r="K1145" s="5" t="s">
        <v>9528</v>
      </c>
      <c r="L1145" s="5" t="s">
        <v>9826</v>
      </c>
      <c r="M1145" s="5" t="s">
        <v>9827</v>
      </c>
      <c r="N1145" s="7" t="s">
        <v>9828</v>
      </c>
      <c r="O1145" s="8" t="str">
        <f>HYPERLINK("https://drive.google.com/file/d/1EWFWKrp3kyLIfUlINSYLGR02J_R50kQJ/view?usp=drivesdk","1144_BUDI WAHYUNING ASTUTI _ SERTIFIKAT BIMTEK IPASN BerAKHLASK")</f>
        <v>1144_BUDI WAHYUNING ASTUTI _ SERTIFIKAT BIMTEK IPASN BerAKHLASK</v>
      </c>
      <c r="P1145" s="5" t="s">
        <v>9821</v>
      </c>
      <c r="Q1145" s="5"/>
      <c r="R1145" s="5"/>
      <c r="S1145" s="5"/>
      <c r="T1145" s="5"/>
    </row>
    <row r="1146">
      <c r="A1146" s="4">
        <v>45534.330376620375</v>
      </c>
      <c r="B1146" s="5" t="s">
        <v>34</v>
      </c>
      <c r="D1146" s="5" t="s">
        <v>4775</v>
      </c>
      <c r="E1146" s="5" t="s">
        <v>9829</v>
      </c>
      <c r="F1146" s="5" t="s">
        <v>212</v>
      </c>
      <c r="G1146" s="5" t="s">
        <v>9830</v>
      </c>
      <c r="H1146" s="6" t="s">
        <v>9831</v>
      </c>
      <c r="I1146" s="7" t="s">
        <v>9832</v>
      </c>
      <c r="J1146" s="8" t="str">
        <f>HYPERLINK("https://drive.google.com/file/d/1C-3zs8slzSGb4DL18d-WwJFSExfQzoUT/view?usp=drivesdk","ARIS BUDI HASTUTI  SERTIFIKAT BerAKHLAK")</f>
        <v>ARIS BUDI HASTUTI  SERTIFIKAT BerAKHLAK</v>
      </c>
      <c r="K1146" s="5" t="s">
        <v>9565</v>
      </c>
      <c r="L1146" s="5" t="s">
        <v>9833</v>
      </c>
      <c r="M1146" s="5" t="s">
        <v>9834</v>
      </c>
      <c r="N1146" s="7" t="s">
        <v>9835</v>
      </c>
      <c r="O1146" s="8" t="str">
        <f>HYPERLINK("https://drive.google.com/file/d/1sNUL0VqE2p8lu69bTEJ8jDVhAiAKgVBg/view?usp=drivesdk","1145_ARIS BUDI HASTUTI  _ SERTIFIKAT BIMTEK IPASN BerAKHLASK")</f>
        <v>1145_ARIS BUDI HASTUTI  _ SERTIFIKAT BIMTEK IPASN BerAKHLASK</v>
      </c>
      <c r="P1146" s="5" t="s">
        <v>9821</v>
      </c>
      <c r="Q1146" s="5"/>
      <c r="R1146" s="5"/>
      <c r="S1146" s="5"/>
      <c r="T1146" s="5"/>
    </row>
    <row r="1147">
      <c r="A1147" s="4">
        <v>45534.330385520836</v>
      </c>
      <c r="B1147" s="5" t="s">
        <v>34</v>
      </c>
      <c r="D1147" s="5" t="s">
        <v>4775</v>
      </c>
      <c r="E1147" s="5" t="s">
        <v>9836</v>
      </c>
      <c r="F1147" s="5" t="s">
        <v>108</v>
      </c>
      <c r="G1147" s="5" t="s">
        <v>9837</v>
      </c>
      <c r="H1147" s="6" t="s">
        <v>9838</v>
      </c>
      <c r="I1147" s="7" t="s">
        <v>9839</v>
      </c>
      <c r="J1147" s="8" t="str">
        <f>HYPERLINK("https://drive.google.com/file/d/1xZBaq2OL5y8GRZeXPzF63Mk8XIeXtM6s/view?usp=drivesdk","DYAH PUTRI WIDYAWATI, SE SERTIFIKAT BerAKHLAK")</f>
        <v>DYAH PUTRI WIDYAWATI, SE SERTIFIKAT BerAKHLAK</v>
      </c>
      <c r="K1147" s="5" t="s">
        <v>9565</v>
      </c>
      <c r="L1147" s="5" t="s">
        <v>9840</v>
      </c>
      <c r="M1147" s="5" t="s">
        <v>9841</v>
      </c>
      <c r="N1147" s="7" t="s">
        <v>9842</v>
      </c>
      <c r="O1147" s="8" t="str">
        <f>HYPERLINK("https://drive.google.com/file/d/1QEXXWChH-jw5VwNba9cmdX2VTdXfKyHf/view?usp=drivesdk","1146_DYAH PUTRI WIDYAWATI, SE _ SERTIFIKAT BIMTEK IPASN BerAKHLASK")</f>
        <v>1146_DYAH PUTRI WIDYAWATI, SE _ SERTIFIKAT BIMTEK IPASN BerAKHLASK</v>
      </c>
      <c r="P1147" s="5" t="s">
        <v>9821</v>
      </c>
      <c r="Q1147" s="5"/>
      <c r="R1147" s="5"/>
      <c r="S1147" s="5"/>
      <c r="T1147" s="5"/>
    </row>
    <row r="1148">
      <c r="A1148" s="4">
        <v>45534.33038849537</v>
      </c>
      <c r="B1148" s="5" t="s">
        <v>34</v>
      </c>
      <c r="D1148" s="5" t="s">
        <v>4775</v>
      </c>
      <c r="E1148" s="5" t="s">
        <v>9843</v>
      </c>
      <c r="F1148" s="5" t="s">
        <v>212</v>
      </c>
      <c r="G1148" s="5" t="s">
        <v>9844</v>
      </c>
      <c r="H1148" s="6" t="s">
        <v>9845</v>
      </c>
      <c r="I1148" s="7" t="s">
        <v>9846</v>
      </c>
      <c r="J1148" s="8" t="str">
        <f>HYPERLINK("https://drive.google.com/file/d/1W-0EL5mQL_HHQOixplVL--1yj3ZHqFJ8/view?usp=drivesdk","RACHMAN NUGRAHARIYADIYANTO SERTIFIKAT BerAKHLAK")</f>
        <v>RACHMAN NUGRAHARIYADIYANTO SERTIFIKAT BerAKHLAK</v>
      </c>
      <c r="K1148" s="5" t="s">
        <v>9565</v>
      </c>
      <c r="L1148" s="5" t="s">
        <v>9847</v>
      </c>
      <c r="M1148" s="5" t="s">
        <v>9848</v>
      </c>
      <c r="N1148" s="7" t="s">
        <v>9849</v>
      </c>
      <c r="O1148" s="8" t="str">
        <f>HYPERLINK("https://drive.google.com/file/d/1vlhYCfS3A1BAMgTh3zxFUwKE7X3RUO__/view?usp=drivesdk","1147_RACHMAN NUGRAHARIYADIYANTO _ SERTIFIKAT BIMTEK IPASN BerAKHLASK")</f>
        <v>1147_RACHMAN NUGRAHARIYADIYANTO _ SERTIFIKAT BIMTEK IPASN BerAKHLASK</v>
      </c>
      <c r="P1148" s="5" t="s">
        <v>9821</v>
      </c>
      <c r="Q1148" s="5"/>
      <c r="R1148" s="5"/>
      <c r="S1148" s="5"/>
      <c r="T1148" s="5"/>
    </row>
    <row r="1149" hidden="1">
      <c r="A1149" s="4">
        <v>45534.330404016204</v>
      </c>
      <c r="B1149" s="5" t="s">
        <v>19</v>
      </c>
      <c r="C1149" s="5" t="s">
        <v>5058</v>
      </c>
      <c r="E1149" s="5" t="s">
        <v>9850</v>
      </c>
      <c r="F1149" s="5" t="s">
        <v>108</v>
      </c>
      <c r="G1149" s="5" t="s">
        <v>9851</v>
      </c>
      <c r="H1149" s="6" t="s">
        <v>9852</v>
      </c>
      <c r="I1149" s="7" t="s">
        <v>9853</v>
      </c>
      <c r="J1149" s="8" t="str">
        <f>HYPERLINK("https://drive.google.com/file/d/1kLdyVbp7vYOpjtoG2MopyNNCMnY-WoZ7/view?usp=drivesdk","CHUSNUL CHOTIMAH,A.MD SERTIFIKAT BerAKHLAK")</f>
        <v>CHUSNUL CHOTIMAH,A.MD SERTIFIKAT BerAKHLAK</v>
      </c>
      <c r="K1149" s="5" t="s">
        <v>9565</v>
      </c>
      <c r="L1149" s="5" t="s">
        <v>9854</v>
      </c>
      <c r="M1149" s="5" t="s">
        <v>9855</v>
      </c>
      <c r="N1149" s="7" t="s">
        <v>9856</v>
      </c>
      <c r="O1149" s="8" t="str">
        <f>HYPERLINK("https://drive.google.com/file/d/1dAU8WRM5TFuBjVTKmtrtxvVuMFGKKJpp/view?usp=drivesdk","1148_CHUSNUL CHOTIMAH,A.MD _ SERTIFIKAT BIMTEK IPASN BerAKHLASK")</f>
        <v>1148_CHUSNUL CHOTIMAH,A.MD _ SERTIFIKAT BIMTEK IPASN BerAKHLASK</v>
      </c>
      <c r="P1149" s="5" t="s">
        <v>9821</v>
      </c>
      <c r="Q1149" s="5"/>
      <c r="R1149" s="5"/>
      <c r="S1149" s="5"/>
      <c r="T1149" s="5"/>
    </row>
    <row r="1150">
      <c r="A1150" s="4">
        <v>45534.33040556713</v>
      </c>
      <c r="B1150" s="5" t="s">
        <v>34</v>
      </c>
      <c r="D1150" s="5" t="s">
        <v>280</v>
      </c>
      <c r="E1150" s="5" t="s">
        <v>9857</v>
      </c>
      <c r="F1150" s="5" t="s">
        <v>37</v>
      </c>
      <c r="G1150" s="5" t="s">
        <v>9858</v>
      </c>
      <c r="H1150" s="6" t="s">
        <v>9859</v>
      </c>
      <c r="K1150" s="5" t="s">
        <v>9860</v>
      </c>
      <c r="M1150" s="5" t="s">
        <v>9861</v>
      </c>
      <c r="N1150" s="7" t="s">
        <v>9862</v>
      </c>
      <c r="O1150" s="8" t="str">
        <f>HYPERLINK("https://drive.google.com/file/d/135fHnHSMop2o2Y9iOUqdDwEjeuNMkTaB/view?usp=drivesdk","1149_MIDUK SITUMORANG _ SERTIFIKAT BIMTEK IPASN BerAKHLASK")</f>
        <v>1149_MIDUK SITUMORANG _ SERTIFIKAT BIMTEK IPASN BerAKHLASK</v>
      </c>
      <c r="P1150" s="5" t="s">
        <v>9863</v>
      </c>
      <c r="Q1150" s="5"/>
      <c r="R1150" s="5"/>
      <c r="S1150" s="5"/>
      <c r="T1150" s="5"/>
    </row>
    <row r="1151">
      <c r="A1151" s="4">
        <v>45534.33045616898</v>
      </c>
      <c r="B1151" s="5" t="s">
        <v>34</v>
      </c>
      <c r="D1151" s="5" t="s">
        <v>604</v>
      </c>
      <c r="E1151" s="5" t="s">
        <v>9864</v>
      </c>
      <c r="F1151" s="5" t="s">
        <v>375</v>
      </c>
      <c r="G1151" s="5" t="s">
        <v>9865</v>
      </c>
      <c r="H1151" s="6" t="s">
        <v>9866</v>
      </c>
      <c r="I1151" s="7" t="s">
        <v>9867</v>
      </c>
      <c r="J1151" s="8" t="str">
        <f>HYPERLINK("https://drive.google.com/file/d/1aZgO3CGE9jXjWYVmLbgOO0IALbcfQjge/view?usp=drivesdk","LILIANTI USMAN SERTIFIKAT BerAKHLAK")</f>
        <v>LILIANTI USMAN SERTIFIKAT BerAKHLAK</v>
      </c>
      <c r="K1151" s="5" t="s">
        <v>9528</v>
      </c>
      <c r="L1151" s="5" t="s">
        <v>9868</v>
      </c>
      <c r="M1151" s="5" t="s">
        <v>9869</v>
      </c>
      <c r="N1151" s="7" t="s">
        <v>9870</v>
      </c>
      <c r="O1151" s="8" t="str">
        <f>HYPERLINK("https://drive.google.com/file/d/1eua7dWyDrg1YE6mr-vkuVpTYxppK-DY_/view?usp=drivesdk","1150_LILIANTI USMAN _ SERTIFIKAT BIMTEK IPASN BerAKHLASK")</f>
        <v>1150_LILIANTI USMAN _ SERTIFIKAT BIMTEK IPASN BerAKHLASK</v>
      </c>
      <c r="P1151" s="5" t="s">
        <v>9863</v>
      </c>
      <c r="Q1151" s="5"/>
      <c r="R1151" s="5"/>
      <c r="S1151" s="5"/>
      <c r="T1151" s="5"/>
    </row>
    <row r="1152">
      <c r="A1152" s="4">
        <v>45534.330463182865</v>
      </c>
      <c r="B1152" s="5" t="s">
        <v>34</v>
      </c>
      <c r="D1152" s="5" t="s">
        <v>7858</v>
      </c>
      <c r="E1152" s="5" t="s">
        <v>9871</v>
      </c>
      <c r="F1152" s="5" t="s">
        <v>715</v>
      </c>
      <c r="G1152" s="5" t="s">
        <v>9872</v>
      </c>
      <c r="H1152" s="6" t="s">
        <v>9873</v>
      </c>
      <c r="I1152" s="7" t="s">
        <v>9874</v>
      </c>
      <c r="J1152" s="8" t="str">
        <f>HYPERLINK("https://drive.google.com/file/d/1TYGc1qvyqPMgluiM0nEad2UKSUNsk_uP/view?usp=drivesdk","IRA ARDIYANI, SE SERTIFIKAT BerAKHLAK")</f>
        <v>IRA ARDIYANI, SE SERTIFIKAT BerAKHLAK</v>
      </c>
      <c r="K1152" s="5" t="s">
        <v>9528</v>
      </c>
      <c r="L1152" s="5" t="s">
        <v>9875</v>
      </c>
      <c r="M1152" s="5" t="s">
        <v>9876</v>
      </c>
      <c r="N1152" s="7" t="s">
        <v>9877</v>
      </c>
      <c r="O1152" s="8" t="str">
        <f>HYPERLINK("https://drive.google.com/file/d/1LHC2K1RjQ8FtXR3glMOMNAxI7SFP8ReW/view?usp=drivesdk","1151_IRA ARDIYANI, SE _ SERTIFIKAT BIMTEK IPASN BerAKHLASK")</f>
        <v>1151_IRA ARDIYANI, SE _ SERTIFIKAT BIMTEK IPASN BerAKHLASK</v>
      </c>
      <c r="P1152" s="5" t="s">
        <v>9863</v>
      </c>
      <c r="Q1152" s="5"/>
      <c r="R1152" s="5"/>
      <c r="S1152" s="5"/>
      <c r="T1152" s="5"/>
    </row>
    <row r="1153">
      <c r="A1153" s="4">
        <v>45534.3304872338</v>
      </c>
      <c r="B1153" s="5" t="s">
        <v>34</v>
      </c>
      <c r="D1153" s="5" t="s">
        <v>580</v>
      </c>
      <c r="E1153" s="5" t="s">
        <v>9878</v>
      </c>
      <c r="F1153" s="5" t="s">
        <v>37</v>
      </c>
      <c r="G1153" s="5" t="s">
        <v>9879</v>
      </c>
      <c r="H1153" s="6" t="s">
        <v>9880</v>
      </c>
      <c r="I1153" s="7" t="s">
        <v>9881</v>
      </c>
      <c r="J1153" s="8" t="str">
        <f>HYPERLINK("https://drive.google.com/file/d/1s9iigHfsRsu8EXBqlSgPoGD8rH2U3Yxf/view?usp=drivesdk","NI MADE SUARNI SULISTYANINGSIH SERTIFIKAT BerAKHLAK")</f>
        <v>NI MADE SUARNI SULISTYANINGSIH SERTIFIKAT BerAKHLAK</v>
      </c>
      <c r="K1153" s="5" t="s">
        <v>9528</v>
      </c>
      <c r="L1153" s="5" t="s">
        <v>9882</v>
      </c>
      <c r="M1153" s="5" t="s">
        <v>9883</v>
      </c>
      <c r="N1153" s="7" t="s">
        <v>9884</v>
      </c>
      <c r="O1153" s="8" t="str">
        <f>HYPERLINK("https://drive.google.com/file/d/15qUSEFm-ntiF5po8yycMxyYL4gqct71k/view?usp=drivesdk","1152_NI MADE SUARNI SULISTYANINGSIH _ SERTIFIKAT BIMTEK IPASN BerAKHLASK")</f>
        <v>1152_NI MADE SUARNI SULISTYANINGSIH _ SERTIFIKAT BIMTEK IPASN BerAKHLASK</v>
      </c>
      <c r="P1153" s="5" t="s">
        <v>9863</v>
      </c>
      <c r="Q1153" s="5"/>
      <c r="R1153" s="5"/>
      <c r="S1153" s="5"/>
      <c r="T1153" s="5"/>
    </row>
    <row r="1154">
      <c r="A1154" s="4">
        <v>45534.33049092593</v>
      </c>
      <c r="B1154" s="5" t="s">
        <v>34</v>
      </c>
      <c r="D1154" s="5" t="s">
        <v>2903</v>
      </c>
      <c r="E1154" s="5" t="s">
        <v>9885</v>
      </c>
      <c r="F1154" s="5" t="s">
        <v>212</v>
      </c>
      <c r="G1154" s="5" t="s">
        <v>9886</v>
      </c>
      <c r="H1154" s="6" t="s">
        <v>9887</v>
      </c>
      <c r="I1154" s="7" t="s">
        <v>9888</v>
      </c>
      <c r="J1154" s="8" t="str">
        <f>HYPERLINK("https://drive.google.com/file/d/1ClpeTt70O0A8tiecdAZpFE4vpLo7Ql9A/view?usp=drivesdk","NOVA MARTILA,AMD.KEB SERTIFIKAT BerAKHLAK")</f>
        <v>NOVA MARTILA,AMD.KEB SERTIFIKAT BerAKHLAK</v>
      </c>
      <c r="K1154" s="5" t="s">
        <v>9528</v>
      </c>
      <c r="L1154" s="5" t="s">
        <v>9889</v>
      </c>
      <c r="M1154" s="5" t="s">
        <v>9890</v>
      </c>
      <c r="N1154" s="7" t="s">
        <v>9891</v>
      </c>
      <c r="O1154" s="8" t="str">
        <f>HYPERLINK("https://drive.google.com/file/d/1oxjL1b86cv1tXDNfQurkMLxfuv1NNo6K/view?usp=drivesdk","1153_NOVA MARTILA,AMD.KEB _ SERTIFIKAT BIMTEK IPASN BerAKHLASK")</f>
        <v>1153_NOVA MARTILA,AMD.KEB _ SERTIFIKAT BIMTEK IPASN BerAKHLASK</v>
      </c>
      <c r="P1154" s="5" t="s">
        <v>9863</v>
      </c>
      <c r="Q1154" s="5"/>
      <c r="R1154" s="5"/>
      <c r="S1154" s="5"/>
      <c r="T1154" s="5"/>
    </row>
    <row r="1155">
      <c r="A1155" s="4">
        <v>45534.330507673614</v>
      </c>
      <c r="B1155" s="5" t="s">
        <v>34</v>
      </c>
      <c r="D1155" s="5" t="s">
        <v>4775</v>
      </c>
      <c r="E1155" s="5" t="s">
        <v>9892</v>
      </c>
      <c r="F1155" s="5" t="s">
        <v>212</v>
      </c>
      <c r="G1155" s="5" t="s">
        <v>9893</v>
      </c>
      <c r="H1155" s="6" t="s">
        <v>9894</v>
      </c>
      <c r="K1155" s="5" t="s">
        <v>9895</v>
      </c>
      <c r="M1155" s="5" t="s">
        <v>9896</v>
      </c>
      <c r="N1155" s="7" t="s">
        <v>9897</v>
      </c>
      <c r="O1155" s="8" t="str">
        <f>HYPERLINK("https://drive.google.com/file/d/1sOiZ41zzCyHgitOd66wYQ5bhTB0zioUn/view?usp=drivesdk","1154_TRI HERLINDA AYUNINGDYAH KUSUMA DEWI, A. Md _ SERTIFIKAT BIMTEK IPASN BerAKHLASK")</f>
        <v>1154_TRI HERLINDA AYUNINGDYAH KUSUMA DEWI, A. Md _ SERTIFIKAT BIMTEK IPASN BerAKHLASK</v>
      </c>
      <c r="P1155" s="5" t="s">
        <v>9863</v>
      </c>
      <c r="Q1155" s="5"/>
      <c r="R1155" s="5"/>
      <c r="S1155" s="5"/>
      <c r="T1155" s="5"/>
    </row>
    <row r="1156">
      <c r="A1156" s="4">
        <v>45534.33051133102</v>
      </c>
      <c r="B1156" s="5" t="s">
        <v>34</v>
      </c>
      <c r="D1156" s="5" t="s">
        <v>4775</v>
      </c>
      <c r="E1156" s="5" t="s">
        <v>9898</v>
      </c>
      <c r="F1156" s="5" t="s">
        <v>72</v>
      </c>
      <c r="G1156" s="5" t="s">
        <v>9899</v>
      </c>
      <c r="H1156" s="6" t="s">
        <v>9900</v>
      </c>
      <c r="I1156" s="7" t="s">
        <v>9901</v>
      </c>
      <c r="J1156" s="8" t="str">
        <f>HYPERLINK("https://drive.google.com/file/d/18BxEefZFi9D5eOJFIk5LNKruIjKPDtWk/view?usp=drivesdk","MARDI PRIYATNO SERTIFIKAT BerAKHLAK")</f>
        <v>MARDI PRIYATNO SERTIFIKAT BerAKHLAK</v>
      </c>
      <c r="K1156" s="5" t="s">
        <v>9528</v>
      </c>
      <c r="L1156" s="5" t="s">
        <v>9902</v>
      </c>
      <c r="M1156" s="5" t="s">
        <v>9903</v>
      </c>
      <c r="N1156" s="7" t="s">
        <v>9904</v>
      </c>
      <c r="O1156" s="8" t="str">
        <f>HYPERLINK("https://drive.google.com/file/d/1EJEllPkaFm0uWenSqoXUDkvaKBaSDpUv/view?usp=drivesdk","1155_MARDI PRIYATNO _ SERTIFIKAT BIMTEK IPASN BerAKHLASK")</f>
        <v>1155_MARDI PRIYATNO _ SERTIFIKAT BIMTEK IPASN BerAKHLASK</v>
      </c>
      <c r="P1156" s="5" t="s">
        <v>9905</v>
      </c>
      <c r="Q1156" s="5"/>
      <c r="R1156" s="5"/>
      <c r="S1156" s="5"/>
      <c r="T1156" s="5"/>
    </row>
    <row r="1157">
      <c r="A1157" s="4">
        <v>45534.33051649306</v>
      </c>
      <c r="B1157" s="5" t="s">
        <v>34</v>
      </c>
      <c r="D1157" s="5" t="s">
        <v>604</v>
      </c>
      <c r="E1157" s="5" t="s">
        <v>9906</v>
      </c>
      <c r="F1157" s="5" t="s">
        <v>524</v>
      </c>
      <c r="G1157" s="5" t="s">
        <v>9907</v>
      </c>
      <c r="H1157" s="6" t="s">
        <v>9908</v>
      </c>
      <c r="I1157" s="7" t="s">
        <v>9909</v>
      </c>
      <c r="J1157" s="8" t="str">
        <f>HYPERLINK("https://drive.google.com/file/d/11HHU3h921skyszUcK25idiIk_sEOzx0J/view?usp=drivesdk","MUHAMMAD IQBAL TIANOTAK SERTIFIKAT BerAKHLAK")</f>
        <v>MUHAMMAD IQBAL TIANOTAK SERTIFIKAT BerAKHLAK</v>
      </c>
      <c r="K1157" s="5" t="s">
        <v>9528</v>
      </c>
      <c r="L1157" s="5" t="s">
        <v>9910</v>
      </c>
      <c r="M1157" s="5" t="s">
        <v>9911</v>
      </c>
      <c r="N1157" s="7" t="s">
        <v>9912</v>
      </c>
      <c r="O1157" s="8" t="str">
        <f>HYPERLINK("https://drive.google.com/file/d/17ptcqQ2H-DiyTjpHCpmsomqF1Uy2sC4e/view?usp=drivesdk","1156_MUHAMMAD IQBAL TIANOTAK _ SERTIFIKAT BIMTEK IPASN BerAKHLASK")</f>
        <v>1156_MUHAMMAD IQBAL TIANOTAK _ SERTIFIKAT BIMTEK IPASN BerAKHLASK</v>
      </c>
      <c r="P1157" s="5" t="s">
        <v>9905</v>
      </c>
      <c r="Q1157" s="5"/>
      <c r="R1157" s="5"/>
      <c r="S1157" s="5"/>
      <c r="T1157" s="5"/>
    </row>
    <row r="1158">
      <c r="A1158" s="4">
        <v>45534.330525682875</v>
      </c>
      <c r="B1158" s="5" t="s">
        <v>34</v>
      </c>
      <c r="D1158" s="5" t="s">
        <v>1206</v>
      </c>
      <c r="E1158" s="5" t="s">
        <v>9913</v>
      </c>
      <c r="F1158" s="5" t="s">
        <v>212</v>
      </c>
      <c r="G1158" s="5" t="s">
        <v>9914</v>
      </c>
      <c r="H1158" s="6" t="s">
        <v>9915</v>
      </c>
      <c r="I1158" s="7" t="s">
        <v>9916</v>
      </c>
      <c r="J1158" s="8" t="str">
        <f>HYPERLINK("https://drive.google.com/file/d/1Mrxln-IV07brVuQ88IQX91tHfB0oKkM8/view?usp=drivesdk","RIKA PUSPITASARI SERTIFIKAT BerAKHLAK")</f>
        <v>RIKA PUSPITASARI SERTIFIKAT BerAKHLAK</v>
      </c>
      <c r="K1158" s="5" t="s">
        <v>9528</v>
      </c>
      <c r="L1158" s="5" t="s">
        <v>9917</v>
      </c>
      <c r="M1158" s="5" t="s">
        <v>9918</v>
      </c>
      <c r="N1158" s="7" t="s">
        <v>9919</v>
      </c>
      <c r="O1158" s="8" t="str">
        <f>HYPERLINK("https://drive.google.com/file/d/1YavUGeyTvzcJGwykuaf5X_blKZW7eB-S/view?usp=drivesdk","1157_RIKA PUSPITASARI _ SERTIFIKAT BIMTEK IPASN BerAKHLASK")</f>
        <v>1157_RIKA PUSPITASARI _ SERTIFIKAT BIMTEK IPASN BerAKHLASK</v>
      </c>
      <c r="P1158" s="5" t="s">
        <v>9905</v>
      </c>
      <c r="Q1158" s="5"/>
      <c r="R1158" s="5"/>
      <c r="S1158" s="5"/>
      <c r="T1158" s="5"/>
    </row>
    <row r="1159">
      <c r="A1159" s="4">
        <v>45534.33053599537</v>
      </c>
      <c r="B1159" s="5" t="s">
        <v>34</v>
      </c>
      <c r="D1159" s="5" t="s">
        <v>2903</v>
      </c>
      <c r="E1159" s="5" t="s">
        <v>9920</v>
      </c>
      <c r="F1159" s="5" t="s">
        <v>37</v>
      </c>
      <c r="G1159" s="5" t="s">
        <v>9921</v>
      </c>
      <c r="H1159" s="6" t="s">
        <v>9922</v>
      </c>
      <c r="K1159" s="5" t="s">
        <v>9923</v>
      </c>
      <c r="M1159" s="5" t="s">
        <v>9924</v>
      </c>
      <c r="N1159" s="7" t="s">
        <v>9925</v>
      </c>
      <c r="O1159" s="8" t="str">
        <f>HYPERLINK("https://drive.google.com/file/d/1IMkEZ3YCOzFlFAGV0R3CvVs4OFyrSww9/view?usp=drivesdk","1158_MARISA APRIDONA _ SERTIFIKAT BIMTEK IPASN BerAKHLASK")</f>
        <v>1158_MARISA APRIDONA _ SERTIFIKAT BIMTEK IPASN BerAKHLASK</v>
      </c>
      <c r="P1159" s="5" t="s">
        <v>9905</v>
      </c>
      <c r="Q1159" s="5"/>
      <c r="R1159" s="5"/>
      <c r="S1159" s="5"/>
      <c r="T1159" s="5"/>
    </row>
    <row r="1160" hidden="1">
      <c r="A1160" s="4">
        <v>45534.33058834491</v>
      </c>
      <c r="B1160" s="5" t="s">
        <v>19</v>
      </c>
      <c r="C1160" s="5" t="s">
        <v>442</v>
      </c>
      <c r="E1160" s="5" t="s">
        <v>9926</v>
      </c>
      <c r="F1160" s="5" t="s">
        <v>212</v>
      </c>
      <c r="G1160" s="5" t="s">
        <v>9927</v>
      </c>
      <c r="H1160" s="6" t="s">
        <v>9928</v>
      </c>
      <c r="I1160" s="7" t="s">
        <v>9929</v>
      </c>
      <c r="J1160" s="8" t="str">
        <f>HYPERLINK("https://drive.google.com/file/d/1ssqrgGMWwRydWfyOiIoCc-PjnGcPIahg/view?usp=drivesdk","ZULHIJRIANTI IRWANI, S.KOM SERTIFIKAT BerAKHLAK")</f>
        <v>ZULHIJRIANTI IRWANI, S.KOM SERTIFIKAT BerAKHLAK</v>
      </c>
      <c r="K1160" s="5" t="s">
        <v>9528</v>
      </c>
      <c r="L1160" s="5" t="s">
        <v>9930</v>
      </c>
      <c r="M1160" s="5" t="s">
        <v>9931</v>
      </c>
      <c r="N1160" s="7" t="s">
        <v>9932</v>
      </c>
      <c r="O1160" s="8" t="str">
        <f>HYPERLINK("https://drive.google.com/file/d/1ftt5G0-TIMDJHHvB3IetfrTaoTZ00fhY/view?usp=drivesdk","1159_ZULHIJRIANTI IRWANI, S.KOM _ SERTIFIKAT BIMTEK IPASN BerAKHLASK")</f>
        <v>1159_ZULHIJRIANTI IRWANI, S.KOM _ SERTIFIKAT BIMTEK IPASN BerAKHLASK</v>
      </c>
      <c r="P1160" s="5" t="s">
        <v>9905</v>
      </c>
      <c r="Q1160" s="5"/>
      <c r="R1160" s="5"/>
      <c r="S1160" s="5"/>
      <c r="T1160" s="5"/>
    </row>
    <row r="1161">
      <c r="A1161" s="4">
        <v>45534.33059427083</v>
      </c>
      <c r="B1161" s="5" t="s">
        <v>34</v>
      </c>
      <c r="D1161" s="5" t="s">
        <v>1768</v>
      </c>
      <c r="E1161" s="5" t="s">
        <v>9933</v>
      </c>
      <c r="F1161" s="5" t="s">
        <v>524</v>
      </c>
      <c r="G1161" s="5" t="s">
        <v>9934</v>
      </c>
      <c r="H1161" s="6" t="s">
        <v>9935</v>
      </c>
      <c r="I1161" s="7" t="s">
        <v>9936</v>
      </c>
      <c r="J1161" s="8" t="str">
        <f>HYPERLINK("https://drive.google.com/file/d/1Vl1Ks0O36nv4yg4-_BiqgF8LGXFM29iH/view?usp=drivesdk","NOORPAH DIYANTI Amd. Kep SERTIFIKAT BerAKHLAK")</f>
        <v>NOORPAH DIYANTI Amd. Kep SERTIFIKAT BerAKHLAK</v>
      </c>
      <c r="K1161" s="5" t="s">
        <v>9528</v>
      </c>
      <c r="L1161" s="5" t="s">
        <v>9937</v>
      </c>
      <c r="M1161" s="5" t="s">
        <v>9938</v>
      </c>
      <c r="N1161" s="7" t="s">
        <v>9939</v>
      </c>
      <c r="O1161" s="8" t="str">
        <f>HYPERLINK("https://drive.google.com/file/d/1qav8jl1qKQs-88gK93jm2VruyQQrze0f/view?usp=drivesdk","1160_NOORPAH DIYANTI Amd. Kep _ SERTIFIKAT BIMTEK IPASN BerAKHLASK")</f>
        <v>1160_NOORPAH DIYANTI Amd. Kep _ SERTIFIKAT BIMTEK IPASN BerAKHLASK</v>
      </c>
      <c r="P1161" s="5" t="s">
        <v>9905</v>
      </c>
      <c r="Q1161" s="5"/>
      <c r="R1161" s="5"/>
      <c r="S1161" s="5"/>
      <c r="T1161" s="5"/>
    </row>
    <row r="1162">
      <c r="A1162" s="4">
        <v>45534.330640775464</v>
      </c>
      <c r="B1162" s="5" t="s">
        <v>34</v>
      </c>
      <c r="D1162" s="5" t="s">
        <v>4775</v>
      </c>
      <c r="E1162" s="5" t="s">
        <v>9940</v>
      </c>
      <c r="F1162" s="5" t="s">
        <v>375</v>
      </c>
      <c r="G1162" s="5" t="s">
        <v>9941</v>
      </c>
      <c r="H1162" s="6" t="s">
        <v>9942</v>
      </c>
      <c r="K1162" s="5" t="s">
        <v>9943</v>
      </c>
      <c r="M1162" s="5" t="s">
        <v>9944</v>
      </c>
      <c r="N1162" s="7" t="s">
        <v>9945</v>
      </c>
      <c r="O1162" s="8" t="str">
        <f>HYPERLINK("https://drive.google.com/file/d/1GNleYV6toL2SJV71cEcxoX02g--KB2Zy/view?usp=drivesdk","1161_METTY IKA KURNIASARI, S.Kom. _ SERTIFIKAT BIMTEK IPASN BerAKHLASK")</f>
        <v>1161_METTY IKA KURNIASARI, S.Kom. _ SERTIFIKAT BIMTEK IPASN BerAKHLASK</v>
      </c>
      <c r="P1162" s="5" t="s">
        <v>9946</v>
      </c>
      <c r="Q1162" s="5"/>
      <c r="R1162" s="5"/>
      <c r="S1162" s="5"/>
      <c r="T1162" s="5"/>
    </row>
    <row r="1163">
      <c r="A1163" s="4">
        <v>45534.33065949074</v>
      </c>
      <c r="B1163" s="5" t="s">
        <v>34</v>
      </c>
      <c r="D1163" s="5" t="s">
        <v>280</v>
      </c>
      <c r="E1163" s="5" t="s">
        <v>9947</v>
      </c>
      <c r="F1163" s="5" t="s">
        <v>108</v>
      </c>
      <c r="G1163" s="5" t="s">
        <v>9948</v>
      </c>
      <c r="H1163" s="6" t="s">
        <v>9949</v>
      </c>
      <c r="I1163" s="7" t="s">
        <v>9950</v>
      </c>
      <c r="J1163" s="8" t="str">
        <f>HYPERLINK("https://drive.google.com/file/d/1HTPxra0YYzr5HUY4rW2FVV1zES9nLeyh/view?usp=drivesdk","ERNI YUSNITA I SERTIFIKAT BerAKHLAK")</f>
        <v>ERNI YUSNITA I SERTIFIKAT BerAKHLAK</v>
      </c>
      <c r="K1163" s="5" t="s">
        <v>9528</v>
      </c>
      <c r="L1163" s="5" t="s">
        <v>9951</v>
      </c>
      <c r="M1163" s="5" t="s">
        <v>9952</v>
      </c>
      <c r="N1163" s="7" t="s">
        <v>9953</v>
      </c>
      <c r="O1163" s="8" t="str">
        <f>HYPERLINK("https://drive.google.com/file/d/12Tl8ZzdGpyDljV0URlPvx6wBdmzz4RTd/view?usp=drivesdk","1162_ERNI YUSNITA I _ SERTIFIKAT BIMTEK IPASN BerAKHLASK")</f>
        <v>1162_ERNI YUSNITA I _ SERTIFIKAT BIMTEK IPASN BerAKHLASK</v>
      </c>
      <c r="P1163" s="5" t="s">
        <v>9946</v>
      </c>
      <c r="Q1163" s="5"/>
      <c r="R1163" s="5"/>
      <c r="S1163" s="5"/>
      <c r="T1163" s="5"/>
    </row>
    <row r="1164">
      <c r="A1164" s="4">
        <v>45534.33066384259</v>
      </c>
      <c r="B1164" s="5" t="s">
        <v>34</v>
      </c>
      <c r="D1164" s="5" t="s">
        <v>1663</v>
      </c>
      <c r="E1164" s="5" t="s">
        <v>9954</v>
      </c>
      <c r="F1164" s="5" t="s">
        <v>212</v>
      </c>
      <c r="G1164" s="5" t="s">
        <v>9955</v>
      </c>
      <c r="H1164" s="6" t="s">
        <v>9956</v>
      </c>
      <c r="I1164" s="7" t="s">
        <v>9957</v>
      </c>
      <c r="J1164" s="8" t="str">
        <f>HYPERLINK("https://drive.google.com/file/d/108WpmXiThglWV8Ymobwsg8EvOp2czVhE/view?usp=drivesdk","JEFRI DOLFINUS WARIKAR, A.Md.Kep SERTIFIKAT BerAKHLAK")</f>
        <v>JEFRI DOLFINUS WARIKAR, A.Md.Kep SERTIFIKAT BerAKHLAK</v>
      </c>
      <c r="K1164" s="5" t="s">
        <v>9528</v>
      </c>
      <c r="L1164" s="5" t="s">
        <v>9958</v>
      </c>
      <c r="M1164" s="5" t="s">
        <v>9959</v>
      </c>
      <c r="N1164" s="7" t="s">
        <v>9960</v>
      </c>
      <c r="O1164" s="8" t="str">
        <f>HYPERLINK("https://drive.google.com/file/d/1cyN2aDiBYxulUKsD72_z-NKeWKXFbifR/view?usp=drivesdk","1163_JEFRI DOLFINUS WARIKAR, A.Md.Kep _ SERTIFIKAT BIMTEK IPASN BerAKHLASK")</f>
        <v>1163_JEFRI DOLFINUS WARIKAR, A.Md.Kep _ SERTIFIKAT BIMTEK IPASN BerAKHLASK</v>
      </c>
      <c r="P1164" s="5" t="s">
        <v>9946</v>
      </c>
      <c r="Q1164" s="5"/>
      <c r="R1164" s="5"/>
      <c r="S1164" s="5"/>
      <c r="T1164" s="5"/>
    </row>
    <row r="1165">
      <c r="A1165" s="4">
        <v>45534.33067427084</v>
      </c>
      <c r="B1165" s="5" t="s">
        <v>34</v>
      </c>
      <c r="D1165" s="5" t="s">
        <v>3432</v>
      </c>
      <c r="E1165" s="5" t="s">
        <v>9961</v>
      </c>
      <c r="F1165" s="5" t="s">
        <v>5566</v>
      </c>
      <c r="G1165" s="5" t="s">
        <v>9962</v>
      </c>
      <c r="H1165" s="6" t="s">
        <v>9963</v>
      </c>
      <c r="I1165" s="7" t="s">
        <v>9964</v>
      </c>
      <c r="J1165" s="8" t="str">
        <f>HYPERLINK("https://drive.google.com/file/d/1hcGYapwKMUYvtXPc2oZlSmcgWOBWk0kN/view?usp=drivesdk","M. ZULFIKAR MANGILE SERTIFIKAT BerAKHLAK")</f>
        <v>M. ZULFIKAR MANGILE SERTIFIKAT BerAKHLAK</v>
      </c>
      <c r="K1165" s="5" t="s">
        <v>9528</v>
      </c>
      <c r="L1165" s="5" t="s">
        <v>9965</v>
      </c>
      <c r="M1165" s="5" t="s">
        <v>9966</v>
      </c>
      <c r="N1165" s="7" t="s">
        <v>9967</v>
      </c>
      <c r="O1165" s="8" t="str">
        <f>HYPERLINK("https://drive.google.com/file/d/1fSMDdZAHwvKwf6znptbyUksyPRd695bv/view?usp=drivesdk","1164_M. ZULFIKAR MANGILE _ SERTIFIKAT BIMTEK IPASN BerAKHLASK")</f>
        <v>1164_M. ZULFIKAR MANGILE _ SERTIFIKAT BIMTEK IPASN BerAKHLASK</v>
      </c>
      <c r="P1165" s="5" t="s">
        <v>9946</v>
      </c>
      <c r="Q1165" s="5"/>
      <c r="R1165" s="5"/>
      <c r="S1165" s="5"/>
      <c r="T1165" s="5"/>
    </row>
    <row r="1166">
      <c r="A1166" s="4">
        <v>45534.3306765625</v>
      </c>
      <c r="B1166" s="5" t="s">
        <v>34</v>
      </c>
      <c r="D1166" s="5" t="s">
        <v>1206</v>
      </c>
      <c r="E1166" s="5" t="s">
        <v>9968</v>
      </c>
      <c r="F1166" s="5" t="s">
        <v>715</v>
      </c>
      <c r="G1166" s="5" t="s">
        <v>9969</v>
      </c>
      <c r="H1166" s="6" t="s">
        <v>9970</v>
      </c>
      <c r="I1166" s="7" t="s">
        <v>9971</v>
      </c>
      <c r="J1166" s="8" t="str">
        <f>HYPERLINK("https://drive.google.com/file/d/1ynzkQetzoykeoUxcgw6WGgE-kgAOnOut/view?usp=drivesdk","YOPPY WAHYU KRISTANTONO SERTIFIKAT BerAKHLAK")</f>
        <v>YOPPY WAHYU KRISTANTONO SERTIFIKAT BerAKHLAK</v>
      </c>
      <c r="K1166" s="5" t="s">
        <v>9528</v>
      </c>
      <c r="L1166" s="5" t="s">
        <v>9972</v>
      </c>
      <c r="M1166" s="5" t="s">
        <v>9973</v>
      </c>
      <c r="N1166" s="7" t="s">
        <v>9974</v>
      </c>
      <c r="O1166" s="8" t="str">
        <f>HYPERLINK("https://drive.google.com/file/d/1U0G7Ui3RXgXwpedlGgrI9qjSMU02FqEW/view?usp=drivesdk","1165_YOPPY WAHYU KRISTANTONO _ SERTIFIKAT BIMTEK IPASN BerAKHLASK")</f>
        <v>1165_YOPPY WAHYU KRISTANTONO _ SERTIFIKAT BIMTEK IPASN BerAKHLASK</v>
      </c>
      <c r="P1166" s="5" t="s">
        <v>9946</v>
      </c>
      <c r="Q1166" s="5"/>
      <c r="R1166" s="5"/>
      <c r="S1166" s="5"/>
      <c r="T1166" s="5"/>
    </row>
    <row r="1167">
      <c r="A1167" s="4">
        <v>45534.33068377315</v>
      </c>
      <c r="B1167" s="5" t="s">
        <v>34</v>
      </c>
      <c r="D1167" s="5" t="s">
        <v>4775</v>
      </c>
      <c r="E1167" s="5" t="s">
        <v>9975</v>
      </c>
      <c r="F1167" s="5" t="s">
        <v>72</v>
      </c>
      <c r="G1167" s="5" t="s">
        <v>9976</v>
      </c>
      <c r="H1167" s="6" t="s">
        <v>9977</v>
      </c>
      <c r="I1167" s="7" t="s">
        <v>9978</v>
      </c>
      <c r="J1167" s="8" t="str">
        <f>HYPERLINK("https://drive.google.com/file/d/1UDKa-cXLBin2YT4sQXehPuPth2Zu9yks/view?usp=drivesdk","ANANG YUTANTO SH SERTIFIKAT BerAKHLAK")</f>
        <v>ANANG YUTANTO SH SERTIFIKAT BerAKHLAK</v>
      </c>
      <c r="K1167" s="5" t="s">
        <v>9565</v>
      </c>
      <c r="L1167" s="5" t="s">
        <v>9979</v>
      </c>
      <c r="M1167" s="5" t="s">
        <v>9980</v>
      </c>
      <c r="N1167" s="7" t="s">
        <v>9981</v>
      </c>
      <c r="O1167" s="8" t="str">
        <f>HYPERLINK("https://drive.google.com/file/d/17xr6gZIXr05PG8uIzKCiu6KEoYxNIAMo/view?usp=drivesdk","1166_ANANG YUTANTO SH _ SERTIFIKAT BIMTEK IPASN BerAKHLASK")</f>
        <v>1166_ANANG YUTANTO SH _ SERTIFIKAT BIMTEK IPASN BerAKHLASK</v>
      </c>
      <c r="P1167" s="5" t="s">
        <v>9946</v>
      </c>
      <c r="Q1167" s="5"/>
      <c r="R1167" s="5"/>
      <c r="S1167" s="5"/>
      <c r="T1167" s="5"/>
    </row>
    <row r="1168" hidden="1">
      <c r="A1168" s="4">
        <v>45534.330692118056</v>
      </c>
      <c r="B1168" s="5" t="s">
        <v>19</v>
      </c>
      <c r="C1168" s="5" t="s">
        <v>292</v>
      </c>
      <c r="E1168" s="5" t="s">
        <v>9982</v>
      </c>
      <c r="F1168" s="5" t="s">
        <v>72</v>
      </c>
      <c r="G1168" s="5" t="s">
        <v>9983</v>
      </c>
      <c r="H1168" s="6" t="s">
        <v>9984</v>
      </c>
      <c r="I1168" s="7" t="s">
        <v>9985</v>
      </c>
      <c r="J1168" s="8" t="str">
        <f>HYPERLINK("https://drive.google.com/file/d/1_Ah4AOEJqKzBlr5DczjOQj9yU5gZz-dZ/view?usp=drivesdk","SRI PURWANTI, SPD SERTIFIKAT BerAKHLAK")</f>
        <v>SRI PURWANTI, SPD SERTIFIKAT BerAKHLAK</v>
      </c>
      <c r="K1168" s="5" t="s">
        <v>9528</v>
      </c>
      <c r="L1168" s="5" t="s">
        <v>9986</v>
      </c>
      <c r="M1168" s="5" t="s">
        <v>9987</v>
      </c>
      <c r="N1168" s="7" t="s">
        <v>9988</v>
      </c>
      <c r="O1168" s="8" t="str">
        <f>HYPERLINK("https://drive.google.com/file/d/1RXyqsDzmVddPuMyZ4qLzmCLuRZrsmPg2/view?usp=drivesdk","1167_SRI PURWANTI, SPD _ SERTIFIKAT BIMTEK IPASN BerAKHLASK")</f>
        <v>1167_SRI PURWANTI, SPD _ SERTIFIKAT BIMTEK IPASN BerAKHLASK</v>
      </c>
      <c r="P1168" s="5" t="s">
        <v>9989</v>
      </c>
      <c r="Q1168" s="5"/>
      <c r="R1168" s="5"/>
      <c r="S1168" s="5"/>
      <c r="T1168" s="5"/>
    </row>
    <row r="1169">
      <c r="A1169" s="4">
        <v>45534.33070854167</v>
      </c>
      <c r="B1169" s="5" t="s">
        <v>34</v>
      </c>
      <c r="D1169" s="5" t="s">
        <v>1206</v>
      </c>
      <c r="E1169" s="5" t="s">
        <v>9990</v>
      </c>
      <c r="F1169" s="5" t="s">
        <v>375</v>
      </c>
      <c r="G1169" s="5" t="s">
        <v>9991</v>
      </c>
      <c r="H1169" s="6" t="s">
        <v>9992</v>
      </c>
      <c r="I1169" s="7" t="s">
        <v>9993</v>
      </c>
      <c r="J1169" s="8" t="str">
        <f>HYPERLINK("https://drive.google.com/file/d/1i8LXKf3rhgiytgXniez_NM8P7LMUCEIe/view?usp=drivesdk","dr. ANITA RAHMAWATI SERTIFIKAT BerAKHLAK")</f>
        <v>dr. ANITA RAHMAWATI SERTIFIKAT BerAKHLAK</v>
      </c>
      <c r="K1169" s="5" t="s">
        <v>9528</v>
      </c>
      <c r="L1169" s="5" t="s">
        <v>9994</v>
      </c>
      <c r="M1169" s="5" t="s">
        <v>9995</v>
      </c>
      <c r="N1169" s="7" t="s">
        <v>9996</v>
      </c>
      <c r="O1169" s="8" t="str">
        <f>HYPERLINK("https://drive.google.com/file/d/1OOOswlelX0VcS-zkRZFGMEyb4lbZDuQJ/view?usp=drivesdk","1168_dr. ANITA RAHMAWATI _ SERTIFIKAT BIMTEK IPASN BerAKHLASK")</f>
        <v>1168_dr. ANITA RAHMAWATI _ SERTIFIKAT BIMTEK IPASN BerAKHLASK</v>
      </c>
      <c r="P1169" s="5" t="s">
        <v>9989</v>
      </c>
      <c r="Q1169" s="5"/>
      <c r="R1169" s="5"/>
      <c r="S1169" s="5"/>
      <c r="T1169" s="5"/>
    </row>
    <row r="1170">
      <c r="A1170" s="4">
        <v>45534.330718599536</v>
      </c>
      <c r="B1170" s="5" t="s">
        <v>34</v>
      </c>
      <c r="D1170" s="5" t="s">
        <v>35</v>
      </c>
      <c r="E1170" s="5" t="s">
        <v>9997</v>
      </c>
      <c r="F1170" s="5" t="s">
        <v>212</v>
      </c>
      <c r="G1170" s="5" t="s">
        <v>9998</v>
      </c>
      <c r="H1170" s="6" t="s">
        <v>9999</v>
      </c>
      <c r="I1170" s="7" t="s">
        <v>10000</v>
      </c>
      <c r="J1170" s="8" t="str">
        <f>HYPERLINK("https://drive.google.com/file/d/1W4uWQSkNXaI-Z6OpmFmfl531cjc0jjO6/view?usp=drivesdk","PENGATUR TK. I ROSMIYATI SERTIFIKAT BerAKHLAK")</f>
        <v>PENGATUR TK. I ROSMIYATI SERTIFIKAT BerAKHLAK</v>
      </c>
      <c r="K1170" s="5" t="s">
        <v>9528</v>
      </c>
      <c r="L1170" s="5" t="s">
        <v>10001</v>
      </c>
      <c r="M1170" s="5" t="s">
        <v>10002</v>
      </c>
      <c r="N1170" s="7" t="s">
        <v>10003</v>
      </c>
      <c r="O1170" s="8" t="str">
        <f>HYPERLINK("https://drive.google.com/file/d/1ZZjzUiNWrsRofNf1DAg2_mw7KzCpmam2/view?usp=drivesdk","1169_PENGATUR TK. I ROSMIYATI _ SERTIFIKAT BIMTEK IPASN BerAKHLASK")</f>
        <v>1169_PENGATUR TK. I ROSMIYATI _ SERTIFIKAT BIMTEK IPASN BerAKHLASK</v>
      </c>
      <c r="P1170" s="5" t="s">
        <v>9989</v>
      </c>
      <c r="Q1170" s="5"/>
      <c r="R1170" s="5"/>
      <c r="S1170" s="5"/>
      <c r="T1170" s="5"/>
    </row>
    <row r="1171">
      <c r="A1171" s="4">
        <v>45534.330725</v>
      </c>
      <c r="B1171" s="5" t="s">
        <v>34</v>
      </c>
      <c r="D1171" s="5" t="s">
        <v>4775</v>
      </c>
      <c r="E1171" s="5" t="s">
        <v>10004</v>
      </c>
      <c r="F1171" s="5" t="s">
        <v>72</v>
      </c>
      <c r="G1171" s="5" t="s">
        <v>10005</v>
      </c>
      <c r="H1171" s="6" t="s">
        <v>10006</v>
      </c>
      <c r="I1171" s="7" t="s">
        <v>10007</v>
      </c>
      <c r="J1171" s="8" t="str">
        <f>HYPERLINK("https://drive.google.com/file/d/12K4MtfTltENRg6WVSOeR2yh433z3zeaR/view?usp=drivesdk","NANIK DWI RAHAYU, S.Kep., M.H. SERTIFIKAT BerAKHLAK")</f>
        <v>NANIK DWI RAHAYU, S.Kep., M.H. SERTIFIKAT BerAKHLAK</v>
      </c>
      <c r="K1171" s="5" t="s">
        <v>9528</v>
      </c>
      <c r="L1171" s="5" t="s">
        <v>10008</v>
      </c>
      <c r="M1171" s="5" t="s">
        <v>10009</v>
      </c>
      <c r="N1171" s="7" t="s">
        <v>10010</v>
      </c>
      <c r="O1171" s="8" t="str">
        <f>HYPERLINK("https://drive.google.com/file/d/14COKjjWfc0-y-1GggihnbkUr5K6lRRdz/view?usp=drivesdk","1170_NANIK DWI RAHAYU, S.Kep., M.H. _ SERTIFIKAT BIMTEK IPASN BerAKHLASK")</f>
        <v>1170_NANIK DWI RAHAYU, S.Kep., M.H. _ SERTIFIKAT BIMTEK IPASN BerAKHLASK</v>
      </c>
      <c r="P1171" s="5" t="s">
        <v>9989</v>
      </c>
      <c r="Q1171" s="5"/>
      <c r="R1171" s="5"/>
      <c r="S1171" s="5"/>
      <c r="T1171" s="5"/>
    </row>
    <row r="1172" hidden="1">
      <c r="A1172" s="4">
        <v>45534.330734097224</v>
      </c>
      <c r="B1172" s="5" t="s">
        <v>19</v>
      </c>
      <c r="C1172" s="5" t="s">
        <v>466</v>
      </c>
      <c r="E1172" s="5" t="s">
        <v>10011</v>
      </c>
      <c r="F1172" s="5" t="s">
        <v>375</v>
      </c>
      <c r="G1172" s="5" t="s">
        <v>10012</v>
      </c>
      <c r="H1172" s="6" t="s">
        <v>10013</v>
      </c>
      <c r="I1172" s="7" t="s">
        <v>10014</v>
      </c>
      <c r="J1172" s="8" t="str">
        <f>HYPERLINK("https://drive.google.com/file/d/1QZ9q1Kp0iHizd5PjFm-hGs625IMQHjZC/view?usp=drivesdk","IRWAN SUNDORO ST SERTIFIKAT BerAKHLAK")</f>
        <v>IRWAN SUNDORO ST SERTIFIKAT BerAKHLAK</v>
      </c>
      <c r="K1172" s="5" t="s">
        <v>9528</v>
      </c>
      <c r="L1172" s="5" t="s">
        <v>10015</v>
      </c>
      <c r="M1172" s="5" t="s">
        <v>10016</v>
      </c>
      <c r="N1172" s="7" t="s">
        <v>10017</v>
      </c>
      <c r="O1172" s="8" t="str">
        <f>HYPERLINK("https://drive.google.com/file/d/1Q82iAS4By6vsRBKhGJTxDyukVxqTADIG/view?usp=drivesdk","1171_IRWAN SUNDORO ST _ SERTIFIKAT BIMTEK IPASN BerAKHLASK")</f>
        <v>1171_IRWAN SUNDORO ST _ SERTIFIKAT BIMTEK IPASN BerAKHLASK</v>
      </c>
      <c r="P1172" s="5" t="s">
        <v>9989</v>
      </c>
      <c r="Q1172" s="5"/>
      <c r="R1172" s="5"/>
      <c r="S1172" s="5"/>
      <c r="T1172" s="5"/>
    </row>
    <row r="1173">
      <c r="A1173" s="4">
        <v>45534.330744756946</v>
      </c>
      <c r="B1173" s="5" t="s">
        <v>34</v>
      </c>
      <c r="D1173" s="5" t="s">
        <v>280</v>
      </c>
      <c r="E1173" s="5" t="s">
        <v>10018</v>
      </c>
      <c r="F1173" s="5" t="s">
        <v>715</v>
      </c>
      <c r="G1173" s="5" t="s">
        <v>10019</v>
      </c>
      <c r="H1173" s="6" t="s">
        <v>10020</v>
      </c>
      <c r="I1173" s="7" t="s">
        <v>10021</v>
      </c>
      <c r="J1173" s="8" t="str">
        <f>HYPERLINK("https://drive.google.com/file/d/1YuRRj1ECMhAibrjtV5Q0ed-o69j7FG5-/view?usp=drivesdk","FITRI LINA AMK AMK SERTIFIKAT BerAKHLAK")</f>
        <v>FITRI LINA AMK AMK SERTIFIKAT BerAKHLAK</v>
      </c>
      <c r="K1173" s="5" t="s">
        <v>9528</v>
      </c>
      <c r="L1173" s="5" t="s">
        <v>10022</v>
      </c>
      <c r="M1173" s="5" t="s">
        <v>10023</v>
      </c>
      <c r="N1173" s="7" t="s">
        <v>10024</v>
      </c>
      <c r="O1173" s="8" t="str">
        <f>HYPERLINK("https://drive.google.com/file/d/1KRl12UZwLpERjk6u2gaYNG4rshjPLOFA/view?usp=drivesdk","1172_FITRI LINA AMK AMK _ SERTIFIKAT BIMTEK IPASN BerAKHLASK")</f>
        <v>1172_FITRI LINA AMK AMK _ SERTIFIKAT BIMTEK IPASN BerAKHLASK</v>
      </c>
      <c r="P1173" s="5" t="s">
        <v>10025</v>
      </c>
      <c r="Q1173" s="5"/>
      <c r="R1173" s="5"/>
      <c r="S1173" s="5"/>
      <c r="T1173" s="5"/>
    </row>
    <row r="1174">
      <c r="A1174" s="4">
        <v>45534.33075547454</v>
      </c>
      <c r="B1174" s="5" t="s">
        <v>34</v>
      </c>
      <c r="D1174" s="5" t="s">
        <v>4775</v>
      </c>
      <c r="E1174" s="5" t="s">
        <v>10026</v>
      </c>
      <c r="F1174" s="5" t="s">
        <v>108</v>
      </c>
      <c r="G1174" s="5" t="s">
        <v>10027</v>
      </c>
      <c r="H1174" s="6" t="s">
        <v>10028</v>
      </c>
      <c r="I1174" s="7" t="s">
        <v>10029</v>
      </c>
      <c r="J1174" s="8" t="str">
        <f>HYPERLINK("https://drive.google.com/file/d/10R8rmbQwHMmHAHBpmb0aet90PpXzymbk/view?usp=drivesdk","SYAIFUL AGUNG PRAMONO, A.Md SERTIFIKAT BerAKHLAK")</f>
        <v>SYAIFUL AGUNG PRAMONO, A.Md SERTIFIKAT BerAKHLAK</v>
      </c>
      <c r="K1174" s="5" t="s">
        <v>9528</v>
      </c>
      <c r="L1174" s="5" t="s">
        <v>10030</v>
      </c>
      <c r="M1174" s="5" t="s">
        <v>10031</v>
      </c>
      <c r="N1174" s="7" t="s">
        <v>10032</v>
      </c>
      <c r="O1174" s="8" t="str">
        <f>HYPERLINK("https://drive.google.com/file/d/1mnuYoTTSgLKlEngP8krkpLvGr00UYLFY/view?usp=drivesdk","1173_SYAIFUL AGUNG PRAMONO, A.Md _ SERTIFIKAT BIMTEK IPASN BerAKHLASK")</f>
        <v>1173_SYAIFUL AGUNG PRAMONO, A.Md _ SERTIFIKAT BIMTEK IPASN BerAKHLASK</v>
      </c>
      <c r="P1174" s="5" t="s">
        <v>10025</v>
      </c>
      <c r="Q1174" s="5"/>
      <c r="R1174" s="5"/>
      <c r="S1174" s="5"/>
      <c r="T1174" s="5"/>
    </row>
    <row r="1175">
      <c r="A1175" s="4">
        <v>45534.330755902774</v>
      </c>
      <c r="B1175" s="5" t="s">
        <v>34</v>
      </c>
      <c r="D1175" s="5" t="s">
        <v>35</v>
      </c>
      <c r="E1175" s="5" t="s">
        <v>10033</v>
      </c>
      <c r="F1175" s="5" t="s">
        <v>72</v>
      </c>
      <c r="G1175" s="5" t="s">
        <v>10034</v>
      </c>
      <c r="H1175" s="6" t="s">
        <v>10035</v>
      </c>
      <c r="I1175" s="7" t="s">
        <v>10036</v>
      </c>
      <c r="J1175" s="8" t="str">
        <f>HYPERLINK("https://drive.google.com/file/d/1k8ezbLzygF9NyMco7pDL9z0fqtmHqb1k/view?usp=drivesdk","SRI YULIANTI SAMANI SERTIFIKAT BerAKHLAK")</f>
        <v>SRI YULIANTI SAMANI SERTIFIKAT BerAKHLAK</v>
      </c>
      <c r="K1175" s="5" t="s">
        <v>9565</v>
      </c>
      <c r="L1175" s="5" t="s">
        <v>10037</v>
      </c>
      <c r="M1175" s="5" t="s">
        <v>10038</v>
      </c>
      <c r="N1175" s="7" t="s">
        <v>10039</v>
      </c>
      <c r="O1175" s="8" t="str">
        <f>HYPERLINK("https://drive.google.com/file/d/1B-OM_jWPQdIF6NptZRRAiz9C8373xQkP/view?usp=drivesdk","1174_SRI YULIANTI SAMANI _ SERTIFIKAT BIMTEK IPASN BerAKHLASK")</f>
        <v>1174_SRI YULIANTI SAMANI _ SERTIFIKAT BIMTEK IPASN BerAKHLASK</v>
      </c>
      <c r="P1175" s="5" t="s">
        <v>10025</v>
      </c>
      <c r="Q1175" s="5"/>
      <c r="R1175" s="5"/>
      <c r="S1175" s="5"/>
      <c r="T1175" s="5"/>
    </row>
    <row r="1176">
      <c r="A1176" s="4">
        <v>45534.33076020834</v>
      </c>
      <c r="B1176" s="5" t="s">
        <v>34</v>
      </c>
      <c r="D1176" s="5" t="s">
        <v>996</v>
      </c>
      <c r="E1176" s="5" t="s">
        <v>10040</v>
      </c>
      <c r="F1176" s="5" t="s">
        <v>37</v>
      </c>
      <c r="G1176" s="5" t="s">
        <v>10041</v>
      </c>
      <c r="H1176" s="6" t="s">
        <v>10042</v>
      </c>
      <c r="I1176" s="7" t="s">
        <v>10043</v>
      </c>
      <c r="J1176" s="8" t="str">
        <f>HYPERLINK("https://drive.google.com/file/d/17gCjGAjn5IIE-VP9fJ7TfgAbABK84cIE/view?usp=drivesdk","SERI JAENADI SERI SERTIFIKAT BerAKHLAK")</f>
        <v>SERI JAENADI SERI SERTIFIKAT BerAKHLAK</v>
      </c>
      <c r="K1176" s="5" t="s">
        <v>9565</v>
      </c>
      <c r="L1176" s="5" t="s">
        <v>10044</v>
      </c>
      <c r="M1176" s="5" t="s">
        <v>10045</v>
      </c>
      <c r="N1176" s="7" t="s">
        <v>10046</v>
      </c>
      <c r="O1176" s="8" t="str">
        <f>HYPERLINK("https://drive.google.com/file/d/1tXr1z1qA6wJofkNw0FUH8KoqDInjy6N_/view?usp=drivesdk","1175_SERI JAENADI SERI _ SERTIFIKAT BIMTEK IPASN BerAKHLASK")</f>
        <v>1175_SERI JAENADI SERI _ SERTIFIKAT BIMTEK IPASN BerAKHLASK</v>
      </c>
      <c r="P1176" s="5" t="s">
        <v>10025</v>
      </c>
      <c r="Q1176" s="5"/>
      <c r="R1176" s="5"/>
      <c r="S1176" s="5"/>
      <c r="T1176" s="5"/>
    </row>
    <row r="1177">
      <c r="A1177" s="4">
        <v>45534.330787025465</v>
      </c>
      <c r="B1177" s="5" t="s">
        <v>34</v>
      </c>
      <c r="D1177" s="5" t="s">
        <v>9020</v>
      </c>
      <c r="E1177" s="5" t="s">
        <v>10047</v>
      </c>
      <c r="F1177" s="5" t="s">
        <v>37</v>
      </c>
      <c r="G1177" s="5" t="s">
        <v>10048</v>
      </c>
      <c r="H1177" s="6" t="s">
        <v>10049</v>
      </c>
      <c r="I1177" s="7" t="s">
        <v>10050</v>
      </c>
      <c r="J1177" s="8" t="str">
        <f>HYPERLINK("https://drive.google.com/file/d/1QkkIwU7L8jQcCI3EGQ-i3Ab4FrzkRnE_/view?usp=drivesdk","NOGA KURNIAWAN, S.H. SERTIFIKAT BerAKHLAK")</f>
        <v>NOGA KURNIAWAN, S.H. SERTIFIKAT BerAKHLAK</v>
      </c>
      <c r="K1177" s="5" t="s">
        <v>9528</v>
      </c>
      <c r="L1177" s="5" t="s">
        <v>10051</v>
      </c>
      <c r="M1177" s="5" t="s">
        <v>10052</v>
      </c>
      <c r="N1177" s="7" t="s">
        <v>10053</v>
      </c>
      <c r="O1177" s="8" t="str">
        <f>HYPERLINK("https://drive.google.com/file/d/1iYwSpoM8EU5gELjoY7k2Ni6jCmmXFSyu/view?usp=drivesdk","1176_NOGA KURNIAWAN, S.H. _ SERTIFIKAT BIMTEK IPASN BerAKHLASK")</f>
        <v>1176_NOGA KURNIAWAN, S.H. _ SERTIFIKAT BIMTEK IPASN BerAKHLASK</v>
      </c>
      <c r="P1177" s="5" t="s">
        <v>10025</v>
      </c>
      <c r="Q1177" s="5"/>
      <c r="R1177" s="5"/>
      <c r="S1177" s="5"/>
      <c r="T1177" s="5"/>
    </row>
    <row r="1178">
      <c r="A1178" s="4">
        <v>45534.330800752316</v>
      </c>
      <c r="B1178" s="5" t="s">
        <v>34</v>
      </c>
      <c r="D1178" s="5" t="s">
        <v>1206</v>
      </c>
      <c r="E1178" s="5" t="s">
        <v>10054</v>
      </c>
      <c r="F1178" s="5" t="s">
        <v>37</v>
      </c>
      <c r="G1178" s="5" t="s">
        <v>10055</v>
      </c>
      <c r="H1178" s="6" t="s">
        <v>10056</v>
      </c>
      <c r="I1178" s="7" t="s">
        <v>10057</v>
      </c>
      <c r="J1178" s="8" t="str">
        <f>HYPERLINK("https://drive.google.com/file/d/1h01oXJf4mYasL3kw28tIieuv8aZohEeg/view?usp=drivesdk","MOCHAMMAD ASNAWI SERTIFIKAT BerAKHLAK")</f>
        <v>MOCHAMMAD ASNAWI SERTIFIKAT BerAKHLAK</v>
      </c>
      <c r="K1178" s="5" t="s">
        <v>9565</v>
      </c>
      <c r="L1178" s="5" t="s">
        <v>10058</v>
      </c>
      <c r="M1178" s="5" t="s">
        <v>10059</v>
      </c>
      <c r="N1178" s="7" t="s">
        <v>10060</v>
      </c>
      <c r="O1178" s="8" t="str">
        <f>HYPERLINK("https://drive.google.com/file/d/1Qj-FeQeHof2bUAkjC063xiBEauBbnfg8/view?usp=drivesdk","1177_MOCHAMMAD ASNAWI _ SERTIFIKAT BIMTEK IPASN BerAKHLASK")</f>
        <v>1177_MOCHAMMAD ASNAWI _ SERTIFIKAT BIMTEK IPASN BerAKHLASK</v>
      </c>
      <c r="P1178" s="5" t="s">
        <v>10061</v>
      </c>
      <c r="Q1178" s="5"/>
      <c r="R1178" s="5"/>
      <c r="S1178" s="5"/>
      <c r="T1178" s="5"/>
    </row>
    <row r="1179">
      <c r="A1179" s="4">
        <v>45534.33081731481</v>
      </c>
      <c r="B1179" s="5" t="s">
        <v>34</v>
      </c>
      <c r="D1179" s="5" t="s">
        <v>9020</v>
      </c>
      <c r="E1179" s="5" t="s">
        <v>10062</v>
      </c>
      <c r="F1179" s="5" t="s">
        <v>375</v>
      </c>
      <c r="G1179" s="5" t="s">
        <v>10063</v>
      </c>
      <c r="H1179" s="6" t="s">
        <v>10064</v>
      </c>
      <c r="I1179" s="7" t="s">
        <v>10065</v>
      </c>
      <c r="J1179" s="8" t="str">
        <f>HYPERLINK("https://drive.google.com/file/d/12rH7mvjhAGu9XV-K0V91s00Jd0s4-m2n/view?usp=drivesdk","MINTA BERLINA,S.E SERTIFIKAT BerAKHLAK")</f>
        <v>MINTA BERLINA,S.E SERTIFIKAT BerAKHLAK</v>
      </c>
      <c r="K1179" s="5" t="s">
        <v>9528</v>
      </c>
      <c r="L1179" s="5" t="s">
        <v>10066</v>
      </c>
      <c r="M1179" s="5" t="s">
        <v>10067</v>
      </c>
      <c r="N1179" s="7" t="s">
        <v>10068</v>
      </c>
      <c r="O1179" s="8" t="str">
        <f>HYPERLINK("https://drive.google.com/file/d/1L0SHCaP4f2oRhAQuLWdNT7FYNlXbjXTj/view?usp=drivesdk","1178_MINTA BERLINA,S.E _ SERTIFIKAT BIMTEK IPASN BerAKHLASK")</f>
        <v>1178_MINTA BERLINA,S.E _ SERTIFIKAT BIMTEK IPASN BerAKHLASK</v>
      </c>
      <c r="P1179" s="5" t="s">
        <v>10061</v>
      </c>
      <c r="Q1179" s="5"/>
      <c r="R1179" s="5"/>
      <c r="S1179" s="5"/>
      <c r="T1179" s="5"/>
    </row>
    <row r="1180">
      <c r="A1180" s="4">
        <v>45534.330838344904</v>
      </c>
      <c r="B1180" s="5" t="s">
        <v>34</v>
      </c>
      <c r="D1180" s="5" t="s">
        <v>4775</v>
      </c>
      <c r="E1180" s="5" t="s">
        <v>10069</v>
      </c>
      <c r="F1180" s="5" t="s">
        <v>108</v>
      </c>
      <c r="G1180" s="5" t="s">
        <v>10070</v>
      </c>
      <c r="H1180" s="6" t="s">
        <v>10071</v>
      </c>
      <c r="I1180" s="7" t="s">
        <v>10072</v>
      </c>
      <c r="J1180" s="8" t="str">
        <f>HYPERLINK("https://drive.google.com/file/d/1vqXgUhUthRyXGr6lrFPfi1LhudiUMbyj/view?usp=drivesdk","ENDAH SUSILAWATI SERTIFIKAT BerAKHLAK")</f>
        <v>ENDAH SUSILAWATI SERTIFIKAT BerAKHLAK</v>
      </c>
      <c r="K1180" s="5" t="s">
        <v>9528</v>
      </c>
      <c r="L1180" s="5" t="s">
        <v>10073</v>
      </c>
      <c r="M1180" s="5" t="s">
        <v>10074</v>
      </c>
      <c r="N1180" s="7" t="s">
        <v>10075</v>
      </c>
      <c r="O1180" s="8" t="str">
        <f>HYPERLINK("https://drive.google.com/file/d/1bt37AEUyK_9CHm6qHo2S_g_8ykAC4Qj9/view?usp=drivesdk","1179_ENDAH SUSILAWATI _ SERTIFIKAT BIMTEK IPASN BerAKHLASK")</f>
        <v>1179_ENDAH SUSILAWATI _ SERTIFIKAT BIMTEK IPASN BerAKHLASK</v>
      </c>
      <c r="P1180" s="5" t="s">
        <v>10061</v>
      </c>
      <c r="Q1180" s="5"/>
      <c r="R1180" s="5"/>
      <c r="S1180" s="5"/>
      <c r="T1180" s="5"/>
    </row>
    <row r="1181">
      <c r="A1181" s="4">
        <v>45534.33084498842</v>
      </c>
      <c r="B1181" s="5" t="s">
        <v>34</v>
      </c>
      <c r="D1181" s="5" t="s">
        <v>280</v>
      </c>
      <c r="E1181" s="5" t="s">
        <v>10076</v>
      </c>
      <c r="F1181" s="5" t="s">
        <v>212</v>
      </c>
      <c r="G1181" s="5" t="s">
        <v>10077</v>
      </c>
      <c r="H1181" s="6" t="s">
        <v>10078</v>
      </c>
      <c r="I1181" s="7" t="s">
        <v>10079</v>
      </c>
      <c r="J1181" s="8" t="str">
        <f>HYPERLINK("https://drive.google.com/file/d/15dXlW8fQOFCFKmFPH189vkYpPBfALjRA/view?usp=drivesdk","RONY FAISAL TANJUNG, A.Md.Rad SERTIFIKAT BerAKHLAK")</f>
        <v>RONY FAISAL TANJUNG, A.Md.Rad SERTIFIKAT BerAKHLAK</v>
      </c>
      <c r="K1181" s="5" t="s">
        <v>9565</v>
      </c>
      <c r="L1181" s="5" t="s">
        <v>10080</v>
      </c>
      <c r="M1181" s="5" t="s">
        <v>10081</v>
      </c>
      <c r="N1181" s="7" t="s">
        <v>10082</v>
      </c>
      <c r="O1181" s="8" t="str">
        <f>HYPERLINK("https://drive.google.com/file/d/1gdmisxQquDpu5RahKhZ1bJ3MC3CFc7Ki/view?usp=drivesdk","1180_RONY FAISAL TANJUNG, A.Md.Rad _ SERTIFIKAT BIMTEK IPASN BerAKHLASK")</f>
        <v>1180_RONY FAISAL TANJUNG, A.Md.Rad _ SERTIFIKAT BIMTEK IPASN BerAKHLASK</v>
      </c>
      <c r="P1181" s="5" t="s">
        <v>10061</v>
      </c>
      <c r="Q1181" s="5"/>
      <c r="R1181" s="5"/>
      <c r="S1181" s="5"/>
      <c r="T1181" s="5"/>
    </row>
    <row r="1182">
      <c r="A1182" s="4">
        <v>45534.33085063657</v>
      </c>
      <c r="B1182" s="5" t="s">
        <v>34</v>
      </c>
      <c r="D1182" s="5" t="s">
        <v>35</v>
      </c>
      <c r="E1182" s="5" t="s">
        <v>10083</v>
      </c>
      <c r="F1182" s="5" t="s">
        <v>37</v>
      </c>
      <c r="G1182" s="5" t="s">
        <v>10084</v>
      </c>
      <c r="H1182" s="6" t="s">
        <v>10085</v>
      </c>
      <c r="K1182" s="5" t="s">
        <v>10086</v>
      </c>
      <c r="M1182" s="5" t="s">
        <v>10087</v>
      </c>
      <c r="N1182" s="7" t="s">
        <v>10088</v>
      </c>
      <c r="O1182" s="8" t="str">
        <f>HYPERLINK("https://drive.google.com/file/d/1Me-u3P0Q5Qmaxpk4asYPW05hAJQ1pd1p/view?usp=drivesdk","1181_DAMAR ASIH MAHASTUTI  _ SERTIFIKAT BIMTEK IPASN BerAKHLASK")</f>
        <v>1181_DAMAR ASIH MAHASTUTI  _ SERTIFIKAT BIMTEK IPASN BerAKHLASK</v>
      </c>
      <c r="P1182" s="5" t="s">
        <v>10061</v>
      </c>
      <c r="Q1182" s="5"/>
      <c r="R1182" s="5"/>
      <c r="S1182" s="5"/>
      <c r="T1182" s="5"/>
    </row>
    <row r="1183" hidden="1">
      <c r="A1183" s="4">
        <v>45534.33086107639</v>
      </c>
      <c r="B1183" s="5" t="s">
        <v>19</v>
      </c>
      <c r="C1183" s="5" t="s">
        <v>3301</v>
      </c>
      <c r="E1183" s="5" t="s">
        <v>10089</v>
      </c>
      <c r="F1183" s="5" t="s">
        <v>37</v>
      </c>
      <c r="G1183" s="5" t="s">
        <v>10090</v>
      </c>
      <c r="H1183" s="6" t="s">
        <v>10091</v>
      </c>
      <c r="K1183" s="5" t="s">
        <v>10086</v>
      </c>
      <c r="M1183" s="5" t="s">
        <v>10092</v>
      </c>
      <c r="N1183" s="7" t="s">
        <v>10093</v>
      </c>
      <c r="O1183" s="8" t="str">
        <f>HYPERLINK("https://drive.google.com/file/d/1lN-GYfBBs16k4rpxCoZe6qJf-8YA1AWe/view?usp=drivesdk","1182_YOSSI ERLINA SAPUTRI,Amd.Kep _ SERTIFIKAT BIMTEK IPASN BerAKHLASK")</f>
        <v>1182_YOSSI ERLINA SAPUTRI,Amd.Kep _ SERTIFIKAT BIMTEK IPASN BerAKHLASK</v>
      </c>
      <c r="P1183" s="5" t="s">
        <v>10061</v>
      </c>
      <c r="Q1183" s="5"/>
      <c r="R1183" s="5"/>
      <c r="S1183" s="5"/>
      <c r="T1183" s="5"/>
    </row>
    <row r="1184">
      <c r="A1184" s="4">
        <v>45534.3308658912</v>
      </c>
      <c r="B1184" s="5" t="s">
        <v>34</v>
      </c>
      <c r="D1184" s="5" t="s">
        <v>4775</v>
      </c>
      <c r="E1184" s="5" t="s">
        <v>10094</v>
      </c>
      <c r="F1184" s="5" t="s">
        <v>212</v>
      </c>
      <c r="G1184" s="5" t="s">
        <v>10095</v>
      </c>
      <c r="H1184" s="6" t="s">
        <v>10096</v>
      </c>
      <c r="K1184" s="5" t="s">
        <v>10086</v>
      </c>
      <c r="M1184" s="5" t="s">
        <v>10097</v>
      </c>
      <c r="N1184" s="7" t="s">
        <v>10098</v>
      </c>
      <c r="O1184" s="8" t="str">
        <f>HYPERLINK("https://drive.google.com/file/d/1GP_9IaBShnqCsXW4ISFATXG39CxQably/view?usp=drivesdk","1183_GUNADI BOWO SANTOSO  _ SERTIFIKAT BIMTEK IPASN BerAKHLASK")</f>
        <v>1183_GUNADI BOWO SANTOSO  _ SERTIFIKAT BIMTEK IPASN BerAKHLASK</v>
      </c>
      <c r="P1184" s="5" t="s">
        <v>10099</v>
      </c>
      <c r="Q1184" s="5"/>
      <c r="R1184" s="5"/>
      <c r="S1184" s="5"/>
      <c r="T1184" s="5"/>
    </row>
    <row r="1185">
      <c r="A1185" s="4">
        <v>45534.330880231486</v>
      </c>
      <c r="B1185" s="5" t="s">
        <v>34</v>
      </c>
      <c r="D1185" s="5" t="s">
        <v>4775</v>
      </c>
      <c r="E1185" s="5" t="s">
        <v>10100</v>
      </c>
      <c r="F1185" s="5" t="s">
        <v>120</v>
      </c>
      <c r="G1185" s="5" t="s">
        <v>10101</v>
      </c>
      <c r="H1185" s="6" t="s">
        <v>10102</v>
      </c>
      <c r="K1185" s="5" t="s">
        <v>10086</v>
      </c>
      <c r="M1185" s="5" t="s">
        <v>10103</v>
      </c>
      <c r="N1185" s="7" t="s">
        <v>10104</v>
      </c>
      <c r="O1185" s="8" t="str">
        <f>HYPERLINK("https://drive.google.com/file/d/1z_qbcde26BvpadfArGmo4ytLHd868nS-/view?usp=drivesdk","1184_JOKO SOELISTIJONO. SH _ SERTIFIKAT BIMTEK IPASN BerAKHLASK")</f>
        <v>1184_JOKO SOELISTIJONO. SH _ SERTIFIKAT BIMTEK IPASN BerAKHLASK</v>
      </c>
      <c r="P1185" s="5" t="s">
        <v>10099</v>
      </c>
      <c r="Q1185" s="5"/>
      <c r="R1185" s="5"/>
      <c r="S1185" s="5"/>
      <c r="T1185" s="5"/>
    </row>
    <row r="1186">
      <c r="A1186" s="4">
        <v>45534.330884270836</v>
      </c>
      <c r="B1186" s="5" t="s">
        <v>34</v>
      </c>
      <c r="D1186" s="5" t="s">
        <v>4775</v>
      </c>
      <c r="E1186" s="5" t="s">
        <v>10105</v>
      </c>
      <c r="F1186" s="5" t="s">
        <v>108</v>
      </c>
      <c r="G1186" s="5" t="s">
        <v>10106</v>
      </c>
      <c r="H1186" s="6" t="s">
        <v>10107</v>
      </c>
      <c r="K1186" s="5" t="s">
        <v>10086</v>
      </c>
      <c r="M1186" s="5" t="s">
        <v>10108</v>
      </c>
      <c r="N1186" s="7" t="s">
        <v>10109</v>
      </c>
      <c r="O1186" s="8" t="str">
        <f>HYPERLINK("https://drive.google.com/file/d/1VINrcM-Wy0-l5hsPJaHaE6A0GckTWTyg/view?usp=drivesdk","1185_DWI HARI BUDI SAKTIAWAN  _ SERTIFIKAT BIMTEK IPASN BerAKHLASK")</f>
        <v>1185_DWI HARI BUDI SAKTIAWAN  _ SERTIFIKAT BIMTEK IPASN BerAKHLASK</v>
      </c>
      <c r="P1186" s="5" t="s">
        <v>10099</v>
      </c>
      <c r="Q1186" s="5"/>
      <c r="R1186" s="5"/>
      <c r="S1186" s="5"/>
      <c r="T1186" s="5"/>
    </row>
    <row r="1187">
      <c r="A1187" s="4">
        <v>45534.33088466435</v>
      </c>
      <c r="B1187" s="5" t="s">
        <v>34</v>
      </c>
      <c r="D1187" s="5" t="s">
        <v>9020</v>
      </c>
      <c r="E1187" s="5" t="s">
        <v>10110</v>
      </c>
      <c r="F1187" s="5" t="s">
        <v>72</v>
      </c>
      <c r="G1187" s="5" t="s">
        <v>10111</v>
      </c>
      <c r="H1187" s="6" t="s">
        <v>10112</v>
      </c>
      <c r="K1187" s="5" t="s">
        <v>10086</v>
      </c>
      <c r="M1187" s="5" t="s">
        <v>10113</v>
      </c>
      <c r="N1187" s="7" t="s">
        <v>10114</v>
      </c>
      <c r="O1187" s="8" t="str">
        <f>HYPERLINK("https://drive.google.com/file/d/1rlIVHVmYnYdx-IK2zJCEy5__mIjeNHAy/view?usp=drivesdk","1186_AINAL MARDIAH, S.E. _ SERTIFIKAT BIMTEK IPASN BerAKHLASK")</f>
        <v>1186_AINAL MARDIAH, S.E. _ SERTIFIKAT BIMTEK IPASN BerAKHLASK</v>
      </c>
      <c r="P1187" s="5" t="s">
        <v>10099</v>
      </c>
      <c r="Q1187" s="5"/>
      <c r="R1187" s="5"/>
      <c r="S1187" s="5"/>
      <c r="T1187" s="5"/>
    </row>
    <row r="1188">
      <c r="A1188" s="4">
        <v>45534.33088865741</v>
      </c>
      <c r="B1188" s="5" t="s">
        <v>34</v>
      </c>
      <c r="D1188" s="5" t="s">
        <v>9020</v>
      </c>
      <c r="E1188" s="5" t="s">
        <v>10115</v>
      </c>
      <c r="F1188" s="5" t="s">
        <v>524</v>
      </c>
      <c r="G1188" s="5" t="s">
        <v>10116</v>
      </c>
      <c r="H1188" s="6" t="s">
        <v>10117</v>
      </c>
      <c r="K1188" s="5" t="s">
        <v>10086</v>
      </c>
      <c r="M1188" s="5" t="s">
        <v>10118</v>
      </c>
      <c r="N1188" s="7" t="s">
        <v>10119</v>
      </c>
      <c r="O1188" s="8" t="str">
        <f>HYPERLINK("https://drive.google.com/file/d/1CDIoikrYuluEJtUgRFmDeYKxOYYBhdaM/view?usp=drivesdk","1187_SRI WIDYAWATI, A.Md _ SERTIFIKAT BIMTEK IPASN BerAKHLASK")</f>
        <v>1187_SRI WIDYAWATI, A.Md _ SERTIFIKAT BIMTEK IPASN BerAKHLASK</v>
      </c>
      <c r="P1188" s="5" t="s">
        <v>10099</v>
      </c>
      <c r="Q1188" s="5"/>
      <c r="R1188" s="5"/>
      <c r="S1188" s="5"/>
      <c r="T1188" s="5"/>
    </row>
    <row r="1189">
      <c r="A1189" s="4">
        <v>45534.33088866898</v>
      </c>
      <c r="B1189" s="5" t="s">
        <v>34</v>
      </c>
      <c r="D1189" s="5" t="s">
        <v>9020</v>
      </c>
      <c r="E1189" s="5" t="s">
        <v>10120</v>
      </c>
      <c r="F1189" s="5" t="s">
        <v>524</v>
      </c>
      <c r="G1189" s="5" t="s">
        <v>10121</v>
      </c>
      <c r="H1189" s="6" t="s">
        <v>10122</v>
      </c>
      <c r="K1189" s="5" t="s">
        <v>10086</v>
      </c>
      <c r="M1189" s="5" t="s">
        <v>10123</v>
      </c>
      <c r="N1189" s="7" t="s">
        <v>10124</v>
      </c>
      <c r="O1189" s="8" t="str">
        <f>HYPERLINK("https://drive.google.com/file/d/1S-mmtrwQN65XZ61Bn9u9bpvQZSfyH_pD/view?usp=drivesdk","1188_ENNY MARTLIDO NABABAN, S.K.M. _ SERTIFIKAT BIMTEK IPASN BerAKHLASK")</f>
        <v>1188_ENNY MARTLIDO NABABAN, S.K.M. _ SERTIFIKAT BIMTEK IPASN BerAKHLASK</v>
      </c>
      <c r="P1189" s="5" t="s">
        <v>10125</v>
      </c>
      <c r="Q1189" s="5"/>
      <c r="R1189" s="5"/>
      <c r="S1189" s="5"/>
      <c r="T1189" s="5"/>
    </row>
    <row r="1190">
      <c r="A1190" s="4">
        <v>45534.330901678244</v>
      </c>
      <c r="B1190" s="5" t="s">
        <v>34</v>
      </c>
      <c r="D1190" s="5" t="s">
        <v>4775</v>
      </c>
      <c r="E1190" s="5" t="s">
        <v>10126</v>
      </c>
      <c r="F1190" s="5" t="s">
        <v>37</v>
      </c>
      <c r="G1190" s="5" t="s">
        <v>10127</v>
      </c>
      <c r="H1190" s="6" t="s">
        <v>10128</v>
      </c>
      <c r="I1190" s="7" t="s">
        <v>10129</v>
      </c>
      <c r="J1190" s="8" t="str">
        <f>HYPERLINK("https://drive.google.com/file/d/1-it44g-YQ7gLWl8zCM6E3vZad9e5rYGU/view?usp=drivesdk","AYI SUPRIATNA SERTIFIKAT BerAKHLAK")</f>
        <v>AYI SUPRIATNA SERTIFIKAT BerAKHLAK</v>
      </c>
      <c r="K1190" s="5" t="s">
        <v>9565</v>
      </c>
      <c r="L1190" s="5" t="s">
        <v>10130</v>
      </c>
      <c r="M1190" s="5" t="s">
        <v>10131</v>
      </c>
      <c r="N1190" s="7" t="s">
        <v>10132</v>
      </c>
      <c r="O1190" s="8" t="str">
        <f>HYPERLINK("https://drive.google.com/file/d/1vPGnVhUU2xmyPD73LcKngJ8ay5PQ_6V2/view?usp=drivesdk","1189_AYI SUPRIATNA _ SERTIFIKAT BIMTEK IPASN BerAKHLASK")</f>
        <v>1189_AYI SUPRIATNA _ SERTIFIKAT BIMTEK IPASN BerAKHLASK</v>
      </c>
      <c r="P1190" s="5" t="s">
        <v>10125</v>
      </c>
      <c r="Q1190" s="5"/>
      <c r="R1190" s="5"/>
      <c r="S1190" s="5"/>
      <c r="T1190" s="5"/>
    </row>
    <row r="1191">
      <c r="A1191" s="4">
        <v>45534.3309021412</v>
      </c>
      <c r="B1191" s="5" t="s">
        <v>34</v>
      </c>
      <c r="D1191" s="5" t="s">
        <v>1768</v>
      </c>
      <c r="E1191" s="5" t="s">
        <v>10133</v>
      </c>
      <c r="F1191" s="5" t="s">
        <v>37</v>
      </c>
      <c r="G1191" s="5" t="s">
        <v>10134</v>
      </c>
      <c r="H1191" s="6" t="s">
        <v>10135</v>
      </c>
      <c r="I1191" s="7" t="s">
        <v>10136</v>
      </c>
      <c r="J1191" s="8" t="str">
        <f>HYPERLINK("https://drive.google.com/file/d/1zhAKJvrNRhnzzY7gvLAFTfyaGbA_1LWI/view?usp=drivesdk","JAYANTIE PRIMASARI ISKABUL, S.Kom SERTIFIKAT BerAKHLAK")</f>
        <v>JAYANTIE PRIMASARI ISKABUL, S.Kom SERTIFIKAT BerAKHLAK</v>
      </c>
      <c r="K1191" s="5" t="s">
        <v>9565</v>
      </c>
      <c r="L1191" s="5" t="s">
        <v>10137</v>
      </c>
      <c r="M1191" s="5" t="s">
        <v>10138</v>
      </c>
      <c r="N1191" s="7" t="s">
        <v>10139</v>
      </c>
      <c r="O1191" s="8" t="str">
        <f>HYPERLINK("https://drive.google.com/file/d/1UuVkDM5oR-sl0RfFslFn2xlqIKg7mQEv/view?usp=drivesdk","1190_JAYANTIE PRIMASARI ISKABUL, S.Kom _ SERTIFIKAT BIMTEK IPASN BerAKHLASK")</f>
        <v>1190_JAYANTIE PRIMASARI ISKABUL, S.Kom _ SERTIFIKAT BIMTEK IPASN BerAKHLASK</v>
      </c>
      <c r="P1191" s="5" t="s">
        <v>10125</v>
      </c>
      <c r="Q1191" s="5"/>
      <c r="R1191" s="5"/>
      <c r="S1191" s="5"/>
      <c r="T1191" s="5"/>
    </row>
    <row r="1192">
      <c r="A1192" s="4">
        <v>45534.33090862268</v>
      </c>
      <c r="B1192" s="5" t="s">
        <v>34</v>
      </c>
      <c r="D1192" s="5" t="s">
        <v>1692</v>
      </c>
      <c r="E1192" s="5" t="s">
        <v>10140</v>
      </c>
      <c r="F1192" s="5" t="s">
        <v>108</v>
      </c>
      <c r="G1192" s="5" t="s">
        <v>10141</v>
      </c>
      <c r="H1192" s="6" t="s">
        <v>10142</v>
      </c>
      <c r="I1192" s="7" t="s">
        <v>10143</v>
      </c>
      <c r="J1192" s="8" t="str">
        <f>HYPERLINK("https://drive.google.com/file/d/11tcYemhI_QlBnp9KRm3yh-H4t2S0J9Zl/view?usp=drivesdk","GERITJE KANAITANG SERTIFIKAT BerAKHLAK")</f>
        <v>GERITJE KANAITANG SERTIFIKAT BerAKHLAK</v>
      </c>
      <c r="K1192" s="5" t="s">
        <v>9565</v>
      </c>
      <c r="L1192" s="5" t="s">
        <v>10144</v>
      </c>
      <c r="M1192" s="5" t="s">
        <v>10145</v>
      </c>
      <c r="N1192" s="7" t="s">
        <v>10146</v>
      </c>
      <c r="O1192" s="8" t="str">
        <f>HYPERLINK("https://drive.google.com/file/d/15-HHvlRZqzRnwzMvHBo3MWu1ILmQ934F/view?usp=drivesdk","1191_GERITJE KANAITANG _ SERTIFIKAT BIMTEK IPASN BerAKHLASK")</f>
        <v>1191_GERITJE KANAITANG _ SERTIFIKAT BIMTEK IPASN BerAKHLASK</v>
      </c>
      <c r="P1192" s="5" t="s">
        <v>10125</v>
      </c>
      <c r="Q1192" s="5"/>
      <c r="R1192" s="5"/>
      <c r="S1192" s="5"/>
      <c r="T1192" s="5"/>
    </row>
    <row r="1193">
      <c r="A1193" s="4">
        <v>45534.330930393524</v>
      </c>
      <c r="B1193" s="5" t="s">
        <v>34</v>
      </c>
      <c r="D1193" s="5" t="s">
        <v>975</v>
      </c>
      <c r="E1193" s="5" t="s">
        <v>10147</v>
      </c>
      <c r="F1193" s="5" t="s">
        <v>108</v>
      </c>
      <c r="G1193" s="5" t="s">
        <v>10148</v>
      </c>
      <c r="H1193" s="6" t="s">
        <v>10149</v>
      </c>
      <c r="K1193" s="5" t="s">
        <v>10150</v>
      </c>
      <c r="M1193" s="5" t="s">
        <v>10151</v>
      </c>
      <c r="N1193" s="7" t="s">
        <v>10152</v>
      </c>
      <c r="O1193" s="8" t="str">
        <f>HYPERLINK("https://drive.google.com/file/d/1Tdj1Uujt3fE600H5BqlrlFRAvio-nZAm/view?usp=drivesdk","1192_HASAN ASHARI AMD KEP _ SERTIFIKAT BIMTEK IPASN BerAKHLASK")</f>
        <v>1192_HASAN ASHARI AMD KEP _ SERTIFIKAT BIMTEK IPASN BerAKHLASK</v>
      </c>
      <c r="P1193" s="5" t="s">
        <v>10125</v>
      </c>
      <c r="Q1193" s="5"/>
      <c r="R1193" s="5"/>
      <c r="S1193" s="5"/>
      <c r="T1193" s="5"/>
    </row>
    <row r="1194" hidden="1">
      <c r="A1194" s="4">
        <v>45534.33095949074</v>
      </c>
      <c r="B1194" s="5" t="s">
        <v>19</v>
      </c>
      <c r="C1194" s="5" t="s">
        <v>3301</v>
      </c>
      <c r="E1194" s="5" t="s">
        <v>10153</v>
      </c>
      <c r="F1194" s="5" t="s">
        <v>108</v>
      </c>
      <c r="G1194" s="5" t="s">
        <v>10154</v>
      </c>
      <c r="H1194" s="6" t="s">
        <v>10155</v>
      </c>
      <c r="I1194" s="7" t="s">
        <v>10156</v>
      </c>
      <c r="J1194" s="8" t="str">
        <f>HYPERLINK("https://drive.google.com/file/d/16sYkRJUy9oIDO-HcLACmT9p_K2-Yo-bu/view?usp=drivesdk","WINDA YUNITASARI SERTIFIKAT BerAKHLAK")</f>
        <v>WINDA YUNITASARI SERTIFIKAT BerAKHLAK</v>
      </c>
      <c r="K1194" s="5" t="s">
        <v>9565</v>
      </c>
      <c r="L1194" s="5" t="s">
        <v>10157</v>
      </c>
      <c r="M1194" s="5" t="s">
        <v>10158</v>
      </c>
      <c r="N1194" s="7" t="s">
        <v>10159</v>
      </c>
      <c r="O1194" s="8" t="str">
        <f>HYPERLINK("https://drive.google.com/file/d/1fa6jrEFuEHVjgY1-zInAYwV0NW0kjNWo/view?usp=drivesdk","1193_WINDA YUNITASARI _ SERTIFIKAT BIMTEK IPASN BerAKHLASK")</f>
        <v>1193_WINDA YUNITASARI _ SERTIFIKAT BIMTEK IPASN BerAKHLASK</v>
      </c>
      <c r="P1194" s="5" t="s">
        <v>10160</v>
      </c>
      <c r="Q1194" s="5"/>
      <c r="R1194" s="5"/>
      <c r="S1194" s="5"/>
      <c r="T1194" s="5"/>
    </row>
    <row r="1195">
      <c r="A1195" s="4">
        <v>45534.33097243056</v>
      </c>
      <c r="B1195" s="5" t="s">
        <v>34</v>
      </c>
      <c r="D1195" s="5" t="s">
        <v>1206</v>
      </c>
      <c r="E1195" s="5" t="s">
        <v>10161</v>
      </c>
      <c r="F1195" s="5" t="s">
        <v>37</v>
      </c>
      <c r="G1195" s="5" t="s">
        <v>10162</v>
      </c>
      <c r="H1195" s="6" t="s">
        <v>10163</v>
      </c>
      <c r="I1195" s="7" t="s">
        <v>10164</v>
      </c>
      <c r="J1195" s="8" t="str">
        <f>HYPERLINK("https://drive.google.com/file/d/1gKW3l3ZoLtnFc6Ft_XCRxOXKpkfeQYeu/view?usp=drivesdk","DADANG FREDY SOEBHIAKTO SERTIFIKAT BerAKHLAK")</f>
        <v>DADANG FREDY SOEBHIAKTO SERTIFIKAT BerAKHLAK</v>
      </c>
      <c r="K1195" s="5" t="s">
        <v>9565</v>
      </c>
      <c r="L1195" s="5" t="s">
        <v>10165</v>
      </c>
      <c r="M1195" s="5" t="s">
        <v>10166</v>
      </c>
      <c r="N1195" s="7" t="s">
        <v>10167</v>
      </c>
      <c r="O1195" s="8" t="str">
        <f>HYPERLINK("https://drive.google.com/file/d/1YQ7hL0Z_LwBpt6OR1s4bHtsmV1hOfZqv/view?usp=drivesdk","1194_DADANG FREDY SOEBHIAKTO _ SERTIFIKAT BIMTEK IPASN BerAKHLASK")</f>
        <v>1194_DADANG FREDY SOEBHIAKTO _ SERTIFIKAT BIMTEK IPASN BerAKHLASK</v>
      </c>
      <c r="P1195" s="5" t="s">
        <v>10160</v>
      </c>
      <c r="Q1195" s="5"/>
      <c r="R1195" s="5"/>
      <c r="S1195" s="5"/>
      <c r="T1195" s="5"/>
    </row>
    <row r="1196">
      <c r="A1196" s="4">
        <v>45534.330974780096</v>
      </c>
      <c r="B1196" s="5" t="s">
        <v>34</v>
      </c>
      <c r="D1196" s="5" t="s">
        <v>1206</v>
      </c>
      <c r="E1196" s="5" t="s">
        <v>10168</v>
      </c>
      <c r="F1196" s="5" t="s">
        <v>212</v>
      </c>
      <c r="G1196" s="5" t="s">
        <v>10169</v>
      </c>
      <c r="H1196" s="6" t="s">
        <v>10170</v>
      </c>
      <c r="I1196" s="7" t="s">
        <v>10171</v>
      </c>
      <c r="J1196" s="8" t="str">
        <f>HYPERLINK("https://drive.google.com/file/d/1b-kwhyuGOlHZU_yaJTctW3AIMM_8wGzV/view?usp=drivesdk","DODIK HERU SUSANTO SERTIFIKAT BerAKHLAK")</f>
        <v>DODIK HERU SUSANTO SERTIFIKAT BerAKHLAK</v>
      </c>
      <c r="K1196" s="5" t="s">
        <v>9565</v>
      </c>
      <c r="L1196" s="5" t="s">
        <v>10172</v>
      </c>
      <c r="M1196" s="5" t="s">
        <v>10173</v>
      </c>
      <c r="N1196" s="7" t="s">
        <v>10174</v>
      </c>
      <c r="O1196" s="8" t="str">
        <f>HYPERLINK("https://drive.google.com/file/d/1h29ey2AmucuMSoD2ReRQKfL0sTEsmbcz/view?usp=drivesdk","1195_DODIK HERU SUSANTO _ SERTIFIKAT BIMTEK IPASN BerAKHLASK")</f>
        <v>1195_DODIK HERU SUSANTO _ SERTIFIKAT BIMTEK IPASN BerAKHLASK</v>
      </c>
      <c r="P1196" s="5" t="s">
        <v>10160</v>
      </c>
      <c r="Q1196" s="5"/>
      <c r="R1196" s="5"/>
      <c r="S1196" s="5"/>
      <c r="T1196" s="5"/>
    </row>
    <row r="1197">
      <c r="A1197" s="4">
        <v>45534.3309799537</v>
      </c>
      <c r="B1197" s="5" t="s">
        <v>34</v>
      </c>
      <c r="D1197" s="5" t="s">
        <v>3849</v>
      </c>
      <c r="E1197" s="5" t="s">
        <v>10175</v>
      </c>
      <c r="F1197" s="5" t="s">
        <v>524</v>
      </c>
      <c r="G1197" s="5" t="s">
        <v>10176</v>
      </c>
      <c r="H1197" s="6" t="s">
        <v>10177</v>
      </c>
      <c r="I1197" s="7" t="s">
        <v>10178</v>
      </c>
      <c r="J1197" s="8" t="str">
        <f>HYPERLINK("https://drive.google.com/file/d/1mc6MwpYWDvZ9J9XeLZt7WD8cnT6pEvuq/view?usp=drivesdk","RISMA OKTARINA SERTIFIKAT BerAKHLAK")</f>
        <v>RISMA OKTARINA SERTIFIKAT BerAKHLAK</v>
      </c>
      <c r="K1197" s="5" t="s">
        <v>9565</v>
      </c>
      <c r="L1197" s="5" t="s">
        <v>10179</v>
      </c>
      <c r="M1197" s="5" t="s">
        <v>10180</v>
      </c>
      <c r="N1197" s="7" t="s">
        <v>10181</v>
      </c>
      <c r="O1197" s="8" t="str">
        <f>HYPERLINK("https://drive.google.com/file/d/1qH5Q3Q150Z-iWfIiWsmS_MY9k8ulo0lT/view?usp=drivesdk","1196_RISMA OKTARINA _ SERTIFIKAT BIMTEK IPASN BerAKHLASK")</f>
        <v>1196_RISMA OKTARINA _ SERTIFIKAT BIMTEK IPASN BerAKHLASK</v>
      </c>
      <c r="P1197" s="5" t="s">
        <v>10160</v>
      </c>
      <c r="Q1197" s="5"/>
      <c r="R1197" s="5"/>
      <c r="S1197" s="5"/>
      <c r="T1197" s="5"/>
    </row>
    <row r="1198">
      <c r="A1198" s="4">
        <v>45534.33099650463</v>
      </c>
      <c r="B1198" s="5" t="s">
        <v>34</v>
      </c>
      <c r="D1198" s="5" t="s">
        <v>6232</v>
      </c>
      <c r="E1198" s="5" t="s">
        <v>10182</v>
      </c>
      <c r="F1198" s="5" t="s">
        <v>375</v>
      </c>
      <c r="G1198" s="5" t="s">
        <v>10183</v>
      </c>
      <c r="H1198" s="6" t="s">
        <v>10184</v>
      </c>
      <c r="I1198" s="7" t="s">
        <v>10185</v>
      </c>
      <c r="J1198" s="8" t="str">
        <f>HYPERLINK("https://drive.google.com/file/d/1zXD_ikRtODljVHiQIo15FBusCPI-aMxc/view?usp=drivesdk","MINTARIA S.KOM, M.S.I SERTIFIKAT BerAKHLAK")</f>
        <v>MINTARIA S.KOM, M.S.I SERTIFIKAT BerAKHLAK</v>
      </c>
      <c r="K1198" s="5" t="s">
        <v>9565</v>
      </c>
      <c r="L1198" s="5" t="s">
        <v>10186</v>
      </c>
      <c r="M1198" s="5" t="s">
        <v>10187</v>
      </c>
      <c r="N1198" s="7" t="s">
        <v>10188</v>
      </c>
      <c r="O1198" s="8" t="str">
        <f>HYPERLINK("https://drive.google.com/file/d/12e4acMLm_49O6h2R4kC-RxkH4niGjee3/view?usp=drivesdk","1197_MINTARIA S.KOM, M.S.I _ SERTIFIKAT BIMTEK IPASN BerAKHLASK")</f>
        <v>1197_MINTARIA S.KOM, M.S.I _ SERTIFIKAT BIMTEK IPASN BerAKHLASK</v>
      </c>
      <c r="P1198" s="5" t="s">
        <v>10160</v>
      </c>
      <c r="Q1198" s="5"/>
      <c r="R1198" s="5"/>
      <c r="S1198" s="5"/>
      <c r="T1198" s="5"/>
    </row>
    <row r="1199">
      <c r="A1199" s="4">
        <v>45534.33103935185</v>
      </c>
      <c r="B1199" s="5" t="s">
        <v>34</v>
      </c>
      <c r="D1199" s="5" t="s">
        <v>4775</v>
      </c>
      <c r="E1199" s="5" t="s">
        <v>10189</v>
      </c>
      <c r="F1199" s="5" t="s">
        <v>375</v>
      </c>
      <c r="G1199" s="5" t="s">
        <v>10190</v>
      </c>
      <c r="H1199" s="6" t="s">
        <v>10191</v>
      </c>
      <c r="I1199" s="7" t="s">
        <v>10192</v>
      </c>
      <c r="J1199" s="8" t="str">
        <f>HYPERLINK("https://drive.google.com/file/d/1JnYi7K6oqIOjIXsgvbJkaYPElQ_3IHFB/view?usp=drivesdk","NOVERI HARTATI,SE SERTIFIKAT BerAKHLAK")</f>
        <v>NOVERI HARTATI,SE SERTIFIKAT BerAKHLAK</v>
      </c>
      <c r="K1199" s="5" t="s">
        <v>9565</v>
      </c>
      <c r="L1199" s="5" t="s">
        <v>10193</v>
      </c>
      <c r="M1199" s="5" t="s">
        <v>10194</v>
      </c>
      <c r="N1199" s="7" t="s">
        <v>10195</v>
      </c>
      <c r="O1199" s="8" t="str">
        <f>HYPERLINK("https://drive.google.com/file/d/1Ls2k_tVWrBep8jAyWeCBusc5-U3Xs8MY/view?usp=drivesdk","1198_NOVERI HARTATI,SE _ SERTIFIKAT BIMTEK IPASN BerAKHLASK")</f>
        <v>1198_NOVERI HARTATI,SE _ SERTIFIKAT BIMTEK IPASN BerAKHLASK</v>
      </c>
      <c r="P1199" s="5" t="s">
        <v>10196</v>
      </c>
      <c r="Q1199" s="5"/>
      <c r="R1199" s="5"/>
      <c r="S1199" s="5"/>
      <c r="T1199" s="5"/>
    </row>
    <row r="1200">
      <c r="A1200" s="4">
        <v>45534.33103909722</v>
      </c>
      <c r="B1200" s="5" t="s">
        <v>34</v>
      </c>
      <c r="D1200" s="5" t="s">
        <v>1206</v>
      </c>
      <c r="E1200" s="5" t="s">
        <v>10197</v>
      </c>
      <c r="F1200" s="5" t="s">
        <v>375</v>
      </c>
      <c r="G1200" s="5" t="s">
        <v>10198</v>
      </c>
      <c r="H1200" s="6" t="s">
        <v>10199</v>
      </c>
      <c r="I1200" s="7" t="s">
        <v>10200</v>
      </c>
      <c r="J1200" s="8" t="str">
        <f>HYPERLINK("https://drive.google.com/file/d/14KmeVBlA6EcSTctJ_QeZhC-egTty0W5M/view?usp=drivesdk","INDAH MUSTIKASARI, S. E.  SERTIFIKAT BerAKHLAK")</f>
        <v>INDAH MUSTIKASARI, S. E.  SERTIFIKAT BerAKHLAK</v>
      </c>
      <c r="K1200" s="5" t="s">
        <v>9565</v>
      </c>
      <c r="L1200" s="5" t="s">
        <v>10201</v>
      </c>
      <c r="M1200" s="5" t="s">
        <v>10202</v>
      </c>
      <c r="N1200" s="7" t="s">
        <v>10203</v>
      </c>
      <c r="O1200" s="8" t="str">
        <f>HYPERLINK("https://drive.google.com/file/d/1It5EUu6yENHi6GPUtJN8F4M72FEuti6C/view?usp=drivesdk","1199_INDAH MUSTIKASARI, S. E.  _ SERTIFIKAT BIMTEK IPASN BerAKHLASK")</f>
        <v>1199_INDAH MUSTIKASARI, S. E.  _ SERTIFIKAT BIMTEK IPASN BerAKHLASK</v>
      </c>
      <c r="P1200" s="5" t="s">
        <v>10196</v>
      </c>
      <c r="Q1200" s="5"/>
      <c r="R1200" s="5"/>
      <c r="S1200" s="5"/>
      <c r="T1200" s="5"/>
    </row>
    <row r="1201">
      <c r="A1201" s="4">
        <v>45534.33104056713</v>
      </c>
      <c r="B1201" s="5" t="s">
        <v>34</v>
      </c>
      <c r="D1201" s="5" t="s">
        <v>1456</v>
      </c>
      <c r="E1201" s="5" t="s">
        <v>10204</v>
      </c>
      <c r="F1201" s="5" t="s">
        <v>375</v>
      </c>
      <c r="G1201" s="5" t="s">
        <v>10205</v>
      </c>
      <c r="H1201" s="6" t="s">
        <v>10206</v>
      </c>
      <c r="I1201" s="7" t="s">
        <v>10207</v>
      </c>
      <c r="J1201" s="8" t="str">
        <f>HYPERLINK("https://drive.google.com/file/d/11XqjKrxkk-DUvy_cI2gPpvePi-kHMCP4/view?usp=drivesdk","WAHYU RUS DWIYANTO SERTIFIKAT BerAKHLAK")</f>
        <v>WAHYU RUS DWIYANTO SERTIFIKAT BerAKHLAK</v>
      </c>
      <c r="K1201" s="5" t="s">
        <v>9565</v>
      </c>
      <c r="L1201" s="5" t="s">
        <v>10208</v>
      </c>
      <c r="M1201" s="5" t="s">
        <v>10209</v>
      </c>
      <c r="N1201" s="7" t="s">
        <v>10210</v>
      </c>
      <c r="O1201" s="8" t="str">
        <f>HYPERLINK("https://drive.google.com/file/d/1FXGAmwup3EQMRkO9bJO0vL53Iiu2Dm2-/view?usp=drivesdk","1200_WAHYU RUS DWIYANTO _ SERTIFIKAT BIMTEK IPASN BerAKHLASK")</f>
        <v>1200_WAHYU RUS DWIYANTO _ SERTIFIKAT BIMTEK IPASN BerAKHLASK</v>
      </c>
      <c r="P1201" s="5" t="s">
        <v>10196</v>
      </c>
      <c r="Q1201" s="5"/>
      <c r="R1201" s="5"/>
      <c r="S1201" s="5"/>
      <c r="T1201" s="5"/>
    </row>
    <row r="1202">
      <c r="A1202" s="4">
        <v>45534.3310477662</v>
      </c>
      <c r="B1202" s="5" t="s">
        <v>34</v>
      </c>
      <c r="D1202" s="5" t="s">
        <v>35</v>
      </c>
      <c r="E1202" s="5" t="s">
        <v>10211</v>
      </c>
      <c r="F1202" s="5" t="s">
        <v>108</v>
      </c>
      <c r="G1202" s="5" t="s">
        <v>10212</v>
      </c>
      <c r="H1202" s="6" t="s">
        <v>10213</v>
      </c>
      <c r="I1202" s="7" t="s">
        <v>10214</v>
      </c>
      <c r="J1202" s="8" t="str">
        <f>HYPERLINK("https://drive.google.com/file/d/1XoKf3_TuXqE64HguyPbNBKq-dMTQzt4-/view?usp=drivesdk","YUNI NURHAYATI,Amk SERTIFIKAT BerAKHLAK")</f>
        <v>YUNI NURHAYATI,Amk SERTIFIKAT BerAKHLAK</v>
      </c>
      <c r="K1202" s="5" t="s">
        <v>9565</v>
      </c>
      <c r="L1202" s="5" t="s">
        <v>10215</v>
      </c>
      <c r="M1202" s="5" t="s">
        <v>10216</v>
      </c>
      <c r="N1202" s="7" t="s">
        <v>10217</v>
      </c>
      <c r="O1202" s="8" t="str">
        <f>HYPERLINK("https://drive.google.com/file/d/1wa0gASvzv-M9gfx03vAviTmcC7Ck7wMk/view?usp=drivesdk","1201_YUNI NURHAYATI,Amk _ SERTIFIKAT BIMTEK IPASN BerAKHLASK")</f>
        <v>1201_YUNI NURHAYATI,Amk _ SERTIFIKAT BIMTEK IPASN BerAKHLASK</v>
      </c>
      <c r="P1202" s="5" t="s">
        <v>10196</v>
      </c>
      <c r="Q1202" s="5"/>
      <c r="R1202" s="5"/>
      <c r="S1202" s="5"/>
      <c r="T1202" s="5"/>
    </row>
    <row r="1203" hidden="1">
      <c r="A1203" s="4">
        <v>45534.33105020833</v>
      </c>
      <c r="B1203" s="5" t="s">
        <v>19</v>
      </c>
      <c r="C1203" s="5" t="s">
        <v>315</v>
      </c>
      <c r="E1203" s="5" t="s">
        <v>10218</v>
      </c>
      <c r="F1203" s="5" t="s">
        <v>212</v>
      </c>
      <c r="G1203" s="5" t="s">
        <v>10219</v>
      </c>
      <c r="H1203" s="6" t="s">
        <v>10220</v>
      </c>
      <c r="I1203" s="7" t="s">
        <v>10221</v>
      </c>
      <c r="J1203" s="8" t="str">
        <f>HYPERLINK("https://drive.google.com/file/d/1YvDNFF-TbZ1nicrF5mjhkYEZ-rC1Pz9_/view?usp=drivesdk","NISAH SARI WAHYUNI SERTIFIKAT BerAKHLAK")</f>
        <v>NISAH SARI WAHYUNI SERTIFIKAT BerAKHLAK</v>
      </c>
      <c r="K1203" s="5" t="s">
        <v>9565</v>
      </c>
      <c r="L1203" s="5" t="s">
        <v>10222</v>
      </c>
      <c r="M1203" s="5" t="s">
        <v>10223</v>
      </c>
      <c r="N1203" s="7" t="s">
        <v>10224</v>
      </c>
      <c r="O1203" s="8" t="str">
        <f>HYPERLINK("https://drive.google.com/file/d/1T6gGZVVA-Ns459RunvKc-HYn8twyvarP/view?usp=drivesdk","1202_NISAH SARI WAHYUNI _ SERTIFIKAT BIMTEK IPASN BerAKHLASK")</f>
        <v>1202_NISAH SARI WAHYUNI _ SERTIFIKAT BIMTEK IPASN BerAKHLASK</v>
      </c>
      <c r="P1203" s="5" t="s">
        <v>10196</v>
      </c>
      <c r="Q1203" s="5"/>
      <c r="R1203" s="5"/>
      <c r="S1203" s="5"/>
      <c r="T1203" s="5"/>
    </row>
    <row r="1204">
      <c r="A1204" s="4">
        <v>45534.33106662037</v>
      </c>
      <c r="B1204" s="5" t="s">
        <v>34</v>
      </c>
      <c r="D1204" s="5" t="s">
        <v>6232</v>
      </c>
      <c r="E1204" s="5" t="s">
        <v>10225</v>
      </c>
      <c r="F1204" s="5" t="s">
        <v>37</v>
      </c>
      <c r="G1204" s="5" t="s">
        <v>10226</v>
      </c>
      <c r="H1204" s="6" t="s">
        <v>10227</v>
      </c>
      <c r="K1204" s="5" t="s">
        <v>10228</v>
      </c>
      <c r="M1204" s="5" t="s">
        <v>10229</v>
      </c>
      <c r="N1204" s="7" t="s">
        <v>10230</v>
      </c>
      <c r="O1204" s="8" t="str">
        <f>HYPERLINK("https://drive.google.com/file/d/1uHgL3A1G3zrPd3JOpzqWSw1h9O_GMc2c/view?usp=drivesdk","1203_SAHAT CHRISTY SIRINGO RINGO, Amd.Kom _ SERTIFIKAT BIMTEK IPASN BerAKHLASK")</f>
        <v>1203_SAHAT CHRISTY SIRINGO RINGO, Amd.Kom _ SERTIFIKAT BIMTEK IPASN BerAKHLASK</v>
      </c>
      <c r="P1204" s="5" t="s">
        <v>10231</v>
      </c>
      <c r="Q1204" s="5"/>
      <c r="R1204" s="5"/>
      <c r="S1204" s="5"/>
      <c r="T1204" s="5"/>
    </row>
    <row r="1205" hidden="1">
      <c r="A1205" s="4">
        <v>45534.331079826385</v>
      </c>
      <c r="B1205" s="5" t="s">
        <v>19</v>
      </c>
      <c r="C1205" s="5" t="s">
        <v>466</v>
      </c>
      <c r="E1205" s="5" t="s">
        <v>10232</v>
      </c>
      <c r="F1205" s="5" t="s">
        <v>212</v>
      </c>
      <c r="G1205" s="5" t="s">
        <v>10233</v>
      </c>
      <c r="H1205" s="6" t="s">
        <v>10234</v>
      </c>
      <c r="K1205" s="5" t="s">
        <v>10228</v>
      </c>
      <c r="M1205" s="5" t="s">
        <v>10235</v>
      </c>
      <c r="N1205" s="7" t="s">
        <v>10236</v>
      </c>
      <c r="O1205" s="8" t="str">
        <f>HYPERLINK("https://drive.google.com/file/d/1gX9Dd6955ty4ukU4BwA5cgZNXF_LjAa4/view?usp=drivesdk","1204_NURANI DAMAWATI _ SERTIFIKAT BIMTEK IPASN BerAKHLASK")</f>
        <v>1204_NURANI DAMAWATI _ SERTIFIKAT BIMTEK IPASN BerAKHLASK</v>
      </c>
      <c r="P1205" s="5" t="s">
        <v>10231</v>
      </c>
      <c r="Q1205" s="5"/>
      <c r="R1205" s="5"/>
      <c r="S1205" s="5"/>
      <c r="T1205" s="5"/>
    </row>
    <row r="1206">
      <c r="A1206" s="4">
        <v>45534.33108931713</v>
      </c>
      <c r="B1206" s="5" t="s">
        <v>34</v>
      </c>
      <c r="D1206" s="5" t="s">
        <v>35</v>
      </c>
      <c r="E1206" s="5" t="s">
        <v>10237</v>
      </c>
      <c r="F1206" s="5" t="s">
        <v>524</v>
      </c>
      <c r="G1206" s="5" t="s">
        <v>10238</v>
      </c>
      <c r="H1206" s="6" t="s">
        <v>10239</v>
      </c>
      <c r="K1206" s="5" t="s">
        <v>10228</v>
      </c>
      <c r="M1206" s="5" t="s">
        <v>10240</v>
      </c>
      <c r="N1206" s="7" t="s">
        <v>10241</v>
      </c>
      <c r="O1206" s="8" t="str">
        <f>HYPERLINK("https://drive.google.com/file/d/1L5xZTjg0k2zjCAfWbH0DfmU5zhODBG3U/view?usp=drivesdk","1205_JAJANG MULYANA, SKM _ SERTIFIKAT BIMTEK IPASN BerAKHLASK")</f>
        <v>1205_JAJANG MULYANA, SKM _ SERTIFIKAT BIMTEK IPASN BerAKHLASK</v>
      </c>
      <c r="P1206" s="5" t="s">
        <v>10231</v>
      </c>
      <c r="Q1206" s="5"/>
      <c r="R1206" s="5"/>
      <c r="S1206" s="5"/>
      <c r="T1206" s="5"/>
    </row>
    <row r="1207">
      <c r="A1207" s="4">
        <v>45534.33109037037</v>
      </c>
      <c r="B1207" s="5" t="s">
        <v>34</v>
      </c>
      <c r="D1207" s="5" t="s">
        <v>35</v>
      </c>
      <c r="E1207" s="5" t="s">
        <v>10242</v>
      </c>
      <c r="F1207" s="5" t="s">
        <v>72</v>
      </c>
      <c r="G1207" s="5" t="s">
        <v>10243</v>
      </c>
      <c r="H1207" s="6" t="s">
        <v>10244</v>
      </c>
      <c r="K1207" s="5" t="s">
        <v>10228</v>
      </c>
      <c r="M1207" s="5" t="s">
        <v>10245</v>
      </c>
      <c r="N1207" s="7" t="s">
        <v>10246</v>
      </c>
      <c r="O1207" s="8" t="str">
        <f>HYPERLINK("https://drive.google.com/file/d/1MoDgL2G28zP3LyrYKbVrNvqxwHB_DFpL/view?usp=drivesdk","1206_TITOHKUSTIAH _ SERTIFIKAT BIMTEK IPASN BerAKHLASK")</f>
        <v>1206_TITOHKUSTIAH _ SERTIFIKAT BIMTEK IPASN BerAKHLASK</v>
      </c>
      <c r="P1207" s="5" t="s">
        <v>10231</v>
      </c>
      <c r="Q1207" s="5"/>
      <c r="R1207" s="5"/>
      <c r="S1207" s="5"/>
      <c r="T1207" s="5"/>
    </row>
    <row r="1208">
      <c r="A1208" s="4">
        <v>45534.331112395834</v>
      </c>
      <c r="B1208" s="5" t="s">
        <v>34</v>
      </c>
      <c r="D1208" s="5" t="s">
        <v>280</v>
      </c>
      <c r="E1208" s="5" t="s">
        <v>10247</v>
      </c>
      <c r="F1208" s="5" t="s">
        <v>524</v>
      </c>
      <c r="G1208" s="5" t="s">
        <v>10248</v>
      </c>
      <c r="H1208" s="6" t="s">
        <v>10249</v>
      </c>
      <c r="I1208" s="7" t="s">
        <v>10250</v>
      </c>
      <c r="J1208" s="8" t="str">
        <f>HYPERLINK("https://drive.google.com/file/d/1mCv6LJIF3tYa5OjnSqrLY9YFKSOizrjJ/view?usp=drivesdk","PENDA WAN SYADRI SERTIFIKAT BerAKHLAK")</f>
        <v>PENDA WAN SYADRI SERTIFIKAT BerAKHLAK</v>
      </c>
      <c r="K1208" s="5" t="s">
        <v>9565</v>
      </c>
      <c r="L1208" s="5" t="s">
        <v>10251</v>
      </c>
      <c r="M1208" s="5" t="s">
        <v>10252</v>
      </c>
      <c r="N1208" s="7" t="s">
        <v>10253</v>
      </c>
      <c r="O1208" s="8" t="str">
        <f>HYPERLINK("https://drive.google.com/file/d/1fa-P4B0UDWnPpnb2bHY4zhvnp_7NlKHd/view?usp=drivesdk","1207_PENDA WAN SYADRI _ SERTIFIKAT BIMTEK IPASN BerAKHLASK")</f>
        <v>1207_PENDA WAN SYADRI _ SERTIFIKAT BIMTEK IPASN BerAKHLASK</v>
      </c>
      <c r="P1208" s="5" t="s">
        <v>10231</v>
      </c>
      <c r="Q1208" s="5"/>
      <c r="R1208" s="5"/>
      <c r="S1208" s="5"/>
      <c r="T1208" s="5"/>
    </row>
    <row r="1209">
      <c r="A1209" s="4">
        <v>45534.33111392361</v>
      </c>
      <c r="B1209" s="5" t="s">
        <v>34</v>
      </c>
      <c r="D1209" s="5" t="s">
        <v>604</v>
      </c>
      <c r="E1209" s="5" t="s">
        <v>10254</v>
      </c>
      <c r="F1209" s="5" t="s">
        <v>375</v>
      </c>
      <c r="G1209" s="5" t="s">
        <v>10255</v>
      </c>
      <c r="H1209" s="6" t="s">
        <v>10256</v>
      </c>
      <c r="I1209" s="7" t="s">
        <v>10257</v>
      </c>
      <c r="J1209" s="8" t="str">
        <f>HYPERLINK("https://drive.google.com/file/d/12BZ_slDxrZYfn2WE0jegyItE9f_3Dlec/view?usp=drivesdk","SETYO SUBROTO M, SH SERTIFIKAT BerAKHLAK")</f>
        <v>SETYO SUBROTO M, SH SERTIFIKAT BerAKHLAK</v>
      </c>
      <c r="K1209" s="5" t="s">
        <v>9565</v>
      </c>
      <c r="L1209" s="5" t="s">
        <v>10258</v>
      </c>
      <c r="M1209" s="5" t="s">
        <v>10259</v>
      </c>
      <c r="N1209" s="7" t="s">
        <v>10260</v>
      </c>
      <c r="O1209" s="8" t="str">
        <f>HYPERLINK("https://drive.google.com/file/d/1y6b2X_PQFE3eK2Pw1rP9EFiLsHjO-JrW/view?usp=drivesdk","1208_SETYO SUBROTO M, SH _ SERTIFIKAT BIMTEK IPASN BerAKHLASK")</f>
        <v>1208_SETYO SUBROTO M, SH _ SERTIFIKAT BIMTEK IPASN BerAKHLASK</v>
      </c>
      <c r="P1209" s="5" t="s">
        <v>10231</v>
      </c>
      <c r="Q1209" s="5"/>
      <c r="R1209" s="5"/>
      <c r="S1209" s="5"/>
      <c r="T1209" s="5"/>
    </row>
    <row r="1210">
      <c r="A1210" s="4">
        <v>45534.33111760417</v>
      </c>
      <c r="B1210" s="5" t="s">
        <v>34</v>
      </c>
      <c r="D1210" s="5" t="s">
        <v>35</v>
      </c>
      <c r="E1210" s="5" t="s">
        <v>10261</v>
      </c>
      <c r="F1210" s="5" t="s">
        <v>37</v>
      </c>
      <c r="G1210" s="5" t="s">
        <v>10262</v>
      </c>
      <c r="H1210" s="6" t="s">
        <v>10263</v>
      </c>
      <c r="K1210" s="5" t="s">
        <v>10264</v>
      </c>
      <c r="M1210" s="5" t="s">
        <v>10265</v>
      </c>
      <c r="N1210" s="7" t="s">
        <v>10266</v>
      </c>
      <c r="O1210" s="8" t="str">
        <f>HYPERLINK("https://drive.google.com/file/d/16xptAcu0RZYqqWMXeQDBpLock6NshKam/view?usp=drivesdk","1209_ADI IRHANDI HIDAYAT, A.Md. T _ SERTIFIKAT BIMTEK IPASN BerAKHLASK")</f>
        <v>1209_ADI IRHANDI HIDAYAT, A.Md. T _ SERTIFIKAT BIMTEK IPASN BerAKHLASK</v>
      </c>
      <c r="P1210" s="5" t="s">
        <v>10267</v>
      </c>
      <c r="Q1210" s="5"/>
      <c r="R1210" s="5"/>
      <c r="S1210" s="5"/>
      <c r="T1210" s="5"/>
    </row>
    <row r="1211" hidden="1">
      <c r="A1211" s="4">
        <v>45534.33111907408</v>
      </c>
      <c r="B1211" s="5" t="s">
        <v>19</v>
      </c>
      <c r="C1211" s="5" t="s">
        <v>8666</v>
      </c>
      <c r="E1211" s="5" t="s">
        <v>10268</v>
      </c>
      <c r="F1211" s="5" t="s">
        <v>108</v>
      </c>
      <c r="G1211" s="5" t="s">
        <v>10269</v>
      </c>
      <c r="H1211" s="6" t="s">
        <v>10270</v>
      </c>
      <c r="K1211" s="5" t="s">
        <v>10264</v>
      </c>
      <c r="M1211" s="5" t="s">
        <v>10271</v>
      </c>
      <c r="N1211" s="7" t="s">
        <v>10272</v>
      </c>
      <c r="O1211" s="8" t="str">
        <f>HYPERLINK("https://drive.google.com/file/d/1W9VOUU5rh4vLXNA01wIJj944IoGGuuMT/view?usp=drivesdk","1210_MEIRY CORRY MARPAUNG, A.Md. _ SERTIFIKAT BIMTEK IPASN BerAKHLASK")</f>
        <v>1210_MEIRY CORRY MARPAUNG, A.Md. _ SERTIFIKAT BIMTEK IPASN BerAKHLASK</v>
      </c>
      <c r="P1211" s="5" t="s">
        <v>10267</v>
      </c>
      <c r="Q1211" s="5"/>
      <c r="R1211" s="5"/>
      <c r="S1211" s="5"/>
      <c r="T1211" s="5"/>
    </row>
    <row r="1212">
      <c r="A1212" s="4">
        <v>45534.33112607639</v>
      </c>
      <c r="B1212" s="5" t="s">
        <v>34</v>
      </c>
      <c r="D1212" s="5" t="s">
        <v>267</v>
      </c>
      <c r="E1212" s="5" t="s">
        <v>10273</v>
      </c>
      <c r="F1212" s="5" t="s">
        <v>212</v>
      </c>
      <c r="G1212" s="5" t="s">
        <v>10274</v>
      </c>
      <c r="H1212" s="6" t="s">
        <v>10275</v>
      </c>
      <c r="K1212" s="5" t="s">
        <v>10264</v>
      </c>
      <c r="M1212" s="5" t="s">
        <v>10276</v>
      </c>
      <c r="N1212" s="7" t="s">
        <v>10277</v>
      </c>
      <c r="O1212" s="8" t="str">
        <f>HYPERLINK("https://drive.google.com/file/d/1mel4vhoNGJqtSR23MDc-v1E1BIoC8CVE/view?usp=drivesdk","1211_DEDY NUR ISWARA, A.Md. _ SERTIFIKAT BIMTEK IPASN BerAKHLASK")</f>
        <v>1211_DEDY NUR ISWARA, A.Md. _ SERTIFIKAT BIMTEK IPASN BerAKHLASK</v>
      </c>
      <c r="P1212" s="5" t="s">
        <v>10267</v>
      </c>
      <c r="Q1212" s="5"/>
      <c r="R1212" s="5"/>
      <c r="S1212" s="5"/>
      <c r="T1212" s="5"/>
    </row>
    <row r="1213">
      <c r="A1213" s="4">
        <v>45534.33113261574</v>
      </c>
      <c r="B1213" s="5" t="s">
        <v>34</v>
      </c>
      <c r="D1213" s="5" t="s">
        <v>4775</v>
      </c>
      <c r="E1213" s="5" t="s">
        <v>10278</v>
      </c>
      <c r="F1213" s="5" t="s">
        <v>37</v>
      </c>
      <c r="G1213" s="5" t="s">
        <v>10279</v>
      </c>
      <c r="H1213" s="6" t="s">
        <v>10280</v>
      </c>
      <c r="K1213" s="5" t="s">
        <v>10264</v>
      </c>
      <c r="M1213" s="5" t="s">
        <v>10281</v>
      </c>
      <c r="N1213" s="7" t="s">
        <v>10282</v>
      </c>
      <c r="O1213" s="8" t="str">
        <f>HYPERLINK("https://drive.google.com/file/d/1RZX2PGEVzn8oFZPOxi2U5OCHBFoz94DP/view?usp=drivesdk","1212_IVANA CHRISTIANI  _ SERTIFIKAT BIMTEK IPASN BerAKHLASK")</f>
        <v>1212_IVANA CHRISTIANI  _ SERTIFIKAT BIMTEK IPASN BerAKHLASK</v>
      </c>
      <c r="P1213" s="5" t="s">
        <v>10267</v>
      </c>
      <c r="Q1213" s="5"/>
      <c r="R1213" s="5"/>
      <c r="S1213" s="5"/>
      <c r="T1213" s="5"/>
    </row>
    <row r="1214">
      <c r="A1214" s="4">
        <v>45534.33117148148</v>
      </c>
      <c r="B1214" s="5" t="s">
        <v>34</v>
      </c>
      <c r="D1214" s="5" t="s">
        <v>280</v>
      </c>
      <c r="E1214" s="5" t="s">
        <v>10283</v>
      </c>
      <c r="F1214" s="5" t="s">
        <v>120</v>
      </c>
      <c r="G1214" s="5" t="s">
        <v>10284</v>
      </c>
      <c r="H1214" s="6" t="s">
        <v>10285</v>
      </c>
      <c r="I1214" s="7" t="s">
        <v>10286</v>
      </c>
      <c r="J1214" s="8" t="str">
        <f>HYPERLINK("https://drive.google.com/file/d/1A2s0s5twtYOMG0i9Vw6STvbL-A2QMdTX/view?usp=drivesdk","MUHAMMAD SUKISMAN, S.SOS.I., MSI.  SERTIFIKAT BerAKHLAK")</f>
        <v>MUHAMMAD SUKISMAN, S.SOS.I., MSI.  SERTIFIKAT BerAKHLAK</v>
      </c>
      <c r="K1214" s="5" t="s">
        <v>9565</v>
      </c>
      <c r="L1214" s="5" t="s">
        <v>10287</v>
      </c>
      <c r="M1214" s="5" t="s">
        <v>10288</v>
      </c>
      <c r="N1214" s="7" t="s">
        <v>10289</v>
      </c>
      <c r="O1214" s="8" t="str">
        <f>HYPERLINK("https://drive.google.com/file/d/142z_loEOk5hyFoqk1yuQ9wJtQMFHx-xA/view?usp=drivesdk","1213_MUHAMMAD SUKISMAN, S.SOS.I., MSI.  _ SERTIFIKAT BIMTEK IPASN BerAKHLASK")</f>
        <v>1213_MUHAMMAD SUKISMAN, S.SOS.I., MSI.  _ SERTIFIKAT BIMTEK IPASN BerAKHLASK</v>
      </c>
      <c r="P1214" s="5" t="s">
        <v>10267</v>
      </c>
      <c r="Q1214" s="5"/>
      <c r="R1214" s="5"/>
      <c r="S1214" s="5"/>
      <c r="T1214" s="5"/>
    </row>
    <row r="1215" hidden="1">
      <c r="A1215" s="4">
        <v>45534.331181643516</v>
      </c>
      <c r="B1215" s="5" t="s">
        <v>19</v>
      </c>
      <c r="C1215" s="5" t="s">
        <v>292</v>
      </c>
      <c r="E1215" s="5" t="s">
        <v>10290</v>
      </c>
      <c r="F1215" s="5" t="s">
        <v>37</v>
      </c>
      <c r="G1215" s="5" t="s">
        <v>10291</v>
      </c>
      <c r="H1215" s="6" t="s">
        <v>10292</v>
      </c>
      <c r="I1215" s="7" t="s">
        <v>10293</v>
      </c>
      <c r="J1215" s="8" t="str">
        <f>HYPERLINK("https://drive.google.com/file/d/1tvMyousjWUZvu2PAtmLsV-lJdCPfUO6T/view?usp=drivesdk","ADINDA RIZKI PURNAMA SARI  SERTIFIKAT BerAKHLAK")</f>
        <v>ADINDA RIZKI PURNAMA SARI  SERTIFIKAT BerAKHLAK</v>
      </c>
      <c r="K1215" s="5" t="s">
        <v>9565</v>
      </c>
      <c r="L1215" s="5" t="s">
        <v>10294</v>
      </c>
      <c r="M1215" s="5" t="s">
        <v>10295</v>
      </c>
      <c r="N1215" s="7" t="s">
        <v>10296</v>
      </c>
      <c r="O1215" s="8" t="str">
        <f>HYPERLINK("https://drive.google.com/file/d/1NbwXHguiLyjTFyHTiF1mS8Gm2loj4obo/view?usp=drivesdk","1214_ADINDA RIZKI PURNAMA SARI  _ SERTIFIKAT BIMTEK IPASN BerAKHLASK")</f>
        <v>1214_ADINDA RIZKI PURNAMA SARI  _ SERTIFIKAT BIMTEK IPASN BerAKHLASK</v>
      </c>
      <c r="P1215" s="5" t="s">
        <v>10267</v>
      </c>
      <c r="Q1215" s="5"/>
      <c r="R1215" s="5"/>
      <c r="S1215" s="5"/>
      <c r="T1215" s="5"/>
    </row>
    <row r="1216">
      <c r="A1216" s="4">
        <v>45534.331210902776</v>
      </c>
      <c r="B1216" s="5" t="s">
        <v>34</v>
      </c>
      <c r="D1216" s="5" t="s">
        <v>10297</v>
      </c>
      <c r="E1216" s="5" t="s">
        <v>10298</v>
      </c>
      <c r="F1216" s="5" t="s">
        <v>108</v>
      </c>
      <c r="G1216" s="5" t="s">
        <v>10299</v>
      </c>
      <c r="H1216" s="6" t="s">
        <v>10300</v>
      </c>
      <c r="I1216" s="7" t="s">
        <v>10301</v>
      </c>
      <c r="J1216" s="8" t="str">
        <f>HYPERLINK("https://drive.google.com/file/d/1_ChzoeYdzU4Cvn2FSCNYoh-aBYSIv-ih/view?usp=drivesdk","HAERANI HASAN SERTIFIKAT BerAKHLAK")</f>
        <v>HAERANI HASAN SERTIFIKAT BerAKHLAK</v>
      </c>
      <c r="K1216" s="5" t="s">
        <v>9565</v>
      </c>
      <c r="L1216" s="5" t="s">
        <v>10302</v>
      </c>
      <c r="M1216" s="5" t="s">
        <v>10303</v>
      </c>
      <c r="N1216" s="7" t="s">
        <v>10304</v>
      </c>
      <c r="O1216" s="8" t="str">
        <f>HYPERLINK("https://drive.google.com/file/d/1dyERSoJDMLzmCD2nXbktotrjFgG4aulx/view?usp=drivesdk","1215_HAERANI HASAN _ SERTIFIKAT BIMTEK IPASN BerAKHLASK")</f>
        <v>1215_HAERANI HASAN _ SERTIFIKAT BIMTEK IPASN BerAKHLASK</v>
      </c>
      <c r="P1216" s="5" t="s">
        <v>10305</v>
      </c>
      <c r="Q1216" s="5"/>
      <c r="R1216" s="5"/>
      <c r="S1216" s="5"/>
      <c r="T1216" s="5"/>
    </row>
    <row r="1217">
      <c r="A1217" s="4">
        <v>45534.33122908565</v>
      </c>
      <c r="B1217" s="5" t="s">
        <v>34</v>
      </c>
      <c r="D1217" s="5" t="s">
        <v>1206</v>
      </c>
      <c r="E1217" s="5" t="s">
        <v>10306</v>
      </c>
      <c r="F1217" s="5" t="s">
        <v>212</v>
      </c>
      <c r="G1217" s="5" t="s">
        <v>10307</v>
      </c>
      <c r="H1217" s="6" t="s">
        <v>10308</v>
      </c>
      <c r="I1217" s="7" t="s">
        <v>10309</v>
      </c>
      <c r="J1217" s="8" t="str">
        <f>HYPERLINK("https://drive.google.com/file/d/1ToPbcE5qQK_ohmAcge9alEPZq3hIC9xM/view?usp=drivesdk","NINIS WULANDARI SERTIFIKAT BerAKHLAK")</f>
        <v>NINIS WULANDARI SERTIFIKAT BerAKHLAK</v>
      </c>
      <c r="K1217" s="5" t="s">
        <v>9565</v>
      </c>
      <c r="L1217" s="5" t="s">
        <v>10310</v>
      </c>
      <c r="M1217" s="5" t="s">
        <v>10311</v>
      </c>
      <c r="N1217" s="7" t="s">
        <v>10312</v>
      </c>
      <c r="O1217" s="8" t="str">
        <f>HYPERLINK("https://drive.google.com/file/d/15SOh-HyBjKV5GmLmJe5FCzs9f258TkRv/view?usp=drivesdk","1216_NINIS WULANDARI _ SERTIFIKAT BIMTEK IPASN BerAKHLASK")</f>
        <v>1216_NINIS WULANDARI _ SERTIFIKAT BIMTEK IPASN BerAKHLASK</v>
      </c>
      <c r="P1217" s="5" t="s">
        <v>10305</v>
      </c>
      <c r="Q1217" s="5"/>
      <c r="R1217" s="5"/>
      <c r="S1217" s="5"/>
      <c r="T1217" s="5"/>
    </row>
    <row r="1218">
      <c r="A1218" s="4">
        <v>45534.33123202546</v>
      </c>
      <c r="B1218" s="5" t="s">
        <v>34</v>
      </c>
      <c r="D1218" s="5" t="s">
        <v>1768</v>
      </c>
      <c r="E1218" s="5" t="s">
        <v>10313</v>
      </c>
      <c r="F1218" s="5" t="s">
        <v>37</v>
      </c>
      <c r="G1218" s="5" t="s">
        <v>10314</v>
      </c>
      <c r="H1218" s="6" t="s">
        <v>10315</v>
      </c>
      <c r="I1218" s="7" t="s">
        <v>10316</v>
      </c>
      <c r="J1218" s="8" t="str">
        <f>HYPERLINK("https://drive.google.com/file/d/1IOJUpufs0R0fCR14RMerbM-o_HWQB-gX/view?usp=drivesdk","RACHMADALENA SERTIFIKAT BerAKHLAK")</f>
        <v>RACHMADALENA SERTIFIKAT BerAKHLAK</v>
      </c>
      <c r="K1218" s="5" t="s">
        <v>9565</v>
      </c>
      <c r="L1218" s="5" t="s">
        <v>10317</v>
      </c>
      <c r="M1218" s="5" t="s">
        <v>10318</v>
      </c>
      <c r="N1218" s="7" t="s">
        <v>10319</v>
      </c>
      <c r="O1218" s="8" t="str">
        <f>HYPERLINK("https://drive.google.com/file/d/1f_waqw25T_jQF_OtbcFv8N98NGUZ6xrQ/view?usp=drivesdk","1217_RACHMADALENA _ SERTIFIKAT BIMTEK IPASN BerAKHLASK")</f>
        <v>1217_RACHMADALENA _ SERTIFIKAT BIMTEK IPASN BerAKHLASK</v>
      </c>
      <c r="P1218" s="5" t="s">
        <v>10305</v>
      </c>
      <c r="Q1218" s="5"/>
      <c r="R1218" s="5"/>
      <c r="S1218" s="5"/>
      <c r="T1218" s="5"/>
    </row>
    <row r="1219">
      <c r="A1219" s="4">
        <v>45534.33123215278</v>
      </c>
      <c r="B1219" s="5" t="s">
        <v>34</v>
      </c>
      <c r="D1219" s="5" t="s">
        <v>35</v>
      </c>
      <c r="E1219" s="5" t="s">
        <v>10320</v>
      </c>
      <c r="F1219" s="5" t="s">
        <v>108</v>
      </c>
      <c r="G1219" s="5" t="s">
        <v>10321</v>
      </c>
      <c r="H1219" s="6" t="s">
        <v>10322</v>
      </c>
      <c r="K1219" s="5" t="s">
        <v>10323</v>
      </c>
      <c r="M1219" s="5" t="s">
        <v>10324</v>
      </c>
      <c r="N1219" s="7" t="s">
        <v>10325</v>
      </c>
      <c r="O1219" s="8" t="str">
        <f>HYPERLINK("https://drive.google.com/file/d/1XFyRSDcOZV_pNCtpJg954ewjVy95HJfU/view?usp=drivesdk","1218_SIGIT HARYANTO _ SERTIFIKAT BIMTEK IPASN BerAKHLASK")</f>
        <v>1218_SIGIT HARYANTO _ SERTIFIKAT BIMTEK IPASN BerAKHLASK</v>
      </c>
      <c r="P1219" s="5" t="s">
        <v>10305</v>
      </c>
      <c r="Q1219" s="5"/>
      <c r="R1219" s="5"/>
      <c r="S1219" s="5"/>
      <c r="T1219" s="5"/>
    </row>
    <row r="1220">
      <c r="A1220" s="4">
        <v>45534.331235578706</v>
      </c>
      <c r="B1220" s="5" t="s">
        <v>34</v>
      </c>
      <c r="D1220" s="5" t="s">
        <v>9020</v>
      </c>
      <c r="E1220" s="5" t="s">
        <v>10326</v>
      </c>
      <c r="F1220" s="5" t="s">
        <v>524</v>
      </c>
      <c r="G1220" s="5" t="s">
        <v>10327</v>
      </c>
      <c r="H1220" s="6" t="s">
        <v>10328</v>
      </c>
      <c r="K1220" s="5" t="s">
        <v>10323</v>
      </c>
      <c r="M1220" s="5" t="s">
        <v>10329</v>
      </c>
      <c r="N1220" s="7" t="s">
        <v>10330</v>
      </c>
      <c r="O1220" s="8" t="str">
        <f>HYPERLINK("https://drive.google.com/file/d/1gVb--Z6VfQFo4IkKvZsWvhi8wePiJqdq/view?usp=drivesdk","1219_ROHANA MARNATALINA SIAHAAN S.Kep.Ns _ SERTIFIKAT BIMTEK IPASN BerAKHLASK")</f>
        <v>1219_ROHANA MARNATALINA SIAHAAN S.Kep.Ns _ SERTIFIKAT BIMTEK IPASN BerAKHLASK</v>
      </c>
      <c r="P1220" s="5" t="s">
        <v>10305</v>
      </c>
      <c r="Q1220" s="5"/>
      <c r="R1220" s="5"/>
      <c r="S1220" s="5"/>
      <c r="T1220" s="5"/>
    </row>
    <row r="1221">
      <c r="A1221" s="4">
        <v>45534.33123732639</v>
      </c>
      <c r="B1221" s="5" t="s">
        <v>34</v>
      </c>
      <c r="D1221" s="5" t="s">
        <v>580</v>
      </c>
      <c r="E1221" s="5" t="s">
        <v>10331</v>
      </c>
      <c r="F1221" s="5" t="s">
        <v>120</v>
      </c>
      <c r="G1221" s="5" t="s">
        <v>10332</v>
      </c>
      <c r="H1221" s="6" t="s">
        <v>10333</v>
      </c>
      <c r="K1221" s="5" t="s">
        <v>10323</v>
      </c>
      <c r="M1221" s="5" t="s">
        <v>10334</v>
      </c>
      <c r="N1221" s="7" t="s">
        <v>10335</v>
      </c>
      <c r="O1221" s="8" t="str">
        <f>HYPERLINK("https://drive.google.com/file/d/1dExFJcchAXlvAe-yZ7uwdHc3QXL63qGA/view?usp=drivesdk","1220_I MADE SUBIANTARA _ SERTIFIKAT BIMTEK IPASN BerAKHLASK")</f>
        <v>1220_I MADE SUBIANTARA _ SERTIFIKAT BIMTEK IPASN BerAKHLASK</v>
      </c>
      <c r="P1221" s="5" t="s">
        <v>10305</v>
      </c>
      <c r="Q1221" s="5"/>
      <c r="R1221" s="5"/>
      <c r="S1221" s="5"/>
      <c r="T1221" s="5"/>
    </row>
    <row r="1222">
      <c r="A1222" s="4">
        <v>45534.331246875</v>
      </c>
      <c r="B1222" s="5" t="s">
        <v>34</v>
      </c>
      <c r="D1222" s="5" t="s">
        <v>996</v>
      </c>
      <c r="E1222" s="5" t="s">
        <v>10336</v>
      </c>
      <c r="F1222" s="5" t="s">
        <v>212</v>
      </c>
      <c r="G1222" s="5" t="s">
        <v>10337</v>
      </c>
      <c r="H1222" s="6" t="s">
        <v>10338</v>
      </c>
      <c r="K1222" s="5" t="s">
        <v>10323</v>
      </c>
      <c r="M1222" s="5" t="s">
        <v>10339</v>
      </c>
      <c r="N1222" s="7" t="s">
        <v>10340</v>
      </c>
      <c r="O1222" s="8" t="str">
        <f>HYPERLINK("https://drive.google.com/file/d/1K8C1YhQcXVAgk1mbQiDbIZUO6-72tJTp/view?usp=drivesdk","1221_JUHRIANA IKHWANUDDIN YUSUF _ SERTIFIKAT BIMTEK IPASN BerAKHLASK")</f>
        <v>1221_JUHRIANA IKHWANUDDIN YUSUF _ SERTIFIKAT BIMTEK IPASN BerAKHLASK</v>
      </c>
      <c r="P1222" s="5" t="s">
        <v>10341</v>
      </c>
      <c r="Q1222" s="5"/>
      <c r="R1222" s="5"/>
      <c r="S1222" s="5"/>
      <c r="T1222" s="5"/>
    </row>
    <row r="1223">
      <c r="A1223" s="4">
        <v>45534.33124693287</v>
      </c>
      <c r="B1223" s="5" t="s">
        <v>34</v>
      </c>
      <c r="D1223" s="5" t="s">
        <v>9020</v>
      </c>
      <c r="E1223" s="5" t="s">
        <v>10342</v>
      </c>
      <c r="F1223" s="5" t="s">
        <v>212</v>
      </c>
      <c r="G1223" s="5" t="s">
        <v>10343</v>
      </c>
      <c r="H1223" s="6" t="s">
        <v>10344</v>
      </c>
      <c r="K1223" s="5" t="s">
        <v>10323</v>
      </c>
      <c r="M1223" s="5" t="s">
        <v>10345</v>
      </c>
      <c r="N1223" s="7" t="s">
        <v>10346</v>
      </c>
      <c r="O1223" s="8" t="str">
        <f>HYPERLINK("https://drive.google.com/file/d/1YD-yMsNTQHT0Jgn-X7_bHNCQds3yWa-F/view?usp=drivesdk","1222_ETTI MULTIARI BR PURBA _ SERTIFIKAT BIMTEK IPASN BerAKHLASK")</f>
        <v>1222_ETTI MULTIARI BR PURBA _ SERTIFIKAT BIMTEK IPASN BerAKHLASK</v>
      </c>
      <c r="P1223" s="5" t="s">
        <v>10341</v>
      </c>
      <c r="Q1223" s="5"/>
      <c r="R1223" s="5"/>
      <c r="S1223" s="5"/>
      <c r="T1223" s="5"/>
    </row>
    <row r="1224">
      <c r="A1224" s="4">
        <v>45534.33125296296</v>
      </c>
      <c r="B1224" s="5" t="s">
        <v>34</v>
      </c>
      <c r="D1224" s="5" t="s">
        <v>1206</v>
      </c>
      <c r="E1224" s="5" t="s">
        <v>10347</v>
      </c>
      <c r="F1224" s="5" t="s">
        <v>37</v>
      </c>
      <c r="G1224" s="5" t="s">
        <v>10348</v>
      </c>
      <c r="H1224" s="6" t="s">
        <v>10349</v>
      </c>
      <c r="K1224" s="5" t="s">
        <v>10323</v>
      </c>
      <c r="M1224" s="5" t="s">
        <v>10350</v>
      </c>
      <c r="N1224" s="7" t="s">
        <v>10351</v>
      </c>
      <c r="O1224" s="8" t="str">
        <f>HYPERLINK("https://drive.google.com/file/d/1avGG4M2a0eCHCJBcp8p_6IHS-zD0XxfI/view?usp=drivesdk","1223_ASTUTIK ASTUTIK _ SERTIFIKAT BIMTEK IPASN BerAKHLASK")</f>
        <v>1223_ASTUTIK ASTUTIK _ SERTIFIKAT BIMTEK IPASN BerAKHLASK</v>
      </c>
      <c r="P1224" s="5" t="s">
        <v>10341</v>
      </c>
      <c r="Q1224" s="5"/>
      <c r="R1224" s="5"/>
      <c r="S1224" s="5"/>
      <c r="T1224" s="5"/>
    </row>
    <row r="1225">
      <c r="A1225" s="4">
        <v>45534.3312553125</v>
      </c>
      <c r="B1225" s="5" t="s">
        <v>34</v>
      </c>
      <c r="D1225" s="5" t="s">
        <v>4775</v>
      </c>
      <c r="E1225" s="5" t="s">
        <v>10352</v>
      </c>
      <c r="F1225" s="5" t="s">
        <v>108</v>
      </c>
      <c r="G1225" s="5" t="s">
        <v>10353</v>
      </c>
      <c r="H1225" s="6" t="s">
        <v>10354</v>
      </c>
      <c r="K1225" s="5" t="s">
        <v>10323</v>
      </c>
      <c r="M1225" s="5" t="s">
        <v>10355</v>
      </c>
      <c r="N1225" s="7" t="s">
        <v>10356</v>
      </c>
      <c r="O1225" s="8" t="str">
        <f>HYPERLINK("https://drive.google.com/file/d/1IES_oVjklW-asyUr5yL4SBl0y_mMbzfR/view?usp=drivesdk","1224_AMBARRIYANTO _ SERTIFIKAT BIMTEK IPASN BerAKHLASK")</f>
        <v>1224_AMBARRIYANTO _ SERTIFIKAT BIMTEK IPASN BerAKHLASK</v>
      </c>
      <c r="P1225" s="5" t="s">
        <v>10341</v>
      </c>
      <c r="Q1225" s="5"/>
      <c r="R1225" s="5"/>
      <c r="S1225" s="5"/>
      <c r="T1225" s="5"/>
    </row>
    <row r="1226">
      <c r="A1226" s="4">
        <v>45534.331259328705</v>
      </c>
      <c r="B1226" s="5" t="s">
        <v>34</v>
      </c>
      <c r="D1226" s="5" t="s">
        <v>4775</v>
      </c>
      <c r="E1226" s="5" t="s">
        <v>10357</v>
      </c>
      <c r="F1226" s="5" t="s">
        <v>212</v>
      </c>
      <c r="G1226" s="5" t="s">
        <v>10358</v>
      </c>
      <c r="H1226" s="6" t="s">
        <v>10359</v>
      </c>
      <c r="I1226" s="7" t="s">
        <v>10360</v>
      </c>
      <c r="J1226" s="8" t="str">
        <f>HYPERLINK("https://drive.google.com/file/d/1hTOCaq_RO7bINRKW8fjS6ab1Vxa6VkNp/view?usp=drivesdk","APRI DWI MULATO, SE SERTIFIKAT BerAKHLAK")</f>
        <v>APRI DWI MULATO, SE SERTIFIKAT BerAKHLAK</v>
      </c>
      <c r="K1226" s="5" t="s">
        <v>9565</v>
      </c>
      <c r="L1226" s="5" t="s">
        <v>10361</v>
      </c>
      <c r="M1226" s="5" t="s">
        <v>10362</v>
      </c>
      <c r="N1226" s="7" t="s">
        <v>10363</v>
      </c>
      <c r="O1226" s="8" t="str">
        <f>HYPERLINK("https://drive.google.com/file/d/1un_l6gqSkCJ0QTZCfBXDaHnDSEmIxL35/view?usp=drivesdk","1225_APRI DWI MULATO, SE _ SERTIFIKAT BIMTEK IPASN BerAKHLASK")</f>
        <v>1225_APRI DWI MULATO, SE _ SERTIFIKAT BIMTEK IPASN BerAKHLASK</v>
      </c>
      <c r="P1226" s="5" t="s">
        <v>10341</v>
      </c>
      <c r="Q1226" s="5"/>
      <c r="R1226" s="5"/>
      <c r="S1226" s="5"/>
      <c r="T1226" s="5"/>
    </row>
    <row r="1227">
      <c r="A1227" s="4">
        <v>45534.331266168985</v>
      </c>
      <c r="B1227" s="5" t="s">
        <v>34</v>
      </c>
      <c r="D1227" s="5" t="s">
        <v>4775</v>
      </c>
      <c r="E1227" s="5" t="s">
        <v>10364</v>
      </c>
      <c r="F1227" s="5" t="s">
        <v>37</v>
      </c>
      <c r="G1227" s="5" t="s">
        <v>10365</v>
      </c>
      <c r="H1227" s="6" t="s">
        <v>10366</v>
      </c>
      <c r="I1227" s="7" t="s">
        <v>10367</v>
      </c>
      <c r="J1227" s="8" t="str">
        <f>HYPERLINK("https://drive.google.com/file/d/1xbEPY4HfqT_N7iN32qReEHhqfylp_7ws/view?usp=drivesdk","ARIS SANTIKO, S. E.  SERTIFIKAT BerAKHLAK")</f>
        <v>ARIS SANTIKO, S. E.  SERTIFIKAT BerAKHLAK</v>
      </c>
      <c r="K1227" s="5" t="s">
        <v>9565</v>
      </c>
      <c r="L1227" s="5" t="s">
        <v>10368</v>
      </c>
      <c r="M1227" s="5" t="s">
        <v>10369</v>
      </c>
      <c r="N1227" s="7" t="s">
        <v>10370</v>
      </c>
      <c r="O1227" s="8" t="str">
        <f>HYPERLINK("https://drive.google.com/file/d/1yo8UJW3xA5pz6EJhDbgocitFBz6m92lt/view?usp=drivesdk","1226_ARIS SANTIKO, S. E.  _ SERTIFIKAT BIMTEK IPASN BerAKHLASK")</f>
        <v>1226_ARIS SANTIKO, S. E.  _ SERTIFIKAT BIMTEK IPASN BerAKHLASK</v>
      </c>
      <c r="P1227" s="5" t="s">
        <v>10341</v>
      </c>
      <c r="Q1227" s="5"/>
      <c r="R1227" s="5"/>
      <c r="S1227" s="5"/>
      <c r="T1227" s="5"/>
    </row>
    <row r="1228">
      <c r="A1228" s="4">
        <v>45534.331283368054</v>
      </c>
      <c r="B1228" s="5" t="s">
        <v>34</v>
      </c>
      <c r="D1228" s="5" t="s">
        <v>1768</v>
      </c>
      <c r="E1228" s="5" t="s">
        <v>10371</v>
      </c>
      <c r="F1228" s="5" t="s">
        <v>212</v>
      </c>
      <c r="G1228" s="5" t="s">
        <v>10372</v>
      </c>
      <c r="H1228" s="6" t="s">
        <v>10373</v>
      </c>
      <c r="I1228" s="7" t="s">
        <v>10374</v>
      </c>
      <c r="J1228" s="8" t="str">
        <f>HYPERLINK("https://drive.google.com/file/d/1CX5YU7AL_wWSkTBoo1VzRcFshrcxHWKn/view?usp=drivesdk","SULISTIYOWATI SERTIFIKAT BerAKHLAK")</f>
        <v>SULISTIYOWATI SERTIFIKAT BerAKHLAK</v>
      </c>
      <c r="K1228" s="5" t="s">
        <v>9565</v>
      </c>
      <c r="L1228" s="5" t="s">
        <v>10375</v>
      </c>
      <c r="M1228" s="5" t="s">
        <v>10376</v>
      </c>
      <c r="N1228" s="7" t="s">
        <v>10377</v>
      </c>
      <c r="O1228" s="8" t="str">
        <f>HYPERLINK("https://drive.google.com/file/d/1FUxrWx0K8nb0j07y1zxhvfLsg-K0B3DU/view?usp=drivesdk","1227_SULISTIYOWATI _ SERTIFIKAT BIMTEK IPASN BerAKHLASK")</f>
        <v>1227_SULISTIYOWATI _ SERTIFIKAT BIMTEK IPASN BerAKHLASK</v>
      </c>
      <c r="P1228" s="5" t="s">
        <v>10378</v>
      </c>
      <c r="Q1228" s="5"/>
      <c r="R1228" s="5"/>
      <c r="S1228" s="5"/>
      <c r="T1228" s="5"/>
    </row>
    <row r="1229">
      <c r="A1229" s="4">
        <v>45534.33129607639</v>
      </c>
      <c r="B1229" s="5" t="s">
        <v>34</v>
      </c>
      <c r="D1229" s="5" t="s">
        <v>35</v>
      </c>
      <c r="E1229" s="5" t="s">
        <v>10379</v>
      </c>
      <c r="F1229" s="5" t="s">
        <v>108</v>
      </c>
      <c r="G1229" s="5" t="s">
        <v>10380</v>
      </c>
      <c r="H1229" s="6" t="s">
        <v>10381</v>
      </c>
      <c r="K1229" s="5" t="s">
        <v>10382</v>
      </c>
      <c r="M1229" s="5" t="s">
        <v>10383</v>
      </c>
      <c r="N1229" s="7" t="s">
        <v>10384</v>
      </c>
      <c r="O1229" s="8" t="str">
        <f>HYPERLINK("https://drive.google.com/file/d/1ITqJE0vp9Ifm0O3AZp7sVJxWSRk6HrV_/view?usp=drivesdk","1228_ENTIS SUTISNA, S. Kep _ SERTIFIKAT BIMTEK IPASN BerAKHLASK")</f>
        <v>1228_ENTIS SUTISNA, S. Kep _ SERTIFIKAT BIMTEK IPASN BerAKHLASK</v>
      </c>
      <c r="P1229" s="5" t="s">
        <v>10378</v>
      </c>
      <c r="Q1229" s="5"/>
      <c r="R1229" s="5"/>
      <c r="S1229" s="5"/>
      <c r="T1229" s="5"/>
    </row>
    <row r="1230">
      <c r="A1230" s="4">
        <v>45534.33130293981</v>
      </c>
      <c r="B1230" s="5" t="s">
        <v>34</v>
      </c>
      <c r="D1230" s="5" t="s">
        <v>4775</v>
      </c>
      <c r="E1230" s="5" t="s">
        <v>10385</v>
      </c>
      <c r="F1230" s="5" t="s">
        <v>72</v>
      </c>
      <c r="G1230" s="5" t="s">
        <v>10386</v>
      </c>
      <c r="H1230" s="6" t="s">
        <v>10387</v>
      </c>
      <c r="K1230" s="5" t="s">
        <v>10382</v>
      </c>
      <c r="M1230" s="5" t="s">
        <v>10388</v>
      </c>
      <c r="N1230" s="7" t="s">
        <v>10389</v>
      </c>
      <c r="O1230" s="8" t="str">
        <f>HYPERLINK("https://drive.google.com/file/d/1N2hrjs80RlPGrFZE3Ne_1ak5a5sYPMRf/view?usp=drivesdk","1229_UNTUNG INDRA WARDHANA _ SERTIFIKAT BIMTEK IPASN BerAKHLASK")</f>
        <v>1229_UNTUNG INDRA WARDHANA _ SERTIFIKAT BIMTEK IPASN BerAKHLASK</v>
      </c>
      <c r="P1230" s="5" t="s">
        <v>10378</v>
      </c>
      <c r="Q1230" s="5"/>
      <c r="R1230" s="5"/>
      <c r="S1230" s="5"/>
      <c r="T1230" s="5"/>
    </row>
    <row r="1231">
      <c r="A1231" s="4">
        <v>45534.33130355324</v>
      </c>
      <c r="B1231" s="5" t="s">
        <v>34</v>
      </c>
      <c r="D1231" s="5" t="s">
        <v>1768</v>
      </c>
      <c r="E1231" s="5" t="s">
        <v>10390</v>
      </c>
      <c r="F1231" s="5" t="s">
        <v>375</v>
      </c>
      <c r="G1231" s="5" t="s">
        <v>10391</v>
      </c>
      <c r="H1231" s="6" t="s">
        <v>10392</v>
      </c>
      <c r="K1231" s="5" t="s">
        <v>10382</v>
      </c>
      <c r="M1231" s="5" t="s">
        <v>10393</v>
      </c>
      <c r="N1231" s="7" t="s">
        <v>10394</v>
      </c>
      <c r="O1231" s="8" t="str">
        <f>HYPERLINK("https://drive.google.com/file/d/1n6ifkNReb_udA_fcPZYVT8fMpsL1mJWy/view?usp=drivesdk","1230_PENNY YUSTININGSIH, S.E. _ SERTIFIKAT BIMTEK IPASN BerAKHLASK")</f>
        <v>1230_PENNY YUSTININGSIH, S.E. _ SERTIFIKAT BIMTEK IPASN BerAKHLASK</v>
      </c>
      <c r="P1231" s="5" t="s">
        <v>10378</v>
      </c>
      <c r="Q1231" s="5"/>
      <c r="R1231" s="5"/>
      <c r="S1231" s="5"/>
      <c r="T1231" s="5"/>
    </row>
    <row r="1232">
      <c r="A1232" s="4">
        <v>45534.331307291664</v>
      </c>
      <c r="B1232" s="5" t="s">
        <v>34</v>
      </c>
      <c r="D1232" s="5" t="s">
        <v>1768</v>
      </c>
      <c r="E1232" s="5" t="s">
        <v>10395</v>
      </c>
      <c r="F1232" s="5" t="s">
        <v>37</v>
      </c>
      <c r="G1232" s="5" t="s">
        <v>10396</v>
      </c>
      <c r="H1232" s="6" t="s">
        <v>10397</v>
      </c>
      <c r="K1232" s="5" t="s">
        <v>10382</v>
      </c>
      <c r="M1232" s="5" t="s">
        <v>10398</v>
      </c>
      <c r="N1232" s="7" t="s">
        <v>10399</v>
      </c>
      <c r="O1232" s="8" t="str">
        <f>HYPERLINK("https://drive.google.com/file/d/1yJVZC43xsklj_X9nrQ0NuLI3rc2YaQot/view?usp=drivesdk","1231_ALFI KRISMONETERIA, A. Md. Ak.  _ SERTIFIKAT BIMTEK IPASN BerAKHLASK")</f>
        <v>1231_ALFI KRISMONETERIA, A. Md. Ak.  _ SERTIFIKAT BIMTEK IPASN BerAKHLASK</v>
      </c>
      <c r="P1232" s="5" t="s">
        <v>10378</v>
      </c>
      <c r="Q1232" s="5"/>
      <c r="R1232" s="5"/>
      <c r="S1232" s="5"/>
      <c r="T1232" s="5"/>
    </row>
    <row r="1233" hidden="1">
      <c r="A1233" s="4">
        <v>45534.33133945602</v>
      </c>
      <c r="B1233" s="5" t="s">
        <v>19</v>
      </c>
      <c r="C1233" s="5" t="s">
        <v>20</v>
      </c>
      <c r="E1233" s="5" t="s">
        <v>10400</v>
      </c>
      <c r="F1233" s="5" t="s">
        <v>120</v>
      </c>
      <c r="G1233" s="5" t="s">
        <v>10401</v>
      </c>
      <c r="H1233" s="6" t="s">
        <v>10402</v>
      </c>
      <c r="K1233" s="5" t="s">
        <v>10382</v>
      </c>
      <c r="M1233" s="5" t="s">
        <v>10403</v>
      </c>
      <c r="N1233" s="7" t="s">
        <v>10404</v>
      </c>
      <c r="O1233" s="8" t="str">
        <f>HYPERLINK("https://drive.google.com/file/d/1qVWCf6_uVCuXJbpooSi2UEyyAI42qy07/view?usp=drivesdk","1232_SRI HANDAYANI, S.E. _ SERTIFIKAT BIMTEK IPASN BerAKHLASK")</f>
        <v>1232_SRI HANDAYANI, S.E. _ SERTIFIKAT BIMTEK IPASN BerAKHLASK</v>
      </c>
      <c r="P1233" s="5" t="s">
        <v>10405</v>
      </c>
      <c r="Q1233" s="5"/>
      <c r="R1233" s="5"/>
      <c r="S1233" s="5"/>
      <c r="T1233" s="5"/>
    </row>
    <row r="1234">
      <c r="A1234" s="4">
        <v>45534.33134635417</v>
      </c>
      <c r="B1234" s="5" t="s">
        <v>34</v>
      </c>
      <c r="D1234" s="5" t="s">
        <v>4775</v>
      </c>
      <c r="E1234" s="5" t="s">
        <v>10406</v>
      </c>
      <c r="F1234" s="5" t="s">
        <v>37</v>
      </c>
      <c r="G1234" s="5" t="s">
        <v>10407</v>
      </c>
      <c r="H1234" s="6" t="s">
        <v>10408</v>
      </c>
      <c r="K1234" s="5" t="s">
        <v>10382</v>
      </c>
      <c r="M1234" s="5" t="s">
        <v>10409</v>
      </c>
      <c r="N1234" s="7" t="s">
        <v>10410</v>
      </c>
      <c r="O1234" s="8" t="str">
        <f>HYPERLINK("https://drive.google.com/file/d/1FurYFTsfJCSY7d6ZIPrYtjDq3XBnMysj/view?usp=drivesdk","1233_RIKA INDAH PRASUTYASTUTI  _ SERTIFIKAT BIMTEK IPASN BerAKHLASK")</f>
        <v>1233_RIKA INDAH PRASUTYASTUTI  _ SERTIFIKAT BIMTEK IPASN BerAKHLASK</v>
      </c>
      <c r="P1234" s="5" t="s">
        <v>10411</v>
      </c>
      <c r="Q1234" s="5"/>
      <c r="R1234" s="5"/>
      <c r="S1234" s="5"/>
      <c r="T1234" s="5"/>
    </row>
    <row r="1235">
      <c r="A1235" s="4">
        <v>45534.331362997684</v>
      </c>
      <c r="B1235" s="5" t="s">
        <v>34</v>
      </c>
      <c r="D1235" s="5" t="s">
        <v>4775</v>
      </c>
      <c r="E1235" s="5" t="s">
        <v>10412</v>
      </c>
      <c r="F1235" s="5" t="s">
        <v>212</v>
      </c>
      <c r="G1235" s="5" t="s">
        <v>10413</v>
      </c>
      <c r="H1235" s="6" t="s">
        <v>10414</v>
      </c>
      <c r="K1235" s="5" t="s">
        <v>10382</v>
      </c>
      <c r="M1235" s="5" t="s">
        <v>10415</v>
      </c>
      <c r="N1235" s="7" t="s">
        <v>10416</v>
      </c>
      <c r="O1235" s="8" t="str">
        <f>HYPERLINK("https://drive.google.com/file/d/1owHG7BKlLoKQQCgvOpzGVPbOLRtyVbvb/view?usp=drivesdk","1234_DWI SULISTYOWATI _ SERTIFIKAT BIMTEK IPASN BerAKHLASK")</f>
        <v>1234_DWI SULISTYOWATI _ SERTIFIKAT BIMTEK IPASN BerAKHLASK</v>
      </c>
      <c r="P1235" s="5" t="s">
        <v>10417</v>
      </c>
      <c r="Q1235" s="5"/>
      <c r="R1235" s="5"/>
      <c r="S1235" s="5"/>
      <c r="T1235" s="5"/>
    </row>
    <row r="1236" hidden="1">
      <c r="A1236" s="4">
        <v>45534.331365405094</v>
      </c>
      <c r="B1236" s="5" t="s">
        <v>19</v>
      </c>
      <c r="C1236" s="5" t="s">
        <v>10418</v>
      </c>
      <c r="E1236" s="5" t="s">
        <v>10419</v>
      </c>
      <c r="F1236" s="5" t="s">
        <v>375</v>
      </c>
      <c r="G1236" s="5" t="s">
        <v>10420</v>
      </c>
      <c r="H1236" s="6" t="s">
        <v>10421</v>
      </c>
      <c r="K1236" s="5" t="s">
        <v>10382</v>
      </c>
      <c r="M1236" s="5" t="s">
        <v>10422</v>
      </c>
      <c r="N1236" s="7" t="s">
        <v>10423</v>
      </c>
      <c r="O1236" s="8" t="str">
        <f>HYPERLINK("https://drive.google.com/file/d/11ISWMzPPDPYIvOTI2LlaCMORd7DyHUHL/view?usp=drivesdk","1235_WIWIT ARI SETYANINGSIH, SE _ SERTIFIKAT BIMTEK IPASN BerAKHLASK")</f>
        <v>1235_WIWIT ARI SETYANINGSIH, SE _ SERTIFIKAT BIMTEK IPASN BerAKHLASK</v>
      </c>
      <c r="P1236" s="5" t="s">
        <v>10417</v>
      </c>
      <c r="Q1236" s="5"/>
      <c r="R1236" s="5"/>
      <c r="S1236" s="5"/>
      <c r="T1236" s="5"/>
    </row>
    <row r="1237">
      <c r="A1237" s="4">
        <v>45534.33138068287</v>
      </c>
      <c r="B1237" s="5" t="s">
        <v>34</v>
      </c>
      <c r="D1237" s="5" t="s">
        <v>1456</v>
      </c>
      <c r="E1237" s="5" t="s">
        <v>10424</v>
      </c>
      <c r="F1237" s="5" t="s">
        <v>37</v>
      </c>
      <c r="G1237" s="5" t="s">
        <v>10425</v>
      </c>
      <c r="H1237" s="6" t="s">
        <v>10426</v>
      </c>
      <c r="K1237" s="5" t="s">
        <v>10382</v>
      </c>
      <c r="M1237" s="5" t="s">
        <v>10427</v>
      </c>
      <c r="N1237" s="7" t="s">
        <v>10428</v>
      </c>
      <c r="O1237" s="8" t="str">
        <f>HYPERLINK("https://drive.google.com/file/d/1MvMj56--eH1Cf20k-S7oC0ofUSuidMmn/view?usp=drivesdk","1236_EPI PIBRIANTI _ SERTIFIKAT BIMTEK IPASN BerAKHLASK")</f>
        <v>1236_EPI PIBRIANTI _ SERTIFIKAT BIMTEK IPASN BerAKHLASK</v>
      </c>
      <c r="P1237" s="5" t="s">
        <v>10417</v>
      </c>
      <c r="Q1237" s="5"/>
      <c r="R1237" s="5"/>
      <c r="S1237" s="5"/>
      <c r="T1237" s="5"/>
    </row>
    <row r="1238">
      <c r="A1238" s="4">
        <v>45534.33139277778</v>
      </c>
      <c r="B1238" s="5" t="s">
        <v>34</v>
      </c>
      <c r="D1238" s="5" t="s">
        <v>1206</v>
      </c>
      <c r="E1238" s="5" t="s">
        <v>10429</v>
      </c>
      <c r="F1238" s="5" t="s">
        <v>37</v>
      </c>
      <c r="G1238" s="5" t="s">
        <v>10430</v>
      </c>
      <c r="H1238" s="6" t="s">
        <v>10431</v>
      </c>
      <c r="I1238" s="7" t="s">
        <v>10432</v>
      </c>
      <c r="J1238" s="8" t="str">
        <f>HYPERLINK("https://drive.google.com/file/d/1kypLBlj1LphGfnarDBgyJgFDee29BCKc/view?usp=drivesdk","ANDRI YULIANTO SERTIFIKAT BerAKHLAK")</f>
        <v>ANDRI YULIANTO SERTIFIKAT BerAKHLAK</v>
      </c>
      <c r="K1238" s="5" t="s">
        <v>9565</v>
      </c>
      <c r="L1238" s="5" t="s">
        <v>10433</v>
      </c>
      <c r="M1238" s="5" t="s">
        <v>10434</v>
      </c>
      <c r="N1238" s="7" t="s">
        <v>10435</v>
      </c>
      <c r="O1238" s="8" t="str">
        <f>HYPERLINK("https://drive.google.com/file/d/1l-Q8F5FQrUknMrbRXbwOUcbx1-eaTlZ1/view?usp=drivesdk","1237_ANDRI YULIANTO _ SERTIFIKAT BIMTEK IPASN BerAKHLASK")</f>
        <v>1237_ANDRI YULIANTO _ SERTIFIKAT BIMTEK IPASN BerAKHLASK</v>
      </c>
      <c r="P1238" s="5" t="s">
        <v>10417</v>
      </c>
      <c r="Q1238" s="5"/>
      <c r="R1238" s="5"/>
      <c r="S1238" s="5"/>
      <c r="T1238" s="5"/>
    </row>
    <row r="1239">
      <c r="A1239" s="4">
        <v>45534.331427592595</v>
      </c>
      <c r="B1239" s="5" t="s">
        <v>34</v>
      </c>
      <c r="D1239" s="5" t="s">
        <v>280</v>
      </c>
      <c r="E1239" s="5" t="s">
        <v>10436</v>
      </c>
      <c r="F1239" s="5" t="s">
        <v>37</v>
      </c>
      <c r="G1239" s="5" t="s">
        <v>10437</v>
      </c>
      <c r="H1239" s="6" t="s">
        <v>10438</v>
      </c>
      <c r="I1239" s="7" t="s">
        <v>10439</v>
      </c>
      <c r="J1239" s="8" t="str">
        <f>HYPERLINK("https://drive.google.com/file/d/10YyjfkcY55US6LM16sBP-erJ0dUxehWO/view?usp=drivesdk","JUNILA AFRIANTI SERTIFIKAT BerAKHLAK")</f>
        <v>JUNILA AFRIANTI SERTIFIKAT BerAKHLAK</v>
      </c>
      <c r="K1239" s="5" t="s">
        <v>10440</v>
      </c>
      <c r="L1239" s="5" t="s">
        <v>10441</v>
      </c>
      <c r="M1239" s="5" t="s">
        <v>10442</v>
      </c>
      <c r="N1239" s="7" t="s">
        <v>10443</v>
      </c>
      <c r="O1239" s="8" t="str">
        <f>HYPERLINK("https://drive.google.com/file/d/1jmjJBUALEgZh9XUndqDrp8mDUeoJSi3x/view?usp=drivesdk","1238_JUNILA AFRIANTI _ SERTIFIKAT BIMTEK IPASN BerAKHLASK")</f>
        <v>1238_JUNILA AFRIANTI _ SERTIFIKAT BIMTEK IPASN BerAKHLASK</v>
      </c>
      <c r="P1239" s="5" t="s">
        <v>10417</v>
      </c>
      <c r="Q1239" s="5"/>
      <c r="R1239" s="5"/>
      <c r="S1239" s="5"/>
      <c r="T1239" s="5"/>
    </row>
    <row r="1240">
      <c r="A1240" s="4">
        <v>45534.33144740741</v>
      </c>
      <c r="B1240" s="5" t="s">
        <v>34</v>
      </c>
      <c r="D1240" s="5" t="s">
        <v>10444</v>
      </c>
      <c r="E1240" s="5" t="s">
        <v>10445</v>
      </c>
      <c r="F1240" s="5" t="s">
        <v>524</v>
      </c>
      <c r="G1240" s="5" t="s">
        <v>10446</v>
      </c>
      <c r="H1240" s="6" t="s">
        <v>10447</v>
      </c>
      <c r="I1240" s="7" t="s">
        <v>10448</v>
      </c>
      <c r="J1240" s="8" t="str">
        <f>HYPERLINK("https://drive.google.com/file/d/1LsIbLJKyQjbz33BpbfqanXGRnG_rRloH/view?usp=drivesdk","SUSI INDRASARI SERTIFIKAT BerAKHLAK")</f>
        <v>SUSI INDRASARI SERTIFIKAT BerAKHLAK</v>
      </c>
      <c r="K1240" s="5" t="s">
        <v>10440</v>
      </c>
      <c r="L1240" s="5" t="s">
        <v>10449</v>
      </c>
      <c r="M1240" s="5" t="s">
        <v>10450</v>
      </c>
      <c r="N1240" s="7" t="s">
        <v>10451</v>
      </c>
      <c r="O1240" s="8" t="str">
        <f>HYPERLINK("https://drive.google.com/file/d/1VkKcGBpCtAfeqrJ6yO9FNeaLWSsQxtRV/view?usp=drivesdk","1239_SUSI INDRASARI _ SERTIFIKAT BIMTEK IPASN BerAKHLASK")</f>
        <v>1239_SUSI INDRASARI _ SERTIFIKAT BIMTEK IPASN BerAKHLASK</v>
      </c>
      <c r="P1240" s="5" t="s">
        <v>10452</v>
      </c>
      <c r="Q1240" s="5"/>
      <c r="R1240" s="5"/>
      <c r="S1240" s="5"/>
      <c r="T1240" s="5"/>
    </row>
    <row r="1241">
      <c r="A1241" s="4">
        <v>45534.33145817129</v>
      </c>
      <c r="B1241" s="5" t="s">
        <v>34</v>
      </c>
      <c r="D1241" s="5" t="s">
        <v>35</v>
      </c>
      <c r="E1241" s="5" t="s">
        <v>10453</v>
      </c>
      <c r="F1241" s="5" t="s">
        <v>37</v>
      </c>
      <c r="G1241" s="5" t="s">
        <v>10454</v>
      </c>
      <c r="H1241" s="6" t="s">
        <v>10455</v>
      </c>
      <c r="I1241" s="7" t="s">
        <v>10456</v>
      </c>
      <c r="J1241" s="8" t="str">
        <f>HYPERLINK("https://drive.google.com/file/d/1ORzj0J65ZHLJevfs8XG44ZVjNLolGNwI/view?usp=drivesdk","ETTI KURNIATI SERTIFIKAT BerAKHLAK")</f>
        <v>ETTI KURNIATI SERTIFIKAT BerAKHLAK</v>
      </c>
      <c r="K1241" s="5" t="s">
        <v>10440</v>
      </c>
      <c r="L1241" s="5" t="s">
        <v>10457</v>
      </c>
      <c r="M1241" s="5" t="s">
        <v>10458</v>
      </c>
      <c r="N1241" s="7" t="s">
        <v>10459</v>
      </c>
      <c r="O1241" s="8" t="str">
        <f>HYPERLINK("https://drive.google.com/file/d/1hDP55KnBSTXJx64KstWjBCSwSeAPiRRb/view?usp=drivesdk","1240_ETTI KURNIATI _ SERTIFIKAT BIMTEK IPASN BerAKHLASK")</f>
        <v>1240_ETTI KURNIATI _ SERTIFIKAT BIMTEK IPASN BerAKHLASK</v>
      </c>
      <c r="P1241" s="5" t="s">
        <v>10452</v>
      </c>
      <c r="Q1241" s="5"/>
      <c r="R1241" s="5"/>
      <c r="S1241" s="5"/>
      <c r="T1241" s="5"/>
    </row>
    <row r="1242">
      <c r="A1242" s="4">
        <v>45534.33146644676</v>
      </c>
      <c r="B1242" s="5" t="s">
        <v>34</v>
      </c>
      <c r="D1242" s="5" t="s">
        <v>996</v>
      </c>
      <c r="E1242" s="5" t="s">
        <v>10460</v>
      </c>
      <c r="F1242" s="5" t="s">
        <v>375</v>
      </c>
      <c r="G1242" s="5" t="s">
        <v>10461</v>
      </c>
      <c r="H1242" s="6" t="s">
        <v>10462</v>
      </c>
      <c r="I1242" s="7" t="s">
        <v>10463</v>
      </c>
      <c r="J1242" s="8" t="str">
        <f>HYPERLINK("https://drive.google.com/file/d/1bC5g2F3Uv7I5cx27tPE55B4HCDwh_Rr8/view?usp=drivesdk","YULIUS CAHYO ARIESTIAWAN, S.KOM, MM SERTIFIKAT BerAKHLAK")</f>
        <v>YULIUS CAHYO ARIESTIAWAN, S.KOM, MM SERTIFIKAT BerAKHLAK</v>
      </c>
      <c r="K1242" s="5" t="s">
        <v>10464</v>
      </c>
      <c r="L1242" s="5" t="s">
        <v>10465</v>
      </c>
      <c r="M1242" s="5" t="s">
        <v>10466</v>
      </c>
      <c r="N1242" s="7" t="s">
        <v>10467</v>
      </c>
      <c r="O1242" s="8" t="str">
        <f>HYPERLINK("https://drive.google.com/file/d/1WSRInwshXwxVlnF2qeQTGODmsaeRt_Sv/view?usp=drivesdk","1241_YULIUS CAHYO ARIESTIAWAN, S.KOM, MM _ SERTIFIKAT BIMTEK IPASN BerAKHLASK")</f>
        <v>1241_YULIUS CAHYO ARIESTIAWAN, S.KOM, MM _ SERTIFIKAT BIMTEK IPASN BerAKHLASK</v>
      </c>
      <c r="P1242" s="5" t="s">
        <v>10452</v>
      </c>
      <c r="Q1242" s="5"/>
      <c r="R1242" s="5"/>
      <c r="S1242" s="5"/>
      <c r="T1242" s="5"/>
    </row>
    <row r="1243">
      <c r="A1243" s="4">
        <v>45534.33145951389</v>
      </c>
      <c r="B1243" s="5" t="s">
        <v>34</v>
      </c>
      <c r="D1243" s="5" t="s">
        <v>4775</v>
      </c>
      <c r="E1243" s="5" t="s">
        <v>10468</v>
      </c>
      <c r="F1243" s="5" t="s">
        <v>120</v>
      </c>
      <c r="G1243" s="5" t="s">
        <v>10469</v>
      </c>
      <c r="H1243" s="6" t="s">
        <v>10470</v>
      </c>
      <c r="I1243" s="7" t="s">
        <v>10471</v>
      </c>
      <c r="J1243" s="8" t="str">
        <f>HYPERLINK("https://drive.google.com/file/d/1-OcpNQbcy_d7ZJdX1ao55sgWTwuvSQvM/view?usp=drivesdk","EKO FERY PRASETYO ,S.Si SERTIFIKAT BerAKHLAK")</f>
        <v>EKO FERY PRASETYO ,S.Si SERTIFIKAT BerAKHLAK</v>
      </c>
      <c r="K1243" s="5" t="s">
        <v>10464</v>
      </c>
      <c r="L1243" s="5" t="s">
        <v>10472</v>
      </c>
      <c r="M1243" s="5" t="s">
        <v>10473</v>
      </c>
      <c r="N1243" s="7" t="s">
        <v>10474</v>
      </c>
      <c r="O1243" s="8" t="str">
        <f>HYPERLINK("https://drive.google.com/file/d/1FGqeOO7a8mMO094kj9imU2PdOb_-U1XG/view?usp=drivesdk","1242_EKO FERY PRASETYO ,S.Si _ SERTIFIKAT BIMTEK IPASN BerAKHLASK")</f>
        <v>1242_EKO FERY PRASETYO ,S.Si _ SERTIFIKAT BIMTEK IPASN BerAKHLASK</v>
      </c>
      <c r="P1243" s="5" t="s">
        <v>10452</v>
      </c>
      <c r="Q1243" s="5"/>
      <c r="R1243" s="5"/>
      <c r="S1243" s="5"/>
      <c r="T1243" s="5"/>
    </row>
    <row r="1244">
      <c r="A1244" s="4">
        <v>45534.331467905096</v>
      </c>
      <c r="B1244" s="5" t="s">
        <v>34</v>
      </c>
      <c r="D1244" s="5" t="s">
        <v>1206</v>
      </c>
      <c r="E1244" s="5" t="s">
        <v>10475</v>
      </c>
      <c r="F1244" s="5" t="s">
        <v>37</v>
      </c>
      <c r="G1244" s="5" t="s">
        <v>10476</v>
      </c>
      <c r="H1244" s="6" t="s">
        <v>10477</v>
      </c>
      <c r="I1244" s="7" t="s">
        <v>10478</v>
      </c>
      <c r="J1244" s="8" t="str">
        <f>HYPERLINK("https://drive.google.com/file/d/1XoS2pCuFhasHYK7UE05TViaRlzo-SJPh/view?usp=drivesdk","SUNDARI ANITYASARI SERTIFIKAT BerAKHLAK")</f>
        <v>SUNDARI ANITYASARI SERTIFIKAT BerAKHLAK</v>
      </c>
      <c r="K1244" s="5" t="s">
        <v>10464</v>
      </c>
      <c r="L1244" s="5" t="s">
        <v>10479</v>
      </c>
      <c r="M1244" s="5" t="s">
        <v>10480</v>
      </c>
      <c r="N1244" s="7" t="s">
        <v>10481</v>
      </c>
      <c r="O1244" s="8" t="str">
        <f>HYPERLINK("https://drive.google.com/file/d/11C_Yj6mfhy5JlM7JhmPmIu0Ar-vOhm8w/view?usp=drivesdk","1243_SUNDARI ANITYASARI _ SERTIFIKAT BIMTEK IPASN BerAKHLASK")</f>
        <v>1243_SUNDARI ANITYASARI _ SERTIFIKAT BIMTEK IPASN BerAKHLASK</v>
      </c>
      <c r="P1244" s="5" t="s">
        <v>10452</v>
      </c>
      <c r="Q1244" s="5"/>
      <c r="R1244" s="5"/>
      <c r="S1244" s="5"/>
      <c r="T1244" s="5"/>
    </row>
    <row r="1245">
      <c r="A1245" s="4">
        <v>45534.33147055555</v>
      </c>
      <c r="B1245" s="5" t="s">
        <v>34</v>
      </c>
      <c r="D1245" s="5" t="s">
        <v>35</v>
      </c>
      <c r="E1245" s="5" t="s">
        <v>10482</v>
      </c>
      <c r="F1245" s="5" t="s">
        <v>212</v>
      </c>
      <c r="G1245" s="5" t="s">
        <v>10483</v>
      </c>
      <c r="H1245" s="6" t="s">
        <v>10484</v>
      </c>
      <c r="I1245" s="7" t="s">
        <v>10485</v>
      </c>
      <c r="J1245" s="8" t="str">
        <f>HYPERLINK("https://drive.google.com/file/d/1Rqo5arnhaqekea9PBXcPtAedz2tMHOZL/view?usp=drivesdk","URKES UJANG KHOLIK SAG SERTIFIKAT BerAKHLAK")</f>
        <v>URKES UJANG KHOLIK SAG SERTIFIKAT BerAKHLAK</v>
      </c>
      <c r="K1245" s="5" t="s">
        <v>10486</v>
      </c>
      <c r="L1245" s="5" t="s">
        <v>10487</v>
      </c>
      <c r="M1245" s="5" t="s">
        <v>10488</v>
      </c>
      <c r="N1245" s="7" t="s">
        <v>10489</v>
      </c>
      <c r="O1245" s="8" t="str">
        <f>HYPERLINK("https://drive.google.com/file/d/1pwh4lZpImibsjvl-UJvtvbJNFn1CZH-W/view?usp=drivesdk","1244_URKES UJANG KHOLIK SAG _ SERTIFIKAT BIMTEK IPASN BerAKHLASK")</f>
        <v>1244_URKES UJANG KHOLIK SAG _ SERTIFIKAT BIMTEK IPASN BerAKHLASK</v>
      </c>
      <c r="P1245" s="5" t="s">
        <v>10452</v>
      </c>
      <c r="Q1245" s="5"/>
      <c r="R1245" s="5"/>
      <c r="S1245" s="5"/>
      <c r="T1245" s="5"/>
    </row>
    <row r="1246">
      <c r="A1246" s="4">
        <v>45534.33148005787</v>
      </c>
      <c r="B1246" s="5" t="s">
        <v>34</v>
      </c>
      <c r="D1246" s="5" t="s">
        <v>1206</v>
      </c>
      <c r="E1246" s="5" t="s">
        <v>10490</v>
      </c>
      <c r="F1246" s="5" t="s">
        <v>212</v>
      </c>
      <c r="G1246" s="5" t="s">
        <v>10491</v>
      </c>
      <c r="H1246" s="6" t="s">
        <v>10492</v>
      </c>
      <c r="K1246" s="5" t="s">
        <v>10493</v>
      </c>
      <c r="M1246" s="5" t="s">
        <v>10494</v>
      </c>
      <c r="N1246" s="7" t="s">
        <v>10495</v>
      </c>
      <c r="O1246" s="8" t="str">
        <f>HYPERLINK("https://drive.google.com/file/d/1GfGGauipAg0vP7lx7-G9cWzwMDKbypGw/view?usp=drivesdk","1245_ROSI NOVIANA, SE _ SERTIFIKAT BIMTEK IPASN BerAKHLASK")</f>
        <v>1245_ROSI NOVIANA, SE _ SERTIFIKAT BIMTEK IPASN BerAKHLASK</v>
      </c>
      <c r="P1246" s="5" t="s">
        <v>10496</v>
      </c>
      <c r="Q1246" s="5"/>
      <c r="R1246" s="5"/>
      <c r="S1246" s="5"/>
      <c r="T1246" s="5"/>
    </row>
    <row r="1247">
      <c r="A1247" s="4">
        <v>45534.33149200231</v>
      </c>
      <c r="B1247" s="5" t="s">
        <v>34</v>
      </c>
      <c r="D1247" s="5" t="s">
        <v>1206</v>
      </c>
      <c r="E1247" s="5" t="s">
        <v>10497</v>
      </c>
      <c r="F1247" s="5" t="s">
        <v>375</v>
      </c>
      <c r="G1247" s="5" t="s">
        <v>10498</v>
      </c>
      <c r="H1247" s="6" t="s">
        <v>10499</v>
      </c>
      <c r="K1247" s="5" t="s">
        <v>10493</v>
      </c>
      <c r="M1247" s="5" t="s">
        <v>10500</v>
      </c>
      <c r="N1247" s="7" t="s">
        <v>10501</v>
      </c>
      <c r="O1247" s="8" t="str">
        <f>HYPERLINK("https://drive.google.com/file/d/1tPcjnAlztC5iN_f2dl8YqFR5Qs3mQ-jv/view?usp=drivesdk","1246_IMAMUDDIN SUNARJO, S.E. _ SERTIFIKAT BIMTEK IPASN BerAKHLASK")</f>
        <v>1246_IMAMUDDIN SUNARJO, S.E. _ SERTIFIKAT BIMTEK IPASN BerAKHLASK</v>
      </c>
      <c r="P1247" s="5" t="s">
        <v>10496</v>
      </c>
      <c r="Q1247" s="5"/>
      <c r="R1247" s="5"/>
      <c r="S1247" s="5"/>
      <c r="T1247" s="5"/>
    </row>
    <row r="1248">
      <c r="A1248" s="4">
        <v>45534.33153711805</v>
      </c>
      <c r="B1248" s="5" t="s">
        <v>34</v>
      </c>
      <c r="D1248" s="5" t="s">
        <v>6232</v>
      </c>
      <c r="E1248" s="5" t="s">
        <v>10502</v>
      </c>
      <c r="F1248" s="5" t="s">
        <v>375</v>
      </c>
      <c r="G1248" s="5" t="s">
        <v>10503</v>
      </c>
      <c r="H1248" s="6" t="s">
        <v>10504</v>
      </c>
      <c r="K1248" s="5" t="s">
        <v>10505</v>
      </c>
      <c r="M1248" s="5" t="s">
        <v>10506</v>
      </c>
      <c r="N1248" s="7" t="s">
        <v>10507</v>
      </c>
      <c r="O1248" s="8" t="str">
        <f>HYPERLINK("https://drive.google.com/file/d/1K1e3hxAXLSlm12tChaGK73XlJmFkLIZ-/view?usp=drivesdk","1247_TINA MARLINDA S.KOM.,M.KOM _ SERTIFIKAT BIMTEK IPASN BerAKHLASK")</f>
        <v>1247_TINA MARLINDA S.KOM.,M.KOM _ SERTIFIKAT BIMTEK IPASN BerAKHLASK</v>
      </c>
      <c r="P1248" s="5" t="s">
        <v>10496</v>
      </c>
      <c r="Q1248" s="5"/>
      <c r="R1248" s="5"/>
      <c r="S1248" s="5"/>
      <c r="T1248" s="5"/>
    </row>
    <row r="1249">
      <c r="A1249" s="4">
        <v>45534.33154355324</v>
      </c>
      <c r="B1249" s="5" t="s">
        <v>34</v>
      </c>
      <c r="D1249" s="5" t="s">
        <v>2903</v>
      </c>
      <c r="E1249" s="5" t="s">
        <v>10508</v>
      </c>
      <c r="F1249" s="5" t="s">
        <v>715</v>
      </c>
      <c r="G1249" s="5" t="s">
        <v>10509</v>
      </c>
      <c r="H1249" s="6" t="s">
        <v>10510</v>
      </c>
      <c r="K1249" s="5" t="s">
        <v>10505</v>
      </c>
      <c r="M1249" s="5" t="s">
        <v>10511</v>
      </c>
      <c r="N1249" s="7" t="s">
        <v>10512</v>
      </c>
      <c r="O1249" s="8" t="str">
        <f>HYPERLINK("https://drive.google.com/file/d/17iLKttfk6Sm8zGgPxIXdGzaat4auJ8II/view?usp=drivesdk","1248_BOBI PRANATA, Amd. Kep _ SERTIFIKAT BIMTEK IPASN BerAKHLASK")</f>
        <v>1248_BOBI PRANATA, Amd. Kep _ SERTIFIKAT BIMTEK IPASN BerAKHLASK</v>
      </c>
      <c r="P1249" s="5" t="s">
        <v>10496</v>
      </c>
      <c r="Q1249" s="5"/>
      <c r="R1249" s="5"/>
      <c r="S1249" s="5"/>
      <c r="T1249" s="5"/>
    </row>
    <row r="1250">
      <c r="A1250" s="4">
        <v>45534.33154353009</v>
      </c>
      <c r="B1250" s="5" t="s">
        <v>34</v>
      </c>
      <c r="D1250" s="5" t="s">
        <v>35</v>
      </c>
      <c r="E1250" s="5" t="s">
        <v>10513</v>
      </c>
      <c r="F1250" s="5" t="s">
        <v>524</v>
      </c>
      <c r="G1250" s="5" t="s">
        <v>10514</v>
      </c>
      <c r="H1250" s="6" t="s">
        <v>10515</v>
      </c>
      <c r="K1250" s="5" t="s">
        <v>10505</v>
      </c>
      <c r="M1250" s="5" t="s">
        <v>10516</v>
      </c>
      <c r="N1250" s="7" t="s">
        <v>10517</v>
      </c>
      <c r="O1250" s="8" t="str">
        <f>HYPERLINK("https://drive.google.com/file/d/1iocnevj5wq6-6OPBbCmCEcwwvc7qZ55W/view?usp=drivesdk","1249_R ERNA NAWANG WULAN, SE _ SERTIFIKAT BIMTEK IPASN BerAKHLASK")</f>
        <v>1249_R ERNA NAWANG WULAN, SE _ SERTIFIKAT BIMTEK IPASN BerAKHLASK</v>
      </c>
      <c r="P1250" s="5" t="s">
        <v>10496</v>
      </c>
      <c r="Q1250" s="5"/>
      <c r="R1250" s="5"/>
      <c r="S1250" s="5"/>
      <c r="T1250" s="5"/>
    </row>
    <row r="1251">
      <c r="A1251" s="4">
        <v>45534.33155884259</v>
      </c>
      <c r="B1251" s="5" t="s">
        <v>34</v>
      </c>
      <c r="D1251" s="5" t="s">
        <v>4775</v>
      </c>
      <c r="E1251" s="5" t="s">
        <v>10518</v>
      </c>
      <c r="F1251" s="5" t="s">
        <v>37</v>
      </c>
      <c r="G1251" s="5" t="s">
        <v>10519</v>
      </c>
      <c r="H1251" s="6" t="s">
        <v>10520</v>
      </c>
      <c r="K1251" s="5" t="s">
        <v>10505</v>
      </c>
      <c r="M1251" s="5" t="s">
        <v>10521</v>
      </c>
      <c r="N1251" s="7" t="s">
        <v>10522</v>
      </c>
      <c r="O1251" s="8" t="str">
        <f>HYPERLINK("https://drive.google.com/file/d/19-Jnvxu1BPWmc4xMdbZomdh37yNPYguq/view?usp=drivesdk","1250_SRI LESTARI YANMA _ SERTIFIKAT BIMTEK IPASN BerAKHLASK")</f>
        <v>1250_SRI LESTARI YANMA _ SERTIFIKAT BIMTEK IPASN BerAKHLASK</v>
      </c>
      <c r="P1251" s="5" t="s">
        <v>10496</v>
      </c>
      <c r="Q1251" s="5"/>
      <c r="R1251" s="5"/>
      <c r="S1251" s="5"/>
      <c r="T1251" s="5"/>
    </row>
    <row r="1252">
      <c r="A1252" s="4">
        <v>45534.33156679398</v>
      </c>
      <c r="B1252" s="5" t="s">
        <v>34</v>
      </c>
      <c r="D1252" s="5" t="s">
        <v>4775</v>
      </c>
      <c r="E1252" s="5" t="s">
        <v>10523</v>
      </c>
      <c r="F1252" s="5" t="s">
        <v>212</v>
      </c>
      <c r="G1252" s="5" t="s">
        <v>10524</v>
      </c>
      <c r="H1252" s="6" t="s">
        <v>10525</v>
      </c>
      <c r="K1252" s="5" t="s">
        <v>10505</v>
      </c>
      <c r="M1252" s="5" t="s">
        <v>10526</v>
      </c>
      <c r="N1252" s="7" t="s">
        <v>10527</v>
      </c>
      <c r="O1252" s="8" t="str">
        <f>HYPERLINK("https://drive.google.com/file/d/1260pkMW82tcD2XoSBSDpoa0TbvuL4cck/view?usp=drivesdk","1251_HARRY HERMAWAN _ SERTIFIKAT BIMTEK IPASN BerAKHLASK")</f>
        <v>1251_HARRY HERMAWAN _ SERTIFIKAT BIMTEK IPASN BerAKHLASK</v>
      </c>
      <c r="P1252" s="5" t="s">
        <v>10528</v>
      </c>
      <c r="Q1252" s="5"/>
      <c r="R1252" s="5"/>
      <c r="S1252" s="5"/>
      <c r="T1252" s="5"/>
    </row>
    <row r="1253">
      <c r="A1253" s="4">
        <v>45534.331572083334</v>
      </c>
      <c r="B1253" s="5" t="s">
        <v>34</v>
      </c>
      <c r="D1253" s="5" t="s">
        <v>35</v>
      </c>
      <c r="E1253" s="5" t="s">
        <v>10529</v>
      </c>
      <c r="F1253" s="5" t="s">
        <v>37</v>
      </c>
      <c r="G1253" s="5" t="s">
        <v>10530</v>
      </c>
      <c r="H1253" s="6" t="s">
        <v>10531</v>
      </c>
      <c r="K1253" s="5" t="s">
        <v>10505</v>
      </c>
      <c r="M1253" s="5" t="s">
        <v>10532</v>
      </c>
      <c r="N1253" s="7" t="s">
        <v>10533</v>
      </c>
      <c r="O1253" s="8" t="str">
        <f>HYPERLINK("https://drive.google.com/file/d/1kS1Rl-UL3R5ZrKi-qvkJ746tUqm1bYcf/view?usp=drivesdk","1252_ENI PRIANTINI _ SERTIFIKAT BIMTEK IPASN BerAKHLASK")</f>
        <v>1252_ENI PRIANTINI _ SERTIFIKAT BIMTEK IPASN BerAKHLASK</v>
      </c>
      <c r="P1253" s="5" t="s">
        <v>10528</v>
      </c>
      <c r="Q1253" s="5"/>
      <c r="R1253" s="5"/>
      <c r="S1253" s="5"/>
      <c r="T1253" s="5"/>
    </row>
    <row r="1254">
      <c r="A1254" s="4">
        <v>45534.33159826389</v>
      </c>
      <c r="B1254" s="5" t="s">
        <v>34</v>
      </c>
      <c r="D1254" s="5" t="s">
        <v>35</v>
      </c>
      <c r="E1254" s="5" t="s">
        <v>10534</v>
      </c>
      <c r="F1254" s="5" t="s">
        <v>212</v>
      </c>
      <c r="G1254" s="5" t="s">
        <v>10535</v>
      </c>
      <c r="H1254" s="6" t="s">
        <v>10536</v>
      </c>
      <c r="K1254" s="5" t="s">
        <v>10505</v>
      </c>
      <c r="M1254" s="5" t="s">
        <v>10537</v>
      </c>
      <c r="N1254" s="7" t="s">
        <v>10538</v>
      </c>
      <c r="O1254" s="8" t="str">
        <f>HYPERLINK("https://drive.google.com/file/d/1NPb-e4iEcvwEEPBarOmjbMB5ZiYk_Tpm/view?usp=drivesdk","1253_YUDI RAHMAT RIYADI _ SERTIFIKAT BIMTEK IPASN BerAKHLASK")</f>
        <v>1253_YUDI RAHMAT RIYADI _ SERTIFIKAT BIMTEK IPASN BerAKHLASK</v>
      </c>
      <c r="P1254" s="5" t="s">
        <v>10528</v>
      </c>
      <c r="Q1254" s="5"/>
      <c r="R1254" s="5"/>
      <c r="S1254" s="5"/>
      <c r="T1254" s="5"/>
    </row>
    <row r="1255" hidden="1">
      <c r="A1255" s="4">
        <v>45534.33160810186</v>
      </c>
      <c r="B1255" s="5" t="s">
        <v>19</v>
      </c>
      <c r="C1255" s="5" t="s">
        <v>466</v>
      </c>
      <c r="E1255" s="5" t="s">
        <v>10539</v>
      </c>
      <c r="F1255" s="5" t="s">
        <v>72</v>
      </c>
      <c r="G1255" s="5" t="s">
        <v>10540</v>
      </c>
      <c r="H1255" s="6" t="s">
        <v>10541</v>
      </c>
      <c r="K1255" s="5" t="s">
        <v>10505</v>
      </c>
      <c r="M1255" s="5" t="s">
        <v>10542</v>
      </c>
      <c r="N1255" s="7" t="s">
        <v>10543</v>
      </c>
      <c r="O1255" s="8" t="str">
        <f>HYPERLINK("https://drive.google.com/file/d/1ePIJYtT9Fw3pIveS-ecAi91Nlw2hjUrd/view?usp=drivesdk","1254_IDA NURNGIMANENI  _ SERTIFIKAT BIMTEK IPASN BerAKHLASK")</f>
        <v>1254_IDA NURNGIMANENI  _ SERTIFIKAT BIMTEK IPASN BerAKHLASK</v>
      </c>
      <c r="P1255" s="5" t="s">
        <v>10528</v>
      </c>
      <c r="Q1255" s="5"/>
      <c r="R1255" s="5"/>
      <c r="S1255" s="5"/>
      <c r="T1255" s="5"/>
    </row>
    <row r="1256">
      <c r="A1256" s="4">
        <v>45534.33161113426</v>
      </c>
      <c r="B1256" s="5" t="s">
        <v>34</v>
      </c>
      <c r="D1256" s="5" t="s">
        <v>35</v>
      </c>
      <c r="E1256" s="5" t="s">
        <v>10544</v>
      </c>
      <c r="F1256" s="5" t="s">
        <v>72</v>
      </c>
      <c r="G1256" s="5" t="s">
        <v>10545</v>
      </c>
      <c r="H1256" s="6" t="s">
        <v>10546</v>
      </c>
      <c r="K1256" s="5" t="s">
        <v>10505</v>
      </c>
      <c r="M1256" s="5" t="s">
        <v>10547</v>
      </c>
      <c r="N1256" s="7" t="s">
        <v>10548</v>
      </c>
      <c r="O1256" s="8" t="str">
        <f>HYPERLINK("https://drive.google.com/file/d/1AupACqzLi0TzWByndIWlpJ4Eb279BlL8/view?usp=drivesdk","1255_PENATA ALINURSIH, S.I.P _ SERTIFIKAT BIMTEK IPASN BerAKHLASK")</f>
        <v>1255_PENATA ALINURSIH, S.I.P _ SERTIFIKAT BIMTEK IPASN BerAKHLASK</v>
      </c>
      <c r="P1256" s="5" t="s">
        <v>10528</v>
      </c>
      <c r="Q1256" s="5"/>
      <c r="R1256" s="5"/>
      <c r="S1256" s="5"/>
      <c r="T1256" s="5"/>
    </row>
    <row r="1257">
      <c r="A1257" s="4">
        <v>45534.33161954861</v>
      </c>
      <c r="B1257" s="5" t="s">
        <v>34</v>
      </c>
      <c r="D1257" s="5" t="s">
        <v>35</v>
      </c>
      <c r="E1257" s="5" t="s">
        <v>10549</v>
      </c>
      <c r="F1257" s="5" t="s">
        <v>72</v>
      </c>
      <c r="G1257" s="5" t="s">
        <v>10550</v>
      </c>
      <c r="H1257" s="6" t="s">
        <v>10551</v>
      </c>
      <c r="K1257" s="5" t="s">
        <v>10505</v>
      </c>
      <c r="M1257" s="5" t="s">
        <v>10552</v>
      </c>
      <c r="N1257" s="7" t="s">
        <v>10553</v>
      </c>
      <c r="O1257" s="8" t="str">
        <f>HYPERLINK("https://drive.google.com/file/d/1HAhyoLgY9QnHfYZCxxGgrEhWR-CGSZB4/view?usp=drivesdk","1256_MUCKHAMAD MASHURY _ SERTIFIKAT BIMTEK IPASN BerAKHLASK")</f>
        <v>1256_MUCKHAMAD MASHURY _ SERTIFIKAT BIMTEK IPASN BerAKHLASK</v>
      </c>
      <c r="P1257" s="5" t="s">
        <v>10554</v>
      </c>
      <c r="Q1257" s="5"/>
      <c r="R1257" s="5"/>
      <c r="S1257" s="5"/>
      <c r="T1257" s="5"/>
    </row>
    <row r="1258">
      <c r="A1258" s="4">
        <v>45534.331622349535</v>
      </c>
      <c r="B1258" s="5" t="s">
        <v>34</v>
      </c>
      <c r="D1258" s="5" t="s">
        <v>267</v>
      </c>
      <c r="E1258" s="5" t="s">
        <v>10555</v>
      </c>
      <c r="F1258" s="5" t="s">
        <v>108</v>
      </c>
      <c r="G1258" s="5" t="s">
        <v>10556</v>
      </c>
      <c r="H1258" s="6" t="s">
        <v>10557</v>
      </c>
      <c r="K1258" s="5" t="s">
        <v>10505</v>
      </c>
      <c r="M1258" s="5" t="s">
        <v>10558</v>
      </c>
      <c r="N1258" s="7" t="s">
        <v>10559</v>
      </c>
      <c r="O1258" s="8" t="str">
        <f>HYPERLINK("https://drive.google.com/file/d/1hJcPk45m7d98DV8DmGg2_WfEjt_tlx5f/view?usp=drivesdk","1257_SUPRIYANA, SIKom _ SERTIFIKAT BIMTEK IPASN BerAKHLASK")</f>
        <v>1257_SUPRIYANA, SIKom _ SERTIFIKAT BIMTEK IPASN BerAKHLASK</v>
      </c>
      <c r="P1258" s="5" t="s">
        <v>10554</v>
      </c>
      <c r="Q1258" s="5"/>
      <c r="R1258" s="5"/>
      <c r="S1258" s="5"/>
      <c r="T1258" s="5"/>
    </row>
    <row r="1259">
      <c r="A1259" s="4">
        <v>45534.33162920139</v>
      </c>
      <c r="B1259" s="5" t="s">
        <v>34</v>
      </c>
      <c r="D1259" s="5" t="s">
        <v>35</v>
      </c>
      <c r="E1259" s="5" t="s">
        <v>10560</v>
      </c>
      <c r="F1259" s="5" t="s">
        <v>212</v>
      </c>
      <c r="G1259" s="5" t="s">
        <v>10561</v>
      </c>
      <c r="H1259" s="6" t="s">
        <v>10562</v>
      </c>
      <c r="K1259" s="5" t="s">
        <v>10505</v>
      </c>
      <c r="M1259" s="5" t="s">
        <v>10563</v>
      </c>
      <c r="N1259" s="7" t="s">
        <v>10564</v>
      </c>
      <c r="O1259" s="8" t="str">
        <f>HYPERLINK("https://drive.google.com/file/d/1OGbbPufqtGWppZOoF4ytICmZhP-nedn4/view?usp=drivesdk","1258_AJAT SUDRAJAT _ SERTIFIKAT BIMTEK IPASN BerAKHLASK")</f>
        <v>1258_AJAT SUDRAJAT _ SERTIFIKAT BIMTEK IPASN BerAKHLASK</v>
      </c>
      <c r="P1259" s="5" t="s">
        <v>10554</v>
      </c>
      <c r="Q1259" s="5"/>
      <c r="R1259" s="5"/>
      <c r="S1259" s="5"/>
      <c r="T1259" s="5"/>
    </row>
    <row r="1260">
      <c r="A1260" s="4">
        <v>45534.33163159722</v>
      </c>
      <c r="B1260" s="5" t="s">
        <v>34</v>
      </c>
      <c r="D1260" s="5" t="s">
        <v>1206</v>
      </c>
      <c r="E1260" s="5" t="s">
        <v>10565</v>
      </c>
      <c r="F1260" s="5" t="s">
        <v>212</v>
      </c>
      <c r="G1260" s="5" t="s">
        <v>10566</v>
      </c>
      <c r="H1260" s="6" t="s">
        <v>10567</v>
      </c>
      <c r="K1260" s="5" t="s">
        <v>10505</v>
      </c>
      <c r="M1260" s="5" t="s">
        <v>10568</v>
      </c>
      <c r="N1260" s="7" t="s">
        <v>10569</v>
      </c>
      <c r="O1260" s="8" t="str">
        <f>HYPERLINK("https://drive.google.com/file/d/1tVturjfRRj3NeoEa4NpSa0aoKLAx_sKo/view?usp=drivesdk","1259_ARIS PURWANTO _ SERTIFIKAT BIMTEK IPASN BerAKHLASK")</f>
        <v>1259_ARIS PURWANTO _ SERTIFIKAT BIMTEK IPASN BerAKHLASK</v>
      </c>
      <c r="P1260" s="5" t="s">
        <v>10554</v>
      </c>
      <c r="Q1260" s="5"/>
      <c r="R1260" s="5"/>
      <c r="S1260" s="5"/>
      <c r="T1260" s="5"/>
    </row>
    <row r="1261">
      <c r="A1261" s="4">
        <v>45534.33164224537</v>
      </c>
      <c r="B1261" s="5" t="s">
        <v>34</v>
      </c>
      <c r="D1261" s="5" t="s">
        <v>4775</v>
      </c>
      <c r="E1261" s="5" t="s">
        <v>10570</v>
      </c>
      <c r="F1261" s="5" t="s">
        <v>375</v>
      </c>
      <c r="G1261" s="5" t="s">
        <v>10571</v>
      </c>
      <c r="H1261" s="6" t="s">
        <v>10572</v>
      </c>
      <c r="K1261" s="5" t="s">
        <v>10505</v>
      </c>
      <c r="M1261" s="5" t="s">
        <v>10573</v>
      </c>
      <c r="N1261" s="7" t="s">
        <v>10574</v>
      </c>
      <c r="O1261" s="8" t="str">
        <f>HYPERLINK("https://drive.google.com/file/d/1pmyhFnRFmVJoY4lgArXik7mBHxHRSykd/view?usp=drivesdk","1260_ENY PUJI UTAMI _ SERTIFIKAT BIMTEK IPASN BerAKHLASK")</f>
        <v>1260_ENY PUJI UTAMI _ SERTIFIKAT BIMTEK IPASN BerAKHLASK</v>
      </c>
      <c r="P1261" s="5" t="s">
        <v>10554</v>
      </c>
      <c r="Q1261" s="5"/>
      <c r="R1261" s="5"/>
      <c r="S1261" s="5"/>
      <c r="T1261" s="5"/>
    </row>
    <row r="1262" hidden="1">
      <c r="A1262" s="4">
        <v>45534.33164722222</v>
      </c>
      <c r="B1262" s="5" t="s">
        <v>19</v>
      </c>
      <c r="C1262" s="5" t="s">
        <v>292</v>
      </c>
      <c r="E1262" s="5" t="s">
        <v>10575</v>
      </c>
      <c r="F1262" s="5" t="s">
        <v>72</v>
      </c>
      <c r="G1262" s="5" t="s">
        <v>10576</v>
      </c>
      <c r="H1262" s="6" t="s">
        <v>10577</v>
      </c>
      <c r="K1262" s="5" t="s">
        <v>10505</v>
      </c>
      <c r="M1262" s="5" t="s">
        <v>10578</v>
      </c>
      <c r="N1262" s="7" t="s">
        <v>10579</v>
      </c>
      <c r="O1262" s="8" t="str">
        <f>HYPERLINK("https://drive.google.com/file/d/1yruEWP1mza_yRdoWxXj_HOJMUpbVClT4/view?usp=drivesdk","1261_ANAH HASANAH S.PD _ SERTIFIKAT BIMTEK IPASN BerAKHLASK")</f>
        <v>1261_ANAH HASANAH S.PD _ SERTIFIKAT BIMTEK IPASN BerAKHLASK</v>
      </c>
      <c r="P1262" s="5" t="s">
        <v>10580</v>
      </c>
      <c r="Q1262" s="5"/>
      <c r="R1262" s="5"/>
      <c r="S1262" s="5"/>
      <c r="T1262" s="5"/>
    </row>
    <row r="1263">
      <c r="A1263" s="4">
        <v>45534.33166166667</v>
      </c>
      <c r="B1263" s="5" t="s">
        <v>34</v>
      </c>
      <c r="D1263" s="5" t="s">
        <v>1206</v>
      </c>
      <c r="E1263" s="5" t="s">
        <v>10581</v>
      </c>
      <c r="F1263" s="5" t="s">
        <v>72</v>
      </c>
      <c r="G1263" s="5" t="s">
        <v>10582</v>
      </c>
      <c r="H1263" s="6" t="s">
        <v>10583</v>
      </c>
      <c r="K1263" s="5" t="s">
        <v>10584</v>
      </c>
      <c r="M1263" s="5" t="s">
        <v>10585</v>
      </c>
      <c r="N1263" s="7" t="s">
        <v>10586</v>
      </c>
      <c r="O1263" s="8" t="str">
        <f>HYPERLINK("https://drive.google.com/file/d/1niWbakrG8ts25CH7_1tIpe-Pa83k1q56/view?usp=drivesdk","1262_ARDATH P SETYAN, SKOM  MT _ SERTIFIKAT BIMTEK IPASN BerAKHLASK")</f>
        <v>1262_ARDATH P SETYAN, SKOM  MT _ SERTIFIKAT BIMTEK IPASN BerAKHLASK</v>
      </c>
      <c r="P1263" s="5" t="s">
        <v>10580</v>
      </c>
      <c r="Q1263" s="5"/>
      <c r="R1263" s="5"/>
      <c r="S1263" s="5"/>
      <c r="T1263" s="5"/>
    </row>
    <row r="1264">
      <c r="A1264" s="4">
        <v>45534.33167885417</v>
      </c>
      <c r="B1264" s="5" t="s">
        <v>34</v>
      </c>
      <c r="D1264" s="5" t="s">
        <v>4775</v>
      </c>
      <c r="E1264" s="5" t="s">
        <v>10587</v>
      </c>
      <c r="F1264" s="5" t="s">
        <v>72</v>
      </c>
      <c r="G1264" s="5" t="s">
        <v>10588</v>
      </c>
      <c r="H1264" s="6" t="s">
        <v>10589</v>
      </c>
      <c r="K1264" s="5" t="s">
        <v>10590</v>
      </c>
      <c r="M1264" s="5" t="s">
        <v>10591</v>
      </c>
      <c r="N1264" s="7" t="s">
        <v>10592</v>
      </c>
      <c r="O1264" s="8" t="str">
        <f>HYPERLINK("https://drive.google.com/file/d/1BQP5srnZN0TWSfGxrXN0VjCJcnLngsoP/view?usp=drivesdk","1263_HARIS PRAJARTO _ SERTIFIKAT BIMTEK IPASN BerAKHLASK")</f>
        <v>1263_HARIS PRAJARTO _ SERTIFIKAT BIMTEK IPASN BerAKHLASK</v>
      </c>
      <c r="P1264" s="5" t="s">
        <v>10580</v>
      </c>
      <c r="Q1264" s="5"/>
      <c r="R1264" s="5"/>
      <c r="S1264" s="5"/>
      <c r="T1264" s="5"/>
    </row>
    <row r="1265">
      <c r="A1265" s="4">
        <v>45534.33169140047</v>
      </c>
      <c r="B1265" s="5" t="s">
        <v>34</v>
      </c>
      <c r="D1265" s="5" t="s">
        <v>580</v>
      </c>
      <c r="E1265" s="5" t="s">
        <v>10593</v>
      </c>
      <c r="F1265" s="5" t="s">
        <v>212</v>
      </c>
      <c r="G1265" s="5" t="s">
        <v>10594</v>
      </c>
      <c r="H1265" s="6" t="s">
        <v>10595</v>
      </c>
      <c r="I1265" s="7" t="s">
        <v>10596</v>
      </c>
      <c r="J1265" s="8" t="str">
        <f>HYPERLINK("https://drive.google.com/file/d/1qaX2cBcJoAnzQmZYtbF0fCZC21PRhaoJ/view?usp=drivesdk","NI NYOMAN WAHYUNINGSIH SERTIFIKAT BerAKHLAK")</f>
        <v>NI NYOMAN WAHYUNINGSIH SERTIFIKAT BerAKHLAK</v>
      </c>
      <c r="K1265" s="5" t="s">
        <v>9565</v>
      </c>
      <c r="L1265" s="5" t="s">
        <v>10597</v>
      </c>
      <c r="M1265" s="5" t="s">
        <v>10598</v>
      </c>
      <c r="N1265" s="7" t="s">
        <v>10599</v>
      </c>
      <c r="O1265" s="8" t="str">
        <f>HYPERLINK("https://drive.google.com/file/d/1MCIzzkpcAD2Zgi0M2LqbNx6FuRKHfJZB/view?usp=drivesdk","1264_NI NYOMAN WAHYUNINGSIH _ SERTIFIKAT BIMTEK IPASN BerAKHLASK")</f>
        <v>1264_NI NYOMAN WAHYUNINGSIH _ SERTIFIKAT BIMTEK IPASN BerAKHLASK</v>
      </c>
      <c r="P1265" s="5" t="s">
        <v>10580</v>
      </c>
      <c r="Q1265" s="5"/>
      <c r="R1265" s="5"/>
      <c r="S1265" s="5"/>
      <c r="T1265" s="5"/>
    </row>
    <row r="1266">
      <c r="A1266" s="4">
        <v>45534.331696863424</v>
      </c>
      <c r="B1266" s="5" t="s">
        <v>34</v>
      </c>
      <c r="D1266" s="5" t="s">
        <v>9020</v>
      </c>
      <c r="E1266" s="5" t="s">
        <v>10600</v>
      </c>
      <c r="F1266" s="5" t="s">
        <v>37</v>
      </c>
      <c r="G1266" s="5" t="s">
        <v>10601</v>
      </c>
      <c r="H1266" s="6" t="s">
        <v>10602</v>
      </c>
      <c r="I1266" s="7" t="s">
        <v>10603</v>
      </c>
      <c r="J1266" s="8" t="str">
        <f>HYPERLINK("https://drive.google.com/file/d/15U_1Yzc9_h2y9JGv_fhTUYxSmHfi1MZ7/view?usp=drivesdk","WAHIDIN MALAU SERTIFIKAT BerAKHLAK")</f>
        <v>WAHIDIN MALAU SERTIFIKAT BerAKHLAK</v>
      </c>
      <c r="K1266" s="5" t="s">
        <v>10440</v>
      </c>
      <c r="L1266" s="5" t="s">
        <v>10604</v>
      </c>
      <c r="M1266" s="5" t="s">
        <v>10605</v>
      </c>
      <c r="N1266" s="7" t="s">
        <v>10606</v>
      </c>
      <c r="O1266" s="8" t="str">
        <f>HYPERLINK("https://drive.google.com/file/d/1ChsQoVJnV_UA5hgQqTgQ5XKvO5ZV_gVZ/view?usp=drivesdk","1265_WAHIDIN MALAU _ SERTIFIKAT BIMTEK IPASN BerAKHLASK")</f>
        <v>1265_WAHIDIN MALAU _ SERTIFIKAT BIMTEK IPASN BerAKHLASK</v>
      </c>
      <c r="P1266" s="5" t="s">
        <v>10580</v>
      </c>
      <c r="Q1266" s="5"/>
      <c r="R1266" s="5"/>
      <c r="S1266" s="5"/>
      <c r="T1266" s="5"/>
    </row>
    <row r="1267">
      <c r="A1267" s="4">
        <v>45534.33169892361</v>
      </c>
      <c r="B1267" s="5" t="s">
        <v>34</v>
      </c>
      <c r="D1267" s="5" t="s">
        <v>4775</v>
      </c>
      <c r="E1267" s="5" t="s">
        <v>10607</v>
      </c>
      <c r="F1267" s="5" t="s">
        <v>524</v>
      </c>
      <c r="G1267" s="5" t="s">
        <v>10608</v>
      </c>
      <c r="H1267" s="6" t="s">
        <v>10609</v>
      </c>
      <c r="I1267" s="7" t="s">
        <v>10610</v>
      </c>
      <c r="J1267" s="8" t="str">
        <f>HYPERLINK("https://drive.google.com/file/d/1jBsHtG5DaKcmgJ9roCZiyJQTR4lsTe2V/view?usp=drivesdk","WIWIK SUNARNI,S.H SERTIFIKAT BerAKHLAK")</f>
        <v>WIWIK SUNARNI,S.H SERTIFIKAT BerAKHLAK</v>
      </c>
      <c r="K1267" s="5" t="s">
        <v>10440</v>
      </c>
      <c r="L1267" s="5" t="s">
        <v>10611</v>
      </c>
      <c r="M1267" s="5" t="s">
        <v>10612</v>
      </c>
      <c r="N1267" s="7" t="s">
        <v>10613</v>
      </c>
      <c r="O1267" s="8" t="str">
        <f>HYPERLINK("https://drive.google.com/file/d/16KAnAtY6ch3wWWmn5V0LUrMfal0TQFA6/view?usp=drivesdk","1266_WIWIK SUNARNI,S.H _ SERTIFIKAT BIMTEK IPASN BerAKHLASK")</f>
        <v>1266_WIWIK SUNARNI,S.H _ SERTIFIKAT BIMTEK IPASN BerAKHLASK</v>
      </c>
      <c r="P1267" s="5" t="s">
        <v>10614</v>
      </c>
      <c r="Q1267" s="5"/>
      <c r="R1267" s="5"/>
      <c r="S1267" s="5"/>
      <c r="T1267" s="5"/>
    </row>
    <row r="1268">
      <c r="A1268" s="4">
        <v>45534.331706192126</v>
      </c>
      <c r="B1268" s="5" t="s">
        <v>34</v>
      </c>
      <c r="D1268" s="5" t="s">
        <v>35</v>
      </c>
      <c r="E1268" s="5" t="s">
        <v>10615</v>
      </c>
      <c r="F1268" s="5" t="s">
        <v>120</v>
      </c>
      <c r="G1268" s="5" t="s">
        <v>10616</v>
      </c>
      <c r="H1268" s="6" t="s">
        <v>10617</v>
      </c>
      <c r="I1268" s="7" t="s">
        <v>10618</v>
      </c>
      <c r="J1268" s="8" t="str">
        <f>HYPERLINK("https://drive.google.com/file/d/16rfsZYJ2XulPBQYroGN6XbORvg3fPm7h/view?usp=drivesdk","LINDA DIANOVITA SH MH SERTIFIKAT BerAKHLAK")</f>
        <v>LINDA DIANOVITA SH MH SERTIFIKAT BerAKHLAK</v>
      </c>
      <c r="K1268" s="5" t="s">
        <v>10440</v>
      </c>
      <c r="L1268" s="5" t="s">
        <v>10619</v>
      </c>
      <c r="M1268" s="5" t="s">
        <v>10620</v>
      </c>
      <c r="N1268" s="7" t="s">
        <v>10621</v>
      </c>
      <c r="O1268" s="8" t="str">
        <f>HYPERLINK("https://drive.google.com/file/d/1prZJkKPGckZEKWpJ1pNOtZbYCJOT1Ms-/view?usp=drivesdk","1267_LINDA DIANOVITA SH MH _ SERTIFIKAT BIMTEK IPASN BerAKHLASK")</f>
        <v>1267_LINDA DIANOVITA SH MH _ SERTIFIKAT BIMTEK IPASN BerAKHLASK</v>
      </c>
      <c r="P1268" s="5" t="s">
        <v>10614</v>
      </c>
      <c r="Q1268" s="5"/>
      <c r="R1268" s="5"/>
      <c r="S1268" s="5"/>
      <c r="T1268" s="5"/>
    </row>
    <row r="1269">
      <c r="A1269" s="4">
        <v>45534.33170751158</v>
      </c>
      <c r="B1269" s="5" t="s">
        <v>34</v>
      </c>
      <c r="D1269" s="5" t="s">
        <v>267</v>
      </c>
      <c r="E1269" s="5" t="s">
        <v>10622</v>
      </c>
      <c r="F1269" s="5" t="s">
        <v>72</v>
      </c>
      <c r="G1269" s="5" t="s">
        <v>10623</v>
      </c>
      <c r="H1269" s="6" t="s">
        <v>10624</v>
      </c>
      <c r="I1269" s="7" t="s">
        <v>10625</v>
      </c>
      <c r="J1269" s="8" t="str">
        <f>HYPERLINK("https://drive.google.com/file/d/1yOOZgPfuL7oJSSqKf7DUD-x-n3fJjkEr/view?usp=drivesdk","NATALIA FITRIANA WAHYU SEJATI SERTIFIKAT BerAKHLAK")</f>
        <v>NATALIA FITRIANA WAHYU SEJATI SERTIFIKAT BerAKHLAK</v>
      </c>
      <c r="K1269" s="5" t="s">
        <v>10440</v>
      </c>
      <c r="L1269" s="5" t="s">
        <v>10626</v>
      </c>
      <c r="M1269" s="5" t="s">
        <v>10627</v>
      </c>
      <c r="N1269" s="7" t="s">
        <v>10628</v>
      </c>
      <c r="O1269" s="8" t="str">
        <f>HYPERLINK("https://drive.google.com/file/d/1v9bsVRu90p6ralaOR6OlbiIzjcGx8erL/view?usp=drivesdk","1268_NATALIA FITRIANA WAHYU SEJATI _ SERTIFIKAT BIMTEK IPASN BerAKHLASK")</f>
        <v>1268_NATALIA FITRIANA WAHYU SEJATI _ SERTIFIKAT BIMTEK IPASN BerAKHLASK</v>
      </c>
      <c r="P1269" s="5" t="s">
        <v>10614</v>
      </c>
      <c r="Q1269" s="5"/>
      <c r="R1269" s="5"/>
      <c r="S1269" s="5"/>
      <c r="T1269" s="5"/>
    </row>
    <row r="1270">
      <c r="A1270" s="4">
        <v>45534.331713645835</v>
      </c>
      <c r="B1270" s="5" t="s">
        <v>34</v>
      </c>
      <c r="D1270" s="5" t="s">
        <v>4775</v>
      </c>
      <c r="E1270" s="5" t="s">
        <v>10629</v>
      </c>
      <c r="F1270" s="5" t="s">
        <v>212</v>
      </c>
      <c r="G1270" s="5" t="s">
        <v>10630</v>
      </c>
      <c r="H1270" s="6" t="s">
        <v>10631</v>
      </c>
      <c r="I1270" s="7" t="s">
        <v>10632</v>
      </c>
      <c r="J1270" s="8" t="str">
        <f>HYPERLINK("https://drive.google.com/file/d/19gBeFxYKWBNzFLzK1H0LmX1-W-5AVpS4/view?usp=drivesdk","ARSHINTA KRISNA KEMALA SERTIFIKAT BerAKHLAK")</f>
        <v>ARSHINTA KRISNA KEMALA SERTIFIKAT BerAKHLAK</v>
      </c>
      <c r="K1270" s="5" t="s">
        <v>9565</v>
      </c>
      <c r="L1270" s="5" t="s">
        <v>10633</v>
      </c>
      <c r="M1270" s="5" t="s">
        <v>10634</v>
      </c>
      <c r="N1270" s="7" t="s">
        <v>10635</v>
      </c>
      <c r="O1270" s="8" t="str">
        <f>HYPERLINK("https://drive.google.com/file/d/1uJImhyYhjCEUwI4LjjDo0kfsX_LRscS9/view?usp=drivesdk","1269_ARSHINTA KRISNA KEMALA _ SERTIFIKAT BIMTEK IPASN BerAKHLASK")</f>
        <v>1269_ARSHINTA KRISNA KEMALA _ SERTIFIKAT BIMTEK IPASN BerAKHLASK</v>
      </c>
      <c r="P1270" s="5" t="s">
        <v>10614</v>
      </c>
      <c r="Q1270" s="5"/>
      <c r="R1270" s="5"/>
      <c r="S1270" s="5"/>
      <c r="T1270" s="5"/>
    </row>
    <row r="1271">
      <c r="A1271" s="4">
        <v>45534.331730034726</v>
      </c>
      <c r="B1271" s="5" t="s">
        <v>34</v>
      </c>
      <c r="D1271" s="5" t="s">
        <v>4775</v>
      </c>
      <c r="E1271" s="5" t="s">
        <v>10636</v>
      </c>
      <c r="F1271" s="5" t="s">
        <v>212</v>
      </c>
      <c r="G1271" s="5" t="s">
        <v>10637</v>
      </c>
      <c r="H1271" s="6" t="s">
        <v>10638</v>
      </c>
      <c r="I1271" s="7" t="s">
        <v>10639</v>
      </c>
      <c r="J1271" s="8" t="str">
        <f>HYPERLINK("https://drive.google.com/file/d/1nMi10gADhybKRe0ZU-NCvKKl5-6lxnmy/view?usp=drivesdk","SISWANTO AHLI MADYA SERTIFIKAT BerAKHLAK")</f>
        <v>SISWANTO AHLI MADYA SERTIFIKAT BerAKHLAK</v>
      </c>
      <c r="K1271" s="5" t="s">
        <v>10440</v>
      </c>
      <c r="L1271" s="5" t="s">
        <v>10640</v>
      </c>
      <c r="M1271" s="5" t="s">
        <v>10641</v>
      </c>
      <c r="N1271" s="7" t="s">
        <v>10642</v>
      </c>
      <c r="O1271" s="8" t="str">
        <f>HYPERLINK("https://drive.google.com/file/d/1p_4AwzfN9299weqNVuqYlee3s4-31rsT/view?usp=drivesdk","1270_SISWANTO AHLI MADYA _ SERTIFIKAT BIMTEK IPASN BerAKHLASK")</f>
        <v>1270_SISWANTO AHLI MADYA _ SERTIFIKAT BIMTEK IPASN BerAKHLASK</v>
      </c>
      <c r="P1271" s="5" t="s">
        <v>10614</v>
      </c>
      <c r="Q1271" s="5"/>
      <c r="R1271" s="5"/>
      <c r="S1271" s="5"/>
      <c r="T1271" s="5"/>
    </row>
    <row r="1272">
      <c r="A1272" s="4">
        <v>45534.331737858796</v>
      </c>
      <c r="B1272" s="5" t="s">
        <v>34</v>
      </c>
      <c r="D1272" s="5" t="s">
        <v>1768</v>
      </c>
      <c r="E1272" s="5" t="s">
        <v>10643</v>
      </c>
      <c r="F1272" s="5" t="s">
        <v>37</v>
      </c>
      <c r="G1272" s="5" t="s">
        <v>10644</v>
      </c>
      <c r="H1272" s="6" t="s">
        <v>10645</v>
      </c>
      <c r="I1272" s="7" t="s">
        <v>10646</v>
      </c>
      <c r="J1272" s="8" t="str">
        <f>HYPERLINK("https://drive.google.com/file/d/1XK-4BlvgVRDiPhH_jbvtyomBy7Vhtqz4/view?usp=drivesdk","PENGATUR URI DING SERTIFIKAT BerAKHLAK")</f>
        <v>PENGATUR URI DING SERTIFIKAT BerAKHLAK</v>
      </c>
      <c r="K1272" s="5" t="s">
        <v>10440</v>
      </c>
      <c r="L1272" s="5" t="s">
        <v>10647</v>
      </c>
      <c r="M1272" s="5" t="s">
        <v>10648</v>
      </c>
      <c r="N1272" s="7" t="s">
        <v>10649</v>
      </c>
      <c r="O1272" s="8" t="str">
        <f>HYPERLINK("https://drive.google.com/file/d/1Ecgh-VfpyOzws5FA9GxobkKMwwNY3k0q/view?usp=drivesdk","1271_PENGATUR URI DING _ SERTIFIKAT BIMTEK IPASN BerAKHLASK")</f>
        <v>1271_PENGATUR URI DING _ SERTIFIKAT BIMTEK IPASN BerAKHLASK</v>
      </c>
      <c r="P1272" s="5" t="s">
        <v>10614</v>
      </c>
      <c r="Q1272" s="5"/>
      <c r="R1272" s="5"/>
      <c r="S1272" s="5"/>
      <c r="T1272" s="5"/>
    </row>
    <row r="1273">
      <c r="A1273" s="4">
        <v>45534.33175490741</v>
      </c>
      <c r="B1273" s="5" t="s">
        <v>34</v>
      </c>
      <c r="D1273" s="5" t="s">
        <v>9020</v>
      </c>
      <c r="E1273" s="5" t="s">
        <v>10650</v>
      </c>
      <c r="F1273" s="5" t="s">
        <v>375</v>
      </c>
      <c r="G1273" s="5" t="s">
        <v>10651</v>
      </c>
      <c r="H1273" s="6" t="s">
        <v>10652</v>
      </c>
      <c r="I1273" s="7" t="s">
        <v>10653</v>
      </c>
      <c r="J1273" s="8" t="str">
        <f>HYPERLINK("https://drive.google.com/file/d/1EqJKVUFkQf028AcmBh6hYUcHFjTaOn6d/view?usp=drivesdk","ANITA BR SEMBIRING, S.KOM SERTIFIKAT BerAKHLAK")</f>
        <v>ANITA BR SEMBIRING, S.KOM SERTIFIKAT BerAKHLAK</v>
      </c>
      <c r="K1273" s="5" t="s">
        <v>9565</v>
      </c>
      <c r="L1273" s="5" t="s">
        <v>10654</v>
      </c>
      <c r="M1273" s="5" t="s">
        <v>10655</v>
      </c>
      <c r="N1273" s="7" t="s">
        <v>10656</v>
      </c>
      <c r="O1273" s="8" t="str">
        <f>HYPERLINK("https://drive.google.com/file/d/1wS2ul5pIRUkJLxRO8Mr9ueNuZ4q5gEzB/view?usp=drivesdk","1272_ANITA BR SEMBIRING, S.KOM _ SERTIFIKAT BIMTEK IPASN BerAKHLASK")</f>
        <v>1272_ANITA BR SEMBIRING, S.KOM _ SERTIFIKAT BIMTEK IPASN BerAKHLASK</v>
      </c>
      <c r="P1273" s="5" t="s">
        <v>10657</v>
      </c>
      <c r="Q1273" s="5"/>
      <c r="R1273" s="5"/>
      <c r="S1273" s="5"/>
      <c r="T1273" s="5"/>
    </row>
    <row r="1274">
      <c r="A1274" s="4">
        <v>45534.331763298615</v>
      </c>
      <c r="B1274" s="5" t="s">
        <v>34</v>
      </c>
      <c r="D1274" s="5" t="s">
        <v>4775</v>
      </c>
      <c r="E1274" s="5" t="s">
        <v>10658</v>
      </c>
      <c r="F1274" s="5" t="s">
        <v>120</v>
      </c>
      <c r="G1274" s="5" t="s">
        <v>10659</v>
      </c>
      <c r="H1274" s="6" t="s">
        <v>10660</v>
      </c>
      <c r="I1274" s="7" t="s">
        <v>10661</v>
      </c>
      <c r="J1274" s="8" t="str">
        <f>HYPERLINK("https://drive.google.com/file/d/1xzgWMUOsiVgv4H6x8QfL7H5tCBdWRRDZ/view?usp=drivesdk","ELLY PRASTIMI S.Sos.,M.Si SERTIFIKAT BerAKHLAK")</f>
        <v>ELLY PRASTIMI S.Sos.,M.Si SERTIFIKAT BerAKHLAK</v>
      </c>
      <c r="K1274" s="5" t="s">
        <v>10440</v>
      </c>
      <c r="L1274" s="5" t="s">
        <v>10662</v>
      </c>
      <c r="M1274" s="5" t="s">
        <v>10663</v>
      </c>
      <c r="N1274" s="7" t="s">
        <v>10664</v>
      </c>
      <c r="O1274" s="8" t="str">
        <f>HYPERLINK("https://drive.google.com/file/d/1a6muvENkx-AlFZAlJz5BZ1KuJqiMtNRJ/view?usp=drivesdk","1273_ELLY PRASTIMI S.Sos.,M.Si _ SERTIFIKAT BIMTEK IPASN BerAKHLASK")</f>
        <v>1273_ELLY PRASTIMI S.Sos.,M.Si _ SERTIFIKAT BIMTEK IPASN BerAKHLASK</v>
      </c>
      <c r="P1274" s="5" t="s">
        <v>10657</v>
      </c>
      <c r="Q1274" s="5"/>
      <c r="R1274" s="5"/>
      <c r="S1274" s="5"/>
      <c r="T1274" s="5"/>
    </row>
    <row r="1275">
      <c r="A1275" s="4">
        <v>45534.3317841088</v>
      </c>
      <c r="B1275" s="5" t="s">
        <v>34</v>
      </c>
      <c r="D1275" s="5" t="s">
        <v>1206</v>
      </c>
      <c r="E1275" s="5" t="s">
        <v>10665</v>
      </c>
      <c r="F1275" s="5" t="s">
        <v>212</v>
      </c>
      <c r="G1275" s="5" t="s">
        <v>10666</v>
      </c>
      <c r="H1275" s="6" t="s">
        <v>10667</v>
      </c>
      <c r="I1275" s="7" t="s">
        <v>10668</v>
      </c>
      <c r="J1275" s="8" t="str">
        <f>HYPERLINK("https://drive.google.com/file/d/1tgjqZfTPqzpmkcnG1V2SEAXVFDrF5wBe/view?usp=drivesdk","PENGATUR I SUPATMI SERTIFIKAT BerAKHLAK")</f>
        <v>PENGATUR I SUPATMI SERTIFIKAT BerAKHLAK</v>
      </c>
      <c r="K1275" s="5" t="s">
        <v>9565</v>
      </c>
      <c r="L1275" s="5" t="s">
        <v>10669</v>
      </c>
      <c r="M1275" s="5" t="s">
        <v>10670</v>
      </c>
      <c r="N1275" s="7" t="s">
        <v>10671</v>
      </c>
      <c r="O1275" s="8" t="str">
        <f>HYPERLINK("https://drive.google.com/file/d/1hpiU1SD-fwXy7-IlO4SI9A1nyx4AZcvI/view?usp=drivesdk","1274_PENGATUR I SUPATMI _ SERTIFIKAT BIMTEK IPASN BerAKHLASK")</f>
        <v>1274_PENGATUR I SUPATMI _ SERTIFIKAT BIMTEK IPASN BerAKHLASK</v>
      </c>
      <c r="P1275" s="5" t="s">
        <v>10657</v>
      </c>
      <c r="Q1275" s="5"/>
      <c r="R1275" s="5"/>
      <c r="S1275" s="5"/>
      <c r="T1275" s="5"/>
    </row>
    <row r="1276">
      <c r="A1276" s="4">
        <v>45534.33178666666</v>
      </c>
      <c r="B1276" s="5" t="s">
        <v>34</v>
      </c>
      <c r="D1276" s="5" t="s">
        <v>280</v>
      </c>
      <c r="E1276" s="5" t="s">
        <v>10672</v>
      </c>
      <c r="F1276" s="5" t="s">
        <v>37</v>
      </c>
      <c r="G1276" s="5" t="s">
        <v>10673</v>
      </c>
      <c r="H1276" s="6" t="s">
        <v>10674</v>
      </c>
      <c r="I1276" s="7" t="s">
        <v>10675</v>
      </c>
      <c r="J1276" s="8" t="str">
        <f>HYPERLINK("https://drive.google.com/file/d/1AhMOp5YirgUU67oTyep1IX8lp99PhUKZ/view?usp=drivesdk","OLANI HARIANJA, S.E. SERTIFIKAT BerAKHLAK")</f>
        <v>OLANI HARIANJA, S.E. SERTIFIKAT BerAKHLAK</v>
      </c>
      <c r="K1276" s="5" t="s">
        <v>10440</v>
      </c>
      <c r="L1276" s="5" t="s">
        <v>10676</v>
      </c>
      <c r="M1276" s="5" t="s">
        <v>10677</v>
      </c>
      <c r="N1276" s="7" t="s">
        <v>10678</v>
      </c>
      <c r="O1276" s="8" t="str">
        <f>HYPERLINK("https://drive.google.com/file/d/1CfpW-swv5s3-khS_MKZmnitTdrNMFV1F/view?usp=drivesdk","1275_OLANI HARIANJA, S.E. _ SERTIFIKAT BIMTEK IPASN BerAKHLASK")</f>
        <v>1275_OLANI HARIANJA, S.E. _ SERTIFIKAT BIMTEK IPASN BerAKHLASK</v>
      </c>
      <c r="P1276" s="5" t="s">
        <v>10657</v>
      </c>
      <c r="Q1276" s="5"/>
      <c r="R1276" s="5"/>
      <c r="S1276" s="5"/>
      <c r="T1276" s="5"/>
    </row>
    <row r="1277">
      <c r="A1277" s="4">
        <v>45534.33181498843</v>
      </c>
      <c r="B1277" s="5" t="s">
        <v>34</v>
      </c>
      <c r="D1277" s="5" t="s">
        <v>9020</v>
      </c>
      <c r="E1277" s="5" t="s">
        <v>10679</v>
      </c>
      <c r="F1277" s="5" t="s">
        <v>72</v>
      </c>
      <c r="G1277" s="5" t="s">
        <v>10680</v>
      </c>
      <c r="H1277" s="6" t="s">
        <v>10681</v>
      </c>
      <c r="I1277" s="7" t="s">
        <v>10682</v>
      </c>
      <c r="J1277" s="8" t="str">
        <f>HYPERLINK("https://drive.google.com/file/d/1REjId97O7_Rvx6DhBC-D08VtFPYJ5AZr/view?usp=drivesdk","AINAL MARDIAH,S.E. SERTIFIKAT BerAKHLAK")</f>
        <v>AINAL MARDIAH,S.E. SERTIFIKAT BerAKHLAK</v>
      </c>
      <c r="K1277" s="5" t="s">
        <v>10440</v>
      </c>
      <c r="L1277" s="5" t="s">
        <v>10683</v>
      </c>
      <c r="M1277" s="5" t="s">
        <v>10684</v>
      </c>
      <c r="N1277" s="7" t="s">
        <v>10685</v>
      </c>
      <c r="O1277" s="8" t="str">
        <f>HYPERLINK("https://drive.google.com/file/d/1OKsQ6xcdTPZ8QYIGruH1o_FTiKfHQEbQ/view?usp=drivesdk","1276_AINAL MARDIAH,S.E. _ SERTIFIKAT BIMTEK IPASN BerAKHLASK")</f>
        <v>1276_AINAL MARDIAH,S.E. _ SERTIFIKAT BIMTEK IPASN BerAKHLASK</v>
      </c>
      <c r="P1277" s="5" t="s">
        <v>10657</v>
      </c>
      <c r="Q1277" s="5"/>
      <c r="R1277" s="5"/>
      <c r="S1277" s="5"/>
      <c r="T1277" s="5"/>
    </row>
    <row r="1278">
      <c r="A1278" s="4">
        <v>45534.33185520834</v>
      </c>
      <c r="B1278" s="5" t="s">
        <v>34</v>
      </c>
      <c r="D1278" s="5" t="s">
        <v>1206</v>
      </c>
      <c r="E1278" s="5" t="s">
        <v>10686</v>
      </c>
      <c r="F1278" s="5" t="s">
        <v>212</v>
      </c>
      <c r="G1278" s="5" t="s">
        <v>10687</v>
      </c>
      <c r="H1278" s="6" t="s">
        <v>10688</v>
      </c>
      <c r="I1278" s="7" t="s">
        <v>10689</v>
      </c>
      <c r="J1278" s="8" t="str">
        <f>HYPERLINK("https://drive.google.com/file/d/1vF13La2OpUeuvrz63mURjtst-Ax2mGoc/view?usp=drivesdk","SITTI HALIFAH, S. H.  SERTIFIKAT BerAKHLAK")</f>
        <v>SITTI HALIFAH, S. H.  SERTIFIKAT BerAKHLAK</v>
      </c>
      <c r="K1278" s="5" t="s">
        <v>10440</v>
      </c>
      <c r="L1278" s="5" t="s">
        <v>10690</v>
      </c>
      <c r="M1278" s="5" t="s">
        <v>10691</v>
      </c>
      <c r="N1278" s="7" t="s">
        <v>10692</v>
      </c>
      <c r="O1278" s="8" t="str">
        <f>HYPERLINK("https://drive.google.com/file/d/16_yhlUAxMUTIZhmFpiaQGtHl5ALFn2Xq/view?usp=drivesdk","1277_SITTI HALIFAH, S. H.  _ SERTIFIKAT BIMTEK IPASN BerAKHLASK")</f>
        <v>1277_SITTI HALIFAH, S. H.  _ SERTIFIKAT BIMTEK IPASN BerAKHLASK</v>
      </c>
      <c r="P1278" s="5" t="s">
        <v>10693</v>
      </c>
      <c r="Q1278" s="5"/>
      <c r="R1278" s="5"/>
      <c r="S1278" s="5"/>
      <c r="T1278" s="5"/>
    </row>
    <row r="1279">
      <c r="A1279" s="4">
        <v>45534.331868587964</v>
      </c>
      <c r="B1279" s="5" t="s">
        <v>34</v>
      </c>
      <c r="D1279" s="5" t="s">
        <v>35</v>
      </c>
      <c r="E1279" s="5" t="s">
        <v>10694</v>
      </c>
      <c r="F1279" s="5" t="s">
        <v>212</v>
      </c>
      <c r="G1279" s="5" t="s">
        <v>10695</v>
      </c>
      <c r="H1279" s="6" t="s">
        <v>10696</v>
      </c>
      <c r="I1279" s="7" t="s">
        <v>10697</v>
      </c>
      <c r="J1279" s="8" t="str">
        <f>HYPERLINK("https://drive.google.com/file/d/1KjlPxnz_ALpYWANCg_nUxkM6zDskeTJ0/view?usp=drivesdk","NENENG JUNENGSIH SERTIFIKAT BerAKHLAK")</f>
        <v>NENENG JUNENGSIH SERTIFIKAT BerAKHLAK</v>
      </c>
      <c r="K1279" s="5" t="s">
        <v>10440</v>
      </c>
      <c r="L1279" s="5" t="s">
        <v>10698</v>
      </c>
      <c r="M1279" s="5" t="s">
        <v>10699</v>
      </c>
      <c r="N1279" s="7" t="s">
        <v>10700</v>
      </c>
      <c r="O1279" s="8" t="str">
        <f>HYPERLINK("https://drive.google.com/file/d/1CXvy0GeW8ipFMJLccpOPq08LU5-yrHjG/view?usp=drivesdk","1278_NENENG JUNENGSIH _ SERTIFIKAT BIMTEK IPASN BerAKHLASK")</f>
        <v>1278_NENENG JUNENGSIH _ SERTIFIKAT BIMTEK IPASN BerAKHLASK</v>
      </c>
      <c r="P1279" s="5" t="s">
        <v>10693</v>
      </c>
      <c r="Q1279" s="5"/>
      <c r="R1279" s="5"/>
      <c r="S1279" s="5"/>
      <c r="T1279" s="5"/>
    </row>
    <row r="1280">
      <c r="A1280" s="4">
        <v>45534.33187679398</v>
      </c>
      <c r="B1280" s="5" t="s">
        <v>34</v>
      </c>
      <c r="D1280" s="5" t="s">
        <v>35</v>
      </c>
      <c r="E1280" s="5" t="s">
        <v>10701</v>
      </c>
      <c r="F1280" s="5" t="s">
        <v>375</v>
      </c>
      <c r="G1280" s="5" t="s">
        <v>10702</v>
      </c>
      <c r="H1280" s="6" t="s">
        <v>10703</v>
      </c>
      <c r="I1280" s="7" t="s">
        <v>10704</v>
      </c>
      <c r="J1280" s="8" t="str">
        <f>HYPERLINK("https://drive.google.com/file/d/1D5MqWCM_C5_7mjl_mqQC7e4JtNDKFsdx/view?usp=drivesdk","ANI SUPRIANINGSIH, ST SERTIFIKAT BerAKHLAK")</f>
        <v>ANI SUPRIANINGSIH, ST SERTIFIKAT BerAKHLAK</v>
      </c>
      <c r="K1280" s="5" t="s">
        <v>10440</v>
      </c>
      <c r="L1280" s="5" t="s">
        <v>10705</v>
      </c>
      <c r="M1280" s="5" t="s">
        <v>10706</v>
      </c>
      <c r="N1280" s="7" t="s">
        <v>10707</v>
      </c>
      <c r="O1280" s="8" t="str">
        <f>HYPERLINK("https://drive.google.com/file/d/1TRpldqHi-MjuOby5U8tVvEsS_mMn9T3m/view?usp=drivesdk","1279_ANI SUPRIANINGSIH, ST _ SERTIFIKAT BIMTEK IPASN BerAKHLASK")</f>
        <v>1279_ANI SUPRIANINGSIH, ST _ SERTIFIKAT BIMTEK IPASN BerAKHLASK</v>
      </c>
      <c r="P1280" s="5" t="s">
        <v>10693</v>
      </c>
      <c r="Q1280" s="5"/>
      <c r="R1280" s="5"/>
      <c r="S1280" s="5"/>
      <c r="T1280" s="5"/>
    </row>
    <row r="1281" hidden="1">
      <c r="A1281" s="4">
        <v>45534.331881087965</v>
      </c>
      <c r="B1281" s="5" t="s">
        <v>19</v>
      </c>
      <c r="C1281" s="5" t="s">
        <v>3471</v>
      </c>
      <c r="E1281" s="5" t="s">
        <v>10708</v>
      </c>
      <c r="F1281" s="5" t="s">
        <v>120</v>
      </c>
      <c r="G1281" s="5" t="s">
        <v>10709</v>
      </c>
      <c r="H1281" s="6" t="s">
        <v>10710</v>
      </c>
      <c r="I1281" s="7" t="s">
        <v>10711</v>
      </c>
      <c r="J1281" s="8" t="str">
        <f>HYPERLINK("https://drive.google.com/file/d/1dZ5Hz0ecxtVXQZoplJ_z4Hf_ffQm-FvK/view?usp=drivesdk","IRAWAN BUDI PRASETYO SERTIFIKAT BerAKHLAK")</f>
        <v>IRAWAN BUDI PRASETYO SERTIFIKAT BerAKHLAK</v>
      </c>
      <c r="K1281" s="5" t="s">
        <v>10440</v>
      </c>
      <c r="L1281" s="5" t="s">
        <v>10712</v>
      </c>
      <c r="M1281" s="5" t="s">
        <v>10713</v>
      </c>
      <c r="N1281" s="7" t="s">
        <v>10714</v>
      </c>
      <c r="O1281" s="8" t="str">
        <f>HYPERLINK("https://drive.google.com/file/d/1NkTMeDyLa-PDRqg35tR0BrJI5WlzXROv/view?usp=drivesdk","1280_IRAWAN BUDI PRASETYO _ SERTIFIKAT BIMTEK IPASN BerAKHLASK")</f>
        <v>1280_IRAWAN BUDI PRASETYO _ SERTIFIKAT BIMTEK IPASN BerAKHLASK</v>
      </c>
      <c r="P1281" s="5" t="s">
        <v>10693</v>
      </c>
      <c r="Q1281" s="5"/>
      <c r="R1281" s="5"/>
      <c r="S1281" s="5"/>
      <c r="T1281" s="5"/>
    </row>
    <row r="1282">
      <c r="A1282" s="4">
        <v>45534.33188890046</v>
      </c>
      <c r="B1282" s="5" t="s">
        <v>34</v>
      </c>
      <c r="D1282" s="5" t="s">
        <v>4775</v>
      </c>
      <c r="E1282" s="5" t="s">
        <v>10715</v>
      </c>
      <c r="F1282" s="5" t="s">
        <v>212</v>
      </c>
      <c r="G1282" s="5" t="s">
        <v>10716</v>
      </c>
      <c r="H1282" s="6" t="s">
        <v>10717</v>
      </c>
      <c r="I1282" s="7" t="s">
        <v>10718</v>
      </c>
      <c r="J1282" s="8" t="str">
        <f>HYPERLINK("https://drive.google.com/file/d/1kq7VZhJ6rvYB7fUUWNjaf8VWmJwtTCrA/view?usp=drivesdk","ANIL KISTIAWAN  SERTIFIKAT BerAKHLAK")</f>
        <v>ANIL KISTIAWAN  SERTIFIKAT BerAKHLAK</v>
      </c>
      <c r="K1282" s="5" t="s">
        <v>10440</v>
      </c>
      <c r="L1282" s="5" t="s">
        <v>10719</v>
      </c>
      <c r="M1282" s="5" t="s">
        <v>10720</v>
      </c>
      <c r="N1282" s="7" t="s">
        <v>10721</v>
      </c>
      <c r="O1282" s="8" t="str">
        <f>HYPERLINK("https://drive.google.com/file/d/1ig9_FaeAU5cYqovjx6MbRaFGHFE3xi5b/view?usp=drivesdk","1281_ANIL KISTIAWAN  _ SERTIFIKAT BIMTEK IPASN BerAKHLASK")</f>
        <v>1281_ANIL KISTIAWAN  _ SERTIFIKAT BIMTEK IPASN BerAKHLASK</v>
      </c>
      <c r="P1282" s="5" t="s">
        <v>10693</v>
      </c>
      <c r="Q1282" s="5"/>
      <c r="R1282" s="5"/>
      <c r="S1282" s="5"/>
      <c r="T1282" s="5"/>
    </row>
    <row r="1283">
      <c r="A1283" s="4">
        <v>45534.33189076389</v>
      </c>
      <c r="B1283" s="5" t="s">
        <v>34</v>
      </c>
      <c r="D1283" s="5" t="s">
        <v>1206</v>
      </c>
      <c r="E1283" s="5" t="s">
        <v>10722</v>
      </c>
      <c r="F1283" s="5" t="s">
        <v>375</v>
      </c>
      <c r="G1283" s="5" t="s">
        <v>10723</v>
      </c>
      <c r="H1283" s="6" t="s">
        <v>10724</v>
      </c>
      <c r="I1283" s="7" t="s">
        <v>10725</v>
      </c>
      <c r="J1283" s="8" t="str">
        <f>HYPERLINK("https://drive.google.com/file/d/1YkxciKx1IOLggdllLXYThnMKjlN26lhc/view?usp=drivesdk","EKA FAJAR ANGGRAINI,ST SERTIFIKAT BerAKHLAK")</f>
        <v>EKA FAJAR ANGGRAINI,ST SERTIFIKAT BerAKHLAK</v>
      </c>
      <c r="K1283" s="5" t="s">
        <v>10440</v>
      </c>
      <c r="L1283" s="5" t="s">
        <v>10726</v>
      </c>
      <c r="M1283" s="5" t="s">
        <v>10727</v>
      </c>
      <c r="N1283" s="7" t="s">
        <v>10728</v>
      </c>
      <c r="O1283" s="8" t="str">
        <f>HYPERLINK("https://drive.google.com/file/d/1CMoY3L37SBeupvrZz0p1Y9byOE2qGbHQ/view?usp=drivesdk","1282_EKA FAJAR ANGGRAINI,ST _ SERTIFIKAT BIMTEK IPASN BerAKHLASK")</f>
        <v>1282_EKA FAJAR ANGGRAINI,ST _ SERTIFIKAT BIMTEK IPASN BerAKHLASK</v>
      </c>
      <c r="P1283" s="5" t="s">
        <v>10693</v>
      </c>
      <c r="Q1283" s="5"/>
      <c r="R1283" s="5"/>
      <c r="S1283" s="5"/>
      <c r="T1283" s="5"/>
    </row>
    <row r="1284">
      <c r="A1284" s="4">
        <v>45534.33189097222</v>
      </c>
      <c r="B1284" s="5" t="s">
        <v>34</v>
      </c>
      <c r="D1284" s="5" t="s">
        <v>2903</v>
      </c>
      <c r="E1284" s="5" t="s">
        <v>10729</v>
      </c>
      <c r="F1284" s="5" t="s">
        <v>120</v>
      </c>
      <c r="G1284" s="5" t="s">
        <v>10730</v>
      </c>
      <c r="H1284" s="6" t="s">
        <v>10731</v>
      </c>
      <c r="I1284" s="7" t="s">
        <v>10732</v>
      </c>
      <c r="J1284" s="8" t="str">
        <f>HYPERLINK("https://drive.google.com/file/d/1ELmFtwAp-CO71Y1HWxdTwgbvaG3vGaoS/view?usp=drivesdk","ABU HASAN, SAG MH SERTIFIKAT BerAKHLAK")</f>
        <v>ABU HASAN, SAG MH SERTIFIKAT BerAKHLAK</v>
      </c>
      <c r="K1284" s="5" t="s">
        <v>10440</v>
      </c>
      <c r="L1284" s="5" t="s">
        <v>10733</v>
      </c>
      <c r="M1284" s="5" t="s">
        <v>10734</v>
      </c>
      <c r="N1284" s="7" t="s">
        <v>10735</v>
      </c>
      <c r="O1284" s="8" t="str">
        <f>HYPERLINK("https://drive.google.com/file/d/1tqN1-BaNVeySFC91Hi_WjlXcfn8f9Ylh/view?usp=drivesdk","1283_ABU HASAN, SAG MH _ SERTIFIKAT BIMTEK IPASN BerAKHLASK")</f>
        <v>1283_ABU HASAN, SAG MH _ SERTIFIKAT BIMTEK IPASN BerAKHLASK</v>
      </c>
      <c r="P1284" s="5" t="s">
        <v>10736</v>
      </c>
      <c r="Q1284" s="5"/>
      <c r="R1284" s="5"/>
      <c r="S1284" s="5"/>
      <c r="T1284" s="5"/>
    </row>
    <row r="1285" hidden="1">
      <c r="A1285" s="4">
        <v>45534.3318991088</v>
      </c>
      <c r="B1285" s="5" t="s">
        <v>19</v>
      </c>
      <c r="C1285" s="5" t="s">
        <v>5058</v>
      </c>
      <c r="E1285" s="5" t="s">
        <v>10737</v>
      </c>
      <c r="F1285" s="5" t="s">
        <v>375</v>
      </c>
      <c r="G1285" s="5" t="s">
        <v>10738</v>
      </c>
      <c r="H1285" s="6" t="s">
        <v>10739</v>
      </c>
      <c r="I1285" s="7" t="s">
        <v>10740</v>
      </c>
      <c r="J1285" s="8" t="str">
        <f>HYPERLINK("https://drive.google.com/file/d/1nJxGxHr0I-LoBR95Jc-ly9etSH0z3BpB/view?usp=drivesdk","FITRI KUSUMADEWI. S.E. M.M. SERTIFIKAT BerAKHLAK")</f>
        <v>FITRI KUSUMADEWI. S.E. M.M. SERTIFIKAT BerAKHLAK</v>
      </c>
      <c r="K1285" s="5" t="s">
        <v>10440</v>
      </c>
      <c r="L1285" s="5" t="s">
        <v>10741</v>
      </c>
      <c r="M1285" s="5" t="s">
        <v>10742</v>
      </c>
      <c r="N1285" s="7" t="s">
        <v>10743</v>
      </c>
      <c r="O1285" s="8" t="str">
        <f>HYPERLINK("https://drive.google.com/file/d/1BNGGlr0ZV074iqlY560DtaLK7jBHFKiP/view?usp=drivesdk","1284_FITRI KUSUMADEWI. S.E. M.M. _ SERTIFIKAT BIMTEK IPASN BerAKHLASK")</f>
        <v>1284_FITRI KUSUMADEWI. S.E. M.M. _ SERTIFIKAT BIMTEK IPASN BerAKHLASK</v>
      </c>
      <c r="P1285" s="5" t="s">
        <v>10736</v>
      </c>
      <c r="Q1285" s="5"/>
      <c r="R1285" s="5"/>
      <c r="S1285" s="5"/>
      <c r="T1285" s="5"/>
    </row>
    <row r="1286">
      <c r="A1286" s="4">
        <v>45534.33190337963</v>
      </c>
      <c r="B1286" s="5" t="s">
        <v>34</v>
      </c>
      <c r="D1286" s="5" t="s">
        <v>35</v>
      </c>
      <c r="E1286" s="5" t="s">
        <v>10744</v>
      </c>
      <c r="F1286" s="5" t="s">
        <v>212</v>
      </c>
      <c r="G1286" s="5" t="s">
        <v>10745</v>
      </c>
      <c r="H1286" s="6" t="s">
        <v>10746</v>
      </c>
      <c r="I1286" s="7" t="s">
        <v>10747</v>
      </c>
      <c r="J1286" s="8" t="str">
        <f>HYPERLINK("https://drive.google.com/file/d/1iJ00Y-ucuPMudiL0B4IpaltTY3us0jF-/view?usp=drivesdk","RANTY SUDHARWANTY SERTIFIKAT BerAKHLAK")</f>
        <v>RANTY SUDHARWANTY SERTIFIKAT BerAKHLAK</v>
      </c>
      <c r="K1286" s="5" t="s">
        <v>10464</v>
      </c>
      <c r="L1286" s="5" t="s">
        <v>10748</v>
      </c>
      <c r="M1286" s="5" t="s">
        <v>10749</v>
      </c>
      <c r="N1286" s="7" t="s">
        <v>10750</v>
      </c>
      <c r="O1286" s="8" t="str">
        <f>HYPERLINK("https://drive.google.com/file/d/1uP3BA9WP3AOxLhuhgjihBs_Pi9FXdcol/view?usp=drivesdk","1285_RANTY SUDHARWANTY _ SERTIFIKAT BIMTEK IPASN BerAKHLASK")</f>
        <v>1285_RANTY SUDHARWANTY _ SERTIFIKAT BIMTEK IPASN BerAKHLASK</v>
      </c>
      <c r="P1286" s="5" t="s">
        <v>10736</v>
      </c>
      <c r="Q1286" s="5"/>
      <c r="R1286" s="5"/>
      <c r="S1286" s="5"/>
      <c r="T1286" s="5"/>
    </row>
    <row r="1287">
      <c r="A1287" s="4">
        <v>45534.33195069444</v>
      </c>
      <c r="B1287" s="5" t="s">
        <v>34</v>
      </c>
      <c r="D1287" s="5" t="s">
        <v>1206</v>
      </c>
      <c r="E1287" s="5" t="s">
        <v>10751</v>
      </c>
      <c r="F1287" s="5" t="s">
        <v>524</v>
      </c>
      <c r="G1287" s="5" t="s">
        <v>10752</v>
      </c>
      <c r="H1287" s="6" t="s">
        <v>10753</v>
      </c>
      <c r="I1287" s="7" t="s">
        <v>10754</v>
      </c>
      <c r="J1287" s="8" t="str">
        <f>HYPERLINK("https://drive.google.com/file/d/1IhBqqXsUWd_LZyRl9L8QCgsPnvpPreKV/view?usp=drivesdk","PENATA MUDA SUNARDI, S.H. SERTIFIKAT BerAKHLAK")</f>
        <v>PENATA MUDA SUNARDI, S.H. SERTIFIKAT BerAKHLAK</v>
      </c>
      <c r="K1287" s="5" t="s">
        <v>10440</v>
      </c>
      <c r="L1287" s="5" t="s">
        <v>10755</v>
      </c>
      <c r="M1287" s="5" t="s">
        <v>10756</v>
      </c>
      <c r="N1287" s="7" t="s">
        <v>10757</v>
      </c>
      <c r="O1287" s="8" t="str">
        <f>HYPERLINK("https://drive.google.com/file/d/16joffHkyQdOephnuYHJ6iq5lQ1OFpuGn/view?usp=drivesdk","1286_PENATA MUDA SUNARDI, S.H. _ SERTIFIKAT BIMTEK IPASN BerAKHLASK")</f>
        <v>1286_PENATA MUDA SUNARDI, S.H. _ SERTIFIKAT BIMTEK IPASN BerAKHLASK</v>
      </c>
      <c r="P1287" s="5" t="s">
        <v>10736</v>
      </c>
      <c r="Q1287" s="5"/>
      <c r="R1287" s="5"/>
      <c r="S1287" s="5"/>
      <c r="T1287" s="5"/>
    </row>
    <row r="1288">
      <c r="A1288" s="4">
        <v>45534.33195753473</v>
      </c>
      <c r="B1288" s="5" t="s">
        <v>34</v>
      </c>
      <c r="D1288" s="5" t="s">
        <v>9394</v>
      </c>
      <c r="E1288" s="5" t="s">
        <v>10758</v>
      </c>
      <c r="F1288" s="5" t="s">
        <v>37</v>
      </c>
      <c r="G1288" s="5" t="s">
        <v>10759</v>
      </c>
      <c r="H1288" s="6" t="s">
        <v>10760</v>
      </c>
      <c r="I1288" s="7" t="s">
        <v>10761</v>
      </c>
      <c r="J1288" s="8" t="str">
        <f>HYPERLINK("https://drive.google.com/file/d/1pN6mlG_z7rrzK5X02kfALhB4xhWhv9Sf/view?usp=drivesdk","PENGATUR IDA SUSANTI SERTIFIKAT BerAKHLAK")</f>
        <v>PENGATUR IDA SUSANTI SERTIFIKAT BerAKHLAK</v>
      </c>
      <c r="K1288" s="5" t="s">
        <v>10440</v>
      </c>
      <c r="L1288" s="5" t="s">
        <v>10762</v>
      </c>
      <c r="M1288" s="5" t="s">
        <v>10763</v>
      </c>
      <c r="N1288" s="7" t="s">
        <v>10764</v>
      </c>
      <c r="O1288" s="8" t="str">
        <f>HYPERLINK("https://drive.google.com/file/d/1-O3vy5_Gc1MfXiDDuga7IWwGF4XwVOHD/view?usp=drivesdk","1287_PENGATUR IDA SUSANTI _ SERTIFIKAT BIMTEK IPASN BerAKHLASK")</f>
        <v>1287_PENGATUR IDA SUSANTI _ SERTIFIKAT BIMTEK IPASN BerAKHLASK</v>
      </c>
      <c r="P1288" s="5" t="s">
        <v>10765</v>
      </c>
      <c r="Q1288" s="5"/>
      <c r="R1288" s="5"/>
      <c r="S1288" s="5"/>
      <c r="T1288" s="5"/>
    </row>
    <row r="1289">
      <c r="A1289" s="4">
        <v>45534.331963969904</v>
      </c>
      <c r="B1289" s="5" t="s">
        <v>34</v>
      </c>
      <c r="D1289" s="5" t="s">
        <v>1206</v>
      </c>
      <c r="E1289" s="5" t="s">
        <v>10766</v>
      </c>
      <c r="F1289" s="5" t="s">
        <v>108</v>
      </c>
      <c r="G1289" s="5" t="s">
        <v>10767</v>
      </c>
      <c r="H1289" s="6" t="s">
        <v>10768</v>
      </c>
      <c r="I1289" s="7" t="s">
        <v>10769</v>
      </c>
      <c r="J1289" s="8" t="str">
        <f>HYPERLINK("https://drive.google.com/file/d/1Ub1HXo1I27sjgf16cz99QfgvomeJWC97/view?usp=drivesdk","RINI INDRAWATI SERTIFIKAT BerAKHLAK")</f>
        <v>RINI INDRAWATI SERTIFIKAT BerAKHLAK</v>
      </c>
      <c r="K1289" s="5" t="s">
        <v>10464</v>
      </c>
      <c r="L1289" s="5" t="s">
        <v>10770</v>
      </c>
      <c r="M1289" s="5" t="s">
        <v>10771</v>
      </c>
      <c r="N1289" s="7" t="s">
        <v>10772</v>
      </c>
      <c r="O1289" s="8" t="str">
        <f>HYPERLINK("https://drive.google.com/file/d/1EzWBcuzOplZUXU38xFKuURfxln8ufg5_/view?usp=drivesdk","1288_RINI INDRAWATI _ SERTIFIKAT BIMTEK IPASN BerAKHLASK")</f>
        <v>1288_RINI INDRAWATI _ SERTIFIKAT BIMTEK IPASN BerAKHLASK</v>
      </c>
      <c r="P1289" s="5" t="s">
        <v>10765</v>
      </c>
      <c r="Q1289" s="5"/>
      <c r="R1289" s="5"/>
      <c r="S1289" s="5"/>
      <c r="T1289" s="5"/>
    </row>
    <row r="1290">
      <c r="A1290" s="4">
        <v>45534.33196952546</v>
      </c>
      <c r="B1290" s="5" t="s">
        <v>34</v>
      </c>
      <c r="D1290" s="5" t="s">
        <v>4775</v>
      </c>
      <c r="E1290" s="5" t="s">
        <v>10773</v>
      </c>
      <c r="F1290" s="5" t="s">
        <v>72</v>
      </c>
      <c r="G1290" s="5" t="s">
        <v>10774</v>
      </c>
      <c r="H1290" s="6" t="s">
        <v>10775</v>
      </c>
      <c r="I1290" s="7" t="s">
        <v>10776</v>
      </c>
      <c r="J1290" s="8" t="str">
        <f>HYPERLINK("https://drive.google.com/file/d/1t3ZT1BTl-Wma1JGzb3b04695OBPL4_td/view?usp=drivesdk","KIPTIYAH ARIYANI  SERTIFIKAT BerAKHLAK")</f>
        <v>KIPTIYAH ARIYANI  SERTIFIKAT BerAKHLAK</v>
      </c>
      <c r="K1290" s="5" t="s">
        <v>10440</v>
      </c>
      <c r="L1290" s="5" t="s">
        <v>10777</v>
      </c>
      <c r="M1290" s="5" t="s">
        <v>10778</v>
      </c>
      <c r="N1290" s="7" t="s">
        <v>10779</v>
      </c>
      <c r="O1290" s="8" t="str">
        <f>HYPERLINK("https://drive.google.com/file/d/1_XWROOqw8wQ9BXOmWLugZadfI9mfK1ho/view?usp=drivesdk","1289_KIPTIYAH ARIYANI  _ SERTIFIKAT BIMTEK IPASN BerAKHLASK")</f>
        <v>1289_KIPTIYAH ARIYANI  _ SERTIFIKAT BIMTEK IPASN BerAKHLASK</v>
      </c>
      <c r="P1290" s="5" t="s">
        <v>10765</v>
      </c>
      <c r="Q1290" s="5"/>
      <c r="R1290" s="5"/>
      <c r="S1290" s="5"/>
      <c r="T1290" s="5"/>
    </row>
    <row r="1291">
      <c r="A1291" s="4">
        <v>45534.33197971065</v>
      </c>
      <c r="B1291" s="5" t="s">
        <v>34</v>
      </c>
      <c r="D1291" s="5" t="s">
        <v>4775</v>
      </c>
      <c r="E1291" s="5" t="s">
        <v>10780</v>
      </c>
      <c r="F1291" s="5" t="s">
        <v>375</v>
      </c>
      <c r="G1291" s="5" t="s">
        <v>10781</v>
      </c>
      <c r="H1291" s="6" t="s">
        <v>10782</v>
      </c>
      <c r="I1291" s="7" t="s">
        <v>10783</v>
      </c>
      <c r="J1291" s="8" t="str">
        <f>HYPERLINK("https://drive.google.com/file/d/1zq6wOYfDO1g--oA4nGl2q1aTOo6PRlmP/view?usp=drivesdk","BEJO SUMANTRI, S.E. SERTIFIKAT BerAKHLAK")</f>
        <v>BEJO SUMANTRI, S.E. SERTIFIKAT BerAKHLAK</v>
      </c>
      <c r="K1291" s="5" t="s">
        <v>10440</v>
      </c>
      <c r="L1291" s="5" t="s">
        <v>10784</v>
      </c>
      <c r="M1291" s="5" t="s">
        <v>10785</v>
      </c>
      <c r="N1291" s="7" t="s">
        <v>10786</v>
      </c>
      <c r="O1291" s="8" t="str">
        <f>HYPERLINK("https://drive.google.com/file/d/1plyK1Znp8J-SqUcU32Ij4xV9ieJ3KtNo/view?usp=drivesdk","1290_BEJO SUMANTRI, S.E. _ SERTIFIKAT BIMTEK IPASN BerAKHLASK")</f>
        <v>1290_BEJO SUMANTRI, S.E. _ SERTIFIKAT BIMTEK IPASN BerAKHLASK</v>
      </c>
      <c r="P1291" s="5" t="s">
        <v>10765</v>
      </c>
      <c r="Q1291" s="5"/>
      <c r="R1291" s="5"/>
      <c r="S1291" s="5"/>
      <c r="T1291" s="5"/>
    </row>
    <row r="1292">
      <c r="A1292" s="4">
        <v>45534.33199762732</v>
      </c>
      <c r="B1292" s="5" t="s">
        <v>34</v>
      </c>
      <c r="D1292" s="5" t="s">
        <v>10444</v>
      </c>
      <c r="E1292" s="5" t="s">
        <v>10787</v>
      </c>
      <c r="F1292" s="5" t="s">
        <v>212</v>
      </c>
      <c r="G1292" s="5" t="s">
        <v>10788</v>
      </c>
      <c r="H1292" s="6" t="s">
        <v>10789</v>
      </c>
      <c r="I1292" s="7" t="s">
        <v>10790</v>
      </c>
      <c r="J1292" s="8" t="str">
        <f>HYPERLINK("https://drive.google.com/file/d/1YX1GUYlsxaqWQEjw8pW47iyM0zwnCDln/view?usp=drivesdk","TETTY YUNIAWATI  SERTIFIKAT BerAKHLAK")</f>
        <v>TETTY YUNIAWATI  SERTIFIKAT BerAKHLAK</v>
      </c>
      <c r="K1292" s="5" t="s">
        <v>10440</v>
      </c>
      <c r="L1292" s="5" t="s">
        <v>10791</v>
      </c>
      <c r="M1292" s="5" t="s">
        <v>10792</v>
      </c>
      <c r="N1292" s="7" t="s">
        <v>10793</v>
      </c>
      <c r="O1292" s="8" t="str">
        <f>HYPERLINK("https://drive.google.com/file/d/11dN4v5cGMe5KXoGnNYTUSwh4TqNVKdiT/view?usp=drivesdk","1291_TETTY YUNIAWATI  _ SERTIFIKAT BIMTEK IPASN BerAKHLASK")</f>
        <v>1291_TETTY YUNIAWATI  _ SERTIFIKAT BIMTEK IPASN BerAKHLASK</v>
      </c>
      <c r="P1292" s="5" t="s">
        <v>10765</v>
      </c>
      <c r="Q1292" s="5"/>
      <c r="R1292" s="5"/>
      <c r="S1292" s="5"/>
      <c r="T1292" s="5"/>
    </row>
    <row r="1293">
      <c r="A1293" s="4">
        <v>45534.331999131944</v>
      </c>
      <c r="B1293" s="5" t="s">
        <v>34</v>
      </c>
      <c r="D1293" s="5" t="s">
        <v>4775</v>
      </c>
      <c r="E1293" s="5" t="s">
        <v>10794</v>
      </c>
      <c r="F1293" s="5" t="s">
        <v>375</v>
      </c>
      <c r="G1293" s="5" t="s">
        <v>10795</v>
      </c>
      <c r="H1293" s="6" t="s">
        <v>10796</v>
      </c>
      <c r="I1293" s="7" t="s">
        <v>10797</v>
      </c>
      <c r="J1293" s="8" t="str">
        <f>HYPERLINK("https://drive.google.com/file/d/1AFMspwo97KQIZJCalA0pwlHyn6K3V71g/view?usp=drivesdk","IKA WULAN BRURIANI SERTIFIKAT BerAKHLAK")</f>
        <v>IKA WULAN BRURIANI SERTIFIKAT BerAKHLAK</v>
      </c>
      <c r="K1293" s="5" t="s">
        <v>10464</v>
      </c>
      <c r="L1293" s="5" t="s">
        <v>10798</v>
      </c>
      <c r="M1293" s="5" t="s">
        <v>10799</v>
      </c>
      <c r="N1293" s="7" t="s">
        <v>10800</v>
      </c>
      <c r="O1293" s="8" t="str">
        <f>HYPERLINK("https://drive.google.com/file/d/1KVv1vZIABlAvScELQlo2iqJdiEEo1MDd/view?usp=drivesdk","1292_IKA WULAN BRURIANI _ SERTIFIKAT BIMTEK IPASN BerAKHLASK")</f>
        <v>1292_IKA WULAN BRURIANI _ SERTIFIKAT BIMTEK IPASN BerAKHLASK</v>
      </c>
      <c r="P1293" s="5" t="s">
        <v>10801</v>
      </c>
      <c r="Q1293" s="5"/>
      <c r="R1293" s="5"/>
      <c r="S1293" s="5"/>
      <c r="T1293" s="5"/>
    </row>
    <row r="1294">
      <c r="A1294" s="4">
        <v>45534.332010011574</v>
      </c>
      <c r="B1294" s="5" t="s">
        <v>34</v>
      </c>
      <c r="D1294" s="5" t="s">
        <v>1456</v>
      </c>
      <c r="E1294" s="5" t="s">
        <v>10802</v>
      </c>
      <c r="F1294" s="5" t="s">
        <v>37</v>
      </c>
      <c r="G1294" s="5" t="s">
        <v>10803</v>
      </c>
      <c r="H1294" s="6" t="s">
        <v>10804</v>
      </c>
      <c r="I1294" s="7" t="s">
        <v>10805</v>
      </c>
      <c r="J1294" s="8" t="str">
        <f>HYPERLINK("https://drive.google.com/file/d/1wlCXoTEdd1z81vpkwRpQ9jeNolm3hDyz/view?usp=drivesdk","MUHAMMAD JASRUN SERTIFIKAT BerAKHLAK")</f>
        <v>MUHAMMAD JASRUN SERTIFIKAT BerAKHLAK</v>
      </c>
      <c r="K1294" s="5" t="s">
        <v>10440</v>
      </c>
      <c r="L1294" s="5" t="s">
        <v>10806</v>
      </c>
      <c r="M1294" s="5" t="s">
        <v>10807</v>
      </c>
      <c r="N1294" s="7" t="s">
        <v>10808</v>
      </c>
      <c r="O1294" s="8" t="str">
        <f>HYPERLINK("https://drive.google.com/file/d/1hDj4b0QsotdcyQNj-SRWVBOsrlpxqcxB/view?usp=drivesdk","1293_MUHAMMAD JASRUN _ SERTIFIKAT BIMTEK IPASN BerAKHLASK")</f>
        <v>1293_MUHAMMAD JASRUN _ SERTIFIKAT BIMTEK IPASN BerAKHLASK</v>
      </c>
      <c r="P1294" s="5" t="s">
        <v>10801</v>
      </c>
      <c r="Q1294" s="5"/>
      <c r="R1294" s="5"/>
      <c r="S1294" s="5"/>
      <c r="T1294" s="5"/>
    </row>
    <row r="1295">
      <c r="A1295" s="4">
        <v>45534.33202023148</v>
      </c>
      <c r="B1295" s="5" t="s">
        <v>34</v>
      </c>
      <c r="D1295" s="5" t="s">
        <v>1206</v>
      </c>
      <c r="E1295" s="5" t="s">
        <v>10809</v>
      </c>
      <c r="F1295" s="5" t="s">
        <v>108</v>
      </c>
      <c r="G1295" s="5" t="s">
        <v>10810</v>
      </c>
      <c r="H1295" s="6" t="s">
        <v>10811</v>
      </c>
      <c r="I1295" s="7" t="s">
        <v>10812</v>
      </c>
      <c r="J1295" s="8" t="str">
        <f>HYPERLINK("https://drive.google.com/file/d/1Cxl0-m34LEx0gr40OIsua3kFjxIvNOgs/view?usp=drivesdk","TITA CHOIRUNISA, A.Md SERTIFIKAT BerAKHLAK")</f>
        <v>TITA CHOIRUNISA, A.Md SERTIFIKAT BerAKHLAK</v>
      </c>
      <c r="K1295" s="5" t="s">
        <v>10440</v>
      </c>
      <c r="L1295" s="5" t="s">
        <v>10813</v>
      </c>
      <c r="M1295" s="5" t="s">
        <v>10814</v>
      </c>
      <c r="N1295" s="7" t="s">
        <v>10815</v>
      </c>
      <c r="O1295" s="8" t="str">
        <f>HYPERLINK("https://drive.google.com/file/d/1cVGAAXngBiBclehgZ7WSsVOJQbqdXpyP/view?usp=drivesdk","1294_TITA CHOIRUNISA, A.Md _ SERTIFIKAT BIMTEK IPASN BerAKHLASK")</f>
        <v>1294_TITA CHOIRUNISA, A.Md _ SERTIFIKAT BIMTEK IPASN BerAKHLASK</v>
      </c>
      <c r="P1295" s="5" t="s">
        <v>10801</v>
      </c>
      <c r="Q1295" s="5"/>
      <c r="R1295" s="5"/>
      <c r="S1295" s="5"/>
      <c r="T1295" s="5"/>
    </row>
    <row r="1296">
      <c r="A1296" s="4">
        <v>45534.332020381946</v>
      </c>
      <c r="B1296" s="5" t="s">
        <v>34</v>
      </c>
      <c r="D1296" s="5" t="s">
        <v>4775</v>
      </c>
      <c r="E1296" s="5" t="s">
        <v>10816</v>
      </c>
      <c r="F1296" s="5" t="s">
        <v>72</v>
      </c>
      <c r="G1296" s="5" t="s">
        <v>10817</v>
      </c>
      <c r="H1296" s="6" t="s">
        <v>10818</v>
      </c>
      <c r="I1296" s="7" t="s">
        <v>10819</v>
      </c>
      <c r="J1296" s="8" t="str">
        <f>HYPERLINK("https://drive.google.com/file/d/1w5CikUnhwfCAtMRVg3ZbCEKd9jGE_SeV/view?usp=drivesdk","SURYO INDRATNO RAMADHANI, SE SERTIFIKAT BerAKHLAK")</f>
        <v>SURYO INDRATNO RAMADHANI, SE SERTIFIKAT BerAKHLAK</v>
      </c>
      <c r="K1296" s="5" t="s">
        <v>10440</v>
      </c>
      <c r="L1296" s="5" t="s">
        <v>10820</v>
      </c>
      <c r="M1296" s="5" t="s">
        <v>10821</v>
      </c>
      <c r="N1296" s="7" t="s">
        <v>10822</v>
      </c>
      <c r="O1296" s="8" t="str">
        <f>HYPERLINK("https://drive.google.com/file/d/1OvWBSGC_FCrA9533qEwcgIgmvh1fXYcG/view?usp=drivesdk","1295_SURYO INDRATNO RAMADHANI, SE _ SERTIFIKAT BIMTEK IPASN BerAKHLASK")</f>
        <v>1295_SURYO INDRATNO RAMADHANI, SE _ SERTIFIKAT BIMTEK IPASN BerAKHLASK</v>
      </c>
      <c r="P1296" s="5" t="s">
        <v>10801</v>
      </c>
      <c r="Q1296" s="5"/>
      <c r="R1296" s="5"/>
      <c r="S1296" s="5"/>
      <c r="T1296" s="5"/>
    </row>
    <row r="1297">
      <c r="A1297" s="4">
        <v>45534.33201863426</v>
      </c>
      <c r="B1297" s="5" t="s">
        <v>34</v>
      </c>
      <c r="D1297" s="5" t="s">
        <v>4775</v>
      </c>
      <c r="E1297" s="5" t="s">
        <v>10823</v>
      </c>
      <c r="F1297" s="5" t="s">
        <v>37</v>
      </c>
      <c r="G1297" s="5" t="s">
        <v>10824</v>
      </c>
      <c r="H1297" s="6" t="s">
        <v>10825</v>
      </c>
      <c r="I1297" s="7" t="s">
        <v>10826</v>
      </c>
      <c r="J1297" s="8" t="str">
        <f>HYPERLINK("https://drive.google.com/file/d/1ZsRJbrFqiGVtJkshhujuRyxVUOmVaSfB/view?usp=drivesdk","KRIS SUGIARTI SERTIFIKAT BerAKHLAK")</f>
        <v>KRIS SUGIARTI SERTIFIKAT BerAKHLAK</v>
      </c>
      <c r="K1297" s="5" t="s">
        <v>10440</v>
      </c>
      <c r="L1297" s="5" t="s">
        <v>10827</v>
      </c>
      <c r="M1297" s="5" t="s">
        <v>10828</v>
      </c>
      <c r="N1297" s="7" t="s">
        <v>10829</v>
      </c>
      <c r="O1297" s="8" t="str">
        <f>HYPERLINK("https://drive.google.com/file/d/1i0CpqcU8gwTAvA730qaS3a4z2cSluASw/view?usp=drivesdk","1296_KRIS SUGIARTI _ SERTIFIKAT BIMTEK IPASN BerAKHLASK")</f>
        <v>1296_KRIS SUGIARTI _ SERTIFIKAT BIMTEK IPASN BerAKHLASK</v>
      </c>
      <c r="P1297" s="5" t="s">
        <v>10801</v>
      </c>
      <c r="Q1297" s="5"/>
      <c r="R1297" s="5"/>
      <c r="S1297" s="5"/>
      <c r="T1297" s="5"/>
    </row>
    <row r="1298">
      <c r="A1298" s="4">
        <v>45534.332023194445</v>
      </c>
      <c r="B1298" s="5" t="s">
        <v>34</v>
      </c>
      <c r="D1298" s="5" t="s">
        <v>9020</v>
      </c>
      <c r="E1298" s="5" t="s">
        <v>10830</v>
      </c>
      <c r="F1298" s="5" t="s">
        <v>212</v>
      </c>
      <c r="G1298" s="5" t="s">
        <v>10831</v>
      </c>
      <c r="H1298" s="6" t="s">
        <v>10832</v>
      </c>
      <c r="K1298" s="5" t="s">
        <v>10833</v>
      </c>
      <c r="M1298" s="5" t="s">
        <v>10834</v>
      </c>
      <c r="N1298" s="7" t="s">
        <v>10835</v>
      </c>
      <c r="O1298" s="8" t="str">
        <f>HYPERLINK("https://drive.google.com/file/d/1DY0eoE7n40JH57YAWGi8ULw-25oao_66/view?usp=drivesdk","1297_ELSI PIPIANTI S.Kep _ SERTIFIKAT BIMTEK IPASN BerAKHLASK")</f>
        <v>1297_ELSI PIPIANTI S.Kep _ SERTIFIKAT BIMTEK IPASN BerAKHLASK</v>
      </c>
      <c r="P1298" s="5" t="s">
        <v>10801</v>
      </c>
      <c r="Q1298" s="5"/>
      <c r="R1298" s="5"/>
      <c r="S1298" s="5"/>
      <c r="T1298" s="5"/>
    </row>
    <row r="1299">
      <c r="A1299" s="4">
        <v>45534.332029826386</v>
      </c>
      <c r="B1299" s="5" t="s">
        <v>34</v>
      </c>
      <c r="D1299" s="5" t="s">
        <v>10444</v>
      </c>
      <c r="E1299" s="5" t="s">
        <v>10836</v>
      </c>
      <c r="F1299" s="5" t="s">
        <v>37</v>
      </c>
      <c r="G1299" s="5" t="s">
        <v>10837</v>
      </c>
      <c r="H1299" s="6" t="s">
        <v>10838</v>
      </c>
      <c r="K1299" s="5" t="s">
        <v>10833</v>
      </c>
      <c r="M1299" s="5" t="s">
        <v>10839</v>
      </c>
      <c r="N1299" s="7" t="s">
        <v>10840</v>
      </c>
      <c r="O1299" s="8" t="str">
        <f>HYPERLINK("https://drive.google.com/file/d/1U5zVAxrkq7OAQTbbldYL08NvCFjU7z66/view?usp=drivesdk","1298_EKA SRI JUNIARTI  _ SERTIFIKAT BIMTEK IPASN BerAKHLASK")</f>
        <v>1298_EKA SRI JUNIARTI  _ SERTIFIKAT BIMTEK IPASN BerAKHLASK</v>
      </c>
      <c r="P1299" s="5" t="s">
        <v>10841</v>
      </c>
      <c r="Q1299" s="5"/>
      <c r="R1299" s="5"/>
      <c r="S1299" s="5"/>
      <c r="T1299" s="5"/>
    </row>
    <row r="1300">
      <c r="A1300" s="4">
        <v>45534.33204483797</v>
      </c>
      <c r="B1300" s="5" t="s">
        <v>34</v>
      </c>
      <c r="D1300" s="5" t="s">
        <v>580</v>
      </c>
      <c r="E1300" s="5" t="s">
        <v>10842</v>
      </c>
      <c r="F1300" s="5" t="s">
        <v>715</v>
      </c>
      <c r="G1300" s="5" t="s">
        <v>10843</v>
      </c>
      <c r="H1300" s="6" t="s">
        <v>10844</v>
      </c>
      <c r="I1300" s="7" t="s">
        <v>10845</v>
      </c>
      <c r="J1300" s="8" t="str">
        <f>HYPERLINK("https://drive.google.com/file/d/1mItPx_kKdX3Ab46tx0DWYqoqH-q7kXbD/view?usp=drivesdk","NI NYOMAN SUSI YUNIATI S.SOS SERTIFIKAT BerAKHLAK")</f>
        <v>NI NYOMAN SUSI YUNIATI S.SOS SERTIFIKAT BerAKHLAK</v>
      </c>
      <c r="K1300" s="5" t="s">
        <v>10440</v>
      </c>
      <c r="L1300" s="5" t="s">
        <v>10846</v>
      </c>
      <c r="M1300" s="5" t="s">
        <v>10847</v>
      </c>
      <c r="N1300" s="7" t="s">
        <v>10848</v>
      </c>
      <c r="O1300" s="8" t="str">
        <f>HYPERLINK("https://drive.google.com/file/d/1A1nyahEyWbT09MsWxJWQD8v9kyjc5IMF/view?usp=drivesdk","1299_NI NYOMAN SUSI YUNIATI S.SOS _ SERTIFIKAT BIMTEK IPASN BerAKHLASK")</f>
        <v>1299_NI NYOMAN SUSI YUNIATI S.SOS _ SERTIFIKAT BIMTEK IPASN BerAKHLASK</v>
      </c>
      <c r="P1300" s="5" t="s">
        <v>10841</v>
      </c>
      <c r="Q1300" s="5"/>
      <c r="R1300" s="5"/>
      <c r="S1300" s="5"/>
      <c r="T1300" s="5"/>
    </row>
    <row r="1301">
      <c r="A1301" s="4">
        <v>45534.33207038195</v>
      </c>
      <c r="B1301" s="5" t="s">
        <v>34</v>
      </c>
      <c r="D1301" s="5" t="s">
        <v>1206</v>
      </c>
      <c r="E1301" s="5" t="s">
        <v>10849</v>
      </c>
      <c r="F1301" s="5" t="s">
        <v>212</v>
      </c>
      <c r="G1301" s="5" t="s">
        <v>10850</v>
      </c>
      <c r="H1301" s="6" t="s">
        <v>10851</v>
      </c>
      <c r="I1301" s="7" t="s">
        <v>10852</v>
      </c>
      <c r="J1301" s="8" t="str">
        <f>HYPERLINK("https://drive.google.com/file/d/1_u4c2l5TKJnkjHXQ40pC52phceFJtpmy/view?usp=drivesdk","SITI AISIYAH, S.H SERTIFIKAT BerAKHLAK")</f>
        <v>SITI AISIYAH, S.H SERTIFIKAT BerAKHLAK</v>
      </c>
      <c r="K1301" s="5" t="s">
        <v>10440</v>
      </c>
      <c r="L1301" s="5" t="s">
        <v>10853</v>
      </c>
      <c r="M1301" s="5" t="s">
        <v>10854</v>
      </c>
      <c r="N1301" s="7" t="s">
        <v>10855</v>
      </c>
      <c r="O1301" s="8" t="str">
        <f>HYPERLINK("https://drive.google.com/file/d/1d9OXA3rbCVGhhnA-9hrTXyf9w17DpR0k/view?usp=drivesdk","1300_SITI AISIYAH, S.H _ SERTIFIKAT BIMTEK IPASN BerAKHLASK")</f>
        <v>1300_SITI AISIYAH, S.H _ SERTIFIKAT BIMTEK IPASN BerAKHLASK</v>
      </c>
      <c r="P1301" s="5" t="s">
        <v>10841</v>
      </c>
      <c r="Q1301" s="5"/>
      <c r="R1301" s="5"/>
      <c r="S1301" s="5"/>
      <c r="T1301" s="5"/>
    </row>
    <row r="1302">
      <c r="A1302" s="4">
        <v>45534.33207927083</v>
      </c>
      <c r="B1302" s="5" t="s">
        <v>34</v>
      </c>
      <c r="D1302" s="5" t="s">
        <v>6232</v>
      </c>
      <c r="E1302" s="5" t="s">
        <v>10856</v>
      </c>
      <c r="F1302" s="5" t="s">
        <v>72</v>
      </c>
      <c r="G1302" s="5" t="s">
        <v>10857</v>
      </c>
      <c r="H1302" s="6" t="s">
        <v>10858</v>
      </c>
      <c r="I1302" s="7" t="s">
        <v>10859</v>
      </c>
      <c r="J1302" s="8" t="str">
        <f>HYPERLINK("https://drive.google.com/file/d/1myefv-Drwm_a_-NVqktNmpm6y-QCOg8_/view?usp=drivesdk","HENDRI GUNAWAN, A.MD SERTIFIKAT BerAKHLAK")</f>
        <v>HENDRI GUNAWAN, A.MD SERTIFIKAT BerAKHLAK</v>
      </c>
      <c r="K1302" s="5" t="s">
        <v>10440</v>
      </c>
      <c r="L1302" s="5" t="s">
        <v>10860</v>
      </c>
      <c r="M1302" s="5" t="s">
        <v>10861</v>
      </c>
      <c r="N1302" s="7" t="s">
        <v>10862</v>
      </c>
      <c r="O1302" s="8" t="str">
        <f>HYPERLINK("https://drive.google.com/file/d/1O5sw4tGMfXqC3QTQisMAl_dNbTs5ABtG/view?usp=drivesdk","1301_HENDRI GUNAWAN, A.MD _ SERTIFIKAT BIMTEK IPASN BerAKHLASK")</f>
        <v>1301_HENDRI GUNAWAN, A.MD _ SERTIFIKAT BIMTEK IPASN BerAKHLASK</v>
      </c>
      <c r="P1302" s="5" t="s">
        <v>10841</v>
      </c>
      <c r="Q1302" s="5"/>
      <c r="R1302" s="5"/>
      <c r="S1302" s="5"/>
      <c r="T1302" s="5"/>
    </row>
    <row r="1303">
      <c r="A1303" s="4">
        <v>45534.332082974535</v>
      </c>
      <c r="B1303" s="5" t="s">
        <v>34</v>
      </c>
      <c r="D1303" s="5" t="s">
        <v>9020</v>
      </c>
      <c r="E1303" s="5" t="s">
        <v>10863</v>
      </c>
      <c r="F1303" s="5" t="s">
        <v>120</v>
      </c>
      <c r="G1303" s="5" t="s">
        <v>10864</v>
      </c>
      <c r="H1303" s="6" t="s">
        <v>10865</v>
      </c>
      <c r="I1303" s="7" t="s">
        <v>10866</v>
      </c>
      <c r="J1303" s="8" t="str">
        <f>HYPERLINK("https://drive.google.com/file/d/1ej0hSnG6z0KRF0nMrtvGvfrliwhsjc4t/view?usp=drivesdk","MEIRONI PESTA LASMA SARTI RAJAGUKGUK, S.E, M.M SERTIFIKAT BerAKHLAK")</f>
        <v>MEIRONI PESTA LASMA SARTI RAJAGUKGUK, S.E, M.M SERTIFIKAT BerAKHLAK</v>
      </c>
      <c r="K1303" s="5" t="s">
        <v>10464</v>
      </c>
      <c r="L1303" s="5" t="s">
        <v>10867</v>
      </c>
      <c r="M1303" s="5" t="s">
        <v>10868</v>
      </c>
      <c r="N1303" s="7" t="s">
        <v>10869</v>
      </c>
      <c r="O1303" s="8" t="str">
        <f>HYPERLINK("https://drive.google.com/file/d/1QYUQGp4s8m73RJu_rbixGljbliaNhHXy/view?usp=drivesdk","1302_MEIRONI PESTA LASMA SARTI RAJAGUKGUK, S.E, M.M _ SERTIFIKAT BIMTEK IPASN BerAKHLASK")</f>
        <v>1302_MEIRONI PESTA LASMA SARTI RAJAGUKGUK, S.E, M.M _ SERTIFIKAT BIMTEK IPASN BerAKHLASK</v>
      </c>
      <c r="P1303" s="5" t="s">
        <v>10870</v>
      </c>
      <c r="Q1303" s="5"/>
      <c r="R1303" s="5"/>
      <c r="S1303" s="5"/>
      <c r="T1303" s="5"/>
    </row>
    <row r="1304">
      <c r="A1304" s="4">
        <v>45534.33211603009</v>
      </c>
      <c r="B1304" s="5" t="s">
        <v>34</v>
      </c>
      <c r="D1304" s="5" t="s">
        <v>280</v>
      </c>
      <c r="E1304" s="5" t="s">
        <v>10871</v>
      </c>
      <c r="F1304" s="5" t="s">
        <v>715</v>
      </c>
      <c r="G1304" s="5" t="s">
        <v>10872</v>
      </c>
      <c r="H1304" s="6" t="s">
        <v>10873</v>
      </c>
      <c r="I1304" s="7" t="s">
        <v>10874</v>
      </c>
      <c r="J1304" s="8" t="str">
        <f>HYPERLINK("https://drive.google.com/file/d/1VWVyGeB40lv7TLKDPps94s5vsosqWVKl/view?usp=drivesdk","RIDHAANANDA,AMK SERTIFIKAT BerAKHLAK")</f>
        <v>RIDHAANANDA,AMK SERTIFIKAT BerAKHLAK</v>
      </c>
      <c r="K1304" s="5" t="s">
        <v>10440</v>
      </c>
      <c r="L1304" s="5" t="s">
        <v>10875</v>
      </c>
      <c r="M1304" s="5" t="s">
        <v>10876</v>
      </c>
      <c r="N1304" s="7" t="s">
        <v>10877</v>
      </c>
      <c r="O1304" s="8" t="str">
        <f>HYPERLINK("https://drive.google.com/file/d/1Jy6fryqSVjGjCRL4gRtz9uXA2nYYX-w6/view?usp=drivesdk","1303_RIDHAANANDA,AMK _ SERTIFIKAT BIMTEK IPASN BerAKHLASK")</f>
        <v>1303_RIDHAANANDA,AMK _ SERTIFIKAT BIMTEK IPASN BerAKHLASK</v>
      </c>
      <c r="P1304" s="5" t="s">
        <v>10878</v>
      </c>
      <c r="Q1304" s="5"/>
      <c r="R1304" s="5"/>
      <c r="S1304" s="5"/>
      <c r="T1304" s="5"/>
    </row>
    <row r="1305">
      <c r="A1305" s="4">
        <v>45534.33211811342</v>
      </c>
      <c r="B1305" s="5" t="s">
        <v>34</v>
      </c>
      <c r="D1305" s="5" t="s">
        <v>1206</v>
      </c>
      <c r="E1305" s="5" t="s">
        <v>10879</v>
      </c>
      <c r="F1305" s="5" t="s">
        <v>120</v>
      </c>
      <c r="G1305" s="5" t="s">
        <v>10880</v>
      </c>
      <c r="H1305" s="6" t="s">
        <v>10881</v>
      </c>
      <c r="I1305" s="7" t="s">
        <v>10882</v>
      </c>
      <c r="J1305" s="8" t="str">
        <f>HYPERLINK("https://drive.google.com/file/d/1CWch3UYlQ628SbFo1ZmzB5fcOzzvSujf/view?usp=drivesdk","APRIL WINARIJANTO, S.Pd., M.M. SERTIFIKAT BerAKHLAK")</f>
        <v>APRIL WINARIJANTO, S.Pd., M.M. SERTIFIKAT BerAKHLAK</v>
      </c>
      <c r="K1305" s="5" t="s">
        <v>10464</v>
      </c>
      <c r="L1305" s="5" t="s">
        <v>10883</v>
      </c>
      <c r="M1305" s="5" t="s">
        <v>10884</v>
      </c>
      <c r="N1305" s="7" t="s">
        <v>10885</v>
      </c>
      <c r="O1305" s="8" t="str">
        <f>HYPERLINK("https://drive.google.com/file/d/1k3-c5meJvCzZcaMKSJ0eUvcrG_ezV1h2/view?usp=drivesdk","1304_APRIL WINARIJANTO, S.Pd., M.M. _ SERTIFIKAT BIMTEK IPASN BerAKHLASK")</f>
        <v>1304_APRIL WINARIJANTO, S.Pd., M.M. _ SERTIFIKAT BIMTEK IPASN BerAKHLASK</v>
      </c>
      <c r="P1305" s="5" t="s">
        <v>10878</v>
      </c>
      <c r="Q1305" s="5"/>
      <c r="R1305" s="5"/>
      <c r="S1305" s="5"/>
      <c r="T1305" s="5"/>
    </row>
    <row r="1306">
      <c r="A1306" s="4">
        <v>45534.33212445602</v>
      </c>
      <c r="B1306" s="5" t="s">
        <v>34</v>
      </c>
      <c r="D1306" s="5" t="s">
        <v>4775</v>
      </c>
      <c r="E1306" s="5" t="s">
        <v>10886</v>
      </c>
      <c r="F1306" s="5" t="s">
        <v>212</v>
      </c>
      <c r="G1306" s="5" t="s">
        <v>10887</v>
      </c>
      <c r="H1306" s="6" t="s">
        <v>10888</v>
      </c>
      <c r="I1306" s="7" t="s">
        <v>10889</v>
      </c>
      <c r="J1306" s="8" t="str">
        <f>HYPERLINK("https://drive.google.com/file/d/1OaOYuJ-IGoIQQkbzMri1cUt5FIH9ZAnk/view?usp=drivesdk","ENDIRO PITOYONK SERTIFIKAT BerAKHLAK")</f>
        <v>ENDIRO PITOYONK SERTIFIKAT BerAKHLAK</v>
      </c>
      <c r="K1306" s="5" t="s">
        <v>10464</v>
      </c>
      <c r="L1306" s="5" t="s">
        <v>10890</v>
      </c>
      <c r="M1306" s="5" t="s">
        <v>10891</v>
      </c>
      <c r="N1306" s="7" t="s">
        <v>10892</v>
      </c>
      <c r="O1306" s="8" t="str">
        <f>HYPERLINK("https://drive.google.com/file/d/148ddHJ26Xu3m5H6d8PDeRrBAwQ2x77Zb/view?usp=drivesdk","1305_ENDIRO PITOYONK _ SERTIFIKAT BIMTEK IPASN BerAKHLASK")</f>
        <v>1305_ENDIRO PITOYONK _ SERTIFIKAT BIMTEK IPASN BerAKHLASK</v>
      </c>
      <c r="P1306" s="5" t="s">
        <v>10878</v>
      </c>
      <c r="Q1306" s="5"/>
      <c r="R1306" s="5"/>
      <c r="S1306" s="5"/>
      <c r="T1306" s="5"/>
    </row>
    <row r="1307">
      <c r="A1307" s="4">
        <v>45534.332135902776</v>
      </c>
      <c r="B1307" s="5" t="s">
        <v>34</v>
      </c>
      <c r="D1307" s="5" t="s">
        <v>4775</v>
      </c>
      <c r="E1307" s="5" t="s">
        <v>10893</v>
      </c>
      <c r="F1307" s="5" t="s">
        <v>37</v>
      </c>
      <c r="G1307" s="5" t="s">
        <v>10894</v>
      </c>
      <c r="H1307" s="6" t="s">
        <v>10895</v>
      </c>
      <c r="I1307" s="7" t="s">
        <v>10896</v>
      </c>
      <c r="J1307" s="8" t="str">
        <f>HYPERLINK("https://drive.google.com/file/d/1gy5G6XTQAGkVoJHxz4ovKcRkvhLdK0YD/view?usp=drivesdk","ROSARI PURWANINGRUM SERTIFIKAT BerAKHLAK")</f>
        <v>ROSARI PURWANINGRUM SERTIFIKAT BerAKHLAK</v>
      </c>
      <c r="K1307" s="5" t="s">
        <v>10464</v>
      </c>
      <c r="L1307" s="5" t="s">
        <v>10897</v>
      </c>
      <c r="M1307" s="5" t="s">
        <v>10898</v>
      </c>
      <c r="N1307" s="7" t="s">
        <v>10899</v>
      </c>
      <c r="O1307" s="8" t="str">
        <f>HYPERLINK("https://drive.google.com/file/d/1CYdTsh7hOLIYFV63C1xLvTP03pTz6Lzf/view?usp=drivesdk","1306_ROSARI PURWANINGRUM _ SERTIFIKAT BIMTEK IPASN BerAKHLASK")</f>
        <v>1306_ROSARI PURWANINGRUM _ SERTIFIKAT BIMTEK IPASN BerAKHLASK</v>
      </c>
      <c r="P1307" s="5" t="s">
        <v>10878</v>
      </c>
      <c r="Q1307" s="5"/>
      <c r="R1307" s="5"/>
      <c r="S1307" s="5"/>
      <c r="T1307" s="5"/>
    </row>
    <row r="1308">
      <c r="A1308" s="4">
        <v>45534.33213810185</v>
      </c>
      <c r="B1308" s="5" t="s">
        <v>34</v>
      </c>
      <c r="D1308" s="5" t="s">
        <v>1692</v>
      </c>
      <c r="E1308" s="5" t="s">
        <v>10900</v>
      </c>
      <c r="F1308" s="5" t="s">
        <v>212</v>
      </c>
      <c r="G1308" s="5" t="s">
        <v>10901</v>
      </c>
      <c r="H1308" s="6" t="s">
        <v>10902</v>
      </c>
      <c r="K1308" s="5" t="s">
        <v>10903</v>
      </c>
      <c r="M1308" s="5" t="s">
        <v>10904</v>
      </c>
      <c r="N1308" s="7" t="s">
        <v>10905</v>
      </c>
      <c r="O1308" s="8" t="str">
        <f>HYPERLINK("https://drive.google.com/file/d/1ui7wAVMaDd0tbvdCzG7GQq4p5CcP7otH/view?usp=drivesdk","1307_LAMBERTHINE R.KERMITE _ SERTIFIKAT BIMTEK IPASN BerAKHLASK")</f>
        <v>1307_LAMBERTHINE R.KERMITE _ SERTIFIKAT BIMTEK IPASN BerAKHLASK</v>
      </c>
      <c r="P1308" s="5" t="s">
        <v>10906</v>
      </c>
      <c r="Q1308" s="5"/>
      <c r="R1308" s="5"/>
      <c r="S1308" s="5"/>
      <c r="T1308" s="5"/>
    </row>
    <row r="1309" hidden="1">
      <c r="A1309" s="4">
        <v>45534.33214302083</v>
      </c>
      <c r="B1309" s="5" t="s">
        <v>19</v>
      </c>
      <c r="C1309" s="5" t="s">
        <v>292</v>
      </c>
      <c r="E1309" s="5" t="s">
        <v>10907</v>
      </c>
      <c r="F1309" s="5" t="s">
        <v>37</v>
      </c>
      <c r="G1309" s="5" t="s">
        <v>10908</v>
      </c>
      <c r="H1309" s="6" t="s">
        <v>10909</v>
      </c>
      <c r="K1309" s="5" t="s">
        <v>10903</v>
      </c>
      <c r="M1309" s="5" t="s">
        <v>10910</v>
      </c>
      <c r="N1309" s="7" t="s">
        <v>10911</v>
      </c>
      <c r="O1309" s="8" t="str">
        <f>HYPERLINK("https://drive.google.com/file/d/1bD3Q_s0xSCpgZ19UqH19ai18vqYnbiPS/view?usp=drivesdk","1308_PENGATUR MARWAN _ SERTIFIKAT BIMTEK IPASN BerAKHLASK")</f>
        <v>1308_PENGATUR MARWAN _ SERTIFIKAT BIMTEK IPASN BerAKHLASK</v>
      </c>
      <c r="P1309" s="5" t="s">
        <v>10906</v>
      </c>
      <c r="Q1309" s="5"/>
      <c r="R1309" s="5"/>
      <c r="S1309" s="5"/>
      <c r="T1309" s="5"/>
    </row>
    <row r="1310">
      <c r="A1310" s="4">
        <v>45534.33214283564</v>
      </c>
      <c r="B1310" s="5" t="s">
        <v>34</v>
      </c>
      <c r="D1310" s="5" t="s">
        <v>10444</v>
      </c>
      <c r="E1310" s="5" t="s">
        <v>10912</v>
      </c>
      <c r="F1310" s="5" t="s">
        <v>72</v>
      </c>
      <c r="G1310" s="5" t="s">
        <v>10913</v>
      </c>
      <c r="H1310" s="6" t="s">
        <v>10914</v>
      </c>
      <c r="K1310" s="5" t="s">
        <v>10903</v>
      </c>
      <c r="M1310" s="5" t="s">
        <v>10915</v>
      </c>
      <c r="N1310" s="7" t="s">
        <v>10916</v>
      </c>
      <c r="O1310" s="8" t="str">
        <f>HYPERLINK("https://drive.google.com/file/d/1Znj-hxaNctYKhmED_tUSiljtScK40MlF/view?usp=drivesdk","1309_SABRINASARI, S.Tr.Keb _ SERTIFIKAT BIMTEK IPASN BerAKHLASK")</f>
        <v>1309_SABRINASARI, S.Tr.Keb _ SERTIFIKAT BIMTEK IPASN BerAKHLASK</v>
      </c>
      <c r="P1310" s="5" t="s">
        <v>10906</v>
      </c>
      <c r="Q1310" s="5"/>
      <c r="R1310" s="5"/>
      <c r="S1310" s="5"/>
      <c r="T1310" s="5"/>
    </row>
    <row r="1311">
      <c r="A1311" s="4">
        <v>45534.3321475</v>
      </c>
      <c r="B1311" s="5" t="s">
        <v>34</v>
      </c>
      <c r="D1311" s="5" t="s">
        <v>1206</v>
      </c>
      <c r="E1311" s="5" t="s">
        <v>10917</v>
      </c>
      <c r="F1311" s="5" t="s">
        <v>37</v>
      </c>
      <c r="G1311" s="5" t="s">
        <v>10918</v>
      </c>
      <c r="H1311" s="6" t="s">
        <v>10919</v>
      </c>
      <c r="K1311" s="5" t="s">
        <v>10903</v>
      </c>
      <c r="M1311" s="5" t="s">
        <v>10920</v>
      </c>
      <c r="N1311" s="7" t="s">
        <v>10921</v>
      </c>
      <c r="O1311" s="8" t="str">
        <f>HYPERLINK("https://drive.google.com/file/d/1Y8zSzFidiUASWlHoPd3WpBdhxSLsYraI/view?usp=drivesdk","1310_NANIS NINDRAWATI  _ SERTIFIKAT BIMTEK IPASN BerAKHLASK")</f>
        <v>1310_NANIS NINDRAWATI  _ SERTIFIKAT BIMTEK IPASN BerAKHLASK</v>
      </c>
      <c r="P1311" s="5" t="s">
        <v>10906</v>
      </c>
      <c r="Q1311" s="5"/>
      <c r="R1311" s="5"/>
      <c r="S1311" s="5"/>
      <c r="T1311" s="5"/>
    </row>
    <row r="1312">
      <c r="A1312" s="4">
        <v>45534.33215216435</v>
      </c>
      <c r="B1312" s="5" t="s">
        <v>34</v>
      </c>
      <c r="D1312" s="5" t="s">
        <v>10444</v>
      </c>
      <c r="E1312" s="5" t="s">
        <v>10922</v>
      </c>
      <c r="F1312" s="5" t="s">
        <v>375</v>
      </c>
      <c r="G1312" s="5" t="s">
        <v>10923</v>
      </c>
      <c r="H1312" s="6" t="s">
        <v>10924</v>
      </c>
      <c r="K1312" s="5" t="s">
        <v>10903</v>
      </c>
      <c r="M1312" s="5" t="s">
        <v>10925</v>
      </c>
      <c r="N1312" s="7" t="s">
        <v>10926</v>
      </c>
      <c r="O1312" s="8" t="str">
        <f>HYPERLINK("https://drive.google.com/file/d/1ICSf3hPhxWqvH1q9v3ZYY078ZLJIIZEW/view?usp=drivesdk","1311_DENI ADRIANSYAH, S.P. _ SERTIFIKAT BIMTEK IPASN BerAKHLASK")</f>
        <v>1311_DENI ADRIANSYAH, S.P. _ SERTIFIKAT BIMTEK IPASN BerAKHLASK</v>
      </c>
      <c r="P1312" s="5" t="s">
        <v>10906</v>
      </c>
      <c r="Q1312" s="5"/>
      <c r="R1312" s="5"/>
      <c r="S1312" s="5"/>
      <c r="T1312" s="5"/>
    </row>
    <row r="1313">
      <c r="A1313" s="4">
        <v>45534.33215646991</v>
      </c>
      <c r="B1313" s="5" t="s">
        <v>34</v>
      </c>
      <c r="D1313" s="5" t="s">
        <v>4775</v>
      </c>
      <c r="E1313" s="5" t="s">
        <v>10927</v>
      </c>
      <c r="F1313" s="5" t="s">
        <v>212</v>
      </c>
      <c r="G1313" s="5" t="s">
        <v>10928</v>
      </c>
      <c r="H1313" s="6" t="s">
        <v>10929</v>
      </c>
      <c r="K1313" s="5" t="s">
        <v>10903</v>
      </c>
      <c r="M1313" s="5" t="s">
        <v>10930</v>
      </c>
      <c r="N1313" s="7" t="s">
        <v>10931</v>
      </c>
      <c r="O1313" s="8" t="str">
        <f>HYPERLINK("https://drive.google.com/file/d/1ZjnEqY5V03v7h7R8PSkZSkLmyQFqEs8u/view?usp=drivesdk","1312_WAHYUNINGSIH  _ SERTIFIKAT BIMTEK IPASN BerAKHLASK")</f>
        <v>1312_WAHYUNINGSIH  _ SERTIFIKAT BIMTEK IPASN BerAKHLASK</v>
      </c>
      <c r="P1313" s="5" t="s">
        <v>10932</v>
      </c>
      <c r="Q1313" s="5"/>
      <c r="R1313" s="5"/>
      <c r="S1313" s="5"/>
      <c r="T1313" s="5"/>
    </row>
    <row r="1314">
      <c r="A1314" s="4">
        <v>45534.33217554398</v>
      </c>
      <c r="B1314" s="5" t="s">
        <v>34</v>
      </c>
      <c r="D1314" s="5" t="s">
        <v>1206</v>
      </c>
      <c r="E1314" s="5" t="s">
        <v>10933</v>
      </c>
      <c r="F1314" s="5" t="s">
        <v>212</v>
      </c>
      <c r="G1314" s="5" t="s">
        <v>10934</v>
      </c>
      <c r="H1314" s="6" t="s">
        <v>10935</v>
      </c>
      <c r="I1314" s="7" t="s">
        <v>10936</v>
      </c>
      <c r="J1314" s="8" t="str">
        <f>HYPERLINK("https://drive.google.com/file/d/1iRuFvwT_LizfqULEBcEefSeUn99Rrej_/view?usp=drivesdk","BANGGAWAK SOEDIHARTONO SERTIFIKAT BerAKHLAK")</f>
        <v>BANGGAWAK SOEDIHARTONO SERTIFIKAT BerAKHLAK</v>
      </c>
      <c r="K1314" s="5" t="s">
        <v>10440</v>
      </c>
      <c r="L1314" s="5" t="s">
        <v>10937</v>
      </c>
      <c r="M1314" s="5" t="s">
        <v>10938</v>
      </c>
      <c r="N1314" s="7" t="s">
        <v>10939</v>
      </c>
      <c r="O1314" s="8" t="str">
        <f>HYPERLINK("https://drive.google.com/file/d/1auypU-cG6ewpRRCqmtzNYxbDcmZfE4m2/view?usp=drivesdk","1313_BANGGAWAK SOEDIHARTONO _ SERTIFIKAT BIMTEK IPASN BerAKHLASK")</f>
        <v>1313_BANGGAWAK SOEDIHARTONO _ SERTIFIKAT BIMTEK IPASN BerAKHLASK</v>
      </c>
      <c r="P1314" s="5" t="s">
        <v>10932</v>
      </c>
      <c r="Q1314" s="5"/>
      <c r="R1314" s="5"/>
      <c r="S1314" s="5"/>
      <c r="T1314" s="5"/>
    </row>
    <row r="1315">
      <c r="A1315" s="4">
        <v>45534.332181192134</v>
      </c>
      <c r="B1315" s="5" t="s">
        <v>34</v>
      </c>
      <c r="D1315" s="5" t="s">
        <v>1768</v>
      </c>
      <c r="E1315" s="5" t="s">
        <v>10940</v>
      </c>
      <c r="F1315" s="5" t="s">
        <v>524</v>
      </c>
      <c r="G1315" s="5" t="s">
        <v>10941</v>
      </c>
      <c r="H1315" s="6" t="s">
        <v>10942</v>
      </c>
      <c r="I1315" s="7" t="s">
        <v>10943</v>
      </c>
      <c r="J1315" s="8" t="str">
        <f>HYPERLINK("https://drive.google.com/file/d/1Q1bxasCliScZ702kV_KrjRt8QS8EI6kS/view?usp=drivesdk","RUSDIANA SIRINGO RINGO SERTIFIKAT BerAKHLAK")</f>
        <v>RUSDIANA SIRINGO RINGO SERTIFIKAT BerAKHLAK</v>
      </c>
      <c r="K1315" s="5" t="s">
        <v>10440</v>
      </c>
      <c r="L1315" s="5" t="s">
        <v>10944</v>
      </c>
      <c r="M1315" s="5" t="s">
        <v>10945</v>
      </c>
      <c r="N1315" s="7" t="s">
        <v>10946</v>
      </c>
      <c r="O1315" s="8" t="str">
        <f>HYPERLINK("https://drive.google.com/file/d/1lPQT2HmgfMt4nhXQPLWfuYuURwrosyot/view?usp=drivesdk","1314_RUSDIANA SIRINGO RINGO _ SERTIFIKAT BIMTEK IPASN BerAKHLASK")</f>
        <v>1314_RUSDIANA SIRINGO RINGO _ SERTIFIKAT BIMTEK IPASN BerAKHLASK</v>
      </c>
      <c r="P1315" s="5" t="s">
        <v>10932</v>
      </c>
      <c r="Q1315" s="5"/>
      <c r="R1315" s="5"/>
      <c r="S1315" s="5"/>
      <c r="T1315" s="5"/>
    </row>
    <row r="1316">
      <c r="A1316" s="4">
        <v>45534.33218179399</v>
      </c>
      <c r="B1316" s="5" t="s">
        <v>34</v>
      </c>
      <c r="D1316" s="5" t="s">
        <v>10444</v>
      </c>
      <c r="E1316" s="5" t="s">
        <v>10947</v>
      </c>
      <c r="F1316" s="5" t="s">
        <v>524</v>
      </c>
      <c r="G1316" s="5" t="s">
        <v>10948</v>
      </c>
      <c r="H1316" s="6" t="s">
        <v>10949</v>
      </c>
      <c r="I1316" s="7" t="s">
        <v>10950</v>
      </c>
      <c r="J1316" s="8" t="str">
        <f>HYPERLINK("https://drive.google.com/file/d/1RvHZTGkNEPoNpxPWPKGMYlPy7-AUgilQ/view?usp=drivesdk","FATHURACHMAN WIRATAMA, S.H SERTIFIKAT BerAKHLAK")</f>
        <v>FATHURACHMAN WIRATAMA, S.H SERTIFIKAT BerAKHLAK</v>
      </c>
      <c r="K1316" s="5" t="s">
        <v>10464</v>
      </c>
      <c r="L1316" s="5" t="s">
        <v>10951</v>
      </c>
      <c r="M1316" s="5" t="s">
        <v>10952</v>
      </c>
      <c r="N1316" s="7" t="s">
        <v>10953</v>
      </c>
      <c r="O1316" s="8" t="str">
        <f>HYPERLINK("https://drive.google.com/file/d/1DBiXKj_s4h0mvGx_To0zHY_Y65X3jUtq/view?usp=drivesdk","1315_FATHURACHMAN WIRATAMA, S.H _ SERTIFIKAT BIMTEK IPASN BerAKHLASK")</f>
        <v>1315_FATHURACHMAN WIRATAMA, S.H _ SERTIFIKAT BIMTEK IPASN BerAKHLASK</v>
      </c>
      <c r="P1316" s="5" t="s">
        <v>10932</v>
      </c>
      <c r="Q1316" s="5"/>
      <c r="R1316" s="5"/>
      <c r="S1316" s="5"/>
      <c r="T1316" s="5"/>
    </row>
    <row r="1317">
      <c r="A1317" s="4">
        <v>45534.332193912036</v>
      </c>
      <c r="B1317" s="5" t="s">
        <v>34</v>
      </c>
      <c r="D1317" s="5" t="s">
        <v>1768</v>
      </c>
      <c r="E1317" s="5" t="s">
        <v>10954</v>
      </c>
      <c r="F1317" s="5" t="s">
        <v>375</v>
      </c>
      <c r="G1317" s="5" t="s">
        <v>10955</v>
      </c>
      <c r="H1317" s="6" t="s">
        <v>10956</v>
      </c>
      <c r="I1317" s="7" t="s">
        <v>10957</v>
      </c>
      <c r="J1317" s="8" t="str">
        <f>HYPERLINK("https://drive.google.com/file/d/1YX-b4PzPM3OJ8puEjwYa9vIbCyQXz4v0/view?usp=drivesdk","SULISTIJOWATI, SE  SERTIFIKAT BerAKHLAK")</f>
        <v>SULISTIJOWATI, SE  SERTIFIKAT BerAKHLAK</v>
      </c>
      <c r="K1317" s="5" t="s">
        <v>10440</v>
      </c>
      <c r="L1317" s="5" t="s">
        <v>10958</v>
      </c>
      <c r="M1317" s="5" t="s">
        <v>10959</v>
      </c>
      <c r="N1317" s="7" t="s">
        <v>10960</v>
      </c>
      <c r="O1317" s="8" t="str">
        <f>HYPERLINK("https://drive.google.com/file/d/1ixMoXGJSwUhPIKeCi44oum4SlAOqwJYr/view?usp=drivesdk","1316_SULISTIJOWATI, SE  _ SERTIFIKAT BIMTEK IPASN BerAKHLASK")</f>
        <v>1316_SULISTIJOWATI, SE  _ SERTIFIKAT BIMTEK IPASN BerAKHLASK</v>
      </c>
      <c r="P1317" s="5" t="s">
        <v>10932</v>
      </c>
      <c r="Q1317" s="5"/>
      <c r="R1317" s="5"/>
      <c r="S1317" s="5"/>
      <c r="T1317" s="5"/>
    </row>
    <row r="1318">
      <c r="A1318" s="4">
        <v>45534.33221699074</v>
      </c>
      <c r="B1318" s="5" t="s">
        <v>34</v>
      </c>
      <c r="D1318" s="5" t="s">
        <v>280</v>
      </c>
      <c r="E1318" s="5" t="s">
        <v>10961</v>
      </c>
      <c r="F1318" s="5" t="s">
        <v>212</v>
      </c>
      <c r="G1318" s="5" t="s">
        <v>10962</v>
      </c>
      <c r="H1318" s="6" t="s">
        <v>10963</v>
      </c>
      <c r="I1318" s="7" t="s">
        <v>10964</v>
      </c>
      <c r="J1318" s="8" t="str">
        <f>HYPERLINK("https://drive.google.com/file/d/1WeDd4iGw62tnzuLmngXtJVABZ2O8c2RF/view?usp=drivesdk","RATUMAS ASMARITA  SERTIFIKAT BerAKHLAK")</f>
        <v>RATUMAS ASMARITA  SERTIFIKAT BerAKHLAK</v>
      </c>
      <c r="K1318" s="5" t="s">
        <v>10464</v>
      </c>
      <c r="L1318" s="5" t="s">
        <v>10965</v>
      </c>
      <c r="M1318" s="5" t="s">
        <v>10966</v>
      </c>
      <c r="N1318" s="7" t="s">
        <v>10967</v>
      </c>
      <c r="O1318" s="8" t="str">
        <f>HYPERLINK("https://drive.google.com/file/d/1sVa59y7wz7WqmIWigi5FUGQdiW20H7Be/view?usp=drivesdk","1317_RATUMAS ASMARITA  _ SERTIFIKAT BIMTEK IPASN BerAKHLASK")</f>
        <v>1317_RATUMAS ASMARITA  _ SERTIFIKAT BIMTEK IPASN BerAKHLASK</v>
      </c>
      <c r="P1318" s="5" t="s">
        <v>10968</v>
      </c>
      <c r="Q1318" s="5"/>
      <c r="R1318" s="5"/>
      <c r="S1318" s="5"/>
      <c r="T1318" s="5"/>
    </row>
    <row r="1319" hidden="1">
      <c r="A1319" s="4">
        <v>45534.332218587966</v>
      </c>
      <c r="B1319" s="5" t="s">
        <v>19</v>
      </c>
      <c r="C1319" s="5" t="s">
        <v>292</v>
      </c>
      <c r="E1319" s="5" t="s">
        <v>10969</v>
      </c>
      <c r="F1319" s="5" t="s">
        <v>375</v>
      </c>
      <c r="G1319" s="5" t="s">
        <v>10970</v>
      </c>
      <c r="H1319" s="6" t="s">
        <v>10971</v>
      </c>
      <c r="K1319" s="5" t="s">
        <v>10972</v>
      </c>
      <c r="M1319" s="5" t="s">
        <v>10973</v>
      </c>
      <c r="N1319" s="7" t="s">
        <v>10974</v>
      </c>
      <c r="O1319" s="8" t="str">
        <f>HYPERLINK("https://drive.google.com/file/d/1gUOsbA60V-VSjlufKcWwIA2bjo3ntrPp/view?usp=drivesdk","1318_BOWO SUMARTOYO, S.E., M.M. _ SERTIFIKAT BIMTEK IPASN BerAKHLASK")</f>
        <v>1318_BOWO SUMARTOYO, S.E., M.M. _ SERTIFIKAT BIMTEK IPASN BerAKHLASK</v>
      </c>
      <c r="P1319" s="5" t="s">
        <v>10968</v>
      </c>
      <c r="Q1319" s="5"/>
      <c r="R1319" s="5"/>
      <c r="S1319" s="5"/>
      <c r="T1319" s="5"/>
    </row>
    <row r="1320">
      <c r="A1320" s="4">
        <v>45534.332231319444</v>
      </c>
      <c r="B1320" s="5" t="s">
        <v>34</v>
      </c>
      <c r="D1320" s="5" t="s">
        <v>1768</v>
      </c>
      <c r="E1320" s="5" t="s">
        <v>10975</v>
      </c>
      <c r="F1320" s="5" t="s">
        <v>524</v>
      </c>
      <c r="G1320" s="5" t="s">
        <v>10976</v>
      </c>
      <c r="H1320" s="6" t="s">
        <v>10977</v>
      </c>
      <c r="I1320" s="7" t="s">
        <v>10978</v>
      </c>
      <c r="J1320" s="8" t="str">
        <f>HYPERLINK("https://drive.google.com/file/d/1R6hwKRePMOHkkFAQRDyJ8G0nPPsOPZZL/view?usp=drivesdk","ISRAWATI ISHAK SERTIFIKAT BerAKHLAK")</f>
        <v>ISRAWATI ISHAK SERTIFIKAT BerAKHLAK</v>
      </c>
      <c r="K1320" s="5" t="s">
        <v>10440</v>
      </c>
      <c r="L1320" s="5" t="s">
        <v>10979</v>
      </c>
      <c r="M1320" s="5" t="s">
        <v>10980</v>
      </c>
      <c r="N1320" s="7" t="s">
        <v>10981</v>
      </c>
      <c r="O1320" s="8" t="str">
        <f>HYPERLINK("https://drive.google.com/file/d/1aCKXOsioMKMsmBGfoIZK7vu1yhLESzUa/view?usp=drivesdk","1319_ISRAWATI ISHAK _ SERTIFIKAT BIMTEK IPASN BerAKHLASK")</f>
        <v>1319_ISRAWATI ISHAK _ SERTIFIKAT BIMTEK IPASN BerAKHLASK</v>
      </c>
      <c r="P1320" s="5" t="s">
        <v>10968</v>
      </c>
      <c r="Q1320" s="5"/>
      <c r="R1320" s="5"/>
      <c r="S1320" s="5"/>
      <c r="T1320" s="5"/>
    </row>
    <row r="1321" hidden="1">
      <c r="A1321" s="4">
        <v>45534.33223443287</v>
      </c>
      <c r="B1321" s="5" t="s">
        <v>19</v>
      </c>
      <c r="C1321" s="5" t="s">
        <v>315</v>
      </c>
      <c r="E1321" s="5" t="s">
        <v>10982</v>
      </c>
      <c r="F1321" s="5" t="s">
        <v>375</v>
      </c>
      <c r="G1321" s="5" t="s">
        <v>10983</v>
      </c>
      <c r="H1321" s="6" t="s">
        <v>10984</v>
      </c>
      <c r="I1321" s="7" t="s">
        <v>10985</v>
      </c>
      <c r="J1321" s="8" t="str">
        <f>HYPERLINK("https://drive.google.com/file/d/1Yh7YdJKZWoTRC2Oq-wS0xoRGm1RspDUr/view?usp=drivesdk","KARSIDI BIN YOREDJO SERTIFIKAT BerAKHLAK")</f>
        <v>KARSIDI BIN YOREDJO SERTIFIKAT BerAKHLAK</v>
      </c>
      <c r="K1321" s="5" t="s">
        <v>10464</v>
      </c>
      <c r="L1321" s="5" t="s">
        <v>10986</v>
      </c>
      <c r="M1321" s="5" t="s">
        <v>10987</v>
      </c>
      <c r="N1321" s="7" t="s">
        <v>10988</v>
      </c>
      <c r="O1321" s="8" t="str">
        <f>HYPERLINK("https://drive.google.com/file/d/1I6Lz8LKYkdwcuSGhAWoTX9yCjlRa2uHu/view?usp=drivesdk","1320_KARSIDI BIN YOREDJO _ SERTIFIKAT BIMTEK IPASN BerAKHLASK")</f>
        <v>1320_KARSIDI BIN YOREDJO _ SERTIFIKAT BIMTEK IPASN BerAKHLASK</v>
      </c>
      <c r="P1321" s="5" t="s">
        <v>10989</v>
      </c>
      <c r="Q1321" s="5"/>
      <c r="R1321" s="5"/>
      <c r="S1321" s="5"/>
      <c r="T1321" s="5"/>
    </row>
    <row r="1322">
      <c r="A1322" s="4">
        <v>45534.33223483796</v>
      </c>
      <c r="B1322" s="5" t="s">
        <v>34</v>
      </c>
      <c r="D1322" s="5" t="s">
        <v>1206</v>
      </c>
      <c r="E1322" s="5" t="s">
        <v>10990</v>
      </c>
      <c r="F1322" s="5" t="s">
        <v>328</v>
      </c>
      <c r="G1322" s="5" t="s">
        <v>10991</v>
      </c>
      <c r="H1322" s="6" t="s">
        <v>10992</v>
      </c>
      <c r="I1322" s="7" t="s">
        <v>10993</v>
      </c>
      <c r="J1322" s="8" t="str">
        <f>HYPERLINK("https://drive.google.com/file/d/1_3c9-e3zRwG9fDhs5EgCEEvxVWdvB8Re/view?usp=drivesdk","MUHAMMAD ZAENAL BAHRI SERTIFIKAT BerAKHLAK")</f>
        <v>MUHAMMAD ZAENAL BAHRI SERTIFIKAT BerAKHLAK</v>
      </c>
      <c r="K1322" s="5" t="s">
        <v>10464</v>
      </c>
      <c r="L1322" s="5" t="s">
        <v>10994</v>
      </c>
      <c r="M1322" s="5" t="s">
        <v>10995</v>
      </c>
      <c r="N1322" s="7" t="s">
        <v>10996</v>
      </c>
      <c r="O1322" s="8" t="str">
        <f>HYPERLINK("https://drive.google.com/file/d/1L1LFULuBG-aPXh_Rpbwa_kuMdc6m8nj_/view?usp=drivesdk","1321_MUHAMMAD ZAENAL BAHRI _ SERTIFIKAT BIMTEK IPASN BerAKHLASK")</f>
        <v>1321_MUHAMMAD ZAENAL BAHRI _ SERTIFIKAT BIMTEK IPASN BerAKHLASK</v>
      </c>
      <c r="P1322" s="5" t="s">
        <v>10989</v>
      </c>
      <c r="Q1322" s="5"/>
      <c r="R1322" s="5"/>
      <c r="S1322" s="5"/>
      <c r="T1322" s="5"/>
    </row>
    <row r="1323">
      <c r="A1323" s="4">
        <v>45534.33223584491</v>
      </c>
      <c r="B1323" s="5" t="s">
        <v>34</v>
      </c>
      <c r="D1323" s="5" t="s">
        <v>6232</v>
      </c>
      <c r="E1323" s="5" t="s">
        <v>10997</v>
      </c>
      <c r="F1323" s="5" t="s">
        <v>715</v>
      </c>
      <c r="G1323" s="5" t="s">
        <v>10998</v>
      </c>
      <c r="H1323" s="6" t="s">
        <v>10999</v>
      </c>
      <c r="I1323" s="7" t="s">
        <v>11000</v>
      </c>
      <c r="J1323" s="8" t="str">
        <f>HYPERLINK("https://drive.google.com/file/d/15dNE2kNVY9_3H7SII4lRN4FayotOTnnq/view?usp=drivesdk","ROSALINA ARIANTI, S.E. SERTIFIKAT BerAKHLAK")</f>
        <v>ROSALINA ARIANTI, S.E. SERTIFIKAT BerAKHLAK</v>
      </c>
      <c r="K1323" s="5" t="s">
        <v>10464</v>
      </c>
      <c r="L1323" s="5" t="s">
        <v>11001</v>
      </c>
      <c r="M1323" s="5" t="s">
        <v>11002</v>
      </c>
      <c r="N1323" s="7" t="s">
        <v>11003</v>
      </c>
      <c r="O1323" s="8" t="str">
        <f>HYPERLINK("https://drive.google.com/file/d/1aJwTrpyUSG3vCro6ZOC-dRLA1wFMpgLH/view?usp=drivesdk","1322_ROSALINA ARIANTI, S.E. _ SERTIFIKAT BIMTEK IPASN BerAKHLASK")</f>
        <v>1322_ROSALINA ARIANTI, S.E. _ SERTIFIKAT BIMTEK IPASN BerAKHLASK</v>
      </c>
      <c r="P1323" s="5" t="s">
        <v>10989</v>
      </c>
      <c r="Q1323" s="5"/>
      <c r="R1323" s="5"/>
      <c r="S1323" s="5"/>
      <c r="T1323" s="5"/>
    </row>
    <row r="1324">
      <c r="A1324" s="4">
        <v>45534.33224048611</v>
      </c>
      <c r="B1324" s="5" t="s">
        <v>34</v>
      </c>
      <c r="D1324" s="5" t="s">
        <v>975</v>
      </c>
      <c r="E1324" s="5" t="s">
        <v>11004</v>
      </c>
      <c r="F1324" s="5" t="s">
        <v>37</v>
      </c>
      <c r="G1324" s="5" t="s">
        <v>11005</v>
      </c>
      <c r="H1324" s="6" t="s">
        <v>11006</v>
      </c>
      <c r="I1324" s="7" t="s">
        <v>11007</v>
      </c>
      <c r="J1324" s="8" t="str">
        <f>HYPERLINK("https://drive.google.com/file/d/10c8BnQ9YA9i70Culy6h_egwaiLp6ITcj/view?usp=drivesdk","IBNU SALEH AMD RAD SERTIFIKAT BerAKHLAK")</f>
        <v>IBNU SALEH AMD RAD SERTIFIKAT BerAKHLAK</v>
      </c>
      <c r="K1324" s="5" t="s">
        <v>10464</v>
      </c>
      <c r="L1324" s="5" t="s">
        <v>11008</v>
      </c>
      <c r="M1324" s="5" t="s">
        <v>11009</v>
      </c>
      <c r="N1324" s="7" t="s">
        <v>11010</v>
      </c>
      <c r="O1324" s="8" t="str">
        <f>HYPERLINK("https://drive.google.com/file/d/1XyJZ2CQhHOBs2TALCFcBTdcS9UpEJa8h/view?usp=drivesdk","1323_IBNU SALEH AMD RAD _ SERTIFIKAT BIMTEK IPASN BerAKHLASK")</f>
        <v>1323_IBNU SALEH AMD RAD _ SERTIFIKAT BIMTEK IPASN BerAKHLASK</v>
      </c>
      <c r="P1324" s="5" t="s">
        <v>10989</v>
      </c>
      <c r="Q1324" s="5"/>
      <c r="R1324" s="5"/>
      <c r="S1324" s="5"/>
      <c r="T1324" s="5"/>
    </row>
    <row r="1325">
      <c r="A1325" s="4">
        <v>45534.33225251157</v>
      </c>
      <c r="B1325" s="5" t="s">
        <v>34</v>
      </c>
      <c r="D1325" s="5" t="s">
        <v>6232</v>
      </c>
      <c r="E1325" s="5" t="s">
        <v>11011</v>
      </c>
      <c r="F1325" s="5" t="s">
        <v>108</v>
      </c>
      <c r="G1325" s="5" t="s">
        <v>11012</v>
      </c>
      <c r="H1325" s="6" t="s">
        <v>11013</v>
      </c>
      <c r="I1325" s="7" t="s">
        <v>11014</v>
      </c>
      <c r="J1325" s="8" t="str">
        <f>HYPERLINK("https://drive.google.com/file/d/1aGyD7_PO0oHWi92HVce5hpaivRkJh2c5/view?usp=drivesdk","dr. DARA NOVEA HUTAGALUNG SERTIFIKAT BerAKHLAK")</f>
        <v>dr. DARA NOVEA HUTAGALUNG SERTIFIKAT BerAKHLAK</v>
      </c>
      <c r="K1325" s="5" t="s">
        <v>10464</v>
      </c>
      <c r="L1325" s="5" t="s">
        <v>11015</v>
      </c>
      <c r="M1325" s="5" t="s">
        <v>11016</v>
      </c>
      <c r="N1325" s="7" t="s">
        <v>11017</v>
      </c>
      <c r="O1325" s="8" t="str">
        <f>HYPERLINK("https://drive.google.com/file/d/1xdin_8Ac-Zsstgj1kET-cJuCstla85wF/view?usp=drivesdk","1324_dr. DARA NOVEA HUTAGALUNG _ SERTIFIKAT BIMTEK IPASN BerAKHLASK")</f>
        <v>1324_dr. DARA NOVEA HUTAGALUNG _ SERTIFIKAT BIMTEK IPASN BerAKHLASK</v>
      </c>
      <c r="P1325" s="5" t="s">
        <v>11018</v>
      </c>
      <c r="Q1325" s="5"/>
      <c r="R1325" s="5"/>
      <c r="S1325" s="5"/>
      <c r="T1325" s="5"/>
    </row>
    <row r="1326">
      <c r="A1326" s="4">
        <v>45534.33225928241</v>
      </c>
      <c r="B1326" s="5" t="s">
        <v>34</v>
      </c>
      <c r="D1326" s="5" t="s">
        <v>1206</v>
      </c>
      <c r="E1326" s="5" t="s">
        <v>11019</v>
      </c>
      <c r="F1326" s="5" t="s">
        <v>375</v>
      </c>
      <c r="G1326" s="5" t="s">
        <v>11020</v>
      </c>
      <c r="H1326" s="6" t="s">
        <v>11021</v>
      </c>
      <c r="I1326" s="7" t="s">
        <v>11022</v>
      </c>
      <c r="J1326" s="8" t="str">
        <f>HYPERLINK("https://drive.google.com/file/d/1OMS2oj1ZxaGGcMn4n4YyAIjL7aixtjN_/view?usp=drivesdk","ARIES FERDHITA HARIAWAN, S.Kom SERTIFIKAT BerAKHLAK")</f>
        <v>ARIES FERDHITA HARIAWAN, S.Kom SERTIFIKAT BerAKHLAK</v>
      </c>
      <c r="K1326" s="5" t="s">
        <v>10486</v>
      </c>
      <c r="L1326" s="5" t="s">
        <v>11023</v>
      </c>
      <c r="M1326" s="5" t="s">
        <v>11024</v>
      </c>
      <c r="N1326" s="7" t="s">
        <v>11025</v>
      </c>
      <c r="O1326" s="8" t="str">
        <f>HYPERLINK("https://drive.google.com/file/d/1M5Wx-YxjGK7sN47s894Y5P1dfwnz1mj6/view?usp=drivesdk","1325_ARIES FERDHITA HARIAWAN, S.Kom _ SERTIFIKAT BIMTEK IPASN BerAKHLASK")</f>
        <v>1325_ARIES FERDHITA HARIAWAN, S.Kom _ SERTIFIKAT BIMTEK IPASN BerAKHLASK</v>
      </c>
      <c r="P1326" s="5" t="s">
        <v>10841</v>
      </c>
      <c r="Q1326" s="5"/>
      <c r="R1326" s="5"/>
      <c r="S1326" s="5"/>
      <c r="T1326" s="5"/>
    </row>
    <row r="1327">
      <c r="A1327" s="4">
        <v>45534.33228033565</v>
      </c>
      <c r="B1327" s="5" t="s">
        <v>34</v>
      </c>
      <c r="D1327" s="5" t="s">
        <v>4775</v>
      </c>
      <c r="E1327" s="5" t="s">
        <v>11026</v>
      </c>
      <c r="F1327" s="5" t="s">
        <v>212</v>
      </c>
      <c r="G1327" s="5" t="s">
        <v>11027</v>
      </c>
      <c r="H1327" s="6" t="s">
        <v>11028</v>
      </c>
      <c r="I1327" s="7" t="s">
        <v>11029</v>
      </c>
      <c r="J1327" s="8" t="str">
        <f>HYPERLINK("https://drive.google.com/file/d/1ZOM1un8uEk3WZbk5CfCz7tiPNTfx8ezG/view?usp=drivesdk","WAHYU TEGUH HENDARTO  SERTIFIKAT BerAKHLAK")</f>
        <v>WAHYU TEGUH HENDARTO  SERTIFIKAT BerAKHLAK</v>
      </c>
      <c r="K1327" s="5" t="s">
        <v>10486</v>
      </c>
      <c r="L1327" s="5" t="s">
        <v>11030</v>
      </c>
      <c r="M1327" s="5" t="s">
        <v>11031</v>
      </c>
      <c r="N1327" s="7" t="s">
        <v>11032</v>
      </c>
      <c r="O1327" s="8" t="str">
        <f>HYPERLINK("https://drive.google.com/file/d/15Ehu2TVyd0cBCnOQ6eekuF4ChQ2witqA/view?usp=drivesdk","1326_WAHYU TEGUH HENDARTO  _ SERTIFIKAT BIMTEK IPASN BerAKHLASK")</f>
        <v>1326_WAHYU TEGUH HENDARTO  _ SERTIFIKAT BIMTEK IPASN BerAKHLASK</v>
      </c>
      <c r="P1327" s="5" t="s">
        <v>10841</v>
      </c>
      <c r="Q1327" s="5"/>
      <c r="R1327" s="5"/>
      <c r="S1327" s="5"/>
      <c r="T1327" s="5"/>
    </row>
    <row r="1328">
      <c r="A1328" s="4">
        <v>45534.332296238426</v>
      </c>
      <c r="B1328" s="5" t="s">
        <v>34</v>
      </c>
      <c r="D1328" s="5" t="s">
        <v>6232</v>
      </c>
      <c r="E1328" s="5" t="s">
        <v>11033</v>
      </c>
      <c r="F1328" s="5" t="s">
        <v>37</v>
      </c>
      <c r="G1328" s="5" t="s">
        <v>11034</v>
      </c>
      <c r="H1328" s="6" t="s">
        <v>11035</v>
      </c>
      <c r="I1328" s="7" t="s">
        <v>11036</v>
      </c>
      <c r="J1328" s="8" t="str">
        <f>HYPERLINK("https://drive.google.com/file/d/19Q9YUS7-3wm-kTwNPbbZMqKScZJ3FKXD/view?usp=drivesdk","AHMAT IRWAN ZUHRI, A. Md. Kep SERTIFIKAT BerAKHLAK")</f>
        <v>AHMAT IRWAN ZUHRI, A. Md. Kep SERTIFIKAT BerAKHLAK</v>
      </c>
      <c r="K1328" s="5" t="s">
        <v>10486</v>
      </c>
      <c r="L1328" s="5" t="s">
        <v>11037</v>
      </c>
      <c r="M1328" s="5" t="s">
        <v>11038</v>
      </c>
      <c r="N1328" s="7" t="s">
        <v>11039</v>
      </c>
      <c r="O1328" s="8" t="str">
        <f>HYPERLINK("https://drive.google.com/file/d/1Im2xN5hZsVGWYiU5lQU_nl-t8TKCcOGs/view?usp=drivesdk","1327_AHMAT IRWAN ZUHRI, A. Md. Kep _ SERTIFIKAT BIMTEK IPASN BerAKHLASK")</f>
        <v>1327_AHMAT IRWAN ZUHRI, A. Md. Kep _ SERTIFIKAT BIMTEK IPASN BerAKHLASK</v>
      </c>
      <c r="P1328" s="5" t="s">
        <v>11040</v>
      </c>
      <c r="Q1328" s="5"/>
      <c r="R1328" s="5"/>
      <c r="S1328" s="5"/>
      <c r="T1328" s="5"/>
    </row>
    <row r="1329">
      <c r="A1329" s="4">
        <v>45534.33229752315</v>
      </c>
      <c r="B1329" s="5" t="s">
        <v>34</v>
      </c>
      <c r="D1329" s="5" t="s">
        <v>1206</v>
      </c>
      <c r="E1329" s="5" t="s">
        <v>11041</v>
      </c>
      <c r="F1329" s="5" t="s">
        <v>212</v>
      </c>
      <c r="G1329" s="5" t="s">
        <v>11042</v>
      </c>
      <c r="H1329" s="6" t="s">
        <v>11043</v>
      </c>
      <c r="I1329" s="7" t="s">
        <v>11044</v>
      </c>
      <c r="J1329" s="8" t="str">
        <f>HYPERLINK("https://drive.google.com/file/d/1UuOZ8I6csio6e55ZOLKFyOp1s8C8BeyR/view?usp=drivesdk","DIAN SUTIARA WAHYUNI, A. Md. Keb. SERTIFIKAT BerAKHLAK")</f>
        <v>DIAN SUTIARA WAHYUNI, A. Md. Keb. SERTIFIKAT BerAKHLAK</v>
      </c>
      <c r="K1329" s="5" t="s">
        <v>10486</v>
      </c>
      <c r="L1329" s="5" t="s">
        <v>11045</v>
      </c>
      <c r="M1329" s="5" t="s">
        <v>11046</v>
      </c>
      <c r="N1329" s="7" t="s">
        <v>11047</v>
      </c>
      <c r="O1329" s="8" t="str">
        <f>HYPERLINK("https://drive.google.com/file/d/1imdcAyVhGpNKRirI60h0YIW4UgrsMFMu/view?usp=drivesdk","1328_DIAN SUTIARA WAHYUNI, A. Md. Keb. _ SERTIFIKAT BIMTEK IPASN BerAKHLASK")</f>
        <v>1328_DIAN SUTIARA WAHYUNI, A. Md. Keb. _ SERTIFIKAT BIMTEK IPASN BerAKHLASK</v>
      </c>
      <c r="P1329" s="5" t="s">
        <v>11040</v>
      </c>
      <c r="Q1329" s="5"/>
      <c r="R1329" s="5"/>
      <c r="S1329" s="5"/>
      <c r="T1329" s="5"/>
    </row>
    <row r="1330">
      <c r="A1330" s="4">
        <v>45534.33230369213</v>
      </c>
      <c r="B1330" s="5" t="s">
        <v>34</v>
      </c>
      <c r="D1330" s="5" t="s">
        <v>35</v>
      </c>
      <c r="E1330" s="5" t="s">
        <v>11048</v>
      </c>
      <c r="F1330" s="5" t="s">
        <v>212</v>
      </c>
      <c r="G1330" s="5" t="s">
        <v>11049</v>
      </c>
      <c r="H1330" s="6" t="s">
        <v>11050</v>
      </c>
      <c r="I1330" s="7" t="s">
        <v>11051</v>
      </c>
      <c r="J1330" s="8" t="str">
        <f>HYPERLINK("https://drive.google.com/file/d/1ppyobx_va1dBBPUwrcsDCdq87IkmNO3z/view?usp=drivesdk","INAH HADIANAH SERTIFIKAT BerAKHLAK")</f>
        <v>INAH HADIANAH SERTIFIKAT BerAKHLAK</v>
      </c>
      <c r="K1330" s="5" t="s">
        <v>10486</v>
      </c>
      <c r="L1330" s="5" t="s">
        <v>11052</v>
      </c>
      <c r="M1330" s="5" t="s">
        <v>11053</v>
      </c>
      <c r="N1330" s="7" t="s">
        <v>11054</v>
      </c>
      <c r="O1330" s="8" t="str">
        <f>HYPERLINK("https://drive.google.com/file/d/1K935Ct-5Y9OsAex_N0lsWTjWzT0Qg73W/view?usp=drivesdk","1329_INAH HADIANAH _ SERTIFIKAT BIMTEK IPASN BerAKHLASK")</f>
        <v>1329_INAH HADIANAH _ SERTIFIKAT BIMTEK IPASN BerAKHLASK</v>
      </c>
      <c r="P1330" s="5" t="s">
        <v>11040</v>
      </c>
      <c r="Q1330" s="5"/>
      <c r="R1330" s="5"/>
      <c r="S1330" s="5"/>
      <c r="T1330" s="5"/>
    </row>
    <row r="1331">
      <c r="A1331" s="4">
        <v>45534.33232236111</v>
      </c>
      <c r="B1331" s="5" t="s">
        <v>34</v>
      </c>
      <c r="D1331" s="5" t="s">
        <v>4775</v>
      </c>
      <c r="E1331" s="5" t="s">
        <v>11055</v>
      </c>
      <c r="F1331" s="5" t="s">
        <v>328</v>
      </c>
      <c r="G1331" s="5" t="s">
        <v>11056</v>
      </c>
      <c r="H1331" s="6" t="s">
        <v>11057</v>
      </c>
      <c r="K1331" s="5" t="s">
        <v>11058</v>
      </c>
      <c r="M1331" s="5" t="s">
        <v>11059</v>
      </c>
      <c r="N1331" s="7" t="s">
        <v>11060</v>
      </c>
      <c r="O1331" s="8" t="str">
        <f>HYPERLINK("https://drive.google.com/file/d/18Y2n94o5-QuMJq8QqHi1norRgdpc_qlA/view?usp=drivesdk","1330_JOKO KUSTONO, ASN _ SERTIFIKAT BIMTEK IPASN BerAKHLASK")</f>
        <v>1330_JOKO KUSTONO, ASN _ SERTIFIKAT BIMTEK IPASN BerAKHLASK</v>
      </c>
      <c r="P1331" s="5" t="s">
        <v>11040</v>
      </c>
      <c r="Q1331" s="5"/>
      <c r="R1331" s="5"/>
      <c r="S1331" s="5"/>
      <c r="T1331" s="5"/>
    </row>
    <row r="1332">
      <c r="A1332" s="4">
        <v>45534.332333819446</v>
      </c>
      <c r="B1332" s="5" t="s">
        <v>34</v>
      </c>
      <c r="D1332" s="5" t="s">
        <v>4775</v>
      </c>
      <c r="E1332" s="5" t="s">
        <v>11061</v>
      </c>
      <c r="F1332" s="5" t="s">
        <v>37</v>
      </c>
      <c r="G1332" s="5" t="s">
        <v>11062</v>
      </c>
      <c r="H1332" s="6" t="s">
        <v>11063</v>
      </c>
      <c r="K1332" s="5" t="s">
        <v>11058</v>
      </c>
      <c r="M1332" s="5" t="s">
        <v>11064</v>
      </c>
      <c r="N1332" s="7" t="s">
        <v>11065</v>
      </c>
      <c r="O1332" s="8" t="str">
        <f>HYPERLINK("https://drive.google.com/file/d/1oq0ldDLUpNvqKFTpD8X553fLTJMPOV31/view?usp=drivesdk","1331_HESTHI RAHMAWATI AMKG _ SERTIFIKAT BIMTEK IPASN BerAKHLASK")</f>
        <v>1331_HESTHI RAHMAWATI AMKG _ SERTIFIKAT BIMTEK IPASN BerAKHLASK</v>
      </c>
      <c r="P1332" s="5" t="s">
        <v>11040</v>
      </c>
      <c r="Q1332" s="5"/>
      <c r="R1332" s="5"/>
      <c r="S1332" s="5"/>
      <c r="T1332" s="5"/>
    </row>
    <row r="1333">
      <c r="A1333" s="4">
        <v>45534.33233538194</v>
      </c>
      <c r="B1333" s="5" t="s">
        <v>34</v>
      </c>
      <c r="D1333" s="5" t="s">
        <v>522</v>
      </c>
      <c r="E1333" s="5" t="s">
        <v>11066</v>
      </c>
      <c r="F1333" s="5" t="s">
        <v>524</v>
      </c>
      <c r="G1333" s="5" t="s">
        <v>11067</v>
      </c>
      <c r="H1333" s="6" t="s">
        <v>11068</v>
      </c>
      <c r="K1333" s="5" t="s">
        <v>11058</v>
      </c>
      <c r="M1333" s="5" t="s">
        <v>11069</v>
      </c>
      <c r="N1333" s="7" t="s">
        <v>11070</v>
      </c>
      <c r="O1333" s="8" t="str">
        <f>HYPERLINK("https://drive.google.com/file/d/1QN-9N5W0mqTBe16OXVpu1AyO2A0I_qh6/view?usp=drivesdk","1332_DEWI ASPARITA _ SERTIFIKAT BIMTEK IPASN BerAKHLASK")</f>
        <v>1332_DEWI ASPARITA _ SERTIFIKAT BIMTEK IPASN BerAKHLASK</v>
      </c>
      <c r="P1333" s="5" t="s">
        <v>11071</v>
      </c>
      <c r="Q1333" s="5"/>
      <c r="R1333" s="5"/>
      <c r="S1333" s="5"/>
      <c r="T1333" s="5"/>
    </row>
    <row r="1334">
      <c r="A1334" s="4">
        <v>45534.33234025463</v>
      </c>
      <c r="B1334" s="5" t="s">
        <v>34</v>
      </c>
      <c r="D1334" s="5" t="s">
        <v>267</v>
      </c>
      <c r="E1334" s="5" t="s">
        <v>11072</v>
      </c>
      <c r="F1334" s="5" t="s">
        <v>37</v>
      </c>
      <c r="G1334" s="5" t="s">
        <v>11073</v>
      </c>
      <c r="H1334" s="6" t="s">
        <v>11074</v>
      </c>
      <c r="K1334" s="5" t="s">
        <v>11058</v>
      </c>
      <c r="M1334" s="5" t="s">
        <v>11075</v>
      </c>
      <c r="N1334" s="7" t="s">
        <v>11076</v>
      </c>
      <c r="O1334" s="8" t="str">
        <f>HYPERLINK("https://drive.google.com/file/d/1qdZXjCTCxqAoQaaZXZ0xkYkSb5KxwdVI/view?usp=drivesdk","1333_SON HANGGA WIJI FATIH, AMD _ SERTIFIKAT BIMTEK IPASN BerAKHLASK")</f>
        <v>1333_SON HANGGA WIJI FATIH, AMD _ SERTIFIKAT BIMTEK IPASN BerAKHLASK</v>
      </c>
      <c r="P1334" s="5" t="s">
        <v>11071</v>
      </c>
      <c r="Q1334" s="5"/>
      <c r="R1334" s="5"/>
      <c r="S1334" s="5"/>
      <c r="T1334" s="5"/>
    </row>
    <row r="1335">
      <c r="A1335" s="4">
        <v>45534.332355</v>
      </c>
      <c r="B1335" s="5" t="s">
        <v>34</v>
      </c>
      <c r="D1335" s="5" t="s">
        <v>280</v>
      </c>
      <c r="E1335" s="5" t="s">
        <v>11077</v>
      </c>
      <c r="F1335" s="5" t="s">
        <v>524</v>
      </c>
      <c r="G1335" s="5" t="s">
        <v>11078</v>
      </c>
      <c r="H1335" s="6" t="s">
        <v>11079</v>
      </c>
      <c r="K1335" s="5" t="s">
        <v>11058</v>
      </c>
      <c r="M1335" s="5" t="s">
        <v>11080</v>
      </c>
      <c r="N1335" s="7" t="s">
        <v>11081</v>
      </c>
      <c r="O1335" s="8" t="str">
        <f>HYPERLINK("https://drive.google.com/file/d/12M5GK78ObmrSEzCBKdZVGHgbyHeJar3s/view?usp=drivesdk","1334_SRI MUSTIKA, A.MD.FARM _ SERTIFIKAT BIMTEK IPASN BerAKHLASK")</f>
        <v>1334_SRI MUSTIKA, A.MD.FARM _ SERTIFIKAT BIMTEK IPASN BerAKHLASK</v>
      </c>
      <c r="P1335" s="5" t="s">
        <v>11071</v>
      </c>
      <c r="Q1335" s="5"/>
      <c r="R1335" s="5"/>
      <c r="S1335" s="5"/>
      <c r="T1335" s="5"/>
    </row>
    <row r="1336">
      <c r="A1336" s="4">
        <v>45534.33235589121</v>
      </c>
      <c r="B1336" s="5" t="s">
        <v>34</v>
      </c>
      <c r="D1336" s="5" t="s">
        <v>4775</v>
      </c>
      <c r="E1336" s="5" t="s">
        <v>11082</v>
      </c>
      <c r="F1336" s="5" t="s">
        <v>108</v>
      </c>
      <c r="G1336" s="5" t="s">
        <v>11083</v>
      </c>
      <c r="H1336" s="6" t="s">
        <v>11084</v>
      </c>
      <c r="K1336" s="5" t="s">
        <v>11058</v>
      </c>
      <c r="M1336" s="5" t="s">
        <v>11085</v>
      </c>
      <c r="N1336" s="7" t="s">
        <v>11086</v>
      </c>
      <c r="O1336" s="8" t="str">
        <f>HYPERLINK("https://drive.google.com/file/d/1NbVd4KmSRbJxxqKWdjimywoZoyD-extS/view?usp=drivesdk","1335_M. TJATUR PRASTYANTO _ SERTIFIKAT BIMTEK IPASN BerAKHLASK")</f>
        <v>1335_M. TJATUR PRASTYANTO _ SERTIFIKAT BIMTEK IPASN BerAKHLASK</v>
      </c>
      <c r="P1336" s="5" t="s">
        <v>11071</v>
      </c>
      <c r="Q1336" s="5"/>
      <c r="R1336" s="5"/>
      <c r="S1336" s="5"/>
      <c r="T1336" s="5"/>
    </row>
    <row r="1337">
      <c r="A1337" s="4">
        <v>45534.332359340275</v>
      </c>
      <c r="B1337" s="5" t="s">
        <v>34</v>
      </c>
      <c r="D1337" s="5" t="s">
        <v>35</v>
      </c>
      <c r="E1337" s="5" t="s">
        <v>11087</v>
      </c>
      <c r="F1337" s="5" t="s">
        <v>524</v>
      </c>
      <c r="G1337" s="5" t="s">
        <v>11088</v>
      </c>
      <c r="H1337" s="6" t="s">
        <v>11089</v>
      </c>
      <c r="K1337" s="5" t="s">
        <v>11058</v>
      </c>
      <c r="M1337" s="5" t="s">
        <v>11090</v>
      </c>
      <c r="N1337" s="7" t="s">
        <v>11091</v>
      </c>
      <c r="O1337" s="8" t="str">
        <f>HYPERLINK("https://drive.google.com/file/d/1AvjlV4kXxn7_AZXuW858cwstnzVOwz5J/view?usp=drivesdk","1336_PENDA RIKA SUGIHARTI.S.Kep.,Ners. _ SERTIFIKAT BIMTEK IPASN BerAKHLASK")</f>
        <v>1336_PENDA RIKA SUGIHARTI.S.Kep.,Ners. _ SERTIFIKAT BIMTEK IPASN BerAKHLASK</v>
      </c>
      <c r="P1337" s="5" t="s">
        <v>11071</v>
      </c>
      <c r="Q1337" s="5"/>
      <c r="R1337" s="5"/>
      <c r="S1337" s="5"/>
      <c r="T1337" s="5"/>
    </row>
    <row r="1338">
      <c r="A1338" s="4">
        <v>45534.33236335649</v>
      </c>
      <c r="B1338" s="5" t="s">
        <v>34</v>
      </c>
      <c r="D1338" s="5" t="s">
        <v>267</v>
      </c>
      <c r="E1338" s="5" t="s">
        <v>11092</v>
      </c>
      <c r="F1338" s="5" t="s">
        <v>37</v>
      </c>
      <c r="G1338" s="5" t="s">
        <v>11093</v>
      </c>
      <c r="H1338" s="6" t="s">
        <v>11094</v>
      </c>
      <c r="K1338" s="5" t="s">
        <v>11058</v>
      </c>
      <c r="M1338" s="5" t="s">
        <v>11095</v>
      </c>
      <c r="N1338" s="7" t="s">
        <v>11096</v>
      </c>
      <c r="O1338" s="8" t="str">
        <f>HYPERLINK("https://drive.google.com/file/d/15s6aetxiXeK9ZlhydeJVayJJF0NbCAWU/view?usp=drivesdk","1337_ANNISA FRANKY WAHYUNINGDYAH _ SERTIFIKAT BIMTEK IPASN BerAKHLASK")</f>
        <v>1337_ANNISA FRANKY WAHYUNINGDYAH _ SERTIFIKAT BIMTEK IPASN BerAKHLASK</v>
      </c>
      <c r="P1338" s="5" t="s">
        <v>11097</v>
      </c>
      <c r="Q1338" s="5"/>
      <c r="R1338" s="5"/>
      <c r="S1338" s="5"/>
      <c r="T1338" s="5"/>
    </row>
    <row r="1339">
      <c r="A1339" s="4">
        <v>45534.33236476852</v>
      </c>
      <c r="B1339" s="5" t="s">
        <v>34</v>
      </c>
      <c r="D1339" s="5" t="s">
        <v>1206</v>
      </c>
      <c r="E1339" s="5" t="s">
        <v>11098</v>
      </c>
      <c r="F1339" s="5" t="s">
        <v>37</v>
      </c>
      <c r="G1339" s="5" t="s">
        <v>11099</v>
      </c>
      <c r="H1339" s="6" t="s">
        <v>11100</v>
      </c>
      <c r="K1339" s="5" t="s">
        <v>11058</v>
      </c>
      <c r="M1339" s="5" t="s">
        <v>11101</v>
      </c>
      <c r="N1339" s="7" t="s">
        <v>11102</v>
      </c>
      <c r="O1339" s="8" t="str">
        <f>HYPERLINK("https://drive.google.com/file/d/1OiO_j3CSP_L3mGMNFrf6xCbKr_G1ZfrK/view?usp=drivesdk","1338_MOKHAMAD ARIFIN _ SERTIFIKAT BIMTEK IPASN BerAKHLASK")</f>
        <v>1338_MOKHAMAD ARIFIN _ SERTIFIKAT BIMTEK IPASN BerAKHLASK</v>
      </c>
      <c r="P1339" s="5" t="s">
        <v>11097</v>
      </c>
      <c r="Q1339" s="5"/>
      <c r="R1339" s="5"/>
      <c r="S1339" s="5"/>
      <c r="T1339" s="5"/>
    </row>
    <row r="1340" hidden="1">
      <c r="A1340" s="4">
        <v>45534.33239560185</v>
      </c>
      <c r="B1340" s="5" t="s">
        <v>19</v>
      </c>
      <c r="C1340" s="5" t="s">
        <v>292</v>
      </c>
      <c r="E1340" s="5" t="s">
        <v>11103</v>
      </c>
      <c r="F1340" s="5" t="s">
        <v>375</v>
      </c>
      <c r="G1340" s="5" t="s">
        <v>11104</v>
      </c>
      <c r="H1340" s="6" t="s">
        <v>11105</v>
      </c>
      <c r="I1340" s="7" t="s">
        <v>11106</v>
      </c>
      <c r="J1340" s="8" t="str">
        <f>HYPERLINK("https://drive.google.com/file/d/1kcjBBRzspgzPyno6C_WijCjuIapdU7p9/view?usp=drivesdk","RUKRUK RUKMINI, S.Pd., M.M. SERTIFIKAT BerAKHLAK")</f>
        <v>RUKRUK RUKMINI, S.Pd., M.M. SERTIFIKAT BerAKHLAK</v>
      </c>
      <c r="K1340" s="5" t="s">
        <v>10440</v>
      </c>
      <c r="L1340" s="5" t="s">
        <v>11107</v>
      </c>
      <c r="M1340" s="5" t="s">
        <v>11108</v>
      </c>
      <c r="N1340" s="7" t="s">
        <v>11109</v>
      </c>
      <c r="O1340" s="8" t="str">
        <f>HYPERLINK("https://drive.google.com/file/d/1rRr-2m8KdVVbisPRgr42IerCkKg56CV9/view?usp=drivesdk","1339_RUKRUK RUKMINI, S.Pd., M.M. _ SERTIFIKAT BIMTEK IPASN BerAKHLASK")</f>
        <v>1339_RUKRUK RUKMINI, S.Pd., M.M. _ SERTIFIKAT BIMTEK IPASN BerAKHLASK</v>
      </c>
      <c r="P1340" s="5" t="s">
        <v>11097</v>
      </c>
      <c r="Q1340" s="5"/>
      <c r="R1340" s="5"/>
      <c r="S1340" s="5"/>
      <c r="T1340" s="5"/>
    </row>
    <row r="1341">
      <c r="A1341" s="4">
        <v>45534.33241809028</v>
      </c>
      <c r="B1341" s="5" t="s">
        <v>34</v>
      </c>
      <c r="D1341" s="5" t="s">
        <v>4775</v>
      </c>
      <c r="E1341" s="5" t="s">
        <v>11110</v>
      </c>
      <c r="F1341" s="5" t="s">
        <v>108</v>
      </c>
      <c r="G1341" s="5" t="s">
        <v>11111</v>
      </c>
      <c r="H1341" s="6" t="s">
        <v>11112</v>
      </c>
      <c r="I1341" s="7" t="s">
        <v>11113</v>
      </c>
      <c r="J1341" s="8" t="str">
        <f>HYPERLINK("https://drive.google.com/file/d/1AMPXdFszZyRM8R2q_Ym9P55SHWQjb7Zp/view?usp=drivesdk","RICKI RIYANTO, AMD SERTIFIKAT BerAKHLAK")</f>
        <v>RICKI RIYANTO, AMD SERTIFIKAT BerAKHLAK</v>
      </c>
      <c r="K1341" s="5" t="s">
        <v>10440</v>
      </c>
      <c r="L1341" s="5" t="s">
        <v>11114</v>
      </c>
      <c r="M1341" s="5" t="s">
        <v>11115</v>
      </c>
      <c r="N1341" s="7" t="s">
        <v>11116</v>
      </c>
      <c r="O1341" s="8" t="str">
        <f>HYPERLINK("https://drive.google.com/file/d/1Zo0WRLgdiy_TmjHxSYtlUVtz-nZDhL8X/view?usp=drivesdk","1340_RICKI RIYANTO, AMD _ SERTIFIKAT BIMTEK IPASN BerAKHLASK")</f>
        <v>1340_RICKI RIYANTO, AMD _ SERTIFIKAT BIMTEK IPASN BerAKHLASK</v>
      </c>
      <c r="P1341" s="5" t="s">
        <v>11097</v>
      </c>
      <c r="Q1341" s="5"/>
      <c r="R1341" s="5"/>
      <c r="S1341" s="5"/>
      <c r="T1341" s="5"/>
    </row>
    <row r="1342">
      <c r="A1342" s="4">
        <v>45534.33242222222</v>
      </c>
      <c r="B1342" s="5" t="s">
        <v>34</v>
      </c>
      <c r="D1342" s="5" t="s">
        <v>6232</v>
      </c>
      <c r="E1342" s="5" t="s">
        <v>11117</v>
      </c>
      <c r="F1342" s="5" t="s">
        <v>120</v>
      </c>
      <c r="G1342" s="5" t="s">
        <v>11118</v>
      </c>
      <c r="H1342" s="6" t="s">
        <v>11119</v>
      </c>
      <c r="I1342" s="7" t="s">
        <v>11120</v>
      </c>
      <c r="J1342" s="8" t="str">
        <f>HYPERLINK("https://drive.google.com/file/d/13-zk6-zCfTYPjMWCj-5waTlXDsEM-ch0/view?usp=drivesdk","DIAN EKAWATI, S.H. SERTIFIKAT BerAKHLAK")</f>
        <v>DIAN EKAWATI, S.H. SERTIFIKAT BerAKHLAK</v>
      </c>
      <c r="K1342" s="5" t="s">
        <v>10464</v>
      </c>
      <c r="L1342" s="5" t="s">
        <v>11121</v>
      </c>
      <c r="M1342" s="5" t="s">
        <v>11122</v>
      </c>
      <c r="N1342" s="7" t="s">
        <v>11123</v>
      </c>
      <c r="O1342" s="8" t="str">
        <f>HYPERLINK("https://drive.google.com/file/d/1qzQ1RFMKUKvgAO5dIVnyyPwIgYHuMwDr/view?usp=drivesdk","1341_DIAN EKAWATI, S.H. _ SERTIFIKAT BIMTEK IPASN BerAKHLASK")</f>
        <v>1341_DIAN EKAWATI, S.H. _ SERTIFIKAT BIMTEK IPASN BerAKHLASK</v>
      </c>
      <c r="P1342" s="5" t="s">
        <v>11097</v>
      </c>
      <c r="Q1342" s="5"/>
      <c r="R1342" s="5"/>
      <c r="S1342" s="5"/>
      <c r="T1342" s="5"/>
    </row>
    <row r="1343">
      <c r="A1343" s="4">
        <v>45534.33243466435</v>
      </c>
      <c r="B1343" s="5" t="s">
        <v>34</v>
      </c>
      <c r="D1343" s="5" t="s">
        <v>9020</v>
      </c>
      <c r="E1343" s="5" t="s">
        <v>11124</v>
      </c>
      <c r="F1343" s="5" t="s">
        <v>375</v>
      </c>
      <c r="G1343" s="5" t="s">
        <v>11125</v>
      </c>
      <c r="H1343" s="6" t="s">
        <v>11126</v>
      </c>
      <c r="I1343" s="7" t="s">
        <v>11127</v>
      </c>
      <c r="J1343" s="8" t="str">
        <f>HYPERLINK("https://drive.google.com/file/d/1Zy59YDtx7--vjmUQrcMB_A42atXHoGrs/view?usp=drivesdk","NUTSYAWALINDA SIREGAR SERTIFIKAT BerAKHLAK")</f>
        <v>NUTSYAWALINDA SIREGAR SERTIFIKAT BerAKHLAK</v>
      </c>
      <c r="K1343" s="5" t="s">
        <v>10440</v>
      </c>
      <c r="L1343" s="5" t="s">
        <v>11128</v>
      </c>
      <c r="M1343" s="5" t="s">
        <v>11129</v>
      </c>
      <c r="N1343" s="7" t="s">
        <v>11130</v>
      </c>
      <c r="O1343" s="8" t="str">
        <f>HYPERLINK("https://drive.google.com/file/d/1240m0AfNnbTdhd3aTWd834pd_9KA_zCk/view?usp=drivesdk","1342_NUTSYAWALINDA SIREGAR _ SERTIFIKAT BIMTEK IPASN BerAKHLASK")</f>
        <v>1342_NUTSYAWALINDA SIREGAR _ SERTIFIKAT BIMTEK IPASN BerAKHLASK</v>
      </c>
      <c r="P1343" s="5" t="s">
        <v>11131</v>
      </c>
      <c r="Q1343" s="5"/>
      <c r="R1343" s="5"/>
      <c r="S1343" s="5"/>
      <c r="T1343" s="5"/>
    </row>
    <row r="1344">
      <c r="A1344" s="4">
        <v>45534.33245555556</v>
      </c>
      <c r="B1344" s="5" t="s">
        <v>34</v>
      </c>
      <c r="D1344" s="5" t="s">
        <v>1206</v>
      </c>
      <c r="E1344" s="5" t="s">
        <v>11132</v>
      </c>
      <c r="F1344" s="5" t="s">
        <v>37</v>
      </c>
      <c r="G1344" s="5" t="s">
        <v>11133</v>
      </c>
      <c r="H1344" s="6" t="s">
        <v>11134</v>
      </c>
      <c r="I1344" s="7" t="s">
        <v>11135</v>
      </c>
      <c r="J1344" s="8" t="str">
        <f>HYPERLINK("https://drive.google.com/file/d/1IFpRHp4dIZlbv1psoGLzT6V32Fbj1Waa/view?usp=drivesdk","EDY SUSIANTOO SERTIFIKAT BerAKHLAK")</f>
        <v>EDY SUSIANTOO SERTIFIKAT BerAKHLAK</v>
      </c>
      <c r="K1344" s="5" t="s">
        <v>10464</v>
      </c>
      <c r="L1344" s="5" t="s">
        <v>11136</v>
      </c>
      <c r="M1344" s="5" t="s">
        <v>11137</v>
      </c>
      <c r="N1344" s="7" t="s">
        <v>11138</v>
      </c>
      <c r="O1344" s="8" t="str">
        <f>HYPERLINK("https://drive.google.com/file/d/1jIt-WBbCiBVbZ61VTQ05086OK1X2ke0N/view?usp=drivesdk","1343_EDY SUSIANTOO _ SERTIFIKAT BIMTEK IPASN BerAKHLASK")</f>
        <v>1343_EDY SUSIANTOO _ SERTIFIKAT BIMTEK IPASN BerAKHLASK</v>
      </c>
      <c r="P1344" s="5" t="s">
        <v>11131</v>
      </c>
      <c r="Q1344" s="5"/>
      <c r="R1344" s="5"/>
      <c r="S1344" s="5"/>
      <c r="T1344" s="5"/>
    </row>
    <row r="1345">
      <c r="A1345" s="4">
        <v>45534.33246554398</v>
      </c>
      <c r="B1345" s="5" t="s">
        <v>34</v>
      </c>
      <c r="D1345" s="5" t="s">
        <v>4775</v>
      </c>
      <c r="E1345" s="5" t="s">
        <v>11139</v>
      </c>
      <c r="F1345" s="5" t="s">
        <v>212</v>
      </c>
      <c r="G1345" s="5" t="s">
        <v>11140</v>
      </c>
      <c r="H1345" s="6" t="s">
        <v>11141</v>
      </c>
      <c r="I1345" s="7" t="s">
        <v>11142</v>
      </c>
      <c r="J1345" s="8" t="str">
        <f>HYPERLINK("https://drive.google.com/file/d/1YOWr0nkWNNA7-DpDqRS08B5bG01b2e7a/view?usp=drivesdk","YUSTINA SUDARMI SERTIFIKAT BerAKHLAK")</f>
        <v>YUSTINA SUDARMI SERTIFIKAT BerAKHLAK</v>
      </c>
      <c r="K1345" s="5" t="s">
        <v>10464</v>
      </c>
      <c r="L1345" s="5" t="s">
        <v>11143</v>
      </c>
      <c r="M1345" s="5" t="s">
        <v>11144</v>
      </c>
      <c r="N1345" s="7" t="s">
        <v>11145</v>
      </c>
      <c r="O1345" s="8" t="str">
        <f>HYPERLINK("https://drive.google.com/file/d/1iFoTcc8ZdC0eU1c7h9hRPhRvtMWVV7NG/view?usp=drivesdk","1344_YUSTINA SUDARMI _ SERTIFIKAT BIMTEK IPASN BerAKHLASK")</f>
        <v>1344_YUSTINA SUDARMI _ SERTIFIKAT BIMTEK IPASN BerAKHLASK</v>
      </c>
      <c r="P1345" s="5" t="s">
        <v>11131</v>
      </c>
      <c r="Q1345" s="5"/>
      <c r="R1345" s="5"/>
      <c r="S1345" s="5"/>
      <c r="T1345" s="5"/>
    </row>
    <row r="1346">
      <c r="A1346" s="4">
        <v>45534.33246635417</v>
      </c>
      <c r="B1346" s="5" t="s">
        <v>34</v>
      </c>
      <c r="D1346" s="5" t="s">
        <v>267</v>
      </c>
      <c r="E1346" s="5" t="s">
        <v>11146</v>
      </c>
      <c r="F1346" s="5" t="s">
        <v>524</v>
      </c>
      <c r="G1346" s="5" t="s">
        <v>11147</v>
      </c>
      <c r="H1346" s="6" t="s">
        <v>11148</v>
      </c>
      <c r="I1346" s="7" t="s">
        <v>11149</v>
      </c>
      <c r="J1346" s="8" t="str">
        <f>HYPERLINK("https://drive.google.com/file/d/1uO54HqUVnPk08nTkfyluXEc5oljjGr06/view?usp=drivesdk","HASTOKO SUKMO WIDODO SERTIFIKAT BerAKHLAK")</f>
        <v>HASTOKO SUKMO WIDODO SERTIFIKAT BerAKHLAK</v>
      </c>
      <c r="K1346" s="5" t="s">
        <v>10464</v>
      </c>
      <c r="L1346" s="5" t="s">
        <v>11150</v>
      </c>
      <c r="M1346" s="5" t="s">
        <v>11151</v>
      </c>
      <c r="N1346" s="7" t="s">
        <v>11152</v>
      </c>
      <c r="O1346" s="8" t="str">
        <f>HYPERLINK("https://drive.google.com/file/d/15X8Ovh7tVoR82p-ZvmV29tQeRnZ2VG-D/view?usp=drivesdk","1345_HASTOKO SUKMO WIDODO _ SERTIFIKAT BIMTEK IPASN BerAKHLASK")</f>
        <v>1345_HASTOKO SUKMO WIDODO _ SERTIFIKAT BIMTEK IPASN BerAKHLASK</v>
      </c>
      <c r="P1346" s="5" t="s">
        <v>11131</v>
      </c>
      <c r="Q1346" s="5"/>
      <c r="R1346" s="5"/>
      <c r="S1346" s="5"/>
      <c r="T1346" s="5"/>
    </row>
    <row r="1347">
      <c r="A1347" s="4">
        <v>45534.332477199074</v>
      </c>
      <c r="B1347" s="5" t="s">
        <v>34</v>
      </c>
      <c r="D1347" s="5" t="s">
        <v>1206</v>
      </c>
      <c r="E1347" s="5" t="s">
        <v>11153</v>
      </c>
      <c r="F1347" s="5" t="s">
        <v>328</v>
      </c>
      <c r="G1347" s="5" t="s">
        <v>11154</v>
      </c>
      <c r="H1347" s="6" t="s">
        <v>11155</v>
      </c>
      <c r="I1347" s="7" t="s">
        <v>11156</v>
      </c>
      <c r="J1347" s="8" t="str">
        <f>HYPERLINK("https://drive.google.com/file/d/1oR8JukP_Bvk8k-xfnx9KbvSuLKVtf7GG/view?usp=drivesdk","MUHAMMAD MUNDIR SERTIFIKAT BerAKHLAK")</f>
        <v>MUHAMMAD MUNDIR SERTIFIKAT BerAKHLAK</v>
      </c>
      <c r="K1347" s="5" t="s">
        <v>10464</v>
      </c>
      <c r="L1347" s="5" t="s">
        <v>11157</v>
      </c>
      <c r="M1347" s="5" t="s">
        <v>11158</v>
      </c>
      <c r="N1347" s="7" t="s">
        <v>11159</v>
      </c>
      <c r="O1347" s="8" t="str">
        <f>HYPERLINK("https://drive.google.com/file/d/1RivRItA_VylbgphtXBzagUIRxbI8e42i/view?usp=drivesdk","1346_MUHAMMAD MUNDIR _ SERTIFIKAT BIMTEK IPASN BerAKHLASK")</f>
        <v>1346_MUHAMMAD MUNDIR _ SERTIFIKAT BIMTEK IPASN BerAKHLASK</v>
      </c>
      <c r="P1347" s="5" t="s">
        <v>11131</v>
      </c>
      <c r="Q1347" s="5"/>
      <c r="R1347" s="5"/>
      <c r="S1347" s="5"/>
      <c r="T1347" s="5"/>
    </row>
    <row r="1348">
      <c r="A1348" s="4">
        <v>45534.33248265046</v>
      </c>
      <c r="B1348" s="5" t="s">
        <v>34</v>
      </c>
      <c r="D1348" s="5" t="s">
        <v>9020</v>
      </c>
      <c r="E1348" s="5" t="s">
        <v>11160</v>
      </c>
      <c r="F1348" s="5" t="s">
        <v>212</v>
      </c>
      <c r="G1348" s="5" t="s">
        <v>11161</v>
      </c>
      <c r="H1348" s="6" t="s">
        <v>11162</v>
      </c>
      <c r="I1348" s="7" t="s">
        <v>11163</v>
      </c>
      <c r="J1348" s="8" t="str">
        <f>HYPERLINK("https://drive.google.com/file/d/1yUZReyfXdkQhBupnbstaQVcptW_1hKTp/view?usp=drivesdk","YUNISOKHI MENDROFA SERTIFIKAT BerAKHLAK")</f>
        <v>YUNISOKHI MENDROFA SERTIFIKAT BerAKHLAK</v>
      </c>
      <c r="K1348" s="5" t="s">
        <v>10486</v>
      </c>
      <c r="L1348" s="5" t="s">
        <v>11164</v>
      </c>
      <c r="M1348" s="5" t="s">
        <v>11165</v>
      </c>
      <c r="N1348" s="7" t="s">
        <v>11166</v>
      </c>
      <c r="O1348" s="8" t="str">
        <f>HYPERLINK("https://drive.google.com/file/d/1fcp7F9hqMit7F_xJUZu_oaQtRqNvamyw/view?usp=drivesdk","1347_YUNISOKHI MENDROFA _ SERTIFIKAT BIMTEK IPASN BerAKHLASK")</f>
        <v>1347_YUNISOKHI MENDROFA _ SERTIFIKAT BIMTEK IPASN BerAKHLASK</v>
      </c>
      <c r="P1348" s="5" t="s">
        <v>11131</v>
      </c>
      <c r="Q1348" s="5"/>
      <c r="R1348" s="5"/>
      <c r="S1348" s="5"/>
      <c r="T1348" s="5"/>
    </row>
    <row r="1349">
      <c r="A1349" s="4">
        <v>45534.33248971065</v>
      </c>
      <c r="B1349" s="5" t="s">
        <v>34</v>
      </c>
      <c r="D1349" s="5" t="s">
        <v>4775</v>
      </c>
      <c r="E1349" s="5" t="s">
        <v>11167</v>
      </c>
      <c r="F1349" s="5" t="s">
        <v>120</v>
      </c>
      <c r="G1349" s="5" t="s">
        <v>11168</v>
      </c>
      <c r="H1349" s="6" t="s">
        <v>11169</v>
      </c>
      <c r="I1349" s="7" t="s">
        <v>11170</v>
      </c>
      <c r="J1349" s="8" t="str">
        <f>HYPERLINK("https://drive.google.com/file/d/14_gFT8npch741m8PNBVSqcMWUxo35BS_/view?usp=drivesdk","EDI RIYANTO, S.KOM, M.Si SERTIFIKAT BerAKHLAK")</f>
        <v>EDI RIYANTO, S.KOM, M.Si SERTIFIKAT BerAKHLAK</v>
      </c>
      <c r="K1349" s="5" t="s">
        <v>10486</v>
      </c>
      <c r="L1349" s="5" t="s">
        <v>11171</v>
      </c>
      <c r="M1349" s="5" t="s">
        <v>11172</v>
      </c>
      <c r="N1349" s="7" t="s">
        <v>11173</v>
      </c>
      <c r="O1349" s="8" t="str">
        <f>HYPERLINK("https://drive.google.com/file/d/1DOAQlioT3-lrHBOKgweu6lsGJyVhQRuz/view?usp=drivesdk","1348_EDI RIYANTO, S.KOM, M.Si _ SERTIFIKAT BIMTEK IPASN BerAKHLASK")</f>
        <v>1348_EDI RIYANTO, S.KOM, M.Si _ SERTIFIKAT BIMTEK IPASN BerAKHLASK</v>
      </c>
      <c r="P1349" s="5" t="s">
        <v>11174</v>
      </c>
      <c r="Q1349" s="5"/>
      <c r="R1349" s="5"/>
      <c r="S1349" s="5"/>
      <c r="T1349" s="5"/>
    </row>
    <row r="1350">
      <c r="A1350" s="4">
        <v>45534.33249716435</v>
      </c>
      <c r="B1350" s="5" t="s">
        <v>34</v>
      </c>
      <c r="D1350" s="5" t="s">
        <v>6232</v>
      </c>
      <c r="E1350" s="5" t="s">
        <v>11175</v>
      </c>
      <c r="F1350" s="5" t="s">
        <v>72</v>
      </c>
      <c r="G1350" s="5" t="s">
        <v>11176</v>
      </c>
      <c r="H1350" s="6" t="s">
        <v>11177</v>
      </c>
      <c r="I1350" s="7" t="s">
        <v>11178</v>
      </c>
      <c r="J1350" s="8" t="str">
        <f>HYPERLINK("https://drive.google.com/file/d/1u_IwjQSs8lzKeX4p_4wGUvLJ-7pKILWv/view?usp=drivesdk","NANANG SUPRIATNA. S.KOM SERTIFIKAT BerAKHLAK")</f>
        <v>NANANG SUPRIATNA. S.KOM SERTIFIKAT BerAKHLAK</v>
      </c>
      <c r="K1350" s="5" t="s">
        <v>10486</v>
      </c>
      <c r="L1350" s="5" t="s">
        <v>11179</v>
      </c>
      <c r="M1350" s="5" t="s">
        <v>11180</v>
      </c>
      <c r="N1350" s="7" t="s">
        <v>11181</v>
      </c>
      <c r="O1350" s="8" t="str">
        <f>HYPERLINK("https://drive.google.com/file/d/1hjXJeRDQsjqhkLVMJJzFiHc6N1FsAXbl/view?usp=drivesdk","1349_NANANG SUPRIATNA. S.KOM _ SERTIFIKAT BIMTEK IPASN BerAKHLASK")</f>
        <v>1349_NANANG SUPRIATNA. S.KOM _ SERTIFIKAT BIMTEK IPASN BerAKHLASK</v>
      </c>
      <c r="P1350" s="5" t="s">
        <v>11174</v>
      </c>
      <c r="Q1350" s="5"/>
      <c r="R1350" s="5"/>
      <c r="S1350" s="5"/>
      <c r="T1350" s="5"/>
    </row>
    <row r="1351">
      <c r="A1351" s="4">
        <v>45534.33251806713</v>
      </c>
      <c r="B1351" s="5" t="s">
        <v>34</v>
      </c>
      <c r="D1351" s="5" t="s">
        <v>35</v>
      </c>
      <c r="E1351" s="5" t="s">
        <v>11182</v>
      </c>
      <c r="F1351" s="5" t="s">
        <v>375</v>
      </c>
      <c r="G1351" s="5" t="s">
        <v>11183</v>
      </c>
      <c r="H1351" s="6" t="s">
        <v>11184</v>
      </c>
      <c r="I1351" s="7" t="s">
        <v>11185</v>
      </c>
      <c r="J1351" s="8" t="str">
        <f>HYPERLINK("https://drive.google.com/file/d/11boDsGLkqmrn1WS_W0IgEJ6GCmmf_Ru1/view?usp=drivesdk","DEDE SYAEFUL ROHMAN SERTIFIKAT BerAKHLAK")</f>
        <v>DEDE SYAEFUL ROHMAN SERTIFIKAT BerAKHLAK</v>
      </c>
      <c r="K1351" s="5" t="s">
        <v>10464</v>
      </c>
      <c r="L1351" s="5" t="s">
        <v>11186</v>
      </c>
      <c r="M1351" s="5" t="s">
        <v>11187</v>
      </c>
      <c r="N1351" s="7" t="s">
        <v>11188</v>
      </c>
      <c r="O1351" s="8" t="str">
        <f>HYPERLINK("https://drive.google.com/file/d/1m52UIoqQsiNN52oAMrtEKbqVjdfUtdyE/view?usp=drivesdk","1350_DEDE SYAEFUL ROHMAN _ SERTIFIKAT BIMTEK IPASN BerAKHLASK")</f>
        <v>1350_DEDE SYAEFUL ROHMAN _ SERTIFIKAT BIMTEK IPASN BerAKHLASK</v>
      </c>
      <c r="P1351" s="5" t="s">
        <v>11174</v>
      </c>
      <c r="Q1351" s="5"/>
      <c r="R1351" s="5"/>
      <c r="S1351" s="5"/>
      <c r="T1351" s="5"/>
    </row>
    <row r="1352">
      <c r="A1352" s="4">
        <v>45534.332523749996</v>
      </c>
      <c r="B1352" s="5" t="s">
        <v>34</v>
      </c>
      <c r="D1352" s="5" t="s">
        <v>1206</v>
      </c>
      <c r="E1352" s="5" t="s">
        <v>11189</v>
      </c>
      <c r="F1352" s="5" t="s">
        <v>37</v>
      </c>
      <c r="G1352" s="5" t="s">
        <v>11190</v>
      </c>
      <c r="H1352" s="6" t="s">
        <v>11191</v>
      </c>
      <c r="I1352" s="7" t="s">
        <v>11192</v>
      </c>
      <c r="J1352" s="8" t="str">
        <f>HYPERLINK("https://drive.google.com/file/d/1bCksTun7Ino0Rpe_0OMnYiMyZomxVU6O/view?usp=drivesdk","RENY PUSPITA SARI,AMD.FARM SERTIFIKAT BerAKHLAK")</f>
        <v>RENY PUSPITA SARI,AMD.FARM SERTIFIKAT BerAKHLAK</v>
      </c>
      <c r="K1352" s="5" t="s">
        <v>10464</v>
      </c>
      <c r="L1352" s="5" t="s">
        <v>11193</v>
      </c>
      <c r="M1352" s="5" t="s">
        <v>11194</v>
      </c>
      <c r="N1352" s="7" t="s">
        <v>11195</v>
      </c>
      <c r="O1352" s="8" t="str">
        <f>HYPERLINK("https://drive.google.com/file/d/1O_KQila3GkyAe2UC4a77b7bQG0HSntzx/view?usp=drivesdk","1351_RENY PUSPITA SARI,AMD.FARM _ SERTIFIKAT BIMTEK IPASN BerAKHLASK")</f>
        <v>1351_RENY PUSPITA SARI,AMD.FARM _ SERTIFIKAT BIMTEK IPASN BerAKHLASK</v>
      </c>
      <c r="P1352" s="5" t="s">
        <v>11174</v>
      </c>
      <c r="Q1352" s="5"/>
      <c r="R1352" s="5"/>
      <c r="S1352" s="5"/>
      <c r="T1352" s="5"/>
    </row>
    <row r="1353" hidden="1">
      <c r="A1353" s="4">
        <v>45534.332528865736</v>
      </c>
      <c r="B1353" s="5" t="s">
        <v>19</v>
      </c>
      <c r="C1353" s="5" t="s">
        <v>3301</v>
      </c>
      <c r="E1353" s="5" t="s">
        <v>11196</v>
      </c>
      <c r="F1353" s="5" t="s">
        <v>72</v>
      </c>
      <c r="G1353" s="5" t="s">
        <v>11197</v>
      </c>
      <c r="H1353" s="6" t="s">
        <v>11198</v>
      </c>
      <c r="I1353" s="7" t="s">
        <v>11199</v>
      </c>
      <c r="J1353" s="8" t="str">
        <f>HYPERLINK("https://drive.google.com/file/d/1AQ4-R0HMJmjV26-S__SeWnQYp3MY7al6/view?usp=drivesdk","PUJI HASTUTININGSIH, Amd. Keb SERTIFIKAT BerAKHLAK")</f>
        <v>PUJI HASTUTININGSIH, Amd. Keb SERTIFIKAT BerAKHLAK</v>
      </c>
      <c r="K1353" s="5" t="s">
        <v>10464</v>
      </c>
      <c r="L1353" s="5" t="s">
        <v>11200</v>
      </c>
      <c r="M1353" s="5" t="s">
        <v>11201</v>
      </c>
      <c r="N1353" s="7" t="s">
        <v>11202</v>
      </c>
      <c r="O1353" s="8" t="str">
        <f>HYPERLINK("https://drive.google.com/file/d/1mv0oyQ1DPC_Zp5aqI1F5iNKj44n-BI35/view?usp=drivesdk","1352_PUJI HASTUTININGSIH, Amd. Keb _ SERTIFIKAT BIMTEK IPASN BerAKHLASK")</f>
        <v>1352_PUJI HASTUTININGSIH, Amd. Keb _ SERTIFIKAT BIMTEK IPASN BerAKHLASK</v>
      </c>
      <c r="P1353" s="5" t="s">
        <v>11174</v>
      </c>
      <c r="Q1353" s="5"/>
      <c r="R1353" s="5"/>
      <c r="S1353" s="5"/>
      <c r="T1353" s="5"/>
    </row>
    <row r="1354">
      <c r="A1354" s="4">
        <v>45534.3325346875</v>
      </c>
      <c r="B1354" s="5" t="s">
        <v>34</v>
      </c>
      <c r="D1354" s="5" t="s">
        <v>6232</v>
      </c>
      <c r="E1354" s="5" t="s">
        <v>11203</v>
      </c>
      <c r="F1354" s="5" t="s">
        <v>108</v>
      </c>
      <c r="G1354" s="5" t="s">
        <v>11204</v>
      </c>
      <c r="H1354" s="6" t="s">
        <v>11205</v>
      </c>
      <c r="I1354" s="7" t="s">
        <v>11206</v>
      </c>
      <c r="J1354" s="8" t="str">
        <f>HYPERLINK("https://drive.google.com/file/d/1z-bKrom3VBicPPHg05IcSHI7Ytz4gll7/view?usp=drivesdk","HERLI MURTIKA WATI, S.PD. SERTIFIKAT BerAKHLAK")</f>
        <v>HERLI MURTIKA WATI, S.PD. SERTIFIKAT BerAKHLAK</v>
      </c>
      <c r="K1354" s="5" t="s">
        <v>10464</v>
      </c>
      <c r="L1354" s="5" t="s">
        <v>11207</v>
      </c>
      <c r="M1354" s="5" t="s">
        <v>11208</v>
      </c>
      <c r="N1354" s="7" t="s">
        <v>11209</v>
      </c>
      <c r="O1354" s="8" t="str">
        <f>HYPERLINK("https://drive.google.com/file/d/1KSh2IBcIrq8irzbmGOTqn8Ng3cW9-iCB/view?usp=drivesdk","1353_HERLI MURTIKA WATI, S.PD. _ SERTIFIKAT BIMTEK IPASN BerAKHLASK")</f>
        <v>1353_HERLI MURTIKA WATI, S.PD. _ SERTIFIKAT BIMTEK IPASN BerAKHLASK</v>
      </c>
      <c r="P1354" s="5" t="s">
        <v>11210</v>
      </c>
      <c r="Q1354" s="5"/>
      <c r="R1354" s="5"/>
      <c r="S1354" s="5"/>
      <c r="T1354" s="5"/>
    </row>
    <row r="1355">
      <c r="A1355" s="4">
        <v>45534.33254047454</v>
      </c>
      <c r="B1355" s="5" t="s">
        <v>34</v>
      </c>
      <c r="D1355" s="5" t="s">
        <v>35</v>
      </c>
      <c r="E1355" s="5" t="s">
        <v>11211</v>
      </c>
      <c r="F1355" s="5" t="s">
        <v>37</v>
      </c>
      <c r="G1355" s="5" t="s">
        <v>11212</v>
      </c>
      <c r="H1355" s="6" t="s">
        <v>11213</v>
      </c>
      <c r="K1355" s="5" t="s">
        <v>11214</v>
      </c>
      <c r="M1355" s="5" t="s">
        <v>11215</v>
      </c>
      <c r="N1355" s="7" t="s">
        <v>11216</v>
      </c>
      <c r="O1355" s="8" t="str">
        <f>HYPERLINK("https://drive.google.com/file/d/1SFTfCjXlJwsyZLqgG9AWHH0a1CqZHqsg/view?usp=drivesdk","1354_SITI MUCHAYAROH _ SERTIFIKAT BIMTEK IPASN BerAKHLASK")</f>
        <v>1354_SITI MUCHAYAROH _ SERTIFIKAT BIMTEK IPASN BerAKHLASK</v>
      </c>
      <c r="P1355" s="5" t="s">
        <v>11210</v>
      </c>
      <c r="Q1355" s="5"/>
      <c r="R1355" s="5"/>
      <c r="S1355" s="5"/>
      <c r="T1355" s="5"/>
    </row>
    <row r="1356">
      <c r="A1356" s="4">
        <v>45534.332541076394</v>
      </c>
      <c r="B1356" s="5" t="s">
        <v>34</v>
      </c>
      <c r="D1356" s="5" t="s">
        <v>1206</v>
      </c>
      <c r="E1356" s="5" t="s">
        <v>11217</v>
      </c>
      <c r="F1356" s="5" t="s">
        <v>375</v>
      </c>
      <c r="G1356" s="5" t="s">
        <v>11218</v>
      </c>
      <c r="H1356" s="6" t="s">
        <v>11219</v>
      </c>
      <c r="K1356" s="5" t="s">
        <v>11214</v>
      </c>
      <c r="M1356" s="5" t="s">
        <v>11220</v>
      </c>
      <c r="N1356" s="7" t="s">
        <v>11221</v>
      </c>
      <c r="O1356" s="8" t="str">
        <f>HYPERLINK("https://drive.google.com/file/d/13iakT3ASpFAYzAqU5aePjrERy3SKazFd/view?usp=drivesdk","1355_HARI NOVIANTO, SE _ SERTIFIKAT BIMTEK IPASN BerAKHLASK")</f>
        <v>1355_HARI NOVIANTO, SE _ SERTIFIKAT BIMTEK IPASN BerAKHLASK</v>
      </c>
      <c r="P1356" s="5" t="s">
        <v>11210</v>
      </c>
      <c r="Q1356" s="5"/>
      <c r="R1356" s="5"/>
      <c r="S1356" s="5"/>
      <c r="T1356" s="5"/>
    </row>
    <row r="1357">
      <c r="A1357" s="4">
        <v>45534.33254171297</v>
      </c>
      <c r="B1357" s="5" t="s">
        <v>34</v>
      </c>
      <c r="D1357" s="5" t="s">
        <v>1206</v>
      </c>
      <c r="E1357" s="5" t="s">
        <v>11222</v>
      </c>
      <c r="F1357" s="5" t="s">
        <v>524</v>
      </c>
      <c r="G1357" s="5" t="s">
        <v>11223</v>
      </c>
      <c r="H1357" s="6" t="s">
        <v>11224</v>
      </c>
      <c r="K1357" s="5" t="s">
        <v>11214</v>
      </c>
      <c r="M1357" s="5" t="s">
        <v>11225</v>
      </c>
      <c r="N1357" s="7" t="s">
        <v>11226</v>
      </c>
      <c r="O1357" s="8" t="str">
        <f>HYPERLINK("https://drive.google.com/file/d/17_BKAwdJxVefhqdD7vSsBgEUL4UYa56z/view?usp=drivesdk","1356_RENI MAYA PUSPITASARI,S.Kep.,Ners _ SERTIFIKAT BIMTEK IPASN BerAKHLASK")</f>
        <v>1356_RENI MAYA PUSPITASARI,S.Kep.,Ners _ SERTIFIKAT BIMTEK IPASN BerAKHLASK</v>
      </c>
      <c r="P1357" s="5" t="s">
        <v>11210</v>
      </c>
      <c r="Q1357" s="5"/>
      <c r="R1357" s="5"/>
      <c r="S1357" s="5"/>
      <c r="T1357" s="5"/>
    </row>
    <row r="1358">
      <c r="A1358" s="4">
        <v>45534.332551458334</v>
      </c>
      <c r="B1358" s="5" t="s">
        <v>34</v>
      </c>
      <c r="D1358" s="5" t="s">
        <v>1206</v>
      </c>
      <c r="E1358" s="5" t="s">
        <v>11227</v>
      </c>
      <c r="F1358" s="5" t="s">
        <v>37</v>
      </c>
      <c r="G1358" s="5" t="s">
        <v>11228</v>
      </c>
      <c r="H1358" s="6" t="s">
        <v>11229</v>
      </c>
      <c r="K1358" s="5" t="s">
        <v>11214</v>
      </c>
      <c r="M1358" s="5" t="s">
        <v>11230</v>
      </c>
      <c r="N1358" s="7" t="s">
        <v>11231</v>
      </c>
      <c r="O1358" s="8" t="str">
        <f>HYPERLINK("https://drive.google.com/file/d/1e7NEcAqUAqPQkpJODV1VCHpNioMmOufN/view?usp=drivesdk","1357_ESTHI WIDHI UJI UNTARI _ SERTIFIKAT BIMTEK IPASN BerAKHLASK")</f>
        <v>1357_ESTHI WIDHI UJI UNTARI _ SERTIFIKAT BIMTEK IPASN BerAKHLASK</v>
      </c>
      <c r="P1358" s="5" t="s">
        <v>11210</v>
      </c>
      <c r="Q1358" s="5"/>
      <c r="R1358" s="5"/>
      <c r="S1358" s="5"/>
      <c r="T1358" s="5"/>
    </row>
    <row r="1359">
      <c r="A1359" s="4">
        <v>45534.33255821759</v>
      </c>
      <c r="B1359" s="5" t="s">
        <v>34</v>
      </c>
      <c r="D1359" s="5" t="s">
        <v>1206</v>
      </c>
      <c r="E1359" s="5" t="s">
        <v>11232</v>
      </c>
      <c r="F1359" s="5" t="s">
        <v>375</v>
      </c>
      <c r="G1359" s="5" t="s">
        <v>11233</v>
      </c>
      <c r="H1359" s="6" t="s">
        <v>11234</v>
      </c>
      <c r="K1359" s="5" t="s">
        <v>11214</v>
      </c>
      <c r="M1359" s="5" t="s">
        <v>11235</v>
      </c>
      <c r="N1359" s="7" t="s">
        <v>11236</v>
      </c>
      <c r="O1359" s="8" t="str">
        <f>HYPERLINK("https://drive.google.com/file/d/1sWmtmMZEh84nsu8jKKeSk0t-L1KJcivX/view?usp=drivesdk","1358_NURUL HIDAYATI, S.Sos _ SERTIFIKAT BIMTEK IPASN BerAKHLASK")</f>
        <v>1358_NURUL HIDAYATI, S.Sos _ SERTIFIKAT BIMTEK IPASN BerAKHLASK</v>
      </c>
      <c r="P1359" s="5" t="s">
        <v>11210</v>
      </c>
      <c r="Q1359" s="5"/>
      <c r="R1359" s="5"/>
      <c r="S1359" s="5"/>
      <c r="T1359" s="5"/>
    </row>
    <row r="1360">
      <c r="A1360" s="4">
        <v>45534.332586041666</v>
      </c>
      <c r="B1360" s="5" t="s">
        <v>34</v>
      </c>
      <c r="D1360" s="5" t="s">
        <v>35</v>
      </c>
      <c r="E1360" s="5" t="s">
        <v>11237</v>
      </c>
      <c r="F1360" s="5" t="s">
        <v>37</v>
      </c>
      <c r="G1360" s="5" t="s">
        <v>11238</v>
      </c>
      <c r="H1360" s="6" t="s">
        <v>11239</v>
      </c>
      <c r="I1360" s="7" t="s">
        <v>11240</v>
      </c>
      <c r="J1360" s="8" t="str">
        <f>HYPERLINK("https://drive.google.com/file/d/1vXoX4eg3obVyiqHKFmKn1FS6eRSkx4TI/view?usp=drivesdk","AEP SAEPUDIN, S.H., M.H. SERTIFIKAT BerAKHLAK")</f>
        <v>AEP SAEPUDIN, S.H., M.H. SERTIFIKAT BerAKHLAK</v>
      </c>
      <c r="K1360" s="5" t="s">
        <v>10464</v>
      </c>
      <c r="L1360" s="5" t="s">
        <v>11241</v>
      </c>
      <c r="M1360" s="5" t="s">
        <v>11242</v>
      </c>
      <c r="N1360" s="7" t="s">
        <v>11243</v>
      </c>
      <c r="O1360" s="8" t="str">
        <f>HYPERLINK("https://drive.google.com/file/d/1whI4QD6pZuXBiHrAx9X6_wc0t0KMB0Br/view?usp=drivesdk","1359_AEP SAEPUDIN, S.H., M.H. _ SERTIFIKAT BIMTEK IPASN BerAKHLASK")</f>
        <v>1359_AEP SAEPUDIN, S.H., M.H. _ SERTIFIKAT BIMTEK IPASN BerAKHLASK</v>
      </c>
      <c r="P1360" s="5" t="s">
        <v>11244</v>
      </c>
      <c r="Q1360" s="5"/>
      <c r="R1360" s="5"/>
      <c r="S1360" s="5"/>
      <c r="T1360" s="5"/>
    </row>
    <row r="1361">
      <c r="A1361" s="4">
        <v>45534.33259612268</v>
      </c>
      <c r="B1361" s="5" t="s">
        <v>34</v>
      </c>
      <c r="D1361" s="5" t="s">
        <v>975</v>
      </c>
      <c r="E1361" s="5" t="s">
        <v>11245</v>
      </c>
      <c r="F1361" s="5" t="s">
        <v>37</v>
      </c>
      <c r="G1361" s="5" t="s">
        <v>11246</v>
      </c>
      <c r="H1361" s="6" t="s">
        <v>11247</v>
      </c>
      <c r="I1361" s="7" t="s">
        <v>11248</v>
      </c>
      <c r="J1361" s="8" t="str">
        <f>HYPERLINK("https://drive.google.com/file/d/1PaBvpy8KGVfqVu8xTt_kYV5eEmH2zhLo/view?usp=drivesdk","AYU PUSPITA SARI, A. Md. Farm SERTIFIKAT BerAKHLAK")</f>
        <v>AYU PUSPITA SARI, A. Md. Farm SERTIFIKAT BerAKHLAK</v>
      </c>
      <c r="K1361" s="5" t="s">
        <v>10464</v>
      </c>
      <c r="L1361" s="5" t="s">
        <v>11249</v>
      </c>
      <c r="M1361" s="5" t="s">
        <v>11250</v>
      </c>
      <c r="N1361" s="7" t="s">
        <v>11251</v>
      </c>
      <c r="O1361" s="8" t="str">
        <f>HYPERLINK("https://drive.google.com/file/d/1SZDB3u7GBGIMc_K1i7-Rva39vTOPHxb4/view?usp=drivesdk","1360_AYU PUSPITA SARI, A. Md. Farm _ SERTIFIKAT BIMTEK IPASN BerAKHLASK")</f>
        <v>1360_AYU PUSPITA SARI, A. Md. Farm _ SERTIFIKAT BIMTEK IPASN BerAKHLASK</v>
      </c>
      <c r="P1361" s="5" t="s">
        <v>11244</v>
      </c>
      <c r="Q1361" s="5"/>
      <c r="R1361" s="5"/>
      <c r="S1361" s="5"/>
      <c r="T1361" s="5"/>
    </row>
    <row r="1362">
      <c r="A1362" s="4">
        <v>45534.332596886576</v>
      </c>
      <c r="B1362" s="5" t="s">
        <v>34</v>
      </c>
      <c r="D1362" s="5" t="s">
        <v>1206</v>
      </c>
      <c r="E1362" s="5" t="s">
        <v>11252</v>
      </c>
      <c r="F1362" s="5" t="s">
        <v>212</v>
      </c>
      <c r="G1362" s="5" t="s">
        <v>11253</v>
      </c>
      <c r="H1362" s="6" t="s">
        <v>11254</v>
      </c>
      <c r="I1362" s="7" t="s">
        <v>11255</v>
      </c>
      <c r="J1362" s="8" t="str">
        <f>HYPERLINK("https://drive.google.com/file/d/1RYEaaE5wdMMc2hpqdOOT2I2XXYGYIfzI/view?usp=drivesdk","LILIK KARDINIYATI  SERTIFIKAT BerAKHLAK")</f>
        <v>LILIK KARDINIYATI  SERTIFIKAT BerAKHLAK</v>
      </c>
      <c r="K1362" s="5" t="s">
        <v>10464</v>
      </c>
      <c r="L1362" s="5" t="s">
        <v>11256</v>
      </c>
      <c r="M1362" s="5" t="s">
        <v>11257</v>
      </c>
      <c r="N1362" s="7" t="s">
        <v>11258</v>
      </c>
      <c r="O1362" s="8" t="str">
        <f>HYPERLINK("https://drive.google.com/file/d/1phoqYBmjHE8nGaQ8gy9w0G8sbFDoOput/view?usp=drivesdk","1361_LILIK KARDINIYATI  _ SERTIFIKAT BIMTEK IPASN BerAKHLASK")</f>
        <v>1361_LILIK KARDINIYATI  _ SERTIFIKAT BIMTEK IPASN BerAKHLASK</v>
      </c>
      <c r="P1362" s="5" t="s">
        <v>11244</v>
      </c>
      <c r="Q1362" s="5"/>
      <c r="R1362" s="5"/>
      <c r="S1362" s="5"/>
      <c r="T1362" s="5"/>
    </row>
    <row r="1363">
      <c r="A1363" s="4">
        <v>45534.332634189814</v>
      </c>
      <c r="B1363" s="5" t="s">
        <v>34</v>
      </c>
      <c r="D1363" s="5" t="s">
        <v>6232</v>
      </c>
      <c r="E1363" s="5" t="s">
        <v>11259</v>
      </c>
      <c r="F1363" s="5" t="s">
        <v>37</v>
      </c>
      <c r="G1363" s="5" t="s">
        <v>11260</v>
      </c>
      <c r="H1363" s="6" t="s">
        <v>11261</v>
      </c>
      <c r="K1363" s="5" t="s">
        <v>11262</v>
      </c>
      <c r="M1363" s="5" t="s">
        <v>11263</v>
      </c>
      <c r="N1363" s="7" t="s">
        <v>11264</v>
      </c>
      <c r="O1363" s="8" t="str">
        <f>HYPERLINK("https://drive.google.com/file/d/1N9jC9DeHQ-i959SY4xE8a4Tac-YkURaX/view?usp=drivesdk","1362_CUCUM SUMARTINI _ SERTIFIKAT BIMTEK IPASN BerAKHLASK")</f>
        <v>1362_CUCUM SUMARTINI _ SERTIFIKAT BIMTEK IPASN BerAKHLASK</v>
      </c>
      <c r="P1363" s="5" t="s">
        <v>11244</v>
      </c>
      <c r="Q1363" s="5"/>
      <c r="R1363" s="5"/>
      <c r="S1363" s="5"/>
      <c r="T1363" s="5"/>
    </row>
    <row r="1364">
      <c r="A1364" s="4">
        <v>45534.33263709491</v>
      </c>
      <c r="B1364" s="5" t="s">
        <v>34</v>
      </c>
      <c r="D1364" s="5" t="s">
        <v>4775</v>
      </c>
      <c r="E1364" s="5" t="s">
        <v>11265</v>
      </c>
      <c r="F1364" s="5" t="s">
        <v>5859</v>
      </c>
      <c r="G1364" s="5" t="s">
        <v>11266</v>
      </c>
      <c r="H1364" s="6" t="s">
        <v>11267</v>
      </c>
      <c r="K1364" s="5" t="s">
        <v>11262</v>
      </c>
      <c r="M1364" s="5" t="s">
        <v>11268</v>
      </c>
      <c r="N1364" s="7" t="s">
        <v>11269</v>
      </c>
      <c r="O1364" s="8" t="str">
        <f>HYPERLINK("https://drive.google.com/file/d/1VlefGhgXTb-mwLzHnuBRoud1WXGcftge/view?usp=drivesdk","1363_SUGITO POLRES BLORA _ SERTIFIKAT BIMTEK IPASN BerAKHLASK")</f>
        <v>1363_SUGITO POLRES BLORA _ SERTIFIKAT BIMTEK IPASN BerAKHLASK</v>
      </c>
      <c r="P1364" s="5" t="s">
        <v>11244</v>
      </c>
      <c r="Q1364" s="5"/>
      <c r="R1364" s="5"/>
      <c r="S1364" s="5"/>
      <c r="T1364" s="5"/>
    </row>
    <row r="1365">
      <c r="A1365" s="4">
        <v>45534.33264289352</v>
      </c>
      <c r="B1365" s="5" t="s">
        <v>34</v>
      </c>
      <c r="D1365" s="5" t="s">
        <v>4775</v>
      </c>
      <c r="E1365" s="5" t="s">
        <v>11270</v>
      </c>
      <c r="F1365" s="5" t="s">
        <v>375</v>
      </c>
      <c r="G1365" s="5" t="s">
        <v>11271</v>
      </c>
      <c r="H1365" s="6" t="s">
        <v>11272</v>
      </c>
      <c r="K1365" s="5" t="s">
        <v>11262</v>
      </c>
      <c r="M1365" s="5" t="s">
        <v>11273</v>
      </c>
      <c r="N1365" s="7" t="s">
        <v>11274</v>
      </c>
      <c r="O1365" s="8" t="str">
        <f>HYPERLINK("https://drive.google.com/file/d/132yzSQha4qS4sHTVWpU6W5wNxaBRz-6S/view?usp=drivesdk","1364_ARDI PURWANTO _ SERTIFIKAT BIMTEK IPASN BerAKHLASK")</f>
        <v>1364_ARDI PURWANTO _ SERTIFIKAT BIMTEK IPASN BerAKHLASK</v>
      </c>
      <c r="P1365" s="5" t="s">
        <v>11275</v>
      </c>
      <c r="Q1365" s="5"/>
      <c r="R1365" s="5"/>
      <c r="S1365" s="5"/>
      <c r="T1365" s="5"/>
    </row>
    <row r="1366">
      <c r="A1366" s="4">
        <v>45534.33265266204</v>
      </c>
      <c r="B1366" s="5" t="s">
        <v>34</v>
      </c>
      <c r="D1366" s="5" t="s">
        <v>35</v>
      </c>
      <c r="E1366" s="5" t="s">
        <v>11276</v>
      </c>
      <c r="F1366" s="5" t="s">
        <v>212</v>
      </c>
      <c r="G1366" s="5" t="s">
        <v>11277</v>
      </c>
      <c r="H1366" s="6" t="s">
        <v>11278</v>
      </c>
      <c r="I1366" s="7" t="s">
        <v>11279</v>
      </c>
      <c r="J1366" s="8" t="str">
        <f>HYPERLINK("https://drive.google.com/file/d/1RdiAkIuJQZEJAAMuog0k1awxHzvY39aT/view?usp=drivesdk","IGNASIUS RICKY PATRIA REVANDIAN SERTIFIKAT BerAKHLAK")</f>
        <v>IGNASIUS RICKY PATRIA REVANDIAN SERTIFIKAT BerAKHLAK</v>
      </c>
      <c r="K1366" s="5" t="s">
        <v>10464</v>
      </c>
      <c r="L1366" s="5" t="s">
        <v>11280</v>
      </c>
      <c r="M1366" s="5" t="s">
        <v>11281</v>
      </c>
      <c r="N1366" s="7" t="s">
        <v>11282</v>
      </c>
      <c r="O1366" s="8" t="str">
        <f>HYPERLINK("https://drive.google.com/file/d/1thDjxLWIHqy1nOrXDb-iaMKHi6G8ESM1/view?usp=drivesdk","1365_IGNASIUS RICKY PATRIA REVANDIAN _ SERTIFIKAT BIMTEK IPASN BerAKHLASK")</f>
        <v>1365_IGNASIUS RICKY PATRIA REVANDIAN _ SERTIFIKAT BIMTEK IPASN BerAKHLASK</v>
      </c>
      <c r="P1366" s="5" t="s">
        <v>11275</v>
      </c>
      <c r="Q1366" s="5"/>
      <c r="R1366" s="5"/>
      <c r="S1366" s="5"/>
      <c r="T1366" s="5"/>
    </row>
    <row r="1367">
      <c r="A1367" s="4">
        <v>45534.33266813657</v>
      </c>
      <c r="B1367" s="5" t="s">
        <v>34</v>
      </c>
      <c r="D1367" s="5" t="s">
        <v>3849</v>
      </c>
      <c r="E1367" s="5" t="s">
        <v>11283</v>
      </c>
      <c r="F1367" s="5" t="s">
        <v>37</v>
      </c>
      <c r="G1367" s="5" t="s">
        <v>11284</v>
      </c>
      <c r="H1367" s="6" t="s">
        <v>11285</v>
      </c>
      <c r="K1367" s="5" t="s">
        <v>11286</v>
      </c>
      <c r="M1367" s="5" t="s">
        <v>11287</v>
      </c>
      <c r="N1367" s="7" t="s">
        <v>11288</v>
      </c>
      <c r="O1367" s="8" t="str">
        <f>HYPERLINK("https://drive.google.com/file/d/1vaJ3NKFNxrCqznnfEUHVxGPT7wl3WWc1/view?usp=drivesdk","1366_RISKA FITRI ANDINI _ SERTIFIKAT BIMTEK IPASN BerAKHLASK")</f>
        <v>1366_RISKA FITRI ANDINI _ SERTIFIKAT BIMTEK IPASN BerAKHLASK</v>
      </c>
      <c r="P1367" s="5" t="s">
        <v>11275</v>
      </c>
      <c r="Q1367" s="5"/>
      <c r="R1367" s="5"/>
      <c r="S1367" s="5"/>
      <c r="T1367" s="5"/>
    </row>
    <row r="1368">
      <c r="A1368" s="4">
        <v>45534.332671076394</v>
      </c>
      <c r="B1368" s="5" t="s">
        <v>34</v>
      </c>
      <c r="D1368" s="5" t="s">
        <v>9020</v>
      </c>
      <c r="E1368" s="5" t="s">
        <v>11289</v>
      </c>
      <c r="F1368" s="5" t="s">
        <v>375</v>
      </c>
      <c r="G1368" s="5" t="s">
        <v>11290</v>
      </c>
      <c r="H1368" s="6" t="s">
        <v>11291</v>
      </c>
      <c r="K1368" s="5" t="s">
        <v>11286</v>
      </c>
      <c r="M1368" s="5" t="s">
        <v>11292</v>
      </c>
      <c r="N1368" s="7" t="s">
        <v>11293</v>
      </c>
      <c r="O1368" s="8" t="str">
        <f>HYPERLINK("https://drive.google.com/file/d/1iJTLHqBzzExXiSsOuFGDDyndktXhJm53/view?usp=drivesdk","1367_TIOURI NAINGGOLAN, S.E. _ SERTIFIKAT BIMTEK IPASN BerAKHLASK")</f>
        <v>1367_TIOURI NAINGGOLAN, S.E. _ SERTIFIKAT BIMTEK IPASN BerAKHLASK</v>
      </c>
      <c r="P1368" s="5" t="s">
        <v>11275</v>
      </c>
      <c r="Q1368" s="5"/>
      <c r="R1368" s="5"/>
      <c r="S1368" s="5"/>
      <c r="T1368" s="5"/>
    </row>
    <row r="1369" hidden="1">
      <c r="A1369" s="4">
        <v>45534.33267671296</v>
      </c>
      <c r="B1369" s="5" t="s">
        <v>19</v>
      </c>
      <c r="C1369" s="5" t="s">
        <v>466</v>
      </c>
      <c r="E1369" s="5" t="s">
        <v>11294</v>
      </c>
      <c r="F1369" s="5" t="s">
        <v>375</v>
      </c>
      <c r="G1369" s="5" t="s">
        <v>11295</v>
      </c>
      <c r="H1369" s="6" t="s">
        <v>11296</v>
      </c>
      <c r="K1369" s="5" t="s">
        <v>11286</v>
      </c>
      <c r="M1369" s="5" t="s">
        <v>11297</v>
      </c>
      <c r="N1369" s="7" t="s">
        <v>11298</v>
      </c>
      <c r="O1369" s="8" t="str">
        <f>HYPERLINK("https://drive.google.com/file/d/1iJifuSI91FFK_YeoVOcF2vw3sYehivxA/view?usp=drivesdk","1368_TINA SILVIANA ISYANI, S.E. _ SERTIFIKAT BIMTEK IPASN BerAKHLASK")</f>
        <v>1368_TINA SILVIANA ISYANI, S.E. _ SERTIFIKAT BIMTEK IPASN BerAKHLASK</v>
      </c>
      <c r="P1369" s="5" t="s">
        <v>11275</v>
      </c>
      <c r="Q1369" s="5"/>
      <c r="R1369" s="5"/>
      <c r="S1369" s="5"/>
      <c r="T1369" s="5"/>
    </row>
    <row r="1370">
      <c r="A1370" s="4">
        <v>45534.33267862268</v>
      </c>
      <c r="B1370" s="5" t="s">
        <v>34</v>
      </c>
      <c r="D1370" s="5" t="s">
        <v>522</v>
      </c>
      <c r="E1370" s="5" t="s">
        <v>11299</v>
      </c>
      <c r="F1370" s="5" t="s">
        <v>37</v>
      </c>
      <c r="G1370" s="5" t="s">
        <v>11300</v>
      </c>
      <c r="H1370" s="6" t="s">
        <v>11301</v>
      </c>
      <c r="K1370" s="5" t="s">
        <v>11286</v>
      </c>
      <c r="M1370" s="5" t="s">
        <v>11302</v>
      </c>
      <c r="N1370" s="7" t="s">
        <v>11303</v>
      </c>
      <c r="O1370" s="8" t="str">
        <f>HYPERLINK("https://drive.google.com/file/d/1ykSKQAj94LnnfCbVXlOzJSoXwXav6n8d/view?usp=drivesdk","1369_AGUS WIJAYA PENGATUR _ SERTIFIKAT BIMTEK IPASN BerAKHLASK")</f>
        <v>1369_AGUS WIJAYA PENGATUR _ SERTIFIKAT BIMTEK IPASN BerAKHLASK</v>
      </c>
      <c r="P1370" s="5" t="s">
        <v>11304</v>
      </c>
      <c r="Q1370" s="5"/>
      <c r="R1370" s="5"/>
      <c r="S1370" s="5"/>
      <c r="T1370" s="5"/>
    </row>
    <row r="1371" hidden="1">
      <c r="A1371" s="4">
        <v>45534.332690069445</v>
      </c>
      <c r="B1371" s="5" t="s">
        <v>19</v>
      </c>
      <c r="C1371" s="5" t="s">
        <v>466</v>
      </c>
      <c r="E1371" s="5" t="s">
        <v>11305</v>
      </c>
      <c r="F1371" s="5" t="s">
        <v>212</v>
      </c>
      <c r="G1371" s="5" t="s">
        <v>11306</v>
      </c>
      <c r="H1371" s="6" t="s">
        <v>11307</v>
      </c>
      <c r="I1371" s="7" t="s">
        <v>11308</v>
      </c>
      <c r="J1371" s="8" t="str">
        <f>HYPERLINK("https://drive.google.com/file/d/1vabzJ9PRspVWGtdtUtQRMawZG9iX8XrU/view?usp=drivesdk","RUSTAM EFENDI BIN BOHORI SERTIFIKAT BerAKHLAK")</f>
        <v>RUSTAM EFENDI BIN BOHORI SERTIFIKAT BerAKHLAK</v>
      </c>
      <c r="K1371" s="5" t="s">
        <v>10464</v>
      </c>
      <c r="L1371" s="5" t="s">
        <v>11309</v>
      </c>
      <c r="M1371" s="5" t="s">
        <v>11310</v>
      </c>
      <c r="N1371" s="7" t="s">
        <v>11311</v>
      </c>
      <c r="O1371" s="8" t="str">
        <f>HYPERLINK("https://drive.google.com/file/d/1HM1IQNa3zroiko2OQ-HuSpOOjdQMwIAC/view?usp=drivesdk","1370_RUSTAM EFENDI BIN BOHORI _ SERTIFIKAT BIMTEK IPASN BerAKHLASK")</f>
        <v>1370_RUSTAM EFENDI BIN BOHORI _ SERTIFIKAT BIMTEK IPASN BerAKHLASK</v>
      </c>
      <c r="P1371" s="5" t="s">
        <v>11304</v>
      </c>
      <c r="Q1371" s="5"/>
      <c r="R1371" s="5"/>
      <c r="S1371" s="5"/>
      <c r="T1371" s="5"/>
    </row>
    <row r="1372">
      <c r="A1372" s="4">
        <v>45534.332737476856</v>
      </c>
      <c r="B1372" s="5" t="s">
        <v>34</v>
      </c>
      <c r="D1372" s="5" t="s">
        <v>362</v>
      </c>
      <c r="E1372" s="5" t="s">
        <v>11312</v>
      </c>
      <c r="F1372" s="5" t="s">
        <v>715</v>
      </c>
      <c r="G1372" s="5" t="s">
        <v>11313</v>
      </c>
      <c r="H1372" s="6" t="s">
        <v>11314</v>
      </c>
      <c r="K1372" s="5" t="s">
        <v>11315</v>
      </c>
      <c r="M1372" s="5" t="s">
        <v>11316</v>
      </c>
      <c r="N1372" s="7" t="s">
        <v>11317</v>
      </c>
      <c r="O1372" s="8" t="str">
        <f>HYPERLINK("https://drive.google.com/file/d/1G4aSvq6rwKgx1IPNIrFb9F10c93EUOH7/view?usp=drivesdk","1371_VERONIKA PASOMBA, Amd.Kep _ SERTIFIKAT BIMTEK IPASN BerAKHLASK")</f>
        <v>1371_VERONIKA PASOMBA, Amd.Kep _ SERTIFIKAT BIMTEK IPASN BerAKHLASK</v>
      </c>
      <c r="P1372" s="5" t="s">
        <v>11304</v>
      </c>
      <c r="Q1372" s="5"/>
      <c r="R1372" s="5"/>
      <c r="S1372" s="5"/>
      <c r="T1372" s="5"/>
    </row>
    <row r="1373" hidden="1">
      <c r="A1373" s="4">
        <v>45534.33274519676</v>
      </c>
      <c r="B1373" s="5" t="s">
        <v>19</v>
      </c>
      <c r="C1373" s="5" t="s">
        <v>292</v>
      </c>
      <c r="E1373" s="5" t="s">
        <v>11318</v>
      </c>
      <c r="F1373" s="5" t="s">
        <v>212</v>
      </c>
      <c r="G1373" s="5" t="s">
        <v>11319</v>
      </c>
      <c r="H1373" s="6" t="s">
        <v>11320</v>
      </c>
      <c r="K1373" s="5" t="s">
        <v>11315</v>
      </c>
      <c r="M1373" s="5" t="s">
        <v>11321</v>
      </c>
      <c r="N1373" s="7" t="s">
        <v>11322</v>
      </c>
      <c r="O1373" s="8" t="str">
        <f>HYPERLINK("https://drive.google.com/file/d/1EgfY5ZcdhAkrzacHbGQsou0nKQKmbDvc/view?usp=drivesdk","1372_PENGATUR TK I SUGINO _ SERTIFIKAT BIMTEK IPASN BerAKHLASK")</f>
        <v>1372_PENGATUR TK I SUGINO _ SERTIFIKAT BIMTEK IPASN BerAKHLASK</v>
      </c>
      <c r="P1373" s="5" t="s">
        <v>11304</v>
      </c>
      <c r="Q1373" s="5"/>
      <c r="R1373" s="5"/>
      <c r="S1373" s="5"/>
      <c r="T1373" s="5"/>
    </row>
    <row r="1374">
      <c r="A1374" s="4">
        <v>45534.332751863425</v>
      </c>
      <c r="B1374" s="5" t="s">
        <v>34</v>
      </c>
      <c r="D1374" s="5" t="s">
        <v>4775</v>
      </c>
      <c r="E1374" s="5" t="s">
        <v>11323</v>
      </c>
      <c r="F1374" s="5" t="s">
        <v>108</v>
      </c>
      <c r="G1374" s="5" t="s">
        <v>11324</v>
      </c>
      <c r="H1374" s="6" t="s">
        <v>11325</v>
      </c>
      <c r="K1374" s="5" t="s">
        <v>11315</v>
      </c>
      <c r="M1374" s="5" t="s">
        <v>11326</v>
      </c>
      <c r="N1374" s="7" t="s">
        <v>11327</v>
      </c>
      <c r="O1374" s="8" t="str">
        <f>HYPERLINK("https://drive.google.com/file/d/1JQUcYR4KV1WnWVxZuvQS9BBmhJyQ8jt9/view?usp=drivesdk","1373_SULIATI,S.H YANMA _ SERTIFIKAT BIMTEK IPASN BerAKHLASK")</f>
        <v>1373_SULIATI,S.H YANMA _ SERTIFIKAT BIMTEK IPASN BerAKHLASK</v>
      </c>
      <c r="P1374" s="5" t="s">
        <v>11304</v>
      </c>
      <c r="Q1374" s="5"/>
      <c r="R1374" s="5"/>
      <c r="S1374" s="5"/>
      <c r="T1374" s="5"/>
    </row>
    <row r="1375">
      <c r="A1375" s="4">
        <v>45534.33275802083</v>
      </c>
      <c r="B1375" s="5" t="s">
        <v>34</v>
      </c>
      <c r="D1375" s="5" t="s">
        <v>4775</v>
      </c>
      <c r="E1375" s="5" t="s">
        <v>11328</v>
      </c>
      <c r="F1375" s="5" t="s">
        <v>199</v>
      </c>
      <c r="G1375" s="5" t="s">
        <v>11329</v>
      </c>
      <c r="H1375" s="6" t="s">
        <v>11330</v>
      </c>
      <c r="K1375" s="5" t="s">
        <v>11315</v>
      </c>
      <c r="M1375" s="5" t="s">
        <v>11331</v>
      </c>
      <c r="N1375" s="7" t="s">
        <v>11332</v>
      </c>
      <c r="O1375" s="8" t="str">
        <f>HYPERLINK("https://drive.google.com/file/d/1phg8Q0DenpUhISHZ4Kq3-5DlYFlGbVyC/view?usp=drivesdk","1374_ARIS SUBIYANTO _ SERTIFIKAT BIMTEK IPASN BerAKHLASK")</f>
        <v>1374_ARIS SUBIYANTO _ SERTIFIKAT BIMTEK IPASN BerAKHLASK</v>
      </c>
      <c r="P1375" s="5" t="s">
        <v>11333</v>
      </c>
      <c r="Q1375" s="5"/>
      <c r="R1375" s="5"/>
      <c r="S1375" s="5"/>
      <c r="T1375" s="5"/>
    </row>
    <row r="1376">
      <c r="A1376" s="4">
        <v>45534.332761805555</v>
      </c>
      <c r="B1376" s="5" t="s">
        <v>34</v>
      </c>
      <c r="D1376" s="5" t="s">
        <v>280</v>
      </c>
      <c r="E1376" s="5" t="s">
        <v>11334</v>
      </c>
      <c r="F1376" s="5" t="s">
        <v>37</v>
      </c>
      <c r="G1376" s="5" t="s">
        <v>11335</v>
      </c>
      <c r="H1376" s="6" t="s">
        <v>11336</v>
      </c>
      <c r="K1376" s="5" t="s">
        <v>11315</v>
      </c>
      <c r="M1376" s="5" t="s">
        <v>11337</v>
      </c>
      <c r="N1376" s="7" t="s">
        <v>11338</v>
      </c>
      <c r="O1376" s="8" t="str">
        <f>HYPERLINK("https://drive.google.com/file/d/1dlV56_QyM_hF2mgqZ8IRQQwSp4n5BTN6/view?usp=drivesdk","1375_UMMY KHATIJAH _ SERTIFIKAT BIMTEK IPASN BerAKHLASK")</f>
        <v>1375_UMMY KHATIJAH _ SERTIFIKAT BIMTEK IPASN BerAKHLASK</v>
      </c>
      <c r="P1376" s="5" t="s">
        <v>11333</v>
      </c>
      <c r="Q1376" s="5"/>
      <c r="R1376" s="5"/>
      <c r="S1376" s="5"/>
      <c r="T1376" s="5"/>
    </row>
    <row r="1377">
      <c r="A1377" s="4">
        <v>45534.332764942126</v>
      </c>
      <c r="B1377" s="5" t="s">
        <v>34</v>
      </c>
      <c r="D1377" s="5" t="s">
        <v>996</v>
      </c>
      <c r="E1377" s="5" t="s">
        <v>11339</v>
      </c>
      <c r="F1377" s="5" t="s">
        <v>212</v>
      </c>
      <c r="G1377" s="5" t="s">
        <v>11340</v>
      </c>
      <c r="H1377" s="6" t="s">
        <v>11341</v>
      </c>
      <c r="K1377" s="5" t="s">
        <v>11315</v>
      </c>
      <c r="M1377" s="5" t="s">
        <v>11342</v>
      </c>
      <c r="N1377" s="7" t="s">
        <v>11343</v>
      </c>
      <c r="O1377" s="8" t="str">
        <f>HYPERLINK("https://drive.google.com/file/d/1gJp4ikRZQWCzteaAmPCx6CszDrrlimyu/view?usp=drivesdk","1376_RAHMAWATY FAUJI _ SERTIFIKAT BIMTEK IPASN BerAKHLASK")</f>
        <v>1376_RAHMAWATY FAUJI _ SERTIFIKAT BIMTEK IPASN BerAKHLASK</v>
      </c>
      <c r="P1377" s="5" t="s">
        <v>11333</v>
      </c>
      <c r="Q1377" s="5"/>
      <c r="R1377" s="5"/>
      <c r="S1377" s="5"/>
      <c r="T1377" s="5"/>
    </row>
    <row r="1378">
      <c r="A1378" s="4">
        <v>45534.33277405093</v>
      </c>
      <c r="B1378" s="5" t="s">
        <v>34</v>
      </c>
      <c r="D1378" s="5" t="s">
        <v>1206</v>
      </c>
      <c r="E1378" s="5" t="s">
        <v>11344</v>
      </c>
      <c r="F1378" s="5" t="s">
        <v>524</v>
      </c>
      <c r="G1378" s="5" t="s">
        <v>11345</v>
      </c>
      <c r="H1378" s="6" t="s">
        <v>11346</v>
      </c>
      <c r="K1378" s="5" t="s">
        <v>11315</v>
      </c>
      <c r="M1378" s="5" t="s">
        <v>11347</v>
      </c>
      <c r="N1378" s="7" t="s">
        <v>11348</v>
      </c>
      <c r="O1378" s="8" t="str">
        <f>HYPERLINK("https://drive.google.com/file/d/1zt3RJ6jKlCfs7xNbFXIeYbbzoUsCyhty/view?usp=drivesdk","1377_LULUT SETYOWATI,S.Kep,Ns _ SERTIFIKAT BIMTEK IPASN BerAKHLASK")</f>
        <v>1377_LULUT SETYOWATI,S.Kep,Ns _ SERTIFIKAT BIMTEK IPASN BerAKHLASK</v>
      </c>
      <c r="P1378" s="5" t="s">
        <v>11333</v>
      </c>
      <c r="Q1378" s="5"/>
      <c r="R1378" s="5"/>
      <c r="S1378" s="5"/>
      <c r="T1378" s="5"/>
    </row>
    <row r="1379">
      <c r="A1379" s="4">
        <v>45534.332793657406</v>
      </c>
      <c r="B1379" s="5" t="s">
        <v>34</v>
      </c>
      <c r="D1379" s="5" t="s">
        <v>9020</v>
      </c>
      <c r="E1379" s="5" t="s">
        <v>11349</v>
      </c>
      <c r="F1379" s="5" t="s">
        <v>212</v>
      </c>
      <c r="G1379" s="5" t="s">
        <v>11350</v>
      </c>
      <c r="H1379" s="6" t="s">
        <v>11351</v>
      </c>
      <c r="K1379" s="5" t="s">
        <v>11315</v>
      </c>
      <c r="M1379" s="5" t="s">
        <v>11352</v>
      </c>
      <c r="N1379" s="7" t="s">
        <v>11353</v>
      </c>
      <c r="O1379" s="8" t="str">
        <f>HYPERLINK("https://drive.google.com/file/d/1uHgdkh6qPOvddpxaY3hk85idyrNjL2LS/view?usp=drivesdk","1378_TANDA SEPTIAWAN HUTAJULU _ SERTIFIKAT BIMTEK IPASN BerAKHLASK")</f>
        <v>1378_TANDA SEPTIAWAN HUTAJULU _ SERTIFIKAT BIMTEK IPASN BerAKHLASK</v>
      </c>
      <c r="P1379" s="5" t="s">
        <v>11333</v>
      </c>
      <c r="Q1379" s="5"/>
      <c r="R1379" s="5"/>
      <c r="S1379" s="5"/>
      <c r="T1379" s="5"/>
    </row>
    <row r="1380">
      <c r="A1380" s="4">
        <v>45534.332813402776</v>
      </c>
      <c r="B1380" s="5" t="s">
        <v>34</v>
      </c>
      <c r="D1380" s="5" t="s">
        <v>1206</v>
      </c>
      <c r="E1380" s="5" t="s">
        <v>11354</v>
      </c>
      <c r="F1380" s="5" t="s">
        <v>108</v>
      </c>
      <c r="G1380" s="5" t="s">
        <v>11355</v>
      </c>
      <c r="H1380" s="6" t="s">
        <v>11356</v>
      </c>
      <c r="K1380" s="5" t="s">
        <v>11315</v>
      </c>
      <c r="M1380" s="5" t="s">
        <v>11357</v>
      </c>
      <c r="N1380" s="7" t="s">
        <v>11358</v>
      </c>
      <c r="O1380" s="8" t="str">
        <f>HYPERLINK("https://drive.google.com/file/d/1qq2mhR2xbQsZ5GjC4CQnglj4zzoQRXci/view?usp=drivesdk","1379_NINIK PUSPITANINGSIH _ SERTIFIKAT BIMTEK IPASN BerAKHLASK")</f>
        <v>1379_NINIK PUSPITANINGSIH _ SERTIFIKAT BIMTEK IPASN BerAKHLASK</v>
      </c>
      <c r="P1380" s="5" t="s">
        <v>11333</v>
      </c>
      <c r="Q1380" s="5"/>
      <c r="R1380" s="5"/>
      <c r="S1380" s="5"/>
      <c r="T1380" s="5"/>
    </row>
    <row r="1381">
      <c r="A1381" s="4">
        <v>45534.33281403936</v>
      </c>
      <c r="B1381" s="5" t="s">
        <v>34</v>
      </c>
      <c r="D1381" s="5" t="s">
        <v>1206</v>
      </c>
      <c r="E1381" s="5" t="s">
        <v>11359</v>
      </c>
      <c r="F1381" s="5" t="s">
        <v>37</v>
      </c>
      <c r="G1381" s="5" t="s">
        <v>11360</v>
      </c>
      <c r="H1381" s="6" t="s">
        <v>11361</v>
      </c>
      <c r="K1381" s="5" t="s">
        <v>11315</v>
      </c>
      <c r="M1381" s="5" t="s">
        <v>11362</v>
      </c>
      <c r="N1381" s="7" t="s">
        <v>11363</v>
      </c>
      <c r="O1381" s="8" t="str">
        <f>HYPERLINK("https://drive.google.com/file/d/11Yp1EAwhubecdK_SN0ccuOHspchfI0QA/view?usp=drivesdk","1380_RENI MERDEKAWATI _ SERTIFIKAT BIMTEK IPASN BerAKHLASK")</f>
        <v>1380_RENI MERDEKAWATI _ SERTIFIKAT BIMTEK IPASN BerAKHLASK</v>
      </c>
      <c r="P1381" s="5" t="s">
        <v>11364</v>
      </c>
      <c r="Q1381" s="5"/>
      <c r="R1381" s="5"/>
      <c r="S1381" s="5"/>
      <c r="T1381" s="5"/>
    </row>
    <row r="1382">
      <c r="A1382" s="4">
        <v>45534.33285659722</v>
      </c>
      <c r="B1382" s="5" t="s">
        <v>34</v>
      </c>
      <c r="D1382" s="5" t="s">
        <v>1206</v>
      </c>
      <c r="E1382" s="5" t="s">
        <v>11365</v>
      </c>
      <c r="F1382" s="5" t="s">
        <v>37</v>
      </c>
      <c r="G1382" s="5" t="s">
        <v>11366</v>
      </c>
      <c r="H1382" s="6" t="s">
        <v>11367</v>
      </c>
      <c r="I1382" s="7" t="s">
        <v>11368</v>
      </c>
      <c r="J1382" s="8" t="str">
        <f>HYPERLINK("https://drive.google.com/file/d/1Z4Cm34wGZDr2XrQ7F0b5rZaGIjGWmybb/view?usp=drivesdk","RATNA WIDIYAWATI SERTIFIKAT BerAKHLAK")</f>
        <v>RATNA WIDIYAWATI SERTIFIKAT BerAKHLAK</v>
      </c>
      <c r="K1382" s="5" t="s">
        <v>10464</v>
      </c>
      <c r="L1382" s="5" t="s">
        <v>11369</v>
      </c>
      <c r="M1382" s="5" t="s">
        <v>11370</v>
      </c>
      <c r="N1382" s="7" t="s">
        <v>11371</v>
      </c>
      <c r="O1382" s="8" t="str">
        <f>HYPERLINK("https://drive.google.com/file/d/1kI3hkRB70fBSCuOabB_a6c5Xnq9B_Hqp/view?usp=drivesdk","1381_RATNA WIDIYAWATI _ SERTIFIKAT BIMTEK IPASN BerAKHLASK")</f>
        <v>1381_RATNA WIDIYAWATI _ SERTIFIKAT BIMTEK IPASN BerAKHLASK</v>
      </c>
      <c r="P1382" s="5" t="s">
        <v>11364</v>
      </c>
      <c r="Q1382" s="5"/>
      <c r="R1382" s="5"/>
      <c r="S1382" s="5"/>
      <c r="T1382" s="5"/>
    </row>
    <row r="1383">
      <c r="A1383" s="4">
        <v>45534.33288767361</v>
      </c>
      <c r="B1383" s="5" t="s">
        <v>34</v>
      </c>
      <c r="D1383" s="5" t="s">
        <v>35</v>
      </c>
      <c r="E1383" s="5" t="s">
        <v>11372</v>
      </c>
      <c r="F1383" s="5" t="s">
        <v>328</v>
      </c>
      <c r="G1383" s="5" t="s">
        <v>11373</v>
      </c>
      <c r="H1383" s="6" t="s">
        <v>11374</v>
      </c>
      <c r="K1383" s="5" t="s">
        <v>11375</v>
      </c>
      <c r="M1383" s="5" t="s">
        <v>11376</v>
      </c>
      <c r="N1383" s="7" t="s">
        <v>11377</v>
      </c>
      <c r="O1383" s="8" t="str">
        <f>HYPERLINK("https://drive.google.com/file/d/10fC0F03unU8YTcX628gESRjGULQpRjvg/view?usp=drivesdk","1382_AGUS SURATMAN  _ SERTIFIKAT BIMTEK IPASN BerAKHLASK")</f>
        <v>1382_AGUS SURATMAN  _ SERTIFIKAT BIMTEK IPASN BerAKHLASK</v>
      </c>
      <c r="P1383" s="5" t="s">
        <v>11364</v>
      </c>
      <c r="Q1383" s="5"/>
      <c r="R1383" s="5"/>
      <c r="S1383" s="5"/>
      <c r="T1383" s="5"/>
    </row>
    <row r="1384">
      <c r="A1384" s="4">
        <v>45534.332893576386</v>
      </c>
      <c r="B1384" s="5" t="s">
        <v>34</v>
      </c>
      <c r="D1384" s="5" t="s">
        <v>4775</v>
      </c>
      <c r="E1384" s="5" t="s">
        <v>11378</v>
      </c>
      <c r="F1384" s="5" t="s">
        <v>212</v>
      </c>
      <c r="G1384" s="5" t="s">
        <v>11379</v>
      </c>
      <c r="H1384" s="6" t="s">
        <v>11380</v>
      </c>
      <c r="K1384" s="5" t="s">
        <v>11375</v>
      </c>
      <c r="M1384" s="5" t="s">
        <v>11381</v>
      </c>
      <c r="N1384" s="7" t="s">
        <v>11382</v>
      </c>
      <c r="O1384" s="8" t="str">
        <f>HYPERLINK("https://drive.google.com/file/d/1jJqL0NgWXj2Ewzhn82JYxyovOEsWJ0vQ/view?usp=drivesdk","1383_SUDARMI YANMA _ SERTIFIKAT BIMTEK IPASN BerAKHLASK")</f>
        <v>1383_SUDARMI YANMA _ SERTIFIKAT BIMTEK IPASN BerAKHLASK</v>
      </c>
      <c r="P1384" s="5" t="s">
        <v>11364</v>
      </c>
      <c r="Q1384" s="5"/>
      <c r="R1384" s="5"/>
      <c r="S1384" s="5"/>
      <c r="T1384" s="5"/>
    </row>
    <row r="1385">
      <c r="A1385" s="4">
        <v>45534.332894548614</v>
      </c>
      <c r="B1385" s="5" t="s">
        <v>34</v>
      </c>
      <c r="D1385" s="5" t="s">
        <v>4775</v>
      </c>
      <c r="E1385" s="5" t="s">
        <v>11383</v>
      </c>
      <c r="F1385" s="5" t="s">
        <v>212</v>
      </c>
      <c r="G1385" s="5" t="s">
        <v>11384</v>
      </c>
      <c r="H1385" s="6" t="s">
        <v>11385</v>
      </c>
      <c r="K1385" s="5" t="s">
        <v>11386</v>
      </c>
      <c r="M1385" s="5" t="s">
        <v>11387</v>
      </c>
      <c r="N1385" s="7" t="s">
        <v>11388</v>
      </c>
      <c r="O1385" s="8" t="str">
        <f>HYPERLINK("https://drive.google.com/file/d/1iywNObKImNHRkkMBFhs55PJB0itI3UTN/view?usp=drivesdk","1384_SUYANTO BLORA _ SERTIFIKAT BIMTEK IPASN BerAKHLASK")</f>
        <v>1384_SUYANTO BLORA _ SERTIFIKAT BIMTEK IPASN BerAKHLASK</v>
      </c>
      <c r="P1385" s="5" t="s">
        <v>11364</v>
      </c>
      <c r="Q1385" s="5"/>
      <c r="R1385" s="5"/>
      <c r="S1385" s="5"/>
      <c r="T1385" s="5"/>
    </row>
    <row r="1386">
      <c r="A1386" s="4">
        <v>45534.33290489583</v>
      </c>
      <c r="B1386" s="5" t="s">
        <v>34</v>
      </c>
      <c r="D1386" s="5" t="s">
        <v>35</v>
      </c>
      <c r="E1386" s="5" t="s">
        <v>11389</v>
      </c>
      <c r="F1386" s="5" t="s">
        <v>37</v>
      </c>
      <c r="G1386" s="5" t="s">
        <v>11390</v>
      </c>
      <c r="H1386" s="6" t="s">
        <v>11391</v>
      </c>
      <c r="K1386" s="5" t="s">
        <v>11386</v>
      </c>
      <c r="M1386" s="5" t="s">
        <v>11392</v>
      </c>
      <c r="N1386" s="7" t="s">
        <v>11393</v>
      </c>
      <c r="O1386" s="8" t="str">
        <f>HYPERLINK("https://drive.google.com/file/d/1uaUNrJOPmxB5XDOR9lD-lxR1i--6fdtC/view?usp=drivesdk","1385_DADANG FIRMANSYAH  _ SERTIFIKAT BIMTEK IPASN BerAKHLASK")</f>
        <v>1385_DADANG FIRMANSYAH  _ SERTIFIKAT BIMTEK IPASN BerAKHLASK</v>
      </c>
      <c r="P1386" s="5" t="s">
        <v>11364</v>
      </c>
      <c r="Q1386" s="5"/>
      <c r="R1386" s="5"/>
      <c r="S1386" s="5"/>
      <c r="T1386" s="5"/>
    </row>
    <row r="1387">
      <c r="A1387" s="4">
        <v>45534.33291719908</v>
      </c>
      <c r="B1387" s="5" t="s">
        <v>34</v>
      </c>
      <c r="D1387" s="5" t="s">
        <v>6232</v>
      </c>
      <c r="E1387" s="5" t="s">
        <v>11394</v>
      </c>
      <c r="F1387" s="5" t="s">
        <v>72</v>
      </c>
      <c r="G1387" s="5" t="s">
        <v>11395</v>
      </c>
      <c r="H1387" s="6" t="s">
        <v>11396</v>
      </c>
      <c r="K1387" s="5" t="s">
        <v>11386</v>
      </c>
      <c r="M1387" s="5" t="s">
        <v>11397</v>
      </c>
      <c r="N1387" s="7" t="s">
        <v>11398</v>
      </c>
      <c r="O1387" s="8" t="str">
        <f>HYPERLINK("https://drive.google.com/file/d/1IzTun7cXxU0MoUTMMsW_OT43Zu3ZGihp/view?usp=drivesdk","1386_dr. SATRIA PERWIRA, M.Si, SpFM _ SERTIFIKAT BIMTEK IPASN BerAKHLASK")</f>
        <v>1386_dr. SATRIA PERWIRA, M.Si, SpFM _ SERTIFIKAT BIMTEK IPASN BerAKHLASK</v>
      </c>
      <c r="P1387" s="5" t="s">
        <v>11399</v>
      </c>
      <c r="Q1387" s="5"/>
      <c r="R1387" s="5"/>
      <c r="S1387" s="5"/>
      <c r="T1387" s="5"/>
    </row>
    <row r="1388">
      <c r="A1388" s="4">
        <v>45534.3329381713</v>
      </c>
      <c r="B1388" s="5" t="s">
        <v>34</v>
      </c>
      <c r="D1388" s="5" t="s">
        <v>4775</v>
      </c>
      <c r="E1388" s="5" t="s">
        <v>11400</v>
      </c>
      <c r="F1388" s="5" t="s">
        <v>524</v>
      </c>
      <c r="G1388" s="5" t="s">
        <v>11401</v>
      </c>
      <c r="H1388" s="6" t="s">
        <v>11402</v>
      </c>
      <c r="K1388" s="5" t="s">
        <v>11386</v>
      </c>
      <c r="M1388" s="5" t="s">
        <v>11403</v>
      </c>
      <c r="N1388" s="7" t="s">
        <v>11404</v>
      </c>
      <c r="O1388" s="8" t="str">
        <f>HYPERLINK("https://drive.google.com/file/d/1xcfhYxZ8zHYYreLG325y9xY8lwi2XGhs/view?usp=drivesdk","1387_AGUS INDRATNO SURYO SAPUTRO, SH _ SERTIFIKAT BIMTEK IPASN BerAKHLASK")</f>
        <v>1387_AGUS INDRATNO SURYO SAPUTRO, SH _ SERTIFIKAT BIMTEK IPASN BerAKHLASK</v>
      </c>
      <c r="P1388" s="5" t="s">
        <v>11399</v>
      </c>
      <c r="Q1388" s="5"/>
      <c r="R1388" s="5"/>
      <c r="S1388" s="5"/>
      <c r="T1388" s="5"/>
    </row>
    <row r="1389">
      <c r="A1389" s="4">
        <v>45534.332972187505</v>
      </c>
      <c r="B1389" s="5" t="s">
        <v>34</v>
      </c>
      <c r="D1389" s="5" t="s">
        <v>267</v>
      </c>
      <c r="E1389" s="5" t="s">
        <v>11405</v>
      </c>
      <c r="F1389" s="5" t="s">
        <v>37</v>
      </c>
      <c r="G1389" s="5" t="s">
        <v>11406</v>
      </c>
      <c r="H1389" s="6" t="s">
        <v>11407</v>
      </c>
      <c r="K1389" s="5" t="s">
        <v>11408</v>
      </c>
      <c r="M1389" s="5" t="s">
        <v>11409</v>
      </c>
      <c r="N1389" s="7" t="s">
        <v>11410</v>
      </c>
      <c r="O1389" s="8" t="str">
        <f>HYPERLINK("https://drive.google.com/file/d/1X3ZcN6TsVLK2bC79iH4D3bxSztd8PXn6/view?usp=drivesdk","1388_DESY ARIYANTI _ SERTIFIKAT BIMTEK IPASN BerAKHLASK")</f>
        <v>1388_DESY ARIYANTI _ SERTIFIKAT BIMTEK IPASN BerAKHLASK</v>
      </c>
      <c r="P1389" s="5" t="s">
        <v>11399</v>
      </c>
      <c r="Q1389" s="5"/>
      <c r="R1389" s="5"/>
      <c r="S1389" s="5"/>
      <c r="T1389" s="5"/>
    </row>
    <row r="1390">
      <c r="A1390" s="4">
        <v>45534.33297538194</v>
      </c>
      <c r="B1390" s="5" t="s">
        <v>34</v>
      </c>
      <c r="D1390" s="5" t="s">
        <v>3432</v>
      </c>
      <c r="E1390" s="5" t="s">
        <v>11411</v>
      </c>
      <c r="F1390" s="5" t="s">
        <v>120</v>
      </c>
      <c r="G1390" s="5" t="s">
        <v>11412</v>
      </c>
      <c r="H1390" s="6" t="s">
        <v>11413</v>
      </c>
      <c r="K1390" s="5" t="s">
        <v>11408</v>
      </c>
      <c r="M1390" s="5" t="s">
        <v>11414</v>
      </c>
      <c r="N1390" s="7" t="s">
        <v>11415</v>
      </c>
      <c r="O1390" s="8" t="str">
        <f>HYPERLINK("https://drive.google.com/file/d/1wD_D_sEepW_0zmP1bTkR7u1YK3JM4mR8/view?usp=drivesdk","1389_ISMIYATI A RAHIM S E _ SERTIFIKAT BIMTEK IPASN BerAKHLASK")</f>
        <v>1389_ISMIYATI A RAHIM S E _ SERTIFIKAT BIMTEK IPASN BerAKHLASK</v>
      </c>
      <c r="P1390" s="5" t="s">
        <v>11399</v>
      </c>
      <c r="Q1390" s="5"/>
      <c r="R1390" s="5"/>
      <c r="S1390" s="5"/>
      <c r="T1390" s="5"/>
    </row>
    <row r="1391">
      <c r="A1391" s="4">
        <v>45534.33298525463</v>
      </c>
      <c r="B1391" s="5" t="s">
        <v>34</v>
      </c>
      <c r="D1391" s="5" t="s">
        <v>35</v>
      </c>
      <c r="E1391" s="5" t="s">
        <v>11416</v>
      </c>
      <c r="F1391" s="5" t="s">
        <v>524</v>
      </c>
      <c r="G1391" s="5" t="s">
        <v>11417</v>
      </c>
      <c r="H1391" s="6" t="s">
        <v>11418</v>
      </c>
      <c r="K1391" s="5" t="s">
        <v>11408</v>
      </c>
      <c r="M1391" s="5" t="s">
        <v>11419</v>
      </c>
      <c r="N1391" s="7" t="s">
        <v>11420</v>
      </c>
      <c r="O1391" s="8" t="str">
        <f>HYPERLINK("https://drive.google.com/file/d/1pDFi5Uc9ENuIR_wC2VEudYur5rgxzXq8/view?usp=drivesdk","1390_ANDRI SISWANTO  _ SERTIFIKAT BIMTEK IPASN BerAKHLASK")</f>
        <v>1390_ANDRI SISWANTO  _ SERTIFIKAT BIMTEK IPASN BerAKHLASK</v>
      </c>
      <c r="P1391" s="5" t="s">
        <v>11399</v>
      </c>
      <c r="Q1391" s="5"/>
      <c r="R1391" s="5"/>
      <c r="S1391" s="5"/>
      <c r="T1391" s="5"/>
    </row>
    <row r="1392" hidden="1">
      <c r="A1392" s="4">
        <v>45534.332998784725</v>
      </c>
      <c r="B1392" s="5" t="s">
        <v>19</v>
      </c>
      <c r="C1392" s="5" t="s">
        <v>3301</v>
      </c>
      <c r="E1392" s="5" t="s">
        <v>11421</v>
      </c>
      <c r="F1392" s="5" t="s">
        <v>72</v>
      </c>
      <c r="G1392" s="5" t="s">
        <v>11422</v>
      </c>
      <c r="H1392" s="6" t="s">
        <v>11423</v>
      </c>
      <c r="K1392" s="5" t="s">
        <v>11408</v>
      </c>
      <c r="M1392" s="5" t="s">
        <v>11424</v>
      </c>
      <c r="N1392" s="7" t="s">
        <v>11425</v>
      </c>
      <c r="O1392" s="8" t="str">
        <f>HYPERLINK("https://drive.google.com/file/d/18YOfoS2_E-KOM84cN9WXHuEw2BpgVxOK/view?usp=drivesdk","1391_SRI REJEKI IVANA  _ SERTIFIKAT BIMTEK IPASN BerAKHLASK")</f>
        <v>1391_SRI REJEKI IVANA  _ SERTIFIKAT BIMTEK IPASN BerAKHLASK</v>
      </c>
      <c r="P1392" s="5" t="s">
        <v>11426</v>
      </c>
      <c r="Q1392" s="5"/>
      <c r="R1392" s="5"/>
      <c r="S1392" s="5"/>
      <c r="T1392" s="5"/>
    </row>
    <row r="1393">
      <c r="A1393" s="4">
        <v>45534.33299983796</v>
      </c>
      <c r="B1393" s="5" t="s">
        <v>34</v>
      </c>
      <c r="D1393" s="5" t="s">
        <v>1206</v>
      </c>
      <c r="E1393" s="5" t="s">
        <v>11427</v>
      </c>
      <c r="F1393" s="5" t="s">
        <v>212</v>
      </c>
      <c r="G1393" s="5" t="s">
        <v>11428</v>
      </c>
      <c r="H1393" s="6" t="s">
        <v>11429</v>
      </c>
      <c r="K1393" s="5" t="s">
        <v>11408</v>
      </c>
      <c r="M1393" s="5" t="s">
        <v>11430</v>
      </c>
      <c r="N1393" s="7" t="s">
        <v>11431</v>
      </c>
      <c r="O1393" s="8" t="str">
        <f>HYPERLINK("https://drive.google.com/file/d/1Zd0a8TyxsK7wwUIBzUA8cBoPgov8qiXH/view?usp=drivesdk","1392_THEO ESAU THEEDENS _ SERTIFIKAT BIMTEK IPASN BerAKHLASK")</f>
        <v>1392_THEO ESAU THEEDENS _ SERTIFIKAT BIMTEK IPASN BerAKHLASK</v>
      </c>
      <c r="P1393" s="5" t="s">
        <v>11426</v>
      </c>
      <c r="Q1393" s="5"/>
      <c r="R1393" s="5"/>
      <c r="S1393" s="5"/>
      <c r="T1393" s="5"/>
    </row>
    <row r="1394">
      <c r="A1394" s="4">
        <v>45534.33302721065</v>
      </c>
      <c r="B1394" s="5" t="s">
        <v>34</v>
      </c>
      <c r="D1394" s="5" t="s">
        <v>1768</v>
      </c>
      <c r="E1394" s="5" t="s">
        <v>11432</v>
      </c>
      <c r="F1394" s="5" t="s">
        <v>108</v>
      </c>
      <c r="G1394" s="5" t="s">
        <v>11433</v>
      </c>
      <c r="H1394" s="6" t="s">
        <v>11434</v>
      </c>
      <c r="K1394" s="5" t="s">
        <v>11435</v>
      </c>
      <c r="M1394" s="5" t="s">
        <v>11436</v>
      </c>
      <c r="N1394" s="7" t="s">
        <v>11437</v>
      </c>
      <c r="O1394" s="8" t="str">
        <f>HYPERLINK("https://drive.google.com/file/d/1G74rDXw5m5HftY6UzRv-udshUa2mnR-p/view?usp=drivesdk","1393_SUNARDI SUNARDI _ SERTIFIKAT BIMTEK IPASN BerAKHLASK")</f>
        <v>1393_SUNARDI SUNARDI _ SERTIFIKAT BIMTEK IPASN BerAKHLASK</v>
      </c>
      <c r="P1394" s="5" t="s">
        <v>11426</v>
      </c>
      <c r="Q1394" s="5"/>
      <c r="R1394" s="5"/>
      <c r="S1394" s="5"/>
      <c r="T1394" s="5"/>
    </row>
    <row r="1395" hidden="1">
      <c r="A1395" s="4">
        <v>45534.333038576384</v>
      </c>
      <c r="B1395" s="5" t="s">
        <v>19</v>
      </c>
      <c r="C1395" s="5" t="s">
        <v>292</v>
      </c>
      <c r="E1395" s="5" t="s">
        <v>11438</v>
      </c>
      <c r="F1395" s="5" t="s">
        <v>212</v>
      </c>
      <c r="G1395" s="5" t="s">
        <v>11439</v>
      </c>
      <c r="H1395" s="6" t="s">
        <v>11440</v>
      </c>
      <c r="K1395" s="5" t="s">
        <v>11435</v>
      </c>
      <c r="M1395" s="5" t="s">
        <v>11441</v>
      </c>
      <c r="N1395" s="7" t="s">
        <v>11442</v>
      </c>
      <c r="O1395" s="8" t="str">
        <f>HYPERLINK("https://drive.google.com/file/d/1NXRfAN_c0V-T1cs_wsfXT-HstmwkCNMd/view?usp=drivesdk","1394_DENNY CAHYO WIBOWO  _ SERTIFIKAT BIMTEK IPASN BerAKHLASK")</f>
        <v>1394_DENNY CAHYO WIBOWO  _ SERTIFIKAT BIMTEK IPASN BerAKHLASK</v>
      </c>
      <c r="P1395" s="5" t="s">
        <v>11426</v>
      </c>
      <c r="Q1395" s="5"/>
      <c r="R1395" s="5"/>
      <c r="S1395" s="5"/>
      <c r="T1395" s="5"/>
    </row>
    <row r="1396">
      <c r="A1396" s="4">
        <v>45534.333064398146</v>
      </c>
      <c r="B1396" s="5" t="s">
        <v>34</v>
      </c>
      <c r="D1396" s="5" t="s">
        <v>9020</v>
      </c>
      <c r="E1396" s="5" t="s">
        <v>11443</v>
      </c>
      <c r="F1396" s="5" t="s">
        <v>524</v>
      </c>
      <c r="G1396" s="5" t="s">
        <v>11444</v>
      </c>
      <c r="H1396" s="6" t="s">
        <v>11445</v>
      </c>
      <c r="K1396" s="5" t="s">
        <v>11446</v>
      </c>
      <c r="M1396" s="5" t="s">
        <v>11447</v>
      </c>
      <c r="N1396" s="7" t="s">
        <v>11448</v>
      </c>
      <c r="O1396" s="8" t="str">
        <f>HYPERLINK("https://drive.google.com/file/d/1ivpDArZf-aQnpIxwVrXHx_B1PVaZjjt6/view?usp=drivesdk","1395_ASRITA WIDURI LUBIS _ SERTIFIKAT BIMTEK IPASN BerAKHLASK")</f>
        <v>1395_ASRITA WIDURI LUBIS _ SERTIFIKAT BIMTEK IPASN BerAKHLASK</v>
      </c>
      <c r="P1396" s="5" t="s">
        <v>11426</v>
      </c>
      <c r="Q1396" s="5"/>
      <c r="R1396" s="5"/>
      <c r="S1396" s="5"/>
      <c r="T1396" s="5"/>
    </row>
    <row r="1397">
      <c r="A1397" s="4">
        <v>45534.333086666666</v>
      </c>
      <c r="B1397" s="5" t="s">
        <v>34</v>
      </c>
      <c r="D1397" s="5" t="s">
        <v>280</v>
      </c>
      <c r="E1397" s="5" t="s">
        <v>11449</v>
      </c>
      <c r="F1397" s="5" t="s">
        <v>37</v>
      </c>
      <c r="G1397" s="5" t="s">
        <v>11450</v>
      </c>
      <c r="H1397" s="6" t="s">
        <v>11451</v>
      </c>
      <c r="K1397" s="5" t="s">
        <v>10493</v>
      </c>
      <c r="M1397" s="5" t="s">
        <v>11452</v>
      </c>
      <c r="N1397" s="7" t="s">
        <v>11453</v>
      </c>
      <c r="O1397" s="8" t="str">
        <f>HYPERLINK("https://drive.google.com/file/d/1JR1rxnkYWPipGbBZz2_W1pX-bE8sVpRX/view?usp=drivesdk","1396_SRI LESTARI POLSEK BATU AJI _ SERTIFIKAT BIMTEK IPASN BerAKHLASK")</f>
        <v>1396_SRI LESTARI POLSEK BATU AJI _ SERTIFIKAT BIMTEK IPASN BerAKHLASK</v>
      </c>
      <c r="P1397" s="5" t="s">
        <v>11454</v>
      </c>
      <c r="Q1397" s="5"/>
      <c r="R1397" s="5"/>
      <c r="S1397" s="5"/>
      <c r="T1397" s="5"/>
    </row>
    <row r="1398">
      <c r="A1398" s="4">
        <v>45534.333088761574</v>
      </c>
      <c r="B1398" s="5" t="s">
        <v>34</v>
      </c>
      <c r="D1398" s="5" t="s">
        <v>1206</v>
      </c>
      <c r="E1398" s="5" t="s">
        <v>11455</v>
      </c>
      <c r="F1398" s="5" t="s">
        <v>37</v>
      </c>
      <c r="G1398" s="5" t="s">
        <v>11456</v>
      </c>
      <c r="H1398" s="6" t="s">
        <v>11457</v>
      </c>
      <c r="K1398" s="5" t="s">
        <v>10493</v>
      </c>
      <c r="M1398" s="5" t="s">
        <v>11458</v>
      </c>
      <c r="N1398" s="7" t="s">
        <v>11459</v>
      </c>
      <c r="O1398" s="8" t="str">
        <f>HYPERLINK("https://drive.google.com/file/d/1XMpGQ46ePk8GIn7kdt6SInleSdePMWWe/view?usp=drivesdk","1397_NIHAYATUS SA'ADAH  _ SERTIFIKAT BIMTEK IPASN BerAKHLASK")</f>
        <v>1397_NIHAYATUS SA'ADAH  _ SERTIFIKAT BIMTEK IPASN BerAKHLASK</v>
      </c>
      <c r="P1398" s="5" t="s">
        <v>11454</v>
      </c>
      <c r="Q1398" s="5"/>
      <c r="R1398" s="5"/>
      <c r="S1398" s="5"/>
      <c r="T1398" s="5"/>
    </row>
    <row r="1399">
      <c r="A1399" s="4">
        <v>45534.33309619213</v>
      </c>
      <c r="B1399" s="5" t="s">
        <v>34</v>
      </c>
      <c r="D1399" s="5" t="s">
        <v>9020</v>
      </c>
      <c r="E1399" s="5" t="s">
        <v>11460</v>
      </c>
      <c r="F1399" s="5" t="s">
        <v>375</v>
      </c>
      <c r="G1399" s="5" t="s">
        <v>11461</v>
      </c>
      <c r="H1399" s="6" t="s">
        <v>11462</v>
      </c>
      <c r="K1399" s="5" t="s">
        <v>10493</v>
      </c>
      <c r="M1399" s="5" t="s">
        <v>11463</v>
      </c>
      <c r="N1399" s="7" t="s">
        <v>11464</v>
      </c>
      <c r="O1399" s="8" t="str">
        <f>HYPERLINK("https://drive.google.com/file/d/19kXFFgMOYB8N7rWQZl5XUNNC3ZVMH6uX/view?usp=drivesdk","1398_MASPERIATI TARIGAN  _ SERTIFIKAT BIMTEK IPASN BerAKHLASK")</f>
        <v>1398_MASPERIATI TARIGAN  _ SERTIFIKAT BIMTEK IPASN BerAKHLASK</v>
      </c>
      <c r="P1399" s="5" t="s">
        <v>11454</v>
      </c>
      <c r="Q1399" s="5"/>
      <c r="R1399" s="5"/>
      <c r="S1399" s="5"/>
      <c r="T1399" s="5"/>
    </row>
    <row r="1400">
      <c r="A1400" s="4">
        <v>45534.33310685185</v>
      </c>
      <c r="B1400" s="5" t="s">
        <v>34</v>
      </c>
      <c r="D1400" s="5" t="s">
        <v>6232</v>
      </c>
      <c r="E1400" s="5" t="s">
        <v>11465</v>
      </c>
      <c r="F1400" s="5" t="s">
        <v>37</v>
      </c>
      <c r="G1400" s="5" t="s">
        <v>11466</v>
      </c>
      <c r="H1400" s="6" t="s">
        <v>11467</v>
      </c>
      <c r="K1400" s="5" t="s">
        <v>10493</v>
      </c>
      <c r="M1400" s="5" t="s">
        <v>11468</v>
      </c>
      <c r="N1400" s="7" t="s">
        <v>11469</v>
      </c>
      <c r="O1400" s="8" t="str">
        <f>HYPERLINK("https://drive.google.com/file/d/19IczgYdlIhaWPUM8AazU0k3DD3EDf_pf/view?usp=drivesdk","1399_ENDAH SETIO RINI _ SERTIFIKAT BIMTEK IPASN BerAKHLASK")</f>
        <v>1399_ENDAH SETIO RINI _ SERTIFIKAT BIMTEK IPASN BerAKHLASK</v>
      </c>
      <c r="P1400" s="5" t="s">
        <v>11454</v>
      </c>
      <c r="Q1400" s="5"/>
      <c r="R1400" s="5"/>
      <c r="S1400" s="5"/>
      <c r="T1400" s="5"/>
    </row>
    <row r="1401">
      <c r="A1401" s="4">
        <v>45534.3331071875</v>
      </c>
      <c r="B1401" s="5" t="s">
        <v>34</v>
      </c>
      <c r="D1401" s="5" t="s">
        <v>1206</v>
      </c>
      <c r="E1401" s="5" t="s">
        <v>11470</v>
      </c>
      <c r="F1401" s="5" t="s">
        <v>37</v>
      </c>
      <c r="G1401" s="5" t="s">
        <v>11471</v>
      </c>
      <c r="H1401" s="6" t="s">
        <v>11472</v>
      </c>
      <c r="K1401" s="5" t="s">
        <v>10493</v>
      </c>
      <c r="M1401" s="5" t="s">
        <v>11473</v>
      </c>
      <c r="N1401" s="7" t="s">
        <v>11474</v>
      </c>
      <c r="O1401" s="8" t="str">
        <f>HYPERLINK("https://drive.google.com/file/d/184wDYPb6hw_GhbZOFEE6cqvCQGAa45ia/view?usp=drivesdk","1400_AYU PUSPITASARI _ SERTIFIKAT BIMTEK IPASN BerAKHLASK")</f>
        <v>1400_AYU PUSPITASARI _ SERTIFIKAT BIMTEK IPASN BerAKHLASK</v>
      </c>
      <c r="P1401" s="5" t="s">
        <v>11454</v>
      </c>
      <c r="Q1401" s="5"/>
      <c r="R1401" s="5"/>
      <c r="S1401" s="5"/>
      <c r="T1401" s="5"/>
    </row>
    <row r="1402">
      <c r="A1402" s="4">
        <v>45534.33311415509</v>
      </c>
      <c r="B1402" s="5" t="s">
        <v>34</v>
      </c>
      <c r="D1402" s="5" t="s">
        <v>1768</v>
      </c>
      <c r="E1402" s="5" t="s">
        <v>11475</v>
      </c>
      <c r="F1402" s="5" t="s">
        <v>212</v>
      </c>
      <c r="G1402" s="5" t="s">
        <v>11476</v>
      </c>
      <c r="H1402" s="6" t="s">
        <v>11477</v>
      </c>
      <c r="K1402" s="5" t="s">
        <v>10493</v>
      </c>
      <c r="M1402" s="5" t="s">
        <v>11478</v>
      </c>
      <c r="N1402" s="7" t="s">
        <v>11479</v>
      </c>
      <c r="O1402" s="8" t="str">
        <f>HYPERLINK("https://drive.google.com/file/d/1foEwzPp5OBMTMxX1Ol9V2yzHOvtwmTU8/view?usp=drivesdk","1401_ARKAS MARSIDAH AGUSTINI, S.Tr.Keb _ SERTIFIKAT BIMTEK IPASN BerAKHLASK")</f>
        <v>1401_ARKAS MARSIDAH AGUSTINI, S.Tr.Keb _ SERTIFIKAT BIMTEK IPASN BerAKHLASK</v>
      </c>
      <c r="P1402" s="5" t="s">
        <v>11480</v>
      </c>
      <c r="Q1402" s="5"/>
      <c r="R1402" s="5"/>
      <c r="S1402" s="5"/>
      <c r="T1402" s="5"/>
    </row>
    <row r="1403" hidden="1">
      <c r="A1403" s="4">
        <v>45534.333119953706</v>
      </c>
      <c r="B1403" s="5" t="s">
        <v>19</v>
      </c>
      <c r="C1403" s="5" t="s">
        <v>442</v>
      </c>
      <c r="E1403" s="5" t="s">
        <v>11481</v>
      </c>
      <c r="F1403" s="5" t="s">
        <v>120</v>
      </c>
      <c r="G1403" s="5" t="s">
        <v>11482</v>
      </c>
      <c r="H1403" s="6" t="s">
        <v>11483</v>
      </c>
      <c r="K1403" s="5" t="s">
        <v>10493</v>
      </c>
      <c r="M1403" s="5" t="s">
        <v>11484</v>
      </c>
      <c r="N1403" s="7" t="s">
        <v>11485</v>
      </c>
      <c r="O1403" s="8" t="str">
        <f>HYPERLINK("https://drive.google.com/file/d/1eG9i_PJOcrdN29CcE6gpA8ecX7P6oPpV/view?usp=drivesdk","1402_RIRIN SULISTIYANI, S.E. _ SERTIFIKAT BIMTEK IPASN BerAKHLASK")</f>
        <v>1402_RIRIN SULISTIYANI, S.E. _ SERTIFIKAT BIMTEK IPASN BerAKHLASK</v>
      </c>
      <c r="P1403" s="5" t="s">
        <v>11480</v>
      </c>
      <c r="Q1403" s="5"/>
      <c r="R1403" s="5"/>
      <c r="S1403" s="5"/>
      <c r="T1403" s="5"/>
    </row>
    <row r="1404">
      <c r="A1404" s="4">
        <v>45534.33313078704</v>
      </c>
      <c r="B1404" s="5" t="s">
        <v>34</v>
      </c>
      <c r="D1404" s="5" t="s">
        <v>1206</v>
      </c>
      <c r="E1404" s="5" t="s">
        <v>11486</v>
      </c>
      <c r="F1404" s="5" t="s">
        <v>524</v>
      </c>
      <c r="G1404" s="5" t="s">
        <v>11487</v>
      </c>
      <c r="H1404" s="6" t="s">
        <v>11488</v>
      </c>
      <c r="K1404" s="5" t="s">
        <v>10493</v>
      </c>
      <c r="M1404" s="5" t="s">
        <v>11489</v>
      </c>
      <c r="N1404" s="7" t="s">
        <v>11490</v>
      </c>
      <c r="O1404" s="8" t="str">
        <f>HYPERLINK("https://drive.google.com/file/d/1TiYSZVJJpAQC7wxNUWjJfs-PRpi4n4ug/view?usp=drivesdk","1403_SITI HASANAH,AMD.KEB _ SERTIFIKAT BIMTEK IPASN BerAKHLASK")</f>
        <v>1403_SITI HASANAH,AMD.KEB _ SERTIFIKAT BIMTEK IPASN BerAKHLASK</v>
      </c>
      <c r="P1404" s="5" t="s">
        <v>11480</v>
      </c>
      <c r="Q1404" s="5"/>
      <c r="R1404" s="5"/>
      <c r="S1404" s="5"/>
      <c r="T1404" s="5"/>
    </row>
    <row r="1405" hidden="1">
      <c r="A1405" s="4">
        <v>45534.33313940972</v>
      </c>
      <c r="B1405" s="5" t="s">
        <v>19</v>
      </c>
      <c r="C1405" s="5" t="s">
        <v>292</v>
      </c>
      <c r="E1405" s="5" t="s">
        <v>11491</v>
      </c>
      <c r="F1405" s="5" t="s">
        <v>108</v>
      </c>
      <c r="G1405" s="5" t="s">
        <v>11492</v>
      </c>
      <c r="H1405" s="6" t="s">
        <v>11493</v>
      </c>
      <c r="I1405" s="7" t="s">
        <v>11494</v>
      </c>
      <c r="J1405" s="8" t="str">
        <f>HYPERLINK("https://drive.google.com/file/d/1LTxDiD3TDYtizJBbGCF6IoSsIfG1SfiC/view?usp=drivesdk","SRI SUDYANINGSIH SERTIFIKAT BerAKHLAK")</f>
        <v>SRI SUDYANINGSIH SERTIFIKAT BerAKHLAK</v>
      </c>
      <c r="K1405" s="5" t="s">
        <v>10464</v>
      </c>
      <c r="L1405" s="5" t="s">
        <v>11495</v>
      </c>
      <c r="M1405" s="5" t="s">
        <v>11496</v>
      </c>
      <c r="N1405" s="7" t="s">
        <v>11497</v>
      </c>
      <c r="O1405" s="8" t="str">
        <f>HYPERLINK("https://drive.google.com/file/d/1DIuF91UjIMkdW2Q8FOw6BKfq4oQGbG_f/view?usp=drivesdk","1404_SRI SUDYANINGSIH _ SERTIFIKAT BIMTEK IPASN BerAKHLASK")</f>
        <v>1404_SRI SUDYANINGSIH _ SERTIFIKAT BIMTEK IPASN BerAKHLASK</v>
      </c>
      <c r="P1405" s="5" t="s">
        <v>11480</v>
      </c>
      <c r="Q1405" s="5"/>
      <c r="R1405" s="5"/>
      <c r="S1405" s="5"/>
      <c r="T1405" s="5"/>
    </row>
    <row r="1406">
      <c r="A1406" s="4">
        <v>45534.333156759254</v>
      </c>
      <c r="B1406" s="5" t="s">
        <v>34</v>
      </c>
      <c r="D1406" s="5" t="s">
        <v>6232</v>
      </c>
      <c r="E1406" s="5" t="s">
        <v>11498</v>
      </c>
      <c r="F1406" s="5" t="s">
        <v>72</v>
      </c>
      <c r="G1406" s="5" t="s">
        <v>11499</v>
      </c>
      <c r="H1406" s="6" t="s">
        <v>11500</v>
      </c>
      <c r="I1406" s="7" t="s">
        <v>11501</v>
      </c>
      <c r="J1406" s="8" t="str">
        <f>HYPERLINK("https://drive.google.com/file/d/1yrlTxU1-5lWkl4OXKQK7UWC7epmi53SE/view?usp=drivesdk","ANDINA AZRIANTI,AMd.,Farm.SKM SERTIFIKAT BerAKHLAK")</f>
        <v>ANDINA AZRIANTI,AMd.,Farm.SKM SERTIFIKAT BerAKHLAK</v>
      </c>
      <c r="K1406" s="5" t="s">
        <v>10464</v>
      </c>
      <c r="L1406" s="5" t="s">
        <v>11502</v>
      </c>
      <c r="M1406" s="5" t="s">
        <v>11503</v>
      </c>
      <c r="N1406" s="7" t="s">
        <v>11504</v>
      </c>
      <c r="O1406" s="8" t="str">
        <f>HYPERLINK("https://drive.google.com/file/d/18c3F9Nl3USw9ex8trWEoc4UlLpirO9an/view?usp=drivesdk","1405_ANDINA AZRIANTI,AMd.,Farm.SKM _ SERTIFIKAT BIMTEK IPASN BerAKHLASK")</f>
        <v>1405_ANDINA AZRIANTI,AMd.,Farm.SKM _ SERTIFIKAT BIMTEK IPASN BerAKHLASK</v>
      </c>
      <c r="P1406" s="5" t="s">
        <v>11480</v>
      </c>
      <c r="Q1406" s="5"/>
      <c r="R1406" s="5"/>
      <c r="S1406" s="5"/>
      <c r="T1406" s="5"/>
    </row>
    <row r="1407">
      <c r="A1407" s="4">
        <v>45534.3331690625</v>
      </c>
      <c r="B1407" s="5" t="s">
        <v>34</v>
      </c>
      <c r="D1407" s="5" t="s">
        <v>580</v>
      </c>
      <c r="E1407" s="5" t="s">
        <v>11505</v>
      </c>
      <c r="F1407" s="5" t="s">
        <v>375</v>
      </c>
      <c r="G1407" s="5" t="s">
        <v>11506</v>
      </c>
      <c r="H1407" s="6" t="s">
        <v>11507</v>
      </c>
      <c r="I1407" s="7" t="s">
        <v>11508</v>
      </c>
      <c r="J1407" s="8" t="str">
        <f>HYPERLINK("https://drive.google.com/file/d/11ESDCuN6o6ATxbHa25-VtQiea8uNTvFv/view?usp=drivesdk","NI LUH PUTU SUMARIYATI, S.E. SERTIFIKAT BerAKHLAK")</f>
        <v>NI LUH PUTU SUMARIYATI, S.E. SERTIFIKAT BerAKHLAK</v>
      </c>
      <c r="K1407" s="5" t="s">
        <v>10486</v>
      </c>
      <c r="L1407" s="5" t="s">
        <v>11509</v>
      </c>
      <c r="M1407" s="5" t="s">
        <v>11510</v>
      </c>
      <c r="N1407" s="7" t="s">
        <v>11511</v>
      </c>
      <c r="O1407" s="8" t="str">
        <f>HYPERLINK("https://drive.google.com/file/d/1I1MvP5YzFdYs6tVCGGG7Ei5jyUelAwma/view?usp=drivesdk","1406_NI LUH PUTU SUMARIYATI, S.E. _ SERTIFIKAT BIMTEK IPASN BerAKHLASK")</f>
        <v>1406_NI LUH PUTU SUMARIYATI, S.E. _ SERTIFIKAT BIMTEK IPASN BerAKHLASK</v>
      </c>
      <c r="P1407" s="5" t="s">
        <v>11512</v>
      </c>
      <c r="Q1407" s="5"/>
      <c r="R1407" s="5"/>
      <c r="S1407" s="5"/>
      <c r="T1407" s="5"/>
    </row>
    <row r="1408">
      <c r="A1408" s="4">
        <v>45534.33319695602</v>
      </c>
      <c r="B1408" s="5" t="s">
        <v>34</v>
      </c>
      <c r="D1408" s="5" t="s">
        <v>35</v>
      </c>
      <c r="E1408" s="5" t="s">
        <v>11513</v>
      </c>
      <c r="F1408" s="5" t="s">
        <v>212</v>
      </c>
      <c r="G1408" s="5" t="s">
        <v>11514</v>
      </c>
      <c r="H1408" s="6" t="s">
        <v>11515</v>
      </c>
      <c r="I1408" s="7" t="s">
        <v>11516</v>
      </c>
      <c r="J1408" s="8" t="str">
        <f>HYPERLINK("https://drive.google.com/file/d/102xhk2Uumw-KnhmR56D-LHTHBunm-hMF/view?usp=drivesdk","SITI KHAMIDAH SERTIFIKAT BerAKHLAK")</f>
        <v>SITI KHAMIDAH SERTIFIKAT BerAKHLAK</v>
      </c>
      <c r="K1408" s="5" t="s">
        <v>10486</v>
      </c>
      <c r="L1408" s="5" t="s">
        <v>11517</v>
      </c>
      <c r="M1408" s="5" t="s">
        <v>11518</v>
      </c>
      <c r="N1408" s="7" t="s">
        <v>11519</v>
      </c>
      <c r="O1408" s="8" t="str">
        <f>HYPERLINK("https://drive.google.com/file/d/18Q9Xe3QuX315oYOPRBCka5n_nmnQtQZc/view?usp=drivesdk","1407_SITI KHAMIDAH _ SERTIFIKAT BIMTEK IPASN BerAKHLASK")</f>
        <v>1407_SITI KHAMIDAH _ SERTIFIKAT BIMTEK IPASN BerAKHLASK</v>
      </c>
      <c r="P1408" s="5" t="s">
        <v>11512</v>
      </c>
      <c r="Q1408" s="5"/>
      <c r="R1408" s="5"/>
      <c r="S1408" s="5"/>
      <c r="T1408" s="5"/>
    </row>
    <row r="1409">
      <c r="A1409" s="4">
        <v>45534.333202256945</v>
      </c>
      <c r="B1409" s="5" t="s">
        <v>34</v>
      </c>
      <c r="D1409" s="5" t="s">
        <v>35</v>
      </c>
      <c r="E1409" s="5" t="s">
        <v>11520</v>
      </c>
      <c r="F1409" s="5" t="s">
        <v>108</v>
      </c>
      <c r="G1409" s="5" t="s">
        <v>11521</v>
      </c>
      <c r="H1409" s="6" t="s">
        <v>11522</v>
      </c>
      <c r="I1409" s="7" t="s">
        <v>11523</v>
      </c>
      <c r="J1409" s="8" t="str">
        <f>HYPERLINK("https://drive.google.com/file/d/1sW-ywNTjVw0byhM79hl29sOINaq6nglj/view?usp=drivesdk","RIMA RAKHMAWATI SERTIFIKAT BerAKHLAK")</f>
        <v>RIMA RAKHMAWATI SERTIFIKAT BerAKHLAK</v>
      </c>
      <c r="K1409" s="5" t="s">
        <v>10486</v>
      </c>
      <c r="L1409" s="5" t="s">
        <v>11524</v>
      </c>
      <c r="M1409" s="5" t="s">
        <v>11525</v>
      </c>
      <c r="N1409" s="7" t="s">
        <v>11526</v>
      </c>
      <c r="O1409" s="8" t="str">
        <f>HYPERLINK("https://drive.google.com/file/d/15vFz8tr7hCGULMZ9KhrATF0f4YZ9rmiY/view?usp=drivesdk","1408_RIMA RAKHMAWATI _ SERTIFIKAT BIMTEK IPASN BerAKHLASK")</f>
        <v>1408_RIMA RAKHMAWATI _ SERTIFIKAT BIMTEK IPASN BerAKHLASK</v>
      </c>
      <c r="P1409" s="5" t="s">
        <v>11512</v>
      </c>
      <c r="Q1409" s="5"/>
      <c r="R1409" s="5"/>
      <c r="S1409" s="5"/>
      <c r="T1409" s="5"/>
    </row>
    <row r="1410">
      <c r="A1410" s="4">
        <v>45534.33320653935</v>
      </c>
      <c r="B1410" s="5" t="s">
        <v>34</v>
      </c>
      <c r="D1410" s="5" t="s">
        <v>11527</v>
      </c>
      <c r="E1410" s="5" t="s">
        <v>11528</v>
      </c>
      <c r="F1410" s="5" t="s">
        <v>199</v>
      </c>
      <c r="G1410" s="5" t="s">
        <v>11529</v>
      </c>
      <c r="H1410" s="6" t="s">
        <v>11530</v>
      </c>
      <c r="I1410" s="7" t="s">
        <v>11531</v>
      </c>
      <c r="J1410" s="8" t="str">
        <f>HYPERLINK("https://drive.google.com/file/d/1dbgbPBH1d2L9Xkma4_r770mtSgso4plX/view?usp=drivesdk","ARNOL STEVEN ANIS SERTIFIKAT BerAKHLAK")</f>
        <v>ARNOL STEVEN ANIS SERTIFIKAT BerAKHLAK</v>
      </c>
      <c r="K1410" s="5" t="s">
        <v>10486</v>
      </c>
      <c r="L1410" s="5" t="s">
        <v>11532</v>
      </c>
      <c r="M1410" s="5" t="s">
        <v>11533</v>
      </c>
      <c r="N1410" s="7" t="s">
        <v>11534</v>
      </c>
      <c r="O1410" s="8" t="str">
        <f>HYPERLINK("https://drive.google.com/file/d/1oIe_0xzuPdMW8eawFv_HiPXS4EJ7yeO4/view?usp=drivesdk","1409_ARNOL STEVEN ANIS _ SERTIFIKAT BIMTEK IPASN BerAKHLASK")</f>
        <v>1409_ARNOL STEVEN ANIS _ SERTIFIKAT BIMTEK IPASN BerAKHLASK</v>
      </c>
      <c r="P1410" s="5" t="s">
        <v>11512</v>
      </c>
      <c r="Q1410" s="5"/>
      <c r="R1410" s="5"/>
      <c r="S1410" s="5"/>
      <c r="T1410" s="5"/>
    </row>
    <row r="1411">
      <c r="A1411" s="4">
        <v>45534.3332093287</v>
      </c>
      <c r="B1411" s="5" t="s">
        <v>34</v>
      </c>
      <c r="D1411" s="5" t="s">
        <v>35</v>
      </c>
      <c r="E1411" s="5" t="s">
        <v>11535</v>
      </c>
      <c r="F1411" s="5" t="s">
        <v>37</v>
      </c>
      <c r="G1411" s="5" t="s">
        <v>11536</v>
      </c>
      <c r="H1411" s="6" t="s">
        <v>11537</v>
      </c>
      <c r="I1411" s="7" t="s">
        <v>11538</v>
      </c>
      <c r="J1411" s="8" t="str">
        <f>HYPERLINK("https://drive.google.com/file/d/1H_-A5AwKrpnYJPcsqKlBFbDB8z0euiZ_/view?usp=drivesdk","NUNUNG NURHAENENGSIH SERTIFIKAT BerAKHLAK")</f>
        <v>NUNUNG NURHAENENGSIH SERTIFIKAT BerAKHLAK</v>
      </c>
      <c r="K1411" s="5" t="s">
        <v>10486</v>
      </c>
      <c r="L1411" s="5" t="s">
        <v>11539</v>
      </c>
      <c r="M1411" s="5" t="s">
        <v>11540</v>
      </c>
      <c r="N1411" s="7" t="s">
        <v>11541</v>
      </c>
      <c r="O1411" s="8" t="str">
        <f>HYPERLINK("https://drive.google.com/file/d/1Mn1wLdzivCIGfsdvhkBFovPPQd9rXjbT/view?usp=drivesdk","1410_NUNUNG NURHAENENGSIH _ SERTIFIKAT BIMTEK IPASN BerAKHLASK")</f>
        <v>1410_NUNUNG NURHAENENGSIH _ SERTIFIKAT BIMTEK IPASN BerAKHLASK</v>
      </c>
      <c r="P1411" s="5" t="s">
        <v>11512</v>
      </c>
      <c r="Q1411" s="5"/>
      <c r="R1411" s="5"/>
      <c r="S1411" s="5"/>
      <c r="T1411" s="5"/>
    </row>
    <row r="1412">
      <c r="A1412" s="4">
        <v>45534.33321351852</v>
      </c>
      <c r="B1412" s="5" t="s">
        <v>34</v>
      </c>
      <c r="D1412" s="5" t="s">
        <v>6232</v>
      </c>
      <c r="E1412" s="5" t="s">
        <v>11542</v>
      </c>
      <c r="F1412" s="5" t="s">
        <v>72</v>
      </c>
      <c r="G1412" s="5" t="s">
        <v>11543</v>
      </c>
      <c r="H1412" s="6" t="s">
        <v>11544</v>
      </c>
      <c r="I1412" s="7" t="s">
        <v>11545</v>
      </c>
      <c r="J1412" s="8" t="str">
        <f>HYPERLINK("https://drive.google.com/file/d/1ISv-YENqMhly8BcBIxL_E0uysKSftnxS/view?usp=drivesdk","IDA DUMA ANNIEKE S.H. SERTIFIKAT BerAKHLAK")</f>
        <v>IDA DUMA ANNIEKE S.H. SERTIFIKAT BerAKHLAK</v>
      </c>
      <c r="K1412" s="5" t="s">
        <v>10486</v>
      </c>
      <c r="L1412" s="5" t="s">
        <v>11546</v>
      </c>
      <c r="M1412" s="5" t="s">
        <v>11547</v>
      </c>
      <c r="N1412" s="7" t="s">
        <v>11548</v>
      </c>
      <c r="O1412" s="8" t="str">
        <f>HYPERLINK("https://drive.google.com/file/d/1Wd_bg1gtCASEMcxrZchF7QW1oaioSxUr/view?usp=drivesdk","1411_IDA DUMA ANNIEKE S.H. _ SERTIFIKAT BIMTEK IPASN BerAKHLASK")</f>
        <v>1411_IDA DUMA ANNIEKE S.H. _ SERTIFIKAT BIMTEK IPASN BerAKHLASK</v>
      </c>
      <c r="P1412" s="5" t="s">
        <v>11512</v>
      </c>
      <c r="Q1412" s="5"/>
      <c r="R1412" s="5"/>
      <c r="S1412" s="5"/>
      <c r="T1412" s="5"/>
    </row>
    <row r="1413">
      <c r="A1413" s="4">
        <v>45534.333219340275</v>
      </c>
      <c r="B1413" s="5" t="s">
        <v>34</v>
      </c>
      <c r="D1413" s="5" t="s">
        <v>10444</v>
      </c>
      <c r="E1413" s="5" t="s">
        <v>11549</v>
      </c>
      <c r="F1413" s="5" t="s">
        <v>120</v>
      </c>
      <c r="G1413" s="5" t="s">
        <v>11550</v>
      </c>
      <c r="H1413" s="6" t="s">
        <v>11551</v>
      </c>
      <c r="I1413" s="7" t="s">
        <v>11552</v>
      </c>
      <c r="J1413" s="8" t="str">
        <f>HYPERLINK("https://drive.google.com/file/d/1aQrzrLQYMfCU50DcYUagouK6k97y-kau/view?usp=drivesdk","AMBAR PRATIWI KARINO, S.E. SERTIFIKAT BerAKHLAK")</f>
        <v>AMBAR PRATIWI KARINO, S.E. SERTIFIKAT BerAKHLAK</v>
      </c>
      <c r="K1413" s="5" t="s">
        <v>10486</v>
      </c>
      <c r="L1413" s="5" t="s">
        <v>11553</v>
      </c>
      <c r="M1413" s="5" t="s">
        <v>11554</v>
      </c>
      <c r="N1413" s="7" t="s">
        <v>11555</v>
      </c>
      <c r="O1413" s="8" t="str">
        <f>HYPERLINK("https://drive.google.com/file/d/12S1iWUlqCgMSugRG6Z8vCB3h8xVuTzkD/view?usp=drivesdk","1412_AMBAR PRATIWI KARINO, S.E. _ SERTIFIKAT BIMTEK IPASN BerAKHLASK")</f>
        <v>1412_AMBAR PRATIWI KARINO, S.E. _ SERTIFIKAT BIMTEK IPASN BerAKHLASK</v>
      </c>
      <c r="P1413" s="5" t="s">
        <v>11556</v>
      </c>
      <c r="Q1413" s="5"/>
      <c r="R1413" s="5"/>
      <c r="S1413" s="5"/>
      <c r="T1413" s="5"/>
    </row>
    <row r="1414" hidden="1">
      <c r="A1414" s="4">
        <v>45534.333231956014</v>
      </c>
      <c r="B1414" s="5" t="s">
        <v>19</v>
      </c>
      <c r="C1414" s="5" t="s">
        <v>466</v>
      </c>
      <c r="E1414" s="5" t="s">
        <v>11557</v>
      </c>
      <c r="F1414" s="5" t="s">
        <v>212</v>
      </c>
      <c r="G1414" s="5" t="s">
        <v>11558</v>
      </c>
      <c r="H1414" s="6" t="s">
        <v>11559</v>
      </c>
      <c r="I1414" s="7" t="s">
        <v>11560</v>
      </c>
      <c r="J1414" s="8" t="str">
        <f>HYPERLINK("https://drive.google.com/file/d/1H1LFPRmLBvjO7Dh8-K-IGOeedrifcRhK/view?usp=drivesdk","SINGGIH SUPANTO SERTIFIKAT BerAKHLAK")</f>
        <v>SINGGIH SUPANTO SERTIFIKAT BerAKHLAK</v>
      </c>
      <c r="K1414" s="5" t="s">
        <v>10486</v>
      </c>
      <c r="L1414" s="5" t="s">
        <v>11561</v>
      </c>
      <c r="M1414" s="5" t="s">
        <v>11562</v>
      </c>
      <c r="N1414" s="7" t="s">
        <v>11563</v>
      </c>
      <c r="O1414" s="8" t="str">
        <f>HYPERLINK("https://drive.google.com/file/d/1wIOSu4CTihp_CjB8FBvB6Q4M9vv6G3_L/view?usp=drivesdk","1413_SINGGIH SUPANTO _ SERTIFIKAT BIMTEK IPASN BerAKHLASK")</f>
        <v>1413_SINGGIH SUPANTO _ SERTIFIKAT BIMTEK IPASN BerAKHLASK</v>
      </c>
      <c r="P1414" s="5" t="s">
        <v>11556</v>
      </c>
      <c r="Q1414" s="5"/>
      <c r="R1414" s="5"/>
      <c r="S1414" s="5"/>
      <c r="T1414" s="5"/>
    </row>
    <row r="1415" hidden="1">
      <c r="A1415" s="4">
        <v>45534.333234861115</v>
      </c>
      <c r="B1415" s="5" t="s">
        <v>19</v>
      </c>
      <c r="C1415" s="5" t="s">
        <v>20</v>
      </c>
      <c r="E1415" s="5" t="s">
        <v>11564</v>
      </c>
      <c r="F1415" s="5" t="s">
        <v>72</v>
      </c>
      <c r="G1415" s="5" t="s">
        <v>11565</v>
      </c>
      <c r="H1415" s="6" t="s">
        <v>11566</v>
      </c>
      <c r="I1415" s="7" t="s">
        <v>11567</v>
      </c>
      <c r="J1415" s="8" t="str">
        <f>HYPERLINK("https://drive.google.com/file/d/1mrTX-EW8z9TtJL9M4_BynB_9L2xYXf7e/view?usp=drivesdk","BAMBANG JOKO PURWANTO SERTIFIKAT BerAKHLAK")</f>
        <v>BAMBANG JOKO PURWANTO SERTIFIKAT BerAKHLAK</v>
      </c>
      <c r="K1415" s="5" t="s">
        <v>10486</v>
      </c>
      <c r="L1415" s="5" t="s">
        <v>11568</v>
      </c>
      <c r="M1415" s="5" t="s">
        <v>11569</v>
      </c>
      <c r="N1415" s="7" t="s">
        <v>11570</v>
      </c>
      <c r="O1415" s="8" t="str">
        <f>HYPERLINK("https://drive.google.com/file/d/1AfdQEeZz9sgTAinkKVUM89SFVro7oodP/view?usp=drivesdk","1414_BAMBANG JOKO PURWANTO _ SERTIFIKAT BIMTEK IPASN BerAKHLASK")</f>
        <v>1414_BAMBANG JOKO PURWANTO _ SERTIFIKAT BIMTEK IPASN BerAKHLASK</v>
      </c>
      <c r="P1415" s="5" t="s">
        <v>11556</v>
      </c>
      <c r="Q1415" s="5"/>
      <c r="R1415" s="5"/>
      <c r="S1415" s="5"/>
      <c r="T1415" s="5"/>
    </row>
    <row r="1416">
      <c r="A1416" s="4">
        <v>45534.333242395835</v>
      </c>
      <c r="B1416" s="5" t="s">
        <v>34</v>
      </c>
      <c r="D1416" s="5" t="s">
        <v>35</v>
      </c>
      <c r="E1416" s="5" t="s">
        <v>11571</v>
      </c>
      <c r="F1416" s="5" t="s">
        <v>37</v>
      </c>
      <c r="G1416" s="5" t="s">
        <v>11572</v>
      </c>
      <c r="H1416" s="6" t="s">
        <v>11573</v>
      </c>
      <c r="I1416" s="7" t="s">
        <v>11574</v>
      </c>
      <c r="J1416" s="8" t="str">
        <f>HYPERLINK("https://drive.google.com/file/d/1yeQW99nM-TjqIRP78OUA-m3XbANm2e58/view?usp=drivesdk","CHAINUN PRIHATINI SERTIFIKAT BerAKHLAK")</f>
        <v>CHAINUN PRIHATINI SERTIFIKAT BerAKHLAK</v>
      </c>
      <c r="K1416" s="5" t="s">
        <v>10486</v>
      </c>
      <c r="L1416" s="5" t="s">
        <v>11575</v>
      </c>
      <c r="M1416" s="5" t="s">
        <v>11576</v>
      </c>
      <c r="N1416" s="7" t="s">
        <v>11577</v>
      </c>
      <c r="O1416" s="8" t="str">
        <f>HYPERLINK("https://drive.google.com/file/d/1K3mRCOS_sqKt7JZFeOYQzzwWqsLDsV_4/view?usp=drivesdk","1415_CHAINUN PRIHATINI _ SERTIFIKAT BIMTEK IPASN BerAKHLASK")</f>
        <v>1415_CHAINUN PRIHATINI _ SERTIFIKAT BIMTEK IPASN BerAKHLASK</v>
      </c>
      <c r="P1416" s="5" t="s">
        <v>11556</v>
      </c>
      <c r="Q1416" s="5"/>
      <c r="R1416" s="5"/>
      <c r="S1416" s="5"/>
      <c r="T1416" s="5"/>
    </row>
    <row r="1417" hidden="1">
      <c r="A1417" s="4">
        <v>45534.333242824076</v>
      </c>
      <c r="B1417" s="5" t="s">
        <v>19</v>
      </c>
      <c r="C1417" s="5" t="s">
        <v>292</v>
      </c>
      <c r="E1417" s="5" t="s">
        <v>11578</v>
      </c>
      <c r="F1417" s="5" t="s">
        <v>524</v>
      </c>
      <c r="G1417" s="5" t="s">
        <v>11579</v>
      </c>
      <c r="H1417" s="6" t="s">
        <v>11580</v>
      </c>
      <c r="I1417" s="7" t="s">
        <v>11581</v>
      </c>
      <c r="J1417" s="8" t="str">
        <f>HYPERLINK("https://drive.google.com/file/d/14qMwgNqbTBJcYY1DZBH8YhsBKpE2NlI9/view?usp=drivesdk","AFNI SURAHMAN  SERTIFIKAT BerAKHLAK")</f>
        <v>AFNI SURAHMAN  SERTIFIKAT BerAKHLAK</v>
      </c>
      <c r="K1417" s="5" t="s">
        <v>10486</v>
      </c>
      <c r="L1417" s="5" t="s">
        <v>11582</v>
      </c>
      <c r="M1417" s="5" t="s">
        <v>11583</v>
      </c>
      <c r="N1417" s="7" t="s">
        <v>11584</v>
      </c>
      <c r="O1417" s="8" t="str">
        <f>HYPERLINK("https://drive.google.com/file/d/17_Ld7Z2VztmX6b4q2NCsDTox_qidV4k4/view?usp=drivesdk","1416_AFNI SURAHMAN  _ SERTIFIKAT BIMTEK IPASN BerAKHLASK")</f>
        <v>1416_AFNI SURAHMAN  _ SERTIFIKAT BIMTEK IPASN BerAKHLASK</v>
      </c>
      <c r="P1417" s="5" t="s">
        <v>11556</v>
      </c>
      <c r="Q1417" s="5"/>
      <c r="R1417" s="5"/>
      <c r="S1417" s="5"/>
      <c r="T1417" s="5"/>
    </row>
    <row r="1418">
      <c r="A1418" s="4">
        <v>45534.33325028935</v>
      </c>
      <c r="B1418" s="5" t="s">
        <v>34</v>
      </c>
      <c r="D1418" s="5" t="s">
        <v>35</v>
      </c>
      <c r="E1418" s="5" t="s">
        <v>11585</v>
      </c>
      <c r="F1418" s="5" t="s">
        <v>212</v>
      </c>
      <c r="G1418" s="5" t="s">
        <v>11586</v>
      </c>
      <c r="H1418" s="6" t="s">
        <v>11587</v>
      </c>
      <c r="I1418" s="7" t="s">
        <v>11588</v>
      </c>
      <c r="J1418" s="8" t="str">
        <f>HYPERLINK("https://drive.google.com/file/d/1Bm_75_2j8oSHh2N-pq_DrnaOidt-yaDS/view?usp=drivesdk","SUGIARTIYUSROTUN SERTIFIKAT BerAKHLAK")</f>
        <v>SUGIARTIYUSROTUN SERTIFIKAT BerAKHLAK</v>
      </c>
      <c r="K1418" s="5" t="s">
        <v>10486</v>
      </c>
      <c r="L1418" s="5" t="s">
        <v>11589</v>
      </c>
      <c r="M1418" s="5" t="s">
        <v>11590</v>
      </c>
      <c r="N1418" s="7" t="s">
        <v>11591</v>
      </c>
      <c r="O1418" s="8" t="str">
        <f>HYPERLINK("https://drive.google.com/file/d/1nc4gx0Z3FFvjxJhMRajP0ybHcx8Q2M5a/view?usp=drivesdk","1417_SUGIARTIYUSROTUN _ SERTIFIKAT BIMTEK IPASN BerAKHLASK")</f>
        <v>1417_SUGIARTIYUSROTUN _ SERTIFIKAT BIMTEK IPASN BerAKHLASK</v>
      </c>
      <c r="P1418" s="5" t="s">
        <v>11592</v>
      </c>
      <c r="Q1418" s="5"/>
      <c r="R1418" s="5"/>
      <c r="S1418" s="5"/>
      <c r="T1418" s="5"/>
    </row>
    <row r="1419" hidden="1">
      <c r="A1419" s="4">
        <v>45534.33326501158</v>
      </c>
      <c r="B1419" s="5" t="s">
        <v>19</v>
      </c>
      <c r="C1419" s="5" t="s">
        <v>11593</v>
      </c>
      <c r="E1419" s="5" t="s">
        <v>11594</v>
      </c>
      <c r="F1419" s="5" t="s">
        <v>375</v>
      </c>
      <c r="G1419" s="5" t="s">
        <v>11595</v>
      </c>
      <c r="H1419" s="6" t="s">
        <v>11596</v>
      </c>
      <c r="I1419" s="7" t="s">
        <v>11597</v>
      </c>
      <c r="J1419" s="8" t="str">
        <f>HYPERLINK("https://drive.google.com/file/d/1DcXLL62kEHXx_7gAgsg5HXs3UPoExkoK/view?usp=drivesdk","HADI BUDIYANTO, S.SOS SERTIFIKAT BerAKHLAK")</f>
        <v>HADI BUDIYANTO, S.SOS SERTIFIKAT BerAKHLAK</v>
      </c>
      <c r="K1419" s="5" t="s">
        <v>10486</v>
      </c>
      <c r="L1419" s="5" t="s">
        <v>11598</v>
      </c>
      <c r="M1419" s="5" t="s">
        <v>11599</v>
      </c>
      <c r="N1419" s="7" t="s">
        <v>11600</v>
      </c>
      <c r="O1419" s="8" t="str">
        <f>HYPERLINK("https://drive.google.com/file/d/1b1hKudplxjEj1TG2veP_CcFKU3c0NJf9/view?usp=drivesdk","1418_HADI BUDIYANTO, S.SOS _ SERTIFIKAT BIMTEK IPASN BerAKHLASK")</f>
        <v>1418_HADI BUDIYANTO, S.SOS _ SERTIFIKAT BIMTEK IPASN BerAKHLASK</v>
      </c>
      <c r="P1419" s="5" t="s">
        <v>11592</v>
      </c>
      <c r="Q1419" s="5"/>
      <c r="R1419" s="5"/>
      <c r="S1419" s="5"/>
      <c r="T1419" s="5"/>
    </row>
    <row r="1420" hidden="1">
      <c r="A1420" s="4">
        <v>45534.333268055554</v>
      </c>
      <c r="B1420" s="5" t="s">
        <v>19</v>
      </c>
      <c r="C1420" s="5" t="s">
        <v>11593</v>
      </c>
      <c r="E1420" s="5" t="s">
        <v>11601</v>
      </c>
      <c r="F1420" s="5" t="s">
        <v>375</v>
      </c>
      <c r="G1420" s="5" t="s">
        <v>11602</v>
      </c>
      <c r="H1420" s="6" t="s">
        <v>11603</v>
      </c>
      <c r="I1420" s="7" t="s">
        <v>11604</v>
      </c>
      <c r="J1420" s="8" t="str">
        <f>HYPERLINK("https://drive.google.com/file/d/1T6OwVV3Wo4FBTJBYOIp1JjCHaGGj5g_a/view?usp=drivesdk","CARRY SIMANJUNTAK, S.H. SERTIFIKAT BerAKHLAK")</f>
        <v>CARRY SIMANJUNTAK, S.H. SERTIFIKAT BerAKHLAK</v>
      </c>
      <c r="K1420" s="5" t="s">
        <v>10486</v>
      </c>
      <c r="L1420" s="5" t="s">
        <v>11605</v>
      </c>
      <c r="M1420" s="5" t="s">
        <v>11606</v>
      </c>
      <c r="N1420" s="7" t="s">
        <v>11607</v>
      </c>
      <c r="O1420" s="8" t="str">
        <f>HYPERLINK("https://drive.google.com/file/d/1l4xM6Azct-OCvZRRZq0vWCBDLQMwCard/view?usp=drivesdk","1419_CARRY SIMANJUNTAK, S.H. _ SERTIFIKAT BIMTEK IPASN BerAKHLASK")</f>
        <v>1419_CARRY SIMANJUNTAK, S.H. _ SERTIFIKAT BIMTEK IPASN BerAKHLASK</v>
      </c>
      <c r="P1420" s="5" t="s">
        <v>11592</v>
      </c>
      <c r="Q1420" s="5"/>
      <c r="R1420" s="5"/>
      <c r="S1420" s="5"/>
      <c r="T1420" s="5"/>
    </row>
    <row r="1421">
      <c r="A1421" s="4">
        <v>45534.33327923611</v>
      </c>
      <c r="B1421" s="5" t="s">
        <v>34</v>
      </c>
      <c r="D1421" s="5" t="s">
        <v>35</v>
      </c>
      <c r="E1421" s="5" t="s">
        <v>11608</v>
      </c>
      <c r="F1421" s="5" t="s">
        <v>108</v>
      </c>
      <c r="G1421" s="5" t="s">
        <v>11609</v>
      </c>
      <c r="H1421" s="6" t="s">
        <v>11610</v>
      </c>
      <c r="I1421" s="7" t="s">
        <v>11611</v>
      </c>
      <c r="J1421" s="8" t="str">
        <f>HYPERLINK("https://drive.google.com/file/d/1SXp8Ys8QGTkKwph0j23QXHyCvRQ7UEEz/view?usp=drivesdk","GIRI GUNAWAN, S.H. SERTIFIKAT BerAKHLAK")</f>
        <v>GIRI GUNAWAN, S.H. SERTIFIKAT BerAKHLAK</v>
      </c>
      <c r="K1421" s="5" t="s">
        <v>10486</v>
      </c>
      <c r="L1421" s="5" t="s">
        <v>11612</v>
      </c>
      <c r="M1421" s="5" t="s">
        <v>11613</v>
      </c>
      <c r="N1421" s="7" t="s">
        <v>11614</v>
      </c>
      <c r="O1421" s="8" t="str">
        <f>HYPERLINK("https://drive.google.com/file/d/1iYwkd-z-XGEFJeM-HYpuE3eKXih862HY/view?usp=drivesdk","1420_GIRI GUNAWAN, S.H. _ SERTIFIKAT BIMTEK IPASN BerAKHLASK")</f>
        <v>1420_GIRI GUNAWAN, S.H. _ SERTIFIKAT BIMTEK IPASN BerAKHLASK</v>
      </c>
      <c r="P1421" s="5" t="s">
        <v>11592</v>
      </c>
      <c r="Q1421" s="5"/>
      <c r="R1421" s="5"/>
      <c r="S1421" s="5"/>
      <c r="T1421" s="5"/>
    </row>
    <row r="1422">
      <c r="A1422" s="4">
        <v>45534.33328224537</v>
      </c>
      <c r="B1422" s="5" t="s">
        <v>34</v>
      </c>
      <c r="D1422" s="5" t="s">
        <v>1206</v>
      </c>
      <c r="E1422" s="5" t="s">
        <v>11615</v>
      </c>
      <c r="F1422" s="5" t="s">
        <v>212</v>
      </c>
      <c r="G1422" s="5" t="s">
        <v>11616</v>
      </c>
      <c r="H1422" s="6" t="s">
        <v>11617</v>
      </c>
      <c r="I1422" s="7" t="s">
        <v>11618</v>
      </c>
      <c r="J1422" s="8" t="str">
        <f>HYPERLINK("https://drive.google.com/file/d/1_6gu2W_mFkoKvoqyn0EuNayg7E14i8Jc/view?usp=drivesdk","SUHARTINI NINGSIH SERTIFIKAT BerAKHLAK")</f>
        <v>SUHARTINI NINGSIH SERTIFIKAT BerAKHLAK</v>
      </c>
      <c r="K1422" s="5" t="s">
        <v>10486</v>
      </c>
      <c r="L1422" s="5" t="s">
        <v>11619</v>
      </c>
      <c r="M1422" s="5" t="s">
        <v>11620</v>
      </c>
      <c r="N1422" s="7" t="s">
        <v>11621</v>
      </c>
      <c r="O1422" s="8" t="str">
        <f>HYPERLINK("https://drive.google.com/file/d/1E_w5EHybD3B9B4qtq7CTBC_9wlVwitYG/view?usp=drivesdk","1421_SUHARTINI NINGSIH _ SERTIFIKAT BIMTEK IPASN BerAKHLASK")</f>
        <v>1421_SUHARTINI NINGSIH _ SERTIFIKAT BIMTEK IPASN BerAKHLASK</v>
      </c>
      <c r="P1422" s="5" t="s">
        <v>11592</v>
      </c>
      <c r="Q1422" s="5"/>
      <c r="R1422" s="5"/>
      <c r="S1422" s="5"/>
      <c r="T1422" s="5"/>
    </row>
    <row r="1423">
      <c r="A1423" s="4">
        <v>45534.33330096064</v>
      </c>
      <c r="B1423" s="5" t="s">
        <v>34</v>
      </c>
      <c r="D1423" s="5" t="s">
        <v>522</v>
      </c>
      <c r="E1423" s="5" t="s">
        <v>11622</v>
      </c>
      <c r="F1423" s="5" t="s">
        <v>212</v>
      </c>
      <c r="G1423" s="5" t="s">
        <v>11623</v>
      </c>
      <c r="H1423" s="6" t="s">
        <v>11624</v>
      </c>
      <c r="I1423" s="7" t="s">
        <v>11625</v>
      </c>
      <c r="J1423" s="8" t="str">
        <f>HYPERLINK("https://drive.google.com/file/d/1Ydl8wPreP9L2IeBuI8d249sZiewh8j0K/view?usp=drivesdk","MUHAMAD SAHLAN SERTIFIKAT BerAKHLAK")</f>
        <v>MUHAMAD SAHLAN SERTIFIKAT BerAKHLAK</v>
      </c>
      <c r="K1423" s="5" t="s">
        <v>10486</v>
      </c>
      <c r="L1423" s="5" t="s">
        <v>11626</v>
      </c>
      <c r="M1423" s="5" t="s">
        <v>11627</v>
      </c>
      <c r="N1423" s="7" t="s">
        <v>11628</v>
      </c>
      <c r="O1423" s="8" t="str">
        <f>HYPERLINK("https://drive.google.com/file/d/13I7v08OemCD2rhSbiSQTC7PZ-F5tUZKq/view?usp=drivesdk","1422_MUHAMAD SAHLAN _ SERTIFIKAT BIMTEK IPASN BerAKHLASK")</f>
        <v>1422_MUHAMAD SAHLAN _ SERTIFIKAT BIMTEK IPASN BerAKHLASK</v>
      </c>
      <c r="P1423" s="5" t="s">
        <v>11592</v>
      </c>
      <c r="Q1423" s="5"/>
      <c r="R1423" s="5"/>
      <c r="S1423" s="5"/>
      <c r="T1423" s="5"/>
    </row>
    <row r="1424">
      <c r="A1424" s="4">
        <v>45534.33330733796</v>
      </c>
      <c r="B1424" s="5" t="s">
        <v>34</v>
      </c>
      <c r="D1424" s="5" t="s">
        <v>267</v>
      </c>
      <c r="E1424" s="5" t="s">
        <v>11629</v>
      </c>
      <c r="F1424" s="5" t="s">
        <v>37</v>
      </c>
      <c r="G1424" s="5" t="s">
        <v>11630</v>
      </c>
      <c r="H1424" s="6" t="s">
        <v>11631</v>
      </c>
      <c r="I1424" s="7" t="s">
        <v>11632</v>
      </c>
      <c r="J1424" s="8" t="str">
        <f>HYPERLINK("https://drive.google.com/file/d/15F9cGHBcXv3sXBYpQdUBD_zsyxqZUBhG/view?usp=drivesdk","MUSLIMAH IMAH SERTIFIKAT BerAKHLAK")</f>
        <v>MUSLIMAH IMAH SERTIFIKAT BerAKHLAK</v>
      </c>
      <c r="K1424" s="5" t="s">
        <v>10486</v>
      </c>
      <c r="L1424" s="5" t="s">
        <v>11633</v>
      </c>
      <c r="M1424" s="5" t="s">
        <v>11634</v>
      </c>
      <c r="N1424" s="7" t="s">
        <v>11635</v>
      </c>
      <c r="O1424" s="8" t="str">
        <f>HYPERLINK("https://drive.google.com/file/d/1fwZxIAxe2H9J6WZNFIl3VNFLnWWfWQPW/view?usp=drivesdk","1423_MUSLIMAH IMAH _ SERTIFIKAT BIMTEK IPASN BerAKHLASK")</f>
        <v>1423_MUSLIMAH IMAH _ SERTIFIKAT BIMTEK IPASN BerAKHLASK</v>
      </c>
      <c r="P1424" s="5" t="s">
        <v>11636</v>
      </c>
      <c r="Q1424" s="5"/>
      <c r="R1424" s="5"/>
      <c r="S1424" s="5"/>
      <c r="T1424" s="5"/>
    </row>
    <row r="1425">
      <c r="A1425" s="4">
        <v>45534.333314814816</v>
      </c>
      <c r="B1425" s="5" t="s">
        <v>34</v>
      </c>
      <c r="D1425" s="5" t="s">
        <v>701</v>
      </c>
      <c r="E1425" s="5" t="s">
        <v>11637</v>
      </c>
      <c r="F1425" s="5" t="s">
        <v>798</v>
      </c>
      <c r="G1425" s="5" t="s">
        <v>11638</v>
      </c>
      <c r="H1425" s="6" t="s">
        <v>11639</v>
      </c>
      <c r="I1425" s="7" t="s">
        <v>11640</v>
      </c>
      <c r="J1425" s="8" t="str">
        <f>HYPERLINK("https://drive.google.com/file/d/1fZCLRtGzM5YofmXVqtUjOa3ypx3x_8Sw/view?usp=drivesdk","SUCI RAHMADONA, S.H. SERTIFIKAT BerAKHLAK")</f>
        <v>SUCI RAHMADONA, S.H. SERTIFIKAT BerAKHLAK</v>
      </c>
      <c r="K1425" s="5" t="s">
        <v>10486</v>
      </c>
      <c r="L1425" s="5" t="s">
        <v>11641</v>
      </c>
      <c r="M1425" s="5" t="s">
        <v>11642</v>
      </c>
      <c r="N1425" s="7" t="s">
        <v>11643</v>
      </c>
      <c r="O1425" s="8" t="str">
        <f>HYPERLINK("https://drive.google.com/file/d/1Uok0P4xTS2YUEDtk8uk10WlIVNEuxzEZ/view?usp=drivesdk","1424_SUCI RAHMADONA, S.H. _ SERTIFIKAT BIMTEK IPASN BerAKHLASK")</f>
        <v>1424_SUCI RAHMADONA, S.H. _ SERTIFIKAT BIMTEK IPASN BerAKHLASK</v>
      </c>
      <c r="P1425" s="5" t="s">
        <v>11644</v>
      </c>
      <c r="Q1425" s="5"/>
      <c r="R1425" s="5"/>
      <c r="S1425" s="5"/>
      <c r="T1425" s="5"/>
    </row>
    <row r="1426">
      <c r="A1426" s="4">
        <v>45534.33332435186</v>
      </c>
      <c r="B1426" s="5" t="s">
        <v>34</v>
      </c>
      <c r="D1426" s="5" t="s">
        <v>6232</v>
      </c>
      <c r="E1426" s="5" t="s">
        <v>11645</v>
      </c>
      <c r="F1426" s="5" t="s">
        <v>37</v>
      </c>
      <c r="G1426" s="5" t="s">
        <v>11646</v>
      </c>
      <c r="H1426" s="6" t="s">
        <v>11647</v>
      </c>
      <c r="I1426" s="7" t="s">
        <v>11648</v>
      </c>
      <c r="J1426" s="8" t="str">
        <f>HYPERLINK("https://drive.google.com/file/d/1YirzyMT7NhHe0yLfOvI4Mf4BInuRSz_T/view?usp=drivesdk","OCTAVIA MALTA, AMd.RM SERTIFIKAT BerAKHLAK")</f>
        <v>OCTAVIA MALTA, AMd.RM SERTIFIKAT BerAKHLAK</v>
      </c>
      <c r="K1426" s="5" t="s">
        <v>10486</v>
      </c>
      <c r="L1426" s="5" t="s">
        <v>11649</v>
      </c>
      <c r="M1426" s="5" t="s">
        <v>11650</v>
      </c>
      <c r="N1426" s="7" t="s">
        <v>11651</v>
      </c>
      <c r="O1426" s="8" t="str">
        <f>HYPERLINK("https://drive.google.com/file/d/1XsyyPTDYwlQbqsmjvZNbRPf9ZV7EhlET/view?usp=drivesdk","1425_OCTAVIA MALTA, AMd.RM _ SERTIFIKAT BIMTEK IPASN BerAKHLASK")</f>
        <v>1425_OCTAVIA MALTA, AMd.RM _ SERTIFIKAT BIMTEK IPASN BerAKHLASK</v>
      </c>
      <c r="P1426" s="5" t="s">
        <v>11652</v>
      </c>
      <c r="Q1426" s="5"/>
      <c r="R1426" s="5"/>
      <c r="S1426" s="5"/>
      <c r="T1426" s="5"/>
    </row>
    <row r="1427">
      <c r="A1427" s="4">
        <v>45534.33333028935</v>
      </c>
      <c r="B1427" s="5" t="s">
        <v>34</v>
      </c>
      <c r="D1427" s="5" t="s">
        <v>280</v>
      </c>
      <c r="E1427" s="5" t="s">
        <v>11653</v>
      </c>
      <c r="F1427" s="5" t="s">
        <v>108</v>
      </c>
      <c r="G1427" s="5" t="s">
        <v>11654</v>
      </c>
      <c r="H1427" s="6" t="s">
        <v>11655</v>
      </c>
      <c r="I1427" s="7" t="s">
        <v>11656</v>
      </c>
      <c r="J1427" s="8" t="str">
        <f>HYPERLINK("https://drive.google.com/file/d/1bUn6s6YkTByTpp0qsMyzAjF9bzs7RaOm/view?usp=drivesdk","WIRA HANDAYANI  SERTIFIKAT BerAKHLAK")</f>
        <v>WIRA HANDAYANI  SERTIFIKAT BerAKHLAK</v>
      </c>
      <c r="K1427" s="5" t="s">
        <v>10486</v>
      </c>
      <c r="L1427" s="5" t="s">
        <v>11657</v>
      </c>
      <c r="M1427" s="5" t="s">
        <v>11658</v>
      </c>
      <c r="N1427" s="7" t="s">
        <v>11659</v>
      </c>
      <c r="O1427" s="8" t="str">
        <f>HYPERLINK("https://drive.google.com/file/d/1719hSYIkhyZ00m4jWa-YigyJ3soZGnky/view?usp=drivesdk","1426_WIRA HANDAYANI  _ SERTIFIKAT BIMTEK IPASN BerAKHLASK")</f>
        <v>1426_WIRA HANDAYANI  _ SERTIFIKAT BIMTEK IPASN BerAKHLASK</v>
      </c>
      <c r="P1427" s="5" t="s">
        <v>11652</v>
      </c>
      <c r="Q1427" s="5"/>
      <c r="R1427" s="5"/>
      <c r="S1427" s="5"/>
      <c r="T1427" s="5"/>
    </row>
    <row r="1428">
      <c r="A1428" s="4">
        <v>45534.33333064815</v>
      </c>
      <c r="B1428" s="5" t="s">
        <v>34</v>
      </c>
      <c r="D1428" s="5" t="s">
        <v>4775</v>
      </c>
      <c r="E1428" s="5" t="s">
        <v>11660</v>
      </c>
      <c r="F1428" s="5" t="s">
        <v>524</v>
      </c>
      <c r="G1428" s="5" t="s">
        <v>11661</v>
      </c>
      <c r="H1428" s="6" t="s">
        <v>11662</v>
      </c>
      <c r="I1428" s="7" t="s">
        <v>11663</v>
      </c>
      <c r="J1428" s="8" t="str">
        <f>HYPERLINK("https://drive.google.com/file/d/1loQZjX577qk75rLZHBo0j6B2EywE4b3g/view?usp=drivesdk","TITIS S JUWANDAR SERTIFIKAT BerAKHLAK")</f>
        <v>TITIS S JUWANDAR SERTIFIKAT BerAKHLAK</v>
      </c>
      <c r="K1428" s="5" t="s">
        <v>11664</v>
      </c>
      <c r="L1428" s="5" t="s">
        <v>11665</v>
      </c>
      <c r="M1428" s="5" t="s">
        <v>11666</v>
      </c>
      <c r="N1428" s="7" t="s">
        <v>11667</v>
      </c>
      <c r="O1428" s="8" t="str">
        <f>HYPERLINK("https://drive.google.com/file/d/1npfIKcEuIkVePhRbUIKL0eR9z9E_ld0b/view?usp=drivesdk","1427_TITIS S JUWANDAR _ SERTIFIKAT BIMTEK IPASN BerAKHLASK")</f>
        <v>1427_TITIS S JUWANDAR _ SERTIFIKAT BIMTEK IPASN BerAKHLASK</v>
      </c>
      <c r="P1428" s="5" t="s">
        <v>11652</v>
      </c>
      <c r="Q1428" s="5"/>
      <c r="R1428" s="5"/>
      <c r="S1428" s="5"/>
      <c r="T1428" s="5"/>
    </row>
    <row r="1429">
      <c r="A1429" s="4">
        <v>45534.33334834491</v>
      </c>
      <c r="B1429" s="5" t="s">
        <v>34</v>
      </c>
      <c r="D1429" s="5" t="s">
        <v>267</v>
      </c>
      <c r="E1429" s="5" t="s">
        <v>11668</v>
      </c>
      <c r="F1429" s="5" t="s">
        <v>37</v>
      </c>
      <c r="G1429" s="5" t="s">
        <v>11669</v>
      </c>
      <c r="H1429" s="6" t="s">
        <v>11670</v>
      </c>
      <c r="I1429" s="7" t="s">
        <v>11671</v>
      </c>
      <c r="J1429" s="8" t="str">
        <f>HYPERLINK("https://drive.google.com/file/d/1TAxllkFVk4hl9EIXIiFdCBD14hod-RaT/view?usp=drivesdk","ISWANTOPOLDADIY SERTIFIKAT BerAKHLAK")</f>
        <v>ISWANTOPOLDADIY SERTIFIKAT BerAKHLAK</v>
      </c>
      <c r="K1429" s="5" t="s">
        <v>11664</v>
      </c>
      <c r="L1429" s="5" t="s">
        <v>11672</v>
      </c>
      <c r="M1429" s="5" t="s">
        <v>11673</v>
      </c>
      <c r="N1429" s="7" t="s">
        <v>11674</v>
      </c>
      <c r="O1429" s="8" t="str">
        <f>HYPERLINK("https://drive.google.com/file/d/17dbgmtpGahy6ttELeskPeA5UcgqPBBDg/view?usp=drivesdk","1428_ISWANTOPOLDADIY _ SERTIFIKAT BIMTEK IPASN BerAKHLASK")</f>
        <v>1428_ISWANTOPOLDADIY _ SERTIFIKAT BIMTEK IPASN BerAKHLASK</v>
      </c>
      <c r="P1429" s="5" t="s">
        <v>11652</v>
      </c>
      <c r="Q1429" s="5"/>
      <c r="R1429" s="5"/>
      <c r="S1429" s="5"/>
      <c r="T1429" s="5"/>
    </row>
    <row r="1430" hidden="1">
      <c r="A1430" s="4">
        <v>45534.333350960645</v>
      </c>
      <c r="B1430" s="5" t="s">
        <v>19</v>
      </c>
      <c r="C1430" s="5" t="s">
        <v>10418</v>
      </c>
      <c r="E1430" s="5" t="s">
        <v>11675</v>
      </c>
      <c r="F1430" s="5" t="s">
        <v>85</v>
      </c>
      <c r="G1430" s="5" t="s">
        <v>11676</v>
      </c>
      <c r="H1430" s="6" t="s">
        <v>11677</v>
      </c>
      <c r="I1430" s="7" t="s">
        <v>11678</v>
      </c>
      <c r="J1430" s="8" t="str">
        <f>HYPERLINK("https://drive.google.com/file/d/1iezo-_RPWzhTW8rqaowd2I8adTZhcsur/view?usp=drivesdk","I GUSTI AYU MIRAH WULANDARI, S.H. SERTIFIKAT BerAKHLAK")</f>
        <v>I GUSTI AYU MIRAH WULANDARI, S.H. SERTIFIKAT BerAKHLAK</v>
      </c>
      <c r="K1430" s="5" t="s">
        <v>11664</v>
      </c>
      <c r="L1430" s="5" t="s">
        <v>11679</v>
      </c>
      <c r="M1430" s="5" t="s">
        <v>11680</v>
      </c>
      <c r="N1430" s="7" t="s">
        <v>11681</v>
      </c>
      <c r="O1430" s="8" t="str">
        <f>HYPERLINK("https://drive.google.com/file/d/13N4M7iquUQsP3pL7K1K9KNVCljtIepxf/view?usp=drivesdk","1429_I GUSTI AYU MIRAH WULANDARI, S.H. _ SERTIFIKAT BIMTEK IPASN BerAKHLASK")</f>
        <v>1429_I GUSTI AYU MIRAH WULANDARI, S.H. _ SERTIFIKAT BIMTEK IPASN BerAKHLASK</v>
      </c>
      <c r="P1430" s="5" t="s">
        <v>11652</v>
      </c>
      <c r="Q1430" s="5"/>
      <c r="R1430" s="5"/>
      <c r="S1430" s="5"/>
      <c r="T1430" s="5"/>
    </row>
    <row r="1431">
      <c r="A1431" s="4">
        <v>45534.33336446759</v>
      </c>
      <c r="B1431" s="5" t="s">
        <v>34</v>
      </c>
      <c r="D1431" s="5" t="s">
        <v>35</v>
      </c>
      <c r="E1431" s="5" t="s">
        <v>11682</v>
      </c>
      <c r="F1431" s="5" t="s">
        <v>37</v>
      </c>
      <c r="G1431" s="5" t="s">
        <v>11683</v>
      </c>
      <c r="H1431" s="6" t="s">
        <v>11684</v>
      </c>
      <c r="I1431" s="7" t="s">
        <v>11685</v>
      </c>
      <c r="J1431" s="8" t="str">
        <f>HYPERLINK("https://drive.google.com/file/d/18zcNIylGzr8QoWh-cYh28FLV0oBvf9y7/view?usp=drivesdk","HERDIN RIZKI WIBOWO, A.Md.Kep SERTIFIKAT BerAKHLAK")</f>
        <v>HERDIN RIZKI WIBOWO, A.Md.Kep SERTIFIKAT BerAKHLAK</v>
      </c>
      <c r="K1431" s="5" t="s">
        <v>10486</v>
      </c>
      <c r="L1431" s="5" t="s">
        <v>11686</v>
      </c>
      <c r="M1431" s="5" t="s">
        <v>11687</v>
      </c>
      <c r="N1431" s="7" t="s">
        <v>11688</v>
      </c>
      <c r="O1431" s="8" t="str">
        <f>HYPERLINK("https://drive.google.com/file/d/1i6tUI6lFhIa85Ttc0AqBBFqA3EfsBK9E/view?usp=drivesdk","1430_HERDIN RIZKI WIBOWO, A.Md.Kep _ SERTIFIKAT BIMTEK IPASN BerAKHLASK")</f>
        <v>1430_HERDIN RIZKI WIBOWO, A.Md.Kep _ SERTIFIKAT BIMTEK IPASN BerAKHLASK</v>
      </c>
      <c r="P1431" s="5" t="s">
        <v>11652</v>
      </c>
      <c r="Q1431" s="5"/>
      <c r="R1431" s="5"/>
      <c r="S1431" s="5"/>
      <c r="T1431" s="5"/>
    </row>
    <row r="1432">
      <c r="A1432" s="4">
        <v>45534.33336862268</v>
      </c>
      <c r="B1432" s="5" t="s">
        <v>34</v>
      </c>
      <c r="D1432" s="5" t="s">
        <v>9020</v>
      </c>
      <c r="E1432" s="5" t="s">
        <v>11689</v>
      </c>
      <c r="F1432" s="5" t="s">
        <v>37</v>
      </c>
      <c r="G1432" s="5" t="s">
        <v>11690</v>
      </c>
      <c r="H1432" s="6" t="s">
        <v>11691</v>
      </c>
      <c r="I1432" s="7" t="s">
        <v>11692</v>
      </c>
      <c r="J1432" s="8" t="str">
        <f>HYPERLINK("https://drive.google.com/file/d/1OCnd_2u7Ltoqa2R2RmWbrooVXqoY2vSx/view?usp=drivesdk","ITA HAULIAN MATONDANG, S.E. SERTIFIKAT BerAKHLAK")</f>
        <v>ITA HAULIAN MATONDANG, S.E. SERTIFIKAT BerAKHLAK</v>
      </c>
      <c r="K1432" s="5" t="s">
        <v>10486</v>
      </c>
      <c r="L1432" s="5" t="s">
        <v>11693</v>
      </c>
      <c r="M1432" s="5" t="s">
        <v>11694</v>
      </c>
      <c r="N1432" s="7" t="s">
        <v>11695</v>
      </c>
      <c r="O1432" s="8" t="str">
        <f>HYPERLINK("https://drive.google.com/file/d/1odqwmic74IBCNL1AOTrHzU_l9_q5s3s4/view?usp=drivesdk","1431_ITA HAULIAN MATONDANG, S.E. _ SERTIFIKAT BIMTEK IPASN BerAKHLASK")</f>
        <v>1431_ITA HAULIAN MATONDANG, S.E. _ SERTIFIKAT BIMTEK IPASN BerAKHLASK</v>
      </c>
      <c r="P1432" s="5" t="s">
        <v>11696</v>
      </c>
      <c r="Q1432" s="5"/>
      <c r="R1432" s="5"/>
      <c r="S1432" s="5"/>
      <c r="T1432" s="5"/>
    </row>
    <row r="1433">
      <c r="A1433" s="4">
        <v>45534.33337209491</v>
      </c>
      <c r="B1433" s="5" t="s">
        <v>34</v>
      </c>
      <c r="D1433" s="5" t="s">
        <v>580</v>
      </c>
      <c r="E1433" s="5" t="s">
        <v>11697</v>
      </c>
      <c r="F1433" s="5" t="s">
        <v>375</v>
      </c>
      <c r="G1433" s="5" t="s">
        <v>11698</v>
      </c>
      <c r="H1433" s="6" t="s">
        <v>11699</v>
      </c>
      <c r="I1433" s="7" t="s">
        <v>11700</v>
      </c>
      <c r="J1433" s="8" t="str">
        <f>HYPERLINK("https://drive.google.com/file/d/11gc7W2wwCuTdjoUUm5VYqyWYWZlkqozz/view?usp=drivesdk","Ns. KOMANG ANITA SUSIANA DEWI, S.Kep SERTIFIKAT BerAKHLAK")</f>
        <v>Ns. KOMANG ANITA SUSIANA DEWI, S.Kep SERTIFIKAT BerAKHLAK</v>
      </c>
      <c r="K1433" s="5" t="s">
        <v>10486</v>
      </c>
      <c r="L1433" s="5" t="s">
        <v>11701</v>
      </c>
      <c r="M1433" s="5" t="s">
        <v>11702</v>
      </c>
      <c r="N1433" s="7" t="s">
        <v>11703</v>
      </c>
      <c r="O1433" s="8" t="str">
        <f>HYPERLINK("https://drive.google.com/file/d/1pFbrqzFIsHACc4YCWEGVOCioK5vW_WDA/view?usp=drivesdk","1432_Ns. KOMANG ANITA SUSIANA DEWI, S.Kep _ SERTIFIKAT BIMTEK IPASN BerAKHLASK")</f>
        <v>1432_Ns. KOMANG ANITA SUSIANA DEWI, S.Kep _ SERTIFIKAT BIMTEK IPASN BerAKHLASK</v>
      </c>
      <c r="P1433" s="5" t="s">
        <v>11696</v>
      </c>
      <c r="Q1433" s="5"/>
      <c r="R1433" s="5"/>
      <c r="S1433" s="5"/>
      <c r="T1433" s="5"/>
    </row>
    <row r="1434">
      <c r="A1434" s="4">
        <v>45534.33341273148</v>
      </c>
      <c r="B1434" s="5" t="s">
        <v>34</v>
      </c>
      <c r="D1434" s="5" t="s">
        <v>1206</v>
      </c>
      <c r="E1434" s="5" t="s">
        <v>11704</v>
      </c>
      <c r="F1434" s="5" t="s">
        <v>37</v>
      </c>
      <c r="G1434" s="5" t="s">
        <v>11705</v>
      </c>
      <c r="H1434" s="6" t="s">
        <v>11706</v>
      </c>
      <c r="I1434" s="7" t="s">
        <v>11707</v>
      </c>
      <c r="J1434" s="8" t="str">
        <f>HYPERLINK("https://drive.google.com/file/d/1qQvzC44WAhuL4xWF50-vtYXivXvq0_-j/view?usp=drivesdk","EKOPUTRO MOCHTI YAKTAWIDARDO SERTIFIKAT BerAKHLAK")</f>
        <v>EKOPUTRO MOCHTI YAKTAWIDARDO SERTIFIKAT BerAKHLAK</v>
      </c>
      <c r="K1434" s="5" t="s">
        <v>10486</v>
      </c>
      <c r="L1434" s="5" t="s">
        <v>11708</v>
      </c>
      <c r="M1434" s="5" t="s">
        <v>11709</v>
      </c>
      <c r="N1434" s="7" t="s">
        <v>11710</v>
      </c>
      <c r="O1434" s="8" t="str">
        <f>HYPERLINK("https://drive.google.com/file/d/1QyhtcNbFseNcdhvM-BcWYtUSUkrGTfuK/view?usp=drivesdk","1433_EKOPUTRO MOCHTI YAKTAWIDARDO _ SERTIFIKAT BIMTEK IPASN BerAKHLASK")</f>
        <v>1433_EKOPUTRO MOCHTI YAKTAWIDARDO _ SERTIFIKAT BIMTEK IPASN BerAKHLASK</v>
      </c>
      <c r="P1434" s="5" t="s">
        <v>11696</v>
      </c>
      <c r="Q1434" s="5"/>
      <c r="R1434" s="5"/>
      <c r="S1434" s="5"/>
      <c r="T1434" s="5"/>
    </row>
    <row r="1435">
      <c r="A1435" s="4">
        <v>45534.33341396991</v>
      </c>
      <c r="B1435" s="5" t="s">
        <v>34</v>
      </c>
      <c r="D1435" s="5" t="s">
        <v>996</v>
      </c>
      <c r="E1435" s="5" t="s">
        <v>11711</v>
      </c>
      <c r="F1435" s="5" t="s">
        <v>212</v>
      </c>
      <c r="G1435" s="5" t="s">
        <v>11712</v>
      </c>
      <c r="H1435" s="6" t="s">
        <v>11713</v>
      </c>
      <c r="I1435" s="7" t="s">
        <v>11714</v>
      </c>
      <c r="J1435" s="8" t="str">
        <f>HYPERLINK("https://drive.google.com/file/d/1NkaQrXvk1_tKjhDeg1IJJ4dcJtXUdJsq/view?usp=drivesdk","NAULY HIDA SAHRIANI SERTIFIKAT BerAKHLAK")</f>
        <v>NAULY HIDA SAHRIANI SERTIFIKAT BerAKHLAK</v>
      </c>
      <c r="K1435" s="5" t="s">
        <v>10486</v>
      </c>
      <c r="L1435" s="5" t="s">
        <v>11715</v>
      </c>
      <c r="M1435" s="5" t="s">
        <v>11716</v>
      </c>
      <c r="N1435" s="7" t="s">
        <v>11717</v>
      </c>
      <c r="O1435" s="8" t="str">
        <f>HYPERLINK("https://drive.google.com/file/d/10MSCFH-xUTcNKs-NbKKGxxlw67R05tqH/view?usp=drivesdk","1434_NAULY HIDA SAHRIANI _ SERTIFIKAT BIMTEK IPASN BerAKHLASK")</f>
        <v>1434_NAULY HIDA SAHRIANI _ SERTIFIKAT BIMTEK IPASN BerAKHLASK</v>
      </c>
      <c r="P1435" s="5" t="s">
        <v>11696</v>
      </c>
      <c r="Q1435" s="5"/>
      <c r="R1435" s="5"/>
      <c r="S1435" s="5"/>
      <c r="T1435" s="5"/>
    </row>
    <row r="1436">
      <c r="A1436" s="4">
        <v>45534.33341436343</v>
      </c>
      <c r="B1436" s="5" t="s">
        <v>34</v>
      </c>
      <c r="D1436" s="5" t="s">
        <v>522</v>
      </c>
      <c r="E1436" s="5" t="s">
        <v>11718</v>
      </c>
      <c r="F1436" s="5" t="s">
        <v>375</v>
      </c>
      <c r="G1436" s="5" t="s">
        <v>11719</v>
      </c>
      <c r="H1436" s="6" t="s">
        <v>11720</v>
      </c>
      <c r="I1436" s="7" t="s">
        <v>11721</v>
      </c>
      <c r="J1436" s="8" t="str">
        <f>HYPERLINK("https://drive.google.com/file/d/1aiJoWzUJ3ONla1d2A_2JtKOlxruagMNg/view?usp=drivesdk","MUHAJIR HABRI, S.HI. SERTIFIKAT BerAKHLAK")</f>
        <v>MUHAJIR HABRI, S.HI. SERTIFIKAT BerAKHLAK</v>
      </c>
      <c r="K1436" s="5" t="s">
        <v>10486</v>
      </c>
      <c r="L1436" s="5" t="s">
        <v>11722</v>
      </c>
      <c r="M1436" s="5" t="s">
        <v>11723</v>
      </c>
      <c r="N1436" s="7" t="s">
        <v>11724</v>
      </c>
      <c r="O1436" s="8" t="str">
        <f>HYPERLINK("https://drive.google.com/file/d/1iXVuxM4pLGOKWiP86Hnkv_Hnd9rGWe0S/view?usp=drivesdk","1435_MUHAJIR HABRI, S.HI. _ SERTIFIKAT BIMTEK IPASN BerAKHLASK")</f>
        <v>1435_MUHAJIR HABRI, S.HI. _ SERTIFIKAT BIMTEK IPASN BerAKHLASK</v>
      </c>
      <c r="P1436" s="5" t="s">
        <v>11696</v>
      </c>
      <c r="Q1436" s="5"/>
      <c r="R1436" s="5"/>
      <c r="S1436" s="5"/>
      <c r="T1436" s="5"/>
    </row>
    <row r="1437">
      <c r="A1437" s="4">
        <v>45534.33342913195</v>
      </c>
      <c r="B1437" s="5" t="s">
        <v>34</v>
      </c>
      <c r="D1437" s="5" t="s">
        <v>975</v>
      </c>
      <c r="E1437" s="5" t="s">
        <v>11725</v>
      </c>
      <c r="F1437" s="5" t="s">
        <v>37</v>
      </c>
      <c r="G1437" s="5" t="s">
        <v>11726</v>
      </c>
      <c r="H1437" s="6" t="s">
        <v>11727</v>
      </c>
      <c r="I1437" s="7" t="s">
        <v>11728</v>
      </c>
      <c r="J1437" s="8" t="str">
        <f>HYPERLINK("https://drive.google.com/file/d/1V7ZYUJU0oUu7do8Gf5ehm3ChNkru0pfl/view?usp=drivesdk","SATRIOWIBOWO SERTIFIKAT BerAKHLAK")</f>
        <v>SATRIOWIBOWO SERTIFIKAT BerAKHLAK</v>
      </c>
      <c r="K1437" s="5" t="s">
        <v>10486</v>
      </c>
      <c r="L1437" s="5" t="s">
        <v>11729</v>
      </c>
      <c r="M1437" s="5" t="s">
        <v>11730</v>
      </c>
      <c r="N1437" s="7" t="s">
        <v>11731</v>
      </c>
      <c r="O1437" s="8" t="str">
        <f>HYPERLINK("https://drive.google.com/file/d/1_Pkef_MGqo-dBQB34Vh2t3d608bC5yU5/view?usp=drivesdk","1436_SATRIOWIBOWO _ SERTIFIKAT BIMTEK IPASN BerAKHLASK")</f>
        <v>1436_SATRIOWIBOWO _ SERTIFIKAT BIMTEK IPASN BerAKHLASK</v>
      </c>
      <c r="P1437" s="5" t="s">
        <v>11732</v>
      </c>
      <c r="Q1437" s="5"/>
      <c r="R1437" s="5"/>
      <c r="S1437" s="5"/>
      <c r="T1437" s="5"/>
    </row>
    <row r="1438">
      <c r="A1438" s="4">
        <v>45534.33343164352</v>
      </c>
      <c r="B1438" s="5" t="s">
        <v>34</v>
      </c>
      <c r="D1438" s="5" t="s">
        <v>4775</v>
      </c>
      <c r="E1438" s="5" t="s">
        <v>11733</v>
      </c>
      <c r="F1438" s="5" t="s">
        <v>375</v>
      </c>
      <c r="G1438" s="5" t="s">
        <v>11734</v>
      </c>
      <c r="H1438" s="6" t="s">
        <v>11735</v>
      </c>
      <c r="I1438" s="7" t="s">
        <v>11736</v>
      </c>
      <c r="J1438" s="8" t="str">
        <f>HYPERLINK("https://drive.google.com/file/d/1doZxOmOqgEnyLt-bvQx6s2sH3TMKgxyN/view?usp=drivesdk","QURROTUL AINI SERTIFIKAT BerAKHLAK")</f>
        <v>QURROTUL AINI SERTIFIKAT BerAKHLAK</v>
      </c>
      <c r="K1438" s="5" t="s">
        <v>10486</v>
      </c>
      <c r="L1438" s="5" t="s">
        <v>11737</v>
      </c>
      <c r="M1438" s="5" t="s">
        <v>11738</v>
      </c>
      <c r="N1438" s="7" t="s">
        <v>11739</v>
      </c>
      <c r="O1438" s="8" t="str">
        <f>HYPERLINK("https://drive.google.com/file/d/1nM4d9AHbXC4YGcXUCxkh54j2xiLy1ADD/view?usp=drivesdk","1437_QURROTUL AINI _ SERTIFIKAT BIMTEK IPASN BerAKHLASK")</f>
        <v>1437_QURROTUL AINI _ SERTIFIKAT BIMTEK IPASN BerAKHLASK</v>
      </c>
      <c r="P1438" s="5" t="s">
        <v>11732</v>
      </c>
      <c r="Q1438" s="5"/>
      <c r="R1438" s="5"/>
      <c r="S1438" s="5"/>
      <c r="T1438" s="5"/>
    </row>
    <row r="1439">
      <c r="A1439" s="4">
        <v>45534.33343745371</v>
      </c>
      <c r="B1439" s="5" t="s">
        <v>34</v>
      </c>
      <c r="D1439" s="5" t="s">
        <v>280</v>
      </c>
      <c r="E1439" s="5" t="s">
        <v>11740</v>
      </c>
      <c r="F1439" s="5" t="s">
        <v>212</v>
      </c>
      <c r="G1439" s="5" t="s">
        <v>11741</v>
      </c>
      <c r="H1439" s="6" t="s">
        <v>11742</v>
      </c>
      <c r="I1439" s="7" t="s">
        <v>11743</v>
      </c>
      <c r="J1439" s="8" t="str">
        <f>HYPERLINK("https://drive.google.com/file/d/1lrLlCQxUwxv7WSuCyVsM6nzoBvLrnMul/view?usp=drivesdk","MUHAMMAD AGUNG UCHROWI SERTIFIKAT BerAKHLAK")</f>
        <v>MUHAMMAD AGUNG UCHROWI SERTIFIKAT BerAKHLAK</v>
      </c>
      <c r="K1439" s="5" t="s">
        <v>10486</v>
      </c>
      <c r="L1439" s="5" t="s">
        <v>11744</v>
      </c>
      <c r="M1439" s="5" t="s">
        <v>11745</v>
      </c>
      <c r="N1439" s="7" t="s">
        <v>11746</v>
      </c>
      <c r="O1439" s="8" t="str">
        <f>HYPERLINK("https://drive.google.com/file/d/1JwsbVoqyIAbgN1rM8GLe3sPnIIeDrD7P/view?usp=drivesdk","1438_MUHAMMAD AGUNG UCHROWI _ SERTIFIKAT BIMTEK IPASN BerAKHLASK")</f>
        <v>1438_MUHAMMAD AGUNG UCHROWI _ SERTIFIKAT BIMTEK IPASN BerAKHLASK</v>
      </c>
      <c r="P1439" s="5" t="s">
        <v>11732</v>
      </c>
      <c r="Q1439" s="5"/>
      <c r="R1439" s="5"/>
      <c r="S1439" s="5"/>
      <c r="T1439" s="5"/>
    </row>
    <row r="1440">
      <c r="A1440" s="4">
        <v>45534.333443738426</v>
      </c>
      <c r="B1440" s="5" t="s">
        <v>34</v>
      </c>
      <c r="D1440" s="5" t="s">
        <v>1206</v>
      </c>
      <c r="E1440" s="5" t="s">
        <v>11747</v>
      </c>
      <c r="F1440" s="5" t="s">
        <v>120</v>
      </c>
      <c r="G1440" s="5" t="s">
        <v>11748</v>
      </c>
      <c r="H1440" s="6" t="s">
        <v>11749</v>
      </c>
      <c r="K1440" s="5" t="s">
        <v>11750</v>
      </c>
      <c r="M1440" s="5" t="s">
        <v>11751</v>
      </c>
      <c r="N1440" s="7" t="s">
        <v>11752</v>
      </c>
      <c r="O1440" s="8" t="str">
        <f>HYPERLINK("https://drive.google.com/file/d/1VbNu22PE9AGJhxulMTnYilgW59tea0AI/view?usp=drivesdk","1439_TITIN ERNAWATI. S.Farm.,Apt. _ SERTIFIKAT BIMTEK IPASN BerAKHLASK")</f>
        <v>1439_TITIN ERNAWATI. S.Farm.,Apt. _ SERTIFIKAT BIMTEK IPASN BerAKHLASK</v>
      </c>
      <c r="P1440" s="5" t="s">
        <v>11732</v>
      </c>
      <c r="Q1440" s="5"/>
      <c r="R1440" s="5"/>
      <c r="S1440" s="5"/>
      <c r="T1440" s="5"/>
    </row>
    <row r="1441">
      <c r="A1441" s="4">
        <v>45534.33344821759</v>
      </c>
      <c r="B1441" s="5" t="s">
        <v>34</v>
      </c>
      <c r="D1441" s="5" t="s">
        <v>580</v>
      </c>
      <c r="E1441" s="5" t="s">
        <v>11753</v>
      </c>
      <c r="F1441" s="5" t="s">
        <v>108</v>
      </c>
      <c r="G1441" s="5" t="s">
        <v>11754</v>
      </c>
      <c r="H1441" s="6" t="s">
        <v>11755</v>
      </c>
      <c r="I1441" s="7" t="s">
        <v>11756</v>
      </c>
      <c r="J1441" s="8" t="str">
        <f>HYPERLINK("https://drive.google.com/file/d/1QrNvIdiieULKDfqIJ2yVFKOzOjMh3_NG/view?usp=drivesdk","DHANNI MEDIYANTO, A.Md SERTIFIKAT BerAKHLAK")</f>
        <v>DHANNI MEDIYANTO, A.Md SERTIFIKAT BerAKHLAK</v>
      </c>
      <c r="K1441" s="5" t="s">
        <v>10486</v>
      </c>
      <c r="L1441" s="5" t="s">
        <v>11757</v>
      </c>
      <c r="M1441" s="5" t="s">
        <v>11758</v>
      </c>
      <c r="N1441" s="7" t="s">
        <v>11759</v>
      </c>
      <c r="O1441" s="8" t="str">
        <f>HYPERLINK("https://drive.google.com/file/d/1iB9ZjssGQJC-iw9lbfz6eHx1S9tNU0A0/view?usp=drivesdk","1440_DHANNI MEDIYANTO, A.Md _ SERTIFIKAT BIMTEK IPASN BerAKHLASK")</f>
        <v>1440_DHANNI MEDIYANTO, A.Md _ SERTIFIKAT BIMTEK IPASN BerAKHLASK</v>
      </c>
      <c r="P1441" s="5" t="s">
        <v>11732</v>
      </c>
      <c r="Q1441" s="5"/>
      <c r="R1441" s="5"/>
      <c r="S1441" s="5"/>
      <c r="T1441" s="5"/>
    </row>
    <row r="1442">
      <c r="A1442" s="4">
        <v>45534.33345210648</v>
      </c>
      <c r="B1442" s="5" t="s">
        <v>34</v>
      </c>
      <c r="D1442" s="5" t="s">
        <v>1206</v>
      </c>
      <c r="E1442" s="5" t="s">
        <v>11760</v>
      </c>
      <c r="F1442" s="5" t="s">
        <v>37</v>
      </c>
      <c r="G1442" s="5" t="s">
        <v>11761</v>
      </c>
      <c r="H1442" s="6" t="s">
        <v>11762</v>
      </c>
      <c r="I1442" s="7" t="s">
        <v>11763</v>
      </c>
      <c r="J1442" s="8" t="str">
        <f>HYPERLINK("https://drive.google.com/file/d/1Uyz0G2UfhOEWU6zD6Qmx1Zf2iKRHvvTU/view?usp=drivesdk","NININ FRANCINARTI SERTIFIKAT BerAKHLAK")</f>
        <v>NININ FRANCINARTI SERTIFIKAT BerAKHLAK</v>
      </c>
      <c r="K1442" s="5" t="s">
        <v>10486</v>
      </c>
      <c r="L1442" s="5" t="s">
        <v>11764</v>
      </c>
      <c r="M1442" s="5" t="s">
        <v>11765</v>
      </c>
      <c r="N1442" s="7" t="s">
        <v>11766</v>
      </c>
      <c r="O1442" s="8" t="str">
        <f>HYPERLINK("https://drive.google.com/file/d/15Q605AFwfh0-vfQyVTQiie_IwyVUM5rq/view?usp=drivesdk","1441_NININ FRANCINARTI _ SERTIFIKAT BIMTEK IPASN BerAKHLASK")</f>
        <v>1441_NININ FRANCINARTI _ SERTIFIKAT BIMTEK IPASN BerAKHLASK</v>
      </c>
      <c r="P1442" s="5" t="s">
        <v>11767</v>
      </c>
      <c r="Q1442" s="5"/>
      <c r="R1442" s="5"/>
      <c r="S1442" s="5"/>
      <c r="T1442" s="5"/>
    </row>
    <row r="1443" hidden="1">
      <c r="A1443" s="4">
        <v>45534.3334630787</v>
      </c>
      <c r="B1443" s="5" t="s">
        <v>19</v>
      </c>
      <c r="C1443" s="5" t="s">
        <v>11593</v>
      </c>
      <c r="E1443" s="5" t="s">
        <v>11768</v>
      </c>
      <c r="F1443" s="5" t="s">
        <v>108</v>
      </c>
      <c r="G1443" s="5" t="s">
        <v>11769</v>
      </c>
      <c r="H1443" s="6" t="s">
        <v>11770</v>
      </c>
      <c r="K1443" s="5" t="s">
        <v>11771</v>
      </c>
      <c r="M1443" s="5" t="s">
        <v>11772</v>
      </c>
      <c r="N1443" s="7" t="s">
        <v>11773</v>
      </c>
      <c r="O1443" s="8" t="str">
        <f>HYPERLINK("https://drive.google.com/file/d/1a-xWWCOkUSPG8hWUT9XMaDXoThvAowgy/view?usp=drivesdk","1442_SRI HANDAYANI _ SERTIFIKAT BIMTEK IPASN BerAKHLASK")</f>
        <v>1442_SRI HANDAYANI _ SERTIFIKAT BIMTEK IPASN BerAKHLASK</v>
      </c>
      <c r="P1443" s="5" t="s">
        <v>11767</v>
      </c>
      <c r="Q1443" s="5"/>
      <c r="R1443" s="5"/>
      <c r="S1443" s="5"/>
      <c r="T1443" s="5"/>
    </row>
    <row r="1444" hidden="1">
      <c r="A1444" s="4">
        <v>45534.33348981482</v>
      </c>
      <c r="B1444" s="5" t="s">
        <v>19</v>
      </c>
      <c r="C1444" s="5" t="s">
        <v>292</v>
      </c>
      <c r="E1444" s="5" t="s">
        <v>11774</v>
      </c>
      <c r="F1444" s="5" t="s">
        <v>11775</v>
      </c>
      <c r="G1444" s="5" t="s">
        <v>11776</v>
      </c>
      <c r="H1444" s="6" t="s">
        <v>11777</v>
      </c>
      <c r="I1444" s="7" t="s">
        <v>11778</v>
      </c>
      <c r="J1444" s="8" t="str">
        <f>HYPERLINK("https://drive.google.com/file/d/1eN5MMFtMyRt3b0bqw5EPIp3NY-xjQuNd/view?usp=drivesdk","HENYRISTOWATI SERTIFIKAT BerAKHLAK")</f>
        <v>HENYRISTOWATI SERTIFIKAT BerAKHLAK</v>
      </c>
      <c r="K1444" s="5" t="s">
        <v>10486</v>
      </c>
      <c r="L1444" s="5" t="s">
        <v>11779</v>
      </c>
      <c r="M1444" s="5" t="s">
        <v>11780</v>
      </c>
      <c r="N1444" s="7" t="s">
        <v>11781</v>
      </c>
      <c r="O1444" s="8" t="str">
        <f>HYPERLINK("https://drive.google.com/file/d/1qLcuLGjXRDBJeJASAtVyhmOSdL1U25ie/view?usp=drivesdk","1443_HENYRISTOWATI _ SERTIFIKAT BIMTEK IPASN BerAKHLASK")</f>
        <v>1443_HENYRISTOWATI _ SERTIFIKAT BIMTEK IPASN BerAKHLASK</v>
      </c>
      <c r="P1444" s="5" t="s">
        <v>11767</v>
      </c>
      <c r="Q1444" s="5"/>
      <c r="R1444" s="5"/>
      <c r="S1444" s="5"/>
      <c r="T1444" s="5"/>
    </row>
    <row r="1445">
      <c r="A1445" s="4">
        <v>45534.33349916666</v>
      </c>
      <c r="B1445" s="5" t="s">
        <v>34</v>
      </c>
      <c r="D1445" s="5" t="s">
        <v>4775</v>
      </c>
      <c r="E1445" s="5" t="s">
        <v>11782</v>
      </c>
      <c r="F1445" s="5" t="s">
        <v>120</v>
      </c>
      <c r="G1445" s="5" t="s">
        <v>11783</v>
      </c>
      <c r="H1445" s="6" t="s">
        <v>11784</v>
      </c>
      <c r="I1445" s="7" t="s">
        <v>11785</v>
      </c>
      <c r="J1445" s="8" t="str">
        <f>HYPERLINK("https://drive.google.com/file/d/19Umn2gSqrwj9gx6QOwr8O8fwK6S0m549/view?usp=drivesdk","MARCIA RUKMINI SAYEKTI SERTIFIKAT BerAKHLAK")</f>
        <v>MARCIA RUKMINI SAYEKTI SERTIFIKAT BerAKHLAK</v>
      </c>
      <c r="K1445" s="5" t="s">
        <v>10486</v>
      </c>
      <c r="L1445" s="5" t="s">
        <v>11786</v>
      </c>
      <c r="M1445" s="5" t="s">
        <v>11787</v>
      </c>
      <c r="N1445" s="7" t="s">
        <v>11788</v>
      </c>
      <c r="O1445" s="8" t="str">
        <f>HYPERLINK("https://drive.google.com/file/d/1O3xVin9ic3IVeM4Q7JUVKJyNPxBXL3CM/view?usp=drivesdk","1444_MARCIA RUKMINI SAYEKTI _ SERTIFIKAT BIMTEK IPASN BerAKHLASK")</f>
        <v>1444_MARCIA RUKMINI SAYEKTI _ SERTIFIKAT BIMTEK IPASN BerAKHLASK</v>
      </c>
      <c r="P1445" s="5" t="s">
        <v>11767</v>
      </c>
      <c r="Q1445" s="5"/>
      <c r="R1445" s="5"/>
      <c r="S1445" s="5"/>
      <c r="T1445" s="5"/>
    </row>
    <row r="1446">
      <c r="A1446" s="4">
        <v>45534.333507083335</v>
      </c>
      <c r="B1446" s="5" t="s">
        <v>34</v>
      </c>
      <c r="D1446" s="5" t="s">
        <v>3432</v>
      </c>
      <c r="E1446" s="5" t="s">
        <v>11789</v>
      </c>
      <c r="F1446" s="5" t="s">
        <v>108</v>
      </c>
      <c r="G1446" s="5" t="s">
        <v>11790</v>
      </c>
      <c r="H1446" s="6" t="s">
        <v>11791</v>
      </c>
      <c r="I1446" s="7" t="s">
        <v>11792</v>
      </c>
      <c r="J1446" s="8" t="str">
        <f>HYPERLINK("https://drive.google.com/file/d/1dXa8kWMDW8DwjMv70SE0lCILD3krmzTS/view?usp=drivesdk","NESHIA FRISENNIA S.Farm.,Apt SERTIFIKAT BerAKHLAK")</f>
        <v>NESHIA FRISENNIA S.Farm.,Apt SERTIFIKAT BerAKHLAK</v>
      </c>
      <c r="K1446" s="5" t="s">
        <v>11664</v>
      </c>
      <c r="L1446" s="5" t="s">
        <v>11793</v>
      </c>
      <c r="M1446" s="5" t="s">
        <v>11794</v>
      </c>
      <c r="N1446" s="7" t="s">
        <v>11795</v>
      </c>
      <c r="O1446" s="8" t="str">
        <f>HYPERLINK("https://drive.google.com/file/d/1sRkv8F6MhiD_EOaGDIGUMiY5HFWeMs7b/view?usp=drivesdk","1445_NESHIA FRISENNIA S.Farm.,Apt _ SERTIFIKAT BIMTEK IPASN BerAKHLASK")</f>
        <v>1445_NESHIA FRISENNIA S.Farm.,Apt _ SERTIFIKAT BIMTEK IPASN BerAKHLASK</v>
      </c>
      <c r="P1446" s="5" t="s">
        <v>11767</v>
      </c>
      <c r="Q1446" s="5"/>
      <c r="R1446" s="5"/>
      <c r="S1446" s="5"/>
      <c r="T1446" s="5"/>
    </row>
    <row r="1447">
      <c r="A1447" s="4">
        <v>45534.33352778935</v>
      </c>
      <c r="B1447" s="5" t="s">
        <v>34</v>
      </c>
      <c r="D1447" s="5" t="s">
        <v>9020</v>
      </c>
      <c r="E1447" s="5" t="s">
        <v>11796</v>
      </c>
      <c r="F1447" s="5" t="s">
        <v>524</v>
      </c>
      <c r="G1447" s="5" t="s">
        <v>11797</v>
      </c>
      <c r="H1447" s="6" t="s">
        <v>11798</v>
      </c>
      <c r="I1447" s="7" t="s">
        <v>11799</v>
      </c>
      <c r="J1447" s="8" t="str">
        <f>HYPERLINK("https://drive.google.com/file/d/1KT_Eu2MXsNiCXbPVlzR-weIpwJXs50P9/view?usp=drivesdk","LOUPIGA KISSE DERI PASLA SERTIFIKAT BerAKHLAK")</f>
        <v>LOUPIGA KISSE DERI PASLA SERTIFIKAT BerAKHLAK</v>
      </c>
      <c r="K1447" s="5" t="s">
        <v>10486</v>
      </c>
      <c r="L1447" s="5" t="s">
        <v>11800</v>
      </c>
      <c r="M1447" s="5" t="s">
        <v>11801</v>
      </c>
      <c r="N1447" s="7" t="s">
        <v>11802</v>
      </c>
      <c r="O1447" s="8" t="str">
        <f>HYPERLINK("https://drive.google.com/file/d/1mQyFmmEIGd64aY8xmd8z4wLJsS3J8Tsv/view?usp=drivesdk","1446_LOUPIGA KISSE DERI PASLA _ SERTIFIKAT BIMTEK IPASN BerAKHLASK")</f>
        <v>1446_LOUPIGA KISSE DERI PASLA _ SERTIFIKAT BIMTEK IPASN BerAKHLASK</v>
      </c>
      <c r="P1447" s="5" t="s">
        <v>11803</v>
      </c>
      <c r="Q1447" s="5"/>
      <c r="R1447" s="5"/>
      <c r="S1447" s="5"/>
      <c r="T1447" s="5"/>
    </row>
    <row r="1448" hidden="1">
      <c r="A1448" s="4">
        <v>45534.333550254625</v>
      </c>
      <c r="B1448" s="5" t="s">
        <v>19</v>
      </c>
      <c r="C1448" s="5" t="s">
        <v>1498</v>
      </c>
      <c r="E1448" s="5" t="s">
        <v>11804</v>
      </c>
      <c r="F1448" s="5" t="s">
        <v>715</v>
      </c>
      <c r="G1448" s="5" t="s">
        <v>11805</v>
      </c>
      <c r="H1448" s="6" t="s">
        <v>11806</v>
      </c>
      <c r="I1448" s="7" t="s">
        <v>11807</v>
      </c>
      <c r="J1448" s="8" t="str">
        <f>HYPERLINK("https://drive.google.com/file/d/1lRUF81RZ14-nDH9Jiv1k2piq6mkDzoHZ/view?usp=drivesdk","KIKI PRATIWI , SE SERTIFIKAT BerAKHLAK")</f>
        <v>KIKI PRATIWI , SE SERTIFIKAT BerAKHLAK</v>
      </c>
      <c r="K1448" s="5" t="s">
        <v>10486</v>
      </c>
      <c r="L1448" s="5" t="s">
        <v>11808</v>
      </c>
      <c r="M1448" s="5" t="s">
        <v>11809</v>
      </c>
      <c r="N1448" s="7" t="s">
        <v>11810</v>
      </c>
      <c r="O1448" s="8" t="str">
        <f>HYPERLINK("https://drive.google.com/file/d/1IDePA6KCdVXgG12aZD1_QtdhrbXZNizE/view?usp=drivesdk","1447_KIKI PRATIWI , SE _ SERTIFIKAT BIMTEK IPASN BerAKHLASK")</f>
        <v>1447_KIKI PRATIWI , SE _ SERTIFIKAT BIMTEK IPASN BerAKHLASK</v>
      </c>
      <c r="P1448" s="5" t="s">
        <v>11803</v>
      </c>
      <c r="Q1448" s="5"/>
      <c r="R1448" s="5"/>
      <c r="S1448" s="5"/>
      <c r="T1448" s="5"/>
    </row>
    <row r="1449" hidden="1">
      <c r="A1449" s="4">
        <v>45534.33356672454</v>
      </c>
      <c r="B1449" s="5" t="s">
        <v>19</v>
      </c>
      <c r="C1449" s="5" t="s">
        <v>466</v>
      </c>
      <c r="E1449" s="5" t="s">
        <v>11811</v>
      </c>
      <c r="F1449" s="5" t="s">
        <v>120</v>
      </c>
      <c r="G1449" s="5" t="s">
        <v>11812</v>
      </c>
      <c r="H1449" s="6" t="s">
        <v>11813</v>
      </c>
      <c r="I1449" s="7" t="s">
        <v>11814</v>
      </c>
      <c r="J1449" s="8" t="str">
        <f>HYPERLINK("https://drive.google.com/file/d/1bMVos1IyrwyDpqlIZAi2YAni3G98dxuD/view?usp=drivesdk","TEJO PURNOMO, SE, M.M SERTIFIKAT BerAKHLAK")</f>
        <v>TEJO PURNOMO, SE, M.M SERTIFIKAT BerAKHLAK</v>
      </c>
      <c r="K1449" s="5" t="s">
        <v>10486</v>
      </c>
      <c r="L1449" s="5" t="s">
        <v>11815</v>
      </c>
      <c r="M1449" s="5" t="s">
        <v>11816</v>
      </c>
      <c r="N1449" s="7" t="s">
        <v>11817</v>
      </c>
      <c r="O1449" s="8" t="str">
        <f>HYPERLINK("https://drive.google.com/file/d/1ANwW5-oNdi2YKuYwg9hFN24fQbJxBEKQ/view?usp=drivesdk","1448_TEJO PURNOMO, SE, M.M _ SERTIFIKAT BIMTEK IPASN BerAKHLASK")</f>
        <v>1448_TEJO PURNOMO, SE, M.M _ SERTIFIKAT BIMTEK IPASN BerAKHLASK</v>
      </c>
      <c r="P1449" s="5" t="s">
        <v>11803</v>
      </c>
      <c r="Q1449" s="5"/>
      <c r="R1449" s="5"/>
      <c r="S1449" s="5"/>
      <c r="T1449" s="5"/>
    </row>
    <row r="1450">
      <c r="A1450" s="4">
        <v>45534.3335834375</v>
      </c>
      <c r="B1450" s="5" t="s">
        <v>34</v>
      </c>
      <c r="D1450" s="5" t="s">
        <v>6232</v>
      </c>
      <c r="E1450" s="5" t="s">
        <v>11818</v>
      </c>
      <c r="F1450" s="5" t="s">
        <v>37</v>
      </c>
      <c r="G1450" s="5" t="s">
        <v>11819</v>
      </c>
      <c r="H1450" s="6" t="s">
        <v>11820</v>
      </c>
      <c r="I1450" s="7" t="s">
        <v>11821</v>
      </c>
      <c r="J1450" s="8" t="str">
        <f>HYPERLINK("https://drive.google.com/file/d/1YH7AHN6q4jS4Oo6VvZqLxmO7lWTbt7b5/view?usp=drivesdk","MIFTAHUL JANNAH.Amd.Farm SERTIFIKAT BerAKHLAK")</f>
        <v>MIFTAHUL JANNAH.Amd.Farm SERTIFIKAT BerAKHLAK</v>
      </c>
      <c r="K1450" s="5" t="s">
        <v>10486</v>
      </c>
      <c r="L1450" s="5" t="s">
        <v>11822</v>
      </c>
      <c r="M1450" s="5" t="s">
        <v>11823</v>
      </c>
      <c r="N1450" s="7" t="s">
        <v>11824</v>
      </c>
      <c r="O1450" s="8" t="str">
        <f>HYPERLINK("https://drive.google.com/file/d/147xCQfnAmEtNr_aLCi99TrSgGlbLpinJ/view?usp=drivesdk","1449_MIFTAHUL JANNAH.Amd.Farm _ SERTIFIKAT BIMTEK IPASN BerAKHLASK")</f>
        <v>1449_MIFTAHUL JANNAH.Amd.Farm _ SERTIFIKAT BIMTEK IPASN BerAKHLASK</v>
      </c>
      <c r="P1450" s="5" t="s">
        <v>11636</v>
      </c>
      <c r="Q1450" s="5"/>
      <c r="R1450" s="5"/>
      <c r="S1450" s="5"/>
      <c r="T1450" s="5"/>
    </row>
    <row r="1451">
      <c r="A1451" s="4">
        <v>45534.33358407408</v>
      </c>
      <c r="B1451" s="5" t="s">
        <v>34</v>
      </c>
      <c r="D1451" s="5" t="s">
        <v>267</v>
      </c>
      <c r="E1451" s="5" t="s">
        <v>11825</v>
      </c>
      <c r="F1451" s="5" t="s">
        <v>108</v>
      </c>
      <c r="G1451" s="5" t="s">
        <v>11826</v>
      </c>
      <c r="H1451" s="6" t="s">
        <v>11827</v>
      </c>
      <c r="K1451" s="5" t="s">
        <v>11828</v>
      </c>
      <c r="M1451" s="5" t="s">
        <v>11829</v>
      </c>
      <c r="N1451" s="7" t="s">
        <v>11830</v>
      </c>
      <c r="O1451" s="8" t="str">
        <f>HYPERLINK("https://drive.google.com/file/d/1Fa3JYLQtY7juVtExGkyhe0Km-ymOnx6P/view?usp=drivesdk","1450_Rr. HAPPY IKA WULANDARI, A.Md. _ SERTIFIKAT BIMTEK IPASN BerAKHLASK")</f>
        <v>1450_Rr. HAPPY IKA WULANDARI, A.Md. _ SERTIFIKAT BIMTEK IPASN BerAKHLASK</v>
      </c>
      <c r="P1451" s="5" t="s">
        <v>11636</v>
      </c>
      <c r="Q1451" s="5"/>
      <c r="R1451" s="5"/>
      <c r="S1451" s="5"/>
      <c r="T1451" s="5"/>
    </row>
    <row r="1452">
      <c r="A1452" s="4">
        <v>45534.333620185185</v>
      </c>
      <c r="B1452" s="5" t="s">
        <v>34</v>
      </c>
      <c r="D1452" s="5" t="s">
        <v>4775</v>
      </c>
      <c r="E1452" s="5" t="s">
        <v>11831</v>
      </c>
      <c r="F1452" s="5" t="s">
        <v>375</v>
      </c>
      <c r="G1452" s="5" t="s">
        <v>11832</v>
      </c>
      <c r="H1452" s="6" t="s">
        <v>11833</v>
      </c>
      <c r="I1452" s="7" t="s">
        <v>11834</v>
      </c>
      <c r="J1452" s="8" t="str">
        <f>HYPERLINK("https://drive.google.com/file/d/15P1y02S5FzUib7jwjWSjcGntwbpQU-ow/view?usp=drivesdk","APRILIA ARUM WINDASARI, S.E., M.M SERTIFIKAT BerAKHLAK")</f>
        <v>APRILIA ARUM WINDASARI, S.E., M.M SERTIFIKAT BerAKHLAK</v>
      </c>
      <c r="K1452" s="5" t="s">
        <v>10486</v>
      </c>
      <c r="L1452" s="5" t="s">
        <v>11835</v>
      </c>
      <c r="M1452" s="5" t="s">
        <v>11836</v>
      </c>
      <c r="N1452" s="7" t="s">
        <v>11837</v>
      </c>
      <c r="O1452" s="8" t="str">
        <f>HYPERLINK("https://drive.google.com/file/d/1Ga_tWr3W0Oixc0Qd_BsNbRxkLU3KMVkJ/view?usp=drivesdk","1451_APRILIA ARUM WINDASARI, S.E., M.M _ SERTIFIKAT BIMTEK IPASN BerAKHLASK")</f>
        <v>1451_APRILIA ARUM WINDASARI, S.E., M.M _ SERTIFIKAT BIMTEK IPASN BerAKHLASK</v>
      </c>
      <c r="P1452" s="5" t="s">
        <v>11636</v>
      </c>
      <c r="Q1452" s="5"/>
      <c r="R1452" s="5"/>
      <c r="S1452" s="5"/>
      <c r="T1452" s="5"/>
    </row>
    <row r="1453">
      <c r="A1453" s="4">
        <v>45534.333627245374</v>
      </c>
      <c r="B1453" s="5" t="s">
        <v>34</v>
      </c>
      <c r="D1453" s="5" t="s">
        <v>701</v>
      </c>
      <c r="E1453" s="5" t="s">
        <v>11838</v>
      </c>
      <c r="F1453" s="5" t="s">
        <v>375</v>
      </c>
      <c r="G1453" s="5" t="s">
        <v>11839</v>
      </c>
      <c r="H1453" s="6" t="s">
        <v>11840</v>
      </c>
      <c r="K1453" s="5" t="s">
        <v>11841</v>
      </c>
      <c r="M1453" s="5" t="s">
        <v>11842</v>
      </c>
      <c r="N1453" s="7" t="s">
        <v>11843</v>
      </c>
      <c r="O1453" s="8" t="str">
        <f>HYPERLINK("https://drive.google.com/file/d/1MnA1pFzkuk7qJoH6AVy5zqiOpZ72RtS0/view?usp=drivesdk","1452_ILHAM DENOVAN,S.E _ SERTIFIKAT BIMTEK IPASN BerAKHLASK")</f>
        <v>1452_ILHAM DENOVAN,S.E _ SERTIFIKAT BIMTEK IPASN BerAKHLASK</v>
      </c>
      <c r="P1453" s="5" t="s">
        <v>11844</v>
      </c>
      <c r="Q1453" s="5"/>
      <c r="R1453" s="5"/>
      <c r="S1453" s="5"/>
      <c r="T1453" s="5"/>
    </row>
    <row r="1454" hidden="1">
      <c r="A1454" s="4">
        <v>45534.333629953704</v>
      </c>
      <c r="B1454" s="5" t="s">
        <v>19</v>
      </c>
      <c r="C1454" s="5" t="s">
        <v>11593</v>
      </c>
      <c r="E1454" s="5" t="s">
        <v>11845</v>
      </c>
      <c r="F1454" s="5" t="s">
        <v>375</v>
      </c>
      <c r="G1454" s="5" t="s">
        <v>11846</v>
      </c>
      <c r="H1454" s="6" t="s">
        <v>11847</v>
      </c>
      <c r="K1454" s="5" t="s">
        <v>11841</v>
      </c>
      <c r="M1454" s="5" t="s">
        <v>11848</v>
      </c>
      <c r="N1454" s="7" t="s">
        <v>11849</v>
      </c>
      <c r="O1454" s="8" t="str">
        <f>HYPERLINK("https://drive.google.com/file/d/1bmdUeoRXgIY6xLxv2B7iH-12lC5xwMIi/view?usp=drivesdk","1453_FITRYA DEASY PUSPITASARI,AMAJ,S.Si _ SERTIFIKAT BIMTEK IPASN BerAKHLASK")</f>
        <v>1453_FITRYA DEASY PUSPITASARI,AMAJ,S.Si _ SERTIFIKAT BIMTEK IPASN BerAKHLASK</v>
      </c>
      <c r="P1454" s="5" t="s">
        <v>11844</v>
      </c>
      <c r="Q1454" s="5"/>
      <c r="R1454" s="5"/>
      <c r="S1454" s="5"/>
      <c r="T1454" s="5"/>
    </row>
    <row r="1455">
      <c r="A1455" s="4">
        <v>45534.333635902774</v>
      </c>
      <c r="B1455" s="5" t="s">
        <v>34</v>
      </c>
      <c r="D1455" s="5" t="s">
        <v>267</v>
      </c>
      <c r="E1455" s="5" t="s">
        <v>11850</v>
      </c>
      <c r="F1455" s="5" t="s">
        <v>72</v>
      </c>
      <c r="G1455" s="5" t="s">
        <v>11851</v>
      </c>
      <c r="H1455" s="6" t="s">
        <v>11852</v>
      </c>
      <c r="K1455" s="5" t="s">
        <v>11841</v>
      </c>
      <c r="M1455" s="5" t="s">
        <v>11853</v>
      </c>
      <c r="N1455" s="7" t="s">
        <v>11854</v>
      </c>
      <c r="O1455" s="8" t="str">
        <f>HYPERLINK("https://drive.google.com/file/d/1Qyqig_Rw8SpD5h65bPfb4GW-VL_0RZge/view?usp=drivesdk","1454_MARCIAYUNIATI _ SERTIFIKAT BIMTEK IPASN BerAKHLASK")</f>
        <v>1454_MARCIAYUNIATI _ SERTIFIKAT BIMTEK IPASN BerAKHLASK</v>
      </c>
      <c r="P1455" s="5" t="s">
        <v>11844</v>
      </c>
      <c r="Q1455" s="5"/>
      <c r="R1455" s="5"/>
      <c r="S1455" s="5"/>
      <c r="T1455" s="5"/>
    </row>
    <row r="1456" hidden="1">
      <c r="A1456" s="4">
        <v>45534.333644328704</v>
      </c>
      <c r="B1456" s="5" t="s">
        <v>19</v>
      </c>
      <c r="C1456" s="5" t="s">
        <v>11593</v>
      </c>
      <c r="E1456" s="5" t="s">
        <v>11855</v>
      </c>
      <c r="F1456" s="5" t="s">
        <v>212</v>
      </c>
      <c r="G1456" s="5" t="s">
        <v>11856</v>
      </c>
      <c r="H1456" s="6" t="s">
        <v>11857</v>
      </c>
      <c r="K1456" s="5" t="s">
        <v>11841</v>
      </c>
      <c r="M1456" s="5" t="s">
        <v>11858</v>
      </c>
      <c r="N1456" s="7" t="s">
        <v>11859</v>
      </c>
      <c r="O1456" s="8" t="str">
        <f>HYPERLINK("https://drive.google.com/file/d/1mJt78HErm0kQT3CZWNmFWXP2nLrIwQLM/view?usp=drivesdk","1455_RUDY HARTANTO _ SERTIFIKAT BIMTEK IPASN BerAKHLASK")</f>
        <v>1455_RUDY HARTANTO _ SERTIFIKAT BIMTEK IPASN BerAKHLASK</v>
      </c>
      <c r="P1456" s="5" t="s">
        <v>11860</v>
      </c>
      <c r="Q1456" s="5"/>
      <c r="R1456" s="5"/>
      <c r="S1456" s="5"/>
      <c r="T1456" s="5"/>
    </row>
    <row r="1457" hidden="1">
      <c r="A1457" s="4">
        <v>45534.33364936343</v>
      </c>
      <c r="B1457" s="5" t="s">
        <v>19</v>
      </c>
      <c r="C1457" s="5" t="s">
        <v>11593</v>
      </c>
      <c r="E1457" s="5" t="s">
        <v>11861</v>
      </c>
      <c r="F1457" s="5" t="s">
        <v>37</v>
      </c>
      <c r="G1457" s="5" t="s">
        <v>11862</v>
      </c>
      <c r="H1457" s="6" t="s">
        <v>11863</v>
      </c>
      <c r="K1457" s="5" t="s">
        <v>11841</v>
      </c>
      <c r="M1457" s="5" t="s">
        <v>11864</v>
      </c>
      <c r="N1457" s="7" t="s">
        <v>11865</v>
      </c>
      <c r="O1457" s="8" t="str">
        <f>HYPERLINK("https://drive.google.com/file/d/1jNQo-EqDx7uyajTBioGCH9J1mQp5Ro9x/view?usp=drivesdk","1456_NANI JUNIANTI, AMd.Rad _ SERTIFIKAT BIMTEK IPASN BerAKHLASK")</f>
        <v>1456_NANI JUNIANTI, AMd.Rad _ SERTIFIKAT BIMTEK IPASN BerAKHLASK</v>
      </c>
      <c r="P1457" s="5" t="s">
        <v>11860</v>
      </c>
      <c r="Q1457" s="5"/>
      <c r="R1457" s="5"/>
      <c r="S1457" s="5"/>
      <c r="T1457" s="5"/>
    </row>
    <row r="1458">
      <c r="A1458" s="4">
        <v>45534.333656793984</v>
      </c>
      <c r="B1458" s="5" t="s">
        <v>34</v>
      </c>
      <c r="D1458" s="5" t="s">
        <v>1206</v>
      </c>
      <c r="E1458" s="5" t="s">
        <v>11866</v>
      </c>
      <c r="F1458" s="5" t="s">
        <v>212</v>
      </c>
      <c r="G1458" s="5" t="s">
        <v>11867</v>
      </c>
      <c r="H1458" s="6" t="s">
        <v>11868</v>
      </c>
      <c r="I1458" s="7" t="s">
        <v>11869</v>
      </c>
      <c r="J1458" s="8" t="str">
        <f>HYPERLINK("https://drive.google.com/file/d/13vaGglYH0t8hSTAk7NOLroDTVv__anCL/view?usp=drivesdk","DAHNIA AFDOLINA ZAMZAMI, S.H. SERTIFIKAT BerAKHLAK")</f>
        <v>DAHNIA AFDOLINA ZAMZAMI, S.H. SERTIFIKAT BerAKHLAK</v>
      </c>
      <c r="K1458" s="5" t="s">
        <v>10486</v>
      </c>
      <c r="L1458" s="5" t="s">
        <v>11870</v>
      </c>
      <c r="M1458" s="5" t="s">
        <v>11871</v>
      </c>
      <c r="N1458" s="7" t="s">
        <v>11872</v>
      </c>
      <c r="O1458" s="8" t="str">
        <f>HYPERLINK("https://drive.google.com/file/d/1k-XVhSaKAz2lUyQKNIfs5LEWB63hvvRj/view?usp=drivesdk","1457_DAHNIA AFDOLINA ZAMZAMI, S.H. _ SERTIFIKAT BIMTEK IPASN BerAKHLASK")</f>
        <v>1457_DAHNIA AFDOLINA ZAMZAMI, S.H. _ SERTIFIKAT BIMTEK IPASN BerAKHLASK</v>
      </c>
      <c r="P1458" s="5" t="s">
        <v>11860</v>
      </c>
      <c r="Q1458" s="5"/>
      <c r="R1458" s="5"/>
      <c r="S1458" s="5"/>
      <c r="T1458" s="5"/>
    </row>
    <row r="1459">
      <c r="A1459" s="4">
        <v>45534.33365961806</v>
      </c>
      <c r="B1459" s="5" t="s">
        <v>34</v>
      </c>
      <c r="D1459" s="5" t="s">
        <v>35</v>
      </c>
      <c r="E1459" s="5" t="s">
        <v>11873</v>
      </c>
      <c r="F1459" s="5" t="s">
        <v>37</v>
      </c>
      <c r="G1459" s="5" t="s">
        <v>11874</v>
      </c>
      <c r="H1459" s="6" t="s">
        <v>11875</v>
      </c>
      <c r="I1459" s="7" t="s">
        <v>11876</v>
      </c>
      <c r="J1459" s="8" t="str">
        <f>HYPERLINK("https://drive.google.com/file/d/1queA4WLms3g5JrzlshXtKW5W-hQLL_Q_/view?usp=drivesdk","PENGATUR ADE GUNAWAN SERTIFIKAT BerAKHLAK")</f>
        <v>PENGATUR ADE GUNAWAN SERTIFIKAT BerAKHLAK</v>
      </c>
      <c r="K1459" s="5" t="s">
        <v>10486</v>
      </c>
      <c r="L1459" s="5" t="s">
        <v>11877</v>
      </c>
      <c r="M1459" s="5" t="s">
        <v>11878</v>
      </c>
      <c r="N1459" s="7" t="s">
        <v>11879</v>
      </c>
      <c r="O1459" s="8" t="str">
        <f>HYPERLINK("https://drive.google.com/file/d/1XX7vaM2JWpy1U07RHoslAuyOHFS0gOPE/view?usp=drivesdk","1458_PENGATUR ADE GUNAWAN _ SERTIFIKAT BIMTEK IPASN BerAKHLASK")</f>
        <v>1458_PENGATUR ADE GUNAWAN _ SERTIFIKAT BIMTEK IPASN BerAKHLASK</v>
      </c>
      <c r="P1459" s="5" t="s">
        <v>11860</v>
      </c>
      <c r="Q1459" s="5"/>
      <c r="R1459" s="5"/>
      <c r="S1459" s="5"/>
      <c r="T1459" s="5"/>
    </row>
    <row r="1460">
      <c r="A1460" s="4">
        <v>45534.33371293981</v>
      </c>
      <c r="B1460" s="5" t="s">
        <v>34</v>
      </c>
      <c r="D1460" s="5" t="s">
        <v>522</v>
      </c>
      <c r="E1460" s="5" t="s">
        <v>11880</v>
      </c>
      <c r="F1460" s="5" t="s">
        <v>212</v>
      </c>
      <c r="G1460" s="5" t="s">
        <v>11881</v>
      </c>
      <c r="H1460" s="6" t="s">
        <v>11882</v>
      </c>
      <c r="K1460" s="5" t="s">
        <v>11883</v>
      </c>
      <c r="M1460" s="5" t="s">
        <v>11884</v>
      </c>
      <c r="N1460" s="7" t="s">
        <v>11885</v>
      </c>
      <c r="O1460" s="8" t="str">
        <f>HYPERLINK("https://drive.google.com/file/d/1Qye-k2WMTOk23nbX7sTm86O75NQV6yXo/view?usp=drivesdk","1459_I WAYAN PUTU AGUS SETIAWAN _ SERTIFIKAT BIMTEK IPASN BerAKHLASK")</f>
        <v>1459_I WAYAN PUTU AGUS SETIAWAN _ SERTIFIKAT BIMTEK IPASN BerAKHLASK</v>
      </c>
      <c r="P1460" s="5" t="s">
        <v>11860</v>
      </c>
      <c r="Q1460" s="5"/>
      <c r="R1460" s="5"/>
      <c r="S1460" s="5"/>
      <c r="T1460" s="5"/>
    </row>
    <row r="1461" hidden="1">
      <c r="A1461" s="4">
        <v>45534.33371464121</v>
      </c>
      <c r="B1461" s="5" t="s">
        <v>19</v>
      </c>
      <c r="C1461" s="5" t="s">
        <v>315</v>
      </c>
      <c r="E1461" s="5" t="s">
        <v>11886</v>
      </c>
      <c r="F1461" s="5" t="s">
        <v>524</v>
      </c>
      <c r="G1461" s="5" t="s">
        <v>11887</v>
      </c>
      <c r="H1461" s="6" t="s">
        <v>11888</v>
      </c>
      <c r="K1461" s="5" t="s">
        <v>11883</v>
      </c>
      <c r="M1461" s="5" t="s">
        <v>11889</v>
      </c>
      <c r="N1461" s="7" t="s">
        <v>11890</v>
      </c>
      <c r="O1461" s="8" t="str">
        <f>HYPERLINK("https://drive.google.com/file/d/1Nbbx3xtMVu7t_I7tTFDgsHfSXmovD4ua/view?usp=drivesdk","1460_NEVI ARLIANA, S.Ak _ SERTIFIKAT BIMTEK IPASN BerAKHLASK")</f>
        <v>1460_NEVI ARLIANA, S.Ak _ SERTIFIKAT BIMTEK IPASN BerAKHLASK</v>
      </c>
      <c r="P1461" s="5" t="s">
        <v>11860</v>
      </c>
      <c r="Q1461" s="5"/>
      <c r="R1461" s="5"/>
      <c r="S1461" s="5"/>
      <c r="T1461" s="5"/>
    </row>
    <row r="1462">
      <c r="A1462" s="4">
        <v>45534.33376488426</v>
      </c>
      <c r="B1462" s="5" t="s">
        <v>34</v>
      </c>
      <c r="D1462" s="5" t="s">
        <v>35</v>
      </c>
      <c r="E1462" s="5" t="s">
        <v>11891</v>
      </c>
      <c r="F1462" s="5" t="s">
        <v>212</v>
      </c>
      <c r="G1462" s="5" t="s">
        <v>11892</v>
      </c>
      <c r="H1462" s="6" t="s">
        <v>11893</v>
      </c>
      <c r="I1462" s="7" t="s">
        <v>11894</v>
      </c>
      <c r="J1462" s="8" t="str">
        <f>HYPERLINK("https://drive.google.com/file/d/15hSYctNlX05X7TGbz6YY6lrWFuM_Jub9/view?usp=drivesdk","IWAN KURNIAWAN SERTIFIKAT BerAKHLAK")</f>
        <v>IWAN KURNIAWAN SERTIFIKAT BerAKHLAK</v>
      </c>
      <c r="K1462" s="5" t="s">
        <v>10486</v>
      </c>
      <c r="L1462" s="5" t="s">
        <v>11895</v>
      </c>
      <c r="M1462" s="5" t="s">
        <v>11896</v>
      </c>
      <c r="N1462" s="7" t="s">
        <v>11897</v>
      </c>
      <c r="O1462" s="8" t="str">
        <f>HYPERLINK("https://drive.google.com/file/d/1G-KQHbai_Xrzz9p-acP7S7GjFzE50RKQ/view?usp=drivesdk","1461_IWAN KURNIAWAN _ SERTIFIKAT BIMTEK IPASN BerAKHLASK")</f>
        <v>1461_IWAN KURNIAWAN _ SERTIFIKAT BIMTEK IPASN BerAKHLASK</v>
      </c>
      <c r="P1462" s="5" t="s">
        <v>11860</v>
      </c>
      <c r="Q1462" s="5"/>
      <c r="R1462" s="5"/>
      <c r="S1462" s="5"/>
      <c r="T1462" s="5"/>
    </row>
    <row r="1463">
      <c r="A1463" s="4">
        <v>45534.33378143518</v>
      </c>
      <c r="B1463" s="5" t="s">
        <v>34</v>
      </c>
      <c r="D1463" s="5" t="s">
        <v>4775</v>
      </c>
      <c r="E1463" s="5" t="s">
        <v>11898</v>
      </c>
      <c r="F1463" s="5" t="s">
        <v>212</v>
      </c>
      <c r="G1463" s="5" t="s">
        <v>11899</v>
      </c>
      <c r="H1463" s="6" t="s">
        <v>11900</v>
      </c>
      <c r="I1463" s="7" t="s">
        <v>11901</v>
      </c>
      <c r="J1463" s="8" t="str">
        <f>HYPERLINK("https://drive.google.com/file/d/1l9mydYYcE7NakxS6I3SFU8_5-LUvtLbD/view?usp=drivesdk","ABDULKARIEM S. Pd SERTIFIKAT BerAKHLAK")</f>
        <v>ABDULKARIEM S. Pd SERTIFIKAT BerAKHLAK</v>
      </c>
      <c r="K1463" s="5" t="s">
        <v>11664</v>
      </c>
      <c r="L1463" s="5" t="s">
        <v>11902</v>
      </c>
      <c r="M1463" s="5" t="s">
        <v>11903</v>
      </c>
      <c r="N1463" s="7" t="s">
        <v>11904</v>
      </c>
      <c r="O1463" s="8" t="str">
        <f>HYPERLINK("https://drive.google.com/file/d/15x1Hhw4xJtxJCcqvxRxA37jvqtzCspTN/view?usp=drivesdk","1462_ABDULKARIEM S. Pd _ SERTIFIKAT BIMTEK IPASN BerAKHLASK")</f>
        <v>1462_ABDULKARIEM S. Pd _ SERTIFIKAT BIMTEK IPASN BerAKHLASK</v>
      </c>
      <c r="P1463" s="5" t="s">
        <v>11905</v>
      </c>
      <c r="Q1463" s="5"/>
      <c r="R1463" s="5"/>
      <c r="S1463" s="5"/>
      <c r="T1463" s="5"/>
    </row>
    <row r="1464" hidden="1">
      <c r="A1464" s="4">
        <v>45534.3338203125</v>
      </c>
      <c r="B1464" s="5" t="s">
        <v>19</v>
      </c>
      <c r="C1464" s="5" t="s">
        <v>466</v>
      </c>
      <c r="E1464" s="5" t="s">
        <v>11906</v>
      </c>
      <c r="F1464" s="5" t="s">
        <v>120</v>
      </c>
      <c r="G1464" s="5" t="s">
        <v>11907</v>
      </c>
      <c r="H1464" s="6" t="s">
        <v>11908</v>
      </c>
      <c r="I1464" s="7" t="s">
        <v>11909</v>
      </c>
      <c r="J1464" s="8" t="str">
        <f>HYPERLINK("https://drive.google.com/file/d/1ANN-lIT7h9xVYMCiJKTM8oq_giohIcZm/view?usp=drivesdk","RINI SULISTIYOWATI SERTIFIKAT BerAKHLAK")</f>
        <v>RINI SULISTIYOWATI SERTIFIKAT BerAKHLAK</v>
      </c>
      <c r="K1464" s="5" t="s">
        <v>11664</v>
      </c>
      <c r="L1464" s="5" t="s">
        <v>11910</v>
      </c>
      <c r="M1464" s="5" t="s">
        <v>11911</v>
      </c>
      <c r="N1464" s="7" t="s">
        <v>11912</v>
      </c>
      <c r="O1464" s="8" t="str">
        <f>HYPERLINK("https://drive.google.com/file/d/1N7yiAAQZaP5yCkwUPZdJ1UorXkvP5fh7/view?usp=drivesdk","1463_RINI SULISTIYOWATI _ SERTIFIKAT BIMTEK IPASN BerAKHLASK")</f>
        <v>1463_RINI SULISTIYOWATI _ SERTIFIKAT BIMTEK IPASN BerAKHLASK</v>
      </c>
      <c r="P1464" s="5" t="s">
        <v>11905</v>
      </c>
      <c r="Q1464" s="5"/>
      <c r="R1464" s="5"/>
      <c r="S1464" s="5"/>
      <c r="T1464" s="5"/>
    </row>
    <row r="1465">
      <c r="A1465" s="4">
        <v>45534.333828310184</v>
      </c>
      <c r="B1465" s="5" t="s">
        <v>34</v>
      </c>
      <c r="D1465" s="5" t="s">
        <v>11913</v>
      </c>
      <c r="E1465" s="5" t="s">
        <v>11914</v>
      </c>
      <c r="F1465" s="5" t="s">
        <v>37</v>
      </c>
      <c r="G1465" s="5" t="s">
        <v>11915</v>
      </c>
      <c r="H1465" s="6" t="s">
        <v>11916</v>
      </c>
      <c r="I1465" s="7" t="s">
        <v>11917</v>
      </c>
      <c r="J1465" s="8" t="str">
        <f>HYPERLINK("https://drive.google.com/file/d/1uby1xMb8dnNqG3-Qzm7MqW8IeaUK15tV/view?usp=drivesdk","DEWI FATIMAH AMABI SERTIFIKAT BerAKHLAK")</f>
        <v>DEWI FATIMAH AMABI SERTIFIKAT BerAKHLAK</v>
      </c>
      <c r="K1465" s="5" t="s">
        <v>11664</v>
      </c>
      <c r="L1465" s="5" t="s">
        <v>11918</v>
      </c>
      <c r="M1465" s="5" t="s">
        <v>11919</v>
      </c>
      <c r="N1465" s="7" t="s">
        <v>11920</v>
      </c>
      <c r="O1465" s="8" t="str">
        <f>HYPERLINK("https://drive.google.com/file/d/1Hf6boVVhyGrolXGJ0IieSSu-6eDoTsac/view?usp=drivesdk","1464_DEWI FATIMAH AMABI _ SERTIFIKAT BIMTEK IPASN BerAKHLASK")</f>
        <v>1464_DEWI FATIMAH AMABI _ SERTIFIKAT BIMTEK IPASN BerAKHLASK</v>
      </c>
      <c r="P1465" s="5" t="s">
        <v>11905</v>
      </c>
      <c r="Q1465" s="5"/>
      <c r="R1465" s="5"/>
      <c r="S1465" s="5"/>
      <c r="T1465" s="5"/>
    </row>
    <row r="1466">
      <c r="A1466" s="4">
        <v>45534.33383728009</v>
      </c>
      <c r="B1466" s="5" t="s">
        <v>34</v>
      </c>
      <c r="D1466" s="5" t="s">
        <v>1206</v>
      </c>
      <c r="E1466" s="5" t="s">
        <v>11921</v>
      </c>
      <c r="F1466" s="5" t="s">
        <v>37</v>
      </c>
      <c r="G1466" s="5" t="s">
        <v>11922</v>
      </c>
      <c r="H1466" s="6" t="s">
        <v>11923</v>
      </c>
      <c r="I1466" s="7" t="s">
        <v>11924</v>
      </c>
      <c r="J1466" s="8" t="str">
        <f>HYPERLINK("https://drive.google.com/file/d/13SN_0I_EEV0cV2rI5vJq60SznA9boAv4/view?usp=drivesdk","MOHAMAD SULAIMAN SERTIFIKAT BerAKHLAK")</f>
        <v>MOHAMAD SULAIMAN SERTIFIKAT BerAKHLAK</v>
      </c>
      <c r="K1466" s="5" t="s">
        <v>11664</v>
      </c>
      <c r="L1466" s="5" t="s">
        <v>11925</v>
      </c>
      <c r="M1466" s="5" t="s">
        <v>11926</v>
      </c>
      <c r="N1466" s="7" t="s">
        <v>11927</v>
      </c>
      <c r="O1466" s="8" t="str">
        <f>HYPERLINK("https://drive.google.com/file/d/1LNY4ls7F7BPoPS9YeuM-v_eZ49Vad9nD/view?usp=drivesdk","1465_MOHAMAD SULAIMAN _ SERTIFIKAT BIMTEK IPASN BerAKHLASK")</f>
        <v>1465_MOHAMAD SULAIMAN _ SERTIFIKAT BIMTEK IPASN BerAKHLASK</v>
      </c>
      <c r="P1466" s="5" t="s">
        <v>11905</v>
      </c>
      <c r="Q1466" s="5"/>
      <c r="R1466" s="5"/>
      <c r="S1466" s="5"/>
      <c r="T1466" s="5"/>
    </row>
    <row r="1467">
      <c r="A1467" s="4">
        <v>45534.33383775463</v>
      </c>
      <c r="B1467" s="5" t="s">
        <v>34</v>
      </c>
      <c r="D1467" s="5" t="s">
        <v>35</v>
      </c>
      <c r="E1467" s="5" t="s">
        <v>11928</v>
      </c>
      <c r="F1467" s="5" t="s">
        <v>72</v>
      </c>
      <c r="G1467" s="5" t="s">
        <v>11929</v>
      </c>
      <c r="H1467" s="6" t="s">
        <v>11930</v>
      </c>
      <c r="I1467" s="7" t="s">
        <v>11931</v>
      </c>
      <c r="J1467" s="8" t="str">
        <f>HYPERLINK("https://drive.google.com/file/d/1nlLYcktKaMpfLQE3HeYfs9ItRkNUzBK-/view?usp=drivesdk","PENATA SUHARDADI. SH SERTIFIKAT BerAKHLAK")</f>
        <v>PENATA SUHARDADI. SH SERTIFIKAT BerAKHLAK</v>
      </c>
      <c r="K1467" s="5" t="s">
        <v>11664</v>
      </c>
      <c r="L1467" s="5" t="s">
        <v>11932</v>
      </c>
      <c r="M1467" s="5" t="s">
        <v>11933</v>
      </c>
      <c r="N1467" s="7" t="s">
        <v>11934</v>
      </c>
      <c r="O1467" s="8" t="str">
        <f>HYPERLINK("https://drive.google.com/file/d/19whHbCrtxAmY8vAVujuelLycOj3nRBYa/view?usp=drivesdk","1466_PENATA SUHARDADI. SH _ SERTIFIKAT BIMTEK IPASN BerAKHLASK")</f>
        <v>1466_PENATA SUHARDADI. SH _ SERTIFIKAT BIMTEK IPASN BerAKHLASK</v>
      </c>
      <c r="P1467" s="5" t="s">
        <v>11905</v>
      </c>
      <c r="Q1467" s="5"/>
      <c r="R1467" s="5"/>
      <c r="S1467" s="5"/>
      <c r="T1467" s="5"/>
    </row>
    <row r="1468" hidden="1">
      <c r="A1468" s="4">
        <v>45534.333846574074</v>
      </c>
      <c r="B1468" s="5" t="s">
        <v>19</v>
      </c>
      <c r="C1468" s="5" t="s">
        <v>3301</v>
      </c>
      <c r="E1468" s="5" t="s">
        <v>11935</v>
      </c>
      <c r="F1468" s="5" t="s">
        <v>108</v>
      </c>
      <c r="G1468" s="5" t="s">
        <v>11936</v>
      </c>
      <c r="H1468" s="6" t="s">
        <v>11937</v>
      </c>
      <c r="I1468" s="7" t="s">
        <v>11938</v>
      </c>
      <c r="J1468" s="8" t="str">
        <f>HYPERLINK("https://drive.google.com/file/d/1woTXscfiKBNSI1-5rM658w48LaG0S_9B/view?usp=drivesdk","dr. BRIGITTA WIDHAYU WIRADI, M.M SERTIFIKAT BerAKHLAK")</f>
        <v>dr. BRIGITTA WIDHAYU WIRADI, M.M SERTIFIKAT BerAKHLAK</v>
      </c>
      <c r="K1468" s="5" t="s">
        <v>11664</v>
      </c>
      <c r="L1468" s="5" t="s">
        <v>11939</v>
      </c>
      <c r="M1468" s="5" t="s">
        <v>11940</v>
      </c>
      <c r="N1468" s="7" t="s">
        <v>11941</v>
      </c>
      <c r="O1468" s="8" t="str">
        <f>HYPERLINK("https://drive.google.com/file/d/1z3mQhR5TGC38k_rrfAVybqQauPLp5p1z/view?usp=drivesdk","1467_dr. BRIGITTA WIDHAYU WIRADI, M.M _ SERTIFIKAT BIMTEK IPASN BerAKHLASK")</f>
        <v>1467_dr. BRIGITTA WIDHAYU WIRADI, M.M _ SERTIFIKAT BIMTEK IPASN BerAKHLASK</v>
      </c>
      <c r="P1468" s="5" t="s">
        <v>11942</v>
      </c>
      <c r="Q1468" s="5"/>
      <c r="R1468" s="5"/>
      <c r="S1468" s="5"/>
      <c r="T1468" s="5"/>
    </row>
    <row r="1469" hidden="1">
      <c r="A1469" s="4">
        <v>45534.333857060185</v>
      </c>
      <c r="B1469" s="5" t="s">
        <v>19</v>
      </c>
      <c r="C1469" s="5" t="s">
        <v>292</v>
      </c>
      <c r="E1469" s="5" t="s">
        <v>11943</v>
      </c>
      <c r="F1469" s="5" t="s">
        <v>375</v>
      </c>
      <c r="G1469" s="5" t="s">
        <v>11944</v>
      </c>
      <c r="H1469" s="6" t="s">
        <v>11945</v>
      </c>
      <c r="I1469" s="7" t="s">
        <v>11946</v>
      </c>
      <c r="J1469" s="8" t="str">
        <f>HYPERLINK("https://drive.google.com/file/d/1ZE0vCgqrSzVwS81UFU8zLQU781xs23WO/view?usp=drivesdk","TARMAN TARMEDI, S.PD SERTIFIKAT BerAKHLAK")</f>
        <v>TARMAN TARMEDI, S.PD SERTIFIKAT BerAKHLAK</v>
      </c>
      <c r="K1469" s="5" t="s">
        <v>11664</v>
      </c>
      <c r="L1469" s="5" t="s">
        <v>11947</v>
      </c>
      <c r="M1469" s="5" t="s">
        <v>11948</v>
      </c>
      <c r="N1469" s="7" t="s">
        <v>11949</v>
      </c>
      <c r="O1469" s="8" t="str">
        <f>HYPERLINK("https://drive.google.com/file/d/1DaHWviihqmitTmrqcEAmPTtVGhc09K7t/view?usp=drivesdk","1468_TARMAN TARMEDI, S.PD _ SERTIFIKAT BIMTEK IPASN BerAKHLASK")</f>
        <v>1468_TARMAN TARMEDI, S.PD _ SERTIFIKAT BIMTEK IPASN BerAKHLASK</v>
      </c>
      <c r="P1469" s="5" t="s">
        <v>11942</v>
      </c>
      <c r="Q1469" s="5"/>
      <c r="R1469" s="5"/>
      <c r="S1469" s="5"/>
      <c r="T1469" s="5"/>
    </row>
    <row r="1470">
      <c r="A1470" s="4">
        <v>45534.333858784725</v>
      </c>
      <c r="B1470" s="5" t="s">
        <v>34</v>
      </c>
      <c r="D1470" s="5" t="s">
        <v>280</v>
      </c>
      <c r="E1470" s="5" t="s">
        <v>11950</v>
      </c>
      <c r="F1470" s="5" t="s">
        <v>524</v>
      </c>
      <c r="G1470" s="5" t="s">
        <v>11951</v>
      </c>
      <c r="H1470" s="6" t="s">
        <v>11952</v>
      </c>
      <c r="I1470" s="7" t="s">
        <v>11953</v>
      </c>
      <c r="J1470" s="8" t="str">
        <f>HYPERLINK("https://drive.google.com/file/d/1_xQs7y5Xb7yTCfhRTbZkLbPcbYx3-aVC/view?usp=drivesdk","CAHYO TRI WIBOWO  SERTIFIKAT BerAKHLAK")</f>
        <v>CAHYO TRI WIBOWO  SERTIFIKAT BerAKHLAK</v>
      </c>
      <c r="K1470" s="5" t="s">
        <v>11954</v>
      </c>
      <c r="L1470" s="5" t="s">
        <v>11955</v>
      </c>
      <c r="M1470" s="5" t="s">
        <v>11956</v>
      </c>
      <c r="N1470" s="7" t="s">
        <v>11957</v>
      </c>
      <c r="O1470" s="8" t="str">
        <f>HYPERLINK("https://drive.google.com/file/d/1xYk7jeLa_LpLOEbWAhKEw6TNYh5JImLT/view?usp=drivesdk","1469_CAHYO TRI WIBOWO  _ SERTIFIKAT BIMTEK IPASN BerAKHLASK")</f>
        <v>1469_CAHYO TRI WIBOWO  _ SERTIFIKAT BIMTEK IPASN BerAKHLASK</v>
      </c>
      <c r="P1470" s="5" t="s">
        <v>11942</v>
      </c>
      <c r="Q1470" s="5"/>
      <c r="R1470" s="5"/>
      <c r="S1470" s="5"/>
      <c r="T1470" s="5"/>
    </row>
    <row r="1471">
      <c r="A1471" s="4">
        <v>45534.33385988426</v>
      </c>
      <c r="B1471" s="5" t="s">
        <v>34</v>
      </c>
      <c r="D1471" s="5" t="s">
        <v>35</v>
      </c>
      <c r="E1471" s="5" t="s">
        <v>11958</v>
      </c>
      <c r="F1471" s="5" t="s">
        <v>72</v>
      </c>
      <c r="G1471" s="5" t="s">
        <v>11959</v>
      </c>
      <c r="H1471" s="6" t="s">
        <v>11960</v>
      </c>
      <c r="I1471" s="7" t="s">
        <v>11961</v>
      </c>
      <c r="J1471" s="8" t="str">
        <f>HYPERLINK("https://drive.google.com/file/d/1fQGicwkbNJ1VChwoo9teYai0SRtHmTSO/view?usp=drivesdk","DEWI NURYANI, AMD SERTIFIKAT BerAKHLAK")</f>
        <v>DEWI NURYANI, AMD SERTIFIKAT BerAKHLAK</v>
      </c>
      <c r="K1471" s="5" t="s">
        <v>11954</v>
      </c>
      <c r="L1471" s="5" t="s">
        <v>11962</v>
      </c>
      <c r="M1471" s="5" t="s">
        <v>11963</v>
      </c>
      <c r="N1471" s="7" t="s">
        <v>11964</v>
      </c>
      <c r="O1471" s="8" t="str">
        <f>HYPERLINK("https://drive.google.com/file/d/1mir0dMBed2LvxlGjZFACc9SOyeUOOSyp/view?usp=drivesdk","1470_DEWI NURYANI, AMD _ SERTIFIKAT BIMTEK IPASN BerAKHLASK")</f>
        <v>1470_DEWI NURYANI, AMD _ SERTIFIKAT BIMTEK IPASN BerAKHLASK</v>
      </c>
      <c r="P1471" s="5" t="s">
        <v>11942</v>
      </c>
      <c r="Q1471" s="5"/>
      <c r="R1471" s="5"/>
      <c r="S1471" s="5"/>
      <c r="T1471" s="5"/>
    </row>
    <row r="1472" hidden="1">
      <c r="A1472" s="4">
        <v>45534.33386787037</v>
      </c>
      <c r="B1472" s="5" t="s">
        <v>19</v>
      </c>
      <c r="C1472" s="5" t="s">
        <v>11593</v>
      </c>
      <c r="E1472" s="5" t="s">
        <v>11965</v>
      </c>
      <c r="F1472" s="5" t="s">
        <v>120</v>
      </c>
      <c r="G1472" s="5" t="s">
        <v>11966</v>
      </c>
      <c r="H1472" s="6" t="s">
        <v>11967</v>
      </c>
      <c r="K1472" s="5" t="s">
        <v>11968</v>
      </c>
      <c r="M1472" s="5" t="s">
        <v>11969</v>
      </c>
      <c r="N1472" s="7" t="s">
        <v>11970</v>
      </c>
      <c r="O1472" s="8" t="str">
        <f>HYPERLINK("https://drive.google.com/file/d/1LNI5MZ8ppcJtpd5a0QdCZ1IPcYLiWcX6/view?usp=drivesdk","1471_DRG.AFIFATUL WIDAD _ SERTIFIKAT BIMTEK IPASN BerAKHLASK")</f>
        <v>1471_DRG.AFIFATUL WIDAD _ SERTIFIKAT BIMTEK IPASN BerAKHLASK</v>
      </c>
      <c r="P1472" s="5" t="s">
        <v>11942</v>
      </c>
      <c r="Q1472" s="5"/>
      <c r="R1472" s="5"/>
      <c r="S1472" s="5"/>
      <c r="T1472" s="5"/>
    </row>
    <row r="1473">
      <c r="A1473" s="4">
        <v>45534.33387107639</v>
      </c>
      <c r="B1473" s="5" t="s">
        <v>34</v>
      </c>
      <c r="D1473" s="5" t="s">
        <v>4775</v>
      </c>
      <c r="E1473" s="5" t="s">
        <v>11971</v>
      </c>
      <c r="F1473" s="5" t="s">
        <v>72</v>
      </c>
      <c r="G1473" s="5" t="s">
        <v>11972</v>
      </c>
      <c r="H1473" s="6" t="s">
        <v>11973</v>
      </c>
      <c r="K1473" s="5" t="s">
        <v>11968</v>
      </c>
      <c r="M1473" s="5" t="s">
        <v>11974</v>
      </c>
      <c r="N1473" s="7" t="s">
        <v>11975</v>
      </c>
      <c r="O1473" s="8" t="str">
        <f>HYPERLINK("https://drive.google.com/file/d/1lpra20gLv9jVscFIRNsepqNrb5XnqgEa/view?usp=drivesdk","1472_BAMBANG SUPRIANTA, A.Md. _ SERTIFIKAT BIMTEK IPASN BerAKHLASK")</f>
        <v>1472_BAMBANG SUPRIANTA, A.Md. _ SERTIFIKAT BIMTEK IPASN BerAKHLASK</v>
      </c>
      <c r="P1473" s="5" t="s">
        <v>11942</v>
      </c>
      <c r="Q1473" s="5"/>
      <c r="R1473" s="5"/>
      <c r="S1473" s="5"/>
      <c r="T1473" s="5"/>
    </row>
    <row r="1474">
      <c r="A1474" s="4">
        <v>45534.33388409722</v>
      </c>
      <c r="B1474" s="5" t="s">
        <v>34</v>
      </c>
      <c r="D1474" s="5" t="s">
        <v>1206</v>
      </c>
      <c r="E1474" s="5" t="s">
        <v>11976</v>
      </c>
      <c r="F1474" s="5" t="s">
        <v>37</v>
      </c>
      <c r="G1474" s="5" t="s">
        <v>11977</v>
      </c>
      <c r="H1474" s="6" t="s">
        <v>11978</v>
      </c>
      <c r="K1474" s="5" t="s">
        <v>11968</v>
      </c>
      <c r="M1474" s="5" t="s">
        <v>11979</v>
      </c>
      <c r="N1474" s="7" t="s">
        <v>11980</v>
      </c>
      <c r="O1474" s="8" t="str">
        <f>HYPERLINK("https://drive.google.com/file/d/1mJ27xkS3f62nVkoyOOu_WVwnyegotpAx/view?usp=drivesdk","1473_YULI PILIHANINGSIH _ SERTIFIKAT BIMTEK IPASN BerAKHLASK")</f>
        <v>1473_YULI PILIHANINGSIH _ SERTIFIKAT BIMTEK IPASN BerAKHLASK</v>
      </c>
      <c r="P1474" s="5" t="s">
        <v>11981</v>
      </c>
      <c r="Q1474" s="5"/>
      <c r="R1474" s="5"/>
      <c r="S1474" s="5"/>
      <c r="T1474" s="5"/>
    </row>
    <row r="1475">
      <c r="A1475" s="4">
        <v>45534.33390748843</v>
      </c>
      <c r="B1475" s="5" t="s">
        <v>34</v>
      </c>
      <c r="D1475" s="5" t="s">
        <v>1206</v>
      </c>
      <c r="E1475" s="5" t="s">
        <v>11982</v>
      </c>
      <c r="F1475" s="5" t="s">
        <v>37</v>
      </c>
      <c r="G1475" s="5" t="s">
        <v>11983</v>
      </c>
      <c r="H1475" s="6" t="s">
        <v>11984</v>
      </c>
      <c r="I1475" s="7" t="s">
        <v>11985</v>
      </c>
      <c r="J1475" s="8" t="str">
        <f>HYPERLINK("https://drive.google.com/file/d/1uQAzW_M02rkwxlXmtVozTMq3jvuRVSVl/view?usp=drivesdk","YUYUN SINDA ERINIKA, S.E. SERTIFIKAT BerAKHLAK")</f>
        <v>YUYUN SINDA ERINIKA, S.E. SERTIFIKAT BerAKHLAK</v>
      </c>
      <c r="K1475" s="5" t="s">
        <v>11664</v>
      </c>
      <c r="L1475" s="5" t="s">
        <v>11986</v>
      </c>
      <c r="M1475" s="5" t="s">
        <v>11987</v>
      </c>
      <c r="N1475" s="7" t="s">
        <v>11988</v>
      </c>
      <c r="O1475" s="8" t="str">
        <f>HYPERLINK("https://drive.google.com/file/d/1etDyI_tcgw0otVekl7SIAfCDnL8vbT6t/view?usp=drivesdk","1474_YUYUN SINDA ERINIKA, S.E. _ SERTIFIKAT BIMTEK IPASN BerAKHLASK")</f>
        <v>1474_YUYUN SINDA ERINIKA, S.E. _ SERTIFIKAT BIMTEK IPASN BerAKHLASK</v>
      </c>
      <c r="P1475" s="5" t="s">
        <v>11981</v>
      </c>
      <c r="Q1475" s="5"/>
      <c r="R1475" s="5"/>
      <c r="S1475" s="5"/>
      <c r="T1475" s="5"/>
    </row>
    <row r="1476">
      <c r="A1476" s="4">
        <v>45534.333918854165</v>
      </c>
      <c r="B1476" s="5" t="s">
        <v>34</v>
      </c>
      <c r="D1476" s="5" t="s">
        <v>6232</v>
      </c>
      <c r="E1476" s="5" t="s">
        <v>11989</v>
      </c>
      <c r="F1476" s="5" t="s">
        <v>37</v>
      </c>
      <c r="G1476" s="5" t="s">
        <v>11990</v>
      </c>
      <c r="H1476" s="6" t="s">
        <v>11991</v>
      </c>
      <c r="I1476" s="7" t="s">
        <v>11992</v>
      </c>
      <c r="J1476" s="8" t="str">
        <f>HYPERLINK("https://drive.google.com/file/d/17ZEkIWJOInbD_ZXERrY9X5ONuOp4Ivoe/view?usp=drivesdk","GIRA PRATIWI, A.Md.Kom SERTIFIKAT BerAKHLAK")</f>
        <v>GIRA PRATIWI, A.Md.Kom SERTIFIKAT BerAKHLAK</v>
      </c>
      <c r="K1476" s="5" t="s">
        <v>11664</v>
      </c>
      <c r="L1476" s="5" t="s">
        <v>11993</v>
      </c>
      <c r="M1476" s="5" t="s">
        <v>11994</v>
      </c>
      <c r="N1476" s="7" t="s">
        <v>11995</v>
      </c>
      <c r="O1476" s="8" t="str">
        <f>HYPERLINK("https://drive.google.com/file/d/1Hk4owyZiReUhwguE9Udt9-PArUnYCZCI/view?usp=drivesdk","1475_GIRA PRATIWI, A.Md.Kom _ SERTIFIKAT BIMTEK IPASN BerAKHLASK")</f>
        <v>1475_GIRA PRATIWI, A.Md.Kom _ SERTIFIKAT BIMTEK IPASN BerAKHLASK</v>
      </c>
      <c r="P1476" s="5" t="s">
        <v>11981</v>
      </c>
      <c r="Q1476" s="5"/>
      <c r="R1476" s="5"/>
      <c r="S1476" s="5"/>
      <c r="T1476" s="5"/>
    </row>
    <row r="1477" hidden="1">
      <c r="A1477" s="4">
        <v>45534.333921365745</v>
      </c>
      <c r="B1477" s="5" t="s">
        <v>19</v>
      </c>
      <c r="C1477" s="5" t="s">
        <v>11593</v>
      </c>
      <c r="E1477" s="5" t="s">
        <v>11996</v>
      </c>
      <c r="F1477" s="5" t="s">
        <v>120</v>
      </c>
      <c r="G1477" s="5" t="s">
        <v>11997</v>
      </c>
      <c r="H1477" s="6" t="s">
        <v>11998</v>
      </c>
      <c r="I1477" s="7" t="s">
        <v>11999</v>
      </c>
      <c r="J1477" s="8" t="str">
        <f>HYPERLINK("https://drive.google.com/file/d/1vTt7NNckQMKyncGYgixt-maoBB1v0mPb/view?usp=drivesdk","NOFA ITAWARNI SERTIFIKAT BerAKHLAK")</f>
        <v>NOFA ITAWARNI SERTIFIKAT BerAKHLAK</v>
      </c>
      <c r="K1477" s="5" t="s">
        <v>11664</v>
      </c>
      <c r="L1477" s="5" t="s">
        <v>12000</v>
      </c>
      <c r="M1477" s="5" t="s">
        <v>12001</v>
      </c>
      <c r="N1477" s="7" t="s">
        <v>12002</v>
      </c>
      <c r="O1477" s="8" t="str">
        <f>HYPERLINK("https://drive.google.com/file/d/10FoZj9T57UlfpzrQU978OOFLHYFCp4Gw/view?usp=drivesdk","1476_NOFA ITAWARNI _ SERTIFIKAT BIMTEK IPASN BerAKHLASK")</f>
        <v>1476_NOFA ITAWARNI _ SERTIFIKAT BIMTEK IPASN BerAKHLASK</v>
      </c>
      <c r="P1477" s="5" t="s">
        <v>11981</v>
      </c>
      <c r="Q1477" s="5"/>
      <c r="R1477" s="5"/>
      <c r="S1477" s="5"/>
      <c r="T1477" s="5"/>
    </row>
    <row r="1478">
      <c r="A1478" s="4">
        <v>45534.33392175926</v>
      </c>
      <c r="B1478" s="5" t="s">
        <v>34</v>
      </c>
      <c r="D1478" s="5" t="s">
        <v>1206</v>
      </c>
      <c r="E1478" s="5" t="s">
        <v>12003</v>
      </c>
      <c r="F1478" s="5" t="s">
        <v>37</v>
      </c>
      <c r="G1478" s="5" t="s">
        <v>12004</v>
      </c>
      <c r="H1478" s="6" t="s">
        <v>12005</v>
      </c>
      <c r="I1478" s="7" t="s">
        <v>12006</v>
      </c>
      <c r="J1478" s="8" t="str">
        <f>HYPERLINK("https://drive.google.com/file/d/1kpC_7KgnT7GrdlfEPhLn1v3MZdOfECqQ/view?usp=drivesdk","LINDA EKA KURNIAWATI SERTIFIKAT BerAKHLAK")</f>
        <v>LINDA EKA KURNIAWATI SERTIFIKAT BerAKHLAK</v>
      </c>
      <c r="K1478" s="5" t="s">
        <v>11664</v>
      </c>
      <c r="L1478" s="5" t="s">
        <v>12007</v>
      </c>
      <c r="M1478" s="5" t="s">
        <v>12008</v>
      </c>
      <c r="N1478" s="7" t="s">
        <v>12009</v>
      </c>
      <c r="O1478" s="8" t="str">
        <f>HYPERLINK("https://drive.google.com/file/d/1QiluRRNj3RYQ_XpF9tr-joR338jqaT5Y/view?usp=drivesdk","1477_LINDA EKA KURNIAWATI _ SERTIFIKAT BIMTEK IPASN BerAKHLASK")</f>
        <v>1477_LINDA EKA KURNIAWATI _ SERTIFIKAT BIMTEK IPASN BerAKHLASK</v>
      </c>
      <c r="P1478" s="5" t="s">
        <v>11981</v>
      </c>
      <c r="Q1478" s="5"/>
      <c r="R1478" s="5"/>
      <c r="S1478" s="5"/>
      <c r="T1478" s="5"/>
    </row>
    <row r="1479">
      <c r="A1479" s="4">
        <v>45534.333924293984</v>
      </c>
      <c r="B1479" s="5" t="s">
        <v>34</v>
      </c>
      <c r="D1479" s="5" t="s">
        <v>12010</v>
      </c>
      <c r="E1479" s="5" t="s">
        <v>12011</v>
      </c>
      <c r="F1479" s="5" t="s">
        <v>524</v>
      </c>
      <c r="G1479" s="5" t="s">
        <v>12012</v>
      </c>
      <c r="H1479" s="6" t="s">
        <v>12013</v>
      </c>
      <c r="I1479" s="7" t="s">
        <v>12014</v>
      </c>
      <c r="J1479" s="8" t="str">
        <f>HYPERLINK("https://drive.google.com/file/d/1rIqhSY0OqFvyS0g1vVMjmGnCxJViPwiW/view?usp=drivesdk","DEWI SAFITRI, S.E. SERTIFIKAT BerAKHLAK")</f>
        <v>DEWI SAFITRI, S.E. SERTIFIKAT BerAKHLAK</v>
      </c>
      <c r="K1479" s="5" t="s">
        <v>12015</v>
      </c>
      <c r="L1479" s="5" t="s">
        <v>12016</v>
      </c>
      <c r="M1479" s="5" t="s">
        <v>12017</v>
      </c>
      <c r="N1479" s="7" t="s">
        <v>12018</v>
      </c>
      <c r="O1479" s="8" t="str">
        <f>HYPERLINK("https://drive.google.com/file/d/1BtZi8INRpbuF1chfRwK-y-xKSOOyxcgf/view?usp=drivesdk","1478_DEWI SAFITRI, S.E. _ SERTIFIKAT BIMTEK IPASN BerAKHLASK")</f>
        <v>1478_DEWI SAFITRI, S.E. _ SERTIFIKAT BIMTEK IPASN BerAKHLASK</v>
      </c>
      <c r="P1479" s="5" t="s">
        <v>11981</v>
      </c>
      <c r="Q1479" s="5"/>
      <c r="R1479" s="5"/>
      <c r="S1479" s="5"/>
      <c r="T1479" s="5"/>
    </row>
    <row r="1480">
      <c r="A1480" s="4">
        <v>45534.3339390162</v>
      </c>
      <c r="B1480" s="5" t="s">
        <v>34</v>
      </c>
      <c r="D1480" s="5" t="s">
        <v>280</v>
      </c>
      <c r="E1480" s="5" t="s">
        <v>12019</v>
      </c>
      <c r="F1480" s="5" t="s">
        <v>5859</v>
      </c>
      <c r="G1480" s="5" t="s">
        <v>12020</v>
      </c>
      <c r="H1480" s="6" t="s">
        <v>12021</v>
      </c>
      <c r="K1480" s="5" t="s">
        <v>12022</v>
      </c>
      <c r="M1480" s="5" t="s">
        <v>12023</v>
      </c>
      <c r="N1480" s="7" t="s">
        <v>12024</v>
      </c>
      <c r="O1480" s="8" t="str">
        <f>HYPERLINK("https://drive.google.com/file/d/1CRd8kJjX-e_30FXyMrRVd5JkgVrtZrWI/view?usp=drivesdk","1479_KHUMAIRI MAIRI _ SERTIFIKAT BIMTEK IPASN BerAKHLASK")</f>
        <v>1479_KHUMAIRI MAIRI _ SERTIFIKAT BIMTEK IPASN BerAKHLASK</v>
      </c>
      <c r="P1480" s="5" t="s">
        <v>12025</v>
      </c>
      <c r="Q1480" s="5"/>
      <c r="R1480" s="5"/>
      <c r="S1480" s="5"/>
      <c r="T1480" s="5"/>
    </row>
    <row r="1481">
      <c r="A1481" s="4">
        <v>45534.333963125</v>
      </c>
      <c r="B1481" s="5" t="s">
        <v>34</v>
      </c>
      <c r="D1481" s="5" t="s">
        <v>12026</v>
      </c>
      <c r="E1481" s="5" t="s">
        <v>12027</v>
      </c>
      <c r="F1481" s="5" t="s">
        <v>37</v>
      </c>
      <c r="G1481" s="5" t="s">
        <v>12028</v>
      </c>
      <c r="H1481" s="6" t="s">
        <v>12029</v>
      </c>
      <c r="I1481" s="7" t="s">
        <v>12030</v>
      </c>
      <c r="J1481" s="8" t="str">
        <f>HYPERLINK("https://drive.google.com/file/d/1cdQdGJyt_lBE4aStOVYQP1CZNMYyVxcE/view?usp=drivesdk","NINNA ASTRIA DAMAYANTI, A.MD SERTIFIKAT BerAKHLAK")</f>
        <v>NINNA ASTRIA DAMAYANTI, A.MD SERTIFIKAT BerAKHLAK</v>
      </c>
      <c r="K1481" s="5" t="s">
        <v>11664</v>
      </c>
      <c r="L1481" s="5" t="s">
        <v>12031</v>
      </c>
      <c r="M1481" s="5" t="s">
        <v>12032</v>
      </c>
      <c r="N1481" s="7" t="s">
        <v>12033</v>
      </c>
      <c r="O1481" s="8" t="str">
        <f>HYPERLINK("https://drive.google.com/file/d/1A1JJXe_1DNNaWmHOjn04M5Zq6QpIEOX7/view?usp=drivesdk","1480_NINNA ASTRIA DAMAYANTI, A.MD _ SERTIFIKAT BIMTEK IPASN BerAKHLASK")</f>
        <v>1480_NINNA ASTRIA DAMAYANTI, A.MD _ SERTIFIKAT BIMTEK IPASN BerAKHLASK</v>
      </c>
      <c r="P1481" s="5" t="s">
        <v>12025</v>
      </c>
      <c r="Q1481" s="5"/>
      <c r="R1481" s="5"/>
      <c r="S1481" s="5"/>
      <c r="T1481" s="5"/>
    </row>
    <row r="1482">
      <c r="A1482" s="4">
        <v>45534.33397815972</v>
      </c>
      <c r="B1482" s="5" t="s">
        <v>34</v>
      </c>
      <c r="D1482" s="5" t="s">
        <v>35</v>
      </c>
      <c r="E1482" s="5" t="s">
        <v>12034</v>
      </c>
      <c r="F1482" s="5" t="s">
        <v>72</v>
      </c>
      <c r="G1482" s="5" t="s">
        <v>12035</v>
      </c>
      <c r="H1482" s="6" t="s">
        <v>12036</v>
      </c>
      <c r="I1482" s="7" t="s">
        <v>12037</v>
      </c>
      <c r="J1482" s="8" t="str">
        <f>HYPERLINK("https://drive.google.com/file/d/1Q09XB4v_YM3fNtnr5QU57FdNb2h8MqCV/view?usp=drivesdk","YENI YULIANI, A.Md. SERTIFIKAT BerAKHLAK")</f>
        <v>YENI YULIANI, A.Md. SERTIFIKAT BerAKHLAK</v>
      </c>
      <c r="K1482" s="5" t="s">
        <v>11664</v>
      </c>
      <c r="L1482" s="5" t="s">
        <v>12038</v>
      </c>
      <c r="M1482" s="5" t="s">
        <v>12039</v>
      </c>
      <c r="N1482" s="7" t="s">
        <v>12040</v>
      </c>
      <c r="O1482" s="8" t="str">
        <f>HYPERLINK("https://drive.google.com/file/d/1ZRMl0t7dtR7S06mypQIWHM-mOWiR62jp/view?usp=drivesdk","1481_YENI YULIANI, A.Md. _ SERTIFIKAT BIMTEK IPASN BerAKHLASK")</f>
        <v>1481_YENI YULIANI, A.Md. _ SERTIFIKAT BIMTEK IPASN BerAKHLASK</v>
      </c>
      <c r="P1482" s="5" t="s">
        <v>12025</v>
      </c>
      <c r="Q1482" s="5"/>
      <c r="R1482" s="5"/>
      <c r="S1482" s="5"/>
      <c r="T1482" s="5"/>
    </row>
    <row r="1483" hidden="1">
      <c r="A1483" s="4">
        <v>45534.33399247685</v>
      </c>
      <c r="B1483" s="5" t="s">
        <v>19</v>
      </c>
      <c r="C1483" s="5" t="s">
        <v>292</v>
      </c>
      <c r="E1483" s="5" t="s">
        <v>12041</v>
      </c>
      <c r="F1483" s="5" t="s">
        <v>37</v>
      </c>
      <c r="G1483" s="5" t="s">
        <v>12042</v>
      </c>
      <c r="H1483" s="6" t="s">
        <v>12043</v>
      </c>
      <c r="I1483" s="7" t="s">
        <v>12044</v>
      </c>
      <c r="J1483" s="8" t="str">
        <f>HYPERLINK("https://drive.google.com/file/d/1P_GqcGx4vx117arr3uCFltjaV1PZrD_5/view?usp=drivesdk","PENGATUR SUPARDI SERTIFIKAT BerAKHLAK")</f>
        <v>PENGATUR SUPARDI SERTIFIKAT BerAKHLAK</v>
      </c>
      <c r="K1483" s="5" t="s">
        <v>11954</v>
      </c>
      <c r="L1483" s="5" t="s">
        <v>12045</v>
      </c>
      <c r="M1483" s="5" t="s">
        <v>12046</v>
      </c>
      <c r="N1483" s="7" t="s">
        <v>12047</v>
      </c>
      <c r="O1483" s="8" t="str">
        <f>HYPERLINK("https://drive.google.com/file/d/1ARoZ4gcML0_Wkn5KIYAWSCEXKPEQ22pr/view?usp=drivesdk","1482_PENGATUR SUPARDI _ SERTIFIKAT BIMTEK IPASN BerAKHLASK")</f>
        <v>1482_PENGATUR SUPARDI _ SERTIFIKAT BIMTEK IPASN BerAKHLASK</v>
      </c>
      <c r="P1483" s="5" t="s">
        <v>12025</v>
      </c>
      <c r="Q1483" s="5"/>
      <c r="R1483" s="5"/>
      <c r="S1483" s="5"/>
      <c r="T1483" s="5"/>
    </row>
    <row r="1484">
      <c r="A1484" s="4">
        <v>45534.33400021991</v>
      </c>
      <c r="B1484" s="5" t="s">
        <v>34</v>
      </c>
      <c r="D1484" s="5" t="s">
        <v>522</v>
      </c>
      <c r="E1484" s="5" t="s">
        <v>12048</v>
      </c>
      <c r="F1484" s="5" t="s">
        <v>715</v>
      </c>
      <c r="G1484" s="5" t="s">
        <v>12049</v>
      </c>
      <c r="H1484" s="6" t="s">
        <v>12050</v>
      </c>
      <c r="I1484" s="7" t="s">
        <v>12051</v>
      </c>
      <c r="J1484" s="8" t="str">
        <f>HYPERLINK("https://drive.google.com/file/d/1qehv0JWsHC7Fp_G5QBWHffVCI9c6nGy5/view?usp=drivesdk","MAHSUM ABUANDI, S. E.  SERTIFIKAT BerAKHLAK")</f>
        <v>MAHSUM ABUANDI, S. E.  SERTIFIKAT BerAKHLAK</v>
      </c>
      <c r="K1484" s="5" t="s">
        <v>11954</v>
      </c>
      <c r="L1484" s="5" t="s">
        <v>12052</v>
      </c>
      <c r="M1484" s="5" t="s">
        <v>12053</v>
      </c>
      <c r="N1484" s="7" t="s">
        <v>12054</v>
      </c>
      <c r="O1484" s="8" t="str">
        <f>HYPERLINK("https://drive.google.com/file/d/1nVKZ9voUfntEFDursH_ckXT0Ulfv_4nT/view?usp=drivesdk","1483_MAHSUM ABUANDI, S. E.  _ SERTIFIKAT BIMTEK IPASN BerAKHLASK")</f>
        <v>1483_MAHSUM ABUANDI, S. E.  _ SERTIFIKAT BIMTEK IPASN BerAKHLASK</v>
      </c>
      <c r="P1484" s="5" t="s">
        <v>12055</v>
      </c>
      <c r="Q1484" s="5"/>
      <c r="R1484" s="5"/>
      <c r="S1484" s="5"/>
      <c r="T1484" s="5"/>
    </row>
    <row r="1485">
      <c r="A1485" s="4">
        <v>45534.33400743056</v>
      </c>
      <c r="B1485" s="5" t="s">
        <v>34</v>
      </c>
      <c r="D1485" s="5" t="s">
        <v>4775</v>
      </c>
      <c r="E1485" s="5" t="s">
        <v>12056</v>
      </c>
      <c r="F1485" s="5" t="s">
        <v>375</v>
      </c>
      <c r="G1485" s="5" t="s">
        <v>12057</v>
      </c>
      <c r="H1485" s="6" t="s">
        <v>12058</v>
      </c>
      <c r="I1485" s="7" t="s">
        <v>12059</v>
      </c>
      <c r="J1485" s="8" t="str">
        <f>HYPERLINK("https://drive.google.com/file/d/1JPkrqwX0JHesB_9wfH60BwLKXDQTNoA9/view?usp=drivesdk","BOWO SUPRIYONO, S.E. SERTIFIKAT BerAKHLAK")</f>
        <v>BOWO SUPRIYONO, S.E. SERTIFIKAT BerAKHLAK</v>
      </c>
      <c r="K1485" s="5" t="s">
        <v>11954</v>
      </c>
      <c r="L1485" s="5" t="s">
        <v>12060</v>
      </c>
      <c r="M1485" s="5" t="s">
        <v>12061</v>
      </c>
      <c r="N1485" s="7" t="s">
        <v>12062</v>
      </c>
      <c r="O1485" s="8" t="str">
        <f>HYPERLINK("https://drive.google.com/file/d/1GYqupcolr3L6mOXBOIXoI2CFIhqJ4wk9/view?usp=drivesdk","1484_BOWO SUPRIYONO, S.E. _ SERTIFIKAT BIMTEK IPASN BerAKHLASK")</f>
        <v>1484_BOWO SUPRIYONO, S.E. _ SERTIFIKAT BIMTEK IPASN BerAKHLASK</v>
      </c>
      <c r="P1485" s="5" t="s">
        <v>12055</v>
      </c>
      <c r="Q1485" s="5"/>
      <c r="R1485" s="5"/>
      <c r="S1485" s="5"/>
      <c r="T1485" s="5"/>
    </row>
    <row r="1486">
      <c r="A1486" s="4">
        <v>45534.33401142361</v>
      </c>
      <c r="B1486" s="5" t="s">
        <v>34</v>
      </c>
      <c r="D1486" s="5" t="s">
        <v>1206</v>
      </c>
      <c r="E1486" s="5" t="s">
        <v>12063</v>
      </c>
      <c r="F1486" s="5" t="s">
        <v>37</v>
      </c>
      <c r="G1486" s="5" t="s">
        <v>12064</v>
      </c>
      <c r="H1486" s="6" t="s">
        <v>12065</v>
      </c>
      <c r="I1486" s="7" t="s">
        <v>12066</v>
      </c>
      <c r="J1486" s="8" t="str">
        <f>HYPERLINK("https://drive.google.com/file/d/1-LnHDUppf7bD0ZirYuOf_Bco1BGpMKF1/view?usp=drivesdk","SIGIT HARDIANTO SERTIFIKAT BerAKHLAK")</f>
        <v>SIGIT HARDIANTO SERTIFIKAT BerAKHLAK</v>
      </c>
      <c r="K1486" s="5" t="s">
        <v>11954</v>
      </c>
      <c r="L1486" s="5" t="s">
        <v>12067</v>
      </c>
      <c r="M1486" s="5" t="s">
        <v>12068</v>
      </c>
      <c r="N1486" s="7" t="s">
        <v>12069</v>
      </c>
      <c r="O1486" s="8" t="str">
        <f>HYPERLINK("https://drive.google.com/file/d/1BGFR0RDYefWirQUbFN22mGtCqLYB5LD6/view?usp=drivesdk","1485_SIGIT HARDIANTO _ SERTIFIKAT BIMTEK IPASN BerAKHLASK")</f>
        <v>1485_SIGIT HARDIANTO _ SERTIFIKAT BIMTEK IPASN BerAKHLASK</v>
      </c>
      <c r="P1486" s="5" t="s">
        <v>12055</v>
      </c>
      <c r="Q1486" s="5"/>
      <c r="R1486" s="5"/>
      <c r="S1486" s="5"/>
      <c r="T1486" s="5"/>
    </row>
    <row r="1487">
      <c r="A1487" s="4">
        <v>45534.3340125463</v>
      </c>
      <c r="B1487" s="5" t="s">
        <v>34</v>
      </c>
      <c r="D1487" s="5" t="s">
        <v>1206</v>
      </c>
      <c r="E1487" s="5" t="s">
        <v>12070</v>
      </c>
      <c r="F1487" s="5" t="s">
        <v>212</v>
      </c>
      <c r="G1487" s="5" t="s">
        <v>12071</v>
      </c>
      <c r="H1487" s="6" t="s">
        <v>12072</v>
      </c>
      <c r="I1487" s="7" t="s">
        <v>12073</v>
      </c>
      <c r="J1487" s="8" t="str">
        <f>HYPERLINK("https://drive.google.com/file/d/1no4rpeGSCfArLZbUSFLbTHVTXiG5ZVBp/view?usp=drivesdk","PENGATUR TK I SUMIATI SERTIFIKAT BerAKHLAK")</f>
        <v>PENGATUR TK I SUMIATI SERTIFIKAT BerAKHLAK</v>
      </c>
      <c r="K1487" s="5" t="s">
        <v>11954</v>
      </c>
      <c r="L1487" s="5" t="s">
        <v>12074</v>
      </c>
      <c r="M1487" s="5" t="s">
        <v>12075</v>
      </c>
      <c r="N1487" s="7" t="s">
        <v>12076</v>
      </c>
      <c r="O1487" s="8" t="str">
        <f>HYPERLINK("https://drive.google.com/file/d/1z4DKCqajJtyEQ3OlocwVDCFxHDgvxOVh/view?usp=drivesdk","1486_PENGATUR TK I SUMIATI _ SERTIFIKAT BIMTEK IPASN BerAKHLASK")</f>
        <v>1486_PENGATUR TK I SUMIATI _ SERTIFIKAT BIMTEK IPASN BerAKHLASK</v>
      </c>
      <c r="P1487" s="5" t="s">
        <v>12055</v>
      </c>
      <c r="Q1487" s="5"/>
      <c r="R1487" s="5"/>
      <c r="S1487" s="5"/>
      <c r="T1487" s="5"/>
    </row>
    <row r="1488">
      <c r="A1488" s="4">
        <v>45534.334014004635</v>
      </c>
      <c r="B1488" s="5" t="s">
        <v>34</v>
      </c>
      <c r="D1488" s="5" t="s">
        <v>1206</v>
      </c>
      <c r="E1488" s="5" t="s">
        <v>12077</v>
      </c>
      <c r="F1488" s="5" t="s">
        <v>72</v>
      </c>
      <c r="G1488" s="5" t="s">
        <v>12078</v>
      </c>
      <c r="H1488" s="6" t="s">
        <v>12079</v>
      </c>
      <c r="I1488" s="7" t="s">
        <v>12080</v>
      </c>
      <c r="J1488" s="8" t="str">
        <f>HYPERLINK("https://drive.google.com/file/d/1sJstk9PdEGYSKpT2_f0a9PpD7ejHwq1l/view?usp=drivesdk","ANISWATI ROFIAH, A.Md. SERTIFIKAT BerAKHLAK")</f>
        <v>ANISWATI ROFIAH, A.Md. SERTIFIKAT BerAKHLAK</v>
      </c>
      <c r="K1488" s="5" t="s">
        <v>11954</v>
      </c>
      <c r="L1488" s="5" t="s">
        <v>12081</v>
      </c>
      <c r="M1488" s="5" t="s">
        <v>12082</v>
      </c>
      <c r="N1488" s="7" t="s">
        <v>12083</v>
      </c>
      <c r="O1488" s="8" t="str">
        <f>HYPERLINK("https://drive.google.com/file/d/1OWhg-F-uyaDNGQhAy_QqQm_svV7jioIH/view?usp=drivesdk","1487_ANISWATI ROFIAH, A.Md. _ SERTIFIKAT BIMTEK IPASN BerAKHLASK")</f>
        <v>1487_ANISWATI ROFIAH, A.Md. _ SERTIFIKAT BIMTEK IPASN BerAKHLASK</v>
      </c>
      <c r="P1488" s="5" t="s">
        <v>12055</v>
      </c>
      <c r="Q1488" s="5"/>
      <c r="R1488" s="5"/>
      <c r="S1488" s="5"/>
      <c r="T1488" s="5"/>
    </row>
    <row r="1489" hidden="1">
      <c r="A1489" s="4">
        <v>45534.33401844907</v>
      </c>
      <c r="B1489" s="5" t="s">
        <v>19</v>
      </c>
      <c r="C1489" s="5" t="s">
        <v>11593</v>
      </c>
      <c r="E1489" s="5" t="s">
        <v>12084</v>
      </c>
      <c r="F1489" s="5" t="s">
        <v>524</v>
      </c>
      <c r="G1489" s="5" t="s">
        <v>12085</v>
      </c>
      <c r="H1489" s="6" t="s">
        <v>12086</v>
      </c>
      <c r="I1489" s="7" t="s">
        <v>12087</v>
      </c>
      <c r="J1489" s="8" t="str">
        <f>HYPERLINK("https://drive.google.com/file/d/1LVclwvdJUl_kfO9FCwGAf-0f-gnlkrRJ/view?usp=drivesdk","NORMA WIDIYANINGRUM SERTIFIKAT BerAKHLAK")</f>
        <v>NORMA WIDIYANINGRUM SERTIFIKAT BerAKHLAK</v>
      </c>
      <c r="K1489" s="5" t="s">
        <v>11954</v>
      </c>
      <c r="L1489" s="5" t="s">
        <v>12088</v>
      </c>
      <c r="M1489" s="5" t="s">
        <v>12089</v>
      </c>
      <c r="N1489" s="7" t="s">
        <v>12090</v>
      </c>
      <c r="O1489" s="8" t="str">
        <f>HYPERLINK("https://drive.google.com/file/d/1eGq2fjiZHB5HGDm_cH2QzNlmlrdLaoyE/view?usp=drivesdk","1488_NORMA WIDIYANINGRUM _ SERTIFIKAT BIMTEK IPASN BerAKHLASK")</f>
        <v>1488_NORMA WIDIYANINGRUM _ SERTIFIKAT BIMTEK IPASN BerAKHLASK</v>
      </c>
      <c r="P1489" s="5" t="s">
        <v>12055</v>
      </c>
      <c r="Q1489" s="5"/>
      <c r="R1489" s="5"/>
      <c r="S1489" s="5"/>
      <c r="T1489" s="5"/>
    </row>
    <row r="1490">
      <c r="A1490" s="4">
        <v>45534.33401866898</v>
      </c>
      <c r="B1490" s="5" t="s">
        <v>34</v>
      </c>
      <c r="D1490" s="5" t="s">
        <v>9394</v>
      </c>
      <c r="E1490" s="5" t="s">
        <v>12091</v>
      </c>
      <c r="F1490" s="5" t="s">
        <v>212</v>
      </c>
      <c r="G1490" s="5" t="s">
        <v>12092</v>
      </c>
      <c r="H1490" s="6" t="s">
        <v>12093</v>
      </c>
      <c r="I1490" s="7" t="s">
        <v>12094</v>
      </c>
      <c r="J1490" s="8" t="str">
        <f>HYPERLINK("https://drive.google.com/file/d/1X_rxKO5a6dcYxhU1RXRV0JWy0tSRKzsM/view?usp=drivesdk","SRI PURWANINGSIH SERTIFIKAT BerAKHLAK")</f>
        <v>SRI PURWANINGSIH SERTIFIKAT BerAKHLAK</v>
      </c>
      <c r="K1490" s="5" t="s">
        <v>12015</v>
      </c>
      <c r="L1490" s="5" t="s">
        <v>12095</v>
      </c>
      <c r="M1490" s="5" t="s">
        <v>12096</v>
      </c>
      <c r="N1490" s="7" t="s">
        <v>12097</v>
      </c>
      <c r="O1490" s="8" t="str">
        <f>HYPERLINK("https://drive.google.com/file/d/1mE9Qt5ZFcLpuvFQN0AqNIz0wznfxNnn5/view?usp=drivesdk","1489_SRI PURWANINGSIH _ SERTIFIKAT BIMTEK IPASN BerAKHLASK")</f>
        <v>1489_SRI PURWANINGSIH _ SERTIFIKAT BIMTEK IPASN BerAKHLASK</v>
      </c>
      <c r="P1490" s="5" t="s">
        <v>12098</v>
      </c>
      <c r="Q1490" s="5"/>
      <c r="R1490" s="5"/>
      <c r="S1490" s="5"/>
      <c r="T1490" s="5"/>
    </row>
    <row r="1491">
      <c r="A1491" s="4">
        <v>45534.334020069444</v>
      </c>
      <c r="B1491" s="5" t="s">
        <v>34</v>
      </c>
      <c r="D1491" s="5" t="s">
        <v>4775</v>
      </c>
      <c r="E1491" s="5" t="s">
        <v>12099</v>
      </c>
      <c r="F1491" s="5" t="s">
        <v>375</v>
      </c>
      <c r="G1491" s="5" t="s">
        <v>12100</v>
      </c>
      <c r="H1491" s="6" t="s">
        <v>12101</v>
      </c>
      <c r="I1491" s="7" t="s">
        <v>12102</v>
      </c>
      <c r="J1491" s="8" t="str">
        <f>HYPERLINK("https://drive.google.com/file/d/198BHXTfpH2lZkXxKHIIAmw2jqF6JvVGw/view?usp=drivesdk","HARI MARHENDRO, S.H. SERTIFIKAT BerAKHLAK")</f>
        <v>HARI MARHENDRO, S.H. SERTIFIKAT BerAKHLAK</v>
      </c>
      <c r="K1491" s="5" t="s">
        <v>12015</v>
      </c>
      <c r="L1491" s="5" t="s">
        <v>12103</v>
      </c>
      <c r="M1491" s="5" t="s">
        <v>12104</v>
      </c>
      <c r="N1491" s="7" t="s">
        <v>12105</v>
      </c>
      <c r="O1491" s="8" t="str">
        <f>HYPERLINK("https://drive.google.com/file/d/1oWOkCclIdPxdqNF5fIsvDBuzw-bjVOtX/view?usp=drivesdk","1490_HARI MARHENDRO, S.H. _ SERTIFIKAT BIMTEK IPASN BerAKHLASK")</f>
        <v>1490_HARI MARHENDRO, S.H. _ SERTIFIKAT BIMTEK IPASN BerAKHLASK</v>
      </c>
      <c r="P1491" s="5" t="s">
        <v>12098</v>
      </c>
      <c r="Q1491" s="5"/>
      <c r="R1491" s="5"/>
      <c r="S1491" s="5"/>
      <c r="T1491" s="5"/>
    </row>
    <row r="1492">
      <c r="A1492" s="4">
        <v>45534.334041423615</v>
      </c>
      <c r="B1492" s="5" t="s">
        <v>34</v>
      </c>
      <c r="D1492" s="5" t="s">
        <v>1206</v>
      </c>
      <c r="E1492" s="5" t="s">
        <v>12106</v>
      </c>
      <c r="F1492" s="5" t="s">
        <v>37</v>
      </c>
      <c r="G1492" s="5" t="s">
        <v>12107</v>
      </c>
      <c r="H1492" s="6" t="s">
        <v>12108</v>
      </c>
      <c r="K1492" s="5" t="s">
        <v>12109</v>
      </c>
      <c r="M1492" s="5" t="s">
        <v>12110</v>
      </c>
      <c r="N1492" s="7" t="s">
        <v>12111</v>
      </c>
      <c r="O1492" s="8" t="str">
        <f>HYPERLINK("https://drive.google.com/file/d/1QMp64TcAp8ib1jnxlKn0xghnf43oAyDj/view?usp=drivesdk","1491_MOHAMMAD SALEH _ SERTIFIKAT BIMTEK IPASN BerAKHLASK")</f>
        <v>1491_MOHAMMAD SALEH _ SERTIFIKAT BIMTEK IPASN BerAKHLASK</v>
      </c>
      <c r="P1492" s="5" t="s">
        <v>12098</v>
      </c>
      <c r="Q1492" s="5"/>
      <c r="R1492" s="5"/>
      <c r="S1492" s="5"/>
      <c r="T1492" s="5"/>
    </row>
    <row r="1493">
      <c r="A1493" s="4">
        <v>45534.33404746528</v>
      </c>
      <c r="B1493" s="5" t="s">
        <v>34</v>
      </c>
      <c r="D1493" s="5" t="s">
        <v>12010</v>
      </c>
      <c r="E1493" s="5" t="s">
        <v>12112</v>
      </c>
      <c r="F1493" s="5" t="s">
        <v>37</v>
      </c>
      <c r="G1493" s="5" t="s">
        <v>12113</v>
      </c>
      <c r="H1493" s="6" t="s">
        <v>12114</v>
      </c>
      <c r="K1493" s="5" t="s">
        <v>12109</v>
      </c>
      <c r="M1493" s="5" t="s">
        <v>12115</v>
      </c>
      <c r="N1493" s="7" t="s">
        <v>12116</v>
      </c>
      <c r="O1493" s="8" t="str">
        <f>HYPERLINK("https://drive.google.com/file/d/1EgfNRM_eYDU9vlgRXO6EfKOHbeiUOJoV/view?usp=drivesdk","1492_YULIYANA YUSUF _ SERTIFIKAT BIMTEK IPASN BerAKHLASK")</f>
        <v>1492_YULIYANA YUSUF _ SERTIFIKAT BIMTEK IPASN BerAKHLASK</v>
      </c>
      <c r="P1493" s="5" t="s">
        <v>12098</v>
      </c>
      <c r="Q1493" s="5"/>
      <c r="R1493" s="5"/>
      <c r="S1493" s="5"/>
      <c r="T1493" s="5"/>
    </row>
    <row r="1494">
      <c r="A1494" s="4">
        <v>45534.33404869213</v>
      </c>
      <c r="B1494" s="5" t="s">
        <v>34</v>
      </c>
      <c r="D1494" s="5" t="s">
        <v>4775</v>
      </c>
      <c r="E1494" s="5" t="s">
        <v>12117</v>
      </c>
      <c r="F1494" s="5" t="s">
        <v>212</v>
      </c>
      <c r="G1494" s="5" t="s">
        <v>12118</v>
      </c>
      <c r="H1494" s="6" t="s">
        <v>12119</v>
      </c>
      <c r="K1494" s="5" t="s">
        <v>12109</v>
      </c>
      <c r="M1494" s="5" t="s">
        <v>12120</v>
      </c>
      <c r="N1494" s="7" t="s">
        <v>12121</v>
      </c>
      <c r="O1494" s="8" t="str">
        <f>HYPERLINK("https://drive.google.com/file/d/1BJ2QPhM14-VwwAB4rXonumxC9b-DPza2/view?usp=drivesdk","1493_YENI ADI SULISTYANINGSIH _ SERTIFIKAT BIMTEK IPASN BerAKHLASK")</f>
        <v>1493_YENI ADI SULISTYANINGSIH _ SERTIFIKAT BIMTEK IPASN BerAKHLASK</v>
      </c>
      <c r="P1494" s="5" t="s">
        <v>12098</v>
      </c>
      <c r="Q1494" s="5"/>
      <c r="R1494" s="5"/>
      <c r="S1494" s="5"/>
      <c r="T1494" s="5"/>
    </row>
    <row r="1495">
      <c r="A1495" s="4">
        <v>45534.33409138889</v>
      </c>
      <c r="B1495" s="5" t="s">
        <v>34</v>
      </c>
      <c r="D1495" s="5" t="s">
        <v>4775</v>
      </c>
      <c r="E1495" s="5" t="s">
        <v>12122</v>
      </c>
      <c r="F1495" s="5" t="s">
        <v>37</v>
      </c>
      <c r="G1495" s="5" t="s">
        <v>12123</v>
      </c>
      <c r="H1495" s="6" t="s">
        <v>12124</v>
      </c>
      <c r="I1495" s="7" t="s">
        <v>12125</v>
      </c>
      <c r="J1495" s="8" t="str">
        <f>HYPERLINK("https://drive.google.com/file/d/1t_ezM0Zicd7mqqKsYEX26iwCImdk3IVe/view?usp=drivesdk","SITI SHOPIYATUN SERTIFIKAT BerAKHLAK")</f>
        <v>SITI SHOPIYATUN SERTIFIKAT BerAKHLAK</v>
      </c>
      <c r="K1495" s="5" t="s">
        <v>11664</v>
      </c>
      <c r="L1495" s="5" t="s">
        <v>12126</v>
      </c>
      <c r="M1495" s="5" t="s">
        <v>12127</v>
      </c>
      <c r="N1495" s="7" t="s">
        <v>12128</v>
      </c>
      <c r="O1495" s="8" t="str">
        <f>HYPERLINK("https://drive.google.com/file/d/1AaGQqzblU1u-ElgUBMgVA4-u88mYtjQS/view?usp=drivesdk","1494_SITI SHOPIYATUN _ SERTIFIKAT BIMTEK IPASN BerAKHLASK")</f>
        <v>1494_SITI SHOPIYATUN _ SERTIFIKAT BIMTEK IPASN BerAKHLASK</v>
      </c>
      <c r="P1495" s="5" t="s">
        <v>12098</v>
      </c>
      <c r="Q1495" s="5"/>
      <c r="R1495" s="5"/>
      <c r="S1495" s="5"/>
      <c r="T1495" s="5"/>
    </row>
    <row r="1496" hidden="1">
      <c r="A1496" s="4">
        <v>45534.33410807871</v>
      </c>
      <c r="B1496" s="5" t="s">
        <v>19</v>
      </c>
      <c r="C1496" s="5" t="s">
        <v>5564</v>
      </c>
      <c r="E1496" s="5" t="s">
        <v>12129</v>
      </c>
      <c r="F1496" s="5" t="s">
        <v>5566</v>
      </c>
      <c r="G1496" s="5" t="s">
        <v>12130</v>
      </c>
      <c r="H1496" s="6" t="s">
        <v>12131</v>
      </c>
      <c r="K1496" s="5" t="s">
        <v>12132</v>
      </c>
      <c r="M1496" s="5" t="s">
        <v>12133</v>
      </c>
      <c r="N1496" s="7" t="s">
        <v>12134</v>
      </c>
      <c r="O1496" s="8" t="str">
        <f>HYPERLINK("https://drive.google.com/file/d/1PGAsivRYfzt5aVl9VJNWy2ptnn4zaS4m/view?usp=drivesdk","1495_DARU CAHYO RAHARJO  _ SERTIFIKAT BIMTEK IPASN BerAKHLASK")</f>
        <v>1495_DARU CAHYO RAHARJO  _ SERTIFIKAT BIMTEK IPASN BerAKHLASK</v>
      </c>
      <c r="P1496" s="5" t="s">
        <v>12135</v>
      </c>
      <c r="Q1496" s="5"/>
      <c r="R1496" s="5"/>
      <c r="S1496" s="5"/>
      <c r="T1496" s="5"/>
    </row>
    <row r="1497">
      <c r="A1497" s="4">
        <v>45534.334116655096</v>
      </c>
      <c r="B1497" s="5" t="s">
        <v>34</v>
      </c>
      <c r="D1497" s="5" t="s">
        <v>35</v>
      </c>
      <c r="E1497" s="5" t="s">
        <v>12136</v>
      </c>
      <c r="F1497" s="5" t="s">
        <v>375</v>
      </c>
      <c r="G1497" s="5" t="s">
        <v>12137</v>
      </c>
      <c r="H1497" s="6" t="s">
        <v>12138</v>
      </c>
      <c r="K1497" s="5" t="s">
        <v>12132</v>
      </c>
      <c r="M1497" s="5" t="s">
        <v>12139</v>
      </c>
      <c r="N1497" s="7" t="s">
        <v>12140</v>
      </c>
      <c r="O1497" s="8" t="str">
        <f>HYPERLINK("https://drive.google.com/file/d/1dFnuJ1fmrZoqTu8XLoo2rnwd9ZlP7_hZ/view?usp=drivesdk","1496_HERRY YULIYANTO, S.E. _ SERTIFIKAT BIMTEK IPASN BerAKHLASK")</f>
        <v>1496_HERRY YULIYANTO, S.E. _ SERTIFIKAT BIMTEK IPASN BerAKHLASK</v>
      </c>
      <c r="P1497" s="5" t="s">
        <v>12135</v>
      </c>
      <c r="Q1497" s="5"/>
      <c r="R1497" s="5"/>
      <c r="S1497" s="5"/>
      <c r="T1497" s="5"/>
    </row>
    <row r="1498">
      <c r="A1498" s="4">
        <v>45534.334120995365</v>
      </c>
      <c r="B1498" s="5" t="s">
        <v>34</v>
      </c>
      <c r="D1498" s="5" t="s">
        <v>1206</v>
      </c>
      <c r="E1498" s="5" t="s">
        <v>12141</v>
      </c>
      <c r="F1498" s="5" t="s">
        <v>212</v>
      </c>
      <c r="G1498" s="5" t="s">
        <v>12142</v>
      </c>
      <c r="H1498" s="6" t="s">
        <v>12143</v>
      </c>
      <c r="K1498" s="5" t="s">
        <v>12132</v>
      </c>
      <c r="M1498" s="5" t="s">
        <v>12144</v>
      </c>
      <c r="N1498" s="7" t="s">
        <v>12145</v>
      </c>
      <c r="O1498" s="8" t="str">
        <f>HYPERLINK("https://drive.google.com/file/d/1g2o9mhkh5qtqlA-yAlC7tyBQB3rngNdS/view?usp=drivesdk","1497_PENGATUR I DWI ARIANI _ SERTIFIKAT BIMTEK IPASN BerAKHLASK")</f>
        <v>1497_PENGATUR I DWI ARIANI _ SERTIFIKAT BIMTEK IPASN BerAKHLASK</v>
      </c>
      <c r="P1498" s="5" t="s">
        <v>12135</v>
      </c>
      <c r="Q1498" s="5"/>
      <c r="R1498" s="5"/>
      <c r="S1498" s="5"/>
      <c r="T1498" s="5"/>
    </row>
    <row r="1499">
      <c r="A1499" s="4">
        <v>45534.334125231486</v>
      </c>
      <c r="B1499" s="5" t="s">
        <v>34</v>
      </c>
      <c r="D1499" s="5" t="s">
        <v>4775</v>
      </c>
      <c r="E1499" s="5" t="s">
        <v>12146</v>
      </c>
      <c r="F1499" s="5" t="s">
        <v>108</v>
      </c>
      <c r="G1499" s="5" t="s">
        <v>12147</v>
      </c>
      <c r="H1499" s="6" t="s">
        <v>12148</v>
      </c>
      <c r="K1499" s="5" t="s">
        <v>12132</v>
      </c>
      <c r="M1499" s="5" t="s">
        <v>12149</v>
      </c>
      <c r="N1499" s="7" t="s">
        <v>12150</v>
      </c>
      <c r="O1499" s="8" t="str">
        <f>HYPERLINK("https://drive.google.com/file/d/1zbk7lxESDpznyocBBffCG6u_c3BYh5zN/view?usp=drivesdk","1498_EKO SUGIARTO, SM _ SERTIFIKAT BIMTEK IPASN BerAKHLASK")</f>
        <v>1498_EKO SUGIARTO, SM _ SERTIFIKAT BIMTEK IPASN BerAKHLASK</v>
      </c>
      <c r="P1499" s="5" t="s">
        <v>12135</v>
      </c>
      <c r="Q1499" s="5"/>
      <c r="R1499" s="5"/>
      <c r="S1499" s="5"/>
      <c r="T1499" s="5"/>
    </row>
    <row r="1500">
      <c r="A1500" s="4">
        <v>45534.334127696755</v>
      </c>
      <c r="B1500" s="5" t="s">
        <v>34</v>
      </c>
      <c r="D1500" s="5" t="s">
        <v>6232</v>
      </c>
      <c r="E1500" s="5" t="s">
        <v>12151</v>
      </c>
      <c r="F1500" s="5" t="s">
        <v>212</v>
      </c>
      <c r="G1500" s="5" t="s">
        <v>12152</v>
      </c>
      <c r="H1500" s="6" t="s">
        <v>12153</v>
      </c>
      <c r="K1500" s="5" t="s">
        <v>12132</v>
      </c>
      <c r="M1500" s="5" t="s">
        <v>12154</v>
      </c>
      <c r="N1500" s="7" t="s">
        <v>12155</v>
      </c>
      <c r="O1500" s="8" t="str">
        <f>HYPERLINK("https://drive.google.com/file/d/1nWiYB0hBsqhYL0LSlypN0dZA-CkcH6-h/view?usp=drivesdk","1499_FRAYOGI YULIANTORO RUSDI  _ SERTIFIKAT BIMTEK IPASN BerAKHLASK")</f>
        <v>1499_FRAYOGI YULIANTORO RUSDI  _ SERTIFIKAT BIMTEK IPASN BerAKHLASK</v>
      </c>
      <c r="P1500" s="5" t="s">
        <v>12135</v>
      </c>
      <c r="Q1500" s="5"/>
      <c r="R1500" s="5"/>
      <c r="S1500" s="5"/>
      <c r="T1500" s="5"/>
    </row>
    <row r="1501" hidden="1">
      <c r="A1501" s="4">
        <v>45534.33413559028</v>
      </c>
      <c r="B1501" s="5" t="s">
        <v>19</v>
      </c>
      <c r="C1501" s="5" t="s">
        <v>292</v>
      </c>
      <c r="E1501" s="5" t="s">
        <v>12156</v>
      </c>
      <c r="F1501" s="5" t="s">
        <v>37</v>
      </c>
      <c r="G1501" s="5" t="s">
        <v>12157</v>
      </c>
      <c r="H1501" s="6" t="s">
        <v>12158</v>
      </c>
      <c r="K1501" s="5" t="s">
        <v>12132</v>
      </c>
      <c r="M1501" s="5" t="s">
        <v>12159</v>
      </c>
      <c r="N1501" s="7" t="s">
        <v>12160</v>
      </c>
      <c r="O1501" s="8" t="str">
        <f>HYPERLINK("https://drive.google.com/file/d/1_FFztcT_t9ZLrwj7rtpwP6T9HO6z-cig/view?usp=drivesdk","1500_ADAR HERMAWAN _ SERTIFIKAT BIMTEK IPASN BerAKHLASK")</f>
        <v>1500_ADAR HERMAWAN _ SERTIFIKAT BIMTEK IPASN BerAKHLASK</v>
      </c>
      <c r="P1501" s="5" t="s">
        <v>12135</v>
      </c>
      <c r="Q1501" s="5"/>
      <c r="R1501" s="5"/>
      <c r="S1501" s="5"/>
      <c r="T1501" s="5"/>
    </row>
    <row r="1502" hidden="1">
      <c r="A1502" s="4">
        <v>45534.33415405093</v>
      </c>
      <c r="B1502" s="5" t="s">
        <v>19</v>
      </c>
      <c r="C1502" s="5" t="s">
        <v>11593</v>
      </c>
      <c r="E1502" s="5" t="s">
        <v>12161</v>
      </c>
      <c r="F1502" s="5" t="s">
        <v>108</v>
      </c>
      <c r="G1502" s="5" t="s">
        <v>12162</v>
      </c>
      <c r="H1502" s="6" t="s">
        <v>12163</v>
      </c>
      <c r="K1502" s="5" t="s">
        <v>12132</v>
      </c>
      <c r="M1502" s="5" t="s">
        <v>12164</v>
      </c>
      <c r="N1502" s="7" t="s">
        <v>12165</v>
      </c>
      <c r="O1502" s="8" t="str">
        <f>HYPERLINK("https://drive.google.com/file/d/1_DCiTehxujQUXZLr_nScNqImBNBGeIGe/view?usp=drivesdk","1501_NOVIASRINI KEMALA NINGRUM _ SERTIFIKAT BIMTEK IPASN BerAKHLASK")</f>
        <v>1501_NOVIASRINI KEMALA NINGRUM _ SERTIFIKAT BIMTEK IPASN BerAKHLASK</v>
      </c>
      <c r="P1502" s="5" t="s">
        <v>12166</v>
      </c>
      <c r="Q1502" s="5"/>
      <c r="R1502" s="5"/>
      <c r="S1502" s="5"/>
      <c r="T1502" s="5"/>
    </row>
    <row r="1503">
      <c r="A1503" s="4">
        <v>45534.334155115735</v>
      </c>
      <c r="B1503" s="5" t="s">
        <v>34</v>
      </c>
      <c r="D1503" s="5" t="s">
        <v>6232</v>
      </c>
      <c r="E1503" s="5" t="s">
        <v>12167</v>
      </c>
      <c r="F1503" s="5" t="s">
        <v>108</v>
      </c>
      <c r="G1503" s="5" t="s">
        <v>12168</v>
      </c>
      <c r="H1503" s="6" t="s">
        <v>12169</v>
      </c>
      <c r="I1503" s="7" t="s">
        <v>12170</v>
      </c>
      <c r="J1503" s="8" t="str">
        <f>HYPERLINK("https://drive.google.com/file/d/1K-HH6YF1XcvZvCtPs42xeADAR8gr-0hC/view?usp=drivesdk","dr. ATMITA MEI RIATNA GULTOM SERTIFIKAT BerAKHLAK")</f>
        <v>dr. ATMITA MEI RIATNA GULTOM SERTIFIKAT BerAKHLAK</v>
      </c>
      <c r="K1503" s="5" t="s">
        <v>11664</v>
      </c>
      <c r="L1503" s="5" t="s">
        <v>12171</v>
      </c>
      <c r="M1503" s="5" t="s">
        <v>12172</v>
      </c>
      <c r="N1503" s="7" t="s">
        <v>12173</v>
      </c>
      <c r="O1503" s="8" t="str">
        <f>HYPERLINK("https://drive.google.com/file/d/1eR7Je5W-HfIW9prBWnqKvat6xTn6m4FE/view?usp=drivesdk","1502_dr. ATMITA MEI RIATNA GULTOM _ SERTIFIKAT BIMTEK IPASN BerAKHLASK")</f>
        <v>1502_dr. ATMITA MEI RIATNA GULTOM _ SERTIFIKAT BIMTEK IPASN BerAKHLASK</v>
      </c>
      <c r="P1503" s="5" t="s">
        <v>12166</v>
      </c>
      <c r="Q1503" s="5"/>
      <c r="R1503" s="5"/>
      <c r="S1503" s="5"/>
      <c r="T1503" s="5"/>
    </row>
    <row r="1504">
      <c r="A1504" s="4">
        <v>45534.33415564815</v>
      </c>
      <c r="B1504" s="5" t="s">
        <v>34</v>
      </c>
      <c r="D1504" s="5" t="s">
        <v>9020</v>
      </c>
      <c r="E1504" s="5" t="s">
        <v>12174</v>
      </c>
      <c r="F1504" s="5" t="s">
        <v>108</v>
      </c>
      <c r="G1504" s="5" t="s">
        <v>12175</v>
      </c>
      <c r="H1504" s="6" t="s">
        <v>12176</v>
      </c>
      <c r="I1504" s="7" t="s">
        <v>12177</v>
      </c>
      <c r="J1504" s="8" t="str">
        <f>HYPERLINK("https://drive.google.com/file/d/19itxLnKTw-PRiQ2TH1U2QAy1KUZJY5ig/view?usp=drivesdk","NORA FITRIANI,SKM SERTIFIKAT BerAKHLAK")</f>
        <v>NORA FITRIANI,SKM SERTIFIKAT BerAKHLAK</v>
      </c>
      <c r="K1504" s="5" t="s">
        <v>11664</v>
      </c>
      <c r="L1504" s="5" t="s">
        <v>12178</v>
      </c>
      <c r="M1504" s="5" t="s">
        <v>12179</v>
      </c>
      <c r="N1504" s="7" t="s">
        <v>12180</v>
      </c>
      <c r="O1504" s="8" t="str">
        <f>HYPERLINK("https://drive.google.com/file/d/10pHVt48cahuUeyGUIys3FVBorW60dMJ9/view?usp=drivesdk","1503_NORA FITRIANI,SKM _ SERTIFIKAT BIMTEK IPASN BerAKHLASK")</f>
        <v>1503_NORA FITRIANI,SKM _ SERTIFIKAT BIMTEK IPASN BerAKHLASK</v>
      </c>
      <c r="P1504" s="5" t="s">
        <v>12166</v>
      </c>
      <c r="Q1504" s="5"/>
      <c r="R1504" s="5"/>
      <c r="S1504" s="5"/>
      <c r="T1504" s="5"/>
    </row>
    <row r="1505">
      <c r="A1505" s="4">
        <v>45534.334159756945</v>
      </c>
      <c r="B1505" s="5" t="s">
        <v>34</v>
      </c>
      <c r="D1505" s="5" t="s">
        <v>6232</v>
      </c>
      <c r="E1505" s="5" t="s">
        <v>12181</v>
      </c>
      <c r="F1505" s="5" t="s">
        <v>37</v>
      </c>
      <c r="G1505" s="5" t="s">
        <v>12182</v>
      </c>
      <c r="H1505" s="6" t="s">
        <v>12183</v>
      </c>
      <c r="I1505" s="7" t="s">
        <v>12184</v>
      </c>
      <c r="J1505" s="8" t="str">
        <f>HYPERLINK("https://drive.google.com/file/d/1J4j5XXMXHBLbRhVLG6sRyMcHY81gBS1j/view?usp=drivesdk","ELIZABETH DEWI KARTINI SIBURIAN, Am.Kep SERTIFIKAT BerAKHLAK")</f>
        <v>ELIZABETH DEWI KARTINI SIBURIAN, Am.Kep SERTIFIKAT BerAKHLAK</v>
      </c>
      <c r="K1505" s="5" t="s">
        <v>11664</v>
      </c>
      <c r="L1505" s="5" t="s">
        <v>12185</v>
      </c>
      <c r="M1505" s="5" t="s">
        <v>12186</v>
      </c>
      <c r="N1505" s="7" t="s">
        <v>12187</v>
      </c>
      <c r="O1505" s="8" t="str">
        <f>HYPERLINK("https://drive.google.com/file/d/1f3JDIWCtd_Fc6jYAWl2JYcmkhPBem_3q/view?usp=drivesdk","1504_ELIZABETH DEWI KARTINI SIBURIAN, Am.Kep _ SERTIFIKAT BIMTEK IPASN BerAKHLASK")</f>
        <v>1504_ELIZABETH DEWI KARTINI SIBURIAN, Am.Kep _ SERTIFIKAT BIMTEK IPASN BerAKHLASK</v>
      </c>
      <c r="P1505" s="5" t="s">
        <v>12166</v>
      </c>
      <c r="Q1505" s="5"/>
      <c r="R1505" s="5"/>
      <c r="S1505" s="5"/>
      <c r="T1505" s="5"/>
    </row>
    <row r="1506">
      <c r="A1506" s="4">
        <v>45534.33418975695</v>
      </c>
      <c r="B1506" s="5" t="s">
        <v>34</v>
      </c>
      <c r="D1506" s="5" t="s">
        <v>6232</v>
      </c>
      <c r="E1506" s="5" t="s">
        <v>12188</v>
      </c>
      <c r="F1506" s="5" t="s">
        <v>108</v>
      </c>
      <c r="G1506" s="5" t="s">
        <v>12189</v>
      </c>
      <c r="H1506" s="6" t="s">
        <v>12190</v>
      </c>
      <c r="I1506" s="7" t="s">
        <v>12191</v>
      </c>
      <c r="J1506" s="8" t="str">
        <f>HYPERLINK("https://drive.google.com/file/d/1PrURppqq6sCTgsyqtf9gdobsU9vT5VaZ/view?usp=drivesdk","NS DINA SYARIF SKEP SERTIFIKAT BerAKHLAK")</f>
        <v>NS DINA SYARIF SKEP SERTIFIKAT BerAKHLAK</v>
      </c>
      <c r="K1506" s="5" t="s">
        <v>11664</v>
      </c>
      <c r="L1506" s="5" t="s">
        <v>12192</v>
      </c>
      <c r="M1506" s="5" t="s">
        <v>12193</v>
      </c>
      <c r="N1506" s="7" t="s">
        <v>12194</v>
      </c>
      <c r="O1506" s="8" t="str">
        <f>HYPERLINK("https://drive.google.com/file/d/1CP0d40o8sWOY4slrP5ksdzkoxkQZS9Lq/view?usp=drivesdk","1505_NS DINA SYARIF SKEP _ SERTIFIKAT BIMTEK IPASN BerAKHLASK")</f>
        <v>1505_NS DINA SYARIF SKEP _ SERTIFIKAT BIMTEK IPASN BerAKHLASK</v>
      </c>
      <c r="P1506" s="5" t="s">
        <v>12166</v>
      </c>
      <c r="Q1506" s="5"/>
      <c r="R1506" s="5"/>
      <c r="S1506" s="5"/>
      <c r="T1506" s="5"/>
    </row>
    <row r="1507">
      <c r="A1507" s="4">
        <v>45534.33419608796</v>
      </c>
      <c r="B1507" s="5" t="s">
        <v>34</v>
      </c>
      <c r="D1507" s="5" t="s">
        <v>9394</v>
      </c>
      <c r="E1507" s="5" t="s">
        <v>12195</v>
      </c>
      <c r="F1507" s="5" t="s">
        <v>37</v>
      </c>
      <c r="G1507" s="5" t="s">
        <v>12196</v>
      </c>
      <c r="H1507" s="6" t="s">
        <v>12197</v>
      </c>
      <c r="I1507" s="7" t="s">
        <v>12198</v>
      </c>
      <c r="J1507" s="8" t="str">
        <f>HYPERLINK("https://drive.google.com/file/d/1F3HwiKVQ519V92uihbNKwUTmlL6ao6yr/view?usp=drivesdk","MUHAMAD PARMINTO  SERTIFIKAT BerAKHLAK")</f>
        <v>MUHAMAD PARMINTO  SERTIFIKAT BerAKHLAK</v>
      </c>
      <c r="K1507" s="5" t="s">
        <v>11664</v>
      </c>
      <c r="L1507" s="5" t="s">
        <v>12199</v>
      </c>
      <c r="M1507" s="5" t="s">
        <v>12200</v>
      </c>
      <c r="N1507" s="7" t="s">
        <v>12201</v>
      </c>
      <c r="O1507" s="8" t="str">
        <f>HYPERLINK("https://drive.google.com/file/d/1KrXbVXn5bkUUzR-bOOZgQIkv6MPFATDP/view?usp=drivesdk","1506_MUHAMAD PARMINTO  _ SERTIFIKAT BIMTEK IPASN BerAKHLASK")</f>
        <v>1506_MUHAMAD PARMINTO  _ SERTIFIKAT BIMTEK IPASN BerAKHLASK</v>
      </c>
      <c r="P1507" s="5" t="s">
        <v>12202</v>
      </c>
      <c r="Q1507" s="5"/>
      <c r="R1507" s="5"/>
      <c r="S1507" s="5"/>
      <c r="T1507" s="5"/>
    </row>
    <row r="1508">
      <c r="A1508" s="4">
        <v>45534.33419875</v>
      </c>
      <c r="B1508" s="5" t="s">
        <v>34</v>
      </c>
      <c r="D1508" s="5" t="s">
        <v>701</v>
      </c>
      <c r="E1508" s="5" t="s">
        <v>12203</v>
      </c>
      <c r="F1508" s="5" t="s">
        <v>715</v>
      </c>
      <c r="G1508" s="5" t="s">
        <v>12204</v>
      </c>
      <c r="H1508" s="6" t="s">
        <v>12205</v>
      </c>
      <c r="I1508" s="7" t="s">
        <v>12206</v>
      </c>
      <c r="J1508" s="8" t="str">
        <f>HYPERLINK("https://drive.google.com/file/d/1bzeblq7_oGiYNnFr5CNSQ2xxMapEX2zs/view?usp=drivesdk","WIRDA NENGSIH, S.H SERTIFIKAT BerAKHLAK")</f>
        <v>WIRDA NENGSIH, S.H SERTIFIKAT BerAKHLAK</v>
      </c>
      <c r="K1508" s="5" t="s">
        <v>11954</v>
      </c>
      <c r="L1508" s="5" t="s">
        <v>12207</v>
      </c>
      <c r="M1508" s="5" t="s">
        <v>12208</v>
      </c>
      <c r="N1508" s="7" t="s">
        <v>12209</v>
      </c>
      <c r="O1508" s="8" t="str">
        <f>HYPERLINK("https://drive.google.com/file/d/1z4rQuMEHRUvVEqdDQ-hqSyc-0HKGT1Zi/view?usp=drivesdk","1507_WIRDA NENGSIH, S.H _ SERTIFIKAT BIMTEK IPASN BerAKHLASK")</f>
        <v>1507_WIRDA NENGSIH, S.H _ SERTIFIKAT BIMTEK IPASN BerAKHLASK</v>
      </c>
      <c r="P1508" s="5" t="s">
        <v>12202</v>
      </c>
      <c r="Q1508" s="5"/>
      <c r="R1508" s="5"/>
      <c r="S1508" s="5"/>
      <c r="T1508" s="5"/>
    </row>
    <row r="1509">
      <c r="A1509" s="4">
        <v>45534.3342121875</v>
      </c>
      <c r="B1509" s="5" t="s">
        <v>34</v>
      </c>
      <c r="D1509" s="5" t="s">
        <v>1768</v>
      </c>
      <c r="E1509" s="5" t="s">
        <v>12210</v>
      </c>
      <c r="F1509" s="5" t="s">
        <v>72</v>
      </c>
      <c r="G1509" s="5" t="s">
        <v>12211</v>
      </c>
      <c r="H1509" s="6" t="s">
        <v>12212</v>
      </c>
      <c r="I1509" s="7" t="s">
        <v>12213</v>
      </c>
      <c r="J1509" s="8" t="str">
        <f>HYPERLINK("https://drive.google.com/file/d/16oF6r-2r8iChrP33I8DY3wMOLzFFP3Wk/view?usp=drivesdk","PRADITYA AGUS NUGRAHA, AMD SERTIFIKAT BerAKHLAK")</f>
        <v>PRADITYA AGUS NUGRAHA, AMD SERTIFIKAT BerAKHLAK</v>
      </c>
      <c r="K1509" s="5" t="s">
        <v>11954</v>
      </c>
      <c r="L1509" s="5" t="s">
        <v>12214</v>
      </c>
      <c r="M1509" s="5" t="s">
        <v>12215</v>
      </c>
      <c r="N1509" s="7" t="s">
        <v>12216</v>
      </c>
      <c r="O1509" s="8" t="str">
        <f>HYPERLINK("https://drive.google.com/file/d/18BPXGcv8bSKeq9mNiZ_KaBtpcTSqZEdx/view?usp=drivesdk","1508_PRADITYA AGUS NUGRAHA, AMD _ SERTIFIKAT BIMTEK IPASN BerAKHLASK")</f>
        <v>1508_PRADITYA AGUS NUGRAHA, AMD _ SERTIFIKAT BIMTEK IPASN BerAKHLASK</v>
      </c>
      <c r="P1509" s="5" t="s">
        <v>12202</v>
      </c>
      <c r="Q1509" s="5"/>
      <c r="R1509" s="5"/>
      <c r="S1509" s="5"/>
      <c r="T1509" s="5"/>
    </row>
    <row r="1510">
      <c r="A1510" s="4">
        <v>45534.334217615746</v>
      </c>
      <c r="B1510" s="5" t="s">
        <v>34</v>
      </c>
      <c r="D1510" s="5" t="s">
        <v>1768</v>
      </c>
      <c r="E1510" s="5" t="s">
        <v>12217</v>
      </c>
      <c r="F1510" s="5" t="s">
        <v>212</v>
      </c>
      <c r="G1510" s="5" t="s">
        <v>12218</v>
      </c>
      <c r="H1510" s="6" t="s">
        <v>12219</v>
      </c>
      <c r="I1510" s="7" t="s">
        <v>12220</v>
      </c>
      <c r="J1510" s="8" t="str">
        <f>HYPERLINK("https://drive.google.com/file/d/1TwLpbRKXEdmNGK3CExX7KI3hL_Ko31e0/view?usp=drivesdk","HADI APRIANTO SERTIFIKAT BerAKHLAK")</f>
        <v>HADI APRIANTO SERTIFIKAT BerAKHLAK</v>
      </c>
      <c r="K1510" s="5" t="s">
        <v>11954</v>
      </c>
      <c r="L1510" s="5" t="s">
        <v>12221</v>
      </c>
      <c r="M1510" s="5" t="s">
        <v>12222</v>
      </c>
      <c r="N1510" s="7" t="s">
        <v>12223</v>
      </c>
      <c r="O1510" s="8" t="str">
        <f>HYPERLINK("https://drive.google.com/file/d/14akefDxs3ZPTnYTWISrNQFY8UlDy68QF/view?usp=drivesdk","1509_HADI APRIANTO _ SERTIFIKAT BIMTEK IPASN BerAKHLASK")</f>
        <v>1509_HADI APRIANTO _ SERTIFIKAT BIMTEK IPASN BerAKHLASK</v>
      </c>
      <c r="P1510" s="5" t="s">
        <v>12202</v>
      </c>
      <c r="Q1510" s="5"/>
      <c r="R1510" s="5"/>
      <c r="S1510" s="5"/>
      <c r="T1510" s="5"/>
    </row>
    <row r="1511">
      <c r="A1511" s="4">
        <v>45534.33422091435</v>
      </c>
      <c r="B1511" s="5" t="s">
        <v>34</v>
      </c>
      <c r="D1511" s="5" t="s">
        <v>6232</v>
      </c>
      <c r="E1511" s="5" t="s">
        <v>12224</v>
      </c>
      <c r="F1511" s="5" t="s">
        <v>120</v>
      </c>
      <c r="G1511" s="5" t="s">
        <v>12225</v>
      </c>
      <c r="H1511" s="6" t="s">
        <v>12226</v>
      </c>
      <c r="K1511" s="5" t="s">
        <v>12227</v>
      </c>
      <c r="M1511" s="5" t="s">
        <v>12228</v>
      </c>
      <c r="N1511" s="7" t="s">
        <v>12229</v>
      </c>
      <c r="O1511" s="8" t="str">
        <f>HYPERLINK("https://drive.google.com/file/d/1Qdgmi3CG1RBFBP4oQa0KUiDgN2T5svGw/view?usp=drivesdk","1510_DESY KURNIASIH _ SERTIFIKAT BIMTEK IPASN BerAKHLASK")</f>
        <v>1510_DESY KURNIASIH _ SERTIFIKAT BIMTEK IPASN BerAKHLASK</v>
      </c>
      <c r="P1511" s="5" t="s">
        <v>12202</v>
      </c>
      <c r="Q1511" s="5"/>
      <c r="R1511" s="5"/>
      <c r="S1511" s="5"/>
      <c r="T1511" s="5"/>
    </row>
    <row r="1512">
      <c r="A1512" s="4">
        <v>45534.33422193287</v>
      </c>
      <c r="B1512" s="5" t="s">
        <v>34</v>
      </c>
      <c r="D1512" s="5" t="s">
        <v>267</v>
      </c>
      <c r="E1512" s="5" t="s">
        <v>12230</v>
      </c>
      <c r="F1512" s="5" t="s">
        <v>37</v>
      </c>
      <c r="G1512" s="5" t="s">
        <v>12231</v>
      </c>
      <c r="H1512" s="6" t="s">
        <v>12232</v>
      </c>
      <c r="K1512" s="5" t="s">
        <v>12227</v>
      </c>
      <c r="M1512" s="5" t="s">
        <v>12233</v>
      </c>
      <c r="N1512" s="7" t="s">
        <v>12234</v>
      </c>
      <c r="O1512" s="8" t="str">
        <f>HYPERLINK("https://drive.google.com/file/d/1M1DOacwh1xlb7ges--JWBDwdKraNGRZH/view?usp=drivesdk","1511_ENDANG PUJI LESTARI _ SERTIFIKAT BIMTEK IPASN BerAKHLASK")</f>
        <v>1511_ENDANG PUJI LESTARI _ SERTIFIKAT BIMTEK IPASN BerAKHLASK</v>
      </c>
      <c r="P1512" s="5" t="s">
        <v>12235</v>
      </c>
      <c r="Q1512" s="5"/>
      <c r="R1512" s="5"/>
      <c r="S1512" s="5"/>
      <c r="T1512" s="5"/>
    </row>
    <row r="1513">
      <c r="A1513" s="4">
        <v>45534.33423421296</v>
      </c>
      <c r="B1513" s="5" t="s">
        <v>34</v>
      </c>
      <c r="D1513" s="5" t="s">
        <v>267</v>
      </c>
      <c r="E1513" s="5" t="s">
        <v>12236</v>
      </c>
      <c r="F1513" s="5" t="s">
        <v>524</v>
      </c>
      <c r="G1513" s="5" t="s">
        <v>12237</v>
      </c>
      <c r="H1513" s="6" t="s">
        <v>12238</v>
      </c>
      <c r="I1513" s="7" t="s">
        <v>12239</v>
      </c>
      <c r="J1513" s="8" t="str">
        <f>HYPERLINK("https://drive.google.com/file/d/1wQRfmCqb754d6e5SIk-Khfod14R3ZjdI/view?usp=drivesdk","PENDA SRI LESTARI  SERTIFIKAT BerAKHLAK")</f>
        <v>PENDA SRI LESTARI  SERTIFIKAT BerAKHLAK</v>
      </c>
      <c r="K1513" s="5" t="s">
        <v>11664</v>
      </c>
      <c r="L1513" s="5" t="s">
        <v>12240</v>
      </c>
      <c r="M1513" s="5" t="s">
        <v>12241</v>
      </c>
      <c r="N1513" s="7" t="s">
        <v>12242</v>
      </c>
      <c r="O1513" s="8" t="str">
        <f>HYPERLINK("https://drive.google.com/file/d/1pfgWpR52qlAUio5HEUND6wkLkG9s0ctR/view?usp=drivesdk","1512_PENDA SRI LESTARI  _ SERTIFIKAT BIMTEK IPASN BerAKHLASK")</f>
        <v>1512_PENDA SRI LESTARI  _ SERTIFIKAT BIMTEK IPASN BerAKHLASK</v>
      </c>
      <c r="P1513" s="5" t="s">
        <v>12235</v>
      </c>
      <c r="Q1513" s="5"/>
      <c r="R1513" s="5"/>
      <c r="S1513" s="5"/>
      <c r="T1513" s="5"/>
    </row>
    <row r="1514">
      <c r="A1514" s="4">
        <v>45534.334236678245</v>
      </c>
      <c r="B1514" s="5" t="s">
        <v>34</v>
      </c>
      <c r="D1514" s="5" t="s">
        <v>975</v>
      </c>
      <c r="E1514" s="5" t="s">
        <v>12243</v>
      </c>
      <c r="F1514" s="5" t="s">
        <v>212</v>
      </c>
      <c r="G1514" s="5" t="s">
        <v>12244</v>
      </c>
      <c r="H1514" s="6" t="s">
        <v>12245</v>
      </c>
      <c r="I1514" s="7" t="s">
        <v>12246</v>
      </c>
      <c r="J1514" s="8" t="str">
        <f>HYPERLINK("https://drive.google.com/file/d/1EpHz6JqJu7jMQXwICCn4FxLi8CCpDOt3/view?usp=drivesdk","ZAINURHIDAYANTI, AMD.FARM SERTIFIKAT BerAKHLAK")</f>
        <v>ZAINURHIDAYANTI, AMD.FARM SERTIFIKAT BerAKHLAK</v>
      </c>
      <c r="K1514" s="5" t="s">
        <v>11664</v>
      </c>
      <c r="L1514" s="5" t="s">
        <v>12247</v>
      </c>
      <c r="M1514" s="5" t="s">
        <v>12248</v>
      </c>
      <c r="N1514" s="7" t="s">
        <v>12249</v>
      </c>
      <c r="O1514" s="8" t="str">
        <f>HYPERLINK("https://drive.google.com/file/d/1LxfPwSlFRGHOMJlfSWrt30WrlJ2Bx56a/view?usp=drivesdk","1513_ZAINURHIDAYANTI, AMD.FARM _ SERTIFIKAT BIMTEK IPASN BerAKHLASK")</f>
        <v>1513_ZAINURHIDAYANTI, AMD.FARM _ SERTIFIKAT BIMTEK IPASN BerAKHLASK</v>
      </c>
      <c r="P1514" s="5" t="s">
        <v>12235</v>
      </c>
      <c r="Q1514" s="5"/>
      <c r="R1514" s="5"/>
      <c r="S1514" s="5"/>
      <c r="T1514" s="5"/>
    </row>
    <row r="1515" hidden="1">
      <c r="A1515" s="4">
        <v>45534.33428270833</v>
      </c>
      <c r="B1515" s="5" t="s">
        <v>19</v>
      </c>
      <c r="C1515" s="5" t="s">
        <v>11593</v>
      </c>
      <c r="E1515" s="5" t="s">
        <v>12250</v>
      </c>
      <c r="F1515" s="5" t="s">
        <v>72</v>
      </c>
      <c r="G1515" s="5" t="s">
        <v>12251</v>
      </c>
      <c r="H1515" s="6" t="s">
        <v>12252</v>
      </c>
      <c r="I1515" s="7" t="s">
        <v>12253</v>
      </c>
      <c r="J1515" s="8" t="str">
        <f>HYPERLINK("https://drive.google.com/file/d/1kLuN6MA-S8HHBFxH1xJ2rwgfphCEFp3e/view?usp=drivesdk","SITI MARIFATUN, AMK  SERTIFIKAT BerAKHLAK")</f>
        <v>SITI MARIFATUN, AMK  SERTIFIKAT BerAKHLAK</v>
      </c>
      <c r="K1515" s="5" t="s">
        <v>11664</v>
      </c>
      <c r="L1515" s="5" t="s">
        <v>12254</v>
      </c>
      <c r="M1515" s="5" t="s">
        <v>12255</v>
      </c>
      <c r="N1515" s="7" t="s">
        <v>12256</v>
      </c>
      <c r="O1515" s="8" t="str">
        <f>HYPERLINK("https://drive.google.com/file/d/1v996ak2PXPpTRIpTqM8zOhwKiAvW4YMa/view?usp=drivesdk","1514_SITI MARIFATUN, AMK  _ SERTIFIKAT BIMTEK IPASN BerAKHLASK")</f>
        <v>1514_SITI MARIFATUN, AMK  _ SERTIFIKAT BIMTEK IPASN BerAKHLASK</v>
      </c>
      <c r="P1515" s="5" t="s">
        <v>12235</v>
      </c>
      <c r="Q1515" s="5"/>
      <c r="R1515" s="5"/>
      <c r="S1515" s="5"/>
      <c r="T1515" s="5"/>
    </row>
    <row r="1516">
      <c r="A1516" s="4">
        <v>45534.33428993056</v>
      </c>
      <c r="B1516" s="5" t="s">
        <v>34</v>
      </c>
      <c r="D1516" s="5" t="s">
        <v>10444</v>
      </c>
      <c r="E1516" s="5" t="s">
        <v>12257</v>
      </c>
      <c r="F1516" s="5" t="s">
        <v>37</v>
      </c>
      <c r="G1516" s="5" t="s">
        <v>12258</v>
      </c>
      <c r="H1516" s="6" t="s">
        <v>12259</v>
      </c>
      <c r="I1516" s="7" t="s">
        <v>12260</v>
      </c>
      <c r="J1516" s="8" t="str">
        <f>HYPERLINK("https://drive.google.com/file/d/1P_TF2d75YOhPzOqeuU1kMoNddj6eeRFG/view?usp=drivesdk","MUHAMMAD FAHAD, A.Md.Kom. SERTIFIKAT BerAKHLAK")</f>
        <v>MUHAMMAD FAHAD, A.Md.Kom. SERTIFIKAT BerAKHLAK</v>
      </c>
      <c r="K1516" s="5" t="s">
        <v>11664</v>
      </c>
      <c r="L1516" s="5" t="s">
        <v>12261</v>
      </c>
      <c r="M1516" s="5" t="s">
        <v>12262</v>
      </c>
      <c r="N1516" s="7" t="s">
        <v>12263</v>
      </c>
      <c r="O1516" s="8" t="str">
        <f>HYPERLINK("https://drive.google.com/file/d/1saLX3GAqbP_bEkeehz9e27dJWVLA0k-n/view?usp=drivesdk","1515_MUHAMMAD FAHAD, A.Md.Kom. _ SERTIFIKAT BIMTEK IPASN BerAKHLASK")</f>
        <v>1515_MUHAMMAD FAHAD, A.Md.Kom. _ SERTIFIKAT BIMTEK IPASN BerAKHLASK</v>
      </c>
      <c r="P1516" s="5" t="s">
        <v>12235</v>
      </c>
      <c r="Q1516" s="5"/>
      <c r="R1516" s="5"/>
      <c r="S1516" s="5"/>
      <c r="T1516" s="5"/>
    </row>
    <row r="1517" hidden="1">
      <c r="A1517" s="4">
        <v>45534.334312719904</v>
      </c>
      <c r="B1517" s="5" t="s">
        <v>19</v>
      </c>
      <c r="C1517" s="5" t="s">
        <v>11593</v>
      </c>
      <c r="E1517" s="5" t="s">
        <v>12264</v>
      </c>
      <c r="F1517" s="5" t="s">
        <v>108</v>
      </c>
      <c r="G1517" s="5" t="s">
        <v>12265</v>
      </c>
      <c r="H1517" s="6" t="s">
        <v>12266</v>
      </c>
      <c r="I1517" s="7" t="s">
        <v>12267</v>
      </c>
      <c r="J1517" s="8" t="str">
        <f>HYPERLINK("https://drive.google.com/file/d/1PEVW99kOrHF8eEqXD4yVSp8_45dflhib/view?usp=drivesdk","KURNIATI PUJI MASTITI SERTIFIKAT BerAKHLAK")</f>
        <v>KURNIATI PUJI MASTITI SERTIFIKAT BerAKHLAK</v>
      </c>
      <c r="K1517" s="5" t="s">
        <v>11664</v>
      </c>
      <c r="L1517" s="5" t="s">
        <v>12268</v>
      </c>
      <c r="M1517" s="5" t="s">
        <v>12269</v>
      </c>
      <c r="N1517" s="7" t="s">
        <v>12270</v>
      </c>
      <c r="O1517" s="8" t="str">
        <f>HYPERLINK("https://drive.google.com/file/d/1yoF7f4tTgcpVvpW6V14viWkiKJ84zHNQ/view?usp=drivesdk","1516_KURNIATI PUJI MASTITI _ SERTIFIKAT BIMTEK IPASN BerAKHLASK")</f>
        <v>1516_KURNIATI PUJI MASTITI _ SERTIFIKAT BIMTEK IPASN BerAKHLASK</v>
      </c>
      <c r="P1517" s="5" t="s">
        <v>12235</v>
      </c>
      <c r="Q1517" s="5"/>
      <c r="R1517" s="5"/>
      <c r="S1517" s="5"/>
      <c r="T1517" s="5"/>
    </row>
    <row r="1518">
      <c r="A1518" s="4">
        <v>45534.334330451384</v>
      </c>
      <c r="B1518" s="5" t="s">
        <v>34</v>
      </c>
      <c r="D1518" s="5" t="s">
        <v>35</v>
      </c>
      <c r="E1518" s="5" t="s">
        <v>12271</v>
      </c>
      <c r="F1518" s="5" t="s">
        <v>199</v>
      </c>
      <c r="G1518" s="5" t="s">
        <v>12272</v>
      </c>
      <c r="H1518" s="6" t="s">
        <v>12273</v>
      </c>
      <c r="I1518" s="7" t="s">
        <v>12274</v>
      </c>
      <c r="J1518" s="8" t="str">
        <f>HYPERLINK("https://drive.google.com/file/d/1Jz51Dhqi110mtIzWNRk79dQzH7V2iuLK/view?usp=drivesdk","PENGATUR ITK I MIMIN  SERTIFIKAT BerAKHLAK")</f>
        <v>PENGATUR ITK I MIMIN  SERTIFIKAT BerAKHLAK</v>
      </c>
      <c r="K1518" s="5" t="s">
        <v>11954</v>
      </c>
      <c r="L1518" s="5" t="s">
        <v>12275</v>
      </c>
      <c r="M1518" s="5" t="s">
        <v>12276</v>
      </c>
      <c r="N1518" s="7" t="s">
        <v>12277</v>
      </c>
      <c r="O1518" s="8" t="str">
        <f>HYPERLINK("https://drive.google.com/file/d/1AzK8sQYGmqlJMI-NyzlDxgER2AwySJ9d/view?usp=drivesdk","1517_PENGATUR ITK I MIMIN  _ SERTIFIKAT BIMTEK IPASN BerAKHLASK")</f>
        <v>1517_PENGATUR ITK I MIMIN  _ SERTIFIKAT BIMTEK IPASN BerAKHLASK</v>
      </c>
      <c r="P1518" s="5" t="s">
        <v>12278</v>
      </c>
      <c r="Q1518" s="5"/>
      <c r="R1518" s="5"/>
      <c r="S1518" s="5"/>
      <c r="T1518" s="5"/>
    </row>
    <row r="1519">
      <c r="A1519" s="4">
        <v>45534.33433203703</v>
      </c>
      <c r="B1519" s="5" t="s">
        <v>34</v>
      </c>
      <c r="D1519" s="5" t="s">
        <v>280</v>
      </c>
      <c r="E1519" s="5" t="s">
        <v>12279</v>
      </c>
      <c r="F1519" s="5" t="s">
        <v>212</v>
      </c>
      <c r="G1519" s="5" t="s">
        <v>12280</v>
      </c>
      <c r="H1519" s="6" t="s">
        <v>12281</v>
      </c>
      <c r="I1519" s="7" t="s">
        <v>12282</v>
      </c>
      <c r="J1519" s="8" t="str">
        <f>HYPERLINK("https://drive.google.com/file/d/1XpT4hhH_j7C854z8iW8REac9IccJEllJ/view?usp=drivesdk","PENGATUR TK I ENI KOMARIAH SERTIFIKAT BerAKHLAK")</f>
        <v>PENGATUR TK I ENI KOMARIAH SERTIFIKAT BerAKHLAK</v>
      </c>
      <c r="K1519" s="5" t="s">
        <v>11954</v>
      </c>
      <c r="L1519" s="5" t="s">
        <v>12283</v>
      </c>
      <c r="M1519" s="5" t="s">
        <v>12284</v>
      </c>
      <c r="N1519" s="7" t="s">
        <v>12285</v>
      </c>
      <c r="O1519" s="8" t="str">
        <f>HYPERLINK("https://drive.google.com/file/d/12injADvKZz4Mog_8d0D651VWBG0NGpxO/view?usp=drivesdk","1518_PENGATUR TK I ENI KOMARIAH _ SERTIFIKAT BIMTEK IPASN BerAKHLASK")</f>
        <v>1518_PENGATUR TK I ENI KOMARIAH _ SERTIFIKAT BIMTEK IPASN BerAKHLASK</v>
      </c>
      <c r="P1519" s="5" t="s">
        <v>12278</v>
      </c>
      <c r="Q1519" s="5"/>
      <c r="R1519" s="5"/>
      <c r="S1519" s="5"/>
      <c r="T1519" s="5"/>
    </row>
    <row r="1520">
      <c r="A1520" s="4">
        <v>45534.334375810184</v>
      </c>
      <c r="B1520" s="5" t="s">
        <v>34</v>
      </c>
      <c r="D1520" s="5" t="s">
        <v>1206</v>
      </c>
      <c r="E1520" s="5" t="s">
        <v>12286</v>
      </c>
      <c r="F1520" s="5" t="s">
        <v>108</v>
      </c>
      <c r="G1520" s="5" t="s">
        <v>12287</v>
      </c>
      <c r="H1520" s="6" t="s">
        <v>12288</v>
      </c>
      <c r="I1520" s="7" t="s">
        <v>12289</v>
      </c>
      <c r="J1520" s="8" t="str">
        <f>HYPERLINK("https://drive.google.com/file/d/1F8Y22Xi5YqmbpAU7wjoykWJpV8R4TGNh/view?usp=drivesdk","WHINDA PRAMITA, AMD SERTIFIKAT BerAKHLAK")</f>
        <v>WHINDA PRAMITA, AMD SERTIFIKAT BerAKHLAK</v>
      </c>
      <c r="K1520" s="5" t="s">
        <v>11664</v>
      </c>
      <c r="L1520" s="5" t="s">
        <v>12290</v>
      </c>
      <c r="M1520" s="5" t="s">
        <v>12291</v>
      </c>
      <c r="N1520" s="7" t="s">
        <v>12292</v>
      </c>
      <c r="O1520" s="8" t="str">
        <f>HYPERLINK("https://drive.google.com/file/d/1N94mBZybamvv77f5cPxedgS-Bd7oedxh/view?usp=drivesdk","1519_WHINDA PRAMITA, AMD _ SERTIFIKAT BIMTEK IPASN BerAKHLASK")</f>
        <v>1519_WHINDA PRAMITA, AMD _ SERTIFIKAT BIMTEK IPASN BerAKHLASK</v>
      </c>
      <c r="P1520" s="5" t="s">
        <v>12278</v>
      </c>
      <c r="Q1520" s="5"/>
      <c r="R1520" s="5"/>
      <c r="S1520" s="5"/>
      <c r="T1520" s="5"/>
    </row>
    <row r="1521">
      <c r="A1521" s="4">
        <v>45534.334401319444</v>
      </c>
      <c r="B1521" s="5" t="s">
        <v>34</v>
      </c>
      <c r="D1521" s="5" t="s">
        <v>2903</v>
      </c>
      <c r="E1521" s="5" t="s">
        <v>12293</v>
      </c>
      <c r="F1521" s="5" t="s">
        <v>37</v>
      </c>
      <c r="G1521" s="5" t="s">
        <v>12294</v>
      </c>
      <c r="H1521" s="6" t="s">
        <v>12295</v>
      </c>
      <c r="I1521" s="7" t="s">
        <v>12296</v>
      </c>
      <c r="J1521" s="8" t="str">
        <f>HYPERLINK("https://drive.google.com/file/d/1qWv4FcdLzcp9OTz3YC6Dd3mz5AlU10PR/view?usp=drivesdk","ANGGUN MAULIDIA SERTIFIKAT BerAKHLAK")</f>
        <v>ANGGUN MAULIDIA SERTIFIKAT BerAKHLAK</v>
      </c>
      <c r="K1521" s="5" t="s">
        <v>11954</v>
      </c>
      <c r="L1521" s="5" t="s">
        <v>12297</v>
      </c>
      <c r="M1521" s="5" t="s">
        <v>12298</v>
      </c>
      <c r="N1521" s="7" t="s">
        <v>12299</v>
      </c>
      <c r="O1521" s="8" t="str">
        <f>HYPERLINK("https://drive.google.com/file/d/1FExKMMVtGAQNuXqE0nTKfDcWtFAm8_Yn/view?usp=drivesdk","1520_ANGGUN MAULIDIA _ SERTIFIKAT BIMTEK IPASN BerAKHLASK")</f>
        <v>1520_ANGGUN MAULIDIA _ SERTIFIKAT BIMTEK IPASN BerAKHLASK</v>
      </c>
      <c r="P1521" s="5" t="s">
        <v>12278</v>
      </c>
      <c r="Q1521" s="5"/>
      <c r="R1521" s="5"/>
      <c r="S1521" s="5"/>
      <c r="T1521" s="5"/>
    </row>
    <row r="1522">
      <c r="A1522" s="4">
        <v>45534.33440886574</v>
      </c>
      <c r="B1522" s="5" t="s">
        <v>34</v>
      </c>
      <c r="D1522" s="5" t="s">
        <v>267</v>
      </c>
      <c r="E1522" s="5" t="s">
        <v>12300</v>
      </c>
      <c r="F1522" s="5" t="s">
        <v>375</v>
      </c>
      <c r="G1522" s="5" t="s">
        <v>12301</v>
      </c>
      <c r="H1522" s="6" t="s">
        <v>12302</v>
      </c>
      <c r="I1522" s="7" t="s">
        <v>12303</v>
      </c>
      <c r="J1522" s="8" t="str">
        <f>HYPERLINK("https://drive.google.com/file/d/1tEVWPQ1IFd1lZgugsNEgIW7p0B7SGx3H/view?usp=drivesdk","AMIRULSIDIQ, SE SERTIFIKAT BerAKHLAK")</f>
        <v>AMIRULSIDIQ, SE SERTIFIKAT BerAKHLAK</v>
      </c>
      <c r="K1522" s="5" t="s">
        <v>11954</v>
      </c>
      <c r="L1522" s="5" t="s">
        <v>12304</v>
      </c>
      <c r="M1522" s="5" t="s">
        <v>12305</v>
      </c>
      <c r="N1522" s="7" t="s">
        <v>12306</v>
      </c>
      <c r="O1522" s="8" t="str">
        <f>HYPERLINK("https://drive.google.com/file/d/1iCqnk7kCohbFNwUYTvzpEsyBLXB0Cyf3/view?usp=drivesdk","1521_AMIRULSIDIQ, SE _ SERTIFIKAT BIMTEK IPASN BerAKHLASK")</f>
        <v>1521_AMIRULSIDIQ, SE _ SERTIFIKAT BIMTEK IPASN BerAKHLASK</v>
      </c>
      <c r="P1522" s="5" t="s">
        <v>12278</v>
      </c>
      <c r="Q1522" s="5"/>
      <c r="R1522" s="5"/>
      <c r="S1522" s="5"/>
      <c r="T1522" s="5"/>
    </row>
    <row r="1523" hidden="1">
      <c r="A1523" s="4">
        <v>45534.334431828705</v>
      </c>
      <c r="B1523" s="5" t="s">
        <v>19</v>
      </c>
      <c r="C1523" s="5" t="s">
        <v>11593</v>
      </c>
      <c r="E1523" s="5" t="s">
        <v>12307</v>
      </c>
      <c r="F1523" s="5" t="s">
        <v>375</v>
      </c>
      <c r="G1523" s="5" t="s">
        <v>12308</v>
      </c>
      <c r="H1523" s="6" t="s">
        <v>12309</v>
      </c>
      <c r="I1523" s="7" t="s">
        <v>12310</v>
      </c>
      <c r="J1523" s="8" t="str">
        <f>HYPERLINK("https://drive.google.com/file/d/1E3TOFnHZaIFONEstGvunGbNouh0USkeA/view?usp=drivesdk","EKO SUPRIADI, S.T. SERTIFIKAT BerAKHLAK")</f>
        <v>EKO SUPRIADI, S.T. SERTIFIKAT BerAKHLAK</v>
      </c>
      <c r="K1523" s="5" t="s">
        <v>11954</v>
      </c>
      <c r="L1523" s="5" t="s">
        <v>12311</v>
      </c>
      <c r="M1523" s="5" t="s">
        <v>12312</v>
      </c>
      <c r="N1523" s="7" t="s">
        <v>12313</v>
      </c>
      <c r="O1523" s="8" t="str">
        <f>HYPERLINK("https://drive.google.com/file/d/1STDIcmBl_mmopGSobncpZDS3T2YBzBP8/view?usp=drivesdk","1522_EKO SUPRIADI, S.T. _ SERTIFIKAT BIMTEK IPASN BerAKHLASK")</f>
        <v>1522_EKO SUPRIADI, S.T. _ SERTIFIKAT BIMTEK IPASN BerAKHLASK</v>
      </c>
      <c r="P1523" s="5" t="s">
        <v>12278</v>
      </c>
      <c r="Q1523" s="5"/>
      <c r="R1523" s="5"/>
      <c r="S1523" s="5"/>
      <c r="T1523" s="5"/>
    </row>
    <row r="1524">
      <c r="A1524" s="4">
        <v>45534.33443364583</v>
      </c>
      <c r="B1524" s="5" t="s">
        <v>34</v>
      </c>
      <c r="D1524" s="5" t="s">
        <v>1768</v>
      </c>
      <c r="E1524" s="5" t="s">
        <v>12314</v>
      </c>
      <c r="F1524" s="5" t="s">
        <v>375</v>
      </c>
      <c r="G1524" s="5" t="s">
        <v>12315</v>
      </c>
      <c r="H1524" s="6" t="s">
        <v>12316</v>
      </c>
      <c r="K1524" s="5" t="s">
        <v>12317</v>
      </c>
      <c r="M1524" s="5" t="s">
        <v>12318</v>
      </c>
      <c r="N1524" s="7" t="s">
        <v>12319</v>
      </c>
      <c r="O1524" s="8" t="str">
        <f>HYPERLINK("https://drive.google.com/file/d/1OkyvuXJM2xYgYOEyhdYk2iN9oadV1K3d/view?usp=drivesdk","1523_RENATA DEASYLIA HERPRATIWI, S.A.P. _ SERTIFIKAT BIMTEK IPASN BerAKHLASK")</f>
        <v>1523_RENATA DEASYLIA HERPRATIWI, S.A.P. _ SERTIFIKAT BIMTEK IPASN BerAKHLASK</v>
      </c>
      <c r="P1524" s="5" t="s">
        <v>12278</v>
      </c>
      <c r="Q1524" s="5"/>
      <c r="R1524" s="5"/>
      <c r="S1524" s="5"/>
      <c r="T1524" s="5"/>
    </row>
    <row r="1525">
      <c r="A1525" s="4">
        <v>45534.33443328703</v>
      </c>
      <c r="B1525" s="5" t="s">
        <v>34</v>
      </c>
      <c r="D1525" s="5" t="s">
        <v>35</v>
      </c>
      <c r="E1525" s="5" t="s">
        <v>12320</v>
      </c>
      <c r="F1525" s="5" t="s">
        <v>37</v>
      </c>
      <c r="G1525" s="5" t="s">
        <v>12321</v>
      </c>
      <c r="H1525" s="6" t="s">
        <v>12322</v>
      </c>
      <c r="K1525" s="5" t="s">
        <v>12317</v>
      </c>
      <c r="M1525" s="5" t="s">
        <v>12323</v>
      </c>
      <c r="N1525" s="7" t="s">
        <v>12324</v>
      </c>
      <c r="O1525" s="8" t="str">
        <f>HYPERLINK("https://drive.google.com/file/d/14yuJX4bjx6LGeae5puO4137Hu2v2Ttk7/view?usp=drivesdk","1524_SRI WAHYUNINGSIH,AMD.Kep _ SERTIFIKAT BIMTEK IPASN BerAKHLASK")</f>
        <v>1524_SRI WAHYUNINGSIH,AMD.Kep _ SERTIFIKAT BIMTEK IPASN BerAKHLASK</v>
      </c>
      <c r="P1525" s="5" t="s">
        <v>12325</v>
      </c>
      <c r="Q1525" s="5"/>
      <c r="R1525" s="5"/>
      <c r="S1525" s="5"/>
      <c r="T1525" s="5"/>
    </row>
    <row r="1526">
      <c r="A1526" s="4">
        <v>45534.33443652777</v>
      </c>
      <c r="B1526" s="5" t="s">
        <v>34</v>
      </c>
      <c r="D1526" s="5" t="s">
        <v>1456</v>
      </c>
      <c r="E1526" s="5" t="s">
        <v>12326</v>
      </c>
      <c r="F1526" s="5" t="s">
        <v>37</v>
      </c>
      <c r="G1526" s="5" t="s">
        <v>12327</v>
      </c>
      <c r="H1526" s="6" t="s">
        <v>12328</v>
      </c>
      <c r="K1526" s="5" t="s">
        <v>12317</v>
      </c>
      <c r="M1526" s="5" t="s">
        <v>12329</v>
      </c>
      <c r="N1526" s="7" t="s">
        <v>12330</v>
      </c>
      <c r="O1526" s="8" t="str">
        <f>HYPERLINK("https://drive.google.com/file/d/19GddTmCmXXw2RX1HQRQwvZqp18Io1-5H/view?usp=drivesdk","1525_ANTONIUS ARI WIBOWO _ SERTIFIKAT BIMTEK IPASN BerAKHLASK")</f>
        <v>1525_ANTONIUS ARI WIBOWO _ SERTIFIKAT BIMTEK IPASN BerAKHLASK</v>
      </c>
      <c r="P1526" s="5" t="s">
        <v>12325</v>
      </c>
      <c r="Q1526" s="5"/>
      <c r="R1526" s="5"/>
      <c r="S1526" s="5"/>
      <c r="T1526" s="5"/>
    </row>
    <row r="1527">
      <c r="A1527" s="4">
        <v>45534.33444850694</v>
      </c>
      <c r="B1527" s="5" t="s">
        <v>34</v>
      </c>
      <c r="D1527" s="5" t="s">
        <v>6232</v>
      </c>
      <c r="E1527" s="5" t="s">
        <v>12331</v>
      </c>
      <c r="F1527" s="5" t="s">
        <v>72</v>
      </c>
      <c r="G1527" s="5" t="s">
        <v>12332</v>
      </c>
      <c r="H1527" s="6" t="s">
        <v>12333</v>
      </c>
      <c r="K1527" s="5" t="s">
        <v>12334</v>
      </c>
      <c r="M1527" s="5" t="s">
        <v>12335</v>
      </c>
      <c r="N1527" s="7" t="s">
        <v>12336</v>
      </c>
      <c r="O1527" s="8" t="str">
        <f>HYPERLINK("https://drive.google.com/file/d/1zBcOllfH79gREfeq51U46cffUbO16kFl/view?usp=drivesdk","1526_FETRI EDY SYAHPUTRA SIREGAR, S.IP _ SERTIFIKAT BIMTEK IPASN BerAKHLASK")</f>
        <v>1526_FETRI EDY SYAHPUTRA SIREGAR, S.IP _ SERTIFIKAT BIMTEK IPASN BerAKHLASK</v>
      </c>
      <c r="P1527" s="5" t="s">
        <v>12325</v>
      </c>
      <c r="Q1527" s="5"/>
      <c r="R1527" s="5"/>
      <c r="S1527" s="5"/>
      <c r="T1527" s="5"/>
    </row>
    <row r="1528">
      <c r="A1528" s="4">
        <v>45534.33445202546</v>
      </c>
      <c r="B1528" s="5" t="s">
        <v>34</v>
      </c>
      <c r="D1528" s="5" t="s">
        <v>3849</v>
      </c>
      <c r="E1528" s="5" t="s">
        <v>12337</v>
      </c>
      <c r="F1528" s="5" t="s">
        <v>72</v>
      </c>
      <c r="G1528" s="5" t="s">
        <v>12338</v>
      </c>
      <c r="H1528" s="6" t="s">
        <v>12339</v>
      </c>
      <c r="K1528" s="5" t="s">
        <v>12334</v>
      </c>
      <c r="M1528" s="5" t="s">
        <v>12340</v>
      </c>
      <c r="N1528" s="7" t="s">
        <v>12341</v>
      </c>
      <c r="O1528" s="8" t="str">
        <f>HYPERLINK("https://drive.google.com/file/d/1cenSnjlT9nZoo1aHo7uN9qQqY4shegec/view?usp=drivesdk","1527_INDA PAJARINI, S.Kom _ SERTIFIKAT BIMTEK IPASN BerAKHLASK")</f>
        <v>1527_INDA PAJARINI, S.Kom _ SERTIFIKAT BIMTEK IPASN BerAKHLASK</v>
      </c>
      <c r="P1528" s="5" t="s">
        <v>12342</v>
      </c>
      <c r="Q1528" s="5"/>
      <c r="R1528" s="5"/>
      <c r="S1528" s="5"/>
      <c r="T1528" s="5"/>
    </row>
    <row r="1529">
      <c r="A1529" s="4">
        <v>45534.33448107639</v>
      </c>
      <c r="B1529" s="5" t="s">
        <v>34</v>
      </c>
      <c r="D1529" s="5" t="s">
        <v>1206</v>
      </c>
      <c r="E1529" s="5" t="s">
        <v>12343</v>
      </c>
      <c r="F1529" s="5" t="s">
        <v>212</v>
      </c>
      <c r="G1529" s="5" t="s">
        <v>12344</v>
      </c>
      <c r="H1529" s="6" t="s">
        <v>12345</v>
      </c>
      <c r="I1529" s="7" t="s">
        <v>12346</v>
      </c>
      <c r="J1529" s="8" t="str">
        <f>HYPERLINK("https://drive.google.com/file/d/15XyaGrdGB7fgIT7stt9oZW8QnY0_K1Pt/view?usp=drivesdk","EKO BUDI YULISETIOWATI SERTIFIKAT BerAKHLAK")</f>
        <v>EKO BUDI YULISETIOWATI SERTIFIKAT BerAKHLAK</v>
      </c>
      <c r="K1529" s="5" t="s">
        <v>11664</v>
      </c>
      <c r="L1529" s="5" t="s">
        <v>12347</v>
      </c>
      <c r="M1529" s="5" t="s">
        <v>12348</v>
      </c>
      <c r="N1529" s="7" t="s">
        <v>12349</v>
      </c>
      <c r="O1529" s="8" t="str">
        <f>HYPERLINK("https://drive.google.com/file/d/1Gyg8ywQjK_P0nGG7hNgQ0vzmuIcb0jlC/view?usp=drivesdk","1528_EKO BUDI YULISETIOWATI _ SERTIFIKAT BIMTEK IPASN BerAKHLASK")</f>
        <v>1528_EKO BUDI YULISETIOWATI _ SERTIFIKAT BIMTEK IPASN BerAKHLASK</v>
      </c>
      <c r="P1529" s="5" t="s">
        <v>12342</v>
      </c>
      <c r="Q1529" s="5"/>
      <c r="R1529" s="5"/>
      <c r="S1529" s="5"/>
      <c r="T1529" s="5"/>
    </row>
    <row r="1530">
      <c r="A1530" s="4">
        <v>45534.33448171296</v>
      </c>
      <c r="B1530" s="5" t="s">
        <v>34</v>
      </c>
      <c r="D1530" s="5" t="s">
        <v>2903</v>
      </c>
      <c r="E1530" s="5" t="s">
        <v>12350</v>
      </c>
      <c r="F1530" s="5" t="s">
        <v>37</v>
      </c>
      <c r="G1530" s="5" t="s">
        <v>12351</v>
      </c>
      <c r="H1530" s="6" t="s">
        <v>12352</v>
      </c>
      <c r="I1530" s="7" t="s">
        <v>12353</v>
      </c>
      <c r="J1530" s="8" t="str">
        <f>HYPERLINK("https://drive.google.com/file/d/1j-PmQZ6_EPTvKTB4VIOnyi2SyQQpxQsW/view?usp=drivesdk","MADA RIZKI TANTOWI JHONNATA SERTIFIKAT BerAKHLAK")</f>
        <v>MADA RIZKI TANTOWI JHONNATA SERTIFIKAT BerAKHLAK</v>
      </c>
      <c r="K1530" s="5" t="s">
        <v>11954</v>
      </c>
      <c r="L1530" s="5" t="s">
        <v>12354</v>
      </c>
      <c r="M1530" s="5" t="s">
        <v>12355</v>
      </c>
      <c r="N1530" s="7" t="s">
        <v>12356</v>
      </c>
      <c r="O1530" s="8" t="str">
        <f>HYPERLINK("https://drive.google.com/file/d/13NWLG1T9lMXS7TWFUee1owm2DatH_uyi/view?usp=drivesdk","1529_MADA RIZKI TANTOWI JHONNATA _ SERTIFIKAT BIMTEK IPASN BerAKHLASK")</f>
        <v>1529_MADA RIZKI TANTOWI JHONNATA _ SERTIFIKAT BIMTEK IPASN BerAKHLASK</v>
      </c>
      <c r="P1530" s="5" t="s">
        <v>12342</v>
      </c>
      <c r="Q1530" s="5"/>
      <c r="R1530" s="5"/>
      <c r="S1530" s="5"/>
      <c r="T1530" s="5"/>
    </row>
    <row r="1531">
      <c r="A1531" s="4">
        <v>45534.33449435185</v>
      </c>
      <c r="B1531" s="5" t="s">
        <v>34</v>
      </c>
      <c r="D1531" s="5" t="s">
        <v>975</v>
      </c>
      <c r="E1531" s="5" t="s">
        <v>12357</v>
      </c>
      <c r="F1531" s="5" t="s">
        <v>37</v>
      </c>
      <c r="G1531" s="5" t="s">
        <v>12358</v>
      </c>
      <c r="H1531" s="6" t="s">
        <v>12359</v>
      </c>
      <c r="I1531" s="7" t="s">
        <v>12360</v>
      </c>
      <c r="J1531" s="8" t="str">
        <f>HYPERLINK("https://drive.google.com/file/d/1WK9mli7zxf9vGfYyH0f7cht9SgWgHj_s/view?usp=drivesdk","ADE IMAN WIWIN KURNIYA RACHMADHONI  SERTIFIKAT BerAKHLAK")</f>
        <v>ADE IMAN WIWIN KURNIYA RACHMADHONI  SERTIFIKAT BerAKHLAK</v>
      </c>
      <c r="K1531" s="5" t="s">
        <v>11954</v>
      </c>
      <c r="L1531" s="5" t="s">
        <v>12361</v>
      </c>
      <c r="M1531" s="5" t="s">
        <v>12362</v>
      </c>
      <c r="N1531" s="7" t="s">
        <v>12363</v>
      </c>
      <c r="O1531" s="8" t="str">
        <f>HYPERLINK("https://drive.google.com/file/d/1Nlz73yAvKlh8C0DXOqklGZdTcfEwF2H0/view?usp=drivesdk","1530_ADE IMAN WIWIN KURNIYA RACHMADHONI  _ SERTIFIKAT BIMTEK IPASN BerAKHLASK")</f>
        <v>1530_ADE IMAN WIWIN KURNIYA RACHMADHONI  _ SERTIFIKAT BIMTEK IPASN BerAKHLASK</v>
      </c>
      <c r="P1531" s="5" t="s">
        <v>12342</v>
      </c>
      <c r="Q1531" s="5"/>
      <c r="R1531" s="5"/>
      <c r="S1531" s="5"/>
      <c r="T1531" s="5"/>
    </row>
    <row r="1532">
      <c r="A1532" s="4">
        <v>45534.33450358796</v>
      </c>
      <c r="B1532" s="5" t="s">
        <v>34</v>
      </c>
      <c r="D1532" s="5" t="s">
        <v>6232</v>
      </c>
      <c r="E1532" s="5" t="s">
        <v>12364</v>
      </c>
      <c r="F1532" s="5" t="s">
        <v>212</v>
      </c>
      <c r="G1532" s="5" t="s">
        <v>12365</v>
      </c>
      <c r="H1532" s="6" t="s">
        <v>12366</v>
      </c>
      <c r="I1532" s="7" t="s">
        <v>12367</v>
      </c>
      <c r="J1532" s="8" t="str">
        <f>HYPERLINK("https://drive.google.com/file/d/1V226XkISYQS631elHRp7aiX6RzrQHubk/view?usp=drivesdk","NOVITAEKASARI SERTIFIKAT BerAKHLAK")</f>
        <v>NOVITAEKASARI SERTIFIKAT BerAKHLAK</v>
      </c>
      <c r="K1532" s="5" t="s">
        <v>11954</v>
      </c>
      <c r="L1532" s="5" t="s">
        <v>12368</v>
      </c>
      <c r="M1532" s="5" t="s">
        <v>12369</v>
      </c>
      <c r="N1532" s="7" t="s">
        <v>12370</v>
      </c>
      <c r="O1532" s="8" t="str">
        <f>HYPERLINK("https://drive.google.com/file/d/1LumnEwANYpvxC5D5cQVlxFvME3MTCiaQ/view?usp=drivesdk","1531_NOVITAEKASARI _ SERTIFIKAT BIMTEK IPASN BerAKHLASK")</f>
        <v>1531_NOVITAEKASARI _ SERTIFIKAT BIMTEK IPASN BerAKHLASK</v>
      </c>
      <c r="P1532" s="5" t="s">
        <v>12342</v>
      </c>
      <c r="Q1532" s="5"/>
      <c r="R1532" s="5"/>
      <c r="S1532" s="5"/>
      <c r="T1532" s="5"/>
    </row>
    <row r="1533">
      <c r="A1533" s="4">
        <v>45534.3345094213</v>
      </c>
      <c r="B1533" s="5" t="s">
        <v>34</v>
      </c>
      <c r="D1533" s="5" t="s">
        <v>6232</v>
      </c>
      <c r="E1533" s="5" t="s">
        <v>12371</v>
      </c>
      <c r="F1533" s="5" t="s">
        <v>108</v>
      </c>
      <c r="G1533" s="5" t="s">
        <v>12372</v>
      </c>
      <c r="H1533" s="6" t="s">
        <v>12373</v>
      </c>
      <c r="I1533" s="7" t="s">
        <v>12374</v>
      </c>
      <c r="J1533" s="8" t="str">
        <f>HYPERLINK("https://drive.google.com/file/d/1ev9r2GAzwjJq6s87VmNZzTzlVzzLOStc/view?usp=drivesdk","EVA SAPRINA BR PERANGIN ANGIN, A. Md, S. Akun SERTIFIKAT BerAKHLAK")</f>
        <v>EVA SAPRINA BR PERANGIN ANGIN, A. Md, S. Akun SERTIFIKAT BerAKHLAK</v>
      </c>
      <c r="K1533" s="5" t="s">
        <v>11954</v>
      </c>
      <c r="L1533" s="5" t="s">
        <v>12375</v>
      </c>
      <c r="M1533" s="5" t="s">
        <v>12376</v>
      </c>
      <c r="N1533" s="7" t="s">
        <v>12377</v>
      </c>
      <c r="O1533" s="8" t="str">
        <f>HYPERLINK("https://drive.google.com/file/d/14uxgoM8oMJMXRcxXQt0GR7Lgxbc2K3It/view?usp=drivesdk","1532_EVA SAPRINA BR PERANGIN ANGIN, A. Md, S. Akun _ SERTIFIKAT BIMTEK IPASN BerAKHLASK")</f>
        <v>1532_EVA SAPRINA BR PERANGIN ANGIN, A. Md, S. Akun _ SERTIFIKAT BIMTEK IPASN BerAKHLASK</v>
      </c>
      <c r="P1533" s="5" t="s">
        <v>12378</v>
      </c>
      <c r="Q1533" s="5"/>
      <c r="R1533" s="5"/>
      <c r="S1533" s="5"/>
      <c r="T1533" s="5"/>
    </row>
    <row r="1534" hidden="1">
      <c r="A1534" s="4">
        <v>45534.33452322916</v>
      </c>
      <c r="B1534" s="5" t="s">
        <v>19</v>
      </c>
      <c r="C1534" s="5" t="s">
        <v>292</v>
      </c>
      <c r="E1534" s="5" t="s">
        <v>12379</v>
      </c>
      <c r="F1534" s="5" t="s">
        <v>37</v>
      </c>
      <c r="G1534" s="5" t="s">
        <v>12380</v>
      </c>
      <c r="H1534" s="6" t="s">
        <v>12381</v>
      </c>
      <c r="I1534" s="7" t="s">
        <v>12382</v>
      </c>
      <c r="J1534" s="8" t="str">
        <f>HYPERLINK("https://drive.google.com/file/d/1tBASsGz6sywvBgbsROnT43lql7eCXj1N/view?usp=drivesdk","DINDA NAWANGSARI SERTIFIKAT BerAKHLAK")</f>
        <v>DINDA NAWANGSARI SERTIFIKAT BerAKHLAK</v>
      </c>
      <c r="K1534" s="5" t="s">
        <v>11954</v>
      </c>
      <c r="L1534" s="5" t="s">
        <v>12383</v>
      </c>
      <c r="M1534" s="5" t="s">
        <v>12384</v>
      </c>
      <c r="N1534" s="7" t="s">
        <v>12385</v>
      </c>
      <c r="O1534" s="8" t="str">
        <f>HYPERLINK("https://drive.google.com/file/d/1Wj8nqGXOPwWgdI5kUD6yWEqKY0mkhNE5/view?usp=drivesdk","1533_DINDA NAWANGSARI _ SERTIFIKAT BIMTEK IPASN BerAKHLASK")</f>
        <v>1533_DINDA NAWANGSARI _ SERTIFIKAT BIMTEK IPASN BerAKHLASK</v>
      </c>
      <c r="P1534" s="5" t="s">
        <v>12378</v>
      </c>
      <c r="Q1534" s="5"/>
      <c r="R1534" s="5"/>
      <c r="S1534" s="5"/>
      <c r="T1534" s="5"/>
    </row>
    <row r="1535">
      <c r="A1535" s="4">
        <v>45534.33452883102</v>
      </c>
      <c r="B1535" s="5" t="s">
        <v>34</v>
      </c>
      <c r="D1535" s="5" t="s">
        <v>9020</v>
      </c>
      <c r="E1535" s="5" t="s">
        <v>12386</v>
      </c>
      <c r="F1535" s="5" t="s">
        <v>108</v>
      </c>
      <c r="G1535" s="5" t="s">
        <v>12387</v>
      </c>
      <c r="H1535" s="6" t="s">
        <v>12388</v>
      </c>
      <c r="I1535" s="7" t="s">
        <v>12389</v>
      </c>
      <c r="J1535" s="8" t="str">
        <f>HYPERLINK("https://drive.google.com/file/d/1NvlESz-leSh6CH66SapgD_N29XuPWd_s/view?usp=drivesdk","ROTUA BHARAMAFRIWATY SARAGIH SERTIFIKAT BerAKHLAK")</f>
        <v>ROTUA BHARAMAFRIWATY SARAGIH SERTIFIKAT BerAKHLAK</v>
      </c>
      <c r="K1535" s="5" t="s">
        <v>11954</v>
      </c>
      <c r="L1535" s="5" t="s">
        <v>12390</v>
      </c>
      <c r="M1535" s="5" t="s">
        <v>12391</v>
      </c>
      <c r="N1535" s="7" t="s">
        <v>12392</v>
      </c>
      <c r="O1535" s="8" t="str">
        <f>HYPERLINK("https://drive.google.com/file/d/1ZUVOYcBr2UHWDHwCCUpe5LuZPR06VMS7/view?usp=drivesdk","1534_ROTUA BHARAMAFRIWATY SARAGIH _ SERTIFIKAT BIMTEK IPASN BerAKHLASK")</f>
        <v>1534_ROTUA BHARAMAFRIWATY SARAGIH _ SERTIFIKAT BIMTEK IPASN BerAKHLASK</v>
      </c>
      <c r="P1535" s="5" t="s">
        <v>12378</v>
      </c>
      <c r="Q1535" s="5"/>
      <c r="R1535" s="5"/>
      <c r="S1535" s="5"/>
      <c r="T1535" s="5"/>
    </row>
    <row r="1536">
      <c r="A1536" s="4">
        <v>45534.334531967594</v>
      </c>
      <c r="B1536" s="5" t="s">
        <v>34</v>
      </c>
      <c r="D1536" s="5" t="s">
        <v>10444</v>
      </c>
      <c r="E1536" s="5" t="s">
        <v>12393</v>
      </c>
      <c r="F1536" s="5" t="s">
        <v>524</v>
      </c>
      <c r="G1536" s="5" t="s">
        <v>12394</v>
      </c>
      <c r="H1536" s="6" t="s">
        <v>12395</v>
      </c>
      <c r="K1536" s="5" t="s">
        <v>12396</v>
      </c>
      <c r="M1536" s="5" t="s">
        <v>12397</v>
      </c>
      <c r="N1536" s="7" t="s">
        <v>12398</v>
      </c>
      <c r="O1536" s="8" t="str">
        <f>HYPERLINK("https://drive.google.com/file/d/1RlXk1fOC6CFOagzimrrsp-b5nf7Sj8n5/view?usp=drivesdk","1535_WIWIK INDARSIH _ SERTIFIKAT BIMTEK IPASN BerAKHLASK")</f>
        <v>1535_WIWIK INDARSIH _ SERTIFIKAT BIMTEK IPASN BerAKHLASK</v>
      </c>
      <c r="P1536" s="5" t="s">
        <v>12378</v>
      </c>
      <c r="Q1536" s="5"/>
      <c r="R1536" s="5"/>
      <c r="S1536" s="5"/>
      <c r="T1536" s="5"/>
    </row>
    <row r="1537">
      <c r="A1537" s="4">
        <v>45534.334543460645</v>
      </c>
      <c r="B1537" s="5" t="s">
        <v>34</v>
      </c>
      <c r="D1537" s="5" t="s">
        <v>1206</v>
      </c>
      <c r="E1537" s="5" t="s">
        <v>12399</v>
      </c>
      <c r="F1537" s="5" t="s">
        <v>37</v>
      </c>
      <c r="G1537" s="5" t="s">
        <v>12400</v>
      </c>
      <c r="H1537" s="6" t="s">
        <v>12401</v>
      </c>
      <c r="K1537" s="5" t="s">
        <v>12396</v>
      </c>
      <c r="M1537" s="5" t="s">
        <v>12402</v>
      </c>
      <c r="N1537" s="7" t="s">
        <v>12403</v>
      </c>
      <c r="O1537" s="8" t="str">
        <f>HYPERLINK("https://drive.google.com/file/d/1Jy_xHmxxXT8Oecicq-IjqTw2ufaL7mO7/view?usp=drivesdk","1536_PANDJI SUBAGIJO  _ SERTIFIKAT BIMTEK IPASN BerAKHLASK")</f>
        <v>1536_PANDJI SUBAGIJO  _ SERTIFIKAT BIMTEK IPASN BerAKHLASK</v>
      </c>
      <c r="P1537" s="5" t="s">
        <v>12378</v>
      </c>
      <c r="Q1537" s="5"/>
      <c r="R1537" s="5"/>
      <c r="S1537" s="5"/>
      <c r="T1537" s="5"/>
    </row>
    <row r="1538">
      <c r="A1538" s="4">
        <v>45534.33454603009</v>
      </c>
      <c r="B1538" s="5" t="s">
        <v>34</v>
      </c>
      <c r="D1538" s="5" t="s">
        <v>9394</v>
      </c>
      <c r="E1538" s="5" t="s">
        <v>12404</v>
      </c>
      <c r="F1538" s="5" t="s">
        <v>524</v>
      </c>
      <c r="G1538" s="5" t="s">
        <v>12405</v>
      </c>
      <c r="H1538" s="6" t="s">
        <v>12406</v>
      </c>
      <c r="K1538" s="5" t="s">
        <v>12396</v>
      </c>
      <c r="M1538" s="5" t="s">
        <v>12407</v>
      </c>
      <c r="N1538" s="7" t="s">
        <v>12408</v>
      </c>
      <c r="O1538" s="8" t="str">
        <f>HYPERLINK("https://drive.google.com/file/d/1QfV23HH9zgOColBUm6fTf_yEaeYbMVOl/view?usp=drivesdk","1537_HARLIS SYAH PUTRA _ SERTIFIKAT BIMTEK IPASN BerAKHLASK")</f>
        <v>1537_HARLIS SYAH PUTRA _ SERTIFIKAT BIMTEK IPASN BerAKHLASK</v>
      </c>
      <c r="P1538" s="5" t="s">
        <v>12378</v>
      </c>
      <c r="Q1538" s="5"/>
      <c r="R1538" s="5"/>
      <c r="S1538" s="5"/>
      <c r="T1538" s="5"/>
    </row>
    <row r="1539">
      <c r="A1539" s="4">
        <v>45534.33455332176</v>
      </c>
      <c r="B1539" s="5" t="s">
        <v>34</v>
      </c>
      <c r="D1539" s="5" t="s">
        <v>9020</v>
      </c>
      <c r="E1539" s="5" t="s">
        <v>12409</v>
      </c>
      <c r="F1539" s="5" t="s">
        <v>375</v>
      </c>
      <c r="G1539" s="5" t="s">
        <v>12410</v>
      </c>
      <c r="H1539" s="6" t="s">
        <v>12411</v>
      </c>
      <c r="K1539" s="5" t="s">
        <v>12396</v>
      </c>
      <c r="M1539" s="5" t="s">
        <v>12412</v>
      </c>
      <c r="N1539" s="7" t="s">
        <v>12413</v>
      </c>
      <c r="O1539" s="8" t="str">
        <f>HYPERLINK("https://drive.google.com/file/d/1Uv8C7rbArdtlJriRLWBsPUZpBT82uTf3/view?usp=drivesdk","1538_TITIK INDARYATI _ SERTIFIKAT BIMTEK IPASN BerAKHLASK")</f>
        <v>1538_TITIK INDARYATI _ SERTIFIKAT BIMTEK IPASN BerAKHLASK</v>
      </c>
      <c r="P1539" s="5" t="s">
        <v>12414</v>
      </c>
      <c r="Q1539" s="5"/>
      <c r="R1539" s="5"/>
      <c r="S1539" s="5"/>
      <c r="T1539" s="5"/>
    </row>
    <row r="1540">
      <c r="A1540" s="4">
        <v>45534.334567314814</v>
      </c>
      <c r="B1540" s="5" t="s">
        <v>34</v>
      </c>
      <c r="D1540" s="5" t="s">
        <v>4775</v>
      </c>
      <c r="E1540" s="5" t="s">
        <v>12415</v>
      </c>
      <c r="F1540" s="5" t="s">
        <v>108</v>
      </c>
      <c r="G1540" s="5" t="s">
        <v>12416</v>
      </c>
      <c r="H1540" s="6" t="s">
        <v>12417</v>
      </c>
      <c r="K1540" s="5" t="s">
        <v>12396</v>
      </c>
      <c r="M1540" s="5" t="s">
        <v>12418</v>
      </c>
      <c r="N1540" s="7" t="s">
        <v>12419</v>
      </c>
      <c r="O1540" s="8" t="str">
        <f>HYPERLINK("https://drive.google.com/file/d/1Pzo2LQS9NSMhMIdKWbwsCt-gTKmVpbKx/view?usp=drivesdk","1539_TEGUH IRWAN SUNANDAR, A.MD., S.KOM _ SERTIFIKAT BIMTEK IPASN BerAKHLASK")</f>
        <v>1539_TEGUH IRWAN SUNANDAR, A.MD., S.KOM _ SERTIFIKAT BIMTEK IPASN BerAKHLASK</v>
      </c>
      <c r="P1540" s="5" t="s">
        <v>12414</v>
      </c>
      <c r="Q1540" s="5"/>
      <c r="R1540" s="5"/>
      <c r="S1540" s="5"/>
      <c r="T1540" s="5"/>
    </row>
    <row r="1541">
      <c r="A1541" s="4">
        <v>45534.33458047453</v>
      </c>
      <c r="B1541" s="5" t="s">
        <v>34</v>
      </c>
      <c r="D1541" s="5" t="s">
        <v>4775</v>
      </c>
      <c r="E1541" s="5" t="s">
        <v>12420</v>
      </c>
      <c r="F1541" s="5" t="s">
        <v>212</v>
      </c>
      <c r="G1541" s="5" t="s">
        <v>12421</v>
      </c>
      <c r="H1541" s="6" t="s">
        <v>12422</v>
      </c>
      <c r="I1541" s="7" t="s">
        <v>12423</v>
      </c>
      <c r="J1541" s="8" t="str">
        <f>HYPERLINK("https://drive.google.com/file/d/12c2G5neHYgyzRwXP8yyIrGnhAyIpsbT_/view?usp=drivesdk","IWAN MARYANTO SERTIFIKAT BerAKHLAK")</f>
        <v>IWAN MARYANTO SERTIFIKAT BerAKHLAK</v>
      </c>
      <c r="K1541" s="5" t="s">
        <v>11954</v>
      </c>
      <c r="L1541" s="5" t="s">
        <v>12424</v>
      </c>
      <c r="M1541" s="5" t="s">
        <v>12425</v>
      </c>
      <c r="N1541" s="7" t="s">
        <v>12426</v>
      </c>
      <c r="O1541" s="8" t="str">
        <f>HYPERLINK("https://drive.google.com/file/d/1G8uxW0LYKeMIdm4U9NqwZ1gAYLXabQvL/view?usp=drivesdk","1540_IWAN MARYANTO _ SERTIFIKAT BIMTEK IPASN BerAKHLASK")</f>
        <v>1540_IWAN MARYANTO _ SERTIFIKAT BIMTEK IPASN BerAKHLASK</v>
      </c>
      <c r="P1541" s="5" t="s">
        <v>12414</v>
      </c>
      <c r="Q1541" s="5"/>
      <c r="R1541" s="5"/>
      <c r="S1541" s="5"/>
      <c r="T1541" s="5"/>
    </row>
    <row r="1542">
      <c r="A1542" s="4">
        <v>45534.33459490741</v>
      </c>
      <c r="B1542" s="5" t="s">
        <v>34</v>
      </c>
      <c r="D1542" s="5" t="s">
        <v>267</v>
      </c>
      <c r="E1542" s="5" t="s">
        <v>12427</v>
      </c>
      <c r="F1542" s="5" t="s">
        <v>715</v>
      </c>
      <c r="G1542" s="5" t="s">
        <v>12428</v>
      </c>
      <c r="H1542" s="6" t="s">
        <v>12429</v>
      </c>
      <c r="I1542" s="7" t="s">
        <v>12430</v>
      </c>
      <c r="J1542" s="8" t="str">
        <f>HYPERLINK("https://drive.google.com/file/d/1X4XUo6Eyq235pjv0tehGvZc4Hwik53sj/view?usp=drivesdk","YOGA ADIE PRADANA, A.Md.Kep. SERTIFIKAT BerAKHLAK")</f>
        <v>YOGA ADIE PRADANA, A.Md.Kep. SERTIFIKAT BerAKHLAK</v>
      </c>
      <c r="K1542" s="5" t="s">
        <v>11954</v>
      </c>
      <c r="L1542" s="5" t="s">
        <v>12431</v>
      </c>
      <c r="M1542" s="5" t="s">
        <v>12432</v>
      </c>
      <c r="N1542" s="7" t="s">
        <v>12433</v>
      </c>
      <c r="O1542" s="8" t="str">
        <f>HYPERLINK("https://drive.google.com/file/d/1nQ7Yd4taLHPsng2g9UD51SqzwqIAc863/view?usp=drivesdk","1541_YOGA ADIE PRADANA, A.Md.Kep. _ SERTIFIKAT BIMTEK IPASN BerAKHLASK")</f>
        <v>1541_YOGA ADIE PRADANA, A.Md.Kep. _ SERTIFIKAT BIMTEK IPASN BerAKHLASK</v>
      </c>
      <c r="P1542" s="5" t="s">
        <v>12414</v>
      </c>
      <c r="Q1542" s="5"/>
      <c r="R1542" s="5"/>
      <c r="S1542" s="5"/>
      <c r="T1542" s="5"/>
    </row>
    <row r="1543">
      <c r="A1543" s="4">
        <v>45534.33459712963</v>
      </c>
      <c r="B1543" s="5" t="s">
        <v>34</v>
      </c>
      <c r="D1543" s="5" t="s">
        <v>10444</v>
      </c>
      <c r="E1543" s="5" t="s">
        <v>12434</v>
      </c>
      <c r="F1543" s="5" t="s">
        <v>212</v>
      </c>
      <c r="G1543" s="5" t="s">
        <v>12435</v>
      </c>
      <c r="H1543" s="6" t="s">
        <v>12436</v>
      </c>
      <c r="I1543" s="7" t="s">
        <v>12437</v>
      </c>
      <c r="J1543" s="8" t="str">
        <f>HYPERLINK("https://drive.google.com/file/d/1UN68peFhV-E37E2ea_TOUXq_kJPKFZj2/view?usp=drivesdk","NOVIE SULASTRI  SERTIFIKAT BerAKHLAK")</f>
        <v>NOVIE SULASTRI  SERTIFIKAT BerAKHLAK</v>
      </c>
      <c r="K1543" s="5" t="s">
        <v>11954</v>
      </c>
      <c r="L1543" s="5" t="s">
        <v>12438</v>
      </c>
      <c r="M1543" s="5" t="s">
        <v>12439</v>
      </c>
      <c r="N1543" s="7" t="s">
        <v>12440</v>
      </c>
      <c r="O1543" s="8" t="str">
        <f>HYPERLINK("https://drive.google.com/file/d/1U8YG6joJSDvxwUaApvYyFsR3pZqns0BH/view?usp=drivesdk","1542_NOVIE SULASTRI  _ SERTIFIKAT BIMTEK IPASN BerAKHLASK")</f>
        <v>1542_NOVIE SULASTRI  _ SERTIFIKAT BIMTEK IPASN BerAKHLASK</v>
      </c>
      <c r="P1543" s="5" t="s">
        <v>12414</v>
      </c>
      <c r="Q1543" s="5"/>
      <c r="R1543" s="5"/>
      <c r="S1543" s="5"/>
      <c r="T1543" s="5"/>
    </row>
    <row r="1544">
      <c r="A1544" s="4">
        <v>45534.334602476854</v>
      </c>
      <c r="B1544" s="5" t="s">
        <v>34</v>
      </c>
      <c r="D1544" s="5" t="s">
        <v>975</v>
      </c>
      <c r="E1544" s="5" t="s">
        <v>12441</v>
      </c>
      <c r="F1544" s="5" t="s">
        <v>37</v>
      </c>
      <c r="G1544" s="5" t="s">
        <v>12442</v>
      </c>
      <c r="H1544" s="6" t="s">
        <v>12443</v>
      </c>
      <c r="K1544" s="5" t="s">
        <v>12444</v>
      </c>
      <c r="M1544" s="5" t="s">
        <v>12445</v>
      </c>
      <c r="N1544" s="7" t="s">
        <v>12446</v>
      </c>
      <c r="O1544" s="8" t="str">
        <f>HYPERLINK("https://drive.google.com/file/d/1surn4YZmf0QSCtZGCtQQNmTsht5Fr5VX/view?usp=drivesdk","1543_NUR SALMY AMD KEB _ SERTIFIKAT BIMTEK IPASN BerAKHLASK")</f>
        <v>1543_NUR SALMY AMD KEB _ SERTIFIKAT BIMTEK IPASN BerAKHLASK</v>
      </c>
      <c r="P1544" s="5" t="s">
        <v>12447</v>
      </c>
      <c r="Q1544" s="5"/>
      <c r="R1544" s="5"/>
      <c r="S1544" s="5"/>
      <c r="T1544" s="5"/>
    </row>
    <row r="1545" hidden="1">
      <c r="A1545" s="4">
        <v>45534.3346087963</v>
      </c>
      <c r="B1545" s="5" t="s">
        <v>19</v>
      </c>
      <c r="C1545" s="5" t="s">
        <v>11593</v>
      </c>
      <c r="E1545" s="5" t="s">
        <v>12448</v>
      </c>
      <c r="F1545" s="5" t="s">
        <v>108</v>
      </c>
      <c r="G1545" s="5" t="s">
        <v>12449</v>
      </c>
      <c r="H1545" s="6" t="s">
        <v>12450</v>
      </c>
      <c r="K1545" s="5" t="s">
        <v>12444</v>
      </c>
      <c r="M1545" s="5" t="s">
        <v>12451</v>
      </c>
      <c r="N1545" s="7" t="s">
        <v>12452</v>
      </c>
      <c r="O1545" s="8" t="str">
        <f>HYPERLINK("https://drive.google.com/file/d/1OdGMOYZA_z3Wipc_oxEDWjZd-w7HsweR/view?usp=drivesdk","1544_Ns. LESTARI HERMININGSIH.,S.Kep _ SERTIFIKAT BIMTEK IPASN BerAKHLASK")</f>
        <v>1544_Ns. LESTARI HERMININGSIH.,S.Kep _ SERTIFIKAT BIMTEK IPASN BerAKHLASK</v>
      </c>
      <c r="P1545" s="5" t="s">
        <v>12447</v>
      </c>
      <c r="Q1545" s="5"/>
      <c r="R1545" s="5"/>
      <c r="S1545" s="5"/>
      <c r="T1545" s="5"/>
    </row>
    <row r="1546">
      <c r="A1546" s="4">
        <v>45534.334612858795</v>
      </c>
      <c r="B1546" s="5" t="s">
        <v>34</v>
      </c>
      <c r="D1546" s="5" t="s">
        <v>4775</v>
      </c>
      <c r="E1546" s="5" t="s">
        <v>12453</v>
      </c>
      <c r="F1546" s="5" t="s">
        <v>375</v>
      </c>
      <c r="G1546" s="5" t="s">
        <v>12454</v>
      </c>
      <c r="H1546" s="6" t="s">
        <v>12455</v>
      </c>
      <c r="I1546" s="7" t="s">
        <v>12456</v>
      </c>
      <c r="J1546" s="8" t="str">
        <f>HYPERLINK("https://drive.google.com/file/d/1L7g2v8S6M-lQKKLUm6VMA9EEZaR8Dg7c/view?usp=drivesdk","WAWAN VIDY PRASETYO, S. Ak SERTIFIKAT BerAKHLAK")</f>
        <v>WAWAN VIDY PRASETYO, S. Ak SERTIFIKAT BerAKHLAK</v>
      </c>
      <c r="K1546" s="5" t="s">
        <v>11954</v>
      </c>
      <c r="L1546" s="5" t="s">
        <v>12457</v>
      </c>
      <c r="M1546" s="5" t="s">
        <v>12458</v>
      </c>
      <c r="N1546" s="7" t="s">
        <v>12459</v>
      </c>
      <c r="O1546" s="8" t="str">
        <f>HYPERLINK("https://drive.google.com/file/d/1Z8WM8HrKJtpDwBi5LaNocoom6cOVQ06b/view?usp=drivesdk","1545_WAWAN VIDY PRASETYO, S. Ak _ SERTIFIKAT BIMTEK IPASN BerAKHLASK")</f>
        <v>1545_WAWAN VIDY PRASETYO, S. Ak _ SERTIFIKAT BIMTEK IPASN BerAKHLASK</v>
      </c>
      <c r="P1546" s="5" t="s">
        <v>12447</v>
      </c>
      <c r="Q1546" s="5"/>
      <c r="R1546" s="5"/>
      <c r="S1546" s="5"/>
      <c r="T1546" s="5"/>
    </row>
    <row r="1547">
      <c r="A1547" s="4">
        <v>45534.33461849537</v>
      </c>
      <c r="B1547" s="5" t="s">
        <v>34</v>
      </c>
      <c r="D1547" s="5" t="s">
        <v>6232</v>
      </c>
      <c r="E1547" s="5" t="s">
        <v>12460</v>
      </c>
      <c r="F1547" s="5" t="s">
        <v>212</v>
      </c>
      <c r="G1547" s="5" t="s">
        <v>12461</v>
      </c>
      <c r="H1547" s="6" t="s">
        <v>12462</v>
      </c>
      <c r="I1547" s="7" t="s">
        <v>12463</v>
      </c>
      <c r="J1547" s="8" t="str">
        <f>HYPERLINK("https://drive.google.com/file/d/1cDCriqXNJiMW5S9aZ-GKbVyG4ocL5cg3/view?usp=drivesdk","DEDDY ISKANDAR  SERTIFIKAT BerAKHLAK")</f>
        <v>DEDDY ISKANDAR  SERTIFIKAT BerAKHLAK</v>
      </c>
      <c r="K1547" s="5" t="s">
        <v>11954</v>
      </c>
      <c r="L1547" s="5" t="s">
        <v>12464</v>
      </c>
      <c r="M1547" s="5" t="s">
        <v>12465</v>
      </c>
      <c r="N1547" s="7" t="s">
        <v>12466</v>
      </c>
      <c r="O1547" s="8" t="str">
        <f>HYPERLINK("https://drive.google.com/file/d/1f_ZzRJV2bOEeG2E0C-G_7hFkOsHnQLC8/view?usp=drivesdk","1546_DEDDY ISKANDAR  _ SERTIFIKAT BIMTEK IPASN BerAKHLASK")</f>
        <v>1546_DEDDY ISKANDAR  _ SERTIFIKAT BIMTEK IPASN BerAKHLASK</v>
      </c>
      <c r="P1547" s="5" t="s">
        <v>12447</v>
      </c>
      <c r="Q1547" s="5"/>
      <c r="R1547" s="5"/>
      <c r="S1547" s="5"/>
      <c r="T1547" s="5"/>
    </row>
    <row r="1548">
      <c r="A1548" s="4">
        <v>45534.33463459491</v>
      </c>
      <c r="B1548" s="5" t="s">
        <v>34</v>
      </c>
      <c r="D1548" s="5" t="s">
        <v>522</v>
      </c>
      <c r="E1548" s="5" t="s">
        <v>12467</v>
      </c>
      <c r="F1548" s="5" t="s">
        <v>715</v>
      </c>
      <c r="G1548" s="5" t="s">
        <v>12468</v>
      </c>
      <c r="H1548" s="6" t="s">
        <v>12469</v>
      </c>
      <c r="K1548" s="5" t="s">
        <v>12470</v>
      </c>
      <c r="M1548" s="5" t="s">
        <v>12471</v>
      </c>
      <c r="N1548" s="7" t="s">
        <v>12472</v>
      </c>
      <c r="O1548" s="8" t="str">
        <f>HYPERLINK("https://drive.google.com/file/d/11ud2uaJ6U76a7WaY8QSDzMEygBi7kF4L/view?usp=drivesdk","1547_DIAN SRI HIDAYAH _ SERTIFIKAT BIMTEK IPASN BerAKHLASK")</f>
        <v>1547_DIAN SRI HIDAYAH _ SERTIFIKAT BIMTEK IPASN BerAKHLASK</v>
      </c>
      <c r="P1548" s="5" t="s">
        <v>12447</v>
      </c>
      <c r="Q1548" s="5"/>
      <c r="R1548" s="5"/>
      <c r="S1548" s="5"/>
      <c r="T1548" s="5"/>
    </row>
    <row r="1549">
      <c r="A1549" s="4">
        <v>45534.33463996528</v>
      </c>
      <c r="B1549" s="5" t="s">
        <v>34</v>
      </c>
      <c r="D1549" s="5" t="s">
        <v>701</v>
      </c>
      <c r="E1549" s="5" t="s">
        <v>12473</v>
      </c>
      <c r="F1549" s="5" t="s">
        <v>108</v>
      </c>
      <c r="G1549" s="5" t="s">
        <v>12474</v>
      </c>
      <c r="H1549" s="6" t="s">
        <v>12475</v>
      </c>
      <c r="K1549" s="5" t="s">
        <v>12470</v>
      </c>
      <c r="M1549" s="5" t="s">
        <v>12476</v>
      </c>
      <c r="N1549" s="7" t="s">
        <v>12477</v>
      </c>
      <c r="O1549" s="8" t="str">
        <f>HYPERLINK("https://drive.google.com/file/d/1ZVRKSlRYXi10L33tfyM_ofoeN-TtD84k/view?usp=drivesdk","1548_apt. OKTRIAN RIZKY ROSA, S.Farm _ SERTIFIKAT BIMTEK IPASN BerAKHLASK")</f>
        <v>1548_apt. OKTRIAN RIZKY ROSA, S.Farm _ SERTIFIKAT BIMTEK IPASN BerAKHLASK</v>
      </c>
      <c r="P1549" s="5" t="s">
        <v>10411</v>
      </c>
      <c r="Q1549" s="5"/>
      <c r="R1549" s="5"/>
      <c r="S1549" s="5"/>
      <c r="T1549" s="5"/>
    </row>
    <row r="1550">
      <c r="A1550" s="4">
        <v>45534.33464428241</v>
      </c>
      <c r="B1550" s="5" t="s">
        <v>34</v>
      </c>
      <c r="D1550" s="5" t="s">
        <v>9020</v>
      </c>
      <c r="E1550" s="5" t="s">
        <v>12478</v>
      </c>
      <c r="F1550" s="5" t="s">
        <v>37</v>
      </c>
      <c r="G1550" s="5" t="s">
        <v>12479</v>
      </c>
      <c r="H1550" s="6" t="s">
        <v>12480</v>
      </c>
      <c r="K1550" s="5" t="s">
        <v>12470</v>
      </c>
      <c r="M1550" s="5" t="s">
        <v>12481</v>
      </c>
      <c r="N1550" s="7" t="s">
        <v>12482</v>
      </c>
      <c r="O1550" s="8" t="str">
        <f>HYPERLINK("https://drive.google.com/file/d/14PwEx7kaktCZwoyN_IEbXP6ZpdYZmzcE/view?usp=drivesdk","1549_ERIKA ORIESA PAKPAHAN _ SERTIFIKAT BIMTEK IPASN BerAKHLASK")</f>
        <v>1549_ERIKA ORIESA PAKPAHAN _ SERTIFIKAT BIMTEK IPASN BerAKHLASK</v>
      </c>
      <c r="P1550" s="5" t="s">
        <v>10411</v>
      </c>
      <c r="Q1550" s="5"/>
      <c r="R1550" s="5"/>
      <c r="S1550" s="5"/>
      <c r="T1550" s="5"/>
    </row>
    <row r="1551">
      <c r="A1551" s="4">
        <v>45534.33464564815</v>
      </c>
      <c r="B1551" s="5" t="s">
        <v>34</v>
      </c>
      <c r="D1551" s="5" t="s">
        <v>6232</v>
      </c>
      <c r="E1551" s="5" t="s">
        <v>12483</v>
      </c>
      <c r="F1551" s="5" t="s">
        <v>37</v>
      </c>
      <c r="G1551" s="5" t="s">
        <v>12484</v>
      </c>
      <c r="H1551" s="6" t="s">
        <v>12485</v>
      </c>
      <c r="K1551" s="5" t="s">
        <v>12470</v>
      </c>
      <c r="M1551" s="5" t="s">
        <v>12486</v>
      </c>
      <c r="N1551" s="7" t="s">
        <v>12487</v>
      </c>
      <c r="O1551" s="8" t="str">
        <f>HYPERLINK("https://drive.google.com/file/d/1FsVegf6L15X1zCbyRjUlkuUtpcEvst_1/view?usp=drivesdk","1550_DEWI MARITO TAMPUBOLON, AM.Keb _ SERTIFIKAT BIMTEK IPASN BerAKHLASK")</f>
        <v>1550_DEWI MARITO TAMPUBOLON, AM.Keb _ SERTIFIKAT BIMTEK IPASN BerAKHLASK</v>
      </c>
      <c r="P1551" s="5" t="s">
        <v>10411</v>
      </c>
      <c r="Q1551" s="5"/>
      <c r="R1551" s="5"/>
      <c r="S1551" s="5"/>
      <c r="T1551" s="5"/>
    </row>
    <row r="1552">
      <c r="A1552" s="4">
        <v>45534.33465958333</v>
      </c>
      <c r="B1552" s="5" t="s">
        <v>34</v>
      </c>
      <c r="D1552" s="5" t="s">
        <v>1206</v>
      </c>
      <c r="E1552" s="5" t="s">
        <v>12488</v>
      </c>
      <c r="F1552" s="5" t="s">
        <v>72</v>
      </c>
      <c r="G1552" s="5" t="s">
        <v>12489</v>
      </c>
      <c r="H1552" s="6" t="s">
        <v>12490</v>
      </c>
      <c r="K1552" s="5" t="s">
        <v>12470</v>
      </c>
      <c r="M1552" s="5" t="s">
        <v>12491</v>
      </c>
      <c r="N1552" s="7" t="s">
        <v>12492</v>
      </c>
      <c r="O1552" s="8" t="str">
        <f>HYPERLINK("https://drive.google.com/file/d/1G2dBkEXJ6ikoKDkhiTqK8AznQDAun7QW/view?usp=drivesdk","1551_ERNOWO PRASETYO Amk _ SERTIFIKAT BIMTEK IPASN BerAKHLASK")</f>
        <v>1551_ERNOWO PRASETYO Amk _ SERTIFIKAT BIMTEK IPASN BerAKHLASK</v>
      </c>
      <c r="P1552" s="5" t="s">
        <v>12493</v>
      </c>
      <c r="Q1552" s="5"/>
      <c r="R1552" s="5"/>
      <c r="S1552" s="5"/>
      <c r="T1552" s="5"/>
    </row>
    <row r="1553">
      <c r="A1553" s="4">
        <v>45534.334674178244</v>
      </c>
      <c r="B1553" s="5" t="s">
        <v>34</v>
      </c>
      <c r="D1553" s="5" t="s">
        <v>4775</v>
      </c>
      <c r="E1553" s="5" t="s">
        <v>12494</v>
      </c>
      <c r="F1553" s="5" t="s">
        <v>212</v>
      </c>
      <c r="G1553" s="5" t="s">
        <v>12495</v>
      </c>
      <c r="H1553" s="6" t="s">
        <v>12496</v>
      </c>
      <c r="I1553" s="7" t="s">
        <v>12497</v>
      </c>
      <c r="J1553" s="8" t="str">
        <f>HYPERLINK("https://drive.google.com/file/d/1y11gp9sPC7pWj3dOJoKUu0yeiMiSj6mA/view?usp=drivesdk","IIN DARYANTI, SE SERTIFIKAT BerAKHLAK")</f>
        <v>IIN DARYANTI, SE SERTIFIKAT BerAKHLAK</v>
      </c>
      <c r="K1553" s="5" t="s">
        <v>11954</v>
      </c>
      <c r="L1553" s="5" t="s">
        <v>12498</v>
      </c>
      <c r="M1553" s="5" t="s">
        <v>12499</v>
      </c>
      <c r="N1553" s="7" t="s">
        <v>12500</v>
      </c>
      <c r="O1553" s="8" t="str">
        <f>HYPERLINK("https://drive.google.com/file/d/1uaqeedIT1oav20x7f1z0mfsfDemQq-4C/view?usp=drivesdk","1552_IIN DARYANTI, SE _ SERTIFIKAT BIMTEK IPASN BerAKHLASK")</f>
        <v>1552_IIN DARYANTI, SE _ SERTIFIKAT BIMTEK IPASN BerAKHLASK</v>
      </c>
      <c r="P1553" s="5" t="s">
        <v>12493</v>
      </c>
      <c r="Q1553" s="5"/>
      <c r="R1553" s="5"/>
      <c r="S1553" s="5"/>
      <c r="T1553" s="5"/>
    </row>
    <row r="1554" hidden="1">
      <c r="A1554" s="4">
        <v>45534.33468079861</v>
      </c>
      <c r="B1554" s="5" t="s">
        <v>19</v>
      </c>
      <c r="C1554" s="5" t="s">
        <v>292</v>
      </c>
      <c r="E1554" s="5" t="s">
        <v>12501</v>
      </c>
      <c r="F1554" s="5" t="s">
        <v>37</v>
      </c>
      <c r="G1554" s="5" t="s">
        <v>12502</v>
      </c>
      <c r="H1554" s="6" t="s">
        <v>12503</v>
      </c>
      <c r="I1554" s="7" t="s">
        <v>12504</v>
      </c>
      <c r="J1554" s="8" t="str">
        <f>HYPERLINK("https://drive.google.com/file/d/1GREzU7X_CV7pbTboxrW5tJtI8xzq0fHy/view?usp=drivesdk","ANGGI DWI FAUZI, A.Md SERTIFIKAT BerAKHLAK")</f>
        <v>ANGGI DWI FAUZI, A.Md SERTIFIKAT BerAKHLAK</v>
      </c>
      <c r="K1554" s="5" t="s">
        <v>11954</v>
      </c>
      <c r="L1554" s="5" t="s">
        <v>12505</v>
      </c>
      <c r="M1554" s="5" t="s">
        <v>12506</v>
      </c>
      <c r="N1554" s="7" t="s">
        <v>12507</v>
      </c>
      <c r="O1554" s="8" t="str">
        <f>HYPERLINK("https://drive.google.com/file/d/1MPnGzOCC0_9hCk1gxSL8Ka2f5BvlkCBG/view?usp=drivesdk","1553_ANGGI DWI FAUZI, A.Md _ SERTIFIKAT BIMTEK IPASN BerAKHLASK")</f>
        <v>1553_ANGGI DWI FAUZI, A.Md _ SERTIFIKAT BIMTEK IPASN BerAKHLASK</v>
      </c>
      <c r="P1554" s="5" t="s">
        <v>12493</v>
      </c>
      <c r="Q1554" s="5"/>
      <c r="R1554" s="5"/>
      <c r="S1554" s="5"/>
      <c r="T1554" s="5"/>
    </row>
    <row r="1555">
      <c r="A1555" s="4">
        <v>45534.3346809375</v>
      </c>
      <c r="B1555" s="5" t="s">
        <v>34</v>
      </c>
      <c r="D1555" s="5" t="s">
        <v>2903</v>
      </c>
      <c r="E1555" s="5" t="s">
        <v>12508</v>
      </c>
      <c r="F1555" s="5" t="s">
        <v>37</v>
      </c>
      <c r="G1555" s="5" t="s">
        <v>12509</v>
      </c>
      <c r="H1555" s="6" t="s">
        <v>12510</v>
      </c>
      <c r="K1555" s="5" t="s">
        <v>12511</v>
      </c>
      <c r="M1555" s="5" t="s">
        <v>12512</v>
      </c>
      <c r="N1555" s="7" t="s">
        <v>12513</v>
      </c>
      <c r="O1555" s="8" t="str">
        <f>HYPERLINK("https://drive.google.com/file/d/1QmlnE7YljfRhLJ9l1Q078T5Sqeo_T3pR/view?usp=drivesdk","1554_MUFLIHATUL HUSNA, A.Md.Keb _ SERTIFIKAT BIMTEK IPASN BerAKHLASK")</f>
        <v>1554_MUFLIHATUL HUSNA, A.Md.Keb _ SERTIFIKAT BIMTEK IPASN BerAKHLASK</v>
      </c>
      <c r="P1555" s="5" t="s">
        <v>12493</v>
      </c>
      <c r="Q1555" s="5"/>
      <c r="R1555" s="5"/>
      <c r="S1555" s="5"/>
      <c r="T1555" s="5"/>
    </row>
    <row r="1556">
      <c r="A1556" s="4">
        <v>45534.334685567126</v>
      </c>
      <c r="B1556" s="5" t="s">
        <v>34</v>
      </c>
      <c r="D1556" s="5" t="s">
        <v>1206</v>
      </c>
      <c r="E1556" s="5" t="s">
        <v>12514</v>
      </c>
      <c r="F1556" s="5" t="s">
        <v>524</v>
      </c>
      <c r="G1556" s="5" t="s">
        <v>12515</v>
      </c>
      <c r="H1556" s="6" t="s">
        <v>12516</v>
      </c>
      <c r="K1556" s="5" t="s">
        <v>12511</v>
      </c>
      <c r="M1556" s="5" t="s">
        <v>12517</v>
      </c>
      <c r="N1556" s="7" t="s">
        <v>12518</v>
      </c>
      <c r="O1556" s="8" t="str">
        <f>HYPERLINK("https://drive.google.com/file/d/196nvA_xDKVWR2sslWJMRTtg3q7mDPQm-/view?usp=drivesdk","1555_WIEWIEK YUNIARTI  _ SERTIFIKAT BIMTEK IPASN BerAKHLASK")</f>
        <v>1555_WIEWIEK YUNIARTI  _ SERTIFIKAT BIMTEK IPASN BerAKHLASK</v>
      </c>
      <c r="P1556" s="5" t="s">
        <v>12493</v>
      </c>
      <c r="Q1556" s="5"/>
      <c r="R1556" s="5"/>
      <c r="S1556" s="5"/>
      <c r="T1556" s="5"/>
    </row>
    <row r="1557">
      <c r="A1557" s="4">
        <v>45534.334687361115</v>
      </c>
      <c r="B1557" s="5" t="s">
        <v>34</v>
      </c>
      <c r="D1557" s="5" t="s">
        <v>996</v>
      </c>
      <c r="E1557" s="5" t="s">
        <v>12519</v>
      </c>
      <c r="F1557" s="5" t="s">
        <v>108</v>
      </c>
      <c r="G1557" s="5" t="s">
        <v>12520</v>
      </c>
      <c r="H1557" s="6" t="s">
        <v>12521</v>
      </c>
      <c r="K1557" s="5" t="s">
        <v>12511</v>
      </c>
      <c r="M1557" s="5" t="s">
        <v>12522</v>
      </c>
      <c r="N1557" s="7" t="s">
        <v>12523</v>
      </c>
      <c r="O1557" s="8" t="str">
        <f>HYPERLINK("https://drive.google.com/file/d/1EZ9JpTqx04I6wkieufx5UZW2UN1yZ8Gg/view?usp=drivesdk","1556_PATWI ATMAYANI _ SERTIFIKAT BIMTEK IPASN BerAKHLASK")</f>
        <v>1556_PATWI ATMAYANI _ SERTIFIKAT BIMTEK IPASN BerAKHLASK</v>
      </c>
      <c r="P1557" s="5" t="s">
        <v>12493</v>
      </c>
      <c r="Q1557" s="5"/>
      <c r="R1557" s="5"/>
      <c r="S1557" s="5"/>
      <c r="T1557" s="5"/>
    </row>
    <row r="1558">
      <c r="A1558" s="4">
        <v>45534.3346975</v>
      </c>
      <c r="B1558" s="5" t="s">
        <v>34</v>
      </c>
      <c r="D1558" s="5" t="s">
        <v>9020</v>
      </c>
      <c r="E1558" s="5" t="s">
        <v>12524</v>
      </c>
      <c r="F1558" s="5" t="s">
        <v>37</v>
      </c>
      <c r="G1558" s="5" t="s">
        <v>12525</v>
      </c>
      <c r="H1558" s="6" t="s">
        <v>12526</v>
      </c>
      <c r="I1558" s="7" t="s">
        <v>12527</v>
      </c>
      <c r="J1558" s="8" t="str">
        <f>HYPERLINK("https://drive.google.com/file/d/1AliOa2tVz6ySN0OvWipjphzlYkYx5wb3/view?usp=drivesdk","JUNI R SIMATUPANG  SERTIFIKAT BerAKHLAK")</f>
        <v>JUNI R SIMATUPANG  SERTIFIKAT BerAKHLAK</v>
      </c>
      <c r="K1558" s="5" t="s">
        <v>11954</v>
      </c>
      <c r="L1558" s="5" t="s">
        <v>12528</v>
      </c>
      <c r="M1558" s="5" t="s">
        <v>12529</v>
      </c>
      <c r="N1558" s="7" t="s">
        <v>12530</v>
      </c>
      <c r="O1558" s="8" t="str">
        <f>HYPERLINK("https://drive.google.com/file/d/18yNc82wCa7ASS8Ee6V7ACgaojLztGIX2/view?usp=drivesdk","1557_JUNI R SIMATUPANG  _ SERTIFIKAT BIMTEK IPASN BerAKHLASK")</f>
        <v>1557_JUNI R SIMATUPANG  _ SERTIFIKAT BIMTEK IPASN BerAKHLASK</v>
      </c>
      <c r="P1558" s="5" t="s">
        <v>12531</v>
      </c>
      <c r="Q1558" s="5"/>
      <c r="R1558" s="5"/>
      <c r="S1558" s="5"/>
      <c r="T1558" s="5"/>
    </row>
    <row r="1559">
      <c r="A1559" s="4">
        <v>45534.334700775464</v>
      </c>
      <c r="B1559" s="5" t="s">
        <v>34</v>
      </c>
      <c r="D1559" s="5" t="s">
        <v>35</v>
      </c>
      <c r="E1559" s="5" t="s">
        <v>12532</v>
      </c>
      <c r="F1559" s="5" t="s">
        <v>120</v>
      </c>
      <c r="G1559" s="5" t="s">
        <v>12533</v>
      </c>
      <c r="H1559" s="6" t="s">
        <v>12534</v>
      </c>
      <c r="I1559" s="7" t="s">
        <v>12535</v>
      </c>
      <c r="J1559" s="8" t="str">
        <f>HYPERLINK("https://drive.google.com/file/d/11pPkkADJ9V-CPvr1xOcRHMuwDbMbuGrP/view?usp=drivesdk","ERNI SUHAENI, S.H., M.M SERTIFIKAT BerAKHLAK")</f>
        <v>ERNI SUHAENI, S.H., M.M SERTIFIKAT BerAKHLAK</v>
      </c>
      <c r="K1559" s="5" t="s">
        <v>11954</v>
      </c>
      <c r="L1559" s="5" t="s">
        <v>12536</v>
      </c>
      <c r="M1559" s="5" t="s">
        <v>12537</v>
      </c>
      <c r="N1559" s="7" t="s">
        <v>12538</v>
      </c>
      <c r="O1559" s="8" t="str">
        <f>HYPERLINK("https://drive.google.com/file/d/17hA8B9RHF8_WKMvT0qkFA7Bzm-8SH3eV/view?usp=drivesdk","1558_ERNI SUHAENI, S.H., M.M _ SERTIFIKAT BIMTEK IPASN BerAKHLASK")</f>
        <v>1558_ERNI SUHAENI, S.H., M.M _ SERTIFIKAT BIMTEK IPASN BerAKHLASK</v>
      </c>
      <c r="P1559" s="5" t="s">
        <v>12531</v>
      </c>
      <c r="Q1559" s="5"/>
      <c r="R1559" s="5"/>
      <c r="S1559" s="5"/>
      <c r="T1559" s="5"/>
    </row>
    <row r="1560">
      <c r="A1560" s="4">
        <v>45534.33472010416</v>
      </c>
      <c r="B1560" s="5" t="s">
        <v>34</v>
      </c>
      <c r="D1560" s="5" t="s">
        <v>9020</v>
      </c>
      <c r="E1560" s="5" t="s">
        <v>12539</v>
      </c>
      <c r="F1560" s="5" t="s">
        <v>37</v>
      </c>
      <c r="G1560" s="5" t="s">
        <v>12540</v>
      </c>
      <c r="H1560" s="6" t="s">
        <v>12541</v>
      </c>
      <c r="I1560" s="7" t="s">
        <v>12542</v>
      </c>
      <c r="J1560" s="8" t="str">
        <f>HYPERLINK("https://drive.google.com/file/d/1jwuqdr4c8Wd388fmEWFOt70KjzdCsCkP/view?usp=drivesdk","DOSTI SIMANJUNTAK SERTIFIKAT BerAKHLAK")</f>
        <v>DOSTI SIMANJUNTAK SERTIFIKAT BerAKHLAK</v>
      </c>
      <c r="K1560" s="5" t="s">
        <v>11954</v>
      </c>
      <c r="L1560" s="5" t="s">
        <v>12543</v>
      </c>
      <c r="M1560" s="5" t="s">
        <v>12544</v>
      </c>
      <c r="N1560" s="7" t="s">
        <v>12545</v>
      </c>
      <c r="O1560" s="8" t="str">
        <f>HYPERLINK("https://drive.google.com/file/d/1Lu9JXKrB-zcNclVAikD1fNZXzvfj-Xj8/view?usp=drivesdk","1559_DOSTI SIMANJUNTAK _ SERTIFIKAT BIMTEK IPASN BerAKHLASK")</f>
        <v>1559_DOSTI SIMANJUNTAK _ SERTIFIKAT BIMTEK IPASN BerAKHLASK</v>
      </c>
      <c r="P1560" s="5" t="s">
        <v>12531</v>
      </c>
      <c r="Q1560" s="5"/>
      <c r="R1560" s="5"/>
      <c r="S1560" s="5"/>
      <c r="T1560" s="5"/>
    </row>
    <row r="1561">
      <c r="A1561" s="4">
        <v>45534.33471972222</v>
      </c>
      <c r="B1561" s="5" t="s">
        <v>34</v>
      </c>
      <c r="D1561" s="5" t="s">
        <v>6232</v>
      </c>
      <c r="E1561" s="5" t="s">
        <v>12546</v>
      </c>
      <c r="F1561" s="5" t="s">
        <v>108</v>
      </c>
      <c r="G1561" s="5" t="s">
        <v>12547</v>
      </c>
      <c r="H1561" s="6" t="s">
        <v>12548</v>
      </c>
      <c r="K1561" s="5" t="s">
        <v>12549</v>
      </c>
      <c r="M1561" s="5" t="s">
        <v>12550</v>
      </c>
      <c r="N1561" s="7" t="s">
        <v>12551</v>
      </c>
      <c r="O1561" s="8" t="str">
        <f>HYPERLINK("https://drive.google.com/file/d/1qPIHMBg45J0JggwUZkmtEsBSYxiWIkRo/view?usp=drivesdk","1560_RICKA ALFIAN NINGSI, S.E. _ SERTIFIKAT BIMTEK IPASN BerAKHLASK")</f>
        <v>1560_RICKA ALFIAN NINGSI, S.E. _ SERTIFIKAT BIMTEK IPASN BerAKHLASK</v>
      </c>
      <c r="P1561" s="5" t="s">
        <v>12531</v>
      </c>
      <c r="Q1561" s="5"/>
      <c r="R1561" s="5"/>
      <c r="S1561" s="5"/>
      <c r="T1561" s="5"/>
    </row>
    <row r="1562">
      <c r="A1562" s="4">
        <v>45534.33472074074</v>
      </c>
      <c r="B1562" s="5" t="s">
        <v>34</v>
      </c>
      <c r="D1562" s="5" t="s">
        <v>4775</v>
      </c>
      <c r="E1562" s="5" t="s">
        <v>12552</v>
      </c>
      <c r="F1562" s="5" t="s">
        <v>120</v>
      </c>
      <c r="G1562" s="5" t="s">
        <v>12553</v>
      </c>
      <c r="H1562" s="6" t="s">
        <v>12554</v>
      </c>
      <c r="K1562" s="5" t="s">
        <v>12549</v>
      </c>
      <c r="M1562" s="5" t="s">
        <v>12555</v>
      </c>
      <c r="N1562" s="7" t="s">
        <v>12556</v>
      </c>
      <c r="O1562" s="8" t="str">
        <f>HYPERLINK("https://drive.google.com/file/d/1j9UPHdYvLuigobrDpOsk-9h5w5-NKI0d/view?usp=drivesdk","1561_YULIZAR AGUNG NUGROHO, S.P., M.M. _ SERTIFIKAT BIMTEK IPASN BerAKHLASK")</f>
        <v>1561_YULIZAR AGUNG NUGROHO, S.P., M.M. _ SERTIFIKAT BIMTEK IPASN BerAKHLASK</v>
      </c>
      <c r="P1562" s="5" t="s">
        <v>12531</v>
      </c>
      <c r="Q1562" s="5"/>
      <c r="R1562" s="5"/>
      <c r="S1562" s="5"/>
      <c r="T1562" s="5"/>
    </row>
    <row r="1563">
      <c r="A1563" s="4">
        <v>45534.3347362037</v>
      </c>
      <c r="B1563" s="5" t="s">
        <v>34</v>
      </c>
      <c r="D1563" s="5" t="s">
        <v>580</v>
      </c>
      <c r="E1563" s="5" t="s">
        <v>12557</v>
      </c>
      <c r="F1563" s="5" t="s">
        <v>37</v>
      </c>
      <c r="G1563" s="5" t="s">
        <v>12558</v>
      </c>
      <c r="H1563" s="6" t="s">
        <v>12559</v>
      </c>
      <c r="K1563" s="5" t="s">
        <v>12549</v>
      </c>
      <c r="M1563" s="5" t="s">
        <v>12560</v>
      </c>
      <c r="N1563" s="7" t="s">
        <v>12561</v>
      </c>
      <c r="O1563" s="8" t="str">
        <f>HYPERLINK("https://drive.google.com/file/d/1anFscE2UPj8xc8mHGXI6vRnOWzKB3WgU/view?usp=drivesdk","1562_NIKOMANGARIANTI _ SERTIFIKAT BIMTEK IPASN BerAKHLASK")</f>
        <v>1562_NIKOMANGARIANTI _ SERTIFIKAT BIMTEK IPASN BerAKHLASK</v>
      </c>
      <c r="P1563" s="5" t="s">
        <v>12562</v>
      </c>
      <c r="Q1563" s="5"/>
      <c r="R1563" s="5"/>
      <c r="S1563" s="5"/>
      <c r="T1563" s="5"/>
    </row>
    <row r="1564" hidden="1">
      <c r="A1564" s="4">
        <v>45534.33473870371</v>
      </c>
      <c r="B1564" s="5" t="s">
        <v>19</v>
      </c>
      <c r="C1564" s="5" t="s">
        <v>20</v>
      </c>
      <c r="E1564" s="5" t="s">
        <v>12563</v>
      </c>
      <c r="F1564" s="5" t="s">
        <v>37</v>
      </c>
      <c r="G1564" s="5" t="s">
        <v>12564</v>
      </c>
      <c r="H1564" s="6" t="s">
        <v>12565</v>
      </c>
      <c r="K1564" s="5" t="s">
        <v>12549</v>
      </c>
      <c r="M1564" s="5" t="s">
        <v>12566</v>
      </c>
      <c r="N1564" s="7" t="s">
        <v>12567</v>
      </c>
      <c r="O1564" s="8" t="str">
        <f>HYPERLINK("https://drive.google.com/file/d/1ZdskhjW9o_H8yR0VajPdd0M7LnMN9KF8/view?usp=drivesdk","1563_MILZAM DWI KIRANA SETIAJATI _ SERTIFIKAT BIMTEK IPASN BerAKHLASK")</f>
        <v>1563_MILZAM DWI KIRANA SETIAJATI _ SERTIFIKAT BIMTEK IPASN BerAKHLASK</v>
      </c>
      <c r="P1564" s="5" t="s">
        <v>12562</v>
      </c>
      <c r="Q1564" s="5"/>
      <c r="R1564" s="5"/>
      <c r="S1564" s="5"/>
      <c r="T1564" s="5"/>
    </row>
    <row r="1565">
      <c r="A1565" s="4">
        <v>45534.33476804398</v>
      </c>
      <c r="B1565" s="5" t="s">
        <v>34</v>
      </c>
      <c r="D1565" s="5" t="s">
        <v>35</v>
      </c>
      <c r="E1565" s="5" t="s">
        <v>12568</v>
      </c>
      <c r="F1565" s="5" t="s">
        <v>212</v>
      </c>
      <c r="G1565" s="5" t="s">
        <v>12569</v>
      </c>
      <c r="H1565" s="6" t="s">
        <v>12570</v>
      </c>
      <c r="K1565" s="5" t="s">
        <v>12549</v>
      </c>
      <c r="M1565" s="5" t="s">
        <v>12571</v>
      </c>
      <c r="N1565" s="7" t="s">
        <v>12572</v>
      </c>
      <c r="O1565" s="8" t="str">
        <f>HYPERLINK("https://drive.google.com/file/d/1DcJLpz3pFkJxhiJSl4bDgQOYdPsuGak0/view?usp=drivesdk","1564_SIUMSRIMULYATI _ SERTIFIKAT BIMTEK IPASN BerAKHLASK")</f>
        <v>1564_SIUMSRIMULYATI _ SERTIFIKAT BIMTEK IPASN BerAKHLASK</v>
      </c>
      <c r="P1565" s="5" t="s">
        <v>12562</v>
      </c>
      <c r="Q1565" s="5"/>
      <c r="R1565" s="5"/>
      <c r="S1565" s="5"/>
      <c r="T1565" s="5"/>
    </row>
    <row r="1566" hidden="1">
      <c r="A1566" s="4">
        <v>45534.334773634255</v>
      </c>
      <c r="B1566" s="5" t="s">
        <v>19</v>
      </c>
      <c r="C1566" s="5" t="s">
        <v>11593</v>
      </c>
      <c r="E1566" s="5" t="s">
        <v>12573</v>
      </c>
      <c r="F1566" s="5" t="s">
        <v>212</v>
      </c>
      <c r="G1566" s="5" t="s">
        <v>12574</v>
      </c>
      <c r="H1566" s="6" t="s">
        <v>12575</v>
      </c>
      <c r="K1566" s="5" t="s">
        <v>12549</v>
      </c>
      <c r="M1566" s="5" t="s">
        <v>12576</v>
      </c>
      <c r="N1566" s="7" t="s">
        <v>12577</v>
      </c>
      <c r="O1566" s="8" t="str">
        <f>HYPERLINK("https://drive.google.com/file/d/1tBlcUlvtJXKyoLiHS5azPVI8Hvr3b53d/view?usp=drivesdk","1565_PUTRI ARGIANTI, AMD.KEB _ SERTIFIKAT BIMTEK IPASN BerAKHLASK")</f>
        <v>1565_PUTRI ARGIANTI, AMD.KEB _ SERTIFIKAT BIMTEK IPASN BerAKHLASK</v>
      </c>
      <c r="P1566" s="5" t="s">
        <v>12562</v>
      </c>
      <c r="Q1566" s="5"/>
      <c r="R1566" s="5"/>
      <c r="S1566" s="5"/>
      <c r="T1566" s="5"/>
    </row>
    <row r="1567">
      <c r="A1567" s="4">
        <v>45534.334803645834</v>
      </c>
      <c r="B1567" s="5" t="s">
        <v>34</v>
      </c>
      <c r="D1567" s="5" t="s">
        <v>6232</v>
      </c>
      <c r="E1567" s="5" t="s">
        <v>12578</v>
      </c>
      <c r="F1567" s="5" t="s">
        <v>212</v>
      </c>
      <c r="G1567" s="5" t="s">
        <v>12579</v>
      </c>
      <c r="H1567" s="6" t="s">
        <v>12580</v>
      </c>
      <c r="I1567" s="7" t="s">
        <v>12581</v>
      </c>
      <c r="J1567" s="8" t="str">
        <f>HYPERLINK("https://drive.google.com/file/d/1tWGt6sdtPtPgNfTiOogcLKggkWr-6G1z/view?usp=drivesdk","SULISTYOWATI  SERTIFIKAT BerAKHLAK")</f>
        <v>SULISTYOWATI  SERTIFIKAT BerAKHLAK</v>
      </c>
      <c r="K1567" s="5" t="s">
        <v>11954</v>
      </c>
      <c r="L1567" s="5" t="s">
        <v>12582</v>
      </c>
      <c r="M1567" s="5" t="s">
        <v>12583</v>
      </c>
      <c r="N1567" s="7" t="s">
        <v>12584</v>
      </c>
      <c r="O1567" s="8" t="str">
        <f>HYPERLINK("https://drive.google.com/file/d/1JHRyFf7Dy-shU-aYAv-vuM_tsXv2-xIa/view?usp=drivesdk","1566_SULISTYOWATI  _ SERTIFIKAT BIMTEK IPASN BerAKHLASK")</f>
        <v>1566_SULISTYOWATI  _ SERTIFIKAT BIMTEK IPASN BerAKHLASK</v>
      </c>
      <c r="P1567" s="5" t="s">
        <v>12562</v>
      </c>
      <c r="Q1567" s="5"/>
      <c r="R1567" s="5"/>
      <c r="S1567" s="5"/>
      <c r="T1567" s="5"/>
    </row>
    <row r="1568">
      <c r="A1568" s="4">
        <v>45534.33481048611</v>
      </c>
      <c r="B1568" s="5" t="s">
        <v>34</v>
      </c>
      <c r="D1568" s="5" t="s">
        <v>1206</v>
      </c>
      <c r="E1568" s="5" t="s">
        <v>12585</v>
      </c>
      <c r="F1568" s="5" t="s">
        <v>199</v>
      </c>
      <c r="G1568" s="5" t="s">
        <v>12586</v>
      </c>
      <c r="H1568" s="6" t="s">
        <v>12587</v>
      </c>
      <c r="K1568" s="5" t="s">
        <v>12588</v>
      </c>
      <c r="M1568" s="5" t="s">
        <v>12589</v>
      </c>
      <c r="N1568" s="7" t="s">
        <v>12590</v>
      </c>
      <c r="O1568" s="8" t="str">
        <f>HYPERLINK("https://drive.google.com/file/d/1kdJ4QJ9dQ1ta9_yiDrGj1xS-jk-1lIku/view?usp=drivesdk","1567_ERNA YULIATIN _ SERTIFIKAT BIMTEK IPASN BerAKHLASK")</f>
        <v>1567_ERNA YULIATIN _ SERTIFIKAT BIMTEK IPASN BerAKHLASK</v>
      </c>
      <c r="P1568" s="5" t="s">
        <v>12591</v>
      </c>
      <c r="Q1568" s="5"/>
      <c r="R1568" s="5"/>
      <c r="S1568" s="5"/>
      <c r="T1568" s="5"/>
    </row>
    <row r="1569">
      <c r="A1569" s="4">
        <v>45534.33482172454</v>
      </c>
      <c r="B1569" s="5" t="s">
        <v>34</v>
      </c>
      <c r="D1569" s="5" t="s">
        <v>1206</v>
      </c>
      <c r="E1569" s="5" t="s">
        <v>12592</v>
      </c>
      <c r="F1569" s="5" t="s">
        <v>37</v>
      </c>
      <c r="G1569" s="5" t="s">
        <v>12593</v>
      </c>
      <c r="H1569" s="6" t="s">
        <v>12594</v>
      </c>
      <c r="K1569" s="5" t="s">
        <v>12595</v>
      </c>
      <c r="M1569" s="5" t="s">
        <v>12596</v>
      </c>
      <c r="N1569" s="7" t="s">
        <v>12597</v>
      </c>
      <c r="O1569" s="8" t="str">
        <f>HYPERLINK("https://drive.google.com/file/d/1NnclJWjd3NXQYsPwUcc0ITbRqjRDXEsE/view?usp=drivesdk","1568_BAMBANG SUHERMANTO _ SERTIFIKAT BIMTEK IPASN BerAKHLASK")</f>
        <v>1568_BAMBANG SUHERMANTO _ SERTIFIKAT BIMTEK IPASN BerAKHLASK</v>
      </c>
      <c r="P1569" s="5" t="s">
        <v>12591</v>
      </c>
      <c r="Q1569" s="5"/>
      <c r="R1569" s="5"/>
      <c r="S1569" s="5"/>
      <c r="T1569" s="5"/>
    </row>
    <row r="1570" hidden="1">
      <c r="A1570" s="4">
        <v>45534.33482365741</v>
      </c>
      <c r="B1570" s="5" t="s">
        <v>19</v>
      </c>
      <c r="C1570" s="5" t="s">
        <v>1606</v>
      </c>
      <c r="E1570" s="5" t="s">
        <v>12598</v>
      </c>
      <c r="F1570" s="5" t="s">
        <v>375</v>
      </c>
      <c r="G1570" s="5" t="s">
        <v>12599</v>
      </c>
      <c r="H1570" s="6" t="s">
        <v>12600</v>
      </c>
      <c r="K1570" s="5" t="s">
        <v>12595</v>
      </c>
      <c r="M1570" s="5" t="s">
        <v>12601</v>
      </c>
      <c r="N1570" s="7" t="s">
        <v>12602</v>
      </c>
      <c r="O1570" s="8" t="str">
        <f>HYPERLINK("https://drive.google.com/file/d/1sYOkjCQv0R_BCOA_JZGPLV2Lxxjk5pHy/view?usp=drivesdk","1569_PATUAN NATORAS SUANGKUPON NASUTION, S.T. _ SERTIFIKAT BIMTEK IPASN BerAKHLASK")</f>
        <v>1569_PATUAN NATORAS SUANGKUPON NASUTION, S.T. _ SERTIFIKAT BIMTEK IPASN BerAKHLASK</v>
      </c>
      <c r="P1570" s="5" t="s">
        <v>12591</v>
      </c>
      <c r="Q1570" s="5"/>
      <c r="R1570" s="5"/>
      <c r="S1570" s="5"/>
      <c r="T1570" s="5"/>
    </row>
    <row r="1571">
      <c r="A1571" s="4">
        <v>45534.334841250005</v>
      </c>
      <c r="B1571" s="5" t="s">
        <v>34</v>
      </c>
      <c r="D1571" s="5" t="s">
        <v>6232</v>
      </c>
      <c r="E1571" s="5" t="s">
        <v>12603</v>
      </c>
      <c r="F1571" s="5" t="s">
        <v>37</v>
      </c>
      <c r="G1571" s="5" t="s">
        <v>12604</v>
      </c>
      <c r="H1571" s="6" t="s">
        <v>12605</v>
      </c>
      <c r="K1571" s="5" t="s">
        <v>12595</v>
      </c>
      <c r="M1571" s="5" t="s">
        <v>12606</v>
      </c>
      <c r="N1571" s="7" t="s">
        <v>12607</v>
      </c>
      <c r="O1571" s="8" t="str">
        <f>HYPERLINK("https://drive.google.com/file/d/1tmZFwnid93O0I354iG3JLQKHR8lqv-PZ/view?usp=drivesdk","1570_ERIKE FERLIYANI _ SERTIFIKAT BIMTEK IPASN BerAKHLASK")</f>
        <v>1570_ERIKE FERLIYANI _ SERTIFIKAT BIMTEK IPASN BerAKHLASK</v>
      </c>
      <c r="P1571" s="5" t="s">
        <v>12608</v>
      </c>
      <c r="Q1571" s="5"/>
      <c r="R1571" s="5"/>
      <c r="S1571" s="5"/>
      <c r="T1571" s="5"/>
    </row>
    <row r="1572">
      <c r="A1572" s="4">
        <v>45534.33486862268</v>
      </c>
      <c r="B1572" s="5" t="s">
        <v>34</v>
      </c>
      <c r="D1572" s="5" t="s">
        <v>604</v>
      </c>
      <c r="E1572" s="5" t="s">
        <v>12609</v>
      </c>
      <c r="F1572" s="5" t="s">
        <v>120</v>
      </c>
      <c r="G1572" s="5" t="s">
        <v>12610</v>
      </c>
      <c r="H1572" s="6" t="s">
        <v>12611</v>
      </c>
      <c r="K1572" s="5" t="s">
        <v>12612</v>
      </c>
      <c r="M1572" s="5" t="s">
        <v>12613</v>
      </c>
      <c r="N1572" s="7" t="s">
        <v>12614</v>
      </c>
      <c r="O1572" s="8" t="str">
        <f>HYPERLINK("https://drive.google.com/file/d/1i5naHdiACX_XRATHyFvgkCWgVIc4Mikq/view?usp=drivesdk","1571_MUHAMAD SOBARI.S.AG _ SERTIFIKAT BIMTEK IPASN BerAKHLASK")</f>
        <v>1571_MUHAMAD SOBARI.S.AG _ SERTIFIKAT BIMTEK IPASN BerAKHLASK</v>
      </c>
      <c r="P1572" s="5" t="s">
        <v>12608</v>
      </c>
      <c r="Q1572" s="5"/>
      <c r="R1572" s="5"/>
      <c r="S1572" s="5"/>
      <c r="T1572" s="5"/>
    </row>
    <row r="1573">
      <c r="A1573" s="4">
        <v>45534.33487685185</v>
      </c>
      <c r="B1573" s="5" t="s">
        <v>34</v>
      </c>
      <c r="D1573" s="5" t="s">
        <v>12010</v>
      </c>
      <c r="E1573" s="5" t="s">
        <v>12615</v>
      </c>
      <c r="F1573" s="5" t="s">
        <v>212</v>
      </c>
      <c r="G1573" s="5" t="s">
        <v>12616</v>
      </c>
      <c r="H1573" s="6" t="s">
        <v>12617</v>
      </c>
      <c r="K1573" s="5" t="s">
        <v>12612</v>
      </c>
      <c r="M1573" s="5" t="s">
        <v>12618</v>
      </c>
      <c r="N1573" s="7" t="s">
        <v>12619</v>
      </c>
      <c r="O1573" s="8" t="str">
        <f>HYPERLINK("https://drive.google.com/file/d/10iZlurYwbWMd7oB3Uh7u-oB-RGrB-719/view?usp=drivesdk","1572_SRI WINDIA HIDAYAT _ SERTIFIKAT BIMTEK IPASN BerAKHLASK")</f>
        <v>1572_SRI WINDIA HIDAYAT _ SERTIFIKAT BIMTEK IPASN BerAKHLASK</v>
      </c>
      <c r="P1573" s="5" t="s">
        <v>12608</v>
      </c>
      <c r="Q1573" s="5"/>
      <c r="R1573" s="5"/>
      <c r="S1573" s="5"/>
      <c r="T1573" s="5"/>
    </row>
    <row r="1574">
      <c r="A1574" s="4">
        <v>45534.334881296294</v>
      </c>
      <c r="B1574" s="5" t="s">
        <v>34</v>
      </c>
      <c r="D1574" s="5" t="s">
        <v>9020</v>
      </c>
      <c r="E1574" s="5" t="s">
        <v>12620</v>
      </c>
      <c r="F1574" s="5" t="s">
        <v>72</v>
      </c>
      <c r="G1574" s="5" t="s">
        <v>12621</v>
      </c>
      <c r="H1574" s="6" t="s">
        <v>12622</v>
      </c>
      <c r="K1574" s="5" t="s">
        <v>12612</v>
      </c>
      <c r="M1574" s="5" t="s">
        <v>12623</v>
      </c>
      <c r="N1574" s="7" t="s">
        <v>12624</v>
      </c>
      <c r="O1574" s="8" t="str">
        <f>HYPERLINK("https://drive.google.com/file/d/1wtn_OeczsyoP8VCmxu6HDZZ5rop7t8LW/view?usp=drivesdk","1573_NETTY SIAGIAN, S.SOS. _ SERTIFIKAT BIMTEK IPASN BerAKHLASK")</f>
        <v>1573_NETTY SIAGIAN, S.SOS. _ SERTIFIKAT BIMTEK IPASN BerAKHLASK</v>
      </c>
      <c r="P1574" s="5" t="s">
        <v>12625</v>
      </c>
      <c r="Q1574" s="5"/>
      <c r="R1574" s="5"/>
      <c r="S1574" s="5"/>
      <c r="T1574" s="5"/>
    </row>
    <row r="1575">
      <c r="A1575" s="4">
        <v>45534.33489547454</v>
      </c>
      <c r="B1575" s="5" t="s">
        <v>34</v>
      </c>
      <c r="D1575" s="5" t="s">
        <v>35</v>
      </c>
      <c r="E1575" s="5" t="s">
        <v>12626</v>
      </c>
      <c r="F1575" s="5" t="s">
        <v>524</v>
      </c>
      <c r="G1575" s="5" t="s">
        <v>12627</v>
      </c>
      <c r="H1575" s="6" t="s">
        <v>12628</v>
      </c>
      <c r="K1575" s="5" t="s">
        <v>12612</v>
      </c>
      <c r="M1575" s="5" t="s">
        <v>12629</v>
      </c>
      <c r="N1575" s="7" t="s">
        <v>12630</v>
      </c>
      <c r="O1575" s="8" t="str">
        <f>HYPERLINK("https://drive.google.com/file/d/1reWItnwkib_rvOTmpnrsK9S78o2fPaG6/view?usp=drivesdk","1574_YULI CAHYANINGSIH, A.Md.Kep _ SERTIFIKAT BIMTEK IPASN BerAKHLASK")</f>
        <v>1574_YULI CAHYANINGSIH, A.Md.Kep _ SERTIFIKAT BIMTEK IPASN BerAKHLASK</v>
      </c>
      <c r="P1575" s="5" t="s">
        <v>12625</v>
      </c>
      <c r="Q1575" s="5"/>
      <c r="R1575" s="5"/>
      <c r="S1575" s="5"/>
      <c r="T1575" s="5"/>
    </row>
    <row r="1576" hidden="1">
      <c r="A1576" s="4">
        <v>45534.33489611111</v>
      </c>
      <c r="B1576" s="5" t="s">
        <v>19</v>
      </c>
      <c r="C1576" s="5" t="s">
        <v>3471</v>
      </c>
      <c r="E1576" s="5" t="s">
        <v>12631</v>
      </c>
      <c r="F1576" s="5" t="s">
        <v>22</v>
      </c>
      <c r="G1576" s="5" t="s">
        <v>12632</v>
      </c>
      <c r="H1576" s="6" t="s">
        <v>12633</v>
      </c>
      <c r="K1576" s="5" t="s">
        <v>12612</v>
      </c>
      <c r="M1576" s="5" t="s">
        <v>12634</v>
      </c>
      <c r="N1576" s="7" t="s">
        <v>12635</v>
      </c>
      <c r="O1576" s="8" t="str">
        <f>HYPERLINK("https://drive.google.com/file/d/1G7O1owto-xLwHLXEnRdetziXEdADtvmq/view?usp=drivesdk","1575_RINI NOVIATI, S.E. _ SERTIFIKAT BIMTEK IPASN BerAKHLASK")</f>
        <v>1575_RINI NOVIATI, S.E. _ SERTIFIKAT BIMTEK IPASN BerAKHLASK</v>
      </c>
      <c r="P1576" s="5" t="s">
        <v>12625</v>
      </c>
      <c r="Q1576" s="5"/>
      <c r="R1576" s="5"/>
      <c r="S1576" s="5"/>
      <c r="T1576" s="5"/>
    </row>
    <row r="1577">
      <c r="A1577" s="4">
        <v>45534.3349065625</v>
      </c>
      <c r="B1577" s="5" t="s">
        <v>34</v>
      </c>
      <c r="D1577" s="5" t="s">
        <v>4775</v>
      </c>
      <c r="E1577" s="5" t="s">
        <v>12636</v>
      </c>
      <c r="F1577" s="5" t="s">
        <v>108</v>
      </c>
      <c r="G1577" s="5" t="s">
        <v>12637</v>
      </c>
      <c r="H1577" s="6" t="s">
        <v>12638</v>
      </c>
      <c r="K1577" s="5" t="s">
        <v>12612</v>
      </c>
      <c r="M1577" s="5" t="s">
        <v>12639</v>
      </c>
      <c r="N1577" s="7" t="s">
        <v>12640</v>
      </c>
      <c r="O1577" s="8" t="str">
        <f>HYPERLINK("https://drive.google.com/file/d/1B5TvDVki3Mm2tfkzeJUimZRVTrYYFIN4/view?usp=drivesdk","1576_FATKHUROHMAN, S. E.  _ SERTIFIKAT BIMTEK IPASN BerAKHLASK")</f>
        <v>1576_FATKHUROHMAN, S. E.  _ SERTIFIKAT BIMTEK IPASN BerAKHLASK</v>
      </c>
      <c r="P1577" s="5" t="s">
        <v>12625</v>
      </c>
      <c r="Q1577" s="5"/>
      <c r="R1577" s="5"/>
      <c r="S1577" s="5"/>
      <c r="T1577" s="5"/>
    </row>
    <row r="1578">
      <c r="A1578" s="4">
        <v>45534.334906909724</v>
      </c>
      <c r="B1578" s="5" t="s">
        <v>34</v>
      </c>
      <c r="D1578" s="5" t="s">
        <v>1206</v>
      </c>
      <c r="E1578" s="5" t="s">
        <v>12641</v>
      </c>
      <c r="F1578" s="5" t="s">
        <v>212</v>
      </c>
      <c r="G1578" s="5" t="s">
        <v>12642</v>
      </c>
      <c r="H1578" s="6" t="s">
        <v>12643</v>
      </c>
      <c r="K1578" s="5" t="s">
        <v>12612</v>
      </c>
      <c r="M1578" s="5" t="s">
        <v>12644</v>
      </c>
      <c r="N1578" s="7" t="s">
        <v>12645</v>
      </c>
      <c r="O1578" s="8" t="str">
        <f>HYPERLINK("https://drive.google.com/file/d/1cSxmVSowdQud5_LpyfcPJQTPVfZNzBkU/view?usp=drivesdk","1577_GRETI NIRMANINDJATI _ SERTIFIKAT BIMTEK IPASN BerAKHLASK")</f>
        <v>1577_GRETI NIRMANINDJATI _ SERTIFIKAT BIMTEK IPASN BerAKHLASK</v>
      </c>
      <c r="P1578" s="5" t="s">
        <v>12625</v>
      </c>
      <c r="Q1578" s="5"/>
      <c r="R1578" s="5"/>
      <c r="S1578" s="5"/>
      <c r="T1578" s="5"/>
    </row>
    <row r="1579">
      <c r="A1579" s="4">
        <v>45534.334920497684</v>
      </c>
      <c r="B1579" s="5" t="s">
        <v>34</v>
      </c>
      <c r="D1579" s="5" t="s">
        <v>6232</v>
      </c>
      <c r="E1579" s="5" t="s">
        <v>12646</v>
      </c>
      <c r="F1579" s="5" t="s">
        <v>328</v>
      </c>
      <c r="G1579" s="5" t="s">
        <v>12647</v>
      </c>
      <c r="H1579" s="6" t="s">
        <v>12648</v>
      </c>
      <c r="K1579" s="5" t="s">
        <v>12612</v>
      </c>
      <c r="M1579" s="5" t="s">
        <v>12649</v>
      </c>
      <c r="N1579" s="7" t="s">
        <v>12650</v>
      </c>
      <c r="O1579" s="8" t="str">
        <f>HYPERLINK("https://drive.google.com/file/d/1GRP5zAc1pm3itISYr3-8-QKD6pomRMM6/view?usp=drivesdk","1578_AZRA WINANDA PUTRA, S.Kom. _ SERTIFIKAT BIMTEK IPASN BerAKHLASK")</f>
        <v>1578_AZRA WINANDA PUTRA, S.Kom. _ SERTIFIKAT BIMTEK IPASN BerAKHLASK</v>
      </c>
      <c r="P1579" s="5" t="s">
        <v>12625</v>
      </c>
      <c r="Q1579" s="5"/>
      <c r="R1579" s="5"/>
      <c r="S1579" s="5"/>
      <c r="T1579" s="5"/>
    </row>
    <row r="1580">
      <c r="A1580" s="4">
        <v>45534.33493362268</v>
      </c>
      <c r="B1580" s="5" t="s">
        <v>34</v>
      </c>
      <c r="D1580" s="5" t="s">
        <v>1206</v>
      </c>
      <c r="E1580" s="5" t="s">
        <v>12651</v>
      </c>
      <c r="F1580" s="5" t="s">
        <v>212</v>
      </c>
      <c r="G1580" s="5" t="s">
        <v>12652</v>
      </c>
      <c r="H1580" s="6" t="s">
        <v>12653</v>
      </c>
      <c r="K1580" s="5" t="s">
        <v>12654</v>
      </c>
      <c r="M1580" s="5" t="s">
        <v>12655</v>
      </c>
      <c r="N1580" s="7" t="s">
        <v>12656</v>
      </c>
      <c r="O1580" s="8" t="str">
        <f>HYPERLINK("https://drive.google.com/file/d/1Luwi5Mvdsnac4PIHdbsCBwMSJ3Nt93H_/view?usp=drivesdk","1579_TOFAN SETIAWAN _ SERTIFIKAT BIMTEK IPASN BerAKHLASK")</f>
        <v>1579_TOFAN SETIAWAN _ SERTIFIKAT BIMTEK IPASN BerAKHLASK</v>
      </c>
      <c r="P1580" s="5" t="s">
        <v>12657</v>
      </c>
      <c r="Q1580" s="5"/>
      <c r="R1580" s="5"/>
      <c r="S1580" s="5"/>
      <c r="T1580" s="5"/>
    </row>
    <row r="1581">
      <c r="A1581" s="4">
        <v>45534.334934513885</v>
      </c>
      <c r="B1581" s="5" t="s">
        <v>34</v>
      </c>
      <c r="D1581" s="5" t="s">
        <v>6232</v>
      </c>
      <c r="E1581" s="5" t="s">
        <v>12658</v>
      </c>
      <c r="F1581" s="5" t="s">
        <v>524</v>
      </c>
      <c r="G1581" s="5" t="s">
        <v>12659</v>
      </c>
      <c r="H1581" s="6" t="s">
        <v>12660</v>
      </c>
      <c r="K1581" s="5" t="s">
        <v>12654</v>
      </c>
      <c r="M1581" s="5" t="s">
        <v>12661</v>
      </c>
      <c r="N1581" s="7" t="s">
        <v>12662</v>
      </c>
      <c r="O1581" s="8" t="str">
        <f>HYPERLINK("https://drive.google.com/file/d/1pHCF44fujfusQ7ABfx8IU62bn_ZfK3cH/view?usp=drivesdk","1580_NOVITA ROSE MARISI PARDEDE _ SERTIFIKAT BIMTEK IPASN BerAKHLASK")</f>
        <v>1580_NOVITA ROSE MARISI PARDEDE _ SERTIFIKAT BIMTEK IPASN BerAKHLASK</v>
      </c>
      <c r="P1581" s="5" t="s">
        <v>12657</v>
      </c>
      <c r="Q1581" s="5"/>
      <c r="R1581" s="5"/>
      <c r="S1581" s="5"/>
      <c r="T1581" s="5"/>
    </row>
    <row r="1582">
      <c r="A1582" s="4">
        <v>45534.33494927084</v>
      </c>
      <c r="B1582" s="5" t="s">
        <v>34</v>
      </c>
      <c r="D1582" s="5" t="s">
        <v>6232</v>
      </c>
      <c r="E1582" s="5" t="s">
        <v>12663</v>
      </c>
      <c r="F1582" s="5" t="s">
        <v>212</v>
      </c>
      <c r="G1582" s="5" t="s">
        <v>12664</v>
      </c>
      <c r="H1582" s="6" t="s">
        <v>12665</v>
      </c>
      <c r="K1582" s="5" t="s">
        <v>12666</v>
      </c>
      <c r="M1582" s="5" t="s">
        <v>12667</v>
      </c>
      <c r="N1582" s="7" t="s">
        <v>12668</v>
      </c>
      <c r="O1582" s="8" t="str">
        <f>HYPERLINK("https://drive.google.com/file/d/1FeXGasPAD3ifwVqTTAZqwRWt9q5X_rYb/view?usp=drivesdk","1581_RULLY SAPUTRA, A.Md.Kep. _ SERTIFIKAT BIMTEK IPASN BerAKHLASK")</f>
        <v>1581_RULLY SAPUTRA, A.Md.Kep. _ SERTIFIKAT BIMTEK IPASN BerAKHLASK</v>
      </c>
      <c r="P1582" s="5" t="s">
        <v>12657</v>
      </c>
      <c r="Q1582" s="5"/>
      <c r="R1582" s="5"/>
      <c r="S1582" s="5"/>
      <c r="T1582" s="5"/>
    </row>
    <row r="1583">
      <c r="A1583" s="4">
        <v>45534.33495005787</v>
      </c>
      <c r="B1583" s="5" t="s">
        <v>34</v>
      </c>
      <c r="D1583" s="5" t="s">
        <v>4775</v>
      </c>
      <c r="E1583" s="5" t="s">
        <v>12669</v>
      </c>
      <c r="F1583" s="5" t="s">
        <v>212</v>
      </c>
      <c r="G1583" s="5" t="s">
        <v>12670</v>
      </c>
      <c r="H1583" s="6" t="s">
        <v>12671</v>
      </c>
      <c r="K1583" s="5" t="s">
        <v>12666</v>
      </c>
      <c r="M1583" s="5" t="s">
        <v>12672</v>
      </c>
      <c r="N1583" s="7" t="s">
        <v>12673</v>
      </c>
      <c r="O1583" s="8" t="str">
        <f>HYPERLINK("https://drive.google.com/file/d/1KU1yBliJpZwStGzP1kV18BkaBvsVkrDr/view?usp=drivesdk","1582_NUNUNG MARTANTI _ SERTIFIKAT BIMTEK IPASN BerAKHLASK")</f>
        <v>1582_NUNUNG MARTANTI _ SERTIFIKAT BIMTEK IPASN BerAKHLASK</v>
      </c>
      <c r="P1583" s="5" t="s">
        <v>12657</v>
      </c>
      <c r="Q1583" s="5"/>
      <c r="R1583" s="5"/>
      <c r="S1583" s="5"/>
      <c r="T1583" s="5"/>
    </row>
    <row r="1584">
      <c r="A1584" s="4">
        <v>45534.334951377314</v>
      </c>
      <c r="B1584" s="5" t="s">
        <v>34</v>
      </c>
      <c r="D1584" s="5" t="s">
        <v>4775</v>
      </c>
      <c r="E1584" s="5" t="s">
        <v>12674</v>
      </c>
      <c r="F1584" s="5" t="s">
        <v>375</v>
      </c>
      <c r="G1584" s="5" t="s">
        <v>12675</v>
      </c>
      <c r="H1584" s="6" t="s">
        <v>12676</v>
      </c>
      <c r="K1584" s="5" t="s">
        <v>12666</v>
      </c>
      <c r="M1584" s="5" t="s">
        <v>12677</v>
      </c>
      <c r="N1584" s="7" t="s">
        <v>12678</v>
      </c>
      <c r="O1584" s="8" t="str">
        <f>HYPERLINK("https://drive.google.com/file/d/1BSpQoD7QGIrCDt49HlsPVDZf0mS9t2fp/view?usp=drivesdk","1583_GALIH AFRIANTO, S.E.  _ SERTIFIKAT BIMTEK IPASN BerAKHLASK")</f>
        <v>1583_GALIH AFRIANTO, S.E.  _ SERTIFIKAT BIMTEK IPASN BerAKHLASK</v>
      </c>
      <c r="P1584" s="5" t="s">
        <v>12657</v>
      </c>
      <c r="Q1584" s="5"/>
      <c r="R1584" s="5"/>
      <c r="S1584" s="5"/>
      <c r="T1584" s="5"/>
    </row>
    <row r="1585">
      <c r="A1585" s="4">
        <v>45534.33497494213</v>
      </c>
      <c r="B1585" s="5" t="s">
        <v>34</v>
      </c>
      <c r="D1585" s="5" t="s">
        <v>1768</v>
      </c>
      <c r="E1585" s="5" t="s">
        <v>12679</v>
      </c>
      <c r="F1585" s="5" t="s">
        <v>212</v>
      </c>
      <c r="G1585" s="5" t="s">
        <v>12680</v>
      </c>
      <c r="H1585" s="6" t="s">
        <v>12681</v>
      </c>
      <c r="K1585" s="5" t="s">
        <v>12682</v>
      </c>
      <c r="M1585" s="5" t="s">
        <v>12683</v>
      </c>
      <c r="N1585" s="7" t="s">
        <v>12684</v>
      </c>
      <c r="O1585" s="8" t="str">
        <f>HYPERLINK("https://drive.google.com/file/d/1ZOtcTGRzhzD6yv4c7D50bM7S5i8PREUp/view?usp=drivesdk","1584_JOKO PURWANTO _ SERTIFIKAT BIMTEK IPASN BerAKHLASK")</f>
        <v>1584_JOKO PURWANTO _ SERTIFIKAT BIMTEK IPASN BerAKHLASK</v>
      </c>
      <c r="P1585" s="5" t="s">
        <v>12657</v>
      </c>
      <c r="Q1585" s="5"/>
      <c r="R1585" s="5"/>
      <c r="S1585" s="5"/>
      <c r="T1585" s="5"/>
    </row>
    <row r="1586">
      <c r="A1586" s="4">
        <v>45534.334975983795</v>
      </c>
      <c r="B1586" s="5" t="s">
        <v>34</v>
      </c>
      <c r="D1586" s="5" t="s">
        <v>4775</v>
      </c>
      <c r="E1586" s="5" t="s">
        <v>12685</v>
      </c>
      <c r="F1586" s="5" t="s">
        <v>212</v>
      </c>
      <c r="G1586" s="5" t="s">
        <v>12686</v>
      </c>
      <c r="H1586" s="6" t="s">
        <v>12687</v>
      </c>
      <c r="K1586" s="5" t="s">
        <v>12682</v>
      </c>
      <c r="M1586" s="5" t="s">
        <v>12688</v>
      </c>
      <c r="N1586" s="7" t="s">
        <v>12689</v>
      </c>
      <c r="O1586" s="8" t="str">
        <f>HYPERLINK("https://drive.google.com/file/d/1GQxKxOecjZ08ouZVNlv4i5sj3xXFF620/view?usp=drivesdk","1585_SUGIYONO SI DOKKES _ SERTIFIKAT BIMTEK IPASN BerAKHLASK")</f>
        <v>1585_SUGIYONO SI DOKKES _ SERTIFIKAT BIMTEK IPASN BerAKHLASK</v>
      </c>
      <c r="P1586" s="5" t="s">
        <v>12690</v>
      </c>
      <c r="Q1586" s="5"/>
      <c r="R1586" s="5"/>
      <c r="S1586" s="5"/>
      <c r="T1586" s="5"/>
    </row>
    <row r="1587">
      <c r="A1587" s="4">
        <v>45534.33498476852</v>
      </c>
      <c r="B1587" s="5" t="s">
        <v>34</v>
      </c>
      <c r="D1587" s="5" t="s">
        <v>1206</v>
      </c>
      <c r="E1587" s="5" t="s">
        <v>12691</v>
      </c>
      <c r="F1587" s="5" t="s">
        <v>212</v>
      </c>
      <c r="G1587" s="5" t="s">
        <v>12692</v>
      </c>
      <c r="H1587" s="6" t="s">
        <v>12693</v>
      </c>
      <c r="K1587" s="5" t="s">
        <v>12682</v>
      </c>
      <c r="M1587" s="5" t="s">
        <v>12694</v>
      </c>
      <c r="N1587" s="7" t="s">
        <v>12695</v>
      </c>
      <c r="O1587" s="8" t="str">
        <f>HYPERLINK("https://drive.google.com/file/d/1spUWK5qgvTWDZD1euUWeXdHzSaRv4MD1/view?usp=drivesdk","1586_PENGATUR I SUMARSONO _ SERTIFIKAT BIMTEK IPASN BerAKHLASK")</f>
        <v>1586_PENGATUR I SUMARSONO _ SERTIFIKAT BIMTEK IPASN BerAKHLASK</v>
      </c>
      <c r="P1587" s="5" t="s">
        <v>12690</v>
      </c>
      <c r="Q1587" s="5"/>
      <c r="R1587" s="5"/>
      <c r="S1587" s="5"/>
      <c r="T1587" s="5"/>
    </row>
    <row r="1588">
      <c r="A1588" s="4">
        <v>45534.33498940972</v>
      </c>
      <c r="B1588" s="5" t="s">
        <v>34</v>
      </c>
      <c r="D1588" s="5" t="s">
        <v>35</v>
      </c>
      <c r="E1588" s="5" t="s">
        <v>12696</v>
      </c>
      <c r="F1588" s="5" t="s">
        <v>375</v>
      </c>
      <c r="G1588" s="5" t="s">
        <v>12697</v>
      </c>
      <c r="H1588" s="6" t="s">
        <v>12698</v>
      </c>
      <c r="K1588" s="5" t="s">
        <v>12699</v>
      </c>
      <c r="M1588" s="5" t="s">
        <v>12700</v>
      </c>
      <c r="N1588" s="7" t="s">
        <v>12701</v>
      </c>
      <c r="O1588" s="8" t="str">
        <f>HYPERLINK("https://drive.google.com/file/d/1FwTyPs7kmnwbLSktcqSA1My5eXY1dlAR/view?usp=drivesdk","1587_DRA. YANI DEWI YANI _ SERTIFIKAT BIMTEK IPASN BerAKHLASK")</f>
        <v>1587_DRA. YANI DEWI YANI _ SERTIFIKAT BIMTEK IPASN BerAKHLASK</v>
      </c>
      <c r="P1588" s="5" t="s">
        <v>12690</v>
      </c>
      <c r="Q1588" s="5"/>
      <c r="R1588" s="5"/>
      <c r="S1588" s="5"/>
      <c r="T1588" s="5"/>
    </row>
    <row r="1589">
      <c r="A1589" s="4">
        <v>45534.334996273144</v>
      </c>
      <c r="B1589" s="5" t="s">
        <v>34</v>
      </c>
      <c r="D1589" s="5" t="s">
        <v>9020</v>
      </c>
      <c r="E1589" s="5" t="s">
        <v>12702</v>
      </c>
      <c r="F1589" s="5" t="s">
        <v>72</v>
      </c>
      <c r="G1589" s="5" t="s">
        <v>12703</v>
      </c>
      <c r="H1589" s="6" t="s">
        <v>12704</v>
      </c>
      <c r="K1589" s="5" t="s">
        <v>12699</v>
      </c>
      <c r="M1589" s="5" t="s">
        <v>12705</v>
      </c>
      <c r="N1589" s="7" t="s">
        <v>12706</v>
      </c>
      <c r="O1589" s="8" t="str">
        <f>HYPERLINK("https://drive.google.com/file/d/1WECNkNWQeJGxHz41SzUTAt5DLEByCtL1/view?usp=drivesdk","1588_FLORIDA SIMANGUNSONG _ SERTIFIKAT BIMTEK IPASN BerAKHLASK")</f>
        <v>1588_FLORIDA SIMANGUNSONG _ SERTIFIKAT BIMTEK IPASN BerAKHLASK</v>
      </c>
      <c r="P1589" s="5" t="s">
        <v>12690</v>
      </c>
      <c r="Q1589" s="5"/>
      <c r="R1589" s="5"/>
      <c r="S1589" s="5"/>
      <c r="T1589" s="5"/>
    </row>
    <row r="1590">
      <c r="A1590" s="4">
        <v>45534.33500184028</v>
      </c>
      <c r="B1590" s="5" t="s">
        <v>34</v>
      </c>
      <c r="D1590" s="5" t="s">
        <v>2903</v>
      </c>
      <c r="E1590" s="5" t="s">
        <v>12707</v>
      </c>
      <c r="F1590" s="5" t="s">
        <v>524</v>
      </c>
      <c r="G1590" s="5" t="s">
        <v>12708</v>
      </c>
      <c r="H1590" s="6" t="s">
        <v>12709</v>
      </c>
      <c r="K1590" s="5" t="s">
        <v>12699</v>
      </c>
      <c r="M1590" s="5" t="s">
        <v>12710</v>
      </c>
      <c r="N1590" s="7" t="s">
        <v>12711</v>
      </c>
      <c r="O1590" s="8" t="str">
        <f>HYPERLINK("https://drive.google.com/file/d/1d7o85zBacS9Z1JXzk8NT22HOVDtGdOz3/view?usp=drivesdk","1589_IIS PUSPASARI, S.Kep _ SERTIFIKAT BIMTEK IPASN BerAKHLASK")</f>
        <v>1589_IIS PUSPASARI, S.Kep _ SERTIFIKAT BIMTEK IPASN BerAKHLASK</v>
      </c>
      <c r="P1590" s="5" t="s">
        <v>12690</v>
      </c>
      <c r="Q1590" s="5"/>
      <c r="R1590" s="5"/>
      <c r="S1590" s="5"/>
      <c r="T1590" s="5"/>
    </row>
    <row r="1591" hidden="1">
      <c r="A1591" s="4">
        <v>45534.335013020835</v>
      </c>
      <c r="B1591" s="5" t="s">
        <v>19</v>
      </c>
      <c r="C1591" s="5" t="s">
        <v>20</v>
      </c>
      <c r="E1591" s="5" t="s">
        <v>12712</v>
      </c>
      <c r="F1591" s="5" t="s">
        <v>375</v>
      </c>
      <c r="G1591" s="5" t="s">
        <v>12713</v>
      </c>
      <c r="H1591" s="6" t="s">
        <v>12714</v>
      </c>
      <c r="K1591" s="5" t="s">
        <v>12699</v>
      </c>
      <c r="M1591" s="5" t="s">
        <v>12715</v>
      </c>
      <c r="N1591" s="7" t="s">
        <v>12716</v>
      </c>
      <c r="O1591" s="8" t="str">
        <f>HYPERLINK("https://drive.google.com/file/d/1lSwdQjVjEmGHjfeP5ZHYZHxsKYU10vMz/view?usp=drivesdk","1590_PENATA TK I HASTUTI, S.SOS _ SERTIFIKAT BIMTEK IPASN BerAKHLASK")</f>
        <v>1590_PENATA TK I HASTUTI, S.SOS _ SERTIFIKAT BIMTEK IPASN BerAKHLASK</v>
      </c>
      <c r="P1591" s="5" t="s">
        <v>12690</v>
      </c>
      <c r="Q1591" s="5"/>
      <c r="R1591" s="5"/>
      <c r="S1591" s="5"/>
      <c r="T1591" s="5"/>
    </row>
    <row r="1592" hidden="1">
      <c r="A1592" s="4">
        <v>45534.33502454861</v>
      </c>
      <c r="B1592" s="5" t="s">
        <v>19</v>
      </c>
      <c r="C1592" s="5" t="s">
        <v>292</v>
      </c>
      <c r="E1592" s="5" t="s">
        <v>12717</v>
      </c>
      <c r="F1592" s="5" t="s">
        <v>72</v>
      </c>
      <c r="G1592" s="5" t="s">
        <v>12718</v>
      </c>
      <c r="H1592" s="6" t="s">
        <v>12719</v>
      </c>
      <c r="K1592" s="5" t="s">
        <v>12699</v>
      </c>
      <c r="M1592" s="5" t="s">
        <v>12720</v>
      </c>
      <c r="N1592" s="7" t="s">
        <v>12721</v>
      </c>
      <c r="O1592" s="8" t="str">
        <f>HYPERLINK("https://drive.google.com/file/d/1qJTS1e0LYxhm-4SDm20hkNlRyN_-u4bi/view?usp=drivesdk","1591_SRI PANGESTUTI _ SERTIFIKAT BIMTEK IPASN BerAKHLASK")</f>
        <v>1591_SRI PANGESTUTI _ SERTIFIKAT BIMTEK IPASN BerAKHLASK</v>
      </c>
      <c r="P1592" s="5" t="s">
        <v>12722</v>
      </c>
      <c r="Q1592" s="5"/>
      <c r="R1592" s="5"/>
      <c r="S1592" s="5"/>
      <c r="T1592" s="5"/>
    </row>
    <row r="1593" hidden="1">
      <c r="A1593" s="4">
        <v>45534.33503615741</v>
      </c>
      <c r="B1593" s="5" t="s">
        <v>19</v>
      </c>
      <c r="C1593" s="5" t="s">
        <v>292</v>
      </c>
      <c r="E1593" s="5" t="s">
        <v>12723</v>
      </c>
      <c r="F1593" s="5" t="s">
        <v>120</v>
      </c>
      <c r="G1593" s="5" t="s">
        <v>12724</v>
      </c>
      <c r="H1593" s="6" t="s">
        <v>12725</v>
      </c>
      <c r="K1593" s="5" t="s">
        <v>12699</v>
      </c>
      <c r="M1593" s="5" t="s">
        <v>12726</v>
      </c>
      <c r="N1593" s="7" t="s">
        <v>12727</v>
      </c>
      <c r="O1593" s="8" t="str">
        <f>HYPERLINK("https://drive.google.com/file/d/14Mw52qnGaSJ7_NoepEhrLOjYssPoxayj/view?usp=drivesdk","1592_DR. EMMA AGESTINA _ SERTIFIKAT BIMTEK IPASN BerAKHLASK")</f>
        <v>1592_DR. EMMA AGESTINA _ SERTIFIKAT BIMTEK IPASN BerAKHLASK</v>
      </c>
      <c r="P1593" s="5" t="s">
        <v>12722</v>
      </c>
      <c r="Q1593" s="5"/>
      <c r="R1593" s="5"/>
      <c r="S1593" s="5"/>
      <c r="T1593" s="5"/>
    </row>
    <row r="1594">
      <c r="A1594" s="4">
        <v>45534.33503761574</v>
      </c>
      <c r="B1594" s="5" t="s">
        <v>34</v>
      </c>
      <c r="D1594" s="5" t="s">
        <v>580</v>
      </c>
      <c r="E1594" s="5" t="s">
        <v>12728</v>
      </c>
      <c r="F1594" s="5" t="s">
        <v>375</v>
      </c>
      <c r="G1594" s="5" t="s">
        <v>12729</v>
      </c>
      <c r="H1594" s="6" t="s">
        <v>12730</v>
      </c>
      <c r="K1594" s="5" t="s">
        <v>12699</v>
      </c>
      <c r="M1594" s="5" t="s">
        <v>12731</v>
      </c>
      <c r="N1594" s="7" t="s">
        <v>12732</v>
      </c>
      <c r="O1594" s="8" t="str">
        <f>HYPERLINK("https://drive.google.com/file/d/1v_CkrYOjOvtB2_7e9kPIJ8Ivc3T6VS53/view?usp=drivesdk","1593_GUSTI AYU MADE RATNI,S.Pd.H _ SERTIFIKAT BIMTEK IPASN BerAKHLASK")</f>
        <v>1593_GUSTI AYU MADE RATNI,S.Pd.H _ SERTIFIKAT BIMTEK IPASN BerAKHLASK</v>
      </c>
      <c r="P1594" s="5" t="s">
        <v>12722</v>
      </c>
      <c r="Q1594" s="5"/>
      <c r="R1594" s="5"/>
      <c r="S1594" s="5"/>
      <c r="T1594" s="5"/>
    </row>
    <row r="1595" hidden="1">
      <c r="A1595" s="4">
        <v>45534.33504590278</v>
      </c>
      <c r="B1595" s="5" t="s">
        <v>19</v>
      </c>
      <c r="C1595" s="5" t="s">
        <v>3301</v>
      </c>
      <c r="E1595" s="5" t="s">
        <v>12733</v>
      </c>
      <c r="F1595" s="5" t="s">
        <v>375</v>
      </c>
      <c r="G1595" s="5" t="s">
        <v>12734</v>
      </c>
      <c r="H1595" s="6" t="s">
        <v>12735</v>
      </c>
      <c r="K1595" s="5" t="s">
        <v>12699</v>
      </c>
      <c r="M1595" s="5" t="s">
        <v>12736</v>
      </c>
      <c r="N1595" s="7" t="s">
        <v>12737</v>
      </c>
      <c r="O1595" s="8" t="str">
        <f>HYPERLINK("https://drive.google.com/file/d/1RQGvbYGpyYh-SmC5UO9ju4vlIarKvHcc/view?usp=drivesdk","1594_ERNANI YUNINGSIH A.Md Kep _ SERTIFIKAT BIMTEK IPASN BerAKHLASK")</f>
        <v>1594_ERNANI YUNINGSIH A.Md Kep _ SERTIFIKAT BIMTEK IPASN BerAKHLASK</v>
      </c>
      <c r="P1595" s="5" t="s">
        <v>12722</v>
      </c>
      <c r="Q1595" s="5"/>
      <c r="R1595" s="5"/>
      <c r="S1595" s="5"/>
      <c r="T1595" s="5"/>
    </row>
    <row r="1596">
      <c r="A1596" s="4">
        <v>45534.335065266205</v>
      </c>
      <c r="B1596" s="5" t="s">
        <v>34</v>
      </c>
      <c r="D1596" s="5" t="s">
        <v>522</v>
      </c>
      <c r="E1596" s="5" t="s">
        <v>12738</v>
      </c>
      <c r="F1596" s="5" t="s">
        <v>108</v>
      </c>
      <c r="G1596" s="5" t="s">
        <v>12739</v>
      </c>
      <c r="H1596" s="6" t="s">
        <v>12740</v>
      </c>
      <c r="K1596" s="5" t="s">
        <v>12699</v>
      </c>
      <c r="M1596" s="5" t="s">
        <v>12741</v>
      </c>
      <c r="N1596" s="7" t="s">
        <v>12742</v>
      </c>
      <c r="O1596" s="8" t="str">
        <f>HYPERLINK("https://drive.google.com/file/d/1x4g1Sy_BaIborISFgZ3VIsD1dHbplBhA/view?usp=drivesdk","1595_YUDI HIDAYAT A.Md _ SERTIFIKAT BIMTEK IPASN BerAKHLASK")</f>
        <v>1595_YUDI HIDAYAT A.Md _ SERTIFIKAT BIMTEK IPASN BerAKHLASK</v>
      </c>
      <c r="P1596" s="5" t="s">
        <v>12722</v>
      </c>
      <c r="Q1596" s="5"/>
      <c r="R1596" s="5"/>
      <c r="S1596" s="5"/>
      <c r="T1596" s="5"/>
    </row>
    <row r="1597">
      <c r="A1597" s="4">
        <v>45534.33506730324</v>
      </c>
      <c r="B1597" s="5" t="s">
        <v>34</v>
      </c>
      <c r="D1597" s="5" t="s">
        <v>4775</v>
      </c>
      <c r="E1597" s="5" t="s">
        <v>12743</v>
      </c>
      <c r="F1597" s="5" t="s">
        <v>72</v>
      </c>
      <c r="G1597" s="5" t="s">
        <v>12744</v>
      </c>
      <c r="H1597" s="6" t="s">
        <v>12745</v>
      </c>
      <c r="K1597" s="5" t="s">
        <v>12699</v>
      </c>
      <c r="M1597" s="5" t="s">
        <v>12746</v>
      </c>
      <c r="N1597" s="7" t="s">
        <v>12747</v>
      </c>
      <c r="O1597" s="8" t="str">
        <f>HYPERLINK("https://drive.google.com/file/d/1k0L3Tyd40ClGQFlArxZRc2xNN_qOy1nU/view?usp=drivesdk","1596_SUNY FAHREZA, S.E. _ SERTIFIKAT BIMTEK IPASN BerAKHLASK")</f>
        <v>1596_SUNY FAHREZA, S.E. _ SERTIFIKAT BIMTEK IPASN BerAKHLASK</v>
      </c>
      <c r="P1597" s="5" t="s">
        <v>12748</v>
      </c>
      <c r="Q1597" s="5"/>
      <c r="R1597" s="5"/>
      <c r="S1597" s="5"/>
      <c r="T1597" s="5"/>
    </row>
    <row r="1598">
      <c r="A1598" s="4">
        <v>45534.33507552084</v>
      </c>
      <c r="B1598" s="5" t="s">
        <v>34</v>
      </c>
      <c r="D1598" s="5" t="s">
        <v>9020</v>
      </c>
      <c r="E1598" s="5" t="s">
        <v>12749</v>
      </c>
      <c r="F1598" s="5" t="s">
        <v>108</v>
      </c>
      <c r="G1598" s="5" t="s">
        <v>12750</v>
      </c>
      <c r="H1598" s="6" t="s">
        <v>12751</v>
      </c>
      <c r="K1598" s="5" t="s">
        <v>12699</v>
      </c>
      <c r="M1598" s="5" t="s">
        <v>12752</v>
      </c>
      <c r="N1598" s="7" t="s">
        <v>12753</v>
      </c>
      <c r="O1598" s="8" t="str">
        <f>HYPERLINK("https://drive.google.com/file/d/1qY_6mRv4hHuKJpT9vBwCdTw-oyQrZ0t8/view?usp=drivesdk","1597_HARIS MULYADI SIHOMBING, S.Sos, ST, M. Si _ SERTIFIKAT BIMTEK IPASN BerAKHLASK")</f>
        <v>1597_HARIS MULYADI SIHOMBING, S.Sos, ST, M. Si _ SERTIFIKAT BIMTEK IPASN BerAKHLASK</v>
      </c>
      <c r="P1598" s="5" t="s">
        <v>12748</v>
      </c>
      <c r="Q1598" s="5"/>
      <c r="R1598" s="5"/>
      <c r="S1598" s="5"/>
      <c r="T1598" s="5"/>
    </row>
    <row r="1599">
      <c r="A1599" s="4">
        <v>45534.33507480324</v>
      </c>
      <c r="B1599" s="5" t="s">
        <v>34</v>
      </c>
      <c r="D1599" s="5" t="s">
        <v>4775</v>
      </c>
      <c r="E1599" s="5" t="s">
        <v>12754</v>
      </c>
      <c r="F1599" s="5" t="s">
        <v>37</v>
      </c>
      <c r="G1599" s="5" t="s">
        <v>12755</v>
      </c>
      <c r="H1599" s="6" t="s">
        <v>12756</v>
      </c>
      <c r="K1599" s="5" t="s">
        <v>12699</v>
      </c>
      <c r="M1599" s="5" t="s">
        <v>12757</v>
      </c>
      <c r="N1599" s="7" t="s">
        <v>12758</v>
      </c>
      <c r="O1599" s="8" t="str">
        <f>HYPERLINK("https://drive.google.com/file/d/1fdOMpXhCet738GfB47vyvd12PRTYUJHF/view?usp=drivesdk","1598_WULANDARI PUSPASARI, SH _ SERTIFIKAT BIMTEK IPASN BerAKHLASK")</f>
        <v>1598_WULANDARI PUSPASARI, SH _ SERTIFIKAT BIMTEK IPASN BerAKHLASK</v>
      </c>
      <c r="P1599" s="5" t="s">
        <v>12748</v>
      </c>
      <c r="Q1599" s="5"/>
      <c r="R1599" s="5"/>
      <c r="S1599" s="5"/>
      <c r="T1599" s="5"/>
    </row>
    <row r="1600">
      <c r="A1600" s="4">
        <v>45534.33508239583</v>
      </c>
      <c r="B1600" s="5" t="s">
        <v>34</v>
      </c>
      <c r="D1600" s="5" t="s">
        <v>35</v>
      </c>
      <c r="E1600" s="5" t="s">
        <v>12759</v>
      </c>
      <c r="F1600" s="5" t="s">
        <v>72</v>
      </c>
      <c r="G1600" s="5" t="s">
        <v>12760</v>
      </c>
      <c r="H1600" s="6" t="s">
        <v>12761</v>
      </c>
      <c r="K1600" s="5" t="s">
        <v>12699</v>
      </c>
      <c r="M1600" s="5" t="s">
        <v>12762</v>
      </c>
      <c r="N1600" s="7" t="s">
        <v>12763</v>
      </c>
      <c r="O1600" s="8" t="str">
        <f>HYPERLINK("https://drive.google.com/file/d/1p8QyNDt8-ii-xVzoLuUtJ6QoQqaVb2qT/view?usp=drivesdk","1599_ZENAL MUSTOPA, SPD. _ SERTIFIKAT BIMTEK IPASN BerAKHLASK")</f>
        <v>1599_ZENAL MUSTOPA, SPD. _ SERTIFIKAT BIMTEK IPASN BerAKHLASK</v>
      </c>
      <c r="P1600" s="5" t="s">
        <v>12748</v>
      </c>
      <c r="Q1600" s="5"/>
      <c r="R1600" s="5"/>
      <c r="S1600" s="5"/>
      <c r="T1600" s="5"/>
    </row>
    <row r="1601">
      <c r="A1601" s="4">
        <v>45534.33511959491</v>
      </c>
      <c r="B1601" s="5" t="s">
        <v>34</v>
      </c>
      <c r="D1601" s="5" t="s">
        <v>4775</v>
      </c>
      <c r="E1601" s="5" t="s">
        <v>12764</v>
      </c>
      <c r="F1601" s="5" t="s">
        <v>212</v>
      </c>
      <c r="G1601" s="5" t="s">
        <v>12765</v>
      </c>
      <c r="H1601" s="6" t="s">
        <v>12766</v>
      </c>
      <c r="I1601" s="7" t="s">
        <v>12767</v>
      </c>
      <c r="J1601" s="8" t="str">
        <f>HYPERLINK("https://drive.google.com/file/d/19O1-M7W3SXe9kf179CRBCdX784Cr5tyF/view?usp=drivesdk","NUNUNGIMRAATI SERTIFIKAT BerAKHLAK")</f>
        <v>NUNUNGIMRAATI SERTIFIKAT BerAKHLAK</v>
      </c>
      <c r="K1601" s="5" t="s">
        <v>12015</v>
      </c>
      <c r="L1601" s="5" t="s">
        <v>12768</v>
      </c>
      <c r="M1601" s="5" t="s">
        <v>12769</v>
      </c>
      <c r="N1601" s="7" t="s">
        <v>12770</v>
      </c>
      <c r="O1601" s="8" t="str">
        <f>HYPERLINK("https://drive.google.com/file/d/1qEkJInT9Tw6u9qHYjLTfvIIq_LxRFmVn/view?usp=drivesdk","1600_NUNUNGIMRAATI _ SERTIFIKAT BIMTEK IPASN BerAKHLASK")</f>
        <v>1600_NUNUNGIMRAATI _ SERTIFIKAT BIMTEK IPASN BerAKHLASK</v>
      </c>
      <c r="P1601" s="5" t="s">
        <v>12771</v>
      </c>
      <c r="Q1601" s="5"/>
      <c r="R1601" s="5"/>
      <c r="S1601" s="5"/>
      <c r="T1601" s="5"/>
    </row>
    <row r="1602">
      <c r="A1602" s="4">
        <v>45534.33512333334</v>
      </c>
      <c r="B1602" s="5" t="s">
        <v>34</v>
      </c>
      <c r="D1602" s="5" t="s">
        <v>1663</v>
      </c>
      <c r="E1602" s="5" t="s">
        <v>12772</v>
      </c>
      <c r="F1602" s="5" t="s">
        <v>37</v>
      </c>
      <c r="G1602" s="5" t="s">
        <v>12773</v>
      </c>
      <c r="H1602" s="6" t="s">
        <v>12774</v>
      </c>
      <c r="K1602" s="5" t="s">
        <v>12775</v>
      </c>
      <c r="M1602" s="5" t="s">
        <v>12776</v>
      </c>
      <c r="N1602" s="7" t="s">
        <v>12777</v>
      </c>
      <c r="O1602" s="8" t="str">
        <f>HYPERLINK("https://drive.google.com/file/d/1pdzsjnREfI7MsZZq7gidPqJzcOrQPg07/view?usp=drivesdk","1601_RANTO TODING ALLO, S.T. _ SERTIFIKAT BIMTEK IPASN BerAKHLASK")</f>
        <v>1601_RANTO TODING ALLO, S.T. _ SERTIFIKAT BIMTEK IPASN BerAKHLASK</v>
      </c>
      <c r="P1602" s="5" t="s">
        <v>12771</v>
      </c>
      <c r="Q1602" s="5"/>
      <c r="R1602" s="5"/>
      <c r="S1602" s="5"/>
      <c r="T1602" s="5"/>
    </row>
    <row r="1603" hidden="1">
      <c r="A1603" s="4">
        <v>45534.33513694444</v>
      </c>
      <c r="B1603" s="5" t="s">
        <v>19</v>
      </c>
      <c r="C1603" s="5" t="s">
        <v>292</v>
      </c>
      <c r="E1603" s="5" t="s">
        <v>12778</v>
      </c>
      <c r="F1603" s="5" t="s">
        <v>524</v>
      </c>
      <c r="G1603" s="5" t="s">
        <v>12779</v>
      </c>
      <c r="H1603" s="6" t="s">
        <v>12780</v>
      </c>
      <c r="K1603" s="5" t="s">
        <v>12775</v>
      </c>
      <c r="M1603" s="5" t="s">
        <v>12781</v>
      </c>
      <c r="N1603" s="7" t="s">
        <v>12782</v>
      </c>
      <c r="O1603" s="8" t="str">
        <f>HYPERLINK("https://drive.google.com/file/d/1RfltJ2vOPYVm1labEEB2gXdL4yyx6IqT/view?usp=drivesdk","1602_DEDI RUSWANDI _ SERTIFIKAT BIMTEK IPASN BerAKHLASK")</f>
        <v>1602_DEDI RUSWANDI _ SERTIFIKAT BIMTEK IPASN BerAKHLASK</v>
      </c>
      <c r="P1603" s="5" t="s">
        <v>12771</v>
      </c>
      <c r="Q1603" s="5"/>
      <c r="R1603" s="5"/>
      <c r="S1603" s="5"/>
      <c r="T1603" s="5"/>
    </row>
    <row r="1604">
      <c r="A1604" s="4">
        <v>45534.33514540509</v>
      </c>
      <c r="B1604" s="5" t="s">
        <v>34</v>
      </c>
      <c r="D1604" s="5" t="s">
        <v>1456</v>
      </c>
      <c r="E1604" s="5" t="s">
        <v>12783</v>
      </c>
      <c r="F1604" s="5" t="s">
        <v>37</v>
      </c>
      <c r="G1604" s="5" t="s">
        <v>12784</v>
      </c>
      <c r="H1604" s="6" t="s">
        <v>12785</v>
      </c>
      <c r="K1604" s="5" t="s">
        <v>12775</v>
      </c>
      <c r="M1604" s="5" t="s">
        <v>12786</v>
      </c>
      <c r="N1604" s="7" t="s">
        <v>12787</v>
      </c>
      <c r="O1604" s="8" t="str">
        <f>HYPERLINK("https://drive.google.com/file/d/1c6OuwOD1gSdcDWFm9Cf5961AkKTvA77C/view?usp=drivesdk","1603_AINUN DHIYA'A NABILLAH, AMD.KOM  _ SERTIFIKAT BIMTEK IPASN BerAKHLASK")</f>
        <v>1603_AINUN DHIYA'A NABILLAH, AMD.KOM  _ SERTIFIKAT BIMTEK IPASN BerAKHLASK</v>
      </c>
      <c r="P1604" s="5" t="s">
        <v>12771</v>
      </c>
      <c r="Q1604" s="5"/>
      <c r="R1604" s="5"/>
      <c r="S1604" s="5"/>
      <c r="T1604" s="5"/>
    </row>
    <row r="1605">
      <c r="A1605" s="4">
        <v>45534.33517064815</v>
      </c>
      <c r="B1605" s="5" t="s">
        <v>34</v>
      </c>
      <c r="D1605" s="5" t="s">
        <v>10444</v>
      </c>
      <c r="E1605" s="5" t="s">
        <v>12788</v>
      </c>
      <c r="F1605" s="5" t="s">
        <v>37</v>
      </c>
      <c r="G1605" s="5" t="s">
        <v>12789</v>
      </c>
      <c r="H1605" s="6" t="s">
        <v>12790</v>
      </c>
      <c r="I1605" s="7" t="s">
        <v>12791</v>
      </c>
      <c r="J1605" s="8" t="str">
        <f>HYPERLINK("https://drive.google.com/file/d/1VAPOwAjSGTReSbzODI-sUsCcYQFpj3qR/view?usp=drivesdk","NOVIANTI ASKAR SERTIFIKAT BerAKHLAK")</f>
        <v>NOVIANTI ASKAR SERTIFIKAT BerAKHLAK</v>
      </c>
      <c r="K1605" s="5" t="s">
        <v>11954</v>
      </c>
      <c r="L1605" s="5" t="s">
        <v>12792</v>
      </c>
      <c r="M1605" s="5" t="s">
        <v>12793</v>
      </c>
      <c r="N1605" s="7" t="s">
        <v>12794</v>
      </c>
      <c r="O1605" s="8" t="str">
        <f>HYPERLINK("https://drive.google.com/file/d/1iBNMWm2itAbYWzwANQZzFjGCi15hR8kK/view?usp=drivesdk","1604_NOVIANTI ASKAR _ SERTIFIKAT BIMTEK IPASN BerAKHLASK")</f>
        <v>1604_NOVIANTI ASKAR _ SERTIFIKAT BIMTEK IPASN BerAKHLASK</v>
      </c>
      <c r="P1605" s="5" t="s">
        <v>12771</v>
      </c>
      <c r="Q1605" s="5"/>
      <c r="R1605" s="5"/>
      <c r="S1605" s="5"/>
      <c r="T1605" s="5"/>
    </row>
    <row r="1606">
      <c r="A1606" s="4">
        <v>45534.335172997686</v>
      </c>
      <c r="B1606" s="5" t="s">
        <v>34</v>
      </c>
      <c r="D1606" s="5" t="s">
        <v>11527</v>
      </c>
      <c r="E1606" s="5" t="s">
        <v>12795</v>
      </c>
      <c r="F1606" s="5" t="s">
        <v>524</v>
      </c>
      <c r="G1606" s="5" t="s">
        <v>12796</v>
      </c>
      <c r="H1606" s="6" t="s">
        <v>12797</v>
      </c>
      <c r="I1606" s="7" t="s">
        <v>12798</v>
      </c>
      <c r="J1606" s="8" t="str">
        <f>HYPERLINK("https://drive.google.com/file/d/1w0Un2Pif4K8X3AwjPQQhpA1uRJox2wRr/view?usp=drivesdk","MEYDIE FERDINAND KUKUS, S.M. SERTIFIKAT BerAKHLAK")</f>
        <v>MEYDIE FERDINAND KUKUS, S.M. SERTIFIKAT BerAKHLAK</v>
      </c>
      <c r="K1606" s="5" t="s">
        <v>12015</v>
      </c>
      <c r="L1606" s="5" t="s">
        <v>12799</v>
      </c>
      <c r="M1606" s="5" t="s">
        <v>12800</v>
      </c>
      <c r="N1606" s="7" t="s">
        <v>12801</v>
      </c>
      <c r="O1606" s="8" t="str">
        <f>HYPERLINK("https://drive.google.com/file/d/1X5SO7Uv9Pinf4YxczeWcO1FjDwV0fovX/view?usp=drivesdk","1605_MEYDIE FERDINAND KUKUS, S.M. _ SERTIFIKAT BIMTEK IPASN BerAKHLASK")</f>
        <v>1605_MEYDIE FERDINAND KUKUS, S.M. _ SERTIFIKAT BIMTEK IPASN BerAKHLASK</v>
      </c>
      <c r="P1606" s="5" t="s">
        <v>12771</v>
      </c>
      <c r="Q1606" s="5"/>
      <c r="R1606" s="5"/>
      <c r="S1606" s="5"/>
      <c r="T1606" s="5"/>
    </row>
    <row r="1607">
      <c r="A1607" s="4">
        <v>45534.33517510416</v>
      </c>
      <c r="B1607" s="5" t="s">
        <v>34</v>
      </c>
      <c r="D1607" s="5" t="s">
        <v>280</v>
      </c>
      <c r="E1607" s="5" t="s">
        <v>12802</v>
      </c>
      <c r="F1607" s="5" t="s">
        <v>108</v>
      </c>
      <c r="G1607" s="5" t="s">
        <v>12803</v>
      </c>
      <c r="H1607" s="6" t="s">
        <v>12804</v>
      </c>
      <c r="I1607" s="7" t="s">
        <v>12805</v>
      </c>
      <c r="J1607" s="8" t="str">
        <f>HYPERLINK("https://drive.google.com/file/d/10Lq9F4Ac9n8RMj7iSCSglDPef6R-MkwS/view?usp=drivesdk","SITI ASMIYATI SERTIFIKAT BerAKHLAK")</f>
        <v>SITI ASMIYATI SERTIFIKAT BerAKHLAK</v>
      </c>
      <c r="K1607" s="5" t="s">
        <v>12015</v>
      </c>
      <c r="L1607" s="5" t="s">
        <v>12806</v>
      </c>
      <c r="M1607" s="5" t="s">
        <v>12807</v>
      </c>
      <c r="N1607" s="7" t="s">
        <v>12808</v>
      </c>
      <c r="O1607" s="8" t="str">
        <f>HYPERLINK("https://drive.google.com/file/d/1ZHzNZEQlOnJFBjuhgVX91dgJYqLBfOyD/view?usp=drivesdk","1606_SITI ASMIYATI _ SERTIFIKAT BIMTEK IPASN BerAKHLASK")</f>
        <v>1606_SITI ASMIYATI _ SERTIFIKAT BIMTEK IPASN BerAKHLASK</v>
      </c>
      <c r="P1607" s="5" t="s">
        <v>12771</v>
      </c>
      <c r="Q1607" s="5"/>
      <c r="R1607" s="5"/>
      <c r="S1607" s="5"/>
      <c r="T1607" s="5"/>
    </row>
    <row r="1608">
      <c r="A1608" s="4">
        <v>45534.335178587964</v>
      </c>
      <c r="B1608" s="5" t="s">
        <v>34</v>
      </c>
      <c r="D1608" s="5" t="s">
        <v>4775</v>
      </c>
      <c r="E1608" s="5" t="s">
        <v>12809</v>
      </c>
      <c r="F1608" s="5" t="s">
        <v>72</v>
      </c>
      <c r="G1608" s="5" t="s">
        <v>12810</v>
      </c>
      <c r="H1608" s="6" t="s">
        <v>12811</v>
      </c>
      <c r="I1608" s="7" t="s">
        <v>12812</v>
      </c>
      <c r="J1608" s="8" t="str">
        <f>HYPERLINK("https://drive.google.com/file/d/1c1jagKKUqicGeN1b3gtCXFlf3YJwJrYD/view?usp=drivesdk","IRAWAN SULISTYO SERTIFIKAT BerAKHLAK")</f>
        <v>IRAWAN SULISTYO SERTIFIKAT BerAKHLAK</v>
      </c>
      <c r="K1608" s="5" t="s">
        <v>12015</v>
      </c>
      <c r="L1608" s="5" t="s">
        <v>12813</v>
      </c>
      <c r="M1608" s="5" t="s">
        <v>12814</v>
      </c>
      <c r="N1608" s="7" t="s">
        <v>12815</v>
      </c>
      <c r="O1608" s="8" t="str">
        <f>HYPERLINK("https://drive.google.com/file/d/1AglrqXTpRQ7INqnpquXOXBO9itauMfbV/view?usp=drivesdk","1607_IRAWAN SULISTYO _ SERTIFIKAT BIMTEK IPASN BerAKHLASK")</f>
        <v>1607_IRAWAN SULISTYO _ SERTIFIKAT BIMTEK IPASN BerAKHLASK</v>
      </c>
      <c r="P1608" s="5" t="s">
        <v>12816</v>
      </c>
      <c r="Q1608" s="5"/>
      <c r="R1608" s="5"/>
      <c r="S1608" s="5"/>
      <c r="T1608" s="5"/>
    </row>
    <row r="1609">
      <c r="A1609" s="4">
        <v>45534.3351796875</v>
      </c>
      <c r="B1609" s="5" t="s">
        <v>34</v>
      </c>
      <c r="D1609" s="5" t="s">
        <v>996</v>
      </c>
      <c r="E1609" s="5" t="s">
        <v>12817</v>
      </c>
      <c r="F1609" s="5" t="s">
        <v>212</v>
      </c>
      <c r="G1609" s="5" t="s">
        <v>12818</v>
      </c>
      <c r="H1609" s="6" t="s">
        <v>12819</v>
      </c>
      <c r="I1609" s="7" t="s">
        <v>12820</v>
      </c>
      <c r="J1609" s="8" t="str">
        <f>HYPERLINK("https://drive.google.com/file/d/1zA0-bUrqbZrgv1FzzmizOKJHK6eHhvie/view?usp=drivesdk","NAHRIAH MARJUKI SERTIFIKAT BerAKHLAK")</f>
        <v>NAHRIAH MARJUKI SERTIFIKAT BerAKHLAK</v>
      </c>
      <c r="K1609" s="5" t="s">
        <v>12015</v>
      </c>
      <c r="L1609" s="5" t="s">
        <v>12821</v>
      </c>
      <c r="M1609" s="5" t="s">
        <v>12822</v>
      </c>
      <c r="N1609" s="7" t="s">
        <v>12823</v>
      </c>
      <c r="O1609" s="8" t="str">
        <f>HYPERLINK("https://drive.google.com/file/d/1nTH0QRKzVLRF5nVfPdN84YLe4KK3rDr8/view?usp=drivesdk","1608_NAHRIAH MARJUKI _ SERTIFIKAT BIMTEK IPASN BerAKHLASK")</f>
        <v>1608_NAHRIAH MARJUKI _ SERTIFIKAT BIMTEK IPASN BerAKHLASK</v>
      </c>
      <c r="P1609" s="5" t="s">
        <v>12816</v>
      </c>
      <c r="Q1609" s="5"/>
      <c r="R1609" s="5"/>
      <c r="S1609" s="5"/>
      <c r="T1609" s="5"/>
    </row>
    <row r="1610">
      <c r="A1610" s="4">
        <v>45534.33520972222</v>
      </c>
      <c r="B1610" s="5" t="s">
        <v>34</v>
      </c>
      <c r="D1610" s="5" t="s">
        <v>9020</v>
      </c>
      <c r="E1610" s="5" t="s">
        <v>12824</v>
      </c>
      <c r="F1610" s="5" t="s">
        <v>37</v>
      </c>
      <c r="G1610" s="5" t="s">
        <v>12825</v>
      </c>
      <c r="H1610" s="6" t="s">
        <v>12826</v>
      </c>
      <c r="I1610" s="7" t="s">
        <v>12827</v>
      </c>
      <c r="J1610" s="8" t="str">
        <f>HYPERLINK("https://drive.google.com/file/d/1EPttYQFRRqCMwiDUZHlDV5VvhL8vGUHJ/view?usp=drivesdk","TRIONAL SITUMEANG SERTIFIKAT BerAKHLAK")</f>
        <v>TRIONAL SITUMEANG SERTIFIKAT BerAKHLAK</v>
      </c>
      <c r="K1610" s="5" t="s">
        <v>11954</v>
      </c>
      <c r="L1610" s="5" t="s">
        <v>12828</v>
      </c>
      <c r="M1610" s="5" t="s">
        <v>12829</v>
      </c>
      <c r="N1610" s="7" t="s">
        <v>12830</v>
      </c>
      <c r="O1610" s="8" t="str">
        <f>HYPERLINK("https://drive.google.com/file/d/1ca3faWZZVxf9bvTwPTTFlxMBXHKeubCX/view?usp=drivesdk","1609_TRIONAL SITUMEANG _ SERTIFIKAT BIMTEK IPASN BerAKHLASK")</f>
        <v>1609_TRIONAL SITUMEANG _ SERTIFIKAT BIMTEK IPASN BerAKHLASK</v>
      </c>
      <c r="P1610" s="5" t="s">
        <v>12816</v>
      </c>
      <c r="Q1610" s="5"/>
      <c r="R1610" s="5"/>
      <c r="S1610" s="5"/>
      <c r="T1610" s="5"/>
    </row>
    <row r="1611">
      <c r="A1611" s="4">
        <v>45534.3352134375</v>
      </c>
      <c r="B1611" s="5" t="s">
        <v>34</v>
      </c>
      <c r="D1611" s="5" t="s">
        <v>1206</v>
      </c>
      <c r="E1611" s="5" t="s">
        <v>12831</v>
      </c>
      <c r="F1611" s="5" t="s">
        <v>37</v>
      </c>
      <c r="G1611" s="5" t="s">
        <v>12832</v>
      </c>
      <c r="H1611" s="6" t="s">
        <v>12833</v>
      </c>
      <c r="I1611" s="7" t="s">
        <v>12834</v>
      </c>
      <c r="J1611" s="8" t="str">
        <f>HYPERLINK("https://drive.google.com/file/d/11Xnfur9r8NwCr3c0z2MKkNq7O_RHCQZs/view?usp=drivesdk","EDY SUDARMANTO SERTIFIKAT BerAKHLAK")</f>
        <v>EDY SUDARMANTO SERTIFIKAT BerAKHLAK</v>
      </c>
      <c r="K1611" s="5" t="s">
        <v>12015</v>
      </c>
      <c r="L1611" s="5" t="s">
        <v>12835</v>
      </c>
      <c r="M1611" s="5" t="s">
        <v>12836</v>
      </c>
      <c r="N1611" s="7" t="s">
        <v>12837</v>
      </c>
      <c r="O1611" s="8" t="str">
        <f>HYPERLINK("https://drive.google.com/file/d/1CEdlZ25wxRJZxVUK6c10rfOm3R_kP40f/view?usp=drivesdk","1610_EDY SUDARMANTO _ SERTIFIKAT BIMTEK IPASN BerAKHLASK")</f>
        <v>1610_EDY SUDARMANTO _ SERTIFIKAT BIMTEK IPASN BerAKHLASK</v>
      </c>
      <c r="P1611" s="5" t="s">
        <v>12816</v>
      </c>
      <c r="Q1611" s="5"/>
      <c r="R1611" s="5"/>
      <c r="S1611" s="5"/>
      <c r="T1611" s="5"/>
    </row>
    <row r="1612">
      <c r="A1612" s="4">
        <v>45534.33522033565</v>
      </c>
      <c r="B1612" s="5" t="s">
        <v>34</v>
      </c>
      <c r="D1612" s="5" t="s">
        <v>9394</v>
      </c>
      <c r="E1612" s="5" t="s">
        <v>12838</v>
      </c>
      <c r="F1612" s="5" t="s">
        <v>715</v>
      </c>
      <c r="G1612" s="5" t="s">
        <v>12839</v>
      </c>
      <c r="H1612" s="6" t="s">
        <v>12840</v>
      </c>
      <c r="I1612" s="7" t="s">
        <v>12841</v>
      </c>
      <c r="J1612" s="8" t="str">
        <f>HYPERLINK("https://drive.google.com/file/d/1EJdJTocPNvTe8uIrfZBnrp8ULVtKtuXd/view?usp=drivesdk","RENI NOFIARNI, S. Sos SERTIFIKAT BerAKHLAK")</f>
        <v>RENI NOFIARNI, S. Sos SERTIFIKAT BerAKHLAK</v>
      </c>
      <c r="K1612" s="5" t="s">
        <v>12015</v>
      </c>
      <c r="L1612" s="5" t="s">
        <v>12842</v>
      </c>
      <c r="M1612" s="5" t="s">
        <v>12843</v>
      </c>
      <c r="N1612" s="7" t="s">
        <v>12844</v>
      </c>
      <c r="O1612" s="8" t="str">
        <f>HYPERLINK("https://drive.google.com/file/d/1JSxEa9VZaib0gmdGaxQRV0HrtcpMkBGL/view?usp=drivesdk","1611_RENI NOFIARNI, S. Sos _ SERTIFIKAT BIMTEK IPASN BerAKHLASK")</f>
        <v>1611_RENI NOFIARNI, S. Sos _ SERTIFIKAT BIMTEK IPASN BerAKHLASK</v>
      </c>
      <c r="P1612" s="5" t="s">
        <v>12816</v>
      </c>
      <c r="Q1612" s="5"/>
      <c r="R1612" s="5"/>
      <c r="S1612" s="5"/>
      <c r="T1612" s="5"/>
    </row>
    <row r="1613">
      <c r="A1613" s="4">
        <v>45534.33523200231</v>
      </c>
      <c r="B1613" s="5" t="s">
        <v>34</v>
      </c>
      <c r="D1613" s="5" t="s">
        <v>701</v>
      </c>
      <c r="E1613" s="5" t="s">
        <v>12845</v>
      </c>
      <c r="F1613" s="5" t="s">
        <v>120</v>
      </c>
      <c r="G1613" s="5" t="s">
        <v>12846</v>
      </c>
      <c r="H1613" s="6" t="s">
        <v>12847</v>
      </c>
      <c r="I1613" s="7" t="s">
        <v>12848</v>
      </c>
      <c r="J1613" s="8" t="str">
        <f>HYPERLINK("https://drive.google.com/file/d/1-kPj6k_N1ad-Mxo4SXJURrb5hCkJLGuF/view?usp=drivesdk","ZASTRA WIRAHATI SERTIFIKAT BerAKHLAK")</f>
        <v>ZASTRA WIRAHATI SERTIFIKAT BerAKHLAK</v>
      </c>
      <c r="K1613" s="5" t="s">
        <v>11954</v>
      </c>
      <c r="L1613" s="5" t="s">
        <v>12849</v>
      </c>
      <c r="M1613" s="5" t="s">
        <v>12850</v>
      </c>
      <c r="N1613" s="7" t="s">
        <v>12851</v>
      </c>
      <c r="O1613" s="8" t="str">
        <f>HYPERLINK("https://drive.google.com/file/d/16LkRFwDFdwaaQbktV0Yzk30FjWSSiLGU/view?usp=drivesdk","1612_ZASTRA WIRAHATI _ SERTIFIKAT BIMTEK IPASN BerAKHLASK")</f>
        <v>1612_ZASTRA WIRAHATI _ SERTIFIKAT BIMTEK IPASN BerAKHLASK</v>
      </c>
      <c r="P1613" s="5" t="s">
        <v>12816</v>
      </c>
      <c r="Q1613" s="5"/>
      <c r="R1613" s="5"/>
      <c r="S1613" s="5"/>
      <c r="T1613" s="5"/>
    </row>
    <row r="1614">
      <c r="A1614" s="4">
        <v>45534.335244664355</v>
      </c>
      <c r="B1614" s="5" t="s">
        <v>34</v>
      </c>
      <c r="D1614" s="5" t="s">
        <v>35</v>
      </c>
      <c r="E1614" s="5" t="s">
        <v>12852</v>
      </c>
      <c r="F1614" s="5" t="s">
        <v>524</v>
      </c>
      <c r="G1614" s="5" t="s">
        <v>12853</v>
      </c>
      <c r="H1614" s="6" t="s">
        <v>12854</v>
      </c>
      <c r="I1614" s="7" t="s">
        <v>12855</v>
      </c>
      <c r="J1614" s="8" t="str">
        <f>HYPERLINK("https://drive.google.com/file/d/1CTzNi1UPl-AvzRjuNQ8Cq5Sab6un0gok/view?usp=drivesdk","R TITIS SUDIRO WIDJAJA  SERTIFIKAT BerAKHLAK")</f>
        <v>R TITIS SUDIRO WIDJAJA  SERTIFIKAT BerAKHLAK</v>
      </c>
      <c r="K1614" s="5" t="s">
        <v>12015</v>
      </c>
      <c r="L1614" s="5" t="s">
        <v>12856</v>
      </c>
      <c r="M1614" s="5" t="s">
        <v>12857</v>
      </c>
      <c r="N1614" s="7" t="s">
        <v>12858</v>
      </c>
      <c r="O1614" s="8" t="str">
        <f>HYPERLINK("https://drive.google.com/file/d/1UadW12f5qu4QYjVPtSSaYx0RqSsdE4Uj/view?usp=drivesdk","1613_R TITIS SUDIRO WIDJAJA  _ SERTIFIKAT BIMTEK IPASN BerAKHLASK")</f>
        <v>1613_R TITIS SUDIRO WIDJAJA  _ SERTIFIKAT BIMTEK IPASN BerAKHLASK</v>
      </c>
      <c r="P1614" s="5" t="s">
        <v>12859</v>
      </c>
      <c r="Q1614" s="5"/>
      <c r="R1614" s="5"/>
      <c r="S1614" s="5"/>
      <c r="T1614" s="5"/>
    </row>
    <row r="1615">
      <c r="A1615" s="4">
        <v>45534.335246319446</v>
      </c>
      <c r="B1615" s="5" t="s">
        <v>34</v>
      </c>
      <c r="D1615" s="5" t="s">
        <v>3432</v>
      </c>
      <c r="E1615" s="5" t="s">
        <v>12860</v>
      </c>
      <c r="F1615" s="5" t="s">
        <v>524</v>
      </c>
      <c r="G1615" s="5" t="s">
        <v>12861</v>
      </c>
      <c r="H1615" s="6" t="s">
        <v>12862</v>
      </c>
      <c r="I1615" s="7" t="s">
        <v>12863</v>
      </c>
      <c r="J1615" s="8" t="str">
        <f>HYPERLINK("https://drive.google.com/file/d/16Z2K0SllPd0QF8KRLCwuwSYBjViIEfqy/view?usp=drivesdk","FEBRIYANTI.TAMPUBOLON SERTIFIKAT BerAKHLAK")</f>
        <v>FEBRIYANTI.TAMPUBOLON SERTIFIKAT BerAKHLAK</v>
      </c>
      <c r="K1615" s="5" t="s">
        <v>12015</v>
      </c>
      <c r="L1615" s="5" t="s">
        <v>12864</v>
      </c>
      <c r="M1615" s="5" t="s">
        <v>12865</v>
      </c>
      <c r="N1615" s="7" t="s">
        <v>12866</v>
      </c>
      <c r="O1615" s="8" t="str">
        <f>HYPERLINK("https://drive.google.com/file/d/1sxdl5XKPFoAyncOscfJDdMvflVsDQnuI/view?usp=drivesdk","1614_FEBRIYANTI.TAMPUBOLON _ SERTIFIKAT BIMTEK IPASN BerAKHLASK")</f>
        <v>1614_FEBRIYANTI.TAMPUBOLON _ SERTIFIKAT BIMTEK IPASN BerAKHLASK</v>
      </c>
      <c r="P1615" s="5" t="s">
        <v>12859</v>
      </c>
      <c r="Q1615" s="5"/>
      <c r="R1615" s="5"/>
      <c r="S1615" s="5"/>
      <c r="T1615" s="5"/>
    </row>
    <row r="1616">
      <c r="A1616" s="4">
        <v>45534.33525134259</v>
      </c>
      <c r="B1616" s="5" t="s">
        <v>34</v>
      </c>
      <c r="D1616" s="5" t="s">
        <v>4775</v>
      </c>
      <c r="E1616" s="5" t="s">
        <v>12867</v>
      </c>
      <c r="F1616" s="5" t="s">
        <v>72</v>
      </c>
      <c r="G1616" s="5" t="s">
        <v>12868</v>
      </c>
      <c r="H1616" s="6" t="s">
        <v>12869</v>
      </c>
      <c r="I1616" s="7" t="s">
        <v>12870</v>
      </c>
      <c r="J1616" s="8" t="str">
        <f>HYPERLINK("https://drive.google.com/file/d/1PQs4s-2JWAmMzO3zlQn0ufq2bYAYA2gW/view?usp=drivesdk","SRI SIS PURWANTI  SERTIFIKAT BerAKHLAK")</f>
        <v>SRI SIS PURWANTI  SERTIFIKAT BerAKHLAK</v>
      </c>
      <c r="K1616" s="5" t="s">
        <v>12015</v>
      </c>
      <c r="L1616" s="5" t="s">
        <v>12871</v>
      </c>
      <c r="M1616" s="5" t="s">
        <v>12872</v>
      </c>
      <c r="N1616" s="7" t="s">
        <v>12873</v>
      </c>
      <c r="O1616" s="8" t="str">
        <f>HYPERLINK("https://drive.google.com/file/d/1xf4u6UEA538iKkdYXauXmimyWTRbTjC7/view?usp=drivesdk","1615_SRI SIS PURWANTI  _ SERTIFIKAT BIMTEK IPASN BerAKHLASK")</f>
        <v>1615_SRI SIS PURWANTI  _ SERTIFIKAT BIMTEK IPASN BerAKHLASK</v>
      </c>
      <c r="P1616" s="5" t="s">
        <v>12859</v>
      </c>
      <c r="Q1616" s="5"/>
      <c r="R1616" s="5"/>
      <c r="S1616" s="5"/>
      <c r="T1616" s="5"/>
    </row>
    <row r="1617">
      <c r="A1617" s="4">
        <v>45534.335264305555</v>
      </c>
      <c r="B1617" s="5" t="s">
        <v>34</v>
      </c>
      <c r="D1617" s="5" t="s">
        <v>35</v>
      </c>
      <c r="E1617" s="5" t="s">
        <v>12874</v>
      </c>
      <c r="F1617" s="5" t="s">
        <v>37</v>
      </c>
      <c r="G1617" s="5" t="s">
        <v>12875</v>
      </c>
      <c r="H1617" s="6" t="s">
        <v>12876</v>
      </c>
      <c r="I1617" s="7" t="s">
        <v>12877</v>
      </c>
      <c r="J1617" s="8" t="str">
        <f>HYPERLINK("https://drive.google.com/file/d/1z0SDUYAboO7zpyjX1EKzml_gLuA_1nAU/view?usp=drivesdk","HADI WACHYUDI SERTIFIKAT BerAKHLAK")</f>
        <v>HADI WACHYUDI SERTIFIKAT BerAKHLAK</v>
      </c>
      <c r="K1617" s="5" t="s">
        <v>11954</v>
      </c>
      <c r="L1617" s="5" t="s">
        <v>12878</v>
      </c>
      <c r="M1617" s="5" t="s">
        <v>12879</v>
      </c>
      <c r="N1617" s="7" t="s">
        <v>12880</v>
      </c>
      <c r="O1617" s="8" t="str">
        <f>HYPERLINK("https://drive.google.com/file/d/1w0D5G9m1-TVGyaUyP_adyCU_0Y7tnw7d/view?usp=drivesdk","1616_HADI WACHYUDI _ SERTIFIKAT BIMTEK IPASN BerAKHLASK")</f>
        <v>1616_HADI WACHYUDI _ SERTIFIKAT BIMTEK IPASN BerAKHLASK</v>
      </c>
      <c r="P1617" s="5" t="s">
        <v>12859</v>
      </c>
      <c r="Q1617" s="5"/>
      <c r="R1617" s="5"/>
      <c r="S1617" s="5"/>
      <c r="T1617" s="5"/>
    </row>
    <row r="1618">
      <c r="A1618" s="4">
        <v>45534.33528059028</v>
      </c>
      <c r="B1618" s="5" t="s">
        <v>34</v>
      </c>
      <c r="D1618" s="5" t="s">
        <v>1206</v>
      </c>
      <c r="E1618" s="5" t="s">
        <v>12881</v>
      </c>
      <c r="F1618" s="5" t="s">
        <v>212</v>
      </c>
      <c r="G1618" s="5" t="s">
        <v>12882</v>
      </c>
      <c r="H1618" s="6" t="s">
        <v>12883</v>
      </c>
      <c r="I1618" s="7" t="s">
        <v>12884</v>
      </c>
      <c r="J1618" s="8" t="str">
        <f>HYPERLINK("https://drive.google.com/file/d/16F8-gsF4Cw8DLOCHMyjWhHB0wooK6Y7Q/view?usp=drivesdk","BAMBANG PRASETIONO SERTIFIKAT BerAKHLAK")</f>
        <v>BAMBANG PRASETIONO SERTIFIKAT BerAKHLAK</v>
      </c>
      <c r="K1618" s="5" t="s">
        <v>12015</v>
      </c>
      <c r="L1618" s="5" t="s">
        <v>12885</v>
      </c>
      <c r="M1618" s="5" t="s">
        <v>12886</v>
      </c>
      <c r="N1618" s="7" t="s">
        <v>12887</v>
      </c>
      <c r="O1618" s="8" t="str">
        <f>HYPERLINK("https://drive.google.com/file/d/1Exas0mc5jLBhz-lakgUVW7x_6yjq6xY5/view?usp=drivesdk","1617_BAMBANG PRASETIONO _ SERTIFIKAT BIMTEK IPASN BerAKHLASK")</f>
        <v>1617_BAMBANG PRASETIONO _ SERTIFIKAT BIMTEK IPASN BerAKHLASK</v>
      </c>
      <c r="P1618" s="5" t="s">
        <v>12859</v>
      </c>
      <c r="Q1618" s="5"/>
      <c r="R1618" s="5"/>
      <c r="S1618" s="5"/>
      <c r="T1618" s="5"/>
    </row>
    <row r="1619">
      <c r="A1619" s="4">
        <v>45534.33530517361</v>
      </c>
      <c r="B1619" s="5" t="s">
        <v>34</v>
      </c>
      <c r="D1619" s="5" t="s">
        <v>4775</v>
      </c>
      <c r="E1619" s="5" t="s">
        <v>12888</v>
      </c>
      <c r="F1619" s="5" t="s">
        <v>37</v>
      </c>
      <c r="G1619" s="5" t="s">
        <v>12889</v>
      </c>
      <c r="H1619" s="6" t="s">
        <v>12890</v>
      </c>
      <c r="I1619" s="7" t="s">
        <v>12891</v>
      </c>
      <c r="J1619" s="8" t="str">
        <f>HYPERLINK("https://drive.google.com/file/d/1njFlT47NdSbJvtwDgb4te8KzrTjxWPIE/view?usp=drivesdk","ASTA KUSUMANINGRUM SERTIFIKAT BerAKHLAK")</f>
        <v>ASTA KUSUMANINGRUM SERTIFIKAT BerAKHLAK</v>
      </c>
      <c r="K1619" s="5" t="s">
        <v>12015</v>
      </c>
      <c r="L1619" s="5" t="s">
        <v>12892</v>
      </c>
      <c r="M1619" s="5" t="s">
        <v>12893</v>
      </c>
      <c r="N1619" s="7" t="s">
        <v>12894</v>
      </c>
      <c r="O1619" s="8" t="str">
        <f>HYPERLINK("https://drive.google.com/file/d/1P5eUHE1Vq1jbGtGXOD3rFdAPhefsVmGe/view?usp=drivesdk","1618_ASTA KUSUMANINGRUM _ SERTIFIKAT BIMTEK IPASN BerAKHLASK")</f>
        <v>1618_ASTA KUSUMANINGRUM _ SERTIFIKAT BIMTEK IPASN BerAKHLASK</v>
      </c>
      <c r="P1619" s="5" t="s">
        <v>12859</v>
      </c>
      <c r="Q1619" s="5"/>
      <c r="R1619" s="5"/>
      <c r="S1619" s="5"/>
      <c r="T1619" s="5"/>
    </row>
    <row r="1620">
      <c r="A1620" s="4">
        <v>45534.335309375005</v>
      </c>
      <c r="B1620" s="5" t="s">
        <v>34</v>
      </c>
      <c r="D1620" s="5" t="s">
        <v>6232</v>
      </c>
      <c r="E1620" s="5" t="s">
        <v>12895</v>
      </c>
      <c r="F1620" s="5" t="s">
        <v>37</v>
      </c>
      <c r="G1620" s="5" t="s">
        <v>12896</v>
      </c>
      <c r="H1620" s="6" t="s">
        <v>12897</v>
      </c>
      <c r="I1620" s="7" t="s">
        <v>12898</v>
      </c>
      <c r="J1620" s="8" t="str">
        <f>HYPERLINK("https://drive.google.com/file/d/1Pz49QtywYQKFNJoKAji8R-Y0gDTQUxDH/view?usp=drivesdk","SRI ARINI INDIYAH,AMD.KEP SERTIFIKAT BerAKHLAK")</f>
        <v>SRI ARINI INDIYAH,AMD.KEP SERTIFIKAT BerAKHLAK</v>
      </c>
      <c r="K1620" s="5" t="s">
        <v>12015</v>
      </c>
      <c r="L1620" s="5" t="s">
        <v>12899</v>
      </c>
      <c r="M1620" s="5" t="s">
        <v>12900</v>
      </c>
      <c r="N1620" s="7" t="s">
        <v>12901</v>
      </c>
      <c r="O1620" s="8" t="str">
        <f>HYPERLINK("https://drive.google.com/file/d/135MtSk8lYjEZ9hrVuNw4UCsnJS1e08LF/view?usp=drivesdk","1619_SRI ARINI INDIYAH,AMD.KEP _ SERTIFIKAT BIMTEK IPASN BerAKHLASK")</f>
        <v>1619_SRI ARINI INDIYAH,AMD.KEP _ SERTIFIKAT BIMTEK IPASN BerAKHLASK</v>
      </c>
      <c r="P1620" s="5" t="s">
        <v>12902</v>
      </c>
      <c r="Q1620" s="5"/>
      <c r="R1620" s="5"/>
      <c r="S1620" s="5"/>
      <c r="T1620" s="5"/>
    </row>
    <row r="1621" hidden="1">
      <c r="A1621" s="4">
        <v>45534.33530960648</v>
      </c>
      <c r="B1621" s="5" t="s">
        <v>19</v>
      </c>
      <c r="C1621" s="5" t="s">
        <v>292</v>
      </c>
      <c r="E1621" s="5" t="s">
        <v>12903</v>
      </c>
      <c r="F1621" s="5" t="s">
        <v>72</v>
      </c>
      <c r="G1621" s="5" t="s">
        <v>12904</v>
      </c>
      <c r="H1621" s="6" t="s">
        <v>12905</v>
      </c>
      <c r="I1621" s="7" t="s">
        <v>12906</v>
      </c>
      <c r="J1621" s="8" t="str">
        <f>HYPERLINK("https://drive.google.com/file/d/1LWejys6-VevmA4vqQuNv-2OU10wg9pj1/view?usp=drivesdk","SITI NURLAELIYAH, A.Md. SERTIFIKAT BerAKHLAK")</f>
        <v>SITI NURLAELIYAH, A.Md. SERTIFIKAT BerAKHLAK</v>
      </c>
      <c r="K1621" s="5" t="s">
        <v>12015</v>
      </c>
      <c r="L1621" s="5" t="s">
        <v>12907</v>
      </c>
      <c r="M1621" s="5" t="s">
        <v>12908</v>
      </c>
      <c r="N1621" s="7" t="s">
        <v>12909</v>
      </c>
      <c r="O1621" s="8" t="str">
        <f>HYPERLINK("https://drive.google.com/file/d/1uDMGqKfZK668HRx25EPGuYt2_d6ElJ1G/view?usp=drivesdk","1620_SITI NURLAELIYAH, A.Md. _ SERTIFIKAT BIMTEK IPASN BerAKHLASK")</f>
        <v>1620_SITI NURLAELIYAH, A.Md. _ SERTIFIKAT BIMTEK IPASN BerAKHLASK</v>
      </c>
      <c r="P1621" s="5" t="s">
        <v>12902</v>
      </c>
      <c r="Q1621" s="5"/>
      <c r="R1621" s="5"/>
      <c r="S1621" s="5"/>
      <c r="T1621" s="5"/>
    </row>
    <row r="1622">
      <c r="A1622" s="4">
        <v>45534.33530873843</v>
      </c>
      <c r="B1622" s="5" t="s">
        <v>34</v>
      </c>
      <c r="D1622" s="5" t="s">
        <v>6232</v>
      </c>
      <c r="E1622" s="5" t="s">
        <v>12910</v>
      </c>
      <c r="F1622" s="5" t="s">
        <v>715</v>
      </c>
      <c r="G1622" s="5" t="s">
        <v>12911</v>
      </c>
      <c r="H1622" s="6" t="s">
        <v>12912</v>
      </c>
      <c r="I1622" s="7" t="s">
        <v>12913</v>
      </c>
      <c r="J1622" s="8" t="str">
        <f>HYPERLINK("https://drive.google.com/file/d/1dnE5dNiolFkUvFVJnQCBwoxRdHOUNfYd/view?usp=drivesdk","MUHAMMAD ROZALI, M.Pd SERTIFIKAT BerAKHLAK")</f>
        <v>MUHAMMAD ROZALI, M.Pd SERTIFIKAT BerAKHLAK</v>
      </c>
      <c r="K1622" s="5" t="s">
        <v>12015</v>
      </c>
      <c r="L1622" s="5" t="s">
        <v>12914</v>
      </c>
      <c r="M1622" s="5" t="s">
        <v>12915</v>
      </c>
      <c r="N1622" s="7" t="s">
        <v>12916</v>
      </c>
      <c r="O1622" s="8" t="str">
        <f>HYPERLINK("https://drive.google.com/file/d/1Md_eXQnciRc-uw5LtZe8ZfXrl9Kwh1ET/view?usp=drivesdk","1621_MUHAMMAD ROZALI, M.Pd _ SERTIFIKAT BIMTEK IPASN BerAKHLASK")</f>
        <v>1621_MUHAMMAD ROZALI, M.Pd _ SERTIFIKAT BIMTEK IPASN BerAKHLASK</v>
      </c>
      <c r="P1622" s="5" t="s">
        <v>12902</v>
      </c>
      <c r="Q1622" s="5"/>
      <c r="R1622" s="5"/>
      <c r="S1622" s="5"/>
      <c r="T1622" s="5"/>
    </row>
    <row r="1623">
      <c r="A1623" s="4">
        <v>45534.33532657407</v>
      </c>
      <c r="B1623" s="5" t="s">
        <v>34</v>
      </c>
      <c r="D1623" s="5" t="s">
        <v>1692</v>
      </c>
      <c r="E1623" s="5" t="s">
        <v>12917</v>
      </c>
      <c r="F1623" s="5" t="s">
        <v>108</v>
      </c>
      <c r="G1623" s="5" t="s">
        <v>12918</v>
      </c>
      <c r="H1623" s="6" t="s">
        <v>12919</v>
      </c>
      <c r="I1623" s="7" t="s">
        <v>12920</v>
      </c>
      <c r="J1623" s="8" t="str">
        <f>HYPERLINK("https://drive.google.com/file/d/1oUcNKhz7HOeHRCVn6eL91m9z4ez02yo9/view?usp=drivesdk","WIWIN TUMIRA WALIULU. S.Kep SERTIFIKAT BerAKHLAK")</f>
        <v>WIWIN TUMIRA WALIULU. S.Kep SERTIFIKAT BerAKHLAK</v>
      </c>
      <c r="K1623" s="5" t="s">
        <v>12015</v>
      </c>
      <c r="L1623" s="5" t="s">
        <v>12921</v>
      </c>
      <c r="M1623" s="5" t="s">
        <v>12922</v>
      </c>
      <c r="N1623" s="7" t="s">
        <v>12923</v>
      </c>
      <c r="O1623" s="8" t="str">
        <f>HYPERLINK("https://drive.google.com/file/d/1FXNr6AoyhFqL82e6Fe_eZl8GmVa6_ORd/view?usp=drivesdk","1622_WIWIN TUMIRA WALIULU. S.Kep _ SERTIFIKAT BIMTEK IPASN BerAKHLASK")</f>
        <v>1622_WIWIN TUMIRA WALIULU. S.Kep _ SERTIFIKAT BIMTEK IPASN BerAKHLASK</v>
      </c>
      <c r="P1623" s="5" t="s">
        <v>12902</v>
      </c>
      <c r="Q1623" s="5"/>
      <c r="R1623" s="5"/>
      <c r="S1623" s="5"/>
      <c r="T1623" s="5"/>
    </row>
    <row r="1624">
      <c r="A1624" s="4">
        <v>45534.335348877314</v>
      </c>
      <c r="B1624" s="5" t="s">
        <v>34</v>
      </c>
      <c r="D1624" s="5" t="s">
        <v>1692</v>
      </c>
      <c r="E1624" s="5" t="s">
        <v>12924</v>
      </c>
      <c r="F1624" s="5" t="s">
        <v>37</v>
      </c>
      <c r="G1624" s="5" t="s">
        <v>12925</v>
      </c>
      <c r="H1624" s="6" t="s">
        <v>12926</v>
      </c>
      <c r="K1624" s="5" t="s">
        <v>12927</v>
      </c>
      <c r="M1624" s="5" t="s">
        <v>12928</v>
      </c>
      <c r="N1624" s="7" t="s">
        <v>12929</v>
      </c>
      <c r="O1624" s="8" t="str">
        <f>HYPERLINK("https://drive.google.com/file/d/1u02jGJhhTJ2tTkeqTW1kUuX9Vub6eLBa/view?usp=drivesdk","1623_QUENZI ALFMY PATTISELANNO _ SERTIFIKAT BIMTEK IPASN BerAKHLASK")</f>
        <v>1623_QUENZI ALFMY PATTISELANNO _ SERTIFIKAT BIMTEK IPASN BerAKHLASK</v>
      </c>
      <c r="P1624" s="5" t="s">
        <v>12902</v>
      </c>
      <c r="Q1624" s="5"/>
      <c r="R1624" s="5"/>
      <c r="S1624" s="5"/>
      <c r="T1624" s="5"/>
    </row>
    <row r="1625">
      <c r="A1625" s="4">
        <v>45534.33536658565</v>
      </c>
      <c r="B1625" s="5" t="s">
        <v>34</v>
      </c>
      <c r="D1625" s="5" t="s">
        <v>10444</v>
      </c>
      <c r="E1625" s="5" t="s">
        <v>12930</v>
      </c>
      <c r="F1625" s="5" t="s">
        <v>108</v>
      </c>
      <c r="G1625" s="5" t="s">
        <v>12931</v>
      </c>
      <c r="H1625" s="6" t="s">
        <v>12932</v>
      </c>
      <c r="I1625" s="7" t="s">
        <v>12933</v>
      </c>
      <c r="J1625" s="8" t="str">
        <f>HYPERLINK("https://drive.google.com/file/d/15m-g3Yvp2I2Bb7PYjWUz1-iPK60YqbCg/view?usp=drivesdk","apt. HARI ZULFAHNUR RIZAN  SERTIFIKAT BerAKHLAK")</f>
        <v>apt. HARI ZULFAHNUR RIZAN  SERTIFIKAT BerAKHLAK</v>
      </c>
      <c r="K1625" s="5" t="s">
        <v>12015</v>
      </c>
      <c r="L1625" s="5" t="s">
        <v>12934</v>
      </c>
      <c r="M1625" s="5" t="s">
        <v>12935</v>
      </c>
      <c r="N1625" s="7" t="s">
        <v>12936</v>
      </c>
      <c r="O1625" s="8" t="str">
        <f>HYPERLINK("https://drive.google.com/file/d/1skLXkKKgCGDFuMYhyFSx619EKdg5pka9/view?usp=drivesdk","1624_apt. HARI ZULFAHNUR RIZAN  _ SERTIFIKAT BIMTEK IPASN BerAKHLASK")</f>
        <v>1624_apt. HARI ZULFAHNUR RIZAN  _ SERTIFIKAT BIMTEK IPASN BerAKHLASK</v>
      </c>
      <c r="P1625" s="5" t="s">
        <v>11767</v>
      </c>
      <c r="Q1625" s="5"/>
      <c r="R1625" s="5"/>
      <c r="S1625" s="5"/>
      <c r="T1625" s="5"/>
    </row>
    <row r="1626">
      <c r="A1626" s="4">
        <v>45534.335376539355</v>
      </c>
      <c r="B1626" s="5" t="s">
        <v>34</v>
      </c>
      <c r="D1626" s="5" t="s">
        <v>4775</v>
      </c>
      <c r="E1626" s="5" t="s">
        <v>12937</v>
      </c>
      <c r="F1626" s="5" t="s">
        <v>375</v>
      </c>
      <c r="G1626" s="5" t="s">
        <v>12938</v>
      </c>
      <c r="H1626" s="6" t="s">
        <v>12939</v>
      </c>
      <c r="I1626" s="7" t="s">
        <v>12940</v>
      </c>
      <c r="J1626" s="8" t="str">
        <f>HYPERLINK("https://drive.google.com/file/d/1pIfQPSgWnBfnGDQf_uK_jz2W0x2iN8-k/view?usp=drivesdk","RISKA WIDIASTUTI, S.E. SERTIFIKAT BerAKHLAK")</f>
        <v>RISKA WIDIASTUTI, S.E. SERTIFIKAT BerAKHLAK</v>
      </c>
      <c r="K1626" s="5" t="s">
        <v>12015</v>
      </c>
      <c r="L1626" s="5" t="s">
        <v>12941</v>
      </c>
      <c r="M1626" s="5" t="s">
        <v>12942</v>
      </c>
      <c r="N1626" s="7" t="s">
        <v>12943</v>
      </c>
      <c r="O1626" s="8" t="str">
        <f>HYPERLINK("https://drive.google.com/file/d/1-Z_ppvSqIF4z_ict1Xb5KrGSIbLEXs_S/view?usp=drivesdk","1625_RISKA WIDIASTUTI, S.E. _ SERTIFIKAT BIMTEK IPASN BerAKHLASK")</f>
        <v>1625_RISKA WIDIASTUTI, S.E. _ SERTIFIKAT BIMTEK IPASN BerAKHLASK</v>
      </c>
      <c r="P1626" s="5" t="s">
        <v>11767</v>
      </c>
      <c r="Q1626" s="5"/>
      <c r="R1626" s="5"/>
      <c r="S1626" s="5"/>
      <c r="T1626" s="5"/>
    </row>
    <row r="1627">
      <c r="A1627" s="4">
        <v>45534.33538686343</v>
      </c>
      <c r="B1627" s="5" t="s">
        <v>34</v>
      </c>
      <c r="D1627" s="5" t="s">
        <v>1206</v>
      </c>
      <c r="E1627" s="5" t="s">
        <v>12944</v>
      </c>
      <c r="F1627" s="5" t="s">
        <v>108</v>
      </c>
      <c r="G1627" s="5" t="s">
        <v>12945</v>
      </c>
      <c r="H1627" s="6" t="s">
        <v>12946</v>
      </c>
      <c r="I1627" s="7" t="s">
        <v>12947</v>
      </c>
      <c r="J1627" s="8" t="str">
        <f>HYPERLINK("https://drive.google.com/file/d/1DUDZ8UV0YesnhdXcRUKBbrML6Q87LIgo/view?usp=drivesdk","DIAN WIDYASARI, S.E. SERTIFIKAT BerAKHLAK")</f>
        <v>DIAN WIDYASARI, S.E. SERTIFIKAT BerAKHLAK</v>
      </c>
      <c r="K1627" s="5" t="s">
        <v>12015</v>
      </c>
      <c r="L1627" s="5" t="s">
        <v>12948</v>
      </c>
      <c r="M1627" s="5" t="s">
        <v>12949</v>
      </c>
      <c r="N1627" s="7" t="s">
        <v>12950</v>
      </c>
      <c r="O1627" s="8" t="str">
        <f>HYPERLINK("https://drive.google.com/file/d/1IB7jNy3-5BgCC_XlCsp0XMwoXVe8yD3k/view?usp=drivesdk","1626_DIAN WIDYASARI, S.E. _ SERTIFIKAT BIMTEK IPASN BerAKHLASK")</f>
        <v>1626_DIAN WIDYASARI, S.E. _ SERTIFIKAT BIMTEK IPASN BerAKHLASK</v>
      </c>
      <c r="P1627" s="5" t="s">
        <v>11767</v>
      </c>
      <c r="Q1627" s="5"/>
      <c r="R1627" s="5"/>
      <c r="S1627" s="5"/>
      <c r="T1627" s="5"/>
    </row>
    <row r="1628">
      <c r="A1628" s="4">
        <v>45534.33538949074</v>
      </c>
      <c r="B1628" s="5" t="s">
        <v>34</v>
      </c>
      <c r="D1628" s="5" t="s">
        <v>9020</v>
      </c>
      <c r="E1628" s="5" t="s">
        <v>12951</v>
      </c>
      <c r="F1628" s="5" t="s">
        <v>375</v>
      </c>
      <c r="G1628" s="5" t="s">
        <v>12952</v>
      </c>
      <c r="H1628" s="6" t="s">
        <v>12953</v>
      </c>
      <c r="I1628" s="7" t="s">
        <v>12954</v>
      </c>
      <c r="J1628" s="8" t="str">
        <f>HYPERLINK("https://drive.google.com/file/d/1CSIoqZjUxugWaT_wQhd9LWWFYZ1PvFme/view?usp=drivesdk","MEGAWATI KRISTINA PASARIBU SERTIFIKAT BerAKHLAK")</f>
        <v>MEGAWATI KRISTINA PASARIBU SERTIFIKAT BerAKHLAK</v>
      </c>
      <c r="K1628" s="5" t="s">
        <v>12015</v>
      </c>
      <c r="L1628" s="5" t="s">
        <v>12955</v>
      </c>
      <c r="M1628" s="5" t="s">
        <v>12956</v>
      </c>
      <c r="N1628" s="7" t="s">
        <v>12957</v>
      </c>
      <c r="O1628" s="8" t="str">
        <f>HYPERLINK("https://drive.google.com/file/d/10Y4E7GXzD1XAFxTLyOWbLRPRGRNBNc4T/view?usp=drivesdk","1627_MEGAWATI KRISTINA PASARIBU _ SERTIFIKAT BIMTEK IPASN BerAKHLASK")</f>
        <v>1627_MEGAWATI KRISTINA PASARIBU _ SERTIFIKAT BIMTEK IPASN BerAKHLASK</v>
      </c>
      <c r="P1628" s="5" t="s">
        <v>11767</v>
      </c>
      <c r="Q1628" s="5"/>
      <c r="R1628" s="5"/>
      <c r="S1628" s="5"/>
      <c r="T1628" s="5"/>
    </row>
    <row r="1629">
      <c r="A1629" s="4">
        <v>45534.33540231481</v>
      </c>
      <c r="B1629" s="5" t="s">
        <v>34</v>
      </c>
      <c r="D1629" s="5" t="s">
        <v>35</v>
      </c>
      <c r="E1629" s="5" t="s">
        <v>12958</v>
      </c>
      <c r="F1629" s="5" t="s">
        <v>375</v>
      </c>
      <c r="G1629" s="5" t="s">
        <v>12959</v>
      </c>
      <c r="H1629" s="6" t="s">
        <v>12960</v>
      </c>
      <c r="I1629" s="7" t="s">
        <v>12961</v>
      </c>
      <c r="J1629" s="8" t="str">
        <f>HYPERLINK("https://drive.google.com/file/d/1uzkRIR_pV6eE2vRWj0n3Adi5_FfL_EgN/view?usp=drivesdk","HANESTA FEBRINA AQUARINA, SSI SERTIFIKAT BerAKHLAK")</f>
        <v>HANESTA FEBRINA AQUARINA, SSI SERTIFIKAT BerAKHLAK</v>
      </c>
      <c r="K1629" s="5" t="s">
        <v>12015</v>
      </c>
      <c r="L1629" s="5" t="s">
        <v>12962</v>
      </c>
      <c r="M1629" s="5" t="s">
        <v>12963</v>
      </c>
      <c r="N1629" s="7" t="s">
        <v>12964</v>
      </c>
      <c r="O1629" s="8" t="str">
        <f>HYPERLINK("https://drive.google.com/file/d/1uULFJvwePK5L_1y-Kz9OHCEcQcdvsLbm/view?usp=drivesdk","1628_HANESTA FEBRINA AQUARINA, SSI _ SERTIFIKAT BIMTEK IPASN BerAKHLASK")</f>
        <v>1628_HANESTA FEBRINA AQUARINA, SSI _ SERTIFIKAT BIMTEK IPASN BerAKHLASK</v>
      </c>
      <c r="P1629" s="5" t="s">
        <v>11803</v>
      </c>
      <c r="Q1629" s="5"/>
      <c r="R1629" s="5"/>
      <c r="S1629" s="5"/>
      <c r="T1629" s="5"/>
    </row>
    <row r="1630">
      <c r="A1630" s="4">
        <v>45534.3354068287</v>
      </c>
      <c r="B1630" s="5" t="s">
        <v>34</v>
      </c>
      <c r="D1630" s="5" t="s">
        <v>580</v>
      </c>
      <c r="E1630" s="5" t="s">
        <v>12965</v>
      </c>
      <c r="F1630" s="5" t="s">
        <v>37</v>
      </c>
      <c r="G1630" s="5" t="s">
        <v>12966</v>
      </c>
      <c r="H1630" s="6" t="s">
        <v>12967</v>
      </c>
      <c r="K1630" s="5" t="s">
        <v>12968</v>
      </c>
      <c r="M1630" s="5" t="s">
        <v>12969</v>
      </c>
      <c r="N1630" s="7" t="s">
        <v>12970</v>
      </c>
      <c r="O1630" s="8" t="str">
        <f>HYPERLINK("https://drive.google.com/file/d/1jL5RTQ_8jKqVxxBK0AQ_QUr65VoasLaW/view?usp=drivesdk","1629_I WAYAN SUARA ASMARA _ SERTIFIKAT BIMTEK IPASN BerAKHLASK")</f>
        <v>1629_I WAYAN SUARA ASMARA _ SERTIFIKAT BIMTEK IPASN BerAKHLASK</v>
      </c>
      <c r="P1630" s="5" t="s">
        <v>11803</v>
      </c>
      <c r="Q1630" s="5"/>
      <c r="R1630" s="5"/>
      <c r="S1630" s="5"/>
      <c r="T1630" s="5"/>
    </row>
    <row r="1631">
      <c r="A1631" s="4">
        <v>45534.335415925925</v>
      </c>
      <c r="B1631" s="5" t="s">
        <v>34</v>
      </c>
      <c r="D1631" s="5" t="s">
        <v>280</v>
      </c>
      <c r="E1631" s="5" t="s">
        <v>12971</v>
      </c>
      <c r="F1631" s="5" t="s">
        <v>72</v>
      </c>
      <c r="G1631" s="5" t="s">
        <v>12972</v>
      </c>
      <c r="H1631" s="6" t="s">
        <v>12973</v>
      </c>
      <c r="I1631" s="7" t="s">
        <v>12974</v>
      </c>
      <c r="J1631" s="8" t="str">
        <f>HYPERLINK("https://drive.google.com/file/d/1BYuwsR4fotmj3ygVWwITb45AWJrdQ4Ze/view?usp=drivesdk","SUKAISI SUKAISI,S.H. SERTIFIKAT BerAKHLAK")</f>
        <v>SUKAISI SUKAISI,S.H. SERTIFIKAT BerAKHLAK</v>
      </c>
      <c r="K1631" s="5" t="s">
        <v>12015</v>
      </c>
      <c r="L1631" s="5" t="s">
        <v>12975</v>
      </c>
      <c r="M1631" s="5" t="s">
        <v>12976</v>
      </c>
      <c r="N1631" s="7" t="s">
        <v>12977</v>
      </c>
      <c r="O1631" s="8" t="str">
        <f>HYPERLINK("https://drive.google.com/file/d/1w2SexuDGjdHNiZGEJMdjsJLxW_ZQObn3/view?usp=drivesdk","1630_SUKAISI SUKAISI,S.H. _ SERTIFIKAT BIMTEK IPASN BerAKHLASK")</f>
        <v>1630_SUKAISI SUKAISI,S.H. _ SERTIFIKAT BIMTEK IPASN BerAKHLASK</v>
      </c>
      <c r="P1631" s="5" t="s">
        <v>11803</v>
      </c>
      <c r="Q1631" s="5"/>
      <c r="R1631" s="5"/>
      <c r="S1631" s="5"/>
      <c r="T1631" s="5"/>
    </row>
    <row r="1632">
      <c r="A1632" s="4">
        <v>45534.33542181713</v>
      </c>
      <c r="B1632" s="5" t="s">
        <v>34</v>
      </c>
      <c r="D1632" s="5" t="s">
        <v>12978</v>
      </c>
      <c r="E1632" s="5" t="s">
        <v>12979</v>
      </c>
      <c r="F1632" s="5" t="s">
        <v>37</v>
      </c>
      <c r="G1632" s="5" t="s">
        <v>12980</v>
      </c>
      <c r="H1632" s="6" t="s">
        <v>12981</v>
      </c>
      <c r="I1632" s="7" t="s">
        <v>12982</v>
      </c>
      <c r="J1632" s="8" t="str">
        <f>HYPERLINK("https://drive.google.com/file/d/1wf5QvaLEm9QVy54RSiLIs_ocMnWBy9Jy/view?usp=drivesdk","DEWI MAULINASARI. AF SERTIFIKAT BerAKHLAK")</f>
        <v>DEWI MAULINASARI. AF SERTIFIKAT BerAKHLAK</v>
      </c>
      <c r="K1632" s="5" t="s">
        <v>12015</v>
      </c>
      <c r="L1632" s="5" t="s">
        <v>12983</v>
      </c>
      <c r="M1632" s="5" t="s">
        <v>12984</v>
      </c>
      <c r="N1632" s="7" t="s">
        <v>12985</v>
      </c>
      <c r="O1632" s="8" t="str">
        <f>HYPERLINK("https://drive.google.com/file/d/1K9A9URY6eHsE2IKww38sVJ2S-W0a-f5Y/view?usp=drivesdk","1631_DEWI MAULINASARI. AF _ SERTIFIKAT BIMTEK IPASN BerAKHLASK")</f>
        <v>1631_DEWI MAULINASARI. AF _ SERTIFIKAT BIMTEK IPASN BerAKHLASK</v>
      </c>
      <c r="P1632" s="5" t="s">
        <v>11803</v>
      </c>
      <c r="Q1632" s="5"/>
      <c r="R1632" s="5"/>
      <c r="S1632" s="5"/>
      <c r="T1632" s="5"/>
    </row>
    <row r="1633">
      <c r="A1633" s="4">
        <v>45534.33544091435</v>
      </c>
      <c r="B1633" s="5" t="s">
        <v>34</v>
      </c>
      <c r="D1633" s="5" t="s">
        <v>4775</v>
      </c>
      <c r="E1633" s="5" t="s">
        <v>12986</v>
      </c>
      <c r="F1633" s="5" t="s">
        <v>37</v>
      </c>
      <c r="G1633" s="5" t="s">
        <v>12987</v>
      </c>
      <c r="H1633" s="6" t="s">
        <v>12988</v>
      </c>
      <c r="I1633" s="7" t="s">
        <v>12989</v>
      </c>
      <c r="J1633" s="8" t="str">
        <f>HYPERLINK("https://drive.google.com/file/d/1cKWHFHFzKx6Bcnq7FQvoLit3pWIFesvr/view?usp=drivesdk","JOKO ZADDIADI  SERTIFIKAT BerAKHLAK")</f>
        <v>JOKO ZADDIADI  SERTIFIKAT BerAKHLAK</v>
      </c>
      <c r="K1633" s="5" t="s">
        <v>12015</v>
      </c>
      <c r="L1633" s="5" t="s">
        <v>12990</v>
      </c>
      <c r="M1633" s="5" t="s">
        <v>12991</v>
      </c>
      <c r="N1633" s="7" t="s">
        <v>12992</v>
      </c>
      <c r="O1633" s="8" t="str">
        <f>HYPERLINK("https://drive.google.com/file/d/1n0Kv7Q9xe9jPJyQqKjp_4wdwAjtUkuDp/view?usp=drivesdk","1632_JOKO ZADDIADI  _ SERTIFIKAT BIMTEK IPASN BerAKHLASK")</f>
        <v>1632_JOKO ZADDIADI  _ SERTIFIKAT BIMTEK IPASN BerAKHLASK</v>
      </c>
      <c r="P1633" s="5" t="s">
        <v>11803</v>
      </c>
      <c r="Q1633" s="5"/>
      <c r="R1633" s="5"/>
      <c r="S1633" s="5"/>
      <c r="T1633" s="5"/>
    </row>
    <row r="1634">
      <c r="A1634" s="4">
        <v>45534.33544949074</v>
      </c>
      <c r="B1634" s="5" t="s">
        <v>34</v>
      </c>
      <c r="D1634" s="5" t="s">
        <v>3432</v>
      </c>
      <c r="E1634" s="5" t="s">
        <v>12993</v>
      </c>
      <c r="F1634" s="5" t="s">
        <v>108</v>
      </c>
      <c r="G1634" s="5" t="s">
        <v>12994</v>
      </c>
      <c r="H1634" s="6" t="s">
        <v>12995</v>
      </c>
      <c r="I1634" s="7" t="s">
        <v>12996</v>
      </c>
      <c r="J1634" s="8" t="str">
        <f>HYPERLINK("https://drive.google.com/file/d/1Jmg9V9YRGZR_o9V6I2-fg1xO9DtdV_jA/view?usp=drivesdk","Apt. FATIMAH S HI LA HASAN, S.Farm SERTIFIKAT BerAKHLAK")</f>
        <v>Apt. FATIMAH S HI LA HASAN, S.Farm SERTIFIKAT BerAKHLAK</v>
      </c>
      <c r="K1634" s="5" t="s">
        <v>12015</v>
      </c>
      <c r="L1634" s="5" t="s">
        <v>12997</v>
      </c>
      <c r="M1634" s="5" t="s">
        <v>12998</v>
      </c>
      <c r="N1634" s="7" t="s">
        <v>12999</v>
      </c>
      <c r="O1634" s="8" t="str">
        <f>HYPERLINK("https://drive.google.com/file/d/1KoIu_b_7jNASvN96RXUNjuvrL5b6rSpk/view?usp=drivesdk","1633_Apt. FATIMAH S HI LA HASAN, S.Farm _ SERTIFIKAT BIMTEK IPASN BerAKHLASK")</f>
        <v>1633_Apt. FATIMAH S HI LA HASAN, S.Farm _ SERTIFIKAT BIMTEK IPASN BerAKHLASK</v>
      </c>
      <c r="P1634" s="5" t="s">
        <v>11803</v>
      </c>
      <c r="Q1634" s="5"/>
      <c r="R1634" s="5"/>
      <c r="S1634" s="5"/>
      <c r="T1634" s="5"/>
    </row>
    <row r="1635">
      <c r="A1635" s="4">
        <v>45534.33545626157</v>
      </c>
      <c r="B1635" s="5" t="s">
        <v>34</v>
      </c>
      <c r="D1635" s="5" t="s">
        <v>10444</v>
      </c>
      <c r="E1635" s="5" t="s">
        <v>13000</v>
      </c>
      <c r="F1635" s="5" t="s">
        <v>524</v>
      </c>
      <c r="G1635" s="5" t="s">
        <v>13001</v>
      </c>
      <c r="H1635" s="6" t="s">
        <v>13002</v>
      </c>
      <c r="I1635" s="7" t="s">
        <v>13003</v>
      </c>
      <c r="J1635" s="8" t="str">
        <f>HYPERLINK("https://drive.google.com/file/d/1w8r0APmuT9mphKRFNCRW9zLNCOBHTjSp/view?usp=drivesdk","SYARIFAH DESSY ALKADRIE, AMD SERTIFIKAT BerAKHLAK")</f>
        <v>SYARIFAH DESSY ALKADRIE, AMD SERTIFIKAT BerAKHLAK</v>
      </c>
      <c r="K1635" s="5" t="s">
        <v>12015</v>
      </c>
      <c r="L1635" s="5" t="s">
        <v>13004</v>
      </c>
      <c r="M1635" s="5" t="s">
        <v>13005</v>
      </c>
      <c r="N1635" s="7" t="s">
        <v>13006</v>
      </c>
      <c r="O1635" s="8" t="str">
        <f>HYPERLINK("https://drive.google.com/file/d/1YLVef8IyppDW8NcYF6IKHPv5LDh57Tzn/view?usp=drivesdk","1634_SYARIFAH DESSY ALKADRIE, AMD _ SERTIFIKAT BIMTEK IPASN BerAKHLASK")</f>
        <v>1634_SYARIFAH DESSY ALKADRIE, AMD _ SERTIFIKAT BIMTEK IPASN BerAKHLASK</v>
      </c>
      <c r="P1635" s="5" t="s">
        <v>13007</v>
      </c>
      <c r="Q1635" s="5"/>
      <c r="R1635" s="5"/>
      <c r="S1635" s="5"/>
      <c r="T1635" s="5"/>
    </row>
    <row r="1636">
      <c r="A1636" s="4">
        <v>45534.33546454861</v>
      </c>
      <c r="B1636" s="5" t="s">
        <v>34</v>
      </c>
      <c r="D1636" s="5" t="s">
        <v>280</v>
      </c>
      <c r="E1636" s="5" t="s">
        <v>13008</v>
      </c>
      <c r="F1636" s="5" t="s">
        <v>715</v>
      </c>
      <c r="G1636" s="5" t="s">
        <v>13009</v>
      </c>
      <c r="H1636" s="6" t="s">
        <v>13010</v>
      </c>
      <c r="K1636" s="5" t="s">
        <v>13011</v>
      </c>
      <c r="M1636" s="5" t="s">
        <v>13012</v>
      </c>
      <c r="N1636" s="7" t="s">
        <v>13013</v>
      </c>
      <c r="O1636" s="8" t="str">
        <f>HYPERLINK("https://drive.google.com/file/d/1smVELzWRG7MLa3wfBa5O_QET9bJQckw0/view?usp=drivesdk","1635_RANTY PATMADORI,SE _ SERTIFIKAT BIMTEK IPASN BerAKHLASK")</f>
        <v>1635_RANTY PATMADORI,SE _ SERTIFIKAT BIMTEK IPASN BerAKHLASK</v>
      </c>
      <c r="P1636" s="5" t="s">
        <v>13007</v>
      </c>
      <c r="Q1636" s="5"/>
      <c r="R1636" s="5"/>
      <c r="S1636" s="5"/>
      <c r="T1636" s="5"/>
    </row>
    <row r="1637">
      <c r="A1637" s="4">
        <v>45534.33546810185</v>
      </c>
      <c r="B1637" s="5" t="s">
        <v>34</v>
      </c>
      <c r="D1637" s="5" t="s">
        <v>6232</v>
      </c>
      <c r="E1637" s="5" t="s">
        <v>13014</v>
      </c>
      <c r="F1637" s="5" t="s">
        <v>37</v>
      </c>
      <c r="G1637" s="5" t="s">
        <v>13015</v>
      </c>
      <c r="H1637" s="6" t="s">
        <v>13016</v>
      </c>
      <c r="K1637" s="5" t="s">
        <v>13011</v>
      </c>
      <c r="M1637" s="5" t="s">
        <v>13017</v>
      </c>
      <c r="N1637" s="7" t="s">
        <v>13018</v>
      </c>
      <c r="O1637" s="8" t="str">
        <f>HYPERLINK("https://drive.google.com/file/d/1HY-50bR_BbRe-Ljlq00KvmJLajHTiUh3/view?usp=drivesdk","1636_RISTAULI SIANTURI _ SERTIFIKAT BIMTEK IPASN BerAKHLASK")</f>
        <v>1636_RISTAULI SIANTURI _ SERTIFIKAT BIMTEK IPASN BerAKHLASK</v>
      </c>
      <c r="P1637" s="5" t="s">
        <v>13007</v>
      </c>
      <c r="Q1637" s="5"/>
      <c r="R1637" s="5"/>
      <c r="S1637" s="5"/>
      <c r="T1637" s="5"/>
    </row>
    <row r="1638">
      <c r="A1638" s="4">
        <v>45534.335471134254</v>
      </c>
      <c r="B1638" s="5" t="s">
        <v>34</v>
      </c>
      <c r="D1638" s="5" t="s">
        <v>4775</v>
      </c>
      <c r="E1638" s="5" t="s">
        <v>13019</v>
      </c>
      <c r="F1638" s="5" t="s">
        <v>72</v>
      </c>
      <c r="G1638" s="5" t="s">
        <v>13020</v>
      </c>
      <c r="H1638" s="6" t="s">
        <v>13021</v>
      </c>
      <c r="K1638" s="5" t="s">
        <v>13011</v>
      </c>
      <c r="M1638" s="5" t="s">
        <v>13022</v>
      </c>
      <c r="N1638" s="7" t="s">
        <v>13023</v>
      </c>
      <c r="O1638" s="8" t="str">
        <f>HYPERLINK("https://drive.google.com/file/d/1NFnqDZvihel1V-F9fXq8une_tHVUMFjB/view?usp=drivesdk","1637_AGUS SARJITO, A.Md. _ SERTIFIKAT BIMTEK IPASN BerAKHLASK")</f>
        <v>1637_AGUS SARJITO, A.Md. _ SERTIFIKAT BIMTEK IPASN BerAKHLASK</v>
      </c>
      <c r="P1638" s="5" t="s">
        <v>13007</v>
      </c>
      <c r="Q1638" s="5"/>
      <c r="R1638" s="5"/>
      <c r="S1638" s="5"/>
      <c r="T1638" s="5"/>
    </row>
    <row r="1639">
      <c r="A1639" s="4">
        <v>45534.33550302083</v>
      </c>
      <c r="B1639" s="5" t="s">
        <v>34</v>
      </c>
      <c r="D1639" s="5" t="s">
        <v>580</v>
      </c>
      <c r="E1639" s="5" t="s">
        <v>13024</v>
      </c>
      <c r="F1639" s="5" t="s">
        <v>5566</v>
      </c>
      <c r="G1639" s="5" t="s">
        <v>13025</v>
      </c>
      <c r="H1639" s="6" t="s">
        <v>13026</v>
      </c>
      <c r="I1639" s="7" t="s">
        <v>13027</v>
      </c>
      <c r="J1639" s="8" t="str">
        <f>HYPERLINK("https://drive.google.com/file/d/1lIhwNEkG-WQHjWIDCeonNOqona68aZTO/view?usp=drivesdk","I GUSTI BAGUS NGURAH KRISHNADINATHA SERTIFIKAT BerAKHLAK")</f>
        <v>I GUSTI BAGUS NGURAH KRISHNADINATHA SERTIFIKAT BerAKHLAK</v>
      </c>
      <c r="K1639" s="5" t="s">
        <v>12015</v>
      </c>
      <c r="L1639" s="5" t="s">
        <v>13028</v>
      </c>
      <c r="M1639" s="5" t="s">
        <v>13029</v>
      </c>
      <c r="N1639" s="7" t="s">
        <v>13030</v>
      </c>
      <c r="O1639" s="8" t="str">
        <f>HYPERLINK("https://drive.google.com/file/d/1Xe9SV5yM4l1Ps-0hl20vUwtxrlibl_Kq/view?usp=drivesdk","1638_I GUSTI BAGUS NGURAH KRISHNADINATHA _ SERTIFIKAT BIMTEK IPASN BerAKHLASK")</f>
        <v>1638_I GUSTI BAGUS NGURAH KRISHNADINATHA _ SERTIFIKAT BIMTEK IPASN BerAKHLASK</v>
      </c>
      <c r="P1639" s="5" t="s">
        <v>13007</v>
      </c>
      <c r="Q1639" s="5"/>
      <c r="R1639" s="5"/>
      <c r="S1639" s="5"/>
      <c r="T1639" s="5"/>
    </row>
    <row r="1640">
      <c r="A1640" s="4">
        <v>45534.335529641205</v>
      </c>
      <c r="B1640" s="5" t="s">
        <v>34</v>
      </c>
      <c r="D1640" s="5" t="s">
        <v>35</v>
      </c>
      <c r="E1640" s="5" t="s">
        <v>13031</v>
      </c>
      <c r="F1640" s="5" t="s">
        <v>108</v>
      </c>
      <c r="G1640" s="5" t="s">
        <v>13032</v>
      </c>
      <c r="H1640" s="6" t="s">
        <v>13033</v>
      </c>
      <c r="I1640" s="7" t="s">
        <v>13034</v>
      </c>
      <c r="J1640" s="8" t="str">
        <f>HYPERLINK("https://drive.google.com/file/d/1U0nrpTiwhzPDoHWeyuyfQix2atshFukJ/view?usp=drivesdk","PUSVARIKA SEPTERIANI, S.Si., M.M. SERTIFIKAT BerAKHLAK")</f>
        <v>PUSVARIKA SEPTERIANI, S.Si., M.M. SERTIFIKAT BerAKHLAK</v>
      </c>
      <c r="K1640" s="5" t="s">
        <v>12015</v>
      </c>
      <c r="L1640" s="5" t="s">
        <v>13035</v>
      </c>
      <c r="M1640" s="5" t="s">
        <v>13036</v>
      </c>
      <c r="N1640" s="7" t="s">
        <v>13037</v>
      </c>
      <c r="O1640" s="8" t="str">
        <f>HYPERLINK("https://drive.google.com/file/d/1LWLeLjPfp4XEBhM4vkLCK5pE7cXC3IfQ/view?usp=drivesdk","1639_PUSVARIKA SEPTERIANI, S.Si., M.M. _ SERTIFIKAT BIMTEK IPASN BerAKHLASK")</f>
        <v>1639_PUSVARIKA SEPTERIANI, S.Si., M.M. _ SERTIFIKAT BIMTEK IPASN BerAKHLASK</v>
      </c>
      <c r="P1640" s="5" t="s">
        <v>13038</v>
      </c>
      <c r="Q1640" s="5"/>
      <c r="R1640" s="5"/>
      <c r="S1640" s="5"/>
      <c r="T1640" s="5"/>
    </row>
    <row r="1641">
      <c r="A1641" s="4">
        <v>45534.33553162037</v>
      </c>
      <c r="B1641" s="5" t="s">
        <v>34</v>
      </c>
      <c r="D1641" s="5" t="s">
        <v>580</v>
      </c>
      <c r="E1641" s="5" t="s">
        <v>13039</v>
      </c>
      <c r="F1641" s="5" t="s">
        <v>37</v>
      </c>
      <c r="G1641" s="5" t="s">
        <v>13040</v>
      </c>
      <c r="H1641" s="6" t="s">
        <v>13041</v>
      </c>
      <c r="I1641" s="7" t="s">
        <v>13042</v>
      </c>
      <c r="J1641" s="8" t="str">
        <f>HYPERLINK("https://drive.google.com/file/d/1HjYOvKQ-zLCvIw4mw-BR8FWsjNbI_jky/view?usp=drivesdk","IDA BAGUS MADE WEDA ARSA, A.MD.AK SERTIFIKAT BerAKHLAK")</f>
        <v>IDA BAGUS MADE WEDA ARSA, A.MD.AK SERTIFIKAT BerAKHLAK</v>
      </c>
      <c r="K1641" s="5" t="s">
        <v>12015</v>
      </c>
      <c r="L1641" s="5" t="s">
        <v>13043</v>
      </c>
      <c r="M1641" s="5" t="s">
        <v>13044</v>
      </c>
      <c r="N1641" s="7" t="s">
        <v>13045</v>
      </c>
      <c r="O1641" s="8" t="str">
        <f>HYPERLINK("https://drive.google.com/file/d/1YvMxPq3FI-CrGhwtpu4jCx4WWO5xbzB8/view?usp=drivesdk","1640_IDA BAGUS MADE WEDA ARSA, A.MD.AK _ SERTIFIKAT BIMTEK IPASN BerAKHLASK")</f>
        <v>1640_IDA BAGUS MADE WEDA ARSA, A.MD.AK _ SERTIFIKAT BIMTEK IPASN BerAKHLASK</v>
      </c>
      <c r="P1641" s="5" t="s">
        <v>13038</v>
      </c>
      <c r="Q1641" s="5"/>
      <c r="R1641" s="5"/>
      <c r="S1641" s="5"/>
      <c r="T1641" s="5"/>
    </row>
    <row r="1642">
      <c r="A1642" s="4">
        <v>45534.335541423614</v>
      </c>
      <c r="B1642" s="5" t="s">
        <v>34</v>
      </c>
      <c r="D1642" s="5" t="s">
        <v>6232</v>
      </c>
      <c r="E1642" s="5" t="s">
        <v>13046</v>
      </c>
      <c r="F1642" s="5" t="s">
        <v>37</v>
      </c>
      <c r="G1642" s="5" t="s">
        <v>13047</v>
      </c>
      <c r="H1642" s="6" t="s">
        <v>13048</v>
      </c>
      <c r="I1642" s="7" t="s">
        <v>13049</v>
      </c>
      <c r="J1642" s="8" t="str">
        <f>HYPERLINK("https://drive.google.com/file/d/1uT6DVGJ7YBm5wADSPQKzgR6udyfQgcGB/view?usp=drivesdk","NYAYU MONANDA METHA, Am.Kep SERTIFIKAT BerAKHLAK")</f>
        <v>NYAYU MONANDA METHA, Am.Kep SERTIFIKAT BerAKHLAK</v>
      </c>
      <c r="K1642" s="5" t="s">
        <v>13050</v>
      </c>
      <c r="L1642" s="5" t="s">
        <v>13051</v>
      </c>
      <c r="M1642" s="5" t="s">
        <v>13052</v>
      </c>
      <c r="N1642" s="7" t="s">
        <v>13053</v>
      </c>
      <c r="O1642" s="8" t="str">
        <f>HYPERLINK("https://drive.google.com/file/d/1vYK5AV91e-D-9hNEyCJjaVRL21Ut36S5/view?usp=drivesdk","1641_NYAYU MONANDA METHA, Am.Kep _ SERTIFIKAT BIMTEK IPASN BerAKHLASK")</f>
        <v>1641_NYAYU MONANDA METHA, Am.Kep _ SERTIFIKAT BIMTEK IPASN BerAKHLASK</v>
      </c>
      <c r="P1642" s="5" t="s">
        <v>13038</v>
      </c>
      <c r="Q1642" s="5"/>
      <c r="R1642" s="5"/>
      <c r="S1642" s="5"/>
      <c r="T1642" s="5"/>
    </row>
    <row r="1643">
      <c r="A1643" s="4">
        <v>45534.335551956014</v>
      </c>
      <c r="B1643" s="5" t="s">
        <v>34</v>
      </c>
      <c r="D1643" s="5" t="s">
        <v>9020</v>
      </c>
      <c r="E1643" s="5" t="s">
        <v>13054</v>
      </c>
      <c r="F1643" s="5" t="s">
        <v>212</v>
      </c>
      <c r="G1643" s="5" t="s">
        <v>13055</v>
      </c>
      <c r="H1643" s="6" t="s">
        <v>13056</v>
      </c>
      <c r="I1643" s="7" t="s">
        <v>13057</v>
      </c>
      <c r="J1643" s="8" t="str">
        <f>HYPERLINK("https://drive.google.com/file/d/1576RCwwHCJSSEloRTDRFkvorn73awEJx/view?usp=drivesdk","MUHAMMAD ZEN SH SERTIFIKAT BerAKHLAK")</f>
        <v>MUHAMMAD ZEN SH SERTIFIKAT BerAKHLAK</v>
      </c>
      <c r="K1643" s="5" t="s">
        <v>13050</v>
      </c>
      <c r="L1643" s="5" t="s">
        <v>13058</v>
      </c>
      <c r="M1643" s="5" t="s">
        <v>13059</v>
      </c>
      <c r="N1643" s="7" t="s">
        <v>13060</v>
      </c>
      <c r="O1643" s="8" t="str">
        <f>HYPERLINK("https://drive.google.com/file/d/19wmYMjJ23EJAzpTnVov6-qJCadA2LVwC/view?usp=drivesdk","1642_MUHAMMAD ZEN SH _ SERTIFIKAT BIMTEK IPASN BerAKHLASK")</f>
        <v>1642_MUHAMMAD ZEN SH _ SERTIFIKAT BIMTEK IPASN BerAKHLASK</v>
      </c>
      <c r="P1643" s="5" t="s">
        <v>13038</v>
      </c>
      <c r="Q1643" s="5"/>
      <c r="R1643" s="5"/>
      <c r="S1643" s="5"/>
      <c r="T1643" s="5"/>
    </row>
    <row r="1644">
      <c r="A1644" s="4">
        <v>45534.335559224535</v>
      </c>
      <c r="B1644" s="5" t="s">
        <v>34</v>
      </c>
      <c r="D1644" s="5" t="s">
        <v>9020</v>
      </c>
      <c r="E1644" s="5" t="s">
        <v>13061</v>
      </c>
      <c r="F1644" s="5" t="s">
        <v>72</v>
      </c>
      <c r="G1644" s="5" t="s">
        <v>13062</v>
      </c>
      <c r="H1644" s="6" t="s">
        <v>13063</v>
      </c>
      <c r="I1644" s="7" t="s">
        <v>13064</v>
      </c>
      <c r="J1644" s="8" t="str">
        <f>HYPERLINK("https://drive.google.com/file/d/1Wzg2OaOA2ERnbwlC1KzYECgSxVrKtFag/view?usp=drivesdk","LUH PUTU SEPTIANDARI SERTIFIKAT BerAKHLAK")</f>
        <v>LUH PUTU SEPTIANDARI SERTIFIKAT BerAKHLAK</v>
      </c>
      <c r="K1644" s="5" t="s">
        <v>12015</v>
      </c>
      <c r="L1644" s="5" t="s">
        <v>13065</v>
      </c>
      <c r="M1644" s="5" t="s">
        <v>13066</v>
      </c>
      <c r="N1644" s="7" t="s">
        <v>13067</v>
      </c>
      <c r="O1644" s="8" t="str">
        <f>HYPERLINK("https://drive.google.com/file/d/1mlCPQnexDU8IaWqHw8lrB4tdua_4gPHD/view?usp=drivesdk","1643_LUH PUTU SEPTIANDARI _ SERTIFIKAT BIMTEK IPASN BerAKHLASK")</f>
        <v>1643_LUH PUTU SEPTIANDARI _ SERTIFIKAT BIMTEK IPASN BerAKHLASK</v>
      </c>
      <c r="P1644" s="5" t="s">
        <v>13038</v>
      </c>
      <c r="Q1644" s="5"/>
      <c r="R1644" s="5"/>
      <c r="S1644" s="5"/>
      <c r="T1644" s="5"/>
    </row>
    <row r="1645">
      <c r="A1645" s="4">
        <v>45534.33557486111</v>
      </c>
      <c r="B1645" s="5" t="s">
        <v>34</v>
      </c>
      <c r="D1645" s="5" t="s">
        <v>9020</v>
      </c>
      <c r="E1645" s="5" t="s">
        <v>13068</v>
      </c>
      <c r="F1645" s="5" t="s">
        <v>37</v>
      </c>
      <c r="G1645" s="5" t="s">
        <v>13069</v>
      </c>
      <c r="H1645" s="6" t="s">
        <v>13070</v>
      </c>
      <c r="I1645" s="7" t="s">
        <v>13071</v>
      </c>
      <c r="J1645" s="8" t="str">
        <f>HYPERLINK("https://drive.google.com/file/d/10W8upAzoJs-vcPsIhEONzgOyizXUxIkb/view?usp=drivesdk","LISMAWATY SARAGIH, SH SERTIFIKAT BerAKHLAK")</f>
        <v>LISMAWATY SARAGIH, SH SERTIFIKAT BerAKHLAK</v>
      </c>
      <c r="K1645" s="5" t="s">
        <v>12015</v>
      </c>
      <c r="L1645" s="5" t="s">
        <v>13072</v>
      </c>
      <c r="M1645" s="5" t="s">
        <v>13073</v>
      </c>
      <c r="N1645" s="7" t="s">
        <v>13074</v>
      </c>
      <c r="O1645" s="8" t="str">
        <f>HYPERLINK("https://drive.google.com/file/d/1YF3ltRChy_i5Dl-pGedpn5EFvlczKc2F/view?usp=drivesdk","1644_LISMAWATY SARAGIH, SH _ SERTIFIKAT BIMTEK IPASN BerAKHLASK")</f>
        <v>1644_LISMAWATY SARAGIH, SH _ SERTIFIKAT BIMTEK IPASN BerAKHLASK</v>
      </c>
      <c r="P1645" s="5" t="s">
        <v>13075</v>
      </c>
      <c r="Q1645" s="5"/>
      <c r="R1645" s="5"/>
      <c r="S1645" s="5"/>
      <c r="T1645" s="5"/>
    </row>
    <row r="1646">
      <c r="A1646" s="4">
        <v>45534.33558021991</v>
      </c>
      <c r="B1646" s="5" t="s">
        <v>34</v>
      </c>
      <c r="D1646" s="5" t="s">
        <v>1206</v>
      </c>
      <c r="E1646" s="5" t="s">
        <v>13076</v>
      </c>
      <c r="F1646" s="5" t="s">
        <v>120</v>
      </c>
      <c r="G1646" s="5" t="s">
        <v>13077</v>
      </c>
      <c r="H1646" s="6" t="s">
        <v>13078</v>
      </c>
      <c r="I1646" s="7" t="s">
        <v>13079</v>
      </c>
      <c r="J1646" s="8" t="str">
        <f>HYPERLINK("https://drive.google.com/file/d/1AYyaErRe9lJQd2dKQDWWF3MDgHUqKYYF/view?usp=drivesdk","MARGARETHA LIESTYORINI,S.T., M.M. SERTIFIKAT BerAKHLAK")</f>
        <v>MARGARETHA LIESTYORINI,S.T., M.M. SERTIFIKAT BerAKHLAK</v>
      </c>
      <c r="K1646" s="5" t="s">
        <v>13080</v>
      </c>
      <c r="L1646" s="5" t="s">
        <v>13081</v>
      </c>
      <c r="M1646" s="5" t="s">
        <v>13082</v>
      </c>
      <c r="N1646" s="7" t="s">
        <v>13083</v>
      </c>
      <c r="O1646" s="8" t="str">
        <f>HYPERLINK("https://drive.google.com/file/d/1HnjNbdu4SinRusxX_x8AnjRx5TZNyqae/view?usp=drivesdk","1645_MARGARETHA LIESTYORINI,S.T., M.M. _ SERTIFIKAT BIMTEK IPASN BerAKHLASK")</f>
        <v>1645_MARGARETHA LIESTYORINI,S.T., M.M. _ SERTIFIKAT BIMTEK IPASN BerAKHLASK</v>
      </c>
      <c r="P1646" s="5" t="s">
        <v>13075</v>
      </c>
      <c r="Q1646" s="5"/>
      <c r="R1646" s="5"/>
      <c r="S1646" s="5"/>
      <c r="T1646" s="5"/>
    </row>
    <row r="1647">
      <c r="A1647" s="4">
        <v>45534.33558138889</v>
      </c>
      <c r="B1647" s="5" t="s">
        <v>34</v>
      </c>
      <c r="D1647" s="5" t="s">
        <v>1692</v>
      </c>
      <c r="E1647" s="5" t="s">
        <v>13084</v>
      </c>
      <c r="F1647" s="5" t="s">
        <v>72</v>
      </c>
      <c r="G1647" s="5" t="s">
        <v>13085</v>
      </c>
      <c r="H1647" s="6" t="s">
        <v>13086</v>
      </c>
      <c r="I1647" s="7" t="s">
        <v>13087</v>
      </c>
      <c r="J1647" s="8" t="str">
        <f>HYPERLINK("https://drive.google.com/file/d/1o4Nq1wzHalkdFK52GGhUGaRRItIlrJU9/view?usp=drivesdk","MIEKE KILMANUN  SERTIFIKAT BerAKHLAK")</f>
        <v>MIEKE KILMANUN  SERTIFIKAT BerAKHLAK</v>
      </c>
      <c r="K1647" s="5" t="s">
        <v>13080</v>
      </c>
      <c r="L1647" s="5" t="s">
        <v>13088</v>
      </c>
      <c r="M1647" s="5" t="s">
        <v>13089</v>
      </c>
      <c r="N1647" s="7" t="s">
        <v>13090</v>
      </c>
      <c r="O1647" s="8" t="str">
        <f>HYPERLINK("https://drive.google.com/file/d/19cwX5_h2lEf5Qs02FmzBU01yYGB0Kzww/view?usp=drivesdk","1646_MIEKE KILMANUN  _ SERTIFIKAT BIMTEK IPASN BerAKHLASK")</f>
        <v>1646_MIEKE KILMANUN  _ SERTIFIKAT BIMTEK IPASN BerAKHLASK</v>
      </c>
      <c r="P1647" s="5" t="s">
        <v>13075</v>
      </c>
      <c r="Q1647" s="5"/>
      <c r="R1647" s="5"/>
      <c r="S1647" s="5"/>
      <c r="T1647" s="5"/>
    </row>
    <row r="1648">
      <c r="A1648" s="4">
        <v>45534.33559199074</v>
      </c>
      <c r="B1648" s="5" t="s">
        <v>34</v>
      </c>
      <c r="D1648" s="5" t="s">
        <v>3432</v>
      </c>
      <c r="E1648" s="5" t="s">
        <v>13091</v>
      </c>
      <c r="F1648" s="5" t="s">
        <v>212</v>
      </c>
      <c r="G1648" s="5" t="s">
        <v>13092</v>
      </c>
      <c r="H1648" s="6" t="s">
        <v>13093</v>
      </c>
      <c r="I1648" s="7" t="s">
        <v>13094</v>
      </c>
      <c r="J1648" s="8" t="str">
        <f>HYPERLINK("https://drive.google.com/file/d/1dPQwULSgyAzc78jRUJohDWKz68rzV0Cr/view?usp=drivesdk","ADRIANI ZUBAIDAH M. KAMAL SERTIFIKAT BerAKHLAK")</f>
        <v>ADRIANI ZUBAIDAH M. KAMAL SERTIFIKAT BerAKHLAK</v>
      </c>
      <c r="K1648" s="5" t="s">
        <v>13080</v>
      </c>
      <c r="L1648" s="5" t="s">
        <v>13095</v>
      </c>
      <c r="M1648" s="5" t="s">
        <v>13096</v>
      </c>
      <c r="N1648" s="7" t="s">
        <v>13097</v>
      </c>
      <c r="O1648" s="8" t="str">
        <f>HYPERLINK("https://drive.google.com/file/d/1TRWfpfPCPAsiFSgNddPWIlRpwn4I1LbI/view?usp=drivesdk","1647_ADRIANI ZUBAIDAH M. KAMAL _ SERTIFIKAT BIMTEK IPASN BerAKHLASK")</f>
        <v>1647_ADRIANI ZUBAIDAH M. KAMAL _ SERTIFIKAT BIMTEK IPASN BerAKHLASK</v>
      </c>
      <c r="P1648" s="5" t="s">
        <v>13075</v>
      </c>
      <c r="Q1648" s="5"/>
      <c r="R1648" s="5"/>
      <c r="S1648" s="5"/>
      <c r="T1648" s="5"/>
    </row>
    <row r="1649">
      <c r="A1649" s="4">
        <v>45534.33559758102</v>
      </c>
      <c r="B1649" s="5" t="s">
        <v>34</v>
      </c>
      <c r="D1649" s="5" t="s">
        <v>12978</v>
      </c>
      <c r="E1649" s="5" t="s">
        <v>13098</v>
      </c>
      <c r="F1649" s="5" t="s">
        <v>524</v>
      </c>
      <c r="G1649" s="5" t="s">
        <v>13099</v>
      </c>
      <c r="H1649" s="6" t="s">
        <v>13100</v>
      </c>
      <c r="I1649" s="7" t="s">
        <v>13101</v>
      </c>
      <c r="J1649" s="8" t="str">
        <f>HYPERLINK("https://drive.google.com/file/d/1eU9PRrlyi_Gp6qF_kCbyK1ijRC90Sh9Q/view?usp=drivesdk","RINO SETIYADI,S.E. SERTIFIKAT BerAKHLAK")</f>
        <v>RINO SETIYADI,S.E. SERTIFIKAT BerAKHLAK</v>
      </c>
      <c r="K1649" s="5" t="s">
        <v>13080</v>
      </c>
      <c r="L1649" s="5" t="s">
        <v>13102</v>
      </c>
      <c r="M1649" s="5" t="s">
        <v>13103</v>
      </c>
      <c r="N1649" s="7" t="s">
        <v>13104</v>
      </c>
      <c r="O1649" s="8" t="str">
        <f>HYPERLINK("https://drive.google.com/file/d/1lGokWPJVeMXUQZsgfhzF6XAABp9o5zsm/view?usp=drivesdk","1648_RINO SETIYADI,S.E. _ SERTIFIKAT BIMTEK IPASN BerAKHLASK")</f>
        <v>1648_RINO SETIYADI,S.E. _ SERTIFIKAT BIMTEK IPASN BerAKHLASK</v>
      </c>
      <c r="P1649" s="5" t="s">
        <v>13105</v>
      </c>
      <c r="Q1649" s="5"/>
      <c r="R1649" s="5"/>
      <c r="S1649" s="5"/>
      <c r="T1649" s="5"/>
    </row>
    <row r="1650">
      <c r="A1650" s="4">
        <v>45534.335600949074</v>
      </c>
      <c r="B1650" s="5" t="s">
        <v>34</v>
      </c>
      <c r="D1650" s="5" t="s">
        <v>522</v>
      </c>
      <c r="E1650" s="5" t="s">
        <v>13106</v>
      </c>
      <c r="F1650" s="5" t="s">
        <v>72</v>
      </c>
      <c r="G1650" s="5" t="s">
        <v>13107</v>
      </c>
      <c r="H1650" s="6" t="s">
        <v>13108</v>
      </c>
      <c r="I1650" s="7" t="s">
        <v>13109</v>
      </c>
      <c r="J1650" s="8" t="str">
        <f>HYPERLINK("https://drive.google.com/file/d/1PpYkM0nA_CQt20TaVMzNTU41gyCnVAaZ/view?usp=drivesdk","MUHAMMAD IRWAN WAHYUDI SERTIFIKAT BerAKHLAK")</f>
        <v>MUHAMMAD IRWAN WAHYUDI SERTIFIKAT BerAKHLAK</v>
      </c>
      <c r="K1650" s="5" t="s">
        <v>12015</v>
      </c>
      <c r="L1650" s="5" t="s">
        <v>13110</v>
      </c>
      <c r="M1650" s="5" t="s">
        <v>13111</v>
      </c>
      <c r="N1650" s="7" t="s">
        <v>13112</v>
      </c>
      <c r="O1650" s="8" t="str">
        <f>HYPERLINK("https://drive.google.com/file/d/1wOy2WT5D8RFMfpcUXFwNoTL_3sQyoEGQ/view?usp=drivesdk","1649_MUHAMMAD IRWAN WAHYUDI _ SERTIFIKAT BIMTEK IPASN BerAKHLASK")</f>
        <v>1649_MUHAMMAD IRWAN WAHYUDI _ SERTIFIKAT BIMTEK IPASN BerAKHLASK</v>
      </c>
      <c r="P1650" s="5" t="s">
        <v>13113</v>
      </c>
      <c r="Q1650" s="5"/>
      <c r="R1650" s="5"/>
      <c r="S1650" s="5"/>
      <c r="T1650" s="5"/>
    </row>
    <row r="1651">
      <c r="A1651" s="4">
        <v>45534.335604340275</v>
      </c>
      <c r="B1651" s="5" t="s">
        <v>34</v>
      </c>
      <c r="D1651" s="5" t="s">
        <v>1206</v>
      </c>
      <c r="E1651" s="5" t="s">
        <v>13114</v>
      </c>
      <c r="F1651" s="5" t="s">
        <v>524</v>
      </c>
      <c r="G1651" s="5" t="s">
        <v>13115</v>
      </c>
      <c r="H1651" s="6" t="s">
        <v>13116</v>
      </c>
      <c r="I1651" s="7" t="s">
        <v>13117</v>
      </c>
      <c r="J1651" s="8" t="str">
        <f>HYPERLINK("https://drive.google.com/file/d/1cU6h6GSMOfz8AVYbGna0oMNt5yDTGEpp/view?usp=drivesdk","BAMBANG EDI PURWANTO SERTIFIKAT BerAKHLAK")</f>
        <v>BAMBANG EDI PURWANTO SERTIFIKAT BerAKHLAK</v>
      </c>
      <c r="K1651" s="5" t="s">
        <v>12015</v>
      </c>
      <c r="L1651" s="5" t="s">
        <v>13118</v>
      </c>
      <c r="M1651" s="5" t="s">
        <v>13119</v>
      </c>
      <c r="N1651" s="7" t="s">
        <v>13120</v>
      </c>
      <c r="O1651" s="8" t="str">
        <f>HYPERLINK("https://drive.google.com/file/d/1mSuNECvalTS6hf2aLAGKPP665Ln-nNt6/view?usp=drivesdk","1650_BAMBANG EDI PURWANTO _ SERTIFIKAT BIMTEK IPASN BerAKHLASK")</f>
        <v>1650_BAMBANG EDI PURWANTO _ SERTIFIKAT BIMTEK IPASN BerAKHLASK</v>
      </c>
      <c r="P1651" s="5" t="s">
        <v>13121</v>
      </c>
      <c r="Q1651" s="5"/>
      <c r="R1651" s="5"/>
      <c r="S1651" s="5"/>
      <c r="T1651" s="5"/>
    </row>
    <row r="1652" hidden="1">
      <c r="A1652" s="4">
        <v>45534.33560902778</v>
      </c>
      <c r="B1652" s="5" t="s">
        <v>19</v>
      </c>
      <c r="C1652" s="5" t="s">
        <v>3301</v>
      </c>
      <c r="E1652" s="5" t="s">
        <v>13122</v>
      </c>
      <c r="F1652" s="5" t="s">
        <v>22</v>
      </c>
      <c r="G1652" s="5" t="s">
        <v>13123</v>
      </c>
      <c r="H1652" s="6" t="s">
        <v>13124</v>
      </c>
      <c r="K1652" s="5" t="s">
        <v>13125</v>
      </c>
      <c r="M1652" s="5" t="s">
        <v>13126</v>
      </c>
      <c r="N1652" s="7" t="s">
        <v>13127</v>
      </c>
      <c r="O1652" s="8" t="str">
        <f>HYPERLINK("https://drive.google.com/file/d/1JthhKf86UnNudYhtLqra3cE5QaDib6FV/view?usp=drivesdk","1651_DRG RETNO AMBARSARI, M.K.M _ SERTIFIKAT BIMTEK IPASN BerAKHLASK")</f>
        <v>1651_DRG RETNO AMBARSARI, M.K.M _ SERTIFIKAT BIMTEK IPASN BerAKHLASK</v>
      </c>
      <c r="P1652" s="5" t="s">
        <v>13121</v>
      </c>
      <c r="Q1652" s="5"/>
      <c r="R1652" s="5"/>
      <c r="S1652" s="5"/>
      <c r="T1652" s="5"/>
    </row>
    <row r="1653">
      <c r="A1653" s="4">
        <v>45534.335611435185</v>
      </c>
      <c r="B1653" s="5" t="s">
        <v>34</v>
      </c>
      <c r="D1653" s="5" t="s">
        <v>35</v>
      </c>
      <c r="E1653" s="5" t="s">
        <v>13128</v>
      </c>
      <c r="F1653" s="5" t="s">
        <v>37</v>
      </c>
      <c r="G1653" s="5" t="s">
        <v>13129</v>
      </c>
      <c r="H1653" s="6" t="s">
        <v>13130</v>
      </c>
      <c r="K1653" s="5" t="s">
        <v>13125</v>
      </c>
      <c r="M1653" s="5" t="s">
        <v>13131</v>
      </c>
      <c r="N1653" s="7" t="s">
        <v>13132</v>
      </c>
      <c r="O1653" s="8" t="str">
        <f>HYPERLINK("https://drive.google.com/file/d/1MRdyNMUFwWlzagu8m-7tbsjgmA51if_M/view?usp=drivesdk","1652_N NANI N NANI NANI _ SERTIFIKAT BIMTEK IPASN BerAKHLASK")</f>
        <v>1652_N NANI N NANI NANI _ SERTIFIKAT BIMTEK IPASN BerAKHLASK</v>
      </c>
      <c r="P1653" s="5" t="s">
        <v>13121</v>
      </c>
      <c r="Q1653" s="5"/>
      <c r="R1653" s="5"/>
      <c r="S1653" s="5"/>
      <c r="T1653" s="5"/>
    </row>
    <row r="1654">
      <c r="A1654" s="4">
        <v>45534.33561388889</v>
      </c>
      <c r="B1654" s="5" t="s">
        <v>34</v>
      </c>
      <c r="D1654" s="5" t="s">
        <v>604</v>
      </c>
      <c r="E1654" s="5" t="s">
        <v>13133</v>
      </c>
      <c r="F1654" s="5" t="s">
        <v>524</v>
      </c>
      <c r="G1654" s="5" t="s">
        <v>13134</v>
      </c>
      <c r="H1654" s="6" t="s">
        <v>13135</v>
      </c>
      <c r="K1654" s="5" t="s">
        <v>13125</v>
      </c>
      <c r="M1654" s="5" t="s">
        <v>13136</v>
      </c>
      <c r="N1654" s="7" t="s">
        <v>13137</v>
      </c>
      <c r="O1654" s="8" t="str">
        <f>HYPERLINK("https://drive.google.com/file/d/1xoejlEj263Zb0OlVyURIG5Vz69vvYD4d/view?usp=drivesdk","1653_SITI KHOWIYAH _ SERTIFIKAT BIMTEK IPASN BerAKHLASK")</f>
        <v>1653_SITI KHOWIYAH _ SERTIFIKAT BIMTEK IPASN BerAKHLASK</v>
      </c>
      <c r="P1654" s="5" t="s">
        <v>13121</v>
      </c>
      <c r="Q1654" s="5"/>
      <c r="R1654" s="5"/>
      <c r="S1654" s="5"/>
      <c r="T1654" s="5"/>
    </row>
    <row r="1655">
      <c r="A1655" s="4">
        <v>45534.335622025465</v>
      </c>
      <c r="B1655" s="5" t="s">
        <v>34</v>
      </c>
      <c r="D1655" s="5" t="s">
        <v>1206</v>
      </c>
      <c r="E1655" s="5" t="s">
        <v>13138</v>
      </c>
      <c r="F1655" s="5" t="s">
        <v>212</v>
      </c>
      <c r="G1655" s="5" t="s">
        <v>13139</v>
      </c>
      <c r="H1655" s="6" t="s">
        <v>13140</v>
      </c>
      <c r="K1655" s="5" t="s">
        <v>13125</v>
      </c>
      <c r="M1655" s="5" t="s">
        <v>13141</v>
      </c>
      <c r="N1655" s="7" t="s">
        <v>13142</v>
      </c>
      <c r="O1655" s="8" t="str">
        <f>HYPERLINK("https://drive.google.com/file/d/1KxNAqPv_1-enA6Hw_NoqagMXN42n91C-/view?usp=drivesdk","1654_KHOIRUNNISAK _ SERTIFIKAT BIMTEK IPASN BerAKHLASK")</f>
        <v>1654_KHOIRUNNISAK _ SERTIFIKAT BIMTEK IPASN BerAKHLASK</v>
      </c>
      <c r="P1655" s="5" t="s">
        <v>13121</v>
      </c>
      <c r="Q1655" s="5"/>
      <c r="R1655" s="5"/>
      <c r="S1655" s="5"/>
      <c r="T1655" s="5"/>
    </row>
    <row r="1656">
      <c r="A1656" s="4">
        <v>45534.335624803236</v>
      </c>
      <c r="B1656" s="5" t="s">
        <v>34</v>
      </c>
      <c r="D1656" s="5" t="s">
        <v>10444</v>
      </c>
      <c r="E1656" s="5" t="s">
        <v>13143</v>
      </c>
      <c r="F1656" s="5" t="s">
        <v>375</v>
      </c>
      <c r="G1656" s="5" t="s">
        <v>13144</v>
      </c>
      <c r="H1656" s="6" t="s">
        <v>13145</v>
      </c>
      <c r="K1656" s="5" t="s">
        <v>13125</v>
      </c>
      <c r="M1656" s="5" t="s">
        <v>13146</v>
      </c>
      <c r="N1656" s="7" t="s">
        <v>13147</v>
      </c>
      <c r="O1656" s="8" t="str">
        <f>HYPERLINK("https://drive.google.com/file/d/1pL7GQ460xUS7Dz6l7ea3MA4mzm-QSUM4/view?usp=drivesdk","1655_WIDIYASTUTI,SE _ SERTIFIKAT BIMTEK IPASN BerAKHLASK")</f>
        <v>1655_WIDIYASTUTI,SE _ SERTIFIKAT BIMTEK IPASN BerAKHLASK</v>
      </c>
      <c r="P1656" s="5" t="s">
        <v>13121</v>
      </c>
      <c r="Q1656" s="5"/>
      <c r="R1656" s="5"/>
      <c r="S1656" s="5"/>
      <c r="T1656" s="5"/>
    </row>
    <row r="1657" hidden="1">
      <c r="A1657" s="4">
        <v>45534.33563565972</v>
      </c>
      <c r="B1657" s="5" t="s">
        <v>19</v>
      </c>
      <c r="C1657" s="5" t="s">
        <v>11593</v>
      </c>
      <c r="E1657" s="5" t="s">
        <v>13148</v>
      </c>
      <c r="F1657" s="5" t="s">
        <v>524</v>
      </c>
      <c r="G1657" s="5" t="s">
        <v>13149</v>
      </c>
      <c r="H1657" s="6" t="s">
        <v>13150</v>
      </c>
      <c r="I1657" s="7" t="s">
        <v>13151</v>
      </c>
      <c r="J1657" s="8" t="str">
        <f>HYPERLINK("https://drive.google.com/file/d/1mT2pZxetroTTeOZd2MzentycpAbiwIgT/view?usp=drivesdk","IKA KUSWANDARI,AMAK,S.Si SERTIFIKAT BerAKHLAK")</f>
        <v>IKA KUSWANDARI,AMAK,S.Si SERTIFIKAT BerAKHLAK</v>
      </c>
      <c r="K1657" s="5" t="s">
        <v>12015</v>
      </c>
      <c r="L1657" s="5" t="s">
        <v>13152</v>
      </c>
      <c r="M1657" s="5" t="s">
        <v>13153</v>
      </c>
      <c r="N1657" s="7" t="s">
        <v>13154</v>
      </c>
      <c r="O1657" s="8" t="str">
        <f>HYPERLINK("https://drive.google.com/file/d/1KZ8dkoRk5rWKLkqyJ_lpSVGee_Y_Q9KR/view?usp=drivesdk","1656_IKA KUSWANDARI,AMAK,S.Si _ SERTIFIKAT BIMTEK IPASN BerAKHLASK")</f>
        <v>1656_IKA KUSWANDARI,AMAK,S.Si _ SERTIFIKAT BIMTEK IPASN BerAKHLASK</v>
      </c>
      <c r="P1657" s="5" t="s">
        <v>13155</v>
      </c>
      <c r="Q1657" s="5"/>
      <c r="R1657" s="5"/>
      <c r="S1657" s="5"/>
      <c r="T1657" s="5"/>
    </row>
    <row r="1658">
      <c r="A1658" s="4">
        <v>45534.33564193287</v>
      </c>
      <c r="B1658" s="5" t="s">
        <v>34</v>
      </c>
      <c r="D1658" s="5" t="s">
        <v>1206</v>
      </c>
      <c r="E1658" s="5" t="s">
        <v>13156</v>
      </c>
      <c r="F1658" s="5" t="s">
        <v>212</v>
      </c>
      <c r="G1658" s="5" t="s">
        <v>13157</v>
      </c>
      <c r="H1658" s="6" t="s">
        <v>13158</v>
      </c>
      <c r="I1658" s="7" t="s">
        <v>13159</v>
      </c>
      <c r="J1658" s="8" t="str">
        <f>HYPERLINK("https://drive.google.com/file/d/1JAmt9IeJCe6N6wjlCgumjqPR71rLiclV/view?usp=drivesdk","SUPARNO PENGATUR  SERTIFIKAT BerAKHLAK")</f>
        <v>SUPARNO PENGATUR  SERTIFIKAT BerAKHLAK</v>
      </c>
      <c r="K1658" s="5" t="s">
        <v>12015</v>
      </c>
      <c r="L1658" s="5" t="s">
        <v>13160</v>
      </c>
      <c r="M1658" s="5" t="s">
        <v>13161</v>
      </c>
      <c r="N1658" s="7" t="s">
        <v>13162</v>
      </c>
      <c r="O1658" s="8" t="str">
        <f>HYPERLINK("https://drive.google.com/file/d/1VE96prJ68WAuLaRNSWf-NT9a7rza0A3w/view?usp=drivesdk","1657_SUPARNO PENGATUR  _ SERTIFIKAT BIMTEK IPASN BerAKHLASK")</f>
        <v>1657_SUPARNO PENGATUR  _ SERTIFIKAT BIMTEK IPASN BerAKHLASK</v>
      </c>
      <c r="P1658" s="5" t="s">
        <v>13155</v>
      </c>
      <c r="Q1658" s="5"/>
      <c r="R1658" s="5"/>
      <c r="S1658" s="5"/>
      <c r="T1658" s="5"/>
    </row>
    <row r="1659" hidden="1">
      <c r="A1659" s="4">
        <v>45534.33565418981</v>
      </c>
      <c r="B1659" s="5" t="s">
        <v>19</v>
      </c>
      <c r="C1659" s="5" t="s">
        <v>5564</v>
      </c>
      <c r="E1659" s="5" t="s">
        <v>13163</v>
      </c>
      <c r="F1659" s="5" t="s">
        <v>6625</v>
      </c>
      <c r="G1659" s="5" t="s">
        <v>13164</v>
      </c>
      <c r="H1659" s="6" t="s">
        <v>13165</v>
      </c>
      <c r="I1659" s="7" t="s">
        <v>13166</v>
      </c>
      <c r="J1659" s="8" t="str">
        <f>HYPERLINK("https://drive.google.com/file/d/1OAvj-dg9GHqOf2-8NqIOBtTPkazHi1LP/view?usp=drivesdk","SUPRIIYANTO, S.ST., M.M. SERTIFIKAT BerAKHLAK")</f>
        <v>SUPRIIYANTO, S.ST., M.M. SERTIFIKAT BerAKHLAK</v>
      </c>
      <c r="K1659" s="5" t="s">
        <v>12015</v>
      </c>
      <c r="L1659" s="5" t="s">
        <v>13167</v>
      </c>
      <c r="M1659" s="5" t="s">
        <v>13168</v>
      </c>
      <c r="N1659" s="7" t="s">
        <v>13169</v>
      </c>
      <c r="O1659" s="8" t="str">
        <f>HYPERLINK("https://drive.google.com/file/d/1FhTm9ySLoz95hS6f5wAY_ut91QglBbRj/view?usp=drivesdk","1658_SUPRIIYANTO, S.ST., M.M. _ SERTIFIKAT BIMTEK IPASN BerAKHLASK")</f>
        <v>1658_SUPRIIYANTO, S.ST., M.M. _ SERTIFIKAT BIMTEK IPASN BerAKHLASK</v>
      </c>
      <c r="P1659" s="5" t="s">
        <v>13155</v>
      </c>
      <c r="Q1659" s="5"/>
      <c r="R1659" s="5"/>
      <c r="S1659" s="5"/>
      <c r="T1659" s="5"/>
    </row>
    <row r="1660">
      <c r="A1660" s="4">
        <v>45534.33567961806</v>
      </c>
      <c r="B1660" s="5" t="s">
        <v>34</v>
      </c>
      <c r="D1660" s="5" t="s">
        <v>1206</v>
      </c>
      <c r="E1660" s="5" t="s">
        <v>13170</v>
      </c>
      <c r="F1660" s="5" t="s">
        <v>72</v>
      </c>
      <c r="G1660" s="5" t="s">
        <v>13171</v>
      </c>
      <c r="H1660" s="6" t="s">
        <v>13172</v>
      </c>
      <c r="I1660" s="7" t="s">
        <v>13173</v>
      </c>
      <c r="J1660" s="8" t="str">
        <f>HYPERLINK("https://drive.google.com/file/d/14uu-r-3QMqiJ6FHSaqMFPUXNHOXukaQ8/view?usp=drivesdk","ARYANI SINTA WIDYASTUTI, A.MD SERTIFIKAT BerAKHLAK")</f>
        <v>ARYANI SINTA WIDYASTUTI, A.MD SERTIFIKAT BerAKHLAK</v>
      </c>
      <c r="K1660" s="5" t="s">
        <v>12015</v>
      </c>
      <c r="L1660" s="5" t="s">
        <v>13174</v>
      </c>
      <c r="M1660" s="5" t="s">
        <v>13175</v>
      </c>
      <c r="N1660" s="7" t="s">
        <v>13176</v>
      </c>
      <c r="O1660" s="8" t="str">
        <f>HYPERLINK("https://drive.google.com/file/d/1-K7YHdo3bB66VsaPVptn-fhWhiXlilgy/view?usp=drivesdk","1659_ARYANI SINTA WIDYASTUTI, A.MD _ SERTIFIKAT BIMTEK IPASN BerAKHLASK")</f>
        <v>1659_ARYANI SINTA WIDYASTUTI, A.MD _ SERTIFIKAT BIMTEK IPASN BerAKHLASK</v>
      </c>
      <c r="P1660" s="5" t="s">
        <v>13155</v>
      </c>
      <c r="Q1660" s="5"/>
      <c r="R1660" s="5"/>
      <c r="S1660" s="5"/>
      <c r="T1660" s="5"/>
    </row>
    <row r="1661">
      <c r="A1661" s="4">
        <v>45534.33568101852</v>
      </c>
      <c r="B1661" s="5" t="s">
        <v>34</v>
      </c>
      <c r="D1661" s="5" t="s">
        <v>280</v>
      </c>
      <c r="E1661" s="5" t="s">
        <v>13177</v>
      </c>
      <c r="F1661" s="5" t="s">
        <v>375</v>
      </c>
      <c r="G1661" s="5" t="s">
        <v>13178</v>
      </c>
      <c r="H1661" s="6" t="s">
        <v>13179</v>
      </c>
      <c r="I1661" s="7" t="s">
        <v>13180</v>
      </c>
      <c r="J1661" s="8" t="str">
        <f>HYPERLINK("https://drive.google.com/file/d/1Xa5m9AAwnoUeB9MQDdxVwf7b0jcrrmCe/view?usp=drivesdk","SACHA SURYANINGRAT SERTIFIKAT BerAKHLAK")</f>
        <v>SACHA SURYANINGRAT SERTIFIKAT BerAKHLAK</v>
      </c>
      <c r="K1661" s="5" t="s">
        <v>12015</v>
      </c>
      <c r="L1661" s="5" t="s">
        <v>13181</v>
      </c>
      <c r="M1661" s="5" t="s">
        <v>13182</v>
      </c>
      <c r="N1661" s="7" t="s">
        <v>13183</v>
      </c>
      <c r="O1661" s="8" t="str">
        <f>HYPERLINK("https://drive.google.com/file/d/1TMln15gLmt4C7s37Nwu7P4YuzeXoZXd_/view?usp=drivesdk","1660_SACHA SURYANINGRAT _ SERTIFIKAT BIMTEK IPASN BerAKHLASK")</f>
        <v>1660_SACHA SURYANINGRAT _ SERTIFIKAT BIMTEK IPASN BerAKHLASK</v>
      </c>
      <c r="P1661" s="5" t="s">
        <v>13155</v>
      </c>
      <c r="Q1661" s="5"/>
      <c r="R1661" s="5"/>
      <c r="S1661" s="5"/>
      <c r="T1661" s="5"/>
    </row>
    <row r="1662">
      <c r="A1662" s="4">
        <v>45534.33568553241</v>
      </c>
      <c r="B1662" s="5" t="s">
        <v>34</v>
      </c>
      <c r="D1662" s="5" t="s">
        <v>4775</v>
      </c>
      <c r="E1662" s="5" t="s">
        <v>13184</v>
      </c>
      <c r="F1662" s="5" t="s">
        <v>375</v>
      </c>
      <c r="G1662" s="5" t="s">
        <v>13185</v>
      </c>
      <c r="H1662" s="6" t="s">
        <v>13186</v>
      </c>
      <c r="I1662" s="7" t="s">
        <v>13187</v>
      </c>
      <c r="J1662" s="8" t="str">
        <f>HYPERLINK("https://drive.google.com/file/d/1FWfWhJ01k97jTNuRWx6d08XIy7vhqTan/view?usp=drivesdk","IDA SOFIYATI, S.E., M.M. SERTIFIKAT BerAKHLAK")</f>
        <v>IDA SOFIYATI, S.E., M.M. SERTIFIKAT BerAKHLAK</v>
      </c>
      <c r="K1662" s="5" t="s">
        <v>12015</v>
      </c>
      <c r="L1662" s="5" t="s">
        <v>13188</v>
      </c>
      <c r="M1662" s="5" t="s">
        <v>13189</v>
      </c>
      <c r="N1662" s="7" t="s">
        <v>13190</v>
      </c>
      <c r="O1662" s="8" t="str">
        <f>HYPERLINK("https://drive.google.com/file/d/1b6KqOBZrfwqIKovUWhDhBsgrLrNzEmXW/view?usp=drivesdk","1661_IDA SOFIYATI, S.E., M.M. _ SERTIFIKAT BIMTEK IPASN BerAKHLASK")</f>
        <v>1661_IDA SOFIYATI, S.E., M.M. _ SERTIFIKAT BIMTEK IPASN BerAKHLASK</v>
      </c>
      <c r="P1662" s="5" t="s">
        <v>13191</v>
      </c>
      <c r="Q1662" s="5"/>
      <c r="R1662" s="5"/>
      <c r="S1662" s="5"/>
      <c r="T1662" s="5"/>
    </row>
    <row r="1663">
      <c r="A1663" s="4">
        <v>45534.33569006945</v>
      </c>
      <c r="B1663" s="5" t="s">
        <v>34</v>
      </c>
      <c r="D1663" s="5" t="s">
        <v>604</v>
      </c>
      <c r="E1663" s="5" t="s">
        <v>13192</v>
      </c>
      <c r="F1663" s="5" t="s">
        <v>37</v>
      </c>
      <c r="G1663" s="5" t="s">
        <v>13193</v>
      </c>
      <c r="H1663" s="6" t="s">
        <v>13194</v>
      </c>
      <c r="I1663" s="7" t="s">
        <v>13195</v>
      </c>
      <c r="J1663" s="8" t="str">
        <f>HYPERLINK("https://drive.google.com/file/d/1GUihyERxovEDMXJXCNUB5mVNHySakUEu/view?usp=drivesdk","NI NYOMAN AYU IRIANI, A.Md.Kom SERTIFIKAT BerAKHLAK")</f>
        <v>NI NYOMAN AYU IRIANI, A.Md.Kom SERTIFIKAT BerAKHLAK</v>
      </c>
      <c r="K1663" s="5" t="s">
        <v>12015</v>
      </c>
      <c r="L1663" s="5" t="s">
        <v>13196</v>
      </c>
      <c r="M1663" s="5" t="s">
        <v>13197</v>
      </c>
      <c r="N1663" s="7" t="s">
        <v>13198</v>
      </c>
      <c r="O1663" s="8" t="str">
        <f>HYPERLINK("https://drive.google.com/file/d/1mUWtqudlM3l_ry9ObKkVUeEAh4eu_ZcG/view?usp=drivesdk","1662_NI NYOMAN AYU IRIANI, A.Md.Kom _ SERTIFIKAT BIMTEK IPASN BerAKHLASK")</f>
        <v>1662_NI NYOMAN AYU IRIANI, A.Md.Kom _ SERTIFIKAT BIMTEK IPASN BerAKHLASK</v>
      </c>
      <c r="P1663" s="5" t="s">
        <v>13191</v>
      </c>
      <c r="Q1663" s="5"/>
      <c r="R1663" s="5"/>
      <c r="S1663" s="5"/>
      <c r="T1663" s="5"/>
    </row>
    <row r="1664">
      <c r="A1664" s="4">
        <v>45534.33569637731</v>
      </c>
      <c r="B1664" s="5" t="s">
        <v>34</v>
      </c>
      <c r="D1664" s="5" t="s">
        <v>267</v>
      </c>
      <c r="E1664" s="5" t="s">
        <v>13199</v>
      </c>
      <c r="F1664" s="5" t="s">
        <v>108</v>
      </c>
      <c r="G1664" s="5" t="s">
        <v>13200</v>
      </c>
      <c r="H1664" s="6" t="s">
        <v>13201</v>
      </c>
      <c r="I1664" s="7" t="s">
        <v>13202</v>
      </c>
      <c r="J1664" s="8" t="str">
        <f>HYPERLINK("https://drive.google.com/file/d/1xlNO4ADxgqZYbFzJwkXjU9oxHlhb6183/view?usp=drivesdk","CATUR PUNGKASTO, A.Md., S.M. SERTIFIKAT BerAKHLAK")</f>
        <v>CATUR PUNGKASTO, A.Md., S.M. SERTIFIKAT BerAKHLAK</v>
      </c>
      <c r="K1664" s="5" t="s">
        <v>13080</v>
      </c>
      <c r="L1664" s="5" t="s">
        <v>13203</v>
      </c>
      <c r="M1664" s="5" t="s">
        <v>13204</v>
      </c>
      <c r="N1664" s="7" t="s">
        <v>13205</v>
      </c>
      <c r="O1664" s="8" t="str">
        <f>HYPERLINK("https://drive.google.com/file/d/1AnztLBm5_NSKaT5W4AokQarkYa3WEx1-/view?usp=drivesdk","1663_CATUR PUNGKASTO, A.Md., S.M. _ SERTIFIKAT BIMTEK IPASN BerAKHLASK")</f>
        <v>1663_CATUR PUNGKASTO, A.Md., S.M. _ SERTIFIKAT BIMTEK IPASN BerAKHLASK</v>
      </c>
      <c r="P1664" s="5" t="s">
        <v>13191</v>
      </c>
      <c r="Q1664" s="5"/>
      <c r="R1664" s="5"/>
      <c r="S1664" s="5"/>
      <c r="T1664" s="5"/>
    </row>
    <row r="1665">
      <c r="A1665" s="4">
        <v>45534.335702013894</v>
      </c>
      <c r="B1665" s="5" t="s">
        <v>34</v>
      </c>
      <c r="D1665" s="5" t="s">
        <v>12010</v>
      </c>
      <c r="E1665" s="5" t="s">
        <v>13206</v>
      </c>
      <c r="F1665" s="5" t="s">
        <v>37</v>
      </c>
      <c r="G1665" s="5" t="s">
        <v>13207</v>
      </c>
      <c r="H1665" s="6" t="s">
        <v>13208</v>
      </c>
      <c r="I1665" s="7" t="s">
        <v>13209</v>
      </c>
      <c r="J1665" s="8" t="str">
        <f>HYPERLINK("https://drive.google.com/file/d/1H5LLwQGUjUVkUpUxlO-5u54reRkKOPZL/view?usp=drivesdk","SRI WULAN LABADJO SERTIFIKAT BerAKHLAK")</f>
        <v>SRI WULAN LABADJO SERTIFIKAT BerAKHLAK</v>
      </c>
      <c r="K1665" s="5" t="s">
        <v>13080</v>
      </c>
      <c r="L1665" s="5" t="s">
        <v>13210</v>
      </c>
      <c r="M1665" s="5" t="s">
        <v>13211</v>
      </c>
      <c r="N1665" s="7" t="s">
        <v>13212</v>
      </c>
      <c r="O1665" s="8" t="str">
        <f>HYPERLINK("https://drive.google.com/file/d/1EGazFG8TEz10JUJlDj9exr-N13aONCj0/view?usp=drivesdk","1664_SRI WULAN LABADJO _ SERTIFIKAT BIMTEK IPASN BerAKHLASK")</f>
        <v>1664_SRI WULAN LABADJO _ SERTIFIKAT BIMTEK IPASN BerAKHLASK</v>
      </c>
      <c r="P1665" s="5" t="s">
        <v>13191</v>
      </c>
      <c r="Q1665" s="5"/>
      <c r="R1665" s="5"/>
      <c r="S1665" s="5"/>
      <c r="T1665" s="5"/>
    </row>
    <row r="1666">
      <c r="A1666" s="4">
        <v>45534.33571616898</v>
      </c>
      <c r="B1666" s="5" t="s">
        <v>34</v>
      </c>
      <c r="D1666" s="5" t="s">
        <v>6232</v>
      </c>
      <c r="E1666" s="5" t="s">
        <v>13213</v>
      </c>
      <c r="F1666" s="5" t="s">
        <v>37</v>
      </c>
      <c r="G1666" s="5" t="s">
        <v>13214</v>
      </c>
      <c r="H1666" s="6" t="s">
        <v>13215</v>
      </c>
      <c r="I1666" s="7" t="s">
        <v>13216</v>
      </c>
      <c r="J1666" s="8" t="str">
        <f>HYPERLINK("https://drive.google.com/file/d/16xo2YQEh319txfG-waB5gmSnn9jC8Df3/view?usp=drivesdk","DEFI NOFRIADI  SERTIFIKAT BerAKHLAK")</f>
        <v>DEFI NOFRIADI  SERTIFIKAT BerAKHLAK</v>
      </c>
      <c r="K1666" s="5" t="s">
        <v>12015</v>
      </c>
      <c r="L1666" s="5" t="s">
        <v>13217</v>
      </c>
      <c r="M1666" s="5" t="s">
        <v>13218</v>
      </c>
      <c r="N1666" s="7" t="s">
        <v>13219</v>
      </c>
      <c r="O1666" s="8" t="str">
        <f>HYPERLINK("https://drive.google.com/file/d/15L0fCzd1LicME86Q3VFfXRk7Bg43bhRA/view?usp=drivesdk","1665_DEFI NOFRIADI  _ SERTIFIKAT BIMTEK IPASN BerAKHLASK")</f>
        <v>1665_DEFI NOFRIADI  _ SERTIFIKAT BIMTEK IPASN BerAKHLASK</v>
      </c>
      <c r="P1666" s="5" t="s">
        <v>13191</v>
      </c>
      <c r="Q1666" s="5"/>
      <c r="R1666" s="5"/>
      <c r="S1666" s="5"/>
      <c r="T1666" s="5"/>
    </row>
    <row r="1667">
      <c r="A1667" s="4">
        <v>45534.335725428245</v>
      </c>
      <c r="B1667" s="5" t="s">
        <v>34</v>
      </c>
      <c r="D1667" s="5" t="s">
        <v>12026</v>
      </c>
      <c r="E1667" s="5" t="s">
        <v>13220</v>
      </c>
      <c r="F1667" s="5" t="s">
        <v>37</v>
      </c>
      <c r="G1667" s="5" t="s">
        <v>13221</v>
      </c>
      <c r="H1667" s="6" t="s">
        <v>13222</v>
      </c>
      <c r="I1667" s="7" t="s">
        <v>13223</v>
      </c>
      <c r="J1667" s="8" t="str">
        <f>HYPERLINK("https://drive.google.com/file/d/1HbwiWPXcvD6TSZH2TE2BoAXJQ0QvezMk/view?usp=drivesdk","MUHAMMAD KAHFI,A.Md.Kep SERTIFIKAT BerAKHLAK")</f>
        <v>MUHAMMAD KAHFI,A.Md.Kep SERTIFIKAT BerAKHLAK</v>
      </c>
      <c r="K1667" s="5" t="s">
        <v>12015</v>
      </c>
      <c r="L1667" s="5" t="s">
        <v>13224</v>
      </c>
      <c r="M1667" s="5" t="s">
        <v>13225</v>
      </c>
      <c r="N1667" s="7" t="s">
        <v>13226</v>
      </c>
      <c r="O1667" s="8" t="str">
        <f>HYPERLINK("https://drive.google.com/file/d/1LYGJtNeMBrUK999SrY550XuQRAnfoKyL/view?usp=drivesdk","1666_MUHAMMAD KAHFI,A.Md.Kep _ SERTIFIKAT BIMTEK IPASN BerAKHLASK")</f>
        <v>1666_MUHAMMAD KAHFI,A.Md.Kep _ SERTIFIKAT BIMTEK IPASN BerAKHLASK</v>
      </c>
      <c r="P1667" s="5" t="s">
        <v>13227</v>
      </c>
      <c r="Q1667" s="5"/>
      <c r="R1667" s="5"/>
      <c r="S1667" s="5"/>
      <c r="T1667" s="5"/>
    </row>
    <row r="1668">
      <c r="A1668" s="4">
        <v>45534.33573630787</v>
      </c>
      <c r="B1668" s="5" t="s">
        <v>34</v>
      </c>
      <c r="D1668" s="5" t="s">
        <v>10444</v>
      </c>
      <c r="E1668" s="5" t="s">
        <v>13228</v>
      </c>
      <c r="F1668" s="5" t="s">
        <v>524</v>
      </c>
      <c r="G1668" s="5" t="s">
        <v>13229</v>
      </c>
      <c r="H1668" s="6" t="s">
        <v>13230</v>
      </c>
      <c r="K1668" s="5" t="s">
        <v>13231</v>
      </c>
      <c r="M1668" s="5" t="s">
        <v>13232</v>
      </c>
      <c r="N1668" s="7" t="s">
        <v>13233</v>
      </c>
      <c r="O1668" s="8" t="str">
        <f>HYPERLINK("https://drive.google.com/file/d/1NvQ9JIqExUIAo_IvqddaxvLAECHE-HDR/view?usp=drivesdk","1667_INDRI MEILIZA FITRI, A. MD. FARM _ SERTIFIKAT BIMTEK IPASN BerAKHLASK")</f>
        <v>1667_INDRI MEILIZA FITRI, A. MD. FARM _ SERTIFIKAT BIMTEK IPASN BerAKHLASK</v>
      </c>
      <c r="P1668" s="5" t="s">
        <v>13227</v>
      </c>
      <c r="Q1668" s="5"/>
      <c r="R1668" s="5"/>
      <c r="S1668" s="5"/>
      <c r="T1668" s="5"/>
    </row>
    <row r="1669">
      <c r="A1669" s="4">
        <v>45534.33574571759</v>
      </c>
      <c r="B1669" s="5" t="s">
        <v>34</v>
      </c>
      <c r="D1669" s="5" t="s">
        <v>9394</v>
      </c>
      <c r="E1669" s="5" t="s">
        <v>13234</v>
      </c>
      <c r="F1669" s="5" t="s">
        <v>715</v>
      </c>
      <c r="G1669" s="5" t="s">
        <v>13235</v>
      </c>
      <c r="H1669" s="6" t="s">
        <v>13236</v>
      </c>
      <c r="K1669" s="5" t="s">
        <v>13231</v>
      </c>
      <c r="M1669" s="5" t="s">
        <v>13237</v>
      </c>
      <c r="N1669" s="7" t="s">
        <v>13238</v>
      </c>
      <c r="O1669" s="8" t="str">
        <f>HYPERLINK("https://drive.google.com/file/d/1AcyQTLV4uL5f52UaU2vorlT0_js9zzbt/view?usp=drivesdk","1668_RATNA SRI DEWI, A.Md _ SERTIFIKAT BIMTEK IPASN BerAKHLASK")</f>
        <v>1668_RATNA SRI DEWI, A.Md _ SERTIFIKAT BIMTEK IPASN BerAKHLASK</v>
      </c>
      <c r="P1669" s="5" t="s">
        <v>13227</v>
      </c>
      <c r="Q1669" s="5"/>
      <c r="R1669" s="5"/>
      <c r="S1669" s="5"/>
      <c r="T1669" s="5"/>
    </row>
    <row r="1670" hidden="1">
      <c r="A1670" s="4">
        <v>45534.33575050926</v>
      </c>
      <c r="B1670" s="5" t="s">
        <v>19</v>
      </c>
      <c r="C1670" s="5" t="s">
        <v>466</v>
      </c>
      <c r="E1670" s="5" t="s">
        <v>13239</v>
      </c>
      <c r="F1670" s="5" t="s">
        <v>120</v>
      </c>
      <c r="G1670" s="5" t="s">
        <v>13240</v>
      </c>
      <c r="H1670" s="6" t="s">
        <v>13241</v>
      </c>
      <c r="K1670" s="5" t="s">
        <v>13231</v>
      </c>
      <c r="M1670" s="5" t="s">
        <v>13242</v>
      </c>
      <c r="N1670" s="7" t="s">
        <v>13243</v>
      </c>
      <c r="O1670" s="8" t="str">
        <f>HYPERLINK("https://drive.google.com/file/d/12tVnM196fi7UuORrNdFVC8d3W0xH1NDw/view?usp=drivesdk","1669_ROSIKA ANGGRAINI _ SERTIFIKAT BIMTEK IPASN BerAKHLASK")</f>
        <v>1669_ROSIKA ANGGRAINI _ SERTIFIKAT BIMTEK IPASN BerAKHLASK</v>
      </c>
      <c r="P1670" s="5" t="s">
        <v>13227</v>
      </c>
      <c r="Q1670" s="5"/>
      <c r="R1670" s="5"/>
      <c r="S1670" s="5"/>
      <c r="T1670" s="5"/>
    </row>
    <row r="1671">
      <c r="A1671" s="4">
        <v>45534.33575372685</v>
      </c>
      <c r="B1671" s="5" t="s">
        <v>34</v>
      </c>
      <c r="D1671" s="5" t="s">
        <v>4775</v>
      </c>
      <c r="E1671" s="5" t="s">
        <v>13244</v>
      </c>
      <c r="F1671" s="5" t="s">
        <v>212</v>
      </c>
      <c r="G1671" s="5" t="s">
        <v>13245</v>
      </c>
      <c r="H1671" s="6" t="s">
        <v>13246</v>
      </c>
      <c r="K1671" s="5" t="s">
        <v>13231</v>
      </c>
      <c r="M1671" s="5" t="s">
        <v>13247</v>
      </c>
      <c r="N1671" s="7" t="s">
        <v>13248</v>
      </c>
      <c r="O1671" s="8" t="str">
        <f>HYPERLINK("https://drive.google.com/file/d/10rvS7TLW2NzG4pEKKBrBPqUoYk3q4OFk/view?usp=drivesdk","1670_LILA FITRIAWATI AGISTINA, S.H _ SERTIFIKAT BIMTEK IPASN BerAKHLASK")</f>
        <v>1670_LILA FITRIAWATI AGISTINA, S.H _ SERTIFIKAT BIMTEK IPASN BerAKHLASK</v>
      </c>
      <c r="P1671" s="5" t="s">
        <v>13227</v>
      </c>
      <c r="Q1671" s="5"/>
      <c r="R1671" s="5"/>
      <c r="S1671" s="5"/>
      <c r="T1671" s="5"/>
    </row>
    <row r="1672">
      <c r="A1672" s="4">
        <v>45534.335775150466</v>
      </c>
      <c r="B1672" s="5" t="s">
        <v>34</v>
      </c>
      <c r="D1672" s="5" t="s">
        <v>12010</v>
      </c>
      <c r="E1672" s="5" t="s">
        <v>13249</v>
      </c>
      <c r="F1672" s="5" t="s">
        <v>72</v>
      </c>
      <c r="G1672" s="5" t="s">
        <v>13250</v>
      </c>
      <c r="H1672" s="6" t="s">
        <v>13251</v>
      </c>
      <c r="K1672" s="5" t="s">
        <v>13231</v>
      </c>
      <c r="M1672" s="5" t="s">
        <v>13252</v>
      </c>
      <c r="N1672" s="7" t="s">
        <v>13253</v>
      </c>
      <c r="O1672" s="8" t="str">
        <f>HYPERLINK("https://drive.google.com/file/d/1sw1eviu4_PGYi61Nnw9mzUDPhkS0ERRt/view?usp=drivesdk","1671_SURYANI TJAN DUNGGIO  _ SERTIFIKAT BIMTEK IPASN BerAKHLASK")</f>
        <v>1671_SURYANI TJAN DUNGGIO  _ SERTIFIKAT BIMTEK IPASN BerAKHLASK</v>
      </c>
      <c r="P1672" s="5" t="s">
        <v>13254</v>
      </c>
      <c r="Q1672" s="5"/>
      <c r="R1672" s="5"/>
      <c r="S1672" s="5"/>
      <c r="T1672" s="5"/>
    </row>
    <row r="1673">
      <c r="A1673" s="4">
        <v>45534.335789895835</v>
      </c>
      <c r="B1673" s="5" t="s">
        <v>34</v>
      </c>
      <c r="D1673" s="5" t="s">
        <v>4775</v>
      </c>
      <c r="E1673" s="5" t="s">
        <v>13255</v>
      </c>
      <c r="F1673" s="5" t="s">
        <v>37</v>
      </c>
      <c r="G1673" s="5" t="s">
        <v>13256</v>
      </c>
      <c r="H1673" s="6" t="s">
        <v>13257</v>
      </c>
      <c r="K1673" s="5" t="s">
        <v>13258</v>
      </c>
      <c r="M1673" s="5" t="s">
        <v>13259</v>
      </c>
      <c r="N1673" s="7" t="s">
        <v>13260</v>
      </c>
      <c r="O1673" s="8" t="str">
        <f>HYPERLINK("https://drive.google.com/file/d/1BBiVcHeMUUNNoOnZzMfCXcHD_kpRmsg1/view?usp=drivesdk","1672_ENNY YULIASTUTI _ SERTIFIKAT BIMTEK IPASN BerAKHLASK")</f>
        <v>1672_ENNY YULIASTUTI _ SERTIFIKAT BIMTEK IPASN BerAKHLASK</v>
      </c>
      <c r="P1673" s="5" t="s">
        <v>13254</v>
      </c>
      <c r="Q1673" s="5"/>
      <c r="R1673" s="5"/>
      <c r="S1673" s="5"/>
      <c r="T1673" s="5"/>
    </row>
    <row r="1674">
      <c r="A1674" s="4">
        <v>45534.33579677083</v>
      </c>
      <c r="B1674" s="5" t="s">
        <v>34</v>
      </c>
      <c r="D1674" s="5" t="s">
        <v>6232</v>
      </c>
      <c r="E1674" s="5" t="s">
        <v>13261</v>
      </c>
      <c r="F1674" s="5" t="s">
        <v>375</v>
      </c>
      <c r="G1674" s="5" t="s">
        <v>13262</v>
      </c>
      <c r="H1674" s="6" t="s">
        <v>13263</v>
      </c>
      <c r="K1674" s="5" t="s">
        <v>13258</v>
      </c>
      <c r="M1674" s="5" t="s">
        <v>13264</v>
      </c>
      <c r="N1674" s="7" t="s">
        <v>13265</v>
      </c>
      <c r="O1674" s="8" t="str">
        <f>HYPERLINK("https://drive.google.com/file/d/1t-vc1C0pawb6UwNRzIBz-pbkckvsmqEA/view?usp=drivesdk","1673_VERA LUSIANA, S.E. _ SERTIFIKAT BIMTEK IPASN BerAKHLASK")</f>
        <v>1673_VERA LUSIANA, S.E. _ SERTIFIKAT BIMTEK IPASN BerAKHLASK</v>
      </c>
      <c r="P1674" s="5" t="s">
        <v>13266</v>
      </c>
      <c r="Q1674" s="5"/>
      <c r="R1674" s="5"/>
      <c r="S1674" s="5"/>
      <c r="T1674" s="5"/>
    </row>
    <row r="1675">
      <c r="A1675" s="4">
        <v>45534.33580193287</v>
      </c>
      <c r="B1675" s="5" t="s">
        <v>34</v>
      </c>
      <c r="D1675" s="5" t="s">
        <v>4775</v>
      </c>
      <c r="E1675" s="5" t="s">
        <v>13267</v>
      </c>
      <c r="F1675" s="5" t="s">
        <v>120</v>
      </c>
      <c r="G1675" s="5" t="s">
        <v>13268</v>
      </c>
      <c r="H1675" s="6" t="s">
        <v>13269</v>
      </c>
      <c r="K1675" s="5" t="s">
        <v>13258</v>
      </c>
      <c r="M1675" s="5" t="s">
        <v>13270</v>
      </c>
      <c r="N1675" s="7" t="s">
        <v>13271</v>
      </c>
      <c r="O1675" s="8" t="str">
        <f>HYPERLINK("https://drive.google.com/file/d/13L-kSsxFO4w8yrNBkaB0fMCLAEVTSrGZ/view?usp=drivesdk","1674_HERU BUDI SULISTYANTO, S.Kom., M.M. _ SERTIFIKAT BIMTEK IPASN BerAKHLASK")</f>
        <v>1674_HERU BUDI SULISTYANTO, S.Kom., M.M. _ SERTIFIKAT BIMTEK IPASN BerAKHLASK</v>
      </c>
      <c r="P1675" s="5" t="s">
        <v>13266</v>
      </c>
      <c r="Q1675" s="5"/>
      <c r="R1675" s="5"/>
      <c r="S1675" s="5"/>
      <c r="T1675" s="5"/>
    </row>
    <row r="1676">
      <c r="A1676" s="4">
        <v>45534.33580667824</v>
      </c>
      <c r="B1676" s="5" t="s">
        <v>34</v>
      </c>
      <c r="D1676" s="5" t="s">
        <v>35</v>
      </c>
      <c r="E1676" s="5" t="s">
        <v>13272</v>
      </c>
      <c r="F1676" s="5" t="s">
        <v>120</v>
      </c>
      <c r="G1676" s="5" t="s">
        <v>13273</v>
      </c>
      <c r="H1676" s="6" t="s">
        <v>13274</v>
      </c>
      <c r="K1676" s="5" t="s">
        <v>13275</v>
      </c>
      <c r="M1676" s="5" t="s">
        <v>13276</v>
      </c>
      <c r="N1676" s="7" t="s">
        <v>13277</v>
      </c>
      <c r="O1676" s="8" t="str">
        <f>HYPERLINK("https://drive.google.com/file/d/1YCgR1c25H5vpGASNWoydhw6Ev7xIOlYE/view?usp=drivesdk","1675_MINAHAZAHRAA _ SERTIFIKAT BIMTEK IPASN BerAKHLASK")</f>
        <v>1675_MINAHAZAHRAA _ SERTIFIKAT BIMTEK IPASN BerAKHLASK</v>
      </c>
      <c r="P1676" s="5" t="s">
        <v>13266</v>
      </c>
      <c r="Q1676" s="5"/>
      <c r="R1676" s="5"/>
      <c r="S1676" s="5"/>
      <c r="T1676" s="5"/>
    </row>
    <row r="1677">
      <c r="A1677" s="4">
        <v>45534.33583409722</v>
      </c>
      <c r="B1677" s="5" t="s">
        <v>34</v>
      </c>
      <c r="D1677" s="5" t="s">
        <v>975</v>
      </c>
      <c r="E1677" s="5" t="s">
        <v>13278</v>
      </c>
      <c r="F1677" s="5" t="s">
        <v>212</v>
      </c>
      <c r="G1677" s="5" t="s">
        <v>13279</v>
      </c>
      <c r="H1677" s="6" t="s">
        <v>13280</v>
      </c>
      <c r="K1677" s="5" t="s">
        <v>13275</v>
      </c>
      <c r="M1677" s="5" t="s">
        <v>13281</v>
      </c>
      <c r="N1677" s="7" t="s">
        <v>13282</v>
      </c>
      <c r="O1677" s="8" t="str">
        <f>HYPERLINK("https://drive.google.com/file/d/1CUWvs-_e6hu0pzxl1EYTbCvoiNnDO7Bw/view?usp=drivesdk","1676_AHMAD AMIRULLAH, A.Md.Kep _ SERTIFIKAT BIMTEK IPASN BerAKHLASK")</f>
        <v>1676_AHMAD AMIRULLAH, A.Md.Kep _ SERTIFIKAT BIMTEK IPASN BerAKHLASK</v>
      </c>
      <c r="P1677" s="5" t="s">
        <v>13266</v>
      </c>
      <c r="Q1677" s="5"/>
      <c r="R1677" s="5"/>
      <c r="S1677" s="5"/>
      <c r="T1677" s="5"/>
    </row>
    <row r="1678">
      <c r="A1678" s="4">
        <v>45534.33584326389</v>
      </c>
      <c r="B1678" s="5" t="s">
        <v>34</v>
      </c>
      <c r="D1678" s="5" t="s">
        <v>1206</v>
      </c>
      <c r="E1678" s="5" t="s">
        <v>13283</v>
      </c>
      <c r="F1678" s="5" t="s">
        <v>212</v>
      </c>
      <c r="G1678" s="5" t="s">
        <v>13284</v>
      </c>
      <c r="H1678" s="6" t="s">
        <v>13285</v>
      </c>
      <c r="I1678" s="7" t="s">
        <v>13286</v>
      </c>
      <c r="J1678" s="8" t="str">
        <f>HYPERLINK("https://drive.google.com/file/d/1yiKtODBua6G7qO6vUUuLYWJX6z9oX3hn/view?usp=drivesdk","SRI BUDI HASTI,SH SERTIFIKAT BerAKHLAK")</f>
        <v>SRI BUDI HASTI,SH SERTIFIKAT BerAKHLAK</v>
      </c>
      <c r="K1678" s="5" t="s">
        <v>12015</v>
      </c>
      <c r="L1678" s="5" t="s">
        <v>13287</v>
      </c>
      <c r="M1678" s="5" t="s">
        <v>13288</v>
      </c>
      <c r="N1678" s="7" t="s">
        <v>13289</v>
      </c>
      <c r="O1678" s="8" t="str">
        <f>HYPERLINK("https://drive.google.com/file/d/14_ebJ7DZ41eI38SIAtrRlpppapCv9HwR/view?usp=drivesdk","1677_SRI BUDI HASTI,SH _ SERTIFIKAT BIMTEK IPASN BerAKHLASK")</f>
        <v>1677_SRI BUDI HASTI,SH _ SERTIFIKAT BIMTEK IPASN BerAKHLASK</v>
      </c>
      <c r="P1678" s="5" t="s">
        <v>13266</v>
      </c>
      <c r="Q1678" s="5"/>
      <c r="R1678" s="5"/>
      <c r="S1678" s="5"/>
      <c r="T1678" s="5"/>
    </row>
    <row r="1679">
      <c r="A1679" s="4">
        <v>45534.33586961805</v>
      </c>
      <c r="B1679" s="5" t="s">
        <v>34</v>
      </c>
      <c r="D1679" s="5" t="s">
        <v>10444</v>
      </c>
      <c r="E1679" s="5" t="s">
        <v>13290</v>
      </c>
      <c r="F1679" s="5" t="s">
        <v>524</v>
      </c>
      <c r="G1679" s="5" t="s">
        <v>13291</v>
      </c>
      <c r="H1679" s="6" t="s">
        <v>13292</v>
      </c>
      <c r="I1679" s="7" t="s">
        <v>13293</v>
      </c>
      <c r="J1679" s="8" t="str">
        <f>HYPERLINK("https://drive.google.com/file/d/1FkK5e-hBrL701rZKwFQJqSU3IUNcH1Ur/view?usp=drivesdk","APT. MELLY HASRINA, S. FARM SERTIFIKAT BerAKHLAK")</f>
        <v>APT. MELLY HASRINA, S. FARM SERTIFIKAT BerAKHLAK</v>
      </c>
      <c r="K1679" s="5" t="s">
        <v>12015</v>
      </c>
      <c r="L1679" s="5" t="s">
        <v>13294</v>
      </c>
      <c r="M1679" s="5" t="s">
        <v>13295</v>
      </c>
      <c r="N1679" s="7" t="s">
        <v>13296</v>
      </c>
      <c r="O1679" s="8" t="str">
        <f>HYPERLINK("https://drive.google.com/file/d/1gnagRcvWn40gQnJ3BXe9ZE23uciebnV5/view?usp=drivesdk","1678_APT. MELLY HASRINA, S. FARM _ SERTIFIKAT BIMTEK IPASN BerAKHLASK")</f>
        <v>1678_APT. MELLY HASRINA, S. FARM _ SERTIFIKAT BIMTEK IPASN BerAKHLASK</v>
      </c>
      <c r="P1679" s="5" t="s">
        <v>13266</v>
      </c>
      <c r="Q1679" s="5"/>
      <c r="R1679" s="5"/>
      <c r="S1679" s="5"/>
      <c r="T1679" s="5"/>
    </row>
    <row r="1680">
      <c r="A1680" s="4">
        <v>45534.33588105324</v>
      </c>
      <c r="B1680" s="5" t="s">
        <v>34</v>
      </c>
      <c r="D1680" s="5" t="s">
        <v>35</v>
      </c>
      <c r="E1680" s="5" t="s">
        <v>13297</v>
      </c>
      <c r="F1680" s="5" t="s">
        <v>37</v>
      </c>
      <c r="G1680" s="5" t="s">
        <v>13298</v>
      </c>
      <c r="H1680" s="6" t="s">
        <v>13299</v>
      </c>
      <c r="I1680" s="7" t="s">
        <v>13300</v>
      </c>
      <c r="J1680" s="8" t="str">
        <f>HYPERLINK("https://drive.google.com/file/d/1U-yfy_NzgqEUP0TxJizY3UIcZbH6xJYd/view?usp=drivesdk","TAGEN NUGRAHA PRATAMA SERTIFIKAT BerAKHLAK")</f>
        <v>TAGEN NUGRAHA PRATAMA SERTIFIKAT BerAKHLAK</v>
      </c>
      <c r="K1680" s="5" t="s">
        <v>13080</v>
      </c>
      <c r="L1680" s="5" t="s">
        <v>13301</v>
      </c>
      <c r="M1680" s="5" t="s">
        <v>13302</v>
      </c>
      <c r="N1680" s="7" t="s">
        <v>13303</v>
      </c>
      <c r="O1680" s="8" t="str">
        <f>HYPERLINK("https://drive.google.com/file/d/1R-vWWysPzez9RjDP5ZvBe7Eke8R-Aqfj/view?usp=drivesdk","1679_TAGEN NUGRAHA PRATAMA _ SERTIFIKAT BIMTEK IPASN BerAKHLASK")</f>
        <v>1679_TAGEN NUGRAHA PRATAMA _ SERTIFIKAT BIMTEK IPASN BerAKHLASK</v>
      </c>
      <c r="P1680" s="5" t="s">
        <v>13304</v>
      </c>
      <c r="Q1680" s="5"/>
      <c r="R1680" s="5"/>
      <c r="S1680" s="5"/>
      <c r="T1680" s="5"/>
    </row>
    <row r="1681">
      <c r="A1681" s="4">
        <v>45534.33588456019</v>
      </c>
      <c r="B1681" s="5" t="s">
        <v>34</v>
      </c>
      <c r="D1681" s="5" t="s">
        <v>6232</v>
      </c>
      <c r="E1681" s="5" t="s">
        <v>13305</v>
      </c>
      <c r="F1681" s="5" t="s">
        <v>37</v>
      </c>
      <c r="G1681" s="5" t="s">
        <v>13306</v>
      </c>
      <c r="H1681" s="6" t="s">
        <v>13307</v>
      </c>
      <c r="I1681" s="7" t="s">
        <v>13308</v>
      </c>
      <c r="J1681" s="8" t="str">
        <f>HYPERLINK("https://drive.google.com/file/d/1XB9TO5Px1tVOne9JhaktzoBIr8Ne8aI3/view?usp=drivesdk","SITI FATIMAH, AMd.Kep SERTIFIKAT BerAKHLAK")</f>
        <v>SITI FATIMAH, AMd.Kep SERTIFIKAT BerAKHLAK</v>
      </c>
      <c r="K1681" s="5" t="s">
        <v>13080</v>
      </c>
      <c r="L1681" s="5" t="s">
        <v>13309</v>
      </c>
      <c r="M1681" s="5" t="s">
        <v>13310</v>
      </c>
      <c r="N1681" s="7" t="s">
        <v>13311</v>
      </c>
      <c r="O1681" s="8" t="str">
        <f>HYPERLINK("https://drive.google.com/file/d/1Bunu91l4p7dmKMsnTcV_2gQGCQ3JEGIy/view?usp=drivesdk","1680_SITI FATIMAH, AMd.Kep _ SERTIFIKAT BIMTEK IPASN BerAKHLASK")</f>
        <v>1680_SITI FATIMAH, AMd.Kep _ SERTIFIKAT BIMTEK IPASN BerAKHLASK</v>
      </c>
      <c r="P1681" s="5" t="s">
        <v>13304</v>
      </c>
      <c r="Q1681" s="5"/>
      <c r="R1681" s="5"/>
      <c r="S1681" s="5"/>
      <c r="T1681" s="5"/>
    </row>
    <row r="1682">
      <c r="A1682" s="4">
        <v>45534.33588827546</v>
      </c>
      <c r="B1682" s="5" t="s">
        <v>34</v>
      </c>
      <c r="D1682" s="5" t="s">
        <v>12978</v>
      </c>
      <c r="E1682" s="5" t="s">
        <v>13312</v>
      </c>
      <c r="F1682" s="5" t="s">
        <v>37</v>
      </c>
      <c r="G1682" s="5" t="s">
        <v>13313</v>
      </c>
      <c r="H1682" s="6" t="s">
        <v>13314</v>
      </c>
      <c r="I1682" s="7" t="s">
        <v>13315</v>
      </c>
      <c r="J1682" s="8" t="str">
        <f>HYPERLINK("https://drive.google.com/file/d/1Qvqhy0xT2D1JV2765VLu2E-j-TxAruc5/view?usp=drivesdk","NOPRI OKTA DIANSYAH SERTIFIKAT BerAKHLAK")</f>
        <v>NOPRI OKTA DIANSYAH SERTIFIKAT BerAKHLAK</v>
      </c>
      <c r="K1682" s="5" t="s">
        <v>13080</v>
      </c>
      <c r="L1682" s="5" t="s">
        <v>13316</v>
      </c>
      <c r="M1682" s="5" t="s">
        <v>13317</v>
      </c>
      <c r="N1682" s="7" t="s">
        <v>13318</v>
      </c>
      <c r="O1682" s="8" t="str">
        <f>HYPERLINK("https://drive.google.com/file/d/18YGQ7c2E8-0URExE-OrqQ78fRt8-9m_R/view?usp=drivesdk","1681_NOPRI OKTA DIANSYAH _ SERTIFIKAT BIMTEK IPASN BerAKHLASK")</f>
        <v>1681_NOPRI OKTA DIANSYAH _ SERTIFIKAT BIMTEK IPASN BerAKHLASK</v>
      </c>
      <c r="P1682" s="5" t="s">
        <v>13304</v>
      </c>
      <c r="Q1682" s="5"/>
      <c r="R1682" s="5"/>
      <c r="S1682" s="5"/>
      <c r="T1682" s="5"/>
    </row>
    <row r="1683">
      <c r="A1683" s="4">
        <v>45534.335891712966</v>
      </c>
      <c r="B1683" s="5" t="s">
        <v>34</v>
      </c>
      <c r="D1683" s="5" t="s">
        <v>1206</v>
      </c>
      <c r="E1683" s="5" t="s">
        <v>13319</v>
      </c>
      <c r="F1683" s="5" t="s">
        <v>37</v>
      </c>
      <c r="G1683" s="5" t="s">
        <v>13320</v>
      </c>
      <c r="H1683" s="6" t="s">
        <v>13321</v>
      </c>
      <c r="I1683" s="7" t="s">
        <v>13322</v>
      </c>
      <c r="J1683" s="8" t="str">
        <f>HYPERLINK("https://drive.google.com/file/d/1RewPwLsPtc-3pRQL5f9kmRYC1-r1NMhB/view?usp=drivesdk","EKO SUCAHYONO  SERTIFIKAT BerAKHLAK")</f>
        <v>EKO SUCAHYONO  SERTIFIKAT BerAKHLAK</v>
      </c>
      <c r="K1683" s="5" t="s">
        <v>13080</v>
      </c>
      <c r="L1683" s="5" t="s">
        <v>13323</v>
      </c>
      <c r="M1683" s="5" t="s">
        <v>13324</v>
      </c>
      <c r="N1683" s="7" t="s">
        <v>13325</v>
      </c>
      <c r="O1683" s="8" t="str">
        <f>HYPERLINK("https://drive.google.com/file/d/1Vlqf3Gq-RTs7E1qjY5dj57YJjHckqDTc/view?usp=drivesdk","1682_EKO SUCAHYONO  _ SERTIFIKAT BIMTEK IPASN BerAKHLASK")</f>
        <v>1682_EKO SUCAHYONO  _ SERTIFIKAT BIMTEK IPASN BerAKHLASK</v>
      </c>
      <c r="P1683" s="5" t="s">
        <v>13304</v>
      </c>
      <c r="Q1683" s="5"/>
      <c r="R1683" s="5"/>
      <c r="S1683" s="5"/>
      <c r="T1683" s="5"/>
    </row>
    <row r="1684">
      <c r="A1684" s="4">
        <v>45534.33591140046</v>
      </c>
      <c r="B1684" s="5" t="s">
        <v>34</v>
      </c>
      <c r="D1684" s="5" t="s">
        <v>9020</v>
      </c>
      <c r="E1684" s="5" t="s">
        <v>13326</v>
      </c>
      <c r="F1684" s="5" t="s">
        <v>715</v>
      </c>
      <c r="G1684" s="5" t="s">
        <v>13327</v>
      </c>
      <c r="H1684" s="6" t="s">
        <v>13328</v>
      </c>
      <c r="I1684" s="7" t="s">
        <v>13329</v>
      </c>
      <c r="J1684" s="8" t="str">
        <f>HYPERLINK("https://drive.google.com/file/d/1tsOOURRsKbt0ePCEJYfqH22vzcFERJ9b/view?usp=drivesdk","MARIANA HASNI HARAHAP, S.S. SERTIFIKAT BerAKHLAK")</f>
        <v>MARIANA HASNI HARAHAP, S.S. SERTIFIKAT BerAKHLAK</v>
      </c>
      <c r="K1684" s="5" t="s">
        <v>13080</v>
      </c>
      <c r="L1684" s="5" t="s">
        <v>13330</v>
      </c>
      <c r="M1684" s="5" t="s">
        <v>13331</v>
      </c>
      <c r="N1684" s="7" t="s">
        <v>13332</v>
      </c>
      <c r="O1684" s="8" t="str">
        <f>HYPERLINK("https://drive.google.com/file/d/1DLEu-PUbCkSXXVeZ17b_A-p1N-uFPXWt/view?usp=drivesdk","1683_MARIANA HASNI HARAHAP, S.S. _ SERTIFIKAT BIMTEK IPASN BerAKHLASK")</f>
        <v>1683_MARIANA HASNI HARAHAP, S.S. _ SERTIFIKAT BIMTEK IPASN BerAKHLASK</v>
      </c>
      <c r="P1684" s="5" t="s">
        <v>13304</v>
      </c>
      <c r="Q1684" s="5"/>
      <c r="R1684" s="5"/>
      <c r="S1684" s="5"/>
      <c r="T1684" s="5"/>
    </row>
    <row r="1685" hidden="1">
      <c r="A1685" s="4">
        <v>45534.33592878473</v>
      </c>
      <c r="B1685" s="5" t="s">
        <v>19</v>
      </c>
      <c r="C1685" s="5" t="s">
        <v>292</v>
      </c>
      <c r="E1685" s="5" t="s">
        <v>13333</v>
      </c>
      <c r="F1685" s="5" t="s">
        <v>524</v>
      </c>
      <c r="G1685" s="5" t="s">
        <v>13334</v>
      </c>
      <c r="H1685" s="6" t="s">
        <v>13335</v>
      </c>
      <c r="I1685" s="7" t="s">
        <v>13336</v>
      </c>
      <c r="J1685" s="8" t="str">
        <f>HYPERLINK("https://drive.google.com/file/d/13iuPPv12q_l_FkkeERcvrFhYJW0rUs9k/view?usp=drivesdk","PENDA PUJIARTI SERTIFIKAT BerAKHLAK")</f>
        <v>PENDA PUJIARTI SERTIFIKAT BerAKHLAK</v>
      </c>
      <c r="K1685" s="5" t="s">
        <v>13080</v>
      </c>
      <c r="L1685" s="5" t="s">
        <v>13337</v>
      </c>
      <c r="M1685" s="5" t="s">
        <v>13338</v>
      </c>
      <c r="N1685" s="7" t="s">
        <v>13339</v>
      </c>
      <c r="O1685" s="8" t="str">
        <f>HYPERLINK("https://drive.google.com/file/d/1UZcppe2x8VMPB0di4tAaDgQlgG8xC48-/view?usp=drivesdk","1684_PENDA PUJIARTI _ SERTIFIKAT BIMTEK IPASN BerAKHLASK")</f>
        <v>1684_PENDA PUJIARTI _ SERTIFIKAT BIMTEK IPASN BerAKHLASK</v>
      </c>
      <c r="P1685" s="5" t="s">
        <v>13340</v>
      </c>
      <c r="Q1685" s="5"/>
      <c r="R1685" s="5"/>
      <c r="S1685" s="5"/>
      <c r="T1685" s="5"/>
    </row>
    <row r="1686">
      <c r="A1686" s="4">
        <v>45534.335949444445</v>
      </c>
      <c r="B1686" s="5" t="s">
        <v>34</v>
      </c>
      <c r="D1686" s="5" t="s">
        <v>996</v>
      </c>
      <c r="E1686" s="5" t="s">
        <v>13341</v>
      </c>
      <c r="F1686" s="5" t="s">
        <v>212</v>
      </c>
      <c r="G1686" s="5" t="s">
        <v>13342</v>
      </c>
      <c r="H1686" s="6" t="s">
        <v>13343</v>
      </c>
      <c r="I1686" s="7" t="s">
        <v>13344</v>
      </c>
      <c r="J1686" s="8" t="str">
        <f>HYPERLINK("https://drive.google.com/file/d/1KBmopwtN1IWKkXs21_MDVTAi0B7_xCzt/view?usp=drivesdk","RIYADI TIRTA SAPUTRA SERTIFIKAT BerAKHLAK")</f>
        <v>RIYADI TIRTA SAPUTRA SERTIFIKAT BerAKHLAK</v>
      </c>
      <c r="K1686" s="5" t="s">
        <v>13080</v>
      </c>
      <c r="L1686" s="5" t="s">
        <v>13345</v>
      </c>
      <c r="M1686" s="5" t="s">
        <v>13346</v>
      </c>
      <c r="N1686" s="7" t="s">
        <v>13347</v>
      </c>
      <c r="O1686" s="8" t="str">
        <f>HYPERLINK("https://drive.google.com/file/d/1SdIjnDj8_rQAOTi_TanAa8wAHXh0tHRL/view?usp=drivesdk","1685_RIYADI TIRTA SAPUTRA _ SERTIFIKAT BIMTEK IPASN BerAKHLASK")</f>
        <v>1685_RIYADI TIRTA SAPUTRA _ SERTIFIKAT BIMTEK IPASN BerAKHLASK</v>
      </c>
      <c r="P1686" s="5" t="s">
        <v>13340</v>
      </c>
      <c r="Q1686" s="5"/>
      <c r="R1686" s="5"/>
      <c r="S1686" s="5"/>
      <c r="T1686" s="5"/>
    </row>
    <row r="1687">
      <c r="A1687" s="4">
        <v>45534.33595111111</v>
      </c>
      <c r="B1687" s="5" t="s">
        <v>34</v>
      </c>
      <c r="D1687" s="5" t="s">
        <v>9020</v>
      </c>
      <c r="E1687" s="5" t="s">
        <v>13348</v>
      </c>
      <c r="F1687" s="5" t="s">
        <v>715</v>
      </c>
      <c r="G1687" s="5" t="s">
        <v>13349</v>
      </c>
      <c r="H1687" s="6" t="s">
        <v>13350</v>
      </c>
      <c r="I1687" s="7" t="s">
        <v>13351</v>
      </c>
      <c r="J1687" s="8" t="str">
        <f>HYPERLINK("https://drive.google.com/file/d/1ZLSmhV2Ume-MtNDtMPq7gR-pP3vktLL_/view?usp=drivesdk","EVA ROSALINA DAMANIK, S.E. SERTIFIKAT BerAKHLAK")</f>
        <v>EVA ROSALINA DAMANIK, S.E. SERTIFIKAT BerAKHLAK</v>
      </c>
      <c r="K1687" s="5" t="s">
        <v>13080</v>
      </c>
      <c r="L1687" s="5" t="s">
        <v>13352</v>
      </c>
      <c r="M1687" s="5" t="s">
        <v>13353</v>
      </c>
      <c r="N1687" s="7" t="s">
        <v>13354</v>
      </c>
      <c r="O1687" s="8" t="str">
        <f>HYPERLINK("https://drive.google.com/file/d/1knij5z1L2WllhoOKtnu6RmvrKplmONPn/view?usp=drivesdk","1686_EVA ROSALINA DAMANIK, S.E. _ SERTIFIKAT BIMTEK IPASN BerAKHLASK")</f>
        <v>1686_EVA ROSALINA DAMANIK, S.E. _ SERTIFIKAT BIMTEK IPASN BerAKHLASK</v>
      </c>
      <c r="P1687" s="5" t="s">
        <v>13340</v>
      </c>
      <c r="Q1687" s="5"/>
      <c r="R1687" s="5"/>
      <c r="S1687" s="5"/>
      <c r="T1687" s="5"/>
    </row>
    <row r="1688" hidden="1">
      <c r="A1688" s="4">
        <v>45534.33595994213</v>
      </c>
      <c r="B1688" s="5" t="s">
        <v>19</v>
      </c>
      <c r="C1688" s="5" t="s">
        <v>11593</v>
      </c>
      <c r="E1688" s="5" t="s">
        <v>13355</v>
      </c>
      <c r="F1688" s="5" t="s">
        <v>212</v>
      </c>
      <c r="G1688" s="5" t="s">
        <v>13356</v>
      </c>
      <c r="H1688" s="6" t="s">
        <v>13357</v>
      </c>
      <c r="I1688" s="7" t="s">
        <v>13358</v>
      </c>
      <c r="J1688" s="8" t="str">
        <f>HYPERLINK("https://drive.google.com/file/d/1VbmTFIlCzs2nxC1qBhJod-tta_AbSvJH/view?usp=drivesdk","WIWIN WIDAYATI  SERTIFIKAT BerAKHLAK")</f>
        <v>WIWIN WIDAYATI  SERTIFIKAT BerAKHLAK</v>
      </c>
      <c r="K1688" s="5" t="s">
        <v>13080</v>
      </c>
      <c r="L1688" s="5" t="s">
        <v>13359</v>
      </c>
      <c r="M1688" s="5" t="s">
        <v>13360</v>
      </c>
      <c r="N1688" s="7" t="s">
        <v>13361</v>
      </c>
      <c r="O1688" s="8" t="str">
        <f>HYPERLINK("https://drive.google.com/file/d/1P5Woo5WVMU_a7cZcnfDd_NIHed7IMvWb/view?usp=drivesdk","1687_WIWIN WIDAYATI  _ SERTIFIKAT BIMTEK IPASN BerAKHLASK")</f>
        <v>1687_WIWIN WIDAYATI  _ SERTIFIKAT BIMTEK IPASN BerAKHLASK</v>
      </c>
      <c r="P1688" s="5" t="s">
        <v>13340</v>
      </c>
      <c r="Q1688" s="5"/>
      <c r="R1688" s="5"/>
      <c r="S1688" s="5"/>
      <c r="T1688" s="5"/>
    </row>
    <row r="1689">
      <c r="A1689" s="4">
        <v>45534.33598469908</v>
      </c>
      <c r="B1689" s="5" t="s">
        <v>34</v>
      </c>
      <c r="D1689" s="5" t="s">
        <v>3849</v>
      </c>
      <c r="E1689" s="5" t="s">
        <v>13362</v>
      </c>
      <c r="F1689" s="5" t="s">
        <v>108</v>
      </c>
      <c r="G1689" s="5" t="s">
        <v>13363</v>
      </c>
      <c r="H1689" s="6" t="s">
        <v>13364</v>
      </c>
      <c r="I1689" s="7" t="s">
        <v>13365</v>
      </c>
      <c r="J1689" s="8" t="str">
        <f>HYPERLINK("https://drive.google.com/file/d/1cWf3z-qMbb_ve_1I_m0AoulQNHnIhdWo/view?usp=drivesdk","ADIL FRED HASIHOLAN SERTIFIKAT BerAKHLAK")</f>
        <v>ADIL FRED HASIHOLAN SERTIFIKAT BerAKHLAK</v>
      </c>
      <c r="K1689" s="5" t="s">
        <v>13080</v>
      </c>
      <c r="L1689" s="5" t="s">
        <v>13366</v>
      </c>
      <c r="M1689" s="5" t="s">
        <v>13367</v>
      </c>
      <c r="N1689" s="7" t="s">
        <v>13368</v>
      </c>
      <c r="O1689" s="8" t="str">
        <f>HYPERLINK("https://drive.google.com/file/d/1C9Fe4ERBucXx3kTFUCNDoCiMAK8vjsbk/view?usp=drivesdk","1688_ADIL FRED HASIHOLAN _ SERTIFIKAT BIMTEK IPASN BerAKHLASK")</f>
        <v>1688_ADIL FRED HASIHOLAN _ SERTIFIKAT BIMTEK IPASN BerAKHLASK</v>
      </c>
      <c r="P1689" s="5" t="s">
        <v>13369</v>
      </c>
      <c r="Q1689" s="5"/>
      <c r="R1689" s="5"/>
      <c r="S1689" s="5"/>
      <c r="T1689" s="5"/>
    </row>
    <row r="1690">
      <c r="A1690" s="4">
        <v>45534.33598986111</v>
      </c>
      <c r="B1690" s="5" t="s">
        <v>34</v>
      </c>
      <c r="D1690" s="5" t="s">
        <v>1206</v>
      </c>
      <c r="E1690" s="5" t="s">
        <v>13370</v>
      </c>
      <c r="F1690" s="5" t="s">
        <v>120</v>
      </c>
      <c r="G1690" s="5" t="s">
        <v>13371</v>
      </c>
      <c r="H1690" s="6" t="s">
        <v>13372</v>
      </c>
      <c r="I1690" s="7" t="s">
        <v>13373</v>
      </c>
      <c r="J1690" s="8" t="str">
        <f>HYPERLINK("https://drive.google.com/file/d/128K_m2h9hZYFP-Qp_pQTe7FOaYwNYKr2/view?usp=drivesdk","ROVI HAPSARI, S.E., M.M. SERTIFIKAT BerAKHLAK")</f>
        <v>ROVI HAPSARI, S.E., M.M. SERTIFIKAT BerAKHLAK</v>
      </c>
      <c r="K1690" s="5" t="s">
        <v>13080</v>
      </c>
      <c r="L1690" s="5" t="s">
        <v>13374</v>
      </c>
      <c r="M1690" s="5" t="s">
        <v>13375</v>
      </c>
      <c r="N1690" s="7" t="s">
        <v>13376</v>
      </c>
      <c r="O1690" s="8" t="str">
        <f>HYPERLINK("https://drive.google.com/file/d/1HwXkuMzOxdKoSxYXIZIQLgZAJan5Mh1v/view?usp=drivesdk","1689_ROVI HAPSARI, S.E., M.M. _ SERTIFIKAT BIMTEK IPASN BerAKHLASK")</f>
        <v>1689_ROVI HAPSARI, S.E., M.M. _ SERTIFIKAT BIMTEK IPASN BerAKHLASK</v>
      </c>
      <c r="P1690" s="5" t="s">
        <v>13369</v>
      </c>
      <c r="Q1690" s="5"/>
      <c r="R1690" s="5"/>
      <c r="S1690" s="5"/>
      <c r="T1690" s="5"/>
    </row>
    <row r="1691">
      <c r="A1691" s="4">
        <v>45534.336008645834</v>
      </c>
      <c r="B1691" s="5" t="s">
        <v>34</v>
      </c>
      <c r="D1691" s="5" t="s">
        <v>604</v>
      </c>
      <c r="E1691" s="5" t="s">
        <v>13377</v>
      </c>
      <c r="F1691" s="5" t="s">
        <v>375</v>
      </c>
      <c r="G1691" s="5" t="s">
        <v>13378</v>
      </c>
      <c r="H1691" s="6" t="s">
        <v>13379</v>
      </c>
      <c r="I1691" s="7" t="s">
        <v>13380</v>
      </c>
      <c r="J1691" s="8" t="str">
        <f>HYPERLINK("https://drive.google.com/file/d/1tFxYRO5onjDkoW-03FfKKQDR7ps4wO0r/view?usp=drivesdk","IKA RAHMAWATI, S.E. SERTIFIKAT BerAKHLAK")</f>
        <v>IKA RAHMAWATI, S.E. SERTIFIKAT BerAKHLAK</v>
      </c>
      <c r="K1691" s="5" t="s">
        <v>13080</v>
      </c>
      <c r="L1691" s="5" t="s">
        <v>13381</v>
      </c>
      <c r="M1691" s="5" t="s">
        <v>13382</v>
      </c>
      <c r="N1691" s="7" t="s">
        <v>13383</v>
      </c>
      <c r="O1691" s="8" t="str">
        <f>HYPERLINK("https://drive.google.com/file/d/1HDeu72zXN6m7tWI_KbvXgHmLxzPPIdxn/view?usp=drivesdk","1690_IKA RAHMAWATI, S.E. _ SERTIFIKAT BIMTEK IPASN BerAKHLASK")</f>
        <v>1690_IKA RAHMAWATI, S.E. _ SERTIFIKAT BIMTEK IPASN BerAKHLASK</v>
      </c>
      <c r="P1691" s="5" t="s">
        <v>13369</v>
      </c>
      <c r="Q1691" s="5"/>
      <c r="R1691" s="5"/>
      <c r="S1691" s="5"/>
      <c r="T1691" s="5"/>
    </row>
    <row r="1692">
      <c r="A1692" s="4">
        <v>45534.33601546296</v>
      </c>
      <c r="B1692" s="5" t="s">
        <v>34</v>
      </c>
      <c r="D1692" s="5" t="s">
        <v>280</v>
      </c>
      <c r="E1692" s="5" t="s">
        <v>13384</v>
      </c>
      <c r="F1692" s="5" t="s">
        <v>37</v>
      </c>
      <c r="G1692" s="5" t="s">
        <v>13385</v>
      </c>
      <c r="H1692" s="6" t="s">
        <v>13386</v>
      </c>
      <c r="I1692" s="7" t="s">
        <v>13387</v>
      </c>
      <c r="J1692" s="8" t="str">
        <f>HYPERLINK("https://drive.google.com/file/d/1fr_FQ05kZH0eQjcx7D5j2o7a8ZHyAVbJ/view?usp=drivesdk","ZURMIDAWATI NOVITA, S. Sos. SERTIFIKAT BerAKHLAK")</f>
        <v>ZURMIDAWATI NOVITA, S. Sos. SERTIFIKAT BerAKHLAK</v>
      </c>
      <c r="K1692" s="5" t="s">
        <v>13080</v>
      </c>
      <c r="L1692" s="5" t="s">
        <v>13388</v>
      </c>
      <c r="M1692" s="5" t="s">
        <v>13389</v>
      </c>
      <c r="N1692" s="7" t="s">
        <v>13390</v>
      </c>
      <c r="O1692" s="8" t="str">
        <f>HYPERLINK("https://drive.google.com/file/d/1axpqhdNh0E1w8u0jWCdJHBYvhaN2hcbX/view?usp=drivesdk","1691_ZURMIDAWATI NOVITA, S. Sos. _ SERTIFIKAT BIMTEK IPASN BerAKHLASK")</f>
        <v>1691_ZURMIDAWATI NOVITA, S. Sos. _ SERTIFIKAT BIMTEK IPASN BerAKHLASK</v>
      </c>
      <c r="P1692" s="5" t="s">
        <v>13369</v>
      </c>
      <c r="Q1692" s="5"/>
      <c r="R1692" s="5"/>
      <c r="S1692" s="5"/>
      <c r="T1692" s="5"/>
    </row>
    <row r="1693">
      <c r="A1693" s="4">
        <v>45534.33602945602</v>
      </c>
      <c r="B1693" s="5" t="s">
        <v>34</v>
      </c>
      <c r="D1693" s="5" t="s">
        <v>9020</v>
      </c>
      <c r="E1693" s="5" t="s">
        <v>13391</v>
      </c>
      <c r="F1693" s="5" t="s">
        <v>715</v>
      </c>
      <c r="G1693" s="5" t="s">
        <v>13392</v>
      </c>
      <c r="H1693" s="6" t="s">
        <v>13393</v>
      </c>
      <c r="I1693" s="7" t="s">
        <v>13394</v>
      </c>
      <c r="J1693" s="8" t="str">
        <f>HYPERLINK("https://drive.google.com/file/d/1XWWE-crQ8OY0J_TWZizL7dzNxm9NKMFS/view?usp=drivesdk","RINI SYARIFAH PANGGABEAN, S.H. SERTIFIKAT BerAKHLAK")</f>
        <v>RINI SYARIFAH PANGGABEAN, S.H. SERTIFIKAT BerAKHLAK</v>
      </c>
      <c r="K1693" s="5" t="s">
        <v>13080</v>
      </c>
      <c r="L1693" s="5" t="s">
        <v>13395</v>
      </c>
      <c r="M1693" s="5" t="s">
        <v>13396</v>
      </c>
      <c r="N1693" s="7" t="s">
        <v>13397</v>
      </c>
      <c r="O1693" s="8" t="str">
        <f>HYPERLINK("https://drive.google.com/file/d/1l4-8l2KDERlTXzNZduLM3QpblLyzttcG/view?usp=drivesdk","1692_RINI SYARIFAH PANGGABEAN, S.H. _ SERTIFIKAT BIMTEK IPASN BerAKHLASK")</f>
        <v>1692_RINI SYARIFAH PANGGABEAN, S.H. _ SERTIFIKAT BIMTEK IPASN BerAKHLASK</v>
      </c>
      <c r="P1693" s="5" t="s">
        <v>13369</v>
      </c>
      <c r="Q1693" s="5"/>
      <c r="R1693" s="5"/>
      <c r="S1693" s="5"/>
      <c r="T1693" s="5"/>
    </row>
    <row r="1694" hidden="1">
      <c r="A1694" s="4">
        <v>45534.33603644676</v>
      </c>
      <c r="B1694" s="5" t="s">
        <v>19</v>
      </c>
      <c r="C1694" s="5" t="s">
        <v>11593</v>
      </c>
      <c r="E1694" s="5" t="s">
        <v>13398</v>
      </c>
      <c r="F1694" s="5" t="s">
        <v>108</v>
      </c>
      <c r="G1694" s="5" t="s">
        <v>13399</v>
      </c>
      <c r="H1694" s="6" t="s">
        <v>13400</v>
      </c>
      <c r="I1694" s="7" t="s">
        <v>13401</v>
      </c>
      <c r="J1694" s="8" t="str">
        <f>HYPERLINK("https://drive.google.com/file/d/14SCgUYL19KBG5N2xB6DTLGCMmJHtEYtn/view?usp=drivesdk","DR LAELI ANDITA SPKJ MKES SERTIFIKAT BerAKHLAK")</f>
        <v>DR LAELI ANDITA SPKJ MKES SERTIFIKAT BerAKHLAK</v>
      </c>
      <c r="K1694" s="5" t="s">
        <v>13080</v>
      </c>
      <c r="L1694" s="5" t="s">
        <v>13402</v>
      </c>
      <c r="M1694" s="5" t="s">
        <v>13403</v>
      </c>
      <c r="N1694" s="7" t="s">
        <v>13404</v>
      </c>
      <c r="O1694" s="8" t="str">
        <f>HYPERLINK("https://drive.google.com/file/d/1m6LB9mMjh_Q9TDC_vW2TgnHb6IM1s5rR/view?usp=drivesdk","1693_DR LAELI ANDITA SPKJ MKES _ SERTIFIKAT BIMTEK IPASN BerAKHLASK")</f>
        <v>1693_DR LAELI ANDITA SPKJ MKES _ SERTIFIKAT BIMTEK IPASN BerAKHLASK</v>
      </c>
      <c r="P1694" s="5" t="s">
        <v>13369</v>
      </c>
      <c r="Q1694" s="5"/>
      <c r="R1694" s="5"/>
      <c r="S1694" s="5"/>
      <c r="T1694" s="5"/>
    </row>
    <row r="1695" hidden="1">
      <c r="A1695" s="4">
        <v>45534.33603578704</v>
      </c>
      <c r="B1695" s="5" t="s">
        <v>19</v>
      </c>
      <c r="C1695" s="5" t="s">
        <v>5058</v>
      </c>
      <c r="E1695" s="5" t="s">
        <v>13405</v>
      </c>
      <c r="F1695" s="5" t="s">
        <v>715</v>
      </c>
      <c r="G1695" s="5" t="s">
        <v>13406</v>
      </c>
      <c r="H1695" s="6" t="s">
        <v>13407</v>
      </c>
      <c r="I1695" s="7" t="s">
        <v>13408</v>
      </c>
      <c r="J1695" s="8" t="str">
        <f>HYPERLINK("https://drive.google.com/file/d/1ygyqBRCjcVCfxUsC8_93akKmUsSB_O40/view?usp=drivesdk","RISNA SEPTIANA SERTIFIKAT BerAKHLAK")</f>
        <v>RISNA SEPTIANA SERTIFIKAT BerAKHLAK</v>
      </c>
      <c r="K1695" s="5" t="s">
        <v>13080</v>
      </c>
      <c r="L1695" s="5" t="s">
        <v>13409</v>
      </c>
      <c r="M1695" s="5" t="s">
        <v>13410</v>
      </c>
      <c r="N1695" s="7" t="s">
        <v>13411</v>
      </c>
      <c r="O1695" s="8" t="str">
        <f>HYPERLINK("https://drive.google.com/file/d/12QBrXNj4M1bB4SA93V8Nr_C1HfVyVqA4/view?usp=drivesdk","1694_RISNA SEPTIANA _ SERTIFIKAT BIMTEK IPASN BerAKHLASK")</f>
        <v>1694_RISNA SEPTIANA _ SERTIFIKAT BIMTEK IPASN BerAKHLASK</v>
      </c>
      <c r="P1695" s="5" t="s">
        <v>13412</v>
      </c>
      <c r="Q1695" s="5"/>
      <c r="R1695" s="5"/>
      <c r="S1695" s="5"/>
      <c r="T1695" s="5"/>
    </row>
    <row r="1696">
      <c r="A1696" s="4">
        <v>45534.33609094907</v>
      </c>
      <c r="B1696" s="5" t="s">
        <v>34</v>
      </c>
      <c r="D1696" s="5" t="s">
        <v>9020</v>
      </c>
      <c r="E1696" s="5" t="s">
        <v>13413</v>
      </c>
      <c r="F1696" s="5" t="s">
        <v>120</v>
      </c>
      <c r="G1696" s="5" t="s">
        <v>13414</v>
      </c>
      <c r="H1696" s="6" t="s">
        <v>13415</v>
      </c>
      <c r="K1696" s="5" t="s">
        <v>13416</v>
      </c>
      <c r="M1696" s="5" t="s">
        <v>13417</v>
      </c>
      <c r="N1696" s="7" t="s">
        <v>13418</v>
      </c>
      <c r="O1696" s="8" t="str">
        <f>HYPERLINK("https://drive.google.com/file/d/16CufTC8AWjWaiYEWTeBUL9lHeWhMgrJh/view?usp=drivesdk","1695_dr. WAN LIANA DEWI SYAHRA BAROS _ SERTIFIKAT BIMTEK IPASN BerAKHLASK")</f>
        <v>1695_dr. WAN LIANA DEWI SYAHRA BAROS _ SERTIFIKAT BIMTEK IPASN BerAKHLASK</v>
      </c>
      <c r="P1696" s="5" t="s">
        <v>13412</v>
      </c>
      <c r="Q1696" s="5"/>
      <c r="R1696" s="5"/>
      <c r="S1696" s="5"/>
      <c r="T1696" s="5"/>
    </row>
    <row r="1697">
      <c r="A1697" s="4">
        <v>45534.3360947801</v>
      </c>
      <c r="B1697" s="5" t="s">
        <v>34</v>
      </c>
      <c r="D1697" s="5" t="s">
        <v>6232</v>
      </c>
      <c r="E1697" s="5" t="s">
        <v>13419</v>
      </c>
      <c r="F1697" s="5" t="s">
        <v>715</v>
      </c>
      <c r="G1697" s="5" t="s">
        <v>13420</v>
      </c>
      <c r="H1697" s="6" t="s">
        <v>13421</v>
      </c>
      <c r="K1697" s="5" t="s">
        <v>13416</v>
      </c>
      <c r="M1697" s="5" t="s">
        <v>13422</v>
      </c>
      <c r="N1697" s="7" t="s">
        <v>13423</v>
      </c>
      <c r="O1697" s="8" t="str">
        <f>HYPERLINK("https://drive.google.com/file/d/1Rhr4IfODwoK3Tx2SkvwojQtGkpZunG9n/view?usp=drivesdk","1696_ALIF LAINI, SPD SD _ SERTIFIKAT BIMTEK IPASN BerAKHLASK")</f>
        <v>1696_ALIF LAINI, SPD SD _ SERTIFIKAT BIMTEK IPASN BerAKHLASK</v>
      </c>
      <c r="P1697" s="5" t="s">
        <v>13412</v>
      </c>
      <c r="Q1697" s="5"/>
      <c r="R1697" s="5"/>
      <c r="S1697" s="5"/>
      <c r="T1697" s="5"/>
    </row>
    <row r="1698">
      <c r="A1698" s="4">
        <v>45534.336108125004</v>
      </c>
      <c r="B1698" s="5" t="s">
        <v>34</v>
      </c>
      <c r="D1698" s="5" t="s">
        <v>9020</v>
      </c>
      <c r="E1698" s="5" t="s">
        <v>13424</v>
      </c>
      <c r="F1698" s="5" t="s">
        <v>37</v>
      </c>
      <c r="G1698" s="5" t="s">
        <v>13425</v>
      </c>
      <c r="H1698" s="6" t="s">
        <v>13426</v>
      </c>
      <c r="K1698" s="5" t="s">
        <v>13416</v>
      </c>
      <c r="M1698" s="5" t="s">
        <v>13427</v>
      </c>
      <c r="N1698" s="7" t="s">
        <v>13428</v>
      </c>
      <c r="O1698" s="8" t="str">
        <f>HYPERLINK("https://drive.google.com/file/d/1JaXvhTeRrMEYTOaDfZXmn4KsvUiVWbDR/view?usp=drivesdk","1697_BOBY HENDRA POLTAK SIMANJUNTAK _ SERTIFIKAT BIMTEK IPASN BerAKHLASK")</f>
        <v>1697_BOBY HENDRA POLTAK SIMANJUNTAK _ SERTIFIKAT BIMTEK IPASN BerAKHLASK</v>
      </c>
      <c r="P1698" s="5" t="s">
        <v>13412</v>
      </c>
      <c r="Q1698" s="5"/>
      <c r="R1698" s="5"/>
      <c r="S1698" s="5"/>
      <c r="T1698" s="5"/>
    </row>
    <row r="1699" hidden="1">
      <c r="A1699" s="4">
        <v>45534.336107361116</v>
      </c>
      <c r="B1699" s="5" t="s">
        <v>19</v>
      </c>
      <c r="C1699" s="5" t="s">
        <v>11593</v>
      </c>
      <c r="E1699" s="5" t="s">
        <v>13429</v>
      </c>
      <c r="F1699" s="5" t="s">
        <v>72</v>
      </c>
      <c r="G1699" s="5" t="s">
        <v>13430</v>
      </c>
      <c r="H1699" s="6" t="s">
        <v>13431</v>
      </c>
      <c r="K1699" s="5" t="s">
        <v>13416</v>
      </c>
      <c r="M1699" s="5" t="s">
        <v>13432</v>
      </c>
      <c r="N1699" s="7" t="s">
        <v>13433</v>
      </c>
      <c r="O1699" s="8" t="str">
        <f>HYPERLINK("https://drive.google.com/file/d/1X6UJ8-hWcz_riJ8Vdi7v5ya6DD5SGy1P/view?usp=drivesdk","1698_NURLAILI,AMD KEB _ SERTIFIKAT BIMTEK IPASN BerAKHLASK")</f>
        <v>1698_NURLAILI,AMD KEB _ SERTIFIKAT BIMTEK IPASN BerAKHLASK</v>
      </c>
      <c r="P1699" s="5" t="s">
        <v>13412</v>
      </c>
      <c r="Q1699" s="5"/>
      <c r="R1699" s="5"/>
      <c r="S1699" s="5"/>
      <c r="T1699" s="5"/>
    </row>
    <row r="1700">
      <c r="A1700" s="4">
        <v>45534.33613549768</v>
      </c>
      <c r="B1700" s="5" t="s">
        <v>34</v>
      </c>
      <c r="D1700" s="5" t="s">
        <v>9020</v>
      </c>
      <c r="E1700" s="5" t="s">
        <v>13434</v>
      </c>
      <c r="F1700" s="5" t="s">
        <v>212</v>
      </c>
      <c r="G1700" s="5" t="s">
        <v>13435</v>
      </c>
      <c r="H1700" s="6" t="s">
        <v>13436</v>
      </c>
      <c r="I1700" s="7" t="s">
        <v>13437</v>
      </c>
      <c r="J1700" s="8" t="str">
        <f>HYPERLINK("https://drive.google.com/file/d/1mg-0plRVGuJlIWvzwW_gg_3r8794Ynsl/view?usp=drivesdk","SURIATI GANDARIA PARDEDE SERTIFIKAT BerAKHLAK")</f>
        <v>SURIATI GANDARIA PARDEDE SERTIFIKAT BerAKHLAK</v>
      </c>
      <c r="K1700" s="5" t="s">
        <v>13080</v>
      </c>
      <c r="L1700" s="5" t="s">
        <v>13438</v>
      </c>
      <c r="M1700" s="5" t="s">
        <v>13439</v>
      </c>
      <c r="N1700" s="7" t="s">
        <v>13440</v>
      </c>
      <c r="O1700" s="8" t="str">
        <f>HYPERLINK("https://drive.google.com/file/d/1-GzxPatjDGRQmk-oRyD_eV5JAGN_RizL/view?usp=drivesdk","1699_SURIATI GANDARIA PARDEDE _ SERTIFIKAT BIMTEK IPASN BerAKHLASK")</f>
        <v>1699_SURIATI GANDARIA PARDEDE _ SERTIFIKAT BIMTEK IPASN BerAKHLASK</v>
      </c>
      <c r="P1700" s="5" t="s">
        <v>13412</v>
      </c>
      <c r="Q1700" s="5"/>
      <c r="R1700" s="5"/>
      <c r="S1700" s="5"/>
      <c r="T1700" s="5"/>
    </row>
    <row r="1701">
      <c r="A1701" s="4">
        <v>45534.336137997685</v>
      </c>
      <c r="B1701" s="5" t="s">
        <v>34</v>
      </c>
      <c r="D1701" s="5" t="s">
        <v>2903</v>
      </c>
      <c r="E1701" s="5" t="s">
        <v>13441</v>
      </c>
      <c r="F1701" s="5" t="s">
        <v>22</v>
      </c>
      <c r="G1701" s="5" t="s">
        <v>13442</v>
      </c>
      <c r="H1701" s="6" t="s">
        <v>13443</v>
      </c>
      <c r="I1701" s="7" t="s">
        <v>13444</v>
      </c>
      <c r="J1701" s="8" t="str">
        <f>HYPERLINK("https://drive.google.com/file/d/1TREqMFYFlkDQ5Z5CCFjW5p6W9limt2vh/view?usp=drivesdk","Drg HAMIDES YUNITA SERTIFIKAT BerAKHLAK")</f>
        <v>Drg HAMIDES YUNITA SERTIFIKAT BerAKHLAK</v>
      </c>
      <c r="K1701" s="5" t="s">
        <v>13080</v>
      </c>
      <c r="L1701" s="5" t="s">
        <v>13445</v>
      </c>
      <c r="M1701" s="5" t="s">
        <v>13446</v>
      </c>
      <c r="N1701" s="7" t="s">
        <v>13447</v>
      </c>
      <c r="O1701" s="8" t="str">
        <f>HYPERLINK("https://drive.google.com/file/d/1iji8QZCYTsz3abFM_S_B89Z4ElLREtZV/view?usp=drivesdk","1700_Drg HAMIDES YUNITA _ SERTIFIKAT BIMTEK IPASN BerAKHLASK")</f>
        <v>1700_Drg HAMIDES YUNITA _ SERTIFIKAT BIMTEK IPASN BerAKHLASK</v>
      </c>
      <c r="P1701" s="5" t="s">
        <v>13448</v>
      </c>
      <c r="Q1701" s="5"/>
      <c r="R1701" s="5"/>
      <c r="S1701" s="5"/>
      <c r="T1701" s="5"/>
    </row>
    <row r="1702">
      <c r="A1702" s="4">
        <v>45534.33614782407</v>
      </c>
      <c r="B1702" s="5" t="s">
        <v>34</v>
      </c>
      <c r="D1702" s="5" t="s">
        <v>12010</v>
      </c>
      <c r="E1702" s="5" t="s">
        <v>13449</v>
      </c>
      <c r="F1702" s="5" t="s">
        <v>108</v>
      </c>
      <c r="G1702" s="5" t="s">
        <v>13450</v>
      </c>
      <c r="H1702" s="6" t="s">
        <v>13451</v>
      </c>
      <c r="I1702" s="7" t="s">
        <v>13452</v>
      </c>
      <c r="J1702" s="8" t="str">
        <f>HYPERLINK("https://drive.google.com/file/d/1fS7WbvHpmHVVo3ZSRCv22hL0N-tygQmb/view?usp=drivesdk","DHITA PRICILIA PATILA, S.E SERTIFIKAT BerAKHLAK")</f>
        <v>DHITA PRICILIA PATILA, S.E SERTIFIKAT BerAKHLAK</v>
      </c>
      <c r="K1702" s="5" t="s">
        <v>13080</v>
      </c>
      <c r="L1702" s="5" t="s">
        <v>13453</v>
      </c>
      <c r="M1702" s="5" t="s">
        <v>13454</v>
      </c>
      <c r="N1702" s="7" t="s">
        <v>13455</v>
      </c>
      <c r="O1702" s="8" t="str">
        <f>HYPERLINK("https://drive.google.com/file/d/1VwSio6pnLOBzSO3J_0dqDYC-i9RT16F-/view?usp=drivesdk","1701_DHITA PRICILIA PATILA, S.E _ SERTIFIKAT BIMTEK IPASN BerAKHLASK")</f>
        <v>1701_DHITA PRICILIA PATILA, S.E _ SERTIFIKAT BIMTEK IPASN BerAKHLASK</v>
      </c>
      <c r="P1702" s="5" t="s">
        <v>13448</v>
      </c>
      <c r="Q1702" s="5"/>
      <c r="R1702" s="5"/>
      <c r="S1702" s="5"/>
      <c r="T1702" s="5"/>
    </row>
    <row r="1703">
      <c r="A1703" s="4">
        <v>45534.33615446759</v>
      </c>
      <c r="B1703" s="5" t="s">
        <v>34</v>
      </c>
      <c r="D1703" s="5" t="s">
        <v>12010</v>
      </c>
      <c r="E1703" s="5" t="s">
        <v>13456</v>
      </c>
      <c r="F1703" s="5" t="s">
        <v>212</v>
      </c>
      <c r="G1703" s="5" t="s">
        <v>13457</v>
      </c>
      <c r="H1703" s="6" t="s">
        <v>13458</v>
      </c>
      <c r="K1703" s="5" t="s">
        <v>13459</v>
      </c>
      <c r="M1703" s="5" t="s">
        <v>13460</v>
      </c>
      <c r="N1703" s="7" t="s">
        <v>13461</v>
      </c>
      <c r="O1703" s="8" t="str">
        <f>HYPERLINK("https://drive.google.com/file/d/1rTTsLGn4jh_LCvMQdDEt20co-XYDFmVJ/view?usp=drivesdk","1702_ABDUL HARIS BUMULO _ SERTIFIKAT BIMTEK IPASN BerAKHLASK")</f>
        <v>1702_ABDUL HARIS BUMULO _ SERTIFIKAT BIMTEK IPASN BerAKHLASK</v>
      </c>
      <c r="P1703" s="5" t="s">
        <v>13448</v>
      </c>
      <c r="Q1703" s="5"/>
      <c r="R1703" s="5"/>
      <c r="S1703" s="5"/>
      <c r="T1703" s="5"/>
    </row>
    <row r="1704">
      <c r="A1704" s="4">
        <v>45534.33615797454</v>
      </c>
      <c r="B1704" s="5" t="s">
        <v>34</v>
      </c>
      <c r="D1704" s="5" t="s">
        <v>580</v>
      </c>
      <c r="E1704" s="5" t="s">
        <v>13462</v>
      </c>
      <c r="F1704" s="5" t="s">
        <v>120</v>
      </c>
      <c r="G1704" s="5" t="s">
        <v>13463</v>
      </c>
      <c r="H1704" s="6" t="s">
        <v>13464</v>
      </c>
      <c r="K1704" s="5" t="s">
        <v>13459</v>
      </c>
      <c r="M1704" s="5" t="s">
        <v>13465</v>
      </c>
      <c r="N1704" s="7" t="s">
        <v>13466</v>
      </c>
      <c r="O1704" s="8" t="str">
        <f>HYPERLINK("https://drive.google.com/file/d/1R6yKvz6qmVmFx2N0xExaQ-7TBZvEMkS1/view?usp=drivesdk","1703_NI WAYAN SRI ROSMAENI, S. KM., M. M.  _ SERTIFIKAT BIMTEK IPASN BerAKHLASK")</f>
        <v>1703_NI WAYAN SRI ROSMAENI, S. KM., M. M.  _ SERTIFIKAT BIMTEK IPASN BerAKHLASK</v>
      </c>
      <c r="P1704" s="5" t="s">
        <v>13448</v>
      </c>
      <c r="Q1704" s="5"/>
      <c r="R1704" s="5"/>
      <c r="S1704" s="5"/>
      <c r="T1704" s="5"/>
    </row>
    <row r="1705">
      <c r="A1705" s="4">
        <v>45534.33616791667</v>
      </c>
      <c r="B1705" s="5" t="s">
        <v>34</v>
      </c>
      <c r="D1705" s="5" t="s">
        <v>35</v>
      </c>
      <c r="E1705" s="5" t="s">
        <v>13467</v>
      </c>
      <c r="F1705" s="5" t="s">
        <v>212</v>
      </c>
      <c r="G1705" s="5" t="s">
        <v>13468</v>
      </c>
      <c r="H1705" s="6" t="s">
        <v>13469</v>
      </c>
      <c r="K1705" s="5" t="s">
        <v>13459</v>
      </c>
      <c r="M1705" s="5" t="s">
        <v>13470</v>
      </c>
      <c r="N1705" s="7" t="s">
        <v>13471</v>
      </c>
      <c r="O1705" s="8" t="str">
        <f>HYPERLINK("https://drive.google.com/file/d/1lelefOVJfmqkYoEDgK-Mu0JMeo6pFxBm/view?usp=drivesdk","1704_WACHYU PURWANOM SANTOSO, AMd.Kep. _ SERTIFIKAT BIMTEK IPASN BerAKHLASK")</f>
        <v>1704_WACHYU PURWANOM SANTOSO, AMd.Kep. _ SERTIFIKAT BIMTEK IPASN BerAKHLASK</v>
      </c>
      <c r="P1705" s="5" t="s">
        <v>13448</v>
      </c>
      <c r="Q1705" s="5"/>
      <c r="R1705" s="5"/>
      <c r="S1705" s="5"/>
      <c r="T1705" s="5"/>
    </row>
    <row r="1706">
      <c r="A1706" s="4">
        <v>45534.33617825231</v>
      </c>
      <c r="B1706" s="5" t="s">
        <v>34</v>
      </c>
      <c r="D1706" s="5" t="s">
        <v>10297</v>
      </c>
      <c r="E1706" s="5" t="s">
        <v>13472</v>
      </c>
      <c r="F1706" s="5" t="s">
        <v>37</v>
      </c>
      <c r="G1706" s="5" t="s">
        <v>13473</v>
      </c>
      <c r="H1706" s="6" t="s">
        <v>13474</v>
      </c>
      <c r="I1706" s="7" t="s">
        <v>13475</v>
      </c>
      <c r="J1706" s="8" t="str">
        <f>HYPERLINK("https://drive.google.com/file/d/1TLJFtSAT3QPcR2uLLMb1QsU1EOmAwVcB/view?usp=drivesdk","YULIANA RISKY, A.MD, KOM SERTIFIKAT BerAKHLAK")</f>
        <v>YULIANA RISKY, A.MD, KOM SERTIFIKAT BerAKHLAK</v>
      </c>
      <c r="K1706" s="5" t="s">
        <v>13080</v>
      </c>
      <c r="L1706" s="5" t="s">
        <v>13476</v>
      </c>
      <c r="M1706" s="5" t="s">
        <v>13477</v>
      </c>
      <c r="N1706" s="7" t="s">
        <v>13478</v>
      </c>
      <c r="O1706" s="8" t="str">
        <f>HYPERLINK("https://drive.google.com/file/d/10GZFYlofSbpNLjs1rIiM_D3smOopqQh-/view?usp=drivesdk","1705_YULIANA RISKY, A.MD, KOM _ SERTIFIKAT BIMTEK IPASN BerAKHLASK")</f>
        <v>1705_YULIANA RISKY, A.MD, KOM _ SERTIFIKAT BIMTEK IPASN BerAKHLASK</v>
      </c>
      <c r="P1706" s="5" t="s">
        <v>13448</v>
      </c>
      <c r="Q1706" s="5"/>
      <c r="R1706" s="5"/>
      <c r="S1706" s="5"/>
      <c r="T1706" s="5"/>
    </row>
    <row r="1707">
      <c r="A1707" s="4">
        <v>45534.33618565972</v>
      </c>
      <c r="B1707" s="5" t="s">
        <v>34</v>
      </c>
      <c r="D1707" s="5" t="s">
        <v>35</v>
      </c>
      <c r="E1707" s="5" t="s">
        <v>13479</v>
      </c>
      <c r="F1707" s="5" t="s">
        <v>524</v>
      </c>
      <c r="G1707" s="5" t="s">
        <v>13480</v>
      </c>
      <c r="H1707" s="6" t="s">
        <v>13481</v>
      </c>
      <c r="I1707" s="7" t="s">
        <v>13482</v>
      </c>
      <c r="J1707" s="8" t="str">
        <f>HYPERLINK("https://drive.google.com/file/d/14EJSbwAPrKSN-cI5B54qO1EbYPoPVGzm/view?usp=drivesdk","SIUM POLRESTA BOGOR KOTA YULHAZRI, AMD SERTIFIKAT BerAKHLAK")</f>
        <v>SIUM POLRESTA BOGOR KOTA YULHAZRI, AMD SERTIFIKAT BerAKHLAK</v>
      </c>
      <c r="K1707" s="5" t="s">
        <v>13080</v>
      </c>
      <c r="L1707" s="5" t="s">
        <v>13483</v>
      </c>
      <c r="M1707" s="5" t="s">
        <v>13484</v>
      </c>
      <c r="N1707" s="7" t="s">
        <v>13485</v>
      </c>
      <c r="O1707" s="8" t="str">
        <f>HYPERLINK("https://drive.google.com/file/d/1dSHJMunzeVUJvrTFm_mXjxEl6lnw4tcx/view?usp=drivesdk","1706_SIUM POLRESTA BOGOR KOTA YULHAZRI, AMD _ SERTIFIKAT BIMTEK IPASN BerAKHLASK")</f>
        <v>1706_SIUM POLRESTA BOGOR KOTA YULHAZRI, AMD _ SERTIFIKAT BIMTEK IPASN BerAKHLASK</v>
      </c>
      <c r="P1707" s="5" t="s">
        <v>13486</v>
      </c>
      <c r="Q1707" s="5"/>
      <c r="R1707" s="5"/>
      <c r="S1707" s="5"/>
      <c r="T1707" s="5"/>
    </row>
    <row r="1708">
      <c r="A1708" s="4">
        <v>45534.336188506946</v>
      </c>
      <c r="B1708" s="5" t="s">
        <v>34</v>
      </c>
      <c r="D1708" s="5" t="s">
        <v>522</v>
      </c>
      <c r="E1708" s="5" t="s">
        <v>13487</v>
      </c>
      <c r="F1708" s="5" t="s">
        <v>108</v>
      </c>
      <c r="G1708" s="5" t="s">
        <v>13488</v>
      </c>
      <c r="H1708" s="6" t="s">
        <v>13489</v>
      </c>
      <c r="I1708" s="7" t="s">
        <v>13490</v>
      </c>
      <c r="J1708" s="8" t="str">
        <f>HYPERLINK("https://drive.google.com/file/d/1xI4GBDq6naCD_iRVv1KSMeRwqKs-35hx/view?usp=drivesdk","PENDATU SYAHRIL SERTIFIKAT BerAKHLAK")</f>
        <v>PENDATU SYAHRIL SERTIFIKAT BerAKHLAK</v>
      </c>
      <c r="K1708" s="5" t="s">
        <v>13080</v>
      </c>
      <c r="L1708" s="5" t="s">
        <v>13491</v>
      </c>
      <c r="M1708" s="5" t="s">
        <v>13492</v>
      </c>
      <c r="N1708" s="7" t="s">
        <v>13493</v>
      </c>
      <c r="O1708" s="8" t="str">
        <f>HYPERLINK("https://drive.google.com/file/d/1-iYTcBns2uD3b36gResIMZzBVvvVVXM8/view?usp=drivesdk","1707_PENDATU SYAHRIL _ SERTIFIKAT BIMTEK IPASN BerAKHLASK")</f>
        <v>1707_PENDATU SYAHRIL _ SERTIFIKAT BIMTEK IPASN BerAKHLASK</v>
      </c>
      <c r="P1708" s="5" t="s">
        <v>13486</v>
      </c>
      <c r="Q1708" s="5"/>
      <c r="R1708" s="5"/>
      <c r="S1708" s="5"/>
      <c r="T1708" s="5"/>
    </row>
    <row r="1709">
      <c r="A1709" s="4">
        <v>45534.33620329861</v>
      </c>
      <c r="B1709" s="5" t="s">
        <v>34</v>
      </c>
      <c r="D1709" s="5" t="s">
        <v>1206</v>
      </c>
      <c r="E1709" s="5" t="s">
        <v>13494</v>
      </c>
      <c r="F1709" s="5" t="s">
        <v>5859</v>
      </c>
      <c r="G1709" s="5" t="s">
        <v>13495</v>
      </c>
      <c r="H1709" s="6" t="s">
        <v>13496</v>
      </c>
      <c r="K1709" s="5" t="s">
        <v>13497</v>
      </c>
      <c r="M1709" s="5" t="s">
        <v>13498</v>
      </c>
      <c r="N1709" s="7" t="s">
        <v>13499</v>
      </c>
      <c r="O1709" s="8" t="str">
        <f>HYPERLINK("https://drive.google.com/file/d/1mqIx359uVuvjVcuhDZa42nm3mBl6tokN/view?usp=drivesdk","1708_BAPAK JURU JUARI _ SERTIFIKAT BIMTEK IPASN BerAKHLASK")</f>
        <v>1708_BAPAK JURU JUARI _ SERTIFIKAT BIMTEK IPASN BerAKHLASK</v>
      </c>
      <c r="P1709" s="5" t="s">
        <v>13486</v>
      </c>
      <c r="Q1709" s="5"/>
      <c r="R1709" s="5"/>
      <c r="S1709" s="5"/>
      <c r="T1709" s="5"/>
    </row>
    <row r="1710">
      <c r="A1710" s="4">
        <v>45534.33621271991</v>
      </c>
      <c r="B1710" s="5" t="s">
        <v>34</v>
      </c>
      <c r="D1710" s="5" t="s">
        <v>4775</v>
      </c>
      <c r="E1710" s="5" t="s">
        <v>13500</v>
      </c>
      <c r="F1710" s="5" t="s">
        <v>212</v>
      </c>
      <c r="G1710" s="5" t="s">
        <v>13501</v>
      </c>
      <c r="H1710" s="6" t="s">
        <v>13502</v>
      </c>
      <c r="K1710" s="5" t="s">
        <v>13497</v>
      </c>
      <c r="M1710" s="5" t="s">
        <v>13503</v>
      </c>
      <c r="N1710" s="7" t="s">
        <v>13504</v>
      </c>
      <c r="O1710" s="8" t="str">
        <f>HYPERLINK("https://drive.google.com/file/d/1mKtSFlz5u0XjcjnnsvxIiBrMKDBghvvu/view?usp=drivesdk","1709_YAYUK HARTININGSIH _ SERTIFIKAT BIMTEK IPASN BerAKHLASK")</f>
        <v>1709_YAYUK HARTININGSIH _ SERTIFIKAT BIMTEK IPASN BerAKHLASK</v>
      </c>
      <c r="P1710" s="5" t="s">
        <v>13486</v>
      </c>
      <c r="Q1710" s="5"/>
      <c r="R1710" s="5"/>
      <c r="S1710" s="5"/>
      <c r="T1710" s="5"/>
    </row>
    <row r="1711">
      <c r="A1711" s="4">
        <v>45534.33621818287</v>
      </c>
      <c r="B1711" s="5" t="s">
        <v>34</v>
      </c>
      <c r="D1711" s="5" t="s">
        <v>9020</v>
      </c>
      <c r="E1711" s="5" t="s">
        <v>13505</v>
      </c>
      <c r="F1711" s="5" t="s">
        <v>212</v>
      </c>
      <c r="G1711" s="5" t="s">
        <v>13506</v>
      </c>
      <c r="H1711" s="6" t="s">
        <v>13507</v>
      </c>
      <c r="I1711" s="7" t="s">
        <v>13508</v>
      </c>
      <c r="J1711" s="8" t="str">
        <f>HYPERLINK("https://drive.google.com/file/d/1yhy3dacsk1RixhJ-57Np5GRfDQCmcRFP/view?usp=drivesdk","LINDA SARI PURBA SERTIFIKAT BerAKHLAK")</f>
        <v>LINDA SARI PURBA SERTIFIKAT BerAKHLAK</v>
      </c>
      <c r="K1711" s="5" t="s">
        <v>13080</v>
      </c>
      <c r="L1711" s="5" t="s">
        <v>13509</v>
      </c>
      <c r="M1711" s="5" t="s">
        <v>13510</v>
      </c>
      <c r="N1711" s="7" t="s">
        <v>13511</v>
      </c>
      <c r="O1711" s="8" t="str">
        <f>HYPERLINK("https://drive.google.com/file/d/1lDD8_uRvBJncfWAGSGWP5FzuIjr5Bjqp/view?usp=drivesdk","1710_LINDA SARI PURBA _ SERTIFIKAT BIMTEK IPASN BerAKHLASK")</f>
        <v>1710_LINDA SARI PURBA _ SERTIFIKAT BIMTEK IPASN BerAKHLASK</v>
      </c>
      <c r="P1711" s="5" t="s">
        <v>13486</v>
      </c>
      <c r="Q1711" s="5"/>
      <c r="R1711" s="5"/>
      <c r="S1711" s="5"/>
      <c r="T1711" s="5"/>
    </row>
    <row r="1712">
      <c r="A1712" s="4">
        <v>45534.33623090277</v>
      </c>
      <c r="B1712" s="5" t="s">
        <v>34</v>
      </c>
      <c r="D1712" s="5" t="s">
        <v>35</v>
      </c>
      <c r="E1712" s="5" t="s">
        <v>13512</v>
      </c>
      <c r="F1712" s="5" t="s">
        <v>715</v>
      </c>
      <c r="G1712" s="5" t="s">
        <v>13513</v>
      </c>
      <c r="H1712" s="6" t="s">
        <v>13514</v>
      </c>
      <c r="I1712" s="7" t="s">
        <v>13515</v>
      </c>
      <c r="J1712" s="8" t="str">
        <f>HYPERLINK("https://drive.google.com/file/d/1d_8W9yCPWB7BydSLy-4vlHR3nYc80YWv/view?usp=drivesdk","ELIN NURHAYATI S.Kep.,Ners SERTIFIKAT BerAKHLAK")</f>
        <v>ELIN NURHAYATI S.Kep.,Ners SERTIFIKAT BerAKHLAK</v>
      </c>
      <c r="K1712" s="5" t="s">
        <v>13080</v>
      </c>
      <c r="L1712" s="5" t="s">
        <v>13516</v>
      </c>
      <c r="M1712" s="5" t="s">
        <v>13517</v>
      </c>
      <c r="N1712" s="7" t="s">
        <v>13518</v>
      </c>
      <c r="O1712" s="8" t="str">
        <f>HYPERLINK("https://drive.google.com/file/d/1aFDbas1jx_BVkIQvES2rUhmb4U_5SAOx/view?usp=drivesdk","1711_ELIN NURHAYATI S.Kep.,Ners _ SERTIFIKAT BIMTEK IPASN BerAKHLASK")</f>
        <v>1711_ELIN NURHAYATI S.Kep.,Ners _ SERTIFIKAT BIMTEK IPASN BerAKHLASK</v>
      </c>
      <c r="P1712" s="5" t="s">
        <v>13486</v>
      </c>
      <c r="Q1712" s="5"/>
      <c r="R1712" s="5"/>
      <c r="S1712" s="5"/>
      <c r="T1712" s="5"/>
    </row>
    <row r="1713">
      <c r="A1713" s="4">
        <v>45534.336285</v>
      </c>
      <c r="B1713" s="5" t="s">
        <v>34</v>
      </c>
      <c r="D1713" s="5" t="s">
        <v>12978</v>
      </c>
      <c r="E1713" s="5" t="s">
        <v>13519</v>
      </c>
      <c r="F1713" s="5" t="s">
        <v>212</v>
      </c>
      <c r="G1713" s="5" t="s">
        <v>13520</v>
      </c>
      <c r="H1713" s="6" t="s">
        <v>13521</v>
      </c>
      <c r="I1713" s="7" t="s">
        <v>13522</v>
      </c>
      <c r="J1713" s="8" t="str">
        <f>HYPERLINK("https://drive.google.com/file/d/1CcDjr-1YrmH-KqaPdAxQhLE5m_mzkpok/view?usp=drivesdk","RELLYA OKTOVIANNA SERTIFIKAT BerAKHLAK")</f>
        <v>RELLYA OKTOVIANNA SERTIFIKAT BerAKHLAK</v>
      </c>
      <c r="K1713" s="5" t="s">
        <v>13080</v>
      </c>
      <c r="L1713" s="5" t="s">
        <v>13523</v>
      </c>
      <c r="M1713" s="5" t="s">
        <v>13524</v>
      </c>
      <c r="N1713" s="7" t="s">
        <v>13525</v>
      </c>
      <c r="O1713" s="8" t="str">
        <f>HYPERLINK("https://drive.google.com/file/d/12uVnMBjm-4op6Dh1kiZ8CnKfKOE7UsCS/view?usp=drivesdk","1712_RELLYA OKTOVIANNA _ SERTIFIKAT BIMTEK IPASN BerAKHLASK")</f>
        <v>1712_RELLYA OKTOVIANNA _ SERTIFIKAT BIMTEK IPASN BerAKHLASK</v>
      </c>
      <c r="P1713" s="5" t="s">
        <v>13526</v>
      </c>
      <c r="Q1713" s="5"/>
      <c r="R1713" s="5"/>
      <c r="S1713" s="5"/>
      <c r="T1713" s="5"/>
    </row>
    <row r="1714">
      <c r="A1714" s="4">
        <v>45534.33629195602</v>
      </c>
      <c r="B1714" s="5" t="s">
        <v>34</v>
      </c>
      <c r="D1714" s="5" t="s">
        <v>996</v>
      </c>
      <c r="E1714" s="5" t="s">
        <v>13527</v>
      </c>
      <c r="F1714" s="5" t="s">
        <v>37</v>
      </c>
      <c r="G1714" s="5" t="s">
        <v>13528</v>
      </c>
      <c r="H1714" s="6" t="s">
        <v>13529</v>
      </c>
      <c r="I1714" s="7" t="s">
        <v>13530</v>
      </c>
      <c r="J1714" s="8" t="str">
        <f>HYPERLINK("https://drive.google.com/file/d/1U-0Bx9yYxXEQtPZpVldgsbD0CqS5466x/view?usp=drivesdk","H. SRI WAFAMUNIARTY  SERTIFIKAT BerAKHLAK")</f>
        <v>H. SRI WAFAMUNIARTY  SERTIFIKAT BerAKHLAK</v>
      </c>
      <c r="K1714" s="5" t="s">
        <v>13080</v>
      </c>
      <c r="L1714" s="5" t="s">
        <v>13531</v>
      </c>
      <c r="M1714" s="5" t="s">
        <v>13532</v>
      </c>
      <c r="N1714" s="7" t="s">
        <v>13533</v>
      </c>
      <c r="O1714" s="8" t="str">
        <f>HYPERLINK("https://drive.google.com/file/d/1MhWjjIqUqgs2JfhII53koYf3z-aw4m-l/view?usp=drivesdk","1713_H. SRI WAFAMUNIARTY  _ SERTIFIKAT BIMTEK IPASN BerAKHLASK")</f>
        <v>1713_H. SRI WAFAMUNIARTY  _ SERTIFIKAT BIMTEK IPASN BerAKHLASK</v>
      </c>
      <c r="P1714" s="5" t="s">
        <v>13526</v>
      </c>
      <c r="Q1714" s="5"/>
      <c r="R1714" s="5"/>
      <c r="S1714" s="5"/>
      <c r="T1714" s="5"/>
    </row>
    <row r="1715">
      <c r="A1715" s="4">
        <v>45534.336296574074</v>
      </c>
      <c r="B1715" s="5" t="s">
        <v>34</v>
      </c>
      <c r="D1715" s="5" t="s">
        <v>6232</v>
      </c>
      <c r="E1715" s="5" t="s">
        <v>13534</v>
      </c>
      <c r="F1715" s="5" t="s">
        <v>108</v>
      </c>
      <c r="G1715" s="5" t="s">
        <v>13535</v>
      </c>
      <c r="H1715" s="6" t="s">
        <v>13536</v>
      </c>
      <c r="I1715" s="7" t="s">
        <v>13537</v>
      </c>
      <c r="J1715" s="8" t="str">
        <f>HYPERLINK("https://drive.google.com/file/d/1QS1tFLJhCdW4YfochJMxTn-y7YY7HfZL/view?usp=drivesdk","dr. FENNY SESTRIANI SERTIFIKAT BerAKHLAK")</f>
        <v>dr. FENNY SESTRIANI SERTIFIKAT BerAKHLAK</v>
      </c>
      <c r="K1715" s="5" t="s">
        <v>13080</v>
      </c>
      <c r="L1715" s="5" t="s">
        <v>13538</v>
      </c>
      <c r="M1715" s="5" t="s">
        <v>13539</v>
      </c>
      <c r="N1715" s="7" t="s">
        <v>13540</v>
      </c>
      <c r="O1715" s="8" t="str">
        <f>HYPERLINK("https://drive.google.com/file/d/1UW05_et_BpgVZrqkL8K66qpFJABmi_MN/view?usp=drivesdk","1714_dr. FENNY SESTRIANI _ SERTIFIKAT BIMTEK IPASN BerAKHLASK")</f>
        <v>1714_dr. FENNY SESTRIANI _ SERTIFIKAT BIMTEK IPASN BerAKHLASK</v>
      </c>
      <c r="P1715" s="5" t="s">
        <v>13526</v>
      </c>
      <c r="Q1715" s="5"/>
      <c r="R1715" s="5"/>
      <c r="S1715" s="5"/>
      <c r="T1715" s="5"/>
    </row>
    <row r="1716">
      <c r="A1716" s="4">
        <v>45534.33630072916</v>
      </c>
      <c r="B1716" s="5" t="s">
        <v>34</v>
      </c>
      <c r="D1716" s="5" t="s">
        <v>12978</v>
      </c>
      <c r="E1716" s="5" t="s">
        <v>13541</v>
      </c>
      <c r="F1716" s="5" t="s">
        <v>72</v>
      </c>
      <c r="G1716" s="5" t="s">
        <v>13542</v>
      </c>
      <c r="H1716" s="6" t="s">
        <v>13543</v>
      </c>
      <c r="I1716" s="7" t="s">
        <v>13544</v>
      </c>
      <c r="J1716" s="8" t="str">
        <f>HYPERLINK("https://drive.google.com/file/d/1YCTmjFTfDr3AGFZkMTj-8eBWb-RVdoKN/view?usp=drivesdk","FIRDAUS JUMADI SERTIFIKAT BerAKHLAK")</f>
        <v>FIRDAUS JUMADI SERTIFIKAT BerAKHLAK</v>
      </c>
      <c r="K1716" s="5" t="s">
        <v>13080</v>
      </c>
      <c r="L1716" s="5" t="s">
        <v>13545</v>
      </c>
      <c r="M1716" s="5" t="s">
        <v>13546</v>
      </c>
      <c r="N1716" s="7" t="s">
        <v>13547</v>
      </c>
      <c r="O1716" s="8" t="str">
        <f>HYPERLINK("https://drive.google.com/file/d/142NMjSzJ3rI6qDysvfvlvfpTiE75FC0t/view?usp=drivesdk","1715_FIRDAUS JUMADI _ SERTIFIKAT BIMTEK IPASN BerAKHLASK")</f>
        <v>1715_FIRDAUS JUMADI _ SERTIFIKAT BIMTEK IPASN BerAKHLASK</v>
      </c>
      <c r="P1716" s="5" t="s">
        <v>13526</v>
      </c>
      <c r="Q1716" s="5"/>
      <c r="R1716" s="5"/>
      <c r="S1716" s="5"/>
      <c r="T1716" s="5"/>
    </row>
    <row r="1717">
      <c r="A1717" s="4">
        <v>45534.336314305554</v>
      </c>
      <c r="B1717" s="5" t="s">
        <v>34</v>
      </c>
      <c r="D1717" s="5" t="s">
        <v>9020</v>
      </c>
      <c r="E1717" s="5" t="s">
        <v>13548</v>
      </c>
      <c r="F1717" s="5" t="s">
        <v>120</v>
      </c>
      <c r="G1717" s="5" t="s">
        <v>13549</v>
      </c>
      <c r="H1717" s="6" t="s">
        <v>13550</v>
      </c>
      <c r="I1717" s="7" t="s">
        <v>13551</v>
      </c>
      <c r="J1717" s="8" t="str">
        <f>HYPERLINK("https://drive.google.com/file/d/1Ek4JWE4lQmQ4P010TRbGmk-HLdC3FAkC/view?usp=drivesdk","Dra. SRI MULIYANI, M. M. SERTIFIKAT BerAKHLAK")</f>
        <v>Dra. SRI MULIYANI, M. M. SERTIFIKAT BerAKHLAK</v>
      </c>
      <c r="K1717" s="5" t="s">
        <v>13080</v>
      </c>
      <c r="L1717" s="5" t="s">
        <v>13552</v>
      </c>
      <c r="M1717" s="5" t="s">
        <v>13553</v>
      </c>
      <c r="N1717" s="7" t="s">
        <v>13554</v>
      </c>
      <c r="O1717" s="8" t="str">
        <f>HYPERLINK("https://drive.google.com/file/d/14S-hsOU34z9kmshBNx7Mj69UgCG1-yYt/view?usp=drivesdk","1716_Dra. SRI MULIYANI, M. M. _ SERTIFIKAT BIMTEK IPASN BerAKHLASK")</f>
        <v>1716_Dra. SRI MULIYANI, M. M. _ SERTIFIKAT BIMTEK IPASN BerAKHLASK</v>
      </c>
      <c r="P1717" s="5" t="s">
        <v>12608</v>
      </c>
      <c r="Q1717" s="5"/>
      <c r="R1717" s="5"/>
      <c r="S1717" s="5"/>
      <c r="T1717" s="5"/>
    </row>
    <row r="1718">
      <c r="A1718" s="4">
        <v>45534.33632043982</v>
      </c>
      <c r="B1718" s="5" t="s">
        <v>34</v>
      </c>
      <c r="D1718" s="5" t="s">
        <v>4775</v>
      </c>
      <c r="E1718" s="5" t="s">
        <v>13555</v>
      </c>
      <c r="F1718" s="5" t="s">
        <v>120</v>
      </c>
      <c r="G1718" s="5" t="s">
        <v>13556</v>
      </c>
      <c r="H1718" s="6" t="s">
        <v>13557</v>
      </c>
      <c r="I1718" s="7" t="s">
        <v>13558</v>
      </c>
      <c r="J1718" s="8" t="str">
        <f>HYPERLINK("https://drive.google.com/file/d/1iXZh44b0cXplzayXkvGKHs-nitSgxzu1/view?usp=drivesdk","ANDRISUSANTO  SERTIFIKAT BerAKHLAK")</f>
        <v>ANDRISUSANTO  SERTIFIKAT BerAKHLAK</v>
      </c>
      <c r="K1718" s="5" t="s">
        <v>13080</v>
      </c>
      <c r="L1718" s="5" t="s">
        <v>13559</v>
      </c>
      <c r="M1718" s="5" t="s">
        <v>13560</v>
      </c>
      <c r="N1718" s="7" t="s">
        <v>13561</v>
      </c>
      <c r="O1718" s="8" t="str">
        <f>HYPERLINK("https://drive.google.com/file/d/1pV4ha5zu8R-LEOG6enJDyTagb-EoH_Am/view?usp=drivesdk","1717_ANDRISUSANTO  _ SERTIFIKAT BIMTEK IPASN BerAKHLASK")</f>
        <v>1717_ANDRISUSANTO  _ SERTIFIKAT BIMTEK IPASN BerAKHLASK</v>
      </c>
      <c r="P1718" s="5" t="s">
        <v>12608</v>
      </c>
      <c r="Q1718" s="5"/>
      <c r="R1718" s="5"/>
      <c r="S1718" s="5"/>
      <c r="T1718" s="5"/>
    </row>
    <row r="1719">
      <c r="A1719" s="4">
        <v>45534.336328101854</v>
      </c>
      <c r="B1719" s="5" t="s">
        <v>34</v>
      </c>
      <c r="D1719" s="5" t="s">
        <v>4775</v>
      </c>
      <c r="E1719" s="5" t="s">
        <v>13562</v>
      </c>
      <c r="F1719" s="5" t="s">
        <v>375</v>
      </c>
      <c r="G1719" s="5" t="s">
        <v>13563</v>
      </c>
      <c r="H1719" s="6" t="s">
        <v>13564</v>
      </c>
      <c r="I1719" s="7" t="s">
        <v>13565</v>
      </c>
      <c r="J1719" s="8" t="str">
        <f>HYPERLINK("https://drive.google.com/file/d/1uacJojUKTUBq976G54hyqHS8lih7lBWr/view?usp=drivesdk","FAHRENI HAPSARI, SE SERTIFIKAT BerAKHLAK")</f>
        <v>FAHRENI HAPSARI, SE SERTIFIKAT BerAKHLAK</v>
      </c>
      <c r="K1719" s="5" t="s">
        <v>13080</v>
      </c>
      <c r="L1719" s="5" t="s">
        <v>13566</v>
      </c>
      <c r="M1719" s="5" t="s">
        <v>13567</v>
      </c>
      <c r="N1719" s="7" t="s">
        <v>13568</v>
      </c>
      <c r="O1719" s="8" t="str">
        <f>HYPERLINK("https://drive.google.com/file/d/1rx3gEUBwhzxgSDmyZbSASzNWBQRObIpE/view?usp=drivesdk","1718_FAHRENI HAPSARI, SE _ SERTIFIKAT BIMTEK IPASN BerAKHLASK")</f>
        <v>1718_FAHRENI HAPSARI, SE _ SERTIFIKAT BIMTEK IPASN BerAKHLASK</v>
      </c>
      <c r="P1719" s="5" t="s">
        <v>13340</v>
      </c>
      <c r="Q1719" s="5"/>
      <c r="R1719" s="5"/>
      <c r="S1719" s="5"/>
      <c r="T1719" s="5"/>
    </row>
    <row r="1720">
      <c r="A1720" s="4">
        <v>45534.336330694445</v>
      </c>
      <c r="B1720" s="5" t="s">
        <v>34</v>
      </c>
      <c r="D1720" s="5" t="s">
        <v>1768</v>
      </c>
      <c r="E1720" s="5" t="s">
        <v>13569</v>
      </c>
      <c r="F1720" s="5" t="s">
        <v>72</v>
      </c>
      <c r="G1720" s="5" t="s">
        <v>13570</v>
      </c>
      <c r="H1720" s="6" t="s">
        <v>13571</v>
      </c>
      <c r="K1720" s="5" t="s">
        <v>13572</v>
      </c>
      <c r="M1720" s="5" t="s">
        <v>13573</v>
      </c>
      <c r="N1720" s="7" t="s">
        <v>13574</v>
      </c>
      <c r="O1720" s="8" t="str">
        <f>HYPERLINK("https://drive.google.com/file/d/14lVkHnQ0AqA9nHjxl5hk5SK58hiEB12s/view?usp=drivesdk","1719_dr. YULIA DWI NASTITI _ SERTIFIKAT BIMTEK IPASN BerAKHLASK")</f>
        <v>1719_dr. YULIA DWI NASTITI _ SERTIFIKAT BIMTEK IPASN BerAKHLASK</v>
      </c>
      <c r="P1720" s="5" t="s">
        <v>13340</v>
      </c>
      <c r="Q1720" s="5"/>
      <c r="R1720" s="5"/>
      <c r="S1720" s="5"/>
      <c r="T1720" s="5"/>
    </row>
    <row r="1721">
      <c r="A1721" s="4">
        <v>45534.33633866898</v>
      </c>
      <c r="B1721" s="5" t="s">
        <v>34</v>
      </c>
      <c r="D1721" s="5" t="s">
        <v>1206</v>
      </c>
      <c r="E1721" s="5" t="s">
        <v>13575</v>
      </c>
      <c r="F1721" s="5" t="s">
        <v>715</v>
      </c>
      <c r="G1721" s="5" t="s">
        <v>13576</v>
      </c>
      <c r="H1721" s="6" t="s">
        <v>13577</v>
      </c>
      <c r="K1721" s="5" t="s">
        <v>13572</v>
      </c>
      <c r="M1721" s="5" t="s">
        <v>13578</v>
      </c>
      <c r="N1721" s="7" t="s">
        <v>13579</v>
      </c>
      <c r="O1721" s="8" t="str">
        <f>HYPERLINK("https://drive.google.com/file/d/1s1wqMGzw9MhEzqo6_EVRJwu9NpO4rfMF/view?usp=drivesdk","1720_GATOT SUPRATIKNO, SE _ SERTIFIKAT BIMTEK IPASN BerAKHLASK")</f>
        <v>1720_GATOT SUPRATIKNO, SE _ SERTIFIKAT BIMTEK IPASN BerAKHLASK</v>
      </c>
      <c r="P1721" s="5" t="s">
        <v>13580</v>
      </c>
      <c r="Q1721" s="5"/>
      <c r="R1721" s="5"/>
      <c r="S1721" s="5"/>
      <c r="T1721" s="5"/>
    </row>
    <row r="1722" hidden="1">
      <c r="A1722" s="4">
        <v>45534.336346400465</v>
      </c>
      <c r="B1722" s="5" t="s">
        <v>19</v>
      </c>
      <c r="C1722" s="5" t="s">
        <v>3301</v>
      </c>
      <c r="E1722" s="5" t="s">
        <v>13581</v>
      </c>
      <c r="F1722" s="5" t="s">
        <v>72</v>
      </c>
      <c r="G1722" s="5" t="s">
        <v>13582</v>
      </c>
      <c r="H1722" s="6" t="s">
        <v>13583</v>
      </c>
      <c r="I1722" s="7" t="s">
        <v>13584</v>
      </c>
      <c r="J1722" s="8" t="str">
        <f>HYPERLINK("https://drive.google.com/file/d/1xfyl--GKTYOWaBh0-guC15Nbpj5zMAqP/view?usp=drivesdk","EKO RETNONINGSIH  SERTIFIKAT BerAKHLAK")</f>
        <v>EKO RETNONINGSIH  SERTIFIKAT BerAKHLAK</v>
      </c>
      <c r="K1722" s="5" t="s">
        <v>13080</v>
      </c>
      <c r="L1722" s="5" t="s">
        <v>13585</v>
      </c>
      <c r="M1722" s="5" t="s">
        <v>13586</v>
      </c>
      <c r="N1722" s="7" t="s">
        <v>13587</v>
      </c>
      <c r="O1722" s="8" t="str">
        <f>HYPERLINK("https://drive.google.com/file/d/11t8lBckO65dIBxiPcfODaI7azMCZLPqT/view?usp=drivesdk","1721_EKO RETNONINGSIH  _ SERTIFIKAT BIMTEK IPASN BerAKHLASK")</f>
        <v>1721_EKO RETNONINGSIH  _ SERTIFIKAT BIMTEK IPASN BerAKHLASK</v>
      </c>
      <c r="P1722" s="5" t="s">
        <v>13580</v>
      </c>
      <c r="Q1722" s="5"/>
      <c r="R1722" s="5"/>
      <c r="S1722" s="5"/>
      <c r="T1722" s="5"/>
    </row>
    <row r="1723">
      <c r="A1723" s="4">
        <v>45534.336350868056</v>
      </c>
      <c r="B1723" s="5" t="s">
        <v>34</v>
      </c>
      <c r="D1723" s="5" t="s">
        <v>4775</v>
      </c>
      <c r="E1723" s="5" t="s">
        <v>13588</v>
      </c>
      <c r="F1723" s="5" t="s">
        <v>108</v>
      </c>
      <c r="G1723" s="5" t="s">
        <v>13589</v>
      </c>
      <c r="H1723" s="6" t="s">
        <v>13590</v>
      </c>
      <c r="I1723" s="7" t="s">
        <v>13591</v>
      </c>
      <c r="J1723" s="8" t="str">
        <f>HYPERLINK("https://drive.google.com/file/d/1tTzW-FoGD4oGvy7KcNQ_SFyGpLn7Bo6Y/view?usp=drivesdk","TITIN MARTANTI, S.KOM SERTIFIKAT BerAKHLAK")</f>
        <v>TITIN MARTANTI, S.KOM SERTIFIKAT BerAKHLAK</v>
      </c>
      <c r="K1723" s="5" t="s">
        <v>13080</v>
      </c>
      <c r="L1723" s="5" t="s">
        <v>13592</v>
      </c>
      <c r="M1723" s="5" t="s">
        <v>13593</v>
      </c>
      <c r="N1723" s="7" t="s">
        <v>13594</v>
      </c>
      <c r="O1723" s="8" t="str">
        <f>HYPERLINK("https://drive.google.com/file/d/1jUHn4rO322e_0bIMi9mXDsm4F_HTFwMa/view?usp=drivesdk","1722_TITIN MARTANTI, S.KOM _ SERTIFIKAT BIMTEK IPASN BerAKHLASK")</f>
        <v>1722_TITIN MARTANTI, S.KOM _ SERTIFIKAT BIMTEK IPASN BerAKHLASK</v>
      </c>
      <c r="P1723" s="5" t="s">
        <v>13580</v>
      </c>
      <c r="Q1723" s="5"/>
      <c r="R1723" s="5"/>
      <c r="S1723" s="5"/>
      <c r="T1723" s="5"/>
    </row>
    <row r="1724">
      <c r="A1724" s="4">
        <v>45534.33635199074</v>
      </c>
      <c r="B1724" s="5" t="s">
        <v>34</v>
      </c>
      <c r="D1724" s="5" t="s">
        <v>35</v>
      </c>
      <c r="E1724" s="5" t="s">
        <v>13595</v>
      </c>
      <c r="F1724" s="5" t="s">
        <v>212</v>
      </c>
      <c r="G1724" s="5" t="s">
        <v>13596</v>
      </c>
      <c r="H1724" s="6" t="s">
        <v>13597</v>
      </c>
      <c r="K1724" s="5" t="s">
        <v>13598</v>
      </c>
      <c r="M1724" s="5" t="s">
        <v>13599</v>
      </c>
      <c r="N1724" s="7" t="s">
        <v>13600</v>
      </c>
      <c r="O1724" s="8" t="str">
        <f>HYPERLINK("https://drive.google.com/file/d/1W9ggUUb7KmFAsZ__EqCvVTeta4V-8jPK/view?usp=drivesdk","1723_UPI SITI APIAH _ SERTIFIKAT BIMTEK IPASN BerAKHLASK")</f>
        <v>1723_UPI SITI APIAH _ SERTIFIKAT BIMTEK IPASN BerAKHLASK</v>
      </c>
      <c r="P1724" s="5" t="s">
        <v>13580</v>
      </c>
      <c r="Q1724" s="5"/>
      <c r="R1724" s="5"/>
      <c r="S1724" s="5"/>
      <c r="T1724" s="5"/>
    </row>
    <row r="1725">
      <c r="A1725" s="4">
        <v>45534.33636204861</v>
      </c>
      <c r="B1725" s="5" t="s">
        <v>34</v>
      </c>
      <c r="D1725" s="5" t="s">
        <v>35</v>
      </c>
      <c r="E1725" s="5" t="s">
        <v>13601</v>
      </c>
      <c r="F1725" s="5" t="s">
        <v>37</v>
      </c>
      <c r="G1725" s="5" t="s">
        <v>13602</v>
      </c>
      <c r="H1725" s="6" t="s">
        <v>13603</v>
      </c>
      <c r="K1725" s="5" t="s">
        <v>13598</v>
      </c>
      <c r="M1725" s="5" t="s">
        <v>13604</v>
      </c>
      <c r="N1725" s="7" t="s">
        <v>13605</v>
      </c>
      <c r="O1725" s="8" t="str">
        <f>HYPERLINK("https://drive.google.com/file/d/1m3jiYuzkB7fzyZnrQFUkbVesePJnhP2u/view?usp=drivesdk","1724_SALLY NURSANTI _ SERTIFIKAT BIMTEK IPASN BerAKHLASK")</f>
        <v>1724_SALLY NURSANTI _ SERTIFIKAT BIMTEK IPASN BerAKHLASK</v>
      </c>
      <c r="P1725" s="5" t="s">
        <v>13580</v>
      </c>
      <c r="Q1725" s="5"/>
      <c r="R1725" s="5"/>
      <c r="S1725" s="5"/>
      <c r="T1725" s="5"/>
    </row>
    <row r="1726">
      <c r="A1726" s="4">
        <v>45534.33637872685</v>
      </c>
      <c r="B1726" s="5" t="s">
        <v>34</v>
      </c>
      <c r="D1726" s="5" t="s">
        <v>12978</v>
      </c>
      <c r="E1726" s="5" t="s">
        <v>13606</v>
      </c>
      <c r="F1726" s="5" t="s">
        <v>715</v>
      </c>
      <c r="G1726" s="5" t="s">
        <v>13607</v>
      </c>
      <c r="H1726" s="6" t="s">
        <v>13608</v>
      </c>
      <c r="I1726" s="7" t="s">
        <v>13609</v>
      </c>
      <c r="J1726" s="8" t="str">
        <f>HYPERLINK("https://drive.google.com/file/d/1ySmA49v5DkTW4YiPrxQcWs6fybkUPxpq/view?usp=drivesdk","YENI ISNAWATI, AMd.Keb SERTIFIKAT BerAKHLAK")</f>
        <v>YENI ISNAWATI, AMd.Keb SERTIFIKAT BerAKHLAK</v>
      </c>
      <c r="K1726" s="5" t="s">
        <v>13080</v>
      </c>
      <c r="L1726" s="5" t="s">
        <v>13610</v>
      </c>
      <c r="M1726" s="5" t="s">
        <v>13611</v>
      </c>
      <c r="N1726" s="7" t="s">
        <v>13612</v>
      </c>
      <c r="O1726" s="8" t="str">
        <f>HYPERLINK("https://drive.google.com/file/d/1VI9sH0y641xKaM6hBTkSRdg8QaKSz4Uv/view?usp=drivesdk","1725_YENI ISNAWATI, AMd.Keb _ SERTIFIKAT BIMTEK IPASN BerAKHLASK")</f>
        <v>1725_YENI ISNAWATI, AMd.Keb _ SERTIFIKAT BIMTEK IPASN BerAKHLASK</v>
      </c>
      <c r="P1726" s="5" t="s">
        <v>13580</v>
      </c>
      <c r="Q1726" s="5"/>
      <c r="R1726" s="5"/>
      <c r="S1726" s="5"/>
      <c r="T1726" s="5"/>
    </row>
    <row r="1727">
      <c r="A1727" s="4">
        <v>45534.33639045139</v>
      </c>
      <c r="B1727" s="5" t="s">
        <v>34</v>
      </c>
      <c r="D1727" s="5" t="s">
        <v>4775</v>
      </c>
      <c r="E1727" s="5" t="s">
        <v>13613</v>
      </c>
      <c r="F1727" s="5" t="s">
        <v>37</v>
      </c>
      <c r="G1727" s="5" t="s">
        <v>13614</v>
      </c>
      <c r="H1727" s="6" t="s">
        <v>13615</v>
      </c>
      <c r="I1727" s="7" t="s">
        <v>13616</v>
      </c>
      <c r="J1727" s="8" t="str">
        <f>HYPERLINK("https://drive.google.com/file/d/1579ou2R16DEIOfFC7rXUpZPODlX9_C0P/view?usp=drivesdk","FRANIKE SEPTA YUDHIANI SERTIFIKAT BerAKHLAK")</f>
        <v>FRANIKE SEPTA YUDHIANI SERTIFIKAT BerAKHLAK</v>
      </c>
      <c r="K1727" s="5" t="s">
        <v>13080</v>
      </c>
      <c r="L1727" s="5" t="s">
        <v>13617</v>
      </c>
      <c r="M1727" s="5" t="s">
        <v>13618</v>
      </c>
      <c r="N1727" s="7" t="s">
        <v>13619</v>
      </c>
      <c r="O1727" s="8" t="str">
        <f>HYPERLINK("https://drive.google.com/file/d/1xVYOQQ1VVMT5M3atc041B7WvvCcGFhED/view?usp=drivesdk","1726_FRANIKE SEPTA YUDHIANI _ SERTIFIKAT BIMTEK IPASN BerAKHLASK")</f>
        <v>1726_FRANIKE SEPTA YUDHIANI _ SERTIFIKAT BIMTEK IPASN BerAKHLASK</v>
      </c>
      <c r="P1727" s="5" t="s">
        <v>13580</v>
      </c>
      <c r="Q1727" s="5"/>
      <c r="R1727" s="5"/>
      <c r="S1727" s="5"/>
      <c r="T1727" s="5"/>
    </row>
    <row r="1728" hidden="1">
      <c r="A1728" s="4">
        <v>45534.336408125004</v>
      </c>
      <c r="B1728" s="5" t="s">
        <v>19</v>
      </c>
      <c r="C1728" s="5" t="s">
        <v>3301</v>
      </c>
      <c r="E1728" s="5" t="s">
        <v>13620</v>
      </c>
      <c r="F1728" s="5" t="s">
        <v>37</v>
      </c>
      <c r="G1728" s="5" t="s">
        <v>13621</v>
      </c>
      <c r="H1728" s="6" t="s">
        <v>13622</v>
      </c>
      <c r="I1728" s="7" t="s">
        <v>13623</v>
      </c>
      <c r="J1728" s="8" t="str">
        <f>HYPERLINK("https://drive.google.com/file/d/181BajdxLmcCLGy9mQ7Xx1gLVEFfGK1nw/view?usp=drivesdk","ADISSA DAYINTA RAMADINA, A.Md.Kep. SERTIFIKAT BerAKHLAK")</f>
        <v>ADISSA DAYINTA RAMADINA, A.Md.Kep. SERTIFIKAT BerAKHLAK</v>
      </c>
      <c r="K1728" s="5" t="s">
        <v>13080</v>
      </c>
      <c r="L1728" s="5" t="s">
        <v>13624</v>
      </c>
      <c r="M1728" s="5" t="s">
        <v>13625</v>
      </c>
      <c r="N1728" s="7" t="s">
        <v>13626</v>
      </c>
      <c r="O1728" s="8" t="str">
        <f>HYPERLINK("https://drive.google.com/file/d/1SXpgMWDwnm0IVzu6t_SEMA5AiXtgMb2z/view?usp=drivesdk","1727_ADISSA DAYINTA RAMADINA, A.Md.Kep. _ SERTIFIKAT BIMTEK IPASN BerAKHLASK")</f>
        <v>1727_ADISSA DAYINTA RAMADINA, A.Md.Kep. _ SERTIFIKAT BIMTEK IPASN BerAKHLASK</v>
      </c>
      <c r="P1728" s="5" t="s">
        <v>13627</v>
      </c>
      <c r="Q1728" s="5"/>
      <c r="R1728" s="5"/>
      <c r="S1728" s="5"/>
      <c r="T1728" s="5"/>
    </row>
    <row r="1729">
      <c r="A1729" s="4">
        <v>45534.33642659722</v>
      </c>
      <c r="B1729" s="5" t="s">
        <v>34</v>
      </c>
      <c r="D1729" s="5" t="s">
        <v>1206</v>
      </c>
      <c r="E1729" s="5" t="s">
        <v>13628</v>
      </c>
      <c r="F1729" s="5" t="s">
        <v>375</v>
      </c>
      <c r="G1729" s="5" t="s">
        <v>13629</v>
      </c>
      <c r="H1729" s="6" t="s">
        <v>13630</v>
      </c>
      <c r="K1729" s="5" t="s">
        <v>13631</v>
      </c>
      <c r="M1729" s="5" t="s">
        <v>13632</v>
      </c>
      <c r="N1729" s="7" t="s">
        <v>13633</v>
      </c>
      <c r="O1729" s="8" t="str">
        <f>HYPERLINK("https://drive.google.com/file/d/1zNiaoycwS08JhoSZo_dJHzKiWBwKvqs2/view?usp=drivesdk","1728_LILIK ERNAWATIE, S.E. _ SERTIFIKAT BIMTEK IPASN BerAKHLASK")</f>
        <v>1728_LILIK ERNAWATIE, S.E. _ SERTIFIKAT BIMTEK IPASN BerAKHLASK</v>
      </c>
      <c r="P1729" s="5" t="s">
        <v>13627</v>
      </c>
      <c r="Q1729" s="5"/>
      <c r="R1729" s="5"/>
      <c r="S1729" s="5"/>
      <c r="T1729" s="5"/>
    </row>
    <row r="1730">
      <c r="A1730" s="4">
        <v>45534.33644113426</v>
      </c>
      <c r="B1730" s="5" t="s">
        <v>34</v>
      </c>
      <c r="D1730" s="5" t="s">
        <v>10444</v>
      </c>
      <c r="E1730" s="5" t="s">
        <v>13634</v>
      </c>
      <c r="F1730" s="5" t="s">
        <v>37</v>
      </c>
      <c r="G1730" s="5" t="s">
        <v>13635</v>
      </c>
      <c r="H1730" s="6" t="s">
        <v>13636</v>
      </c>
      <c r="K1730" s="5" t="s">
        <v>13631</v>
      </c>
      <c r="M1730" s="5" t="s">
        <v>13637</v>
      </c>
      <c r="N1730" s="7" t="s">
        <v>13638</v>
      </c>
      <c r="O1730" s="8" t="str">
        <f>HYPERLINK("https://drive.google.com/file/d/1HlZe6ggEgHPhh6Q-GXxoepIa5dlIpEPv/view?usp=drivesdk","1729_RAHMANIAH, A.Md. FARM _ SERTIFIKAT BIMTEK IPASN BerAKHLASK")</f>
        <v>1729_RAHMANIAH, A.Md. FARM _ SERTIFIKAT BIMTEK IPASN BerAKHLASK</v>
      </c>
      <c r="P1730" s="5" t="s">
        <v>13627</v>
      </c>
      <c r="Q1730" s="5"/>
      <c r="R1730" s="5"/>
      <c r="S1730" s="5"/>
      <c r="T1730" s="5"/>
    </row>
    <row r="1731">
      <c r="A1731" s="4">
        <v>45534.336449525465</v>
      </c>
      <c r="B1731" s="5" t="s">
        <v>34</v>
      </c>
      <c r="D1731" s="5" t="s">
        <v>996</v>
      </c>
      <c r="E1731" s="5" t="s">
        <v>13639</v>
      </c>
      <c r="F1731" s="5" t="s">
        <v>212</v>
      </c>
      <c r="G1731" s="5" t="s">
        <v>13640</v>
      </c>
      <c r="H1731" s="6" t="s">
        <v>13641</v>
      </c>
      <c r="K1731" s="5" t="s">
        <v>13631</v>
      </c>
      <c r="M1731" s="5" t="s">
        <v>13642</v>
      </c>
      <c r="N1731" s="7" t="s">
        <v>13643</v>
      </c>
      <c r="O1731" s="8" t="str">
        <f>HYPERLINK("https://drive.google.com/file/d/1Pu0nBlkEDijtvuYDbYyffJQ4UhsTEfLs/view?usp=drivesdk","1730_IRMA NADYA ANDRIANI  _ SERTIFIKAT BIMTEK IPASN BerAKHLASK")</f>
        <v>1730_IRMA NADYA ANDRIANI  _ SERTIFIKAT BIMTEK IPASN BerAKHLASK</v>
      </c>
      <c r="P1731" s="5" t="s">
        <v>13627</v>
      </c>
      <c r="Q1731" s="5"/>
      <c r="R1731" s="5"/>
      <c r="S1731" s="5"/>
      <c r="T1731" s="5"/>
    </row>
    <row r="1732" hidden="1">
      <c r="A1732" s="4">
        <v>45534.336454131946</v>
      </c>
      <c r="B1732" s="5" t="s">
        <v>19</v>
      </c>
      <c r="C1732" s="5" t="s">
        <v>11593</v>
      </c>
      <c r="E1732" s="5" t="s">
        <v>13644</v>
      </c>
      <c r="F1732" s="5" t="s">
        <v>37</v>
      </c>
      <c r="G1732" s="5" t="s">
        <v>13645</v>
      </c>
      <c r="H1732" s="6" t="s">
        <v>13646</v>
      </c>
      <c r="K1732" s="5" t="s">
        <v>13631</v>
      </c>
      <c r="M1732" s="5" t="s">
        <v>13647</v>
      </c>
      <c r="N1732" s="7" t="s">
        <v>13648</v>
      </c>
      <c r="O1732" s="8" t="str">
        <f>HYPERLINK("https://drive.google.com/file/d/1cUdLCsMzsBIuUJuHDbZjm-ClsqH8RRXk/view?usp=drivesdk","1731_ENDRO LESMANA, A.Md.KG _ SERTIFIKAT BIMTEK IPASN BerAKHLASK")</f>
        <v>1731_ENDRO LESMANA, A.Md.KG _ SERTIFIKAT BIMTEK IPASN BerAKHLASK</v>
      </c>
      <c r="P1732" s="5" t="s">
        <v>13627</v>
      </c>
      <c r="Q1732" s="5"/>
      <c r="R1732" s="5"/>
      <c r="S1732" s="5"/>
      <c r="T1732" s="5"/>
    </row>
    <row r="1733">
      <c r="A1733" s="4">
        <v>45534.33646219908</v>
      </c>
      <c r="B1733" s="5" t="s">
        <v>34</v>
      </c>
      <c r="D1733" s="5" t="s">
        <v>580</v>
      </c>
      <c r="E1733" s="5" t="s">
        <v>13649</v>
      </c>
      <c r="F1733" s="5" t="s">
        <v>37</v>
      </c>
      <c r="G1733" s="5" t="s">
        <v>13650</v>
      </c>
      <c r="H1733" s="6" t="s">
        <v>13651</v>
      </c>
      <c r="K1733" s="5" t="s">
        <v>13652</v>
      </c>
      <c r="M1733" s="5" t="s">
        <v>13653</v>
      </c>
      <c r="N1733" s="7" t="s">
        <v>13654</v>
      </c>
      <c r="O1733" s="8" t="str">
        <f>HYPERLINK("https://drive.google.com/file/d/1o6nqRWqt95VGGkvuJRpW2k96IXHgN3kc/view?usp=drivesdk","1732_NI PUTU INDRI SISMAYANTI, A.Md.Kep. _ SERTIFIKAT BIMTEK IPASN BerAKHLASK")</f>
        <v>1732_NI PUTU INDRI SISMAYANTI, A.Md.Kep. _ SERTIFIKAT BIMTEK IPASN BerAKHLASK</v>
      </c>
      <c r="P1733" s="5" t="s">
        <v>13655</v>
      </c>
      <c r="Q1733" s="5"/>
      <c r="R1733" s="5"/>
      <c r="S1733" s="5"/>
      <c r="T1733" s="5"/>
    </row>
    <row r="1734">
      <c r="A1734" s="4">
        <v>45534.336490138885</v>
      </c>
      <c r="B1734" s="5" t="s">
        <v>34</v>
      </c>
      <c r="D1734" s="5" t="s">
        <v>9020</v>
      </c>
      <c r="E1734" s="5" t="s">
        <v>13656</v>
      </c>
      <c r="F1734" s="5" t="s">
        <v>212</v>
      </c>
      <c r="G1734" s="5" t="s">
        <v>13657</v>
      </c>
      <c r="H1734" s="6" t="s">
        <v>13658</v>
      </c>
      <c r="K1734" s="5" t="s">
        <v>13659</v>
      </c>
      <c r="M1734" s="5" t="s">
        <v>13660</v>
      </c>
      <c r="N1734" s="7" t="s">
        <v>13661</v>
      </c>
      <c r="O1734" s="8" t="str">
        <f>HYPERLINK("https://drive.google.com/file/d/1ighY6xFaNv10R45lhtNSP_EKTwE-A2T8/view?usp=drivesdk","1733_MOYANA MODESTA GINTING _ SERTIFIKAT BIMTEK IPASN BerAKHLASK")</f>
        <v>1733_MOYANA MODESTA GINTING _ SERTIFIKAT BIMTEK IPASN BerAKHLASK</v>
      </c>
      <c r="P1734" s="5" t="s">
        <v>13655</v>
      </c>
      <c r="Q1734" s="5"/>
      <c r="R1734" s="5"/>
      <c r="S1734" s="5"/>
      <c r="T1734" s="5"/>
    </row>
    <row r="1735">
      <c r="A1735" s="4">
        <v>45534.33649018519</v>
      </c>
      <c r="B1735" s="5" t="s">
        <v>34</v>
      </c>
      <c r="D1735" s="5" t="s">
        <v>4775</v>
      </c>
      <c r="E1735" s="5" t="s">
        <v>13662</v>
      </c>
      <c r="F1735" s="5" t="s">
        <v>212</v>
      </c>
      <c r="G1735" s="5" t="s">
        <v>13663</v>
      </c>
      <c r="H1735" s="6" t="s">
        <v>13664</v>
      </c>
      <c r="K1735" s="5" t="s">
        <v>13665</v>
      </c>
      <c r="M1735" s="5" t="s">
        <v>13666</v>
      </c>
      <c r="N1735" s="7" t="s">
        <v>13667</v>
      </c>
      <c r="O1735" s="8" t="str">
        <f>HYPERLINK("https://drive.google.com/file/d/1VJHAJYdP_82l-_pHTgtskhpVGRTmiHvz/view?usp=drivesdk","1734_IVA NUR IMANAH SARJANA PSIKOLOGI _ SERTIFIKAT BIMTEK IPASN BerAKHLASK")</f>
        <v>1734_IVA NUR IMANAH SARJANA PSIKOLOGI _ SERTIFIKAT BIMTEK IPASN BerAKHLASK</v>
      </c>
      <c r="P1735" s="5" t="s">
        <v>13655</v>
      </c>
      <c r="Q1735" s="5"/>
      <c r="R1735" s="5"/>
      <c r="S1735" s="5"/>
      <c r="T1735" s="5"/>
    </row>
    <row r="1736">
      <c r="A1736" s="4">
        <v>45534.336537615745</v>
      </c>
      <c r="B1736" s="5" t="s">
        <v>34</v>
      </c>
      <c r="D1736" s="5" t="s">
        <v>6232</v>
      </c>
      <c r="E1736" s="5" t="s">
        <v>13668</v>
      </c>
      <c r="F1736" s="5" t="s">
        <v>120</v>
      </c>
      <c r="G1736" s="5" t="s">
        <v>13669</v>
      </c>
      <c r="H1736" s="6" t="s">
        <v>13670</v>
      </c>
      <c r="I1736" s="7" t="s">
        <v>13671</v>
      </c>
      <c r="J1736" s="8" t="str">
        <f>HYPERLINK("https://drive.google.com/file/d/1EgM0pc0pYsBEkVz_bOeAYTbTAc85Fc-T/view?usp=drivesdk","Dr. ROZA MILASARI Z., S.Kom., M.S.I., CPHR. SERTIFIKAT BerAKHLAK")</f>
        <v>Dr. ROZA MILASARI Z., S.Kom., M.S.I., CPHR. SERTIFIKAT BerAKHLAK</v>
      </c>
      <c r="K1736" s="5" t="s">
        <v>13080</v>
      </c>
      <c r="L1736" s="5" t="s">
        <v>13672</v>
      </c>
      <c r="M1736" s="5" t="s">
        <v>13673</v>
      </c>
      <c r="N1736" s="7" t="s">
        <v>13674</v>
      </c>
      <c r="O1736" s="8" t="str">
        <f>HYPERLINK("https://drive.google.com/file/d/10FwBmclFf8ShYjHW0pMk_84-69V36D_h/view?usp=drivesdk","1735_Dr. ROZA MILASARI Z., S.Kom., M.S.I., CPHR. _ SERTIFIKAT BIMTEK IPASN BerAKHLASK")</f>
        <v>1735_Dr. ROZA MILASARI Z., S.Kom., M.S.I., CPHR. _ SERTIFIKAT BIMTEK IPASN BerAKHLASK</v>
      </c>
      <c r="P1736" s="5" t="s">
        <v>13655</v>
      </c>
      <c r="Q1736" s="5"/>
      <c r="R1736" s="5"/>
      <c r="S1736" s="5"/>
      <c r="T1736" s="5"/>
    </row>
    <row r="1737">
      <c r="A1737" s="4">
        <v>45534.336551562505</v>
      </c>
      <c r="B1737" s="5" t="s">
        <v>34</v>
      </c>
      <c r="D1737" s="5" t="s">
        <v>1206</v>
      </c>
      <c r="E1737" s="5" t="s">
        <v>13675</v>
      </c>
      <c r="F1737" s="5" t="s">
        <v>212</v>
      </c>
      <c r="G1737" s="5" t="s">
        <v>13676</v>
      </c>
      <c r="H1737" s="6" t="s">
        <v>13677</v>
      </c>
      <c r="I1737" s="7" t="s">
        <v>13678</v>
      </c>
      <c r="J1737" s="8" t="str">
        <f>HYPERLINK("https://drive.google.com/file/d/18DnjQAdiejkaVfrWuHGcMZUn-WCvtUld/view?usp=drivesdk","ISTINAROH AMD KES SERTIFIKAT BerAKHLAK")</f>
        <v>ISTINAROH AMD KES SERTIFIKAT BerAKHLAK</v>
      </c>
      <c r="K1737" s="5" t="s">
        <v>13050</v>
      </c>
      <c r="L1737" s="5" t="s">
        <v>13679</v>
      </c>
      <c r="M1737" s="5" t="s">
        <v>13680</v>
      </c>
      <c r="N1737" s="7" t="s">
        <v>13681</v>
      </c>
      <c r="O1737" s="8" t="str">
        <f>HYPERLINK("https://drive.google.com/file/d/18uifzX5SrZlJt9nJeF9C0u1nPb7r5kuP/view?usp=drivesdk","1736_ISTINAROH AMD KES _ SERTIFIKAT BIMTEK IPASN BerAKHLASK")</f>
        <v>1736_ISTINAROH AMD KES _ SERTIFIKAT BIMTEK IPASN BerAKHLASK</v>
      </c>
      <c r="P1737" s="5" t="s">
        <v>13655</v>
      </c>
      <c r="Q1737" s="5"/>
      <c r="R1737" s="5"/>
      <c r="S1737" s="5"/>
      <c r="T1737" s="5"/>
    </row>
    <row r="1738">
      <c r="A1738" s="4">
        <v>45534.336551712964</v>
      </c>
      <c r="B1738" s="5" t="s">
        <v>34</v>
      </c>
      <c r="D1738" s="5" t="s">
        <v>6232</v>
      </c>
      <c r="E1738" s="5" t="s">
        <v>13682</v>
      </c>
      <c r="F1738" s="5" t="s">
        <v>524</v>
      </c>
      <c r="G1738" s="5" t="s">
        <v>13683</v>
      </c>
      <c r="H1738" s="6" t="s">
        <v>13684</v>
      </c>
      <c r="I1738" s="7" t="s">
        <v>13685</v>
      </c>
      <c r="J1738" s="8" t="str">
        <f>HYPERLINK("https://drive.google.com/file/d/1K3K7uP0ZfyVDZkWnC2QauCXuoFUI70cc/view?usp=drivesdk","DIANA PAPILAYA, S.Tr.Kes SERTIFIKAT BerAKHLAK")</f>
        <v>DIANA PAPILAYA, S.Tr.Kes SERTIFIKAT BerAKHLAK</v>
      </c>
      <c r="K1738" s="5" t="s">
        <v>13050</v>
      </c>
      <c r="L1738" s="5" t="s">
        <v>13686</v>
      </c>
      <c r="M1738" s="5" t="s">
        <v>13687</v>
      </c>
      <c r="N1738" s="7" t="s">
        <v>13688</v>
      </c>
      <c r="O1738" s="8" t="str">
        <f>HYPERLINK("https://drive.google.com/file/d/1-TiBKDPpKpQAkOhP_pbulc0GYfIgztzd/view?usp=drivesdk","1737_DIANA PAPILAYA, S.Tr.Kes _ SERTIFIKAT BIMTEK IPASN BerAKHLASK")</f>
        <v>1737_DIANA PAPILAYA, S.Tr.Kes _ SERTIFIKAT BIMTEK IPASN BerAKHLASK</v>
      </c>
      <c r="P1738" s="5" t="s">
        <v>13689</v>
      </c>
      <c r="Q1738" s="5"/>
      <c r="R1738" s="5"/>
      <c r="S1738" s="5"/>
      <c r="T1738" s="5"/>
    </row>
    <row r="1739" hidden="1">
      <c r="A1739" s="4">
        <v>45534.336570671294</v>
      </c>
      <c r="B1739" s="5" t="s">
        <v>19</v>
      </c>
      <c r="C1739" s="5" t="s">
        <v>3301</v>
      </c>
      <c r="E1739" s="5" t="s">
        <v>13690</v>
      </c>
      <c r="F1739" s="5" t="s">
        <v>6776</v>
      </c>
      <c r="G1739" s="5" t="s">
        <v>13691</v>
      </c>
      <c r="H1739" s="6" t="s">
        <v>13692</v>
      </c>
      <c r="I1739" s="7" t="s">
        <v>13693</v>
      </c>
      <c r="J1739" s="8" t="str">
        <f>HYPERLINK("https://drive.google.com/file/d/1TRb9zndTmjoD5XQXCUQ-0k98bcldU9xw/view?usp=drivesdk","MAYA SETIA NINGRUM SERTIFIKAT BerAKHLAK")</f>
        <v>MAYA SETIA NINGRUM SERTIFIKAT BerAKHLAK</v>
      </c>
      <c r="K1739" s="5" t="s">
        <v>13080</v>
      </c>
      <c r="L1739" s="5" t="s">
        <v>13694</v>
      </c>
      <c r="M1739" s="5" t="s">
        <v>13695</v>
      </c>
      <c r="N1739" s="7" t="s">
        <v>13696</v>
      </c>
      <c r="O1739" s="8" t="str">
        <f>HYPERLINK("https://drive.google.com/file/d/1ZV_xsu_geHh1UAp0ziaABDScgxhRnzia/view?usp=drivesdk","1738_MAYA SETIA NINGRUM _ SERTIFIKAT BIMTEK IPASN BerAKHLASK")</f>
        <v>1738_MAYA SETIA NINGRUM _ SERTIFIKAT BIMTEK IPASN BerAKHLASK</v>
      </c>
      <c r="P1739" s="5" t="s">
        <v>13689</v>
      </c>
      <c r="Q1739" s="5"/>
      <c r="R1739" s="5"/>
      <c r="S1739" s="5"/>
      <c r="T1739" s="5"/>
    </row>
    <row r="1740">
      <c r="A1740" s="4">
        <v>45534.336575497684</v>
      </c>
      <c r="B1740" s="5" t="s">
        <v>34</v>
      </c>
      <c r="D1740" s="5" t="s">
        <v>280</v>
      </c>
      <c r="E1740" s="5" t="s">
        <v>13697</v>
      </c>
      <c r="F1740" s="5" t="s">
        <v>120</v>
      </c>
      <c r="G1740" s="5" t="s">
        <v>13698</v>
      </c>
      <c r="H1740" s="6" t="s">
        <v>13699</v>
      </c>
      <c r="I1740" s="7" t="s">
        <v>13700</v>
      </c>
      <c r="J1740" s="8" t="str">
        <f>HYPERLINK("https://drive.google.com/file/d/1WielJi8mu7EI_ZRjAj18N2Ud_FUgew_A/view?usp=drivesdk","SANROIDA SAGALA, S.S SERTIFIKAT BerAKHLAK")</f>
        <v>SANROIDA SAGALA, S.S SERTIFIKAT BerAKHLAK</v>
      </c>
      <c r="K1740" s="5" t="s">
        <v>13050</v>
      </c>
      <c r="L1740" s="5" t="s">
        <v>13701</v>
      </c>
      <c r="M1740" s="5" t="s">
        <v>13702</v>
      </c>
      <c r="N1740" s="7" t="s">
        <v>13703</v>
      </c>
      <c r="O1740" s="8" t="str">
        <f>HYPERLINK("https://drive.google.com/file/d/1LwpzeZ92U1PM0e85vVMXu9EgZQGbv2t0/view?usp=drivesdk","1739_SANROIDA SAGALA, S.S _ SERTIFIKAT BIMTEK IPASN BerAKHLASK")</f>
        <v>1739_SANROIDA SAGALA, S.S _ SERTIFIKAT BIMTEK IPASN BerAKHLASK</v>
      </c>
      <c r="P1740" s="5" t="s">
        <v>13689</v>
      </c>
      <c r="Q1740" s="5"/>
      <c r="R1740" s="5"/>
      <c r="S1740" s="5"/>
      <c r="T1740" s="5"/>
    </row>
    <row r="1741">
      <c r="A1741" s="4">
        <v>45534.33657733796</v>
      </c>
      <c r="B1741" s="5" t="s">
        <v>34</v>
      </c>
      <c r="D1741" s="5" t="s">
        <v>10297</v>
      </c>
      <c r="E1741" s="5" t="s">
        <v>13704</v>
      </c>
      <c r="F1741" s="5" t="s">
        <v>37</v>
      </c>
      <c r="G1741" s="5" t="s">
        <v>13705</v>
      </c>
      <c r="H1741" s="6" t="s">
        <v>13706</v>
      </c>
      <c r="I1741" s="7" t="s">
        <v>13707</v>
      </c>
      <c r="J1741" s="8" t="str">
        <f>HYPERLINK("https://drive.google.com/file/d/1KmO_XFopI00b29lqIyfxTRrF6cUsDE3T/view?usp=drivesdk","DOMINGGUS DELLAWA RAPA', A.Md.Kom. SERTIFIKAT BerAKHLAK")</f>
        <v>DOMINGGUS DELLAWA RAPA', A.Md.Kom. SERTIFIKAT BerAKHLAK</v>
      </c>
      <c r="K1741" s="5" t="s">
        <v>13050</v>
      </c>
      <c r="L1741" s="5" t="s">
        <v>13708</v>
      </c>
      <c r="M1741" s="5" t="s">
        <v>13709</v>
      </c>
      <c r="N1741" s="7" t="s">
        <v>13710</v>
      </c>
      <c r="O1741" s="8" t="str">
        <f>HYPERLINK("https://drive.google.com/file/d/1ivRo2-4XyswBnEol19iWylPXhIShJ4ta/view?usp=drivesdk","1740_DOMINGGUS DELLAWA RAPA', A.Md.Kom. _ SERTIFIKAT BIMTEK IPASN BerAKHLASK")</f>
        <v>1740_DOMINGGUS DELLAWA RAPA', A.Md.Kom. _ SERTIFIKAT BIMTEK IPASN BerAKHLASK</v>
      </c>
      <c r="P1741" s="5" t="s">
        <v>13689</v>
      </c>
      <c r="Q1741" s="5"/>
      <c r="R1741" s="5"/>
      <c r="S1741" s="5"/>
      <c r="T1741" s="5"/>
    </row>
    <row r="1742">
      <c r="A1742" s="4">
        <v>45534.33659435185</v>
      </c>
      <c r="B1742" s="5" t="s">
        <v>34</v>
      </c>
      <c r="D1742" s="5" t="s">
        <v>12010</v>
      </c>
      <c r="E1742" s="5" t="s">
        <v>13711</v>
      </c>
      <c r="F1742" s="5" t="s">
        <v>715</v>
      </c>
      <c r="G1742" s="5" t="s">
        <v>13712</v>
      </c>
      <c r="H1742" s="6" t="s">
        <v>13713</v>
      </c>
      <c r="I1742" s="7" t="s">
        <v>13714</v>
      </c>
      <c r="J1742" s="8" t="str">
        <f>HYPERLINK("https://drive.google.com/file/d/1KKsvWOLTzbp9jFeobmZdaLprIcWjXXS5/view?usp=drivesdk","FATMAWATY POLILI, AMD.KEP SERTIFIKAT BerAKHLAK")</f>
        <v>FATMAWATY POLILI, AMD.KEP SERTIFIKAT BerAKHLAK</v>
      </c>
      <c r="K1742" s="5" t="s">
        <v>13050</v>
      </c>
      <c r="L1742" s="5" t="s">
        <v>13715</v>
      </c>
      <c r="M1742" s="5" t="s">
        <v>13716</v>
      </c>
      <c r="N1742" s="7" t="s">
        <v>13717</v>
      </c>
      <c r="O1742" s="8" t="str">
        <f>HYPERLINK("https://drive.google.com/file/d/18txo2_e9YMFGQgqNcT_JyJQ3r-rVnARf/view?usp=drivesdk","1741_FATMAWATY POLILI, AMD.KEP _ SERTIFIKAT BIMTEK IPASN BerAKHLASK")</f>
        <v>1741_FATMAWATY POLILI, AMD.KEP _ SERTIFIKAT BIMTEK IPASN BerAKHLASK</v>
      </c>
      <c r="P1742" s="5" t="s">
        <v>13689</v>
      </c>
      <c r="Q1742" s="5"/>
      <c r="R1742" s="5"/>
      <c r="S1742" s="5"/>
      <c r="T1742" s="5"/>
    </row>
    <row r="1743">
      <c r="A1743" s="4">
        <v>45534.33660002315</v>
      </c>
      <c r="B1743" s="5" t="s">
        <v>34</v>
      </c>
      <c r="D1743" s="5" t="s">
        <v>9020</v>
      </c>
      <c r="E1743" s="5" t="s">
        <v>13718</v>
      </c>
      <c r="F1743" s="5" t="s">
        <v>715</v>
      </c>
      <c r="G1743" s="5" t="s">
        <v>13719</v>
      </c>
      <c r="H1743" s="6" t="s">
        <v>13720</v>
      </c>
      <c r="I1743" s="7" t="s">
        <v>13721</v>
      </c>
      <c r="J1743" s="8" t="str">
        <f>HYPERLINK("https://drive.google.com/file/d/1fdNdTIOY-svvPK6oF-7A2XW1TPJDfrS7/view?usp=drivesdk","NUR ANISAH SIREGAR, S.E. SERTIFIKAT BerAKHLAK")</f>
        <v>NUR ANISAH SIREGAR, S.E. SERTIFIKAT BerAKHLAK</v>
      </c>
      <c r="K1743" s="5" t="s">
        <v>13050</v>
      </c>
      <c r="L1743" s="5" t="s">
        <v>13722</v>
      </c>
      <c r="M1743" s="5" t="s">
        <v>13723</v>
      </c>
      <c r="N1743" s="7" t="s">
        <v>13724</v>
      </c>
      <c r="O1743" s="8" t="str">
        <f>HYPERLINK("https://drive.google.com/file/d/1xYul2JxA0vjOpTLtQaIIHQ2xFQZrPsfu/view?usp=drivesdk","1742_NUR ANISAH SIREGAR, S.E. _ SERTIFIKAT BIMTEK IPASN BerAKHLASK")</f>
        <v>1742_NUR ANISAH SIREGAR, S.E. _ SERTIFIKAT BIMTEK IPASN BerAKHLASK</v>
      </c>
      <c r="P1743" s="5" t="s">
        <v>13725</v>
      </c>
      <c r="Q1743" s="5"/>
      <c r="R1743" s="5"/>
      <c r="S1743" s="5"/>
      <c r="T1743" s="5"/>
    </row>
    <row r="1744">
      <c r="A1744" s="4">
        <v>45534.33661398148</v>
      </c>
      <c r="B1744" s="5" t="s">
        <v>34</v>
      </c>
      <c r="D1744" s="5" t="s">
        <v>2903</v>
      </c>
      <c r="E1744" s="5" t="s">
        <v>13726</v>
      </c>
      <c r="F1744" s="5" t="s">
        <v>524</v>
      </c>
      <c r="G1744" s="5" t="s">
        <v>13727</v>
      </c>
      <c r="H1744" s="6" t="s">
        <v>13728</v>
      </c>
      <c r="I1744" s="7" t="s">
        <v>13729</v>
      </c>
      <c r="J1744" s="8" t="str">
        <f>HYPERLINK("https://drive.google.com/file/d/1ZcKfoInad7fY2Esb04MAtPM7RzEqLox_/view?usp=drivesdk","VIVI SUMANTI,SKM SERTIFIKAT BerAKHLAK")</f>
        <v>VIVI SUMANTI,SKM SERTIFIKAT BerAKHLAK</v>
      </c>
      <c r="K1744" s="5" t="s">
        <v>13050</v>
      </c>
      <c r="L1744" s="5" t="s">
        <v>13730</v>
      </c>
      <c r="M1744" s="5" t="s">
        <v>13731</v>
      </c>
      <c r="N1744" s="7" t="s">
        <v>13732</v>
      </c>
      <c r="O1744" s="8" t="str">
        <f>HYPERLINK("https://drive.google.com/file/d/1d7hTAhVS7GfnSNwrAddgtEcCqSkYqr-Y/view?usp=drivesdk","1743_VIVI SUMANTI,SKM _ SERTIFIKAT BIMTEK IPASN BerAKHLASK")</f>
        <v>1743_VIVI SUMANTI,SKM _ SERTIFIKAT BIMTEK IPASN BerAKHLASK</v>
      </c>
      <c r="P1744" s="5" t="s">
        <v>13725</v>
      </c>
      <c r="Q1744" s="5"/>
      <c r="R1744" s="5"/>
      <c r="S1744" s="5"/>
      <c r="T1744" s="5"/>
    </row>
    <row r="1745">
      <c r="A1745" s="4">
        <v>45534.336641354166</v>
      </c>
      <c r="B1745" s="5" t="s">
        <v>34</v>
      </c>
      <c r="D1745" s="5" t="s">
        <v>267</v>
      </c>
      <c r="E1745" s="5" t="s">
        <v>13733</v>
      </c>
      <c r="F1745" s="5" t="s">
        <v>37</v>
      </c>
      <c r="G1745" s="5" t="s">
        <v>13734</v>
      </c>
      <c r="H1745" s="6" t="s">
        <v>13735</v>
      </c>
      <c r="I1745" s="7" t="s">
        <v>13736</v>
      </c>
      <c r="J1745" s="8" t="str">
        <f>HYPERLINK("https://drive.google.com/file/d/10FcdjyvcbjIlOJsJnKAK5BNN0ZxjrUp_/view?usp=drivesdk","SUHARTIHARTI SERTIFIKAT BerAKHLAK")</f>
        <v>SUHARTIHARTI SERTIFIKAT BerAKHLAK</v>
      </c>
      <c r="K1745" s="5" t="s">
        <v>13080</v>
      </c>
      <c r="L1745" s="5" t="s">
        <v>13737</v>
      </c>
      <c r="M1745" s="5" t="s">
        <v>13738</v>
      </c>
      <c r="N1745" s="7" t="s">
        <v>13739</v>
      </c>
      <c r="O1745" s="8" t="str">
        <f>HYPERLINK("https://drive.google.com/file/d/1pTQHRxsq1vxCDqKoB6Ozy7sme9DPsgBf/view?usp=drivesdk","1744_SUHARTIHARTI _ SERTIFIKAT BIMTEK IPASN BerAKHLASK")</f>
        <v>1744_SUHARTIHARTI _ SERTIFIKAT BIMTEK IPASN BerAKHLASK</v>
      </c>
      <c r="P1745" s="5" t="s">
        <v>13725</v>
      </c>
      <c r="Q1745" s="5"/>
      <c r="R1745" s="5"/>
      <c r="S1745" s="5"/>
      <c r="T1745" s="5"/>
    </row>
    <row r="1746">
      <c r="A1746" s="4">
        <v>45534.33664837963</v>
      </c>
      <c r="B1746" s="5" t="s">
        <v>34</v>
      </c>
      <c r="D1746" s="5" t="s">
        <v>1206</v>
      </c>
      <c r="E1746" s="5" t="s">
        <v>13740</v>
      </c>
      <c r="F1746" s="5" t="s">
        <v>212</v>
      </c>
      <c r="G1746" s="5" t="s">
        <v>13741</v>
      </c>
      <c r="H1746" s="6" t="s">
        <v>13742</v>
      </c>
      <c r="I1746" s="7" t="s">
        <v>13743</v>
      </c>
      <c r="J1746" s="8" t="str">
        <f>HYPERLINK("https://drive.google.com/file/d/1o5jTx2MpYrWzp2XpjU13REUIvZhLkRai/view?usp=drivesdk","YENI DIAH MIRANTI SERTIFIKAT BerAKHLAK")</f>
        <v>YENI DIAH MIRANTI SERTIFIKAT BerAKHLAK</v>
      </c>
      <c r="K1746" s="5" t="s">
        <v>13080</v>
      </c>
      <c r="L1746" s="5" t="s">
        <v>13744</v>
      </c>
      <c r="M1746" s="5" t="s">
        <v>13745</v>
      </c>
      <c r="N1746" s="7" t="s">
        <v>13746</v>
      </c>
      <c r="O1746" s="8" t="str">
        <f>HYPERLINK("https://drive.google.com/file/d/1kkhPrEwHLYtjrREmoZUeMYk3MGlk6eF4/view?usp=drivesdk","1745_YENI DIAH MIRANTI _ SERTIFIKAT BIMTEK IPASN BerAKHLASK")</f>
        <v>1745_YENI DIAH MIRANTI _ SERTIFIKAT BIMTEK IPASN BerAKHLASK</v>
      </c>
      <c r="P1746" s="5" t="s">
        <v>13725</v>
      </c>
      <c r="Q1746" s="5"/>
      <c r="R1746" s="5"/>
      <c r="S1746" s="5"/>
      <c r="T1746" s="5"/>
    </row>
    <row r="1747">
      <c r="A1747" s="4">
        <v>45534.336651261576</v>
      </c>
      <c r="B1747" s="5" t="s">
        <v>34</v>
      </c>
      <c r="D1747" s="5" t="s">
        <v>1456</v>
      </c>
      <c r="E1747" s="5" t="s">
        <v>13747</v>
      </c>
      <c r="F1747" s="5" t="s">
        <v>524</v>
      </c>
      <c r="G1747" s="5" t="s">
        <v>13748</v>
      </c>
      <c r="H1747" s="6" t="s">
        <v>13749</v>
      </c>
      <c r="I1747" s="7" t="s">
        <v>13750</v>
      </c>
      <c r="J1747" s="8" t="str">
        <f>HYPERLINK("https://drive.google.com/file/d/1PIqiTxmIAqNPWZU_9dFeim6aymYPmuFZ/view?usp=drivesdk","KASIH HARTIWI, S.Sos. SERTIFIKAT BerAKHLAK")</f>
        <v>KASIH HARTIWI, S.Sos. SERTIFIKAT BerAKHLAK</v>
      </c>
      <c r="K1747" s="5" t="s">
        <v>13050</v>
      </c>
      <c r="L1747" s="5" t="s">
        <v>13751</v>
      </c>
      <c r="M1747" s="5" t="s">
        <v>13752</v>
      </c>
      <c r="N1747" s="7" t="s">
        <v>13753</v>
      </c>
      <c r="O1747" s="8" t="str">
        <f>HYPERLINK("https://drive.google.com/file/d/1hMDdQzNwR4WqMn0i23XXClkjzY1dJwqn/view?usp=drivesdk","1746_KASIH HARTIWI, S.Sos. _ SERTIFIKAT BIMTEK IPASN BerAKHLASK")</f>
        <v>1746_KASIH HARTIWI, S.Sos. _ SERTIFIKAT BIMTEK IPASN BerAKHLASK</v>
      </c>
      <c r="P1747" s="5" t="s">
        <v>13725</v>
      </c>
      <c r="Q1747" s="5"/>
      <c r="R1747" s="5"/>
      <c r="S1747" s="5"/>
      <c r="T1747" s="5"/>
    </row>
    <row r="1748">
      <c r="A1748" s="4">
        <v>45534.336658761575</v>
      </c>
      <c r="B1748" s="5" t="s">
        <v>34</v>
      </c>
      <c r="D1748" s="5" t="s">
        <v>9020</v>
      </c>
      <c r="E1748" s="5" t="s">
        <v>13754</v>
      </c>
      <c r="F1748" s="5" t="s">
        <v>212</v>
      </c>
      <c r="G1748" s="5" t="s">
        <v>13755</v>
      </c>
      <c r="H1748" s="6" t="s">
        <v>13756</v>
      </c>
      <c r="I1748" s="7" t="s">
        <v>13757</v>
      </c>
      <c r="J1748" s="8" t="str">
        <f>HYPERLINK("https://drive.google.com/file/d/1REdvLw6DZFlaPJeUzr5MiBUAT6XZZRC-/view?usp=drivesdk","PENGATUR TK I HASNAH SERTIFIKAT BerAKHLAK")</f>
        <v>PENGATUR TK I HASNAH SERTIFIKAT BerAKHLAK</v>
      </c>
      <c r="K1748" s="5" t="s">
        <v>13050</v>
      </c>
      <c r="L1748" s="5" t="s">
        <v>13758</v>
      </c>
      <c r="M1748" s="5" t="s">
        <v>13759</v>
      </c>
      <c r="N1748" s="7" t="s">
        <v>13760</v>
      </c>
      <c r="O1748" s="8" t="str">
        <f>HYPERLINK("https://drive.google.com/file/d/1e24Dh5lirqTwaHFboepMorVvG6JIFjWi/view?usp=drivesdk","1747_PENGATUR TK I HASNAH _ SERTIFIKAT BIMTEK IPASN BerAKHLASK")</f>
        <v>1747_PENGATUR TK I HASNAH _ SERTIFIKAT BIMTEK IPASN BerAKHLASK</v>
      </c>
      <c r="P1748" s="5" t="s">
        <v>13725</v>
      </c>
      <c r="Q1748" s="5"/>
      <c r="R1748" s="5"/>
      <c r="S1748" s="5"/>
      <c r="T1748" s="5"/>
    </row>
    <row r="1749">
      <c r="A1749" s="4">
        <v>45534.33666020833</v>
      </c>
      <c r="B1749" s="5" t="s">
        <v>34</v>
      </c>
      <c r="D1749" s="5" t="s">
        <v>975</v>
      </c>
      <c r="E1749" s="5" t="s">
        <v>13761</v>
      </c>
      <c r="F1749" s="5" t="s">
        <v>108</v>
      </c>
      <c r="G1749" s="5" t="s">
        <v>13762</v>
      </c>
      <c r="H1749" s="6" t="s">
        <v>13763</v>
      </c>
      <c r="I1749" s="7" t="s">
        <v>13764</v>
      </c>
      <c r="J1749" s="8" t="str">
        <f>HYPERLINK("https://drive.google.com/file/d/1w3VFYtYJX6Y-DsttZLQX59JiPSj5Q33m/view?usp=drivesdk","HARLY MARWANSYAH SERTIFIKAT BerAKHLAK")</f>
        <v>HARLY MARWANSYAH SERTIFIKAT BerAKHLAK</v>
      </c>
      <c r="K1749" s="5" t="s">
        <v>13050</v>
      </c>
      <c r="L1749" s="5" t="s">
        <v>13765</v>
      </c>
      <c r="M1749" s="5" t="s">
        <v>13766</v>
      </c>
      <c r="N1749" s="7" t="s">
        <v>13767</v>
      </c>
      <c r="O1749" s="8" t="str">
        <f>HYPERLINK("https://drive.google.com/file/d/1VxXToThLW5k86zag5TBdx7ujTsu3rfrn/view?usp=drivesdk","1748_HARLY MARWANSYAH _ SERTIFIKAT BIMTEK IPASN BerAKHLASK")</f>
        <v>1748_HARLY MARWANSYAH _ SERTIFIKAT BIMTEK IPASN BerAKHLASK</v>
      </c>
      <c r="P1749" s="5" t="s">
        <v>13725</v>
      </c>
      <c r="Q1749" s="5"/>
      <c r="R1749" s="5"/>
      <c r="S1749" s="5"/>
      <c r="T1749" s="5"/>
    </row>
    <row r="1750">
      <c r="A1750" s="4">
        <v>45534.336687152776</v>
      </c>
      <c r="B1750" s="5" t="s">
        <v>34</v>
      </c>
      <c r="D1750" s="5" t="s">
        <v>12978</v>
      </c>
      <c r="E1750" s="5" t="s">
        <v>13768</v>
      </c>
      <c r="F1750" s="5" t="s">
        <v>37</v>
      </c>
      <c r="G1750" s="5" t="s">
        <v>13769</v>
      </c>
      <c r="H1750" s="6" t="s">
        <v>13770</v>
      </c>
      <c r="I1750" s="7" t="s">
        <v>13771</v>
      </c>
      <c r="J1750" s="8" t="str">
        <f>HYPERLINK("https://drive.google.com/file/d/1vAiaZxc420KJwwDSRrPHWEEOo5IX0Bje/view?usp=drivesdk","SISMALIA AMKEB SERTIFIKAT BerAKHLAK")</f>
        <v>SISMALIA AMKEB SERTIFIKAT BerAKHLAK</v>
      </c>
      <c r="K1750" s="5" t="s">
        <v>13080</v>
      </c>
      <c r="L1750" s="5" t="s">
        <v>13772</v>
      </c>
      <c r="M1750" s="5" t="s">
        <v>13773</v>
      </c>
      <c r="N1750" s="7" t="s">
        <v>13774</v>
      </c>
      <c r="O1750" s="8" t="str">
        <f>HYPERLINK("https://drive.google.com/file/d/1kVKteFMERDyI7dm2FcMoryhDBiYu1o05/view?usp=drivesdk","1749_SISMALIA AMKEB _ SERTIFIKAT BIMTEK IPASN BerAKHLASK")</f>
        <v>1749_SISMALIA AMKEB _ SERTIFIKAT BIMTEK IPASN BerAKHLASK</v>
      </c>
      <c r="P1750" s="5" t="s">
        <v>13775</v>
      </c>
      <c r="Q1750" s="5"/>
      <c r="R1750" s="5"/>
      <c r="S1750" s="5"/>
      <c r="T1750" s="5"/>
    </row>
    <row r="1751">
      <c r="A1751" s="4">
        <v>45534.336692303244</v>
      </c>
      <c r="B1751" s="5" t="s">
        <v>34</v>
      </c>
      <c r="D1751" s="5" t="s">
        <v>4775</v>
      </c>
      <c r="E1751" s="5" t="s">
        <v>13776</v>
      </c>
      <c r="F1751" s="5" t="s">
        <v>108</v>
      </c>
      <c r="G1751" s="5" t="s">
        <v>13777</v>
      </c>
      <c r="H1751" s="6" t="s">
        <v>13778</v>
      </c>
      <c r="I1751" s="7" t="s">
        <v>13779</v>
      </c>
      <c r="J1751" s="8" t="str">
        <f>HYPERLINK("https://drive.google.com/file/d/12NjXqfioOnoJMa7YVNpM2DFAR8avsA6o/view?usp=drivesdk","DIYAH SAKTI PUSPANDARI SERTIFIKAT BerAKHLAK")</f>
        <v>DIYAH SAKTI PUSPANDARI SERTIFIKAT BerAKHLAK</v>
      </c>
      <c r="K1751" s="5" t="s">
        <v>13050</v>
      </c>
      <c r="L1751" s="5" t="s">
        <v>13780</v>
      </c>
      <c r="M1751" s="5" t="s">
        <v>13781</v>
      </c>
      <c r="N1751" s="7" t="s">
        <v>13782</v>
      </c>
      <c r="O1751" s="8" t="str">
        <f>HYPERLINK("https://drive.google.com/file/d/1Rdn5AKOJe3pTtvNogvzulLsdLWtgxbdJ/view?usp=drivesdk","1750_DIYAH SAKTI PUSPANDARI _ SERTIFIKAT BIMTEK IPASN BerAKHLASK")</f>
        <v>1750_DIYAH SAKTI PUSPANDARI _ SERTIFIKAT BIMTEK IPASN BerAKHLASK</v>
      </c>
      <c r="P1751" s="5" t="s">
        <v>13775</v>
      </c>
      <c r="Q1751" s="5"/>
      <c r="R1751" s="5"/>
      <c r="S1751" s="5"/>
      <c r="T1751" s="5"/>
    </row>
    <row r="1752">
      <c r="A1752" s="4">
        <v>45534.33669293982</v>
      </c>
      <c r="B1752" s="5" t="s">
        <v>34</v>
      </c>
      <c r="D1752" s="5" t="s">
        <v>1206</v>
      </c>
      <c r="E1752" s="5" t="s">
        <v>13783</v>
      </c>
      <c r="F1752" s="5" t="s">
        <v>212</v>
      </c>
      <c r="G1752" s="5" t="s">
        <v>13784</v>
      </c>
      <c r="H1752" s="6" t="s">
        <v>13785</v>
      </c>
      <c r="I1752" s="7" t="s">
        <v>13786</v>
      </c>
      <c r="J1752" s="8" t="str">
        <f>HYPERLINK("https://drive.google.com/file/d/1gZbbMRUpUCy0J5Va5q-FZfGjJqJf3rQZ/view?usp=drivesdk","ILA AULIA APRILIA SERTIFIKAT BerAKHLAK")</f>
        <v>ILA AULIA APRILIA SERTIFIKAT BerAKHLAK</v>
      </c>
      <c r="K1752" s="5" t="s">
        <v>13050</v>
      </c>
      <c r="L1752" s="5" t="s">
        <v>13787</v>
      </c>
      <c r="M1752" s="5" t="s">
        <v>13788</v>
      </c>
      <c r="N1752" s="7" t="s">
        <v>13789</v>
      </c>
      <c r="O1752" s="8" t="str">
        <f>HYPERLINK("https://drive.google.com/file/d/1bp5uT0vr4ysd1-i4_RPJTEjWZUudBoUI/view?usp=drivesdk","1751_ILA AULIA APRILIA _ SERTIFIKAT BIMTEK IPASN BerAKHLASK")</f>
        <v>1751_ILA AULIA APRILIA _ SERTIFIKAT BIMTEK IPASN BerAKHLASK</v>
      </c>
      <c r="P1752" s="5" t="s">
        <v>13775</v>
      </c>
      <c r="Q1752" s="5"/>
      <c r="R1752" s="5"/>
      <c r="S1752" s="5"/>
      <c r="T1752" s="5"/>
    </row>
    <row r="1753">
      <c r="A1753" s="4">
        <v>45534.3366981713</v>
      </c>
      <c r="B1753" s="5" t="s">
        <v>34</v>
      </c>
      <c r="D1753" s="5" t="s">
        <v>2903</v>
      </c>
      <c r="E1753" s="5" t="s">
        <v>13790</v>
      </c>
      <c r="F1753" s="5" t="s">
        <v>524</v>
      </c>
      <c r="G1753" s="5" t="s">
        <v>13791</v>
      </c>
      <c r="H1753" s="6" t="s">
        <v>13792</v>
      </c>
      <c r="I1753" s="7" t="s">
        <v>13793</v>
      </c>
      <c r="J1753" s="8" t="str">
        <f>HYPERLINK("https://drive.google.com/file/d/11dpqTQGro1AJOHP0rvLA5BLri9ZCXZGT/view?usp=drivesdk","RAMJANI ANDATU ST. SERTIFIKAT BerAKHLAK")</f>
        <v>RAMJANI ANDATU ST. SERTIFIKAT BerAKHLAK</v>
      </c>
      <c r="K1753" s="5" t="s">
        <v>13050</v>
      </c>
      <c r="L1753" s="5" t="s">
        <v>13794</v>
      </c>
      <c r="M1753" s="5" t="s">
        <v>13795</v>
      </c>
      <c r="N1753" s="7" t="s">
        <v>13796</v>
      </c>
      <c r="O1753" s="8" t="str">
        <f>HYPERLINK("https://drive.google.com/file/d/1ykd7UYreWO6V6J6UuDApdRglzNGc2j4Q/view?usp=drivesdk","1752_RAMJANI ANDATU ST. _ SERTIFIKAT BIMTEK IPASN BerAKHLASK")</f>
        <v>1752_RAMJANI ANDATU ST. _ SERTIFIKAT BIMTEK IPASN BerAKHLASK</v>
      </c>
      <c r="P1753" s="5" t="s">
        <v>13775</v>
      </c>
      <c r="Q1753" s="5"/>
      <c r="R1753" s="5"/>
      <c r="S1753" s="5"/>
      <c r="T1753" s="5"/>
    </row>
    <row r="1754">
      <c r="A1754" s="4">
        <v>45534.33670418982</v>
      </c>
      <c r="B1754" s="5" t="s">
        <v>34</v>
      </c>
      <c r="D1754" s="5" t="s">
        <v>9020</v>
      </c>
      <c r="E1754" s="5" t="s">
        <v>13797</v>
      </c>
      <c r="F1754" s="5" t="s">
        <v>108</v>
      </c>
      <c r="G1754" s="5" t="s">
        <v>13798</v>
      </c>
      <c r="H1754" s="6" t="s">
        <v>13799</v>
      </c>
      <c r="K1754" s="5" t="s">
        <v>13800</v>
      </c>
      <c r="M1754" s="5" t="s">
        <v>13801</v>
      </c>
      <c r="N1754" s="7" t="s">
        <v>13802</v>
      </c>
      <c r="O1754" s="8" t="str">
        <f>HYPERLINK("https://drive.google.com/file/d/1QGTVRxLZBQfEAqmWFlgvhHYIbiZF7l6P/view?usp=drivesdk","1753_RIDHO MANGARA SITORUS, S.KOM., M.A.P. _ SERTIFIKAT BIMTEK IPASN BerAKHLASK")</f>
        <v>1753_RIDHO MANGARA SITORUS, S.KOM., M.A.P. _ SERTIFIKAT BIMTEK IPASN BerAKHLASK</v>
      </c>
      <c r="P1754" s="5" t="s">
        <v>13803</v>
      </c>
      <c r="Q1754" s="5"/>
      <c r="R1754" s="5"/>
      <c r="S1754" s="5"/>
      <c r="T1754" s="5"/>
    </row>
    <row r="1755">
      <c r="A1755" s="4">
        <v>45534.33673284722</v>
      </c>
      <c r="B1755" s="5" t="s">
        <v>34</v>
      </c>
      <c r="D1755" s="5" t="s">
        <v>35</v>
      </c>
      <c r="E1755" s="5" t="s">
        <v>13804</v>
      </c>
      <c r="F1755" s="5" t="s">
        <v>37</v>
      </c>
      <c r="G1755" s="5" t="s">
        <v>13805</v>
      </c>
      <c r="H1755" s="6" t="s">
        <v>13806</v>
      </c>
      <c r="I1755" s="7" t="s">
        <v>13807</v>
      </c>
      <c r="J1755" s="8" t="str">
        <f>HYPERLINK("https://drive.google.com/file/d/1fEMJruxxuHlSE99uo6u5laEZNYTCTPuI/view?usp=drivesdk","NOVIA SRI WULANDARI, A. Md.Kep SERTIFIKAT BerAKHLAK")</f>
        <v>NOVIA SRI WULANDARI, A. Md.Kep SERTIFIKAT BerAKHLAK</v>
      </c>
      <c r="K1755" s="5" t="s">
        <v>13050</v>
      </c>
      <c r="L1755" s="5" t="s">
        <v>13808</v>
      </c>
      <c r="M1755" s="5" t="s">
        <v>13809</v>
      </c>
      <c r="N1755" s="7" t="s">
        <v>13810</v>
      </c>
      <c r="O1755" s="8" t="str">
        <f>HYPERLINK("https://drive.google.com/file/d/11b0Q6sliYGCpZCTcewFcYfSqwq9TBjcf/view?usp=drivesdk","1754_NOVIA SRI WULANDARI, A. Md.Kep _ SERTIFIKAT BIMTEK IPASN BerAKHLASK")</f>
        <v>1754_NOVIA SRI WULANDARI, A. Md.Kep _ SERTIFIKAT BIMTEK IPASN BerAKHLASK</v>
      </c>
      <c r="P1755" s="5" t="s">
        <v>13803</v>
      </c>
      <c r="Q1755" s="5"/>
      <c r="R1755" s="5"/>
      <c r="S1755" s="5"/>
      <c r="T1755" s="5"/>
    </row>
    <row r="1756">
      <c r="A1756" s="4">
        <v>45534.33673313657</v>
      </c>
      <c r="B1756" s="5" t="s">
        <v>34</v>
      </c>
      <c r="D1756" s="5" t="s">
        <v>280</v>
      </c>
      <c r="E1756" s="5" t="s">
        <v>13811</v>
      </c>
      <c r="F1756" s="5" t="s">
        <v>212</v>
      </c>
      <c r="G1756" s="5" t="s">
        <v>13812</v>
      </c>
      <c r="H1756" s="6" t="s">
        <v>13813</v>
      </c>
      <c r="I1756" s="7" t="s">
        <v>13814</v>
      </c>
      <c r="J1756" s="8" t="str">
        <f>HYPERLINK("https://drive.google.com/file/d/1If5EfNni2dMkrWvzQGre7ziLkb1mnMB_/view?usp=drivesdk","YAHYA SUKARNO PRATAMA, A.Md.Kep., S.Kep SERTIFIKAT BerAKHLAK")</f>
        <v>YAHYA SUKARNO PRATAMA, A.Md.Kep., S.Kep SERTIFIKAT BerAKHLAK</v>
      </c>
      <c r="K1756" s="5" t="s">
        <v>13050</v>
      </c>
      <c r="L1756" s="5" t="s">
        <v>13815</v>
      </c>
      <c r="M1756" s="5" t="s">
        <v>13816</v>
      </c>
      <c r="N1756" s="7" t="s">
        <v>13817</v>
      </c>
      <c r="O1756" s="8" t="str">
        <f>HYPERLINK("https://drive.google.com/file/d/1uftH3SoXD9chN0urr_cTJdbqsOBX_pNz/view?usp=drivesdk","1755_YAHYA SUKARNO PRATAMA, A.Md.Kep., S.Kep _ SERTIFIKAT BIMTEK IPASN BerAKHLASK")</f>
        <v>1755_YAHYA SUKARNO PRATAMA, A.Md.Kep., S.Kep _ SERTIFIKAT BIMTEK IPASN BerAKHLASK</v>
      </c>
      <c r="P1756" s="5" t="s">
        <v>13803</v>
      </c>
      <c r="Q1756" s="5"/>
      <c r="R1756" s="5"/>
      <c r="S1756" s="5"/>
      <c r="T1756" s="5"/>
    </row>
    <row r="1757">
      <c r="A1757" s="4">
        <v>45534.33674387731</v>
      </c>
      <c r="B1757" s="5" t="s">
        <v>34</v>
      </c>
      <c r="D1757" s="5" t="s">
        <v>4775</v>
      </c>
      <c r="E1757" s="5" t="s">
        <v>13818</v>
      </c>
      <c r="F1757" s="5" t="s">
        <v>37</v>
      </c>
      <c r="G1757" s="5" t="s">
        <v>13819</v>
      </c>
      <c r="H1757" s="6" t="s">
        <v>13820</v>
      </c>
      <c r="I1757" s="7" t="s">
        <v>13821</v>
      </c>
      <c r="J1757" s="8" t="str">
        <f>HYPERLINK("https://drive.google.com/file/d/1mTt5ID8MSP4Xfhf4pvm8W-YMsi1_PqQ4/view?usp=drivesdk","AHMAD BONNY ZAMRONI SERTIFIKAT BerAKHLAK")</f>
        <v>AHMAD BONNY ZAMRONI SERTIFIKAT BerAKHLAK</v>
      </c>
      <c r="K1757" s="5" t="s">
        <v>13050</v>
      </c>
      <c r="L1757" s="5" t="s">
        <v>13822</v>
      </c>
      <c r="M1757" s="5" t="s">
        <v>13823</v>
      </c>
      <c r="N1757" s="7" t="s">
        <v>13824</v>
      </c>
      <c r="O1757" s="8" t="str">
        <f>HYPERLINK("https://drive.google.com/file/d/1gglSVIU0H6bN0G7_X0D-NiYl2FVgqxwC/view?usp=drivesdk","1756_AHMAD BONNY ZAMRONI _ SERTIFIKAT BIMTEK IPASN BerAKHLASK")</f>
        <v>1756_AHMAD BONNY ZAMRONI _ SERTIFIKAT BIMTEK IPASN BerAKHLASK</v>
      </c>
      <c r="P1757" s="5" t="s">
        <v>13803</v>
      </c>
      <c r="Q1757" s="5"/>
      <c r="R1757" s="5"/>
      <c r="S1757" s="5"/>
      <c r="T1757" s="5"/>
    </row>
    <row r="1758">
      <c r="A1758" s="4">
        <v>45534.33674453704</v>
      </c>
      <c r="B1758" s="5" t="s">
        <v>34</v>
      </c>
      <c r="D1758" s="5" t="s">
        <v>975</v>
      </c>
      <c r="E1758" s="5" t="s">
        <v>13825</v>
      </c>
      <c r="F1758" s="5" t="s">
        <v>37</v>
      </c>
      <c r="G1758" s="5" t="s">
        <v>13826</v>
      </c>
      <c r="H1758" s="6" t="s">
        <v>13827</v>
      </c>
      <c r="I1758" s="7" t="s">
        <v>13828</v>
      </c>
      <c r="J1758" s="8" t="str">
        <f>HYPERLINK("https://drive.google.com/file/d/15KO3IFGYdoc-EdqtTwtEr021DHvQPUyj/view?usp=drivesdk","IDHAM HALID, AMD KEP SERTIFIKAT BerAKHLAK")</f>
        <v>IDHAM HALID, AMD KEP SERTIFIKAT BerAKHLAK</v>
      </c>
      <c r="K1758" s="5" t="s">
        <v>13050</v>
      </c>
      <c r="L1758" s="5" t="s">
        <v>13829</v>
      </c>
      <c r="M1758" s="5" t="s">
        <v>13830</v>
      </c>
      <c r="N1758" s="7" t="s">
        <v>13831</v>
      </c>
      <c r="O1758" s="8" t="str">
        <f>HYPERLINK("https://drive.google.com/file/d/1jZCkc6BR2BCNww73fEMxPkV2aUz_ZiKO/view?usp=drivesdk","1757_IDHAM HALID, AMD KEP _ SERTIFIKAT BIMTEK IPASN BerAKHLASK")</f>
        <v>1757_IDHAM HALID, AMD KEP _ SERTIFIKAT BIMTEK IPASN BerAKHLASK</v>
      </c>
      <c r="P1758" s="5" t="s">
        <v>13803</v>
      </c>
      <c r="Q1758" s="5"/>
      <c r="R1758" s="5"/>
      <c r="S1758" s="5"/>
      <c r="T1758" s="5"/>
    </row>
    <row r="1759">
      <c r="A1759" s="4">
        <v>45534.336746886576</v>
      </c>
      <c r="B1759" s="5" t="s">
        <v>34</v>
      </c>
      <c r="D1759" s="5" t="s">
        <v>9020</v>
      </c>
      <c r="E1759" s="5" t="s">
        <v>13832</v>
      </c>
      <c r="F1759" s="5" t="s">
        <v>524</v>
      </c>
      <c r="G1759" s="5" t="s">
        <v>13833</v>
      </c>
      <c r="H1759" s="6" t="s">
        <v>13834</v>
      </c>
      <c r="I1759" s="7" t="s">
        <v>13835</v>
      </c>
      <c r="J1759" s="8" t="str">
        <f>HYPERLINK("https://drive.google.com/file/d/1YPl9OsTqIp14lAoQ2H6v7w2wVkfGLQeF/view?usp=drivesdk","MARTHA SEVIANI SILALAHI, S.H SERTIFIKAT BerAKHLAK")</f>
        <v>MARTHA SEVIANI SILALAHI, S.H SERTIFIKAT BerAKHLAK</v>
      </c>
      <c r="K1759" s="5" t="s">
        <v>13050</v>
      </c>
      <c r="L1759" s="5" t="s">
        <v>13836</v>
      </c>
      <c r="M1759" s="5" t="s">
        <v>13837</v>
      </c>
      <c r="N1759" s="7" t="s">
        <v>13838</v>
      </c>
      <c r="O1759" s="8" t="str">
        <f>HYPERLINK("https://drive.google.com/file/d/1V-OtIob5zmLNzM2SiTNO1kpsHebKyA9f/view?usp=drivesdk","1758_MARTHA SEVIANI SILALAHI, S.H _ SERTIFIKAT BIMTEK IPASN BerAKHLASK")</f>
        <v>1758_MARTHA SEVIANI SILALAHI, S.H _ SERTIFIKAT BIMTEK IPASN BerAKHLASK</v>
      </c>
      <c r="P1759" s="5" t="s">
        <v>13803</v>
      </c>
      <c r="Q1759" s="5"/>
      <c r="R1759" s="5"/>
      <c r="S1759" s="5"/>
      <c r="T1759" s="5"/>
    </row>
    <row r="1760" hidden="1">
      <c r="A1760" s="4">
        <v>45534.336745532404</v>
      </c>
      <c r="B1760" s="5" t="s">
        <v>19</v>
      </c>
      <c r="C1760" s="5" t="s">
        <v>11593</v>
      </c>
      <c r="E1760" s="5" t="s">
        <v>13839</v>
      </c>
      <c r="F1760" s="5" t="s">
        <v>108</v>
      </c>
      <c r="G1760" s="5" t="s">
        <v>13840</v>
      </c>
      <c r="H1760" s="6" t="s">
        <v>13841</v>
      </c>
      <c r="I1760" s="7" t="s">
        <v>13842</v>
      </c>
      <c r="J1760" s="8" t="str">
        <f>HYPERLINK("https://drive.google.com/file/d/1Wp_UW2fq2x6z02axFLlvcpp7_0YRT7Gm/view?usp=drivesdk","INDAH IKA SARININGRUM SERTIFIKAT BerAKHLAK")</f>
        <v>INDAH IKA SARININGRUM SERTIFIKAT BerAKHLAK</v>
      </c>
      <c r="K1760" s="5" t="s">
        <v>13050</v>
      </c>
      <c r="L1760" s="5" t="s">
        <v>13843</v>
      </c>
      <c r="M1760" s="5" t="s">
        <v>13844</v>
      </c>
      <c r="N1760" s="7" t="s">
        <v>13845</v>
      </c>
      <c r="O1760" s="8" t="str">
        <f>HYPERLINK("https://drive.google.com/file/d/1O3O50DPzzCKtYjHg6FPuiskpzTGZNND9/view?usp=drivesdk","1759_INDAH IKA SARININGRUM _ SERTIFIKAT BIMTEK IPASN BerAKHLASK")</f>
        <v>1759_INDAH IKA SARININGRUM _ SERTIFIKAT BIMTEK IPASN BerAKHLASK</v>
      </c>
      <c r="P1760" s="5" t="s">
        <v>13803</v>
      </c>
      <c r="Q1760" s="5"/>
      <c r="R1760" s="5"/>
      <c r="S1760" s="5"/>
      <c r="T1760" s="5"/>
    </row>
    <row r="1761">
      <c r="A1761" s="4">
        <v>45534.33674989583</v>
      </c>
      <c r="B1761" s="5" t="s">
        <v>34</v>
      </c>
      <c r="D1761" s="5" t="s">
        <v>9020</v>
      </c>
      <c r="E1761" s="5" t="s">
        <v>13846</v>
      </c>
      <c r="F1761" s="5" t="s">
        <v>212</v>
      </c>
      <c r="G1761" s="5" t="s">
        <v>13847</v>
      </c>
      <c r="H1761" s="6" t="s">
        <v>13848</v>
      </c>
      <c r="K1761" s="5" t="s">
        <v>13849</v>
      </c>
      <c r="M1761" s="5" t="s">
        <v>13850</v>
      </c>
      <c r="N1761" s="7" t="s">
        <v>13851</v>
      </c>
      <c r="O1761" s="8" t="str">
        <f>HYPERLINK("https://drive.google.com/file/d/1mRcOXtCnjCvumRDv3ZCWPZdNsTDwiBNt/view?usp=drivesdk","1760_DESMAN RAHMAT INSANI GIAWA _ SERTIFIKAT BIMTEK IPASN BerAKHLASK")</f>
        <v>1760_DESMAN RAHMAT INSANI GIAWA _ SERTIFIKAT BIMTEK IPASN BerAKHLASK</v>
      </c>
      <c r="P1761" s="5" t="s">
        <v>13852</v>
      </c>
      <c r="Q1761" s="5"/>
      <c r="R1761" s="5"/>
      <c r="S1761" s="5"/>
      <c r="T1761" s="5"/>
    </row>
    <row r="1762">
      <c r="A1762" s="4">
        <v>45534.336755173616</v>
      </c>
      <c r="B1762" s="5" t="s">
        <v>34</v>
      </c>
      <c r="D1762" s="5" t="s">
        <v>1206</v>
      </c>
      <c r="E1762" s="5" t="s">
        <v>13853</v>
      </c>
      <c r="F1762" s="5" t="s">
        <v>212</v>
      </c>
      <c r="G1762" s="5" t="s">
        <v>13854</v>
      </c>
      <c r="H1762" s="6" t="s">
        <v>13855</v>
      </c>
      <c r="K1762" s="5" t="s">
        <v>13849</v>
      </c>
      <c r="M1762" s="5" t="s">
        <v>13856</v>
      </c>
      <c r="N1762" s="7" t="s">
        <v>13857</v>
      </c>
      <c r="O1762" s="8" t="str">
        <f>HYPERLINK("https://drive.google.com/file/d/1W4BijnAnpl7cGWkQ5ISZTRCTiGw-pUGJ/view?usp=drivesdk","1761_WAHYU ESI DILIYANTI  _ SERTIFIKAT BIMTEK IPASN BerAKHLASK")</f>
        <v>1761_WAHYU ESI DILIYANTI  _ SERTIFIKAT BIMTEK IPASN BerAKHLASK</v>
      </c>
      <c r="P1762" s="5" t="s">
        <v>13852</v>
      </c>
      <c r="Q1762" s="5"/>
      <c r="R1762" s="5"/>
      <c r="S1762" s="5"/>
      <c r="T1762" s="5"/>
    </row>
    <row r="1763" hidden="1">
      <c r="A1763" s="4">
        <v>45534.336771898146</v>
      </c>
      <c r="B1763" s="5" t="s">
        <v>19</v>
      </c>
      <c r="C1763" s="5" t="s">
        <v>20</v>
      </c>
      <c r="E1763" s="5" t="s">
        <v>13858</v>
      </c>
      <c r="F1763" s="5" t="s">
        <v>524</v>
      </c>
      <c r="G1763" s="5" t="s">
        <v>13859</v>
      </c>
      <c r="H1763" s="6" t="s">
        <v>13860</v>
      </c>
      <c r="I1763" s="7" t="s">
        <v>13861</v>
      </c>
      <c r="J1763" s="8" t="str">
        <f>HYPERLINK("https://drive.google.com/file/d/1wiDpbQco1OVbYSLvbuZrUEknJiIIgUfH/view?usp=drivesdk","SARIFAH MUHDIYATI, M.Tr.Ap SERTIFIKAT BerAKHLAK")</f>
        <v>SARIFAH MUHDIYATI, M.Tr.Ap SERTIFIKAT BerAKHLAK</v>
      </c>
      <c r="K1763" s="5" t="s">
        <v>13050</v>
      </c>
      <c r="L1763" s="5" t="s">
        <v>13862</v>
      </c>
      <c r="M1763" s="5" t="s">
        <v>13863</v>
      </c>
      <c r="N1763" s="7" t="s">
        <v>13864</v>
      </c>
      <c r="O1763" s="8" t="str">
        <f>HYPERLINK("https://drive.google.com/file/d/11SKngUIvG_lmZ9as5XE7Z09YDXRrgytN/view?usp=drivesdk","1762_SARIFAH MUHDIYATI, M.Tr.Ap _ SERTIFIKAT BIMTEK IPASN BerAKHLASK")</f>
        <v>1762_SARIFAH MUHDIYATI, M.Tr.Ap _ SERTIFIKAT BIMTEK IPASN BerAKHLASK</v>
      </c>
      <c r="P1763" s="5" t="s">
        <v>13852</v>
      </c>
      <c r="Q1763" s="5"/>
      <c r="R1763" s="5"/>
      <c r="S1763" s="5"/>
      <c r="T1763" s="5"/>
    </row>
    <row r="1764">
      <c r="A1764" s="4">
        <v>45534.336805706014</v>
      </c>
      <c r="B1764" s="5" t="s">
        <v>34</v>
      </c>
      <c r="D1764" s="5" t="s">
        <v>1768</v>
      </c>
      <c r="E1764" s="5" t="s">
        <v>13865</v>
      </c>
      <c r="F1764" s="5" t="s">
        <v>524</v>
      </c>
      <c r="G1764" s="5" t="s">
        <v>13866</v>
      </c>
      <c r="H1764" s="6" t="s">
        <v>13867</v>
      </c>
      <c r="I1764" s="7" t="s">
        <v>13868</v>
      </c>
      <c r="J1764" s="8" t="str">
        <f>HYPERLINK("https://drive.google.com/file/d/1krTjnfDjZ6wEcHJZOaZvBbgcPWIZOyhI/view?usp=drivesdk","ATIK KUSUMANINGRUM SERTIFIKAT BerAKHLAK")</f>
        <v>ATIK KUSUMANINGRUM SERTIFIKAT BerAKHLAK</v>
      </c>
      <c r="K1764" s="5" t="s">
        <v>13050</v>
      </c>
      <c r="L1764" s="5" t="s">
        <v>13869</v>
      </c>
      <c r="M1764" s="5" t="s">
        <v>13870</v>
      </c>
      <c r="N1764" s="7" t="s">
        <v>13871</v>
      </c>
      <c r="O1764" s="8" t="str">
        <f>HYPERLINK("https://drive.google.com/file/d/1AqDC8TZnGVqXe3iyykR998Vsu_JUCsCA/view?usp=drivesdk","1763_ATIK KUSUMANINGRUM _ SERTIFIKAT BIMTEK IPASN BerAKHLASK")</f>
        <v>1763_ATIK KUSUMANINGRUM _ SERTIFIKAT BIMTEK IPASN BerAKHLASK</v>
      </c>
      <c r="P1764" s="5" t="s">
        <v>13852</v>
      </c>
      <c r="Q1764" s="5"/>
      <c r="R1764" s="5"/>
      <c r="S1764" s="5"/>
      <c r="T1764" s="5"/>
    </row>
    <row r="1765">
      <c r="A1765" s="4">
        <v>45534.33682540509</v>
      </c>
      <c r="B1765" s="5" t="s">
        <v>34</v>
      </c>
      <c r="D1765" s="5" t="s">
        <v>267</v>
      </c>
      <c r="E1765" s="5" t="s">
        <v>13872</v>
      </c>
      <c r="F1765" s="5" t="s">
        <v>212</v>
      </c>
      <c r="G1765" s="5" t="s">
        <v>13873</v>
      </c>
      <c r="H1765" s="6" t="s">
        <v>13874</v>
      </c>
      <c r="I1765" s="7" t="s">
        <v>13875</v>
      </c>
      <c r="J1765" s="8" t="str">
        <f>HYPERLINK("https://drive.google.com/file/d/1RIYD8oluKcrSLnzI4NHokuR3ocNzdg-P/view?usp=drivesdk","UNI AGUS WIRATNA SERTIFIKAT BerAKHLAK")</f>
        <v>UNI AGUS WIRATNA SERTIFIKAT BerAKHLAK</v>
      </c>
      <c r="K1765" s="5" t="s">
        <v>13050</v>
      </c>
      <c r="L1765" s="5" t="s">
        <v>13876</v>
      </c>
      <c r="M1765" s="5" t="s">
        <v>13877</v>
      </c>
      <c r="N1765" s="7" t="s">
        <v>13878</v>
      </c>
      <c r="O1765" s="8" t="str">
        <f>HYPERLINK("https://drive.google.com/file/d/1-24y7wOUaWQpWss8npwQ5OnykM6NNZ_a/view?usp=drivesdk","1764_UNI AGUS WIRATNA _ SERTIFIKAT BIMTEK IPASN BerAKHLASK")</f>
        <v>1764_UNI AGUS WIRATNA _ SERTIFIKAT BIMTEK IPASN BerAKHLASK</v>
      </c>
      <c r="P1765" s="5" t="s">
        <v>13852</v>
      </c>
      <c r="Q1765" s="5"/>
      <c r="R1765" s="5"/>
      <c r="S1765" s="5"/>
      <c r="T1765" s="5"/>
    </row>
    <row r="1766">
      <c r="A1766" s="4">
        <v>45534.336837766205</v>
      </c>
      <c r="B1766" s="5" t="s">
        <v>34</v>
      </c>
      <c r="D1766" s="5" t="s">
        <v>6232</v>
      </c>
      <c r="E1766" s="5" t="s">
        <v>13879</v>
      </c>
      <c r="F1766" s="5" t="s">
        <v>37</v>
      </c>
      <c r="G1766" s="5" t="s">
        <v>13880</v>
      </c>
      <c r="H1766" s="6" t="s">
        <v>13881</v>
      </c>
      <c r="I1766" s="7" t="s">
        <v>13882</v>
      </c>
      <c r="J1766" s="8" t="str">
        <f>HYPERLINK("https://drive.google.com/file/d/1JJBacU-LVrsoXx6g_FZPqcvGwB9_6FZP/view?usp=drivesdk","MUHAMMAD IQBAL,AM.Rad SERTIFIKAT BerAKHLAK")</f>
        <v>MUHAMMAD IQBAL,AM.Rad SERTIFIKAT BerAKHLAK</v>
      </c>
      <c r="K1766" s="5" t="s">
        <v>13050</v>
      </c>
      <c r="L1766" s="5" t="s">
        <v>13883</v>
      </c>
      <c r="M1766" s="5" t="s">
        <v>13884</v>
      </c>
      <c r="N1766" s="7" t="s">
        <v>13885</v>
      </c>
      <c r="O1766" s="8" t="str">
        <f>HYPERLINK("https://drive.google.com/file/d/1JbVRDrb7GtuAXpZQNJqhcp-VH3zIM33a/view?usp=drivesdk","1765_MUHAMMAD IQBAL,AM.Rad _ SERTIFIKAT BIMTEK IPASN BerAKHLASK")</f>
        <v>1765_MUHAMMAD IQBAL,AM.Rad _ SERTIFIKAT BIMTEK IPASN BerAKHLASK</v>
      </c>
      <c r="P1766" s="5" t="s">
        <v>13852</v>
      </c>
      <c r="Q1766" s="5"/>
      <c r="R1766" s="5"/>
      <c r="S1766" s="5"/>
      <c r="T1766" s="5"/>
    </row>
    <row r="1767">
      <c r="A1767" s="4">
        <v>45534.336849155094</v>
      </c>
      <c r="B1767" s="5" t="s">
        <v>34</v>
      </c>
      <c r="D1767" s="5" t="s">
        <v>996</v>
      </c>
      <c r="E1767" s="5" t="s">
        <v>13886</v>
      </c>
      <c r="F1767" s="5" t="s">
        <v>108</v>
      </c>
      <c r="G1767" s="5" t="s">
        <v>13887</v>
      </c>
      <c r="H1767" s="6" t="s">
        <v>13888</v>
      </c>
      <c r="I1767" s="7" t="s">
        <v>13889</v>
      </c>
      <c r="J1767" s="8" t="str">
        <f>HYPERLINK("https://drive.google.com/file/d/16T8b1BDFW-OK3bZ30UGOIihS2OYTPDNU/view?usp=drivesdk","YUNI EKO STIAWATI, A.MD SERTIFIKAT BerAKHLAK")</f>
        <v>YUNI EKO STIAWATI, A.MD SERTIFIKAT BerAKHLAK</v>
      </c>
      <c r="K1767" s="5" t="s">
        <v>13050</v>
      </c>
      <c r="L1767" s="5" t="s">
        <v>13890</v>
      </c>
      <c r="M1767" s="5" t="s">
        <v>13891</v>
      </c>
      <c r="N1767" s="7" t="s">
        <v>13892</v>
      </c>
      <c r="O1767" s="8" t="str">
        <f>HYPERLINK("https://drive.google.com/file/d/1nno6wltujV6WCc45t2LgGKDUpT8qQy6P/view?usp=drivesdk","1766_YUNI EKO STIAWATI, A.MD _ SERTIFIKAT BIMTEK IPASN BerAKHLASK")</f>
        <v>1766_YUNI EKO STIAWATI, A.MD _ SERTIFIKAT BIMTEK IPASN BerAKHLASK</v>
      </c>
      <c r="P1767" s="5" t="s">
        <v>13893</v>
      </c>
      <c r="Q1767" s="5"/>
      <c r="R1767" s="5"/>
      <c r="S1767" s="5"/>
      <c r="T1767" s="5"/>
    </row>
    <row r="1768">
      <c r="A1768" s="4">
        <v>45534.33685569445</v>
      </c>
      <c r="B1768" s="5" t="s">
        <v>34</v>
      </c>
      <c r="D1768" s="5" t="s">
        <v>35</v>
      </c>
      <c r="E1768" s="5" t="s">
        <v>13894</v>
      </c>
      <c r="F1768" s="5" t="s">
        <v>524</v>
      </c>
      <c r="G1768" s="5" t="s">
        <v>13895</v>
      </c>
      <c r="H1768" s="6" t="s">
        <v>13896</v>
      </c>
      <c r="K1768" s="5" t="s">
        <v>13897</v>
      </c>
      <c r="M1768" s="5" t="s">
        <v>13898</v>
      </c>
      <c r="N1768" s="7" t="s">
        <v>13899</v>
      </c>
      <c r="O1768" s="8" t="str">
        <f>HYPERLINK("https://drive.google.com/file/d/1U5WIR2J1-Rypos-gXptQ9VBLDHqAzqzC/view?usp=drivesdk","1767_WIWIN WINDU WULAN _ SERTIFIKAT BIMTEK IPASN BerAKHLASK")</f>
        <v>1767_WIWIN WINDU WULAN _ SERTIFIKAT BIMTEK IPASN BerAKHLASK</v>
      </c>
      <c r="P1768" s="5" t="s">
        <v>13893</v>
      </c>
      <c r="Q1768" s="5"/>
      <c r="R1768" s="5"/>
      <c r="S1768" s="5"/>
      <c r="T1768" s="5"/>
    </row>
    <row r="1769">
      <c r="A1769" s="4">
        <v>45534.33685445602</v>
      </c>
      <c r="B1769" s="5" t="s">
        <v>34</v>
      </c>
      <c r="D1769" s="5" t="s">
        <v>701</v>
      </c>
      <c r="E1769" s="5" t="s">
        <v>13900</v>
      </c>
      <c r="F1769" s="5" t="s">
        <v>37</v>
      </c>
      <c r="G1769" s="5" t="s">
        <v>13901</v>
      </c>
      <c r="H1769" s="6" t="s">
        <v>13902</v>
      </c>
      <c r="K1769" s="5" t="s">
        <v>13897</v>
      </c>
      <c r="M1769" s="5" t="s">
        <v>13903</v>
      </c>
      <c r="N1769" s="7" t="s">
        <v>13904</v>
      </c>
      <c r="O1769" s="8" t="str">
        <f>HYPERLINK("https://drive.google.com/file/d/1ZI5iEOtaL2cGoyR1ZW1T1rlgtihrGL7b/view?usp=drivesdk","1768_RIMA ANGGRIANI,A.Md.Kep _ SERTIFIKAT BIMTEK IPASN BerAKHLASK")</f>
        <v>1768_RIMA ANGGRIANI,A.Md.Kep _ SERTIFIKAT BIMTEK IPASN BerAKHLASK</v>
      </c>
      <c r="P1769" s="5" t="s">
        <v>13893</v>
      </c>
      <c r="Q1769" s="5"/>
      <c r="R1769" s="5"/>
      <c r="S1769" s="5"/>
      <c r="T1769" s="5"/>
    </row>
    <row r="1770">
      <c r="A1770" s="4">
        <v>45534.336865405094</v>
      </c>
      <c r="B1770" s="5" t="s">
        <v>34</v>
      </c>
      <c r="D1770" s="5" t="s">
        <v>9020</v>
      </c>
      <c r="E1770" s="5" t="s">
        <v>13905</v>
      </c>
      <c r="F1770" s="5" t="s">
        <v>212</v>
      </c>
      <c r="G1770" s="5" t="s">
        <v>13906</v>
      </c>
      <c r="H1770" s="6" t="s">
        <v>13907</v>
      </c>
      <c r="K1770" s="5" t="s">
        <v>13897</v>
      </c>
      <c r="M1770" s="5" t="s">
        <v>13908</v>
      </c>
      <c r="N1770" s="7" t="s">
        <v>13909</v>
      </c>
      <c r="O1770" s="8" t="str">
        <f>HYPERLINK("https://drive.google.com/file/d/1A4kOLOC1lLkE-ibmqOQQW88Pkxv54yzr/view?usp=drivesdk","1769_MUHAMMAD YAMIN  _ SERTIFIKAT BIMTEK IPASN BerAKHLASK")</f>
        <v>1769_MUHAMMAD YAMIN  _ SERTIFIKAT BIMTEK IPASN BerAKHLASK</v>
      </c>
      <c r="P1770" s="5" t="s">
        <v>13893</v>
      </c>
      <c r="Q1770" s="5"/>
      <c r="R1770" s="5"/>
      <c r="S1770" s="5"/>
      <c r="T1770" s="5"/>
    </row>
    <row r="1771">
      <c r="A1771" s="4">
        <v>45534.33689738426</v>
      </c>
      <c r="B1771" s="5" t="s">
        <v>34</v>
      </c>
      <c r="D1771" s="5" t="s">
        <v>701</v>
      </c>
      <c r="E1771" s="5" t="s">
        <v>13910</v>
      </c>
      <c r="F1771" s="5" t="s">
        <v>37</v>
      </c>
      <c r="G1771" s="5" t="s">
        <v>13911</v>
      </c>
      <c r="H1771" s="6" t="s">
        <v>13912</v>
      </c>
      <c r="I1771" s="7" t="s">
        <v>13913</v>
      </c>
      <c r="J1771" s="8" t="str">
        <f>HYPERLINK("https://drive.google.com/file/d/1whNcV51DJ2zS1GLIuJL1g64uc0HQapsN/view?usp=drivesdk","DELIA FUTRI AMD KEP SERTIFIKAT BerAKHLAK")</f>
        <v>DELIA FUTRI AMD KEP SERTIFIKAT BerAKHLAK</v>
      </c>
      <c r="K1771" s="5" t="s">
        <v>13050</v>
      </c>
      <c r="L1771" s="5" t="s">
        <v>13914</v>
      </c>
      <c r="M1771" s="5" t="s">
        <v>13915</v>
      </c>
      <c r="N1771" s="7" t="s">
        <v>13916</v>
      </c>
      <c r="O1771" s="8" t="str">
        <f>HYPERLINK("https://drive.google.com/file/d/1JSthrtSAlsa-P8aZZNgdap9bVUczRt_M/view?usp=drivesdk","1770_DELIA FUTRI AMD KEP _ SERTIFIKAT BIMTEK IPASN BerAKHLASK")</f>
        <v>1770_DELIA FUTRI AMD KEP _ SERTIFIKAT BIMTEK IPASN BerAKHLASK</v>
      </c>
      <c r="P1771" s="5" t="s">
        <v>13893</v>
      </c>
      <c r="Q1771" s="5"/>
      <c r="R1771" s="5"/>
      <c r="S1771" s="5"/>
      <c r="T1771" s="5"/>
    </row>
    <row r="1772">
      <c r="A1772" s="4">
        <v>45534.33690357639</v>
      </c>
      <c r="B1772" s="5" t="s">
        <v>34</v>
      </c>
      <c r="D1772" s="5" t="s">
        <v>522</v>
      </c>
      <c r="E1772" s="5" t="s">
        <v>13917</v>
      </c>
      <c r="F1772" s="5" t="s">
        <v>120</v>
      </c>
      <c r="G1772" s="5" t="s">
        <v>13918</v>
      </c>
      <c r="H1772" s="6" t="s">
        <v>13919</v>
      </c>
      <c r="I1772" s="7" t="s">
        <v>13920</v>
      </c>
      <c r="J1772" s="8" t="str">
        <f>HYPERLINK("https://drive.google.com/file/d/1K79Liu_0lKeVW-deh4XAS7AgS8ulDjkq/view?usp=drivesdk","JOKO MUSTOPO, S.KOM SERTIFIKAT BerAKHLAK")</f>
        <v>JOKO MUSTOPO, S.KOM SERTIFIKAT BerAKHLAK</v>
      </c>
      <c r="K1772" s="5" t="s">
        <v>13050</v>
      </c>
      <c r="L1772" s="5" t="s">
        <v>13921</v>
      </c>
      <c r="M1772" s="5" t="s">
        <v>13922</v>
      </c>
      <c r="N1772" s="7" t="s">
        <v>13923</v>
      </c>
      <c r="O1772" s="8" t="str">
        <f>HYPERLINK("https://drive.google.com/file/d/19MEvjWVVT4Q9lxaJV4wnG3Sh3Ag3tRr5/view?usp=drivesdk","1771_JOKO MUSTOPO, S.KOM _ SERTIFIKAT BIMTEK IPASN BerAKHLASK")</f>
        <v>1771_JOKO MUSTOPO, S.KOM _ SERTIFIKAT BIMTEK IPASN BerAKHLASK</v>
      </c>
      <c r="P1772" s="5" t="s">
        <v>13924</v>
      </c>
      <c r="Q1772" s="5"/>
      <c r="R1772" s="5"/>
      <c r="S1772" s="5"/>
      <c r="T1772" s="5"/>
    </row>
    <row r="1773" hidden="1">
      <c r="A1773" s="4">
        <v>45534.33690589121</v>
      </c>
      <c r="B1773" s="5" t="s">
        <v>19</v>
      </c>
      <c r="C1773" s="5" t="s">
        <v>1498</v>
      </c>
      <c r="E1773" s="5" t="s">
        <v>13925</v>
      </c>
      <c r="F1773" s="5" t="s">
        <v>524</v>
      </c>
      <c r="G1773" s="5" t="s">
        <v>13926</v>
      </c>
      <c r="H1773" s="6" t="s">
        <v>13927</v>
      </c>
      <c r="K1773" s="5" t="s">
        <v>13928</v>
      </c>
      <c r="M1773" s="5" t="s">
        <v>13929</v>
      </c>
      <c r="N1773" s="7" t="s">
        <v>13930</v>
      </c>
      <c r="O1773" s="8" t="str">
        <f>HYPERLINK("https://drive.google.com/file/d/1mEjd-jLtqHQl8wV3yAcaSKgE9dYk07QP/view?usp=drivesdk","1772_NOVI MAULIDA, S.AK _ SERTIFIKAT BIMTEK IPASN BerAKHLASK")</f>
        <v>1772_NOVI MAULIDA, S.AK _ SERTIFIKAT BIMTEK IPASN BerAKHLASK</v>
      </c>
      <c r="P1773" s="5" t="s">
        <v>13924</v>
      </c>
      <c r="Q1773" s="5"/>
      <c r="R1773" s="5"/>
      <c r="S1773" s="5"/>
      <c r="T1773" s="5"/>
    </row>
    <row r="1774">
      <c r="A1774" s="4">
        <v>45534.336924930554</v>
      </c>
      <c r="B1774" s="5" t="s">
        <v>34</v>
      </c>
      <c r="D1774" s="5" t="s">
        <v>975</v>
      </c>
      <c r="E1774" s="5" t="s">
        <v>13931</v>
      </c>
      <c r="F1774" s="5" t="s">
        <v>212</v>
      </c>
      <c r="G1774" s="5" t="s">
        <v>13932</v>
      </c>
      <c r="H1774" s="6" t="s">
        <v>13933</v>
      </c>
      <c r="I1774" s="7" t="s">
        <v>13934</v>
      </c>
      <c r="J1774" s="8" t="str">
        <f>HYPERLINK("https://drive.google.com/file/d/1q6PhMLB4dPNAC896q8FwgcFeLm4D_Dpz/view?usp=drivesdk","MURNIANUR AMDKEB SERTIFIKAT BerAKHLAK")</f>
        <v>MURNIANUR AMDKEB SERTIFIKAT BerAKHLAK</v>
      </c>
      <c r="K1774" s="5" t="s">
        <v>13050</v>
      </c>
      <c r="L1774" s="5" t="s">
        <v>13935</v>
      </c>
      <c r="M1774" s="5" t="s">
        <v>13936</v>
      </c>
      <c r="N1774" s="7" t="s">
        <v>13937</v>
      </c>
      <c r="O1774" s="8" t="str">
        <f>HYPERLINK("https://drive.google.com/file/d/1Oee7dpGfY0aRW4owBEgYK95465bHZ1Dl/view?usp=drivesdk","1773_MURNIANUR AMDKEB _ SERTIFIKAT BIMTEK IPASN BerAKHLASK")</f>
        <v>1773_MURNIANUR AMDKEB _ SERTIFIKAT BIMTEK IPASN BerAKHLASK</v>
      </c>
      <c r="P1774" s="5" t="s">
        <v>13924</v>
      </c>
      <c r="Q1774" s="5"/>
      <c r="R1774" s="5"/>
      <c r="S1774" s="5"/>
      <c r="T1774" s="5"/>
    </row>
    <row r="1775">
      <c r="A1775" s="4">
        <v>45534.33693103009</v>
      </c>
      <c r="B1775" s="5" t="s">
        <v>34</v>
      </c>
      <c r="D1775" s="5" t="s">
        <v>35</v>
      </c>
      <c r="E1775" s="5" t="s">
        <v>13938</v>
      </c>
      <c r="F1775" s="5" t="s">
        <v>375</v>
      </c>
      <c r="G1775" s="5" t="s">
        <v>13939</v>
      </c>
      <c r="H1775" s="6" t="s">
        <v>13940</v>
      </c>
      <c r="I1775" s="7" t="s">
        <v>13941</v>
      </c>
      <c r="J1775" s="8" t="str">
        <f>HYPERLINK("https://drive.google.com/file/d/1nC-81TAetsEspUwRGCnqdL_CZyoj0FOt/view?usp=drivesdk","CECEP ASEP SAEPUDIN SE SERTIFIKAT BerAKHLAK")</f>
        <v>CECEP ASEP SAEPUDIN SE SERTIFIKAT BerAKHLAK</v>
      </c>
      <c r="K1775" s="5" t="s">
        <v>13050</v>
      </c>
      <c r="L1775" s="5" t="s">
        <v>13942</v>
      </c>
      <c r="M1775" s="5" t="s">
        <v>13943</v>
      </c>
      <c r="N1775" s="7" t="s">
        <v>13944</v>
      </c>
      <c r="O1775" s="8" t="str">
        <f>HYPERLINK("https://drive.google.com/file/d/1H4FNXYQX1PDkdjlTFS9Rc-wkxH7IIWPO/view?usp=drivesdk","1774_CECEP ASEP SAEPUDIN SE _ SERTIFIKAT BIMTEK IPASN BerAKHLASK")</f>
        <v>1774_CECEP ASEP SAEPUDIN SE _ SERTIFIKAT BIMTEK IPASN BerAKHLASK</v>
      </c>
      <c r="P1775" s="5" t="s">
        <v>13924</v>
      </c>
      <c r="Q1775" s="5"/>
      <c r="R1775" s="5"/>
      <c r="S1775" s="5"/>
      <c r="T1775" s="5"/>
    </row>
    <row r="1776">
      <c r="A1776" s="4">
        <v>45534.33693347222</v>
      </c>
      <c r="B1776" s="5" t="s">
        <v>34</v>
      </c>
      <c r="D1776" s="5" t="s">
        <v>35</v>
      </c>
      <c r="E1776" s="5" t="s">
        <v>13945</v>
      </c>
      <c r="F1776" s="5" t="s">
        <v>108</v>
      </c>
      <c r="G1776" s="5" t="s">
        <v>13946</v>
      </c>
      <c r="H1776" s="6" t="s">
        <v>13947</v>
      </c>
      <c r="K1776" s="5" t="s">
        <v>13948</v>
      </c>
      <c r="M1776" s="5" t="s">
        <v>13949</v>
      </c>
      <c r="N1776" s="7" t="s">
        <v>13950</v>
      </c>
      <c r="O1776" s="8" t="str">
        <f>HYPERLINK("https://drive.google.com/file/d/1N_j_6zYT6H-VNNXLjFNq05kgmITwxcrV/view?usp=drivesdk","1775_HAJI SAPRI HIDAYAT  _ SERTIFIKAT BIMTEK IPASN BerAKHLASK")</f>
        <v>1775_HAJI SAPRI HIDAYAT  _ SERTIFIKAT BIMTEK IPASN BerAKHLASK</v>
      </c>
      <c r="P1776" s="5" t="s">
        <v>13924</v>
      </c>
      <c r="Q1776" s="5"/>
      <c r="R1776" s="5"/>
      <c r="S1776" s="5"/>
      <c r="T1776" s="5"/>
    </row>
    <row r="1777">
      <c r="A1777" s="4">
        <v>45534.336935486106</v>
      </c>
      <c r="B1777" s="5" t="s">
        <v>34</v>
      </c>
      <c r="D1777" s="5" t="s">
        <v>1206</v>
      </c>
      <c r="E1777" s="5" t="s">
        <v>13951</v>
      </c>
      <c r="F1777" s="5" t="s">
        <v>37</v>
      </c>
      <c r="G1777" s="5" t="s">
        <v>13952</v>
      </c>
      <c r="H1777" s="6" t="s">
        <v>13953</v>
      </c>
      <c r="K1777" s="5" t="s">
        <v>13948</v>
      </c>
      <c r="M1777" s="5" t="s">
        <v>13954</v>
      </c>
      <c r="N1777" s="7" t="s">
        <v>13955</v>
      </c>
      <c r="O1777" s="8" t="str">
        <f>HYPERLINK("https://drive.google.com/file/d/1Ncd-N13pqNlGxFoymVHdJ-KjUXTGNAYX/view?usp=drivesdk","1776_TAUFIQ HIDAYATTULLOH  _ SERTIFIKAT BIMTEK IPASN BerAKHLASK")</f>
        <v>1776_TAUFIQ HIDAYATTULLOH  _ SERTIFIKAT BIMTEK IPASN BerAKHLASK</v>
      </c>
      <c r="P1777" s="5" t="s">
        <v>11844</v>
      </c>
      <c r="Q1777" s="5"/>
      <c r="R1777" s="5"/>
      <c r="S1777" s="5"/>
      <c r="T1777" s="5"/>
    </row>
    <row r="1778" hidden="1">
      <c r="A1778" s="4">
        <v>45534.33694054398</v>
      </c>
      <c r="B1778" s="5" t="s">
        <v>19</v>
      </c>
      <c r="C1778" s="5" t="s">
        <v>20</v>
      </c>
      <c r="E1778" s="5" t="s">
        <v>13956</v>
      </c>
      <c r="F1778" s="5" t="s">
        <v>37</v>
      </c>
      <c r="G1778" s="5" t="s">
        <v>13957</v>
      </c>
      <c r="H1778" s="6" t="s">
        <v>13958</v>
      </c>
      <c r="K1778" s="5" t="s">
        <v>13948</v>
      </c>
      <c r="M1778" s="5" t="s">
        <v>13959</v>
      </c>
      <c r="N1778" s="7" t="s">
        <v>13960</v>
      </c>
      <c r="O1778" s="8" t="str">
        <f>HYPERLINK("https://drive.google.com/file/d/1s2hlIKQi2brIezk0J8ySPm60SLrDN-Ju/view?usp=drivesdk","1777_TANTOWI LILIK WIJAYANTO, A.MD _ SERTIFIKAT BIMTEK IPASN BerAKHLASK")</f>
        <v>1777_TANTOWI LILIK WIJAYANTO, A.MD _ SERTIFIKAT BIMTEK IPASN BerAKHLASK</v>
      </c>
      <c r="P1778" s="5" t="s">
        <v>11844</v>
      </c>
      <c r="Q1778" s="5"/>
      <c r="R1778" s="5"/>
      <c r="S1778" s="5"/>
      <c r="T1778" s="5"/>
    </row>
    <row r="1779">
      <c r="A1779" s="4">
        <v>45534.3369540162</v>
      </c>
      <c r="B1779" s="5" t="s">
        <v>34</v>
      </c>
      <c r="D1779" s="5" t="s">
        <v>4775</v>
      </c>
      <c r="E1779" s="5" t="s">
        <v>13961</v>
      </c>
      <c r="F1779" s="5" t="s">
        <v>212</v>
      </c>
      <c r="G1779" s="5" t="s">
        <v>13962</v>
      </c>
      <c r="H1779" s="6" t="s">
        <v>13963</v>
      </c>
      <c r="I1779" s="7" t="s">
        <v>13964</v>
      </c>
      <c r="J1779" s="8" t="str">
        <f>HYPERLINK("https://drive.google.com/file/d/1lOL5-AGkmLJJJ5GUQaiFN0UMDjsQiuMZ/view?usp=drivesdk","ANITA NUR AMALIYAH SERTIFIKAT BerAKHLAK")</f>
        <v>ANITA NUR AMALIYAH SERTIFIKAT BerAKHLAK</v>
      </c>
      <c r="K1779" s="5" t="s">
        <v>13050</v>
      </c>
      <c r="L1779" s="5" t="s">
        <v>13965</v>
      </c>
      <c r="M1779" s="5" t="s">
        <v>13966</v>
      </c>
      <c r="N1779" s="7" t="s">
        <v>13967</v>
      </c>
      <c r="O1779" s="8" t="str">
        <f>HYPERLINK("https://drive.google.com/file/d/1DiZZX7AEzsK2iKUpzXkvMUJUMN0qMkqI/view?usp=drivesdk","1778_ANITA NUR AMALIYAH _ SERTIFIKAT BIMTEK IPASN BerAKHLASK")</f>
        <v>1778_ANITA NUR AMALIYAH _ SERTIFIKAT BIMTEK IPASN BerAKHLASK</v>
      </c>
      <c r="P1779" s="5" t="s">
        <v>13968</v>
      </c>
      <c r="Q1779" s="5"/>
      <c r="R1779" s="5"/>
      <c r="S1779" s="5"/>
      <c r="T1779" s="5"/>
    </row>
    <row r="1780">
      <c r="A1780" s="4">
        <v>45534.336969247684</v>
      </c>
      <c r="B1780" s="5" t="s">
        <v>34</v>
      </c>
      <c r="D1780" s="5" t="s">
        <v>996</v>
      </c>
      <c r="E1780" s="5" t="s">
        <v>13969</v>
      </c>
      <c r="F1780" s="5" t="s">
        <v>37</v>
      </c>
      <c r="G1780" s="5" t="s">
        <v>13970</v>
      </c>
      <c r="H1780" s="6" t="s">
        <v>13971</v>
      </c>
      <c r="K1780" s="5" t="s">
        <v>13972</v>
      </c>
      <c r="M1780" s="5" t="s">
        <v>13973</v>
      </c>
      <c r="N1780" s="7" t="s">
        <v>13974</v>
      </c>
      <c r="O1780" s="8" t="str">
        <f>HYPERLINK("https://drive.google.com/file/d/1T-gX2gF3fsVy9M6SANU6X2frMKIxEVeT/view?usp=drivesdk","1779_IRMA AGUSVIANI, SE _ SERTIFIKAT BIMTEK IPASN BerAKHLASK")</f>
        <v>1779_IRMA AGUSVIANI, SE _ SERTIFIKAT BIMTEK IPASN BerAKHLASK</v>
      </c>
      <c r="P1780" s="5" t="s">
        <v>13968</v>
      </c>
      <c r="Q1780" s="5"/>
      <c r="R1780" s="5"/>
      <c r="S1780" s="5"/>
      <c r="T1780" s="5"/>
    </row>
    <row r="1781">
      <c r="A1781" s="4">
        <v>45534.336982824076</v>
      </c>
      <c r="B1781" s="5" t="s">
        <v>34</v>
      </c>
      <c r="D1781" s="5" t="s">
        <v>9020</v>
      </c>
      <c r="E1781" s="5" t="s">
        <v>13975</v>
      </c>
      <c r="F1781" s="5" t="s">
        <v>72</v>
      </c>
      <c r="G1781" s="5" t="s">
        <v>13976</v>
      </c>
      <c r="H1781" s="6" t="s">
        <v>13977</v>
      </c>
      <c r="K1781" s="5" t="s">
        <v>13972</v>
      </c>
      <c r="M1781" s="5" t="s">
        <v>13978</v>
      </c>
      <c r="N1781" s="7" t="s">
        <v>13979</v>
      </c>
      <c r="O1781" s="8" t="str">
        <f>HYPERLINK("https://drive.google.com/file/d/17Sum6ODFIwXa6I4nVonZBrEplfJmkzr3/view?usp=drivesdk","1780_RUT ESRA SOFIA SIRAIT _ SERTIFIKAT BIMTEK IPASN BerAKHLASK")</f>
        <v>1780_RUT ESRA SOFIA SIRAIT _ SERTIFIKAT BIMTEK IPASN BerAKHLASK</v>
      </c>
      <c r="P1781" s="5" t="s">
        <v>13968</v>
      </c>
      <c r="Q1781" s="5"/>
      <c r="R1781" s="5"/>
      <c r="S1781" s="5"/>
      <c r="T1781" s="5"/>
    </row>
    <row r="1782" hidden="1">
      <c r="A1782" s="4">
        <v>45534.33700380787</v>
      </c>
      <c r="B1782" s="5" t="s">
        <v>19</v>
      </c>
      <c r="C1782" s="5" t="s">
        <v>292</v>
      </c>
      <c r="E1782" s="5" t="s">
        <v>13980</v>
      </c>
      <c r="F1782" s="5" t="s">
        <v>375</v>
      </c>
      <c r="G1782" s="5" t="s">
        <v>13981</v>
      </c>
      <c r="H1782" s="6" t="s">
        <v>13982</v>
      </c>
      <c r="I1782" s="7" t="s">
        <v>13983</v>
      </c>
      <c r="J1782" s="8" t="str">
        <f>HYPERLINK("https://drive.google.com/file/d/12maLUwnbL_Zf_1vRBlzsQeoSMmGNDXCy/view?usp=drivesdk","ENI WAHYUNUGRAYATI, S.H., M.H. SERTIFIKAT BerAKHLAK")</f>
        <v>ENI WAHYUNUGRAYATI, S.H., M.H. SERTIFIKAT BerAKHLAK</v>
      </c>
      <c r="K1782" s="5" t="s">
        <v>13050</v>
      </c>
      <c r="L1782" s="5" t="s">
        <v>13984</v>
      </c>
      <c r="M1782" s="5" t="s">
        <v>13985</v>
      </c>
      <c r="N1782" s="7" t="s">
        <v>13986</v>
      </c>
      <c r="O1782" s="8" t="str">
        <f>HYPERLINK("https://drive.google.com/file/d/1cBwjg0kWAVYcFxVgL-y7TpDRA4JV6i4M/view?usp=drivesdk","1781_ENI WAHYUNUGRAYATI, S.H., M.H. _ SERTIFIKAT BIMTEK IPASN BerAKHLASK")</f>
        <v>1781_ENI WAHYUNUGRAYATI, S.H., M.H. _ SERTIFIKAT BIMTEK IPASN BerAKHLASK</v>
      </c>
      <c r="P1782" s="5" t="s">
        <v>13968</v>
      </c>
      <c r="Q1782" s="5"/>
      <c r="R1782" s="5"/>
      <c r="S1782" s="5"/>
      <c r="T1782" s="5"/>
    </row>
    <row r="1783">
      <c r="A1783" s="4">
        <v>45534.33701820602</v>
      </c>
      <c r="B1783" s="5" t="s">
        <v>34</v>
      </c>
      <c r="D1783" s="5" t="s">
        <v>4775</v>
      </c>
      <c r="E1783" s="5" t="s">
        <v>13987</v>
      </c>
      <c r="F1783" s="5" t="s">
        <v>37</v>
      </c>
      <c r="G1783" s="5" t="s">
        <v>13988</v>
      </c>
      <c r="H1783" s="6" t="s">
        <v>13989</v>
      </c>
      <c r="I1783" s="7" t="s">
        <v>13990</v>
      </c>
      <c r="J1783" s="8" t="str">
        <f>HYPERLINK("https://drive.google.com/file/d/1K4FQGWyvgtEEfjNccm-PEwjhAYRvkrfW/view?usp=drivesdk","MEI SUCI WULANDARI, A.Md. SERTIFIKAT BerAKHLAK")</f>
        <v>MEI SUCI WULANDARI, A.Md. SERTIFIKAT BerAKHLAK</v>
      </c>
      <c r="K1783" s="5" t="s">
        <v>13050</v>
      </c>
      <c r="L1783" s="5" t="s">
        <v>13991</v>
      </c>
      <c r="M1783" s="5" t="s">
        <v>13992</v>
      </c>
      <c r="N1783" s="7" t="s">
        <v>13993</v>
      </c>
      <c r="O1783" s="8" t="str">
        <f>HYPERLINK("https://drive.google.com/file/d/1fLASb9EMQgK3pALX4JybTBjOLpxsJhaQ/view?usp=drivesdk","1782_MEI SUCI WULANDARI, A.Md. _ SERTIFIKAT BIMTEK IPASN BerAKHLASK")</f>
        <v>1782_MEI SUCI WULANDARI, A.Md. _ SERTIFIKAT BIMTEK IPASN BerAKHLASK</v>
      </c>
      <c r="P1783" s="5" t="s">
        <v>13968</v>
      </c>
      <c r="Q1783" s="5"/>
      <c r="R1783" s="5"/>
      <c r="S1783" s="5"/>
      <c r="T1783" s="5"/>
    </row>
    <row r="1784">
      <c r="A1784" s="4">
        <v>45534.33702814815</v>
      </c>
      <c r="B1784" s="5" t="s">
        <v>34</v>
      </c>
      <c r="D1784" s="5" t="s">
        <v>12010</v>
      </c>
      <c r="E1784" s="5" t="s">
        <v>13994</v>
      </c>
      <c r="F1784" s="5" t="s">
        <v>524</v>
      </c>
      <c r="G1784" s="5" t="s">
        <v>13995</v>
      </c>
      <c r="H1784" s="6" t="s">
        <v>13996</v>
      </c>
      <c r="K1784" s="5" t="s">
        <v>13997</v>
      </c>
      <c r="M1784" s="5" t="s">
        <v>13998</v>
      </c>
      <c r="N1784" s="7" t="s">
        <v>13999</v>
      </c>
      <c r="O1784" s="8" t="str">
        <f>HYPERLINK("https://drive.google.com/file/d/1pv6Fg2o0xjq9AvWFmYQVMIwsS27MvEkd/view?usp=drivesdk","1783_NADILA PUTRIWATI LAMANTA,S.Kep.Ns _ SERTIFIKAT BIMTEK IPASN BerAKHLASK")</f>
        <v>1783_NADILA PUTRIWATI LAMANTA,S.Kep.Ns _ SERTIFIKAT BIMTEK IPASN BerAKHLASK</v>
      </c>
      <c r="P1784" s="5" t="s">
        <v>13968</v>
      </c>
      <c r="Q1784" s="5"/>
      <c r="R1784" s="5"/>
      <c r="S1784" s="5"/>
      <c r="T1784" s="5"/>
    </row>
    <row r="1785" hidden="1">
      <c r="A1785" s="4">
        <v>45534.33702925926</v>
      </c>
      <c r="B1785" s="5" t="s">
        <v>19</v>
      </c>
      <c r="C1785" s="5" t="s">
        <v>14000</v>
      </c>
      <c r="E1785" s="5" t="s">
        <v>14001</v>
      </c>
      <c r="F1785" s="5" t="s">
        <v>37</v>
      </c>
      <c r="G1785" s="5" t="s">
        <v>14002</v>
      </c>
      <c r="H1785" s="6" t="s">
        <v>14003</v>
      </c>
      <c r="K1785" s="5" t="s">
        <v>13997</v>
      </c>
      <c r="M1785" s="5" t="s">
        <v>14004</v>
      </c>
      <c r="N1785" s="7" t="s">
        <v>14005</v>
      </c>
      <c r="O1785" s="8" t="str">
        <f>HYPERLINK("https://drive.google.com/file/d/1Ll4wjfWBgeh2wij-aEpKM1wuV6e6jpmk/view?usp=drivesdk","1784_ELA NOVITA SARI, A.Md.Ak. _ SERTIFIKAT BIMTEK IPASN BerAKHLASK")</f>
        <v>1784_ELA NOVITA SARI, A.Md.Ak. _ SERTIFIKAT BIMTEK IPASN BerAKHLASK</v>
      </c>
      <c r="P1785" s="5" t="s">
        <v>14006</v>
      </c>
      <c r="Q1785" s="5"/>
      <c r="R1785" s="5"/>
      <c r="S1785" s="5"/>
      <c r="T1785" s="5"/>
    </row>
    <row r="1786">
      <c r="A1786" s="4">
        <v>45534.33703030093</v>
      </c>
      <c r="B1786" s="5" t="s">
        <v>34</v>
      </c>
      <c r="D1786" s="5" t="s">
        <v>35</v>
      </c>
      <c r="E1786" s="5" t="s">
        <v>9209</v>
      </c>
      <c r="F1786" s="5" t="s">
        <v>524</v>
      </c>
      <c r="G1786" s="5" t="s">
        <v>14007</v>
      </c>
      <c r="H1786" s="6" t="s">
        <v>14008</v>
      </c>
      <c r="I1786" s="7" t="s">
        <v>14009</v>
      </c>
      <c r="J1786" s="8" t="str">
        <f>HYPERLINK("https://drive.google.com/file/d/1bxgscf0tjhJxdWiWBzosNPIdQ6-UKE7Z/view?usp=drivesdk","DWI SETYOWATI SERTIFIKAT BerAKHLAK")</f>
        <v>DWI SETYOWATI SERTIFIKAT BerAKHLAK</v>
      </c>
      <c r="K1786" s="5" t="s">
        <v>13050</v>
      </c>
      <c r="L1786" s="5" t="s">
        <v>14010</v>
      </c>
      <c r="M1786" s="5" t="s">
        <v>14011</v>
      </c>
      <c r="N1786" s="7" t="s">
        <v>14012</v>
      </c>
      <c r="O1786" s="8" t="str">
        <f>HYPERLINK("https://drive.google.com/file/d/1nA4nwiuA6luhJ98DQPns5L_CT8Cr2Fkw/view?usp=drivesdk","1785_DWI SETYOWATI _ SERTIFIKAT BIMTEK IPASN BerAKHLASK")</f>
        <v>1785_DWI SETYOWATI _ SERTIFIKAT BIMTEK IPASN BerAKHLASK</v>
      </c>
      <c r="P1786" s="5" t="s">
        <v>14006</v>
      </c>
      <c r="Q1786" s="5"/>
      <c r="R1786" s="5"/>
      <c r="S1786" s="5"/>
      <c r="T1786" s="5"/>
    </row>
    <row r="1787">
      <c r="A1787" s="4">
        <v>45534.337050625</v>
      </c>
      <c r="B1787" s="5" t="s">
        <v>34</v>
      </c>
      <c r="D1787" s="5" t="s">
        <v>4775</v>
      </c>
      <c r="E1787" s="5" t="s">
        <v>14013</v>
      </c>
      <c r="F1787" s="5" t="s">
        <v>37</v>
      </c>
      <c r="G1787" s="5" t="s">
        <v>14014</v>
      </c>
      <c r="H1787" s="6" t="s">
        <v>14015</v>
      </c>
      <c r="I1787" s="7" t="s">
        <v>14016</v>
      </c>
      <c r="J1787" s="8" t="str">
        <f>HYPERLINK("https://drive.google.com/file/d/1-9WhgO8QxP3ULDWzIGDhH-kb3IMnzRmB/view?usp=drivesdk","DWI PUTRI INDAH ROSYAWATI SERTIFIKAT BerAKHLAK")</f>
        <v>DWI PUTRI INDAH ROSYAWATI SERTIFIKAT BerAKHLAK</v>
      </c>
      <c r="K1787" s="5" t="s">
        <v>13050</v>
      </c>
      <c r="L1787" s="5" t="s">
        <v>14017</v>
      </c>
      <c r="M1787" s="5" t="s">
        <v>14018</v>
      </c>
      <c r="N1787" s="7" t="s">
        <v>14019</v>
      </c>
      <c r="O1787" s="8" t="str">
        <f>HYPERLINK("https://drive.google.com/file/d/1o2O8UBYznnMPbolXe04xjDYSJtemwA0E/view?usp=drivesdk","1786_DWI PUTRI INDAH ROSYAWATI _ SERTIFIKAT BIMTEK IPASN BerAKHLASK")</f>
        <v>1786_DWI PUTRI INDAH ROSYAWATI _ SERTIFIKAT BIMTEK IPASN BerAKHLASK</v>
      </c>
      <c r="P1787" s="5" t="s">
        <v>14006</v>
      </c>
      <c r="Q1787" s="5"/>
      <c r="R1787" s="5"/>
      <c r="S1787" s="5"/>
      <c r="T1787" s="5"/>
    </row>
    <row r="1788">
      <c r="A1788" s="4">
        <v>45534.33705077546</v>
      </c>
      <c r="B1788" s="5" t="s">
        <v>34</v>
      </c>
      <c r="D1788" s="5" t="s">
        <v>1206</v>
      </c>
      <c r="E1788" s="5" t="s">
        <v>14020</v>
      </c>
      <c r="F1788" s="5" t="s">
        <v>212</v>
      </c>
      <c r="G1788" s="5" t="s">
        <v>14021</v>
      </c>
      <c r="H1788" s="6" t="s">
        <v>14022</v>
      </c>
      <c r="K1788" s="5" t="s">
        <v>14023</v>
      </c>
      <c r="M1788" s="5" t="s">
        <v>14024</v>
      </c>
      <c r="N1788" s="7" t="s">
        <v>14025</v>
      </c>
      <c r="O1788" s="8" t="str">
        <f>HYPERLINK("https://drive.google.com/file/d/14oMUV12dBnXiZeaacIxHcOnjWBUf2nzM/view?usp=drivesdk","1787_SATUKI HADISUSANTO _ SERTIFIKAT BIMTEK IPASN BerAKHLASK")</f>
        <v>1787_SATUKI HADISUSANTO _ SERTIFIKAT BIMTEK IPASN BerAKHLASK</v>
      </c>
      <c r="P1788" s="5" t="s">
        <v>14006</v>
      </c>
      <c r="Q1788" s="5"/>
      <c r="R1788" s="5"/>
      <c r="S1788" s="5"/>
      <c r="T1788" s="5"/>
    </row>
    <row r="1789">
      <c r="A1789" s="4">
        <v>45534.33705364584</v>
      </c>
      <c r="B1789" s="5" t="s">
        <v>34</v>
      </c>
      <c r="D1789" s="5" t="s">
        <v>996</v>
      </c>
      <c r="E1789" s="5" t="s">
        <v>14026</v>
      </c>
      <c r="F1789" s="5" t="s">
        <v>524</v>
      </c>
      <c r="G1789" s="5" t="s">
        <v>14027</v>
      </c>
      <c r="H1789" s="6" t="s">
        <v>14028</v>
      </c>
      <c r="K1789" s="5" t="s">
        <v>14023</v>
      </c>
      <c r="M1789" s="5" t="s">
        <v>14029</v>
      </c>
      <c r="N1789" s="7" t="s">
        <v>14030</v>
      </c>
      <c r="O1789" s="8" t="str">
        <f>HYPERLINK("https://drive.google.com/file/d/1WAulABygH-ElHbqGYkvSLHPre6ZfGE6R/view?usp=drivesdk","1788_HENDRINA LAKBUR LAWAL _ SERTIFIKAT BIMTEK IPASN BerAKHLASK")</f>
        <v>1788_HENDRINA LAKBUR LAWAL _ SERTIFIKAT BIMTEK IPASN BerAKHLASK</v>
      </c>
      <c r="P1789" s="5" t="s">
        <v>14006</v>
      </c>
      <c r="Q1789" s="5"/>
      <c r="R1789" s="5"/>
      <c r="S1789" s="5"/>
      <c r="T1789" s="5"/>
    </row>
    <row r="1790" hidden="1">
      <c r="A1790" s="4">
        <v>45534.33707663194</v>
      </c>
      <c r="B1790" s="5" t="s">
        <v>19</v>
      </c>
      <c r="C1790" s="5" t="s">
        <v>3471</v>
      </c>
      <c r="E1790" s="5" t="s">
        <v>14031</v>
      </c>
      <c r="F1790" s="5" t="s">
        <v>108</v>
      </c>
      <c r="G1790" s="5" t="s">
        <v>14032</v>
      </c>
      <c r="H1790" s="6" t="s">
        <v>14033</v>
      </c>
      <c r="K1790" s="5" t="s">
        <v>14034</v>
      </c>
      <c r="M1790" s="5" t="s">
        <v>14035</v>
      </c>
      <c r="N1790" s="7" t="s">
        <v>14036</v>
      </c>
      <c r="O1790" s="8" t="str">
        <f>HYPERLINK("https://drive.google.com/file/d/1Bxt94yD_Nj9Y8HxajfzV1bfD86fdGfCh/view?usp=drivesdk","1789_INDAH SURYANI, A _ SERTIFIKAT BIMTEK IPASN BerAKHLASK")</f>
        <v>1789_INDAH SURYANI, A _ SERTIFIKAT BIMTEK IPASN BerAKHLASK</v>
      </c>
      <c r="P1790" s="5" t="s">
        <v>14037</v>
      </c>
      <c r="Q1790" s="5"/>
      <c r="R1790" s="5"/>
      <c r="S1790" s="5"/>
      <c r="T1790" s="5"/>
    </row>
    <row r="1791">
      <c r="A1791" s="4">
        <v>45534.33708385417</v>
      </c>
      <c r="B1791" s="5" t="s">
        <v>34</v>
      </c>
      <c r="D1791" s="5" t="s">
        <v>2903</v>
      </c>
      <c r="E1791" s="5" t="s">
        <v>14038</v>
      </c>
      <c r="F1791" s="5" t="s">
        <v>524</v>
      </c>
      <c r="G1791" s="5" t="s">
        <v>14039</v>
      </c>
      <c r="H1791" s="6" t="s">
        <v>14040</v>
      </c>
      <c r="I1791" s="7" t="s">
        <v>14041</v>
      </c>
      <c r="J1791" s="8" t="str">
        <f>HYPERLINK("https://drive.google.com/file/d/1-XH78EL7sP44gYsyTDy6WCMn7IzRCnR3/view?usp=drivesdk","DIAN MAYA SARI POHAN,SKM SERTIFIKAT BerAKHLAK")</f>
        <v>DIAN MAYA SARI POHAN,SKM SERTIFIKAT BerAKHLAK</v>
      </c>
      <c r="K1791" s="5" t="s">
        <v>14042</v>
      </c>
      <c r="L1791" s="5" t="s">
        <v>14043</v>
      </c>
      <c r="M1791" s="5" t="s">
        <v>14044</v>
      </c>
      <c r="N1791" s="7" t="s">
        <v>14045</v>
      </c>
      <c r="O1791" s="8" t="str">
        <f>HYPERLINK("https://drive.google.com/file/d/1q2buc9nBbiFj6XhI6pJSmPcG_WV4NfGu/view?usp=drivesdk","1790_DIAN MAYA SARI POHAN,SKM _ SERTIFIKAT BIMTEK IPASN BerAKHLASK")</f>
        <v>1790_DIAN MAYA SARI POHAN,SKM _ SERTIFIKAT BIMTEK IPASN BerAKHLASK</v>
      </c>
      <c r="P1791" s="5" t="s">
        <v>14037</v>
      </c>
      <c r="Q1791" s="5"/>
      <c r="R1791" s="5"/>
      <c r="S1791" s="5"/>
      <c r="T1791" s="5"/>
    </row>
    <row r="1792">
      <c r="A1792" s="4">
        <v>45534.337084872684</v>
      </c>
      <c r="B1792" s="5" t="s">
        <v>34</v>
      </c>
      <c r="D1792" s="5" t="s">
        <v>35</v>
      </c>
      <c r="E1792" s="5" t="s">
        <v>14046</v>
      </c>
      <c r="F1792" s="5" t="s">
        <v>212</v>
      </c>
      <c r="G1792" s="5" t="s">
        <v>14047</v>
      </c>
      <c r="H1792" s="6" t="s">
        <v>14048</v>
      </c>
      <c r="I1792" s="7" t="s">
        <v>14049</v>
      </c>
      <c r="J1792" s="8" t="str">
        <f>HYPERLINK("https://drive.google.com/file/d/1UqN-lh_X-iI2U0S9xuob6xTK_r9zcF2s/view?usp=drivesdk","AGUS AGUS AGUS SERTIFIKAT BerAKHLAK")</f>
        <v>AGUS AGUS AGUS SERTIFIKAT BerAKHLAK</v>
      </c>
      <c r="K1792" s="5" t="s">
        <v>14042</v>
      </c>
      <c r="L1792" s="5" t="s">
        <v>14050</v>
      </c>
      <c r="M1792" s="5" t="s">
        <v>14051</v>
      </c>
      <c r="N1792" s="7" t="s">
        <v>14052</v>
      </c>
      <c r="O1792" s="8" t="str">
        <f>HYPERLINK("https://drive.google.com/file/d/1JOuu5n_9KsnjJ1GroZtRFeg_j5moBj9g/view?usp=drivesdk","1791_AGUS AGUS AGUS _ SERTIFIKAT BIMTEK IPASN BerAKHLASK")</f>
        <v>1791_AGUS AGUS AGUS _ SERTIFIKAT BIMTEK IPASN BerAKHLASK</v>
      </c>
      <c r="P1792" s="5" t="s">
        <v>14037</v>
      </c>
      <c r="Q1792" s="5"/>
      <c r="R1792" s="5"/>
      <c r="S1792" s="5"/>
      <c r="T1792" s="5"/>
    </row>
    <row r="1793" hidden="1">
      <c r="A1793" s="4">
        <v>45534.337114953705</v>
      </c>
      <c r="B1793" s="5" t="s">
        <v>19</v>
      </c>
      <c r="C1793" s="5" t="s">
        <v>466</v>
      </c>
      <c r="E1793" s="5" t="s">
        <v>14053</v>
      </c>
      <c r="F1793" s="5" t="s">
        <v>120</v>
      </c>
      <c r="G1793" s="5" t="s">
        <v>14054</v>
      </c>
      <c r="H1793" s="6" t="s">
        <v>14055</v>
      </c>
      <c r="I1793" s="7" t="s">
        <v>14056</v>
      </c>
      <c r="J1793" s="8" t="str">
        <f>HYPERLINK("https://drive.google.com/file/d/1WAxi65R2xR2sE2yrV__-W8MZ1RkBfVCS/view?usp=drivesdk","ILHAM ADITIA CHANDRA SERTIFIKAT BerAKHLAK")</f>
        <v>ILHAM ADITIA CHANDRA SERTIFIKAT BerAKHLAK</v>
      </c>
      <c r="K1793" s="5" t="s">
        <v>14042</v>
      </c>
      <c r="L1793" s="5" t="s">
        <v>14057</v>
      </c>
      <c r="M1793" s="5" t="s">
        <v>14058</v>
      </c>
      <c r="N1793" s="7" t="s">
        <v>14059</v>
      </c>
      <c r="O1793" s="8" t="str">
        <f>HYPERLINK("https://drive.google.com/file/d/1QmN-YbL1wPy0zCRdiLX4BCfVrEW643QA/view?usp=drivesdk","1792_ILHAM ADITIA CHANDRA _ SERTIFIKAT BIMTEK IPASN BerAKHLASK")</f>
        <v>1792_ILHAM ADITIA CHANDRA _ SERTIFIKAT BIMTEK IPASN BerAKHLASK</v>
      </c>
      <c r="P1793" s="5" t="s">
        <v>14037</v>
      </c>
      <c r="Q1793" s="5"/>
      <c r="R1793" s="5"/>
      <c r="S1793" s="5"/>
      <c r="T1793" s="5"/>
    </row>
    <row r="1794">
      <c r="A1794" s="4">
        <v>45534.33711849537</v>
      </c>
      <c r="B1794" s="5" t="s">
        <v>34</v>
      </c>
      <c r="D1794" s="5" t="s">
        <v>35</v>
      </c>
      <c r="E1794" s="5" t="s">
        <v>14060</v>
      </c>
      <c r="F1794" s="5" t="s">
        <v>37</v>
      </c>
      <c r="G1794" s="5" t="s">
        <v>14061</v>
      </c>
      <c r="H1794" s="6" t="s">
        <v>14062</v>
      </c>
      <c r="I1794" s="7" t="s">
        <v>14063</v>
      </c>
      <c r="J1794" s="8" t="str">
        <f>HYPERLINK("https://drive.google.com/file/d/1EvYpkJ-8ofVzp4QhZjz0xGchWaOLxb-Z/view?usp=drivesdk","ICIH KARSAH BIN SUPARJA SERTIFIKAT BerAKHLAK")</f>
        <v>ICIH KARSAH BIN SUPARJA SERTIFIKAT BerAKHLAK</v>
      </c>
      <c r="K1794" s="5" t="s">
        <v>14042</v>
      </c>
      <c r="L1794" s="5" t="s">
        <v>14064</v>
      </c>
      <c r="M1794" s="5" t="s">
        <v>14065</v>
      </c>
      <c r="N1794" s="7" t="s">
        <v>14066</v>
      </c>
      <c r="O1794" s="8" t="str">
        <f>HYPERLINK("https://drive.google.com/file/d/1B7Dx7xhqrv5KwjRVWYf5DY56AT7rQJTn/view?usp=drivesdk","1793_ICIH KARSAH BIN SUPARJA _ SERTIFIKAT BIMTEK IPASN BerAKHLASK")</f>
        <v>1793_ICIH KARSAH BIN SUPARJA _ SERTIFIKAT BIMTEK IPASN BerAKHLASK</v>
      </c>
      <c r="P1794" s="5" t="s">
        <v>14037</v>
      </c>
      <c r="Q1794" s="5"/>
      <c r="R1794" s="5"/>
      <c r="S1794" s="5"/>
      <c r="T1794" s="5"/>
    </row>
    <row r="1795" hidden="1">
      <c r="A1795" s="4">
        <v>45534.33711954861</v>
      </c>
      <c r="B1795" s="5" t="s">
        <v>19</v>
      </c>
      <c r="C1795" s="5" t="s">
        <v>5564</v>
      </c>
      <c r="E1795" s="5" t="s">
        <v>14067</v>
      </c>
      <c r="F1795" s="5" t="s">
        <v>120</v>
      </c>
      <c r="G1795" s="5" t="s">
        <v>14068</v>
      </c>
      <c r="H1795" s="6" t="s">
        <v>14069</v>
      </c>
      <c r="I1795" s="7" t="s">
        <v>14070</v>
      </c>
      <c r="J1795" s="8" t="str">
        <f>HYPERLINK("https://drive.google.com/file/d/1magmrN3jNXKJTZUhf3iHV6ByQ_cCDk98/view?usp=drivesdk","NETI APRIYATI, S.E, M.M. SERTIFIKAT BerAKHLAK")</f>
        <v>NETI APRIYATI, S.E, M.M. SERTIFIKAT BerAKHLAK</v>
      </c>
      <c r="K1795" s="5" t="s">
        <v>14071</v>
      </c>
      <c r="L1795" s="5" t="s">
        <v>14072</v>
      </c>
      <c r="M1795" s="5" t="s">
        <v>14073</v>
      </c>
      <c r="N1795" s="7" t="s">
        <v>14074</v>
      </c>
      <c r="O1795" s="8" t="str">
        <f>HYPERLINK("https://drive.google.com/file/d/1vW2H303kXCHuEq2DDJ0BCnYNtYRPVZZf/view?usp=drivesdk","1794_NETI APRIYATI, S.E, M.M. _ SERTIFIKAT BIMTEK IPASN BerAKHLASK")</f>
        <v>1794_NETI APRIYATI, S.E, M.M. _ SERTIFIKAT BIMTEK IPASN BerAKHLASK</v>
      </c>
      <c r="P1795" s="5" t="s">
        <v>14075</v>
      </c>
      <c r="Q1795" s="5"/>
      <c r="R1795" s="5"/>
      <c r="S1795" s="5"/>
      <c r="T1795" s="5"/>
    </row>
    <row r="1796">
      <c r="A1796" s="4">
        <v>45534.33716063657</v>
      </c>
      <c r="B1796" s="5" t="s">
        <v>34</v>
      </c>
      <c r="D1796" s="5" t="s">
        <v>4775</v>
      </c>
      <c r="E1796" s="5" t="s">
        <v>6931</v>
      </c>
      <c r="F1796" s="5" t="s">
        <v>212</v>
      </c>
      <c r="G1796" s="5" t="s">
        <v>14076</v>
      </c>
      <c r="H1796" s="6" t="s">
        <v>14077</v>
      </c>
      <c r="I1796" s="7" t="s">
        <v>14078</v>
      </c>
      <c r="J1796" s="8" t="str">
        <f>HYPERLINK("https://drive.google.com/file/d/1WwjOpq4sGC-Naw2VRDT-slFYsl2vu4CU/view?usp=drivesdk","WAHYUNINGSIH SERTIFIKAT BerAKHLAK")</f>
        <v>WAHYUNINGSIH SERTIFIKAT BerAKHLAK</v>
      </c>
      <c r="K1796" s="5" t="s">
        <v>14071</v>
      </c>
      <c r="L1796" s="5" t="s">
        <v>14079</v>
      </c>
      <c r="M1796" s="5" t="s">
        <v>14080</v>
      </c>
      <c r="N1796" s="7" t="s">
        <v>14081</v>
      </c>
      <c r="O1796" s="8" t="str">
        <f>HYPERLINK("https://drive.google.com/file/d/1ZTGdEvcVnvPqhaC1O7EZX3KxEHOjX_MO/view?usp=drivesdk","1795_WAHYUNINGSIH _ SERTIFIKAT BIMTEK IPASN BerAKHLASK")</f>
        <v>1795_WAHYUNINGSIH _ SERTIFIKAT BIMTEK IPASN BerAKHLASK</v>
      </c>
      <c r="P1796" s="5" t="s">
        <v>14075</v>
      </c>
      <c r="Q1796" s="5"/>
      <c r="R1796" s="5"/>
      <c r="S1796" s="5"/>
      <c r="T1796" s="5"/>
    </row>
    <row r="1797">
      <c r="A1797" s="4">
        <v>45534.3371671875</v>
      </c>
      <c r="B1797" s="5" t="s">
        <v>34</v>
      </c>
      <c r="D1797" s="5" t="s">
        <v>4775</v>
      </c>
      <c r="E1797" s="5" t="s">
        <v>14082</v>
      </c>
      <c r="F1797" s="5" t="s">
        <v>108</v>
      </c>
      <c r="G1797" s="5" t="s">
        <v>14083</v>
      </c>
      <c r="H1797" s="6" t="s">
        <v>14084</v>
      </c>
      <c r="I1797" s="7" t="s">
        <v>14085</v>
      </c>
      <c r="J1797" s="8" t="str">
        <f>HYPERLINK("https://drive.google.com/file/d/105HfO6TG3EDe3U3RSU3vvjHTiN3VOS17/view?usp=drivesdk","CHUT RENNY WULANSARI SERTIFIKAT BerAKHLAK")</f>
        <v>CHUT RENNY WULANSARI SERTIFIKAT BerAKHLAK</v>
      </c>
      <c r="K1797" s="5" t="s">
        <v>14071</v>
      </c>
      <c r="L1797" s="5" t="s">
        <v>14086</v>
      </c>
      <c r="M1797" s="5" t="s">
        <v>14087</v>
      </c>
      <c r="N1797" s="7" t="s">
        <v>14088</v>
      </c>
      <c r="O1797" s="8" t="str">
        <f>HYPERLINK("https://drive.google.com/file/d/1JJkclV5l5dAxI_W_H4Gp4DkHD7ihaRaj/view?usp=drivesdk","1796_CHUT RENNY WULANSARI _ SERTIFIKAT BIMTEK IPASN BerAKHLASK")</f>
        <v>1796_CHUT RENNY WULANSARI _ SERTIFIKAT BIMTEK IPASN BerAKHLASK</v>
      </c>
      <c r="P1797" s="5" t="s">
        <v>14075</v>
      </c>
      <c r="Q1797" s="5"/>
      <c r="R1797" s="5"/>
      <c r="S1797" s="5"/>
      <c r="T1797" s="5"/>
    </row>
    <row r="1798" hidden="1">
      <c r="A1798" s="4">
        <v>45534.33716805556</v>
      </c>
      <c r="B1798" s="5" t="s">
        <v>19</v>
      </c>
      <c r="C1798" s="5" t="s">
        <v>3471</v>
      </c>
      <c r="E1798" s="5" t="s">
        <v>14089</v>
      </c>
      <c r="F1798" s="5" t="s">
        <v>375</v>
      </c>
      <c r="G1798" s="5" t="s">
        <v>14090</v>
      </c>
      <c r="H1798" s="6" t="s">
        <v>14091</v>
      </c>
      <c r="I1798" s="7" t="s">
        <v>14092</v>
      </c>
      <c r="J1798" s="8" t="str">
        <f>HYPERLINK("https://drive.google.com/file/d/1RkdvAhYex9MIpFdlCFyYhqgFAjQByw7n/view?usp=drivesdk","SRI SUGIYANTI SERTIFIKAT BerAKHLAK")</f>
        <v>SRI SUGIYANTI SERTIFIKAT BerAKHLAK</v>
      </c>
      <c r="K1798" s="5" t="s">
        <v>14093</v>
      </c>
      <c r="L1798" s="5" t="s">
        <v>14094</v>
      </c>
      <c r="M1798" s="5" t="s">
        <v>14095</v>
      </c>
      <c r="N1798" s="7" t="s">
        <v>14096</v>
      </c>
      <c r="O1798" s="8" t="str">
        <f>HYPERLINK("https://drive.google.com/file/d/1QPn5xi1VWUee9SS82vrhC3qMdwkwZZny/view?usp=drivesdk","1797_SRI SUGIYANTI _ SERTIFIKAT BIMTEK IPASN BerAKHLASK")</f>
        <v>1797_SRI SUGIYANTI _ SERTIFIKAT BIMTEK IPASN BerAKHLASK</v>
      </c>
      <c r="P1798" s="5" t="s">
        <v>14075</v>
      </c>
      <c r="Q1798" s="5"/>
      <c r="R1798" s="5"/>
      <c r="S1798" s="5"/>
      <c r="T1798" s="5"/>
    </row>
    <row r="1799">
      <c r="A1799" s="4">
        <v>45534.33718769676</v>
      </c>
      <c r="B1799" s="5" t="s">
        <v>34</v>
      </c>
      <c r="D1799" s="5" t="s">
        <v>4775</v>
      </c>
      <c r="E1799" s="5" t="s">
        <v>14097</v>
      </c>
      <c r="F1799" s="5" t="s">
        <v>524</v>
      </c>
      <c r="G1799" s="5" t="s">
        <v>14098</v>
      </c>
      <c r="H1799" s="6" t="s">
        <v>14099</v>
      </c>
      <c r="I1799" s="7" t="s">
        <v>14100</v>
      </c>
      <c r="J1799" s="8" t="str">
        <f>HYPERLINK("https://drive.google.com/file/d/1LWIJemmQazAhGlbaP1dckJ4IUgcpoxSR/view?usp=drivesdk","WINDI ANDINI PUSPITASARI, S.M. SERTIFIKAT BerAKHLAK")</f>
        <v>WINDI ANDINI PUSPITASARI, S.M. SERTIFIKAT BerAKHLAK</v>
      </c>
      <c r="K1799" s="5" t="s">
        <v>14093</v>
      </c>
      <c r="L1799" s="5" t="s">
        <v>14101</v>
      </c>
      <c r="M1799" s="5" t="s">
        <v>14102</v>
      </c>
      <c r="N1799" s="7" t="s">
        <v>14103</v>
      </c>
      <c r="O1799" s="8" t="str">
        <f>HYPERLINK("https://drive.google.com/file/d/1p0W7mMM39A5ZZsT3_EZ0BwCtwflwFcMd/view?usp=drivesdk","1798_WINDI ANDINI PUSPITASARI, S.M. _ SERTIFIKAT BIMTEK IPASN BerAKHLASK")</f>
        <v>1798_WINDI ANDINI PUSPITASARI, S.M. _ SERTIFIKAT BIMTEK IPASN BerAKHLASK</v>
      </c>
      <c r="P1799" s="5" t="s">
        <v>14075</v>
      </c>
      <c r="Q1799" s="5"/>
      <c r="R1799" s="5"/>
      <c r="S1799" s="5"/>
      <c r="T1799" s="5"/>
    </row>
    <row r="1800" hidden="1">
      <c r="A1800" s="4">
        <v>45534.33722271991</v>
      </c>
      <c r="B1800" s="5" t="s">
        <v>19</v>
      </c>
      <c r="C1800" s="5" t="s">
        <v>3301</v>
      </c>
      <c r="E1800" s="5" t="s">
        <v>14104</v>
      </c>
      <c r="F1800" s="5" t="s">
        <v>37</v>
      </c>
      <c r="G1800" s="5" t="s">
        <v>14105</v>
      </c>
      <c r="H1800" s="6" t="s">
        <v>14106</v>
      </c>
      <c r="I1800" s="7" t="s">
        <v>14107</v>
      </c>
      <c r="J1800" s="8" t="str">
        <f>HYPERLINK("https://drive.google.com/file/d/19Sj_Qjd4NtQ4HJ4lDM-XVriDMDJjNeF4/view?usp=drivesdk","DEWI SEPRIANI, AMK SERTIFIKAT BerAKHLAK")</f>
        <v>DEWI SEPRIANI, AMK SERTIFIKAT BerAKHLAK</v>
      </c>
      <c r="K1800" s="5" t="s">
        <v>14093</v>
      </c>
      <c r="L1800" s="5" t="s">
        <v>14108</v>
      </c>
      <c r="M1800" s="5" t="s">
        <v>14109</v>
      </c>
      <c r="N1800" s="7" t="s">
        <v>14110</v>
      </c>
      <c r="O1800" s="8" t="str">
        <f>HYPERLINK("https://drive.google.com/file/d/1MnbVvQ92VXQxsoY5OOnBYrXLFPmRP0QH/view?usp=drivesdk","1799_DEWI SEPRIANI, AMK _ SERTIFIKAT BIMTEK IPASN BerAKHLASK")</f>
        <v>1799_DEWI SEPRIANI, AMK _ SERTIFIKAT BIMTEK IPASN BerAKHLASK</v>
      </c>
      <c r="P1800" s="5" t="s">
        <v>14111</v>
      </c>
      <c r="Q1800" s="5"/>
      <c r="R1800" s="5"/>
      <c r="S1800" s="5"/>
      <c r="T1800" s="5"/>
    </row>
    <row r="1801">
      <c r="A1801" s="4">
        <v>45534.33722290509</v>
      </c>
      <c r="B1801" s="5" t="s">
        <v>34</v>
      </c>
      <c r="D1801" s="5" t="s">
        <v>1768</v>
      </c>
      <c r="E1801" s="5" t="s">
        <v>14112</v>
      </c>
      <c r="F1801" s="5" t="s">
        <v>375</v>
      </c>
      <c r="G1801" s="5" t="s">
        <v>14113</v>
      </c>
      <c r="H1801" s="6" t="s">
        <v>14114</v>
      </c>
      <c r="I1801" s="7" t="s">
        <v>14115</v>
      </c>
      <c r="J1801" s="8" t="str">
        <f>HYPERLINK("https://drive.google.com/file/d/1vDP6AEsi53GpOSdnWsjDyry4QTqvbBUp/view?usp=drivesdk","HERU SANTOSO SE SERTIFIKAT BerAKHLAK")</f>
        <v>HERU SANTOSO SE SERTIFIKAT BerAKHLAK</v>
      </c>
      <c r="K1801" s="5" t="s">
        <v>14116</v>
      </c>
      <c r="L1801" s="5" t="s">
        <v>14117</v>
      </c>
      <c r="M1801" s="5" t="s">
        <v>14118</v>
      </c>
      <c r="N1801" s="7" t="s">
        <v>14119</v>
      </c>
      <c r="O1801" s="8" t="str">
        <f>HYPERLINK("https://drive.google.com/file/d/1dmux3Pgx62VJNDV8zmmAk_LDLAmm5YiT/view?usp=drivesdk","1800_HERU SANTOSO SE _ SERTIFIKAT BIMTEK IPASN BerAKHLASK")</f>
        <v>1800_HERU SANTOSO SE _ SERTIFIKAT BIMTEK IPASN BerAKHLASK</v>
      </c>
      <c r="P1801" s="5" t="s">
        <v>14111</v>
      </c>
      <c r="Q1801" s="5"/>
      <c r="R1801" s="5"/>
      <c r="S1801" s="5"/>
      <c r="T1801" s="5"/>
    </row>
    <row r="1802">
      <c r="A1802" s="4">
        <v>45534.33723819444</v>
      </c>
      <c r="B1802" s="5" t="s">
        <v>34</v>
      </c>
      <c r="D1802" s="5" t="s">
        <v>9020</v>
      </c>
      <c r="E1802" s="5" t="s">
        <v>14120</v>
      </c>
      <c r="F1802" s="5" t="s">
        <v>524</v>
      </c>
      <c r="G1802" s="5" t="s">
        <v>14121</v>
      </c>
      <c r="H1802" s="6" t="s">
        <v>14122</v>
      </c>
      <c r="I1802" s="7" t="s">
        <v>14123</v>
      </c>
      <c r="J1802" s="8" t="str">
        <f>HYPERLINK("https://drive.google.com/file/d/148V_i44FYLo_w8ZhjIKuCFoXg7Kkhf78/view?usp=drivesdk","MONANG SANTO SIBARANI, S.E. SERTIFIKAT BerAKHLAK")</f>
        <v>MONANG SANTO SIBARANI, S.E. SERTIFIKAT BerAKHLAK</v>
      </c>
      <c r="K1802" s="5" t="s">
        <v>14116</v>
      </c>
      <c r="L1802" s="5" t="s">
        <v>14124</v>
      </c>
      <c r="M1802" s="5" t="s">
        <v>14125</v>
      </c>
      <c r="N1802" s="7" t="s">
        <v>14126</v>
      </c>
      <c r="O1802" s="8" t="str">
        <f>HYPERLINK("https://drive.google.com/file/d/1sWWp315efUm7d8I1x7NTVDo1g1sJ2Ru9/view?usp=drivesdk","1801_MONANG SANTO SIBARANI, S.E. _ SERTIFIKAT BIMTEK IPASN BerAKHLASK")</f>
        <v>1801_MONANG SANTO SIBARANI, S.E. _ SERTIFIKAT BIMTEK IPASN BerAKHLASK</v>
      </c>
      <c r="P1802" s="5" t="s">
        <v>14111</v>
      </c>
      <c r="Q1802" s="5"/>
      <c r="R1802" s="5"/>
      <c r="S1802" s="5"/>
      <c r="T1802" s="5"/>
    </row>
    <row r="1803">
      <c r="A1803" s="4">
        <v>45534.33724356482</v>
      </c>
      <c r="B1803" s="5" t="s">
        <v>34</v>
      </c>
      <c r="D1803" s="5" t="s">
        <v>35</v>
      </c>
      <c r="E1803" s="5" t="s">
        <v>14127</v>
      </c>
      <c r="F1803" s="5" t="s">
        <v>328</v>
      </c>
      <c r="G1803" s="5" t="s">
        <v>14128</v>
      </c>
      <c r="H1803" s="6" t="s">
        <v>14129</v>
      </c>
      <c r="I1803" s="7" t="s">
        <v>14130</v>
      </c>
      <c r="J1803" s="8" t="str">
        <f>HYPERLINK("https://drive.google.com/file/d/1S8ohR7Ja_cYFZTUtOb2F45ORdW5BBbm1/view?usp=drivesdk","JUMAN JUMAN JUMAN SERTIFIKAT BerAKHLAK")</f>
        <v>JUMAN JUMAN JUMAN SERTIFIKAT BerAKHLAK</v>
      </c>
      <c r="K1803" s="5" t="s">
        <v>13050</v>
      </c>
      <c r="L1803" s="5" t="s">
        <v>14131</v>
      </c>
      <c r="M1803" s="5" t="s">
        <v>14132</v>
      </c>
      <c r="N1803" s="7" t="s">
        <v>14133</v>
      </c>
      <c r="O1803" s="8" t="str">
        <f>HYPERLINK("https://drive.google.com/file/d/1dpBJ28r9-cdbpTvaS2tHlQvyFuAfdAL0/view?usp=drivesdk","1802_JUMAN JUMAN JUMAN _ SERTIFIKAT BIMTEK IPASN BerAKHLASK")</f>
        <v>1802_JUMAN JUMAN JUMAN _ SERTIFIKAT BIMTEK IPASN BerAKHLASK</v>
      </c>
      <c r="P1803" s="5" t="s">
        <v>14111</v>
      </c>
      <c r="Q1803" s="5"/>
      <c r="R1803" s="5"/>
      <c r="S1803" s="5"/>
      <c r="T1803" s="5"/>
    </row>
    <row r="1804" hidden="1">
      <c r="A1804" s="4">
        <v>45534.337250358796</v>
      </c>
      <c r="B1804" s="5" t="s">
        <v>19</v>
      </c>
      <c r="C1804" s="5" t="s">
        <v>3301</v>
      </c>
      <c r="E1804" s="5" t="s">
        <v>14134</v>
      </c>
      <c r="F1804" s="5" t="s">
        <v>37</v>
      </c>
      <c r="G1804" s="5" t="s">
        <v>14135</v>
      </c>
      <c r="H1804" s="6" t="s">
        <v>14136</v>
      </c>
      <c r="I1804" s="7" t="s">
        <v>14137</v>
      </c>
      <c r="J1804" s="8" t="str">
        <f>HYPERLINK("https://drive.google.com/file/d/1KYotS8THPWyU0gi8Dq5VnlF2Qm9s0IVB/view?usp=drivesdk","DIAN AYU SEPTIANA SIMORANGKIR SERTIFIKAT BerAKHLAK")</f>
        <v>DIAN AYU SEPTIANA SIMORANGKIR SERTIFIKAT BerAKHLAK</v>
      </c>
      <c r="K1804" s="5" t="s">
        <v>14042</v>
      </c>
      <c r="L1804" s="5" t="s">
        <v>14138</v>
      </c>
      <c r="M1804" s="5" t="s">
        <v>14139</v>
      </c>
      <c r="N1804" s="7" t="s">
        <v>14140</v>
      </c>
      <c r="O1804" s="8" t="str">
        <f>HYPERLINK("https://drive.google.com/file/d/1aw6tUb4l9eaZhprgPmQJLeOpgPqfHvyV/view?usp=drivesdk","1803_DIAN AYU SEPTIANA SIMORANGKIR _ SERTIFIKAT BIMTEK IPASN BerAKHLASK")</f>
        <v>1803_DIAN AYU SEPTIANA SIMORANGKIR _ SERTIFIKAT BIMTEK IPASN BerAKHLASK</v>
      </c>
      <c r="P1804" s="5" t="s">
        <v>14111</v>
      </c>
      <c r="Q1804" s="5"/>
      <c r="R1804" s="5"/>
      <c r="S1804" s="5"/>
      <c r="T1804" s="5"/>
    </row>
    <row r="1805">
      <c r="A1805" s="4">
        <v>45534.33726327546</v>
      </c>
      <c r="B1805" s="5" t="s">
        <v>34</v>
      </c>
      <c r="D1805" s="5" t="s">
        <v>1768</v>
      </c>
      <c r="E1805" s="5" t="s">
        <v>14141</v>
      </c>
      <c r="F1805" s="5" t="s">
        <v>37</v>
      </c>
      <c r="G1805" s="5" t="s">
        <v>14142</v>
      </c>
      <c r="H1805" s="6" t="s">
        <v>14143</v>
      </c>
      <c r="I1805" s="7" t="s">
        <v>14144</v>
      </c>
      <c r="J1805" s="8" t="str">
        <f>HYPERLINK("https://drive.google.com/file/d/1g-1-49_KPKAQt8dhshqXqMsizj61qv_V/view?usp=drivesdk","PENGATUR TAJERIANI SERTIFIKAT BerAKHLAK")</f>
        <v>PENGATUR TAJERIANI SERTIFIKAT BerAKHLAK</v>
      </c>
      <c r="K1805" s="5" t="s">
        <v>14042</v>
      </c>
      <c r="L1805" s="5" t="s">
        <v>14145</v>
      </c>
      <c r="M1805" s="5" t="s">
        <v>14146</v>
      </c>
      <c r="N1805" s="7" t="s">
        <v>14147</v>
      </c>
      <c r="O1805" s="8" t="str">
        <f>HYPERLINK("https://drive.google.com/file/d/1iRpQHgJQhEJQnWVlJjpdZaXJwNbC82gG/view?usp=drivesdk","1804_PENGATUR TAJERIANI _ SERTIFIKAT BIMTEK IPASN BerAKHLASK")</f>
        <v>1804_PENGATUR TAJERIANI _ SERTIFIKAT BIMTEK IPASN BerAKHLASK</v>
      </c>
      <c r="P1805" s="5" t="s">
        <v>14148</v>
      </c>
      <c r="Q1805" s="5"/>
      <c r="R1805" s="5"/>
      <c r="S1805" s="5"/>
      <c r="T1805" s="5"/>
    </row>
    <row r="1806">
      <c r="A1806" s="4">
        <v>45534.33727130787</v>
      </c>
      <c r="B1806" s="5" t="s">
        <v>34</v>
      </c>
      <c r="D1806" s="5" t="s">
        <v>4775</v>
      </c>
      <c r="E1806" s="5" t="s">
        <v>14149</v>
      </c>
      <c r="F1806" s="5" t="s">
        <v>199</v>
      </c>
      <c r="G1806" s="5" t="s">
        <v>14150</v>
      </c>
      <c r="H1806" s="6" t="s">
        <v>14151</v>
      </c>
      <c r="I1806" s="7" t="s">
        <v>14152</v>
      </c>
      <c r="J1806" s="8" t="str">
        <f>HYPERLINK("https://drive.google.com/file/d/11rk0W9FOgJwcEmN8ZJDaq__wmuZpoDYH/view?usp=drivesdk","IMAM NURYANTO SERTIFIKAT BerAKHLAK")</f>
        <v>IMAM NURYANTO SERTIFIKAT BerAKHLAK</v>
      </c>
      <c r="K1806" s="5" t="s">
        <v>14042</v>
      </c>
      <c r="L1806" s="5" t="s">
        <v>14153</v>
      </c>
      <c r="M1806" s="5" t="s">
        <v>14154</v>
      </c>
      <c r="N1806" s="7" t="s">
        <v>14155</v>
      </c>
      <c r="O1806" s="8" t="str">
        <f>HYPERLINK("https://drive.google.com/file/d/1t-rnWCP8fmLO_d6T51Jjuf_iGQocsjsB/view?usp=drivesdk","1805_IMAM NURYANTO _ SERTIFIKAT BIMTEK IPASN BerAKHLASK")</f>
        <v>1805_IMAM NURYANTO _ SERTIFIKAT BIMTEK IPASN BerAKHLASK</v>
      </c>
      <c r="P1806" s="5" t="s">
        <v>14148</v>
      </c>
      <c r="Q1806" s="5"/>
      <c r="R1806" s="5"/>
      <c r="S1806" s="5"/>
      <c r="T1806" s="5"/>
    </row>
    <row r="1807">
      <c r="A1807" s="4">
        <v>45534.337269571755</v>
      </c>
      <c r="B1807" s="5" t="s">
        <v>34</v>
      </c>
      <c r="D1807" s="5" t="s">
        <v>1456</v>
      </c>
      <c r="E1807" s="5" t="s">
        <v>14156</v>
      </c>
      <c r="F1807" s="5" t="s">
        <v>37</v>
      </c>
      <c r="G1807" s="5" t="s">
        <v>14157</v>
      </c>
      <c r="H1807" s="6" t="s">
        <v>14158</v>
      </c>
      <c r="I1807" s="7" t="s">
        <v>14159</v>
      </c>
      <c r="J1807" s="8" t="str">
        <f>HYPERLINK("https://drive.google.com/file/d/17iX2oFueLA8RwFYhGrzZrSh6y6-EEEPf/view?usp=drivesdk","FITRI DEWI KURNIA, A.Md. Kep SERTIFIKAT BerAKHLAK")</f>
        <v>FITRI DEWI KURNIA, A.Md. Kep SERTIFIKAT BerAKHLAK</v>
      </c>
      <c r="K1807" s="5" t="s">
        <v>14042</v>
      </c>
      <c r="L1807" s="5" t="s">
        <v>14160</v>
      </c>
      <c r="M1807" s="5" t="s">
        <v>14161</v>
      </c>
      <c r="N1807" s="7" t="s">
        <v>14162</v>
      </c>
      <c r="O1807" s="8" t="str">
        <f>HYPERLINK("https://drive.google.com/file/d/1u4j2EkvEJKxgSvotGghpeiTfonxOES2u/view?usp=drivesdk","1806_FITRI DEWI KURNIA, A.Md. Kep _ SERTIFIKAT BIMTEK IPASN BerAKHLASK")</f>
        <v>1806_FITRI DEWI KURNIA, A.Md. Kep _ SERTIFIKAT BIMTEK IPASN BerAKHLASK</v>
      </c>
      <c r="P1807" s="5" t="s">
        <v>14148</v>
      </c>
      <c r="Q1807" s="5"/>
      <c r="R1807" s="5"/>
      <c r="S1807" s="5"/>
      <c r="T1807" s="5"/>
    </row>
    <row r="1808">
      <c r="A1808" s="4">
        <v>45534.33727931713</v>
      </c>
      <c r="B1808" s="5" t="s">
        <v>34</v>
      </c>
      <c r="D1808" s="5" t="s">
        <v>1206</v>
      </c>
      <c r="E1808" s="5" t="s">
        <v>14163</v>
      </c>
      <c r="F1808" s="5" t="s">
        <v>212</v>
      </c>
      <c r="G1808" s="5" t="s">
        <v>14164</v>
      </c>
      <c r="H1808" s="6" t="s">
        <v>14165</v>
      </c>
      <c r="I1808" s="7" t="s">
        <v>14166</v>
      </c>
      <c r="J1808" s="8" t="str">
        <f>HYPERLINK("https://drive.google.com/file/d/10dMzESJVreq5quJtPGQklDRDzt2ZuN-N/view?usp=drivesdk","SINTA KHARISMA DEWI SERTIFIKAT BerAKHLAK")</f>
        <v>SINTA KHARISMA DEWI SERTIFIKAT BerAKHLAK</v>
      </c>
      <c r="K1808" s="5" t="s">
        <v>13050</v>
      </c>
      <c r="L1808" s="5" t="s">
        <v>14167</v>
      </c>
      <c r="M1808" s="5" t="s">
        <v>14168</v>
      </c>
      <c r="N1808" s="7" t="s">
        <v>14169</v>
      </c>
      <c r="O1808" s="8" t="str">
        <f>HYPERLINK("https://drive.google.com/file/d/1Phz0nnhB1dffpxWoWCaK4Y9K6VcQM5Oe/view?usp=drivesdk","1807_SINTA KHARISMA DEWI _ SERTIFIKAT BIMTEK IPASN BerAKHLASK")</f>
        <v>1807_SINTA KHARISMA DEWI _ SERTIFIKAT BIMTEK IPASN BerAKHLASK</v>
      </c>
      <c r="P1808" s="5" t="s">
        <v>14148</v>
      </c>
      <c r="Q1808" s="5"/>
      <c r="R1808" s="5"/>
      <c r="S1808" s="5"/>
      <c r="T1808" s="5"/>
    </row>
    <row r="1809">
      <c r="A1809" s="4">
        <v>45534.33729510417</v>
      </c>
      <c r="B1809" s="5" t="s">
        <v>34</v>
      </c>
      <c r="D1809" s="5" t="s">
        <v>2903</v>
      </c>
      <c r="E1809" s="5" t="s">
        <v>14170</v>
      </c>
      <c r="F1809" s="5" t="s">
        <v>375</v>
      </c>
      <c r="G1809" s="5" t="s">
        <v>14171</v>
      </c>
      <c r="H1809" s="6" t="s">
        <v>14172</v>
      </c>
      <c r="I1809" s="7" t="s">
        <v>14173</v>
      </c>
      <c r="J1809" s="8" t="str">
        <f>HYPERLINK("https://drive.google.com/file/d/1Ktd0P2RVcA7UUtGZn7KYGkrkZbRoqRYF/view?usp=drivesdk","Ns. BETNY SUSANTI, S.Kep SERTIFIKAT BerAKHLAK")</f>
        <v>Ns. BETNY SUSANTI, S.Kep SERTIFIKAT BerAKHLAK</v>
      </c>
      <c r="K1809" s="5" t="s">
        <v>14042</v>
      </c>
      <c r="L1809" s="5" t="s">
        <v>14174</v>
      </c>
      <c r="M1809" s="5" t="s">
        <v>14175</v>
      </c>
      <c r="N1809" s="7" t="s">
        <v>14176</v>
      </c>
      <c r="O1809" s="8" t="str">
        <f>HYPERLINK("https://drive.google.com/file/d/1JojFQDRCsvp0iFSlLVW0FOwuyf5s-_EP/view?usp=drivesdk","1808_Ns. BETNY SUSANTI, S.Kep _ SERTIFIKAT BIMTEK IPASN BerAKHLASK")</f>
        <v>1808_Ns. BETNY SUSANTI, S.Kep _ SERTIFIKAT BIMTEK IPASN BerAKHLASK</v>
      </c>
      <c r="P1809" s="5" t="s">
        <v>14148</v>
      </c>
      <c r="Q1809" s="5"/>
      <c r="R1809" s="5"/>
      <c r="S1809" s="5"/>
      <c r="T1809" s="5"/>
    </row>
    <row r="1810">
      <c r="A1810" s="4">
        <v>45534.33729765046</v>
      </c>
      <c r="B1810" s="5" t="s">
        <v>34</v>
      </c>
      <c r="D1810" s="5" t="s">
        <v>35</v>
      </c>
      <c r="E1810" s="5" t="s">
        <v>14177</v>
      </c>
      <c r="F1810" s="5" t="s">
        <v>212</v>
      </c>
      <c r="G1810" s="5" t="s">
        <v>14178</v>
      </c>
      <c r="H1810" s="6" t="s">
        <v>14179</v>
      </c>
      <c r="I1810" s="7" t="s">
        <v>14180</v>
      </c>
      <c r="J1810" s="8" t="str">
        <f>HYPERLINK("https://drive.google.com/file/d/1d9cO9u4Lr1XOwyyrw7DU2uoj67dg2_oS/view?usp=drivesdk","AEP SAEPUDIN, AMK  SERTIFIKAT BerAKHLAK")</f>
        <v>AEP SAEPUDIN, AMK  SERTIFIKAT BerAKHLAK</v>
      </c>
      <c r="K1810" s="5" t="s">
        <v>14042</v>
      </c>
      <c r="L1810" s="5" t="s">
        <v>14181</v>
      </c>
      <c r="M1810" s="5" t="s">
        <v>14182</v>
      </c>
      <c r="N1810" s="7" t="s">
        <v>14183</v>
      </c>
      <c r="O1810" s="8" t="str">
        <f>HYPERLINK("https://drive.google.com/file/d/1xxDRRYck60PVoW3aOy-poeLLEJcIrINe/view?usp=drivesdk","1809_AEP SAEPUDIN, AMK  _ SERTIFIKAT BIMTEK IPASN BerAKHLASK")</f>
        <v>1809_AEP SAEPUDIN, AMK  _ SERTIFIKAT BIMTEK IPASN BerAKHLASK</v>
      </c>
      <c r="P1810" s="5" t="s">
        <v>14148</v>
      </c>
      <c r="Q1810" s="5"/>
      <c r="R1810" s="5"/>
      <c r="S1810" s="5"/>
      <c r="T1810" s="5"/>
    </row>
    <row r="1811">
      <c r="A1811" s="4">
        <v>45534.337307256945</v>
      </c>
      <c r="B1811" s="5" t="s">
        <v>34</v>
      </c>
      <c r="D1811" s="5" t="s">
        <v>1206</v>
      </c>
      <c r="E1811" s="5" t="s">
        <v>12106</v>
      </c>
      <c r="F1811" s="5" t="s">
        <v>212</v>
      </c>
      <c r="G1811" s="5" t="s">
        <v>14184</v>
      </c>
      <c r="H1811" s="6" t="s">
        <v>14185</v>
      </c>
      <c r="I1811" s="7" t="s">
        <v>14186</v>
      </c>
      <c r="J1811" s="8" t="str">
        <f>HYPERLINK("https://drive.google.com/file/d/1KHP6Dn32Le_Y71ZRKeJCP4RttrIq8X_n/view?usp=drivesdk","MOHAMMAD SALEH SERTIFIKAT BerAKHLAK")</f>
        <v>MOHAMMAD SALEH SERTIFIKAT BerAKHLAK</v>
      </c>
      <c r="K1811" s="5" t="s">
        <v>14042</v>
      </c>
      <c r="L1811" s="5" t="s">
        <v>14187</v>
      </c>
      <c r="M1811" s="5" t="s">
        <v>14188</v>
      </c>
      <c r="N1811" s="7" t="s">
        <v>14189</v>
      </c>
      <c r="O1811" s="8" t="str">
        <f>HYPERLINK("https://drive.google.com/file/d/1_CFVbXBwq102lhj9-2fJAEFf80RvQyvM/view?usp=drivesdk","1810_MOHAMMAD SALEH _ SERTIFIKAT BIMTEK IPASN BerAKHLASK")</f>
        <v>1810_MOHAMMAD SALEH _ SERTIFIKAT BIMTEK IPASN BerAKHLASK</v>
      </c>
      <c r="P1811" s="5" t="s">
        <v>14190</v>
      </c>
      <c r="Q1811" s="5"/>
      <c r="R1811" s="5"/>
      <c r="S1811" s="5"/>
      <c r="T1811" s="5"/>
    </row>
    <row r="1812">
      <c r="A1812" s="4">
        <v>45534.33730777778</v>
      </c>
      <c r="B1812" s="5" t="s">
        <v>34</v>
      </c>
      <c r="D1812" s="5" t="s">
        <v>604</v>
      </c>
      <c r="E1812" s="5" t="s">
        <v>14191</v>
      </c>
      <c r="F1812" s="5" t="s">
        <v>108</v>
      </c>
      <c r="G1812" s="5" t="s">
        <v>14192</v>
      </c>
      <c r="H1812" s="6" t="s">
        <v>14193</v>
      </c>
      <c r="I1812" s="7" t="s">
        <v>14194</v>
      </c>
      <c r="J1812" s="8" t="str">
        <f>HYPERLINK("https://drive.google.com/file/d/1ysswZmBkyJzHr8iwf8k0W-ghLxp0k_eD/view?usp=drivesdk","EKA ASNITA SIHOMBING, SE SERTIFIKAT BerAKHLAK")</f>
        <v>EKA ASNITA SIHOMBING, SE SERTIFIKAT BerAKHLAK</v>
      </c>
      <c r="K1812" s="5" t="s">
        <v>14042</v>
      </c>
      <c r="L1812" s="5" t="s">
        <v>14195</v>
      </c>
      <c r="M1812" s="5" t="s">
        <v>14196</v>
      </c>
      <c r="N1812" s="7" t="s">
        <v>14197</v>
      </c>
      <c r="O1812" s="8" t="str">
        <f>HYPERLINK("https://drive.google.com/file/d/1vHzbUQZE02cRblVlkckBF9amMUBY-yIs/view?usp=drivesdk","1811_EKA ASNITA SIHOMBING, SE _ SERTIFIKAT BIMTEK IPASN BerAKHLASK")</f>
        <v>1811_EKA ASNITA SIHOMBING, SE _ SERTIFIKAT BIMTEK IPASN BerAKHLASK</v>
      </c>
      <c r="P1812" s="5" t="s">
        <v>14190</v>
      </c>
      <c r="Q1812" s="5"/>
      <c r="R1812" s="5"/>
      <c r="S1812" s="5"/>
      <c r="T1812" s="5"/>
    </row>
    <row r="1813">
      <c r="A1813" s="4">
        <v>45534.337312118056</v>
      </c>
      <c r="B1813" s="5" t="s">
        <v>34</v>
      </c>
      <c r="D1813" s="5" t="s">
        <v>9394</v>
      </c>
      <c r="E1813" s="5" t="s">
        <v>14198</v>
      </c>
      <c r="F1813" s="5" t="s">
        <v>37</v>
      </c>
      <c r="G1813" s="5" t="s">
        <v>14199</v>
      </c>
      <c r="H1813" s="6" t="s">
        <v>14200</v>
      </c>
      <c r="I1813" s="7" t="s">
        <v>14201</v>
      </c>
      <c r="J1813" s="8" t="str">
        <f>HYPERLINK("https://drive.google.com/file/d/1VuniJKUxrio-hJrCwiJz-ADHQZqBdgvi/view?usp=drivesdk","PEBRIYENAPUTRI SERTIFIKAT BerAKHLAK")</f>
        <v>PEBRIYENAPUTRI SERTIFIKAT BerAKHLAK</v>
      </c>
      <c r="K1813" s="5" t="s">
        <v>14071</v>
      </c>
      <c r="L1813" s="5" t="s">
        <v>14202</v>
      </c>
      <c r="M1813" s="5" t="s">
        <v>14203</v>
      </c>
      <c r="N1813" s="7" t="s">
        <v>14204</v>
      </c>
      <c r="O1813" s="8" t="str">
        <f>HYPERLINK("https://drive.google.com/file/d/130sB9wydOlqZL7CqqBk-dxvZf-n4VOv2/view?usp=drivesdk","1812_PEBRIYENAPUTRI _ SERTIFIKAT BIMTEK IPASN BerAKHLASK")</f>
        <v>1812_PEBRIYENAPUTRI _ SERTIFIKAT BIMTEK IPASN BerAKHLASK</v>
      </c>
      <c r="P1813" s="5" t="s">
        <v>14190</v>
      </c>
      <c r="Q1813" s="5"/>
      <c r="R1813" s="5"/>
      <c r="S1813" s="5"/>
      <c r="T1813" s="5"/>
    </row>
    <row r="1814">
      <c r="A1814" s="4">
        <v>45534.3373647338</v>
      </c>
      <c r="B1814" s="5" t="s">
        <v>34</v>
      </c>
      <c r="D1814" s="5" t="s">
        <v>522</v>
      </c>
      <c r="E1814" s="5" t="s">
        <v>14205</v>
      </c>
      <c r="F1814" s="5" t="s">
        <v>375</v>
      </c>
      <c r="G1814" s="5" t="s">
        <v>14206</v>
      </c>
      <c r="H1814" s="6" t="s">
        <v>14207</v>
      </c>
      <c r="I1814" s="7" t="s">
        <v>14208</v>
      </c>
      <c r="J1814" s="8" t="str">
        <f>HYPERLINK("https://drive.google.com/file/d/11br8Pp4rHqqN06n46mQGtYLXSDnajIwW/view?usp=drivesdk","I KETUT JAYA MARNIKA, S.Kom SERTIFIKAT BerAKHLAK")</f>
        <v>I KETUT JAYA MARNIKA, S.Kom SERTIFIKAT BerAKHLAK</v>
      </c>
      <c r="K1814" s="5" t="s">
        <v>13050</v>
      </c>
      <c r="L1814" s="5" t="s">
        <v>14209</v>
      </c>
      <c r="M1814" s="5" t="s">
        <v>14210</v>
      </c>
      <c r="N1814" s="7" t="s">
        <v>14211</v>
      </c>
      <c r="O1814" s="8" t="str">
        <f>HYPERLINK("https://drive.google.com/file/d/1Ck_1Qj4_qZ8Qn60_ARjgba0Gq3nMgxBN/view?usp=drivesdk","1813_I KETUT JAYA MARNIKA, S.Kom _ SERTIFIKAT BIMTEK IPASN BerAKHLASK")</f>
        <v>1813_I KETUT JAYA MARNIKA, S.Kom _ SERTIFIKAT BIMTEK IPASN BerAKHLASK</v>
      </c>
      <c r="P1814" s="5" t="s">
        <v>14190</v>
      </c>
      <c r="Q1814" s="5"/>
      <c r="R1814" s="5"/>
      <c r="S1814" s="5"/>
      <c r="T1814" s="5"/>
    </row>
    <row r="1815">
      <c r="A1815" s="4">
        <v>45534.33736607639</v>
      </c>
      <c r="B1815" s="5" t="s">
        <v>34</v>
      </c>
      <c r="D1815" s="5" t="s">
        <v>1206</v>
      </c>
      <c r="E1815" s="5" t="s">
        <v>14212</v>
      </c>
      <c r="F1815" s="5" t="s">
        <v>212</v>
      </c>
      <c r="G1815" s="5" t="s">
        <v>14213</v>
      </c>
      <c r="H1815" s="6" t="s">
        <v>14214</v>
      </c>
      <c r="I1815" s="7" t="s">
        <v>14215</v>
      </c>
      <c r="J1815" s="8" t="str">
        <f>HYPERLINK("https://drive.google.com/file/d/1GacSAzAJ4thE6HD2gDpyKSM9D8kRNMWP/view?usp=drivesdk","SITI SYUFRIYAH  SERTIFIKAT BerAKHLAK")</f>
        <v>SITI SYUFRIYAH  SERTIFIKAT BerAKHLAK</v>
      </c>
      <c r="K1815" s="5" t="s">
        <v>14042</v>
      </c>
      <c r="L1815" s="5" t="s">
        <v>14216</v>
      </c>
      <c r="M1815" s="5" t="s">
        <v>14217</v>
      </c>
      <c r="N1815" s="7" t="s">
        <v>14218</v>
      </c>
      <c r="O1815" s="8" t="str">
        <f>HYPERLINK("https://drive.google.com/file/d/1b-8IdCPqq2niDVTDwjQ6ICkksgQDrnEZ/view?usp=drivesdk","1814_SITI SYUFRIYAH  _ SERTIFIKAT BIMTEK IPASN BerAKHLASK")</f>
        <v>1814_SITI SYUFRIYAH  _ SERTIFIKAT BIMTEK IPASN BerAKHLASK</v>
      </c>
      <c r="P1815" s="5" t="s">
        <v>14190</v>
      </c>
      <c r="Q1815" s="5"/>
      <c r="R1815" s="5"/>
      <c r="S1815" s="5"/>
      <c r="T1815" s="5"/>
    </row>
    <row r="1816">
      <c r="A1816" s="4">
        <v>45534.337377268515</v>
      </c>
      <c r="B1816" s="5" t="s">
        <v>34</v>
      </c>
      <c r="D1816" s="5" t="s">
        <v>2903</v>
      </c>
      <c r="E1816" s="5" t="s">
        <v>14219</v>
      </c>
      <c r="F1816" s="5" t="s">
        <v>22</v>
      </c>
      <c r="G1816" s="5" t="s">
        <v>14220</v>
      </c>
      <c r="H1816" s="6" t="s">
        <v>14221</v>
      </c>
      <c r="I1816" s="7" t="s">
        <v>14222</v>
      </c>
      <c r="J1816" s="8" t="str">
        <f>HYPERLINK("https://drive.google.com/file/d/1gPody9QITivkztSYuF1nmqbSAZ0C463s/view?usp=drivesdk","dr MARYATUL AINI SERTIFIKAT BerAKHLAK")</f>
        <v>dr MARYATUL AINI SERTIFIKAT BerAKHLAK</v>
      </c>
      <c r="K1816" s="5" t="s">
        <v>14042</v>
      </c>
      <c r="L1816" s="5" t="s">
        <v>14223</v>
      </c>
      <c r="M1816" s="5" t="s">
        <v>14224</v>
      </c>
      <c r="N1816" s="7" t="s">
        <v>14225</v>
      </c>
      <c r="O1816" s="8" t="str">
        <f>HYPERLINK("https://drive.google.com/file/d/1kkB1OL_nh4T4w3qp7dW7YvxoSlcm_Eo6/view?usp=drivesdk","1815_dr MARYATUL AINI _ SERTIFIKAT BIMTEK IPASN BerAKHLASK")</f>
        <v>1815_dr MARYATUL AINI _ SERTIFIKAT BIMTEK IPASN BerAKHLASK</v>
      </c>
      <c r="P1816" s="5" t="s">
        <v>14190</v>
      </c>
      <c r="Q1816" s="5"/>
      <c r="R1816" s="5"/>
      <c r="S1816" s="5"/>
      <c r="T1816" s="5"/>
    </row>
    <row r="1817" hidden="1">
      <c r="A1817" s="4">
        <v>45534.337381261576</v>
      </c>
      <c r="B1817" s="5" t="s">
        <v>19</v>
      </c>
      <c r="C1817" s="5" t="s">
        <v>292</v>
      </c>
      <c r="E1817" s="5" t="s">
        <v>14226</v>
      </c>
      <c r="F1817" s="5" t="s">
        <v>375</v>
      </c>
      <c r="G1817" s="5" t="s">
        <v>14227</v>
      </c>
      <c r="H1817" s="6" t="s">
        <v>14228</v>
      </c>
      <c r="I1817" s="7" t="s">
        <v>14229</v>
      </c>
      <c r="J1817" s="8" t="str">
        <f>HYPERLINK("https://drive.google.com/file/d/1IiOmM0iCKY1ELhuz4XBHPej2lf6K-nmY/view?usp=drivesdk","YANTI SISWANTI,S.ST,Bd SERTIFIKAT BerAKHLAK")</f>
        <v>YANTI SISWANTI,S.ST,Bd SERTIFIKAT BerAKHLAK</v>
      </c>
      <c r="K1817" s="5" t="s">
        <v>14042</v>
      </c>
      <c r="L1817" s="5" t="s">
        <v>14230</v>
      </c>
      <c r="M1817" s="5" t="s">
        <v>14231</v>
      </c>
      <c r="N1817" s="7" t="s">
        <v>14232</v>
      </c>
      <c r="O1817" s="8" t="str">
        <f>HYPERLINK("https://drive.google.com/file/d/1UA765pNMcz2ExPnnCvs7CRxG4PZ14kdj/view?usp=drivesdk","1816_YANTI SISWANTI,S.ST,Bd _ SERTIFIKAT BIMTEK IPASN BerAKHLASK")</f>
        <v>1816_YANTI SISWANTI,S.ST,Bd _ SERTIFIKAT BIMTEK IPASN BerAKHLASK</v>
      </c>
      <c r="P1817" s="5" t="s">
        <v>14233</v>
      </c>
      <c r="Q1817" s="5"/>
      <c r="R1817" s="5"/>
      <c r="S1817" s="5"/>
      <c r="T1817" s="5"/>
    </row>
    <row r="1818" hidden="1">
      <c r="A1818" s="4">
        <v>45534.33739487268</v>
      </c>
      <c r="B1818" s="5" t="s">
        <v>19</v>
      </c>
      <c r="C1818" s="5" t="s">
        <v>14000</v>
      </c>
      <c r="E1818" s="5" t="s">
        <v>14234</v>
      </c>
      <c r="F1818" s="5" t="s">
        <v>375</v>
      </c>
      <c r="G1818" s="5" t="s">
        <v>14235</v>
      </c>
      <c r="H1818" s="6" t="s">
        <v>14236</v>
      </c>
      <c r="I1818" s="7" t="s">
        <v>14237</v>
      </c>
      <c r="J1818" s="8" t="str">
        <f>HYPERLINK("https://drive.google.com/file/d/1exLPGguGzIBHOEoRXyghtzTqQsXD_aKP/view?usp=drivesdk","NURFITRI HARDHIANTY, S.E.  SERTIFIKAT BerAKHLAK")</f>
        <v>NURFITRI HARDHIANTY, S.E.  SERTIFIKAT BerAKHLAK</v>
      </c>
      <c r="K1818" s="5" t="s">
        <v>14042</v>
      </c>
      <c r="L1818" s="5" t="s">
        <v>14238</v>
      </c>
      <c r="M1818" s="5" t="s">
        <v>14239</v>
      </c>
      <c r="N1818" s="7" t="s">
        <v>14240</v>
      </c>
      <c r="O1818" s="8" t="str">
        <f>HYPERLINK("https://drive.google.com/file/d/1fCquWD8h7LX70gxG-BGqzkzT_5laSLMx/view?usp=drivesdk","1817_NURFITRI HARDHIANTY, S.E.  _ SERTIFIKAT BIMTEK IPASN BerAKHLASK")</f>
        <v>1817_NURFITRI HARDHIANTY, S.E.  _ SERTIFIKAT BIMTEK IPASN BerAKHLASK</v>
      </c>
      <c r="P1818" s="5" t="s">
        <v>14233</v>
      </c>
      <c r="Q1818" s="5"/>
      <c r="R1818" s="5"/>
      <c r="S1818" s="5"/>
      <c r="T1818" s="5"/>
    </row>
    <row r="1819">
      <c r="A1819" s="4">
        <v>45534.33740443287</v>
      </c>
      <c r="B1819" s="5" t="s">
        <v>34</v>
      </c>
      <c r="D1819" s="5" t="s">
        <v>9020</v>
      </c>
      <c r="E1819" s="5" t="s">
        <v>14241</v>
      </c>
      <c r="F1819" s="5" t="s">
        <v>375</v>
      </c>
      <c r="G1819" s="5" t="s">
        <v>14242</v>
      </c>
      <c r="H1819" s="6" t="s">
        <v>14243</v>
      </c>
      <c r="I1819" s="7" t="s">
        <v>14244</v>
      </c>
      <c r="J1819" s="8" t="str">
        <f>HYPERLINK("https://drive.google.com/file/d/14LMXoNXMAd_T6y9wWAKGkUpJ53b0oDvz/view?usp=drivesdk","RAMA NOVIANTI SERTIFIKAT BerAKHLAK")</f>
        <v>RAMA NOVIANTI SERTIFIKAT BerAKHLAK</v>
      </c>
      <c r="K1819" s="5" t="s">
        <v>14042</v>
      </c>
      <c r="L1819" s="5" t="s">
        <v>14245</v>
      </c>
      <c r="M1819" s="5" t="s">
        <v>14246</v>
      </c>
      <c r="N1819" s="7" t="s">
        <v>14247</v>
      </c>
      <c r="O1819" s="8" t="str">
        <f>HYPERLINK("https://drive.google.com/file/d/1_hlX_iY1HUkvF6QIlPUNtvJIOPj9E3pm/view?usp=drivesdk","1818_RAMA NOVIANTI _ SERTIFIKAT BIMTEK IPASN BerAKHLASK")</f>
        <v>1818_RAMA NOVIANTI _ SERTIFIKAT BIMTEK IPASN BerAKHLASK</v>
      </c>
      <c r="P1819" s="5" t="s">
        <v>14233</v>
      </c>
      <c r="Q1819" s="5"/>
      <c r="R1819" s="5"/>
      <c r="S1819" s="5"/>
      <c r="T1819" s="5"/>
    </row>
    <row r="1820">
      <c r="A1820" s="4">
        <v>45534.337432002314</v>
      </c>
      <c r="B1820" s="5" t="s">
        <v>34</v>
      </c>
      <c r="D1820" s="5" t="s">
        <v>10444</v>
      </c>
      <c r="E1820" s="5" t="s">
        <v>14248</v>
      </c>
      <c r="F1820" s="5" t="s">
        <v>37</v>
      </c>
      <c r="G1820" s="5" t="s">
        <v>14249</v>
      </c>
      <c r="H1820" s="6" t="s">
        <v>14250</v>
      </c>
      <c r="I1820" s="7" t="s">
        <v>14251</v>
      </c>
      <c r="J1820" s="8" t="str">
        <f>HYPERLINK("https://drive.google.com/file/d/1d7GciCrGGnjouA5bSUTamtRSW4aVdsYj/view?usp=drivesdk","ARRUM SETIA NINGRUM, A.MD.,FARM SERTIFIKAT BerAKHLAK")</f>
        <v>ARRUM SETIA NINGRUM, A.MD.,FARM SERTIFIKAT BerAKHLAK</v>
      </c>
      <c r="K1820" s="5" t="s">
        <v>14042</v>
      </c>
      <c r="L1820" s="5" t="s">
        <v>14252</v>
      </c>
      <c r="M1820" s="5" t="s">
        <v>14253</v>
      </c>
      <c r="N1820" s="7" t="s">
        <v>14254</v>
      </c>
      <c r="O1820" s="8" t="str">
        <f>HYPERLINK("https://drive.google.com/file/d/1I_ppeu_uA5pMeR74xusNLggF2LbrRyB0/view?usp=drivesdk","1819_ARRUM SETIA NINGRUM, A.MD.,FARM _ SERTIFIKAT BIMTEK IPASN BerAKHLASK")</f>
        <v>1819_ARRUM SETIA NINGRUM, A.MD.,FARM _ SERTIFIKAT BIMTEK IPASN BerAKHLASK</v>
      </c>
      <c r="P1820" s="5" t="s">
        <v>14233</v>
      </c>
      <c r="Q1820" s="5"/>
      <c r="R1820" s="5"/>
      <c r="S1820" s="5"/>
      <c r="T1820" s="5"/>
    </row>
    <row r="1821" hidden="1">
      <c r="A1821" s="4">
        <v>45534.3374378588</v>
      </c>
      <c r="B1821" s="5" t="s">
        <v>19</v>
      </c>
      <c r="C1821" s="5" t="s">
        <v>292</v>
      </c>
      <c r="E1821" s="5" t="s">
        <v>14255</v>
      </c>
      <c r="F1821" s="5" t="s">
        <v>72</v>
      </c>
      <c r="G1821" s="5" t="s">
        <v>14256</v>
      </c>
      <c r="H1821" s="6" t="s">
        <v>14257</v>
      </c>
      <c r="I1821" s="7" t="s">
        <v>14258</v>
      </c>
      <c r="J1821" s="8" t="str">
        <f>HYPERLINK("https://drive.google.com/file/d/1mSLuw6ViCu52jgSCRPZHywgQtZ9sUDZA/view?usp=drivesdk","Rr. WIWIT SRI SURATIWI INDRA SUBEKTI, A.Md SERTIFIKAT BerAKHLAK")</f>
        <v>Rr. WIWIT SRI SURATIWI INDRA SUBEKTI, A.Md SERTIFIKAT BerAKHLAK</v>
      </c>
      <c r="K1821" s="5" t="s">
        <v>14042</v>
      </c>
      <c r="L1821" s="5" t="s">
        <v>14259</v>
      </c>
      <c r="M1821" s="5" t="s">
        <v>14260</v>
      </c>
      <c r="N1821" s="7" t="s">
        <v>14261</v>
      </c>
      <c r="O1821" s="8" t="str">
        <f>HYPERLINK("https://drive.google.com/file/d/1QCH8xlv0wZ2V2xgxArZkvR8hjtBVqG26/view?usp=drivesdk","1820_Rr. WIWIT SRI SURATIWI INDRA SUBEKTI, A.Md _ SERTIFIKAT BIMTEK IPASN BerAKHLASK")</f>
        <v>1820_Rr. WIWIT SRI SURATIWI INDRA SUBEKTI, A.Md _ SERTIFIKAT BIMTEK IPASN BerAKHLASK</v>
      </c>
      <c r="P1821" s="5" t="s">
        <v>14233</v>
      </c>
      <c r="Q1821" s="5"/>
      <c r="R1821" s="5"/>
      <c r="S1821" s="5"/>
      <c r="T1821" s="5"/>
    </row>
    <row r="1822">
      <c r="A1822" s="4">
        <v>45534.33744270833</v>
      </c>
      <c r="B1822" s="5" t="s">
        <v>34</v>
      </c>
      <c r="D1822" s="5" t="s">
        <v>267</v>
      </c>
      <c r="E1822" s="5" t="s">
        <v>14262</v>
      </c>
      <c r="F1822" s="5" t="s">
        <v>375</v>
      </c>
      <c r="G1822" s="5" t="s">
        <v>14263</v>
      </c>
      <c r="H1822" s="6" t="s">
        <v>14264</v>
      </c>
      <c r="I1822" s="7" t="s">
        <v>14265</v>
      </c>
      <c r="J1822" s="8" t="str">
        <f>HYPERLINK("https://drive.google.com/file/d/1mqwzGTmKDunUqgHq2FLWNyi_0unbfNHY/view?usp=drivesdk","URIP ANDIKA PUSPITANINGSIH SERTIFIKAT BerAKHLAK")</f>
        <v>URIP ANDIKA PUSPITANINGSIH SERTIFIKAT BerAKHLAK</v>
      </c>
      <c r="K1822" s="5" t="s">
        <v>14042</v>
      </c>
      <c r="L1822" s="5" t="s">
        <v>14266</v>
      </c>
      <c r="M1822" s="5" t="s">
        <v>14267</v>
      </c>
      <c r="N1822" s="7" t="s">
        <v>14268</v>
      </c>
      <c r="O1822" s="8" t="str">
        <f>HYPERLINK("https://drive.google.com/file/d/1qjzQD2qs8IW4rYw-Kb6tsO3owK69U1u1/view?usp=drivesdk","1821_URIP ANDIKA PUSPITANINGSIH _ SERTIFIKAT BIMTEK IPASN BerAKHLASK")</f>
        <v>1821_URIP ANDIKA PUSPITANINGSIH _ SERTIFIKAT BIMTEK IPASN BerAKHLASK</v>
      </c>
      <c r="P1822" s="5" t="s">
        <v>14233</v>
      </c>
      <c r="Q1822" s="5"/>
      <c r="R1822" s="5"/>
      <c r="S1822" s="5"/>
      <c r="T1822" s="5"/>
    </row>
    <row r="1823">
      <c r="A1823" s="4">
        <v>45534.33745186342</v>
      </c>
      <c r="B1823" s="5" t="s">
        <v>34</v>
      </c>
      <c r="D1823" s="5" t="s">
        <v>12978</v>
      </c>
      <c r="E1823" s="5" t="s">
        <v>14269</v>
      </c>
      <c r="F1823" s="5" t="s">
        <v>212</v>
      </c>
      <c r="G1823" s="5" t="s">
        <v>14270</v>
      </c>
      <c r="H1823" s="6" t="s">
        <v>14271</v>
      </c>
      <c r="I1823" s="7" t="s">
        <v>14272</v>
      </c>
      <c r="J1823" s="8" t="str">
        <f>HYPERLINK("https://drive.google.com/file/d/1JXoHjyaO3PlQ0rMLVPVAJenEbzQLLGN_/view?usp=drivesdk","SEPTI HARMIYATY, S.H. SERTIFIKAT BerAKHLAK")</f>
        <v>SEPTI HARMIYATY, S.H. SERTIFIKAT BerAKHLAK</v>
      </c>
      <c r="K1823" s="5" t="s">
        <v>14042</v>
      </c>
      <c r="L1823" s="5" t="s">
        <v>14273</v>
      </c>
      <c r="M1823" s="5" t="s">
        <v>14274</v>
      </c>
      <c r="N1823" s="7" t="s">
        <v>14275</v>
      </c>
      <c r="O1823" s="8" t="str">
        <f>HYPERLINK("https://drive.google.com/file/d/16t37wt5NGEe3eDFS2PiurQeoRdJUVitO/view?usp=drivesdk","1822_SEPTI HARMIYATY, S.H. _ SERTIFIKAT BIMTEK IPASN BerAKHLASK")</f>
        <v>1822_SEPTI HARMIYATY, S.H. _ SERTIFIKAT BIMTEK IPASN BerAKHLASK</v>
      </c>
      <c r="P1823" s="5" t="s">
        <v>14276</v>
      </c>
      <c r="Q1823" s="5"/>
      <c r="R1823" s="5"/>
      <c r="S1823" s="5"/>
      <c r="T1823" s="5"/>
    </row>
    <row r="1824">
      <c r="A1824" s="4">
        <v>45534.33745506944</v>
      </c>
      <c r="B1824" s="5" t="s">
        <v>34</v>
      </c>
      <c r="D1824" s="5" t="s">
        <v>12010</v>
      </c>
      <c r="E1824" s="5" t="s">
        <v>14277</v>
      </c>
      <c r="F1824" s="5" t="s">
        <v>37</v>
      </c>
      <c r="G1824" s="5" t="s">
        <v>14278</v>
      </c>
      <c r="H1824" s="6" t="s">
        <v>14279</v>
      </c>
      <c r="I1824" s="7" t="s">
        <v>14280</v>
      </c>
      <c r="J1824" s="8" t="str">
        <f>HYPERLINK("https://drive.google.com/file/d/1AD1HPbf7sBnK2FKo3QbNyz3DaOVbXe4m/view?usp=drivesdk","BUHAERA KASIM SERTIFIKAT BerAKHLAK")</f>
        <v>BUHAERA KASIM SERTIFIKAT BerAKHLAK</v>
      </c>
      <c r="K1824" s="5" t="s">
        <v>14042</v>
      </c>
      <c r="L1824" s="5" t="s">
        <v>14281</v>
      </c>
      <c r="M1824" s="5" t="s">
        <v>14282</v>
      </c>
      <c r="N1824" s="7" t="s">
        <v>14283</v>
      </c>
      <c r="O1824" s="8" t="str">
        <f>HYPERLINK("https://drive.google.com/file/d/1N8oLO-rAU_iApiUhkBbGoQ7QlYcqMPDN/view?usp=drivesdk","1823_BUHAERA KASIM _ SERTIFIKAT BIMTEK IPASN BerAKHLASK")</f>
        <v>1823_BUHAERA KASIM _ SERTIFIKAT BIMTEK IPASN BerAKHLASK</v>
      </c>
      <c r="P1824" s="5" t="s">
        <v>14276</v>
      </c>
      <c r="Q1824" s="5"/>
      <c r="R1824" s="5"/>
      <c r="S1824" s="5"/>
      <c r="T1824" s="5"/>
    </row>
    <row r="1825">
      <c r="A1825" s="4">
        <v>45534.33746671297</v>
      </c>
      <c r="B1825" s="5" t="s">
        <v>34</v>
      </c>
      <c r="D1825" s="5" t="s">
        <v>996</v>
      </c>
      <c r="E1825" s="5" t="s">
        <v>14284</v>
      </c>
      <c r="F1825" s="5" t="s">
        <v>212</v>
      </c>
      <c r="G1825" s="5" t="s">
        <v>14285</v>
      </c>
      <c r="H1825" s="6" t="s">
        <v>14286</v>
      </c>
      <c r="I1825" s="7" t="s">
        <v>14287</v>
      </c>
      <c r="J1825" s="8" t="str">
        <f>HYPERLINK("https://drive.google.com/file/d/1k0GhNjCOOWfUGoi5Fyb33beuQ7obfo9d/view?usp=drivesdk","WINARTIN LIVIANA SERTIFIKAT BerAKHLAK")</f>
        <v>WINARTIN LIVIANA SERTIFIKAT BerAKHLAK</v>
      </c>
      <c r="K1825" s="5" t="s">
        <v>14042</v>
      </c>
      <c r="L1825" s="5" t="s">
        <v>14288</v>
      </c>
      <c r="M1825" s="5" t="s">
        <v>14289</v>
      </c>
      <c r="N1825" s="7" t="s">
        <v>14290</v>
      </c>
      <c r="O1825" s="8" t="str">
        <f>HYPERLINK("https://drive.google.com/file/d/1k8X6pV0irviDW85MmzRudSLGSdpAKZvo/view?usp=drivesdk","1824_WINARTIN LIVIANA _ SERTIFIKAT BIMTEK IPASN BerAKHLASK")</f>
        <v>1824_WINARTIN LIVIANA _ SERTIFIKAT BIMTEK IPASN BerAKHLASK</v>
      </c>
      <c r="P1825" s="5" t="s">
        <v>14276</v>
      </c>
      <c r="Q1825" s="5"/>
      <c r="R1825" s="5"/>
      <c r="S1825" s="5"/>
      <c r="T1825" s="5"/>
    </row>
    <row r="1826">
      <c r="A1826" s="4">
        <v>45534.33747182871</v>
      </c>
      <c r="B1826" s="5" t="s">
        <v>34</v>
      </c>
      <c r="D1826" s="5" t="s">
        <v>9020</v>
      </c>
      <c r="E1826" s="5" t="s">
        <v>14291</v>
      </c>
      <c r="F1826" s="5" t="s">
        <v>524</v>
      </c>
      <c r="G1826" s="5" t="s">
        <v>14292</v>
      </c>
      <c r="H1826" s="6" t="s">
        <v>14293</v>
      </c>
      <c r="I1826" s="7" t="s">
        <v>14294</v>
      </c>
      <c r="J1826" s="8" t="str">
        <f>HYPERLINK("https://drive.google.com/file/d/12vz9QNOE1WptkycT825D9CrSz0CS_p9n/view?usp=drivesdk","SERITA BR SEBAYANG SERTIFIKAT BerAKHLAK")</f>
        <v>SERITA BR SEBAYANG SERTIFIKAT BerAKHLAK</v>
      </c>
      <c r="K1826" s="5" t="s">
        <v>14042</v>
      </c>
      <c r="L1826" s="5" t="s">
        <v>14295</v>
      </c>
      <c r="M1826" s="5" t="s">
        <v>14296</v>
      </c>
      <c r="N1826" s="7" t="s">
        <v>14297</v>
      </c>
      <c r="O1826" s="8" t="str">
        <f>HYPERLINK("https://drive.google.com/file/d/1JqvQzZc2yAVpJOhRaJTO_ubgZSdFE73B/view?usp=drivesdk","1825_SERITA BR SEBAYANG _ SERTIFIKAT BIMTEK IPASN BerAKHLASK")</f>
        <v>1825_SERITA BR SEBAYANG _ SERTIFIKAT BIMTEK IPASN BerAKHLASK</v>
      </c>
      <c r="P1826" s="5" t="s">
        <v>14276</v>
      </c>
      <c r="Q1826" s="5"/>
      <c r="R1826" s="5"/>
      <c r="S1826" s="5"/>
      <c r="T1826" s="5"/>
    </row>
    <row r="1827">
      <c r="A1827" s="4">
        <v>45534.33747842592</v>
      </c>
      <c r="B1827" s="5" t="s">
        <v>34</v>
      </c>
      <c r="D1827" s="5" t="s">
        <v>10444</v>
      </c>
      <c r="E1827" s="5" t="s">
        <v>14298</v>
      </c>
      <c r="F1827" s="5" t="s">
        <v>108</v>
      </c>
      <c r="G1827" s="5" t="s">
        <v>14299</v>
      </c>
      <c r="H1827" s="6" t="s">
        <v>14300</v>
      </c>
      <c r="I1827" s="7" t="s">
        <v>14301</v>
      </c>
      <c r="J1827" s="8" t="str">
        <f>HYPERLINK("https://drive.google.com/file/d/1911wItE34FDGOiKEgvVJ3yQBbxXYz-bP/view?usp=drivesdk","DRG. NOVELYA, M.BIOMED SERTIFIKAT BerAKHLAK")</f>
        <v>DRG. NOVELYA, M.BIOMED SERTIFIKAT BerAKHLAK</v>
      </c>
      <c r="K1827" s="5" t="s">
        <v>14042</v>
      </c>
      <c r="L1827" s="5" t="s">
        <v>14302</v>
      </c>
      <c r="M1827" s="5" t="s">
        <v>14303</v>
      </c>
      <c r="N1827" s="7" t="s">
        <v>14304</v>
      </c>
      <c r="O1827" s="8" t="str">
        <f>HYPERLINK("https://drive.google.com/file/d/1bZWv_0zmI6mdopn7MkLsrdvlkYXFt3LR/view?usp=drivesdk","1826_DRG. NOVELYA, M.BIOMED _ SERTIFIKAT BIMTEK IPASN BerAKHLASK")</f>
        <v>1826_DRG. NOVELYA, M.BIOMED _ SERTIFIKAT BIMTEK IPASN BerAKHLASK</v>
      </c>
      <c r="P1827" s="5" t="s">
        <v>14276</v>
      </c>
      <c r="Q1827" s="5"/>
      <c r="R1827" s="5"/>
      <c r="S1827" s="5"/>
      <c r="T1827" s="5"/>
    </row>
    <row r="1828">
      <c r="A1828" s="4">
        <v>45534.33748982639</v>
      </c>
      <c r="B1828" s="5" t="s">
        <v>34</v>
      </c>
      <c r="D1828" s="5" t="s">
        <v>2903</v>
      </c>
      <c r="E1828" s="5" t="s">
        <v>14305</v>
      </c>
      <c r="F1828" s="5" t="s">
        <v>108</v>
      </c>
      <c r="G1828" s="5" t="s">
        <v>14306</v>
      </c>
      <c r="H1828" s="6" t="s">
        <v>14307</v>
      </c>
      <c r="I1828" s="7" t="s">
        <v>14308</v>
      </c>
      <c r="J1828" s="8" t="str">
        <f>HYPERLINK("https://drive.google.com/file/d/1EBbnI6AGjPojDcTNz0-e1Xf-n1za88AO/view?usp=drivesdk","SIS UNTARI WERDINI SERTIFIKAT BerAKHLAK")</f>
        <v>SIS UNTARI WERDINI SERTIFIKAT BerAKHLAK</v>
      </c>
      <c r="K1828" s="5" t="s">
        <v>14042</v>
      </c>
      <c r="L1828" s="5" t="s">
        <v>14309</v>
      </c>
      <c r="M1828" s="5" t="s">
        <v>14310</v>
      </c>
      <c r="N1828" s="7" t="s">
        <v>14311</v>
      </c>
      <c r="O1828" s="8" t="str">
        <f>HYPERLINK("https://drive.google.com/file/d/17E8TifiE9h-0E9EE1O_BO1BoC91fde38/view?usp=drivesdk","1827_SIS UNTARI WERDINI _ SERTIFIKAT BIMTEK IPASN BerAKHLASK")</f>
        <v>1827_SIS UNTARI WERDINI _ SERTIFIKAT BIMTEK IPASN BerAKHLASK</v>
      </c>
      <c r="P1828" s="5" t="s">
        <v>14312</v>
      </c>
      <c r="Q1828" s="5"/>
      <c r="R1828" s="5"/>
      <c r="S1828" s="5"/>
      <c r="T1828" s="5"/>
    </row>
    <row r="1829">
      <c r="A1829" s="4">
        <v>45534.3374947338</v>
      </c>
      <c r="B1829" s="5" t="s">
        <v>34</v>
      </c>
      <c r="D1829" s="5" t="s">
        <v>14313</v>
      </c>
      <c r="E1829" s="5" t="s">
        <v>14314</v>
      </c>
      <c r="F1829" s="5" t="s">
        <v>715</v>
      </c>
      <c r="G1829" s="5" t="s">
        <v>14315</v>
      </c>
      <c r="H1829" s="6" t="s">
        <v>14316</v>
      </c>
      <c r="I1829" s="7" t="s">
        <v>14317</v>
      </c>
      <c r="J1829" s="8" t="str">
        <f>HYPERLINK("https://drive.google.com/file/d/1oa3af1i9h8-63Bc4HIuuPwHZoECTIQb0/view?usp=drivesdk","SATRIANA MEILIANI M, A.Md.Kep SERTIFIKAT BerAKHLAK")</f>
        <v>SATRIANA MEILIANI M, A.Md.Kep SERTIFIKAT BerAKHLAK</v>
      </c>
      <c r="K1829" s="5" t="s">
        <v>14042</v>
      </c>
      <c r="L1829" s="5" t="s">
        <v>14318</v>
      </c>
      <c r="M1829" s="5" t="s">
        <v>14319</v>
      </c>
      <c r="N1829" s="7" t="s">
        <v>14320</v>
      </c>
      <c r="O1829" s="8" t="str">
        <f>HYPERLINK("https://drive.google.com/file/d/13udnbec6byISGA5U44ah5dPSQ2ynJhWy/view?usp=drivesdk","1828_SATRIANA MEILIANI M, A.Md.Kep _ SERTIFIKAT BIMTEK IPASN BerAKHLASK")</f>
        <v>1828_SATRIANA MEILIANI M, A.Md.Kep _ SERTIFIKAT BIMTEK IPASN BerAKHLASK</v>
      </c>
      <c r="P1829" s="5" t="s">
        <v>14312</v>
      </c>
      <c r="Q1829" s="5"/>
      <c r="R1829" s="5"/>
      <c r="S1829" s="5"/>
      <c r="T1829" s="5"/>
    </row>
    <row r="1830">
      <c r="A1830" s="4">
        <v>45534.33751236111</v>
      </c>
      <c r="B1830" s="5" t="s">
        <v>34</v>
      </c>
      <c r="D1830" s="5" t="s">
        <v>6232</v>
      </c>
      <c r="E1830" s="5" t="s">
        <v>14321</v>
      </c>
      <c r="F1830" s="5" t="s">
        <v>37</v>
      </c>
      <c r="G1830" s="5" t="s">
        <v>14322</v>
      </c>
      <c r="H1830" s="6" t="s">
        <v>14323</v>
      </c>
      <c r="I1830" s="7" t="s">
        <v>14324</v>
      </c>
      <c r="J1830" s="8" t="str">
        <f>HYPERLINK("https://drive.google.com/file/d/1hpeTvhSWiAZp1ZrX_hyeXQlhcPsDqYhP/view?usp=drivesdk","CHINDI VAN ARISTA, Am.Kep SERTIFIKAT BerAKHLAK")</f>
        <v>CHINDI VAN ARISTA, Am.Kep SERTIFIKAT BerAKHLAK</v>
      </c>
      <c r="K1830" s="5" t="s">
        <v>14042</v>
      </c>
      <c r="L1830" s="5" t="s">
        <v>14325</v>
      </c>
      <c r="M1830" s="5" t="s">
        <v>14326</v>
      </c>
      <c r="N1830" s="7" t="s">
        <v>14327</v>
      </c>
      <c r="O1830" s="8" t="str">
        <f>HYPERLINK("https://drive.google.com/file/d/10QQbX6b103j7h-YAnKUakcicfPz1n0hM/view?usp=drivesdk","1829_CHINDI VAN ARISTA, Am.Kep _ SERTIFIKAT BIMTEK IPASN BerAKHLASK")</f>
        <v>1829_CHINDI VAN ARISTA, Am.Kep _ SERTIFIKAT BIMTEK IPASN BerAKHLASK</v>
      </c>
      <c r="P1830" s="5" t="s">
        <v>14312</v>
      </c>
      <c r="Q1830" s="5"/>
      <c r="R1830" s="5"/>
      <c r="S1830" s="5"/>
      <c r="T1830" s="5"/>
    </row>
    <row r="1831">
      <c r="A1831" s="4">
        <v>45534.33752784722</v>
      </c>
      <c r="B1831" s="5" t="s">
        <v>34</v>
      </c>
      <c r="D1831" s="5" t="s">
        <v>4775</v>
      </c>
      <c r="E1831" s="5" t="s">
        <v>14328</v>
      </c>
      <c r="F1831" s="5" t="s">
        <v>212</v>
      </c>
      <c r="G1831" s="5" t="s">
        <v>14329</v>
      </c>
      <c r="H1831" s="6" t="s">
        <v>14330</v>
      </c>
      <c r="K1831" s="5" t="s">
        <v>14331</v>
      </c>
      <c r="M1831" s="5" t="s">
        <v>14332</v>
      </c>
      <c r="N1831" s="7" t="s">
        <v>14333</v>
      </c>
      <c r="O1831" s="8" t="str">
        <f>HYPERLINK("https://drive.google.com/file/d/12Se6QLSSUvShmXuSajB4YNAvbE7eq7Kd/view?usp=drivesdk","1830_EKO YULIANTO AMd Kep _ SERTIFIKAT BIMTEK IPASN BerAKHLASK")</f>
        <v>1830_EKO YULIANTO AMd Kep _ SERTIFIKAT BIMTEK IPASN BerAKHLASK</v>
      </c>
      <c r="P1831" s="5" t="s">
        <v>14312</v>
      </c>
      <c r="Q1831" s="5"/>
      <c r="R1831" s="5"/>
      <c r="S1831" s="5"/>
      <c r="T1831" s="5"/>
    </row>
    <row r="1832" hidden="1">
      <c r="A1832" s="4">
        <v>45534.33753423611</v>
      </c>
      <c r="B1832" s="5" t="s">
        <v>19</v>
      </c>
      <c r="C1832" s="5" t="s">
        <v>11593</v>
      </c>
      <c r="E1832" s="5" t="s">
        <v>14334</v>
      </c>
      <c r="F1832" s="5" t="s">
        <v>37</v>
      </c>
      <c r="G1832" s="5" t="s">
        <v>14335</v>
      </c>
      <c r="H1832" s="6" t="s">
        <v>14336</v>
      </c>
      <c r="K1832" s="5" t="s">
        <v>14331</v>
      </c>
      <c r="M1832" s="5" t="s">
        <v>14337</v>
      </c>
      <c r="N1832" s="7" t="s">
        <v>14338</v>
      </c>
      <c r="O1832" s="8" t="str">
        <f>HYPERLINK("https://drive.google.com/file/d/147czLpV9XyeQ_8ZS5bFDTlQMY17lankh/view?usp=drivesdk","1831_SYAHRUL NASUHI _ SERTIFIKAT BIMTEK IPASN BerAKHLASK")</f>
        <v>1831_SYAHRUL NASUHI _ SERTIFIKAT BIMTEK IPASN BerAKHLASK</v>
      </c>
      <c r="P1832" s="5" t="s">
        <v>14312</v>
      </c>
      <c r="Q1832" s="5"/>
      <c r="R1832" s="5"/>
      <c r="S1832" s="5"/>
      <c r="T1832" s="5"/>
    </row>
    <row r="1833">
      <c r="A1833" s="4">
        <v>45534.33755998843</v>
      </c>
      <c r="B1833" s="5" t="s">
        <v>34</v>
      </c>
      <c r="D1833" s="5" t="s">
        <v>9020</v>
      </c>
      <c r="E1833" s="5" t="s">
        <v>14339</v>
      </c>
      <c r="F1833" s="5" t="s">
        <v>37</v>
      </c>
      <c r="G1833" s="5" t="s">
        <v>14340</v>
      </c>
      <c r="H1833" s="6" t="s">
        <v>14341</v>
      </c>
      <c r="K1833" s="5" t="s">
        <v>14331</v>
      </c>
      <c r="M1833" s="5" t="s">
        <v>14342</v>
      </c>
      <c r="N1833" s="7" t="s">
        <v>14343</v>
      </c>
      <c r="O1833" s="8" t="str">
        <f>HYPERLINK("https://drive.google.com/file/d/1ivGBv982TtWFh7WQUc_5ylIkA7c1jhOn/view?usp=drivesdk","1832_NURHIDAYAH GUCI  _ SERTIFIKAT BIMTEK IPASN BerAKHLASK")</f>
        <v>1832_NURHIDAYAH GUCI  _ SERTIFIKAT BIMTEK IPASN BerAKHLASK</v>
      </c>
      <c r="P1833" s="5" t="s">
        <v>14344</v>
      </c>
      <c r="Q1833" s="5"/>
      <c r="R1833" s="5"/>
      <c r="S1833" s="5"/>
      <c r="T1833" s="5"/>
    </row>
    <row r="1834">
      <c r="A1834" s="4">
        <v>45534.337564456015</v>
      </c>
      <c r="B1834" s="5" t="s">
        <v>34</v>
      </c>
      <c r="D1834" s="5" t="s">
        <v>1206</v>
      </c>
      <c r="E1834" s="5" t="s">
        <v>14345</v>
      </c>
      <c r="F1834" s="5" t="s">
        <v>524</v>
      </c>
      <c r="G1834" s="5" t="s">
        <v>14346</v>
      </c>
      <c r="H1834" s="6" t="s">
        <v>14347</v>
      </c>
      <c r="K1834" s="5" t="s">
        <v>14331</v>
      </c>
      <c r="M1834" s="5" t="s">
        <v>14348</v>
      </c>
      <c r="N1834" s="7" t="s">
        <v>14349</v>
      </c>
      <c r="O1834" s="8" t="str">
        <f>HYPERLINK("https://drive.google.com/file/d/16hhTU1oNapIHZ1dsIl5sV6FGGUzD76S1/view?usp=drivesdk","1833_DINI SURYATI TJIPTANINGDIYAH _ SERTIFIKAT BIMTEK IPASN BerAKHLASK")</f>
        <v>1833_DINI SURYATI TJIPTANINGDIYAH _ SERTIFIKAT BIMTEK IPASN BerAKHLASK</v>
      </c>
      <c r="P1834" s="5" t="s">
        <v>14344</v>
      </c>
      <c r="Q1834" s="5"/>
      <c r="R1834" s="5"/>
      <c r="S1834" s="5"/>
      <c r="T1834" s="5"/>
    </row>
    <row r="1835">
      <c r="A1835" s="4">
        <v>45534.33756615741</v>
      </c>
      <c r="B1835" s="5" t="s">
        <v>34</v>
      </c>
      <c r="D1835" s="5" t="s">
        <v>701</v>
      </c>
      <c r="E1835" s="5" t="s">
        <v>14350</v>
      </c>
      <c r="F1835" s="5" t="s">
        <v>715</v>
      </c>
      <c r="G1835" s="5" t="s">
        <v>14351</v>
      </c>
      <c r="H1835" s="6" t="s">
        <v>14352</v>
      </c>
      <c r="K1835" s="5" t="s">
        <v>14331</v>
      </c>
      <c r="M1835" s="5" t="s">
        <v>14353</v>
      </c>
      <c r="N1835" s="7" t="s">
        <v>14354</v>
      </c>
      <c r="O1835" s="8" t="str">
        <f>HYPERLINK("https://drive.google.com/file/d/1y5RR-6pWWv3p5uYWf64QyHoIWIU1I7-X/view?usp=drivesdk","1834_SILFIA ARMI AMD KEP _ SERTIFIKAT BIMTEK IPASN BerAKHLASK")</f>
        <v>1834_SILFIA ARMI AMD KEP _ SERTIFIKAT BIMTEK IPASN BerAKHLASK</v>
      </c>
      <c r="P1835" s="5" t="s">
        <v>14344</v>
      </c>
      <c r="Q1835" s="5"/>
      <c r="R1835" s="5"/>
      <c r="S1835" s="5"/>
      <c r="T1835" s="5"/>
    </row>
    <row r="1836">
      <c r="A1836" s="4">
        <v>45534.33758528935</v>
      </c>
      <c r="B1836" s="5" t="s">
        <v>34</v>
      </c>
      <c r="D1836" s="5" t="s">
        <v>580</v>
      </c>
      <c r="E1836" s="5" t="s">
        <v>14355</v>
      </c>
      <c r="F1836" s="5" t="s">
        <v>120</v>
      </c>
      <c r="G1836" s="5" t="s">
        <v>14356</v>
      </c>
      <c r="H1836" s="6" t="s">
        <v>14357</v>
      </c>
      <c r="K1836" s="5" t="s">
        <v>14331</v>
      </c>
      <c r="M1836" s="5" t="s">
        <v>14358</v>
      </c>
      <c r="N1836" s="7" t="s">
        <v>14359</v>
      </c>
      <c r="O1836" s="8" t="str">
        <f>HYPERLINK("https://drive.google.com/file/d/1A6u6i_pLC-9idFsNTwkAvbf2mT1WA9sf/view?usp=drivesdk","1835_PUTU SRIKANTI, S.TP.,M.Si _ SERTIFIKAT BIMTEK IPASN BerAKHLASK")</f>
        <v>1835_PUTU SRIKANTI, S.TP.,M.Si _ SERTIFIKAT BIMTEK IPASN BerAKHLASK</v>
      </c>
      <c r="P1836" s="5" t="s">
        <v>14344</v>
      </c>
      <c r="Q1836" s="5"/>
      <c r="R1836" s="5"/>
      <c r="S1836" s="5"/>
      <c r="T1836" s="5"/>
    </row>
    <row r="1837">
      <c r="A1837" s="4">
        <v>45534.337588553244</v>
      </c>
      <c r="B1837" s="5" t="s">
        <v>34</v>
      </c>
      <c r="D1837" s="5" t="s">
        <v>6232</v>
      </c>
      <c r="E1837" s="5" t="s">
        <v>14360</v>
      </c>
      <c r="F1837" s="5" t="s">
        <v>108</v>
      </c>
      <c r="G1837" s="5" t="s">
        <v>14361</v>
      </c>
      <c r="H1837" s="6" t="s">
        <v>14362</v>
      </c>
      <c r="K1837" s="5" t="s">
        <v>14331</v>
      </c>
      <c r="M1837" s="5" t="s">
        <v>14363</v>
      </c>
      <c r="N1837" s="7" t="s">
        <v>14364</v>
      </c>
      <c r="O1837" s="8" t="str">
        <f>HYPERLINK("https://drive.google.com/file/d/13Eh-bf0RvFthZfrk5gOd-iDFiN6wMWRw/view?usp=drivesdk","1836_NELDA YANTI ZAINAL _ SERTIFIKAT BIMTEK IPASN BerAKHLASK")</f>
        <v>1836_NELDA YANTI ZAINAL _ SERTIFIKAT BIMTEK IPASN BerAKHLASK</v>
      </c>
      <c r="P1837" s="5" t="s">
        <v>14344</v>
      </c>
      <c r="Q1837" s="5"/>
      <c r="R1837" s="5"/>
      <c r="S1837" s="5"/>
      <c r="T1837" s="5"/>
    </row>
    <row r="1838">
      <c r="A1838" s="4">
        <v>45534.33760771991</v>
      </c>
      <c r="B1838" s="5" t="s">
        <v>34</v>
      </c>
      <c r="D1838" s="5" t="s">
        <v>9020</v>
      </c>
      <c r="E1838" s="5" t="s">
        <v>14365</v>
      </c>
      <c r="F1838" s="5" t="s">
        <v>212</v>
      </c>
      <c r="G1838" s="5" t="s">
        <v>14366</v>
      </c>
      <c r="H1838" s="6" t="s">
        <v>14367</v>
      </c>
      <c r="K1838" s="5" t="s">
        <v>14331</v>
      </c>
      <c r="M1838" s="5" t="s">
        <v>14368</v>
      </c>
      <c r="N1838" s="7" t="s">
        <v>14369</v>
      </c>
      <c r="O1838" s="8" t="str">
        <f>HYPERLINK("https://drive.google.com/file/d/1QX0VOTBlaKR9pIeBspPoXskAV7s6S5_D/view?usp=drivesdk","1837_AZWAR EFFENDI, S.E, M.M _ SERTIFIKAT BIMTEK IPASN BerAKHLASK")</f>
        <v>1837_AZWAR EFFENDI, S.E, M.M _ SERTIFIKAT BIMTEK IPASN BerAKHLASK</v>
      </c>
      <c r="P1838" s="5" t="s">
        <v>14344</v>
      </c>
      <c r="Q1838" s="5"/>
      <c r="R1838" s="5"/>
      <c r="S1838" s="5"/>
      <c r="T1838" s="5"/>
    </row>
    <row r="1839">
      <c r="A1839" s="4">
        <v>45534.33761052083</v>
      </c>
      <c r="B1839" s="5" t="s">
        <v>34</v>
      </c>
      <c r="D1839" s="5" t="s">
        <v>35</v>
      </c>
      <c r="E1839" s="5" t="s">
        <v>14370</v>
      </c>
      <c r="F1839" s="5" t="s">
        <v>199</v>
      </c>
      <c r="G1839" s="5" t="s">
        <v>14371</v>
      </c>
      <c r="H1839" s="6" t="s">
        <v>14372</v>
      </c>
      <c r="K1839" s="5" t="s">
        <v>14331</v>
      </c>
      <c r="M1839" s="5" t="s">
        <v>14373</v>
      </c>
      <c r="N1839" s="7" t="s">
        <v>14374</v>
      </c>
      <c r="O1839" s="8" t="str">
        <f>HYPERLINK("https://drive.google.com/file/d/1315-rRv1y1xPfZWxOPBxKuf6rVW-m_6R/view?usp=drivesdk","1838_SUGINA HARUM _ SERTIFIKAT BIMTEK IPASN BerAKHLASK")</f>
        <v>1838_SUGINA HARUM _ SERTIFIKAT BIMTEK IPASN BerAKHLASK</v>
      </c>
      <c r="P1839" s="5" t="s">
        <v>14375</v>
      </c>
      <c r="Q1839" s="5"/>
      <c r="R1839" s="5"/>
      <c r="S1839" s="5"/>
      <c r="T1839" s="5"/>
    </row>
    <row r="1840">
      <c r="A1840" s="4">
        <v>45534.33763835648</v>
      </c>
      <c r="B1840" s="5" t="s">
        <v>34</v>
      </c>
      <c r="D1840" s="5" t="s">
        <v>975</v>
      </c>
      <c r="E1840" s="5" t="s">
        <v>14376</v>
      </c>
      <c r="F1840" s="5" t="s">
        <v>6776</v>
      </c>
      <c r="G1840" s="5" t="s">
        <v>14377</v>
      </c>
      <c r="H1840" s="6" t="s">
        <v>14378</v>
      </c>
      <c r="I1840" s="7" t="s">
        <v>14379</v>
      </c>
      <c r="J1840" s="8" t="str">
        <f>HYPERLINK("https://drive.google.com/file/d/14AjeMg5yUdYZeD0lVlQY-1NCrCFYZjqU/view?usp=drivesdk","DINI LAXMIARY, A.Md.Keb SERTIFIKAT BerAKHLAK")</f>
        <v>DINI LAXMIARY, A.Md.Keb SERTIFIKAT BerAKHLAK</v>
      </c>
      <c r="K1840" s="5" t="s">
        <v>14042</v>
      </c>
      <c r="L1840" s="5" t="s">
        <v>14380</v>
      </c>
      <c r="M1840" s="5" t="s">
        <v>14381</v>
      </c>
      <c r="N1840" s="7" t="s">
        <v>14382</v>
      </c>
      <c r="O1840" s="8" t="str">
        <f>HYPERLINK("https://drive.google.com/file/d/1rP1AebtRwaUv9gkEaLiFBmIwGUg-hPG6/view?usp=drivesdk","1839_DINI LAXMIARY, A.Md.Keb _ SERTIFIKAT BIMTEK IPASN BerAKHLASK")</f>
        <v>1839_DINI LAXMIARY, A.Md.Keb _ SERTIFIKAT BIMTEK IPASN BerAKHLASK</v>
      </c>
      <c r="P1840" s="5" t="s">
        <v>14375</v>
      </c>
      <c r="Q1840" s="5"/>
      <c r="R1840" s="5"/>
      <c r="S1840" s="5"/>
      <c r="T1840" s="5"/>
    </row>
    <row r="1841">
      <c r="A1841" s="4">
        <v>45534.33764575231</v>
      </c>
      <c r="B1841" s="5" t="s">
        <v>34</v>
      </c>
      <c r="D1841" s="5" t="s">
        <v>1206</v>
      </c>
      <c r="E1841" s="5" t="s">
        <v>14383</v>
      </c>
      <c r="F1841" s="5" t="s">
        <v>37</v>
      </c>
      <c r="G1841" s="5" t="s">
        <v>14384</v>
      </c>
      <c r="H1841" s="6" t="s">
        <v>14385</v>
      </c>
      <c r="I1841" s="7" t="s">
        <v>14386</v>
      </c>
      <c r="J1841" s="8" t="str">
        <f>HYPERLINK("https://drive.google.com/file/d/1AyZFdsdQ4vJM_8WVvbGlO7EFr-x2tKBS/view?usp=drivesdk","PUDJI TYAS RAHAYU SERTIFIKAT BerAKHLAK")</f>
        <v>PUDJI TYAS RAHAYU SERTIFIKAT BerAKHLAK</v>
      </c>
      <c r="K1841" s="5" t="s">
        <v>14042</v>
      </c>
      <c r="L1841" s="5" t="s">
        <v>14387</v>
      </c>
      <c r="M1841" s="5" t="s">
        <v>14388</v>
      </c>
      <c r="N1841" s="7" t="s">
        <v>14389</v>
      </c>
      <c r="O1841" s="8" t="str">
        <f>HYPERLINK("https://drive.google.com/file/d/1buKy18rFA-JrcCIDU647eBFAoatVfuRL/view?usp=drivesdk","1840_PUDJI TYAS RAHAYU _ SERTIFIKAT BIMTEK IPASN BerAKHLASK")</f>
        <v>1840_PUDJI TYAS RAHAYU _ SERTIFIKAT BIMTEK IPASN BerAKHLASK</v>
      </c>
      <c r="P1841" s="5" t="s">
        <v>14375</v>
      </c>
      <c r="Q1841" s="5"/>
      <c r="R1841" s="5"/>
      <c r="S1841" s="5"/>
      <c r="T1841" s="5"/>
    </row>
    <row r="1842">
      <c r="A1842" s="4">
        <v>45534.33764936343</v>
      </c>
      <c r="B1842" s="5" t="s">
        <v>34</v>
      </c>
      <c r="D1842" s="5" t="s">
        <v>1206</v>
      </c>
      <c r="E1842" s="5" t="s">
        <v>14390</v>
      </c>
      <c r="F1842" s="5" t="s">
        <v>375</v>
      </c>
      <c r="G1842" s="5" t="s">
        <v>14391</v>
      </c>
      <c r="H1842" s="6" t="s">
        <v>14392</v>
      </c>
      <c r="I1842" s="7" t="s">
        <v>14393</v>
      </c>
      <c r="J1842" s="8" t="str">
        <f>HYPERLINK("https://drive.google.com/file/d/1cvNej4F74MM-JniRnWr1JFF_CykymEYj/view?usp=drivesdk","NUNIK SRIMULYANI, S.E. SERTIFIKAT BerAKHLAK")</f>
        <v>NUNIK SRIMULYANI, S.E. SERTIFIKAT BerAKHLAK</v>
      </c>
      <c r="K1842" s="5" t="s">
        <v>14042</v>
      </c>
      <c r="L1842" s="5" t="s">
        <v>14394</v>
      </c>
      <c r="M1842" s="5" t="s">
        <v>14395</v>
      </c>
      <c r="N1842" s="7" t="s">
        <v>14396</v>
      </c>
      <c r="O1842" s="8" t="str">
        <f>HYPERLINK("https://drive.google.com/file/d/1cbCWKm1m9wTypebrGMM9q6Z3vnDaC8Zf/view?usp=drivesdk","1841_NUNIK SRIMULYANI, S.E. _ SERTIFIKAT BIMTEK IPASN BerAKHLASK")</f>
        <v>1841_NUNIK SRIMULYANI, S.E. _ SERTIFIKAT BIMTEK IPASN BerAKHLASK</v>
      </c>
      <c r="P1842" s="5" t="s">
        <v>14375</v>
      </c>
      <c r="Q1842" s="5"/>
      <c r="R1842" s="5"/>
      <c r="S1842" s="5"/>
      <c r="T1842" s="5"/>
    </row>
    <row r="1843">
      <c r="A1843" s="4">
        <v>45534.33766292824</v>
      </c>
      <c r="B1843" s="5" t="s">
        <v>34</v>
      </c>
      <c r="D1843" s="5" t="s">
        <v>280</v>
      </c>
      <c r="E1843" s="5" t="s">
        <v>14397</v>
      </c>
      <c r="F1843" s="5" t="s">
        <v>212</v>
      </c>
      <c r="G1843" s="5" t="s">
        <v>14398</v>
      </c>
      <c r="H1843" s="6" t="s">
        <v>14399</v>
      </c>
      <c r="I1843" s="7" t="s">
        <v>14400</v>
      </c>
      <c r="J1843" s="8" t="str">
        <f>HYPERLINK("https://drive.google.com/file/d/1qR4eeCtvhnoHfn1JtNiAytcgO_5-ZbEW/view?usp=drivesdk","DWI ROCHANI SERTIFIKAT BerAKHLAK")</f>
        <v>DWI ROCHANI SERTIFIKAT BerAKHLAK</v>
      </c>
      <c r="K1843" s="5" t="s">
        <v>14042</v>
      </c>
      <c r="L1843" s="5" t="s">
        <v>14401</v>
      </c>
      <c r="M1843" s="5" t="s">
        <v>14402</v>
      </c>
      <c r="N1843" s="7" t="s">
        <v>14403</v>
      </c>
      <c r="O1843" s="8" t="str">
        <f>HYPERLINK("https://drive.google.com/file/d/1GHTfZhnnuVknFkI-pm9A0RpMU096iSca/view?usp=drivesdk","1842_DWI ROCHANI _ SERTIFIKAT BIMTEK IPASN BerAKHLASK")</f>
        <v>1842_DWI ROCHANI _ SERTIFIKAT BIMTEK IPASN BerAKHLASK</v>
      </c>
      <c r="P1843" s="5" t="s">
        <v>14375</v>
      </c>
      <c r="Q1843" s="5"/>
      <c r="R1843" s="5"/>
      <c r="S1843" s="5"/>
      <c r="T1843" s="5"/>
    </row>
    <row r="1844">
      <c r="A1844" s="4">
        <v>45534.33766583333</v>
      </c>
      <c r="B1844" s="5" t="s">
        <v>34</v>
      </c>
      <c r="D1844" s="5" t="s">
        <v>1206</v>
      </c>
      <c r="E1844" s="5" t="s">
        <v>11976</v>
      </c>
      <c r="F1844" s="5" t="s">
        <v>37</v>
      </c>
      <c r="G1844" s="5" t="s">
        <v>11977</v>
      </c>
      <c r="H1844" s="6" t="s">
        <v>14404</v>
      </c>
      <c r="I1844" s="7" t="s">
        <v>14405</v>
      </c>
      <c r="J1844" s="8" t="str">
        <f>HYPERLINK("https://drive.google.com/file/d/1-0hJ_cZsOE6V336SSeXKPjYLsTUzVVPX/view?usp=drivesdk","YULI PILIHANINGSIH SERTIFIKAT BerAKHLAK")</f>
        <v>YULI PILIHANINGSIH SERTIFIKAT BerAKHLAK</v>
      </c>
      <c r="K1844" s="5" t="s">
        <v>14042</v>
      </c>
      <c r="L1844" s="5" t="s">
        <v>14406</v>
      </c>
      <c r="M1844" s="5" t="s">
        <v>14407</v>
      </c>
      <c r="N1844" s="7" t="s">
        <v>14408</v>
      </c>
      <c r="O1844" s="8" t="str">
        <f>HYPERLINK("https://drive.google.com/file/d/1jt3eavhOP2_hJilRPOPAvY-GQm8NN0ht/view?usp=drivesdk","1843_YULI PILIHANINGSIH _ SERTIFIKAT BIMTEK IPASN BerAKHLASK")</f>
        <v>1843_YULI PILIHANINGSIH _ SERTIFIKAT BIMTEK IPASN BerAKHLASK</v>
      </c>
      <c r="P1844" s="5" t="s">
        <v>14375</v>
      </c>
      <c r="Q1844" s="5"/>
      <c r="R1844" s="5"/>
      <c r="S1844" s="5"/>
      <c r="T1844" s="5"/>
    </row>
    <row r="1845">
      <c r="A1845" s="4">
        <v>45534.33767099537</v>
      </c>
      <c r="B1845" s="5" t="s">
        <v>34</v>
      </c>
      <c r="D1845" s="5" t="s">
        <v>4775</v>
      </c>
      <c r="E1845" s="5" t="s">
        <v>14409</v>
      </c>
      <c r="F1845" s="5" t="s">
        <v>37</v>
      </c>
      <c r="G1845" s="5" t="s">
        <v>14410</v>
      </c>
      <c r="H1845" s="6" t="s">
        <v>14411</v>
      </c>
      <c r="I1845" s="7" t="s">
        <v>14412</v>
      </c>
      <c r="J1845" s="8" t="str">
        <f>HYPERLINK("https://drive.google.com/file/d/10098JtnyLvFzV0-sVq1pj7hp9VwbWGAc/view?usp=drivesdk","DEDY SURYADI SERTIFIKAT BerAKHLAK")</f>
        <v>DEDY SURYADI SERTIFIKAT BerAKHLAK</v>
      </c>
      <c r="K1845" s="5" t="s">
        <v>14071</v>
      </c>
      <c r="L1845" s="5" t="s">
        <v>14413</v>
      </c>
      <c r="M1845" s="5" t="s">
        <v>14414</v>
      </c>
      <c r="N1845" s="7" t="s">
        <v>14415</v>
      </c>
      <c r="O1845" s="8" t="str">
        <f>HYPERLINK("https://drive.google.com/file/d/11o79iX_s8SOcPk5YnbraY4QKYOW7OFY0/view?usp=drivesdk","1844_DEDY SURYADI _ SERTIFIKAT BIMTEK IPASN BerAKHLASK")</f>
        <v>1844_DEDY SURYADI _ SERTIFIKAT BIMTEK IPASN BerAKHLASK</v>
      </c>
      <c r="P1845" s="5" t="s">
        <v>14416</v>
      </c>
      <c r="Q1845" s="5"/>
      <c r="R1845" s="5"/>
      <c r="S1845" s="5"/>
      <c r="T1845" s="5"/>
    </row>
    <row r="1846">
      <c r="A1846" s="4">
        <v>45534.33771878472</v>
      </c>
      <c r="B1846" s="5" t="s">
        <v>34</v>
      </c>
      <c r="D1846" s="5" t="s">
        <v>1206</v>
      </c>
      <c r="E1846" s="5" t="s">
        <v>14417</v>
      </c>
      <c r="F1846" s="5" t="s">
        <v>212</v>
      </c>
      <c r="G1846" s="5" t="s">
        <v>14418</v>
      </c>
      <c r="H1846" s="6" t="s">
        <v>14419</v>
      </c>
      <c r="I1846" s="7" t="s">
        <v>14420</v>
      </c>
      <c r="J1846" s="8" t="str">
        <f>HYPERLINK("https://drive.google.com/file/d/1jnGnK5GLnSMOROUDkied4YdsnfuvP2Jg/view?usp=drivesdk","LUTHFIA HANIMUNIFAH SERTIFIKAT BerAKHLAK")</f>
        <v>LUTHFIA HANIMUNIFAH SERTIFIKAT BerAKHLAK</v>
      </c>
      <c r="K1846" s="5" t="s">
        <v>14042</v>
      </c>
      <c r="L1846" s="5" t="s">
        <v>14421</v>
      </c>
      <c r="M1846" s="5" t="s">
        <v>14422</v>
      </c>
      <c r="N1846" s="7" t="s">
        <v>14423</v>
      </c>
      <c r="O1846" s="8" t="str">
        <f>HYPERLINK("https://drive.google.com/file/d/1bGpLHIS-k_JJ_L3joqMoD3-011FieY5p/view?usp=drivesdk","1845_LUTHFIA HANIMUNIFAH _ SERTIFIKAT BIMTEK IPASN BerAKHLASK")</f>
        <v>1845_LUTHFIA HANIMUNIFAH _ SERTIFIKAT BIMTEK IPASN BerAKHLASK</v>
      </c>
      <c r="P1846" s="5" t="s">
        <v>14416</v>
      </c>
      <c r="Q1846" s="5"/>
      <c r="R1846" s="5"/>
      <c r="S1846" s="5"/>
      <c r="T1846" s="5"/>
    </row>
    <row r="1847">
      <c r="A1847" s="4">
        <v>45534.33768358796</v>
      </c>
      <c r="B1847" s="5" t="s">
        <v>34</v>
      </c>
      <c r="D1847" s="5" t="s">
        <v>14424</v>
      </c>
      <c r="E1847" s="5" t="s">
        <v>14425</v>
      </c>
      <c r="F1847" s="5" t="s">
        <v>37</v>
      </c>
      <c r="G1847" s="5" t="s">
        <v>14426</v>
      </c>
      <c r="H1847" s="6" t="s">
        <v>14427</v>
      </c>
      <c r="I1847" s="7" t="s">
        <v>14428</v>
      </c>
      <c r="J1847" s="8" t="str">
        <f>HYPERLINK("https://drive.google.com/file/d/1yrGM347u2lW78fX-dsh_1OlQlE1N_UxG/view?usp=drivesdk","YUNITA SAFITRI,A.Md.Farm SERTIFIKAT BerAKHLAK")</f>
        <v>YUNITA SAFITRI,A.Md.Farm SERTIFIKAT BerAKHLAK</v>
      </c>
      <c r="K1847" s="5" t="s">
        <v>14042</v>
      </c>
      <c r="L1847" s="5" t="s">
        <v>14429</v>
      </c>
      <c r="M1847" s="5" t="s">
        <v>14430</v>
      </c>
      <c r="N1847" s="7" t="s">
        <v>14431</v>
      </c>
      <c r="O1847" s="8" t="str">
        <f>HYPERLINK("https://drive.google.com/file/d/1CTs6gMP3Pr3wqmQNQnnlx19G3N3hLB5d/view?usp=drivesdk","1846_YUNITA SAFITRI,A.Md.Farm _ SERTIFIKAT BIMTEK IPASN BerAKHLASK")</f>
        <v>1846_YUNITA SAFITRI,A.Md.Farm _ SERTIFIKAT BIMTEK IPASN BerAKHLASK</v>
      </c>
      <c r="P1847" s="5" t="s">
        <v>14416</v>
      </c>
      <c r="Q1847" s="5"/>
      <c r="R1847" s="5"/>
      <c r="S1847" s="5"/>
      <c r="T1847" s="5"/>
    </row>
    <row r="1848">
      <c r="A1848" s="4">
        <v>45534.33768571759</v>
      </c>
      <c r="B1848" s="5" t="s">
        <v>34</v>
      </c>
      <c r="D1848" s="5" t="s">
        <v>3849</v>
      </c>
      <c r="E1848" s="5" t="s">
        <v>14432</v>
      </c>
      <c r="F1848" s="5" t="s">
        <v>37</v>
      </c>
      <c r="G1848" s="5" t="s">
        <v>14433</v>
      </c>
      <c r="H1848" s="6" t="s">
        <v>14434</v>
      </c>
      <c r="I1848" s="7" t="s">
        <v>14435</v>
      </c>
      <c r="J1848" s="8" t="str">
        <f>HYPERLINK("https://drive.google.com/file/d/1CuRf7bHuD2FtuF4aXKXrChT4IMPfSLJ7/view?usp=drivesdk","SRI AGUSTIN SERTIFIKAT BerAKHLAK")</f>
        <v>SRI AGUSTIN SERTIFIKAT BerAKHLAK</v>
      </c>
      <c r="K1848" s="5" t="s">
        <v>14071</v>
      </c>
      <c r="L1848" s="5" t="s">
        <v>14436</v>
      </c>
      <c r="M1848" s="5" t="s">
        <v>14437</v>
      </c>
      <c r="N1848" s="7" t="s">
        <v>14438</v>
      </c>
      <c r="O1848" s="8" t="str">
        <f>HYPERLINK("https://drive.google.com/file/d/1MmjtFibsDV80GGRzUr_53-P0O7ebTBVY/view?usp=drivesdk","1847_SRI AGUSTIN _ SERTIFIKAT BIMTEK IPASN BerAKHLASK")</f>
        <v>1847_SRI AGUSTIN _ SERTIFIKAT BIMTEK IPASN BerAKHLASK</v>
      </c>
      <c r="P1848" s="5" t="s">
        <v>14416</v>
      </c>
      <c r="Q1848" s="5"/>
      <c r="R1848" s="5"/>
      <c r="S1848" s="5"/>
      <c r="T1848" s="5"/>
    </row>
    <row r="1849">
      <c r="A1849" s="4">
        <v>45534.33769555556</v>
      </c>
      <c r="B1849" s="5" t="s">
        <v>34</v>
      </c>
      <c r="D1849" s="5" t="s">
        <v>1768</v>
      </c>
      <c r="E1849" s="5" t="s">
        <v>14439</v>
      </c>
      <c r="F1849" s="5" t="s">
        <v>328</v>
      </c>
      <c r="G1849" s="5" t="s">
        <v>14440</v>
      </c>
      <c r="H1849" s="6" t="s">
        <v>14441</v>
      </c>
      <c r="I1849" s="7" t="s">
        <v>14442</v>
      </c>
      <c r="J1849" s="8" t="str">
        <f>HYPERLINK("https://drive.google.com/file/d/1NDFb-VpgDU2S6bHftP7AjEJG_WZ6DaW6/view?usp=drivesdk","YADI HANIFAH  SERTIFIKAT BerAKHLAK")</f>
        <v>YADI HANIFAH  SERTIFIKAT BerAKHLAK</v>
      </c>
      <c r="K1849" s="5" t="s">
        <v>14071</v>
      </c>
      <c r="L1849" s="5" t="s">
        <v>14443</v>
      </c>
      <c r="M1849" s="5" t="s">
        <v>14444</v>
      </c>
      <c r="N1849" s="7" t="s">
        <v>14445</v>
      </c>
      <c r="O1849" s="8" t="str">
        <f>HYPERLINK("https://drive.google.com/file/d/18WgV9H6xjzgIHJ5fqssaT8ik3mEca29y/view?usp=drivesdk","1848_YADI HANIFAH  _ SERTIFIKAT BIMTEK IPASN BerAKHLASK")</f>
        <v>1848_YADI HANIFAH  _ SERTIFIKAT BIMTEK IPASN BerAKHLASK</v>
      </c>
      <c r="P1849" s="5" t="s">
        <v>14416</v>
      </c>
      <c r="Q1849" s="5"/>
      <c r="R1849" s="5"/>
      <c r="S1849" s="5"/>
      <c r="T1849" s="5"/>
    </row>
    <row r="1850">
      <c r="A1850" s="4">
        <v>45534.33770148148</v>
      </c>
      <c r="B1850" s="5" t="s">
        <v>34</v>
      </c>
      <c r="D1850" s="5" t="s">
        <v>35</v>
      </c>
      <c r="E1850" s="5" t="s">
        <v>14446</v>
      </c>
      <c r="F1850" s="5" t="s">
        <v>524</v>
      </c>
      <c r="G1850" s="5" t="s">
        <v>14447</v>
      </c>
      <c r="H1850" s="6" t="s">
        <v>14448</v>
      </c>
      <c r="I1850" s="7" t="s">
        <v>14449</v>
      </c>
      <c r="J1850" s="8" t="str">
        <f>HYPERLINK("https://drive.google.com/file/d/1pAEusEjXw0kUyRVK47xftjxcsJi_nwmr/view?usp=drivesdk","YAYAN HERYANA SERTIFIKAT BerAKHLAK")</f>
        <v>YAYAN HERYANA SERTIFIKAT BerAKHLAK</v>
      </c>
      <c r="K1850" s="5" t="s">
        <v>14071</v>
      </c>
      <c r="L1850" s="5" t="s">
        <v>14450</v>
      </c>
      <c r="M1850" s="5" t="s">
        <v>14451</v>
      </c>
      <c r="N1850" s="7" t="s">
        <v>14452</v>
      </c>
      <c r="O1850" s="8" t="str">
        <f>HYPERLINK("https://drive.google.com/file/d/1eqfUcIz70ImO0-ILAw9txEglvFF_k7-G/view?usp=drivesdk","1849_YAYAN HERYANA _ SERTIFIKAT BIMTEK IPASN BerAKHLASK")</f>
        <v>1849_YAYAN HERYANA _ SERTIFIKAT BIMTEK IPASN BerAKHLASK</v>
      </c>
      <c r="P1850" s="5" t="s">
        <v>14416</v>
      </c>
      <c r="Q1850" s="5"/>
      <c r="R1850" s="5"/>
      <c r="S1850" s="5"/>
      <c r="T1850" s="5"/>
    </row>
    <row r="1851">
      <c r="A1851" s="4">
        <v>45534.33770210648</v>
      </c>
      <c r="B1851" s="5" t="s">
        <v>34</v>
      </c>
      <c r="D1851" s="5" t="s">
        <v>35</v>
      </c>
      <c r="E1851" s="5" t="s">
        <v>14453</v>
      </c>
      <c r="F1851" s="5" t="s">
        <v>108</v>
      </c>
      <c r="G1851" s="5" t="s">
        <v>14454</v>
      </c>
      <c r="H1851" s="6" t="s">
        <v>14455</v>
      </c>
      <c r="I1851" s="7" t="s">
        <v>14456</v>
      </c>
      <c r="J1851" s="8" t="str">
        <f>HYPERLINK("https://drive.google.com/file/d/1N0xZEcujAGk8GiXTrXqKZIZlbP-yqC3j/view?usp=drivesdk","DADAN GINANJAR, S.E., M.M. SERTIFIKAT BerAKHLAK")</f>
        <v>DADAN GINANJAR, S.E., M.M. SERTIFIKAT BerAKHLAK</v>
      </c>
      <c r="K1851" s="5" t="s">
        <v>14071</v>
      </c>
      <c r="L1851" s="5" t="s">
        <v>14457</v>
      </c>
      <c r="M1851" s="5" t="s">
        <v>14458</v>
      </c>
      <c r="N1851" s="7" t="s">
        <v>14459</v>
      </c>
      <c r="O1851" s="8" t="str">
        <f>HYPERLINK("https://drive.google.com/file/d/1P2NjymPTNlNKqD_HToW6_KJuXRe6YxG6/view?usp=drivesdk","1850_DADAN GINANJAR, S.E., M.M. _ SERTIFIKAT BIMTEK IPASN BerAKHLASK")</f>
        <v>1850_DADAN GINANJAR, S.E., M.M. _ SERTIFIKAT BIMTEK IPASN BerAKHLASK</v>
      </c>
      <c r="P1851" s="5" t="s">
        <v>14460</v>
      </c>
      <c r="Q1851" s="5"/>
      <c r="R1851" s="5"/>
      <c r="S1851" s="5"/>
      <c r="T1851" s="5"/>
    </row>
    <row r="1852">
      <c r="A1852" s="4">
        <v>45534.33771310185</v>
      </c>
      <c r="B1852" s="5" t="s">
        <v>34</v>
      </c>
      <c r="D1852" s="5" t="s">
        <v>9394</v>
      </c>
      <c r="E1852" s="5" t="s">
        <v>14461</v>
      </c>
      <c r="F1852" s="5" t="s">
        <v>108</v>
      </c>
      <c r="G1852" s="5" t="s">
        <v>14462</v>
      </c>
      <c r="H1852" s="6" t="s">
        <v>14463</v>
      </c>
      <c r="I1852" s="7" t="s">
        <v>14464</v>
      </c>
      <c r="J1852" s="8" t="str">
        <f>HYPERLINK("https://drive.google.com/file/d/1LYb4VthSef8WeXDE2hJ9tm9VH3C9K7qA/view?usp=drivesdk","SURYADI ERNANDO  SERTIFIKAT BerAKHLAK")</f>
        <v>SURYADI ERNANDO  SERTIFIKAT BerAKHLAK</v>
      </c>
      <c r="K1852" s="5" t="s">
        <v>14093</v>
      </c>
      <c r="L1852" s="5" t="s">
        <v>14465</v>
      </c>
      <c r="M1852" s="5" t="s">
        <v>14466</v>
      </c>
      <c r="N1852" s="7" t="s">
        <v>14467</v>
      </c>
      <c r="O1852" s="8" t="str">
        <f>HYPERLINK("https://drive.google.com/file/d/1Q8jSMSwjiT6RX7gBOwkUjMbF99qzDbbe/view?usp=drivesdk","1851_SURYADI ERNANDO  _ SERTIFIKAT BIMTEK IPASN BerAKHLASK")</f>
        <v>1851_SURYADI ERNANDO  _ SERTIFIKAT BIMTEK IPASN BerAKHLASK</v>
      </c>
      <c r="P1852" s="5" t="s">
        <v>14460</v>
      </c>
      <c r="Q1852" s="5"/>
      <c r="R1852" s="5"/>
      <c r="S1852" s="5"/>
      <c r="T1852" s="5"/>
    </row>
    <row r="1853">
      <c r="A1853" s="4">
        <v>45534.33772114583</v>
      </c>
      <c r="B1853" s="5" t="s">
        <v>34</v>
      </c>
      <c r="D1853" s="5" t="s">
        <v>522</v>
      </c>
      <c r="E1853" s="5" t="s">
        <v>14468</v>
      </c>
      <c r="F1853" s="5" t="s">
        <v>37</v>
      </c>
      <c r="G1853" s="5" t="s">
        <v>14469</v>
      </c>
      <c r="H1853" s="6" t="s">
        <v>14470</v>
      </c>
      <c r="I1853" s="7" t="s">
        <v>14471</v>
      </c>
      <c r="J1853" s="8" t="str">
        <f>HYPERLINK("https://drive.google.com/file/d/1rZWpwnsh4y3OdKm0cHooWPeLRgFUEp-O/view?usp=drivesdk","INDAH RATMA WARDANI, A.Md.Kep SERTIFIKAT BerAKHLAK")</f>
        <v>INDAH RATMA WARDANI, A.Md.Kep SERTIFIKAT BerAKHLAK</v>
      </c>
      <c r="K1853" s="5" t="s">
        <v>14093</v>
      </c>
      <c r="L1853" s="5" t="s">
        <v>14472</v>
      </c>
      <c r="M1853" s="5" t="s">
        <v>14473</v>
      </c>
      <c r="N1853" s="7" t="s">
        <v>14474</v>
      </c>
      <c r="O1853" s="8" t="str">
        <f>HYPERLINK("https://drive.google.com/file/d/13iLlvcwbTX3yvdJ1X5VHWE_f4gu2TbUS/view?usp=drivesdk","1852_INDAH RATMA WARDANI, A.Md.Kep _ SERTIFIKAT BIMTEK IPASN BerAKHLASK")</f>
        <v>1852_INDAH RATMA WARDANI, A.Md.Kep _ SERTIFIKAT BIMTEK IPASN BerAKHLASK</v>
      </c>
      <c r="P1853" s="5" t="s">
        <v>14460</v>
      </c>
      <c r="Q1853" s="5"/>
      <c r="R1853" s="5"/>
      <c r="S1853" s="5"/>
      <c r="T1853" s="5"/>
    </row>
    <row r="1854">
      <c r="A1854" s="4">
        <v>45534.337727488426</v>
      </c>
      <c r="B1854" s="5" t="s">
        <v>34</v>
      </c>
      <c r="D1854" s="5" t="s">
        <v>6232</v>
      </c>
      <c r="E1854" s="5" t="s">
        <v>14475</v>
      </c>
      <c r="F1854" s="5" t="s">
        <v>37</v>
      </c>
      <c r="G1854" s="5" t="s">
        <v>14476</v>
      </c>
      <c r="H1854" s="6" t="s">
        <v>14477</v>
      </c>
      <c r="I1854" s="7" t="s">
        <v>14478</v>
      </c>
      <c r="J1854" s="8" t="str">
        <f>HYPERLINK("https://drive.google.com/file/d/1Lm9bw785AkbB1v9_6etnWAJyrqU7lWMJ/view?usp=drivesdk","SITI HERLINAWATI, Am.Kep SERTIFIKAT BerAKHLAK")</f>
        <v>SITI HERLINAWATI, Am.Kep SERTIFIKAT BerAKHLAK</v>
      </c>
      <c r="K1854" s="5" t="s">
        <v>14093</v>
      </c>
      <c r="L1854" s="5" t="s">
        <v>14479</v>
      </c>
      <c r="M1854" s="5" t="s">
        <v>14480</v>
      </c>
      <c r="N1854" s="7" t="s">
        <v>14481</v>
      </c>
      <c r="O1854" s="8" t="str">
        <f>HYPERLINK("https://drive.google.com/file/d/1LzvxTTiiV4UEtWjBspKFyb6YpFo_kKdb/view?usp=drivesdk","1853_SITI HERLINAWATI, Am.Kep _ SERTIFIKAT BIMTEK IPASN BerAKHLASK")</f>
        <v>1853_SITI HERLINAWATI, Am.Kep _ SERTIFIKAT BIMTEK IPASN BerAKHLASK</v>
      </c>
      <c r="P1854" s="5" t="s">
        <v>14460</v>
      </c>
      <c r="Q1854" s="5"/>
      <c r="R1854" s="5"/>
      <c r="S1854" s="5"/>
      <c r="T1854" s="5"/>
    </row>
    <row r="1855">
      <c r="A1855" s="4">
        <v>45534.337737037036</v>
      </c>
      <c r="B1855" s="5" t="s">
        <v>34</v>
      </c>
      <c r="D1855" s="5" t="s">
        <v>12978</v>
      </c>
      <c r="E1855" s="5" t="s">
        <v>14482</v>
      </c>
      <c r="F1855" s="5" t="s">
        <v>37</v>
      </c>
      <c r="G1855" s="5" t="s">
        <v>14483</v>
      </c>
      <c r="H1855" s="6" t="s">
        <v>14484</v>
      </c>
      <c r="I1855" s="7" t="s">
        <v>14485</v>
      </c>
      <c r="J1855" s="8" t="str">
        <f>HYPERLINK("https://drive.google.com/file/d/1VHYuNtwMXe22hFzUwCc9L2oT1_QokrR3/view?usp=drivesdk","HENDRI A MD SERTIFIKAT BerAKHLAK")</f>
        <v>HENDRI A MD SERTIFIKAT BerAKHLAK</v>
      </c>
      <c r="K1855" s="5" t="s">
        <v>14116</v>
      </c>
      <c r="L1855" s="5" t="s">
        <v>14486</v>
      </c>
      <c r="M1855" s="5" t="s">
        <v>14487</v>
      </c>
      <c r="N1855" s="7" t="s">
        <v>14488</v>
      </c>
      <c r="O1855" s="8" t="str">
        <f>HYPERLINK("https://drive.google.com/file/d/15vtToXtWKVpkc64nviyM9udaAkrj3jAh/view?usp=drivesdk","1854_HENDRI A MD _ SERTIFIKAT BIMTEK IPASN BerAKHLASK")</f>
        <v>1854_HENDRI A MD _ SERTIFIKAT BIMTEK IPASN BerAKHLASK</v>
      </c>
      <c r="P1855" s="5" t="s">
        <v>14460</v>
      </c>
      <c r="Q1855" s="5"/>
      <c r="R1855" s="5"/>
      <c r="S1855" s="5"/>
      <c r="T1855" s="5"/>
    </row>
    <row r="1856">
      <c r="A1856" s="4">
        <v>45534.337743298616</v>
      </c>
      <c r="B1856" s="5" t="s">
        <v>34</v>
      </c>
      <c r="D1856" s="5" t="s">
        <v>522</v>
      </c>
      <c r="E1856" s="5" t="s">
        <v>14489</v>
      </c>
      <c r="F1856" s="5" t="s">
        <v>212</v>
      </c>
      <c r="G1856" s="5" t="s">
        <v>14490</v>
      </c>
      <c r="H1856" s="6" t="s">
        <v>14491</v>
      </c>
      <c r="K1856" s="5" t="s">
        <v>14492</v>
      </c>
      <c r="M1856" s="5" t="s">
        <v>14493</v>
      </c>
      <c r="N1856" s="7" t="s">
        <v>14494</v>
      </c>
      <c r="O1856" s="8" t="str">
        <f>HYPERLINK("https://drive.google.com/file/d/1UwYpcr4OodiMSOLVWTonRvfGHeAG7-kU/view?usp=drivesdk","1855_HUZWANDI S.M. _ SERTIFIKAT BIMTEK IPASN BerAKHLASK")</f>
        <v>1855_HUZWANDI S.M. _ SERTIFIKAT BIMTEK IPASN BerAKHLASK</v>
      </c>
      <c r="P1856" s="5" t="s">
        <v>14460</v>
      </c>
      <c r="Q1856" s="5"/>
      <c r="R1856" s="5"/>
      <c r="S1856" s="5"/>
      <c r="T1856" s="5"/>
    </row>
    <row r="1857" hidden="1">
      <c r="A1857" s="4">
        <v>45534.337751134255</v>
      </c>
      <c r="B1857" s="5" t="s">
        <v>19</v>
      </c>
      <c r="C1857" s="5" t="s">
        <v>466</v>
      </c>
      <c r="E1857" s="5" t="s">
        <v>14495</v>
      </c>
      <c r="F1857" s="5" t="s">
        <v>199</v>
      </c>
      <c r="G1857" s="5" t="s">
        <v>14496</v>
      </c>
      <c r="H1857" s="6" t="s">
        <v>14497</v>
      </c>
      <c r="K1857" s="5" t="s">
        <v>14492</v>
      </c>
      <c r="M1857" s="5" t="s">
        <v>14498</v>
      </c>
      <c r="N1857" s="7" t="s">
        <v>14499</v>
      </c>
      <c r="O1857" s="8" t="str">
        <f>HYPERLINK("https://drive.google.com/file/d/1LAVRzkkfusivhmu7nkJDzjXpVLQgkIOy/view?usp=drivesdk","1856_ASEP BAHAGIA  _ SERTIFIKAT BIMTEK IPASN BerAKHLASK")</f>
        <v>1856_ASEP BAHAGIA  _ SERTIFIKAT BIMTEK IPASN BerAKHLASK</v>
      </c>
      <c r="P1857" s="5" t="s">
        <v>14500</v>
      </c>
      <c r="Q1857" s="5"/>
      <c r="R1857" s="5"/>
      <c r="S1857" s="5"/>
      <c r="T1857" s="5"/>
    </row>
    <row r="1858">
      <c r="A1858" s="4">
        <v>45534.337761435185</v>
      </c>
      <c r="B1858" s="5" t="s">
        <v>34</v>
      </c>
      <c r="D1858" s="5" t="s">
        <v>1768</v>
      </c>
      <c r="E1858" s="5" t="s">
        <v>14501</v>
      </c>
      <c r="F1858" s="5" t="s">
        <v>212</v>
      </c>
      <c r="G1858" s="5" t="s">
        <v>14502</v>
      </c>
      <c r="H1858" s="6" t="s">
        <v>14503</v>
      </c>
      <c r="K1858" s="5" t="s">
        <v>14492</v>
      </c>
      <c r="M1858" s="5" t="s">
        <v>14504</v>
      </c>
      <c r="N1858" s="7" t="s">
        <v>14505</v>
      </c>
      <c r="O1858" s="8" t="str">
        <f>HYPERLINK("https://drive.google.com/file/d/1J0Qe6bxhgk-cFGHrUAKRJFI1igaVdD5c/view?usp=drivesdk","1857_HENDRA TRIYANTO, S.E. _ SERTIFIKAT BIMTEK IPASN BerAKHLASK")</f>
        <v>1857_HENDRA TRIYANTO, S.E. _ SERTIFIKAT BIMTEK IPASN BerAKHLASK</v>
      </c>
      <c r="P1858" s="5" t="s">
        <v>14500</v>
      </c>
      <c r="Q1858" s="5"/>
      <c r="R1858" s="5"/>
      <c r="S1858" s="5"/>
      <c r="T1858" s="5"/>
    </row>
    <row r="1859" hidden="1">
      <c r="A1859" s="4">
        <v>45534.33776383102</v>
      </c>
      <c r="B1859" s="5" t="s">
        <v>19</v>
      </c>
      <c r="C1859" s="5" t="s">
        <v>5564</v>
      </c>
      <c r="E1859" s="5" t="s">
        <v>14506</v>
      </c>
      <c r="F1859" s="5" t="s">
        <v>212</v>
      </c>
      <c r="G1859" s="5" t="s">
        <v>14507</v>
      </c>
      <c r="H1859" s="6" t="s">
        <v>14508</v>
      </c>
      <c r="K1859" s="5" t="s">
        <v>14492</v>
      </c>
      <c r="M1859" s="5" t="s">
        <v>14509</v>
      </c>
      <c r="N1859" s="7" t="s">
        <v>14510</v>
      </c>
      <c r="O1859" s="8" t="str">
        <f>HYPERLINK("https://drive.google.com/file/d/1s6Xvut2fzKjpE2M1FNs4C3nxz23O1xEs/view?usp=drivesdk","1858_TOTO MARTONO, S.IP. _ SERTIFIKAT BIMTEK IPASN BerAKHLASK")</f>
        <v>1858_TOTO MARTONO, S.IP. _ SERTIFIKAT BIMTEK IPASN BerAKHLASK</v>
      </c>
      <c r="P1859" s="5" t="s">
        <v>14500</v>
      </c>
      <c r="Q1859" s="5"/>
      <c r="R1859" s="5"/>
      <c r="S1859" s="5"/>
      <c r="T1859" s="5"/>
    </row>
    <row r="1860">
      <c r="A1860" s="4">
        <v>45534.33776755787</v>
      </c>
      <c r="B1860" s="5" t="s">
        <v>34</v>
      </c>
      <c r="D1860" s="5" t="s">
        <v>35</v>
      </c>
      <c r="E1860" s="5" t="s">
        <v>14511</v>
      </c>
      <c r="F1860" s="5" t="s">
        <v>37</v>
      </c>
      <c r="G1860" s="5" t="s">
        <v>14512</v>
      </c>
      <c r="H1860" s="6" t="s">
        <v>14513</v>
      </c>
      <c r="K1860" s="5" t="s">
        <v>14492</v>
      </c>
      <c r="M1860" s="5" t="s">
        <v>14514</v>
      </c>
      <c r="N1860" s="7" t="s">
        <v>14515</v>
      </c>
      <c r="O1860" s="8" t="str">
        <f>HYPERLINK("https://drive.google.com/file/d/11Ztr5ZKChYr-O-8AHIMbQE_CKpBeXUZH/view?usp=drivesdk","1859_KRISNA WULAN MACHMUD  _ SERTIFIKAT BIMTEK IPASN BerAKHLASK")</f>
        <v>1859_KRISNA WULAN MACHMUD  _ SERTIFIKAT BIMTEK IPASN BerAKHLASK</v>
      </c>
      <c r="P1860" s="5" t="s">
        <v>14500</v>
      </c>
      <c r="Q1860" s="5"/>
      <c r="R1860" s="5"/>
      <c r="S1860" s="5"/>
      <c r="T1860" s="5"/>
    </row>
    <row r="1861">
      <c r="A1861" s="4">
        <v>45534.33777241898</v>
      </c>
      <c r="B1861" s="5" t="s">
        <v>34</v>
      </c>
      <c r="D1861" s="5" t="s">
        <v>4775</v>
      </c>
      <c r="E1861" s="5" t="s">
        <v>14516</v>
      </c>
      <c r="F1861" s="5" t="s">
        <v>212</v>
      </c>
      <c r="G1861" s="5" t="s">
        <v>14517</v>
      </c>
      <c r="H1861" s="6" t="s">
        <v>14518</v>
      </c>
      <c r="K1861" s="5" t="s">
        <v>14492</v>
      </c>
      <c r="M1861" s="5" t="s">
        <v>14519</v>
      </c>
      <c r="N1861" s="7" t="s">
        <v>14520</v>
      </c>
      <c r="O1861" s="8" t="str">
        <f>HYPERLINK("https://drive.google.com/file/d/10Cdkt7PXBRiVJKxoUzsg_ygXat6uD9bH/view?usp=drivesdk","1860_S MUCHAMAD DJAZULI _ SERTIFIKAT BIMTEK IPASN BerAKHLASK")</f>
        <v>1860_S MUCHAMAD DJAZULI _ SERTIFIKAT BIMTEK IPASN BerAKHLASK</v>
      </c>
      <c r="P1861" s="5" t="s">
        <v>14500</v>
      </c>
      <c r="Q1861" s="5"/>
      <c r="R1861" s="5"/>
      <c r="S1861" s="5"/>
      <c r="T1861" s="5"/>
    </row>
    <row r="1862">
      <c r="A1862" s="4">
        <v>45534.337783668976</v>
      </c>
      <c r="B1862" s="5" t="s">
        <v>34</v>
      </c>
      <c r="D1862" s="5" t="s">
        <v>1768</v>
      </c>
      <c r="E1862" s="5" t="s">
        <v>14521</v>
      </c>
      <c r="F1862" s="5" t="s">
        <v>37</v>
      </c>
      <c r="G1862" s="5" t="s">
        <v>14522</v>
      </c>
      <c r="H1862" s="6" t="s">
        <v>14523</v>
      </c>
      <c r="K1862" s="5" t="s">
        <v>14524</v>
      </c>
      <c r="M1862" s="5" t="s">
        <v>14525</v>
      </c>
      <c r="N1862" s="7" t="s">
        <v>14526</v>
      </c>
      <c r="O1862" s="8" t="str">
        <f>HYPERLINK("https://drive.google.com/file/d/1xAtzc5U4Jbiy5yqyEVSc3SP_W2-9rPw2/view?usp=drivesdk","1861_KHOTIJAH _ SERTIFIKAT BIMTEK IPASN BerAKHLASK")</f>
        <v>1861_KHOTIJAH _ SERTIFIKAT BIMTEK IPASN BerAKHLASK</v>
      </c>
      <c r="P1862" s="5" t="s">
        <v>14527</v>
      </c>
      <c r="Q1862" s="5"/>
      <c r="R1862" s="5"/>
      <c r="S1862" s="5"/>
      <c r="T1862" s="5"/>
    </row>
    <row r="1863">
      <c r="A1863" s="4">
        <v>45534.33778476852</v>
      </c>
      <c r="B1863" s="5" t="s">
        <v>34</v>
      </c>
      <c r="D1863" s="5" t="s">
        <v>2903</v>
      </c>
      <c r="E1863" s="5" t="s">
        <v>14528</v>
      </c>
      <c r="F1863" s="5" t="s">
        <v>524</v>
      </c>
      <c r="G1863" s="5" t="s">
        <v>14529</v>
      </c>
      <c r="H1863" s="6" t="s">
        <v>14530</v>
      </c>
      <c r="K1863" s="5" t="s">
        <v>14524</v>
      </c>
      <c r="M1863" s="5" t="s">
        <v>14531</v>
      </c>
      <c r="N1863" s="7" t="s">
        <v>14532</v>
      </c>
      <c r="O1863" s="8" t="str">
        <f>HYPERLINK("https://drive.google.com/file/d/1-hhHKJFFOLiwWhno3I1HYokoDBAkT2jr/view?usp=drivesdk","1862_TETY RACHMAWATY, SKM _ SERTIFIKAT BIMTEK IPASN BerAKHLASK")</f>
        <v>1862_TETY RACHMAWATY, SKM _ SERTIFIKAT BIMTEK IPASN BerAKHLASK</v>
      </c>
      <c r="P1863" s="5" t="s">
        <v>14527</v>
      </c>
      <c r="Q1863" s="5"/>
      <c r="R1863" s="5"/>
      <c r="S1863" s="5"/>
      <c r="T1863" s="5"/>
    </row>
    <row r="1864">
      <c r="A1864" s="4">
        <v>45534.33778613426</v>
      </c>
      <c r="B1864" s="5" t="s">
        <v>34</v>
      </c>
      <c r="D1864" s="5" t="s">
        <v>6232</v>
      </c>
      <c r="E1864" s="5" t="s">
        <v>14533</v>
      </c>
      <c r="F1864" s="5" t="s">
        <v>37</v>
      </c>
      <c r="G1864" s="5" t="s">
        <v>14534</v>
      </c>
      <c r="H1864" s="6" t="s">
        <v>14535</v>
      </c>
      <c r="K1864" s="5" t="s">
        <v>14524</v>
      </c>
      <c r="M1864" s="5" t="s">
        <v>14536</v>
      </c>
      <c r="N1864" s="7" t="s">
        <v>14537</v>
      </c>
      <c r="O1864" s="8" t="str">
        <f>HYPERLINK("https://drive.google.com/file/d/13adDydDwQmTGnLKSlnMKLM7PJTuPx1D1/view?usp=drivesdk","1863_NURASIAH, SE _ SERTIFIKAT BIMTEK IPASN BerAKHLASK")</f>
        <v>1863_NURASIAH, SE _ SERTIFIKAT BIMTEK IPASN BerAKHLASK</v>
      </c>
      <c r="P1864" s="5" t="s">
        <v>14527</v>
      </c>
      <c r="Q1864" s="5"/>
      <c r="R1864" s="5"/>
      <c r="S1864" s="5"/>
      <c r="T1864" s="5"/>
    </row>
    <row r="1865">
      <c r="A1865" s="4">
        <v>45534.33778966435</v>
      </c>
      <c r="B1865" s="5" t="s">
        <v>34</v>
      </c>
      <c r="D1865" s="5" t="s">
        <v>580</v>
      </c>
      <c r="E1865" s="5" t="s">
        <v>14538</v>
      </c>
      <c r="F1865" s="5" t="s">
        <v>37</v>
      </c>
      <c r="G1865" s="5" t="s">
        <v>14539</v>
      </c>
      <c r="H1865" s="6" t="s">
        <v>14540</v>
      </c>
      <c r="K1865" s="5" t="s">
        <v>14524</v>
      </c>
      <c r="M1865" s="5" t="s">
        <v>14541</v>
      </c>
      <c r="N1865" s="7" t="s">
        <v>14542</v>
      </c>
      <c r="O1865" s="8" t="str">
        <f>HYPERLINK("https://drive.google.com/file/d/1Gmefb4uoM2ijdFbONpPjpompHOo1j4xz/view?usp=drivesdk","1864_NIKETUT SRINADI  _ SERTIFIKAT BIMTEK IPASN BerAKHLASK")</f>
        <v>1864_NIKETUT SRINADI  _ SERTIFIKAT BIMTEK IPASN BerAKHLASK</v>
      </c>
      <c r="P1865" s="5" t="s">
        <v>14527</v>
      </c>
      <c r="Q1865" s="5"/>
      <c r="R1865" s="5"/>
      <c r="S1865" s="5"/>
      <c r="T1865" s="5"/>
    </row>
    <row r="1866" hidden="1">
      <c r="A1866" s="4">
        <v>45534.33779158565</v>
      </c>
      <c r="B1866" s="5" t="s">
        <v>19</v>
      </c>
      <c r="C1866" s="5" t="s">
        <v>14000</v>
      </c>
      <c r="E1866" s="5" t="s">
        <v>14543</v>
      </c>
      <c r="F1866" s="5" t="s">
        <v>715</v>
      </c>
      <c r="G1866" s="5" t="s">
        <v>14544</v>
      </c>
      <c r="H1866" s="6" t="s">
        <v>14545</v>
      </c>
      <c r="K1866" s="5" t="s">
        <v>14524</v>
      </c>
      <c r="M1866" s="5" t="s">
        <v>14546</v>
      </c>
      <c r="N1866" s="7" t="s">
        <v>14547</v>
      </c>
      <c r="O1866" s="8" t="str">
        <f>HYPERLINK("https://drive.google.com/file/d/1SX9K4XCGj_G28uUcCSRdz17Ru_b41GJ6/view?usp=drivesdk","1865_NURDIN ABDILAH S. Sos _ SERTIFIKAT BIMTEK IPASN BerAKHLASK")</f>
        <v>1865_NURDIN ABDILAH S. Sos _ SERTIFIKAT BIMTEK IPASN BerAKHLASK</v>
      </c>
      <c r="P1866" s="5" t="s">
        <v>14527</v>
      </c>
      <c r="Q1866" s="5"/>
      <c r="R1866" s="5"/>
      <c r="S1866" s="5"/>
      <c r="T1866" s="5"/>
    </row>
    <row r="1867">
      <c r="A1867" s="4">
        <v>45534.33779194445</v>
      </c>
      <c r="B1867" s="5" t="s">
        <v>34</v>
      </c>
      <c r="D1867" s="5" t="s">
        <v>12978</v>
      </c>
      <c r="E1867" s="5" t="s">
        <v>11891</v>
      </c>
      <c r="F1867" s="5" t="s">
        <v>212</v>
      </c>
      <c r="G1867" s="5" t="s">
        <v>14548</v>
      </c>
      <c r="H1867" s="6" t="s">
        <v>14549</v>
      </c>
      <c r="K1867" s="5" t="s">
        <v>14524</v>
      </c>
      <c r="M1867" s="5" t="s">
        <v>14550</v>
      </c>
      <c r="N1867" s="7" t="s">
        <v>14551</v>
      </c>
      <c r="O1867" s="8" t="str">
        <f>HYPERLINK("https://drive.google.com/file/d/1JG5eroJ6HBryRvpkkjGpLs_4jHtBFkG-/view?usp=drivesdk","1866_IWAN KURNIAWAN _ SERTIFIKAT BIMTEK IPASN BerAKHLASK")</f>
        <v>1866_IWAN KURNIAWAN _ SERTIFIKAT BIMTEK IPASN BerAKHLASK</v>
      </c>
      <c r="P1867" s="5" t="s">
        <v>14552</v>
      </c>
      <c r="Q1867" s="5"/>
      <c r="R1867" s="5"/>
      <c r="S1867" s="5"/>
      <c r="T1867" s="5"/>
    </row>
    <row r="1868">
      <c r="A1868" s="4">
        <v>45534.3378046412</v>
      </c>
      <c r="B1868" s="5" t="s">
        <v>34</v>
      </c>
      <c r="D1868" s="5" t="s">
        <v>604</v>
      </c>
      <c r="E1868" s="5" t="s">
        <v>14553</v>
      </c>
      <c r="F1868" s="5" t="s">
        <v>212</v>
      </c>
      <c r="G1868" s="5" t="s">
        <v>14554</v>
      </c>
      <c r="H1868" s="6" t="s">
        <v>14555</v>
      </c>
      <c r="K1868" s="5" t="s">
        <v>14524</v>
      </c>
      <c r="M1868" s="5" t="s">
        <v>14556</v>
      </c>
      <c r="N1868" s="7" t="s">
        <v>14557</v>
      </c>
      <c r="O1868" s="8" t="str">
        <f>HYPERLINK("https://drive.google.com/file/d/1lyzmHozT7WtYRKNjKa2ULbB31W_sD0aL/view?usp=drivesdk","1867_IGEDE SUDAMA _ SERTIFIKAT BIMTEK IPASN BerAKHLASK")</f>
        <v>1867_IGEDE SUDAMA _ SERTIFIKAT BIMTEK IPASN BerAKHLASK</v>
      </c>
      <c r="P1868" s="5" t="s">
        <v>14552</v>
      </c>
      <c r="Q1868" s="5"/>
      <c r="R1868" s="5"/>
      <c r="S1868" s="5"/>
      <c r="T1868" s="5"/>
    </row>
    <row r="1869">
      <c r="A1869" s="4">
        <v>45534.337804375</v>
      </c>
      <c r="B1869" s="5" t="s">
        <v>34</v>
      </c>
      <c r="D1869" s="5" t="s">
        <v>35</v>
      </c>
      <c r="E1869" s="5" t="s">
        <v>14558</v>
      </c>
      <c r="F1869" s="5" t="s">
        <v>37</v>
      </c>
      <c r="G1869" s="5" t="s">
        <v>14559</v>
      </c>
      <c r="H1869" s="6" t="s">
        <v>14560</v>
      </c>
      <c r="K1869" s="5" t="s">
        <v>14524</v>
      </c>
      <c r="M1869" s="5" t="s">
        <v>14561</v>
      </c>
      <c r="N1869" s="7" t="s">
        <v>14562</v>
      </c>
      <c r="O1869" s="8" t="str">
        <f>HYPERLINK("https://drive.google.com/file/d/1dUdEc3EWLpD3HK6JK9hZX2ZC685aWagB/view?usp=drivesdk","1868_YAYAH SUYATMI _ SERTIFIKAT BIMTEK IPASN BerAKHLASK")</f>
        <v>1868_YAYAH SUYATMI _ SERTIFIKAT BIMTEK IPASN BerAKHLASK</v>
      </c>
      <c r="P1869" s="5" t="s">
        <v>14552</v>
      </c>
      <c r="Q1869" s="5"/>
      <c r="R1869" s="5"/>
      <c r="S1869" s="5"/>
      <c r="T1869" s="5"/>
    </row>
    <row r="1870">
      <c r="A1870" s="4">
        <v>45534.33780927083</v>
      </c>
      <c r="B1870" s="5" t="s">
        <v>34</v>
      </c>
      <c r="D1870" s="5" t="s">
        <v>4775</v>
      </c>
      <c r="E1870" s="5" t="s">
        <v>14563</v>
      </c>
      <c r="F1870" s="5" t="s">
        <v>375</v>
      </c>
      <c r="G1870" s="5" t="s">
        <v>14564</v>
      </c>
      <c r="H1870" s="6" t="s">
        <v>14565</v>
      </c>
      <c r="K1870" s="5" t="s">
        <v>14524</v>
      </c>
      <c r="M1870" s="5" t="s">
        <v>14566</v>
      </c>
      <c r="N1870" s="7" t="s">
        <v>14567</v>
      </c>
      <c r="O1870" s="8" t="str">
        <f>HYPERLINK("https://drive.google.com/file/d/12OYsF3WMvLOk_gFeVjUF2X0aD2OYn_kF/view?usp=drivesdk","1869_ARIEF PRIBADI S.KOM _ SERTIFIKAT BIMTEK IPASN BerAKHLASK")</f>
        <v>1869_ARIEF PRIBADI S.KOM _ SERTIFIKAT BIMTEK IPASN BerAKHLASK</v>
      </c>
      <c r="P1870" s="5" t="s">
        <v>14552</v>
      </c>
      <c r="Q1870" s="5"/>
      <c r="R1870" s="5"/>
      <c r="S1870" s="5"/>
      <c r="T1870" s="5"/>
    </row>
    <row r="1871">
      <c r="A1871" s="4">
        <v>45534.337809687495</v>
      </c>
      <c r="B1871" s="5" t="s">
        <v>34</v>
      </c>
      <c r="D1871" s="5" t="s">
        <v>4775</v>
      </c>
      <c r="E1871" s="5" t="s">
        <v>14568</v>
      </c>
      <c r="F1871" s="5" t="s">
        <v>72</v>
      </c>
      <c r="G1871" s="5" t="s">
        <v>14569</v>
      </c>
      <c r="H1871" s="6" t="s">
        <v>14570</v>
      </c>
      <c r="K1871" s="5" t="s">
        <v>14571</v>
      </c>
      <c r="M1871" s="5" t="s">
        <v>14572</v>
      </c>
      <c r="N1871" s="7" t="s">
        <v>14573</v>
      </c>
      <c r="O1871" s="8" t="str">
        <f>HYPERLINK("https://drive.google.com/file/d/1TBfr2NRKLTP2LZ1t8hfJ5AgxLHEr_MLQ/view?usp=drivesdk","1870_SUHARTINI _ SERTIFIKAT BIMTEK IPASN BerAKHLASK")</f>
        <v>1870_SUHARTINI _ SERTIFIKAT BIMTEK IPASN BerAKHLASK</v>
      </c>
      <c r="P1871" s="5" t="s">
        <v>14552</v>
      </c>
      <c r="Q1871" s="5"/>
      <c r="R1871" s="5"/>
      <c r="S1871" s="5"/>
      <c r="T1871" s="5"/>
    </row>
    <row r="1872">
      <c r="A1872" s="4">
        <v>45534.33781135417</v>
      </c>
      <c r="B1872" s="5" t="s">
        <v>34</v>
      </c>
      <c r="D1872" s="5" t="s">
        <v>580</v>
      </c>
      <c r="E1872" s="5" t="s">
        <v>14574</v>
      </c>
      <c r="F1872" s="5" t="s">
        <v>212</v>
      </c>
      <c r="G1872" s="5" t="s">
        <v>14575</v>
      </c>
      <c r="H1872" s="6" t="s">
        <v>14576</v>
      </c>
      <c r="K1872" s="5" t="s">
        <v>14571</v>
      </c>
      <c r="M1872" s="5" t="s">
        <v>14577</v>
      </c>
      <c r="N1872" s="7" t="s">
        <v>14578</v>
      </c>
      <c r="O1872" s="8" t="str">
        <f>HYPERLINK("https://drive.google.com/file/d/1ayV6LB3awTFOlA5Dl8YmatheceYpWJfc/view?usp=drivesdk","1871_NI WAYAN SUDARMI _ SERTIFIKAT BIMTEK IPASN BerAKHLASK")</f>
        <v>1871_NI WAYAN SUDARMI _ SERTIFIKAT BIMTEK IPASN BerAKHLASK</v>
      </c>
      <c r="P1872" s="5" t="s">
        <v>14552</v>
      </c>
      <c r="Q1872" s="5"/>
      <c r="R1872" s="5"/>
      <c r="S1872" s="5"/>
      <c r="T1872" s="5"/>
    </row>
    <row r="1873" hidden="1">
      <c r="A1873" s="4">
        <v>45534.33781384259</v>
      </c>
      <c r="B1873" s="5" t="s">
        <v>19</v>
      </c>
      <c r="C1873" s="5" t="s">
        <v>20</v>
      </c>
      <c r="E1873" s="5" t="s">
        <v>14579</v>
      </c>
      <c r="F1873" s="5" t="s">
        <v>120</v>
      </c>
      <c r="G1873" s="5" t="s">
        <v>14580</v>
      </c>
      <c r="H1873" s="6" t="s">
        <v>14581</v>
      </c>
      <c r="K1873" s="5" t="s">
        <v>14571</v>
      </c>
      <c r="M1873" s="5" t="s">
        <v>14582</v>
      </c>
      <c r="N1873" s="7" t="s">
        <v>14583</v>
      </c>
      <c r="O1873" s="8" t="str">
        <f>HYPERLINK("https://drive.google.com/file/d/1cHL2E755obL95bepse9EA2cjlr6lMC38/view?usp=drivesdk","1872_SUHARDIONO, S.KOM _ SERTIFIKAT BIMTEK IPASN BerAKHLASK")</f>
        <v>1872_SUHARDIONO, S.KOM _ SERTIFIKAT BIMTEK IPASN BerAKHLASK</v>
      </c>
      <c r="P1873" s="5" t="s">
        <v>14552</v>
      </c>
      <c r="Q1873" s="5"/>
      <c r="R1873" s="5"/>
      <c r="S1873" s="5"/>
      <c r="T1873" s="5"/>
    </row>
    <row r="1874">
      <c r="A1874" s="4">
        <v>45534.337822905094</v>
      </c>
      <c r="B1874" s="5" t="s">
        <v>34</v>
      </c>
      <c r="D1874" s="5" t="s">
        <v>996</v>
      </c>
      <c r="E1874" s="5" t="s">
        <v>14584</v>
      </c>
      <c r="F1874" s="5" t="s">
        <v>375</v>
      </c>
      <c r="G1874" s="5" t="s">
        <v>14585</v>
      </c>
      <c r="H1874" s="6" t="s">
        <v>14586</v>
      </c>
      <c r="I1874" s="7" t="s">
        <v>14587</v>
      </c>
      <c r="J1874" s="8" t="str">
        <f>HYPERLINK("https://drive.google.com/file/d/1pxhaGpqChZJzJE3x11EVlsKvutvPy3dx/view?usp=drivesdk","YUNITA HIZWARA, S. SOS SERTIFIKAT BerAKHLAK")</f>
        <v>YUNITA HIZWARA, S. SOS SERTIFIKAT BerAKHLAK</v>
      </c>
      <c r="K1874" s="5" t="s">
        <v>14042</v>
      </c>
      <c r="L1874" s="5" t="s">
        <v>14588</v>
      </c>
      <c r="M1874" s="5" t="s">
        <v>14589</v>
      </c>
      <c r="N1874" s="7" t="s">
        <v>14590</v>
      </c>
      <c r="O1874" s="8" t="str">
        <f>HYPERLINK("https://drive.google.com/file/d/1GT_GspheWvmV1sIrqUJJs742VLapao6V/view?usp=drivesdk","1873_YUNITA HIZWARA, S. SOS _ SERTIFIKAT BIMTEK IPASN BerAKHLASK")</f>
        <v>1873_YUNITA HIZWARA, S. SOS _ SERTIFIKAT BIMTEK IPASN BerAKHLASK</v>
      </c>
      <c r="P1874" s="5" t="s">
        <v>14591</v>
      </c>
      <c r="Q1874" s="5"/>
      <c r="R1874" s="5"/>
      <c r="S1874" s="5"/>
      <c r="T1874" s="5"/>
    </row>
    <row r="1875">
      <c r="A1875" s="4">
        <v>45534.33784112269</v>
      </c>
      <c r="B1875" s="5" t="s">
        <v>34</v>
      </c>
      <c r="D1875" s="5" t="s">
        <v>35</v>
      </c>
      <c r="E1875" s="5" t="s">
        <v>14592</v>
      </c>
      <c r="F1875" s="5" t="s">
        <v>72</v>
      </c>
      <c r="G1875" s="5" t="s">
        <v>14593</v>
      </c>
      <c r="H1875" s="6" t="s">
        <v>14594</v>
      </c>
      <c r="I1875" s="7" t="s">
        <v>14595</v>
      </c>
      <c r="J1875" s="8" t="str">
        <f>HYPERLINK("https://drive.google.com/file/d/1p_85hmWlIop40wnZEPL_WlJLzbsCY0xV/view?usp=drivesdk","AY AY NURHIDAYAH, SE SERTIFIKAT BerAKHLAK")</f>
        <v>AY AY NURHIDAYAH, SE SERTIFIKAT BerAKHLAK</v>
      </c>
      <c r="K1875" s="5" t="s">
        <v>14071</v>
      </c>
      <c r="L1875" s="5" t="s">
        <v>14596</v>
      </c>
      <c r="M1875" s="5" t="s">
        <v>14597</v>
      </c>
      <c r="N1875" s="7" t="s">
        <v>14598</v>
      </c>
      <c r="O1875" s="8" t="str">
        <f>HYPERLINK("https://drive.google.com/file/d/1yxk0Z8c69ebHKBj3iWEHFCncOgpsTYKJ/view?usp=drivesdk","1874_AY AY NURHIDAYAH, SE _ SERTIFIKAT BIMTEK IPASN BerAKHLASK")</f>
        <v>1874_AY AY NURHIDAYAH, SE _ SERTIFIKAT BIMTEK IPASN BerAKHLASK</v>
      </c>
      <c r="P1875" s="5" t="s">
        <v>14591</v>
      </c>
      <c r="Q1875" s="5"/>
      <c r="R1875" s="5"/>
      <c r="S1875" s="5"/>
      <c r="T1875" s="5"/>
    </row>
    <row r="1876" hidden="1">
      <c r="A1876" s="4">
        <v>45534.33784184028</v>
      </c>
      <c r="B1876" s="5" t="s">
        <v>19</v>
      </c>
      <c r="C1876" s="5" t="s">
        <v>466</v>
      </c>
      <c r="E1876" s="5" t="s">
        <v>14599</v>
      </c>
      <c r="F1876" s="5" t="s">
        <v>212</v>
      </c>
      <c r="G1876" s="5" t="s">
        <v>14600</v>
      </c>
      <c r="H1876" s="6" t="s">
        <v>14601</v>
      </c>
      <c r="I1876" s="7" t="s">
        <v>14602</v>
      </c>
      <c r="J1876" s="8" t="str">
        <f>HYPERLINK("https://drive.google.com/file/d/18ESaDufHgSZGJhHcmQ_rEDnJftaceWde/view?usp=drivesdk","PENGATUR TK I TIAS UTAMI SERTIFIKAT BerAKHLAK")</f>
        <v>PENGATUR TK I TIAS UTAMI SERTIFIKAT BerAKHLAK</v>
      </c>
      <c r="K1876" s="5" t="s">
        <v>14071</v>
      </c>
      <c r="L1876" s="5" t="s">
        <v>14603</v>
      </c>
      <c r="M1876" s="5" t="s">
        <v>14604</v>
      </c>
      <c r="N1876" s="7" t="s">
        <v>14605</v>
      </c>
      <c r="O1876" s="8" t="str">
        <f>HYPERLINK("https://drive.google.com/file/d/1dwn1EV8zMyTW640tMOARsBb8mSziXIXm/view?usp=drivesdk","1875_PENGATUR TK I TIAS UTAMI _ SERTIFIKAT BIMTEK IPASN BerAKHLASK")</f>
        <v>1875_PENGATUR TK I TIAS UTAMI _ SERTIFIKAT BIMTEK IPASN BerAKHLASK</v>
      </c>
      <c r="P1876" s="5" t="s">
        <v>14591</v>
      </c>
      <c r="Q1876" s="5"/>
      <c r="R1876" s="5"/>
      <c r="S1876" s="5"/>
      <c r="T1876" s="5"/>
    </row>
    <row r="1877">
      <c r="A1877" s="4">
        <v>45534.337843194444</v>
      </c>
      <c r="B1877" s="5" t="s">
        <v>34</v>
      </c>
      <c r="D1877" s="5" t="s">
        <v>4775</v>
      </c>
      <c r="E1877" s="5" t="s">
        <v>14606</v>
      </c>
      <c r="F1877" s="5" t="s">
        <v>212</v>
      </c>
      <c r="G1877" s="5" t="s">
        <v>14607</v>
      </c>
      <c r="H1877" s="6" t="s">
        <v>14608</v>
      </c>
      <c r="I1877" s="7" t="s">
        <v>14609</v>
      </c>
      <c r="J1877" s="8" t="str">
        <f>HYPERLINK("https://drive.google.com/file/d/1AAqOP7-jwwaLim4kYDIfJNy0j1mc_IAS/view?usp=drivesdk","SUTARTO BAPAK SERTIFIKAT BerAKHLAK")</f>
        <v>SUTARTO BAPAK SERTIFIKAT BerAKHLAK</v>
      </c>
      <c r="K1877" s="5" t="s">
        <v>14093</v>
      </c>
      <c r="L1877" s="5" t="s">
        <v>14610</v>
      </c>
      <c r="M1877" s="5" t="s">
        <v>14611</v>
      </c>
      <c r="N1877" s="7" t="s">
        <v>14612</v>
      </c>
      <c r="O1877" s="8" t="str">
        <f>HYPERLINK("https://drive.google.com/file/d/1kamygunbGDRxj6PvHSgPAZYHUNRAYSbd/view?usp=drivesdk","1876_SUTARTO BAPAK _ SERTIFIKAT BIMTEK IPASN BerAKHLASK")</f>
        <v>1876_SUTARTO BAPAK _ SERTIFIKAT BIMTEK IPASN BerAKHLASK</v>
      </c>
      <c r="P1877" s="5" t="s">
        <v>14591</v>
      </c>
      <c r="Q1877" s="5"/>
      <c r="R1877" s="5"/>
      <c r="S1877" s="5"/>
      <c r="T1877" s="5"/>
    </row>
    <row r="1878">
      <c r="A1878" s="4">
        <v>45534.337846180555</v>
      </c>
      <c r="B1878" s="5" t="s">
        <v>34</v>
      </c>
      <c r="D1878" s="5" t="s">
        <v>9394</v>
      </c>
      <c r="E1878" s="5" t="s">
        <v>14613</v>
      </c>
      <c r="F1878" s="5" t="s">
        <v>715</v>
      </c>
      <c r="G1878" s="5" t="s">
        <v>14614</v>
      </c>
      <c r="H1878" s="6" t="s">
        <v>14615</v>
      </c>
      <c r="I1878" s="7" t="s">
        <v>14616</v>
      </c>
      <c r="J1878" s="8" t="str">
        <f>HYPERLINK("https://drive.google.com/file/d/1JRVg2gpoKPyDHvcK_go6CVjJhGg9v0hS/view?usp=drivesdk","SRI WAHYUNI, SH SERTIFIKAT BerAKHLAK")</f>
        <v>SRI WAHYUNI, SH SERTIFIKAT BerAKHLAK</v>
      </c>
      <c r="K1878" s="5" t="s">
        <v>14093</v>
      </c>
      <c r="L1878" s="5" t="s">
        <v>14617</v>
      </c>
      <c r="M1878" s="5" t="s">
        <v>14618</v>
      </c>
      <c r="N1878" s="7" t="s">
        <v>14619</v>
      </c>
      <c r="O1878" s="8" t="str">
        <f>HYPERLINK("https://drive.google.com/file/d/1lt-wGcZIC4zuVgUXoUWEKl3VVlkS5Z5K/view?usp=drivesdk","1877_SRI WAHYUNI, SH _ SERTIFIKAT BIMTEK IPASN BerAKHLASK")</f>
        <v>1877_SRI WAHYUNI, SH _ SERTIFIKAT BIMTEK IPASN BerAKHLASK</v>
      </c>
      <c r="P1878" s="5" t="s">
        <v>14591</v>
      </c>
      <c r="Q1878" s="5"/>
      <c r="R1878" s="5"/>
      <c r="S1878" s="5"/>
      <c r="T1878" s="5"/>
    </row>
    <row r="1879">
      <c r="A1879" s="4">
        <v>45534.33784724537</v>
      </c>
      <c r="B1879" s="5" t="s">
        <v>34</v>
      </c>
      <c r="D1879" s="5" t="s">
        <v>267</v>
      </c>
      <c r="E1879" s="5" t="s">
        <v>14620</v>
      </c>
      <c r="F1879" s="5" t="s">
        <v>212</v>
      </c>
      <c r="G1879" s="5" t="s">
        <v>14621</v>
      </c>
      <c r="H1879" s="6" t="s">
        <v>14622</v>
      </c>
      <c r="I1879" s="7" t="s">
        <v>14623</v>
      </c>
      <c r="J1879" s="8" t="str">
        <f>HYPERLINK("https://drive.google.com/file/d/1Sxxl_FAFh9MmwF9dOsp2JxfMykLI14Lo/view?usp=drivesdk","WARTINI SERTIFIKAT BerAKHLAK")</f>
        <v>WARTINI SERTIFIKAT BerAKHLAK</v>
      </c>
      <c r="K1879" s="5" t="s">
        <v>14093</v>
      </c>
      <c r="L1879" s="5" t="s">
        <v>14624</v>
      </c>
      <c r="M1879" s="5" t="s">
        <v>14625</v>
      </c>
      <c r="N1879" s="7" t="s">
        <v>14626</v>
      </c>
      <c r="O1879" s="8" t="str">
        <f>HYPERLINK("https://drive.google.com/file/d/1MYRFupe2q2cIcfG7BCXPLZtNM3fQM40e/view?usp=drivesdk","1878_WARTINI _ SERTIFIKAT BIMTEK IPASN BerAKHLASK")</f>
        <v>1878_WARTINI _ SERTIFIKAT BIMTEK IPASN BerAKHLASK</v>
      </c>
      <c r="P1879" s="5" t="s">
        <v>14591</v>
      </c>
      <c r="Q1879" s="5"/>
      <c r="R1879" s="5"/>
      <c r="S1879" s="5"/>
      <c r="T1879" s="5"/>
    </row>
    <row r="1880">
      <c r="A1880" s="4">
        <v>45534.33784862269</v>
      </c>
      <c r="B1880" s="5" t="s">
        <v>34</v>
      </c>
      <c r="D1880" s="5" t="s">
        <v>4775</v>
      </c>
      <c r="E1880" s="5" t="s">
        <v>14627</v>
      </c>
      <c r="F1880" s="5" t="s">
        <v>212</v>
      </c>
      <c r="G1880" s="5" t="s">
        <v>14628</v>
      </c>
      <c r="H1880" s="6" t="s">
        <v>14629</v>
      </c>
      <c r="I1880" s="7" t="s">
        <v>14630</v>
      </c>
      <c r="J1880" s="8" t="str">
        <f>HYPERLINK("https://drive.google.com/file/d/1Ilr61WpoikcSJTYrRRT96r_48UqtjsuY/view?usp=drivesdk","PUJIASTUTI PRIHATININGSIH, A.Md SERTIFIKAT BerAKHLAK")</f>
        <v>PUJIASTUTI PRIHATININGSIH, A.Md SERTIFIKAT BerAKHLAK</v>
      </c>
      <c r="K1880" s="5" t="s">
        <v>14116</v>
      </c>
      <c r="L1880" s="5" t="s">
        <v>14631</v>
      </c>
      <c r="M1880" s="5" t="s">
        <v>14632</v>
      </c>
      <c r="N1880" s="7" t="s">
        <v>14633</v>
      </c>
      <c r="O1880" s="8" t="str">
        <f>HYPERLINK("https://drive.google.com/file/d/1rVvAjenG0JxKMLdbv6YtGze94XLRID7Z/view?usp=drivesdk","1879_PUJIASTUTI PRIHATININGSIH, A.Md _ SERTIFIKAT BIMTEK IPASN BerAKHLASK")</f>
        <v>1879_PUJIASTUTI PRIHATININGSIH, A.Md _ SERTIFIKAT BIMTEK IPASN BerAKHLASK</v>
      </c>
      <c r="P1880" s="5" t="s">
        <v>14634</v>
      </c>
      <c r="Q1880" s="5"/>
      <c r="R1880" s="5"/>
      <c r="S1880" s="5"/>
      <c r="T1880" s="5"/>
    </row>
    <row r="1881">
      <c r="A1881" s="4">
        <v>45534.33784886574</v>
      </c>
      <c r="B1881" s="5" t="s">
        <v>34</v>
      </c>
      <c r="D1881" s="5" t="s">
        <v>1206</v>
      </c>
      <c r="E1881" s="5" t="s">
        <v>14635</v>
      </c>
      <c r="F1881" s="5" t="s">
        <v>72</v>
      </c>
      <c r="G1881" s="5" t="s">
        <v>14636</v>
      </c>
      <c r="H1881" s="6" t="s">
        <v>14637</v>
      </c>
      <c r="I1881" s="7" t="s">
        <v>14638</v>
      </c>
      <c r="J1881" s="8" t="str">
        <f>HYPERLINK("https://drive.google.com/file/d/16oklyLtdobzJRK0cDePEKoiE09J7SbAb/view?usp=drivesdk","WAHYU HANDAYANI, Amd SERTIFIKAT BerAKHLAK")</f>
        <v>WAHYU HANDAYANI, Amd SERTIFIKAT BerAKHLAK</v>
      </c>
      <c r="K1881" s="5" t="s">
        <v>14116</v>
      </c>
      <c r="L1881" s="5" t="s">
        <v>14639</v>
      </c>
      <c r="M1881" s="5" t="s">
        <v>14640</v>
      </c>
      <c r="N1881" s="7" t="s">
        <v>14641</v>
      </c>
      <c r="O1881" s="8" t="str">
        <f>HYPERLINK("https://drive.google.com/file/d/1uYZQOSQsIFDXMb_jHVnz8cIq7PjqU3O6/view?usp=drivesdk","1880_WAHYU HANDAYANI, Amd _ SERTIFIKAT BIMTEK IPASN BerAKHLASK")</f>
        <v>1880_WAHYU HANDAYANI, Amd _ SERTIFIKAT BIMTEK IPASN BerAKHLASK</v>
      </c>
      <c r="P1881" s="5" t="s">
        <v>14634</v>
      </c>
      <c r="Q1881" s="5"/>
      <c r="R1881" s="5"/>
      <c r="S1881" s="5"/>
      <c r="T1881" s="5"/>
    </row>
    <row r="1882">
      <c r="A1882" s="4">
        <v>45534.337854108795</v>
      </c>
      <c r="B1882" s="5" t="s">
        <v>34</v>
      </c>
      <c r="D1882" s="5" t="s">
        <v>6232</v>
      </c>
      <c r="E1882" s="5" t="s">
        <v>14642</v>
      </c>
      <c r="F1882" s="5" t="s">
        <v>37</v>
      </c>
      <c r="G1882" s="5" t="s">
        <v>14643</v>
      </c>
      <c r="H1882" s="6" t="s">
        <v>14644</v>
      </c>
      <c r="K1882" s="5" t="s">
        <v>14524</v>
      </c>
      <c r="M1882" s="5" t="s">
        <v>14645</v>
      </c>
      <c r="N1882" s="7" t="s">
        <v>14646</v>
      </c>
      <c r="O1882" s="8" t="str">
        <f>HYPERLINK("https://drive.google.com/file/d/1x4GNtypJCu0YVIaYgJaJWWyw0IWqRdce/view?usp=drivesdk","1881_RTS. LISA AMINI, Am.Kep _ SERTIFIKAT BIMTEK IPASN BerAKHLASK")</f>
        <v>1881_RTS. LISA AMINI, Am.Kep _ SERTIFIKAT BIMTEK IPASN BerAKHLASK</v>
      </c>
      <c r="P1882" s="5" t="s">
        <v>14634</v>
      </c>
      <c r="Q1882" s="5"/>
      <c r="R1882" s="5"/>
      <c r="S1882" s="5"/>
      <c r="T1882" s="5"/>
    </row>
    <row r="1883">
      <c r="A1883" s="4">
        <v>45534.337864305555</v>
      </c>
      <c r="B1883" s="5" t="s">
        <v>34</v>
      </c>
      <c r="D1883" s="5" t="s">
        <v>9020</v>
      </c>
      <c r="E1883" s="5" t="s">
        <v>14647</v>
      </c>
      <c r="F1883" s="5" t="s">
        <v>524</v>
      </c>
      <c r="G1883" s="5" t="s">
        <v>14648</v>
      </c>
      <c r="H1883" s="6" t="s">
        <v>14649</v>
      </c>
      <c r="K1883" s="5" t="s">
        <v>14524</v>
      </c>
      <c r="M1883" s="5" t="s">
        <v>14650</v>
      </c>
      <c r="N1883" s="7" t="s">
        <v>14651</v>
      </c>
      <c r="O1883" s="8" t="str">
        <f>HYPERLINK("https://drive.google.com/file/d/1g1kxyf5bxfZfcbwUqiDzNOxOA_7UxtEt/view?usp=drivesdk","1882_SYAMSUL KAMAL SH _ SERTIFIKAT BIMTEK IPASN BerAKHLASK")</f>
        <v>1882_SYAMSUL KAMAL SH _ SERTIFIKAT BIMTEK IPASN BerAKHLASK</v>
      </c>
      <c r="P1883" s="5" t="s">
        <v>14634</v>
      </c>
      <c r="Q1883" s="5"/>
      <c r="R1883" s="5"/>
      <c r="S1883" s="5"/>
      <c r="T1883" s="5"/>
    </row>
    <row r="1884">
      <c r="A1884" s="4">
        <v>45534.33786846064</v>
      </c>
      <c r="B1884" s="5" t="s">
        <v>34</v>
      </c>
      <c r="D1884" s="5" t="s">
        <v>35</v>
      </c>
      <c r="E1884" s="5" t="s">
        <v>14652</v>
      </c>
      <c r="F1884" s="5" t="s">
        <v>37</v>
      </c>
      <c r="G1884" s="5" t="s">
        <v>14653</v>
      </c>
      <c r="H1884" s="6" t="s">
        <v>14654</v>
      </c>
      <c r="K1884" s="5" t="s">
        <v>14524</v>
      </c>
      <c r="M1884" s="5" t="s">
        <v>14655</v>
      </c>
      <c r="N1884" s="7" t="s">
        <v>14656</v>
      </c>
      <c r="O1884" s="8" t="str">
        <f>HYPERLINK("https://drive.google.com/file/d/1Jxmjm_GeofULP4LLjsjZiPQ6CSJmZksj/view?usp=drivesdk","1883_NADIA FATIA ZAHRA _ SERTIFIKAT BIMTEK IPASN BerAKHLASK")</f>
        <v>1883_NADIA FATIA ZAHRA _ SERTIFIKAT BIMTEK IPASN BerAKHLASK</v>
      </c>
      <c r="P1884" s="5" t="s">
        <v>14634</v>
      </c>
      <c r="Q1884" s="5"/>
      <c r="R1884" s="5"/>
      <c r="S1884" s="5"/>
      <c r="T1884" s="5"/>
    </row>
    <row r="1885">
      <c r="A1885" s="4">
        <v>45534.33786903935</v>
      </c>
      <c r="B1885" s="5" t="s">
        <v>34</v>
      </c>
      <c r="D1885" s="5" t="s">
        <v>1692</v>
      </c>
      <c r="E1885" s="5" t="s">
        <v>14657</v>
      </c>
      <c r="F1885" s="5" t="s">
        <v>37</v>
      </c>
      <c r="G1885" s="5" t="s">
        <v>14658</v>
      </c>
      <c r="H1885" s="6" t="s">
        <v>14659</v>
      </c>
      <c r="K1885" s="5" t="s">
        <v>14524</v>
      </c>
      <c r="M1885" s="5" t="s">
        <v>14660</v>
      </c>
      <c r="N1885" s="7" t="s">
        <v>14661</v>
      </c>
      <c r="O1885" s="8" t="str">
        <f>HYPERLINK("https://drive.google.com/file/d/1vP0EU0iA1LT1-e4yApprXjaAhfXQhB50/view?usp=drivesdk","1884_RUTH PAAIS _ SERTIFIKAT BIMTEK IPASN BerAKHLASK")</f>
        <v>1884_RUTH PAAIS _ SERTIFIKAT BIMTEK IPASN BerAKHLASK</v>
      </c>
      <c r="P1885" s="5" t="s">
        <v>14662</v>
      </c>
      <c r="Q1885" s="5"/>
      <c r="R1885" s="5"/>
      <c r="S1885" s="5"/>
      <c r="T1885" s="5"/>
    </row>
    <row r="1886">
      <c r="A1886" s="4">
        <v>45534.33787186343</v>
      </c>
      <c r="B1886" s="5" t="s">
        <v>34</v>
      </c>
      <c r="D1886" s="5" t="s">
        <v>35</v>
      </c>
      <c r="E1886" s="5" t="s">
        <v>14663</v>
      </c>
      <c r="F1886" s="5" t="s">
        <v>212</v>
      </c>
      <c r="G1886" s="5" t="s">
        <v>14664</v>
      </c>
      <c r="H1886" s="6" t="s">
        <v>14665</v>
      </c>
      <c r="K1886" s="5" t="s">
        <v>14524</v>
      </c>
      <c r="M1886" s="5" t="s">
        <v>14666</v>
      </c>
      <c r="N1886" s="7" t="s">
        <v>14667</v>
      </c>
      <c r="O1886" s="8" t="str">
        <f>HYPERLINK("https://drive.google.com/file/d/1h1VROpLk1CnMqySniCfM1jQDGDcvufIX/view?usp=drivesdk","1885_HENY LISMAWATI  _ SERTIFIKAT BIMTEK IPASN BerAKHLASK")</f>
        <v>1885_HENY LISMAWATI  _ SERTIFIKAT BIMTEK IPASN BerAKHLASK</v>
      </c>
      <c r="P1886" s="5" t="s">
        <v>14662</v>
      </c>
      <c r="Q1886" s="5"/>
      <c r="R1886" s="5"/>
      <c r="S1886" s="5"/>
      <c r="T1886" s="5"/>
    </row>
    <row r="1887">
      <c r="A1887" s="4">
        <v>45534.33787392361</v>
      </c>
      <c r="B1887" s="5" t="s">
        <v>34</v>
      </c>
      <c r="D1887" s="5" t="s">
        <v>1206</v>
      </c>
      <c r="E1887" s="5" t="s">
        <v>14668</v>
      </c>
      <c r="F1887" s="5" t="s">
        <v>37</v>
      </c>
      <c r="G1887" s="5" t="s">
        <v>14669</v>
      </c>
      <c r="H1887" s="6" t="s">
        <v>14670</v>
      </c>
      <c r="K1887" s="5" t="s">
        <v>14524</v>
      </c>
      <c r="M1887" s="5" t="s">
        <v>14671</v>
      </c>
      <c r="N1887" s="7" t="s">
        <v>14672</v>
      </c>
      <c r="O1887" s="8" t="str">
        <f>HYPERLINK("https://drive.google.com/file/d/1CE6-wHCsmAOmDpctmzK3oANyEwCQKdJH/view?usp=drivesdk","1886_DEDYK MULYO AFRIANTO _ SERTIFIKAT BIMTEK IPASN BerAKHLASK")</f>
        <v>1886_DEDYK MULYO AFRIANTO _ SERTIFIKAT BIMTEK IPASN BerAKHLASK</v>
      </c>
      <c r="P1887" s="5" t="s">
        <v>14662</v>
      </c>
      <c r="Q1887" s="5"/>
      <c r="R1887" s="5"/>
      <c r="S1887" s="5"/>
      <c r="T1887" s="5"/>
    </row>
    <row r="1888">
      <c r="A1888" s="4">
        <v>45534.33787960648</v>
      </c>
      <c r="B1888" s="5" t="s">
        <v>34</v>
      </c>
      <c r="D1888" s="5" t="s">
        <v>9394</v>
      </c>
      <c r="E1888" s="5" t="s">
        <v>14673</v>
      </c>
      <c r="F1888" s="5" t="s">
        <v>37</v>
      </c>
      <c r="G1888" s="5" t="s">
        <v>14674</v>
      </c>
      <c r="H1888" s="6" t="s">
        <v>14675</v>
      </c>
      <c r="K1888" s="5" t="s">
        <v>14524</v>
      </c>
      <c r="M1888" s="5" t="s">
        <v>14676</v>
      </c>
      <c r="N1888" s="7" t="s">
        <v>14677</v>
      </c>
      <c r="O1888" s="8" t="str">
        <f>HYPERLINK("https://drive.google.com/file/d/1Z_r0hJvJB24BIVHy7mXpjRj_MrWsSmsx/view?usp=drivesdk","1887_NURSYAFNI, S.KOM _ SERTIFIKAT BIMTEK IPASN BerAKHLASK")</f>
        <v>1887_NURSYAFNI, S.KOM _ SERTIFIKAT BIMTEK IPASN BerAKHLASK</v>
      </c>
      <c r="P1888" s="5" t="s">
        <v>14678</v>
      </c>
      <c r="Q1888" s="5"/>
      <c r="R1888" s="5"/>
      <c r="S1888" s="5"/>
      <c r="T1888" s="5"/>
    </row>
    <row r="1889">
      <c r="A1889" s="4">
        <v>45534.33788125</v>
      </c>
      <c r="B1889" s="5" t="s">
        <v>34</v>
      </c>
      <c r="D1889" s="5" t="s">
        <v>996</v>
      </c>
      <c r="E1889" s="5" t="s">
        <v>14679</v>
      </c>
      <c r="F1889" s="5" t="s">
        <v>524</v>
      </c>
      <c r="G1889" s="5" t="s">
        <v>14680</v>
      </c>
      <c r="H1889" s="6" t="s">
        <v>14681</v>
      </c>
      <c r="K1889" s="5" t="s">
        <v>14524</v>
      </c>
      <c r="M1889" s="5" t="s">
        <v>14682</v>
      </c>
      <c r="N1889" s="7" t="s">
        <v>14683</v>
      </c>
      <c r="O1889" s="8" t="str">
        <f>HYPERLINK("https://drive.google.com/file/d/1M4FRrsHvTuEg4PZY_3R6E0iGSVt_tL1u/view?usp=drivesdk","1888_WULAN FITRIANI, SE.MM _ SERTIFIKAT BIMTEK IPASN BerAKHLASK")</f>
        <v>1888_WULAN FITRIANI, SE.MM _ SERTIFIKAT BIMTEK IPASN BerAKHLASK</v>
      </c>
      <c r="P1889" s="5" t="s">
        <v>14678</v>
      </c>
      <c r="Q1889" s="5"/>
      <c r="R1889" s="5"/>
      <c r="S1889" s="5"/>
      <c r="T1889" s="5"/>
    </row>
    <row r="1890">
      <c r="A1890" s="4">
        <v>45534.33788543982</v>
      </c>
      <c r="B1890" s="5" t="s">
        <v>34</v>
      </c>
      <c r="D1890" s="5" t="s">
        <v>975</v>
      </c>
      <c r="E1890" s="5" t="s">
        <v>14684</v>
      </c>
      <c r="F1890" s="5" t="s">
        <v>212</v>
      </c>
      <c r="G1890" s="5" t="s">
        <v>14685</v>
      </c>
      <c r="H1890" s="6" t="s">
        <v>14686</v>
      </c>
      <c r="K1890" s="5" t="s">
        <v>14524</v>
      </c>
      <c r="M1890" s="5" t="s">
        <v>14687</v>
      </c>
      <c r="N1890" s="7" t="s">
        <v>14688</v>
      </c>
      <c r="O1890" s="8" t="str">
        <f>HYPERLINK("https://drive.google.com/file/d/1ErcUxM6t5eKsINpcu35a2-q6viYshdx9/view?usp=drivesdk","1889_DEDY ASWAR, A.M.K _ SERTIFIKAT BIMTEK IPASN BerAKHLASK")</f>
        <v>1889_DEDY ASWAR, A.M.K _ SERTIFIKAT BIMTEK IPASN BerAKHLASK</v>
      </c>
      <c r="P1890" s="5" t="s">
        <v>14678</v>
      </c>
      <c r="Q1890" s="5"/>
      <c r="R1890" s="5"/>
      <c r="S1890" s="5"/>
      <c r="T1890" s="5"/>
    </row>
    <row r="1891">
      <c r="A1891" s="4">
        <v>45534.337887754635</v>
      </c>
      <c r="B1891" s="5" t="s">
        <v>34</v>
      </c>
      <c r="D1891" s="5" t="s">
        <v>6232</v>
      </c>
      <c r="E1891" s="5" t="s">
        <v>14689</v>
      </c>
      <c r="F1891" s="5" t="s">
        <v>212</v>
      </c>
      <c r="G1891" s="5" t="s">
        <v>14690</v>
      </c>
      <c r="H1891" s="6" t="s">
        <v>14691</v>
      </c>
      <c r="K1891" s="5" t="s">
        <v>14524</v>
      </c>
      <c r="M1891" s="5" t="s">
        <v>14692</v>
      </c>
      <c r="N1891" s="7" t="s">
        <v>14693</v>
      </c>
      <c r="O1891" s="8" t="str">
        <f>HYPERLINK("https://drive.google.com/file/d/1Y48DslRYAQ1pGXmBtGAfxYaxDOaPe4uW/view?usp=drivesdk","1890_YURNI AIDA _ SERTIFIKAT BIMTEK IPASN BerAKHLASK")</f>
        <v>1890_YURNI AIDA _ SERTIFIKAT BIMTEK IPASN BerAKHLASK</v>
      </c>
      <c r="P1891" s="5" t="s">
        <v>14678</v>
      </c>
      <c r="Q1891" s="5"/>
      <c r="R1891" s="5"/>
      <c r="S1891" s="5"/>
      <c r="T1891" s="5"/>
    </row>
    <row r="1892">
      <c r="A1892" s="4">
        <v>45534.3378956713</v>
      </c>
      <c r="B1892" s="5" t="s">
        <v>34</v>
      </c>
      <c r="D1892" s="5" t="s">
        <v>35</v>
      </c>
      <c r="E1892" s="5" t="s">
        <v>14694</v>
      </c>
      <c r="F1892" s="5" t="s">
        <v>212</v>
      </c>
      <c r="G1892" s="5" t="s">
        <v>14695</v>
      </c>
      <c r="H1892" s="6" t="s">
        <v>14696</v>
      </c>
      <c r="K1892" s="5" t="s">
        <v>14524</v>
      </c>
      <c r="M1892" s="5" t="s">
        <v>14697</v>
      </c>
      <c r="N1892" s="7" t="s">
        <v>14698</v>
      </c>
      <c r="O1892" s="8" t="str">
        <f>HYPERLINK("https://drive.google.com/file/d/1BpM8CMjoyiR-n5yb6AH3xt-qrV5FUaFl/view?usp=drivesdk","1891_MAHDALENA _ SERTIFIKAT BIMTEK IPASN BerAKHLASK")</f>
        <v>1891_MAHDALENA _ SERTIFIKAT BIMTEK IPASN BerAKHLASK</v>
      </c>
      <c r="P1892" s="5" t="s">
        <v>14678</v>
      </c>
      <c r="Q1892" s="5"/>
      <c r="R1892" s="5"/>
      <c r="S1892" s="5"/>
      <c r="T1892" s="5"/>
    </row>
    <row r="1893">
      <c r="A1893" s="4">
        <v>45534.33789865741</v>
      </c>
      <c r="B1893" s="5" t="s">
        <v>34</v>
      </c>
      <c r="D1893" s="5" t="s">
        <v>4775</v>
      </c>
      <c r="E1893" s="5" t="s">
        <v>14699</v>
      </c>
      <c r="F1893" s="5" t="s">
        <v>524</v>
      </c>
      <c r="G1893" s="5" t="s">
        <v>14700</v>
      </c>
      <c r="H1893" s="6" t="s">
        <v>14701</v>
      </c>
      <c r="K1893" s="5" t="s">
        <v>14524</v>
      </c>
      <c r="M1893" s="5" t="s">
        <v>14702</v>
      </c>
      <c r="N1893" s="7" t="s">
        <v>14703</v>
      </c>
      <c r="O1893" s="8" t="str">
        <f>HYPERLINK("https://drive.google.com/file/d/1UMnuCuwYpNtIzXTstsBd-ZZWt00q0X0Q/view?usp=drivesdk","1892_JUARIIIIIIIIII _ SERTIFIKAT BIMTEK IPASN BerAKHLASK")</f>
        <v>1892_JUARIIIIIIIIII _ SERTIFIKAT BIMTEK IPASN BerAKHLASK</v>
      </c>
      <c r="P1893" s="5" t="s">
        <v>14704</v>
      </c>
      <c r="Q1893" s="5"/>
      <c r="R1893" s="5"/>
      <c r="S1893" s="5"/>
      <c r="T1893" s="5"/>
    </row>
    <row r="1894">
      <c r="A1894" s="4">
        <v>45534.33790271991</v>
      </c>
      <c r="B1894" s="5" t="s">
        <v>34</v>
      </c>
      <c r="D1894" s="5" t="s">
        <v>1456</v>
      </c>
      <c r="E1894" s="5" t="s">
        <v>14705</v>
      </c>
      <c r="F1894" s="5" t="s">
        <v>37</v>
      </c>
      <c r="G1894" s="5" t="s">
        <v>14706</v>
      </c>
      <c r="H1894" s="6" t="s">
        <v>14707</v>
      </c>
      <c r="K1894" s="5" t="s">
        <v>14524</v>
      </c>
      <c r="M1894" s="5" t="s">
        <v>14708</v>
      </c>
      <c r="N1894" s="7" t="s">
        <v>14709</v>
      </c>
      <c r="O1894" s="8" t="str">
        <f>HYPERLINK("https://drive.google.com/file/d/1QTgQX1-w3WbPH7amRs4D5m0nwltuRavI/view?usp=drivesdk","1893_YUNITA SARIDEWI  _ SERTIFIKAT BIMTEK IPASN BerAKHLASK")</f>
        <v>1893_YUNITA SARIDEWI  _ SERTIFIKAT BIMTEK IPASN BerAKHLASK</v>
      </c>
      <c r="P1894" s="5" t="s">
        <v>14704</v>
      </c>
      <c r="Q1894" s="5"/>
      <c r="R1894" s="5"/>
      <c r="S1894" s="5"/>
      <c r="T1894" s="5"/>
    </row>
    <row r="1895">
      <c r="A1895" s="4">
        <v>45534.337905520835</v>
      </c>
      <c r="B1895" s="5" t="s">
        <v>34</v>
      </c>
      <c r="D1895" s="5" t="s">
        <v>4775</v>
      </c>
      <c r="E1895" s="5" t="s">
        <v>14710</v>
      </c>
      <c r="F1895" s="5" t="s">
        <v>37</v>
      </c>
      <c r="G1895" s="5" t="s">
        <v>14711</v>
      </c>
      <c r="H1895" s="6" t="s">
        <v>14712</v>
      </c>
      <c r="K1895" s="5" t="s">
        <v>14524</v>
      </c>
      <c r="M1895" s="5" t="s">
        <v>14713</v>
      </c>
      <c r="N1895" s="7" t="s">
        <v>14714</v>
      </c>
      <c r="O1895" s="8" t="str">
        <f>HYPERLINK("https://drive.google.com/file/d/1JMQwPb0oAvdTXNmVbdYjV8Sxg228fTC-/view?usp=drivesdk","1894_SLAMET WIDODO  _ SERTIFIKAT BIMTEK IPASN BerAKHLASK")</f>
        <v>1894_SLAMET WIDODO  _ SERTIFIKAT BIMTEK IPASN BerAKHLASK</v>
      </c>
      <c r="P1895" s="5" t="s">
        <v>14704</v>
      </c>
      <c r="Q1895" s="5"/>
      <c r="R1895" s="5"/>
      <c r="S1895" s="5"/>
      <c r="T1895" s="5"/>
    </row>
    <row r="1896" hidden="1">
      <c r="A1896" s="4">
        <v>45534.33790752315</v>
      </c>
      <c r="B1896" s="5" t="s">
        <v>19</v>
      </c>
      <c r="C1896" s="5" t="s">
        <v>466</v>
      </c>
      <c r="E1896" s="5" t="s">
        <v>14715</v>
      </c>
      <c r="F1896" s="5" t="s">
        <v>524</v>
      </c>
      <c r="G1896" s="5" t="s">
        <v>14716</v>
      </c>
      <c r="H1896" s="6" t="s">
        <v>14717</v>
      </c>
      <c r="K1896" s="5" t="s">
        <v>14524</v>
      </c>
      <c r="M1896" s="5" t="s">
        <v>14718</v>
      </c>
      <c r="N1896" s="7" t="s">
        <v>14719</v>
      </c>
      <c r="O1896" s="8" t="str">
        <f>HYPERLINK("https://drive.google.com/file/d/1Bd1ILc_5wTdpeBH8OW6ySqHE3YAIwQG3/view?usp=drivesdk","1895_EDO RIYADI _ SERTIFIKAT BIMTEK IPASN BerAKHLASK")</f>
        <v>1895_EDO RIYADI _ SERTIFIKAT BIMTEK IPASN BerAKHLASK</v>
      </c>
      <c r="P1896" s="5" t="s">
        <v>14704</v>
      </c>
      <c r="Q1896" s="5"/>
      <c r="R1896" s="5"/>
      <c r="S1896" s="5"/>
      <c r="T1896" s="5"/>
    </row>
    <row r="1897">
      <c r="A1897" s="4">
        <v>45534.33791061342</v>
      </c>
      <c r="B1897" s="5" t="s">
        <v>34</v>
      </c>
      <c r="D1897" s="5" t="s">
        <v>10444</v>
      </c>
      <c r="E1897" s="5" t="s">
        <v>14720</v>
      </c>
      <c r="F1897" s="5" t="s">
        <v>72</v>
      </c>
      <c r="G1897" s="5" t="s">
        <v>14721</v>
      </c>
      <c r="H1897" s="6" t="s">
        <v>14722</v>
      </c>
      <c r="K1897" s="5" t="s">
        <v>14524</v>
      </c>
      <c r="M1897" s="5" t="s">
        <v>14723</v>
      </c>
      <c r="N1897" s="7" t="s">
        <v>14724</v>
      </c>
      <c r="O1897" s="8" t="str">
        <f>HYPERLINK("https://drive.google.com/file/d/1wPY7KyhQWpy912NHCzt7Cdv67MO2WKuv/view?usp=drivesdk","1896_ENDANG SUMINTA _ SERTIFIKAT BIMTEK IPASN BerAKHLASK")</f>
        <v>1896_ENDANG SUMINTA _ SERTIFIKAT BIMTEK IPASN BerAKHLASK</v>
      </c>
      <c r="P1897" s="5" t="s">
        <v>14704</v>
      </c>
      <c r="Q1897" s="5"/>
      <c r="R1897" s="5"/>
      <c r="S1897" s="5"/>
      <c r="T1897" s="5"/>
    </row>
    <row r="1898">
      <c r="A1898" s="4">
        <v>45534.33791615741</v>
      </c>
      <c r="B1898" s="5" t="s">
        <v>34</v>
      </c>
      <c r="D1898" s="5" t="s">
        <v>996</v>
      </c>
      <c r="E1898" s="5" t="s">
        <v>14725</v>
      </c>
      <c r="F1898" s="5" t="s">
        <v>524</v>
      </c>
      <c r="G1898" s="5" t="s">
        <v>14726</v>
      </c>
      <c r="H1898" s="6" t="s">
        <v>14727</v>
      </c>
      <c r="K1898" s="5" t="s">
        <v>14524</v>
      </c>
      <c r="M1898" s="5" t="s">
        <v>14728</v>
      </c>
      <c r="N1898" s="7" t="s">
        <v>14729</v>
      </c>
      <c r="O1898" s="8" t="str">
        <f>HYPERLINK("https://drive.google.com/file/d/16yg1hfbdHsuE4pOW2lLGENPG1_ME9-wa/view?usp=drivesdk","1897_HALIMAH, S.E. _ SERTIFIKAT BIMTEK IPASN BerAKHLASK")</f>
        <v>1897_HALIMAH, S.E. _ SERTIFIKAT BIMTEK IPASN BerAKHLASK</v>
      </c>
      <c r="P1898" s="5" t="s">
        <v>14704</v>
      </c>
      <c r="Q1898" s="5"/>
      <c r="R1898" s="5"/>
      <c r="S1898" s="5"/>
      <c r="T1898" s="5"/>
    </row>
    <row r="1899">
      <c r="A1899" s="4">
        <v>45534.33791775463</v>
      </c>
      <c r="B1899" s="5" t="s">
        <v>34</v>
      </c>
      <c r="D1899" s="5" t="s">
        <v>1663</v>
      </c>
      <c r="E1899" s="5" t="s">
        <v>14730</v>
      </c>
      <c r="F1899" s="5" t="s">
        <v>37</v>
      </c>
      <c r="G1899" s="5" t="s">
        <v>14731</v>
      </c>
      <c r="H1899" s="6" t="s">
        <v>14732</v>
      </c>
      <c r="K1899" s="5" t="s">
        <v>14524</v>
      </c>
      <c r="M1899" s="5" t="s">
        <v>14733</v>
      </c>
      <c r="N1899" s="7" t="s">
        <v>14734</v>
      </c>
      <c r="O1899" s="8" t="str">
        <f>HYPERLINK("https://drive.google.com/file/d/1CvA7E8yRfTKw-PICbf5LO-Dx0BrlQRWT/view?usp=drivesdk","1898_PENGATUR TIWI ASWINI _ SERTIFIKAT BIMTEK IPASN BerAKHLASK")</f>
        <v>1898_PENGATUR TIWI ASWINI _ SERTIFIKAT BIMTEK IPASN BerAKHLASK</v>
      </c>
      <c r="P1899" s="5" t="s">
        <v>14735</v>
      </c>
      <c r="Q1899" s="5"/>
      <c r="R1899" s="5"/>
      <c r="S1899" s="5"/>
      <c r="T1899" s="5"/>
    </row>
    <row r="1900">
      <c r="A1900" s="4">
        <v>45534.337918414356</v>
      </c>
      <c r="B1900" s="5" t="s">
        <v>34</v>
      </c>
      <c r="D1900" s="5" t="s">
        <v>10444</v>
      </c>
      <c r="E1900" s="5" t="s">
        <v>14736</v>
      </c>
      <c r="F1900" s="5" t="s">
        <v>108</v>
      </c>
      <c r="G1900" s="5" t="s">
        <v>14737</v>
      </c>
      <c r="H1900" s="6" t="s">
        <v>14738</v>
      </c>
      <c r="K1900" s="5" t="s">
        <v>14524</v>
      </c>
      <c r="M1900" s="5" t="s">
        <v>14739</v>
      </c>
      <c r="N1900" s="7" t="s">
        <v>14740</v>
      </c>
      <c r="O1900" s="8" t="str">
        <f>HYPERLINK("https://drive.google.com/file/d/1uh5DpxMKRaPCXBDsop8qnnMfSU30SeX7/view?usp=drivesdk","1899_RINAWATI _ SERTIFIKAT BIMTEK IPASN BerAKHLASK")</f>
        <v>1899_RINAWATI _ SERTIFIKAT BIMTEK IPASN BerAKHLASK</v>
      </c>
      <c r="P1900" s="5" t="s">
        <v>14735</v>
      </c>
      <c r="Q1900" s="5"/>
      <c r="R1900" s="5"/>
      <c r="S1900" s="5"/>
      <c r="T1900" s="5"/>
    </row>
    <row r="1901">
      <c r="A1901" s="4">
        <v>45534.337925162035</v>
      </c>
      <c r="B1901" s="5" t="s">
        <v>34</v>
      </c>
      <c r="D1901" s="5" t="s">
        <v>9020</v>
      </c>
      <c r="E1901" s="5" t="s">
        <v>14741</v>
      </c>
      <c r="F1901" s="5" t="s">
        <v>37</v>
      </c>
      <c r="G1901" s="5" t="s">
        <v>14742</v>
      </c>
      <c r="H1901" s="6" t="s">
        <v>14743</v>
      </c>
      <c r="K1901" s="5" t="s">
        <v>14524</v>
      </c>
      <c r="M1901" s="5" t="s">
        <v>14744</v>
      </c>
      <c r="N1901" s="7" t="s">
        <v>14745</v>
      </c>
      <c r="O1901" s="8" t="str">
        <f>HYPERLINK("https://drive.google.com/file/d/1hCS03LOYDwdsFYrmP_TeKLZOvIgpt2HC/view?usp=drivesdk","1900_MAHARANI _ SERTIFIKAT BIMTEK IPASN BerAKHLASK")</f>
        <v>1900_MAHARANI _ SERTIFIKAT BIMTEK IPASN BerAKHLASK</v>
      </c>
      <c r="P1901" s="5" t="s">
        <v>14735</v>
      </c>
      <c r="Q1901" s="5"/>
      <c r="R1901" s="5"/>
      <c r="S1901" s="5"/>
      <c r="T1901" s="5"/>
    </row>
    <row r="1902">
      <c r="A1902" s="4">
        <v>45534.33792542824</v>
      </c>
      <c r="B1902" s="5" t="s">
        <v>34</v>
      </c>
      <c r="D1902" s="5" t="s">
        <v>2903</v>
      </c>
      <c r="E1902" s="5" t="s">
        <v>14746</v>
      </c>
      <c r="F1902" s="5" t="s">
        <v>375</v>
      </c>
      <c r="G1902" s="5" t="s">
        <v>14747</v>
      </c>
      <c r="H1902" s="6" t="s">
        <v>14748</v>
      </c>
      <c r="K1902" s="5" t="s">
        <v>14524</v>
      </c>
      <c r="M1902" s="5" t="s">
        <v>14749</v>
      </c>
      <c r="N1902" s="7" t="s">
        <v>14750</v>
      </c>
      <c r="O1902" s="8" t="str">
        <f>HYPERLINK("https://drive.google.com/file/d/1GlzwxCWATRVeSxivXiWwyWkkTxayLjHC/view?usp=drivesdk","1901_SUFRIYATI, SE _ SERTIFIKAT BIMTEK IPASN BerAKHLASK")</f>
        <v>1901_SUFRIYATI, SE _ SERTIFIKAT BIMTEK IPASN BerAKHLASK</v>
      </c>
      <c r="P1902" s="5" t="s">
        <v>14735</v>
      </c>
      <c r="Q1902" s="5"/>
      <c r="R1902" s="5"/>
      <c r="S1902" s="5"/>
      <c r="T1902" s="5"/>
    </row>
    <row r="1903">
      <c r="A1903" s="4">
        <v>45534.337934675925</v>
      </c>
      <c r="B1903" s="5" t="s">
        <v>34</v>
      </c>
      <c r="D1903" s="5" t="s">
        <v>4775</v>
      </c>
      <c r="E1903" s="5" t="s">
        <v>14751</v>
      </c>
      <c r="F1903" s="5" t="s">
        <v>72</v>
      </c>
      <c r="G1903" s="5" t="s">
        <v>14752</v>
      </c>
      <c r="H1903" s="6" t="s">
        <v>14753</v>
      </c>
      <c r="K1903" s="5" t="s">
        <v>14524</v>
      </c>
      <c r="M1903" s="5" t="s">
        <v>14754</v>
      </c>
      <c r="N1903" s="7" t="s">
        <v>14755</v>
      </c>
      <c r="O1903" s="8" t="str">
        <f>HYPERLINK("https://drive.google.com/file/d/1PsgY4uuNZfgRj9Tm3q4tSQOMeMQ8XVkt/view?usp=drivesdk","1902_SURIANTI _ SERTIFIKAT BIMTEK IPASN BerAKHLASK")</f>
        <v>1902_SURIANTI _ SERTIFIKAT BIMTEK IPASN BerAKHLASK</v>
      </c>
      <c r="P1903" s="5" t="s">
        <v>14735</v>
      </c>
      <c r="Q1903" s="5"/>
      <c r="R1903" s="5"/>
      <c r="S1903" s="5"/>
      <c r="T1903" s="5"/>
    </row>
    <row r="1904">
      <c r="A1904" s="4">
        <v>45534.33793982639</v>
      </c>
      <c r="B1904" s="5" t="s">
        <v>34</v>
      </c>
      <c r="D1904" s="5" t="s">
        <v>12010</v>
      </c>
      <c r="E1904" s="5" t="s">
        <v>14756</v>
      </c>
      <c r="F1904" s="5" t="s">
        <v>37</v>
      </c>
      <c r="G1904" s="5" t="s">
        <v>14757</v>
      </c>
      <c r="H1904" s="6" t="s">
        <v>14758</v>
      </c>
      <c r="K1904" s="5" t="s">
        <v>14524</v>
      </c>
      <c r="M1904" s="5" t="s">
        <v>14759</v>
      </c>
      <c r="N1904" s="7" t="s">
        <v>14760</v>
      </c>
      <c r="O1904" s="8" t="str">
        <f>HYPERLINK("https://drive.google.com/file/d/1JZkztFShZiRwblrGHO4V7YRvyTSwIbBU/view?usp=drivesdk","1903_YUYUN KADIR _ SERTIFIKAT BIMTEK IPASN BerAKHLASK")</f>
        <v>1903_YUYUN KADIR _ SERTIFIKAT BIMTEK IPASN BerAKHLASK</v>
      </c>
      <c r="P1904" s="5" t="s">
        <v>14735</v>
      </c>
      <c r="Q1904" s="5"/>
      <c r="R1904" s="5"/>
      <c r="S1904" s="5"/>
      <c r="T1904" s="5"/>
    </row>
    <row r="1905">
      <c r="A1905" s="4">
        <v>45534.337942025464</v>
      </c>
      <c r="B1905" s="5" t="s">
        <v>34</v>
      </c>
      <c r="D1905" s="5" t="s">
        <v>1456</v>
      </c>
      <c r="E1905" s="5" t="s">
        <v>14761</v>
      </c>
      <c r="F1905" s="5" t="s">
        <v>37</v>
      </c>
      <c r="G1905" s="5" t="s">
        <v>14762</v>
      </c>
      <c r="H1905" s="6" t="s">
        <v>14763</v>
      </c>
      <c r="K1905" s="5" t="s">
        <v>14524</v>
      </c>
      <c r="M1905" s="5" t="s">
        <v>14764</v>
      </c>
      <c r="N1905" s="7" t="s">
        <v>14765</v>
      </c>
      <c r="O1905" s="8" t="str">
        <f>HYPERLINK("https://drive.google.com/file/d/1hGzwdMFQe3RW09Mg3FcAQ4Cxo5IBR28P/view?usp=drivesdk","1904_REMIKA ARIYANTI, S. A. P _ SERTIFIKAT BIMTEK IPASN BerAKHLASK")</f>
        <v>1904_REMIKA ARIYANTI, S. A. P _ SERTIFIKAT BIMTEK IPASN BerAKHLASK</v>
      </c>
      <c r="P1905" s="5" t="s">
        <v>14766</v>
      </c>
      <c r="Q1905" s="5"/>
      <c r="R1905" s="5"/>
      <c r="S1905" s="5"/>
      <c r="T1905" s="5"/>
    </row>
    <row r="1906">
      <c r="A1906" s="4">
        <v>45534.337946134256</v>
      </c>
      <c r="B1906" s="5" t="s">
        <v>34</v>
      </c>
      <c r="D1906" s="5" t="s">
        <v>6232</v>
      </c>
      <c r="E1906" s="5" t="s">
        <v>14767</v>
      </c>
      <c r="F1906" s="5" t="s">
        <v>37</v>
      </c>
      <c r="G1906" s="5" t="s">
        <v>14768</v>
      </c>
      <c r="H1906" s="6" t="s">
        <v>14769</v>
      </c>
      <c r="K1906" s="5" t="s">
        <v>14524</v>
      </c>
      <c r="M1906" s="5" t="s">
        <v>14770</v>
      </c>
      <c r="N1906" s="7" t="s">
        <v>14771</v>
      </c>
      <c r="O1906" s="8" t="str">
        <f>HYPERLINK("https://drive.google.com/file/d/1tb9LExIhsnfldM3nqOJ3-2cQLiAeWVTe/view?usp=drivesdk","1905_ARIS YENI SUSANTI  _ SERTIFIKAT BIMTEK IPASN BerAKHLASK")</f>
        <v>1905_ARIS YENI SUSANTI  _ SERTIFIKAT BIMTEK IPASN BerAKHLASK</v>
      </c>
      <c r="P1906" s="5" t="s">
        <v>14766</v>
      </c>
      <c r="Q1906" s="5"/>
      <c r="R1906" s="5"/>
      <c r="S1906" s="5"/>
      <c r="T1906" s="5"/>
    </row>
    <row r="1907">
      <c r="A1907" s="4">
        <v>45534.33794640047</v>
      </c>
      <c r="B1907" s="5" t="s">
        <v>34</v>
      </c>
      <c r="D1907" s="5" t="s">
        <v>2903</v>
      </c>
      <c r="E1907" s="5" t="s">
        <v>14772</v>
      </c>
      <c r="F1907" s="5" t="s">
        <v>212</v>
      </c>
      <c r="G1907" s="5" t="s">
        <v>14773</v>
      </c>
      <c r="H1907" s="6" t="s">
        <v>14774</v>
      </c>
      <c r="K1907" s="5" t="s">
        <v>14524</v>
      </c>
      <c r="M1907" s="5" t="s">
        <v>14775</v>
      </c>
      <c r="N1907" s="7" t="s">
        <v>14776</v>
      </c>
      <c r="O1907" s="8" t="str">
        <f>HYPERLINK("https://drive.google.com/file/d/16JiMxoShFkEmsd5HOncYTqgbKeUHTTWT/view?usp=drivesdk","1906_DHORA RIENSIANA  _ SERTIFIKAT BIMTEK IPASN BerAKHLASK")</f>
        <v>1906_DHORA RIENSIANA  _ SERTIFIKAT BIMTEK IPASN BerAKHLASK</v>
      </c>
      <c r="P1907" s="5" t="s">
        <v>14766</v>
      </c>
      <c r="Q1907" s="5"/>
      <c r="R1907" s="5"/>
      <c r="S1907" s="5"/>
      <c r="T1907" s="5"/>
    </row>
    <row r="1908">
      <c r="A1908" s="4">
        <v>45534.337946898144</v>
      </c>
      <c r="B1908" s="5" t="s">
        <v>34</v>
      </c>
      <c r="D1908" s="5" t="s">
        <v>9020</v>
      </c>
      <c r="E1908" s="5" t="s">
        <v>14777</v>
      </c>
      <c r="F1908" s="5" t="s">
        <v>715</v>
      </c>
      <c r="G1908" s="5" t="s">
        <v>14778</v>
      </c>
      <c r="H1908" s="6" t="s">
        <v>14779</v>
      </c>
      <c r="K1908" s="5" t="s">
        <v>14524</v>
      </c>
      <c r="M1908" s="5" t="s">
        <v>14780</v>
      </c>
      <c r="N1908" s="7" t="s">
        <v>14781</v>
      </c>
      <c r="O1908" s="8" t="str">
        <f>HYPERLINK("https://drive.google.com/file/d/1dqb1oXV8DL690K1dLSWCRM8YlJZt1PG_/view?usp=drivesdk","1907_SULASTRI MARIA SIREGAR, AMd _ SERTIFIKAT BIMTEK IPASN BerAKHLASK")</f>
        <v>1907_SULASTRI MARIA SIREGAR, AMd _ SERTIFIKAT BIMTEK IPASN BerAKHLASK</v>
      </c>
      <c r="P1908" s="5" t="s">
        <v>14766</v>
      </c>
      <c r="Q1908" s="5"/>
      <c r="R1908" s="5"/>
      <c r="S1908" s="5"/>
      <c r="T1908" s="5"/>
    </row>
    <row r="1909" hidden="1">
      <c r="A1909" s="4">
        <v>45534.33794974537</v>
      </c>
      <c r="B1909" s="5" t="s">
        <v>19</v>
      </c>
      <c r="C1909" s="5" t="s">
        <v>11593</v>
      </c>
      <c r="E1909" s="5" t="s">
        <v>14782</v>
      </c>
      <c r="F1909" s="5" t="s">
        <v>14783</v>
      </c>
      <c r="G1909" s="5" t="s">
        <v>14784</v>
      </c>
      <c r="H1909" s="6" t="s">
        <v>14785</v>
      </c>
      <c r="K1909" s="5" t="s">
        <v>14524</v>
      </c>
      <c r="M1909" s="5" t="s">
        <v>14786</v>
      </c>
      <c r="N1909" s="7" t="s">
        <v>14787</v>
      </c>
      <c r="O1909" s="8" t="str">
        <f>HYPERLINK("https://drive.google.com/file/d/18oNOr4lpvevtnT6FjkQx6n7chHNZSzAk/view?usp=drivesdk","1908_DR DRG RIKE RAYANTI, S.K.G., Sp.Perio _ SERTIFIKAT BIMTEK IPASN BerAKHLASK")</f>
        <v>1908_DR DRG RIKE RAYANTI, S.K.G., Sp.Perio _ SERTIFIKAT BIMTEK IPASN BerAKHLASK</v>
      </c>
      <c r="P1909" s="5" t="s">
        <v>14766</v>
      </c>
      <c r="Q1909" s="5"/>
      <c r="R1909" s="5"/>
      <c r="S1909" s="5"/>
      <c r="T1909" s="5"/>
    </row>
    <row r="1910">
      <c r="A1910" s="4">
        <v>45534.33794946759</v>
      </c>
      <c r="B1910" s="5" t="s">
        <v>34</v>
      </c>
      <c r="D1910" s="5" t="s">
        <v>4775</v>
      </c>
      <c r="E1910" s="5" t="s">
        <v>14788</v>
      </c>
      <c r="F1910" s="5" t="s">
        <v>212</v>
      </c>
      <c r="G1910" s="5" t="s">
        <v>14789</v>
      </c>
      <c r="H1910" s="6" t="s">
        <v>14790</v>
      </c>
      <c r="K1910" s="5" t="s">
        <v>14524</v>
      </c>
      <c r="M1910" s="5" t="s">
        <v>14791</v>
      </c>
      <c r="N1910" s="7" t="s">
        <v>14792</v>
      </c>
      <c r="O1910" s="8" t="str">
        <f>HYPERLINK("https://drive.google.com/file/d/1e16HBPy4jxeMjAwio-ROHwskQxpKKaqc/view?usp=drivesdk","1909_SRI MULYATI _ SERTIFIKAT BIMTEK IPASN BerAKHLASK")</f>
        <v>1909_SRI MULYATI _ SERTIFIKAT BIMTEK IPASN BerAKHLASK</v>
      </c>
      <c r="P1910" s="5" t="s">
        <v>14766</v>
      </c>
      <c r="Q1910" s="5"/>
      <c r="R1910" s="5"/>
      <c r="S1910" s="5"/>
      <c r="T1910" s="5"/>
    </row>
    <row r="1911">
      <c r="A1911" s="4">
        <v>45534.337950925925</v>
      </c>
      <c r="B1911" s="5" t="s">
        <v>34</v>
      </c>
      <c r="D1911" s="5" t="s">
        <v>2903</v>
      </c>
      <c r="E1911" s="5" t="s">
        <v>14793</v>
      </c>
      <c r="F1911" s="5" t="s">
        <v>212</v>
      </c>
      <c r="G1911" s="5" t="s">
        <v>14794</v>
      </c>
      <c r="H1911" s="6" t="s">
        <v>14795</v>
      </c>
      <c r="K1911" s="5" t="s">
        <v>14524</v>
      </c>
      <c r="M1911" s="5" t="s">
        <v>14796</v>
      </c>
      <c r="N1911" s="7" t="s">
        <v>14797</v>
      </c>
      <c r="O1911" s="8" t="str">
        <f>HYPERLINK("https://drive.google.com/file/d/10B2gkz-syhajUwqLdCoRaEayw_rDnIhk/view?usp=drivesdk","1910_Isna Widia Astuti  _ SERTIFIKAT BIMTEK IPASN BerAKHLASK")</f>
        <v>1910_Isna Widia Astuti  _ SERTIFIKAT BIMTEK IPASN BerAKHLASK</v>
      </c>
      <c r="P1911" s="5" t="s">
        <v>14798</v>
      </c>
      <c r="Q1911" s="5"/>
      <c r="R1911" s="5"/>
      <c r="S1911" s="5"/>
      <c r="T1911" s="5"/>
    </row>
    <row r="1912">
      <c r="A1912" s="4">
        <v>45534.33796512731</v>
      </c>
      <c r="B1912" s="5" t="s">
        <v>34</v>
      </c>
      <c r="D1912" s="5" t="s">
        <v>1206</v>
      </c>
      <c r="E1912" s="5" t="s">
        <v>14799</v>
      </c>
      <c r="F1912" s="5" t="s">
        <v>328</v>
      </c>
      <c r="G1912" s="5" t="s">
        <v>14800</v>
      </c>
      <c r="H1912" s="6" t="s">
        <v>14801</v>
      </c>
      <c r="K1912" s="5" t="s">
        <v>14524</v>
      </c>
      <c r="M1912" s="5" t="s">
        <v>14802</v>
      </c>
      <c r="N1912" s="7" t="s">
        <v>14803</v>
      </c>
      <c r="O1912" s="8" t="str">
        <f>HYPERLINK("https://drive.google.com/file/d/1wpjpydo5CQp-ePwgjk6YisNwMfzrsEXI/view?usp=drivesdk","1911_ZAINUL ARIFIN _ SERTIFIKAT BIMTEK IPASN BerAKHLASK")</f>
        <v>1911_ZAINUL ARIFIN _ SERTIFIKAT BIMTEK IPASN BerAKHLASK</v>
      </c>
      <c r="P1912" s="5" t="s">
        <v>14798</v>
      </c>
      <c r="Q1912" s="5"/>
      <c r="R1912" s="5"/>
      <c r="S1912" s="5"/>
      <c r="T1912" s="5"/>
    </row>
    <row r="1913">
      <c r="A1913" s="4">
        <v>45534.3379662963</v>
      </c>
      <c r="B1913" s="5" t="s">
        <v>34</v>
      </c>
      <c r="D1913" s="5" t="s">
        <v>35</v>
      </c>
      <c r="E1913" s="5" t="s">
        <v>14804</v>
      </c>
      <c r="F1913" s="5" t="s">
        <v>212</v>
      </c>
      <c r="G1913" s="5" t="s">
        <v>14805</v>
      </c>
      <c r="H1913" s="6" t="s">
        <v>14806</v>
      </c>
      <c r="K1913" s="5" t="s">
        <v>14524</v>
      </c>
      <c r="M1913" s="5" t="s">
        <v>14807</v>
      </c>
      <c r="N1913" s="7" t="s">
        <v>14808</v>
      </c>
      <c r="O1913" s="8" t="str">
        <f>HYPERLINK("https://drive.google.com/file/d/19-kze__wECSVyW9xx7WWxff7KmeCAGOP/view?usp=drivesdk","1912_ABDUL HOLIK  _ SERTIFIKAT BIMTEK IPASN BerAKHLASK")</f>
        <v>1912_ABDUL HOLIK  _ SERTIFIKAT BIMTEK IPASN BerAKHLASK</v>
      </c>
      <c r="P1913" s="5" t="s">
        <v>14798</v>
      </c>
      <c r="Q1913" s="5"/>
      <c r="R1913" s="5"/>
      <c r="S1913" s="5"/>
      <c r="T1913" s="5"/>
    </row>
    <row r="1914">
      <c r="A1914" s="4">
        <v>45534.33797521991</v>
      </c>
      <c r="B1914" s="5" t="s">
        <v>34</v>
      </c>
      <c r="D1914" s="5" t="s">
        <v>996</v>
      </c>
      <c r="E1914" s="5" t="s">
        <v>14809</v>
      </c>
      <c r="F1914" s="5" t="s">
        <v>212</v>
      </c>
      <c r="G1914" s="5" t="s">
        <v>14810</v>
      </c>
      <c r="H1914" s="6" t="s">
        <v>14811</v>
      </c>
      <c r="K1914" s="5" t="s">
        <v>14524</v>
      </c>
      <c r="M1914" s="5" t="s">
        <v>14812</v>
      </c>
      <c r="N1914" s="7" t="s">
        <v>14813</v>
      </c>
      <c r="O1914" s="8" t="str">
        <f>HYPERLINK("https://drive.google.com/file/d/1gZuuI55X7Bg3KWoDCTVuyRzPkPTkArLH/view?usp=drivesdk","1913_SUPERIATI _ SERTIFIKAT BIMTEK IPASN BerAKHLASK")</f>
        <v>1913_SUPERIATI _ SERTIFIKAT BIMTEK IPASN BerAKHLASK</v>
      </c>
      <c r="P1914" s="5" t="s">
        <v>14798</v>
      </c>
      <c r="Q1914" s="5"/>
      <c r="R1914" s="5"/>
      <c r="S1914" s="5"/>
      <c r="T1914" s="5"/>
    </row>
    <row r="1915">
      <c r="A1915" s="4">
        <v>45534.33797583333</v>
      </c>
      <c r="B1915" s="5" t="s">
        <v>34</v>
      </c>
      <c r="D1915" s="5" t="s">
        <v>1768</v>
      </c>
      <c r="E1915" s="5" t="s">
        <v>14814</v>
      </c>
      <c r="F1915" s="5" t="s">
        <v>524</v>
      </c>
      <c r="G1915" s="5" t="s">
        <v>14815</v>
      </c>
      <c r="H1915" s="6" t="s">
        <v>14816</v>
      </c>
      <c r="K1915" s="5" t="s">
        <v>14524</v>
      </c>
      <c r="M1915" s="5" t="s">
        <v>14817</v>
      </c>
      <c r="N1915" s="7" t="s">
        <v>14818</v>
      </c>
      <c r="O1915" s="8" t="str">
        <f>HYPERLINK("https://drive.google.com/file/d/11adbwKxZDJNLXISGiF_UHtX_9bBkRT94/view?usp=drivesdk","1914_ROSLANIAR AMIR _ SERTIFIKAT BIMTEK IPASN BerAKHLASK")</f>
        <v>1914_ROSLANIAR AMIR _ SERTIFIKAT BIMTEK IPASN BerAKHLASK</v>
      </c>
      <c r="P1915" s="5" t="s">
        <v>14798</v>
      </c>
      <c r="Q1915" s="5"/>
      <c r="R1915" s="5"/>
      <c r="S1915" s="5"/>
      <c r="T1915" s="5"/>
    </row>
    <row r="1916">
      <c r="A1916" s="4">
        <v>45534.33797769676</v>
      </c>
      <c r="B1916" s="5" t="s">
        <v>34</v>
      </c>
      <c r="D1916" s="5" t="s">
        <v>10444</v>
      </c>
      <c r="E1916" s="5" t="s">
        <v>14819</v>
      </c>
      <c r="F1916" s="5" t="s">
        <v>37</v>
      </c>
      <c r="G1916" s="5" t="s">
        <v>14820</v>
      </c>
      <c r="H1916" s="6" t="s">
        <v>14821</v>
      </c>
      <c r="K1916" s="5" t="s">
        <v>14524</v>
      </c>
      <c r="M1916" s="5" t="s">
        <v>14822</v>
      </c>
      <c r="N1916" s="7" t="s">
        <v>14823</v>
      </c>
      <c r="O1916" s="8" t="str">
        <f>HYPERLINK("https://drive.google.com/file/d/1zzvqwIA-iB64gHnG-sy5HpIXfHMYAJcc/view?usp=drivesdk","1915_UCCA CAHYA AZURA, A. Md. Keb _ SERTIFIKAT BIMTEK IPASN BerAKHLASK")</f>
        <v>1915_UCCA CAHYA AZURA, A. Md. Keb _ SERTIFIKAT BIMTEK IPASN BerAKHLASK</v>
      </c>
      <c r="P1916" s="5" t="s">
        <v>14824</v>
      </c>
      <c r="Q1916" s="5"/>
      <c r="R1916" s="5"/>
      <c r="S1916" s="5"/>
      <c r="T1916" s="5"/>
    </row>
    <row r="1917" hidden="1">
      <c r="A1917" s="4">
        <v>45534.337978888885</v>
      </c>
      <c r="B1917" s="5" t="s">
        <v>19</v>
      </c>
      <c r="C1917" s="5" t="s">
        <v>11593</v>
      </c>
      <c r="E1917" s="5" t="s">
        <v>14825</v>
      </c>
      <c r="F1917" s="5" t="s">
        <v>37</v>
      </c>
      <c r="G1917" s="5" t="s">
        <v>14826</v>
      </c>
      <c r="H1917" s="6" t="s">
        <v>14827</v>
      </c>
      <c r="K1917" s="5" t="s">
        <v>14524</v>
      </c>
      <c r="M1917" s="5" t="s">
        <v>14828</v>
      </c>
      <c r="N1917" s="7" t="s">
        <v>14829</v>
      </c>
      <c r="O1917" s="8" t="str">
        <f>HYPERLINK("https://drive.google.com/file/d/1WNPn8WKKs9soY9UJCGaIhtSbqUgiCOWG/view?usp=drivesdk","1916_AGUS GUSTIANA WAHYU  _ SERTIFIKAT BIMTEK IPASN BerAKHLASK")</f>
        <v>1916_AGUS GUSTIANA WAHYU  _ SERTIFIKAT BIMTEK IPASN BerAKHLASK</v>
      </c>
      <c r="P1917" s="5" t="s">
        <v>14824</v>
      </c>
      <c r="Q1917" s="5"/>
      <c r="R1917" s="5"/>
      <c r="S1917" s="5"/>
      <c r="T1917" s="5"/>
    </row>
    <row r="1918">
      <c r="A1918" s="4">
        <v>45534.337981261575</v>
      </c>
      <c r="B1918" s="5" t="s">
        <v>34</v>
      </c>
      <c r="D1918" s="5" t="s">
        <v>267</v>
      </c>
      <c r="E1918" s="5" t="s">
        <v>14830</v>
      </c>
      <c r="F1918" s="5" t="s">
        <v>212</v>
      </c>
      <c r="G1918" s="5" t="s">
        <v>14831</v>
      </c>
      <c r="H1918" s="6" t="s">
        <v>14832</v>
      </c>
      <c r="K1918" s="5" t="s">
        <v>14524</v>
      </c>
      <c r="M1918" s="5" t="s">
        <v>14833</v>
      </c>
      <c r="N1918" s="7" t="s">
        <v>14834</v>
      </c>
      <c r="O1918" s="8" t="str">
        <f>HYPERLINK("https://drive.google.com/file/d/1nHDbjL-uIVceh5eXeptgGOaTQYgei4Gr/view?usp=drivesdk","1917_SITI SAADAH, A Md Kep _ SERTIFIKAT BIMTEK IPASN BerAKHLASK")</f>
        <v>1917_SITI SAADAH, A Md Kep _ SERTIFIKAT BIMTEK IPASN BerAKHLASK</v>
      </c>
      <c r="P1918" s="5" t="s">
        <v>14824</v>
      </c>
      <c r="Q1918" s="5"/>
      <c r="R1918" s="5"/>
      <c r="S1918" s="5"/>
      <c r="T1918" s="5"/>
    </row>
    <row r="1919">
      <c r="A1919" s="4">
        <v>45534.33798837963</v>
      </c>
      <c r="B1919" s="5" t="s">
        <v>34</v>
      </c>
      <c r="D1919" s="5" t="s">
        <v>1206</v>
      </c>
      <c r="E1919" s="5" t="s">
        <v>14835</v>
      </c>
      <c r="F1919" s="5" t="s">
        <v>72</v>
      </c>
      <c r="G1919" s="5" t="s">
        <v>14836</v>
      </c>
      <c r="H1919" s="6" t="s">
        <v>14837</v>
      </c>
      <c r="K1919" s="5" t="s">
        <v>14524</v>
      </c>
      <c r="M1919" s="5" t="s">
        <v>14838</v>
      </c>
      <c r="N1919" s="7" t="s">
        <v>14839</v>
      </c>
      <c r="O1919" s="8" t="str">
        <f>HYPERLINK("https://drive.google.com/file/d/1vhvtxYxrhar_w3La5azN17hOGuq9Ysmd/view?usp=drivesdk","1918_SETIAJI _ SERTIFIKAT BIMTEK IPASN BerAKHLASK")</f>
        <v>1918_SETIAJI _ SERTIFIKAT BIMTEK IPASN BerAKHLASK</v>
      </c>
      <c r="P1919" s="5" t="s">
        <v>14824</v>
      </c>
      <c r="Q1919" s="5"/>
      <c r="R1919" s="5"/>
      <c r="S1919" s="5"/>
      <c r="T1919" s="5"/>
    </row>
    <row r="1920">
      <c r="A1920" s="4">
        <v>45534.3380066088</v>
      </c>
      <c r="B1920" s="5" t="s">
        <v>34</v>
      </c>
      <c r="D1920" s="5" t="s">
        <v>996</v>
      </c>
      <c r="E1920" s="5" t="s">
        <v>14840</v>
      </c>
      <c r="F1920" s="5" t="s">
        <v>212</v>
      </c>
      <c r="G1920" s="5" t="s">
        <v>14841</v>
      </c>
      <c r="H1920" s="6" t="s">
        <v>14842</v>
      </c>
      <c r="K1920" s="5" t="s">
        <v>14524</v>
      </c>
      <c r="M1920" s="5" t="s">
        <v>14843</v>
      </c>
      <c r="N1920" s="7" t="s">
        <v>14844</v>
      </c>
      <c r="O1920" s="8" t="str">
        <f>HYPERLINK("https://drive.google.com/file/d/120imO2CU5iSF26YxWMDkx4g-X-LjsaVU/view?usp=drivesdk","1919_PENGATUR TK.I KHALIDI _ SERTIFIKAT BIMTEK IPASN BerAKHLASK")</f>
        <v>1919_PENGATUR TK.I KHALIDI _ SERTIFIKAT BIMTEK IPASN BerAKHLASK</v>
      </c>
      <c r="P1920" s="5" t="s">
        <v>14845</v>
      </c>
      <c r="Q1920" s="5"/>
      <c r="R1920" s="5"/>
      <c r="S1920" s="5"/>
      <c r="T1920" s="5"/>
    </row>
    <row r="1921">
      <c r="A1921" s="4">
        <v>45534.33800863426</v>
      </c>
      <c r="B1921" s="5" t="s">
        <v>34</v>
      </c>
      <c r="D1921" s="5" t="s">
        <v>10444</v>
      </c>
      <c r="E1921" s="5" t="s">
        <v>14846</v>
      </c>
      <c r="F1921" s="5" t="s">
        <v>37</v>
      </c>
      <c r="G1921" s="5" t="s">
        <v>14847</v>
      </c>
      <c r="H1921" s="6" t="s">
        <v>14848</v>
      </c>
      <c r="I1921" s="7" t="s">
        <v>14849</v>
      </c>
      <c r="J1921" s="8" t="str">
        <f>HYPERLINK("https://drive.google.com/file/d/17L8hh6CkKhDBQx2mzE5kYAk1ezFpOaV0/view?usp=drivesdk","RIA FITRIA, A.MD.KEB SERTIFIKAT BerAKHLAK")</f>
        <v>RIA FITRIA, A.MD.KEB SERTIFIKAT BerAKHLAK</v>
      </c>
      <c r="K1921" s="5" t="s">
        <v>14116</v>
      </c>
      <c r="L1921" s="5" t="s">
        <v>14850</v>
      </c>
      <c r="M1921" s="5" t="s">
        <v>14851</v>
      </c>
      <c r="N1921" s="7" t="s">
        <v>14852</v>
      </c>
      <c r="O1921" s="8" t="str">
        <f>HYPERLINK("https://drive.google.com/file/d/1eQ-_vjfKohzomKbPXJs3neM3y0WOwv-p/view?usp=drivesdk","1920_RIA FITRIA, A.MD.KEB _ SERTIFIKAT BIMTEK IPASN BerAKHLASK")</f>
        <v>1920_RIA FITRIA, A.MD.KEB _ SERTIFIKAT BIMTEK IPASN BerAKHLASK</v>
      </c>
      <c r="P1921" s="5" t="s">
        <v>14845</v>
      </c>
      <c r="Q1921" s="5"/>
      <c r="R1921" s="5"/>
      <c r="S1921" s="5"/>
      <c r="T1921" s="5"/>
    </row>
    <row r="1922">
      <c r="A1922" s="4">
        <v>45534.33801449074</v>
      </c>
      <c r="B1922" s="5" t="s">
        <v>34</v>
      </c>
      <c r="D1922" s="5" t="s">
        <v>14313</v>
      </c>
      <c r="E1922" s="5" t="s">
        <v>14853</v>
      </c>
      <c r="F1922" s="5" t="s">
        <v>715</v>
      </c>
      <c r="G1922" s="5" t="s">
        <v>14854</v>
      </c>
      <c r="H1922" s="6" t="s">
        <v>14855</v>
      </c>
      <c r="K1922" s="5" t="s">
        <v>14856</v>
      </c>
      <c r="M1922" s="5" t="s">
        <v>14857</v>
      </c>
      <c r="N1922" s="7" t="s">
        <v>14858</v>
      </c>
      <c r="O1922" s="8" t="str">
        <f>HYPERLINK("https://drive.google.com/file/d/1rxPgBEMDTNVLV98x8glKAafuFJnpCGLI/view?usp=drivesdk","1921_SURIATI _ SERTIFIKAT BIMTEK IPASN BerAKHLASK")</f>
        <v>1921_SURIATI _ SERTIFIKAT BIMTEK IPASN BerAKHLASK</v>
      </c>
      <c r="P1922" s="5" t="s">
        <v>14845</v>
      </c>
      <c r="Q1922" s="5"/>
      <c r="R1922" s="5"/>
      <c r="S1922" s="5"/>
      <c r="T1922" s="5"/>
    </row>
    <row r="1923">
      <c r="A1923" s="4">
        <v>45534.33801608796</v>
      </c>
      <c r="B1923" s="5" t="s">
        <v>34</v>
      </c>
      <c r="D1923" s="5" t="s">
        <v>4775</v>
      </c>
      <c r="E1923" s="5" t="s">
        <v>14859</v>
      </c>
      <c r="F1923" s="5" t="s">
        <v>524</v>
      </c>
      <c r="G1923" s="5" t="s">
        <v>14860</v>
      </c>
      <c r="H1923" s="6" t="s">
        <v>14861</v>
      </c>
      <c r="I1923" s="7" t="s">
        <v>14862</v>
      </c>
      <c r="J1923" s="8" t="str">
        <f>HYPERLINK("https://drive.google.com/file/d/1vZUZvgrI1_a5FRPgvuu5PfnE1gb1P6H5/view?usp=drivesdk","SITI KOMSATI SERTIFIKAT BerAKHLAK")</f>
        <v>SITI KOMSATI SERTIFIKAT BerAKHLAK</v>
      </c>
      <c r="K1923" s="5" t="s">
        <v>14071</v>
      </c>
      <c r="L1923" s="5" t="s">
        <v>14863</v>
      </c>
      <c r="M1923" s="5" t="s">
        <v>14864</v>
      </c>
      <c r="N1923" s="7" t="s">
        <v>14865</v>
      </c>
      <c r="O1923" s="8" t="str">
        <f>HYPERLINK("https://drive.google.com/file/d/1DGQnDWDMeDPaAWVGCWSbV8smj1_Klg8S/view?usp=drivesdk","1922_SITI KOMSATI _ SERTIFIKAT BIMTEK IPASN BerAKHLASK")</f>
        <v>1922_SITI KOMSATI _ SERTIFIKAT BIMTEK IPASN BerAKHLASK</v>
      </c>
      <c r="P1923" s="5" t="s">
        <v>14845</v>
      </c>
      <c r="Q1923" s="5"/>
      <c r="R1923" s="5"/>
      <c r="S1923" s="5"/>
      <c r="T1923" s="5"/>
    </row>
    <row r="1924">
      <c r="A1924" s="4">
        <v>45534.33802034722</v>
      </c>
      <c r="B1924" s="5" t="s">
        <v>34</v>
      </c>
      <c r="D1924" s="5" t="s">
        <v>4775</v>
      </c>
      <c r="E1924" s="5" t="s">
        <v>14866</v>
      </c>
      <c r="F1924" s="5" t="s">
        <v>524</v>
      </c>
      <c r="G1924" s="5" t="s">
        <v>14867</v>
      </c>
      <c r="H1924" s="6" t="s">
        <v>14868</v>
      </c>
      <c r="I1924" s="7" t="s">
        <v>14869</v>
      </c>
      <c r="J1924" s="8" t="str">
        <f>HYPERLINK("https://drive.google.com/file/d/1E7ry2EUMWbKLP-wPwAsEsxc3GAYhQqR6/view?usp=drivesdk","ADHI FAHMI FARDHIYANSYAH SERTIFIKAT BerAKHLAK")</f>
        <v>ADHI FAHMI FARDHIYANSYAH SERTIFIKAT BerAKHLAK</v>
      </c>
      <c r="K1924" s="5" t="s">
        <v>14071</v>
      </c>
      <c r="L1924" s="5" t="s">
        <v>14870</v>
      </c>
      <c r="M1924" s="5" t="s">
        <v>14871</v>
      </c>
      <c r="N1924" s="7" t="s">
        <v>14872</v>
      </c>
      <c r="O1924" s="8" t="str">
        <f>HYPERLINK("https://drive.google.com/file/d/1XdTNeFIgyvT56voMjJiBOSedhVsHw0Pk/view?usp=drivesdk","1923_ADHI FAHMI FARDHIYANSYAH _ SERTIFIKAT BIMTEK IPASN BerAKHLASK")</f>
        <v>1923_ADHI FAHMI FARDHIYANSYAH _ SERTIFIKAT BIMTEK IPASN BerAKHLASK</v>
      </c>
      <c r="P1924" s="5" t="s">
        <v>14845</v>
      </c>
      <c r="Q1924" s="5"/>
      <c r="R1924" s="5"/>
      <c r="S1924" s="5"/>
      <c r="T1924" s="5"/>
    </row>
    <row r="1925" hidden="1">
      <c r="A1925" s="4">
        <v>45534.338031921296</v>
      </c>
      <c r="B1925" s="5" t="s">
        <v>19</v>
      </c>
      <c r="C1925" s="5" t="s">
        <v>5564</v>
      </c>
      <c r="E1925" s="5" t="s">
        <v>14873</v>
      </c>
      <c r="F1925" s="5" t="s">
        <v>212</v>
      </c>
      <c r="G1925" s="5" t="s">
        <v>14874</v>
      </c>
      <c r="H1925" s="6" t="s">
        <v>14875</v>
      </c>
      <c r="I1925" s="7" t="s">
        <v>14876</v>
      </c>
      <c r="J1925" s="8" t="str">
        <f>HYPERLINK("https://drive.google.com/file/d/1bS4OgcUd9mv1KwmF7F9YRodrE-rN8zj_/view?usp=drivesdk","DWI INDARTI SERTIFIKAT BerAKHLAK")</f>
        <v>DWI INDARTI SERTIFIKAT BerAKHLAK</v>
      </c>
      <c r="K1925" s="5" t="s">
        <v>14071</v>
      </c>
      <c r="L1925" s="5" t="s">
        <v>14877</v>
      </c>
      <c r="M1925" s="5" t="s">
        <v>14878</v>
      </c>
      <c r="N1925" s="7" t="s">
        <v>14879</v>
      </c>
      <c r="O1925" s="8" t="str">
        <f>HYPERLINK("https://drive.google.com/file/d/1FSr0AgdTdiIqKhthiYx-wb7djewx6O9U/view?usp=drivesdk","1924_DWI INDARTI _ SERTIFIKAT BIMTEK IPASN BerAKHLASK")</f>
        <v>1924_DWI INDARTI _ SERTIFIKAT BIMTEK IPASN BerAKHLASK</v>
      </c>
      <c r="P1925" s="5" t="s">
        <v>14845</v>
      </c>
      <c r="Q1925" s="5"/>
      <c r="R1925" s="5"/>
      <c r="S1925" s="5"/>
      <c r="T1925" s="5"/>
    </row>
    <row r="1926">
      <c r="A1926" s="4">
        <v>45534.338038368056</v>
      </c>
      <c r="B1926" s="5" t="s">
        <v>34</v>
      </c>
      <c r="D1926" s="5" t="s">
        <v>12978</v>
      </c>
      <c r="E1926" s="5" t="s">
        <v>14880</v>
      </c>
      <c r="F1926" s="5" t="s">
        <v>212</v>
      </c>
      <c r="G1926" s="5" t="s">
        <v>14881</v>
      </c>
      <c r="H1926" s="6" t="s">
        <v>14882</v>
      </c>
      <c r="I1926" s="7" t="s">
        <v>14883</v>
      </c>
      <c r="J1926" s="8" t="str">
        <f>HYPERLINK("https://drive.google.com/file/d/1vuOuCZMY9zR7YrRHmYaxUTDM1ViXispn/view?usp=drivesdk","NURSALIMA, S.H SERTIFIKAT BerAKHLAK")</f>
        <v>NURSALIMA, S.H SERTIFIKAT BerAKHLAK</v>
      </c>
      <c r="K1926" s="5" t="s">
        <v>14093</v>
      </c>
      <c r="L1926" s="5" t="s">
        <v>14884</v>
      </c>
      <c r="M1926" s="5" t="s">
        <v>14885</v>
      </c>
      <c r="N1926" s="7" t="s">
        <v>14886</v>
      </c>
      <c r="O1926" s="8" t="str">
        <f>HYPERLINK("https://drive.google.com/file/d/1WwJAOZj5bnBPi8IlekzjWsNjrzWoofrH/view?usp=drivesdk","1925_NURSALIMA, S.H _ SERTIFIKAT BIMTEK IPASN BerAKHLASK")</f>
        <v>1925_NURSALIMA, S.H _ SERTIFIKAT BIMTEK IPASN BerAKHLASK</v>
      </c>
      <c r="P1926" s="5" t="s">
        <v>14845</v>
      </c>
      <c r="Q1926" s="5"/>
      <c r="R1926" s="5"/>
      <c r="S1926" s="5"/>
      <c r="T1926" s="5"/>
    </row>
    <row r="1927">
      <c r="A1927" s="4">
        <v>45534.33804141203</v>
      </c>
      <c r="B1927" s="5" t="s">
        <v>34</v>
      </c>
      <c r="D1927" s="5" t="s">
        <v>10444</v>
      </c>
      <c r="E1927" s="5" t="s">
        <v>14887</v>
      </c>
      <c r="F1927" s="5" t="s">
        <v>212</v>
      </c>
      <c r="G1927" s="5" t="s">
        <v>14888</v>
      </c>
      <c r="H1927" s="6" t="s">
        <v>14889</v>
      </c>
      <c r="I1927" s="7" t="s">
        <v>14890</v>
      </c>
      <c r="J1927" s="8" t="str">
        <f>HYPERLINK("https://drive.google.com/file/d/1UriDVyOskrHL2O4AYi38RkqtaHLCtAna/view?usp=drivesdk","NANIEK SUDIAR SERTIFIKAT BerAKHLAK")</f>
        <v>NANIEK SUDIAR SERTIFIKAT BerAKHLAK</v>
      </c>
      <c r="K1927" s="5" t="s">
        <v>14093</v>
      </c>
      <c r="L1927" s="5" t="s">
        <v>14891</v>
      </c>
      <c r="M1927" s="5" t="s">
        <v>14892</v>
      </c>
      <c r="N1927" s="7" t="s">
        <v>14893</v>
      </c>
      <c r="O1927" s="8" t="str">
        <f>HYPERLINK("https://drive.google.com/file/d/1vuM4jsd59JuHHXi1qLa3EBuN0vpSuEWT/view?usp=drivesdk","1926_NANIEK SUDIAR _ SERTIFIKAT BIMTEK IPASN BerAKHLASK")</f>
        <v>1926_NANIEK SUDIAR _ SERTIFIKAT BIMTEK IPASN BerAKHLASK</v>
      </c>
      <c r="P1927" s="5" t="s">
        <v>14894</v>
      </c>
      <c r="Q1927" s="5"/>
      <c r="R1927" s="5"/>
      <c r="S1927" s="5"/>
      <c r="T1927" s="5"/>
    </row>
    <row r="1928">
      <c r="A1928" s="4">
        <v>45534.338049375</v>
      </c>
      <c r="B1928" s="5" t="s">
        <v>34</v>
      </c>
      <c r="D1928" s="5" t="s">
        <v>996</v>
      </c>
      <c r="E1928" s="5" t="s">
        <v>14895</v>
      </c>
      <c r="F1928" s="5" t="s">
        <v>37</v>
      </c>
      <c r="G1928" s="5" t="s">
        <v>14896</v>
      </c>
      <c r="H1928" s="6" t="s">
        <v>14897</v>
      </c>
      <c r="I1928" s="7" t="s">
        <v>14898</v>
      </c>
      <c r="J1928" s="8" t="str">
        <f>HYPERLINK("https://drive.google.com/file/d/1d8VUFsGZvxI243hwr-YAC79hQ4gNDeHD/view?usp=drivesdk","MAHADI SERTIFIKAT BerAKHLAK")</f>
        <v>MAHADI SERTIFIKAT BerAKHLAK</v>
      </c>
      <c r="K1928" s="5" t="s">
        <v>14116</v>
      </c>
      <c r="L1928" s="5" t="s">
        <v>14899</v>
      </c>
      <c r="M1928" s="5" t="s">
        <v>14900</v>
      </c>
      <c r="N1928" s="7" t="s">
        <v>14901</v>
      </c>
      <c r="O1928" s="8" t="str">
        <f>HYPERLINK("https://drive.google.com/file/d/1dRS8xvhHpC1-gj2yawWQGCwisSm0SOLF/view?usp=drivesdk","1927_MAHADI _ SERTIFIKAT BIMTEK IPASN BerAKHLASK")</f>
        <v>1927_MAHADI _ SERTIFIKAT BIMTEK IPASN BerAKHLASK</v>
      </c>
      <c r="P1928" s="5" t="s">
        <v>14894</v>
      </c>
      <c r="Q1928" s="5"/>
      <c r="R1928" s="5"/>
      <c r="S1928" s="5"/>
      <c r="T1928" s="5"/>
    </row>
    <row r="1929">
      <c r="A1929" s="4">
        <v>45534.33805322916</v>
      </c>
      <c r="B1929" s="5" t="s">
        <v>34</v>
      </c>
      <c r="D1929" s="5" t="s">
        <v>9020</v>
      </c>
      <c r="E1929" s="5" t="s">
        <v>14902</v>
      </c>
      <c r="F1929" s="5" t="s">
        <v>375</v>
      </c>
      <c r="G1929" s="5" t="s">
        <v>14903</v>
      </c>
      <c r="H1929" s="6" t="s">
        <v>14904</v>
      </c>
      <c r="I1929" s="7" t="s">
        <v>14905</v>
      </c>
      <c r="J1929" s="8" t="str">
        <f>HYPERLINK("https://drive.google.com/file/d/1OBtMXfGi8-91K_Pb9u4PcmrTrS_KeEsv/view?usp=drivesdk","BALMER VICTOR PANGARIBUAN,SE SERTIFIKAT BerAKHLAK")</f>
        <v>BALMER VICTOR PANGARIBUAN,SE SERTIFIKAT BerAKHLAK</v>
      </c>
      <c r="K1929" s="5" t="s">
        <v>14116</v>
      </c>
      <c r="L1929" s="5" t="s">
        <v>14906</v>
      </c>
      <c r="M1929" s="5" t="s">
        <v>14907</v>
      </c>
      <c r="N1929" s="7" t="s">
        <v>14908</v>
      </c>
      <c r="O1929" s="8" t="str">
        <f>HYPERLINK("https://drive.google.com/file/d/1Kd0z2sC-ZXxvDGkPE9STbIVIaQvf_XSg/view?usp=drivesdk","1928_BALMER VICTOR PANGARIBUAN,SE _ SERTIFIKAT BIMTEK IPASN BerAKHLASK")</f>
        <v>1928_BALMER VICTOR PANGARIBUAN,SE _ SERTIFIKAT BIMTEK IPASN BerAKHLASK</v>
      </c>
      <c r="P1929" s="5" t="s">
        <v>14894</v>
      </c>
      <c r="Q1929" s="5"/>
      <c r="R1929" s="5"/>
      <c r="S1929" s="5"/>
      <c r="T1929" s="5"/>
    </row>
    <row r="1930">
      <c r="A1930" s="4">
        <v>45534.33805825231</v>
      </c>
      <c r="B1930" s="5" t="s">
        <v>34</v>
      </c>
      <c r="D1930" s="5" t="s">
        <v>1558</v>
      </c>
      <c r="E1930" s="5" t="s">
        <v>14909</v>
      </c>
      <c r="F1930" s="5" t="s">
        <v>108</v>
      </c>
      <c r="G1930" s="5" t="s">
        <v>14910</v>
      </c>
      <c r="H1930" s="6" t="s">
        <v>14911</v>
      </c>
      <c r="I1930" s="7" t="s">
        <v>14912</v>
      </c>
      <c r="J1930" s="8" t="str">
        <f>HYPERLINK("https://drive.google.com/file/d/1jEQveVQEELFVlkuzbJsB4qLC-PNPtBM-/view?usp=drivesdk","dr. WESTHA DEGA SASRIYA SERTIFIKAT BerAKHLAK")</f>
        <v>dr. WESTHA DEGA SASRIYA SERTIFIKAT BerAKHLAK</v>
      </c>
      <c r="K1930" s="5" t="s">
        <v>14913</v>
      </c>
      <c r="L1930" s="5" t="s">
        <v>14914</v>
      </c>
      <c r="M1930" s="5" t="s">
        <v>14915</v>
      </c>
      <c r="N1930" s="7" t="s">
        <v>14916</v>
      </c>
      <c r="O1930" s="8" t="str">
        <f>HYPERLINK("https://drive.google.com/file/d/1eazzihxKUgFi4t9tAnmxEBrIOUjFZXqH/view?usp=drivesdk","1929_dr. WESTHA DEGA SASRIYA _ SERTIFIKAT BIMTEK IPASN BerAKHLASK")</f>
        <v>1929_dr. WESTHA DEGA SASRIYA _ SERTIFIKAT BIMTEK IPASN BerAKHLASK</v>
      </c>
      <c r="P1930" s="5" t="s">
        <v>14894</v>
      </c>
      <c r="Q1930" s="5"/>
      <c r="R1930" s="5"/>
      <c r="S1930" s="5"/>
      <c r="T1930" s="5"/>
    </row>
    <row r="1931">
      <c r="A1931" s="4">
        <v>45534.3380583449</v>
      </c>
      <c r="B1931" s="5" t="s">
        <v>34</v>
      </c>
      <c r="D1931" s="5" t="s">
        <v>280</v>
      </c>
      <c r="E1931" s="5" t="s">
        <v>14917</v>
      </c>
      <c r="F1931" s="5" t="s">
        <v>37</v>
      </c>
      <c r="G1931" s="5" t="s">
        <v>14918</v>
      </c>
      <c r="H1931" s="6" t="s">
        <v>14919</v>
      </c>
      <c r="I1931" s="7" t="s">
        <v>14920</v>
      </c>
      <c r="J1931" s="8" t="str">
        <f>HYPERLINK("https://drive.google.com/file/d/1Q-iOUfBCjvUnm-_mnz0KZXRDhqysHhbU/view?usp=drivesdk","RISIONO  SERTIFIKAT BerAKHLAK")</f>
        <v>RISIONO  SERTIFIKAT BerAKHLAK</v>
      </c>
      <c r="K1931" s="5" t="s">
        <v>14913</v>
      </c>
      <c r="L1931" s="5" t="s">
        <v>14921</v>
      </c>
      <c r="M1931" s="5" t="s">
        <v>14922</v>
      </c>
      <c r="N1931" s="7" t="s">
        <v>14923</v>
      </c>
      <c r="O1931" s="8" t="str">
        <f>HYPERLINK("https://drive.google.com/file/d/1-93yiwJhDFaRg3nn9hjtgNpCvZvkJ7IL/view?usp=drivesdk","1930_RISIONO  _ SERTIFIKAT BIMTEK IPASN BerAKHLASK")</f>
        <v>1930_RISIONO  _ SERTIFIKAT BIMTEK IPASN BerAKHLASK</v>
      </c>
      <c r="P1931" s="5" t="s">
        <v>14924</v>
      </c>
      <c r="Q1931" s="5"/>
      <c r="R1931" s="5"/>
      <c r="S1931" s="5"/>
      <c r="T1931" s="5"/>
    </row>
    <row r="1932">
      <c r="A1932" s="4">
        <v>45534.33805925926</v>
      </c>
      <c r="B1932" s="5" t="s">
        <v>34</v>
      </c>
      <c r="D1932" s="5" t="s">
        <v>4775</v>
      </c>
      <c r="E1932" s="5" t="s">
        <v>14925</v>
      </c>
      <c r="F1932" s="5" t="s">
        <v>375</v>
      </c>
      <c r="G1932" s="5" t="s">
        <v>14926</v>
      </c>
      <c r="H1932" s="6" t="s">
        <v>14927</v>
      </c>
      <c r="I1932" s="7" t="s">
        <v>14928</v>
      </c>
      <c r="J1932" s="8" t="str">
        <f>HYPERLINK("https://drive.google.com/file/d/1s-4Ftb08ku32dZCd7s-aWJfhJsZZsQ5P/view?usp=drivesdk","SARNO, S.E. SERTIFIKAT BerAKHLAK")</f>
        <v>SARNO, S.E. SERTIFIKAT BerAKHLAK</v>
      </c>
      <c r="K1932" s="5" t="s">
        <v>14929</v>
      </c>
      <c r="L1932" s="5" t="s">
        <v>14930</v>
      </c>
      <c r="M1932" s="5" t="s">
        <v>14931</v>
      </c>
      <c r="N1932" s="7" t="s">
        <v>14932</v>
      </c>
      <c r="O1932" s="8" t="str">
        <f>HYPERLINK("https://drive.google.com/file/d/1FlnLwE3cF961PErcFqY5WJ4x7gN6l8t0/view?usp=drivesdk","1931_SARNO, S.E. _ SERTIFIKAT BIMTEK IPASN BerAKHLASK")</f>
        <v>1931_SARNO, S.E. _ SERTIFIKAT BIMTEK IPASN BerAKHLASK</v>
      </c>
      <c r="P1932" s="5" t="s">
        <v>14933</v>
      </c>
      <c r="Q1932" s="5"/>
      <c r="R1932" s="5"/>
      <c r="S1932" s="5"/>
      <c r="T1932" s="5"/>
    </row>
    <row r="1933">
      <c r="A1933" s="4">
        <v>45534.33806829861</v>
      </c>
      <c r="B1933" s="5" t="s">
        <v>34</v>
      </c>
      <c r="D1933" s="5" t="s">
        <v>4775</v>
      </c>
      <c r="E1933" s="5" t="s">
        <v>14934</v>
      </c>
      <c r="F1933" s="5" t="s">
        <v>72</v>
      </c>
      <c r="G1933" s="5" t="s">
        <v>14935</v>
      </c>
      <c r="H1933" s="6" t="s">
        <v>14936</v>
      </c>
      <c r="I1933" s="7" t="s">
        <v>14937</v>
      </c>
      <c r="J1933" s="8" t="str">
        <f>HYPERLINK("https://drive.google.com/file/d/1AADjFCYbQtAfpGAmu6eGPoFLnWGiEPCr/view?usp=drivesdk","KUSWORINI SERTIFIKAT BerAKHLAK")</f>
        <v>KUSWORINI SERTIFIKAT BerAKHLAK</v>
      </c>
      <c r="K1933" s="5" t="s">
        <v>14929</v>
      </c>
      <c r="L1933" s="5" t="s">
        <v>14938</v>
      </c>
      <c r="M1933" s="5" t="s">
        <v>14939</v>
      </c>
      <c r="N1933" s="7" t="s">
        <v>14940</v>
      </c>
      <c r="O1933" s="8" t="str">
        <f>HYPERLINK("https://drive.google.com/file/d/1BW7ysoJLgGA7eDRQpMCxxlk4OVvcdie9/view?usp=drivesdk","1932_KUSWORINI _ SERTIFIKAT BIMTEK IPASN BerAKHLASK")</f>
        <v>1932_KUSWORINI _ SERTIFIKAT BIMTEK IPASN BerAKHLASK</v>
      </c>
      <c r="P1933" s="5" t="s">
        <v>14933</v>
      </c>
      <c r="Q1933" s="5"/>
      <c r="R1933" s="5"/>
      <c r="S1933" s="5"/>
      <c r="T1933" s="5"/>
    </row>
    <row r="1934">
      <c r="A1934" s="4">
        <v>45534.33807023148</v>
      </c>
      <c r="B1934" s="5" t="s">
        <v>34</v>
      </c>
      <c r="D1934" s="5" t="s">
        <v>4775</v>
      </c>
      <c r="E1934" s="5" t="s">
        <v>14941</v>
      </c>
      <c r="F1934" s="5" t="s">
        <v>212</v>
      </c>
      <c r="G1934" s="5" t="s">
        <v>14942</v>
      </c>
      <c r="H1934" s="6" t="s">
        <v>14943</v>
      </c>
      <c r="K1934" s="5" t="s">
        <v>14944</v>
      </c>
      <c r="M1934" s="5" t="s">
        <v>14945</v>
      </c>
      <c r="N1934" s="7" t="s">
        <v>14946</v>
      </c>
      <c r="O1934" s="8" t="str">
        <f>HYPERLINK("https://drive.google.com/file/d/1y9in-M1EhBc_shqiHgTWBYa1sNrAVGsm/view?usp=drivesdk","1933_JARWOTO _ SERTIFIKAT BIMTEK IPASN BerAKHLASK")</f>
        <v>1933_JARWOTO _ SERTIFIKAT BIMTEK IPASN BerAKHLASK</v>
      </c>
      <c r="P1934" s="5" t="s">
        <v>14933</v>
      </c>
      <c r="Q1934" s="5"/>
      <c r="R1934" s="5"/>
      <c r="S1934" s="5"/>
      <c r="T1934" s="5"/>
    </row>
    <row r="1935">
      <c r="A1935" s="4">
        <v>45534.33807498842</v>
      </c>
      <c r="B1935" s="5" t="s">
        <v>34</v>
      </c>
      <c r="D1935" s="5" t="s">
        <v>280</v>
      </c>
      <c r="E1935" s="5" t="s">
        <v>14947</v>
      </c>
      <c r="F1935" s="5" t="s">
        <v>212</v>
      </c>
      <c r="G1935" s="5" t="s">
        <v>14948</v>
      </c>
      <c r="H1935" s="6" t="s">
        <v>14949</v>
      </c>
      <c r="K1935" s="5" t="s">
        <v>14944</v>
      </c>
      <c r="M1935" s="5" t="s">
        <v>14950</v>
      </c>
      <c r="N1935" s="7" t="s">
        <v>14951</v>
      </c>
      <c r="O1935" s="8" t="str">
        <f>HYPERLINK("https://drive.google.com/file/d/1JCvD3X6WNT5FaXlZLyk2vMBFNVozyKlF/view?usp=drivesdk","1934_MARTINAH _ SERTIFIKAT BIMTEK IPASN BerAKHLASK")</f>
        <v>1934_MARTINAH _ SERTIFIKAT BIMTEK IPASN BerAKHLASK</v>
      </c>
      <c r="P1935" s="5" t="s">
        <v>14933</v>
      </c>
      <c r="Q1935" s="5"/>
      <c r="R1935" s="5"/>
      <c r="S1935" s="5"/>
      <c r="T1935" s="5"/>
    </row>
    <row r="1936">
      <c r="A1936" s="4">
        <v>45534.33807878473</v>
      </c>
      <c r="B1936" s="5" t="s">
        <v>34</v>
      </c>
      <c r="D1936" s="5" t="s">
        <v>35</v>
      </c>
      <c r="E1936" s="5" t="s">
        <v>14952</v>
      </c>
      <c r="F1936" s="5" t="s">
        <v>108</v>
      </c>
      <c r="G1936" s="5" t="s">
        <v>14953</v>
      </c>
      <c r="H1936" s="6" t="s">
        <v>14954</v>
      </c>
      <c r="K1936" s="5" t="s">
        <v>14944</v>
      </c>
      <c r="M1936" s="5" t="s">
        <v>14955</v>
      </c>
      <c r="N1936" s="7" t="s">
        <v>14956</v>
      </c>
      <c r="O1936" s="8" t="str">
        <f>HYPERLINK("https://drive.google.com/file/d/1uy-PYi7PaeIyFRBR5Os3p7fleCrkjIrh/view?usp=drivesdk","1935_CAHYANI INDAR P AMD SE _ SERTIFIKAT BIMTEK IPASN BerAKHLASK")</f>
        <v>1935_CAHYANI INDAR P AMD SE _ SERTIFIKAT BIMTEK IPASN BerAKHLASK</v>
      </c>
      <c r="P1936" s="5" t="s">
        <v>14933</v>
      </c>
      <c r="Q1936" s="5"/>
      <c r="R1936" s="5"/>
      <c r="S1936" s="5"/>
      <c r="T1936" s="5"/>
    </row>
    <row r="1937">
      <c r="A1937" s="4">
        <v>45534.33808206019</v>
      </c>
      <c r="B1937" s="5" t="s">
        <v>34</v>
      </c>
      <c r="D1937" s="5" t="s">
        <v>996</v>
      </c>
      <c r="E1937" s="5" t="s">
        <v>14957</v>
      </c>
      <c r="F1937" s="5" t="s">
        <v>212</v>
      </c>
      <c r="G1937" s="5" t="s">
        <v>14958</v>
      </c>
      <c r="H1937" s="6" t="s">
        <v>14959</v>
      </c>
      <c r="K1937" s="5" t="s">
        <v>14944</v>
      </c>
      <c r="M1937" s="5" t="s">
        <v>14960</v>
      </c>
      <c r="N1937" s="7" t="s">
        <v>14961</v>
      </c>
      <c r="O1937" s="8" t="str">
        <f>HYPERLINK("https://drive.google.com/file/d/1OXjH3tMBGts1-FRHlBXd_H7KVI-Ix0lg/view?usp=drivesdk","1936_RAFIKAH. SE _ SERTIFIKAT BIMTEK IPASN BerAKHLASK")</f>
        <v>1936_RAFIKAH. SE _ SERTIFIKAT BIMTEK IPASN BerAKHLASK</v>
      </c>
      <c r="P1937" s="5" t="s">
        <v>14933</v>
      </c>
      <c r="Q1937" s="5"/>
      <c r="R1937" s="5"/>
      <c r="S1937" s="5"/>
      <c r="T1937" s="5"/>
    </row>
    <row r="1938">
      <c r="A1938" s="4">
        <v>45534.33808290509</v>
      </c>
      <c r="B1938" s="5" t="s">
        <v>34</v>
      </c>
      <c r="D1938" s="5" t="s">
        <v>975</v>
      </c>
      <c r="E1938" s="5" t="s">
        <v>14962</v>
      </c>
      <c r="F1938" s="5" t="s">
        <v>37</v>
      </c>
      <c r="G1938" s="5" t="s">
        <v>14963</v>
      </c>
      <c r="H1938" s="6" t="s">
        <v>14964</v>
      </c>
      <c r="K1938" s="5" t="s">
        <v>14944</v>
      </c>
      <c r="M1938" s="5" t="s">
        <v>14965</v>
      </c>
      <c r="N1938" s="7" t="s">
        <v>14966</v>
      </c>
      <c r="O1938" s="8" t="str">
        <f>HYPERLINK("https://drive.google.com/file/d/1CA3G-pL4ZQZB7xFBhbC0N_6YfuRxUNDr/view?usp=drivesdk","1937_NOVITASARI TAMPUBOLON, AMD. AK _ SERTIFIKAT BIMTEK IPASN BerAKHLASK")</f>
        <v>1937_NOVITASARI TAMPUBOLON, AMD. AK _ SERTIFIKAT BIMTEK IPASN BerAKHLASK</v>
      </c>
      <c r="P1938" s="5" t="s">
        <v>14967</v>
      </c>
      <c r="Q1938" s="5"/>
      <c r="R1938" s="5"/>
      <c r="S1938" s="5"/>
      <c r="T1938" s="5"/>
    </row>
    <row r="1939">
      <c r="A1939" s="4">
        <v>45534.33808423611</v>
      </c>
      <c r="B1939" s="5" t="s">
        <v>34</v>
      </c>
      <c r="D1939" s="5" t="s">
        <v>1206</v>
      </c>
      <c r="E1939" s="5" t="s">
        <v>14968</v>
      </c>
      <c r="F1939" s="5" t="s">
        <v>37</v>
      </c>
      <c r="G1939" s="5" t="s">
        <v>14969</v>
      </c>
      <c r="H1939" s="6" t="s">
        <v>14970</v>
      </c>
      <c r="K1939" s="5" t="s">
        <v>14944</v>
      </c>
      <c r="M1939" s="5" t="s">
        <v>14971</v>
      </c>
      <c r="N1939" s="7" t="s">
        <v>14972</v>
      </c>
      <c r="O1939" s="8" t="str">
        <f>HYPERLINK("https://drive.google.com/file/d/10htjdMRQj5_AXWS2JFbgLc4Duq-js0kw/view?usp=drivesdk","1938_YUDI LUKMAN _ SERTIFIKAT BIMTEK IPASN BerAKHLASK")</f>
        <v>1938_YUDI LUKMAN _ SERTIFIKAT BIMTEK IPASN BerAKHLASK</v>
      </c>
      <c r="P1939" s="5" t="s">
        <v>14967</v>
      </c>
      <c r="Q1939" s="5"/>
      <c r="R1939" s="5"/>
      <c r="S1939" s="5"/>
      <c r="T1939" s="5"/>
    </row>
    <row r="1940">
      <c r="A1940" s="4">
        <v>45534.3380858912</v>
      </c>
      <c r="B1940" s="5" t="s">
        <v>34</v>
      </c>
      <c r="D1940" s="5" t="s">
        <v>1768</v>
      </c>
      <c r="E1940" s="5" t="s">
        <v>14973</v>
      </c>
      <c r="F1940" s="5" t="s">
        <v>524</v>
      </c>
      <c r="G1940" s="5" t="s">
        <v>14974</v>
      </c>
      <c r="H1940" s="6" t="s">
        <v>14975</v>
      </c>
      <c r="K1940" s="5" t="s">
        <v>14944</v>
      </c>
      <c r="M1940" s="5" t="s">
        <v>14976</v>
      </c>
      <c r="N1940" s="7" t="s">
        <v>14977</v>
      </c>
      <c r="O1940" s="8" t="str">
        <f>HYPERLINK("https://drive.google.com/file/d/1mM9gi84aCIfT5n-2B3tDuAPDESLBLDrU/view?usp=drivesdk","1939_NEDA SUSANTY _ SERTIFIKAT BIMTEK IPASN BerAKHLASK")</f>
        <v>1939_NEDA SUSANTY _ SERTIFIKAT BIMTEK IPASN BerAKHLASK</v>
      </c>
      <c r="P1940" s="5" t="s">
        <v>14967</v>
      </c>
      <c r="Q1940" s="5"/>
      <c r="R1940" s="5"/>
      <c r="S1940" s="5"/>
      <c r="T1940" s="5"/>
    </row>
    <row r="1941">
      <c r="A1941" s="4">
        <v>45534.33808688658</v>
      </c>
      <c r="B1941" s="5" t="s">
        <v>34</v>
      </c>
      <c r="D1941" s="5" t="s">
        <v>701</v>
      </c>
      <c r="E1941" s="5" t="s">
        <v>14978</v>
      </c>
      <c r="F1941" s="5" t="s">
        <v>108</v>
      </c>
      <c r="G1941" s="5" t="s">
        <v>14979</v>
      </c>
      <c r="H1941" s="6" t="s">
        <v>14980</v>
      </c>
      <c r="K1941" s="5" t="s">
        <v>14944</v>
      </c>
      <c r="M1941" s="5" t="s">
        <v>14981</v>
      </c>
      <c r="N1941" s="7" t="s">
        <v>14982</v>
      </c>
      <c r="O1941" s="8" t="str">
        <f>HYPERLINK("https://drive.google.com/file/d/1ZWFIkFAFiqnsCw8x3IAG3jyW1JF-mhvN/view?usp=drivesdk","1940_EXWAN VERI JEKSON _ SERTIFIKAT BIMTEK IPASN BerAKHLASK")</f>
        <v>1940_EXWAN VERI JEKSON _ SERTIFIKAT BIMTEK IPASN BerAKHLASK</v>
      </c>
      <c r="P1941" s="5" t="s">
        <v>14967</v>
      </c>
      <c r="Q1941" s="5"/>
      <c r="R1941" s="5"/>
      <c r="S1941" s="5"/>
      <c r="T1941" s="5"/>
    </row>
    <row r="1942">
      <c r="A1942" s="4">
        <v>45534.338094120365</v>
      </c>
      <c r="B1942" s="5" t="s">
        <v>34</v>
      </c>
      <c r="D1942" s="5" t="s">
        <v>2903</v>
      </c>
      <c r="E1942" s="5" t="s">
        <v>14983</v>
      </c>
      <c r="F1942" s="5" t="s">
        <v>524</v>
      </c>
      <c r="G1942" s="5" t="s">
        <v>14984</v>
      </c>
      <c r="H1942" s="6" t="s">
        <v>14985</v>
      </c>
      <c r="K1942" s="5" t="s">
        <v>14944</v>
      </c>
      <c r="M1942" s="5" t="s">
        <v>14986</v>
      </c>
      <c r="N1942" s="7" t="s">
        <v>14987</v>
      </c>
      <c r="O1942" s="8" t="str">
        <f>HYPERLINK("https://drive.google.com/file/d/1siGoF6Q3HEe7TbNJSF9NwjtkuUUteZ0J/view?usp=drivesdk","1941_RAMIDA _ SERTIFIKAT BIMTEK IPASN BerAKHLASK")</f>
        <v>1941_RAMIDA _ SERTIFIKAT BIMTEK IPASN BerAKHLASK</v>
      </c>
      <c r="P1942" s="5" t="s">
        <v>14967</v>
      </c>
      <c r="Q1942" s="5"/>
      <c r="R1942" s="5"/>
      <c r="S1942" s="5"/>
      <c r="T1942" s="5"/>
    </row>
    <row r="1943">
      <c r="A1943" s="4">
        <v>45534.33810020833</v>
      </c>
      <c r="B1943" s="5" t="s">
        <v>34</v>
      </c>
      <c r="D1943" s="5" t="s">
        <v>9020</v>
      </c>
      <c r="E1943" s="5" t="s">
        <v>14988</v>
      </c>
      <c r="F1943" s="5" t="s">
        <v>715</v>
      </c>
      <c r="G1943" s="5" t="s">
        <v>14989</v>
      </c>
      <c r="H1943" s="6" t="s">
        <v>14990</v>
      </c>
      <c r="I1943" s="7" t="s">
        <v>14991</v>
      </c>
      <c r="J1943" s="8" t="str">
        <f>HYPERLINK("https://drive.google.com/file/d/1ayWywmB98QZ1g1qgMABtrbtqzoWnaoOx/view?usp=drivesdk","CHRISTINA JULIANA, S. KOM SERTIFIKAT BerAKHLAK")</f>
        <v>CHRISTINA JULIANA, S. KOM SERTIFIKAT BerAKHLAK</v>
      </c>
      <c r="K1943" s="5" t="s">
        <v>14071</v>
      </c>
      <c r="L1943" s="5" t="s">
        <v>14992</v>
      </c>
      <c r="M1943" s="5" t="s">
        <v>14993</v>
      </c>
      <c r="N1943" s="7" t="s">
        <v>14994</v>
      </c>
      <c r="O1943" s="8" t="str">
        <f>HYPERLINK("https://drive.google.com/file/d/1xV-ezith0JqTyrzvzwjlhpaVcCcW2yQ1/view?usp=drivesdk","1942_CHRISTINA JULIANA, S. KOM _ SERTIFIKAT BIMTEK IPASN BerAKHLASK")</f>
        <v>1942_CHRISTINA JULIANA, S. KOM _ SERTIFIKAT BIMTEK IPASN BerAKHLASK</v>
      </c>
      <c r="P1943" s="5" t="s">
        <v>14967</v>
      </c>
      <c r="Q1943" s="5"/>
      <c r="R1943" s="5"/>
      <c r="S1943" s="5"/>
      <c r="T1943" s="5"/>
    </row>
    <row r="1944">
      <c r="A1944" s="4">
        <v>45534.33810075231</v>
      </c>
      <c r="B1944" s="5" t="s">
        <v>34</v>
      </c>
      <c r="D1944" s="5" t="s">
        <v>9020</v>
      </c>
      <c r="E1944" s="5" t="s">
        <v>14995</v>
      </c>
      <c r="F1944" s="5" t="s">
        <v>72</v>
      </c>
      <c r="G1944" s="5" t="s">
        <v>14996</v>
      </c>
      <c r="H1944" s="6" t="s">
        <v>14997</v>
      </c>
      <c r="I1944" s="7" t="s">
        <v>14998</v>
      </c>
      <c r="J1944" s="8" t="str">
        <f>HYPERLINK("https://drive.google.com/file/d/1R2Ud-rC5hVzIheu0q5fMfKEegk0VkMXP/view?usp=drivesdk","AMINUN HARAHAP SERTIFIKAT BerAKHLAK")</f>
        <v>AMINUN HARAHAP SERTIFIKAT BerAKHLAK</v>
      </c>
      <c r="K1944" s="5" t="s">
        <v>14071</v>
      </c>
      <c r="L1944" s="5" t="s">
        <v>14999</v>
      </c>
      <c r="M1944" s="5" t="s">
        <v>15000</v>
      </c>
      <c r="N1944" s="7" t="s">
        <v>15001</v>
      </c>
      <c r="O1944" s="8" t="str">
        <f>HYPERLINK("https://drive.google.com/file/d/1TmqD-gDyVSfqRR2-SZI39o533DIAMa7q/view?usp=drivesdk","1943_AMINUN HARAHAP _ SERTIFIKAT BIMTEK IPASN BerAKHLASK")</f>
        <v>1943_AMINUN HARAHAP _ SERTIFIKAT BIMTEK IPASN BerAKHLASK</v>
      </c>
      <c r="P1944" s="5" t="s">
        <v>14967</v>
      </c>
      <c r="Q1944" s="5"/>
      <c r="R1944" s="5"/>
      <c r="S1944" s="5"/>
      <c r="T1944" s="5"/>
    </row>
    <row r="1945">
      <c r="A1945" s="4">
        <v>45534.33811074074</v>
      </c>
      <c r="B1945" s="5" t="s">
        <v>34</v>
      </c>
      <c r="D1945" s="5" t="s">
        <v>35</v>
      </c>
      <c r="E1945" s="5" t="s">
        <v>15002</v>
      </c>
      <c r="F1945" s="5" t="s">
        <v>37</v>
      </c>
      <c r="G1945" s="5" t="s">
        <v>15003</v>
      </c>
      <c r="H1945" s="6" t="s">
        <v>15004</v>
      </c>
      <c r="I1945" s="7" t="s">
        <v>15005</v>
      </c>
      <c r="J1945" s="8" t="str">
        <f>HYPERLINK("https://drive.google.com/file/d/1jaXkjFUOb9d72aamSy9reAYRHIeVqKZ_/view?usp=drivesdk","IBROHIM SH SERTIFIKAT BerAKHLAK")</f>
        <v>IBROHIM SH SERTIFIKAT BerAKHLAK</v>
      </c>
      <c r="K1945" s="5" t="s">
        <v>14071</v>
      </c>
      <c r="L1945" s="5" t="s">
        <v>15006</v>
      </c>
      <c r="M1945" s="5" t="s">
        <v>15007</v>
      </c>
      <c r="N1945" s="7" t="s">
        <v>15008</v>
      </c>
      <c r="O1945" s="8" t="str">
        <f>HYPERLINK("https://drive.google.com/file/d/1JItZ1a_KhyIMN8AI3GhEEOMALhdNtYSR/view?usp=drivesdk","1944_IBROHIM SH _ SERTIFIKAT BIMTEK IPASN BerAKHLASK")</f>
        <v>1944_IBROHIM SH _ SERTIFIKAT BIMTEK IPASN BerAKHLASK</v>
      </c>
      <c r="P1945" s="5" t="s">
        <v>15009</v>
      </c>
      <c r="Q1945" s="5"/>
      <c r="R1945" s="5"/>
      <c r="S1945" s="5"/>
      <c r="T1945" s="5"/>
    </row>
    <row r="1946">
      <c r="A1946" s="4">
        <v>45534.33811575231</v>
      </c>
      <c r="B1946" s="5" t="s">
        <v>34</v>
      </c>
      <c r="D1946" s="5" t="s">
        <v>4775</v>
      </c>
      <c r="E1946" s="5" t="s">
        <v>15010</v>
      </c>
      <c r="F1946" s="5" t="s">
        <v>212</v>
      </c>
      <c r="G1946" s="5" t="s">
        <v>15011</v>
      </c>
      <c r="H1946" s="6" t="s">
        <v>15012</v>
      </c>
      <c r="I1946" s="7" t="s">
        <v>15013</v>
      </c>
      <c r="J1946" s="8" t="str">
        <f>HYPERLINK("https://drive.google.com/file/d/1-5ApuCuyzPllZ2stbf7c9P-EScyBzO_e/view?usp=drivesdk","YULIANA SRI ISYANTI  SERTIFIKAT BerAKHLAK")</f>
        <v>YULIANA SRI ISYANTI  SERTIFIKAT BerAKHLAK</v>
      </c>
      <c r="K1946" s="5" t="s">
        <v>14071</v>
      </c>
      <c r="L1946" s="5" t="s">
        <v>15014</v>
      </c>
      <c r="M1946" s="5" t="s">
        <v>15015</v>
      </c>
      <c r="N1946" s="7" t="s">
        <v>15016</v>
      </c>
      <c r="O1946" s="8" t="str">
        <f>HYPERLINK("https://drive.google.com/file/d/1ap_a5ejLy0Iko1jS4WI4pGJdQP9mi95t/view?usp=drivesdk","1945_YULIANA SRI ISYANTI  _ SERTIFIKAT BIMTEK IPASN BerAKHLASK")</f>
        <v>1945_YULIANA SRI ISYANTI  _ SERTIFIKAT BIMTEK IPASN BerAKHLASK</v>
      </c>
      <c r="P1946" s="5" t="s">
        <v>15009</v>
      </c>
      <c r="Q1946" s="5"/>
      <c r="R1946" s="5"/>
      <c r="S1946" s="5"/>
      <c r="T1946" s="5"/>
    </row>
    <row r="1947" hidden="1">
      <c r="A1947" s="4">
        <v>45534.33811627315</v>
      </c>
      <c r="B1947" s="5" t="s">
        <v>19</v>
      </c>
      <c r="C1947" s="5" t="s">
        <v>11593</v>
      </c>
      <c r="E1947" s="5" t="s">
        <v>15017</v>
      </c>
      <c r="F1947" s="5" t="s">
        <v>212</v>
      </c>
      <c r="G1947" s="5" t="s">
        <v>15018</v>
      </c>
      <c r="H1947" s="6" t="s">
        <v>15019</v>
      </c>
      <c r="I1947" s="7" t="s">
        <v>15020</v>
      </c>
      <c r="J1947" s="8" t="str">
        <f>HYPERLINK("https://drive.google.com/file/d/1W5nJiGB3eAM3tGJrQjAY8RHs9h0nq69-/view?usp=drivesdk","SUMIYATI  SERTIFIKAT BerAKHLAK")</f>
        <v>SUMIYATI  SERTIFIKAT BerAKHLAK</v>
      </c>
      <c r="K1947" s="5" t="s">
        <v>14093</v>
      </c>
      <c r="L1947" s="5" t="s">
        <v>15021</v>
      </c>
      <c r="M1947" s="5" t="s">
        <v>15022</v>
      </c>
      <c r="N1947" s="7" t="s">
        <v>15023</v>
      </c>
      <c r="O1947" s="8" t="str">
        <f>HYPERLINK("https://drive.google.com/file/d/1gzIybEBwTZxqy7qp36EY_G7fRP-OJMmX/view?usp=drivesdk","1946_SUMIYATI  _ SERTIFIKAT BIMTEK IPASN BerAKHLASK")</f>
        <v>1946_SUMIYATI  _ SERTIFIKAT BIMTEK IPASN BerAKHLASK</v>
      </c>
      <c r="P1947" s="5" t="s">
        <v>15009</v>
      </c>
      <c r="Q1947" s="5"/>
      <c r="R1947" s="5"/>
      <c r="S1947" s="5"/>
      <c r="T1947" s="5"/>
    </row>
    <row r="1948" hidden="1">
      <c r="A1948" s="4">
        <v>45534.33812072917</v>
      </c>
      <c r="B1948" s="5" t="s">
        <v>19</v>
      </c>
      <c r="C1948" s="5" t="s">
        <v>20</v>
      </c>
      <c r="E1948" s="5" t="s">
        <v>15024</v>
      </c>
      <c r="F1948" s="5" t="s">
        <v>120</v>
      </c>
      <c r="G1948" s="5" t="s">
        <v>15025</v>
      </c>
      <c r="H1948" s="6" t="s">
        <v>15026</v>
      </c>
      <c r="I1948" s="7" t="s">
        <v>15027</v>
      </c>
      <c r="J1948" s="8" t="str">
        <f>HYPERLINK("https://drive.google.com/file/d/1pTTzjk5L6LHKb4_-j-BCzS7WFEK7WGFN/view?usp=drivesdk","RANU ASMORO, S.T. SERTIFIKAT BerAKHLAK")</f>
        <v>RANU ASMORO, S.T. SERTIFIKAT BerAKHLAK</v>
      </c>
      <c r="K1948" s="5" t="s">
        <v>14093</v>
      </c>
      <c r="L1948" s="5" t="s">
        <v>15028</v>
      </c>
      <c r="M1948" s="5" t="s">
        <v>15029</v>
      </c>
      <c r="N1948" s="7" t="s">
        <v>15030</v>
      </c>
      <c r="O1948" s="8" t="str">
        <f>HYPERLINK("https://drive.google.com/file/d/16ay9r0KW20c0GhYZLju3L9iuN50gv59_/view?usp=drivesdk","1947_RANU ASMORO, S.T. _ SERTIFIKAT BIMTEK IPASN BerAKHLASK")</f>
        <v>1947_RANU ASMORO, S.T. _ SERTIFIKAT BIMTEK IPASN BerAKHLASK</v>
      </c>
      <c r="P1948" s="5" t="s">
        <v>15009</v>
      </c>
      <c r="Q1948" s="5"/>
      <c r="R1948" s="5"/>
      <c r="S1948" s="5"/>
      <c r="T1948" s="5"/>
    </row>
    <row r="1949">
      <c r="A1949" s="4">
        <v>45534.33812368056</v>
      </c>
      <c r="B1949" s="5" t="s">
        <v>34</v>
      </c>
      <c r="D1949" s="5" t="s">
        <v>522</v>
      </c>
      <c r="E1949" s="5" t="s">
        <v>15031</v>
      </c>
      <c r="F1949" s="5" t="s">
        <v>375</v>
      </c>
      <c r="G1949" s="5" t="s">
        <v>15032</v>
      </c>
      <c r="H1949" s="6" t="s">
        <v>15033</v>
      </c>
      <c r="I1949" s="7" t="s">
        <v>15034</v>
      </c>
      <c r="J1949" s="8" t="str">
        <f>HYPERLINK("https://drive.google.com/file/d/1ENQLnDGdCo7r50c4zes9DF7W72cjOh8p/view?usp=drivesdk","LUH PUTU SRI UTAMI, S.E. SERTIFIKAT BerAKHLAK")</f>
        <v>LUH PUTU SRI UTAMI, S.E. SERTIFIKAT BerAKHLAK</v>
      </c>
      <c r="K1949" s="5" t="s">
        <v>14093</v>
      </c>
      <c r="L1949" s="5" t="s">
        <v>15035</v>
      </c>
      <c r="M1949" s="5" t="s">
        <v>15036</v>
      </c>
      <c r="N1949" s="7" t="s">
        <v>15037</v>
      </c>
      <c r="O1949" s="8" t="str">
        <f>HYPERLINK("https://drive.google.com/file/d/1API4hsAxOOKbmMLo_qwUyM9XXg6wJwrN/view?usp=drivesdk","1948_LUH PUTU SRI UTAMI, S.E. _ SERTIFIKAT BIMTEK IPASN BerAKHLASK")</f>
        <v>1948_LUH PUTU SRI UTAMI, S.E. _ SERTIFIKAT BIMTEK IPASN BerAKHLASK</v>
      </c>
      <c r="P1949" s="5" t="s">
        <v>15009</v>
      </c>
      <c r="Q1949" s="5"/>
      <c r="R1949" s="5"/>
      <c r="S1949" s="5"/>
      <c r="T1949" s="5"/>
    </row>
    <row r="1950">
      <c r="A1950" s="4">
        <v>45534.33813373843</v>
      </c>
      <c r="B1950" s="5" t="s">
        <v>34</v>
      </c>
      <c r="D1950" s="5" t="s">
        <v>1692</v>
      </c>
      <c r="E1950" s="5" t="s">
        <v>15038</v>
      </c>
      <c r="F1950" s="5" t="s">
        <v>37</v>
      </c>
      <c r="G1950" s="5" t="s">
        <v>15039</v>
      </c>
      <c r="H1950" s="6" t="s">
        <v>15040</v>
      </c>
      <c r="I1950" s="7" t="s">
        <v>15041</v>
      </c>
      <c r="J1950" s="8" t="str">
        <f>HYPERLINK("https://drive.google.com/file/d/1O_wTT21ukgSul1M6WLgPMJa5PomoSchW/view?usp=drivesdk","Petrosina Josina Thely Taihuttu SERTIFIKAT BerAKHLAK")</f>
        <v>Petrosina Josina Thely Taihuttu SERTIFIKAT BerAKHLAK</v>
      </c>
      <c r="K1950" s="5" t="s">
        <v>14116</v>
      </c>
      <c r="L1950" s="5" t="s">
        <v>15042</v>
      </c>
      <c r="M1950" s="5" t="s">
        <v>15043</v>
      </c>
      <c r="N1950" s="7" t="s">
        <v>15044</v>
      </c>
      <c r="O1950" s="8" t="str">
        <f>HYPERLINK("https://drive.google.com/file/d/1IM5_TAuYYyDBaOxepZ4Vart2zGRbYb2Y/view?usp=drivesdk","1949_Petrosina Josina Thely Taihuttu _ SERTIFIKAT BIMTEK IPASN BerAKHLASK")</f>
        <v>1949_Petrosina Josina Thely Taihuttu _ SERTIFIKAT BIMTEK IPASN BerAKHLASK</v>
      </c>
      <c r="P1950" s="5" t="s">
        <v>15009</v>
      </c>
      <c r="Q1950" s="5"/>
      <c r="R1950" s="5"/>
      <c r="S1950" s="5"/>
      <c r="T1950" s="5"/>
    </row>
    <row r="1951">
      <c r="A1951" s="4">
        <v>45534.33813665509</v>
      </c>
      <c r="B1951" s="5" t="s">
        <v>34</v>
      </c>
      <c r="D1951" s="5" t="s">
        <v>2903</v>
      </c>
      <c r="E1951" s="5" t="s">
        <v>15045</v>
      </c>
      <c r="F1951" s="5" t="s">
        <v>120</v>
      </c>
      <c r="G1951" s="5" t="s">
        <v>15046</v>
      </c>
      <c r="H1951" s="6" t="s">
        <v>15047</v>
      </c>
      <c r="I1951" s="7" t="s">
        <v>15048</v>
      </c>
      <c r="J1951" s="8" t="str">
        <f>HYPERLINK("https://drive.google.com/file/d/1DKauUGDlw2zkL-K8ljdd3aUfpIA9v9r4/view?usp=drivesdk","DRA SAURMA BUTARBUTAR SERTIFIKAT BerAKHLAK")</f>
        <v>DRA SAURMA BUTARBUTAR SERTIFIKAT BerAKHLAK</v>
      </c>
      <c r="K1951" s="5" t="s">
        <v>14116</v>
      </c>
      <c r="L1951" s="5" t="s">
        <v>15049</v>
      </c>
      <c r="M1951" s="5" t="s">
        <v>15050</v>
      </c>
      <c r="N1951" s="7" t="s">
        <v>15051</v>
      </c>
      <c r="O1951" s="8" t="str">
        <f>HYPERLINK("https://drive.google.com/file/d/1M-T4mC6w2VSghOIhB3Ad4YnnhZV-9aQU/view?usp=drivesdk","1950_DRA SAURMA BUTARBUTAR _ SERTIFIKAT BIMTEK IPASN BerAKHLASK")</f>
        <v>1950_DRA SAURMA BUTARBUTAR _ SERTIFIKAT BIMTEK IPASN BerAKHLASK</v>
      </c>
      <c r="P1951" s="5" t="s">
        <v>15052</v>
      </c>
      <c r="Q1951" s="5"/>
      <c r="R1951" s="5"/>
      <c r="S1951" s="5"/>
      <c r="T1951" s="5"/>
    </row>
    <row r="1952">
      <c r="A1952" s="4">
        <v>45534.33813846065</v>
      </c>
      <c r="B1952" s="5" t="s">
        <v>34</v>
      </c>
      <c r="D1952" s="5" t="s">
        <v>4775</v>
      </c>
      <c r="E1952" s="5" t="s">
        <v>15053</v>
      </c>
      <c r="F1952" s="5" t="s">
        <v>212</v>
      </c>
      <c r="G1952" s="5" t="s">
        <v>15054</v>
      </c>
      <c r="H1952" s="6" t="s">
        <v>15055</v>
      </c>
      <c r="I1952" s="7" t="s">
        <v>15056</v>
      </c>
      <c r="J1952" s="8" t="str">
        <f>HYPERLINK("https://drive.google.com/file/d/1bwEiOI6K-ancnCm2G_Ci7cFsIswVpJbr/view?usp=drivesdk","RR.HENI ARIATI  SERTIFIKAT BerAKHLAK")</f>
        <v>RR.HENI ARIATI  SERTIFIKAT BerAKHLAK</v>
      </c>
      <c r="K1952" s="5" t="s">
        <v>14116</v>
      </c>
      <c r="L1952" s="5" t="s">
        <v>15057</v>
      </c>
      <c r="M1952" s="5" t="s">
        <v>15058</v>
      </c>
      <c r="N1952" s="7" t="s">
        <v>15059</v>
      </c>
      <c r="O1952" s="8" t="str">
        <f>HYPERLINK("https://drive.google.com/file/d/1o7352wAVHC0b4Xw99ULgQwbCNI1FEJfA/view?usp=drivesdk","1951_RR.HENI ARIATI  _ SERTIFIKAT BIMTEK IPASN BerAKHLASK")</f>
        <v>1951_RR.HENI ARIATI  _ SERTIFIKAT BIMTEK IPASN BerAKHLASK</v>
      </c>
      <c r="P1952" s="5" t="s">
        <v>15052</v>
      </c>
      <c r="Q1952" s="5"/>
      <c r="R1952" s="5"/>
      <c r="S1952" s="5"/>
      <c r="T1952" s="5"/>
    </row>
    <row r="1953">
      <c r="A1953" s="4">
        <v>45534.33814065972</v>
      </c>
      <c r="B1953" s="5" t="s">
        <v>34</v>
      </c>
      <c r="D1953" s="5" t="s">
        <v>4775</v>
      </c>
      <c r="E1953" s="5" t="s">
        <v>15060</v>
      </c>
      <c r="F1953" s="5" t="s">
        <v>212</v>
      </c>
      <c r="G1953" s="5" t="s">
        <v>15061</v>
      </c>
      <c r="H1953" s="6" t="s">
        <v>15062</v>
      </c>
      <c r="I1953" s="7" t="s">
        <v>15063</v>
      </c>
      <c r="J1953" s="8" t="str">
        <f>HYPERLINK("https://drive.google.com/file/d/1_f-OoL3tFFodxzw3iHgrny7wd0xaejGG/view?usp=drivesdk","WANGSIT BAPAK SERTIFIKAT BerAKHLAK")</f>
        <v>WANGSIT BAPAK SERTIFIKAT BerAKHLAK</v>
      </c>
      <c r="K1953" s="5" t="s">
        <v>14116</v>
      </c>
      <c r="L1953" s="5" t="s">
        <v>15064</v>
      </c>
      <c r="M1953" s="5" t="s">
        <v>15065</v>
      </c>
      <c r="N1953" s="7" t="s">
        <v>15066</v>
      </c>
      <c r="O1953" s="8" t="str">
        <f>HYPERLINK("https://drive.google.com/file/d/18kcRGE3R-SryC1KmW1x1gqRoCvp4efeQ/view?usp=drivesdk","1952_WANGSIT BAPAK _ SERTIFIKAT BIMTEK IPASN BerAKHLASK")</f>
        <v>1952_WANGSIT BAPAK _ SERTIFIKAT BIMTEK IPASN BerAKHLASK</v>
      </c>
      <c r="P1953" s="5" t="s">
        <v>15052</v>
      </c>
      <c r="Q1953" s="5"/>
      <c r="R1953" s="5"/>
      <c r="S1953" s="5"/>
      <c r="T1953" s="5"/>
    </row>
    <row r="1954">
      <c r="A1954" s="4">
        <v>45534.338141388886</v>
      </c>
      <c r="B1954" s="5" t="s">
        <v>34</v>
      </c>
      <c r="D1954" s="5" t="s">
        <v>1206</v>
      </c>
      <c r="E1954" s="5" t="s">
        <v>15067</v>
      </c>
      <c r="F1954" s="5" t="s">
        <v>37</v>
      </c>
      <c r="G1954" s="5" t="s">
        <v>15068</v>
      </c>
      <c r="H1954" s="6" t="s">
        <v>15069</v>
      </c>
      <c r="I1954" s="7" t="s">
        <v>15070</v>
      </c>
      <c r="J1954" s="8" t="str">
        <f>HYPERLINK("https://drive.google.com/file/d/1u7ZSqswhi4FuiHQhaIeIqcBUnyR9J1o_/view?usp=drivesdk","TUTUT EVIVA  SERTIFIKAT BerAKHLAK")</f>
        <v>TUTUT EVIVA  SERTIFIKAT BerAKHLAK</v>
      </c>
      <c r="K1954" s="5" t="s">
        <v>14913</v>
      </c>
      <c r="L1954" s="5" t="s">
        <v>15071</v>
      </c>
      <c r="M1954" s="5" t="s">
        <v>15072</v>
      </c>
      <c r="N1954" s="7" t="s">
        <v>15073</v>
      </c>
      <c r="O1954" s="8" t="str">
        <f>HYPERLINK("https://drive.google.com/file/d/1sUJLH13jFgJHra9gAR1lrs1ESa5ctPzc/view?usp=drivesdk","1953_TUTUT EVIVA  _ SERTIFIKAT BIMTEK IPASN BerAKHLASK")</f>
        <v>1953_TUTUT EVIVA  _ SERTIFIKAT BIMTEK IPASN BerAKHLASK</v>
      </c>
      <c r="P1954" s="5" t="s">
        <v>15052</v>
      </c>
      <c r="Q1954" s="5"/>
      <c r="R1954" s="5"/>
      <c r="S1954" s="5"/>
      <c r="T1954" s="5"/>
    </row>
    <row r="1955">
      <c r="A1955" s="4">
        <v>45534.338147372684</v>
      </c>
      <c r="B1955" s="5" t="s">
        <v>34</v>
      </c>
      <c r="D1955" s="5" t="s">
        <v>1206</v>
      </c>
      <c r="E1955" s="5" t="s">
        <v>15074</v>
      </c>
      <c r="F1955" s="5" t="s">
        <v>375</v>
      </c>
      <c r="G1955" s="5" t="s">
        <v>15075</v>
      </c>
      <c r="H1955" s="6" t="s">
        <v>15076</v>
      </c>
      <c r="I1955" s="7" t="s">
        <v>15077</v>
      </c>
      <c r="J1955" s="8" t="str">
        <f>HYPERLINK("https://drive.google.com/file/d/1YP00iFZMQPGf3rbdkGs9lStUonLdgoJ-/view?usp=drivesdk","IRA LESTARI, S.E, M.M SERTIFIKAT BerAKHLAK")</f>
        <v>IRA LESTARI, S.E, M.M SERTIFIKAT BerAKHLAK</v>
      </c>
      <c r="K1955" s="5" t="s">
        <v>14913</v>
      </c>
      <c r="L1955" s="5" t="s">
        <v>15078</v>
      </c>
      <c r="M1955" s="5" t="s">
        <v>15079</v>
      </c>
      <c r="N1955" s="7" t="s">
        <v>15080</v>
      </c>
      <c r="O1955" s="8" t="str">
        <f>HYPERLINK("https://drive.google.com/file/d/1NCZXtvUkeKU9pp0cCkT-HHmDdjVNuDPV/view?usp=drivesdk","1954_IRA LESTARI, S.E, M.M _ SERTIFIKAT BIMTEK IPASN BerAKHLASK")</f>
        <v>1954_IRA LESTARI, S.E, M.M _ SERTIFIKAT BIMTEK IPASN BerAKHLASK</v>
      </c>
      <c r="P1955" s="5" t="s">
        <v>15052</v>
      </c>
      <c r="Q1955" s="5"/>
      <c r="R1955" s="5"/>
      <c r="S1955" s="5"/>
      <c r="T1955" s="5"/>
    </row>
    <row r="1956">
      <c r="A1956" s="4">
        <v>45534.33815355324</v>
      </c>
      <c r="B1956" s="5" t="s">
        <v>34</v>
      </c>
      <c r="D1956" s="5" t="s">
        <v>4775</v>
      </c>
      <c r="E1956" s="5" t="s">
        <v>15081</v>
      </c>
      <c r="F1956" s="5" t="s">
        <v>212</v>
      </c>
      <c r="G1956" s="5" t="s">
        <v>15082</v>
      </c>
      <c r="H1956" s="6" t="s">
        <v>15083</v>
      </c>
      <c r="K1956" s="5" t="s">
        <v>14944</v>
      </c>
      <c r="M1956" s="5" t="s">
        <v>15084</v>
      </c>
      <c r="N1956" s="7" t="s">
        <v>15085</v>
      </c>
      <c r="O1956" s="8" t="str">
        <f>HYPERLINK("https://drive.google.com/file/d/1qTGHJ8z3FwYpXPovGk6F0n9c0QzLw5rN/view?usp=drivesdk","1955_ANI INDRATI  A.Md.Kep _ SERTIFIKAT BIMTEK IPASN BerAKHLASK")</f>
        <v>1955_ANI INDRATI  A.Md.Kep _ SERTIFIKAT BIMTEK IPASN BerAKHLASK</v>
      </c>
      <c r="P1956" s="5" t="s">
        <v>15086</v>
      </c>
      <c r="Q1956" s="5"/>
      <c r="R1956" s="5"/>
      <c r="S1956" s="5"/>
      <c r="T1956" s="5"/>
    </row>
    <row r="1957">
      <c r="A1957" s="4">
        <v>45534.33816429398</v>
      </c>
      <c r="B1957" s="5" t="s">
        <v>34</v>
      </c>
      <c r="D1957" s="5" t="s">
        <v>1206</v>
      </c>
      <c r="E1957" s="5" t="s">
        <v>15087</v>
      </c>
      <c r="F1957" s="5" t="s">
        <v>212</v>
      </c>
      <c r="G1957" s="5" t="s">
        <v>15088</v>
      </c>
      <c r="H1957" s="6" t="s">
        <v>15089</v>
      </c>
      <c r="K1957" s="5" t="s">
        <v>14944</v>
      </c>
      <c r="M1957" s="5" t="s">
        <v>15090</v>
      </c>
      <c r="N1957" s="7" t="s">
        <v>15091</v>
      </c>
      <c r="O1957" s="8" t="str">
        <f>HYPERLINK("https://drive.google.com/file/d/1kZjyVD9Bzbo6Ps_rhM32ukSugbyKweSf/view?usp=drivesdk","1956_FENDIK DWI APRIANTO _ SERTIFIKAT BIMTEK IPASN BerAKHLASK")</f>
        <v>1956_FENDIK DWI APRIANTO _ SERTIFIKAT BIMTEK IPASN BerAKHLASK</v>
      </c>
      <c r="P1957" s="5" t="s">
        <v>15086</v>
      </c>
      <c r="Q1957" s="5"/>
      <c r="R1957" s="5"/>
      <c r="S1957" s="5"/>
      <c r="T1957" s="5"/>
    </row>
    <row r="1958">
      <c r="A1958" s="4">
        <v>45534.33816478009</v>
      </c>
      <c r="B1958" s="5" t="s">
        <v>34</v>
      </c>
      <c r="D1958" s="5" t="s">
        <v>1768</v>
      </c>
      <c r="E1958" s="5" t="s">
        <v>15092</v>
      </c>
      <c r="F1958" s="5" t="s">
        <v>524</v>
      </c>
      <c r="G1958" s="5" t="s">
        <v>15093</v>
      </c>
      <c r="H1958" s="6" t="s">
        <v>15094</v>
      </c>
      <c r="K1958" s="5" t="s">
        <v>14944</v>
      </c>
      <c r="M1958" s="5" t="s">
        <v>15095</v>
      </c>
      <c r="N1958" s="7" t="s">
        <v>15096</v>
      </c>
      <c r="O1958" s="8" t="str">
        <f>HYPERLINK("https://drive.google.com/file/d/1dypOKqujGOsksQ6TVbRc0gfq1ahXj8ry/view?usp=drivesdk","1957_ROSTIANA _ SERTIFIKAT BIMTEK IPASN BerAKHLASK")</f>
        <v>1957_ROSTIANA _ SERTIFIKAT BIMTEK IPASN BerAKHLASK</v>
      </c>
      <c r="P1958" s="5" t="s">
        <v>15086</v>
      </c>
      <c r="Q1958" s="5"/>
      <c r="R1958" s="5"/>
      <c r="S1958" s="5"/>
      <c r="T1958" s="5"/>
    </row>
    <row r="1959">
      <c r="A1959" s="4">
        <v>45534.33816658564</v>
      </c>
      <c r="B1959" s="5" t="s">
        <v>34</v>
      </c>
      <c r="D1959" s="5" t="s">
        <v>4775</v>
      </c>
      <c r="E1959" s="5" t="s">
        <v>15097</v>
      </c>
      <c r="F1959" s="5" t="s">
        <v>212</v>
      </c>
      <c r="G1959" s="5" t="s">
        <v>15098</v>
      </c>
      <c r="H1959" s="6" t="s">
        <v>15099</v>
      </c>
      <c r="K1959" s="5" t="s">
        <v>14944</v>
      </c>
      <c r="M1959" s="5" t="s">
        <v>15100</v>
      </c>
      <c r="N1959" s="7" t="s">
        <v>15101</v>
      </c>
      <c r="O1959" s="8" t="str">
        <f>HYPERLINK("https://drive.google.com/file/d/1lVrhTaeG86qQGqOYt5rdp1pR47advxbF/view?usp=drivesdk","1958_FARID MA'RUF _ SERTIFIKAT BIMTEK IPASN BerAKHLASK")</f>
        <v>1958_FARID MA'RUF _ SERTIFIKAT BIMTEK IPASN BerAKHLASK</v>
      </c>
      <c r="P1959" s="5" t="s">
        <v>15086</v>
      </c>
      <c r="Q1959" s="5"/>
      <c r="R1959" s="5"/>
      <c r="S1959" s="5"/>
      <c r="T1959" s="5"/>
    </row>
    <row r="1960">
      <c r="A1960" s="4">
        <v>45534.33818409722</v>
      </c>
      <c r="B1960" s="5" t="s">
        <v>34</v>
      </c>
      <c r="D1960" s="5" t="s">
        <v>4775</v>
      </c>
      <c r="E1960" s="5" t="s">
        <v>15102</v>
      </c>
      <c r="F1960" s="5" t="s">
        <v>212</v>
      </c>
      <c r="G1960" s="5" t="s">
        <v>15103</v>
      </c>
      <c r="H1960" s="6" t="s">
        <v>15104</v>
      </c>
      <c r="I1960" s="7" t="s">
        <v>15105</v>
      </c>
      <c r="J1960" s="8" t="str">
        <f>HYPERLINK("https://drive.google.com/file/d/1dIqpRReRrD3U13hyde1RS3UKtZqDp-6i/view?usp=drivesdk","MARIMAN. SERTIFIKAT BerAKHLAK")</f>
        <v>MARIMAN. SERTIFIKAT BerAKHLAK</v>
      </c>
      <c r="K1960" s="5" t="s">
        <v>14071</v>
      </c>
      <c r="L1960" s="5" t="s">
        <v>15106</v>
      </c>
      <c r="M1960" s="5" t="s">
        <v>15107</v>
      </c>
      <c r="N1960" s="7" t="s">
        <v>15108</v>
      </c>
      <c r="O1960" s="8" t="str">
        <f>HYPERLINK("https://drive.google.com/file/d/1fKkh6jI-IyE-PTmjLJqcv7y6qyJpIizV/view?usp=drivesdk","1959_MARIMAN. _ SERTIFIKAT BIMTEK IPASN BerAKHLASK")</f>
        <v>1959_MARIMAN. _ SERTIFIKAT BIMTEK IPASN BerAKHLASK</v>
      </c>
      <c r="P1960" s="5" t="s">
        <v>14894</v>
      </c>
      <c r="Q1960" s="5"/>
      <c r="R1960" s="5"/>
      <c r="S1960" s="5"/>
      <c r="T1960" s="5"/>
    </row>
    <row r="1961">
      <c r="A1961" s="4">
        <v>45534.338184583336</v>
      </c>
      <c r="B1961" s="5" t="s">
        <v>34</v>
      </c>
      <c r="D1961" s="5" t="s">
        <v>9020</v>
      </c>
      <c r="E1961" s="5" t="s">
        <v>15109</v>
      </c>
      <c r="F1961" s="5" t="s">
        <v>524</v>
      </c>
      <c r="G1961" s="5" t="s">
        <v>15110</v>
      </c>
      <c r="H1961" s="6" t="s">
        <v>15111</v>
      </c>
      <c r="I1961" s="7" t="s">
        <v>15112</v>
      </c>
      <c r="J1961" s="8" t="str">
        <f>HYPERLINK("https://drive.google.com/file/d/1_SmkBVNdAfNQAyX3sj4lGiIO31O7XQPz/view?usp=drivesdk","AFRIYANTI RAMBE SERTIFIKAT BerAKHLAK")</f>
        <v>AFRIYANTI RAMBE SERTIFIKAT BerAKHLAK</v>
      </c>
      <c r="K1961" s="5" t="s">
        <v>14093</v>
      </c>
      <c r="L1961" s="5" t="s">
        <v>15113</v>
      </c>
      <c r="M1961" s="5" t="s">
        <v>15114</v>
      </c>
      <c r="N1961" s="7" t="s">
        <v>15115</v>
      </c>
      <c r="O1961" s="8" t="str">
        <f>HYPERLINK("https://drive.google.com/file/d/1TSTIewsciBmeEnYg9dDel-K5uf4pv-vW/view?usp=drivesdk","1960_AFRIYANTI RAMBE _ SERTIFIKAT BIMTEK IPASN BerAKHLASK")</f>
        <v>1960_AFRIYANTI RAMBE _ SERTIFIKAT BIMTEK IPASN BerAKHLASK</v>
      </c>
      <c r="P1961" s="5" t="s">
        <v>14894</v>
      </c>
      <c r="Q1961" s="5"/>
      <c r="R1961" s="5"/>
      <c r="S1961" s="5"/>
      <c r="T1961" s="5"/>
    </row>
    <row r="1962">
      <c r="A1962" s="4">
        <v>45534.33819277778</v>
      </c>
      <c r="B1962" s="5" t="s">
        <v>34</v>
      </c>
      <c r="D1962" s="5" t="s">
        <v>996</v>
      </c>
      <c r="E1962" s="5" t="s">
        <v>15116</v>
      </c>
      <c r="F1962" s="5" t="s">
        <v>212</v>
      </c>
      <c r="G1962" s="5" t="s">
        <v>15117</v>
      </c>
      <c r="H1962" s="6" t="s">
        <v>15118</v>
      </c>
      <c r="I1962" s="7" t="s">
        <v>15119</v>
      </c>
      <c r="J1962" s="8" t="str">
        <f>HYPERLINK("https://drive.google.com/file/d/1-BiicOMAj1chFWlgvzltVllBEaZHLBIQ/view?usp=drivesdk","YUSTINAE CORE VALUE SERTIFIKAT BerAKHLAK")</f>
        <v>YUSTINAE CORE VALUE SERTIFIKAT BerAKHLAK</v>
      </c>
      <c r="K1962" s="5" t="s">
        <v>14093</v>
      </c>
      <c r="L1962" s="5" t="s">
        <v>15120</v>
      </c>
      <c r="M1962" s="5" t="s">
        <v>15121</v>
      </c>
      <c r="N1962" s="7" t="s">
        <v>15122</v>
      </c>
      <c r="O1962" s="8" t="str">
        <f>HYPERLINK("https://drive.google.com/file/d/19CZEwAoumYnulipYr6TJ6M_n3J5vwTAO/view?usp=drivesdk","1961_YUSTINAE CORE VALUE _ SERTIFIKAT BIMTEK IPASN BerAKHLASK")</f>
        <v>1961_YUSTINAE CORE VALUE _ SERTIFIKAT BIMTEK IPASN BerAKHLASK</v>
      </c>
      <c r="P1962" s="5" t="s">
        <v>15123</v>
      </c>
      <c r="Q1962" s="5"/>
      <c r="R1962" s="5"/>
      <c r="S1962" s="5"/>
      <c r="T1962" s="5"/>
    </row>
    <row r="1963">
      <c r="A1963" s="4">
        <v>45534.33819300926</v>
      </c>
      <c r="B1963" s="5" t="s">
        <v>34</v>
      </c>
      <c r="D1963" s="5" t="s">
        <v>10444</v>
      </c>
      <c r="E1963" s="5" t="s">
        <v>15124</v>
      </c>
      <c r="F1963" s="5" t="s">
        <v>37</v>
      </c>
      <c r="G1963" s="5" t="s">
        <v>15125</v>
      </c>
      <c r="H1963" s="6" t="s">
        <v>15126</v>
      </c>
      <c r="I1963" s="7" t="s">
        <v>15127</v>
      </c>
      <c r="J1963" s="8" t="str">
        <f>HYPERLINK("https://drive.google.com/file/d/1sYOQPrf1NfgvoNMfJzTOiIA-BRfDPQq1/view?usp=drivesdk","DESI DWIYANA, A.MD.KEP SERTIFIKAT BerAKHLAK")</f>
        <v>DESI DWIYANA, A.MD.KEP SERTIFIKAT BerAKHLAK</v>
      </c>
      <c r="K1963" s="5" t="s">
        <v>14093</v>
      </c>
      <c r="L1963" s="5" t="s">
        <v>15128</v>
      </c>
      <c r="M1963" s="5" t="s">
        <v>15129</v>
      </c>
      <c r="N1963" s="7" t="s">
        <v>15130</v>
      </c>
      <c r="O1963" s="8" t="str">
        <f>HYPERLINK("https://drive.google.com/file/d/1kjwtiRFZfceRqdTUOAvu6foP700WnyzN/view?usp=drivesdk","1962_DESI DWIYANA, A.MD.KEP _ SERTIFIKAT BIMTEK IPASN BerAKHLASK")</f>
        <v>1962_DESI DWIYANA, A.MD.KEP _ SERTIFIKAT BIMTEK IPASN BerAKHLASK</v>
      </c>
      <c r="P1963" s="5" t="s">
        <v>15123</v>
      </c>
      <c r="Q1963" s="5"/>
      <c r="R1963" s="5"/>
      <c r="S1963" s="5"/>
      <c r="T1963" s="5"/>
    </row>
    <row r="1964">
      <c r="A1964" s="4">
        <v>45534.33819739583</v>
      </c>
      <c r="B1964" s="5" t="s">
        <v>34</v>
      </c>
      <c r="D1964" s="5" t="s">
        <v>1206</v>
      </c>
      <c r="E1964" s="5" t="s">
        <v>15131</v>
      </c>
      <c r="F1964" s="5" t="s">
        <v>212</v>
      </c>
      <c r="G1964" s="5" t="s">
        <v>15132</v>
      </c>
      <c r="H1964" s="6" t="s">
        <v>15133</v>
      </c>
      <c r="I1964" s="7" t="s">
        <v>15134</v>
      </c>
      <c r="J1964" s="8" t="str">
        <f>HYPERLINK("https://drive.google.com/file/d/1-V0VKfr2iN4knEmOhS6Sb7p8FUfkBcMb/view?usp=drivesdk","BUDIONO SERTIFIKAT BerAKHLAK")</f>
        <v>BUDIONO SERTIFIKAT BerAKHLAK</v>
      </c>
      <c r="K1964" s="5" t="s">
        <v>14093</v>
      </c>
      <c r="L1964" s="5" t="s">
        <v>15135</v>
      </c>
      <c r="M1964" s="5" t="s">
        <v>15136</v>
      </c>
      <c r="N1964" s="7" t="s">
        <v>15137</v>
      </c>
      <c r="O1964" s="8" t="str">
        <f>HYPERLINK("https://drive.google.com/file/d/1JNes-ye_wovdVQu9j4sj6bbgNTtnQ92i/view?usp=drivesdk","1963_BUDIONO _ SERTIFIKAT BIMTEK IPASN BerAKHLASK")</f>
        <v>1963_BUDIONO _ SERTIFIKAT BIMTEK IPASN BerAKHLASK</v>
      </c>
      <c r="P1964" s="5" t="s">
        <v>15123</v>
      </c>
      <c r="Q1964" s="5"/>
      <c r="R1964" s="5"/>
      <c r="S1964" s="5"/>
      <c r="T1964" s="5"/>
    </row>
    <row r="1965" hidden="1">
      <c r="A1965" s="4">
        <v>45534.338199143516</v>
      </c>
      <c r="B1965" s="5" t="s">
        <v>19</v>
      </c>
      <c r="C1965" s="5" t="s">
        <v>292</v>
      </c>
      <c r="E1965" s="5" t="s">
        <v>15138</v>
      </c>
      <c r="F1965" s="5" t="s">
        <v>375</v>
      </c>
      <c r="G1965" s="5" t="s">
        <v>15139</v>
      </c>
      <c r="H1965" s="6" t="s">
        <v>15140</v>
      </c>
      <c r="I1965" s="7" t="s">
        <v>15141</v>
      </c>
      <c r="J1965" s="8" t="str">
        <f>HYPERLINK("https://drive.google.com/file/d/17BVJQ1CkeqswOevZ3QPVQNhmeUM5EEwj/view?usp=drivesdk","TITUK SRI HARTATI, S. Pd.  SERTIFIKAT BerAKHLAK")</f>
        <v>TITUK SRI HARTATI, S. Pd.  SERTIFIKAT BerAKHLAK</v>
      </c>
      <c r="K1965" s="5" t="s">
        <v>14944</v>
      </c>
      <c r="L1965" s="5" t="s">
        <v>15142</v>
      </c>
      <c r="M1965" s="5" t="s">
        <v>15143</v>
      </c>
      <c r="N1965" s="7" t="s">
        <v>15144</v>
      </c>
      <c r="O1965" s="8" t="str">
        <f>HYPERLINK("https://drive.google.com/file/d/1h6qcuDFACIEZ0fBS6ZlBI6gyOYWUSZ1Y/view?usp=drivesdk","1964_TITUK SRI HARTATI, S. Pd.  _ SERTIFIKAT BIMTEK IPASN BerAKHLASK")</f>
        <v>1964_TITUK SRI HARTATI, S. Pd.  _ SERTIFIKAT BIMTEK IPASN BerAKHLASK</v>
      </c>
      <c r="P1965" s="5" t="s">
        <v>15123</v>
      </c>
      <c r="Q1965" s="5"/>
      <c r="R1965" s="5"/>
      <c r="S1965" s="5"/>
      <c r="T1965" s="5"/>
    </row>
    <row r="1966">
      <c r="A1966" s="4">
        <v>45534.3382069213</v>
      </c>
      <c r="B1966" s="5" t="s">
        <v>34</v>
      </c>
      <c r="D1966" s="5" t="s">
        <v>996</v>
      </c>
      <c r="E1966" s="5" t="s">
        <v>15145</v>
      </c>
      <c r="F1966" s="5" t="s">
        <v>212</v>
      </c>
      <c r="G1966" s="5" t="s">
        <v>15146</v>
      </c>
      <c r="H1966" s="6" t="s">
        <v>15147</v>
      </c>
      <c r="I1966" s="7" t="s">
        <v>15148</v>
      </c>
      <c r="J1966" s="8" t="str">
        <f>HYPERLINK("https://drive.google.com/file/d/1sLzLsupGpFOheycXmxTETC30bGludMWz/view?usp=drivesdk","HARIYANI SERTIFIKAT BerAKHLAK")</f>
        <v>HARIYANI SERTIFIKAT BerAKHLAK</v>
      </c>
      <c r="K1966" s="5" t="s">
        <v>14944</v>
      </c>
      <c r="L1966" s="5" t="s">
        <v>15149</v>
      </c>
      <c r="M1966" s="5" t="s">
        <v>15150</v>
      </c>
      <c r="N1966" s="7" t="s">
        <v>15151</v>
      </c>
      <c r="O1966" s="8" t="str">
        <f>HYPERLINK("https://drive.google.com/file/d/1GxyHYG8jkuwdJj4BrxLCeI1ytz8mKj5C/view?usp=drivesdk","1965_HARIYANI _ SERTIFIKAT BIMTEK IPASN BerAKHLASK")</f>
        <v>1965_HARIYANI _ SERTIFIKAT BIMTEK IPASN BerAKHLASK</v>
      </c>
      <c r="P1966" s="5" t="s">
        <v>15123</v>
      </c>
      <c r="Q1966" s="5"/>
      <c r="R1966" s="5"/>
      <c r="S1966" s="5"/>
      <c r="T1966" s="5"/>
    </row>
    <row r="1967">
      <c r="A1967" s="4">
        <v>45534.33820599537</v>
      </c>
      <c r="B1967" s="5" t="s">
        <v>34</v>
      </c>
      <c r="D1967" s="5" t="s">
        <v>580</v>
      </c>
      <c r="E1967" s="5" t="s">
        <v>15152</v>
      </c>
      <c r="F1967" s="5" t="s">
        <v>72</v>
      </c>
      <c r="G1967" s="5" t="s">
        <v>15153</v>
      </c>
      <c r="H1967" s="6" t="s">
        <v>15154</v>
      </c>
      <c r="I1967" s="7" t="s">
        <v>15155</v>
      </c>
      <c r="J1967" s="8" t="str">
        <f>HYPERLINK("https://drive.google.com/file/d/1QXt8t-UIubJrHo-7Zqn-5NfAfY16-Tgf/view?usp=drivesdk","PUTU SAYANG SARIYATI, A.Md.Kes SERTIFIKAT BerAKHLAK")</f>
        <v>PUTU SAYANG SARIYATI, A.Md.Kes SERTIFIKAT BerAKHLAK</v>
      </c>
      <c r="K1967" s="5" t="s">
        <v>14944</v>
      </c>
      <c r="L1967" s="5" t="s">
        <v>15156</v>
      </c>
      <c r="M1967" s="5" t="s">
        <v>15157</v>
      </c>
      <c r="N1967" s="7" t="s">
        <v>15158</v>
      </c>
      <c r="O1967" s="8" t="str">
        <f>HYPERLINK("https://drive.google.com/file/d/1oYklfRTEz5Nhx55c9pTq5yxt26PWF8dP/view?usp=drivesdk","1966_PUTU SAYANG SARIYATI, A.Md.Kes _ SERTIFIKAT BIMTEK IPASN BerAKHLASK")</f>
        <v>1966_PUTU SAYANG SARIYATI, A.Md.Kes _ SERTIFIKAT BIMTEK IPASN BerAKHLASK</v>
      </c>
      <c r="P1967" s="5" t="s">
        <v>15123</v>
      </c>
      <c r="Q1967" s="5"/>
      <c r="R1967" s="5"/>
      <c r="S1967" s="5"/>
      <c r="T1967" s="5"/>
    </row>
    <row r="1968" hidden="1">
      <c r="A1968" s="4">
        <v>45534.3382160301</v>
      </c>
      <c r="B1968" s="5" t="s">
        <v>19</v>
      </c>
      <c r="C1968" s="5" t="s">
        <v>292</v>
      </c>
      <c r="E1968" s="5" t="s">
        <v>15159</v>
      </c>
      <c r="F1968" s="5" t="s">
        <v>72</v>
      </c>
      <c r="G1968" s="5" t="s">
        <v>15160</v>
      </c>
      <c r="H1968" s="6" t="s">
        <v>15161</v>
      </c>
      <c r="I1968" s="7" t="s">
        <v>15162</v>
      </c>
      <c r="J1968" s="8" t="str">
        <f>HYPERLINK("https://drive.google.com/file/d/1Dd4AwfsnZ1MOLmclR6gGHK_U73FglBWu/view?usp=drivesdk","TRI SANTOSO, S.Pd SERTIFIKAT BerAKHLAK")</f>
        <v>TRI SANTOSO, S.Pd SERTIFIKAT BerAKHLAK</v>
      </c>
      <c r="K1968" s="5" t="s">
        <v>14913</v>
      </c>
      <c r="L1968" s="5" t="s">
        <v>15163</v>
      </c>
      <c r="M1968" s="5" t="s">
        <v>15164</v>
      </c>
      <c r="N1968" s="7" t="s">
        <v>15165</v>
      </c>
      <c r="O1968" s="8" t="str">
        <f>HYPERLINK("https://drive.google.com/file/d/1vV4U7NvUsv7p2FhDIrSFA1n6LiTRaORC/view?usp=drivesdk","1967_TRI SANTOSO, S.Pd _ SERTIFIKAT BIMTEK IPASN BerAKHLASK")</f>
        <v>1967_TRI SANTOSO, S.Pd _ SERTIFIKAT BIMTEK IPASN BerAKHLASK</v>
      </c>
      <c r="P1968" s="5" t="s">
        <v>15166</v>
      </c>
      <c r="Q1968" s="5"/>
      <c r="R1968" s="5"/>
      <c r="S1968" s="5"/>
      <c r="T1968" s="5"/>
    </row>
    <row r="1969">
      <c r="A1969" s="4">
        <v>45534.33821670139</v>
      </c>
      <c r="B1969" s="5" t="s">
        <v>34</v>
      </c>
      <c r="D1969" s="5" t="s">
        <v>35</v>
      </c>
      <c r="E1969" s="5" t="s">
        <v>15167</v>
      </c>
      <c r="F1969" s="5" t="s">
        <v>212</v>
      </c>
      <c r="G1969" s="5" t="s">
        <v>15168</v>
      </c>
      <c r="H1969" s="6" t="s">
        <v>15169</v>
      </c>
      <c r="I1969" s="7" t="s">
        <v>15170</v>
      </c>
      <c r="J1969" s="8" t="str">
        <f>HYPERLINK("https://drive.google.com/file/d/1xaqbv_42___t9S4tPYKkI85KRvZ_da9W/view?usp=drivesdk","IMRON MADHARI SERTIFIKAT BerAKHLAK")</f>
        <v>IMRON MADHARI SERTIFIKAT BerAKHLAK</v>
      </c>
      <c r="K1969" s="5" t="s">
        <v>14913</v>
      </c>
      <c r="L1969" s="5" t="s">
        <v>15171</v>
      </c>
      <c r="M1969" s="5" t="s">
        <v>15172</v>
      </c>
      <c r="N1969" s="7" t="s">
        <v>15173</v>
      </c>
      <c r="O1969" s="8" t="str">
        <f>HYPERLINK("https://drive.google.com/file/d/1znQhyg5SIjKLjDx7t26gvjwLYUJc9xl7/view?usp=drivesdk","1968_IMRON MADHARI _ SERTIFIKAT BIMTEK IPASN BerAKHLASK")</f>
        <v>1968_IMRON MADHARI _ SERTIFIKAT BIMTEK IPASN BerAKHLASK</v>
      </c>
      <c r="P1969" s="5" t="s">
        <v>15166</v>
      </c>
      <c r="Q1969" s="5"/>
      <c r="R1969" s="5"/>
      <c r="S1969" s="5"/>
      <c r="T1969" s="5"/>
    </row>
    <row r="1970">
      <c r="A1970" s="4">
        <v>45534.33822289352</v>
      </c>
      <c r="B1970" s="5" t="s">
        <v>34</v>
      </c>
      <c r="D1970" s="5" t="s">
        <v>35</v>
      </c>
      <c r="E1970" s="5" t="s">
        <v>15174</v>
      </c>
      <c r="F1970" s="5" t="s">
        <v>37</v>
      </c>
      <c r="G1970" s="5" t="s">
        <v>15175</v>
      </c>
      <c r="H1970" s="6" t="s">
        <v>15176</v>
      </c>
      <c r="I1970" s="7" t="s">
        <v>15177</v>
      </c>
      <c r="J1970" s="8" t="str">
        <f>HYPERLINK("https://drive.google.com/file/d/1WUJCWC9uhuQso_tc5phimIWqcGLixY1u/view?usp=drivesdk","AGUNG WIJAYA SERTIFIKAT BerAKHLAK")</f>
        <v>AGUNG WIJAYA SERTIFIKAT BerAKHLAK</v>
      </c>
      <c r="K1970" s="5" t="s">
        <v>14929</v>
      </c>
      <c r="L1970" s="5" t="s">
        <v>15178</v>
      </c>
      <c r="M1970" s="5" t="s">
        <v>15179</v>
      </c>
      <c r="N1970" s="7" t="s">
        <v>15180</v>
      </c>
      <c r="O1970" s="8" t="str">
        <f>HYPERLINK("https://drive.google.com/file/d/1vK_0Lecx_bRgi3otcXAN_ZElN-cI4d5y/view?usp=drivesdk","1969_AGUNG WIJAYA _ SERTIFIKAT BIMTEK IPASN BerAKHLASK")</f>
        <v>1969_AGUNG WIJAYA _ SERTIFIKAT BIMTEK IPASN BerAKHLASK</v>
      </c>
      <c r="P1970" s="5" t="s">
        <v>15166</v>
      </c>
      <c r="Q1970" s="5"/>
      <c r="R1970" s="5"/>
      <c r="S1970" s="5"/>
      <c r="T1970" s="5"/>
    </row>
    <row r="1971">
      <c r="A1971" s="4">
        <v>45534.338227939814</v>
      </c>
      <c r="B1971" s="5" t="s">
        <v>34</v>
      </c>
      <c r="D1971" s="5" t="s">
        <v>1206</v>
      </c>
      <c r="E1971" s="5" t="s">
        <v>15181</v>
      </c>
      <c r="F1971" s="5" t="s">
        <v>212</v>
      </c>
      <c r="G1971" s="5" t="s">
        <v>15182</v>
      </c>
      <c r="H1971" s="6" t="s">
        <v>15183</v>
      </c>
      <c r="K1971" s="5" t="s">
        <v>14944</v>
      </c>
      <c r="M1971" s="5" t="s">
        <v>15184</v>
      </c>
      <c r="N1971" s="7" t="s">
        <v>15185</v>
      </c>
      <c r="O1971" s="8" t="str">
        <f>HYPERLINK("https://drive.google.com/file/d/1liGrBbA4rKzI-eo2tHQBs4VLk85g0zkr/view?usp=drivesdk","1970_WELLY SAMBIYONO _ SERTIFIKAT BIMTEK IPASN BerAKHLASK")</f>
        <v>1970_WELLY SAMBIYONO _ SERTIFIKAT BIMTEK IPASN BerAKHLASK</v>
      </c>
      <c r="P1971" s="5" t="s">
        <v>15166</v>
      </c>
      <c r="Q1971" s="5"/>
      <c r="R1971" s="5"/>
      <c r="S1971" s="5"/>
      <c r="T1971" s="5"/>
    </row>
    <row r="1972">
      <c r="A1972" s="4">
        <v>45534.33822909722</v>
      </c>
      <c r="B1972" s="5" t="s">
        <v>34</v>
      </c>
      <c r="D1972" s="5" t="s">
        <v>1206</v>
      </c>
      <c r="E1972" s="5" t="s">
        <v>15186</v>
      </c>
      <c r="F1972" s="5" t="s">
        <v>212</v>
      </c>
      <c r="G1972" s="5" t="s">
        <v>15187</v>
      </c>
      <c r="H1972" s="6" t="s">
        <v>15188</v>
      </c>
      <c r="K1972" s="5" t="s">
        <v>14944</v>
      </c>
      <c r="M1972" s="5" t="s">
        <v>15189</v>
      </c>
      <c r="N1972" s="7" t="s">
        <v>15190</v>
      </c>
      <c r="O1972" s="8" t="str">
        <f>HYPERLINK("https://drive.google.com/file/d/1F2KyqGy_I15T0OG3mjDOffv4KW6ELwfJ/view?usp=drivesdk","1971_ANDIK PRASTIO _ SERTIFIKAT BIMTEK IPASN BerAKHLASK")</f>
        <v>1971_ANDIK PRASTIO _ SERTIFIKAT BIMTEK IPASN BerAKHLASK</v>
      </c>
      <c r="P1972" s="5" t="s">
        <v>15166</v>
      </c>
      <c r="Q1972" s="5"/>
      <c r="R1972" s="5"/>
      <c r="S1972" s="5"/>
      <c r="T1972" s="5"/>
    </row>
    <row r="1973">
      <c r="A1973" s="4">
        <v>45534.33822881944</v>
      </c>
      <c r="B1973" s="5" t="s">
        <v>34</v>
      </c>
      <c r="D1973" s="5" t="s">
        <v>4775</v>
      </c>
      <c r="E1973" s="5" t="s">
        <v>15191</v>
      </c>
      <c r="F1973" s="5" t="s">
        <v>37</v>
      </c>
      <c r="G1973" s="5" t="s">
        <v>15192</v>
      </c>
      <c r="H1973" s="6" t="s">
        <v>15193</v>
      </c>
      <c r="K1973" s="5" t="s">
        <v>14944</v>
      </c>
      <c r="M1973" s="5" t="s">
        <v>15194</v>
      </c>
      <c r="N1973" s="7" t="s">
        <v>15195</v>
      </c>
      <c r="O1973" s="8" t="str">
        <f>HYPERLINK("https://drive.google.com/file/d/1EBxmDZr_sEk7_yfBDx8wJjq4A2x82uL6/view?usp=drivesdk","1972_SUSMIYATUN _ SERTIFIKAT BIMTEK IPASN BerAKHLASK")</f>
        <v>1972_SUSMIYATUN _ SERTIFIKAT BIMTEK IPASN BerAKHLASK</v>
      </c>
      <c r="P1973" s="5" t="s">
        <v>15196</v>
      </c>
      <c r="Q1973" s="5"/>
      <c r="R1973" s="5"/>
      <c r="S1973" s="5"/>
      <c r="T1973" s="5"/>
    </row>
    <row r="1974">
      <c r="A1974" s="4">
        <v>45534.33822949074</v>
      </c>
      <c r="B1974" s="5" t="s">
        <v>34</v>
      </c>
      <c r="D1974" s="5" t="s">
        <v>280</v>
      </c>
      <c r="E1974" s="5" t="s">
        <v>15197</v>
      </c>
      <c r="F1974" s="5" t="s">
        <v>212</v>
      </c>
      <c r="G1974" s="5" t="s">
        <v>15198</v>
      </c>
      <c r="H1974" s="6" t="s">
        <v>15199</v>
      </c>
      <c r="K1974" s="5" t="s">
        <v>14944</v>
      </c>
      <c r="M1974" s="5" t="s">
        <v>15200</v>
      </c>
      <c r="N1974" s="7" t="s">
        <v>15201</v>
      </c>
      <c r="O1974" s="8" t="str">
        <f>HYPERLINK("https://drive.google.com/file/d/1MMvRr99ZGXsy2VM_RVysrdmY_GgSXJUI/view?usp=drivesdk","1973_ELVI MARLIZA _ SERTIFIKAT BIMTEK IPASN BerAKHLASK")</f>
        <v>1973_ELVI MARLIZA _ SERTIFIKAT BIMTEK IPASN BerAKHLASK</v>
      </c>
      <c r="P1974" s="5" t="s">
        <v>15196</v>
      </c>
      <c r="Q1974" s="5"/>
      <c r="R1974" s="5"/>
      <c r="S1974" s="5"/>
      <c r="T1974" s="5"/>
    </row>
    <row r="1975">
      <c r="A1975" s="4">
        <v>45534.338229560184</v>
      </c>
      <c r="B1975" s="5" t="s">
        <v>34</v>
      </c>
      <c r="D1975" s="5" t="s">
        <v>4775</v>
      </c>
      <c r="E1975" s="5" t="s">
        <v>15202</v>
      </c>
      <c r="F1975" s="5" t="s">
        <v>212</v>
      </c>
      <c r="G1975" s="5" t="s">
        <v>15203</v>
      </c>
      <c r="H1975" s="6" t="s">
        <v>15204</v>
      </c>
      <c r="K1975" s="5" t="s">
        <v>14944</v>
      </c>
      <c r="M1975" s="5" t="s">
        <v>15205</v>
      </c>
      <c r="N1975" s="7" t="s">
        <v>15206</v>
      </c>
      <c r="O1975" s="8" t="str">
        <f>HYPERLINK("https://drive.google.com/file/d/1qVxJcSEtoVOtLsv06glYnxvPUQBBu9hN/view?usp=drivesdk","1974_SUWARTO, S.E. _ SERTIFIKAT BIMTEK IPASN BerAKHLASK")</f>
        <v>1974_SUWARTO, S.E. _ SERTIFIKAT BIMTEK IPASN BerAKHLASK</v>
      </c>
      <c r="P1975" s="5" t="s">
        <v>15196</v>
      </c>
      <c r="Q1975" s="5"/>
      <c r="R1975" s="5"/>
      <c r="S1975" s="5"/>
      <c r="T1975" s="5"/>
    </row>
    <row r="1976">
      <c r="A1976" s="4">
        <v>45534.33823340278</v>
      </c>
      <c r="B1976" s="5" t="s">
        <v>34</v>
      </c>
      <c r="D1976" s="5" t="s">
        <v>35</v>
      </c>
      <c r="E1976" s="5" t="s">
        <v>15207</v>
      </c>
      <c r="F1976" s="5" t="s">
        <v>37</v>
      </c>
      <c r="G1976" s="5" t="s">
        <v>15208</v>
      </c>
      <c r="H1976" s="6" t="s">
        <v>15209</v>
      </c>
      <c r="K1976" s="5" t="s">
        <v>14944</v>
      </c>
      <c r="M1976" s="5" t="s">
        <v>15210</v>
      </c>
      <c r="N1976" s="7" t="s">
        <v>15211</v>
      </c>
      <c r="O1976" s="8" t="str">
        <f>HYPERLINK("https://drive.google.com/file/d/1Pa5rjE6T8SLleGBOt5kJ4kdv-D_n7mH4/view?usp=drivesdk","1975_PEBGATUR RAHMIATI _ SERTIFIKAT BIMTEK IPASN BerAKHLASK")</f>
        <v>1975_PEBGATUR RAHMIATI _ SERTIFIKAT BIMTEK IPASN BerAKHLASK</v>
      </c>
      <c r="P1976" s="5" t="s">
        <v>15196</v>
      </c>
      <c r="Q1976" s="5"/>
      <c r="R1976" s="5"/>
      <c r="S1976" s="5"/>
      <c r="T1976" s="5"/>
    </row>
    <row r="1977">
      <c r="A1977" s="4">
        <v>45534.33823908565</v>
      </c>
      <c r="B1977" s="5" t="s">
        <v>34</v>
      </c>
      <c r="D1977" s="5" t="s">
        <v>12010</v>
      </c>
      <c r="E1977" s="5" t="s">
        <v>15212</v>
      </c>
      <c r="F1977" s="5" t="s">
        <v>212</v>
      </c>
      <c r="G1977" s="5" t="s">
        <v>15213</v>
      </c>
      <c r="H1977" s="6" t="s">
        <v>15214</v>
      </c>
      <c r="K1977" s="5" t="s">
        <v>14944</v>
      </c>
      <c r="M1977" s="5" t="s">
        <v>15215</v>
      </c>
      <c r="N1977" s="7" t="s">
        <v>15216</v>
      </c>
      <c r="O1977" s="8" t="str">
        <f>HYPERLINK("https://drive.google.com/file/d/1-uhM5tEwnE-l8hG4tkdbTnejDnqH0WRZ/view?usp=drivesdk","1976_ROSMALA DEWI DAWANGGI _ SERTIFIKAT BIMTEK IPASN BerAKHLASK")</f>
        <v>1976_ROSMALA DEWI DAWANGGI _ SERTIFIKAT BIMTEK IPASN BerAKHLASK</v>
      </c>
      <c r="P1977" s="5" t="s">
        <v>15196</v>
      </c>
      <c r="Q1977" s="5"/>
      <c r="R1977" s="5"/>
      <c r="S1977" s="5"/>
      <c r="T1977" s="5"/>
    </row>
    <row r="1978">
      <c r="A1978" s="4">
        <v>45534.338239537035</v>
      </c>
      <c r="B1978" s="5" t="s">
        <v>34</v>
      </c>
      <c r="D1978" s="5" t="s">
        <v>4775</v>
      </c>
      <c r="E1978" s="5" t="s">
        <v>15217</v>
      </c>
      <c r="F1978" s="5" t="s">
        <v>108</v>
      </c>
      <c r="G1978" s="5" t="s">
        <v>15218</v>
      </c>
      <c r="H1978" s="6" t="s">
        <v>15219</v>
      </c>
      <c r="K1978" s="5" t="s">
        <v>14944</v>
      </c>
      <c r="M1978" s="5" t="s">
        <v>15220</v>
      </c>
      <c r="N1978" s="7" t="s">
        <v>15221</v>
      </c>
      <c r="O1978" s="8" t="str">
        <f>HYPERLINK("https://drive.google.com/file/d/1ssBJ7IU3V82e80KP_h84zc4KsCNF2_e1/view?usp=drivesdk","1977_SRI HARTATI _ SERTIFIKAT BIMTEK IPASN BerAKHLASK")</f>
        <v>1977_SRI HARTATI _ SERTIFIKAT BIMTEK IPASN BerAKHLASK</v>
      </c>
      <c r="P1978" s="5" t="s">
        <v>15222</v>
      </c>
      <c r="Q1978" s="5"/>
      <c r="R1978" s="5"/>
      <c r="S1978" s="5"/>
      <c r="T1978" s="5"/>
    </row>
    <row r="1979">
      <c r="A1979" s="4">
        <v>45534.33823984954</v>
      </c>
      <c r="B1979" s="5" t="s">
        <v>34</v>
      </c>
      <c r="D1979" s="5" t="s">
        <v>1206</v>
      </c>
      <c r="E1979" s="5" t="s">
        <v>15223</v>
      </c>
      <c r="F1979" s="5" t="s">
        <v>37</v>
      </c>
      <c r="G1979" s="5" t="s">
        <v>15224</v>
      </c>
      <c r="H1979" s="6" t="s">
        <v>15225</v>
      </c>
      <c r="K1979" s="5" t="s">
        <v>14944</v>
      </c>
      <c r="M1979" s="5" t="s">
        <v>15226</v>
      </c>
      <c r="N1979" s="7" t="s">
        <v>15227</v>
      </c>
      <c r="O1979" s="8" t="str">
        <f>HYPERLINK("https://drive.google.com/file/d/1EOJ6FOIpz2rKE4aGj3W8G-7kUCdvFy5P/view?usp=drivesdk","1978_LINA RIA SIAHAAN _ SERTIFIKAT BIMTEK IPASN BerAKHLASK")</f>
        <v>1978_LINA RIA SIAHAAN _ SERTIFIKAT BIMTEK IPASN BerAKHLASK</v>
      </c>
      <c r="P1979" s="5" t="s">
        <v>15222</v>
      </c>
      <c r="Q1979" s="5"/>
      <c r="R1979" s="5"/>
      <c r="S1979" s="5"/>
      <c r="T1979" s="5"/>
    </row>
    <row r="1980">
      <c r="A1980" s="4">
        <v>45534.338242303245</v>
      </c>
      <c r="B1980" s="5" t="s">
        <v>34</v>
      </c>
      <c r="D1980" s="5" t="s">
        <v>1206</v>
      </c>
      <c r="E1980" s="5" t="s">
        <v>15228</v>
      </c>
      <c r="F1980" s="5" t="s">
        <v>375</v>
      </c>
      <c r="G1980" s="5" t="s">
        <v>15229</v>
      </c>
      <c r="H1980" s="6" t="s">
        <v>15230</v>
      </c>
      <c r="K1980" s="5" t="s">
        <v>14944</v>
      </c>
      <c r="M1980" s="5" t="s">
        <v>15231</v>
      </c>
      <c r="N1980" s="7" t="s">
        <v>15232</v>
      </c>
      <c r="O1980" s="8" t="str">
        <f>HYPERLINK("https://drive.google.com/file/d/1BjzK_TFsqmkuL9GG8HFhJYzvQns0t7D4/view?usp=drivesdk","1979_SITI BUDI LESTARI,S.H. _ SERTIFIKAT BIMTEK IPASN BerAKHLASK")</f>
        <v>1979_SITI BUDI LESTARI,S.H. _ SERTIFIKAT BIMTEK IPASN BerAKHLASK</v>
      </c>
      <c r="P1980" s="5" t="s">
        <v>15222</v>
      </c>
      <c r="Q1980" s="5"/>
      <c r="R1980" s="5"/>
      <c r="S1980" s="5"/>
      <c r="T1980" s="5"/>
    </row>
    <row r="1981">
      <c r="A1981" s="4">
        <v>45534.33824546296</v>
      </c>
      <c r="B1981" s="5" t="s">
        <v>34</v>
      </c>
      <c r="D1981" s="5" t="s">
        <v>35</v>
      </c>
      <c r="E1981" s="5" t="s">
        <v>15233</v>
      </c>
      <c r="F1981" s="5" t="s">
        <v>212</v>
      </c>
      <c r="G1981" s="5" t="s">
        <v>15234</v>
      </c>
      <c r="H1981" s="6" t="s">
        <v>15235</v>
      </c>
      <c r="K1981" s="5" t="s">
        <v>14944</v>
      </c>
      <c r="M1981" s="5" t="s">
        <v>15236</v>
      </c>
      <c r="N1981" s="7" t="s">
        <v>15237</v>
      </c>
      <c r="O1981" s="8" t="str">
        <f>HYPERLINK("https://drive.google.com/file/d/1I2WE98u32p029G2pQYePzYhKAFmwOiwJ/view?usp=drivesdk","1980_NANI SURANI _ SERTIFIKAT BIMTEK IPASN BerAKHLASK")</f>
        <v>1980_NANI SURANI _ SERTIFIKAT BIMTEK IPASN BerAKHLASK</v>
      </c>
      <c r="P1981" s="5" t="s">
        <v>15222</v>
      </c>
      <c r="Q1981" s="5"/>
      <c r="R1981" s="5"/>
      <c r="S1981" s="5"/>
      <c r="T1981" s="5"/>
    </row>
    <row r="1982">
      <c r="A1982" s="4">
        <v>45534.33824642361</v>
      </c>
      <c r="B1982" s="5" t="s">
        <v>34</v>
      </c>
      <c r="D1982" s="5" t="s">
        <v>522</v>
      </c>
      <c r="E1982" s="5" t="s">
        <v>15238</v>
      </c>
      <c r="F1982" s="5" t="s">
        <v>37</v>
      </c>
      <c r="G1982" s="5" t="s">
        <v>15239</v>
      </c>
      <c r="H1982" s="6" t="s">
        <v>15240</v>
      </c>
      <c r="K1982" s="5" t="s">
        <v>14944</v>
      </c>
      <c r="M1982" s="5" t="s">
        <v>15241</v>
      </c>
      <c r="N1982" s="7" t="s">
        <v>15242</v>
      </c>
      <c r="O1982" s="8" t="str">
        <f>HYPERLINK("https://drive.google.com/file/d/1NWCbPFVPy-IbvbjJN0MGigUiHAAFmfXF/view?usp=drivesdk","1981_SITI FATIMAH  _ SERTIFIKAT BIMTEK IPASN BerAKHLASK")</f>
        <v>1981_SITI FATIMAH  _ SERTIFIKAT BIMTEK IPASN BerAKHLASK</v>
      </c>
      <c r="P1982" s="5" t="s">
        <v>15222</v>
      </c>
      <c r="Q1982" s="5"/>
      <c r="R1982" s="5"/>
      <c r="S1982" s="5"/>
      <c r="T1982" s="5"/>
    </row>
    <row r="1983">
      <c r="A1983" s="4">
        <v>45534.33824667824</v>
      </c>
      <c r="B1983" s="5" t="s">
        <v>34</v>
      </c>
      <c r="D1983" s="5" t="s">
        <v>4775</v>
      </c>
      <c r="E1983" s="5" t="s">
        <v>15243</v>
      </c>
      <c r="F1983" s="5" t="s">
        <v>212</v>
      </c>
      <c r="G1983" s="5" t="s">
        <v>15244</v>
      </c>
      <c r="H1983" s="6" t="s">
        <v>15245</v>
      </c>
      <c r="K1983" s="5" t="s">
        <v>14944</v>
      </c>
      <c r="M1983" s="5" t="s">
        <v>15246</v>
      </c>
      <c r="N1983" s="7" t="s">
        <v>15247</v>
      </c>
      <c r="O1983" s="8" t="str">
        <f>HYPERLINK("https://drive.google.com/file/d/1KdUZ6XU1cCaewwJjWUQrKWLW6JDW4uBJ/view?usp=drivesdk","1982_EDI WARSITO _ SERTIFIKAT BIMTEK IPASN BerAKHLASK")</f>
        <v>1982_EDI WARSITO _ SERTIFIKAT BIMTEK IPASN BerAKHLASK</v>
      </c>
      <c r="P1983" s="5" t="s">
        <v>15248</v>
      </c>
      <c r="Q1983" s="5"/>
      <c r="R1983" s="5"/>
      <c r="S1983" s="5"/>
      <c r="T1983" s="5"/>
    </row>
    <row r="1984">
      <c r="A1984" s="4">
        <v>45534.33824766203</v>
      </c>
      <c r="B1984" s="5" t="s">
        <v>34</v>
      </c>
      <c r="D1984" s="5" t="s">
        <v>10444</v>
      </c>
      <c r="E1984" s="5" t="s">
        <v>15249</v>
      </c>
      <c r="F1984" s="5" t="s">
        <v>37</v>
      </c>
      <c r="G1984" s="5" t="s">
        <v>15250</v>
      </c>
      <c r="H1984" s="6" t="s">
        <v>15251</v>
      </c>
      <c r="K1984" s="5" t="s">
        <v>14944</v>
      </c>
      <c r="M1984" s="5" t="s">
        <v>15252</v>
      </c>
      <c r="N1984" s="7" t="s">
        <v>15253</v>
      </c>
      <c r="O1984" s="8" t="str">
        <f>HYPERLINK("https://drive.google.com/file/d/1cU6me1ErH4ahUl7yyEPXQK3i3QPZEdKQ/view?usp=drivesdk","1983_FARAH AURELA, A.Md.Kom _ SERTIFIKAT BIMTEK IPASN BerAKHLASK")</f>
        <v>1983_FARAH AURELA, A.Md.Kom _ SERTIFIKAT BIMTEK IPASN BerAKHLASK</v>
      </c>
      <c r="P1984" s="5" t="s">
        <v>15248</v>
      </c>
      <c r="Q1984" s="5"/>
      <c r="R1984" s="5"/>
      <c r="S1984" s="5"/>
      <c r="T1984" s="5"/>
    </row>
    <row r="1985">
      <c r="A1985" s="4">
        <v>45534.33824885417</v>
      </c>
      <c r="B1985" s="5" t="s">
        <v>34</v>
      </c>
      <c r="D1985" s="5" t="s">
        <v>280</v>
      </c>
      <c r="E1985" s="5" t="s">
        <v>15254</v>
      </c>
      <c r="F1985" s="5" t="s">
        <v>212</v>
      </c>
      <c r="G1985" s="5" t="s">
        <v>15255</v>
      </c>
      <c r="H1985" s="6" t="s">
        <v>15256</v>
      </c>
      <c r="K1985" s="5" t="s">
        <v>14944</v>
      </c>
      <c r="M1985" s="5" t="s">
        <v>15257</v>
      </c>
      <c r="N1985" s="7" t="s">
        <v>15258</v>
      </c>
      <c r="O1985" s="8" t="str">
        <f>HYPERLINK("https://drive.google.com/file/d/1Fa-597pjVEztvowZvu9Btf3rxUHbESok/view?usp=drivesdk","1984_HEKSA WANTO SIHALOHO AMD.AK _ SERTIFIKAT BIMTEK IPASN BerAKHLASK")</f>
        <v>1984_HEKSA WANTO SIHALOHO AMD.AK _ SERTIFIKAT BIMTEK IPASN BerAKHLASK</v>
      </c>
      <c r="P1985" s="5" t="s">
        <v>15248</v>
      </c>
      <c r="Q1985" s="5"/>
      <c r="R1985" s="5"/>
      <c r="S1985" s="5"/>
      <c r="T1985" s="5"/>
    </row>
    <row r="1986">
      <c r="A1986" s="4">
        <v>45534.33826021991</v>
      </c>
      <c r="B1986" s="5" t="s">
        <v>34</v>
      </c>
      <c r="D1986" s="5" t="s">
        <v>4775</v>
      </c>
      <c r="E1986" s="5" t="s">
        <v>15259</v>
      </c>
      <c r="F1986" s="5" t="s">
        <v>715</v>
      </c>
      <c r="G1986" s="5" t="s">
        <v>15260</v>
      </c>
      <c r="H1986" s="6" t="s">
        <v>15261</v>
      </c>
      <c r="K1986" s="5" t="s">
        <v>14944</v>
      </c>
      <c r="M1986" s="5" t="s">
        <v>15262</v>
      </c>
      <c r="N1986" s="7" t="s">
        <v>15263</v>
      </c>
      <c r="O1986" s="8" t="str">
        <f>HYPERLINK("https://drive.google.com/file/d/1s7Vx-wcarOn7OjPUn8BGDgsZBY0Ujoe2/view?usp=drivesdk","1985_SARWOTO, S.H. _ SERTIFIKAT BIMTEK IPASN BerAKHLASK")</f>
        <v>1985_SARWOTO, S.H. _ SERTIFIKAT BIMTEK IPASN BerAKHLASK</v>
      </c>
      <c r="P1986" s="5" t="s">
        <v>15248</v>
      </c>
      <c r="Q1986" s="5"/>
      <c r="R1986" s="5"/>
      <c r="S1986" s="5"/>
      <c r="T1986" s="5"/>
    </row>
    <row r="1987">
      <c r="A1987" s="4">
        <v>45534.33826024305</v>
      </c>
      <c r="B1987" s="5" t="s">
        <v>34</v>
      </c>
      <c r="D1987" s="5" t="s">
        <v>280</v>
      </c>
      <c r="E1987" s="5" t="s">
        <v>15264</v>
      </c>
      <c r="F1987" s="5" t="s">
        <v>37</v>
      </c>
      <c r="G1987" s="5" t="s">
        <v>15265</v>
      </c>
      <c r="H1987" s="6" t="s">
        <v>15266</v>
      </c>
      <c r="I1987" s="7" t="s">
        <v>15267</v>
      </c>
      <c r="J1987" s="8" t="str">
        <f>HYPERLINK("https://drive.google.com/file/d/1PlEcZJIG81Etrg1Vv2OvWTO8VhBmN4On/view?usp=drivesdk","JUNIHASTUTI SERTIFIKAT BerAKHLAK")</f>
        <v>JUNIHASTUTI SERTIFIKAT BerAKHLAK</v>
      </c>
      <c r="K1987" s="5" t="s">
        <v>14944</v>
      </c>
      <c r="L1987" s="5" t="s">
        <v>15268</v>
      </c>
      <c r="M1987" s="5" t="s">
        <v>15269</v>
      </c>
      <c r="N1987" s="7" t="s">
        <v>15270</v>
      </c>
      <c r="O1987" s="8" t="str">
        <f>HYPERLINK("https://drive.google.com/file/d/1OVN1FlaQhZYXVsfzPSfS4F3BQsBdGcMt/view?usp=drivesdk","1986_JUNIHASTUTI _ SERTIFIKAT BIMTEK IPASN BerAKHLASK")</f>
        <v>1986_JUNIHASTUTI _ SERTIFIKAT BIMTEK IPASN BerAKHLASK</v>
      </c>
      <c r="P1987" s="5" t="s">
        <v>15248</v>
      </c>
      <c r="Q1987" s="5"/>
      <c r="R1987" s="5"/>
      <c r="S1987" s="5"/>
      <c r="T1987" s="5"/>
    </row>
    <row r="1988">
      <c r="A1988" s="4">
        <v>45534.3382647338</v>
      </c>
      <c r="B1988" s="5" t="s">
        <v>34</v>
      </c>
      <c r="D1988" s="5" t="s">
        <v>35</v>
      </c>
      <c r="E1988" s="5" t="s">
        <v>15271</v>
      </c>
      <c r="F1988" s="5" t="s">
        <v>108</v>
      </c>
      <c r="G1988" s="5" t="s">
        <v>15272</v>
      </c>
      <c r="H1988" s="6" t="s">
        <v>15273</v>
      </c>
      <c r="I1988" s="7" t="s">
        <v>15274</v>
      </c>
      <c r="J1988" s="8" t="str">
        <f>HYPERLINK("https://drive.google.com/file/d/1G2X1Q9UUQuG498q1rc1VF-Ct-C88Huqg/view?usp=drivesdk","BUDI PURNOMO, AMF SERTIFIKAT BerAKHLAK")</f>
        <v>BUDI PURNOMO, AMF SERTIFIKAT BerAKHLAK</v>
      </c>
      <c r="K1988" s="5" t="s">
        <v>14944</v>
      </c>
      <c r="L1988" s="5" t="s">
        <v>15275</v>
      </c>
      <c r="M1988" s="5" t="s">
        <v>15276</v>
      </c>
      <c r="N1988" s="7" t="s">
        <v>15277</v>
      </c>
      <c r="O1988" s="8" t="str">
        <f>HYPERLINK("https://drive.google.com/file/d/1mpV5We3z9qRnFKP7iBezAL3GVoEwpzci/view?usp=drivesdk","1987_BUDI PURNOMO, AMF _ SERTIFIKAT BIMTEK IPASN BerAKHLASK")</f>
        <v>1987_BUDI PURNOMO, AMF _ SERTIFIKAT BIMTEK IPASN BerAKHLASK</v>
      </c>
      <c r="P1988" s="5" t="s">
        <v>15248</v>
      </c>
      <c r="Q1988" s="5"/>
      <c r="R1988" s="5"/>
      <c r="S1988" s="5"/>
      <c r="T1988" s="5"/>
    </row>
    <row r="1989">
      <c r="A1989" s="4">
        <v>45534.338265729166</v>
      </c>
      <c r="B1989" s="5" t="s">
        <v>34</v>
      </c>
      <c r="D1989" s="5" t="s">
        <v>35</v>
      </c>
      <c r="E1989" s="5" t="s">
        <v>15278</v>
      </c>
      <c r="F1989" s="5" t="s">
        <v>37</v>
      </c>
      <c r="G1989" s="5" t="s">
        <v>15279</v>
      </c>
      <c r="H1989" s="6" t="s">
        <v>15280</v>
      </c>
      <c r="I1989" s="7" t="s">
        <v>15281</v>
      </c>
      <c r="J1989" s="8" t="str">
        <f>HYPERLINK("https://drive.google.com/file/d/1kfnVrx0-xSmXPOM1mhhlx-wl9x92t8Dc/view?usp=drivesdk","IKRIMAH SERTIFIKAT BerAKHLAK")</f>
        <v>IKRIMAH SERTIFIKAT BerAKHLAK</v>
      </c>
      <c r="K1989" s="5" t="s">
        <v>14944</v>
      </c>
      <c r="L1989" s="5" t="s">
        <v>15282</v>
      </c>
      <c r="M1989" s="5" t="s">
        <v>15283</v>
      </c>
      <c r="N1989" s="7" t="s">
        <v>15284</v>
      </c>
      <c r="O1989" s="8" t="str">
        <f>HYPERLINK("https://drive.google.com/file/d/1Yerrw43mIJL32-9LRxBJOZftM1kjSiZO/view?usp=drivesdk","1988_IKRIMAH _ SERTIFIKAT BIMTEK IPASN BerAKHLASK")</f>
        <v>1988_IKRIMAH _ SERTIFIKAT BIMTEK IPASN BerAKHLASK</v>
      </c>
      <c r="P1989" s="5" t="s">
        <v>15285</v>
      </c>
      <c r="Q1989" s="5"/>
      <c r="R1989" s="5"/>
      <c r="S1989" s="5"/>
      <c r="T1989" s="5"/>
    </row>
    <row r="1990">
      <c r="A1990" s="4">
        <v>45534.338270312495</v>
      </c>
      <c r="B1990" s="5" t="s">
        <v>34</v>
      </c>
      <c r="D1990" s="5" t="s">
        <v>604</v>
      </c>
      <c r="E1990" s="5" t="s">
        <v>15286</v>
      </c>
      <c r="F1990" s="5" t="s">
        <v>72</v>
      </c>
      <c r="G1990" s="5" t="s">
        <v>15287</v>
      </c>
      <c r="H1990" s="6" t="s">
        <v>15288</v>
      </c>
      <c r="I1990" s="7" t="s">
        <v>15289</v>
      </c>
      <c r="J1990" s="8" t="str">
        <f>HYPERLINK("https://drive.google.com/file/d/1CGMcN1XyIQRA1b4gDPq1Sdy3BZ1RJulI/view?usp=drivesdk","SRI WINARNI SERTIFIKAT BerAKHLAK")</f>
        <v>SRI WINARNI SERTIFIKAT BerAKHLAK</v>
      </c>
      <c r="K1990" s="5" t="s">
        <v>14944</v>
      </c>
      <c r="L1990" s="5" t="s">
        <v>15290</v>
      </c>
      <c r="M1990" s="5" t="s">
        <v>15291</v>
      </c>
      <c r="N1990" s="7" t="s">
        <v>15292</v>
      </c>
      <c r="O1990" s="8" t="str">
        <f>HYPERLINK("https://drive.google.com/file/d/1r_ziuavU7wHC6TKrA4iw2xVLXPzD-Bq5/view?usp=drivesdk","1989_SRI WINARNI _ SERTIFIKAT BIMTEK IPASN BerAKHLASK")</f>
        <v>1989_SRI WINARNI _ SERTIFIKAT BIMTEK IPASN BerAKHLASK</v>
      </c>
      <c r="P1990" s="5" t="s">
        <v>15285</v>
      </c>
      <c r="Q1990" s="5"/>
      <c r="R1990" s="5"/>
      <c r="S1990" s="5"/>
      <c r="T1990" s="5"/>
    </row>
    <row r="1991">
      <c r="A1991" s="4">
        <v>45534.33827680556</v>
      </c>
      <c r="B1991" s="5" t="s">
        <v>34</v>
      </c>
      <c r="D1991" s="5" t="s">
        <v>14313</v>
      </c>
      <c r="E1991" s="5" t="s">
        <v>15293</v>
      </c>
      <c r="F1991" s="5" t="s">
        <v>212</v>
      </c>
      <c r="G1991" s="5" t="s">
        <v>15294</v>
      </c>
      <c r="H1991" s="6" t="s">
        <v>15295</v>
      </c>
      <c r="I1991" s="7" t="s">
        <v>15296</v>
      </c>
      <c r="J1991" s="8" t="str">
        <f>HYPERLINK("https://drive.google.com/file/d/1GyOI-i4OaOcw4SHXA043M7M2U_ikggAZ/view?usp=drivesdk","Ns. FAISAL JAYA, S.Kep SERTIFIKAT BerAKHLAK")</f>
        <v>Ns. FAISAL JAYA, S.Kep SERTIFIKAT BerAKHLAK</v>
      </c>
      <c r="K1991" s="5" t="s">
        <v>14944</v>
      </c>
      <c r="L1991" s="5" t="s">
        <v>15297</v>
      </c>
      <c r="M1991" s="5" t="s">
        <v>15298</v>
      </c>
      <c r="N1991" s="7" t="s">
        <v>15299</v>
      </c>
      <c r="O1991" s="8" t="str">
        <f>HYPERLINK("https://drive.google.com/file/d/1KqgiZxZwVAzfQ6tz6OfqeKpSmrNwbp48/view?usp=drivesdk","1990_Ns. FAISAL JAYA, S.Kep _ SERTIFIKAT BIMTEK IPASN BerAKHLASK")</f>
        <v>1990_Ns. FAISAL JAYA, S.Kep _ SERTIFIKAT BIMTEK IPASN BerAKHLASK</v>
      </c>
      <c r="P1991" s="5" t="s">
        <v>15285</v>
      </c>
      <c r="Q1991" s="5"/>
      <c r="R1991" s="5"/>
      <c r="S1991" s="5"/>
      <c r="T1991" s="5"/>
    </row>
    <row r="1992">
      <c r="A1992" s="4">
        <v>45534.33828002315</v>
      </c>
      <c r="B1992" s="5" t="s">
        <v>34</v>
      </c>
      <c r="D1992" s="5" t="s">
        <v>9020</v>
      </c>
      <c r="E1992" s="5" t="s">
        <v>15300</v>
      </c>
      <c r="F1992" s="5" t="s">
        <v>37</v>
      </c>
      <c r="G1992" s="5" t="s">
        <v>15301</v>
      </c>
      <c r="H1992" s="6" t="s">
        <v>15302</v>
      </c>
      <c r="K1992" s="5" t="s">
        <v>14944</v>
      </c>
      <c r="M1992" s="5" t="s">
        <v>15303</v>
      </c>
      <c r="N1992" s="7" t="s">
        <v>15304</v>
      </c>
      <c r="O1992" s="8" t="str">
        <f>HYPERLINK("https://drive.google.com/file/d/1yj8dmaZEW82uqe8Cg5nMg9fTXX_5hjw0/view?usp=drivesdk","1991_ESTER IMELDA MUNTE _ SERTIFIKAT BIMTEK IPASN BerAKHLASK")</f>
        <v>1991_ESTER IMELDA MUNTE _ SERTIFIKAT BIMTEK IPASN BerAKHLASK</v>
      </c>
      <c r="P1992" s="5" t="s">
        <v>15285</v>
      </c>
      <c r="Q1992" s="5"/>
      <c r="R1992" s="5"/>
      <c r="S1992" s="5"/>
      <c r="T1992" s="5"/>
    </row>
    <row r="1993" hidden="1">
      <c r="A1993" s="4">
        <v>45534.33828188658</v>
      </c>
      <c r="B1993" s="5" t="s">
        <v>19</v>
      </c>
      <c r="C1993" s="5" t="s">
        <v>292</v>
      </c>
      <c r="E1993" s="5" t="s">
        <v>15305</v>
      </c>
      <c r="F1993" s="5" t="s">
        <v>37</v>
      </c>
      <c r="G1993" s="5" t="s">
        <v>15306</v>
      </c>
      <c r="H1993" s="6" t="s">
        <v>15307</v>
      </c>
      <c r="K1993" s="5" t="s">
        <v>14944</v>
      </c>
      <c r="M1993" s="5" t="s">
        <v>15308</v>
      </c>
      <c r="N1993" s="7" t="s">
        <v>15309</v>
      </c>
      <c r="O1993" s="8" t="str">
        <f>HYPERLINK("https://drive.google.com/file/d/1m1fCiTXo4F_Y2JVa-z0uzHDu_VdQSPL2/view?usp=drivesdk","1992_DIMAS WIRAWAN _ SERTIFIKAT BIMTEK IPASN BerAKHLASK")</f>
        <v>1992_DIMAS WIRAWAN _ SERTIFIKAT BIMTEK IPASN BerAKHLASK</v>
      </c>
      <c r="P1993" s="5" t="s">
        <v>15285</v>
      </c>
      <c r="Q1993" s="5"/>
      <c r="R1993" s="5"/>
      <c r="S1993" s="5"/>
      <c r="T1993" s="5"/>
    </row>
    <row r="1994">
      <c r="A1994" s="4">
        <v>45534.33828353009</v>
      </c>
      <c r="B1994" s="5" t="s">
        <v>34</v>
      </c>
      <c r="D1994" s="5" t="s">
        <v>1206</v>
      </c>
      <c r="E1994" s="5" t="s">
        <v>15310</v>
      </c>
      <c r="F1994" s="5" t="s">
        <v>524</v>
      </c>
      <c r="G1994" s="5" t="s">
        <v>15311</v>
      </c>
      <c r="H1994" s="6" t="s">
        <v>15312</v>
      </c>
      <c r="K1994" s="5" t="s">
        <v>14944</v>
      </c>
      <c r="M1994" s="5" t="s">
        <v>15313</v>
      </c>
      <c r="N1994" s="7" t="s">
        <v>15314</v>
      </c>
      <c r="O1994" s="8" t="str">
        <f>HYPERLINK("https://drive.google.com/file/d/1HdKEKzOMwwzIsvABZC1rBt-7pZVy8v0v/view?usp=drivesdk","1993_WAKIMAN PENDA  _ SERTIFIKAT BIMTEK IPASN BerAKHLASK")</f>
        <v>1993_WAKIMAN PENDA  _ SERTIFIKAT BIMTEK IPASN BerAKHLASK</v>
      </c>
      <c r="P1994" s="5" t="s">
        <v>15285</v>
      </c>
      <c r="Q1994" s="5"/>
      <c r="R1994" s="5"/>
      <c r="S1994" s="5"/>
      <c r="T1994" s="5"/>
    </row>
    <row r="1995">
      <c r="A1995" s="4">
        <v>45534.33828428241</v>
      </c>
      <c r="B1995" s="5" t="s">
        <v>34</v>
      </c>
      <c r="D1995" s="5" t="s">
        <v>6232</v>
      </c>
      <c r="E1995" s="5" t="s">
        <v>15315</v>
      </c>
      <c r="F1995" s="5" t="s">
        <v>37</v>
      </c>
      <c r="G1995" s="5" t="s">
        <v>15316</v>
      </c>
      <c r="H1995" s="6" t="s">
        <v>15317</v>
      </c>
      <c r="K1995" s="5" t="s">
        <v>14944</v>
      </c>
      <c r="M1995" s="5" t="s">
        <v>15318</v>
      </c>
      <c r="N1995" s="7" t="s">
        <v>15319</v>
      </c>
      <c r="O1995" s="8" t="str">
        <f>HYPERLINK("https://drive.google.com/file/d/1B6xzFh8N3WmkyjoqpX-M_noYXfgiHDZk/view?usp=drivesdk","1994_AGUS SETIYO UTOMO  _ SERTIFIKAT BIMTEK IPASN BerAKHLASK")</f>
        <v>1994_AGUS SETIYO UTOMO  _ SERTIFIKAT BIMTEK IPASN BerAKHLASK</v>
      </c>
      <c r="P1995" s="5" t="s">
        <v>15320</v>
      </c>
      <c r="Q1995" s="5"/>
      <c r="R1995" s="5"/>
      <c r="S1995" s="5"/>
      <c r="T1995" s="5"/>
    </row>
    <row r="1996">
      <c r="A1996" s="4">
        <v>45534.338286921295</v>
      </c>
      <c r="B1996" s="5" t="s">
        <v>34</v>
      </c>
      <c r="D1996" s="5" t="s">
        <v>362</v>
      </c>
      <c r="E1996" s="5" t="s">
        <v>15321</v>
      </c>
      <c r="F1996" s="5" t="s">
        <v>72</v>
      </c>
      <c r="G1996" s="5" t="s">
        <v>15322</v>
      </c>
      <c r="H1996" s="6" t="s">
        <v>15323</v>
      </c>
      <c r="K1996" s="5" t="s">
        <v>14944</v>
      </c>
      <c r="M1996" s="5" t="s">
        <v>15324</v>
      </c>
      <c r="N1996" s="7" t="s">
        <v>15325</v>
      </c>
      <c r="O1996" s="8" t="str">
        <f>HYPERLINK("https://drive.google.com/file/d/1yHEaqJ0hL74EFjddh7sVEcnqwU4oukdV/view?usp=drivesdk","1995_WINDA FITRI ASTUTI, A.md _ SERTIFIKAT BIMTEK IPASN BerAKHLASK")</f>
        <v>1995_WINDA FITRI ASTUTI, A.md _ SERTIFIKAT BIMTEK IPASN BerAKHLASK</v>
      </c>
      <c r="P1996" s="5" t="s">
        <v>15320</v>
      </c>
      <c r="Q1996" s="5"/>
      <c r="R1996" s="5"/>
      <c r="S1996" s="5"/>
      <c r="T1996" s="5"/>
    </row>
    <row r="1997" hidden="1">
      <c r="A1997" s="4">
        <v>45534.338286122686</v>
      </c>
      <c r="B1997" s="5" t="s">
        <v>19</v>
      </c>
      <c r="C1997" s="5" t="s">
        <v>466</v>
      </c>
      <c r="E1997" s="5" t="s">
        <v>15326</v>
      </c>
      <c r="F1997" s="5" t="s">
        <v>72</v>
      </c>
      <c r="G1997" s="5" t="s">
        <v>15327</v>
      </c>
      <c r="H1997" s="6" t="s">
        <v>15328</v>
      </c>
      <c r="K1997" s="5" t="s">
        <v>14944</v>
      </c>
      <c r="M1997" s="5" t="s">
        <v>15329</v>
      </c>
      <c r="N1997" s="7" t="s">
        <v>15330</v>
      </c>
      <c r="O1997" s="8" t="str">
        <f>HYPERLINK("https://drive.google.com/file/d/1CXa2eh7Y2ptNazvw-fuyRMX0zscNuREq/view?usp=drivesdk","1996_WIBI ASTUTI _ SERTIFIKAT BIMTEK IPASN BerAKHLASK")</f>
        <v>1996_WIBI ASTUTI _ SERTIFIKAT BIMTEK IPASN BerAKHLASK</v>
      </c>
      <c r="P1997" s="5" t="s">
        <v>15320</v>
      </c>
      <c r="Q1997" s="5"/>
      <c r="R1997" s="5"/>
      <c r="S1997" s="5"/>
      <c r="T1997" s="5"/>
    </row>
    <row r="1998">
      <c r="A1998" s="4">
        <v>45534.33828909722</v>
      </c>
      <c r="B1998" s="5" t="s">
        <v>34</v>
      </c>
      <c r="D1998" s="5" t="s">
        <v>1663</v>
      </c>
      <c r="E1998" s="5" t="s">
        <v>15331</v>
      </c>
      <c r="F1998" s="5" t="s">
        <v>199</v>
      </c>
      <c r="G1998" s="5" t="s">
        <v>15332</v>
      </c>
      <c r="H1998" s="6" t="s">
        <v>15333</v>
      </c>
      <c r="K1998" s="5" t="s">
        <v>14944</v>
      </c>
      <c r="M1998" s="5" t="s">
        <v>15334</v>
      </c>
      <c r="N1998" s="7" t="s">
        <v>15335</v>
      </c>
      <c r="O1998" s="8" t="str">
        <f>HYPERLINK("https://drive.google.com/file/d/1gV8Rivn1H1TcGCmXceng4o67RVqvI_RT/view?usp=drivesdk","1997_MARICE RUMBINO  _ SERTIFIKAT BIMTEK IPASN BerAKHLASK")</f>
        <v>1997_MARICE RUMBINO  _ SERTIFIKAT BIMTEK IPASN BerAKHLASK</v>
      </c>
      <c r="P1998" s="5" t="s">
        <v>15320</v>
      </c>
      <c r="Q1998" s="5"/>
      <c r="R1998" s="5"/>
      <c r="S1998" s="5"/>
      <c r="T1998" s="5"/>
    </row>
    <row r="1999">
      <c r="A1999" s="4">
        <v>45534.3382912963</v>
      </c>
      <c r="B1999" s="5" t="s">
        <v>34</v>
      </c>
      <c r="D1999" s="5" t="s">
        <v>9394</v>
      </c>
      <c r="E1999" s="5" t="s">
        <v>15336</v>
      </c>
      <c r="F1999" s="5" t="s">
        <v>715</v>
      </c>
      <c r="G1999" s="5" t="s">
        <v>15337</v>
      </c>
      <c r="H1999" s="6" t="s">
        <v>15338</v>
      </c>
      <c r="K1999" s="5" t="s">
        <v>14944</v>
      </c>
      <c r="M1999" s="5" t="s">
        <v>15339</v>
      </c>
      <c r="N1999" s="7" t="s">
        <v>15340</v>
      </c>
      <c r="O1999" s="8" t="str">
        <f>HYPERLINK("https://drive.google.com/file/d/1zBKjMPzwQFnMV9sNMovFT5AwIs5AtYzc/view?usp=drivesdk","1998_ALI RIAD, S.Kom _ SERTIFIKAT BIMTEK IPASN BerAKHLASK")</f>
        <v>1998_ALI RIAD, S.Kom _ SERTIFIKAT BIMTEK IPASN BerAKHLASK</v>
      </c>
      <c r="P1999" s="5" t="s">
        <v>15320</v>
      </c>
      <c r="Q1999" s="5"/>
      <c r="R1999" s="5"/>
      <c r="S1999" s="5"/>
      <c r="T1999" s="5"/>
    </row>
    <row r="2000">
      <c r="A2000" s="4">
        <v>45534.338294733796</v>
      </c>
      <c r="B2000" s="5" t="s">
        <v>34</v>
      </c>
      <c r="D2000" s="5" t="s">
        <v>10444</v>
      </c>
      <c r="E2000" s="5" t="s">
        <v>15341</v>
      </c>
      <c r="F2000" s="5" t="s">
        <v>72</v>
      </c>
      <c r="G2000" s="5" t="s">
        <v>15342</v>
      </c>
      <c r="H2000" s="6" t="s">
        <v>15343</v>
      </c>
      <c r="K2000" s="5" t="s">
        <v>14944</v>
      </c>
      <c r="M2000" s="5" t="s">
        <v>15344</v>
      </c>
      <c r="N2000" s="7" t="s">
        <v>15345</v>
      </c>
      <c r="O2000" s="8" t="str">
        <f>HYPERLINK("https://drive.google.com/file/d/10-TdrA5sZmFSlaQD2cytRGPdzHGa2hwG/view?usp=drivesdk","1999_Wiwik Purwanti, S.Sos _ SERTIFIKAT BIMTEK IPASN BerAKHLASK")</f>
        <v>1999_Wiwik Purwanti, S.Sos _ SERTIFIKAT BIMTEK IPASN BerAKHLASK</v>
      </c>
      <c r="P2000" s="5" t="s">
        <v>15320</v>
      </c>
      <c r="Q2000" s="5"/>
      <c r="R2000" s="5"/>
      <c r="S2000" s="5"/>
      <c r="T2000" s="5"/>
    </row>
    <row r="2001" hidden="1">
      <c r="A2001" s="4">
        <v>45534.33831177083</v>
      </c>
      <c r="B2001" s="5" t="s">
        <v>19</v>
      </c>
      <c r="C2001" s="5" t="s">
        <v>292</v>
      </c>
      <c r="E2001" s="5" t="s">
        <v>15346</v>
      </c>
      <c r="F2001" s="5" t="s">
        <v>524</v>
      </c>
      <c r="G2001" s="5" t="s">
        <v>15347</v>
      </c>
      <c r="H2001" s="6" t="s">
        <v>15348</v>
      </c>
      <c r="K2001" s="5" t="s">
        <v>14944</v>
      </c>
      <c r="M2001" s="5" t="s">
        <v>15349</v>
      </c>
      <c r="N2001" s="7" t="s">
        <v>15350</v>
      </c>
      <c r="O2001" s="8" t="str">
        <f>HYPERLINK("https://drive.google.com/file/d/1lvdGy9TJ0uOq44UQAfZn3afh8Gvr-Ssc/view?usp=drivesdk","2000_SUMIARNI _ SERTIFIKAT BIMTEK IPASN BerAKHLASK")</f>
        <v>2000_SUMIARNI _ SERTIFIKAT BIMTEK IPASN BerAKHLASK</v>
      </c>
      <c r="P2001" s="5" t="s">
        <v>15351</v>
      </c>
      <c r="Q2001" s="5"/>
      <c r="R2001" s="5"/>
      <c r="S2001" s="5"/>
      <c r="T2001" s="5"/>
    </row>
    <row r="2002">
      <c r="A2002" s="4">
        <v>45534.33831761574</v>
      </c>
      <c r="B2002" s="5" t="s">
        <v>34</v>
      </c>
      <c r="D2002" s="5" t="s">
        <v>996</v>
      </c>
      <c r="E2002" s="5" t="s">
        <v>15352</v>
      </c>
      <c r="F2002" s="5" t="s">
        <v>212</v>
      </c>
      <c r="G2002" s="5" t="s">
        <v>15353</v>
      </c>
      <c r="H2002" s="6" t="s">
        <v>15354</v>
      </c>
      <c r="I2002" s="7" t="s">
        <v>15355</v>
      </c>
      <c r="J2002" s="8" t="str">
        <f>HYPERLINK("https://drive.google.com/file/d/1rZ7jw3lpXw4LSJ7uzu44jw1_T-piIxur/view?usp=drivesdk","Hamsah Hindrat Jaya  SERTIFIKAT BerAKHLAK")</f>
        <v>Hamsah Hindrat Jaya  SERTIFIKAT BerAKHLAK</v>
      </c>
      <c r="K2002" s="5" t="s">
        <v>14913</v>
      </c>
      <c r="L2002" s="5" t="s">
        <v>15356</v>
      </c>
      <c r="M2002" s="5" t="s">
        <v>15357</v>
      </c>
      <c r="N2002" s="7" t="s">
        <v>15358</v>
      </c>
      <c r="O2002" s="8" t="str">
        <f>HYPERLINK("https://drive.google.com/file/d/1t8cJDHozXFfHNOavgFtamwu0J_fs3gjq/view?usp=drivesdk","2001_Hamsah Hindrat Jaya  _ SERTIFIKAT BIMTEK IPASN BerAKHLASK")</f>
        <v>2001_Hamsah Hindrat Jaya  _ SERTIFIKAT BIMTEK IPASN BerAKHLASK</v>
      </c>
      <c r="P2002" s="5" t="s">
        <v>15351</v>
      </c>
      <c r="Q2002" s="5"/>
      <c r="R2002" s="5"/>
      <c r="S2002" s="5"/>
      <c r="T2002" s="5"/>
    </row>
    <row r="2003">
      <c r="A2003" s="4">
        <v>45534.33832119213</v>
      </c>
      <c r="B2003" s="5" t="s">
        <v>34</v>
      </c>
      <c r="D2003" s="5" t="s">
        <v>35</v>
      </c>
      <c r="E2003" s="5" t="s">
        <v>15359</v>
      </c>
      <c r="F2003" s="5" t="s">
        <v>37</v>
      </c>
      <c r="G2003" s="5" t="s">
        <v>15360</v>
      </c>
      <c r="H2003" s="6" t="s">
        <v>15361</v>
      </c>
      <c r="I2003" s="7" t="s">
        <v>15362</v>
      </c>
      <c r="J2003" s="8" t="str">
        <f>HYPERLINK("https://drive.google.com/file/d/1GCYkGlvZa6mm3579DdEE578nbFJal-JO/view?usp=drivesdk","ZANAENAH.S.pd.I SERTIFIKAT BerAKHLAK")</f>
        <v>ZANAENAH.S.pd.I SERTIFIKAT BerAKHLAK</v>
      </c>
      <c r="K2003" s="5" t="s">
        <v>14913</v>
      </c>
      <c r="L2003" s="5" t="s">
        <v>15363</v>
      </c>
      <c r="M2003" s="5" t="s">
        <v>15364</v>
      </c>
      <c r="N2003" s="7" t="s">
        <v>15365</v>
      </c>
      <c r="O2003" s="8" t="str">
        <f>HYPERLINK("https://drive.google.com/file/d/17kouMTSv91tA43xMu4tZ6GKTcbVjH3UC/view?usp=drivesdk","2002_ZANAENAH.S.pd.I _ SERTIFIKAT BIMTEK IPASN BerAKHLASK")</f>
        <v>2002_ZANAENAH.S.pd.I _ SERTIFIKAT BIMTEK IPASN BerAKHLASK</v>
      </c>
      <c r="P2003" s="5" t="s">
        <v>15351</v>
      </c>
      <c r="Q2003" s="5"/>
      <c r="R2003" s="5"/>
      <c r="S2003" s="5"/>
      <c r="T2003" s="5"/>
    </row>
    <row r="2004" hidden="1">
      <c r="A2004" s="4">
        <v>45534.338324282406</v>
      </c>
      <c r="B2004" s="5" t="s">
        <v>19</v>
      </c>
      <c r="C2004" s="5" t="s">
        <v>11593</v>
      </c>
      <c r="E2004" s="5" t="s">
        <v>15366</v>
      </c>
      <c r="F2004" s="5" t="s">
        <v>524</v>
      </c>
      <c r="G2004" s="5" t="s">
        <v>15367</v>
      </c>
      <c r="H2004" s="6" t="s">
        <v>15368</v>
      </c>
      <c r="I2004" s="7" t="s">
        <v>15369</v>
      </c>
      <c r="J2004" s="8" t="str">
        <f>HYPERLINK("https://drive.google.com/file/d/1cLACHBCRHgudQm-_az_3Vrnstl_Exlkp/view?usp=drivesdk","WIWI HERAWATI Am.Keb,SKM SERTIFIKAT BerAKHLAK")</f>
        <v>WIWI HERAWATI Am.Keb,SKM SERTIFIKAT BerAKHLAK</v>
      </c>
      <c r="K2004" s="5" t="s">
        <v>14913</v>
      </c>
      <c r="L2004" s="5" t="s">
        <v>15370</v>
      </c>
      <c r="M2004" s="5" t="s">
        <v>15371</v>
      </c>
      <c r="N2004" s="7" t="s">
        <v>15372</v>
      </c>
      <c r="O2004" s="8" t="str">
        <f>HYPERLINK("https://drive.google.com/file/d/1S7jhj-DGmQDXzJ5rLq9yAcExCPw2OgrO/view?usp=drivesdk","2003_WIWI HERAWATI Am.Keb,SKM _ SERTIFIKAT BIMTEK IPASN BerAKHLASK")</f>
        <v>2003_WIWI HERAWATI Am.Keb,SKM _ SERTIFIKAT BIMTEK IPASN BerAKHLASK</v>
      </c>
      <c r="P2004" s="5" t="s">
        <v>15351</v>
      </c>
      <c r="Q2004" s="5"/>
      <c r="R2004" s="5"/>
      <c r="S2004" s="5"/>
      <c r="T2004" s="5"/>
    </row>
    <row r="2005" hidden="1">
      <c r="A2005" s="4">
        <v>45534.33832550926</v>
      </c>
      <c r="B2005" s="5" t="s">
        <v>19</v>
      </c>
      <c r="C2005" s="5" t="s">
        <v>292</v>
      </c>
      <c r="E2005" s="5" t="s">
        <v>15373</v>
      </c>
      <c r="F2005" s="5" t="s">
        <v>108</v>
      </c>
      <c r="G2005" s="5" t="s">
        <v>15374</v>
      </c>
      <c r="H2005" s="6" t="s">
        <v>15375</v>
      </c>
      <c r="K2005" s="5" t="s">
        <v>15376</v>
      </c>
      <c r="M2005" s="5" t="s">
        <v>15377</v>
      </c>
      <c r="N2005" s="7" t="s">
        <v>15378</v>
      </c>
      <c r="O2005" s="8" t="str">
        <f>HYPERLINK("https://drive.google.com/file/d/1vRxnwM5UeOKFhrL_X1BmaV0ZyNYh1N_4/view?usp=drivesdk","2004_PURNANTO _ SERTIFIKAT BIMTEK IPASN BerAKHLASK")</f>
        <v>2004_PURNANTO _ SERTIFIKAT BIMTEK IPASN BerAKHLASK</v>
      </c>
      <c r="P2005" s="5" t="s">
        <v>15351</v>
      </c>
      <c r="Q2005" s="5"/>
      <c r="R2005" s="5"/>
      <c r="S2005" s="5"/>
      <c r="T2005" s="5"/>
    </row>
    <row r="2006">
      <c r="A2006" s="4">
        <v>45534.33832541667</v>
      </c>
      <c r="B2006" s="5" t="s">
        <v>34</v>
      </c>
      <c r="D2006" s="5" t="s">
        <v>6232</v>
      </c>
      <c r="E2006" s="5" t="s">
        <v>15379</v>
      </c>
      <c r="F2006" s="5" t="s">
        <v>524</v>
      </c>
      <c r="G2006" s="5" t="s">
        <v>15380</v>
      </c>
      <c r="H2006" s="6" t="s">
        <v>15381</v>
      </c>
      <c r="K2006" s="5" t="s">
        <v>15376</v>
      </c>
      <c r="M2006" s="5" t="s">
        <v>15382</v>
      </c>
      <c r="N2006" s="7" t="s">
        <v>15383</v>
      </c>
      <c r="O2006" s="8" t="str">
        <f>HYPERLINK("https://drive.google.com/file/d/1TydXzdO-BiQrzbyO8h8pka_QgkiyjGZb/view?usp=drivesdk","2005_DODI MARTONO _ SERTIFIKAT BIMTEK IPASN BerAKHLASK")</f>
        <v>2005_DODI MARTONO _ SERTIFIKAT BIMTEK IPASN BerAKHLASK</v>
      </c>
      <c r="P2006" s="5" t="s">
        <v>15384</v>
      </c>
      <c r="Q2006" s="5"/>
      <c r="R2006" s="5"/>
      <c r="S2006" s="5"/>
      <c r="T2006" s="5"/>
    </row>
    <row r="2007">
      <c r="A2007" s="4">
        <v>45534.338326365745</v>
      </c>
      <c r="B2007" s="5" t="s">
        <v>34</v>
      </c>
      <c r="D2007" s="5" t="s">
        <v>1206</v>
      </c>
      <c r="E2007" s="5" t="s">
        <v>15385</v>
      </c>
      <c r="F2007" s="5" t="s">
        <v>15386</v>
      </c>
      <c r="G2007" s="5" t="s">
        <v>15387</v>
      </c>
      <c r="H2007" s="6" t="s">
        <v>15388</v>
      </c>
      <c r="K2007" s="5" t="s">
        <v>15376</v>
      </c>
      <c r="M2007" s="5" t="s">
        <v>15389</v>
      </c>
      <c r="N2007" s="7" t="s">
        <v>15390</v>
      </c>
      <c r="O2007" s="8" t="str">
        <f>HYPERLINK("https://drive.google.com/file/d/1fYVjf8Zr-Dg-y_B6Da3Mu3VO0xN9wcPt/view?usp=drivesdk","2006_MOH BISRI _ SERTIFIKAT BIMTEK IPASN BerAKHLASK")</f>
        <v>2006_MOH BISRI _ SERTIFIKAT BIMTEK IPASN BerAKHLASK</v>
      </c>
      <c r="P2007" s="5" t="s">
        <v>15384</v>
      </c>
      <c r="Q2007" s="5"/>
      <c r="R2007" s="5"/>
      <c r="S2007" s="5"/>
      <c r="T2007" s="5"/>
    </row>
    <row r="2008">
      <c r="A2008" s="4">
        <v>45534.33832768518</v>
      </c>
      <c r="B2008" s="5" t="s">
        <v>34</v>
      </c>
      <c r="D2008" s="5" t="s">
        <v>1206</v>
      </c>
      <c r="E2008" s="5" t="s">
        <v>15391</v>
      </c>
      <c r="F2008" s="5" t="s">
        <v>199</v>
      </c>
      <c r="G2008" s="5" t="s">
        <v>15392</v>
      </c>
      <c r="H2008" s="6" t="s">
        <v>15393</v>
      </c>
      <c r="K2008" s="5" t="s">
        <v>15376</v>
      </c>
      <c r="M2008" s="5" t="s">
        <v>15394</v>
      </c>
      <c r="N2008" s="7" t="s">
        <v>15395</v>
      </c>
      <c r="O2008" s="8" t="str">
        <f>HYPERLINK("https://drive.google.com/file/d/1jJWNI66bKmC6E47eSFqeD62M9T1mVhGo/view?usp=drivesdk","2007_AGUS TARMUJI _ SERTIFIKAT BIMTEK IPASN BerAKHLASK")</f>
        <v>2007_AGUS TARMUJI _ SERTIFIKAT BIMTEK IPASN BerAKHLASK</v>
      </c>
      <c r="P2008" s="5" t="s">
        <v>15384</v>
      </c>
      <c r="Q2008" s="5"/>
      <c r="R2008" s="5"/>
      <c r="S2008" s="5"/>
      <c r="T2008" s="5"/>
    </row>
    <row r="2009">
      <c r="A2009" s="4">
        <v>45534.33833342593</v>
      </c>
      <c r="B2009" s="5" t="s">
        <v>34</v>
      </c>
      <c r="D2009" s="5" t="s">
        <v>1206</v>
      </c>
      <c r="E2009" s="5" t="s">
        <v>15396</v>
      </c>
      <c r="F2009" s="5" t="s">
        <v>212</v>
      </c>
      <c r="G2009" s="5" t="s">
        <v>15397</v>
      </c>
      <c r="H2009" s="6" t="s">
        <v>15398</v>
      </c>
      <c r="K2009" s="5" t="s">
        <v>15376</v>
      </c>
      <c r="M2009" s="5" t="s">
        <v>15399</v>
      </c>
      <c r="N2009" s="7" t="s">
        <v>15400</v>
      </c>
      <c r="O2009" s="8" t="str">
        <f>HYPERLINK("https://drive.google.com/file/d/1uJWFhCFN2os75L314IaGrEpcsmXOYafc/view?usp=drivesdk","2008_KUSNADI,SH _ SERTIFIKAT BIMTEK IPASN BerAKHLASK")</f>
        <v>2008_KUSNADI,SH _ SERTIFIKAT BIMTEK IPASN BerAKHLASK</v>
      </c>
      <c r="P2009" s="5" t="s">
        <v>15384</v>
      </c>
      <c r="Q2009" s="5"/>
      <c r="R2009" s="5"/>
      <c r="S2009" s="5"/>
      <c r="T2009" s="5"/>
    </row>
    <row r="2010">
      <c r="A2010" s="4">
        <v>45534.33833377315</v>
      </c>
      <c r="B2010" s="5" t="s">
        <v>34</v>
      </c>
      <c r="D2010" s="5" t="s">
        <v>15401</v>
      </c>
      <c r="E2010" s="5" t="s">
        <v>15402</v>
      </c>
      <c r="F2010" s="5" t="s">
        <v>715</v>
      </c>
      <c r="G2010" s="5" t="s">
        <v>15403</v>
      </c>
      <c r="H2010" s="6" t="s">
        <v>15404</v>
      </c>
      <c r="K2010" s="5" t="s">
        <v>15376</v>
      </c>
      <c r="M2010" s="5" t="s">
        <v>15405</v>
      </c>
      <c r="N2010" s="7" t="s">
        <v>15406</v>
      </c>
      <c r="O2010" s="8" t="str">
        <f>HYPERLINK("https://drive.google.com/file/d/1EPinZL6KNQRFhW3DT0U24I-e9hv3ZaPq/view?usp=drivesdk","2009_ETA, S.Pd _ SERTIFIKAT BIMTEK IPASN BerAKHLASK")</f>
        <v>2009_ETA, S.Pd _ SERTIFIKAT BIMTEK IPASN BerAKHLASK</v>
      </c>
      <c r="P2010" s="5" t="s">
        <v>15384</v>
      </c>
      <c r="Q2010" s="5"/>
      <c r="R2010" s="5"/>
      <c r="S2010" s="5"/>
      <c r="T2010" s="5"/>
    </row>
    <row r="2011">
      <c r="A2011" s="4">
        <v>45534.33833459491</v>
      </c>
      <c r="B2011" s="5" t="s">
        <v>34</v>
      </c>
      <c r="D2011" s="5" t="s">
        <v>4775</v>
      </c>
      <c r="E2011" s="5" t="s">
        <v>15407</v>
      </c>
      <c r="F2011" s="5" t="s">
        <v>212</v>
      </c>
      <c r="G2011" s="5" t="s">
        <v>15408</v>
      </c>
      <c r="H2011" s="6" t="s">
        <v>15409</v>
      </c>
      <c r="K2011" s="5" t="s">
        <v>15376</v>
      </c>
      <c r="M2011" s="5" t="s">
        <v>15410</v>
      </c>
      <c r="N2011" s="7" t="s">
        <v>15411</v>
      </c>
      <c r="O2011" s="8" t="str">
        <f>HYPERLINK("https://drive.google.com/file/d/1hL0a3UEhSbjfs0xE9xiVYb-TgFkl9RU4/view?usp=drivesdk","2010_ISANA CAHYANI, A.Md.Kom. _ SERTIFIKAT BIMTEK IPASN BerAKHLASK")</f>
        <v>2010_ISANA CAHYANI, A.Md.Kom. _ SERTIFIKAT BIMTEK IPASN BerAKHLASK</v>
      </c>
      <c r="P2011" s="5" t="s">
        <v>15412</v>
      </c>
      <c r="Q2011" s="5"/>
      <c r="R2011" s="5"/>
      <c r="S2011" s="5"/>
      <c r="T2011" s="5"/>
    </row>
    <row r="2012">
      <c r="A2012" s="4">
        <v>45534.338341712966</v>
      </c>
      <c r="B2012" s="5" t="s">
        <v>34</v>
      </c>
      <c r="D2012" s="5" t="s">
        <v>1768</v>
      </c>
      <c r="E2012" s="5" t="s">
        <v>15413</v>
      </c>
      <c r="F2012" s="5" t="s">
        <v>72</v>
      </c>
      <c r="G2012" s="5" t="s">
        <v>15414</v>
      </c>
      <c r="H2012" s="6" t="s">
        <v>15415</v>
      </c>
      <c r="K2012" s="5" t="s">
        <v>15376</v>
      </c>
      <c r="M2012" s="5" t="s">
        <v>15416</v>
      </c>
      <c r="N2012" s="7" t="s">
        <v>15417</v>
      </c>
      <c r="O2012" s="8" t="str">
        <f>HYPERLINK("https://drive.google.com/file/d/1stMc1T0DUz_TszwWBX9i1AJ8uiE-cdPS/view?usp=drivesdk","2011_dr. FITRIE WIDYASTUTI _ SERTIFIKAT BIMTEK IPASN BerAKHLASK")</f>
        <v>2011_dr. FITRIE WIDYASTUTI _ SERTIFIKAT BIMTEK IPASN BerAKHLASK</v>
      </c>
      <c r="P2012" s="5" t="s">
        <v>15412</v>
      </c>
      <c r="Q2012" s="5"/>
      <c r="R2012" s="5"/>
      <c r="S2012" s="5"/>
      <c r="T2012" s="5"/>
    </row>
    <row r="2013">
      <c r="A2013" s="4">
        <v>45534.338343553245</v>
      </c>
      <c r="B2013" s="5" t="s">
        <v>34</v>
      </c>
      <c r="D2013" s="5" t="s">
        <v>9020</v>
      </c>
      <c r="E2013" s="5" t="s">
        <v>15418</v>
      </c>
      <c r="F2013" s="5" t="s">
        <v>37</v>
      </c>
      <c r="G2013" s="5" t="s">
        <v>15419</v>
      </c>
      <c r="H2013" s="6" t="s">
        <v>15420</v>
      </c>
      <c r="K2013" s="5" t="s">
        <v>15376</v>
      </c>
      <c r="M2013" s="5" t="s">
        <v>15421</v>
      </c>
      <c r="N2013" s="7" t="s">
        <v>15422</v>
      </c>
      <c r="O2013" s="8" t="str">
        <f>HYPERLINK("https://drive.google.com/file/d/1dRD7m-521-Jm66BtlX4BJ-zSwyZCgON4/view?usp=drivesdk","2012_ROSLIANA  _ SERTIFIKAT BIMTEK IPASN BerAKHLASK")</f>
        <v>2012_ROSLIANA  _ SERTIFIKAT BIMTEK IPASN BerAKHLASK</v>
      </c>
      <c r="P2013" s="5" t="s">
        <v>15412</v>
      </c>
      <c r="Q2013" s="5"/>
      <c r="R2013" s="5"/>
      <c r="S2013" s="5"/>
      <c r="T2013" s="5"/>
    </row>
    <row r="2014" hidden="1">
      <c r="A2014" s="4">
        <v>45534.33834893518</v>
      </c>
      <c r="B2014" s="5" t="s">
        <v>19</v>
      </c>
      <c r="C2014" s="5" t="s">
        <v>1606</v>
      </c>
      <c r="E2014" s="5" t="s">
        <v>15423</v>
      </c>
      <c r="F2014" s="5" t="s">
        <v>375</v>
      </c>
      <c r="G2014" s="5" t="s">
        <v>15424</v>
      </c>
      <c r="H2014" s="6" t="s">
        <v>15425</v>
      </c>
      <c r="K2014" s="5" t="s">
        <v>15376</v>
      </c>
      <c r="M2014" s="5" t="s">
        <v>15426</v>
      </c>
      <c r="N2014" s="7" t="s">
        <v>15427</v>
      </c>
      <c r="O2014" s="8" t="str">
        <f>HYPERLINK("https://drive.google.com/file/d/1_yEVErjDR7GeJuCHVE_UthORzCmtob_T/view?usp=drivesdk","2013_ARDIAN JUNIANTO  _ SERTIFIKAT BIMTEK IPASN BerAKHLASK")</f>
        <v>2013_ARDIAN JUNIANTO  _ SERTIFIKAT BIMTEK IPASN BerAKHLASK</v>
      </c>
      <c r="P2014" s="5" t="s">
        <v>15412</v>
      </c>
      <c r="Q2014" s="5"/>
      <c r="R2014" s="5"/>
      <c r="S2014" s="5"/>
      <c r="T2014" s="5"/>
    </row>
    <row r="2015">
      <c r="A2015" s="4">
        <v>45534.338343587966</v>
      </c>
      <c r="B2015" s="5" t="s">
        <v>34</v>
      </c>
      <c r="D2015" s="5" t="s">
        <v>4775</v>
      </c>
      <c r="E2015" s="5" t="s">
        <v>15428</v>
      </c>
      <c r="F2015" s="5" t="s">
        <v>199</v>
      </c>
      <c r="G2015" s="5" t="s">
        <v>15429</v>
      </c>
      <c r="H2015" s="6" t="s">
        <v>15430</v>
      </c>
      <c r="K2015" s="5" t="s">
        <v>15376</v>
      </c>
      <c r="M2015" s="5" t="s">
        <v>15431</v>
      </c>
      <c r="N2015" s="7" t="s">
        <v>15432</v>
      </c>
      <c r="O2015" s="8" t="str">
        <f>HYPERLINK("https://drive.google.com/file/d/1SgHYgPltTwo6IEEv0lZXD4Y56oy5YUnI/view?usp=drivesdk","2014_SUTRISNO _ SERTIFIKAT BIMTEK IPASN BerAKHLASK")</f>
        <v>2014_SUTRISNO _ SERTIFIKAT BIMTEK IPASN BerAKHLASK</v>
      </c>
      <c r="P2015" s="5" t="s">
        <v>15412</v>
      </c>
      <c r="Q2015" s="5"/>
      <c r="R2015" s="5"/>
      <c r="S2015" s="5"/>
      <c r="T2015" s="5"/>
    </row>
    <row r="2016">
      <c r="A2016" s="4">
        <v>45534.33835607639</v>
      </c>
      <c r="B2016" s="5" t="s">
        <v>34</v>
      </c>
      <c r="D2016" s="5" t="s">
        <v>9020</v>
      </c>
      <c r="E2016" s="5" t="s">
        <v>15433</v>
      </c>
      <c r="F2016" s="5" t="s">
        <v>37</v>
      </c>
      <c r="G2016" s="5" t="s">
        <v>15434</v>
      </c>
      <c r="H2016" s="6" t="s">
        <v>15435</v>
      </c>
      <c r="K2016" s="5" t="s">
        <v>15376</v>
      </c>
      <c r="M2016" s="5" t="s">
        <v>15436</v>
      </c>
      <c r="N2016" s="7" t="s">
        <v>15437</v>
      </c>
      <c r="O2016" s="8" t="str">
        <f>HYPERLINK("https://drive.google.com/file/d/1nccEdY6l1cg-730_KSbD86WJat92_KY_/view?usp=drivesdk","2015_PIPIT SANDRA _ SERTIFIKAT BIMTEK IPASN BerAKHLASK")</f>
        <v>2015_PIPIT SANDRA _ SERTIFIKAT BIMTEK IPASN BerAKHLASK</v>
      </c>
      <c r="P2016" s="5" t="s">
        <v>15412</v>
      </c>
      <c r="Q2016" s="5"/>
      <c r="R2016" s="5"/>
      <c r="S2016" s="5"/>
      <c r="T2016" s="5"/>
    </row>
    <row r="2017">
      <c r="A2017" s="4">
        <v>45534.338356064814</v>
      </c>
      <c r="B2017" s="5" t="s">
        <v>34</v>
      </c>
      <c r="D2017" s="5" t="s">
        <v>35</v>
      </c>
      <c r="E2017" s="5" t="s">
        <v>15438</v>
      </c>
      <c r="F2017" s="5" t="s">
        <v>37</v>
      </c>
      <c r="G2017" s="5" t="s">
        <v>15439</v>
      </c>
      <c r="H2017" s="6" t="s">
        <v>15440</v>
      </c>
      <c r="K2017" s="5" t="s">
        <v>15376</v>
      </c>
      <c r="M2017" s="5" t="s">
        <v>15441</v>
      </c>
      <c r="N2017" s="7" t="s">
        <v>15442</v>
      </c>
      <c r="O2017" s="8" t="str">
        <f>HYPERLINK("https://drive.google.com/file/d/1ZMdDtljhaMjGvaCv0FsXb_D3rL4Dri2Q/view?usp=drivesdk","2016_SUBANDRI _ SERTIFIKAT BIMTEK IPASN BerAKHLASK")</f>
        <v>2016_SUBANDRI _ SERTIFIKAT BIMTEK IPASN BerAKHLASK</v>
      </c>
      <c r="P2017" s="5" t="s">
        <v>15443</v>
      </c>
      <c r="Q2017" s="5"/>
      <c r="R2017" s="5"/>
      <c r="S2017" s="5"/>
      <c r="T2017" s="5"/>
    </row>
    <row r="2018">
      <c r="A2018" s="4">
        <v>45534.338360821755</v>
      </c>
      <c r="B2018" s="5" t="s">
        <v>34</v>
      </c>
      <c r="D2018" s="5" t="s">
        <v>996</v>
      </c>
      <c r="E2018" s="5" t="s">
        <v>15444</v>
      </c>
      <c r="F2018" s="5" t="s">
        <v>212</v>
      </c>
      <c r="G2018" s="5" t="s">
        <v>15445</v>
      </c>
      <c r="H2018" s="6" t="s">
        <v>15446</v>
      </c>
      <c r="K2018" s="5" t="s">
        <v>15376</v>
      </c>
      <c r="M2018" s="5" t="s">
        <v>15447</v>
      </c>
      <c r="N2018" s="7" t="s">
        <v>15448</v>
      </c>
      <c r="O2018" s="8" t="str">
        <f>HYPERLINK("https://drive.google.com/file/d/1nQhPWYc5RZ4jO-AFvBIjRj68mU-vS7aj/view?usp=drivesdk","2017_HJ.SARI _ SERTIFIKAT BIMTEK IPASN BerAKHLASK")</f>
        <v>2017_HJ.SARI _ SERTIFIKAT BIMTEK IPASN BerAKHLASK</v>
      </c>
      <c r="P2018" s="5" t="s">
        <v>15449</v>
      </c>
      <c r="Q2018" s="5"/>
      <c r="R2018" s="5"/>
      <c r="S2018" s="5"/>
      <c r="T2018" s="5"/>
    </row>
    <row r="2019">
      <c r="A2019" s="4">
        <v>45534.33837247685</v>
      </c>
      <c r="B2019" s="5" t="s">
        <v>34</v>
      </c>
      <c r="D2019" s="5" t="s">
        <v>10444</v>
      </c>
      <c r="E2019" s="5" t="s">
        <v>15450</v>
      </c>
      <c r="F2019" s="5" t="s">
        <v>72</v>
      </c>
      <c r="G2019" s="5" t="s">
        <v>15451</v>
      </c>
      <c r="H2019" s="6" t="s">
        <v>15452</v>
      </c>
      <c r="K2019" s="5" t="s">
        <v>15376</v>
      </c>
      <c r="M2019" s="5" t="s">
        <v>15453</v>
      </c>
      <c r="N2019" s="7" t="s">
        <v>15454</v>
      </c>
      <c r="O2019" s="8" t="str">
        <f>HYPERLINK("https://drive.google.com/file/d/1yCiLTwm3m4CKcwa31E4GWxFsm3tMogKV/view?usp=drivesdk","2018_ERVINNAH,S.K.M _ SERTIFIKAT BIMTEK IPASN BerAKHLASK")</f>
        <v>2018_ERVINNAH,S.K.M _ SERTIFIKAT BIMTEK IPASN BerAKHLASK</v>
      </c>
      <c r="P2019" s="5" t="s">
        <v>15443</v>
      </c>
      <c r="Q2019" s="5"/>
      <c r="R2019" s="5"/>
      <c r="S2019" s="5"/>
      <c r="T2019" s="5"/>
    </row>
    <row r="2020">
      <c r="A2020" s="4">
        <v>45534.338374837964</v>
      </c>
      <c r="B2020" s="5" t="s">
        <v>34</v>
      </c>
      <c r="D2020" s="5" t="s">
        <v>35</v>
      </c>
      <c r="E2020" s="5" t="s">
        <v>15455</v>
      </c>
      <c r="F2020" s="5" t="s">
        <v>212</v>
      </c>
      <c r="G2020" s="5" t="s">
        <v>15456</v>
      </c>
      <c r="H2020" s="6" t="s">
        <v>15457</v>
      </c>
      <c r="K2020" s="5" t="s">
        <v>15376</v>
      </c>
      <c r="M2020" s="5" t="s">
        <v>15458</v>
      </c>
      <c r="N2020" s="7" t="s">
        <v>15459</v>
      </c>
      <c r="O2020" s="8" t="str">
        <f>HYPERLINK("https://drive.google.com/file/d/15Jkhu61pBbsfv1uSY5axfSmrCGHwG8fu/view?usp=drivesdk","2019_HOLIFAH, A.MD. _ SERTIFIKAT BIMTEK IPASN BerAKHLASK")</f>
        <v>2019_HOLIFAH, A.MD. _ SERTIFIKAT BIMTEK IPASN BerAKHLASK</v>
      </c>
      <c r="P2020" s="5" t="s">
        <v>15449</v>
      </c>
      <c r="Q2020" s="5"/>
      <c r="R2020" s="5"/>
      <c r="S2020" s="5"/>
      <c r="T2020" s="5"/>
    </row>
    <row r="2021">
      <c r="A2021" s="4">
        <v>45534.3383828588</v>
      </c>
      <c r="B2021" s="5" t="s">
        <v>34</v>
      </c>
      <c r="D2021" s="5" t="s">
        <v>12978</v>
      </c>
      <c r="E2021" s="5" t="s">
        <v>15460</v>
      </c>
      <c r="F2021" s="5" t="s">
        <v>37</v>
      </c>
      <c r="G2021" s="5" t="s">
        <v>15461</v>
      </c>
      <c r="H2021" s="6" t="s">
        <v>15462</v>
      </c>
      <c r="K2021" s="5" t="s">
        <v>15376</v>
      </c>
      <c r="M2021" s="5" t="s">
        <v>15463</v>
      </c>
      <c r="N2021" s="7" t="s">
        <v>15464</v>
      </c>
      <c r="O2021" s="8" t="str">
        <f>HYPERLINK("https://drive.google.com/file/d/19BQ77Rrwd9gGyxgycMlSYwioYNM-NH6W/view?usp=drivesdk","2020_MIKO HARDIAN, A.MD., S.KOM. _ SERTIFIKAT BIMTEK IPASN BerAKHLASK")</f>
        <v>2020_MIKO HARDIAN, A.MD., S.KOM. _ SERTIFIKAT BIMTEK IPASN BerAKHLASK</v>
      </c>
      <c r="P2021" s="5" t="s">
        <v>15465</v>
      </c>
      <c r="Q2021" s="5"/>
      <c r="R2021" s="5"/>
      <c r="S2021" s="5"/>
      <c r="T2021" s="5"/>
    </row>
    <row r="2022" hidden="1">
      <c r="A2022" s="4">
        <v>45534.338360671296</v>
      </c>
      <c r="B2022" s="5" t="s">
        <v>19</v>
      </c>
      <c r="C2022" s="5" t="s">
        <v>466</v>
      </c>
      <c r="E2022" s="5" t="s">
        <v>15466</v>
      </c>
      <c r="F2022" s="5" t="s">
        <v>524</v>
      </c>
      <c r="G2022" s="5" t="s">
        <v>15467</v>
      </c>
      <c r="H2022" s="6" t="s">
        <v>15468</v>
      </c>
      <c r="K2022" s="5" t="s">
        <v>15376</v>
      </c>
      <c r="M2022" s="5" t="s">
        <v>15469</v>
      </c>
      <c r="N2022" s="7" t="s">
        <v>15470</v>
      </c>
      <c r="O2022" s="8" t="str">
        <f>HYPERLINK("https://drive.google.com/file/d/1BKZ12O9H7idalwTtP__aMVxDjbyTTVlS/view?usp=drivesdk","2021_AGUNG SAPUTRO _ SERTIFIKAT BIMTEK IPASN BerAKHLASK")</f>
        <v>2021_AGUNG SAPUTRO _ SERTIFIKAT BIMTEK IPASN BerAKHLASK</v>
      </c>
      <c r="P2022" s="5" t="s">
        <v>15465</v>
      </c>
      <c r="Q2022" s="5"/>
      <c r="R2022" s="5"/>
      <c r="S2022" s="5"/>
      <c r="T2022" s="5"/>
    </row>
    <row r="2023">
      <c r="A2023" s="4">
        <v>45534.33839331019</v>
      </c>
      <c r="B2023" s="5" t="s">
        <v>34</v>
      </c>
      <c r="D2023" s="5" t="s">
        <v>522</v>
      </c>
      <c r="E2023" s="5" t="s">
        <v>15471</v>
      </c>
      <c r="F2023" s="5" t="s">
        <v>37</v>
      </c>
      <c r="G2023" s="5" t="s">
        <v>15472</v>
      </c>
      <c r="H2023" s="6" t="s">
        <v>15473</v>
      </c>
      <c r="K2023" s="5" t="s">
        <v>15376</v>
      </c>
      <c r="M2023" s="5" t="s">
        <v>15474</v>
      </c>
      <c r="N2023" s="7" t="s">
        <v>15475</v>
      </c>
      <c r="O2023" s="8" t="str">
        <f>HYPERLINK("https://drive.google.com/file/d/1xWii42JPHrlKs2Iky1C0yLsU_S0VwVVz/view?usp=drivesdk","2022_ANDHRY DHARMA SAMUDRA  _ SERTIFIKAT BIMTEK IPASN BerAKHLASK")</f>
        <v>2022_ANDHRY DHARMA SAMUDRA  _ SERTIFIKAT BIMTEK IPASN BerAKHLASK</v>
      </c>
      <c r="P2023" s="5" t="s">
        <v>15465</v>
      </c>
      <c r="Q2023" s="5"/>
      <c r="R2023" s="5"/>
      <c r="S2023" s="5"/>
      <c r="T2023" s="5"/>
    </row>
    <row r="2024">
      <c r="A2024" s="4">
        <v>45534.33840311343</v>
      </c>
      <c r="B2024" s="5" t="s">
        <v>34</v>
      </c>
      <c r="D2024" s="5" t="s">
        <v>1206</v>
      </c>
      <c r="E2024" s="5" t="s">
        <v>15476</v>
      </c>
      <c r="F2024" s="5" t="s">
        <v>715</v>
      </c>
      <c r="G2024" s="5" t="s">
        <v>15477</v>
      </c>
      <c r="H2024" s="6" t="s">
        <v>15478</v>
      </c>
      <c r="K2024" s="5" t="s">
        <v>15376</v>
      </c>
      <c r="M2024" s="5" t="s">
        <v>15479</v>
      </c>
      <c r="N2024" s="7" t="s">
        <v>15480</v>
      </c>
      <c r="O2024" s="8" t="str">
        <f>HYPERLINK("https://drive.google.com/file/d/1ZUAzWH8Kz2SHL5zAb8EHUwDOeUfetvyx/view?usp=drivesdk","2023_BINTARI.Amd.Kep _ SERTIFIKAT BIMTEK IPASN BerAKHLASK")</f>
        <v>2023_BINTARI.Amd.Kep _ SERTIFIKAT BIMTEK IPASN BerAKHLASK</v>
      </c>
      <c r="P2024" s="5" t="s">
        <v>15465</v>
      </c>
      <c r="Q2024" s="5"/>
      <c r="R2024" s="5"/>
      <c r="S2024" s="5"/>
      <c r="T2024" s="5"/>
    </row>
    <row r="2025">
      <c r="A2025" s="4">
        <v>45534.33840605324</v>
      </c>
      <c r="B2025" s="5" t="s">
        <v>34</v>
      </c>
      <c r="D2025" s="5" t="s">
        <v>701</v>
      </c>
      <c r="E2025" s="5" t="s">
        <v>15481</v>
      </c>
      <c r="F2025" s="5" t="s">
        <v>108</v>
      </c>
      <c r="G2025" s="5" t="s">
        <v>15482</v>
      </c>
      <c r="H2025" s="6" t="s">
        <v>15483</v>
      </c>
      <c r="K2025" s="5" t="s">
        <v>15376</v>
      </c>
      <c r="M2025" s="5" t="s">
        <v>15484</v>
      </c>
      <c r="N2025" s="7" t="s">
        <v>15485</v>
      </c>
      <c r="O2025" s="8" t="str">
        <f>HYPERLINK("https://drive.google.com/file/d/1A341rgEjp9W6CRYmn6J-V1zhu4_st2Je/view?usp=drivesdk","2024_DR.YUDI CANDRA _ SERTIFIKAT BIMTEK IPASN BerAKHLASK")</f>
        <v>2024_DR.YUDI CANDRA _ SERTIFIKAT BIMTEK IPASN BerAKHLASK</v>
      </c>
      <c r="P2025" s="5" t="s">
        <v>15486</v>
      </c>
      <c r="Q2025" s="5"/>
      <c r="R2025" s="5"/>
      <c r="S2025" s="5"/>
      <c r="T2025" s="5"/>
    </row>
    <row r="2026">
      <c r="A2026" s="4">
        <v>45534.33840607639</v>
      </c>
      <c r="B2026" s="5" t="s">
        <v>34</v>
      </c>
      <c r="D2026" s="5" t="s">
        <v>10444</v>
      </c>
      <c r="E2026" s="5" t="s">
        <v>15487</v>
      </c>
      <c r="F2026" s="5" t="s">
        <v>37</v>
      </c>
      <c r="G2026" s="5" t="s">
        <v>15488</v>
      </c>
      <c r="H2026" s="6" t="s">
        <v>15489</v>
      </c>
      <c r="K2026" s="5" t="s">
        <v>15376</v>
      </c>
      <c r="M2026" s="5" t="s">
        <v>15490</v>
      </c>
      <c r="N2026" s="7" t="s">
        <v>15491</v>
      </c>
      <c r="O2026" s="8" t="str">
        <f>HYPERLINK("https://drive.google.com/file/d/1z65UZkvSxAJW3tbXpK_8VHXMOlM2kOLK/view?usp=drivesdk","2025_YULI SAPTARI _ SERTIFIKAT BIMTEK IPASN BerAKHLASK")</f>
        <v>2025_YULI SAPTARI _ SERTIFIKAT BIMTEK IPASN BerAKHLASK</v>
      </c>
      <c r="P2026" s="5" t="s">
        <v>15486</v>
      </c>
      <c r="Q2026" s="5"/>
      <c r="R2026" s="5"/>
      <c r="S2026" s="5"/>
      <c r="T2026" s="5"/>
    </row>
    <row r="2027" hidden="1">
      <c r="A2027" s="4">
        <v>45534.338407048606</v>
      </c>
      <c r="B2027" s="5" t="s">
        <v>19</v>
      </c>
      <c r="C2027" s="5" t="s">
        <v>292</v>
      </c>
      <c r="E2027" s="5" t="s">
        <v>15492</v>
      </c>
      <c r="F2027" s="5" t="s">
        <v>375</v>
      </c>
      <c r="G2027" s="5" t="s">
        <v>15493</v>
      </c>
      <c r="H2027" s="6" t="s">
        <v>15494</v>
      </c>
      <c r="K2027" s="5" t="s">
        <v>15376</v>
      </c>
      <c r="M2027" s="5" t="s">
        <v>15495</v>
      </c>
      <c r="N2027" s="7" t="s">
        <v>15496</v>
      </c>
      <c r="O2027" s="8" t="str">
        <f>HYPERLINK("https://drive.google.com/file/d/17tDadOkkO17D5hF5xml_IPShNMp4spua/view?usp=drivesdk","2026_LUKMAN HARIES, Amd., S.IP _ SERTIFIKAT BIMTEK IPASN BerAKHLASK")</f>
        <v>2026_LUKMAN HARIES, Amd., S.IP _ SERTIFIKAT BIMTEK IPASN BerAKHLASK</v>
      </c>
      <c r="P2027" s="5" t="s">
        <v>15486</v>
      </c>
      <c r="Q2027" s="5"/>
      <c r="R2027" s="5"/>
      <c r="S2027" s="5"/>
      <c r="T2027" s="5"/>
    </row>
    <row r="2028">
      <c r="A2028" s="4">
        <v>45534.33841545139</v>
      </c>
      <c r="B2028" s="5" t="s">
        <v>34</v>
      </c>
      <c r="D2028" s="5" t="s">
        <v>280</v>
      </c>
      <c r="E2028" s="5" t="s">
        <v>15497</v>
      </c>
      <c r="F2028" s="5" t="s">
        <v>72</v>
      </c>
      <c r="G2028" s="5" t="s">
        <v>15498</v>
      </c>
      <c r="H2028" s="6" t="s">
        <v>15499</v>
      </c>
      <c r="K2028" s="5" t="s">
        <v>15376</v>
      </c>
      <c r="M2028" s="5" t="s">
        <v>15500</v>
      </c>
      <c r="N2028" s="7" t="s">
        <v>15501</v>
      </c>
      <c r="O2028" s="8" t="str">
        <f>HYPERLINK("https://drive.google.com/file/d/12wOSOv84bdzWhYFDih-ilU88kw0u18ss/view?usp=drivesdk","2027_IPUNG PURMIATI, A.Md _ SERTIFIKAT BIMTEK IPASN BerAKHLASK")</f>
        <v>2027_IPUNG PURMIATI, A.Md _ SERTIFIKAT BIMTEK IPASN BerAKHLASK</v>
      </c>
      <c r="P2028" s="5" t="s">
        <v>15486</v>
      </c>
      <c r="Q2028" s="5"/>
      <c r="R2028" s="5"/>
      <c r="S2028" s="5"/>
      <c r="T2028" s="5"/>
    </row>
    <row r="2029">
      <c r="A2029" s="4">
        <v>45534.338424629634</v>
      </c>
      <c r="B2029" s="5" t="s">
        <v>34</v>
      </c>
      <c r="D2029" s="5" t="s">
        <v>9394</v>
      </c>
      <c r="E2029" s="5" t="s">
        <v>15502</v>
      </c>
      <c r="F2029" s="5" t="s">
        <v>524</v>
      </c>
      <c r="G2029" s="5" t="s">
        <v>15503</v>
      </c>
      <c r="H2029" s="6" t="s">
        <v>15504</v>
      </c>
      <c r="K2029" s="5" t="s">
        <v>15376</v>
      </c>
      <c r="M2029" s="5" t="s">
        <v>15505</v>
      </c>
      <c r="N2029" s="7" t="s">
        <v>15506</v>
      </c>
      <c r="O2029" s="8" t="str">
        <f>HYPERLINK("https://drive.google.com/file/d/1vJymLDc-xurywwzNnsZdJAltSblw0Dxz/view?usp=drivesdk","2028_PENDA MULYADI, A.Md _ SERTIFIKAT BIMTEK IPASN BerAKHLASK")</f>
        <v>2028_PENDA MULYADI, A.Md _ SERTIFIKAT BIMTEK IPASN BerAKHLASK</v>
      </c>
      <c r="P2029" s="5" t="s">
        <v>15507</v>
      </c>
      <c r="Q2029" s="5"/>
      <c r="R2029" s="5"/>
      <c r="S2029" s="5"/>
      <c r="T2029" s="5"/>
    </row>
    <row r="2030">
      <c r="A2030" s="4">
        <v>45534.338426331014</v>
      </c>
      <c r="B2030" s="5" t="s">
        <v>34</v>
      </c>
      <c r="D2030" s="5" t="s">
        <v>1206</v>
      </c>
      <c r="E2030" s="5" t="s">
        <v>15508</v>
      </c>
      <c r="F2030" s="5" t="s">
        <v>199</v>
      </c>
      <c r="G2030" s="5" t="s">
        <v>15509</v>
      </c>
      <c r="H2030" s="6" t="s">
        <v>15510</v>
      </c>
      <c r="K2030" s="5" t="s">
        <v>15376</v>
      </c>
      <c r="M2030" s="5" t="s">
        <v>15511</v>
      </c>
      <c r="N2030" s="7" t="s">
        <v>15512</v>
      </c>
      <c r="O2030" s="8" t="str">
        <f>HYPERLINK("https://drive.google.com/file/d/1lgIIpy0O6rAw281yqJLVhZGPGYokxtDX/view?usp=drivesdk","2029_DESI RIMBA FARIYANI S kep ns _ SERTIFIKAT BIMTEK IPASN BerAKHLASK")</f>
        <v>2029_DESI RIMBA FARIYANI S kep ns _ SERTIFIKAT BIMTEK IPASN BerAKHLASK</v>
      </c>
      <c r="P2030" s="5" t="s">
        <v>15507</v>
      </c>
      <c r="Q2030" s="5"/>
      <c r="R2030" s="5"/>
      <c r="S2030" s="5"/>
      <c r="T2030" s="5"/>
    </row>
    <row r="2031">
      <c r="A2031" s="4">
        <v>45534.338435150465</v>
      </c>
      <c r="B2031" s="5" t="s">
        <v>34</v>
      </c>
      <c r="D2031" s="5" t="s">
        <v>9020</v>
      </c>
      <c r="E2031" s="5" t="s">
        <v>15513</v>
      </c>
      <c r="F2031" s="5" t="s">
        <v>212</v>
      </c>
      <c r="G2031" s="5" t="s">
        <v>15514</v>
      </c>
      <c r="H2031" s="6" t="s">
        <v>15515</v>
      </c>
      <c r="K2031" s="5" t="s">
        <v>15376</v>
      </c>
      <c r="M2031" s="5" t="s">
        <v>15516</v>
      </c>
      <c r="N2031" s="7" t="s">
        <v>15517</v>
      </c>
      <c r="O2031" s="8" t="str">
        <f>HYPERLINK("https://drive.google.com/file/d/1XDY73PMO4XgmHH-JmIsbxSe0mVn9gl3o/view?usp=drivesdk","2030_DIAN NOVITA _ SERTIFIKAT BIMTEK IPASN BerAKHLASK")</f>
        <v>2030_DIAN NOVITA _ SERTIFIKAT BIMTEK IPASN BerAKHLASK</v>
      </c>
      <c r="P2031" s="5" t="s">
        <v>15507</v>
      </c>
      <c r="Q2031" s="5"/>
      <c r="R2031" s="5"/>
      <c r="S2031" s="5"/>
      <c r="T2031" s="5"/>
    </row>
    <row r="2032">
      <c r="A2032" s="4">
        <v>45534.33843567129</v>
      </c>
      <c r="B2032" s="5" t="s">
        <v>34</v>
      </c>
      <c r="D2032" s="5" t="s">
        <v>35</v>
      </c>
      <c r="E2032" s="5" t="s">
        <v>15518</v>
      </c>
      <c r="F2032" s="5" t="s">
        <v>37</v>
      </c>
      <c r="G2032" s="5" t="s">
        <v>15519</v>
      </c>
      <c r="H2032" s="6" t="s">
        <v>15520</v>
      </c>
      <c r="K2032" s="5" t="s">
        <v>15376</v>
      </c>
      <c r="M2032" s="5" t="s">
        <v>15521</v>
      </c>
      <c r="N2032" s="7" t="s">
        <v>15522</v>
      </c>
      <c r="O2032" s="8" t="str">
        <f>HYPERLINK("https://drive.google.com/file/d/18GWWVVTwXVFdpD17_HnSYCrI_C4Pg4Hs/view?usp=drivesdk","2031_DELLASARI WIDYAMASTUTI _ SERTIFIKAT BIMTEK IPASN BerAKHLASK")</f>
        <v>2031_DELLASARI WIDYAMASTUTI _ SERTIFIKAT BIMTEK IPASN BerAKHLASK</v>
      </c>
      <c r="P2032" s="5" t="s">
        <v>15507</v>
      </c>
      <c r="Q2032" s="5"/>
      <c r="R2032" s="5"/>
      <c r="S2032" s="5"/>
      <c r="T2032" s="5"/>
    </row>
    <row r="2033">
      <c r="A2033" s="4">
        <v>45534.33845357639</v>
      </c>
      <c r="B2033" s="5" t="s">
        <v>34</v>
      </c>
      <c r="D2033" s="5" t="s">
        <v>4775</v>
      </c>
      <c r="E2033" s="5" t="s">
        <v>15523</v>
      </c>
      <c r="F2033" s="5" t="s">
        <v>37</v>
      </c>
      <c r="G2033" s="5" t="s">
        <v>15524</v>
      </c>
      <c r="H2033" s="6" t="s">
        <v>15525</v>
      </c>
      <c r="K2033" s="5" t="s">
        <v>15376</v>
      </c>
      <c r="M2033" s="5" t="s">
        <v>15526</v>
      </c>
      <c r="N2033" s="7" t="s">
        <v>15527</v>
      </c>
      <c r="O2033" s="8" t="str">
        <f>HYPERLINK("https://drive.google.com/file/d/13pqlHjT8VVfb6_53GeTm0b4QFda7m5TX/view?usp=drivesdk","2032_DIANA LUSFIANA, AMK.  _ SERTIFIKAT BIMTEK IPASN BerAKHLASK")</f>
        <v>2032_DIANA LUSFIANA, AMK.  _ SERTIFIKAT BIMTEK IPASN BerAKHLASK</v>
      </c>
      <c r="P2033" s="5" t="s">
        <v>15507</v>
      </c>
      <c r="Q2033" s="5"/>
      <c r="R2033" s="5"/>
      <c r="S2033" s="5"/>
      <c r="T2033" s="5"/>
    </row>
    <row r="2034">
      <c r="A2034" s="4">
        <v>45534.3384559375</v>
      </c>
      <c r="B2034" s="5" t="s">
        <v>34</v>
      </c>
      <c r="D2034" s="5" t="s">
        <v>35</v>
      </c>
      <c r="E2034" s="5" t="s">
        <v>15528</v>
      </c>
      <c r="F2034" s="5" t="s">
        <v>72</v>
      </c>
      <c r="G2034" s="5" t="s">
        <v>15529</v>
      </c>
      <c r="H2034" s="6" t="s">
        <v>15530</v>
      </c>
      <c r="K2034" s="5" t="s">
        <v>15376</v>
      </c>
      <c r="M2034" s="5" t="s">
        <v>15531</v>
      </c>
      <c r="N2034" s="7" t="s">
        <v>15532</v>
      </c>
      <c r="O2034" s="8" t="str">
        <f>HYPERLINK("https://drive.google.com/file/d/1rAWIiXqQE43OoYnQNnKxjTIg2KRCxjdS/view?usp=drivesdk","2033_ACEP KODARUSMAN, S.Kom., M.M. _ SERTIFIKAT BIMTEK IPASN BerAKHLASK")</f>
        <v>2033_ACEP KODARUSMAN, S.Kom., M.M. _ SERTIFIKAT BIMTEK IPASN BerAKHLASK</v>
      </c>
      <c r="P2034" s="5" t="s">
        <v>15533</v>
      </c>
      <c r="Q2034" s="5"/>
      <c r="R2034" s="5"/>
      <c r="S2034" s="5"/>
      <c r="T2034" s="5"/>
    </row>
    <row r="2035" hidden="1">
      <c r="A2035" s="4">
        <v>45534.33845956018</v>
      </c>
      <c r="B2035" s="5" t="s">
        <v>19</v>
      </c>
      <c r="C2035" s="5" t="s">
        <v>442</v>
      </c>
      <c r="E2035" s="5" t="s">
        <v>15534</v>
      </c>
      <c r="F2035" s="5" t="s">
        <v>72</v>
      </c>
      <c r="G2035" s="5" t="s">
        <v>15535</v>
      </c>
      <c r="H2035" s="6" t="s">
        <v>15536</v>
      </c>
      <c r="K2035" s="5" t="s">
        <v>15376</v>
      </c>
      <c r="M2035" s="5" t="s">
        <v>15537</v>
      </c>
      <c r="N2035" s="7" t="s">
        <v>15538</v>
      </c>
      <c r="O2035" s="8" t="str">
        <f>HYPERLINK("https://drive.google.com/file/d/192zYZBd4hbW-c1RldDDxkEoac008jX8P/view?usp=drivesdk","2034_SUMIYATI, S.E. _ SERTIFIKAT BIMTEK IPASN BerAKHLASK")</f>
        <v>2034_SUMIYATI, S.E. _ SERTIFIKAT BIMTEK IPASN BerAKHLASK</v>
      </c>
      <c r="P2035" s="5" t="s">
        <v>15533</v>
      </c>
      <c r="Q2035" s="5"/>
      <c r="R2035" s="5"/>
      <c r="S2035" s="5"/>
      <c r="T2035" s="5"/>
    </row>
    <row r="2036">
      <c r="A2036" s="4">
        <v>45534.3384644676</v>
      </c>
      <c r="B2036" s="5" t="s">
        <v>34</v>
      </c>
      <c r="D2036" s="5" t="s">
        <v>2903</v>
      </c>
      <c r="E2036" s="5" t="s">
        <v>15539</v>
      </c>
      <c r="F2036" s="5" t="s">
        <v>524</v>
      </c>
      <c r="G2036" s="5" t="s">
        <v>15540</v>
      </c>
      <c r="H2036" s="6" t="s">
        <v>15541</v>
      </c>
      <c r="K2036" s="5" t="s">
        <v>15376</v>
      </c>
      <c r="M2036" s="5" t="s">
        <v>15542</v>
      </c>
      <c r="N2036" s="7" t="s">
        <v>15543</v>
      </c>
      <c r="O2036" s="8" t="str">
        <f>HYPERLINK("https://drive.google.com/file/d/1jsrajtJzk-maiJaC4_EOx8i0881M7TBc/view?usp=drivesdk","2035_YULIANA, SKM _ SERTIFIKAT BIMTEK IPASN BerAKHLASK")</f>
        <v>2035_YULIANA, SKM _ SERTIFIKAT BIMTEK IPASN BerAKHLASK</v>
      </c>
      <c r="P2036" s="5" t="s">
        <v>15533</v>
      </c>
      <c r="Q2036" s="5"/>
      <c r="R2036" s="5"/>
      <c r="S2036" s="5"/>
      <c r="T2036" s="5"/>
    </row>
    <row r="2037">
      <c r="A2037" s="4">
        <v>45534.338466574074</v>
      </c>
      <c r="B2037" s="5" t="s">
        <v>34</v>
      </c>
      <c r="D2037" s="5" t="s">
        <v>10297</v>
      </c>
      <c r="E2037" s="5" t="s">
        <v>15544</v>
      </c>
      <c r="F2037" s="5" t="s">
        <v>524</v>
      </c>
      <c r="G2037" s="5" t="s">
        <v>15545</v>
      </c>
      <c r="H2037" s="6" t="s">
        <v>15546</v>
      </c>
      <c r="K2037" s="5" t="s">
        <v>15376</v>
      </c>
      <c r="M2037" s="5" t="s">
        <v>15547</v>
      </c>
      <c r="N2037" s="7" t="s">
        <v>15548</v>
      </c>
      <c r="O2037" s="8" t="str">
        <f>HYPERLINK("https://drive.google.com/file/d/1759vj5PmwTehNvglnBInzWCHiTiWBRS8/view?usp=drivesdk","2036_MUHAMAD IQBAL, S.Kom., S.H. _ SERTIFIKAT BIMTEK IPASN BerAKHLASK")</f>
        <v>2036_MUHAMAD IQBAL, S.Kom., S.H. _ SERTIFIKAT BIMTEK IPASN BerAKHLASK</v>
      </c>
      <c r="P2037" s="5" t="s">
        <v>15533</v>
      </c>
      <c r="Q2037" s="5"/>
      <c r="R2037" s="5"/>
      <c r="S2037" s="5"/>
      <c r="T2037" s="5"/>
    </row>
    <row r="2038" hidden="1">
      <c r="A2038" s="4">
        <v>45534.33846733796</v>
      </c>
      <c r="B2038" s="5" t="s">
        <v>19</v>
      </c>
      <c r="C2038" s="5" t="s">
        <v>14000</v>
      </c>
      <c r="E2038" s="5" t="s">
        <v>15549</v>
      </c>
      <c r="F2038" s="5" t="s">
        <v>108</v>
      </c>
      <c r="G2038" s="5" t="s">
        <v>15550</v>
      </c>
      <c r="H2038" s="6" t="s">
        <v>15551</v>
      </c>
      <c r="K2038" s="5" t="s">
        <v>15376</v>
      </c>
      <c r="M2038" s="5" t="s">
        <v>15552</v>
      </c>
      <c r="N2038" s="7" t="s">
        <v>15553</v>
      </c>
      <c r="O2038" s="8" t="str">
        <f>HYPERLINK("https://drive.google.com/file/d/1MiB1ne68raQCf2d1EI7oIZIJfH1VUidn/view?usp=drivesdk","2037_IRMAWATI AMD _ SERTIFIKAT BIMTEK IPASN BerAKHLASK")</f>
        <v>2037_IRMAWATI AMD _ SERTIFIKAT BIMTEK IPASN BerAKHLASK</v>
      </c>
      <c r="P2038" s="5" t="s">
        <v>15533</v>
      </c>
      <c r="Q2038" s="5"/>
      <c r="R2038" s="5"/>
      <c r="S2038" s="5"/>
      <c r="T2038" s="5"/>
    </row>
    <row r="2039">
      <c r="A2039" s="4">
        <v>45534.33846833333</v>
      </c>
      <c r="B2039" s="5" t="s">
        <v>34</v>
      </c>
      <c r="D2039" s="5" t="s">
        <v>12010</v>
      </c>
      <c r="E2039" s="5" t="s">
        <v>15554</v>
      </c>
      <c r="F2039" s="5" t="s">
        <v>37</v>
      </c>
      <c r="G2039" s="5" t="s">
        <v>15555</v>
      </c>
      <c r="H2039" s="6" t="s">
        <v>15556</v>
      </c>
      <c r="K2039" s="5" t="s">
        <v>15376</v>
      </c>
      <c r="M2039" s="5" t="s">
        <v>15557</v>
      </c>
      <c r="N2039" s="7" t="s">
        <v>15558</v>
      </c>
      <c r="O2039" s="8" t="str">
        <f>HYPERLINK("https://drive.google.com/file/d/16yqekJN6o0577iMkZO9IyjRGJEWNvdD4/view?usp=drivesdk","2038_RAMDHA LAADI _ SERTIFIKAT BIMTEK IPASN BerAKHLASK")</f>
        <v>2038_RAMDHA LAADI _ SERTIFIKAT BIMTEK IPASN BerAKHLASK</v>
      </c>
      <c r="P2039" s="5" t="s">
        <v>15443</v>
      </c>
      <c r="Q2039" s="5"/>
      <c r="R2039" s="5"/>
      <c r="S2039" s="5"/>
      <c r="T2039" s="5"/>
    </row>
    <row r="2040">
      <c r="A2040" s="4">
        <v>45534.338468761576</v>
      </c>
      <c r="B2040" s="5" t="s">
        <v>34</v>
      </c>
      <c r="D2040" s="5" t="s">
        <v>2903</v>
      </c>
      <c r="E2040" s="5" t="s">
        <v>15559</v>
      </c>
      <c r="F2040" s="5" t="s">
        <v>120</v>
      </c>
      <c r="G2040" s="5" t="s">
        <v>15560</v>
      </c>
      <c r="H2040" s="6" t="s">
        <v>15561</v>
      </c>
      <c r="K2040" s="5" t="s">
        <v>15376</v>
      </c>
      <c r="M2040" s="5" t="s">
        <v>15562</v>
      </c>
      <c r="N2040" s="7" t="s">
        <v>15563</v>
      </c>
      <c r="O2040" s="8" t="str">
        <f>HYPERLINK("https://drive.google.com/file/d/1Y_z9TE9qin_uT_D3J-zMUb4Qv08d10A2/view?usp=drivesdk","2039_ABU HASAN, S.Ag.,M.H. _ SERTIFIKAT BIMTEK IPASN BerAKHLASK")</f>
        <v>2039_ABU HASAN, S.Ag.,M.H. _ SERTIFIKAT BIMTEK IPASN BerAKHLASK</v>
      </c>
      <c r="P2040" s="5" t="s">
        <v>15443</v>
      </c>
      <c r="Q2040" s="5"/>
      <c r="R2040" s="5"/>
      <c r="S2040" s="5"/>
      <c r="T2040" s="5"/>
    </row>
    <row r="2041">
      <c r="A2041" s="4">
        <v>45534.33847275463</v>
      </c>
      <c r="B2041" s="5" t="s">
        <v>34</v>
      </c>
      <c r="D2041" s="5" t="s">
        <v>1456</v>
      </c>
      <c r="E2041" s="5" t="s">
        <v>15564</v>
      </c>
      <c r="F2041" s="5" t="s">
        <v>375</v>
      </c>
      <c r="G2041" s="5" t="s">
        <v>15565</v>
      </c>
      <c r="H2041" s="6" t="s">
        <v>15566</v>
      </c>
      <c r="K2041" s="5" t="s">
        <v>15376</v>
      </c>
      <c r="M2041" s="5" t="s">
        <v>15567</v>
      </c>
      <c r="N2041" s="7" t="s">
        <v>15568</v>
      </c>
      <c r="O2041" s="8" t="str">
        <f>HYPERLINK("https://drive.google.com/file/d/18YtNZ5rYnHm-Qt9rXhT8PI6WSrsbeo9D/view?usp=drivesdk","2040_LUSIANA, S.E _ SERTIFIKAT BIMTEK IPASN BerAKHLASK")</f>
        <v>2040_LUSIANA, S.E _ SERTIFIKAT BIMTEK IPASN BerAKHLASK</v>
      </c>
      <c r="P2041" s="5" t="s">
        <v>15443</v>
      </c>
      <c r="Q2041" s="5"/>
      <c r="R2041" s="5"/>
      <c r="S2041" s="5"/>
      <c r="T2041" s="5"/>
    </row>
    <row r="2042">
      <c r="A2042" s="4">
        <v>45534.33847362269</v>
      </c>
      <c r="B2042" s="5" t="s">
        <v>34</v>
      </c>
      <c r="D2042" s="5" t="s">
        <v>2903</v>
      </c>
      <c r="E2042" s="5" t="s">
        <v>15569</v>
      </c>
      <c r="F2042" s="5" t="s">
        <v>375</v>
      </c>
      <c r="G2042" s="5" t="s">
        <v>15570</v>
      </c>
      <c r="H2042" s="6" t="s">
        <v>15571</v>
      </c>
      <c r="K2042" s="5" t="s">
        <v>15376</v>
      </c>
      <c r="M2042" s="5" t="s">
        <v>15572</v>
      </c>
      <c r="N2042" s="7" t="s">
        <v>15573</v>
      </c>
      <c r="O2042" s="8" t="str">
        <f>HYPERLINK("https://drive.google.com/file/d/1lg4xHVpzl0FMGyWHdhsdcbOmgGBJrD63/view?usp=drivesdk","2041_DEMIRSA _ SERTIFIKAT BIMTEK IPASN BerAKHLASK")</f>
        <v>2041_DEMIRSA _ SERTIFIKAT BIMTEK IPASN BerAKHLASK</v>
      </c>
      <c r="P2042" s="5" t="s">
        <v>15443</v>
      </c>
      <c r="Q2042" s="5"/>
      <c r="R2042" s="5"/>
      <c r="S2042" s="5"/>
      <c r="T2042" s="5"/>
    </row>
    <row r="2043">
      <c r="A2043" s="4">
        <v>45534.338482858795</v>
      </c>
      <c r="B2043" s="5" t="s">
        <v>34</v>
      </c>
      <c r="D2043" s="5" t="s">
        <v>35</v>
      </c>
      <c r="E2043" s="5" t="s">
        <v>15574</v>
      </c>
      <c r="F2043" s="5" t="s">
        <v>212</v>
      </c>
      <c r="G2043" s="5" t="s">
        <v>15575</v>
      </c>
      <c r="H2043" s="6" t="s">
        <v>15576</v>
      </c>
      <c r="K2043" s="5" t="s">
        <v>15376</v>
      </c>
      <c r="M2043" s="5" t="s">
        <v>15577</v>
      </c>
      <c r="N2043" s="7" t="s">
        <v>15578</v>
      </c>
      <c r="O2043" s="8" t="str">
        <f>HYPERLINK("https://drive.google.com/file/d/1DZ8l04bHU4xN0nIWL0hnMNGgaW4Ix9fP/view?usp=drivesdk","2042_DEWI ASRI, Amd _ SERTIFIKAT BIMTEK IPASN BerAKHLASK")</f>
        <v>2042_DEWI ASRI, Amd _ SERTIFIKAT BIMTEK IPASN BerAKHLASK</v>
      </c>
      <c r="P2043" s="5" t="s">
        <v>15443</v>
      </c>
      <c r="Q2043" s="5"/>
      <c r="R2043" s="5"/>
      <c r="S2043" s="5"/>
      <c r="T2043" s="5"/>
    </row>
    <row r="2044">
      <c r="A2044" s="4">
        <v>45534.338490625</v>
      </c>
      <c r="B2044" s="5" t="s">
        <v>34</v>
      </c>
      <c r="D2044" s="5" t="s">
        <v>1768</v>
      </c>
      <c r="E2044" s="5" t="s">
        <v>15579</v>
      </c>
      <c r="F2044" s="5" t="s">
        <v>72</v>
      </c>
      <c r="G2044" s="5" t="s">
        <v>15580</v>
      </c>
      <c r="H2044" s="6" t="s">
        <v>15581</v>
      </c>
      <c r="K2044" s="5" t="s">
        <v>15376</v>
      </c>
      <c r="M2044" s="5" t="s">
        <v>15582</v>
      </c>
      <c r="N2044" s="7" t="s">
        <v>15583</v>
      </c>
      <c r="O2044" s="8" t="str">
        <f>HYPERLINK("https://drive.google.com/file/d/1gULxCHlpxMxw53CO4QPSJ4bPfixsfoAA/view?usp=drivesdk","2043_Dr MAWAR m _ SERTIFIKAT BIMTEK IPASN BerAKHLASK")</f>
        <v>2043_Dr MAWAR m _ SERTIFIKAT BIMTEK IPASN BerAKHLASK</v>
      </c>
      <c r="P2044" s="5" t="s">
        <v>15584</v>
      </c>
      <c r="Q2044" s="5"/>
      <c r="R2044" s="5"/>
      <c r="S2044" s="5"/>
      <c r="T2044" s="5"/>
    </row>
    <row r="2045">
      <c r="A2045" s="4">
        <v>45534.33849285879</v>
      </c>
      <c r="B2045" s="5" t="s">
        <v>34</v>
      </c>
      <c r="D2045" s="5" t="s">
        <v>35</v>
      </c>
      <c r="E2045" s="5" t="s">
        <v>15585</v>
      </c>
      <c r="F2045" s="5" t="s">
        <v>212</v>
      </c>
      <c r="G2045" s="5" t="s">
        <v>15586</v>
      </c>
      <c r="H2045" s="6" t="s">
        <v>15587</v>
      </c>
      <c r="K2045" s="5" t="s">
        <v>15588</v>
      </c>
      <c r="M2045" s="5" t="s">
        <v>15589</v>
      </c>
      <c r="N2045" s="7" t="s">
        <v>15590</v>
      </c>
      <c r="O2045" s="8" t="str">
        <f>HYPERLINK("https://drive.google.com/file/d/1aRspUQn3JP7nDZ0aryS3WTbotoemiTJw/view?usp=drivesdk","2044_ISWAHONO _ SERTIFIKAT BIMTEK IPASN BerAKHLASK")</f>
        <v>2044_ISWAHONO _ SERTIFIKAT BIMTEK IPASN BerAKHLASK</v>
      </c>
      <c r="P2045" s="5" t="s">
        <v>15584</v>
      </c>
      <c r="Q2045" s="5"/>
      <c r="R2045" s="5"/>
      <c r="S2045" s="5"/>
      <c r="T2045" s="5"/>
    </row>
    <row r="2046">
      <c r="A2046" s="4">
        <v>45534.33849841435</v>
      </c>
      <c r="B2046" s="5" t="s">
        <v>34</v>
      </c>
      <c r="D2046" s="5" t="s">
        <v>6232</v>
      </c>
      <c r="E2046" s="5" t="s">
        <v>15591</v>
      </c>
      <c r="F2046" s="5" t="s">
        <v>212</v>
      </c>
      <c r="G2046" s="5" t="s">
        <v>15592</v>
      </c>
      <c r="H2046" s="6" t="s">
        <v>15593</v>
      </c>
      <c r="K2046" s="5" t="s">
        <v>15588</v>
      </c>
      <c r="M2046" s="5" t="s">
        <v>15594</v>
      </c>
      <c r="N2046" s="7" t="s">
        <v>15595</v>
      </c>
      <c r="O2046" s="8" t="str">
        <f>HYPERLINK("https://drive.google.com/file/d/1VRrYny_PTb0HM63cqwYpsFsx4s78RBiL/view?usp=drivesdk","2045_NURHIDAYAH, S.IP. _ SERTIFIKAT BIMTEK IPASN BerAKHLASK")</f>
        <v>2045_NURHIDAYAH, S.IP. _ SERTIFIKAT BIMTEK IPASN BerAKHLASK</v>
      </c>
      <c r="P2046" s="5" t="s">
        <v>15584</v>
      </c>
      <c r="Q2046" s="5"/>
      <c r="R2046" s="5"/>
      <c r="S2046" s="5"/>
      <c r="T2046" s="5"/>
    </row>
    <row r="2047">
      <c r="A2047" s="4">
        <v>45534.33851045139</v>
      </c>
      <c r="B2047" s="5" t="s">
        <v>34</v>
      </c>
      <c r="D2047" s="5" t="s">
        <v>1558</v>
      </c>
      <c r="E2047" s="5" t="s">
        <v>15596</v>
      </c>
      <c r="F2047" s="5" t="s">
        <v>375</v>
      </c>
      <c r="G2047" s="5" t="s">
        <v>15597</v>
      </c>
      <c r="H2047" s="6" t="s">
        <v>15598</v>
      </c>
      <c r="K2047" s="5" t="s">
        <v>15588</v>
      </c>
      <c r="M2047" s="5" t="s">
        <v>15599</v>
      </c>
      <c r="N2047" s="7" t="s">
        <v>15600</v>
      </c>
      <c r="O2047" s="8" t="str">
        <f>HYPERLINK("https://drive.google.com/file/d/1gcicP8xrCFHCv_Km2JyBhRi-ekNKRmOd/view?usp=drivesdk","2046_MELLYANA, S. E., M. Tr. A. P _ SERTIFIKAT BIMTEK IPASN BerAKHLASK")</f>
        <v>2046_MELLYANA, S. E., M. Tr. A. P _ SERTIFIKAT BIMTEK IPASN BerAKHLASK</v>
      </c>
      <c r="P2047" s="5" t="s">
        <v>15584</v>
      </c>
      <c r="Q2047" s="5"/>
      <c r="R2047" s="5"/>
      <c r="S2047" s="5"/>
      <c r="T2047" s="5"/>
    </row>
    <row r="2048">
      <c r="A2048" s="4">
        <v>45534.33853491898</v>
      </c>
      <c r="B2048" s="5" t="s">
        <v>34</v>
      </c>
      <c r="D2048" s="5" t="s">
        <v>1206</v>
      </c>
      <c r="E2048" s="5" t="s">
        <v>15601</v>
      </c>
      <c r="F2048" s="5" t="s">
        <v>212</v>
      </c>
      <c r="G2048" s="5" t="s">
        <v>15602</v>
      </c>
      <c r="H2048" s="6" t="s">
        <v>15603</v>
      </c>
      <c r="K2048" s="5" t="s">
        <v>15588</v>
      </c>
      <c r="M2048" s="5" t="s">
        <v>15604</v>
      </c>
      <c r="N2048" s="7" t="s">
        <v>15605</v>
      </c>
      <c r="O2048" s="8" t="str">
        <f>HYPERLINK("https://drive.google.com/file/d/1L-LTlvYKWEm-Uxo0StQj6NHaJIcOD5Y6/view?usp=drivesdk","2047_SURATMIYATI  _ SERTIFIKAT BIMTEK IPASN BerAKHLASK")</f>
        <v>2047_SURATMIYATI  _ SERTIFIKAT BIMTEK IPASN BerAKHLASK</v>
      </c>
      <c r="P2048" s="5" t="s">
        <v>15584</v>
      </c>
      <c r="Q2048" s="5"/>
      <c r="R2048" s="5"/>
      <c r="S2048" s="5"/>
      <c r="T2048" s="5"/>
    </row>
    <row r="2049">
      <c r="A2049" s="4">
        <v>45534.338561400466</v>
      </c>
      <c r="B2049" s="5" t="s">
        <v>34</v>
      </c>
      <c r="D2049" s="5" t="s">
        <v>35</v>
      </c>
      <c r="E2049" s="5" t="s">
        <v>15606</v>
      </c>
      <c r="F2049" s="5" t="s">
        <v>72</v>
      </c>
      <c r="G2049" s="5" t="s">
        <v>15607</v>
      </c>
      <c r="H2049" s="6" t="s">
        <v>15608</v>
      </c>
      <c r="I2049" s="7" t="s">
        <v>15609</v>
      </c>
      <c r="J2049" s="8" t="str">
        <f>HYPERLINK("https://drive.google.com/file/d/19H58X9o28E-jfBXRElaacQK4-nIFk0ph/view?usp=drivesdk","SUGIARTI SERTIFIKAT BerAKHLAK")</f>
        <v>SUGIARTI SERTIFIKAT BerAKHLAK</v>
      </c>
      <c r="K2049" s="5" t="s">
        <v>14093</v>
      </c>
      <c r="L2049" s="5" t="s">
        <v>15610</v>
      </c>
      <c r="M2049" s="5" t="s">
        <v>15611</v>
      </c>
      <c r="N2049" s="7" t="s">
        <v>15612</v>
      </c>
      <c r="O2049" s="8" t="str">
        <f>HYPERLINK("https://drive.google.com/file/d/1KTh8FFjQgr6mmBxZ5MAemJUKoArNavR4/view?usp=drivesdk","2048_SUGIARTI _ SERTIFIKAT BIMTEK IPASN BerAKHLASK")</f>
        <v>2048_SUGIARTI _ SERTIFIKAT BIMTEK IPASN BerAKHLASK</v>
      </c>
      <c r="P2049" s="5" t="s">
        <v>15584</v>
      </c>
      <c r="Q2049" s="5"/>
      <c r="R2049" s="5"/>
      <c r="S2049" s="5"/>
      <c r="T2049" s="5"/>
    </row>
    <row r="2050">
      <c r="A2050" s="4">
        <v>45534.33856754629</v>
      </c>
      <c r="B2050" s="5" t="s">
        <v>34</v>
      </c>
      <c r="D2050" s="5" t="s">
        <v>9020</v>
      </c>
      <c r="E2050" s="5" t="s">
        <v>15613</v>
      </c>
      <c r="F2050" s="5" t="s">
        <v>715</v>
      </c>
      <c r="G2050" s="5" t="s">
        <v>15614</v>
      </c>
      <c r="H2050" s="6" t="s">
        <v>15615</v>
      </c>
      <c r="I2050" s="7" t="s">
        <v>15616</v>
      </c>
      <c r="J2050" s="8" t="str">
        <f>HYPERLINK("https://drive.google.com/file/d/1072cdkhpK4EMxaAEimEWTcIOWEUqglUV/view?usp=drivesdk","ARNISA NADDYA SERTIFIKAT BerAKHLAK")</f>
        <v>ARNISA NADDYA SERTIFIKAT BerAKHLAK</v>
      </c>
      <c r="K2050" s="5" t="s">
        <v>14093</v>
      </c>
      <c r="L2050" s="5" t="s">
        <v>15617</v>
      </c>
      <c r="M2050" s="5" t="s">
        <v>15618</v>
      </c>
      <c r="N2050" s="7" t="s">
        <v>15619</v>
      </c>
      <c r="O2050" s="8" t="str">
        <f>HYPERLINK("https://drive.google.com/file/d/1CVF86mBt5gZw4Wj8-zv5D3rwRdQ8ItpX/view?usp=drivesdk","2049_ARNISA NADDYA _ SERTIFIKAT BIMTEK IPASN BerAKHLASK")</f>
        <v>2049_ARNISA NADDYA _ SERTIFIKAT BIMTEK IPASN BerAKHLASK</v>
      </c>
      <c r="P2050" s="5" t="s">
        <v>15620</v>
      </c>
      <c r="Q2050" s="5"/>
      <c r="R2050" s="5"/>
      <c r="S2050" s="5"/>
      <c r="T2050" s="5"/>
    </row>
    <row r="2051">
      <c r="A2051" s="4">
        <v>45534.33856765046</v>
      </c>
      <c r="B2051" s="5" t="s">
        <v>34</v>
      </c>
      <c r="D2051" s="5" t="s">
        <v>35</v>
      </c>
      <c r="E2051" s="5" t="s">
        <v>15621</v>
      </c>
      <c r="F2051" s="5" t="s">
        <v>108</v>
      </c>
      <c r="G2051" s="5" t="s">
        <v>15622</v>
      </c>
      <c r="H2051" s="6" t="s">
        <v>15623</v>
      </c>
      <c r="I2051" s="7" t="s">
        <v>15624</v>
      </c>
      <c r="J2051" s="8" t="str">
        <f>HYPERLINK("https://drive.google.com/file/d/12-vsgTQb9MC7x9Cv1fAodjlY6eQkjSJT/view?usp=drivesdk","AAN WIANA SERTIFIKAT BerAKHLAK")</f>
        <v>AAN WIANA SERTIFIKAT BerAKHLAK</v>
      </c>
      <c r="K2051" s="5" t="s">
        <v>14093</v>
      </c>
      <c r="L2051" s="5" t="s">
        <v>15625</v>
      </c>
      <c r="M2051" s="5" t="s">
        <v>15626</v>
      </c>
      <c r="N2051" s="7" t="s">
        <v>15627</v>
      </c>
      <c r="O2051" s="8" t="str">
        <f>HYPERLINK("https://drive.google.com/file/d/1eY5AvRBBYVeWDO0H77GuZeLNLV3fXaM3/view?usp=drivesdk","2050_AAN WIANA _ SERTIFIKAT BIMTEK IPASN BerAKHLASK")</f>
        <v>2050_AAN WIANA _ SERTIFIKAT BIMTEK IPASN BerAKHLASK</v>
      </c>
      <c r="P2051" s="5" t="s">
        <v>15620</v>
      </c>
      <c r="Q2051" s="5"/>
      <c r="R2051" s="5"/>
      <c r="S2051" s="5"/>
      <c r="T2051" s="5"/>
    </row>
    <row r="2052">
      <c r="A2052" s="4">
        <v>45534.3385684838</v>
      </c>
      <c r="B2052" s="5" t="s">
        <v>34</v>
      </c>
      <c r="D2052" s="5" t="s">
        <v>280</v>
      </c>
      <c r="E2052" s="5" t="s">
        <v>15628</v>
      </c>
      <c r="F2052" s="5" t="s">
        <v>212</v>
      </c>
      <c r="G2052" s="5" t="s">
        <v>15629</v>
      </c>
      <c r="H2052" s="6" t="s">
        <v>15630</v>
      </c>
      <c r="I2052" s="7" t="s">
        <v>15631</v>
      </c>
      <c r="J2052" s="8" t="str">
        <f>HYPERLINK("https://drive.google.com/file/d/1uUfOz88pjNC5JZlhdDcvpsIVOXWDMv5I/view?usp=drivesdk","NURAINI SERTIFIKAT BerAKHLAK")</f>
        <v>NURAINI SERTIFIKAT BerAKHLAK</v>
      </c>
      <c r="K2052" s="5" t="s">
        <v>14093</v>
      </c>
      <c r="L2052" s="5" t="s">
        <v>15632</v>
      </c>
      <c r="M2052" s="5" t="s">
        <v>15633</v>
      </c>
      <c r="N2052" s="7" t="s">
        <v>15634</v>
      </c>
      <c r="O2052" s="8" t="str">
        <f>HYPERLINK("https://drive.google.com/file/d/1_OF3fmYeA9kCASP4H5gK9A9VhnAB0-y-/view?usp=drivesdk","2051_NURAINI _ SERTIFIKAT BIMTEK IPASN BerAKHLASK")</f>
        <v>2051_NURAINI _ SERTIFIKAT BIMTEK IPASN BerAKHLASK</v>
      </c>
      <c r="P2052" s="5" t="s">
        <v>15620</v>
      </c>
      <c r="Q2052" s="5"/>
      <c r="R2052" s="5"/>
      <c r="S2052" s="5"/>
      <c r="T2052" s="5"/>
    </row>
    <row r="2053">
      <c r="A2053" s="4">
        <v>45534.33856981482</v>
      </c>
      <c r="B2053" s="5" t="s">
        <v>34</v>
      </c>
      <c r="D2053" s="5" t="s">
        <v>4775</v>
      </c>
      <c r="E2053" s="5" t="s">
        <v>15635</v>
      </c>
      <c r="F2053" s="5" t="s">
        <v>212</v>
      </c>
      <c r="G2053" s="5" t="s">
        <v>15636</v>
      </c>
      <c r="H2053" s="6" t="s">
        <v>15637</v>
      </c>
      <c r="I2053" s="7" t="s">
        <v>15638</v>
      </c>
      <c r="J2053" s="8" t="str">
        <f>HYPERLINK("https://drive.google.com/file/d/19g0QTx5lQlJEXpqiBiLFBsYFKOLYES1s/view?usp=drivesdk","HERNANTO EKA PIPITARDI  SERTIFIKAT BerAKHLAK")</f>
        <v>HERNANTO EKA PIPITARDI  SERTIFIKAT BerAKHLAK</v>
      </c>
      <c r="K2053" s="5" t="s">
        <v>14116</v>
      </c>
      <c r="L2053" s="5" t="s">
        <v>15639</v>
      </c>
      <c r="M2053" s="5" t="s">
        <v>15640</v>
      </c>
      <c r="N2053" s="7" t="s">
        <v>15641</v>
      </c>
      <c r="O2053" s="8" t="str">
        <f>HYPERLINK("https://drive.google.com/file/d/1jSmySOub0NYrDFRWew7a3KvTDDJnKAmB/view?usp=drivesdk","2052_HERNANTO EKA PIPITARDI  _ SERTIFIKAT BIMTEK IPASN BerAKHLASK")</f>
        <v>2052_HERNANTO EKA PIPITARDI  _ SERTIFIKAT BIMTEK IPASN BerAKHLASK</v>
      </c>
      <c r="P2053" s="5" t="s">
        <v>15620</v>
      </c>
      <c r="Q2053" s="5"/>
      <c r="R2053" s="5"/>
      <c r="S2053" s="5"/>
      <c r="T2053" s="5"/>
    </row>
    <row r="2054" hidden="1">
      <c r="A2054" s="4">
        <v>45534.33857032408</v>
      </c>
      <c r="B2054" s="5" t="s">
        <v>19</v>
      </c>
      <c r="C2054" s="5" t="s">
        <v>3301</v>
      </c>
      <c r="E2054" s="5" t="s">
        <v>15642</v>
      </c>
      <c r="F2054" s="5" t="s">
        <v>37</v>
      </c>
      <c r="G2054" s="5" t="s">
        <v>15643</v>
      </c>
      <c r="H2054" s="6" t="s">
        <v>15644</v>
      </c>
      <c r="I2054" s="7" t="s">
        <v>15645</v>
      </c>
      <c r="J2054" s="8" t="str">
        <f>HYPERLINK("https://drive.google.com/file/d/1uZiszDK7EpIGzq-BQlE9klhP2LC7JXfg/view?usp=drivesdk","VIRRY HASANATAL MILA, A.Md.AK SERTIFIKAT BerAKHLAK")</f>
        <v>VIRRY HASANATAL MILA, A.Md.AK SERTIFIKAT BerAKHLAK</v>
      </c>
      <c r="K2054" s="5" t="s">
        <v>14116</v>
      </c>
      <c r="L2054" s="5" t="s">
        <v>15646</v>
      </c>
      <c r="M2054" s="5" t="s">
        <v>15647</v>
      </c>
      <c r="N2054" s="7" t="s">
        <v>15648</v>
      </c>
      <c r="O2054" s="8" t="str">
        <f>HYPERLINK("https://drive.google.com/file/d/18XLEYfBcRZxjO1_rSC16-JVziXXXrs3i/view?usp=drivesdk","2053_VIRRY HASANATAL MILA, A.Md.AK _ SERTIFIKAT BIMTEK IPASN BerAKHLASK")</f>
        <v>2053_VIRRY HASANATAL MILA, A.Md.AK _ SERTIFIKAT BIMTEK IPASN BerAKHLASK</v>
      </c>
      <c r="P2054" s="5" t="s">
        <v>15620</v>
      </c>
      <c r="Q2054" s="5"/>
      <c r="R2054" s="5"/>
      <c r="S2054" s="5"/>
      <c r="T2054" s="5"/>
    </row>
    <row r="2055">
      <c r="A2055" s="4">
        <v>45534.33857673611</v>
      </c>
      <c r="B2055" s="5" t="s">
        <v>34</v>
      </c>
      <c r="D2055" s="5" t="s">
        <v>4775</v>
      </c>
      <c r="E2055" s="5" t="s">
        <v>15649</v>
      </c>
      <c r="F2055" s="5" t="s">
        <v>72</v>
      </c>
      <c r="G2055" s="5" t="s">
        <v>15650</v>
      </c>
      <c r="H2055" s="6" t="s">
        <v>15651</v>
      </c>
      <c r="K2055" s="5" t="s">
        <v>15652</v>
      </c>
      <c r="M2055" s="5" t="s">
        <v>15653</v>
      </c>
      <c r="N2055" s="7" t="s">
        <v>15654</v>
      </c>
      <c r="O2055" s="8" t="str">
        <f>HYPERLINK("https://drive.google.com/file/d/1-5VUYXVdIZk2AeFyLrq2ewDOB7W_YN4Y/view?usp=drivesdk","2054_SITI NGAISAH, S.AP. _ SERTIFIKAT BIMTEK IPASN BerAKHLASK")</f>
        <v>2054_SITI NGAISAH, S.AP. _ SERTIFIKAT BIMTEK IPASN BerAKHLASK</v>
      </c>
      <c r="P2055" s="5" t="s">
        <v>15655</v>
      </c>
      <c r="Q2055" s="5"/>
      <c r="R2055" s="5"/>
      <c r="S2055" s="5"/>
      <c r="T2055" s="5"/>
    </row>
    <row r="2056">
      <c r="A2056" s="4">
        <v>45534.33857208333</v>
      </c>
      <c r="B2056" s="5" t="s">
        <v>34</v>
      </c>
      <c r="D2056" s="5" t="s">
        <v>10444</v>
      </c>
      <c r="E2056" s="5" t="s">
        <v>15656</v>
      </c>
      <c r="F2056" s="5" t="s">
        <v>328</v>
      </c>
      <c r="G2056" s="5" t="s">
        <v>15657</v>
      </c>
      <c r="H2056" s="6" t="s">
        <v>15658</v>
      </c>
      <c r="K2056" s="5" t="s">
        <v>15652</v>
      </c>
      <c r="M2056" s="5" t="s">
        <v>15659</v>
      </c>
      <c r="N2056" s="7" t="s">
        <v>15660</v>
      </c>
      <c r="O2056" s="8" t="str">
        <f>HYPERLINK("https://drive.google.com/file/d/1h-GJ643QK0CI4T0tjHLHddjp8KY5dbwR/view?usp=drivesdk","2055_NINA SATRIYANA, S. Ak.  _ SERTIFIKAT BIMTEK IPASN BerAKHLASK")</f>
        <v>2055_NINA SATRIYANA, S. Ak.  _ SERTIFIKAT BIMTEK IPASN BerAKHLASK</v>
      </c>
      <c r="P2056" s="5" t="s">
        <v>15655</v>
      </c>
      <c r="Q2056" s="5"/>
      <c r="R2056" s="5"/>
      <c r="S2056" s="5"/>
      <c r="T2056" s="5"/>
    </row>
    <row r="2057">
      <c r="A2057" s="4">
        <v>45534.338578043986</v>
      </c>
      <c r="B2057" s="5" t="s">
        <v>34</v>
      </c>
      <c r="D2057" s="5" t="s">
        <v>4775</v>
      </c>
      <c r="E2057" s="5" t="s">
        <v>15661</v>
      </c>
      <c r="F2057" s="5" t="s">
        <v>37</v>
      </c>
      <c r="G2057" s="5" t="s">
        <v>15662</v>
      </c>
      <c r="H2057" s="6" t="s">
        <v>15663</v>
      </c>
      <c r="K2057" s="5" t="s">
        <v>15652</v>
      </c>
      <c r="M2057" s="5" t="s">
        <v>15664</v>
      </c>
      <c r="N2057" s="7" t="s">
        <v>15665</v>
      </c>
      <c r="O2057" s="8" t="str">
        <f>HYPERLINK("https://drive.google.com/file/d/1XJRaeeSVFZHAESuUL6JA7RY_Kfu0BWmf/view?usp=drivesdk","2056_HERMAN SUSILO _ SERTIFIKAT BIMTEK IPASN BerAKHLASK")</f>
        <v>2056_HERMAN SUSILO _ SERTIFIKAT BIMTEK IPASN BerAKHLASK</v>
      </c>
      <c r="P2057" s="5" t="s">
        <v>15655</v>
      </c>
      <c r="Q2057" s="5"/>
      <c r="R2057" s="5"/>
      <c r="S2057" s="5"/>
      <c r="T2057" s="5"/>
    </row>
    <row r="2058">
      <c r="A2058" s="4">
        <v>45534.33858236111</v>
      </c>
      <c r="B2058" s="5" t="s">
        <v>34</v>
      </c>
      <c r="D2058" s="5" t="s">
        <v>35</v>
      </c>
      <c r="E2058" s="5" t="s">
        <v>15666</v>
      </c>
      <c r="F2058" s="5" t="s">
        <v>37</v>
      </c>
      <c r="G2058" s="5" t="s">
        <v>15667</v>
      </c>
      <c r="H2058" s="6" t="s">
        <v>15668</v>
      </c>
      <c r="K2058" s="5" t="s">
        <v>15652</v>
      </c>
      <c r="M2058" s="5" t="s">
        <v>15669</v>
      </c>
      <c r="N2058" s="7" t="s">
        <v>15670</v>
      </c>
      <c r="O2058" s="8" t="str">
        <f>HYPERLINK("https://drive.google.com/file/d/15cXwPtiBUv3aIouZ6cViBEPG5NC2JbZb/view?usp=drivesdk","2057_YATI SUMARYATI _ SERTIFIKAT BIMTEK IPASN BerAKHLASK")</f>
        <v>2057_YATI SUMARYATI _ SERTIFIKAT BIMTEK IPASN BerAKHLASK</v>
      </c>
      <c r="P2058" s="5" t="s">
        <v>15655</v>
      </c>
      <c r="Q2058" s="5"/>
      <c r="R2058" s="5"/>
      <c r="S2058" s="5"/>
      <c r="T2058" s="5"/>
    </row>
    <row r="2059">
      <c r="A2059" s="4">
        <v>45534.3385931713</v>
      </c>
      <c r="B2059" s="5" t="s">
        <v>34</v>
      </c>
      <c r="D2059" s="5" t="s">
        <v>35</v>
      </c>
      <c r="E2059" s="5" t="s">
        <v>15671</v>
      </c>
      <c r="F2059" s="5" t="s">
        <v>108</v>
      </c>
      <c r="G2059" s="5" t="s">
        <v>15672</v>
      </c>
      <c r="H2059" s="6" t="s">
        <v>15673</v>
      </c>
      <c r="K2059" s="5" t="s">
        <v>15652</v>
      </c>
      <c r="M2059" s="5" t="s">
        <v>15674</v>
      </c>
      <c r="N2059" s="7" t="s">
        <v>15675</v>
      </c>
      <c r="O2059" s="8" t="str">
        <f>HYPERLINK("https://drive.google.com/file/d/1x7zsmOuON--Euu0SLdtllzdeJkoZmfdK/view?usp=drivesdk","2058_IRAWATI _ SERTIFIKAT BIMTEK IPASN BerAKHLASK")</f>
        <v>2058_IRAWATI _ SERTIFIKAT BIMTEK IPASN BerAKHLASK</v>
      </c>
      <c r="P2059" s="5" t="s">
        <v>15655</v>
      </c>
      <c r="Q2059" s="5"/>
      <c r="R2059" s="5"/>
      <c r="S2059" s="5"/>
      <c r="T2059" s="5"/>
    </row>
    <row r="2060">
      <c r="A2060" s="4">
        <v>45534.33859461806</v>
      </c>
      <c r="B2060" s="5" t="s">
        <v>34</v>
      </c>
      <c r="D2060" s="5" t="s">
        <v>1206</v>
      </c>
      <c r="E2060" s="5" t="s">
        <v>15676</v>
      </c>
      <c r="F2060" s="5" t="s">
        <v>37</v>
      </c>
      <c r="G2060" s="5" t="s">
        <v>15677</v>
      </c>
      <c r="H2060" s="6" t="s">
        <v>15678</v>
      </c>
      <c r="K2060" s="5" t="s">
        <v>15652</v>
      </c>
      <c r="M2060" s="5" t="s">
        <v>15679</v>
      </c>
      <c r="N2060" s="7" t="s">
        <v>15680</v>
      </c>
      <c r="O2060" s="8" t="str">
        <f>HYPERLINK("https://drive.google.com/file/d/1AGBRGnJiedYNqQOmRjJM2MaDbCUlE9og/view?usp=drivesdk","2059_SRI MASRUROH _ SERTIFIKAT BIMTEK IPASN BerAKHLASK")</f>
        <v>2059_SRI MASRUROH _ SERTIFIKAT BIMTEK IPASN BerAKHLASK</v>
      </c>
      <c r="P2060" s="5" t="s">
        <v>15681</v>
      </c>
      <c r="Q2060" s="5"/>
      <c r="R2060" s="5"/>
      <c r="S2060" s="5"/>
      <c r="T2060" s="5"/>
    </row>
    <row r="2061">
      <c r="A2061" s="4">
        <v>45534.33859799769</v>
      </c>
      <c r="B2061" s="5" t="s">
        <v>34</v>
      </c>
      <c r="D2061" s="5" t="s">
        <v>35</v>
      </c>
      <c r="E2061" s="5" t="s">
        <v>15682</v>
      </c>
      <c r="F2061" s="5" t="s">
        <v>212</v>
      </c>
      <c r="G2061" s="5" t="s">
        <v>15683</v>
      </c>
      <c r="H2061" s="6" t="s">
        <v>15684</v>
      </c>
      <c r="K2061" s="5" t="s">
        <v>15652</v>
      </c>
      <c r="M2061" s="5" t="s">
        <v>15685</v>
      </c>
      <c r="N2061" s="7" t="s">
        <v>15686</v>
      </c>
      <c r="O2061" s="8" t="str">
        <f>HYPERLINK("https://drive.google.com/file/d/1z5JKUsnxhenuHkegQ-3cs8zAJv52wOrw/view?usp=drivesdk","2060_KUSNADI BIN MISDA _ SERTIFIKAT BIMTEK IPASN BerAKHLASK")</f>
        <v>2060_KUSNADI BIN MISDA _ SERTIFIKAT BIMTEK IPASN BerAKHLASK</v>
      </c>
      <c r="P2061" s="5" t="s">
        <v>15681</v>
      </c>
      <c r="Q2061" s="5"/>
      <c r="R2061" s="5"/>
      <c r="S2061" s="5"/>
      <c r="T2061" s="5"/>
    </row>
    <row r="2062">
      <c r="A2062" s="4">
        <v>45534.33860002315</v>
      </c>
      <c r="B2062" s="5" t="s">
        <v>34</v>
      </c>
      <c r="D2062" s="5" t="s">
        <v>6232</v>
      </c>
      <c r="E2062" s="5" t="s">
        <v>15687</v>
      </c>
      <c r="F2062" s="5" t="s">
        <v>212</v>
      </c>
      <c r="G2062" s="5" t="s">
        <v>15688</v>
      </c>
      <c r="H2062" s="6" t="s">
        <v>15689</v>
      </c>
      <c r="K2062" s="5" t="s">
        <v>15652</v>
      </c>
      <c r="M2062" s="5" t="s">
        <v>15690</v>
      </c>
      <c r="N2062" s="7" t="s">
        <v>15691</v>
      </c>
      <c r="O2062" s="8" t="str">
        <f>HYPERLINK("https://drive.google.com/file/d/1jme4w357ZWAOw2Xfc8rJ8jckmVNb4pCo/view?usp=drivesdk","2061_NENI ELYA PUSPA _ SERTIFIKAT BIMTEK IPASN BerAKHLASK")</f>
        <v>2061_NENI ELYA PUSPA _ SERTIFIKAT BIMTEK IPASN BerAKHLASK</v>
      </c>
      <c r="P2062" s="5" t="s">
        <v>15681</v>
      </c>
      <c r="Q2062" s="5"/>
      <c r="R2062" s="5"/>
      <c r="S2062" s="5"/>
      <c r="T2062" s="5"/>
    </row>
    <row r="2063">
      <c r="A2063" s="4">
        <v>45534.338602233795</v>
      </c>
      <c r="B2063" s="5" t="s">
        <v>34</v>
      </c>
      <c r="D2063" s="5" t="s">
        <v>9020</v>
      </c>
      <c r="E2063" s="5" t="s">
        <v>15692</v>
      </c>
      <c r="F2063" s="5" t="s">
        <v>22</v>
      </c>
      <c r="G2063" s="5" t="s">
        <v>15693</v>
      </c>
      <c r="H2063" s="6" t="s">
        <v>15694</v>
      </c>
      <c r="K2063" s="5" t="s">
        <v>15652</v>
      </c>
      <c r="M2063" s="5" t="s">
        <v>15695</v>
      </c>
      <c r="N2063" s="7" t="s">
        <v>15696</v>
      </c>
      <c r="O2063" s="8" t="str">
        <f>HYPERLINK("https://drive.google.com/file/d/15keRIdFNVsqe5A9pxNhCmBGS6W8j-1Ne/view?usp=drivesdk","2062_ZULKIFLI S.H. M.H. _ SERTIFIKAT BIMTEK IPASN BerAKHLASK")</f>
        <v>2062_ZULKIFLI S.H. M.H. _ SERTIFIKAT BIMTEK IPASN BerAKHLASK</v>
      </c>
      <c r="P2063" s="5" t="s">
        <v>15681</v>
      </c>
      <c r="Q2063" s="5"/>
      <c r="R2063" s="5"/>
      <c r="S2063" s="5"/>
      <c r="T2063" s="5"/>
    </row>
    <row r="2064">
      <c r="A2064" s="4">
        <v>45534.338604247685</v>
      </c>
      <c r="B2064" s="5" t="s">
        <v>34</v>
      </c>
      <c r="D2064" s="5" t="s">
        <v>1206</v>
      </c>
      <c r="E2064" s="5" t="s">
        <v>15697</v>
      </c>
      <c r="F2064" s="5" t="s">
        <v>5859</v>
      </c>
      <c r="G2064" s="5" t="s">
        <v>15698</v>
      </c>
      <c r="H2064" s="6" t="s">
        <v>15699</v>
      </c>
      <c r="K2064" s="5" t="s">
        <v>15652</v>
      </c>
      <c r="M2064" s="5" t="s">
        <v>15700</v>
      </c>
      <c r="N2064" s="7" t="s">
        <v>15701</v>
      </c>
      <c r="O2064" s="8" t="str">
        <f>HYPERLINK("https://drive.google.com/file/d/1J69V140LGvSxl2PxNCu_nHLDwlG3AZ2t/view?usp=drivesdk","2063_MULYONO _ SERTIFIKAT BIMTEK IPASN BerAKHLASK")</f>
        <v>2063_MULYONO _ SERTIFIKAT BIMTEK IPASN BerAKHLASK</v>
      </c>
      <c r="P2064" s="5" t="s">
        <v>15681</v>
      </c>
      <c r="Q2064" s="5"/>
      <c r="R2064" s="5"/>
      <c r="S2064" s="5"/>
      <c r="T2064" s="5"/>
    </row>
    <row r="2065" hidden="1">
      <c r="A2065" s="4">
        <v>45534.338604178236</v>
      </c>
      <c r="B2065" s="5" t="s">
        <v>19</v>
      </c>
      <c r="C2065" s="5" t="s">
        <v>14000</v>
      </c>
      <c r="E2065" s="5" t="s">
        <v>15702</v>
      </c>
      <c r="F2065" s="5" t="s">
        <v>37</v>
      </c>
      <c r="G2065" s="5" t="s">
        <v>15703</v>
      </c>
      <c r="H2065" s="6" t="s">
        <v>15704</v>
      </c>
      <c r="K2065" s="5" t="s">
        <v>15652</v>
      </c>
      <c r="M2065" s="5" t="s">
        <v>15705</v>
      </c>
      <c r="N2065" s="7" t="s">
        <v>15706</v>
      </c>
      <c r="O2065" s="8" t="str">
        <f>HYPERLINK("https://drive.google.com/file/d/1xypdQEylzYhs_9lGmAkMU1jkirbmVFbs/view?usp=drivesdk","2064_Yullia Aditya Novitta  _ SERTIFIKAT BIMTEK IPASN BerAKHLASK")</f>
        <v>2064_Yullia Aditya Novitta  _ SERTIFIKAT BIMTEK IPASN BerAKHLASK</v>
      </c>
      <c r="P2065" s="5" t="s">
        <v>15681</v>
      </c>
      <c r="Q2065" s="5"/>
      <c r="R2065" s="5"/>
      <c r="S2065" s="5"/>
      <c r="T2065" s="5"/>
    </row>
    <row r="2066" hidden="1">
      <c r="A2066" s="4">
        <v>45534.33861261574</v>
      </c>
      <c r="B2066" s="5" t="s">
        <v>19</v>
      </c>
      <c r="C2066" s="5" t="s">
        <v>20</v>
      </c>
      <c r="E2066" s="5" t="s">
        <v>15707</v>
      </c>
      <c r="F2066" s="5" t="s">
        <v>212</v>
      </c>
      <c r="G2066" s="5" t="s">
        <v>15708</v>
      </c>
      <c r="H2066" s="6" t="s">
        <v>15709</v>
      </c>
      <c r="K2066" s="5" t="s">
        <v>15652</v>
      </c>
      <c r="M2066" s="5" t="s">
        <v>15710</v>
      </c>
      <c r="N2066" s="7" t="s">
        <v>15711</v>
      </c>
      <c r="O2066" s="8" t="str">
        <f>HYPERLINK("https://drive.google.com/file/d/1eTgw10QcLWZa0X3DObMFIEjUDJ5WYRET/view?usp=drivesdk","2065_DENY TARUNAJAYA _ SERTIFIKAT BIMTEK IPASN BerAKHLASK")</f>
        <v>2065_DENY TARUNAJAYA _ SERTIFIKAT BIMTEK IPASN BerAKHLASK</v>
      </c>
      <c r="P2066" s="5" t="s">
        <v>15712</v>
      </c>
      <c r="Q2066" s="5"/>
      <c r="R2066" s="5"/>
      <c r="S2066" s="5"/>
      <c r="T2066" s="5"/>
    </row>
    <row r="2067">
      <c r="A2067" s="4">
        <v>45534.33861284722</v>
      </c>
      <c r="B2067" s="5" t="s">
        <v>34</v>
      </c>
      <c r="D2067" s="5" t="s">
        <v>1206</v>
      </c>
      <c r="E2067" s="5" t="s">
        <v>15713</v>
      </c>
      <c r="F2067" s="5" t="s">
        <v>37</v>
      </c>
      <c r="G2067" s="5" t="s">
        <v>15714</v>
      </c>
      <c r="H2067" s="6" t="s">
        <v>15715</v>
      </c>
      <c r="K2067" s="5" t="s">
        <v>15652</v>
      </c>
      <c r="M2067" s="5" t="s">
        <v>15716</v>
      </c>
      <c r="N2067" s="7" t="s">
        <v>15717</v>
      </c>
      <c r="O2067" s="8" t="str">
        <f>HYPERLINK("https://drive.google.com/file/d/1WLKdyQiqIKR4UBpGw7hA8lnaBnfr0-hC/view?usp=drivesdk","2066_DIAN SINTO ARINI S,PD _ SERTIFIKAT BIMTEK IPASN BerAKHLASK")</f>
        <v>2066_DIAN SINTO ARINI S,PD _ SERTIFIKAT BIMTEK IPASN BerAKHLASK</v>
      </c>
      <c r="P2067" s="5" t="s">
        <v>15712</v>
      </c>
      <c r="Q2067" s="5"/>
      <c r="R2067" s="5"/>
      <c r="S2067" s="5"/>
      <c r="T2067" s="5"/>
    </row>
    <row r="2068">
      <c r="A2068" s="4">
        <v>45534.338632824074</v>
      </c>
      <c r="B2068" s="5" t="s">
        <v>34</v>
      </c>
      <c r="D2068" s="5" t="s">
        <v>267</v>
      </c>
      <c r="E2068" s="5" t="s">
        <v>15718</v>
      </c>
      <c r="F2068" s="5" t="s">
        <v>108</v>
      </c>
      <c r="G2068" s="5" t="s">
        <v>15719</v>
      </c>
      <c r="H2068" s="6" t="s">
        <v>15720</v>
      </c>
      <c r="I2068" s="7" t="s">
        <v>15721</v>
      </c>
      <c r="J2068" s="8" t="str">
        <f>HYPERLINK("https://drive.google.com/file/d/1aPFriSUk7R2Uoa0SQMmF1OJCI6zClly5/view?usp=drivesdk","Risti Wahyu Budiwati, S.E. SERTIFIKAT BerAKHLAK")</f>
        <v>Risti Wahyu Budiwati, S.E. SERTIFIKAT BerAKHLAK</v>
      </c>
      <c r="K2068" s="5" t="s">
        <v>14093</v>
      </c>
      <c r="L2068" s="5" t="s">
        <v>15722</v>
      </c>
      <c r="M2068" s="5" t="s">
        <v>15723</v>
      </c>
      <c r="N2068" s="7" t="s">
        <v>15724</v>
      </c>
      <c r="O2068" s="8" t="str">
        <f>HYPERLINK("https://drive.google.com/file/d/1UP3Vie7ekx33Urg2lNzLzZL671nMILwM/view?usp=drivesdk","2067_Risti Wahyu Budiwati, S.E. _ SERTIFIKAT BIMTEK IPASN BerAKHLASK")</f>
        <v>2067_Risti Wahyu Budiwati, S.E. _ SERTIFIKAT BIMTEK IPASN BerAKHLASK</v>
      </c>
      <c r="P2068" s="5" t="s">
        <v>15712</v>
      </c>
      <c r="Q2068" s="5"/>
      <c r="R2068" s="5"/>
      <c r="S2068" s="5"/>
      <c r="T2068" s="5"/>
    </row>
    <row r="2069">
      <c r="A2069" s="4">
        <v>45534.338633067135</v>
      </c>
      <c r="B2069" s="5" t="s">
        <v>34</v>
      </c>
      <c r="D2069" s="5" t="s">
        <v>1206</v>
      </c>
      <c r="E2069" s="5" t="s">
        <v>15725</v>
      </c>
      <c r="F2069" s="5" t="s">
        <v>524</v>
      </c>
      <c r="G2069" s="5" t="s">
        <v>15726</v>
      </c>
      <c r="H2069" s="6" t="s">
        <v>15727</v>
      </c>
      <c r="I2069" s="7" t="s">
        <v>15728</v>
      </c>
      <c r="J2069" s="8" t="str">
        <f>HYPERLINK("https://drive.google.com/file/d/1731jla51oPbHt-kULTcT3uYCJRB15K57/view?usp=drivesdk","NURSRIANI SERTIFIKAT BerAKHLAK")</f>
        <v>NURSRIANI SERTIFIKAT BerAKHLAK</v>
      </c>
      <c r="K2069" s="5" t="s">
        <v>14093</v>
      </c>
      <c r="L2069" s="5" t="s">
        <v>15729</v>
      </c>
      <c r="M2069" s="5" t="s">
        <v>15730</v>
      </c>
      <c r="N2069" s="7" t="s">
        <v>15731</v>
      </c>
      <c r="O2069" s="8" t="str">
        <f>HYPERLINK("https://drive.google.com/file/d/1ygOJnKqvhsoMJDLoLNWIoPYlZFQiYfxA/view?usp=drivesdk","2068_NURSRIANI _ SERTIFIKAT BIMTEK IPASN BerAKHLASK")</f>
        <v>2068_NURSRIANI _ SERTIFIKAT BIMTEK IPASN BerAKHLASK</v>
      </c>
      <c r="P2069" s="5" t="s">
        <v>15712</v>
      </c>
      <c r="Q2069" s="5"/>
      <c r="R2069" s="5"/>
      <c r="S2069" s="5"/>
      <c r="T2069" s="5"/>
    </row>
    <row r="2070">
      <c r="A2070" s="4">
        <v>45534.338634687505</v>
      </c>
      <c r="B2070" s="5" t="s">
        <v>34</v>
      </c>
      <c r="D2070" s="5" t="s">
        <v>9020</v>
      </c>
      <c r="E2070" s="5" t="s">
        <v>15732</v>
      </c>
      <c r="F2070" s="5" t="s">
        <v>37</v>
      </c>
      <c r="G2070" s="5" t="s">
        <v>15733</v>
      </c>
      <c r="H2070" s="6" t="s">
        <v>15734</v>
      </c>
      <c r="I2070" s="7" t="s">
        <v>15735</v>
      </c>
      <c r="J2070" s="8" t="str">
        <f>HYPERLINK("https://drive.google.com/file/d/1sCKz0txvb1ZrWajbeev6KCgf0te5TD_q/view?usp=drivesdk","NURMALINDA SIAGIAN SERTIFIKAT BerAKHLAK")</f>
        <v>NURMALINDA SIAGIAN SERTIFIKAT BerAKHLAK</v>
      </c>
      <c r="K2070" s="5" t="s">
        <v>14093</v>
      </c>
      <c r="L2070" s="5" t="s">
        <v>15736</v>
      </c>
      <c r="M2070" s="5" t="s">
        <v>15737</v>
      </c>
      <c r="N2070" s="7" t="s">
        <v>15738</v>
      </c>
      <c r="O2070" s="8" t="str">
        <f>HYPERLINK("https://drive.google.com/file/d/19gBNzzh95_OKJBFki0xfZGjhl5onCLzW/view?usp=drivesdk","2069_NURMALINDA SIAGIAN _ SERTIFIKAT BIMTEK IPASN BerAKHLASK")</f>
        <v>2069_NURMALINDA SIAGIAN _ SERTIFIKAT BIMTEK IPASN BerAKHLASK</v>
      </c>
      <c r="P2070" s="5" t="s">
        <v>15712</v>
      </c>
      <c r="Q2070" s="5"/>
      <c r="R2070" s="5"/>
      <c r="S2070" s="5"/>
      <c r="T2070" s="5"/>
    </row>
    <row r="2071">
      <c r="A2071" s="4">
        <v>45534.338637141205</v>
      </c>
      <c r="B2071" s="5" t="s">
        <v>34</v>
      </c>
      <c r="D2071" s="5" t="s">
        <v>35</v>
      </c>
      <c r="E2071" s="5" t="s">
        <v>15739</v>
      </c>
      <c r="F2071" s="5" t="s">
        <v>212</v>
      </c>
      <c r="G2071" s="5" t="s">
        <v>15740</v>
      </c>
      <c r="H2071" s="6" t="s">
        <v>15741</v>
      </c>
      <c r="I2071" s="7" t="s">
        <v>15742</v>
      </c>
      <c r="J2071" s="8" t="str">
        <f>HYPERLINK("https://drive.google.com/file/d/1QhaiAqFPUXvQGvu9K2QvrqWxBO2tkhDF/view?usp=drivesdk","ADE KUSNADI SERTIFIKAT BerAKHLAK")</f>
        <v>ADE KUSNADI SERTIFIKAT BerAKHLAK</v>
      </c>
      <c r="K2071" s="5" t="s">
        <v>14116</v>
      </c>
      <c r="L2071" s="5" t="s">
        <v>15743</v>
      </c>
      <c r="M2071" s="5" t="s">
        <v>15744</v>
      </c>
      <c r="N2071" s="7" t="s">
        <v>15745</v>
      </c>
      <c r="O2071" s="8" t="str">
        <f>HYPERLINK("https://drive.google.com/file/d/1HL873-ekWj52qsFI5OOQ2uhswbA70C-T/view?usp=drivesdk","2070_ADE KUSNADI _ SERTIFIKAT BIMTEK IPASN BerAKHLASK")</f>
        <v>2070_ADE KUSNADI _ SERTIFIKAT BIMTEK IPASN BerAKHLASK</v>
      </c>
      <c r="P2071" s="5" t="s">
        <v>15712</v>
      </c>
      <c r="Q2071" s="5"/>
      <c r="R2071" s="5"/>
      <c r="S2071" s="5"/>
      <c r="T2071" s="5"/>
    </row>
    <row r="2072">
      <c r="A2072" s="4">
        <v>45534.338647488425</v>
      </c>
      <c r="B2072" s="5" t="s">
        <v>34</v>
      </c>
      <c r="D2072" s="5" t="s">
        <v>12010</v>
      </c>
      <c r="E2072" s="5" t="s">
        <v>15746</v>
      </c>
      <c r="F2072" s="5" t="s">
        <v>524</v>
      </c>
      <c r="G2072" s="5" t="s">
        <v>15747</v>
      </c>
      <c r="H2072" s="6" t="s">
        <v>15748</v>
      </c>
      <c r="I2072" s="7" t="s">
        <v>15749</v>
      </c>
      <c r="J2072" s="8" t="str">
        <f>HYPERLINK("https://drive.google.com/file/d/16Ppem68b0OylfPMWzpFaEBAv2J9p5Dpr/view?usp=drivesdk","MUCHLIS SAPALI, S.E SERTIFIKAT BerAKHLAK")</f>
        <v>MUCHLIS SAPALI, S.E SERTIFIKAT BerAKHLAK</v>
      </c>
      <c r="K2072" s="5" t="s">
        <v>14093</v>
      </c>
      <c r="L2072" s="5" t="s">
        <v>15750</v>
      </c>
      <c r="M2072" s="5" t="s">
        <v>15751</v>
      </c>
      <c r="N2072" s="7" t="s">
        <v>15752</v>
      </c>
      <c r="O2072" s="8" t="str">
        <f>HYPERLINK("https://drive.google.com/file/d/1gCXHj7CA0qEysRaK0ySH37cYGnsotliy/view?usp=drivesdk","2071_MUCHLIS SAPALI, S.E _ SERTIFIKAT BIMTEK IPASN BerAKHLASK")</f>
        <v>2071_MUCHLIS SAPALI, S.E _ SERTIFIKAT BIMTEK IPASN BerAKHLASK</v>
      </c>
      <c r="P2072" s="5" t="s">
        <v>15712</v>
      </c>
      <c r="Q2072" s="5"/>
      <c r="R2072" s="5"/>
      <c r="S2072" s="5"/>
      <c r="T2072" s="5"/>
    </row>
    <row r="2073">
      <c r="A2073" s="4">
        <v>45534.33865525463</v>
      </c>
      <c r="B2073" s="5" t="s">
        <v>34</v>
      </c>
      <c r="D2073" s="5" t="s">
        <v>4775</v>
      </c>
      <c r="E2073" s="5" t="s">
        <v>15753</v>
      </c>
      <c r="F2073" s="5" t="s">
        <v>524</v>
      </c>
      <c r="G2073" s="5" t="s">
        <v>15754</v>
      </c>
      <c r="H2073" s="6" t="s">
        <v>15755</v>
      </c>
      <c r="I2073" s="7" t="s">
        <v>15756</v>
      </c>
      <c r="J2073" s="8" t="str">
        <f>HYPERLINK("https://drive.google.com/file/d/1k5mU_vtXXp4RyZFwqWNQzRKL0pKjoa6B/view?usp=drivesdk","SRI HARYANTO SERTIFIKAT BerAKHLAK")</f>
        <v>SRI HARYANTO SERTIFIKAT BerAKHLAK</v>
      </c>
      <c r="K2073" s="5" t="s">
        <v>14093</v>
      </c>
      <c r="L2073" s="5" t="s">
        <v>15757</v>
      </c>
      <c r="M2073" s="5" t="s">
        <v>15758</v>
      </c>
      <c r="N2073" s="7" t="s">
        <v>15759</v>
      </c>
      <c r="O2073" s="8" t="str">
        <f>HYPERLINK("https://drive.google.com/file/d/1jbC-Taq8OcpvRRSYmJ2gL9lRHLwa4Lfs/view?usp=drivesdk","2072_SRI HARYANTO _ SERTIFIKAT BIMTEK IPASN BerAKHLASK")</f>
        <v>2072_SRI HARYANTO _ SERTIFIKAT BIMTEK IPASN BerAKHLASK</v>
      </c>
      <c r="P2073" s="5" t="s">
        <v>15760</v>
      </c>
      <c r="Q2073" s="5"/>
      <c r="R2073" s="5"/>
      <c r="S2073" s="5"/>
      <c r="T2073" s="5"/>
    </row>
    <row r="2074">
      <c r="A2074" s="4">
        <v>45534.338656527776</v>
      </c>
      <c r="B2074" s="5" t="s">
        <v>34</v>
      </c>
      <c r="D2074" s="5" t="s">
        <v>701</v>
      </c>
      <c r="E2074" s="5" t="s">
        <v>15761</v>
      </c>
      <c r="F2074" s="5" t="s">
        <v>37</v>
      </c>
      <c r="G2074" s="5" t="s">
        <v>15762</v>
      </c>
      <c r="H2074" s="6" t="s">
        <v>15763</v>
      </c>
      <c r="I2074" s="7" t="s">
        <v>15764</v>
      </c>
      <c r="J2074" s="8" t="str">
        <f>HYPERLINK("https://drive.google.com/file/d/1yNrdpt7u1SvalSAXDN2Wu6s3PKc0T9A-/view?usp=drivesdk","ELA SUMARNI SERTIFIKAT BerAKHLAK")</f>
        <v>ELA SUMARNI SERTIFIKAT BerAKHLAK</v>
      </c>
      <c r="K2074" s="5" t="s">
        <v>14093</v>
      </c>
      <c r="L2074" s="5" t="s">
        <v>15765</v>
      </c>
      <c r="M2074" s="5" t="s">
        <v>15766</v>
      </c>
      <c r="N2074" s="7" t="s">
        <v>15767</v>
      </c>
      <c r="O2074" s="8" t="str">
        <f>HYPERLINK("https://drive.google.com/file/d/14zHsNekpHgVGlPbrlGoTN7lzpGb4MzVo/view?usp=drivesdk","2073_ELA SUMARNI _ SERTIFIKAT BIMTEK IPASN BerAKHLASK")</f>
        <v>2073_ELA SUMARNI _ SERTIFIKAT BIMTEK IPASN BerAKHLASK</v>
      </c>
      <c r="P2074" s="5" t="s">
        <v>15760</v>
      </c>
      <c r="Q2074" s="5"/>
      <c r="R2074" s="5"/>
      <c r="S2074" s="5"/>
      <c r="T2074" s="5"/>
    </row>
    <row r="2075">
      <c r="A2075" s="4">
        <v>45534.338658657405</v>
      </c>
      <c r="B2075" s="5" t="s">
        <v>34</v>
      </c>
      <c r="D2075" s="5" t="s">
        <v>6232</v>
      </c>
      <c r="E2075" s="5" t="s">
        <v>15768</v>
      </c>
      <c r="F2075" s="5" t="s">
        <v>212</v>
      </c>
      <c r="G2075" s="5" t="s">
        <v>15769</v>
      </c>
      <c r="H2075" s="6" t="s">
        <v>15770</v>
      </c>
      <c r="I2075" s="7" t="s">
        <v>15771</v>
      </c>
      <c r="J2075" s="8" t="str">
        <f>HYPERLINK("https://drive.google.com/file/d/1cziMiP-oOFD4bIrOMy9BatAgLbXVkmBF/view?usp=drivesdk","NESTRI NIDA, A.MD SERTIFIKAT BerAKHLAK")</f>
        <v>NESTRI NIDA, A.MD SERTIFIKAT BerAKHLAK</v>
      </c>
      <c r="K2075" s="5" t="s">
        <v>14116</v>
      </c>
      <c r="L2075" s="5" t="s">
        <v>15772</v>
      </c>
      <c r="M2075" s="5" t="s">
        <v>15773</v>
      </c>
      <c r="N2075" s="7" t="s">
        <v>15774</v>
      </c>
      <c r="O2075" s="8" t="str">
        <f>HYPERLINK("https://drive.google.com/file/d/1SwhUARwej7zuml2zABh-8SQkIQNE7b4T/view?usp=drivesdk","2074_NESTRI NIDA, A.MD _ SERTIFIKAT BIMTEK IPASN BerAKHLASK")</f>
        <v>2074_NESTRI NIDA, A.MD _ SERTIFIKAT BIMTEK IPASN BerAKHLASK</v>
      </c>
      <c r="P2075" s="5" t="s">
        <v>15760</v>
      </c>
      <c r="Q2075" s="5"/>
      <c r="R2075" s="5"/>
      <c r="S2075" s="5"/>
      <c r="T2075" s="5"/>
    </row>
    <row r="2076">
      <c r="A2076" s="4">
        <v>45534.33866472222</v>
      </c>
      <c r="B2076" s="5" t="s">
        <v>34</v>
      </c>
      <c r="D2076" s="5" t="s">
        <v>2903</v>
      </c>
      <c r="E2076" s="5" t="s">
        <v>15775</v>
      </c>
      <c r="F2076" s="5" t="s">
        <v>524</v>
      </c>
      <c r="G2076" s="5" t="s">
        <v>15776</v>
      </c>
      <c r="H2076" s="6" t="s">
        <v>15777</v>
      </c>
      <c r="I2076" s="7" t="s">
        <v>15778</v>
      </c>
      <c r="J2076" s="8" t="str">
        <f>HYPERLINK("https://drive.google.com/file/d/1C2zWqhS_Yr16RS4JEXhUXiYop5w3ywKP/view?usp=drivesdk","ERIKA.Amd.Farm SERTIFIKAT BerAKHLAK")</f>
        <v>ERIKA.Amd.Farm SERTIFIKAT BerAKHLAK</v>
      </c>
      <c r="K2076" s="5" t="s">
        <v>14116</v>
      </c>
      <c r="L2076" s="5" t="s">
        <v>15779</v>
      </c>
      <c r="M2076" s="5" t="s">
        <v>15780</v>
      </c>
      <c r="N2076" s="7" t="s">
        <v>15781</v>
      </c>
      <c r="O2076" s="8" t="str">
        <f>HYPERLINK("https://drive.google.com/file/d/1igy16IbrRAbskV733xNFjc2ZETP-WlJn/view?usp=drivesdk","2075_ERIKA.Amd.Farm _ SERTIFIKAT BIMTEK IPASN BerAKHLASK")</f>
        <v>2075_ERIKA.Amd.Farm _ SERTIFIKAT BIMTEK IPASN BerAKHLASK</v>
      </c>
      <c r="P2076" s="5" t="s">
        <v>15760</v>
      </c>
      <c r="Q2076" s="5"/>
      <c r="R2076" s="5"/>
      <c r="S2076" s="5"/>
      <c r="T2076" s="5"/>
    </row>
    <row r="2077">
      <c r="A2077" s="4">
        <v>45534.33866861111</v>
      </c>
      <c r="B2077" s="5" t="s">
        <v>34</v>
      </c>
      <c r="D2077" s="5" t="s">
        <v>2903</v>
      </c>
      <c r="E2077" s="5" t="s">
        <v>15782</v>
      </c>
      <c r="F2077" s="5" t="s">
        <v>212</v>
      </c>
      <c r="G2077" s="5" t="s">
        <v>15783</v>
      </c>
      <c r="H2077" s="6" t="s">
        <v>15784</v>
      </c>
      <c r="I2077" s="7" t="s">
        <v>15785</v>
      </c>
      <c r="J2077" s="8" t="str">
        <f>HYPERLINK("https://drive.google.com/file/d/1xL5uIz8Q4TJJL-N95ch8kOB9nP_lGJP2/view?usp=drivesdk","ZAUYAH SERTIFIKAT BerAKHLAK")</f>
        <v>ZAUYAH SERTIFIKAT BerAKHLAK</v>
      </c>
      <c r="K2077" s="5" t="s">
        <v>14116</v>
      </c>
      <c r="L2077" s="5" t="s">
        <v>15786</v>
      </c>
      <c r="M2077" s="5" t="s">
        <v>15787</v>
      </c>
      <c r="N2077" s="7" t="s">
        <v>15788</v>
      </c>
      <c r="O2077" s="8" t="str">
        <f>HYPERLINK("https://drive.google.com/file/d/1o0DjfOZeG3ZBTqqC2MWqMW8sMr9n688a/view?usp=drivesdk","2076_ZAUYAH _ SERTIFIKAT BIMTEK IPASN BerAKHLASK")</f>
        <v>2076_ZAUYAH _ SERTIFIKAT BIMTEK IPASN BerAKHLASK</v>
      </c>
      <c r="P2077" s="5" t="s">
        <v>15760</v>
      </c>
      <c r="Q2077" s="5"/>
      <c r="R2077" s="5"/>
      <c r="S2077" s="5"/>
      <c r="T2077" s="5"/>
    </row>
    <row r="2078" hidden="1">
      <c r="A2078" s="4">
        <v>45534.33867121528</v>
      </c>
      <c r="B2078" s="5" t="s">
        <v>19</v>
      </c>
      <c r="C2078" s="5" t="s">
        <v>5058</v>
      </c>
      <c r="E2078" s="5" t="s">
        <v>15789</v>
      </c>
      <c r="F2078" s="5" t="s">
        <v>108</v>
      </c>
      <c r="G2078" s="5" t="s">
        <v>15790</v>
      </c>
      <c r="H2078" s="6" t="s">
        <v>15791</v>
      </c>
      <c r="I2078" s="7" t="s">
        <v>15792</v>
      </c>
      <c r="J2078" s="8" t="str">
        <f>HYPERLINK("https://drive.google.com/file/d/1dTH-srSayfLWwTzQEF-MBhNLHWihOv4H/view?usp=drivesdk","MINDAESIH SERTIFIKAT BerAKHLAK")</f>
        <v>MINDAESIH SERTIFIKAT BerAKHLAK</v>
      </c>
      <c r="K2078" s="5" t="s">
        <v>14913</v>
      </c>
      <c r="L2078" s="5" t="s">
        <v>15793</v>
      </c>
      <c r="M2078" s="5" t="s">
        <v>15794</v>
      </c>
      <c r="N2078" s="7" t="s">
        <v>15795</v>
      </c>
      <c r="O2078" s="8" t="str">
        <f>HYPERLINK("https://drive.google.com/file/d/13shStcdSxZ5J7JMcwuicOZOtJg5mmgbC/view?usp=drivesdk","2077_MINDAESIH _ SERTIFIKAT BIMTEK IPASN BerAKHLASK")</f>
        <v>2077_MINDAESIH _ SERTIFIKAT BIMTEK IPASN BerAKHLASK</v>
      </c>
      <c r="P2078" s="5" t="s">
        <v>15760</v>
      </c>
      <c r="Q2078" s="5"/>
      <c r="R2078" s="5"/>
      <c r="S2078" s="5"/>
      <c r="T2078" s="5"/>
    </row>
    <row r="2079">
      <c r="A2079" s="4">
        <v>45534.33867527777</v>
      </c>
      <c r="B2079" s="5" t="s">
        <v>34</v>
      </c>
      <c r="D2079" s="5" t="s">
        <v>6232</v>
      </c>
      <c r="E2079" s="5" t="s">
        <v>15796</v>
      </c>
      <c r="F2079" s="5" t="s">
        <v>37</v>
      </c>
      <c r="G2079" s="5" t="s">
        <v>15797</v>
      </c>
      <c r="H2079" s="6" t="s">
        <v>15798</v>
      </c>
      <c r="I2079" s="7" t="s">
        <v>15799</v>
      </c>
      <c r="J2079" s="8" t="str">
        <f>HYPERLINK("https://drive.google.com/file/d/1r6HaBEpRj8u0Q8HxkVank_Ax27-BEpXx/view?usp=drivesdk","R SASMITA EFENDI SERTIFIKAT BerAKHLAK")</f>
        <v>R SASMITA EFENDI SERTIFIKAT BerAKHLAK</v>
      </c>
      <c r="K2079" s="5" t="s">
        <v>14913</v>
      </c>
      <c r="L2079" s="5" t="s">
        <v>15800</v>
      </c>
      <c r="M2079" s="5" t="s">
        <v>15801</v>
      </c>
      <c r="N2079" s="7" t="s">
        <v>15802</v>
      </c>
      <c r="O2079" s="8" t="str">
        <f>HYPERLINK("https://drive.google.com/file/d/1JQV07MkEJi0RfokOJyvFqpkJfzu-UK3l/view?usp=drivesdk","2078_R SASMITA EFENDI _ SERTIFIKAT BIMTEK IPASN BerAKHLASK")</f>
        <v>2078_R SASMITA EFENDI _ SERTIFIKAT BIMTEK IPASN BerAKHLASK</v>
      </c>
      <c r="P2079" s="5" t="s">
        <v>15803</v>
      </c>
      <c r="Q2079" s="5"/>
      <c r="R2079" s="5"/>
      <c r="S2079" s="5"/>
      <c r="T2079" s="5"/>
    </row>
    <row r="2080">
      <c r="A2080" s="4">
        <v>45534.338686828705</v>
      </c>
      <c r="B2080" s="5" t="s">
        <v>34</v>
      </c>
      <c r="D2080" s="5" t="s">
        <v>1206</v>
      </c>
      <c r="E2080" s="5" t="s">
        <v>15804</v>
      </c>
      <c r="F2080" s="5" t="s">
        <v>199</v>
      </c>
      <c r="G2080" s="5" t="s">
        <v>15805</v>
      </c>
      <c r="H2080" s="6" t="s">
        <v>15806</v>
      </c>
      <c r="K2080" s="5" t="s">
        <v>15807</v>
      </c>
      <c r="M2080" s="5" t="s">
        <v>15808</v>
      </c>
      <c r="N2080" s="7" t="s">
        <v>15809</v>
      </c>
      <c r="O2080" s="8" t="str">
        <f>HYPERLINK("https://drive.google.com/file/d/1EUStuBLU05I2xiFf247yoHowuxDgB-ED/view?usp=drivesdk","2079_RATNASARI  _ SERTIFIKAT BIMTEK IPASN BerAKHLASK")</f>
        <v>2079_RATNASARI  _ SERTIFIKAT BIMTEK IPASN BerAKHLASK</v>
      </c>
      <c r="P2080" s="5" t="s">
        <v>15803</v>
      </c>
      <c r="Q2080" s="5"/>
      <c r="R2080" s="5"/>
      <c r="S2080" s="5"/>
      <c r="T2080" s="5"/>
    </row>
    <row r="2081">
      <c r="A2081" s="4">
        <v>45534.338697071755</v>
      </c>
      <c r="B2081" s="5" t="s">
        <v>34</v>
      </c>
      <c r="D2081" s="5" t="s">
        <v>35</v>
      </c>
      <c r="E2081" s="5" t="s">
        <v>15810</v>
      </c>
      <c r="F2081" s="5" t="s">
        <v>328</v>
      </c>
      <c r="G2081" s="5" t="s">
        <v>15811</v>
      </c>
      <c r="H2081" s="6" t="s">
        <v>15812</v>
      </c>
      <c r="K2081" s="5" t="s">
        <v>15807</v>
      </c>
      <c r="M2081" s="5" t="s">
        <v>15813</v>
      </c>
      <c r="N2081" s="7" t="s">
        <v>15814</v>
      </c>
      <c r="O2081" s="8" t="str">
        <f>HYPERLINK("https://drive.google.com/file/d/1q9UiY4v8kBro-JmB1oxVWMMHez_T6EPE/view?usp=drivesdk","2080_CASILA _ SERTIFIKAT BIMTEK IPASN BerAKHLASK")</f>
        <v>2080_CASILA _ SERTIFIKAT BIMTEK IPASN BerAKHLASK</v>
      </c>
      <c r="P2081" s="5" t="s">
        <v>15803</v>
      </c>
      <c r="Q2081" s="5"/>
      <c r="R2081" s="5"/>
      <c r="S2081" s="5"/>
      <c r="T2081" s="5"/>
    </row>
    <row r="2082" hidden="1">
      <c r="A2082" s="4">
        <v>45534.33869896991</v>
      </c>
      <c r="B2082" s="5" t="s">
        <v>19</v>
      </c>
      <c r="C2082" s="5" t="s">
        <v>3301</v>
      </c>
      <c r="E2082" s="5" t="s">
        <v>15815</v>
      </c>
      <c r="F2082" s="5" t="s">
        <v>37</v>
      </c>
      <c r="G2082" s="5" t="s">
        <v>15816</v>
      </c>
      <c r="H2082" s="6" t="s">
        <v>15817</v>
      </c>
      <c r="K2082" s="5" t="s">
        <v>15807</v>
      </c>
      <c r="M2082" s="5" t="s">
        <v>15818</v>
      </c>
      <c r="N2082" s="7" t="s">
        <v>15819</v>
      </c>
      <c r="O2082" s="8" t="str">
        <f>HYPERLINK("https://drive.google.com/file/d/1_zWXPRtGS4LUCAwYrTklfU_j1k829Z_8/view?usp=drivesdk","2081_AIDA PUSPITASARI, A.Md.Kes. _ SERTIFIKAT BIMTEK IPASN BerAKHLASK")</f>
        <v>2081_AIDA PUSPITASARI, A.Md.Kes. _ SERTIFIKAT BIMTEK IPASN BerAKHLASK</v>
      </c>
      <c r="P2082" s="5" t="s">
        <v>15803</v>
      </c>
      <c r="Q2082" s="5"/>
      <c r="R2082" s="5"/>
      <c r="S2082" s="5"/>
      <c r="T2082" s="5"/>
    </row>
    <row r="2083">
      <c r="A2083" s="4">
        <v>45534.33869942129</v>
      </c>
      <c r="B2083" s="5" t="s">
        <v>34</v>
      </c>
      <c r="D2083" s="5" t="s">
        <v>4775</v>
      </c>
      <c r="E2083" s="5" t="s">
        <v>15820</v>
      </c>
      <c r="F2083" s="5" t="s">
        <v>37</v>
      </c>
      <c r="G2083" s="5" t="s">
        <v>15821</v>
      </c>
      <c r="H2083" s="6" t="s">
        <v>15822</v>
      </c>
      <c r="K2083" s="5" t="s">
        <v>15807</v>
      </c>
      <c r="M2083" s="5" t="s">
        <v>15823</v>
      </c>
      <c r="N2083" s="7" t="s">
        <v>15824</v>
      </c>
      <c r="O2083" s="8" t="str">
        <f>HYPERLINK("https://drive.google.com/file/d/115yabMqP4DkjklHGAe6W5EWyPGwhtoMT/view?usp=drivesdk","2082_SURAJI _ SERTIFIKAT BIMTEK IPASN BerAKHLASK")</f>
        <v>2082_SURAJI _ SERTIFIKAT BIMTEK IPASN BerAKHLASK</v>
      </c>
      <c r="P2083" s="5" t="s">
        <v>15803</v>
      </c>
      <c r="Q2083" s="5"/>
      <c r="R2083" s="5"/>
      <c r="S2083" s="5"/>
      <c r="T2083" s="5"/>
    </row>
    <row r="2084">
      <c r="A2084" s="4">
        <v>45534.33870018518</v>
      </c>
      <c r="B2084" s="5" t="s">
        <v>34</v>
      </c>
      <c r="D2084" s="5" t="s">
        <v>1206</v>
      </c>
      <c r="E2084" s="5" t="s">
        <v>15825</v>
      </c>
      <c r="F2084" s="5" t="s">
        <v>375</v>
      </c>
      <c r="G2084" s="5" t="s">
        <v>15826</v>
      </c>
      <c r="H2084" s="6" t="s">
        <v>15827</v>
      </c>
      <c r="K2084" s="5" t="s">
        <v>15807</v>
      </c>
      <c r="M2084" s="5" t="s">
        <v>15828</v>
      </c>
      <c r="N2084" s="7" t="s">
        <v>15829</v>
      </c>
      <c r="O2084" s="8" t="str">
        <f>HYPERLINK("https://drive.google.com/file/d/1GJ4lok0kBVKGRbqvocku3cb9WE8OxczE/view?usp=drivesdk","2083_SOELISTYANINGRUM,SE _ SERTIFIKAT BIMTEK IPASN BerAKHLASK")</f>
        <v>2083_SOELISTYANINGRUM,SE _ SERTIFIKAT BIMTEK IPASN BerAKHLASK</v>
      </c>
      <c r="P2084" s="5" t="s">
        <v>15830</v>
      </c>
      <c r="Q2084" s="5"/>
      <c r="R2084" s="5"/>
      <c r="S2084" s="5"/>
      <c r="T2084" s="5"/>
    </row>
    <row r="2085">
      <c r="A2085" s="4">
        <v>45534.338703587964</v>
      </c>
      <c r="B2085" s="5" t="s">
        <v>34</v>
      </c>
      <c r="D2085" s="5" t="s">
        <v>35</v>
      </c>
      <c r="E2085" s="5" t="s">
        <v>15831</v>
      </c>
      <c r="F2085" s="5" t="s">
        <v>108</v>
      </c>
      <c r="G2085" s="5" t="s">
        <v>15832</v>
      </c>
      <c r="H2085" s="6" t="s">
        <v>15833</v>
      </c>
      <c r="K2085" s="5" t="s">
        <v>15807</v>
      </c>
      <c r="M2085" s="5" t="s">
        <v>15834</v>
      </c>
      <c r="N2085" s="7" t="s">
        <v>15835</v>
      </c>
      <c r="O2085" s="8" t="str">
        <f>HYPERLINK("https://drive.google.com/file/d/1RhxP9aFmo0uqsZ1GTVajTYD6J3cS6O4r/view?usp=drivesdk","2084_NUR AENI, A.MD _ SERTIFIKAT BIMTEK IPASN BerAKHLASK")</f>
        <v>2084_NUR AENI, A.MD _ SERTIFIKAT BIMTEK IPASN BerAKHLASK</v>
      </c>
      <c r="P2085" s="5" t="s">
        <v>15830</v>
      </c>
      <c r="Q2085" s="5"/>
      <c r="R2085" s="5"/>
      <c r="S2085" s="5"/>
      <c r="T2085" s="5"/>
    </row>
    <row r="2086">
      <c r="A2086" s="4">
        <v>45534.33871149305</v>
      </c>
      <c r="B2086" s="5" t="s">
        <v>34</v>
      </c>
      <c r="D2086" s="5" t="s">
        <v>12010</v>
      </c>
      <c r="E2086" s="5" t="s">
        <v>15836</v>
      </c>
      <c r="F2086" s="5" t="s">
        <v>37</v>
      </c>
      <c r="G2086" s="5" t="s">
        <v>15837</v>
      </c>
      <c r="H2086" s="6" t="s">
        <v>15838</v>
      </c>
      <c r="K2086" s="5" t="s">
        <v>15807</v>
      </c>
      <c r="M2086" s="5" t="s">
        <v>15839</v>
      </c>
      <c r="N2086" s="7" t="s">
        <v>15840</v>
      </c>
      <c r="O2086" s="8" t="str">
        <f>HYPERLINK("https://drive.google.com/file/d/1yNFhb3LrvJQiJ5grjYbOimepMo8_W2u5/view?usp=drivesdk","2085_NOLDI BATITI _ SERTIFIKAT BIMTEK IPASN BerAKHLASK")</f>
        <v>2085_NOLDI BATITI _ SERTIFIKAT BIMTEK IPASN BerAKHLASK</v>
      </c>
      <c r="P2086" s="5" t="s">
        <v>15830</v>
      </c>
      <c r="Q2086" s="5"/>
      <c r="R2086" s="5"/>
      <c r="S2086" s="5"/>
      <c r="T2086" s="5"/>
    </row>
    <row r="2087" hidden="1">
      <c r="A2087" s="4">
        <v>45534.33871116898</v>
      </c>
      <c r="B2087" s="5" t="s">
        <v>19</v>
      </c>
      <c r="C2087" s="5" t="s">
        <v>3301</v>
      </c>
      <c r="E2087" s="5" t="s">
        <v>15841</v>
      </c>
      <c r="F2087" s="5" t="s">
        <v>37</v>
      </c>
      <c r="G2087" s="5" t="s">
        <v>15842</v>
      </c>
      <c r="H2087" s="6" t="s">
        <v>15843</v>
      </c>
      <c r="K2087" s="5" t="s">
        <v>15807</v>
      </c>
      <c r="M2087" s="5" t="s">
        <v>15844</v>
      </c>
      <c r="N2087" s="7" t="s">
        <v>15845</v>
      </c>
      <c r="O2087" s="8" t="str">
        <f>HYPERLINK("https://drive.google.com/file/d/1K-a8RBIWXKOPAKEImZ7LoTkJzgPjywfs/view?usp=drivesdk","2086_YONAS GALING MAHARDIKA.AMD.KEP _ SERTIFIKAT BIMTEK IPASN BerAKHLASK")</f>
        <v>2086_YONAS GALING MAHARDIKA.AMD.KEP _ SERTIFIKAT BIMTEK IPASN BerAKHLASK</v>
      </c>
      <c r="P2087" s="5" t="s">
        <v>15830</v>
      </c>
      <c r="Q2087" s="5"/>
      <c r="R2087" s="5"/>
      <c r="S2087" s="5"/>
      <c r="T2087" s="5"/>
    </row>
    <row r="2088">
      <c r="A2088" s="4">
        <v>45534.338713425925</v>
      </c>
      <c r="B2088" s="5" t="s">
        <v>34</v>
      </c>
      <c r="D2088" s="5" t="s">
        <v>35</v>
      </c>
      <c r="E2088" s="5" t="s">
        <v>15846</v>
      </c>
      <c r="F2088" s="5" t="s">
        <v>375</v>
      </c>
      <c r="G2088" s="5" t="s">
        <v>15847</v>
      </c>
      <c r="H2088" s="6" t="s">
        <v>15848</v>
      </c>
      <c r="K2088" s="5" t="s">
        <v>15807</v>
      </c>
      <c r="M2088" s="5" t="s">
        <v>15849</v>
      </c>
      <c r="N2088" s="7" t="s">
        <v>15850</v>
      </c>
      <c r="O2088" s="8" t="str">
        <f>HYPERLINK("https://drive.google.com/file/d/1GnbMo2An-j-6x5cb_gDGl-3wVkGllU_o/view?usp=drivesdk","2087_WATI HERMAWATI _ SERTIFIKAT BIMTEK IPASN BerAKHLASK")</f>
        <v>2087_WATI HERMAWATI _ SERTIFIKAT BIMTEK IPASN BerAKHLASK</v>
      </c>
      <c r="P2088" s="5" t="s">
        <v>15830</v>
      </c>
      <c r="Q2088" s="5"/>
      <c r="R2088" s="5"/>
      <c r="S2088" s="5"/>
      <c r="T2088" s="5"/>
    </row>
    <row r="2089">
      <c r="A2089" s="4">
        <v>45534.33871484954</v>
      </c>
      <c r="B2089" s="5" t="s">
        <v>34</v>
      </c>
      <c r="D2089" s="5" t="s">
        <v>1206</v>
      </c>
      <c r="E2089" s="5" t="s">
        <v>15851</v>
      </c>
      <c r="F2089" s="5" t="s">
        <v>37</v>
      </c>
      <c r="G2089" s="5" t="s">
        <v>15852</v>
      </c>
      <c r="H2089" s="6" t="s">
        <v>15853</v>
      </c>
      <c r="K2089" s="5" t="s">
        <v>15807</v>
      </c>
      <c r="M2089" s="5" t="s">
        <v>15854</v>
      </c>
      <c r="N2089" s="7" t="s">
        <v>15855</v>
      </c>
      <c r="O2089" s="8" t="str">
        <f>HYPERLINK("https://drive.google.com/file/d/1MzXrSbzEi5u6WVRkgv6E6hGV1c7zYp8J/view?usp=drivesdk","2088_ENI KUSMIATI _ SERTIFIKAT BIMTEK IPASN BerAKHLASK")</f>
        <v>2088_ENI KUSMIATI _ SERTIFIKAT BIMTEK IPASN BerAKHLASK</v>
      </c>
      <c r="P2089" s="5" t="s">
        <v>15856</v>
      </c>
      <c r="Q2089" s="5"/>
      <c r="R2089" s="5"/>
      <c r="S2089" s="5"/>
      <c r="T2089" s="5"/>
    </row>
    <row r="2090">
      <c r="A2090" s="4">
        <v>45534.33871744213</v>
      </c>
      <c r="B2090" s="5" t="s">
        <v>34</v>
      </c>
      <c r="D2090" s="5" t="s">
        <v>280</v>
      </c>
      <c r="E2090" s="5" t="s">
        <v>15857</v>
      </c>
      <c r="F2090" s="5" t="s">
        <v>37</v>
      </c>
      <c r="G2090" s="5" t="s">
        <v>15858</v>
      </c>
      <c r="H2090" s="6" t="s">
        <v>15859</v>
      </c>
      <c r="K2090" s="5" t="s">
        <v>15807</v>
      </c>
      <c r="M2090" s="5" t="s">
        <v>15860</v>
      </c>
      <c r="N2090" s="7" t="s">
        <v>15861</v>
      </c>
      <c r="O2090" s="8" t="str">
        <f>HYPERLINK("https://drive.google.com/file/d/1V5Svz9TwNBXsK_kibDufY-hrgUEeHuP7/view?usp=drivesdk","2089_T. TAREKH KAMAL _ SERTIFIKAT BIMTEK IPASN BerAKHLASK")</f>
        <v>2089_T. TAREKH KAMAL _ SERTIFIKAT BIMTEK IPASN BerAKHLASK</v>
      </c>
      <c r="P2090" s="5" t="s">
        <v>15856</v>
      </c>
      <c r="Q2090" s="5"/>
      <c r="R2090" s="5"/>
      <c r="S2090" s="5"/>
      <c r="T2090" s="5"/>
    </row>
    <row r="2091">
      <c r="A2091" s="4">
        <v>45534.33873560185</v>
      </c>
      <c r="B2091" s="5" t="s">
        <v>34</v>
      </c>
      <c r="D2091" s="5" t="s">
        <v>35</v>
      </c>
      <c r="E2091" s="5" t="s">
        <v>15862</v>
      </c>
      <c r="F2091" s="5" t="s">
        <v>524</v>
      </c>
      <c r="G2091" s="5" t="s">
        <v>15863</v>
      </c>
      <c r="H2091" s="6" t="s">
        <v>15864</v>
      </c>
      <c r="K2091" s="5" t="s">
        <v>15807</v>
      </c>
      <c r="M2091" s="5" t="s">
        <v>15865</v>
      </c>
      <c r="N2091" s="7" t="s">
        <v>15866</v>
      </c>
      <c r="O2091" s="8" t="str">
        <f>HYPERLINK("https://drive.google.com/file/d/1IrIhf2_M_BLA6saWw7riWTQiUc728HS2/view?usp=drivesdk","2090_SETIAWATI _ SERTIFIKAT BIMTEK IPASN BerAKHLASK")</f>
        <v>2090_SETIAWATI _ SERTIFIKAT BIMTEK IPASN BerAKHLASK</v>
      </c>
      <c r="P2091" s="5" t="s">
        <v>15856</v>
      </c>
      <c r="Q2091" s="5"/>
      <c r="R2091" s="5"/>
      <c r="S2091" s="5"/>
      <c r="T2091" s="5"/>
    </row>
    <row r="2092">
      <c r="A2092" s="4">
        <v>45534.338739328705</v>
      </c>
      <c r="B2092" s="5" t="s">
        <v>34</v>
      </c>
      <c r="D2092" s="5" t="s">
        <v>35</v>
      </c>
      <c r="E2092" s="5" t="s">
        <v>15867</v>
      </c>
      <c r="F2092" s="5" t="s">
        <v>212</v>
      </c>
      <c r="G2092" s="5" t="s">
        <v>15868</v>
      </c>
      <c r="H2092" s="6" t="s">
        <v>15869</v>
      </c>
      <c r="K2092" s="5" t="s">
        <v>15807</v>
      </c>
      <c r="M2092" s="5" t="s">
        <v>15870</v>
      </c>
      <c r="N2092" s="7" t="s">
        <v>15871</v>
      </c>
      <c r="O2092" s="8" t="str">
        <f>HYPERLINK("https://drive.google.com/file/d/1S2uD5t2MqHsnAiU1K2Z10tSnel7c0d_0/view?usp=drivesdk","2091_ANJAS ASMARA, AMD. KEP _ SERTIFIKAT BIMTEK IPASN BerAKHLASK")</f>
        <v>2091_ANJAS ASMARA, AMD. KEP _ SERTIFIKAT BIMTEK IPASN BerAKHLASK</v>
      </c>
      <c r="P2092" s="5" t="s">
        <v>15856</v>
      </c>
      <c r="Q2092" s="5"/>
      <c r="R2092" s="5"/>
      <c r="S2092" s="5"/>
      <c r="T2092" s="5"/>
    </row>
    <row r="2093">
      <c r="A2093" s="4">
        <v>45534.33874516204</v>
      </c>
      <c r="B2093" s="5" t="s">
        <v>34</v>
      </c>
      <c r="D2093" s="5" t="s">
        <v>35</v>
      </c>
      <c r="E2093" s="5" t="s">
        <v>15872</v>
      </c>
      <c r="F2093" s="5" t="s">
        <v>37</v>
      </c>
      <c r="G2093" s="5" t="s">
        <v>15873</v>
      </c>
      <c r="H2093" s="6" t="s">
        <v>15874</v>
      </c>
      <c r="K2093" s="5" t="s">
        <v>15807</v>
      </c>
      <c r="M2093" s="5" t="s">
        <v>15875</v>
      </c>
      <c r="N2093" s="7" t="s">
        <v>15876</v>
      </c>
      <c r="O2093" s="8" t="str">
        <f>HYPERLINK("https://drive.google.com/file/d/1RUf80oclt7IxcVZWMgwUEQcEfvXzdLPj/view?usp=drivesdk","2092_SITI SUGIHASTUTI _ SERTIFIKAT BIMTEK IPASN BerAKHLASK")</f>
        <v>2092_SITI SUGIHASTUTI _ SERTIFIKAT BIMTEK IPASN BerAKHLASK</v>
      </c>
      <c r="P2093" s="5" t="s">
        <v>15856</v>
      </c>
      <c r="Q2093" s="5"/>
      <c r="R2093" s="5"/>
      <c r="S2093" s="5"/>
      <c r="T2093" s="5"/>
    </row>
    <row r="2094">
      <c r="A2094" s="4">
        <v>45534.338760810184</v>
      </c>
      <c r="B2094" s="5" t="s">
        <v>34</v>
      </c>
      <c r="D2094" s="5" t="s">
        <v>4775</v>
      </c>
      <c r="E2094" s="5" t="s">
        <v>15877</v>
      </c>
      <c r="F2094" s="5" t="s">
        <v>37</v>
      </c>
      <c r="G2094" s="5" t="s">
        <v>15878</v>
      </c>
      <c r="H2094" s="6" t="s">
        <v>15879</v>
      </c>
      <c r="K2094" s="5" t="s">
        <v>15807</v>
      </c>
      <c r="M2094" s="5" t="s">
        <v>15880</v>
      </c>
      <c r="N2094" s="7" t="s">
        <v>15881</v>
      </c>
      <c r="O2094" s="8" t="str">
        <f>HYPERLINK("https://drive.google.com/file/d/1F4Mt0SwRuz3LEv3KFK50UPQj_O5mo_yn/view?usp=drivesdk","2093_SAFARI,Spd _ SERTIFIKAT BIMTEK IPASN BerAKHLASK")</f>
        <v>2093_SAFARI,Spd _ SERTIFIKAT BIMTEK IPASN BerAKHLASK</v>
      </c>
      <c r="P2094" s="5" t="s">
        <v>15856</v>
      </c>
      <c r="Q2094" s="5"/>
      <c r="R2094" s="5"/>
      <c r="S2094" s="5"/>
      <c r="T2094" s="5"/>
    </row>
    <row r="2095">
      <c r="A2095" s="4">
        <v>45534.33876982639</v>
      </c>
      <c r="B2095" s="5" t="s">
        <v>34</v>
      </c>
      <c r="D2095" s="5" t="s">
        <v>4775</v>
      </c>
      <c r="E2095" s="5" t="s">
        <v>15882</v>
      </c>
      <c r="F2095" s="5" t="s">
        <v>37</v>
      </c>
      <c r="G2095" s="5" t="s">
        <v>15883</v>
      </c>
      <c r="H2095" s="6" t="s">
        <v>15884</v>
      </c>
      <c r="K2095" s="5" t="s">
        <v>15807</v>
      </c>
      <c r="M2095" s="5" t="s">
        <v>15885</v>
      </c>
      <c r="N2095" s="7" t="s">
        <v>15886</v>
      </c>
      <c r="O2095" s="8" t="str">
        <f>HYPERLINK("https://drive.google.com/file/d/1BXgaVb4JRton4bUYiYRhE0JUsIhEgBW4/view?usp=drivesdk","2094_NINAWATI,S.S _ SERTIFIKAT BIMTEK IPASN BerAKHLASK")</f>
        <v>2094_NINAWATI,S.S _ SERTIFIKAT BIMTEK IPASN BerAKHLASK</v>
      </c>
      <c r="P2095" s="5" t="s">
        <v>15887</v>
      </c>
      <c r="Q2095" s="5"/>
      <c r="R2095" s="5"/>
      <c r="S2095" s="5"/>
      <c r="T2095" s="5"/>
    </row>
    <row r="2096">
      <c r="A2096" s="4">
        <v>45534.33877633102</v>
      </c>
      <c r="B2096" s="5" t="s">
        <v>34</v>
      </c>
      <c r="D2096" s="5" t="s">
        <v>1206</v>
      </c>
      <c r="E2096" s="5" t="s">
        <v>15888</v>
      </c>
      <c r="F2096" s="5" t="s">
        <v>37</v>
      </c>
      <c r="G2096" s="5" t="s">
        <v>15889</v>
      </c>
      <c r="H2096" s="6" t="s">
        <v>15890</v>
      </c>
      <c r="I2096" s="7" t="s">
        <v>15891</v>
      </c>
      <c r="J2096" s="8" t="str">
        <f>HYPERLINK("https://drive.google.com/file/d/1UmjlSQA5JwPiC8L51hg0prWxmzBnt-so/view?usp=drivesdk","WASIKIN SERTIFIKAT BerAKHLAK")</f>
        <v>WASIKIN SERTIFIKAT BerAKHLAK</v>
      </c>
      <c r="K2096" s="5" t="s">
        <v>14093</v>
      </c>
      <c r="L2096" s="5" t="s">
        <v>15892</v>
      </c>
      <c r="M2096" s="5" t="s">
        <v>15893</v>
      </c>
      <c r="N2096" s="7" t="s">
        <v>15894</v>
      </c>
      <c r="O2096" s="8" t="str">
        <f>HYPERLINK("https://drive.google.com/file/d/1Bc9iZitI9yyT2Xn5b4SzjCUVsQaPZapM/view?usp=drivesdk","2095_WASIKIN _ SERTIFIKAT BIMTEK IPASN BerAKHLASK")</f>
        <v>2095_WASIKIN _ SERTIFIKAT BIMTEK IPASN BerAKHLASK</v>
      </c>
      <c r="P2096" s="5" t="s">
        <v>15887</v>
      </c>
      <c r="Q2096" s="5"/>
      <c r="R2096" s="5"/>
      <c r="S2096" s="5"/>
      <c r="T2096" s="5"/>
    </row>
    <row r="2097">
      <c r="A2097" s="4">
        <v>45534.338796944445</v>
      </c>
      <c r="B2097" s="5" t="s">
        <v>34</v>
      </c>
      <c r="D2097" s="5" t="s">
        <v>4775</v>
      </c>
      <c r="E2097" s="5" t="s">
        <v>15895</v>
      </c>
      <c r="F2097" s="5" t="s">
        <v>37</v>
      </c>
      <c r="G2097" s="5" t="s">
        <v>15896</v>
      </c>
      <c r="H2097" s="6" t="s">
        <v>15897</v>
      </c>
      <c r="I2097" s="7" t="s">
        <v>15898</v>
      </c>
      <c r="J2097" s="8" t="str">
        <f>HYPERLINK("https://drive.google.com/file/d/1eU2DNTyXnR84Yd3LnlzdN0FXfTS74-s_/view?usp=drivesdk","PUJO SUSILO SERTIFIKAT BerAKHLAK")</f>
        <v>PUJO SUSILO SERTIFIKAT BerAKHLAK</v>
      </c>
      <c r="K2097" s="5" t="s">
        <v>14093</v>
      </c>
      <c r="L2097" s="5" t="s">
        <v>15899</v>
      </c>
      <c r="M2097" s="5" t="s">
        <v>15900</v>
      </c>
      <c r="N2097" s="7" t="s">
        <v>15901</v>
      </c>
      <c r="O2097" s="8" t="str">
        <f>HYPERLINK("https://drive.google.com/file/d/1vK4vxwBkzphIYU-TnJjFDsxUiVVvoHll/view?usp=drivesdk","2096_PUJO SUSILO _ SERTIFIKAT BIMTEK IPASN BerAKHLASK")</f>
        <v>2096_PUJO SUSILO _ SERTIFIKAT BIMTEK IPASN BerAKHLASK</v>
      </c>
      <c r="P2097" s="5" t="s">
        <v>15887</v>
      </c>
      <c r="Q2097" s="5"/>
      <c r="R2097" s="5"/>
      <c r="S2097" s="5"/>
      <c r="T2097" s="5"/>
    </row>
    <row r="2098">
      <c r="A2098" s="4">
        <v>45534.338802303246</v>
      </c>
      <c r="B2098" s="5" t="s">
        <v>34</v>
      </c>
      <c r="D2098" s="5" t="s">
        <v>1206</v>
      </c>
      <c r="E2098" s="5" t="s">
        <v>15902</v>
      </c>
      <c r="F2098" s="5" t="s">
        <v>375</v>
      </c>
      <c r="G2098" s="5" t="s">
        <v>15903</v>
      </c>
      <c r="H2098" s="6" t="s">
        <v>15904</v>
      </c>
      <c r="I2098" s="7" t="s">
        <v>15905</v>
      </c>
      <c r="J2098" s="8" t="str">
        <f>HYPERLINK("https://drive.google.com/file/d/1qMKIN7kFnXiu5zf62B1TKdwUpWmyCSgV/view?usp=drivesdk","INDRI HASTUTI SE SERTIFIKAT BerAKHLAK")</f>
        <v>INDRI HASTUTI SE SERTIFIKAT BerAKHLAK</v>
      </c>
      <c r="K2098" s="5" t="s">
        <v>14093</v>
      </c>
      <c r="L2098" s="5" t="s">
        <v>15906</v>
      </c>
      <c r="M2098" s="5" t="s">
        <v>15907</v>
      </c>
      <c r="N2098" s="7" t="s">
        <v>15908</v>
      </c>
      <c r="O2098" s="8" t="str">
        <f>HYPERLINK("https://drive.google.com/file/d/1JvKblcuPSowrmTlZwr7QP0MXGHNPgLtM/view?usp=drivesdk","2097_INDRI HASTUTI SE _ SERTIFIKAT BIMTEK IPASN BerAKHLASK")</f>
        <v>2097_INDRI HASTUTI SE _ SERTIFIKAT BIMTEK IPASN BerAKHLASK</v>
      </c>
      <c r="P2098" s="5" t="s">
        <v>15887</v>
      </c>
      <c r="Q2098" s="5"/>
      <c r="R2098" s="5"/>
      <c r="S2098" s="5"/>
      <c r="T2098" s="5"/>
    </row>
    <row r="2099">
      <c r="A2099" s="4">
        <v>45534.33880311342</v>
      </c>
      <c r="B2099" s="5" t="s">
        <v>34</v>
      </c>
      <c r="D2099" s="5" t="s">
        <v>9020</v>
      </c>
      <c r="E2099" s="5" t="s">
        <v>15909</v>
      </c>
      <c r="F2099" s="5" t="s">
        <v>37</v>
      </c>
      <c r="G2099" s="5" t="s">
        <v>15910</v>
      </c>
      <c r="H2099" s="6" t="s">
        <v>15911</v>
      </c>
      <c r="I2099" s="7" t="s">
        <v>15912</v>
      </c>
      <c r="J2099" s="8" t="str">
        <f>HYPERLINK("https://drive.google.com/file/d/1BryUD8TV4fKXoznx4WBP6_2d0sa8csj0/view?usp=drivesdk","BENNY FERYANTO SERTIFIKAT BerAKHLAK")</f>
        <v>BENNY FERYANTO SERTIFIKAT BerAKHLAK</v>
      </c>
      <c r="K2099" s="5" t="s">
        <v>14116</v>
      </c>
      <c r="L2099" s="5" t="s">
        <v>15913</v>
      </c>
      <c r="M2099" s="5" t="s">
        <v>15914</v>
      </c>
      <c r="N2099" s="7" t="s">
        <v>15915</v>
      </c>
      <c r="O2099" s="8" t="str">
        <f>HYPERLINK("https://drive.google.com/file/d/1_S_nOVtHpqn0ZyxE4FsLY6wanJI2XklK/view?usp=drivesdk","2098_BENNY FERYANTO _ SERTIFIKAT BIMTEK IPASN BerAKHLASK")</f>
        <v>2098_BENNY FERYANTO _ SERTIFIKAT BIMTEK IPASN BerAKHLASK</v>
      </c>
      <c r="P2099" s="5" t="s">
        <v>15887</v>
      </c>
      <c r="Q2099" s="5"/>
      <c r="R2099" s="5"/>
      <c r="S2099" s="5"/>
      <c r="T2099" s="5"/>
    </row>
    <row r="2100">
      <c r="A2100" s="4">
        <v>45534.33881270833</v>
      </c>
      <c r="B2100" s="5" t="s">
        <v>34</v>
      </c>
      <c r="D2100" s="5" t="s">
        <v>4775</v>
      </c>
      <c r="E2100" s="5" t="s">
        <v>15916</v>
      </c>
      <c r="F2100" s="5" t="s">
        <v>375</v>
      </c>
      <c r="G2100" s="5" t="s">
        <v>15917</v>
      </c>
      <c r="H2100" s="6" t="s">
        <v>15918</v>
      </c>
      <c r="I2100" s="7" t="s">
        <v>15919</v>
      </c>
      <c r="J2100" s="8" t="str">
        <f>HYPERLINK("https://drive.google.com/file/d/1nca90YEJLcBxvbFB-ALKmiS7efFDAng2/view?usp=drivesdk","HERMAN WAHYONO  SERTIFIKAT BerAKHLAK")</f>
        <v>HERMAN WAHYONO  SERTIFIKAT BerAKHLAK</v>
      </c>
      <c r="K2100" s="5" t="s">
        <v>14116</v>
      </c>
      <c r="L2100" s="5" t="s">
        <v>15920</v>
      </c>
      <c r="M2100" s="5" t="s">
        <v>15921</v>
      </c>
      <c r="N2100" s="7" t="s">
        <v>15922</v>
      </c>
      <c r="O2100" s="8" t="str">
        <f>HYPERLINK("https://drive.google.com/file/d/177BXMrTZAyrWNDW8TVBpjHpfhbC90Y36/view?usp=drivesdk","2099_HERMAN WAHYONO  _ SERTIFIKAT BIMTEK IPASN BerAKHLASK")</f>
        <v>2099_HERMAN WAHYONO  _ SERTIFIKAT BIMTEK IPASN BerAKHLASK</v>
      </c>
      <c r="P2100" s="5" t="s">
        <v>15887</v>
      </c>
      <c r="Q2100" s="5"/>
      <c r="R2100" s="5"/>
      <c r="S2100" s="5"/>
      <c r="T2100" s="5"/>
    </row>
    <row r="2101">
      <c r="A2101" s="4">
        <v>45534.33881378472</v>
      </c>
      <c r="B2101" s="5" t="s">
        <v>34</v>
      </c>
      <c r="D2101" s="5" t="s">
        <v>10444</v>
      </c>
      <c r="E2101" s="5" t="s">
        <v>15923</v>
      </c>
      <c r="F2101" s="5" t="s">
        <v>37</v>
      </c>
      <c r="G2101" s="5" t="s">
        <v>15924</v>
      </c>
      <c r="H2101" s="6" t="s">
        <v>15925</v>
      </c>
      <c r="I2101" s="7" t="s">
        <v>15926</v>
      </c>
      <c r="J2101" s="8" t="str">
        <f>HYPERLINK("https://drive.google.com/file/d/10rcERrfxcmVw8nJlHtgf1laLxrXc9Ehk/view?usp=drivesdk","AVILA HENNY KUNCORO, A.MD KEB SERTIFIKAT BerAKHLAK")</f>
        <v>AVILA HENNY KUNCORO, A.MD KEB SERTIFIKAT BerAKHLAK</v>
      </c>
      <c r="K2101" s="5" t="s">
        <v>14116</v>
      </c>
      <c r="L2101" s="5" t="s">
        <v>15927</v>
      </c>
      <c r="M2101" s="5" t="s">
        <v>15928</v>
      </c>
      <c r="N2101" s="7" t="s">
        <v>15929</v>
      </c>
      <c r="O2101" s="8" t="str">
        <f>HYPERLINK("https://drive.google.com/file/d/1LEXPzGBW_zv8P6WVd1zufbcrSh3Rglp_/view?usp=drivesdk","2100_AVILA HENNY KUNCORO, A.MD KEB _ SERTIFIKAT BIMTEK IPASN BerAKHLASK")</f>
        <v>2100_AVILA HENNY KUNCORO, A.MD KEB _ SERTIFIKAT BIMTEK IPASN BerAKHLASK</v>
      </c>
      <c r="P2101" s="5" t="s">
        <v>15930</v>
      </c>
      <c r="Q2101" s="5"/>
      <c r="R2101" s="5"/>
      <c r="S2101" s="5"/>
      <c r="T2101" s="5"/>
    </row>
    <row r="2102">
      <c r="A2102" s="4">
        <v>45534.33881449074</v>
      </c>
      <c r="B2102" s="5" t="s">
        <v>34</v>
      </c>
      <c r="D2102" s="5" t="s">
        <v>14313</v>
      </c>
      <c r="E2102" s="5" t="s">
        <v>15931</v>
      </c>
      <c r="F2102" s="5" t="s">
        <v>715</v>
      </c>
      <c r="G2102" s="5" t="s">
        <v>15932</v>
      </c>
      <c r="H2102" s="6" t="s">
        <v>15933</v>
      </c>
      <c r="I2102" s="7" t="s">
        <v>15934</v>
      </c>
      <c r="J2102" s="8" t="str">
        <f>HYPERLINK("https://drive.google.com/file/d/16BFraqTwTG7_QhT-yZH8grTZ8QK2o6Ap/view?usp=drivesdk","SUHARTI SERTIFIKAT BerAKHLAK")</f>
        <v>SUHARTI SERTIFIKAT BerAKHLAK</v>
      </c>
      <c r="K2102" s="5" t="s">
        <v>14913</v>
      </c>
      <c r="L2102" s="5" t="s">
        <v>15935</v>
      </c>
      <c r="M2102" s="5" t="s">
        <v>15936</v>
      </c>
      <c r="N2102" s="7" t="s">
        <v>15937</v>
      </c>
      <c r="O2102" s="8" t="str">
        <f>HYPERLINK("https://drive.google.com/file/d/1ZS4qGb3UoGmUNviKG_XN9rYw5xIwLPwj/view?usp=drivesdk","2101_SUHARTI _ SERTIFIKAT BIMTEK IPASN BerAKHLASK")</f>
        <v>2101_SUHARTI _ SERTIFIKAT BIMTEK IPASN BerAKHLASK</v>
      </c>
      <c r="P2102" s="5" t="s">
        <v>15930</v>
      </c>
      <c r="Q2102" s="5"/>
      <c r="R2102" s="5"/>
      <c r="S2102" s="5"/>
      <c r="T2102" s="5"/>
    </row>
    <row r="2103">
      <c r="A2103" s="4">
        <v>45534.3388178125</v>
      </c>
      <c r="B2103" s="5" t="s">
        <v>34</v>
      </c>
      <c r="D2103" s="5" t="s">
        <v>267</v>
      </c>
      <c r="E2103" s="5" t="s">
        <v>15938</v>
      </c>
      <c r="F2103" s="5" t="s">
        <v>108</v>
      </c>
      <c r="G2103" s="5" t="s">
        <v>15939</v>
      </c>
      <c r="H2103" s="6" t="s">
        <v>15940</v>
      </c>
      <c r="I2103" s="7" t="s">
        <v>15941</v>
      </c>
      <c r="J2103" s="8" t="str">
        <f>HYPERLINK("https://drive.google.com/file/d/1wHF_csqmgMBUt_8dn3kPeCOyFqj_1iIo/view?usp=drivesdk","WARSIYAH, A.Md., S.Ak. SERTIFIKAT BerAKHLAK")</f>
        <v>WARSIYAH, A.Md., S.Ak. SERTIFIKAT BerAKHLAK</v>
      </c>
      <c r="K2103" s="5" t="s">
        <v>14913</v>
      </c>
      <c r="L2103" s="5" t="s">
        <v>15942</v>
      </c>
      <c r="M2103" s="5" t="s">
        <v>15943</v>
      </c>
      <c r="N2103" s="7" t="s">
        <v>15944</v>
      </c>
      <c r="O2103" s="8" t="str">
        <f>HYPERLINK("https://drive.google.com/file/d/1SyYuXkR6bdRkNluprs-Cc0WunGxYbn1m/view?usp=drivesdk","2102_WARSIYAH, A.Md., S.Ak. _ SERTIFIKAT BIMTEK IPASN BerAKHLASK")</f>
        <v>2102_WARSIYAH, A.Md., S.Ak. _ SERTIFIKAT BIMTEK IPASN BerAKHLASK</v>
      </c>
      <c r="P2103" s="5" t="s">
        <v>15930</v>
      </c>
      <c r="Q2103" s="5"/>
      <c r="R2103" s="5"/>
      <c r="S2103" s="5"/>
      <c r="T2103" s="5"/>
    </row>
    <row r="2104">
      <c r="A2104" s="4">
        <v>45534.338820902776</v>
      </c>
      <c r="B2104" s="5" t="s">
        <v>34</v>
      </c>
      <c r="D2104" s="5" t="s">
        <v>3849</v>
      </c>
      <c r="E2104" s="5" t="s">
        <v>15945</v>
      </c>
      <c r="F2104" s="5" t="s">
        <v>37</v>
      </c>
      <c r="G2104" s="5" t="s">
        <v>15946</v>
      </c>
      <c r="H2104" s="6" t="s">
        <v>15947</v>
      </c>
      <c r="I2104" s="7" t="s">
        <v>15948</v>
      </c>
      <c r="J2104" s="8" t="str">
        <f>HYPERLINK("https://drive.google.com/file/d/1KO79wvootnn7mX0IEoTXeXZZnd5CsO0x/view?usp=drivesdk","MOH YASIN SERTIFIKAT BerAKHLAK")</f>
        <v>MOH YASIN SERTIFIKAT BerAKHLAK</v>
      </c>
      <c r="K2104" s="5" t="s">
        <v>14913</v>
      </c>
      <c r="L2104" s="5" t="s">
        <v>15949</v>
      </c>
      <c r="M2104" s="5" t="s">
        <v>15950</v>
      </c>
      <c r="N2104" s="7" t="s">
        <v>15951</v>
      </c>
      <c r="O2104" s="8" t="str">
        <f>HYPERLINK("https://drive.google.com/file/d/1bY5Fx2_lr6ga0Uah6gvlcRuuaUAsbpxD/view?usp=drivesdk","2103_MOH YASIN _ SERTIFIKAT BIMTEK IPASN BerAKHLASK")</f>
        <v>2103_MOH YASIN _ SERTIFIKAT BIMTEK IPASN BerAKHLASK</v>
      </c>
      <c r="P2104" s="5" t="s">
        <v>15930</v>
      </c>
      <c r="Q2104" s="5"/>
      <c r="R2104" s="5"/>
      <c r="S2104" s="5"/>
      <c r="T2104" s="5"/>
    </row>
    <row r="2105">
      <c r="A2105" s="4">
        <v>45534.33882215278</v>
      </c>
      <c r="B2105" s="5" t="s">
        <v>34</v>
      </c>
      <c r="D2105" s="5" t="s">
        <v>580</v>
      </c>
      <c r="E2105" s="5" t="s">
        <v>15952</v>
      </c>
      <c r="F2105" s="5" t="s">
        <v>715</v>
      </c>
      <c r="G2105" s="5" t="s">
        <v>15953</v>
      </c>
      <c r="H2105" s="6" t="s">
        <v>15954</v>
      </c>
      <c r="K2105" s="5" t="s">
        <v>15955</v>
      </c>
      <c r="M2105" s="5" t="s">
        <v>15956</v>
      </c>
      <c r="N2105" s="7" t="s">
        <v>15957</v>
      </c>
      <c r="O2105" s="8" t="str">
        <f>HYPERLINK("https://drive.google.com/file/d/1mbPFYgfER97TgRLcVojPP3N2XMfRSG5e/view?usp=drivesdk","2104_LINA HERLINA, AM. SE _ SERTIFIKAT BIMTEK IPASN BerAKHLASK")</f>
        <v>2104_LINA HERLINA, AM. SE _ SERTIFIKAT BIMTEK IPASN BerAKHLASK</v>
      </c>
      <c r="P2105" s="5" t="s">
        <v>15930</v>
      </c>
      <c r="Q2105" s="5"/>
      <c r="R2105" s="5"/>
      <c r="S2105" s="5"/>
      <c r="T2105" s="5"/>
    </row>
    <row r="2106">
      <c r="A2106" s="4">
        <v>45534.33882405092</v>
      </c>
      <c r="B2106" s="5" t="s">
        <v>34</v>
      </c>
      <c r="D2106" s="5" t="s">
        <v>35</v>
      </c>
      <c r="E2106" s="5" t="s">
        <v>15958</v>
      </c>
      <c r="F2106" s="5" t="s">
        <v>212</v>
      </c>
      <c r="G2106" s="5" t="s">
        <v>15959</v>
      </c>
      <c r="H2106" s="6" t="s">
        <v>15960</v>
      </c>
      <c r="K2106" s="5" t="s">
        <v>15955</v>
      </c>
      <c r="M2106" s="5" t="s">
        <v>15961</v>
      </c>
      <c r="N2106" s="7" t="s">
        <v>15962</v>
      </c>
      <c r="O2106" s="8" t="str">
        <f>HYPERLINK("https://drive.google.com/file/d/1a4RYDSDIxeSDKK4IK-SCShjKp9X60DHl/view?usp=drivesdk","2105_SAMSURI _ SERTIFIKAT BIMTEK IPASN BerAKHLASK")</f>
        <v>2105_SAMSURI _ SERTIFIKAT BIMTEK IPASN BerAKHLASK</v>
      </c>
      <c r="P2106" s="5" t="s">
        <v>15963</v>
      </c>
      <c r="Q2106" s="5"/>
      <c r="R2106" s="5"/>
      <c r="S2106" s="5"/>
      <c r="T2106" s="5"/>
    </row>
    <row r="2107">
      <c r="A2107" s="4">
        <v>45534.33882851852</v>
      </c>
      <c r="B2107" s="5" t="s">
        <v>34</v>
      </c>
      <c r="D2107" s="5" t="s">
        <v>1206</v>
      </c>
      <c r="E2107" s="5" t="s">
        <v>15964</v>
      </c>
      <c r="F2107" s="5" t="s">
        <v>37</v>
      </c>
      <c r="G2107" s="5" t="s">
        <v>15965</v>
      </c>
      <c r="H2107" s="6" t="s">
        <v>15966</v>
      </c>
      <c r="K2107" s="5" t="s">
        <v>15955</v>
      </c>
      <c r="M2107" s="5" t="s">
        <v>15967</v>
      </c>
      <c r="N2107" s="7" t="s">
        <v>15968</v>
      </c>
      <c r="O2107" s="8" t="str">
        <f>HYPERLINK("https://drive.google.com/file/d/1kpX25UahuIEI7kQ8k1pJOa9v1n2sdb4l/view?usp=drivesdk","2106_ANIS SA'DIYAH _ SERTIFIKAT BIMTEK IPASN BerAKHLASK")</f>
        <v>2106_ANIS SA'DIYAH _ SERTIFIKAT BIMTEK IPASN BerAKHLASK</v>
      </c>
      <c r="P2107" s="5" t="s">
        <v>15963</v>
      </c>
      <c r="Q2107" s="5"/>
      <c r="R2107" s="5"/>
      <c r="S2107" s="5"/>
      <c r="T2107" s="5"/>
    </row>
    <row r="2108">
      <c r="A2108" s="4">
        <v>45534.33883266203</v>
      </c>
      <c r="B2108" s="5" t="s">
        <v>34</v>
      </c>
      <c r="D2108" s="5" t="s">
        <v>522</v>
      </c>
      <c r="E2108" s="5" t="s">
        <v>15969</v>
      </c>
      <c r="F2108" s="5" t="s">
        <v>212</v>
      </c>
      <c r="G2108" s="5" t="s">
        <v>15970</v>
      </c>
      <c r="H2108" s="6" t="s">
        <v>15971</v>
      </c>
      <c r="K2108" s="5" t="s">
        <v>15955</v>
      </c>
      <c r="M2108" s="5" t="s">
        <v>15972</v>
      </c>
      <c r="N2108" s="7" t="s">
        <v>15973</v>
      </c>
      <c r="O2108" s="8" t="str">
        <f>HYPERLINK("https://drive.google.com/file/d/1fsTeokBIPAoOgqvIZyop9WF-MFS1rp-c/view?usp=drivesdk","2107_AHMAD WILDAN _ SERTIFIKAT BIMTEK IPASN BerAKHLASK")</f>
        <v>2107_AHMAD WILDAN _ SERTIFIKAT BIMTEK IPASN BerAKHLASK</v>
      </c>
      <c r="P2108" s="5" t="s">
        <v>15963</v>
      </c>
      <c r="Q2108" s="5"/>
      <c r="R2108" s="5"/>
      <c r="S2108" s="5"/>
      <c r="T2108" s="5"/>
    </row>
    <row r="2109">
      <c r="A2109" s="4">
        <v>45534.33883368055</v>
      </c>
      <c r="B2109" s="5" t="s">
        <v>34</v>
      </c>
      <c r="D2109" s="5" t="s">
        <v>7858</v>
      </c>
      <c r="E2109" s="5" t="s">
        <v>15974</v>
      </c>
      <c r="F2109" s="5" t="s">
        <v>5566</v>
      </c>
      <c r="G2109" s="5" t="s">
        <v>15975</v>
      </c>
      <c r="H2109" s="6" t="s">
        <v>15976</v>
      </c>
      <c r="K2109" s="5" t="s">
        <v>15955</v>
      </c>
      <c r="M2109" s="5" t="s">
        <v>15977</v>
      </c>
      <c r="N2109" s="7" t="s">
        <v>15978</v>
      </c>
      <c r="O2109" s="8" t="str">
        <f>HYPERLINK("https://drive.google.com/file/d/1n5m0FMI_ux39vzW4FUFtcMB8uhHcUz_4/view?usp=drivesdk","2108_AGUSTIAN FIRLANSYAH _ SERTIFIKAT BIMTEK IPASN BerAKHLASK")</f>
        <v>2108_AGUSTIAN FIRLANSYAH _ SERTIFIKAT BIMTEK IPASN BerAKHLASK</v>
      </c>
      <c r="P2109" s="5" t="s">
        <v>15963</v>
      </c>
      <c r="Q2109" s="5"/>
      <c r="R2109" s="5"/>
      <c r="S2109" s="5"/>
      <c r="T2109" s="5"/>
    </row>
    <row r="2110">
      <c r="A2110" s="4">
        <v>45534.33883443287</v>
      </c>
      <c r="B2110" s="5" t="s">
        <v>34</v>
      </c>
      <c r="D2110" s="5" t="s">
        <v>1206</v>
      </c>
      <c r="E2110" s="5" t="s">
        <v>15979</v>
      </c>
      <c r="F2110" s="5" t="s">
        <v>212</v>
      </c>
      <c r="G2110" s="5" t="s">
        <v>15980</v>
      </c>
      <c r="H2110" s="6" t="s">
        <v>15981</v>
      </c>
      <c r="K2110" s="5" t="s">
        <v>15955</v>
      </c>
      <c r="M2110" s="5" t="s">
        <v>15982</v>
      </c>
      <c r="N2110" s="7" t="s">
        <v>15983</v>
      </c>
      <c r="O2110" s="8" t="str">
        <f>HYPERLINK("https://drive.google.com/file/d/1o4WaR9KUCpsmqhhfxakQ2fAQ0Lyay0t5/view?usp=drivesdk","2109_TOLAK HARNOTO _ SERTIFIKAT BIMTEK IPASN BerAKHLASK")</f>
        <v>2109_TOLAK HARNOTO _ SERTIFIKAT BIMTEK IPASN BerAKHLASK</v>
      </c>
      <c r="P2110" s="5" t="s">
        <v>15963</v>
      </c>
      <c r="Q2110" s="5"/>
      <c r="R2110" s="5"/>
      <c r="S2110" s="5"/>
      <c r="T2110" s="5"/>
    </row>
    <row r="2111">
      <c r="A2111" s="4">
        <v>45534.3388371412</v>
      </c>
      <c r="B2111" s="5" t="s">
        <v>34</v>
      </c>
      <c r="D2111" s="5" t="s">
        <v>1206</v>
      </c>
      <c r="E2111" s="5" t="s">
        <v>15984</v>
      </c>
      <c r="F2111" s="5" t="s">
        <v>120</v>
      </c>
      <c r="G2111" s="5" t="s">
        <v>15985</v>
      </c>
      <c r="H2111" s="6" t="s">
        <v>15986</v>
      </c>
      <c r="K2111" s="5" t="s">
        <v>15955</v>
      </c>
      <c r="M2111" s="5" t="s">
        <v>15987</v>
      </c>
      <c r="N2111" s="7" t="s">
        <v>15988</v>
      </c>
      <c r="O2111" s="8" t="str">
        <f>HYPERLINK("https://drive.google.com/file/d/1Sa5vzsR6AU9ypUgy05xdx3Vj_bsTHzTL/view?usp=drivesdk","2110_SANTOSO, SE,MM. _ SERTIFIKAT BIMTEK IPASN BerAKHLASK")</f>
        <v>2110_SANTOSO, SE,MM. _ SERTIFIKAT BIMTEK IPASN BerAKHLASK</v>
      </c>
      <c r="P2111" s="5" t="s">
        <v>15963</v>
      </c>
      <c r="Q2111" s="5"/>
      <c r="R2111" s="5"/>
      <c r="S2111" s="5"/>
      <c r="T2111" s="5"/>
    </row>
    <row r="2112">
      <c r="A2112" s="4">
        <v>45534.33884859954</v>
      </c>
      <c r="B2112" s="5" t="s">
        <v>34</v>
      </c>
      <c r="D2112" s="5" t="s">
        <v>4775</v>
      </c>
      <c r="E2112" s="5" t="s">
        <v>15989</v>
      </c>
      <c r="F2112" s="5" t="s">
        <v>72</v>
      </c>
      <c r="G2112" s="5" t="s">
        <v>15990</v>
      </c>
      <c r="H2112" s="6" t="s">
        <v>15991</v>
      </c>
      <c r="K2112" s="5" t="s">
        <v>15992</v>
      </c>
      <c r="M2112" s="5" t="s">
        <v>15993</v>
      </c>
      <c r="N2112" s="7" t="s">
        <v>15994</v>
      </c>
      <c r="O2112" s="8" t="str">
        <f>HYPERLINK("https://drive.google.com/file/d/1xU_KFv4HADqKQ76CJR5I239Jj_ROmvrT/view?usp=drivesdk","2111_ERNI YULISTYOWATI  _ SERTIFIKAT BIMTEK IPASN BerAKHLASK")</f>
        <v>2111_ERNI YULISTYOWATI  _ SERTIFIKAT BIMTEK IPASN BerAKHLASK</v>
      </c>
      <c r="P2112" s="5" t="s">
        <v>15995</v>
      </c>
      <c r="Q2112" s="5"/>
      <c r="R2112" s="5"/>
      <c r="S2112" s="5"/>
      <c r="T2112" s="5"/>
    </row>
    <row r="2113">
      <c r="A2113" s="4">
        <v>45534.33885266204</v>
      </c>
      <c r="B2113" s="5" t="s">
        <v>34</v>
      </c>
      <c r="D2113" s="5" t="s">
        <v>4775</v>
      </c>
      <c r="E2113" s="5" t="s">
        <v>15996</v>
      </c>
      <c r="F2113" s="5" t="s">
        <v>212</v>
      </c>
      <c r="G2113" s="5" t="s">
        <v>15997</v>
      </c>
      <c r="H2113" s="6" t="s">
        <v>15998</v>
      </c>
      <c r="K2113" s="5" t="s">
        <v>15992</v>
      </c>
      <c r="M2113" s="5" t="s">
        <v>15999</v>
      </c>
      <c r="N2113" s="7" t="s">
        <v>16000</v>
      </c>
      <c r="O2113" s="8" t="str">
        <f>HYPERLINK("https://drive.google.com/file/d/15qtwKmC45MjGiMK0vOSwjMiuYvUYElJP/view?usp=drivesdk","2112_WAGIYO _ SERTIFIKAT BIMTEK IPASN BerAKHLASK")</f>
        <v>2112_WAGIYO _ SERTIFIKAT BIMTEK IPASN BerAKHLASK</v>
      </c>
      <c r="P2113" s="5" t="s">
        <v>15995</v>
      </c>
      <c r="Q2113" s="5"/>
      <c r="R2113" s="5"/>
      <c r="S2113" s="5"/>
      <c r="T2113" s="5"/>
    </row>
    <row r="2114">
      <c r="A2114" s="4">
        <v>45534.33885274305</v>
      </c>
      <c r="B2114" s="5" t="s">
        <v>34</v>
      </c>
      <c r="D2114" s="5" t="s">
        <v>12978</v>
      </c>
      <c r="E2114" s="5" t="s">
        <v>16001</v>
      </c>
      <c r="F2114" s="5" t="s">
        <v>715</v>
      </c>
      <c r="G2114" s="5" t="s">
        <v>16002</v>
      </c>
      <c r="H2114" s="6" t="s">
        <v>16003</v>
      </c>
      <c r="K2114" s="5" t="s">
        <v>14492</v>
      </c>
      <c r="M2114" s="5" t="s">
        <v>16004</v>
      </c>
      <c r="N2114" s="7" t="s">
        <v>16005</v>
      </c>
      <c r="O2114" s="8" t="str">
        <f>HYPERLINK("https://drive.google.com/file/d/1qEOn91uiM3Z1spwGaKoc191chf-ZXZ3z/view?usp=drivesdk","2113_MELI YANTI, S.T. _ SERTIFIKAT BIMTEK IPASN BerAKHLASK")</f>
        <v>2113_MELI YANTI, S.T. _ SERTIFIKAT BIMTEK IPASN BerAKHLASK</v>
      </c>
      <c r="P2114" s="5" t="s">
        <v>15995</v>
      </c>
      <c r="Q2114" s="5"/>
      <c r="R2114" s="5"/>
      <c r="S2114" s="5"/>
      <c r="T2114" s="5"/>
    </row>
    <row r="2115">
      <c r="A2115" s="4">
        <v>45534.33885435185</v>
      </c>
      <c r="B2115" s="5" t="s">
        <v>34</v>
      </c>
      <c r="D2115" s="5" t="s">
        <v>4775</v>
      </c>
      <c r="E2115" s="5" t="s">
        <v>16006</v>
      </c>
      <c r="F2115" s="5" t="s">
        <v>72</v>
      </c>
      <c r="G2115" s="5" t="s">
        <v>16007</v>
      </c>
      <c r="H2115" s="6" t="s">
        <v>16008</v>
      </c>
      <c r="K2115" s="5" t="s">
        <v>14492</v>
      </c>
      <c r="M2115" s="5" t="s">
        <v>16009</v>
      </c>
      <c r="N2115" s="7" t="s">
        <v>16010</v>
      </c>
      <c r="O2115" s="8" t="str">
        <f>HYPERLINK("https://drive.google.com/file/d/1zM-_PaAaWbrxAi1TKku-ff6n3VjYT7c9/view?usp=drivesdk","2114_SRI SURYANTI _ SERTIFIKAT BIMTEK IPASN BerAKHLASK")</f>
        <v>2114_SRI SURYANTI _ SERTIFIKAT BIMTEK IPASN BerAKHLASK</v>
      </c>
      <c r="P2115" s="5" t="s">
        <v>15995</v>
      </c>
      <c r="Q2115" s="5"/>
      <c r="R2115" s="5"/>
      <c r="S2115" s="5"/>
      <c r="T2115" s="5"/>
    </row>
    <row r="2116">
      <c r="A2116" s="4">
        <v>45534.33885487268</v>
      </c>
      <c r="B2116" s="5" t="s">
        <v>34</v>
      </c>
      <c r="D2116" s="5" t="s">
        <v>996</v>
      </c>
      <c r="E2116" s="5" t="s">
        <v>16011</v>
      </c>
      <c r="F2116" s="5" t="s">
        <v>108</v>
      </c>
      <c r="G2116" s="5" t="s">
        <v>16012</v>
      </c>
      <c r="H2116" s="6" t="s">
        <v>16013</v>
      </c>
      <c r="K2116" s="5" t="s">
        <v>14492</v>
      </c>
      <c r="M2116" s="5" t="s">
        <v>16014</v>
      </c>
      <c r="N2116" s="7" t="s">
        <v>16015</v>
      </c>
      <c r="O2116" s="8" t="str">
        <f>HYPERLINK("https://drive.google.com/file/d/1twG6SG_d9UXOp9XqT-Ch3t0SLuJ5LmFX/view?usp=drivesdk","2115_Fauzi Anwar, A.Md. _ SERTIFIKAT BIMTEK IPASN BerAKHLASK")</f>
        <v>2115_Fauzi Anwar, A.Md. _ SERTIFIKAT BIMTEK IPASN BerAKHLASK</v>
      </c>
      <c r="P2116" s="5" t="s">
        <v>15995</v>
      </c>
      <c r="Q2116" s="5"/>
      <c r="R2116" s="5"/>
      <c r="S2116" s="5"/>
      <c r="T2116" s="5"/>
    </row>
    <row r="2117" hidden="1">
      <c r="A2117" s="4">
        <v>45534.33885788194</v>
      </c>
      <c r="B2117" s="5" t="s">
        <v>19</v>
      </c>
      <c r="C2117" s="5" t="s">
        <v>5564</v>
      </c>
      <c r="E2117" s="5" t="s">
        <v>16016</v>
      </c>
      <c r="F2117" s="5" t="s">
        <v>524</v>
      </c>
      <c r="G2117" s="5" t="s">
        <v>16017</v>
      </c>
      <c r="H2117" s="6" t="s">
        <v>16018</v>
      </c>
      <c r="K2117" s="5" t="s">
        <v>14492</v>
      </c>
      <c r="M2117" s="5" t="s">
        <v>16019</v>
      </c>
      <c r="N2117" s="7" t="s">
        <v>16020</v>
      </c>
      <c r="O2117" s="8" t="str">
        <f>HYPERLINK("https://drive.google.com/file/d/1Cl55CnGE6b4dKJMQzj5cHGXWamOFBkrz/view?usp=drivesdk","2116_YESY KARTIKA SARI  _ SERTIFIKAT BIMTEK IPASN BerAKHLASK")</f>
        <v>2116_YESY KARTIKA SARI  _ SERTIFIKAT BIMTEK IPASN BerAKHLASK</v>
      </c>
      <c r="P2117" s="5" t="s">
        <v>16021</v>
      </c>
      <c r="Q2117" s="5"/>
      <c r="R2117" s="5"/>
      <c r="S2117" s="5"/>
      <c r="T2117" s="5"/>
    </row>
    <row r="2118">
      <c r="A2118" s="4">
        <v>45534.33885907407</v>
      </c>
      <c r="B2118" s="5" t="s">
        <v>34</v>
      </c>
      <c r="D2118" s="5" t="s">
        <v>267</v>
      </c>
      <c r="E2118" s="5" t="s">
        <v>16022</v>
      </c>
      <c r="F2118" s="5" t="s">
        <v>72</v>
      </c>
      <c r="G2118" s="5" t="s">
        <v>16023</v>
      </c>
      <c r="H2118" s="6" t="s">
        <v>16024</v>
      </c>
      <c r="K2118" s="5" t="s">
        <v>14492</v>
      </c>
      <c r="M2118" s="5" t="s">
        <v>16025</v>
      </c>
      <c r="N2118" s="7" t="s">
        <v>16026</v>
      </c>
      <c r="O2118" s="8" t="str">
        <f>HYPERLINK("https://drive.google.com/file/d/1I8rGXIm7XBr7gJ6NrBkR3AbiV2tUjciO/view?usp=drivesdk","2117_HARTANTO _ SERTIFIKAT BIMTEK IPASN BerAKHLASK")</f>
        <v>2117_HARTANTO _ SERTIFIKAT BIMTEK IPASN BerAKHLASK</v>
      </c>
      <c r="P2118" s="5" t="s">
        <v>16021</v>
      </c>
      <c r="Q2118" s="5"/>
      <c r="R2118" s="5"/>
      <c r="S2118" s="5"/>
      <c r="T2118" s="5"/>
    </row>
    <row r="2119">
      <c r="A2119" s="4">
        <v>45534.33886341435</v>
      </c>
      <c r="B2119" s="5" t="s">
        <v>34</v>
      </c>
      <c r="D2119" s="5" t="s">
        <v>35</v>
      </c>
      <c r="E2119" s="5" t="s">
        <v>16027</v>
      </c>
      <c r="F2119" s="5" t="s">
        <v>108</v>
      </c>
      <c r="G2119" s="5" t="s">
        <v>16028</v>
      </c>
      <c r="H2119" s="6" t="s">
        <v>16029</v>
      </c>
      <c r="K2119" s="5" t="s">
        <v>14492</v>
      </c>
      <c r="M2119" s="5" t="s">
        <v>16030</v>
      </c>
      <c r="N2119" s="7" t="s">
        <v>16031</v>
      </c>
      <c r="O2119" s="8" t="str">
        <f>HYPERLINK("https://drive.google.com/file/d/1duBkvrzOXVsWjqZTGaiOvfDDWT4h9aDO/view?usp=drivesdk","2118_OMAH SIUM _ SERTIFIKAT BIMTEK IPASN BerAKHLASK")</f>
        <v>2118_OMAH SIUM _ SERTIFIKAT BIMTEK IPASN BerAKHLASK</v>
      </c>
      <c r="P2119" s="5" t="s">
        <v>16021</v>
      </c>
      <c r="Q2119" s="5"/>
      <c r="R2119" s="5"/>
      <c r="S2119" s="5"/>
      <c r="T2119" s="5"/>
    </row>
    <row r="2120">
      <c r="A2120" s="4">
        <v>45534.33886662037</v>
      </c>
      <c r="B2120" s="5" t="s">
        <v>34</v>
      </c>
      <c r="D2120" s="5" t="s">
        <v>4775</v>
      </c>
      <c r="E2120" s="5" t="s">
        <v>16032</v>
      </c>
      <c r="F2120" s="5" t="s">
        <v>108</v>
      </c>
      <c r="G2120" s="5" t="s">
        <v>16033</v>
      </c>
      <c r="H2120" s="6" t="s">
        <v>16034</v>
      </c>
      <c r="K2120" s="5" t="s">
        <v>14492</v>
      </c>
      <c r="M2120" s="5" t="s">
        <v>16035</v>
      </c>
      <c r="N2120" s="7" t="s">
        <v>16036</v>
      </c>
      <c r="O2120" s="8" t="str">
        <f>HYPERLINK("https://drive.google.com/file/d/1n7BTUclCK33-4NUUydrJk3xU97OQsZ0A/view?usp=drivesdk","2119_SARBANA _ SERTIFIKAT BIMTEK IPASN BerAKHLASK")</f>
        <v>2119_SARBANA _ SERTIFIKAT BIMTEK IPASN BerAKHLASK</v>
      </c>
      <c r="P2120" s="5" t="s">
        <v>16021</v>
      </c>
      <c r="Q2120" s="5"/>
      <c r="R2120" s="5"/>
      <c r="S2120" s="5"/>
      <c r="T2120" s="5"/>
    </row>
    <row r="2121">
      <c r="A2121" s="4">
        <v>45534.33887148148</v>
      </c>
      <c r="B2121" s="5" t="s">
        <v>34</v>
      </c>
      <c r="D2121" s="5" t="s">
        <v>1206</v>
      </c>
      <c r="E2121" s="5" t="s">
        <v>16037</v>
      </c>
      <c r="F2121" s="5" t="s">
        <v>199</v>
      </c>
      <c r="G2121" s="5" t="s">
        <v>16038</v>
      </c>
      <c r="H2121" s="6" t="s">
        <v>16039</v>
      </c>
      <c r="K2121" s="5" t="s">
        <v>14492</v>
      </c>
      <c r="M2121" s="5" t="s">
        <v>16040</v>
      </c>
      <c r="N2121" s="7" t="s">
        <v>16041</v>
      </c>
      <c r="O2121" s="8" t="str">
        <f>HYPERLINK("https://drive.google.com/file/d/1Ol5u4zPfWQYQarBR6W5nAVSVFnuYr3Qt/view?usp=drivesdk","2120_AHMAD MUZAMMIL ROHIM _ SERTIFIKAT BIMTEK IPASN BerAKHLASK")</f>
        <v>2120_AHMAD MUZAMMIL ROHIM _ SERTIFIKAT BIMTEK IPASN BerAKHLASK</v>
      </c>
      <c r="P2121" s="5" t="s">
        <v>16042</v>
      </c>
      <c r="Q2121" s="5"/>
      <c r="R2121" s="5"/>
      <c r="S2121" s="5"/>
      <c r="T2121" s="5"/>
    </row>
    <row r="2122">
      <c r="A2122" s="4">
        <v>45534.3388728125</v>
      </c>
      <c r="B2122" s="5" t="s">
        <v>34</v>
      </c>
      <c r="D2122" s="5" t="s">
        <v>1206</v>
      </c>
      <c r="E2122" s="5" t="s">
        <v>16043</v>
      </c>
      <c r="F2122" s="5" t="s">
        <v>212</v>
      </c>
      <c r="G2122" s="5" t="s">
        <v>16044</v>
      </c>
      <c r="H2122" s="6" t="s">
        <v>16045</v>
      </c>
      <c r="K2122" s="5" t="s">
        <v>14492</v>
      </c>
      <c r="M2122" s="5" t="s">
        <v>16046</v>
      </c>
      <c r="N2122" s="7" t="s">
        <v>16047</v>
      </c>
      <c r="O2122" s="8" t="str">
        <f>HYPERLINK("https://drive.google.com/file/d/1otmaKvuUrMYjhA0NfNedac-gcbA_oXFY/view?usp=drivesdk","2121_PUJIANTO _ SERTIFIKAT BIMTEK IPASN BerAKHLASK")</f>
        <v>2121_PUJIANTO _ SERTIFIKAT BIMTEK IPASN BerAKHLASK</v>
      </c>
      <c r="P2122" s="5" t="s">
        <v>16042</v>
      </c>
      <c r="Q2122" s="5"/>
      <c r="R2122" s="5"/>
      <c r="S2122" s="5"/>
      <c r="T2122" s="5"/>
    </row>
    <row r="2123">
      <c r="A2123" s="4">
        <v>45534.338875601854</v>
      </c>
      <c r="B2123" s="5" t="s">
        <v>34</v>
      </c>
      <c r="D2123" s="5" t="s">
        <v>996</v>
      </c>
      <c r="E2123" s="5" t="s">
        <v>16048</v>
      </c>
      <c r="F2123" s="5" t="s">
        <v>212</v>
      </c>
      <c r="G2123" s="5" t="s">
        <v>16049</v>
      </c>
      <c r="H2123" s="6" t="s">
        <v>16050</v>
      </c>
      <c r="K2123" s="5" t="s">
        <v>14492</v>
      </c>
      <c r="M2123" s="5" t="s">
        <v>16051</v>
      </c>
      <c r="N2123" s="7" t="s">
        <v>16052</v>
      </c>
      <c r="O2123" s="8" t="str">
        <f>HYPERLINK("https://drive.google.com/file/d/15F2pm2ISmsntwtnwbOaXXDmlLO2Rwrsp/view?usp=drivesdk","2122_JARKANI _ SERTIFIKAT BIMTEK IPASN BerAKHLASK")</f>
        <v>2122_JARKANI _ SERTIFIKAT BIMTEK IPASN BerAKHLASK</v>
      </c>
      <c r="P2123" s="5" t="s">
        <v>16042</v>
      </c>
      <c r="Q2123" s="5"/>
      <c r="R2123" s="5"/>
      <c r="S2123" s="5"/>
      <c r="T2123" s="5"/>
    </row>
    <row r="2124">
      <c r="A2124" s="4">
        <v>45534.33887957176</v>
      </c>
      <c r="B2124" s="5" t="s">
        <v>34</v>
      </c>
      <c r="D2124" s="5" t="s">
        <v>4775</v>
      </c>
      <c r="E2124" s="5" t="s">
        <v>16053</v>
      </c>
      <c r="F2124" s="5" t="s">
        <v>37</v>
      </c>
      <c r="G2124" s="5" t="s">
        <v>16054</v>
      </c>
      <c r="H2124" s="6" t="s">
        <v>16055</v>
      </c>
      <c r="K2124" s="5" t="s">
        <v>14492</v>
      </c>
      <c r="M2124" s="5" t="s">
        <v>16056</v>
      </c>
      <c r="N2124" s="7" t="s">
        <v>16057</v>
      </c>
      <c r="O2124" s="8" t="str">
        <f>HYPERLINK("https://drive.google.com/file/d/1vTmpwZoLYanEvW31VUqZZ733qwpkuxTj/view?usp=drivesdk","2123_SANDRA IKA YULI ASTUTI _ SERTIFIKAT BIMTEK IPASN BerAKHLASK")</f>
        <v>2123_SANDRA IKA YULI ASTUTI _ SERTIFIKAT BIMTEK IPASN BerAKHLASK</v>
      </c>
      <c r="P2124" s="5" t="s">
        <v>16042</v>
      </c>
      <c r="Q2124" s="5"/>
      <c r="R2124" s="5"/>
      <c r="S2124" s="5"/>
      <c r="T2124" s="5"/>
    </row>
    <row r="2125">
      <c r="A2125" s="4">
        <v>45534.33888112269</v>
      </c>
      <c r="B2125" s="5" t="s">
        <v>34</v>
      </c>
      <c r="D2125" s="5" t="s">
        <v>12010</v>
      </c>
      <c r="E2125" s="5" t="s">
        <v>16058</v>
      </c>
      <c r="F2125" s="5" t="s">
        <v>212</v>
      </c>
      <c r="G2125" s="5" t="s">
        <v>16059</v>
      </c>
      <c r="H2125" s="6" t="s">
        <v>16060</v>
      </c>
      <c r="K2125" s="5" t="s">
        <v>14492</v>
      </c>
      <c r="M2125" s="5" t="s">
        <v>16061</v>
      </c>
      <c r="N2125" s="7" t="s">
        <v>16062</v>
      </c>
      <c r="O2125" s="8" t="str">
        <f>HYPERLINK("https://drive.google.com/file/d/1srTQvUHmYB66qMScEPsFaL3-zGpt13TD/view?usp=drivesdk","2124_BARDIES HANIF PUJIAN PUTRI,A.Md.Keb _ SERTIFIKAT BIMTEK IPASN BerAKHLASK")</f>
        <v>2124_BARDIES HANIF PUJIAN PUTRI,A.Md.Keb _ SERTIFIKAT BIMTEK IPASN BerAKHLASK</v>
      </c>
      <c r="P2125" s="5" t="s">
        <v>16042</v>
      </c>
      <c r="Q2125" s="5"/>
      <c r="R2125" s="5"/>
      <c r="S2125" s="5"/>
      <c r="T2125" s="5"/>
    </row>
    <row r="2126">
      <c r="A2126" s="4">
        <v>45534.33888800926</v>
      </c>
      <c r="B2126" s="5" t="s">
        <v>34</v>
      </c>
      <c r="D2126" s="5" t="s">
        <v>996</v>
      </c>
      <c r="E2126" s="5" t="s">
        <v>16063</v>
      </c>
      <c r="F2126" s="5" t="s">
        <v>212</v>
      </c>
      <c r="G2126" s="5" t="s">
        <v>16064</v>
      </c>
      <c r="H2126" s="6" t="s">
        <v>16065</v>
      </c>
      <c r="K2126" s="5" t="s">
        <v>14492</v>
      </c>
      <c r="M2126" s="5" t="s">
        <v>16066</v>
      </c>
      <c r="N2126" s="7" t="s">
        <v>16067</v>
      </c>
      <c r="O2126" s="8" t="str">
        <f>HYPERLINK("https://drive.google.com/file/d/1Gl9qmiTjSi50o9prMMEZFbgtv7aC6_Tj/view?usp=drivesdk","2125_HELDAWATI _ SERTIFIKAT BIMTEK IPASN BerAKHLASK")</f>
        <v>2125_HELDAWATI _ SERTIFIKAT BIMTEK IPASN BerAKHLASK</v>
      </c>
      <c r="P2126" s="5" t="s">
        <v>16042</v>
      </c>
      <c r="Q2126" s="5"/>
      <c r="R2126" s="5"/>
      <c r="S2126" s="5"/>
      <c r="T2126" s="5"/>
    </row>
    <row r="2127">
      <c r="A2127" s="4">
        <v>45534.33889109954</v>
      </c>
      <c r="B2127" s="5" t="s">
        <v>34</v>
      </c>
      <c r="D2127" s="5" t="s">
        <v>1768</v>
      </c>
      <c r="E2127" s="5" t="s">
        <v>16068</v>
      </c>
      <c r="F2127" s="5" t="s">
        <v>72</v>
      </c>
      <c r="G2127" s="5" t="s">
        <v>16069</v>
      </c>
      <c r="H2127" s="6" t="s">
        <v>16070</v>
      </c>
      <c r="K2127" s="5" t="s">
        <v>14492</v>
      </c>
      <c r="M2127" s="5" t="s">
        <v>16071</v>
      </c>
      <c r="N2127" s="7" t="s">
        <v>16072</v>
      </c>
      <c r="O2127" s="8" t="str">
        <f>HYPERLINK("https://drive.google.com/file/d/1n3lKGrfXCRIOBBGkX5gXzHyY_i83KjBl/view?usp=drivesdk","2126_EDWARD PANJAITAN, AMdRad _ SERTIFIKAT BIMTEK IPASN BerAKHLASK")</f>
        <v>2126_EDWARD PANJAITAN, AMdRad _ SERTIFIKAT BIMTEK IPASN BerAKHLASK</v>
      </c>
      <c r="P2127" s="5" t="s">
        <v>16073</v>
      </c>
      <c r="Q2127" s="5"/>
      <c r="R2127" s="5"/>
      <c r="S2127" s="5"/>
      <c r="T2127" s="5"/>
    </row>
    <row r="2128" hidden="1">
      <c r="A2128" s="4">
        <v>45534.33889172453</v>
      </c>
      <c r="B2128" s="5" t="s">
        <v>19</v>
      </c>
      <c r="C2128" s="5" t="s">
        <v>5058</v>
      </c>
      <c r="E2128" s="5" t="s">
        <v>16074</v>
      </c>
      <c r="F2128" s="5" t="s">
        <v>212</v>
      </c>
      <c r="G2128" s="5" t="s">
        <v>16075</v>
      </c>
      <c r="H2128" s="6" t="s">
        <v>16076</v>
      </c>
      <c r="K2128" s="5" t="s">
        <v>14492</v>
      </c>
      <c r="M2128" s="5" t="s">
        <v>16077</v>
      </c>
      <c r="N2128" s="7" t="s">
        <v>16078</v>
      </c>
      <c r="O2128" s="8" t="str">
        <f>HYPERLINK("https://drive.google.com/file/d/1Wg1sGdnEOi4d8j4LFfnOkgZKDN0vg1BL/view?usp=drivesdk","2127_RATNA SURYA  _ SERTIFIKAT BIMTEK IPASN BerAKHLASK")</f>
        <v>2127_RATNA SURYA  _ SERTIFIKAT BIMTEK IPASN BerAKHLASK</v>
      </c>
      <c r="P2128" s="5" t="s">
        <v>16073</v>
      </c>
      <c r="Q2128" s="5"/>
      <c r="R2128" s="5"/>
      <c r="S2128" s="5"/>
      <c r="T2128" s="5"/>
    </row>
    <row r="2129">
      <c r="A2129" s="4">
        <v>45534.33889303241</v>
      </c>
      <c r="B2129" s="5" t="s">
        <v>34</v>
      </c>
      <c r="D2129" s="5" t="s">
        <v>4775</v>
      </c>
      <c r="E2129" s="5" t="s">
        <v>16079</v>
      </c>
      <c r="F2129" s="5" t="s">
        <v>72</v>
      </c>
      <c r="G2129" s="5" t="s">
        <v>16080</v>
      </c>
      <c r="H2129" s="6" t="s">
        <v>16081</v>
      </c>
      <c r="K2129" s="5" t="s">
        <v>14492</v>
      </c>
      <c r="M2129" s="5" t="s">
        <v>16082</v>
      </c>
      <c r="N2129" s="7" t="s">
        <v>16083</v>
      </c>
      <c r="O2129" s="8" t="str">
        <f>HYPERLINK("https://drive.google.com/file/d/14JDqGDr7V2K5bdef1k3RgTU60-LJ6lbD/view?usp=drivesdk","2128_RETNO WIDYAWATI, S.SOS _ SERTIFIKAT BIMTEK IPASN BerAKHLASK")</f>
        <v>2128_RETNO WIDYAWATI, S.SOS _ SERTIFIKAT BIMTEK IPASN BerAKHLASK</v>
      </c>
      <c r="P2129" s="5" t="s">
        <v>16073</v>
      </c>
      <c r="Q2129" s="5"/>
      <c r="R2129" s="5"/>
      <c r="S2129" s="5"/>
      <c r="T2129" s="5"/>
    </row>
    <row r="2130">
      <c r="A2130" s="4">
        <v>45534.33889724537</v>
      </c>
      <c r="B2130" s="5" t="s">
        <v>34</v>
      </c>
      <c r="D2130" s="5" t="s">
        <v>10444</v>
      </c>
      <c r="E2130" s="5" t="s">
        <v>16084</v>
      </c>
      <c r="F2130" s="5" t="s">
        <v>108</v>
      </c>
      <c r="G2130" s="5" t="s">
        <v>16085</v>
      </c>
      <c r="H2130" s="6" t="s">
        <v>16086</v>
      </c>
      <c r="K2130" s="5" t="s">
        <v>14492</v>
      </c>
      <c r="M2130" s="5" t="s">
        <v>16087</v>
      </c>
      <c r="N2130" s="7" t="s">
        <v>16088</v>
      </c>
      <c r="O2130" s="8" t="str">
        <f>HYPERLINK("https://drive.google.com/file/d/1Ob9hbJ1dqG6UwsxJTj-acyKPLyr9JdsU/view?usp=drivesdk","2129_ERNIWATI _ SERTIFIKAT BIMTEK IPASN BerAKHLASK")</f>
        <v>2129_ERNIWATI _ SERTIFIKAT BIMTEK IPASN BerAKHLASK</v>
      </c>
      <c r="P2130" s="5" t="s">
        <v>16073</v>
      </c>
      <c r="Q2130" s="5"/>
      <c r="R2130" s="5"/>
      <c r="S2130" s="5"/>
      <c r="T2130" s="5"/>
    </row>
    <row r="2131">
      <c r="A2131" s="4">
        <v>45534.33889855324</v>
      </c>
      <c r="B2131" s="5" t="s">
        <v>34</v>
      </c>
      <c r="D2131" s="5" t="s">
        <v>522</v>
      </c>
      <c r="E2131" s="5" t="s">
        <v>16089</v>
      </c>
      <c r="F2131" s="5" t="s">
        <v>375</v>
      </c>
      <c r="G2131" s="5" t="s">
        <v>16090</v>
      </c>
      <c r="H2131" s="6" t="s">
        <v>16091</v>
      </c>
      <c r="K2131" s="5" t="s">
        <v>14492</v>
      </c>
      <c r="M2131" s="5" t="s">
        <v>16092</v>
      </c>
      <c r="N2131" s="7" t="s">
        <v>16093</v>
      </c>
      <c r="O2131" s="8" t="str">
        <f>HYPERLINK("https://drive.google.com/file/d/1Y1jdwnfgT8slWeWbui6hdotblyaauDNa/view?usp=drivesdk","2130_DEWI ASBIANTI _ SERTIFIKAT BIMTEK IPASN BerAKHLASK")</f>
        <v>2130_DEWI ASBIANTI _ SERTIFIKAT BIMTEK IPASN BerAKHLASK</v>
      </c>
      <c r="P2131" s="5" t="s">
        <v>16073</v>
      </c>
      <c r="Q2131" s="5"/>
      <c r="R2131" s="5"/>
      <c r="S2131" s="5"/>
      <c r="T2131" s="5"/>
    </row>
    <row r="2132">
      <c r="A2132" s="4">
        <v>45534.33890457176</v>
      </c>
      <c r="B2132" s="5" t="s">
        <v>34</v>
      </c>
      <c r="D2132" s="5" t="s">
        <v>1206</v>
      </c>
      <c r="E2132" s="5" t="s">
        <v>16094</v>
      </c>
      <c r="F2132" s="5" t="s">
        <v>212</v>
      </c>
      <c r="G2132" s="5" t="s">
        <v>16095</v>
      </c>
      <c r="H2132" s="6" t="s">
        <v>16096</v>
      </c>
      <c r="K2132" s="5" t="s">
        <v>14492</v>
      </c>
      <c r="M2132" s="5" t="s">
        <v>16097</v>
      </c>
      <c r="N2132" s="7" t="s">
        <v>16098</v>
      </c>
      <c r="O2132" s="8" t="str">
        <f>HYPERLINK("https://drive.google.com/file/d/11wRneZFmIRicM4Aw7oRo1oXgkXZwscez/view?usp=drivesdk","2131_SUMADJI ISNU _ SERTIFIKAT BIMTEK IPASN BerAKHLASK")</f>
        <v>2131_SUMADJI ISNU _ SERTIFIKAT BIMTEK IPASN BerAKHLASK</v>
      </c>
      <c r="P2132" s="5" t="s">
        <v>16073</v>
      </c>
      <c r="Q2132" s="5"/>
      <c r="R2132" s="5"/>
      <c r="S2132" s="5"/>
      <c r="T2132" s="5"/>
    </row>
    <row r="2133">
      <c r="A2133" s="4">
        <v>45534.33890481482</v>
      </c>
      <c r="B2133" s="5" t="s">
        <v>34</v>
      </c>
      <c r="D2133" s="5" t="s">
        <v>35</v>
      </c>
      <c r="E2133" s="5" t="s">
        <v>16099</v>
      </c>
      <c r="F2133" s="5" t="s">
        <v>212</v>
      </c>
      <c r="G2133" s="5" t="s">
        <v>16100</v>
      </c>
      <c r="H2133" s="6" t="s">
        <v>16101</v>
      </c>
      <c r="K2133" s="5" t="s">
        <v>14492</v>
      </c>
      <c r="M2133" s="5" t="s">
        <v>16102</v>
      </c>
      <c r="N2133" s="7" t="s">
        <v>16103</v>
      </c>
      <c r="O2133" s="8" t="str">
        <f>HYPERLINK("https://drive.google.com/file/d/1fcsFfOPJKf-n-VPyVYq9oBJ61gO8lrCN/view?usp=drivesdk","2132_SUMARTONO  _ SERTIFIKAT BIMTEK IPASN BerAKHLASK")</f>
        <v>2132_SUMARTONO  _ SERTIFIKAT BIMTEK IPASN BerAKHLASK</v>
      </c>
      <c r="P2133" s="5" t="s">
        <v>16104</v>
      </c>
      <c r="Q2133" s="5"/>
      <c r="R2133" s="5"/>
      <c r="S2133" s="5"/>
      <c r="T2133" s="5"/>
    </row>
    <row r="2134">
      <c r="A2134" s="4">
        <v>45534.33890498843</v>
      </c>
      <c r="B2134" s="5" t="s">
        <v>34</v>
      </c>
      <c r="D2134" s="5" t="s">
        <v>280</v>
      </c>
      <c r="E2134" s="5" t="s">
        <v>16105</v>
      </c>
      <c r="F2134" s="5" t="s">
        <v>375</v>
      </c>
      <c r="G2134" s="5" t="s">
        <v>16106</v>
      </c>
      <c r="H2134" s="6" t="s">
        <v>16107</v>
      </c>
      <c r="K2134" s="5" t="s">
        <v>14492</v>
      </c>
      <c r="M2134" s="5" t="s">
        <v>16108</v>
      </c>
      <c r="N2134" s="7" t="s">
        <v>16109</v>
      </c>
      <c r="O2134" s="8" t="str">
        <f>HYPERLINK("https://drive.google.com/file/d/1Waom8xTzvV7z0oHrwQMlUtLaRmeiK9_3/view?usp=drivesdk","2133_MELLY RUSWIDA _ SERTIFIKAT BIMTEK IPASN BerAKHLASK")</f>
        <v>2133_MELLY RUSWIDA _ SERTIFIKAT BIMTEK IPASN BerAKHLASK</v>
      </c>
      <c r="P2134" s="5" t="s">
        <v>16104</v>
      </c>
      <c r="Q2134" s="5"/>
      <c r="R2134" s="5"/>
      <c r="S2134" s="5"/>
      <c r="T2134" s="5"/>
    </row>
    <row r="2135">
      <c r="A2135" s="4">
        <v>45534.33890653936</v>
      </c>
      <c r="B2135" s="5" t="s">
        <v>34</v>
      </c>
      <c r="D2135" s="5" t="s">
        <v>996</v>
      </c>
      <c r="E2135" s="5" t="s">
        <v>16110</v>
      </c>
      <c r="F2135" s="5" t="s">
        <v>212</v>
      </c>
      <c r="G2135" s="5" t="s">
        <v>16111</v>
      </c>
      <c r="H2135" s="6" t="s">
        <v>16112</v>
      </c>
      <c r="K2135" s="5" t="s">
        <v>14492</v>
      </c>
      <c r="M2135" s="5" t="s">
        <v>16113</v>
      </c>
      <c r="N2135" s="7" t="s">
        <v>16114</v>
      </c>
      <c r="O2135" s="8" t="str">
        <f>HYPERLINK("https://drive.google.com/file/d/1l_EOhjBK40ub6-xHQ_VNhU8dJDpulLHC/view?usp=drivesdk","2134_ISKANDAR _ SERTIFIKAT BIMTEK IPASN BerAKHLASK")</f>
        <v>2134_ISKANDAR _ SERTIFIKAT BIMTEK IPASN BerAKHLASK</v>
      </c>
      <c r="P2135" s="5" t="s">
        <v>16104</v>
      </c>
      <c r="Q2135" s="5"/>
      <c r="R2135" s="5"/>
      <c r="S2135" s="5"/>
      <c r="T2135" s="5"/>
    </row>
    <row r="2136" hidden="1">
      <c r="A2136" s="4">
        <v>45534.33892030093</v>
      </c>
      <c r="B2136" s="5" t="s">
        <v>19</v>
      </c>
      <c r="C2136" s="5" t="s">
        <v>292</v>
      </c>
      <c r="E2136" s="5" t="s">
        <v>16115</v>
      </c>
      <c r="F2136" s="5" t="s">
        <v>108</v>
      </c>
      <c r="G2136" s="5" t="s">
        <v>16116</v>
      </c>
      <c r="H2136" s="6" t="s">
        <v>16117</v>
      </c>
      <c r="K2136" s="5" t="s">
        <v>14492</v>
      </c>
      <c r="M2136" s="5" t="s">
        <v>16118</v>
      </c>
      <c r="N2136" s="7" t="s">
        <v>16119</v>
      </c>
      <c r="O2136" s="8" t="str">
        <f>HYPERLINK("https://drive.google.com/file/d/1nWrfnXGq-AiWiULO7mHAYiKoTJR2sRkF/view?usp=drivesdk","2135_HANDOKO SETIAWAN, S.H. _ SERTIFIKAT BIMTEK IPASN BerAKHLASK")</f>
        <v>2135_HANDOKO SETIAWAN, S.H. _ SERTIFIKAT BIMTEK IPASN BerAKHLASK</v>
      </c>
      <c r="P2136" s="5" t="s">
        <v>16104</v>
      </c>
      <c r="Q2136" s="5"/>
      <c r="R2136" s="5"/>
      <c r="S2136" s="5"/>
      <c r="T2136" s="5"/>
    </row>
    <row r="2137" hidden="1">
      <c r="A2137" s="4">
        <v>45534.33892071759</v>
      </c>
      <c r="B2137" s="5" t="s">
        <v>19</v>
      </c>
      <c r="C2137" s="5" t="s">
        <v>442</v>
      </c>
      <c r="E2137" s="5" t="s">
        <v>16120</v>
      </c>
      <c r="F2137" s="5" t="s">
        <v>524</v>
      </c>
      <c r="G2137" s="5" t="s">
        <v>16121</v>
      </c>
      <c r="H2137" s="6" t="s">
        <v>16122</v>
      </c>
      <c r="K2137" s="5" t="s">
        <v>14492</v>
      </c>
      <c r="M2137" s="5" t="s">
        <v>16123</v>
      </c>
      <c r="N2137" s="7" t="s">
        <v>16124</v>
      </c>
      <c r="O2137" s="8" t="str">
        <f>HYPERLINK("https://drive.google.com/file/d/1lDtIVTb-hoABgCOFxcafYKyK8c2dT6zH/view?usp=drivesdk","2136_RESTU AYU ADYESTI, S.T. _ SERTIFIKAT BIMTEK IPASN BerAKHLASK")</f>
        <v>2136_RESTU AYU ADYESTI, S.T. _ SERTIFIKAT BIMTEK IPASN BerAKHLASK</v>
      </c>
      <c r="P2137" s="5" t="s">
        <v>16104</v>
      </c>
      <c r="Q2137" s="5"/>
      <c r="R2137" s="5"/>
      <c r="S2137" s="5"/>
      <c r="T2137" s="5"/>
    </row>
    <row r="2138">
      <c r="A2138" s="4">
        <v>45534.338926076394</v>
      </c>
      <c r="B2138" s="5" t="s">
        <v>34</v>
      </c>
      <c r="D2138" s="5" t="s">
        <v>996</v>
      </c>
      <c r="E2138" s="5" t="s">
        <v>16125</v>
      </c>
      <c r="F2138" s="5" t="s">
        <v>72</v>
      </c>
      <c r="G2138" s="5" t="s">
        <v>16126</v>
      </c>
      <c r="H2138" s="6" t="s">
        <v>16127</v>
      </c>
      <c r="K2138" s="5" t="s">
        <v>14492</v>
      </c>
      <c r="M2138" s="5" t="s">
        <v>16128</v>
      </c>
      <c r="N2138" s="7" t="s">
        <v>16129</v>
      </c>
      <c r="O2138" s="8" t="str">
        <f>HYPERLINK("https://drive.google.com/file/d/1Fi0Gs1saZISrOm4bg3ge_EXUmj545EOG/view?usp=drivesdk","2137_HERAWATI, SM _ SERTIFIKAT BIMTEK IPASN BerAKHLASK")</f>
        <v>2137_HERAWATI, SM _ SERTIFIKAT BIMTEK IPASN BerAKHLASK</v>
      </c>
      <c r="P2138" s="5" t="s">
        <v>16104</v>
      </c>
      <c r="Q2138" s="5"/>
      <c r="R2138" s="5"/>
      <c r="S2138" s="5"/>
      <c r="T2138" s="5"/>
    </row>
    <row r="2139">
      <c r="A2139" s="4">
        <v>45534.33893216435</v>
      </c>
      <c r="B2139" s="5" t="s">
        <v>34</v>
      </c>
      <c r="D2139" s="5" t="s">
        <v>4775</v>
      </c>
      <c r="E2139" s="5" t="s">
        <v>16130</v>
      </c>
      <c r="F2139" s="5" t="s">
        <v>37</v>
      </c>
      <c r="G2139" s="5" t="s">
        <v>16131</v>
      </c>
      <c r="H2139" s="6" t="s">
        <v>16132</v>
      </c>
      <c r="K2139" s="5" t="s">
        <v>14492</v>
      </c>
      <c r="M2139" s="5" t="s">
        <v>16133</v>
      </c>
      <c r="N2139" s="7" t="s">
        <v>16134</v>
      </c>
      <c r="O2139" s="8" t="str">
        <f>HYPERLINK("https://drive.google.com/file/d/1Xi66mktaBekKKR9oVHXArD5k4fcGRebJ/view?usp=drivesdk","2138_MELANI WIDI ANESWARI, S.PSI., M.PSI _ SERTIFIKAT BIMTEK IPASN BerAKHLASK")</f>
        <v>2138_MELANI WIDI ANESWARI, S.PSI., M.PSI _ SERTIFIKAT BIMTEK IPASN BerAKHLASK</v>
      </c>
      <c r="P2139" s="5" t="s">
        <v>16135</v>
      </c>
      <c r="Q2139" s="5"/>
      <c r="R2139" s="5"/>
      <c r="S2139" s="5"/>
      <c r="T2139" s="5"/>
    </row>
    <row r="2140" hidden="1">
      <c r="A2140" s="4">
        <v>45534.33893561343</v>
      </c>
      <c r="B2140" s="5" t="s">
        <v>19</v>
      </c>
      <c r="C2140" s="5" t="s">
        <v>14000</v>
      </c>
      <c r="E2140" s="5" t="s">
        <v>16136</v>
      </c>
      <c r="F2140" s="5" t="s">
        <v>108</v>
      </c>
      <c r="G2140" s="5" t="s">
        <v>16137</v>
      </c>
      <c r="H2140" s="6" t="s">
        <v>16138</v>
      </c>
      <c r="K2140" s="5" t="s">
        <v>14524</v>
      </c>
      <c r="M2140" s="5" t="s">
        <v>16139</v>
      </c>
      <c r="N2140" s="7" t="s">
        <v>16140</v>
      </c>
      <c r="O2140" s="8" t="str">
        <f>HYPERLINK("https://drive.google.com/file/d/1gavbI88Oz_NOiTu1nr9e4IFCmUrkkpO2/view?usp=drivesdk","2139_FATIMAH SORAYA, S.E., M.M _ SERTIFIKAT BIMTEK IPASN BerAKHLASK")</f>
        <v>2139_FATIMAH SORAYA, S.E., M.M _ SERTIFIKAT BIMTEK IPASN BerAKHLASK</v>
      </c>
      <c r="P2140" s="5" t="s">
        <v>16135</v>
      </c>
      <c r="Q2140" s="5"/>
      <c r="R2140" s="5"/>
      <c r="S2140" s="5"/>
      <c r="T2140" s="5"/>
    </row>
    <row r="2141">
      <c r="A2141" s="4">
        <v>45534.33894084491</v>
      </c>
      <c r="B2141" s="5" t="s">
        <v>34</v>
      </c>
      <c r="D2141" s="5" t="s">
        <v>4775</v>
      </c>
      <c r="E2141" s="5" t="s">
        <v>16141</v>
      </c>
      <c r="F2141" s="5" t="s">
        <v>72</v>
      </c>
      <c r="G2141" s="5" t="s">
        <v>16142</v>
      </c>
      <c r="H2141" s="6" t="s">
        <v>16143</v>
      </c>
      <c r="K2141" s="5" t="s">
        <v>14524</v>
      </c>
      <c r="M2141" s="5" t="s">
        <v>16144</v>
      </c>
      <c r="N2141" s="7" t="s">
        <v>16145</v>
      </c>
      <c r="O2141" s="8" t="str">
        <f>HYPERLINK("https://drive.google.com/file/d/1GAArHxRn3egmJKGX7j-rXEPZhdQyGFXV/view?usp=drivesdk","2140_NINIK IRNAWATI _ SERTIFIKAT BIMTEK IPASN BerAKHLASK")</f>
        <v>2140_NINIK IRNAWATI _ SERTIFIKAT BIMTEK IPASN BerAKHLASK</v>
      </c>
      <c r="P2141" s="5" t="s">
        <v>16135</v>
      </c>
      <c r="Q2141" s="5"/>
      <c r="R2141" s="5"/>
      <c r="S2141" s="5"/>
      <c r="T2141" s="5"/>
    </row>
    <row r="2142">
      <c r="A2142" s="4">
        <v>45534.33894403935</v>
      </c>
      <c r="B2142" s="5" t="s">
        <v>34</v>
      </c>
      <c r="D2142" s="5" t="s">
        <v>35</v>
      </c>
      <c r="E2142" s="5" t="s">
        <v>16146</v>
      </c>
      <c r="F2142" s="5" t="s">
        <v>328</v>
      </c>
      <c r="G2142" s="5" t="s">
        <v>16147</v>
      </c>
      <c r="H2142" s="6" t="s">
        <v>16148</v>
      </c>
      <c r="K2142" s="5" t="s">
        <v>14524</v>
      </c>
      <c r="M2142" s="5" t="s">
        <v>16149</v>
      </c>
      <c r="N2142" s="7" t="s">
        <v>16150</v>
      </c>
      <c r="O2142" s="8" t="str">
        <f>HYPERLINK("https://drive.google.com/file/d/1z4t0i0lJxiw9n2em6lDKXIuJRB1SX3E9/view?usp=drivesdk","2141_ADNANI _ SERTIFIKAT BIMTEK IPASN BerAKHLASK")</f>
        <v>2141_ADNANI _ SERTIFIKAT BIMTEK IPASN BerAKHLASK</v>
      </c>
      <c r="P2142" s="5" t="s">
        <v>16135</v>
      </c>
      <c r="Q2142" s="5"/>
      <c r="R2142" s="5"/>
      <c r="S2142" s="5"/>
      <c r="T2142" s="5"/>
    </row>
    <row r="2143">
      <c r="A2143" s="4">
        <v>45534.338947384254</v>
      </c>
      <c r="B2143" s="5" t="s">
        <v>34</v>
      </c>
      <c r="D2143" s="5" t="s">
        <v>1206</v>
      </c>
      <c r="E2143" s="5" t="s">
        <v>16151</v>
      </c>
      <c r="F2143" s="5" t="s">
        <v>328</v>
      </c>
      <c r="G2143" s="5" t="s">
        <v>16152</v>
      </c>
      <c r="H2143" s="6" t="s">
        <v>16153</v>
      </c>
      <c r="K2143" s="5" t="s">
        <v>14524</v>
      </c>
      <c r="M2143" s="5" t="s">
        <v>16154</v>
      </c>
      <c r="N2143" s="7" t="s">
        <v>16155</v>
      </c>
      <c r="O2143" s="8" t="str">
        <f>HYPERLINK("https://drive.google.com/file/d/1s2ZcX-RHLeglXdmW-fsD8WIFot9s-dfK/view?usp=drivesdk","2142_ABDULKIFLI _ SERTIFIKAT BIMTEK IPASN BerAKHLASK")</f>
        <v>2142_ABDULKIFLI _ SERTIFIKAT BIMTEK IPASN BerAKHLASK</v>
      </c>
      <c r="P2143" s="5" t="s">
        <v>16135</v>
      </c>
      <c r="Q2143" s="5"/>
      <c r="R2143" s="5"/>
      <c r="S2143" s="5"/>
      <c r="T2143" s="5"/>
    </row>
    <row r="2144">
      <c r="A2144" s="4">
        <v>45534.33894836805</v>
      </c>
      <c r="B2144" s="5" t="s">
        <v>34</v>
      </c>
      <c r="D2144" s="5" t="s">
        <v>522</v>
      </c>
      <c r="E2144" s="5" t="s">
        <v>16156</v>
      </c>
      <c r="F2144" s="5" t="s">
        <v>37</v>
      </c>
      <c r="G2144" s="5" t="s">
        <v>16157</v>
      </c>
      <c r="H2144" s="6" t="s">
        <v>16158</v>
      </c>
      <c r="K2144" s="5" t="s">
        <v>14524</v>
      </c>
      <c r="M2144" s="5" t="s">
        <v>16159</v>
      </c>
      <c r="N2144" s="7" t="s">
        <v>16160</v>
      </c>
      <c r="O2144" s="8" t="str">
        <f>HYPERLINK("https://drive.google.com/file/d/1MEW0mwCKctsbYT-go1X_f9P9aotaNXdY/view?usp=drivesdk","2143_TAOFAN SELATANI SRIBAGUS _ SERTIFIKAT BIMTEK IPASN BerAKHLASK")</f>
        <v>2143_TAOFAN SELATANI SRIBAGUS _ SERTIFIKAT BIMTEK IPASN BerAKHLASK</v>
      </c>
      <c r="P2144" s="5" t="s">
        <v>16161</v>
      </c>
      <c r="Q2144" s="5"/>
      <c r="R2144" s="5"/>
      <c r="S2144" s="5"/>
      <c r="T2144" s="5"/>
    </row>
    <row r="2145">
      <c r="A2145" s="4">
        <v>45534.33895388889</v>
      </c>
      <c r="B2145" s="5" t="s">
        <v>34</v>
      </c>
      <c r="D2145" s="5" t="s">
        <v>35</v>
      </c>
      <c r="E2145" s="5" t="s">
        <v>16162</v>
      </c>
      <c r="F2145" s="5" t="s">
        <v>37</v>
      </c>
      <c r="G2145" s="5" t="s">
        <v>16163</v>
      </c>
      <c r="H2145" s="6" t="s">
        <v>16164</v>
      </c>
      <c r="K2145" s="5" t="s">
        <v>14524</v>
      </c>
      <c r="M2145" s="5" t="s">
        <v>16165</v>
      </c>
      <c r="N2145" s="7" t="s">
        <v>16166</v>
      </c>
      <c r="O2145" s="8" t="str">
        <f>HYPERLINK("https://drive.google.com/file/d/1U9XFPxnwyIHP1uvNUfvpMV7GNouu6ppP/view?usp=drivesdk","2144_RINA PUSPITA _ SERTIFIKAT BIMTEK IPASN BerAKHLASK")</f>
        <v>2144_RINA PUSPITA _ SERTIFIKAT BIMTEK IPASN BerAKHLASK</v>
      </c>
      <c r="P2145" s="5" t="s">
        <v>16161</v>
      </c>
      <c r="Q2145" s="5"/>
      <c r="R2145" s="5"/>
      <c r="S2145" s="5"/>
      <c r="T2145" s="5"/>
    </row>
    <row r="2146">
      <c r="A2146" s="4">
        <v>45534.3389540625</v>
      </c>
      <c r="B2146" s="5" t="s">
        <v>34</v>
      </c>
      <c r="D2146" s="5" t="s">
        <v>1768</v>
      </c>
      <c r="E2146" s="5" t="s">
        <v>16167</v>
      </c>
      <c r="F2146" s="5" t="s">
        <v>328</v>
      </c>
      <c r="G2146" s="5" t="s">
        <v>16168</v>
      </c>
      <c r="H2146" s="6" t="s">
        <v>16169</v>
      </c>
      <c r="K2146" s="5" t="s">
        <v>14524</v>
      </c>
      <c r="M2146" s="5" t="s">
        <v>16170</v>
      </c>
      <c r="N2146" s="7" t="s">
        <v>16171</v>
      </c>
      <c r="O2146" s="8" t="str">
        <f>HYPERLINK("https://drive.google.com/file/d/1zb907fsCvbwR19Crh4oQu9bK7ydEvpRU/view?usp=drivesdk","2145_SUPIANSYAH  _ SERTIFIKAT BIMTEK IPASN BerAKHLASK")</f>
        <v>2145_SUPIANSYAH  _ SERTIFIKAT BIMTEK IPASN BerAKHLASK</v>
      </c>
      <c r="P2146" s="5" t="s">
        <v>16161</v>
      </c>
      <c r="Q2146" s="5"/>
      <c r="R2146" s="5"/>
      <c r="S2146" s="5"/>
      <c r="T2146" s="5"/>
    </row>
    <row r="2147">
      <c r="A2147" s="4">
        <v>45534.338953900464</v>
      </c>
      <c r="B2147" s="5" t="s">
        <v>34</v>
      </c>
      <c r="D2147" s="5" t="s">
        <v>1206</v>
      </c>
      <c r="E2147" s="5" t="s">
        <v>16172</v>
      </c>
      <c r="F2147" s="5" t="s">
        <v>375</v>
      </c>
      <c r="G2147" s="5" t="s">
        <v>16173</v>
      </c>
      <c r="H2147" s="6" t="s">
        <v>16174</v>
      </c>
      <c r="K2147" s="5" t="s">
        <v>14524</v>
      </c>
      <c r="M2147" s="5" t="s">
        <v>16175</v>
      </c>
      <c r="N2147" s="7" t="s">
        <v>16176</v>
      </c>
      <c r="O2147" s="8" t="str">
        <f>HYPERLINK("https://drive.google.com/file/d/1SOt6-b1XFG0mtVbp5AM4jIIUsfRYyXhP/view?usp=drivesdk","2146_NURUL ROSIDAH, S.E. _ SERTIFIKAT BIMTEK IPASN BerAKHLASK")</f>
        <v>2146_NURUL ROSIDAH, S.E. _ SERTIFIKAT BIMTEK IPASN BerAKHLASK</v>
      </c>
      <c r="P2147" s="5" t="s">
        <v>16161</v>
      </c>
      <c r="Q2147" s="5"/>
      <c r="R2147" s="5"/>
      <c r="S2147" s="5"/>
      <c r="T2147" s="5"/>
    </row>
    <row r="2148">
      <c r="A2148" s="4">
        <v>45534.33896592593</v>
      </c>
      <c r="B2148" s="5" t="s">
        <v>34</v>
      </c>
      <c r="D2148" s="5" t="s">
        <v>4775</v>
      </c>
      <c r="E2148" s="5" t="s">
        <v>16177</v>
      </c>
      <c r="F2148" s="5" t="s">
        <v>212</v>
      </c>
      <c r="G2148" s="5" t="s">
        <v>16178</v>
      </c>
      <c r="H2148" s="6" t="s">
        <v>16179</v>
      </c>
      <c r="K2148" s="5" t="s">
        <v>14524</v>
      </c>
      <c r="M2148" s="5" t="s">
        <v>16180</v>
      </c>
      <c r="N2148" s="7" t="s">
        <v>16181</v>
      </c>
      <c r="O2148" s="8" t="str">
        <f>HYPERLINK("https://drive.google.com/file/d/1DC56LkxVbhFs_WSOVkuKBtCO49oVbW9i/view?usp=drivesdk","2147_NURWITRI _ SERTIFIKAT BIMTEK IPASN BerAKHLASK")</f>
        <v>2147_NURWITRI _ SERTIFIKAT BIMTEK IPASN BerAKHLASK</v>
      </c>
      <c r="P2148" s="5" t="s">
        <v>16161</v>
      </c>
      <c r="Q2148" s="5"/>
      <c r="R2148" s="5"/>
      <c r="S2148" s="5"/>
      <c r="T2148" s="5"/>
    </row>
    <row r="2149">
      <c r="A2149" s="4">
        <v>45534.33896984954</v>
      </c>
      <c r="B2149" s="5" t="s">
        <v>34</v>
      </c>
      <c r="D2149" s="5" t="s">
        <v>267</v>
      </c>
      <c r="E2149" s="5" t="s">
        <v>16182</v>
      </c>
      <c r="F2149" s="5" t="s">
        <v>108</v>
      </c>
      <c r="G2149" s="5" t="s">
        <v>16183</v>
      </c>
      <c r="H2149" s="6" t="s">
        <v>16184</v>
      </c>
      <c r="K2149" s="5" t="s">
        <v>14524</v>
      </c>
      <c r="M2149" s="5" t="s">
        <v>16185</v>
      </c>
      <c r="N2149" s="7" t="s">
        <v>16186</v>
      </c>
      <c r="O2149" s="8" t="str">
        <f>HYPERLINK("https://drive.google.com/file/d/1MdgCzcuGU_wW36aFxYqY-P5X2MCO9J5i/view?usp=drivesdk","2148_PARTINEM _ SERTIFIKAT BIMTEK IPASN BerAKHLASK")</f>
        <v>2148_PARTINEM _ SERTIFIKAT BIMTEK IPASN BerAKHLASK</v>
      </c>
      <c r="P2149" s="5" t="s">
        <v>16187</v>
      </c>
      <c r="Q2149" s="5"/>
      <c r="R2149" s="5"/>
      <c r="S2149" s="5"/>
      <c r="T2149" s="5"/>
    </row>
    <row r="2150">
      <c r="A2150" s="4">
        <v>45534.33897016203</v>
      </c>
      <c r="B2150" s="5" t="s">
        <v>34</v>
      </c>
      <c r="D2150" s="5" t="s">
        <v>35</v>
      </c>
      <c r="E2150" s="5" t="s">
        <v>16188</v>
      </c>
      <c r="F2150" s="5" t="s">
        <v>37</v>
      </c>
      <c r="G2150" s="5" t="s">
        <v>16189</v>
      </c>
      <c r="H2150" s="6" t="s">
        <v>16190</v>
      </c>
      <c r="K2150" s="5" t="s">
        <v>14524</v>
      </c>
      <c r="M2150" s="5" t="s">
        <v>16191</v>
      </c>
      <c r="N2150" s="7" t="s">
        <v>16192</v>
      </c>
      <c r="O2150" s="8" t="str">
        <f>HYPERLINK("https://drive.google.com/file/d/1Uj-SCFjl4sbCe0NUw_IpgO7GJPIIYDBi/view?usp=drivesdk","2149_EKO SANTOSO _ SERTIFIKAT BIMTEK IPASN BerAKHLASK")</f>
        <v>2149_EKO SANTOSO _ SERTIFIKAT BIMTEK IPASN BerAKHLASK</v>
      </c>
      <c r="P2150" s="5" t="s">
        <v>16187</v>
      </c>
      <c r="Q2150" s="5"/>
      <c r="R2150" s="5"/>
      <c r="S2150" s="5"/>
      <c r="T2150" s="5"/>
    </row>
    <row r="2151" hidden="1">
      <c r="A2151" s="4">
        <v>45534.33897280092</v>
      </c>
      <c r="B2151" s="5" t="s">
        <v>19</v>
      </c>
      <c r="C2151" s="5" t="s">
        <v>5564</v>
      </c>
      <c r="E2151" s="5" t="s">
        <v>16193</v>
      </c>
      <c r="F2151" s="5" t="s">
        <v>212</v>
      </c>
      <c r="G2151" s="5" t="s">
        <v>16194</v>
      </c>
      <c r="H2151" s="6" t="s">
        <v>16195</v>
      </c>
      <c r="K2151" s="5" t="s">
        <v>14524</v>
      </c>
      <c r="M2151" s="5" t="s">
        <v>16196</v>
      </c>
      <c r="N2151" s="7" t="s">
        <v>16197</v>
      </c>
      <c r="O2151" s="8" t="str">
        <f>HYPERLINK("https://drive.google.com/file/d/1L5PAl1moyDiOgMxWp_R2RX8XFbyJrWd7/view?usp=drivesdk","2150_JUMIATI _ SERTIFIKAT BIMTEK IPASN BerAKHLASK")</f>
        <v>2150_JUMIATI _ SERTIFIKAT BIMTEK IPASN BerAKHLASK</v>
      </c>
      <c r="P2151" s="5" t="s">
        <v>16187</v>
      </c>
      <c r="Q2151" s="5"/>
      <c r="R2151" s="5"/>
      <c r="S2151" s="5"/>
      <c r="T2151" s="5"/>
    </row>
    <row r="2152">
      <c r="A2152" s="4">
        <v>45534.33897480324</v>
      </c>
      <c r="B2152" s="5" t="s">
        <v>34</v>
      </c>
      <c r="D2152" s="5" t="s">
        <v>12978</v>
      </c>
      <c r="E2152" s="5" t="s">
        <v>16198</v>
      </c>
      <c r="F2152" s="5" t="s">
        <v>212</v>
      </c>
      <c r="G2152" s="5" t="s">
        <v>16199</v>
      </c>
      <c r="H2152" s="6" t="s">
        <v>16200</v>
      </c>
      <c r="K2152" s="5" t="s">
        <v>14524</v>
      </c>
      <c r="M2152" s="5" t="s">
        <v>16201</v>
      </c>
      <c r="N2152" s="7" t="s">
        <v>16202</v>
      </c>
      <c r="O2152" s="8" t="str">
        <f>HYPERLINK("https://drive.google.com/file/d/1h6m1vg1F4AkpCSOv_AjsGajt5jgqXvmj/view?usp=drivesdk","2151_MIRZA WIDIASTUTI  _ SERTIFIKAT BIMTEK IPASN BerAKHLASK")</f>
        <v>2151_MIRZA WIDIASTUTI  _ SERTIFIKAT BIMTEK IPASN BerAKHLASK</v>
      </c>
      <c r="P2152" s="5" t="s">
        <v>16187</v>
      </c>
      <c r="Q2152" s="5"/>
      <c r="R2152" s="5"/>
      <c r="S2152" s="5"/>
      <c r="T2152" s="5"/>
    </row>
    <row r="2153">
      <c r="A2153" s="4">
        <v>45534.33897633102</v>
      </c>
      <c r="B2153" s="5" t="s">
        <v>34</v>
      </c>
      <c r="D2153" s="5" t="s">
        <v>6232</v>
      </c>
      <c r="E2153" s="5" t="s">
        <v>16203</v>
      </c>
      <c r="F2153" s="5" t="s">
        <v>108</v>
      </c>
      <c r="G2153" s="5" t="s">
        <v>16204</v>
      </c>
      <c r="H2153" s="6" t="s">
        <v>16205</v>
      </c>
      <c r="K2153" s="5" t="s">
        <v>14524</v>
      </c>
      <c r="M2153" s="5" t="s">
        <v>16206</v>
      </c>
      <c r="N2153" s="7" t="s">
        <v>16207</v>
      </c>
      <c r="O2153" s="8" t="str">
        <f>HYPERLINK("https://drive.google.com/file/d/1bG-unD432xIEv_4r36CpQ1ZOP6HucwS_/view?usp=drivesdk","2152_ADESLINA _ SERTIFIKAT BIMTEK IPASN BerAKHLASK")</f>
        <v>2152_ADESLINA _ SERTIFIKAT BIMTEK IPASN BerAKHLASK</v>
      </c>
      <c r="P2153" s="5" t="s">
        <v>16187</v>
      </c>
      <c r="Q2153" s="5"/>
      <c r="R2153" s="5"/>
      <c r="S2153" s="5"/>
      <c r="T2153" s="5"/>
    </row>
    <row r="2154">
      <c r="A2154" s="4">
        <v>45534.338979837965</v>
      </c>
      <c r="B2154" s="5" t="s">
        <v>34</v>
      </c>
      <c r="D2154" s="5" t="s">
        <v>4775</v>
      </c>
      <c r="E2154" s="5" t="s">
        <v>16208</v>
      </c>
      <c r="F2154" s="5" t="s">
        <v>37</v>
      </c>
      <c r="G2154" s="5" t="s">
        <v>16209</v>
      </c>
      <c r="H2154" s="6" t="s">
        <v>16210</v>
      </c>
      <c r="K2154" s="5" t="s">
        <v>14524</v>
      </c>
      <c r="M2154" s="5" t="s">
        <v>16211</v>
      </c>
      <c r="N2154" s="7" t="s">
        <v>16212</v>
      </c>
      <c r="O2154" s="8" t="str">
        <f>HYPERLINK("https://drive.google.com/file/d/14TcRddEQ5dguZCe5aBcZWibrNlBu0tLE/view?usp=drivesdk","2153_SUYOTO _ SERTIFIKAT BIMTEK IPASN BerAKHLASK")</f>
        <v>2153_SUYOTO _ SERTIFIKAT BIMTEK IPASN BerAKHLASK</v>
      </c>
      <c r="P2154" s="5" t="s">
        <v>16187</v>
      </c>
      <c r="Q2154" s="5"/>
      <c r="R2154" s="5"/>
      <c r="S2154" s="5"/>
      <c r="T2154" s="5"/>
    </row>
    <row r="2155">
      <c r="A2155" s="4">
        <v>45534.33898488426</v>
      </c>
      <c r="B2155" s="5" t="s">
        <v>34</v>
      </c>
      <c r="D2155" s="5" t="s">
        <v>1206</v>
      </c>
      <c r="E2155" s="5" t="s">
        <v>16213</v>
      </c>
      <c r="F2155" s="5" t="s">
        <v>212</v>
      </c>
      <c r="G2155" s="5" t="s">
        <v>16214</v>
      </c>
      <c r="H2155" s="6" t="s">
        <v>16215</v>
      </c>
      <c r="K2155" s="5" t="s">
        <v>14524</v>
      </c>
      <c r="M2155" s="5" t="s">
        <v>16216</v>
      </c>
      <c r="N2155" s="7" t="s">
        <v>16217</v>
      </c>
      <c r="O2155" s="8" t="str">
        <f>HYPERLINK("https://drive.google.com/file/d/1WC0YUquFY1N0GI_yy_vRPi1mxWFcAhTg/view?usp=drivesdk","2154_TRI INDAH BUDIARSIH _ SERTIFIKAT BIMTEK IPASN BerAKHLASK")</f>
        <v>2154_TRI INDAH BUDIARSIH _ SERTIFIKAT BIMTEK IPASN BerAKHLASK</v>
      </c>
      <c r="P2155" s="5" t="s">
        <v>16218</v>
      </c>
      <c r="Q2155" s="5"/>
      <c r="R2155" s="5"/>
      <c r="S2155" s="5"/>
      <c r="T2155" s="5"/>
    </row>
    <row r="2156">
      <c r="A2156" s="4">
        <v>45534.33898554398</v>
      </c>
      <c r="B2156" s="5" t="s">
        <v>34</v>
      </c>
      <c r="D2156" s="5" t="s">
        <v>9020</v>
      </c>
      <c r="E2156" s="5" t="s">
        <v>16219</v>
      </c>
      <c r="F2156" s="5" t="s">
        <v>72</v>
      </c>
      <c r="G2156" s="5" t="s">
        <v>16220</v>
      </c>
      <c r="H2156" s="6" t="s">
        <v>16221</v>
      </c>
      <c r="K2156" s="5" t="s">
        <v>14524</v>
      </c>
      <c r="M2156" s="5" t="s">
        <v>16222</v>
      </c>
      <c r="N2156" s="7" t="s">
        <v>16223</v>
      </c>
      <c r="O2156" s="8" t="str">
        <f>HYPERLINK("https://drive.google.com/file/d/19pJYdhtEuVvpwHlG_wKiGV7YQnS7g2LG/view?usp=drivesdk","2155_RITA DIANA _ SERTIFIKAT BIMTEK IPASN BerAKHLASK")</f>
        <v>2155_RITA DIANA _ SERTIFIKAT BIMTEK IPASN BerAKHLASK</v>
      </c>
      <c r="P2156" s="5" t="s">
        <v>16218</v>
      </c>
      <c r="Q2156" s="5"/>
      <c r="R2156" s="5"/>
      <c r="S2156" s="5"/>
      <c r="T2156" s="5"/>
    </row>
    <row r="2157">
      <c r="A2157" s="4">
        <v>45534.33898921296</v>
      </c>
      <c r="B2157" s="5" t="s">
        <v>34</v>
      </c>
      <c r="D2157" s="5" t="s">
        <v>1206</v>
      </c>
      <c r="E2157" s="5" t="s">
        <v>16224</v>
      </c>
      <c r="F2157" s="5" t="s">
        <v>5859</v>
      </c>
      <c r="G2157" s="5" t="s">
        <v>16225</v>
      </c>
      <c r="H2157" s="6" t="s">
        <v>16226</v>
      </c>
      <c r="K2157" s="5" t="s">
        <v>14524</v>
      </c>
      <c r="M2157" s="5" t="s">
        <v>16227</v>
      </c>
      <c r="N2157" s="7" t="s">
        <v>16228</v>
      </c>
      <c r="O2157" s="8" t="str">
        <f>HYPERLINK("https://drive.google.com/file/d/1zbRz_pu9WK6lI5wkVRMCXq32SuKOWWpd/view?usp=drivesdk","2156_M. SATIMIN _ SERTIFIKAT BIMTEK IPASN BerAKHLASK")</f>
        <v>2156_M. SATIMIN _ SERTIFIKAT BIMTEK IPASN BerAKHLASK</v>
      </c>
      <c r="P2157" s="5" t="s">
        <v>16218</v>
      </c>
      <c r="Q2157" s="5"/>
      <c r="R2157" s="5"/>
      <c r="S2157" s="5"/>
      <c r="T2157" s="5"/>
    </row>
    <row r="2158" hidden="1">
      <c r="A2158" s="4">
        <v>45534.33899034723</v>
      </c>
      <c r="B2158" s="5" t="s">
        <v>19</v>
      </c>
      <c r="C2158" s="5" t="s">
        <v>466</v>
      </c>
      <c r="E2158" s="5" t="s">
        <v>16229</v>
      </c>
      <c r="F2158" s="5" t="s">
        <v>212</v>
      </c>
      <c r="G2158" s="5" t="s">
        <v>16230</v>
      </c>
      <c r="H2158" s="6" t="s">
        <v>16231</v>
      </c>
      <c r="K2158" s="5" t="s">
        <v>14524</v>
      </c>
      <c r="M2158" s="5" t="s">
        <v>16232</v>
      </c>
      <c r="N2158" s="7" t="s">
        <v>16233</v>
      </c>
      <c r="O2158" s="8" t="str">
        <f>HYPERLINK("https://drive.google.com/file/d/1yEzhlqX6-DuGh0RIa-qeswyfilYdZA1B/view?usp=drivesdk","2157_WAWAN AWALUDIN  _ SERTIFIKAT BIMTEK IPASN BerAKHLASK")</f>
        <v>2157_WAWAN AWALUDIN  _ SERTIFIKAT BIMTEK IPASN BerAKHLASK</v>
      </c>
      <c r="P2158" s="5" t="s">
        <v>16218</v>
      </c>
      <c r="Q2158" s="5"/>
      <c r="R2158" s="5"/>
      <c r="S2158" s="5"/>
      <c r="T2158" s="5"/>
    </row>
    <row r="2159">
      <c r="A2159" s="4">
        <v>45534.33899173611</v>
      </c>
      <c r="B2159" s="5" t="s">
        <v>34</v>
      </c>
      <c r="D2159" s="5" t="s">
        <v>6232</v>
      </c>
      <c r="E2159" s="5" t="s">
        <v>16234</v>
      </c>
      <c r="F2159" s="5" t="s">
        <v>72</v>
      </c>
      <c r="G2159" s="5" t="s">
        <v>16235</v>
      </c>
      <c r="H2159" s="6" t="s">
        <v>16236</v>
      </c>
      <c r="K2159" s="5" t="s">
        <v>14524</v>
      </c>
      <c r="M2159" s="5" t="s">
        <v>16237</v>
      </c>
      <c r="N2159" s="7" t="s">
        <v>16238</v>
      </c>
      <c r="O2159" s="8" t="str">
        <f>HYPERLINK("https://drive.google.com/file/d/1YX-BEYdFnkqa2Ikf9P2WMJPxs1eS_onr/view?usp=drivesdk","2158_YULIANA _ SERTIFIKAT BIMTEK IPASN BerAKHLASK")</f>
        <v>2158_YULIANA _ SERTIFIKAT BIMTEK IPASN BerAKHLASK</v>
      </c>
      <c r="P2159" s="5" t="s">
        <v>16218</v>
      </c>
      <c r="Q2159" s="5"/>
      <c r="R2159" s="5"/>
      <c r="S2159" s="5"/>
      <c r="T2159" s="5"/>
    </row>
    <row r="2160">
      <c r="A2160" s="4">
        <v>45534.33900186342</v>
      </c>
      <c r="B2160" s="5" t="s">
        <v>34</v>
      </c>
      <c r="D2160" s="5" t="s">
        <v>1206</v>
      </c>
      <c r="E2160" s="5" t="s">
        <v>16239</v>
      </c>
      <c r="F2160" s="5" t="s">
        <v>72</v>
      </c>
      <c r="G2160" s="5" t="s">
        <v>16240</v>
      </c>
      <c r="H2160" s="6" t="s">
        <v>16241</v>
      </c>
      <c r="K2160" s="5" t="s">
        <v>14524</v>
      </c>
      <c r="M2160" s="5" t="s">
        <v>16242</v>
      </c>
      <c r="N2160" s="7" t="s">
        <v>16243</v>
      </c>
      <c r="O2160" s="8" t="str">
        <f>HYPERLINK("https://drive.google.com/file/d/1XKWy4FW6AgBftsPuF9Bgn5bwuxqtZsUu/view?usp=drivesdk","2159_Ns. RIRIN ESTUNINGSIH, S.Kep. _ SERTIFIKAT BIMTEK IPASN BerAKHLASK")</f>
        <v>2159_Ns. RIRIN ESTUNINGSIH, S.Kep. _ SERTIFIKAT BIMTEK IPASN BerAKHLASK</v>
      </c>
      <c r="P2160" s="5" t="s">
        <v>16218</v>
      </c>
      <c r="Q2160" s="5"/>
      <c r="R2160" s="5"/>
      <c r="S2160" s="5"/>
      <c r="T2160" s="5"/>
    </row>
    <row r="2161">
      <c r="A2161" s="4">
        <v>45534.339004305555</v>
      </c>
      <c r="B2161" s="5" t="s">
        <v>34</v>
      </c>
      <c r="D2161" s="5" t="s">
        <v>1206</v>
      </c>
      <c r="E2161" s="5" t="s">
        <v>16244</v>
      </c>
      <c r="F2161" s="5" t="s">
        <v>212</v>
      </c>
      <c r="G2161" s="5" t="s">
        <v>16245</v>
      </c>
      <c r="H2161" s="6" t="s">
        <v>16246</v>
      </c>
      <c r="K2161" s="5" t="s">
        <v>14524</v>
      </c>
      <c r="M2161" s="5" t="s">
        <v>16247</v>
      </c>
      <c r="N2161" s="7" t="s">
        <v>16248</v>
      </c>
      <c r="O2161" s="8" t="str">
        <f>HYPERLINK("https://drive.google.com/file/d/1IU6VvbeYK5DRl4inwbkB7MpaZuZ1EMwa/view?usp=drivesdk","2160_ELOK IRAWATI _ SERTIFIKAT BIMTEK IPASN BerAKHLASK")</f>
        <v>2160_ELOK IRAWATI _ SERTIFIKAT BIMTEK IPASN BerAKHLASK</v>
      </c>
      <c r="P2161" s="5" t="s">
        <v>16249</v>
      </c>
      <c r="Q2161" s="5"/>
      <c r="R2161" s="5"/>
      <c r="S2161" s="5"/>
      <c r="T2161" s="5"/>
    </row>
    <row r="2162">
      <c r="A2162" s="4">
        <v>45534.33900703704</v>
      </c>
      <c r="B2162" s="5" t="s">
        <v>34</v>
      </c>
      <c r="D2162" s="5" t="s">
        <v>4775</v>
      </c>
      <c r="E2162" s="5" t="s">
        <v>16250</v>
      </c>
      <c r="F2162" s="5" t="s">
        <v>108</v>
      </c>
      <c r="G2162" s="5" t="s">
        <v>16251</v>
      </c>
      <c r="H2162" s="6" t="s">
        <v>16252</v>
      </c>
      <c r="K2162" s="5" t="s">
        <v>14524</v>
      </c>
      <c r="M2162" s="5" t="s">
        <v>16253</v>
      </c>
      <c r="N2162" s="7" t="s">
        <v>16254</v>
      </c>
      <c r="O2162" s="8" t="str">
        <f>HYPERLINK("https://drive.google.com/file/d/1jUTGGObZoddQY20shCNAYeLJZdz8u_q_/view?usp=drivesdk","2161_OGI PRAYOGO, S.H. _ SERTIFIKAT BIMTEK IPASN BerAKHLASK")</f>
        <v>2161_OGI PRAYOGO, S.H. _ SERTIFIKAT BIMTEK IPASN BerAKHLASK</v>
      </c>
      <c r="P2162" s="5" t="s">
        <v>16249</v>
      </c>
      <c r="Q2162" s="5"/>
      <c r="R2162" s="5"/>
      <c r="S2162" s="5"/>
      <c r="T2162" s="5"/>
    </row>
    <row r="2163">
      <c r="A2163" s="4">
        <v>45534.339008634255</v>
      </c>
      <c r="B2163" s="5" t="s">
        <v>34</v>
      </c>
      <c r="D2163" s="5" t="s">
        <v>1206</v>
      </c>
      <c r="E2163" s="5" t="s">
        <v>16255</v>
      </c>
      <c r="F2163" s="5" t="s">
        <v>375</v>
      </c>
      <c r="G2163" s="5" t="s">
        <v>16256</v>
      </c>
      <c r="H2163" s="6" t="s">
        <v>16257</v>
      </c>
      <c r="K2163" s="5" t="s">
        <v>14524</v>
      </c>
      <c r="M2163" s="5" t="s">
        <v>16258</v>
      </c>
      <c r="N2163" s="7" t="s">
        <v>16259</v>
      </c>
      <c r="O2163" s="8" t="str">
        <f>HYPERLINK("https://drive.google.com/file/d/1Tza8uPJoqQwUlhDWjuy2MXYAu09W2Fn_/view?usp=drivesdk","2162_SRI MURNI NURATI,SE _ SERTIFIKAT BIMTEK IPASN BerAKHLASK")</f>
        <v>2162_SRI MURNI NURATI,SE _ SERTIFIKAT BIMTEK IPASN BerAKHLASK</v>
      </c>
      <c r="P2163" s="5" t="s">
        <v>16249</v>
      </c>
      <c r="Q2163" s="5"/>
      <c r="R2163" s="5"/>
      <c r="S2163" s="5"/>
      <c r="T2163" s="5"/>
    </row>
    <row r="2164">
      <c r="A2164" s="4">
        <v>45534.339011979166</v>
      </c>
      <c r="B2164" s="5" t="s">
        <v>34</v>
      </c>
      <c r="D2164" s="5" t="s">
        <v>522</v>
      </c>
      <c r="E2164" s="5" t="s">
        <v>16260</v>
      </c>
      <c r="F2164" s="5" t="s">
        <v>22</v>
      </c>
      <c r="G2164" s="5" t="s">
        <v>16261</v>
      </c>
      <c r="H2164" s="6" t="s">
        <v>16262</v>
      </c>
      <c r="K2164" s="5" t="s">
        <v>14524</v>
      </c>
      <c r="M2164" s="5" t="s">
        <v>16263</v>
      </c>
      <c r="N2164" s="7" t="s">
        <v>16264</v>
      </c>
      <c r="O2164" s="8" t="str">
        <f>HYPERLINK("https://drive.google.com/file/d/1PoFxx1B0REntuuIEFr_gIn1Sgdl6XvgN/view?usp=drivesdk","2163_KAMARIAH _ SERTIFIKAT BIMTEK IPASN BerAKHLASK")</f>
        <v>2163_KAMARIAH _ SERTIFIKAT BIMTEK IPASN BerAKHLASK</v>
      </c>
      <c r="P2164" s="5" t="s">
        <v>16249</v>
      </c>
      <c r="Q2164" s="5"/>
      <c r="R2164" s="5"/>
      <c r="S2164" s="5"/>
      <c r="T2164" s="5"/>
    </row>
    <row r="2165">
      <c r="A2165" s="4">
        <v>45534.33901340278</v>
      </c>
      <c r="B2165" s="5" t="s">
        <v>34</v>
      </c>
      <c r="D2165" s="5" t="s">
        <v>35</v>
      </c>
      <c r="E2165" s="5" t="s">
        <v>16265</v>
      </c>
      <c r="F2165" s="5" t="s">
        <v>212</v>
      </c>
      <c r="G2165" s="5" t="s">
        <v>16266</v>
      </c>
      <c r="H2165" s="6" t="s">
        <v>16267</v>
      </c>
      <c r="K2165" s="5" t="s">
        <v>14524</v>
      </c>
      <c r="M2165" s="5" t="s">
        <v>16268</v>
      </c>
      <c r="N2165" s="7" t="s">
        <v>16269</v>
      </c>
      <c r="O2165" s="8" t="str">
        <f>HYPERLINK("https://drive.google.com/file/d/1-mHxq3-DyUi8lYg-YZi_Jliz5h9j9yyx/view?usp=drivesdk","2164_YOYOH ROKAYAH  _ SERTIFIKAT BIMTEK IPASN BerAKHLASK")</f>
        <v>2164_YOYOH ROKAYAH  _ SERTIFIKAT BIMTEK IPASN BerAKHLASK</v>
      </c>
      <c r="P2165" s="5" t="s">
        <v>16249</v>
      </c>
      <c r="Q2165" s="5"/>
      <c r="R2165" s="5"/>
      <c r="S2165" s="5"/>
      <c r="T2165" s="5"/>
    </row>
    <row r="2166">
      <c r="A2166" s="4">
        <v>45534.33901700232</v>
      </c>
      <c r="B2166" s="5" t="s">
        <v>34</v>
      </c>
      <c r="D2166" s="5" t="s">
        <v>9020</v>
      </c>
      <c r="E2166" s="5" t="s">
        <v>16270</v>
      </c>
      <c r="F2166" s="5" t="s">
        <v>212</v>
      </c>
      <c r="G2166" s="5" t="s">
        <v>16271</v>
      </c>
      <c r="H2166" s="6" t="s">
        <v>16272</v>
      </c>
      <c r="K2166" s="5" t="s">
        <v>14524</v>
      </c>
      <c r="M2166" s="5" t="s">
        <v>16273</v>
      </c>
      <c r="N2166" s="7" t="s">
        <v>16274</v>
      </c>
      <c r="O2166" s="8" t="str">
        <f>HYPERLINK("https://drive.google.com/file/d/1Gm-oMNhKZH6QYad5tL38t3_-8UHsq8RK/view?usp=drivesdk","2165_KUAT GINTING _ SERTIFIKAT BIMTEK IPASN BerAKHLASK")</f>
        <v>2165_KUAT GINTING _ SERTIFIKAT BIMTEK IPASN BerAKHLASK</v>
      </c>
      <c r="P2166" s="5" t="s">
        <v>16249</v>
      </c>
      <c r="Q2166" s="5"/>
      <c r="R2166" s="5"/>
      <c r="S2166" s="5"/>
      <c r="T2166" s="5"/>
    </row>
    <row r="2167">
      <c r="A2167" s="4">
        <v>45534.33901818287</v>
      </c>
      <c r="B2167" s="5" t="s">
        <v>34</v>
      </c>
      <c r="D2167" s="5" t="s">
        <v>4775</v>
      </c>
      <c r="E2167" s="5" t="s">
        <v>16275</v>
      </c>
      <c r="F2167" s="5" t="s">
        <v>212</v>
      </c>
      <c r="G2167" s="5" t="s">
        <v>16276</v>
      </c>
      <c r="H2167" s="6" t="s">
        <v>16277</v>
      </c>
      <c r="K2167" s="5" t="s">
        <v>14524</v>
      </c>
      <c r="M2167" s="5" t="s">
        <v>16278</v>
      </c>
      <c r="N2167" s="7" t="s">
        <v>16279</v>
      </c>
      <c r="O2167" s="8" t="str">
        <f>HYPERLINK("https://drive.google.com/file/d/1Or1r_t3cuwpqccki20aeaSsO2luq0O8T/view?usp=drivesdk","2166_SYAFRUDDIN _ SERTIFIKAT BIMTEK IPASN BerAKHLASK")</f>
        <v>2166_SYAFRUDDIN _ SERTIFIKAT BIMTEK IPASN BerAKHLASK</v>
      </c>
      <c r="P2167" s="5" t="s">
        <v>16280</v>
      </c>
      <c r="Q2167" s="5"/>
      <c r="R2167" s="5"/>
      <c r="S2167" s="5"/>
      <c r="T2167" s="5"/>
    </row>
    <row r="2168">
      <c r="A2168" s="4">
        <v>45534.339023252316</v>
      </c>
      <c r="B2168" s="5" t="s">
        <v>34</v>
      </c>
      <c r="D2168" s="5" t="s">
        <v>9394</v>
      </c>
      <c r="E2168" s="5" t="s">
        <v>16281</v>
      </c>
      <c r="F2168" s="5" t="s">
        <v>72</v>
      </c>
      <c r="G2168" s="5" t="s">
        <v>16282</v>
      </c>
      <c r="H2168" s="6" t="s">
        <v>16283</v>
      </c>
      <c r="K2168" s="5" t="s">
        <v>14524</v>
      </c>
      <c r="M2168" s="5" t="s">
        <v>16284</v>
      </c>
      <c r="N2168" s="7" t="s">
        <v>16285</v>
      </c>
      <c r="O2168" s="8" t="str">
        <f>HYPERLINK("https://drive.google.com/file/d/1dW3POUiM1vIbL3c_8gPVhmLYZC1FF_LI/view?usp=drivesdk","2167_HENNY MIS PANCA WAHYUNI A. Md _ SERTIFIKAT BIMTEK IPASN BerAKHLASK")</f>
        <v>2167_HENNY MIS PANCA WAHYUNI A. Md _ SERTIFIKAT BIMTEK IPASN BerAKHLASK</v>
      </c>
      <c r="P2168" s="5" t="s">
        <v>16280</v>
      </c>
      <c r="Q2168" s="5"/>
      <c r="R2168" s="5"/>
      <c r="S2168" s="5"/>
      <c r="T2168" s="5"/>
    </row>
    <row r="2169">
      <c r="A2169" s="4">
        <v>45534.3390240625</v>
      </c>
      <c r="B2169" s="5" t="s">
        <v>34</v>
      </c>
      <c r="D2169" s="5" t="s">
        <v>35</v>
      </c>
      <c r="E2169" s="5" t="s">
        <v>16286</v>
      </c>
      <c r="F2169" s="5" t="s">
        <v>524</v>
      </c>
      <c r="G2169" s="5" t="s">
        <v>16287</v>
      </c>
      <c r="H2169" s="6" t="s">
        <v>16288</v>
      </c>
      <c r="K2169" s="5" t="s">
        <v>14524</v>
      </c>
      <c r="M2169" s="5" t="s">
        <v>16289</v>
      </c>
      <c r="N2169" s="7" t="s">
        <v>16290</v>
      </c>
      <c r="O2169" s="8" t="str">
        <f>HYPERLINK("https://drive.google.com/file/d/1mcqZ06uLbKKyOEmKQwF0hPEWjMpS6yGG/view?usp=drivesdk","2168_HENDRA _ SERTIFIKAT BIMTEK IPASN BerAKHLASK")</f>
        <v>2168_HENDRA _ SERTIFIKAT BIMTEK IPASN BerAKHLASK</v>
      </c>
      <c r="P2169" s="5" t="s">
        <v>16280</v>
      </c>
      <c r="Q2169" s="5"/>
      <c r="R2169" s="5"/>
      <c r="S2169" s="5"/>
      <c r="T2169" s="5"/>
    </row>
    <row r="2170">
      <c r="A2170" s="4">
        <v>45534.33903149306</v>
      </c>
      <c r="B2170" s="5" t="s">
        <v>34</v>
      </c>
      <c r="D2170" s="5" t="s">
        <v>996</v>
      </c>
      <c r="E2170" s="5" t="s">
        <v>16291</v>
      </c>
      <c r="F2170" s="5" t="s">
        <v>212</v>
      </c>
      <c r="G2170" s="5" t="s">
        <v>16292</v>
      </c>
      <c r="H2170" s="6" t="s">
        <v>16293</v>
      </c>
      <c r="K2170" s="5" t="s">
        <v>14524</v>
      </c>
      <c r="M2170" s="5" t="s">
        <v>16294</v>
      </c>
      <c r="N2170" s="7" t="s">
        <v>16295</v>
      </c>
      <c r="O2170" s="8" t="str">
        <f>HYPERLINK("https://drive.google.com/file/d/1emBSUD3SbxpfMCIqyLzjvwiKzchgvUXh/view?usp=drivesdk","2169_HAFIZAH, S.H. _ SERTIFIKAT BIMTEK IPASN BerAKHLASK")</f>
        <v>2169_HAFIZAH, S.H. _ SERTIFIKAT BIMTEK IPASN BerAKHLASK</v>
      </c>
      <c r="P2170" s="5" t="s">
        <v>16280</v>
      </c>
      <c r="Q2170" s="5"/>
      <c r="R2170" s="5"/>
      <c r="S2170" s="5"/>
      <c r="T2170" s="5"/>
    </row>
    <row r="2171">
      <c r="A2171" s="4">
        <v>45534.33903368056</v>
      </c>
      <c r="B2171" s="5" t="s">
        <v>34</v>
      </c>
      <c r="D2171" s="5" t="s">
        <v>1768</v>
      </c>
      <c r="E2171" s="5" t="s">
        <v>16296</v>
      </c>
      <c r="F2171" s="5" t="s">
        <v>524</v>
      </c>
      <c r="G2171" s="5" t="s">
        <v>16297</v>
      </c>
      <c r="H2171" s="6" t="s">
        <v>16298</v>
      </c>
      <c r="K2171" s="5" t="s">
        <v>14524</v>
      </c>
      <c r="M2171" s="5" t="s">
        <v>16299</v>
      </c>
      <c r="N2171" s="7" t="s">
        <v>16300</v>
      </c>
      <c r="O2171" s="8" t="str">
        <f>HYPERLINK("https://drive.google.com/file/d/1mWL8SM4TU19wm8I7MJyigTzu8c74uBXP/view?usp=drivesdk","2170_RITA NANI  _ SERTIFIKAT BIMTEK IPASN BerAKHLASK")</f>
        <v>2170_RITA NANI  _ SERTIFIKAT BIMTEK IPASN BerAKHLASK</v>
      </c>
      <c r="P2171" s="5" t="s">
        <v>16280</v>
      </c>
      <c r="Q2171" s="5"/>
      <c r="R2171" s="5"/>
      <c r="S2171" s="5"/>
      <c r="T2171" s="5"/>
    </row>
    <row r="2172">
      <c r="A2172" s="4">
        <v>45534.33903390046</v>
      </c>
      <c r="B2172" s="5" t="s">
        <v>34</v>
      </c>
      <c r="D2172" s="5" t="s">
        <v>280</v>
      </c>
      <c r="E2172" s="5" t="s">
        <v>16301</v>
      </c>
      <c r="F2172" s="5" t="s">
        <v>37</v>
      </c>
      <c r="G2172" s="5" t="s">
        <v>16302</v>
      </c>
      <c r="H2172" s="6" t="s">
        <v>16303</v>
      </c>
      <c r="K2172" s="5" t="s">
        <v>14524</v>
      </c>
      <c r="M2172" s="5" t="s">
        <v>16304</v>
      </c>
      <c r="N2172" s="7" t="s">
        <v>16305</v>
      </c>
      <c r="O2172" s="8" t="str">
        <f>HYPERLINK("https://drive.google.com/file/d/1DyXXY1yavi-DkA39HP50WIkY1pfCoLR8/view?usp=drivesdk","2171_MURYANIF _ SERTIFIKAT BIMTEK IPASN BerAKHLASK")</f>
        <v>2171_MURYANIF _ SERTIFIKAT BIMTEK IPASN BerAKHLASK</v>
      </c>
      <c r="P2172" s="5" t="s">
        <v>16306</v>
      </c>
      <c r="Q2172" s="5"/>
      <c r="R2172" s="5"/>
      <c r="S2172" s="5"/>
      <c r="T2172" s="5"/>
    </row>
    <row r="2173">
      <c r="A2173" s="4">
        <v>45534.339035729165</v>
      </c>
      <c r="B2173" s="5" t="s">
        <v>34</v>
      </c>
      <c r="D2173" s="5" t="s">
        <v>9020</v>
      </c>
      <c r="E2173" s="5" t="s">
        <v>16307</v>
      </c>
      <c r="F2173" s="5" t="s">
        <v>375</v>
      </c>
      <c r="G2173" s="5" t="s">
        <v>16308</v>
      </c>
      <c r="H2173" s="6" t="s">
        <v>16309</v>
      </c>
      <c r="K2173" s="5" t="s">
        <v>14524</v>
      </c>
      <c r="M2173" s="5" t="s">
        <v>16310</v>
      </c>
      <c r="N2173" s="7" t="s">
        <v>16311</v>
      </c>
      <c r="O2173" s="8" t="str">
        <f>HYPERLINK("https://drive.google.com/file/d/16H4u1XddxTmBtWG0FWzt-U9Ke-xKaOZG/view?usp=drivesdk","2172_PENATA TK I DEWI WULANSARI,SE _ SERTIFIKAT BIMTEK IPASN BerAKHLASK")</f>
        <v>2172_PENATA TK I DEWI WULANSARI,SE _ SERTIFIKAT BIMTEK IPASN BerAKHLASK</v>
      </c>
      <c r="P2173" s="5" t="s">
        <v>16306</v>
      </c>
      <c r="Q2173" s="5"/>
      <c r="R2173" s="5"/>
      <c r="S2173" s="5"/>
      <c r="T2173" s="5"/>
    </row>
    <row r="2174">
      <c r="A2174" s="4">
        <v>45534.33903981482</v>
      </c>
      <c r="B2174" s="5" t="s">
        <v>34</v>
      </c>
      <c r="D2174" s="5" t="s">
        <v>14424</v>
      </c>
      <c r="E2174" s="5" t="s">
        <v>16312</v>
      </c>
      <c r="F2174" s="5" t="s">
        <v>37</v>
      </c>
      <c r="G2174" s="5" t="s">
        <v>16313</v>
      </c>
      <c r="H2174" s="6" t="s">
        <v>16314</v>
      </c>
      <c r="K2174" s="5" t="s">
        <v>14524</v>
      </c>
      <c r="M2174" s="5" t="s">
        <v>16315</v>
      </c>
      <c r="N2174" s="7" t="s">
        <v>16316</v>
      </c>
      <c r="O2174" s="8" t="str">
        <f>HYPERLINK("https://drive.google.com/file/d/1TEOpFjVfOVtoLDriGbc3zeDXbgeRpuAv/view?usp=drivesdk","2173_SUCIWARDANI,AMd.Kep _ SERTIFIKAT BIMTEK IPASN BerAKHLASK")</f>
        <v>2173_SUCIWARDANI,AMd.Kep _ SERTIFIKAT BIMTEK IPASN BerAKHLASK</v>
      </c>
      <c r="P2174" s="5" t="s">
        <v>16306</v>
      </c>
      <c r="Q2174" s="5"/>
      <c r="R2174" s="5"/>
      <c r="S2174" s="5"/>
      <c r="T2174" s="5"/>
    </row>
    <row r="2175" hidden="1">
      <c r="A2175" s="4">
        <v>45534.339047800924</v>
      </c>
      <c r="B2175" s="5" t="s">
        <v>19</v>
      </c>
      <c r="C2175" s="5" t="s">
        <v>292</v>
      </c>
      <c r="E2175" s="5" t="s">
        <v>16317</v>
      </c>
      <c r="F2175" s="5" t="s">
        <v>37</v>
      </c>
      <c r="G2175" s="5" t="s">
        <v>16318</v>
      </c>
      <c r="H2175" s="6" t="s">
        <v>16319</v>
      </c>
      <c r="K2175" s="5" t="s">
        <v>14524</v>
      </c>
      <c r="M2175" s="5" t="s">
        <v>16320</v>
      </c>
      <c r="N2175" s="7" t="s">
        <v>16321</v>
      </c>
      <c r="O2175" s="8" t="str">
        <f>HYPERLINK("https://drive.google.com/file/d/12fmLEROWIU_0qOAgw1WIGDlPUEq5OP4a/view?usp=drivesdk","2174_ISHAK ISHAK _ SERTIFIKAT BIMTEK IPASN BerAKHLASK")</f>
        <v>2174_ISHAK ISHAK _ SERTIFIKAT BIMTEK IPASN BerAKHLASK</v>
      </c>
      <c r="P2175" s="5" t="s">
        <v>16306</v>
      </c>
      <c r="Q2175" s="5"/>
      <c r="R2175" s="5"/>
      <c r="S2175" s="5"/>
      <c r="T2175" s="5"/>
    </row>
    <row r="2176">
      <c r="A2176" s="4">
        <v>45534.339048657406</v>
      </c>
      <c r="B2176" s="5" t="s">
        <v>34</v>
      </c>
      <c r="D2176" s="5" t="s">
        <v>4775</v>
      </c>
      <c r="E2176" s="5" t="s">
        <v>16322</v>
      </c>
      <c r="F2176" s="5" t="s">
        <v>72</v>
      </c>
      <c r="G2176" s="5" t="s">
        <v>16323</v>
      </c>
      <c r="H2176" s="6" t="s">
        <v>16324</v>
      </c>
      <c r="K2176" s="5" t="s">
        <v>14524</v>
      </c>
      <c r="M2176" s="5" t="s">
        <v>16325</v>
      </c>
      <c r="N2176" s="7" t="s">
        <v>16326</v>
      </c>
      <c r="O2176" s="8" t="str">
        <f>HYPERLINK("https://drive.google.com/file/d/1t-X-EIOrFfahXZPrEBU6hUfTNw9xTLOV/view?usp=drivesdk","2175_SUKMAWATI.S,Sos _ SERTIFIKAT BIMTEK IPASN BerAKHLASK")</f>
        <v>2175_SUKMAWATI.S,Sos _ SERTIFIKAT BIMTEK IPASN BerAKHLASK</v>
      </c>
      <c r="P2176" s="5" t="s">
        <v>16306</v>
      </c>
      <c r="Q2176" s="5"/>
      <c r="R2176" s="5"/>
      <c r="S2176" s="5"/>
      <c r="T2176" s="5"/>
    </row>
    <row r="2177">
      <c r="A2177" s="4">
        <v>45534.339063865744</v>
      </c>
      <c r="B2177" s="5" t="s">
        <v>34</v>
      </c>
      <c r="D2177" s="5" t="s">
        <v>4775</v>
      </c>
      <c r="E2177" s="5" t="s">
        <v>16327</v>
      </c>
      <c r="F2177" s="5" t="s">
        <v>72</v>
      </c>
      <c r="G2177" s="5" t="s">
        <v>16328</v>
      </c>
      <c r="H2177" s="6" t="s">
        <v>16329</v>
      </c>
      <c r="K2177" s="5" t="s">
        <v>14524</v>
      </c>
      <c r="M2177" s="5" t="s">
        <v>16330</v>
      </c>
      <c r="N2177" s="7" t="s">
        <v>16331</v>
      </c>
      <c r="O2177" s="8" t="str">
        <f>HYPERLINK("https://drive.google.com/file/d/1ne8jFdn5NiI11VCrF3tgZBZ5JErB8OdQ/view?usp=drivesdk","2176_LAMINI _ SERTIFIKAT BIMTEK IPASN BerAKHLASK")</f>
        <v>2176_LAMINI _ SERTIFIKAT BIMTEK IPASN BerAKHLASK</v>
      </c>
      <c r="P2177" s="5" t="s">
        <v>16332</v>
      </c>
      <c r="Q2177" s="5"/>
      <c r="R2177" s="5"/>
      <c r="S2177" s="5"/>
      <c r="T2177" s="5"/>
    </row>
    <row r="2178">
      <c r="A2178" s="4">
        <v>45534.33906475695</v>
      </c>
      <c r="B2178" s="5" t="s">
        <v>34</v>
      </c>
      <c r="D2178" s="5" t="s">
        <v>6232</v>
      </c>
      <c r="E2178" s="5" t="s">
        <v>16333</v>
      </c>
      <c r="F2178" s="5" t="s">
        <v>212</v>
      </c>
      <c r="G2178" s="5" t="s">
        <v>16334</v>
      </c>
      <c r="H2178" s="6" t="s">
        <v>16335</v>
      </c>
      <c r="K2178" s="5" t="s">
        <v>14944</v>
      </c>
      <c r="M2178" s="5" t="s">
        <v>16336</v>
      </c>
      <c r="N2178" s="7" t="s">
        <v>16337</v>
      </c>
      <c r="O2178" s="8" t="str">
        <f>HYPERLINK("https://drive.google.com/file/d/1Z0GekAMQa_6Xds4zR5Op-vWkA3I8fwGX/view?usp=drivesdk","2177_FITRI REZEKI _ SERTIFIKAT BIMTEK IPASN BerAKHLASK")</f>
        <v>2177_FITRI REZEKI _ SERTIFIKAT BIMTEK IPASN BerAKHLASK</v>
      </c>
      <c r="P2178" s="5" t="s">
        <v>16332</v>
      </c>
      <c r="Q2178" s="5"/>
      <c r="R2178" s="5"/>
      <c r="S2178" s="5"/>
      <c r="T2178" s="5"/>
    </row>
    <row r="2179">
      <c r="A2179" s="4">
        <v>45534.33906751157</v>
      </c>
      <c r="B2179" s="5" t="s">
        <v>34</v>
      </c>
      <c r="D2179" s="5" t="s">
        <v>267</v>
      </c>
      <c r="E2179" s="5" t="s">
        <v>16338</v>
      </c>
      <c r="F2179" s="5" t="s">
        <v>212</v>
      </c>
      <c r="G2179" s="5" t="s">
        <v>16339</v>
      </c>
      <c r="H2179" s="6" t="s">
        <v>16340</v>
      </c>
      <c r="K2179" s="5" t="s">
        <v>14944</v>
      </c>
      <c r="M2179" s="5" t="s">
        <v>16341</v>
      </c>
      <c r="N2179" s="7" t="s">
        <v>16342</v>
      </c>
      <c r="O2179" s="8" t="str">
        <f>HYPERLINK("https://drive.google.com/file/d/1qT6X2-KztNsL25Z_D8KvNX45pUBp7ozV/view?usp=drivesdk","2178_SULASIH _ SERTIFIKAT BIMTEK IPASN BerAKHLASK")</f>
        <v>2178_SULASIH _ SERTIFIKAT BIMTEK IPASN BerAKHLASK</v>
      </c>
      <c r="P2179" s="5" t="s">
        <v>16332</v>
      </c>
      <c r="Q2179" s="5"/>
      <c r="R2179" s="5"/>
      <c r="S2179" s="5"/>
      <c r="T2179" s="5"/>
    </row>
    <row r="2180">
      <c r="A2180" s="4">
        <v>45534.33906962963</v>
      </c>
      <c r="B2180" s="5" t="s">
        <v>34</v>
      </c>
      <c r="D2180" s="5" t="s">
        <v>12010</v>
      </c>
      <c r="E2180" s="5" t="s">
        <v>16343</v>
      </c>
      <c r="F2180" s="5" t="s">
        <v>524</v>
      </c>
      <c r="G2180" s="5" t="s">
        <v>16344</v>
      </c>
      <c r="H2180" s="6" t="s">
        <v>16345</v>
      </c>
      <c r="K2180" s="5" t="s">
        <v>14944</v>
      </c>
      <c r="M2180" s="5" t="s">
        <v>16346</v>
      </c>
      <c r="N2180" s="7" t="s">
        <v>16347</v>
      </c>
      <c r="O2180" s="8" t="str">
        <f>HYPERLINK("https://drive.google.com/file/d/1Rol9hcxV8BdCEQhIKzKFpe-iL71Za1-x/view?usp=drivesdk","2179_RINDHI ANTIKA KONO, S.E. _ SERTIFIKAT BIMTEK IPASN BerAKHLASK")</f>
        <v>2179_RINDHI ANTIKA KONO, S.E. _ SERTIFIKAT BIMTEK IPASN BerAKHLASK</v>
      </c>
      <c r="P2180" s="5" t="s">
        <v>16332</v>
      </c>
      <c r="Q2180" s="5"/>
      <c r="R2180" s="5"/>
      <c r="S2180" s="5"/>
      <c r="T2180" s="5"/>
    </row>
    <row r="2181">
      <c r="A2181" s="4">
        <v>45534.33905270833</v>
      </c>
      <c r="B2181" s="5" t="s">
        <v>34</v>
      </c>
      <c r="D2181" s="5" t="s">
        <v>4775</v>
      </c>
      <c r="E2181" s="5" t="s">
        <v>16348</v>
      </c>
      <c r="F2181" s="5" t="s">
        <v>212</v>
      </c>
      <c r="G2181" s="5" t="s">
        <v>16349</v>
      </c>
      <c r="H2181" s="6" t="s">
        <v>16350</v>
      </c>
      <c r="K2181" s="5" t="s">
        <v>14944</v>
      </c>
      <c r="M2181" s="5" t="s">
        <v>16351</v>
      </c>
      <c r="N2181" s="7" t="s">
        <v>16352</v>
      </c>
      <c r="O2181" s="8" t="str">
        <f>HYPERLINK("https://drive.google.com/file/d/1rqenjpf0sSbgg26Ozce0kOR6VJCdUiSh/view?usp=drivesdk","2180_SRI LESTARI  _ SERTIFIKAT BIMTEK IPASN BerAKHLASK")</f>
        <v>2180_SRI LESTARI  _ SERTIFIKAT BIMTEK IPASN BerAKHLASK</v>
      </c>
      <c r="P2181" s="5" t="s">
        <v>16332</v>
      </c>
      <c r="Q2181" s="5"/>
      <c r="R2181" s="5"/>
      <c r="S2181" s="5"/>
      <c r="T2181" s="5"/>
    </row>
    <row r="2182">
      <c r="A2182" s="4">
        <v>45534.33905325232</v>
      </c>
      <c r="B2182" s="5" t="s">
        <v>34</v>
      </c>
      <c r="D2182" s="5" t="s">
        <v>4775</v>
      </c>
      <c r="E2182" s="5" t="s">
        <v>16353</v>
      </c>
      <c r="F2182" s="5" t="s">
        <v>108</v>
      </c>
      <c r="G2182" s="5" t="s">
        <v>16354</v>
      </c>
      <c r="H2182" s="6" t="s">
        <v>16355</v>
      </c>
      <c r="K2182" s="5" t="s">
        <v>14944</v>
      </c>
      <c r="M2182" s="5" t="s">
        <v>16356</v>
      </c>
      <c r="N2182" s="7" t="s">
        <v>16357</v>
      </c>
      <c r="O2182" s="8" t="str">
        <f>HYPERLINK("https://drive.google.com/file/d/1phYL-iNzONtVY2ApIOcc_mQ1BCLSDtmW/view?usp=drivesdk","2181_C KRISTIATI _ SERTIFIKAT BIMTEK IPASN BerAKHLASK")</f>
        <v>2181_C KRISTIATI _ SERTIFIKAT BIMTEK IPASN BerAKHLASK</v>
      </c>
      <c r="P2182" s="5" t="s">
        <v>16358</v>
      </c>
      <c r="Q2182" s="5"/>
      <c r="R2182" s="5"/>
      <c r="S2182" s="5"/>
      <c r="T2182" s="5"/>
    </row>
    <row r="2183">
      <c r="A2183" s="4">
        <v>45534.33905387732</v>
      </c>
      <c r="B2183" s="5" t="s">
        <v>34</v>
      </c>
      <c r="D2183" s="5" t="s">
        <v>4775</v>
      </c>
      <c r="E2183" s="5" t="s">
        <v>16359</v>
      </c>
      <c r="F2183" s="5" t="s">
        <v>199</v>
      </c>
      <c r="G2183" s="5" t="s">
        <v>16360</v>
      </c>
      <c r="H2183" s="6" t="s">
        <v>16361</v>
      </c>
      <c r="K2183" s="5" t="s">
        <v>14944</v>
      </c>
      <c r="M2183" s="5" t="s">
        <v>16362</v>
      </c>
      <c r="N2183" s="7" t="s">
        <v>16363</v>
      </c>
      <c r="O2183" s="8" t="str">
        <f>HYPERLINK("https://drive.google.com/file/d/1SjugwNnNgor7Olf0T6yCWj1Gwpt36E9k/view?usp=drivesdk","2182_HARTOTO _ SERTIFIKAT BIMTEK IPASN BerAKHLASK")</f>
        <v>2182_HARTOTO _ SERTIFIKAT BIMTEK IPASN BerAKHLASK</v>
      </c>
      <c r="P2183" s="5" t="s">
        <v>16358</v>
      </c>
      <c r="Q2183" s="5"/>
      <c r="R2183" s="5"/>
      <c r="S2183" s="5"/>
      <c r="T2183" s="5"/>
    </row>
    <row r="2184" hidden="1">
      <c r="A2184" s="4">
        <v>45534.33905835648</v>
      </c>
      <c r="B2184" s="5" t="s">
        <v>19</v>
      </c>
      <c r="C2184" s="5" t="s">
        <v>292</v>
      </c>
      <c r="E2184" s="5" t="s">
        <v>16364</v>
      </c>
      <c r="F2184" s="5" t="s">
        <v>212</v>
      </c>
      <c r="G2184" s="5" t="s">
        <v>16365</v>
      </c>
      <c r="H2184" s="6" t="s">
        <v>16366</v>
      </c>
      <c r="K2184" s="5" t="s">
        <v>14944</v>
      </c>
      <c r="M2184" s="5" t="s">
        <v>16367</v>
      </c>
      <c r="N2184" s="7" t="s">
        <v>16368</v>
      </c>
      <c r="O2184" s="8" t="str">
        <f>HYPERLINK("https://drive.google.com/file/d/1iJnbDoMAlwBKnbndolrnIphLhqmJB6jo/view?usp=drivesdk","2183_RINA SHINTAWATY, S.M. _ SERTIFIKAT BIMTEK IPASN BerAKHLASK")</f>
        <v>2183_RINA SHINTAWATY, S.M. _ SERTIFIKAT BIMTEK IPASN BerAKHLASK</v>
      </c>
      <c r="P2184" s="5" t="s">
        <v>16358</v>
      </c>
      <c r="Q2184" s="5"/>
      <c r="R2184" s="5"/>
      <c r="S2184" s="5"/>
      <c r="T2184" s="5"/>
    </row>
    <row r="2185" hidden="1">
      <c r="A2185" s="4">
        <v>45534.33908447917</v>
      </c>
      <c r="B2185" s="5" t="s">
        <v>19</v>
      </c>
      <c r="C2185" s="5" t="s">
        <v>3471</v>
      </c>
      <c r="E2185" s="5" t="s">
        <v>16369</v>
      </c>
      <c r="F2185" s="5" t="s">
        <v>375</v>
      </c>
      <c r="G2185" s="5" t="s">
        <v>16370</v>
      </c>
      <c r="H2185" s="6" t="s">
        <v>16371</v>
      </c>
      <c r="K2185" s="5" t="s">
        <v>14944</v>
      </c>
      <c r="M2185" s="5" t="s">
        <v>16372</v>
      </c>
      <c r="N2185" s="7" t="s">
        <v>16373</v>
      </c>
      <c r="O2185" s="8" t="str">
        <f>HYPERLINK("https://drive.google.com/file/d/1Npj07ZxwTERbKtCTvgOJgKCCjR74jeMP/view?usp=drivesdk","2184_DARMIYANI _ SERTIFIKAT BIMTEK IPASN BerAKHLASK")</f>
        <v>2184_DARMIYANI _ SERTIFIKAT BIMTEK IPASN BerAKHLASK</v>
      </c>
      <c r="P2185" s="5" t="s">
        <v>16358</v>
      </c>
      <c r="Q2185" s="5"/>
      <c r="R2185" s="5"/>
      <c r="S2185" s="5"/>
      <c r="T2185" s="5"/>
    </row>
    <row r="2186">
      <c r="A2186" s="4">
        <v>45534.33910293982</v>
      </c>
      <c r="B2186" s="5" t="s">
        <v>34</v>
      </c>
      <c r="D2186" s="5" t="s">
        <v>35</v>
      </c>
      <c r="E2186" s="5" t="s">
        <v>16374</v>
      </c>
      <c r="F2186" s="5" t="s">
        <v>72</v>
      </c>
      <c r="G2186" s="5" t="s">
        <v>16375</v>
      </c>
      <c r="H2186" s="6" t="s">
        <v>16376</v>
      </c>
      <c r="K2186" s="5" t="s">
        <v>14944</v>
      </c>
      <c r="M2186" s="5" t="s">
        <v>16377</v>
      </c>
      <c r="N2186" s="7" t="s">
        <v>16378</v>
      </c>
      <c r="O2186" s="8" t="str">
        <f>HYPERLINK("https://drive.google.com/file/d/17-J0nR85v06aPP5L8g7nF-cnmDhNN5lH/view?usp=drivesdk","2185_ERNI HERLINAWATI,ST _ SERTIFIKAT BIMTEK IPASN BerAKHLASK")</f>
        <v>2185_ERNI HERLINAWATI,ST _ SERTIFIKAT BIMTEK IPASN BerAKHLASK</v>
      </c>
      <c r="P2186" s="5" t="s">
        <v>16358</v>
      </c>
      <c r="Q2186" s="5"/>
      <c r="R2186" s="5"/>
      <c r="S2186" s="5"/>
      <c r="T2186" s="5"/>
    </row>
    <row r="2187">
      <c r="A2187" s="4">
        <v>45534.339103923616</v>
      </c>
      <c r="B2187" s="5" t="s">
        <v>34</v>
      </c>
      <c r="D2187" s="5" t="s">
        <v>996</v>
      </c>
      <c r="E2187" s="5" t="s">
        <v>16379</v>
      </c>
      <c r="F2187" s="5" t="s">
        <v>120</v>
      </c>
      <c r="G2187" s="5" t="s">
        <v>16380</v>
      </c>
      <c r="H2187" s="6" t="s">
        <v>16381</v>
      </c>
      <c r="K2187" s="5" t="s">
        <v>14944</v>
      </c>
      <c r="M2187" s="5" t="s">
        <v>16382</v>
      </c>
      <c r="N2187" s="7" t="s">
        <v>16383</v>
      </c>
      <c r="O2187" s="8" t="str">
        <f>HYPERLINK("https://drive.google.com/file/d/1qvnYkSdlk5b21xfj0QtBmV0psMaaBSlW/view?usp=drivesdk","2186_MUHAMMAD, SH, MH _ SERTIFIKAT BIMTEK IPASN BerAKHLASK")</f>
        <v>2186_MUHAMMAD, SH, MH _ SERTIFIKAT BIMTEK IPASN BerAKHLASK</v>
      </c>
      <c r="P2187" s="5" t="s">
        <v>16358</v>
      </c>
      <c r="Q2187" s="5"/>
      <c r="R2187" s="5"/>
      <c r="S2187" s="5"/>
      <c r="T2187" s="5"/>
    </row>
    <row r="2188">
      <c r="A2188" s="4">
        <v>45534.33911770833</v>
      </c>
      <c r="B2188" s="5" t="s">
        <v>34</v>
      </c>
      <c r="D2188" s="5" t="s">
        <v>6232</v>
      </c>
      <c r="E2188" s="5" t="s">
        <v>16384</v>
      </c>
      <c r="F2188" s="5" t="s">
        <v>524</v>
      </c>
      <c r="G2188" s="5" t="s">
        <v>16385</v>
      </c>
      <c r="H2188" s="6" t="s">
        <v>16386</v>
      </c>
      <c r="K2188" s="5" t="s">
        <v>14944</v>
      </c>
      <c r="M2188" s="5" t="s">
        <v>16387</v>
      </c>
      <c r="N2188" s="7" t="s">
        <v>16388</v>
      </c>
      <c r="O2188" s="8" t="str">
        <f>HYPERLINK("https://drive.google.com/file/d/18QYtvt_yIcnn5VGewNmqGfXXbIro8ivO/view?usp=drivesdk","2187_DAYEN SARI, S.A.B _ SERTIFIKAT BIMTEK IPASN BerAKHLASK")</f>
        <v>2187_DAYEN SARI, S.A.B _ SERTIFIKAT BIMTEK IPASN BerAKHLASK</v>
      </c>
      <c r="P2188" s="5" t="s">
        <v>16389</v>
      </c>
      <c r="Q2188" s="5"/>
      <c r="R2188" s="5"/>
      <c r="S2188" s="5"/>
      <c r="T2188" s="5"/>
    </row>
    <row r="2189">
      <c r="A2189" s="4">
        <v>45534.33912225695</v>
      </c>
      <c r="B2189" s="5" t="s">
        <v>34</v>
      </c>
      <c r="D2189" s="5" t="s">
        <v>9020</v>
      </c>
      <c r="E2189" s="5" t="s">
        <v>16390</v>
      </c>
      <c r="F2189" s="5" t="s">
        <v>72</v>
      </c>
      <c r="G2189" s="5" t="s">
        <v>16391</v>
      </c>
      <c r="H2189" s="6" t="s">
        <v>16392</v>
      </c>
      <c r="K2189" s="5" t="s">
        <v>14944</v>
      </c>
      <c r="M2189" s="5" t="s">
        <v>16393</v>
      </c>
      <c r="N2189" s="7" t="s">
        <v>16394</v>
      </c>
      <c r="O2189" s="8" t="str">
        <f>HYPERLINK("https://drive.google.com/file/d/19sDzAfSBoyGw7xcLMf-czk0hohvOQov4/view?usp=drivesdk","2188_SITI YANTI HULU _ SERTIFIKAT BIMTEK IPASN BerAKHLASK")</f>
        <v>2188_SITI YANTI HULU _ SERTIFIKAT BIMTEK IPASN BerAKHLASK</v>
      </c>
      <c r="P2189" s="5" t="s">
        <v>16389</v>
      </c>
      <c r="Q2189" s="5"/>
      <c r="R2189" s="5"/>
      <c r="S2189" s="5"/>
      <c r="T2189" s="5"/>
    </row>
    <row r="2190">
      <c r="A2190" s="4">
        <v>45534.3391225</v>
      </c>
      <c r="B2190" s="5" t="s">
        <v>34</v>
      </c>
      <c r="D2190" s="5" t="s">
        <v>4775</v>
      </c>
      <c r="E2190" s="5" t="s">
        <v>16395</v>
      </c>
      <c r="F2190" s="5" t="s">
        <v>212</v>
      </c>
      <c r="G2190" s="5" t="s">
        <v>16396</v>
      </c>
      <c r="H2190" s="6" t="s">
        <v>16397</v>
      </c>
      <c r="K2190" s="5" t="s">
        <v>14944</v>
      </c>
      <c r="M2190" s="5" t="s">
        <v>16398</v>
      </c>
      <c r="N2190" s="7" t="s">
        <v>16399</v>
      </c>
      <c r="O2190" s="8" t="str">
        <f>HYPERLINK("https://drive.google.com/file/d/1Itah3dD1fEdY64Z9Z0eb9Ai724F3vpFk/view?usp=drivesdk","2189_HERY SETYOKO _ SERTIFIKAT BIMTEK IPASN BerAKHLASK")</f>
        <v>2189_HERY SETYOKO _ SERTIFIKAT BIMTEK IPASN BerAKHLASK</v>
      </c>
      <c r="P2190" s="5" t="s">
        <v>16389</v>
      </c>
      <c r="Q2190" s="5"/>
      <c r="R2190" s="5"/>
      <c r="S2190" s="5"/>
      <c r="T2190" s="5"/>
    </row>
    <row r="2191">
      <c r="A2191" s="4">
        <v>45534.33907991898</v>
      </c>
      <c r="B2191" s="5" t="s">
        <v>34</v>
      </c>
      <c r="D2191" s="5" t="s">
        <v>2903</v>
      </c>
      <c r="E2191" s="5" t="s">
        <v>16400</v>
      </c>
      <c r="F2191" s="5" t="s">
        <v>212</v>
      </c>
      <c r="G2191" s="5" t="s">
        <v>16401</v>
      </c>
      <c r="H2191" s="6" t="s">
        <v>16402</v>
      </c>
      <c r="K2191" s="5" t="s">
        <v>14944</v>
      </c>
      <c r="M2191" s="5" t="s">
        <v>16403</v>
      </c>
      <c r="N2191" s="7" t="s">
        <v>16404</v>
      </c>
      <c r="O2191" s="8" t="str">
        <f>HYPERLINK("https://drive.google.com/file/d/1pnwVczjvrADATVzQttUGaMr0p-2uvzEO/view?usp=drivesdk","2190_ISMALINDA _ SERTIFIKAT BIMTEK IPASN BerAKHLASK")</f>
        <v>2190_ISMALINDA _ SERTIFIKAT BIMTEK IPASN BerAKHLASK</v>
      </c>
      <c r="P2191" s="5" t="s">
        <v>16389</v>
      </c>
      <c r="Q2191" s="5"/>
      <c r="R2191" s="5"/>
      <c r="S2191" s="5"/>
      <c r="T2191" s="5"/>
    </row>
    <row r="2192">
      <c r="A2192" s="4">
        <v>45534.339087361106</v>
      </c>
      <c r="B2192" s="5" t="s">
        <v>34</v>
      </c>
      <c r="D2192" s="5" t="s">
        <v>9020</v>
      </c>
      <c r="E2192" s="5" t="s">
        <v>16405</v>
      </c>
      <c r="F2192" s="5" t="s">
        <v>375</v>
      </c>
      <c r="G2192" s="5" t="s">
        <v>16406</v>
      </c>
      <c r="H2192" s="6" t="s">
        <v>16407</v>
      </c>
      <c r="K2192" s="5" t="s">
        <v>14944</v>
      </c>
      <c r="M2192" s="5" t="s">
        <v>16408</v>
      </c>
      <c r="N2192" s="7" t="s">
        <v>16409</v>
      </c>
      <c r="O2192" s="8" t="str">
        <f>HYPERLINK("https://drive.google.com/file/d/1xlBr5Ghd3-xH1X2iMIw40w1y-b8oseT0/view?usp=drivesdk","2191_Junita Lisbet Sihotang  _ SERTIFIKAT BIMTEK IPASN BerAKHLASK")</f>
        <v>2191_Junita Lisbet Sihotang  _ SERTIFIKAT BIMTEK IPASN BerAKHLASK</v>
      </c>
      <c r="P2192" s="5" t="s">
        <v>16389</v>
      </c>
      <c r="Q2192" s="5"/>
      <c r="R2192" s="5"/>
      <c r="S2192" s="5"/>
      <c r="T2192" s="5"/>
    </row>
    <row r="2193">
      <c r="A2193" s="4">
        <v>45534.33908885416</v>
      </c>
      <c r="B2193" s="5" t="s">
        <v>34</v>
      </c>
      <c r="D2193" s="5" t="s">
        <v>4775</v>
      </c>
      <c r="E2193" s="5" t="s">
        <v>16410</v>
      </c>
      <c r="F2193" s="5" t="s">
        <v>328</v>
      </c>
      <c r="G2193" s="5" t="s">
        <v>16411</v>
      </c>
      <c r="H2193" s="6" t="s">
        <v>16412</v>
      </c>
      <c r="K2193" s="5" t="s">
        <v>14944</v>
      </c>
      <c r="M2193" s="5" t="s">
        <v>16413</v>
      </c>
      <c r="N2193" s="7" t="s">
        <v>16414</v>
      </c>
      <c r="O2193" s="8" t="str">
        <f>HYPERLINK("https://drive.google.com/file/d/1GIKuThejXsHVRfDFkdgbNXFB3Z6sYzIm/view?usp=drivesdk","2192_SUTIKNO _ SERTIFIKAT BIMTEK IPASN BerAKHLASK")</f>
        <v>2192_SUTIKNO _ SERTIFIKAT BIMTEK IPASN BerAKHLASK</v>
      </c>
      <c r="P2193" s="5" t="s">
        <v>16389</v>
      </c>
      <c r="Q2193" s="5"/>
      <c r="R2193" s="5"/>
      <c r="S2193" s="5"/>
      <c r="T2193" s="5"/>
    </row>
    <row r="2194">
      <c r="A2194" s="4">
        <v>45534.33908967592</v>
      </c>
      <c r="B2194" s="5" t="s">
        <v>34</v>
      </c>
      <c r="D2194" s="5" t="s">
        <v>9020</v>
      </c>
      <c r="E2194" s="5" t="s">
        <v>16415</v>
      </c>
      <c r="F2194" s="5" t="s">
        <v>108</v>
      </c>
      <c r="G2194" s="5" t="s">
        <v>16416</v>
      </c>
      <c r="H2194" s="6" t="s">
        <v>16417</v>
      </c>
      <c r="K2194" s="5" t="s">
        <v>14944</v>
      </c>
      <c r="M2194" s="5" t="s">
        <v>16418</v>
      </c>
      <c r="N2194" s="7" t="s">
        <v>16419</v>
      </c>
      <c r="O2194" s="8" t="str">
        <f>HYPERLINK("https://drive.google.com/file/d/1OVzbqCLUPhx668X1JEGKABCZrOACprSY/view?usp=drivesdk","2193_MURPITA _ SERTIFIKAT BIMTEK IPASN BerAKHLASK")</f>
        <v>2193_MURPITA _ SERTIFIKAT BIMTEK IPASN BerAKHLASK</v>
      </c>
      <c r="P2194" s="5" t="s">
        <v>16420</v>
      </c>
      <c r="Q2194" s="5"/>
      <c r="R2194" s="5"/>
      <c r="S2194" s="5"/>
      <c r="T2194" s="5"/>
    </row>
    <row r="2195">
      <c r="A2195" s="4">
        <v>45534.33909184027</v>
      </c>
      <c r="B2195" s="5" t="s">
        <v>34</v>
      </c>
      <c r="D2195" s="5" t="s">
        <v>2903</v>
      </c>
      <c r="E2195" s="5" t="s">
        <v>16421</v>
      </c>
      <c r="F2195" s="5" t="s">
        <v>524</v>
      </c>
      <c r="G2195" s="5" t="s">
        <v>16422</v>
      </c>
      <c r="H2195" s="6" t="s">
        <v>16423</v>
      </c>
      <c r="K2195" s="5" t="s">
        <v>14944</v>
      </c>
      <c r="M2195" s="5" t="s">
        <v>16424</v>
      </c>
      <c r="N2195" s="7" t="s">
        <v>16425</v>
      </c>
      <c r="O2195" s="8" t="str">
        <f>HYPERLINK("https://drive.google.com/file/d/19eH6foMHo_owSnor2K-UmSRr_GiMN5E2/view?usp=drivesdk","2194_YULIANTO, S.I.P _ SERTIFIKAT BIMTEK IPASN BerAKHLASK")</f>
        <v>2194_YULIANTO, S.I.P _ SERTIFIKAT BIMTEK IPASN BerAKHLASK</v>
      </c>
      <c r="P2195" s="5" t="s">
        <v>16420</v>
      </c>
      <c r="Q2195" s="5"/>
      <c r="R2195" s="5"/>
      <c r="S2195" s="5"/>
      <c r="T2195" s="5"/>
    </row>
    <row r="2196">
      <c r="A2196" s="4">
        <v>45534.33909355324</v>
      </c>
      <c r="B2196" s="5" t="s">
        <v>34</v>
      </c>
      <c r="D2196" s="5" t="s">
        <v>35</v>
      </c>
      <c r="E2196" s="5" t="s">
        <v>16426</v>
      </c>
      <c r="F2196" s="5" t="s">
        <v>37</v>
      </c>
      <c r="G2196" s="5" t="s">
        <v>16427</v>
      </c>
      <c r="H2196" s="6" t="s">
        <v>16428</v>
      </c>
      <c r="K2196" s="5" t="s">
        <v>14944</v>
      </c>
      <c r="M2196" s="5" t="s">
        <v>16429</v>
      </c>
      <c r="N2196" s="7" t="s">
        <v>16430</v>
      </c>
      <c r="O2196" s="8" t="str">
        <f>HYPERLINK("https://drive.google.com/file/d/1kkWYn3lxbPZx0VJZT-ZPIbFIzvWgTdQZ/view?usp=drivesdk","2195_CARMUN _ SERTIFIKAT BIMTEK IPASN BerAKHLASK")</f>
        <v>2195_CARMUN _ SERTIFIKAT BIMTEK IPASN BerAKHLASK</v>
      </c>
      <c r="P2196" s="5" t="s">
        <v>16420</v>
      </c>
      <c r="Q2196" s="5"/>
      <c r="R2196" s="5"/>
      <c r="S2196" s="5"/>
      <c r="T2196" s="5"/>
    </row>
    <row r="2197">
      <c r="A2197" s="4">
        <v>45534.33912700231</v>
      </c>
      <c r="B2197" s="5" t="s">
        <v>34</v>
      </c>
      <c r="D2197" s="5" t="s">
        <v>604</v>
      </c>
      <c r="E2197" s="5" t="s">
        <v>16431</v>
      </c>
      <c r="F2197" s="5" t="s">
        <v>212</v>
      </c>
      <c r="G2197" s="5" t="s">
        <v>16432</v>
      </c>
      <c r="H2197" s="6" t="s">
        <v>16433</v>
      </c>
      <c r="K2197" s="5" t="s">
        <v>14944</v>
      </c>
      <c r="M2197" s="5" t="s">
        <v>16434</v>
      </c>
      <c r="N2197" s="7" t="s">
        <v>16435</v>
      </c>
      <c r="O2197" s="8" t="str">
        <f>HYPERLINK("https://drive.google.com/file/d/12Yz0zLPEtZPT-bwrl_mZv3Zt-bHlX4Bo/view?usp=drivesdk","2196_SUGIATI _ SERTIFIKAT BIMTEK IPASN BerAKHLASK")</f>
        <v>2196_SUGIATI _ SERTIFIKAT BIMTEK IPASN BerAKHLASK</v>
      </c>
      <c r="P2197" s="5" t="s">
        <v>16420</v>
      </c>
      <c r="Q2197" s="5"/>
      <c r="R2197" s="5"/>
      <c r="S2197" s="5"/>
      <c r="T2197" s="5"/>
    </row>
    <row r="2198">
      <c r="A2198" s="4">
        <v>45534.339127430554</v>
      </c>
      <c r="B2198" s="5" t="s">
        <v>34</v>
      </c>
      <c r="D2198" s="5" t="s">
        <v>4775</v>
      </c>
      <c r="E2198" s="5" t="s">
        <v>16436</v>
      </c>
      <c r="F2198" s="5" t="s">
        <v>212</v>
      </c>
      <c r="G2198" s="5" t="s">
        <v>16437</v>
      </c>
      <c r="H2198" s="6" t="s">
        <v>16438</v>
      </c>
      <c r="K2198" s="5" t="s">
        <v>14944</v>
      </c>
      <c r="M2198" s="5" t="s">
        <v>16439</v>
      </c>
      <c r="N2198" s="7" t="s">
        <v>16440</v>
      </c>
      <c r="O2198" s="8" t="str">
        <f>HYPERLINK("https://drive.google.com/file/d/1qd28MTxbE7ASwqkvXgujW0shyc-pnos5/view?usp=drivesdk","2197_KUSDIYANTO _ SERTIFIKAT BIMTEK IPASN BerAKHLASK")</f>
        <v>2197_KUSDIYANTO _ SERTIFIKAT BIMTEK IPASN BerAKHLASK</v>
      </c>
      <c r="P2198" s="5" t="s">
        <v>16420</v>
      </c>
      <c r="Q2198" s="5"/>
      <c r="R2198" s="5"/>
      <c r="S2198" s="5"/>
      <c r="T2198" s="5"/>
    </row>
    <row r="2199">
      <c r="A2199" s="4">
        <v>45534.339129409724</v>
      </c>
      <c r="B2199" s="5" t="s">
        <v>34</v>
      </c>
      <c r="D2199" s="5" t="s">
        <v>1206</v>
      </c>
      <c r="E2199" s="5" t="s">
        <v>16441</v>
      </c>
      <c r="F2199" s="5" t="s">
        <v>15386</v>
      </c>
      <c r="G2199" s="5" t="s">
        <v>16442</v>
      </c>
      <c r="H2199" s="6" t="s">
        <v>16443</v>
      </c>
      <c r="K2199" s="5" t="s">
        <v>16444</v>
      </c>
      <c r="M2199" s="5" t="s">
        <v>16445</v>
      </c>
      <c r="N2199" s="7" t="s">
        <v>16446</v>
      </c>
      <c r="O2199" s="8" t="str">
        <f>HYPERLINK("https://drive.google.com/file/d/15_vM7dWRVjWrr5KhSAMOeeLrJMuRn7tz/view?usp=drivesdk","2198_SUMINI _ SERTIFIKAT BIMTEK IPASN BerAKHLASK")</f>
        <v>2198_SUMINI _ SERTIFIKAT BIMTEK IPASN BerAKHLASK</v>
      </c>
      <c r="P2199" s="5" t="s">
        <v>16420</v>
      </c>
      <c r="Q2199" s="5"/>
      <c r="R2199" s="5"/>
      <c r="S2199" s="5"/>
      <c r="T2199" s="5"/>
    </row>
    <row r="2200">
      <c r="A2200" s="4">
        <v>45534.33912988426</v>
      </c>
      <c r="B2200" s="5" t="s">
        <v>34</v>
      </c>
      <c r="D2200" s="5" t="s">
        <v>4775</v>
      </c>
      <c r="E2200" s="5" t="s">
        <v>16447</v>
      </c>
      <c r="F2200" s="5" t="s">
        <v>72</v>
      </c>
      <c r="G2200" s="5" t="s">
        <v>16448</v>
      </c>
      <c r="H2200" s="6" t="s">
        <v>16449</v>
      </c>
      <c r="K2200" s="5" t="s">
        <v>16444</v>
      </c>
      <c r="M2200" s="5" t="s">
        <v>16450</v>
      </c>
      <c r="N2200" s="7" t="s">
        <v>16451</v>
      </c>
      <c r="O2200" s="8" t="str">
        <f>HYPERLINK("https://drive.google.com/file/d/1E9N1nv0K2_O-B3KyN1EciYtF4CFm4_PK/view?usp=drivesdk","2199_SULASTRI, AMD _ SERTIFIKAT BIMTEK IPASN BerAKHLASK")</f>
        <v>2199_SULASTRI, AMD _ SERTIFIKAT BIMTEK IPASN BerAKHLASK</v>
      </c>
      <c r="P2200" s="5" t="s">
        <v>16452</v>
      </c>
      <c r="Q2200" s="5"/>
      <c r="R2200" s="5"/>
      <c r="S2200" s="5"/>
      <c r="T2200" s="5"/>
    </row>
    <row r="2201">
      <c r="A2201" s="4">
        <v>45534.33913393518</v>
      </c>
      <c r="B2201" s="5" t="s">
        <v>34</v>
      </c>
      <c r="D2201" s="5" t="s">
        <v>996</v>
      </c>
      <c r="E2201" s="5" t="s">
        <v>16453</v>
      </c>
      <c r="F2201" s="5" t="s">
        <v>37</v>
      </c>
      <c r="G2201" s="5" t="s">
        <v>16454</v>
      </c>
      <c r="H2201" s="6" t="s">
        <v>16455</v>
      </c>
      <c r="K2201" s="5" t="s">
        <v>16444</v>
      </c>
      <c r="M2201" s="5" t="s">
        <v>16456</v>
      </c>
      <c r="N2201" s="7" t="s">
        <v>16457</v>
      </c>
      <c r="O2201" s="8" t="str">
        <f>HYPERLINK("https://drive.google.com/file/d/1WTkF-wGrqOSikC6Zbg-aIAETGk5nBgZK/view?usp=drivesdk","2200_SRI RAHAYU _ SERTIFIKAT BIMTEK IPASN BerAKHLASK")</f>
        <v>2200_SRI RAHAYU _ SERTIFIKAT BIMTEK IPASN BerAKHLASK</v>
      </c>
      <c r="P2201" s="5" t="s">
        <v>16452</v>
      </c>
      <c r="Q2201" s="5"/>
      <c r="R2201" s="5"/>
      <c r="S2201" s="5"/>
      <c r="T2201" s="5"/>
    </row>
    <row r="2202">
      <c r="A2202" s="4">
        <v>45534.33913822917</v>
      </c>
      <c r="B2202" s="5" t="s">
        <v>34</v>
      </c>
      <c r="D2202" s="5" t="s">
        <v>9020</v>
      </c>
      <c r="E2202" s="5" t="s">
        <v>16458</v>
      </c>
      <c r="F2202" s="5" t="s">
        <v>108</v>
      </c>
      <c r="G2202" s="5" t="s">
        <v>16459</v>
      </c>
      <c r="H2202" s="6" t="s">
        <v>16460</v>
      </c>
      <c r="K2202" s="5" t="s">
        <v>16444</v>
      </c>
      <c r="M2202" s="5" t="s">
        <v>16461</v>
      </c>
      <c r="N2202" s="7" t="s">
        <v>16462</v>
      </c>
      <c r="O2202" s="8" t="str">
        <f>HYPERLINK("https://drive.google.com/file/d/1QTaHAGL2so6b7rgEuRW5HqOIjj6h19RM/view?usp=drivesdk","2201_LYPPMAN DEDY BUTARBUTAR, S. KOM _ SERTIFIKAT BIMTEK IPASN BerAKHLASK")</f>
        <v>2201_LYPPMAN DEDY BUTARBUTAR, S. KOM _ SERTIFIKAT BIMTEK IPASN BerAKHLASK</v>
      </c>
      <c r="P2202" s="5" t="s">
        <v>16452</v>
      </c>
      <c r="Q2202" s="5"/>
      <c r="R2202" s="5"/>
      <c r="S2202" s="5"/>
      <c r="T2202" s="5"/>
    </row>
    <row r="2203">
      <c r="A2203" s="4">
        <v>45534.3391400463</v>
      </c>
      <c r="B2203" s="5" t="s">
        <v>34</v>
      </c>
      <c r="D2203" s="5" t="s">
        <v>1456</v>
      </c>
      <c r="E2203" s="5" t="s">
        <v>16463</v>
      </c>
      <c r="F2203" s="5" t="s">
        <v>37</v>
      </c>
      <c r="G2203" s="5" t="s">
        <v>16464</v>
      </c>
      <c r="H2203" s="6" t="s">
        <v>16465</v>
      </c>
      <c r="K2203" s="5" t="s">
        <v>16444</v>
      </c>
      <c r="M2203" s="5" t="s">
        <v>16466</v>
      </c>
      <c r="N2203" s="7" t="s">
        <v>16467</v>
      </c>
      <c r="O2203" s="8" t="str">
        <f>HYPERLINK("https://drive.google.com/file/d/1auDIwkChJ8B2-Hh2RkW_ny_EtnDfyrmo/view?usp=drivesdk","2202_KARTINI, S.M _ SERTIFIKAT BIMTEK IPASN BerAKHLASK")</f>
        <v>2202_KARTINI, S.M _ SERTIFIKAT BIMTEK IPASN BerAKHLASK</v>
      </c>
      <c r="P2203" s="5" t="s">
        <v>16452</v>
      </c>
      <c r="Q2203" s="5"/>
      <c r="R2203" s="5"/>
      <c r="S2203" s="5"/>
      <c r="T2203" s="5"/>
    </row>
    <row r="2204">
      <c r="A2204" s="4">
        <v>45534.339141944445</v>
      </c>
      <c r="B2204" s="5" t="s">
        <v>34</v>
      </c>
      <c r="D2204" s="5" t="s">
        <v>4775</v>
      </c>
      <c r="E2204" s="5" t="s">
        <v>16468</v>
      </c>
      <c r="F2204" s="5" t="s">
        <v>212</v>
      </c>
      <c r="G2204" s="5" t="s">
        <v>16469</v>
      </c>
      <c r="H2204" s="6" t="s">
        <v>16470</v>
      </c>
      <c r="K2204" s="5" t="s">
        <v>16444</v>
      </c>
      <c r="M2204" s="5" t="s">
        <v>16471</v>
      </c>
      <c r="N2204" s="7" t="s">
        <v>16472</v>
      </c>
      <c r="O2204" s="8" t="str">
        <f>HYPERLINK("https://drive.google.com/file/d/1FDC4gZlq6LGcSH-xwGyGbYl4qtEzb1AU/view?usp=drivesdk","2203_DEWI PRIHASTUTI, AMK _ SERTIFIKAT BIMTEK IPASN BerAKHLASK")</f>
        <v>2203_DEWI PRIHASTUTI, AMK _ SERTIFIKAT BIMTEK IPASN BerAKHLASK</v>
      </c>
      <c r="P2204" s="5" t="s">
        <v>16452</v>
      </c>
      <c r="Q2204" s="5"/>
      <c r="R2204" s="5"/>
      <c r="S2204" s="5"/>
      <c r="T2204" s="5"/>
    </row>
    <row r="2205" hidden="1">
      <c r="A2205" s="4">
        <v>45534.33913547454</v>
      </c>
      <c r="B2205" s="5" t="s">
        <v>19</v>
      </c>
      <c r="C2205" s="5" t="s">
        <v>11593</v>
      </c>
      <c r="E2205" s="5" t="s">
        <v>16473</v>
      </c>
      <c r="F2205" s="5" t="s">
        <v>212</v>
      </c>
      <c r="G2205" s="5" t="s">
        <v>16474</v>
      </c>
      <c r="H2205" s="6" t="s">
        <v>16475</v>
      </c>
      <c r="K2205" s="5" t="s">
        <v>16444</v>
      </c>
      <c r="M2205" s="5" t="s">
        <v>16476</v>
      </c>
      <c r="N2205" s="7" t="s">
        <v>16477</v>
      </c>
      <c r="O2205" s="8" t="str">
        <f>HYPERLINK("https://drive.google.com/file/d/1qmQ3CyxFGEShNXOYQpumagLcbFkUe6Mz/view?usp=drivesdk","2204_SUPRIHANI  _ SERTIFIKAT BIMTEK IPASN BerAKHLASK")</f>
        <v>2204_SUPRIHANI  _ SERTIFIKAT BIMTEK IPASN BerAKHLASK</v>
      </c>
      <c r="P2205" s="5" t="s">
        <v>16478</v>
      </c>
      <c r="Q2205" s="5"/>
      <c r="R2205" s="5"/>
      <c r="S2205" s="5"/>
      <c r="T2205" s="5"/>
    </row>
    <row r="2206" hidden="1">
      <c r="A2206" s="4">
        <v>45534.33914520833</v>
      </c>
      <c r="B2206" s="5" t="s">
        <v>19</v>
      </c>
      <c r="C2206" s="5" t="s">
        <v>11593</v>
      </c>
      <c r="E2206" s="5" t="s">
        <v>16479</v>
      </c>
      <c r="F2206" s="5" t="s">
        <v>108</v>
      </c>
      <c r="G2206" s="5" t="s">
        <v>16480</v>
      </c>
      <c r="H2206" s="6" t="s">
        <v>16481</v>
      </c>
      <c r="K2206" s="5" t="s">
        <v>16444</v>
      </c>
      <c r="M2206" s="5" t="s">
        <v>16482</v>
      </c>
      <c r="N2206" s="7" t="s">
        <v>16483</v>
      </c>
      <c r="O2206" s="8" t="str">
        <f>HYPERLINK("https://drive.google.com/file/d/1a14n_5LiPsF9UA9CH77MSf0cuG5pjqs4/view?usp=drivesdk","2205_EDI WIBOWO, S.H. _ SERTIFIKAT BIMTEK IPASN BerAKHLASK")</f>
        <v>2205_EDI WIBOWO, S.H. _ SERTIFIKAT BIMTEK IPASN BerAKHLASK</v>
      </c>
      <c r="P2206" s="5" t="s">
        <v>16478</v>
      </c>
      <c r="Q2206" s="5"/>
      <c r="R2206" s="5"/>
      <c r="S2206" s="5"/>
      <c r="T2206" s="5"/>
    </row>
    <row r="2207">
      <c r="A2207" s="4">
        <v>45534.339146886574</v>
      </c>
      <c r="B2207" s="5" t="s">
        <v>34</v>
      </c>
      <c r="D2207" s="5" t="s">
        <v>4775</v>
      </c>
      <c r="E2207" s="5" t="s">
        <v>16484</v>
      </c>
      <c r="F2207" s="5" t="s">
        <v>72</v>
      </c>
      <c r="G2207" s="5" t="s">
        <v>16485</v>
      </c>
      <c r="H2207" s="6" t="s">
        <v>16486</v>
      </c>
      <c r="K2207" s="5" t="s">
        <v>16444</v>
      </c>
      <c r="M2207" s="5" t="s">
        <v>16487</v>
      </c>
      <c r="N2207" s="7" t="s">
        <v>16488</v>
      </c>
      <c r="O2207" s="8" t="str">
        <f>HYPERLINK("https://drive.google.com/file/d/1vf1d-Z8r3HVGCHAEDdFoC4-OK5MPY4rv/view?usp=drivesdk","2206_MARTINUS WAHYU ANDRIANTO, SE. _ SERTIFIKAT BIMTEK IPASN BerAKHLASK")</f>
        <v>2206_MARTINUS WAHYU ANDRIANTO, SE. _ SERTIFIKAT BIMTEK IPASN BerAKHLASK</v>
      </c>
      <c r="P2207" s="5" t="s">
        <v>16478</v>
      </c>
      <c r="Q2207" s="5"/>
      <c r="R2207" s="5"/>
      <c r="S2207" s="5"/>
      <c r="T2207" s="5"/>
    </row>
    <row r="2208">
      <c r="A2208" s="4">
        <v>45534.33915621528</v>
      </c>
      <c r="B2208" s="5" t="s">
        <v>34</v>
      </c>
      <c r="D2208" s="5" t="s">
        <v>35</v>
      </c>
      <c r="E2208" s="5" t="s">
        <v>16489</v>
      </c>
      <c r="F2208" s="5" t="s">
        <v>37</v>
      </c>
      <c r="G2208" s="5" t="s">
        <v>16490</v>
      </c>
      <c r="H2208" s="6" t="s">
        <v>16491</v>
      </c>
      <c r="K2208" s="5" t="s">
        <v>16444</v>
      </c>
      <c r="M2208" s="5" t="s">
        <v>16492</v>
      </c>
      <c r="N2208" s="7" t="s">
        <v>16493</v>
      </c>
      <c r="O2208" s="8" t="str">
        <f>HYPERLINK("https://drive.google.com/file/d/1HR_4y76AHi_q8GGvzvGoRpuvYP6Oa7y3/view?usp=drivesdk","2207_CARSAD _ SERTIFIKAT BIMTEK IPASN BerAKHLASK")</f>
        <v>2207_CARSAD _ SERTIFIKAT BIMTEK IPASN BerAKHLASK</v>
      </c>
      <c r="P2208" s="5" t="s">
        <v>16478</v>
      </c>
      <c r="Q2208" s="5"/>
      <c r="R2208" s="5"/>
      <c r="S2208" s="5"/>
      <c r="T2208" s="5"/>
    </row>
    <row r="2209">
      <c r="A2209" s="4">
        <v>45534.33916444445</v>
      </c>
      <c r="B2209" s="5" t="s">
        <v>34</v>
      </c>
      <c r="D2209" s="5" t="s">
        <v>4775</v>
      </c>
      <c r="E2209" s="5" t="s">
        <v>16494</v>
      </c>
      <c r="F2209" s="5" t="s">
        <v>212</v>
      </c>
      <c r="G2209" s="5" t="s">
        <v>16495</v>
      </c>
      <c r="H2209" s="6" t="s">
        <v>16496</v>
      </c>
      <c r="K2209" s="5" t="s">
        <v>16444</v>
      </c>
      <c r="M2209" s="5" t="s">
        <v>16497</v>
      </c>
      <c r="N2209" s="7" t="s">
        <v>16498</v>
      </c>
      <c r="O2209" s="8" t="str">
        <f>HYPERLINK("https://drive.google.com/file/d/1HBefhpXIR5PC1W1BKP8DdVJdlreecghL/view?usp=drivesdk","2208_TRIYONO, SPD  _ SERTIFIKAT BIMTEK IPASN BerAKHLASK")</f>
        <v>2208_TRIYONO, SPD  _ SERTIFIKAT BIMTEK IPASN BerAKHLASK</v>
      </c>
      <c r="P2209" s="5" t="s">
        <v>16478</v>
      </c>
      <c r="Q2209" s="5"/>
      <c r="R2209" s="5"/>
      <c r="S2209" s="5"/>
      <c r="T2209" s="5"/>
    </row>
    <row r="2210">
      <c r="A2210" s="4">
        <v>45534.33916481481</v>
      </c>
      <c r="B2210" s="5" t="s">
        <v>34</v>
      </c>
      <c r="D2210" s="5" t="s">
        <v>996</v>
      </c>
      <c r="E2210" s="5" t="s">
        <v>16499</v>
      </c>
      <c r="F2210" s="5" t="s">
        <v>375</v>
      </c>
      <c r="G2210" s="5" t="s">
        <v>16500</v>
      </c>
      <c r="H2210" s="6" t="s">
        <v>16501</v>
      </c>
      <c r="K2210" s="5" t="s">
        <v>16444</v>
      </c>
      <c r="M2210" s="5" t="s">
        <v>16502</v>
      </c>
      <c r="N2210" s="7" t="s">
        <v>16503</v>
      </c>
      <c r="O2210" s="8" t="str">
        <f>HYPERLINK("https://drive.google.com/file/d/1eDZaqo-ncXyJe8yZiUbM0mbk19AZXizK/view?usp=drivesdk","2209_SITI HINDUN, S.SOS _ SERTIFIKAT BIMTEK IPASN BerAKHLASK")</f>
        <v>2209_SITI HINDUN, S.SOS _ SERTIFIKAT BIMTEK IPASN BerAKHLASK</v>
      </c>
      <c r="P2210" s="5" t="s">
        <v>16504</v>
      </c>
      <c r="Q2210" s="5"/>
      <c r="R2210" s="5"/>
      <c r="S2210" s="5"/>
      <c r="T2210" s="5"/>
    </row>
    <row r="2211">
      <c r="A2211" s="4">
        <v>45534.33917609954</v>
      </c>
      <c r="B2211" s="5" t="s">
        <v>34</v>
      </c>
      <c r="D2211" s="5" t="s">
        <v>4775</v>
      </c>
      <c r="E2211" s="5" t="s">
        <v>16505</v>
      </c>
      <c r="F2211" s="5" t="s">
        <v>375</v>
      </c>
      <c r="G2211" s="5" t="s">
        <v>16506</v>
      </c>
      <c r="H2211" s="6" t="s">
        <v>16507</v>
      </c>
      <c r="K2211" s="5" t="s">
        <v>16444</v>
      </c>
      <c r="M2211" s="5" t="s">
        <v>16508</v>
      </c>
      <c r="N2211" s="7" t="s">
        <v>16509</v>
      </c>
      <c r="O2211" s="8" t="str">
        <f>HYPERLINK("https://drive.google.com/file/d/1k8jpYdCQALe6H6rHGbYHyWDNG9aRgR6u/view?usp=drivesdk","2210_EKA RAHAYU _ SERTIFIKAT BIMTEK IPASN BerAKHLASK")</f>
        <v>2210_EKA RAHAYU _ SERTIFIKAT BIMTEK IPASN BerAKHLASK</v>
      </c>
      <c r="P2211" s="5" t="s">
        <v>16504</v>
      </c>
      <c r="Q2211" s="5"/>
      <c r="R2211" s="5"/>
      <c r="S2211" s="5"/>
      <c r="T2211" s="5"/>
    </row>
    <row r="2212" hidden="1">
      <c r="A2212" s="4">
        <v>45534.3391796412</v>
      </c>
      <c r="B2212" s="5" t="s">
        <v>19</v>
      </c>
      <c r="C2212" s="5" t="s">
        <v>20</v>
      </c>
      <c r="E2212" s="5" t="s">
        <v>16510</v>
      </c>
      <c r="F2212" s="5" t="s">
        <v>108</v>
      </c>
      <c r="G2212" s="5" t="s">
        <v>16511</v>
      </c>
      <c r="H2212" s="6" t="s">
        <v>16512</v>
      </c>
      <c r="K2212" s="5" t="s">
        <v>16444</v>
      </c>
      <c r="M2212" s="5" t="s">
        <v>16513</v>
      </c>
      <c r="N2212" s="7" t="s">
        <v>16514</v>
      </c>
      <c r="O2212" s="8" t="str">
        <f>HYPERLINK("https://drive.google.com/file/d/1y5I51quSnJfdWGu0r2xGN8C5UHgRtdxe/view?usp=drivesdk","2211_DALIMO _ SERTIFIKAT BIMTEK IPASN BerAKHLASK")</f>
        <v>2211_DALIMO _ SERTIFIKAT BIMTEK IPASN BerAKHLASK</v>
      </c>
      <c r="P2212" s="5" t="s">
        <v>16504</v>
      </c>
      <c r="Q2212" s="5"/>
      <c r="R2212" s="5"/>
      <c r="S2212" s="5"/>
      <c r="T2212" s="5"/>
    </row>
    <row r="2213">
      <c r="A2213" s="4">
        <v>45534.339181944444</v>
      </c>
      <c r="B2213" s="5" t="s">
        <v>34</v>
      </c>
      <c r="D2213" s="5" t="s">
        <v>4775</v>
      </c>
      <c r="E2213" s="5" t="s">
        <v>16515</v>
      </c>
      <c r="F2213" s="5" t="s">
        <v>37</v>
      </c>
      <c r="G2213" s="5" t="s">
        <v>16516</v>
      </c>
      <c r="H2213" s="6" t="s">
        <v>16517</v>
      </c>
      <c r="K2213" s="5" t="s">
        <v>16444</v>
      </c>
      <c r="M2213" s="5" t="s">
        <v>16518</v>
      </c>
      <c r="N2213" s="7" t="s">
        <v>16519</v>
      </c>
      <c r="O2213" s="8" t="str">
        <f>HYPERLINK("https://drive.google.com/file/d/1JoO-o7KKlsrRYuvMRBrPxnW1bAeuXTSY/view?usp=drivesdk","2212_AFAN GUNAWAN  _ SERTIFIKAT BIMTEK IPASN BerAKHLASK")</f>
        <v>2212_AFAN GUNAWAN  _ SERTIFIKAT BIMTEK IPASN BerAKHLASK</v>
      </c>
      <c r="P2213" s="5" t="s">
        <v>16504</v>
      </c>
      <c r="Q2213" s="5"/>
      <c r="R2213" s="5"/>
      <c r="S2213" s="5"/>
      <c r="T2213" s="5"/>
    </row>
    <row r="2214">
      <c r="A2214" s="4">
        <v>45534.33918190972</v>
      </c>
      <c r="B2214" s="5" t="s">
        <v>34</v>
      </c>
      <c r="D2214" s="5" t="s">
        <v>10444</v>
      </c>
      <c r="E2214" s="5" t="s">
        <v>16520</v>
      </c>
      <c r="F2214" s="5" t="s">
        <v>715</v>
      </c>
      <c r="G2214" s="5" t="s">
        <v>16521</v>
      </c>
      <c r="H2214" s="6" t="s">
        <v>16522</v>
      </c>
      <c r="K2214" s="5" t="s">
        <v>16444</v>
      </c>
      <c r="M2214" s="5" t="s">
        <v>16523</v>
      </c>
      <c r="N2214" s="7" t="s">
        <v>16524</v>
      </c>
      <c r="O2214" s="8" t="str">
        <f>HYPERLINK("https://drive.google.com/file/d/1mXw6vvYzTyiIWMBvfRFf1rD2wQIkiQ73/view?usp=drivesdk","2213_MIKRAT, SH _ SERTIFIKAT BIMTEK IPASN BerAKHLASK")</f>
        <v>2213_MIKRAT, SH _ SERTIFIKAT BIMTEK IPASN BerAKHLASK</v>
      </c>
      <c r="P2214" s="5" t="s">
        <v>16504</v>
      </c>
      <c r="Q2214" s="5"/>
      <c r="R2214" s="5"/>
      <c r="S2214" s="5"/>
      <c r="T2214" s="5"/>
    </row>
    <row r="2215">
      <c r="A2215" s="4">
        <v>45534.33918393518</v>
      </c>
      <c r="B2215" s="5" t="s">
        <v>34</v>
      </c>
      <c r="D2215" s="5" t="s">
        <v>580</v>
      </c>
      <c r="E2215" s="5" t="s">
        <v>16525</v>
      </c>
      <c r="F2215" s="5" t="s">
        <v>212</v>
      </c>
      <c r="G2215" s="5" t="s">
        <v>16526</v>
      </c>
      <c r="H2215" s="6" t="s">
        <v>16527</v>
      </c>
      <c r="K2215" s="5" t="s">
        <v>16444</v>
      </c>
      <c r="M2215" s="5" t="s">
        <v>16528</v>
      </c>
      <c r="N2215" s="7" t="s">
        <v>16529</v>
      </c>
      <c r="O2215" s="8" t="str">
        <f>HYPERLINK("https://drive.google.com/file/d/1KrejfMrs4rdAQfEnbEGQCGLzeQzH-3Ig/view?usp=drivesdk","2214_RINI SRI SUHARTININGSIH  _ SERTIFIKAT BIMTEK IPASN BerAKHLASK")</f>
        <v>2214_RINI SRI SUHARTININGSIH  _ SERTIFIKAT BIMTEK IPASN BerAKHLASK</v>
      </c>
      <c r="P2215" s="5" t="s">
        <v>16504</v>
      </c>
      <c r="Q2215" s="5"/>
      <c r="R2215" s="5"/>
      <c r="S2215" s="5"/>
      <c r="T2215" s="5"/>
    </row>
    <row r="2216">
      <c r="A2216" s="4">
        <v>45534.33918539352</v>
      </c>
      <c r="B2216" s="5" t="s">
        <v>34</v>
      </c>
      <c r="D2216" s="5" t="s">
        <v>12978</v>
      </c>
      <c r="E2216" s="5" t="s">
        <v>16530</v>
      </c>
      <c r="F2216" s="5" t="s">
        <v>715</v>
      </c>
      <c r="G2216" s="5" t="s">
        <v>16531</v>
      </c>
      <c r="H2216" s="6" t="s">
        <v>16532</v>
      </c>
      <c r="K2216" s="5" t="s">
        <v>16444</v>
      </c>
      <c r="M2216" s="5" t="s">
        <v>16533</v>
      </c>
      <c r="N2216" s="7" t="s">
        <v>16534</v>
      </c>
      <c r="O2216" s="8" t="str">
        <f>HYPERLINK("https://drive.google.com/file/d/1-py59Gc1mtu8ZtK-TgfDrJX0lSaPqTu9/view?usp=drivesdk","2215_ROBY ABDURACHIM _ SERTIFIKAT BIMTEK IPASN BerAKHLASK")</f>
        <v>2215_ROBY ABDURACHIM _ SERTIFIKAT BIMTEK IPASN BerAKHLASK</v>
      </c>
      <c r="P2216" s="5" t="s">
        <v>16535</v>
      </c>
      <c r="Q2216" s="5"/>
      <c r="R2216" s="5"/>
      <c r="S2216" s="5"/>
      <c r="T2216" s="5"/>
    </row>
    <row r="2217" hidden="1">
      <c r="A2217" s="4">
        <v>45534.33918603009</v>
      </c>
      <c r="B2217" s="5" t="s">
        <v>19</v>
      </c>
      <c r="C2217" s="5" t="s">
        <v>1606</v>
      </c>
      <c r="E2217" s="5" t="s">
        <v>16536</v>
      </c>
      <c r="F2217" s="5" t="s">
        <v>108</v>
      </c>
      <c r="G2217" s="5" t="s">
        <v>16537</v>
      </c>
      <c r="H2217" s="6" t="s">
        <v>16538</v>
      </c>
      <c r="K2217" s="5" t="s">
        <v>16444</v>
      </c>
      <c r="M2217" s="5" t="s">
        <v>16539</v>
      </c>
      <c r="N2217" s="7" t="s">
        <v>16540</v>
      </c>
      <c r="O2217" s="8" t="str">
        <f>HYPERLINK("https://drive.google.com/file/d/1x8MkXC41s_b7dq1lpI1y9Ji56wIDuGht/view?usp=drivesdk","2216_ALI MURSALIN _ SERTIFIKAT BIMTEK IPASN BerAKHLASK")</f>
        <v>2216_ALI MURSALIN _ SERTIFIKAT BIMTEK IPASN BerAKHLASK</v>
      </c>
      <c r="P2217" s="5" t="s">
        <v>16535</v>
      </c>
      <c r="Q2217" s="5"/>
      <c r="R2217" s="5"/>
      <c r="S2217" s="5"/>
      <c r="T2217" s="5"/>
    </row>
    <row r="2218">
      <c r="A2218" s="4">
        <v>45534.33918616898</v>
      </c>
      <c r="B2218" s="5" t="s">
        <v>34</v>
      </c>
      <c r="D2218" s="5" t="s">
        <v>1206</v>
      </c>
      <c r="E2218" s="5" t="s">
        <v>16541</v>
      </c>
      <c r="F2218" s="5" t="s">
        <v>37</v>
      </c>
      <c r="G2218" s="5" t="s">
        <v>16542</v>
      </c>
      <c r="H2218" s="6" t="s">
        <v>16543</v>
      </c>
      <c r="K2218" s="5" t="s">
        <v>16444</v>
      </c>
      <c r="M2218" s="5" t="s">
        <v>16544</v>
      </c>
      <c r="N2218" s="7" t="s">
        <v>16545</v>
      </c>
      <c r="O2218" s="8" t="str">
        <f>HYPERLINK("https://drive.google.com/file/d/1QqZbqPj_i9NKdqMa2xwOCN7HWmYtveir/view?usp=drivesdk","2217_CONDRO _ SERTIFIKAT BIMTEK IPASN BerAKHLASK")</f>
        <v>2217_CONDRO _ SERTIFIKAT BIMTEK IPASN BerAKHLASK</v>
      </c>
      <c r="P2218" s="5" t="s">
        <v>16535</v>
      </c>
      <c r="Q2218" s="5"/>
      <c r="R2218" s="5"/>
      <c r="S2218" s="5"/>
      <c r="T2218" s="5"/>
    </row>
    <row r="2219">
      <c r="A2219" s="4">
        <v>45534.33918648148</v>
      </c>
      <c r="B2219" s="5" t="s">
        <v>34</v>
      </c>
      <c r="D2219" s="5" t="s">
        <v>1206</v>
      </c>
      <c r="E2219" s="5" t="s">
        <v>16546</v>
      </c>
      <c r="F2219" s="5" t="s">
        <v>212</v>
      </c>
      <c r="G2219" s="5" t="s">
        <v>16547</v>
      </c>
      <c r="H2219" s="6" t="s">
        <v>16548</v>
      </c>
      <c r="K2219" s="5" t="s">
        <v>16444</v>
      </c>
      <c r="M2219" s="5" t="s">
        <v>16549</v>
      </c>
      <c r="N2219" s="7" t="s">
        <v>16550</v>
      </c>
      <c r="O2219" s="8" t="str">
        <f>HYPERLINK("https://drive.google.com/file/d/1tlyp_L3Iv1nBgAfpe79Rd684F6bGx8V5/view?usp=drivesdk","2218_ELDARISTA PURBA _ SERTIFIKAT BIMTEK IPASN BerAKHLASK")</f>
        <v>2218_ELDARISTA PURBA _ SERTIFIKAT BIMTEK IPASN BerAKHLASK</v>
      </c>
      <c r="P2219" s="5" t="s">
        <v>16535</v>
      </c>
      <c r="Q2219" s="5"/>
      <c r="R2219" s="5"/>
      <c r="S2219" s="5"/>
      <c r="T2219" s="5"/>
    </row>
    <row r="2220">
      <c r="A2220" s="4">
        <v>45534.33918609953</v>
      </c>
      <c r="B2220" s="5" t="s">
        <v>34</v>
      </c>
      <c r="D2220" s="5" t="s">
        <v>6232</v>
      </c>
      <c r="E2220" s="5" t="s">
        <v>16551</v>
      </c>
      <c r="F2220" s="5" t="s">
        <v>37</v>
      </c>
      <c r="G2220" s="5" t="s">
        <v>16552</v>
      </c>
      <c r="H2220" s="6" t="s">
        <v>16553</v>
      </c>
      <c r="K2220" s="5" t="s">
        <v>16444</v>
      </c>
      <c r="M2220" s="5" t="s">
        <v>16554</v>
      </c>
      <c r="N2220" s="7" t="s">
        <v>16555</v>
      </c>
      <c r="O2220" s="8" t="str">
        <f>HYPERLINK("https://drive.google.com/file/d/1Ra2wGpwtG02sAubMBPHYV7dO9fwXuWCl/view?usp=drivesdk","2219_ILI YANTI _ SERTIFIKAT BIMTEK IPASN BerAKHLASK")</f>
        <v>2219_ILI YANTI _ SERTIFIKAT BIMTEK IPASN BerAKHLASK</v>
      </c>
      <c r="P2220" s="5" t="s">
        <v>16535</v>
      </c>
      <c r="Q2220" s="5"/>
      <c r="R2220" s="5"/>
      <c r="S2220" s="5"/>
      <c r="T2220" s="5"/>
    </row>
    <row r="2221">
      <c r="A2221" s="4">
        <v>45534.33919131944</v>
      </c>
      <c r="B2221" s="5" t="s">
        <v>34</v>
      </c>
      <c r="D2221" s="5" t="s">
        <v>4775</v>
      </c>
      <c r="E2221" s="5" t="s">
        <v>16556</v>
      </c>
      <c r="F2221" s="5" t="s">
        <v>212</v>
      </c>
      <c r="G2221" s="5" t="s">
        <v>16557</v>
      </c>
      <c r="H2221" s="6" t="s">
        <v>16558</v>
      </c>
      <c r="K2221" s="5" t="s">
        <v>16444</v>
      </c>
      <c r="M2221" s="5" t="s">
        <v>16559</v>
      </c>
      <c r="N2221" s="7" t="s">
        <v>16560</v>
      </c>
      <c r="O2221" s="8" t="str">
        <f>HYPERLINK("https://drive.google.com/file/d/1nYPuTmSMrdeyRJofoxDWkkH6-cwNMi09/view?usp=drivesdk","2220_ROCHIM, S.Psi _ SERTIFIKAT BIMTEK IPASN BerAKHLASK")</f>
        <v>2220_ROCHIM, S.Psi _ SERTIFIKAT BIMTEK IPASN BerAKHLASK</v>
      </c>
      <c r="P2221" s="5" t="s">
        <v>16535</v>
      </c>
      <c r="Q2221" s="5"/>
      <c r="R2221" s="5"/>
      <c r="S2221" s="5"/>
      <c r="T2221" s="5"/>
    </row>
    <row r="2222">
      <c r="A2222" s="4">
        <v>45534.339195416665</v>
      </c>
      <c r="B2222" s="5" t="s">
        <v>34</v>
      </c>
      <c r="D2222" s="5" t="s">
        <v>4775</v>
      </c>
      <c r="E2222" s="5" t="s">
        <v>16561</v>
      </c>
      <c r="F2222" s="5" t="s">
        <v>72</v>
      </c>
      <c r="G2222" s="5" t="s">
        <v>16562</v>
      </c>
      <c r="H2222" s="6" t="s">
        <v>16563</v>
      </c>
      <c r="K2222" s="5" t="s">
        <v>16444</v>
      </c>
      <c r="M2222" s="5" t="s">
        <v>16564</v>
      </c>
      <c r="N2222" s="7" t="s">
        <v>16565</v>
      </c>
      <c r="O2222" s="8" t="str">
        <f>HYPERLINK("https://drive.google.com/file/d/15JMAu5yzyGIXxbGmJblacHocyaJ-tEXb/view?usp=drivesdk","2221_RUSMIYATI  _ SERTIFIKAT BIMTEK IPASN BerAKHLASK")</f>
        <v>2221_RUSMIYATI  _ SERTIFIKAT BIMTEK IPASN BerAKHLASK</v>
      </c>
      <c r="P2222" s="5" t="s">
        <v>16566</v>
      </c>
      <c r="Q2222" s="5"/>
      <c r="R2222" s="5"/>
      <c r="S2222" s="5"/>
      <c r="T2222" s="5"/>
    </row>
    <row r="2223">
      <c r="A2223" s="4">
        <v>45534.33918826389</v>
      </c>
      <c r="B2223" s="5" t="s">
        <v>34</v>
      </c>
      <c r="D2223" s="5" t="s">
        <v>1206</v>
      </c>
      <c r="E2223" s="5" t="s">
        <v>16567</v>
      </c>
      <c r="F2223" s="5" t="s">
        <v>37</v>
      </c>
      <c r="G2223" s="5" t="s">
        <v>16568</v>
      </c>
      <c r="H2223" s="6" t="s">
        <v>16569</v>
      </c>
      <c r="K2223" s="5" t="s">
        <v>16444</v>
      </c>
      <c r="M2223" s="5" t="s">
        <v>16570</v>
      </c>
      <c r="N2223" s="7" t="s">
        <v>16571</v>
      </c>
      <c r="O2223" s="8" t="str">
        <f>HYPERLINK("https://drive.google.com/file/d/1DcWlxPb1KkqLW6mXaPIi8tch-Rr0s4ky/view?usp=drivesdk","2222_SUWANDO, _ SERTIFIKAT BIMTEK IPASN BerAKHLASK")</f>
        <v>2222_SUWANDO, _ SERTIFIKAT BIMTEK IPASN BerAKHLASK</v>
      </c>
      <c r="P2223" s="5" t="s">
        <v>16566</v>
      </c>
      <c r="Q2223" s="5"/>
      <c r="R2223" s="5"/>
      <c r="S2223" s="5"/>
      <c r="T2223" s="5"/>
    </row>
    <row r="2224">
      <c r="A2224" s="4">
        <v>45534.33919298611</v>
      </c>
      <c r="B2224" s="5" t="s">
        <v>34</v>
      </c>
      <c r="D2224" s="5" t="s">
        <v>15401</v>
      </c>
      <c r="E2224" s="5" t="s">
        <v>16572</v>
      </c>
      <c r="F2224" s="5" t="s">
        <v>37</v>
      </c>
      <c r="G2224" s="5" t="s">
        <v>16573</v>
      </c>
      <c r="H2224" s="6" t="s">
        <v>16574</v>
      </c>
      <c r="K2224" s="5" t="s">
        <v>16444</v>
      </c>
      <c r="M2224" s="5" t="s">
        <v>16575</v>
      </c>
      <c r="N2224" s="7" t="s">
        <v>16576</v>
      </c>
      <c r="O2224" s="8" t="str">
        <f>HYPERLINK("https://drive.google.com/file/d/140xrHerGwY_zbttPoy_CQ_qqky3ukOub/view?usp=drivesdk","2223_RAHMAWATI _ SERTIFIKAT BIMTEK IPASN BerAKHLASK")</f>
        <v>2223_RAHMAWATI _ SERTIFIKAT BIMTEK IPASN BerAKHLASK</v>
      </c>
      <c r="P2224" s="5" t="s">
        <v>16566</v>
      </c>
      <c r="Q2224" s="5"/>
      <c r="R2224" s="5"/>
      <c r="S2224" s="5"/>
      <c r="T2224" s="5"/>
    </row>
    <row r="2225">
      <c r="A2225" s="4">
        <v>45534.33920045139</v>
      </c>
      <c r="B2225" s="5" t="s">
        <v>34</v>
      </c>
      <c r="D2225" s="5" t="s">
        <v>35</v>
      </c>
      <c r="E2225" s="5" t="s">
        <v>16577</v>
      </c>
      <c r="F2225" s="5" t="s">
        <v>37</v>
      </c>
      <c r="G2225" s="5" t="s">
        <v>16578</v>
      </c>
      <c r="H2225" s="6" t="s">
        <v>16579</v>
      </c>
      <c r="K2225" s="5" t="s">
        <v>16444</v>
      </c>
      <c r="M2225" s="5" t="s">
        <v>16580</v>
      </c>
      <c r="N2225" s="7" t="s">
        <v>16581</v>
      </c>
      <c r="O2225" s="8" t="str">
        <f>HYPERLINK("https://drive.google.com/file/d/1ixQWjlzz0_H1ZE0Dm2KsT8vrLSFLKFhi/view?usp=drivesdk","2224_HANI NURCAHYA. A.MD. KEP _ SERTIFIKAT BIMTEK IPASN BerAKHLASK")</f>
        <v>2224_HANI NURCAHYA. A.MD. KEP _ SERTIFIKAT BIMTEK IPASN BerAKHLASK</v>
      </c>
      <c r="P2225" s="5" t="s">
        <v>16566</v>
      </c>
      <c r="Q2225" s="5"/>
      <c r="R2225" s="5"/>
      <c r="S2225" s="5"/>
      <c r="T2225" s="5"/>
    </row>
    <row r="2226">
      <c r="A2226" s="4">
        <v>45534.339203958334</v>
      </c>
      <c r="B2226" s="5" t="s">
        <v>34</v>
      </c>
      <c r="D2226" s="5" t="s">
        <v>2903</v>
      </c>
      <c r="E2226" s="5" t="s">
        <v>16582</v>
      </c>
      <c r="F2226" s="5" t="s">
        <v>37</v>
      </c>
      <c r="G2226" s="5" t="s">
        <v>16583</v>
      </c>
      <c r="H2226" s="6" t="s">
        <v>16584</v>
      </c>
      <c r="K2226" s="5" t="s">
        <v>16444</v>
      </c>
      <c r="M2226" s="5" t="s">
        <v>16585</v>
      </c>
      <c r="N2226" s="7" t="s">
        <v>16586</v>
      </c>
      <c r="O2226" s="8" t="str">
        <f>HYPERLINK("https://drive.google.com/file/d/1uS8aDQMN65gbB7si1x_FJh_4MK1_Vk6k/view?usp=drivesdk","2225_LINDA PUSPITA _ SERTIFIKAT BIMTEK IPASN BerAKHLASK")</f>
        <v>2225_LINDA PUSPITA _ SERTIFIKAT BIMTEK IPASN BerAKHLASK</v>
      </c>
      <c r="P2226" s="5" t="s">
        <v>16566</v>
      </c>
      <c r="Q2226" s="5"/>
      <c r="R2226" s="5"/>
      <c r="S2226" s="5"/>
      <c r="T2226" s="5"/>
    </row>
    <row r="2227">
      <c r="A2227" s="4">
        <v>45534.33921101852</v>
      </c>
      <c r="B2227" s="5" t="s">
        <v>34</v>
      </c>
      <c r="D2227" s="5" t="s">
        <v>4775</v>
      </c>
      <c r="E2227" s="5" t="s">
        <v>16587</v>
      </c>
      <c r="F2227" s="5" t="s">
        <v>212</v>
      </c>
      <c r="G2227" s="5" t="s">
        <v>16588</v>
      </c>
      <c r="H2227" s="6" t="s">
        <v>16589</v>
      </c>
      <c r="K2227" s="5" t="s">
        <v>16444</v>
      </c>
      <c r="M2227" s="5" t="s">
        <v>16590</v>
      </c>
      <c r="N2227" s="7" t="s">
        <v>16591</v>
      </c>
      <c r="O2227" s="8" t="str">
        <f>HYPERLINK("https://drive.google.com/file/d/1CVK6OLgkBY7SJ66S4psNPuf_Dqwz5TJY/view?usp=drivesdk","2226_PUJI WINARNI  _ SERTIFIKAT BIMTEK IPASN BerAKHLASK")</f>
        <v>2226_PUJI WINARNI  _ SERTIFIKAT BIMTEK IPASN BerAKHLASK</v>
      </c>
      <c r="P2227" s="5" t="s">
        <v>16592</v>
      </c>
      <c r="Q2227" s="5"/>
      <c r="R2227" s="5"/>
      <c r="S2227" s="5"/>
      <c r="T2227" s="5"/>
    </row>
    <row r="2228">
      <c r="A2228" s="4">
        <v>45534.3392140162</v>
      </c>
      <c r="B2228" s="5" t="s">
        <v>34</v>
      </c>
      <c r="D2228" s="5" t="s">
        <v>522</v>
      </c>
      <c r="E2228" s="5" t="s">
        <v>16593</v>
      </c>
      <c r="F2228" s="5" t="s">
        <v>212</v>
      </c>
      <c r="G2228" s="5" t="s">
        <v>16594</v>
      </c>
      <c r="H2228" s="6" t="s">
        <v>16595</v>
      </c>
      <c r="K2228" s="5" t="s">
        <v>16444</v>
      </c>
      <c r="M2228" s="5" t="s">
        <v>16596</v>
      </c>
      <c r="N2228" s="7" t="s">
        <v>16597</v>
      </c>
      <c r="O2228" s="8" t="str">
        <f>HYPERLINK("https://drive.google.com/file/d/1vii2IBSE9tnTfRApka1xE2lZ6M0SB73_/view?usp=drivesdk","2227_TAMRIN _ SERTIFIKAT BIMTEK IPASN BerAKHLASK")</f>
        <v>2227_TAMRIN _ SERTIFIKAT BIMTEK IPASN BerAKHLASK</v>
      </c>
      <c r="P2228" s="5" t="s">
        <v>16592</v>
      </c>
      <c r="Q2228" s="5"/>
      <c r="R2228" s="5"/>
      <c r="S2228" s="5"/>
      <c r="T2228" s="5"/>
    </row>
    <row r="2229">
      <c r="A2229" s="4">
        <v>45534.339215925924</v>
      </c>
      <c r="B2229" s="5" t="s">
        <v>34</v>
      </c>
      <c r="D2229" s="5" t="s">
        <v>4775</v>
      </c>
      <c r="E2229" s="5" t="s">
        <v>16598</v>
      </c>
      <c r="F2229" s="5" t="s">
        <v>212</v>
      </c>
      <c r="G2229" s="5" t="s">
        <v>16599</v>
      </c>
      <c r="H2229" s="6" t="s">
        <v>16600</v>
      </c>
      <c r="K2229" s="5" t="s">
        <v>16444</v>
      </c>
      <c r="M2229" s="5" t="s">
        <v>16601</v>
      </c>
      <c r="N2229" s="7" t="s">
        <v>16602</v>
      </c>
      <c r="O2229" s="8" t="str">
        <f>HYPERLINK("https://drive.google.com/file/d/1pNBcRiXUaXunDHqq6h1pLJZltzROtwVk/view?usp=drivesdk","2228_ARIF ARFIANI, S.KOM _ SERTIFIKAT BIMTEK IPASN BerAKHLASK")</f>
        <v>2228_ARIF ARFIANI, S.KOM _ SERTIFIKAT BIMTEK IPASN BerAKHLASK</v>
      </c>
      <c r="P2229" s="5" t="s">
        <v>16592</v>
      </c>
      <c r="Q2229" s="5"/>
      <c r="R2229" s="5"/>
      <c r="S2229" s="5"/>
      <c r="T2229" s="5"/>
    </row>
    <row r="2230">
      <c r="A2230" s="4">
        <v>45534.33922671297</v>
      </c>
      <c r="B2230" s="5" t="s">
        <v>34</v>
      </c>
      <c r="D2230" s="5" t="s">
        <v>1206</v>
      </c>
      <c r="E2230" s="5" t="s">
        <v>16603</v>
      </c>
      <c r="F2230" s="5" t="s">
        <v>37</v>
      </c>
      <c r="G2230" s="5" t="s">
        <v>16604</v>
      </c>
      <c r="H2230" s="6" t="s">
        <v>16605</v>
      </c>
      <c r="K2230" s="5" t="s">
        <v>16444</v>
      </c>
      <c r="M2230" s="5" t="s">
        <v>16606</v>
      </c>
      <c r="N2230" s="7" t="s">
        <v>16607</v>
      </c>
      <c r="O2230" s="8" t="str">
        <f>HYPERLINK("https://drive.google.com/file/d/1rC1Gwld_7Gi2W3drE28g056i4_pI7Etl/view?usp=drivesdk","2229_ZUNAN ARFIAN _ SERTIFIKAT BIMTEK IPASN BerAKHLASK")</f>
        <v>2229_ZUNAN ARFIAN _ SERTIFIKAT BIMTEK IPASN BerAKHLASK</v>
      </c>
      <c r="P2230" s="5" t="s">
        <v>16592</v>
      </c>
      <c r="Q2230" s="5"/>
      <c r="R2230" s="5"/>
      <c r="S2230" s="5"/>
      <c r="T2230" s="5"/>
    </row>
    <row r="2231">
      <c r="A2231" s="4">
        <v>45534.33922782408</v>
      </c>
      <c r="B2231" s="5" t="s">
        <v>34</v>
      </c>
      <c r="D2231" s="5" t="s">
        <v>35</v>
      </c>
      <c r="E2231" s="5" t="s">
        <v>16608</v>
      </c>
      <c r="F2231" s="5" t="s">
        <v>524</v>
      </c>
      <c r="G2231" s="5" t="s">
        <v>16609</v>
      </c>
      <c r="H2231" s="6" t="s">
        <v>16610</v>
      </c>
      <c r="K2231" s="5" t="s">
        <v>16444</v>
      </c>
      <c r="M2231" s="5" t="s">
        <v>16611</v>
      </c>
      <c r="N2231" s="7" t="s">
        <v>16612</v>
      </c>
      <c r="O2231" s="8" t="str">
        <f>HYPERLINK("https://drive.google.com/file/d/12joTwXhLAFtIzgz_kG-emuDj3nBan5B-/view?usp=drivesdk","2230_SAEFULOH _ SERTIFIKAT BIMTEK IPASN BerAKHLASK")</f>
        <v>2230_SAEFULOH _ SERTIFIKAT BIMTEK IPASN BerAKHLASK</v>
      </c>
      <c r="P2231" s="5" t="s">
        <v>16592</v>
      </c>
      <c r="Q2231" s="5"/>
      <c r="R2231" s="5"/>
      <c r="S2231" s="5"/>
      <c r="T2231" s="5"/>
    </row>
    <row r="2232">
      <c r="A2232" s="4">
        <v>45534.339229375</v>
      </c>
      <c r="B2232" s="5" t="s">
        <v>34</v>
      </c>
      <c r="D2232" s="5" t="s">
        <v>12978</v>
      </c>
      <c r="E2232" s="5" t="s">
        <v>16613</v>
      </c>
      <c r="F2232" s="5" t="s">
        <v>715</v>
      </c>
      <c r="G2232" s="5" t="s">
        <v>16614</v>
      </c>
      <c r="H2232" s="6" t="s">
        <v>16615</v>
      </c>
      <c r="K2232" s="5" t="s">
        <v>16444</v>
      </c>
      <c r="M2232" s="5" t="s">
        <v>16616</v>
      </c>
      <c r="N2232" s="7" t="s">
        <v>16617</v>
      </c>
      <c r="O2232" s="8" t="str">
        <f>HYPERLINK("https://drive.google.com/file/d/1a6Nx9hmxhSMtUilXVPDqG-iO-NmtIK8M/view?usp=drivesdk","2231_PUTRI EKA LESTARI, S. SOS _ SERTIFIKAT BIMTEK IPASN BerAKHLASK")</f>
        <v>2231_PUTRI EKA LESTARI, S. SOS _ SERTIFIKAT BIMTEK IPASN BerAKHLASK</v>
      </c>
      <c r="P2232" s="5" t="s">
        <v>16618</v>
      </c>
      <c r="Q2232" s="5"/>
      <c r="R2232" s="5"/>
      <c r="S2232" s="5"/>
      <c r="T2232" s="5"/>
    </row>
    <row r="2233" hidden="1">
      <c r="A2233" s="4">
        <v>45534.339230428246</v>
      </c>
      <c r="B2233" s="5" t="s">
        <v>19</v>
      </c>
      <c r="C2233" s="5" t="s">
        <v>292</v>
      </c>
      <c r="E2233" s="5" t="s">
        <v>16619</v>
      </c>
      <c r="F2233" s="5" t="s">
        <v>524</v>
      </c>
      <c r="G2233" s="5" t="s">
        <v>16620</v>
      </c>
      <c r="H2233" s="6" t="s">
        <v>16621</v>
      </c>
      <c r="K2233" s="5" t="s">
        <v>16444</v>
      </c>
      <c r="M2233" s="5" t="s">
        <v>16622</v>
      </c>
      <c r="N2233" s="7" t="s">
        <v>16623</v>
      </c>
      <c r="O2233" s="8" t="str">
        <f>HYPERLINK("https://drive.google.com/file/d/1X-X7EdP8obUjliqetJsNX9jAT6shr6-R/view?usp=drivesdk","2232_RINA PUSPITASARI _ SERTIFIKAT BIMTEK IPASN BerAKHLASK")</f>
        <v>2232_RINA PUSPITASARI _ SERTIFIKAT BIMTEK IPASN BerAKHLASK</v>
      </c>
      <c r="P2233" s="5" t="s">
        <v>16618</v>
      </c>
      <c r="Q2233" s="5"/>
      <c r="R2233" s="5"/>
      <c r="S2233" s="5"/>
      <c r="T2233" s="5"/>
    </row>
    <row r="2234">
      <c r="A2234" s="4">
        <v>45534.33924984954</v>
      </c>
      <c r="B2234" s="5" t="s">
        <v>34</v>
      </c>
      <c r="D2234" s="5" t="s">
        <v>1206</v>
      </c>
      <c r="E2234" s="5" t="s">
        <v>16624</v>
      </c>
      <c r="F2234" s="5" t="s">
        <v>37</v>
      </c>
      <c r="G2234" s="5" t="s">
        <v>16625</v>
      </c>
      <c r="H2234" s="6" t="s">
        <v>16626</v>
      </c>
      <c r="K2234" s="5" t="s">
        <v>14944</v>
      </c>
      <c r="M2234" s="5" t="s">
        <v>16627</v>
      </c>
      <c r="N2234" s="7" t="s">
        <v>16628</v>
      </c>
      <c r="O2234" s="8" t="str">
        <f>HYPERLINK("https://drive.google.com/file/d/1BKKnRK2N86axmDIn91bitAVNOT3HzWFm/view?usp=drivesdk","2233_MURNI.MURNI _ SERTIFIKAT BIMTEK IPASN BerAKHLASK")</f>
        <v>2233_MURNI.MURNI _ SERTIFIKAT BIMTEK IPASN BerAKHLASK</v>
      </c>
      <c r="P2234" s="5" t="s">
        <v>16618</v>
      </c>
      <c r="Q2234" s="5"/>
      <c r="R2234" s="5"/>
      <c r="S2234" s="5"/>
      <c r="T2234" s="5"/>
    </row>
    <row r="2235">
      <c r="A2235" s="4">
        <v>45534.33926013889</v>
      </c>
      <c r="B2235" s="5" t="s">
        <v>34</v>
      </c>
      <c r="D2235" s="5" t="s">
        <v>14313</v>
      </c>
      <c r="E2235" s="5" t="s">
        <v>16629</v>
      </c>
      <c r="F2235" s="5" t="s">
        <v>212</v>
      </c>
      <c r="G2235" s="5" t="s">
        <v>16630</v>
      </c>
      <c r="H2235" s="6" t="s">
        <v>16631</v>
      </c>
      <c r="K2235" s="5" t="s">
        <v>14944</v>
      </c>
      <c r="M2235" s="5" t="s">
        <v>16632</v>
      </c>
      <c r="N2235" s="7" t="s">
        <v>16633</v>
      </c>
      <c r="O2235" s="8" t="str">
        <f>HYPERLINK("https://drive.google.com/file/d/1H4PYrVDBXyf06uNvxmWysj37oCJWpD8X/view?usp=drivesdk","2234_NURLAELA.S _ SERTIFIKAT BIMTEK IPASN BerAKHLASK")</f>
        <v>2234_NURLAELA.S _ SERTIFIKAT BIMTEK IPASN BerAKHLASK</v>
      </c>
      <c r="P2235" s="5" t="s">
        <v>16618</v>
      </c>
      <c r="Q2235" s="5"/>
      <c r="R2235" s="5"/>
      <c r="S2235" s="5"/>
      <c r="T2235" s="5"/>
    </row>
    <row r="2236">
      <c r="A2236" s="4">
        <v>45534.33926320601</v>
      </c>
      <c r="B2236" s="5" t="s">
        <v>34</v>
      </c>
      <c r="D2236" s="5" t="s">
        <v>1206</v>
      </c>
      <c r="E2236" s="5" t="s">
        <v>16634</v>
      </c>
      <c r="F2236" s="5" t="s">
        <v>524</v>
      </c>
      <c r="G2236" s="5" t="s">
        <v>16635</v>
      </c>
      <c r="H2236" s="6" t="s">
        <v>16636</v>
      </c>
      <c r="K2236" s="5" t="s">
        <v>14944</v>
      </c>
      <c r="M2236" s="5" t="s">
        <v>16637</v>
      </c>
      <c r="N2236" s="7" t="s">
        <v>16638</v>
      </c>
      <c r="O2236" s="8" t="str">
        <f>HYPERLINK("https://drive.google.com/file/d/1ARZ9j-V_jyBB_ikS9tK9aU2JljIlwgpq/view?usp=drivesdk","2235_SUTIMAN _ SERTIFIKAT BIMTEK IPASN BerAKHLASK")</f>
        <v>2235_SUTIMAN _ SERTIFIKAT BIMTEK IPASN BerAKHLASK</v>
      </c>
      <c r="P2236" s="5" t="s">
        <v>16639</v>
      </c>
      <c r="Q2236" s="5"/>
      <c r="R2236" s="5"/>
      <c r="S2236" s="5"/>
      <c r="T2236" s="5"/>
    </row>
    <row r="2237">
      <c r="A2237" s="4">
        <v>45534.33926501157</v>
      </c>
      <c r="B2237" s="5" t="s">
        <v>34</v>
      </c>
      <c r="D2237" s="5" t="s">
        <v>4775</v>
      </c>
      <c r="E2237" s="5" t="s">
        <v>16640</v>
      </c>
      <c r="F2237" s="5" t="s">
        <v>375</v>
      </c>
      <c r="G2237" s="5" t="s">
        <v>16641</v>
      </c>
      <c r="H2237" s="6" t="s">
        <v>16642</v>
      </c>
      <c r="K2237" s="5" t="s">
        <v>14944</v>
      </c>
      <c r="M2237" s="5" t="s">
        <v>16643</v>
      </c>
      <c r="N2237" s="7" t="s">
        <v>16644</v>
      </c>
      <c r="O2237" s="8" t="str">
        <f>HYPERLINK("https://drive.google.com/file/d/1PqWAAIUvitN9lHDMzpjga3Tywv3QhnXv/view?usp=drivesdk","2236_HARTONO, S. H.  _ SERTIFIKAT BIMTEK IPASN BerAKHLASK")</f>
        <v>2236_HARTONO, S. H.  _ SERTIFIKAT BIMTEK IPASN BerAKHLASK</v>
      </c>
      <c r="P2237" s="5" t="s">
        <v>16639</v>
      </c>
      <c r="Q2237" s="5"/>
      <c r="R2237" s="5"/>
      <c r="S2237" s="5"/>
      <c r="T2237" s="5"/>
    </row>
    <row r="2238">
      <c r="A2238" s="4">
        <v>45534.33926969908</v>
      </c>
      <c r="B2238" s="5" t="s">
        <v>34</v>
      </c>
      <c r="D2238" s="5" t="s">
        <v>1768</v>
      </c>
      <c r="E2238" s="5" t="s">
        <v>16645</v>
      </c>
      <c r="F2238" s="5" t="s">
        <v>715</v>
      </c>
      <c r="G2238" s="5" t="s">
        <v>16646</v>
      </c>
      <c r="H2238" s="6" t="s">
        <v>16647</v>
      </c>
      <c r="K2238" s="5" t="s">
        <v>14944</v>
      </c>
      <c r="M2238" s="5" t="s">
        <v>16648</v>
      </c>
      <c r="N2238" s="7" t="s">
        <v>16649</v>
      </c>
      <c r="O2238" s="8" t="str">
        <f>HYPERLINK("https://drive.google.com/file/d/1fsiVGv3vj34EIWWk7EGa-nC_6Cw5sPel/view?usp=drivesdk","2237_SARMIYATI, S. KOM _ SERTIFIKAT BIMTEK IPASN BerAKHLASK")</f>
        <v>2237_SARMIYATI, S. KOM _ SERTIFIKAT BIMTEK IPASN BerAKHLASK</v>
      </c>
      <c r="P2238" s="5" t="s">
        <v>16639</v>
      </c>
      <c r="Q2238" s="5"/>
      <c r="R2238" s="5"/>
      <c r="S2238" s="5"/>
      <c r="T2238" s="5"/>
    </row>
    <row r="2239">
      <c r="A2239" s="4">
        <v>45534.339272060184</v>
      </c>
      <c r="B2239" s="5" t="s">
        <v>34</v>
      </c>
      <c r="D2239" s="5" t="s">
        <v>2903</v>
      </c>
      <c r="E2239" s="5" t="s">
        <v>16650</v>
      </c>
      <c r="F2239" s="5" t="s">
        <v>212</v>
      </c>
      <c r="G2239" s="5" t="s">
        <v>16651</v>
      </c>
      <c r="H2239" s="6" t="s">
        <v>16652</v>
      </c>
      <c r="K2239" s="5" t="s">
        <v>14944</v>
      </c>
      <c r="M2239" s="5" t="s">
        <v>16653</v>
      </c>
      <c r="N2239" s="7" t="s">
        <v>16654</v>
      </c>
      <c r="O2239" s="8" t="str">
        <f>HYPERLINK("https://drive.google.com/file/d/17Z8IUWYXOuZLWrovsYz1dIpQm_Hudwr4/view?usp=drivesdk","2238_DENI YARTI S KEP _ SERTIFIKAT BIMTEK IPASN BerAKHLASK")</f>
        <v>2238_DENI YARTI S KEP _ SERTIFIKAT BIMTEK IPASN BerAKHLASK</v>
      </c>
      <c r="P2239" s="5" t="s">
        <v>16639</v>
      </c>
      <c r="Q2239" s="5"/>
      <c r="R2239" s="5"/>
      <c r="S2239" s="5"/>
      <c r="T2239" s="5"/>
    </row>
    <row r="2240">
      <c r="A2240" s="4">
        <v>45534.33927636574</v>
      </c>
      <c r="B2240" s="5" t="s">
        <v>34</v>
      </c>
      <c r="D2240" s="5" t="s">
        <v>35</v>
      </c>
      <c r="E2240" s="5" t="s">
        <v>16655</v>
      </c>
      <c r="F2240" s="5" t="s">
        <v>72</v>
      </c>
      <c r="G2240" s="5" t="s">
        <v>16656</v>
      </c>
      <c r="H2240" s="6" t="s">
        <v>16657</v>
      </c>
      <c r="K2240" s="5" t="s">
        <v>14944</v>
      </c>
      <c r="M2240" s="5" t="s">
        <v>16658</v>
      </c>
      <c r="N2240" s="7" t="s">
        <v>16659</v>
      </c>
      <c r="O2240" s="8" t="str">
        <f>HYPERLINK("https://drive.google.com/file/d/1_vH6HgoFqhVdxYuZZSpCN723XpCIkYQK/view?usp=drivesdk","2239_Ode Rosidi,SH _ SERTIFIKAT BIMTEK IPASN BerAKHLASK")</f>
        <v>2239_Ode Rosidi,SH _ SERTIFIKAT BIMTEK IPASN BerAKHLASK</v>
      </c>
      <c r="P2240" s="5" t="s">
        <v>16639</v>
      </c>
      <c r="Q2240" s="5"/>
      <c r="R2240" s="5"/>
      <c r="S2240" s="5"/>
      <c r="T2240" s="5"/>
    </row>
    <row r="2241">
      <c r="A2241" s="4">
        <v>45534.33924152778</v>
      </c>
      <c r="B2241" s="5" t="s">
        <v>34</v>
      </c>
      <c r="D2241" s="5" t="s">
        <v>1206</v>
      </c>
      <c r="E2241" s="5" t="s">
        <v>16660</v>
      </c>
      <c r="F2241" s="5" t="s">
        <v>199</v>
      </c>
      <c r="G2241" s="5" t="s">
        <v>16661</v>
      </c>
      <c r="H2241" s="6" t="s">
        <v>16662</v>
      </c>
      <c r="K2241" s="5" t="s">
        <v>14944</v>
      </c>
      <c r="M2241" s="5" t="s">
        <v>16663</v>
      </c>
      <c r="N2241" s="7" t="s">
        <v>16664</v>
      </c>
      <c r="O2241" s="8" t="str">
        <f>HYPERLINK("https://drive.google.com/file/d/1EfYadN1x4hvqzTOnL6FhwffU2LZLYnfh/view?usp=drivesdk","2240_SUTRIYAH _ SERTIFIKAT BIMTEK IPASN BerAKHLASK")</f>
        <v>2240_SUTRIYAH _ SERTIFIKAT BIMTEK IPASN BerAKHLASK</v>
      </c>
      <c r="P2241" s="5" t="s">
        <v>16639</v>
      </c>
      <c r="Q2241" s="5"/>
      <c r="R2241" s="5"/>
      <c r="S2241" s="5"/>
      <c r="T2241" s="5"/>
    </row>
    <row r="2242">
      <c r="A2242" s="4">
        <v>45534.339247592594</v>
      </c>
      <c r="B2242" s="5" t="s">
        <v>34</v>
      </c>
      <c r="D2242" s="5" t="s">
        <v>10444</v>
      </c>
      <c r="E2242" s="5" t="s">
        <v>16665</v>
      </c>
      <c r="F2242" s="5" t="s">
        <v>37</v>
      </c>
      <c r="G2242" s="5" t="s">
        <v>16666</v>
      </c>
      <c r="H2242" s="6" t="s">
        <v>16667</v>
      </c>
      <c r="K2242" s="5" t="s">
        <v>14944</v>
      </c>
      <c r="M2242" s="5" t="s">
        <v>16668</v>
      </c>
      <c r="N2242" s="7" t="s">
        <v>16669</v>
      </c>
      <c r="O2242" s="8" t="str">
        <f>HYPERLINK("https://drive.google.com/file/d/1BJjaj7FDf1_KfJzGNBDCdD4eW5yCm9fz/view?usp=drivesdk","2241_FREE VHEGA VARUHA, A.Md.S.I _ SERTIFIKAT BIMTEK IPASN BerAKHLASK")</f>
        <v>2241_FREE VHEGA VARUHA, A.Md.S.I _ SERTIFIKAT BIMTEK IPASN BerAKHLASK</v>
      </c>
      <c r="P2242" s="5" t="s">
        <v>16639</v>
      </c>
      <c r="Q2242" s="5"/>
      <c r="R2242" s="5"/>
      <c r="S2242" s="5"/>
      <c r="T2242" s="5"/>
    </row>
    <row r="2243">
      <c r="A2243" s="4">
        <v>45534.33924935185</v>
      </c>
      <c r="B2243" s="5" t="s">
        <v>34</v>
      </c>
      <c r="D2243" s="5" t="s">
        <v>35</v>
      </c>
      <c r="E2243" s="5" t="s">
        <v>16670</v>
      </c>
      <c r="F2243" s="5" t="s">
        <v>120</v>
      </c>
      <c r="G2243" s="5" t="s">
        <v>16671</v>
      </c>
      <c r="H2243" s="6" t="s">
        <v>16672</v>
      </c>
      <c r="K2243" s="5" t="s">
        <v>14944</v>
      </c>
      <c r="M2243" s="5" t="s">
        <v>16673</v>
      </c>
      <c r="N2243" s="7" t="s">
        <v>16674</v>
      </c>
      <c r="O2243" s="8" t="str">
        <f>HYPERLINK("https://drive.google.com/file/d/1msRdPYkDypKvtienooxRqnxogF1TWVqE/view?usp=drivesdk","2242_RUKMINI SH MSI _ SERTIFIKAT BIMTEK IPASN BerAKHLASK")</f>
        <v>2242_RUKMINI SH MSI _ SERTIFIKAT BIMTEK IPASN BerAKHLASK</v>
      </c>
      <c r="P2243" s="5" t="s">
        <v>16675</v>
      </c>
      <c r="Q2243" s="5"/>
      <c r="R2243" s="5"/>
      <c r="S2243" s="5"/>
      <c r="T2243" s="5"/>
    </row>
    <row r="2244">
      <c r="A2244" s="4">
        <v>45534.33929167824</v>
      </c>
      <c r="B2244" s="5" t="s">
        <v>34</v>
      </c>
      <c r="D2244" s="5" t="s">
        <v>12978</v>
      </c>
      <c r="E2244" s="5" t="s">
        <v>16676</v>
      </c>
      <c r="F2244" s="5" t="s">
        <v>375</v>
      </c>
      <c r="G2244" s="5" t="s">
        <v>16677</v>
      </c>
      <c r="H2244" s="6" t="s">
        <v>16678</v>
      </c>
      <c r="K2244" s="5" t="s">
        <v>14944</v>
      </c>
      <c r="M2244" s="5" t="s">
        <v>16679</v>
      </c>
      <c r="N2244" s="7" t="s">
        <v>16680</v>
      </c>
      <c r="O2244" s="8" t="str">
        <f>HYPERLINK("https://drive.google.com/file/d/1534eqqvGTdk04pOB4sL9jeweP-EEq7la/view?usp=drivesdk","2243_DELLI WATI,S.E., M.Si. _ SERTIFIKAT BIMTEK IPASN BerAKHLASK")</f>
        <v>2243_DELLI WATI,S.E., M.Si. _ SERTIFIKAT BIMTEK IPASN BerAKHLASK</v>
      </c>
      <c r="P2244" s="5" t="s">
        <v>16675</v>
      </c>
      <c r="Q2244" s="5"/>
      <c r="R2244" s="5"/>
      <c r="S2244" s="5"/>
      <c r="T2244" s="5"/>
    </row>
    <row r="2245">
      <c r="A2245" s="4">
        <v>45534.33929527778</v>
      </c>
      <c r="B2245" s="5" t="s">
        <v>34</v>
      </c>
      <c r="D2245" s="5" t="s">
        <v>9394</v>
      </c>
      <c r="E2245" s="5" t="s">
        <v>16681</v>
      </c>
      <c r="F2245" s="5" t="s">
        <v>37</v>
      </c>
      <c r="G2245" s="5" t="s">
        <v>16682</v>
      </c>
      <c r="H2245" s="6" t="s">
        <v>16683</v>
      </c>
      <c r="K2245" s="5" t="s">
        <v>14944</v>
      </c>
      <c r="M2245" s="5" t="s">
        <v>16684</v>
      </c>
      <c r="N2245" s="7" t="s">
        <v>16685</v>
      </c>
      <c r="O2245" s="8" t="str">
        <f>HYPERLINK("https://drive.google.com/file/d/1MmhdhXiAHmVetEaWMli0LSRwuZYShomd/view?usp=drivesdk","2244_SUMARGONO _ SERTIFIKAT BIMTEK IPASN BerAKHLASK")</f>
        <v>2244_SUMARGONO _ SERTIFIKAT BIMTEK IPASN BerAKHLASK</v>
      </c>
      <c r="P2245" s="5" t="s">
        <v>16675</v>
      </c>
      <c r="Q2245" s="5"/>
      <c r="R2245" s="5"/>
      <c r="S2245" s="5"/>
      <c r="T2245" s="5"/>
    </row>
    <row r="2246">
      <c r="A2246" s="4">
        <v>45534.339296238424</v>
      </c>
      <c r="B2246" s="5" t="s">
        <v>34</v>
      </c>
      <c r="D2246" s="5" t="s">
        <v>522</v>
      </c>
      <c r="E2246" s="5" t="s">
        <v>16686</v>
      </c>
      <c r="F2246" s="5" t="s">
        <v>72</v>
      </c>
      <c r="G2246" s="5" t="s">
        <v>16687</v>
      </c>
      <c r="H2246" s="6" t="s">
        <v>16688</v>
      </c>
      <c r="K2246" s="5" t="s">
        <v>14944</v>
      </c>
      <c r="M2246" s="5" t="s">
        <v>16689</v>
      </c>
      <c r="N2246" s="7" t="s">
        <v>16690</v>
      </c>
      <c r="O2246" s="8" t="str">
        <f>HYPERLINK("https://drive.google.com/file/d/1uRybAi73QFtd0kQ1w_78VRT6Yqgladu7/view?usp=drivesdk","2245_SURYATI SE _ SERTIFIKAT BIMTEK IPASN BerAKHLASK")</f>
        <v>2245_SURYATI SE _ SERTIFIKAT BIMTEK IPASN BerAKHLASK</v>
      </c>
      <c r="P2246" s="5" t="s">
        <v>16675</v>
      </c>
      <c r="Q2246" s="5"/>
      <c r="R2246" s="5"/>
      <c r="S2246" s="5"/>
      <c r="T2246" s="5"/>
    </row>
    <row r="2247">
      <c r="A2247" s="4">
        <v>45534.33929888889</v>
      </c>
      <c r="B2247" s="5" t="s">
        <v>34</v>
      </c>
      <c r="D2247" s="5" t="s">
        <v>701</v>
      </c>
      <c r="E2247" s="5" t="s">
        <v>16691</v>
      </c>
      <c r="F2247" s="5" t="s">
        <v>37</v>
      </c>
      <c r="G2247" s="5" t="s">
        <v>16692</v>
      </c>
      <c r="H2247" s="6" t="s">
        <v>16693</v>
      </c>
      <c r="K2247" s="5" t="s">
        <v>14944</v>
      </c>
      <c r="M2247" s="5" t="s">
        <v>16694</v>
      </c>
      <c r="N2247" s="7" t="s">
        <v>16695</v>
      </c>
      <c r="O2247" s="8" t="str">
        <f>HYPERLINK("https://drive.google.com/file/d/1OnaMAs5ZxBCQsBR3tByVwwEJ70fZS0d5/view?usp=drivesdk","2246_ROKY AZHARI _ SERTIFIKAT BIMTEK IPASN BerAKHLASK")</f>
        <v>2246_ROKY AZHARI _ SERTIFIKAT BIMTEK IPASN BerAKHLASK</v>
      </c>
      <c r="P2247" s="5" t="s">
        <v>16696</v>
      </c>
      <c r="Q2247" s="5"/>
      <c r="R2247" s="5"/>
      <c r="S2247" s="5"/>
      <c r="T2247" s="5"/>
    </row>
    <row r="2248">
      <c r="A2248" s="4">
        <v>45534.339299803236</v>
      </c>
      <c r="B2248" s="5" t="s">
        <v>34</v>
      </c>
      <c r="D2248" s="5" t="s">
        <v>4775</v>
      </c>
      <c r="E2248" s="5" t="s">
        <v>16697</v>
      </c>
      <c r="F2248" s="5" t="s">
        <v>5859</v>
      </c>
      <c r="G2248" s="5" t="s">
        <v>16698</v>
      </c>
      <c r="H2248" s="6" t="s">
        <v>16699</v>
      </c>
      <c r="K2248" s="5" t="s">
        <v>14944</v>
      </c>
      <c r="M2248" s="5" t="s">
        <v>16700</v>
      </c>
      <c r="N2248" s="7" t="s">
        <v>16701</v>
      </c>
      <c r="O2248" s="8" t="str">
        <f>HYPERLINK("https://drive.google.com/file/d/1IRM_DY0JDGaiqlwUHYqnG9mWf4fZgi21/view?usp=drivesdk","2247_SUPARMANTO _ SERTIFIKAT BIMTEK IPASN BerAKHLASK")</f>
        <v>2247_SUPARMANTO _ SERTIFIKAT BIMTEK IPASN BerAKHLASK</v>
      </c>
      <c r="P2248" s="5" t="s">
        <v>16696</v>
      </c>
      <c r="Q2248" s="5"/>
      <c r="R2248" s="5"/>
      <c r="S2248" s="5"/>
      <c r="T2248" s="5"/>
    </row>
    <row r="2249">
      <c r="A2249" s="4">
        <v>45534.33930225694</v>
      </c>
      <c r="B2249" s="5" t="s">
        <v>34</v>
      </c>
      <c r="D2249" s="5" t="s">
        <v>1768</v>
      </c>
      <c r="E2249" s="5" t="s">
        <v>16702</v>
      </c>
      <c r="F2249" s="5" t="s">
        <v>72</v>
      </c>
      <c r="G2249" s="5" t="s">
        <v>16703</v>
      </c>
      <c r="H2249" s="6" t="s">
        <v>16704</v>
      </c>
      <c r="K2249" s="5" t="s">
        <v>14944</v>
      </c>
      <c r="M2249" s="5" t="s">
        <v>16705</v>
      </c>
      <c r="N2249" s="7" t="s">
        <v>16706</v>
      </c>
      <c r="O2249" s="8" t="str">
        <f>HYPERLINK("https://drive.google.com/file/d/1NFjLvI3sjdGoTqcCuZnCQ0s8yggCP6DG/view?usp=drivesdk","2248_SUYANTI  _ SERTIFIKAT BIMTEK IPASN BerAKHLASK")</f>
        <v>2248_SUYANTI  _ SERTIFIKAT BIMTEK IPASN BerAKHLASK</v>
      </c>
      <c r="P2249" s="5" t="s">
        <v>16696</v>
      </c>
      <c r="Q2249" s="5"/>
      <c r="R2249" s="5"/>
      <c r="S2249" s="5"/>
      <c r="T2249" s="5"/>
    </row>
    <row r="2250">
      <c r="A2250" s="4">
        <v>45534.33930521991</v>
      </c>
      <c r="B2250" s="5" t="s">
        <v>34</v>
      </c>
      <c r="D2250" s="5" t="s">
        <v>1206</v>
      </c>
      <c r="E2250" s="5" t="s">
        <v>16707</v>
      </c>
      <c r="F2250" s="5" t="s">
        <v>212</v>
      </c>
      <c r="G2250" s="5" t="s">
        <v>16708</v>
      </c>
      <c r="H2250" s="6" t="s">
        <v>16709</v>
      </c>
      <c r="K2250" s="5" t="s">
        <v>14944</v>
      </c>
      <c r="M2250" s="5" t="s">
        <v>16710</v>
      </c>
      <c r="N2250" s="7" t="s">
        <v>16711</v>
      </c>
      <c r="O2250" s="8" t="str">
        <f>HYPERLINK("https://drive.google.com/file/d/1aK61uehAhpi-x7arJOnqqi7YrZ8mI7jp/view?usp=drivesdk","2249_ENI HELIYANA _ SERTIFIKAT BIMTEK IPASN BerAKHLASK")</f>
        <v>2249_ENI HELIYANA _ SERTIFIKAT BIMTEK IPASN BerAKHLASK</v>
      </c>
      <c r="P2250" s="5" t="s">
        <v>16696</v>
      </c>
      <c r="Q2250" s="5"/>
      <c r="R2250" s="5"/>
      <c r="S2250" s="5"/>
      <c r="T2250" s="5"/>
    </row>
    <row r="2251" hidden="1">
      <c r="A2251" s="4">
        <v>45534.33931040509</v>
      </c>
      <c r="B2251" s="5" t="s">
        <v>19</v>
      </c>
      <c r="C2251" s="5" t="s">
        <v>5564</v>
      </c>
      <c r="E2251" s="5" t="s">
        <v>16712</v>
      </c>
      <c r="F2251" s="5" t="s">
        <v>5566</v>
      </c>
      <c r="G2251" s="5" t="s">
        <v>16713</v>
      </c>
      <c r="H2251" s="6" t="s">
        <v>16714</v>
      </c>
      <c r="K2251" s="5" t="s">
        <v>14944</v>
      </c>
      <c r="M2251" s="5" t="s">
        <v>16715</v>
      </c>
      <c r="N2251" s="7" t="s">
        <v>16716</v>
      </c>
      <c r="O2251" s="8" t="str">
        <f>HYPERLINK("https://drive.google.com/file/d/1-8F1AnhgeHDUre1lJiPw7_lasaThkGXl/view?usp=drivesdk","2250_MUHAMMAD RAFI PRATIKA _ SERTIFIKAT BIMTEK IPASN BerAKHLASK")</f>
        <v>2250_MUHAMMAD RAFI PRATIKA _ SERTIFIKAT BIMTEK IPASN BerAKHLASK</v>
      </c>
      <c r="P2251" s="5" t="s">
        <v>16696</v>
      </c>
      <c r="Q2251" s="5"/>
      <c r="R2251" s="5"/>
      <c r="S2251" s="5"/>
      <c r="T2251" s="5"/>
    </row>
    <row r="2252">
      <c r="A2252" s="4">
        <v>45534.33931096065</v>
      </c>
      <c r="B2252" s="5" t="s">
        <v>34</v>
      </c>
      <c r="D2252" s="5" t="s">
        <v>4775</v>
      </c>
      <c r="E2252" s="5" t="s">
        <v>16717</v>
      </c>
      <c r="F2252" s="5" t="s">
        <v>524</v>
      </c>
      <c r="G2252" s="5" t="s">
        <v>16718</v>
      </c>
      <c r="H2252" s="6" t="s">
        <v>16719</v>
      </c>
      <c r="K2252" s="5" t="s">
        <v>14944</v>
      </c>
      <c r="M2252" s="5" t="s">
        <v>16720</v>
      </c>
      <c r="N2252" s="7" t="s">
        <v>16721</v>
      </c>
      <c r="O2252" s="8" t="str">
        <f>HYPERLINK("https://drive.google.com/file/d/1O_ui23Us1mdLfC5zIsDo6n5d6N9PSfNr/view?usp=drivesdk","2251_SAEFUDIN, S.E. _ SERTIFIKAT BIMTEK IPASN BerAKHLASK")</f>
        <v>2251_SAEFUDIN, S.E. _ SERTIFIKAT BIMTEK IPASN BerAKHLASK</v>
      </c>
      <c r="P2252" s="5" t="s">
        <v>16696</v>
      </c>
      <c r="Q2252" s="5"/>
      <c r="R2252" s="5"/>
      <c r="S2252" s="5"/>
      <c r="T2252" s="5"/>
    </row>
    <row r="2253">
      <c r="A2253" s="4">
        <v>45534.33931623843</v>
      </c>
      <c r="B2253" s="5" t="s">
        <v>34</v>
      </c>
      <c r="D2253" s="5" t="s">
        <v>1206</v>
      </c>
      <c r="E2253" s="5" t="s">
        <v>16722</v>
      </c>
      <c r="F2253" s="5" t="s">
        <v>212</v>
      </c>
      <c r="G2253" s="5" t="s">
        <v>16723</v>
      </c>
      <c r="H2253" s="6" t="s">
        <v>16724</v>
      </c>
      <c r="K2253" s="5" t="s">
        <v>14944</v>
      </c>
      <c r="M2253" s="5" t="s">
        <v>16725</v>
      </c>
      <c r="N2253" s="7" t="s">
        <v>16726</v>
      </c>
      <c r="O2253" s="8" t="str">
        <f>HYPERLINK("https://drive.google.com/file/d/143V-UGhVLjK8HSWR8nL08fttclaL7KoD/view?usp=drivesdk","2252_EKO FERRY HERMANTO _ SERTIFIKAT BIMTEK IPASN BerAKHLASK")</f>
        <v>2252_EKO FERRY HERMANTO _ SERTIFIKAT BIMTEK IPASN BerAKHLASK</v>
      </c>
      <c r="P2253" s="5" t="s">
        <v>16727</v>
      </c>
      <c r="Q2253" s="5"/>
      <c r="R2253" s="5"/>
      <c r="S2253" s="5"/>
      <c r="T2253" s="5"/>
    </row>
    <row r="2254">
      <c r="A2254" s="4">
        <v>45534.33931649306</v>
      </c>
      <c r="B2254" s="5" t="s">
        <v>34</v>
      </c>
      <c r="D2254" s="5" t="s">
        <v>6232</v>
      </c>
      <c r="E2254" s="5" t="s">
        <v>16728</v>
      </c>
      <c r="F2254" s="5" t="s">
        <v>524</v>
      </c>
      <c r="G2254" s="5" t="s">
        <v>16729</v>
      </c>
      <c r="H2254" s="6" t="s">
        <v>16730</v>
      </c>
      <c r="K2254" s="5" t="s">
        <v>14944</v>
      </c>
      <c r="M2254" s="5" t="s">
        <v>16731</v>
      </c>
      <c r="N2254" s="7" t="s">
        <v>16732</v>
      </c>
      <c r="O2254" s="8" t="str">
        <f>HYPERLINK("https://drive.google.com/file/d/1Nsihiz3GJVy3dKoO3dHekHroHDwFZo8J/view?usp=drivesdk","2253_IKA SUSANTI _ SERTIFIKAT BIMTEK IPASN BerAKHLASK")</f>
        <v>2253_IKA SUSANTI _ SERTIFIKAT BIMTEK IPASN BerAKHLASK</v>
      </c>
      <c r="P2254" s="5" t="s">
        <v>16727</v>
      </c>
      <c r="Q2254" s="5"/>
      <c r="R2254" s="5"/>
      <c r="S2254" s="5"/>
      <c r="T2254" s="5"/>
    </row>
    <row r="2255">
      <c r="A2255" s="4">
        <v>45534.33930724537</v>
      </c>
      <c r="B2255" s="5" t="s">
        <v>34</v>
      </c>
      <c r="D2255" s="5" t="s">
        <v>280</v>
      </c>
      <c r="E2255" s="5" t="s">
        <v>16733</v>
      </c>
      <c r="F2255" s="5" t="s">
        <v>37</v>
      </c>
      <c r="G2255" s="5" t="s">
        <v>16734</v>
      </c>
      <c r="H2255" s="6" t="s">
        <v>16735</v>
      </c>
      <c r="K2255" s="5" t="s">
        <v>14944</v>
      </c>
      <c r="M2255" s="5" t="s">
        <v>16736</v>
      </c>
      <c r="N2255" s="7" t="s">
        <v>16737</v>
      </c>
      <c r="O2255" s="8" t="str">
        <f>HYPERLINK("https://drive.google.com/file/d/123K2UZPSCsqJ4gqLPt7_-XBd6NpkwcIL/view?usp=drivesdk","2254_TRISNAWATI, SARJANA ADMINISTRASI PUBLIK _ SERTIFIKAT BIMTEK IPASN BerAKHLASK")</f>
        <v>2254_TRISNAWATI, SARJANA ADMINISTRASI PUBLIK _ SERTIFIKAT BIMTEK IPASN BerAKHLASK</v>
      </c>
      <c r="P2255" s="5" t="s">
        <v>16727</v>
      </c>
      <c r="Q2255" s="5"/>
      <c r="R2255" s="5"/>
      <c r="S2255" s="5"/>
      <c r="T2255" s="5"/>
    </row>
    <row r="2256">
      <c r="A2256" s="4">
        <v>45534.33931141204</v>
      </c>
      <c r="B2256" s="5" t="s">
        <v>34</v>
      </c>
      <c r="D2256" s="5" t="s">
        <v>12010</v>
      </c>
      <c r="E2256" s="5" t="s">
        <v>16738</v>
      </c>
      <c r="F2256" s="5" t="s">
        <v>72</v>
      </c>
      <c r="G2256" s="5" t="s">
        <v>16739</v>
      </c>
      <c r="H2256" s="6" t="s">
        <v>16740</v>
      </c>
      <c r="K2256" s="5" t="s">
        <v>14944</v>
      </c>
      <c r="M2256" s="5" t="s">
        <v>16741</v>
      </c>
      <c r="N2256" s="7" t="s">
        <v>16742</v>
      </c>
      <c r="O2256" s="8" t="str">
        <f>HYPERLINK("https://drive.google.com/file/d/1mZaNxZMvS9SbbD7Ts-mFSqGPBVy_l0g7/view?usp=drivesdk","2255_DAHNIAR _ SERTIFIKAT BIMTEK IPASN BerAKHLASK")</f>
        <v>2255_DAHNIAR _ SERTIFIKAT BIMTEK IPASN BerAKHLASK</v>
      </c>
      <c r="P2256" s="5" t="s">
        <v>16727</v>
      </c>
      <c r="Q2256" s="5"/>
      <c r="R2256" s="5"/>
      <c r="S2256" s="5"/>
      <c r="T2256" s="5"/>
    </row>
    <row r="2257">
      <c r="A2257" s="4">
        <v>45534.33931459491</v>
      </c>
      <c r="B2257" s="5" t="s">
        <v>34</v>
      </c>
      <c r="D2257" s="5" t="s">
        <v>1206</v>
      </c>
      <c r="E2257" s="5" t="s">
        <v>16743</v>
      </c>
      <c r="F2257" s="5" t="s">
        <v>37</v>
      </c>
      <c r="G2257" s="5" t="s">
        <v>16744</v>
      </c>
      <c r="H2257" s="6" t="s">
        <v>16745</v>
      </c>
      <c r="K2257" s="5" t="s">
        <v>14944</v>
      </c>
      <c r="M2257" s="5" t="s">
        <v>16746</v>
      </c>
      <c r="N2257" s="7" t="s">
        <v>16747</v>
      </c>
      <c r="O2257" s="8" t="str">
        <f>HYPERLINK("https://drive.google.com/file/d/1zR2CK_NhVK1BR_HM7L7poIHdYJInYo96/view?usp=drivesdk","2256_MARIA ULFA _ SERTIFIKAT BIMTEK IPASN BerAKHLASK")</f>
        <v>2256_MARIA ULFA _ SERTIFIKAT BIMTEK IPASN BerAKHLASK</v>
      </c>
      <c r="P2257" s="5" t="s">
        <v>16727</v>
      </c>
      <c r="Q2257" s="5"/>
      <c r="R2257" s="5"/>
      <c r="S2257" s="5"/>
      <c r="T2257" s="5"/>
    </row>
    <row r="2258">
      <c r="A2258" s="4">
        <v>45534.339324768516</v>
      </c>
      <c r="B2258" s="5" t="s">
        <v>34</v>
      </c>
      <c r="D2258" s="5" t="s">
        <v>6232</v>
      </c>
      <c r="E2258" s="5" t="s">
        <v>16748</v>
      </c>
      <c r="F2258" s="5" t="s">
        <v>37</v>
      </c>
      <c r="G2258" s="5" t="s">
        <v>16749</v>
      </c>
      <c r="H2258" s="6" t="s">
        <v>16750</v>
      </c>
      <c r="K2258" s="5" t="s">
        <v>14944</v>
      </c>
      <c r="M2258" s="5" t="s">
        <v>16751</v>
      </c>
      <c r="N2258" s="7" t="s">
        <v>16752</v>
      </c>
      <c r="O2258" s="8" t="str">
        <f>HYPERLINK("https://drive.google.com/file/d/1PqRKCG0fJiCzXv4cv3egb6sHyr7jSUNf/view?usp=drivesdk","2257_Rina Kusuma Wardani _ SERTIFIKAT BIMTEK IPASN BerAKHLASK")</f>
        <v>2257_Rina Kusuma Wardani _ SERTIFIKAT BIMTEK IPASN BerAKHLASK</v>
      </c>
      <c r="P2258" s="5" t="s">
        <v>16753</v>
      </c>
      <c r="Q2258" s="5"/>
      <c r="R2258" s="5"/>
      <c r="S2258" s="5"/>
      <c r="T2258" s="5"/>
    </row>
    <row r="2259">
      <c r="A2259" s="4">
        <v>45534.339329560185</v>
      </c>
      <c r="B2259" s="5" t="s">
        <v>34</v>
      </c>
      <c r="D2259" s="5" t="s">
        <v>9020</v>
      </c>
      <c r="E2259" s="5" t="s">
        <v>16754</v>
      </c>
      <c r="F2259" s="5" t="s">
        <v>212</v>
      </c>
      <c r="G2259" s="5" t="s">
        <v>16755</v>
      </c>
      <c r="H2259" s="6" t="s">
        <v>16756</v>
      </c>
      <c r="K2259" s="5" t="s">
        <v>14944</v>
      </c>
      <c r="M2259" s="5" t="s">
        <v>16757</v>
      </c>
      <c r="N2259" s="7" t="s">
        <v>16758</v>
      </c>
      <c r="O2259" s="8" t="str">
        <f>HYPERLINK("https://drive.google.com/file/d/1EcIJ3afbrnkG4tTcbupASn6xCJ4IS_qJ/view?usp=drivesdk","2258_ERMA SUTI NASUTION _ SERTIFIKAT BIMTEK IPASN BerAKHLASK")</f>
        <v>2258_ERMA SUTI NASUTION _ SERTIFIKAT BIMTEK IPASN BerAKHLASK</v>
      </c>
      <c r="P2259" s="5" t="s">
        <v>16753</v>
      </c>
      <c r="Q2259" s="5"/>
      <c r="R2259" s="5"/>
      <c r="S2259" s="5"/>
      <c r="T2259" s="5"/>
    </row>
    <row r="2260">
      <c r="A2260" s="4">
        <v>45534.33933328703</v>
      </c>
      <c r="B2260" s="5" t="s">
        <v>34</v>
      </c>
      <c r="D2260" s="5" t="s">
        <v>4775</v>
      </c>
      <c r="E2260" s="5" t="s">
        <v>16759</v>
      </c>
      <c r="F2260" s="5" t="s">
        <v>212</v>
      </c>
      <c r="G2260" s="5" t="s">
        <v>16760</v>
      </c>
      <c r="H2260" s="6" t="s">
        <v>16761</v>
      </c>
      <c r="K2260" s="5" t="s">
        <v>14944</v>
      </c>
      <c r="M2260" s="5" t="s">
        <v>16762</v>
      </c>
      <c r="N2260" s="7" t="s">
        <v>16763</v>
      </c>
      <c r="O2260" s="8" t="str">
        <f>HYPERLINK("https://drive.google.com/file/d/1uhMGo01XleDMVYpd2kpD8jNEVM0Rzzvl/view?usp=drivesdk","2259_SUSANTI  _ SERTIFIKAT BIMTEK IPASN BerAKHLASK")</f>
        <v>2259_SUSANTI  _ SERTIFIKAT BIMTEK IPASN BerAKHLASK</v>
      </c>
      <c r="P2260" s="5" t="s">
        <v>16753</v>
      </c>
      <c r="Q2260" s="5"/>
      <c r="R2260" s="5"/>
      <c r="S2260" s="5"/>
      <c r="T2260" s="5"/>
    </row>
    <row r="2261" hidden="1">
      <c r="A2261" s="4">
        <v>45534.33932583334</v>
      </c>
      <c r="B2261" s="5" t="s">
        <v>19</v>
      </c>
      <c r="C2261" s="5" t="s">
        <v>292</v>
      </c>
      <c r="E2261" s="5" t="s">
        <v>16764</v>
      </c>
      <c r="F2261" s="5" t="s">
        <v>72</v>
      </c>
      <c r="G2261" s="5" t="s">
        <v>16765</v>
      </c>
      <c r="H2261" s="6" t="s">
        <v>16766</v>
      </c>
      <c r="K2261" s="5" t="s">
        <v>14944</v>
      </c>
      <c r="M2261" s="5" t="s">
        <v>16767</v>
      </c>
      <c r="N2261" s="7" t="s">
        <v>16768</v>
      </c>
      <c r="O2261" s="8" t="str">
        <f>HYPERLINK("https://drive.google.com/file/d/1XlLOO6Z6dKS5qSAevH9WVDMRo3S8IauL/view?usp=drivesdk","2260_MOCH JUHARIYADI _ SERTIFIKAT BIMTEK IPASN BerAKHLASK")</f>
        <v>2260_MOCH JUHARIYADI _ SERTIFIKAT BIMTEK IPASN BerAKHLASK</v>
      </c>
      <c r="P2261" s="5" t="s">
        <v>16753</v>
      </c>
      <c r="Q2261" s="5"/>
      <c r="R2261" s="5"/>
      <c r="S2261" s="5"/>
      <c r="T2261" s="5"/>
    </row>
    <row r="2262">
      <c r="A2262" s="4">
        <v>45534.339337638885</v>
      </c>
      <c r="B2262" s="5" t="s">
        <v>34</v>
      </c>
      <c r="D2262" s="5" t="s">
        <v>10444</v>
      </c>
      <c r="E2262" s="5" t="s">
        <v>16769</v>
      </c>
      <c r="F2262" s="5" t="s">
        <v>37</v>
      </c>
      <c r="G2262" s="5" t="s">
        <v>16770</v>
      </c>
      <c r="H2262" s="6" t="s">
        <v>16771</v>
      </c>
      <c r="I2262" s="7" t="s">
        <v>16772</v>
      </c>
      <c r="J2262" s="8" t="str">
        <f>HYPERLINK("https://drive.google.com/file/d/1xiTEwxxzrY_Wh6iXpkpIVv9iR6x6ULTk/view?usp=drivesdk","YASINIARTI, A.MD.KG SERTIFIKAT BerAKHLAK")</f>
        <v>YASINIARTI, A.MD.KG SERTIFIKAT BerAKHLAK</v>
      </c>
      <c r="K2262" s="5" t="s">
        <v>14929</v>
      </c>
      <c r="L2262" s="5" t="s">
        <v>16773</v>
      </c>
      <c r="M2262" s="5" t="s">
        <v>16774</v>
      </c>
      <c r="N2262" s="7" t="s">
        <v>16775</v>
      </c>
      <c r="O2262" s="8" t="str">
        <f>HYPERLINK("https://drive.google.com/file/d/13pl-RwtYM8ABJAXMXxz6A3c1qCNAZqhm/view?usp=drivesdk","2261_YASINIARTI, A.MD.KG _ SERTIFIKAT BIMTEK IPASN BerAKHLASK")</f>
        <v>2261_YASINIARTI, A.MD.KG _ SERTIFIKAT BIMTEK IPASN BerAKHLASK</v>
      </c>
      <c r="P2262" s="5" t="s">
        <v>16753</v>
      </c>
      <c r="Q2262" s="5"/>
      <c r="R2262" s="5"/>
      <c r="S2262" s="5"/>
      <c r="T2262" s="5"/>
    </row>
    <row r="2263">
      <c r="A2263" s="4">
        <v>45534.33933818287</v>
      </c>
      <c r="B2263" s="5" t="s">
        <v>34</v>
      </c>
      <c r="D2263" s="5" t="s">
        <v>1768</v>
      </c>
      <c r="E2263" s="5" t="s">
        <v>16776</v>
      </c>
      <c r="F2263" s="5" t="s">
        <v>108</v>
      </c>
      <c r="G2263" s="5" t="s">
        <v>16777</v>
      </c>
      <c r="H2263" s="6" t="s">
        <v>16778</v>
      </c>
      <c r="I2263" s="7" t="s">
        <v>16779</v>
      </c>
      <c r="J2263" s="8" t="str">
        <f>HYPERLINK("https://drive.google.com/file/d/1lzHQoYCgWq9jKbqao1IEcSMpglB458DC/view?usp=drivesdk","NURSEHAN SERTIFIKAT BerAKHLAK")</f>
        <v>NURSEHAN SERTIFIKAT BerAKHLAK</v>
      </c>
      <c r="K2263" s="5" t="s">
        <v>14929</v>
      </c>
      <c r="L2263" s="5" t="s">
        <v>16780</v>
      </c>
      <c r="M2263" s="5" t="s">
        <v>16781</v>
      </c>
      <c r="N2263" s="7" t="s">
        <v>16782</v>
      </c>
      <c r="O2263" s="8" t="str">
        <f>HYPERLINK("https://drive.google.com/file/d/1V8GEZDNf0a-wlTTGX2X8ZvpoqPVWHtkv/view?usp=drivesdk","2262_NURSEHAN _ SERTIFIKAT BIMTEK IPASN BerAKHLASK")</f>
        <v>2262_NURSEHAN _ SERTIFIKAT BIMTEK IPASN BerAKHLASK</v>
      </c>
      <c r="P2263" s="5" t="s">
        <v>16783</v>
      </c>
      <c r="Q2263" s="5"/>
      <c r="R2263" s="5"/>
      <c r="S2263" s="5"/>
      <c r="T2263" s="5"/>
    </row>
    <row r="2264">
      <c r="A2264" s="4">
        <v>45534.339343472224</v>
      </c>
      <c r="B2264" s="5" t="s">
        <v>34</v>
      </c>
      <c r="D2264" s="5" t="s">
        <v>604</v>
      </c>
      <c r="E2264" s="5" t="s">
        <v>16784</v>
      </c>
      <c r="F2264" s="5" t="s">
        <v>375</v>
      </c>
      <c r="G2264" s="5" t="s">
        <v>16785</v>
      </c>
      <c r="H2264" s="6" t="s">
        <v>16786</v>
      </c>
      <c r="I2264" s="7" t="s">
        <v>16787</v>
      </c>
      <c r="J2264" s="8" t="str">
        <f>HYPERLINK("https://drive.google.com/file/d/1FIc5PR0ZIEjt4JO_KjfwBGT71Of1Z3AP/view?usp=drivesdk","SAFRI,S.KOM.,M.M SERTIFIKAT BerAKHLAK")</f>
        <v>SAFRI,S.KOM.,M.M SERTIFIKAT BerAKHLAK</v>
      </c>
      <c r="K2264" s="5" t="s">
        <v>14929</v>
      </c>
      <c r="L2264" s="5" t="s">
        <v>16788</v>
      </c>
      <c r="M2264" s="5" t="s">
        <v>16789</v>
      </c>
      <c r="N2264" s="7" t="s">
        <v>16790</v>
      </c>
      <c r="O2264" s="8" t="str">
        <f>HYPERLINK("https://drive.google.com/file/d/1HbJJOv8jJCetCaZqWS9QXF2AbxJU0-u6/view?usp=drivesdk","2263_SAFRI,S.KOM.,M.M _ SERTIFIKAT BIMTEK IPASN BerAKHLASK")</f>
        <v>2263_SAFRI,S.KOM.,M.M _ SERTIFIKAT BIMTEK IPASN BerAKHLASK</v>
      </c>
      <c r="P2264" s="5" t="s">
        <v>16783</v>
      </c>
      <c r="Q2264" s="5"/>
      <c r="R2264" s="5"/>
      <c r="S2264" s="5"/>
      <c r="T2264" s="5"/>
    </row>
    <row r="2265" hidden="1">
      <c r="A2265" s="4">
        <v>45534.33935270833</v>
      </c>
      <c r="B2265" s="5" t="s">
        <v>19</v>
      </c>
      <c r="C2265" s="5" t="s">
        <v>14000</v>
      </c>
      <c r="E2265" s="5" t="s">
        <v>16791</v>
      </c>
      <c r="F2265" s="5" t="s">
        <v>37</v>
      </c>
      <c r="G2265" s="5" t="s">
        <v>16792</v>
      </c>
      <c r="H2265" s="6" t="s">
        <v>16793</v>
      </c>
      <c r="I2265" s="7" t="s">
        <v>16794</v>
      </c>
      <c r="J2265" s="8" t="str">
        <f>HYPERLINK("https://drive.google.com/file/d/1PLCyHyL8lnapy2f3RQ6A3bJLtkeXZYD8/view?usp=drivesdk","FITRATUL HAYATI SERTIFIKAT BerAKHLAK")</f>
        <v>FITRATUL HAYATI SERTIFIKAT BerAKHLAK</v>
      </c>
      <c r="K2265" s="5" t="s">
        <v>14929</v>
      </c>
      <c r="L2265" s="5" t="s">
        <v>16795</v>
      </c>
      <c r="M2265" s="5" t="s">
        <v>16796</v>
      </c>
      <c r="N2265" s="7" t="s">
        <v>16797</v>
      </c>
      <c r="O2265" s="8" t="str">
        <f>HYPERLINK("https://drive.google.com/file/d/1xwMgmbTTP2bV-AaR10baIOchXNHNpLbC/view?usp=drivesdk","2264_FITRATUL HAYATI _ SERTIFIKAT BIMTEK IPASN BerAKHLASK")</f>
        <v>2264_FITRATUL HAYATI _ SERTIFIKAT BIMTEK IPASN BerAKHLASK</v>
      </c>
      <c r="P2265" s="5" t="s">
        <v>16783</v>
      </c>
      <c r="Q2265" s="5"/>
      <c r="R2265" s="5"/>
      <c r="S2265" s="5"/>
      <c r="T2265" s="5"/>
    </row>
    <row r="2266" hidden="1">
      <c r="A2266" s="4">
        <v>45534.33936104167</v>
      </c>
      <c r="B2266" s="5" t="s">
        <v>19</v>
      </c>
      <c r="C2266" s="5" t="s">
        <v>466</v>
      </c>
      <c r="E2266" s="5" t="s">
        <v>16798</v>
      </c>
      <c r="F2266" s="5" t="s">
        <v>375</v>
      </c>
      <c r="G2266" s="5" t="s">
        <v>16799</v>
      </c>
      <c r="H2266" s="6" t="s">
        <v>16800</v>
      </c>
      <c r="K2266" s="5" t="s">
        <v>16801</v>
      </c>
      <c r="M2266" s="5" t="s">
        <v>16802</v>
      </c>
      <c r="N2266" s="7" t="s">
        <v>16803</v>
      </c>
      <c r="O2266" s="8" t="str">
        <f>HYPERLINK("https://drive.google.com/file/d/1RPT6Z7MTDr31pWb_RhMSRNNEcGC7D_c-/view?usp=drivesdk","2265_KEMAL IDRIS,S.T. _ SERTIFIKAT BIMTEK IPASN BerAKHLASK")</f>
        <v>2265_KEMAL IDRIS,S.T. _ SERTIFIKAT BIMTEK IPASN BerAKHLASK</v>
      </c>
      <c r="P2266" s="5" t="s">
        <v>16783</v>
      </c>
      <c r="Q2266" s="5"/>
      <c r="R2266" s="5"/>
      <c r="S2266" s="5"/>
      <c r="T2266" s="5"/>
    </row>
    <row r="2267">
      <c r="A2267" s="4">
        <v>45534.33937159722</v>
      </c>
      <c r="B2267" s="5" t="s">
        <v>34</v>
      </c>
      <c r="D2267" s="5" t="s">
        <v>12978</v>
      </c>
      <c r="E2267" s="5" t="s">
        <v>16804</v>
      </c>
      <c r="F2267" s="5" t="s">
        <v>375</v>
      </c>
      <c r="G2267" s="5" t="s">
        <v>16805</v>
      </c>
      <c r="H2267" s="6" t="s">
        <v>16806</v>
      </c>
      <c r="K2267" s="5" t="s">
        <v>16801</v>
      </c>
      <c r="M2267" s="5" t="s">
        <v>16807</v>
      </c>
      <c r="N2267" s="7" t="s">
        <v>16808</v>
      </c>
      <c r="O2267" s="8" t="str">
        <f>HYPERLINK("https://drive.google.com/file/d/11wpAS1cyF2IBlzd8ETsU4dkcBK5tijiZ/view?usp=drivesdk","2266_MAYA SOPA, S.E. _ SERTIFIKAT BIMTEK IPASN BerAKHLASK")</f>
        <v>2266_MAYA SOPA, S.E. _ SERTIFIKAT BIMTEK IPASN BerAKHLASK</v>
      </c>
      <c r="P2267" s="5" t="s">
        <v>16783</v>
      </c>
      <c r="Q2267" s="5"/>
      <c r="R2267" s="5"/>
      <c r="S2267" s="5"/>
      <c r="T2267" s="5"/>
    </row>
    <row r="2268">
      <c r="A2268" s="4">
        <v>45534.33937425926</v>
      </c>
      <c r="B2268" s="5" t="s">
        <v>34</v>
      </c>
      <c r="D2268" s="5" t="s">
        <v>1206</v>
      </c>
      <c r="E2268" s="5" t="s">
        <v>16809</v>
      </c>
      <c r="F2268" s="5" t="s">
        <v>37</v>
      </c>
      <c r="G2268" s="5" t="s">
        <v>16810</v>
      </c>
      <c r="H2268" s="6" t="s">
        <v>16811</v>
      </c>
      <c r="K2268" s="5" t="s">
        <v>16801</v>
      </c>
      <c r="M2268" s="5" t="s">
        <v>16812</v>
      </c>
      <c r="N2268" s="7" t="s">
        <v>16813</v>
      </c>
      <c r="O2268" s="8" t="str">
        <f>HYPERLINK("https://drive.google.com/file/d/1pETO05Rx6zPnNjiz8kq9OK6IlBV0YnVa/view?usp=drivesdk","2267_NURHASANAH _ SERTIFIKAT BIMTEK IPASN BerAKHLASK")</f>
        <v>2267_NURHASANAH _ SERTIFIKAT BIMTEK IPASN BerAKHLASK</v>
      </c>
      <c r="P2268" s="5" t="s">
        <v>16814</v>
      </c>
      <c r="Q2268" s="5"/>
      <c r="R2268" s="5"/>
      <c r="S2268" s="5"/>
      <c r="T2268" s="5"/>
    </row>
    <row r="2269">
      <c r="A2269" s="4">
        <v>45534.339382488426</v>
      </c>
      <c r="B2269" s="5" t="s">
        <v>34</v>
      </c>
      <c r="D2269" s="5" t="s">
        <v>35</v>
      </c>
      <c r="E2269" s="5" t="s">
        <v>16815</v>
      </c>
      <c r="F2269" s="5" t="s">
        <v>524</v>
      </c>
      <c r="G2269" s="5" t="s">
        <v>16816</v>
      </c>
      <c r="H2269" s="6" t="s">
        <v>16817</v>
      </c>
      <c r="K2269" s="5" t="s">
        <v>16801</v>
      </c>
      <c r="M2269" s="5" t="s">
        <v>16818</v>
      </c>
      <c r="N2269" s="7" t="s">
        <v>16819</v>
      </c>
      <c r="O2269" s="8" t="str">
        <f>HYPERLINK("https://drive.google.com/file/d/1EirQPj1AB2yUdGiU9KLw4udhktrH__H2/view?usp=drivesdk","2268_SOPIYAN _ SERTIFIKAT BIMTEK IPASN BerAKHLASK")</f>
        <v>2268_SOPIYAN _ SERTIFIKAT BIMTEK IPASN BerAKHLASK</v>
      </c>
      <c r="P2269" s="5" t="s">
        <v>16814</v>
      </c>
      <c r="Q2269" s="5"/>
      <c r="R2269" s="5"/>
      <c r="S2269" s="5"/>
      <c r="T2269" s="5"/>
    </row>
    <row r="2270">
      <c r="A2270" s="4">
        <v>45534.33938104167</v>
      </c>
      <c r="B2270" s="5" t="s">
        <v>34</v>
      </c>
      <c r="D2270" s="5" t="s">
        <v>35</v>
      </c>
      <c r="E2270" s="5" t="s">
        <v>16820</v>
      </c>
      <c r="F2270" s="5" t="s">
        <v>199</v>
      </c>
      <c r="G2270" s="5" t="s">
        <v>16821</v>
      </c>
      <c r="H2270" s="6" t="s">
        <v>16822</v>
      </c>
      <c r="I2270" s="7" t="s">
        <v>16823</v>
      </c>
      <c r="J2270" s="8" t="str">
        <f>HYPERLINK("https://drive.google.com/file/d/1P8of4Y2sMsQnWjgl5JvxkpXtjAm27Zzp/view?usp=drivesdk","IIS JUBAEDAH SERTIFIKAT BerAKHLAK")</f>
        <v>IIS JUBAEDAH SERTIFIKAT BerAKHLAK</v>
      </c>
      <c r="K2270" s="5" t="s">
        <v>14116</v>
      </c>
      <c r="L2270" s="5" t="s">
        <v>16824</v>
      </c>
      <c r="M2270" s="5" t="s">
        <v>16825</v>
      </c>
      <c r="N2270" s="7" t="s">
        <v>16826</v>
      </c>
      <c r="O2270" s="8" t="str">
        <f>HYPERLINK("https://drive.google.com/file/d/1t_GnJHnO0qOh3VsCRtqokk-9opMq5lKv/view?usp=drivesdk","2269_IIS JUBAEDAH _ SERTIFIKAT BIMTEK IPASN BerAKHLASK")</f>
        <v>2269_IIS JUBAEDAH _ SERTIFIKAT BIMTEK IPASN BerAKHLASK</v>
      </c>
      <c r="P2270" s="5" t="s">
        <v>16814</v>
      </c>
      <c r="Q2270" s="5"/>
      <c r="R2270" s="5"/>
      <c r="S2270" s="5"/>
      <c r="T2270" s="5"/>
    </row>
    <row r="2271">
      <c r="A2271" s="4">
        <v>45534.33938547454</v>
      </c>
      <c r="B2271" s="5" t="s">
        <v>34</v>
      </c>
      <c r="D2271" s="5" t="s">
        <v>4775</v>
      </c>
      <c r="E2271" s="5" t="s">
        <v>16827</v>
      </c>
      <c r="F2271" s="5" t="s">
        <v>212</v>
      </c>
      <c r="G2271" s="5" t="s">
        <v>16828</v>
      </c>
      <c r="H2271" s="6" t="s">
        <v>16829</v>
      </c>
      <c r="I2271" s="7" t="s">
        <v>16830</v>
      </c>
      <c r="J2271" s="8" t="str">
        <f>HYPERLINK("https://drive.google.com/file/d/1nblvLIpO9IY3A6WtIbYz7HyLMJb2w9SA/view?usp=drivesdk","aMRIN KHARIRI SERTIFIKAT BerAKHLAK")</f>
        <v>aMRIN KHARIRI SERTIFIKAT BerAKHLAK</v>
      </c>
      <c r="K2271" s="5" t="s">
        <v>14116</v>
      </c>
      <c r="L2271" s="5" t="s">
        <v>16831</v>
      </c>
      <c r="M2271" s="5" t="s">
        <v>16832</v>
      </c>
      <c r="N2271" s="7" t="s">
        <v>16833</v>
      </c>
      <c r="O2271" s="8" t="str">
        <f>HYPERLINK("https://drive.google.com/file/d/1CKm2wz7721jTFJvexdkkOQkPVobMIzFE/view?usp=drivesdk","2270_aMRIN KHARIRI _ SERTIFIKAT BIMTEK IPASN BerAKHLASK")</f>
        <v>2270_aMRIN KHARIRI _ SERTIFIKAT BIMTEK IPASN BerAKHLASK</v>
      </c>
      <c r="P2271" s="5" t="s">
        <v>16814</v>
      </c>
      <c r="Q2271" s="5"/>
      <c r="R2271" s="5"/>
      <c r="S2271" s="5"/>
      <c r="T2271" s="5"/>
    </row>
    <row r="2272">
      <c r="A2272" s="4">
        <v>45534.339398020835</v>
      </c>
      <c r="B2272" s="5" t="s">
        <v>34</v>
      </c>
      <c r="D2272" s="5" t="s">
        <v>35</v>
      </c>
      <c r="E2272" s="5" t="s">
        <v>16834</v>
      </c>
      <c r="F2272" s="5" t="s">
        <v>72</v>
      </c>
      <c r="G2272" s="5" t="s">
        <v>16835</v>
      </c>
      <c r="H2272" s="6" t="s">
        <v>16836</v>
      </c>
      <c r="I2272" s="7" t="s">
        <v>16837</v>
      </c>
      <c r="J2272" s="8" t="str">
        <f>HYPERLINK("https://drive.google.com/file/d/1G1byewpBt4fto3FcXb27pAazr72Kvznd/view?usp=drivesdk","SUSI SUKMAWATI, A.Md. SERTIFIKAT BerAKHLAK")</f>
        <v>SUSI SUKMAWATI, A.Md. SERTIFIKAT BerAKHLAK</v>
      </c>
      <c r="K2272" s="5" t="s">
        <v>14913</v>
      </c>
      <c r="L2272" s="5" t="s">
        <v>16838</v>
      </c>
      <c r="M2272" s="5" t="s">
        <v>16839</v>
      </c>
      <c r="N2272" s="7" t="s">
        <v>16840</v>
      </c>
      <c r="O2272" s="8" t="str">
        <f>HYPERLINK("https://drive.google.com/file/d/1tjmX35-GzZ9sCdFMIFThFnF3dvZTAA8Z/view?usp=drivesdk","2271_SUSI SUKMAWATI, A.Md. _ SERTIFIKAT BIMTEK IPASN BerAKHLASK")</f>
        <v>2271_SUSI SUKMAWATI, A.Md. _ SERTIFIKAT BIMTEK IPASN BerAKHLASK</v>
      </c>
      <c r="P2272" s="5" t="s">
        <v>16814</v>
      </c>
      <c r="Q2272" s="5"/>
      <c r="R2272" s="5"/>
      <c r="S2272" s="5"/>
      <c r="T2272" s="5"/>
    </row>
    <row r="2273" hidden="1">
      <c r="A2273" s="4">
        <v>45534.33940134259</v>
      </c>
      <c r="B2273" s="5" t="s">
        <v>19</v>
      </c>
      <c r="C2273" s="5" t="s">
        <v>466</v>
      </c>
      <c r="E2273" s="5" t="s">
        <v>16841</v>
      </c>
      <c r="F2273" s="5" t="s">
        <v>120</v>
      </c>
      <c r="G2273" s="5" t="s">
        <v>16842</v>
      </c>
      <c r="H2273" s="6" t="s">
        <v>16843</v>
      </c>
      <c r="I2273" s="7" t="s">
        <v>16844</v>
      </c>
      <c r="J2273" s="8" t="str">
        <f>HYPERLINK("https://drive.google.com/file/d/1jWe098vdkZFlSv93Hn0t6CUGlVXdBEok/view?usp=drivesdk","INDRA RAHADIYAN, ST SERTIFIKAT BerAKHLAK")</f>
        <v>INDRA RAHADIYAN, ST SERTIFIKAT BerAKHLAK</v>
      </c>
      <c r="K2273" s="5" t="s">
        <v>14913</v>
      </c>
      <c r="L2273" s="5" t="s">
        <v>16845</v>
      </c>
      <c r="M2273" s="5" t="s">
        <v>16846</v>
      </c>
      <c r="N2273" s="7" t="s">
        <v>16847</v>
      </c>
      <c r="O2273" s="8" t="str">
        <f>HYPERLINK("https://drive.google.com/file/d/1bUq1BSMSntBKfpSAg5n-rri0V9eAmJjR/view?usp=drivesdk","2272_INDRA RAHADIYAN, ST _ SERTIFIKAT BIMTEK IPASN BerAKHLASK")</f>
        <v>2272_INDRA RAHADIYAN, ST _ SERTIFIKAT BIMTEK IPASN BerAKHLASK</v>
      </c>
      <c r="P2273" s="5" t="s">
        <v>16814</v>
      </c>
      <c r="Q2273" s="5"/>
      <c r="R2273" s="5"/>
      <c r="S2273" s="5"/>
      <c r="T2273" s="5"/>
    </row>
    <row r="2274">
      <c r="A2274" s="4">
        <v>45534.33940224537</v>
      </c>
      <c r="B2274" s="5" t="s">
        <v>34</v>
      </c>
      <c r="D2274" s="5" t="s">
        <v>996</v>
      </c>
      <c r="E2274" s="5" t="s">
        <v>16848</v>
      </c>
      <c r="F2274" s="5" t="s">
        <v>37</v>
      </c>
      <c r="G2274" s="5" t="s">
        <v>16849</v>
      </c>
      <c r="H2274" s="6" t="s">
        <v>16850</v>
      </c>
      <c r="I2274" s="7" t="s">
        <v>16851</v>
      </c>
      <c r="J2274" s="8" t="str">
        <f>HYPERLINK("https://drive.google.com/file/d/152EpaaYfLuXiwwZbPmCJT_N6-59ln9TB/view?usp=drivesdk","RISDAYANTI SERTIFIKAT BerAKHLAK")</f>
        <v>RISDAYANTI SERTIFIKAT BerAKHLAK</v>
      </c>
      <c r="K2274" s="5" t="s">
        <v>14913</v>
      </c>
      <c r="L2274" s="5" t="s">
        <v>16852</v>
      </c>
      <c r="M2274" s="5" t="s">
        <v>16853</v>
      </c>
      <c r="N2274" s="7" t="s">
        <v>16854</v>
      </c>
      <c r="O2274" s="8" t="str">
        <f>HYPERLINK("https://drive.google.com/file/d/14I3ZkoJ_ziRco0n1DGGjtB5JM6Est9KL/view?usp=drivesdk","2273_RISDAYANTI _ SERTIFIKAT BIMTEK IPASN BerAKHLASK")</f>
        <v>2273_RISDAYANTI _ SERTIFIKAT BIMTEK IPASN BerAKHLASK</v>
      </c>
      <c r="P2274" s="5" t="s">
        <v>16855</v>
      </c>
      <c r="Q2274" s="5"/>
      <c r="R2274" s="5"/>
      <c r="S2274" s="5"/>
      <c r="T2274" s="5"/>
    </row>
    <row r="2275">
      <c r="A2275" s="4">
        <v>45534.33939587963</v>
      </c>
      <c r="B2275" s="5" t="s">
        <v>34</v>
      </c>
      <c r="D2275" s="5" t="s">
        <v>1206</v>
      </c>
      <c r="E2275" s="5" t="s">
        <v>16856</v>
      </c>
      <c r="F2275" s="5" t="s">
        <v>375</v>
      </c>
      <c r="G2275" s="5" t="s">
        <v>16857</v>
      </c>
      <c r="H2275" s="6" t="s">
        <v>16858</v>
      </c>
      <c r="I2275" s="7" t="s">
        <v>16859</v>
      </c>
      <c r="J2275" s="8" t="str">
        <f>HYPERLINK("https://drive.google.com/file/d/1QDh0JnO5iSsSqIjwBw4h6DrHObu-Qkp6/view?usp=drivesdk","NUNIK KARYATI,S.Sos SERTIFIKAT BerAKHLAK")</f>
        <v>NUNIK KARYATI,S.Sos SERTIFIKAT BerAKHLAK</v>
      </c>
      <c r="K2275" s="5" t="s">
        <v>14913</v>
      </c>
      <c r="L2275" s="5" t="s">
        <v>16860</v>
      </c>
      <c r="M2275" s="5" t="s">
        <v>16861</v>
      </c>
      <c r="N2275" s="7" t="s">
        <v>16862</v>
      </c>
      <c r="O2275" s="8" t="str">
        <f>HYPERLINK("https://drive.google.com/file/d/1m1zTq4Y1qXzzJNayjzrUf_q4Mj_1HP1Y/view?usp=drivesdk","2274_NUNIK KARYATI,S.Sos _ SERTIFIKAT BIMTEK IPASN BerAKHLASK")</f>
        <v>2274_NUNIK KARYATI,S.Sos _ SERTIFIKAT BIMTEK IPASN BerAKHLASK</v>
      </c>
      <c r="P2275" s="5" t="s">
        <v>16855</v>
      </c>
      <c r="Q2275" s="5"/>
      <c r="R2275" s="5"/>
      <c r="S2275" s="5"/>
      <c r="T2275" s="5"/>
    </row>
    <row r="2276">
      <c r="A2276" s="4">
        <v>45534.3394087037</v>
      </c>
      <c r="B2276" s="5" t="s">
        <v>34</v>
      </c>
      <c r="D2276" s="5" t="s">
        <v>12978</v>
      </c>
      <c r="E2276" s="5" t="s">
        <v>16863</v>
      </c>
      <c r="F2276" s="5" t="s">
        <v>524</v>
      </c>
      <c r="G2276" s="5" t="s">
        <v>16864</v>
      </c>
      <c r="H2276" s="6" t="s">
        <v>16865</v>
      </c>
      <c r="K2276" s="5" t="s">
        <v>16801</v>
      </c>
      <c r="M2276" s="5" t="s">
        <v>16866</v>
      </c>
      <c r="N2276" s="7" t="s">
        <v>16867</v>
      </c>
      <c r="O2276" s="8" t="str">
        <f>HYPERLINK("https://drive.google.com/file/d/1pq9IrmpQy7qFojw-AvOtk3EeBukAI0FH/view?usp=drivesdk","2275_PUTRI SAKINA NUR AWALIYAH _ SERTIFIKAT BIMTEK IPASN BerAKHLASK")</f>
        <v>2275_PUTRI SAKINA NUR AWALIYAH _ SERTIFIKAT BIMTEK IPASN BerAKHLASK</v>
      </c>
      <c r="P2276" s="5" t="s">
        <v>16855</v>
      </c>
      <c r="Q2276" s="5"/>
      <c r="R2276" s="5"/>
      <c r="S2276" s="5"/>
      <c r="T2276" s="5"/>
    </row>
    <row r="2277">
      <c r="A2277" s="4">
        <v>45534.339417951385</v>
      </c>
      <c r="B2277" s="5" t="s">
        <v>34</v>
      </c>
      <c r="D2277" s="5" t="s">
        <v>4775</v>
      </c>
      <c r="E2277" s="5" t="s">
        <v>16868</v>
      </c>
      <c r="F2277" s="5" t="s">
        <v>375</v>
      </c>
      <c r="G2277" s="5" t="s">
        <v>16869</v>
      </c>
      <c r="H2277" s="6" t="s">
        <v>16870</v>
      </c>
      <c r="K2277" s="5" t="s">
        <v>16801</v>
      </c>
      <c r="M2277" s="5" t="s">
        <v>16871</v>
      </c>
      <c r="N2277" s="7" t="s">
        <v>16872</v>
      </c>
      <c r="O2277" s="8" t="str">
        <f>HYPERLINK("https://drive.google.com/file/d/1BK9gQxbCEWTnsTx3XZ2iypjkAbl3uaKQ/view?usp=drivesdk","2276_PARTINI IFA, S.E. _ SERTIFIKAT BIMTEK IPASN BerAKHLASK")</f>
        <v>2276_PARTINI IFA, S.E. _ SERTIFIKAT BIMTEK IPASN BerAKHLASK</v>
      </c>
      <c r="P2277" s="5" t="s">
        <v>16855</v>
      </c>
      <c r="Q2277" s="5"/>
      <c r="R2277" s="5"/>
      <c r="S2277" s="5"/>
      <c r="T2277" s="5"/>
    </row>
    <row r="2278">
      <c r="A2278" s="4">
        <v>45534.33942152778</v>
      </c>
      <c r="B2278" s="5" t="s">
        <v>34</v>
      </c>
      <c r="D2278" s="5" t="s">
        <v>4775</v>
      </c>
      <c r="E2278" s="5" t="s">
        <v>16873</v>
      </c>
      <c r="F2278" s="5" t="s">
        <v>212</v>
      </c>
      <c r="G2278" s="5" t="s">
        <v>16874</v>
      </c>
      <c r="H2278" s="6" t="s">
        <v>16875</v>
      </c>
      <c r="K2278" s="5" t="s">
        <v>16801</v>
      </c>
      <c r="M2278" s="5" t="s">
        <v>16876</v>
      </c>
      <c r="N2278" s="7" t="s">
        <v>16877</v>
      </c>
      <c r="O2278" s="8" t="str">
        <f>HYPERLINK("https://drive.google.com/file/d/1DZbprExEnEoCTYDAidSN_eyXU7lGK5XG/view?usp=drivesdk","2277_SUPRAPTI _ SERTIFIKAT BIMTEK IPASN BerAKHLASK")</f>
        <v>2277_SUPRAPTI _ SERTIFIKAT BIMTEK IPASN BerAKHLASK</v>
      </c>
      <c r="P2278" s="5" t="s">
        <v>16855</v>
      </c>
      <c r="Q2278" s="5"/>
      <c r="R2278" s="5"/>
      <c r="S2278" s="5"/>
      <c r="T2278" s="5"/>
    </row>
    <row r="2279">
      <c r="A2279" s="4">
        <v>45534.33940907408</v>
      </c>
      <c r="B2279" s="5" t="s">
        <v>34</v>
      </c>
      <c r="D2279" s="5" t="s">
        <v>1206</v>
      </c>
      <c r="E2279" s="5" t="s">
        <v>16878</v>
      </c>
      <c r="F2279" s="5" t="s">
        <v>72</v>
      </c>
      <c r="G2279" s="5" t="s">
        <v>16879</v>
      </c>
      <c r="H2279" s="6" t="s">
        <v>16880</v>
      </c>
      <c r="K2279" s="5" t="s">
        <v>16801</v>
      </c>
      <c r="M2279" s="5" t="s">
        <v>16881</v>
      </c>
      <c r="N2279" s="7" t="s">
        <v>16882</v>
      </c>
      <c r="O2279" s="8" t="str">
        <f>HYPERLINK("https://drive.google.com/file/d/1mQFcVqeEJ_Dxji9SqS_mT5CRFEvcD_Gm/view?usp=drivesdk","2278_SLAMET _ SERTIFIKAT BIMTEK IPASN BerAKHLASK")</f>
        <v>2278_SLAMET _ SERTIFIKAT BIMTEK IPASN BerAKHLASK</v>
      </c>
      <c r="P2279" s="5" t="s">
        <v>16883</v>
      </c>
      <c r="Q2279" s="5"/>
      <c r="R2279" s="5"/>
      <c r="S2279" s="5"/>
      <c r="T2279" s="5"/>
    </row>
    <row r="2280">
      <c r="A2280" s="4">
        <v>45534.33942891203</v>
      </c>
      <c r="B2280" s="5" t="s">
        <v>34</v>
      </c>
      <c r="D2280" s="5" t="s">
        <v>1206</v>
      </c>
      <c r="E2280" s="5" t="s">
        <v>16884</v>
      </c>
      <c r="F2280" s="5" t="s">
        <v>328</v>
      </c>
      <c r="G2280" s="5" t="s">
        <v>16885</v>
      </c>
      <c r="H2280" s="6" t="s">
        <v>16886</v>
      </c>
      <c r="K2280" s="5" t="s">
        <v>16801</v>
      </c>
      <c r="M2280" s="5" t="s">
        <v>16887</v>
      </c>
      <c r="N2280" s="7" t="s">
        <v>16888</v>
      </c>
      <c r="O2280" s="8" t="str">
        <f>HYPERLINK("https://drive.google.com/file/d/1dMw5dRotKNy645bhy7iSCXifMUdfMTVf/view?usp=drivesdk","2279_SUPRIYADI _ SERTIFIKAT BIMTEK IPASN BerAKHLASK")</f>
        <v>2279_SUPRIYADI _ SERTIFIKAT BIMTEK IPASN BerAKHLASK</v>
      </c>
      <c r="P2280" s="5" t="s">
        <v>16883</v>
      </c>
      <c r="Q2280" s="5"/>
      <c r="R2280" s="5"/>
      <c r="S2280" s="5"/>
      <c r="T2280" s="5"/>
    </row>
    <row r="2281" hidden="1">
      <c r="A2281" s="4">
        <v>45534.33944328704</v>
      </c>
      <c r="B2281" s="5" t="s">
        <v>19</v>
      </c>
      <c r="C2281" s="5" t="s">
        <v>14000</v>
      </c>
      <c r="E2281" s="5" t="s">
        <v>16889</v>
      </c>
      <c r="F2281" s="5" t="s">
        <v>37</v>
      </c>
      <c r="G2281" s="5" t="s">
        <v>16890</v>
      </c>
      <c r="H2281" s="6" t="s">
        <v>16891</v>
      </c>
      <c r="K2281" s="5" t="s">
        <v>16801</v>
      </c>
      <c r="M2281" s="5" t="s">
        <v>16892</v>
      </c>
      <c r="N2281" s="7" t="s">
        <v>16893</v>
      </c>
      <c r="O2281" s="8" t="str">
        <f>HYPERLINK("https://drive.google.com/file/d/13MdwG-IsD7MAjI0RRUP9pOJPPhjoW_pn/view?usp=drivesdk","2280_Sri Rahayu Yuniarti _ SERTIFIKAT BIMTEK IPASN BerAKHLASK")</f>
        <v>2280_Sri Rahayu Yuniarti _ SERTIFIKAT BIMTEK IPASN BerAKHLASK</v>
      </c>
      <c r="P2281" s="5" t="s">
        <v>16883</v>
      </c>
      <c r="Q2281" s="5"/>
      <c r="R2281" s="5"/>
      <c r="S2281" s="5"/>
      <c r="T2281" s="5"/>
    </row>
    <row r="2282">
      <c r="A2282" s="4">
        <v>45534.3394449537</v>
      </c>
      <c r="B2282" s="5" t="s">
        <v>34</v>
      </c>
      <c r="D2282" s="5" t="s">
        <v>4775</v>
      </c>
      <c r="E2282" s="5" t="s">
        <v>16894</v>
      </c>
      <c r="F2282" s="5" t="s">
        <v>212</v>
      </c>
      <c r="G2282" s="5" t="s">
        <v>16895</v>
      </c>
      <c r="H2282" s="6" t="s">
        <v>16896</v>
      </c>
      <c r="K2282" s="5" t="s">
        <v>16801</v>
      </c>
      <c r="M2282" s="5" t="s">
        <v>16897</v>
      </c>
      <c r="N2282" s="7" t="s">
        <v>16898</v>
      </c>
      <c r="O2282" s="8" t="str">
        <f>HYPERLINK("https://drive.google.com/file/d/1AE9LIRCYDkIpaABN8cdaA8HYUxeI33qS/view?usp=drivesdk","2281_SUWARTONO _ SERTIFIKAT BIMTEK IPASN BerAKHLASK")</f>
        <v>2281_SUWARTONO _ SERTIFIKAT BIMTEK IPASN BerAKHLASK</v>
      </c>
      <c r="P2282" s="5" t="s">
        <v>16883</v>
      </c>
      <c r="Q2282" s="5"/>
      <c r="R2282" s="5"/>
      <c r="S2282" s="5"/>
      <c r="T2282" s="5"/>
    </row>
    <row r="2283">
      <c r="A2283" s="4">
        <v>45534.339445300924</v>
      </c>
      <c r="B2283" s="5" t="s">
        <v>34</v>
      </c>
      <c r="D2283" s="5" t="s">
        <v>996</v>
      </c>
      <c r="E2283" s="5" t="s">
        <v>16899</v>
      </c>
      <c r="F2283" s="5" t="s">
        <v>37</v>
      </c>
      <c r="G2283" s="5" t="s">
        <v>16900</v>
      </c>
      <c r="H2283" s="6" t="s">
        <v>16901</v>
      </c>
      <c r="K2283" s="5" t="s">
        <v>16801</v>
      </c>
      <c r="M2283" s="5" t="s">
        <v>16902</v>
      </c>
      <c r="N2283" s="7" t="s">
        <v>16903</v>
      </c>
      <c r="O2283" s="8" t="str">
        <f>HYPERLINK("https://drive.google.com/file/d/1fY0_Qc-r1-367iNlTZZJOHhFHIq2-E5q/view?usp=drivesdk","2282_SELVIANI,S.AP _ SERTIFIKAT BIMTEK IPASN BerAKHLASK")</f>
        <v>2282_SELVIANI,S.AP _ SERTIFIKAT BIMTEK IPASN BerAKHLASK</v>
      </c>
      <c r="P2283" s="5" t="s">
        <v>16883</v>
      </c>
      <c r="Q2283" s="5"/>
      <c r="R2283" s="5"/>
      <c r="S2283" s="5"/>
      <c r="T2283" s="5"/>
    </row>
    <row r="2284">
      <c r="A2284" s="4">
        <v>45534.33944673611</v>
      </c>
      <c r="B2284" s="5" t="s">
        <v>34</v>
      </c>
      <c r="D2284" s="5" t="s">
        <v>280</v>
      </c>
      <c r="E2284" s="5" t="s">
        <v>16904</v>
      </c>
      <c r="F2284" s="5" t="s">
        <v>375</v>
      </c>
      <c r="G2284" s="5" t="s">
        <v>11654</v>
      </c>
      <c r="H2284" s="6" t="s">
        <v>16905</v>
      </c>
      <c r="K2284" s="5" t="s">
        <v>16801</v>
      </c>
      <c r="M2284" s="5" t="s">
        <v>16906</v>
      </c>
      <c r="N2284" s="7" t="s">
        <v>16907</v>
      </c>
      <c r="O2284" s="8" t="str">
        <f>HYPERLINK("https://drive.google.com/file/d/1ttKpRD7dyN7Aed3pFH9X5IAydEgSQeXi/view?usp=drivesdk","2283_YUHERLIS _ SERTIFIKAT BIMTEK IPASN BerAKHLASK")</f>
        <v>2283_YUHERLIS _ SERTIFIKAT BIMTEK IPASN BerAKHLASK</v>
      </c>
      <c r="P2284" s="5" t="s">
        <v>16908</v>
      </c>
      <c r="Q2284" s="5"/>
      <c r="R2284" s="5"/>
      <c r="S2284" s="5"/>
      <c r="T2284" s="5"/>
    </row>
    <row r="2285">
      <c r="A2285" s="4">
        <v>45534.33944835648</v>
      </c>
      <c r="B2285" s="5" t="s">
        <v>34</v>
      </c>
      <c r="D2285" s="5" t="s">
        <v>35</v>
      </c>
      <c r="E2285" s="5" t="s">
        <v>16909</v>
      </c>
      <c r="F2285" s="5" t="s">
        <v>212</v>
      </c>
      <c r="G2285" s="5" t="s">
        <v>16910</v>
      </c>
      <c r="H2285" s="6" t="s">
        <v>16911</v>
      </c>
      <c r="K2285" s="5" t="s">
        <v>16801</v>
      </c>
      <c r="M2285" s="5" t="s">
        <v>16912</v>
      </c>
      <c r="N2285" s="7" t="s">
        <v>16913</v>
      </c>
      <c r="O2285" s="8" t="str">
        <f>HYPERLINK("https://drive.google.com/file/d/14PBMpnyzsYbhhoVKXiHZzWTOoabl44DB/view?usp=drivesdk","2284_HUBERTUS PURWANTO _ SERTIFIKAT BIMTEK IPASN BerAKHLASK")</f>
        <v>2284_HUBERTUS PURWANTO _ SERTIFIKAT BIMTEK IPASN BerAKHLASK</v>
      </c>
      <c r="P2285" s="5" t="s">
        <v>16908</v>
      </c>
      <c r="Q2285" s="5"/>
      <c r="R2285" s="5"/>
      <c r="S2285" s="5"/>
      <c r="T2285" s="5"/>
    </row>
    <row r="2286">
      <c r="A2286" s="4">
        <v>45534.3394550463</v>
      </c>
      <c r="B2286" s="5" t="s">
        <v>34</v>
      </c>
      <c r="D2286" s="5" t="s">
        <v>1206</v>
      </c>
      <c r="E2286" s="5" t="s">
        <v>16914</v>
      </c>
      <c r="F2286" s="5" t="s">
        <v>37</v>
      </c>
      <c r="G2286" s="5" t="s">
        <v>16915</v>
      </c>
      <c r="H2286" s="6" t="s">
        <v>16916</v>
      </c>
      <c r="K2286" s="5" t="s">
        <v>16801</v>
      </c>
      <c r="M2286" s="5" t="s">
        <v>16917</v>
      </c>
      <c r="N2286" s="7" t="s">
        <v>16918</v>
      </c>
      <c r="O2286" s="8" t="str">
        <f>HYPERLINK("https://drive.google.com/file/d/10cIjsG7tRSkK7BWf-nNB_CyylrWQXa-I/view?usp=drivesdk","2285_DODIK SUWANTO _ SERTIFIKAT BIMTEK IPASN BerAKHLASK")</f>
        <v>2285_DODIK SUWANTO _ SERTIFIKAT BIMTEK IPASN BerAKHLASK</v>
      </c>
      <c r="P2286" s="5" t="s">
        <v>16908</v>
      </c>
      <c r="Q2286" s="5"/>
      <c r="R2286" s="5"/>
      <c r="S2286" s="5"/>
      <c r="T2286" s="5"/>
    </row>
    <row r="2287">
      <c r="A2287" s="4">
        <v>45534.33946497685</v>
      </c>
      <c r="B2287" s="5" t="s">
        <v>34</v>
      </c>
      <c r="D2287" s="5" t="s">
        <v>35</v>
      </c>
      <c r="E2287" s="5" t="s">
        <v>16919</v>
      </c>
      <c r="F2287" s="5" t="s">
        <v>37</v>
      </c>
      <c r="G2287" s="5" t="s">
        <v>16920</v>
      </c>
      <c r="H2287" s="6" t="s">
        <v>16921</v>
      </c>
      <c r="K2287" s="5" t="s">
        <v>16801</v>
      </c>
      <c r="M2287" s="5" t="s">
        <v>16922</v>
      </c>
      <c r="N2287" s="7" t="s">
        <v>16923</v>
      </c>
      <c r="O2287" s="8" t="str">
        <f>HYPERLINK("https://drive.google.com/file/d/1odyJ1q5qr_etIQ5LS5Fm7o6H_9BLrB-_/view?usp=drivesdk","2286_HORI SUPRIADI _ SERTIFIKAT BIMTEK IPASN BerAKHLASK")</f>
        <v>2286_HORI SUPRIADI _ SERTIFIKAT BIMTEK IPASN BerAKHLASK</v>
      </c>
      <c r="P2287" s="5" t="s">
        <v>16908</v>
      </c>
      <c r="Q2287" s="5"/>
      <c r="R2287" s="5"/>
      <c r="S2287" s="5"/>
      <c r="T2287" s="5"/>
    </row>
    <row r="2288">
      <c r="A2288" s="4">
        <v>45534.33946998842</v>
      </c>
      <c r="B2288" s="5" t="s">
        <v>34</v>
      </c>
      <c r="D2288" s="5" t="s">
        <v>2903</v>
      </c>
      <c r="E2288" s="5" t="s">
        <v>16924</v>
      </c>
      <c r="F2288" s="5" t="s">
        <v>108</v>
      </c>
      <c r="G2288" s="5" t="s">
        <v>16925</v>
      </c>
      <c r="H2288" s="6" t="s">
        <v>16926</v>
      </c>
      <c r="K2288" s="5" t="s">
        <v>16801</v>
      </c>
      <c r="M2288" s="5" t="s">
        <v>16927</v>
      </c>
      <c r="N2288" s="7" t="s">
        <v>16928</v>
      </c>
      <c r="O2288" s="8" t="str">
        <f>HYPERLINK("https://drive.google.com/file/d/1qRrbcZ5B0Xdibz36DNiNR5LiStjKmuhy/view?usp=drivesdk","2287_dr. SAFNIZAL _ SERTIFIKAT BIMTEK IPASN BerAKHLASK")</f>
        <v>2287_dr. SAFNIZAL _ SERTIFIKAT BIMTEK IPASN BerAKHLASK</v>
      </c>
      <c r="P2288" s="5" t="s">
        <v>16908</v>
      </c>
      <c r="Q2288" s="5"/>
      <c r="R2288" s="5"/>
      <c r="S2288" s="5"/>
      <c r="T2288" s="5"/>
    </row>
    <row r="2289">
      <c r="A2289" s="4">
        <v>45534.33944821759</v>
      </c>
      <c r="B2289" s="5" t="s">
        <v>34</v>
      </c>
      <c r="D2289" s="5" t="s">
        <v>1206</v>
      </c>
      <c r="E2289" s="5" t="s">
        <v>16929</v>
      </c>
      <c r="F2289" s="5" t="s">
        <v>15386</v>
      </c>
      <c r="G2289" s="5" t="s">
        <v>16930</v>
      </c>
      <c r="H2289" s="6" t="s">
        <v>16931</v>
      </c>
      <c r="K2289" s="5" t="s">
        <v>16801</v>
      </c>
      <c r="M2289" s="5" t="s">
        <v>16932</v>
      </c>
      <c r="N2289" s="7" t="s">
        <v>16933</v>
      </c>
      <c r="O2289" s="8" t="str">
        <f>HYPERLINK("https://drive.google.com/file/d/1ZUNADiMLra2mYaorXKXTuzLogSqPoNz0/view?usp=drivesdk","2288_NANANG PRAMONO _ SERTIFIKAT BIMTEK IPASN BerAKHLASK")</f>
        <v>2288_NANANG PRAMONO _ SERTIFIKAT BIMTEK IPASN BerAKHLASK</v>
      </c>
      <c r="P2289" s="5" t="s">
        <v>16934</v>
      </c>
      <c r="Q2289" s="5"/>
      <c r="R2289" s="5"/>
      <c r="S2289" s="5"/>
      <c r="T2289" s="5"/>
    </row>
    <row r="2290">
      <c r="A2290" s="4">
        <v>45534.33944982639</v>
      </c>
      <c r="B2290" s="5" t="s">
        <v>34</v>
      </c>
      <c r="D2290" s="5" t="s">
        <v>35</v>
      </c>
      <c r="E2290" s="5" t="s">
        <v>16935</v>
      </c>
      <c r="F2290" s="5" t="s">
        <v>212</v>
      </c>
      <c r="G2290" s="5" t="s">
        <v>16936</v>
      </c>
      <c r="H2290" s="6" t="s">
        <v>16937</v>
      </c>
      <c r="K2290" s="5" t="s">
        <v>16801</v>
      </c>
      <c r="M2290" s="5" t="s">
        <v>16938</v>
      </c>
      <c r="N2290" s="7" t="s">
        <v>16939</v>
      </c>
      <c r="O2290" s="8" t="str">
        <f>HYPERLINK("https://drive.google.com/file/d/1kLKMBiTyYHU45pdJ7hKpBtBbSLjugwka/view?usp=drivesdk","2289_AGUSG UNAWAN _ SERTIFIKAT BIMTEK IPASN BerAKHLASK")</f>
        <v>2289_AGUSG UNAWAN _ SERTIFIKAT BIMTEK IPASN BerAKHLASK</v>
      </c>
      <c r="P2290" s="5" t="s">
        <v>16934</v>
      </c>
      <c r="Q2290" s="5"/>
      <c r="R2290" s="5"/>
      <c r="S2290" s="5"/>
      <c r="T2290" s="5"/>
    </row>
    <row r="2291">
      <c r="A2291" s="4">
        <v>45534.33945471064</v>
      </c>
      <c r="B2291" s="5" t="s">
        <v>34</v>
      </c>
      <c r="D2291" s="5" t="s">
        <v>35</v>
      </c>
      <c r="E2291" s="5" t="s">
        <v>16940</v>
      </c>
      <c r="F2291" s="5" t="s">
        <v>375</v>
      </c>
      <c r="G2291" s="5" t="s">
        <v>16941</v>
      </c>
      <c r="H2291" s="6" t="s">
        <v>16942</v>
      </c>
      <c r="K2291" s="5" t="s">
        <v>16801</v>
      </c>
      <c r="M2291" s="5" t="s">
        <v>16943</v>
      </c>
      <c r="N2291" s="7" t="s">
        <v>16944</v>
      </c>
      <c r="O2291" s="8" t="str">
        <f>HYPERLINK("https://drive.google.com/file/d/1ttb8MlNSHIiWX_1cYju38sRkwGR8YTEa/view?usp=drivesdk","2290_DIAN HENDRAWATI _ SERTIFIKAT BIMTEK IPASN BerAKHLASK")</f>
        <v>2290_DIAN HENDRAWATI _ SERTIFIKAT BIMTEK IPASN BerAKHLASK</v>
      </c>
      <c r="P2291" s="5" t="s">
        <v>16934</v>
      </c>
      <c r="Q2291" s="5"/>
      <c r="R2291" s="5"/>
      <c r="S2291" s="5"/>
      <c r="T2291" s="5"/>
    </row>
    <row r="2292">
      <c r="A2292" s="4">
        <v>45534.33945597222</v>
      </c>
      <c r="B2292" s="5" t="s">
        <v>34</v>
      </c>
      <c r="D2292" s="5" t="s">
        <v>9020</v>
      </c>
      <c r="E2292" s="5" t="s">
        <v>16945</v>
      </c>
      <c r="F2292" s="5" t="s">
        <v>715</v>
      </c>
      <c r="G2292" s="5" t="s">
        <v>16946</v>
      </c>
      <c r="H2292" s="6" t="s">
        <v>16947</v>
      </c>
      <c r="K2292" s="5" t="s">
        <v>16801</v>
      </c>
      <c r="M2292" s="5" t="s">
        <v>16948</v>
      </c>
      <c r="N2292" s="7" t="s">
        <v>16949</v>
      </c>
      <c r="O2292" s="8" t="str">
        <f>HYPERLINK("https://drive.google.com/file/d/1hWKThC0ySiAjmnZp6GhVIFXFSWX28Nx9/view?usp=drivesdk","2291_FEBRI INKA MANDASARI, S.Psi _ SERTIFIKAT BIMTEK IPASN BerAKHLASK")</f>
        <v>2291_FEBRI INKA MANDASARI, S.Psi _ SERTIFIKAT BIMTEK IPASN BerAKHLASK</v>
      </c>
      <c r="P2292" s="5" t="s">
        <v>16934</v>
      </c>
      <c r="Q2292" s="5"/>
      <c r="R2292" s="5"/>
      <c r="S2292" s="5"/>
      <c r="T2292" s="5"/>
    </row>
    <row r="2293" hidden="1">
      <c r="A2293" s="4">
        <v>45534.33947578704</v>
      </c>
      <c r="B2293" s="5" t="s">
        <v>19</v>
      </c>
      <c r="C2293" s="5" t="s">
        <v>292</v>
      </c>
      <c r="E2293" s="5" t="s">
        <v>16950</v>
      </c>
      <c r="F2293" s="5" t="s">
        <v>120</v>
      </c>
      <c r="G2293" s="5" t="s">
        <v>16951</v>
      </c>
      <c r="H2293" s="6" t="s">
        <v>16952</v>
      </c>
      <c r="K2293" s="5" t="s">
        <v>16801</v>
      </c>
      <c r="M2293" s="5" t="s">
        <v>16953</v>
      </c>
      <c r="N2293" s="7" t="s">
        <v>16954</v>
      </c>
      <c r="O2293" s="8" t="str">
        <f>HYPERLINK("https://drive.google.com/file/d/1o7Rv414CkiaOP5Gnk7GJuV-yscwuD45A/view?usp=drivesdk","2292_ISTRI WULANDARI _ SERTIFIKAT BIMTEK IPASN BerAKHLASK")</f>
        <v>2292_ISTRI WULANDARI _ SERTIFIKAT BIMTEK IPASN BerAKHLASK</v>
      </c>
      <c r="P2293" s="5" t="s">
        <v>16934</v>
      </c>
      <c r="Q2293" s="5"/>
      <c r="R2293" s="5"/>
      <c r="S2293" s="5"/>
      <c r="T2293" s="5"/>
    </row>
    <row r="2294">
      <c r="A2294" s="4">
        <v>45534.339483171294</v>
      </c>
      <c r="B2294" s="5" t="s">
        <v>34</v>
      </c>
      <c r="D2294" s="5" t="s">
        <v>35</v>
      </c>
      <c r="E2294" s="5" t="s">
        <v>14620</v>
      </c>
      <c r="F2294" s="5" t="s">
        <v>37</v>
      </c>
      <c r="G2294" s="5" t="s">
        <v>16955</v>
      </c>
      <c r="H2294" s="6" t="s">
        <v>16956</v>
      </c>
      <c r="K2294" s="5" t="s">
        <v>16801</v>
      </c>
      <c r="M2294" s="5" t="s">
        <v>16957</v>
      </c>
      <c r="N2294" s="7" t="s">
        <v>16958</v>
      </c>
      <c r="O2294" s="8" t="str">
        <f>HYPERLINK("https://drive.google.com/file/d/1o4KVKGo98tDjpUc0X-k8wMuT7eVbnODh/view?usp=drivesdk","2293_WARTINI _ SERTIFIKAT BIMTEK IPASN BerAKHLASK")</f>
        <v>2293_WARTINI _ SERTIFIKAT BIMTEK IPASN BerAKHLASK</v>
      </c>
      <c r="P2294" s="5" t="s">
        <v>16959</v>
      </c>
      <c r="Q2294" s="5"/>
      <c r="R2294" s="5"/>
      <c r="S2294" s="5"/>
      <c r="T2294" s="5"/>
    </row>
    <row r="2295" hidden="1">
      <c r="A2295" s="4">
        <v>45534.33948958333</v>
      </c>
      <c r="B2295" s="5" t="s">
        <v>19</v>
      </c>
      <c r="C2295" s="5" t="s">
        <v>466</v>
      </c>
      <c r="E2295" s="5" t="s">
        <v>16960</v>
      </c>
      <c r="F2295" s="5" t="s">
        <v>120</v>
      </c>
      <c r="G2295" s="5" t="s">
        <v>16961</v>
      </c>
      <c r="H2295" s="6" t="s">
        <v>16962</v>
      </c>
      <c r="I2295" s="7" t="s">
        <v>16963</v>
      </c>
      <c r="J2295" s="8" t="str">
        <f>HYPERLINK("https://drive.google.com/file/d/1y4bEtdQTLO9JUXYDBYK_q6xgIaaGSnbQ/view?usp=drivesdk","PANGESTUTI SERTIFIKAT BerAKHLAK")</f>
        <v>PANGESTUTI SERTIFIKAT BerAKHLAK</v>
      </c>
      <c r="K2295" s="5" t="s">
        <v>14116</v>
      </c>
      <c r="L2295" s="5" t="s">
        <v>16964</v>
      </c>
      <c r="M2295" s="5" t="s">
        <v>16965</v>
      </c>
      <c r="N2295" s="7" t="s">
        <v>16966</v>
      </c>
      <c r="O2295" s="8" t="str">
        <f>HYPERLINK("https://drive.google.com/file/d/19ERV01SmHFrrVweP-x5dC3SIlKeYqADM/view?usp=drivesdk","2294_PANGESTUTI _ SERTIFIKAT BIMTEK IPASN BerAKHLASK")</f>
        <v>2294_PANGESTUTI _ SERTIFIKAT BIMTEK IPASN BerAKHLASK</v>
      </c>
      <c r="P2295" s="5" t="s">
        <v>16959</v>
      </c>
      <c r="Q2295" s="5"/>
      <c r="R2295" s="5"/>
      <c r="S2295" s="5"/>
      <c r="T2295" s="5"/>
    </row>
    <row r="2296">
      <c r="A2296" s="4">
        <v>45534.339491018516</v>
      </c>
      <c r="B2296" s="5" t="s">
        <v>34</v>
      </c>
      <c r="D2296" s="5" t="s">
        <v>6232</v>
      </c>
      <c r="E2296" s="5" t="s">
        <v>16967</v>
      </c>
      <c r="F2296" s="5" t="s">
        <v>524</v>
      </c>
      <c r="G2296" s="5" t="s">
        <v>16968</v>
      </c>
      <c r="H2296" s="6" t="s">
        <v>16969</v>
      </c>
      <c r="I2296" s="7" t="s">
        <v>16970</v>
      </c>
      <c r="J2296" s="8" t="str">
        <f>HYPERLINK("https://drive.google.com/file/d/1WE0x45DMBbtaPHSyUtvvozWis3uoWLHA/view?usp=drivesdk","ENDANG SUMIATI  SERTIFIKAT BerAKHLAK")</f>
        <v>ENDANG SUMIATI  SERTIFIKAT BerAKHLAK</v>
      </c>
      <c r="K2296" s="5" t="s">
        <v>14116</v>
      </c>
      <c r="L2296" s="5" t="s">
        <v>16971</v>
      </c>
      <c r="M2296" s="5" t="s">
        <v>16972</v>
      </c>
      <c r="N2296" s="7" t="s">
        <v>16973</v>
      </c>
      <c r="O2296" s="8" t="str">
        <f>HYPERLINK("https://drive.google.com/file/d/116gOdFaQ8u2hqaAKMh88-Qsf7xvPceOb/view?usp=drivesdk","2295_ENDANG SUMIATI  _ SERTIFIKAT BIMTEK IPASN BerAKHLASK")</f>
        <v>2295_ENDANG SUMIATI  _ SERTIFIKAT BIMTEK IPASN BerAKHLASK</v>
      </c>
      <c r="P2296" s="5" t="s">
        <v>16959</v>
      </c>
      <c r="Q2296" s="5"/>
      <c r="R2296" s="5"/>
      <c r="S2296" s="5"/>
      <c r="T2296" s="5"/>
    </row>
    <row r="2297">
      <c r="A2297" s="4">
        <v>45534.33949230324</v>
      </c>
      <c r="B2297" s="5" t="s">
        <v>34</v>
      </c>
      <c r="D2297" s="5" t="s">
        <v>1206</v>
      </c>
      <c r="E2297" s="5" t="s">
        <v>16974</v>
      </c>
      <c r="F2297" s="5" t="s">
        <v>524</v>
      </c>
      <c r="G2297" s="5" t="s">
        <v>16975</v>
      </c>
      <c r="H2297" s="6" t="s">
        <v>16976</v>
      </c>
      <c r="I2297" s="7" t="s">
        <v>16977</v>
      </c>
      <c r="J2297" s="8" t="str">
        <f>HYPERLINK("https://drive.google.com/file/d/1hI8jEtH17yaqj-KRED1w_KOO6XcW4LVa/view?usp=drivesdk","MIFTACHUL MA'ARIF Amd Kep SERTIFIKAT BerAKHLAK")</f>
        <v>MIFTACHUL MA'ARIF Amd Kep SERTIFIKAT BerAKHLAK</v>
      </c>
      <c r="K2297" s="5" t="s">
        <v>14913</v>
      </c>
      <c r="L2297" s="5" t="s">
        <v>16978</v>
      </c>
      <c r="M2297" s="5" t="s">
        <v>16979</v>
      </c>
      <c r="N2297" s="7" t="s">
        <v>16980</v>
      </c>
      <c r="O2297" s="8" t="str">
        <f>HYPERLINK("https://drive.google.com/file/d/1TQQa9kPt0483B0zeeHmB9LpOu3lEKrlp/view?usp=drivesdk","2296_MIFTACHUL MA'ARIF Amd Kep _ SERTIFIKAT BIMTEK IPASN BerAKHLASK")</f>
        <v>2296_MIFTACHUL MA'ARIF Amd Kep _ SERTIFIKAT BIMTEK IPASN BerAKHLASK</v>
      </c>
      <c r="P2297" s="5" t="s">
        <v>16959</v>
      </c>
      <c r="Q2297" s="5"/>
      <c r="R2297" s="5"/>
      <c r="S2297" s="5"/>
      <c r="T2297" s="5"/>
    </row>
    <row r="2298">
      <c r="A2298" s="4">
        <v>45534.33949429398</v>
      </c>
      <c r="B2298" s="5" t="s">
        <v>34</v>
      </c>
      <c r="D2298" s="5" t="s">
        <v>996</v>
      </c>
      <c r="E2298" s="5" t="s">
        <v>16981</v>
      </c>
      <c r="F2298" s="5" t="s">
        <v>108</v>
      </c>
      <c r="G2298" s="5" t="s">
        <v>16982</v>
      </c>
      <c r="H2298" s="6" t="s">
        <v>16983</v>
      </c>
      <c r="I2298" s="7" t="s">
        <v>16984</v>
      </c>
      <c r="J2298" s="8" t="str">
        <f>HYPERLINK("https://drive.google.com/file/d/1h9ITuv5RmLxX5jyXgRFuNFEC33yBi8s0/view?usp=drivesdk","FUADI NOOR SERTIFIKAT BerAKHLAK")</f>
        <v>FUADI NOOR SERTIFIKAT BerAKHLAK</v>
      </c>
      <c r="K2298" s="5" t="s">
        <v>14913</v>
      </c>
      <c r="L2298" s="5" t="s">
        <v>16985</v>
      </c>
      <c r="M2298" s="5" t="s">
        <v>16986</v>
      </c>
      <c r="N2298" s="7" t="s">
        <v>16987</v>
      </c>
      <c r="O2298" s="8" t="str">
        <f>HYPERLINK("https://drive.google.com/file/d/1KnN4jIkPMLSiQ6a_4_NCAbSNcLXg8S4s/view?usp=drivesdk","2297_FUADI NOOR _ SERTIFIKAT BIMTEK IPASN BerAKHLASK")</f>
        <v>2297_FUADI NOOR _ SERTIFIKAT BIMTEK IPASN BerAKHLASK</v>
      </c>
      <c r="P2298" s="5" t="s">
        <v>16959</v>
      </c>
      <c r="Q2298" s="5"/>
      <c r="R2298" s="5"/>
      <c r="S2298" s="5"/>
      <c r="T2298" s="5"/>
    </row>
    <row r="2299" hidden="1">
      <c r="A2299" s="4">
        <v>45534.33948096065</v>
      </c>
      <c r="B2299" s="5" t="s">
        <v>19</v>
      </c>
      <c r="C2299" s="5" t="s">
        <v>292</v>
      </c>
      <c r="E2299" s="5" t="s">
        <v>16988</v>
      </c>
      <c r="F2299" s="5" t="s">
        <v>72</v>
      </c>
      <c r="G2299" s="5" t="s">
        <v>16989</v>
      </c>
      <c r="H2299" s="6" t="s">
        <v>16990</v>
      </c>
      <c r="I2299" s="7" t="s">
        <v>16991</v>
      </c>
      <c r="J2299" s="8" t="str">
        <f>HYPERLINK("https://drive.google.com/file/d/1IOvn2-1GboAl-s0Xq_AOwyJ6g6pwnj__/view?usp=drivesdk","EVI NOPIYANTI SERTIFIKAT BerAKHLAK")</f>
        <v>EVI NOPIYANTI SERTIFIKAT BerAKHLAK</v>
      </c>
      <c r="K2299" s="5" t="s">
        <v>14913</v>
      </c>
      <c r="L2299" s="5" t="s">
        <v>16992</v>
      </c>
      <c r="M2299" s="5" t="s">
        <v>16993</v>
      </c>
      <c r="N2299" s="7" t="s">
        <v>16994</v>
      </c>
      <c r="O2299" s="8" t="str">
        <f>HYPERLINK("https://drive.google.com/file/d/1IHL04mLfAL6tvDB-je4CVxy_RRNqcfBm/view?usp=drivesdk","2298_EVI NOPIYANTI _ SERTIFIKAT BIMTEK IPASN BerAKHLASK")</f>
        <v>2298_EVI NOPIYANTI _ SERTIFIKAT BIMTEK IPASN BerAKHLASK</v>
      </c>
      <c r="P2299" s="5" t="s">
        <v>16959</v>
      </c>
      <c r="Q2299" s="5"/>
      <c r="R2299" s="5"/>
      <c r="S2299" s="5"/>
      <c r="T2299" s="5"/>
    </row>
    <row r="2300" hidden="1">
      <c r="A2300" s="4">
        <v>45534.339495416665</v>
      </c>
      <c r="B2300" s="5" t="s">
        <v>19</v>
      </c>
      <c r="C2300" s="5" t="s">
        <v>3471</v>
      </c>
      <c r="E2300" s="5" t="s">
        <v>16995</v>
      </c>
      <c r="F2300" s="5" t="s">
        <v>72</v>
      </c>
      <c r="G2300" s="5" t="s">
        <v>16996</v>
      </c>
      <c r="H2300" s="6" t="s">
        <v>16997</v>
      </c>
      <c r="I2300" s="7" t="s">
        <v>16998</v>
      </c>
      <c r="J2300" s="8" t="str">
        <f>HYPERLINK("https://drive.google.com/file/d/1d98CKOM3ALEPLoYhMIObdgFZY_khA5ze/view?usp=drivesdk","BAYU ARDHI PUTRA, S.Kom. SERTIFIKAT BerAKHLAK")</f>
        <v>BAYU ARDHI PUTRA, S.Kom. SERTIFIKAT BerAKHLAK</v>
      </c>
      <c r="K2300" s="5" t="s">
        <v>14913</v>
      </c>
      <c r="L2300" s="5" t="s">
        <v>16999</v>
      </c>
      <c r="M2300" s="5" t="s">
        <v>17000</v>
      </c>
      <c r="N2300" s="7" t="s">
        <v>17001</v>
      </c>
      <c r="O2300" s="8" t="str">
        <f>HYPERLINK("https://drive.google.com/file/d/1yEiXq7XWMTArwArRpy3ipeX5MCi4RI1v/view?usp=drivesdk","2299_BAYU ARDHI PUTRA, S.Kom. _ SERTIFIKAT BIMTEK IPASN BerAKHLASK")</f>
        <v>2299_BAYU ARDHI PUTRA, S.Kom. _ SERTIFIKAT BIMTEK IPASN BerAKHLASK</v>
      </c>
      <c r="P2300" s="5" t="s">
        <v>17002</v>
      </c>
      <c r="Q2300" s="5"/>
      <c r="R2300" s="5"/>
      <c r="S2300" s="5"/>
      <c r="T2300" s="5"/>
    </row>
    <row r="2301" hidden="1">
      <c r="A2301" s="4">
        <v>45534.33949600694</v>
      </c>
      <c r="B2301" s="5" t="s">
        <v>19</v>
      </c>
      <c r="C2301" s="5" t="s">
        <v>11593</v>
      </c>
      <c r="E2301" s="5" t="s">
        <v>17003</v>
      </c>
      <c r="F2301" s="5" t="s">
        <v>72</v>
      </c>
      <c r="G2301" s="5" t="s">
        <v>17004</v>
      </c>
      <c r="H2301" s="6" t="s">
        <v>17005</v>
      </c>
      <c r="K2301" s="5" t="s">
        <v>17006</v>
      </c>
      <c r="M2301" s="5" t="s">
        <v>17007</v>
      </c>
      <c r="N2301" s="7" t="s">
        <v>17008</v>
      </c>
      <c r="O2301" s="8" t="str">
        <f>HYPERLINK("https://drive.google.com/file/d/1WDCiNZg_GLnfwa9rfHzcNdF3ayB5rASL/view?usp=drivesdk","2300_SYLVIA ELOK WIDARI, S.KEP _ SERTIFIKAT BIMTEK IPASN BerAKHLASK")</f>
        <v>2300_SYLVIA ELOK WIDARI, S.KEP _ SERTIFIKAT BIMTEK IPASN BerAKHLASK</v>
      </c>
      <c r="P2301" s="5" t="s">
        <v>17002</v>
      </c>
      <c r="Q2301" s="5"/>
      <c r="R2301" s="5"/>
      <c r="S2301" s="5"/>
      <c r="T2301" s="5"/>
    </row>
    <row r="2302">
      <c r="A2302" s="4">
        <v>45534.33949759259</v>
      </c>
      <c r="B2302" s="5" t="s">
        <v>34</v>
      </c>
      <c r="D2302" s="5" t="s">
        <v>6232</v>
      </c>
      <c r="E2302" s="5" t="s">
        <v>17009</v>
      </c>
      <c r="F2302" s="5" t="s">
        <v>524</v>
      </c>
      <c r="G2302" s="5" t="s">
        <v>17010</v>
      </c>
      <c r="H2302" s="6" t="s">
        <v>17011</v>
      </c>
      <c r="K2302" s="5" t="s">
        <v>17006</v>
      </c>
      <c r="M2302" s="5" t="s">
        <v>17012</v>
      </c>
      <c r="N2302" s="7" t="s">
        <v>17013</v>
      </c>
      <c r="O2302" s="8" t="str">
        <f>HYPERLINK("https://drive.google.com/file/d/1BuiT18i9RhegPYxbK2eX005wXPatpZpA/view?usp=drivesdk","2301_YENI ASTUTI _ SERTIFIKAT BIMTEK IPASN BerAKHLASK")</f>
        <v>2301_YENI ASTUTI _ SERTIFIKAT BIMTEK IPASN BerAKHLASK</v>
      </c>
      <c r="P2302" s="5" t="s">
        <v>17002</v>
      </c>
      <c r="Q2302" s="5"/>
      <c r="R2302" s="5"/>
      <c r="S2302" s="5"/>
      <c r="T2302" s="5"/>
    </row>
    <row r="2303">
      <c r="A2303" s="4">
        <v>45534.3395220949</v>
      </c>
      <c r="B2303" s="5" t="s">
        <v>34</v>
      </c>
      <c r="D2303" s="5" t="s">
        <v>6232</v>
      </c>
      <c r="E2303" s="5" t="s">
        <v>17014</v>
      </c>
      <c r="F2303" s="5" t="s">
        <v>212</v>
      </c>
      <c r="G2303" s="5" t="s">
        <v>17015</v>
      </c>
      <c r="H2303" s="6" t="s">
        <v>17016</v>
      </c>
      <c r="K2303" s="5" t="s">
        <v>17006</v>
      </c>
      <c r="M2303" s="5" t="s">
        <v>17017</v>
      </c>
      <c r="N2303" s="7" t="s">
        <v>17018</v>
      </c>
      <c r="O2303" s="8" t="str">
        <f>HYPERLINK("https://drive.google.com/file/d/1MFYo05iCMaxOE16MXM2hKN8t-rVic0Yb/view?usp=drivesdk","2302_HARTATY PEBRIYANTI LUMBAN TOBING _ SERTIFIKAT BIMTEK IPASN BerAKHLASK")</f>
        <v>2302_HARTATY PEBRIYANTI LUMBAN TOBING _ SERTIFIKAT BIMTEK IPASN BerAKHLASK</v>
      </c>
      <c r="P2303" s="5" t="s">
        <v>17002</v>
      </c>
      <c r="Q2303" s="5"/>
      <c r="R2303" s="5"/>
      <c r="S2303" s="5"/>
      <c r="T2303" s="5"/>
    </row>
    <row r="2304">
      <c r="A2304" s="4">
        <v>45534.339523159724</v>
      </c>
      <c r="B2304" s="5" t="s">
        <v>34</v>
      </c>
      <c r="D2304" s="5" t="s">
        <v>9020</v>
      </c>
      <c r="E2304" s="5" t="s">
        <v>17019</v>
      </c>
      <c r="F2304" s="5" t="s">
        <v>72</v>
      </c>
      <c r="G2304" s="5" t="s">
        <v>17020</v>
      </c>
      <c r="H2304" s="6" t="s">
        <v>17021</v>
      </c>
      <c r="K2304" s="5" t="s">
        <v>17006</v>
      </c>
      <c r="M2304" s="5" t="s">
        <v>17022</v>
      </c>
      <c r="N2304" s="7" t="s">
        <v>17023</v>
      </c>
      <c r="O2304" s="8" t="str">
        <f>HYPERLINK("https://drive.google.com/file/d/1guhBykh8Q9PCB1X6n0Vb5uHHYKnE5iD0/view?usp=drivesdk","2303_LIA MARINI, S.P., M.H. _ SERTIFIKAT BIMTEK IPASN BerAKHLASK")</f>
        <v>2303_LIA MARINI, S.P., M.H. _ SERTIFIKAT BIMTEK IPASN BerAKHLASK</v>
      </c>
      <c r="P2304" s="5" t="s">
        <v>17002</v>
      </c>
      <c r="Q2304" s="5"/>
      <c r="R2304" s="5"/>
      <c r="S2304" s="5"/>
      <c r="T2304" s="5"/>
    </row>
    <row r="2305">
      <c r="A2305" s="4">
        <v>45534.33952681713</v>
      </c>
      <c r="B2305" s="5" t="s">
        <v>34</v>
      </c>
      <c r="D2305" s="5" t="s">
        <v>6232</v>
      </c>
      <c r="E2305" s="5" t="s">
        <v>17024</v>
      </c>
      <c r="F2305" s="5" t="s">
        <v>212</v>
      </c>
      <c r="G2305" s="5" t="s">
        <v>17025</v>
      </c>
      <c r="H2305" s="6" t="s">
        <v>17026</v>
      </c>
      <c r="K2305" s="5" t="s">
        <v>15376</v>
      </c>
      <c r="M2305" s="5" t="s">
        <v>17027</v>
      </c>
      <c r="N2305" s="7" t="s">
        <v>17028</v>
      </c>
      <c r="O2305" s="8" t="str">
        <f>HYPERLINK("https://drive.google.com/file/d/1FcL561641TTQ_PjZUFY7MaR06Obpy4TH/view?usp=drivesdk","2304_HESTI DIARMIN _ SERTIFIKAT BIMTEK IPASN BerAKHLASK")</f>
        <v>2304_HESTI DIARMIN _ SERTIFIKAT BIMTEK IPASN BerAKHLASK</v>
      </c>
      <c r="P2305" s="5" t="s">
        <v>17002</v>
      </c>
      <c r="Q2305" s="5"/>
      <c r="R2305" s="5"/>
      <c r="S2305" s="5"/>
      <c r="T2305" s="5"/>
    </row>
    <row r="2306">
      <c r="A2306" s="4">
        <v>45534.339503483796</v>
      </c>
      <c r="B2306" s="5" t="s">
        <v>34</v>
      </c>
      <c r="D2306" s="5" t="s">
        <v>3849</v>
      </c>
      <c r="E2306" s="5" t="s">
        <v>17029</v>
      </c>
      <c r="F2306" s="5" t="s">
        <v>108</v>
      </c>
      <c r="G2306" s="5" t="s">
        <v>17030</v>
      </c>
      <c r="H2306" s="6" t="s">
        <v>17031</v>
      </c>
      <c r="K2306" s="5" t="s">
        <v>15376</v>
      </c>
      <c r="M2306" s="5" t="s">
        <v>17032</v>
      </c>
      <c r="N2306" s="7" t="s">
        <v>17033</v>
      </c>
      <c r="O2306" s="8" t="str">
        <f>HYPERLINK("https://drive.google.com/file/d/1zB1Zx9c5GtqEWWhigG75xyS7v7vT5GZk/view?usp=drivesdk","2305_dr. UMMI FADILAH _ SERTIFIKAT BIMTEK IPASN BerAKHLASK")</f>
        <v>2305_dr. UMMI FADILAH _ SERTIFIKAT BIMTEK IPASN BerAKHLASK</v>
      </c>
      <c r="P2306" s="5" t="s">
        <v>17034</v>
      </c>
      <c r="Q2306" s="5"/>
      <c r="R2306" s="5"/>
      <c r="S2306" s="5"/>
      <c r="T2306" s="5"/>
    </row>
    <row r="2307">
      <c r="A2307" s="4">
        <v>45534.33950690972</v>
      </c>
      <c r="B2307" s="5" t="s">
        <v>34</v>
      </c>
      <c r="D2307" s="5" t="s">
        <v>6232</v>
      </c>
      <c r="E2307" s="5" t="s">
        <v>17035</v>
      </c>
      <c r="F2307" s="5" t="s">
        <v>108</v>
      </c>
      <c r="G2307" s="5" t="s">
        <v>17036</v>
      </c>
      <c r="H2307" s="6" t="s">
        <v>17037</v>
      </c>
      <c r="K2307" s="5" t="s">
        <v>15376</v>
      </c>
      <c r="M2307" s="5" t="s">
        <v>17038</v>
      </c>
      <c r="N2307" s="7" t="s">
        <v>17039</v>
      </c>
      <c r="O2307" s="8" t="str">
        <f>HYPERLINK("https://drive.google.com/file/d/1vispCiQNP8IIwC1fU38AIeVMvvmmNO6o/view?usp=drivesdk","2306_DR. DEVONA AZARIA MARDATILLA _ SERTIFIKAT BIMTEK IPASN BerAKHLASK")</f>
        <v>2306_DR. DEVONA AZARIA MARDATILLA _ SERTIFIKAT BIMTEK IPASN BerAKHLASK</v>
      </c>
      <c r="P2307" s="5" t="s">
        <v>17034</v>
      </c>
      <c r="Q2307" s="5"/>
      <c r="R2307" s="5"/>
      <c r="S2307" s="5"/>
      <c r="T2307" s="5"/>
    </row>
    <row r="2308">
      <c r="A2308" s="4">
        <v>45534.339508564815</v>
      </c>
      <c r="B2308" s="5" t="s">
        <v>34</v>
      </c>
      <c r="D2308" s="5" t="s">
        <v>4775</v>
      </c>
      <c r="E2308" s="5" t="s">
        <v>17040</v>
      </c>
      <c r="F2308" s="5" t="s">
        <v>212</v>
      </c>
      <c r="G2308" s="5" t="s">
        <v>17041</v>
      </c>
      <c r="H2308" s="6" t="s">
        <v>17042</v>
      </c>
      <c r="K2308" s="5" t="s">
        <v>15376</v>
      </c>
      <c r="M2308" s="5" t="s">
        <v>17043</v>
      </c>
      <c r="N2308" s="7" t="s">
        <v>17044</v>
      </c>
      <c r="O2308" s="8" t="str">
        <f>HYPERLINK("https://drive.google.com/file/d/1wNNNZye3LRYIHs2sUSe_pLjpJf5XDlYb/view?usp=drivesdk","2307_ZENI PARYATUN _ SERTIFIKAT BIMTEK IPASN BerAKHLASK")</f>
        <v>2307_ZENI PARYATUN _ SERTIFIKAT BIMTEK IPASN BerAKHLASK</v>
      </c>
      <c r="P2308" s="5" t="s">
        <v>17034</v>
      </c>
      <c r="Q2308" s="5"/>
      <c r="R2308" s="5"/>
      <c r="S2308" s="5"/>
      <c r="T2308" s="5"/>
    </row>
    <row r="2309">
      <c r="A2309" s="4">
        <v>45534.33951427083</v>
      </c>
      <c r="B2309" s="5" t="s">
        <v>34</v>
      </c>
      <c r="D2309" s="5" t="s">
        <v>1206</v>
      </c>
      <c r="E2309" s="5" t="s">
        <v>17045</v>
      </c>
      <c r="F2309" s="5" t="s">
        <v>5859</v>
      </c>
      <c r="G2309" s="5" t="s">
        <v>17046</v>
      </c>
      <c r="H2309" s="6" t="s">
        <v>17047</v>
      </c>
      <c r="K2309" s="5" t="s">
        <v>15376</v>
      </c>
      <c r="M2309" s="5" t="s">
        <v>17048</v>
      </c>
      <c r="N2309" s="7" t="s">
        <v>17049</v>
      </c>
      <c r="O2309" s="8" t="str">
        <f>HYPERLINK("https://drive.google.com/file/d/1ksEwOewF8vit28PmgGDrQUC0BXSh9Nx2/view?usp=drivesdk","2308_NGATMO _ SERTIFIKAT BIMTEK IPASN BerAKHLASK")</f>
        <v>2308_NGATMO _ SERTIFIKAT BIMTEK IPASN BerAKHLASK</v>
      </c>
      <c r="P2309" s="5" t="s">
        <v>17034</v>
      </c>
      <c r="Q2309" s="5"/>
      <c r="R2309" s="5"/>
      <c r="S2309" s="5"/>
      <c r="T2309" s="5"/>
    </row>
    <row r="2310">
      <c r="A2310" s="4">
        <v>45534.33952784722</v>
      </c>
      <c r="B2310" s="5" t="s">
        <v>34</v>
      </c>
      <c r="D2310" s="5" t="s">
        <v>1206</v>
      </c>
      <c r="E2310" s="5" t="s">
        <v>17050</v>
      </c>
      <c r="F2310" s="5" t="s">
        <v>37</v>
      </c>
      <c r="G2310" s="5" t="s">
        <v>17051</v>
      </c>
      <c r="H2310" s="6" t="s">
        <v>17052</v>
      </c>
      <c r="K2310" s="5" t="s">
        <v>15376</v>
      </c>
      <c r="M2310" s="5" t="s">
        <v>17053</v>
      </c>
      <c r="N2310" s="7" t="s">
        <v>17054</v>
      </c>
      <c r="O2310" s="8" t="str">
        <f>HYPERLINK("https://drive.google.com/file/d/1D6fwgOJIwXjab4pLB_eibIGun3BnSRMj/view?usp=drivesdk","2309_ACHMAD YADI _ SERTIFIKAT BIMTEK IPASN BerAKHLASK")</f>
        <v>2309_ACHMAD YADI _ SERTIFIKAT BIMTEK IPASN BerAKHLASK</v>
      </c>
      <c r="P2310" s="5" t="s">
        <v>17034</v>
      </c>
      <c r="Q2310" s="5"/>
      <c r="R2310" s="5"/>
      <c r="S2310" s="5"/>
      <c r="T2310" s="5"/>
    </row>
    <row r="2311">
      <c r="A2311" s="4">
        <v>45534.33952871528</v>
      </c>
      <c r="B2311" s="5" t="s">
        <v>34</v>
      </c>
      <c r="D2311" s="5" t="s">
        <v>35</v>
      </c>
      <c r="E2311" s="5" t="s">
        <v>17055</v>
      </c>
      <c r="F2311" s="5" t="s">
        <v>37</v>
      </c>
      <c r="G2311" s="5" t="s">
        <v>17056</v>
      </c>
      <c r="H2311" s="6" t="s">
        <v>17057</v>
      </c>
      <c r="K2311" s="5" t="s">
        <v>15376</v>
      </c>
      <c r="M2311" s="5" t="s">
        <v>17058</v>
      </c>
      <c r="N2311" s="7" t="s">
        <v>17059</v>
      </c>
      <c r="O2311" s="8" t="str">
        <f>HYPERLINK("https://drive.google.com/file/d/1YPk-VtI2MKvjEm0ehYaYKxbK16cWwUR_/view?usp=drivesdk","2310_RINI SUMARTINI _ SERTIFIKAT BIMTEK IPASN BerAKHLASK")</f>
        <v>2310_RINI SUMARTINI _ SERTIFIKAT BIMTEK IPASN BerAKHLASK</v>
      </c>
      <c r="P2311" s="5" t="s">
        <v>17034</v>
      </c>
      <c r="Q2311" s="5"/>
      <c r="R2311" s="5"/>
      <c r="S2311" s="5"/>
      <c r="T2311" s="5"/>
    </row>
    <row r="2312">
      <c r="A2312" s="4">
        <v>45534.33953099537</v>
      </c>
      <c r="B2312" s="5" t="s">
        <v>34</v>
      </c>
      <c r="D2312" s="5" t="s">
        <v>701</v>
      </c>
      <c r="E2312" s="5" t="s">
        <v>17060</v>
      </c>
      <c r="F2312" s="5" t="s">
        <v>37</v>
      </c>
      <c r="G2312" s="5" t="s">
        <v>17061</v>
      </c>
      <c r="H2312" s="6" t="s">
        <v>17062</v>
      </c>
      <c r="K2312" s="5" t="s">
        <v>15376</v>
      </c>
      <c r="M2312" s="5" t="s">
        <v>17063</v>
      </c>
      <c r="N2312" s="7" t="s">
        <v>17064</v>
      </c>
      <c r="O2312" s="8" t="str">
        <f>HYPERLINK("https://drive.google.com/file/d/17YI0nNiEHjGemBrf2RE76LFJtD3VbZhL/view?usp=drivesdk","2311_FITRI YANTI _ SERTIFIKAT BIMTEK IPASN BerAKHLASK")</f>
        <v>2311_FITRI YANTI _ SERTIFIKAT BIMTEK IPASN BerAKHLASK</v>
      </c>
      <c r="P2312" s="5" t="s">
        <v>17065</v>
      </c>
      <c r="Q2312" s="5"/>
      <c r="R2312" s="5"/>
      <c r="S2312" s="5"/>
      <c r="T2312" s="5"/>
    </row>
    <row r="2313">
      <c r="A2313" s="4">
        <v>45534.33955388889</v>
      </c>
      <c r="B2313" s="5" t="s">
        <v>34</v>
      </c>
      <c r="D2313" s="5" t="s">
        <v>4775</v>
      </c>
      <c r="E2313" s="5" t="s">
        <v>17066</v>
      </c>
      <c r="F2313" s="5" t="s">
        <v>212</v>
      </c>
      <c r="G2313" s="5" t="s">
        <v>17067</v>
      </c>
      <c r="H2313" s="6" t="s">
        <v>17068</v>
      </c>
      <c r="K2313" s="5" t="s">
        <v>15376</v>
      </c>
      <c r="M2313" s="5" t="s">
        <v>17069</v>
      </c>
      <c r="N2313" s="7" t="s">
        <v>17070</v>
      </c>
      <c r="O2313" s="8" t="str">
        <f>HYPERLINK("https://drive.google.com/file/d/1tRPhTTUWtEwJCBSjplMPg52mmk-kLuWA/view?usp=drivesdk","2312_RISMA ARDANI, S.KOM _ SERTIFIKAT BIMTEK IPASN BerAKHLASK")</f>
        <v>2312_RISMA ARDANI, S.KOM _ SERTIFIKAT BIMTEK IPASN BerAKHLASK</v>
      </c>
      <c r="P2313" s="5" t="s">
        <v>17065</v>
      </c>
      <c r="Q2313" s="5"/>
      <c r="R2313" s="5"/>
      <c r="S2313" s="5"/>
      <c r="T2313" s="5"/>
    </row>
    <row r="2314" hidden="1">
      <c r="A2314" s="4">
        <v>45534.33955510416</v>
      </c>
      <c r="B2314" s="5" t="s">
        <v>19</v>
      </c>
      <c r="C2314" s="5" t="s">
        <v>3301</v>
      </c>
      <c r="E2314" s="5" t="s">
        <v>17071</v>
      </c>
      <c r="F2314" s="5" t="s">
        <v>37</v>
      </c>
      <c r="G2314" s="5" t="s">
        <v>17072</v>
      </c>
      <c r="H2314" s="6" t="s">
        <v>17073</v>
      </c>
      <c r="K2314" s="5" t="s">
        <v>15376</v>
      </c>
      <c r="M2314" s="5" t="s">
        <v>17074</v>
      </c>
      <c r="N2314" s="7" t="s">
        <v>17075</v>
      </c>
      <c r="O2314" s="8" t="str">
        <f>HYPERLINK("https://drive.google.com/file/d/1WPliZ9UW_D7SmyuLXsjczqo66rKH-V8P/view?usp=drivesdk","2313_ANISA RACHMAYANI, A. Md. Farm _ SERTIFIKAT BIMTEK IPASN BerAKHLASK")</f>
        <v>2313_ANISA RACHMAYANI, A. Md. Farm _ SERTIFIKAT BIMTEK IPASN BerAKHLASK</v>
      </c>
      <c r="P2314" s="5" t="s">
        <v>17065</v>
      </c>
      <c r="Q2314" s="5"/>
      <c r="R2314" s="5"/>
      <c r="S2314" s="5"/>
      <c r="T2314" s="5"/>
    </row>
    <row r="2315">
      <c r="A2315" s="4">
        <v>45534.33956267362</v>
      </c>
      <c r="B2315" s="5" t="s">
        <v>34</v>
      </c>
      <c r="D2315" s="5" t="s">
        <v>35</v>
      </c>
      <c r="E2315" s="5" t="s">
        <v>17076</v>
      </c>
      <c r="F2315" s="5" t="s">
        <v>37</v>
      </c>
      <c r="G2315" s="5" t="s">
        <v>17077</v>
      </c>
      <c r="H2315" s="6" t="s">
        <v>17078</v>
      </c>
      <c r="K2315" s="5" t="s">
        <v>15376</v>
      </c>
      <c r="M2315" s="5" t="s">
        <v>17079</v>
      </c>
      <c r="N2315" s="7" t="s">
        <v>17080</v>
      </c>
      <c r="O2315" s="8" t="str">
        <f>HYPERLINK("https://drive.google.com/file/d/167PVjL1b-uZS5No4ycUBXGPY5z6zP7FH/view?usp=drivesdk","2314_BUDI ACHYADI _ SERTIFIKAT BIMTEK IPASN BerAKHLASK")</f>
        <v>2314_BUDI ACHYADI _ SERTIFIKAT BIMTEK IPASN BerAKHLASK</v>
      </c>
      <c r="P2315" s="5" t="s">
        <v>17065</v>
      </c>
      <c r="Q2315" s="5"/>
      <c r="R2315" s="5"/>
      <c r="S2315" s="5"/>
      <c r="T2315" s="5"/>
    </row>
    <row r="2316">
      <c r="A2316" s="4">
        <v>45534.33956395833</v>
      </c>
      <c r="B2316" s="5" t="s">
        <v>34</v>
      </c>
      <c r="D2316" s="5" t="s">
        <v>35</v>
      </c>
      <c r="E2316" s="5" t="s">
        <v>17081</v>
      </c>
      <c r="F2316" s="5" t="s">
        <v>375</v>
      </c>
      <c r="G2316" s="5" t="s">
        <v>17082</v>
      </c>
      <c r="H2316" s="6" t="s">
        <v>17083</v>
      </c>
      <c r="K2316" s="5" t="s">
        <v>15376</v>
      </c>
      <c r="M2316" s="5" t="s">
        <v>17084</v>
      </c>
      <c r="N2316" s="7" t="s">
        <v>17085</v>
      </c>
      <c r="O2316" s="8" t="str">
        <f>HYPERLINK("https://drive.google.com/file/d/1MKKCc9wP9sxGbhjtBrKJfCLeMZ4f124H/view?usp=drivesdk","2315_BURHANUDIN, S.E. _ SERTIFIKAT BIMTEK IPASN BerAKHLASK")</f>
        <v>2315_BURHANUDIN, S.E. _ SERTIFIKAT BIMTEK IPASN BerAKHLASK</v>
      </c>
      <c r="P2316" s="5" t="s">
        <v>17065</v>
      </c>
      <c r="Q2316" s="5"/>
      <c r="R2316" s="5"/>
      <c r="S2316" s="5"/>
      <c r="T2316" s="5"/>
    </row>
    <row r="2317">
      <c r="A2317" s="4">
        <v>45534.339564849535</v>
      </c>
      <c r="B2317" s="5" t="s">
        <v>34</v>
      </c>
      <c r="D2317" s="5" t="s">
        <v>1206</v>
      </c>
      <c r="E2317" s="5" t="s">
        <v>17086</v>
      </c>
      <c r="F2317" s="5" t="s">
        <v>199</v>
      </c>
      <c r="G2317" s="5" t="s">
        <v>17087</v>
      </c>
      <c r="H2317" s="6" t="s">
        <v>17088</v>
      </c>
      <c r="K2317" s="5" t="s">
        <v>15376</v>
      </c>
      <c r="M2317" s="5" t="s">
        <v>17089</v>
      </c>
      <c r="N2317" s="7" t="s">
        <v>17090</v>
      </c>
      <c r="O2317" s="8" t="str">
        <f>HYPERLINK("https://drive.google.com/file/d/1t4F05f3SGUMm22QVQDHuQssUcdafstUO/view?usp=drivesdk","2316_RUMYATI _ SERTIFIKAT BIMTEK IPASN BerAKHLASK")</f>
        <v>2316_RUMYATI _ SERTIFIKAT BIMTEK IPASN BerAKHLASK</v>
      </c>
      <c r="P2317" s="5" t="s">
        <v>17091</v>
      </c>
      <c r="Q2317" s="5"/>
      <c r="R2317" s="5"/>
      <c r="S2317" s="5"/>
      <c r="T2317" s="5"/>
    </row>
    <row r="2318">
      <c r="A2318" s="4">
        <v>45534.33957140046</v>
      </c>
      <c r="B2318" s="5" t="s">
        <v>34</v>
      </c>
      <c r="D2318" s="5" t="s">
        <v>9394</v>
      </c>
      <c r="E2318" s="5" t="s">
        <v>17092</v>
      </c>
      <c r="F2318" s="5" t="s">
        <v>37</v>
      </c>
      <c r="G2318" s="5" t="s">
        <v>17093</v>
      </c>
      <c r="H2318" s="6" t="s">
        <v>17094</v>
      </c>
      <c r="K2318" s="5" t="s">
        <v>15376</v>
      </c>
      <c r="M2318" s="5" t="s">
        <v>17095</v>
      </c>
      <c r="N2318" s="7" t="s">
        <v>17096</v>
      </c>
      <c r="O2318" s="8" t="str">
        <f>HYPERLINK("https://drive.google.com/file/d/1PH-T5YQ4kFwBgf6Zs2PnG_y1AefKEAnb/view?usp=drivesdk","2317_MELIA SANDRA, S.Pd _ SERTIFIKAT BIMTEK IPASN BerAKHLASK")</f>
        <v>2317_MELIA SANDRA, S.Pd _ SERTIFIKAT BIMTEK IPASN BerAKHLASK</v>
      </c>
      <c r="P2318" s="5" t="s">
        <v>17091</v>
      </c>
      <c r="Q2318" s="5"/>
      <c r="R2318" s="5"/>
      <c r="S2318" s="5"/>
      <c r="T2318" s="5"/>
    </row>
    <row r="2319">
      <c r="A2319" s="4">
        <v>45534.339534618055</v>
      </c>
      <c r="B2319" s="5" t="s">
        <v>34</v>
      </c>
      <c r="D2319" s="5" t="s">
        <v>12978</v>
      </c>
      <c r="E2319" s="5" t="s">
        <v>17097</v>
      </c>
      <c r="F2319" s="5" t="s">
        <v>37</v>
      </c>
      <c r="G2319" s="5" t="s">
        <v>17098</v>
      </c>
      <c r="H2319" s="6" t="s">
        <v>17099</v>
      </c>
      <c r="K2319" s="5" t="s">
        <v>15376</v>
      </c>
      <c r="M2319" s="5" t="s">
        <v>17100</v>
      </c>
      <c r="N2319" s="7" t="s">
        <v>17101</v>
      </c>
      <c r="O2319" s="8" t="str">
        <f>HYPERLINK("https://drive.google.com/file/d/1d-PmmkBqyqXXXnsPiSTH5IZzz3IBKa0O/view?usp=drivesdk","2318_FERNALIA, A.Md. _ SERTIFIKAT BIMTEK IPASN BerAKHLASK")</f>
        <v>2318_FERNALIA, A.Md. _ SERTIFIKAT BIMTEK IPASN BerAKHLASK</v>
      </c>
      <c r="P2319" s="5" t="s">
        <v>17091</v>
      </c>
      <c r="Q2319" s="5"/>
      <c r="R2319" s="5"/>
      <c r="S2319" s="5"/>
      <c r="T2319" s="5"/>
    </row>
    <row r="2320">
      <c r="A2320" s="4">
        <v>45534.33954726852</v>
      </c>
      <c r="B2320" s="5" t="s">
        <v>34</v>
      </c>
      <c r="D2320" s="5" t="s">
        <v>1206</v>
      </c>
      <c r="E2320" s="5" t="s">
        <v>17102</v>
      </c>
      <c r="F2320" s="5" t="s">
        <v>37</v>
      </c>
      <c r="G2320" s="5" t="s">
        <v>17103</v>
      </c>
      <c r="H2320" s="6" t="s">
        <v>17104</v>
      </c>
      <c r="K2320" s="5" t="s">
        <v>15376</v>
      </c>
      <c r="M2320" s="5" t="s">
        <v>17105</v>
      </c>
      <c r="N2320" s="7" t="s">
        <v>17106</v>
      </c>
      <c r="O2320" s="8" t="str">
        <f>HYPERLINK("https://drive.google.com/file/d/1W57gHItEzwq8GQmgXAFrwcaetLWHIAZ6/view?usp=drivesdk","2319_SUHATIMA SH _ SERTIFIKAT BIMTEK IPASN BerAKHLASK")</f>
        <v>2319_SUHATIMA SH _ SERTIFIKAT BIMTEK IPASN BerAKHLASK</v>
      </c>
      <c r="P2320" s="5" t="s">
        <v>17091</v>
      </c>
      <c r="Q2320" s="5"/>
      <c r="R2320" s="5"/>
      <c r="S2320" s="5"/>
      <c r="T2320" s="5"/>
    </row>
    <row r="2321">
      <c r="A2321" s="4">
        <v>45534.339556562496</v>
      </c>
      <c r="B2321" s="5" t="s">
        <v>34</v>
      </c>
      <c r="D2321" s="5" t="s">
        <v>35</v>
      </c>
      <c r="E2321" s="5" t="s">
        <v>17107</v>
      </c>
      <c r="F2321" s="5" t="s">
        <v>212</v>
      </c>
      <c r="G2321" s="5" t="s">
        <v>17108</v>
      </c>
      <c r="H2321" s="6" t="s">
        <v>17109</v>
      </c>
      <c r="K2321" s="5" t="s">
        <v>15376</v>
      </c>
      <c r="M2321" s="5" t="s">
        <v>17110</v>
      </c>
      <c r="N2321" s="7" t="s">
        <v>17111</v>
      </c>
      <c r="O2321" s="8" t="str">
        <f>HYPERLINK("https://drive.google.com/file/d/1socd8_VFs3Jjfm8zsb67J_t79h2msiMN/view?usp=drivesdk","2320_PRANOTO _ SERTIFIKAT BIMTEK IPASN BerAKHLASK")</f>
        <v>2320_PRANOTO _ SERTIFIKAT BIMTEK IPASN BerAKHLASK</v>
      </c>
      <c r="P2321" s="5" t="s">
        <v>17091</v>
      </c>
      <c r="Q2321" s="5"/>
      <c r="R2321" s="5"/>
      <c r="S2321" s="5"/>
      <c r="T2321" s="5"/>
    </row>
    <row r="2322">
      <c r="A2322" s="4">
        <v>45534.33955675926</v>
      </c>
      <c r="B2322" s="5" t="s">
        <v>34</v>
      </c>
      <c r="D2322" s="5" t="s">
        <v>1768</v>
      </c>
      <c r="E2322" s="5" t="s">
        <v>17112</v>
      </c>
      <c r="F2322" s="5" t="s">
        <v>72</v>
      </c>
      <c r="G2322" s="5" t="s">
        <v>17113</v>
      </c>
      <c r="H2322" s="6" t="s">
        <v>17114</v>
      </c>
      <c r="K2322" s="5" t="s">
        <v>15376</v>
      </c>
      <c r="M2322" s="5" t="s">
        <v>17115</v>
      </c>
      <c r="N2322" s="7" t="s">
        <v>17116</v>
      </c>
      <c r="O2322" s="8" t="str">
        <f>HYPERLINK("https://drive.google.com/file/d/1Zblh700tozoh9TotWsHA_HtV1bkYZLxt/view?usp=drivesdk","2321_SURYA DHARMA _ SERTIFIKAT BIMTEK IPASN BerAKHLASK")</f>
        <v>2321_SURYA DHARMA _ SERTIFIKAT BIMTEK IPASN BerAKHLASK</v>
      </c>
      <c r="P2322" s="5" t="s">
        <v>17117</v>
      </c>
      <c r="Q2322" s="5"/>
      <c r="R2322" s="5"/>
      <c r="S2322" s="5"/>
      <c r="T2322" s="5"/>
    </row>
    <row r="2323">
      <c r="A2323" s="4">
        <v>45534.33957578704</v>
      </c>
      <c r="B2323" s="5" t="s">
        <v>34</v>
      </c>
      <c r="D2323" s="5" t="s">
        <v>9394</v>
      </c>
      <c r="E2323" s="5" t="s">
        <v>17118</v>
      </c>
      <c r="F2323" s="5" t="s">
        <v>715</v>
      </c>
      <c r="G2323" s="5" t="s">
        <v>17119</v>
      </c>
      <c r="H2323" s="6" t="s">
        <v>17120</v>
      </c>
      <c r="K2323" s="5" t="s">
        <v>15376</v>
      </c>
      <c r="M2323" s="5" t="s">
        <v>17121</v>
      </c>
      <c r="N2323" s="7" t="s">
        <v>17122</v>
      </c>
      <c r="O2323" s="8" t="str">
        <f>HYPERLINK("https://drive.google.com/file/d/1WnbVFwJnAzYzT5BWrsmw5zVN3HUsnQYx/view?usp=drivesdk","2322_YUSNIARTI  _ SERTIFIKAT BIMTEK IPASN BerAKHLASK")</f>
        <v>2322_YUSNIARTI  _ SERTIFIKAT BIMTEK IPASN BerAKHLASK</v>
      </c>
      <c r="P2323" s="5" t="s">
        <v>17117</v>
      </c>
      <c r="Q2323" s="5"/>
      <c r="R2323" s="5"/>
      <c r="S2323" s="5"/>
      <c r="T2323" s="5"/>
    </row>
    <row r="2324">
      <c r="A2324" s="4">
        <v>45534.33957693287</v>
      </c>
      <c r="B2324" s="5" t="s">
        <v>34</v>
      </c>
      <c r="D2324" s="5" t="s">
        <v>35</v>
      </c>
      <c r="E2324" s="5" t="s">
        <v>17123</v>
      </c>
      <c r="F2324" s="5" t="s">
        <v>37</v>
      </c>
      <c r="G2324" s="5" t="s">
        <v>17124</v>
      </c>
      <c r="H2324" s="6" t="s">
        <v>17125</v>
      </c>
      <c r="K2324" s="5" t="s">
        <v>15376</v>
      </c>
      <c r="M2324" s="5" t="s">
        <v>17126</v>
      </c>
      <c r="N2324" s="7" t="s">
        <v>17127</v>
      </c>
      <c r="O2324" s="8" t="str">
        <f>HYPERLINK("https://drive.google.com/file/d/1L3aZHfjRISzaSvpJCzSQ1pjy869dOumV/view?usp=drivesdk","2323_JUNAEDI _ SERTIFIKAT BIMTEK IPASN BerAKHLASK")</f>
        <v>2323_JUNAEDI _ SERTIFIKAT BIMTEK IPASN BerAKHLASK</v>
      </c>
      <c r="P2324" s="5" t="s">
        <v>17117</v>
      </c>
      <c r="Q2324" s="5"/>
      <c r="R2324" s="5"/>
      <c r="S2324" s="5"/>
      <c r="T2324" s="5"/>
    </row>
    <row r="2325">
      <c r="A2325" s="4">
        <v>45534.33957835648</v>
      </c>
      <c r="B2325" s="5" t="s">
        <v>34</v>
      </c>
      <c r="D2325" s="5" t="s">
        <v>1206</v>
      </c>
      <c r="E2325" s="5" t="s">
        <v>17128</v>
      </c>
      <c r="F2325" s="5" t="s">
        <v>37</v>
      </c>
      <c r="G2325" s="5" t="s">
        <v>17129</v>
      </c>
      <c r="H2325" s="6" t="s">
        <v>17130</v>
      </c>
      <c r="K2325" s="5" t="s">
        <v>15376</v>
      </c>
      <c r="M2325" s="5" t="s">
        <v>17131</v>
      </c>
      <c r="N2325" s="7" t="s">
        <v>17132</v>
      </c>
      <c r="O2325" s="8" t="str">
        <f>HYPERLINK("https://drive.google.com/file/d/1UwEd1iQx9pAI5MBfThGPwE2r5k3Rzmre/view?usp=drivesdk","2324_IKA NOFIANTIS.Sos _ SERTIFIKAT BIMTEK IPASN BerAKHLASK")</f>
        <v>2324_IKA NOFIANTIS.Sos _ SERTIFIKAT BIMTEK IPASN BerAKHLASK</v>
      </c>
      <c r="P2325" s="5" t="s">
        <v>17117</v>
      </c>
      <c r="Q2325" s="5"/>
      <c r="R2325" s="5"/>
      <c r="S2325" s="5"/>
      <c r="T2325" s="5"/>
    </row>
    <row r="2326">
      <c r="A2326" s="4">
        <v>45534.33958554398</v>
      </c>
      <c r="B2326" s="5" t="s">
        <v>34</v>
      </c>
      <c r="D2326" s="5" t="s">
        <v>996</v>
      </c>
      <c r="E2326" s="5" t="s">
        <v>17133</v>
      </c>
      <c r="F2326" s="5" t="s">
        <v>37</v>
      </c>
      <c r="G2326" s="5" t="s">
        <v>17134</v>
      </c>
      <c r="H2326" s="6" t="s">
        <v>17135</v>
      </c>
      <c r="K2326" s="5" t="s">
        <v>15376</v>
      </c>
      <c r="M2326" s="5" t="s">
        <v>17136</v>
      </c>
      <c r="N2326" s="7" t="s">
        <v>17137</v>
      </c>
      <c r="O2326" s="8" t="str">
        <f>HYPERLINK("https://drive.google.com/file/d/1dbRpF8J0-W64eB7bv2TYd4XCHiF7dA4V/view?usp=drivesdk","2325_PIPIAN PRILLA ANDRIANI _ SERTIFIKAT BIMTEK IPASN BerAKHLASK")</f>
        <v>2325_PIPIAN PRILLA ANDRIANI _ SERTIFIKAT BIMTEK IPASN BerAKHLASK</v>
      </c>
      <c r="P2326" s="5" t="s">
        <v>17117</v>
      </c>
      <c r="Q2326" s="5"/>
      <c r="R2326" s="5"/>
      <c r="S2326" s="5"/>
      <c r="T2326" s="5"/>
    </row>
    <row r="2327">
      <c r="A2327" s="4">
        <v>45534.33958915509</v>
      </c>
      <c r="B2327" s="5" t="s">
        <v>34</v>
      </c>
      <c r="D2327" s="5" t="s">
        <v>10444</v>
      </c>
      <c r="E2327" s="5" t="s">
        <v>17138</v>
      </c>
      <c r="F2327" s="5" t="s">
        <v>212</v>
      </c>
      <c r="G2327" s="5" t="s">
        <v>17139</v>
      </c>
      <c r="H2327" s="6" t="s">
        <v>17140</v>
      </c>
      <c r="K2327" s="5" t="s">
        <v>15376</v>
      </c>
      <c r="M2327" s="5" t="s">
        <v>17141</v>
      </c>
      <c r="N2327" s="7" t="s">
        <v>17142</v>
      </c>
      <c r="O2327" s="8" t="str">
        <f>HYPERLINK("https://drive.google.com/file/d/1XXjj-TghVbLRTnwlGf6I2boPVCZm93YL/view?usp=drivesdk","2326_ASMADI _ SERTIFIKAT BIMTEK IPASN BerAKHLASK")</f>
        <v>2326_ASMADI _ SERTIFIKAT BIMTEK IPASN BerAKHLASK</v>
      </c>
      <c r="P2327" s="5" t="s">
        <v>17117</v>
      </c>
      <c r="Q2327" s="5"/>
      <c r="R2327" s="5"/>
      <c r="S2327" s="5"/>
      <c r="T2327" s="5"/>
    </row>
    <row r="2328">
      <c r="A2328" s="4">
        <v>45534.339594571764</v>
      </c>
      <c r="B2328" s="5" t="s">
        <v>34</v>
      </c>
      <c r="D2328" s="5" t="s">
        <v>35</v>
      </c>
      <c r="E2328" s="5" t="s">
        <v>17143</v>
      </c>
      <c r="F2328" s="5" t="s">
        <v>524</v>
      </c>
      <c r="G2328" s="5" t="s">
        <v>17144</v>
      </c>
      <c r="H2328" s="6" t="s">
        <v>17145</v>
      </c>
      <c r="K2328" s="5" t="s">
        <v>15376</v>
      </c>
      <c r="M2328" s="5" t="s">
        <v>17146</v>
      </c>
      <c r="N2328" s="7" t="s">
        <v>17147</v>
      </c>
      <c r="O2328" s="8" t="str">
        <f>HYPERLINK("https://drive.google.com/file/d/14HaD4o4ZtnHz3SdwM-P2HGV1KWWk3vI7/view?usp=drivesdk","2327_RUHANA, S.E. _ SERTIFIKAT BIMTEK IPASN BerAKHLASK")</f>
        <v>2327_RUHANA, S.E. _ SERTIFIKAT BIMTEK IPASN BerAKHLASK</v>
      </c>
      <c r="P2328" s="5" t="s">
        <v>17148</v>
      </c>
      <c r="Q2328" s="5"/>
      <c r="R2328" s="5"/>
      <c r="S2328" s="5"/>
      <c r="T2328" s="5"/>
    </row>
    <row r="2329">
      <c r="A2329" s="4">
        <v>45534.33960009259</v>
      </c>
      <c r="B2329" s="5" t="s">
        <v>34</v>
      </c>
      <c r="D2329" s="5" t="s">
        <v>1206</v>
      </c>
      <c r="E2329" s="5" t="s">
        <v>17149</v>
      </c>
      <c r="F2329" s="5" t="s">
        <v>37</v>
      </c>
      <c r="G2329" s="5" t="s">
        <v>17150</v>
      </c>
      <c r="H2329" s="6" t="s">
        <v>17151</v>
      </c>
      <c r="K2329" s="5" t="s">
        <v>15376</v>
      </c>
      <c r="M2329" s="5" t="s">
        <v>17152</v>
      </c>
      <c r="N2329" s="7" t="s">
        <v>17153</v>
      </c>
      <c r="O2329" s="8" t="str">
        <f>HYPERLINK("https://drive.google.com/file/d/1O4Im6LR6EbLT2UrjjKqw4bevG47wlgT7/view?usp=drivesdk","2328_SRI LESTARI _ SERTIFIKAT BIMTEK IPASN BerAKHLASK")</f>
        <v>2328_SRI LESTARI _ SERTIFIKAT BIMTEK IPASN BerAKHLASK</v>
      </c>
      <c r="P2329" s="5" t="s">
        <v>17148</v>
      </c>
      <c r="Q2329" s="5"/>
      <c r="R2329" s="5"/>
      <c r="S2329" s="5"/>
      <c r="T2329" s="5"/>
    </row>
    <row r="2330">
      <c r="A2330" s="4">
        <v>45534.33960614583</v>
      </c>
      <c r="B2330" s="5" t="s">
        <v>34</v>
      </c>
      <c r="D2330" s="5" t="s">
        <v>4775</v>
      </c>
      <c r="E2330" s="5" t="s">
        <v>17154</v>
      </c>
      <c r="F2330" s="5" t="s">
        <v>212</v>
      </c>
      <c r="G2330" s="5" t="s">
        <v>17155</v>
      </c>
      <c r="H2330" s="6" t="s">
        <v>17156</v>
      </c>
      <c r="K2330" s="5" t="s">
        <v>15376</v>
      </c>
      <c r="M2330" s="5" t="s">
        <v>17157</v>
      </c>
      <c r="N2330" s="7" t="s">
        <v>17158</v>
      </c>
      <c r="O2330" s="8" t="str">
        <f>HYPERLINK("https://drive.google.com/file/d/1hb7JNLszSlZzueX0Pn9N6eGrzR3BjOhV/view?usp=drivesdk","2329_AGUS TRIARTONO  _ SERTIFIKAT BIMTEK IPASN BerAKHLASK")</f>
        <v>2329_AGUS TRIARTONO  _ SERTIFIKAT BIMTEK IPASN BerAKHLASK</v>
      </c>
      <c r="P2330" s="5" t="s">
        <v>17148</v>
      </c>
      <c r="Q2330" s="5"/>
      <c r="R2330" s="5"/>
      <c r="S2330" s="5"/>
      <c r="T2330" s="5"/>
    </row>
    <row r="2331" hidden="1">
      <c r="A2331" s="4">
        <v>45534.33960694444</v>
      </c>
      <c r="B2331" s="5" t="s">
        <v>19</v>
      </c>
      <c r="C2331" s="5" t="s">
        <v>8666</v>
      </c>
      <c r="E2331" s="5" t="s">
        <v>17159</v>
      </c>
      <c r="F2331" s="5" t="s">
        <v>5859</v>
      </c>
      <c r="G2331" s="5" t="s">
        <v>17160</v>
      </c>
      <c r="H2331" s="6" t="s">
        <v>17161</v>
      </c>
      <c r="K2331" s="5" t="s">
        <v>17162</v>
      </c>
      <c r="M2331" s="5" t="s">
        <v>17163</v>
      </c>
      <c r="N2331" s="7" t="s">
        <v>17164</v>
      </c>
      <c r="O2331" s="8" t="str">
        <f>HYPERLINK("https://drive.google.com/file/d/1APseEFw07pPY9q60i2P8kEpJt0UGmR8w/view?usp=drivesdk","2330_SUHERMAN _ SERTIFIKAT BIMTEK IPASN BerAKHLASK")</f>
        <v>2330_SUHERMAN _ SERTIFIKAT BIMTEK IPASN BerAKHLASK</v>
      </c>
      <c r="P2331" s="5" t="s">
        <v>17148</v>
      </c>
      <c r="Q2331" s="5"/>
      <c r="R2331" s="5"/>
      <c r="S2331" s="5"/>
      <c r="T2331" s="5"/>
    </row>
    <row r="2332">
      <c r="A2332" s="4">
        <v>45534.339607118054</v>
      </c>
      <c r="B2332" s="5" t="s">
        <v>34</v>
      </c>
      <c r="D2332" s="5" t="s">
        <v>12978</v>
      </c>
      <c r="E2332" s="5" t="s">
        <v>17165</v>
      </c>
      <c r="F2332" s="5" t="s">
        <v>37</v>
      </c>
      <c r="G2332" s="5" t="s">
        <v>17166</v>
      </c>
      <c r="H2332" s="6" t="s">
        <v>17167</v>
      </c>
      <c r="K2332" s="5" t="s">
        <v>17162</v>
      </c>
      <c r="M2332" s="5" t="s">
        <v>17168</v>
      </c>
      <c r="N2332" s="7" t="s">
        <v>17169</v>
      </c>
      <c r="O2332" s="8" t="str">
        <f>HYPERLINK("https://drive.google.com/file/d/1Iqw26XstN18mCuzHIIwSSm3NyOm_gvbo/view?usp=drivesdk","2331_RIDWAN _ SERTIFIKAT BIMTEK IPASN BerAKHLASK")</f>
        <v>2331_RIDWAN _ SERTIFIKAT BIMTEK IPASN BerAKHLASK</v>
      </c>
      <c r="P2332" s="5" t="s">
        <v>17148</v>
      </c>
      <c r="Q2332" s="5"/>
      <c r="R2332" s="5"/>
      <c r="S2332" s="5"/>
      <c r="T2332" s="5"/>
    </row>
    <row r="2333">
      <c r="A2333" s="4">
        <v>45534.339619872684</v>
      </c>
      <c r="B2333" s="5" t="s">
        <v>34</v>
      </c>
      <c r="D2333" s="5" t="s">
        <v>35</v>
      </c>
      <c r="E2333" s="5" t="s">
        <v>17170</v>
      </c>
      <c r="F2333" s="5" t="s">
        <v>108</v>
      </c>
      <c r="G2333" s="5" t="s">
        <v>17171</v>
      </c>
      <c r="H2333" s="6" t="s">
        <v>17172</v>
      </c>
      <c r="K2333" s="5" t="s">
        <v>17162</v>
      </c>
      <c r="M2333" s="5" t="s">
        <v>17173</v>
      </c>
      <c r="N2333" s="7" t="s">
        <v>17174</v>
      </c>
      <c r="O2333" s="8" t="str">
        <f>HYPERLINK("https://drive.google.com/file/d/1FCs3umWOOet1ot_Zyi1dWvL-0Qds-_pP/view?usp=drivesdk","2332_SOBIRIN _ SERTIFIKAT BIMTEK IPASN BerAKHLASK")</f>
        <v>2332_SOBIRIN _ SERTIFIKAT BIMTEK IPASN BerAKHLASK</v>
      </c>
      <c r="P2333" s="5" t="s">
        <v>17148</v>
      </c>
      <c r="Q2333" s="5"/>
      <c r="R2333" s="5"/>
      <c r="S2333" s="5"/>
      <c r="T2333" s="5"/>
    </row>
    <row r="2334">
      <c r="A2334" s="4">
        <v>45534.33962144676</v>
      </c>
      <c r="B2334" s="5" t="s">
        <v>34</v>
      </c>
      <c r="D2334" s="5" t="s">
        <v>1206</v>
      </c>
      <c r="E2334" s="5" t="s">
        <v>17175</v>
      </c>
      <c r="F2334" s="5" t="s">
        <v>212</v>
      </c>
      <c r="G2334" s="5" t="s">
        <v>17176</v>
      </c>
      <c r="H2334" s="6" t="s">
        <v>17177</v>
      </c>
      <c r="K2334" s="5" t="s">
        <v>17162</v>
      </c>
      <c r="M2334" s="5" t="s">
        <v>17178</v>
      </c>
      <c r="N2334" s="7" t="s">
        <v>17179</v>
      </c>
      <c r="O2334" s="8" t="str">
        <f>HYPERLINK("https://drive.google.com/file/d/1J4TZWL-_ZBluVAN_f1pBIvRSmavU9kf6/view?usp=drivesdk","2333_TRI WAHYUNI _ SERTIFIKAT BIMTEK IPASN BerAKHLASK")</f>
        <v>2333_TRI WAHYUNI _ SERTIFIKAT BIMTEK IPASN BerAKHLASK</v>
      </c>
      <c r="P2334" s="5" t="s">
        <v>17148</v>
      </c>
      <c r="Q2334" s="5"/>
      <c r="R2334" s="5"/>
      <c r="S2334" s="5"/>
      <c r="T2334" s="5"/>
    </row>
    <row r="2335">
      <c r="A2335" s="4">
        <v>45534.33962179398</v>
      </c>
      <c r="B2335" s="5" t="s">
        <v>34</v>
      </c>
      <c r="D2335" s="5" t="s">
        <v>2903</v>
      </c>
      <c r="E2335" s="5" t="s">
        <v>17180</v>
      </c>
      <c r="F2335" s="5" t="s">
        <v>72</v>
      </c>
      <c r="G2335" s="5" t="s">
        <v>17181</v>
      </c>
      <c r="H2335" s="6" t="s">
        <v>17182</v>
      </c>
      <c r="K2335" s="5" t="s">
        <v>17162</v>
      </c>
      <c r="M2335" s="5" t="s">
        <v>17183</v>
      </c>
      <c r="N2335" s="7" t="s">
        <v>17184</v>
      </c>
      <c r="O2335" s="8" t="str">
        <f>HYPERLINK("https://drive.google.com/file/d/1wOqw1ucTA1xwnRndhCC0cw7FMtyUkCLU/view?usp=drivesdk","2334_DR DESSY _ SERTIFIKAT BIMTEK IPASN BerAKHLASK")</f>
        <v>2334_DR DESSY _ SERTIFIKAT BIMTEK IPASN BerAKHLASK</v>
      </c>
      <c r="P2335" s="5" t="s">
        <v>17185</v>
      </c>
      <c r="Q2335" s="5"/>
      <c r="R2335" s="5"/>
      <c r="S2335" s="5"/>
      <c r="T2335" s="5"/>
    </row>
    <row r="2336">
      <c r="A2336" s="4">
        <v>45534.33962732639</v>
      </c>
      <c r="B2336" s="5" t="s">
        <v>34</v>
      </c>
      <c r="D2336" s="5" t="s">
        <v>1206</v>
      </c>
      <c r="E2336" s="5" t="s">
        <v>17186</v>
      </c>
      <c r="F2336" s="5" t="s">
        <v>37</v>
      </c>
      <c r="G2336" s="5" t="s">
        <v>17187</v>
      </c>
      <c r="H2336" s="6" t="s">
        <v>17188</v>
      </c>
      <c r="K2336" s="5" t="s">
        <v>17162</v>
      </c>
      <c r="M2336" s="5" t="s">
        <v>17189</v>
      </c>
      <c r="N2336" s="7" t="s">
        <v>17190</v>
      </c>
      <c r="O2336" s="8" t="str">
        <f>HYPERLINK("https://drive.google.com/file/d/1T05jGxlDv368ZOwoYfvrAgF3Womly8aV/view?usp=drivesdk","2335_SUPARDI _ SERTIFIKAT BIMTEK IPASN BerAKHLASK")</f>
        <v>2335_SUPARDI _ SERTIFIKAT BIMTEK IPASN BerAKHLASK</v>
      </c>
      <c r="P2336" s="5" t="s">
        <v>17185</v>
      </c>
      <c r="Q2336" s="5"/>
      <c r="R2336" s="5"/>
      <c r="S2336" s="5"/>
      <c r="T2336" s="5"/>
    </row>
    <row r="2337">
      <c r="A2337" s="4">
        <v>45534.339633738426</v>
      </c>
      <c r="B2337" s="5" t="s">
        <v>34</v>
      </c>
      <c r="D2337" s="5" t="s">
        <v>1206</v>
      </c>
      <c r="E2337" s="5" t="s">
        <v>17191</v>
      </c>
      <c r="F2337" s="5" t="s">
        <v>212</v>
      </c>
      <c r="G2337" s="5" t="s">
        <v>17192</v>
      </c>
      <c r="H2337" s="6" t="s">
        <v>17193</v>
      </c>
      <c r="K2337" s="5" t="s">
        <v>15652</v>
      </c>
      <c r="M2337" s="5" t="s">
        <v>17194</v>
      </c>
      <c r="N2337" s="7" t="s">
        <v>17195</v>
      </c>
      <c r="O2337" s="8" t="str">
        <f>HYPERLINK("https://drive.google.com/file/d/1iBleBj_KIF0q8BPaVfyQg_L5F_ZGh9k8/view?usp=drivesdk","2336_INDAH SURYANINGTYAS  _ SERTIFIKAT BIMTEK IPASN BerAKHLASK")</f>
        <v>2336_INDAH SURYANINGTYAS  _ SERTIFIKAT BIMTEK IPASN BerAKHLASK</v>
      </c>
      <c r="P2337" s="5" t="s">
        <v>17185</v>
      </c>
      <c r="Q2337" s="5"/>
      <c r="R2337" s="5"/>
      <c r="S2337" s="5"/>
      <c r="T2337" s="5"/>
    </row>
    <row r="2338">
      <c r="A2338" s="4">
        <v>45534.33963771991</v>
      </c>
      <c r="B2338" s="5" t="s">
        <v>34</v>
      </c>
      <c r="D2338" s="5" t="s">
        <v>267</v>
      </c>
      <c r="E2338" s="5" t="s">
        <v>17196</v>
      </c>
      <c r="F2338" s="5" t="s">
        <v>524</v>
      </c>
      <c r="G2338" s="5" t="s">
        <v>17197</v>
      </c>
      <c r="H2338" s="6" t="s">
        <v>17198</v>
      </c>
      <c r="K2338" s="5" t="s">
        <v>15652</v>
      </c>
      <c r="M2338" s="5" t="s">
        <v>17199</v>
      </c>
      <c r="N2338" s="7" t="s">
        <v>17200</v>
      </c>
      <c r="O2338" s="8" t="str">
        <f>HYPERLINK("https://drive.google.com/file/d/1_g5gUZtXwNKEmC09FT735lYFVFDgByta/view?usp=drivesdk","2337_AGNES DWI EMI SUDJARWI, SST _ SERTIFIKAT BIMTEK IPASN BerAKHLASK")</f>
        <v>2337_AGNES DWI EMI SUDJARWI, SST _ SERTIFIKAT BIMTEK IPASN BerAKHLASK</v>
      </c>
      <c r="P2338" s="5" t="s">
        <v>17185</v>
      </c>
      <c r="Q2338" s="5"/>
      <c r="R2338" s="5"/>
      <c r="S2338" s="5"/>
      <c r="T2338" s="5"/>
    </row>
    <row r="2339">
      <c r="A2339" s="4">
        <v>45534.33963862268</v>
      </c>
      <c r="B2339" s="5" t="s">
        <v>34</v>
      </c>
      <c r="D2339" s="5" t="s">
        <v>4775</v>
      </c>
      <c r="E2339" s="5" t="s">
        <v>17201</v>
      </c>
      <c r="F2339" s="5" t="s">
        <v>212</v>
      </c>
      <c r="G2339" s="5" t="s">
        <v>17202</v>
      </c>
      <c r="H2339" s="6" t="s">
        <v>17203</v>
      </c>
      <c r="K2339" s="5" t="s">
        <v>15652</v>
      </c>
      <c r="M2339" s="5" t="s">
        <v>17204</v>
      </c>
      <c r="N2339" s="7" t="s">
        <v>17205</v>
      </c>
      <c r="O2339" s="8" t="str">
        <f>HYPERLINK("https://drive.google.com/file/d/1hbDMfCgELpSmAhjQpg4F0pJ6bjXI-iH4/view?usp=drivesdk","2338_SITI SAHLAH  _ SERTIFIKAT BIMTEK IPASN BerAKHLASK")</f>
        <v>2338_SITI SAHLAH  _ SERTIFIKAT BIMTEK IPASN BerAKHLASK</v>
      </c>
      <c r="P2339" s="5" t="s">
        <v>17185</v>
      </c>
      <c r="Q2339" s="5"/>
      <c r="R2339" s="5"/>
      <c r="S2339" s="5"/>
      <c r="T2339" s="5"/>
    </row>
    <row r="2340">
      <c r="A2340" s="4">
        <v>45534.339642418985</v>
      </c>
      <c r="B2340" s="5" t="s">
        <v>34</v>
      </c>
      <c r="D2340" s="5" t="s">
        <v>1663</v>
      </c>
      <c r="E2340" s="5" t="s">
        <v>17206</v>
      </c>
      <c r="F2340" s="5" t="s">
        <v>798</v>
      </c>
      <c r="G2340" s="5" t="s">
        <v>17207</v>
      </c>
      <c r="H2340" s="6" t="s">
        <v>17208</v>
      </c>
      <c r="K2340" s="5" t="s">
        <v>15652</v>
      </c>
      <c r="M2340" s="5" t="s">
        <v>17209</v>
      </c>
      <c r="N2340" s="7" t="s">
        <v>17210</v>
      </c>
      <c r="O2340" s="8" t="str">
        <f>HYPERLINK("https://drive.google.com/file/d/1A8o9gY4n8CPoXmIrJZsFOpYmNFXorwpU/view?usp=drivesdk","2339_MUHAMMAD SYARIFUDIN BACHRI _ SERTIFIKAT BIMTEK IPASN BerAKHLASK")</f>
        <v>2339_MUHAMMAD SYARIFUDIN BACHRI _ SERTIFIKAT BIMTEK IPASN BerAKHLASK</v>
      </c>
      <c r="P2340" s="5" t="s">
        <v>17185</v>
      </c>
      <c r="Q2340" s="5"/>
      <c r="R2340" s="5"/>
      <c r="S2340" s="5"/>
      <c r="T2340" s="5"/>
    </row>
    <row r="2341">
      <c r="A2341" s="4">
        <v>45534.33964513888</v>
      </c>
      <c r="B2341" s="5" t="s">
        <v>34</v>
      </c>
      <c r="D2341" s="5" t="s">
        <v>35</v>
      </c>
      <c r="E2341" s="5" t="s">
        <v>17211</v>
      </c>
      <c r="F2341" s="5" t="s">
        <v>108</v>
      </c>
      <c r="G2341" s="5" t="s">
        <v>17212</v>
      </c>
      <c r="H2341" s="6" t="s">
        <v>17213</v>
      </c>
      <c r="K2341" s="5" t="s">
        <v>15652</v>
      </c>
      <c r="M2341" s="5" t="s">
        <v>17214</v>
      </c>
      <c r="N2341" s="7" t="s">
        <v>17215</v>
      </c>
      <c r="O2341" s="8" t="str">
        <f>HYPERLINK("https://drive.google.com/file/d/1ioqDy9J38U4kuoL-Sh1pkJXIB5O_kI6o/view?usp=drivesdk","2340_KUSWANTO _ SERTIFIKAT BIMTEK IPASN BerAKHLASK")</f>
        <v>2340_KUSWANTO _ SERTIFIKAT BIMTEK IPASN BerAKHLASK</v>
      </c>
      <c r="P2341" s="5" t="s">
        <v>17216</v>
      </c>
      <c r="Q2341" s="5"/>
      <c r="R2341" s="5"/>
      <c r="S2341" s="5"/>
      <c r="T2341" s="5"/>
    </row>
    <row r="2342">
      <c r="A2342" s="4">
        <v>45534.33964822917</v>
      </c>
      <c r="B2342" s="5" t="s">
        <v>34</v>
      </c>
      <c r="D2342" s="5" t="s">
        <v>9020</v>
      </c>
      <c r="E2342" s="5" t="s">
        <v>17217</v>
      </c>
      <c r="F2342" s="5" t="s">
        <v>212</v>
      </c>
      <c r="G2342" s="5" t="s">
        <v>17218</v>
      </c>
      <c r="H2342" s="6" t="s">
        <v>17219</v>
      </c>
      <c r="K2342" s="5" t="s">
        <v>15652</v>
      </c>
      <c r="M2342" s="5" t="s">
        <v>17220</v>
      </c>
      <c r="N2342" s="7" t="s">
        <v>17221</v>
      </c>
      <c r="O2342" s="8" t="str">
        <f>HYPERLINK("https://drive.google.com/file/d/1Js-0FfdrqH4poPB2FNtgmxPOkpEySzo4/view?usp=drivesdk","2341_SRI YANTI _ SERTIFIKAT BIMTEK IPASN BerAKHLASK")</f>
        <v>2341_SRI YANTI _ SERTIFIKAT BIMTEK IPASN BerAKHLASK</v>
      </c>
      <c r="P2342" s="5" t="s">
        <v>17216</v>
      </c>
      <c r="Q2342" s="5"/>
      <c r="R2342" s="5"/>
      <c r="S2342" s="5"/>
      <c r="T2342" s="5"/>
    </row>
    <row r="2343">
      <c r="A2343" s="4">
        <v>45534.339652650466</v>
      </c>
      <c r="B2343" s="5" t="s">
        <v>34</v>
      </c>
      <c r="D2343" s="5" t="s">
        <v>522</v>
      </c>
      <c r="E2343" s="5" t="s">
        <v>17222</v>
      </c>
      <c r="F2343" s="5" t="s">
        <v>212</v>
      </c>
      <c r="G2343" s="5" t="s">
        <v>17223</v>
      </c>
      <c r="H2343" s="6" t="s">
        <v>17224</v>
      </c>
      <c r="K2343" s="5" t="s">
        <v>15652</v>
      </c>
      <c r="M2343" s="5" t="s">
        <v>17225</v>
      </c>
      <c r="N2343" s="7" t="s">
        <v>17226</v>
      </c>
      <c r="O2343" s="8" t="str">
        <f>HYPERLINK("https://drive.google.com/file/d/1k-IVy-10WT0lT2aop-Vg5PKNYeXqSMTv/view?usp=drivesdk","2342_YULIA, S.E _ SERTIFIKAT BIMTEK IPASN BerAKHLASK")</f>
        <v>2342_YULIA, S.E _ SERTIFIKAT BIMTEK IPASN BerAKHLASK</v>
      </c>
      <c r="P2343" s="5" t="s">
        <v>17216</v>
      </c>
      <c r="Q2343" s="5"/>
      <c r="R2343" s="5"/>
      <c r="S2343" s="5"/>
      <c r="T2343" s="5"/>
    </row>
    <row r="2344">
      <c r="A2344" s="4">
        <v>45534.33965369213</v>
      </c>
      <c r="B2344" s="5" t="s">
        <v>34</v>
      </c>
      <c r="D2344" s="5" t="s">
        <v>35</v>
      </c>
      <c r="E2344" s="5" t="s">
        <v>17227</v>
      </c>
      <c r="F2344" s="5" t="s">
        <v>108</v>
      </c>
      <c r="G2344" s="5" t="s">
        <v>17228</v>
      </c>
      <c r="H2344" s="6" t="s">
        <v>17229</v>
      </c>
      <c r="K2344" s="5" t="s">
        <v>15652</v>
      </c>
      <c r="M2344" s="5" t="s">
        <v>17230</v>
      </c>
      <c r="N2344" s="7" t="s">
        <v>17231</v>
      </c>
      <c r="O2344" s="8" t="str">
        <f>HYPERLINK("https://drive.google.com/file/d/1LIX7K9FOx10lA9lbMyuCwKdpfqdCe-oS/view?usp=drivesdk","2343_ROHAETI _ SERTIFIKAT BIMTEK IPASN BerAKHLASK")</f>
        <v>2343_ROHAETI _ SERTIFIKAT BIMTEK IPASN BerAKHLASK</v>
      </c>
      <c r="P2344" s="5" t="s">
        <v>17216</v>
      </c>
      <c r="Q2344" s="5"/>
      <c r="R2344" s="5"/>
      <c r="S2344" s="5"/>
      <c r="T2344" s="5"/>
    </row>
    <row r="2345">
      <c r="A2345" s="4">
        <v>45534.33966032407</v>
      </c>
      <c r="B2345" s="5" t="s">
        <v>34</v>
      </c>
      <c r="D2345" s="5" t="s">
        <v>7858</v>
      </c>
      <c r="E2345" s="5" t="s">
        <v>17232</v>
      </c>
      <c r="F2345" s="5" t="s">
        <v>524</v>
      </c>
      <c r="G2345" s="5" t="s">
        <v>17233</v>
      </c>
      <c r="H2345" s="6" t="s">
        <v>17234</v>
      </c>
      <c r="K2345" s="5" t="s">
        <v>15652</v>
      </c>
      <c r="M2345" s="5" t="s">
        <v>17235</v>
      </c>
      <c r="N2345" s="7" t="s">
        <v>17236</v>
      </c>
      <c r="O2345" s="8" t="str">
        <f>HYPERLINK("https://drive.google.com/file/d/17QHEDXupVrT6XE3vE5w_angNF2RLY1PR/view?usp=drivesdk","2344_YULI SETIO HARTATI, AMD.KEP _ SERTIFIKAT BIMTEK IPASN BerAKHLASK")</f>
        <v>2344_YULI SETIO HARTATI, AMD.KEP _ SERTIFIKAT BIMTEK IPASN BerAKHLASK</v>
      </c>
      <c r="P2345" s="5" t="s">
        <v>17216</v>
      </c>
      <c r="Q2345" s="5"/>
      <c r="R2345" s="5"/>
      <c r="S2345" s="5"/>
      <c r="T2345" s="5"/>
    </row>
    <row r="2346">
      <c r="A2346" s="4">
        <v>45534.33967273148</v>
      </c>
      <c r="B2346" s="5" t="s">
        <v>34</v>
      </c>
      <c r="D2346" s="5" t="s">
        <v>35</v>
      </c>
      <c r="E2346" s="5" t="s">
        <v>17237</v>
      </c>
      <c r="F2346" s="5" t="s">
        <v>37</v>
      </c>
      <c r="G2346" s="5" t="s">
        <v>17238</v>
      </c>
      <c r="H2346" s="6" t="s">
        <v>17239</v>
      </c>
      <c r="K2346" s="5" t="s">
        <v>15652</v>
      </c>
      <c r="M2346" s="5" t="s">
        <v>17240</v>
      </c>
      <c r="N2346" s="7" t="s">
        <v>17241</v>
      </c>
      <c r="O2346" s="8" t="str">
        <f>HYPERLINK("https://drive.google.com/file/d/1H57DRTSLEo89PuLCAFM9JaGqCtGZeEzq/view?usp=drivesdk","2345_SARINAH _ SERTIFIKAT BIMTEK IPASN BerAKHLASK")</f>
        <v>2345_SARINAH _ SERTIFIKAT BIMTEK IPASN BerAKHLASK</v>
      </c>
      <c r="P2346" s="5" t="s">
        <v>17216</v>
      </c>
      <c r="Q2346" s="5"/>
      <c r="R2346" s="5"/>
      <c r="S2346" s="5"/>
      <c r="T2346" s="5"/>
    </row>
    <row r="2347">
      <c r="A2347" s="4">
        <v>45534.339675324074</v>
      </c>
      <c r="B2347" s="5" t="s">
        <v>34</v>
      </c>
      <c r="D2347" s="5" t="s">
        <v>4775</v>
      </c>
      <c r="E2347" s="5" t="s">
        <v>17242</v>
      </c>
      <c r="F2347" s="5" t="s">
        <v>212</v>
      </c>
      <c r="G2347" s="5" t="s">
        <v>17243</v>
      </c>
      <c r="H2347" s="6" t="s">
        <v>17244</v>
      </c>
      <c r="K2347" s="5" t="s">
        <v>15652</v>
      </c>
      <c r="M2347" s="5" t="s">
        <v>17245</v>
      </c>
      <c r="N2347" s="7" t="s">
        <v>17246</v>
      </c>
      <c r="O2347" s="8" t="str">
        <f>HYPERLINK("https://drive.google.com/file/d/110YFBnpGXRlIKnYF-Fw8nnD1UHsTb7_6/view?usp=drivesdk","2346_SUYITNO _ SERTIFIKAT BIMTEK IPASN BerAKHLASK")</f>
        <v>2346_SUYITNO _ SERTIFIKAT BIMTEK IPASN BerAKHLASK</v>
      </c>
      <c r="P2347" s="5" t="s">
        <v>17247</v>
      </c>
      <c r="Q2347" s="5"/>
      <c r="R2347" s="5"/>
      <c r="S2347" s="5"/>
      <c r="T2347" s="5"/>
    </row>
    <row r="2348">
      <c r="A2348" s="4">
        <v>45534.33967914352</v>
      </c>
      <c r="B2348" s="5" t="s">
        <v>34</v>
      </c>
      <c r="D2348" s="5" t="s">
        <v>580</v>
      </c>
      <c r="E2348" s="5" t="s">
        <v>17248</v>
      </c>
      <c r="F2348" s="5" t="s">
        <v>375</v>
      </c>
      <c r="G2348" s="5" t="s">
        <v>17249</v>
      </c>
      <c r="H2348" s="6" t="s">
        <v>17250</v>
      </c>
      <c r="K2348" s="5" t="s">
        <v>15652</v>
      </c>
      <c r="M2348" s="5" t="s">
        <v>17251</v>
      </c>
      <c r="N2348" s="7" t="s">
        <v>17252</v>
      </c>
      <c r="O2348" s="8" t="str">
        <f>HYPERLINK("https://drive.google.com/file/d/1iad6IO2wjBOi284_6B1KJIv-ziMZQqLc/view?usp=drivesdk","2347_DIAH UNTARI, S.KOM _ SERTIFIKAT BIMTEK IPASN BerAKHLASK")</f>
        <v>2347_DIAH UNTARI, S.KOM _ SERTIFIKAT BIMTEK IPASN BerAKHLASK</v>
      </c>
      <c r="P2348" s="5" t="s">
        <v>17247</v>
      </c>
      <c r="Q2348" s="5"/>
      <c r="R2348" s="5"/>
      <c r="S2348" s="5"/>
      <c r="T2348" s="5"/>
    </row>
    <row r="2349">
      <c r="A2349" s="4">
        <v>45534.3396809838</v>
      </c>
      <c r="B2349" s="5" t="s">
        <v>34</v>
      </c>
      <c r="D2349" s="5" t="s">
        <v>4775</v>
      </c>
      <c r="E2349" s="5" t="s">
        <v>17253</v>
      </c>
      <c r="F2349" s="5" t="s">
        <v>120</v>
      </c>
      <c r="G2349" s="5" t="s">
        <v>17254</v>
      </c>
      <c r="H2349" s="6" t="s">
        <v>17255</v>
      </c>
      <c r="K2349" s="5" t="s">
        <v>15652</v>
      </c>
      <c r="M2349" s="5" t="s">
        <v>17256</v>
      </c>
      <c r="N2349" s="7" t="s">
        <v>17257</v>
      </c>
      <c r="O2349" s="8" t="str">
        <f>HYPERLINK("https://drive.google.com/file/d/1ySTG9lBZtnEkjc4Ku-1hRUFkaXGgcQmV/view?usp=drivesdk","2348_BOEDI RAHAYOE, S.E., M.M. _ SERTIFIKAT BIMTEK IPASN BerAKHLASK")</f>
        <v>2348_BOEDI RAHAYOE, S.E., M.M. _ SERTIFIKAT BIMTEK IPASN BerAKHLASK</v>
      </c>
      <c r="P2349" s="5" t="s">
        <v>17247</v>
      </c>
      <c r="Q2349" s="5"/>
      <c r="R2349" s="5"/>
      <c r="S2349" s="5"/>
      <c r="T2349" s="5"/>
    </row>
    <row r="2350" hidden="1">
      <c r="A2350" s="4">
        <v>45534.339683645834</v>
      </c>
      <c r="B2350" s="5" t="s">
        <v>19</v>
      </c>
      <c r="C2350" s="5" t="s">
        <v>1498</v>
      </c>
      <c r="E2350" s="5" t="s">
        <v>17258</v>
      </c>
      <c r="F2350" s="5" t="s">
        <v>120</v>
      </c>
      <c r="G2350" s="5" t="s">
        <v>17259</v>
      </c>
      <c r="H2350" s="6" t="s">
        <v>17260</v>
      </c>
      <c r="K2350" s="5" t="s">
        <v>15652</v>
      </c>
      <c r="M2350" s="5" t="s">
        <v>17261</v>
      </c>
      <c r="N2350" s="7" t="s">
        <v>17262</v>
      </c>
      <c r="O2350" s="8" t="str">
        <f>HYPERLINK("https://drive.google.com/file/d/1_L5x8BRkllq4E20vO2mIhSHD-sM9kXw9/view?usp=drivesdk","2349_SURYADI, S.E _ SERTIFIKAT BIMTEK IPASN BerAKHLASK")</f>
        <v>2349_SURYADI, S.E _ SERTIFIKAT BIMTEK IPASN BerAKHLASK</v>
      </c>
      <c r="P2350" s="5" t="s">
        <v>17247</v>
      </c>
      <c r="Q2350" s="5"/>
      <c r="R2350" s="5"/>
      <c r="S2350" s="5"/>
      <c r="T2350" s="5"/>
    </row>
    <row r="2351">
      <c r="A2351" s="4">
        <v>45534.33968983796</v>
      </c>
      <c r="B2351" s="5" t="s">
        <v>34</v>
      </c>
      <c r="D2351" s="5" t="s">
        <v>1206</v>
      </c>
      <c r="E2351" s="5" t="s">
        <v>17263</v>
      </c>
      <c r="F2351" s="5" t="s">
        <v>375</v>
      </c>
      <c r="G2351" s="5" t="s">
        <v>17264</v>
      </c>
      <c r="H2351" s="6" t="s">
        <v>17265</v>
      </c>
      <c r="K2351" s="5" t="s">
        <v>15652</v>
      </c>
      <c r="M2351" s="5" t="s">
        <v>17266</v>
      </c>
      <c r="N2351" s="7" t="s">
        <v>17267</v>
      </c>
      <c r="O2351" s="8" t="str">
        <f>HYPERLINK("https://drive.google.com/file/d/15hp0J-OEaslLVeaxHAa5w-AnrCTJUBLF/view?usp=drivesdk","2350_NIKEN MAYA PUSPITANINGSARI, S.Kom. _ SERTIFIKAT BIMTEK IPASN BerAKHLASK")</f>
        <v>2350_NIKEN MAYA PUSPITANINGSARI, S.Kom. _ SERTIFIKAT BIMTEK IPASN BerAKHLASK</v>
      </c>
      <c r="P2351" s="5" t="s">
        <v>17247</v>
      </c>
      <c r="Q2351" s="5"/>
      <c r="R2351" s="5"/>
      <c r="S2351" s="5"/>
      <c r="T2351" s="5"/>
    </row>
    <row r="2352">
      <c r="A2352" s="4">
        <v>45534.339700324075</v>
      </c>
      <c r="B2352" s="5" t="s">
        <v>34</v>
      </c>
      <c r="D2352" s="5" t="s">
        <v>35</v>
      </c>
      <c r="E2352" s="5" t="s">
        <v>17268</v>
      </c>
      <c r="F2352" s="5" t="s">
        <v>108</v>
      </c>
      <c r="G2352" s="5" t="s">
        <v>17269</v>
      </c>
      <c r="H2352" s="6" t="s">
        <v>17270</v>
      </c>
      <c r="K2352" s="5" t="s">
        <v>17271</v>
      </c>
      <c r="M2352" s="5" t="s">
        <v>17272</v>
      </c>
      <c r="N2352" s="7" t="s">
        <v>17273</v>
      </c>
      <c r="O2352" s="8" t="str">
        <f>HYPERLINK("https://drive.google.com/file/d/1DiLvTNxV68FYgDiN-qN6V_lrrEIfpmlJ/view?usp=drivesdk","2351_YAYAH MARIAH _ SERTIFIKAT BIMTEK IPASN BerAKHLASK")</f>
        <v>2351_YAYAH MARIAH _ SERTIFIKAT BIMTEK IPASN BerAKHLASK</v>
      </c>
      <c r="P2352" s="5" t="s">
        <v>17274</v>
      </c>
      <c r="Q2352" s="5"/>
      <c r="R2352" s="5"/>
      <c r="S2352" s="5"/>
      <c r="T2352" s="5"/>
    </row>
    <row r="2353">
      <c r="A2353" s="4">
        <v>45534.339706875</v>
      </c>
      <c r="B2353" s="5" t="s">
        <v>34</v>
      </c>
      <c r="D2353" s="5" t="s">
        <v>35</v>
      </c>
      <c r="E2353" s="5" t="s">
        <v>17275</v>
      </c>
      <c r="F2353" s="5" t="s">
        <v>375</v>
      </c>
      <c r="G2353" s="5" t="s">
        <v>17276</v>
      </c>
      <c r="H2353" s="6" t="s">
        <v>17277</v>
      </c>
      <c r="K2353" s="5" t="s">
        <v>17271</v>
      </c>
      <c r="M2353" s="5" t="s">
        <v>17278</v>
      </c>
      <c r="N2353" s="7" t="s">
        <v>17279</v>
      </c>
      <c r="O2353" s="8" t="str">
        <f>HYPERLINK("https://drive.google.com/file/d/16GOCVcfeEqx3lFPQwZlMPZUrbGFHtW7i/view?usp=drivesdk","2352_JUHANA, ST _ SERTIFIKAT BIMTEK IPASN BerAKHLASK")</f>
        <v>2352_JUHANA, ST _ SERTIFIKAT BIMTEK IPASN BerAKHLASK</v>
      </c>
      <c r="P2353" s="5" t="s">
        <v>17274</v>
      </c>
      <c r="Q2353" s="5"/>
      <c r="R2353" s="5"/>
      <c r="S2353" s="5"/>
      <c r="T2353" s="5"/>
    </row>
    <row r="2354">
      <c r="A2354" s="4">
        <v>45534.33970701389</v>
      </c>
      <c r="B2354" s="5" t="s">
        <v>34</v>
      </c>
      <c r="D2354" s="5" t="s">
        <v>35</v>
      </c>
      <c r="E2354" s="5" t="s">
        <v>17280</v>
      </c>
      <c r="F2354" s="5" t="s">
        <v>375</v>
      </c>
      <c r="G2354" s="5" t="s">
        <v>17281</v>
      </c>
      <c r="H2354" s="6" t="s">
        <v>17282</v>
      </c>
      <c r="K2354" s="5" t="s">
        <v>17271</v>
      </c>
      <c r="M2354" s="5" t="s">
        <v>17283</v>
      </c>
      <c r="N2354" s="7" t="s">
        <v>17284</v>
      </c>
      <c r="O2354" s="8" t="str">
        <f>HYPERLINK("https://drive.google.com/file/d/1eZF-bUe1WS8WeUu4AztPmUIH_ZT6C356/view?usp=drivesdk","2353_SUYONO, SH _ SERTIFIKAT BIMTEK IPASN BerAKHLASK")</f>
        <v>2353_SUYONO, SH _ SERTIFIKAT BIMTEK IPASN BerAKHLASK</v>
      </c>
      <c r="P2354" s="5" t="s">
        <v>17274</v>
      </c>
      <c r="Q2354" s="5"/>
      <c r="R2354" s="5"/>
      <c r="S2354" s="5"/>
      <c r="T2354" s="5"/>
    </row>
    <row r="2355">
      <c r="A2355" s="4">
        <v>45534.33971325231</v>
      </c>
      <c r="B2355" s="5" t="s">
        <v>34</v>
      </c>
      <c r="D2355" s="5" t="s">
        <v>1206</v>
      </c>
      <c r="E2355" s="5" t="s">
        <v>17285</v>
      </c>
      <c r="F2355" s="5" t="s">
        <v>37</v>
      </c>
      <c r="G2355" s="5" t="s">
        <v>17286</v>
      </c>
      <c r="H2355" s="6" t="s">
        <v>17287</v>
      </c>
      <c r="K2355" s="5" t="s">
        <v>17271</v>
      </c>
      <c r="M2355" s="5" t="s">
        <v>17288</v>
      </c>
      <c r="N2355" s="7" t="s">
        <v>17289</v>
      </c>
      <c r="O2355" s="8" t="str">
        <f>HYPERLINK("https://drive.google.com/file/d/1p5S4vq6Tea_dpMId6EBzLWgQ0foXFO3H/view?usp=drivesdk","2354_MULYADI _ SERTIFIKAT BIMTEK IPASN BerAKHLASK")</f>
        <v>2354_MULYADI _ SERTIFIKAT BIMTEK IPASN BerAKHLASK</v>
      </c>
      <c r="P2355" s="5" t="s">
        <v>17274</v>
      </c>
      <c r="Q2355" s="5"/>
      <c r="R2355" s="5"/>
      <c r="S2355" s="5"/>
      <c r="T2355" s="5"/>
    </row>
    <row r="2356">
      <c r="A2356" s="4">
        <v>45534.33969328704</v>
      </c>
      <c r="B2356" s="5" t="s">
        <v>34</v>
      </c>
      <c r="D2356" s="5" t="s">
        <v>4775</v>
      </c>
      <c r="E2356" s="5" t="s">
        <v>17290</v>
      </c>
      <c r="F2356" s="5" t="s">
        <v>72</v>
      </c>
      <c r="G2356" s="5" t="s">
        <v>17291</v>
      </c>
      <c r="H2356" s="6" t="s">
        <v>17292</v>
      </c>
      <c r="K2356" s="5" t="s">
        <v>17271</v>
      </c>
      <c r="M2356" s="5" t="s">
        <v>17293</v>
      </c>
      <c r="N2356" s="7" t="s">
        <v>17294</v>
      </c>
      <c r="O2356" s="8" t="str">
        <f>HYPERLINK("https://drive.google.com/file/d/1UtDDf8roaAZrcNN2O5730N4QChsHADhU/view?usp=drivesdk","2355_BAMBANG MOH PURJONO _ SERTIFIKAT BIMTEK IPASN BerAKHLASK")</f>
        <v>2355_BAMBANG MOH PURJONO _ SERTIFIKAT BIMTEK IPASN BerAKHLASK</v>
      </c>
      <c r="P2356" s="5" t="s">
        <v>17274</v>
      </c>
      <c r="Q2356" s="5"/>
      <c r="R2356" s="5"/>
      <c r="S2356" s="5"/>
      <c r="T2356" s="5"/>
    </row>
    <row r="2357">
      <c r="A2357" s="4">
        <v>45534.3397341088</v>
      </c>
      <c r="B2357" s="5" t="s">
        <v>34</v>
      </c>
      <c r="D2357" s="5" t="s">
        <v>4775</v>
      </c>
      <c r="E2357" s="5" t="s">
        <v>17295</v>
      </c>
      <c r="F2357" s="5" t="s">
        <v>375</v>
      </c>
      <c r="G2357" s="5" t="s">
        <v>17296</v>
      </c>
      <c r="H2357" s="6" t="s">
        <v>17297</v>
      </c>
      <c r="K2357" s="5" t="s">
        <v>17271</v>
      </c>
      <c r="M2357" s="5" t="s">
        <v>17298</v>
      </c>
      <c r="N2357" s="7" t="s">
        <v>17299</v>
      </c>
      <c r="O2357" s="8" t="str">
        <f>HYPERLINK("https://drive.google.com/file/d/1ijuEK5sig6aV3tG7bXYtCKyuFFxWE-Ej/view?usp=drivesdk","2356_DIAN AMBAR KUSUMA  _ SERTIFIKAT BIMTEK IPASN BerAKHLASK")</f>
        <v>2356_DIAN AMBAR KUSUMA  _ SERTIFIKAT BIMTEK IPASN BerAKHLASK</v>
      </c>
      <c r="P2357" s="5" t="s">
        <v>17300</v>
      </c>
      <c r="Q2357" s="5"/>
      <c r="R2357" s="5"/>
      <c r="S2357" s="5"/>
      <c r="T2357" s="5"/>
    </row>
    <row r="2358">
      <c r="A2358" s="4">
        <v>45534.339736828704</v>
      </c>
      <c r="B2358" s="5" t="s">
        <v>34</v>
      </c>
      <c r="D2358" s="5" t="s">
        <v>9020</v>
      </c>
      <c r="E2358" s="5" t="s">
        <v>17301</v>
      </c>
      <c r="F2358" s="5" t="s">
        <v>37</v>
      </c>
      <c r="G2358" s="5" t="s">
        <v>17302</v>
      </c>
      <c r="H2358" s="6" t="s">
        <v>17303</v>
      </c>
      <c r="K2358" s="5" t="s">
        <v>17271</v>
      </c>
      <c r="M2358" s="5" t="s">
        <v>17304</v>
      </c>
      <c r="N2358" s="7" t="s">
        <v>17305</v>
      </c>
      <c r="O2358" s="8" t="str">
        <f>HYPERLINK("https://drive.google.com/file/d/18H8wjdm_rsq6g9paa8v5hHwQ8xvDhNcL/view?usp=drivesdk","2357_MARIATI, AMD _ SERTIFIKAT BIMTEK IPASN BerAKHLASK")</f>
        <v>2357_MARIATI, AMD _ SERTIFIKAT BIMTEK IPASN BerAKHLASK</v>
      </c>
      <c r="P2358" s="5" t="s">
        <v>17300</v>
      </c>
      <c r="Q2358" s="5"/>
      <c r="R2358" s="5"/>
      <c r="S2358" s="5"/>
      <c r="T2358" s="5"/>
    </row>
    <row r="2359">
      <c r="A2359" s="4">
        <v>45534.339737118054</v>
      </c>
      <c r="B2359" s="5" t="s">
        <v>34</v>
      </c>
      <c r="D2359" s="5" t="s">
        <v>35</v>
      </c>
      <c r="E2359" s="5" t="s">
        <v>17306</v>
      </c>
      <c r="F2359" s="5" t="s">
        <v>212</v>
      </c>
      <c r="G2359" s="5" t="s">
        <v>17307</v>
      </c>
      <c r="H2359" s="6" t="s">
        <v>17308</v>
      </c>
      <c r="K2359" s="5" t="s">
        <v>17271</v>
      </c>
      <c r="M2359" s="5" t="s">
        <v>17309</v>
      </c>
      <c r="N2359" s="7" t="s">
        <v>17310</v>
      </c>
      <c r="O2359" s="8" t="str">
        <f>HYPERLINK("https://drive.google.com/file/d/1SzHmBHaCnAK_39rTovJ4MnUwT_McqqfV/view?usp=drivesdk","2358_EFI RAPIAH _ SERTIFIKAT BIMTEK IPASN BerAKHLASK")</f>
        <v>2358_EFI RAPIAH _ SERTIFIKAT BIMTEK IPASN BerAKHLASK</v>
      </c>
      <c r="P2359" s="5" t="s">
        <v>17300</v>
      </c>
      <c r="Q2359" s="5"/>
      <c r="R2359" s="5"/>
      <c r="S2359" s="5"/>
      <c r="T2359" s="5"/>
    </row>
    <row r="2360">
      <c r="A2360" s="4">
        <v>45534.339745254634</v>
      </c>
      <c r="B2360" s="5" t="s">
        <v>34</v>
      </c>
      <c r="D2360" s="5" t="s">
        <v>996</v>
      </c>
      <c r="E2360" s="5" t="s">
        <v>17311</v>
      </c>
      <c r="F2360" s="5" t="s">
        <v>108</v>
      </c>
      <c r="G2360" s="5" t="s">
        <v>17312</v>
      </c>
      <c r="H2360" s="6" t="s">
        <v>17313</v>
      </c>
      <c r="K2360" s="5" t="s">
        <v>17271</v>
      </c>
      <c r="M2360" s="5" t="s">
        <v>17314</v>
      </c>
      <c r="N2360" s="7" t="s">
        <v>17315</v>
      </c>
      <c r="O2360" s="8" t="str">
        <f>HYPERLINK("https://drive.google.com/file/d/1-8WIiOE7f2cnqeBTjRqdR_F9mqlRDDKI/view?usp=drivesdk","2359_HANIK ELYANA A.MD _ SERTIFIKAT BIMTEK IPASN BerAKHLASK")</f>
        <v>2359_HANIK ELYANA A.MD _ SERTIFIKAT BIMTEK IPASN BerAKHLASK</v>
      </c>
      <c r="P2360" s="5" t="s">
        <v>17300</v>
      </c>
      <c r="Q2360" s="5"/>
      <c r="R2360" s="5"/>
      <c r="S2360" s="5"/>
      <c r="T2360" s="5"/>
    </row>
    <row r="2361">
      <c r="A2361" s="4">
        <v>45534.3397496875</v>
      </c>
      <c r="B2361" s="5" t="s">
        <v>34</v>
      </c>
      <c r="D2361" s="5" t="s">
        <v>996</v>
      </c>
      <c r="E2361" s="5" t="s">
        <v>17316</v>
      </c>
      <c r="F2361" s="5" t="s">
        <v>524</v>
      </c>
      <c r="G2361" s="5" t="s">
        <v>17317</v>
      </c>
      <c r="H2361" s="6" t="s">
        <v>17318</v>
      </c>
      <c r="K2361" s="5" t="s">
        <v>17271</v>
      </c>
      <c r="M2361" s="5" t="s">
        <v>17319</v>
      </c>
      <c r="N2361" s="7" t="s">
        <v>17320</v>
      </c>
      <c r="O2361" s="8" t="str">
        <f>HYPERLINK("https://drive.google.com/file/d/1IUPUi6dh9k3xhY0enB2r5_xxpmf7Q7uu/view?usp=drivesdk","2360_HERNIATI.S.SOS _ SERTIFIKAT BIMTEK IPASN BerAKHLASK")</f>
        <v>2360_HERNIATI.S.SOS _ SERTIFIKAT BIMTEK IPASN BerAKHLASK</v>
      </c>
      <c r="P2361" s="5" t="s">
        <v>17300</v>
      </c>
      <c r="Q2361" s="5"/>
      <c r="R2361" s="5"/>
      <c r="S2361" s="5"/>
      <c r="T2361" s="5"/>
    </row>
    <row r="2362">
      <c r="A2362" s="4">
        <v>45534.33975201389</v>
      </c>
      <c r="B2362" s="5" t="s">
        <v>34</v>
      </c>
      <c r="D2362" s="5" t="s">
        <v>522</v>
      </c>
      <c r="E2362" s="5" t="s">
        <v>17321</v>
      </c>
      <c r="F2362" s="5" t="s">
        <v>715</v>
      </c>
      <c r="G2362" s="5" t="s">
        <v>17322</v>
      </c>
      <c r="H2362" s="6" t="s">
        <v>17323</v>
      </c>
      <c r="K2362" s="5" t="s">
        <v>17271</v>
      </c>
      <c r="M2362" s="5" t="s">
        <v>17324</v>
      </c>
      <c r="N2362" s="7" t="s">
        <v>17325</v>
      </c>
      <c r="O2362" s="8" t="str">
        <f>HYPERLINK("https://drive.google.com/file/d/1HHRheGgSzzv8RSPopOtn90EkhW2r9xOu/view?usp=drivesdk","2361_ROHAINI, SE _ SERTIFIKAT BIMTEK IPASN BerAKHLASK")</f>
        <v>2361_ROHAINI, SE _ SERTIFIKAT BIMTEK IPASN BerAKHLASK</v>
      </c>
      <c r="P2362" s="5" t="s">
        <v>17300</v>
      </c>
      <c r="Q2362" s="5"/>
      <c r="R2362" s="5"/>
      <c r="S2362" s="5"/>
      <c r="T2362" s="5"/>
    </row>
    <row r="2363">
      <c r="A2363" s="4">
        <v>45534.339753912034</v>
      </c>
      <c r="B2363" s="5" t="s">
        <v>34</v>
      </c>
      <c r="D2363" s="5" t="s">
        <v>522</v>
      </c>
      <c r="E2363" s="5" t="s">
        <v>17326</v>
      </c>
      <c r="F2363" s="5" t="s">
        <v>37</v>
      </c>
      <c r="G2363" s="5" t="s">
        <v>17327</v>
      </c>
      <c r="H2363" s="6" t="s">
        <v>17328</v>
      </c>
      <c r="K2363" s="5" t="s">
        <v>17271</v>
      </c>
      <c r="M2363" s="5" t="s">
        <v>17329</v>
      </c>
      <c r="N2363" s="7" t="s">
        <v>17330</v>
      </c>
      <c r="O2363" s="8" t="str">
        <f>HYPERLINK("https://drive.google.com/file/d/1BiR0HfoRgpZaCRVoEhzZ_YN0mofiuw-i/view?usp=drivesdk","2362_SUPIATI _ SERTIFIKAT BIMTEK IPASN BerAKHLASK")</f>
        <v>2362_SUPIATI _ SERTIFIKAT BIMTEK IPASN BerAKHLASK</v>
      </c>
      <c r="P2363" s="5" t="s">
        <v>17331</v>
      </c>
      <c r="Q2363" s="5"/>
      <c r="R2363" s="5"/>
      <c r="S2363" s="5"/>
      <c r="T2363" s="5"/>
    </row>
    <row r="2364">
      <c r="A2364" s="4">
        <v>45534.339756354166</v>
      </c>
      <c r="B2364" s="5" t="s">
        <v>34</v>
      </c>
      <c r="D2364" s="5" t="s">
        <v>4775</v>
      </c>
      <c r="E2364" s="5" t="s">
        <v>17332</v>
      </c>
      <c r="F2364" s="5" t="s">
        <v>72</v>
      </c>
      <c r="G2364" s="5" t="s">
        <v>17333</v>
      </c>
      <c r="H2364" s="6" t="s">
        <v>17334</v>
      </c>
      <c r="I2364" s="7" t="s">
        <v>17335</v>
      </c>
      <c r="J2364" s="8" t="str">
        <f>HYPERLINK("https://drive.google.com/file/d/1W2MsuyRpUnj2PX8znNooVJkIpUdXyoIm/view?usp=drivesdk","NUR WAHYUNI SERTIFIKAT BerAKHLAK")</f>
        <v>NUR WAHYUNI SERTIFIKAT BerAKHLAK</v>
      </c>
      <c r="K2364" s="5" t="s">
        <v>14116</v>
      </c>
      <c r="L2364" s="5" t="s">
        <v>17336</v>
      </c>
      <c r="M2364" s="5" t="s">
        <v>17337</v>
      </c>
      <c r="N2364" s="7" t="s">
        <v>17338</v>
      </c>
      <c r="O2364" s="8" t="str">
        <f>HYPERLINK("https://drive.google.com/file/d/1mHZNN1xaiSbuPPmRqlhy2uc12IBKHXcP/view?usp=drivesdk","2363_NUR WAHYUNI _ SERTIFIKAT BIMTEK IPASN BerAKHLASK")</f>
        <v>2363_NUR WAHYUNI _ SERTIFIKAT BIMTEK IPASN BerAKHLASK</v>
      </c>
      <c r="P2364" s="5" t="s">
        <v>17331</v>
      </c>
      <c r="Q2364" s="5"/>
      <c r="R2364" s="5"/>
      <c r="S2364" s="5"/>
      <c r="T2364" s="5"/>
    </row>
    <row r="2365">
      <c r="A2365" s="4">
        <v>45534.339757939815</v>
      </c>
      <c r="B2365" s="5" t="s">
        <v>34</v>
      </c>
      <c r="D2365" s="5" t="s">
        <v>1206</v>
      </c>
      <c r="E2365" s="5" t="s">
        <v>17339</v>
      </c>
      <c r="F2365" s="5" t="s">
        <v>212</v>
      </c>
      <c r="G2365" s="5" t="s">
        <v>17340</v>
      </c>
      <c r="H2365" s="6" t="s">
        <v>17341</v>
      </c>
      <c r="I2365" s="7" t="s">
        <v>17342</v>
      </c>
      <c r="J2365" s="8" t="str">
        <f>HYPERLINK("https://drive.google.com/file/d/1besq3kXp5mPW3lLnkGi-q3n_bSioAsER/view?usp=drivesdk","DWI ENDAH AGUSTINA  SERTIFIKAT BerAKHLAK")</f>
        <v>DWI ENDAH AGUSTINA  SERTIFIKAT BerAKHLAK</v>
      </c>
      <c r="K2365" s="5" t="s">
        <v>14913</v>
      </c>
      <c r="L2365" s="5" t="s">
        <v>17343</v>
      </c>
      <c r="M2365" s="5" t="s">
        <v>17344</v>
      </c>
      <c r="N2365" s="7" t="s">
        <v>17345</v>
      </c>
      <c r="O2365" s="8" t="str">
        <f>HYPERLINK("https://drive.google.com/file/d/1VhmJKt8RB9pf4myBD8m6qIMI4zSb3BmP/view?usp=drivesdk","2364_DWI ENDAH AGUSTINA  _ SERTIFIKAT BIMTEK IPASN BerAKHLASK")</f>
        <v>2364_DWI ENDAH AGUSTINA  _ SERTIFIKAT BIMTEK IPASN BerAKHLASK</v>
      </c>
      <c r="P2365" s="5" t="s">
        <v>17331</v>
      </c>
      <c r="Q2365" s="5"/>
      <c r="R2365" s="5"/>
      <c r="S2365" s="5"/>
      <c r="T2365" s="5"/>
    </row>
    <row r="2366" hidden="1">
      <c r="A2366" s="4">
        <v>45534.33976150463</v>
      </c>
      <c r="B2366" s="5" t="s">
        <v>19</v>
      </c>
      <c r="C2366" s="5" t="s">
        <v>20</v>
      </c>
      <c r="E2366" s="5" t="s">
        <v>17346</v>
      </c>
      <c r="F2366" s="5" t="s">
        <v>375</v>
      </c>
      <c r="G2366" s="5" t="s">
        <v>17347</v>
      </c>
      <c r="H2366" s="6" t="s">
        <v>17348</v>
      </c>
      <c r="K2366" s="5" t="s">
        <v>17349</v>
      </c>
      <c r="M2366" s="5" t="s">
        <v>17350</v>
      </c>
      <c r="N2366" s="7" t="s">
        <v>17351</v>
      </c>
      <c r="O2366" s="8" t="str">
        <f>HYPERLINK("https://drive.google.com/file/d/1KF2tq0dVurWzoMO0RQ-jh6AJy86m5V5o/view?usp=drivesdk","2365_IBNU PRANOTO _ SERTIFIKAT BIMTEK IPASN BerAKHLASK")</f>
        <v>2365_IBNU PRANOTO _ SERTIFIKAT BIMTEK IPASN BerAKHLASK</v>
      </c>
      <c r="P2366" s="5" t="s">
        <v>17331</v>
      </c>
      <c r="Q2366" s="5"/>
      <c r="R2366" s="5"/>
      <c r="S2366" s="5"/>
      <c r="T2366" s="5"/>
    </row>
    <row r="2367">
      <c r="A2367" s="4">
        <v>45534.33976202546</v>
      </c>
      <c r="B2367" s="5" t="s">
        <v>34</v>
      </c>
      <c r="D2367" s="5" t="s">
        <v>9394</v>
      </c>
      <c r="E2367" s="5" t="s">
        <v>17352</v>
      </c>
      <c r="F2367" s="5" t="s">
        <v>120</v>
      </c>
      <c r="G2367" s="5" t="s">
        <v>17353</v>
      </c>
      <c r="H2367" s="6" t="s">
        <v>17354</v>
      </c>
      <c r="K2367" s="5" t="s">
        <v>17349</v>
      </c>
      <c r="M2367" s="5" t="s">
        <v>17355</v>
      </c>
      <c r="N2367" s="7" t="s">
        <v>17356</v>
      </c>
      <c r="O2367" s="8" t="str">
        <f>HYPERLINK("https://drive.google.com/file/d/1EVBClIEcBCK6Q0aldUq4WFhQNk5eA2tM/view?usp=drivesdk","2366_EDSON JANIS, S.E _ SERTIFIKAT BIMTEK IPASN BerAKHLASK")</f>
        <v>2366_EDSON JANIS, S.E _ SERTIFIKAT BIMTEK IPASN BerAKHLASK</v>
      </c>
      <c r="P2367" s="5" t="s">
        <v>17331</v>
      </c>
      <c r="Q2367" s="5"/>
      <c r="R2367" s="5"/>
      <c r="S2367" s="5"/>
      <c r="T2367" s="5"/>
    </row>
    <row r="2368">
      <c r="A2368" s="4">
        <v>45534.33977695602</v>
      </c>
      <c r="B2368" s="5" t="s">
        <v>34</v>
      </c>
      <c r="D2368" s="5" t="s">
        <v>4775</v>
      </c>
      <c r="E2368" s="5" t="s">
        <v>17357</v>
      </c>
      <c r="F2368" s="5" t="s">
        <v>37</v>
      </c>
      <c r="G2368" s="5" t="s">
        <v>17358</v>
      </c>
      <c r="H2368" s="6" t="s">
        <v>17359</v>
      </c>
      <c r="K2368" s="5" t="s">
        <v>17349</v>
      </c>
      <c r="M2368" s="5" t="s">
        <v>17360</v>
      </c>
      <c r="N2368" s="7" t="s">
        <v>17361</v>
      </c>
      <c r="O2368" s="8" t="str">
        <f>HYPERLINK("https://drive.google.com/file/d/1iXZtyBR6FnaqxUh8wGJzVZf8bEQwCSL2/view?usp=drivesdk","2367_DIDIEN KURNIAWAN, S.H. _ SERTIFIKAT BIMTEK IPASN BerAKHLASK")</f>
        <v>2367_DIDIEN KURNIAWAN, S.H. _ SERTIFIKAT BIMTEK IPASN BerAKHLASK</v>
      </c>
      <c r="P2368" s="5" t="s">
        <v>17331</v>
      </c>
      <c r="Q2368" s="5"/>
      <c r="R2368" s="5"/>
      <c r="S2368" s="5"/>
      <c r="T2368" s="5"/>
    </row>
    <row r="2369">
      <c r="A2369" s="4">
        <v>45534.33978019676</v>
      </c>
      <c r="B2369" s="5" t="s">
        <v>34</v>
      </c>
      <c r="D2369" s="5" t="s">
        <v>1206</v>
      </c>
      <c r="E2369" s="5" t="s">
        <v>17362</v>
      </c>
      <c r="F2369" s="5" t="s">
        <v>37</v>
      </c>
      <c r="G2369" s="5" t="s">
        <v>17363</v>
      </c>
      <c r="H2369" s="6" t="s">
        <v>17364</v>
      </c>
      <c r="K2369" s="5" t="s">
        <v>17349</v>
      </c>
      <c r="M2369" s="5" t="s">
        <v>17365</v>
      </c>
      <c r="N2369" s="7" t="s">
        <v>17366</v>
      </c>
      <c r="O2369" s="8" t="str">
        <f>HYPERLINK("https://drive.google.com/file/d/1q4HC8AfqbfrFDGjPx4G1atuPp1Y3PoJB/view?usp=drivesdk","2368_RIEZKA CAHYANI RAMADIAN A.Md.Kep. _ SERTIFIKAT BIMTEK IPASN BerAKHLASK")</f>
        <v>2368_RIEZKA CAHYANI RAMADIAN A.Md.Kep. _ SERTIFIKAT BIMTEK IPASN BerAKHLASK</v>
      </c>
      <c r="P2369" s="5" t="s">
        <v>17367</v>
      </c>
      <c r="Q2369" s="5"/>
      <c r="R2369" s="5"/>
      <c r="S2369" s="5"/>
      <c r="T2369" s="5"/>
    </row>
    <row r="2370">
      <c r="A2370" s="4">
        <v>45534.339785000004</v>
      </c>
      <c r="B2370" s="5" t="s">
        <v>34</v>
      </c>
      <c r="D2370" s="5" t="s">
        <v>4775</v>
      </c>
      <c r="E2370" s="5" t="s">
        <v>17368</v>
      </c>
      <c r="F2370" s="5" t="s">
        <v>328</v>
      </c>
      <c r="G2370" s="5" t="s">
        <v>17369</v>
      </c>
      <c r="H2370" s="6" t="s">
        <v>17370</v>
      </c>
      <c r="K2370" s="5" t="s">
        <v>17371</v>
      </c>
      <c r="M2370" s="5" t="s">
        <v>17372</v>
      </c>
      <c r="N2370" s="7" t="s">
        <v>17373</v>
      </c>
      <c r="O2370" s="8" t="str">
        <f>HYPERLINK("https://drive.google.com/file/d/1uprfgFV3YbNr9pbA9LuQO63VdC1Qaw8n/view?usp=drivesdk","2369_MUSLIMIN, S.H. _ SERTIFIKAT BIMTEK IPASN BerAKHLASK")</f>
        <v>2369_MUSLIMIN, S.H. _ SERTIFIKAT BIMTEK IPASN BerAKHLASK</v>
      </c>
      <c r="P2370" s="5" t="s">
        <v>17367</v>
      </c>
      <c r="Q2370" s="5"/>
      <c r="R2370" s="5"/>
      <c r="S2370" s="5"/>
      <c r="T2370" s="5"/>
    </row>
    <row r="2371">
      <c r="A2371" s="4">
        <v>45534.33976686343</v>
      </c>
      <c r="B2371" s="5" t="s">
        <v>34</v>
      </c>
      <c r="D2371" s="5" t="s">
        <v>4775</v>
      </c>
      <c r="E2371" s="5" t="s">
        <v>17374</v>
      </c>
      <c r="F2371" s="5" t="s">
        <v>37</v>
      </c>
      <c r="G2371" s="5" t="s">
        <v>17375</v>
      </c>
      <c r="H2371" s="6" t="s">
        <v>17376</v>
      </c>
      <c r="K2371" s="5" t="s">
        <v>17371</v>
      </c>
      <c r="M2371" s="5" t="s">
        <v>17377</v>
      </c>
      <c r="N2371" s="7" t="s">
        <v>17378</v>
      </c>
      <c r="O2371" s="8" t="str">
        <f>HYPERLINK("https://drive.google.com/file/d/1wzAvNNZP23fUqbg9sYHOxhgzCs1ns008/view?usp=drivesdk","2370_TRI SUSRINI _ SERTIFIKAT BIMTEK IPASN BerAKHLASK")</f>
        <v>2370_TRI SUSRINI _ SERTIFIKAT BIMTEK IPASN BerAKHLASK</v>
      </c>
      <c r="P2371" s="5" t="s">
        <v>17367</v>
      </c>
      <c r="Q2371" s="5"/>
      <c r="R2371" s="5"/>
      <c r="S2371" s="5"/>
      <c r="T2371" s="5"/>
    </row>
    <row r="2372">
      <c r="A2372" s="4">
        <v>45534.33980976851</v>
      </c>
      <c r="B2372" s="5" t="s">
        <v>34</v>
      </c>
      <c r="D2372" s="5" t="s">
        <v>4775</v>
      </c>
      <c r="E2372" s="5" t="s">
        <v>17379</v>
      </c>
      <c r="F2372" s="5" t="s">
        <v>72</v>
      </c>
      <c r="G2372" s="5" t="s">
        <v>17380</v>
      </c>
      <c r="H2372" s="6" t="s">
        <v>17381</v>
      </c>
      <c r="K2372" s="5" t="s">
        <v>17371</v>
      </c>
      <c r="M2372" s="5" t="s">
        <v>17382</v>
      </c>
      <c r="N2372" s="7" t="s">
        <v>17383</v>
      </c>
      <c r="O2372" s="8" t="str">
        <f>HYPERLINK("https://drive.google.com/file/d/1DNed4-1u-R6XEAl-1Uwydx6nQqLiQRjm/view?usp=drivesdk","2371_SRI RAHAYU WIYONO. SH _ SERTIFIKAT BIMTEK IPASN BerAKHLASK")</f>
        <v>2371_SRI RAHAYU WIYONO. SH _ SERTIFIKAT BIMTEK IPASN BerAKHLASK</v>
      </c>
      <c r="P2372" s="5" t="s">
        <v>17367</v>
      </c>
      <c r="Q2372" s="5"/>
      <c r="R2372" s="5"/>
      <c r="S2372" s="5"/>
      <c r="T2372" s="5"/>
    </row>
    <row r="2373">
      <c r="A2373" s="4">
        <v>45534.33982621528</v>
      </c>
      <c r="B2373" s="5" t="s">
        <v>34</v>
      </c>
      <c r="D2373" s="5" t="s">
        <v>522</v>
      </c>
      <c r="E2373" s="5" t="s">
        <v>17384</v>
      </c>
      <c r="F2373" s="5" t="s">
        <v>6776</v>
      </c>
      <c r="G2373" s="5" t="s">
        <v>17385</v>
      </c>
      <c r="H2373" s="6" t="s">
        <v>17386</v>
      </c>
      <c r="K2373" s="5" t="s">
        <v>17371</v>
      </c>
      <c r="M2373" s="5" t="s">
        <v>17387</v>
      </c>
      <c r="N2373" s="7" t="s">
        <v>17388</v>
      </c>
      <c r="O2373" s="8" t="str">
        <f>HYPERLINK("https://drive.google.com/file/d/1yRTfLjnvB6ww1DIaA6nc-VR1frZbjelL/view?usp=drivesdk","2372_ASUROK _ SERTIFIKAT BIMTEK IPASN BerAKHLASK")</f>
        <v>2372_ASUROK _ SERTIFIKAT BIMTEK IPASN BerAKHLASK</v>
      </c>
      <c r="P2373" s="5" t="s">
        <v>17367</v>
      </c>
      <c r="Q2373" s="5"/>
      <c r="R2373" s="5"/>
      <c r="S2373" s="5"/>
      <c r="T2373" s="5"/>
    </row>
    <row r="2374" hidden="1">
      <c r="A2374" s="4">
        <v>45534.339829432865</v>
      </c>
      <c r="B2374" s="5" t="s">
        <v>19</v>
      </c>
      <c r="C2374" s="5" t="s">
        <v>3301</v>
      </c>
      <c r="E2374" s="5" t="s">
        <v>17389</v>
      </c>
      <c r="F2374" s="5" t="s">
        <v>524</v>
      </c>
      <c r="G2374" s="5" t="s">
        <v>17390</v>
      </c>
      <c r="H2374" s="6" t="s">
        <v>17391</v>
      </c>
      <c r="K2374" s="5" t="s">
        <v>17371</v>
      </c>
      <c r="M2374" s="5" t="s">
        <v>17392</v>
      </c>
      <c r="N2374" s="7" t="s">
        <v>17393</v>
      </c>
      <c r="O2374" s="8" t="str">
        <f>HYPERLINK("https://drive.google.com/file/d/1beHX8l7FJ5wQXQMELXR3tyji9QtIdHXo/view?usp=drivesdk","2373_NAIMA SARASWATI _ SERTIFIKAT BIMTEK IPASN BerAKHLASK")</f>
        <v>2373_NAIMA SARASWATI _ SERTIFIKAT BIMTEK IPASN BerAKHLASK</v>
      </c>
      <c r="P2374" s="5" t="s">
        <v>17367</v>
      </c>
      <c r="Q2374" s="5"/>
      <c r="R2374" s="5"/>
      <c r="S2374" s="5"/>
      <c r="T2374" s="5"/>
    </row>
    <row r="2375">
      <c r="A2375" s="4">
        <v>45534.33978768518</v>
      </c>
      <c r="B2375" s="5" t="s">
        <v>34</v>
      </c>
      <c r="D2375" s="5" t="s">
        <v>280</v>
      </c>
      <c r="E2375" s="5" t="s">
        <v>17394</v>
      </c>
      <c r="F2375" s="5" t="s">
        <v>212</v>
      </c>
      <c r="G2375" s="5" t="s">
        <v>17395</v>
      </c>
      <c r="H2375" s="6" t="s">
        <v>17396</v>
      </c>
      <c r="K2375" s="5" t="s">
        <v>17371</v>
      </c>
      <c r="M2375" s="5" t="s">
        <v>17397</v>
      </c>
      <c r="N2375" s="7" t="s">
        <v>17398</v>
      </c>
      <c r="O2375" s="8" t="str">
        <f>HYPERLINK("https://drive.google.com/file/d/11zhXURi-Xxos7iIUrzB4Lkj60swAseiu/view?usp=drivesdk","2374_SYARTINI _ SERTIFIKAT BIMTEK IPASN BerAKHLASK")</f>
        <v>2374_SYARTINI _ SERTIFIKAT BIMTEK IPASN BerAKHLASK</v>
      </c>
      <c r="P2375" s="5" t="s">
        <v>17399</v>
      </c>
      <c r="Q2375" s="5"/>
      <c r="R2375" s="5"/>
      <c r="S2375" s="5"/>
      <c r="T2375" s="5"/>
    </row>
    <row r="2376">
      <c r="A2376" s="4">
        <v>45534.33979017361</v>
      </c>
      <c r="B2376" s="5" t="s">
        <v>34</v>
      </c>
      <c r="D2376" s="5" t="s">
        <v>996</v>
      </c>
      <c r="E2376" s="5" t="s">
        <v>17400</v>
      </c>
      <c r="F2376" s="5" t="s">
        <v>37</v>
      </c>
      <c r="G2376" s="5" t="s">
        <v>17401</v>
      </c>
      <c r="H2376" s="6" t="s">
        <v>17402</v>
      </c>
      <c r="K2376" s="5" t="s">
        <v>17371</v>
      </c>
      <c r="M2376" s="5" t="s">
        <v>17403</v>
      </c>
      <c r="N2376" s="7" t="s">
        <v>17404</v>
      </c>
      <c r="O2376" s="8" t="str">
        <f>HYPERLINK("https://drive.google.com/file/d/1r6EulHIbmO3xgWNPcfg6MeBf3Rwiy1qC/view?usp=drivesdk","2375_RIDUANSYAH _ SERTIFIKAT BIMTEK IPASN BerAKHLASK")</f>
        <v>2375_RIDUANSYAH _ SERTIFIKAT BIMTEK IPASN BerAKHLASK</v>
      </c>
      <c r="P2376" s="5" t="s">
        <v>17399</v>
      </c>
      <c r="Q2376" s="5"/>
      <c r="R2376" s="5"/>
      <c r="S2376" s="5"/>
      <c r="T2376" s="5"/>
    </row>
    <row r="2377">
      <c r="A2377" s="4">
        <v>45534.33979186343</v>
      </c>
      <c r="B2377" s="5" t="s">
        <v>34</v>
      </c>
      <c r="D2377" s="5" t="s">
        <v>4775</v>
      </c>
      <c r="E2377" s="5" t="s">
        <v>17405</v>
      </c>
      <c r="F2377" s="5" t="s">
        <v>212</v>
      </c>
      <c r="G2377" s="5" t="s">
        <v>17406</v>
      </c>
      <c r="H2377" s="6" t="s">
        <v>17407</v>
      </c>
      <c r="K2377" s="5" t="s">
        <v>17371</v>
      </c>
      <c r="M2377" s="5" t="s">
        <v>17408</v>
      </c>
      <c r="N2377" s="7" t="s">
        <v>17409</v>
      </c>
      <c r="O2377" s="8" t="str">
        <f>HYPERLINK("https://drive.google.com/file/d/1QWP1gj5GiRfKxFjwVjt6_SdzTUPV8ThA/view?usp=drivesdk","2376_MARIA SUMARSIH _ SERTIFIKAT BIMTEK IPASN BerAKHLASK")</f>
        <v>2376_MARIA SUMARSIH _ SERTIFIKAT BIMTEK IPASN BerAKHLASK</v>
      </c>
      <c r="P2377" s="5" t="s">
        <v>17399</v>
      </c>
      <c r="Q2377" s="5"/>
      <c r="R2377" s="5"/>
      <c r="S2377" s="5"/>
      <c r="T2377" s="5"/>
    </row>
    <row r="2378">
      <c r="A2378" s="4">
        <v>45534.339796782406</v>
      </c>
      <c r="B2378" s="5" t="s">
        <v>34</v>
      </c>
      <c r="D2378" s="5" t="s">
        <v>9020</v>
      </c>
      <c r="E2378" s="5" t="s">
        <v>17410</v>
      </c>
      <c r="F2378" s="5" t="s">
        <v>120</v>
      </c>
      <c r="G2378" s="5" t="s">
        <v>17411</v>
      </c>
      <c r="H2378" s="6" t="s">
        <v>17412</v>
      </c>
      <c r="K2378" s="5" t="s">
        <v>17371</v>
      </c>
      <c r="M2378" s="5" t="s">
        <v>17413</v>
      </c>
      <c r="N2378" s="7" t="s">
        <v>17414</v>
      </c>
      <c r="O2378" s="8" t="str">
        <f>HYPERLINK("https://drive.google.com/file/d/1ke0yYIC_2TyGNFX89h7b8C5icPhjmhn_/view?usp=drivesdk","2377_dr. TOMMY RIVELINO, Sp.B _ SERTIFIKAT BIMTEK IPASN BerAKHLASK")</f>
        <v>2377_dr. TOMMY RIVELINO, Sp.B _ SERTIFIKAT BIMTEK IPASN BerAKHLASK</v>
      </c>
      <c r="P2378" s="5" t="s">
        <v>17399</v>
      </c>
      <c r="Q2378" s="5"/>
      <c r="R2378" s="5"/>
      <c r="S2378" s="5"/>
      <c r="T2378" s="5"/>
    </row>
    <row r="2379">
      <c r="A2379" s="4">
        <v>45534.33979711805</v>
      </c>
      <c r="B2379" s="5" t="s">
        <v>34</v>
      </c>
      <c r="D2379" s="5" t="s">
        <v>35</v>
      </c>
      <c r="E2379" s="5" t="s">
        <v>17415</v>
      </c>
      <c r="F2379" s="5" t="s">
        <v>212</v>
      </c>
      <c r="G2379" s="5" t="s">
        <v>17416</v>
      </c>
      <c r="H2379" s="6" t="s">
        <v>17417</v>
      </c>
      <c r="K2379" s="5" t="s">
        <v>17371</v>
      </c>
      <c r="M2379" s="5" t="s">
        <v>17418</v>
      </c>
      <c r="N2379" s="7" t="s">
        <v>17419</v>
      </c>
      <c r="O2379" s="8" t="str">
        <f>HYPERLINK("https://drive.google.com/file/d/12B4o5JzyrH5xIgd5yskVHUKlkO68AxD2/view?usp=drivesdk","2378_EDI SUPARDI _ SERTIFIKAT BIMTEK IPASN BerAKHLASK")</f>
        <v>2378_EDI SUPARDI _ SERTIFIKAT BIMTEK IPASN BerAKHLASK</v>
      </c>
      <c r="P2379" s="5" t="s">
        <v>17399</v>
      </c>
      <c r="Q2379" s="5"/>
      <c r="R2379" s="5"/>
      <c r="S2379" s="5"/>
      <c r="T2379" s="5"/>
    </row>
    <row r="2380">
      <c r="A2380" s="4">
        <v>45534.33979759259</v>
      </c>
      <c r="B2380" s="5" t="s">
        <v>34</v>
      </c>
      <c r="D2380" s="5" t="s">
        <v>3849</v>
      </c>
      <c r="E2380" s="5" t="s">
        <v>17420</v>
      </c>
      <c r="F2380" s="5" t="s">
        <v>37</v>
      </c>
      <c r="G2380" s="5" t="s">
        <v>17421</v>
      </c>
      <c r="H2380" s="6" t="s">
        <v>17422</v>
      </c>
      <c r="K2380" s="5" t="s">
        <v>17371</v>
      </c>
      <c r="M2380" s="5" t="s">
        <v>17423</v>
      </c>
      <c r="N2380" s="7" t="s">
        <v>17424</v>
      </c>
      <c r="O2380" s="8" t="str">
        <f>HYPERLINK("https://drive.google.com/file/d/1nIr0_5nbhmHbW3X2aE9OGNexObkYFgDi/view?usp=drivesdk","2379_PUTRI AZKA, Am.Keb _ SERTIFIKAT BIMTEK IPASN BerAKHLASK")</f>
        <v>2379_PUTRI AZKA, Am.Keb _ SERTIFIKAT BIMTEK IPASN BerAKHLASK</v>
      </c>
      <c r="P2380" s="5" t="s">
        <v>17399</v>
      </c>
      <c r="Q2380" s="5"/>
      <c r="R2380" s="5"/>
      <c r="S2380" s="5"/>
      <c r="T2380" s="5"/>
    </row>
    <row r="2381">
      <c r="A2381" s="4">
        <v>45534.339797650464</v>
      </c>
      <c r="B2381" s="5" t="s">
        <v>34</v>
      </c>
      <c r="D2381" s="5" t="s">
        <v>4775</v>
      </c>
      <c r="E2381" s="5" t="s">
        <v>17425</v>
      </c>
      <c r="F2381" s="5" t="s">
        <v>375</v>
      </c>
      <c r="G2381" s="5" t="s">
        <v>17426</v>
      </c>
      <c r="H2381" s="6" t="s">
        <v>17427</v>
      </c>
      <c r="K2381" s="5" t="s">
        <v>17371</v>
      </c>
      <c r="M2381" s="5" t="s">
        <v>17428</v>
      </c>
      <c r="N2381" s="7" t="s">
        <v>17429</v>
      </c>
      <c r="O2381" s="8" t="str">
        <f>HYPERLINK("https://drive.google.com/file/d/11sE8DZypPzZt5m1s6bRixR5e7CWlBnT8/view?usp=drivesdk","2380_SULISTYANI,S.A.P _ SERTIFIKAT BIMTEK IPASN BerAKHLASK")</f>
        <v>2380_SULISTYANI,S.A.P _ SERTIFIKAT BIMTEK IPASN BerAKHLASK</v>
      </c>
      <c r="P2381" s="5" t="s">
        <v>17430</v>
      </c>
      <c r="Q2381" s="5"/>
      <c r="R2381" s="5"/>
      <c r="S2381" s="5"/>
      <c r="T2381" s="5"/>
    </row>
    <row r="2382">
      <c r="A2382" s="4">
        <v>45534.339800173606</v>
      </c>
      <c r="B2382" s="5" t="s">
        <v>34</v>
      </c>
      <c r="D2382" s="5" t="s">
        <v>267</v>
      </c>
      <c r="E2382" s="5" t="s">
        <v>17431</v>
      </c>
      <c r="F2382" s="5" t="s">
        <v>375</v>
      </c>
      <c r="G2382" s="5" t="s">
        <v>17432</v>
      </c>
      <c r="H2382" s="6" t="s">
        <v>17433</v>
      </c>
      <c r="K2382" s="5" t="s">
        <v>17371</v>
      </c>
      <c r="M2382" s="5" t="s">
        <v>17434</v>
      </c>
      <c r="N2382" s="7" t="s">
        <v>17435</v>
      </c>
      <c r="O2382" s="8" t="str">
        <f>HYPERLINK("https://drive.google.com/file/d/1KOc0ihHv6nlqPqvhABGDf8hrpDxQtO7z/view?usp=drivesdk","2381_RIBUT WIDODO, SE _ SERTIFIKAT BIMTEK IPASN BerAKHLASK")</f>
        <v>2381_RIBUT WIDODO, SE _ SERTIFIKAT BIMTEK IPASN BerAKHLASK</v>
      </c>
      <c r="P2382" s="5" t="s">
        <v>17430</v>
      </c>
      <c r="Q2382" s="5"/>
      <c r="R2382" s="5"/>
      <c r="S2382" s="5"/>
      <c r="T2382" s="5"/>
    </row>
    <row r="2383">
      <c r="A2383" s="4">
        <v>45534.339830868055</v>
      </c>
      <c r="B2383" s="5" t="s">
        <v>34</v>
      </c>
      <c r="D2383" s="5" t="s">
        <v>996</v>
      </c>
      <c r="E2383" s="5" t="s">
        <v>17436</v>
      </c>
      <c r="F2383" s="5" t="s">
        <v>108</v>
      </c>
      <c r="G2383" s="5" t="s">
        <v>17437</v>
      </c>
      <c r="H2383" s="6" t="s">
        <v>17438</v>
      </c>
      <c r="K2383" s="5" t="s">
        <v>17371</v>
      </c>
      <c r="M2383" s="5" t="s">
        <v>17439</v>
      </c>
      <c r="N2383" s="7" t="s">
        <v>17440</v>
      </c>
      <c r="O2383" s="8" t="str">
        <f>HYPERLINK("https://drive.google.com/file/d/1kXD5DBBxfatlLFdLftiyCiakGHjp99Kn/view?usp=drivesdk","2382_PENDA I DANIS ALFARO _ SERTIFIKAT BIMTEK IPASN BerAKHLASK")</f>
        <v>2382_PENDA I DANIS ALFARO _ SERTIFIKAT BIMTEK IPASN BerAKHLASK</v>
      </c>
      <c r="P2383" s="5" t="s">
        <v>17430</v>
      </c>
      <c r="Q2383" s="5"/>
      <c r="R2383" s="5"/>
      <c r="S2383" s="5"/>
      <c r="T2383" s="5"/>
    </row>
    <row r="2384">
      <c r="A2384" s="4">
        <v>45534.33984046296</v>
      </c>
      <c r="B2384" s="5" t="s">
        <v>34</v>
      </c>
      <c r="D2384" s="5" t="s">
        <v>12978</v>
      </c>
      <c r="E2384" s="5" t="s">
        <v>17441</v>
      </c>
      <c r="F2384" s="5" t="s">
        <v>37</v>
      </c>
      <c r="G2384" s="5" t="s">
        <v>17442</v>
      </c>
      <c r="H2384" s="6" t="s">
        <v>17443</v>
      </c>
      <c r="K2384" s="5" t="s">
        <v>17371</v>
      </c>
      <c r="M2384" s="5" t="s">
        <v>17444</v>
      </c>
      <c r="N2384" s="7" t="s">
        <v>17445</v>
      </c>
      <c r="O2384" s="8" t="str">
        <f>HYPERLINK("https://drive.google.com/file/d/1Rq5VYanBDzSfHxl5zJz0J0Av1zLe1HoQ/view?usp=drivesdk","2383_LENA, SE _ SERTIFIKAT BIMTEK IPASN BerAKHLASK")</f>
        <v>2383_LENA, SE _ SERTIFIKAT BIMTEK IPASN BerAKHLASK</v>
      </c>
      <c r="P2384" s="5" t="s">
        <v>17430</v>
      </c>
      <c r="Q2384" s="5"/>
      <c r="R2384" s="5"/>
      <c r="S2384" s="5"/>
      <c r="T2384" s="5"/>
    </row>
    <row r="2385">
      <c r="A2385" s="4">
        <v>45534.339843587964</v>
      </c>
      <c r="B2385" s="5" t="s">
        <v>34</v>
      </c>
      <c r="D2385" s="5" t="s">
        <v>1206</v>
      </c>
      <c r="E2385" s="5" t="s">
        <v>17446</v>
      </c>
      <c r="F2385" s="5" t="s">
        <v>212</v>
      </c>
      <c r="G2385" s="5" t="s">
        <v>17447</v>
      </c>
      <c r="H2385" s="6" t="s">
        <v>17448</v>
      </c>
      <c r="K2385" s="5" t="s">
        <v>17371</v>
      </c>
      <c r="M2385" s="5" t="s">
        <v>17449</v>
      </c>
      <c r="N2385" s="7" t="s">
        <v>17450</v>
      </c>
      <c r="O2385" s="8" t="str">
        <f>HYPERLINK("https://drive.google.com/file/d/1v1hwQoZKF-G4NgcWBxC2ZR_pyK3NtT83/view?usp=drivesdk","2384_WINARTI _ SERTIFIKAT BIMTEK IPASN BerAKHLASK")</f>
        <v>2384_WINARTI _ SERTIFIKAT BIMTEK IPASN BerAKHLASK</v>
      </c>
      <c r="P2385" s="5" t="s">
        <v>17451</v>
      </c>
      <c r="Q2385" s="5"/>
      <c r="R2385" s="5"/>
      <c r="S2385" s="5"/>
      <c r="T2385" s="5"/>
    </row>
    <row r="2386">
      <c r="A2386" s="4">
        <v>45534.339850081014</v>
      </c>
      <c r="B2386" s="5" t="s">
        <v>34</v>
      </c>
      <c r="D2386" s="5" t="s">
        <v>1206</v>
      </c>
      <c r="E2386" s="5" t="s">
        <v>17452</v>
      </c>
      <c r="F2386" s="5" t="s">
        <v>37</v>
      </c>
      <c r="G2386" s="5" t="s">
        <v>17453</v>
      </c>
      <c r="H2386" s="6" t="s">
        <v>17454</v>
      </c>
      <c r="K2386" s="5" t="s">
        <v>17371</v>
      </c>
      <c r="M2386" s="5" t="s">
        <v>17455</v>
      </c>
      <c r="N2386" s="7" t="s">
        <v>17456</v>
      </c>
      <c r="O2386" s="8" t="str">
        <f>HYPERLINK("https://drive.google.com/file/d/1WZk66daBDFPHeKcSoN8FTQkVSPz7o5iY/view?usp=drivesdk","2385_AHMAD RAFIE,A.MD.KOM _ SERTIFIKAT BIMTEK IPASN BerAKHLASK")</f>
        <v>2385_AHMAD RAFIE,A.MD.KOM _ SERTIFIKAT BIMTEK IPASN BerAKHLASK</v>
      </c>
      <c r="P2386" s="5" t="s">
        <v>17451</v>
      </c>
      <c r="Q2386" s="5"/>
      <c r="R2386" s="5"/>
      <c r="S2386" s="5"/>
      <c r="T2386" s="5"/>
    </row>
    <row r="2387">
      <c r="A2387" s="4">
        <v>45534.339853564816</v>
      </c>
      <c r="B2387" s="5" t="s">
        <v>34</v>
      </c>
      <c r="D2387" s="5" t="s">
        <v>4775</v>
      </c>
      <c r="E2387" s="5" t="s">
        <v>17457</v>
      </c>
      <c r="F2387" s="5" t="s">
        <v>212</v>
      </c>
      <c r="G2387" s="5" t="s">
        <v>17458</v>
      </c>
      <c r="H2387" s="6" t="s">
        <v>17459</v>
      </c>
      <c r="K2387" s="5" t="s">
        <v>15955</v>
      </c>
      <c r="M2387" s="5" t="s">
        <v>17460</v>
      </c>
      <c r="N2387" s="7" t="s">
        <v>17461</v>
      </c>
      <c r="O2387" s="8" t="str">
        <f>HYPERLINK("https://drive.google.com/file/d/1UmQYqc3TlW-6VT7nglUoN3Z0nsut90Et/view?usp=drivesdk","2386_SANADI  _ SERTIFIKAT BIMTEK IPASN BerAKHLASK")</f>
        <v>2386_SANADI  _ SERTIFIKAT BIMTEK IPASN BerAKHLASK</v>
      </c>
      <c r="P2387" s="5" t="s">
        <v>17451</v>
      </c>
      <c r="Q2387" s="5"/>
      <c r="R2387" s="5"/>
      <c r="S2387" s="5"/>
      <c r="T2387" s="5"/>
    </row>
    <row r="2388">
      <c r="A2388" s="4">
        <v>45534.33986020833</v>
      </c>
      <c r="B2388" s="5" t="s">
        <v>34</v>
      </c>
      <c r="D2388" s="5" t="s">
        <v>9020</v>
      </c>
      <c r="E2388" s="5" t="s">
        <v>17462</v>
      </c>
      <c r="F2388" s="5" t="s">
        <v>212</v>
      </c>
      <c r="G2388" s="5" t="s">
        <v>17463</v>
      </c>
      <c r="H2388" s="6" t="s">
        <v>17464</v>
      </c>
      <c r="K2388" s="5" t="s">
        <v>15955</v>
      </c>
      <c r="M2388" s="5" t="s">
        <v>17465</v>
      </c>
      <c r="N2388" s="7" t="s">
        <v>17466</v>
      </c>
      <c r="O2388" s="8" t="str">
        <f>HYPERLINK("https://drive.google.com/file/d/1wfyVwLOAe6NcNEUMjvFeAywCY8AYyBSS/view?usp=drivesdk","2387_JULIANI _ SERTIFIKAT BIMTEK IPASN BerAKHLASK")</f>
        <v>2387_JULIANI _ SERTIFIKAT BIMTEK IPASN BerAKHLASK</v>
      </c>
      <c r="P2388" s="5" t="s">
        <v>17451</v>
      </c>
      <c r="Q2388" s="5"/>
      <c r="R2388" s="5"/>
      <c r="S2388" s="5"/>
      <c r="T2388" s="5"/>
    </row>
    <row r="2389">
      <c r="A2389" s="4">
        <v>45534.339862002314</v>
      </c>
      <c r="B2389" s="5" t="s">
        <v>34</v>
      </c>
      <c r="D2389" s="5" t="s">
        <v>280</v>
      </c>
      <c r="E2389" s="5" t="s">
        <v>17467</v>
      </c>
      <c r="F2389" s="5" t="s">
        <v>37</v>
      </c>
      <c r="G2389" s="5" t="s">
        <v>17468</v>
      </c>
      <c r="H2389" s="6" t="s">
        <v>17469</v>
      </c>
      <c r="K2389" s="5" t="s">
        <v>15955</v>
      </c>
      <c r="M2389" s="5" t="s">
        <v>17470</v>
      </c>
      <c r="N2389" s="7" t="s">
        <v>17471</v>
      </c>
      <c r="O2389" s="8" t="str">
        <f>HYPERLINK("https://drive.google.com/file/d/1hX279QVPXk2yIkvM0-kxEqB6PqrOdMrd/view?usp=drivesdk","2388_SRIDARTI _ SERTIFIKAT BIMTEK IPASN BerAKHLASK")</f>
        <v>2388_SRIDARTI _ SERTIFIKAT BIMTEK IPASN BerAKHLASK</v>
      </c>
      <c r="P2389" s="5" t="s">
        <v>17451</v>
      </c>
      <c r="Q2389" s="5"/>
      <c r="R2389" s="5"/>
      <c r="S2389" s="5"/>
      <c r="T2389" s="5"/>
    </row>
    <row r="2390">
      <c r="A2390" s="4">
        <v>45534.339864375</v>
      </c>
      <c r="B2390" s="5" t="s">
        <v>34</v>
      </c>
      <c r="D2390" s="5" t="s">
        <v>35</v>
      </c>
      <c r="E2390" s="5" t="s">
        <v>17472</v>
      </c>
      <c r="F2390" s="5" t="s">
        <v>328</v>
      </c>
      <c r="G2390" s="5" t="s">
        <v>17473</v>
      </c>
      <c r="H2390" s="6" t="s">
        <v>17474</v>
      </c>
      <c r="K2390" s="5" t="s">
        <v>15955</v>
      </c>
      <c r="M2390" s="5" t="s">
        <v>17475</v>
      </c>
      <c r="N2390" s="7" t="s">
        <v>17476</v>
      </c>
      <c r="O2390" s="8" t="str">
        <f>HYPERLINK("https://drive.google.com/file/d/1OHL-M4HjsfSLCAvfUuv74bx9Dtc2meU2/view?usp=drivesdk","2389_DEDI GUNAWAN _ SERTIFIKAT BIMTEK IPASN BerAKHLASK")</f>
        <v>2389_DEDI GUNAWAN _ SERTIFIKAT BIMTEK IPASN BerAKHLASK</v>
      </c>
      <c r="P2390" s="5" t="s">
        <v>17451</v>
      </c>
      <c r="Q2390" s="5"/>
      <c r="R2390" s="5"/>
      <c r="S2390" s="5"/>
      <c r="T2390" s="5"/>
    </row>
    <row r="2391">
      <c r="A2391" s="4">
        <v>45534.33986680556</v>
      </c>
      <c r="B2391" s="5" t="s">
        <v>34</v>
      </c>
      <c r="D2391" s="5" t="s">
        <v>35</v>
      </c>
      <c r="E2391" s="5" t="s">
        <v>17477</v>
      </c>
      <c r="F2391" s="5" t="s">
        <v>212</v>
      </c>
      <c r="G2391" s="5" t="s">
        <v>17478</v>
      </c>
      <c r="H2391" s="6" t="s">
        <v>17479</v>
      </c>
      <c r="K2391" s="5" t="s">
        <v>15955</v>
      </c>
      <c r="M2391" s="5" t="s">
        <v>17480</v>
      </c>
      <c r="N2391" s="7" t="s">
        <v>17481</v>
      </c>
      <c r="O2391" s="8" t="str">
        <f>HYPERLINK("https://drive.google.com/file/d/1SzfHEXy3skSEsD2WqRQklI5paBJDCLIu/view?usp=drivesdk","2390_YANI ROSTIKAWATI  _ SERTIFIKAT BIMTEK IPASN BerAKHLASK")</f>
        <v>2390_YANI ROSTIKAWATI  _ SERTIFIKAT BIMTEK IPASN BerAKHLASK</v>
      </c>
      <c r="P2391" s="5" t="s">
        <v>17482</v>
      </c>
      <c r="Q2391" s="5"/>
      <c r="R2391" s="5"/>
      <c r="S2391" s="5"/>
      <c r="T2391" s="5"/>
    </row>
    <row r="2392">
      <c r="A2392" s="4">
        <v>45534.339867187504</v>
      </c>
      <c r="B2392" s="5" t="s">
        <v>34</v>
      </c>
      <c r="D2392" s="5" t="s">
        <v>522</v>
      </c>
      <c r="E2392" s="5" t="s">
        <v>17483</v>
      </c>
      <c r="F2392" s="5" t="s">
        <v>72</v>
      </c>
      <c r="G2392" s="5" t="s">
        <v>17484</v>
      </c>
      <c r="H2392" s="6" t="s">
        <v>17485</v>
      </c>
      <c r="K2392" s="5" t="s">
        <v>15955</v>
      </c>
      <c r="M2392" s="5" t="s">
        <v>17486</v>
      </c>
      <c r="N2392" s="7" t="s">
        <v>17487</v>
      </c>
      <c r="O2392" s="8" t="str">
        <f>HYPERLINK("https://drive.google.com/file/d/1O8Ra1676nYQy1ot-jrv0h4RTDDxa86WV/view?usp=drivesdk","2391_VENTY DWI LESTARI, S.E. _ SERTIFIKAT BIMTEK IPASN BerAKHLASK")</f>
        <v>2391_VENTY DWI LESTARI, S.E. _ SERTIFIKAT BIMTEK IPASN BerAKHLASK</v>
      </c>
      <c r="P2392" s="5" t="s">
        <v>17482</v>
      </c>
      <c r="Q2392" s="5"/>
      <c r="R2392" s="5"/>
      <c r="S2392" s="5"/>
      <c r="T2392" s="5"/>
    </row>
    <row r="2393">
      <c r="A2393" s="4">
        <v>45534.33987189815</v>
      </c>
      <c r="B2393" s="5" t="s">
        <v>34</v>
      </c>
      <c r="D2393" s="5" t="s">
        <v>1206</v>
      </c>
      <c r="E2393" s="5" t="s">
        <v>17488</v>
      </c>
      <c r="F2393" s="5" t="s">
        <v>5859</v>
      </c>
      <c r="G2393" s="5" t="s">
        <v>17489</v>
      </c>
      <c r="H2393" s="6" t="s">
        <v>17490</v>
      </c>
      <c r="K2393" s="5" t="s">
        <v>15955</v>
      </c>
      <c r="M2393" s="5" t="s">
        <v>17491</v>
      </c>
      <c r="N2393" s="7" t="s">
        <v>17492</v>
      </c>
      <c r="O2393" s="8" t="str">
        <f>HYPERLINK("https://drive.google.com/file/d/1CncPhhI1fWN_QujrubHQ_UCDwDxj5u-l/view?usp=drivesdk","2392_JUWARI _ SERTIFIKAT BIMTEK IPASN BerAKHLASK")</f>
        <v>2392_JUWARI _ SERTIFIKAT BIMTEK IPASN BerAKHLASK</v>
      </c>
      <c r="P2393" s="5" t="s">
        <v>17482</v>
      </c>
      <c r="Q2393" s="5"/>
      <c r="R2393" s="5"/>
      <c r="S2393" s="5"/>
      <c r="T2393" s="5"/>
    </row>
    <row r="2394">
      <c r="A2394" s="4">
        <v>45534.33987600694</v>
      </c>
      <c r="B2394" s="5" t="s">
        <v>34</v>
      </c>
      <c r="D2394" s="5" t="s">
        <v>4775</v>
      </c>
      <c r="E2394" s="5" t="s">
        <v>17493</v>
      </c>
      <c r="F2394" s="5" t="s">
        <v>108</v>
      </c>
      <c r="G2394" s="5" t="s">
        <v>17494</v>
      </c>
      <c r="H2394" s="6" t="s">
        <v>17495</v>
      </c>
      <c r="K2394" s="5" t="s">
        <v>15955</v>
      </c>
      <c r="M2394" s="5" t="s">
        <v>17496</v>
      </c>
      <c r="N2394" s="7" t="s">
        <v>17497</v>
      </c>
      <c r="O2394" s="8" t="str">
        <f>HYPERLINK("https://drive.google.com/file/d/1fz9iMnAI4n7zihTgearQTS9Py5y90WqF/view?usp=drivesdk","2393_NOORAINAH _ SERTIFIKAT BIMTEK IPASN BerAKHLASK")</f>
        <v>2393_NOORAINAH _ SERTIFIKAT BIMTEK IPASN BerAKHLASK</v>
      </c>
      <c r="P2394" s="5" t="s">
        <v>17482</v>
      </c>
      <c r="Q2394" s="5"/>
      <c r="R2394" s="5"/>
      <c r="S2394" s="5"/>
      <c r="T2394" s="5"/>
    </row>
    <row r="2395">
      <c r="A2395" s="4">
        <v>45534.33987957176</v>
      </c>
      <c r="B2395" s="5" t="s">
        <v>34</v>
      </c>
      <c r="D2395" s="5" t="s">
        <v>1206</v>
      </c>
      <c r="E2395" s="5" t="s">
        <v>17498</v>
      </c>
      <c r="F2395" s="5" t="s">
        <v>37</v>
      </c>
      <c r="G2395" s="5" t="s">
        <v>17499</v>
      </c>
      <c r="H2395" s="6" t="s">
        <v>17500</v>
      </c>
      <c r="K2395" s="5" t="s">
        <v>15955</v>
      </c>
      <c r="M2395" s="5" t="s">
        <v>17501</v>
      </c>
      <c r="N2395" s="7" t="s">
        <v>17502</v>
      </c>
      <c r="O2395" s="8" t="str">
        <f>HYPERLINK("https://drive.google.com/file/d/1FkFlu4htndIxDjnLXkja0WfCM8nCit7J/view?usp=drivesdk","2394_ZULI YUSUF.A.md.Kep _ SERTIFIKAT BIMTEK IPASN BerAKHLASK")</f>
        <v>2394_ZULI YUSUF.A.md.Kep _ SERTIFIKAT BIMTEK IPASN BerAKHLASK</v>
      </c>
      <c r="P2395" s="5" t="s">
        <v>17482</v>
      </c>
      <c r="Q2395" s="5"/>
      <c r="R2395" s="5"/>
      <c r="S2395" s="5"/>
      <c r="T2395" s="5"/>
    </row>
    <row r="2396">
      <c r="A2396" s="4">
        <v>45534.33989166666</v>
      </c>
      <c r="B2396" s="5" t="s">
        <v>34</v>
      </c>
      <c r="D2396" s="5" t="s">
        <v>1206</v>
      </c>
      <c r="E2396" s="5" t="s">
        <v>17503</v>
      </c>
      <c r="F2396" s="5" t="s">
        <v>212</v>
      </c>
      <c r="G2396" s="5" t="s">
        <v>17504</v>
      </c>
      <c r="H2396" s="6" t="s">
        <v>17505</v>
      </c>
      <c r="K2396" s="5" t="s">
        <v>15955</v>
      </c>
      <c r="M2396" s="5" t="s">
        <v>17506</v>
      </c>
      <c r="N2396" s="7" t="s">
        <v>17507</v>
      </c>
      <c r="O2396" s="8" t="str">
        <f>HYPERLINK("https://drive.google.com/file/d/1ukKlhfGS4548vcwDPp-tn9UFQd8eByHN/view?usp=drivesdk","2395_SRI WINDARTI  _ SERTIFIKAT BIMTEK IPASN BerAKHLASK")</f>
        <v>2395_SRI WINDARTI  _ SERTIFIKAT BIMTEK IPASN BerAKHLASK</v>
      </c>
      <c r="P2396" s="5" t="s">
        <v>17482</v>
      </c>
      <c r="Q2396" s="5"/>
      <c r="R2396" s="5"/>
      <c r="S2396" s="5"/>
      <c r="T2396" s="5"/>
    </row>
    <row r="2397">
      <c r="A2397" s="4">
        <v>45534.339897858794</v>
      </c>
      <c r="B2397" s="5" t="s">
        <v>34</v>
      </c>
      <c r="D2397" s="5" t="s">
        <v>975</v>
      </c>
      <c r="E2397" s="5" t="s">
        <v>17508</v>
      </c>
      <c r="F2397" s="5" t="s">
        <v>212</v>
      </c>
      <c r="G2397" s="5" t="s">
        <v>17509</v>
      </c>
      <c r="H2397" s="6" t="s">
        <v>17510</v>
      </c>
      <c r="K2397" s="5" t="s">
        <v>15955</v>
      </c>
      <c r="M2397" s="5" t="s">
        <v>17511</v>
      </c>
      <c r="N2397" s="7" t="s">
        <v>17512</v>
      </c>
      <c r="O2397" s="8" t="str">
        <f>HYPERLINK("https://drive.google.com/file/d/1eXayKyT_RzOwJlqzi3ojR1IfnuS9Ej5P/view?usp=drivesdk","2396_EKA KARMILA, A. Md. Kep _ SERTIFIKAT BIMTEK IPASN BerAKHLASK")</f>
        <v>2396_EKA KARMILA, A. Md. Kep _ SERTIFIKAT BIMTEK IPASN BerAKHLASK</v>
      </c>
      <c r="P2397" s="5" t="s">
        <v>17513</v>
      </c>
      <c r="Q2397" s="5"/>
      <c r="R2397" s="5"/>
      <c r="S2397" s="5"/>
      <c r="T2397" s="5"/>
    </row>
    <row r="2398">
      <c r="A2398" s="4">
        <v>45534.33990612268</v>
      </c>
      <c r="B2398" s="5" t="s">
        <v>34</v>
      </c>
      <c r="D2398" s="5" t="s">
        <v>3849</v>
      </c>
      <c r="E2398" s="5" t="s">
        <v>17514</v>
      </c>
      <c r="F2398" s="5" t="s">
        <v>37</v>
      </c>
      <c r="G2398" s="5" t="s">
        <v>17515</v>
      </c>
      <c r="H2398" s="6" t="s">
        <v>17516</v>
      </c>
      <c r="I2398" s="7" t="s">
        <v>17517</v>
      </c>
      <c r="J2398" s="8" t="str">
        <f>HYPERLINK("https://drive.google.com/file/d/1FeqVxcf1HKM7vdryHQkcbU9rseIq1nmU/view?usp=drivesdk","JAMILAH SERTIFIKAT BerAKHLAK")</f>
        <v>JAMILAH SERTIFIKAT BerAKHLAK</v>
      </c>
      <c r="K2398" s="5" t="s">
        <v>14913</v>
      </c>
      <c r="L2398" s="5" t="s">
        <v>17518</v>
      </c>
      <c r="M2398" s="5" t="s">
        <v>17519</v>
      </c>
      <c r="N2398" s="7" t="s">
        <v>17520</v>
      </c>
      <c r="O2398" s="8" t="str">
        <f>HYPERLINK("https://drive.google.com/file/d/12MoBv9VcKjHT-5h46YIThPt2dgrzS8CF/view?usp=drivesdk","2397_JAMILAH _ SERTIFIKAT BIMTEK IPASN BerAKHLASK")</f>
        <v>2397_JAMILAH _ SERTIFIKAT BIMTEK IPASN BerAKHLASK</v>
      </c>
      <c r="P2398" s="5" t="s">
        <v>17513</v>
      </c>
      <c r="Q2398" s="5"/>
      <c r="R2398" s="5"/>
      <c r="S2398" s="5"/>
      <c r="T2398" s="5"/>
    </row>
    <row r="2399">
      <c r="A2399" s="4">
        <v>45534.339906284724</v>
      </c>
      <c r="B2399" s="5" t="s">
        <v>34</v>
      </c>
      <c r="D2399" s="5" t="s">
        <v>1206</v>
      </c>
      <c r="E2399" s="5" t="s">
        <v>17521</v>
      </c>
      <c r="F2399" s="5" t="s">
        <v>212</v>
      </c>
      <c r="G2399" s="5" t="s">
        <v>17522</v>
      </c>
      <c r="H2399" s="6" t="s">
        <v>17523</v>
      </c>
      <c r="I2399" s="7" t="s">
        <v>17524</v>
      </c>
      <c r="J2399" s="8" t="str">
        <f>HYPERLINK("https://drive.google.com/file/d/1zUJb3MPNJB8l0lrJkbwzGSHBiVHCGJPa/view?usp=drivesdk","SITI ASIYAH SERTIFIKAT BerAKHLAK")</f>
        <v>SITI ASIYAH SERTIFIKAT BerAKHLAK</v>
      </c>
      <c r="K2399" s="5" t="s">
        <v>14913</v>
      </c>
      <c r="L2399" s="5" t="s">
        <v>17525</v>
      </c>
      <c r="M2399" s="5" t="s">
        <v>17526</v>
      </c>
      <c r="N2399" s="7" t="s">
        <v>17527</v>
      </c>
      <c r="O2399" s="8" t="str">
        <f>HYPERLINK("https://drive.google.com/file/d/1ygamCtnjA9C49pby1B16lk0_Pc6lrlIe/view?usp=drivesdk","2398_SITI ASIYAH _ SERTIFIKAT BIMTEK IPASN BerAKHLASK")</f>
        <v>2398_SITI ASIYAH _ SERTIFIKAT BIMTEK IPASN BerAKHLASK</v>
      </c>
      <c r="P2399" s="5" t="s">
        <v>17513</v>
      </c>
      <c r="Q2399" s="5"/>
      <c r="R2399" s="5"/>
      <c r="S2399" s="5"/>
      <c r="T2399" s="5"/>
    </row>
    <row r="2400">
      <c r="A2400" s="4">
        <v>45534.33990791667</v>
      </c>
      <c r="B2400" s="5" t="s">
        <v>34</v>
      </c>
      <c r="D2400" s="5" t="s">
        <v>1206</v>
      </c>
      <c r="E2400" s="5" t="s">
        <v>17528</v>
      </c>
      <c r="F2400" s="5" t="s">
        <v>37</v>
      </c>
      <c r="G2400" s="5" t="s">
        <v>17529</v>
      </c>
      <c r="H2400" s="6" t="s">
        <v>17530</v>
      </c>
      <c r="K2400" s="5" t="s">
        <v>17531</v>
      </c>
      <c r="M2400" s="5" t="s">
        <v>17532</v>
      </c>
      <c r="N2400" s="7" t="s">
        <v>17533</v>
      </c>
      <c r="O2400" s="8" t="str">
        <f>HYPERLINK("https://drive.google.com/file/d/1_2LnT59X2dD2Qrl-q-oW1PPcLhrokMZP/view?usp=drivesdk","2399_MUH. AMIN SYAIFULLAH _ SERTIFIKAT BIMTEK IPASN BerAKHLASK")</f>
        <v>2399_MUH. AMIN SYAIFULLAH _ SERTIFIKAT BIMTEK IPASN BerAKHLASK</v>
      </c>
      <c r="P2400" s="5" t="s">
        <v>17513</v>
      </c>
      <c r="Q2400" s="5"/>
      <c r="R2400" s="5"/>
      <c r="S2400" s="5"/>
      <c r="T2400" s="5"/>
    </row>
    <row r="2401">
      <c r="A2401" s="4">
        <v>45534.33990869213</v>
      </c>
      <c r="B2401" s="5" t="s">
        <v>34</v>
      </c>
      <c r="D2401" s="5" t="s">
        <v>996</v>
      </c>
      <c r="E2401" s="5" t="s">
        <v>17534</v>
      </c>
      <c r="F2401" s="5" t="s">
        <v>72</v>
      </c>
      <c r="G2401" s="5" t="s">
        <v>17535</v>
      </c>
      <c r="H2401" s="6" t="s">
        <v>17536</v>
      </c>
      <c r="K2401" s="5" t="s">
        <v>17531</v>
      </c>
      <c r="M2401" s="5" t="s">
        <v>17537</v>
      </c>
      <c r="N2401" s="7" t="s">
        <v>17538</v>
      </c>
      <c r="O2401" s="8" t="str">
        <f>HYPERLINK("https://drive.google.com/file/d/1skiHyxGf5iLO2VOfVQQlaUWBiUcQHNnj/view?usp=drivesdk","2400_RISNAWATI _ SERTIFIKAT BIMTEK IPASN BerAKHLASK")</f>
        <v>2400_RISNAWATI _ SERTIFIKAT BIMTEK IPASN BerAKHLASK</v>
      </c>
      <c r="P2401" s="5" t="s">
        <v>17513</v>
      </c>
      <c r="Q2401" s="5"/>
      <c r="R2401" s="5"/>
      <c r="S2401" s="5"/>
      <c r="T2401" s="5"/>
    </row>
    <row r="2402">
      <c r="A2402" s="4">
        <v>45534.339921192135</v>
      </c>
      <c r="B2402" s="5" t="s">
        <v>34</v>
      </c>
      <c r="D2402" s="5" t="s">
        <v>4775</v>
      </c>
      <c r="E2402" s="5" t="s">
        <v>17539</v>
      </c>
      <c r="F2402" s="5" t="s">
        <v>212</v>
      </c>
      <c r="G2402" s="5" t="s">
        <v>17540</v>
      </c>
      <c r="H2402" s="6" t="s">
        <v>17541</v>
      </c>
      <c r="K2402" s="5" t="s">
        <v>17531</v>
      </c>
      <c r="M2402" s="5" t="s">
        <v>17542</v>
      </c>
      <c r="N2402" s="7" t="s">
        <v>17543</v>
      </c>
      <c r="O2402" s="8" t="str">
        <f>HYPERLINK("https://drive.google.com/file/d/14G6jFlC6cSieqCzgWx--Vq44duGwvo6M/view?usp=drivesdk","2401_SUPRIYATI _ SERTIFIKAT BIMTEK IPASN BerAKHLASK")</f>
        <v>2401_SUPRIYATI _ SERTIFIKAT BIMTEK IPASN BerAKHLASK</v>
      </c>
      <c r="P2402" s="5" t="s">
        <v>17513</v>
      </c>
      <c r="Q2402" s="5"/>
      <c r="R2402" s="5"/>
      <c r="S2402" s="5"/>
      <c r="T2402" s="5"/>
    </row>
    <row r="2403">
      <c r="A2403" s="4">
        <v>45534.33992412037</v>
      </c>
      <c r="B2403" s="5" t="s">
        <v>34</v>
      </c>
      <c r="D2403" s="5" t="s">
        <v>35</v>
      </c>
      <c r="E2403" s="5" t="s">
        <v>17544</v>
      </c>
      <c r="F2403" s="5" t="s">
        <v>328</v>
      </c>
      <c r="G2403" s="5" t="s">
        <v>17545</v>
      </c>
      <c r="H2403" s="6" t="s">
        <v>17546</v>
      </c>
      <c r="K2403" s="5" t="s">
        <v>17531</v>
      </c>
      <c r="M2403" s="5" t="s">
        <v>17547</v>
      </c>
      <c r="N2403" s="7" t="s">
        <v>17548</v>
      </c>
      <c r="O2403" s="8" t="str">
        <f>HYPERLINK("https://drive.google.com/file/d/1o8LfsSFA6i8J6vLBmuekQaNMnjjy7nJW/view?usp=drivesdk","2402_ADANG KARWITA _ SERTIFIKAT BIMTEK IPASN BerAKHLASK")</f>
        <v>2402_ADANG KARWITA _ SERTIFIKAT BIMTEK IPASN BerAKHLASK</v>
      </c>
      <c r="P2403" s="5" t="s">
        <v>17549</v>
      </c>
      <c r="Q2403" s="5"/>
      <c r="R2403" s="5"/>
      <c r="S2403" s="5"/>
      <c r="T2403" s="5"/>
    </row>
    <row r="2404">
      <c r="A2404" s="4">
        <v>45534.33992545139</v>
      </c>
      <c r="B2404" s="5" t="s">
        <v>34</v>
      </c>
      <c r="D2404" s="5" t="s">
        <v>1206</v>
      </c>
      <c r="E2404" s="5" t="s">
        <v>17550</v>
      </c>
      <c r="F2404" s="5" t="s">
        <v>199</v>
      </c>
      <c r="G2404" s="5" t="s">
        <v>17551</v>
      </c>
      <c r="H2404" s="6" t="s">
        <v>17552</v>
      </c>
      <c r="K2404" s="5" t="s">
        <v>17531</v>
      </c>
      <c r="M2404" s="5" t="s">
        <v>17553</v>
      </c>
      <c r="N2404" s="7" t="s">
        <v>17554</v>
      </c>
      <c r="O2404" s="8" t="str">
        <f>HYPERLINK("https://drive.google.com/file/d/14nan5yQi76K0IXFRk6Ynd5Wp_KTvoE8P/view?usp=drivesdk","2403_LINA UMARA  _ SERTIFIKAT BIMTEK IPASN BerAKHLASK")</f>
        <v>2403_LINA UMARA  _ SERTIFIKAT BIMTEK IPASN BerAKHLASK</v>
      </c>
      <c r="P2404" s="5" t="s">
        <v>17549</v>
      </c>
      <c r="Q2404" s="5"/>
      <c r="R2404" s="5"/>
      <c r="S2404" s="5"/>
      <c r="T2404" s="5"/>
    </row>
    <row r="2405">
      <c r="A2405" s="4">
        <v>45534.3399297338</v>
      </c>
      <c r="B2405" s="5" t="s">
        <v>34</v>
      </c>
      <c r="D2405" s="5" t="s">
        <v>9020</v>
      </c>
      <c r="E2405" s="5" t="s">
        <v>17555</v>
      </c>
      <c r="F2405" s="5" t="s">
        <v>37</v>
      </c>
      <c r="G2405" s="5" t="s">
        <v>17556</v>
      </c>
      <c r="H2405" s="6" t="s">
        <v>17557</v>
      </c>
      <c r="K2405" s="5" t="s">
        <v>17531</v>
      </c>
      <c r="M2405" s="5" t="s">
        <v>17558</v>
      </c>
      <c r="N2405" s="7" t="s">
        <v>17559</v>
      </c>
      <c r="O2405" s="8" t="str">
        <f>HYPERLINK("https://drive.google.com/file/d/1vb-tPyCZMIbctCbT8CkJ4NQys69UAGzU/view?usp=drivesdk","2404_ALAMSYAH, SH _ SERTIFIKAT BIMTEK IPASN BerAKHLASK")</f>
        <v>2404_ALAMSYAH, SH _ SERTIFIKAT BIMTEK IPASN BerAKHLASK</v>
      </c>
      <c r="P2405" s="5" t="s">
        <v>17549</v>
      </c>
      <c r="Q2405" s="5"/>
      <c r="R2405" s="5"/>
      <c r="S2405" s="5"/>
      <c r="T2405" s="5"/>
    </row>
    <row r="2406">
      <c r="A2406" s="4">
        <v>45534.33993105324</v>
      </c>
      <c r="B2406" s="5" t="s">
        <v>34</v>
      </c>
      <c r="D2406" s="5" t="s">
        <v>4775</v>
      </c>
      <c r="E2406" s="5" t="s">
        <v>17560</v>
      </c>
      <c r="F2406" s="5" t="s">
        <v>37</v>
      </c>
      <c r="G2406" s="5" t="s">
        <v>17561</v>
      </c>
      <c r="H2406" s="6" t="s">
        <v>17562</v>
      </c>
      <c r="K2406" s="5" t="s">
        <v>17531</v>
      </c>
      <c r="M2406" s="5" t="s">
        <v>17563</v>
      </c>
      <c r="N2406" s="7" t="s">
        <v>17564</v>
      </c>
      <c r="O2406" s="8" t="str">
        <f>HYPERLINK("https://drive.google.com/file/d/19_GEehgsTdOvSnZK_LuWQMmza9W1FiG-/view?usp=drivesdk","2405_SUKARDI _ SERTIFIKAT BIMTEK IPASN BerAKHLASK")</f>
        <v>2405_SUKARDI _ SERTIFIKAT BIMTEK IPASN BerAKHLASK</v>
      </c>
      <c r="P2406" s="5" t="s">
        <v>17549</v>
      </c>
      <c r="Q2406" s="5"/>
      <c r="R2406" s="5"/>
      <c r="S2406" s="5"/>
      <c r="T2406" s="5"/>
    </row>
    <row r="2407">
      <c r="A2407" s="4">
        <v>45534.3399311574</v>
      </c>
      <c r="B2407" s="5" t="s">
        <v>34</v>
      </c>
      <c r="D2407" s="5" t="s">
        <v>1206</v>
      </c>
      <c r="E2407" s="5" t="s">
        <v>17565</v>
      </c>
      <c r="F2407" s="5" t="s">
        <v>37</v>
      </c>
      <c r="G2407" s="5" t="s">
        <v>17566</v>
      </c>
      <c r="H2407" s="6" t="s">
        <v>17567</v>
      </c>
      <c r="K2407" s="5" t="s">
        <v>17531</v>
      </c>
      <c r="M2407" s="5" t="s">
        <v>17568</v>
      </c>
      <c r="N2407" s="7" t="s">
        <v>17569</v>
      </c>
      <c r="O2407" s="8" t="str">
        <f>HYPERLINK("https://drive.google.com/file/d/1pJLdep8IQzgu4aUB1pLnks9CKRW37Aql/view?usp=drivesdk","2406_ZEVI OKTAVIANTO _ SERTIFIKAT BIMTEK IPASN BerAKHLASK")</f>
        <v>2406_ZEVI OKTAVIANTO _ SERTIFIKAT BIMTEK IPASN BerAKHLASK</v>
      </c>
      <c r="P2407" s="5" t="s">
        <v>17549</v>
      </c>
      <c r="Q2407" s="5"/>
      <c r="R2407" s="5"/>
      <c r="S2407" s="5"/>
      <c r="T2407" s="5"/>
    </row>
    <row r="2408">
      <c r="A2408" s="4">
        <v>45534.33993185185</v>
      </c>
      <c r="B2408" s="5" t="s">
        <v>34</v>
      </c>
      <c r="D2408" s="5" t="s">
        <v>10444</v>
      </c>
      <c r="E2408" s="5" t="s">
        <v>17570</v>
      </c>
      <c r="F2408" s="5" t="s">
        <v>37</v>
      </c>
      <c r="G2408" s="5" t="s">
        <v>17571</v>
      </c>
      <c r="H2408" s="6" t="s">
        <v>17572</v>
      </c>
      <c r="K2408" s="5" t="s">
        <v>17531</v>
      </c>
      <c r="M2408" s="5" t="s">
        <v>17573</v>
      </c>
      <c r="N2408" s="7" t="s">
        <v>17574</v>
      </c>
      <c r="O2408" s="8" t="str">
        <f>HYPERLINK("https://drive.google.com/file/d/1T89wZk49W4WytWULwLcGlBHYkmaaiIaO/view?usp=drivesdk","2407_HUDA AGUSTIN _ SERTIFIKAT BIMTEK IPASN BerAKHLASK")</f>
        <v>2407_HUDA AGUSTIN _ SERTIFIKAT BIMTEK IPASN BerAKHLASK</v>
      </c>
      <c r="P2408" s="5" t="s">
        <v>17549</v>
      </c>
      <c r="Q2408" s="5"/>
      <c r="R2408" s="5"/>
      <c r="S2408" s="5"/>
      <c r="T2408" s="5"/>
    </row>
    <row r="2409">
      <c r="A2409" s="4">
        <v>45534.339936805554</v>
      </c>
      <c r="B2409" s="5" t="s">
        <v>34</v>
      </c>
      <c r="D2409" s="5" t="s">
        <v>35</v>
      </c>
      <c r="E2409" s="5" t="s">
        <v>17575</v>
      </c>
      <c r="F2409" s="5" t="s">
        <v>37</v>
      </c>
      <c r="G2409" s="5" t="s">
        <v>17576</v>
      </c>
      <c r="H2409" s="6" t="s">
        <v>17577</v>
      </c>
      <c r="K2409" s="5" t="s">
        <v>17531</v>
      </c>
      <c r="M2409" s="5" t="s">
        <v>17578</v>
      </c>
      <c r="N2409" s="7" t="s">
        <v>17579</v>
      </c>
      <c r="O2409" s="8" t="str">
        <f>HYPERLINK("https://drive.google.com/file/d/1yh14fTi4hVZrs9DFXs6AzqqjfEWDhfiN/view?usp=drivesdk","2408_WARNALI _ SERTIFIKAT BIMTEK IPASN BerAKHLASK")</f>
        <v>2408_WARNALI _ SERTIFIKAT BIMTEK IPASN BerAKHLASK</v>
      </c>
      <c r="P2409" s="5" t="s">
        <v>17580</v>
      </c>
      <c r="Q2409" s="5"/>
      <c r="R2409" s="5"/>
      <c r="S2409" s="5"/>
      <c r="T2409" s="5"/>
    </row>
    <row r="2410">
      <c r="A2410" s="4">
        <v>45534.33994118056</v>
      </c>
      <c r="B2410" s="5" t="s">
        <v>34</v>
      </c>
      <c r="D2410" s="5" t="s">
        <v>1206</v>
      </c>
      <c r="E2410" s="5" t="s">
        <v>17581</v>
      </c>
      <c r="F2410" s="5" t="s">
        <v>37</v>
      </c>
      <c r="G2410" s="5" t="s">
        <v>17582</v>
      </c>
      <c r="H2410" s="6" t="s">
        <v>17583</v>
      </c>
      <c r="K2410" s="5" t="s">
        <v>17531</v>
      </c>
      <c r="M2410" s="5" t="s">
        <v>17584</v>
      </c>
      <c r="N2410" s="7" t="s">
        <v>17585</v>
      </c>
      <c r="O2410" s="8" t="str">
        <f>HYPERLINK("https://drive.google.com/file/d/1RyS9M81HZtFLIIsF9M5vyxic5PVQYqu_/view?usp=drivesdk","2409_IFANA KOMARIA _ SERTIFIKAT BIMTEK IPASN BerAKHLASK")</f>
        <v>2409_IFANA KOMARIA _ SERTIFIKAT BIMTEK IPASN BerAKHLASK</v>
      </c>
      <c r="P2410" s="5" t="s">
        <v>17580</v>
      </c>
      <c r="Q2410" s="5"/>
      <c r="R2410" s="5"/>
      <c r="S2410" s="5"/>
      <c r="T2410" s="5"/>
    </row>
    <row r="2411">
      <c r="A2411" s="4">
        <v>45534.339941377315</v>
      </c>
      <c r="B2411" s="5" t="s">
        <v>34</v>
      </c>
      <c r="D2411" s="5" t="s">
        <v>6232</v>
      </c>
      <c r="E2411" s="5" t="s">
        <v>17586</v>
      </c>
      <c r="F2411" s="5" t="s">
        <v>212</v>
      </c>
      <c r="G2411" s="5" t="s">
        <v>17587</v>
      </c>
      <c r="H2411" s="6" t="s">
        <v>17588</v>
      </c>
      <c r="K2411" s="5" t="s">
        <v>17531</v>
      </c>
      <c r="M2411" s="5" t="s">
        <v>17589</v>
      </c>
      <c r="N2411" s="7" t="s">
        <v>17590</v>
      </c>
      <c r="O2411" s="8" t="str">
        <f>HYPERLINK("https://drive.google.com/file/d/1lZc2SkzbDVsv__hoZee4LIO5c7SR9LhH/view?usp=drivesdk","2410_EVITA ROSANTI _ SERTIFIKAT BIMTEK IPASN BerAKHLASK")</f>
        <v>2410_EVITA ROSANTI _ SERTIFIKAT BIMTEK IPASN BerAKHLASK</v>
      </c>
      <c r="P2411" s="5" t="s">
        <v>17580</v>
      </c>
      <c r="Q2411" s="5"/>
      <c r="R2411" s="5"/>
      <c r="S2411" s="5"/>
      <c r="T2411" s="5"/>
    </row>
    <row r="2412">
      <c r="A2412" s="4">
        <v>45534.33995490741</v>
      </c>
      <c r="B2412" s="5" t="s">
        <v>34</v>
      </c>
      <c r="D2412" s="5" t="s">
        <v>12010</v>
      </c>
      <c r="E2412" s="5" t="s">
        <v>17591</v>
      </c>
      <c r="F2412" s="5" t="s">
        <v>524</v>
      </c>
      <c r="G2412" s="5" t="s">
        <v>17592</v>
      </c>
      <c r="H2412" s="6" t="s">
        <v>17593</v>
      </c>
      <c r="K2412" s="5" t="s">
        <v>17531</v>
      </c>
      <c r="M2412" s="5" t="s">
        <v>17594</v>
      </c>
      <c r="N2412" s="7" t="s">
        <v>17595</v>
      </c>
      <c r="O2412" s="8" t="str">
        <f>HYPERLINK("https://drive.google.com/file/d/1ScndPefjKoXsJXjTi2cYLgsLscK-y1_W/view?usp=drivesdk","2411_HAURIA LAKORO _ SERTIFIKAT BIMTEK IPASN BerAKHLASK")</f>
        <v>2411_HAURIA LAKORO _ SERTIFIKAT BIMTEK IPASN BerAKHLASK</v>
      </c>
      <c r="P2412" s="5" t="s">
        <v>17580</v>
      </c>
      <c r="Q2412" s="5"/>
      <c r="R2412" s="5"/>
      <c r="S2412" s="5"/>
      <c r="T2412" s="5"/>
    </row>
    <row r="2413">
      <c r="A2413" s="4">
        <v>45534.33995717592</v>
      </c>
      <c r="B2413" s="5" t="s">
        <v>34</v>
      </c>
      <c r="D2413" s="5" t="s">
        <v>4775</v>
      </c>
      <c r="E2413" s="5" t="s">
        <v>17596</v>
      </c>
      <c r="F2413" s="5" t="s">
        <v>375</v>
      </c>
      <c r="G2413" s="5" t="s">
        <v>17597</v>
      </c>
      <c r="H2413" s="6" t="s">
        <v>17598</v>
      </c>
      <c r="K2413" s="5" t="s">
        <v>17531</v>
      </c>
      <c r="M2413" s="5" t="s">
        <v>17599</v>
      </c>
      <c r="N2413" s="7" t="s">
        <v>17600</v>
      </c>
      <c r="O2413" s="8" t="str">
        <f>HYPERLINK("https://drive.google.com/file/d/15G0LOz7yWDHphe_mzw6TkI_fgd4xS8V4/view?usp=drivesdk","2412_WALUYO , SE _ SERTIFIKAT BIMTEK IPASN BerAKHLASK")</f>
        <v>2412_WALUYO , SE _ SERTIFIKAT BIMTEK IPASN BerAKHLASK</v>
      </c>
      <c r="P2413" s="5" t="s">
        <v>17580</v>
      </c>
      <c r="Q2413" s="5"/>
      <c r="R2413" s="5"/>
      <c r="S2413" s="5"/>
      <c r="T2413" s="5"/>
    </row>
    <row r="2414">
      <c r="A2414" s="4">
        <v>45534.33990905093</v>
      </c>
      <c r="B2414" s="5" t="s">
        <v>34</v>
      </c>
      <c r="D2414" s="5" t="s">
        <v>4775</v>
      </c>
      <c r="E2414" s="5" t="s">
        <v>17601</v>
      </c>
      <c r="F2414" s="5" t="s">
        <v>108</v>
      </c>
      <c r="G2414" s="5" t="s">
        <v>17602</v>
      </c>
      <c r="H2414" s="6" t="s">
        <v>17603</v>
      </c>
      <c r="K2414" s="5" t="s">
        <v>17531</v>
      </c>
      <c r="M2414" s="5" t="s">
        <v>17604</v>
      </c>
      <c r="N2414" s="7" t="s">
        <v>17605</v>
      </c>
      <c r="O2414" s="8" t="str">
        <f>HYPERLINK("https://drive.google.com/file/d/1JSYX7Vxx9kphUOSnHOjdymWPJFzKZmma/view?usp=drivesdk","2413_HARYANTI  _ SERTIFIKAT BIMTEK IPASN BerAKHLASK")</f>
        <v>2413_HARYANTI  _ SERTIFIKAT BIMTEK IPASN BerAKHLASK</v>
      </c>
      <c r="P2414" s="5" t="s">
        <v>17606</v>
      </c>
      <c r="Q2414" s="5"/>
      <c r="R2414" s="5"/>
      <c r="S2414" s="5"/>
      <c r="T2414" s="5"/>
    </row>
    <row r="2415">
      <c r="A2415" s="4">
        <v>45534.33991401621</v>
      </c>
      <c r="B2415" s="5" t="s">
        <v>34</v>
      </c>
      <c r="D2415" s="5" t="s">
        <v>12978</v>
      </c>
      <c r="E2415" s="5" t="s">
        <v>17607</v>
      </c>
      <c r="F2415" s="5" t="s">
        <v>715</v>
      </c>
      <c r="G2415" s="5" t="s">
        <v>17608</v>
      </c>
      <c r="H2415" s="6" t="s">
        <v>17609</v>
      </c>
      <c r="K2415" s="5" t="s">
        <v>17531</v>
      </c>
      <c r="M2415" s="5" t="s">
        <v>17610</v>
      </c>
      <c r="N2415" s="7" t="s">
        <v>17611</v>
      </c>
      <c r="O2415" s="8" t="str">
        <f>HYPERLINK("https://drive.google.com/file/d/19bIJHkzvkpuecKXCJ3s1nIclBrGZeT6s/view?usp=drivesdk","2414_A V N I N A W A T I _ SERTIFIKAT BIMTEK IPASN BerAKHLASK")</f>
        <v>2414_A V N I N A W A T I _ SERTIFIKAT BIMTEK IPASN BerAKHLASK</v>
      </c>
      <c r="P2415" s="5" t="s">
        <v>17606</v>
      </c>
      <c r="Q2415" s="5"/>
      <c r="R2415" s="5"/>
      <c r="S2415" s="5"/>
      <c r="T2415" s="5"/>
    </row>
    <row r="2416">
      <c r="A2416" s="4">
        <v>45534.33992520833</v>
      </c>
      <c r="B2416" s="5" t="s">
        <v>34</v>
      </c>
      <c r="D2416" s="5" t="s">
        <v>2903</v>
      </c>
      <c r="E2416" s="5" t="s">
        <v>17612</v>
      </c>
      <c r="F2416" s="5" t="s">
        <v>375</v>
      </c>
      <c r="G2416" s="5" t="s">
        <v>17613</v>
      </c>
      <c r="H2416" s="6" t="s">
        <v>17614</v>
      </c>
      <c r="K2416" s="5" t="s">
        <v>17531</v>
      </c>
      <c r="M2416" s="5" t="s">
        <v>17615</v>
      </c>
      <c r="N2416" s="7" t="s">
        <v>17616</v>
      </c>
      <c r="O2416" s="8" t="str">
        <f>HYPERLINK("https://drive.google.com/file/d/1B-0xB6yd2yOYJBOdl0FudpYOFea6bpBs/view?usp=drivesdk","2415_DENSI FEBRIANI, S.E _ SERTIFIKAT BIMTEK IPASN BerAKHLASK")</f>
        <v>2415_DENSI FEBRIANI, S.E _ SERTIFIKAT BIMTEK IPASN BerAKHLASK</v>
      </c>
      <c r="P2416" s="5" t="s">
        <v>17606</v>
      </c>
      <c r="Q2416" s="5"/>
      <c r="R2416" s="5"/>
      <c r="S2416" s="5"/>
      <c r="T2416" s="5"/>
    </row>
    <row r="2417" hidden="1">
      <c r="A2417" s="4">
        <v>45534.33993207176</v>
      </c>
      <c r="B2417" s="5" t="s">
        <v>19</v>
      </c>
      <c r="C2417" s="5" t="s">
        <v>11593</v>
      </c>
      <c r="E2417" s="5" t="s">
        <v>17617</v>
      </c>
      <c r="F2417" s="5" t="s">
        <v>120</v>
      </c>
      <c r="G2417" s="5" t="s">
        <v>17618</v>
      </c>
      <c r="H2417" s="6" t="s">
        <v>17619</v>
      </c>
      <c r="K2417" s="5" t="s">
        <v>17531</v>
      </c>
      <c r="M2417" s="5" t="s">
        <v>17620</v>
      </c>
      <c r="N2417" s="7" t="s">
        <v>17621</v>
      </c>
      <c r="O2417" s="8" t="str">
        <f>HYPERLINK("https://drive.google.com/file/d/1AQMnYD_V9V-b_gNtjZg5moRysIILMGBr/view?usp=drivesdk","2416_DRG ANGGY ANGGARINI, Sp.K.G _ SERTIFIKAT BIMTEK IPASN BerAKHLASK")</f>
        <v>2416_DRG ANGGY ANGGARINI, Sp.K.G _ SERTIFIKAT BIMTEK IPASN BerAKHLASK</v>
      </c>
      <c r="P2417" s="5" t="s">
        <v>17606</v>
      </c>
      <c r="Q2417" s="5"/>
      <c r="R2417" s="5"/>
      <c r="S2417" s="5"/>
      <c r="T2417" s="5"/>
    </row>
    <row r="2418">
      <c r="A2418" s="4">
        <v>45534.339960578705</v>
      </c>
      <c r="B2418" s="5" t="s">
        <v>34</v>
      </c>
      <c r="D2418" s="5" t="s">
        <v>10444</v>
      </c>
      <c r="E2418" s="5" t="s">
        <v>17622</v>
      </c>
      <c r="F2418" s="5" t="s">
        <v>108</v>
      </c>
      <c r="G2418" s="5" t="s">
        <v>17623</v>
      </c>
      <c r="H2418" s="6" t="s">
        <v>17624</v>
      </c>
      <c r="K2418" s="5" t="s">
        <v>17531</v>
      </c>
      <c r="M2418" s="5" t="s">
        <v>17625</v>
      </c>
      <c r="N2418" s="7" t="s">
        <v>17626</v>
      </c>
      <c r="O2418" s="8" t="str">
        <f>HYPERLINK("https://drive.google.com/file/d/1SW7KMX5g2k2YuYdKqP3R8v5glsiCsXhS/view?usp=drivesdk","2417_LESI WULANDARI, AMD. GIZI _ SERTIFIKAT BIMTEK IPASN BerAKHLASK")</f>
        <v>2417_LESI WULANDARI, AMD. GIZI _ SERTIFIKAT BIMTEK IPASN BerAKHLASK</v>
      </c>
      <c r="P2418" s="5" t="s">
        <v>17606</v>
      </c>
      <c r="Q2418" s="5"/>
      <c r="R2418" s="5"/>
      <c r="S2418" s="5"/>
      <c r="T2418" s="5"/>
    </row>
    <row r="2419">
      <c r="A2419" s="4">
        <v>45534.33996265046</v>
      </c>
      <c r="B2419" s="5" t="s">
        <v>34</v>
      </c>
      <c r="D2419" s="5" t="s">
        <v>35</v>
      </c>
      <c r="E2419" s="5" t="s">
        <v>17627</v>
      </c>
      <c r="F2419" s="5" t="s">
        <v>375</v>
      </c>
      <c r="G2419" s="5" t="s">
        <v>17628</v>
      </c>
      <c r="H2419" s="6" t="s">
        <v>17629</v>
      </c>
      <c r="K2419" s="5" t="s">
        <v>17531</v>
      </c>
      <c r="M2419" s="5" t="s">
        <v>17630</v>
      </c>
      <c r="N2419" s="7" t="s">
        <v>17631</v>
      </c>
      <c r="O2419" s="8" t="str">
        <f>HYPERLINK("https://drive.google.com/file/d/1tYngv7k6zseO3YlWC3GIFnUKUkfdAz8-/view?usp=drivesdk","2418_TARYA,SH _ SERTIFIKAT BIMTEK IPASN BerAKHLASK")</f>
        <v>2418_TARYA,SH _ SERTIFIKAT BIMTEK IPASN BerAKHLASK</v>
      </c>
      <c r="P2419" s="5" t="s">
        <v>17632</v>
      </c>
      <c r="Q2419" s="5"/>
      <c r="R2419" s="5"/>
      <c r="S2419" s="5"/>
      <c r="T2419" s="5"/>
    </row>
    <row r="2420">
      <c r="A2420" s="4">
        <v>45534.33996943287</v>
      </c>
      <c r="B2420" s="5" t="s">
        <v>34</v>
      </c>
      <c r="D2420" s="5" t="s">
        <v>580</v>
      </c>
      <c r="E2420" s="5" t="s">
        <v>17633</v>
      </c>
      <c r="F2420" s="5" t="s">
        <v>108</v>
      </c>
      <c r="G2420" s="5" t="s">
        <v>17634</v>
      </c>
      <c r="H2420" s="6" t="s">
        <v>17635</v>
      </c>
      <c r="K2420" s="5" t="s">
        <v>17531</v>
      </c>
      <c r="M2420" s="5" t="s">
        <v>17636</v>
      </c>
      <c r="N2420" s="7" t="s">
        <v>17637</v>
      </c>
      <c r="O2420" s="8" t="str">
        <f>HYPERLINK("https://drive.google.com/file/d/1AvZPllh2bQIoeOPXHiynOluAr7YQiSWI/view?usp=drivesdk","2419_MUSLIKAH  _ SERTIFIKAT BIMTEK IPASN BerAKHLASK")</f>
        <v>2419_MUSLIKAH  _ SERTIFIKAT BIMTEK IPASN BerAKHLASK</v>
      </c>
      <c r="P2420" s="5" t="s">
        <v>17632</v>
      </c>
      <c r="Q2420" s="5"/>
      <c r="R2420" s="5"/>
      <c r="S2420" s="5"/>
      <c r="T2420" s="5"/>
    </row>
    <row r="2421">
      <c r="A2421" s="4">
        <v>45534.33997498843</v>
      </c>
      <c r="B2421" s="5" t="s">
        <v>34</v>
      </c>
      <c r="D2421" s="5" t="s">
        <v>35</v>
      </c>
      <c r="E2421" s="5" t="s">
        <v>15455</v>
      </c>
      <c r="F2421" s="5" t="s">
        <v>212</v>
      </c>
      <c r="G2421" s="5" t="s">
        <v>17638</v>
      </c>
      <c r="H2421" s="6" t="s">
        <v>17639</v>
      </c>
      <c r="K2421" s="5" t="s">
        <v>17531</v>
      </c>
      <c r="M2421" s="5" t="s">
        <v>17640</v>
      </c>
      <c r="N2421" s="7" t="s">
        <v>17641</v>
      </c>
      <c r="O2421" s="8" t="str">
        <f>HYPERLINK("https://drive.google.com/file/d/1NoVlJAByo2qa2Hygr7zE9N73e8_YdBGR/view?usp=drivesdk","2420_HOLIFAH, A.MD. _ SERTIFIKAT BIMTEK IPASN BerAKHLASK")</f>
        <v>2420_HOLIFAH, A.MD. _ SERTIFIKAT BIMTEK IPASN BerAKHLASK</v>
      </c>
      <c r="P2421" s="5" t="s">
        <v>17632</v>
      </c>
      <c r="Q2421" s="5"/>
      <c r="R2421" s="5"/>
      <c r="S2421" s="5"/>
      <c r="T2421" s="5"/>
    </row>
    <row r="2422">
      <c r="A2422" s="4">
        <v>45534.33998300926</v>
      </c>
      <c r="B2422" s="5" t="s">
        <v>34</v>
      </c>
      <c r="D2422" s="5" t="s">
        <v>580</v>
      </c>
      <c r="E2422" s="5" t="s">
        <v>17642</v>
      </c>
      <c r="F2422" s="5" t="s">
        <v>37</v>
      </c>
      <c r="G2422" s="5" t="s">
        <v>17643</v>
      </c>
      <c r="H2422" s="6" t="s">
        <v>17644</v>
      </c>
      <c r="K2422" s="5" t="s">
        <v>17531</v>
      </c>
      <c r="M2422" s="5" t="s">
        <v>17645</v>
      </c>
      <c r="N2422" s="7" t="s">
        <v>17646</v>
      </c>
      <c r="O2422" s="8" t="str">
        <f>HYPERLINK("https://drive.google.com/file/d/1kl7YFmsrn2nIlu91etrq-SwZj52-uSC-/view?usp=drivesdk","2421_Bagus Komang Corry Agung Suarsananda, A.Md.Kep _ SERTIFIKAT BIMTEK IPASN BerAKHLASK")</f>
        <v>2421_Bagus Komang Corry Agung Suarsananda, A.Md.Kep _ SERTIFIKAT BIMTEK IPASN BerAKHLASK</v>
      </c>
      <c r="P2422" s="5" t="s">
        <v>17632</v>
      </c>
      <c r="Q2422" s="5"/>
      <c r="R2422" s="5"/>
      <c r="S2422" s="5"/>
      <c r="T2422" s="5"/>
    </row>
    <row r="2423">
      <c r="A2423" s="4">
        <v>45534.33998658565</v>
      </c>
      <c r="B2423" s="5" t="s">
        <v>34</v>
      </c>
      <c r="D2423" s="5" t="s">
        <v>3849</v>
      </c>
      <c r="E2423" s="5" t="s">
        <v>17647</v>
      </c>
      <c r="F2423" s="5" t="s">
        <v>212</v>
      </c>
      <c r="G2423" s="5" t="s">
        <v>17648</v>
      </c>
      <c r="H2423" s="6" t="s">
        <v>17649</v>
      </c>
      <c r="K2423" s="5" t="s">
        <v>17531</v>
      </c>
      <c r="M2423" s="5" t="s">
        <v>17650</v>
      </c>
      <c r="N2423" s="7" t="s">
        <v>17651</v>
      </c>
      <c r="O2423" s="8" t="str">
        <f>HYPERLINK("https://drive.google.com/file/d/14kI2dFxqNEmclel69jLD0Lu-oQJydsW-/view?usp=drivesdk","2422_UMI KALSUM AMD _ SERTIFIKAT BIMTEK IPASN BerAKHLASK")</f>
        <v>2422_UMI KALSUM AMD _ SERTIFIKAT BIMTEK IPASN BerAKHLASK</v>
      </c>
      <c r="P2423" s="5" t="s">
        <v>17632</v>
      </c>
      <c r="Q2423" s="5"/>
      <c r="R2423" s="5"/>
      <c r="S2423" s="5"/>
      <c r="T2423" s="5"/>
    </row>
    <row r="2424">
      <c r="A2424" s="4">
        <v>45534.33999146991</v>
      </c>
      <c r="B2424" s="5" t="s">
        <v>34</v>
      </c>
      <c r="D2424" s="5" t="s">
        <v>12010</v>
      </c>
      <c r="E2424" s="5" t="s">
        <v>17652</v>
      </c>
      <c r="F2424" s="5" t="s">
        <v>212</v>
      </c>
      <c r="G2424" s="5" t="s">
        <v>17653</v>
      </c>
      <c r="H2424" s="6" t="s">
        <v>17654</v>
      </c>
      <c r="K2424" s="5" t="s">
        <v>17531</v>
      </c>
      <c r="M2424" s="5" t="s">
        <v>17655</v>
      </c>
      <c r="N2424" s="7" t="s">
        <v>17656</v>
      </c>
      <c r="O2424" s="8" t="str">
        <f>HYPERLINK("https://drive.google.com/file/d/1gpU6pKltYnmsQyRJJFEcxehunhk_OuwU/view?usp=drivesdk","2423_FARIDA  JUMULA _ SERTIFIKAT BIMTEK IPASN BerAKHLASK")</f>
        <v>2423_FARIDA  JUMULA _ SERTIFIKAT BIMTEK IPASN BerAKHLASK</v>
      </c>
      <c r="P2424" s="5" t="s">
        <v>17632</v>
      </c>
      <c r="Q2424" s="5"/>
      <c r="R2424" s="5"/>
      <c r="S2424" s="5"/>
      <c r="T2424" s="5"/>
    </row>
    <row r="2425">
      <c r="A2425" s="4">
        <v>45534.33997565972</v>
      </c>
      <c r="B2425" s="5" t="s">
        <v>34</v>
      </c>
      <c r="D2425" s="5" t="s">
        <v>12978</v>
      </c>
      <c r="E2425" s="5" t="s">
        <v>17657</v>
      </c>
      <c r="F2425" s="5" t="s">
        <v>212</v>
      </c>
      <c r="G2425" s="5" t="s">
        <v>17658</v>
      </c>
      <c r="H2425" s="6" t="s">
        <v>17659</v>
      </c>
      <c r="K2425" s="5" t="s">
        <v>17531</v>
      </c>
      <c r="M2425" s="5" t="s">
        <v>17660</v>
      </c>
      <c r="N2425" s="7" t="s">
        <v>17661</v>
      </c>
      <c r="O2425" s="8" t="str">
        <f>HYPERLINK("https://drive.google.com/file/d/1NBbB5aKI9XJQNsg9N4wvfV94s4Cmjt4a/view?usp=drivesdk","2424_MARWIYAH  _ SERTIFIKAT BIMTEK IPASN BerAKHLASK")</f>
        <v>2424_MARWIYAH  _ SERTIFIKAT BIMTEK IPASN BerAKHLASK</v>
      </c>
      <c r="P2425" s="5" t="s">
        <v>17632</v>
      </c>
      <c r="Q2425" s="5"/>
      <c r="R2425" s="5"/>
      <c r="S2425" s="5"/>
      <c r="T2425" s="5"/>
    </row>
    <row r="2426" hidden="1">
      <c r="A2426" s="4">
        <v>45534.33998143519</v>
      </c>
      <c r="B2426" s="5" t="s">
        <v>19</v>
      </c>
      <c r="C2426" s="5" t="s">
        <v>466</v>
      </c>
      <c r="E2426" s="5" t="s">
        <v>17662</v>
      </c>
      <c r="F2426" s="5" t="s">
        <v>72</v>
      </c>
      <c r="G2426" s="5" t="s">
        <v>17663</v>
      </c>
      <c r="H2426" s="6" t="s">
        <v>17664</v>
      </c>
      <c r="K2426" s="5" t="s">
        <v>17531</v>
      </c>
      <c r="M2426" s="5" t="s">
        <v>17665</v>
      </c>
      <c r="N2426" s="7" t="s">
        <v>17666</v>
      </c>
      <c r="O2426" s="8" t="str">
        <f>HYPERLINK("https://drive.google.com/file/d/1zeqaZXqZU58W4qqGIh4jaiHi1H4Bw2A3/view?usp=drivesdk","2425_ZAHRIAH, S.E. _ SERTIFIKAT BIMTEK IPASN BerAKHLASK")</f>
        <v>2425_ZAHRIAH, S.E. _ SERTIFIKAT BIMTEK IPASN BerAKHLASK</v>
      </c>
      <c r="P2426" s="5" t="s">
        <v>17667</v>
      </c>
      <c r="Q2426" s="5"/>
      <c r="R2426" s="5"/>
      <c r="S2426" s="5"/>
      <c r="T2426" s="5"/>
    </row>
    <row r="2427" hidden="1">
      <c r="A2427" s="4">
        <v>45534.33999368055</v>
      </c>
      <c r="B2427" s="5" t="s">
        <v>19</v>
      </c>
      <c r="C2427" s="5" t="s">
        <v>5564</v>
      </c>
      <c r="E2427" s="5" t="s">
        <v>17668</v>
      </c>
      <c r="F2427" s="5" t="s">
        <v>212</v>
      </c>
      <c r="G2427" s="5" t="s">
        <v>17669</v>
      </c>
      <c r="H2427" s="6" t="s">
        <v>17670</v>
      </c>
      <c r="K2427" s="5" t="s">
        <v>17531</v>
      </c>
      <c r="M2427" s="5" t="s">
        <v>17671</v>
      </c>
      <c r="N2427" s="7" t="s">
        <v>17672</v>
      </c>
      <c r="O2427" s="8" t="str">
        <f>HYPERLINK("https://drive.google.com/file/d/10KS7WzIvXbpb5nYK-jQ016qHlgQl2auq/view?usp=drivesdk","2426_RIYANTI DWI _ SERTIFIKAT BIMTEK IPASN BerAKHLASK")</f>
        <v>2426_RIYANTI DWI _ SERTIFIKAT BIMTEK IPASN BerAKHLASK</v>
      </c>
      <c r="P2427" s="5" t="s">
        <v>17667</v>
      </c>
      <c r="Q2427" s="5"/>
      <c r="R2427" s="5"/>
      <c r="S2427" s="5"/>
      <c r="T2427" s="5"/>
    </row>
    <row r="2428">
      <c r="A2428" s="4">
        <v>45534.34000210648</v>
      </c>
      <c r="B2428" s="5" t="s">
        <v>34</v>
      </c>
      <c r="D2428" s="5" t="s">
        <v>4775</v>
      </c>
      <c r="E2428" s="5" t="s">
        <v>17673</v>
      </c>
      <c r="F2428" s="5" t="s">
        <v>212</v>
      </c>
      <c r="G2428" s="5" t="s">
        <v>17674</v>
      </c>
      <c r="H2428" s="6" t="s">
        <v>17675</v>
      </c>
      <c r="K2428" s="5" t="s">
        <v>17531</v>
      </c>
      <c r="M2428" s="5" t="s">
        <v>17676</v>
      </c>
      <c r="N2428" s="7" t="s">
        <v>17677</v>
      </c>
      <c r="O2428" s="8" t="str">
        <f>HYPERLINK("https://drive.google.com/file/d/1yN1cT_u6NV3RMFewtDMn9kneCx46IPX2/view?usp=drivesdk","2427_ENDI RUSDIYANTO _ SERTIFIKAT BIMTEK IPASN BerAKHLASK")</f>
        <v>2427_ENDI RUSDIYANTO _ SERTIFIKAT BIMTEK IPASN BerAKHLASK</v>
      </c>
      <c r="P2428" s="5" t="s">
        <v>17667</v>
      </c>
      <c r="Q2428" s="5"/>
      <c r="R2428" s="5"/>
      <c r="S2428" s="5"/>
      <c r="T2428" s="5"/>
    </row>
    <row r="2429">
      <c r="A2429" s="4">
        <v>45534.340002638884</v>
      </c>
      <c r="B2429" s="5" t="s">
        <v>34</v>
      </c>
      <c r="D2429" s="5" t="s">
        <v>522</v>
      </c>
      <c r="E2429" s="5" t="s">
        <v>17678</v>
      </c>
      <c r="F2429" s="5" t="s">
        <v>524</v>
      </c>
      <c r="G2429" s="5" t="s">
        <v>17679</v>
      </c>
      <c r="H2429" s="6" t="s">
        <v>17680</v>
      </c>
      <c r="K2429" s="5" t="s">
        <v>17531</v>
      </c>
      <c r="M2429" s="5" t="s">
        <v>17681</v>
      </c>
      <c r="N2429" s="7" t="s">
        <v>17682</v>
      </c>
      <c r="O2429" s="8" t="str">
        <f>HYPERLINK("https://drive.google.com/file/d/15FnCnot5SF1n8-ptOyo3AWOb-LBqD82c/view?usp=drivesdk","2428_SRI SUPRIANTI _ SERTIFIKAT BIMTEK IPASN BerAKHLASK")</f>
        <v>2428_SRI SUPRIANTI _ SERTIFIKAT BIMTEK IPASN BerAKHLASK</v>
      </c>
      <c r="P2429" s="5" t="s">
        <v>17667</v>
      </c>
      <c r="Q2429" s="5"/>
      <c r="R2429" s="5"/>
      <c r="S2429" s="5"/>
      <c r="T2429" s="5"/>
    </row>
    <row r="2430">
      <c r="A2430" s="4">
        <v>45534.34000293982</v>
      </c>
      <c r="B2430" s="5" t="s">
        <v>34</v>
      </c>
      <c r="D2430" s="5" t="s">
        <v>1206</v>
      </c>
      <c r="E2430" s="5" t="s">
        <v>17683</v>
      </c>
      <c r="F2430" s="5" t="s">
        <v>212</v>
      </c>
      <c r="G2430" s="5" t="s">
        <v>17684</v>
      </c>
      <c r="H2430" s="6" t="s">
        <v>17685</v>
      </c>
      <c r="K2430" s="5" t="s">
        <v>17531</v>
      </c>
      <c r="M2430" s="5" t="s">
        <v>17686</v>
      </c>
      <c r="N2430" s="7" t="s">
        <v>17687</v>
      </c>
      <c r="O2430" s="8" t="str">
        <f>HYPERLINK("https://drive.google.com/file/d/1NiBMdTXioePyYMZfXkCjYwCCTid176l4/view?usp=drivesdk","2429_HERMIN SETIYAWATI _ SERTIFIKAT BIMTEK IPASN BerAKHLASK")</f>
        <v>2429_HERMIN SETIYAWATI _ SERTIFIKAT BIMTEK IPASN BerAKHLASK</v>
      </c>
      <c r="P2430" s="5" t="s">
        <v>17667</v>
      </c>
      <c r="Q2430" s="5"/>
      <c r="R2430" s="5"/>
      <c r="S2430" s="5"/>
      <c r="T2430" s="5"/>
    </row>
    <row r="2431">
      <c r="A2431" s="4">
        <v>45534.34000431713</v>
      </c>
      <c r="B2431" s="5" t="s">
        <v>34</v>
      </c>
      <c r="D2431" s="5" t="s">
        <v>975</v>
      </c>
      <c r="E2431" s="5" t="s">
        <v>17688</v>
      </c>
      <c r="F2431" s="5" t="s">
        <v>37</v>
      </c>
      <c r="G2431" s="5" t="s">
        <v>17689</v>
      </c>
      <c r="H2431" s="6" t="s">
        <v>17690</v>
      </c>
      <c r="K2431" s="5" t="s">
        <v>17531</v>
      </c>
      <c r="M2431" s="5" t="s">
        <v>17691</v>
      </c>
      <c r="N2431" s="7" t="s">
        <v>17692</v>
      </c>
      <c r="O2431" s="8" t="str">
        <f>HYPERLINK("https://drive.google.com/file/d/1v7EQsaGWh6ZDjsFCVaxoq8tUZD5cDgka/view?usp=drivesdk","2430_STEPANUS GUNARDI _ SERTIFIKAT BIMTEK IPASN BerAKHLASK")</f>
        <v>2430_STEPANUS GUNARDI _ SERTIFIKAT BIMTEK IPASN BerAKHLASK</v>
      </c>
      <c r="P2431" s="5" t="s">
        <v>17667</v>
      </c>
      <c r="Q2431" s="5"/>
      <c r="R2431" s="5"/>
      <c r="S2431" s="5"/>
      <c r="T2431" s="5"/>
    </row>
    <row r="2432" hidden="1">
      <c r="A2432" s="4">
        <v>45534.34000467593</v>
      </c>
      <c r="B2432" s="5" t="s">
        <v>19</v>
      </c>
      <c r="C2432" s="5" t="s">
        <v>5564</v>
      </c>
      <c r="E2432" s="5" t="s">
        <v>17693</v>
      </c>
      <c r="F2432" s="5" t="s">
        <v>120</v>
      </c>
      <c r="G2432" s="5" t="s">
        <v>17694</v>
      </c>
      <c r="H2432" s="6" t="s">
        <v>17695</v>
      </c>
      <c r="K2432" s="5" t="s">
        <v>17531</v>
      </c>
      <c r="M2432" s="5" t="s">
        <v>17696</v>
      </c>
      <c r="N2432" s="7" t="s">
        <v>17697</v>
      </c>
      <c r="O2432" s="8" t="str">
        <f>HYPERLINK("https://drive.google.com/file/d/1BbCffoUNYXTWhKYzhJsy3ARvUJyx0uFf/view?usp=drivesdk","2431_SAMSUL FITRI  _ SERTIFIKAT BIMTEK IPASN BerAKHLASK")</f>
        <v>2431_SAMSUL FITRI  _ SERTIFIKAT BIMTEK IPASN BerAKHLASK</v>
      </c>
      <c r="P2432" s="5" t="s">
        <v>17698</v>
      </c>
      <c r="Q2432" s="5"/>
      <c r="R2432" s="5"/>
      <c r="S2432" s="5"/>
      <c r="T2432" s="5"/>
    </row>
    <row r="2433">
      <c r="A2433" s="4">
        <v>45534.34000493056</v>
      </c>
      <c r="B2433" s="5" t="s">
        <v>34</v>
      </c>
      <c r="D2433" s="5" t="s">
        <v>1206</v>
      </c>
      <c r="E2433" s="5" t="s">
        <v>17699</v>
      </c>
      <c r="F2433" s="5" t="s">
        <v>37</v>
      </c>
      <c r="G2433" s="5" t="s">
        <v>17700</v>
      </c>
      <c r="H2433" s="6" t="s">
        <v>17701</v>
      </c>
      <c r="K2433" s="5" t="s">
        <v>17531</v>
      </c>
      <c r="M2433" s="5" t="s">
        <v>17702</v>
      </c>
      <c r="N2433" s="7" t="s">
        <v>17703</v>
      </c>
      <c r="O2433" s="8" t="str">
        <f>HYPERLINK("https://drive.google.com/file/d/1qK8iawa-RlxkAid_KjP2GjLjS-tb8hCd/view?usp=drivesdk","2432_SUGESTI BAYU ASIH, Amd.Kep _ SERTIFIKAT BIMTEK IPASN BerAKHLASK")</f>
        <v>2432_SUGESTI BAYU ASIH, Amd.Kep _ SERTIFIKAT BIMTEK IPASN BerAKHLASK</v>
      </c>
      <c r="P2433" s="5" t="s">
        <v>17698</v>
      </c>
      <c r="Q2433" s="5"/>
      <c r="R2433" s="5"/>
      <c r="S2433" s="5"/>
      <c r="T2433" s="5"/>
    </row>
    <row r="2434">
      <c r="A2434" s="4">
        <v>45534.340007280094</v>
      </c>
      <c r="B2434" s="5" t="s">
        <v>34</v>
      </c>
      <c r="D2434" s="5" t="s">
        <v>522</v>
      </c>
      <c r="E2434" s="5" t="s">
        <v>17704</v>
      </c>
      <c r="F2434" s="5" t="s">
        <v>37</v>
      </c>
      <c r="G2434" s="5" t="s">
        <v>17705</v>
      </c>
      <c r="H2434" s="6" t="s">
        <v>17706</v>
      </c>
      <c r="K2434" s="5" t="s">
        <v>17531</v>
      </c>
      <c r="M2434" s="5" t="s">
        <v>17707</v>
      </c>
      <c r="N2434" s="7" t="s">
        <v>17708</v>
      </c>
      <c r="O2434" s="8" t="str">
        <f>HYPERLINK("https://drive.google.com/file/d/1g3jb2xxC4VZaN0tISCeSZtjFy_1-doin/view?usp=drivesdk","2433_ABDUL KHALIK, A.MD. _ SERTIFIKAT BIMTEK IPASN BerAKHLASK")</f>
        <v>2433_ABDUL KHALIK, A.MD. _ SERTIFIKAT BIMTEK IPASN BerAKHLASK</v>
      </c>
      <c r="P2434" s="5" t="s">
        <v>17698</v>
      </c>
      <c r="Q2434" s="5"/>
      <c r="R2434" s="5"/>
      <c r="S2434" s="5"/>
      <c r="T2434" s="5"/>
    </row>
    <row r="2435">
      <c r="A2435" s="4">
        <v>45534.34001652778</v>
      </c>
      <c r="B2435" s="5" t="s">
        <v>34</v>
      </c>
      <c r="D2435" s="5" t="s">
        <v>3849</v>
      </c>
      <c r="E2435" s="5" t="s">
        <v>17709</v>
      </c>
      <c r="F2435" s="5" t="s">
        <v>37</v>
      </c>
      <c r="G2435" s="5" t="s">
        <v>17710</v>
      </c>
      <c r="H2435" s="6" t="s">
        <v>17711</v>
      </c>
      <c r="K2435" s="5" t="s">
        <v>17531</v>
      </c>
      <c r="M2435" s="5" t="s">
        <v>17712</v>
      </c>
      <c r="N2435" s="7" t="s">
        <v>17713</v>
      </c>
      <c r="O2435" s="8" t="str">
        <f>HYPERLINK("https://drive.google.com/file/d/1bVvMjMsACDPaw3d5SRJn6pq8MgXwApLU/view?usp=drivesdk","2434_NANI ANGGRAENI, A.Md.Kep _ SERTIFIKAT BIMTEK IPASN BerAKHLASK")</f>
        <v>2434_NANI ANGGRAENI, A.Md.Kep _ SERTIFIKAT BIMTEK IPASN BerAKHLASK</v>
      </c>
      <c r="P2435" s="5" t="s">
        <v>17698</v>
      </c>
      <c r="Q2435" s="5"/>
      <c r="R2435" s="5"/>
      <c r="S2435" s="5"/>
      <c r="T2435" s="5"/>
    </row>
    <row r="2436">
      <c r="A2436" s="4">
        <v>45534.3400237037</v>
      </c>
      <c r="B2436" s="5" t="s">
        <v>34</v>
      </c>
      <c r="D2436" s="5" t="s">
        <v>280</v>
      </c>
      <c r="E2436" s="5" t="s">
        <v>17714</v>
      </c>
      <c r="F2436" s="5" t="s">
        <v>212</v>
      </c>
      <c r="G2436" s="5" t="s">
        <v>17715</v>
      </c>
      <c r="H2436" s="6" t="s">
        <v>17716</v>
      </c>
      <c r="K2436" s="5" t="s">
        <v>15807</v>
      </c>
      <c r="M2436" s="5" t="s">
        <v>17717</v>
      </c>
      <c r="N2436" s="7" t="s">
        <v>17718</v>
      </c>
      <c r="O2436" s="8" t="str">
        <f>HYPERLINK("https://drive.google.com/file/d/1p494i3wWqsZMViBBEPaZKWEwMeE015Sb/view?usp=drivesdk","2435_IZON PERMANA FITRA, S. Farm _ SERTIFIKAT BIMTEK IPASN BerAKHLASK")</f>
        <v>2435_IZON PERMANA FITRA, S. Farm _ SERTIFIKAT BIMTEK IPASN BerAKHLASK</v>
      </c>
      <c r="P2436" s="5" t="s">
        <v>17698</v>
      </c>
      <c r="Q2436" s="5"/>
      <c r="R2436" s="5"/>
      <c r="S2436" s="5"/>
      <c r="T2436" s="5"/>
    </row>
    <row r="2437">
      <c r="A2437" s="4">
        <v>45534.340031493055</v>
      </c>
      <c r="B2437" s="5" t="s">
        <v>34</v>
      </c>
      <c r="D2437" s="5" t="s">
        <v>2903</v>
      </c>
      <c r="E2437" s="5" t="s">
        <v>17719</v>
      </c>
      <c r="F2437" s="5" t="s">
        <v>524</v>
      </c>
      <c r="G2437" s="5" t="s">
        <v>17720</v>
      </c>
      <c r="H2437" s="6" t="s">
        <v>17721</v>
      </c>
      <c r="K2437" s="5" t="s">
        <v>15807</v>
      </c>
      <c r="M2437" s="5" t="s">
        <v>17722</v>
      </c>
      <c r="N2437" s="7" t="s">
        <v>17723</v>
      </c>
      <c r="O2437" s="8" t="str">
        <f>HYPERLINK("https://drive.google.com/file/d/1cxY5FJ8YQFC6XkY8SjvIaUNUGNcvOXg7/view?usp=drivesdk","2436_Ns.Radiya,S.Kep _ SERTIFIKAT BIMTEK IPASN BerAKHLASK")</f>
        <v>2436_Ns.Radiya,S.Kep _ SERTIFIKAT BIMTEK IPASN BerAKHLASK</v>
      </c>
      <c r="P2437" s="5" t="s">
        <v>17724</v>
      </c>
      <c r="Q2437" s="5"/>
      <c r="R2437" s="5"/>
      <c r="S2437" s="5"/>
      <c r="T2437" s="5"/>
    </row>
    <row r="2438">
      <c r="A2438" s="4">
        <v>45534.34003825231</v>
      </c>
      <c r="B2438" s="5" t="s">
        <v>34</v>
      </c>
      <c r="D2438" s="5" t="s">
        <v>4775</v>
      </c>
      <c r="E2438" s="5" t="s">
        <v>17725</v>
      </c>
      <c r="F2438" s="5" t="s">
        <v>212</v>
      </c>
      <c r="G2438" s="5" t="s">
        <v>17726</v>
      </c>
      <c r="H2438" s="6" t="s">
        <v>17727</v>
      </c>
      <c r="K2438" s="5" t="s">
        <v>15807</v>
      </c>
      <c r="M2438" s="5" t="s">
        <v>17728</v>
      </c>
      <c r="N2438" s="7" t="s">
        <v>17729</v>
      </c>
      <c r="O2438" s="8" t="str">
        <f>HYPERLINK("https://drive.google.com/file/d/1j-_exSpEAYhGg2avLUz73wzZm1I9c7AB/view?usp=drivesdk","2437_SOENOKO _ SERTIFIKAT BIMTEK IPASN BerAKHLASK")</f>
        <v>2437_SOENOKO _ SERTIFIKAT BIMTEK IPASN BerAKHLASK</v>
      </c>
      <c r="P2438" s="5" t="s">
        <v>17724</v>
      </c>
      <c r="Q2438" s="5"/>
      <c r="R2438" s="5"/>
      <c r="S2438" s="5"/>
      <c r="T2438" s="5"/>
    </row>
    <row r="2439">
      <c r="A2439" s="4">
        <v>45534.340040428244</v>
      </c>
      <c r="B2439" s="5" t="s">
        <v>34</v>
      </c>
      <c r="D2439" s="5" t="s">
        <v>4775</v>
      </c>
      <c r="E2439" s="5" t="s">
        <v>17730</v>
      </c>
      <c r="F2439" s="5" t="s">
        <v>328</v>
      </c>
      <c r="G2439" s="5" t="s">
        <v>17731</v>
      </c>
      <c r="H2439" s="6" t="s">
        <v>17732</v>
      </c>
      <c r="K2439" s="5" t="s">
        <v>15807</v>
      </c>
      <c r="M2439" s="5" t="s">
        <v>17733</v>
      </c>
      <c r="N2439" s="7" t="s">
        <v>17734</v>
      </c>
      <c r="O2439" s="8" t="str">
        <f>HYPERLINK("https://drive.google.com/file/d/1ajHciVJR3gsD137sFXfne3irqZbW0L93/view?usp=drivesdk","2438_TARBIAT _ SERTIFIKAT BIMTEK IPASN BerAKHLASK")</f>
        <v>2438_TARBIAT _ SERTIFIKAT BIMTEK IPASN BerAKHLASK</v>
      </c>
      <c r="P2439" s="5" t="s">
        <v>17724</v>
      </c>
      <c r="Q2439" s="5"/>
      <c r="R2439" s="5"/>
      <c r="S2439" s="5"/>
      <c r="T2439" s="5"/>
    </row>
    <row r="2440">
      <c r="A2440" s="4">
        <v>45534.34004402778</v>
      </c>
      <c r="B2440" s="5" t="s">
        <v>34</v>
      </c>
      <c r="D2440" s="5" t="s">
        <v>35</v>
      </c>
      <c r="E2440" s="5" t="s">
        <v>17735</v>
      </c>
      <c r="F2440" s="5" t="s">
        <v>715</v>
      </c>
      <c r="G2440" s="5" t="s">
        <v>17736</v>
      </c>
      <c r="H2440" s="6" t="s">
        <v>17737</v>
      </c>
      <c r="K2440" s="5" t="s">
        <v>15807</v>
      </c>
      <c r="M2440" s="5" t="s">
        <v>17738</v>
      </c>
      <c r="N2440" s="7" t="s">
        <v>17739</v>
      </c>
      <c r="O2440" s="8" t="str">
        <f>HYPERLINK("https://drive.google.com/file/d/10GVQjK30Uadwsr0sVOtSNCDt9RWZj0pl/view?usp=drivesdk","2439_HENDRA KOMARA, S.IP _ SERTIFIKAT BIMTEK IPASN BerAKHLASK")</f>
        <v>2439_HENDRA KOMARA, S.IP _ SERTIFIKAT BIMTEK IPASN BerAKHLASK</v>
      </c>
      <c r="P2440" s="5" t="s">
        <v>17724</v>
      </c>
      <c r="Q2440" s="5"/>
      <c r="R2440" s="5"/>
      <c r="S2440" s="5"/>
      <c r="T2440" s="5"/>
    </row>
    <row r="2441">
      <c r="A2441" s="4">
        <v>45534.34004418981</v>
      </c>
      <c r="B2441" s="5" t="s">
        <v>34</v>
      </c>
      <c r="D2441" s="5" t="s">
        <v>1768</v>
      </c>
      <c r="E2441" s="5" t="s">
        <v>17740</v>
      </c>
      <c r="F2441" s="5" t="s">
        <v>37</v>
      </c>
      <c r="G2441" s="5" t="s">
        <v>17741</v>
      </c>
      <c r="H2441" s="6" t="s">
        <v>17742</v>
      </c>
      <c r="K2441" s="5" t="s">
        <v>15807</v>
      </c>
      <c r="M2441" s="5" t="s">
        <v>17743</v>
      </c>
      <c r="N2441" s="7" t="s">
        <v>17744</v>
      </c>
      <c r="O2441" s="8" t="str">
        <f>HYPERLINK("https://drive.google.com/file/d/1ugsexKG9nvouQizZCHO_N1O7f5rVvmyX/view?usp=drivesdk","2440_AGUS PRIYONO _ SERTIFIKAT BIMTEK IPASN BerAKHLASK")</f>
        <v>2440_AGUS PRIYONO _ SERTIFIKAT BIMTEK IPASN BerAKHLASK</v>
      </c>
      <c r="P2441" s="5" t="s">
        <v>17724</v>
      </c>
      <c r="Q2441" s="5"/>
      <c r="R2441" s="5"/>
      <c r="S2441" s="5"/>
      <c r="T2441" s="5"/>
    </row>
    <row r="2442">
      <c r="A2442" s="4">
        <v>45534.34005306713</v>
      </c>
      <c r="B2442" s="5" t="s">
        <v>34</v>
      </c>
      <c r="D2442" s="5" t="s">
        <v>975</v>
      </c>
      <c r="E2442" s="5" t="s">
        <v>17745</v>
      </c>
      <c r="F2442" s="5" t="s">
        <v>37</v>
      </c>
      <c r="G2442" s="5" t="s">
        <v>17746</v>
      </c>
      <c r="H2442" s="6" t="s">
        <v>17747</v>
      </c>
      <c r="K2442" s="5" t="s">
        <v>15807</v>
      </c>
      <c r="M2442" s="5" t="s">
        <v>17748</v>
      </c>
      <c r="N2442" s="7" t="s">
        <v>17749</v>
      </c>
      <c r="O2442" s="8" t="str">
        <f>HYPERLINK("https://drive.google.com/file/d/1SEAOwmIvp51iJ9oXOlq_SmUB-bOXM9tx/view?usp=drivesdk","2441_NURALVIONITA H.,A.Md.Kep _ SERTIFIKAT BIMTEK IPASN BerAKHLASK")</f>
        <v>2441_NURALVIONITA H.,A.Md.Kep _ SERTIFIKAT BIMTEK IPASN BerAKHLASK</v>
      </c>
      <c r="P2442" s="5" t="s">
        <v>17750</v>
      </c>
      <c r="Q2442" s="5"/>
      <c r="R2442" s="5"/>
      <c r="S2442" s="5"/>
      <c r="T2442" s="5"/>
    </row>
    <row r="2443">
      <c r="A2443" s="4">
        <v>45534.3400558912</v>
      </c>
      <c r="B2443" s="5" t="s">
        <v>34</v>
      </c>
      <c r="D2443" s="5" t="s">
        <v>9020</v>
      </c>
      <c r="E2443" s="5" t="s">
        <v>17751</v>
      </c>
      <c r="F2443" s="5" t="s">
        <v>37</v>
      </c>
      <c r="G2443" s="5" t="s">
        <v>17752</v>
      </c>
      <c r="H2443" s="6" t="s">
        <v>17753</v>
      </c>
      <c r="K2443" s="5" t="s">
        <v>15807</v>
      </c>
      <c r="M2443" s="5" t="s">
        <v>17754</v>
      </c>
      <c r="N2443" s="7" t="s">
        <v>17755</v>
      </c>
      <c r="O2443" s="8" t="str">
        <f>HYPERLINK("https://drive.google.com/file/d/1olDlYhGIRCW10--Fnobq0gYpxSO1lt0W/view?usp=drivesdk","2442_Desi Natalia Tambunan _ SERTIFIKAT BIMTEK IPASN BerAKHLASK")</f>
        <v>2442_Desi Natalia Tambunan _ SERTIFIKAT BIMTEK IPASN BerAKHLASK</v>
      </c>
      <c r="P2443" s="5" t="s">
        <v>17750</v>
      </c>
      <c r="Q2443" s="5"/>
      <c r="R2443" s="5"/>
      <c r="S2443" s="5"/>
      <c r="T2443" s="5"/>
    </row>
    <row r="2444">
      <c r="A2444" s="4">
        <v>45534.3400153588</v>
      </c>
      <c r="B2444" s="5" t="s">
        <v>34</v>
      </c>
      <c r="D2444" s="5" t="s">
        <v>280</v>
      </c>
      <c r="E2444" s="5" t="s">
        <v>17756</v>
      </c>
      <c r="F2444" s="5" t="s">
        <v>375</v>
      </c>
      <c r="G2444" s="5" t="s">
        <v>17757</v>
      </c>
      <c r="H2444" s="6" t="s">
        <v>17758</v>
      </c>
      <c r="K2444" s="5" t="s">
        <v>15807</v>
      </c>
      <c r="M2444" s="5" t="s">
        <v>17759</v>
      </c>
      <c r="N2444" s="7" t="s">
        <v>17760</v>
      </c>
      <c r="O2444" s="8" t="str">
        <f>HYPERLINK("https://drive.google.com/file/d/1yuMzd3EVPe66s9ZHXdYymkouO1unvxN0/view?usp=drivesdk","2443_DRA HALIZA _ SERTIFIKAT BIMTEK IPASN BerAKHLASK")</f>
        <v>2443_DRA HALIZA _ SERTIFIKAT BIMTEK IPASN BerAKHLASK</v>
      </c>
      <c r="P2444" s="5" t="s">
        <v>17750</v>
      </c>
      <c r="Q2444" s="5"/>
      <c r="R2444" s="5"/>
      <c r="S2444" s="5"/>
      <c r="T2444" s="5"/>
    </row>
    <row r="2445">
      <c r="A2445" s="4">
        <v>45534.34001540509</v>
      </c>
      <c r="B2445" s="5" t="s">
        <v>34</v>
      </c>
      <c r="D2445" s="5" t="s">
        <v>996</v>
      </c>
      <c r="E2445" s="5" t="s">
        <v>17761</v>
      </c>
      <c r="F2445" s="5" t="s">
        <v>37</v>
      </c>
      <c r="G2445" s="5" t="s">
        <v>17762</v>
      </c>
      <c r="H2445" s="6" t="s">
        <v>17763</v>
      </c>
      <c r="K2445" s="5" t="s">
        <v>15807</v>
      </c>
      <c r="M2445" s="5" t="s">
        <v>17764</v>
      </c>
      <c r="N2445" s="7" t="s">
        <v>17765</v>
      </c>
      <c r="O2445" s="8" t="str">
        <f>HYPERLINK("https://drive.google.com/file/d/19C6biCsXCT_Beoyu2VB3yIMG69uiUCvo/view?usp=drivesdk","2444_YULIAN _ SERTIFIKAT BIMTEK IPASN BerAKHLASK")</f>
        <v>2444_YULIAN _ SERTIFIKAT BIMTEK IPASN BerAKHLASK</v>
      </c>
      <c r="P2445" s="5" t="s">
        <v>17750</v>
      </c>
      <c r="Q2445" s="5"/>
      <c r="R2445" s="5"/>
      <c r="S2445" s="5"/>
      <c r="T2445" s="5"/>
    </row>
    <row r="2446">
      <c r="A2446" s="4">
        <v>45534.34001746528</v>
      </c>
      <c r="B2446" s="5" t="s">
        <v>34</v>
      </c>
      <c r="D2446" s="5" t="s">
        <v>1206</v>
      </c>
      <c r="E2446" s="5" t="s">
        <v>17766</v>
      </c>
      <c r="F2446" s="5" t="s">
        <v>212</v>
      </c>
      <c r="G2446" s="5" t="s">
        <v>17767</v>
      </c>
      <c r="H2446" s="6" t="s">
        <v>17768</v>
      </c>
      <c r="K2446" s="5" t="s">
        <v>15807</v>
      </c>
      <c r="M2446" s="5" t="s">
        <v>17769</v>
      </c>
      <c r="N2446" s="7" t="s">
        <v>17770</v>
      </c>
      <c r="O2446" s="8" t="str">
        <f>HYPERLINK("https://drive.google.com/file/d/1Na9W45n3Y2z9RKOUgNt_cbt4ydRaJJsB/view?usp=drivesdk","2445_MAWARDI _ SERTIFIKAT BIMTEK IPASN BerAKHLASK")</f>
        <v>2445_MAWARDI _ SERTIFIKAT BIMTEK IPASN BerAKHLASK</v>
      </c>
      <c r="P2446" s="5" t="s">
        <v>17750</v>
      </c>
      <c r="Q2446" s="5"/>
      <c r="R2446" s="5"/>
      <c r="S2446" s="5"/>
      <c r="T2446" s="5"/>
    </row>
    <row r="2447">
      <c r="A2447" s="4">
        <v>45534.340058842594</v>
      </c>
      <c r="B2447" s="5" t="s">
        <v>34</v>
      </c>
      <c r="D2447" s="5" t="s">
        <v>35</v>
      </c>
      <c r="E2447" s="5" t="s">
        <v>17771</v>
      </c>
      <c r="F2447" s="5" t="s">
        <v>715</v>
      </c>
      <c r="G2447" s="5" t="s">
        <v>17772</v>
      </c>
      <c r="H2447" s="6" t="s">
        <v>17773</v>
      </c>
      <c r="K2447" s="5" t="s">
        <v>15807</v>
      </c>
      <c r="M2447" s="5" t="s">
        <v>17774</v>
      </c>
      <c r="N2447" s="7" t="s">
        <v>17775</v>
      </c>
      <c r="O2447" s="8" t="str">
        <f>HYPERLINK("https://drive.google.com/file/d/1hKd-5IoZoDnmyDE-QgEI8fOXjSiK9loY/view?usp=drivesdk","2446_ANWARUDIN  _ SERTIFIKAT BIMTEK IPASN BerAKHLASK")</f>
        <v>2446_ANWARUDIN  _ SERTIFIKAT BIMTEK IPASN BerAKHLASK</v>
      </c>
      <c r="P2447" s="5" t="s">
        <v>17776</v>
      </c>
      <c r="Q2447" s="5"/>
      <c r="R2447" s="5"/>
      <c r="S2447" s="5"/>
      <c r="T2447" s="5"/>
    </row>
    <row r="2448">
      <c r="A2448" s="4">
        <v>45534.34005917824</v>
      </c>
      <c r="B2448" s="5" t="s">
        <v>34</v>
      </c>
      <c r="D2448" s="5" t="s">
        <v>280</v>
      </c>
      <c r="E2448" s="5" t="s">
        <v>17777</v>
      </c>
      <c r="F2448" s="5" t="s">
        <v>72</v>
      </c>
      <c r="G2448" s="5" t="s">
        <v>12972</v>
      </c>
      <c r="H2448" s="6" t="s">
        <v>17778</v>
      </c>
      <c r="K2448" s="5" t="s">
        <v>15807</v>
      </c>
      <c r="M2448" s="5" t="s">
        <v>17779</v>
      </c>
      <c r="N2448" s="7" t="s">
        <v>17780</v>
      </c>
      <c r="O2448" s="8" t="str">
        <f>HYPERLINK("https://drive.google.com/file/d/1rhj6HDJsxCSDWV0ODhRPQXQOSaeN_Rm9/view?usp=drivesdk","2447_SUKAISI S.H _ SERTIFIKAT BIMTEK IPASN BerAKHLASK")</f>
        <v>2447_SUKAISI S.H _ SERTIFIKAT BIMTEK IPASN BerAKHLASK</v>
      </c>
      <c r="P2448" s="5" t="s">
        <v>17776</v>
      </c>
      <c r="Q2448" s="5"/>
      <c r="R2448" s="5"/>
      <c r="S2448" s="5"/>
      <c r="T2448" s="5"/>
    </row>
    <row r="2449">
      <c r="A2449" s="4">
        <v>45534.3400606713</v>
      </c>
      <c r="B2449" s="5" t="s">
        <v>34</v>
      </c>
      <c r="D2449" s="5" t="s">
        <v>4775</v>
      </c>
      <c r="E2449" s="5" t="s">
        <v>17781</v>
      </c>
      <c r="F2449" s="5" t="s">
        <v>37</v>
      </c>
      <c r="G2449" s="5" t="s">
        <v>17782</v>
      </c>
      <c r="H2449" s="6" t="s">
        <v>17783</v>
      </c>
      <c r="K2449" s="5" t="s">
        <v>15807</v>
      </c>
      <c r="M2449" s="5" t="s">
        <v>17784</v>
      </c>
      <c r="N2449" s="7" t="s">
        <v>17785</v>
      </c>
      <c r="O2449" s="8" t="str">
        <f>HYPERLINK("https://drive.google.com/file/d/1JGzWlt_IR4Koh6QK0-EgbrVP-DadU4wH/view?usp=drivesdk","2448_UMIROH,S.E _ SERTIFIKAT BIMTEK IPASN BerAKHLASK")</f>
        <v>2448_UMIROH,S.E _ SERTIFIKAT BIMTEK IPASN BerAKHLASK</v>
      </c>
      <c r="P2449" s="5" t="s">
        <v>17776</v>
      </c>
      <c r="Q2449" s="5"/>
      <c r="R2449" s="5"/>
      <c r="S2449" s="5"/>
      <c r="T2449" s="5"/>
    </row>
    <row r="2450">
      <c r="A2450" s="4">
        <v>45534.34007239583</v>
      </c>
      <c r="B2450" s="5" t="s">
        <v>34</v>
      </c>
      <c r="D2450" s="5" t="s">
        <v>4775</v>
      </c>
      <c r="E2450" s="5" t="s">
        <v>17786</v>
      </c>
      <c r="F2450" s="5" t="s">
        <v>212</v>
      </c>
      <c r="G2450" s="5" t="s">
        <v>17787</v>
      </c>
      <c r="H2450" s="6" t="s">
        <v>17788</v>
      </c>
      <c r="K2450" s="5" t="s">
        <v>15807</v>
      </c>
      <c r="M2450" s="5" t="s">
        <v>17789</v>
      </c>
      <c r="N2450" s="7" t="s">
        <v>17790</v>
      </c>
      <c r="O2450" s="8" t="str">
        <f>HYPERLINK("https://drive.google.com/file/d/1we1fcf6FQRRtZBrHljd2ZKuGg-BwE_yw/view?usp=drivesdk","2449_SULISTYANINGSIH _ SERTIFIKAT BIMTEK IPASN BerAKHLASK")</f>
        <v>2449_SULISTYANINGSIH _ SERTIFIKAT BIMTEK IPASN BerAKHLASK</v>
      </c>
      <c r="P2450" s="5" t="s">
        <v>17776</v>
      </c>
      <c r="Q2450" s="5"/>
      <c r="R2450" s="5"/>
      <c r="S2450" s="5"/>
      <c r="T2450" s="5"/>
    </row>
    <row r="2451">
      <c r="A2451" s="4">
        <v>45534.3400846875</v>
      </c>
      <c r="B2451" s="5" t="s">
        <v>34</v>
      </c>
      <c r="D2451" s="5" t="s">
        <v>1206</v>
      </c>
      <c r="E2451" s="5" t="s">
        <v>17791</v>
      </c>
      <c r="F2451" s="5" t="s">
        <v>37</v>
      </c>
      <c r="G2451" s="5" t="s">
        <v>17792</v>
      </c>
      <c r="H2451" s="6" t="s">
        <v>17793</v>
      </c>
      <c r="K2451" s="5" t="s">
        <v>15807</v>
      </c>
      <c r="M2451" s="5" t="s">
        <v>17794</v>
      </c>
      <c r="N2451" s="7" t="s">
        <v>17795</v>
      </c>
      <c r="O2451" s="8" t="str">
        <f>HYPERLINK("https://drive.google.com/file/d/1w6DYmzqo8mJUlHgjOngHvVpQUnd8DRss/view?usp=drivesdk","2450_EKO CAHYO BAYU PRIHANTO _ SERTIFIKAT BIMTEK IPASN BerAKHLASK")</f>
        <v>2450_EKO CAHYO BAYU PRIHANTO _ SERTIFIKAT BIMTEK IPASN BerAKHLASK</v>
      </c>
      <c r="P2451" s="5" t="s">
        <v>17776</v>
      </c>
      <c r="Q2451" s="5"/>
      <c r="R2451" s="5"/>
      <c r="S2451" s="5"/>
      <c r="T2451" s="5"/>
    </row>
    <row r="2452" hidden="1">
      <c r="A2452" s="4">
        <v>45534.34008710648</v>
      </c>
      <c r="B2452" s="5" t="s">
        <v>19</v>
      </c>
      <c r="C2452" s="5" t="s">
        <v>292</v>
      </c>
      <c r="E2452" s="5" t="s">
        <v>17796</v>
      </c>
      <c r="F2452" s="5" t="s">
        <v>72</v>
      </c>
      <c r="G2452" s="5" t="s">
        <v>17797</v>
      </c>
      <c r="H2452" s="6" t="s">
        <v>17798</v>
      </c>
      <c r="K2452" s="5" t="s">
        <v>15807</v>
      </c>
      <c r="M2452" s="5" t="s">
        <v>17799</v>
      </c>
      <c r="N2452" s="7" t="s">
        <v>17800</v>
      </c>
      <c r="O2452" s="8" t="str">
        <f>HYPERLINK("https://drive.google.com/file/d/1hX7-_lclG80G-sQWU8wGFGjeFABiJ7Qc/view?usp=drivesdk","2451_ILAH RATNA KOMALA, S.Pd _ SERTIFIKAT BIMTEK IPASN BerAKHLASK")</f>
        <v>2451_ILAH RATNA KOMALA, S.Pd _ SERTIFIKAT BIMTEK IPASN BerAKHLASK</v>
      </c>
      <c r="P2452" s="5" t="s">
        <v>17776</v>
      </c>
      <c r="Q2452" s="5"/>
      <c r="R2452" s="5"/>
      <c r="S2452" s="5"/>
      <c r="T2452" s="5"/>
    </row>
    <row r="2453" hidden="1">
      <c r="A2453" s="4">
        <v>45534.340061828705</v>
      </c>
      <c r="B2453" s="5" t="s">
        <v>19</v>
      </c>
      <c r="C2453" s="5" t="s">
        <v>1606</v>
      </c>
      <c r="E2453" s="5" t="s">
        <v>17801</v>
      </c>
      <c r="F2453" s="5" t="s">
        <v>524</v>
      </c>
      <c r="G2453" s="5" t="s">
        <v>17802</v>
      </c>
      <c r="H2453" s="6" t="s">
        <v>17803</v>
      </c>
      <c r="K2453" s="5" t="s">
        <v>15807</v>
      </c>
      <c r="M2453" s="5" t="s">
        <v>17804</v>
      </c>
      <c r="N2453" s="7" t="s">
        <v>17805</v>
      </c>
      <c r="O2453" s="8" t="str">
        <f>HYPERLINK("https://drive.google.com/file/d/1Ub59b2Hy8FpICS41LXIUe3zOhKREm68b/view?usp=drivesdk","2452_MUHAMAD HARUN SAPARJI _ SERTIFIKAT BIMTEK IPASN BerAKHLASK")</f>
        <v>2452_MUHAMAD HARUN SAPARJI _ SERTIFIKAT BIMTEK IPASN BerAKHLASK</v>
      </c>
      <c r="P2453" s="5" t="s">
        <v>17776</v>
      </c>
      <c r="Q2453" s="5"/>
      <c r="R2453" s="5"/>
      <c r="S2453" s="5"/>
      <c r="T2453" s="5"/>
    </row>
    <row r="2454">
      <c r="A2454" s="4">
        <v>45534.340091562495</v>
      </c>
      <c r="B2454" s="5" t="s">
        <v>34</v>
      </c>
      <c r="D2454" s="5" t="s">
        <v>6232</v>
      </c>
      <c r="E2454" s="5" t="s">
        <v>17806</v>
      </c>
      <c r="F2454" s="5" t="s">
        <v>120</v>
      </c>
      <c r="G2454" s="5" t="s">
        <v>17807</v>
      </c>
      <c r="H2454" s="6" t="s">
        <v>17808</v>
      </c>
      <c r="K2454" s="5" t="s">
        <v>15807</v>
      </c>
      <c r="M2454" s="5" t="s">
        <v>17809</v>
      </c>
      <c r="N2454" s="7" t="s">
        <v>17810</v>
      </c>
      <c r="O2454" s="8" t="str">
        <f>HYPERLINK("https://drive.google.com/file/d/17q3wiDqL6GTvE9-_moX4paI1WyxKWu07/view?usp=drivesdk","2453_RINI EKA SARI, S.Si. _ SERTIFIKAT BIMTEK IPASN BerAKHLASK")</f>
        <v>2453_RINI EKA SARI, S.Si. _ SERTIFIKAT BIMTEK IPASN BerAKHLASK</v>
      </c>
      <c r="P2454" s="5" t="s">
        <v>17811</v>
      </c>
      <c r="Q2454" s="5"/>
      <c r="R2454" s="5"/>
      <c r="S2454" s="5"/>
      <c r="T2454" s="5"/>
    </row>
    <row r="2455">
      <c r="A2455" s="4">
        <v>45534.3401062037</v>
      </c>
      <c r="B2455" s="5" t="s">
        <v>34</v>
      </c>
      <c r="D2455" s="5" t="s">
        <v>35</v>
      </c>
      <c r="E2455" s="5" t="s">
        <v>17812</v>
      </c>
      <c r="F2455" s="5" t="s">
        <v>37</v>
      </c>
      <c r="G2455" s="5" t="s">
        <v>17813</v>
      </c>
      <c r="H2455" s="6" t="s">
        <v>17814</v>
      </c>
      <c r="K2455" s="5" t="s">
        <v>15807</v>
      </c>
      <c r="M2455" s="5" t="s">
        <v>17815</v>
      </c>
      <c r="N2455" s="7" t="s">
        <v>17816</v>
      </c>
      <c r="O2455" s="8" t="str">
        <f>HYPERLINK("https://drive.google.com/file/d/16ck_qG80dmkKW4bVU3vsi8M1ircaTbb_/view?usp=drivesdk","2454_DEDI ZAIN  _ SERTIFIKAT BIMTEK IPASN BerAKHLASK")</f>
        <v>2454_DEDI ZAIN  _ SERTIFIKAT BIMTEK IPASN BerAKHLASK</v>
      </c>
      <c r="P2455" s="5" t="s">
        <v>17811</v>
      </c>
      <c r="Q2455" s="5"/>
      <c r="R2455" s="5"/>
      <c r="S2455" s="5"/>
      <c r="T2455" s="5"/>
    </row>
    <row r="2456">
      <c r="A2456" s="4">
        <v>45534.340110185185</v>
      </c>
      <c r="B2456" s="5" t="s">
        <v>34</v>
      </c>
      <c r="D2456" s="5" t="s">
        <v>2903</v>
      </c>
      <c r="E2456" s="5" t="s">
        <v>17817</v>
      </c>
      <c r="F2456" s="5" t="s">
        <v>22</v>
      </c>
      <c r="G2456" s="5" t="s">
        <v>17818</v>
      </c>
      <c r="H2456" s="6" t="s">
        <v>17819</v>
      </c>
      <c r="K2456" s="5" t="s">
        <v>15807</v>
      </c>
      <c r="M2456" s="5" t="s">
        <v>17820</v>
      </c>
      <c r="N2456" s="7" t="s">
        <v>17821</v>
      </c>
      <c r="O2456" s="8" t="str">
        <f>HYPERLINK("https://drive.google.com/file/d/1uL9VgyM-tMzd6loTf9GFaNQlhaJy9arA/view?usp=drivesdk","2455_YANTI, SE. _ SERTIFIKAT BIMTEK IPASN BerAKHLASK")</f>
        <v>2455_YANTI, SE. _ SERTIFIKAT BIMTEK IPASN BerAKHLASK</v>
      </c>
      <c r="P2456" s="5" t="s">
        <v>17811</v>
      </c>
      <c r="Q2456" s="5"/>
      <c r="R2456" s="5"/>
      <c r="S2456" s="5"/>
      <c r="T2456" s="5"/>
    </row>
    <row r="2457">
      <c r="A2457" s="4">
        <v>45534.340113136575</v>
      </c>
      <c r="B2457" s="5" t="s">
        <v>34</v>
      </c>
      <c r="D2457" s="5" t="s">
        <v>1206</v>
      </c>
      <c r="E2457" s="5" t="s">
        <v>10371</v>
      </c>
      <c r="F2457" s="5" t="s">
        <v>37</v>
      </c>
      <c r="G2457" s="5" t="s">
        <v>17822</v>
      </c>
      <c r="H2457" s="6" t="s">
        <v>17823</v>
      </c>
      <c r="K2457" s="5" t="s">
        <v>15807</v>
      </c>
      <c r="M2457" s="5" t="s">
        <v>17824</v>
      </c>
      <c r="N2457" s="7" t="s">
        <v>17825</v>
      </c>
      <c r="O2457" s="8" t="str">
        <f>HYPERLINK("https://drive.google.com/file/d/1D5PfCaybyrGveh6AuFj6iGvzUhVA_p3k/view?usp=drivesdk","2456_SULISTIYOWATI _ SERTIFIKAT BIMTEK IPASN BerAKHLASK")</f>
        <v>2456_SULISTIYOWATI _ SERTIFIKAT BIMTEK IPASN BerAKHLASK</v>
      </c>
      <c r="P2457" s="5" t="s">
        <v>17811</v>
      </c>
      <c r="Q2457" s="5"/>
      <c r="R2457" s="5"/>
      <c r="S2457" s="5"/>
      <c r="T2457" s="5"/>
    </row>
    <row r="2458">
      <c r="A2458" s="4">
        <v>45534.34011928241</v>
      </c>
      <c r="B2458" s="5" t="s">
        <v>34</v>
      </c>
      <c r="D2458" s="5" t="s">
        <v>522</v>
      </c>
      <c r="E2458" s="5" t="s">
        <v>17826</v>
      </c>
      <c r="F2458" s="5" t="s">
        <v>37</v>
      </c>
      <c r="G2458" s="5" t="s">
        <v>17827</v>
      </c>
      <c r="H2458" s="6" t="s">
        <v>17828</v>
      </c>
      <c r="K2458" s="5" t="s">
        <v>15807</v>
      </c>
      <c r="M2458" s="5" t="s">
        <v>17829</v>
      </c>
      <c r="N2458" s="7" t="s">
        <v>17830</v>
      </c>
      <c r="O2458" s="8" t="str">
        <f>HYPERLINK("https://drive.google.com/file/d/1kYi32JCfPo4eqpY5ZFb1-WFA157etPye/view?usp=drivesdk","2457_YAYAH ERMIKA SAPUTRI, A.Md. _ SERTIFIKAT BIMTEK IPASN BerAKHLASK")</f>
        <v>2457_YAYAH ERMIKA SAPUTRI, A.Md. _ SERTIFIKAT BIMTEK IPASN BerAKHLASK</v>
      </c>
      <c r="P2458" s="5" t="s">
        <v>17811</v>
      </c>
      <c r="Q2458" s="5"/>
      <c r="R2458" s="5"/>
      <c r="S2458" s="5"/>
      <c r="T2458" s="5"/>
    </row>
    <row r="2459">
      <c r="A2459" s="4">
        <v>45534.340120486115</v>
      </c>
      <c r="B2459" s="5" t="s">
        <v>34</v>
      </c>
      <c r="D2459" s="5" t="s">
        <v>3849</v>
      </c>
      <c r="E2459" s="5" t="s">
        <v>17831</v>
      </c>
      <c r="F2459" s="5" t="s">
        <v>524</v>
      </c>
      <c r="G2459" s="5" t="s">
        <v>17832</v>
      </c>
      <c r="H2459" s="6" t="s">
        <v>17833</v>
      </c>
      <c r="K2459" s="5" t="s">
        <v>15807</v>
      </c>
      <c r="M2459" s="5" t="s">
        <v>17834</v>
      </c>
      <c r="N2459" s="7" t="s">
        <v>17835</v>
      </c>
      <c r="O2459" s="8" t="str">
        <f>HYPERLINK("https://drive.google.com/file/d/1q7zGWmzjSsX3Fhy6gzJAD99ha5sdfM1-/view?usp=drivesdk","2458_IDA KOMARIA _ SERTIFIKAT BIMTEK IPASN BerAKHLASK")</f>
        <v>2458_IDA KOMARIA _ SERTIFIKAT BIMTEK IPASN BerAKHLASK</v>
      </c>
      <c r="P2459" s="5" t="s">
        <v>17811</v>
      </c>
      <c r="Q2459" s="5"/>
      <c r="R2459" s="5"/>
      <c r="S2459" s="5"/>
      <c r="T2459" s="5"/>
    </row>
    <row r="2460">
      <c r="A2460" s="4">
        <v>45534.34012577546</v>
      </c>
      <c r="B2460" s="5" t="s">
        <v>34</v>
      </c>
      <c r="D2460" s="5" t="s">
        <v>14313</v>
      </c>
      <c r="E2460" s="5" t="s">
        <v>17836</v>
      </c>
      <c r="F2460" s="5" t="s">
        <v>212</v>
      </c>
      <c r="G2460" s="5" t="s">
        <v>17837</v>
      </c>
      <c r="H2460" s="6" t="s">
        <v>17838</v>
      </c>
      <c r="K2460" s="5" t="s">
        <v>15807</v>
      </c>
      <c r="M2460" s="5" t="s">
        <v>17839</v>
      </c>
      <c r="N2460" s="7" t="s">
        <v>17840</v>
      </c>
      <c r="O2460" s="8" t="str">
        <f>HYPERLINK("https://drive.google.com/file/d/1om664ws1SAidqgRTxxFAudTmj6CVV0u6/view?usp=drivesdk","2459_MUHLIS  _ SERTIFIKAT BIMTEK IPASN BerAKHLASK")</f>
        <v>2459_MUHLIS  _ SERTIFIKAT BIMTEK IPASN BerAKHLASK</v>
      </c>
      <c r="P2460" s="5" t="s">
        <v>17841</v>
      </c>
      <c r="Q2460" s="5"/>
      <c r="R2460" s="5"/>
      <c r="S2460" s="5"/>
      <c r="T2460" s="5"/>
    </row>
    <row r="2461">
      <c r="A2461" s="4">
        <v>45534.34009574074</v>
      </c>
      <c r="B2461" s="5" t="s">
        <v>34</v>
      </c>
      <c r="D2461" s="5" t="s">
        <v>996</v>
      </c>
      <c r="E2461" s="5" t="s">
        <v>17842</v>
      </c>
      <c r="F2461" s="5" t="s">
        <v>212</v>
      </c>
      <c r="G2461" s="5" t="s">
        <v>17843</v>
      </c>
      <c r="H2461" s="6" t="s">
        <v>17844</v>
      </c>
      <c r="K2461" s="5" t="s">
        <v>15807</v>
      </c>
      <c r="M2461" s="5" t="s">
        <v>17845</v>
      </c>
      <c r="N2461" s="7" t="s">
        <v>17846</v>
      </c>
      <c r="O2461" s="8" t="str">
        <f>HYPERLINK("https://drive.google.com/file/d/1XaQRYolL5SkE3EB8CLuXYSwUGYB_R51U/view?usp=drivesdk","2460_I NYOMAN SUARDIKA _ SERTIFIKAT BIMTEK IPASN BerAKHLASK")</f>
        <v>2460_I NYOMAN SUARDIKA _ SERTIFIKAT BIMTEK IPASN BerAKHLASK</v>
      </c>
      <c r="P2461" s="5" t="s">
        <v>17841</v>
      </c>
      <c r="Q2461" s="5"/>
      <c r="R2461" s="5"/>
      <c r="S2461" s="5"/>
      <c r="T2461" s="5"/>
    </row>
    <row r="2462" hidden="1">
      <c r="A2462" s="4">
        <v>45534.340096562504</v>
      </c>
      <c r="B2462" s="5" t="s">
        <v>19</v>
      </c>
      <c r="C2462" s="5" t="s">
        <v>292</v>
      </c>
      <c r="E2462" s="5" t="s">
        <v>17847</v>
      </c>
      <c r="F2462" s="5" t="s">
        <v>37</v>
      </c>
      <c r="G2462" s="5" t="s">
        <v>17848</v>
      </c>
      <c r="H2462" s="6" t="s">
        <v>17849</v>
      </c>
      <c r="K2462" s="5" t="s">
        <v>15807</v>
      </c>
      <c r="M2462" s="5" t="s">
        <v>17850</v>
      </c>
      <c r="N2462" s="7" t="s">
        <v>17851</v>
      </c>
      <c r="O2462" s="8" t="str">
        <f>HYPERLINK("https://drive.google.com/file/d/1RABQcTAXGfmGZurToYDSlkFh7cmbagQn/view?usp=drivesdk","2461_ASEP FIRDAN A.M KEP _ SERTIFIKAT BIMTEK IPASN BerAKHLASK")</f>
        <v>2461_ASEP FIRDAN A.M KEP _ SERTIFIKAT BIMTEK IPASN BerAKHLASK</v>
      </c>
      <c r="P2462" s="5" t="s">
        <v>17841</v>
      </c>
      <c r="Q2462" s="5"/>
      <c r="R2462" s="5"/>
      <c r="S2462" s="5"/>
      <c r="T2462" s="5"/>
    </row>
    <row r="2463">
      <c r="A2463" s="4">
        <v>45534.34009773148</v>
      </c>
      <c r="B2463" s="5" t="s">
        <v>34</v>
      </c>
      <c r="D2463" s="5" t="s">
        <v>1206</v>
      </c>
      <c r="E2463" s="5" t="s">
        <v>17852</v>
      </c>
      <c r="F2463" s="5" t="s">
        <v>212</v>
      </c>
      <c r="G2463" s="5" t="s">
        <v>17853</v>
      </c>
      <c r="H2463" s="6" t="s">
        <v>17854</v>
      </c>
      <c r="K2463" s="5" t="s">
        <v>15807</v>
      </c>
      <c r="M2463" s="5" t="s">
        <v>17855</v>
      </c>
      <c r="N2463" s="7" t="s">
        <v>17856</v>
      </c>
      <c r="O2463" s="8" t="str">
        <f>HYPERLINK("https://drive.google.com/file/d/1E41RvjeOrGigvIAbg-Px6smdKCOztOUm/view?usp=drivesdk","2462_ACHMAD ARIFIN _ SERTIFIKAT BIMTEK IPASN BerAKHLASK")</f>
        <v>2462_ACHMAD ARIFIN _ SERTIFIKAT BIMTEK IPASN BerAKHLASK</v>
      </c>
      <c r="P2463" s="5" t="s">
        <v>17841</v>
      </c>
      <c r="Q2463" s="5"/>
      <c r="R2463" s="5"/>
      <c r="S2463" s="5"/>
      <c r="T2463" s="5"/>
    </row>
    <row r="2464">
      <c r="A2464" s="4">
        <v>45534.34013611111</v>
      </c>
      <c r="B2464" s="5" t="s">
        <v>34</v>
      </c>
      <c r="D2464" s="5" t="s">
        <v>35</v>
      </c>
      <c r="E2464" s="5" t="s">
        <v>17857</v>
      </c>
      <c r="F2464" s="5" t="s">
        <v>212</v>
      </c>
      <c r="G2464" s="5" t="s">
        <v>17858</v>
      </c>
      <c r="H2464" s="6" t="s">
        <v>17859</v>
      </c>
      <c r="K2464" s="5" t="s">
        <v>16801</v>
      </c>
      <c r="M2464" s="5" t="s">
        <v>17860</v>
      </c>
      <c r="N2464" s="7" t="s">
        <v>17861</v>
      </c>
      <c r="O2464" s="8" t="str">
        <f>HYPERLINK("https://drive.google.com/file/d/1nWJMBqScAdlHEiKgPd4o5X6nLOcxGncJ/view?usp=drivesdk","2463_HERLINA _ SERTIFIKAT BIMTEK IPASN BerAKHLASK")</f>
        <v>2463_HERLINA _ SERTIFIKAT BIMTEK IPASN BerAKHLASK</v>
      </c>
      <c r="P2464" s="5" t="s">
        <v>17841</v>
      </c>
      <c r="Q2464" s="5"/>
      <c r="R2464" s="5"/>
      <c r="S2464" s="5"/>
      <c r="T2464" s="5"/>
    </row>
    <row r="2465">
      <c r="A2465" s="4">
        <v>45534.34013953704</v>
      </c>
      <c r="B2465" s="5" t="s">
        <v>34</v>
      </c>
      <c r="D2465" s="5" t="s">
        <v>1206</v>
      </c>
      <c r="E2465" s="5" t="s">
        <v>17862</v>
      </c>
      <c r="F2465" s="5" t="s">
        <v>37</v>
      </c>
      <c r="G2465" s="5" t="s">
        <v>17863</v>
      </c>
      <c r="H2465" s="6" t="s">
        <v>17864</v>
      </c>
      <c r="K2465" s="5" t="s">
        <v>16801</v>
      </c>
      <c r="M2465" s="5" t="s">
        <v>17865</v>
      </c>
      <c r="N2465" s="7" t="s">
        <v>17866</v>
      </c>
      <c r="O2465" s="8" t="str">
        <f>HYPERLINK("https://drive.google.com/file/d/18DcNJTrzXloUurWmcgXPwwEGczM1apZX/view?usp=drivesdk","2464_DEWI RATNAWATI  _ SERTIFIKAT BIMTEK IPASN BerAKHLASK")</f>
        <v>2464_DEWI RATNAWATI  _ SERTIFIKAT BIMTEK IPASN BerAKHLASK</v>
      </c>
      <c r="P2465" s="5" t="s">
        <v>17841</v>
      </c>
      <c r="Q2465" s="5"/>
      <c r="R2465" s="5"/>
      <c r="S2465" s="5"/>
      <c r="T2465" s="5"/>
    </row>
    <row r="2466">
      <c r="A2466" s="4">
        <v>45534.34014655092</v>
      </c>
      <c r="B2466" s="5" t="s">
        <v>34</v>
      </c>
      <c r="D2466" s="5" t="s">
        <v>4775</v>
      </c>
      <c r="E2466" s="5" t="s">
        <v>17867</v>
      </c>
      <c r="F2466" s="5" t="s">
        <v>212</v>
      </c>
      <c r="G2466" s="5" t="s">
        <v>17868</v>
      </c>
      <c r="H2466" s="6" t="s">
        <v>17869</v>
      </c>
      <c r="K2466" s="5" t="s">
        <v>16801</v>
      </c>
      <c r="M2466" s="5" t="s">
        <v>17870</v>
      </c>
      <c r="N2466" s="7" t="s">
        <v>17871</v>
      </c>
      <c r="O2466" s="8" t="str">
        <f>HYPERLINK("https://drive.google.com/file/d/1HRNHsHG5sZhfvjpVtyI65rb4QQOfsZDW/view?usp=drivesdk","2465_ERY KURNIAWAN, A.Md. _ SERTIFIKAT BIMTEK IPASN BerAKHLASK")</f>
        <v>2465_ERY KURNIAWAN, A.Md. _ SERTIFIKAT BIMTEK IPASN BerAKHLASK</v>
      </c>
      <c r="P2466" s="5" t="s">
        <v>17872</v>
      </c>
      <c r="Q2466" s="5"/>
      <c r="R2466" s="5"/>
      <c r="S2466" s="5"/>
      <c r="T2466" s="5"/>
    </row>
    <row r="2467">
      <c r="A2467" s="4">
        <v>45534.34015079861</v>
      </c>
      <c r="B2467" s="5" t="s">
        <v>34</v>
      </c>
      <c r="D2467" s="5" t="s">
        <v>6232</v>
      </c>
      <c r="E2467" s="5" t="s">
        <v>17873</v>
      </c>
      <c r="F2467" s="5" t="s">
        <v>72</v>
      </c>
      <c r="G2467" s="5" t="s">
        <v>17874</v>
      </c>
      <c r="H2467" s="6" t="s">
        <v>17875</v>
      </c>
      <c r="K2467" s="5" t="s">
        <v>16801</v>
      </c>
      <c r="M2467" s="5" t="s">
        <v>17876</v>
      </c>
      <c r="N2467" s="7" t="s">
        <v>17877</v>
      </c>
      <c r="O2467" s="8" t="str">
        <f>HYPERLINK("https://drive.google.com/file/d/1Qot-aWGMedFxgFDhXBslSJymnfQOr9CY/view?usp=drivesdk","2466_SESMITA _ SERTIFIKAT BIMTEK IPASN BerAKHLASK")</f>
        <v>2466_SESMITA _ SERTIFIKAT BIMTEK IPASN BerAKHLASK</v>
      </c>
      <c r="P2467" s="5" t="s">
        <v>17872</v>
      </c>
      <c r="Q2467" s="5"/>
      <c r="R2467" s="5"/>
      <c r="S2467" s="5"/>
      <c r="T2467" s="5"/>
    </row>
    <row r="2468">
      <c r="A2468" s="4">
        <v>45534.34015609954</v>
      </c>
      <c r="B2468" s="5" t="s">
        <v>34</v>
      </c>
      <c r="D2468" s="5" t="s">
        <v>3849</v>
      </c>
      <c r="E2468" s="5" t="s">
        <v>17878</v>
      </c>
      <c r="F2468" s="5" t="s">
        <v>37</v>
      </c>
      <c r="G2468" s="5" t="s">
        <v>17879</v>
      </c>
      <c r="H2468" s="6" t="s">
        <v>17880</v>
      </c>
      <c r="K2468" s="5" t="s">
        <v>16801</v>
      </c>
      <c r="M2468" s="5" t="s">
        <v>17881</v>
      </c>
      <c r="N2468" s="7" t="s">
        <v>17882</v>
      </c>
      <c r="O2468" s="8" t="str">
        <f>HYPERLINK("https://drive.google.com/file/d/1h9KljfXoDVWqoHCB-fodmy162pYwHSAn/view?usp=drivesdk","2467_SRI DEWI _ SERTIFIKAT BIMTEK IPASN BerAKHLASK")</f>
        <v>2467_SRI DEWI _ SERTIFIKAT BIMTEK IPASN BerAKHLASK</v>
      </c>
      <c r="P2468" s="5" t="s">
        <v>17872</v>
      </c>
      <c r="Q2468" s="5"/>
      <c r="R2468" s="5"/>
      <c r="S2468" s="5"/>
      <c r="T2468" s="5"/>
    </row>
    <row r="2469">
      <c r="A2469" s="4">
        <v>45534.340156412036</v>
      </c>
      <c r="B2469" s="5" t="s">
        <v>34</v>
      </c>
      <c r="D2469" s="5" t="s">
        <v>1206</v>
      </c>
      <c r="E2469" s="5" t="s">
        <v>17883</v>
      </c>
      <c r="F2469" s="5" t="s">
        <v>37</v>
      </c>
      <c r="G2469" s="5" t="s">
        <v>17884</v>
      </c>
      <c r="H2469" s="6" t="s">
        <v>17885</v>
      </c>
      <c r="K2469" s="5" t="s">
        <v>16801</v>
      </c>
      <c r="M2469" s="5" t="s">
        <v>17886</v>
      </c>
      <c r="N2469" s="7" t="s">
        <v>17887</v>
      </c>
      <c r="O2469" s="8" t="str">
        <f>HYPERLINK("https://drive.google.com/file/d/1wKl2Y8e8mUebjKJGP7Lji7zqBnxXJRBH/view?usp=drivesdk","2468_SITI IMAROH _ SERTIFIKAT BIMTEK IPASN BerAKHLASK")</f>
        <v>2468_SITI IMAROH _ SERTIFIKAT BIMTEK IPASN BerAKHLASK</v>
      </c>
      <c r="P2469" s="5" t="s">
        <v>17872</v>
      </c>
      <c r="Q2469" s="5"/>
      <c r="R2469" s="5"/>
      <c r="S2469" s="5"/>
      <c r="T2469" s="5"/>
    </row>
    <row r="2470">
      <c r="A2470" s="4">
        <v>45534.34015695602</v>
      </c>
      <c r="B2470" s="5" t="s">
        <v>34</v>
      </c>
      <c r="D2470" s="5" t="s">
        <v>1768</v>
      </c>
      <c r="E2470" s="5" t="s">
        <v>17888</v>
      </c>
      <c r="F2470" s="5" t="s">
        <v>108</v>
      </c>
      <c r="G2470" s="5" t="s">
        <v>17889</v>
      </c>
      <c r="H2470" s="6" t="s">
        <v>17890</v>
      </c>
      <c r="K2470" s="5" t="s">
        <v>16801</v>
      </c>
      <c r="M2470" s="5" t="s">
        <v>17891</v>
      </c>
      <c r="N2470" s="7" t="s">
        <v>17892</v>
      </c>
      <c r="O2470" s="8" t="str">
        <f>HYPERLINK("https://drive.google.com/file/d/1FIoYnj9G81TrZd4GWOm4bS3ULVG8GqNh/view?usp=drivesdk","2469_BUNDA KASMI _ SERTIFIKAT BIMTEK IPASN BerAKHLASK")</f>
        <v>2469_BUNDA KASMI _ SERTIFIKAT BIMTEK IPASN BerAKHLASK</v>
      </c>
      <c r="P2470" s="5" t="s">
        <v>17893</v>
      </c>
      <c r="Q2470" s="5"/>
      <c r="R2470" s="5"/>
      <c r="S2470" s="5"/>
      <c r="T2470" s="5"/>
    </row>
    <row r="2471">
      <c r="A2471" s="4">
        <v>45534.34016122685</v>
      </c>
      <c r="B2471" s="5" t="s">
        <v>34</v>
      </c>
      <c r="D2471" s="5" t="s">
        <v>1206</v>
      </c>
      <c r="E2471" s="5" t="s">
        <v>17894</v>
      </c>
      <c r="F2471" s="5" t="s">
        <v>212</v>
      </c>
      <c r="G2471" s="5" t="s">
        <v>17895</v>
      </c>
      <c r="H2471" s="6" t="s">
        <v>17896</v>
      </c>
      <c r="K2471" s="5" t="s">
        <v>16801</v>
      </c>
      <c r="M2471" s="5" t="s">
        <v>17897</v>
      </c>
      <c r="N2471" s="7" t="s">
        <v>17898</v>
      </c>
      <c r="O2471" s="8" t="str">
        <f>HYPERLINK("https://drive.google.com/file/d/1dt3pvUkQQZMnJsTZr2jflmtInz39oica/view?usp=drivesdk","2470_ASIH DIAN ASMORO, S. A. P.  _ SERTIFIKAT BIMTEK IPASN BerAKHLASK")</f>
        <v>2470_ASIH DIAN ASMORO, S. A. P.  _ SERTIFIKAT BIMTEK IPASN BerAKHLASK</v>
      </c>
      <c r="P2471" s="5" t="s">
        <v>17893</v>
      </c>
      <c r="Q2471" s="5"/>
      <c r="R2471" s="5"/>
      <c r="S2471" s="5"/>
      <c r="T2471" s="5"/>
    </row>
    <row r="2472">
      <c r="A2472" s="4">
        <v>45534.34016438657</v>
      </c>
      <c r="B2472" s="5" t="s">
        <v>34</v>
      </c>
      <c r="D2472" s="5" t="s">
        <v>35</v>
      </c>
      <c r="E2472" s="5" t="s">
        <v>17899</v>
      </c>
      <c r="F2472" s="5" t="s">
        <v>72</v>
      </c>
      <c r="G2472" s="5" t="s">
        <v>17900</v>
      </c>
      <c r="H2472" s="6" t="s">
        <v>17901</v>
      </c>
      <c r="K2472" s="5" t="s">
        <v>16801</v>
      </c>
      <c r="M2472" s="5" t="s">
        <v>17902</v>
      </c>
      <c r="N2472" s="7" t="s">
        <v>17903</v>
      </c>
      <c r="O2472" s="8" t="str">
        <f>HYPERLINK("https://drive.google.com/file/d/1a-ZPFSid64L12uzHVRhOEYBCc1MUXLot/view?usp=drivesdk","2471_CITRA DEWI  _ SERTIFIKAT BIMTEK IPASN BerAKHLASK")</f>
        <v>2471_CITRA DEWI  _ SERTIFIKAT BIMTEK IPASN BerAKHLASK</v>
      </c>
      <c r="P2472" s="5" t="s">
        <v>17893</v>
      </c>
      <c r="Q2472" s="5"/>
      <c r="R2472" s="5"/>
      <c r="S2472" s="5"/>
      <c r="T2472" s="5"/>
    </row>
    <row r="2473">
      <c r="A2473" s="4">
        <v>45534.34016824074</v>
      </c>
      <c r="B2473" s="5" t="s">
        <v>34</v>
      </c>
      <c r="D2473" s="5" t="s">
        <v>12978</v>
      </c>
      <c r="E2473" s="5" t="s">
        <v>17904</v>
      </c>
      <c r="F2473" s="5" t="s">
        <v>212</v>
      </c>
      <c r="G2473" s="5" t="s">
        <v>17905</v>
      </c>
      <c r="H2473" s="6" t="s">
        <v>17906</v>
      </c>
      <c r="K2473" s="5" t="s">
        <v>16801</v>
      </c>
      <c r="M2473" s="5" t="s">
        <v>17907</v>
      </c>
      <c r="N2473" s="7" t="s">
        <v>17908</v>
      </c>
      <c r="O2473" s="8" t="str">
        <f>HYPERLINK("https://drive.google.com/file/d/1ycnD8dYZzbjyGJE0I3n4OaDQVaCQB4Mr/view?usp=drivesdk","2472_AHMAD SUSANTO, S.H. _ SERTIFIKAT BIMTEK IPASN BerAKHLASK")</f>
        <v>2472_AHMAD SUSANTO, S.H. _ SERTIFIKAT BIMTEK IPASN BerAKHLASK</v>
      </c>
      <c r="P2473" s="5" t="s">
        <v>17893</v>
      </c>
      <c r="Q2473" s="5"/>
      <c r="R2473" s="5"/>
      <c r="S2473" s="5"/>
      <c r="T2473" s="5"/>
    </row>
    <row r="2474">
      <c r="A2474" s="4">
        <v>45534.34017135417</v>
      </c>
      <c r="B2474" s="5" t="s">
        <v>34</v>
      </c>
      <c r="D2474" s="5" t="s">
        <v>1206</v>
      </c>
      <c r="E2474" s="5" t="s">
        <v>17909</v>
      </c>
      <c r="F2474" s="5" t="s">
        <v>212</v>
      </c>
      <c r="G2474" s="5" t="s">
        <v>17910</v>
      </c>
      <c r="H2474" s="6" t="s">
        <v>17911</v>
      </c>
      <c r="K2474" s="5" t="s">
        <v>16801</v>
      </c>
      <c r="M2474" s="5" t="s">
        <v>17912</v>
      </c>
      <c r="N2474" s="7" t="s">
        <v>17913</v>
      </c>
      <c r="O2474" s="8" t="str">
        <f>HYPERLINK("https://drive.google.com/file/d/1-jZeIIVrCR_eqe5LUgZdE_Ex9dvc1SqR/view?usp=drivesdk","2473_RIYANTONO.,S.H. _ SERTIFIKAT BIMTEK IPASN BerAKHLASK")</f>
        <v>2473_RIYANTONO.,S.H. _ SERTIFIKAT BIMTEK IPASN BerAKHLASK</v>
      </c>
      <c r="P2474" s="5" t="s">
        <v>17893</v>
      </c>
      <c r="Q2474" s="5"/>
      <c r="R2474" s="5"/>
      <c r="S2474" s="5"/>
      <c r="T2474" s="5"/>
    </row>
    <row r="2475">
      <c r="A2475" s="4">
        <v>45534.3401758449</v>
      </c>
      <c r="B2475" s="5" t="s">
        <v>34</v>
      </c>
      <c r="D2475" s="5" t="s">
        <v>4775</v>
      </c>
      <c r="E2475" s="5" t="s">
        <v>17914</v>
      </c>
      <c r="F2475" s="5" t="s">
        <v>37</v>
      </c>
      <c r="G2475" s="5" t="s">
        <v>17915</v>
      </c>
      <c r="H2475" s="6" t="s">
        <v>17916</v>
      </c>
      <c r="K2475" s="5" t="s">
        <v>16801</v>
      </c>
      <c r="M2475" s="5" t="s">
        <v>17917</v>
      </c>
      <c r="N2475" s="7" t="s">
        <v>17918</v>
      </c>
      <c r="O2475" s="8" t="str">
        <f>HYPERLINK("https://drive.google.com/file/d/1E2ZItHIril2y2FnkLPb4NVXU_FEEz_6h/view?usp=drivesdk","2474_DUWIK SANTOSO  _ SERTIFIKAT BIMTEK IPASN BerAKHLASK")</f>
        <v>2474_DUWIK SANTOSO  _ SERTIFIKAT BIMTEK IPASN BerAKHLASK</v>
      </c>
      <c r="P2475" s="5" t="s">
        <v>17919</v>
      </c>
      <c r="Q2475" s="5"/>
      <c r="R2475" s="5"/>
      <c r="S2475" s="5"/>
      <c r="T2475" s="5"/>
    </row>
    <row r="2476">
      <c r="A2476" s="4">
        <v>45534.340176134254</v>
      </c>
      <c r="B2476" s="5" t="s">
        <v>34</v>
      </c>
      <c r="D2476" s="5" t="s">
        <v>1206</v>
      </c>
      <c r="E2476" s="5" t="s">
        <v>17920</v>
      </c>
      <c r="F2476" s="5" t="s">
        <v>212</v>
      </c>
      <c r="G2476" s="5" t="s">
        <v>17921</v>
      </c>
      <c r="H2476" s="6" t="s">
        <v>17922</v>
      </c>
      <c r="K2476" s="5" t="s">
        <v>16801</v>
      </c>
      <c r="M2476" s="5" t="s">
        <v>17923</v>
      </c>
      <c r="N2476" s="7" t="s">
        <v>17924</v>
      </c>
      <c r="O2476" s="8" t="str">
        <f>HYPERLINK("https://drive.google.com/file/d/12z4SCoVgT7h1zdd22Az9TMG1p_cbZVld/view?usp=drivesdk","2475_NANIK SULISTYAWATI _ SERTIFIKAT BIMTEK IPASN BerAKHLASK")</f>
        <v>2475_NANIK SULISTYAWATI _ SERTIFIKAT BIMTEK IPASN BerAKHLASK</v>
      </c>
      <c r="P2476" s="5" t="s">
        <v>17919</v>
      </c>
      <c r="Q2476" s="5"/>
      <c r="R2476" s="5"/>
      <c r="S2476" s="5"/>
      <c r="T2476" s="5"/>
    </row>
    <row r="2477">
      <c r="A2477" s="4">
        <v>45534.34017804398</v>
      </c>
      <c r="B2477" s="5" t="s">
        <v>34</v>
      </c>
      <c r="D2477" s="5" t="s">
        <v>6232</v>
      </c>
      <c r="E2477" s="5" t="s">
        <v>17925</v>
      </c>
      <c r="F2477" s="5" t="s">
        <v>524</v>
      </c>
      <c r="G2477" s="5" t="s">
        <v>17926</v>
      </c>
      <c r="H2477" s="6" t="s">
        <v>17927</v>
      </c>
      <c r="K2477" s="5" t="s">
        <v>16801</v>
      </c>
      <c r="M2477" s="5" t="s">
        <v>17928</v>
      </c>
      <c r="N2477" s="7" t="s">
        <v>17929</v>
      </c>
      <c r="O2477" s="8" t="str">
        <f>HYPERLINK("https://drive.google.com/file/d/10Es6_7aD6qJDM4392pZW-kqZEzRBBNcY/view?usp=drivesdk","2476_HETTY MARINI  S kEP _ SERTIFIKAT BIMTEK IPASN BerAKHLASK")</f>
        <v>2476_HETTY MARINI  S kEP _ SERTIFIKAT BIMTEK IPASN BerAKHLASK</v>
      </c>
      <c r="P2477" s="5" t="s">
        <v>17919</v>
      </c>
      <c r="Q2477" s="5"/>
      <c r="R2477" s="5"/>
      <c r="S2477" s="5"/>
      <c r="T2477" s="5"/>
    </row>
    <row r="2478">
      <c r="A2478" s="4">
        <v>45534.34018150463</v>
      </c>
      <c r="B2478" s="5" t="s">
        <v>34</v>
      </c>
      <c r="D2478" s="5" t="s">
        <v>6232</v>
      </c>
      <c r="E2478" s="5" t="s">
        <v>17930</v>
      </c>
      <c r="F2478" s="5" t="s">
        <v>108</v>
      </c>
      <c r="G2478" s="5" t="s">
        <v>17931</v>
      </c>
      <c r="H2478" s="6" t="s">
        <v>17932</v>
      </c>
      <c r="K2478" s="5" t="s">
        <v>16801</v>
      </c>
      <c r="M2478" s="5" t="s">
        <v>17933</v>
      </c>
      <c r="N2478" s="7" t="s">
        <v>17934</v>
      </c>
      <c r="O2478" s="8" t="str">
        <f>HYPERLINK("https://drive.google.com/file/d/1sl6Z0OwTNHsY89AkZxT02C7U-Dyhmx5H/view?usp=drivesdk","2477_ROY EFFENDY, A.MD _ SERTIFIKAT BIMTEK IPASN BerAKHLASK")</f>
        <v>2477_ROY EFFENDY, A.MD _ SERTIFIKAT BIMTEK IPASN BerAKHLASK</v>
      </c>
      <c r="P2478" s="5" t="s">
        <v>17919</v>
      </c>
      <c r="Q2478" s="5"/>
      <c r="R2478" s="5"/>
      <c r="S2478" s="5"/>
      <c r="T2478" s="5"/>
    </row>
    <row r="2479">
      <c r="A2479" s="4">
        <v>45534.34018332176</v>
      </c>
      <c r="B2479" s="5" t="s">
        <v>34</v>
      </c>
      <c r="D2479" s="5" t="s">
        <v>35</v>
      </c>
      <c r="E2479" s="5" t="s">
        <v>17935</v>
      </c>
      <c r="F2479" s="5" t="s">
        <v>199</v>
      </c>
      <c r="G2479" s="5" t="s">
        <v>17936</v>
      </c>
      <c r="H2479" s="6" t="s">
        <v>17937</v>
      </c>
      <c r="K2479" s="5" t="s">
        <v>16801</v>
      </c>
      <c r="M2479" s="5" t="s">
        <v>17938</v>
      </c>
      <c r="N2479" s="7" t="s">
        <v>17939</v>
      </c>
      <c r="O2479" s="8" t="str">
        <f>HYPERLINK("https://drive.google.com/file/d/12vkWV1km-zmT2ruNvHH7L9p_RWiaUVKS/view?usp=drivesdk","2478_KADINA _ SERTIFIKAT BIMTEK IPASN BerAKHLASK")</f>
        <v>2478_KADINA _ SERTIFIKAT BIMTEK IPASN BerAKHLASK</v>
      </c>
      <c r="P2479" s="5" t="s">
        <v>17919</v>
      </c>
      <c r="Q2479" s="5"/>
      <c r="R2479" s="5"/>
      <c r="S2479" s="5"/>
      <c r="T2479" s="5"/>
    </row>
    <row r="2480">
      <c r="A2480" s="4">
        <v>45534.3401850463</v>
      </c>
      <c r="B2480" s="5" t="s">
        <v>34</v>
      </c>
      <c r="D2480" s="5" t="s">
        <v>701</v>
      </c>
      <c r="E2480" s="5" t="s">
        <v>17940</v>
      </c>
      <c r="F2480" s="5" t="s">
        <v>524</v>
      </c>
      <c r="G2480" s="5" t="s">
        <v>17941</v>
      </c>
      <c r="H2480" s="6" t="s">
        <v>17942</v>
      </c>
      <c r="K2480" s="5" t="s">
        <v>16801</v>
      </c>
      <c r="M2480" s="5" t="s">
        <v>17943</v>
      </c>
      <c r="N2480" s="7" t="s">
        <v>17944</v>
      </c>
      <c r="O2480" s="8" t="str">
        <f>HYPERLINK("https://drive.google.com/file/d/1RTZWHWga26q5cgxpVjeiuKOqq41RzPFy/view?usp=drivesdk","2479_HAKIM ATA ATTATURK, S.T. _ SERTIFIKAT BIMTEK IPASN BerAKHLASK")</f>
        <v>2479_HAKIM ATA ATTATURK, S.T. _ SERTIFIKAT BIMTEK IPASN BerAKHLASK</v>
      </c>
      <c r="P2480" s="5" t="s">
        <v>17945</v>
      </c>
      <c r="Q2480" s="5"/>
      <c r="R2480" s="5"/>
      <c r="S2480" s="5"/>
      <c r="T2480" s="5"/>
    </row>
    <row r="2481">
      <c r="A2481" s="4">
        <v>45534.340190752315</v>
      </c>
      <c r="B2481" s="5" t="s">
        <v>34</v>
      </c>
      <c r="D2481" s="5" t="s">
        <v>4775</v>
      </c>
      <c r="E2481" s="5" t="s">
        <v>17946</v>
      </c>
      <c r="F2481" s="5" t="s">
        <v>72</v>
      </c>
      <c r="G2481" s="5" t="s">
        <v>17947</v>
      </c>
      <c r="H2481" s="6" t="s">
        <v>17948</v>
      </c>
      <c r="K2481" s="5" t="s">
        <v>16801</v>
      </c>
      <c r="M2481" s="5" t="s">
        <v>17949</v>
      </c>
      <c r="N2481" s="7" t="s">
        <v>17950</v>
      </c>
      <c r="O2481" s="8" t="str">
        <f>HYPERLINK("https://drive.google.com/file/d/18LbEKQlImdFwFrngwxeCWrfkgxwTlaHT/view?usp=drivesdk","2480_SRI SUGIARTI, A.MD _ SERTIFIKAT BIMTEK IPASN BerAKHLASK")</f>
        <v>2480_SRI SUGIARTI, A.MD _ SERTIFIKAT BIMTEK IPASN BerAKHLASK</v>
      </c>
      <c r="P2481" s="5" t="s">
        <v>17945</v>
      </c>
      <c r="Q2481" s="5"/>
      <c r="R2481" s="5"/>
      <c r="S2481" s="5"/>
      <c r="T2481" s="5"/>
    </row>
    <row r="2482">
      <c r="A2482" s="4">
        <v>45534.34019621528</v>
      </c>
      <c r="B2482" s="5" t="s">
        <v>34</v>
      </c>
      <c r="D2482" s="5" t="s">
        <v>4775</v>
      </c>
      <c r="E2482" s="5" t="s">
        <v>17951</v>
      </c>
      <c r="F2482" s="5" t="s">
        <v>72</v>
      </c>
      <c r="G2482" s="5" t="s">
        <v>17952</v>
      </c>
      <c r="H2482" s="6" t="s">
        <v>17953</v>
      </c>
      <c r="K2482" s="5" t="s">
        <v>16801</v>
      </c>
      <c r="M2482" s="5" t="s">
        <v>17954</v>
      </c>
      <c r="N2482" s="7" t="s">
        <v>17955</v>
      </c>
      <c r="O2482" s="8" t="str">
        <f>HYPERLINK("https://drive.google.com/file/d/10Pte2XvEeH3uKxtoobz-aCiuNuuGBVfc/view?usp=drivesdk","2481_DR. AMALIA ANITA HAWAS, M.SC. _ SERTIFIKAT BIMTEK IPASN BerAKHLASK")</f>
        <v>2481_DR. AMALIA ANITA HAWAS, M.SC. _ SERTIFIKAT BIMTEK IPASN BerAKHLASK</v>
      </c>
      <c r="P2482" s="5" t="s">
        <v>17945</v>
      </c>
      <c r="Q2482" s="5"/>
      <c r="R2482" s="5"/>
      <c r="S2482" s="5"/>
      <c r="T2482" s="5"/>
    </row>
    <row r="2483">
      <c r="A2483" s="4">
        <v>45534.34019798611</v>
      </c>
      <c r="B2483" s="5" t="s">
        <v>34</v>
      </c>
      <c r="D2483" s="5" t="s">
        <v>267</v>
      </c>
      <c r="E2483" s="5" t="s">
        <v>17956</v>
      </c>
      <c r="F2483" s="5" t="s">
        <v>212</v>
      </c>
      <c r="G2483" s="5" t="s">
        <v>17957</v>
      </c>
      <c r="H2483" s="6" t="s">
        <v>17958</v>
      </c>
      <c r="K2483" s="5" t="s">
        <v>16801</v>
      </c>
      <c r="M2483" s="5" t="s">
        <v>17959</v>
      </c>
      <c r="N2483" s="7" t="s">
        <v>17960</v>
      </c>
      <c r="O2483" s="8" t="str">
        <f>HYPERLINK("https://drive.google.com/file/d/1V8hUn_IFFtgFm5oHfjgCR1e14sgQQXjT/view?usp=drivesdk","2482_BARIYEM _ SERTIFIKAT BIMTEK IPASN BerAKHLASK")</f>
        <v>2482_BARIYEM _ SERTIFIKAT BIMTEK IPASN BerAKHLASK</v>
      </c>
      <c r="P2483" s="5" t="s">
        <v>17945</v>
      </c>
      <c r="Q2483" s="5"/>
      <c r="R2483" s="5"/>
      <c r="S2483" s="5"/>
      <c r="T2483" s="5"/>
    </row>
    <row r="2484">
      <c r="A2484" s="4">
        <v>45534.340199293976</v>
      </c>
      <c r="B2484" s="5" t="s">
        <v>34</v>
      </c>
      <c r="D2484" s="5" t="s">
        <v>35</v>
      </c>
      <c r="E2484" s="5" t="s">
        <v>17961</v>
      </c>
      <c r="F2484" s="5" t="s">
        <v>212</v>
      </c>
      <c r="G2484" s="5" t="s">
        <v>17962</v>
      </c>
      <c r="H2484" s="6" t="s">
        <v>17963</v>
      </c>
      <c r="K2484" s="5" t="s">
        <v>16801</v>
      </c>
      <c r="M2484" s="5" t="s">
        <v>17964</v>
      </c>
      <c r="N2484" s="7" t="s">
        <v>17965</v>
      </c>
      <c r="O2484" s="8" t="str">
        <f>HYPERLINK("https://drive.google.com/file/d/1oVudrp-zZw1PRtAQCMyHVco1b2U2utKP/view?usp=drivesdk","2483_SITI JUARIAH _ SERTIFIKAT BIMTEK IPASN BerAKHLASK")</f>
        <v>2483_SITI JUARIAH _ SERTIFIKAT BIMTEK IPASN BerAKHLASK</v>
      </c>
      <c r="P2484" s="5" t="s">
        <v>17945</v>
      </c>
      <c r="Q2484" s="5"/>
      <c r="R2484" s="5"/>
      <c r="S2484" s="5"/>
      <c r="T2484" s="5"/>
    </row>
    <row r="2485">
      <c r="A2485" s="4">
        <v>45534.34019872685</v>
      </c>
      <c r="B2485" s="5" t="s">
        <v>34</v>
      </c>
      <c r="D2485" s="5" t="s">
        <v>35</v>
      </c>
      <c r="E2485" s="5" t="s">
        <v>17966</v>
      </c>
      <c r="F2485" s="5" t="s">
        <v>375</v>
      </c>
      <c r="G2485" s="5" t="s">
        <v>17967</v>
      </c>
      <c r="H2485" s="6" t="s">
        <v>17968</v>
      </c>
      <c r="K2485" s="5" t="s">
        <v>16801</v>
      </c>
      <c r="M2485" s="5" t="s">
        <v>17969</v>
      </c>
      <c r="N2485" s="7" t="s">
        <v>17970</v>
      </c>
      <c r="O2485" s="8" t="str">
        <f>HYPERLINK("https://drive.google.com/file/d/1Q2MxnNtTtmeq6igy-dUGoz3SCn0-XdWo/view?usp=drivesdk","2484_HASAN BISRI, SAG _ SERTIFIKAT BIMTEK IPASN BerAKHLASK")</f>
        <v>2484_HASAN BISRI, SAG _ SERTIFIKAT BIMTEK IPASN BerAKHLASK</v>
      </c>
      <c r="P2485" s="5" t="s">
        <v>17971</v>
      </c>
      <c r="Q2485" s="5"/>
      <c r="R2485" s="5"/>
      <c r="S2485" s="5"/>
      <c r="T2485" s="5"/>
    </row>
    <row r="2486">
      <c r="A2486" s="4">
        <v>45534.34020089121</v>
      </c>
      <c r="B2486" s="5" t="s">
        <v>34</v>
      </c>
      <c r="D2486" s="5" t="s">
        <v>9394</v>
      </c>
      <c r="E2486" s="5" t="s">
        <v>17972</v>
      </c>
      <c r="F2486" s="5" t="s">
        <v>212</v>
      </c>
      <c r="G2486" s="5" t="s">
        <v>17973</v>
      </c>
      <c r="H2486" s="6" t="s">
        <v>17974</v>
      </c>
      <c r="K2486" s="5" t="s">
        <v>16801</v>
      </c>
      <c r="M2486" s="5" t="s">
        <v>17975</v>
      </c>
      <c r="N2486" s="7" t="s">
        <v>17976</v>
      </c>
      <c r="O2486" s="8" t="str">
        <f>HYPERLINK("https://drive.google.com/file/d/1VsAHkl_tWImDjj1z33q4rD56CHS6-S6-/view?usp=drivesdk","2485_HELDANITA _ SERTIFIKAT BIMTEK IPASN BerAKHLASK")</f>
        <v>2485_HELDANITA _ SERTIFIKAT BIMTEK IPASN BerAKHLASK</v>
      </c>
      <c r="P2486" s="5" t="s">
        <v>17971</v>
      </c>
      <c r="Q2486" s="5"/>
      <c r="R2486" s="5"/>
      <c r="S2486" s="5"/>
      <c r="T2486" s="5"/>
    </row>
    <row r="2487">
      <c r="A2487" s="4">
        <v>45534.340212372685</v>
      </c>
      <c r="B2487" s="5" t="s">
        <v>34</v>
      </c>
      <c r="D2487" s="5" t="s">
        <v>14313</v>
      </c>
      <c r="E2487" s="5" t="s">
        <v>17977</v>
      </c>
      <c r="F2487" s="5" t="s">
        <v>715</v>
      </c>
      <c r="G2487" s="5" t="s">
        <v>17978</v>
      </c>
      <c r="H2487" s="6" t="s">
        <v>17979</v>
      </c>
      <c r="K2487" s="5" t="s">
        <v>16801</v>
      </c>
      <c r="M2487" s="5" t="s">
        <v>17980</v>
      </c>
      <c r="N2487" s="7" t="s">
        <v>17981</v>
      </c>
      <c r="O2487" s="8" t="str">
        <f>HYPERLINK("https://drive.google.com/file/d/1FHwGgyw6Z-rSmz8UIslPJdXhUh4c38Qa/view?usp=drivesdk","2486_Muhammad Alwi A.Md.Com _ SERTIFIKAT BIMTEK IPASN BerAKHLASK")</f>
        <v>2486_Muhammad Alwi A.Md.Com _ SERTIFIKAT BIMTEK IPASN BerAKHLASK</v>
      </c>
      <c r="P2487" s="5" t="s">
        <v>17971</v>
      </c>
      <c r="Q2487" s="5"/>
      <c r="R2487" s="5"/>
      <c r="S2487" s="5"/>
      <c r="T2487" s="5"/>
    </row>
    <row r="2488">
      <c r="A2488" s="4">
        <v>45534.34023130787</v>
      </c>
      <c r="B2488" s="5" t="s">
        <v>34</v>
      </c>
      <c r="D2488" s="5" t="s">
        <v>3849</v>
      </c>
      <c r="E2488" s="5" t="s">
        <v>17982</v>
      </c>
      <c r="F2488" s="5" t="s">
        <v>37</v>
      </c>
      <c r="G2488" s="5" t="s">
        <v>17983</v>
      </c>
      <c r="H2488" s="6" t="s">
        <v>17984</v>
      </c>
      <c r="K2488" s="5" t="s">
        <v>16801</v>
      </c>
      <c r="M2488" s="5" t="s">
        <v>17985</v>
      </c>
      <c r="N2488" s="7" t="s">
        <v>17986</v>
      </c>
      <c r="O2488" s="8" t="str">
        <f>HYPERLINK("https://drive.google.com/file/d/1wF2GMF-O3C9XrJcEQfsWvCGYPBpqmKKE/view?usp=drivesdk","2487_SUPRIYADI, AMK _ SERTIFIKAT BIMTEK IPASN BerAKHLASK")</f>
        <v>2487_SUPRIYADI, AMK _ SERTIFIKAT BIMTEK IPASN BerAKHLASK</v>
      </c>
      <c r="P2488" s="5" t="s">
        <v>17971</v>
      </c>
      <c r="Q2488" s="5"/>
      <c r="R2488" s="5"/>
      <c r="S2488" s="5"/>
      <c r="T2488" s="5"/>
    </row>
    <row r="2489">
      <c r="A2489" s="4">
        <v>45534.34023184028</v>
      </c>
      <c r="B2489" s="5" t="s">
        <v>34</v>
      </c>
      <c r="D2489" s="5" t="s">
        <v>1206</v>
      </c>
      <c r="E2489" s="5" t="s">
        <v>17987</v>
      </c>
      <c r="F2489" s="5" t="s">
        <v>212</v>
      </c>
      <c r="G2489" s="5" t="s">
        <v>17988</v>
      </c>
      <c r="H2489" s="6" t="s">
        <v>17989</v>
      </c>
      <c r="K2489" s="5" t="s">
        <v>16801</v>
      </c>
      <c r="M2489" s="5" t="s">
        <v>17990</v>
      </c>
      <c r="N2489" s="7" t="s">
        <v>17991</v>
      </c>
      <c r="O2489" s="8" t="str">
        <f>HYPERLINK("https://drive.google.com/file/d/163hA2GUPb4_Gp1vCrSs7Z7NOQLF1bUEr/view?usp=drivesdk","2488_SRINATUN _ SERTIFIKAT BIMTEK IPASN BerAKHLASK")</f>
        <v>2488_SRINATUN _ SERTIFIKAT BIMTEK IPASN BerAKHLASK</v>
      </c>
      <c r="P2489" s="5" t="s">
        <v>17992</v>
      </c>
      <c r="Q2489" s="5"/>
      <c r="R2489" s="5"/>
      <c r="S2489" s="5"/>
      <c r="T2489" s="5"/>
    </row>
    <row r="2490">
      <c r="A2490" s="4">
        <v>45534.34023194444</v>
      </c>
      <c r="B2490" s="5" t="s">
        <v>34</v>
      </c>
      <c r="D2490" s="5" t="s">
        <v>35</v>
      </c>
      <c r="E2490" s="5" t="s">
        <v>17993</v>
      </c>
      <c r="F2490" s="5" t="s">
        <v>524</v>
      </c>
      <c r="G2490" s="5" t="s">
        <v>17994</v>
      </c>
      <c r="H2490" s="6" t="s">
        <v>17995</v>
      </c>
      <c r="K2490" s="5" t="s">
        <v>16801</v>
      </c>
      <c r="M2490" s="5" t="s">
        <v>17996</v>
      </c>
      <c r="N2490" s="7" t="s">
        <v>17997</v>
      </c>
      <c r="O2490" s="8" t="str">
        <f>HYPERLINK("https://drive.google.com/file/d/1DB_zPmg0bvOO_F38fv2-6zlZRUCG7bLo/view?usp=drivesdk","2489_ENI MULYANI _ SERTIFIKAT BIMTEK IPASN BerAKHLASK")</f>
        <v>2489_ENI MULYANI _ SERTIFIKAT BIMTEK IPASN BerAKHLASK</v>
      </c>
      <c r="P2490" s="5" t="s">
        <v>17992</v>
      </c>
      <c r="Q2490" s="5"/>
      <c r="R2490" s="5"/>
      <c r="S2490" s="5"/>
      <c r="T2490" s="5"/>
    </row>
    <row r="2491">
      <c r="A2491" s="4">
        <v>45534.340234930554</v>
      </c>
      <c r="B2491" s="5" t="s">
        <v>34</v>
      </c>
      <c r="D2491" s="5" t="s">
        <v>4775</v>
      </c>
      <c r="E2491" s="5" t="s">
        <v>17998</v>
      </c>
      <c r="F2491" s="5" t="s">
        <v>72</v>
      </c>
      <c r="G2491" s="5" t="s">
        <v>17999</v>
      </c>
      <c r="H2491" s="6" t="s">
        <v>18000</v>
      </c>
      <c r="K2491" s="5" t="s">
        <v>16801</v>
      </c>
      <c r="M2491" s="5" t="s">
        <v>18001</v>
      </c>
      <c r="N2491" s="7" t="s">
        <v>18002</v>
      </c>
      <c r="O2491" s="8" t="str">
        <f>HYPERLINK("https://drive.google.com/file/d/1AAcRBnvOzvqXq-qo48VfzdtMTrSIVjf9/view?usp=drivesdk","2490_MULYATMI,S.Pd. _ SERTIFIKAT BIMTEK IPASN BerAKHLASK")</f>
        <v>2490_MULYATMI,S.Pd. _ SERTIFIKAT BIMTEK IPASN BerAKHLASK</v>
      </c>
      <c r="P2491" s="5" t="s">
        <v>17992</v>
      </c>
      <c r="Q2491" s="5"/>
      <c r="R2491" s="5"/>
      <c r="S2491" s="5"/>
      <c r="T2491" s="5"/>
    </row>
    <row r="2492">
      <c r="A2492" s="4">
        <v>45534.340238599536</v>
      </c>
      <c r="B2492" s="5" t="s">
        <v>34</v>
      </c>
      <c r="D2492" s="5" t="s">
        <v>7858</v>
      </c>
      <c r="E2492" s="5" t="s">
        <v>18003</v>
      </c>
      <c r="F2492" s="5" t="s">
        <v>37</v>
      </c>
      <c r="G2492" s="5" t="s">
        <v>18004</v>
      </c>
      <c r="H2492" s="6" t="s">
        <v>18005</v>
      </c>
      <c r="K2492" s="5" t="s">
        <v>16801</v>
      </c>
      <c r="M2492" s="5" t="s">
        <v>18006</v>
      </c>
      <c r="N2492" s="7" t="s">
        <v>18007</v>
      </c>
      <c r="O2492" s="8" t="str">
        <f>HYPERLINK("https://drive.google.com/file/d/1k3_SWGj1RPf9tpqDyoC_1JjhWu3KUy3x/view?usp=drivesdk","2491_SUWARGIYATI, S.H _ SERTIFIKAT BIMTEK IPASN BerAKHLASK")</f>
        <v>2491_SUWARGIYATI, S.H _ SERTIFIKAT BIMTEK IPASN BerAKHLASK</v>
      </c>
      <c r="P2492" s="5" t="s">
        <v>17992</v>
      </c>
      <c r="Q2492" s="5"/>
      <c r="R2492" s="5"/>
      <c r="S2492" s="5"/>
      <c r="T2492" s="5"/>
    </row>
    <row r="2493">
      <c r="A2493" s="4">
        <v>45534.34020269676</v>
      </c>
      <c r="B2493" s="5" t="s">
        <v>34</v>
      </c>
      <c r="D2493" s="5" t="s">
        <v>701</v>
      </c>
      <c r="E2493" s="5" t="s">
        <v>18008</v>
      </c>
      <c r="F2493" s="5" t="s">
        <v>37</v>
      </c>
      <c r="G2493" s="5" t="s">
        <v>18009</v>
      </c>
      <c r="H2493" s="6" t="s">
        <v>18010</v>
      </c>
      <c r="K2493" s="5" t="s">
        <v>16801</v>
      </c>
      <c r="M2493" s="5" t="s">
        <v>18011</v>
      </c>
      <c r="N2493" s="7" t="s">
        <v>18012</v>
      </c>
      <c r="O2493" s="8" t="str">
        <f>HYPERLINK("https://drive.google.com/file/d/1EehQFLl3jXh38Aifpwzgb45uO_lRGm76/view?usp=drivesdk","2492_YANCE ABRAT _ SERTIFIKAT BIMTEK IPASN BerAKHLASK")</f>
        <v>2492_YANCE ABRAT _ SERTIFIKAT BIMTEK IPASN BerAKHLASK</v>
      </c>
      <c r="P2493" s="5" t="s">
        <v>18013</v>
      </c>
      <c r="Q2493" s="5"/>
      <c r="R2493" s="5"/>
      <c r="S2493" s="5"/>
      <c r="T2493" s="5"/>
    </row>
    <row r="2494">
      <c r="A2494" s="4">
        <v>45534.34020914352</v>
      </c>
      <c r="B2494" s="5" t="s">
        <v>34</v>
      </c>
      <c r="D2494" s="5" t="s">
        <v>1206</v>
      </c>
      <c r="E2494" s="5" t="s">
        <v>18014</v>
      </c>
      <c r="F2494" s="5" t="s">
        <v>212</v>
      </c>
      <c r="G2494" s="5" t="s">
        <v>18015</v>
      </c>
      <c r="H2494" s="6" t="s">
        <v>18016</v>
      </c>
      <c r="K2494" s="5" t="s">
        <v>16801</v>
      </c>
      <c r="M2494" s="5" t="s">
        <v>18017</v>
      </c>
      <c r="N2494" s="7" t="s">
        <v>18018</v>
      </c>
      <c r="O2494" s="8" t="str">
        <f>HYPERLINK("https://drive.google.com/file/d/1CZvwWEopGxVo1eq7JEvAxBX5fYgYcRkT/view?usp=drivesdk","2493_AGUS AFANDI _ SERTIFIKAT BIMTEK IPASN BerAKHLASK")</f>
        <v>2493_AGUS AFANDI _ SERTIFIKAT BIMTEK IPASN BerAKHLASK</v>
      </c>
      <c r="P2494" s="5" t="s">
        <v>18013</v>
      </c>
      <c r="Q2494" s="5"/>
      <c r="R2494" s="5"/>
      <c r="S2494" s="5"/>
      <c r="T2494" s="5"/>
    </row>
    <row r="2495" hidden="1">
      <c r="A2495" s="4">
        <v>45534.34021263889</v>
      </c>
      <c r="B2495" s="5" t="s">
        <v>19</v>
      </c>
      <c r="C2495" s="5" t="s">
        <v>292</v>
      </c>
      <c r="E2495" s="5" t="s">
        <v>18019</v>
      </c>
      <c r="F2495" s="5" t="s">
        <v>72</v>
      </c>
      <c r="G2495" s="5" t="s">
        <v>18020</v>
      </c>
      <c r="H2495" s="6" t="s">
        <v>18021</v>
      </c>
      <c r="K2495" s="5" t="s">
        <v>16801</v>
      </c>
      <c r="M2495" s="5" t="s">
        <v>18022</v>
      </c>
      <c r="N2495" s="7" t="s">
        <v>18023</v>
      </c>
      <c r="O2495" s="8" t="str">
        <f>HYPERLINK("https://drive.google.com/file/d/11QfYX6wzw1QyFtEFiR8jtYyNCrBpFjxV/view?usp=drivesdk","2494_Hety Kusmiaty, S.Pd _ SERTIFIKAT BIMTEK IPASN BerAKHLASK")</f>
        <v>2494_Hety Kusmiaty, S.Pd _ SERTIFIKAT BIMTEK IPASN BerAKHLASK</v>
      </c>
      <c r="P2495" s="5" t="s">
        <v>18013</v>
      </c>
      <c r="Q2495" s="5"/>
      <c r="R2495" s="5"/>
      <c r="S2495" s="5"/>
      <c r="T2495" s="5"/>
    </row>
    <row r="2496">
      <c r="A2496" s="4">
        <v>45534.34021763889</v>
      </c>
      <c r="B2496" s="5" t="s">
        <v>34</v>
      </c>
      <c r="D2496" s="5" t="s">
        <v>9020</v>
      </c>
      <c r="E2496" s="5" t="s">
        <v>18024</v>
      </c>
      <c r="F2496" s="5" t="s">
        <v>375</v>
      </c>
      <c r="G2496" s="5" t="s">
        <v>18025</v>
      </c>
      <c r="H2496" s="6" t="s">
        <v>18026</v>
      </c>
      <c r="K2496" s="5" t="s">
        <v>16801</v>
      </c>
      <c r="M2496" s="5" t="s">
        <v>18027</v>
      </c>
      <c r="N2496" s="7" t="s">
        <v>18028</v>
      </c>
      <c r="O2496" s="8" t="str">
        <f>HYPERLINK("https://drive.google.com/file/d/1rEoPabWo1A827Zpx-6nxmEPdXt0kEdvU/view?usp=drivesdk","2495_ASLINA BR SEMBIRING S E _ SERTIFIKAT BIMTEK IPASN BerAKHLASK")</f>
        <v>2495_ASLINA BR SEMBIRING S E _ SERTIFIKAT BIMTEK IPASN BerAKHLASK</v>
      </c>
      <c r="P2496" s="5" t="s">
        <v>18013</v>
      </c>
      <c r="Q2496" s="5"/>
      <c r="R2496" s="5"/>
      <c r="S2496" s="5"/>
      <c r="T2496" s="5"/>
    </row>
    <row r="2497">
      <c r="A2497" s="4">
        <v>45534.34021927083</v>
      </c>
      <c r="B2497" s="5" t="s">
        <v>34</v>
      </c>
      <c r="D2497" s="5" t="s">
        <v>975</v>
      </c>
      <c r="E2497" s="5" t="s">
        <v>18029</v>
      </c>
      <c r="F2497" s="5" t="s">
        <v>37</v>
      </c>
      <c r="G2497" s="5" t="s">
        <v>18030</v>
      </c>
      <c r="H2497" s="6" t="s">
        <v>18031</v>
      </c>
      <c r="K2497" s="5" t="s">
        <v>16801</v>
      </c>
      <c r="M2497" s="5" t="s">
        <v>18032</v>
      </c>
      <c r="N2497" s="7" t="s">
        <v>18033</v>
      </c>
      <c r="O2497" s="8" t="str">
        <f>HYPERLINK("https://drive.google.com/file/d/1CYHzkjtFpfoDbQLQS23HGfB_lj-KW7Kq/view?usp=drivesdk","2496_FAISALAMDFARM _ SERTIFIKAT BIMTEK IPASN BerAKHLASK")</f>
        <v>2496_FAISALAMDFARM _ SERTIFIKAT BIMTEK IPASN BerAKHLASK</v>
      </c>
      <c r="P2497" s="5" t="s">
        <v>18013</v>
      </c>
      <c r="Q2497" s="5"/>
      <c r="R2497" s="5"/>
      <c r="S2497" s="5"/>
      <c r="T2497" s="5"/>
    </row>
    <row r="2498">
      <c r="A2498" s="4">
        <v>45534.34021995371</v>
      </c>
      <c r="B2498" s="5" t="s">
        <v>34</v>
      </c>
      <c r="D2498" s="5" t="s">
        <v>10444</v>
      </c>
      <c r="E2498" s="5" t="s">
        <v>18034</v>
      </c>
      <c r="F2498" s="5" t="s">
        <v>72</v>
      </c>
      <c r="G2498" s="5" t="s">
        <v>18035</v>
      </c>
      <c r="H2498" s="6" t="s">
        <v>18036</v>
      </c>
      <c r="K2498" s="5" t="s">
        <v>16801</v>
      </c>
      <c r="M2498" s="5" t="s">
        <v>18037</v>
      </c>
      <c r="N2498" s="7" t="s">
        <v>18038</v>
      </c>
      <c r="O2498" s="8" t="str">
        <f>HYPERLINK("https://drive.google.com/file/d/1_h4933vLxXAOwDRB1lM-LSw0TE0f9ojf/view?usp=drivesdk","2497_EVI MULYANI A.MD.KEB _ SERTIFIKAT BIMTEK IPASN BerAKHLASK")</f>
        <v>2497_EVI MULYANI A.MD.KEB _ SERTIFIKAT BIMTEK IPASN BerAKHLASK</v>
      </c>
      <c r="P2498" s="5" t="s">
        <v>18039</v>
      </c>
      <c r="Q2498" s="5"/>
      <c r="R2498" s="5"/>
      <c r="S2498" s="5"/>
      <c r="T2498" s="5"/>
    </row>
    <row r="2499">
      <c r="A2499" s="4">
        <v>45534.34022246528</v>
      </c>
      <c r="B2499" s="5" t="s">
        <v>34</v>
      </c>
      <c r="D2499" s="5" t="s">
        <v>1206</v>
      </c>
      <c r="E2499" s="5" t="s">
        <v>18040</v>
      </c>
      <c r="F2499" s="5" t="s">
        <v>375</v>
      </c>
      <c r="G2499" s="5" t="s">
        <v>18041</v>
      </c>
      <c r="H2499" s="6" t="s">
        <v>18042</v>
      </c>
      <c r="K2499" s="5" t="s">
        <v>16801</v>
      </c>
      <c r="M2499" s="5" t="s">
        <v>18043</v>
      </c>
      <c r="N2499" s="7" t="s">
        <v>18044</v>
      </c>
      <c r="O2499" s="8" t="str">
        <f>HYPERLINK("https://drive.google.com/file/d/1n9Jq9UypjnGAhc3vFu4rlm2f_ldfXopH/view?usp=drivesdk","2498_MARDIANA, S.SOS _ SERTIFIKAT BIMTEK IPASN BerAKHLASK")</f>
        <v>2498_MARDIANA, S.SOS _ SERTIFIKAT BIMTEK IPASN BerAKHLASK</v>
      </c>
      <c r="P2499" s="5" t="s">
        <v>18039</v>
      </c>
      <c r="Q2499" s="5"/>
      <c r="R2499" s="5"/>
      <c r="S2499" s="5"/>
      <c r="T2499" s="5"/>
    </row>
    <row r="2500">
      <c r="A2500" s="4">
        <v>45534.34022322917</v>
      </c>
      <c r="B2500" s="5" t="s">
        <v>34</v>
      </c>
      <c r="D2500" s="5" t="s">
        <v>10444</v>
      </c>
      <c r="E2500" s="5" t="s">
        <v>18045</v>
      </c>
      <c r="F2500" s="5" t="s">
        <v>715</v>
      </c>
      <c r="G2500" s="5" t="s">
        <v>18046</v>
      </c>
      <c r="H2500" s="6" t="s">
        <v>18047</v>
      </c>
      <c r="K2500" s="5" t="s">
        <v>16801</v>
      </c>
      <c r="M2500" s="5" t="s">
        <v>18048</v>
      </c>
      <c r="N2500" s="7" t="s">
        <v>18049</v>
      </c>
      <c r="O2500" s="8" t="str">
        <f>HYPERLINK("https://drive.google.com/file/d/1ETzNMsTw4bnuGvUQGp7PlU8wtWgLQmFQ/view?usp=drivesdk","2499_HERMAN PETRIK _ SERTIFIKAT BIMTEK IPASN BerAKHLASK")</f>
        <v>2499_HERMAN PETRIK _ SERTIFIKAT BIMTEK IPASN BerAKHLASK</v>
      </c>
      <c r="P2500" s="5" t="s">
        <v>18039</v>
      </c>
      <c r="Q2500" s="5"/>
      <c r="R2500" s="5"/>
      <c r="S2500" s="5"/>
      <c r="T2500" s="5"/>
    </row>
    <row r="2501">
      <c r="A2501" s="4">
        <v>45534.340223252315</v>
      </c>
      <c r="B2501" s="5" t="s">
        <v>34</v>
      </c>
      <c r="D2501" s="5" t="s">
        <v>9020</v>
      </c>
      <c r="E2501" s="5" t="s">
        <v>18050</v>
      </c>
      <c r="F2501" s="5" t="s">
        <v>72</v>
      </c>
      <c r="G2501" s="5" t="s">
        <v>18051</v>
      </c>
      <c r="H2501" s="6" t="s">
        <v>18052</v>
      </c>
      <c r="K2501" s="5" t="s">
        <v>16801</v>
      </c>
      <c r="M2501" s="5" t="s">
        <v>18053</v>
      </c>
      <c r="N2501" s="7" t="s">
        <v>18054</v>
      </c>
      <c r="O2501" s="8" t="str">
        <f>HYPERLINK("https://drive.google.com/file/d/1Q0yWJmuYmGzLPeiKR8lrvh4A-vHz1JuR/view?usp=drivesdk","2500_Eva Lidya Bangun,S.Keb _ SERTIFIKAT BIMTEK IPASN BerAKHLASK")</f>
        <v>2500_Eva Lidya Bangun,S.Keb _ SERTIFIKAT BIMTEK IPASN BerAKHLASK</v>
      </c>
      <c r="P2501" s="5" t="s">
        <v>18039</v>
      </c>
      <c r="Q2501" s="5"/>
      <c r="R2501" s="5"/>
      <c r="S2501" s="5"/>
      <c r="T2501" s="5"/>
    </row>
    <row r="2502">
      <c r="A2502" s="4">
        <v>45534.340224837964</v>
      </c>
      <c r="B2502" s="5" t="s">
        <v>34</v>
      </c>
      <c r="D2502" s="5" t="s">
        <v>9020</v>
      </c>
      <c r="E2502" s="5" t="s">
        <v>18055</v>
      </c>
      <c r="F2502" s="5" t="s">
        <v>108</v>
      </c>
      <c r="G2502" s="5" t="s">
        <v>18056</v>
      </c>
      <c r="H2502" s="6" t="s">
        <v>18057</v>
      </c>
      <c r="K2502" s="5" t="s">
        <v>16801</v>
      </c>
      <c r="M2502" s="5" t="s">
        <v>18058</v>
      </c>
      <c r="N2502" s="7" t="s">
        <v>18059</v>
      </c>
      <c r="O2502" s="8" t="str">
        <f>HYPERLINK("https://drive.google.com/file/d/1mGN3i0RUrNm_iIoD0L9qNTsdglocmmWk/view?usp=drivesdk","2501_ANTON BAHARUDDIN PURBA _ SERTIFIKAT BIMTEK IPASN BerAKHLASK")</f>
        <v>2501_ANTON BAHARUDDIN PURBA _ SERTIFIKAT BIMTEK IPASN BerAKHLASK</v>
      </c>
      <c r="P2502" s="5" t="s">
        <v>18039</v>
      </c>
      <c r="Q2502" s="5"/>
      <c r="R2502" s="5"/>
      <c r="S2502" s="5"/>
      <c r="T2502" s="5"/>
    </row>
    <row r="2503">
      <c r="A2503" s="4">
        <v>45534.34026070602</v>
      </c>
      <c r="B2503" s="5" t="s">
        <v>34</v>
      </c>
      <c r="D2503" s="5" t="s">
        <v>522</v>
      </c>
      <c r="E2503" s="5" t="s">
        <v>18060</v>
      </c>
      <c r="F2503" s="5" t="s">
        <v>37</v>
      </c>
      <c r="G2503" s="5" t="s">
        <v>18061</v>
      </c>
      <c r="H2503" s="6" t="s">
        <v>18062</v>
      </c>
      <c r="K2503" s="5" t="s">
        <v>16801</v>
      </c>
      <c r="M2503" s="5" t="s">
        <v>18063</v>
      </c>
      <c r="N2503" s="7" t="s">
        <v>18064</v>
      </c>
      <c r="O2503" s="8" t="str">
        <f>HYPERLINK("https://drive.google.com/file/d/1Je7skEU7VhpvNRPa5DrfapeH5NkrEuVr/view?usp=drivesdk","2502_AJENG YUNITA WULANDARI, A.Md.Kep _ SERTIFIKAT BIMTEK IPASN BerAKHLASK")</f>
        <v>2502_AJENG YUNITA WULANDARI, A.Md.Kep _ SERTIFIKAT BIMTEK IPASN BerAKHLASK</v>
      </c>
      <c r="P2503" s="5" t="s">
        <v>18065</v>
      </c>
      <c r="Q2503" s="5"/>
      <c r="R2503" s="5"/>
      <c r="S2503" s="5"/>
      <c r="T2503" s="5"/>
    </row>
    <row r="2504">
      <c r="A2504" s="4">
        <v>45534.34026145833</v>
      </c>
      <c r="B2504" s="5" t="s">
        <v>34</v>
      </c>
      <c r="D2504" s="5" t="s">
        <v>522</v>
      </c>
      <c r="E2504" s="5" t="s">
        <v>18066</v>
      </c>
      <c r="F2504" s="5" t="s">
        <v>108</v>
      </c>
      <c r="G2504" s="5" t="s">
        <v>18067</v>
      </c>
      <c r="H2504" s="6" t="s">
        <v>18068</v>
      </c>
      <c r="K2504" s="5" t="s">
        <v>16801</v>
      </c>
      <c r="M2504" s="5" t="s">
        <v>18069</v>
      </c>
      <c r="N2504" s="7" t="s">
        <v>18070</v>
      </c>
      <c r="O2504" s="8" t="str">
        <f>HYPERLINK("https://drive.google.com/file/d/1PMPqN8JqwUXB2i8pmJyT_DvF_mKlyNBn/view?usp=drivesdk","2503_Ni Ketut Sri suhartini _ SERTIFIKAT BIMTEK IPASN BerAKHLASK")</f>
        <v>2503_Ni Ketut Sri suhartini _ SERTIFIKAT BIMTEK IPASN BerAKHLASK</v>
      </c>
      <c r="P2504" s="5" t="s">
        <v>18065</v>
      </c>
      <c r="Q2504" s="5"/>
      <c r="R2504" s="5"/>
      <c r="S2504" s="5"/>
      <c r="T2504" s="5"/>
    </row>
    <row r="2505">
      <c r="A2505" s="4">
        <v>45534.34026186343</v>
      </c>
      <c r="B2505" s="5" t="s">
        <v>34</v>
      </c>
      <c r="D2505" s="5" t="s">
        <v>2903</v>
      </c>
      <c r="E2505" s="5" t="s">
        <v>18071</v>
      </c>
      <c r="F2505" s="5" t="s">
        <v>212</v>
      </c>
      <c r="G2505" s="5" t="s">
        <v>18072</v>
      </c>
      <c r="H2505" s="6" t="s">
        <v>18073</v>
      </c>
      <c r="K2505" s="5" t="s">
        <v>16801</v>
      </c>
      <c r="M2505" s="5" t="s">
        <v>18074</v>
      </c>
      <c r="N2505" s="7" t="s">
        <v>18075</v>
      </c>
      <c r="O2505" s="8" t="str">
        <f>HYPERLINK("https://drive.google.com/file/d/1aZaeZuBoUpCtenHD8SSJTZltAqv9EBrE/view?usp=drivesdk","2504_SUPINA ZURIYATI _ SERTIFIKAT BIMTEK IPASN BerAKHLASK")</f>
        <v>2504_SUPINA ZURIYATI _ SERTIFIKAT BIMTEK IPASN BerAKHLASK</v>
      </c>
      <c r="P2505" s="5" t="s">
        <v>18065</v>
      </c>
      <c r="Q2505" s="5"/>
      <c r="R2505" s="5"/>
      <c r="S2505" s="5"/>
      <c r="T2505" s="5"/>
    </row>
    <row r="2506">
      <c r="A2506" s="4">
        <v>45534.34028261574</v>
      </c>
      <c r="B2506" s="5" t="s">
        <v>34</v>
      </c>
      <c r="D2506" s="5" t="s">
        <v>2903</v>
      </c>
      <c r="E2506" s="5" t="s">
        <v>18076</v>
      </c>
      <c r="F2506" s="5" t="s">
        <v>37</v>
      </c>
      <c r="G2506" s="5" t="s">
        <v>18077</v>
      </c>
      <c r="H2506" s="6" t="s">
        <v>18078</v>
      </c>
      <c r="K2506" s="5" t="s">
        <v>16801</v>
      </c>
      <c r="M2506" s="5" t="s">
        <v>18079</v>
      </c>
      <c r="N2506" s="7" t="s">
        <v>18080</v>
      </c>
      <c r="O2506" s="8" t="str">
        <f>HYPERLINK("https://drive.google.com/file/d/1ntHkwMdavaBk5Pgo3fzRXRINdzkbVPLp/view?usp=drivesdk","2505_ELVIANTI  _ SERTIFIKAT BIMTEK IPASN BerAKHLASK")</f>
        <v>2505_ELVIANTI  _ SERTIFIKAT BIMTEK IPASN BerAKHLASK</v>
      </c>
      <c r="P2506" s="5" t="s">
        <v>18065</v>
      </c>
      <c r="Q2506" s="5"/>
      <c r="R2506" s="5"/>
      <c r="S2506" s="5"/>
      <c r="T2506" s="5"/>
    </row>
    <row r="2507">
      <c r="A2507" s="4">
        <v>45534.34028709491</v>
      </c>
      <c r="B2507" s="5" t="s">
        <v>34</v>
      </c>
      <c r="D2507" s="5" t="s">
        <v>10444</v>
      </c>
      <c r="E2507" s="5" t="s">
        <v>18081</v>
      </c>
      <c r="F2507" s="5" t="s">
        <v>108</v>
      </c>
      <c r="G2507" s="5" t="s">
        <v>18082</v>
      </c>
      <c r="H2507" s="6" t="s">
        <v>18083</v>
      </c>
      <c r="K2507" s="5" t="s">
        <v>16801</v>
      </c>
      <c r="M2507" s="5" t="s">
        <v>18084</v>
      </c>
      <c r="N2507" s="7" t="s">
        <v>18085</v>
      </c>
      <c r="O2507" s="8" t="str">
        <f>HYPERLINK("https://drive.google.com/file/d/1K-1sXkaCUPfxLEqfEqTEg13sCB2mKXor/view?usp=drivesdk","2506_GUSTI DENI CHALENDRA _ SERTIFIKAT BIMTEK IPASN BerAKHLASK")</f>
        <v>2506_GUSTI DENI CHALENDRA _ SERTIFIKAT BIMTEK IPASN BerAKHLASK</v>
      </c>
      <c r="P2507" s="5" t="s">
        <v>17945</v>
      </c>
      <c r="Q2507" s="5"/>
      <c r="R2507" s="5"/>
      <c r="S2507" s="5"/>
      <c r="T2507" s="5"/>
    </row>
    <row r="2508">
      <c r="A2508" s="4">
        <v>45534.340292002315</v>
      </c>
      <c r="B2508" s="5" t="s">
        <v>34</v>
      </c>
      <c r="D2508" s="5" t="s">
        <v>4775</v>
      </c>
      <c r="E2508" s="5" t="s">
        <v>18086</v>
      </c>
      <c r="F2508" s="5" t="s">
        <v>108</v>
      </c>
      <c r="G2508" s="5" t="s">
        <v>18087</v>
      </c>
      <c r="H2508" s="6" t="s">
        <v>18088</v>
      </c>
      <c r="K2508" s="5" t="s">
        <v>16801</v>
      </c>
      <c r="M2508" s="5" t="s">
        <v>18089</v>
      </c>
      <c r="N2508" s="7" t="s">
        <v>18090</v>
      </c>
      <c r="O2508" s="8" t="str">
        <f>HYPERLINK("https://drive.google.com/file/d/1SaVoAEtKmh1e9Tr7-w35NYgJeaE_7407/view?usp=drivesdk","2507_SUMINAH _ SERTIFIKAT BIMTEK IPASN BerAKHLASK")</f>
        <v>2507_SUMINAH _ SERTIFIKAT BIMTEK IPASN BerAKHLASK</v>
      </c>
      <c r="P2508" s="5" t="s">
        <v>17945</v>
      </c>
      <c r="Q2508" s="5"/>
      <c r="R2508" s="5"/>
      <c r="S2508" s="5"/>
      <c r="T2508" s="5"/>
    </row>
    <row r="2509">
      <c r="A2509" s="4">
        <v>45534.3402393287</v>
      </c>
      <c r="B2509" s="5" t="s">
        <v>34</v>
      </c>
      <c r="D2509" s="5" t="s">
        <v>3849</v>
      </c>
      <c r="E2509" s="5" t="s">
        <v>18091</v>
      </c>
      <c r="F2509" s="5" t="s">
        <v>37</v>
      </c>
      <c r="G2509" s="5" t="s">
        <v>18092</v>
      </c>
      <c r="H2509" s="6" t="s">
        <v>18093</v>
      </c>
      <c r="K2509" s="5" t="s">
        <v>16801</v>
      </c>
      <c r="M2509" s="5" t="s">
        <v>18094</v>
      </c>
      <c r="N2509" s="7" t="s">
        <v>18095</v>
      </c>
      <c r="O2509" s="8" t="str">
        <f>HYPERLINK("https://drive.google.com/file/d/1Su1dHqwCvObll70rkhY6Z2Fp6fmdRbaT/view?usp=drivesdk","2508_NOVITASARI  _ SERTIFIKAT BIMTEK IPASN BerAKHLASK")</f>
        <v>2508_NOVITASARI  _ SERTIFIKAT BIMTEK IPASN BerAKHLASK</v>
      </c>
      <c r="P2509" s="5" t="s">
        <v>18096</v>
      </c>
      <c r="Q2509" s="5"/>
      <c r="R2509" s="5"/>
      <c r="S2509" s="5"/>
      <c r="T2509" s="5"/>
    </row>
    <row r="2510">
      <c r="A2510" s="4">
        <v>45534.34024077546</v>
      </c>
      <c r="B2510" s="5" t="s">
        <v>34</v>
      </c>
      <c r="D2510" s="5" t="s">
        <v>1456</v>
      </c>
      <c r="E2510" s="5" t="s">
        <v>18097</v>
      </c>
      <c r="F2510" s="5" t="s">
        <v>37</v>
      </c>
      <c r="G2510" s="5" t="s">
        <v>18098</v>
      </c>
      <c r="H2510" s="6" t="s">
        <v>18099</v>
      </c>
      <c r="K2510" s="5" t="s">
        <v>16801</v>
      </c>
      <c r="M2510" s="5" t="s">
        <v>18100</v>
      </c>
      <c r="N2510" s="7" t="s">
        <v>18101</v>
      </c>
      <c r="O2510" s="8" t="str">
        <f>HYPERLINK("https://drive.google.com/file/d/1AYMauI2kf-zUaj2y5Ar6s90PANEgso35/view?usp=drivesdk","2509_JUHEN HENDRY, A.Md _ SERTIFIKAT BIMTEK IPASN BerAKHLASK")</f>
        <v>2509_JUHEN HENDRY, A.Md _ SERTIFIKAT BIMTEK IPASN BerAKHLASK</v>
      </c>
      <c r="P2510" s="5" t="s">
        <v>18096</v>
      </c>
      <c r="Q2510" s="5"/>
      <c r="R2510" s="5"/>
      <c r="S2510" s="5"/>
      <c r="T2510" s="5"/>
    </row>
    <row r="2511">
      <c r="A2511" s="4">
        <v>45534.34026256944</v>
      </c>
      <c r="B2511" s="5" t="s">
        <v>34</v>
      </c>
      <c r="D2511" s="5" t="s">
        <v>701</v>
      </c>
      <c r="E2511" s="5" t="s">
        <v>18102</v>
      </c>
      <c r="F2511" s="5" t="s">
        <v>715</v>
      </c>
      <c r="G2511" s="5" t="s">
        <v>18103</v>
      </c>
      <c r="H2511" s="6" t="s">
        <v>18104</v>
      </c>
      <c r="K2511" s="5" t="s">
        <v>16801</v>
      </c>
      <c r="M2511" s="5" t="s">
        <v>18105</v>
      </c>
      <c r="N2511" s="7" t="s">
        <v>18106</v>
      </c>
      <c r="O2511" s="8" t="str">
        <f>HYPERLINK("https://drive.google.com/file/d/1vFfdH4CDVtV9KLF2d9uvbTgV4gx9LCGN/view?usp=drivesdk","2510_REFMA ZULINA S.E _ SERTIFIKAT BIMTEK IPASN BerAKHLASK")</f>
        <v>2510_REFMA ZULINA S.E _ SERTIFIKAT BIMTEK IPASN BerAKHLASK</v>
      </c>
      <c r="P2511" s="5" t="s">
        <v>18096</v>
      </c>
      <c r="Q2511" s="5"/>
      <c r="R2511" s="5"/>
      <c r="S2511" s="5"/>
      <c r="T2511" s="5"/>
    </row>
    <row r="2512">
      <c r="A2512" s="4">
        <v>45534.34026271991</v>
      </c>
      <c r="B2512" s="5" t="s">
        <v>34</v>
      </c>
      <c r="D2512" s="5" t="s">
        <v>4775</v>
      </c>
      <c r="E2512" s="5" t="s">
        <v>18107</v>
      </c>
      <c r="F2512" s="5" t="s">
        <v>212</v>
      </c>
      <c r="G2512" s="5" t="s">
        <v>18108</v>
      </c>
      <c r="H2512" s="6" t="s">
        <v>18109</v>
      </c>
      <c r="K2512" s="5" t="s">
        <v>16801</v>
      </c>
      <c r="M2512" s="5" t="s">
        <v>18110</v>
      </c>
      <c r="N2512" s="7" t="s">
        <v>18111</v>
      </c>
      <c r="O2512" s="8" t="str">
        <f>HYPERLINK("https://drive.google.com/file/d/1bi0WFHa51jx34BiaYrHB58D0oK-BTXRO/view?usp=drivesdk","2511_FAIZAH _ SERTIFIKAT BIMTEK IPASN BerAKHLASK")</f>
        <v>2511_FAIZAH _ SERTIFIKAT BIMTEK IPASN BerAKHLASK</v>
      </c>
      <c r="P2512" s="5" t="s">
        <v>18096</v>
      </c>
      <c r="Q2512" s="5"/>
      <c r="R2512" s="5"/>
      <c r="S2512" s="5"/>
      <c r="T2512" s="5"/>
    </row>
    <row r="2513">
      <c r="A2513" s="4">
        <v>45534.3402727662</v>
      </c>
      <c r="B2513" s="5" t="s">
        <v>34</v>
      </c>
      <c r="D2513" s="5" t="s">
        <v>35</v>
      </c>
      <c r="E2513" s="5" t="s">
        <v>18112</v>
      </c>
      <c r="F2513" s="5" t="s">
        <v>524</v>
      </c>
      <c r="G2513" s="5" t="s">
        <v>18113</v>
      </c>
      <c r="H2513" s="6" t="s">
        <v>18114</v>
      </c>
      <c r="K2513" s="5" t="s">
        <v>16801</v>
      </c>
      <c r="M2513" s="5" t="s">
        <v>18115</v>
      </c>
      <c r="N2513" s="7" t="s">
        <v>18116</v>
      </c>
      <c r="O2513" s="8" t="str">
        <f>HYPERLINK("https://drive.google.com/file/d/1u32NE0L5ethpWgXWuJoZe_PgWEtnTWZP/view?usp=drivesdk","2512_RUWI,AMD,KEP _ SERTIFIKAT BIMTEK IPASN BerAKHLASK")</f>
        <v>2512_RUWI,AMD,KEP _ SERTIFIKAT BIMTEK IPASN BerAKHLASK</v>
      </c>
      <c r="P2513" s="5" t="s">
        <v>18096</v>
      </c>
      <c r="Q2513" s="5"/>
      <c r="R2513" s="5"/>
      <c r="S2513" s="5"/>
      <c r="T2513" s="5"/>
    </row>
    <row r="2514">
      <c r="A2514" s="4">
        <v>45534.340314305555</v>
      </c>
      <c r="B2514" s="5" t="s">
        <v>34</v>
      </c>
      <c r="D2514" s="5" t="s">
        <v>35</v>
      </c>
      <c r="E2514" s="5" t="s">
        <v>18117</v>
      </c>
      <c r="F2514" s="5" t="s">
        <v>37</v>
      </c>
      <c r="G2514" s="5" t="s">
        <v>18118</v>
      </c>
      <c r="H2514" s="6" t="s">
        <v>18119</v>
      </c>
      <c r="K2514" s="5" t="s">
        <v>16801</v>
      </c>
      <c r="M2514" s="5" t="s">
        <v>18120</v>
      </c>
      <c r="N2514" s="7" t="s">
        <v>18121</v>
      </c>
      <c r="O2514" s="8" t="str">
        <f>HYPERLINK("https://drive.google.com/file/d/1qYxSLXms4k9tbd5SujZJEEg66IMBBLbv/view?usp=drivesdk","2513_ROSTINI SUHERMAN _ SERTIFIKAT BIMTEK IPASN BerAKHLASK")</f>
        <v>2513_ROSTINI SUHERMAN _ SERTIFIKAT BIMTEK IPASN BerAKHLASK</v>
      </c>
      <c r="P2514" s="5" t="s">
        <v>18096</v>
      </c>
      <c r="Q2514" s="5"/>
      <c r="R2514" s="5"/>
      <c r="S2514" s="5"/>
      <c r="T2514" s="5"/>
    </row>
    <row r="2515">
      <c r="A2515" s="4">
        <v>45534.34032145834</v>
      </c>
      <c r="B2515" s="5" t="s">
        <v>34</v>
      </c>
      <c r="D2515" s="5" t="s">
        <v>35</v>
      </c>
      <c r="E2515" s="5" t="s">
        <v>18122</v>
      </c>
      <c r="F2515" s="5" t="s">
        <v>375</v>
      </c>
      <c r="G2515" s="5" t="s">
        <v>18123</v>
      </c>
      <c r="H2515" s="6" t="s">
        <v>18124</v>
      </c>
      <c r="K2515" s="5" t="s">
        <v>16801</v>
      </c>
      <c r="M2515" s="5" t="s">
        <v>18125</v>
      </c>
      <c r="N2515" s="7" t="s">
        <v>18126</v>
      </c>
      <c r="O2515" s="8" t="str">
        <f>HYPERLINK("https://drive.google.com/file/d/1qYo_csXAtp9O0RiulcH-4_-qwh9qA8fz/view?usp=drivesdk","2514_MEMET SLAMET _ SERTIFIKAT BIMTEK IPASN BerAKHLASK")</f>
        <v>2514_MEMET SLAMET _ SERTIFIKAT BIMTEK IPASN BerAKHLASK</v>
      </c>
      <c r="P2515" s="5" t="s">
        <v>18127</v>
      </c>
      <c r="Q2515" s="5"/>
      <c r="R2515" s="5"/>
      <c r="S2515" s="5"/>
      <c r="T2515" s="5"/>
    </row>
    <row r="2516">
      <c r="A2516" s="4">
        <v>45534.34028221064</v>
      </c>
      <c r="B2516" s="5" t="s">
        <v>34</v>
      </c>
      <c r="D2516" s="5" t="s">
        <v>4775</v>
      </c>
      <c r="E2516" s="5" t="s">
        <v>18128</v>
      </c>
      <c r="F2516" s="5" t="s">
        <v>72</v>
      </c>
      <c r="G2516" s="5" t="s">
        <v>18129</v>
      </c>
      <c r="H2516" s="6" t="s">
        <v>18130</v>
      </c>
      <c r="K2516" s="5" t="s">
        <v>16801</v>
      </c>
      <c r="M2516" s="5" t="s">
        <v>18131</v>
      </c>
      <c r="N2516" s="7" t="s">
        <v>18132</v>
      </c>
      <c r="O2516" s="8" t="str">
        <f>HYPERLINK("https://drive.google.com/file/d/1Qhc2_EvQJnachdpIg5KPzncEWmoho9to/view?usp=drivesdk","2515_ISTI YULIANI _ SERTIFIKAT BIMTEK IPASN BerAKHLASK")</f>
        <v>2515_ISTI YULIANI _ SERTIFIKAT BIMTEK IPASN BerAKHLASK</v>
      </c>
      <c r="P2516" s="5" t="s">
        <v>18127</v>
      </c>
      <c r="Q2516" s="5"/>
      <c r="R2516" s="5"/>
      <c r="S2516" s="5"/>
      <c r="T2516" s="5"/>
    </row>
    <row r="2517">
      <c r="A2517" s="4">
        <v>45534.3402965162</v>
      </c>
      <c r="B2517" s="5" t="s">
        <v>34</v>
      </c>
      <c r="D2517" s="5" t="s">
        <v>4775</v>
      </c>
      <c r="E2517" s="5" t="s">
        <v>18133</v>
      </c>
      <c r="F2517" s="5" t="s">
        <v>120</v>
      </c>
      <c r="G2517" s="5" t="s">
        <v>18134</v>
      </c>
      <c r="H2517" s="6" t="s">
        <v>18135</v>
      </c>
      <c r="K2517" s="5" t="s">
        <v>16801</v>
      </c>
      <c r="M2517" s="5" t="s">
        <v>18136</v>
      </c>
      <c r="N2517" s="7" t="s">
        <v>18137</v>
      </c>
      <c r="O2517" s="8" t="str">
        <f>HYPERLINK("https://drive.google.com/file/d/1m-39W0siPW9t-dHdvxDyi2KxABb2AD73/view?usp=drivesdk","2516_HAPPYN RIYONO, S.T, M.T. _ SERTIFIKAT BIMTEK IPASN BerAKHLASK")</f>
        <v>2516_HAPPYN RIYONO, S.T, M.T. _ SERTIFIKAT BIMTEK IPASN BerAKHLASK</v>
      </c>
      <c r="P2517" s="5" t="s">
        <v>18127</v>
      </c>
      <c r="Q2517" s="5"/>
      <c r="R2517" s="5"/>
      <c r="S2517" s="5"/>
      <c r="T2517" s="5"/>
    </row>
    <row r="2518">
      <c r="A2518" s="4">
        <v>45534.34029723379</v>
      </c>
      <c r="B2518" s="5" t="s">
        <v>34</v>
      </c>
      <c r="D2518" s="5" t="s">
        <v>35</v>
      </c>
      <c r="E2518" s="5" t="s">
        <v>18138</v>
      </c>
      <c r="F2518" s="5" t="s">
        <v>212</v>
      </c>
      <c r="G2518" s="5" t="s">
        <v>18139</v>
      </c>
      <c r="H2518" s="6" t="s">
        <v>18140</v>
      </c>
      <c r="K2518" s="5" t="s">
        <v>16801</v>
      </c>
      <c r="M2518" s="5" t="s">
        <v>18141</v>
      </c>
      <c r="N2518" s="7" t="s">
        <v>18142</v>
      </c>
      <c r="O2518" s="8" t="str">
        <f>HYPERLINK("https://drive.google.com/file/d/1o83nOz6_QNYHRFH0LZwuX5PlCvJo5LEr/view?usp=drivesdk","2517_RUWIYAH _ SERTIFIKAT BIMTEK IPASN BerAKHLASK")</f>
        <v>2517_RUWIYAH _ SERTIFIKAT BIMTEK IPASN BerAKHLASK</v>
      </c>
      <c r="P2518" s="5" t="s">
        <v>18127</v>
      </c>
      <c r="Q2518" s="5"/>
      <c r="R2518" s="5"/>
      <c r="S2518" s="5"/>
      <c r="T2518" s="5"/>
    </row>
    <row r="2519" hidden="1">
      <c r="A2519" s="4">
        <v>45534.34032444445</v>
      </c>
      <c r="B2519" s="5" t="s">
        <v>19</v>
      </c>
      <c r="C2519" s="5" t="s">
        <v>292</v>
      </c>
      <c r="E2519" s="5" t="s">
        <v>18143</v>
      </c>
      <c r="F2519" s="5" t="s">
        <v>524</v>
      </c>
      <c r="G2519" s="5" t="s">
        <v>18144</v>
      </c>
      <c r="H2519" s="6" t="s">
        <v>18145</v>
      </c>
      <c r="K2519" s="5" t="s">
        <v>16801</v>
      </c>
      <c r="M2519" s="5" t="s">
        <v>18146</v>
      </c>
      <c r="N2519" s="7" t="s">
        <v>18147</v>
      </c>
      <c r="O2519" s="8" t="str">
        <f>HYPERLINK("https://drive.google.com/file/d/1LawkOIeftuh31vucl7xoU5MCZ7fEelHB/view?usp=drivesdk","2518_RITA RATNASARI _ SERTIFIKAT BIMTEK IPASN BerAKHLASK")</f>
        <v>2518_RITA RATNASARI _ SERTIFIKAT BIMTEK IPASN BerAKHLASK</v>
      </c>
      <c r="P2519" s="5" t="s">
        <v>18127</v>
      </c>
      <c r="Q2519" s="5"/>
      <c r="R2519" s="5"/>
      <c r="S2519" s="5"/>
      <c r="T2519" s="5"/>
    </row>
    <row r="2520">
      <c r="A2520" s="4">
        <v>45534.34032539352</v>
      </c>
      <c r="B2520" s="5" t="s">
        <v>34</v>
      </c>
      <c r="D2520" s="5" t="s">
        <v>3849</v>
      </c>
      <c r="E2520" s="5" t="s">
        <v>18148</v>
      </c>
      <c r="F2520" s="5" t="s">
        <v>37</v>
      </c>
      <c r="G2520" s="5" t="s">
        <v>18149</v>
      </c>
      <c r="H2520" s="6" t="s">
        <v>18150</v>
      </c>
      <c r="K2520" s="5" t="s">
        <v>16801</v>
      </c>
      <c r="M2520" s="5" t="s">
        <v>18151</v>
      </c>
      <c r="N2520" s="7" t="s">
        <v>18152</v>
      </c>
      <c r="O2520" s="8" t="str">
        <f>HYPERLINK("https://drive.google.com/file/d/1pbh-4ZVDtakJk5q7X4Hm1BUKazkT-DXx/view?usp=drivesdk","2519_INDAH AGUSTIN AM.d. Kep _ SERTIFIKAT BIMTEK IPASN BerAKHLASK")</f>
        <v>2519_INDAH AGUSTIN AM.d. Kep _ SERTIFIKAT BIMTEK IPASN BerAKHLASK</v>
      </c>
      <c r="P2520" s="5" t="s">
        <v>18153</v>
      </c>
      <c r="Q2520" s="5"/>
      <c r="R2520" s="5"/>
      <c r="S2520" s="5"/>
      <c r="T2520" s="5"/>
    </row>
    <row r="2521">
      <c r="A2521" s="4">
        <v>45534.34032902778</v>
      </c>
      <c r="B2521" s="5" t="s">
        <v>34</v>
      </c>
      <c r="D2521" s="5" t="s">
        <v>4775</v>
      </c>
      <c r="E2521" s="5" t="s">
        <v>18154</v>
      </c>
      <c r="F2521" s="5" t="s">
        <v>37</v>
      </c>
      <c r="G2521" s="5" t="s">
        <v>18155</v>
      </c>
      <c r="H2521" s="6" t="s">
        <v>18156</v>
      </c>
      <c r="K2521" s="5" t="s">
        <v>16801</v>
      </c>
      <c r="M2521" s="5" t="s">
        <v>18157</v>
      </c>
      <c r="N2521" s="7" t="s">
        <v>18158</v>
      </c>
      <c r="O2521" s="8" t="str">
        <f>HYPERLINK("https://drive.google.com/file/d/1QwmLQr1r5zoTk9q_HN5KUPKTQyG0zTrM/view?usp=drivesdk","2520_TARSIKUN _ SERTIFIKAT BIMTEK IPASN BerAKHLASK")</f>
        <v>2520_TARSIKUN _ SERTIFIKAT BIMTEK IPASN BerAKHLASK</v>
      </c>
      <c r="P2521" s="5" t="s">
        <v>18153</v>
      </c>
      <c r="Q2521" s="5"/>
      <c r="R2521" s="5"/>
      <c r="S2521" s="5"/>
      <c r="T2521" s="5"/>
    </row>
    <row r="2522">
      <c r="A2522" s="4">
        <v>45534.34032891203</v>
      </c>
      <c r="B2522" s="5" t="s">
        <v>34</v>
      </c>
      <c r="D2522" s="5" t="s">
        <v>4775</v>
      </c>
      <c r="E2522" s="5" t="s">
        <v>18159</v>
      </c>
      <c r="F2522" s="5" t="s">
        <v>212</v>
      </c>
      <c r="G2522" s="5" t="s">
        <v>18160</v>
      </c>
      <c r="H2522" s="6" t="s">
        <v>18161</v>
      </c>
      <c r="K2522" s="5" t="s">
        <v>16801</v>
      </c>
      <c r="M2522" s="5" t="s">
        <v>18162</v>
      </c>
      <c r="N2522" s="7" t="s">
        <v>18163</v>
      </c>
      <c r="O2522" s="8" t="str">
        <f>HYPERLINK("https://drive.google.com/file/d/1Lu5_DZ7JUr-_ec7Zk2QTKgwdi4YjZKtA/view?usp=drivesdk","2521_NUR HANDAYANI _ SERTIFIKAT BIMTEK IPASN BerAKHLASK")</f>
        <v>2521_NUR HANDAYANI _ SERTIFIKAT BIMTEK IPASN BerAKHLASK</v>
      </c>
      <c r="P2522" s="5" t="s">
        <v>18153</v>
      </c>
      <c r="Q2522" s="5"/>
      <c r="R2522" s="5"/>
      <c r="S2522" s="5"/>
      <c r="T2522" s="5"/>
    </row>
    <row r="2523">
      <c r="A2523" s="4">
        <v>45534.34033090278</v>
      </c>
      <c r="B2523" s="5" t="s">
        <v>34</v>
      </c>
      <c r="D2523" s="5" t="s">
        <v>12978</v>
      </c>
      <c r="E2523" s="5" t="s">
        <v>18164</v>
      </c>
      <c r="F2523" s="5" t="s">
        <v>108</v>
      </c>
      <c r="G2523" s="5" t="s">
        <v>18165</v>
      </c>
      <c r="H2523" s="6" t="s">
        <v>18166</v>
      </c>
      <c r="K2523" s="5" t="s">
        <v>16801</v>
      </c>
      <c r="M2523" s="5" t="s">
        <v>18167</v>
      </c>
      <c r="N2523" s="7" t="s">
        <v>18168</v>
      </c>
      <c r="O2523" s="8" t="str">
        <f>HYPERLINK("https://drive.google.com/file/d/1tIs8jmo4z6KkEcrFkAYxl2eF71Rd79Ae/view?usp=drivesdk","2522_ANITA TRIANA, SE. _ SERTIFIKAT BIMTEK IPASN BerAKHLASK")</f>
        <v>2522_ANITA TRIANA, SE. _ SERTIFIKAT BIMTEK IPASN BerAKHLASK</v>
      </c>
      <c r="P2523" s="5" t="s">
        <v>18153</v>
      </c>
      <c r="Q2523" s="5"/>
      <c r="R2523" s="5"/>
      <c r="S2523" s="5"/>
      <c r="T2523" s="5"/>
    </row>
    <row r="2524">
      <c r="A2524" s="4">
        <v>45534.340306921295</v>
      </c>
      <c r="B2524" s="5" t="s">
        <v>34</v>
      </c>
      <c r="D2524" s="5" t="s">
        <v>4775</v>
      </c>
      <c r="E2524" s="5" t="s">
        <v>18169</v>
      </c>
      <c r="F2524" s="5" t="s">
        <v>212</v>
      </c>
      <c r="G2524" s="5" t="s">
        <v>18170</v>
      </c>
      <c r="H2524" s="6" t="s">
        <v>18171</v>
      </c>
      <c r="K2524" s="5" t="s">
        <v>16801</v>
      </c>
      <c r="M2524" s="5" t="s">
        <v>18172</v>
      </c>
      <c r="N2524" s="7" t="s">
        <v>18173</v>
      </c>
      <c r="O2524" s="8" t="str">
        <f>HYPERLINK("https://drive.google.com/file/d/1KE1F4xNYqb-QrQMmYbXYekzXJkClh2yo/view?usp=drivesdk","2523_UNDI ASTUTI  _ SERTIFIKAT BIMTEK IPASN BerAKHLASK")</f>
        <v>2523_UNDI ASTUTI  _ SERTIFIKAT BIMTEK IPASN BerAKHLASK</v>
      </c>
      <c r="P2524" s="5" t="s">
        <v>18153</v>
      </c>
      <c r="Q2524" s="5"/>
      <c r="R2524" s="5"/>
      <c r="S2524" s="5"/>
      <c r="T2524" s="5"/>
    </row>
    <row r="2525">
      <c r="A2525" s="4">
        <v>45534.340359803246</v>
      </c>
      <c r="B2525" s="5" t="s">
        <v>34</v>
      </c>
      <c r="D2525" s="5" t="s">
        <v>522</v>
      </c>
      <c r="E2525" s="5" t="s">
        <v>18174</v>
      </c>
      <c r="F2525" s="5" t="s">
        <v>72</v>
      </c>
      <c r="G2525" s="5" t="s">
        <v>18175</v>
      </c>
      <c r="H2525" s="6" t="s">
        <v>18176</v>
      </c>
      <c r="K2525" s="5" t="s">
        <v>16801</v>
      </c>
      <c r="M2525" s="5" t="s">
        <v>18177</v>
      </c>
      <c r="N2525" s="7" t="s">
        <v>18178</v>
      </c>
      <c r="O2525" s="8" t="str">
        <f>HYPERLINK("https://drive.google.com/file/d/1m5PqBa-NNqArMpHLZj_5lu4eZNilVVRU/view?usp=drivesdk","2524_I KETUT TRISNA AMBARA  _ SERTIFIKAT BIMTEK IPASN BerAKHLASK")</f>
        <v>2524_I KETUT TRISNA AMBARA  _ SERTIFIKAT BIMTEK IPASN BerAKHLASK</v>
      </c>
      <c r="P2525" s="5" t="s">
        <v>18179</v>
      </c>
      <c r="Q2525" s="5"/>
      <c r="R2525" s="5"/>
      <c r="S2525" s="5"/>
      <c r="T2525" s="5"/>
    </row>
    <row r="2526">
      <c r="A2526" s="4">
        <v>45534.340361724535</v>
      </c>
      <c r="B2526" s="5" t="s">
        <v>34</v>
      </c>
      <c r="D2526" s="5" t="s">
        <v>4775</v>
      </c>
      <c r="E2526" s="5" t="s">
        <v>18180</v>
      </c>
      <c r="F2526" s="5" t="s">
        <v>108</v>
      </c>
      <c r="G2526" s="5" t="s">
        <v>18181</v>
      </c>
      <c r="H2526" s="6" t="s">
        <v>18182</v>
      </c>
      <c r="K2526" s="5" t="s">
        <v>16801</v>
      </c>
      <c r="M2526" s="5" t="s">
        <v>18183</v>
      </c>
      <c r="N2526" s="7" t="s">
        <v>18184</v>
      </c>
      <c r="O2526" s="8" t="str">
        <f>HYPERLINK("https://drive.google.com/file/d/1pcmxb6uWe17-jzfxDRMWkQX-QU08V3sO/view?usp=drivesdk","2525_ROELLY YUNIARTI,S.KOM _ SERTIFIKAT BIMTEK IPASN BerAKHLASK")</f>
        <v>2525_ROELLY YUNIARTI,S.KOM _ SERTIFIKAT BIMTEK IPASN BerAKHLASK</v>
      </c>
      <c r="P2526" s="5" t="s">
        <v>18179</v>
      </c>
      <c r="Q2526" s="5"/>
      <c r="R2526" s="5"/>
      <c r="S2526" s="5"/>
      <c r="T2526" s="5"/>
    </row>
    <row r="2527">
      <c r="A2527" s="4">
        <v>45534.34036918981</v>
      </c>
      <c r="B2527" s="5" t="s">
        <v>34</v>
      </c>
      <c r="D2527" s="5" t="s">
        <v>35</v>
      </c>
      <c r="E2527" s="5" t="s">
        <v>18185</v>
      </c>
      <c r="F2527" s="5" t="s">
        <v>212</v>
      </c>
      <c r="G2527" s="5" t="s">
        <v>18186</v>
      </c>
      <c r="H2527" s="6" t="s">
        <v>18187</v>
      </c>
      <c r="K2527" s="5" t="s">
        <v>16801</v>
      </c>
      <c r="M2527" s="5" t="s">
        <v>18188</v>
      </c>
      <c r="N2527" s="7" t="s">
        <v>18189</v>
      </c>
      <c r="O2527" s="8" t="str">
        <f>HYPERLINK("https://drive.google.com/file/d/1Uxnw2rHaNyAnURYFJq8OS792NJT35vyb/view?usp=drivesdk","2526_DEDI KUSNADI _ SERTIFIKAT BIMTEK IPASN BerAKHLASK")</f>
        <v>2526_DEDI KUSNADI _ SERTIFIKAT BIMTEK IPASN BerAKHLASK</v>
      </c>
      <c r="P2527" s="5" t="s">
        <v>18179</v>
      </c>
      <c r="Q2527" s="5"/>
      <c r="R2527" s="5"/>
      <c r="S2527" s="5"/>
      <c r="T2527" s="5"/>
    </row>
    <row r="2528">
      <c r="A2528" s="4">
        <v>45534.340375775464</v>
      </c>
      <c r="B2528" s="5" t="s">
        <v>34</v>
      </c>
      <c r="D2528" s="5" t="s">
        <v>35</v>
      </c>
      <c r="E2528" s="5" t="s">
        <v>18190</v>
      </c>
      <c r="F2528" s="5" t="s">
        <v>37</v>
      </c>
      <c r="G2528" s="5" t="s">
        <v>18191</v>
      </c>
      <c r="H2528" s="6" t="s">
        <v>18192</v>
      </c>
      <c r="K2528" s="5" t="s">
        <v>16801</v>
      </c>
      <c r="M2528" s="5" t="s">
        <v>18193</v>
      </c>
      <c r="N2528" s="7" t="s">
        <v>18194</v>
      </c>
      <c r="O2528" s="8" t="str">
        <f>HYPERLINK("https://drive.google.com/file/d/1GSO_DNrSziAWN5ltwNC7Z7-XVv9v6qvS/view?usp=drivesdk","2527_SRI NURULAENI _ SERTIFIKAT BIMTEK IPASN BerAKHLASK")</f>
        <v>2527_SRI NURULAENI _ SERTIFIKAT BIMTEK IPASN BerAKHLASK</v>
      </c>
      <c r="P2528" s="5" t="s">
        <v>18179</v>
      </c>
      <c r="Q2528" s="5"/>
      <c r="R2528" s="5"/>
      <c r="S2528" s="5"/>
      <c r="T2528" s="5"/>
    </row>
    <row r="2529" hidden="1">
      <c r="A2529" s="4">
        <v>45534.34037626158</v>
      </c>
      <c r="B2529" s="5" t="s">
        <v>19</v>
      </c>
      <c r="C2529" s="5" t="s">
        <v>292</v>
      </c>
      <c r="E2529" s="5" t="s">
        <v>18195</v>
      </c>
      <c r="F2529" s="5" t="s">
        <v>524</v>
      </c>
      <c r="G2529" s="5" t="s">
        <v>18196</v>
      </c>
      <c r="H2529" s="6" t="s">
        <v>18197</v>
      </c>
      <c r="K2529" s="5" t="s">
        <v>16801</v>
      </c>
      <c r="M2529" s="5" t="s">
        <v>18198</v>
      </c>
      <c r="N2529" s="7" t="s">
        <v>18199</v>
      </c>
      <c r="O2529" s="8" t="str">
        <f>HYPERLINK("https://drive.google.com/file/d/1ZX7jhLaLQON5lmN5gv6xX5CqsiaTXnGB/view?usp=drivesdk","2528_SUSILORINI SH _ SERTIFIKAT BIMTEK IPASN BerAKHLASK")</f>
        <v>2528_SUSILORINI SH _ SERTIFIKAT BIMTEK IPASN BerAKHLASK</v>
      </c>
      <c r="P2529" s="5" t="s">
        <v>18179</v>
      </c>
      <c r="Q2529" s="5"/>
      <c r="R2529" s="5"/>
      <c r="S2529" s="5"/>
      <c r="T2529" s="5"/>
    </row>
    <row r="2530">
      <c r="A2530" s="4">
        <v>45534.3403774537</v>
      </c>
      <c r="B2530" s="5" t="s">
        <v>34</v>
      </c>
      <c r="D2530" s="5" t="s">
        <v>604</v>
      </c>
      <c r="E2530" s="5" t="s">
        <v>18200</v>
      </c>
      <c r="F2530" s="5" t="s">
        <v>524</v>
      </c>
      <c r="G2530" s="5" t="s">
        <v>18201</v>
      </c>
      <c r="H2530" s="6" t="s">
        <v>18202</v>
      </c>
      <c r="K2530" s="5" t="s">
        <v>16801</v>
      </c>
      <c r="M2530" s="5" t="s">
        <v>18203</v>
      </c>
      <c r="N2530" s="7" t="s">
        <v>18204</v>
      </c>
      <c r="O2530" s="8" t="str">
        <f>HYPERLINK("https://drive.google.com/file/d/10jGhXWgJOmpilqbDbOfnTNad-U8hiS7_/view?usp=drivesdk","2529_YAHUDI, S.Kep., Ns _ SERTIFIKAT BIMTEK IPASN BerAKHLASK")</f>
        <v>2529_YAHUDI, S.Kep., Ns _ SERTIFIKAT BIMTEK IPASN BerAKHLASK</v>
      </c>
      <c r="P2530" s="5" t="s">
        <v>18205</v>
      </c>
      <c r="Q2530" s="5"/>
      <c r="R2530" s="5"/>
      <c r="S2530" s="5"/>
      <c r="T2530" s="5"/>
    </row>
    <row r="2531">
      <c r="A2531" s="4">
        <v>45534.340378900466</v>
      </c>
      <c r="B2531" s="5" t="s">
        <v>34</v>
      </c>
      <c r="D2531" s="5" t="s">
        <v>12978</v>
      </c>
      <c r="E2531" s="5" t="s">
        <v>18206</v>
      </c>
      <c r="F2531" s="5" t="s">
        <v>212</v>
      </c>
      <c r="G2531" s="5" t="s">
        <v>18207</v>
      </c>
      <c r="H2531" s="6" t="s">
        <v>18208</v>
      </c>
      <c r="K2531" s="5" t="s">
        <v>16801</v>
      </c>
      <c r="M2531" s="5" t="s">
        <v>18209</v>
      </c>
      <c r="N2531" s="7" t="s">
        <v>18210</v>
      </c>
      <c r="O2531" s="8" t="str">
        <f>HYPERLINK("https://drive.google.com/file/d/1_Y99VU9nXcmgJC-YvM1IiIJSZWAzmfvM/view?usp=drivesdk","2530_NURIAH _ SERTIFIKAT BIMTEK IPASN BerAKHLASK")</f>
        <v>2530_NURIAH _ SERTIFIKAT BIMTEK IPASN BerAKHLASK</v>
      </c>
      <c r="P2531" s="5" t="s">
        <v>18205</v>
      </c>
      <c r="Q2531" s="5"/>
      <c r="R2531" s="5"/>
      <c r="S2531" s="5"/>
      <c r="T2531" s="5"/>
    </row>
    <row r="2532">
      <c r="A2532" s="4">
        <v>45534.34037950232</v>
      </c>
      <c r="B2532" s="5" t="s">
        <v>34</v>
      </c>
      <c r="D2532" s="5" t="s">
        <v>4775</v>
      </c>
      <c r="E2532" s="5" t="s">
        <v>18211</v>
      </c>
      <c r="F2532" s="5" t="s">
        <v>524</v>
      </c>
      <c r="G2532" s="5" t="s">
        <v>18212</v>
      </c>
      <c r="H2532" s="6" t="s">
        <v>18213</v>
      </c>
      <c r="K2532" s="5" t="s">
        <v>16801</v>
      </c>
      <c r="M2532" s="5" t="s">
        <v>18214</v>
      </c>
      <c r="N2532" s="7" t="s">
        <v>18215</v>
      </c>
      <c r="O2532" s="8" t="str">
        <f>HYPERLINK("https://drive.google.com/file/d/11CylSntgx7uo_0CJkZPjcz5Fzk0eQpKz/view?usp=drivesdk","2531_SUPANTI  _ SERTIFIKAT BIMTEK IPASN BerAKHLASK")</f>
        <v>2531_SUPANTI  _ SERTIFIKAT BIMTEK IPASN BerAKHLASK</v>
      </c>
      <c r="P2532" s="5" t="s">
        <v>18205</v>
      </c>
      <c r="Q2532" s="5"/>
      <c r="R2532" s="5"/>
      <c r="S2532" s="5"/>
      <c r="T2532" s="5"/>
    </row>
    <row r="2533">
      <c r="A2533" s="4">
        <v>45534.340386192125</v>
      </c>
      <c r="B2533" s="5" t="s">
        <v>34</v>
      </c>
      <c r="D2533" s="5" t="s">
        <v>35</v>
      </c>
      <c r="E2533" s="5" t="s">
        <v>18216</v>
      </c>
      <c r="F2533" s="5" t="s">
        <v>37</v>
      </c>
      <c r="G2533" s="5" t="s">
        <v>18217</v>
      </c>
      <c r="H2533" s="6" t="s">
        <v>18218</v>
      </c>
      <c r="K2533" s="5" t="s">
        <v>16801</v>
      </c>
      <c r="M2533" s="5" t="s">
        <v>18219</v>
      </c>
      <c r="N2533" s="7" t="s">
        <v>18220</v>
      </c>
      <c r="O2533" s="8" t="str">
        <f>HYPERLINK("https://drive.google.com/file/d/14vcpkfSFL6umUeaO5JJz5IbuKnH8M9GC/view?usp=drivesdk","2532_ANJAR PERMANA _ SERTIFIKAT BIMTEK IPASN BerAKHLASK")</f>
        <v>2532_ANJAR PERMANA _ SERTIFIKAT BIMTEK IPASN BerAKHLASK</v>
      </c>
      <c r="P2533" s="5" t="s">
        <v>18205</v>
      </c>
      <c r="Q2533" s="5"/>
      <c r="R2533" s="5"/>
      <c r="S2533" s="5"/>
      <c r="T2533" s="5"/>
    </row>
    <row r="2534">
      <c r="A2534" s="4">
        <v>45534.340388854165</v>
      </c>
      <c r="B2534" s="5" t="s">
        <v>34</v>
      </c>
      <c r="D2534" s="5" t="s">
        <v>35</v>
      </c>
      <c r="E2534" s="5" t="s">
        <v>18221</v>
      </c>
      <c r="F2534" s="5" t="s">
        <v>37</v>
      </c>
      <c r="G2534" s="5" t="s">
        <v>18222</v>
      </c>
      <c r="H2534" s="6" t="s">
        <v>18223</v>
      </c>
      <c r="K2534" s="5" t="s">
        <v>16801</v>
      </c>
      <c r="M2534" s="5" t="s">
        <v>18224</v>
      </c>
      <c r="N2534" s="7" t="s">
        <v>18225</v>
      </c>
      <c r="O2534" s="8" t="str">
        <f>HYPERLINK("https://drive.google.com/file/d/1BvXksaZhCTcu3mM-BIXAGU2rIFU1hFPv/view?usp=drivesdk","2533_UNARWAN _ SERTIFIKAT BIMTEK IPASN BerAKHLASK")</f>
        <v>2533_UNARWAN _ SERTIFIKAT BIMTEK IPASN BerAKHLASK</v>
      </c>
      <c r="P2534" s="5" t="s">
        <v>18205</v>
      </c>
      <c r="Q2534" s="5"/>
      <c r="R2534" s="5"/>
      <c r="S2534" s="5"/>
      <c r="T2534" s="5"/>
    </row>
    <row r="2535">
      <c r="A2535" s="4">
        <v>45534.34038991898</v>
      </c>
      <c r="B2535" s="5" t="s">
        <v>34</v>
      </c>
      <c r="D2535" s="5" t="s">
        <v>35</v>
      </c>
      <c r="E2535" s="5" t="s">
        <v>18226</v>
      </c>
      <c r="F2535" s="5" t="s">
        <v>37</v>
      </c>
      <c r="G2535" s="5" t="s">
        <v>18227</v>
      </c>
      <c r="H2535" s="6" t="s">
        <v>18228</v>
      </c>
      <c r="K2535" s="5" t="s">
        <v>16801</v>
      </c>
      <c r="M2535" s="5" t="s">
        <v>18229</v>
      </c>
      <c r="N2535" s="7" t="s">
        <v>18230</v>
      </c>
      <c r="O2535" s="8" t="str">
        <f>HYPERLINK("https://drive.google.com/file/d/1IbeJPYq_t9d60opbsJvWyckh5SPmp8ku/view?usp=drivesdk","2534_ENDEN HARTINI _ SERTIFIKAT BIMTEK IPASN BerAKHLASK")</f>
        <v>2534_ENDEN HARTINI _ SERTIFIKAT BIMTEK IPASN BerAKHLASK</v>
      </c>
      <c r="P2535" s="5" t="s">
        <v>18205</v>
      </c>
      <c r="Q2535" s="5"/>
      <c r="R2535" s="5"/>
      <c r="S2535" s="5"/>
      <c r="T2535" s="5"/>
    </row>
    <row r="2536">
      <c r="A2536" s="4">
        <v>45534.3403975</v>
      </c>
      <c r="B2536" s="5" t="s">
        <v>34</v>
      </c>
      <c r="D2536" s="5" t="s">
        <v>6232</v>
      </c>
      <c r="E2536" s="5" t="s">
        <v>18231</v>
      </c>
      <c r="F2536" s="5" t="s">
        <v>212</v>
      </c>
      <c r="G2536" s="5" t="s">
        <v>18232</v>
      </c>
      <c r="H2536" s="6" t="s">
        <v>18233</v>
      </c>
      <c r="K2536" s="5" t="s">
        <v>16801</v>
      </c>
      <c r="M2536" s="5" t="s">
        <v>18234</v>
      </c>
      <c r="N2536" s="7" t="s">
        <v>18235</v>
      </c>
      <c r="O2536" s="8" t="str">
        <f>HYPERLINK("https://drive.google.com/file/d/1aYdHDV86J2f0DP__57Jsmvo38UoubUJm/view?usp=drivesdk","2535_RIRIN OKTARINA  _ SERTIFIKAT BIMTEK IPASN BerAKHLASK")</f>
        <v>2535_RIRIN OKTARINA  _ SERTIFIKAT BIMTEK IPASN BerAKHLASK</v>
      </c>
      <c r="P2536" s="5" t="s">
        <v>18236</v>
      </c>
      <c r="Q2536" s="5"/>
      <c r="R2536" s="5"/>
      <c r="S2536" s="5"/>
      <c r="T2536" s="5"/>
    </row>
    <row r="2537">
      <c r="A2537" s="4">
        <v>45534.34039881945</v>
      </c>
      <c r="B2537" s="5" t="s">
        <v>34</v>
      </c>
      <c r="D2537" s="5" t="s">
        <v>9020</v>
      </c>
      <c r="E2537" s="5" t="s">
        <v>18237</v>
      </c>
      <c r="F2537" s="5" t="s">
        <v>212</v>
      </c>
      <c r="G2537" s="5" t="s">
        <v>18238</v>
      </c>
      <c r="H2537" s="6" t="s">
        <v>18239</v>
      </c>
      <c r="I2537" s="7" t="s">
        <v>18240</v>
      </c>
      <c r="J2537" s="8" t="str">
        <f>HYPERLINK("https://drive.google.com/file/d/1Osu7mwUpZGddueAh8pmSTANPQj7XVlNr/view?usp=drivesdk","BETSAIDA SITUMORANG SERTIFIKAT BerAKHLAK")</f>
        <v>BETSAIDA SITUMORANG SERTIFIKAT BerAKHLAK</v>
      </c>
      <c r="K2537" s="5" t="s">
        <v>14929</v>
      </c>
      <c r="L2537" s="5" t="s">
        <v>18241</v>
      </c>
      <c r="M2537" s="5" t="s">
        <v>18242</v>
      </c>
      <c r="N2537" s="7" t="s">
        <v>18243</v>
      </c>
      <c r="O2537" s="8" t="str">
        <f>HYPERLINK("https://drive.google.com/file/d/1Tn9rBCG3d0Z5fhXXB_IsHHHoZTW_XG81/view?usp=drivesdk","2536_BETSAIDA SITUMORANG _ SERTIFIKAT BIMTEK IPASN BerAKHLASK")</f>
        <v>2536_BETSAIDA SITUMORANG _ SERTIFIKAT BIMTEK IPASN BerAKHLASK</v>
      </c>
      <c r="P2537" s="5" t="s">
        <v>18236</v>
      </c>
      <c r="Q2537" s="5"/>
      <c r="R2537" s="5"/>
      <c r="S2537" s="5"/>
      <c r="T2537" s="5"/>
    </row>
    <row r="2538">
      <c r="A2538" s="4">
        <v>45534.340405740746</v>
      </c>
      <c r="B2538" s="5" t="s">
        <v>34</v>
      </c>
      <c r="D2538" s="5" t="s">
        <v>2903</v>
      </c>
      <c r="E2538" s="5" t="s">
        <v>18244</v>
      </c>
      <c r="F2538" s="5" t="s">
        <v>524</v>
      </c>
      <c r="G2538" s="5" t="s">
        <v>18245</v>
      </c>
      <c r="H2538" s="6" t="s">
        <v>18246</v>
      </c>
      <c r="I2538" s="7" t="s">
        <v>18247</v>
      </c>
      <c r="J2538" s="8" t="str">
        <f>HYPERLINK("https://drive.google.com/file/d/1zgxKdtRp1TxXG5rQt7l-g47H7CGCFRn2/view?usp=drivesdk","ANISA YULIANTARI SERTIFIKAT BerAKHLAK")</f>
        <v>ANISA YULIANTARI SERTIFIKAT BerAKHLAK</v>
      </c>
      <c r="K2538" s="5" t="s">
        <v>14929</v>
      </c>
      <c r="L2538" s="5" t="s">
        <v>18248</v>
      </c>
      <c r="M2538" s="5" t="s">
        <v>18249</v>
      </c>
      <c r="N2538" s="7" t="s">
        <v>18250</v>
      </c>
      <c r="O2538" s="8" t="str">
        <f>HYPERLINK("https://drive.google.com/file/d/126NfqH4HaKUdMMZ4ebHfT57N_DkjV6Xd/view?usp=drivesdk","2537_ANISA YULIANTARI _ SERTIFIKAT BIMTEK IPASN BerAKHLASK")</f>
        <v>2537_ANISA YULIANTARI _ SERTIFIKAT BIMTEK IPASN BerAKHLASK</v>
      </c>
      <c r="P2538" s="5" t="s">
        <v>18236</v>
      </c>
      <c r="Q2538" s="5"/>
      <c r="R2538" s="5"/>
      <c r="S2538" s="5"/>
      <c r="T2538" s="5"/>
    </row>
    <row r="2539">
      <c r="A2539" s="4">
        <v>45534.340406863426</v>
      </c>
      <c r="B2539" s="5" t="s">
        <v>34</v>
      </c>
      <c r="D2539" s="5" t="s">
        <v>4775</v>
      </c>
      <c r="E2539" s="5" t="s">
        <v>18251</v>
      </c>
      <c r="F2539" s="5" t="s">
        <v>375</v>
      </c>
      <c r="G2539" s="5" t="s">
        <v>18252</v>
      </c>
      <c r="H2539" s="6" t="s">
        <v>18253</v>
      </c>
      <c r="K2539" s="5" t="s">
        <v>18254</v>
      </c>
      <c r="M2539" s="5" t="s">
        <v>18255</v>
      </c>
      <c r="N2539" s="7" t="s">
        <v>18256</v>
      </c>
      <c r="O2539" s="8" t="str">
        <f>HYPERLINK("https://drive.google.com/file/d/1_JsngcF76tV7D5doFy2hE0UVfUsDVkPH/view?usp=drivesdk","2538_SRI SOFIYATI  _ SERTIFIKAT BIMTEK IPASN BerAKHLASK")</f>
        <v>2538_SRI SOFIYATI  _ SERTIFIKAT BIMTEK IPASN BerAKHLASK</v>
      </c>
      <c r="P2539" s="5" t="s">
        <v>18236</v>
      </c>
      <c r="Q2539" s="5"/>
      <c r="R2539" s="5"/>
      <c r="S2539" s="5"/>
      <c r="T2539" s="5"/>
    </row>
    <row r="2540">
      <c r="A2540" s="4">
        <v>45534.34041385417</v>
      </c>
      <c r="B2540" s="5" t="s">
        <v>34</v>
      </c>
      <c r="D2540" s="5" t="s">
        <v>4775</v>
      </c>
      <c r="E2540" s="5" t="s">
        <v>18257</v>
      </c>
      <c r="F2540" s="5" t="s">
        <v>212</v>
      </c>
      <c r="G2540" s="5" t="s">
        <v>18258</v>
      </c>
      <c r="H2540" s="6" t="s">
        <v>18259</v>
      </c>
      <c r="K2540" s="5" t="s">
        <v>18254</v>
      </c>
      <c r="M2540" s="5" t="s">
        <v>18260</v>
      </c>
      <c r="N2540" s="7" t="s">
        <v>18261</v>
      </c>
      <c r="O2540" s="8" t="str">
        <f>HYPERLINK("https://drive.google.com/file/d/1qdVsNLs1CLBe6gfpu7iuHQ1Q3ARZQ3_j/view?usp=drivesdk","2539_TRIANA DAMAYANTI, AMd _ SERTIFIKAT BIMTEK IPASN BerAKHLASK")</f>
        <v>2539_TRIANA DAMAYANTI, AMd _ SERTIFIKAT BIMTEK IPASN BerAKHLASK</v>
      </c>
      <c r="P2540" s="5" t="s">
        <v>18236</v>
      </c>
      <c r="Q2540" s="5"/>
      <c r="R2540" s="5"/>
      <c r="S2540" s="5"/>
      <c r="T2540" s="5"/>
    </row>
    <row r="2541">
      <c r="A2541" s="4">
        <v>45534.34041509259</v>
      </c>
      <c r="B2541" s="5" t="s">
        <v>34</v>
      </c>
      <c r="D2541" s="5" t="s">
        <v>701</v>
      </c>
      <c r="E2541" s="5" t="s">
        <v>18262</v>
      </c>
      <c r="F2541" s="5" t="s">
        <v>37</v>
      </c>
      <c r="G2541" s="5" t="s">
        <v>18263</v>
      </c>
      <c r="H2541" s="6" t="s">
        <v>18264</v>
      </c>
      <c r="K2541" s="5" t="s">
        <v>18254</v>
      </c>
      <c r="M2541" s="5" t="s">
        <v>18265</v>
      </c>
      <c r="N2541" s="7" t="s">
        <v>18266</v>
      </c>
      <c r="O2541" s="8" t="str">
        <f>HYPERLINK("https://drive.google.com/file/d/1ZO42EzCg3RvtHg0NBpEV13-3d4dzoLXo/view?usp=drivesdk","2540_Arum Setiara Putri  _ SERTIFIKAT BIMTEK IPASN BerAKHLASK")</f>
        <v>2540_Arum Setiara Putri  _ SERTIFIKAT BIMTEK IPASN BerAKHLASK</v>
      </c>
      <c r="P2541" s="5" t="s">
        <v>18236</v>
      </c>
      <c r="Q2541" s="5"/>
      <c r="R2541" s="5"/>
      <c r="S2541" s="5"/>
      <c r="T2541" s="5"/>
    </row>
    <row r="2542">
      <c r="A2542" s="4">
        <v>45534.34041657408</v>
      </c>
      <c r="B2542" s="5" t="s">
        <v>34</v>
      </c>
      <c r="D2542" s="5" t="s">
        <v>996</v>
      </c>
      <c r="E2542" s="5" t="s">
        <v>18267</v>
      </c>
      <c r="F2542" s="5" t="s">
        <v>37</v>
      </c>
      <c r="G2542" s="5" t="s">
        <v>18268</v>
      </c>
      <c r="H2542" s="6" t="s">
        <v>18269</v>
      </c>
      <c r="K2542" s="5" t="s">
        <v>18254</v>
      </c>
      <c r="M2542" s="5" t="s">
        <v>18270</v>
      </c>
      <c r="N2542" s="7" t="s">
        <v>18271</v>
      </c>
      <c r="O2542" s="8" t="str">
        <f>HYPERLINK("https://drive.google.com/file/d/1eFBE7uwgaKR35si9Qd95OAvk3NFFZmDU/view?usp=drivesdk","2541_NUR ANNISYA _ SERTIFIKAT BIMTEK IPASN BerAKHLASK")</f>
        <v>2541_NUR ANNISYA _ SERTIFIKAT BIMTEK IPASN BerAKHLASK</v>
      </c>
      <c r="P2542" s="5" t="s">
        <v>18236</v>
      </c>
      <c r="Q2542" s="5"/>
      <c r="R2542" s="5"/>
      <c r="S2542" s="5"/>
      <c r="T2542" s="5"/>
    </row>
    <row r="2543">
      <c r="A2543" s="4">
        <v>45534.34041851852</v>
      </c>
      <c r="B2543" s="5" t="s">
        <v>34</v>
      </c>
      <c r="D2543" s="5" t="s">
        <v>1206</v>
      </c>
      <c r="E2543" s="5" t="s">
        <v>18272</v>
      </c>
      <c r="F2543" s="5" t="s">
        <v>212</v>
      </c>
      <c r="G2543" s="5" t="s">
        <v>18273</v>
      </c>
      <c r="H2543" s="6" t="s">
        <v>18274</v>
      </c>
      <c r="K2543" s="5" t="s">
        <v>18254</v>
      </c>
      <c r="M2543" s="5" t="s">
        <v>18275</v>
      </c>
      <c r="N2543" s="7" t="s">
        <v>18276</v>
      </c>
      <c r="O2543" s="8" t="str">
        <f>HYPERLINK("https://drive.google.com/file/d/1k5c1Yw1SSnX1PxdZk-XoxJK7tEOZ5TbW/view?usp=drivesdk","2542_YUDI SANTOSO _ SERTIFIKAT BIMTEK IPASN BerAKHLASK")</f>
        <v>2542_YUDI SANTOSO _ SERTIFIKAT BIMTEK IPASN BerAKHLASK</v>
      </c>
      <c r="P2543" s="5" t="s">
        <v>18277</v>
      </c>
      <c r="Q2543" s="5"/>
      <c r="R2543" s="5"/>
      <c r="S2543" s="5"/>
      <c r="T2543" s="5"/>
    </row>
    <row r="2544">
      <c r="A2544" s="4">
        <v>45534.34042060185</v>
      </c>
      <c r="B2544" s="5" t="s">
        <v>34</v>
      </c>
      <c r="D2544" s="5" t="s">
        <v>12978</v>
      </c>
      <c r="E2544" s="5" t="s">
        <v>18278</v>
      </c>
      <c r="F2544" s="5" t="s">
        <v>37</v>
      </c>
      <c r="G2544" s="5" t="s">
        <v>18279</v>
      </c>
      <c r="H2544" s="6" t="s">
        <v>18280</v>
      </c>
      <c r="K2544" s="5" t="s">
        <v>18254</v>
      </c>
      <c r="M2544" s="5" t="s">
        <v>18281</v>
      </c>
      <c r="N2544" s="7" t="s">
        <v>18282</v>
      </c>
      <c r="O2544" s="8" t="str">
        <f>HYPERLINK("https://drive.google.com/file/d/1UfB-R5HMvanlHGicT6kNOBFJi7EZnxHi/view?usp=drivesdk","2543_FAHMI, S.H. _ SERTIFIKAT BIMTEK IPASN BerAKHLASK")</f>
        <v>2543_FAHMI, S.H. _ SERTIFIKAT BIMTEK IPASN BerAKHLASK</v>
      </c>
      <c r="P2544" s="5" t="s">
        <v>18277</v>
      </c>
      <c r="Q2544" s="5"/>
      <c r="R2544" s="5"/>
      <c r="S2544" s="5"/>
      <c r="T2544" s="5"/>
    </row>
    <row r="2545" hidden="1">
      <c r="A2545" s="4">
        <v>45534.34042363426</v>
      </c>
      <c r="B2545" s="5" t="s">
        <v>19</v>
      </c>
      <c r="C2545" s="5" t="s">
        <v>292</v>
      </c>
      <c r="E2545" s="5" t="s">
        <v>18283</v>
      </c>
      <c r="F2545" s="5" t="s">
        <v>524</v>
      </c>
      <c r="G2545" s="5" t="s">
        <v>18284</v>
      </c>
      <c r="H2545" s="6" t="s">
        <v>18285</v>
      </c>
      <c r="K2545" s="5" t="s">
        <v>18254</v>
      </c>
      <c r="M2545" s="5" t="s">
        <v>18286</v>
      </c>
      <c r="N2545" s="7" t="s">
        <v>18287</v>
      </c>
      <c r="O2545" s="8" t="str">
        <f>HYPERLINK("https://drive.google.com/file/d/1ZS8Cj7jEjHN2MV2kQ0siewtMXzkFiBLQ/view?usp=drivesdk","2544_SUKAMTO _ SERTIFIKAT BIMTEK IPASN BerAKHLASK")</f>
        <v>2544_SUKAMTO _ SERTIFIKAT BIMTEK IPASN BerAKHLASK</v>
      </c>
      <c r="P2545" s="5" t="s">
        <v>18277</v>
      </c>
      <c r="Q2545" s="5"/>
      <c r="R2545" s="5"/>
      <c r="S2545" s="5"/>
      <c r="T2545" s="5"/>
    </row>
    <row r="2546">
      <c r="A2546" s="4">
        <v>45534.34042680556</v>
      </c>
      <c r="B2546" s="5" t="s">
        <v>34</v>
      </c>
      <c r="D2546" s="5" t="s">
        <v>6232</v>
      </c>
      <c r="E2546" s="5" t="s">
        <v>18288</v>
      </c>
      <c r="F2546" s="5" t="s">
        <v>212</v>
      </c>
      <c r="G2546" s="5" t="s">
        <v>18289</v>
      </c>
      <c r="H2546" s="6" t="s">
        <v>18290</v>
      </c>
      <c r="K2546" s="5" t="s">
        <v>18254</v>
      </c>
      <c r="M2546" s="5" t="s">
        <v>18291</v>
      </c>
      <c r="N2546" s="7" t="s">
        <v>18292</v>
      </c>
      <c r="O2546" s="8" t="str">
        <f>HYPERLINK("https://drive.google.com/file/d/1xW_D4aQ0ltqF1wgBh7zI3Ztqt57BjIRt/view?usp=drivesdk","2545_SUPATMIATUN  _ SERTIFIKAT BIMTEK IPASN BerAKHLASK")</f>
        <v>2545_SUPATMIATUN  _ SERTIFIKAT BIMTEK IPASN BerAKHLASK</v>
      </c>
      <c r="P2546" s="5" t="s">
        <v>18277</v>
      </c>
      <c r="Q2546" s="5"/>
      <c r="R2546" s="5"/>
      <c r="S2546" s="5"/>
      <c r="T2546" s="5"/>
    </row>
    <row r="2547">
      <c r="A2547" s="4">
        <v>45534.340428923606</v>
      </c>
      <c r="B2547" s="5" t="s">
        <v>34</v>
      </c>
      <c r="D2547" s="5" t="s">
        <v>1206</v>
      </c>
      <c r="E2547" s="5" t="s">
        <v>18293</v>
      </c>
      <c r="F2547" s="5" t="s">
        <v>72</v>
      </c>
      <c r="G2547" s="5" t="s">
        <v>18294</v>
      </c>
      <c r="H2547" s="6" t="s">
        <v>18295</v>
      </c>
      <c r="K2547" s="5" t="s">
        <v>18254</v>
      </c>
      <c r="M2547" s="5" t="s">
        <v>18296</v>
      </c>
      <c r="N2547" s="7" t="s">
        <v>18297</v>
      </c>
      <c r="O2547" s="8" t="str">
        <f>HYPERLINK("https://drive.google.com/file/d/1wgci7sZJGMFq9pNrPFm4VTaFekaQnBud/view?usp=drivesdk","2546_SUSILAWATI,AMD.KEP _ SERTIFIKAT BIMTEK IPASN BerAKHLASK")</f>
        <v>2546_SUSILAWATI,AMD.KEP _ SERTIFIKAT BIMTEK IPASN BerAKHLASK</v>
      </c>
      <c r="P2547" s="5" t="s">
        <v>18277</v>
      </c>
      <c r="Q2547" s="5"/>
      <c r="R2547" s="5"/>
      <c r="S2547" s="5"/>
      <c r="T2547" s="5"/>
    </row>
    <row r="2548">
      <c r="A2548" s="4">
        <v>45534.34042962963</v>
      </c>
      <c r="B2548" s="5" t="s">
        <v>34</v>
      </c>
      <c r="D2548" s="5" t="s">
        <v>4775</v>
      </c>
      <c r="E2548" s="5" t="s">
        <v>18298</v>
      </c>
      <c r="F2548" s="5" t="s">
        <v>212</v>
      </c>
      <c r="G2548" s="5" t="s">
        <v>18299</v>
      </c>
      <c r="H2548" s="6" t="s">
        <v>18300</v>
      </c>
      <c r="K2548" s="5" t="s">
        <v>18254</v>
      </c>
      <c r="M2548" s="5" t="s">
        <v>18301</v>
      </c>
      <c r="N2548" s="7" t="s">
        <v>18302</v>
      </c>
      <c r="O2548" s="8" t="str">
        <f>HYPERLINK("https://drive.google.com/file/d/1hdqeOnfOmE4VVTNPvI0IR4AVOZdoHAoL/view?usp=drivesdk","2547_YULI MULYANI _ SERTIFIKAT BIMTEK IPASN BerAKHLASK")</f>
        <v>2547_YULI MULYANI _ SERTIFIKAT BIMTEK IPASN BerAKHLASK</v>
      </c>
      <c r="P2548" s="5" t="s">
        <v>18277</v>
      </c>
      <c r="Q2548" s="5"/>
      <c r="R2548" s="5"/>
      <c r="S2548" s="5"/>
      <c r="T2548" s="5"/>
    </row>
    <row r="2549">
      <c r="A2549" s="4">
        <v>45534.34043116898</v>
      </c>
      <c r="B2549" s="5" t="s">
        <v>34</v>
      </c>
      <c r="D2549" s="5" t="s">
        <v>522</v>
      </c>
      <c r="E2549" s="5" t="s">
        <v>18303</v>
      </c>
      <c r="F2549" s="5" t="s">
        <v>375</v>
      </c>
      <c r="G2549" s="5" t="s">
        <v>18304</v>
      </c>
      <c r="H2549" s="6" t="s">
        <v>18305</v>
      </c>
      <c r="K2549" s="5" t="s">
        <v>18254</v>
      </c>
      <c r="M2549" s="5" t="s">
        <v>18306</v>
      </c>
      <c r="N2549" s="7" t="s">
        <v>18307</v>
      </c>
      <c r="O2549" s="8" t="str">
        <f>HYPERLINK("https://drive.google.com/file/d/1mMEIRXXW7nci3USKhyc3JXFHI6f_Ddjx/view?usp=drivesdk","2548_INDRAWATI _ SERTIFIKAT BIMTEK IPASN BerAKHLASK")</f>
        <v>2548_INDRAWATI _ SERTIFIKAT BIMTEK IPASN BerAKHLASK</v>
      </c>
      <c r="P2549" s="5" t="s">
        <v>18308</v>
      </c>
      <c r="Q2549" s="5"/>
      <c r="R2549" s="5"/>
      <c r="S2549" s="5"/>
      <c r="T2549" s="5"/>
    </row>
    <row r="2550">
      <c r="A2550" s="4">
        <v>45534.340432199075</v>
      </c>
      <c r="B2550" s="5" t="s">
        <v>34</v>
      </c>
      <c r="D2550" s="5" t="s">
        <v>4775</v>
      </c>
      <c r="E2550" s="5" t="s">
        <v>18309</v>
      </c>
      <c r="F2550" s="5" t="s">
        <v>212</v>
      </c>
      <c r="G2550" s="5" t="s">
        <v>18310</v>
      </c>
      <c r="H2550" s="6" t="s">
        <v>18311</v>
      </c>
      <c r="K2550" s="5" t="s">
        <v>18254</v>
      </c>
      <c r="M2550" s="5" t="s">
        <v>18312</v>
      </c>
      <c r="N2550" s="7" t="s">
        <v>18313</v>
      </c>
      <c r="O2550" s="8" t="str">
        <f>HYPERLINK("https://drive.google.com/file/d/1yHedFheBbrKoNtdmR1_XNEghD6r6BjQk/view?usp=drivesdk","2549_YUSUF PRAMUJITO _ SERTIFIKAT BIMTEK IPASN BerAKHLASK")</f>
        <v>2549_YUSUF PRAMUJITO _ SERTIFIKAT BIMTEK IPASN BerAKHLASK</v>
      </c>
      <c r="P2550" s="5" t="s">
        <v>18308</v>
      </c>
      <c r="Q2550" s="5"/>
      <c r="R2550" s="5"/>
      <c r="S2550" s="5"/>
      <c r="T2550" s="5"/>
    </row>
    <row r="2551">
      <c r="A2551" s="4">
        <v>45534.34039217593</v>
      </c>
      <c r="B2551" s="5" t="s">
        <v>34</v>
      </c>
      <c r="D2551" s="5" t="s">
        <v>996</v>
      </c>
      <c r="E2551" s="5" t="s">
        <v>18314</v>
      </c>
      <c r="F2551" s="5" t="s">
        <v>108</v>
      </c>
      <c r="G2551" s="5" t="s">
        <v>18315</v>
      </c>
      <c r="H2551" s="6" t="s">
        <v>18316</v>
      </c>
      <c r="K2551" s="5" t="s">
        <v>18254</v>
      </c>
      <c r="M2551" s="5" t="s">
        <v>18317</v>
      </c>
      <c r="N2551" s="7" t="s">
        <v>18318</v>
      </c>
      <c r="O2551" s="8" t="str">
        <f>HYPERLINK("https://drive.google.com/file/d/1HFUYJmriDf0rQTmX_-yJdOjDvu7mONSp/view?usp=drivesdk","2550_NORAIDA  _ SERTIFIKAT BIMTEK IPASN BerAKHLASK")</f>
        <v>2550_NORAIDA  _ SERTIFIKAT BIMTEK IPASN BerAKHLASK</v>
      </c>
      <c r="P2551" s="5" t="s">
        <v>18308</v>
      </c>
      <c r="Q2551" s="5"/>
      <c r="R2551" s="5"/>
      <c r="S2551" s="5"/>
      <c r="T2551" s="5"/>
    </row>
    <row r="2552">
      <c r="A2552" s="4">
        <v>45534.340430682874</v>
      </c>
      <c r="B2552" s="5" t="s">
        <v>34</v>
      </c>
      <c r="D2552" s="5" t="s">
        <v>522</v>
      </c>
      <c r="E2552" s="5" t="s">
        <v>18319</v>
      </c>
      <c r="F2552" s="5" t="s">
        <v>108</v>
      </c>
      <c r="G2552" s="5" t="s">
        <v>18320</v>
      </c>
      <c r="H2552" s="6" t="s">
        <v>18321</v>
      </c>
      <c r="K2552" s="5" t="s">
        <v>18254</v>
      </c>
      <c r="M2552" s="5" t="s">
        <v>18322</v>
      </c>
      <c r="N2552" s="7" t="s">
        <v>18323</v>
      </c>
      <c r="O2552" s="8" t="str">
        <f>HYPERLINK("https://drive.google.com/file/d/1orA8oNKVt07z-rKpf8Uqwto52-GvRpEX/view?usp=drivesdk","2551_KURNI ARIANTO _ SERTIFIKAT BIMTEK IPASN BerAKHLASK")</f>
        <v>2551_KURNI ARIANTO _ SERTIFIKAT BIMTEK IPASN BerAKHLASK</v>
      </c>
      <c r="P2552" s="5" t="s">
        <v>18308</v>
      </c>
      <c r="Q2552" s="5"/>
      <c r="R2552" s="5"/>
      <c r="S2552" s="5"/>
      <c r="T2552" s="5"/>
    </row>
    <row r="2553">
      <c r="A2553" s="4">
        <v>45534.34044046296</v>
      </c>
      <c r="B2553" s="5" t="s">
        <v>34</v>
      </c>
      <c r="D2553" s="5" t="s">
        <v>4775</v>
      </c>
      <c r="E2553" s="5" t="s">
        <v>18324</v>
      </c>
      <c r="F2553" s="5" t="s">
        <v>212</v>
      </c>
      <c r="G2553" s="5" t="s">
        <v>18325</v>
      </c>
      <c r="H2553" s="6" t="s">
        <v>18326</v>
      </c>
      <c r="K2553" s="5" t="s">
        <v>18254</v>
      </c>
      <c r="M2553" s="5" t="s">
        <v>18327</v>
      </c>
      <c r="N2553" s="7" t="s">
        <v>18328</v>
      </c>
      <c r="O2553" s="8" t="str">
        <f>HYPERLINK("https://drive.google.com/file/d/1jNZE-ckw1pw9UP1oa6qCstV29is-FXs4/view?usp=drivesdk","2552_KESSANADYA ASHIFA RATIH, A.Md.Keb _ SERTIFIKAT BIMTEK IPASN BerAKHLASK")</f>
        <v>2552_KESSANADYA ASHIFA RATIH, A.Md.Keb _ SERTIFIKAT BIMTEK IPASN BerAKHLASK</v>
      </c>
      <c r="P2553" s="5" t="s">
        <v>18308</v>
      </c>
      <c r="Q2553" s="5"/>
      <c r="R2553" s="5"/>
      <c r="S2553" s="5"/>
      <c r="T2553" s="5"/>
    </row>
    <row r="2554">
      <c r="A2554" s="4">
        <v>45534.34044216435</v>
      </c>
      <c r="B2554" s="5" t="s">
        <v>34</v>
      </c>
      <c r="D2554" s="5" t="s">
        <v>9020</v>
      </c>
      <c r="E2554" s="5" t="s">
        <v>18329</v>
      </c>
      <c r="F2554" s="5" t="s">
        <v>715</v>
      </c>
      <c r="G2554" s="5" t="s">
        <v>18330</v>
      </c>
      <c r="H2554" s="6" t="s">
        <v>18331</v>
      </c>
      <c r="K2554" s="5" t="s">
        <v>18254</v>
      </c>
      <c r="M2554" s="5" t="s">
        <v>18332</v>
      </c>
      <c r="N2554" s="7" t="s">
        <v>18333</v>
      </c>
      <c r="O2554" s="8" t="str">
        <f>HYPERLINK("https://drive.google.com/file/d/1W1SSiAtW8GjkCmBtpy1uBEXn84j42Zca/view?usp=drivesdk","2553_ARFANDI SYAHPUTRA, A. Md. Kep _ SERTIFIKAT BIMTEK IPASN BerAKHLASK")</f>
        <v>2553_ARFANDI SYAHPUTRA, A. Md. Kep _ SERTIFIKAT BIMTEK IPASN BerAKHLASK</v>
      </c>
      <c r="P2554" s="5" t="s">
        <v>18334</v>
      </c>
      <c r="Q2554" s="5"/>
      <c r="R2554" s="5"/>
      <c r="S2554" s="5"/>
      <c r="T2554" s="5"/>
    </row>
    <row r="2555">
      <c r="A2555" s="4">
        <v>45534.340443090274</v>
      </c>
      <c r="B2555" s="5" t="s">
        <v>34</v>
      </c>
      <c r="D2555" s="5" t="s">
        <v>12978</v>
      </c>
      <c r="E2555" s="5" t="s">
        <v>18335</v>
      </c>
      <c r="F2555" s="5" t="s">
        <v>715</v>
      </c>
      <c r="G2555" s="5" t="s">
        <v>18336</v>
      </c>
      <c r="H2555" s="6" t="s">
        <v>18337</v>
      </c>
      <c r="K2555" s="5" t="s">
        <v>18254</v>
      </c>
      <c r="M2555" s="5" t="s">
        <v>18338</v>
      </c>
      <c r="N2555" s="7" t="s">
        <v>18339</v>
      </c>
      <c r="O2555" s="8" t="str">
        <f>HYPERLINK("https://drive.google.com/file/d/1eUJgZVXyEtASS4dQhPzWrqvBDwpybid5/view?usp=drivesdk","2554_NELI APRIANTI  _ SERTIFIKAT BIMTEK IPASN BerAKHLASK")</f>
        <v>2554_NELI APRIANTI  _ SERTIFIKAT BIMTEK IPASN BerAKHLASK</v>
      </c>
      <c r="P2555" s="5" t="s">
        <v>18334</v>
      </c>
      <c r="Q2555" s="5"/>
      <c r="R2555" s="5"/>
      <c r="S2555" s="5"/>
      <c r="T2555" s="5"/>
    </row>
    <row r="2556">
      <c r="A2556" s="4">
        <v>45534.34045480324</v>
      </c>
      <c r="B2556" s="5" t="s">
        <v>34</v>
      </c>
      <c r="D2556" s="5" t="s">
        <v>9020</v>
      </c>
      <c r="E2556" s="5" t="s">
        <v>18340</v>
      </c>
      <c r="F2556" s="5" t="s">
        <v>72</v>
      </c>
      <c r="G2556" s="5" t="s">
        <v>18341</v>
      </c>
      <c r="H2556" s="6" t="s">
        <v>18342</v>
      </c>
      <c r="K2556" s="5" t="s">
        <v>18254</v>
      </c>
      <c r="M2556" s="5" t="s">
        <v>18343</v>
      </c>
      <c r="N2556" s="7" t="s">
        <v>18344</v>
      </c>
      <c r="O2556" s="8" t="str">
        <f>HYPERLINK("https://drive.google.com/file/d/11PRe6RgIvDnQMlP7rPma7e3imhBqv4bM/view?usp=drivesdk","2555_RISMA RIA _ SERTIFIKAT BIMTEK IPASN BerAKHLASK")</f>
        <v>2555_RISMA RIA _ SERTIFIKAT BIMTEK IPASN BerAKHLASK</v>
      </c>
      <c r="P2556" s="5" t="s">
        <v>18334</v>
      </c>
      <c r="Q2556" s="5"/>
      <c r="R2556" s="5"/>
      <c r="S2556" s="5"/>
      <c r="T2556" s="5"/>
    </row>
    <row r="2557">
      <c r="A2557" s="4">
        <v>45534.340454606485</v>
      </c>
      <c r="B2557" s="5" t="s">
        <v>34</v>
      </c>
      <c r="D2557" s="5" t="s">
        <v>267</v>
      </c>
      <c r="E2557" s="5" t="s">
        <v>18345</v>
      </c>
      <c r="F2557" s="5" t="s">
        <v>37</v>
      </c>
      <c r="G2557" s="5" t="s">
        <v>18346</v>
      </c>
      <c r="H2557" s="6" t="s">
        <v>18347</v>
      </c>
      <c r="K2557" s="5" t="s">
        <v>18254</v>
      </c>
      <c r="M2557" s="5" t="s">
        <v>18348</v>
      </c>
      <c r="N2557" s="7" t="s">
        <v>18349</v>
      </c>
      <c r="O2557" s="8" t="str">
        <f>HYPERLINK("https://drive.google.com/file/d/18OBVKguE1xxT7t961rQQAn5iz7miJb_C/view?usp=drivesdk","2556_YAMYURI, A.Md. _ SERTIFIKAT BIMTEK IPASN BerAKHLASK")</f>
        <v>2556_YAMYURI, A.Md. _ SERTIFIKAT BIMTEK IPASN BerAKHLASK</v>
      </c>
      <c r="P2557" s="5" t="s">
        <v>18334</v>
      </c>
      <c r="Q2557" s="5"/>
      <c r="R2557" s="5"/>
      <c r="S2557" s="5"/>
      <c r="T2557" s="5"/>
    </row>
    <row r="2558">
      <c r="A2558" s="4">
        <v>45534.34044608797</v>
      </c>
      <c r="B2558" s="5" t="s">
        <v>34</v>
      </c>
      <c r="D2558" s="5" t="s">
        <v>35</v>
      </c>
      <c r="E2558" s="5" t="s">
        <v>18350</v>
      </c>
      <c r="F2558" s="5" t="s">
        <v>37</v>
      </c>
      <c r="G2558" s="5" t="s">
        <v>18351</v>
      </c>
      <c r="H2558" s="6" t="s">
        <v>18352</v>
      </c>
      <c r="K2558" s="5" t="s">
        <v>18254</v>
      </c>
      <c r="M2558" s="5" t="s">
        <v>18353</v>
      </c>
      <c r="N2558" s="7" t="s">
        <v>18354</v>
      </c>
      <c r="O2558" s="8" t="str">
        <f>HYPERLINK("https://drive.google.com/file/d/12L7-TTa862r1Hsl5KGlZMbhYTH8h_A0K/view?usp=drivesdk","2557_TOTO TARSONO _ SERTIFIKAT BerAKHLAK")</f>
        <v>2557_TOTO TARSONO _ SERTIFIKAT BerAKHLAK</v>
      </c>
      <c r="P2558" s="5" t="s">
        <v>18355</v>
      </c>
      <c r="Q2558" s="5"/>
      <c r="R2558" s="5"/>
      <c r="S2558" s="5"/>
      <c r="T2558" s="5"/>
    </row>
    <row r="2559">
      <c r="A2559" s="4">
        <v>45534.34046143519</v>
      </c>
      <c r="B2559" s="5" t="s">
        <v>34</v>
      </c>
      <c r="D2559" s="5" t="s">
        <v>12010</v>
      </c>
      <c r="E2559" s="5" t="s">
        <v>18356</v>
      </c>
      <c r="F2559" s="5" t="s">
        <v>524</v>
      </c>
      <c r="G2559" s="5" t="s">
        <v>18357</v>
      </c>
      <c r="H2559" s="6" t="s">
        <v>18358</v>
      </c>
      <c r="K2559" s="5" t="s">
        <v>18254</v>
      </c>
      <c r="M2559" s="5" t="s">
        <v>18359</v>
      </c>
      <c r="N2559" s="7" t="s">
        <v>18360</v>
      </c>
      <c r="O2559" s="8" t="str">
        <f>HYPERLINK("https://drive.google.com/file/d/1igMrSgTxswnvhF4WxYCZ-MpLQwjhBGPz/view?usp=drivesdk","2558_ASNIATI YUSUF S.E _ SERTIFIKAT BerAKHLAK")</f>
        <v>2558_ASNIATI YUSUF S.E _ SERTIFIKAT BerAKHLAK</v>
      </c>
      <c r="P2559" s="5" t="s">
        <v>18355</v>
      </c>
      <c r="Q2559" s="5"/>
      <c r="R2559" s="5"/>
      <c r="S2559" s="5"/>
      <c r="T2559" s="5"/>
    </row>
    <row r="2560">
      <c r="A2560" s="4">
        <v>45534.340463182874</v>
      </c>
      <c r="B2560" s="5" t="s">
        <v>34</v>
      </c>
      <c r="D2560" s="5" t="s">
        <v>580</v>
      </c>
      <c r="E2560" s="5" t="s">
        <v>18361</v>
      </c>
      <c r="F2560" s="5" t="s">
        <v>72</v>
      </c>
      <c r="G2560" s="5" t="s">
        <v>18362</v>
      </c>
      <c r="H2560" s="6" t="s">
        <v>18363</v>
      </c>
      <c r="K2560" s="5" t="s">
        <v>18254</v>
      </c>
      <c r="M2560" s="5" t="s">
        <v>18364</v>
      </c>
      <c r="N2560" s="7" t="s">
        <v>18365</v>
      </c>
      <c r="O2560" s="8" t="str">
        <f>HYPERLINK("https://drive.google.com/file/d/1G92ErvvT-cs20o3PIgMpZE1jjhKhfFCD/view?usp=drivesdk","2559_NI MADE KARUNI _ SERTIFIKAT BerAKHLAK")</f>
        <v>2559_NI MADE KARUNI _ SERTIFIKAT BerAKHLAK</v>
      </c>
      <c r="P2560" s="5" t="s">
        <v>18366</v>
      </c>
      <c r="Q2560" s="5"/>
      <c r="R2560" s="5"/>
      <c r="S2560" s="5"/>
      <c r="T2560" s="5"/>
    </row>
    <row r="2561">
      <c r="A2561" s="4">
        <v>45534.34050046296</v>
      </c>
      <c r="B2561" s="5" t="s">
        <v>34</v>
      </c>
      <c r="D2561" s="5" t="s">
        <v>35</v>
      </c>
      <c r="E2561" s="5" t="s">
        <v>18367</v>
      </c>
      <c r="F2561" s="5" t="s">
        <v>37</v>
      </c>
      <c r="G2561" s="5" t="s">
        <v>18368</v>
      </c>
      <c r="H2561" s="6" t="s">
        <v>18369</v>
      </c>
      <c r="K2561" s="5" t="s">
        <v>18254</v>
      </c>
      <c r="M2561" s="5" t="s">
        <v>18370</v>
      </c>
      <c r="N2561" s="7" t="s">
        <v>18371</v>
      </c>
      <c r="O2561" s="8" t="str">
        <f>HYPERLINK("https://drive.google.com/file/d/17r7FePq01tGw_R3PyQBRofjHYezRl2gq/view?usp=drivesdk","2560_JUNEDI _ SERTIFIKAT BerAKHLAK")</f>
        <v>2560_JUNEDI _ SERTIFIKAT BerAKHLAK</v>
      </c>
      <c r="P2561" s="5" t="s">
        <v>18366</v>
      </c>
      <c r="Q2561" s="5"/>
      <c r="R2561" s="5"/>
      <c r="S2561" s="5"/>
      <c r="T2561" s="5"/>
    </row>
    <row r="2562">
      <c r="A2562" s="4">
        <v>45534.340503263884</v>
      </c>
      <c r="B2562" s="5" t="s">
        <v>34</v>
      </c>
      <c r="D2562" s="5" t="s">
        <v>14313</v>
      </c>
      <c r="E2562" s="5" t="s">
        <v>18372</v>
      </c>
      <c r="F2562" s="5" t="s">
        <v>715</v>
      </c>
      <c r="G2562" s="5" t="s">
        <v>18373</v>
      </c>
      <c r="H2562" s="6" t="s">
        <v>18374</v>
      </c>
      <c r="K2562" s="5" t="s">
        <v>18254</v>
      </c>
      <c r="M2562" s="5" t="s">
        <v>18375</v>
      </c>
      <c r="N2562" s="7" t="s">
        <v>18376</v>
      </c>
      <c r="O2562" s="8" t="str">
        <f>HYPERLINK("https://drive.google.com/file/d/1df8qaNLXahqIoWfNahQMNWH6x-epihd-/view?usp=drivesdk","2561_MARDIANA, S.A.P _ SERTIFIKAT BerAKHLAK")</f>
        <v>2561_MARDIANA, S.A.P _ SERTIFIKAT BerAKHLAK</v>
      </c>
      <c r="P2562" s="5" t="s">
        <v>18366</v>
      </c>
      <c r="Q2562" s="5"/>
      <c r="R2562" s="5"/>
      <c r="S2562" s="5"/>
      <c r="T2562" s="5"/>
    </row>
    <row r="2563">
      <c r="A2563" s="4">
        <v>45534.34050474537</v>
      </c>
      <c r="B2563" s="5" t="s">
        <v>34</v>
      </c>
      <c r="D2563" s="5" t="s">
        <v>12978</v>
      </c>
      <c r="E2563" s="5" t="s">
        <v>18377</v>
      </c>
      <c r="F2563" s="5" t="s">
        <v>37</v>
      </c>
      <c r="G2563" s="5" t="s">
        <v>18378</v>
      </c>
      <c r="H2563" s="6" t="s">
        <v>18379</v>
      </c>
      <c r="K2563" s="5" t="s">
        <v>18254</v>
      </c>
      <c r="M2563" s="5" t="s">
        <v>18380</v>
      </c>
      <c r="N2563" s="7" t="s">
        <v>18381</v>
      </c>
      <c r="O2563" s="8" t="str">
        <f>HYPERLINK("https://drive.google.com/file/d/1pQVVnbikky7hirlW-7OrlJI8P_jmjtz-/view?usp=drivesdk","2562_HESTI NATANAEL  _ SERTIFIKAT BerAKHLAK")</f>
        <v>2562_HESTI NATANAEL  _ SERTIFIKAT BerAKHLAK</v>
      </c>
      <c r="P2563" s="5" t="s">
        <v>18366</v>
      </c>
      <c r="Q2563" s="5"/>
      <c r="R2563" s="5"/>
      <c r="S2563" s="5"/>
      <c r="T2563" s="5"/>
    </row>
    <row r="2564">
      <c r="A2564" s="4">
        <v>45534.34047084491</v>
      </c>
      <c r="B2564" s="5" t="s">
        <v>34</v>
      </c>
      <c r="D2564" s="5" t="s">
        <v>604</v>
      </c>
      <c r="E2564" s="5" t="s">
        <v>18382</v>
      </c>
      <c r="F2564" s="5" t="s">
        <v>108</v>
      </c>
      <c r="G2564" s="5" t="s">
        <v>18383</v>
      </c>
      <c r="H2564" s="6" t="s">
        <v>18384</v>
      </c>
      <c r="K2564" s="5" t="s">
        <v>18254</v>
      </c>
      <c r="M2564" s="5" t="s">
        <v>18385</v>
      </c>
      <c r="N2564" s="7" t="s">
        <v>18386</v>
      </c>
      <c r="O2564" s="8" t="str">
        <f>HYPERLINK("https://drive.google.com/file/d/1c5yZvSK6MpEq0Uy4j4x5uq6rKGGKFnUb/view?usp=drivesdk","2563_AGUSTINA RURU,Amd.Keb _ SERTIFIKAT BerAKHLAK")</f>
        <v>2563_AGUSTINA RURU,Amd.Keb _ SERTIFIKAT BerAKHLAK</v>
      </c>
      <c r="P2564" s="5" t="s">
        <v>18387</v>
      </c>
      <c r="Q2564" s="5"/>
      <c r="R2564" s="5"/>
      <c r="S2564" s="5"/>
      <c r="T2564" s="5"/>
    </row>
    <row r="2565">
      <c r="A2565" s="4">
        <v>45534.34048168981</v>
      </c>
      <c r="B2565" s="5" t="s">
        <v>34</v>
      </c>
      <c r="D2565" s="5" t="s">
        <v>1768</v>
      </c>
      <c r="E2565" s="5" t="s">
        <v>18388</v>
      </c>
      <c r="F2565" s="5" t="s">
        <v>72</v>
      </c>
      <c r="G2565" s="5" t="s">
        <v>18389</v>
      </c>
      <c r="H2565" s="6" t="s">
        <v>18390</v>
      </c>
      <c r="K2565" s="5" t="s">
        <v>18254</v>
      </c>
      <c r="M2565" s="5" t="s">
        <v>18391</v>
      </c>
      <c r="N2565" s="7" t="s">
        <v>18392</v>
      </c>
      <c r="O2565" s="8" t="str">
        <f>HYPERLINK("https://drive.google.com/file/d/18pMBI6LaRI4w7FAGXlsHodPbHgYgXnDn/view?usp=drivesdk","2564_JULAINA _ SERTIFIKAT BerAKHLAK")</f>
        <v>2564_JULAINA _ SERTIFIKAT BerAKHLAK</v>
      </c>
      <c r="P2565" s="5" t="s">
        <v>18387</v>
      </c>
      <c r="Q2565" s="5"/>
      <c r="R2565" s="5"/>
      <c r="S2565" s="5"/>
      <c r="T2565" s="5"/>
    </row>
    <row r="2566">
      <c r="A2566" s="4">
        <v>45534.34048946759</v>
      </c>
      <c r="B2566" s="5" t="s">
        <v>34</v>
      </c>
      <c r="D2566" s="5" t="s">
        <v>12978</v>
      </c>
      <c r="E2566" s="5" t="s">
        <v>18393</v>
      </c>
      <c r="F2566" s="5" t="s">
        <v>375</v>
      </c>
      <c r="G2566" s="5" t="s">
        <v>18394</v>
      </c>
      <c r="H2566" s="6" t="s">
        <v>18395</v>
      </c>
      <c r="K2566" s="5" t="s">
        <v>18254</v>
      </c>
      <c r="M2566" s="5" t="s">
        <v>18396</v>
      </c>
      <c r="N2566" s="7" t="s">
        <v>18397</v>
      </c>
      <c r="O2566" s="8" t="str">
        <f>HYPERLINK("https://drive.google.com/file/d/1krMJkekQzUdnGeURsoroi4d3ZWNjxyHG/view?usp=drivesdk","2565_LIDYA NAZAR ST  _ SERTIFIKAT BerAKHLAK")</f>
        <v>2565_LIDYA NAZAR ST  _ SERTIFIKAT BerAKHLAK</v>
      </c>
      <c r="P2566" s="5" t="s">
        <v>18387</v>
      </c>
      <c r="Q2566" s="5"/>
      <c r="R2566" s="5"/>
      <c r="S2566" s="5"/>
      <c r="T2566" s="5"/>
    </row>
    <row r="2567">
      <c r="A2567" s="4">
        <v>45534.34049096065</v>
      </c>
      <c r="B2567" s="5" t="s">
        <v>34</v>
      </c>
      <c r="D2567" s="5" t="s">
        <v>1206</v>
      </c>
      <c r="E2567" s="5" t="s">
        <v>18398</v>
      </c>
      <c r="F2567" s="5" t="s">
        <v>108</v>
      </c>
      <c r="G2567" s="5" t="s">
        <v>18399</v>
      </c>
      <c r="H2567" s="6" t="s">
        <v>18400</v>
      </c>
      <c r="K2567" s="5" t="s">
        <v>18254</v>
      </c>
      <c r="M2567" s="5" t="s">
        <v>18401</v>
      </c>
      <c r="N2567" s="7" t="s">
        <v>18402</v>
      </c>
      <c r="O2567" s="8" t="str">
        <f>HYPERLINK("https://drive.google.com/file/d/1j9R_8IgYi1oxQZsJ7LmoFPXiJCclEcSE/view?usp=drivesdk","2566_WIWIK INDARTI _ SERTIFIKAT BerAKHLAK")</f>
        <v>2566_WIWIK INDARTI _ SERTIFIKAT BerAKHLAK</v>
      </c>
      <c r="P2567" s="5" t="s">
        <v>18387</v>
      </c>
      <c r="Q2567" s="5"/>
      <c r="R2567" s="5"/>
      <c r="S2567" s="5"/>
      <c r="T2567" s="5"/>
    </row>
    <row r="2568">
      <c r="A2568" s="4">
        <v>45534.34049369213</v>
      </c>
      <c r="B2568" s="5" t="s">
        <v>34</v>
      </c>
      <c r="D2568" s="5" t="s">
        <v>2903</v>
      </c>
      <c r="E2568" s="5" t="s">
        <v>18403</v>
      </c>
      <c r="F2568" s="5" t="s">
        <v>524</v>
      </c>
      <c r="G2568" s="5" t="s">
        <v>18404</v>
      </c>
      <c r="H2568" s="6" t="s">
        <v>18405</v>
      </c>
      <c r="K2568" s="5" t="s">
        <v>18254</v>
      </c>
      <c r="M2568" s="5" t="s">
        <v>18406</v>
      </c>
      <c r="N2568" s="7" t="s">
        <v>18407</v>
      </c>
      <c r="O2568" s="8" t="str">
        <f>HYPERLINK("https://drive.google.com/file/d/1RhJb-d7DNTZctkckwnVohIf0Mcohm8Hf/view?usp=drivesdk","2567_TITIN SISMIARTI SKM  _ SERTIFIKAT BerAKHLAK")</f>
        <v>2567_TITIN SISMIARTI SKM  _ SERTIFIKAT BerAKHLAK</v>
      </c>
      <c r="P2568" s="5" t="s">
        <v>18408</v>
      </c>
      <c r="Q2568" s="5"/>
      <c r="R2568" s="5"/>
      <c r="S2568" s="5"/>
      <c r="T2568" s="5"/>
    </row>
    <row r="2569">
      <c r="A2569" s="4">
        <v>45534.34050828704</v>
      </c>
      <c r="B2569" s="5" t="s">
        <v>34</v>
      </c>
      <c r="D2569" s="5" t="s">
        <v>996</v>
      </c>
      <c r="E2569" s="5" t="s">
        <v>18409</v>
      </c>
      <c r="F2569" s="5" t="s">
        <v>37</v>
      </c>
      <c r="G2569" s="5" t="s">
        <v>18410</v>
      </c>
      <c r="H2569" s="6" t="s">
        <v>18411</v>
      </c>
      <c r="K2569" s="5" t="s">
        <v>18254</v>
      </c>
      <c r="M2569" s="5" t="s">
        <v>18412</v>
      </c>
      <c r="N2569" s="7" t="s">
        <v>18413</v>
      </c>
      <c r="O2569" s="8" t="str">
        <f>HYPERLINK("https://drive.google.com/file/d/1ipi8y_Tb97RlGXxkkNsLwj6_XtrMKOEy/view?usp=drivesdk","2568_HERLINA, SE _ SERTIFIKAT BerAKHLAK")</f>
        <v>2568_HERLINA, SE _ SERTIFIKAT BerAKHLAK</v>
      </c>
      <c r="P2569" s="5" t="s">
        <v>18408</v>
      </c>
      <c r="Q2569" s="5"/>
      <c r="R2569" s="5"/>
      <c r="S2569" s="5"/>
      <c r="T2569" s="5"/>
    </row>
    <row r="2570">
      <c r="A2570" s="4">
        <v>45534.34053861111</v>
      </c>
      <c r="B2570" s="5" t="s">
        <v>34</v>
      </c>
      <c r="D2570" s="5" t="s">
        <v>10297</v>
      </c>
      <c r="E2570" s="5" t="s">
        <v>18414</v>
      </c>
      <c r="F2570" s="5" t="s">
        <v>37</v>
      </c>
      <c r="G2570" s="5" t="s">
        <v>18415</v>
      </c>
      <c r="H2570" s="6" t="s">
        <v>18416</v>
      </c>
      <c r="K2570" s="5" t="s">
        <v>18254</v>
      </c>
      <c r="M2570" s="5" t="s">
        <v>18417</v>
      </c>
      <c r="N2570" s="7" t="s">
        <v>18418</v>
      </c>
      <c r="O2570" s="8" t="str">
        <f>HYPERLINK("https://drive.google.com/file/d/19hvpDuJp1Bt7UHF42EES7pJY3N5cmt00/view?usp=drivesdk","2569_Chaton Dimas Syahputra _ SERTIFIKAT BerAKHLAK")</f>
        <v>2569_Chaton Dimas Syahputra _ SERTIFIKAT BerAKHLAK</v>
      </c>
      <c r="P2570" s="5" t="s">
        <v>18408</v>
      </c>
      <c r="Q2570" s="5"/>
      <c r="R2570" s="5"/>
      <c r="S2570" s="5"/>
      <c r="T2570" s="5"/>
    </row>
    <row r="2571">
      <c r="A2571" s="4">
        <v>45534.34054988426</v>
      </c>
      <c r="B2571" s="5" t="s">
        <v>34</v>
      </c>
      <c r="D2571" s="5" t="s">
        <v>9020</v>
      </c>
      <c r="E2571" s="5" t="s">
        <v>18419</v>
      </c>
      <c r="F2571" s="5" t="s">
        <v>212</v>
      </c>
      <c r="G2571" s="5" t="s">
        <v>18420</v>
      </c>
      <c r="H2571" s="6" t="s">
        <v>18421</v>
      </c>
      <c r="K2571" s="5" t="s">
        <v>18254</v>
      </c>
      <c r="M2571" s="5" t="s">
        <v>18422</v>
      </c>
      <c r="N2571" s="7" t="s">
        <v>18423</v>
      </c>
      <c r="O2571" s="8" t="str">
        <f>HYPERLINK("https://drive.google.com/file/d/1n0OoxP6wxpOsjcanuOJNC7-797R-v1fd/view?usp=drivesdk","2570_SUMARNI _ SERTIFIKAT BerAKHLAK")</f>
        <v>2570_SUMARNI _ SERTIFIKAT BerAKHLAK</v>
      </c>
      <c r="P2571" s="5" t="s">
        <v>18408</v>
      </c>
      <c r="Q2571" s="5"/>
      <c r="R2571" s="5"/>
      <c r="S2571" s="5"/>
      <c r="T2571" s="5"/>
    </row>
    <row r="2572">
      <c r="A2572" s="4">
        <v>45534.340551875</v>
      </c>
      <c r="B2572" s="5" t="s">
        <v>34</v>
      </c>
      <c r="D2572" s="5" t="s">
        <v>580</v>
      </c>
      <c r="E2572" s="5" t="s">
        <v>18424</v>
      </c>
      <c r="F2572" s="5" t="s">
        <v>108</v>
      </c>
      <c r="G2572" s="5" t="s">
        <v>18425</v>
      </c>
      <c r="H2572" s="6" t="s">
        <v>18426</v>
      </c>
      <c r="K2572" s="5" t="s">
        <v>18254</v>
      </c>
      <c r="M2572" s="5" t="s">
        <v>18427</v>
      </c>
      <c r="N2572" s="7" t="s">
        <v>18428</v>
      </c>
      <c r="O2572" s="8" t="str">
        <f>HYPERLINK("https://drive.google.com/file/d/1ocHfn49B0rcAAcAdzsKSTqCzL6fpMTuz/view?usp=drivesdk","2571_Ni Ketut Murdi  _ SERTIFIKAT BerAKHLAK")</f>
        <v>2571_Ni Ketut Murdi  _ SERTIFIKAT BerAKHLAK</v>
      </c>
      <c r="P2572" s="5" t="s">
        <v>18429</v>
      </c>
      <c r="Q2572" s="5"/>
      <c r="R2572" s="5"/>
      <c r="S2572" s="5"/>
      <c r="T2572" s="5"/>
    </row>
    <row r="2573">
      <c r="A2573" s="4">
        <v>45534.340553726855</v>
      </c>
      <c r="B2573" s="5" t="s">
        <v>34</v>
      </c>
      <c r="D2573" s="5" t="s">
        <v>35</v>
      </c>
      <c r="E2573" s="5" t="s">
        <v>18430</v>
      </c>
      <c r="F2573" s="5" t="s">
        <v>108</v>
      </c>
      <c r="G2573" s="5" t="s">
        <v>18431</v>
      </c>
      <c r="H2573" s="6" t="s">
        <v>18432</v>
      </c>
      <c r="K2573" s="5" t="s">
        <v>18254</v>
      </c>
      <c r="M2573" s="5" t="s">
        <v>18433</v>
      </c>
      <c r="N2573" s="7" t="s">
        <v>18434</v>
      </c>
      <c r="O2573" s="8" t="str">
        <f>HYPERLINK("https://drive.google.com/file/d/1TWt5or10axBNkX79wjakUwockRe9PwvS/view?usp=drivesdk","2572_SRI WAHYUNI _ SERTIFIKAT BerAKHLAK")</f>
        <v>2572_SRI WAHYUNI _ SERTIFIKAT BerAKHLAK</v>
      </c>
      <c r="P2573" s="5" t="s">
        <v>18429</v>
      </c>
      <c r="Q2573" s="5"/>
      <c r="R2573" s="5"/>
      <c r="S2573" s="5"/>
      <c r="T2573" s="5"/>
    </row>
    <row r="2574">
      <c r="A2574" s="4">
        <v>45534.340555138886</v>
      </c>
      <c r="B2574" s="5" t="s">
        <v>34</v>
      </c>
      <c r="D2574" s="5" t="s">
        <v>4775</v>
      </c>
      <c r="E2574" s="5" t="s">
        <v>18435</v>
      </c>
      <c r="F2574" s="5" t="s">
        <v>212</v>
      </c>
      <c r="G2574" s="5" t="s">
        <v>18436</v>
      </c>
      <c r="H2574" s="6" t="s">
        <v>18437</v>
      </c>
      <c r="K2574" s="5" t="s">
        <v>18254</v>
      </c>
      <c r="M2574" s="5" t="s">
        <v>18438</v>
      </c>
      <c r="N2574" s="7" t="s">
        <v>18439</v>
      </c>
      <c r="O2574" s="8" t="str">
        <f>HYPERLINK("https://drive.google.com/file/d/1bn0ACVSAl5DUarmz5U8aJc7uFpkpFLXG/view?usp=drivesdk","2573_GILANG TAUFIQ AKBAR _ SERTIFIKAT BerAKHLAK")</f>
        <v>2573_GILANG TAUFIQ AKBAR _ SERTIFIKAT BerAKHLAK</v>
      </c>
      <c r="P2574" s="5" t="s">
        <v>18429</v>
      </c>
      <c r="Q2574" s="5"/>
      <c r="R2574" s="5"/>
      <c r="S2574" s="5"/>
      <c r="T2574" s="5"/>
    </row>
    <row r="2575">
      <c r="A2575" s="4">
        <v>45534.340509166665</v>
      </c>
      <c r="B2575" s="5" t="s">
        <v>34</v>
      </c>
      <c r="D2575" s="5" t="s">
        <v>4775</v>
      </c>
      <c r="E2575" s="5" t="s">
        <v>18440</v>
      </c>
      <c r="F2575" s="5" t="s">
        <v>375</v>
      </c>
      <c r="G2575" s="5" t="s">
        <v>18441</v>
      </c>
      <c r="H2575" s="6" t="s">
        <v>18442</v>
      </c>
      <c r="K2575" s="5" t="s">
        <v>18254</v>
      </c>
      <c r="M2575" s="5" t="s">
        <v>18443</v>
      </c>
      <c r="N2575" s="7" t="s">
        <v>18444</v>
      </c>
      <c r="O2575" s="8" t="str">
        <f>HYPERLINK("https://drive.google.com/file/d/1eOmwdye8wHucfcfnanfmaJcp0rL4bP5E/view?usp=drivesdk","2574_SONI GONDO SUTRISNO _ SERTIFIKAT BerAKHLAK")</f>
        <v>2574_SONI GONDO SUTRISNO _ SERTIFIKAT BerAKHLAK</v>
      </c>
      <c r="P2575" s="5" t="s">
        <v>18429</v>
      </c>
      <c r="Q2575" s="5"/>
      <c r="R2575" s="5"/>
      <c r="S2575" s="5"/>
      <c r="T2575" s="5"/>
    </row>
    <row r="2576">
      <c r="A2576" s="4">
        <v>45534.34051278935</v>
      </c>
      <c r="B2576" s="5" t="s">
        <v>34</v>
      </c>
      <c r="D2576" s="5" t="s">
        <v>4775</v>
      </c>
      <c r="E2576" s="5" t="s">
        <v>18445</v>
      </c>
      <c r="F2576" s="5" t="s">
        <v>212</v>
      </c>
      <c r="G2576" s="5" t="s">
        <v>18446</v>
      </c>
      <c r="H2576" s="6" t="s">
        <v>18447</v>
      </c>
      <c r="K2576" s="5" t="s">
        <v>18254</v>
      </c>
      <c r="M2576" s="5" t="s">
        <v>18448</v>
      </c>
      <c r="N2576" s="7" t="s">
        <v>18449</v>
      </c>
      <c r="O2576" s="8" t="str">
        <f>HYPERLINK("https://drive.google.com/file/d/1fNs8WtNhAqbBEep78JoF51VDoxLmF8VX/view?usp=drivesdk","2575_SUMIATI _ SERTIFIKAT BerAKHLAK")</f>
        <v>2575_SUMIATI _ SERTIFIKAT BerAKHLAK</v>
      </c>
      <c r="P2576" s="5" t="s">
        <v>18450</v>
      </c>
      <c r="Q2576" s="5"/>
      <c r="R2576" s="5"/>
      <c r="S2576" s="5"/>
      <c r="T2576" s="5"/>
    </row>
    <row r="2577">
      <c r="A2577" s="4">
        <v>45534.34051923611</v>
      </c>
      <c r="B2577" s="5" t="s">
        <v>34</v>
      </c>
      <c r="D2577" s="5" t="s">
        <v>9020</v>
      </c>
      <c r="E2577" s="5" t="s">
        <v>18451</v>
      </c>
      <c r="F2577" s="5" t="s">
        <v>37</v>
      </c>
      <c r="G2577" s="5" t="s">
        <v>18452</v>
      </c>
      <c r="H2577" s="6" t="s">
        <v>18453</v>
      </c>
      <c r="K2577" s="5" t="s">
        <v>18254</v>
      </c>
      <c r="M2577" s="5" t="s">
        <v>18454</v>
      </c>
      <c r="N2577" s="7" t="s">
        <v>18455</v>
      </c>
      <c r="O2577" s="8" t="str">
        <f>HYPERLINK("https://drive.google.com/file/d/1ANZ9jVa5rhfq2-Ja3gxfYHbqf7jaevQb/view?usp=drivesdk","2576_TITA JULITA PURBA _ SERTIFIKAT BerAKHLAK")</f>
        <v>2576_TITA JULITA PURBA _ SERTIFIKAT BerAKHLAK</v>
      </c>
      <c r="P2577" s="5" t="s">
        <v>18450</v>
      </c>
      <c r="Q2577" s="5"/>
      <c r="R2577" s="5"/>
      <c r="S2577" s="5"/>
      <c r="T2577" s="5"/>
    </row>
    <row r="2578">
      <c r="A2578" s="4">
        <v>45534.34052197917</v>
      </c>
      <c r="B2578" s="5" t="s">
        <v>34</v>
      </c>
      <c r="D2578" s="5" t="s">
        <v>1206</v>
      </c>
      <c r="E2578" s="5" t="s">
        <v>18456</v>
      </c>
      <c r="F2578" s="5" t="s">
        <v>37</v>
      </c>
      <c r="G2578" s="5" t="s">
        <v>18457</v>
      </c>
      <c r="H2578" s="6" t="s">
        <v>18458</v>
      </c>
      <c r="K2578" s="5" t="s">
        <v>18254</v>
      </c>
      <c r="M2578" s="5" t="s">
        <v>18459</v>
      </c>
      <c r="N2578" s="7" t="s">
        <v>18460</v>
      </c>
      <c r="O2578" s="8" t="str">
        <f>HYPERLINK("https://drive.google.com/file/d/1lJ_5EYH0C9VUjCITRn1CPWivOyRQzUT4/view?usp=drivesdk","2577_SAIFUL SALAM _ SERTIFIKAT BerAKHLAK")</f>
        <v>2577_SAIFUL SALAM _ SERTIFIKAT BerAKHLAK</v>
      </c>
      <c r="P2578" s="5" t="s">
        <v>18450</v>
      </c>
      <c r="Q2578" s="5"/>
      <c r="R2578" s="5"/>
      <c r="S2578" s="5"/>
      <c r="T2578" s="5"/>
    </row>
    <row r="2579">
      <c r="A2579" s="4">
        <v>45534.34052237269</v>
      </c>
      <c r="B2579" s="5" t="s">
        <v>34</v>
      </c>
      <c r="D2579" s="5" t="s">
        <v>1206</v>
      </c>
      <c r="E2579" s="5" t="s">
        <v>18461</v>
      </c>
      <c r="F2579" s="5" t="s">
        <v>37</v>
      </c>
      <c r="G2579" s="5" t="s">
        <v>18462</v>
      </c>
      <c r="H2579" s="6" t="s">
        <v>18463</v>
      </c>
      <c r="K2579" s="5" t="s">
        <v>18254</v>
      </c>
      <c r="M2579" s="5" t="s">
        <v>18464</v>
      </c>
      <c r="N2579" s="7" t="s">
        <v>18465</v>
      </c>
      <c r="O2579" s="8" t="str">
        <f>HYPERLINK("https://drive.google.com/file/d/1pvJawm-uuStWWd-viHuEaW46F_0aq7jw/view?usp=drivesdk","2578_HENI PURWOWIKANTI, S.Pd _ SERTIFIKAT BerAKHLAK")</f>
        <v>2578_HENI PURWOWIKANTI, S.Pd _ SERTIFIKAT BerAKHLAK</v>
      </c>
      <c r="P2579" s="5" t="s">
        <v>18450</v>
      </c>
      <c r="Q2579" s="5"/>
      <c r="R2579" s="5"/>
      <c r="S2579" s="5"/>
      <c r="T2579" s="5"/>
    </row>
    <row r="2580">
      <c r="A2580" s="4">
        <v>45534.340563136575</v>
      </c>
      <c r="B2580" s="5" t="s">
        <v>34</v>
      </c>
      <c r="D2580" s="5" t="s">
        <v>14313</v>
      </c>
      <c r="E2580" s="5" t="s">
        <v>18466</v>
      </c>
      <c r="F2580" s="5" t="s">
        <v>37</v>
      </c>
      <c r="G2580" s="5" t="s">
        <v>18467</v>
      </c>
      <c r="H2580" s="6" t="s">
        <v>18468</v>
      </c>
      <c r="K2580" s="5" t="s">
        <v>18254</v>
      </c>
      <c r="M2580" s="5" t="s">
        <v>18469</v>
      </c>
      <c r="N2580" s="7" t="s">
        <v>18470</v>
      </c>
      <c r="O2580" s="8" t="str">
        <f>HYPERLINK("https://drive.google.com/file/d/1yj3ipE8FVzLAGsf-tZTjTZa6rwtnXUTs/view?usp=drivesdk","2579_MUSTAMAL, A.MD.KOM _ SERTIFIKAT BerAKHLAK")</f>
        <v>2579_MUSTAMAL, A.MD.KOM _ SERTIFIKAT BerAKHLAK</v>
      </c>
      <c r="P2580" s="5" t="s">
        <v>18471</v>
      </c>
      <c r="Q2580" s="5"/>
      <c r="R2580" s="5"/>
      <c r="S2580" s="5"/>
      <c r="T2580" s="5"/>
    </row>
    <row r="2581">
      <c r="A2581" s="4">
        <v>45534.34056730324</v>
      </c>
      <c r="B2581" s="5" t="s">
        <v>34</v>
      </c>
      <c r="D2581" s="5" t="s">
        <v>12978</v>
      </c>
      <c r="E2581" s="5" t="s">
        <v>18472</v>
      </c>
      <c r="F2581" s="5" t="s">
        <v>524</v>
      </c>
      <c r="G2581" s="5" t="s">
        <v>18473</v>
      </c>
      <c r="H2581" s="6" t="s">
        <v>18474</v>
      </c>
      <c r="K2581" s="5" t="s">
        <v>18254</v>
      </c>
      <c r="M2581" s="5" t="s">
        <v>18475</v>
      </c>
      <c r="N2581" s="7" t="s">
        <v>18476</v>
      </c>
      <c r="O2581" s="8" t="str">
        <f>HYPERLINK("https://drive.google.com/file/d/1XebpIPKNnf2j8H3JTj3aHtGtsSDjIkUe/view?usp=drivesdk","2580_SUPARTONO _ SERTIFIKAT BerAKHLAK")</f>
        <v>2580_SUPARTONO _ SERTIFIKAT BerAKHLAK</v>
      </c>
      <c r="P2581" s="5" t="s">
        <v>18471</v>
      </c>
      <c r="Q2581" s="5"/>
      <c r="R2581" s="5"/>
      <c r="S2581" s="5"/>
      <c r="T2581" s="5"/>
    </row>
    <row r="2582" hidden="1">
      <c r="A2582" s="4">
        <v>45534.34057122685</v>
      </c>
      <c r="B2582" s="5" t="s">
        <v>19</v>
      </c>
      <c r="C2582" s="5" t="s">
        <v>3301</v>
      </c>
      <c r="E2582" s="5" t="s">
        <v>18477</v>
      </c>
      <c r="F2582" s="5" t="s">
        <v>212</v>
      </c>
      <c r="G2582" s="5" t="s">
        <v>18478</v>
      </c>
      <c r="H2582" s="6" t="s">
        <v>18479</v>
      </c>
      <c r="K2582" s="5" t="s">
        <v>18254</v>
      </c>
      <c r="M2582" s="5" t="s">
        <v>18480</v>
      </c>
      <c r="N2582" s="7" t="s">
        <v>18481</v>
      </c>
      <c r="O2582" s="8" t="str">
        <f>HYPERLINK("https://drive.google.com/file/d/1pwTHyLxttfW8O-d-mTfNA6EXM9OdkYBo/view?usp=drivesdk","2581_ANIK KARTINI  _ SERTIFIKAT BerAKHLAK")</f>
        <v>2581_ANIK KARTINI  _ SERTIFIKAT BerAKHLAK</v>
      </c>
      <c r="P2582" s="5" t="s">
        <v>18471</v>
      </c>
      <c r="Q2582" s="5"/>
      <c r="R2582" s="5"/>
      <c r="S2582" s="5"/>
      <c r="T2582" s="5"/>
    </row>
    <row r="2583">
      <c r="A2583" s="4">
        <v>45534.34057185185</v>
      </c>
      <c r="B2583" s="5" t="s">
        <v>34</v>
      </c>
      <c r="D2583" s="5" t="s">
        <v>3432</v>
      </c>
      <c r="E2583" s="5" t="s">
        <v>18482</v>
      </c>
      <c r="F2583" s="5" t="s">
        <v>37</v>
      </c>
      <c r="G2583" s="5" t="s">
        <v>18483</v>
      </c>
      <c r="H2583" s="6" t="s">
        <v>18484</v>
      </c>
      <c r="K2583" s="5" t="s">
        <v>18254</v>
      </c>
      <c r="M2583" s="5" t="s">
        <v>18485</v>
      </c>
      <c r="N2583" s="7" t="s">
        <v>18486</v>
      </c>
      <c r="O2583" s="8" t="str">
        <f>HYPERLINK("https://drive.google.com/file/d/1WIizJU-5JCMPoupUDBjuVMJxSYvswUx-/view?usp=drivesdk","2582_YANA.KADIR AMD.KEP _ SERTIFIKAT BerAKHLAK")</f>
        <v>2582_YANA.KADIR AMD.KEP _ SERTIFIKAT BerAKHLAK</v>
      </c>
      <c r="P2583" s="5" t="s">
        <v>18471</v>
      </c>
      <c r="Q2583" s="5"/>
      <c r="R2583" s="5"/>
      <c r="S2583" s="5"/>
      <c r="T2583" s="5"/>
    </row>
    <row r="2584">
      <c r="A2584" s="4">
        <v>45534.34057221065</v>
      </c>
      <c r="B2584" s="5" t="s">
        <v>34</v>
      </c>
      <c r="D2584" s="5" t="s">
        <v>35</v>
      </c>
      <c r="E2584" s="5" t="s">
        <v>18487</v>
      </c>
      <c r="F2584" s="5" t="s">
        <v>328</v>
      </c>
      <c r="G2584" s="5" t="s">
        <v>18488</v>
      </c>
      <c r="H2584" s="6" t="s">
        <v>18489</v>
      </c>
      <c r="K2584" s="5" t="s">
        <v>18254</v>
      </c>
      <c r="M2584" s="5" t="s">
        <v>18490</v>
      </c>
      <c r="N2584" s="7" t="s">
        <v>18491</v>
      </c>
      <c r="O2584" s="8" t="str">
        <f>HYPERLINK("https://drive.google.com/file/d/1XkPXKHWe1NcD68RM-TT6_cwkaF9wLVXX/view?usp=drivesdk","2583_WARIJAN _ SERTIFIKAT BerAKHLAK")</f>
        <v>2583_WARIJAN _ SERTIFIKAT BerAKHLAK</v>
      </c>
      <c r="P2584" s="5" t="s">
        <v>18492</v>
      </c>
      <c r="Q2584" s="5"/>
      <c r="R2584" s="5"/>
      <c r="S2584" s="5"/>
      <c r="T2584" s="5"/>
    </row>
    <row r="2585">
      <c r="A2585" s="4">
        <v>45534.34058063658</v>
      </c>
      <c r="B2585" s="5" t="s">
        <v>34</v>
      </c>
      <c r="D2585" s="5" t="s">
        <v>4775</v>
      </c>
      <c r="E2585" s="5" t="s">
        <v>18493</v>
      </c>
      <c r="F2585" s="5" t="s">
        <v>212</v>
      </c>
      <c r="G2585" s="5" t="s">
        <v>18494</v>
      </c>
      <c r="H2585" s="6" t="s">
        <v>18495</v>
      </c>
      <c r="K2585" s="5" t="s">
        <v>18254</v>
      </c>
      <c r="M2585" s="5" t="s">
        <v>18496</v>
      </c>
      <c r="N2585" s="7" t="s">
        <v>18497</v>
      </c>
      <c r="O2585" s="8" t="str">
        <f>HYPERLINK("https://drive.google.com/file/d/1TqVJrdMJs6F74gr93rjgpHsWFbIvqQJv/view?usp=drivesdk","2584_GUNADI _ SERTIFIKAT BerAKHLAK")</f>
        <v>2584_GUNADI _ SERTIFIKAT BerAKHLAK</v>
      </c>
      <c r="P2585" s="5" t="s">
        <v>18492</v>
      </c>
      <c r="Q2585" s="5"/>
      <c r="R2585" s="5"/>
      <c r="S2585" s="5"/>
      <c r="T2585" s="5"/>
    </row>
    <row r="2586">
      <c r="A2586" s="4">
        <v>45534.34058880787</v>
      </c>
      <c r="B2586" s="5" t="s">
        <v>34</v>
      </c>
      <c r="D2586" s="5" t="s">
        <v>1206</v>
      </c>
      <c r="E2586" s="5" t="s">
        <v>18498</v>
      </c>
      <c r="F2586" s="5" t="s">
        <v>72</v>
      </c>
      <c r="G2586" s="5" t="s">
        <v>18499</v>
      </c>
      <c r="H2586" s="6" t="s">
        <v>18500</v>
      </c>
      <c r="K2586" s="5" t="s">
        <v>18254</v>
      </c>
      <c r="M2586" s="5" t="s">
        <v>18501</v>
      </c>
      <c r="N2586" s="7" t="s">
        <v>18502</v>
      </c>
      <c r="O2586" s="8" t="str">
        <f>HYPERLINK("https://drive.google.com/file/d/1DtuLuugiR9l7ErgU9WGtgcKIEYCk47Dx/view?usp=drivesdk","2585_RINI EKOWATI _ SERTIFIKAT BerAKHLAK")</f>
        <v>2585_RINI EKOWATI _ SERTIFIKAT BerAKHLAK</v>
      </c>
      <c r="P2586" s="5" t="s">
        <v>18492</v>
      </c>
      <c r="Q2586" s="5"/>
      <c r="R2586" s="5"/>
      <c r="S2586" s="5"/>
      <c r="T2586" s="5"/>
    </row>
    <row r="2587">
      <c r="A2587" s="4">
        <v>45534.34059165509</v>
      </c>
      <c r="B2587" s="5" t="s">
        <v>34</v>
      </c>
      <c r="D2587" s="5" t="s">
        <v>9020</v>
      </c>
      <c r="E2587" s="5" t="s">
        <v>18503</v>
      </c>
      <c r="F2587" s="5" t="s">
        <v>375</v>
      </c>
      <c r="G2587" s="5" t="s">
        <v>18504</v>
      </c>
      <c r="H2587" s="6" t="s">
        <v>18505</v>
      </c>
      <c r="K2587" s="5" t="s">
        <v>18254</v>
      </c>
      <c r="M2587" s="5" t="s">
        <v>18506</v>
      </c>
      <c r="N2587" s="7" t="s">
        <v>18507</v>
      </c>
      <c r="O2587" s="8" t="str">
        <f>HYPERLINK("https://drive.google.com/file/d/1Iz9cvXiQVylj8BQ_VQ_Vp4EbuLPAMy3H/view?usp=drivesdk","2586_ESTHER C. SIAGIAN, SE _ SERTIFIKAT BerAKHLAK")</f>
        <v>2586_ESTHER C. SIAGIAN, SE _ SERTIFIKAT BerAKHLAK</v>
      </c>
      <c r="P2587" s="5" t="s">
        <v>18492</v>
      </c>
      <c r="Q2587" s="5"/>
      <c r="R2587" s="5"/>
      <c r="S2587" s="5"/>
      <c r="T2587" s="5"/>
    </row>
    <row r="2588">
      <c r="A2588" s="4">
        <v>45534.340602743054</v>
      </c>
      <c r="B2588" s="5" t="s">
        <v>34</v>
      </c>
      <c r="D2588" s="5" t="s">
        <v>35</v>
      </c>
      <c r="E2588" s="5" t="s">
        <v>18508</v>
      </c>
      <c r="F2588" s="5" t="s">
        <v>37</v>
      </c>
      <c r="G2588" s="5" t="s">
        <v>18509</v>
      </c>
      <c r="H2588" s="6" t="s">
        <v>18510</v>
      </c>
      <c r="K2588" s="5" t="s">
        <v>18254</v>
      </c>
      <c r="M2588" s="5" t="s">
        <v>18511</v>
      </c>
      <c r="N2588" s="7" t="s">
        <v>18512</v>
      </c>
      <c r="O2588" s="8" t="str">
        <f>HYPERLINK("https://drive.google.com/file/d/1NHbhOM6Pu6TW2-EoE68bhn0XPQs6BeH9/view?usp=drivesdk","2587_ARI RUSNADI _ SERTIFIKAT BerAKHLAK")</f>
        <v>2587_ARI RUSNADI _ SERTIFIKAT BerAKHLAK</v>
      </c>
      <c r="P2588" s="5" t="s">
        <v>18513</v>
      </c>
      <c r="Q2588" s="5"/>
      <c r="R2588" s="5"/>
      <c r="S2588" s="5"/>
      <c r="T2588" s="5"/>
    </row>
    <row r="2589">
      <c r="A2589" s="4">
        <v>45534.34060971065</v>
      </c>
      <c r="B2589" s="5" t="s">
        <v>34</v>
      </c>
      <c r="D2589" s="5" t="s">
        <v>4775</v>
      </c>
      <c r="E2589" s="5" t="s">
        <v>18514</v>
      </c>
      <c r="F2589" s="5" t="s">
        <v>328</v>
      </c>
      <c r="G2589" s="5" t="s">
        <v>18515</v>
      </c>
      <c r="H2589" s="6" t="s">
        <v>18516</v>
      </c>
      <c r="K2589" s="5" t="s">
        <v>18254</v>
      </c>
      <c r="M2589" s="5" t="s">
        <v>18517</v>
      </c>
      <c r="N2589" s="7" t="s">
        <v>18518</v>
      </c>
      <c r="O2589" s="8" t="str">
        <f>HYPERLINK("https://drive.google.com/file/d/1dhfZdZ_87XFfR2xw-yhdP8RIv2QBEHjn/view?usp=drivesdk","2588_SUHARTATIK _ SERTIFIKAT BerAKHLAK")</f>
        <v>2588_SUHARTATIK _ SERTIFIKAT BerAKHLAK</v>
      </c>
      <c r="P2589" s="5" t="s">
        <v>18513</v>
      </c>
      <c r="Q2589" s="5"/>
      <c r="R2589" s="5"/>
      <c r="S2589" s="5"/>
      <c r="T2589" s="5"/>
    </row>
    <row r="2590">
      <c r="A2590" s="4">
        <v>45534.34061449074</v>
      </c>
      <c r="B2590" s="5" t="s">
        <v>34</v>
      </c>
      <c r="D2590" s="5" t="s">
        <v>4775</v>
      </c>
      <c r="E2590" s="5" t="s">
        <v>18519</v>
      </c>
      <c r="F2590" s="5" t="s">
        <v>120</v>
      </c>
      <c r="G2590" s="5" t="s">
        <v>18520</v>
      </c>
      <c r="H2590" s="6" t="s">
        <v>18521</v>
      </c>
      <c r="K2590" s="5" t="s">
        <v>18254</v>
      </c>
      <c r="M2590" s="5" t="s">
        <v>18522</v>
      </c>
      <c r="N2590" s="7" t="s">
        <v>18523</v>
      </c>
      <c r="O2590" s="8" t="str">
        <f>HYPERLINK("https://drive.google.com/file/d/1gDLNyWhJGfYoU94vpXepVc1c-aWgDkEU/view?usp=drivesdk","2589_SIYAMI,M.PD _ SERTIFIKAT BerAKHLAK")</f>
        <v>2589_SIYAMI,M.PD _ SERTIFIKAT BerAKHLAK</v>
      </c>
      <c r="P2590" s="5" t="s">
        <v>18513</v>
      </c>
      <c r="Q2590" s="5"/>
      <c r="R2590" s="5"/>
      <c r="S2590" s="5"/>
      <c r="T2590" s="5"/>
    </row>
    <row r="2591">
      <c r="A2591" s="4">
        <v>45534.34061564815</v>
      </c>
      <c r="B2591" s="5" t="s">
        <v>34</v>
      </c>
      <c r="D2591" s="5" t="s">
        <v>4775</v>
      </c>
      <c r="E2591" s="5" t="s">
        <v>18524</v>
      </c>
      <c r="F2591" s="5" t="s">
        <v>72</v>
      </c>
      <c r="G2591" s="5" t="s">
        <v>18525</v>
      </c>
      <c r="H2591" s="6" t="s">
        <v>18526</v>
      </c>
      <c r="K2591" s="5" t="s">
        <v>18254</v>
      </c>
      <c r="M2591" s="5" t="s">
        <v>18527</v>
      </c>
      <c r="N2591" s="7" t="s">
        <v>18528</v>
      </c>
      <c r="O2591" s="8" t="str">
        <f>HYPERLINK("https://drive.google.com/file/d/1Xj0P5MoulT5rZrrN53xPkYZNpe1mmGCo/view?usp=drivesdk","2590_KHAFIDHOH _ SERTIFIKAT BerAKHLAK")</f>
        <v>2590_KHAFIDHOH _ SERTIFIKAT BerAKHLAK</v>
      </c>
      <c r="P2591" s="5" t="s">
        <v>18513</v>
      </c>
      <c r="Q2591" s="5"/>
      <c r="R2591" s="5"/>
      <c r="S2591" s="5"/>
      <c r="T2591" s="5"/>
    </row>
    <row r="2592">
      <c r="A2592" s="4">
        <v>45534.34062509259</v>
      </c>
      <c r="B2592" s="5" t="s">
        <v>34</v>
      </c>
      <c r="D2592" s="5" t="s">
        <v>4775</v>
      </c>
      <c r="E2592" s="5" t="s">
        <v>18529</v>
      </c>
      <c r="F2592" s="5" t="s">
        <v>72</v>
      </c>
      <c r="G2592" s="5" t="s">
        <v>18530</v>
      </c>
      <c r="H2592" s="6" t="s">
        <v>18531</v>
      </c>
      <c r="K2592" s="5" t="s">
        <v>18254</v>
      </c>
      <c r="M2592" s="5" t="s">
        <v>18532</v>
      </c>
      <c r="N2592" s="7" t="s">
        <v>18533</v>
      </c>
      <c r="O2592" s="8" t="str">
        <f>HYPERLINK("https://drive.google.com/file/d/1FW4Rju4lpxpjI7aCnV5PRTyWpmOA1SW0/view?usp=drivesdk","2591_LINDA SUSILAWATI _ SERTIFIKAT BerAKHLAK")</f>
        <v>2591_LINDA SUSILAWATI _ SERTIFIKAT BerAKHLAK</v>
      </c>
      <c r="P2592" s="5" t="s">
        <v>18534</v>
      </c>
      <c r="Q2592" s="5"/>
      <c r="R2592" s="5"/>
      <c r="S2592" s="5"/>
      <c r="T2592" s="5"/>
    </row>
    <row r="2593">
      <c r="A2593" s="4">
        <v>45534.340638622685</v>
      </c>
      <c r="B2593" s="5" t="s">
        <v>34</v>
      </c>
      <c r="D2593" s="5" t="s">
        <v>1206</v>
      </c>
      <c r="E2593" s="5" t="s">
        <v>18535</v>
      </c>
      <c r="F2593" s="5" t="s">
        <v>72</v>
      </c>
      <c r="G2593" s="5" t="s">
        <v>18536</v>
      </c>
      <c r="H2593" s="6" t="s">
        <v>18537</v>
      </c>
      <c r="K2593" s="5" t="s">
        <v>18254</v>
      </c>
      <c r="M2593" s="5" t="s">
        <v>18538</v>
      </c>
      <c r="N2593" s="7" t="s">
        <v>18539</v>
      </c>
      <c r="O2593" s="8" t="str">
        <f>HYPERLINK("https://drive.google.com/file/d/1mrU-NglBDm3AYW5xRIBcMNiR4SvUX4Td/view?usp=drivesdk","2592_AGUNG WIBOWO A.MD _ SERTIFIKAT BerAKHLAK")</f>
        <v>2592_AGUNG WIBOWO A.MD _ SERTIFIKAT BerAKHLAK</v>
      </c>
      <c r="P2593" s="5" t="s">
        <v>18534</v>
      </c>
      <c r="Q2593" s="5"/>
      <c r="R2593" s="5"/>
      <c r="S2593" s="5"/>
      <c r="T2593" s="5"/>
    </row>
    <row r="2594">
      <c r="A2594" s="4">
        <v>45534.34064810185</v>
      </c>
      <c r="B2594" s="5" t="s">
        <v>34</v>
      </c>
      <c r="D2594" s="5" t="s">
        <v>12978</v>
      </c>
      <c r="E2594" s="5" t="s">
        <v>18540</v>
      </c>
      <c r="F2594" s="5" t="s">
        <v>37</v>
      </c>
      <c r="G2594" s="5" t="s">
        <v>18541</v>
      </c>
      <c r="H2594" s="6" t="s">
        <v>18542</v>
      </c>
      <c r="K2594" s="5" t="s">
        <v>18254</v>
      </c>
      <c r="M2594" s="5" t="s">
        <v>18543</v>
      </c>
      <c r="N2594" s="7" t="s">
        <v>18544</v>
      </c>
      <c r="O2594" s="8" t="str">
        <f>HYPERLINK("https://drive.google.com/file/d/16GtI82LxrP0Vzok5ru5Q2KELR56Q3ZCy/view?usp=drivesdk","2593_INDAH LESMANA SAFITRI _ SERTIFIKAT BerAKHLAK")</f>
        <v>2593_INDAH LESMANA SAFITRI _ SERTIFIKAT BerAKHLAK</v>
      </c>
      <c r="P2594" s="5" t="s">
        <v>18534</v>
      </c>
      <c r="Q2594" s="5"/>
      <c r="R2594" s="5"/>
      <c r="S2594" s="5"/>
      <c r="T2594" s="5"/>
    </row>
    <row r="2595">
      <c r="A2595" s="4">
        <v>45534.34065387731</v>
      </c>
      <c r="B2595" s="5" t="s">
        <v>34</v>
      </c>
      <c r="D2595" s="5" t="s">
        <v>1456</v>
      </c>
      <c r="E2595" s="5" t="s">
        <v>18545</v>
      </c>
      <c r="F2595" s="5" t="s">
        <v>212</v>
      </c>
      <c r="G2595" s="5" t="s">
        <v>18546</v>
      </c>
      <c r="H2595" s="6" t="s">
        <v>18547</v>
      </c>
      <c r="K2595" s="5" t="s">
        <v>18254</v>
      </c>
      <c r="M2595" s="5" t="s">
        <v>18548</v>
      </c>
      <c r="N2595" s="7" t="s">
        <v>18549</v>
      </c>
      <c r="O2595" s="8" t="str">
        <f>HYPERLINK("https://drive.google.com/file/d/16l4e7b0d5QrWed1gYit5Wid7f6jcz3Gk/view?usp=drivesdk","2594_SUPRAPTO  _ SERTIFIKAT BerAKHLAK")</f>
        <v>2594_SUPRAPTO  _ SERTIFIKAT BerAKHLAK</v>
      </c>
      <c r="P2595" s="5" t="s">
        <v>18534</v>
      </c>
      <c r="Q2595" s="5"/>
      <c r="R2595" s="5"/>
      <c r="S2595" s="5"/>
      <c r="T2595" s="5"/>
    </row>
    <row r="2596">
      <c r="A2596" s="4">
        <v>45534.34065524305</v>
      </c>
      <c r="B2596" s="5" t="s">
        <v>34</v>
      </c>
      <c r="D2596" s="5" t="s">
        <v>35</v>
      </c>
      <c r="E2596" s="5" t="s">
        <v>18550</v>
      </c>
      <c r="F2596" s="5" t="s">
        <v>37</v>
      </c>
      <c r="G2596" s="5" t="s">
        <v>18551</v>
      </c>
      <c r="H2596" s="6" t="s">
        <v>18552</v>
      </c>
      <c r="K2596" s="5" t="s">
        <v>18254</v>
      </c>
      <c r="M2596" s="5" t="s">
        <v>18553</v>
      </c>
      <c r="N2596" s="7" t="s">
        <v>18554</v>
      </c>
      <c r="O2596" s="8" t="str">
        <f>HYPERLINK("https://drive.google.com/file/d/1CvBm2bTzOq27UTmeF7d0vvEHrW2LyFLh/view?usp=drivesdk","2595_ERAM SULISWATI  _ SERTIFIKAT BerAKHLAK")</f>
        <v>2595_ERAM SULISWATI  _ SERTIFIKAT BerAKHLAK</v>
      </c>
      <c r="P2596" s="5" t="s">
        <v>18534</v>
      </c>
      <c r="Q2596" s="5"/>
      <c r="R2596" s="5"/>
      <c r="S2596" s="5"/>
      <c r="T2596" s="5"/>
    </row>
    <row r="2597">
      <c r="A2597" s="4">
        <v>45534.34065974537</v>
      </c>
      <c r="B2597" s="5" t="s">
        <v>34</v>
      </c>
      <c r="D2597" s="5" t="s">
        <v>9020</v>
      </c>
      <c r="E2597" s="5" t="s">
        <v>18555</v>
      </c>
      <c r="F2597" s="5" t="s">
        <v>72</v>
      </c>
      <c r="G2597" s="5" t="s">
        <v>18556</v>
      </c>
      <c r="H2597" s="6" t="s">
        <v>18557</v>
      </c>
      <c r="K2597" s="5" t="s">
        <v>18254</v>
      </c>
      <c r="M2597" s="5" t="s">
        <v>18558</v>
      </c>
      <c r="N2597" s="7" t="s">
        <v>18559</v>
      </c>
      <c r="O2597" s="8" t="str">
        <f>HYPERLINK("https://drive.google.com/file/d/11uxhF8SS-LZ49oqMnmRNIUdZHaquZZjJ/view?usp=drivesdk","2596_H. NURAIDI  _ SERTIFIKAT BerAKHLAK")</f>
        <v>2596_H. NURAIDI  _ SERTIFIKAT BerAKHLAK</v>
      </c>
      <c r="P2597" s="5" t="s">
        <v>18560</v>
      </c>
      <c r="Q2597" s="5"/>
      <c r="R2597" s="5"/>
      <c r="S2597" s="5"/>
      <c r="T2597" s="5"/>
    </row>
    <row r="2598">
      <c r="A2598" s="4">
        <v>45534.34066952547</v>
      </c>
      <c r="B2598" s="5" t="s">
        <v>34</v>
      </c>
      <c r="D2598" s="5" t="s">
        <v>522</v>
      </c>
      <c r="E2598" s="5" t="s">
        <v>18561</v>
      </c>
      <c r="F2598" s="5" t="s">
        <v>524</v>
      </c>
      <c r="G2598" s="5" t="s">
        <v>18562</v>
      </c>
      <c r="H2598" s="6" t="s">
        <v>18563</v>
      </c>
      <c r="K2598" s="5" t="s">
        <v>18254</v>
      </c>
      <c r="M2598" s="5" t="s">
        <v>18564</v>
      </c>
      <c r="N2598" s="7" t="s">
        <v>18565</v>
      </c>
      <c r="O2598" s="8" t="str">
        <f>HYPERLINK("https://drive.google.com/file/d/1LAM-F1GXnlCOWODbrhoMiN_LNHCo9IQn/view?usp=drivesdk","2597_NUR ADHA _ SERTIFIKAT BerAKHLAK")</f>
        <v>2597_NUR ADHA _ SERTIFIKAT BerAKHLAK</v>
      </c>
      <c r="P2598" s="5" t="s">
        <v>18560</v>
      </c>
      <c r="Q2598" s="5"/>
      <c r="R2598" s="5"/>
      <c r="S2598" s="5"/>
      <c r="T2598" s="5"/>
    </row>
    <row r="2599">
      <c r="A2599" s="4">
        <v>45534.34067650463</v>
      </c>
      <c r="B2599" s="5" t="s">
        <v>34</v>
      </c>
      <c r="D2599" s="5" t="s">
        <v>2903</v>
      </c>
      <c r="E2599" s="5" t="s">
        <v>18566</v>
      </c>
      <c r="F2599" s="5" t="s">
        <v>37</v>
      </c>
      <c r="G2599" s="5" t="s">
        <v>18567</v>
      </c>
      <c r="H2599" s="6" t="s">
        <v>18568</v>
      </c>
      <c r="K2599" s="5" t="s">
        <v>18254</v>
      </c>
      <c r="M2599" s="5" t="s">
        <v>18569</v>
      </c>
      <c r="N2599" s="7" t="s">
        <v>18570</v>
      </c>
      <c r="O2599" s="8" t="str">
        <f>HYPERLINK("https://drive.google.com/file/d/1lZz9e-iXCgGGl44tTwSaJNqbsBRaYA9l/view?usp=drivesdk","2598_HERWITA, A.Md.Kep. _ SERTIFIKAT BerAKHLAK")</f>
        <v>2598_HERWITA, A.Md.Kep. _ SERTIFIKAT BerAKHLAK</v>
      </c>
      <c r="P2599" s="5" t="s">
        <v>18560</v>
      </c>
      <c r="Q2599" s="5"/>
      <c r="R2599" s="5"/>
      <c r="S2599" s="5"/>
      <c r="T2599" s="5"/>
    </row>
    <row r="2600">
      <c r="A2600" s="4">
        <v>45534.34067744213</v>
      </c>
      <c r="B2600" s="5" t="s">
        <v>34</v>
      </c>
      <c r="D2600" s="5" t="s">
        <v>9020</v>
      </c>
      <c r="E2600" s="5" t="s">
        <v>18571</v>
      </c>
      <c r="F2600" s="5" t="s">
        <v>37</v>
      </c>
      <c r="G2600" s="5" t="s">
        <v>18572</v>
      </c>
      <c r="H2600" s="6" t="s">
        <v>18573</v>
      </c>
      <c r="K2600" s="5" t="s">
        <v>18254</v>
      </c>
      <c r="M2600" s="5" t="s">
        <v>18574</v>
      </c>
      <c r="N2600" s="7" t="s">
        <v>18575</v>
      </c>
      <c r="O2600" s="8" t="str">
        <f>HYPERLINK("https://drive.google.com/file/d/12RZwHZNKWKnoc1vCM4Iv9pJbToYF-6Cr/view?usp=drivesdk","2599_H.MUHAMMADKHAIRUL AMRI SPD _ SERTIFIKAT BerAKHLAK")</f>
        <v>2599_H.MUHAMMADKHAIRUL AMRI SPD _ SERTIFIKAT BerAKHLAK</v>
      </c>
      <c r="P2600" s="5" t="s">
        <v>18560</v>
      </c>
      <c r="Q2600" s="5"/>
      <c r="R2600" s="5"/>
      <c r="S2600" s="5"/>
      <c r="T2600" s="5"/>
    </row>
    <row r="2601">
      <c r="A2601" s="4">
        <v>45534.34068496528</v>
      </c>
      <c r="B2601" s="5" t="s">
        <v>34</v>
      </c>
      <c r="D2601" s="5" t="s">
        <v>4775</v>
      </c>
      <c r="E2601" s="5" t="s">
        <v>18576</v>
      </c>
      <c r="F2601" s="5" t="s">
        <v>212</v>
      </c>
      <c r="G2601" s="5" t="s">
        <v>18577</v>
      </c>
      <c r="H2601" s="6" t="s">
        <v>18578</v>
      </c>
      <c r="K2601" s="5" t="s">
        <v>18254</v>
      </c>
      <c r="M2601" s="5" t="s">
        <v>18579</v>
      </c>
      <c r="N2601" s="7" t="s">
        <v>18580</v>
      </c>
      <c r="O2601" s="8" t="str">
        <f>HYPERLINK("https://drive.google.com/file/d/1YPUeVBowCEKtxmgsfa_j4mXg7GMJyw_e/view?usp=drivesdk","2600_NUR LUQMAN _ SERTIFIKAT BerAKHLAK")</f>
        <v>2600_NUR LUQMAN _ SERTIFIKAT BerAKHLAK</v>
      </c>
      <c r="P2601" s="5" t="s">
        <v>18581</v>
      </c>
      <c r="Q2601" s="5"/>
      <c r="R2601" s="5"/>
      <c r="S2601" s="5"/>
      <c r="T2601" s="5"/>
    </row>
    <row r="2602" hidden="1">
      <c r="A2602" s="4">
        <v>45534.340692557875</v>
      </c>
      <c r="B2602" s="5" t="s">
        <v>19</v>
      </c>
      <c r="C2602" s="5" t="s">
        <v>3301</v>
      </c>
      <c r="E2602" s="5" t="s">
        <v>18582</v>
      </c>
      <c r="F2602" s="5" t="s">
        <v>715</v>
      </c>
      <c r="G2602" s="5" t="s">
        <v>18583</v>
      </c>
      <c r="H2602" s="6" t="s">
        <v>18584</v>
      </c>
      <c r="K2602" s="5" t="s">
        <v>18254</v>
      </c>
      <c r="M2602" s="5" t="s">
        <v>18585</v>
      </c>
      <c r="N2602" s="7" t="s">
        <v>18586</v>
      </c>
      <c r="O2602" s="8" t="str">
        <f>HYPERLINK("https://drive.google.com/file/d/1fHYpmzY6Tk7FSAoJPULye975wM4HXKvA/view?usp=drivesdk","2601_dr. MARLISSA _ SERTIFIKAT BerAKHLAK")</f>
        <v>2601_dr. MARLISSA _ SERTIFIKAT BerAKHLAK</v>
      </c>
      <c r="P2602" s="5" t="s">
        <v>18581</v>
      </c>
      <c r="Q2602" s="5"/>
      <c r="R2602" s="5"/>
      <c r="S2602" s="5"/>
      <c r="T2602" s="5"/>
    </row>
    <row r="2603">
      <c r="A2603" s="4">
        <v>45534.34070180556</v>
      </c>
      <c r="B2603" s="5" t="s">
        <v>34</v>
      </c>
      <c r="D2603" s="5" t="s">
        <v>35</v>
      </c>
      <c r="E2603" s="5" t="s">
        <v>18587</v>
      </c>
      <c r="F2603" s="5" t="s">
        <v>715</v>
      </c>
      <c r="G2603" s="5" t="s">
        <v>18588</v>
      </c>
      <c r="H2603" s="6" t="s">
        <v>18589</v>
      </c>
      <c r="K2603" s="5" t="s">
        <v>18254</v>
      </c>
      <c r="M2603" s="5" t="s">
        <v>18590</v>
      </c>
      <c r="N2603" s="7" t="s">
        <v>18591</v>
      </c>
      <c r="O2603" s="8" t="str">
        <f>HYPERLINK("https://drive.google.com/file/d/1roJAjTZDlV_9iiF2FWxvxveXc3dPvbep/view?usp=drivesdk","2602_AAY SUWARDI _ SERTIFIKAT BerAKHLAK")</f>
        <v>2602_AAY SUWARDI _ SERTIFIKAT BerAKHLAK</v>
      </c>
      <c r="P2603" s="5" t="s">
        <v>18592</v>
      </c>
      <c r="Q2603" s="5"/>
      <c r="R2603" s="5"/>
      <c r="S2603" s="5"/>
      <c r="T2603" s="5"/>
    </row>
    <row r="2604">
      <c r="A2604" s="4">
        <v>45534.3407112037</v>
      </c>
      <c r="B2604" s="5" t="s">
        <v>34</v>
      </c>
      <c r="D2604" s="5" t="s">
        <v>35</v>
      </c>
      <c r="E2604" s="5" t="s">
        <v>18593</v>
      </c>
      <c r="F2604" s="5" t="s">
        <v>212</v>
      </c>
      <c r="G2604" s="5" t="s">
        <v>18594</v>
      </c>
      <c r="H2604" s="6" t="s">
        <v>18595</v>
      </c>
      <c r="K2604" s="5" t="s">
        <v>18254</v>
      </c>
      <c r="M2604" s="5" t="s">
        <v>18596</v>
      </c>
      <c r="N2604" s="7" t="s">
        <v>18597</v>
      </c>
      <c r="O2604" s="8" t="str">
        <f>HYPERLINK("https://drive.google.com/file/d/1vIcrslmgYgKY9e_MwMpd028XEaqdNbZn/view?usp=drivesdk","2603_AGUS JAKARIA _ SERTIFIKAT BerAKHLAK")</f>
        <v>2603_AGUS JAKARIA _ SERTIFIKAT BerAKHLAK</v>
      </c>
      <c r="P2604" s="5" t="s">
        <v>18592</v>
      </c>
      <c r="Q2604" s="5"/>
      <c r="R2604" s="5"/>
      <c r="S2604" s="5"/>
      <c r="T2604" s="5"/>
    </row>
    <row r="2605">
      <c r="A2605" s="4">
        <v>45534.340711909725</v>
      </c>
      <c r="B2605" s="5" t="s">
        <v>34</v>
      </c>
      <c r="D2605" s="5" t="s">
        <v>4775</v>
      </c>
      <c r="E2605" s="5" t="s">
        <v>18598</v>
      </c>
      <c r="F2605" s="5" t="s">
        <v>37</v>
      </c>
      <c r="G2605" s="5" t="s">
        <v>18599</v>
      </c>
      <c r="H2605" s="6" t="s">
        <v>18600</v>
      </c>
      <c r="K2605" s="5" t="s">
        <v>18254</v>
      </c>
      <c r="M2605" s="5" t="s">
        <v>18601</v>
      </c>
      <c r="N2605" s="7" t="s">
        <v>18602</v>
      </c>
      <c r="O2605" s="8" t="str">
        <f>HYPERLINK("https://drive.google.com/file/d/14A5xLozX4MRWJ1jdCkDi-vP-uMmT0fNK/view?usp=drivesdk","2604_NUR CAHYANI  _ SERTIFIKAT BerAKHLAK")</f>
        <v>2604_NUR CAHYANI  _ SERTIFIKAT BerAKHLAK</v>
      </c>
      <c r="P2605" s="5" t="s">
        <v>18592</v>
      </c>
      <c r="Q2605" s="5"/>
      <c r="R2605" s="5"/>
      <c r="S2605" s="5"/>
      <c r="T2605" s="5"/>
    </row>
    <row r="2606">
      <c r="A2606" s="4">
        <v>45534.34071453704</v>
      </c>
      <c r="B2606" s="5" t="s">
        <v>34</v>
      </c>
      <c r="D2606" s="5" t="s">
        <v>1692</v>
      </c>
      <c r="E2606" s="5" t="s">
        <v>18603</v>
      </c>
      <c r="F2606" s="5" t="s">
        <v>524</v>
      </c>
      <c r="G2606" s="5" t="s">
        <v>18604</v>
      </c>
      <c r="H2606" s="6" t="s">
        <v>18605</v>
      </c>
      <c r="K2606" s="5" t="s">
        <v>18254</v>
      </c>
      <c r="M2606" s="5" t="s">
        <v>18606</v>
      </c>
      <c r="N2606" s="7" t="s">
        <v>18607</v>
      </c>
      <c r="O2606" s="8" t="str">
        <f>HYPERLINK("https://drive.google.com/file/d/1WxkemLKQVqxLmGG3m9TAY74ymX_CVCBJ/view?usp=drivesdk","2605_MARTHA SOUISA S.Th _ SERTIFIKAT BerAKHLAK")</f>
        <v>2605_MARTHA SOUISA S.Th _ SERTIFIKAT BerAKHLAK</v>
      </c>
      <c r="P2606" s="5" t="s">
        <v>18592</v>
      </c>
      <c r="Q2606" s="5"/>
      <c r="R2606" s="5"/>
      <c r="S2606" s="5"/>
      <c r="T2606" s="5"/>
    </row>
    <row r="2607">
      <c r="A2607" s="4">
        <v>45534.340721238426</v>
      </c>
      <c r="B2607" s="5" t="s">
        <v>34</v>
      </c>
      <c r="D2607" s="5" t="s">
        <v>2903</v>
      </c>
      <c r="E2607" s="5" t="s">
        <v>18608</v>
      </c>
      <c r="F2607" s="5" t="s">
        <v>375</v>
      </c>
      <c r="G2607" s="5" t="s">
        <v>18609</v>
      </c>
      <c r="H2607" s="6" t="s">
        <v>18610</v>
      </c>
      <c r="K2607" s="5" t="s">
        <v>18254</v>
      </c>
      <c r="M2607" s="5" t="s">
        <v>18611</v>
      </c>
      <c r="N2607" s="7" t="s">
        <v>18612</v>
      </c>
      <c r="O2607" s="8" t="str">
        <f>HYPERLINK("https://drive.google.com/file/d/14djRa4CWTSKwP6vLX2DSzcWOSXLPtk6Y/view?usp=drivesdk","2606_SRI ANGRAINI  _ SERTIFIKAT BerAKHLAK")</f>
        <v>2606_SRI ANGRAINI  _ SERTIFIKAT BerAKHLAK</v>
      </c>
      <c r="P2607" s="5" t="s">
        <v>18592</v>
      </c>
      <c r="Q2607" s="5"/>
      <c r="R2607" s="5"/>
      <c r="S2607" s="5"/>
      <c r="T2607" s="5"/>
    </row>
    <row r="2608">
      <c r="A2608" s="4">
        <v>45534.34072289352</v>
      </c>
      <c r="B2608" s="5" t="s">
        <v>34</v>
      </c>
      <c r="D2608" s="5" t="s">
        <v>35</v>
      </c>
      <c r="E2608" s="5" t="s">
        <v>18613</v>
      </c>
      <c r="F2608" s="5" t="s">
        <v>37</v>
      </c>
      <c r="G2608" s="5" t="s">
        <v>18614</v>
      </c>
      <c r="H2608" s="6" t="s">
        <v>18615</v>
      </c>
      <c r="K2608" s="5" t="s">
        <v>18254</v>
      </c>
      <c r="M2608" s="5" t="s">
        <v>18616</v>
      </c>
      <c r="N2608" s="7" t="s">
        <v>18617</v>
      </c>
      <c r="O2608" s="8" t="str">
        <f>HYPERLINK("https://drive.google.com/file/d/1epxVwmbY4fPmr_e11VxfHOg0ifMQbxc2/view?usp=drivesdk","2607_ASEP SUHANA.A.MD.KEP _ SERTIFIKAT BerAKHLAK")</f>
        <v>2607_ASEP SUHANA.A.MD.KEP _ SERTIFIKAT BerAKHLAK</v>
      </c>
      <c r="P2608" s="5" t="s">
        <v>18618</v>
      </c>
      <c r="Q2608" s="5"/>
      <c r="R2608" s="5"/>
      <c r="S2608" s="5"/>
      <c r="T2608" s="5"/>
    </row>
    <row r="2609">
      <c r="A2609" s="4">
        <v>45534.34073163195</v>
      </c>
      <c r="B2609" s="5" t="s">
        <v>34</v>
      </c>
      <c r="D2609" s="5" t="s">
        <v>1206</v>
      </c>
      <c r="E2609" s="5" t="s">
        <v>18619</v>
      </c>
      <c r="F2609" s="5" t="s">
        <v>212</v>
      </c>
      <c r="G2609" s="5" t="s">
        <v>18620</v>
      </c>
      <c r="H2609" s="6" t="s">
        <v>18621</v>
      </c>
      <c r="K2609" s="5" t="s">
        <v>18254</v>
      </c>
      <c r="M2609" s="5" t="s">
        <v>18622</v>
      </c>
      <c r="N2609" s="7" t="s">
        <v>18623</v>
      </c>
      <c r="O2609" s="8" t="str">
        <f>HYPERLINK("https://drive.google.com/file/d/1YPJTkAUbd8Wo9lwqHSttvvfqxZOT5Vkv/view?usp=drivesdk","2608_HARTI WIGATI _ SERTIFIKAT BerAKHLAK")</f>
        <v>2608_HARTI WIGATI _ SERTIFIKAT BerAKHLAK</v>
      </c>
      <c r="P2609" s="5" t="s">
        <v>18618</v>
      </c>
      <c r="Q2609" s="5"/>
      <c r="R2609" s="5"/>
      <c r="S2609" s="5"/>
      <c r="T2609" s="5"/>
    </row>
    <row r="2610">
      <c r="A2610" s="4">
        <v>45534.34073243056</v>
      </c>
      <c r="B2610" s="5" t="s">
        <v>34</v>
      </c>
      <c r="D2610" s="5" t="s">
        <v>267</v>
      </c>
      <c r="E2610" s="5" t="s">
        <v>18624</v>
      </c>
      <c r="F2610" s="5" t="s">
        <v>108</v>
      </c>
      <c r="G2610" s="5" t="s">
        <v>18625</v>
      </c>
      <c r="H2610" s="6" t="s">
        <v>18626</v>
      </c>
      <c r="K2610" s="5" t="s">
        <v>18254</v>
      </c>
      <c r="M2610" s="5" t="s">
        <v>18627</v>
      </c>
      <c r="N2610" s="7" t="s">
        <v>18628</v>
      </c>
      <c r="O2610" s="8" t="str">
        <f>HYPERLINK("https://drive.google.com/file/d/1hopjgteK1EBP1RzzH1FigKRWKfyan1ig/view?usp=drivesdk","2609_PUJIYATI  _ SERTIFIKAT BerAKHLAK")</f>
        <v>2609_PUJIYATI  _ SERTIFIKAT BerAKHLAK</v>
      </c>
      <c r="P2610" s="5" t="s">
        <v>18618</v>
      </c>
      <c r="Q2610" s="5"/>
      <c r="R2610" s="5"/>
      <c r="S2610" s="5"/>
      <c r="T2610" s="5"/>
    </row>
    <row r="2611">
      <c r="A2611" s="4">
        <v>45534.34073635416</v>
      </c>
      <c r="B2611" s="5" t="s">
        <v>34</v>
      </c>
      <c r="D2611" s="5" t="s">
        <v>6232</v>
      </c>
      <c r="E2611" s="5" t="s">
        <v>17217</v>
      </c>
      <c r="F2611" s="5" t="s">
        <v>212</v>
      </c>
      <c r="G2611" s="5" t="s">
        <v>18629</v>
      </c>
      <c r="H2611" s="6" t="s">
        <v>18630</v>
      </c>
      <c r="I2611" s="7" t="s">
        <v>18631</v>
      </c>
      <c r="J2611" s="8" t="str">
        <f>HYPERLINK("https://drive.google.com/file/d/1vD8yFNqjkQuhF4vQqhmFLmuMZPIyoz8K/view?usp=drivesdk","SRI YANTI SERTIFIKAT BerAKHLAK")</f>
        <v>SRI YANTI SERTIFIKAT BerAKHLAK</v>
      </c>
      <c r="K2611" s="5" t="s">
        <v>14929</v>
      </c>
      <c r="L2611" s="5" t="s">
        <v>18632</v>
      </c>
      <c r="M2611" s="5" t="s">
        <v>18633</v>
      </c>
      <c r="N2611" s="7" t="s">
        <v>18634</v>
      </c>
      <c r="O2611" s="8" t="str">
        <f>HYPERLINK("https://drive.google.com/file/d/11vsPnzSzaC0HlenAR3aNHLCE2n5NqvbD/view?usp=drivesdk","2610_SRI YANTI _ SERTIFIKAT BerAKHLAK")</f>
        <v>2610_SRI YANTI _ SERTIFIKAT BerAKHLAK</v>
      </c>
      <c r="P2611" s="5" t="s">
        <v>18618</v>
      </c>
      <c r="Q2611" s="5"/>
      <c r="R2611" s="5"/>
      <c r="S2611" s="5"/>
      <c r="T2611" s="5"/>
    </row>
    <row r="2612">
      <c r="A2612" s="4">
        <v>45534.34074168981</v>
      </c>
      <c r="B2612" s="5" t="s">
        <v>34</v>
      </c>
      <c r="D2612" s="5" t="s">
        <v>4775</v>
      </c>
      <c r="E2612" s="5" t="s">
        <v>18635</v>
      </c>
      <c r="F2612" s="5" t="s">
        <v>212</v>
      </c>
      <c r="G2612" s="5" t="s">
        <v>18636</v>
      </c>
      <c r="H2612" s="6" t="s">
        <v>18637</v>
      </c>
      <c r="I2612" s="7" t="s">
        <v>18638</v>
      </c>
      <c r="J2612" s="8" t="str">
        <f>HYPERLINK("https://drive.google.com/file/d/1ewNBY4Zxl80YM8KmLRPuhk067TidkgMG/view?usp=drivesdk","YUNI SETIYOWATI SERTIFIKAT BerAKHLAK")</f>
        <v>YUNI SETIYOWATI SERTIFIKAT BerAKHLAK</v>
      </c>
      <c r="K2612" s="5" t="s">
        <v>14929</v>
      </c>
      <c r="L2612" s="5" t="s">
        <v>18639</v>
      </c>
      <c r="M2612" s="5" t="s">
        <v>18640</v>
      </c>
      <c r="N2612" s="7" t="s">
        <v>18641</v>
      </c>
      <c r="O2612" s="8" t="str">
        <f>HYPERLINK("https://drive.google.com/file/d/1cnlXq-c_FLOxm0rblQtaYwJxRtlcNfcx/view?usp=drivesdk","2611_YUNI SETIYOWATI _ SERTIFIKAT BerAKHLAK")</f>
        <v>2611_YUNI SETIYOWATI _ SERTIFIKAT BerAKHLAK</v>
      </c>
      <c r="P2612" s="5" t="s">
        <v>18642</v>
      </c>
      <c r="Q2612" s="5"/>
      <c r="R2612" s="5"/>
      <c r="S2612" s="5"/>
      <c r="T2612" s="5"/>
    </row>
    <row r="2613">
      <c r="A2613" s="4">
        <v>45534.34075081018</v>
      </c>
      <c r="B2613" s="5" t="s">
        <v>34</v>
      </c>
      <c r="D2613" s="5" t="s">
        <v>4775</v>
      </c>
      <c r="E2613" s="5" t="s">
        <v>18643</v>
      </c>
      <c r="F2613" s="5" t="s">
        <v>212</v>
      </c>
      <c r="G2613" s="5" t="s">
        <v>18644</v>
      </c>
      <c r="H2613" s="6" t="s">
        <v>18645</v>
      </c>
      <c r="I2613" s="7" t="s">
        <v>18646</v>
      </c>
      <c r="J2613" s="8" t="str">
        <f>HYPERLINK("https://drive.google.com/file/d/1IW_r0f-4nyGCcyHQy3dSc4Dp_Y8L0SJ8/view?usp=drivesdk","SUWARSO SERTIFIKAT BerAKHLAK")</f>
        <v>SUWARSO SERTIFIKAT BerAKHLAK</v>
      </c>
      <c r="K2613" s="5" t="s">
        <v>14929</v>
      </c>
      <c r="L2613" s="5" t="s">
        <v>18647</v>
      </c>
      <c r="M2613" s="5" t="s">
        <v>18648</v>
      </c>
      <c r="N2613" s="7" t="s">
        <v>18649</v>
      </c>
      <c r="O2613" s="8" t="str">
        <f>HYPERLINK("https://drive.google.com/file/d/18IW94X8f3kStpS90bF4MhJzEstUH-R6h/view?usp=drivesdk","2612_SUWARSO _ SERTIFIKAT BerAKHLAK")</f>
        <v>2612_SUWARSO _ SERTIFIKAT BerAKHLAK</v>
      </c>
      <c r="P2613" s="5" t="s">
        <v>18642</v>
      </c>
      <c r="Q2613" s="5"/>
      <c r="R2613" s="5"/>
      <c r="S2613" s="5"/>
      <c r="T2613" s="5"/>
    </row>
    <row r="2614">
      <c r="A2614" s="4">
        <v>45534.340754791665</v>
      </c>
      <c r="B2614" s="5" t="s">
        <v>34</v>
      </c>
      <c r="D2614" s="5" t="s">
        <v>4775</v>
      </c>
      <c r="E2614" s="5" t="s">
        <v>18650</v>
      </c>
      <c r="F2614" s="5" t="s">
        <v>375</v>
      </c>
      <c r="G2614" s="5" t="s">
        <v>18651</v>
      </c>
      <c r="H2614" s="6" t="s">
        <v>18652</v>
      </c>
      <c r="I2614" s="7" t="s">
        <v>18653</v>
      </c>
      <c r="J2614" s="8" t="str">
        <f>HYPERLINK("https://drive.google.com/file/d/1Sc5tAbuiW2S1LgCiha0QSzSlg670gKtQ/view?usp=drivesdk","TATI SUDARWATI SERTIFIKAT BerAKHLAK")</f>
        <v>TATI SUDARWATI SERTIFIKAT BerAKHLAK</v>
      </c>
      <c r="K2614" s="5" t="s">
        <v>18654</v>
      </c>
      <c r="L2614" s="5" t="s">
        <v>18655</v>
      </c>
      <c r="M2614" s="5" t="s">
        <v>18656</v>
      </c>
      <c r="N2614" s="7" t="s">
        <v>18657</v>
      </c>
      <c r="O2614" s="8" t="str">
        <f>HYPERLINK("https://drive.google.com/file/d/1LOD-jHwwacqXz0hSHQGu2xTYLpuU1Wdi/view?usp=drivesdk","2613_TATI SUDARWATI _ SERTIFIKAT BerAKHLAK")</f>
        <v>2613_TATI SUDARWATI _ SERTIFIKAT BerAKHLAK</v>
      </c>
      <c r="P2614" s="5" t="s">
        <v>18642</v>
      </c>
      <c r="Q2614" s="5"/>
      <c r="R2614" s="5"/>
      <c r="S2614" s="5"/>
      <c r="T2614" s="5"/>
    </row>
    <row r="2615">
      <c r="A2615" s="4">
        <v>45534.34075659722</v>
      </c>
      <c r="B2615" s="5" t="s">
        <v>34</v>
      </c>
      <c r="D2615" s="5" t="s">
        <v>604</v>
      </c>
      <c r="E2615" s="5" t="s">
        <v>18658</v>
      </c>
      <c r="F2615" s="5" t="s">
        <v>72</v>
      </c>
      <c r="G2615" s="5" t="s">
        <v>18659</v>
      </c>
      <c r="H2615" s="6" t="s">
        <v>18660</v>
      </c>
      <c r="I2615" s="7" t="s">
        <v>18661</v>
      </c>
      <c r="J2615" s="8" t="str">
        <f>HYPERLINK("https://drive.google.com/file/d/174iqAIEz3S0DnlkRWqUTK1bJVVaniQ0u/view?usp=drivesdk","WAHID NOR HUDA SERTIFIKAT BerAKHLAK")</f>
        <v>WAHID NOR HUDA SERTIFIKAT BerAKHLAK</v>
      </c>
      <c r="K2615" s="5" t="s">
        <v>18654</v>
      </c>
      <c r="L2615" s="5" t="s">
        <v>18662</v>
      </c>
      <c r="M2615" s="5" t="s">
        <v>18663</v>
      </c>
      <c r="N2615" s="7" t="s">
        <v>18664</v>
      </c>
      <c r="O2615" s="8" t="str">
        <f>HYPERLINK("https://drive.google.com/file/d/17YPT5kvVHzjuTh4wLF3qHc87bSYFrywP/view?usp=drivesdk","2614_WAHID NOR HUDA _ SERTIFIKAT BerAKHLAK")</f>
        <v>2614_WAHID NOR HUDA _ SERTIFIKAT BerAKHLAK</v>
      </c>
      <c r="P2615" s="5" t="s">
        <v>18642</v>
      </c>
      <c r="Q2615" s="5"/>
      <c r="R2615" s="5"/>
      <c r="S2615" s="5"/>
      <c r="T2615" s="5"/>
    </row>
    <row r="2616">
      <c r="A2616" s="4">
        <v>45534.34076076389</v>
      </c>
      <c r="B2616" s="5" t="s">
        <v>34</v>
      </c>
      <c r="D2616" s="5" t="s">
        <v>1206</v>
      </c>
      <c r="E2616" s="5" t="s">
        <v>18665</v>
      </c>
      <c r="F2616" s="5" t="s">
        <v>37</v>
      </c>
      <c r="G2616" s="5" t="s">
        <v>18666</v>
      </c>
      <c r="H2616" s="6" t="s">
        <v>18667</v>
      </c>
      <c r="I2616" s="7" t="s">
        <v>18668</v>
      </c>
      <c r="J2616" s="8" t="str">
        <f>HYPERLINK("https://drive.google.com/file/d/1OQUW1q8Xahpf5wMj7wkigEgfnzAgekay/view?usp=drivesdk","ANDRIANTO SERTIFIKAT BerAKHLAK")</f>
        <v>ANDRIANTO SERTIFIKAT BerAKHLAK</v>
      </c>
      <c r="K2616" s="5" t="s">
        <v>18654</v>
      </c>
      <c r="L2616" s="5" t="s">
        <v>18669</v>
      </c>
      <c r="M2616" s="5" t="s">
        <v>18670</v>
      </c>
      <c r="N2616" s="7" t="s">
        <v>18671</v>
      </c>
      <c r="O2616" s="8" t="str">
        <f>HYPERLINK("https://drive.google.com/file/d/17TmjqeffmRaj2_PplDv6NzZ2nIQf2QMq/view?usp=drivesdk","2615_ANDRIANTO _ SERTIFIKAT BerAKHLAK")</f>
        <v>2615_ANDRIANTO _ SERTIFIKAT BerAKHLAK</v>
      </c>
      <c r="P2616" s="5" t="s">
        <v>18672</v>
      </c>
      <c r="Q2616" s="5"/>
      <c r="R2616" s="5"/>
      <c r="S2616" s="5"/>
      <c r="T2616" s="5"/>
    </row>
    <row r="2617">
      <c r="A2617" s="4">
        <v>45534.3407621875</v>
      </c>
      <c r="B2617" s="5" t="s">
        <v>34</v>
      </c>
      <c r="D2617" s="5" t="s">
        <v>604</v>
      </c>
      <c r="E2617" s="5" t="s">
        <v>18673</v>
      </c>
      <c r="F2617" s="5" t="s">
        <v>120</v>
      </c>
      <c r="G2617" s="5" t="s">
        <v>18674</v>
      </c>
      <c r="H2617" s="6" t="s">
        <v>18675</v>
      </c>
      <c r="I2617" s="7" t="s">
        <v>18676</v>
      </c>
      <c r="J2617" s="8" t="str">
        <f>HYPERLINK("https://drive.google.com/file/d/1Y8a6DC8xKFxjfE_vSnVO_gI_CoDVSLOJ/view?usp=drivesdk","HERI PAMUJI WIBOWO, S.E.  SERTIFIKAT BerAKHLAK")</f>
        <v>HERI PAMUJI WIBOWO, S.E.  SERTIFIKAT BerAKHLAK</v>
      </c>
      <c r="K2617" s="5" t="s">
        <v>18654</v>
      </c>
      <c r="L2617" s="5" t="s">
        <v>18677</v>
      </c>
      <c r="M2617" s="5" t="s">
        <v>18678</v>
      </c>
      <c r="N2617" s="7" t="s">
        <v>18679</v>
      </c>
      <c r="O2617" s="8" t="str">
        <f>HYPERLINK("https://drive.google.com/file/d/1E_T-SbOGPxtCJ-TJeO1KT76aZmgXYgIe/view?usp=drivesdk","2616_HERI PAMUJI WIBOWO, S.E.  _ SERTIFIKAT BerAKHLAK")</f>
        <v>2616_HERI PAMUJI WIBOWO, S.E.  _ SERTIFIKAT BerAKHLAK</v>
      </c>
      <c r="P2617" s="5" t="s">
        <v>18672</v>
      </c>
      <c r="Q2617" s="5"/>
      <c r="R2617" s="5"/>
      <c r="S2617" s="5"/>
      <c r="T2617" s="5"/>
    </row>
    <row r="2618">
      <c r="A2618" s="4">
        <v>45534.34079960648</v>
      </c>
      <c r="B2618" s="5" t="s">
        <v>34</v>
      </c>
      <c r="D2618" s="5" t="s">
        <v>1206</v>
      </c>
      <c r="E2618" s="5" t="s">
        <v>18680</v>
      </c>
      <c r="F2618" s="5" t="s">
        <v>212</v>
      </c>
      <c r="G2618" s="5" t="s">
        <v>18681</v>
      </c>
      <c r="H2618" s="6" t="s">
        <v>18682</v>
      </c>
      <c r="I2618" s="7" t="s">
        <v>18683</v>
      </c>
      <c r="J2618" s="8" t="str">
        <f>HYPERLINK("https://drive.google.com/file/d/1PkOGcpulVLPQAvthHbW561v8qnmUwEnx/view?usp=drivesdk","JULI ANDAYANI SERTIFIKAT BerAKHLAK")</f>
        <v>JULI ANDAYANI SERTIFIKAT BerAKHLAK</v>
      </c>
      <c r="K2618" s="5" t="s">
        <v>18654</v>
      </c>
      <c r="L2618" s="5" t="s">
        <v>18684</v>
      </c>
      <c r="M2618" s="5" t="s">
        <v>18685</v>
      </c>
      <c r="N2618" s="7" t="s">
        <v>18686</v>
      </c>
      <c r="O2618" s="8" t="str">
        <f>HYPERLINK("https://drive.google.com/file/d/1WOnmvpIwgzjqm46aByfRrzTWZSL2WXTG/view?usp=drivesdk","2617_JULI ANDAYANI _ SERTIFIKAT BerAKHLAK")</f>
        <v>2617_JULI ANDAYANI _ SERTIFIKAT BerAKHLAK</v>
      </c>
      <c r="P2618" s="5" t="s">
        <v>18672</v>
      </c>
      <c r="Q2618" s="5"/>
      <c r="R2618" s="5"/>
      <c r="S2618" s="5"/>
      <c r="T2618" s="5"/>
    </row>
    <row r="2619">
      <c r="A2619" s="4">
        <v>45534.340806249995</v>
      </c>
      <c r="B2619" s="5" t="s">
        <v>34</v>
      </c>
      <c r="D2619" s="5" t="s">
        <v>2903</v>
      </c>
      <c r="E2619" s="5" t="s">
        <v>18687</v>
      </c>
      <c r="F2619" s="5" t="s">
        <v>108</v>
      </c>
      <c r="G2619" s="5" t="s">
        <v>18688</v>
      </c>
      <c r="H2619" s="6" t="s">
        <v>18689</v>
      </c>
      <c r="I2619" s="7" t="s">
        <v>18690</v>
      </c>
      <c r="J2619" s="8" t="str">
        <f>HYPERLINK("https://drive.google.com/file/d/1rtGdTKmDWG6bpRymC9NPu3cgOKHNXzCG/view?usp=drivesdk","EPA AFRIANI SERTIFIKAT BerAKHLAK")</f>
        <v>EPA AFRIANI SERTIFIKAT BerAKHLAK</v>
      </c>
      <c r="K2619" s="5" t="s">
        <v>18691</v>
      </c>
      <c r="L2619" s="5" t="s">
        <v>18692</v>
      </c>
      <c r="M2619" s="5" t="s">
        <v>18693</v>
      </c>
      <c r="N2619" s="7" t="s">
        <v>18694</v>
      </c>
      <c r="O2619" s="8" t="str">
        <f>HYPERLINK("https://drive.google.com/file/d/1AAcZmqqB-cnCthg4RzvYuu0B5sCztS0-/view?usp=drivesdk","2618_EPA AFRIANI _ SERTIFIKAT BerAKHLAK")</f>
        <v>2618_EPA AFRIANI _ SERTIFIKAT BerAKHLAK</v>
      </c>
      <c r="P2619" s="5" t="s">
        <v>18672</v>
      </c>
      <c r="Q2619" s="5"/>
      <c r="R2619" s="5"/>
      <c r="S2619" s="5"/>
      <c r="T2619" s="5"/>
    </row>
    <row r="2620" hidden="1">
      <c r="A2620" s="4">
        <v>45534.34080934028</v>
      </c>
      <c r="B2620" s="5" t="s">
        <v>19</v>
      </c>
      <c r="C2620" s="5" t="s">
        <v>14000</v>
      </c>
      <c r="E2620" s="5" t="s">
        <v>18695</v>
      </c>
      <c r="F2620" s="5" t="s">
        <v>212</v>
      </c>
      <c r="G2620" s="5" t="s">
        <v>18696</v>
      </c>
      <c r="H2620" s="6" t="s">
        <v>18697</v>
      </c>
      <c r="I2620" s="7" t="s">
        <v>18698</v>
      </c>
      <c r="J2620" s="8" t="str">
        <f>HYPERLINK("https://drive.google.com/file/d/18fdSeRZjMf4Xu906nFp8ccN7L3EkvBYy/view?usp=drivesdk","DEWI SARTIKA SERTIFIKAT BerAKHLAK")</f>
        <v>DEWI SARTIKA SERTIFIKAT BerAKHLAK</v>
      </c>
      <c r="K2620" s="5" t="s">
        <v>18691</v>
      </c>
      <c r="L2620" s="5" t="s">
        <v>18699</v>
      </c>
      <c r="M2620" s="5" t="s">
        <v>18700</v>
      </c>
      <c r="N2620" s="7" t="s">
        <v>18701</v>
      </c>
      <c r="O2620" s="8" t="str">
        <f>HYPERLINK("https://drive.google.com/file/d/1XXZtvUQ-ehU_4eyKYf91H8lyyHXF-xa0/view?usp=drivesdk","2619_DEWI SARTIKA _ SERTIFIKAT BerAKHLAK")</f>
        <v>2619_DEWI SARTIKA _ SERTIFIKAT BerAKHLAK</v>
      </c>
      <c r="P2620" s="5" t="s">
        <v>18702</v>
      </c>
      <c r="Q2620" s="5"/>
      <c r="R2620" s="5"/>
      <c r="S2620" s="5"/>
      <c r="T2620" s="5"/>
    </row>
    <row r="2621">
      <c r="A2621" s="4">
        <v>45534.34081313657</v>
      </c>
      <c r="B2621" s="5" t="s">
        <v>34</v>
      </c>
      <c r="D2621" s="5" t="s">
        <v>1206</v>
      </c>
      <c r="E2621" s="5" t="s">
        <v>18703</v>
      </c>
      <c r="F2621" s="5" t="s">
        <v>715</v>
      </c>
      <c r="G2621" s="5" t="s">
        <v>18704</v>
      </c>
      <c r="H2621" s="6" t="s">
        <v>18705</v>
      </c>
      <c r="I2621" s="7" t="s">
        <v>18706</v>
      </c>
      <c r="J2621" s="8" t="str">
        <f>HYPERLINK("https://drive.google.com/file/d/11TpN1DfNkKhMmBzV-S7D1BxVT1ST_1u7/view?usp=drivesdk","YANI PRASETYA FAJARWATI, SE SERTIFIKAT BerAKHLAK")</f>
        <v>YANI PRASETYA FAJARWATI, SE SERTIFIKAT BerAKHLAK</v>
      </c>
      <c r="K2621" s="5" t="s">
        <v>18691</v>
      </c>
      <c r="L2621" s="5" t="s">
        <v>18707</v>
      </c>
      <c r="M2621" s="5" t="s">
        <v>18708</v>
      </c>
      <c r="N2621" s="7" t="s">
        <v>18709</v>
      </c>
      <c r="O2621" s="8" t="str">
        <f>HYPERLINK("https://drive.google.com/file/d/1M5GqGK3CxNSFpQ1VJfU-n9AiTeEtth_y/view?usp=drivesdk","2620_YANI PRASETYA FAJARWATI, SE _ SERTIFIKAT BerAKHLAK")</f>
        <v>2620_YANI PRASETYA FAJARWATI, SE _ SERTIFIKAT BerAKHLAK</v>
      </c>
      <c r="P2621" s="5" t="s">
        <v>18702</v>
      </c>
      <c r="Q2621" s="5"/>
      <c r="R2621" s="5"/>
      <c r="S2621" s="5"/>
      <c r="T2621" s="5"/>
    </row>
    <row r="2622">
      <c r="A2622" s="4">
        <v>45534.34081472222</v>
      </c>
      <c r="B2622" s="5" t="s">
        <v>34</v>
      </c>
      <c r="D2622" s="5" t="s">
        <v>1206</v>
      </c>
      <c r="E2622" s="5" t="s">
        <v>18710</v>
      </c>
      <c r="F2622" s="5" t="s">
        <v>212</v>
      </c>
      <c r="G2622" s="5" t="s">
        <v>18711</v>
      </c>
      <c r="H2622" s="6" t="s">
        <v>18712</v>
      </c>
      <c r="K2622" s="5" t="s">
        <v>18713</v>
      </c>
      <c r="M2622" s="5" t="s">
        <v>18714</v>
      </c>
      <c r="N2622" s="7" t="s">
        <v>18715</v>
      </c>
      <c r="O2622" s="8" t="str">
        <f>HYPERLINK("https://drive.google.com/file/d/1UE4fbT9eJPTJVSKnsWB2Oq3XPkIb5wDr/view?usp=drivesdk","2621_WAHYUDI _ SERTIFIKAT BerAKHLAK")</f>
        <v>2621_WAHYUDI _ SERTIFIKAT BerAKHLAK</v>
      </c>
      <c r="P2622" s="5" t="s">
        <v>18702</v>
      </c>
      <c r="Q2622" s="5"/>
      <c r="R2622" s="5"/>
      <c r="S2622" s="5"/>
      <c r="T2622" s="5"/>
    </row>
    <row r="2623">
      <c r="A2623" s="4">
        <v>45534.34081559027</v>
      </c>
      <c r="B2623" s="5" t="s">
        <v>34</v>
      </c>
      <c r="D2623" s="5" t="s">
        <v>522</v>
      </c>
      <c r="E2623" s="5" t="s">
        <v>18716</v>
      </c>
      <c r="F2623" s="5" t="s">
        <v>72</v>
      </c>
      <c r="G2623" s="5" t="s">
        <v>18717</v>
      </c>
      <c r="H2623" s="6" t="s">
        <v>18718</v>
      </c>
      <c r="K2623" s="5" t="s">
        <v>18713</v>
      </c>
      <c r="M2623" s="5" t="s">
        <v>18719</v>
      </c>
      <c r="N2623" s="7" t="s">
        <v>18720</v>
      </c>
      <c r="O2623" s="8" t="str">
        <f>HYPERLINK("https://drive.google.com/file/d/1y9ZNUKfP2I5CWbN3FkWeNbZdsFZKqR1q/view?usp=drivesdk","2622_DR. ASRARUDIN _ SERTIFIKAT BerAKHLAK")</f>
        <v>2622_DR. ASRARUDIN _ SERTIFIKAT BerAKHLAK</v>
      </c>
      <c r="P2623" s="5" t="s">
        <v>18702</v>
      </c>
      <c r="Q2623" s="5"/>
      <c r="R2623" s="5"/>
      <c r="S2623" s="5"/>
      <c r="T2623" s="5"/>
    </row>
    <row r="2624">
      <c r="A2624" s="4">
        <v>45534.34081577546</v>
      </c>
      <c r="B2624" s="5" t="s">
        <v>34</v>
      </c>
      <c r="D2624" s="5" t="s">
        <v>9020</v>
      </c>
      <c r="E2624" s="5" t="s">
        <v>18721</v>
      </c>
      <c r="F2624" s="5" t="s">
        <v>375</v>
      </c>
      <c r="G2624" s="5" t="s">
        <v>18722</v>
      </c>
      <c r="H2624" s="6" t="s">
        <v>18723</v>
      </c>
      <c r="K2624" s="5" t="s">
        <v>18713</v>
      </c>
      <c r="M2624" s="5" t="s">
        <v>18724</v>
      </c>
      <c r="N2624" s="7" t="s">
        <v>18725</v>
      </c>
      <c r="O2624" s="8" t="str">
        <f>HYPERLINK("https://drive.google.com/file/d/1MVMwvC3eQA78sxyJNqNnsaFjQfB255Sq/view?usp=drivesdk","2623_SUMINAH BR SITEPU _ SERTIFIKAT BerAKHLAK")</f>
        <v>2623_SUMINAH BR SITEPU _ SERTIFIKAT BerAKHLAK</v>
      </c>
      <c r="P2624" s="5" t="s">
        <v>18726</v>
      </c>
      <c r="Q2624" s="5"/>
      <c r="R2624" s="5"/>
      <c r="S2624" s="5"/>
      <c r="T2624" s="5"/>
    </row>
    <row r="2625">
      <c r="A2625" s="4">
        <v>45534.34081616898</v>
      </c>
      <c r="B2625" s="5" t="s">
        <v>34</v>
      </c>
      <c r="D2625" s="5" t="s">
        <v>35</v>
      </c>
      <c r="E2625" s="5" t="s">
        <v>18727</v>
      </c>
      <c r="F2625" s="5" t="s">
        <v>72</v>
      </c>
      <c r="G2625" s="5" t="s">
        <v>18728</v>
      </c>
      <c r="H2625" s="6" t="s">
        <v>18729</v>
      </c>
      <c r="K2625" s="5" t="s">
        <v>18713</v>
      </c>
      <c r="M2625" s="5" t="s">
        <v>18730</v>
      </c>
      <c r="N2625" s="7" t="s">
        <v>18731</v>
      </c>
      <c r="O2625" s="8" t="str">
        <f>HYPERLINK("https://drive.google.com/file/d/1II0sk4m5Og31rb9dwom09Oy_gWPQHU_p/view?usp=drivesdk","2624_TATI KURNIATI AMD.KEP _ SERTIFIKAT BerAKHLAK")</f>
        <v>2624_TATI KURNIATI AMD.KEP _ SERTIFIKAT BerAKHLAK</v>
      </c>
      <c r="P2625" s="5" t="s">
        <v>18726</v>
      </c>
      <c r="Q2625" s="5"/>
      <c r="R2625" s="5"/>
      <c r="S2625" s="5"/>
      <c r="T2625" s="5"/>
    </row>
    <row r="2626">
      <c r="A2626" s="4">
        <v>45534.34081701389</v>
      </c>
      <c r="B2626" s="5" t="s">
        <v>34</v>
      </c>
      <c r="D2626" s="5" t="s">
        <v>267</v>
      </c>
      <c r="E2626" s="5" t="s">
        <v>18732</v>
      </c>
      <c r="F2626" s="5" t="s">
        <v>212</v>
      </c>
      <c r="G2626" s="5" t="s">
        <v>18733</v>
      </c>
      <c r="H2626" s="6" t="s">
        <v>18734</v>
      </c>
      <c r="K2626" s="5" t="s">
        <v>18713</v>
      </c>
      <c r="M2626" s="5" t="s">
        <v>18735</v>
      </c>
      <c r="N2626" s="7" t="s">
        <v>18736</v>
      </c>
      <c r="O2626" s="8" t="str">
        <f>HYPERLINK("https://drive.google.com/file/d/1V1tLZFHV2w42gMIDNrXD7qKAxYBJZVVm/view?usp=drivesdk","2625_SUDARMANTA _ SERTIFIKAT BerAKHLAK")</f>
        <v>2625_SUDARMANTA _ SERTIFIKAT BerAKHLAK</v>
      </c>
      <c r="P2626" s="5" t="s">
        <v>18726</v>
      </c>
      <c r="Q2626" s="5"/>
      <c r="R2626" s="5"/>
      <c r="S2626" s="5"/>
      <c r="T2626" s="5"/>
    </row>
    <row r="2627" hidden="1">
      <c r="A2627" s="4">
        <v>45534.34082333333</v>
      </c>
      <c r="B2627" s="5" t="s">
        <v>19</v>
      </c>
      <c r="C2627" s="5" t="s">
        <v>20</v>
      </c>
      <c r="E2627" s="5" t="s">
        <v>18737</v>
      </c>
      <c r="F2627" s="5" t="s">
        <v>120</v>
      </c>
      <c r="G2627" s="5" t="s">
        <v>18738</v>
      </c>
      <c r="H2627" s="6" t="s">
        <v>18739</v>
      </c>
      <c r="K2627" s="5" t="s">
        <v>18713</v>
      </c>
      <c r="M2627" s="5" t="s">
        <v>18740</v>
      </c>
      <c r="N2627" s="7" t="s">
        <v>18741</v>
      </c>
      <c r="O2627" s="8" t="str">
        <f>HYPERLINK("https://drive.google.com/file/d/1tN_yZNzffAwg1h1DNU1N9LehbGHAvXHh/view?usp=drivesdk","2626_MARIA R INDAH _ SERTIFIKAT BerAKHLAK")</f>
        <v>2626_MARIA R INDAH _ SERTIFIKAT BerAKHLAK</v>
      </c>
      <c r="P2627" s="5" t="s">
        <v>18726</v>
      </c>
      <c r="Q2627" s="5"/>
      <c r="R2627" s="5"/>
      <c r="S2627" s="5"/>
      <c r="T2627" s="5"/>
    </row>
    <row r="2628">
      <c r="A2628" s="4">
        <v>45534.34083168981</v>
      </c>
      <c r="B2628" s="5" t="s">
        <v>34</v>
      </c>
      <c r="D2628" s="5" t="s">
        <v>12978</v>
      </c>
      <c r="E2628" s="5" t="s">
        <v>18742</v>
      </c>
      <c r="F2628" s="5" t="s">
        <v>715</v>
      </c>
      <c r="G2628" s="5" t="s">
        <v>18743</v>
      </c>
      <c r="H2628" s="6" t="s">
        <v>18744</v>
      </c>
      <c r="K2628" s="5" t="s">
        <v>18713</v>
      </c>
      <c r="M2628" s="5" t="s">
        <v>18745</v>
      </c>
      <c r="N2628" s="7" t="s">
        <v>18746</v>
      </c>
      <c r="O2628" s="8" t="str">
        <f>HYPERLINK("https://drive.google.com/file/d/12pKDbtvcnnu_QHQ6o9LcMaHYr3qnzo2e/view?usp=drivesdk","2627_METTA HERIYANI _ SERTIFIKAT BIMTEK IPASN BerAKHLASK")</f>
        <v>2627_METTA HERIYANI _ SERTIFIKAT BIMTEK IPASN BerAKHLASK</v>
      </c>
      <c r="P2628" s="5" t="s">
        <v>18747</v>
      </c>
      <c r="Q2628" s="5"/>
      <c r="R2628" s="5"/>
      <c r="S2628" s="5"/>
      <c r="T2628" s="5"/>
    </row>
    <row r="2629">
      <c r="A2629" s="4">
        <v>45534.34083170139</v>
      </c>
      <c r="B2629" s="5" t="s">
        <v>34</v>
      </c>
      <c r="D2629" s="5" t="s">
        <v>1206</v>
      </c>
      <c r="E2629" s="5" t="s">
        <v>18748</v>
      </c>
      <c r="F2629" s="5" t="s">
        <v>37</v>
      </c>
      <c r="G2629" s="5" t="s">
        <v>18749</v>
      </c>
      <c r="H2629" s="6" t="s">
        <v>18750</v>
      </c>
      <c r="K2629" s="5" t="s">
        <v>18713</v>
      </c>
      <c r="M2629" s="5" t="s">
        <v>18751</v>
      </c>
      <c r="N2629" s="7" t="s">
        <v>18752</v>
      </c>
      <c r="O2629" s="8" t="str">
        <f>HYPERLINK("https://drive.google.com/file/d/1SqJkMYcS8PpBlMAUHqP01eXpxMm_Khzu/view?usp=drivesdk","2628_AGUSTIN NINGSIH _ SERTIFIKAT BIMTEK IPASN BerAKHLASK")</f>
        <v>2628_AGUSTIN NINGSIH _ SERTIFIKAT BIMTEK IPASN BerAKHLASK</v>
      </c>
      <c r="P2629" s="5" t="s">
        <v>18753</v>
      </c>
      <c r="Q2629" s="5"/>
      <c r="R2629" s="5"/>
      <c r="S2629" s="5"/>
      <c r="T2629" s="5"/>
    </row>
    <row r="2630">
      <c r="A2630" s="4">
        <v>45534.34083428241</v>
      </c>
      <c r="B2630" s="5" t="s">
        <v>34</v>
      </c>
      <c r="D2630" s="5" t="s">
        <v>4775</v>
      </c>
      <c r="E2630" s="5" t="s">
        <v>18754</v>
      </c>
      <c r="F2630" s="5" t="s">
        <v>212</v>
      </c>
      <c r="G2630" s="5" t="s">
        <v>18755</v>
      </c>
      <c r="H2630" s="6" t="s">
        <v>18756</v>
      </c>
      <c r="K2630" s="5" t="s">
        <v>18713</v>
      </c>
      <c r="M2630" s="5" t="s">
        <v>18757</v>
      </c>
      <c r="N2630" s="7" t="s">
        <v>18758</v>
      </c>
      <c r="O2630" s="8" t="str">
        <f>HYPERLINK("https://drive.google.com/file/d/1IW1PzLdIciGKa0OVDtxgRJ90camSYFrP/view?usp=drivesdk","2629_SUSMIANANH _ SERTIFIKAT BIMTEK IPASN BerAKHLASK")</f>
        <v>2629_SUSMIANANH _ SERTIFIKAT BIMTEK IPASN BerAKHLASK</v>
      </c>
      <c r="P2630" s="5" t="s">
        <v>18753</v>
      </c>
      <c r="Q2630" s="5"/>
      <c r="R2630" s="5"/>
      <c r="S2630" s="5"/>
      <c r="T2630" s="5"/>
    </row>
    <row r="2631">
      <c r="A2631" s="4">
        <v>45534.34084761574</v>
      </c>
      <c r="B2631" s="5" t="s">
        <v>34</v>
      </c>
      <c r="D2631" s="5" t="s">
        <v>2903</v>
      </c>
      <c r="E2631" s="5" t="s">
        <v>18759</v>
      </c>
      <c r="F2631" s="5" t="s">
        <v>212</v>
      </c>
      <c r="G2631" s="5" t="s">
        <v>18760</v>
      </c>
      <c r="H2631" s="6" t="s">
        <v>18761</v>
      </c>
      <c r="K2631" s="5" t="s">
        <v>18713</v>
      </c>
      <c r="M2631" s="5" t="s">
        <v>18762</v>
      </c>
      <c r="N2631" s="7" t="s">
        <v>18763</v>
      </c>
      <c r="O2631" s="8" t="str">
        <f>HYPERLINK("https://drive.google.com/file/d/1bD6c6d46ZRH7I6m3guENzV38wXVmpUl-/view?usp=drivesdk","2630_KOMARUDIN _ SERTIFIKAT BIMTEK IPASN BerAKHLASK")</f>
        <v>2630_KOMARUDIN _ SERTIFIKAT BIMTEK IPASN BerAKHLASK</v>
      </c>
      <c r="P2631" s="5" t="s">
        <v>18753</v>
      </c>
      <c r="Q2631" s="5"/>
      <c r="R2631" s="5"/>
      <c r="S2631" s="5"/>
      <c r="T2631" s="5"/>
    </row>
    <row r="2632">
      <c r="A2632" s="4">
        <v>45534.34084778935</v>
      </c>
      <c r="B2632" s="5" t="s">
        <v>34</v>
      </c>
      <c r="D2632" s="5" t="s">
        <v>6232</v>
      </c>
      <c r="E2632" s="5" t="s">
        <v>18764</v>
      </c>
      <c r="F2632" s="5" t="s">
        <v>715</v>
      </c>
      <c r="G2632" s="5" t="s">
        <v>18765</v>
      </c>
      <c r="H2632" s="6" t="s">
        <v>18766</v>
      </c>
      <c r="K2632" s="5" t="s">
        <v>18713</v>
      </c>
      <c r="M2632" s="5" t="s">
        <v>18767</v>
      </c>
      <c r="N2632" s="7" t="s">
        <v>18768</v>
      </c>
      <c r="O2632" s="8" t="str">
        <f>HYPERLINK("https://drive.google.com/file/d/1w2M1RBoyYrzbsJYs6OG8kPufqqUnGRm2/view?usp=drivesdk","2631_SRI MURTINI, S.E. _ SERTIFIKAT BIMTEK IPASN BerAKHLASK")</f>
        <v>2631_SRI MURTINI, S.E. _ SERTIFIKAT BIMTEK IPASN BerAKHLASK</v>
      </c>
      <c r="P2632" s="5" t="s">
        <v>18753</v>
      </c>
      <c r="Q2632" s="5"/>
      <c r="R2632" s="5"/>
      <c r="S2632" s="5"/>
      <c r="T2632" s="5"/>
    </row>
    <row r="2633">
      <c r="A2633" s="4">
        <v>45534.34084993055</v>
      </c>
      <c r="B2633" s="5" t="s">
        <v>34</v>
      </c>
      <c r="D2633" s="5" t="s">
        <v>9020</v>
      </c>
      <c r="E2633" s="5" t="s">
        <v>18769</v>
      </c>
      <c r="F2633" s="5" t="s">
        <v>524</v>
      </c>
      <c r="G2633" s="5" t="s">
        <v>18770</v>
      </c>
      <c r="H2633" s="6" t="s">
        <v>18771</v>
      </c>
      <c r="K2633" s="5" t="s">
        <v>18713</v>
      </c>
      <c r="M2633" s="5" t="s">
        <v>18772</v>
      </c>
      <c r="N2633" s="7" t="s">
        <v>18773</v>
      </c>
      <c r="O2633" s="8" t="str">
        <f>HYPERLINK("https://drive.google.com/file/d/1ctCCZBj9oi8Hc9tvOJBdRHre6zjJuDQX/view?usp=drivesdk","2632_ANGGRIANI,AMDGz _ SERTIFIKAT BIMTEK IPASN BerAKHLASK")</f>
        <v>2632_ANGGRIANI,AMDGz _ SERTIFIKAT BIMTEK IPASN BerAKHLASK</v>
      </c>
      <c r="P2633" s="5" t="s">
        <v>18753</v>
      </c>
      <c r="Q2633" s="5"/>
      <c r="R2633" s="5"/>
      <c r="S2633" s="5"/>
      <c r="T2633" s="5"/>
    </row>
    <row r="2634">
      <c r="A2634" s="4">
        <v>45534.340852071764</v>
      </c>
      <c r="B2634" s="5" t="s">
        <v>34</v>
      </c>
      <c r="D2634" s="5" t="s">
        <v>4775</v>
      </c>
      <c r="E2634" s="5" t="s">
        <v>18774</v>
      </c>
      <c r="F2634" s="5" t="s">
        <v>37</v>
      </c>
      <c r="G2634" s="5" t="s">
        <v>18775</v>
      </c>
      <c r="H2634" s="6" t="s">
        <v>18776</v>
      </c>
      <c r="K2634" s="5" t="s">
        <v>18713</v>
      </c>
      <c r="M2634" s="5" t="s">
        <v>18777</v>
      </c>
      <c r="N2634" s="7" t="s">
        <v>18778</v>
      </c>
      <c r="O2634" s="8" t="str">
        <f>HYPERLINK("https://drive.google.com/file/d/1WhXHfrsDFRT6tWzh0Kz2cCyVkXW4342e/view?usp=drivesdk","2633_DIDIK RUSTAM _ SERTIFIKAT BIMTEK IPASN BerAKHLASK")</f>
        <v>2633_DIDIK RUSTAM _ SERTIFIKAT BIMTEK IPASN BerAKHLASK</v>
      </c>
      <c r="P2634" s="5" t="s">
        <v>18753</v>
      </c>
      <c r="Q2634" s="5"/>
      <c r="R2634" s="5"/>
      <c r="S2634" s="5"/>
      <c r="T2634" s="5"/>
    </row>
    <row r="2635">
      <c r="A2635" s="4">
        <v>45534.340854803246</v>
      </c>
      <c r="B2635" s="5" t="s">
        <v>34</v>
      </c>
      <c r="D2635" s="5" t="s">
        <v>4775</v>
      </c>
      <c r="E2635" s="5" t="s">
        <v>18779</v>
      </c>
      <c r="F2635" s="5" t="s">
        <v>108</v>
      </c>
      <c r="G2635" s="5" t="s">
        <v>18780</v>
      </c>
      <c r="H2635" s="6" t="s">
        <v>18781</v>
      </c>
      <c r="K2635" s="5" t="s">
        <v>18782</v>
      </c>
      <c r="M2635" s="5" t="s">
        <v>18783</v>
      </c>
      <c r="N2635" s="7" t="s">
        <v>18784</v>
      </c>
      <c r="O2635" s="8" t="str">
        <f>HYPERLINK("https://drive.google.com/file/d/1OSXLfNzFKRcGx1kYFQW1bU5Cg3PHX50B/view?usp=drivesdk","2634_LUSIANA ERNAWATI, A. Md. _ SERTIFIKAT BIMTEK IPASN BerAKHLASK")</f>
        <v>2634_LUSIANA ERNAWATI, A. Md. _ SERTIFIKAT BIMTEK IPASN BerAKHLASK</v>
      </c>
      <c r="P2635" s="5" t="s">
        <v>18785</v>
      </c>
      <c r="Q2635" s="5"/>
      <c r="R2635" s="5"/>
      <c r="S2635" s="5"/>
      <c r="T2635" s="5"/>
    </row>
    <row r="2636">
      <c r="A2636" s="4">
        <v>45534.34086523148</v>
      </c>
      <c r="B2636" s="5" t="s">
        <v>34</v>
      </c>
      <c r="D2636" s="5" t="s">
        <v>9020</v>
      </c>
      <c r="E2636" s="5" t="s">
        <v>18786</v>
      </c>
      <c r="F2636" s="5" t="s">
        <v>37</v>
      </c>
      <c r="G2636" s="5" t="s">
        <v>18787</v>
      </c>
      <c r="H2636" s="6" t="s">
        <v>18788</v>
      </c>
      <c r="K2636" s="5" t="s">
        <v>18782</v>
      </c>
      <c r="M2636" s="5" t="s">
        <v>18789</v>
      </c>
      <c r="N2636" s="7" t="s">
        <v>18790</v>
      </c>
      <c r="O2636" s="8" t="str">
        <f>HYPERLINK("https://drive.google.com/file/d/1bJvNPfwvQ6G_J7RuIrL8AeiQ-C3xuCmw/view?usp=drivesdk","2635_RINALDY _ SERTIFIKAT BIMTEK IPASN BerAKHLASK")</f>
        <v>2635_RINALDY _ SERTIFIKAT BIMTEK IPASN BerAKHLASK</v>
      </c>
      <c r="P2636" s="5" t="s">
        <v>18785</v>
      </c>
      <c r="Q2636" s="5"/>
      <c r="R2636" s="5"/>
      <c r="S2636" s="5"/>
      <c r="T2636" s="5"/>
    </row>
    <row r="2637">
      <c r="A2637" s="4">
        <v>45534.340866238424</v>
      </c>
      <c r="B2637" s="5" t="s">
        <v>34</v>
      </c>
      <c r="D2637" s="5" t="s">
        <v>1206</v>
      </c>
      <c r="E2637" s="5" t="s">
        <v>18791</v>
      </c>
      <c r="F2637" s="5" t="s">
        <v>212</v>
      </c>
      <c r="G2637" s="5" t="s">
        <v>18792</v>
      </c>
      <c r="H2637" s="6" t="s">
        <v>18793</v>
      </c>
      <c r="K2637" s="5" t="s">
        <v>18782</v>
      </c>
      <c r="M2637" s="5" t="s">
        <v>18794</v>
      </c>
      <c r="N2637" s="7" t="s">
        <v>18795</v>
      </c>
      <c r="O2637" s="8" t="str">
        <f>HYPERLINK("https://drive.google.com/file/d/1346rV60P3zLWO9Lsg4BpONaIaXmoNu4w/view?usp=drivesdk","2636_WIJI WIJI _ SERTIFIKAT BIMTEK IPASN BerAKHLASK")</f>
        <v>2636_WIJI WIJI _ SERTIFIKAT BIMTEK IPASN BerAKHLASK</v>
      </c>
      <c r="P2637" s="5" t="s">
        <v>18785</v>
      </c>
      <c r="Q2637" s="5"/>
      <c r="R2637" s="5"/>
      <c r="S2637" s="5"/>
      <c r="T2637" s="5"/>
    </row>
    <row r="2638">
      <c r="A2638" s="4">
        <v>45534.34086684028</v>
      </c>
      <c r="B2638" s="5" t="s">
        <v>34</v>
      </c>
      <c r="D2638" s="5" t="s">
        <v>12978</v>
      </c>
      <c r="E2638" s="5" t="s">
        <v>18796</v>
      </c>
      <c r="F2638" s="5" t="s">
        <v>108</v>
      </c>
      <c r="G2638" s="5" t="s">
        <v>18797</v>
      </c>
      <c r="H2638" s="6" t="s">
        <v>18798</v>
      </c>
      <c r="K2638" s="5" t="s">
        <v>18782</v>
      </c>
      <c r="M2638" s="5" t="s">
        <v>18799</v>
      </c>
      <c r="N2638" s="7" t="s">
        <v>18800</v>
      </c>
      <c r="O2638" s="8" t="str">
        <f>HYPERLINK("https://drive.google.com/file/d/1MPiW63ND55hG2eJWtsZ1uy7Q1nGGTdwd/view?usp=drivesdk","2637_SITI BARIYAH _ SERTIFIKAT BIMTEK IPASN BerAKHLASK")</f>
        <v>2637_SITI BARIYAH _ SERTIFIKAT BIMTEK IPASN BerAKHLASK</v>
      </c>
      <c r="P2638" s="5" t="s">
        <v>18785</v>
      </c>
      <c r="Q2638" s="5"/>
      <c r="R2638" s="5"/>
      <c r="S2638" s="5"/>
      <c r="T2638" s="5"/>
    </row>
    <row r="2639">
      <c r="A2639" s="4">
        <v>45534.34086737268</v>
      </c>
      <c r="B2639" s="5" t="s">
        <v>34</v>
      </c>
      <c r="D2639" s="5" t="s">
        <v>35</v>
      </c>
      <c r="E2639" s="5" t="s">
        <v>18801</v>
      </c>
      <c r="F2639" s="5" t="s">
        <v>37</v>
      </c>
      <c r="G2639" s="5" t="s">
        <v>18802</v>
      </c>
      <c r="H2639" s="6" t="s">
        <v>18803</v>
      </c>
      <c r="K2639" s="5" t="s">
        <v>18782</v>
      </c>
      <c r="M2639" s="5" t="s">
        <v>18804</v>
      </c>
      <c r="N2639" s="7" t="s">
        <v>18805</v>
      </c>
      <c r="O2639" s="8" t="str">
        <f>HYPERLINK("https://drive.google.com/file/d/1gu2WMo8w5HLuoWuPSCL5t-pXs5EHtjAL/view?usp=drivesdk","2638_DIAN MILHAN YASSIR _ SERTIFIKAT BIMTEK IPASN BerAKHLASK")</f>
        <v>2638_DIAN MILHAN YASSIR _ SERTIFIKAT BIMTEK IPASN BerAKHLASK</v>
      </c>
      <c r="P2639" s="5" t="s">
        <v>18785</v>
      </c>
      <c r="Q2639" s="5"/>
      <c r="R2639" s="5"/>
      <c r="S2639" s="5"/>
      <c r="T2639" s="5"/>
    </row>
    <row r="2640">
      <c r="A2640" s="4">
        <v>45534.34087056713</v>
      </c>
      <c r="B2640" s="5" t="s">
        <v>34</v>
      </c>
      <c r="D2640" s="5" t="s">
        <v>996</v>
      </c>
      <c r="E2640" s="5" t="s">
        <v>18806</v>
      </c>
      <c r="F2640" s="5" t="s">
        <v>212</v>
      </c>
      <c r="G2640" s="5" t="s">
        <v>18807</v>
      </c>
      <c r="H2640" s="6" t="s">
        <v>18808</v>
      </c>
      <c r="K2640" s="5" t="s">
        <v>18782</v>
      </c>
      <c r="M2640" s="5" t="s">
        <v>18809</v>
      </c>
      <c r="N2640" s="7" t="s">
        <v>18810</v>
      </c>
      <c r="O2640" s="8" t="str">
        <f>HYPERLINK("https://drive.google.com/file/d/10-X1kCin5gg6PBDE5R08Ikqv1q2WTSo3/view?usp=drivesdk","2639_DINA YULIANA  _ SERTIFIKAT BIMTEK IPASN BerAKHLASK")</f>
        <v>2639_DINA YULIANA  _ SERTIFIKAT BIMTEK IPASN BerAKHLASK</v>
      </c>
      <c r="P2640" s="5" t="s">
        <v>18785</v>
      </c>
      <c r="Q2640" s="5"/>
      <c r="R2640" s="5"/>
      <c r="S2640" s="5"/>
      <c r="T2640" s="5"/>
    </row>
    <row r="2641">
      <c r="A2641" s="4">
        <v>45534.34087733796</v>
      </c>
      <c r="B2641" s="5" t="s">
        <v>34</v>
      </c>
      <c r="D2641" s="5" t="s">
        <v>10444</v>
      </c>
      <c r="E2641" s="5" t="s">
        <v>18811</v>
      </c>
      <c r="F2641" s="5" t="s">
        <v>37</v>
      </c>
      <c r="G2641" s="5" t="s">
        <v>18812</v>
      </c>
      <c r="H2641" s="6" t="s">
        <v>18813</v>
      </c>
      <c r="K2641" s="5" t="s">
        <v>18782</v>
      </c>
      <c r="M2641" s="5" t="s">
        <v>18814</v>
      </c>
      <c r="N2641" s="7" t="s">
        <v>18815</v>
      </c>
      <c r="O2641" s="8" t="str">
        <f>HYPERLINK("https://drive.google.com/file/d/1fvcuv4ZCHa6WTonN3pLUi5So6CUBPn5e/view?usp=drivesdk","2640_MAI SHANDRA SWARA, A. MD. FAR _ SERTIFIKAT BIMTEK IPASN BerAKHLASK")</f>
        <v>2640_MAI SHANDRA SWARA, A. MD. FAR _ SERTIFIKAT BIMTEK IPASN BerAKHLASK</v>
      </c>
      <c r="P2641" s="5" t="s">
        <v>18816</v>
      </c>
      <c r="Q2641" s="5"/>
      <c r="R2641" s="5"/>
      <c r="S2641" s="5"/>
      <c r="T2641" s="5"/>
    </row>
    <row r="2642">
      <c r="A2642" s="4">
        <v>45534.34087837963</v>
      </c>
      <c r="B2642" s="5" t="s">
        <v>34</v>
      </c>
      <c r="D2642" s="5" t="s">
        <v>1206</v>
      </c>
      <c r="E2642" s="5" t="s">
        <v>18817</v>
      </c>
      <c r="F2642" s="5" t="s">
        <v>212</v>
      </c>
      <c r="G2642" s="5" t="s">
        <v>18818</v>
      </c>
      <c r="H2642" s="6" t="s">
        <v>18819</v>
      </c>
      <c r="K2642" s="5" t="s">
        <v>18782</v>
      </c>
      <c r="M2642" s="5" t="s">
        <v>18820</v>
      </c>
      <c r="N2642" s="7" t="s">
        <v>18821</v>
      </c>
      <c r="O2642" s="8" t="str">
        <f>HYPERLINK("https://drive.google.com/file/d/1If476K-WjATZyopWTEBsnBpAIwNX4jXh/view?usp=drivesdk","2641_AGUS SANTOSO, S. H.  _ SERTIFIKAT BIMTEK IPASN BerAKHLASK")</f>
        <v>2641_AGUS SANTOSO, S. H.  _ SERTIFIKAT BIMTEK IPASN BerAKHLASK</v>
      </c>
      <c r="P2642" s="5" t="s">
        <v>18816</v>
      </c>
      <c r="Q2642" s="5"/>
      <c r="R2642" s="5"/>
      <c r="S2642" s="5"/>
      <c r="T2642" s="5"/>
    </row>
    <row r="2643">
      <c r="A2643" s="4">
        <v>45534.34087996528</v>
      </c>
      <c r="B2643" s="5" t="s">
        <v>34</v>
      </c>
      <c r="D2643" s="5" t="s">
        <v>1206</v>
      </c>
      <c r="E2643" s="5" t="s">
        <v>18822</v>
      </c>
      <c r="F2643" s="5" t="s">
        <v>108</v>
      </c>
      <c r="G2643" s="5" t="s">
        <v>18823</v>
      </c>
      <c r="H2643" s="6" t="s">
        <v>18824</v>
      </c>
      <c r="K2643" s="5" t="s">
        <v>18782</v>
      </c>
      <c r="M2643" s="5" t="s">
        <v>18825</v>
      </c>
      <c r="N2643" s="7" t="s">
        <v>18826</v>
      </c>
      <c r="O2643" s="8" t="str">
        <f>HYPERLINK("https://drive.google.com/file/d/1RcXC848XPMHeiIHypVHAfCQ58a3ecn5X/view?usp=drivesdk","2642_WIDJIUTAMI _ SERTIFIKAT BIMTEK IPASN BerAKHLASK")</f>
        <v>2642_WIDJIUTAMI _ SERTIFIKAT BIMTEK IPASN BerAKHLASK</v>
      </c>
      <c r="P2643" s="5" t="s">
        <v>18816</v>
      </c>
      <c r="Q2643" s="5"/>
      <c r="R2643" s="5"/>
      <c r="S2643" s="5"/>
      <c r="T2643" s="5"/>
    </row>
    <row r="2644">
      <c r="A2644" s="4">
        <v>45534.34088744213</v>
      </c>
      <c r="B2644" s="5" t="s">
        <v>34</v>
      </c>
      <c r="D2644" s="5" t="s">
        <v>4775</v>
      </c>
      <c r="E2644" s="5" t="s">
        <v>18827</v>
      </c>
      <c r="F2644" s="5" t="s">
        <v>37</v>
      </c>
      <c r="G2644" s="5" t="s">
        <v>18828</v>
      </c>
      <c r="H2644" s="6" t="s">
        <v>18829</v>
      </c>
      <c r="K2644" s="5" t="s">
        <v>18782</v>
      </c>
      <c r="M2644" s="5" t="s">
        <v>18830</v>
      </c>
      <c r="N2644" s="7" t="s">
        <v>18831</v>
      </c>
      <c r="O2644" s="8" t="str">
        <f>HYPERLINK("https://drive.google.com/file/d/1XQ-w5c2MxvmmCn4KqIyaA_6MA8C4Yrl-/view?usp=drivesdk","2643_SISWANTO, Amd.Kep. _ SERTIFIKAT BIMTEK IPASN BerAKHLASK")</f>
        <v>2643_SISWANTO, Amd.Kep. _ SERTIFIKAT BIMTEK IPASN BerAKHLASK</v>
      </c>
      <c r="P2644" s="5" t="s">
        <v>18816</v>
      </c>
      <c r="Q2644" s="5"/>
      <c r="R2644" s="5"/>
      <c r="S2644" s="5"/>
      <c r="T2644" s="5"/>
    </row>
    <row r="2645">
      <c r="A2645" s="4">
        <v>45534.340887638886</v>
      </c>
      <c r="B2645" s="5" t="s">
        <v>34</v>
      </c>
      <c r="D2645" s="5" t="s">
        <v>996</v>
      </c>
      <c r="E2645" s="5" t="s">
        <v>18832</v>
      </c>
      <c r="F2645" s="5" t="s">
        <v>212</v>
      </c>
      <c r="G2645" s="5" t="s">
        <v>18833</v>
      </c>
      <c r="H2645" s="6" t="s">
        <v>18834</v>
      </c>
      <c r="K2645" s="5" t="s">
        <v>18782</v>
      </c>
      <c r="M2645" s="5" t="s">
        <v>18835</v>
      </c>
      <c r="N2645" s="7" t="s">
        <v>18836</v>
      </c>
      <c r="O2645" s="8" t="str">
        <f>HYPERLINK("https://drive.google.com/file/d/1vKc0dqmGXowP0v8SBNXHhnmiylG0aJ4V/view?usp=drivesdk","2644_NOOR HIKMAH _ SERTIFIKAT BIMTEK IPASN BerAKHLASK")</f>
        <v>2644_NOOR HIKMAH _ SERTIFIKAT BIMTEK IPASN BerAKHLASK</v>
      </c>
      <c r="P2645" s="5" t="s">
        <v>18816</v>
      </c>
      <c r="Q2645" s="5"/>
      <c r="R2645" s="5"/>
      <c r="S2645" s="5"/>
      <c r="T2645" s="5"/>
    </row>
    <row r="2646">
      <c r="A2646" s="4">
        <v>45534.34088834491</v>
      </c>
      <c r="B2646" s="5" t="s">
        <v>34</v>
      </c>
      <c r="D2646" s="5" t="s">
        <v>10444</v>
      </c>
      <c r="E2646" s="5" t="s">
        <v>18837</v>
      </c>
      <c r="F2646" s="5" t="s">
        <v>212</v>
      </c>
      <c r="G2646" s="5" t="s">
        <v>18838</v>
      </c>
      <c r="H2646" s="6" t="s">
        <v>18839</v>
      </c>
      <c r="K2646" s="5" t="s">
        <v>18782</v>
      </c>
      <c r="M2646" s="5" t="s">
        <v>18840</v>
      </c>
      <c r="N2646" s="7" t="s">
        <v>18841</v>
      </c>
      <c r="O2646" s="8" t="str">
        <f>HYPERLINK("https://drive.google.com/file/d/1SLVgUgZsVXKmm3x_hhaZsGe7Bxf8LVpD/view?usp=drivesdk","2645_WALDI HARIYADI _ SERTIFIKAT BIMTEK IPASN BerAKHLASK")</f>
        <v>2645_WALDI HARIYADI _ SERTIFIKAT BIMTEK IPASN BerAKHLASK</v>
      </c>
      <c r="P2646" s="5" t="s">
        <v>18816</v>
      </c>
      <c r="Q2646" s="5"/>
      <c r="R2646" s="5"/>
      <c r="S2646" s="5"/>
      <c r="T2646" s="5"/>
    </row>
    <row r="2647">
      <c r="A2647" s="4">
        <v>45534.340888923616</v>
      </c>
      <c r="B2647" s="5" t="s">
        <v>34</v>
      </c>
      <c r="D2647" s="5" t="s">
        <v>7858</v>
      </c>
      <c r="E2647" s="5" t="s">
        <v>18842</v>
      </c>
      <c r="F2647" s="5" t="s">
        <v>524</v>
      </c>
      <c r="G2647" s="5" t="s">
        <v>18843</v>
      </c>
      <c r="H2647" s="6" t="s">
        <v>18844</v>
      </c>
      <c r="K2647" s="5" t="s">
        <v>18782</v>
      </c>
      <c r="M2647" s="5" t="s">
        <v>18845</v>
      </c>
      <c r="N2647" s="7" t="s">
        <v>18846</v>
      </c>
      <c r="O2647" s="8" t="str">
        <f>HYPERLINK("https://drive.google.com/file/d/1fVTdyRTV0bpWjp6A3prbjnutPp7QCcUD/view?usp=drivesdk","2646_ANISSA DEWI AMIYATI, S.Pd _ SERTIFIKAT BIMTEK IPASN BerAKHLASK")</f>
        <v>2646_ANISSA DEWI AMIYATI, S.Pd _ SERTIFIKAT BIMTEK IPASN BerAKHLASK</v>
      </c>
      <c r="P2647" s="5" t="s">
        <v>18847</v>
      </c>
      <c r="Q2647" s="5"/>
      <c r="R2647" s="5"/>
      <c r="S2647" s="5"/>
      <c r="T2647" s="5"/>
    </row>
    <row r="2648">
      <c r="A2648" s="4">
        <v>45534.34089065972</v>
      </c>
      <c r="B2648" s="5" t="s">
        <v>34</v>
      </c>
      <c r="D2648" s="5" t="s">
        <v>35</v>
      </c>
      <c r="E2648" s="5" t="s">
        <v>18848</v>
      </c>
      <c r="F2648" s="5" t="s">
        <v>212</v>
      </c>
      <c r="G2648" s="5" t="s">
        <v>18849</v>
      </c>
      <c r="H2648" s="6" t="s">
        <v>18850</v>
      </c>
      <c r="K2648" s="5" t="s">
        <v>18782</v>
      </c>
      <c r="M2648" s="5" t="s">
        <v>18851</v>
      </c>
      <c r="N2648" s="7" t="s">
        <v>18852</v>
      </c>
      <c r="O2648" s="8" t="str">
        <f>HYPERLINK("https://drive.google.com/file/d/1GCZFS16tSKq6ivUFUufoyppzpOd4RPoF/view?usp=drivesdk","2647_WARJITA,S.Pd _ SERTIFIKAT BIMTEK IPASN BerAKHLASK")</f>
        <v>2647_WARJITA,S.Pd _ SERTIFIKAT BIMTEK IPASN BerAKHLASK</v>
      </c>
      <c r="P2648" s="5" t="s">
        <v>18847</v>
      </c>
      <c r="Q2648" s="5"/>
      <c r="R2648" s="5"/>
      <c r="S2648" s="5"/>
      <c r="T2648" s="5"/>
    </row>
    <row r="2649">
      <c r="A2649" s="4">
        <v>45534.340896747686</v>
      </c>
      <c r="B2649" s="5" t="s">
        <v>34</v>
      </c>
      <c r="D2649" s="5" t="s">
        <v>522</v>
      </c>
      <c r="E2649" s="5" t="s">
        <v>18853</v>
      </c>
      <c r="F2649" s="5" t="s">
        <v>72</v>
      </c>
      <c r="G2649" s="5" t="s">
        <v>18854</v>
      </c>
      <c r="H2649" s="6" t="s">
        <v>18855</v>
      </c>
      <c r="K2649" s="5" t="s">
        <v>18782</v>
      </c>
      <c r="M2649" s="5" t="s">
        <v>18856</v>
      </c>
      <c r="N2649" s="7" t="s">
        <v>18857</v>
      </c>
      <c r="O2649" s="8" t="str">
        <f>HYPERLINK("https://drive.google.com/file/d/1QHqgGAB9J7iU4ZkjvqjN_dTDhSragTpD/view?usp=drivesdk","2648_NI WAYAN MUDARNI _ SERTIFIKAT BIMTEK IPASN BerAKHLASK")</f>
        <v>2648_NI WAYAN MUDARNI _ SERTIFIKAT BIMTEK IPASN BerAKHLASK</v>
      </c>
      <c r="P2649" s="5" t="s">
        <v>18847</v>
      </c>
      <c r="Q2649" s="5"/>
      <c r="R2649" s="5"/>
      <c r="S2649" s="5"/>
      <c r="T2649" s="5"/>
    </row>
    <row r="2650">
      <c r="A2650" s="4">
        <v>45534.3408802662</v>
      </c>
      <c r="B2650" s="5" t="s">
        <v>34</v>
      </c>
      <c r="D2650" s="5" t="s">
        <v>9020</v>
      </c>
      <c r="E2650" s="5" t="s">
        <v>18858</v>
      </c>
      <c r="F2650" s="5" t="s">
        <v>37</v>
      </c>
      <c r="G2650" s="5" t="s">
        <v>18859</v>
      </c>
      <c r="H2650" s="6" t="s">
        <v>18860</v>
      </c>
      <c r="K2650" s="5" t="s">
        <v>18782</v>
      </c>
      <c r="M2650" s="5" t="s">
        <v>18861</v>
      </c>
      <c r="N2650" s="7" t="s">
        <v>18862</v>
      </c>
      <c r="O2650" s="8" t="str">
        <f>HYPERLINK("https://drive.google.com/file/d/1YgvPf5jB6HR1Z3EkOhbSojAOPncHXChr/view?usp=drivesdk","2649_MEIYANTI SIBORO _ SERTIFIKAT BIMTEK IPASN BerAKHLASK")</f>
        <v>2649_MEIYANTI SIBORO _ SERTIFIKAT BIMTEK IPASN BerAKHLASK</v>
      </c>
      <c r="P2650" s="5" t="s">
        <v>18847</v>
      </c>
      <c r="Q2650" s="5"/>
      <c r="R2650" s="5"/>
      <c r="S2650" s="5"/>
      <c r="T2650" s="5"/>
    </row>
    <row r="2651">
      <c r="A2651" s="4">
        <v>45534.34089392361</v>
      </c>
      <c r="B2651" s="5" t="s">
        <v>34</v>
      </c>
      <c r="D2651" s="5" t="s">
        <v>1206</v>
      </c>
      <c r="E2651" s="5" t="s">
        <v>18863</v>
      </c>
      <c r="F2651" s="5" t="s">
        <v>72</v>
      </c>
      <c r="G2651" s="5" t="s">
        <v>18864</v>
      </c>
      <c r="H2651" s="6" t="s">
        <v>18865</v>
      </c>
      <c r="K2651" s="5" t="s">
        <v>18782</v>
      </c>
      <c r="M2651" s="5" t="s">
        <v>18866</v>
      </c>
      <c r="N2651" s="7" t="s">
        <v>18867</v>
      </c>
      <c r="O2651" s="8" t="str">
        <f>HYPERLINK("https://drive.google.com/file/d/1Rtjb9ZHCBMvPXWS9TcPC7WTMu_ElqZIJ/view?usp=drivesdk","2650_AHMAD HAIRUL ANAM _ SERTIFIKAT BIMTEK IPASN BerAKHLASK")</f>
        <v>2650_AHMAD HAIRUL ANAM _ SERTIFIKAT BIMTEK IPASN BerAKHLASK</v>
      </c>
      <c r="P2651" s="5" t="s">
        <v>18847</v>
      </c>
      <c r="Q2651" s="5"/>
      <c r="R2651" s="5"/>
      <c r="S2651" s="5"/>
      <c r="T2651" s="5"/>
    </row>
    <row r="2652">
      <c r="A2652" s="4">
        <v>45534.34089475694</v>
      </c>
      <c r="B2652" s="5" t="s">
        <v>34</v>
      </c>
      <c r="D2652" s="5" t="s">
        <v>9020</v>
      </c>
      <c r="E2652" s="5" t="s">
        <v>18868</v>
      </c>
      <c r="F2652" s="5" t="s">
        <v>120</v>
      </c>
      <c r="G2652" s="5" t="s">
        <v>18869</v>
      </c>
      <c r="H2652" s="6" t="s">
        <v>18870</v>
      </c>
      <c r="K2652" s="5" t="s">
        <v>18782</v>
      </c>
      <c r="M2652" s="5" t="s">
        <v>18871</v>
      </c>
      <c r="N2652" s="7" t="s">
        <v>18872</v>
      </c>
      <c r="O2652" s="8" t="str">
        <f>HYPERLINK("https://drive.google.com/file/d/1i6Q1anCUYlzdel358MsdtZw0qQN3-p7n/view?usp=drivesdk","2651_EDWIN TAMPUBOLON, S.E., M.M. _ SERTIFIKAT BIMTEK IPASN BerAKHLASK")</f>
        <v>2651_EDWIN TAMPUBOLON, S.E., M.M. _ SERTIFIKAT BIMTEK IPASN BerAKHLASK</v>
      </c>
      <c r="P2652" s="5" t="s">
        <v>18873</v>
      </c>
      <c r="Q2652" s="5"/>
      <c r="R2652" s="5"/>
      <c r="S2652" s="5"/>
      <c r="T2652" s="5"/>
    </row>
    <row r="2653">
      <c r="A2653" s="4">
        <v>45534.34090200231</v>
      </c>
      <c r="B2653" s="5" t="s">
        <v>34</v>
      </c>
      <c r="D2653" s="5" t="s">
        <v>1206</v>
      </c>
      <c r="E2653" s="5" t="s">
        <v>18874</v>
      </c>
      <c r="F2653" s="5" t="s">
        <v>18875</v>
      </c>
      <c r="G2653" s="5" t="s">
        <v>18876</v>
      </c>
      <c r="H2653" s="6" t="s">
        <v>18877</v>
      </c>
      <c r="K2653" s="5" t="s">
        <v>18782</v>
      </c>
      <c r="M2653" s="5" t="s">
        <v>18878</v>
      </c>
      <c r="N2653" s="7" t="s">
        <v>18879</v>
      </c>
      <c r="O2653" s="8" t="str">
        <f>HYPERLINK("https://drive.google.com/file/d/1LBC1JNr0uoEDm8cMRPeDu4o4gn7PPtra/view?usp=drivesdk","2652_SUHARTINI, SM _ SERTIFIKAT BIMTEK IPASN BerAKHLASK")</f>
        <v>2652_SUHARTINI, SM _ SERTIFIKAT BIMTEK IPASN BerAKHLASK</v>
      </c>
      <c r="P2653" s="5" t="s">
        <v>18873</v>
      </c>
      <c r="Q2653" s="5"/>
      <c r="R2653" s="5"/>
      <c r="S2653" s="5"/>
      <c r="T2653" s="5"/>
    </row>
    <row r="2654">
      <c r="A2654" s="4">
        <v>45534.34090952546</v>
      </c>
      <c r="B2654" s="5" t="s">
        <v>34</v>
      </c>
      <c r="D2654" s="5" t="s">
        <v>1692</v>
      </c>
      <c r="E2654" s="5" t="s">
        <v>18880</v>
      </c>
      <c r="F2654" s="5" t="s">
        <v>37</v>
      </c>
      <c r="G2654" s="5" t="s">
        <v>18881</v>
      </c>
      <c r="H2654" s="6" t="s">
        <v>18882</v>
      </c>
      <c r="K2654" s="5" t="s">
        <v>18782</v>
      </c>
      <c r="M2654" s="5" t="s">
        <v>18883</v>
      </c>
      <c r="N2654" s="7" t="s">
        <v>18884</v>
      </c>
      <c r="O2654" s="8" t="str">
        <f>HYPERLINK("https://drive.google.com/file/d/1c_C8E0DExtrTOPn6AmZvN4v5islmhtic/view?usp=drivesdk","2653_LA SARMIN _ SERTIFIKAT BIMTEK IPASN BerAKHLASK")</f>
        <v>2653_LA SARMIN _ SERTIFIKAT BIMTEK IPASN BerAKHLASK</v>
      </c>
      <c r="P2654" s="5" t="s">
        <v>18873</v>
      </c>
      <c r="Q2654" s="5"/>
      <c r="R2654" s="5"/>
      <c r="S2654" s="5"/>
      <c r="T2654" s="5"/>
    </row>
    <row r="2655">
      <c r="A2655" s="4">
        <v>45534.34091724537</v>
      </c>
      <c r="B2655" s="5" t="s">
        <v>34</v>
      </c>
      <c r="D2655" s="5" t="s">
        <v>267</v>
      </c>
      <c r="E2655" s="5" t="s">
        <v>18885</v>
      </c>
      <c r="F2655" s="5" t="s">
        <v>212</v>
      </c>
      <c r="G2655" s="5" t="s">
        <v>18886</v>
      </c>
      <c r="H2655" s="6" t="s">
        <v>18887</v>
      </c>
      <c r="K2655" s="5" t="s">
        <v>18782</v>
      </c>
      <c r="M2655" s="5" t="s">
        <v>18888</v>
      </c>
      <c r="N2655" s="7" t="s">
        <v>18889</v>
      </c>
      <c r="O2655" s="8" t="str">
        <f>HYPERLINK("https://drive.google.com/file/d/15zXMydwWV_0-oEDEM0UZL3rZ3hrW62Oo/view?usp=drivesdk","2654_MARYATUN  _ SERTIFIKAT BIMTEK IPASN BerAKHLASK")</f>
        <v>2654_MARYATUN  _ SERTIFIKAT BIMTEK IPASN BerAKHLASK</v>
      </c>
      <c r="P2655" s="5" t="s">
        <v>18873</v>
      </c>
      <c r="Q2655" s="5"/>
      <c r="R2655" s="5"/>
      <c r="S2655" s="5"/>
      <c r="T2655" s="5"/>
    </row>
    <row r="2656" hidden="1">
      <c r="A2656" s="4">
        <v>45534.34092991898</v>
      </c>
      <c r="B2656" s="5" t="s">
        <v>19</v>
      </c>
      <c r="C2656" s="5" t="s">
        <v>292</v>
      </c>
      <c r="E2656" s="5" t="s">
        <v>18890</v>
      </c>
      <c r="F2656" s="5" t="s">
        <v>37</v>
      </c>
      <c r="G2656" s="5" t="s">
        <v>18891</v>
      </c>
      <c r="H2656" s="6" t="s">
        <v>18892</v>
      </c>
      <c r="K2656" s="5" t="s">
        <v>18782</v>
      </c>
      <c r="M2656" s="5" t="s">
        <v>18893</v>
      </c>
      <c r="N2656" s="7" t="s">
        <v>18894</v>
      </c>
      <c r="O2656" s="8" t="str">
        <f>HYPERLINK("https://drive.google.com/file/d/1Z44QGD0UZ6muy-w-3kwxMQUKbXIBCT_i/view?usp=drivesdk","2655_DEDY NURALAM _ SERTIFIKAT BIMTEK IPASN BerAKHLASK")</f>
        <v>2655_DEDY NURALAM _ SERTIFIKAT BIMTEK IPASN BerAKHLASK</v>
      </c>
      <c r="P2656" s="5" t="s">
        <v>18873</v>
      </c>
      <c r="Q2656" s="5"/>
      <c r="R2656" s="5"/>
      <c r="S2656" s="5"/>
      <c r="T2656" s="5"/>
    </row>
    <row r="2657">
      <c r="A2657" s="4">
        <v>45534.34093125</v>
      </c>
      <c r="B2657" s="5" t="s">
        <v>34</v>
      </c>
      <c r="D2657" s="5" t="s">
        <v>9394</v>
      </c>
      <c r="E2657" s="5" t="s">
        <v>18895</v>
      </c>
      <c r="F2657" s="5" t="s">
        <v>199</v>
      </c>
      <c r="G2657" s="5" t="s">
        <v>18896</v>
      </c>
      <c r="H2657" s="6" t="s">
        <v>18897</v>
      </c>
      <c r="K2657" s="5" t="s">
        <v>18782</v>
      </c>
      <c r="M2657" s="5" t="s">
        <v>18898</v>
      </c>
      <c r="N2657" s="7" t="s">
        <v>18899</v>
      </c>
      <c r="O2657" s="8" t="str">
        <f>HYPERLINK("https://drive.google.com/file/d/1pfG3LnvO19gd-VGSKyNo08WCEcB4oc62/view?usp=drivesdk","2656_LILI SUSIANTI _ SERTIFIKAT BIMTEK IPASN BerAKHLASK")</f>
        <v>2656_LILI SUSIANTI _ SERTIFIKAT BIMTEK IPASN BerAKHLASK</v>
      </c>
      <c r="P2657" s="5" t="s">
        <v>18900</v>
      </c>
      <c r="Q2657" s="5"/>
      <c r="R2657" s="5"/>
      <c r="S2657" s="5"/>
      <c r="T2657" s="5"/>
    </row>
    <row r="2658" hidden="1">
      <c r="A2658" s="4">
        <v>45534.34093449074</v>
      </c>
      <c r="B2658" s="5" t="s">
        <v>19</v>
      </c>
      <c r="C2658" s="5" t="s">
        <v>11593</v>
      </c>
      <c r="E2658" s="5" t="s">
        <v>18901</v>
      </c>
      <c r="F2658" s="5" t="s">
        <v>212</v>
      </c>
      <c r="G2658" s="5" t="s">
        <v>18902</v>
      </c>
      <c r="H2658" s="6" t="s">
        <v>18903</v>
      </c>
      <c r="K2658" s="5" t="s">
        <v>18782</v>
      </c>
      <c r="M2658" s="5" t="s">
        <v>18904</v>
      </c>
      <c r="N2658" s="7" t="s">
        <v>18905</v>
      </c>
      <c r="O2658" s="8" t="str">
        <f>HYPERLINK("https://drive.google.com/file/d/1g8i5scL2pPKAhxzd_ZDt5znDkoQ4ofhs/view?usp=drivesdk","2657_UJANG SARIPUDIN  _ SERTIFIKAT BerAKHLAK")</f>
        <v>2657_UJANG SARIPUDIN  _ SERTIFIKAT BerAKHLAK</v>
      </c>
      <c r="P2658" s="5" t="s">
        <v>18906</v>
      </c>
      <c r="Q2658" s="5"/>
      <c r="R2658" s="5"/>
      <c r="S2658" s="5"/>
      <c r="T2658" s="5"/>
    </row>
    <row r="2659">
      <c r="A2659" s="4">
        <v>45534.34093628472</v>
      </c>
      <c r="B2659" s="5" t="s">
        <v>34</v>
      </c>
      <c r="D2659" s="5" t="s">
        <v>4775</v>
      </c>
      <c r="E2659" s="5" t="s">
        <v>18907</v>
      </c>
      <c r="F2659" s="5" t="s">
        <v>212</v>
      </c>
      <c r="G2659" s="5" t="s">
        <v>18908</v>
      </c>
      <c r="H2659" s="6" t="s">
        <v>18909</v>
      </c>
      <c r="K2659" s="5" t="s">
        <v>18782</v>
      </c>
      <c r="M2659" s="5" t="s">
        <v>18910</v>
      </c>
      <c r="N2659" s="7" t="s">
        <v>18911</v>
      </c>
      <c r="O2659" s="8" t="str">
        <f>HYPERLINK("https://drive.google.com/file/d/1nGtAQ1NShg248tFycSU987ld8tUlALcs/view?usp=drivesdk","2658_SUROYOBAPAK _ SERTIFIKAT BerAKHLAK")</f>
        <v>2658_SUROYOBAPAK _ SERTIFIKAT BerAKHLAK</v>
      </c>
      <c r="P2659" s="5" t="s">
        <v>18906</v>
      </c>
      <c r="Q2659" s="5"/>
      <c r="R2659" s="5"/>
      <c r="S2659" s="5"/>
      <c r="T2659" s="5"/>
    </row>
    <row r="2660" hidden="1">
      <c r="A2660" s="4">
        <v>45534.340918946764</v>
      </c>
      <c r="B2660" s="5" t="s">
        <v>19</v>
      </c>
      <c r="C2660" s="5" t="s">
        <v>315</v>
      </c>
      <c r="E2660" s="5" t="s">
        <v>18912</v>
      </c>
      <c r="F2660" s="5" t="s">
        <v>524</v>
      </c>
      <c r="G2660" s="5" t="s">
        <v>18913</v>
      </c>
      <c r="H2660" s="6" t="s">
        <v>18914</v>
      </c>
      <c r="K2660" s="5" t="s">
        <v>18782</v>
      </c>
      <c r="M2660" s="5" t="s">
        <v>18915</v>
      </c>
      <c r="N2660" s="7" t="s">
        <v>18916</v>
      </c>
      <c r="O2660" s="8" t="str">
        <f>HYPERLINK("https://drive.google.com/file/d/14QTpPWQdfgZPTCA-ktGGgHVIMj75E92h/view?usp=drivesdk","2659_ZULKIFLI, S.Hum. _ SERTIFIKAT BerAKHLAK")</f>
        <v>2659_ZULKIFLI, S.Hum. _ SERTIFIKAT BerAKHLAK</v>
      </c>
      <c r="P2660" s="5" t="s">
        <v>18906</v>
      </c>
      <c r="Q2660" s="5"/>
      <c r="R2660" s="5"/>
      <c r="S2660" s="5"/>
      <c r="T2660" s="5"/>
    </row>
    <row r="2661">
      <c r="A2661" s="4">
        <v>45534.34094967593</v>
      </c>
      <c r="B2661" s="5" t="s">
        <v>34</v>
      </c>
      <c r="D2661" s="5" t="s">
        <v>35</v>
      </c>
      <c r="E2661" s="5" t="s">
        <v>18917</v>
      </c>
      <c r="F2661" s="5" t="s">
        <v>5859</v>
      </c>
      <c r="G2661" s="5" t="s">
        <v>18918</v>
      </c>
      <c r="H2661" s="6" t="s">
        <v>18919</v>
      </c>
      <c r="K2661" s="5" t="s">
        <v>18782</v>
      </c>
      <c r="M2661" s="5" t="s">
        <v>18920</v>
      </c>
      <c r="N2661" s="7" t="s">
        <v>18921</v>
      </c>
      <c r="O2661" s="8" t="str">
        <f>HYPERLINK("https://drive.google.com/file/d/1G0QDzhICCygVO06gLREJdQ784VBp6jmk/view?usp=drivesdk","2660_SUKINAH _ SERTIFIKAT BerAKHLAK")</f>
        <v>2660_SUKINAH _ SERTIFIKAT BerAKHLAK</v>
      </c>
      <c r="P2661" s="5" t="s">
        <v>18906</v>
      </c>
      <c r="Q2661" s="5"/>
      <c r="R2661" s="5"/>
      <c r="S2661" s="5"/>
      <c r="T2661" s="5"/>
    </row>
    <row r="2662">
      <c r="A2662" s="4">
        <v>45534.340957430555</v>
      </c>
      <c r="B2662" s="5" t="s">
        <v>34</v>
      </c>
      <c r="D2662" s="5" t="s">
        <v>9020</v>
      </c>
      <c r="E2662" s="5" t="s">
        <v>18922</v>
      </c>
      <c r="F2662" s="5" t="s">
        <v>37</v>
      </c>
      <c r="G2662" s="5" t="s">
        <v>18923</v>
      </c>
      <c r="H2662" s="6" t="s">
        <v>18924</v>
      </c>
      <c r="K2662" s="5" t="s">
        <v>18782</v>
      </c>
      <c r="M2662" s="5" t="s">
        <v>18925</v>
      </c>
      <c r="N2662" s="7" t="s">
        <v>18926</v>
      </c>
      <c r="O2662" s="8" t="str">
        <f>HYPERLINK("https://drive.google.com/file/d/1RbuoTAN3p3rZcr_DG7eiCgVhr1Fkn4-6/view?usp=drivesdk","2661_ZULKIFLI _ SERTIFIKAT BerAKHLAK")</f>
        <v>2661_ZULKIFLI _ SERTIFIKAT BerAKHLAK</v>
      </c>
      <c r="P2662" s="5" t="s">
        <v>18927</v>
      </c>
      <c r="Q2662" s="5"/>
      <c r="R2662" s="5"/>
      <c r="S2662" s="5"/>
      <c r="T2662" s="5"/>
    </row>
    <row r="2663">
      <c r="A2663" s="4">
        <v>45534.34097225695</v>
      </c>
      <c r="B2663" s="5" t="s">
        <v>34</v>
      </c>
      <c r="D2663" s="5" t="s">
        <v>35</v>
      </c>
      <c r="E2663" s="5" t="s">
        <v>18928</v>
      </c>
      <c r="F2663" s="5" t="s">
        <v>375</v>
      </c>
      <c r="G2663" s="5" t="s">
        <v>18929</v>
      </c>
      <c r="H2663" s="6" t="s">
        <v>18930</v>
      </c>
      <c r="K2663" s="5" t="s">
        <v>18782</v>
      </c>
      <c r="M2663" s="5" t="s">
        <v>18931</v>
      </c>
      <c r="N2663" s="7" t="s">
        <v>18932</v>
      </c>
      <c r="O2663" s="8" t="str">
        <f>HYPERLINK("https://drive.google.com/file/d/1CzgbbrZzFx5B_wnVcmSXumR3zpj36xKv/view?usp=drivesdk","2662_Drs. Wawan Setiawan _ SERTIFIKAT BerAKHLAK")</f>
        <v>2662_Drs. Wawan Setiawan _ SERTIFIKAT BerAKHLAK</v>
      </c>
      <c r="P2663" s="5" t="s">
        <v>18927</v>
      </c>
      <c r="Q2663" s="5"/>
      <c r="R2663" s="5"/>
      <c r="S2663" s="5"/>
      <c r="T2663" s="5"/>
    </row>
    <row r="2664">
      <c r="A2664" s="4">
        <v>45534.34097715278</v>
      </c>
      <c r="B2664" s="5" t="s">
        <v>34</v>
      </c>
      <c r="D2664" s="5" t="s">
        <v>1768</v>
      </c>
      <c r="E2664" s="5" t="s">
        <v>18933</v>
      </c>
      <c r="F2664" s="5" t="s">
        <v>72</v>
      </c>
      <c r="G2664" s="5" t="s">
        <v>18934</v>
      </c>
      <c r="H2664" s="6" t="s">
        <v>18935</v>
      </c>
      <c r="K2664" s="5" t="s">
        <v>18782</v>
      </c>
      <c r="M2664" s="5" t="s">
        <v>18936</v>
      </c>
      <c r="N2664" s="7" t="s">
        <v>18937</v>
      </c>
      <c r="O2664" s="8" t="str">
        <f>HYPERLINK("https://drive.google.com/file/d/1qS5zXrZS_Ws3zlt82EEAwYkfFY8lecEh/view?usp=drivesdk","2663_apt. Rika Sepriyana, S.Si _ SERTIFIKAT BerAKHLAK")</f>
        <v>2663_apt. Rika Sepriyana, S.Si _ SERTIFIKAT BerAKHLAK</v>
      </c>
      <c r="P2664" s="5" t="s">
        <v>18927</v>
      </c>
      <c r="Q2664" s="5"/>
      <c r="R2664" s="5"/>
      <c r="S2664" s="5"/>
      <c r="T2664" s="5"/>
    </row>
    <row r="2665">
      <c r="A2665" s="4">
        <v>45534.34097736111</v>
      </c>
      <c r="B2665" s="5" t="s">
        <v>34</v>
      </c>
      <c r="D2665" s="5" t="s">
        <v>1768</v>
      </c>
      <c r="E2665" s="5" t="s">
        <v>18938</v>
      </c>
      <c r="F2665" s="5" t="s">
        <v>108</v>
      </c>
      <c r="G2665" s="5" t="s">
        <v>18939</v>
      </c>
      <c r="H2665" s="6" t="s">
        <v>18940</v>
      </c>
      <c r="K2665" s="5" t="s">
        <v>18782</v>
      </c>
      <c r="M2665" s="5" t="s">
        <v>18941</v>
      </c>
      <c r="N2665" s="7" t="s">
        <v>18942</v>
      </c>
      <c r="O2665" s="8" t="str">
        <f>HYPERLINK("https://drive.google.com/file/d/1uwswSwvWyTty3OSVg_b-Op1UaCS0xkPF/view?usp=drivesdk","2664_FATMAWATI _ SERTIFIKAT BerAKHLAK")</f>
        <v>2664_FATMAWATI _ SERTIFIKAT BerAKHLAK</v>
      </c>
      <c r="P2665" s="5" t="s">
        <v>18927</v>
      </c>
      <c r="Q2665" s="5"/>
      <c r="R2665" s="5"/>
      <c r="S2665" s="5"/>
      <c r="T2665" s="5"/>
    </row>
    <row r="2666">
      <c r="A2666" s="4">
        <v>45534.340977824075</v>
      </c>
      <c r="B2666" s="5" t="s">
        <v>34</v>
      </c>
      <c r="D2666" s="5" t="s">
        <v>1206</v>
      </c>
      <c r="E2666" s="5" t="s">
        <v>18943</v>
      </c>
      <c r="F2666" s="5" t="s">
        <v>199</v>
      </c>
      <c r="G2666" s="5" t="s">
        <v>18944</v>
      </c>
      <c r="H2666" s="6" t="s">
        <v>18945</v>
      </c>
      <c r="K2666" s="5" t="s">
        <v>18782</v>
      </c>
      <c r="M2666" s="5" t="s">
        <v>18946</v>
      </c>
      <c r="N2666" s="7" t="s">
        <v>18947</v>
      </c>
      <c r="O2666" s="8" t="str">
        <f>HYPERLINK("https://drive.google.com/file/d/1bHoG5VidR1PE_epe8VuIdZPrZpnUXwTd/view?usp=drivesdk","2665_SUTISNO _ SERTIFIKAT BerAKHLAK")</f>
        <v>2665_SUTISNO _ SERTIFIKAT BerAKHLAK</v>
      </c>
      <c r="P2666" s="5" t="s">
        <v>18927</v>
      </c>
      <c r="Q2666" s="5"/>
      <c r="R2666" s="5"/>
      <c r="S2666" s="5"/>
      <c r="T2666" s="5"/>
    </row>
    <row r="2667">
      <c r="A2667" s="4">
        <v>45534.34097774306</v>
      </c>
      <c r="B2667" s="5" t="s">
        <v>34</v>
      </c>
      <c r="D2667" s="5" t="s">
        <v>12978</v>
      </c>
      <c r="E2667" s="5" t="s">
        <v>18948</v>
      </c>
      <c r="F2667" s="5" t="s">
        <v>37</v>
      </c>
      <c r="G2667" s="5" t="s">
        <v>18949</v>
      </c>
      <c r="H2667" s="6" t="s">
        <v>18950</v>
      </c>
      <c r="K2667" s="5" t="s">
        <v>18782</v>
      </c>
      <c r="M2667" s="5" t="s">
        <v>18951</v>
      </c>
      <c r="N2667" s="7" t="s">
        <v>18952</v>
      </c>
      <c r="O2667" s="8" t="str">
        <f>HYPERLINK("https://drive.google.com/file/d/1bwobxXYL_TRSePcwA0w5Lzu9l6Z7E3EY/view?usp=drivesdk","2666_SENI APRIANI  _ SERTIFIKAT BerAKHLAK")</f>
        <v>2666_SENI APRIANI  _ SERTIFIKAT BerAKHLAK</v>
      </c>
      <c r="P2667" s="5" t="s">
        <v>18953</v>
      </c>
      <c r="Q2667" s="5"/>
      <c r="R2667" s="5"/>
      <c r="S2667" s="5"/>
      <c r="T2667" s="5"/>
    </row>
    <row r="2668">
      <c r="A2668" s="4">
        <v>45534.34097981481</v>
      </c>
      <c r="B2668" s="5" t="s">
        <v>34</v>
      </c>
      <c r="D2668" s="5" t="s">
        <v>1206</v>
      </c>
      <c r="E2668" s="5" t="s">
        <v>18954</v>
      </c>
      <c r="F2668" s="5" t="s">
        <v>37</v>
      </c>
      <c r="G2668" s="5" t="s">
        <v>18955</v>
      </c>
      <c r="H2668" s="6" t="s">
        <v>18956</v>
      </c>
      <c r="K2668" s="5" t="s">
        <v>18782</v>
      </c>
      <c r="M2668" s="5" t="s">
        <v>18957</v>
      </c>
      <c r="N2668" s="7" t="s">
        <v>18958</v>
      </c>
      <c r="O2668" s="8" t="str">
        <f>HYPERLINK("https://drive.google.com/file/d/1WBpmWPzsDsyXhZl_4BP8pfqlaMUn_IyO/view?usp=drivesdk","2667_ARIS NUGROHO S. Kep. Ns _ SERTIFIKAT BerAKHLAK")</f>
        <v>2667_ARIS NUGROHO S. Kep. Ns _ SERTIFIKAT BerAKHLAK</v>
      </c>
      <c r="P2668" s="5" t="s">
        <v>18953</v>
      </c>
      <c r="Q2668" s="5"/>
      <c r="R2668" s="5"/>
      <c r="S2668" s="5"/>
      <c r="T2668" s="5"/>
    </row>
    <row r="2669">
      <c r="A2669" s="4">
        <v>45534.34098111111</v>
      </c>
      <c r="B2669" s="5" t="s">
        <v>34</v>
      </c>
      <c r="D2669" s="5" t="s">
        <v>604</v>
      </c>
      <c r="E2669" s="5" t="s">
        <v>15671</v>
      </c>
      <c r="F2669" s="5" t="s">
        <v>212</v>
      </c>
      <c r="G2669" s="5" t="s">
        <v>18959</v>
      </c>
      <c r="H2669" s="6" t="s">
        <v>18960</v>
      </c>
      <c r="K2669" s="5" t="s">
        <v>18782</v>
      </c>
      <c r="M2669" s="5" t="s">
        <v>18961</v>
      </c>
      <c r="N2669" s="7" t="s">
        <v>18962</v>
      </c>
      <c r="O2669" s="8" t="str">
        <f>HYPERLINK("https://drive.google.com/file/d/1oKp4cOcThgwYG_1Cckm3GYEuGKdRnT5F/view?usp=drivesdk","2668_IRAWATI _ SERTIFIKAT BerAKHLAK")</f>
        <v>2668_IRAWATI _ SERTIFIKAT BerAKHLAK</v>
      </c>
      <c r="P2669" s="5" t="s">
        <v>18953</v>
      </c>
      <c r="Q2669" s="5"/>
      <c r="R2669" s="5"/>
      <c r="S2669" s="5"/>
      <c r="T2669" s="5"/>
    </row>
    <row r="2670">
      <c r="A2670" s="4">
        <v>45534.34098710648</v>
      </c>
      <c r="B2670" s="5" t="s">
        <v>34</v>
      </c>
      <c r="D2670" s="5" t="s">
        <v>12978</v>
      </c>
      <c r="E2670" s="5" t="s">
        <v>18963</v>
      </c>
      <c r="F2670" s="5" t="s">
        <v>715</v>
      </c>
      <c r="G2670" s="5" t="s">
        <v>18964</v>
      </c>
      <c r="H2670" s="6" t="s">
        <v>18965</v>
      </c>
      <c r="K2670" s="5" t="s">
        <v>18782</v>
      </c>
      <c r="M2670" s="5" t="s">
        <v>18966</v>
      </c>
      <c r="N2670" s="7" t="s">
        <v>18967</v>
      </c>
      <c r="O2670" s="8" t="str">
        <f>HYPERLINK("https://drive.google.com/file/d/1S6Xp3V0vf_O5YnYP0-53qNoaaPPlA-p-/view?usp=drivesdk","2669_JUMERI _ SERTIFIKAT BerAKHLAK")</f>
        <v>2669_JUMERI _ SERTIFIKAT BerAKHLAK</v>
      </c>
      <c r="P2670" s="5" t="s">
        <v>18968</v>
      </c>
      <c r="Q2670" s="5"/>
      <c r="R2670" s="5"/>
      <c r="S2670" s="5"/>
      <c r="T2670" s="5"/>
    </row>
    <row r="2671">
      <c r="A2671" s="4">
        <v>45534.3409975463</v>
      </c>
      <c r="B2671" s="5" t="s">
        <v>34</v>
      </c>
      <c r="D2671" s="5" t="s">
        <v>9020</v>
      </c>
      <c r="E2671" s="5" t="s">
        <v>18969</v>
      </c>
      <c r="F2671" s="5" t="s">
        <v>37</v>
      </c>
      <c r="G2671" s="5" t="s">
        <v>18970</v>
      </c>
      <c r="H2671" s="6" t="s">
        <v>18971</v>
      </c>
      <c r="K2671" s="5" t="s">
        <v>18782</v>
      </c>
      <c r="M2671" s="5" t="s">
        <v>18972</v>
      </c>
      <c r="N2671" s="7" t="s">
        <v>18973</v>
      </c>
      <c r="O2671" s="8" t="str">
        <f>HYPERLINK("https://drive.google.com/file/d/1b4cDvPQb6QJtVpiEA7TAGn74QxtntjAw/view?usp=drivesdk","2670_IRWAN FAISAL _ SERTIFIKAT BerAKHLAK")</f>
        <v>2670_IRWAN FAISAL _ SERTIFIKAT BerAKHLAK</v>
      </c>
      <c r="P2671" s="5" t="s">
        <v>18968</v>
      </c>
      <c r="Q2671" s="5"/>
      <c r="R2671" s="5"/>
      <c r="S2671" s="5"/>
      <c r="T2671" s="5"/>
    </row>
    <row r="2672">
      <c r="A2672" s="4">
        <v>45534.34099872685</v>
      </c>
      <c r="B2672" s="5" t="s">
        <v>34</v>
      </c>
      <c r="D2672" s="5" t="s">
        <v>1768</v>
      </c>
      <c r="E2672" s="5" t="s">
        <v>18974</v>
      </c>
      <c r="F2672" s="5" t="s">
        <v>212</v>
      </c>
      <c r="G2672" s="5" t="s">
        <v>18975</v>
      </c>
      <c r="H2672" s="6" t="s">
        <v>18976</v>
      </c>
      <c r="K2672" s="5" t="s">
        <v>18782</v>
      </c>
      <c r="M2672" s="5" t="s">
        <v>18977</v>
      </c>
      <c r="N2672" s="7" t="s">
        <v>18978</v>
      </c>
      <c r="O2672" s="8" t="str">
        <f>HYPERLINK("https://drive.google.com/file/d/1YdzZxsJgHFqZIhQMGPYGM7L901Px1mTn/view?usp=drivesdk","2671_KARTIK KARYANINGSIH _ SERTIFIKAT BerAKHLAK")</f>
        <v>2671_KARTIK KARYANINGSIH _ SERTIFIKAT BerAKHLAK</v>
      </c>
      <c r="P2672" s="5" t="s">
        <v>18968</v>
      </c>
      <c r="Q2672" s="5"/>
      <c r="R2672" s="5"/>
      <c r="S2672" s="5"/>
      <c r="T2672" s="5"/>
    </row>
    <row r="2673">
      <c r="A2673" s="4">
        <v>45534.34099928241</v>
      </c>
      <c r="B2673" s="5" t="s">
        <v>34</v>
      </c>
      <c r="D2673" s="5" t="s">
        <v>35</v>
      </c>
      <c r="E2673" s="5" t="s">
        <v>18979</v>
      </c>
      <c r="F2673" s="5" t="s">
        <v>37</v>
      </c>
      <c r="G2673" s="5" t="s">
        <v>18980</v>
      </c>
      <c r="H2673" s="6" t="s">
        <v>18981</v>
      </c>
      <c r="K2673" s="5" t="s">
        <v>18782</v>
      </c>
      <c r="M2673" s="5" t="s">
        <v>18982</v>
      </c>
      <c r="N2673" s="7" t="s">
        <v>18983</v>
      </c>
      <c r="O2673" s="8" t="str">
        <f>HYPERLINK("https://drive.google.com/file/d/1qAKeWo5yr0_mVj-moeSiD0Mn5e_lW0Ol/view?usp=drivesdk","2672_OMAN MUHTAR _ SERTIFIKAT BerAKHLAK")</f>
        <v>2672_OMAN MUHTAR _ SERTIFIKAT BerAKHLAK</v>
      </c>
      <c r="P2673" s="5" t="s">
        <v>18968</v>
      </c>
      <c r="Q2673" s="5"/>
      <c r="R2673" s="5"/>
      <c r="S2673" s="5"/>
      <c r="T2673" s="5"/>
    </row>
    <row r="2674">
      <c r="A2674" s="4">
        <v>45534.34099978009</v>
      </c>
      <c r="B2674" s="5" t="s">
        <v>34</v>
      </c>
      <c r="D2674" s="5" t="s">
        <v>1206</v>
      </c>
      <c r="E2674" s="5" t="s">
        <v>18984</v>
      </c>
      <c r="F2674" s="5" t="s">
        <v>375</v>
      </c>
      <c r="G2674" s="5" t="s">
        <v>18985</v>
      </c>
      <c r="H2674" s="6" t="s">
        <v>18986</v>
      </c>
      <c r="K2674" s="5" t="s">
        <v>18782</v>
      </c>
      <c r="M2674" s="5" t="s">
        <v>18987</v>
      </c>
      <c r="N2674" s="7" t="s">
        <v>18988</v>
      </c>
      <c r="O2674" s="8" t="str">
        <f>HYPERLINK("https://drive.google.com/file/d/1Dz-ONfUbtLvUHR7HzkhAYXDymqu2DFKb/view?usp=drivesdk","2673_VINCENTIA VIVI SUSILOWATI, S.E. _ SERTIFIKAT BerAKHLAK")</f>
        <v>2673_VINCENTIA VIVI SUSILOWATI, S.E. _ SERTIFIKAT BerAKHLAK</v>
      </c>
      <c r="P2674" s="5" t="s">
        <v>18968</v>
      </c>
      <c r="Q2674" s="5"/>
      <c r="R2674" s="5"/>
      <c r="S2674" s="5"/>
      <c r="T2674" s="5"/>
    </row>
    <row r="2675">
      <c r="A2675" s="4">
        <v>45534.34100172453</v>
      </c>
      <c r="B2675" s="5" t="s">
        <v>34</v>
      </c>
      <c r="D2675" s="5" t="s">
        <v>35</v>
      </c>
      <c r="E2675" s="5" t="s">
        <v>18989</v>
      </c>
      <c r="F2675" s="5" t="s">
        <v>375</v>
      </c>
      <c r="G2675" s="5" t="s">
        <v>18990</v>
      </c>
      <c r="H2675" s="6" t="s">
        <v>18991</v>
      </c>
      <c r="K2675" s="5" t="s">
        <v>18782</v>
      </c>
      <c r="M2675" s="5" t="s">
        <v>18992</v>
      </c>
      <c r="N2675" s="7" t="s">
        <v>18993</v>
      </c>
      <c r="O2675" s="8" t="str">
        <f>HYPERLINK("https://drive.google.com/file/d/1UfnFKmFxrJ3-rL-mPWfyOZW0P7EGHwNw/view?usp=drivesdk","2674_YUSYUS NATALUDDIN _ SERTIFIKAT BerAKHLAK")</f>
        <v>2674_YUSYUS NATALUDDIN _ SERTIFIKAT BerAKHLAK</v>
      </c>
      <c r="P2675" s="5" t="s">
        <v>18994</v>
      </c>
      <c r="Q2675" s="5"/>
      <c r="R2675" s="5"/>
      <c r="S2675" s="5"/>
      <c r="T2675" s="5"/>
    </row>
    <row r="2676">
      <c r="A2676" s="4">
        <v>45534.34100810185</v>
      </c>
      <c r="B2676" s="5" t="s">
        <v>34</v>
      </c>
      <c r="D2676" s="5" t="s">
        <v>1206</v>
      </c>
      <c r="E2676" s="5" t="s">
        <v>18995</v>
      </c>
      <c r="F2676" s="5" t="s">
        <v>212</v>
      </c>
      <c r="G2676" s="5" t="s">
        <v>18996</v>
      </c>
      <c r="H2676" s="6" t="s">
        <v>18997</v>
      </c>
      <c r="K2676" s="5" t="s">
        <v>18782</v>
      </c>
      <c r="M2676" s="5" t="s">
        <v>18998</v>
      </c>
      <c r="N2676" s="7" t="s">
        <v>18999</v>
      </c>
      <c r="O2676" s="8" t="str">
        <f>HYPERLINK("https://drive.google.com/file/d/18nqT7hARh2on-8_X4I2A5r4PoJ9ud916/view?usp=drivesdk","2675_TRI WURYANI, S.IP _ SERTIFIKAT BerAKHLAK")</f>
        <v>2675_TRI WURYANI, S.IP _ SERTIFIKAT BerAKHLAK</v>
      </c>
      <c r="P2676" s="5" t="s">
        <v>18994</v>
      </c>
      <c r="Q2676" s="5"/>
      <c r="R2676" s="5"/>
      <c r="S2676" s="5"/>
      <c r="T2676" s="5"/>
    </row>
    <row r="2677" hidden="1">
      <c r="A2677" s="4">
        <v>45534.34101186343</v>
      </c>
      <c r="B2677" s="5" t="s">
        <v>19</v>
      </c>
      <c r="C2677" s="5" t="s">
        <v>3301</v>
      </c>
      <c r="E2677" s="5" t="s">
        <v>19000</v>
      </c>
      <c r="F2677" s="5" t="s">
        <v>37</v>
      </c>
      <c r="G2677" s="5" t="s">
        <v>19001</v>
      </c>
      <c r="H2677" s="6" t="s">
        <v>19002</v>
      </c>
      <c r="K2677" s="5" t="s">
        <v>18782</v>
      </c>
      <c r="M2677" s="5" t="s">
        <v>19003</v>
      </c>
      <c r="N2677" s="7" t="s">
        <v>19004</v>
      </c>
      <c r="O2677" s="8" t="str">
        <f>HYPERLINK("https://drive.google.com/file/d/1-n4wxbnlHGaV4QbGKf3poLxGVw-LGock/view?usp=drivesdk","2676_RESTI SUPARMONO, A. Md. Kep _ SERTIFIKAT BerAKHLAK")</f>
        <v>2676_RESTI SUPARMONO, A. Md. Kep _ SERTIFIKAT BerAKHLAK</v>
      </c>
      <c r="P2677" s="5" t="s">
        <v>18994</v>
      </c>
      <c r="Q2677" s="5"/>
      <c r="R2677" s="5"/>
      <c r="S2677" s="5"/>
      <c r="T2677" s="5"/>
    </row>
    <row r="2678">
      <c r="A2678" s="4">
        <v>45534.34102636574</v>
      </c>
      <c r="B2678" s="5" t="s">
        <v>34</v>
      </c>
      <c r="D2678" s="5" t="s">
        <v>6232</v>
      </c>
      <c r="E2678" s="5" t="s">
        <v>19005</v>
      </c>
      <c r="F2678" s="5" t="s">
        <v>212</v>
      </c>
      <c r="G2678" s="5" t="s">
        <v>19006</v>
      </c>
      <c r="H2678" s="6" t="s">
        <v>19007</v>
      </c>
      <c r="K2678" s="5" t="s">
        <v>18782</v>
      </c>
      <c r="M2678" s="5" t="s">
        <v>19008</v>
      </c>
      <c r="N2678" s="7" t="s">
        <v>19009</v>
      </c>
      <c r="O2678" s="8" t="str">
        <f>HYPERLINK("https://drive.google.com/file/d/191zqSTU_GgZjYsOC3dPJlxghxWdC2aCn/view?usp=drivesdk","2677_EVA DESWATi _ SERTIFIKAT BerAKHLAK")</f>
        <v>2677_EVA DESWATi _ SERTIFIKAT BerAKHLAK</v>
      </c>
      <c r="P2678" s="5" t="s">
        <v>19010</v>
      </c>
      <c r="Q2678" s="5"/>
      <c r="R2678" s="5"/>
      <c r="S2678" s="5"/>
      <c r="T2678" s="5"/>
    </row>
    <row r="2679">
      <c r="A2679" s="4">
        <v>45534.34102704861</v>
      </c>
      <c r="B2679" s="5" t="s">
        <v>34</v>
      </c>
      <c r="D2679" s="5" t="s">
        <v>1768</v>
      </c>
      <c r="E2679" s="5" t="s">
        <v>19011</v>
      </c>
      <c r="F2679" s="5" t="s">
        <v>108</v>
      </c>
      <c r="G2679" s="5" t="s">
        <v>19012</v>
      </c>
      <c r="H2679" s="6" t="s">
        <v>19013</v>
      </c>
      <c r="K2679" s="5" t="s">
        <v>18782</v>
      </c>
      <c r="M2679" s="5" t="s">
        <v>19014</v>
      </c>
      <c r="N2679" s="7" t="s">
        <v>19015</v>
      </c>
      <c r="O2679" s="8" t="str">
        <f>HYPERLINK("https://drive.google.com/file/d/1NgKsog6dW19BL5GcdFmOV8nqOXOvlrwH/view?usp=drivesdk","2678_FARA ANANDYA, S.E. _ SERTIFIKAT BerAKHLAK")</f>
        <v>2678_FARA ANANDYA, S.E. _ SERTIFIKAT BerAKHLAK</v>
      </c>
      <c r="P2679" s="5" t="s">
        <v>19010</v>
      </c>
      <c r="Q2679" s="5"/>
      <c r="R2679" s="5"/>
      <c r="S2679" s="5"/>
      <c r="T2679" s="5"/>
    </row>
    <row r="2680" hidden="1">
      <c r="A2680" s="4">
        <v>45534.34102939814</v>
      </c>
      <c r="B2680" s="5" t="s">
        <v>19</v>
      </c>
      <c r="C2680" s="5" t="s">
        <v>292</v>
      </c>
      <c r="E2680" s="5" t="s">
        <v>19016</v>
      </c>
      <c r="F2680" s="5" t="s">
        <v>37</v>
      </c>
      <c r="G2680" s="5" t="s">
        <v>19017</v>
      </c>
      <c r="H2680" s="6" t="s">
        <v>19018</v>
      </c>
      <c r="K2680" s="5" t="s">
        <v>18782</v>
      </c>
      <c r="M2680" s="5" t="s">
        <v>19019</v>
      </c>
      <c r="N2680" s="7" t="s">
        <v>19020</v>
      </c>
      <c r="O2680" s="8" t="str">
        <f>HYPERLINK("https://drive.google.com/file/d/1qJaM2FlJa9VPeTuRM_orEvEEN-rrETKi/view?usp=drivesdk","2679_SUBAGYO _ SERTIFIKAT BerAKHLAK")</f>
        <v>2679_SUBAGYO _ SERTIFIKAT BerAKHLAK</v>
      </c>
      <c r="P2680" s="5" t="s">
        <v>19010</v>
      </c>
      <c r="Q2680" s="5"/>
      <c r="R2680" s="5"/>
      <c r="S2680" s="5"/>
      <c r="T2680" s="5"/>
    </row>
    <row r="2681">
      <c r="A2681" s="4">
        <v>45534.34104453704</v>
      </c>
      <c r="B2681" s="5" t="s">
        <v>34</v>
      </c>
      <c r="D2681" s="5" t="s">
        <v>14313</v>
      </c>
      <c r="E2681" s="5" t="s">
        <v>19021</v>
      </c>
      <c r="F2681" s="5" t="s">
        <v>524</v>
      </c>
      <c r="G2681" s="5" t="s">
        <v>19022</v>
      </c>
      <c r="H2681" s="6" t="s">
        <v>19023</v>
      </c>
      <c r="K2681" s="5" t="s">
        <v>19024</v>
      </c>
      <c r="M2681" s="5" t="s">
        <v>19025</v>
      </c>
      <c r="N2681" s="7" t="s">
        <v>19026</v>
      </c>
      <c r="O2681" s="8" t="str">
        <f>HYPERLINK("https://drive.google.com/file/d/1Zwo4pxnAe61UhjKHcDgGnuwr-S1U2ZEC/view?usp=drivesdk","2680_HAMDANAH,S.Sos. _ SERTIFIKAT BerAKHLAK")</f>
        <v>2680_HAMDANAH,S.Sos. _ SERTIFIKAT BerAKHLAK</v>
      </c>
      <c r="P2681" s="5" t="s">
        <v>19010</v>
      </c>
      <c r="Q2681" s="5"/>
      <c r="R2681" s="5"/>
      <c r="S2681" s="5"/>
      <c r="T2681" s="5"/>
    </row>
    <row r="2682">
      <c r="A2682" s="4">
        <v>45534.34105337963</v>
      </c>
      <c r="B2682" s="5" t="s">
        <v>34</v>
      </c>
      <c r="D2682" s="5" t="s">
        <v>4775</v>
      </c>
      <c r="E2682" s="5" t="s">
        <v>19027</v>
      </c>
      <c r="F2682" s="5" t="s">
        <v>375</v>
      </c>
      <c r="G2682" s="5" t="s">
        <v>19028</v>
      </c>
      <c r="H2682" s="6" t="s">
        <v>19029</v>
      </c>
      <c r="K2682" s="5" t="s">
        <v>19024</v>
      </c>
      <c r="M2682" s="5" t="s">
        <v>19030</v>
      </c>
      <c r="N2682" s="7" t="s">
        <v>19031</v>
      </c>
      <c r="O2682" s="8" t="str">
        <f>HYPERLINK("https://drive.google.com/file/d/1dqorvoOuat62HMw7h_hud6yZytF_w6wG/view?usp=drivesdk","2681_NUR EKO SURTIYANTI _ SERTIFIKAT BerAKHLAK")</f>
        <v>2681_NUR EKO SURTIYANTI _ SERTIFIKAT BerAKHLAK</v>
      </c>
      <c r="P2682" s="5" t="s">
        <v>19032</v>
      </c>
      <c r="Q2682" s="5"/>
      <c r="R2682" s="5"/>
      <c r="S2682" s="5"/>
      <c r="T2682" s="5"/>
    </row>
    <row r="2683">
      <c r="A2683" s="4">
        <v>45534.34105476852</v>
      </c>
      <c r="B2683" s="5" t="s">
        <v>34</v>
      </c>
      <c r="D2683" s="5" t="s">
        <v>35</v>
      </c>
      <c r="E2683" s="5" t="s">
        <v>19033</v>
      </c>
      <c r="F2683" s="5" t="s">
        <v>212</v>
      </c>
      <c r="G2683" s="5" t="s">
        <v>19034</v>
      </c>
      <c r="H2683" s="6" t="s">
        <v>19035</v>
      </c>
      <c r="K2683" s="5" t="s">
        <v>19024</v>
      </c>
      <c r="M2683" s="5" t="s">
        <v>19036</v>
      </c>
      <c r="N2683" s="7" t="s">
        <v>19037</v>
      </c>
      <c r="O2683" s="8" t="str">
        <f>HYPERLINK("https://drive.google.com/file/d/1h3ePOVxAW7uNxOQtITs50nPQChPCGq9g/view?usp=drivesdk","2682_APID HERYADI _ SERTIFIKAT BerAKHLAK")</f>
        <v>2682_APID HERYADI _ SERTIFIKAT BerAKHLAK</v>
      </c>
      <c r="P2683" s="5" t="s">
        <v>19032</v>
      </c>
      <c r="Q2683" s="5"/>
      <c r="R2683" s="5"/>
      <c r="S2683" s="5"/>
      <c r="T2683" s="5"/>
    </row>
    <row r="2684">
      <c r="A2684" s="4">
        <v>45534.341068090274</v>
      </c>
      <c r="B2684" s="5" t="s">
        <v>34</v>
      </c>
      <c r="D2684" s="5" t="s">
        <v>12978</v>
      </c>
      <c r="E2684" s="5" t="s">
        <v>19038</v>
      </c>
      <c r="F2684" s="5" t="s">
        <v>37</v>
      </c>
      <c r="G2684" s="5" t="s">
        <v>19039</v>
      </c>
      <c r="H2684" s="6" t="s">
        <v>19040</v>
      </c>
      <c r="K2684" s="5" t="s">
        <v>19024</v>
      </c>
      <c r="M2684" s="5" t="s">
        <v>19041</v>
      </c>
      <c r="N2684" s="7" t="s">
        <v>19042</v>
      </c>
      <c r="O2684" s="8" t="str">
        <f>HYPERLINK("https://drive.google.com/file/d/16YqhXKa2Enw7SSLw-J9j3UVTsNsyOC4d/view?usp=drivesdk","2683_ERLAMBANG  _ SERTIFIKAT BerAKHLAK")</f>
        <v>2683_ERLAMBANG  _ SERTIFIKAT BerAKHLAK</v>
      </c>
      <c r="P2684" s="5" t="s">
        <v>19032</v>
      </c>
      <c r="Q2684" s="5"/>
      <c r="R2684" s="5"/>
      <c r="S2684" s="5"/>
      <c r="T2684" s="5"/>
    </row>
    <row r="2685">
      <c r="A2685" s="4">
        <v>45534.341069710645</v>
      </c>
      <c r="B2685" s="5" t="s">
        <v>34</v>
      </c>
      <c r="D2685" s="5" t="s">
        <v>1663</v>
      </c>
      <c r="E2685" s="5" t="s">
        <v>19043</v>
      </c>
      <c r="F2685" s="5" t="s">
        <v>72</v>
      </c>
      <c r="G2685" s="5" t="s">
        <v>19044</v>
      </c>
      <c r="H2685" s="6" t="s">
        <v>19045</v>
      </c>
      <c r="I2685" s="7" t="s">
        <v>19046</v>
      </c>
      <c r="J2685" s="8" t="str">
        <f>HYPERLINK("https://drive.google.com/file/d/1XImIbwWnxo2M-Cz-kJRQJiEtxF7othdp/view?usp=drivesdk","dr. PUPUT PUTRI SETYAWATI SERTIFIKAT BerAKHLAK")</f>
        <v>dr. PUPUT PUTRI SETYAWATI SERTIFIKAT BerAKHLAK</v>
      </c>
      <c r="K2685" s="5" t="s">
        <v>14929</v>
      </c>
      <c r="L2685" s="5" t="s">
        <v>19047</v>
      </c>
      <c r="M2685" s="5" t="s">
        <v>19048</v>
      </c>
      <c r="N2685" s="7" t="s">
        <v>19049</v>
      </c>
      <c r="O2685" s="8" t="str">
        <f>HYPERLINK("https://drive.google.com/file/d/1wxXU803cTKN_6H-td8Ld8S60FmEzm71S/view?usp=drivesdk","2684_dr. PUPUT PUTRI SETYAWATI _ SERTIFIKAT BerAKHLAK")</f>
        <v>2684_dr. PUPUT PUTRI SETYAWATI _ SERTIFIKAT BerAKHLAK</v>
      </c>
      <c r="P2685" s="5" t="s">
        <v>19032</v>
      </c>
      <c r="Q2685" s="5"/>
      <c r="R2685" s="5"/>
      <c r="S2685" s="5"/>
      <c r="T2685" s="5"/>
    </row>
    <row r="2686">
      <c r="A2686" s="4">
        <v>45534.34107313657</v>
      </c>
      <c r="B2686" s="5" t="s">
        <v>34</v>
      </c>
      <c r="D2686" s="5" t="s">
        <v>6232</v>
      </c>
      <c r="E2686" s="5" t="s">
        <v>19050</v>
      </c>
      <c r="F2686" s="5" t="s">
        <v>108</v>
      </c>
      <c r="G2686" s="5" t="s">
        <v>19051</v>
      </c>
      <c r="H2686" s="6" t="s">
        <v>19052</v>
      </c>
      <c r="K2686" s="5" t="s">
        <v>19053</v>
      </c>
      <c r="M2686" s="5" t="s">
        <v>19054</v>
      </c>
      <c r="N2686" s="7" t="s">
        <v>19055</v>
      </c>
      <c r="O2686" s="8" t="str">
        <f>HYPERLINK("https://drive.google.com/file/d/1-jgUZnkuVmgncYicbxhouzxtSe1egzip/view?usp=drivesdk","2685_MUNANDAR _ SERTIFIKAT BerAKHLAK")</f>
        <v>2685_MUNANDAR _ SERTIFIKAT BerAKHLAK</v>
      </c>
      <c r="P2686" s="5" t="s">
        <v>19056</v>
      </c>
      <c r="Q2686" s="5"/>
      <c r="R2686" s="5"/>
      <c r="S2686" s="5"/>
      <c r="T2686" s="5"/>
    </row>
    <row r="2687" hidden="1">
      <c r="A2687" s="4">
        <v>45534.34103055556</v>
      </c>
      <c r="B2687" s="5" t="s">
        <v>19</v>
      </c>
      <c r="C2687" s="5" t="s">
        <v>20</v>
      </c>
      <c r="E2687" s="5" t="s">
        <v>19057</v>
      </c>
      <c r="F2687" s="5" t="s">
        <v>37</v>
      </c>
      <c r="G2687" s="5" t="s">
        <v>19058</v>
      </c>
      <c r="H2687" s="6" t="s">
        <v>19059</v>
      </c>
      <c r="K2687" s="5" t="s">
        <v>19053</v>
      </c>
      <c r="M2687" s="5" t="s">
        <v>19060</v>
      </c>
      <c r="N2687" s="7" t="s">
        <v>19061</v>
      </c>
      <c r="O2687" s="8" t="str">
        <f>HYPERLINK("https://drive.google.com/file/d/1T6CCXmzdf1zU1Bu72YGbgLNlbsAeio-h/view?usp=drivesdk","2686_IRFAN, A.MD _ SERTIFIKAT BerAKHLAK")</f>
        <v>2686_IRFAN, A.MD _ SERTIFIKAT BerAKHLAK</v>
      </c>
      <c r="P2687" s="5" t="s">
        <v>19056</v>
      </c>
      <c r="Q2687" s="5"/>
      <c r="R2687" s="5"/>
      <c r="S2687" s="5"/>
      <c r="T2687" s="5"/>
    </row>
    <row r="2688">
      <c r="A2688" s="4">
        <v>45534.341054178236</v>
      </c>
      <c r="B2688" s="5" t="s">
        <v>34</v>
      </c>
      <c r="D2688" s="5" t="s">
        <v>1206</v>
      </c>
      <c r="E2688" s="5" t="s">
        <v>19062</v>
      </c>
      <c r="F2688" s="5" t="s">
        <v>212</v>
      </c>
      <c r="G2688" s="5" t="s">
        <v>19063</v>
      </c>
      <c r="H2688" s="6" t="s">
        <v>19064</v>
      </c>
      <c r="K2688" s="5" t="s">
        <v>19053</v>
      </c>
      <c r="M2688" s="5" t="s">
        <v>19065</v>
      </c>
      <c r="N2688" s="7" t="s">
        <v>19066</v>
      </c>
      <c r="O2688" s="8" t="str">
        <f>HYPERLINK("https://drive.google.com/file/d/1Qr2pwfIB4F0n_tOvhIbMbzs3WS3gwxv3/view?usp=drivesdk","2687_RATNA IKA RAHAYUNINGSIH _ SERTIFIKAT BerAKHLAK")</f>
        <v>2687_RATNA IKA RAHAYUNINGSIH _ SERTIFIKAT BerAKHLAK</v>
      </c>
      <c r="P2688" s="5" t="s">
        <v>19056</v>
      </c>
      <c r="Q2688" s="5"/>
      <c r="R2688" s="5"/>
      <c r="S2688" s="5"/>
      <c r="T2688" s="5"/>
    </row>
    <row r="2689">
      <c r="A2689" s="4">
        <v>45534.34106987268</v>
      </c>
      <c r="B2689" s="5" t="s">
        <v>34</v>
      </c>
      <c r="D2689" s="5" t="s">
        <v>35</v>
      </c>
      <c r="E2689" s="5" t="s">
        <v>19067</v>
      </c>
      <c r="F2689" s="5" t="s">
        <v>37</v>
      </c>
      <c r="G2689" s="5" t="s">
        <v>19068</v>
      </c>
      <c r="H2689" s="6" t="s">
        <v>19069</v>
      </c>
      <c r="K2689" s="5" t="s">
        <v>19053</v>
      </c>
      <c r="M2689" s="5" t="s">
        <v>19070</v>
      </c>
      <c r="N2689" s="7" t="s">
        <v>19071</v>
      </c>
      <c r="O2689" s="8" t="str">
        <f>HYPERLINK("https://drive.google.com/file/d/1q8PR1A_tlYRW0P655IyYQTs7G7OQEpIs/view?usp=drivesdk","2688_UUS HUSAERI _ SERTIFIKAT BerAKHLAK")</f>
        <v>2688_UUS HUSAERI _ SERTIFIKAT BerAKHLAK</v>
      </c>
      <c r="P2689" s="5" t="s">
        <v>19056</v>
      </c>
      <c r="Q2689" s="5"/>
      <c r="R2689" s="5"/>
      <c r="S2689" s="5"/>
      <c r="T2689" s="5"/>
    </row>
    <row r="2690">
      <c r="A2690" s="4">
        <v>45534.34109236111</v>
      </c>
      <c r="B2690" s="5" t="s">
        <v>34</v>
      </c>
      <c r="D2690" s="5" t="s">
        <v>1206</v>
      </c>
      <c r="E2690" s="5" t="s">
        <v>19072</v>
      </c>
      <c r="F2690" s="5" t="s">
        <v>37</v>
      </c>
      <c r="G2690" s="5" t="s">
        <v>19073</v>
      </c>
      <c r="H2690" s="6" t="s">
        <v>19074</v>
      </c>
      <c r="K2690" s="5" t="s">
        <v>19053</v>
      </c>
      <c r="M2690" s="5" t="s">
        <v>19075</v>
      </c>
      <c r="N2690" s="7" t="s">
        <v>19076</v>
      </c>
      <c r="O2690" s="8" t="str">
        <f>HYPERLINK("https://drive.google.com/file/d/1FZL1Z4ju6nZ4DHojsDz7s6cnN-JOVNo4/view?usp=drivesdk","2689_ABDUL WAHIB _ SERTIFIKAT BerAKHLAK")</f>
        <v>2689_ABDUL WAHIB _ SERTIFIKAT BerAKHLAK</v>
      </c>
      <c r="P2690" s="5" t="s">
        <v>19077</v>
      </c>
      <c r="Q2690" s="5"/>
      <c r="R2690" s="5"/>
      <c r="S2690" s="5"/>
      <c r="T2690" s="5"/>
    </row>
    <row r="2691" hidden="1">
      <c r="A2691" s="4">
        <v>45534.34110457176</v>
      </c>
      <c r="B2691" s="5" t="s">
        <v>19</v>
      </c>
      <c r="C2691" s="5" t="s">
        <v>292</v>
      </c>
      <c r="E2691" s="5" t="s">
        <v>19078</v>
      </c>
      <c r="F2691" s="5" t="s">
        <v>72</v>
      </c>
      <c r="G2691" s="5" t="s">
        <v>19079</v>
      </c>
      <c r="H2691" s="6" t="s">
        <v>19080</v>
      </c>
      <c r="K2691" s="5" t="s">
        <v>19053</v>
      </c>
      <c r="M2691" s="5" t="s">
        <v>19081</v>
      </c>
      <c r="N2691" s="7" t="s">
        <v>19082</v>
      </c>
      <c r="O2691" s="8" t="str">
        <f>HYPERLINK("https://drive.google.com/file/d/1r0kXjBCfuUWgGzQFaSLivYgV3og2lprs/view?usp=drivesdk","2690_Alfah Ratna Wati _ SERTIFIKAT BerAKHLAK")</f>
        <v>2690_Alfah Ratna Wati _ SERTIFIKAT BerAKHLAK</v>
      </c>
      <c r="P2691" s="5" t="s">
        <v>19077</v>
      </c>
      <c r="Q2691" s="5"/>
      <c r="R2691" s="5"/>
      <c r="S2691" s="5"/>
      <c r="T2691" s="5"/>
    </row>
    <row r="2692">
      <c r="A2692" s="4">
        <v>45534.34110518519</v>
      </c>
      <c r="B2692" s="5" t="s">
        <v>34</v>
      </c>
      <c r="D2692" s="5" t="s">
        <v>12978</v>
      </c>
      <c r="E2692" s="5" t="s">
        <v>19083</v>
      </c>
      <c r="F2692" s="5" t="s">
        <v>72</v>
      </c>
      <c r="G2692" s="5" t="s">
        <v>19084</v>
      </c>
      <c r="H2692" s="6" t="s">
        <v>19085</v>
      </c>
      <c r="K2692" s="5" t="s">
        <v>19053</v>
      </c>
      <c r="M2692" s="5" t="s">
        <v>19086</v>
      </c>
      <c r="N2692" s="7" t="s">
        <v>19087</v>
      </c>
      <c r="O2692" s="8" t="str">
        <f>HYPERLINK("https://drive.google.com/file/d/1G7Ue8Jn9wBBPCCAziBd8Nv4bnFCGS33T/view?usp=drivesdk","2691_MUHARITA AMSILA, S.T _ SERTIFIKAT BerAKHLAK")</f>
        <v>2691_MUHARITA AMSILA, S.T _ SERTIFIKAT BerAKHLAK</v>
      </c>
      <c r="P2692" s="5" t="s">
        <v>19077</v>
      </c>
      <c r="Q2692" s="5"/>
      <c r="R2692" s="5"/>
      <c r="S2692" s="5"/>
      <c r="T2692" s="5"/>
    </row>
    <row r="2693">
      <c r="A2693" s="4">
        <v>45534.341105416665</v>
      </c>
      <c r="B2693" s="5" t="s">
        <v>34</v>
      </c>
      <c r="D2693" s="5" t="s">
        <v>35</v>
      </c>
      <c r="E2693" s="5" t="s">
        <v>19088</v>
      </c>
      <c r="F2693" s="5" t="s">
        <v>375</v>
      </c>
      <c r="G2693" s="5" t="s">
        <v>19089</v>
      </c>
      <c r="H2693" s="6" t="s">
        <v>19090</v>
      </c>
      <c r="K2693" s="5" t="s">
        <v>19053</v>
      </c>
      <c r="M2693" s="5" t="s">
        <v>19091</v>
      </c>
      <c r="N2693" s="7" t="s">
        <v>19092</v>
      </c>
      <c r="O2693" s="8" t="str">
        <f>HYPERLINK("https://drive.google.com/file/d/1CVTPdHCb9mFLdeWa8UvFy2-x32XcaUNX/view?usp=drivesdk","2692_WAWAN SH _ SERTIFIKAT BerAKHLAK")</f>
        <v>2692_WAWAN SH _ SERTIFIKAT BerAKHLAK</v>
      </c>
      <c r="P2693" s="5" t="s">
        <v>19077</v>
      </c>
      <c r="Q2693" s="5"/>
      <c r="R2693" s="5"/>
      <c r="S2693" s="5"/>
      <c r="T2693" s="5"/>
    </row>
    <row r="2694">
      <c r="A2694" s="4">
        <v>45534.34108349537</v>
      </c>
      <c r="B2694" s="5" t="s">
        <v>34</v>
      </c>
      <c r="D2694" s="5" t="s">
        <v>1206</v>
      </c>
      <c r="E2694" s="5" t="s">
        <v>327</v>
      </c>
      <c r="F2694" s="5" t="s">
        <v>37</v>
      </c>
      <c r="G2694" s="5" t="s">
        <v>19093</v>
      </c>
      <c r="H2694" s="6" t="s">
        <v>19094</v>
      </c>
      <c r="K2694" s="5" t="s">
        <v>19053</v>
      </c>
      <c r="M2694" s="5" t="s">
        <v>19095</v>
      </c>
      <c r="N2694" s="7" t="s">
        <v>19096</v>
      </c>
      <c r="O2694" s="8" t="str">
        <f>HYPERLINK("https://drive.google.com/file/d/1wWcDzOwoGPYCuT8U20nhn4zMgJkgrp0r/view?usp=drivesdk","2693_AGUS SETIAWAN _ SERTIFIKAT BerAKHLAK")</f>
        <v>2693_AGUS SETIAWAN _ SERTIFIKAT BerAKHLAK</v>
      </c>
      <c r="P2694" s="5" t="s">
        <v>19097</v>
      </c>
      <c r="Q2694" s="5"/>
      <c r="R2694" s="5"/>
      <c r="S2694" s="5"/>
      <c r="T2694" s="5"/>
    </row>
    <row r="2695">
      <c r="A2695" s="4">
        <v>45534.34109431713</v>
      </c>
      <c r="B2695" s="5" t="s">
        <v>34</v>
      </c>
      <c r="D2695" s="5" t="s">
        <v>35</v>
      </c>
      <c r="E2695" s="5" t="s">
        <v>19098</v>
      </c>
      <c r="F2695" s="5" t="s">
        <v>212</v>
      </c>
      <c r="G2695" s="5" t="s">
        <v>19099</v>
      </c>
      <c r="H2695" s="6" t="s">
        <v>19100</v>
      </c>
      <c r="K2695" s="5" t="s">
        <v>19053</v>
      </c>
      <c r="M2695" s="5" t="s">
        <v>19101</v>
      </c>
      <c r="N2695" s="7" t="s">
        <v>19102</v>
      </c>
      <c r="O2695" s="8" t="str">
        <f>HYPERLINK("https://drive.google.com/file/d/1ln8MaGlG17M-nZKf1PT_1pr1dUphDm7s/view?usp=drivesdk","2694_NURNAWATI BUDININGSIH. Amk _ SERTIFIKAT BerAKHLAK")</f>
        <v>2694_NURNAWATI BUDININGSIH. Amk _ SERTIFIKAT BerAKHLAK</v>
      </c>
      <c r="P2695" s="5" t="s">
        <v>19097</v>
      </c>
      <c r="Q2695" s="5"/>
      <c r="R2695" s="5"/>
      <c r="S2695" s="5"/>
      <c r="T2695" s="5"/>
    </row>
    <row r="2696">
      <c r="A2696" s="4">
        <v>45534.34109608796</v>
      </c>
      <c r="B2696" s="5" t="s">
        <v>34</v>
      </c>
      <c r="D2696" s="5" t="s">
        <v>580</v>
      </c>
      <c r="E2696" s="5" t="s">
        <v>19103</v>
      </c>
      <c r="F2696" s="5" t="s">
        <v>524</v>
      </c>
      <c r="G2696" s="5" t="s">
        <v>19104</v>
      </c>
      <c r="H2696" s="6" t="s">
        <v>19105</v>
      </c>
      <c r="K2696" s="5" t="s">
        <v>19053</v>
      </c>
      <c r="M2696" s="5" t="s">
        <v>19106</v>
      </c>
      <c r="N2696" s="7" t="s">
        <v>19107</v>
      </c>
      <c r="O2696" s="8" t="str">
        <f>HYPERLINK("https://drive.google.com/file/d/1gwdj81PnGBDKmguF5vrZ6t5v2JYgrRKI/view?usp=drivesdk","2695_Ns I.MADE SUTANAYA,S.Kep _ SERTIFIKAT BerAKHLAK")</f>
        <v>2695_Ns I.MADE SUTANAYA,S.Kep _ SERTIFIKAT BerAKHLAK</v>
      </c>
      <c r="P2696" s="5" t="s">
        <v>19097</v>
      </c>
      <c r="Q2696" s="5"/>
      <c r="R2696" s="5"/>
      <c r="S2696" s="5"/>
      <c r="T2696" s="5"/>
    </row>
    <row r="2697">
      <c r="A2697" s="4">
        <v>45534.34109665509</v>
      </c>
      <c r="B2697" s="5" t="s">
        <v>34</v>
      </c>
      <c r="D2697" s="5" t="s">
        <v>6232</v>
      </c>
      <c r="E2697" s="5" t="s">
        <v>19108</v>
      </c>
      <c r="F2697" s="5" t="s">
        <v>37</v>
      </c>
      <c r="G2697" s="5" t="s">
        <v>19109</v>
      </c>
      <c r="H2697" s="6" t="s">
        <v>19110</v>
      </c>
      <c r="K2697" s="5" t="s">
        <v>19053</v>
      </c>
      <c r="M2697" s="5" t="s">
        <v>19111</v>
      </c>
      <c r="N2697" s="7" t="s">
        <v>19112</v>
      </c>
      <c r="O2697" s="8" t="str">
        <f>HYPERLINK("https://drive.google.com/file/d/1DD1f5Bl3N1yKiNoTEzaQqpLWeI-jKIEa/view?usp=drivesdk","2696_HERAYENI  _ SERTIFIKAT BerAKHLAK")</f>
        <v>2696_HERAYENI  _ SERTIFIKAT BerAKHLAK</v>
      </c>
      <c r="P2697" s="5" t="s">
        <v>19097</v>
      </c>
      <c r="Q2697" s="5"/>
      <c r="R2697" s="5"/>
      <c r="S2697" s="5"/>
      <c r="T2697" s="5"/>
    </row>
    <row r="2698">
      <c r="A2698" s="4">
        <v>45534.34111837963</v>
      </c>
      <c r="B2698" s="5" t="s">
        <v>34</v>
      </c>
      <c r="D2698" s="5" t="s">
        <v>1206</v>
      </c>
      <c r="E2698" s="5" t="s">
        <v>19113</v>
      </c>
      <c r="F2698" s="5" t="s">
        <v>524</v>
      </c>
      <c r="G2698" s="5" t="s">
        <v>19114</v>
      </c>
      <c r="H2698" s="6" t="s">
        <v>19115</v>
      </c>
      <c r="K2698" s="5" t="s">
        <v>19053</v>
      </c>
      <c r="M2698" s="5" t="s">
        <v>19116</v>
      </c>
      <c r="N2698" s="7" t="s">
        <v>19117</v>
      </c>
      <c r="O2698" s="8" t="str">
        <f>HYPERLINK("https://drive.google.com/file/d/1Cqz5EvAyJvav2QXmyCXRQdSDlz_I1ZTT/view?usp=drivesdk","2697_HENI INDRAWATI, S.H. _ SERTIFIKAT BerAKHLAK")</f>
        <v>2697_HENI INDRAWATI, S.H. _ SERTIFIKAT BerAKHLAK</v>
      </c>
      <c r="P2698" s="5" t="s">
        <v>19118</v>
      </c>
      <c r="Q2698" s="5"/>
      <c r="R2698" s="5"/>
      <c r="S2698" s="5"/>
      <c r="T2698" s="5"/>
    </row>
    <row r="2699">
      <c r="A2699" s="4">
        <v>45534.34111833334</v>
      </c>
      <c r="B2699" s="5" t="s">
        <v>34</v>
      </c>
      <c r="D2699" s="5" t="s">
        <v>9020</v>
      </c>
      <c r="E2699" s="5" t="s">
        <v>19119</v>
      </c>
      <c r="F2699" s="5" t="s">
        <v>524</v>
      </c>
      <c r="G2699" s="5" t="s">
        <v>19120</v>
      </c>
      <c r="H2699" s="6" t="s">
        <v>19121</v>
      </c>
      <c r="K2699" s="5" t="s">
        <v>19053</v>
      </c>
      <c r="M2699" s="5" t="s">
        <v>19122</v>
      </c>
      <c r="N2699" s="7" t="s">
        <v>19123</v>
      </c>
      <c r="O2699" s="8" t="str">
        <f>HYPERLINK("https://drive.google.com/file/d/1cqjlfeqJM-N8pdonuFexupg3erSBlrtM/view?usp=drivesdk","2698_ENDANG ERLITNA _ SERTIFIKAT BerAKHLAK")</f>
        <v>2698_ENDANG ERLITNA _ SERTIFIKAT BerAKHLAK</v>
      </c>
      <c r="P2699" s="5" t="s">
        <v>19118</v>
      </c>
      <c r="Q2699" s="5"/>
      <c r="R2699" s="5"/>
      <c r="S2699" s="5"/>
      <c r="T2699" s="5"/>
    </row>
    <row r="2700">
      <c r="A2700" s="4">
        <v>45534.34112181713</v>
      </c>
      <c r="B2700" s="5" t="s">
        <v>34</v>
      </c>
      <c r="D2700" s="5" t="s">
        <v>12978</v>
      </c>
      <c r="E2700" s="5" t="s">
        <v>19124</v>
      </c>
      <c r="F2700" s="5" t="s">
        <v>524</v>
      </c>
      <c r="G2700" s="5" t="s">
        <v>19125</v>
      </c>
      <c r="H2700" s="6" t="s">
        <v>19126</v>
      </c>
      <c r="K2700" s="5" t="s">
        <v>19053</v>
      </c>
      <c r="M2700" s="5" t="s">
        <v>19127</v>
      </c>
      <c r="N2700" s="7" t="s">
        <v>19128</v>
      </c>
      <c r="O2700" s="8" t="str">
        <f>HYPERLINK("https://drive.google.com/file/d/1QWDM9J-7a6Y2fkaz-58qAVBAVfHCetA_/view?usp=drivesdk","2699_WAHYU APRIYANTI, S. AP.  _ SERTIFIKAT BerAKHLAK")</f>
        <v>2699_WAHYU APRIYANTI, S. AP.  _ SERTIFIKAT BerAKHLAK</v>
      </c>
      <c r="P2700" s="5" t="s">
        <v>19129</v>
      </c>
      <c r="Q2700" s="5"/>
      <c r="R2700" s="5"/>
      <c r="S2700" s="5"/>
      <c r="T2700" s="5"/>
    </row>
    <row r="2701">
      <c r="A2701" s="4">
        <v>45534.34112377315</v>
      </c>
      <c r="B2701" s="5" t="s">
        <v>34</v>
      </c>
      <c r="D2701" s="5" t="s">
        <v>12978</v>
      </c>
      <c r="E2701" s="5" t="s">
        <v>19130</v>
      </c>
      <c r="F2701" s="5" t="s">
        <v>212</v>
      </c>
      <c r="G2701" s="5" t="s">
        <v>19131</v>
      </c>
      <c r="H2701" s="6" t="s">
        <v>19132</v>
      </c>
      <c r="K2701" s="5" t="s">
        <v>19053</v>
      </c>
      <c r="M2701" s="5" t="s">
        <v>19133</v>
      </c>
      <c r="N2701" s="7" t="s">
        <v>19134</v>
      </c>
      <c r="O2701" s="8" t="str">
        <f>HYPERLINK("https://drive.google.com/file/d/1DyYjevQp78sN9kb0afSYlhraFNsgIubc/view?usp=drivesdk","2700_RINI TRI WINASIH _ SERTIFIKAT BerAKHLAK")</f>
        <v>2700_RINI TRI WINASIH _ SERTIFIKAT BerAKHLAK</v>
      </c>
      <c r="P2701" s="5" t="s">
        <v>19129</v>
      </c>
      <c r="Q2701" s="5"/>
      <c r="R2701" s="5"/>
      <c r="S2701" s="5"/>
      <c r="T2701" s="5"/>
    </row>
    <row r="2702">
      <c r="A2702" s="4">
        <v>45534.34113431713</v>
      </c>
      <c r="B2702" s="5" t="s">
        <v>34</v>
      </c>
      <c r="D2702" s="5" t="s">
        <v>3849</v>
      </c>
      <c r="E2702" s="5" t="s">
        <v>19135</v>
      </c>
      <c r="F2702" s="5" t="s">
        <v>108</v>
      </c>
      <c r="G2702" s="5" t="s">
        <v>19136</v>
      </c>
      <c r="H2702" s="6" t="s">
        <v>19137</v>
      </c>
      <c r="K2702" s="5" t="s">
        <v>19053</v>
      </c>
      <c r="M2702" s="5" t="s">
        <v>19138</v>
      </c>
      <c r="N2702" s="7" t="s">
        <v>19139</v>
      </c>
      <c r="O2702" s="8" t="str">
        <f>HYPERLINK("https://drive.google.com/file/d/14RUkjWkwiEt_UwOrkMCLn3PIzJ0K0isl/view?usp=drivesdk","2701_dr. FESY MIRANTI _ SERTIFIKAT BerAKHLAK")</f>
        <v>2701_dr. FESY MIRANTI _ SERTIFIKAT BerAKHLAK</v>
      </c>
      <c r="P2702" s="5" t="s">
        <v>19129</v>
      </c>
      <c r="Q2702" s="5"/>
      <c r="R2702" s="5"/>
      <c r="S2702" s="5"/>
      <c r="T2702" s="5"/>
    </row>
    <row r="2703">
      <c r="A2703" s="4">
        <v>45534.34115123843</v>
      </c>
      <c r="B2703" s="5" t="s">
        <v>34</v>
      </c>
      <c r="D2703" s="5" t="s">
        <v>1768</v>
      </c>
      <c r="E2703" s="5" t="s">
        <v>19140</v>
      </c>
      <c r="F2703" s="5" t="s">
        <v>108</v>
      </c>
      <c r="G2703" s="5" t="s">
        <v>19141</v>
      </c>
      <c r="H2703" s="6" t="s">
        <v>19142</v>
      </c>
      <c r="I2703" s="7" t="s">
        <v>19143</v>
      </c>
      <c r="J2703" s="8" t="str">
        <f>HYPERLINK("https://drive.google.com/file/d/1LKSLga7lCuEUz19RZ893xSmBJyFmxDRt/view?usp=drivesdk","WALSINEM SERTIFIKAT BerAKHLAK")</f>
        <v>WALSINEM SERTIFIKAT BerAKHLAK</v>
      </c>
      <c r="K2703" s="5" t="s">
        <v>14929</v>
      </c>
      <c r="L2703" s="5" t="s">
        <v>19144</v>
      </c>
      <c r="M2703" s="5" t="s">
        <v>19145</v>
      </c>
      <c r="N2703" s="7" t="s">
        <v>19146</v>
      </c>
      <c r="O2703" s="8" t="str">
        <f>HYPERLINK("https://drive.google.com/file/d/1COnuubMXIY7nT4tUUwhgqjdU1XsHtV3o/view?usp=drivesdk","2702_WALSINEM _ SERTIFIKAT BerAKHLAK")</f>
        <v>2702_WALSINEM _ SERTIFIKAT BerAKHLAK</v>
      </c>
      <c r="P2703" s="5" t="s">
        <v>19129</v>
      </c>
      <c r="Q2703" s="5"/>
      <c r="R2703" s="5"/>
      <c r="S2703" s="5"/>
      <c r="T2703" s="5"/>
    </row>
    <row r="2704">
      <c r="A2704" s="4">
        <v>45534.3411524074</v>
      </c>
      <c r="B2704" s="5" t="s">
        <v>34</v>
      </c>
      <c r="D2704" s="5" t="s">
        <v>3849</v>
      </c>
      <c r="E2704" s="5" t="s">
        <v>19147</v>
      </c>
      <c r="F2704" s="5" t="s">
        <v>37</v>
      </c>
      <c r="G2704" s="5" t="s">
        <v>19148</v>
      </c>
      <c r="H2704" s="6" t="s">
        <v>19149</v>
      </c>
      <c r="I2704" s="7" t="s">
        <v>19150</v>
      </c>
      <c r="J2704" s="8" t="str">
        <f>HYPERLINK("https://drive.google.com/file/d/14acEu0rV33LJspPPMSEg_1XetnKFigKs/view?usp=drivesdk","NABILA AMELIA, A.Md. Kep SERTIFIKAT BerAKHLAK")</f>
        <v>NABILA AMELIA, A.Md. Kep SERTIFIKAT BerAKHLAK</v>
      </c>
      <c r="K2704" s="5" t="s">
        <v>18654</v>
      </c>
      <c r="L2704" s="5" t="s">
        <v>19151</v>
      </c>
      <c r="M2704" s="5" t="s">
        <v>19152</v>
      </c>
      <c r="N2704" s="7" t="s">
        <v>19153</v>
      </c>
      <c r="O2704" s="8" t="str">
        <f>HYPERLINK("https://drive.google.com/file/d/1KAuxbzeeK_WpJMkJTprYFl4tLnWCam2d/view?usp=drivesdk","2703_NABILA AMELIA, A.Md. Kep _ SERTIFIKAT BerAKHLAK")</f>
        <v>2703_NABILA AMELIA, A.Md. Kep _ SERTIFIKAT BerAKHLAK</v>
      </c>
      <c r="P2704" s="5" t="s">
        <v>19154</v>
      </c>
      <c r="Q2704" s="5"/>
      <c r="R2704" s="5"/>
      <c r="S2704" s="5"/>
      <c r="T2704" s="5"/>
    </row>
    <row r="2705">
      <c r="A2705" s="4">
        <v>45534.341160682874</v>
      </c>
      <c r="B2705" s="5" t="s">
        <v>34</v>
      </c>
      <c r="D2705" s="5" t="s">
        <v>6232</v>
      </c>
      <c r="E2705" s="5" t="s">
        <v>19155</v>
      </c>
      <c r="F2705" s="5" t="s">
        <v>108</v>
      </c>
      <c r="G2705" s="5" t="s">
        <v>19156</v>
      </c>
      <c r="H2705" s="6" t="s">
        <v>19157</v>
      </c>
      <c r="I2705" s="7" t="s">
        <v>19158</v>
      </c>
      <c r="J2705" s="8" t="str">
        <f>HYPERLINK("https://drive.google.com/file/d/1h3si2tj3nxfPri8tLHzsKYSL5ZO7VrMr/view?usp=drivesdk","MEI ANGGRAINI SERTIFIKAT BerAKHLAK")</f>
        <v>MEI ANGGRAINI SERTIFIKAT BerAKHLAK</v>
      </c>
      <c r="K2705" s="5" t="s">
        <v>18654</v>
      </c>
      <c r="L2705" s="5" t="s">
        <v>19159</v>
      </c>
      <c r="M2705" s="5" t="s">
        <v>19160</v>
      </c>
      <c r="N2705" s="7" t="s">
        <v>19161</v>
      </c>
      <c r="O2705" s="8" t="str">
        <f>HYPERLINK("https://drive.google.com/file/d/1ZHKpe3dqEtLkNZxvgUZ7AZZrrZ595D2S/view?usp=drivesdk","2704_MEI ANGGRAINI _ SERTIFIKAT BerAKHLAK")</f>
        <v>2704_MEI ANGGRAINI _ SERTIFIKAT BerAKHLAK</v>
      </c>
      <c r="P2705" s="5" t="s">
        <v>19154</v>
      </c>
      <c r="Q2705" s="5"/>
      <c r="R2705" s="5"/>
      <c r="S2705" s="5"/>
      <c r="T2705" s="5"/>
    </row>
    <row r="2706" hidden="1">
      <c r="A2706" s="4">
        <v>45534.341160625</v>
      </c>
      <c r="B2706" s="5" t="s">
        <v>19</v>
      </c>
      <c r="C2706" s="5" t="s">
        <v>3301</v>
      </c>
      <c r="E2706" s="5" t="s">
        <v>19162</v>
      </c>
      <c r="F2706" s="5" t="s">
        <v>37</v>
      </c>
      <c r="G2706" s="5" t="s">
        <v>19163</v>
      </c>
      <c r="H2706" s="6" t="s">
        <v>19164</v>
      </c>
      <c r="I2706" s="7" t="s">
        <v>19165</v>
      </c>
      <c r="J2706" s="8" t="str">
        <f>HYPERLINK("https://drive.google.com/file/d/1oI_htmIgRZaXvu0JIC-kBXArFKxNwnqK/view?usp=drivesdk","DZIKRI SHALAHUDIN SYABANI, A.Md.Farm. SERTIFIKAT BerAKHLAK")</f>
        <v>DZIKRI SHALAHUDIN SYABANI, A.Md.Farm. SERTIFIKAT BerAKHLAK</v>
      </c>
      <c r="K2706" s="5" t="s">
        <v>18654</v>
      </c>
      <c r="L2706" s="5" t="s">
        <v>19166</v>
      </c>
      <c r="M2706" s="5" t="s">
        <v>19167</v>
      </c>
      <c r="N2706" s="7" t="s">
        <v>19168</v>
      </c>
      <c r="O2706" s="8" t="str">
        <f>HYPERLINK("https://drive.google.com/file/d/1pqABssLsNVkiUedqhjENsbWeEwzPBYbO/view?usp=drivesdk","2705_DZIKRI SHALAHUDIN SYABANI, A.Md.Farm. _ SERTIFIKAT BerAKHLAK")</f>
        <v>2705_DZIKRI SHALAHUDIN SYABANI, A.Md.Farm. _ SERTIFIKAT BerAKHLAK</v>
      </c>
      <c r="P2706" s="5" t="s">
        <v>19154</v>
      </c>
      <c r="Q2706" s="5"/>
      <c r="R2706" s="5"/>
      <c r="S2706" s="5"/>
      <c r="T2706" s="5"/>
    </row>
    <row r="2707">
      <c r="A2707" s="4">
        <v>45534.341163391204</v>
      </c>
      <c r="B2707" s="5" t="s">
        <v>34</v>
      </c>
      <c r="D2707" s="5" t="s">
        <v>12978</v>
      </c>
      <c r="E2707" s="5" t="s">
        <v>19169</v>
      </c>
      <c r="F2707" s="5" t="s">
        <v>212</v>
      </c>
      <c r="G2707" s="5" t="s">
        <v>19170</v>
      </c>
      <c r="H2707" s="6" t="s">
        <v>19171</v>
      </c>
      <c r="I2707" s="7" t="s">
        <v>19172</v>
      </c>
      <c r="J2707" s="8" t="str">
        <f>HYPERLINK("https://drive.google.com/file/d/1HGt39hBphCaUbFClisroLUKxD65sw4M7/view?usp=drivesdk","KOMALA SARI, SH SERTIFIKAT BerAKHLAK")</f>
        <v>KOMALA SARI, SH SERTIFIKAT BerAKHLAK</v>
      </c>
      <c r="K2707" s="5" t="s">
        <v>18654</v>
      </c>
      <c r="L2707" s="5" t="s">
        <v>19173</v>
      </c>
      <c r="M2707" s="5" t="s">
        <v>19174</v>
      </c>
      <c r="N2707" s="7" t="s">
        <v>19175</v>
      </c>
      <c r="O2707" s="8" t="str">
        <f>HYPERLINK("https://drive.google.com/file/d/1rEe2hqHyduMSkEYRq248A7SOI4uYZHFN/view?usp=drivesdk","2706_KOMALA SARI, SH _ SERTIFIKAT BerAKHLAK")</f>
        <v>2706_KOMALA SARI, SH _ SERTIFIKAT BerAKHLAK</v>
      </c>
      <c r="P2707" s="5" t="s">
        <v>19154</v>
      </c>
      <c r="Q2707" s="5"/>
      <c r="R2707" s="5"/>
      <c r="S2707" s="5"/>
      <c r="T2707" s="5"/>
    </row>
    <row r="2708">
      <c r="A2708" s="4">
        <v>45534.341164618054</v>
      </c>
      <c r="B2708" s="5" t="s">
        <v>34</v>
      </c>
      <c r="D2708" s="5" t="s">
        <v>12026</v>
      </c>
      <c r="E2708" s="5" t="s">
        <v>19176</v>
      </c>
      <c r="F2708" s="5" t="s">
        <v>120</v>
      </c>
      <c r="G2708" s="5" t="s">
        <v>19177</v>
      </c>
      <c r="H2708" s="6" t="s">
        <v>19178</v>
      </c>
      <c r="I2708" s="7" t="s">
        <v>19179</v>
      </c>
      <c r="J2708" s="8" t="str">
        <f>HYPERLINK("https://drive.google.com/file/d/1G2-FCiS0Zv4uirQTMmSCQKcsl2FVYjN5/view?usp=drivesdk","TITIK APRIYANTI S.PSI., M.SI SERTIFIKAT BerAKHLAK")</f>
        <v>TITIK APRIYANTI S.PSI., M.SI SERTIFIKAT BerAKHLAK</v>
      </c>
      <c r="K2708" s="5" t="s">
        <v>18654</v>
      </c>
      <c r="L2708" s="5" t="s">
        <v>19180</v>
      </c>
      <c r="M2708" s="5" t="s">
        <v>19181</v>
      </c>
      <c r="N2708" s="7" t="s">
        <v>19182</v>
      </c>
      <c r="O2708" s="8" t="str">
        <f>HYPERLINK("https://drive.google.com/file/d/1EDR2KBfi_5eF0C24ln1Nn69l-kCuZgWa/view?usp=drivesdk","2707_TITIK APRIYANTI S.PSI., M.SI _ SERTIFIKAT BerAKHLAK")</f>
        <v>2707_TITIK APRIYANTI S.PSI., M.SI _ SERTIFIKAT BerAKHLAK</v>
      </c>
      <c r="P2708" s="5" t="s">
        <v>19154</v>
      </c>
      <c r="Q2708" s="5"/>
      <c r="R2708" s="5"/>
      <c r="S2708" s="5"/>
      <c r="T2708" s="5"/>
    </row>
    <row r="2709">
      <c r="A2709" s="4">
        <v>45534.3411708912</v>
      </c>
      <c r="B2709" s="5" t="s">
        <v>34</v>
      </c>
      <c r="D2709" s="5" t="s">
        <v>35</v>
      </c>
      <c r="E2709" s="5" t="s">
        <v>19183</v>
      </c>
      <c r="F2709" s="5" t="s">
        <v>37</v>
      </c>
      <c r="G2709" s="5" t="s">
        <v>19184</v>
      </c>
      <c r="H2709" s="6" t="s">
        <v>19185</v>
      </c>
      <c r="I2709" s="7" t="s">
        <v>19186</v>
      </c>
      <c r="J2709" s="8" t="str">
        <f>HYPERLINK("https://drive.google.com/file/d/17cwTaSXWpJotWSvOzrB-svLje6fNmPbV/view?usp=drivesdk","TRI  ANDRIANI SERTIFIKAT BerAKHLAK")</f>
        <v>TRI  ANDRIANI SERTIFIKAT BerAKHLAK</v>
      </c>
      <c r="K2709" s="5" t="s">
        <v>18691</v>
      </c>
      <c r="L2709" s="5" t="s">
        <v>19187</v>
      </c>
      <c r="M2709" s="5" t="s">
        <v>19188</v>
      </c>
      <c r="N2709" s="7" t="s">
        <v>19189</v>
      </c>
      <c r="O2709" s="8" t="str">
        <f>HYPERLINK("https://drive.google.com/file/d/1K2f4yZNM5EmGcjMrP74EmyIXR979gPO1/view?usp=drivesdk","2708_TRI  ANDRIANI _ SERTIFIKAT BerAKHLAK")</f>
        <v>2708_TRI  ANDRIANI _ SERTIFIKAT BerAKHLAK</v>
      </c>
      <c r="P2709" s="5" t="s">
        <v>19190</v>
      </c>
      <c r="Q2709" s="5"/>
      <c r="R2709" s="5"/>
      <c r="S2709" s="5"/>
      <c r="T2709" s="5"/>
    </row>
    <row r="2710">
      <c r="A2710" s="4">
        <v>45534.34117706018</v>
      </c>
      <c r="B2710" s="5" t="s">
        <v>34</v>
      </c>
      <c r="D2710" s="5" t="s">
        <v>15401</v>
      </c>
      <c r="E2710" s="5" t="s">
        <v>19191</v>
      </c>
      <c r="F2710" s="5" t="s">
        <v>120</v>
      </c>
      <c r="G2710" s="5" t="s">
        <v>19192</v>
      </c>
      <c r="H2710" s="6" t="s">
        <v>19193</v>
      </c>
      <c r="I2710" s="7" t="s">
        <v>19194</v>
      </c>
      <c r="J2710" s="8" t="str">
        <f>HYPERLINK("https://drive.google.com/file/d/1mhqnf5XYIndN6bIeiotpCEZsX7YKCAWl/view?usp=drivesdk","SRI WAHYUNI RACHMAWATY, S.T. SERTIFIKAT BerAKHLAK")</f>
        <v>SRI WAHYUNI RACHMAWATY, S.T. SERTIFIKAT BerAKHLAK</v>
      </c>
      <c r="K2710" s="5" t="s">
        <v>18691</v>
      </c>
      <c r="L2710" s="5" t="s">
        <v>19195</v>
      </c>
      <c r="M2710" s="5" t="s">
        <v>19196</v>
      </c>
      <c r="N2710" s="7" t="s">
        <v>19197</v>
      </c>
      <c r="O2710" s="8" t="str">
        <f>HYPERLINK("https://drive.google.com/file/d/1uTQb1DPwpHzwYRdlHoHCdONw1xw7iNiC/view?usp=drivesdk","2709_SRI WAHYUNI RACHMAWATY, S.T. _ SERTIFIKAT BerAKHLAK")</f>
        <v>2709_SRI WAHYUNI RACHMAWATY, S.T. _ SERTIFIKAT BerAKHLAK</v>
      </c>
      <c r="P2710" s="5" t="s">
        <v>19190</v>
      </c>
      <c r="Q2710" s="5"/>
      <c r="R2710" s="5"/>
      <c r="S2710" s="5"/>
      <c r="T2710" s="5"/>
    </row>
    <row r="2711">
      <c r="A2711" s="4">
        <v>45534.34117849537</v>
      </c>
      <c r="B2711" s="5" t="s">
        <v>34</v>
      </c>
      <c r="D2711" s="5" t="s">
        <v>1206</v>
      </c>
      <c r="E2711" s="5" t="s">
        <v>19198</v>
      </c>
      <c r="F2711" s="5" t="s">
        <v>72</v>
      </c>
      <c r="G2711" s="5" t="s">
        <v>19199</v>
      </c>
      <c r="H2711" s="6" t="s">
        <v>19200</v>
      </c>
      <c r="K2711" s="5" t="s">
        <v>19201</v>
      </c>
      <c r="M2711" s="5" t="s">
        <v>19202</v>
      </c>
      <c r="N2711" s="7" t="s">
        <v>19203</v>
      </c>
      <c r="O2711" s="8" t="str">
        <f>HYPERLINK("https://drive.google.com/file/d/11unUIS9pErvqHvVdsJm70m1td45XsfrF/view?usp=drivesdk","2710_ENDANG IVA INDARTI _ SERTIFIKAT BerAKHLAK")</f>
        <v>2710_ENDANG IVA INDARTI _ SERTIFIKAT BerAKHLAK</v>
      </c>
      <c r="P2711" s="5" t="s">
        <v>19190</v>
      </c>
      <c r="Q2711" s="5"/>
      <c r="R2711" s="5"/>
      <c r="S2711" s="5"/>
      <c r="T2711" s="5"/>
    </row>
    <row r="2712">
      <c r="A2712" s="4">
        <v>45534.34118267361</v>
      </c>
      <c r="B2712" s="5" t="s">
        <v>34</v>
      </c>
      <c r="D2712" s="5" t="s">
        <v>12978</v>
      </c>
      <c r="E2712" s="5" t="s">
        <v>19204</v>
      </c>
      <c r="F2712" s="5" t="s">
        <v>212</v>
      </c>
      <c r="G2712" s="5" t="s">
        <v>19205</v>
      </c>
      <c r="H2712" s="6" t="s">
        <v>19206</v>
      </c>
      <c r="K2712" s="5" t="s">
        <v>19207</v>
      </c>
      <c r="M2712" s="5" t="s">
        <v>19208</v>
      </c>
      <c r="N2712" s="7" t="s">
        <v>19209</v>
      </c>
      <c r="O2712" s="8" t="str">
        <f>HYPERLINK("https://drive.google.com/file/d/1aM1OgRuIx3wQEezv6ehwvw4OgMwskM3V/view?usp=drivesdk","2711_RUSMIN _ SERTIFIKAT BerAKHLAK")</f>
        <v>2711_RUSMIN _ SERTIFIKAT BerAKHLAK</v>
      </c>
      <c r="P2712" s="5" t="s">
        <v>19190</v>
      </c>
      <c r="Q2712" s="5"/>
      <c r="R2712" s="5"/>
      <c r="S2712" s="5"/>
      <c r="T2712" s="5"/>
    </row>
    <row r="2713">
      <c r="A2713" s="4">
        <v>45534.341183958335</v>
      </c>
      <c r="B2713" s="5" t="s">
        <v>34</v>
      </c>
      <c r="D2713" s="5" t="s">
        <v>35</v>
      </c>
      <c r="E2713" s="5" t="s">
        <v>19210</v>
      </c>
      <c r="F2713" s="5" t="s">
        <v>72</v>
      </c>
      <c r="G2713" s="5" t="s">
        <v>19211</v>
      </c>
      <c r="H2713" s="6" t="s">
        <v>19212</v>
      </c>
      <c r="K2713" s="5" t="s">
        <v>19207</v>
      </c>
      <c r="M2713" s="5" t="s">
        <v>19213</v>
      </c>
      <c r="N2713" s="7" t="s">
        <v>19214</v>
      </c>
      <c r="O2713" s="8" t="str">
        <f>HYPERLINK("https://drive.google.com/file/d/1TsmRRzRXcC21vmikSG8uGkjF_J_DCqcR/view?usp=drivesdk","2712_PENATA DEDI SUPRIYADI, SE _ SERTIFIKAT BerAKHLAK")</f>
        <v>2712_PENATA DEDI SUPRIYADI, SE _ SERTIFIKAT BerAKHLAK</v>
      </c>
      <c r="P2713" s="5" t="s">
        <v>19190</v>
      </c>
      <c r="Q2713" s="5"/>
      <c r="R2713" s="5"/>
      <c r="S2713" s="5"/>
      <c r="T2713" s="5"/>
    </row>
    <row r="2714">
      <c r="A2714" s="4">
        <v>45534.34118855324</v>
      </c>
      <c r="B2714" s="5" t="s">
        <v>34</v>
      </c>
      <c r="D2714" s="5" t="s">
        <v>1768</v>
      </c>
      <c r="E2714" s="5" t="s">
        <v>19215</v>
      </c>
      <c r="F2714" s="5" t="s">
        <v>212</v>
      </c>
      <c r="G2714" s="5" t="s">
        <v>19216</v>
      </c>
      <c r="H2714" s="6" t="s">
        <v>19217</v>
      </c>
      <c r="K2714" s="5" t="s">
        <v>19207</v>
      </c>
      <c r="M2714" s="5" t="s">
        <v>19218</v>
      </c>
      <c r="N2714" s="7" t="s">
        <v>19219</v>
      </c>
      <c r="O2714" s="8" t="str">
        <f>HYPERLINK("https://drive.google.com/file/d/1YURJpm7vUntbFzafhN2TZoJxtebFqtqk/view?usp=drivesdk","2713_ABDUL RAIS _ SERTIFIKAT BerAKHLAK")</f>
        <v>2713_ABDUL RAIS _ SERTIFIKAT BerAKHLAK</v>
      </c>
      <c r="P2714" s="5" t="s">
        <v>19220</v>
      </c>
      <c r="Q2714" s="5"/>
      <c r="R2714" s="5"/>
      <c r="S2714" s="5"/>
      <c r="T2714" s="5"/>
    </row>
    <row r="2715">
      <c r="A2715" s="4">
        <v>45534.34119332176</v>
      </c>
      <c r="B2715" s="5" t="s">
        <v>34</v>
      </c>
      <c r="D2715" s="5" t="s">
        <v>4775</v>
      </c>
      <c r="E2715" s="5" t="s">
        <v>19221</v>
      </c>
      <c r="F2715" s="5" t="s">
        <v>108</v>
      </c>
      <c r="G2715" s="5" t="s">
        <v>19222</v>
      </c>
      <c r="H2715" s="6" t="s">
        <v>19223</v>
      </c>
      <c r="K2715" s="5" t="s">
        <v>19207</v>
      </c>
      <c r="M2715" s="5" t="s">
        <v>19224</v>
      </c>
      <c r="N2715" s="7" t="s">
        <v>19225</v>
      </c>
      <c r="O2715" s="8" t="str">
        <f>HYPERLINK("https://drive.google.com/file/d/14eXB76iuff8HxmDM3oB5wVoLaWOZJvnS/view?usp=drivesdk","2714_HENI PUTRIYANTI _ SERTIFIKAT BerAKHLAK")</f>
        <v>2714_HENI PUTRIYANTI _ SERTIFIKAT BerAKHLAK</v>
      </c>
      <c r="P2715" s="5" t="s">
        <v>19226</v>
      </c>
      <c r="Q2715" s="5"/>
      <c r="R2715" s="5"/>
      <c r="S2715" s="5"/>
      <c r="T2715" s="5"/>
    </row>
    <row r="2716">
      <c r="A2716" s="4">
        <v>45534.341198368056</v>
      </c>
      <c r="B2716" s="5" t="s">
        <v>34</v>
      </c>
      <c r="D2716" s="5" t="s">
        <v>701</v>
      </c>
      <c r="E2716" s="5" t="s">
        <v>19227</v>
      </c>
      <c r="F2716" s="5" t="s">
        <v>524</v>
      </c>
      <c r="G2716" s="5" t="s">
        <v>19228</v>
      </c>
      <c r="H2716" s="6" t="s">
        <v>19229</v>
      </c>
      <c r="K2716" s="5" t="s">
        <v>19207</v>
      </c>
      <c r="M2716" s="5" t="s">
        <v>19230</v>
      </c>
      <c r="N2716" s="7" t="s">
        <v>19231</v>
      </c>
      <c r="O2716" s="8" t="str">
        <f>HYPERLINK("https://drive.google.com/file/d/17qSEJcoj-keb6VREW9EP2c0RLO-Hjwho/view?usp=drivesdk","2715_SATRIA ANUGERAH, S.Kom. _ SERTIFIKAT BerAKHLAK")</f>
        <v>2715_SATRIA ANUGERAH, S.Kom. _ SERTIFIKAT BerAKHLAK</v>
      </c>
      <c r="P2716" s="5" t="s">
        <v>19232</v>
      </c>
      <c r="Q2716" s="5"/>
      <c r="R2716" s="5"/>
      <c r="S2716" s="5"/>
      <c r="T2716" s="5"/>
    </row>
    <row r="2717">
      <c r="A2717" s="4">
        <v>45534.34120138889</v>
      </c>
      <c r="B2717" s="5" t="s">
        <v>34</v>
      </c>
      <c r="D2717" s="5" t="s">
        <v>6232</v>
      </c>
      <c r="E2717" s="5" t="s">
        <v>19233</v>
      </c>
      <c r="F2717" s="5" t="s">
        <v>37</v>
      </c>
      <c r="G2717" s="5" t="s">
        <v>19234</v>
      </c>
      <c r="H2717" s="6" t="s">
        <v>19235</v>
      </c>
      <c r="K2717" s="5" t="s">
        <v>19207</v>
      </c>
      <c r="M2717" s="5" t="s">
        <v>19236</v>
      </c>
      <c r="N2717" s="7" t="s">
        <v>19237</v>
      </c>
      <c r="O2717" s="8" t="str">
        <f>HYPERLINK("https://drive.google.com/file/d/1fYzxHrQBA-WIVKH0rdWFFNZ2ZrvZzRu9/view?usp=drivesdk","2716_WIWIK RAHAYU _ SERTIFIKAT BerAKHLAK")</f>
        <v>2716_WIWIK RAHAYU _ SERTIFIKAT BerAKHLAK</v>
      </c>
      <c r="P2717" s="5" t="s">
        <v>19238</v>
      </c>
      <c r="Q2717" s="5"/>
      <c r="R2717" s="5"/>
      <c r="S2717" s="5"/>
      <c r="T2717" s="5"/>
    </row>
    <row r="2718">
      <c r="A2718" s="4">
        <v>45534.341207743055</v>
      </c>
      <c r="B2718" s="5" t="s">
        <v>34</v>
      </c>
      <c r="D2718" s="5" t="s">
        <v>35</v>
      </c>
      <c r="E2718" s="5" t="s">
        <v>19239</v>
      </c>
      <c r="F2718" s="5" t="s">
        <v>37</v>
      </c>
      <c r="G2718" s="5" t="s">
        <v>19240</v>
      </c>
      <c r="H2718" s="6" t="s">
        <v>19241</v>
      </c>
      <c r="K2718" s="5" t="s">
        <v>19207</v>
      </c>
      <c r="M2718" s="5" t="s">
        <v>19242</v>
      </c>
      <c r="N2718" s="7" t="s">
        <v>19243</v>
      </c>
      <c r="O2718" s="8" t="str">
        <f>HYPERLINK("https://drive.google.com/file/d/1q8SYuAdgTFkQ7ojy81mHcZtP0-VRmB7w/view?usp=drivesdk","2717_MIMIN AMINAH _ SERTIFIKAT BerAKHLAK")</f>
        <v>2717_MIMIN AMINAH _ SERTIFIKAT BerAKHLAK</v>
      </c>
      <c r="P2718" s="5" t="s">
        <v>19244</v>
      </c>
      <c r="Q2718" s="5"/>
      <c r="R2718" s="5"/>
      <c r="S2718" s="5"/>
      <c r="T2718" s="5"/>
    </row>
    <row r="2719">
      <c r="A2719" s="4">
        <v>45534.34120873843</v>
      </c>
      <c r="B2719" s="5" t="s">
        <v>34</v>
      </c>
      <c r="D2719" s="5" t="s">
        <v>10444</v>
      </c>
      <c r="E2719" s="5" t="s">
        <v>19245</v>
      </c>
      <c r="F2719" s="5" t="s">
        <v>212</v>
      </c>
      <c r="G2719" s="5" t="s">
        <v>19246</v>
      </c>
      <c r="H2719" s="6" t="s">
        <v>19247</v>
      </c>
      <c r="K2719" s="5" t="s">
        <v>19207</v>
      </c>
      <c r="M2719" s="5" t="s">
        <v>19248</v>
      </c>
      <c r="N2719" s="7" t="s">
        <v>19249</v>
      </c>
      <c r="O2719" s="8" t="str">
        <f>HYPERLINK("https://drive.google.com/file/d/13yGiCocWFjCk-80rM1Z2awgemQDh7glM/view?usp=drivesdk","2718_SYARIFAH YULIANA, A.Md.Far. _ SERTIFIKAT BerAKHLAK")</f>
        <v>2718_SYARIFAH YULIANA, A.Md.Far. _ SERTIFIKAT BerAKHLAK</v>
      </c>
      <c r="P2719" s="5" t="s">
        <v>19250</v>
      </c>
      <c r="Q2719" s="5"/>
      <c r="R2719" s="5"/>
      <c r="S2719" s="5"/>
      <c r="T2719" s="5"/>
    </row>
    <row r="2720">
      <c r="A2720" s="4">
        <v>45534.341213067135</v>
      </c>
      <c r="B2720" s="5" t="s">
        <v>34</v>
      </c>
      <c r="D2720" s="5" t="s">
        <v>604</v>
      </c>
      <c r="E2720" s="5" t="s">
        <v>19251</v>
      </c>
      <c r="F2720" s="5" t="s">
        <v>108</v>
      </c>
      <c r="G2720" s="5" t="s">
        <v>19252</v>
      </c>
      <c r="H2720" s="6" t="s">
        <v>19253</v>
      </c>
      <c r="K2720" s="5" t="s">
        <v>19207</v>
      </c>
      <c r="M2720" s="5" t="s">
        <v>19254</v>
      </c>
      <c r="N2720" s="7" t="s">
        <v>19255</v>
      </c>
      <c r="O2720" s="8" t="str">
        <f>HYPERLINK("https://drive.google.com/file/d/1upwjJFMQMamCVFSWx0uCJ3COeKKdvxna/view?usp=drivesdk","2719_HENDARWANTI, S.Sos _ SERTIFIKAT BerAKHLAK")</f>
        <v>2719_HENDARWANTI, S.Sos _ SERTIFIKAT BerAKHLAK</v>
      </c>
      <c r="P2720" s="5" t="s">
        <v>19256</v>
      </c>
      <c r="Q2720" s="5"/>
      <c r="R2720" s="5"/>
      <c r="S2720" s="5"/>
      <c r="T2720" s="5"/>
    </row>
    <row r="2721">
      <c r="A2721" s="4">
        <v>45534.3412225</v>
      </c>
      <c r="B2721" s="5" t="s">
        <v>34</v>
      </c>
      <c r="D2721" s="5" t="s">
        <v>12978</v>
      </c>
      <c r="E2721" s="5" t="s">
        <v>19257</v>
      </c>
      <c r="F2721" s="5" t="s">
        <v>524</v>
      </c>
      <c r="G2721" s="5" t="s">
        <v>19258</v>
      </c>
      <c r="H2721" s="6" t="s">
        <v>19259</v>
      </c>
      <c r="K2721" s="5" t="s">
        <v>19207</v>
      </c>
      <c r="M2721" s="5" t="s">
        <v>19260</v>
      </c>
      <c r="N2721" s="7" t="s">
        <v>19261</v>
      </c>
      <c r="O2721" s="8" t="str">
        <f>HYPERLINK("https://drive.google.com/file/d/1TL-5cjYWhVud1-eza5Jv79LhRL5GK1es/view?usp=drivesdk","2720_RENI PURNAMA SARI, AMKEP _ SERTIFIKAT BerAKHLAK")</f>
        <v>2720_RENI PURNAMA SARI, AMKEP _ SERTIFIKAT BerAKHLAK</v>
      </c>
      <c r="P2721" s="5" t="s">
        <v>19262</v>
      </c>
      <c r="Q2721" s="5"/>
      <c r="R2721" s="5"/>
      <c r="S2721" s="5"/>
      <c r="T2721" s="5"/>
    </row>
    <row r="2722" hidden="1">
      <c r="A2722" s="4">
        <v>45534.34122466436</v>
      </c>
      <c r="B2722" s="5" t="s">
        <v>19</v>
      </c>
      <c r="C2722" s="5" t="s">
        <v>14000</v>
      </c>
      <c r="E2722" s="5" t="s">
        <v>19263</v>
      </c>
      <c r="F2722" s="5" t="s">
        <v>72</v>
      </c>
      <c r="G2722" s="5" t="s">
        <v>19264</v>
      </c>
      <c r="H2722" s="6" t="s">
        <v>19265</v>
      </c>
      <c r="K2722" s="5" t="s">
        <v>19207</v>
      </c>
      <c r="M2722" s="5" t="s">
        <v>19266</v>
      </c>
      <c r="N2722" s="7" t="s">
        <v>19267</v>
      </c>
      <c r="O2722" s="8" t="str">
        <f>HYPERLINK("https://drive.google.com/file/d/1ar1m0ejhYGou3C8Zc_3Aq5cjGmkQyGiN/view?usp=drivesdk","2721_HERNALIA MULYANIASIH, S.E. _ SERTIFIKAT BerAKHLAK")</f>
        <v>2721_HERNALIA MULYANIASIH, S.E. _ SERTIFIKAT BerAKHLAK</v>
      </c>
      <c r="P2722" s="5" t="s">
        <v>19268</v>
      </c>
      <c r="Q2722" s="5"/>
      <c r="R2722" s="5"/>
      <c r="S2722" s="5"/>
      <c r="T2722" s="5"/>
    </row>
    <row r="2723" hidden="1">
      <c r="A2723" s="4">
        <v>45534.34123391204</v>
      </c>
      <c r="B2723" s="5" t="s">
        <v>19</v>
      </c>
      <c r="C2723" s="5" t="s">
        <v>11593</v>
      </c>
      <c r="E2723" s="5" t="s">
        <v>19269</v>
      </c>
      <c r="F2723" s="5" t="s">
        <v>212</v>
      </c>
      <c r="G2723" s="5" t="s">
        <v>19270</v>
      </c>
      <c r="H2723" s="6" t="s">
        <v>19271</v>
      </c>
      <c r="K2723" s="5" t="s">
        <v>19207</v>
      </c>
      <c r="M2723" s="5" t="s">
        <v>19272</v>
      </c>
      <c r="N2723" s="7" t="s">
        <v>19273</v>
      </c>
      <c r="O2723" s="8" t="str">
        <f>HYPERLINK("https://drive.google.com/file/d/1OpJgE3gJJTWZqjV2w-e6CsHjp_bNk9Oh/view?usp=drivesdk","2722_FATONI, S.H. _ SERTIFIKAT BerAKHLAK")</f>
        <v>2722_FATONI, S.H. _ SERTIFIKAT BerAKHLAK</v>
      </c>
      <c r="P2723" s="5" t="s">
        <v>19274</v>
      </c>
      <c r="Q2723" s="5"/>
      <c r="R2723" s="5"/>
      <c r="S2723" s="5"/>
      <c r="T2723" s="5"/>
    </row>
    <row r="2724">
      <c r="A2724" s="4">
        <v>45534.34123385417</v>
      </c>
      <c r="B2724" s="5" t="s">
        <v>34</v>
      </c>
      <c r="D2724" s="5" t="s">
        <v>7858</v>
      </c>
      <c r="E2724" s="5" t="s">
        <v>19275</v>
      </c>
      <c r="F2724" s="5" t="s">
        <v>120</v>
      </c>
      <c r="G2724" s="5" t="s">
        <v>19276</v>
      </c>
      <c r="H2724" s="6" t="s">
        <v>19277</v>
      </c>
      <c r="K2724" s="5" t="s">
        <v>19207</v>
      </c>
      <c r="M2724" s="5" t="s">
        <v>19278</v>
      </c>
      <c r="N2724" s="7" t="s">
        <v>19279</v>
      </c>
      <c r="O2724" s="8" t="str">
        <f>HYPERLINK("https://drive.google.com/file/d/1GGRnprRoEvy9l5EnODeJVw4TDNBPiucG/view?usp=drivesdk","2723_BASUNJAYA DIPUTRA  _ SERTIFIKAT BerAKHLAK")</f>
        <v>2723_BASUNJAYA DIPUTRA  _ SERTIFIKAT BerAKHLAK</v>
      </c>
      <c r="P2724" s="5" t="s">
        <v>19280</v>
      </c>
      <c r="Q2724" s="5"/>
      <c r="R2724" s="5"/>
      <c r="S2724" s="5"/>
      <c r="T2724" s="5"/>
    </row>
    <row r="2725">
      <c r="A2725" s="4">
        <v>45534.34123438658</v>
      </c>
      <c r="B2725" s="5" t="s">
        <v>34</v>
      </c>
      <c r="D2725" s="5" t="s">
        <v>580</v>
      </c>
      <c r="E2725" s="5" t="s">
        <v>19281</v>
      </c>
      <c r="F2725" s="5" t="s">
        <v>524</v>
      </c>
      <c r="G2725" s="5" t="s">
        <v>19282</v>
      </c>
      <c r="H2725" s="6" t="s">
        <v>19283</v>
      </c>
      <c r="K2725" s="5" t="s">
        <v>19207</v>
      </c>
      <c r="M2725" s="5" t="s">
        <v>19284</v>
      </c>
      <c r="N2725" s="7" t="s">
        <v>19285</v>
      </c>
      <c r="O2725" s="8" t="str">
        <f>HYPERLINK("https://drive.google.com/file/d/1auAfVgH5IEbgmXr36zWdYkbwY_-Pxf4D/view?usp=drivesdk","2724_I NENGAH WIDYARINI _ SERTIFIKAT BerAKHLAK")</f>
        <v>2724_I NENGAH WIDYARINI _ SERTIFIKAT BerAKHLAK</v>
      </c>
      <c r="P2725" s="5" t="s">
        <v>19286</v>
      </c>
      <c r="Q2725" s="5"/>
      <c r="R2725" s="5"/>
      <c r="S2725" s="5"/>
      <c r="T2725" s="5"/>
    </row>
    <row r="2726">
      <c r="A2726" s="4">
        <v>45534.34124146991</v>
      </c>
      <c r="B2726" s="5" t="s">
        <v>34</v>
      </c>
      <c r="D2726" s="5" t="s">
        <v>4775</v>
      </c>
      <c r="E2726" s="5" t="s">
        <v>19287</v>
      </c>
      <c r="F2726" s="5" t="s">
        <v>524</v>
      </c>
      <c r="G2726" s="5" t="s">
        <v>19288</v>
      </c>
      <c r="H2726" s="6" t="s">
        <v>19289</v>
      </c>
      <c r="K2726" s="5" t="s">
        <v>19207</v>
      </c>
      <c r="M2726" s="5" t="s">
        <v>19290</v>
      </c>
      <c r="N2726" s="7" t="s">
        <v>19291</v>
      </c>
      <c r="O2726" s="8" t="str">
        <f>HYPERLINK("https://drive.google.com/file/d/1SjZ2KHnQIqrzNXTCxH8K2Uho05WK1v__/view?usp=drivesdk","2725_DJUMAIN, S.M. _ SERTIFIKAT BerAKHLAK")</f>
        <v>2725_DJUMAIN, S.M. _ SERTIFIKAT BerAKHLAK</v>
      </c>
      <c r="P2726" s="5" t="s">
        <v>19292</v>
      </c>
      <c r="Q2726" s="5"/>
      <c r="R2726" s="5"/>
      <c r="S2726" s="5"/>
      <c r="T2726" s="5"/>
    </row>
    <row r="2727" hidden="1">
      <c r="A2727" s="4">
        <v>45534.34124142361</v>
      </c>
      <c r="B2727" s="5" t="s">
        <v>19</v>
      </c>
      <c r="C2727" s="5" t="s">
        <v>292</v>
      </c>
      <c r="E2727" s="5" t="s">
        <v>19293</v>
      </c>
      <c r="F2727" s="5" t="s">
        <v>108</v>
      </c>
      <c r="G2727" s="5" t="s">
        <v>19294</v>
      </c>
      <c r="H2727" s="6" t="s">
        <v>19295</v>
      </c>
      <c r="K2727" s="5" t="s">
        <v>19207</v>
      </c>
      <c r="M2727" s="5" t="s">
        <v>19296</v>
      </c>
      <c r="N2727" s="7" t="s">
        <v>19297</v>
      </c>
      <c r="O2727" s="8" t="str">
        <f>HYPERLINK("https://drive.google.com/file/d/1kG_tpG2KYwUwKW0iQP4x599o7D438fV-/view?usp=drivesdk","2726_dr. WIDYA FEBRIANI _ SERTIFIKAT BerAKHLAK")</f>
        <v>2726_dr. WIDYA FEBRIANI _ SERTIFIKAT BerAKHLAK</v>
      </c>
      <c r="P2727" s="5" t="s">
        <v>19298</v>
      </c>
      <c r="Q2727" s="5"/>
      <c r="R2727" s="5"/>
      <c r="S2727" s="5"/>
      <c r="T2727" s="5"/>
    </row>
    <row r="2728">
      <c r="A2728" s="4">
        <v>45534.341244131945</v>
      </c>
      <c r="B2728" s="5" t="s">
        <v>34</v>
      </c>
      <c r="D2728" s="5" t="s">
        <v>1206</v>
      </c>
      <c r="E2728" s="5" t="s">
        <v>19299</v>
      </c>
      <c r="F2728" s="5" t="s">
        <v>212</v>
      </c>
      <c r="G2728" s="5" t="s">
        <v>19300</v>
      </c>
      <c r="H2728" s="6" t="s">
        <v>19301</v>
      </c>
      <c r="K2728" s="5" t="s">
        <v>19207</v>
      </c>
      <c r="M2728" s="5" t="s">
        <v>19302</v>
      </c>
      <c r="N2728" s="7" t="s">
        <v>19303</v>
      </c>
      <c r="O2728" s="8" t="str">
        <f>HYPERLINK("https://drive.google.com/file/d/1n_-5YBOCtlU-iqaruWnZdDxaJyCG7FJm/view?usp=drivesdk","2727_ERFAN SETIANTORO _ SERTIFIKAT BIMTEK IPASN BerAKHLASK")</f>
        <v>2727_ERFAN SETIANTORO _ SERTIFIKAT BIMTEK IPASN BerAKHLASK</v>
      </c>
      <c r="P2728" s="5" t="s">
        <v>19304</v>
      </c>
    </row>
    <row r="2729">
      <c r="A2729" s="4">
        <v>45534.34124886574</v>
      </c>
      <c r="B2729" s="5" t="s">
        <v>34</v>
      </c>
      <c r="D2729" s="5" t="s">
        <v>1206</v>
      </c>
      <c r="E2729" s="5" t="s">
        <v>19305</v>
      </c>
      <c r="F2729" s="5" t="s">
        <v>37</v>
      </c>
      <c r="G2729" s="5" t="s">
        <v>19306</v>
      </c>
      <c r="H2729" s="6" t="s">
        <v>19307</v>
      </c>
      <c r="K2729" s="5" t="s">
        <v>19207</v>
      </c>
      <c r="M2729" s="5" t="s">
        <v>19308</v>
      </c>
      <c r="N2729" s="7" t="s">
        <v>19309</v>
      </c>
      <c r="O2729" s="8" t="str">
        <f>HYPERLINK("https://drive.google.com/file/d/1dvbT12epOiPVAhXHu3u28Bxjq93ECFfr/view?usp=drivesdk","2728_AGUS KAMAL _ SERTIFIKAT BIMTEK IPASN BerAKHLASK")</f>
        <v>2728_AGUS KAMAL _ SERTIFIKAT BIMTEK IPASN BerAKHLASK</v>
      </c>
      <c r="P2729" s="5" t="s">
        <v>19304</v>
      </c>
    </row>
    <row r="2730">
      <c r="A2730" s="4">
        <v>45534.3412487037</v>
      </c>
      <c r="B2730" s="5" t="s">
        <v>34</v>
      </c>
      <c r="D2730" s="5" t="s">
        <v>580</v>
      </c>
      <c r="E2730" s="5" t="s">
        <v>19310</v>
      </c>
      <c r="F2730" s="5" t="s">
        <v>37</v>
      </c>
      <c r="G2730" s="5" t="s">
        <v>19311</v>
      </c>
      <c r="H2730" s="6" t="s">
        <v>19312</v>
      </c>
      <c r="K2730" s="5" t="s">
        <v>19207</v>
      </c>
      <c r="M2730" s="5" t="s">
        <v>19313</v>
      </c>
      <c r="N2730" s="7" t="s">
        <v>19314</v>
      </c>
      <c r="O2730" s="8" t="str">
        <f>HYPERLINK("https://drive.google.com/file/d/1r7GU80O-UoGfHQq9FWp7Q7PYB1kQxcQ5/view?usp=drivesdk","2729_NI MADE DEWI ANGGERENI,A.MD.KEB _ SERTIFIKAT BIMTEK IPASN BerAKHLASK")</f>
        <v>2729_NI MADE DEWI ANGGERENI,A.MD.KEB _ SERTIFIKAT BIMTEK IPASN BerAKHLASK</v>
      </c>
      <c r="P2730" s="5" t="s">
        <v>19315</v>
      </c>
    </row>
    <row r="2731">
      <c r="A2731" s="4">
        <v>45534.341249537036</v>
      </c>
      <c r="B2731" s="5" t="s">
        <v>34</v>
      </c>
      <c r="D2731" s="5" t="s">
        <v>14424</v>
      </c>
      <c r="E2731" s="5" t="s">
        <v>19316</v>
      </c>
      <c r="F2731" s="5" t="s">
        <v>120</v>
      </c>
      <c r="G2731" s="5" t="s">
        <v>19317</v>
      </c>
      <c r="H2731" s="6" t="s">
        <v>19318</v>
      </c>
      <c r="K2731" s="5" t="s">
        <v>19207</v>
      </c>
      <c r="M2731" s="5" t="s">
        <v>19319</v>
      </c>
      <c r="N2731" s="7" t="s">
        <v>19320</v>
      </c>
      <c r="O2731" s="8" t="str">
        <f>HYPERLINK("https://drive.google.com/file/d/1w1VGj85mwxuGP7iRwGdoinBqcYph9C_H/view?usp=drivesdk","2730_drh ANDHIKO BHARA MAHMUDANUR  _ SERTIFIKAT BIMTEK IPASN BerAKHLASK")</f>
        <v>2730_drh ANDHIKO BHARA MAHMUDANUR  _ SERTIFIKAT BIMTEK IPASN BerAKHLASK</v>
      </c>
      <c r="P2731" s="5" t="s">
        <v>19315</v>
      </c>
    </row>
    <row r="2732">
      <c r="A2732" s="4">
        <v>45534.341252303246</v>
      </c>
      <c r="B2732" s="5" t="s">
        <v>34</v>
      </c>
      <c r="D2732" s="5" t="s">
        <v>1206</v>
      </c>
      <c r="E2732" s="5" t="s">
        <v>19321</v>
      </c>
      <c r="F2732" s="5" t="s">
        <v>212</v>
      </c>
      <c r="G2732" s="5" t="s">
        <v>19322</v>
      </c>
      <c r="H2732" s="6" t="s">
        <v>19323</v>
      </c>
      <c r="K2732" s="5" t="s">
        <v>19207</v>
      </c>
      <c r="M2732" s="5" t="s">
        <v>19324</v>
      </c>
      <c r="N2732" s="7" t="s">
        <v>19325</v>
      </c>
      <c r="O2732" s="8" t="str">
        <f>HYPERLINK("https://drive.google.com/file/d/1xQOsL3bFvsaK2Ya6dYNcH0WZ25rVqhcI/view?usp=drivesdk","2731_SUPIK BIN SUPIK _ SERTIFIKAT BIMTEK IPASN BerAKHLASK")</f>
        <v>2731_SUPIK BIN SUPIK _ SERTIFIKAT BIMTEK IPASN BerAKHLASK</v>
      </c>
      <c r="P2732" s="5" t="s">
        <v>19315</v>
      </c>
    </row>
    <row r="2733">
      <c r="A2733" s="4">
        <v>45534.34125935185</v>
      </c>
      <c r="B2733" s="5" t="s">
        <v>34</v>
      </c>
      <c r="D2733" s="5" t="s">
        <v>4775</v>
      </c>
      <c r="E2733" s="5" t="s">
        <v>19326</v>
      </c>
      <c r="F2733" s="5" t="s">
        <v>524</v>
      </c>
      <c r="G2733" s="5" t="s">
        <v>19327</v>
      </c>
      <c r="H2733" s="6" t="s">
        <v>19328</v>
      </c>
      <c r="K2733" s="5" t="s">
        <v>19207</v>
      </c>
      <c r="M2733" s="5" t="s">
        <v>19329</v>
      </c>
      <c r="N2733" s="7" t="s">
        <v>19330</v>
      </c>
      <c r="O2733" s="8" t="str">
        <f>HYPERLINK("https://drive.google.com/file/d/1d7iCHAglg-2BCms4cXiT7cP2l3EoKJQy/view?usp=drivesdk","2732_KRISTINA HARDINI  _ SERTIFIKAT BIMTEK IPASN BerAKHLASK")</f>
        <v>2732_KRISTINA HARDINI  _ SERTIFIKAT BIMTEK IPASN BerAKHLASK</v>
      </c>
      <c r="P2733" s="5" t="s">
        <v>19315</v>
      </c>
    </row>
    <row r="2734">
      <c r="A2734" s="4">
        <v>45534.341262754635</v>
      </c>
      <c r="B2734" s="5" t="s">
        <v>34</v>
      </c>
      <c r="D2734" s="5" t="s">
        <v>580</v>
      </c>
      <c r="E2734" s="5" t="s">
        <v>19331</v>
      </c>
      <c r="F2734" s="5" t="s">
        <v>715</v>
      </c>
      <c r="G2734" s="5" t="s">
        <v>19332</v>
      </c>
      <c r="H2734" s="6" t="s">
        <v>19333</v>
      </c>
      <c r="K2734" s="5" t="s">
        <v>19207</v>
      </c>
      <c r="M2734" s="5" t="s">
        <v>19334</v>
      </c>
      <c r="N2734" s="7" t="s">
        <v>19335</v>
      </c>
      <c r="O2734" s="8" t="str">
        <f>HYPERLINK("https://drive.google.com/file/d/1KicLuh57ZZBTJDGm4e7-2DQ5AIOsDDrZ/view?usp=drivesdk","2733_Ni Nyoman Suhartini  _ SERTIFIKAT BIMTEK IPASN BerAKHLASK")</f>
        <v>2733_Ni Nyoman Suhartini  _ SERTIFIKAT BIMTEK IPASN BerAKHLASK</v>
      </c>
      <c r="P2734" s="5" t="s">
        <v>19315</v>
      </c>
    </row>
    <row r="2735">
      <c r="A2735" s="4">
        <v>45534.34126408565</v>
      </c>
      <c r="B2735" s="5" t="s">
        <v>34</v>
      </c>
      <c r="D2735" s="5" t="s">
        <v>12978</v>
      </c>
      <c r="E2735" s="5" t="s">
        <v>19336</v>
      </c>
      <c r="F2735" s="5" t="s">
        <v>375</v>
      </c>
      <c r="G2735" s="5" t="s">
        <v>19337</v>
      </c>
      <c r="H2735" s="6" t="s">
        <v>19338</v>
      </c>
      <c r="I2735" s="7" t="s">
        <v>19339</v>
      </c>
      <c r="J2735" s="8" t="str">
        <f>HYPERLINK("https://drive.google.com/file/d/1KnTBvQbfdIxIEmonAkcBOXFSV7PSlfi1/view?usp=drivesdk","ITA IZZAKAH, S.H., M.H. SERTIFIKAT BerAKHLAK")</f>
        <v>ITA IZZAKAH, S.H., M.H. SERTIFIKAT BerAKHLAK</v>
      </c>
      <c r="K2735" s="5" t="s">
        <v>14929</v>
      </c>
      <c r="L2735" s="5" t="s">
        <v>19340</v>
      </c>
      <c r="M2735" s="5" t="s">
        <v>19341</v>
      </c>
      <c r="N2735" s="7" t="s">
        <v>19342</v>
      </c>
      <c r="O2735" s="8" t="str">
        <f>HYPERLINK("https://drive.google.com/file/d/16tayA54f8F4fWqTn1XsX9lZhR8n39i3o/view?usp=drivesdk","2734_ITA IZZAKAH, S.H., M.H. _ SERTIFIKAT BIMTEK IPASN BerAKHLASK")</f>
        <v>2734_ITA IZZAKAH, S.H., M.H. _ SERTIFIKAT BIMTEK IPASN BerAKHLASK</v>
      </c>
      <c r="P2735" s="5" t="s">
        <v>19343</v>
      </c>
    </row>
    <row r="2736">
      <c r="A2736" s="4">
        <v>45534.34126594907</v>
      </c>
      <c r="B2736" s="5" t="s">
        <v>34</v>
      </c>
      <c r="D2736" s="5" t="s">
        <v>1206</v>
      </c>
      <c r="E2736" s="5" t="s">
        <v>19344</v>
      </c>
      <c r="F2736" s="5" t="s">
        <v>199</v>
      </c>
      <c r="G2736" s="5" t="s">
        <v>19345</v>
      </c>
      <c r="H2736" s="6" t="s">
        <v>19346</v>
      </c>
      <c r="K2736" s="5" t="s">
        <v>19347</v>
      </c>
      <c r="M2736" s="5" t="s">
        <v>19348</v>
      </c>
      <c r="N2736" s="7" t="s">
        <v>19349</v>
      </c>
      <c r="O2736" s="8" t="str">
        <f>HYPERLINK("https://drive.google.com/file/d/1trgxVZD-UY3YOGiMU3aFMbWZvQKhzRFl/view?usp=drivesdk","2735_HADI SUTRISNO _ SERTIFIKAT BIMTEK IPASN BerAKHLASK")</f>
        <v>2735_HADI SUTRISNO _ SERTIFIKAT BIMTEK IPASN BerAKHLASK</v>
      </c>
      <c r="P2736" s="5" t="s">
        <v>19343</v>
      </c>
    </row>
    <row r="2737">
      <c r="A2737" s="4">
        <v>45534.34126962963</v>
      </c>
      <c r="B2737" s="5" t="s">
        <v>34</v>
      </c>
      <c r="D2737" s="5" t="s">
        <v>2903</v>
      </c>
      <c r="E2737" s="5" t="s">
        <v>19350</v>
      </c>
      <c r="F2737" s="5" t="s">
        <v>212</v>
      </c>
      <c r="G2737" s="5" t="s">
        <v>19351</v>
      </c>
      <c r="H2737" s="6" t="s">
        <v>19352</v>
      </c>
      <c r="K2737" s="5" t="s">
        <v>19347</v>
      </c>
      <c r="M2737" s="5" t="s">
        <v>19353</v>
      </c>
      <c r="N2737" s="7" t="s">
        <v>19354</v>
      </c>
      <c r="O2737" s="8" t="str">
        <f>HYPERLINK("https://drive.google.com/file/d/12lZhb-cITDKbQuaA1JVBwf_N7OpS1sfN/view?usp=drivesdk","2736_NURLELASARI _ SERTIFIKAT BIMTEK IPASN BerAKHLASK")</f>
        <v>2736_NURLELASARI _ SERTIFIKAT BIMTEK IPASN BerAKHLASK</v>
      </c>
      <c r="P2737" s="5" t="s">
        <v>19343</v>
      </c>
    </row>
    <row r="2738">
      <c r="A2738" s="4">
        <v>45534.34126959491</v>
      </c>
      <c r="B2738" s="5" t="s">
        <v>34</v>
      </c>
      <c r="D2738" s="5" t="s">
        <v>35</v>
      </c>
      <c r="E2738" s="5" t="s">
        <v>19355</v>
      </c>
      <c r="F2738" s="5" t="s">
        <v>108</v>
      </c>
      <c r="G2738" s="5" t="s">
        <v>19356</v>
      </c>
      <c r="H2738" s="6" t="s">
        <v>19357</v>
      </c>
      <c r="K2738" s="5" t="s">
        <v>19347</v>
      </c>
      <c r="M2738" s="5" t="s">
        <v>19358</v>
      </c>
      <c r="N2738" s="7" t="s">
        <v>19359</v>
      </c>
      <c r="O2738" s="8" t="str">
        <f>HYPERLINK("https://drive.google.com/file/d/17ARrQmH7IKUW2AZAP25l0QO3Bro9UMzm/view?usp=drivesdk","2737_BUDIMAN AMD _ SERTIFIKAT BIMTEK IPASN BerAKHLASK")</f>
        <v>2737_BUDIMAN AMD _ SERTIFIKAT BIMTEK IPASN BerAKHLASK</v>
      </c>
      <c r="P2738" s="5" t="s">
        <v>19343</v>
      </c>
    </row>
    <row r="2739">
      <c r="A2739" s="4">
        <v>45534.34127268518</v>
      </c>
      <c r="B2739" s="5" t="s">
        <v>34</v>
      </c>
      <c r="D2739" s="5" t="s">
        <v>7858</v>
      </c>
      <c r="E2739" s="5" t="s">
        <v>19360</v>
      </c>
      <c r="F2739" s="5" t="s">
        <v>120</v>
      </c>
      <c r="G2739" s="5" t="s">
        <v>19361</v>
      </c>
      <c r="H2739" s="6" t="s">
        <v>19362</v>
      </c>
      <c r="K2739" s="5" t="s">
        <v>19347</v>
      </c>
      <c r="M2739" s="5" t="s">
        <v>19363</v>
      </c>
      <c r="N2739" s="7" t="s">
        <v>19364</v>
      </c>
      <c r="O2739" s="8" t="str">
        <f>HYPERLINK("https://drive.google.com/file/d/1ULCqvHn1sqHNYoUtDtMx4Ql7e5zFhMfi/view?usp=drivesdk","2738_Eka Iyus Suptandar, S.H. _ SERTIFIKAT BIMTEK IPASN BerAKHLASK")</f>
        <v>2738_Eka Iyus Suptandar, S.H. _ SERTIFIKAT BIMTEK IPASN BerAKHLASK</v>
      </c>
      <c r="P2739" s="5" t="s">
        <v>19365</v>
      </c>
    </row>
    <row r="2740">
      <c r="A2740" s="4">
        <v>45534.341275810184</v>
      </c>
      <c r="B2740" s="5" t="s">
        <v>34</v>
      </c>
      <c r="D2740" s="5" t="s">
        <v>2903</v>
      </c>
      <c r="E2740" s="5" t="s">
        <v>19366</v>
      </c>
      <c r="F2740" s="5" t="s">
        <v>37</v>
      </c>
      <c r="G2740" s="5" t="s">
        <v>19367</v>
      </c>
      <c r="H2740" s="6" t="s">
        <v>19368</v>
      </c>
      <c r="K2740" s="5" t="s">
        <v>19347</v>
      </c>
      <c r="M2740" s="5" t="s">
        <v>19369</v>
      </c>
      <c r="N2740" s="7" t="s">
        <v>19370</v>
      </c>
      <c r="O2740" s="8" t="str">
        <f>HYPERLINK("https://drive.google.com/file/d/1I1zuebI5DlVtZytFZPzv0pTge2oAihRY/view?usp=drivesdk","2739_RATNA JUWITA _ SERTIFIKAT BIMTEK IPASN BerAKHLASK")</f>
        <v>2739_RATNA JUWITA _ SERTIFIKAT BIMTEK IPASN BerAKHLASK</v>
      </c>
      <c r="P2740" s="5" t="s">
        <v>19365</v>
      </c>
    </row>
    <row r="2741">
      <c r="A2741" s="4">
        <v>45534.341276377316</v>
      </c>
      <c r="B2741" s="5" t="s">
        <v>34</v>
      </c>
      <c r="D2741" s="5" t="s">
        <v>4775</v>
      </c>
      <c r="E2741" s="5" t="s">
        <v>19371</v>
      </c>
      <c r="F2741" s="5" t="s">
        <v>212</v>
      </c>
      <c r="G2741" s="5" t="s">
        <v>19372</v>
      </c>
      <c r="H2741" s="6" t="s">
        <v>19373</v>
      </c>
      <c r="K2741" s="5" t="s">
        <v>19347</v>
      </c>
      <c r="M2741" s="5" t="s">
        <v>19374</v>
      </c>
      <c r="N2741" s="7" t="s">
        <v>19375</v>
      </c>
      <c r="O2741" s="8" t="str">
        <f>HYPERLINK("https://drive.google.com/file/d/1hPw29SXQAhrFQs5vd1_lTpid_1qkvNuk/view?usp=drivesdk","2740_FAIRY PURWANDARI _ SERTIFIKAT BIMTEK IPASN BerAKHLASK")</f>
        <v>2740_FAIRY PURWANDARI _ SERTIFIKAT BIMTEK IPASN BerAKHLASK</v>
      </c>
      <c r="P2741" s="5" t="s">
        <v>19365</v>
      </c>
    </row>
    <row r="2742">
      <c r="A2742" s="4">
        <v>45534.3412878588</v>
      </c>
      <c r="B2742" s="5" t="s">
        <v>34</v>
      </c>
      <c r="D2742" s="5" t="s">
        <v>14313</v>
      </c>
      <c r="E2742" s="5" t="s">
        <v>19376</v>
      </c>
      <c r="F2742" s="5" t="s">
        <v>715</v>
      </c>
      <c r="G2742" s="5" t="s">
        <v>19377</v>
      </c>
      <c r="H2742" s="6" t="s">
        <v>19378</v>
      </c>
      <c r="K2742" s="5" t="s">
        <v>19347</v>
      </c>
      <c r="M2742" s="5" t="s">
        <v>19379</v>
      </c>
      <c r="N2742" s="7" t="s">
        <v>19380</v>
      </c>
      <c r="O2742" s="8" t="str">
        <f>HYPERLINK("https://drive.google.com/file/d/1wbL-1NHzBFpfWmjZY8jCzFD1oAWklGHv/view?usp=drivesdk","2741_SANIASA, S.E _ SERTIFIKAT BIMTEK IPASN BerAKHLASK")</f>
        <v>2741_SANIASA, S.E _ SERTIFIKAT BIMTEK IPASN BerAKHLASK</v>
      </c>
      <c r="P2742" s="5" t="s">
        <v>19365</v>
      </c>
    </row>
    <row r="2743">
      <c r="A2743" s="4">
        <v>45534.34129020834</v>
      </c>
      <c r="B2743" s="5" t="s">
        <v>34</v>
      </c>
      <c r="D2743" s="5" t="s">
        <v>1206</v>
      </c>
      <c r="E2743" s="5" t="s">
        <v>19381</v>
      </c>
      <c r="F2743" s="5" t="s">
        <v>212</v>
      </c>
      <c r="G2743" s="5" t="s">
        <v>19382</v>
      </c>
      <c r="H2743" s="6" t="s">
        <v>19383</v>
      </c>
      <c r="K2743" s="5" t="s">
        <v>19347</v>
      </c>
      <c r="M2743" s="5" t="s">
        <v>19384</v>
      </c>
      <c r="N2743" s="7" t="s">
        <v>19385</v>
      </c>
      <c r="O2743" s="8" t="str">
        <f>HYPERLINK("https://drive.google.com/file/d/14c80lc0Y09MohP7s9jVEU1RymInHofkp/view?usp=drivesdk","2742_SAWIYANTO _ SERTIFIKAT BIMTEK IPASN BerAKHLASK")</f>
        <v>2742_SAWIYANTO _ SERTIFIKAT BIMTEK IPASN BerAKHLASK</v>
      </c>
      <c r="P2743" s="5" t="s">
        <v>19386</v>
      </c>
    </row>
    <row r="2744">
      <c r="A2744" s="4">
        <v>45534.34128980324</v>
      </c>
      <c r="B2744" s="5" t="s">
        <v>34</v>
      </c>
      <c r="D2744" s="5" t="s">
        <v>3849</v>
      </c>
      <c r="E2744" s="5" t="s">
        <v>19387</v>
      </c>
      <c r="F2744" s="5" t="s">
        <v>37</v>
      </c>
      <c r="G2744" s="5" t="s">
        <v>19388</v>
      </c>
      <c r="H2744" s="6" t="s">
        <v>19389</v>
      </c>
      <c r="K2744" s="5" t="s">
        <v>19347</v>
      </c>
      <c r="M2744" s="5" t="s">
        <v>19390</v>
      </c>
      <c r="N2744" s="7" t="s">
        <v>19391</v>
      </c>
      <c r="O2744" s="8" t="str">
        <f>HYPERLINK("https://drive.google.com/file/d/1IKBzfPJMt15_UCISsM-0YUPB_0IDikpa/view?usp=drivesdk","2743_LENDREA AMD.KEP _ SERTIFIKAT BIMTEK IPASN BerAKHLASK")</f>
        <v>2743_LENDREA AMD.KEP _ SERTIFIKAT BIMTEK IPASN BerAKHLASK</v>
      </c>
      <c r="P2744" s="5" t="s">
        <v>19386</v>
      </c>
    </row>
    <row r="2745">
      <c r="A2745" s="4">
        <v>45534.341297430554</v>
      </c>
      <c r="B2745" s="5" t="s">
        <v>34</v>
      </c>
      <c r="D2745" s="5" t="s">
        <v>1768</v>
      </c>
      <c r="E2745" s="5" t="s">
        <v>19392</v>
      </c>
      <c r="F2745" s="5" t="s">
        <v>108</v>
      </c>
      <c r="G2745" s="5" t="s">
        <v>19393</v>
      </c>
      <c r="H2745" s="6" t="s">
        <v>19394</v>
      </c>
      <c r="K2745" s="5" t="s">
        <v>19347</v>
      </c>
      <c r="M2745" s="5" t="s">
        <v>19395</v>
      </c>
      <c r="N2745" s="7" t="s">
        <v>19396</v>
      </c>
      <c r="O2745" s="8" t="str">
        <f>HYPERLINK("https://drive.google.com/file/d/1lgkZvew9omUF1ObmviX3jEDhQHNzsIC-/view?usp=drivesdk","2744_RUBIYAH  _ SERTIFIKAT BIMTEK IPASN BerAKHLASK")</f>
        <v>2744_RUBIYAH  _ SERTIFIKAT BIMTEK IPASN BerAKHLASK</v>
      </c>
      <c r="P2745" s="5" t="s">
        <v>19386</v>
      </c>
    </row>
    <row r="2746">
      <c r="A2746" s="4">
        <v>45534.341306030095</v>
      </c>
      <c r="B2746" s="5" t="s">
        <v>34</v>
      </c>
      <c r="D2746" s="5" t="s">
        <v>362</v>
      </c>
      <c r="E2746" s="5" t="s">
        <v>19397</v>
      </c>
      <c r="F2746" s="5" t="s">
        <v>375</v>
      </c>
      <c r="G2746" s="5" t="s">
        <v>19398</v>
      </c>
      <c r="H2746" s="6" t="s">
        <v>19399</v>
      </c>
      <c r="K2746" s="5" t="s">
        <v>19347</v>
      </c>
      <c r="M2746" s="5" t="s">
        <v>19400</v>
      </c>
      <c r="N2746" s="7" t="s">
        <v>19401</v>
      </c>
      <c r="O2746" s="8" t="str">
        <f>HYPERLINK("https://drive.google.com/file/d/1KaYhqd5SXHXeFajriCjSeaRaBywvvKqW/view?usp=drivesdk","2745_dr. MULIA TAHIR _ SERTIFIKAT BIMTEK IPASN BerAKHLASK")</f>
        <v>2745_dr. MULIA TAHIR _ SERTIFIKAT BIMTEK IPASN BerAKHLASK</v>
      </c>
      <c r="P2746" s="5" t="s">
        <v>19386</v>
      </c>
    </row>
    <row r="2747">
      <c r="A2747" s="4">
        <v>45534.34131105324</v>
      </c>
      <c r="B2747" s="5" t="s">
        <v>34</v>
      </c>
      <c r="D2747" s="5" t="s">
        <v>12010</v>
      </c>
      <c r="E2747" s="5" t="s">
        <v>19402</v>
      </c>
      <c r="F2747" s="5" t="s">
        <v>37</v>
      </c>
      <c r="G2747" s="5" t="s">
        <v>19403</v>
      </c>
      <c r="H2747" s="6" t="s">
        <v>19404</v>
      </c>
      <c r="K2747" s="5" t="s">
        <v>19347</v>
      </c>
      <c r="M2747" s="5" t="s">
        <v>19405</v>
      </c>
      <c r="N2747" s="7" t="s">
        <v>19406</v>
      </c>
      <c r="O2747" s="8" t="str">
        <f>HYPERLINK("https://drive.google.com/file/d/1qsUhIra17UticZrqR0Ipnty5CzNXlDgS/view?usp=drivesdk","2746_IVON DJAFAR, A.MD _ SERTIFIKAT BIMTEK IPASN BerAKHLASK")</f>
        <v>2746_IVON DJAFAR, A.MD _ SERTIFIKAT BIMTEK IPASN BerAKHLASK</v>
      </c>
      <c r="P2747" s="5" t="s">
        <v>19407</v>
      </c>
    </row>
    <row r="2748">
      <c r="A2748" s="4">
        <v>45534.34131467593</v>
      </c>
      <c r="B2748" s="5" t="s">
        <v>34</v>
      </c>
      <c r="D2748" s="5" t="s">
        <v>9020</v>
      </c>
      <c r="E2748" s="5" t="s">
        <v>19408</v>
      </c>
      <c r="F2748" s="5" t="s">
        <v>72</v>
      </c>
      <c r="G2748" s="5" t="s">
        <v>19409</v>
      </c>
      <c r="H2748" s="6" t="s">
        <v>19410</v>
      </c>
      <c r="K2748" s="5" t="s">
        <v>19347</v>
      </c>
      <c r="M2748" s="5" t="s">
        <v>19411</v>
      </c>
      <c r="N2748" s="7" t="s">
        <v>19412</v>
      </c>
      <c r="O2748" s="8" t="str">
        <f>HYPERLINK("https://drive.google.com/file/d/1Wncy-dG2tGrPRXL4sorqPgtUff847TLU/view?usp=drivesdk","2747_MURNI BR SAING _ SERTIFIKAT BIMTEK IPASN BerAKHLASK")</f>
        <v>2747_MURNI BR SAING _ SERTIFIKAT BIMTEK IPASN BerAKHLASK</v>
      </c>
      <c r="P2748" s="5" t="s">
        <v>19413</v>
      </c>
    </row>
    <row r="2749">
      <c r="A2749" s="4">
        <v>45534.34131665509</v>
      </c>
      <c r="B2749" s="5" t="s">
        <v>34</v>
      </c>
      <c r="D2749" s="5" t="s">
        <v>1206</v>
      </c>
      <c r="E2749" s="5" t="s">
        <v>19414</v>
      </c>
      <c r="F2749" s="5" t="s">
        <v>37</v>
      </c>
      <c r="G2749" s="5" t="s">
        <v>19415</v>
      </c>
      <c r="H2749" s="6" t="s">
        <v>19416</v>
      </c>
      <c r="K2749" s="5" t="s">
        <v>19347</v>
      </c>
      <c r="M2749" s="5" t="s">
        <v>19417</v>
      </c>
      <c r="N2749" s="7" t="s">
        <v>19418</v>
      </c>
      <c r="O2749" s="8" t="str">
        <f>HYPERLINK("https://drive.google.com/file/d/1vk_9dwoxRTLetckGUVY7-4p8GlcckOUB/view?usp=drivesdk","2748_DARMADI _ SERTIFIKAT BIMTEK IPASN BerAKHLASK")</f>
        <v>2748_DARMADI _ SERTIFIKAT BIMTEK IPASN BerAKHLASK</v>
      </c>
      <c r="P2749" s="5" t="s">
        <v>19413</v>
      </c>
    </row>
    <row r="2750" hidden="1">
      <c r="A2750" s="4">
        <v>45534.34132070602</v>
      </c>
      <c r="B2750" s="5" t="s">
        <v>19</v>
      </c>
      <c r="C2750" s="5" t="s">
        <v>292</v>
      </c>
      <c r="E2750" s="5" t="s">
        <v>19419</v>
      </c>
      <c r="F2750" s="5" t="s">
        <v>212</v>
      </c>
      <c r="G2750" s="5" t="s">
        <v>19420</v>
      </c>
      <c r="H2750" s="6" t="s">
        <v>19421</v>
      </c>
      <c r="K2750" s="5" t="s">
        <v>19347</v>
      </c>
      <c r="M2750" s="5" t="s">
        <v>19422</v>
      </c>
      <c r="N2750" s="7" t="s">
        <v>19423</v>
      </c>
      <c r="O2750" s="8" t="str">
        <f>HYPERLINK("https://drive.google.com/file/d/1TZGyBGBIM6IiU1xPpAobETodyLkf-2uJ/view?usp=drivesdk","2749_M SURIKAN _ SERTIFIKAT BIMTEK IPASN BerAKHLASK")</f>
        <v>2749_M SURIKAN _ SERTIFIKAT BIMTEK IPASN BerAKHLASK</v>
      </c>
      <c r="P2750" s="5" t="s">
        <v>19413</v>
      </c>
    </row>
    <row r="2751">
      <c r="A2751" s="4">
        <v>45534.341321678236</v>
      </c>
      <c r="B2751" s="5" t="s">
        <v>34</v>
      </c>
      <c r="D2751" s="5" t="s">
        <v>35</v>
      </c>
      <c r="E2751" s="5" t="s">
        <v>19424</v>
      </c>
      <c r="F2751" s="5" t="s">
        <v>37</v>
      </c>
      <c r="G2751" s="5" t="s">
        <v>19425</v>
      </c>
      <c r="H2751" s="6" t="s">
        <v>19426</v>
      </c>
      <c r="K2751" s="5" t="s">
        <v>19347</v>
      </c>
      <c r="M2751" s="5" t="s">
        <v>19427</v>
      </c>
      <c r="N2751" s="7" t="s">
        <v>19428</v>
      </c>
      <c r="O2751" s="8" t="str">
        <f>HYPERLINK("https://drive.google.com/file/d/1R3sHoFMeKfw_krCaKYg4j8oZUYolh2Tr/view?usp=drivesdk","2750_EEN ROHYANI  _ SERTIFIKAT BIMTEK IPASN BerAKHLASK")</f>
        <v>2750_EEN ROHYANI  _ SERTIFIKAT BIMTEK IPASN BerAKHLASK</v>
      </c>
      <c r="P2751" s="5" t="s">
        <v>19413</v>
      </c>
    </row>
    <row r="2752">
      <c r="A2752" s="4">
        <v>45534.34132201389</v>
      </c>
      <c r="B2752" s="5" t="s">
        <v>34</v>
      </c>
      <c r="D2752" s="5" t="s">
        <v>996</v>
      </c>
      <c r="E2752" s="5" t="s">
        <v>19429</v>
      </c>
      <c r="F2752" s="5" t="s">
        <v>212</v>
      </c>
      <c r="G2752" s="5" t="s">
        <v>19430</v>
      </c>
      <c r="H2752" s="6" t="s">
        <v>19431</v>
      </c>
      <c r="K2752" s="5" t="s">
        <v>19347</v>
      </c>
      <c r="M2752" s="5" t="s">
        <v>19432</v>
      </c>
      <c r="N2752" s="7" t="s">
        <v>19433</v>
      </c>
      <c r="O2752" s="8" t="str">
        <f>HYPERLINK("https://drive.google.com/file/d/16f2xjMuAf6kImgRr31WM6u-b0OCgjFdX/view?usp=drivesdk","2751_RIELLA FARINA  _ SERTIFIKAT BIMTEK IPASN BerAKHLASK")</f>
        <v>2751_RIELLA FARINA  _ SERTIFIKAT BIMTEK IPASN BerAKHLASK</v>
      </c>
      <c r="P2752" s="5" t="s">
        <v>19413</v>
      </c>
    </row>
    <row r="2753">
      <c r="A2753" s="4">
        <v>45534.34133761574</v>
      </c>
      <c r="B2753" s="5" t="s">
        <v>34</v>
      </c>
      <c r="D2753" s="5" t="s">
        <v>522</v>
      </c>
      <c r="E2753" s="5" t="s">
        <v>19434</v>
      </c>
      <c r="F2753" s="5" t="s">
        <v>212</v>
      </c>
      <c r="G2753" s="5" t="s">
        <v>19435</v>
      </c>
      <c r="H2753" s="6" t="s">
        <v>19436</v>
      </c>
      <c r="K2753" s="5" t="s">
        <v>19347</v>
      </c>
      <c r="M2753" s="5" t="s">
        <v>19437</v>
      </c>
      <c r="N2753" s="7" t="s">
        <v>19438</v>
      </c>
      <c r="O2753" s="8" t="str">
        <f>HYPERLINK("https://drive.google.com/file/d/11ZCSAbhf3ZuTJBRHqTKc4rh_DBpYNRVk/view?usp=drivesdk","2752_SUMARLAH _ SERTIFIKAT BIMTEK IPASN BerAKHLASK")</f>
        <v>2752_SUMARLAH _ SERTIFIKAT BIMTEK IPASN BerAKHLASK</v>
      </c>
      <c r="P2753" s="5" t="s">
        <v>19439</v>
      </c>
    </row>
    <row r="2754">
      <c r="A2754" s="4">
        <v>45534.34134262732</v>
      </c>
      <c r="B2754" s="5" t="s">
        <v>34</v>
      </c>
      <c r="D2754" s="5" t="s">
        <v>1206</v>
      </c>
      <c r="E2754" s="5" t="s">
        <v>19440</v>
      </c>
      <c r="F2754" s="5" t="s">
        <v>37</v>
      </c>
      <c r="G2754" s="5" t="s">
        <v>19441</v>
      </c>
      <c r="H2754" s="6" t="s">
        <v>19442</v>
      </c>
      <c r="K2754" s="5" t="s">
        <v>19347</v>
      </c>
      <c r="M2754" s="5" t="s">
        <v>19443</v>
      </c>
      <c r="N2754" s="7" t="s">
        <v>19444</v>
      </c>
      <c r="O2754" s="8" t="str">
        <f>HYPERLINK("https://drive.google.com/file/d/1-6qOtj7xWzK6eOBycBascZK9MMYyK_XW/view?usp=drivesdk","2753_Danang Dwi Kurniawan, S.Pd _ SERTIFIKAT BIMTEK IPASN BerAKHLASK")</f>
        <v>2753_Danang Dwi Kurniawan, S.Pd _ SERTIFIKAT BIMTEK IPASN BerAKHLASK</v>
      </c>
      <c r="P2754" s="5" t="s">
        <v>19439</v>
      </c>
    </row>
    <row r="2755">
      <c r="A2755" s="4">
        <v>45534.34134368056</v>
      </c>
      <c r="B2755" s="5" t="s">
        <v>34</v>
      </c>
      <c r="D2755" s="5" t="s">
        <v>9020</v>
      </c>
      <c r="E2755" s="5" t="s">
        <v>19445</v>
      </c>
      <c r="F2755" s="5" t="s">
        <v>212</v>
      </c>
      <c r="G2755" s="5" t="s">
        <v>19446</v>
      </c>
      <c r="H2755" s="6" t="s">
        <v>19447</v>
      </c>
      <c r="K2755" s="5" t="s">
        <v>19347</v>
      </c>
      <c r="M2755" s="5" t="s">
        <v>19448</v>
      </c>
      <c r="N2755" s="7" t="s">
        <v>19449</v>
      </c>
      <c r="O2755" s="8" t="str">
        <f>HYPERLINK("https://drive.google.com/file/d/12BxuWjjp-WJDlgegUjQgAqKRCyULizlT/view?usp=drivesdk","2754_SALFITRI SIREGAR S.H. _ SERTIFIKAT BIMTEK IPASN BerAKHLASK")</f>
        <v>2754_SALFITRI SIREGAR S.H. _ SERTIFIKAT BIMTEK IPASN BerAKHLASK</v>
      </c>
      <c r="P2755" s="5" t="s">
        <v>19439</v>
      </c>
    </row>
    <row r="2756">
      <c r="A2756" s="4">
        <v>45534.3413506713</v>
      </c>
      <c r="B2756" s="5" t="s">
        <v>34</v>
      </c>
      <c r="D2756" s="5" t="s">
        <v>996</v>
      </c>
      <c r="E2756" s="5" t="s">
        <v>19450</v>
      </c>
      <c r="F2756" s="5" t="s">
        <v>212</v>
      </c>
      <c r="G2756" s="5" t="s">
        <v>19451</v>
      </c>
      <c r="H2756" s="6" t="s">
        <v>19452</v>
      </c>
      <c r="K2756" s="5" t="s">
        <v>19347</v>
      </c>
      <c r="M2756" s="5" t="s">
        <v>19453</v>
      </c>
      <c r="N2756" s="7" t="s">
        <v>19454</v>
      </c>
      <c r="O2756" s="8" t="str">
        <f>HYPERLINK("https://drive.google.com/file/d/1RLsOA0_x6hS7Di_PvUY3hrOd-1P6CPTp/view?usp=drivesdk","2755_ATNAWATY _ SERTIFIKAT BIMTEK IPASN BerAKHLASK")</f>
        <v>2755_ATNAWATY _ SERTIFIKAT BIMTEK IPASN BerAKHLASK</v>
      </c>
      <c r="P2756" s="5" t="s">
        <v>19439</v>
      </c>
    </row>
    <row r="2757">
      <c r="A2757" s="4">
        <v>45534.34137577546</v>
      </c>
      <c r="B2757" s="5" t="s">
        <v>34</v>
      </c>
      <c r="D2757" s="5" t="s">
        <v>4775</v>
      </c>
      <c r="E2757" s="5" t="s">
        <v>19455</v>
      </c>
      <c r="F2757" s="5" t="s">
        <v>37</v>
      </c>
      <c r="G2757" s="5" t="s">
        <v>19456</v>
      </c>
      <c r="H2757" s="6" t="s">
        <v>19457</v>
      </c>
      <c r="K2757" s="5" t="s">
        <v>19347</v>
      </c>
      <c r="M2757" s="5" t="s">
        <v>19458</v>
      </c>
      <c r="N2757" s="7" t="s">
        <v>19459</v>
      </c>
      <c r="O2757" s="8" t="str">
        <f>HYPERLINK("https://drive.google.com/file/d/1dqqquPUMIgnHxWts4PdDQqGmZjP0M45T/view?usp=drivesdk","2756_UMI ZAHROH _ SERTIFIKAT BIMTEK IPASN BerAKHLASK")</f>
        <v>2756_UMI ZAHROH _ SERTIFIKAT BIMTEK IPASN BerAKHLASK</v>
      </c>
      <c r="P2757" s="5" t="s">
        <v>19460</v>
      </c>
    </row>
    <row r="2758">
      <c r="A2758" s="4">
        <v>45534.34137922454</v>
      </c>
      <c r="B2758" s="5" t="s">
        <v>34</v>
      </c>
      <c r="D2758" s="5" t="s">
        <v>9394</v>
      </c>
      <c r="E2758" s="5" t="s">
        <v>19461</v>
      </c>
      <c r="F2758" s="5" t="s">
        <v>37</v>
      </c>
      <c r="G2758" s="5" t="s">
        <v>19462</v>
      </c>
      <c r="H2758" s="6" t="s">
        <v>19463</v>
      </c>
      <c r="K2758" s="5" t="s">
        <v>19347</v>
      </c>
      <c r="M2758" s="5" t="s">
        <v>19464</v>
      </c>
      <c r="N2758" s="7" t="s">
        <v>19465</v>
      </c>
      <c r="O2758" s="8" t="str">
        <f>HYPERLINK("https://drive.google.com/file/d/13Wn2MUvP9u1KQMpthxewPVfxuguuyvvz/view?usp=drivesdk","2757_LIA AGUSTINA _ SERTIFIKAT BIMTEK IPASN BerAKHLASK")</f>
        <v>2757_LIA AGUSTINA _ SERTIFIKAT BIMTEK IPASN BerAKHLASK</v>
      </c>
      <c r="P2758" s="5" t="s">
        <v>19460</v>
      </c>
    </row>
    <row r="2759">
      <c r="A2759" s="4">
        <v>45534.34138185185</v>
      </c>
      <c r="B2759" s="5" t="s">
        <v>34</v>
      </c>
      <c r="D2759" s="5" t="s">
        <v>4775</v>
      </c>
      <c r="E2759" s="5" t="s">
        <v>19466</v>
      </c>
      <c r="F2759" s="5" t="s">
        <v>37</v>
      </c>
      <c r="G2759" s="5" t="s">
        <v>19467</v>
      </c>
      <c r="H2759" s="6" t="s">
        <v>19468</v>
      </c>
      <c r="K2759" s="5" t="s">
        <v>19347</v>
      </c>
      <c r="M2759" s="5" t="s">
        <v>19469</v>
      </c>
      <c r="N2759" s="7" t="s">
        <v>19470</v>
      </c>
      <c r="O2759" s="8" t="str">
        <f>HYPERLINK("https://drive.google.com/file/d/1h_qTde4IJL_qE33HfV5hn3Gbba_eup9C/view?usp=drivesdk","2758_RUNTIAH, AM.KEB _ SERTIFIKAT BIMTEK IPASN BerAKHLASK")</f>
        <v>2758_RUNTIAH, AM.KEB _ SERTIFIKAT BIMTEK IPASN BerAKHLASK</v>
      </c>
      <c r="P2759" s="5" t="s">
        <v>19460</v>
      </c>
    </row>
    <row r="2760">
      <c r="A2760" s="4">
        <v>45534.341381990744</v>
      </c>
      <c r="B2760" s="5" t="s">
        <v>34</v>
      </c>
      <c r="D2760" s="5" t="s">
        <v>604</v>
      </c>
      <c r="E2760" s="5" t="s">
        <v>19471</v>
      </c>
      <c r="F2760" s="5" t="s">
        <v>5585</v>
      </c>
      <c r="G2760" s="5" t="s">
        <v>19472</v>
      </c>
      <c r="H2760" s="6" t="s">
        <v>19473</v>
      </c>
      <c r="K2760" s="5" t="s">
        <v>19347</v>
      </c>
      <c r="M2760" s="5" t="s">
        <v>19474</v>
      </c>
      <c r="N2760" s="7" t="s">
        <v>19475</v>
      </c>
      <c r="O2760" s="8" t="str">
        <f>HYPERLINK("https://drive.google.com/file/d/1LNfFKtuiDvcL-0n1EexIqLZ6FgGvreoE/view?usp=drivesdk","2759_LUKMAN NAING, S.H _ SERTIFIKAT BIMTEK IPASN BerAKHLASK")</f>
        <v>2759_LUKMAN NAING, S.H _ SERTIFIKAT BIMTEK IPASN BerAKHLASK</v>
      </c>
      <c r="P2760" s="5" t="s">
        <v>19460</v>
      </c>
    </row>
    <row r="2761" hidden="1">
      <c r="A2761" s="4">
        <v>45534.34138125</v>
      </c>
      <c r="B2761" s="5" t="s">
        <v>19</v>
      </c>
      <c r="C2761" s="5" t="s">
        <v>20</v>
      </c>
      <c r="E2761" s="5" t="s">
        <v>19476</v>
      </c>
      <c r="F2761" s="5" t="s">
        <v>120</v>
      </c>
      <c r="G2761" s="5" t="s">
        <v>19477</v>
      </c>
      <c r="H2761" s="6" t="s">
        <v>19478</v>
      </c>
      <c r="K2761" s="5" t="s">
        <v>19347</v>
      </c>
      <c r="M2761" s="5" t="s">
        <v>19479</v>
      </c>
      <c r="N2761" s="7" t="s">
        <v>19480</v>
      </c>
      <c r="O2761" s="8" t="str">
        <f>HYPERLINK("https://drive.google.com/file/d/18aH-Y_IuxLaG6Nf4ibBxUZHJXGNBK9BV/view?usp=drivesdk","2760_KAROMAH SPD _ SERTIFIKAT BIMTEK IPASN BerAKHLASK")</f>
        <v>2760_KAROMAH SPD _ SERTIFIKAT BIMTEK IPASN BerAKHLASK</v>
      </c>
      <c r="P2761" s="5" t="s">
        <v>19481</v>
      </c>
    </row>
    <row r="2762">
      <c r="A2762" s="4">
        <v>45534.341383657404</v>
      </c>
      <c r="B2762" s="5" t="s">
        <v>34</v>
      </c>
      <c r="D2762" s="5" t="s">
        <v>9020</v>
      </c>
      <c r="E2762" s="5" t="s">
        <v>19482</v>
      </c>
      <c r="F2762" s="5" t="s">
        <v>37</v>
      </c>
      <c r="G2762" s="5" t="s">
        <v>19483</v>
      </c>
      <c r="H2762" s="6" t="s">
        <v>19484</v>
      </c>
      <c r="K2762" s="5" t="s">
        <v>19347</v>
      </c>
      <c r="M2762" s="5" t="s">
        <v>19485</v>
      </c>
      <c r="N2762" s="7" t="s">
        <v>19486</v>
      </c>
      <c r="O2762" s="8" t="str">
        <f>HYPERLINK("https://drive.google.com/file/d/1_jszj1p1wGIo93Xt7KKCvvwGvL-Nn0ME/view?usp=drivesdk","2761_NELLI JULIANA _ SERTIFIKAT BIMTEK IPASN BerAKHLASK")</f>
        <v>2761_NELLI JULIANA _ SERTIFIKAT BIMTEK IPASN BerAKHLASK</v>
      </c>
      <c r="P2762" s="5" t="s">
        <v>19481</v>
      </c>
    </row>
    <row r="2763">
      <c r="A2763" s="4">
        <v>45534.34138722222</v>
      </c>
      <c r="B2763" s="5" t="s">
        <v>34</v>
      </c>
      <c r="D2763" s="5" t="s">
        <v>280</v>
      </c>
      <c r="E2763" s="5" t="s">
        <v>19487</v>
      </c>
      <c r="F2763" s="5" t="s">
        <v>37</v>
      </c>
      <c r="G2763" s="5" t="s">
        <v>19488</v>
      </c>
      <c r="H2763" s="6" t="s">
        <v>19489</v>
      </c>
      <c r="K2763" s="5" t="s">
        <v>19347</v>
      </c>
      <c r="M2763" s="5" t="s">
        <v>19490</v>
      </c>
      <c r="N2763" s="7" t="s">
        <v>19491</v>
      </c>
      <c r="O2763" s="8" t="str">
        <f>HYPERLINK("https://drive.google.com/file/d/1ibIwMTqllj5dNeuePV4-jCRDUZP6lQAQ/view?usp=drivesdk","2762_MUTMAINNAH BINTI ABDUL KOWI _ SERTIFIKAT BIMTEK IPASN BerAKHLASK")</f>
        <v>2762_MUTMAINNAH BINTI ABDUL KOWI _ SERTIFIKAT BIMTEK IPASN BerAKHLASK</v>
      </c>
      <c r="P2763" s="5" t="s">
        <v>19481</v>
      </c>
    </row>
    <row r="2764">
      <c r="A2764" s="4">
        <v>45534.34139436342</v>
      </c>
      <c r="B2764" s="5" t="s">
        <v>34</v>
      </c>
      <c r="D2764" s="5" t="s">
        <v>12978</v>
      </c>
      <c r="E2764" s="5" t="s">
        <v>19492</v>
      </c>
      <c r="F2764" s="5" t="s">
        <v>715</v>
      </c>
      <c r="G2764" s="5" t="s">
        <v>19493</v>
      </c>
      <c r="H2764" s="6" t="s">
        <v>19494</v>
      </c>
      <c r="K2764" s="5" t="s">
        <v>19347</v>
      </c>
      <c r="M2764" s="5" t="s">
        <v>19495</v>
      </c>
      <c r="N2764" s="7" t="s">
        <v>19496</v>
      </c>
      <c r="O2764" s="8" t="str">
        <f>HYPERLINK("https://drive.google.com/file/d/1GqngVJXjWlIu3PR9l_AdnqeGRW0E7XzZ/view?usp=drivesdk","2763_IMAM SUMANTRI, S. E.  _ SERTIFIKAT BIMTEK IPASN BerAKHLASK")</f>
        <v>2763_IMAM SUMANTRI, S. E.  _ SERTIFIKAT BIMTEK IPASN BerAKHLASK</v>
      </c>
      <c r="P2764" s="5" t="s">
        <v>19481</v>
      </c>
    </row>
    <row r="2765" hidden="1">
      <c r="A2765" s="4">
        <v>45534.34139851852</v>
      </c>
      <c r="B2765" s="5" t="s">
        <v>19</v>
      </c>
      <c r="C2765" s="5" t="s">
        <v>5564</v>
      </c>
      <c r="E2765" s="5" t="s">
        <v>19497</v>
      </c>
      <c r="F2765" s="5" t="s">
        <v>212</v>
      </c>
      <c r="G2765" s="5" t="s">
        <v>19498</v>
      </c>
      <c r="H2765" s="6" t="s">
        <v>19499</v>
      </c>
      <c r="K2765" s="5" t="s">
        <v>19347</v>
      </c>
      <c r="M2765" s="5" t="s">
        <v>19500</v>
      </c>
      <c r="N2765" s="7" t="s">
        <v>19501</v>
      </c>
      <c r="O2765" s="8" t="str">
        <f>HYPERLINK("https://drive.google.com/file/d/1RWH9MmzkxOeFqs6UWiOyz4YjkDxdVj_D/view?usp=drivesdk","2764_FITRI PRAMUDYA NINGSIH Amd Kep _ SERTIFIKAT BIMTEK IPASN BerAKHLASK")</f>
        <v>2764_FITRI PRAMUDYA NINGSIH Amd Kep _ SERTIFIKAT BIMTEK IPASN BerAKHLASK</v>
      </c>
      <c r="P2765" s="5" t="s">
        <v>19481</v>
      </c>
    </row>
    <row r="2766">
      <c r="A2766" s="4">
        <v>45534.34140539352</v>
      </c>
      <c r="B2766" s="5" t="s">
        <v>34</v>
      </c>
      <c r="D2766" s="5" t="s">
        <v>9394</v>
      </c>
      <c r="E2766" s="5" t="s">
        <v>19502</v>
      </c>
      <c r="F2766" s="5" t="s">
        <v>108</v>
      </c>
      <c r="G2766" s="5" t="s">
        <v>19503</v>
      </c>
      <c r="H2766" s="6" t="s">
        <v>19504</v>
      </c>
      <c r="K2766" s="5" t="s">
        <v>19347</v>
      </c>
      <c r="M2766" s="5" t="s">
        <v>19505</v>
      </c>
      <c r="N2766" s="7" t="s">
        <v>19506</v>
      </c>
      <c r="O2766" s="8" t="str">
        <f>HYPERLINK("https://drive.google.com/file/d/1pjTKzUUS1MONtLR_JWdFEQmxdcVRFKKZ/view?usp=drivesdk","2765_NURUL AMIRAH _ SERTIFIKAT BIMTEK IPASN BerAKHLASK")</f>
        <v>2765_NURUL AMIRAH _ SERTIFIKAT BIMTEK IPASN BerAKHLASK</v>
      </c>
      <c r="P2766" s="5" t="s">
        <v>19507</v>
      </c>
    </row>
    <row r="2767">
      <c r="A2767" s="4">
        <v>45534.341411851856</v>
      </c>
      <c r="B2767" s="5" t="s">
        <v>34</v>
      </c>
      <c r="D2767" s="5" t="s">
        <v>1206</v>
      </c>
      <c r="E2767" s="5" t="s">
        <v>19508</v>
      </c>
      <c r="F2767" s="5" t="s">
        <v>37</v>
      </c>
      <c r="G2767" s="5" t="s">
        <v>19509</v>
      </c>
      <c r="H2767" s="6" t="s">
        <v>19510</v>
      </c>
      <c r="K2767" s="5" t="s">
        <v>19347</v>
      </c>
      <c r="M2767" s="5" t="s">
        <v>19511</v>
      </c>
      <c r="N2767" s="7" t="s">
        <v>19512</v>
      </c>
      <c r="O2767" s="8" t="str">
        <f>HYPERLINK("https://drive.google.com/file/d/1OnJ9qYDYEKfSBcxGVYNQE8BKROFiIgZP/view?usp=drivesdk","2766_SOLIKIN  _ SERTIFIKAT BIMTEK IPASN BerAKHLASK")</f>
        <v>2766_SOLIKIN  _ SERTIFIKAT BIMTEK IPASN BerAKHLASK</v>
      </c>
      <c r="P2767" s="5" t="s">
        <v>19507</v>
      </c>
    </row>
    <row r="2768">
      <c r="A2768" s="4">
        <v>45534.34142163194</v>
      </c>
      <c r="B2768" s="5" t="s">
        <v>34</v>
      </c>
      <c r="D2768" s="5" t="s">
        <v>3849</v>
      </c>
      <c r="E2768" s="5" t="s">
        <v>19513</v>
      </c>
      <c r="F2768" s="5" t="s">
        <v>72</v>
      </c>
      <c r="G2768" s="5" t="s">
        <v>19514</v>
      </c>
      <c r="H2768" s="6" t="s">
        <v>19515</v>
      </c>
      <c r="I2768" s="7" t="s">
        <v>19516</v>
      </c>
      <c r="J2768" s="8" t="str">
        <f>HYPERLINK("https://drive.google.com/file/d/1D1qIVaJXAb6hEtkETfRuJyZkVmdalvSB/view?usp=drivesdk","LISWARNY SERTIFIKAT BerAKHLAK")</f>
        <v>LISWARNY SERTIFIKAT BerAKHLAK</v>
      </c>
      <c r="K2768" s="5" t="s">
        <v>18654</v>
      </c>
      <c r="L2768" s="5" t="s">
        <v>19517</v>
      </c>
      <c r="M2768" s="5" t="s">
        <v>19518</v>
      </c>
      <c r="N2768" s="7" t="s">
        <v>19519</v>
      </c>
      <c r="O2768" s="8" t="str">
        <f>HYPERLINK("https://drive.google.com/file/d/10j1bYK9aSW2Wl7RtrfDqhWP9tosWr-SV/view?usp=drivesdk","2767_LISWARNY _ SERTIFIKAT BIMTEK IPASN BerAKHLASK")</f>
        <v>2767_LISWARNY _ SERTIFIKAT BIMTEK IPASN BerAKHLASK</v>
      </c>
      <c r="P2768" s="5" t="s">
        <v>19507</v>
      </c>
    </row>
    <row r="2769">
      <c r="A2769" s="4">
        <v>45534.341422743055</v>
      </c>
      <c r="B2769" s="5" t="s">
        <v>34</v>
      </c>
      <c r="D2769" s="5" t="s">
        <v>12978</v>
      </c>
      <c r="E2769" s="5" t="s">
        <v>19520</v>
      </c>
      <c r="F2769" s="5" t="s">
        <v>212</v>
      </c>
      <c r="G2769" s="5" t="s">
        <v>19521</v>
      </c>
      <c r="H2769" s="6" t="s">
        <v>19522</v>
      </c>
      <c r="I2769" s="7" t="s">
        <v>19523</v>
      </c>
      <c r="J2769" s="8" t="str">
        <f>HYPERLINK("https://drive.google.com/file/d/136-Xmio8IgN936wqeJDmpKYbUF6sk1J9/view?usp=drivesdk","RESSI YANTI  SERTIFIKAT BerAKHLAK")</f>
        <v>RESSI YANTI  SERTIFIKAT BerAKHLAK</v>
      </c>
      <c r="K2769" s="5" t="s">
        <v>18654</v>
      </c>
      <c r="L2769" s="5" t="s">
        <v>19524</v>
      </c>
      <c r="M2769" s="5" t="s">
        <v>19525</v>
      </c>
      <c r="N2769" s="7" t="s">
        <v>19526</v>
      </c>
      <c r="O2769" s="8" t="str">
        <f>HYPERLINK("https://drive.google.com/file/d/1FZMibS8jav004pZtPyBV5O8Tw1wRMYnc/view?usp=drivesdk","2768_RESSI YANTI  _ SERTIFIKAT BIMTEK IPASN BerAKHLASK")</f>
        <v>2768_RESSI YANTI  _ SERTIFIKAT BIMTEK IPASN BerAKHLASK</v>
      </c>
      <c r="P2769" s="5" t="s">
        <v>19507</v>
      </c>
    </row>
    <row r="2770">
      <c r="A2770" s="4">
        <v>45534.34142349537</v>
      </c>
      <c r="B2770" s="5" t="s">
        <v>34</v>
      </c>
      <c r="D2770" s="5" t="s">
        <v>1206</v>
      </c>
      <c r="E2770" s="5" t="s">
        <v>19527</v>
      </c>
      <c r="F2770" s="5" t="s">
        <v>212</v>
      </c>
      <c r="G2770" s="5" t="s">
        <v>19528</v>
      </c>
      <c r="H2770" s="6" t="s">
        <v>19529</v>
      </c>
      <c r="I2770" s="7" t="s">
        <v>19530</v>
      </c>
      <c r="J2770" s="8" t="str">
        <f>HYPERLINK("https://drive.google.com/file/d/1ixoKDJvsMce3YH3d6YqPAxmU8w__GK_e/view?usp=drivesdk","JUNARTI, SP.d SERTIFIKAT BerAKHLAK")</f>
        <v>JUNARTI, SP.d SERTIFIKAT BerAKHLAK</v>
      </c>
      <c r="K2770" s="5" t="s">
        <v>18654</v>
      </c>
      <c r="L2770" s="5" t="s">
        <v>19531</v>
      </c>
      <c r="M2770" s="5" t="s">
        <v>19532</v>
      </c>
      <c r="N2770" s="7" t="s">
        <v>19533</v>
      </c>
      <c r="O2770" s="8" t="str">
        <f>HYPERLINK("https://drive.google.com/file/d/19DLHzcqJbt1fPJF1JY4DlNFSERNxij5l/view?usp=drivesdk","2769_JUNARTI, SP.d _ SERTIFIKAT BIMTEK IPASN BerAKHLASK")</f>
        <v>2769_JUNARTI, SP.d _ SERTIFIKAT BIMTEK IPASN BerAKHLASK</v>
      </c>
      <c r="P2770" s="5" t="s">
        <v>19507</v>
      </c>
    </row>
    <row r="2771">
      <c r="A2771" s="4">
        <v>45534.34144883102</v>
      </c>
      <c r="B2771" s="5" t="s">
        <v>34</v>
      </c>
      <c r="D2771" s="5" t="s">
        <v>280</v>
      </c>
      <c r="E2771" s="5" t="s">
        <v>19534</v>
      </c>
      <c r="F2771" s="5" t="s">
        <v>37</v>
      </c>
      <c r="G2771" s="5" t="s">
        <v>19535</v>
      </c>
      <c r="H2771" s="6" t="s">
        <v>19536</v>
      </c>
      <c r="I2771" s="7" t="s">
        <v>19537</v>
      </c>
      <c r="J2771" s="8" t="str">
        <f>HYPERLINK("https://drive.google.com/file/d/1zYo3iOLlHEI9IvcrVFdDbcW4n2llIIOQ/view?usp=drivesdk","AHMAD BETA SERTIFIKAT BerAKHLAK")</f>
        <v>AHMAD BETA SERTIFIKAT BerAKHLAK</v>
      </c>
      <c r="K2771" s="5" t="s">
        <v>18654</v>
      </c>
      <c r="L2771" s="5" t="s">
        <v>19538</v>
      </c>
      <c r="M2771" s="5" t="s">
        <v>19539</v>
      </c>
      <c r="N2771" s="7" t="s">
        <v>19540</v>
      </c>
      <c r="O2771" s="8" t="str">
        <f>HYPERLINK("https://drive.google.com/file/d/1hYGqTuTq7TiepmD9MeAHAKuCXpMNibkl/view?usp=drivesdk","2770_AHMAD BETA _ SERTIFIKAT BIMTEK IPASN BerAKHLASK")</f>
        <v>2770_AHMAD BETA _ SERTIFIKAT BIMTEK IPASN BerAKHLASK</v>
      </c>
      <c r="P2771" s="5" t="s">
        <v>19541</v>
      </c>
    </row>
    <row r="2772" hidden="1">
      <c r="A2772" s="4">
        <v>45534.341450092594</v>
      </c>
      <c r="B2772" s="5" t="s">
        <v>19</v>
      </c>
      <c r="C2772" s="5" t="s">
        <v>442</v>
      </c>
      <c r="E2772" s="5" t="s">
        <v>19542</v>
      </c>
      <c r="F2772" s="5" t="s">
        <v>212</v>
      </c>
      <c r="G2772" s="5" t="s">
        <v>19543</v>
      </c>
      <c r="H2772" s="6" t="s">
        <v>19544</v>
      </c>
      <c r="I2772" s="7" t="s">
        <v>19545</v>
      </c>
      <c r="J2772" s="8" t="str">
        <f>HYPERLINK("https://drive.google.com/file/d/1T67XzK1lZZNgeFh6fH723SCk169SgD9V/view?usp=drivesdk","SRI YANTIN  SERTIFIKAT BerAKHLAK")</f>
        <v>SRI YANTIN  SERTIFIKAT BerAKHLAK</v>
      </c>
      <c r="K2772" s="5" t="s">
        <v>18654</v>
      </c>
      <c r="L2772" s="5" t="s">
        <v>19546</v>
      </c>
      <c r="M2772" s="5" t="s">
        <v>19547</v>
      </c>
      <c r="N2772" s="7" t="s">
        <v>19548</v>
      </c>
      <c r="O2772" s="8" t="str">
        <f>HYPERLINK("https://drive.google.com/file/d/1eU-QD_QxGgNdtIrrXNatshwyKBvHQzRe/view?usp=drivesdk","2771_SRI YANTIN  _ SERTIFIKAT BIMTEK IPASN BerAKHLASK")</f>
        <v>2771_SRI YANTIN  _ SERTIFIKAT BIMTEK IPASN BerAKHLASK</v>
      </c>
      <c r="P2772" s="5" t="s">
        <v>19549</v>
      </c>
    </row>
    <row r="2773">
      <c r="A2773" s="4">
        <v>45534.34146309028</v>
      </c>
      <c r="B2773" s="5" t="s">
        <v>34</v>
      </c>
      <c r="D2773" s="5" t="s">
        <v>10444</v>
      </c>
      <c r="E2773" s="5" t="s">
        <v>19550</v>
      </c>
      <c r="F2773" s="5" t="s">
        <v>212</v>
      </c>
      <c r="G2773" s="5" t="s">
        <v>19551</v>
      </c>
      <c r="H2773" s="6" t="s">
        <v>19552</v>
      </c>
      <c r="I2773" s="7" t="s">
        <v>19553</v>
      </c>
      <c r="J2773" s="8" t="str">
        <f>HYPERLINK("https://drive.google.com/file/d/1V9xaCN3D5ch0xifKsF7ItMsewvqg59oE/view?usp=drivesdk","SARI NURMAYA SERTIFIKAT BerAKHLAK")</f>
        <v>SARI NURMAYA SERTIFIKAT BerAKHLAK</v>
      </c>
      <c r="K2773" s="5" t="s">
        <v>18691</v>
      </c>
      <c r="L2773" s="5" t="s">
        <v>19554</v>
      </c>
      <c r="M2773" s="5" t="s">
        <v>19555</v>
      </c>
      <c r="N2773" s="7" t="s">
        <v>19556</v>
      </c>
      <c r="O2773" s="8" t="str">
        <f>HYPERLINK("https://drive.google.com/file/d/1eDBK-sA0fW_C0w2Dd5XVPQuazWWeO63d/view?usp=drivesdk","2772_SARI NURMAYA _ SERTIFIKAT BIMTEK IPASN BerAKHLASK")</f>
        <v>2772_SARI NURMAYA _ SERTIFIKAT BIMTEK IPASN BerAKHLASK</v>
      </c>
      <c r="P2773" s="5" t="s">
        <v>19549</v>
      </c>
    </row>
    <row r="2774">
      <c r="A2774" s="4">
        <v>45534.34146509259</v>
      </c>
      <c r="B2774" s="5" t="s">
        <v>34</v>
      </c>
      <c r="D2774" s="5" t="s">
        <v>35</v>
      </c>
      <c r="E2774" s="5" t="s">
        <v>19557</v>
      </c>
      <c r="F2774" s="5" t="s">
        <v>524</v>
      </c>
      <c r="G2774" s="5" t="s">
        <v>19558</v>
      </c>
      <c r="H2774" s="6" t="s">
        <v>19559</v>
      </c>
      <c r="I2774" s="7" t="s">
        <v>19560</v>
      </c>
      <c r="J2774" s="8" t="str">
        <f>HYPERLINK("https://drive.google.com/file/d/1Zyb80k4bPFlscDzsSG6IOXG7DXjLPYxs/view?usp=drivesdk","NUR APRILLAH,Amd.Kep SERTIFIKAT BerAKHLAK")</f>
        <v>NUR APRILLAH,Amd.Kep SERTIFIKAT BerAKHLAK</v>
      </c>
      <c r="K2774" s="5" t="s">
        <v>18691</v>
      </c>
      <c r="L2774" s="5" t="s">
        <v>19561</v>
      </c>
      <c r="M2774" s="5" t="s">
        <v>19562</v>
      </c>
      <c r="N2774" s="7" t="s">
        <v>19563</v>
      </c>
      <c r="O2774" s="8" t="str">
        <f>HYPERLINK("https://drive.google.com/file/d/1YUtumM4ggNL8C8ZrbbqAvMAgXA_hWhrX/view?usp=drivesdk","2773_NUR APRILLAH,Amd.Kep _ SERTIFIKAT BIMTEK IPASN BerAKHLASK")</f>
        <v>2773_NUR APRILLAH,Amd.Kep _ SERTIFIKAT BIMTEK IPASN BerAKHLASK</v>
      </c>
      <c r="P2774" s="5" t="s">
        <v>19549</v>
      </c>
    </row>
    <row r="2775">
      <c r="A2775" s="4">
        <v>45534.34146945602</v>
      </c>
      <c r="B2775" s="5" t="s">
        <v>34</v>
      </c>
      <c r="D2775" s="5" t="s">
        <v>4775</v>
      </c>
      <c r="E2775" s="5" t="s">
        <v>19564</v>
      </c>
      <c r="F2775" s="5" t="s">
        <v>72</v>
      </c>
      <c r="G2775" s="5" t="s">
        <v>19565</v>
      </c>
      <c r="H2775" s="6" t="s">
        <v>19566</v>
      </c>
      <c r="I2775" s="7" t="s">
        <v>19567</v>
      </c>
      <c r="J2775" s="8" t="str">
        <f>HYPERLINK("https://drive.google.com/file/d/1lxmLw6jqJVfYrnSiJU0m0w_jVa1bFeEK/view?usp=drivesdk","HARTINI SERTIFIKAT BerAKHLAK")</f>
        <v>HARTINI SERTIFIKAT BerAKHLAK</v>
      </c>
      <c r="K2775" s="5" t="s">
        <v>18691</v>
      </c>
      <c r="L2775" s="5" t="s">
        <v>19568</v>
      </c>
      <c r="M2775" s="5" t="s">
        <v>19569</v>
      </c>
      <c r="N2775" s="7" t="s">
        <v>19570</v>
      </c>
      <c r="O2775" s="8" t="str">
        <f>HYPERLINK("https://drive.google.com/file/d/1C-5aivQxNFhzDN5BvWr4N8Nwf6oEQUcd/view?usp=drivesdk","2774_HARTINI _ SERTIFIKAT BIMTEK IPASN BerAKHLASK")</f>
        <v>2774_HARTINI _ SERTIFIKAT BIMTEK IPASN BerAKHLASK</v>
      </c>
      <c r="P2775" s="5" t="s">
        <v>19549</v>
      </c>
    </row>
    <row r="2776">
      <c r="A2776" s="4">
        <v>45534.341476435184</v>
      </c>
      <c r="B2776" s="5" t="s">
        <v>34</v>
      </c>
      <c r="D2776" s="5" t="s">
        <v>280</v>
      </c>
      <c r="E2776" s="5" t="s">
        <v>18938</v>
      </c>
      <c r="F2776" s="5" t="s">
        <v>524</v>
      </c>
      <c r="G2776" s="5" t="s">
        <v>19571</v>
      </c>
      <c r="H2776" s="6" t="s">
        <v>19572</v>
      </c>
      <c r="K2776" s="5" t="s">
        <v>19573</v>
      </c>
      <c r="M2776" s="5" t="s">
        <v>19574</v>
      </c>
      <c r="N2776" s="7" t="s">
        <v>19575</v>
      </c>
      <c r="O2776" s="8" t="str">
        <f>HYPERLINK("https://drive.google.com/file/d/1uveVAFTEdl6-AqA8rl6nYWw-xz-32NXR/view?usp=drivesdk","2775_FATMAWATI _ SERTIFIKAT BIMTEK IPASN BerAKHLASK")</f>
        <v>2775_FATMAWATI _ SERTIFIKAT BIMTEK IPASN BerAKHLASK</v>
      </c>
      <c r="P2776" s="5" t="s">
        <v>19576</v>
      </c>
    </row>
    <row r="2777">
      <c r="A2777" s="4">
        <v>45534.34148130787</v>
      </c>
      <c r="B2777" s="5" t="s">
        <v>34</v>
      </c>
      <c r="D2777" s="5" t="s">
        <v>9020</v>
      </c>
      <c r="E2777" s="5" t="s">
        <v>19577</v>
      </c>
      <c r="F2777" s="5" t="s">
        <v>212</v>
      </c>
      <c r="G2777" s="5" t="s">
        <v>19578</v>
      </c>
      <c r="H2777" s="6" t="s">
        <v>19579</v>
      </c>
      <c r="K2777" s="5" t="s">
        <v>19573</v>
      </c>
      <c r="M2777" s="5" t="s">
        <v>19580</v>
      </c>
      <c r="N2777" s="7" t="s">
        <v>19581</v>
      </c>
      <c r="O2777" s="8" t="str">
        <f>HYPERLINK("https://drive.google.com/file/d/18o5YciRc3XwGBMsT23zmAtL066lJLmY4/view?usp=drivesdk","2776_REYMESTA AMBARITA, S.KOM _ SERTIFIKAT BIMTEK IPASN BerAKHLASK")</f>
        <v>2776_REYMESTA AMBARITA, S.KOM _ SERTIFIKAT BIMTEK IPASN BerAKHLASK</v>
      </c>
      <c r="P2777" s="5" t="s">
        <v>19576</v>
      </c>
    </row>
    <row r="2778">
      <c r="A2778" s="4">
        <v>45534.341486122685</v>
      </c>
      <c r="B2778" s="5" t="s">
        <v>34</v>
      </c>
      <c r="D2778" s="5" t="s">
        <v>10297</v>
      </c>
      <c r="E2778" s="5" t="s">
        <v>19582</v>
      </c>
      <c r="F2778" s="5" t="s">
        <v>37</v>
      </c>
      <c r="G2778" s="5" t="s">
        <v>19583</v>
      </c>
      <c r="H2778" s="6" t="s">
        <v>19584</v>
      </c>
      <c r="K2778" s="5" t="s">
        <v>19573</v>
      </c>
      <c r="M2778" s="5" t="s">
        <v>19585</v>
      </c>
      <c r="N2778" s="7" t="s">
        <v>19586</v>
      </c>
      <c r="O2778" s="8" t="str">
        <f>HYPERLINK("https://drive.google.com/file/d/184EFy1uClwG3Crn-kkbDE7PoMo7udvBE/view?usp=drivesdk","2777_WIDYA PRATIWI, AMK  _ SERTIFIKAT BIMTEK IPASN BerAKHLASK")</f>
        <v>2777_WIDYA PRATIWI, AMK  _ SERTIFIKAT BIMTEK IPASN BerAKHLASK</v>
      </c>
      <c r="P2778" s="5" t="s">
        <v>19576</v>
      </c>
    </row>
    <row r="2779">
      <c r="A2779" s="4">
        <v>45534.341490543986</v>
      </c>
      <c r="B2779" s="5" t="s">
        <v>34</v>
      </c>
      <c r="D2779" s="5" t="s">
        <v>1206</v>
      </c>
      <c r="E2779" s="5" t="s">
        <v>19587</v>
      </c>
      <c r="F2779" s="5" t="s">
        <v>37</v>
      </c>
      <c r="G2779" s="5" t="s">
        <v>19588</v>
      </c>
      <c r="H2779" s="6" t="s">
        <v>19589</v>
      </c>
      <c r="K2779" s="5" t="s">
        <v>19573</v>
      </c>
      <c r="M2779" s="5" t="s">
        <v>19590</v>
      </c>
      <c r="N2779" s="7" t="s">
        <v>19591</v>
      </c>
      <c r="O2779" s="8" t="str">
        <f>HYPERLINK("https://drive.google.com/file/d/1k5-C5cCfhC2Ej9qtYUZzZMnP8jNnJFiF/view?usp=drivesdk","2778_ENDANG NURYANI _ SERTIFIKAT BIMTEK IPASN BerAKHLASK")</f>
        <v>2778_ENDANG NURYANI _ SERTIFIKAT BIMTEK IPASN BerAKHLASK</v>
      </c>
      <c r="P2779" s="5" t="s">
        <v>19576</v>
      </c>
    </row>
    <row r="2780">
      <c r="A2780" s="4">
        <v>45534.341492499996</v>
      </c>
      <c r="B2780" s="5" t="s">
        <v>34</v>
      </c>
      <c r="D2780" s="5" t="s">
        <v>1206</v>
      </c>
      <c r="E2780" s="5" t="s">
        <v>19592</v>
      </c>
      <c r="F2780" s="5" t="s">
        <v>37</v>
      </c>
      <c r="G2780" s="5" t="s">
        <v>19593</v>
      </c>
      <c r="H2780" s="6" t="s">
        <v>19594</v>
      </c>
      <c r="K2780" s="5" t="s">
        <v>19573</v>
      </c>
      <c r="M2780" s="5" t="s">
        <v>19595</v>
      </c>
      <c r="N2780" s="7" t="s">
        <v>19596</v>
      </c>
      <c r="O2780" s="8" t="str">
        <f>HYPERLINK("https://drive.google.com/file/d/1jPA3b8zCqxy4LcGZnujpaY3bE-ukoxDG/view?usp=drivesdk","2779_TEGUH TRIYONO  _ SERTIFIKAT BIMTEK IPASN BerAKHLASK")</f>
        <v>2779_TEGUH TRIYONO  _ SERTIFIKAT BIMTEK IPASN BerAKHLASK</v>
      </c>
      <c r="P2780" s="5" t="s">
        <v>19597</v>
      </c>
    </row>
    <row r="2781">
      <c r="A2781" s="4">
        <v>45534.34149244213</v>
      </c>
      <c r="B2781" s="5" t="s">
        <v>34</v>
      </c>
      <c r="D2781" s="5" t="s">
        <v>1456</v>
      </c>
      <c r="E2781" s="5" t="s">
        <v>19598</v>
      </c>
      <c r="F2781" s="5" t="s">
        <v>37</v>
      </c>
      <c r="G2781" s="5" t="s">
        <v>19599</v>
      </c>
      <c r="H2781" s="6" t="s">
        <v>19600</v>
      </c>
      <c r="K2781" s="5" t="s">
        <v>19573</v>
      </c>
      <c r="M2781" s="5" t="s">
        <v>19601</v>
      </c>
      <c r="N2781" s="7" t="s">
        <v>19602</v>
      </c>
      <c r="O2781" s="8" t="str">
        <f>HYPERLINK("https://drive.google.com/file/d/1aGrkjEkqdlnjd5g7sdafrIXrVDFk3NHA/view?usp=drivesdk","2780_Endah Lasmawati, A.Md.Kep _ SERTIFIKAT BIMTEK IPASN BerAKHLASK")</f>
        <v>2780_Endah Lasmawati, A.Md.Kep _ SERTIFIKAT BIMTEK IPASN BerAKHLASK</v>
      </c>
      <c r="P2781" s="5" t="s">
        <v>19597</v>
      </c>
    </row>
    <row r="2782">
      <c r="A2782" s="4">
        <v>45534.34149922454</v>
      </c>
      <c r="B2782" s="5" t="s">
        <v>34</v>
      </c>
      <c r="D2782" s="5" t="s">
        <v>280</v>
      </c>
      <c r="E2782" s="5" t="s">
        <v>19603</v>
      </c>
      <c r="F2782" s="5" t="s">
        <v>212</v>
      </c>
      <c r="G2782" s="5" t="s">
        <v>19604</v>
      </c>
      <c r="H2782" s="6" t="s">
        <v>19605</v>
      </c>
      <c r="K2782" s="5" t="s">
        <v>19573</v>
      </c>
      <c r="M2782" s="5" t="s">
        <v>19606</v>
      </c>
      <c r="N2782" s="7" t="s">
        <v>19607</v>
      </c>
      <c r="O2782" s="8" t="str">
        <f>HYPERLINK("https://drive.google.com/file/d/1JR5oht_RSD17vEIgZ_toj2ARIg7iYJHo/view?usp=drivesdk","2781_ERNAWATI _ SERTIFIKAT BIMTEK IPASN BerAKHLASK")</f>
        <v>2781_ERNAWATI _ SERTIFIKAT BIMTEK IPASN BerAKHLASK</v>
      </c>
      <c r="P2782" s="5" t="s">
        <v>19597</v>
      </c>
    </row>
    <row r="2783">
      <c r="A2783" s="4">
        <v>45534.341499270835</v>
      </c>
      <c r="B2783" s="5" t="s">
        <v>34</v>
      </c>
      <c r="D2783" s="5" t="s">
        <v>1206</v>
      </c>
      <c r="E2783" s="5" t="s">
        <v>19608</v>
      </c>
      <c r="F2783" s="5" t="s">
        <v>37</v>
      </c>
      <c r="G2783" s="5" t="s">
        <v>19609</v>
      </c>
      <c r="H2783" s="6" t="s">
        <v>19610</v>
      </c>
      <c r="K2783" s="5" t="s">
        <v>19573</v>
      </c>
      <c r="M2783" s="5" t="s">
        <v>19611</v>
      </c>
      <c r="N2783" s="7" t="s">
        <v>19612</v>
      </c>
      <c r="O2783" s="8" t="str">
        <f>HYPERLINK("https://drive.google.com/file/d/19xnZKiVzNyICALxvRyUDC0ZN5hO3qJS-/view?usp=drivesdk","2782_LILIK YULIANI _ SERTIFIKAT BIMTEK IPASN BerAKHLASK")</f>
        <v>2782_LILIK YULIANI _ SERTIFIKAT BIMTEK IPASN BerAKHLASK</v>
      </c>
      <c r="P2783" s="5" t="s">
        <v>19597</v>
      </c>
    </row>
    <row r="2784">
      <c r="A2784" s="4">
        <v>45534.341499745366</v>
      </c>
      <c r="B2784" s="5" t="s">
        <v>34</v>
      </c>
      <c r="D2784" s="5" t="s">
        <v>522</v>
      </c>
      <c r="E2784" s="7" t="s">
        <v>19613</v>
      </c>
      <c r="F2784" s="5" t="s">
        <v>212</v>
      </c>
      <c r="G2784" s="5" t="s">
        <v>19614</v>
      </c>
      <c r="H2784" s="6" t="s">
        <v>19615</v>
      </c>
      <c r="K2784" s="5" t="s">
        <v>19573</v>
      </c>
      <c r="M2784" s="5" t="s">
        <v>19616</v>
      </c>
      <c r="N2784" s="7" t="s">
        <v>19617</v>
      </c>
      <c r="O2784" s="8" t="str">
        <f>HYPERLINK("https://drive.google.com/file/d/1-lPCLD5raVXt0QTEBJNKJN9LmVOOvwon/view?usp=drivesdk","2783_LAMUSIAH.SE _ SERTIFIKAT BIMTEK IPASN BerAKHLASK")</f>
        <v>2783_LAMUSIAH.SE _ SERTIFIKAT BIMTEK IPASN BerAKHLASK</v>
      </c>
      <c r="P2784" s="5" t="s">
        <v>19597</v>
      </c>
    </row>
    <row r="2785">
      <c r="A2785" s="4">
        <v>45534.34150962963</v>
      </c>
      <c r="B2785" s="5" t="s">
        <v>34</v>
      </c>
      <c r="D2785" s="5" t="s">
        <v>1206</v>
      </c>
      <c r="E2785" s="5" t="s">
        <v>19618</v>
      </c>
      <c r="F2785" s="5" t="s">
        <v>37</v>
      </c>
      <c r="G2785" s="5" t="s">
        <v>19619</v>
      </c>
      <c r="H2785" s="6" t="s">
        <v>19620</v>
      </c>
      <c r="K2785" s="5" t="s">
        <v>19573</v>
      </c>
      <c r="M2785" s="5" t="s">
        <v>19621</v>
      </c>
      <c r="N2785" s="7" t="s">
        <v>19622</v>
      </c>
      <c r="O2785" s="8" t="str">
        <f>HYPERLINK("https://drive.google.com/file/d/1aKQYvsb6ZkwF7KRgjALzX2PGGIULQ8pr/view?usp=drivesdk","2784_AKHMAD NAZILI _ SERTIFIKAT BIMTEK IPASN BerAKHLASK")</f>
        <v>2784_AKHMAD NAZILI _ SERTIFIKAT BIMTEK IPASN BerAKHLASK</v>
      </c>
      <c r="P2785" s="5" t="s">
        <v>19623</v>
      </c>
    </row>
    <row r="2786" hidden="1">
      <c r="A2786" s="4">
        <v>45534.34151738426</v>
      </c>
      <c r="B2786" s="5" t="s">
        <v>19</v>
      </c>
      <c r="C2786" s="5" t="s">
        <v>10418</v>
      </c>
      <c r="E2786" s="5" t="s">
        <v>19624</v>
      </c>
      <c r="F2786" s="5" t="s">
        <v>375</v>
      </c>
      <c r="G2786" s="5" t="s">
        <v>19625</v>
      </c>
      <c r="H2786" s="6" t="s">
        <v>19626</v>
      </c>
      <c r="K2786" s="5" t="s">
        <v>19573</v>
      </c>
      <c r="M2786" s="5" t="s">
        <v>19627</v>
      </c>
      <c r="N2786" s="7" t="s">
        <v>19628</v>
      </c>
      <c r="O2786" s="8" t="str">
        <f>HYPERLINK("https://drive.google.com/file/d/1-8boB9y0wkLZp5yQyN_UmBOImeaREbba/view?usp=drivesdk","2785_ROMDONI, S.E. _ SERTIFIKAT BIMTEK IPASN BerAKHLASK")</f>
        <v>2785_ROMDONI, S.E. _ SERTIFIKAT BIMTEK IPASN BerAKHLASK</v>
      </c>
      <c r="P2786" s="5" t="s">
        <v>19623</v>
      </c>
    </row>
    <row r="2787">
      <c r="A2787" s="4">
        <v>45534.34152298611</v>
      </c>
      <c r="B2787" s="5" t="s">
        <v>34</v>
      </c>
      <c r="D2787" s="5" t="s">
        <v>14313</v>
      </c>
      <c r="E2787" s="5" t="s">
        <v>19629</v>
      </c>
      <c r="F2787" s="5" t="s">
        <v>108</v>
      </c>
      <c r="G2787" s="5" t="s">
        <v>19630</v>
      </c>
      <c r="H2787" s="6" t="s">
        <v>19631</v>
      </c>
      <c r="K2787" s="5" t="s">
        <v>19573</v>
      </c>
      <c r="M2787" s="5" t="s">
        <v>19632</v>
      </c>
      <c r="N2787" s="7" t="s">
        <v>19633</v>
      </c>
      <c r="O2787" s="8" t="str">
        <f>HYPERLINK("https://drive.google.com/file/d/1gN3j5I6XKEeDa4L07-CK5JhQzcbPL6Lc/view?usp=drivesdk","2786_ROHANI  _ SERTIFIKAT BIMTEK IPASN BerAKHLASK")</f>
        <v>2786_ROHANI  _ SERTIFIKAT BIMTEK IPASN BerAKHLASK</v>
      </c>
      <c r="P2787" s="5" t="s">
        <v>19623</v>
      </c>
    </row>
    <row r="2788">
      <c r="A2788" s="4">
        <v>45534.34152646991</v>
      </c>
      <c r="B2788" s="5" t="s">
        <v>34</v>
      </c>
      <c r="D2788" s="5" t="s">
        <v>1206</v>
      </c>
      <c r="E2788" s="5" t="s">
        <v>19634</v>
      </c>
      <c r="F2788" s="5" t="s">
        <v>328</v>
      </c>
      <c r="G2788" s="5" t="s">
        <v>19635</v>
      </c>
      <c r="H2788" s="6" t="s">
        <v>19636</v>
      </c>
      <c r="K2788" s="5" t="s">
        <v>19573</v>
      </c>
      <c r="M2788" s="5" t="s">
        <v>19637</v>
      </c>
      <c r="N2788" s="7" t="s">
        <v>19638</v>
      </c>
      <c r="O2788" s="8" t="str">
        <f>HYPERLINK("https://drive.google.com/file/d/1S5adaQto_4UJdcNQaui9tL9OgfvQqX2A/view?usp=drivesdk","2787_RAKIMAN _ SERTIFIKAT BIMTEK IPASN BerAKHLASK")</f>
        <v>2787_RAKIMAN _ SERTIFIKAT BIMTEK IPASN BerAKHLASK</v>
      </c>
      <c r="P2788" s="5" t="s">
        <v>19623</v>
      </c>
    </row>
    <row r="2789">
      <c r="A2789" s="4">
        <v>45534.341538796296</v>
      </c>
      <c r="B2789" s="5" t="s">
        <v>34</v>
      </c>
      <c r="D2789" s="5" t="s">
        <v>3432</v>
      </c>
      <c r="E2789" s="5" t="s">
        <v>19639</v>
      </c>
      <c r="F2789" s="5" t="s">
        <v>37</v>
      </c>
      <c r="G2789" s="5" t="s">
        <v>19640</v>
      </c>
      <c r="H2789" s="6" t="s">
        <v>19641</v>
      </c>
      <c r="K2789" s="5" t="s">
        <v>19573</v>
      </c>
      <c r="M2789" s="5" t="s">
        <v>19642</v>
      </c>
      <c r="N2789" s="7" t="s">
        <v>19643</v>
      </c>
      <c r="O2789" s="8" t="str">
        <f>HYPERLINK("https://drive.google.com/file/d/1iEEZzu7PzD08ADx2SUcyYeaTqaRmviuA/view?usp=drivesdk","2788_ASTI NINGSIH LA TAUTE, A.Md.Kep _ SERTIFIKAT BIMTEK IPASN BerAKHLASK")</f>
        <v>2788_ASTI NINGSIH LA TAUTE, A.Md.Kep _ SERTIFIKAT BIMTEK IPASN BerAKHLASK</v>
      </c>
      <c r="P2789" s="5" t="s">
        <v>19644</v>
      </c>
    </row>
    <row r="2790" hidden="1">
      <c r="A2790" s="4">
        <v>45534.34154140046</v>
      </c>
      <c r="B2790" s="5" t="s">
        <v>19</v>
      </c>
      <c r="C2790" s="5" t="s">
        <v>14000</v>
      </c>
      <c r="E2790" s="5" t="s">
        <v>19645</v>
      </c>
      <c r="F2790" s="5" t="s">
        <v>37</v>
      </c>
      <c r="G2790" s="5" t="s">
        <v>19646</v>
      </c>
      <c r="H2790" s="6" t="s">
        <v>19647</v>
      </c>
      <c r="K2790" s="5" t="s">
        <v>19573</v>
      </c>
      <c r="M2790" s="5" t="s">
        <v>19648</v>
      </c>
      <c r="N2790" s="7" t="s">
        <v>19649</v>
      </c>
      <c r="O2790" s="8" t="str">
        <f>HYPERLINK("https://drive.google.com/file/d/1ODOamkHmqZVagCVqlL-w85BC5eF1h1h0/view?usp=drivesdk","2789_KARTIKA AYU AFRIANI _ SERTIFIKAT BIMTEK IPASN BerAKHLASK")</f>
        <v>2789_KARTIKA AYU AFRIANI _ SERTIFIKAT BIMTEK IPASN BerAKHLASK</v>
      </c>
      <c r="P2790" s="5" t="s">
        <v>19644</v>
      </c>
    </row>
    <row r="2791">
      <c r="A2791" s="4">
        <v>45534.34154486111</v>
      </c>
      <c r="B2791" s="5" t="s">
        <v>34</v>
      </c>
      <c r="D2791" s="5" t="s">
        <v>35</v>
      </c>
      <c r="E2791" s="5" t="s">
        <v>19650</v>
      </c>
      <c r="F2791" s="5" t="s">
        <v>212</v>
      </c>
      <c r="G2791" s="5" t="s">
        <v>19651</v>
      </c>
      <c r="H2791" s="6" t="s">
        <v>19652</v>
      </c>
      <c r="K2791" s="5" t="s">
        <v>19573</v>
      </c>
      <c r="M2791" s="5" t="s">
        <v>19653</v>
      </c>
      <c r="N2791" s="7" t="s">
        <v>19654</v>
      </c>
      <c r="O2791" s="8" t="str">
        <f>HYPERLINK("https://drive.google.com/file/d/1zom7JDbHfjW4xWOlo25I2ykqaS6KPAcX/view?usp=drivesdk","2790_EDY RIYANTO _ SERTIFIKAT BIMTEK IPASN BerAKHLASK")</f>
        <v>2790_EDY RIYANTO _ SERTIFIKAT BIMTEK IPASN BerAKHLASK</v>
      </c>
      <c r="P2791" s="5" t="s">
        <v>19644</v>
      </c>
    </row>
    <row r="2792">
      <c r="A2792" s="4">
        <v>45534.341554189814</v>
      </c>
      <c r="B2792" s="5" t="s">
        <v>34</v>
      </c>
      <c r="D2792" s="5" t="s">
        <v>4775</v>
      </c>
      <c r="E2792" s="5" t="s">
        <v>19655</v>
      </c>
      <c r="F2792" s="5" t="s">
        <v>375</v>
      </c>
      <c r="G2792" s="5" t="s">
        <v>19656</v>
      </c>
      <c r="H2792" s="6" t="s">
        <v>19657</v>
      </c>
      <c r="K2792" s="5" t="s">
        <v>19573</v>
      </c>
      <c r="M2792" s="5" t="s">
        <v>19658</v>
      </c>
      <c r="N2792" s="7" t="s">
        <v>19659</v>
      </c>
      <c r="O2792" s="8" t="str">
        <f>HYPERLINK("https://drive.google.com/file/d/1VkxWDeLC1h_U9ZwDCK80ffdeoiZ8djIK/view?usp=drivesdk","2791_SUSILOWATI, S.E., M.Si _ SERTIFIKAT BIMTEK IPASN BerAKHLASK")</f>
        <v>2791_SUSILOWATI, S.E., M.Si _ SERTIFIKAT BIMTEK IPASN BerAKHLASK</v>
      </c>
      <c r="P2792" s="5" t="s">
        <v>19660</v>
      </c>
    </row>
    <row r="2793">
      <c r="A2793" s="4">
        <v>45534.34156133102</v>
      </c>
      <c r="B2793" s="5" t="s">
        <v>34</v>
      </c>
      <c r="D2793" s="5" t="s">
        <v>4775</v>
      </c>
      <c r="E2793" s="5" t="s">
        <v>19661</v>
      </c>
      <c r="F2793" s="5" t="s">
        <v>212</v>
      </c>
      <c r="G2793" s="5" t="s">
        <v>19662</v>
      </c>
      <c r="H2793" s="6" t="s">
        <v>19663</v>
      </c>
      <c r="K2793" s="5" t="s">
        <v>19573</v>
      </c>
      <c r="M2793" s="5" t="s">
        <v>19664</v>
      </c>
      <c r="N2793" s="7" t="s">
        <v>19665</v>
      </c>
      <c r="O2793" s="8" t="str">
        <f>HYPERLINK("https://drive.google.com/file/d/1sd6z3Y3JH8UA-1GMnU3jvTR1KEGOKf1d/view?usp=drivesdk","2792_CIPTANTI FITRI MARGIHASTUTI _ SERTIFIKAT BIMTEK IPASN BerAKHLASK")</f>
        <v>2792_CIPTANTI FITRI MARGIHASTUTI _ SERTIFIKAT BIMTEK IPASN BerAKHLASK</v>
      </c>
      <c r="P2793" s="5" t="s">
        <v>19660</v>
      </c>
    </row>
    <row r="2794">
      <c r="A2794" s="4">
        <v>45534.34156664352</v>
      </c>
      <c r="B2794" s="5" t="s">
        <v>34</v>
      </c>
      <c r="D2794" s="5" t="s">
        <v>1768</v>
      </c>
      <c r="E2794" s="5" t="s">
        <v>19666</v>
      </c>
      <c r="F2794" s="5" t="s">
        <v>120</v>
      </c>
      <c r="G2794" s="5" t="s">
        <v>19667</v>
      </c>
      <c r="H2794" s="6" t="s">
        <v>19668</v>
      </c>
      <c r="K2794" s="5" t="s">
        <v>19573</v>
      </c>
      <c r="M2794" s="5" t="s">
        <v>19669</v>
      </c>
      <c r="N2794" s="7" t="s">
        <v>19670</v>
      </c>
      <c r="O2794" s="8" t="str">
        <f>HYPERLINK("https://drive.google.com/file/d/1EHmMEmaszH1Usv2dhI4dnimA1MN6QeWD/view?usp=drivesdk","2793_Dr. BAHARUDDIN, M.Pd _ SERTIFIKAT BIMTEK IPASN BerAKHLASK")</f>
        <v>2793_Dr. BAHARUDDIN, M.Pd _ SERTIFIKAT BIMTEK IPASN BerAKHLASK</v>
      </c>
      <c r="P2794" s="5" t="s">
        <v>19660</v>
      </c>
    </row>
    <row r="2795">
      <c r="A2795" s="4">
        <v>45534.341585891205</v>
      </c>
      <c r="B2795" s="5" t="s">
        <v>34</v>
      </c>
      <c r="D2795" s="5" t="s">
        <v>1206</v>
      </c>
      <c r="E2795" s="7" t="s">
        <v>19671</v>
      </c>
      <c r="F2795" s="5" t="s">
        <v>715</v>
      </c>
      <c r="G2795" s="5" t="s">
        <v>19672</v>
      </c>
      <c r="H2795" s="6" t="s">
        <v>19673</v>
      </c>
      <c r="I2795" s="7" t="s">
        <v>19674</v>
      </c>
      <c r="J2795" s="8" t="str">
        <f>HYPERLINK("https://drive.google.com/file/d/1u7XKnzosx8IxV7TmC_biTVqXaNSDshmx/view?usp=drivesdk","SULASTUTIK.SH SERTIFIKAT BerAKHLAK")</f>
        <v>SULASTUTIK.SH SERTIFIKAT BerAKHLAK</v>
      </c>
      <c r="K2795" s="5" t="s">
        <v>18654</v>
      </c>
      <c r="L2795" s="5" t="s">
        <v>19675</v>
      </c>
      <c r="M2795" s="5" t="s">
        <v>19676</v>
      </c>
      <c r="N2795" s="7" t="s">
        <v>19677</v>
      </c>
      <c r="O2795" s="8" t="str">
        <f>HYPERLINK("https://drive.google.com/file/d/1WbixEzxozBldZ8gKiBhbt0JU-dYT9BG5/view?usp=drivesdk","2794_SULASTUTIK.SH _ SERTIFIKAT BIMTEK IPASN BerAKHLASK")</f>
        <v>2794_SULASTUTIK.SH _ SERTIFIKAT BIMTEK IPASN BerAKHLASK</v>
      </c>
      <c r="P2795" s="5" t="s">
        <v>19678</v>
      </c>
    </row>
    <row r="2796" hidden="1">
      <c r="A2796" s="4">
        <v>45534.341589421296</v>
      </c>
      <c r="B2796" s="5" t="s">
        <v>19</v>
      </c>
      <c r="C2796" s="5" t="s">
        <v>466</v>
      </c>
      <c r="E2796" s="5" t="s">
        <v>19679</v>
      </c>
      <c r="F2796" s="5" t="s">
        <v>72</v>
      </c>
      <c r="G2796" s="5" t="s">
        <v>19680</v>
      </c>
      <c r="H2796" s="6" t="s">
        <v>19681</v>
      </c>
      <c r="I2796" s="7" t="s">
        <v>19682</v>
      </c>
      <c r="J2796" s="8" t="str">
        <f>HYPERLINK("https://drive.google.com/file/d/1eiE71FXh1wM2UsZdHpw3H6JrowzGmly-/view?usp=drivesdk","NANIK YULIASTUTI  SERTIFIKAT BerAKHLAK")</f>
        <v>NANIK YULIASTUTI  SERTIFIKAT BerAKHLAK</v>
      </c>
      <c r="K2796" s="5" t="s">
        <v>18654</v>
      </c>
      <c r="L2796" s="5" t="s">
        <v>19683</v>
      </c>
      <c r="M2796" s="5" t="s">
        <v>19684</v>
      </c>
      <c r="N2796" s="7" t="s">
        <v>19685</v>
      </c>
      <c r="O2796" s="8" t="str">
        <f>HYPERLINK("https://drive.google.com/file/d/1zF6_9Bx6Tk5QmOD_sWMVUz8iV5dWnzsl/view?usp=drivesdk","2795_NANIK YULIASTUTI  _ SERTIFIKAT BIMTEK IPASN BerAKHLASK")</f>
        <v>2795_NANIK YULIASTUTI  _ SERTIFIKAT BIMTEK IPASN BerAKHLASK</v>
      </c>
      <c r="P2796" s="5" t="s">
        <v>19678</v>
      </c>
    </row>
    <row r="2797">
      <c r="A2797" s="4">
        <v>45534.34160112268</v>
      </c>
      <c r="B2797" s="5" t="s">
        <v>34</v>
      </c>
      <c r="D2797" s="5" t="s">
        <v>9020</v>
      </c>
      <c r="E2797" s="5" t="s">
        <v>19686</v>
      </c>
      <c r="F2797" s="5" t="s">
        <v>72</v>
      </c>
      <c r="G2797" s="5" t="s">
        <v>19687</v>
      </c>
      <c r="H2797" s="6" t="s">
        <v>19688</v>
      </c>
      <c r="I2797" s="7" t="s">
        <v>19689</v>
      </c>
      <c r="J2797" s="8" t="str">
        <f>HYPERLINK("https://drive.google.com/file/d/11kNzuzlQMBvuLqB40PUjqSC7h4o3zCDW/view?usp=drivesdk","ALIDA  LJ SILALAHI, SE SERTIFIKAT BerAKHLAK")</f>
        <v>ALIDA  LJ SILALAHI, SE SERTIFIKAT BerAKHLAK</v>
      </c>
      <c r="K2797" s="5" t="s">
        <v>18654</v>
      </c>
      <c r="L2797" s="5" t="s">
        <v>19690</v>
      </c>
      <c r="M2797" s="5" t="s">
        <v>19691</v>
      </c>
      <c r="N2797" s="7" t="s">
        <v>19692</v>
      </c>
      <c r="O2797" s="8" t="str">
        <f>HYPERLINK("https://drive.google.com/file/d/1-Lc27FarIO6Eo8_OXEXex1Zn2-IIgwRS/view?usp=drivesdk","2796_ALIDA  LJ SILALAHI, SE _ SERTIFIKAT BIMTEK IPASN BerAKHLASK")</f>
        <v>2796_ALIDA  LJ SILALAHI, SE _ SERTIFIKAT BIMTEK IPASN BerAKHLASK</v>
      </c>
      <c r="P2797" s="5" t="s">
        <v>19678</v>
      </c>
    </row>
    <row r="2798">
      <c r="A2798" s="4">
        <v>45534.34161004629</v>
      </c>
      <c r="B2798" s="5" t="s">
        <v>34</v>
      </c>
      <c r="D2798" s="5" t="s">
        <v>1206</v>
      </c>
      <c r="E2798" s="5" t="s">
        <v>19693</v>
      </c>
      <c r="F2798" s="5" t="s">
        <v>37</v>
      </c>
      <c r="G2798" s="5" t="s">
        <v>19694</v>
      </c>
      <c r="H2798" s="6" t="s">
        <v>19695</v>
      </c>
      <c r="I2798" s="7" t="s">
        <v>19696</v>
      </c>
      <c r="J2798" s="8" t="str">
        <f>HYPERLINK("https://drive.google.com/file/d/179yJqbC0nAY0lIE0Reo6-Hj80sCAB31p/view?usp=drivesdk","EKO PRIYANTO SERTIFIKAT BerAKHLAK")</f>
        <v>EKO PRIYANTO SERTIFIKAT BerAKHLAK</v>
      </c>
      <c r="K2798" s="5" t="s">
        <v>18654</v>
      </c>
      <c r="L2798" s="5" t="s">
        <v>19697</v>
      </c>
      <c r="M2798" s="5" t="s">
        <v>19698</v>
      </c>
      <c r="N2798" s="7" t="s">
        <v>19699</v>
      </c>
      <c r="O2798" s="8" t="str">
        <f>HYPERLINK("https://drive.google.com/file/d/13RjYgKMPokX8oZCoeVRS1b_zEugjOJrz/view?usp=drivesdk","2797_EKO PRIYANTO _ SERTIFIKAT BIMTEK IPASN BerAKHLASK")</f>
        <v>2797_EKO PRIYANTO _ SERTIFIKAT BIMTEK IPASN BerAKHLASK</v>
      </c>
      <c r="P2798" s="5" t="s">
        <v>19678</v>
      </c>
    </row>
    <row r="2799">
      <c r="A2799" s="4">
        <v>45534.341612731485</v>
      </c>
      <c r="B2799" s="5" t="s">
        <v>34</v>
      </c>
      <c r="D2799" s="5" t="s">
        <v>1456</v>
      </c>
      <c r="E2799" s="5" t="s">
        <v>19700</v>
      </c>
      <c r="F2799" s="5" t="s">
        <v>37</v>
      </c>
      <c r="G2799" s="5" t="s">
        <v>19701</v>
      </c>
      <c r="H2799" s="6" t="s">
        <v>19702</v>
      </c>
      <c r="I2799" s="7" t="s">
        <v>19703</v>
      </c>
      <c r="J2799" s="8" t="str">
        <f>HYPERLINK("https://drive.google.com/file/d/1xOixOUDEYpOXBEr2cGsrBu9XU5fzn0KJ/view?usp=drivesdk","MUHAMAD SANI SERTIFIKAT BerAKHLAK")</f>
        <v>MUHAMAD SANI SERTIFIKAT BerAKHLAK</v>
      </c>
      <c r="K2799" s="5" t="s">
        <v>18654</v>
      </c>
      <c r="L2799" s="5" t="s">
        <v>19704</v>
      </c>
      <c r="M2799" s="5" t="s">
        <v>19705</v>
      </c>
      <c r="N2799" s="7" t="s">
        <v>19706</v>
      </c>
      <c r="O2799" s="8" t="str">
        <f>HYPERLINK("https://drive.google.com/file/d/11CFiHkh4aea2rhA6hMNJZIbVbVSHOlD9/view?usp=drivesdk","2798_MUHAMAD SANI _ SERTIFIKAT BIMTEK IPASN BerAKHLASK")</f>
        <v>2798_MUHAMAD SANI _ SERTIFIKAT BIMTEK IPASN BerAKHLASK</v>
      </c>
      <c r="P2799" s="5" t="s">
        <v>19707</v>
      </c>
    </row>
    <row r="2800">
      <c r="A2800" s="4">
        <v>45534.341612881944</v>
      </c>
      <c r="B2800" s="5" t="s">
        <v>34</v>
      </c>
      <c r="D2800" s="5" t="s">
        <v>35</v>
      </c>
      <c r="E2800" s="5" t="s">
        <v>19708</v>
      </c>
      <c r="F2800" s="5" t="s">
        <v>108</v>
      </c>
      <c r="G2800" s="5" t="s">
        <v>19709</v>
      </c>
      <c r="H2800" s="6" t="s">
        <v>19710</v>
      </c>
      <c r="I2800" s="7" t="s">
        <v>19711</v>
      </c>
      <c r="J2800" s="8" t="str">
        <f>HYPERLINK("https://drive.google.com/file/d/12r3GUvf9o5B0hri1lG86KeX-qCewnfth/view?usp=drivesdk","SITI MURTINI SERTIFIKAT BerAKHLAK")</f>
        <v>SITI MURTINI SERTIFIKAT BerAKHLAK</v>
      </c>
      <c r="K2800" s="5" t="s">
        <v>18654</v>
      </c>
      <c r="L2800" s="5" t="s">
        <v>19712</v>
      </c>
      <c r="M2800" s="5" t="s">
        <v>19713</v>
      </c>
      <c r="N2800" s="7" t="s">
        <v>19714</v>
      </c>
      <c r="O2800" s="8" t="str">
        <f>HYPERLINK("https://drive.google.com/file/d/1oSeoogHvt8Ei2Tn6BZnTwGSWk8WBH2dI/view?usp=drivesdk","2799_SITI MURTINI _ SERTIFIKAT BIMTEK IPASN BerAKHLASK")</f>
        <v>2799_SITI MURTINI _ SERTIFIKAT BIMTEK IPASN BerAKHLASK</v>
      </c>
      <c r="P2800" s="5" t="s">
        <v>19707</v>
      </c>
    </row>
    <row r="2801">
      <c r="A2801" s="4">
        <v>45534.34161459491</v>
      </c>
      <c r="B2801" s="5" t="s">
        <v>34</v>
      </c>
      <c r="D2801" s="5" t="s">
        <v>522</v>
      </c>
      <c r="E2801" s="5" t="s">
        <v>19715</v>
      </c>
      <c r="F2801" s="5" t="s">
        <v>212</v>
      </c>
      <c r="G2801" s="5" t="s">
        <v>19716</v>
      </c>
      <c r="H2801" s="6" t="s">
        <v>19717</v>
      </c>
      <c r="I2801" s="7" t="s">
        <v>19718</v>
      </c>
      <c r="J2801" s="8" t="str">
        <f>HYPERLINK("https://drive.google.com/file/d/1XqoYxOnl2K8p-91VBEu-CfzuNJ9eowHQ/view?usp=drivesdk","MISNAYO SERTIFIKAT BerAKHLAK")</f>
        <v>MISNAYO SERTIFIKAT BerAKHLAK</v>
      </c>
      <c r="K2801" s="5" t="s">
        <v>18654</v>
      </c>
      <c r="L2801" s="5" t="s">
        <v>19719</v>
      </c>
      <c r="M2801" s="5" t="s">
        <v>19720</v>
      </c>
      <c r="N2801" s="7" t="s">
        <v>19721</v>
      </c>
      <c r="O2801" s="8" t="str">
        <f>HYPERLINK("https://drive.google.com/file/d/1sFzlH_yiY6fiDzGGfdTENgHsRrolpdUb/view?usp=drivesdk","2800_MISNAYO _ SERTIFIKAT BIMTEK IPASN BerAKHLASK")</f>
        <v>2800_MISNAYO _ SERTIFIKAT BIMTEK IPASN BerAKHLASK</v>
      </c>
      <c r="P2801" s="5" t="s">
        <v>19707</v>
      </c>
    </row>
    <row r="2802">
      <c r="A2802" s="4">
        <v>45534.341621562504</v>
      </c>
      <c r="B2802" s="5" t="s">
        <v>34</v>
      </c>
      <c r="D2802" s="5" t="s">
        <v>267</v>
      </c>
      <c r="E2802" s="5" t="s">
        <v>19722</v>
      </c>
      <c r="F2802" s="5" t="s">
        <v>524</v>
      </c>
      <c r="G2802" s="5" t="s">
        <v>19723</v>
      </c>
      <c r="H2802" s="6" t="s">
        <v>19724</v>
      </c>
      <c r="I2802" s="7" t="s">
        <v>19725</v>
      </c>
      <c r="J2802" s="8" t="str">
        <f>HYPERLINK("https://drive.google.com/file/d/1ESZNXOv75MNLbAkB3-Icz_6RgeW6h3F5/view?usp=drivesdk","SUPARMAN SERTIFIKAT BerAKHLAK")</f>
        <v>SUPARMAN SERTIFIKAT BerAKHLAK</v>
      </c>
      <c r="K2802" s="5" t="s">
        <v>18654</v>
      </c>
      <c r="L2802" s="5" t="s">
        <v>19726</v>
      </c>
      <c r="M2802" s="5" t="s">
        <v>19727</v>
      </c>
      <c r="N2802" s="7" t="s">
        <v>19728</v>
      </c>
      <c r="O2802" s="8" t="str">
        <f>HYPERLINK("https://drive.google.com/file/d/1-JVgk2BYr5QpzZqocUUuK92U3LfmjCER/view?usp=drivesdk","2801_SUPARMAN _ SERTIFIKAT BIMTEK IPASN BerAKHLASK")</f>
        <v>2801_SUPARMAN _ SERTIFIKAT BIMTEK IPASN BerAKHLASK</v>
      </c>
      <c r="P2802" s="5" t="s">
        <v>19707</v>
      </c>
    </row>
    <row r="2803">
      <c r="A2803" s="4">
        <v>45534.341624733795</v>
      </c>
      <c r="B2803" s="5" t="s">
        <v>34</v>
      </c>
      <c r="D2803" s="5" t="s">
        <v>9020</v>
      </c>
      <c r="E2803" s="5" t="s">
        <v>19729</v>
      </c>
      <c r="F2803" s="5" t="s">
        <v>72</v>
      </c>
      <c r="G2803" s="5" t="s">
        <v>19730</v>
      </c>
      <c r="H2803" s="6" t="s">
        <v>19731</v>
      </c>
      <c r="I2803" s="7" t="s">
        <v>19732</v>
      </c>
      <c r="J2803" s="8" t="str">
        <f>HYPERLINK("https://drive.google.com/file/d/1H4B8lDhuGrPHu1wPFWuI4SgK04zvxy5g/view?usp=drivesdk","Tusiyah,SST.FT SERTIFIKAT BerAKHLAK")</f>
        <v>Tusiyah,SST.FT SERTIFIKAT BerAKHLAK</v>
      </c>
      <c r="K2803" s="5" t="s">
        <v>18691</v>
      </c>
      <c r="L2803" s="5" t="s">
        <v>19733</v>
      </c>
      <c r="M2803" s="5" t="s">
        <v>19734</v>
      </c>
      <c r="N2803" s="7" t="s">
        <v>19735</v>
      </c>
      <c r="O2803" s="8" t="str">
        <f>HYPERLINK("https://drive.google.com/file/d/1-seji-T_AbXYoT0YrbojJPCKkxs5AzMw/view?usp=drivesdk","2802_Tusiyah,SST.FT _ SERTIFIKAT BIMTEK IPASN BerAKHLASK")</f>
        <v>2802_Tusiyah,SST.FT _ SERTIFIKAT BIMTEK IPASN BerAKHLASK</v>
      </c>
      <c r="P2803" s="5" t="s">
        <v>19736</v>
      </c>
    </row>
    <row r="2804" hidden="1">
      <c r="A2804" s="4">
        <v>45534.34164047454</v>
      </c>
      <c r="B2804" s="5" t="s">
        <v>19</v>
      </c>
      <c r="C2804" s="5" t="s">
        <v>5564</v>
      </c>
      <c r="E2804" s="5" t="s">
        <v>19737</v>
      </c>
      <c r="F2804" s="5" t="s">
        <v>212</v>
      </c>
      <c r="G2804" s="5" t="s">
        <v>19738</v>
      </c>
      <c r="H2804" s="6" t="s">
        <v>19739</v>
      </c>
      <c r="I2804" s="7" t="s">
        <v>19740</v>
      </c>
      <c r="J2804" s="8" t="str">
        <f>HYPERLINK("https://drive.google.com/file/d/15Fwtzw7sBZloAPQ1yxrCnG64U2JQ1pxl/view?usp=drivesdk","TUSYAL RIYANI  SERTIFIKAT BerAKHLAK")</f>
        <v>TUSYAL RIYANI  SERTIFIKAT BerAKHLAK</v>
      </c>
      <c r="K2804" s="5" t="s">
        <v>18691</v>
      </c>
      <c r="L2804" s="5" t="s">
        <v>19741</v>
      </c>
      <c r="M2804" s="5" t="s">
        <v>19742</v>
      </c>
      <c r="N2804" s="7" t="s">
        <v>19743</v>
      </c>
      <c r="O2804" s="8" t="str">
        <f>HYPERLINK("https://drive.google.com/file/d/1WNuI3dj6zR1Ebg52SSsNPfTqOSixTwZ4/view?usp=drivesdk","2803_TUSYAL RIYANI  _ SERTIFIKAT BIMTEK IPASN BerAKHLASK")</f>
        <v>2803_TUSYAL RIYANI  _ SERTIFIKAT BIMTEK IPASN BerAKHLASK</v>
      </c>
      <c r="P2804" s="5" t="s">
        <v>19736</v>
      </c>
    </row>
    <row r="2805">
      <c r="A2805" s="4">
        <v>45534.341642060186</v>
      </c>
      <c r="B2805" s="5" t="s">
        <v>34</v>
      </c>
      <c r="D2805" s="5" t="s">
        <v>4775</v>
      </c>
      <c r="E2805" s="5" t="s">
        <v>19744</v>
      </c>
      <c r="F2805" s="5" t="s">
        <v>212</v>
      </c>
      <c r="G2805" s="5" t="s">
        <v>19745</v>
      </c>
      <c r="H2805" s="6" t="s">
        <v>19746</v>
      </c>
      <c r="K2805" s="5" t="s">
        <v>19747</v>
      </c>
      <c r="M2805" s="5" t="s">
        <v>19748</v>
      </c>
      <c r="N2805" s="7" t="s">
        <v>19749</v>
      </c>
      <c r="O2805" s="8" t="str">
        <f>HYPERLINK("https://drive.google.com/file/d/16GCZPdrqQeZTiv4K8M0X8vOgS1zyfbL7/view?usp=drivesdk","2804_SISWANTO _ SERTIFIKAT BIMTEK IPASN BerAKHLASK")</f>
        <v>2804_SISWANTO _ SERTIFIKAT BIMTEK IPASN BerAKHLASK</v>
      </c>
      <c r="P2805" s="5" t="s">
        <v>19736</v>
      </c>
    </row>
    <row r="2806">
      <c r="A2806" s="4">
        <v>45534.34164327546</v>
      </c>
      <c r="B2806" s="5" t="s">
        <v>34</v>
      </c>
      <c r="D2806" s="5" t="s">
        <v>1206</v>
      </c>
      <c r="E2806" s="5" t="s">
        <v>19750</v>
      </c>
      <c r="F2806" s="5" t="s">
        <v>375</v>
      </c>
      <c r="G2806" s="5" t="s">
        <v>19751</v>
      </c>
      <c r="H2806" s="6" t="s">
        <v>19752</v>
      </c>
      <c r="K2806" s="5" t="s">
        <v>19747</v>
      </c>
      <c r="M2806" s="5" t="s">
        <v>19753</v>
      </c>
      <c r="N2806" s="7" t="s">
        <v>19754</v>
      </c>
      <c r="O2806" s="8" t="str">
        <f>HYPERLINK("https://drive.google.com/file/d/1YCOXG6a1sklFP0Dc7gQfNY7TqAySOBBr/view?usp=drivesdk","2805_ROSSANA EKO SULISTYO WIDOWATI  _ SERTIFIKAT BIMTEK IPASN BerAKHLASK")</f>
        <v>2805_ROSSANA EKO SULISTYO WIDOWATI  _ SERTIFIKAT BIMTEK IPASN BerAKHLASK</v>
      </c>
      <c r="P2806" s="5" t="s">
        <v>19736</v>
      </c>
    </row>
    <row r="2807">
      <c r="A2807" s="4">
        <v>45534.34165915509</v>
      </c>
      <c r="B2807" s="5" t="s">
        <v>34</v>
      </c>
      <c r="D2807" s="5" t="s">
        <v>35</v>
      </c>
      <c r="E2807" s="5" t="s">
        <v>19755</v>
      </c>
      <c r="F2807" s="5" t="s">
        <v>212</v>
      </c>
      <c r="G2807" s="5" t="s">
        <v>19756</v>
      </c>
      <c r="H2807" s="6" t="s">
        <v>19757</v>
      </c>
      <c r="K2807" s="5" t="s">
        <v>19747</v>
      </c>
      <c r="M2807" s="5" t="s">
        <v>19758</v>
      </c>
      <c r="N2807" s="7" t="s">
        <v>19759</v>
      </c>
      <c r="O2807" s="8" t="str">
        <f>HYPERLINK("https://drive.google.com/file/d/1Bovgn1DMaN-WGNVscqibX9K4K7BECIPg/view?usp=drivesdk","2806_ROSIKAH _ SERTIFIKAT BIMTEK IPASN BerAKHLASK")</f>
        <v>2806_ROSIKAH _ SERTIFIKAT BIMTEK IPASN BerAKHLASK</v>
      </c>
      <c r="P2807" s="5" t="s">
        <v>19760</v>
      </c>
    </row>
    <row r="2808">
      <c r="A2808" s="4">
        <v>45534.34166144676</v>
      </c>
      <c r="B2808" s="5" t="s">
        <v>34</v>
      </c>
      <c r="D2808" s="5" t="s">
        <v>280</v>
      </c>
      <c r="E2808" s="5" t="s">
        <v>19761</v>
      </c>
      <c r="F2808" s="5" t="s">
        <v>524</v>
      </c>
      <c r="G2808" s="5" t="s">
        <v>19762</v>
      </c>
      <c r="H2808" s="6" t="s">
        <v>19763</v>
      </c>
      <c r="K2808" s="5" t="s">
        <v>19747</v>
      </c>
      <c r="M2808" s="5" t="s">
        <v>19764</v>
      </c>
      <c r="N2808" s="7" t="s">
        <v>19765</v>
      </c>
      <c r="O2808" s="8" t="str">
        <f>HYPERLINK("https://drive.google.com/file/d/1GjrRrdkBdDYCq-IqdSPA6zH1TQGMzWA8/view?usp=drivesdk","2807_ANDRI KUSUMA, S.H. _ SERTIFIKAT BIMTEK IPASN BerAKHLASK")</f>
        <v>2807_ANDRI KUSUMA, S.H. _ SERTIFIKAT BIMTEK IPASN BerAKHLASK</v>
      </c>
      <c r="P2808" s="5" t="s">
        <v>19760</v>
      </c>
    </row>
    <row r="2809">
      <c r="A2809" s="4">
        <v>45534.34166892361</v>
      </c>
      <c r="B2809" s="5" t="s">
        <v>34</v>
      </c>
      <c r="D2809" s="5" t="s">
        <v>1206</v>
      </c>
      <c r="E2809" s="5" t="s">
        <v>19766</v>
      </c>
      <c r="F2809" s="5" t="s">
        <v>85</v>
      </c>
      <c r="G2809" s="5" t="s">
        <v>19767</v>
      </c>
      <c r="H2809" s="6" t="s">
        <v>19768</v>
      </c>
      <c r="K2809" s="5" t="s">
        <v>19747</v>
      </c>
      <c r="M2809" s="5" t="s">
        <v>19769</v>
      </c>
      <c r="N2809" s="7" t="s">
        <v>19770</v>
      </c>
      <c r="O2809" s="8" t="str">
        <f>HYPERLINK("https://drive.google.com/file/d/1FYxvfFCv_wiiolz4QDRky9BmAIBQ8-Xy/view?usp=drivesdk","2808_DIMAS ZAINI SPD MAP _ SERTIFIKAT BIMTEK IPASN BerAKHLASK")</f>
        <v>2808_DIMAS ZAINI SPD MAP _ SERTIFIKAT BIMTEK IPASN BerAKHLASK</v>
      </c>
      <c r="P2809" s="5" t="s">
        <v>19760</v>
      </c>
    </row>
    <row r="2810" hidden="1">
      <c r="A2810" s="4">
        <v>45534.34166888889</v>
      </c>
      <c r="B2810" s="5" t="s">
        <v>19</v>
      </c>
      <c r="C2810" s="5" t="s">
        <v>5564</v>
      </c>
      <c r="E2810" s="5" t="s">
        <v>19771</v>
      </c>
      <c r="F2810" s="5" t="s">
        <v>120</v>
      </c>
      <c r="G2810" s="5" t="s">
        <v>19772</v>
      </c>
      <c r="H2810" s="6" t="s">
        <v>19773</v>
      </c>
      <c r="K2810" s="5" t="s">
        <v>19747</v>
      </c>
      <c r="M2810" s="5" t="s">
        <v>19774</v>
      </c>
      <c r="N2810" s="7" t="s">
        <v>19775</v>
      </c>
      <c r="O2810" s="8" t="str">
        <f>HYPERLINK("https://drive.google.com/file/d/18M8MVNfCESpBqR-hwoj2lPUk_bgEGPXS/view?usp=drivesdk","2809_Drg.Sinta Ning Utami _ SERTIFIKAT BIMTEK IPASN BerAKHLASK")</f>
        <v>2809_Drg.Sinta Ning Utami _ SERTIFIKAT BIMTEK IPASN BerAKHLASK</v>
      </c>
      <c r="P2810" s="5" t="s">
        <v>19760</v>
      </c>
    </row>
    <row r="2811">
      <c r="A2811" s="4">
        <v>45534.34167517361</v>
      </c>
      <c r="B2811" s="5" t="s">
        <v>34</v>
      </c>
      <c r="D2811" s="5" t="s">
        <v>1692</v>
      </c>
      <c r="E2811" s="5" t="s">
        <v>19776</v>
      </c>
      <c r="F2811" s="5" t="s">
        <v>524</v>
      </c>
      <c r="G2811" s="5" t="s">
        <v>19777</v>
      </c>
      <c r="H2811" s="6" t="s">
        <v>19778</v>
      </c>
      <c r="K2811" s="5" t="s">
        <v>19747</v>
      </c>
      <c r="M2811" s="5" t="s">
        <v>19779</v>
      </c>
      <c r="N2811" s="7" t="s">
        <v>19780</v>
      </c>
      <c r="O2811" s="8" t="str">
        <f>HYPERLINK("https://drive.google.com/file/d/1oVLQl98DMHQuHOsQPSPjuXmDza5zzfGY/view?usp=drivesdk","2810_Mirnawati maradabessy,A.Md.Kep _ SERTIFIKAT BIMTEK IPASN BerAKHLASK")</f>
        <v>2810_Mirnawati maradabessy,A.Md.Kep _ SERTIFIKAT BIMTEK IPASN BerAKHLASK</v>
      </c>
      <c r="P2811" s="5" t="s">
        <v>19760</v>
      </c>
    </row>
    <row r="2812">
      <c r="A2812" s="4">
        <v>45534.34168413194</v>
      </c>
      <c r="B2812" s="5" t="s">
        <v>34</v>
      </c>
      <c r="D2812" s="5" t="s">
        <v>1206</v>
      </c>
      <c r="E2812" s="5" t="s">
        <v>19781</v>
      </c>
      <c r="F2812" s="5" t="s">
        <v>37</v>
      </c>
      <c r="G2812" s="5" t="s">
        <v>19782</v>
      </c>
      <c r="H2812" s="6" t="s">
        <v>19783</v>
      </c>
      <c r="K2812" s="5" t="s">
        <v>19747</v>
      </c>
      <c r="M2812" s="5" t="s">
        <v>19784</v>
      </c>
      <c r="N2812" s="7" t="s">
        <v>19785</v>
      </c>
      <c r="O2812" s="8" t="str">
        <f>HYPERLINK("https://drive.google.com/file/d/1cyOYO5DZNxCtkNnuxgrZBKOUCiCSx7f_/view?usp=drivesdk","2811_Dwi Iwan Dadang Prabowo _ SERTIFIKAT BerAKHLAK")</f>
        <v>2811_Dwi Iwan Dadang Prabowo _ SERTIFIKAT BerAKHLAK</v>
      </c>
      <c r="P2812" s="5" t="s">
        <v>19786</v>
      </c>
    </row>
    <row r="2813">
      <c r="A2813" s="4">
        <v>45534.341685555555</v>
      </c>
      <c r="B2813" s="5" t="s">
        <v>34</v>
      </c>
      <c r="D2813" s="5" t="s">
        <v>35</v>
      </c>
      <c r="E2813" s="5" t="s">
        <v>19787</v>
      </c>
      <c r="F2813" s="5" t="s">
        <v>375</v>
      </c>
      <c r="G2813" s="5" t="s">
        <v>19788</v>
      </c>
      <c r="H2813" s="6" t="s">
        <v>19789</v>
      </c>
      <c r="I2813" s="7" t="s">
        <v>19790</v>
      </c>
      <c r="J2813" s="8" t="str">
        <f>HYPERLINK("https://drive.google.com/file/d/1T4DtVzDEC-huQrA8kyk1st7P8v5UsnZg/view?usp=drivesdk","ADENG WISNU WARDANA, S.Sos SERTIFIKAT BerAKHLAK")</f>
        <v>ADENG WISNU WARDANA, S.Sos SERTIFIKAT BerAKHLAK</v>
      </c>
      <c r="K2813" s="5" t="s">
        <v>18654</v>
      </c>
      <c r="L2813" s="5" t="s">
        <v>19791</v>
      </c>
      <c r="M2813" s="5" t="s">
        <v>19792</v>
      </c>
      <c r="N2813" s="7" t="s">
        <v>19793</v>
      </c>
      <c r="O2813" s="8" t="str">
        <f>HYPERLINK("https://drive.google.com/file/d/113ZixYBJOIJG5A0EhhNgTzMUSwwWozUK/view?usp=drivesdk","2812_ADENG WISNU WARDANA, S.Sos _ SERTIFIKAT BerAKHLAK")</f>
        <v>2812_ADENG WISNU WARDANA, S.Sos _ SERTIFIKAT BerAKHLAK</v>
      </c>
      <c r="P2813" s="5" t="s">
        <v>19786</v>
      </c>
    </row>
    <row r="2814">
      <c r="A2814" s="4">
        <v>45534.34168748843</v>
      </c>
      <c r="B2814" s="5" t="s">
        <v>34</v>
      </c>
      <c r="D2814" s="5" t="s">
        <v>3849</v>
      </c>
      <c r="E2814" s="5" t="s">
        <v>19794</v>
      </c>
      <c r="F2814" s="5" t="s">
        <v>328</v>
      </c>
      <c r="G2814" s="5" t="s">
        <v>19795</v>
      </c>
      <c r="H2814" s="6" t="s">
        <v>19796</v>
      </c>
      <c r="I2814" s="7" t="s">
        <v>19797</v>
      </c>
      <c r="J2814" s="8" t="str">
        <f>HYPERLINK("https://drive.google.com/file/d/1EMPifs_iDtUB-veGS55nKEJsLQ7UwJr1/view?usp=drivesdk","RUDY MARYONO SERTIFIKAT BerAKHLAK")</f>
        <v>RUDY MARYONO SERTIFIKAT BerAKHLAK</v>
      </c>
      <c r="K2814" s="5" t="s">
        <v>18654</v>
      </c>
      <c r="L2814" s="5" t="s">
        <v>19798</v>
      </c>
      <c r="M2814" s="5" t="s">
        <v>19799</v>
      </c>
      <c r="N2814" s="7" t="s">
        <v>19800</v>
      </c>
      <c r="O2814" s="8" t="str">
        <f>HYPERLINK("https://drive.google.com/file/d/1KHCh8lBdrZ6dxSlIGO7uyzluL7anXCWm/view?usp=drivesdk","2813_RUDY MARYONO _ SERTIFIKAT BerAKHLAK")</f>
        <v>2813_RUDY MARYONO _ SERTIFIKAT BerAKHLAK</v>
      </c>
      <c r="P2814" s="5" t="s">
        <v>19801</v>
      </c>
    </row>
    <row r="2815">
      <c r="A2815" s="4">
        <v>45534.341689629626</v>
      </c>
      <c r="B2815" s="5" t="s">
        <v>34</v>
      </c>
      <c r="D2815" s="5" t="s">
        <v>3849</v>
      </c>
      <c r="E2815" s="5" t="s">
        <v>19802</v>
      </c>
      <c r="F2815" s="5" t="s">
        <v>72</v>
      </c>
      <c r="G2815" s="5" t="s">
        <v>19803</v>
      </c>
      <c r="H2815" s="6" t="s">
        <v>19804</v>
      </c>
      <c r="I2815" s="7" t="s">
        <v>19805</v>
      </c>
      <c r="J2815" s="8" t="str">
        <f>HYPERLINK("https://drive.google.com/file/d/1MQ8-ByV0n8ZJIXsrEgyyKlem9gxAHB_w/view?usp=drivesdk","ERYANI, AM.D SERTIFIKAT BerAKHLAK")</f>
        <v>ERYANI, AM.D SERTIFIKAT BerAKHLAK</v>
      </c>
      <c r="K2815" s="5" t="s">
        <v>18654</v>
      </c>
      <c r="L2815" s="5" t="s">
        <v>19806</v>
      </c>
      <c r="M2815" s="5" t="s">
        <v>19807</v>
      </c>
      <c r="N2815" s="7" t="s">
        <v>19808</v>
      </c>
      <c r="O2815" s="8" t="str">
        <f>HYPERLINK("https://drive.google.com/file/d/1aTaHXzIhP38J8T--fDRSLwVZuTldszPT/view?usp=drivesdk","2814_ERYANI, AM.D _ SERTIFIKAT BerAKHLAK")</f>
        <v>2814_ERYANI, AM.D _ SERTIFIKAT BerAKHLAK</v>
      </c>
      <c r="P2815" s="5" t="s">
        <v>19801</v>
      </c>
    </row>
    <row r="2816">
      <c r="A2816" s="4">
        <v>45534.34169155093</v>
      </c>
      <c r="B2816" s="5" t="s">
        <v>34</v>
      </c>
      <c r="D2816" s="5" t="s">
        <v>35</v>
      </c>
      <c r="E2816" s="5" t="s">
        <v>19809</v>
      </c>
      <c r="F2816" s="5" t="s">
        <v>37</v>
      </c>
      <c r="G2816" s="5" t="s">
        <v>19810</v>
      </c>
      <c r="H2816" s="6" t="s">
        <v>19811</v>
      </c>
      <c r="I2816" s="7" t="s">
        <v>19812</v>
      </c>
      <c r="J2816" s="8" t="str">
        <f>HYPERLINK("https://drive.google.com/file/d/1v-x06coa_6kz0E2CyZX8TMMnyFicibKY/view?usp=drivesdk","AGI SAPUTRA KURNIA UTAMA  SERTIFIKAT BerAKHLAK")</f>
        <v>AGI SAPUTRA KURNIA UTAMA  SERTIFIKAT BerAKHLAK</v>
      </c>
      <c r="K2816" s="5" t="s">
        <v>18654</v>
      </c>
      <c r="L2816" s="5" t="s">
        <v>19813</v>
      </c>
      <c r="M2816" s="5" t="s">
        <v>19814</v>
      </c>
      <c r="N2816" s="7" t="s">
        <v>19815</v>
      </c>
      <c r="O2816" s="8" t="str">
        <f>HYPERLINK("https://drive.google.com/file/d/1yMXulkzK6GVokBVweOq9_nOwMGgKnIRN/view?usp=drivesdk","2815_AGI SAPUTRA KURNIA UTAMA  _ SERTIFIKAT BerAKHLAK")</f>
        <v>2815_AGI SAPUTRA KURNIA UTAMA  _ SERTIFIKAT BerAKHLAK</v>
      </c>
      <c r="P2816" s="5" t="s">
        <v>19816</v>
      </c>
    </row>
    <row r="2817">
      <c r="A2817" s="4">
        <v>45534.34170149306</v>
      </c>
      <c r="B2817" s="5" t="s">
        <v>34</v>
      </c>
      <c r="D2817" s="5" t="s">
        <v>9394</v>
      </c>
      <c r="E2817" s="5" t="s">
        <v>19817</v>
      </c>
      <c r="F2817" s="5" t="s">
        <v>715</v>
      </c>
      <c r="G2817" s="5" t="s">
        <v>19818</v>
      </c>
      <c r="H2817" s="6" t="s">
        <v>19819</v>
      </c>
      <c r="I2817" s="7" t="s">
        <v>19820</v>
      </c>
      <c r="J2817" s="8" t="str">
        <f>HYPERLINK("https://drive.google.com/file/d/1OH73lgNet_VV7qrUKuGbkXYNzaSdHgRO/view?usp=drivesdk","DUMIATUN RAHAYUNINGSIH, SE SERTIFIKAT BerAKHLAK")</f>
        <v>DUMIATUN RAHAYUNINGSIH, SE SERTIFIKAT BerAKHLAK</v>
      </c>
      <c r="K2817" s="5" t="s">
        <v>18654</v>
      </c>
      <c r="L2817" s="5" t="s">
        <v>19821</v>
      </c>
      <c r="M2817" s="5" t="s">
        <v>19822</v>
      </c>
      <c r="N2817" s="7" t="s">
        <v>19823</v>
      </c>
      <c r="O2817" s="8" t="str">
        <f>HYPERLINK("https://drive.google.com/file/d/1SV6kxyuYrdRovX6E46T7SAHjTLIlxOnn/view?usp=drivesdk","2816_DUMIATUN RAHAYUNINGSIH, SE _ SERTIFIKAT BerAKHLAK")</f>
        <v>2816_DUMIATUN RAHAYUNINGSIH, SE _ SERTIFIKAT BerAKHLAK</v>
      </c>
      <c r="P2817" s="5" t="s">
        <v>19816</v>
      </c>
    </row>
    <row r="2818">
      <c r="A2818" s="4">
        <v>45534.341705162034</v>
      </c>
      <c r="B2818" s="5" t="s">
        <v>34</v>
      </c>
      <c r="D2818" s="5" t="s">
        <v>4775</v>
      </c>
      <c r="E2818" s="5" t="s">
        <v>19824</v>
      </c>
      <c r="F2818" s="5" t="s">
        <v>328</v>
      </c>
      <c r="G2818" s="5" t="s">
        <v>19825</v>
      </c>
      <c r="H2818" s="6" t="s">
        <v>19826</v>
      </c>
      <c r="I2818" s="7" t="s">
        <v>19827</v>
      </c>
      <c r="J2818" s="8" t="str">
        <f>HYPERLINK("https://drive.google.com/file/d/1mth5qoSGzuN0nA0kFTCLPFEy4lsxJiiS/view?usp=drivesdk","TRI KUWATNO  SERTIFIKAT BerAKHLAK")</f>
        <v>TRI KUWATNO  SERTIFIKAT BerAKHLAK</v>
      </c>
      <c r="K2818" s="5" t="s">
        <v>18691</v>
      </c>
      <c r="L2818" s="5" t="s">
        <v>19828</v>
      </c>
      <c r="M2818" s="5" t="s">
        <v>19829</v>
      </c>
      <c r="N2818" s="7" t="s">
        <v>19830</v>
      </c>
      <c r="O2818" s="8" t="str">
        <f>HYPERLINK("https://drive.google.com/file/d/1IJiAF4z8HNuSDuX8ox6QT1CyxAv_EQ4X/view?usp=drivesdk","2817_TRI KUWATNO  _ SERTIFIKAT BerAKHLAK")</f>
        <v>2817_TRI KUWATNO  _ SERTIFIKAT BerAKHLAK</v>
      </c>
      <c r="P2818" s="5" t="s">
        <v>19816</v>
      </c>
    </row>
    <row r="2819">
      <c r="A2819" s="4">
        <v>45534.341707141204</v>
      </c>
      <c r="B2819" s="5" t="s">
        <v>34</v>
      </c>
      <c r="D2819" s="5" t="s">
        <v>12978</v>
      </c>
      <c r="E2819" s="5" t="s">
        <v>19831</v>
      </c>
      <c r="F2819" s="5" t="s">
        <v>375</v>
      </c>
      <c r="G2819" s="5" t="s">
        <v>19832</v>
      </c>
      <c r="H2819" s="6" t="s">
        <v>19833</v>
      </c>
      <c r="I2819" s="7" t="s">
        <v>19834</v>
      </c>
      <c r="J2819" s="8" t="str">
        <f>HYPERLINK("https://drive.google.com/file/d/1iBkdJhhrq96JF7_jyEZkTm8z8DHc34gf/view?usp=drivesdk","SITI PATIMA.S.Kom.M.M SERTIFIKAT BerAKHLAK")</f>
        <v>SITI PATIMA.S.Kom.M.M SERTIFIKAT BerAKHLAK</v>
      </c>
      <c r="K2819" s="5" t="s">
        <v>18691</v>
      </c>
      <c r="L2819" s="5" t="s">
        <v>19835</v>
      </c>
      <c r="M2819" s="5" t="s">
        <v>19836</v>
      </c>
      <c r="N2819" s="7" t="s">
        <v>19837</v>
      </c>
      <c r="O2819" s="8" t="str">
        <f>HYPERLINK("https://drive.google.com/file/d/13Coy0Km3LVrZRG7pXGNOuTHnecCn2gMM/view?usp=drivesdk","2818_SITI PATIMA.S.Kom.M.M _ SERTIFIKAT BerAKHLAK")</f>
        <v>2818_SITI PATIMA.S.Kom.M.M _ SERTIFIKAT BerAKHLAK</v>
      </c>
      <c r="P2819" s="5" t="s">
        <v>19838</v>
      </c>
    </row>
    <row r="2820">
      <c r="A2820" s="4">
        <v>45534.341708946755</v>
      </c>
      <c r="B2820" s="5" t="s">
        <v>34</v>
      </c>
      <c r="D2820" s="5" t="s">
        <v>12010</v>
      </c>
      <c r="E2820" s="5" t="s">
        <v>19839</v>
      </c>
      <c r="F2820" s="5" t="s">
        <v>524</v>
      </c>
      <c r="G2820" s="5" t="s">
        <v>19840</v>
      </c>
      <c r="H2820" s="6" t="s">
        <v>19841</v>
      </c>
      <c r="I2820" s="7" t="s">
        <v>19842</v>
      </c>
      <c r="J2820" s="8" t="str">
        <f>HYPERLINK("https://drive.google.com/file/d/1y346h8RHjcrgwCnKhhl6c-yeYjrdSfin/view?usp=drivesdk","KASMA LAADI SERTIFIKAT BerAKHLAK")</f>
        <v>KASMA LAADI SERTIFIKAT BerAKHLAK</v>
      </c>
      <c r="K2820" s="5" t="s">
        <v>18691</v>
      </c>
      <c r="L2820" s="5" t="s">
        <v>19843</v>
      </c>
      <c r="M2820" s="5" t="s">
        <v>19844</v>
      </c>
      <c r="N2820" s="7" t="s">
        <v>19845</v>
      </c>
      <c r="O2820" s="8" t="str">
        <f>HYPERLINK("https://drive.google.com/file/d/17l-c99qtv-JVBmbyL-lj93eCVQOhk7Yl/view?usp=drivesdk","2819_KASMA LAADI _ SERTIFIKAT BerAKHLAK")</f>
        <v>2819_KASMA LAADI _ SERTIFIKAT BerAKHLAK</v>
      </c>
      <c r="P2820" s="5" t="s">
        <v>19838</v>
      </c>
    </row>
    <row r="2821">
      <c r="A2821" s="4">
        <v>45534.34171420139</v>
      </c>
      <c r="B2821" s="5" t="s">
        <v>34</v>
      </c>
      <c r="D2821" s="5" t="s">
        <v>1206</v>
      </c>
      <c r="E2821" s="5" t="s">
        <v>19846</v>
      </c>
      <c r="F2821" s="5" t="s">
        <v>199</v>
      </c>
      <c r="G2821" s="5" t="s">
        <v>19847</v>
      </c>
      <c r="H2821" s="6" t="s">
        <v>19848</v>
      </c>
      <c r="K2821" s="5" t="s">
        <v>19849</v>
      </c>
      <c r="M2821" s="5" t="s">
        <v>19850</v>
      </c>
      <c r="N2821" s="7" t="s">
        <v>19851</v>
      </c>
      <c r="O2821" s="8" t="str">
        <f>HYPERLINK("https://drive.google.com/file/d/1AZIQSzCG8LeFMzkzCSnpEf1D6LY8dJVL/view?usp=drivesdk","2820_SUSILO _ SERTIFIKAT BerAKHLAK")</f>
        <v>2820_SUSILO _ SERTIFIKAT BerAKHLAK</v>
      </c>
      <c r="P2821" s="5" t="s">
        <v>19838</v>
      </c>
    </row>
    <row r="2822">
      <c r="A2822" s="4">
        <v>45534.34171840278</v>
      </c>
      <c r="B2822" s="5" t="s">
        <v>34</v>
      </c>
      <c r="D2822" s="5" t="s">
        <v>35</v>
      </c>
      <c r="E2822" s="5" t="s">
        <v>19852</v>
      </c>
      <c r="F2822" s="5" t="s">
        <v>212</v>
      </c>
      <c r="G2822" s="5" t="s">
        <v>19853</v>
      </c>
      <c r="H2822" s="6" t="s">
        <v>19854</v>
      </c>
      <c r="I2822" s="7" t="s">
        <v>19855</v>
      </c>
      <c r="J2822" s="8" t="str">
        <f>HYPERLINK("https://drive.google.com/file/d/15lf0kwKAbkoq343nix_DdVHpG60tqh9a/view?usp=drivesdk","MISJADI SERTIFIKAT BerAKHLAK")</f>
        <v>MISJADI SERTIFIKAT BerAKHLAK</v>
      </c>
      <c r="K2822" s="5" t="s">
        <v>18654</v>
      </c>
      <c r="L2822" s="5" t="s">
        <v>19856</v>
      </c>
      <c r="M2822" s="5" t="s">
        <v>19857</v>
      </c>
      <c r="N2822" s="7" t="s">
        <v>19858</v>
      </c>
      <c r="O2822" s="8" t="str">
        <f>HYPERLINK("https://drive.google.com/file/d/1vvIHJIzHUKXwgG8HQ8gNZgU68IO_KkUb/view?usp=drivesdk","2821_MISJADI _ SERTIFIKAT BerAKHLAK")</f>
        <v>2821_MISJADI _ SERTIFIKAT BerAKHLAK</v>
      </c>
      <c r="P2822" s="5" t="s">
        <v>19859</v>
      </c>
    </row>
    <row r="2823">
      <c r="A2823" s="4">
        <v>45534.34172383102</v>
      </c>
      <c r="B2823" s="5" t="s">
        <v>34</v>
      </c>
      <c r="D2823" s="5" t="s">
        <v>7858</v>
      </c>
      <c r="E2823" s="5" t="s">
        <v>19860</v>
      </c>
      <c r="F2823" s="5" t="s">
        <v>524</v>
      </c>
      <c r="G2823" s="5" t="s">
        <v>19861</v>
      </c>
      <c r="H2823" s="6" t="s">
        <v>19862</v>
      </c>
      <c r="I2823" s="7" t="s">
        <v>19863</v>
      </c>
      <c r="J2823" s="8" t="str">
        <f>HYPERLINK("https://drive.google.com/file/d/1_qNQl25SUblu5sthjPJ75-j_RcO1J8ea/view?usp=drivesdk","HELIS MULYANINGSIH  SERTIFIKAT BerAKHLAK")</f>
        <v>HELIS MULYANINGSIH  SERTIFIKAT BerAKHLAK</v>
      </c>
      <c r="K2823" s="5" t="s">
        <v>18654</v>
      </c>
      <c r="L2823" s="5" t="s">
        <v>19864</v>
      </c>
      <c r="M2823" s="5" t="s">
        <v>19865</v>
      </c>
      <c r="N2823" s="7" t="s">
        <v>19866</v>
      </c>
      <c r="O2823" s="8" t="str">
        <f>HYPERLINK("https://drive.google.com/file/d/1EkMdzbDDfGnJJbjvwqxsCW5OHlogY2sG/view?usp=drivesdk","2822_HELIS MULYANINGSIH  _ SERTIFIKAT BerAKHLAK")</f>
        <v>2822_HELIS MULYANINGSIH  _ SERTIFIKAT BerAKHLAK</v>
      </c>
      <c r="P2823" s="5" t="s">
        <v>19867</v>
      </c>
    </row>
    <row r="2824">
      <c r="A2824" s="4">
        <v>45534.34172783565</v>
      </c>
      <c r="B2824" s="5" t="s">
        <v>34</v>
      </c>
      <c r="D2824" s="5" t="s">
        <v>522</v>
      </c>
      <c r="E2824" s="5" t="s">
        <v>19868</v>
      </c>
      <c r="F2824" s="5" t="s">
        <v>524</v>
      </c>
      <c r="G2824" s="5" t="s">
        <v>19869</v>
      </c>
      <c r="H2824" s="6" t="s">
        <v>19870</v>
      </c>
      <c r="I2824" s="7" t="s">
        <v>19871</v>
      </c>
      <c r="J2824" s="8" t="str">
        <f>HYPERLINK("https://drive.google.com/file/d/14hxEP0dFwe3xkxqJfVPzyyYE4n49PpDv/view?usp=drivesdk","SARTONO PRIADI, SE SERTIFIKAT BerAKHLAK")</f>
        <v>SARTONO PRIADI, SE SERTIFIKAT BerAKHLAK</v>
      </c>
      <c r="K2824" s="5" t="s">
        <v>18654</v>
      </c>
      <c r="L2824" s="5" t="s">
        <v>19872</v>
      </c>
      <c r="M2824" s="5" t="s">
        <v>19873</v>
      </c>
      <c r="N2824" s="7" t="s">
        <v>19874</v>
      </c>
      <c r="O2824" s="8" t="str">
        <f>HYPERLINK("https://drive.google.com/file/d/1-ubWvoQ-xQN_0ses5y3jZjZJ9i3MNQ_e/view?usp=drivesdk","2823_SARTONO PRIADI, SE _ SERTIFIKAT BerAKHLAK")</f>
        <v>2823_SARTONO PRIADI, SE _ SERTIFIKAT BerAKHLAK</v>
      </c>
      <c r="P2824" s="5" t="s">
        <v>19875</v>
      </c>
    </row>
    <row r="2825">
      <c r="A2825" s="4">
        <v>45534.341739421296</v>
      </c>
      <c r="B2825" s="5" t="s">
        <v>34</v>
      </c>
      <c r="D2825" s="5" t="s">
        <v>6232</v>
      </c>
      <c r="E2825" s="5" t="s">
        <v>19876</v>
      </c>
      <c r="F2825" s="5" t="s">
        <v>108</v>
      </c>
      <c r="G2825" s="5" t="s">
        <v>19877</v>
      </c>
      <c r="H2825" s="6" t="s">
        <v>19878</v>
      </c>
      <c r="I2825" s="7" t="s">
        <v>19879</v>
      </c>
      <c r="J2825" s="8" t="str">
        <f>HYPERLINK("https://drive.google.com/file/d/1yTE_4OXL2riwD0jrwA-wQJePeYouDsoI/view?usp=drivesdk","BENNY FIRMANSYAH SERTIFIKAT BerAKHLAK")</f>
        <v>BENNY FIRMANSYAH SERTIFIKAT BerAKHLAK</v>
      </c>
      <c r="K2825" s="5" t="s">
        <v>18654</v>
      </c>
      <c r="L2825" s="5" t="s">
        <v>19880</v>
      </c>
      <c r="M2825" s="5" t="s">
        <v>19881</v>
      </c>
      <c r="N2825" s="7" t="s">
        <v>19882</v>
      </c>
      <c r="O2825" s="8" t="str">
        <f>HYPERLINK("https://drive.google.com/file/d/1u3sPTe9iyQSai2-79A3mZQZuGb5HO4B3/view?usp=drivesdk","2824_BENNY FIRMANSYAH _ SERTIFIKAT BerAKHLAK")</f>
        <v>2824_BENNY FIRMANSYAH _ SERTIFIKAT BerAKHLAK</v>
      </c>
      <c r="P2825" s="5" t="s">
        <v>19883</v>
      </c>
    </row>
    <row r="2826">
      <c r="A2826" s="4">
        <v>45534.34174739583</v>
      </c>
      <c r="B2826" s="5" t="s">
        <v>34</v>
      </c>
      <c r="D2826" s="5" t="s">
        <v>701</v>
      </c>
      <c r="E2826" s="5" t="s">
        <v>19884</v>
      </c>
      <c r="F2826" s="5" t="s">
        <v>37</v>
      </c>
      <c r="G2826" s="5" t="s">
        <v>19885</v>
      </c>
      <c r="H2826" s="6" t="s">
        <v>19886</v>
      </c>
      <c r="I2826" s="7" t="s">
        <v>19887</v>
      </c>
      <c r="J2826" s="8" t="str">
        <f>HYPERLINK("https://drive.google.com/file/d/1QFsvmRkfmi9aT85xacKTePhZ4PsqBCuk/view?usp=drivesdk","RAFLI PATMEL SERTIFIKAT BerAKHLAK")</f>
        <v>RAFLI PATMEL SERTIFIKAT BerAKHLAK</v>
      </c>
      <c r="K2826" s="5" t="s">
        <v>18654</v>
      </c>
      <c r="L2826" s="5" t="s">
        <v>19888</v>
      </c>
      <c r="M2826" s="5" t="s">
        <v>19889</v>
      </c>
      <c r="N2826" s="7" t="s">
        <v>19890</v>
      </c>
      <c r="O2826" s="8" t="str">
        <f>HYPERLINK("https://drive.google.com/file/d/1zjaE1JZXR2TqaGTf7gP3_a_Q4WrPcVI7/view?usp=drivesdk","2825_RAFLI PATMEL _ SERTIFIKAT BerAKHLAK")</f>
        <v>2825_RAFLI PATMEL _ SERTIFIKAT BerAKHLAK</v>
      </c>
      <c r="P2826" s="5" t="s">
        <v>19891</v>
      </c>
    </row>
    <row r="2827" hidden="1">
      <c r="A2827" s="4">
        <v>45534.34175032408</v>
      </c>
      <c r="B2827" s="5" t="s">
        <v>19</v>
      </c>
      <c r="C2827" s="5" t="s">
        <v>466</v>
      </c>
      <c r="E2827" s="5" t="s">
        <v>19892</v>
      </c>
      <c r="F2827" s="5" t="s">
        <v>72</v>
      </c>
      <c r="G2827" s="5" t="s">
        <v>19893</v>
      </c>
      <c r="H2827" s="6" t="s">
        <v>19894</v>
      </c>
      <c r="I2827" s="7" t="s">
        <v>19895</v>
      </c>
      <c r="J2827" s="8" t="str">
        <f>HYPERLINK("https://drive.google.com/file/d/1Q27jJHLnqxoMQh4jOebAG-gRbUTMCyko/view?usp=drivesdk","SITI ROKHIMAH, A.Md SERTIFIKAT BerAKHLAK")</f>
        <v>SITI ROKHIMAH, A.Md SERTIFIKAT BerAKHLAK</v>
      </c>
      <c r="K2827" s="5" t="s">
        <v>18654</v>
      </c>
      <c r="L2827" s="5" t="s">
        <v>19896</v>
      </c>
      <c r="M2827" s="5" t="s">
        <v>19897</v>
      </c>
      <c r="N2827" s="7" t="s">
        <v>19898</v>
      </c>
      <c r="O2827" s="8" t="str">
        <f>HYPERLINK("https://drive.google.com/file/d/1KHdcvBMnWw4w-FjhBL8Rg-HQGq1RJW8h/view?usp=drivesdk","2826_SITI ROKHIMAH, A.Md _ SERTIFIKAT BerAKHLAK")</f>
        <v>2826_SITI ROKHIMAH, A.Md _ SERTIFIKAT BerAKHLAK</v>
      </c>
      <c r="P2827" s="5" t="s">
        <v>19899</v>
      </c>
    </row>
    <row r="2828">
      <c r="A2828" s="4">
        <v>45534.34175133102</v>
      </c>
      <c r="B2828" s="5" t="s">
        <v>34</v>
      </c>
      <c r="D2828" s="5" t="s">
        <v>1206</v>
      </c>
      <c r="E2828" s="5" t="s">
        <v>19900</v>
      </c>
      <c r="F2828" s="5" t="s">
        <v>37</v>
      </c>
      <c r="G2828" s="5" t="s">
        <v>19901</v>
      </c>
      <c r="H2828" s="6" t="s">
        <v>19902</v>
      </c>
      <c r="I2828" s="7" t="s">
        <v>19903</v>
      </c>
      <c r="J2828" s="8" t="str">
        <f>HYPERLINK("https://drive.google.com/file/d/16aVqHR_2QwHLTW8gIdej1m91oLzjNpWW/view?usp=drivesdk","Ning Maya Prahasti SERTIFIKAT BerAKHLAK")</f>
        <v>Ning Maya Prahasti SERTIFIKAT BerAKHLAK</v>
      </c>
      <c r="K2828" s="5" t="s">
        <v>18654</v>
      </c>
      <c r="L2828" s="5" t="s">
        <v>19904</v>
      </c>
      <c r="M2828" s="5" t="s">
        <v>19905</v>
      </c>
      <c r="N2828" s="7" t="s">
        <v>19906</v>
      </c>
      <c r="O2828" s="8" t="str">
        <f>HYPERLINK("https://drive.google.com/file/d/1veHs3gjTsJj3N8YmJPz-yPDZNh-qMivq/view?usp=drivesdk","2827_Ning Maya Prahasti _ SERTIFIKAT BerAKHLAK")</f>
        <v>2827_Ning Maya Prahasti _ SERTIFIKAT BerAKHLAK</v>
      </c>
      <c r="P2828" s="5" t="s">
        <v>19907</v>
      </c>
    </row>
    <row r="2829">
      <c r="A2829" s="4">
        <v>45534.34176572917</v>
      </c>
      <c r="B2829" s="5" t="s">
        <v>34</v>
      </c>
      <c r="D2829" s="5" t="s">
        <v>9020</v>
      </c>
      <c r="E2829" s="5" t="s">
        <v>19908</v>
      </c>
      <c r="F2829" s="5" t="s">
        <v>524</v>
      </c>
      <c r="G2829" s="5" t="s">
        <v>19909</v>
      </c>
      <c r="H2829" s="6" t="s">
        <v>19910</v>
      </c>
      <c r="I2829" s="7" t="s">
        <v>19911</v>
      </c>
      <c r="J2829" s="8" t="str">
        <f>HYPERLINK("https://drive.google.com/file/d/1BFCv5WoQxlpJ6jyN4XggNRhAhbPxgi5G/view?usp=drivesdk","ANITA RAMAYANTI TURNIP SERTIFIKAT BerAKHLAK")</f>
        <v>ANITA RAMAYANTI TURNIP SERTIFIKAT BerAKHLAK</v>
      </c>
      <c r="K2829" s="5" t="s">
        <v>18691</v>
      </c>
      <c r="L2829" s="5" t="s">
        <v>19912</v>
      </c>
      <c r="M2829" s="5" t="s">
        <v>19913</v>
      </c>
      <c r="N2829" s="7" t="s">
        <v>19914</v>
      </c>
      <c r="O2829" s="8" t="str">
        <f>HYPERLINK("https://drive.google.com/file/d/13nc9Pc5txUY0yLVNJnUvswYENMML3z3Y/view?usp=drivesdk","2828_ANITA RAMAYANTI TURNIP _ SERTIFIKAT BerAKHLAK")</f>
        <v>2828_ANITA RAMAYANTI TURNIP _ SERTIFIKAT BerAKHLAK</v>
      </c>
      <c r="P2829" s="5" t="s">
        <v>19915</v>
      </c>
    </row>
    <row r="2830">
      <c r="A2830" s="4">
        <v>45534.34176733796</v>
      </c>
      <c r="B2830" s="5" t="s">
        <v>34</v>
      </c>
      <c r="D2830" s="5" t="s">
        <v>9394</v>
      </c>
      <c r="E2830" s="5" t="s">
        <v>19916</v>
      </c>
      <c r="F2830" s="5" t="s">
        <v>72</v>
      </c>
      <c r="G2830" s="5" t="s">
        <v>19917</v>
      </c>
      <c r="H2830" s="6" t="s">
        <v>19918</v>
      </c>
      <c r="I2830" s="7" t="s">
        <v>19919</v>
      </c>
      <c r="J2830" s="8" t="str">
        <f>HYPERLINK("https://drive.google.com/file/d/1O8O0kUomY3nnXEng7f03ZlsI3_ynruM0/view?usp=drivesdk","MARLIA, S. Sos SERTIFIKAT BerAKHLAK")</f>
        <v>MARLIA, S. Sos SERTIFIKAT BerAKHLAK</v>
      </c>
      <c r="K2830" s="5" t="s">
        <v>18691</v>
      </c>
      <c r="L2830" s="5" t="s">
        <v>19920</v>
      </c>
      <c r="M2830" s="5" t="s">
        <v>19921</v>
      </c>
      <c r="N2830" s="7" t="s">
        <v>19922</v>
      </c>
      <c r="O2830" s="8" t="str">
        <f>HYPERLINK("https://drive.google.com/file/d/1gq73A3my1ZUpTKqCw7YJE0m2_cd7H3uZ/view?usp=drivesdk","2829_MARLIA, S. Sos _ SERTIFIKAT BerAKHLAK")</f>
        <v>2829_MARLIA, S. Sos _ SERTIFIKAT BerAKHLAK</v>
      </c>
      <c r="P2830" s="5" t="s">
        <v>19923</v>
      </c>
    </row>
    <row r="2831">
      <c r="A2831" s="4">
        <v>45534.3417672338</v>
      </c>
      <c r="B2831" s="5" t="s">
        <v>34</v>
      </c>
      <c r="D2831" s="5" t="s">
        <v>996</v>
      </c>
      <c r="E2831" s="5" t="s">
        <v>19924</v>
      </c>
      <c r="F2831" s="5" t="s">
        <v>72</v>
      </c>
      <c r="G2831" s="5" t="s">
        <v>19925</v>
      </c>
      <c r="H2831" s="6" t="s">
        <v>19926</v>
      </c>
      <c r="I2831" s="7" t="s">
        <v>19927</v>
      </c>
      <c r="J2831" s="8" t="str">
        <f>HYPERLINK("https://drive.google.com/file/d/1Cj1e_DCMf2mTtWmKTMgSfr_WgFH-p7Mj/view?usp=drivesdk","MUTIAH SERTIFIKAT BerAKHLAK")</f>
        <v>MUTIAH SERTIFIKAT BerAKHLAK</v>
      </c>
      <c r="K2831" s="5" t="s">
        <v>18691</v>
      </c>
      <c r="L2831" s="5" t="s">
        <v>19928</v>
      </c>
      <c r="M2831" s="5" t="s">
        <v>19929</v>
      </c>
      <c r="N2831" s="7" t="s">
        <v>19930</v>
      </c>
      <c r="O2831" s="8" t="str">
        <f>HYPERLINK("https://drive.google.com/file/d/13pUoRUGMjCqx-cION4fZulDEj4E3u00l/view?usp=drivesdk","2830_MUTIAH _ SERTIFIKAT BerAKHLAK")</f>
        <v>2830_MUTIAH _ SERTIFIKAT BerAKHLAK</v>
      </c>
      <c r="P2831" s="5" t="s">
        <v>19931</v>
      </c>
    </row>
    <row r="2832">
      <c r="A2832" s="4">
        <v>45534.34176787037</v>
      </c>
      <c r="B2832" s="5" t="s">
        <v>34</v>
      </c>
      <c r="D2832" s="5" t="s">
        <v>12978</v>
      </c>
      <c r="E2832" s="5" t="s">
        <v>19932</v>
      </c>
      <c r="F2832" s="5" t="s">
        <v>6776</v>
      </c>
      <c r="G2832" s="5" t="s">
        <v>19933</v>
      </c>
      <c r="H2832" s="6" t="s">
        <v>19934</v>
      </c>
      <c r="I2832" s="7" t="s">
        <v>19935</v>
      </c>
      <c r="J2832" s="8" t="str">
        <f>HYPERLINK("https://drive.google.com/file/d/1xm7oXilNmIRCQPAziXwf47KoOnB-alwz/view?usp=drivesdk","ALAM NASRO SERTIFIKAT BerAKHLAK")</f>
        <v>ALAM NASRO SERTIFIKAT BerAKHLAK</v>
      </c>
      <c r="K2832" s="5" t="s">
        <v>18691</v>
      </c>
      <c r="L2832" s="5" t="s">
        <v>19936</v>
      </c>
      <c r="M2832" s="5" t="s">
        <v>19937</v>
      </c>
      <c r="N2832" s="7" t="s">
        <v>19938</v>
      </c>
      <c r="O2832" s="8" t="str">
        <f>HYPERLINK("https://drive.google.com/file/d/1WQ24mJIJezhnCtmxeUnZ2Zgw1_oFZxL6/view?usp=drivesdk","2831_ALAM NASRO _ SERTIFIKAT BerAKHLAK")</f>
        <v>2831_ALAM NASRO _ SERTIFIKAT BerAKHLAK</v>
      </c>
      <c r="P2832" s="5" t="s">
        <v>19939</v>
      </c>
    </row>
    <row r="2833">
      <c r="A2833" s="4">
        <v>45534.34177068287</v>
      </c>
      <c r="B2833" s="5" t="s">
        <v>34</v>
      </c>
      <c r="D2833" s="5" t="s">
        <v>35</v>
      </c>
      <c r="E2833" s="5" t="s">
        <v>19940</v>
      </c>
      <c r="F2833" s="5" t="s">
        <v>212</v>
      </c>
      <c r="G2833" s="5" t="s">
        <v>19941</v>
      </c>
      <c r="H2833" s="6" t="s">
        <v>19942</v>
      </c>
      <c r="K2833" s="5" t="s">
        <v>19943</v>
      </c>
      <c r="M2833" s="5" t="s">
        <v>19944</v>
      </c>
      <c r="N2833" s="7" t="s">
        <v>19945</v>
      </c>
      <c r="O2833" s="8" t="str">
        <f>HYPERLINK("https://drive.google.com/file/d/1y4m9UEvuly3XckNWPgmYiGhQ8HT-mG45/view?usp=drivesdk","2832_NUNUNGTARSIH _ SERTIFIKAT BerAKHLAK")</f>
        <v>2832_NUNUNGTARSIH _ SERTIFIKAT BerAKHLAK</v>
      </c>
      <c r="P2833" s="5" t="s">
        <v>19946</v>
      </c>
    </row>
    <row r="2834">
      <c r="A2834" s="4">
        <v>45534.34177601852</v>
      </c>
      <c r="B2834" s="5" t="s">
        <v>34</v>
      </c>
      <c r="D2834" s="5" t="s">
        <v>996</v>
      </c>
      <c r="E2834" s="5" t="s">
        <v>19947</v>
      </c>
      <c r="F2834" s="5" t="s">
        <v>375</v>
      </c>
      <c r="G2834" s="5" t="s">
        <v>19948</v>
      </c>
      <c r="H2834" s="6" t="s">
        <v>19949</v>
      </c>
      <c r="K2834" s="5" t="s">
        <v>19943</v>
      </c>
      <c r="M2834" s="5" t="s">
        <v>19950</v>
      </c>
      <c r="N2834" s="7" t="s">
        <v>19951</v>
      </c>
      <c r="O2834" s="8" t="str">
        <f>HYPERLINK("https://drive.google.com/file/d/101_kPkjRIHfc2o3Y6PAFEhKq8AUCSmsU/view?usp=drivesdk","2833_NURYANTO, S.E., M.M. _ SERTIFIKAT BerAKHLAK")</f>
        <v>2833_NURYANTO, S.E., M.M. _ SERTIFIKAT BerAKHLAK</v>
      </c>
      <c r="P2834" s="5" t="s">
        <v>19952</v>
      </c>
    </row>
    <row r="2835">
      <c r="A2835" s="4">
        <v>45534.341784178236</v>
      </c>
      <c r="B2835" s="5" t="s">
        <v>34</v>
      </c>
      <c r="D2835" s="5" t="s">
        <v>280</v>
      </c>
      <c r="E2835" s="5" t="s">
        <v>19953</v>
      </c>
      <c r="F2835" s="5" t="s">
        <v>524</v>
      </c>
      <c r="G2835" s="5" t="s">
        <v>19954</v>
      </c>
      <c r="H2835" s="6" t="s">
        <v>19955</v>
      </c>
      <c r="K2835" s="5" t="s">
        <v>19943</v>
      </c>
      <c r="M2835" s="5" t="s">
        <v>19956</v>
      </c>
      <c r="N2835" s="7" t="s">
        <v>19957</v>
      </c>
      <c r="O2835" s="8" t="str">
        <f>HYPERLINK("https://drive.google.com/file/d/1LP5wm9CL9AG13oKULYZ5jyKe3wn1UFwF/view?usp=drivesdk","2834_ABDUL SALAM. S.I.KOM _ SERTIFIKAT BerAKHLAK")</f>
        <v>2834_ABDUL SALAM. S.I.KOM _ SERTIFIKAT BerAKHLAK</v>
      </c>
      <c r="P2835" s="5" t="s">
        <v>19958</v>
      </c>
    </row>
    <row r="2836">
      <c r="A2836" s="4">
        <v>45534.34178827546</v>
      </c>
      <c r="B2836" s="5" t="s">
        <v>34</v>
      </c>
      <c r="D2836" s="5" t="s">
        <v>996</v>
      </c>
      <c r="E2836" s="5" t="s">
        <v>19959</v>
      </c>
      <c r="F2836" s="5" t="s">
        <v>72</v>
      </c>
      <c r="G2836" s="5" t="s">
        <v>19960</v>
      </c>
      <c r="H2836" s="6" t="s">
        <v>19961</v>
      </c>
      <c r="K2836" s="5" t="s">
        <v>19943</v>
      </c>
      <c r="M2836" s="5" t="s">
        <v>19962</v>
      </c>
      <c r="N2836" s="7" t="s">
        <v>19963</v>
      </c>
      <c r="O2836" s="8" t="str">
        <f>HYPERLINK("https://drive.google.com/file/d/1vLF5bw8iGGGLkmC_bgEXIqjJHUegmXFV/view?usp=drivesdk","2835_PURWANTINI H.S.H, S.Pd _ SERTIFIKAT BerAKHLAK")</f>
        <v>2835_PURWANTINI H.S.H, S.Pd _ SERTIFIKAT BerAKHLAK</v>
      </c>
      <c r="P2836" s="5" t="s">
        <v>19964</v>
      </c>
    </row>
    <row r="2837">
      <c r="A2837" s="4">
        <v>45534.34178902778</v>
      </c>
      <c r="B2837" s="5" t="s">
        <v>34</v>
      </c>
      <c r="D2837" s="5" t="s">
        <v>1206</v>
      </c>
      <c r="E2837" s="5" t="s">
        <v>19965</v>
      </c>
      <c r="F2837" s="5" t="s">
        <v>375</v>
      </c>
      <c r="G2837" s="5" t="s">
        <v>19966</v>
      </c>
      <c r="H2837" s="6" t="s">
        <v>19967</v>
      </c>
      <c r="K2837" s="5" t="s">
        <v>19943</v>
      </c>
      <c r="M2837" s="5" t="s">
        <v>19968</v>
      </c>
      <c r="N2837" s="7" t="s">
        <v>19969</v>
      </c>
      <c r="O2837" s="8" t="str">
        <f>HYPERLINK("https://drive.google.com/file/d/1Tizvfu-jImZOkKjwE81ZAyYk0M6beOzf/view?usp=drivesdk","2836_ARIY RAKHMAWATI, S.Kep., Ns _ SERTIFIKAT BerAKHLAK")</f>
        <v>2836_ARIY RAKHMAWATI, S.Kep., Ns _ SERTIFIKAT BerAKHLAK</v>
      </c>
      <c r="P2837" s="5" t="s">
        <v>19970</v>
      </c>
    </row>
    <row r="2838">
      <c r="A2838" s="4">
        <v>45534.3417903588</v>
      </c>
      <c r="B2838" s="5" t="s">
        <v>34</v>
      </c>
      <c r="D2838" s="5" t="s">
        <v>1768</v>
      </c>
      <c r="E2838" s="5" t="s">
        <v>19971</v>
      </c>
      <c r="F2838" s="5" t="s">
        <v>37</v>
      </c>
      <c r="G2838" s="5" t="s">
        <v>19972</v>
      </c>
      <c r="H2838" s="6" t="s">
        <v>19973</v>
      </c>
      <c r="K2838" s="5" t="s">
        <v>19943</v>
      </c>
      <c r="M2838" s="5" t="s">
        <v>19974</v>
      </c>
      <c r="N2838" s="7" t="s">
        <v>19975</v>
      </c>
      <c r="O2838" s="8" t="str">
        <f>HYPERLINK("https://drive.google.com/file/d/1fsxY1IiUPaPgGGa0NquwKMejWkEdcQ3R/view?usp=drivesdk","2837_BAHTANSAR _ SERTIFIKAT BerAKHLAK")</f>
        <v>2837_BAHTANSAR _ SERTIFIKAT BerAKHLAK</v>
      </c>
      <c r="P2838" s="5" t="s">
        <v>19976</v>
      </c>
    </row>
    <row r="2839">
      <c r="A2839" s="4">
        <v>45534.341797800924</v>
      </c>
      <c r="B2839" s="5" t="s">
        <v>34</v>
      </c>
      <c r="D2839" s="5" t="s">
        <v>2903</v>
      </c>
      <c r="E2839" s="5" t="s">
        <v>19977</v>
      </c>
      <c r="F2839" s="5" t="s">
        <v>108</v>
      </c>
      <c r="G2839" s="5" t="s">
        <v>19978</v>
      </c>
      <c r="H2839" s="6" t="s">
        <v>19979</v>
      </c>
      <c r="K2839" s="5" t="s">
        <v>19943</v>
      </c>
      <c r="M2839" s="5" t="s">
        <v>19980</v>
      </c>
      <c r="N2839" s="7" t="s">
        <v>19981</v>
      </c>
      <c r="O2839" s="8" t="str">
        <f>HYPERLINK("https://drive.google.com/file/d/1HW4ZI10Vz-lK2kmiI2uuHJUo8Iv8eB54/view?usp=drivesdk","2838_RUMIATI _ SERTIFIKAT BerAKHLAK")</f>
        <v>2838_RUMIATI _ SERTIFIKAT BerAKHLAK</v>
      </c>
      <c r="P2839" s="5" t="s">
        <v>19982</v>
      </c>
    </row>
    <row r="2840">
      <c r="A2840" s="4">
        <v>45534.34180739583</v>
      </c>
      <c r="B2840" s="5" t="s">
        <v>34</v>
      </c>
      <c r="D2840" s="5" t="s">
        <v>4775</v>
      </c>
      <c r="E2840" s="5" t="s">
        <v>19983</v>
      </c>
      <c r="F2840" s="5" t="s">
        <v>524</v>
      </c>
      <c r="G2840" s="5" t="s">
        <v>19984</v>
      </c>
      <c r="H2840" s="6" t="s">
        <v>19985</v>
      </c>
      <c r="K2840" s="5" t="s">
        <v>19943</v>
      </c>
      <c r="M2840" s="5" t="s">
        <v>19986</v>
      </c>
      <c r="N2840" s="7" t="s">
        <v>19987</v>
      </c>
      <c r="O2840" s="8" t="str">
        <f>HYPERLINK("https://drive.google.com/file/d/1d7i2nvl67kkVBsuFj6f7T50ELTqGgUuu/view?usp=drivesdk","2839_BAROYO UTOMO, S.E. _ SERTIFIKAT BerAKHLAK")</f>
        <v>2839_BAROYO UTOMO, S.E. _ SERTIFIKAT BerAKHLAK</v>
      </c>
      <c r="P2840" s="5" t="s">
        <v>19988</v>
      </c>
    </row>
    <row r="2841">
      <c r="A2841" s="4">
        <v>45534.3418185301</v>
      </c>
      <c r="B2841" s="5" t="s">
        <v>34</v>
      </c>
      <c r="D2841" s="5" t="s">
        <v>4775</v>
      </c>
      <c r="E2841" s="5" t="s">
        <v>19989</v>
      </c>
      <c r="F2841" s="5" t="s">
        <v>72</v>
      </c>
      <c r="G2841" s="5" t="s">
        <v>19990</v>
      </c>
      <c r="H2841" s="6" t="s">
        <v>19991</v>
      </c>
      <c r="I2841" s="7" t="s">
        <v>19992</v>
      </c>
      <c r="J2841" s="8" t="str">
        <f>HYPERLINK("https://drive.google.com/file/d/1aW9o-dE3uftf1sDAliLGmyFkZYouQA4Z/view?usp=drivesdk","TRI WIDAYANTI  SERTIFIKAT BerAKHLAK")</f>
        <v>TRI WIDAYANTI  SERTIFIKAT BerAKHLAK</v>
      </c>
      <c r="K2841" s="5" t="s">
        <v>18654</v>
      </c>
      <c r="L2841" s="5" t="s">
        <v>19993</v>
      </c>
      <c r="M2841" s="5" t="s">
        <v>19994</v>
      </c>
      <c r="N2841" s="7" t="s">
        <v>19995</v>
      </c>
      <c r="O2841" s="8" t="str">
        <f>HYPERLINK("https://drive.google.com/file/d/1Hpyd8E_MqSHEkc1vyZpRCmwYW_7vQ4rG/view?usp=drivesdk","2840_TRI WIDAYANTI  _ SERTIFIKAT BerAKHLAK")</f>
        <v>2840_TRI WIDAYANTI  _ SERTIFIKAT BerAKHLAK</v>
      </c>
      <c r="P2841" s="5" t="s">
        <v>19996</v>
      </c>
    </row>
    <row r="2842">
      <c r="A2842" s="4">
        <v>45534.34182890046</v>
      </c>
      <c r="B2842" s="5" t="s">
        <v>34</v>
      </c>
      <c r="D2842" s="5" t="s">
        <v>35</v>
      </c>
      <c r="E2842" s="5" t="s">
        <v>19997</v>
      </c>
      <c r="F2842" s="5" t="s">
        <v>108</v>
      </c>
      <c r="G2842" s="5" t="s">
        <v>19998</v>
      </c>
      <c r="H2842" s="6" t="s">
        <v>19999</v>
      </c>
      <c r="I2842" s="7" t="s">
        <v>20000</v>
      </c>
      <c r="J2842" s="8" t="str">
        <f>HYPERLINK("https://drive.google.com/file/d/1mNcBMevpLjMLVb0Nc-qvoMULTx81FU7u/view?usp=drivesdk","EHA JULAEHA SERTIFIKAT BerAKHLAK")</f>
        <v>EHA JULAEHA SERTIFIKAT BerAKHLAK</v>
      </c>
      <c r="K2842" s="5" t="s">
        <v>18654</v>
      </c>
      <c r="L2842" s="5" t="s">
        <v>20001</v>
      </c>
      <c r="M2842" s="5" t="s">
        <v>20002</v>
      </c>
      <c r="N2842" s="7" t="s">
        <v>20003</v>
      </c>
      <c r="O2842" s="8" t="str">
        <f>HYPERLINK("https://drive.google.com/file/d/1uuxa17HIvvEA9urGLLx2VWk5lzE_sB7M/view?usp=drivesdk","2841_EHA JULAEHA _ SERTIFIKAT BerAKHLAK")</f>
        <v>2841_EHA JULAEHA _ SERTIFIKAT BerAKHLAK</v>
      </c>
      <c r="P2842" s="5" t="s">
        <v>20004</v>
      </c>
    </row>
    <row r="2843">
      <c r="A2843" s="4">
        <v>45534.341829895835</v>
      </c>
      <c r="B2843" s="5" t="s">
        <v>34</v>
      </c>
      <c r="D2843" s="5" t="s">
        <v>4775</v>
      </c>
      <c r="E2843" s="5" t="s">
        <v>20005</v>
      </c>
      <c r="F2843" s="5" t="s">
        <v>120</v>
      </c>
      <c r="G2843" s="5" t="s">
        <v>20006</v>
      </c>
      <c r="H2843" s="6" t="s">
        <v>20007</v>
      </c>
      <c r="I2843" s="7" t="s">
        <v>20008</v>
      </c>
      <c r="J2843" s="8" t="str">
        <f>HYPERLINK("https://drive.google.com/file/d/17LKz8TUgePdeCe4DizKbskGMY2t2xN9y/view?usp=drivesdk","KRISNAWATI INDRASARI, S.H., M.H. SERTIFIKAT BerAKHLAK")</f>
        <v>KRISNAWATI INDRASARI, S.H., M.H. SERTIFIKAT BerAKHLAK</v>
      </c>
      <c r="K2843" s="5" t="s">
        <v>18691</v>
      </c>
      <c r="L2843" s="5" t="s">
        <v>20009</v>
      </c>
      <c r="M2843" s="5" t="s">
        <v>20010</v>
      </c>
      <c r="N2843" s="7" t="s">
        <v>20011</v>
      </c>
      <c r="O2843" s="8" t="str">
        <f>HYPERLINK("https://drive.google.com/file/d/1bN5_9k1OLbeCQWmBDui7fg_gLb-sm594/view?usp=drivesdk","2842_KRISNAWATI INDRASARI, S.H., M.H. _ SERTIFIKAT BerAKHLAK")</f>
        <v>2842_KRISNAWATI INDRASARI, S.H., M.H. _ SERTIFIKAT BerAKHLAK</v>
      </c>
      <c r="P2843" s="5" t="s">
        <v>20012</v>
      </c>
    </row>
    <row r="2844">
      <c r="A2844" s="4">
        <v>45534.341832881946</v>
      </c>
      <c r="B2844" s="5" t="s">
        <v>34</v>
      </c>
      <c r="D2844" s="5" t="s">
        <v>1206</v>
      </c>
      <c r="E2844" s="5" t="s">
        <v>20013</v>
      </c>
      <c r="F2844" s="5" t="s">
        <v>524</v>
      </c>
      <c r="G2844" s="5" t="s">
        <v>20014</v>
      </c>
      <c r="H2844" s="6" t="s">
        <v>20015</v>
      </c>
      <c r="I2844" s="7" t="s">
        <v>20016</v>
      </c>
      <c r="J2844" s="8" t="str">
        <f>HYPERLINK("https://drive.google.com/file/d/1j87hyEI26JOZ-HmFuuhvDY7jKP1QcRTF/view?usp=drivesdk","RIA WIDHIANARTI, S.Kep, Ns SERTIFIKAT BerAKHLAK")</f>
        <v>RIA WIDHIANARTI, S.Kep, Ns SERTIFIKAT BerAKHLAK</v>
      </c>
      <c r="K2844" s="5" t="s">
        <v>18691</v>
      </c>
      <c r="L2844" s="5" t="s">
        <v>20017</v>
      </c>
      <c r="M2844" s="5" t="s">
        <v>20018</v>
      </c>
      <c r="N2844" s="7" t="s">
        <v>20019</v>
      </c>
      <c r="O2844" s="8" t="str">
        <f>HYPERLINK("https://drive.google.com/file/d/1itjmQGdO8Xh1QRvE4EUIHRZg2sdWQVdR/view?usp=drivesdk","2843_RIA WIDHIANARTI, S.Kep, Ns _ SERTIFIKAT BerAKHLAK")</f>
        <v>2843_RIA WIDHIANARTI, S.Kep, Ns _ SERTIFIKAT BerAKHLAK</v>
      </c>
      <c r="P2844" s="5" t="s">
        <v>20020</v>
      </c>
    </row>
    <row r="2845" hidden="1">
      <c r="A2845" s="4">
        <v>45534.34184113426</v>
      </c>
      <c r="B2845" s="5" t="s">
        <v>19</v>
      </c>
      <c r="C2845" s="5" t="s">
        <v>292</v>
      </c>
      <c r="E2845" s="5" t="s">
        <v>20021</v>
      </c>
      <c r="F2845" s="5" t="s">
        <v>524</v>
      </c>
      <c r="G2845" s="5" t="s">
        <v>20022</v>
      </c>
      <c r="H2845" s="6" t="s">
        <v>20023</v>
      </c>
      <c r="K2845" s="5" t="s">
        <v>20024</v>
      </c>
      <c r="M2845" s="5" t="s">
        <v>20025</v>
      </c>
      <c r="N2845" s="7" t="s">
        <v>20026</v>
      </c>
      <c r="O2845" s="8" t="str">
        <f>HYPERLINK("https://drive.google.com/file/d/1CnmSHTEeeTZu1IowpTQJrB2hJo0P0VhO/view?usp=drivesdk","2844_BUDI BUDIMAN _ SERTIFIKAT BerAKHLAK")</f>
        <v>2844_BUDI BUDIMAN _ SERTIFIKAT BerAKHLAK</v>
      </c>
      <c r="P2845" s="5" t="s">
        <v>20027</v>
      </c>
    </row>
    <row r="2846">
      <c r="A2846" s="4">
        <v>45534.341842037036</v>
      </c>
      <c r="B2846" s="5" t="s">
        <v>34</v>
      </c>
      <c r="D2846" s="5" t="s">
        <v>1206</v>
      </c>
      <c r="E2846" s="5" t="s">
        <v>20028</v>
      </c>
      <c r="F2846" s="5" t="s">
        <v>328</v>
      </c>
      <c r="G2846" s="5" t="s">
        <v>20029</v>
      </c>
      <c r="H2846" s="6" t="s">
        <v>20030</v>
      </c>
      <c r="K2846" s="5" t="s">
        <v>20024</v>
      </c>
      <c r="M2846" s="5" t="s">
        <v>20031</v>
      </c>
      <c r="N2846" s="7" t="s">
        <v>20032</v>
      </c>
      <c r="O2846" s="8" t="str">
        <f>HYPERLINK("https://drive.google.com/file/d/1BMk_RM0APqu9zjW3ocZNJDkbV130xDV6/view?usp=drivesdk","2845_SUKIMAN  _ SERTIFIKAT BerAKHLAK")</f>
        <v>2845_SUKIMAN  _ SERTIFIKAT BerAKHLAK</v>
      </c>
      <c r="P2846" s="5" t="s">
        <v>20033</v>
      </c>
    </row>
    <row r="2847">
      <c r="A2847" s="4">
        <v>45534.34184512732</v>
      </c>
      <c r="B2847" s="5" t="s">
        <v>34</v>
      </c>
      <c r="D2847" s="5" t="s">
        <v>267</v>
      </c>
      <c r="E2847" s="5" t="s">
        <v>20034</v>
      </c>
      <c r="F2847" s="5" t="s">
        <v>375</v>
      </c>
      <c r="G2847" s="5" t="s">
        <v>20035</v>
      </c>
      <c r="H2847" s="6" t="s">
        <v>20036</v>
      </c>
      <c r="K2847" s="5" t="s">
        <v>20024</v>
      </c>
      <c r="M2847" s="5" t="s">
        <v>20037</v>
      </c>
      <c r="N2847" s="7" t="s">
        <v>20038</v>
      </c>
      <c r="O2847" s="8" t="str">
        <f>HYPERLINK("https://drive.google.com/file/d/1pkl4Vzt7KuNIW0Mr0-a158znH9ft2-cV/view?usp=drivesdk","2846_LUTHFI FEBRIANSYAH _ SERTIFIKAT BerAKHLAK")</f>
        <v>2846_LUTHFI FEBRIANSYAH _ SERTIFIKAT BerAKHLAK</v>
      </c>
      <c r="P2847" s="5" t="s">
        <v>20039</v>
      </c>
    </row>
    <row r="2848">
      <c r="A2848" s="4">
        <v>45534.341848275464</v>
      </c>
      <c r="B2848" s="5" t="s">
        <v>34</v>
      </c>
      <c r="D2848" s="5" t="s">
        <v>4775</v>
      </c>
      <c r="E2848" s="5" t="s">
        <v>20040</v>
      </c>
      <c r="F2848" s="5" t="s">
        <v>37</v>
      </c>
      <c r="G2848" s="5" t="s">
        <v>20041</v>
      </c>
      <c r="H2848" s="6" t="s">
        <v>20042</v>
      </c>
      <c r="K2848" s="5" t="s">
        <v>20024</v>
      </c>
      <c r="M2848" s="5" t="s">
        <v>20043</v>
      </c>
      <c r="N2848" s="7" t="s">
        <v>20044</v>
      </c>
      <c r="O2848" s="8" t="str">
        <f>HYPERLINK("https://drive.google.com/file/d/1evFGzkP83XbC6nmLAXU_1AdBgiWTxmM-/view?usp=drivesdk","2847_NOERTEDJO _ SERTIFIKAT BerAKHLAK")</f>
        <v>2847_NOERTEDJO _ SERTIFIKAT BerAKHLAK</v>
      </c>
      <c r="P2848" s="5" t="s">
        <v>20045</v>
      </c>
    </row>
    <row r="2849">
      <c r="A2849" s="4">
        <v>45534.341850578705</v>
      </c>
      <c r="B2849" s="5" t="s">
        <v>34</v>
      </c>
      <c r="D2849" s="5" t="s">
        <v>1206</v>
      </c>
      <c r="E2849" s="5" t="s">
        <v>20046</v>
      </c>
      <c r="F2849" s="5" t="s">
        <v>37</v>
      </c>
      <c r="G2849" s="5" t="s">
        <v>20047</v>
      </c>
      <c r="H2849" s="6" t="s">
        <v>20048</v>
      </c>
      <c r="K2849" s="5" t="s">
        <v>20024</v>
      </c>
      <c r="M2849" s="5" t="s">
        <v>20049</v>
      </c>
      <c r="N2849" s="7" t="s">
        <v>20050</v>
      </c>
      <c r="O2849" s="8" t="str">
        <f>HYPERLINK("https://drive.google.com/file/d/1aJxTTUvtWzgdcMopqko0NOhktqpc6wvW/view?usp=drivesdk","2848_MADYANING RINI _ SERTIFIKAT BerAKHLAK")</f>
        <v>2848_MADYANING RINI _ SERTIFIKAT BerAKHLAK</v>
      </c>
      <c r="P2849" s="5" t="s">
        <v>20051</v>
      </c>
    </row>
    <row r="2850">
      <c r="A2850" s="4">
        <v>45534.34185627315</v>
      </c>
      <c r="B2850" s="5" t="s">
        <v>34</v>
      </c>
      <c r="D2850" s="5" t="s">
        <v>1206</v>
      </c>
      <c r="E2850" s="5" t="s">
        <v>20052</v>
      </c>
      <c r="F2850" s="5" t="s">
        <v>120</v>
      </c>
      <c r="G2850" s="5" t="s">
        <v>20053</v>
      </c>
      <c r="H2850" s="6" t="s">
        <v>20054</v>
      </c>
      <c r="K2850" s="5" t="s">
        <v>20024</v>
      </c>
      <c r="M2850" s="5" t="s">
        <v>20055</v>
      </c>
      <c r="N2850" s="7" t="s">
        <v>20056</v>
      </c>
      <c r="O2850" s="8" t="str">
        <f>HYPERLINK("https://drive.google.com/file/d/19n-NcOTUo9ZBa2yOslD986yhoIHdpujb/view?usp=drivesdk","2849_AHMAD MURTADHO  _ SERTIFIKAT BerAKHLAK")</f>
        <v>2849_AHMAD MURTADHO  _ SERTIFIKAT BerAKHLAK</v>
      </c>
      <c r="P2850" s="5" t="s">
        <v>20057</v>
      </c>
    </row>
    <row r="2851">
      <c r="A2851" s="4">
        <v>45534.3418591088</v>
      </c>
      <c r="B2851" s="5" t="s">
        <v>34</v>
      </c>
      <c r="D2851" s="5" t="s">
        <v>1558</v>
      </c>
      <c r="E2851" s="5" t="s">
        <v>20058</v>
      </c>
      <c r="F2851" s="5" t="s">
        <v>6625</v>
      </c>
      <c r="G2851" s="5" t="s">
        <v>20059</v>
      </c>
      <c r="H2851" s="6" t="s">
        <v>20060</v>
      </c>
      <c r="K2851" s="5" t="s">
        <v>20024</v>
      </c>
      <c r="M2851" s="5" t="s">
        <v>20061</v>
      </c>
      <c r="N2851" s="7" t="s">
        <v>20062</v>
      </c>
      <c r="O2851" s="8" t="str">
        <f>HYPERLINK("https://drive.google.com/file/d/1eXwxVEKi74FDuPErtPpwFZ7KviTNryhD/view?usp=drivesdk","2850_MUH. SAHARI S.H.,M.H. _ SERTIFIKAT BerAKHLAK")</f>
        <v>2850_MUH. SAHARI S.H.,M.H. _ SERTIFIKAT BerAKHLAK</v>
      </c>
      <c r="P2851" s="5" t="s">
        <v>20063</v>
      </c>
    </row>
    <row r="2852">
      <c r="A2852" s="4">
        <v>45534.34185914352</v>
      </c>
      <c r="B2852" s="5" t="s">
        <v>34</v>
      </c>
      <c r="D2852" s="5" t="s">
        <v>4775</v>
      </c>
      <c r="E2852" s="5" t="s">
        <v>20064</v>
      </c>
      <c r="F2852" s="5" t="s">
        <v>212</v>
      </c>
      <c r="G2852" s="5" t="s">
        <v>20065</v>
      </c>
      <c r="H2852" s="6" t="s">
        <v>20066</v>
      </c>
      <c r="K2852" s="5" t="s">
        <v>20024</v>
      </c>
      <c r="M2852" s="5" t="s">
        <v>20067</v>
      </c>
      <c r="N2852" s="7" t="s">
        <v>20068</v>
      </c>
      <c r="O2852" s="8" t="str">
        <f>HYPERLINK("https://drive.google.com/file/d/1Qs588Ae9KJtCdUIjjKBsUamjMuunsRhj/view?usp=drivesdk","2851_NANIK RETNONINGSIH SETIANI _ SERTIFIKAT BerAKHLAK")</f>
        <v>2851_NANIK RETNONINGSIH SETIANI _ SERTIFIKAT BerAKHLAK</v>
      </c>
      <c r="P2852" s="5" t="s">
        <v>20069</v>
      </c>
    </row>
    <row r="2853">
      <c r="A2853" s="4">
        <v>45534.34188547454</v>
      </c>
      <c r="B2853" s="5" t="s">
        <v>34</v>
      </c>
      <c r="D2853" s="5" t="s">
        <v>15401</v>
      </c>
      <c r="E2853" s="5" t="s">
        <v>20070</v>
      </c>
      <c r="F2853" s="5" t="s">
        <v>715</v>
      </c>
      <c r="G2853" s="5" t="s">
        <v>20071</v>
      </c>
      <c r="H2853" s="6" t="s">
        <v>20072</v>
      </c>
      <c r="K2853" s="5" t="s">
        <v>18713</v>
      </c>
      <c r="M2853" s="5" t="s">
        <v>20073</v>
      </c>
      <c r="N2853" s="7" t="s">
        <v>20074</v>
      </c>
      <c r="O2853" s="8" t="str">
        <f>HYPERLINK("https://drive.google.com/file/d/1B0p7RrlRSX-Y1NXla-6X2yOjuuNlun_g/view?usp=drivesdk","2852_JOMES, SP _ SERTIFIKAT BerAKHLAK")</f>
        <v>2852_JOMES, SP _ SERTIFIKAT BerAKHLAK</v>
      </c>
      <c r="P2853" s="5" t="s">
        <v>20075</v>
      </c>
    </row>
    <row r="2854">
      <c r="A2854" s="4">
        <v>45534.34189303241</v>
      </c>
      <c r="B2854" s="5" t="s">
        <v>34</v>
      </c>
      <c r="D2854" s="5" t="s">
        <v>9020</v>
      </c>
      <c r="E2854" s="5" t="s">
        <v>20076</v>
      </c>
      <c r="F2854" s="5" t="s">
        <v>120</v>
      </c>
      <c r="G2854" s="5" t="s">
        <v>20077</v>
      </c>
      <c r="H2854" s="6" t="s">
        <v>20078</v>
      </c>
      <c r="K2854" s="5" t="s">
        <v>18713</v>
      </c>
      <c r="M2854" s="5" t="s">
        <v>20079</v>
      </c>
      <c r="N2854" s="7" t="s">
        <v>20080</v>
      </c>
      <c r="O2854" s="8" t="str">
        <f>HYPERLINK("https://drive.google.com/file/d/1MbGr1MsnFxP3ZNms7MsUT_nJd3SPgWBT/view?usp=drivesdk","2853_KHAIRUN NISA, S.T, M.Si _ SERTIFIKAT BerAKHLAK")</f>
        <v>2853_KHAIRUN NISA, S.T, M.Si _ SERTIFIKAT BerAKHLAK</v>
      </c>
      <c r="P2854" s="5" t="s">
        <v>20081</v>
      </c>
    </row>
    <row r="2855">
      <c r="A2855" s="4">
        <v>45534.341897349535</v>
      </c>
      <c r="B2855" s="5" t="s">
        <v>34</v>
      </c>
      <c r="D2855" s="5" t="s">
        <v>1206</v>
      </c>
      <c r="E2855" s="5" t="s">
        <v>20082</v>
      </c>
      <c r="F2855" s="5" t="s">
        <v>375</v>
      </c>
      <c r="G2855" s="5" t="s">
        <v>20083</v>
      </c>
      <c r="H2855" s="6" t="s">
        <v>20084</v>
      </c>
      <c r="K2855" s="5" t="s">
        <v>18713</v>
      </c>
      <c r="M2855" s="5" t="s">
        <v>20085</v>
      </c>
      <c r="N2855" s="7" t="s">
        <v>20086</v>
      </c>
      <c r="O2855" s="8" t="str">
        <f>HYPERLINK("https://drive.google.com/file/d/1tgOHbwc62ssuWoIz0x19x-Gntwo6dEz2/view?usp=drivesdk","2854_LILIK SUJATI.S.Sos, _ SERTIFIKAT BerAKHLAK")</f>
        <v>2854_LILIK SUJATI.S.Sos, _ SERTIFIKAT BerAKHLAK</v>
      </c>
      <c r="P2855" s="5" t="s">
        <v>20087</v>
      </c>
    </row>
    <row r="2856">
      <c r="A2856" s="4">
        <v>45534.34189856482</v>
      </c>
      <c r="B2856" s="5" t="s">
        <v>34</v>
      </c>
      <c r="D2856" s="5" t="s">
        <v>12978</v>
      </c>
      <c r="E2856" s="5" t="s">
        <v>20088</v>
      </c>
      <c r="F2856" s="5" t="s">
        <v>212</v>
      </c>
      <c r="G2856" s="5" t="s">
        <v>20089</v>
      </c>
      <c r="H2856" s="6" t="s">
        <v>20090</v>
      </c>
      <c r="K2856" s="5" t="s">
        <v>18713</v>
      </c>
      <c r="M2856" s="5" t="s">
        <v>20091</v>
      </c>
      <c r="N2856" s="7" t="s">
        <v>20092</v>
      </c>
      <c r="O2856" s="8" t="str">
        <f>HYPERLINK("https://drive.google.com/file/d/1_wDFRK0JUpgRYuhgXJb7fI9Ap7BxMaPX/view?usp=drivesdk","2855_ERLI SANDRA _ SERTIFIKAT BerAKHLAK")</f>
        <v>2855_ERLI SANDRA _ SERTIFIKAT BerAKHLAK</v>
      </c>
      <c r="P2856" s="5" t="s">
        <v>20093</v>
      </c>
    </row>
    <row r="2857">
      <c r="A2857" s="4">
        <v>45534.341901203705</v>
      </c>
      <c r="B2857" s="5" t="s">
        <v>34</v>
      </c>
      <c r="D2857" s="5" t="s">
        <v>1206</v>
      </c>
      <c r="E2857" s="5" t="s">
        <v>20094</v>
      </c>
      <c r="F2857" s="5" t="s">
        <v>212</v>
      </c>
      <c r="G2857" s="5" t="s">
        <v>20095</v>
      </c>
      <c r="H2857" s="6" t="s">
        <v>20096</v>
      </c>
      <c r="I2857" s="7" t="s">
        <v>20097</v>
      </c>
      <c r="J2857" s="8" t="str">
        <f>HYPERLINK("https://drive.google.com/file/d/1xOeFIEv1Zbgwe-aMhdjLxXlmFE0v90qS/view?usp=drivesdk","AGASSI PAMUNGKAS INTIARTO, S.PSI SERTIFIKAT BerAKHLAK")</f>
        <v>AGASSI PAMUNGKAS INTIARTO, S.PSI SERTIFIKAT BerAKHLAK</v>
      </c>
      <c r="K2857" s="5" t="s">
        <v>18654</v>
      </c>
      <c r="L2857" s="5" t="s">
        <v>20098</v>
      </c>
      <c r="M2857" s="5" t="s">
        <v>20099</v>
      </c>
      <c r="N2857" s="7" t="s">
        <v>20100</v>
      </c>
      <c r="O2857" s="8" t="str">
        <f>HYPERLINK("https://drive.google.com/file/d/1YzRTHEm1JnFiCUwZP2C39ONJeyi1NMmX/view?usp=drivesdk","2856_AGASSI PAMUNGKAS INTIARTO, S.PSI _ SERTIFIKAT BerAKHLAK")</f>
        <v>2856_AGASSI PAMUNGKAS INTIARTO, S.PSI _ SERTIFIKAT BerAKHLAK</v>
      </c>
      <c r="P2857" s="5" t="s">
        <v>20101</v>
      </c>
    </row>
    <row r="2858">
      <c r="A2858" s="4">
        <v>45534.34190791666</v>
      </c>
      <c r="B2858" s="5" t="s">
        <v>34</v>
      </c>
      <c r="D2858" s="5" t="s">
        <v>14313</v>
      </c>
      <c r="E2858" s="5" t="s">
        <v>20102</v>
      </c>
      <c r="F2858" s="5" t="s">
        <v>199</v>
      </c>
      <c r="G2858" s="5" t="s">
        <v>20103</v>
      </c>
      <c r="H2858" s="6" t="s">
        <v>20104</v>
      </c>
      <c r="I2858" s="7" t="s">
        <v>20105</v>
      </c>
      <c r="J2858" s="8" t="str">
        <f>HYPERLINK("https://drive.google.com/file/d/17_iZBVasrSrtnRT-NEQinMMTs9KM7f-w/view?usp=drivesdk","HJ.NURHAYATI MUHAMMAD SERTIFIKAT BerAKHLAK")</f>
        <v>HJ.NURHAYATI MUHAMMAD SERTIFIKAT BerAKHLAK</v>
      </c>
      <c r="K2858" s="5" t="s">
        <v>18654</v>
      </c>
      <c r="L2858" s="5" t="s">
        <v>20106</v>
      </c>
      <c r="M2858" s="5" t="s">
        <v>20107</v>
      </c>
      <c r="N2858" s="7" t="s">
        <v>20108</v>
      </c>
      <c r="O2858" s="8" t="str">
        <f>HYPERLINK("https://drive.google.com/file/d/1Pj9CKqnNkMxpWumxX-qpnAyJICZp6uIh/view?usp=drivesdk","2857_HJ.NURHAYATI MUHAMMAD _ SERTIFIKAT BerAKHLAK")</f>
        <v>2857_HJ.NURHAYATI MUHAMMAD _ SERTIFIKAT BerAKHLAK</v>
      </c>
      <c r="P2858" s="5" t="s">
        <v>20109</v>
      </c>
    </row>
    <row r="2859">
      <c r="A2859" s="4">
        <v>45534.34191482639</v>
      </c>
      <c r="B2859" s="5" t="s">
        <v>34</v>
      </c>
      <c r="D2859" s="5" t="s">
        <v>267</v>
      </c>
      <c r="E2859" s="5" t="s">
        <v>20110</v>
      </c>
      <c r="F2859" s="5" t="s">
        <v>108</v>
      </c>
      <c r="G2859" s="5" t="s">
        <v>20111</v>
      </c>
      <c r="H2859" s="6" t="s">
        <v>20112</v>
      </c>
      <c r="I2859" s="7" t="s">
        <v>20113</v>
      </c>
      <c r="J2859" s="8" t="str">
        <f>HYPERLINK("https://drive.google.com/file/d/1VrHZvQ7-v6l3RyEpa0hc91mVlKiRy5TX/view?usp=drivesdk","YUNIAR FATMANINGSIH, A. Md. Farm SERTIFIKAT BerAKHLAK")</f>
        <v>YUNIAR FATMANINGSIH, A. Md. Farm SERTIFIKAT BerAKHLAK</v>
      </c>
      <c r="K2859" s="5" t="s">
        <v>18654</v>
      </c>
      <c r="L2859" s="5" t="s">
        <v>20114</v>
      </c>
      <c r="M2859" s="5" t="s">
        <v>20115</v>
      </c>
      <c r="N2859" s="7" t="s">
        <v>20116</v>
      </c>
      <c r="O2859" s="8" t="str">
        <f>HYPERLINK("https://drive.google.com/file/d/17z4YtD6P7on_TeJccuZKWSReWITx7dsS/view?usp=drivesdk","2858_YUNIAR FATMANINGSIH, A. Md. Farm _ SERTIFIKAT BerAKHLAK")</f>
        <v>2858_YUNIAR FATMANINGSIH, A. Md. Farm _ SERTIFIKAT BerAKHLAK</v>
      </c>
      <c r="P2859" s="5" t="s">
        <v>20117</v>
      </c>
    </row>
    <row r="2860">
      <c r="A2860" s="4">
        <v>45534.34192391204</v>
      </c>
      <c r="B2860" s="5" t="s">
        <v>34</v>
      </c>
      <c r="D2860" s="5" t="s">
        <v>522</v>
      </c>
      <c r="E2860" s="5" t="s">
        <v>20118</v>
      </c>
      <c r="F2860" s="5" t="s">
        <v>72</v>
      </c>
      <c r="G2860" s="5" t="s">
        <v>20119</v>
      </c>
      <c r="H2860" s="6" t="s">
        <v>20120</v>
      </c>
      <c r="I2860" s="7" t="s">
        <v>20121</v>
      </c>
      <c r="J2860" s="8" t="str">
        <f>HYPERLINK("https://drive.google.com/file/d/1zxQUGUfckrZXpaRDXRk1Gi0jdh5KQFOn/view?usp=drivesdk","dr FITA NIRMA LISTYA SERTIFIKAT BerAKHLAK")</f>
        <v>dr FITA NIRMA LISTYA SERTIFIKAT BerAKHLAK</v>
      </c>
      <c r="K2860" s="5" t="s">
        <v>18691</v>
      </c>
      <c r="L2860" s="5" t="s">
        <v>20122</v>
      </c>
      <c r="M2860" s="5" t="s">
        <v>20123</v>
      </c>
      <c r="N2860" s="7" t="s">
        <v>20124</v>
      </c>
      <c r="O2860" s="8" t="str">
        <f>HYPERLINK("https://drive.google.com/file/d/1d0P8W86nIQWvcGhVkOyChZJSZD4CUDfK/view?usp=drivesdk","2859_dr FITA NIRMA LISTYA _ SERTIFIKAT BerAKHLAK")</f>
        <v>2859_dr FITA NIRMA LISTYA _ SERTIFIKAT BerAKHLAK</v>
      </c>
      <c r="P2860" s="5" t="s">
        <v>20125</v>
      </c>
    </row>
    <row r="2861">
      <c r="A2861" s="4">
        <v>45534.341926863424</v>
      </c>
      <c r="B2861" s="5" t="s">
        <v>34</v>
      </c>
      <c r="D2861" s="5" t="s">
        <v>1456</v>
      </c>
      <c r="E2861" s="5" t="s">
        <v>20126</v>
      </c>
      <c r="F2861" s="5" t="s">
        <v>37</v>
      </c>
      <c r="G2861" s="5" t="s">
        <v>20127</v>
      </c>
      <c r="H2861" s="6" t="s">
        <v>20128</v>
      </c>
      <c r="I2861" s="7" t="s">
        <v>20129</v>
      </c>
      <c r="J2861" s="8" t="str">
        <f>HYPERLINK("https://drive.google.com/file/d/1gFpvTLYYqCMEDwCopk7lVVCg80rNv8RV/view?usp=drivesdk","EKA KARTIKA APRIANI SERTIFIKAT BerAKHLAK")</f>
        <v>EKA KARTIKA APRIANI SERTIFIKAT BerAKHLAK</v>
      </c>
      <c r="K2861" s="5" t="s">
        <v>18654</v>
      </c>
      <c r="L2861" s="5" t="s">
        <v>20130</v>
      </c>
      <c r="M2861" s="5" t="s">
        <v>20131</v>
      </c>
      <c r="N2861" s="7" t="s">
        <v>20132</v>
      </c>
      <c r="O2861" s="8" t="str">
        <f>HYPERLINK("https://drive.google.com/file/d/1Rk1f7wyKRmM11TbLlwitfxtACov1oNYn/view?usp=drivesdk","2860_EKA KARTIKA APRIANI _ SERTIFIKAT BerAKHLAK")</f>
        <v>2860_EKA KARTIKA APRIANI _ SERTIFIKAT BerAKHLAK</v>
      </c>
      <c r="P2861" s="5" t="s">
        <v>20133</v>
      </c>
    </row>
    <row r="2862">
      <c r="A2862" s="4">
        <v>45534.3419315625</v>
      </c>
      <c r="B2862" s="5" t="s">
        <v>34</v>
      </c>
      <c r="D2862" s="5" t="s">
        <v>4775</v>
      </c>
      <c r="E2862" s="5" t="s">
        <v>20134</v>
      </c>
      <c r="F2862" s="5" t="s">
        <v>212</v>
      </c>
      <c r="G2862" s="5" t="s">
        <v>20135</v>
      </c>
      <c r="H2862" s="6" t="s">
        <v>20136</v>
      </c>
      <c r="I2862" s="7" t="s">
        <v>20137</v>
      </c>
      <c r="J2862" s="8" t="str">
        <f>HYPERLINK("https://drive.google.com/file/d/1lwUxrdPw3zor0HhgovKXsGUe4T_G1E3s/view?usp=drivesdk","SETIYANINGSIH SERTIFIKAT BerAKHLAK")</f>
        <v>SETIYANINGSIH SERTIFIKAT BerAKHLAK</v>
      </c>
      <c r="K2862" s="5" t="s">
        <v>18654</v>
      </c>
      <c r="L2862" s="5" t="s">
        <v>20138</v>
      </c>
      <c r="M2862" s="5" t="s">
        <v>20139</v>
      </c>
      <c r="N2862" s="7" t="s">
        <v>20140</v>
      </c>
      <c r="O2862" s="8" t="str">
        <f>HYPERLINK("https://drive.google.com/file/d/1rgHellSSzarvVtTAnxHXWbT29qqvC0do/view?usp=drivesdk","2861_SETIYANINGSIH _ SERTIFIKAT BerAKHLAK")</f>
        <v>2861_SETIYANINGSIH _ SERTIFIKAT BerAKHLAK</v>
      </c>
      <c r="P2862" s="5" t="s">
        <v>20141</v>
      </c>
    </row>
    <row r="2863">
      <c r="A2863" s="4">
        <v>45534.34193758102</v>
      </c>
      <c r="B2863" s="5" t="s">
        <v>34</v>
      </c>
      <c r="D2863" s="5" t="s">
        <v>12978</v>
      </c>
      <c r="E2863" s="5" t="s">
        <v>20142</v>
      </c>
      <c r="F2863" s="5" t="s">
        <v>120</v>
      </c>
      <c r="G2863" s="5" t="s">
        <v>20143</v>
      </c>
      <c r="H2863" s="6" t="s">
        <v>20144</v>
      </c>
      <c r="I2863" s="7" t="s">
        <v>20145</v>
      </c>
      <c r="J2863" s="8" t="str">
        <f>HYPERLINK("https://drive.google.com/file/d/1fBt0yyQgdenDfFXp5zA4iOiTxhtYUw4q/view?usp=drivesdk","Niryasti.,S.Si.,M.Si SERTIFIKAT BerAKHLAK")</f>
        <v>Niryasti.,S.Si.,M.Si SERTIFIKAT BerAKHLAK</v>
      </c>
      <c r="K2863" s="5" t="s">
        <v>18691</v>
      </c>
      <c r="L2863" s="5" t="s">
        <v>20146</v>
      </c>
      <c r="M2863" s="5" t="s">
        <v>20147</v>
      </c>
      <c r="N2863" s="7" t="s">
        <v>20148</v>
      </c>
      <c r="O2863" s="8" t="str">
        <f>HYPERLINK("https://drive.google.com/file/d/1f9DPukBTFGKSxtzSM9YLSYerhBmhtGUm/view?usp=drivesdk","2862_Niryasti.,S.Si.,M.Si _ SERTIFIKAT BerAKHLAK")</f>
        <v>2862_Niryasti.,S.Si.,M.Si _ SERTIFIKAT BerAKHLAK</v>
      </c>
      <c r="P2863" s="5" t="s">
        <v>20149</v>
      </c>
    </row>
    <row r="2864">
      <c r="A2864" s="4">
        <v>45534.34193997685</v>
      </c>
      <c r="B2864" s="5" t="s">
        <v>34</v>
      </c>
      <c r="D2864" s="5" t="s">
        <v>4775</v>
      </c>
      <c r="E2864" s="5" t="s">
        <v>20150</v>
      </c>
      <c r="F2864" s="5" t="s">
        <v>375</v>
      </c>
      <c r="G2864" s="5" t="s">
        <v>20151</v>
      </c>
      <c r="H2864" s="6" t="s">
        <v>20152</v>
      </c>
      <c r="I2864" s="7" t="s">
        <v>20153</v>
      </c>
      <c r="J2864" s="8" t="str">
        <f>HYPERLINK("https://drive.google.com/file/d/1qfX8HpU7T2q1dL2MmsP_8U4CcCvvZQN8/view?usp=drivesdk","SULISTRIANINGSIH SERTIFIKAT BerAKHLAK")</f>
        <v>SULISTRIANINGSIH SERTIFIKAT BerAKHLAK</v>
      </c>
      <c r="K2864" s="5" t="s">
        <v>18691</v>
      </c>
      <c r="L2864" s="5" t="s">
        <v>20154</v>
      </c>
      <c r="M2864" s="5" t="s">
        <v>20155</v>
      </c>
      <c r="N2864" s="7" t="s">
        <v>20156</v>
      </c>
      <c r="O2864" s="8" t="str">
        <f>HYPERLINK("https://drive.google.com/file/d/17HvjiKc-_VcXc0ytLMD5v0jkRNp0NH6f/view?usp=drivesdk","2863_SULISTRIANINGSIH _ SERTIFIKAT BerAKHLAK")</f>
        <v>2863_SULISTRIANINGSIH _ SERTIFIKAT BerAKHLAK</v>
      </c>
      <c r="P2864" s="5" t="s">
        <v>20157</v>
      </c>
    </row>
    <row r="2865">
      <c r="A2865" s="4">
        <v>45534.34194201389</v>
      </c>
      <c r="B2865" s="5" t="s">
        <v>34</v>
      </c>
      <c r="D2865" s="5" t="s">
        <v>4775</v>
      </c>
      <c r="E2865" s="5" t="s">
        <v>20158</v>
      </c>
      <c r="F2865" s="5" t="s">
        <v>37</v>
      </c>
      <c r="G2865" s="5" t="s">
        <v>20159</v>
      </c>
      <c r="H2865" s="6" t="s">
        <v>20160</v>
      </c>
      <c r="K2865" s="5" t="s">
        <v>20161</v>
      </c>
      <c r="M2865" s="5" t="s">
        <v>20162</v>
      </c>
      <c r="N2865" s="7" t="s">
        <v>20163</v>
      </c>
      <c r="O2865" s="8" t="str">
        <f>HYPERLINK("https://drive.google.com/file/d/1qTemYPcAuuuXKsEpkRqprP75zr7CPBQv/view?usp=drivesdk","2864_SUNARTO  _ SERTIFIKAT BerAKHLAK")</f>
        <v>2864_SUNARTO  _ SERTIFIKAT BerAKHLAK</v>
      </c>
      <c r="P2865" s="5" t="s">
        <v>20164</v>
      </c>
    </row>
    <row r="2866">
      <c r="A2866" s="4">
        <v>45534.341947395835</v>
      </c>
      <c r="B2866" s="5" t="s">
        <v>34</v>
      </c>
      <c r="D2866" s="5" t="s">
        <v>12978</v>
      </c>
      <c r="E2866" s="5" t="s">
        <v>20165</v>
      </c>
      <c r="F2866" s="5" t="s">
        <v>120</v>
      </c>
      <c r="G2866" s="5" t="s">
        <v>20166</v>
      </c>
      <c r="H2866" s="6" t="s">
        <v>20167</v>
      </c>
      <c r="K2866" s="5" t="s">
        <v>20161</v>
      </c>
      <c r="M2866" s="5" t="s">
        <v>20168</v>
      </c>
      <c r="N2866" s="7" t="s">
        <v>20169</v>
      </c>
      <c r="O2866" s="8" t="str">
        <f>HYPERLINK("https://drive.google.com/file/d/1_RY58YJIUCyL7ucKL1FvADJgl2hPqtSv/view?usp=drivesdk","2865_dr. MAS NURA _ SERTIFIKAT BerAKHLAK")</f>
        <v>2865_dr. MAS NURA _ SERTIFIKAT BerAKHLAK</v>
      </c>
      <c r="P2866" s="5" t="s">
        <v>20170</v>
      </c>
    </row>
    <row r="2867">
      <c r="A2867" s="4">
        <v>45534.341949594906</v>
      </c>
      <c r="B2867" s="5" t="s">
        <v>34</v>
      </c>
      <c r="D2867" s="5" t="s">
        <v>12010</v>
      </c>
      <c r="E2867" s="5" t="s">
        <v>20171</v>
      </c>
      <c r="F2867" s="5" t="s">
        <v>120</v>
      </c>
      <c r="G2867" s="5" t="s">
        <v>20172</v>
      </c>
      <c r="H2867" s="6" t="s">
        <v>20173</v>
      </c>
      <c r="I2867" s="7" t="s">
        <v>20174</v>
      </c>
      <c r="J2867" s="8" t="str">
        <f>HYPERLINK("https://drive.google.com/file/d/1U2FEfGgMDbGDbPF-bmv5CRfGg_T1JhZh/view?usp=drivesdk","SILVIA PUSPANATAN PREMCY, S. Kom SERTIFIKAT BerAKHLAK")</f>
        <v>SILVIA PUSPANATAN PREMCY, S. Kom SERTIFIKAT BerAKHLAK</v>
      </c>
      <c r="K2867" s="5" t="s">
        <v>18654</v>
      </c>
      <c r="L2867" s="5" t="s">
        <v>20175</v>
      </c>
      <c r="M2867" s="5" t="s">
        <v>20176</v>
      </c>
      <c r="N2867" s="7" t="s">
        <v>20177</v>
      </c>
      <c r="O2867" s="8" t="str">
        <f>HYPERLINK("https://drive.google.com/file/d/1hBAsvyZoDxy7_JdpaMl22IbsEURzJ5ug/view?usp=drivesdk","2866_SILVIA PUSPANATAN PREMCY, S. Kom _ SERTIFIKAT BerAKHLAK")</f>
        <v>2866_SILVIA PUSPANATAN PREMCY, S. Kom _ SERTIFIKAT BerAKHLAK</v>
      </c>
      <c r="P2867" s="5" t="s">
        <v>20178</v>
      </c>
    </row>
    <row r="2868">
      <c r="A2868" s="4">
        <v>45534.34195163194</v>
      </c>
      <c r="B2868" s="5" t="s">
        <v>34</v>
      </c>
      <c r="D2868" s="5" t="s">
        <v>35</v>
      </c>
      <c r="E2868" s="5" t="s">
        <v>20179</v>
      </c>
      <c r="F2868" s="5" t="s">
        <v>212</v>
      </c>
      <c r="G2868" s="5" t="s">
        <v>20180</v>
      </c>
      <c r="H2868" s="6" t="s">
        <v>20181</v>
      </c>
      <c r="I2868" s="7" t="s">
        <v>20182</v>
      </c>
      <c r="J2868" s="8" t="str">
        <f>HYPERLINK("https://drive.google.com/file/d/14P1qYep2B1bJFBcYnL-aNYccNO4voQRv/view?usp=drivesdk","BUDI HARSONO SERTIFIKAT BerAKHLAK")</f>
        <v>BUDI HARSONO SERTIFIKAT BerAKHLAK</v>
      </c>
      <c r="K2868" s="5" t="s">
        <v>18654</v>
      </c>
      <c r="L2868" s="5" t="s">
        <v>20183</v>
      </c>
      <c r="M2868" s="5" t="s">
        <v>20184</v>
      </c>
      <c r="N2868" s="7" t="s">
        <v>20185</v>
      </c>
      <c r="O2868" s="8" t="str">
        <f>HYPERLINK("https://drive.google.com/file/d/1odAfiZDhjny1-e2YaTsslCI2hn1V-1PP/view?usp=drivesdk","2867_BUDI HARSONO _ SERTIFIKAT BerAKHLAK")</f>
        <v>2867_BUDI HARSONO _ SERTIFIKAT BerAKHLAK</v>
      </c>
      <c r="P2868" s="5" t="s">
        <v>20186</v>
      </c>
    </row>
    <row r="2869">
      <c r="A2869" s="4">
        <v>45534.34196449074</v>
      </c>
      <c r="B2869" s="5" t="s">
        <v>34</v>
      </c>
      <c r="D2869" s="5" t="s">
        <v>9020</v>
      </c>
      <c r="E2869" s="5" t="s">
        <v>20187</v>
      </c>
      <c r="F2869" s="5" t="s">
        <v>212</v>
      </c>
      <c r="G2869" s="5" t="s">
        <v>20188</v>
      </c>
      <c r="H2869" s="6" t="s">
        <v>20189</v>
      </c>
      <c r="I2869" s="7" t="s">
        <v>20190</v>
      </c>
      <c r="J2869" s="8" t="str">
        <f>HYPERLINK("https://drive.google.com/file/d/149TGvmVuSrwgmd0bqhy7YkIkbSrexJw2/view?usp=drivesdk","EFFENDI SERTIFIKAT BerAKHLAK")</f>
        <v>EFFENDI SERTIFIKAT BerAKHLAK</v>
      </c>
      <c r="K2869" s="5" t="s">
        <v>18691</v>
      </c>
      <c r="L2869" s="5" t="s">
        <v>20191</v>
      </c>
      <c r="M2869" s="5" t="s">
        <v>20192</v>
      </c>
      <c r="N2869" s="7" t="s">
        <v>20193</v>
      </c>
      <c r="O2869" s="8" t="str">
        <f>HYPERLINK("https://drive.google.com/file/d/1xkcFipvoGLQreOTjiP_EvRM_kaZhfPdn/view?usp=drivesdk","2868_EFFENDI _ SERTIFIKAT BerAKHLAK")</f>
        <v>2868_EFFENDI _ SERTIFIKAT BerAKHLAK</v>
      </c>
      <c r="P2869" s="5" t="s">
        <v>20194</v>
      </c>
    </row>
    <row r="2870">
      <c r="A2870" s="4">
        <v>45534.341971851856</v>
      </c>
      <c r="B2870" s="5" t="s">
        <v>34</v>
      </c>
      <c r="D2870" s="5" t="s">
        <v>12978</v>
      </c>
      <c r="E2870" s="5" t="s">
        <v>20195</v>
      </c>
      <c r="F2870" s="5" t="s">
        <v>212</v>
      </c>
      <c r="G2870" s="5" t="s">
        <v>20196</v>
      </c>
      <c r="H2870" s="6" t="s">
        <v>20197</v>
      </c>
      <c r="I2870" s="7" t="s">
        <v>20198</v>
      </c>
      <c r="J2870" s="8" t="str">
        <f>HYPERLINK("https://drive.google.com/file/d/1nfZQMDRvYFSR8JgdY8l5g2Rkm-nvTJaI/view?usp=drivesdk","ASN LINDA SERTIFIKAT BerAKHLAK")</f>
        <v>ASN LINDA SERTIFIKAT BerAKHLAK</v>
      </c>
      <c r="K2870" s="5" t="s">
        <v>18691</v>
      </c>
      <c r="L2870" s="5" t="s">
        <v>20199</v>
      </c>
      <c r="M2870" s="5" t="s">
        <v>20200</v>
      </c>
      <c r="N2870" s="7" t="s">
        <v>20201</v>
      </c>
      <c r="O2870" s="8" t="str">
        <f>HYPERLINK("https://drive.google.com/file/d/1s_Ufa0p_AFsSH6bXVb0qe7yVn3nformq/view?usp=drivesdk","2869_ASN LINDA _ SERTIFIKAT BerAKHLAK")</f>
        <v>2869_ASN LINDA _ SERTIFIKAT BerAKHLAK</v>
      </c>
      <c r="P2870" s="5" t="s">
        <v>20202</v>
      </c>
    </row>
    <row r="2871">
      <c r="A2871" s="4">
        <v>45534.341974930554</v>
      </c>
      <c r="B2871" s="5" t="s">
        <v>34</v>
      </c>
      <c r="D2871" s="5" t="s">
        <v>1206</v>
      </c>
      <c r="E2871" s="5" t="s">
        <v>20203</v>
      </c>
      <c r="F2871" s="5" t="s">
        <v>212</v>
      </c>
      <c r="G2871" s="5" t="s">
        <v>20204</v>
      </c>
      <c r="H2871" s="6" t="s">
        <v>20205</v>
      </c>
      <c r="I2871" s="7" t="s">
        <v>20206</v>
      </c>
      <c r="J2871" s="8" t="str">
        <f>HYPERLINK("https://drive.google.com/file/d/1V-dYPW8rDOsVec7XOok4jT1o9zYRiWF7/view?usp=drivesdk","DENI APRILOWATI PURWANINGSIH SERTIFIKAT BerAKHLAK")</f>
        <v>DENI APRILOWATI PURWANINGSIH SERTIFIKAT BerAKHLAK</v>
      </c>
      <c r="K2871" s="5" t="s">
        <v>18691</v>
      </c>
      <c r="L2871" s="5" t="s">
        <v>20207</v>
      </c>
      <c r="M2871" s="5" t="s">
        <v>20208</v>
      </c>
      <c r="N2871" s="7" t="s">
        <v>20209</v>
      </c>
      <c r="O2871" s="8" t="str">
        <f>HYPERLINK("https://drive.google.com/file/d/1hCfJRGJ3Wv37y3pk-FiCgAO42r4ma1yX/view?usp=drivesdk","2870_DENI APRILOWATI PURWANINGSIH _ SERTIFIKAT BerAKHLAK")</f>
        <v>2870_DENI APRILOWATI PURWANINGSIH _ SERTIFIKAT BerAKHLAK</v>
      </c>
      <c r="P2871" s="5" t="s">
        <v>20210</v>
      </c>
    </row>
    <row r="2872">
      <c r="A2872" s="4">
        <v>45534.341976979165</v>
      </c>
      <c r="B2872" s="5" t="s">
        <v>34</v>
      </c>
      <c r="D2872" s="5" t="s">
        <v>1206</v>
      </c>
      <c r="E2872" s="5" t="s">
        <v>20211</v>
      </c>
      <c r="F2872" s="5" t="s">
        <v>212</v>
      </c>
      <c r="G2872" s="5" t="s">
        <v>20212</v>
      </c>
      <c r="H2872" s="6" t="s">
        <v>20213</v>
      </c>
      <c r="K2872" s="5" t="s">
        <v>20214</v>
      </c>
      <c r="M2872" s="5" t="s">
        <v>20215</v>
      </c>
      <c r="N2872" s="7" t="s">
        <v>20216</v>
      </c>
      <c r="O2872" s="8" t="str">
        <f>HYPERLINK("https://drive.google.com/file/d/17pItY68AUcGI-03ikNnhXnXzMPJ8HKmh/view?usp=drivesdk","2871_SONIE LUCKITA KURNIAWAN  _ SERTIFIKAT BIMTEK IPASN BerAKHLASK")</f>
        <v>2871_SONIE LUCKITA KURNIAWAN  _ SERTIFIKAT BIMTEK IPASN BerAKHLASK</v>
      </c>
      <c r="P2872" s="5" t="s">
        <v>19644</v>
      </c>
    </row>
    <row r="2873">
      <c r="A2873" s="4">
        <v>45534.341982303245</v>
      </c>
      <c r="B2873" s="5" t="s">
        <v>34</v>
      </c>
      <c r="D2873" s="5" t="s">
        <v>35</v>
      </c>
      <c r="E2873" s="5" t="s">
        <v>20217</v>
      </c>
      <c r="F2873" s="5" t="s">
        <v>108</v>
      </c>
      <c r="G2873" s="5" t="s">
        <v>20218</v>
      </c>
      <c r="H2873" s="6" t="s">
        <v>20219</v>
      </c>
      <c r="K2873" s="5" t="s">
        <v>20214</v>
      </c>
      <c r="M2873" s="5" t="s">
        <v>20220</v>
      </c>
      <c r="N2873" s="7" t="s">
        <v>20221</v>
      </c>
      <c r="O2873" s="8" t="str">
        <f>HYPERLINK("https://drive.google.com/file/d/1QA_b4hRV_okrj2E8KZTTiyapqnV4FwCn/view?usp=drivesdk","2872_YAYAN NURYAMAH _ SERTIFIKAT BIMTEK IPASN BerAKHLASK")</f>
        <v>2872_YAYAN NURYAMAH _ SERTIFIKAT BIMTEK IPASN BerAKHLASK</v>
      </c>
      <c r="P2873" s="5" t="s">
        <v>19644</v>
      </c>
    </row>
    <row r="2874">
      <c r="A2874" s="4">
        <v>45534.341984108796</v>
      </c>
      <c r="B2874" s="5" t="s">
        <v>34</v>
      </c>
      <c r="D2874" s="5" t="s">
        <v>4775</v>
      </c>
      <c r="E2874" s="5" t="s">
        <v>17170</v>
      </c>
      <c r="F2874" s="5" t="s">
        <v>5859</v>
      </c>
      <c r="G2874" s="5" t="s">
        <v>20222</v>
      </c>
      <c r="H2874" s="6" t="s">
        <v>20223</v>
      </c>
      <c r="K2874" s="5" t="s">
        <v>20214</v>
      </c>
      <c r="M2874" s="5" t="s">
        <v>20224</v>
      </c>
      <c r="N2874" s="7" t="s">
        <v>20225</v>
      </c>
      <c r="O2874" s="8" t="str">
        <f>HYPERLINK("https://drive.google.com/file/d/1VIsHDHOMYv64p8BIQIY8SiC3Bzsb32NU/view?usp=drivesdk","2873_SOBIRIN _ SERTIFIKAT BIMTEK IPASN BerAKHLASK")</f>
        <v>2873_SOBIRIN _ SERTIFIKAT BIMTEK IPASN BerAKHLASK</v>
      </c>
      <c r="P2874" s="5" t="s">
        <v>20226</v>
      </c>
    </row>
    <row r="2875">
      <c r="A2875" s="4">
        <v>45534.34198802084</v>
      </c>
      <c r="B2875" s="5" t="s">
        <v>34</v>
      </c>
      <c r="D2875" s="5" t="s">
        <v>10444</v>
      </c>
      <c r="E2875" s="5" t="s">
        <v>20227</v>
      </c>
      <c r="F2875" s="5" t="s">
        <v>212</v>
      </c>
      <c r="G2875" s="5" t="s">
        <v>20228</v>
      </c>
      <c r="H2875" s="6" t="s">
        <v>20229</v>
      </c>
      <c r="K2875" s="5" t="s">
        <v>20214</v>
      </c>
      <c r="M2875" s="5" t="s">
        <v>20230</v>
      </c>
      <c r="N2875" s="7" t="s">
        <v>20231</v>
      </c>
      <c r="O2875" s="8" t="str">
        <f>HYPERLINK("https://drive.google.com/file/d/1h9rhi3Etyul48mq1fbuPTiYV-SwDDXoS/view?usp=drivesdk","2874_NENY TRIYANA  _ SERTIFIKAT BIMTEK IPASN BerAKHLASK")</f>
        <v>2874_NENY TRIYANA  _ SERTIFIKAT BIMTEK IPASN BerAKHLASK</v>
      </c>
      <c r="P2875" s="5" t="s">
        <v>20226</v>
      </c>
    </row>
    <row r="2876">
      <c r="A2876" s="4">
        <v>45534.341997129624</v>
      </c>
      <c r="B2876" s="5" t="s">
        <v>34</v>
      </c>
      <c r="D2876" s="5" t="s">
        <v>10297</v>
      </c>
      <c r="E2876" s="5" t="s">
        <v>20232</v>
      </c>
      <c r="F2876" s="5" t="s">
        <v>37</v>
      </c>
      <c r="G2876" s="5" t="s">
        <v>20233</v>
      </c>
      <c r="H2876" s="6" t="s">
        <v>20234</v>
      </c>
      <c r="K2876" s="5" t="s">
        <v>20214</v>
      </c>
      <c r="M2876" s="5" t="s">
        <v>20235</v>
      </c>
      <c r="N2876" s="7" t="s">
        <v>20236</v>
      </c>
      <c r="O2876" s="8" t="str">
        <f>HYPERLINK("https://drive.google.com/file/d/1m1jdvR688RRFXaFLyUqvSp0oafPi2qrj/view?usp=drivesdk","2875_EKA LUCKY HARDYANTO _ SERTIFIKAT BIMTEK IPASN BerAKHLASK")</f>
        <v>2875_EKA LUCKY HARDYANTO _ SERTIFIKAT BIMTEK IPASN BerAKHLASK</v>
      </c>
      <c r="P2876" s="5" t="s">
        <v>20226</v>
      </c>
    </row>
    <row r="2877">
      <c r="A2877" s="4">
        <v>45534.34201278935</v>
      </c>
      <c r="B2877" s="5" t="s">
        <v>34</v>
      </c>
      <c r="D2877" s="5" t="s">
        <v>3849</v>
      </c>
      <c r="E2877" s="5" t="s">
        <v>20237</v>
      </c>
      <c r="F2877" s="5" t="s">
        <v>72</v>
      </c>
      <c r="G2877" s="5" t="s">
        <v>20238</v>
      </c>
      <c r="H2877" s="6" t="s">
        <v>20239</v>
      </c>
      <c r="I2877" s="7" t="s">
        <v>20240</v>
      </c>
      <c r="J2877" s="8" t="str">
        <f>HYPERLINK("https://drive.google.com/file/d/1__EDXY16Q1nmIRAJs0cxAH073bmps01q/view?usp=drivesdk","LIDIANTI SERTIFIKAT BerAKHLAK")</f>
        <v>LIDIANTI SERTIFIKAT BerAKHLAK</v>
      </c>
      <c r="K2877" s="5" t="s">
        <v>18654</v>
      </c>
      <c r="L2877" s="5" t="s">
        <v>20241</v>
      </c>
      <c r="M2877" s="5" t="s">
        <v>20242</v>
      </c>
      <c r="N2877" s="7" t="s">
        <v>20243</v>
      </c>
      <c r="O2877" s="8" t="str">
        <f>HYPERLINK("https://drive.google.com/file/d/1NhBYnwBpKVBXYc86rhC9WuaIFcH3mtpc/view?usp=drivesdk","2876_LIDIANTI _ SERTIFIKAT BIMTEK IPASN BerAKHLASK")</f>
        <v>2876_LIDIANTI _ SERTIFIKAT BIMTEK IPASN BerAKHLASK</v>
      </c>
      <c r="P2877" s="5" t="s">
        <v>20226</v>
      </c>
    </row>
    <row r="2878">
      <c r="A2878" s="4">
        <v>45534.34201600694</v>
      </c>
      <c r="B2878" s="5" t="s">
        <v>34</v>
      </c>
      <c r="D2878" s="5" t="s">
        <v>35</v>
      </c>
      <c r="E2878" s="5" t="s">
        <v>20244</v>
      </c>
      <c r="F2878" s="5" t="s">
        <v>212</v>
      </c>
      <c r="G2878" s="5" t="s">
        <v>20245</v>
      </c>
      <c r="H2878" s="6" t="s">
        <v>20246</v>
      </c>
      <c r="I2878" s="7" t="s">
        <v>20247</v>
      </c>
      <c r="J2878" s="8" t="str">
        <f>HYPERLINK("https://drive.google.com/file/d/1Gzoa6HTbk83toBJX1eRo7mMxJsbg37lK/view?usp=drivesdk","MOCHAMMAD SAFEI  SERTIFIKAT BerAKHLAK")</f>
        <v>MOCHAMMAD SAFEI  SERTIFIKAT BerAKHLAK</v>
      </c>
      <c r="K2878" s="5" t="s">
        <v>18654</v>
      </c>
      <c r="L2878" s="5" t="s">
        <v>20248</v>
      </c>
      <c r="M2878" s="5" t="s">
        <v>20249</v>
      </c>
      <c r="N2878" s="7" t="s">
        <v>20250</v>
      </c>
      <c r="O2878" s="8" t="str">
        <f>HYPERLINK("https://drive.google.com/file/d/1R8SWAZ2LNMkw2ZJruaD-JsPSqUt-ggl9/view?usp=drivesdk","2877_MOCHAMMAD SAFEI  _ SERTIFIKAT BIMTEK IPASN BerAKHLASK")</f>
        <v>2877_MOCHAMMAD SAFEI  _ SERTIFIKAT BIMTEK IPASN BerAKHLASK</v>
      </c>
      <c r="P2878" s="5" t="s">
        <v>20251</v>
      </c>
    </row>
    <row r="2879">
      <c r="A2879" s="4">
        <v>45534.34201645834</v>
      </c>
      <c r="B2879" s="5" t="s">
        <v>34</v>
      </c>
      <c r="D2879" s="5" t="s">
        <v>12010</v>
      </c>
      <c r="E2879" s="5" t="s">
        <v>20252</v>
      </c>
      <c r="F2879" s="5" t="s">
        <v>524</v>
      </c>
      <c r="G2879" s="5" t="s">
        <v>20253</v>
      </c>
      <c r="H2879" s="6" t="s">
        <v>20254</v>
      </c>
      <c r="I2879" s="7" t="s">
        <v>20255</v>
      </c>
      <c r="J2879" s="8" t="str">
        <f>HYPERLINK("https://drive.google.com/file/d/1t7PzDxQMtNrwDHiDSDgVzAOH0xtCNENf/view?usp=drivesdk","YATI NUI HURUSANI SERTIFIKAT BerAKHLAK")</f>
        <v>YATI NUI HURUSANI SERTIFIKAT BerAKHLAK</v>
      </c>
      <c r="K2879" s="5" t="s">
        <v>18691</v>
      </c>
      <c r="L2879" s="5" t="s">
        <v>20256</v>
      </c>
      <c r="M2879" s="5" t="s">
        <v>20257</v>
      </c>
      <c r="N2879" s="7" t="s">
        <v>20258</v>
      </c>
      <c r="O2879" s="8" t="str">
        <f>HYPERLINK("https://drive.google.com/file/d/1Mj8gKFzPnWdt4AZ9FaloZ_9EKMjthtuZ/view?usp=drivesdk","2878_YATI NUI HURUSANI _ SERTIFIKAT BIMTEK IPASN BerAKHLASK")</f>
        <v>2878_YATI NUI HURUSANI _ SERTIFIKAT BIMTEK IPASN BerAKHLASK</v>
      </c>
      <c r="P2879" s="5" t="s">
        <v>20251</v>
      </c>
    </row>
    <row r="2880">
      <c r="A2880" s="4">
        <v>45534.34202119213</v>
      </c>
      <c r="B2880" s="5" t="s">
        <v>34</v>
      </c>
      <c r="D2880" s="5" t="s">
        <v>996</v>
      </c>
      <c r="E2880" s="5" t="s">
        <v>20259</v>
      </c>
      <c r="F2880" s="5" t="s">
        <v>212</v>
      </c>
      <c r="G2880" s="5" t="s">
        <v>20260</v>
      </c>
      <c r="H2880" s="6" t="s">
        <v>20261</v>
      </c>
      <c r="I2880" s="7" t="s">
        <v>20262</v>
      </c>
      <c r="J2880" s="8" t="str">
        <f>HYPERLINK("https://drive.google.com/file/d/12MDGOgm5C8uPH5DsvHpx5KUWossSwiiO/view?usp=drivesdk","TUMINI SERTIFIKAT BerAKHLAK")</f>
        <v>TUMINI SERTIFIKAT BerAKHLAK</v>
      </c>
      <c r="K2880" s="5" t="s">
        <v>18691</v>
      </c>
      <c r="L2880" s="5" t="s">
        <v>20263</v>
      </c>
      <c r="M2880" s="5" t="s">
        <v>20264</v>
      </c>
      <c r="N2880" s="7" t="s">
        <v>20265</v>
      </c>
      <c r="O2880" s="8" t="str">
        <f>HYPERLINK("https://drive.google.com/file/d/1AD3jLKueUa6XBQV0SThneltejinigEP9/view?usp=drivesdk","2879_TUMINI _ SERTIFIKAT BIMTEK IPASN BerAKHLASK")</f>
        <v>2879_TUMINI _ SERTIFIKAT BIMTEK IPASN BerAKHLASK</v>
      </c>
      <c r="P2880" s="5" t="s">
        <v>20251</v>
      </c>
    </row>
    <row r="2881">
      <c r="A2881" s="4">
        <v>45534.342022997684</v>
      </c>
      <c r="B2881" s="5" t="s">
        <v>34</v>
      </c>
      <c r="D2881" s="5" t="s">
        <v>35</v>
      </c>
      <c r="E2881" s="5" t="s">
        <v>20266</v>
      </c>
      <c r="F2881" s="5" t="s">
        <v>328</v>
      </c>
      <c r="G2881" s="5" t="s">
        <v>20267</v>
      </c>
      <c r="H2881" s="6" t="s">
        <v>20268</v>
      </c>
      <c r="I2881" s="7" t="s">
        <v>20269</v>
      </c>
      <c r="J2881" s="8" t="str">
        <f>HYPERLINK("https://drive.google.com/file/d/1syFs3vxBeZd551T3HYSZD47hDWxHYA1o/view?usp=drivesdk","YANTO AJA  SERTIFIKAT BerAKHLAK")</f>
        <v>YANTO AJA  SERTIFIKAT BerAKHLAK</v>
      </c>
      <c r="K2881" s="5" t="s">
        <v>18691</v>
      </c>
      <c r="L2881" s="5" t="s">
        <v>20270</v>
      </c>
      <c r="M2881" s="5" t="s">
        <v>20271</v>
      </c>
      <c r="N2881" s="7" t="s">
        <v>20272</v>
      </c>
      <c r="O2881" s="8" t="str">
        <f>HYPERLINK("https://drive.google.com/file/d/1w9DITIu802oIGKipXEsGF9z8xGJYDCQl/view?usp=drivesdk","2880_YANTO AJA  _ SERTIFIKAT BIMTEK IPASN BerAKHLASK")</f>
        <v>2880_YANTO AJA  _ SERTIFIKAT BIMTEK IPASN BerAKHLASK</v>
      </c>
      <c r="P2881" s="5" t="s">
        <v>20251</v>
      </c>
    </row>
    <row r="2882">
      <c r="A2882" s="4">
        <v>45534.34203002315</v>
      </c>
      <c r="B2882" s="5" t="s">
        <v>34</v>
      </c>
      <c r="D2882" s="5" t="s">
        <v>35</v>
      </c>
      <c r="E2882" s="5" t="s">
        <v>20273</v>
      </c>
      <c r="F2882" s="5" t="s">
        <v>108</v>
      </c>
      <c r="G2882" s="5" t="s">
        <v>20274</v>
      </c>
      <c r="H2882" s="6" t="s">
        <v>20275</v>
      </c>
      <c r="I2882" s="7" t="s">
        <v>20276</v>
      </c>
      <c r="J2882" s="8" t="str">
        <f>HYPERLINK("https://drive.google.com/file/d/1BR-a4ZDEdIJxnUn0w6OU7oSOpYQCCwrP/view?usp=drivesdk","ARNASIH SERTIFIKAT BerAKHLAK")</f>
        <v>ARNASIH SERTIFIKAT BerAKHLAK</v>
      </c>
      <c r="K2882" s="5" t="s">
        <v>18654</v>
      </c>
      <c r="L2882" s="5" t="s">
        <v>20277</v>
      </c>
      <c r="M2882" s="5" t="s">
        <v>20278</v>
      </c>
      <c r="N2882" s="7" t="s">
        <v>20279</v>
      </c>
      <c r="O2882" s="8" t="str">
        <f>HYPERLINK("https://drive.google.com/file/d/1uMW73rSglbzUKgB5N7b7B9OY0kFYT7Ax/view?usp=drivesdk","2881_ARNASIH _ SERTIFIKAT BIMTEK IPASN BerAKHLASK")</f>
        <v>2881_ARNASIH _ SERTIFIKAT BIMTEK IPASN BerAKHLASK</v>
      </c>
      <c r="P2882" s="5" t="s">
        <v>20280</v>
      </c>
    </row>
    <row r="2883" hidden="1">
      <c r="A2883" s="4">
        <v>45534.34203194444</v>
      </c>
      <c r="B2883" s="5" t="s">
        <v>19</v>
      </c>
      <c r="C2883" s="5" t="s">
        <v>292</v>
      </c>
      <c r="E2883" s="5" t="s">
        <v>20281</v>
      </c>
      <c r="F2883" s="5" t="s">
        <v>212</v>
      </c>
      <c r="G2883" s="5" t="s">
        <v>20282</v>
      </c>
      <c r="H2883" s="6" t="s">
        <v>20283</v>
      </c>
      <c r="I2883" s="7" t="s">
        <v>20284</v>
      </c>
      <c r="J2883" s="8" t="str">
        <f>HYPERLINK("https://drive.google.com/file/d/1qCSwYK6rEVAwrxvFFgzF1PAilLaKHEmS/view?usp=drivesdk","REVY SAEPUROHMAN,S.Pd SERTIFIKAT BerAKHLAK")</f>
        <v>REVY SAEPUROHMAN,S.Pd SERTIFIKAT BerAKHLAK</v>
      </c>
      <c r="K2883" s="5" t="s">
        <v>18691</v>
      </c>
      <c r="L2883" s="5" t="s">
        <v>20285</v>
      </c>
      <c r="M2883" s="5" t="s">
        <v>20286</v>
      </c>
      <c r="N2883" s="7" t="s">
        <v>20287</v>
      </c>
      <c r="O2883" s="8" t="str">
        <f>HYPERLINK("https://drive.google.com/file/d/1dA4z9g66Dbnwx90DY9VTcAHxhSqfbEVL/view?usp=drivesdk","2882_REVY SAEPUROHMAN,S.Pd _ SERTIFIKAT BIMTEK IPASN BerAKHLASK")</f>
        <v>2882_REVY SAEPUROHMAN,S.Pd _ SERTIFIKAT BIMTEK IPASN BerAKHLASK</v>
      </c>
      <c r="P2883" s="5" t="s">
        <v>20280</v>
      </c>
    </row>
    <row r="2884">
      <c r="A2884" s="4">
        <v>45534.34203547453</v>
      </c>
      <c r="B2884" s="5" t="s">
        <v>34</v>
      </c>
      <c r="D2884" s="5" t="s">
        <v>4775</v>
      </c>
      <c r="E2884" s="5" t="s">
        <v>19564</v>
      </c>
      <c r="F2884" s="5" t="s">
        <v>72</v>
      </c>
      <c r="G2884" s="5" t="s">
        <v>20288</v>
      </c>
      <c r="H2884" s="6" t="s">
        <v>20289</v>
      </c>
      <c r="I2884" s="7" t="s">
        <v>20290</v>
      </c>
      <c r="J2884" s="8" t="str">
        <f>HYPERLINK("https://drive.google.com/file/d/1sVA3Qrx3cpZ41HWZqVlozVtXVNp8Le8-/view?usp=drivesdk","HARTINI SERTIFIKAT BerAKHLAK")</f>
        <v>HARTINI SERTIFIKAT BerAKHLAK</v>
      </c>
      <c r="K2884" s="5" t="s">
        <v>18691</v>
      </c>
      <c r="L2884" s="5" t="s">
        <v>20291</v>
      </c>
      <c r="M2884" s="5" t="s">
        <v>20292</v>
      </c>
      <c r="N2884" s="7" t="s">
        <v>20293</v>
      </c>
      <c r="O2884" s="8" t="str">
        <f>HYPERLINK("https://drive.google.com/file/d/1LPJBq2-MdgdO5CiNCHstoOI9Q70Sfj7j/view?usp=drivesdk","2883_HARTINI _ SERTIFIKAT BIMTEK IPASN BerAKHLASK")</f>
        <v>2883_HARTINI _ SERTIFIKAT BIMTEK IPASN BerAKHLASK</v>
      </c>
      <c r="P2884" s="5" t="s">
        <v>20280</v>
      </c>
    </row>
    <row r="2885">
      <c r="A2885" s="4">
        <v>45534.342038738425</v>
      </c>
      <c r="B2885" s="5" t="s">
        <v>34</v>
      </c>
      <c r="D2885" s="5" t="s">
        <v>3849</v>
      </c>
      <c r="E2885" s="5" t="s">
        <v>20294</v>
      </c>
      <c r="F2885" s="5" t="s">
        <v>715</v>
      </c>
      <c r="G2885" s="5" t="s">
        <v>20295</v>
      </c>
      <c r="H2885" s="6" t="s">
        <v>20296</v>
      </c>
      <c r="K2885" s="5" t="s">
        <v>20297</v>
      </c>
      <c r="M2885" s="5" t="s">
        <v>20298</v>
      </c>
      <c r="N2885" s="7" t="s">
        <v>20299</v>
      </c>
      <c r="O2885" s="8" t="str">
        <f>HYPERLINK("https://drive.google.com/file/d/1CN-3LrjIexhSXJxkenplSHHlKnyjanm6/view?usp=drivesdk","2884_ALFAUZUN, SE _ SERTIFIKAT BIMTEK IPASN BerAKHLASK")</f>
        <v>2884_ALFAUZUN, SE _ SERTIFIKAT BIMTEK IPASN BerAKHLASK</v>
      </c>
      <c r="P2885" s="5" t="s">
        <v>20280</v>
      </c>
    </row>
    <row r="2886">
      <c r="A2886" s="4">
        <v>45534.34204335648</v>
      </c>
      <c r="B2886" s="5" t="s">
        <v>34</v>
      </c>
      <c r="D2886" s="5" t="s">
        <v>35</v>
      </c>
      <c r="E2886" s="5" t="s">
        <v>20300</v>
      </c>
      <c r="F2886" s="5" t="s">
        <v>375</v>
      </c>
      <c r="G2886" s="5" t="s">
        <v>20301</v>
      </c>
      <c r="H2886" s="6" t="s">
        <v>20302</v>
      </c>
      <c r="K2886" s="5" t="s">
        <v>20297</v>
      </c>
      <c r="M2886" s="5" t="s">
        <v>20303</v>
      </c>
      <c r="N2886" s="7" t="s">
        <v>20304</v>
      </c>
      <c r="O2886" s="8" t="str">
        <f>HYPERLINK("https://drive.google.com/file/d/1GeIOpEIkOIwFOQeEb2MjVqBHSm28Xy5M/view?usp=drivesdk","2885_TARKUM, S.AP _ SERTIFIKAT BIMTEK IPASN BerAKHLASK")</f>
        <v>2885_TARKUM, S.AP _ SERTIFIKAT BIMTEK IPASN BerAKHLASK</v>
      </c>
      <c r="P2886" s="5" t="s">
        <v>20305</v>
      </c>
    </row>
    <row r="2887">
      <c r="A2887" s="4">
        <v>45534.34204577546</v>
      </c>
      <c r="B2887" s="5" t="s">
        <v>34</v>
      </c>
      <c r="D2887" s="5" t="s">
        <v>1206</v>
      </c>
      <c r="E2887" s="5" t="s">
        <v>20306</v>
      </c>
      <c r="F2887" s="5" t="s">
        <v>37</v>
      </c>
      <c r="G2887" s="5" t="s">
        <v>20307</v>
      </c>
      <c r="H2887" s="6" t="s">
        <v>20308</v>
      </c>
      <c r="K2887" s="5" t="s">
        <v>20297</v>
      </c>
      <c r="M2887" s="5" t="s">
        <v>20309</v>
      </c>
      <c r="N2887" s="7" t="s">
        <v>20310</v>
      </c>
      <c r="O2887" s="8" t="str">
        <f>HYPERLINK("https://drive.google.com/file/d/1nTrZfsbeNSVkac28VBMOGpueBqbwafdl/view?usp=drivesdk","2886_BINTI SAMSUNIAH _ SERTIFIKAT BIMTEK IPASN BerAKHLASK")</f>
        <v>2886_BINTI SAMSUNIAH _ SERTIFIKAT BIMTEK IPASN BerAKHLASK</v>
      </c>
      <c r="P2887" s="5" t="s">
        <v>20305</v>
      </c>
    </row>
    <row r="2888">
      <c r="A2888" s="4">
        <v>45534.34204613426</v>
      </c>
      <c r="B2888" s="5" t="s">
        <v>34</v>
      </c>
      <c r="D2888" s="5" t="s">
        <v>1768</v>
      </c>
      <c r="E2888" s="5" t="s">
        <v>20311</v>
      </c>
      <c r="F2888" s="5" t="s">
        <v>72</v>
      </c>
      <c r="G2888" s="5" t="s">
        <v>20312</v>
      </c>
      <c r="H2888" s="6" t="s">
        <v>20313</v>
      </c>
      <c r="K2888" s="5" t="s">
        <v>20297</v>
      </c>
      <c r="M2888" s="5" t="s">
        <v>20314</v>
      </c>
      <c r="N2888" s="7" t="s">
        <v>20315</v>
      </c>
      <c r="O2888" s="8" t="str">
        <f>HYPERLINK("https://drive.google.com/file/d/1MVjNgHCoXd4evzqtEO3GMHVhvj8tMSZ1/view?usp=drivesdk","2887_ASRIAH  _ SERTIFIKAT BIMTEK IPASN BerAKHLASK")</f>
        <v>2887_ASRIAH  _ SERTIFIKAT BIMTEK IPASN BerAKHLASK</v>
      </c>
      <c r="P2888" s="5" t="s">
        <v>20305</v>
      </c>
    </row>
    <row r="2889">
      <c r="A2889" s="4">
        <v>45534.3420484838</v>
      </c>
      <c r="B2889" s="5" t="s">
        <v>34</v>
      </c>
      <c r="D2889" s="5" t="s">
        <v>996</v>
      </c>
      <c r="E2889" s="5" t="s">
        <v>20316</v>
      </c>
      <c r="F2889" s="5" t="s">
        <v>212</v>
      </c>
      <c r="G2889" s="5" t="s">
        <v>20317</v>
      </c>
      <c r="H2889" s="6" t="s">
        <v>20318</v>
      </c>
      <c r="K2889" s="5" t="s">
        <v>20297</v>
      </c>
      <c r="M2889" s="5" t="s">
        <v>20319</v>
      </c>
      <c r="N2889" s="7" t="s">
        <v>20320</v>
      </c>
      <c r="O2889" s="8" t="str">
        <f>HYPERLINK("https://drive.google.com/file/d/1phud1TWepyHkCsDA3g_0D-QvuPqFpcJU/view?usp=drivesdk","2888_TRi YULIA ANGGRAINI, S.Hut., M.M. _ SERTIFIKAT BIMTEK IPASN BerAKHLASK")</f>
        <v>2888_TRi YULIA ANGGRAINI, S.Hut., M.M. _ SERTIFIKAT BIMTEK IPASN BerAKHLASK</v>
      </c>
      <c r="P2889" s="5" t="s">
        <v>20305</v>
      </c>
    </row>
    <row r="2890">
      <c r="A2890" s="4">
        <v>45534.342050798616</v>
      </c>
      <c r="B2890" s="5" t="s">
        <v>34</v>
      </c>
      <c r="D2890" s="5" t="s">
        <v>1206</v>
      </c>
      <c r="E2890" s="5" t="s">
        <v>20321</v>
      </c>
      <c r="F2890" s="5" t="s">
        <v>72</v>
      </c>
      <c r="G2890" s="5" t="s">
        <v>20322</v>
      </c>
      <c r="H2890" s="6" t="s">
        <v>20323</v>
      </c>
      <c r="K2890" s="5" t="s">
        <v>20297</v>
      </c>
      <c r="M2890" s="5" t="s">
        <v>20324</v>
      </c>
      <c r="N2890" s="7" t="s">
        <v>20325</v>
      </c>
      <c r="O2890" s="8" t="str">
        <f>HYPERLINK("https://drive.google.com/file/d/1jFn-WWrDidk4EMh513rY_DxgoqG52DZR/view?usp=drivesdk","2889_BUDI WASKITO _ SERTIFIKAT BIMTEK IPASN BerAKHLASK")</f>
        <v>2889_BUDI WASKITO _ SERTIFIKAT BIMTEK IPASN BerAKHLASK</v>
      </c>
      <c r="P2890" s="5" t="s">
        <v>20305</v>
      </c>
    </row>
    <row r="2891">
      <c r="A2891" s="4">
        <v>45534.342052962966</v>
      </c>
      <c r="B2891" s="5" t="s">
        <v>34</v>
      </c>
      <c r="D2891" s="5" t="s">
        <v>35</v>
      </c>
      <c r="E2891" s="5" t="s">
        <v>20326</v>
      </c>
      <c r="F2891" s="5" t="s">
        <v>375</v>
      </c>
      <c r="G2891" s="5" t="s">
        <v>20327</v>
      </c>
      <c r="H2891" s="6" t="s">
        <v>20328</v>
      </c>
      <c r="K2891" s="5" t="s">
        <v>20297</v>
      </c>
      <c r="M2891" s="5" t="s">
        <v>20329</v>
      </c>
      <c r="N2891" s="7" t="s">
        <v>20330</v>
      </c>
      <c r="O2891" s="8" t="str">
        <f>HYPERLINK("https://drive.google.com/file/d/1OmvOzqzUXlDaWXeRu1L86W7e4UdrA8WK/view?usp=drivesdk","2890_WINDI DIANA, S.SOS _ SERTIFIKAT BIMTEK IPASN BerAKHLASK")</f>
        <v>2890_WINDI DIANA, S.SOS _ SERTIFIKAT BIMTEK IPASN BerAKHLASK</v>
      </c>
      <c r="P2891" s="5" t="s">
        <v>20331</v>
      </c>
    </row>
    <row r="2892">
      <c r="A2892" s="4">
        <v>45534.342055243054</v>
      </c>
      <c r="B2892" s="5" t="s">
        <v>34</v>
      </c>
      <c r="D2892" s="5" t="s">
        <v>4775</v>
      </c>
      <c r="E2892" s="5" t="s">
        <v>20332</v>
      </c>
      <c r="F2892" s="5" t="s">
        <v>375</v>
      </c>
      <c r="G2892" s="5" t="s">
        <v>20333</v>
      </c>
      <c r="H2892" s="6" t="s">
        <v>20334</v>
      </c>
      <c r="K2892" s="5" t="s">
        <v>20297</v>
      </c>
      <c r="M2892" s="5" t="s">
        <v>20335</v>
      </c>
      <c r="N2892" s="7" t="s">
        <v>20336</v>
      </c>
      <c r="O2892" s="8" t="str">
        <f>HYPERLINK("https://drive.google.com/file/d/1tQyZGPEyWcr9ImYO5UaJ5vqGGH-eHBEP/view?usp=drivesdk","2891_NOVI NILASARI, S. E.  _ SERTIFIKAT BIMTEK IPASN BerAKHLASK")</f>
        <v>2891_NOVI NILASARI, S. E.  _ SERTIFIKAT BIMTEK IPASN BerAKHLASK</v>
      </c>
      <c r="P2892" s="5" t="s">
        <v>20331</v>
      </c>
    </row>
    <row r="2893" hidden="1">
      <c r="A2893" s="4">
        <v>45534.34205690972</v>
      </c>
      <c r="B2893" s="5" t="s">
        <v>19</v>
      </c>
      <c r="C2893" s="5" t="s">
        <v>11593</v>
      </c>
      <c r="E2893" s="5" t="s">
        <v>20337</v>
      </c>
      <c r="F2893" s="5" t="s">
        <v>120</v>
      </c>
      <c r="G2893" s="5" t="s">
        <v>20338</v>
      </c>
      <c r="H2893" s="6" t="s">
        <v>20339</v>
      </c>
      <c r="K2893" s="5" t="s">
        <v>20297</v>
      </c>
      <c r="M2893" s="5" t="s">
        <v>20340</v>
      </c>
      <c r="N2893" s="7" t="s">
        <v>20341</v>
      </c>
      <c r="O2893" s="8" t="str">
        <f>HYPERLINK("https://drive.google.com/file/d/1hFWqWAZC8T5f8U7AshO7dhG8SwgCxGwy/view?usp=drivesdk","2892_drg. DESSY SUKOWATI _ SERTIFIKAT BerAKHLAK")</f>
        <v>2892_drg. DESSY SUKOWATI _ SERTIFIKAT BerAKHLAK</v>
      </c>
      <c r="P2893" s="5" t="s">
        <v>20342</v>
      </c>
    </row>
    <row r="2894">
      <c r="A2894" s="4">
        <v>45534.34206497685</v>
      </c>
      <c r="B2894" s="5" t="s">
        <v>34</v>
      </c>
      <c r="D2894" s="5" t="s">
        <v>4775</v>
      </c>
      <c r="E2894" s="5" t="s">
        <v>20343</v>
      </c>
      <c r="F2894" s="5" t="s">
        <v>212</v>
      </c>
      <c r="G2894" s="5" t="s">
        <v>20344</v>
      </c>
      <c r="H2894" s="6" t="s">
        <v>20345</v>
      </c>
      <c r="K2894" s="5" t="s">
        <v>20297</v>
      </c>
      <c r="M2894" s="5" t="s">
        <v>20346</v>
      </c>
      <c r="N2894" s="7" t="s">
        <v>20347</v>
      </c>
      <c r="O2894" s="8" t="str">
        <f>HYPERLINK("https://drive.google.com/file/d/1qetzAnGAQHYYUcJn4ya0bQ8e-VRT1wJr/view?usp=drivesdk","2893_Bapak KARNO _ SERTIFIKAT BerAKHLAK")</f>
        <v>2893_Bapak KARNO _ SERTIFIKAT BerAKHLAK</v>
      </c>
      <c r="P2894" s="5" t="s">
        <v>20348</v>
      </c>
    </row>
    <row r="2895" hidden="1">
      <c r="A2895" s="4">
        <v>45534.34206517361</v>
      </c>
      <c r="B2895" s="5" t="s">
        <v>19</v>
      </c>
      <c r="C2895" s="5" t="s">
        <v>3301</v>
      </c>
      <c r="E2895" s="5" t="s">
        <v>20349</v>
      </c>
      <c r="F2895" s="5" t="s">
        <v>72</v>
      </c>
      <c r="G2895" s="5" t="s">
        <v>20350</v>
      </c>
      <c r="H2895" s="6" t="s">
        <v>20351</v>
      </c>
      <c r="K2895" s="5" t="s">
        <v>20297</v>
      </c>
      <c r="M2895" s="5" t="s">
        <v>20352</v>
      </c>
      <c r="N2895" s="7" t="s">
        <v>20353</v>
      </c>
      <c r="O2895" s="8" t="str">
        <f>HYPERLINK("https://drive.google.com/file/d/1hRmUOHqbHIwBVaUGmHl6BzLTFSE4hV4B/view?usp=drivesdk","2894_TIMI ASRANA.Amd,Kep _ SERTIFIKAT BerAKHLAK")</f>
        <v>2894_TIMI ASRANA.Amd,Kep _ SERTIFIKAT BerAKHLAK</v>
      </c>
      <c r="P2895" s="5" t="s">
        <v>20354</v>
      </c>
    </row>
    <row r="2896">
      <c r="A2896" s="4">
        <v>45534.34206917824</v>
      </c>
      <c r="B2896" s="5" t="s">
        <v>34</v>
      </c>
      <c r="D2896" s="5" t="s">
        <v>1206</v>
      </c>
      <c r="E2896" s="5" t="s">
        <v>20355</v>
      </c>
      <c r="F2896" s="5" t="s">
        <v>212</v>
      </c>
      <c r="G2896" s="5" t="s">
        <v>20356</v>
      </c>
      <c r="H2896" s="6" t="s">
        <v>20357</v>
      </c>
      <c r="I2896" s="7" t="s">
        <v>20358</v>
      </c>
      <c r="J2896" s="8" t="str">
        <f>HYPERLINK("https://drive.google.com/file/d/1ln_hma5M4oUQmfCN3bKP0T1OivDMs_zH/view?usp=drivesdk","Dwi Retno Juliati SERTIFIKAT BerAKHLAK")</f>
        <v>Dwi Retno Juliati SERTIFIKAT BerAKHLAK</v>
      </c>
      <c r="K2896" s="5" t="s">
        <v>18654</v>
      </c>
      <c r="L2896" s="5" t="s">
        <v>20359</v>
      </c>
      <c r="M2896" s="5" t="s">
        <v>20360</v>
      </c>
      <c r="N2896" s="7" t="s">
        <v>20361</v>
      </c>
      <c r="O2896" s="8" t="str">
        <f>HYPERLINK("https://drive.google.com/file/d/1a2Lnvate5ISAV6VuW1KZPU1bRCp1IHZ1/view?usp=drivesdk","2895_Dwi Retno Juliati _ SERTIFIKAT BerAKHLAK")</f>
        <v>2895_Dwi Retno Juliati _ SERTIFIKAT BerAKHLAK</v>
      </c>
      <c r="P2896" s="5" t="s">
        <v>20362</v>
      </c>
    </row>
    <row r="2897">
      <c r="A2897" s="4">
        <v>45534.342071377316</v>
      </c>
      <c r="B2897" s="5" t="s">
        <v>34</v>
      </c>
      <c r="D2897" s="5" t="s">
        <v>522</v>
      </c>
      <c r="E2897" s="5" t="s">
        <v>20363</v>
      </c>
      <c r="F2897" s="5" t="s">
        <v>524</v>
      </c>
      <c r="G2897" s="5" t="s">
        <v>20364</v>
      </c>
      <c r="H2897" s="6" t="s">
        <v>20365</v>
      </c>
      <c r="I2897" s="7" t="s">
        <v>20366</v>
      </c>
      <c r="J2897" s="8" t="str">
        <f>HYPERLINK("https://drive.google.com/file/d/1-7YXegD1lSOhYmZegCZhybPFXefkC5JD/view?usp=drivesdk","HETTY SUTRINI SERTIFIKAT BerAKHLAK")</f>
        <v>HETTY SUTRINI SERTIFIKAT BerAKHLAK</v>
      </c>
      <c r="K2897" s="5" t="s">
        <v>18691</v>
      </c>
      <c r="L2897" s="5" t="s">
        <v>20367</v>
      </c>
      <c r="M2897" s="5" t="s">
        <v>20368</v>
      </c>
      <c r="N2897" s="7" t="s">
        <v>20369</v>
      </c>
      <c r="O2897" s="8" t="str">
        <f>HYPERLINK("https://drive.google.com/file/d/1A53YTNy8DJ5QOFJK1FbQzKs7KT-p4Pgp/view?usp=drivesdk","2896_HETTY SUTRINI _ SERTIFIKAT BerAKHLAK")</f>
        <v>2896_HETTY SUTRINI _ SERTIFIKAT BerAKHLAK</v>
      </c>
      <c r="P2897" s="5" t="s">
        <v>20370</v>
      </c>
    </row>
    <row r="2898">
      <c r="A2898" s="4">
        <v>45534.34207518518</v>
      </c>
      <c r="B2898" s="5" t="s">
        <v>34</v>
      </c>
      <c r="D2898" s="5" t="s">
        <v>2903</v>
      </c>
      <c r="E2898" s="5" t="s">
        <v>20371</v>
      </c>
      <c r="F2898" s="5" t="s">
        <v>37</v>
      </c>
      <c r="G2898" s="5" t="s">
        <v>20372</v>
      </c>
      <c r="H2898" s="6" t="s">
        <v>20373</v>
      </c>
      <c r="I2898" s="7" t="s">
        <v>20374</v>
      </c>
      <c r="J2898" s="8" t="str">
        <f>HYPERLINK("https://drive.google.com/file/d/1ThtNLwUBBbyzL1BJG-l-0QKsGFKAe30U/view?usp=drivesdk","TRI DARMAWAN SERTIFIKAT BerAKHLAK")</f>
        <v>TRI DARMAWAN SERTIFIKAT BerAKHLAK</v>
      </c>
      <c r="K2898" s="5" t="s">
        <v>18691</v>
      </c>
      <c r="L2898" s="5" t="s">
        <v>20375</v>
      </c>
      <c r="M2898" s="5" t="s">
        <v>20376</v>
      </c>
      <c r="N2898" s="7" t="s">
        <v>20377</v>
      </c>
      <c r="O2898" s="8" t="str">
        <f>HYPERLINK("https://drive.google.com/file/d/1mTEcZfKuU0mtpLrZ5OxHPbpdBpDrNdaZ/view?usp=drivesdk","2897_TRI DARMAWAN _ SERTIFIKAT BerAKHLAK")</f>
        <v>2897_TRI DARMAWAN _ SERTIFIKAT BerAKHLAK</v>
      </c>
      <c r="P2898" s="5" t="s">
        <v>20378</v>
      </c>
    </row>
    <row r="2899">
      <c r="A2899" s="4">
        <v>45534.34207903935</v>
      </c>
      <c r="B2899" s="5" t="s">
        <v>34</v>
      </c>
      <c r="D2899" s="5" t="s">
        <v>6232</v>
      </c>
      <c r="E2899" s="5" t="s">
        <v>20379</v>
      </c>
      <c r="F2899" s="5" t="s">
        <v>37</v>
      </c>
      <c r="G2899" s="5" t="s">
        <v>20380</v>
      </c>
      <c r="H2899" s="6" t="s">
        <v>20381</v>
      </c>
      <c r="I2899" s="7" t="s">
        <v>20382</v>
      </c>
      <c r="J2899" s="8" t="str">
        <f>HYPERLINK("https://drive.google.com/file/d/1dgdoXb56MstXb5hKb4lU3faOXSqXgK9d/view?usp=drivesdk","DARNIATI  SERTIFIKAT BerAKHLAK")</f>
        <v>DARNIATI  SERTIFIKAT BerAKHLAK</v>
      </c>
      <c r="K2899" s="5" t="s">
        <v>18691</v>
      </c>
      <c r="L2899" s="5" t="s">
        <v>20383</v>
      </c>
      <c r="M2899" s="5" t="s">
        <v>20384</v>
      </c>
      <c r="N2899" s="7" t="s">
        <v>20385</v>
      </c>
      <c r="O2899" s="8" t="str">
        <f>HYPERLINK("https://drive.google.com/file/d/1nbx8Orr52BhJvsoSCK4qnALLZvsfYv0b/view?usp=drivesdk","2898_DARNIATI  _ SERTIFIKAT BerAKHLAK")</f>
        <v>2898_DARNIATI  _ SERTIFIKAT BerAKHLAK</v>
      </c>
      <c r="P2899" s="5" t="s">
        <v>20386</v>
      </c>
    </row>
    <row r="2900">
      <c r="A2900" s="4">
        <v>45534.34207918981</v>
      </c>
      <c r="B2900" s="5" t="s">
        <v>34</v>
      </c>
      <c r="D2900" s="5" t="s">
        <v>9020</v>
      </c>
      <c r="E2900" s="5" t="s">
        <v>20387</v>
      </c>
      <c r="F2900" s="5" t="s">
        <v>212</v>
      </c>
      <c r="G2900" s="5" t="s">
        <v>20388</v>
      </c>
      <c r="H2900" s="6" t="s">
        <v>20389</v>
      </c>
      <c r="I2900" s="7" t="s">
        <v>20390</v>
      </c>
      <c r="J2900" s="8" t="str">
        <f>HYPERLINK("https://drive.google.com/file/d/12fgHm-kFUcfj0yTDPSS4HKRI9vnl4JAQ/view?usp=drivesdk","SITI ROHANI SERTIFIKAT BerAKHLAK")</f>
        <v>SITI ROHANI SERTIFIKAT BerAKHLAK</v>
      </c>
      <c r="K2900" s="5" t="s">
        <v>20391</v>
      </c>
      <c r="L2900" s="5" t="s">
        <v>20392</v>
      </c>
      <c r="M2900" s="5" t="s">
        <v>20393</v>
      </c>
      <c r="N2900" s="7" t="s">
        <v>20394</v>
      </c>
      <c r="O2900" s="8" t="str">
        <f>HYPERLINK("https://drive.google.com/file/d/18s8uF0osazo3Iz_-YbYVqxewf1A-tuTO/view?usp=drivesdk","2899_SITI ROHANI _ SERTIFIKAT BerAKHLAK")</f>
        <v>2899_SITI ROHANI _ SERTIFIKAT BerAKHLAK</v>
      </c>
      <c r="P2900" s="5" t="s">
        <v>20395</v>
      </c>
    </row>
    <row r="2901">
      <c r="A2901" s="4">
        <v>45534.342080625</v>
      </c>
      <c r="B2901" s="5" t="s">
        <v>34</v>
      </c>
      <c r="D2901" s="5" t="s">
        <v>35</v>
      </c>
      <c r="E2901" s="5" t="s">
        <v>20396</v>
      </c>
      <c r="F2901" s="5" t="s">
        <v>37</v>
      </c>
      <c r="G2901" s="5" t="s">
        <v>20397</v>
      </c>
      <c r="H2901" s="6" t="s">
        <v>20398</v>
      </c>
      <c r="I2901" s="7" t="s">
        <v>20399</v>
      </c>
      <c r="J2901" s="8" t="str">
        <f>HYPERLINK("https://drive.google.com/file/d/1YbJYNHXJNtNNsjVGeEoQ7noufIsT4XT1/view?usp=drivesdk","RUSTIWAN, S. KOM. SERTIFIKAT BerAKHLAK")</f>
        <v>RUSTIWAN, S. KOM. SERTIFIKAT BerAKHLAK</v>
      </c>
      <c r="K2901" s="5" t="s">
        <v>20391</v>
      </c>
      <c r="L2901" s="5" t="s">
        <v>20400</v>
      </c>
      <c r="M2901" s="5" t="s">
        <v>20401</v>
      </c>
      <c r="N2901" s="7" t="s">
        <v>20402</v>
      </c>
      <c r="O2901" s="8" t="str">
        <f>HYPERLINK("https://drive.google.com/file/d/1fglQErc3FFWMVvZPauWUedJMPORKi_pW/view?usp=drivesdk","2900_RUSTIWAN, S. KOM. _ SERTIFIKAT BerAKHLAK")</f>
        <v>2900_RUSTIWAN, S. KOM. _ SERTIFIKAT BerAKHLAK</v>
      </c>
      <c r="P2901" s="5" t="s">
        <v>20403</v>
      </c>
    </row>
    <row r="2902">
      <c r="A2902" s="4">
        <v>45534.342081215276</v>
      </c>
      <c r="B2902" s="5" t="s">
        <v>34</v>
      </c>
      <c r="D2902" s="5" t="s">
        <v>4775</v>
      </c>
      <c r="E2902" s="5" t="s">
        <v>20404</v>
      </c>
      <c r="F2902" s="5" t="s">
        <v>37</v>
      </c>
      <c r="G2902" s="5" t="s">
        <v>20405</v>
      </c>
      <c r="H2902" s="6" t="s">
        <v>20406</v>
      </c>
      <c r="K2902" s="5" t="s">
        <v>20407</v>
      </c>
      <c r="M2902" s="5" t="s">
        <v>20408</v>
      </c>
      <c r="N2902" s="7" t="s">
        <v>20409</v>
      </c>
      <c r="O2902" s="8" t="str">
        <f>HYPERLINK("https://drive.google.com/file/d/11cyAYkH1WO2TpRY1kcanXRVPMzwCn90I/view?usp=drivesdk","2901_LENI MEILINDA, S. M _ SERTIFIKAT BerAKHLAK")</f>
        <v>2901_LENI MEILINDA, S. M _ SERTIFIKAT BerAKHLAK</v>
      </c>
      <c r="P2902" s="5" t="s">
        <v>20410</v>
      </c>
    </row>
    <row r="2903">
      <c r="A2903" s="4">
        <v>45534.342084398144</v>
      </c>
      <c r="B2903" s="5" t="s">
        <v>34</v>
      </c>
      <c r="D2903" s="5" t="s">
        <v>9394</v>
      </c>
      <c r="E2903" s="5" t="s">
        <v>20411</v>
      </c>
      <c r="F2903" s="5" t="s">
        <v>37</v>
      </c>
      <c r="G2903" s="5" t="s">
        <v>20412</v>
      </c>
      <c r="H2903" s="6" t="s">
        <v>20413</v>
      </c>
      <c r="K2903" s="5" t="s">
        <v>20407</v>
      </c>
      <c r="M2903" s="5" t="s">
        <v>20414</v>
      </c>
      <c r="N2903" s="7" t="s">
        <v>20415</v>
      </c>
      <c r="O2903" s="8" t="str">
        <f>HYPERLINK("https://drive.google.com/file/d/1tEOPXMgGJSCVnSgu2eQd5ldz_D6frj39/view?usp=drivesdk","2902_YULUANTI _ SERTIFIKAT BerAKHLAK")</f>
        <v>2902_YULUANTI _ SERTIFIKAT BerAKHLAK</v>
      </c>
      <c r="P2903" s="5" t="s">
        <v>20416</v>
      </c>
    </row>
    <row r="2904">
      <c r="A2904" s="4">
        <v>45534.34209356482</v>
      </c>
      <c r="B2904" s="5" t="s">
        <v>34</v>
      </c>
      <c r="D2904" s="5" t="s">
        <v>4775</v>
      </c>
      <c r="E2904" s="5" t="s">
        <v>20417</v>
      </c>
      <c r="F2904" s="5" t="s">
        <v>212</v>
      </c>
      <c r="G2904" s="5" t="s">
        <v>20418</v>
      </c>
      <c r="H2904" s="6" t="s">
        <v>20419</v>
      </c>
      <c r="K2904" s="5" t="s">
        <v>20407</v>
      </c>
      <c r="M2904" s="5" t="s">
        <v>20420</v>
      </c>
      <c r="N2904" s="7" t="s">
        <v>20421</v>
      </c>
      <c r="O2904" s="8" t="str">
        <f>HYPERLINK("https://drive.google.com/file/d/1cxOfd7SU4w462H43Ia12XEr3gqtcpGic/view?usp=drivesdk","2903_MUJIADI  _ SERTIFIKAT BerAKHLAK")</f>
        <v>2903_MUJIADI  _ SERTIFIKAT BerAKHLAK</v>
      </c>
      <c r="P2904" s="5" t="s">
        <v>20422</v>
      </c>
    </row>
    <row r="2905">
      <c r="A2905" s="4">
        <v>45534.34209715278</v>
      </c>
      <c r="B2905" s="5" t="s">
        <v>34</v>
      </c>
      <c r="D2905" s="5" t="s">
        <v>35</v>
      </c>
      <c r="E2905" s="5" t="s">
        <v>20423</v>
      </c>
      <c r="F2905" s="5" t="s">
        <v>212</v>
      </c>
      <c r="G2905" s="5" t="s">
        <v>20424</v>
      </c>
      <c r="H2905" s="6" t="s">
        <v>20425</v>
      </c>
      <c r="K2905" s="5" t="s">
        <v>20407</v>
      </c>
      <c r="M2905" s="5" t="s">
        <v>20426</v>
      </c>
      <c r="N2905" s="7" t="s">
        <v>20427</v>
      </c>
      <c r="O2905" s="8" t="str">
        <f>HYPERLINK("https://drive.google.com/file/d/1crTeOwL1xTTV_4UdfYsPPOA_IVd0Vv1R/view?usp=drivesdk","2904_DASTI RIZAL _ SERTIFIKAT BerAKHLAK")</f>
        <v>2904_DASTI RIZAL _ SERTIFIKAT BerAKHLAK</v>
      </c>
      <c r="P2905" s="5" t="s">
        <v>20428</v>
      </c>
    </row>
    <row r="2906">
      <c r="A2906" s="4">
        <v>45534.34210072916</v>
      </c>
      <c r="B2906" s="5" t="s">
        <v>34</v>
      </c>
      <c r="D2906" s="5" t="s">
        <v>280</v>
      </c>
      <c r="E2906" s="5" t="s">
        <v>20429</v>
      </c>
      <c r="F2906" s="5" t="s">
        <v>212</v>
      </c>
      <c r="G2906" s="5" t="s">
        <v>20430</v>
      </c>
      <c r="H2906" s="6" t="s">
        <v>20431</v>
      </c>
      <c r="I2906" s="7" t="s">
        <v>20432</v>
      </c>
      <c r="J2906" s="8" t="str">
        <f>HYPERLINK("https://drive.google.com/file/d/1SjzAWl-WLTKQwh7BQ3TYHBip1ORQBfsY/view?usp=drivesdk","ADIYANTO SERTIFIKAT BerAKHLAK")</f>
        <v>ADIYANTO SERTIFIKAT BerAKHLAK</v>
      </c>
      <c r="K2906" s="5" t="s">
        <v>18654</v>
      </c>
      <c r="L2906" s="5" t="s">
        <v>20433</v>
      </c>
      <c r="M2906" s="5" t="s">
        <v>20434</v>
      </c>
      <c r="N2906" s="7" t="s">
        <v>20435</v>
      </c>
      <c r="O2906" s="8" t="str">
        <f>HYPERLINK("https://drive.google.com/file/d/1tmuVDA6aq2zMDhQSfAJEB3Ew1dZepTF7/view?usp=drivesdk","2905_ADIYANTO _ SERTIFIKAT BerAKHLAK")</f>
        <v>2905_ADIYANTO _ SERTIFIKAT BerAKHLAK</v>
      </c>
      <c r="P2906" s="5" t="s">
        <v>20436</v>
      </c>
    </row>
    <row r="2907">
      <c r="A2907" s="4">
        <v>45534.34210112269</v>
      </c>
      <c r="B2907" s="5" t="s">
        <v>34</v>
      </c>
      <c r="D2907" s="5" t="s">
        <v>1206</v>
      </c>
      <c r="E2907" s="5" t="s">
        <v>20437</v>
      </c>
      <c r="F2907" s="5" t="s">
        <v>199</v>
      </c>
      <c r="G2907" s="5" t="s">
        <v>20438</v>
      </c>
      <c r="H2907" s="6" t="s">
        <v>20439</v>
      </c>
      <c r="I2907" s="7" t="s">
        <v>20440</v>
      </c>
      <c r="J2907" s="8" t="str">
        <f>HYPERLINK("https://drive.google.com/file/d/1f5wntPBtuAhfZHTgzOFcywBG_bdjILnp/view?usp=drivesdk","KUSNUL IVASARI SERTIFIKAT BerAKHLAK")</f>
        <v>KUSNUL IVASARI SERTIFIKAT BerAKHLAK</v>
      </c>
      <c r="K2907" s="5" t="s">
        <v>18691</v>
      </c>
      <c r="L2907" s="5" t="s">
        <v>20441</v>
      </c>
      <c r="M2907" s="5" t="s">
        <v>20442</v>
      </c>
      <c r="N2907" s="7" t="s">
        <v>20443</v>
      </c>
      <c r="O2907" s="8" t="str">
        <f>HYPERLINK("https://drive.google.com/file/d/1cL3EDSIN87pp1s3b72VUJ-uOgV9suMAQ/view?usp=drivesdk","2906_KUSNUL IVASARI _ SERTIFIKAT BerAKHLAK")</f>
        <v>2906_KUSNUL IVASARI _ SERTIFIKAT BerAKHLAK</v>
      </c>
      <c r="P2907" s="5" t="s">
        <v>20444</v>
      </c>
    </row>
    <row r="2908">
      <c r="A2908" s="4">
        <v>45534.342103020834</v>
      </c>
      <c r="B2908" s="5" t="s">
        <v>34</v>
      </c>
      <c r="D2908" s="5" t="s">
        <v>280</v>
      </c>
      <c r="E2908" s="5" t="s">
        <v>20445</v>
      </c>
      <c r="F2908" s="5" t="s">
        <v>72</v>
      </c>
      <c r="G2908" s="5" t="s">
        <v>20446</v>
      </c>
      <c r="H2908" s="6" t="s">
        <v>20447</v>
      </c>
      <c r="I2908" s="7" t="s">
        <v>20448</v>
      </c>
      <c r="J2908" s="8" t="str">
        <f>HYPERLINK("https://drive.google.com/file/d/1DgkmteweDRn62q21pSJHrhqt9g4m5gSb/view?usp=drivesdk","AYU ULAN DARI SERTIFIKAT BerAKHLAK")</f>
        <v>AYU ULAN DARI SERTIFIKAT BerAKHLAK</v>
      </c>
      <c r="K2908" s="5" t="s">
        <v>18691</v>
      </c>
      <c r="L2908" s="5" t="s">
        <v>20449</v>
      </c>
      <c r="M2908" s="5" t="s">
        <v>20450</v>
      </c>
      <c r="N2908" s="7" t="s">
        <v>20451</v>
      </c>
      <c r="O2908" s="8" t="str">
        <f>HYPERLINK("https://drive.google.com/file/d/1eZ3GdfZi46Jvj_BqpaSN-3-J1iDErvcy/view?usp=drivesdk","2907_AYU ULAN DARI _ SERTIFIKAT BerAKHLAK")</f>
        <v>2907_AYU ULAN DARI _ SERTIFIKAT BerAKHLAK</v>
      </c>
      <c r="P2908" s="5" t="s">
        <v>20452</v>
      </c>
    </row>
    <row r="2909" hidden="1">
      <c r="A2909" s="4">
        <v>45534.34210688657</v>
      </c>
      <c r="B2909" s="5" t="s">
        <v>19</v>
      </c>
      <c r="C2909" s="5" t="s">
        <v>5564</v>
      </c>
      <c r="E2909" s="5" t="s">
        <v>20453</v>
      </c>
      <c r="F2909" s="5" t="s">
        <v>798</v>
      </c>
      <c r="G2909" s="5" t="s">
        <v>20454</v>
      </c>
      <c r="H2909" s="6" t="s">
        <v>20455</v>
      </c>
      <c r="I2909" s="7" t="s">
        <v>20456</v>
      </c>
      <c r="J2909" s="8" t="str">
        <f>HYPERLINK("https://drive.google.com/file/d/1fcrIK29kpu7tl-P80fRqfLJXVFb1rNqd/view?usp=drivesdk","RIZKI AFRILYANTI SERTIFIKAT BerAKHLAK")</f>
        <v>RIZKI AFRILYANTI SERTIFIKAT BerAKHLAK</v>
      </c>
      <c r="K2909" s="5" t="s">
        <v>18691</v>
      </c>
      <c r="L2909" s="5" t="s">
        <v>20457</v>
      </c>
      <c r="M2909" s="5" t="s">
        <v>20458</v>
      </c>
      <c r="N2909" s="7" t="s">
        <v>20459</v>
      </c>
      <c r="O2909" s="8" t="str">
        <f>HYPERLINK("https://drive.google.com/file/d/1qNgVmhpKfixEe6umkxMybEXKoC8uRXff/view?usp=drivesdk","2908_RIZKI AFRILYANTI _ SERTIFIKAT BerAKHLAK")</f>
        <v>2908_RIZKI AFRILYANTI _ SERTIFIKAT BerAKHLAK</v>
      </c>
      <c r="P2909" s="5" t="s">
        <v>20460</v>
      </c>
    </row>
    <row r="2910">
      <c r="A2910" s="4">
        <v>45534.34210814815</v>
      </c>
      <c r="B2910" s="5" t="s">
        <v>34</v>
      </c>
      <c r="D2910" s="5" t="s">
        <v>1206</v>
      </c>
      <c r="E2910" s="5" t="s">
        <v>20461</v>
      </c>
      <c r="F2910" s="5" t="s">
        <v>212</v>
      </c>
      <c r="G2910" s="5" t="s">
        <v>20462</v>
      </c>
      <c r="H2910" s="6" t="s">
        <v>20463</v>
      </c>
      <c r="I2910" s="7" t="s">
        <v>20464</v>
      </c>
      <c r="J2910" s="8" t="str">
        <f>HYPERLINK("https://drive.google.com/file/d/1NddDxwaSCphN4-fUYseLX7UN9Nn_RuYt/view?usp=drivesdk","EKA IRIANAWATI SERTIFIKAT BerAKHLAK")</f>
        <v>EKA IRIANAWATI SERTIFIKAT BerAKHLAK</v>
      </c>
      <c r="K2910" s="5" t="s">
        <v>18691</v>
      </c>
      <c r="L2910" s="5" t="s">
        <v>20465</v>
      </c>
      <c r="M2910" s="5" t="s">
        <v>20466</v>
      </c>
      <c r="N2910" s="7" t="s">
        <v>20467</v>
      </c>
      <c r="O2910" s="8" t="str">
        <f>HYPERLINK("https://drive.google.com/file/d/1OPuBhveKGe4BhgsAd8XK6506jj0_lMwn/view?usp=drivesdk","2909_EKA IRIANAWATI _ SERTIFIKAT BerAKHLAK")</f>
        <v>2909_EKA IRIANAWATI _ SERTIFIKAT BerAKHLAK</v>
      </c>
      <c r="P2910" s="5" t="s">
        <v>20468</v>
      </c>
    </row>
    <row r="2911">
      <c r="A2911" s="4">
        <v>45534.3421087037</v>
      </c>
      <c r="B2911" s="5" t="s">
        <v>34</v>
      </c>
      <c r="D2911" s="5" t="s">
        <v>4775</v>
      </c>
      <c r="E2911" s="5" t="s">
        <v>20469</v>
      </c>
      <c r="F2911" s="5" t="s">
        <v>212</v>
      </c>
      <c r="G2911" s="5" t="s">
        <v>20470</v>
      </c>
      <c r="H2911" s="6" t="s">
        <v>20471</v>
      </c>
      <c r="I2911" s="7" t="s">
        <v>20472</v>
      </c>
      <c r="J2911" s="8" t="str">
        <f>HYPERLINK("https://drive.google.com/file/d/1LF8xPJ-JLdnWt54lh85Z0WtXZDFeOZDG/view?usp=drivesdk","RIYADI AGUS SUSWOYO  SERTIFIKAT BerAKHLAK")</f>
        <v>RIYADI AGUS SUSWOYO  SERTIFIKAT BerAKHLAK</v>
      </c>
      <c r="K2911" s="5" t="s">
        <v>20391</v>
      </c>
      <c r="L2911" s="5" t="s">
        <v>20473</v>
      </c>
      <c r="M2911" s="5" t="s">
        <v>20474</v>
      </c>
      <c r="N2911" s="7" t="s">
        <v>20475</v>
      </c>
      <c r="O2911" s="8" t="str">
        <f>HYPERLINK("https://drive.google.com/file/d/1ndQcbbJEsieRFZ6_QXvUvaJUyjI_M-m8/view?usp=drivesdk","2910_RIYADI AGUS SUSWOYO  _ SERTIFIKAT BerAKHLAK")</f>
        <v>2910_RIYADI AGUS SUSWOYO  _ SERTIFIKAT BerAKHLAK</v>
      </c>
      <c r="P2911" s="5" t="s">
        <v>20476</v>
      </c>
    </row>
    <row r="2912">
      <c r="A2912" s="4">
        <v>45534.3421202662</v>
      </c>
      <c r="B2912" s="5" t="s">
        <v>34</v>
      </c>
      <c r="D2912" s="5" t="s">
        <v>9394</v>
      </c>
      <c r="E2912" s="5" t="s">
        <v>20477</v>
      </c>
      <c r="F2912" s="5" t="s">
        <v>72</v>
      </c>
      <c r="G2912" s="5" t="s">
        <v>20478</v>
      </c>
      <c r="H2912" s="6" t="s">
        <v>20479</v>
      </c>
      <c r="I2912" s="7" t="s">
        <v>20480</v>
      </c>
      <c r="J2912" s="8" t="str">
        <f>HYPERLINK("https://drive.google.com/file/d/1C-3KXbMWCARYjVkaxka_kuZ_z163qHhs/view?usp=drivesdk","ERMA DEWITA SERTIFIKAT BerAKHLAK")</f>
        <v>ERMA DEWITA SERTIFIKAT BerAKHLAK</v>
      </c>
      <c r="K2912" s="5" t="s">
        <v>20391</v>
      </c>
      <c r="L2912" s="5" t="s">
        <v>20481</v>
      </c>
      <c r="M2912" s="5" t="s">
        <v>20482</v>
      </c>
      <c r="N2912" s="7" t="s">
        <v>20483</v>
      </c>
      <c r="O2912" s="8" t="str">
        <f>HYPERLINK("https://drive.google.com/file/d/1Y8x7dRNThSmEsIVj0tWgAfmY38_WIcgH/view?usp=drivesdk","2911_ERMA DEWITA _ SERTIFIKAT BerAKHLAK")</f>
        <v>2911_ERMA DEWITA _ SERTIFIKAT BerAKHLAK</v>
      </c>
      <c r="P2912" s="5" t="s">
        <v>20484</v>
      </c>
    </row>
    <row r="2913">
      <c r="A2913" s="4">
        <v>45534.34212547453</v>
      </c>
      <c r="B2913" s="5" t="s">
        <v>34</v>
      </c>
      <c r="D2913" s="5" t="s">
        <v>1206</v>
      </c>
      <c r="E2913" s="5" t="s">
        <v>20485</v>
      </c>
      <c r="F2913" s="5" t="s">
        <v>524</v>
      </c>
      <c r="G2913" s="5" t="s">
        <v>20486</v>
      </c>
      <c r="H2913" s="6" t="s">
        <v>20487</v>
      </c>
      <c r="K2913" s="5" t="s">
        <v>20488</v>
      </c>
      <c r="M2913" s="5" t="s">
        <v>20489</v>
      </c>
      <c r="N2913" s="7" t="s">
        <v>20490</v>
      </c>
      <c r="O2913" s="8" t="str">
        <f>HYPERLINK("https://drive.google.com/file/d/1_yDqIrv4_INjlcEzwR-oV5H2Cwox7BOd/view?usp=drivesdk","2912_SUPATMI WIDIYAWATI _ SERTIFIKAT BerAKHLAK")</f>
        <v>2912_SUPATMI WIDIYAWATI _ SERTIFIKAT BerAKHLAK</v>
      </c>
      <c r="P2913" s="5" t="s">
        <v>20491</v>
      </c>
    </row>
    <row r="2914">
      <c r="A2914" s="4">
        <v>45534.34213438658</v>
      </c>
      <c r="B2914" s="5" t="s">
        <v>34</v>
      </c>
      <c r="D2914" s="5" t="s">
        <v>2903</v>
      </c>
      <c r="E2914" s="5" t="s">
        <v>20492</v>
      </c>
      <c r="F2914" s="5" t="s">
        <v>524</v>
      </c>
      <c r="G2914" s="5" t="s">
        <v>20493</v>
      </c>
      <c r="H2914" s="6" t="s">
        <v>20494</v>
      </c>
      <c r="K2914" s="5" t="s">
        <v>19201</v>
      </c>
      <c r="M2914" s="5" t="s">
        <v>20495</v>
      </c>
      <c r="N2914" s="7" t="s">
        <v>20496</v>
      </c>
      <c r="O2914" s="8" t="str">
        <f>HYPERLINK("https://drive.google.com/file/d/1-Abi5srEKSZwFpBZvgyEEUEFWo0AQxcW/view?usp=drivesdk","2913_NINURIK ZAUYAH _ SERTIFIKAT BerAKHLAK")</f>
        <v>2913_NINURIK ZAUYAH _ SERTIFIKAT BerAKHLAK</v>
      </c>
      <c r="P2914" s="5" t="s">
        <v>20497</v>
      </c>
    </row>
    <row r="2915">
      <c r="A2915" s="4">
        <v>45534.342143622685</v>
      </c>
      <c r="B2915" s="5" t="s">
        <v>34</v>
      </c>
      <c r="D2915" s="5" t="s">
        <v>9020</v>
      </c>
      <c r="E2915" s="5" t="s">
        <v>20498</v>
      </c>
      <c r="F2915" s="5" t="s">
        <v>524</v>
      </c>
      <c r="G2915" s="5" t="s">
        <v>20499</v>
      </c>
      <c r="H2915" s="6" t="s">
        <v>20500</v>
      </c>
      <c r="K2915" s="5" t="s">
        <v>19201</v>
      </c>
      <c r="M2915" s="5" t="s">
        <v>20501</v>
      </c>
      <c r="N2915" s="7" t="s">
        <v>20502</v>
      </c>
      <c r="O2915" s="8" t="str">
        <f>HYPERLINK("https://drive.google.com/file/d/1RjRw6TeInexeEets0e1HSvyHs_cv99zZ/view?usp=drivesdk","2914_HERI BHAYANGKARA SULISTIO, S. Farm _ SERTIFIKAT BerAKHLAK")</f>
        <v>2914_HERI BHAYANGKARA SULISTIO, S. Farm _ SERTIFIKAT BerAKHLAK</v>
      </c>
      <c r="P2915" s="5" t="s">
        <v>20503</v>
      </c>
    </row>
    <row r="2916">
      <c r="A2916" s="4">
        <v>45534.34214594908</v>
      </c>
      <c r="B2916" s="5" t="s">
        <v>34</v>
      </c>
      <c r="D2916" s="5" t="s">
        <v>1206</v>
      </c>
      <c r="E2916" s="5" t="s">
        <v>20504</v>
      </c>
      <c r="F2916" s="5" t="s">
        <v>37</v>
      </c>
      <c r="G2916" s="5" t="s">
        <v>20505</v>
      </c>
      <c r="H2916" s="6" t="s">
        <v>20506</v>
      </c>
      <c r="K2916" s="5" t="s">
        <v>19201</v>
      </c>
      <c r="M2916" s="5" t="s">
        <v>20507</v>
      </c>
      <c r="N2916" s="7" t="s">
        <v>20508</v>
      </c>
      <c r="O2916" s="8" t="str">
        <f>HYPERLINK("https://drive.google.com/file/d/1s5WK5q0I_qzRTt6Mr-K92DDBllsou68a/view?usp=drivesdk","2915_RIDWAN WIZANTO _ SERTIFIKAT BerAKHLAK")</f>
        <v>2915_RIDWAN WIZANTO _ SERTIFIKAT BerAKHLAK</v>
      </c>
      <c r="P2916" s="5" t="s">
        <v>20509</v>
      </c>
    </row>
    <row r="2917" hidden="1">
      <c r="A2917" s="4">
        <v>45534.34214700232</v>
      </c>
      <c r="B2917" s="5" t="s">
        <v>19</v>
      </c>
      <c r="C2917" s="5" t="s">
        <v>3301</v>
      </c>
      <c r="E2917" s="5" t="s">
        <v>20510</v>
      </c>
      <c r="F2917" s="5" t="s">
        <v>37</v>
      </c>
      <c r="G2917" s="5" t="s">
        <v>20511</v>
      </c>
      <c r="H2917" s="6" t="s">
        <v>20512</v>
      </c>
      <c r="K2917" s="5" t="s">
        <v>19201</v>
      </c>
      <c r="M2917" s="5" t="s">
        <v>20513</v>
      </c>
      <c r="N2917" s="7" t="s">
        <v>20514</v>
      </c>
      <c r="O2917" s="8" t="str">
        <f>HYPERLINK("https://drive.google.com/file/d/11z-CeQ82tUGZ24ydCRhfzY6tAvcwQYcW/view?usp=drivesdk","2916_AIDA FASA, A.Md.Kep _ SERTIFIKAT BerAKHLAK")</f>
        <v>2916_AIDA FASA, A.Md.Kep _ SERTIFIKAT BerAKHLAK</v>
      </c>
      <c r="P2917" s="5" t="s">
        <v>20515</v>
      </c>
    </row>
    <row r="2918">
      <c r="A2918" s="4">
        <v>45534.342151770834</v>
      </c>
      <c r="B2918" s="5" t="s">
        <v>34</v>
      </c>
      <c r="D2918" s="5" t="s">
        <v>4775</v>
      </c>
      <c r="E2918" s="5" t="s">
        <v>20516</v>
      </c>
      <c r="F2918" s="5" t="s">
        <v>37</v>
      </c>
      <c r="G2918" s="5" t="s">
        <v>20517</v>
      </c>
      <c r="H2918" s="6" t="s">
        <v>20518</v>
      </c>
      <c r="K2918" s="5" t="s">
        <v>19201</v>
      </c>
      <c r="M2918" s="5" t="s">
        <v>20519</v>
      </c>
      <c r="N2918" s="7" t="s">
        <v>20520</v>
      </c>
      <c r="O2918" s="8" t="str">
        <f>HYPERLINK("https://drive.google.com/file/d/14HO2efN4UUMbJFiZ8zZZj4VYcf8Asc9m/view?usp=drivesdk","2917_WAHYUNITA PUSPITOWENI _ SERTIFIKAT BerAKHLAK")</f>
        <v>2917_WAHYUNITA PUSPITOWENI _ SERTIFIKAT BerAKHLAK</v>
      </c>
      <c r="P2918" s="5" t="s">
        <v>20521</v>
      </c>
    </row>
    <row r="2919">
      <c r="A2919" s="4">
        <v>45534.34215818287</v>
      </c>
      <c r="B2919" s="5" t="s">
        <v>34</v>
      </c>
      <c r="D2919" s="5" t="s">
        <v>604</v>
      </c>
      <c r="E2919" s="5" t="s">
        <v>20522</v>
      </c>
      <c r="F2919" s="5" t="s">
        <v>375</v>
      </c>
      <c r="G2919" s="5" t="s">
        <v>20523</v>
      </c>
      <c r="H2919" s="6" t="s">
        <v>20524</v>
      </c>
      <c r="K2919" s="5" t="s">
        <v>19201</v>
      </c>
      <c r="M2919" s="5" t="s">
        <v>20525</v>
      </c>
      <c r="N2919" s="7" t="s">
        <v>20526</v>
      </c>
      <c r="O2919" s="8" t="str">
        <f>HYPERLINK("https://drive.google.com/file/d/1cWdu13wApFNFh7cAPiQHb4f-UeaQtnmX/view?usp=drivesdk","2918_FITRI NURANI _ SERTIFIKAT BerAKHLAK")</f>
        <v>2918_FITRI NURANI _ SERTIFIKAT BerAKHLAK</v>
      </c>
      <c r="P2919" s="5" t="s">
        <v>20527</v>
      </c>
    </row>
    <row r="2920">
      <c r="A2920" s="4">
        <v>45534.342161504625</v>
      </c>
      <c r="B2920" s="5" t="s">
        <v>34</v>
      </c>
      <c r="D2920" s="5" t="s">
        <v>1206</v>
      </c>
      <c r="E2920" s="5" t="s">
        <v>20528</v>
      </c>
      <c r="F2920" s="5" t="s">
        <v>375</v>
      </c>
      <c r="G2920" s="5" t="s">
        <v>20529</v>
      </c>
      <c r="H2920" s="6" t="s">
        <v>20530</v>
      </c>
      <c r="K2920" s="5" t="s">
        <v>19201</v>
      </c>
      <c r="M2920" s="5" t="s">
        <v>20531</v>
      </c>
      <c r="N2920" s="7" t="s">
        <v>20532</v>
      </c>
      <c r="O2920" s="8" t="str">
        <f>HYPERLINK("https://drive.google.com/file/d/1oaRPVcdNj3S0ykpJDAfGHGLjoOvqzgye/view?usp=drivesdk","2919_SRI WULANDARI, S.Kom., M.M. _ SERTIFIKAT BerAKHLAK")</f>
        <v>2919_SRI WULANDARI, S.Kom., M.M. _ SERTIFIKAT BerAKHLAK</v>
      </c>
      <c r="P2920" s="5" t="s">
        <v>20533</v>
      </c>
    </row>
    <row r="2921">
      <c r="A2921" s="4">
        <v>45534.34216732639</v>
      </c>
      <c r="B2921" s="5" t="s">
        <v>34</v>
      </c>
      <c r="D2921" s="5" t="s">
        <v>1206</v>
      </c>
      <c r="E2921" s="5" t="s">
        <v>20534</v>
      </c>
      <c r="F2921" s="5" t="s">
        <v>37</v>
      </c>
      <c r="G2921" s="5" t="s">
        <v>20535</v>
      </c>
      <c r="H2921" s="6" t="s">
        <v>20536</v>
      </c>
      <c r="K2921" s="5" t="s">
        <v>19201</v>
      </c>
      <c r="M2921" s="5" t="s">
        <v>20537</v>
      </c>
      <c r="N2921" s="7" t="s">
        <v>20538</v>
      </c>
      <c r="O2921" s="8" t="str">
        <f>HYPERLINK("https://drive.google.com/file/d/12SqjRI8FrvaOUDwCnBPx8aEGJEiWbAYS/view?usp=drivesdk","2920_SUPARSIH,SH _ SERTIFIKAT BerAKHLAK")</f>
        <v>2920_SUPARSIH,SH _ SERTIFIKAT BerAKHLAK</v>
      </c>
      <c r="P2921" s="5" t="s">
        <v>20539</v>
      </c>
    </row>
    <row r="2922">
      <c r="A2922" s="4">
        <v>45534.342171412034</v>
      </c>
      <c r="B2922" s="5" t="s">
        <v>34</v>
      </c>
      <c r="D2922" s="5" t="s">
        <v>1206</v>
      </c>
      <c r="E2922" s="5" t="s">
        <v>20540</v>
      </c>
      <c r="F2922" s="5" t="s">
        <v>72</v>
      </c>
      <c r="G2922" s="5" t="s">
        <v>20541</v>
      </c>
      <c r="H2922" s="6" t="s">
        <v>20542</v>
      </c>
      <c r="K2922" s="5" t="s">
        <v>19201</v>
      </c>
      <c r="M2922" s="5" t="s">
        <v>20543</v>
      </c>
      <c r="N2922" s="7" t="s">
        <v>20544</v>
      </c>
      <c r="O2922" s="8" t="str">
        <f>HYPERLINK("https://drive.google.com/file/d/1HXnozEU-jU92LRjETnj457c4cteRqiHC/view?usp=drivesdk","2921_MOKHAMAD KHOLIG _ SERTIFIKAT BerAKHLAK")</f>
        <v>2921_MOKHAMAD KHOLIG _ SERTIFIKAT BerAKHLAK</v>
      </c>
      <c r="P2922" s="5" t="s">
        <v>20545</v>
      </c>
    </row>
    <row r="2923">
      <c r="A2923" s="4">
        <v>45534.3421762037</v>
      </c>
      <c r="B2923" s="5" t="s">
        <v>34</v>
      </c>
      <c r="D2923" s="5" t="s">
        <v>1206</v>
      </c>
      <c r="E2923" s="5" t="s">
        <v>20546</v>
      </c>
      <c r="F2923" s="5" t="s">
        <v>72</v>
      </c>
      <c r="G2923" s="5" t="s">
        <v>20547</v>
      </c>
      <c r="H2923" s="6" t="s">
        <v>20548</v>
      </c>
      <c r="K2923" s="5" t="s">
        <v>19201</v>
      </c>
      <c r="M2923" s="5" t="s">
        <v>20549</v>
      </c>
      <c r="N2923" s="7" t="s">
        <v>20550</v>
      </c>
      <c r="O2923" s="8" t="str">
        <f>HYPERLINK("https://drive.google.com/file/d/1d6y6AQ0381W-tjz-6PYRpYL4u42j7m6N/view?usp=drivesdk","2922_EVI LESTARI, S.E. _ SERTIFIKAT BerAKHLAK")</f>
        <v>2922_EVI LESTARI, S.E. _ SERTIFIKAT BerAKHLAK</v>
      </c>
      <c r="P2923" s="5" t="s">
        <v>20551</v>
      </c>
    </row>
    <row r="2924">
      <c r="A2924" s="4">
        <v>45534.3421777662</v>
      </c>
      <c r="B2924" s="5" t="s">
        <v>34</v>
      </c>
      <c r="D2924" s="5" t="s">
        <v>604</v>
      </c>
      <c r="E2924" s="5" t="s">
        <v>20552</v>
      </c>
      <c r="F2924" s="5" t="s">
        <v>72</v>
      </c>
      <c r="G2924" s="5" t="s">
        <v>20553</v>
      </c>
      <c r="H2924" s="6" t="s">
        <v>20554</v>
      </c>
      <c r="I2924" s="7" t="s">
        <v>20555</v>
      </c>
      <c r="J2924" s="8" t="str">
        <f>HYPERLINK("https://drive.google.com/file/d/13bbG0ANuzs1MnzBRvPgOyLYKbY5512R8/view?usp=drivesdk","IMMA ROSDIAWATI, A.Md SERTIFIKAT BerAKHLAK")</f>
        <v>IMMA ROSDIAWATI, A.Md SERTIFIKAT BerAKHLAK</v>
      </c>
      <c r="K2924" s="5" t="s">
        <v>18691</v>
      </c>
      <c r="L2924" s="5" t="s">
        <v>20556</v>
      </c>
      <c r="M2924" s="5" t="s">
        <v>20557</v>
      </c>
      <c r="N2924" s="7" t="s">
        <v>20558</v>
      </c>
      <c r="O2924" s="8" t="str">
        <f>HYPERLINK("https://drive.google.com/file/d/1_cLMpUqLkLPRImne-sdj5b2eswIbOmKm/view?usp=drivesdk","2923_IMMA ROSDIAWATI, A.Md _ SERTIFIKAT BerAKHLAK")</f>
        <v>2923_IMMA ROSDIAWATI, A.Md _ SERTIFIKAT BerAKHLAK</v>
      </c>
      <c r="P2924" s="5" t="s">
        <v>20559</v>
      </c>
    </row>
    <row r="2925">
      <c r="A2925" s="4">
        <v>45534.34218403936</v>
      </c>
      <c r="B2925" s="5" t="s">
        <v>34</v>
      </c>
      <c r="D2925" s="5" t="s">
        <v>35</v>
      </c>
      <c r="E2925" s="5" t="s">
        <v>20560</v>
      </c>
      <c r="F2925" s="5" t="s">
        <v>37</v>
      </c>
      <c r="G2925" s="5" t="s">
        <v>20561</v>
      </c>
      <c r="H2925" s="6" t="s">
        <v>20562</v>
      </c>
      <c r="I2925" s="7" t="s">
        <v>20563</v>
      </c>
      <c r="J2925" s="8" t="str">
        <f>HYPERLINK("https://drive.google.com/file/d/1Y5k7-SUbX7TGFnk8bnP9eXcKAELOBFCW/view?usp=drivesdk","NURHAYATI SERTIFIKAT BerAKHLAK")</f>
        <v>NURHAYATI SERTIFIKAT BerAKHLAK</v>
      </c>
      <c r="K2925" s="5" t="s">
        <v>18691</v>
      </c>
      <c r="L2925" s="5" t="s">
        <v>20564</v>
      </c>
      <c r="M2925" s="5" t="s">
        <v>20565</v>
      </c>
      <c r="N2925" s="7" t="s">
        <v>20566</v>
      </c>
      <c r="O2925" s="8" t="str">
        <f>HYPERLINK("https://drive.google.com/file/d/1OhZv0MQqPzeQY-OEMvwe04j9FLsO-Ig-/view?usp=drivesdk","2924_NURHAYATI _ SERTIFIKAT BerAKHLAK")</f>
        <v>2924_NURHAYATI _ SERTIFIKAT BerAKHLAK</v>
      </c>
      <c r="P2925" s="5" t="s">
        <v>20567</v>
      </c>
    </row>
    <row r="2926">
      <c r="A2926" s="4">
        <v>45534.34218766204</v>
      </c>
      <c r="B2926" s="5" t="s">
        <v>34</v>
      </c>
      <c r="D2926" s="5" t="s">
        <v>1206</v>
      </c>
      <c r="E2926" s="5" t="s">
        <v>20568</v>
      </c>
      <c r="F2926" s="5" t="s">
        <v>212</v>
      </c>
      <c r="G2926" s="5" t="s">
        <v>20569</v>
      </c>
      <c r="H2926" s="6" t="s">
        <v>20570</v>
      </c>
      <c r="I2926" s="7" t="s">
        <v>20571</v>
      </c>
      <c r="J2926" s="8" t="str">
        <f>HYPERLINK("https://drive.google.com/file/d/1JSY-zVgAiPV22dXlReSupkxxIlWCdVtD/view?usp=drivesdk","MARNO SARWO EDY SERTIFIKAT BerAKHLAK")</f>
        <v>MARNO SARWO EDY SERTIFIKAT BerAKHLAK</v>
      </c>
      <c r="K2926" s="5" t="s">
        <v>18691</v>
      </c>
      <c r="L2926" s="5" t="s">
        <v>20572</v>
      </c>
      <c r="M2926" s="5" t="s">
        <v>20573</v>
      </c>
      <c r="N2926" s="7" t="s">
        <v>20574</v>
      </c>
      <c r="O2926" s="8" t="str">
        <f>HYPERLINK("https://drive.google.com/file/d/1yI5Au2dGKbMKxbyc1Od38jtY7G1UW08G/view?usp=drivesdk","2925_MARNO SARWO EDY _ SERTIFIKAT BerAKHLAK")</f>
        <v>2925_MARNO SARWO EDY _ SERTIFIKAT BerAKHLAK</v>
      </c>
      <c r="P2926" s="5" t="s">
        <v>20575</v>
      </c>
    </row>
    <row r="2927">
      <c r="A2927" s="4">
        <v>45534.342191504635</v>
      </c>
      <c r="B2927" s="5" t="s">
        <v>34</v>
      </c>
      <c r="D2927" s="5" t="s">
        <v>9020</v>
      </c>
      <c r="E2927" s="5" t="s">
        <v>15300</v>
      </c>
      <c r="F2927" s="5" t="s">
        <v>37</v>
      </c>
      <c r="G2927" s="5" t="s">
        <v>15301</v>
      </c>
      <c r="H2927" s="6" t="s">
        <v>20576</v>
      </c>
      <c r="I2927" s="7" t="s">
        <v>20577</v>
      </c>
      <c r="J2927" s="8" t="str">
        <f>HYPERLINK("https://drive.google.com/file/d/1UNFSt6u1udySpRPtN-Bdqvt-stgyTUlD/view?usp=drivesdk","ESTER IMELDA MUNTE SERTIFIKAT BerAKHLAK")</f>
        <v>ESTER IMELDA MUNTE SERTIFIKAT BerAKHLAK</v>
      </c>
      <c r="K2927" s="5" t="s">
        <v>18691</v>
      </c>
      <c r="L2927" s="5" t="s">
        <v>20578</v>
      </c>
      <c r="M2927" s="5" t="s">
        <v>20579</v>
      </c>
      <c r="N2927" s="7" t="s">
        <v>20580</v>
      </c>
      <c r="O2927" s="8" t="str">
        <f>HYPERLINK("https://drive.google.com/file/d/1_w7SaL0ibgmfVku5hDoxQ418XqRQdDPk/view?usp=drivesdk","2926_ESTER IMELDA MUNTE _ SERTIFIKAT BerAKHLAK")</f>
        <v>2926_ESTER IMELDA MUNTE _ SERTIFIKAT BerAKHLAK</v>
      </c>
      <c r="P2927" s="5" t="s">
        <v>20581</v>
      </c>
    </row>
    <row r="2928">
      <c r="A2928" s="4">
        <v>45534.34219222222</v>
      </c>
      <c r="B2928" s="5" t="s">
        <v>34</v>
      </c>
      <c r="D2928" s="5" t="s">
        <v>4775</v>
      </c>
      <c r="E2928" s="5" t="s">
        <v>20582</v>
      </c>
      <c r="F2928" s="5" t="s">
        <v>212</v>
      </c>
      <c r="G2928" s="5" t="s">
        <v>20583</v>
      </c>
      <c r="H2928" s="6" t="s">
        <v>20584</v>
      </c>
      <c r="I2928" s="7" t="s">
        <v>20585</v>
      </c>
      <c r="J2928" s="8" t="str">
        <f>HYPERLINK("https://drive.google.com/file/d/15mnqyZtgbD8tMLdSRqT8HWU3tiJ_3yn5/view?usp=drivesdk","SRI ENDRAWATI SERTIFIKAT BerAKHLAK")</f>
        <v>SRI ENDRAWATI SERTIFIKAT BerAKHLAK</v>
      </c>
      <c r="K2928" s="5" t="s">
        <v>18691</v>
      </c>
      <c r="L2928" s="5" t="s">
        <v>20586</v>
      </c>
      <c r="M2928" s="5" t="s">
        <v>20587</v>
      </c>
      <c r="N2928" s="7" t="s">
        <v>20588</v>
      </c>
      <c r="O2928" s="8" t="str">
        <f>HYPERLINK("https://drive.google.com/file/d/1t08H5KquaXnPo2x_ntQwoll-AylSZfZj/view?usp=drivesdk","2927_SRI ENDRAWATI _ SERTIFIKAT BerAKHLAK")</f>
        <v>2927_SRI ENDRAWATI _ SERTIFIKAT BerAKHLAK</v>
      </c>
      <c r="P2928" s="5" t="s">
        <v>20589</v>
      </c>
    </row>
    <row r="2929">
      <c r="A2929" s="4">
        <v>45534.342196122685</v>
      </c>
      <c r="B2929" s="5" t="s">
        <v>34</v>
      </c>
      <c r="D2929" s="5" t="s">
        <v>1206</v>
      </c>
      <c r="E2929" s="5" t="s">
        <v>20590</v>
      </c>
      <c r="F2929" s="5" t="s">
        <v>37</v>
      </c>
      <c r="G2929" s="5" t="s">
        <v>20591</v>
      </c>
      <c r="H2929" s="6" t="s">
        <v>20592</v>
      </c>
      <c r="K2929" s="5" t="s">
        <v>20593</v>
      </c>
      <c r="M2929" s="5" t="s">
        <v>20594</v>
      </c>
      <c r="N2929" s="7" t="s">
        <v>20595</v>
      </c>
      <c r="O2929" s="8" t="str">
        <f>HYPERLINK("https://drive.google.com/file/d/1t_kM241UPsd0Gs-PxNcTijzYW6Nq4Aj5/view?usp=drivesdk","2928_FITRI MAYASARI _ SERTIFIKAT BerAKHLAK")</f>
        <v>2928_FITRI MAYASARI _ SERTIFIKAT BerAKHLAK</v>
      </c>
      <c r="P2929" s="5" t="s">
        <v>20596</v>
      </c>
    </row>
    <row r="2930">
      <c r="A2930" s="4">
        <v>45534.34220479167</v>
      </c>
      <c r="B2930" s="5" t="s">
        <v>34</v>
      </c>
      <c r="D2930" s="5" t="s">
        <v>4775</v>
      </c>
      <c r="E2930" s="5" t="s">
        <v>20597</v>
      </c>
      <c r="F2930" s="5" t="s">
        <v>37</v>
      </c>
      <c r="G2930" s="5" t="s">
        <v>20598</v>
      </c>
      <c r="H2930" s="6" t="s">
        <v>20599</v>
      </c>
      <c r="K2930" s="5" t="s">
        <v>20593</v>
      </c>
      <c r="M2930" s="5" t="s">
        <v>20600</v>
      </c>
      <c r="N2930" s="7" t="s">
        <v>20601</v>
      </c>
      <c r="O2930" s="8" t="str">
        <f>HYPERLINK("https://drive.google.com/file/d/1Glzx0RuWmJF8em6wgGGzO6eSbM8lqZGg/view?usp=drivesdk","2929_ANDREAS NANANG CAHYANTO  _ SERTIFIKAT BerAKHLAK")</f>
        <v>2929_ANDREAS NANANG CAHYANTO  _ SERTIFIKAT BerAKHLAK</v>
      </c>
      <c r="P2930" s="5" t="s">
        <v>20602</v>
      </c>
    </row>
    <row r="2931">
      <c r="A2931" s="4">
        <v>45534.342214062504</v>
      </c>
      <c r="B2931" s="5" t="s">
        <v>34</v>
      </c>
      <c r="D2931" s="5" t="s">
        <v>280</v>
      </c>
      <c r="E2931" s="5" t="s">
        <v>20603</v>
      </c>
      <c r="F2931" s="5" t="s">
        <v>37</v>
      </c>
      <c r="G2931" s="5" t="s">
        <v>20604</v>
      </c>
      <c r="H2931" s="6" t="s">
        <v>20605</v>
      </c>
      <c r="K2931" s="5" t="s">
        <v>20593</v>
      </c>
      <c r="M2931" s="5" t="s">
        <v>20606</v>
      </c>
      <c r="N2931" s="7" t="s">
        <v>20607</v>
      </c>
      <c r="O2931" s="8" t="str">
        <f>HYPERLINK("https://drive.google.com/file/d/1Mz7V7L3Ljq8mEZfEoodMmsNbVnfjlBZU/view?usp=drivesdk","2930_LILIK SRI UTAMI  _ SERTIFIKAT BerAKHLAK")</f>
        <v>2930_LILIK SRI UTAMI  _ SERTIFIKAT BerAKHLAK</v>
      </c>
      <c r="P2931" s="5" t="s">
        <v>20608</v>
      </c>
    </row>
    <row r="2932">
      <c r="A2932" s="4">
        <v>45534.34222712963</v>
      </c>
      <c r="B2932" s="5" t="s">
        <v>34</v>
      </c>
      <c r="D2932" s="5" t="s">
        <v>604</v>
      </c>
      <c r="E2932" s="5" t="s">
        <v>20609</v>
      </c>
      <c r="F2932" s="5" t="s">
        <v>37</v>
      </c>
      <c r="G2932" s="5" t="s">
        <v>20610</v>
      </c>
      <c r="H2932" s="6" t="s">
        <v>20611</v>
      </c>
      <c r="K2932" s="5" t="s">
        <v>20593</v>
      </c>
      <c r="M2932" s="5" t="s">
        <v>20612</v>
      </c>
      <c r="N2932" s="7" t="s">
        <v>20613</v>
      </c>
      <c r="O2932" s="8" t="str">
        <f>HYPERLINK("https://drive.google.com/file/d/1Da8sfvLVO_uR2ZzA0Nt5LlajbzXiq_oe/view?usp=drivesdk","2931_BARUS PURBA, A.Md.Bns. _ SERTIFIKAT BerAKHLAK")</f>
        <v>2931_BARUS PURBA, A.Md.Bns. _ SERTIFIKAT BerAKHLAK</v>
      </c>
      <c r="P2932" s="5" t="s">
        <v>20614</v>
      </c>
    </row>
    <row r="2933" hidden="1">
      <c r="A2933" s="4">
        <v>45534.34222892361</v>
      </c>
      <c r="B2933" s="5" t="s">
        <v>19</v>
      </c>
      <c r="C2933" s="5" t="s">
        <v>5564</v>
      </c>
      <c r="E2933" s="5" t="s">
        <v>20615</v>
      </c>
      <c r="F2933" s="5" t="s">
        <v>212</v>
      </c>
      <c r="G2933" s="5" t="s">
        <v>20616</v>
      </c>
      <c r="H2933" s="6" t="s">
        <v>20617</v>
      </c>
      <c r="K2933" s="5" t="s">
        <v>20593</v>
      </c>
      <c r="M2933" s="5" t="s">
        <v>20618</v>
      </c>
      <c r="N2933" s="7" t="s">
        <v>20619</v>
      </c>
      <c r="O2933" s="8" t="str">
        <f>HYPERLINK("https://drive.google.com/file/d/1--Y8sYXLyCiYgNumyIM_hVjIMmbWcx-X/view?usp=drivesdk","2932_DEDDY DARMAWAN _ SERTIFIKAT BerAKHLAK")</f>
        <v>2932_DEDDY DARMAWAN _ SERTIFIKAT BerAKHLAK</v>
      </c>
      <c r="P2933" s="5" t="s">
        <v>20620</v>
      </c>
    </row>
    <row r="2934">
      <c r="A2934" s="4">
        <v>45534.34224597222</v>
      </c>
      <c r="B2934" s="5" t="s">
        <v>34</v>
      </c>
      <c r="D2934" s="5" t="s">
        <v>996</v>
      </c>
      <c r="E2934" s="5" t="s">
        <v>20621</v>
      </c>
      <c r="F2934" s="5" t="s">
        <v>212</v>
      </c>
      <c r="G2934" s="5" t="s">
        <v>20622</v>
      </c>
      <c r="H2934" s="6" t="s">
        <v>20623</v>
      </c>
      <c r="I2934" s="7" t="s">
        <v>20624</v>
      </c>
      <c r="J2934" s="8" t="str">
        <f>HYPERLINK("https://drive.google.com/file/d/1pBYSJIH47YTCke1MJhsi9QSXvWd3Qn0G/view?usp=drivesdk","HENDRA RUSADY SERTIFIKAT BerAKHLAK")</f>
        <v>HENDRA RUSADY SERTIFIKAT BerAKHLAK</v>
      </c>
      <c r="K2934" s="5" t="s">
        <v>18691</v>
      </c>
      <c r="L2934" s="5" t="s">
        <v>20625</v>
      </c>
      <c r="M2934" s="5" t="s">
        <v>20626</v>
      </c>
      <c r="N2934" s="7" t="s">
        <v>20627</v>
      </c>
      <c r="O2934" s="8" t="str">
        <f>HYPERLINK("https://drive.google.com/file/d/14b4nNxNwxS7iqkllkS10wyx83aA9lQnW/view?usp=drivesdk","2933_HENDRA RUSADY _ SERTIFIKAT BerAKHLAK")</f>
        <v>2933_HENDRA RUSADY _ SERTIFIKAT BerAKHLAK</v>
      </c>
      <c r="P2934" s="5" t="s">
        <v>20628</v>
      </c>
    </row>
    <row r="2935">
      <c r="A2935" s="4">
        <v>45534.34224987269</v>
      </c>
      <c r="B2935" s="5" t="s">
        <v>34</v>
      </c>
      <c r="D2935" s="5" t="s">
        <v>267</v>
      </c>
      <c r="E2935" s="5" t="s">
        <v>20629</v>
      </c>
      <c r="F2935" s="5" t="s">
        <v>212</v>
      </c>
      <c r="G2935" s="5" t="s">
        <v>20630</v>
      </c>
      <c r="H2935" s="6" t="s">
        <v>20631</v>
      </c>
      <c r="K2935" s="5" t="s">
        <v>20632</v>
      </c>
      <c r="M2935" s="5" t="s">
        <v>20633</v>
      </c>
      <c r="N2935" s="7" t="s">
        <v>20634</v>
      </c>
      <c r="O2935" s="8" t="str">
        <f>HYPERLINK("https://drive.google.com/file/d/1OZ436EMpNBaTCy9qMVKJzMhumg3BJWiA/view?usp=drivesdk","2934_SUMARTINI _ SERTIFIKAT BerAKHLAK")</f>
        <v>2934_SUMARTINI _ SERTIFIKAT BerAKHLAK</v>
      </c>
      <c r="P2935" s="5" t="s">
        <v>20635</v>
      </c>
    </row>
    <row r="2936">
      <c r="A2936" s="4">
        <v>45534.34225173611</v>
      </c>
      <c r="B2936" s="5" t="s">
        <v>34</v>
      </c>
      <c r="D2936" s="5" t="s">
        <v>35</v>
      </c>
      <c r="E2936" s="5" t="s">
        <v>20636</v>
      </c>
      <c r="F2936" s="5" t="s">
        <v>375</v>
      </c>
      <c r="G2936" s="5" t="s">
        <v>20637</v>
      </c>
      <c r="H2936" s="6" t="s">
        <v>20638</v>
      </c>
      <c r="K2936" s="5" t="s">
        <v>20632</v>
      </c>
      <c r="M2936" s="5" t="s">
        <v>20639</v>
      </c>
      <c r="N2936" s="7" t="s">
        <v>20640</v>
      </c>
      <c r="O2936" s="8" t="str">
        <f>HYPERLINK("https://drive.google.com/file/d/1jh30kEKKX-IZMAT2q9wnvb9P4gTTsDXn/view?usp=drivesdk","2935_dr. IKRIMA _ SERTIFIKAT BerAKHLAK")</f>
        <v>2935_dr. IKRIMA _ SERTIFIKAT BerAKHLAK</v>
      </c>
      <c r="P2936" s="5" t="s">
        <v>20641</v>
      </c>
    </row>
    <row r="2937">
      <c r="A2937" s="4">
        <v>45534.34225215278</v>
      </c>
      <c r="B2937" s="5" t="s">
        <v>34</v>
      </c>
      <c r="D2937" s="5" t="s">
        <v>1206</v>
      </c>
      <c r="E2937" s="5" t="s">
        <v>20642</v>
      </c>
      <c r="F2937" s="5" t="s">
        <v>212</v>
      </c>
      <c r="G2937" s="5" t="s">
        <v>20643</v>
      </c>
      <c r="H2937" s="6" t="s">
        <v>20644</v>
      </c>
      <c r="K2937" s="5" t="s">
        <v>20632</v>
      </c>
      <c r="M2937" s="5" t="s">
        <v>20645</v>
      </c>
      <c r="N2937" s="7" t="s">
        <v>20646</v>
      </c>
      <c r="O2937" s="8" t="str">
        <f>HYPERLINK("https://drive.google.com/file/d/12wRaXM0UXHXQttKSrR8lX_zmBKQkFW6h/view?usp=drivesdk","2936_ARBA'I _ SERTIFIKAT BerAKHLAK")</f>
        <v>2936_ARBA'I _ SERTIFIKAT BerAKHLAK</v>
      </c>
      <c r="P2937" s="5" t="s">
        <v>20647</v>
      </c>
    </row>
    <row r="2938">
      <c r="A2938" s="4">
        <v>45534.34226100694</v>
      </c>
      <c r="B2938" s="5" t="s">
        <v>34</v>
      </c>
      <c r="D2938" s="5" t="s">
        <v>35</v>
      </c>
      <c r="E2938" s="5" t="s">
        <v>20648</v>
      </c>
      <c r="F2938" s="5" t="s">
        <v>108</v>
      </c>
      <c r="G2938" s="5" t="s">
        <v>20649</v>
      </c>
      <c r="H2938" s="6" t="s">
        <v>20650</v>
      </c>
      <c r="K2938" s="5" t="s">
        <v>20632</v>
      </c>
      <c r="M2938" s="5" t="s">
        <v>20651</v>
      </c>
      <c r="N2938" s="7" t="s">
        <v>20652</v>
      </c>
      <c r="O2938" s="8" t="str">
        <f>HYPERLINK("https://drive.google.com/file/d/1lLlWBs5wGckJl8ZkPZMnaOQg2uhPsFQo/view?usp=drivesdk","2937_SITI JENAB _ SERTIFIKAT BerAKHLAK")</f>
        <v>2937_SITI JENAB _ SERTIFIKAT BerAKHLAK</v>
      </c>
      <c r="P2938" s="5" t="s">
        <v>20653</v>
      </c>
    </row>
    <row r="2939">
      <c r="A2939" s="4">
        <v>45534.342263541665</v>
      </c>
      <c r="B2939" s="5" t="s">
        <v>34</v>
      </c>
      <c r="D2939" s="5" t="s">
        <v>35</v>
      </c>
      <c r="E2939" s="5" t="s">
        <v>20654</v>
      </c>
      <c r="F2939" s="5" t="s">
        <v>212</v>
      </c>
      <c r="G2939" s="5" t="s">
        <v>20655</v>
      </c>
      <c r="H2939" s="6" t="s">
        <v>20656</v>
      </c>
      <c r="K2939" s="5" t="s">
        <v>20632</v>
      </c>
      <c r="M2939" s="5" t="s">
        <v>20657</v>
      </c>
      <c r="N2939" s="7" t="s">
        <v>20658</v>
      </c>
      <c r="O2939" s="8" t="str">
        <f>HYPERLINK("https://drive.google.com/file/d/1onC-1qLixxI3sGtcHfLqVi8cRkfx07L7/view?usp=drivesdk","2938_LISDAYANI _ SERTIFIKAT BerAKHLAK")</f>
        <v>2938_LISDAYANI _ SERTIFIKAT BerAKHLAK</v>
      </c>
      <c r="P2939" s="5" t="s">
        <v>20659</v>
      </c>
    </row>
    <row r="2940">
      <c r="A2940" s="4">
        <v>45534.342264120365</v>
      </c>
      <c r="B2940" s="5" t="s">
        <v>34</v>
      </c>
      <c r="D2940" s="5" t="s">
        <v>4775</v>
      </c>
      <c r="E2940" s="5" t="s">
        <v>20660</v>
      </c>
      <c r="F2940" s="5" t="s">
        <v>375</v>
      </c>
      <c r="G2940" s="5" t="s">
        <v>20661</v>
      </c>
      <c r="H2940" s="6" t="s">
        <v>20662</v>
      </c>
      <c r="K2940" s="5" t="s">
        <v>20632</v>
      </c>
      <c r="M2940" s="5" t="s">
        <v>20663</v>
      </c>
      <c r="N2940" s="7" t="s">
        <v>20664</v>
      </c>
      <c r="O2940" s="8" t="str">
        <f>HYPERLINK("https://drive.google.com/file/d/12P3Pns2VvEN0_ridUEy-rsK79brqpyI-/view?usp=drivesdk","2939_TAUFIQ SOLEH. S.Sos _ SERTIFIKAT BerAKHLAK")</f>
        <v>2939_TAUFIQ SOLEH. S.Sos _ SERTIFIKAT BerAKHLAK</v>
      </c>
      <c r="P2940" s="5" t="s">
        <v>20659</v>
      </c>
    </row>
    <row r="2941">
      <c r="A2941" s="4">
        <v>45534.34227853009</v>
      </c>
      <c r="B2941" s="5" t="s">
        <v>34</v>
      </c>
      <c r="D2941" s="5" t="s">
        <v>15401</v>
      </c>
      <c r="E2941" s="5" t="s">
        <v>20665</v>
      </c>
      <c r="F2941" s="5" t="s">
        <v>715</v>
      </c>
      <c r="G2941" s="5" t="s">
        <v>20666</v>
      </c>
      <c r="H2941" s="6" t="s">
        <v>20667</v>
      </c>
      <c r="K2941" s="5" t="s">
        <v>20632</v>
      </c>
      <c r="M2941" s="5" t="s">
        <v>20668</v>
      </c>
      <c r="N2941" s="7" t="s">
        <v>20669</v>
      </c>
      <c r="O2941" s="8" t="str">
        <f>HYPERLINK("https://drive.google.com/file/d/1_rlNoCclfgSHbiaDLUg1ZcmEICYT8uRR/view?usp=drivesdk","2940_MARLIANTY RANTAHI _ SERTIFIKAT BerAKHLAK")</f>
        <v>2940_MARLIANTY RANTAHI _ SERTIFIKAT BerAKHLAK</v>
      </c>
      <c r="P2941" s="5" t="s">
        <v>20659</v>
      </c>
    </row>
    <row r="2942">
      <c r="A2942" s="4">
        <v>45534.342286886575</v>
      </c>
      <c r="B2942" s="5" t="s">
        <v>34</v>
      </c>
      <c r="D2942" s="5" t="s">
        <v>267</v>
      </c>
      <c r="E2942" s="5" t="s">
        <v>20670</v>
      </c>
      <c r="F2942" s="5" t="s">
        <v>212</v>
      </c>
      <c r="G2942" s="5" t="s">
        <v>20671</v>
      </c>
      <c r="H2942" s="6" t="s">
        <v>20672</v>
      </c>
      <c r="K2942" s="5" t="s">
        <v>20632</v>
      </c>
      <c r="M2942" s="5" t="s">
        <v>20673</v>
      </c>
      <c r="N2942" s="7" t="s">
        <v>20674</v>
      </c>
      <c r="O2942" s="8" t="str">
        <f>HYPERLINK("https://drive.google.com/file/d/1Ua-4OKjn0v6XCVW9xw4pgiKwhsNvOwWa/view?usp=drivesdk","2941_SUNTARI _ SERTIFIKAT BerAKHLAK")</f>
        <v>2941_SUNTARI _ SERTIFIKAT BerAKHLAK</v>
      </c>
      <c r="P2942" s="5" t="s">
        <v>20659</v>
      </c>
    </row>
    <row r="2943">
      <c r="A2943" s="4">
        <v>45534.34230037037</v>
      </c>
      <c r="B2943" s="5" t="s">
        <v>34</v>
      </c>
      <c r="D2943" s="5" t="s">
        <v>10297</v>
      </c>
      <c r="E2943" s="5" t="s">
        <v>20675</v>
      </c>
      <c r="F2943" s="5" t="s">
        <v>37</v>
      </c>
      <c r="G2943" s="5" t="s">
        <v>20676</v>
      </c>
      <c r="H2943" s="6" t="s">
        <v>20677</v>
      </c>
      <c r="I2943" s="7" t="s">
        <v>20678</v>
      </c>
      <c r="J2943" s="8" t="str">
        <f>HYPERLINK("https://drive.google.com/file/d/1BKE2QpRviNA4a5Oulo1NTUlNITqJUJeY/view?usp=drivesdk","HERMAN, AMK SERTIFIKAT BerAKHLAK")</f>
        <v>HERMAN, AMK SERTIFIKAT BerAKHLAK</v>
      </c>
      <c r="K2943" s="5" t="s">
        <v>18691</v>
      </c>
      <c r="L2943" s="5" t="s">
        <v>20679</v>
      </c>
      <c r="M2943" s="5" t="s">
        <v>20680</v>
      </c>
      <c r="N2943" s="7" t="s">
        <v>20681</v>
      </c>
      <c r="O2943" s="8" t="str">
        <f>HYPERLINK("https://drive.google.com/file/d/1Bue0X7QFyZTTcG2CCecxpuPC5Cia61SV/view?usp=drivesdk","2942_HERMAN, AMK _ SERTIFIKAT BerAKHLAK")</f>
        <v>2942_HERMAN, AMK _ SERTIFIKAT BerAKHLAK</v>
      </c>
      <c r="P2943" s="5" t="s">
        <v>20682</v>
      </c>
    </row>
    <row r="2944">
      <c r="A2944" s="4">
        <v>45534.34230326389</v>
      </c>
      <c r="B2944" s="5" t="s">
        <v>34</v>
      </c>
      <c r="D2944" s="5" t="s">
        <v>1206</v>
      </c>
      <c r="E2944" s="5" t="s">
        <v>20683</v>
      </c>
      <c r="F2944" s="5" t="s">
        <v>212</v>
      </c>
      <c r="G2944" s="5" t="s">
        <v>20684</v>
      </c>
      <c r="H2944" s="6" t="s">
        <v>20685</v>
      </c>
      <c r="I2944" s="7" t="s">
        <v>20686</v>
      </c>
      <c r="J2944" s="8" t="str">
        <f>HYPERLINK("https://drive.google.com/file/d/1lqkBXrKTNAD9I-ZLyFKw7e5XJNVXgJgI/view?usp=drivesdk","ZAIROZI SERTIFIKAT BerAKHLAK")</f>
        <v>ZAIROZI SERTIFIKAT BerAKHLAK</v>
      </c>
      <c r="K2944" s="5" t="s">
        <v>18691</v>
      </c>
      <c r="L2944" s="5" t="s">
        <v>20687</v>
      </c>
      <c r="M2944" s="5" t="s">
        <v>20688</v>
      </c>
      <c r="N2944" s="7" t="s">
        <v>20689</v>
      </c>
      <c r="O2944" s="8" t="str">
        <f>HYPERLINK("https://drive.google.com/file/d/1R4TIrfZ5V90XirPg0VEY5rwlwN-_H4SL/view?usp=drivesdk","2943_ZAIROZI _ SERTIFIKAT BerAKHLAK")</f>
        <v>2943_ZAIROZI _ SERTIFIKAT BerAKHLAK</v>
      </c>
      <c r="P2944" s="5" t="s">
        <v>20682</v>
      </c>
    </row>
    <row r="2945">
      <c r="A2945" s="4">
        <v>45534.34231422454</v>
      </c>
      <c r="B2945" s="5" t="s">
        <v>34</v>
      </c>
      <c r="D2945" s="5" t="s">
        <v>35</v>
      </c>
      <c r="E2945" s="5" t="s">
        <v>20690</v>
      </c>
      <c r="F2945" s="5" t="s">
        <v>108</v>
      </c>
      <c r="G2945" s="5" t="s">
        <v>20691</v>
      </c>
      <c r="H2945" s="6" t="s">
        <v>20692</v>
      </c>
      <c r="I2945" s="7" t="s">
        <v>20693</v>
      </c>
      <c r="J2945" s="8" t="str">
        <f>HYPERLINK("https://drive.google.com/file/d/10KN4dzSL_mxkNisH6zastM758rjT_174/view?usp=drivesdk","ROHAYANI SERTIFIKAT BerAKHLAK")</f>
        <v>ROHAYANI SERTIFIKAT BerAKHLAK</v>
      </c>
      <c r="K2945" s="5" t="s">
        <v>18691</v>
      </c>
      <c r="L2945" s="5" t="s">
        <v>20694</v>
      </c>
      <c r="M2945" s="5" t="s">
        <v>20695</v>
      </c>
      <c r="N2945" s="7" t="s">
        <v>20696</v>
      </c>
      <c r="O2945" s="8" t="str">
        <f>HYPERLINK("https://drive.google.com/file/d/10l6oiu3hH2E8vvLSVuENv83cSJCpmBC0/view?usp=drivesdk","2944_ROHAYANI _ SERTIFIKAT BerAKHLAK")</f>
        <v>2944_ROHAYANI _ SERTIFIKAT BerAKHLAK</v>
      </c>
      <c r="P2945" s="5" t="s">
        <v>20682</v>
      </c>
    </row>
    <row r="2946">
      <c r="A2946" s="4">
        <v>45534.34231467593</v>
      </c>
      <c r="B2946" s="5" t="s">
        <v>34</v>
      </c>
      <c r="D2946" s="5" t="s">
        <v>1456</v>
      </c>
      <c r="E2946" s="5" t="s">
        <v>20697</v>
      </c>
      <c r="F2946" s="5" t="s">
        <v>37</v>
      </c>
      <c r="G2946" s="5" t="s">
        <v>20698</v>
      </c>
      <c r="H2946" s="6" t="s">
        <v>20699</v>
      </c>
      <c r="K2946" s="5" t="s">
        <v>20700</v>
      </c>
      <c r="M2946" s="5" t="s">
        <v>20701</v>
      </c>
      <c r="N2946" s="7" t="s">
        <v>20702</v>
      </c>
      <c r="O2946" s="8" t="str">
        <f>HYPERLINK("https://drive.google.com/file/d/1EDDVhBUUZMcAQM2U3l_22IL2Y-rx9zOf/view?usp=drivesdk","2945_RADITYA DWI PAMBUDI, A.MD. KEP _ SERTIFIKAT BerAKHLAK")</f>
        <v>2945_RADITYA DWI PAMBUDI, A.MD. KEP _ SERTIFIKAT BerAKHLAK</v>
      </c>
      <c r="P2946" s="5" t="s">
        <v>20682</v>
      </c>
    </row>
    <row r="2947" hidden="1">
      <c r="A2947" s="4">
        <v>45534.342319131945</v>
      </c>
      <c r="B2947" s="5" t="s">
        <v>19</v>
      </c>
      <c r="C2947" s="5" t="s">
        <v>442</v>
      </c>
      <c r="E2947" s="5" t="s">
        <v>20703</v>
      </c>
      <c r="F2947" s="5" t="s">
        <v>375</v>
      </c>
      <c r="G2947" s="5" t="s">
        <v>20704</v>
      </c>
      <c r="H2947" s="6" t="s">
        <v>20705</v>
      </c>
      <c r="I2947" s="7" t="s">
        <v>20706</v>
      </c>
      <c r="J2947" s="8" t="str">
        <f>HYPERLINK("https://drive.google.com/file/d/1LofptS-72FIL1KiGO2pTekePi8btDUI7/view?usp=drivesdk","JUWARIYAH SERTIFIKAT BerAKHLAK")</f>
        <v>JUWARIYAH SERTIFIKAT BerAKHLAK</v>
      </c>
      <c r="K2947" s="5" t="s">
        <v>18691</v>
      </c>
      <c r="L2947" s="5" t="s">
        <v>20707</v>
      </c>
      <c r="M2947" s="5" t="s">
        <v>20708</v>
      </c>
      <c r="N2947" s="7" t="s">
        <v>20709</v>
      </c>
      <c r="O2947" s="8" t="str">
        <f>HYPERLINK("https://drive.google.com/file/d/1SyMvcai5f7HHh5P3TPUT8nCiXwy_OGCG/view?usp=drivesdk","2946_JUWARIYAH _ SERTIFIKAT BerAKHLAK")</f>
        <v>2946_JUWARIYAH _ SERTIFIKAT BerAKHLAK</v>
      </c>
      <c r="P2947" s="5" t="s">
        <v>20710</v>
      </c>
    </row>
    <row r="2948">
      <c r="A2948" s="4">
        <v>45534.34231998843</v>
      </c>
      <c r="B2948" s="5" t="s">
        <v>34</v>
      </c>
      <c r="D2948" s="5" t="s">
        <v>3849</v>
      </c>
      <c r="E2948" s="5" t="s">
        <v>20711</v>
      </c>
      <c r="F2948" s="5" t="s">
        <v>37</v>
      </c>
      <c r="G2948" s="5" t="s">
        <v>20712</v>
      </c>
      <c r="H2948" s="6" t="s">
        <v>20713</v>
      </c>
      <c r="I2948" s="7" t="s">
        <v>20714</v>
      </c>
      <c r="J2948" s="8" t="str">
        <f>HYPERLINK("https://drive.google.com/file/d/1B_v-o-_n71IHtYCOlDqf6I-jzKddbSMI/view?usp=drivesdk","SHINTA NIRWANA SERTIFIKAT BerAKHLAK")</f>
        <v>SHINTA NIRWANA SERTIFIKAT BerAKHLAK</v>
      </c>
      <c r="K2948" s="5" t="s">
        <v>18691</v>
      </c>
      <c r="L2948" s="5" t="s">
        <v>20715</v>
      </c>
      <c r="M2948" s="5" t="s">
        <v>20716</v>
      </c>
      <c r="N2948" s="7" t="s">
        <v>20717</v>
      </c>
      <c r="O2948" s="8" t="str">
        <f>HYPERLINK("https://drive.google.com/file/d/1jT8tzFNlltDyaDvEXVe7QLXjN8lOU9Pb/view?usp=drivesdk","2947_SHINTA NIRWANA _ SERTIFIKAT BerAKHLAK")</f>
        <v>2947_SHINTA NIRWANA _ SERTIFIKAT BerAKHLAK</v>
      </c>
      <c r="P2948" s="5" t="s">
        <v>20710</v>
      </c>
    </row>
    <row r="2949">
      <c r="A2949" s="4">
        <v>45534.3423227662</v>
      </c>
      <c r="B2949" s="5" t="s">
        <v>34</v>
      </c>
      <c r="D2949" s="5" t="s">
        <v>522</v>
      </c>
      <c r="E2949" s="5" t="s">
        <v>20718</v>
      </c>
      <c r="F2949" s="5" t="s">
        <v>37</v>
      </c>
      <c r="G2949" s="5" t="s">
        <v>20719</v>
      </c>
      <c r="H2949" s="6" t="s">
        <v>20720</v>
      </c>
      <c r="I2949" s="7" t="s">
        <v>20721</v>
      </c>
      <c r="J2949" s="8" t="str">
        <f>HYPERLINK("https://drive.google.com/file/d/1Ojt9nxP4o-n9R-CzYWYw1MCuDvjyPrja/view?usp=drivesdk","BAIQ SUHAENI SERTIFIKAT BerAKHLAK")</f>
        <v>BAIQ SUHAENI SERTIFIKAT BerAKHLAK</v>
      </c>
      <c r="K2949" s="5" t="s">
        <v>18691</v>
      </c>
      <c r="L2949" s="5" t="s">
        <v>20722</v>
      </c>
      <c r="M2949" s="5" t="s">
        <v>20723</v>
      </c>
      <c r="N2949" s="7" t="s">
        <v>20724</v>
      </c>
      <c r="O2949" s="8" t="str">
        <f>HYPERLINK("https://drive.google.com/file/d/1wwv13ifSdMbXzWx0AonEZxoeTBxniyFK/view?usp=drivesdk","2948_BAIQ SUHAENI _ SERTIFIKAT BerAKHLAK")</f>
        <v>2948_BAIQ SUHAENI _ SERTIFIKAT BerAKHLAK</v>
      </c>
      <c r="P2949" s="5" t="s">
        <v>20710</v>
      </c>
    </row>
    <row r="2950">
      <c r="A2950" s="4">
        <v>45534.34232364583</v>
      </c>
      <c r="B2950" s="5" t="s">
        <v>34</v>
      </c>
      <c r="D2950" s="5" t="s">
        <v>1206</v>
      </c>
      <c r="E2950" s="5" t="s">
        <v>17446</v>
      </c>
      <c r="F2950" s="5" t="s">
        <v>37</v>
      </c>
      <c r="G2950" s="5" t="s">
        <v>20725</v>
      </c>
      <c r="H2950" s="6" t="s">
        <v>20726</v>
      </c>
      <c r="I2950" s="7" t="s">
        <v>20727</v>
      </c>
      <c r="J2950" s="8" t="str">
        <f>HYPERLINK("https://drive.google.com/file/d/1i-Y1m01akCKGCXyQsHim2gxN4ZNhX-Vn/view?usp=drivesdk","WINARTI SERTIFIKAT BerAKHLAK")</f>
        <v>WINARTI SERTIFIKAT BerAKHLAK</v>
      </c>
      <c r="K2950" s="5" t="s">
        <v>18691</v>
      </c>
      <c r="L2950" s="5" t="s">
        <v>20728</v>
      </c>
      <c r="M2950" s="5" t="s">
        <v>20729</v>
      </c>
      <c r="N2950" s="7" t="s">
        <v>20730</v>
      </c>
      <c r="O2950" s="8" t="str">
        <f>HYPERLINK("https://drive.google.com/file/d/1HftwSpwVCa3YU7YGuRDAV_ckI02_oGPt/view?usp=drivesdk","2949_WINARTI _ SERTIFIKAT BerAKHLAK")</f>
        <v>2949_WINARTI _ SERTIFIKAT BerAKHLAK</v>
      </c>
      <c r="P2950" s="5" t="s">
        <v>20710</v>
      </c>
    </row>
    <row r="2951">
      <c r="A2951" s="4">
        <v>45534.34232398148</v>
      </c>
      <c r="B2951" s="5" t="s">
        <v>34</v>
      </c>
      <c r="D2951" s="5" t="s">
        <v>2903</v>
      </c>
      <c r="E2951" s="5" t="s">
        <v>20731</v>
      </c>
      <c r="F2951" s="5" t="s">
        <v>120</v>
      </c>
      <c r="G2951" s="5" t="s">
        <v>20732</v>
      </c>
      <c r="H2951" s="6" t="s">
        <v>20733</v>
      </c>
      <c r="I2951" s="7" t="s">
        <v>20734</v>
      </c>
      <c r="J2951" s="8" t="str">
        <f>HYPERLINK("https://drive.google.com/file/d/1S8DLEEZp7hpITnNpuka2dB3mi0DkF7y7/view?usp=drivesdk","SITI YUYA,S.KOM SERTIFIKAT BerAKHLAK")</f>
        <v>SITI YUYA,S.KOM SERTIFIKAT BerAKHLAK</v>
      </c>
      <c r="K2951" s="5" t="s">
        <v>20391</v>
      </c>
      <c r="L2951" s="5" t="s">
        <v>20735</v>
      </c>
      <c r="M2951" s="5" t="s">
        <v>20736</v>
      </c>
      <c r="N2951" s="7" t="s">
        <v>20737</v>
      </c>
      <c r="O2951" s="8" t="str">
        <f>HYPERLINK("https://drive.google.com/file/d/1GhH-5jM8-hWgcbhwwVasbLwDiXvfu14e/view?usp=drivesdk","2950_SITI YUYA,S.KOM _ SERTIFIKAT BerAKHLAK")</f>
        <v>2950_SITI YUYA,S.KOM _ SERTIFIKAT BerAKHLAK</v>
      </c>
      <c r="P2951" s="5" t="s">
        <v>20738</v>
      </c>
    </row>
    <row r="2952">
      <c r="A2952" s="4">
        <v>45534.34233035879</v>
      </c>
      <c r="B2952" s="5" t="s">
        <v>34</v>
      </c>
      <c r="D2952" s="5" t="s">
        <v>2903</v>
      </c>
      <c r="E2952" s="5" t="s">
        <v>20739</v>
      </c>
      <c r="F2952" s="5" t="s">
        <v>524</v>
      </c>
      <c r="G2952" s="5" t="s">
        <v>20740</v>
      </c>
      <c r="H2952" s="6" t="s">
        <v>20741</v>
      </c>
      <c r="K2952" s="5" t="s">
        <v>20742</v>
      </c>
      <c r="M2952" s="5" t="s">
        <v>20743</v>
      </c>
      <c r="N2952" s="7" t="s">
        <v>20744</v>
      </c>
      <c r="O2952" s="8" t="str">
        <f>HYPERLINK("https://drive.google.com/file/d/19PBZuLof-kuCWZdzdCmOtYeBg3ILfmMk/view?usp=drivesdk","2951_ANNISA SUTRA, S. Ak _ SERTIFIKAT BerAKHLAK")</f>
        <v>2951_ANNISA SUTRA, S. Ak _ SERTIFIKAT BerAKHLAK</v>
      </c>
      <c r="P2952" s="5" t="s">
        <v>20738</v>
      </c>
    </row>
    <row r="2953">
      <c r="A2953" s="4">
        <v>45534.34233658564</v>
      </c>
      <c r="B2953" s="5" t="s">
        <v>34</v>
      </c>
      <c r="D2953" s="5" t="s">
        <v>1206</v>
      </c>
      <c r="E2953" s="5" t="s">
        <v>20745</v>
      </c>
      <c r="F2953" s="5" t="s">
        <v>524</v>
      </c>
      <c r="G2953" s="5" t="s">
        <v>20746</v>
      </c>
      <c r="H2953" s="6" t="s">
        <v>20747</v>
      </c>
      <c r="K2953" s="5" t="s">
        <v>20742</v>
      </c>
      <c r="M2953" s="5" t="s">
        <v>20748</v>
      </c>
      <c r="N2953" s="7" t="s">
        <v>20749</v>
      </c>
      <c r="O2953" s="8" t="str">
        <f>HYPERLINK("https://drive.google.com/file/d/1Z1lK_oXR-8gCrfh6Gn7qLLwuWIxaactF/view?usp=drivesdk","2952_SRIANI NINGSIH _ SERTIFIKAT BerAKHLAK")</f>
        <v>2952_SRIANI NINGSIH _ SERTIFIKAT BerAKHLAK</v>
      </c>
      <c r="P2953" s="5" t="s">
        <v>20738</v>
      </c>
    </row>
    <row r="2954">
      <c r="A2954" s="4">
        <v>45534.34233767361</v>
      </c>
      <c r="B2954" s="5" t="s">
        <v>34</v>
      </c>
      <c r="D2954" s="5" t="s">
        <v>35</v>
      </c>
      <c r="E2954" s="5" t="s">
        <v>20750</v>
      </c>
      <c r="F2954" s="5" t="s">
        <v>212</v>
      </c>
      <c r="G2954" s="5" t="s">
        <v>20751</v>
      </c>
      <c r="H2954" s="6" t="s">
        <v>20752</v>
      </c>
      <c r="K2954" s="5" t="s">
        <v>20742</v>
      </c>
      <c r="M2954" s="5" t="s">
        <v>20753</v>
      </c>
      <c r="N2954" s="7" t="s">
        <v>20754</v>
      </c>
      <c r="O2954" s="8" t="str">
        <f>HYPERLINK("https://drive.google.com/file/d/1LN7Ks8XF9i0rsPda5nCx5n5fmft5zWWz/view?usp=drivesdk","2953_TITIK SURYANINGSIH _ SERTIFIKAT BerAKHLAK")</f>
        <v>2953_TITIK SURYANINGSIH _ SERTIFIKAT BerAKHLAK</v>
      </c>
      <c r="P2954" s="5" t="s">
        <v>20738</v>
      </c>
    </row>
    <row r="2955">
      <c r="A2955" s="4">
        <v>45534.34234239583</v>
      </c>
      <c r="B2955" s="5" t="s">
        <v>34</v>
      </c>
      <c r="D2955" s="5" t="s">
        <v>35</v>
      </c>
      <c r="E2955" s="5" t="s">
        <v>20755</v>
      </c>
      <c r="F2955" s="5" t="s">
        <v>120</v>
      </c>
      <c r="G2955" s="5" t="s">
        <v>20756</v>
      </c>
      <c r="H2955" s="6" t="s">
        <v>20757</v>
      </c>
      <c r="K2955" s="5" t="s">
        <v>20742</v>
      </c>
      <c r="M2955" s="5" t="s">
        <v>20758</v>
      </c>
      <c r="N2955" s="7" t="s">
        <v>20759</v>
      </c>
      <c r="O2955" s="8" t="str">
        <f>HYPERLINK("https://drive.google.com/file/d/16d-W3nj_NE6w6MnAOdWyU-acOI7sq9IY/view?usp=drivesdk","2954_VIMALA MITRA, S.PSI., M.M _ SERTIFIKAT BerAKHLAK")</f>
        <v>2954_VIMALA MITRA, S.PSI., M.M _ SERTIFIKAT BerAKHLAK</v>
      </c>
      <c r="P2955" s="5" t="s">
        <v>20738</v>
      </c>
    </row>
    <row r="2956">
      <c r="A2956" s="4">
        <v>45534.342353472224</v>
      </c>
      <c r="B2956" s="5" t="s">
        <v>34</v>
      </c>
      <c r="D2956" s="5" t="s">
        <v>9020</v>
      </c>
      <c r="E2956" s="5" t="s">
        <v>20760</v>
      </c>
      <c r="F2956" s="5" t="s">
        <v>37</v>
      </c>
      <c r="G2956" s="5" t="s">
        <v>20761</v>
      </c>
      <c r="H2956" s="6" t="s">
        <v>20762</v>
      </c>
      <c r="K2956" s="5" t="s">
        <v>20742</v>
      </c>
      <c r="M2956" s="5" t="s">
        <v>20763</v>
      </c>
      <c r="N2956" s="7" t="s">
        <v>20764</v>
      </c>
      <c r="O2956" s="8" t="str">
        <f>HYPERLINK("https://drive.google.com/file/d/1tvixtS-CR-TeqC6aTFifQ1ZbQ4P8aPRu/view?usp=drivesdk","2955_RUDI FANANI _ SERTIFIKAT BerAKHLAK")</f>
        <v>2955_RUDI FANANI _ SERTIFIKAT BerAKHLAK</v>
      </c>
      <c r="P2956" s="5" t="s">
        <v>20765</v>
      </c>
    </row>
    <row r="2957">
      <c r="A2957" s="4">
        <v>45534.34235555556</v>
      </c>
      <c r="B2957" s="5" t="s">
        <v>34</v>
      </c>
      <c r="D2957" s="5" t="s">
        <v>35</v>
      </c>
      <c r="E2957" s="5" t="s">
        <v>20766</v>
      </c>
      <c r="F2957" s="5" t="s">
        <v>212</v>
      </c>
      <c r="G2957" s="5" t="s">
        <v>20767</v>
      </c>
      <c r="H2957" s="6" t="s">
        <v>20768</v>
      </c>
      <c r="I2957" s="7" t="s">
        <v>20769</v>
      </c>
      <c r="J2957" s="8" t="str">
        <f>HYPERLINK("https://drive.google.com/file/d/1WiF8rFhhAgNOuDYmxeztkdSDFuyxjhaw/view?usp=drivesdk","MOKHAMAD KHAMIM SERTIFIKAT BerAKHLAK")</f>
        <v>MOKHAMAD KHAMIM SERTIFIKAT BerAKHLAK</v>
      </c>
      <c r="K2957" s="5" t="s">
        <v>18691</v>
      </c>
      <c r="L2957" s="5" t="s">
        <v>20770</v>
      </c>
      <c r="M2957" s="5" t="s">
        <v>20771</v>
      </c>
      <c r="N2957" s="7" t="s">
        <v>20772</v>
      </c>
      <c r="O2957" s="8" t="str">
        <f>HYPERLINK("https://drive.google.com/file/d/1xySZauwFyHOvRzGXOX9wkaVWkbZbAOjf/view?usp=drivesdk","2956_MOKHAMAD KHAMIM _ SERTIFIKAT BerAKHLAK")</f>
        <v>2956_MOKHAMAD KHAMIM _ SERTIFIKAT BerAKHLAK</v>
      </c>
      <c r="P2957" s="5" t="s">
        <v>20765</v>
      </c>
    </row>
    <row r="2958">
      <c r="A2958" s="4">
        <v>45534.34235935185</v>
      </c>
      <c r="B2958" s="5" t="s">
        <v>34</v>
      </c>
      <c r="D2958" s="5" t="s">
        <v>1206</v>
      </c>
      <c r="E2958" s="5" t="s">
        <v>20773</v>
      </c>
      <c r="F2958" s="5" t="s">
        <v>37</v>
      </c>
      <c r="G2958" s="5" t="s">
        <v>20774</v>
      </c>
      <c r="H2958" s="6" t="s">
        <v>20775</v>
      </c>
      <c r="I2958" s="7" t="s">
        <v>20776</v>
      </c>
      <c r="J2958" s="8" t="str">
        <f>HYPERLINK("https://drive.google.com/file/d/17ADUHLPS598MP27kiRbC5k1N6DxjxUww/view?usp=drivesdk","DIDIK YUDHIA PRATOMO SERTIFIKAT BerAKHLAK")</f>
        <v>DIDIK YUDHIA PRATOMO SERTIFIKAT BerAKHLAK</v>
      </c>
      <c r="K2958" s="5" t="s">
        <v>18691</v>
      </c>
      <c r="L2958" s="5" t="s">
        <v>20777</v>
      </c>
      <c r="M2958" s="5" t="s">
        <v>20778</v>
      </c>
      <c r="N2958" s="7" t="s">
        <v>20779</v>
      </c>
      <c r="O2958" s="8" t="str">
        <f>HYPERLINK("https://drive.google.com/file/d/1Rs6SGbeQfOhsXGvNccaKp521FRuh3zCa/view?usp=drivesdk","2957_DIDIK YUDHIA PRATOMO _ SERTIFIKAT BerAKHLAK")</f>
        <v>2957_DIDIK YUDHIA PRATOMO _ SERTIFIKAT BerAKHLAK</v>
      </c>
      <c r="P2958" s="5" t="s">
        <v>20765</v>
      </c>
    </row>
    <row r="2959" hidden="1">
      <c r="A2959" s="4">
        <v>45534.34237012731</v>
      </c>
      <c r="B2959" s="5" t="s">
        <v>19</v>
      </c>
      <c r="C2959" s="5" t="s">
        <v>11593</v>
      </c>
      <c r="E2959" s="5" t="s">
        <v>20780</v>
      </c>
      <c r="F2959" s="5" t="s">
        <v>212</v>
      </c>
      <c r="G2959" s="5" t="s">
        <v>20781</v>
      </c>
      <c r="H2959" s="6" t="s">
        <v>20782</v>
      </c>
      <c r="K2959" s="5" t="s">
        <v>20783</v>
      </c>
      <c r="M2959" s="5" t="s">
        <v>20784</v>
      </c>
      <c r="N2959" s="7" t="s">
        <v>20785</v>
      </c>
      <c r="O2959" s="8" t="str">
        <f>HYPERLINK("https://drive.google.com/file/d/10zIsJLM9f0MAB6tcganQDva5q2F15S5v/view?usp=drivesdk","2958_ERIDESLIANI  _ SERTIFIKAT BerAKHLAK")</f>
        <v>2958_ERIDESLIANI  _ SERTIFIKAT BerAKHLAK</v>
      </c>
      <c r="P2959" s="5" t="s">
        <v>20786</v>
      </c>
    </row>
    <row r="2960">
      <c r="A2960" s="4">
        <v>45534.34237021991</v>
      </c>
      <c r="B2960" s="5" t="s">
        <v>34</v>
      </c>
      <c r="D2960" s="5" t="s">
        <v>522</v>
      </c>
      <c r="E2960" s="5" t="s">
        <v>20787</v>
      </c>
      <c r="F2960" s="5" t="s">
        <v>212</v>
      </c>
      <c r="G2960" s="5" t="s">
        <v>20788</v>
      </c>
      <c r="H2960" s="6" t="s">
        <v>20789</v>
      </c>
      <c r="K2960" s="5" t="s">
        <v>20783</v>
      </c>
      <c r="M2960" s="5" t="s">
        <v>20790</v>
      </c>
      <c r="N2960" s="7" t="s">
        <v>20791</v>
      </c>
      <c r="O2960" s="8" t="str">
        <f>HYPERLINK("https://drive.google.com/file/d/1USGnkP2yvdVGYVlCjuj1N9JF1JUcW2Vw/view?usp=drivesdk","2959_SRI RAHMANIAH _ SERTIFIKAT BerAKHLAK")</f>
        <v>2959_SRI RAHMANIAH _ SERTIFIKAT BerAKHLAK</v>
      </c>
      <c r="P2960" s="5" t="s">
        <v>20786</v>
      </c>
    </row>
    <row r="2961">
      <c r="A2961" s="4">
        <v>45534.342390844904</v>
      </c>
      <c r="B2961" s="5" t="s">
        <v>34</v>
      </c>
      <c r="D2961" s="5" t="s">
        <v>4775</v>
      </c>
      <c r="E2961" s="5" t="s">
        <v>20792</v>
      </c>
      <c r="F2961" s="5" t="s">
        <v>37</v>
      </c>
      <c r="G2961" s="5" t="s">
        <v>20793</v>
      </c>
      <c r="H2961" s="6" t="s">
        <v>20794</v>
      </c>
      <c r="K2961" s="5" t="s">
        <v>20783</v>
      </c>
      <c r="M2961" s="5" t="s">
        <v>20795</v>
      </c>
      <c r="N2961" s="7" t="s">
        <v>20796</v>
      </c>
      <c r="O2961" s="8" t="str">
        <f>HYPERLINK("https://drive.google.com/file/d/1eE6cnrycpjIOr3IOMwhUsRbiUr5cbsNX/view?usp=drivesdk","2960_ROKHIMAH _ SERTIFIKAT BerAKHLAK")</f>
        <v>2960_ROKHIMAH _ SERTIFIKAT BerAKHLAK</v>
      </c>
      <c r="P2961" s="5" t="s">
        <v>20786</v>
      </c>
    </row>
    <row r="2962">
      <c r="A2962" s="4">
        <v>45534.34239524306</v>
      </c>
      <c r="B2962" s="5" t="s">
        <v>34</v>
      </c>
      <c r="D2962" s="5" t="s">
        <v>4775</v>
      </c>
      <c r="E2962" s="5" t="s">
        <v>20797</v>
      </c>
      <c r="F2962" s="5" t="s">
        <v>120</v>
      </c>
      <c r="G2962" s="5" t="s">
        <v>20798</v>
      </c>
      <c r="H2962" s="6" t="s">
        <v>20799</v>
      </c>
      <c r="K2962" s="5" t="s">
        <v>20783</v>
      </c>
      <c r="M2962" s="5" t="s">
        <v>20800</v>
      </c>
      <c r="N2962" s="7" t="s">
        <v>20801</v>
      </c>
      <c r="O2962" s="8" t="str">
        <f>HYPERLINK("https://drive.google.com/file/d/1e4BTkQefISeDKCdtTs-FQSXQJzI94bXw/view?usp=drivesdk","2961_SRI ANDAYANI, S S  _ SERTIFIKAT BerAKHLAK")</f>
        <v>2961_SRI ANDAYANI, S S  _ SERTIFIKAT BerAKHLAK</v>
      </c>
      <c r="P2962" s="5" t="s">
        <v>20786</v>
      </c>
    </row>
    <row r="2963">
      <c r="A2963" s="4">
        <v>45534.34239798611</v>
      </c>
      <c r="B2963" s="5" t="s">
        <v>34</v>
      </c>
      <c r="D2963" s="5" t="s">
        <v>35</v>
      </c>
      <c r="E2963" s="5" t="s">
        <v>20802</v>
      </c>
      <c r="F2963" s="5" t="s">
        <v>328</v>
      </c>
      <c r="G2963" s="5" t="s">
        <v>20803</v>
      </c>
      <c r="H2963" s="6" t="s">
        <v>20804</v>
      </c>
      <c r="K2963" s="5" t="s">
        <v>20783</v>
      </c>
      <c r="M2963" s="5" t="s">
        <v>20805</v>
      </c>
      <c r="N2963" s="7" t="s">
        <v>20806</v>
      </c>
      <c r="O2963" s="8" t="str">
        <f>HYPERLINK("https://drive.google.com/file/d/1GLuDVoNZFDVhRnwYtBhjizVHWLIB6BpL/view?usp=drivesdk","2962_LASMANA _ SERTIFIKAT BerAKHLAK")</f>
        <v>2962_LASMANA _ SERTIFIKAT BerAKHLAK</v>
      </c>
      <c r="P2963" s="5" t="s">
        <v>20786</v>
      </c>
    </row>
    <row r="2964">
      <c r="A2964" s="4">
        <v>45534.342399375004</v>
      </c>
      <c r="B2964" s="5" t="s">
        <v>34</v>
      </c>
      <c r="D2964" s="5" t="s">
        <v>1206</v>
      </c>
      <c r="E2964" s="5" t="s">
        <v>20807</v>
      </c>
      <c r="F2964" s="5" t="s">
        <v>37</v>
      </c>
      <c r="G2964" s="5" t="s">
        <v>20808</v>
      </c>
      <c r="H2964" s="6" t="s">
        <v>20809</v>
      </c>
      <c r="K2964" s="5" t="s">
        <v>20783</v>
      </c>
      <c r="M2964" s="5" t="s">
        <v>20810</v>
      </c>
      <c r="N2964" s="7" t="s">
        <v>20811</v>
      </c>
      <c r="O2964" s="8" t="str">
        <f>HYPERLINK("https://drive.google.com/file/d/1WaXmZcfK_SC6naU_uRydMJlPKCynV7vT/view?usp=drivesdk","2963_LASMIASIH  _ SERTIFIKAT BerAKHLAK")</f>
        <v>2963_LASMIASIH  _ SERTIFIKAT BerAKHLAK</v>
      </c>
      <c r="P2964" s="5" t="s">
        <v>20812</v>
      </c>
    </row>
    <row r="2965">
      <c r="A2965" s="4">
        <v>45534.34240631944</v>
      </c>
      <c r="B2965" s="5" t="s">
        <v>34</v>
      </c>
      <c r="D2965" s="5" t="s">
        <v>522</v>
      </c>
      <c r="E2965" s="5" t="s">
        <v>20813</v>
      </c>
      <c r="F2965" s="5" t="s">
        <v>375</v>
      </c>
      <c r="G2965" s="5" t="s">
        <v>20814</v>
      </c>
      <c r="H2965" s="6" t="s">
        <v>20815</v>
      </c>
      <c r="K2965" s="5" t="s">
        <v>20783</v>
      </c>
      <c r="M2965" s="5" t="s">
        <v>20816</v>
      </c>
      <c r="N2965" s="7" t="s">
        <v>20817</v>
      </c>
      <c r="O2965" s="8" t="str">
        <f>HYPERLINK("https://drive.google.com/file/d/1YNnihPOCy5M2dlAUlNVPlBzP4vDon_y9/view?usp=drivesdk","2964_Ni Ketut Wuri Andayani _ SERTIFIKAT BerAKHLAK")</f>
        <v>2964_Ni Ketut Wuri Andayani _ SERTIFIKAT BerAKHLAK</v>
      </c>
      <c r="P2965" s="5" t="s">
        <v>20812</v>
      </c>
    </row>
    <row r="2966">
      <c r="A2966" s="4">
        <v>45534.34240944445</v>
      </c>
      <c r="B2966" s="5" t="s">
        <v>34</v>
      </c>
      <c r="D2966" s="5" t="s">
        <v>267</v>
      </c>
      <c r="E2966" s="5" t="s">
        <v>20818</v>
      </c>
      <c r="F2966" s="5" t="s">
        <v>108</v>
      </c>
      <c r="G2966" s="5" t="s">
        <v>20819</v>
      </c>
      <c r="H2966" s="6" t="s">
        <v>20820</v>
      </c>
      <c r="I2966" s="7" t="s">
        <v>20821</v>
      </c>
      <c r="J2966" s="8" t="str">
        <f>HYPERLINK("https://drive.google.com/file/d/16v6Gn9MgV9Sas87tA6Rsv-W8dSTNG6kr/view?usp=drivesdk","WANTONO SERTIFIKAT BerAKHLAK")</f>
        <v>WANTONO SERTIFIKAT BerAKHLAK</v>
      </c>
      <c r="K2966" s="5" t="s">
        <v>18691</v>
      </c>
      <c r="L2966" s="5" t="s">
        <v>20822</v>
      </c>
      <c r="M2966" s="5" t="s">
        <v>20823</v>
      </c>
      <c r="N2966" s="7" t="s">
        <v>20824</v>
      </c>
      <c r="O2966" s="8" t="str">
        <f>HYPERLINK("https://drive.google.com/file/d/1ZnBunnRFP4A0jRkXngUXPsgV2It1pk34/view?usp=drivesdk","2965_WANTONO _ SERTIFIKAT BerAKHLAK")</f>
        <v>2965_WANTONO _ SERTIFIKAT BerAKHLAK</v>
      </c>
      <c r="P2966" s="5" t="s">
        <v>20812</v>
      </c>
    </row>
    <row r="2967">
      <c r="A2967" s="4">
        <v>45534.34242045139</v>
      </c>
      <c r="B2967" s="5" t="s">
        <v>34</v>
      </c>
      <c r="D2967" s="5" t="s">
        <v>267</v>
      </c>
      <c r="E2967" s="5" t="s">
        <v>20825</v>
      </c>
      <c r="F2967" s="5" t="s">
        <v>37</v>
      </c>
      <c r="G2967" s="5" t="s">
        <v>20826</v>
      </c>
      <c r="H2967" s="6" t="s">
        <v>20827</v>
      </c>
      <c r="K2967" s="5" t="s">
        <v>20828</v>
      </c>
      <c r="M2967" s="5" t="s">
        <v>20829</v>
      </c>
      <c r="N2967" s="7" t="s">
        <v>20830</v>
      </c>
      <c r="O2967" s="8" t="str">
        <f>HYPERLINK("https://drive.google.com/file/d/1GNoTItvpJa39Dp7I7Ub2R5mKuTlJf-H0/view?usp=drivesdk","2966_ENDRO PURWONO _ SERTIFIKAT BerAKHLAK")</f>
        <v>2966_ENDRO PURWONO _ SERTIFIKAT BerAKHLAK</v>
      </c>
      <c r="P2967" s="5" t="s">
        <v>20812</v>
      </c>
    </row>
    <row r="2968">
      <c r="A2968" s="4">
        <v>45534.34242760416</v>
      </c>
      <c r="B2968" s="5" t="s">
        <v>34</v>
      </c>
      <c r="D2968" s="5" t="s">
        <v>522</v>
      </c>
      <c r="E2968" s="5" t="s">
        <v>20831</v>
      </c>
      <c r="F2968" s="5" t="s">
        <v>108</v>
      </c>
      <c r="G2968" s="5" t="s">
        <v>20832</v>
      </c>
      <c r="H2968" s="6" t="s">
        <v>20833</v>
      </c>
      <c r="K2968" s="5" t="s">
        <v>20828</v>
      </c>
      <c r="M2968" s="5" t="s">
        <v>20834</v>
      </c>
      <c r="N2968" s="7" t="s">
        <v>20835</v>
      </c>
      <c r="O2968" s="8" t="str">
        <f>HYPERLINK("https://drive.google.com/file/d/1v-mzA1fjEPtxJuoKKLKOrRWRe5z1XrYY/view?usp=drivesdk","2967_JAMHUR, A. Adm _ SERTIFIKAT BerAKHLAK")</f>
        <v>2967_JAMHUR, A. Adm _ SERTIFIKAT BerAKHLAK</v>
      </c>
      <c r="P2968" s="5" t="s">
        <v>20836</v>
      </c>
    </row>
    <row r="2969">
      <c r="A2969" s="4">
        <v>45534.34243445602</v>
      </c>
      <c r="B2969" s="5" t="s">
        <v>34</v>
      </c>
      <c r="D2969" s="5" t="s">
        <v>12978</v>
      </c>
      <c r="E2969" s="5" t="s">
        <v>20837</v>
      </c>
      <c r="F2969" s="5" t="s">
        <v>715</v>
      </c>
      <c r="G2969" s="5" t="s">
        <v>20838</v>
      </c>
      <c r="H2969" s="6" t="s">
        <v>20839</v>
      </c>
      <c r="I2969" s="7" t="s">
        <v>20840</v>
      </c>
      <c r="J2969" s="8" t="str">
        <f>HYPERLINK("https://drive.google.com/file/d/1no8gV0MV0mzVVziwzOT0DJz2VyX7RLZP/view?usp=drivesdk","SANDRA AGUSTINA, S.H SERTIFIKAT BerAKHLAK")</f>
        <v>SANDRA AGUSTINA, S.H SERTIFIKAT BerAKHLAK</v>
      </c>
      <c r="K2969" s="5" t="s">
        <v>18691</v>
      </c>
      <c r="L2969" s="5" t="s">
        <v>20841</v>
      </c>
      <c r="M2969" s="5" t="s">
        <v>20842</v>
      </c>
      <c r="N2969" s="7" t="s">
        <v>20843</v>
      </c>
      <c r="O2969" s="8" t="str">
        <f>HYPERLINK("https://drive.google.com/file/d/1_4BldxoiI7ctLBXI1998kUbdN4QbrtcE/view?usp=drivesdk","2968_SANDRA AGUSTINA, S.H _ SERTIFIKAT BerAKHLAK")</f>
        <v>2968_SANDRA AGUSTINA, S.H _ SERTIFIKAT BerAKHLAK</v>
      </c>
      <c r="P2969" s="5" t="s">
        <v>20836</v>
      </c>
    </row>
    <row r="2970" hidden="1">
      <c r="A2970" s="4">
        <v>45534.34243929398</v>
      </c>
      <c r="B2970" s="5" t="s">
        <v>19</v>
      </c>
      <c r="C2970" s="5" t="s">
        <v>3301</v>
      </c>
      <c r="E2970" s="5" t="s">
        <v>20844</v>
      </c>
      <c r="F2970" s="5" t="s">
        <v>212</v>
      </c>
      <c r="G2970" s="5" t="s">
        <v>20845</v>
      </c>
      <c r="H2970" s="6" t="s">
        <v>20846</v>
      </c>
      <c r="I2970" s="7" t="s">
        <v>20847</v>
      </c>
      <c r="J2970" s="8" t="str">
        <f>HYPERLINK("https://drive.google.com/file/d/1HbgzHZA8n9AUWP38nCS9ZTfT5-9Ht8ey/view?usp=drivesdk","HARTATIK, A.MD.FARM SERTIFIKAT BerAKHLAK")</f>
        <v>HARTATIK, A.MD.FARM SERTIFIKAT BerAKHLAK</v>
      </c>
      <c r="K2970" s="5" t="s">
        <v>18691</v>
      </c>
      <c r="L2970" s="5" t="s">
        <v>20848</v>
      </c>
      <c r="M2970" s="5" t="s">
        <v>20849</v>
      </c>
      <c r="N2970" s="7" t="s">
        <v>20850</v>
      </c>
      <c r="O2970" s="8" t="str">
        <f>HYPERLINK("https://drive.google.com/file/d/1HkA05simldgwag8r9d-zbVrxblcnQktK/view?usp=drivesdk","2969_HARTATIK, A.MD.FARM _ SERTIFIKAT BerAKHLAK")</f>
        <v>2969_HARTATIK, A.MD.FARM _ SERTIFIKAT BerAKHLAK</v>
      </c>
      <c r="P2970" s="5" t="s">
        <v>20836</v>
      </c>
    </row>
    <row r="2971">
      <c r="A2971" s="4">
        <v>45534.34244123843</v>
      </c>
      <c r="B2971" s="5" t="s">
        <v>34</v>
      </c>
      <c r="D2971" s="5" t="s">
        <v>4775</v>
      </c>
      <c r="E2971" s="5" t="s">
        <v>20851</v>
      </c>
      <c r="F2971" s="5" t="s">
        <v>212</v>
      </c>
      <c r="G2971" s="5" t="s">
        <v>20852</v>
      </c>
      <c r="H2971" s="6" t="s">
        <v>20853</v>
      </c>
      <c r="K2971" s="5" t="s">
        <v>20854</v>
      </c>
      <c r="M2971" s="5" t="s">
        <v>20855</v>
      </c>
      <c r="N2971" s="7" t="s">
        <v>20856</v>
      </c>
      <c r="O2971" s="8" t="str">
        <f>HYPERLINK("https://drive.google.com/file/d/1iS9vsdEVqaME2kXvrxBa1JD2df0w70RN/view?usp=drivesdk","2970_SRI WIDOJATI _ SERTIFIKAT BerAKHLAK")</f>
        <v>2970_SRI WIDOJATI _ SERTIFIKAT BerAKHLAK</v>
      </c>
      <c r="P2971" s="5" t="s">
        <v>20836</v>
      </c>
    </row>
    <row r="2972">
      <c r="A2972" s="4">
        <v>45534.34244483797</v>
      </c>
      <c r="B2972" s="5" t="s">
        <v>34</v>
      </c>
      <c r="D2972" s="5" t="s">
        <v>9020</v>
      </c>
      <c r="E2972" s="5" t="s">
        <v>20857</v>
      </c>
      <c r="F2972" s="5" t="s">
        <v>524</v>
      </c>
      <c r="G2972" s="5" t="s">
        <v>20858</v>
      </c>
      <c r="H2972" s="6" t="s">
        <v>20859</v>
      </c>
      <c r="K2972" s="5" t="s">
        <v>20854</v>
      </c>
      <c r="M2972" s="5" t="s">
        <v>20860</v>
      </c>
      <c r="N2972" s="7" t="s">
        <v>20861</v>
      </c>
      <c r="O2972" s="8" t="str">
        <f>HYPERLINK("https://drive.google.com/file/d/1KTjqtnO7Ag9HWlaed4Q1Dj0UWn8ACyQq/view?usp=drivesdk","2971_ERINDA SIHALOHO  _ SERTIFIKAT BerAKHLAK")</f>
        <v>2971_ERINDA SIHALOHO  _ SERTIFIKAT BerAKHLAK</v>
      </c>
      <c r="P2972" s="5" t="s">
        <v>20836</v>
      </c>
    </row>
    <row r="2973">
      <c r="A2973" s="4">
        <v>45534.34245030093</v>
      </c>
      <c r="B2973" s="5" t="s">
        <v>34</v>
      </c>
      <c r="D2973" s="5" t="s">
        <v>701</v>
      </c>
      <c r="E2973" s="5" t="s">
        <v>20862</v>
      </c>
      <c r="F2973" s="5" t="s">
        <v>108</v>
      </c>
      <c r="G2973" s="5" t="s">
        <v>20863</v>
      </c>
      <c r="H2973" s="6" t="s">
        <v>20864</v>
      </c>
      <c r="K2973" s="5" t="s">
        <v>20854</v>
      </c>
      <c r="M2973" s="5" t="s">
        <v>20865</v>
      </c>
      <c r="N2973" s="7" t="s">
        <v>20866</v>
      </c>
      <c r="O2973" s="8" t="str">
        <f>HYPERLINK("https://drive.google.com/file/d/1OIFsQ9mQLH0XNGcEjnWJMqSq2AumvA7f/view?usp=drivesdk","2972_SRIBUDIWATI SUTARSA _ SERTIFIKAT BerAKHLAK")</f>
        <v>2972_SRIBUDIWATI SUTARSA _ SERTIFIKAT BerAKHLAK</v>
      </c>
      <c r="P2973" s="5" t="s">
        <v>20867</v>
      </c>
    </row>
    <row r="2974">
      <c r="A2974" s="4">
        <v>45534.34245319445</v>
      </c>
      <c r="B2974" s="5" t="s">
        <v>34</v>
      </c>
      <c r="D2974" s="5" t="s">
        <v>35</v>
      </c>
      <c r="E2974" s="5" t="s">
        <v>20868</v>
      </c>
      <c r="F2974" s="5" t="s">
        <v>375</v>
      </c>
      <c r="G2974" s="5" t="s">
        <v>20869</v>
      </c>
      <c r="H2974" s="6" t="s">
        <v>20870</v>
      </c>
      <c r="K2974" s="5" t="s">
        <v>20854</v>
      </c>
      <c r="M2974" s="5" t="s">
        <v>20871</v>
      </c>
      <c r="N2974" s="7" t="s">
        <v>20872</v>
      </c>
      <c r="O2974" s="8" t="str">
        <f>HYPERLINK("https://drive.google.com/file/d/1Uh57FkHdjGaZdsRmnQoWGANT3qSwUkgb/view?usp=drivesdk","2973_ISKAK, S.H. _ SERTIFIKAT BerAKHLAK")</f>
        <v>2973_ISKAK, S.H. _ SERTIFIKAT BerAKHLAK</v>
      </c>
      <c r="P2974" s="5" t="s">
        <v>20867</v>
      </c>
    </row>
    <row r="2975" hidden="1">
      <c r="A2975" s="4">
        <v>45534.34245534722</v>
      </c>
      <c r="B2975" s="5" t="s">
        <v>19</v>
      </c>
      <c r="C2975" s="5" t="s">
        <v>1606</v>
      </c>
      <c r="E2975" s="5" t="s">
        <v>20873</v>
      </c>
      <c r="F2975" s="5" t="s">
        <v>375</v>
      </c>
      <c r="G2975" s="5" t="s">
        <v>20874</v>
      </c>
      <c r="H2975" s="6" t="s">
        <v>20875</v>
      </c>
      <c r="K2975" s="5" t="s">
        <v>20854</v>
      </c>
      <c r="M2975" s="5" t="s">
        <v>20876</v>
      </c>
      <c r="N2975" s="7" t="s">
        <v>20877</v>
      </c>
      <c r="O2975" s="8" t="str">
        <f>HYPERLINK("https://drive.google.com/file/d/1xP45G_6bsVt4zgstrgbbf0uVXpszWYtw/view?usp=drivesdk","2974_Ani Nurhaeni, S.Pd _ SERTIFIKAT BerAKHLAK")</f>
        <v>2974_Ani Nurhaeni, S.Pd _ SERTIFIKAT BerAKHLAK</v>
      </c>
      <c r="P2975" s="5" t="s">
        <v>20867</v>
      </c>
    </row>
    <row r="2976">
      <c r="A2976" s="4">
        <v>45534.342460370375</v>
      </c>
      <c r="B2976" s="5" t="s">
        <v>34</v>
      </c>
      <c r="D2976" s="5" t="s">
        <v>12978</v>
      </c>
      <c r="E2976" s="5" t="s">
        <v>20878</v>
      </c>
      <c r="F2976" s="5" t="s">
        <v>524</v>
      </c>
      <c r="G2976" s="5" t="s">
        <v>20879</v>
      </c>
      <c r="H2976" s="6" t="s">
        <v>20880</v>
      </c>
      <c r="K2976" s="5" t="s">
        <v>20854</v>
      </c>
      <c r="M2976" s="5" t="s">
        <v>20881</v>
      </c>
      <c r="N2976" s="7" t="s">
        <v>20882</v>
      </c>
      <c r="O2976" s="8" t="str">
        <f>HYPERLINK("https://drive.google.com/file/d/1mnCvkw-3DhQG252XBn3BxlXrKTAGOays/view?usp=drivesdk","2975_ZAIDAN ASWANDI  _ SERTIFIKAT BerAKHLAK")</f>
        <v>2975_ZAIDAN ASWANDI  _ SERTIFIKAT BerAKHLAK</v>
      </c>
      <c r="P2976" s="5" t="s">
        <v>20867</v>
      </c>
    </row>
    <row r="2977" hidden="1">
      <c r="A2977" s="4">
        <v>45534.34247217592</v>
      </c>
      <c r="B2977" s="5" t="s">
        <v>19</v>
      </c>
      <c r="C2977" s="5" t="s">
        <v>466</v>
      </c>
      <c r="E2977" s="5" t="s">
        <v>20883</v>
      </c>
      <c r="F2977" s="5" t="s">
        <v>212</v>
      </c>
      <c r="G2977" s="5" t="s">
        <v>20884</v>
      </c>
      <c r="H2977" s="6" t="s">
        <v>20885</v>
      </c>
      <c r="K2977" s="5" t="s">
        <v>20854</v>
      </c>
      <c r="M2977" s="5" t="s">
        <v>20886</v>
      </c>
      <c r="N2977" s="7" t="s">
        <v>20887</v>
      </c>
      <c r="O2977" s="8" t="str">
        <f>HYPERLINK("https://drive.google.com/file/d/1WV8Zg9KoLAqCS5PORdZ37v-r3OBk6mI6/view?usp=drivesdk","2976_SUNARYO _ SERTIFIKAT BerAKHLAK")</f>
        <v>2976_SUNARYO _ SERTIFIKAT BerAKHLAK</v>
      </c>
      <c r="P2977" s="5" t="s">
        <v>20867</v>
      </c>
    </row>
    <row r="2978">
      <c r="A2978" s="4">
        <v>45534.34247375</v>
      </c>
      <c r="B2978" s="5" t="s">
        <v>34</v>
      </c>
      <c r="D2978" s="5" t="s">
        <v>12978</v>
      </c>
      <c r="E2978" s="5" t="s">
        <v>20888</v>
      </c>
      <c r="F2978" s="5" t="s">
        <v>108</v>
      </c>
      <c r="G2978" s="5" t="s">
        <v>20889</v>
      </c>
      <c r="H2978" s="6" t="s">
        <v>20890</v>
      </c>
      <c r="K2978" s="5" t="s">
        <v>20854</v>
      </c>
      <c r="M2978" s="5" t="s">
        <v>20891</v>
      </c>
      <c r="N2978" s="7" t="s">
        <v>20892</v>
      </c>
      <c r="O2978" s="8" t="str">
        <f>HYPERLINK("https://drive.google.com/file/d/1k4GkX7mBSVFkpOuZPJL5lxYFFnfdH9sb/view?usp=drivesdk","2977_RIZKI FAJAR, A.Md. _ SERTIFIKAT BerAKHLAK")</f>
        <v>2977_RIZKI FAJAR, A.Md. _ SERTIFIKAT BerAKHLAK</v>
      </c>
      <c r="P2978" s="5" t="s">
        <v>20893</v>
      </c>
    </row>
    <row r="2979">
      <c r="A2979" s="4">
        <v>45534.34247674768</v>
      </c>
      <c r="B2979" s="5" t="s">
        <v>34</v>
      </c>
      <c r="D2979" s="5" t="s">
        <v>9020</v>
      </c>
      <c r="E2979" s="5" t="s">
        <v>20894</v>
      </c>
      <c r="F2979" s="5" t="s">
        <v>72</v>
      </c>
      <c r="G2979" s="5" t="s">
        <v>20895</v>
      </c>
      <c r="H2979" s="6" t="s">
        <v>20896</v>
      </c>
      <c r="K2979" s="5" t="s">
        <v>20854</v>
      </c>
      <c r="M2979" s="5" t="s">
        <v>20897</v>
      </c>
      <c r="N2979" s="7" t="s">
        <v>20898</v>
      </c>
      <c r="O2979" s="8" t="str">
        <f>HYPERLINK("https://drive.google.com/file/d/1c4j7H95FbEfMMR96M875OeulZwlF7x9G/view?usp=drivesdk","2978_dr. STEVANY NURIFIN _ SERTIFIKAT BerAKHLAK")</f>
        <v>2978_dr. STEVANY NURIFIN _ SERTIFIKAT BerAKHLAK</v>
      </c>
      <c r="P2979" s="5" t="s">
        <v>20893</v>
      </c>
    </row>
    <row r="2980">
      <c r="A2980" s="4">
        <v>45534.34248572917</v>
      </c>
      <c r="B2980" s="5" t="s">
        <v>34</v>
      </c>
      <c r="D2980" s="5" t="s">
        <v>12978</v>
      </c>
      <c r="E2980" s="5" t="s">
        <v>20899</v>
      </c>
      <c r="F2980" s="5" t="s">
        <v>212</v>
      </c>
      <c r="G2980" s="5" t="s">
        <v>20900</v>
      </c>
      <c r="H2980" s="6" t="s">
        <v>20901</v>
      </c>
      <c r="K2980" s="5" t="s">
        <v>20854</v>
      </c>
      <c r="M2980" s="5" t="s">
        <v>20902</v>
      </c>
      <c r="N2980" s="7" t="s">
        <v>20903</v>
      </c>
      <c r="O2980" s="8" t="str">
        <f>HYPERLINK("https://drive.google.com/file/d/1jGCwXEveBBdVEjfr3V84EJqUakSt1_zF/view?usp=drivesdk","2979_YULI TRILENI _ SERTIFIKAT BerAKHLAK")</f>
        <v>2979_YULI TRILENI _ SERTIFIKAT BerAKHLAK</v>
      </c>
      <c r="P2980" s="5" t="s">
        <v>20893</v>
      </c>
    </row>
    <row r="2981">
      <c r="A2981" s="4">
        <v>45534.34248571759</v>
      </c>
      <c r="B2981" s="5" t="s">
        <v>34</v>
      </c>
      <c r="D2981" s="5" t="s">
        <v>580</v>
      </c>
      <c r="E2981" s="5" t="s">
        <v>20904</v>
      </c>
      <c r="F2981" s="5" t="s">
        <v>212</v>
      </c>
      <c r="G2981" s="5" t="s">
        <v>20905</v>
      </c>
      <c r="H2981" s="6" t="s">
        <v>20906</v>
      </c>
      <c r="K2981" s="5" t="s">
        <v>20854</v>
      </c>
      <c r="M2981" s="5" t="s">
        <v>20907</v>
      </c>
      <c r="N2981" s="7" t="s">
        <v>20908</v>
      </c>
      <c r="O2981" s="8" t="str">
        <f>HYPERLINK("https://drive.google.com/file/d/1QQ2DjpUsaf-lFX_p_AqQlluiJuJaNzaF/view?usp=drivesdk","2980_Ni Wayan Ambari AMD Kep  _ SERTIFIKAT BerAKHLAK")</f>
        <v>2980_Ni Wayan Ambari AMD Kep  _ SERTIFIKAT BerAKHLAK</v>
      </c>
      <c r="P2981" s="5" t="s">
        <v>20909</v>
      </c>
    </row>
    <row r="2982">
      <c r="A2982" s="4">
        <v>45534.3424893287</v>
      </c>
      <c r="B2982" s="5" t="s">
        <v>34</v>
      </c>
      <c r="D2982" s="5" t="s">
        <v>7858</v>
      </c>
      <c r="E2982" s="5" t="s">
        <v>20910</v>
      </c>
      <c r="F2982" s="5" t="s">
        <v>375</v>
      </c>
      <c r="G2982" s="5" t="s">
        <v>20911</v>
      </c>
      <c r="H2982" s="6" t="s">
        <v>20912</v>
      </c>
      <c r="K2982" s="5" t="s">
        <v>20854</v>
      </c>
      <c r="M2982" s="5" t="s">
        <v>20913</v>
      </c>
      <c r="N2982" s="7" t="s">
        <v>20914</v>
      </c>
      <c r="O2982" s="8" t="str">
        <f>HYPERLINK("https://drive.google.com/file/d/1b258UjmUfBU-lueK235G6xyFTz7S1tMo/view?usp=drivesdk","2981_FAHRUROZI, S.Kom _ SERTIFIKAT BerAKHLAK")</f>
        <v>2981_FAHRUROZI, S.Kom _ SERTIFIKAT BerAKHLAK</v>
      </c>
      <c r="P2982" s="5" t="s">
        <v>20909</v>
      </c>
    </row>
    <row r="2983">
      <c r="A2983" s="4">
        <v>45534.34249646991</v>
      </c>
      <c r="B2983" s="5" t="s">
        <v>34</v>
      </c>
      <c r="D2983" s="5" t="s">
        <v>4775</v>
      </c>
      <c r="E2983" s="5" t="s">
        <v>20915</v>
      </c>
      <c r="F2983" s="5" t="s">
        <v>715</v>
      </c>
      <c r="G2983" s="5" t="s">
        <v>20916</v>
      </c>
      <c r="H2983" s="6" t="s">
        <v>20917</v>
      </c>
      <c r="K2983" s="5" t="s">
        <v>20854</v>
      </c>
      <c r="M2983" s="5" t="s">
        <v>20918</v>
      </c>
      <c r="N2983" s="7" t="s">
        <v>20919</v>
      </c>
      <c r="O2983" s="8" t="str">
        <f>HYPERLINK("https://drive.google.com/file/d/1ERtB2iVBo8wXz1y8ySrd3glqS0crPzxS/view?usp=drivesdk","2982_EXCHA FITRIYAH HANDAYANI,S.E _ SERTIFIKAT BerAKHLAK")</f>
        <v>2982_EXCHA FITRIYAH HANDAYANI,S.E _ SERTIFIKAT BerAKHLAK</v>
      </c>
      <c r="P2983" s="5" t="s">
        <v>20909</v>
      </c>
    </row>
    <row r="2984">
      <c r="A2984" s="4">
        <v>45534.34250377315</v>
      </c>
      <c r="B2984" s="5" t="s">
        <v>34</v>
      </c>
      <c r="D2984" s="5" t="s">
        <v>1206</v>
      </c>
      <c r="E2984" s="5" t="s">
        <v>20920</v>
      </c>
      <c r="F2984" s="5" t="s">
        <v>37</v>
      </c>
      <c r="G2984" s="5" t="s">
        <v>20921</v>
      </c>
      <c r="H2984" s="6" t="s">
        <v>20922</v>
      </c>
      <c r="I2984" s="7" t="s">
        <v>20923</v>
      </c>
      <c r="J2984" s="8" t="str">
        <f>HYPERLINK("https://drive.google.com/file/d/1macXzyp17Jzf4L3DCNnt59H1gTZPa1n3/view?usp=drivesdk","YUDI SANTOSA  SERTIFIKAT BerAKHLAK")</f>
        <v>YUDI SANTOSA  SERTIFIKAT BerAKHLAK</v>
      </c>
      <c r="K2984" s="5" t="s">
        <v>18691</v>
      </c>
      <c r="L2984" s="5" t="s">
        <v>20924</v>
      </c>
      <c r="M2984" s="5" t="s">
        <v>20925</v>
      </c>
      <c r="N2984" s="7" t="s">
        <v>20926</v>
      </c>
      <c r="O2984" s="8" t="str">
        <f>HYPERLINK("https://drive.google.com/file/d/1ryi27dLSy6yyi-2kBUTX6cNXL7O9AqLz/view?usp=drivesdk","2983_YUDI SANTOSA  _ SERTIFIKAT BerAKHLAK")</f>
        <v>2983_YUDI SANTOSA  _ SERTIFIKAT BerAKHLAK</v>
      </c>
      <c r="P2984" s="5" t="s">
        <v>20927</v>
      </c>
    </row>
    <row r="2985">
      <c r="A2985" s="4">
        <v>45534.34250798611</v>
      </c>
      <c r="B2985" s="5" t="s">
        <v>34</v>
      </c>
      <c r="D2985" s="5" t="s">
        <v>6232</v>
      </c>
      <c r="E2985" s="5" t="s">
        <v>20928</v>
      </c>
      <c r="F2985" s="5" t="s">
        <v>37</v>
      </c>
      <c r="G2985" s="5" t="s">
        <v>20929</v>
      </c>
      <c r="H2985" s="6" t="s">
        <v>20930</v>
      </c>
      <c r="K2985" s="5" t="s">
        <v>20931</v>
      </c>
      <c r="M2985" s="5" t="s">
        <v>20932</v>
      </c>
      <c r="N2985" s="7" t="s">
        <v>20933</v>
      </c>
      <c r="O2985" s="8" t="str">
        <f>HYPERLINK("https://drive.google.com/file/d/1DzYoDoTj7zWO-vvRx5fiMtnMcc6-s4RB/view?usp=drivesdk","2984_FITRI YANTI, AM KEP  _ SERTIFIKAT BerAKHLAK")</f>
        <v>2984_FITRI YANTI, AM KEP  _ SERTIFIKAT BerAKHLAK</v>
      </c>
      <c r="P2985" s="5" t="s">
        <v>20927</v>
      </c>
    </row>
    <row r="2986" hidden="1">
      <c r="A2986" s="4">
        <v>45534.34251011574</v>
      </c>
      <c r="B2986" s="5" t="s">
        <v>19</v>
      </c>
      <c r="C2986" s="5" t="s">
        <v>292</v>
      </c>
      <c r="E2986" s="5" t="s">
        <v>20934</v>
      </c>
      <c r="F2986" s="5" t="s">
        <v>375</v>
      </c>
      <c r="G2986" s="5" t="s">
        <v>20935</v>
      </c>
      <c r="H2986" s="6" t="s">
        <v>20936</v>
      </c>
      <c r="K2986" s="5" t="s">
        <v>20931</v>
      </c>
      <c r="M2986" s="5" t="s">
        <v>20937</v>
      </c>
      <c r="N2986" s="7" t="s">
        <v>20938</v>
      </c>
      <c r="O2986" s="8" t="str">
        <f>HYPERLINK("https://drive.google.com/file/d/14_GsjGoRFRQVNgtwhK4oGM8WEYWi1jIk/view?usp=drivesdk","2985_RUHENDI,S.PD.,M.SI _ SERTIFIKAT BerAKHLAK")</f>
        <v>2985_RUHENDI,S.PD.,M.SI _ SERTIFIKAT BerAKHLAK</v>
      </c>
      <c r="P2986" s="5" t="s">
        <v>20927</v>
      </c>
    </row>
    <row r="2987">
      <c r="A2987" s="4">
        <v>45534.342510208335</v>
      </c>
      <c r="B2987" s="5" t="s">
        <v>34</v>
      </c>
      <c r="D2987" s="5" t="s">
        <v>12978</v>
      </c>
      <c r="E2987" s="5" t="s">
        <v>20939</v>
      </c>
      <c r="F2987" s="5" t="s">
        <v>524</v>
      </c>
      <c r="G2987" s="5" t="s">
        <v>20940</v>
      </c>
      <c r="H2987" s="6" t="s">
        <v>20941</v>
      </c>
      <c r="K2987" s="5" t="s">
        <v>20931</v>
      </c>
      <c r="M2987" s="5" t="s">
        <v>20942</v>
      </c>
      <c r="N2987" s="7" t="s">
        <v>20943</v>
      </c>
      <c r="O2987" s="8" t="str">
        <f>HYPERLINK("https://drive.google.com/file/d/1HWmXRU_i0MJykRJAGOHbqrp0IXYDQstZ/view?usp=drivesdk","2986_ARMIN HIDAYAT, S.E. _ SERTIFIKAT BerAKHLAK")</f>
        <v>2986_ARMIN HIDAYAT, S.E. _ SERTIFIKAT BerAKHLAK</v>
      </c>
      <c r="P2987" s="5" t="s">
        <v>20927</v>
      </c>
    </row>
    <row r="2988" hidden="1">
      <c r="A2988" s="4">
        <v>45534.34251511574</v>
      </c>
      <c r="B2988" s="5" t="s">
        <v>19</v>
      </c>
      <c r="C2988" s="5" t="s">
        <v>292</v>
      </c>
      <c r="E2988" s="5" t="s">
        <v>20944</v>
      </c>
      <c r="F2988" s="5" t="s">
        <v>524</v>
      </c>
      <c r="G2988" s="5" t="s">
        <v>20945</v>
      </c>
      <c r="H2988" s="6" t="s">
        <v>20946</v>
      </c>
      <c r="K2988" s="5" t="s">
        <v>20931</v>
      </c>
      <c r="M2988" s="5" t="s">
        <v>20947</v>
      </c>
      <c r="N2988" s="7" t="s">
        <v>20948</v>
      </c>
      <c r="O2988" s="8" t="str">
        <f>HYPERLINK("https://drive.google.com/file/d/1pLlmgTJt5Ms3_KbwKvc1V6h_j-3LlT9a/view?usp=drivesdk","2987_NURMAWATI  _ SERTIFIKAT BerAKHLAK")</f>
        <v>2987_NURMAWATI  _ SERTIFIKAT BerAKHLAK</v>
      </c>
      <c r="P2988" s="5" t="s">
        <v>20927</v>
      </c>
    </row>
    <row r="2989">
      <c r="A2989" s="4">
        <v>45534.342517349534</v>
      </c>
      <c r="B2989" s="5" t="s">
        <v>34</v>
      </c>
      <c r="D2989" s="5" t="s">
        <v>1206</v>
      </c>
      <c r="E2989" s="5" t="s">
        <v>20949</v>
      </c>
      <c r="F2989" s="5" t="s">
        <v>212</v>
      </c>
      <c r="G2989" s="5" t="s">
        <v>20950</v>
      </c>
      <c r="H2989" s="6" t="s">
        <v>20951</v>
      </c>
      <c r="K2989" s="5" t="s">
        <v>20931</v>
      </c>
      <c r="M2989" s="5" t="s">
        <v>20952</v>
      </c>
      <c r="N2989" s="7" t="s">
        <v>20953</v>
      </c>
      <c r="O2989" s="8" t="str">
        <f>HYPERLINK("https://drive.google.com/file/d/1EC6y2qToiIcGwYHYR1dwTRMtZ9TD6qWS/view?usp=drivesdk","2988_SUWARNI _ SERTIFIKAT BerAKHLAK")</f>
        <v>2988_SUWARNI _ SERTIFIKAT BerAKHLAK</v>
      </c>
      <c r="P2989" s="5" t="s">
        <v>20927</v>
      </c>
    </row>
    <row r="2990">
      <c r="A2990" s="4">
        <v>45534.3425231713</v>
      </c>
      <c r="B2990" s="5" t="s">
        <v>34</v>
      </c>
      <c r="D2990" s="5" t="s">
        <v>11527</v>
      </c>
      <c r="E2990" s="5" t="s">
        <v>20954</v>
      </c>
      <c r="F2990" s="5" t="s">
        <v>375</v>
      </c>
      <c r="G2990" s="5" t="s">
        <v>20955</v>
      </c>
      <c r="H2990" s="6" t="s">
        <v>20956</v>
      </c>
      <c r="K2990" s="5" t="s">
        <v>20931</v>
      </c>
      <c r="M2990" s="5" t="s">
        <v>20957</v>
      </c>
      <c r="N2990" s="7" t="s">
        <v>20958</v>
      </c>
      <c r="O2990" s="8" t="str">
        <f>HYPERLINK("https://drive.google.com/file/d/1xOvK1DmO3d1poznqf4hBwPYFp_vPzymz/view?usp=drivesdk","2989_NENI MASYE MOKOGINTA  _ SERTIFIKAT BerAKHLAK")</f>
        <v>2989_NENI MASYE MOKOGINTA  _ SERTIFIKAT BerAKHLAK</v>
      </c>
      <c r="P2990" s="5" t="s">
        <v>20959</v>
      </c>
    </row>
    <row r="2991">
      <c r="A2991" s="4">
        <v>45534.34252578704</v>
      </c>
      <c r="B2991" s="5" t="s">
        <v>34</v>
      </c>
      <c r="D2991" s="5" t="s">
        <v>35</v>
      </c>
      <c r="E2991" s="5" t="s">
        <v>20960</v>
      </c>
      <c r="F2991" s="5" t="s">
        <v>37</v>
      </c>
      <c r="G2991" s="5" t="s">
        <v>20961</v>
      </c>
      <c r="H2991" s="6" t="s">
        <v>20962</v>
      </c>
      <c r="K2991" s="5" t="s">
        <v>20931</v>
      </c>
      <c r="M2991" s="5" t="s">
        <v>20963</v>
      </c>
      <c r="N2991" s="7" t="s">
        <v>20964</v>
      </c>
      <c r="O2991" s="8" t="str">
        <f>HYPERLINK("https://drive.google.com/file/d/1aOI34otFRQb_UjhbcyPpLj6LXFCcQ9tV/view?usp=drivesdk","2990_ROJAK SDM _ SERTIFIKAT BerAKHLAK")</f>
        <v>2990_ROJAK SDM _ SERTIFIKAT BerAKHLAK</v>
      </c>
      <c r="P2991" s="5" t="s">
        <v>20959</v>
      </c>
    </row>
    <row r="2992">
      <c r="A2992" s="4">
        <v>45534.34252814815</v>
      </c>
      <c r="B2992" s="5" t="s">
        <v>34</v>
      </c>
      <c r="D2992" s="5" t="s">
        <v>12978</v>
      </c>
      <c r="E2992" s="5" t="s">
        <v>20965</v>
      </c>
      <c r="F2992" s="5" t="s">
        <v>212</v>
      </c>
      <c r="G2992" s="5" t="s">
        <v>20966</v>
      </c>
      <c r="H2992" s="6" t="s">
        <v>20967</v>
      </c>
      <c r="K2992" s="5" t="s">
        <v>20931</v>
      </c>
      <c r="M2992" s="5" t="s">
        <v>20968</v>
      </c>
      <c r="N2992" s="7" t="s">
        <v>20969</v>
      </c>
      <c r="O2992" s="8" t="str">
        <f>HYPERLINK("https://drive.google.com/file/d/1nnyqQME26ybSkeSs4nIaprpqQ7lgqEuD/view?usp=drivesdk","2991_HUSNANI _ SERTIFIKAT BerAKHLAK")</f>
        <v>2991_HUSNANI _ SERTIFIKAT BerAKHLAK</v>
      </c>
      <c r="P2992" s="5" t="s">
        <v>20959</v>
      </c>
    </row>
    <row r="2993">
      <c r="A2993" s="4">
        <v>45534.34253324074</v>
      </c>
      <c r="B2993" s="5" t="s">
        <v>34</v>
      </c>
      <c r="D2993" s="5" t="s">
        <v>12978</v>
      </c>
      <c r="E2993" s="5" t="s">
        <v>20970</v>
      </c>
      <c r="F2993" s="5" t="s">
        <v>108</v>
      </c>
      <c r="G2993" s="5" t="s">
        <v>20971</v>
      </c>
      <c r="H2993" s="6" t="s">
        <v>20972</v>
      </c>
      <c r="K2993" s="5" t="s">
        <v>20931</v>
      </c>
      <c r="M2993" s="5" t="s">
        <v>20973</v>
      </c>
      <c r="N2993" s="7" t="s">
        <v>20974</v>
      </c>
      <c r="O2993" s="8" t="str">
        <f>HYPERLINK("https://drive.google.com/file/d/1i4wXRbhMoIhSuiSIpAObVo8AHsy0ZU8o/view?usp=drivesdk","2992_INDRIANI _ SERTIFIKAT BerAKHLAK")</f>
        <v>2992_INDRIANI _ SERTIFIKAT BerAKHLAK</v>
      </c>
      <c r="P2993" s="5" t="s">
        <v>20959</v>
      </c>
    </row>
    <row r="2994">
      <c r="A2994" s="4">
        <v>45534.34253849537</v>
      </c>
      <c r="B2994" s="5" t="s">
        <v>34</v>
      </c>
      <c r="D2994" s="5" t="s">
        <v>4775</v>
      </c>
      <c r="E2994" s="5" t="s">
        <v>20975</v>
      </c>
      <c r="F2994" s="5" t="s">
        <v>212</v>
      </c>
      <c r="G2994" s="5" t="s">
        <v>20976</v>
      </c>
      <c r="H2994" s="6" t="s">
        <v>20977</v>
      </c>
      <c r="K2994" s="5" t="s">
        <v>20931</v>
      </c>
      <c r="M2994" s="5" t="s">
        <v>20978</v>
      </c>
      <c r="N2994" s="7" t="s">
        <v>20979</v>
      </c>
      <c r="O2994" s="8" t="str">
        <f>HYPERLINK("https://drive.google.com/file/d/1c9Vjr5qjXkVW3FlFjqEd136g_yYVwv2C/view?usp=drivesdk","2993_SUDARMI _ SERTIFIKAT BerAKHLAK")</f>
        <v>2993_SUDARMI _ SERTIFIKAT BerAKHLAK</v>
      </c>
      <c r="P2994" s="5" t="s">
        <v>20959</v>
      </c>
    </row>
    <row r="2995">
      <c r="A2995" s="4">
        <v>45534.342539074074</v>
      </c>
      <c r="B2995" s="5" t="s">
        <v>34</v>
      </c>
      <c r="D2995" s="5" t="s">
        <v>35</v>
      </c>
      <c r="E2995" s="5" t="s">
        <v>20980</v>
      </c>
      <c r="F2995" s="5" t="s">
        <v>524</v>
      </c>
      <c r="G2995" s="5" t="s">
        <v>20981</v>
      </c>
      <c r="H2995" s="6" t="s">
        <v>20982</v>
      </c>
      <c r="K2995" s="5" t="s">
        <v>20931</v>
      </c>
      <c r="M2995" s="5" t="s">
        <v>20983</v>
      </c>
      <c r="N2995" s="7" t="s">
        <v>20984</v>
      </c>
      <c r="O2995" s="8" t="str">
        <f>HYPERLINK("https://drive.google.com/file/d/1X5mfsW8IYB3WpNzXV0pRwm57UtAmaPrV/view?usp=drivesdk","2994_ENI HARYANI,AMK _ SERTIFIKAT BerAKHLAK")</f>
        <v>2994_ENI HARYANI,AMK _ SERTIFIKAT BerAKHLAK</v>
      </c>
      <c r="P2995" s="5" t="s">
        <v>20959</v>
      </c>
    </row>
    <row r="2996">
      <c r="A2996" s="4">
        <v>45534.342548078705</v>
      </c>
      <c r="B2996" s="5" t="s">
        <v>34</v>
      </c>
      <c r="D2996" s="5" t="s">
        <v>4775</v>
      </c>
      <c r="E2996" s="5" t="s">
        <v>20985</v>
      </c>
      <c r="F2996" s="5" t="s">
        <v>212</v>
      </c>
      <c r="G2996" s="5" t="s">
        <v>20986</v>
      </c>
      <c r="H2996" s="6" t="s">
        <v>20987</v>
      </c>
      <c r="K2996" s="5" t="s">
        <v>20931</v>
      </c>
      <c r="M2996" s="5" t="s">
        <v>20988</v>
      </c>
      <c r="N2996" s="7" t="s">
        <v>20989</v>
      </c>
      <c r="O2996" s="8" t="str">
        <f>HYPERLINK("https://drive.google.com/file/d/1PHs04euzMb3lzqyufXLWObbWYzgL30mV/view?usp=drivesdk","2995_TEGUH HARIADI _ SERTIFIKAT BerAKHLAK")</f>
        <v>2995_TEGUH HARIADI _ SERTIFIKAT BerAKHLAK</v>
      </c>
      <c r="P2996" s="5" t="s">
        <v>20990</v>
      </c>
    </row>
    <row r="2997" hidden="1">
      <c r="A2997" s="4">
        <v>45534.342548333334</v>
      </c>
      <c r="B2997" s="5" t="s">
        <v>19</v>
      </c>
      <c r="C2997" s="5" t="s">
        <v>1498</v>
      </c>
      <c r="E2997" s="5" t="s">
        <v>20991</v>
      </c>
      <c r="F2997" s="5" t="s">
        <v>37</v>
      </c>
      <c r="G2997" s="5" t="s">
        <v>20992</v>
      </c>
      <c r="H2997" s="6" t="s">
        <v>20993</v>
      </c>
      <c r="K2997" s="5" t="s">
        <v>20931</v>
      </c>
      <c r="M2997" s="5" t="s">
        <v>20994</v>
      </c>
      <c r="N2997" s="7" t="s">
        <v>20995</v>
      </c>
      <c r="O2997" s="8" t="str">
        <f>HYPERLINK("https://drive.google.com/file/d/1scG_Bbm-5MFSUlowGILE7LFL2E4XE7I4/view?usp=drivesdk","2996_RAKHMADI ARDIANTO _ SERTIFIKAT BerAKHLAK")</f>
        <v>2996_RAKHMADI ARDIANTO _ SERTIFIKAT BerAKHLAK</v>
      </c>
      <c r="P2997" s="5" t="s">
        <v>20990</v>
      </c>
    </row>
    <row r="2998">
      <c r="A2998" s="4">
        <v>45534.34255998842</v>
      </c>
      <c r="B2998" s="5" t="s">
        <v>34</v>
      </c>
      <c r="D2998" s="5" t="s">
        <v>9020</v>
      </c>
      <c r="E2998" s="5" t="s">
        <v>20996</v>
      </c>
      <c r="F2998" s="5" t="s">
        <v>212</v>
      </c>
      <c r="G2998" s="5" t="s">
        <v>20997</v>
      </c>
      <c r="H2998" s="6" t="s">
        <v>20998</v>
      </c>
      <c r="I2998" s="7" t="s">
        <v>20999</v>
      </c>
      <c r="J2998" s="8" t="str">
        <f>HYPERLINK("https://drive.google.com/file/d/1RMEAkfdYQo5YILx7eDPYifRbTknxgsjC/view?usp=drivesdk","MARIONO SERTIFIKAT BerAKHLAK")</f>
        <v>MARIONO SERTIFIKAT BerAKHLAK</v>
      </c>
      <c r="K2998" s="5" t="s">
        <v>18691</v>
      </c>
      <c r="L2998" s="5" t="s">
        <v>21000</v>
      </c>
      <c r="M2998" s="5" t="s">
        <v>21001</v>
      </c>
      <c r="N2998" s="7" t="s">
        <v>21002</v>
      </c>
      <c r="O2998" s="8" t="str">
        <f>HYPERLINK("https://drive.google.com/file/d/1fR9LiSuYXYZC27JO4pYHM3NPfxXQRpxH/view?usp=drivesdk","2997_MARIONO _ SERTIFIKAT BerAKHLAK")</f>
        <v>2997_MARIONO _ SERTIFIKAT BerAKHLAK</v>
      </c>
      <c r="P2998" s="5" t="s">
        <v>20990</v>
      </c>
    </row>
    <row r="2999">
      <c r="A2999" s="4">
        <v>45534.34256160879</v>
      </c>
      <c r="B2999" s="5" t="s">
        <v>34</v>
      </c>
      <c r="D2999" s="5" t="s">
        <v>4775</v>
      </c>
      <c r="E2999" s="5" t="s">
        <v>21003</v>
      </c>
      <c r="F2999" s="5" t="s">
        <v>108</v>
      </c>
      <c r="G2999" s="5" t="s">
        <v>21004</v>
      </c>
      <c r="H2999" s="6" t="s">
        <v>21005</v>
      </c>
      <c r="K2999" s="5" t="s">
        <v>21006</v>
      </c>
      <c r="M2999" s="5" t="s">
        <v>21007</v>
      </c>
      <c r="N2999" s="7" t="s">
        <v>21008</v>
      </c>
      <c r="O2999" s="8" t="str">
        <f>HYPERLINK("https://drive.google.com/file/d/1VEGkmE8xLEyYGBfifYNe2AYoXrGHiu5J/view?usp=drivesdk","2998_DEWI MURFATIAH, S. Kep _ SERTIFIKAT BerAKHLAK")</f>
        <v>2998_DEWI MURFATIAH, S. Kep _ SERTIFIKAT BerAKHLAK</v>
      </c>
      <c r="P2999" s="5" t="s">
        <v>20990</v>
      </c>
    </row>
    <row r="3000">
      <c r="A3000" s="4">
        <v>45534.34258041666</v>
      </c>
      <c r="B3000" s="5" t="s">
        <v>34</v>
      </c>
      <c r="D3000" s="5" t="s">
        <v>9020</v>
      </c>
      <c r="E3000" s="5" t="s">
        <v>21009</v>
      </c>
      <c r="F3000" s="5" t="s">
        <v>37</v>
      </c>
      <c r="G3000" s="5" t="s">
        <v>21010</v>
      </c>
      <c r="H3000" s="6" t="s">
        <v>21011</v>
      </c>
      <c r="K3000" s="5" t="s">
        <v>21006</v>
      </c>
      <c r="M3000" s="5" t="s">
        <v>21012</v>
      </c>
      <c r="N3000" s="7" t="s">
        <v>21013</v>
      </c>
      <c r="O3000" s="8" t="str">
        <f>HYPERLINK("https://drive.google.com/file/d/1Wpz2liMM5mUez2a2GIXpDWJH0b5WQKag/view?usp=drivesdk","2999_ANGGUN INA LESTARI PASARIBU, SH _ SERTIFIKAT BerAKHLAK")</f>
        <v>2999_ANGGUN INA LESTARI PASARIBU, SH _ SERTIFIKAT BerAKHLAK</v>
      </c>
      <c r="P3000" s="5" t="s">
        <v>20990</v>
      </c>
    </row>
    <row r="3001">
      <c r="A3001" s="4">
        <v>45534.34259071759</v>
      </c>
      <c r="B3001" s="5" t="s">
        <v>34</v>
      </c>
      <c r="D3001" s="5" t="s">
        <v>10444</v>
      </c>
      <c r="E3001" s="5" t="s">
        <v>21014</v>
      </c>
      <c r="F3001" s="5" t="s">
        <v>375</v>
      </c>
      <c r="G3001" s="5" t="s">
        <v>21015</v>
      </c>
      <c r="H3001" s="6" t="s">
        <v>21016</v>
      </c>
      <c r="K3001" s="5" t="s">
        <v>21006</v>
      </c>
      <c r="M3001" s="5" t="s">
        <v>21017</v>
      </c>
      <c r="N3001" s="7" t="s">
        <v>21018</v>
      </c>
      <c r="O3001" s="8" t="str">
        <f>HYPERLINK("https://drive.google.com/file/d/1o82S3ng4wrIlxUSw9-kYbnib5Q9qBmzd/view?usp=drivesdk","3000_LESI YANUARSI _ SERTIFIKAT BerAKHLAK")</f>
        <v>3000_LESI YANUARSI _ SERTIFIKAT BerAKHLAK</v>
      </c>
      <c r="P3001" s="5" t="s">
        <v>21019</v>
      </c>
    </row>
    <row r="3002">
      <c r="A3002" s="4">
        <v>45534.34259105324</v>
      </c>
      <c r="B3002" s="5" t="s">
        <v>34</v>
      </c>
      <c r="D3002" s="5" t="s">
        <v>996</v>
      </c>
      <c r="E3002" s="5" t="s">
        <v>21020</v>
      </c>
      <c r="F3002" s="5" t="s">
        <v>108</v>
      </c>
      <c r="G3002" s="5" t="s">
        <v>21021</v>
      </c>
      <c r="H3002" s="6" t="s">
        <v>21022</v>
      </c>
      <c r="K3002" s="5" t="s">
        <v>21023</v>
      </c>
      <c r="M3002" s="5" t="s">
        <v>21024</v>
      </c>
      <c r="N3002" s="7" t="s">
        <v>21025</v>
      </c>
      <c r="O3002" s="8" t="str">
        <f>HYPERLINK("https://drive.google.com/file/d/1XCLL3vl-A5Vdjf5NspSzO1Vx0bdZUC0H/view?usp=drivesdk","3001_KHALIDAH, S.E. _ SERTIFIKAT BerAKHLAK")</f>
        <v>3001_KHALIDAH, S.E. _ SERTIFIKAT BerAKHLAK</v>
      </c>
      <c r="P3002" s="5" t="s">
        <v>21019</v>
      </c>
    </row>
    <row r="3003">
      <c r="A3003" s="4">
        <v>45534.342599131945</v>
      </c>
      <c r="B3003" s="5" t="s">
        <v>34</v>
      </c>
      <c r="D3003" s="5" t="s">
        <v>975</v>
      </c>
      <c r="E3003" s="5" t="s">
        <v>21026</v>
      </c>
      <c r="F3003" s="5" t="s">
        <v>37</v>
      </c>
      <c r="G3003" s="5" t="s">
        <v>21027</v>
      </c>
      <c r="H3003" s="6" t="s">
        <v>21028</v>
      </c>
      <c r="K3003" s="5" t="s">
        <v>21023</v>
      </c>
      <c r="M3003" s="5" t="s">
        <v>21029</v>
      </c>
      <c r="N3003" s="7" t="s">
        <v>21030</v>
      </c>
      <c r="O3003" s="8" t="str">
        <f>HYPERLINK("https://drive.google.com/file/d/1IjQTEXbenwdBYBb2JaWGeP8dAwAHq8Qn/view?usp=drivesdk","3002_KARTIKA SARI, AMd.Keb _ SERTIFIKAT BerAKHLAK")</f>
        <v>3002_KARTIKA SARI, AMd.Keb _ SERTIFIKAT BerAKHLAK</v>
      </c>
      <c r="P3003" s="5" t="s">
        <v>21019</v>
      </c>
    </row>
    <row r="3004" hidden="1">
      <c r="A3004" s="4">
        <v>45534.34259818287</v>
      </c>
      <c r="B3004" s="5" t="s">
        <v>19</v>
      </c>
      <c r="C3004" s="5" t="s">
        <v>292</v>
      </c>
      <c r="E3004" s="5" t="s">
        <v>21031</v>
      </c>
      <c r="F3004" s="5" t="s">
        <v>37</v>
      </c>
      <c r="G3004" s="5" t="s">
        <v>21032</v>
      </c>
      <c r="H3004" s="6" t="s">
        <v>21033</v>
      </c>
      <c r="K3004" s="5" t="s">
        <v>21023</v>
      </c>
      <c r="M3004" s="5" t="s">
        <v>21034</v>
      </c>
      <c r="N3004" s="7" t="s">
        <v>21035</v>
      </c>
      <c r="O3004" s="8" t="str">
        <f>HYPERLINK("https://drive.google.com/file/d/1sevlscSDAID-dnF_6crT2r-Gn-F4dyt_/view?usp=drivesdk","3003_ARY EKA PRASETYA, AMK _ SERTIFIKAT BerAKHLAK")</f>
        <v>3003_ARY EKA PRASETYA, AMK _ SERTIFIKAT BerAKHLAK</v>
      </c>
      <c r="P3004" s="5" t="s">
        <v>21019</v>
      </c>
    </row>
    <row r="3005">
      <c r="A3005" s="4">
        <v>45534.34260311343</v>
      </c>
      <c r="B3005" s="5" t="s">
        <v>34</v>
      </c>
      <c r="D3005" s="5" t="s">
        <v>1206</v>
      </c>
      <c r="E3005" s="5" t="s">
        <v>21036</v>
      </c>
      <c r="F3005" s="5" t="s">
        <v>375</v>
      </c>
      <c r="G3005" s="5" t="s">
        <v>21037</v>
      </c>
      <c r="H3005" s="6" t="s">
        <v>21038</v>
      </c>
      <c r="K3005" s="5" t="s">
        <v>21023</v>
      </c>
      <c r="M3005" s="5" t="s">
        <v>21039</v>
      </c>
      <c r="N3005" s="7" t="s">
        <v>21040</v>
      </c>
      <c r="O3005" s="8" t="str">
        <f>HYPERLINK("https://drive.google.com/file/d/1KBEpNaN82UY-itWHpGBxKiiK6m0k8yst/view?usp=drivesdk","3004_RUSMINI, S. Sos.,M.MPd _ SERTIFIKAT BerAKHLAK")</f>
        <v>3004_RUSMINI, S. Sos.,M.MPd _ SERTIFIKAT BerAKHLAK</v>
      </c>
      <c r="P3005" s="5" t="s">
        <v>21041</v>
      </c>
    </row>
    <row r="3006">
      <c r="A3006" s="4">
        <v>45534.34260420139</v>
      </c>
      <c r="B3006" s="5" t="s">
        <v>34</v>
      </c>
      <c r="D3006" s="5" t="s">
        <v>996</v>
      </c>
      <c r="E3006" s="5" t="s">
        <v>21042</v>
      </c>
      <c r="F3006" s="5" t="s">
        <v>72</v>
      </c>
      <c r="G3006" s="5" t="s">
        <v>21043</v>
      </c>
      <c r="H3006" s="6" t="s">
        <v>21044</v>
      </c>
      <c r="K3006" s="5" t="s">
        <v>21023</v>
      </c>
      <c r="M3006" s="5" t="s">
        <v>21045</v>
      </c>
      <c r="N3006" s="7" t="s">
        <v>21046</v>
      </c>
      <c r="O3006" s="8" t="str">
        <f>HYPERLINK("https://drive.google.com/file/d/1prAMSMcUAz1s46UbZnct5u_oOFMnqiVx/view?usp=drivesdk","3005_ELLY SUDRIANINGSIH, S.Sos _ SERTIFIKAT BerAKHLAK")</f>
        <v>3005_ELLY SUDRIANINGSIH, S.Sos _ SERTIFIKAT BerAKHLAK</v>
      </c>
      <c r="P3006" s="5" t="s">
        <v>21047</v>
      </c>
    </row>
    <row r="3007">
      <c r="A3007" s="4">
        <v>45534.34261049768</v>
      </c>
      <c r="B3007" s="5" t="s">
        <v>34</v>
      </c>
      <c r="D3007" s="5" t="s">
        <v>4775</v>
      </c>
      <c r="E3007" s="5" t="s">
        <v>21048</v>
      </c>
      <c r="F3007" s="5" t="s">
        <v>212</v>
      </c>
      <c r="G3007" s="5" t="s">
        <v>21049</v>
      </c>
      <c r="H3007" s="6" t="s">
        <v>21050</v>
      </c>
      <c r="K3007" s="5" t="s">
        <v>21023</v>
      </c>
      <c r="M3007" s="5" t="s">
        <v>21051</v>
      </c>
      <c r="N3007" s="7" t="s">
        <v>21052</v>
      </c>
      <c r="O3007" s="8" t="str">
        <f>HYPERLINK("https://drive.google.com/file/d/1MYm-bJ1RwEG8Fcdg9xEGDAvpPUz_kt24/view?usp=drivesdk","3006_TARSONO _ SERTIFIKAT BerAKHLAK")</f>
        <v>3006_TARSONO _ SERTIFIKAT BerAKHLAK</v>
      </c>
      <c r="P3007" s="5" t="s">
        <v>21047</v>
      </c>
    </row>
    <row r="3008">
      <c r="A3008" s="4">
        <v>45534.34261891204</v>
      </c>
      <c r="B3008" s="5" t="s">
        <v>34</v>
      </c>
      <c r="D3008" s="5" t="s">
        <v>996</v>
      </c>
      <c r="E3008" s="5" t="s">
        <v>21053</v>
      </c>
      <c r="F3008" s="5" t="s">
        <v>37</v>
      </c>
      <c r="G3008" s="5" t="s">
        <v>21054</v>
      </c>
      <c r="H3008" s="6" t="s">
        <v>21055</v>
      </c>
      <c r="K3008" s="5" t="s">
        <v>21023</v>
      </c>
      <c r="M3008" s="5" t="s">
        <v>21056</v>
      </c>
      <c r="N3008" s="7" t="s">
        <v>21057</v>
      </c>
      <c r="O3008" s="8" t="str">
        <f>HYPERLINK("https://drive.google.com/file/d/1O2eVM68tAjxSv3mGj8zCNsmgtz5Z34R-/view?usp=drivesdk","3007_PENGATUR PRIYO _ SERTIFIKAT BerAKHLAK")</f>
        <v>3007_PENGATUR PRIYO _ SERTIFIKAT BerAKHLAK</v>
      </c>
      <c r="P3008" s="5" t="s">
        <v>21047</v>
      </c>
    </row>
    <row r="3009">
      <c r="A3009" s="4">
        <v>45534.3426210301</v>
      </c>
      <c r="B3009" s="5" t="s">
        <v>34</v>
      </c>
      <c r="D3009" s="5" t="s">
        <v>4775</v>
      </c>
      <c r="E3009" s="5" t="s">
        <v>21058</v>
      </c>
      <c r="F3009" s="5" t="s">
        <v>37</v>
      </c>
      <c r="G3009" s="5" t="s">
        <v>21059</v>
      </c>
      <c r="H3009" s="6" t="s">
        <v>21060</v>
      </c>
      <c r="K3009" s="5" t="s">
        <v>21061</v>
      </c>
      <c r="M3009" s="5" t="s">
        <v>21062</v>
      </c>
      <c r="N3009" s="7" t="s">
        <v>21063</v>
      </c>
      <c r="O3009" s="8" t="str">
        <f>HYPERLINK("https://drive.google.com/file/d/1iRp_399aRa7fF11D_9ggopm6apCbMcGh/view?usp=drivesdk","3008_TRI YANTO _ SERTIFIKAT BerAKHLAK")</f>
        <v>3008_TRI YANTO _ SERTIFIKAT BerAKHLAK</v>
      </c>
      <c r="P3009" s="5" t="s">
        <v>21047</v>
      </c>
    </row>
    <row r="3010">
      <c r="A3010" s="4">
        <v>45534.34262409722</v>
      </c>
      <c r="B3010" s="5" t="s">
        <v>34</v>
      </c>
      <c r="D3010" s="5" t="s">
        <v>9020</v>
      </c>
      <c r="E3010" s="5" t="s">
        <v>21064</v>
      </c>
      <c r="F3010" s="5" t="s">
        <v>108</v>
      </c>
      <c r="G3010" s="5" t="s">
        <v>21065</v>
      </c>
      <c r="H3010" s="6" t="s">
        <v>21066</v>
      </c>
      <c r="K3010" s="5" t="s">
        <v>21061</v>
      </c>
      <c r="M3010" s="5" t="s">
        <v>21067</v>
      </c>
      <c r="N3010" s="7" t="s">
        <v>21068</v>
      </c>
      <c r="O3010" s="8" t="str">
        <f>HYPERLINK("https://drive.google.com/file/d/1FvCwcwIQJhyLYffT-5C8cj2BJC3OZ3-f/view?usp=drivesdk","3009_JULIANTA BR SEMBIRING MELIALA  _ SERTIFIKAT BerAKHLAK")</f>
        <v>3009_JULIANTA BR SEMBIRING MELIALA  _ SERTIFIKAT BerAKHLAK</v>
      </c>
      <c r="P3010" s="5" t="s">
        <v>21047</v>
      </c>
    </row>
    <row r="3011">
      <c r="A3011" s="4">
        <v>45534.34263380787</v>
      </c>
      <c r="B3011" s="5" t="s">
        <v>34</v>
      </c>
      <c r="D3011" s="5" t="s">
        <v>6232</v>
      </c>
      <c r="E3011" s="5" t="s">
        <v>21069</v>
      </c>
      <c r="F3011" s="5" t="s">
        <v>375</v>
      </c>
      <c r="G3011" s="5" t="s">
        <v>21070</v>
      </c>
      <c r="H3011" s="6" t="s">
        <v>21071</v>
      </c>
      <c r="K3011" s="5" t="s">
        <v>21061</v>
      </c>
      <c r="M3011" s="5" t="s">
        <v>21072</v>
      </c>
      <c r="N3011" s="7" t="s">
        <v>21073</v>
      </c>
      <c r="O3011" s="8" t="str">
        <f>HYPERLINK("https://drive.google.com/file/d/12Ccq7IJUSB9xXoixvzwpGXzCknO8BKsk/view?usp=drivesdk","3010_SALFATRI, S.E. _ SERTIFIKAT BerAKHLAK")</f>
        <v>3010_SALFATRI, S.E. _ SERTIFIKAT BerAKHLAK</v>
      </c>
      <c r="P3011" s="5" t="s">
        <v>21074</v>
      </c>
    </row>
    <row r="3012">
      <c r="A3012" s="4">
        <v>45534.34264981482</v>
      </c>
      <c r="B3012" s="5" t="s">
        <v>34</v>
      </c>
      <c r="D3012" s="5" t="s">
        <v>1206</v>
      </c>
      <c r="E3012" s="5" t="s">
        <v>21075</v>
      </c>
      <c r="F3012" s="5" t="s">
        <v>199</v>
      </c>
      <c r="G3012" s="5" t="s">
        <v>21076</v>
      </c>
      <c r="H3012" s="6" t="s">
        <v>21077</v>
      </c>
      <c r="K3012" s="5" t="s">
        <v>19849</v>
      </c>
      <c r="M3012" s="5" t="s">
        <v>21078</v>
      </c>
      <c r="N3012" s="7" t="s">
        <v>21079</v>
      </c>
      <c r="O3012" s="8" t="str">
        <f>HYPERLINK("https://drive.google.com/file/d/1jnbVnqhd6f6mYwtYGRDbeodOlUytiFC4/view?usp=drivesdk","3011_SUNARTO, S. AP., M. AP.  _ SERTIFIKAT BerAKHLAK")</f>
        <v>3011_SUNARTO, S. AP., M. AP.  _ SERTIFIKAT BerAKHLAK</v>
      </c>
      <c r="P3012" s="5" t="s">
        <v>21074</v>
      </c>
    </row>
    <row r="3013">
      <c r="A3013" s="4">
        <v>45534.342656458335</v>
      </c>
      <c r="B3013" s="5" t="s">
        <v>34</v>
      </c>
      <c r="D3013" s="5" t="s">
        <v>580</v>
      </c>
      <c r="E3013" s="5" t="s">
        <v>21080</v>
      </c>
      <c r="F3013" s="5" t="s">
        <v>108</v>
      </c>
      <c r="G3013" s="5" t="s">
        <v>21081</v>
      </c>
      <c r="H3013" s="6" t="s">
        <v>21082</v>
      </c>
      <c r="K3013" s="5" t="s">
        <v>19849</v>
      </c>
      <c r="M3013" s="5" t="s">
        <v>21083</v>
      </c>
      <c r="N3013" s="7" t="s">
        <v>21084</v>
      </c>
      <c r="O3013" s="8" t="str">
        <f>HYPERLINK("https://drive.google.com/file/d/1Yz96nKYWH-OTYvZ_VpxzQmanNK4pu49M/view?usp=drivesdk","3012_NI NYOMAN SRI EKA _ SERTIFIKAT BerAKHLAK")</f>
        <v>3012_NI NYOMAN SRI EKA _ SERTIFIKAT BerAKHLAK</v>
      </c>
      <c r="P3013" s="5" t="s">
        <v>21074</v>
      </c>
    </row>
    <row r="3014">
      <c r="A3014" s="4">
        <v>45534.34266447916</v>
      </c>
      <c r="B3014" s="5" t="s">
        <v>34</v>
      </c>
      <c r="D3014" s="5" t="s">
        <v>9020</v>
      </c>
      <c r="E3014" s="5" t="s">
        <v>21085</v>
      </c>
      <c r="F3014" s="5" t="s">
        <v>72</v>
      </c>
      <c r="G3014" s="5" t="s">
        <v>21086</v>
      </c>
      <c r="H3014" s="6" t="s">
        <v>21087</v>
      </c>
      <c r="K3014" s="5" t="s">
        <v>21088</v>
      </c>
      <c r="M3014" s="5" t="s">
        <v>21089</v>
      </c>
      <c r="N3014" s="7" t="s">
        <v>21090</v>
      </c>
      <c r="O3014" s="8" t="str">
        <f>HYPERLINK("https://drive.google.com/file/d/11yOmrakV-FOMQZz0bki0caz0OFmpyd61/view?usp=drivesdk","3013_HENNY SINULINGGA _ SERTIFIKAT BerAKHLAK")</f>
        <v>3013_HENNY SINULINGGA _ SERTIFIKAT BerAKHLAK</v>
      </c>
      <c r="P3014" s="5" t="s">
        <v>21091</v>
      </c>
    </row>
    <row r="3015">
      <c r="A3015" s="4">
        <v>45534.34266789352</v>
      </c>
      <c r="B3015" s="5" t="s">
        <v>34</v>
      </c>
      <c r="D3015" s="5" t="s">
        <v>4775</v>
      </c>
      <c r="E3015" s="5" t="s">
        <v>21092</v>
      </c>
      <c r="F3015" s="5" t="s">
        <v>375</v>
      </c>
      <c r="G3015" s="5" t="s">
        <v>21093</v>
      </c>
      <c r="H3015" s="6" t="s">
        <v>21094</v>
      </c>
      <c r="K3015" s="5" t="s">
        <v>21088</v>
      </c>
      <c r="M3015" s="5" t="s">
        <v>21095</v>
      </c>
      <c r="N3015" s="7" t="s">
        <v>21096</v>
      </c>
      <c r="O3015" s="8" t="str">
        <f>HYPERLINK("https://drive.google.com/file/d/1coQRF649AF66j0K4CA-XRJIXbblLq1E-/view?usp=drivesdk","3014_SABILA, S. Pd.  _ SERTIFIKAT BerAKHLAK")</f>
        <v>3014_SABILA, S. Pd.  _ SERTIFIKAT BerAKHLAK</v>
      </c>
      <c r="P3015" s="5" t="s">
        <v>21091</v>
      </c>
    </row>
    <row r="3016">
      <c r="A3016" s="4">
        <v>45534.34267155093</v>
      </c>
      <c r="B3016" s="5" t="s">
        <v>34</v>
      </c>
      <c r="D3016" s="5" t="s">
        <v>267</v>
      </c>
      <c r="E3016" s="5" t="s">
        <v>21097</v>
      </c>
      <c r="F3016" s="5" t="s">
        <v>6776</v>
      </c>
      <c r="G3016" s="5" t="s">
        <v>21098</v>
      </c>
      <c r="H3016" s="6" t="s">
        <v>21099</v>
      </c>
      <c r="K3016" s="5" t="s">
        <v>21088</v>
      </c>
      <c r="M3016" s="5" t="s">
        <v>21100</v>
      </c>
      <c r="N3016" s="7" t="s">
        <v>21101</v>
      </c>
      <c r="O3016" s="8" t="str">
        <f>HYPERLINK("https://drive.google.com/file/d/1KffxwWM_RWGL6RA8GL75bZG8yXnPK7Zf/view?usp=drivesdk","3015_JAMARI _ SERTIFIKAT BerAKHLAK")</f>
        <v>3015_JAMARI _ SERTIFIKAT BerAKHLAK</v>
      </c>
      <c r="P3016" s="5" t="s">
        <v>21091</v>
      </c>
    </row>
    <row r="3017">
      <c r="A3017" s="4">
        <v>45534.34267309028</v>
      </c>
      <c r="B3017" s="5" t="s">
        <v>34</v>
      </c>
      <c r="D3017" s="5" t="s">
        <v>9020</v>
      </c>
      <c r="E3017" s="5" t="s">
        <v>21102</v>
      </c>
      <c r="F3017" s="5" t="s">
        <v>37</v>
      </c>
      <c r="G3017" s="5" t="s">
        <v>21103</v>
      </c>
      <c r="H3017" s="6" t="s">
        <v>21104</v>
      </c>
      <c r="K3017" s="5" t="s">
        <v>21088</v>
      </c>
      <c r="M3017" s="5" t="s">
        <v>21105</v>
      </c>
      <c r="N3017" s="7" t="s">
        <v>21106</v>
      </c>
      <c r="O3017" s="8" t="str">
        <f>HYPERLINK("https://drive.google.com/file/d/1ZzxM-hwtlrkW_gg1KYBmLsIRyM2aNyq0/view?usp=drivesdk","3016_DARWINA TANJUNG, S.H. _ SERTIFIKAT BerAKHLAK")</f>
        <v>3016_DARWINA TANJUNG, S.H. _ SERTIFIKAT BerAKHLAK</v>
      </c>
      <c r="P3017" s="5" t="s">
        <v>21091</v>
      </c>
    </row>
    <row r="3018">
      <c r="A3018" s="4">
        <v>45534.34267322917</v>
      </c>
      <c r="B3018" s="5" t="s">
        <v>34</v>
      </c>
      <c r="D3018" s="5" t="s">
        <v>9020</v>
      </c>
      <c r="E3018" s="5" t="s">
        <v>21107</v>
      </c>
      <c r="F3018" s="5" t="s">
        <v>108</v>
      </c>
      <c r="G3018" s="5" t="s">
        <v>21108</v>
      </c>
      <c r="H3018" s="6" t="s">
        <v>21109</v>
      </c>
      <c r="K3018" s="5" t="s">
        <v>21088</v>
      </c>
      <c r="M3018" s="5" t="s">
        <v>21110</v>
      </c>
      <c r="N3018" s="7" t="s">
        <v>21111</v>
      </c>
      <c r="O3018" s="8" t="str">
        <f>HYPERLINK("https://drive.google.com/file/d/1CuIxAPcOmQGiB0L2uoCl_Krn3DJdCoyf/view?usp=drivesdk","3017_ELDINA MANURUNG, SE _ SERTIFIKAT BerAKHLAK")</f>
        <v>3017_ELDINA MANURUNG, SE _ SERTIFIKAT BerAKHLAK</v>
      </c>
      <c r="P3018" s="5" t="s">
        <v>21112</v>
      </c>
    </row>
    <row r="3019">
      <c r="A3019" s="4">
        <v>45534.342677430555</v>
      </c>
      <c r="B3019" s="5" t="s">
        <v>34</v>
      </c>
      <c r="D3019" s="5" t="s">
        <v>4775</v>
      </c>
      <c r="E3019" s="5" t="s">
        <v>21113</v>
      </c>
      <c r="F3019" s="5" t="s">
        <v>375</v>
      </c>
      <c r="G3019" s="5" t="s">
        <v>21114</v>
      </c>
      <c r="H3019" s="6" t="s">
        <v>21115</v>
      </c>
      <c r="K3019" s="5" t="s">
        <v>21088</v>
      </c>
      <c r="M3019" s="5" t="s">
        <v>21116</v>
      </c>
      <c r="N3019" s="7" t="s">
        <v>21117</v>
      </c>
      <c r="O3019" s="8" t="str">
        <f>HYPERLINK("https://drive.google.com/file/d/1J7ijf3ScUGG8ix0Dj1V9oy_6iLU7e7X1/view?usp=drivesdk","3018_NURMALA OKTORIKA, S.AG _ SERTIFIKAT BerAKHLAK")</f>
        <v>3018_NURMALA OKTORIKA, S.AG _ SERTIFIKAT BerAKHLAK</v>
      </c>
      <c r="P3019" s="5" t="s">
        <v>21112</v>
      </c>
    </row>
    <row r="3020">
      <c r="A3020" s="4">
        <v>45534.34268048611</v>
      </c>
      <c r="B3020" s="5" t="s">
        <v>34</v>
      </c>
      <c r="D3020" s="5" t="s">
        <v>12978</v>
      </c>
      <c r="E3020" s="5" t="s">
        <v>21118</v>
      </c>
      <c r="F3020" s="5" t="s">
        <v>37</v>
      </c>
      <c r="G3020" s="5" t="s">
        <v>21119</v>
      </c>
      <c r="H3020" s="6" t="s">
        <v>21120</v>
      </c>
      <c r="K3020" s="5" t="s">
        <v>21088</v>
      </c>
      <c r="M3020" s="5" t="s">
        <v>21121</v>
      </c>
      <c r="N3020" s="7" t="s">
        <v>21122</v>
      </c>
      <c r="O3020" s="8" t="str">
        <f>HYPERLINK("https://drive.google.com/file/d/133kZ2vGbx0TIdqicdSclZ5NbOAzy8oNl/view?usp=drivesdk","3019_DEBY HARFIANSYAH, SH _ SERTIFIKAT BerAKHLAK")</f>
        <v>3019_DEBY HARFIANSYAH, SH _ SERTIFIKAT BerAKHLAK</v>
      </c>
      <c r="P3020" s="5" t="s">
        <v>21112</v>
      </c>
    </row>
    <row r="3021">
      <c r="A3021" s="4">
        <v>45534.34268262731</v>
      </c>
      <c r="B3021" s="5" t="s">
        <v>34</v>
      </c>
      <c r="D3021" s="5" t="s">
        <v>1206</v>
      </c>
      <c r="E3021" s="5" t="s">
        <v>21123</v>
      </c>
      <c r="F3021" s="5" t="s">
        <v>375</v>
      </c>
      <c r="G3021" s="5" t="s">
        <v>21124</v>
      </c>
      <c r="H3021" s="6" t="s">
        <v>21125</v>
      </c>
      <c r="K3021" s="5" t="s">
        <v>21088</v>
      </c>
      <c r="M3021" s="5" t="s">
        <v>21126</v>
      </c>
      <c r="N3021" s="7" t="s">
        <v>21127</v>
      </c>
      <c r="O3021" s="8" t="str">
        <f>HYPERLINK("https://drive.google.com/file/d/13s2b5MIgABkyu-eR7DiPbQr_XQkbD6S0/view?usp=drivesdk","3020_TUMADJI _ SERTIFIKAT BerAKHLAK")</f>
        <v>3020_TUMADJI _ SERTIFIKAT BerAKHLAK</v>
      </c>
      <c r="P3021" s="5" t="s">
        <v>21112</v>
      </c>
    </row>
    <row r="3022" hidden="1">
      <c r="A3022" s="4">
        <v>45534.34268741898</v>
      </c>
      <c r="B3022" s="5" t="s">
        <v>19</v>
      </c>
      <c r="C3022" s="5" t="s">
        <v>466</v>
      </c>
      <c r="E3022" s="5" t="s">
        <v>21128</v>
      </c>
      <c r="F3022" s="5" t="s">
        <v>108</v>
      </c>
      <c r="G3022" s="5" t="s">
        <v>21129</v>
      </c>
      <c r="H3022" s="6" t="s">
        <v>21130</v>
      </c>
      <c r="K3022" s="5" t="s">
        <v>21088</v>
      </c>
      <c r="M3022" s="5" t="s">
        <v>21131</v>
      </c>
      <c r="N3022" s="7" t="s">
        <v>21132</v>
      </c>
      <c r="O3022" s="8" t="str">
        <f>HYPERLINK("https://drive.google.com/file/d/181l-_q5XV2TJVfGK900nYp4nxPlkSY9j/view?usp=drivesdk","3021_KASMUDI _ SERTIFIKAT BerAKHLAK")</f>
        <v>3021_KASMUDI _ SERTIFIKAT BerAKHLAK</v>
      </c>
      <c r="P3022" s="5" t="s">
        <v>21133</v>
      </c>
    </row>
    <row r="3023" hidden="1">
      <c r="A3023" s="4">
        <v>45534.34268994213</v>
      </c>
      <c r="B3023" s="5" t="s">
        <v>19</v>
      </c>
      <c r="C3023" s="5" t="s">
        <v>292</v>
      </c>
      <c r="E3023" s="5" t="s">
        <v>21134</v>
      </c>
      <c r="F3023" s="5" t="s">
        <v>212</v>
      </c>
      <c r="G3023" s="5" t="s">
        <v>21135</v>
      </c>
      <c r="H3023" s="6" t="s">
        <v>21136</v>
      </c>
      <c r="K3023" s="5" t="s">
        <v>21088</v>
      </c>
      <c r="M3023" s="5" t="s">
        <v>21137</v>
      </c>
      <c r="N3023" s="7" t="s">
        <v>21138</v>
      </c>
      <c r="O3023" s="8" t="str">
        <f>HYPERLINK("https://drive.google.com/file/d/1utDZF0qjrPHWcPv2hIewdq5PFVmvXvVt/view?usp=drivesdk","3022_WIDIA PUSPITA,A.MD.KEP _ SERTIFIKAT BerAKHLAK")</f>
        <v>3022_WIDIA PUSPITA,A.MD.KEP _ SERTIFIKAT BerAKHLAK</v>
      </c>
      <c r="P3023" s="5" t="s">
        <v>21133</v>
      </c>
    </row>
    <row r="3024" hidden="1">
      <c r="A3024" s="4">
        <v>45534.34269443287</v>
      </c>
      <c r="B3024" s="5" t="s">
        <v>19</v>
      </c>
      <c r="C3024" s="5" t="s">
        <v>292</v>
      </c>
      <c r="E3024" s="5" t="s">
        <v>21139</v>
      </c>
      <c r="F3024" s="5" t="s">
        <v>72</v>
      </c>
      <c r="G3024" s="5" t="s">
        <v>21140</v>
      </c>
      <c r="H3024" s="6" t="s">
        <v>21141</v>
      </c>
      <c r="K3024" s="5" t="s">
        <v>21088</v>
      </c>
      <c r="M3024" s="5" t="s">
        <v>21142</v>
      </c>
      <c r="N3024" s="7" t="s">
        <v>21143</v>
      </c>
      <c r="O3024" s="8" t="str">
        <f>HYPERLINK("https://drive.google.com/file/d/1GPOQrf6IlMIPoJrVZ8fA5wd2RKALTQbs/view?usp=drivesdk","3023_DR. DIAH AYU PRIYATININGSIH _ SERTIFIKAT BerAKHLAK")</f>
        <v>3023_DR. DIAH AYU PRIYATININGSIH _ SERTIFIKAT BerAKHLAK</v>
      </c>
      <c r="P3024" s="5" t="s">
        <v>21133</v>
      </c>
    </row>
    <row r="3025">
      <c r="A3025" s="4">
        <v>45534.342695694446</v>
      </c>
      <c r="B3025" s="5" t="s">
        <v>34</v>
      </c>
      <c r="D3025" s="5" t="s">
        <v>4775</v>
      </c>
      <c r="E3025" s="5" t="s">
        <v>21144</v>
      </c>
      <c r="F3025" s="5" t="s">
        <v>212</v>
      </c>
      <c r="G3025" s="5" t="s">
        <v>21145</v>
      </c>
      <c r="H3025" s="6" t="s">
        <v>21146</v>
      </c>
      <c r="K3025" s="5" t="s">
        <v>21088</v>
      </c>
      <c r="M3025" s="5" t="s">
        <v>21147</v>
      </c>
      <c r="N3025" s="7" t="s">
        <v>21148</v>
      </c>
      <c r="O3025" s="8" t="str">
        <f>HYPERLINK("https://drive.google.com/file/d/1vOwqsIGWW3qf86Iwu-h6plbxuwUtYXj4/view?usp=drivesdk","3024_TRISNO _ SERTIFIKAT BerAKHLAK")</f>
        <v>3024_TRISNO _ SERTIFIKAT BerAKHLAK</v>
      </c>
      <c r="P3025" s="5" t="s">
        <v>21149</v>
      </c>
    </row>
    <row r="3026">
      <c r="A3026" s="4">
        <v>45534.342703738424</v>
      </c>
      <c r="B3026" s="5" t="s">
        <v>34</v>
      </c>
      <c r="D3026" s="5" t="s">
        <v>12978</v>
      </c>
      <c r="E3026" s="5" t="s">
        <v>21150</v>
      </c>
      <c r="F3026" s="5" t="s">
        <v>37</v>
      </c>
      <c r="G3026" s="5" t="s">
        <v>21151</v>
      </c>
      <c r="H3026" s="6" t="s">
        <v>21152</v>
      </c>
      <c r="K3026" s="5" t="s">
        <v>21088</v>
      </c>
      <c r="M3026" s="5" t="s">
        <v>21153</v>
      </c>
      <c r="N3026" s="7" t="s">
        <v>21154</v>
      </c>
      <c r="O3026" s="8" t="str">
        <f>HYPERLINK("https://drive.google.com/file/d/1NM9aW9KpqzvshD1F4FzE7yK_tjKirMEc/view?usp=drivesdk","3025_MURTINI _ SERTIFIKAT BerAKHLAK")</f>
        <v>3025_MURTINI _ SERTIFIKAT BerAKHLAK</v>
      </c>
      <c r="P3026" s="5" t="s">
        <v>21155</v>
      </c>
    </row>
    <row r="3027">
      <c r="A3027" s="4">
        <v>45534.34270450231</v>
      </c>
      <c r="B3027" s="5" t="s">
        <v>34</v>
      </c>
      <c r="D3027" s="5" t="s">
        <v>14313</v>
      </c>
      <c r="E3027" s="5" t="s">
        <v>21156</v>
      </c>
      <c r="F3027" s="5" t="s">
        <v>715</v>
      </c>
      <c r="G3027" s="5" t="s">
        <v>21157</v>
      </c>
      <c r="H3027" s="6" t="s">
        <v>21158</v>
      </c>
      <c r="K3027" s="5" t="s">
        <v>21088</v>
      </c>
      <c r="M3027" s="5" t="s">
        <v>21159</v>
      </c>
      <c r="N3027" s="7" t="s">
        <v>21160</v>
      </c>
      <c r="O3027" s="8" t="str">
        <f>HYPERLINK("https://drive.google.com/file/d/1UoazT5ZrI5Lp2qUhM-w3SK6wdMxJOS2S/view?usp=drivesdk","3026_DARMAYANTI,A.Md _ SERTIFIKAT BerAKHLAK")</f>
        <v>3026_DARMAYANTI,A.Md _ SERTIFIKAT BerAKHLAK</v>
      </c>
      <c r="P3027" s="5" t="s">
        <v>21155</v>
      </c>
    </row>
    <row r="3028">
      <c r="A3028" s="4">
        <v>45534.342712233796</v>
      </c>
      <c r="B3028" s="5" t="s">
        <v>34</v>
      </c>
      <c r="D3028" s="5" t="s">
        <v>12978</v>
      </c>
      <c r="E3028" s="5" t="s">
        <v>21161</v>
      </c>
      <c r="F3028" s="5" t="s">
        <v>72</v>
      </c>
      <c r="G3028" s="5" t="s">
        <v>21162</v>
      </c>
      <c r="H3028" s="6" t="s">
        <v>21163</v>
      </c>
      <c r="K3028" s="5" t="s">
        <v>21088</v>
      </c>
      <c r="M3028" s="5" t="s">
        <v>21164</v>
      </c>
      <c r="N3028" s="7" t="s">
        <v>21165</v>
      </c>
      <c r="O3028" s="8" t="str">
        <f>HYPERLINK("https://drive.google.com/file/d/1JITKy4Vx6YJ_OPQctWv8IqUkEapolr9U/view?usp=drivesdk","3027_M. ALI MUSTOPA _ SERTIFIKAT BerAKHLAK")</f>
        <v>3027_M. ALI MUSTOPA _ SERTIFIKAT BerAKHLAK</v>
      </c>
      <c r="P3028" s="5" t="s">
        <v>21166</v>
      </c>
    </row>
    <row r="3029">
      <c r="A3029" s="4">
        <v>45534.34271363426</v>
      </c>
      <c r="B3029" s="5" t="s">
        <v>34</v>
      </c>
      <c r="D3029" s="5" t="s">
        <v>9020</v>
      </c>
      <c r="E3029" s="5" t="s">
        <v>21167</v>
      </c>
      <c r="F3029" s="5" t="s">
        <v>37</v>
      </c>
      <c r="G3029" s="5" t="s">
        <v>21168</v>
      </c>
      <c r="H3029" s="6" t="s">
        <v>21169</v>
      </c>
      <c r="K3029" s="5" t="s">
        <v>21088</v>
      </c>
      <c r="M3029" s="5" t="s">
        <v>21170</v>
      </c>
      <c r="N3029" s="7" t="s">
        <v>21171</v>
      </c>
      <c r="O3029" s="8" t="str">
        <f>HYPERLINK("https://drive.google.com/file/d/1Jzx-4y-TXoJlMK_yxaawJMdDIZb30Ur4/view?usp=drivesdk","3028_KOKO SANTOSO _ SERTIFIKAT BerAKHLAK")</f>
        <v>3028_KOKO SANTOSO _ SERTIFIKAT BerAKHLAK</v>
      </c>
      <c r="P3029" s="5" t="s">
        <v>21166</v>
      </c>
    </row>
    <row r="3030">
      <c r="A3030" s="4">
        <v>45534.34272414352</v>
      </c>
      <c r="B3030" s="5" t="s">
        <v>34</v>
      </c>
      <c r="D3030" s="5" t="s">
        <v>1206</v>
      </c>
      <c r="E3030" s="5" t="s">
        <v>21172</v>
      </c>
      <c r="F3030" s="5" t="s">
        <v>212</v>
      </c>
      <c r="G3030" s="5" t="s">
        <v>21173</v>
      </c>
      <c r="H3030" s="6" t="s">
        <v>21174</v>
      </c>
      <c r="I3030" s="7" t="s">
        <v>21175</v>
      </c>
      <c r="J3030" s="8" t="str">
        <f>HYPERLINK("https://drive.google.com/file/d/1cW6Rs0Jf-D2mcjiRvdfEolOBMTmR2kI8/view?usp=drivesdk","BAGYO S SERTIFIKAT BerAKHLAK")</f>
        <v>BAGYO S SERTIFIKAT BerAKHLAK</v>
      </c>
      <c r="K3030" s="5" t="s">
        <v>18691</v>
      </c>
      <c r="L3030" s="5" t="s">
        <v>21176</v>
      </c>
      <c r="M3030" s="5" t="s">
        <v>21177</v>
      </c>
      <c r="N3030" s="7" t="s">
        <v>21178</v>
      </c>
      <c r="O3030" s="8" t="str">
        <f>HYPERLINK("https://drive.google.com/file/d/1SmbUGx6oNsWAT8M8LztpeCK8RYRUdyvF/view?usp=drivesdk","3029_BAGYO S _ SERTIFIKAT BerAKHLAK")</f>
        <v>3029_BAGYO S _ SERTIFIKAT BerAKHLAK</v>
      </c>
      <c r="P3030" s="5" t="s">
        <v>21166</v>
      </c>
    </row>
    <row r="3031">
      <c r="A3031" s="4">
        <v>45534.34272696759</v>
      </c>
      <c r="B3031" s="5" t="s">
        <v>34</v>
      </c>
      <c r="D3031" s="5" t="s">
        <v>4775</v>
      </c>
      <c r="E3031" s="5" t="s">
        <v>21179</v>
      </c>
      <c r="F3031" s="5" t="s">
        <v>212</v>
      </c>
      <c r="G3031" s="5" t="s">
        <v>21180</v>
      </c>
      <c r="H3031" s="6" t="s">
        <v>21181</v>
      </c>
      <c r="I3031" s="7" t="s">
        <v>21182</v>
      </c>
      <c r="J3031" s="8" t="str">
        <f>HYPERLINK("https://drive.google.com/file/d/1oql6Oc6afuF_0wI5vhMOz6-IOh7DpqfE/view?usp=drivesdk","ANTUN SUGIYARTI, S.H. SERTIFIKAT BerAKHLAK")</f>
        <v>ANTUN SUGIYARTI, S.H. SERTIFIKAT BerAKHLAK</v>
      </c>
      <c r="K3031" s="5" t="s">
        <v>20391</v>
      </c>
      <c r="L3031" s="5" t="s">
        <v>21183</v>
      </c>
      <c r="M3031" s="5" t="s">
        <v>21184</v>
      </c>
      <c r="N3031" s="7" t="s">
        <v>21185</v>
      </c>
      <c r="O3031" s="8" t="str">
        <f>HYPERLINK("https://drive.google.com/file/d/1DWsMHfhBrrM7Rgj0Oa14LZtQp8cC1gyQ/view?usp=drivesdk","3030_ANTUN SUGIYARTI, S.H. _ SERTIFIKAT BerAKHLAK")</f>
        <v>3030_ANTUN SUGIYARTI, S.H. _ SERTIFIKAT BerAKHLAK</v>
      </c>
      <c r="P3031" s="5" t="s">
        <v>21166</v>
      </c>
    </row>
    <row r="3032">
      <c r="A3032" s="4">
        <v>45534.34273158565</v>
      </c>
      <c r="B3032" s="5" t="s">
        <v>34</v>
      </c>
      <c r="D3032" s="5" t="s">
        <v>10444</v>
      </c>
      <c r="E3032" s="5" t="s">
        <v>21186</v>
      </c>
      <c r="F3032" s="5" t="s">
        <v>212</v>
      </c>
      <c r="G3032" s="5" t="s">
        <v>21187</v>
      </c>
      <c r="H3032" s="6" t="s">
        <v>21188</v>
      </c>
      <c r="I3032" s="7" t="s">
        <v>21189</v>
      </c>
      <c r="J3032" s="8" t="str">
        <f>HYPERLINK("https://drive.google.com/file/d/1bEHVuSLmlVrsnZMiTOlMITux8yw5c71w/view?usp=drivesdk","MEY INDRIYANI SERTIFIKAT BerAKHLAK")</f>
        <v>MEY INDRIYANI SERTIFIKAT BerAKHLAK</v>
      </c>
      <c r="K3032" s="5" t="s">
        <v>20391</v>
      </c>
      <c r="L3032" s="5" t="s">
        <v>21190</v>
      </c>
      <c r="M3032" s="5" t="s">
        <v>21191</v>
      </c>
      <c r="N3032" s="7" t="s">
        <v>21192</v>
      </c>
      <c r="O3032" s="8" t="str">
        <f>HYPERLINK("https://drive.google.com/file/d/1lzPMoiaFDP_TWn9FGeMa06u9K2EoP0Vp/view?usp=drivesdk","3031_MEY INDRIYANI _ SERTIFIKAT BerAKHLAK")</f>
        <v>3031_MEY INDRIYANI _ SERTIFIKAT BerAKHLAK</v>
      </c>
      <c r="P3032" s="5" t="s">
        <v>21166</v>
      </c>
    </row>
    <row r="3033">
      <c r="A3033" s="4">
        <v>45534.34273215278</v>
      </c>
      <c r="B3033" s="5" t="s">
        <v>34</v>
      </c>
      <c r="D3033" s="5" t="s">
        <v>35</v>
      </c>
      <c r="E3033" s="5" t="s">
        <v>21193</v>
      </c>
      <c r="F3033" s="5" t="s">
        <v>212</v>
      </c>
      <c r="G3033" s="5" t="s">
        <v>21194</v>
      </c>
      <c r="H3033" s="6" t="s">
        <v>21195</v>
      </c>
      <c r="I3033" s="7" t="s">
        <v>21196</v>
      </c>
      <c r="J3033" s="8" t="str">
        <f>HYPERLINK("https://drive.google.com/file/d/1nJzrEfJTTTyCS-uJwxeYOQEww1y0s0UV/view?usp=drivesdk","LILIS MARYATI SERTIFIKAT BerAKHLAK")</f>
        <v>LILIS MARYATI SERTIFIKAT BerAKHLAK</v>
      </c>
      <c r="K3033" s="5" t="s">
        <v>20391</v>
      </c>
      <c r="L3033" s="5" t="s">
        <v>21197</v>
      </c>
      <c r="M3033" s="5" t="s">
        <v>21198</v>
      </c>
      <c r="N3033" s="7" t="s">
        <v>21199</v>
      </c>
      <c r="O3033" s="8" t="str">
        <f>HYPERLINK("https://drive.google.com/file/d/1CrMnxzKKEh32Rhu4bh7RWngN8eTT4UtA/view?usp=drivesdk","3032_LILIS MARYATI _ SERTIFIKAT BerAKHLAK")</f>
        <v>3032_LILIS MARYATI _ SERTIFIKAT BerAKHLAK</v>
      </c>
      <c r="P3033" s="5" t="s">
        <v>21200</v>
      </c>
    </row>
    <row r="3034">
      <c r="A3034" s="4">
        <v>45534.342755844904</v>
      </c>
      <c r="B3034" s="5" t="s">
        <v>34</v>
      </c>
      <c r="D3034" s="5" t="s">
        <v>1206</v>
      </c>
      <c r="E3034" s="5" t="s">
        <v>21201</v>
      </c>
      <c r="F3034" s="5" t="s">
        <v>212</v>
      </c>
      <c r="G3034" s="5" t="s">
        <v>21202</v>
      </c>
      <c r="H3034" s="6" t="s">
        <v>21203</v>
      </c>
      <c r="I3034" s="7" t="s">
        <v>21204</v>
      </c>
      <c r="J3034" s="8" t="str">
        <f>HYPERLINK("https://drive.google.com/file/d/1BTH_dieWbxZot1vWbrVL0N3l08Hutdhk/view?usp=drivesdk","YENI YULIANA SERTIFIKAT BerAKHLAK")</f>
        <v>YENI YULIANA SERTIFIKAT BerAKHLAK</v>
      </c>
      <c r="K3034" s="5" t="s">
        <v>18691</v>
      </c>
      <c r="L3034" s="5" t="s">
        <v>21205</v>
      </c>
      <c r="M3034" s="5" t="s">
        <v>21206</v>
      </c>
      <c r="N3034" s="7" t="s">
        <v>21207</v>
      </c>
      <c r="O3034" s="8" t="str">
        <f>HYPERLINK("https://drive.google.com/file/d/1lf3_eYdlzkfoAh2_zy4PeISrQqVJGZKA/view?usp=drivesdk","3033_YENI YULIANA _ SERTIFIKAT BerAKHLAK")</f>
        <v>3033_YENI YULIANA _ SERTIFIKAT BerAKHLAK</v>
      </c>
      <c r="P3034" s="5" t="s">
        <v>21200</v>
      </c>
    </row>
    <row r="3035">
      <c r="A3035" s="4">
        <v>45534.34276113426</v>
      </c>
      <c r="B3035" s="5" t="s">
        <v>34</v>
      </c>
      <c r="D3035" s="5" t="s">
        <v>12978</v>
      </c>
      <c r="E3035" s="5" t="s">
        <v>21208</v>
      </c>
      <c r="F3035" s="5" t="s">
        <v>212</v>
      </c>
      <c r="G3035" s="5" t="s">
        <v>21209</v>
      </c>
      <c r="H3035" s="6" t="s">
        <v>21210</v>
      </c>
      <c r="I3035" s="7" t="s">
        <v>21211</v>
      </c>
      <c r="J3035" s="8" t="str">
        <f>HYPERLINK("https://drive.google.com/file/d/13ZtCjUJlqWZtdsXewPe2FB17MoGXPOQS/view?usp=drivesdk","RIKA PURNAMA SARI SERTIFIKAT BerAKHLAK")</f>
        <v>RIKA PURNAMA SARI SERTIFIKAT BerAKHLAK</v>
      </c>
      <c r="K3035" s="5" t="s">
        <v>20391</v>
      </c>
      <c r="L3035" s="5" t="s">
        <v>21212</v>
      </c>
      <c r="M3035" s="5" t="s">
        <v>21213</v>
      </c>
      <c r="N3035" s="7" t="s">
        <v>21214</v>
      </c>
      <c r="O3035" s="8" t="str">
        <f>HYPERLINK("https://drive.google.com/file/d/1AkQihxAwmR7aLkf1j7fkjdX24fSR8uk0/view?usp=drivesdk","3034_RIKA PURNAMA SARI _ SERTIFIKAT BerAKHLAK")</f>
        <v>3034_RIKA PURNAMA SARI _ SERTIFIKAT BerAKHLAK</v>
      </c>
      <c r="P3035" s="5" t="s">
        <v>21200</v>
      </c>
    </row>
    <row r="3036">
      <c r="A3036" s="4">
        <v>45534.342763368055</v>
      </c>
      <c r="B3036" s="5" t="s">
        <v>34</v>
      </c>
      <c r="D3036" s="5" t="s">
        <v>701</v>
      </c>
      <c r="E3036" s="5" t="s">
        <v>21215</v>
      </c>
      <c r="F3036" s="5" t="s">
        <v>5859</v>
      </c>
      <c r="G3036" s="5" t="s">
        <v>21216</v>
      </c>
      <c r="H3036" s="6" t="s">
        <v>21217</v>
      </c>
      <c r="I3036" s="7" t="s">
        <v>21218</v>
      </c>
      <c r="J3036" s="8" t="str">
        <f>HYPERLINK("https://drive.google.com/file/d/1ClbRYwKy5rPhHCEj83jMAFJQqFDhLhCf/view?usp=drivesdk","JURU BEJO SERTIFIKAT BerAKHLAK")</f>
        <v>JURU BEJO SERTIFIKAT BerAKHLAK</v>
      </c>
      <c r="K3036" s="5" t="s">
        <v>20391</v>
      </c>
      <c r="L3036" s="5" t="s">
        <v>21219</v>
      </c>
      <c r="M3036" s="5" t="s">
        <v>21220</v>
      </c>
      <c r="N3036" s="7" t="s">
        <v>21221</v>
      </c>
      <c r="O3036" s="8" t="str">
        <f>HYPERLINK("https://drive.google.com/file/d/1h3dFTeNHvVT0W2iWBpThH1Looqoo49M2/view?usp=drivesdk","3035_JURU BEJO _ SERTIFIKAT BerAKHLAK")</f>
        <v>3035_JURU BEJO _ SERTIFIKAT BerAKHLAK</v>
      </c>
      <c r="P3036" s="5" t="s">
        <v>21200</v>
      </c>
    </row>
    <row r="3037">
      <c r="A3037" s="4">
        <v>45534.34278077546</v>
      </c>
      <c r="B3037" s="5" t="s">
        <v>34</v>
      </c>
      <c r="D3037" s="5" t="s">
        <v>975</v>
      </c>
      <c r="E3037" s="5" t="s">
        <v>21222</v>
      </c>
      <c r="F3037" s="5" t="s">
        <v>37</v>
      </c>
      <c r="G3037" s="5" t="s">
        <v>21223</v>
      </c>
      <c r="H3037" s="6" t="s">
        <v>21224</v>
      </c>
      <c r="K3037" s="5" t="s">
        <v>21225</v>
      </c>
      <c r="M3037" s="5" t="s">
        <v>21226</v>
      </c>
      <c r="N3037" s="7" t="s">
        <v>21227</v>
      </c>
      <c r="O3037" s="8" t="str">
        <f>HYPERLINK("https://drive.google.com/file/d/17ptK_kQUXg3g0boMMVEwKcvnAEv80FOp/view?usp=drivesdk","3036_REZKY, A.MD.KEB _ SERTIFIKAT BerAKHLAK")</f>
        <v>3036_REZKY, A.MD.KEB _ SERTIFIKAT BerAKHLAK</v>
      </c>
      <c r="P3037" s="5" t="s">
        <v>21200</v>
      </c>
    </row>
    <row r="3038">
      <c r="A3038" s="4">
        <v>45534.3427878588</v>
      </c>
      <c r="B3038" s="5" t="s">
        <v>34</v>
      </c>
      <c r="D3038" s="5" t="s">
        <v>996</v>
      </c>
      <c r="E3038" s="5" t="s">
        <v>21228</v>
      </c>
      <c r="F3038" s="5" t="s">
        <v>212</v>
      </c>
      <c r="G3038" s="5" t="s">
        <v>21229</v>
      </c>
      <c r="H3038" s="6" t="s">
        <v>21230</v>
      </c>
      <c r="K3038" s="5" t="s">
        <v>21225</v>
      </c>
      <c r="M3038" s="5" t="s">
        <v>21231</v>
      </c>
      <c r="N3038" s="7" t="s">
        <v>21232</v>
      </c>
      <c r="O3038" s="8" t="str">
        <f>HYPERLINK("https://drive.google.com/file/d/1Rk2rljXZu9w8r16xfQkwDvQsvmYS8ZFr/view?usp=drivesdk","3037_FARMIN _ SERTIFIKAT BerAKHLAK")</f>
        <v>3037_FARMIN _ SERTIFIKAT BerAKHLAK</v>
      </c>
      <c r="P3038" s="5" t="s">
        <v>21233</v>
      </c>
    </row>
    <row r="3039">
      <c r="A3039" s="4">
        <v>45534.34279548611</v>
      </c>
      <c r="B3039" s="5" t="s">
        <v>34</v>
      </c>
      <c r="D3039" s="5" t="s">
        <v>35</v>
      </c>
      <c r="E3039" s="5" t="s">
        <v>21234</v>
      </c>
      <c r="F3039" s="5" t="s">
        <v>375</v>
      </c>
      <c r="G3039" s="5" t="s">
        <v>21235</v>
      </c>
      <c r="H3039" s="6" t="s">
        <v>21236</v>
      </c>
      <c r="K3039" s="5" t="s">
        <v>21225</v>
      </c>
      <c r="M3039" s="5" t="s">
        <v>21237</v>
      </c>
      <c r="N3039" s="7" t="s">
        <v>21238</v>
      </c>
      <c r="O3039" s="8" t="str">
        <f>HYPERLINK("https://drive.google.com/file/d/15vVvrJzfLsFOmbX8NMibNkiSwihjvT3P/view?usp=drivesdk","3038_UDPADI DJOKO MURDOPO,SE _ SERTIFIKAT BerAKHLAK")</f>
        <v>3038_UDPADI DJOKO MURDOPO,SE _ SERTIFIKAT BerAKHLAK</v>
      </c>
      <c r="P3039" s="5" t="s">
        <v>21233</v>
      </c>
    </row>
    <row r="3040">
      <c r="A3040" s="4">
        <v>45534.34279875</v>
      </c>
      <c r="B3040" s="5" t="s">
        <v>34</v>
      </c>
      <c r="D3040" s="5" t="s">
        <v>4775</v>
      </c>
      <c r="E3040" s="5" t="s">
        <v>21239</v>
      </c>
      <c r="F3040" s="5" t="s">
        <v>72</v>
      </c>
      <c r="G3040" s="5" t="s">
        <v>21240</v>
      </c>
      <c r="H3040" s="6" t="s">
        <v>21241</v>
      </c>
      <c r="K3040" s="5" t="s">
        <v>21225</v>
      </c>
      <c r="M3040" s="5" t="s">
        <v>21242</v>
      </c>
      <c r="N3040" s="7" t="s">
        <v>21243</v>
      </c>
      <c r="O3040" s="8" t="str">
        <f>HYPERLINK("https://drive.google.com/file/d/1-Y5-XH6GEeJP5-S2EfCzzzcRyD-4xKaf/view?usp=drivesdk","3039_SARI NURLITA, S.E. _ SERTIFIKAT BerAKHLAK")</f>
        <v>3039_SARI NURLITA, S.E. _ SERTIFIKAT BerAKHLAK</v>
      </c>
      <c r="P3040" s="5" t="s">
        <v>21233</v>
      </c>
    </row>
    <row r="3041">
      <c r="A3041" s="4">
        <v>45534.3428016088</v>
      </c>
      <c r="B3041" s="5" t="s">
        <v>34</v>
      </c>
      <c r="D3041" s="5" t="s">
        <v>1206</v>
      </c>
      <c r="E3041" s="5" t="s">
        <v>21244</v>
      </c>
      <c r="F3041" s="5" t="s">
        <v>72</v>
      </c>
      <c r="G3041" s="5" t="s">
        <v>21245</v>
      </c>
      <c r="H3041" s="6" t="s">
        <v>21246</v>
      </c>
      <c r="K3041" s="5" t="s">
        <v>21225</v>
      </c>
      <c r="M3041" s="5" t="s">
        <v>21247</v>
      </c>
      <c r="N3041" s="7" t="s">
        <v>21248</v>
      </c>
      <c r="O3041" s="8" t="str">
        <f>HYPERLINK("https://drive.google.com/file/d/16VeZFFx94kYcOui3T_VnSQxhuhHrG-MB/view?usp=drivesdk","3040_RENNI SISKA, S.H. _ SERTIFIKAT BerAKHLAK")</f>
        <v>3040_RENNI SISKA, S.H. _ SERTIFIKAT BerAKHLAK</v>
      </c>
      <c r="P3041" s="5" t="s">
        <v>21233</v>
      </c>
    </row>
    <row r="3042">
      <c r="A3042" s="4">
        <v>45534.342801273146</v>
      </c>
      <c r="B3042" s="5" t="s">
        <v>34</v>
      </c>
      <c r="D3042" s="5" t="s">
        <v>1206</v>
      </c>
      <c r="E3042" s="5" t="s">
        <v>21249</v>
      </c>
      <c r="F3042" s="5" t="s">
        <v>199</v>
      </c>
      <c r="G3042" s="5" t="s">
        <v>21250</v>
      </c>
      <c r="H3042" s="6" t="s">
        <v>21251</v>
      </c>
      <c r="K3042" s="5" t="s">
        <v>21225</v>
      </c>
      <c r="M3042" s="5" t="s">
        <v>21252</v>
      </c>
      <c r="N3042" s="7" t="s">
        <v>21253</v>
      </c>
      <c r="O3042" s="8" t="str">
        <f>HYPERLINK("https://drive.google.com/file/d/15QSj8ILK93wAq0c7nl6LdBc8nQJXQFCS/view?usp=drivesdk","3041_UBID KARIMULLAH ALHAYAT _ SERTIFIKAT BerAKHLAK")</f>
        <v>3041_UBID KARIMULLAH ALHAYAT _ SERTIFIKAT BerAKHLAK</v>
      </c>
      <c r="P3042" s="5" t="s">
        <v>21254</v>
      </c>
    </row>
    <row r="3043">
      <c r="A3043" s="4">
        <v>45534.34282185185</v>
      </c>
      <c r="B3043" s="5" t="s">
        <v>34</v>
      </c>
      <c r="D3043" s="5" t="s">
        <v>3432</v>
      </c>
      <c r="E3043" s="5" t="s">
        <v>21255</v>
      </c>
      <c r="F3043" s="5" t="s">
        <v>37</v>
      </c>
      <c r="G3043" s="5" t="s">
        <v>21256</v>
      </c>
      <c r="H3043" s="6" t="s">
        <v>21257</v>
      </c>
      <c r="I3043" s="7" t="s">
        <v>21258</v>
      </c>
      <c r="J3043" s="8" t="str">
        <f>HYPERLINK("https://drive.google.com/file/d/1KLQQqisDyDP328-KGogeLcQ_dvFq4hh6/view?usp=drivesdk","UCOK KAMIL. A.MD.KEP SERTIFIKAT BerAKHLAK")</f>
        <v>UCOK KAMIL. A.MD.KEP SERTIFIKAT BerAKHLAK</v>
      </c>
      <c r="K3043" s="5" t="s">
        <v>18691</v>
      </c>
      <c r="L3043" s="5" t="s">
        <v>21259</v>
      </c>
      <c r="M3043" s="5" t="s">
        <v>21260</v>
      </c>
      <c r="N3043" s="7" t="s">
        <v>21261</v>
      </c>
      <c r="O3043" s="8" t="str">
        <f>HYPERLINK("https://drive.google.com/file/d/1OqitqX72bIsUPAEJK2gMcyVzIrnuBue8/view?usp=drivesdk","3042_UCOK KAMIL. A.MD.KEP _ SERTIFIKAT BerAKHLAK")</f>
        <v>3042_UCOK KAMIL. A.MD.KEP _ SERTIFIKAT BerAKHLAK</v>
      </c>
      <c r="P3043" s="5" t="s">
        <v>21254</v>
      </c>
    </row>
    <row r="3044">
      <c r="A3044" s="4">
        <v>45534.34282460649</v>
      </c>
      <c r="B3044" s="5" t="s">
        <v>34</v>
      </c>
      <c r="D3044" s="5" t="s">
        <v>996</v>
      </c>
      <c r="E3044" s="5" t="s">
        <v>21262</v>
      </c>
      <c r="F3044" s="5" t="s">
        <v>108</v>
      </c>
      <c r="G3044" s="5" t="s">
        <v>21263</v>
      </c>
      <c r="H3044" s="6" t="s">
        <v>21264</v>
      </c>
      <c r="I3044" s="7" t="s">
        <v>21265</v>
      </c>
      <c r="J3044" s="8" t="str">
        <f>HYPERLINK("https://drive.google.com/file/d/1ypzZuFBokyQySER7GZtfp8YneTMDacpv/view?usp=drivesdk","MARLIATINAH SERTIFIKAT BerAKHLAK")</f>
        <v>MARLIATINAH SERTIFIKAT BerAKHLAK</v>
      </c>
      <c r="K3044" s="5" t="s">
        <v>20391</v>
      </c>
      <c r="L3044" s="5" t="s">
        <v>21266</v>
      </c>
      <c r="M3044" s="5" t="s">
        <v>21267</v>
      </c>
      <c r="N3044" s="7" t="s">
        <v>21268</v>
      </c>
      <c r="O3044" s="8" t="str">
        <f>HYPERLINK("https://drive.google.com/file/d/1CM69JpkP4qL6mF_XIcVN_dapFSbfQ0wQ/view?usp=drivesdk","3043_MARLIATINAH _ SERTIFIKAT BerAKHLAK")</f>
        <v>3043_MARLIATINAH _ SERTIFIKAT BerAKHLAK</v>
      </c>
      <c r="P3044" s="5" t="s">
        <v>21254</v>
      </c>
    </row>
    <row r="3045" hidden="1">
      <c r="A3045" s="4">
        <v>45534.34282474537</v>
      </c>
      <c r="B3045" s="5" t="s">
        <v>19</v>
      </c>
      <c r="C3045" s="5" t="s">
        <v>3301</v>
      </c>
      <c r="E3045" s="5" t="s">
        <v>21269</v>
      </c>
      <c r="F3045" s="5" t="s">
        <v>37</v>
      </c>
      <c r="G3045" s="5" t="s">
        <v>21270</v>
      </c>
      <c r="H3045" s="6" t="s">
        <v>21271</v>
      </c>
      <c r="I3045" s="7" t="s">
        <v>21272</v>
      </c>
      <c r="J3045" s="8" t="str">
        <f>HYPERLINK("https://drive.google.com/file/d/1Ee0nEyNsn5W4IT64mwyl1aKGrRMe1W5m/view?usp=drivesdk","DWI SARIUTAMI, AMK  SERTIFIKAT BerAKHLAK")</f>
        <v>DWI SARIUTAMI, AMK  SERTIFIKAT BerAKHLAK</v>
      </c>
      <c r="K3045" s="5" t="s">
        <v>20391</v>
      </c>
      <c r="L3045" s="5" t="s">
        <v>21273</v>
      </c>
      <c r="M3045" s="5" t="s">
        <v>21274</v>
      </c>
      <c r="N3045" s="7" t="s">
        <v>21275</v>
      </c>
      <c r="O3045" s="8" t="str">
        <f>HYPERLINK("https://drive.google.com/file/d/1cr6sr3s0-PNWDqjgVeTYsNOWrZSouEmY/view?usp=drivesdk","3044_DWI SARIUTAMI, AMK  _ SERTIFIKAT BerAKHLAK")</f>
        <v>3044_DWI SARIUTAMI, AMK  _ SERTIFIKAT BerAKHLAK</v>
      </c>
      <c r="P3045" s="5" t="s">
        <v>21254</v>
      </c>
    </row>
    <row r="3046">
      <c r="A3046" s="4">
        <v>45534.34282842593</v>
      </c>
      <c r="B3046" s="5" t="s">
        <v>34</v>
      </c>
      <c r="D3046" s="5" t="s">
        <v>9020</v>
      </c>
      <c r="E3046" s="5" t="s">
        <v>21276</v>
      </c>
      <c r="F3046" s="5" t="s">
        <v>37</v>
      </c>
      <c r="G3046" s="5" t="s">
        <v>21277</v>
      </c>
      <c r="H3046" s="6" t="s">
        <v>21278</v>
      </c>
      <c r="I3046" s="7" t="s">
        <v>21279</v>
      </c>
      <c r="J3046" s="8" t="str">
        <f>HYPERLINK("https://drive.google.com/file/d/1Kg-GJmyMfoFC9KpGlUiVrJhoxC_cmcJc/view?usp=drivesdk","IKA TRI SUCI  SERTIFIKAT BerAKHLAK")</f>
        <v>IKA TRI SUCI  SERTIFIKAT BerAKHLAK</v>
      </c>
      <c r="K3046" s="5" t="s">
        <v>20391</v>
      </c>
      <c r="L3046" s="5" t="s">
        <v>21280</v>
      </c>
      <c r="M3046" s="5" t="s">
        <v>21281</v>
      </c>
      <c r="N3046" s="7" t="s">
        <v>21282</v>
      </c>
      <c r="O3046" s="8" t="str">
        <f>HYPERLINK("https://drive.google.com/file/d/14QOFtBrsWJFjwVldmeI-WgAjnHnW1GoW/view?usp=drivesdk","3045_IKA TRI SUCI  _ SERTIFIKAT BerAKHLAK")</f>
        <v>3045_IKA TRI SUCI  _ SERTIFIKAT BerAKHLAK</v>
      </c>
      <c r="P3046" s="5" t="s">
        <v>21254</v>
      </c>
    </row>
    <row r="3047">
      <c r="A3047" s="4">
        <v>45534.34283247685</v>
      </c>
      <c r="B3047" s="5" t="s">
        <v>34</v>
      </c>
      <c r="D3047" s="5" t="s">
        <v>12978</v>
      </c>
      <c r="E3047" s="5" t="s">
        <v>21283</v>
      </c>
      <c r="F3047" s="5" t="s">
        <v>37</v>
      </c>
      <c r="G3047" s="5" t="s">
        <v>21284</v>
      </c>
      <c r="H3047" s="6" t="s">
        <v>21285</v>
      </c>
      <c r="I3047" s="7" t="s">
        <v>21286</v>
      </c>
      <c r="J3047" s="8" t="str">
        <f>HYPERLINK("https://drive.google.com/file/d/1-jnRLCjfl3DX33kTtu76j2GuxKnLvggn/view?usp=drivesdk","RAHMAT APRIYANTO  SERTIFIKAT BerAKHLAK")</f>
        <v>RAHMAT APRIYANTO  SERTIFIKAT BerAKHLAK</v>
      </c>
      <c r="K3047" s="5" t="s">
        <v>20391</v>
      </c>
      <c r="L3047" s="5" t="s">
        <v>21287</v>
      </c>
      <c r="M3047" s="5" t="s">
        <v>21288</v>
      </c>
      <c r="N3047" s="7" t="s">
        <v>21289</v>
      </c>
      <c r="O3047" s="8" t="str">
        <f>HYPERLINK("https://drive.google.com/file/d/1nn3yCkanBjOlYFRZIXm7FYjLUiAFLT9j/view?usp=drivesdk","3046_RAHMAT APRIYANTO  _ SERTIFIKAT BerAKHLAK")</f>
        <v>3046_RAHMAT APRIYANTO  _ SERTIFIKAT BerAKHLAK</v>
      </c>
      <c r="P3047" s="5" t="s">
        <v>18355</v>
      </c>
    </row>
    <row r="3048">
      <c r="A3048" s="4">
        <v>45534.34283613426</v>
      </c>
      <c r="B3048" s="5" t="s">
        <v>34</v>
      </c>
      <c r="D3048" s="5" t="s">
        <v>15401</v>
      </c>
      <c r="E3048" s="5" t="s">
        <v>21290</v>
      </c>
      <c r="F3048" s="5" t="s">
        <v>524</v>
      </c>
      <c r="G3048" s="5" t="s">
        <v>21291</v>
      </c>
      <c r="H3048" s="6" t="s">
        <v>21292</v>
      </c>
      <c r="I3048" s="7" t="s">
        <v>21293</v>
      </c>
      <c r="J3048" s="8" t="str">
        <f>HYPERLINK("https://drive.google.com/file/d/1xFKGPEaB7lTPnMOG5gvIFZFHMoRHxWPk/view?usp=drivesdk","HENNY DOLLYN LONDANG SERTIFIKAT BerAKHLAK")</f>
        <v>HENNY DOLLYN LONDANG SERTIFIKAT BerAKHLAK</v>
      </c>
      <c r="K3048" s="5" t="s">
        <v>20391</v>
      </c>
      <c r="L3048" s="5" t="s">
        <v>21294</v>
      </c>
      <c r="M3048" s="5" t="s">
        <v>21295</v>
      </c>
      <c r="N3048" s="7" t="s">
        <v>21296</v>
      </c>
      <c r="O3048" s="8" t="str">
        <f>HYPERLINK("https://drive.google.com/file/d/1OSaGiV1M-eS0huaVjFjc0ABK54ZTuFMk/view?usp=drivesdk","3047_HENNY DOLLYN LONDANG _ SERTIFIKAT BerAKHLAK")</f>
        <v>3047_HENNY DOLLYN LONDANG _ SERTIFIKAT BerAKHLAK</v>
      </c>
      <c r="P3048" s="5" t="s">
        <v>18355</v>
      </c>
    </row>
    <row r="3049" hidden="1">
      <c r="A3049" s="4">
        <v>45534.342852511574</v>
      </c>
      <c r="B3049" s="5" t="s">
        <v>19</v>
      </c>
      <c r="C3049" s="5" t="s">
        <v>14000</v>
      </c>
      <c r="E3049" s="5" t="s">
        <v>21297</v>
      </c>
      <c r="F3049" s="5" t="s">
        <v>37</v>
      </c>
      <c r="G3049" s="5" t="s">
        <v>21298</v>
      </c>
      <c r="H3049" s="6" t="s">
        <v>21299</v>
      </c>
      <c r="I3049" s="7" t="s">
        <v>21300</v>
      </c>
      <c r="J3049" s="8" t="str">
        <f>HYPERLINK("https://drive.google.com/file/d/1j1VEfGseGjJmuyt74GyZviiwx2gU2SvV/view?usp=drivesdk","YAN FEBRYARDI  SERTIFIKAT BerAKHLAK")</f>
        <v>YAN FEBRYARDI  SERTIFIKAT BerAKHLAK</v>
      </c>
      <c r="K3049" s="5" t="s">
        <v>18691</v>
      </c>
      <c r="L3049" s="5" t="s">
        <v>21301</v>
      </c>
      <c r="M3049" s="5" t="s">
        <v>21302</v>
      </c>
      <c r="N3049" s="7" t="s">
        <v>21303</v>
      </c>
      <c r="O3049" s="8" t="str">
        <f>HYPERLINK("https://drive.google.com/file/d/1iq9edGnoinxDf4SLwB0K_nFJGhH0XTXU/view?usp=drivesdk","3048_YAN FEBRYARDI  _ SERTIFIKAT BerAKHLAK")</f>
        <v>3048_YAN FEBRYARDI  _ SERTIFIKAT BerAKHLAK</v>
      </c>
      <c r="P3049" s="5" t="s">
        <v>21304</v>
      </c>
    </row>
    <row r="3050">
      <c r="A3050" s="4">
        <v>45534.342857870375</v>
      </c>
      <c r="B3050" s="5" t="s">
        <v>34</v>
      </c>
      <c r="D3050" s="5" t="s">
        <v>6232</v>
      </c>
      <c r="E3050" s="5" t="s">
        <v>21305</v>
      </c>
      <c r="F3050" s="5" t="s">
        <v>212</v>
      </c>
      <c r="G3050" s="5" t="s">
        <v>21306</v>
      </c>
      <c r="H3050" s="6" t="s">
        <v>21307</v>
      </c>
      <c r="I3050" s="7" t="s">
        <v>21308</v>
      </c>
      <c r="J3050" s="8" t="str">
        <f>HYPERLINK("https://drive.google.com/file/d/1Bh1NXgCM3ZUNltH-55fkH1fU51v5-sfS/view?usp=drivesdk","FITRIANI SERTIFIKAT BerAKHLAK")</f>
        <v>FITRIANI SERTIFIKAT BerAKHLAK</v>
      </c>
      <c r="K3050" s="5" t="s">
        <v>20391</v>
      </c>
      <c r="L3050" s="5" t="s">
        <v>21309</v>
      </c>
      <c r="M3050" s="5" t="s">
        <v>21310</v>
      </c>
      <c r="N3050" s="7" t="s">
        <v>21311</v>
      </c>
      <c r="O3050" s="8" t="str">
        <f>HYPERLINK("https://drive.google.com/file/d/1JOkkt98mGf5rAxxNE2zSYcUNiG2hupFR/view?usp=drivesdk","3049_FITRIANI _ SERTIFIKAT BerAKHLAK")</f>
        <v>3049_FITRIANI _ SERTIFIKAT BerAKHLAK</v>
      </c>
      <c r="P3050" s="5" t="s">
        <v>21312</v>
      </c>
    </row>
    <row r="3051">
      <c r="A3051" s="4">
        <v>45534.34287087963</v>
      </c>
      <c r="B3051" s="5" t="s">
        <v>34</v>
      </c>
      <c r="D3051" s="5" t="s">
        <v>9020</v>
      </c>
      <c r="E3051" s="5" t="s">
        <v>21313</v>
      </c>
      <c r="F3051" s="5" t="s">
        <v>37</v>
      </c>
      <c r="G3051" s="5" t="s">
        <v>21314</v>
      </c>
      <c r="H3051" s="6" t="s">
        <v>21315</v>
      </c>
      <c r="I3051" s="7" t="s">
        <v>21316</v>
      </c>
      <c r="J3051" s="8" t="str">
        <f>HYPERLINK("https://drive.google.com/file/d/1dQr9gOv1xFmyuKhgOSKttGYxnDh22vDz/view?usp=drivesdk","Rumondang Tetty M Siahaan SERTIFIKAT BerAKHLAK")</f>
        <v>Rumondang Tetty M Siahaan SERTIFIKAT BerAKHLAK</v>
      </c>
      <c r="K3051" s="5" t="s">
        <v>20391</v>
      </c>
      <c r="L3051" s="5" t="s">
        <v>21317</v>
      </c>
      <c r="M3051" s="5" t="s">
        <v>21318</v>
      </c>
      <c r="N3051" s="7" t="s">
        <v>21319</v>
      </c>
      <c r="O3051" s="8" t="str">
        <f>HYPERLINK("https://drive.google.com/file/d/1b8xbkknvQbEvH2UGnIPbBPGt07bTOASU/view?usp=drivesdk","3050_Rumondang Tetty M Siahaan _ SERTIFIKAT BerAKHLAK")</f>
        <v>3050_Rumondang Tetty M Siahaan _ SERTIFIKAT BerAKHLAK</v>
      </c>
      <c r="P3051" s="5" t="s">
        <v>21320</v>
      </c>
    </row>
    <row r="3052">
      <c r="A3052" s="4">
        <v>45534.34287416667</v>
      </c>
      <c r="B3052" s="5" t="s">
        <v>34</v>
      </c>
      <c r="D3052" s="5" t="s">
        <v>35</v>
      </c>
      <c r="E3052" s="5" t="s">
        <v>21321</v>
      </c>
      <c r="F3052" s="5" t="s">
        <v>524</v>
      </c>
      <c r="G3052" s="5" t="s">
        <v>21322</v>
      </c>
      <c r="H3052" s="6" t="s">
        <v>21323</v>
      </c>
      <c r="I3052" s="7" t="s">
        <v>21324</v>
      </c>
      <c r="J3052" s="8" t="str">
        <f>HYPERLINK("https://drive.google.com/file/d/1n7EKSE8lYGjvzp0z6kN9IEOcXP6E0HCq/view?usp=drivesdk","ANIK RAHAYU SERTIFIKAT BerAKHLAK")</f>
        <v>ANIK RAHAYU SERTIFIKAT BerAKHLAK</v>
      </c>
      <c r="K3052" s="5" t="s">
        <v>20391</v>
      </c>
      <c r="L3052" s="5" t="s">
        <v>21325</v>
      </c>
      <c r="M3052" s="5" t="s">
        <v>21326</v>
      </c>
      <c r="N3052" s="7" t="s">
        <v>21327</v>
      </c>
      <c r="O3052" s="8" t="str">
        <f>HYPERLINK("https://drive.google.com/file/d/11SBnzLt3oBBRULdzI-v1m05EauQM4Hoq/view?usp=drivesdk","3051_ANIK RAHAYU _ SERTIFIKAT BerAKHLAK")</f>
        <v>3051_ANIK RAHAYU _ SERTIFIKAT BerAKHLAK</v>
      </c>
      <c r="P3052" s="5" t="s">
        <v>21328</v>
      </c>
    </row>
    <row r="3053">
      <c r="A3053" s="4">
        <v>45534.342884467595</v>
      </c>
      <c r="B3053" s="5" t="s">
        <v>34</v>
      </c>
      <c r="D3053" s="5" t="s">
        <v>522</v>
      </c>
      <c r="E3053" s="5" t="s">
        <v>21329</v>
      </c>
      <c r="F3053" s="5" t="s">
        <v>212</v>
      </c>
      <c r="G3053" s="5" t="s">
        <v>21330</v>
      </c>
      <c r="H3053" s="6" t="s">
        <v>21331</v>
      </c>
      <c r="K3053" s="5" t="s">
        <v>21332</v>
      </c>
      <c r="M3053" s="5" t="s">
        <v>21333</v>
      </c>
      <c r="N3053" s="7" t="s">
        <v>21334</v>
      </c>
      <c r="O3053" s="8" t="str">
        <f>HYPERLINK("https://drive.google.com/file/d/1cUFbACP9YBUzXJe2uN_fpxqMNQYn5jC3/view?usp=drivesdk","3052_MAKRIP _ SERTIFIKAT BerAKHLAK")</f>
        <v>3052_MAKRIP _ SERTIFIKAT BerAKHLAK</v>
      </c>
      <c r="P3053" s="5" t="s">
        <v>21335</v>
      </c>
    </row>
    <row r="3054">
      <c r="A3054" s="4">
        <v>45534.34288571759</v>
      </c>
      <c r="B3054" s="5" t="s">
        <v>34</v>
      </c>
      <c r="D3054" s="5" t="s">
        <v>10444</v>
      </c>
      <c r="E3054" s="5" t="s">
        <v>21336</v>
      </c>
      <c r="F3054" s="5" t="s">
        <v>37</v>
      </c>
      <c r="G3054" s="5" t="s">
        <v>21337</v>
      </c>
      <c r="H3054" s="6" t="s">
        <v>21338</v>
      </c>
      <c r="K3054" s="5" t="s">
        <v>21332</v>
      </c>
      <c r="M3054" s="5" t="s">
        <v>21339</v>
      </c>
      <c r="N3054" s="7" t="s">
        <v>21340</v>
      </c>
      <c r="O3054" s="8" t="str">
        <f>HYPERLINK("https://drive.google.com/file/d/1wRzF_ZdxltyzTWhMruguq0jNEh-DYV-M/view?usp=drivesdk","3053_IVAN HADARI _ SERTIFIKAT BerAKHLAK")</f>
        <v>3053_IVAN HADARI _ SERTIFIKAT BerAKHLAK</v>
      </c>
      <c r="P3054" s="5" t="s">
        <v>21341</v>
      </c>
    </row>
    <row r="3055">
      <c r="A3055" s="4">
        <v>45534.34290054398</v>
      </c>
      <c r="B3055" s="5" t="s">
        <v>34</v>
      </c>
      <c r="D3055" s="5" t="s">
        <v>9020</v>
      </c>
      <c r="E3055" s="5" t="s">
        <v>21342</v>
      </c>
      <c r="F3055" s="5" t="s">
        <v>108</v>
      </c>
      <c r="G3055" s="5" t="s">
        <v>21343</v>
      </c>
      <c r="H3055" s="6" t="s">
        <v>21344</v>
      </c>
      <c r="I3055" s="7" t="s">
        <v>21345</v>
      </c>
      <c r="J3055" s="8" t="str">
        <f>HYPERLINK("https://drive.google.com/file/d/1HGfyeedXg46Z7qVOAd_Pr5x9fA2PO1Mw/view?usp=drivesdk","ELI ULASTRI SERTIFIKAT BerAKHLAK")</f>
        <v>ELI ULASTRI SERTIFIKAT BerAKHLAK</v>
      </c>
      <c r="K3055" s="5" t="s">
        <v>20391</v>
      </c>
      <c r="L3055" s="5" t="s">
        <v>21346</v>
      </c>
      <c r="M3055" s="5" t="s">
        <v>21347</v>
      </c>
      <c r="N3055" s="7" t="s">
        <v>21348</v>
      </c>
      <c r="O3055" s="8" t="str">
        <f>HYPERLINK("https://drive.google.com/file/d/1AjUHja4SR81Hz1nE4UDUbw3bfzkEAvo7/view?usp=drivesdk","3054_ELI ULASTRI _ SERTIFIKAT BerAKHLAK")</f>
        <v>3054_ELI ULASTRI _ SERTIFIKAT BerAKHLAK</v>
      </c>
      <c r="P3055" s="5" t="s">
        <v>21349</v>
      </c>
    </row>
    <row r="3056" hidden="1">
      <c r="A3056" s="4">
        <v>45534.34290221064</v>
      </c>
      <c r="B3056" s="5" t="s">
        <v>19</v>
      </c>
      <c r="C3056" s="5" t="s">
        <v>466</v>
      </c>
      <c r="E3056" s="5" t="s">
        <v>21350</v>
      </c>
      <c r="F3056" s="5" t="s">
        <v>524</v>
      </c>
      <c r="G3056" s="5" t="s">
        <v>21351</v>
      </c>
      <c r="H3056" s="6" t="s">
        <v>21352</v>
      </c>
      <c r="I3056" s="7" t="s">
        <v>21353</v>
      </c>
      <c r="J3056" s="8" t="str">
        <f>HYPERLINK("https://drive.google.com/file/d/1Pjd9AkzTQSOIrJ2sXp8SYddZProf4RNJ/view?usp=drivesdk","MUHAMMAD NURSYEHA SERTIFIKAT BerAKHLAK")</f>
        <v>MUHAMMAD NURSYEHA SERTIFIKAT BerAKHLAK</v>
      </c>
      <c r="K3056" s="5" t="s">
        <v>20391</v>
      </c>
      <c r="L3056" s="5" t="s">
        <v>21354</v>
      </c>
      <c r="M3056" s="5" t="s">
        <v>21355</v>
      </c>
      <c r="N3056" s="7" t="s">
        <v>21356</v>
      </c>
      <c r="O3056" s="8" t="str">
        <f>HYPERLINK("https://drive.google.com/file/d/1fE3uQE2KpPzRWBmaLJHI1jCsGJluHh87/view?usp=drivesdk","3055_MUHAMMAD NURSYEHA _ SERTIFIKAT BerAKHLAK")</f>
        <v>3055_MUHAMMAD NURSYEHA _ SERTIFIKAT BerAKHLAK</v>
      </c>
      <c r="P3056" s="5" t="s">
        <v>21357</v>
      </c>
    </row>
    <row r="3057">
      <c r="A3057" s="4">
        <v>45534.34291760417</v>
      </c>
      <c r="B3057" s="5" t="s">
        <v>34</v>
      </c>
      <c r="D3057" s="5" t="s">
        <v>1206</v>
      </c>
      <c r="E3057" s="5" t="s">
        <v>21358</v>
      </c>
      <c r="F3057" s="5" t="s">
        <v>37</v>
      </c>
      <c r="G3057" s="5" t="s">
        <v>21359</v>
      </c>
      <c r="H3057" s="6" t="s">
        <v>21360</v>
      </c>
      <c r="I3057" s="7" t="s">
        <v>21361</v>
      </c>
      <c r="J3057" s="8" t="str">
        <f>HYPERLINK("https://drive.google.com/file/d/1UOO2TvFZMZThTP_tjxh1kY0-Rtm1fdxF/view?usp=drivesdk","SUSIATI SERTIFIKAT BerAKHLAK")</f>
        <v>SUSIATI SERTIFIKAT BerAKHLAK</v>
      </c>
      <c r="K3057" s="5" t="s">
        <v>18691</v>
      </c>
      <c r="L3057" s="5" t="s">
        <v>21362</v>
      </c>
      <c r="M3057" s="5" t="s">
        <v>21363</v>
      </c>
      <c r="N3057" s="7" t="s">
        <v>21364</v>
      </c>
      <c r="O3057" s="8" t="str">
        <f>HYPERLINK("https://drive.google.com/file/d/1OXIDbwA2JF-dk_uh4Gm9E3tsXoCSX_6R/view?usp=drivesdk","3056_SUSIATI _ SERTIFIKAT BerAKHLAK")</f>
        <v>3056_SUSIATI _ SERTIFIKAT BerAKHLAK</v>
      </c>
      <c r="P3057" s="5" t="s">
        <v>21365</v>
      </c>
    </row>
    <row r="3058">
      <c r="A3058" s="4">
        <v>45534.342919097224</v>
      </c>
      <c r="B3058" s="5" t="s">
        <v>34</v>
      </c>
      <c r="D3058" s="5" t="s">
        <v>35</v>
      </c>
      <c r="E3058" s="5" t="s">
        <v>21366</v>
      </c>
      <c r="F3058" s="5" t="s">
        <v>524</v>
      </c>
      <c r="G3058" s="5" t="s">
        <v>21367</v>
      </c>
      <c r="H3058" s="6" t="s">
        <v>21368</v>
      </c>
      <c r="I3058" s="7" t="s">
        <v>21369</v>
      </c>
      <c r="J3058" s="8" t="str">
        <f>HYPERLINK("https://drive.google.com/file/d/1eHV45DbhCX4WAkxO8kQWNR2boRncmu8M/view?usp=drivesdk","TATANG SUTISNA SERTIFIKAT BerAKHLAK")</f>
        <v>TATANG SUTISNA SERTIFIKAT BerAKHLAK</v>
      </c>
      <c r="K3058" s="5" t="s">
        <v>20391</v>
      </c>
      <c r="L3058" s="5" t="s">
        <v>21370</v>
      </c>
      <c r="M3058" s="5" t="s">
        <v>21371</v>
      </c>
      <c r="N3058" s="7" t="s">
        <v>21372</v>
      </c>
      <c r="O3058" s="8" t="str">
        <f>HYPERLINK("https://drive.google.com/file/d/1XIOoSayixJFD8M9XOAemcvkU3moCHQYn/view?usp=drivesdk","3057_TATANG SUTISNA _ SERTIFIKAT BerAKHLAK")</f>
        <v>3057_TATANG SUTISNA _ SERTIFIKAT BerAKHLAK</v>
      </c>
      <c r="P3058" s="5" t="s">
        <v>21373</v>
      </c>
    </row>
    <row r="3059">
      <c r="A3059" s="4">
        <v>45534.342921550924</v>
      </c>
      <c r="B3059" s="5" t="s">
        <v>34</v>
      </c>
      <c r="D3059" s="5" t="s">
        <v>1206</v>
      </c>
      <c r="E3059" s="5" t="s">
        <v>21374</v>
      </c>
      <c r="F3059" s="5" t="s">
        <v>328</v>
      </c>
      <c r="G3059" s="5" t="s">
        <v>21375</v>
      </c>
      <c r="H3059" s="6" t="s">
        <v>21376</v>
      </c>
      <c r="I3059" s="7" t="s">
        <v>21377</v>
      </c>
      <c r="J3059" s="8" t="str">
        <f>HYPERLINK("https://drive.google.com/file/d/1BofehexRCdKsVEC4bvHspfeCZBopa5-V/view?usp=drivesdk","SUDIONO SERTIFIKAT BerAKHLAK")</f>
        <v>SUDIONO SERTIFIKAT BerAKHLAK</v>
      </c>
      <c r="K3059" s="5" t="s">
        <v>20391</v>
      </c>
      <c r="L3059" s="5" t="s">
        <v>21378</v>
      </c>
      <c r="M3059" s="5" t="s">
        <v>21379</v>
      </c>
      <c r="N3059" s="7" t="s">
        <v>21380</v>
      </c>
      <c r="O3059" s="8" t="str">
        <f>HYPERLINK("https://drive.google.com/file/d/1HWy9_iExePZtwCEheED10wt_6Jn-Q5Qf/view?usp=drivesdk","3058_SUDIONO _ SERTIFIKAT BerAKHLAK")</f>
        <v>3058_SUDIONO _ SERTIFIKAT BerAKHLAK</v>
      </c>
      <c r="P3059" s="5" t="s">
        <v>21381</v>
      </c>
    </row>
    <row r="3060">
      <c r="A3060" s="4">
        <v>45534.34292322917</v>
      </c>
      <c r="B3060" s="5" t="s">
        <v>34</v>
      </c>
      <c r="D3060" s="5" t="s">
        <v>3432</v>
      </c>
      <c r="E3060" s="5" t="s">
        <v>21382</v>
      </c>
      <c r="F3060" s="5" t="s">
        <v>524</v>
      </c>
      <c r="G3060" s="5" t="s">
        <v>21383</v>
      </c>
      <c r="H3060" s="6" t="s">
        <v>21384</v>
      </c>
      <c r="I3060" s="7" t="s">
        <v>21385</v>
      </c>
      <c r="J3060" s="8" t="str">
        <f>HYPERLINK("https://drive.google.com/file/d/11eaurBWHHAj1XSGATOAKgOcFpllIQVGA/view?usp=drivesdk","LILY SURYANI SERTIFIKAT BerAKHLAK")</f>
        <v>LILY SURYANI SERTIFIKAT BerAKHLAK</v>
      </c>
      <c r="K3060" s="5" t="s">
        <v>20391</v>
      </c>
      <c r="L3060" s="5" t="s">
        <v>21386</v>
      </c>
      <c r="M3060" s="5" t="s">
        <v>21387</v>
      </c>
      <c r="N3060" s="7" t="s">
        <v>21388</v>
      </c>
      <c r="O3060" s="8" t="str">
        <f>HYPERLINK("https://drive.google.com/file/d/1ZHzWw4jdABY82fjOAaPc6u5DaJt78gdr/view?usp=drivesdk","3059_LILY SURYANI _ SERTIFIKAT BerAKHLAK")</f>
        <v>3059_LILY SURYANI _ SERTIFIKAT BerAKHLAK</v>
      </c>
      <c r="P3060" s="5" t="s">
        <v>21389</v>
      </c>
    </row>
    <row r="3061">
      <c r="A3061" s="4">
        <v>45534.342933692125</v>
      </c>
      <c r="B3061" s="5" t="s">
        <v>34</v>
      </c>
      <c r="D3061" s="5" t="s">
        <v>12010</v>
      </c>
      <c r="E3061" s="5" t="s">
        <v>21390</v>
      </c>
      <c r="F3061" s="5" t="s">
        <v>72</v>
      </c>
      <c r="G3061" s="5" t="s">
        <v>21391</v>
      </c>
      <c r="H3061" s="6" t="s">
        <v>21392</v>
      </c>
      <c r="I3061" s="7" t="s">
        <v>21393</v>
      </c>
      <c r="J3061" s="8" t="str">
        <f>HYPERLINK("https://drive.google.com/file/d/1zTuH8CrOybABHRlxdynLg9N33I2UNrYw/view?usp=drivesdk","ADE SHANTY KATILI SERTIFIKAT BerAKHLAK")</f>
        <v>ADE SHANTY KATILI SERTIFIKAT BerAKHLAK</v>
      </c>
      <c r="K3061" s="5" t="s">
        <v>20391</v>
      </c>
      <c r="L3061" s="5" t="s">
        <v>21394</v>
      </c>
      <c r="M3061" s="5" t="s">
        <v>21395</v>
      </c>
      <c r="N3061" s="7" t="s">
        <v>21396</v>
      </c>
      <c r="O3061" s="8" t="str">
        <f>HYPERLINK("https://drive.google.com/file/d/1fmXBaVAVjZhPnc_253CNDgTWR_TzbtPd/view?usp=drivesdk","3060_ADE SHANTY KATILI _ SERTIFIKAT BerAKHLAK")</f>
        <v>3060_ADE SHANTY KATILI _ SERTIFIKAT BerAKHLAK</v>
      </c>
      <c r="P3061" s="5" t="s">
        <v>21397</v>
      </c>
    </row>
    <row r="3062">
      <c r="A3062" s="4">
        <v>45534.342935266206</v>
      </c>
      <c r="B3062" s="5" t="s">
        <v>34</v>
      </c>
      <c r="D3062" s="5" t="s">
        <v>4775</v>
      </c>
      <c r="E3062" s="5" t="s">
        <v>21398</v>
      </c>
      <c r="F3062" s="5" t="s">
        <v>37</v>
      </c>
      <c r="G3062" s="5" t="s">
        <v>21399</v>
      </c>
      <c r="H3062" s="6" t="s">
        <v>21400</v>
      </c>
      <c r="I3062" s="7" t="s">
        <v>21401</v>
      </c>
      <c r="J3062" s="8" t="str">
        <f>HYPERLINK("https://drive.google.com/file/d/1cWHKiCwBwEudmLkgS3cT6rQwFMdzA09f/view?usp=drivesdk","SARIMAN SERTIFIKAT BerAKHLAK")</f>
        <v>SARIMAN SERTIFIKAT BerAKHLAK</v>
      </c>
      <c r="K3062" s="5" t="s">
        <v>20391</v>
      </c>
      <c r="L3062" s="5" t="s">
        <v>21402</v>
      </c>
      <c r="M3062" s="5" t="s">
        <v>21403</v>
      </c>
      <c r="N3062" s="7" t="s">
        <v>21404</v>
      </c>
      <c r="O3062" s="8" t="str">
        <f>HYPERLINK("https://drive.google.com/file/d/1k7eVQx4BVUiXanhrsroXbK75tAmiz3AG/view?usp=drivesdk","3061_SARIMAN _ SERTIFIKAT BerAKHLAK")</f>
        <v>3061_SARIMAN _ SERTIFIKAT BerAKHLAK</v>
      </c>
      <c r="P3062" s="5" t="s">
        <v>21405</v>
      </c>
    </row>
    <row r="3063">
      <c r="A3063" s="4">
        <v>45534.34293547454</v>
      </c>
      <c r="B3063" s="5" t="s">
        <v>34</v>
      </c>
      <c r="D3063" s="5" t="s">
        <v>9020</v>
      </c>
      <c r="E3063" s="5" t="s">
        <v>21406</v>
      </c>
      <c r="F3063" s="5" t="s">
        <v>72</v>
      </c>
      <c r="G3063" s="5" t="s">
        <v>21407</v>
      </c>
      <c r="H3063" s="6" t="s">
        <v>21408</v>
      </c>
      <c r="I3063" s="7" t="s">
        <v>21409</v>
      </c>
      <c r="J3063" s="8" t="str">
        <f>HYPERLINK("https://drive.google.com/file/d/1BNpsLEvZk04wWsPmKUjVUnujzHTk7TQW/view?usp=drivesdk","MEI KRISTINA SERTIFIKAT BerAKHLAK")</f>
        <v>MEI KRISTINA SERTIFIKAT BerAKHLAK</v>
      </c>
      <c r="K3063" s="5" t="s">
        <v>20391</v>
      </c>
      <c r="L3063" s="5" t="s">
        <v>21410</v>
      </c>
      <c r="M3063" s="5" t="s">
        <v>21411</v>
      </c>
      <c r="N3063" s="7" t="s">
        <v>21412</v>
      </c>
      <c r="O3063" s="8" t="str">
        <f>HYPERLINK("https://drive.google.com/file/d/1YAKL87CWQDFMUeoTMxEYHocg2LOoV0ii/view?usp=drivesdk","3062_MEI KRISTINA _ SERTIFIKAT BerAKHLAK")</f>
        <v>3062_MEI KRISTINA _ SERTIFIKAT BerAKHLAK</v>
      </c>
      <c r="P3063" s="5" t="s">
        <v>21413</v>
      </c>
    </row>
    <row r="3064">
      <c r="A3064" s="4">
        <v>45534.3429365162</v>
      </c>
      <c r="B3064" s="5" t="s">
        <v>34</v>
      </c>
      <c r="D3064" s="5" t="s">
        <v>1206</v>
      </c>
      <c r="E3064" s="5" t="s">
        <v>21414</v>
      </c>
      <c r="F3064" s="5" t="s">
        <v>37</v>
      </c>
      <c r="G3064" s="5" t="s">
        <v>21415</v>
      </c>
      <c r="H3064" s="6" t="s">
        <v>21416</v>
      </c>
      <c r="I3064" s="7" t="s">
        <v>21417</v>
      </c>
      <c r="J3064" s="8" t="str">
        <f>HYPERLINK("https://drive.google.com/file/d/1IUWvarHlMoJ3wNkgTZyl2qbicW5R6eW_/view?usp=drivesdk","NUR HESTI HAIRI UTOMO, A.MD.KEP SERTIFIKAT BerAKHLAK")</f>
        <v>NUR HESTI HAIRI UTOMO, A.MD.KEP SERTIFIKAT BerAKHLAK</v>
      </c>
      <c r="K3064" s="5" t="s">
        <v>20391</v>
      </c>
      <c r="L3064" s="5" t="s">
        <v>21418</v>
      </c>
      <c r="M3064" s="5" t="s">
        <v>21419</v>
      </c>
      <c r="N3064" s="7" t="s">
        <v>21420</v>
      </c>
      <c r="O3064" s="8" t="str">
        <f>HYPERLINK("https://drive.google.com/file/d/1KHtSQhvngBQ9DYxCc6LBqpp9c_T4Ps0u/view?usp=drivesdk","3063_NUR HESTI HAIRI UTOMO, A.MD.KEP _ SERTIFIKAT BerAKHLAK")</f>
        <v>3063_NUR HESTI HAIRI UTOMO, A.MD.KEP _ SERTIFIKAT BerAKHLAK</v>
      </c>
      <c r="P3064" s="5" t="s">
        <v>21421</v>
      </c>
    </row>
    <row r="3065">
      <c r="A3065" s="4">
        <v>45534.34294346065</v>
      </c>
      <c r="B3065" s="5" t="s">
        <v>34</v>
      </c>
      <c r="D3065" s="5" t="s">
        <v>1206</v>
      </c>
      <c r="E3065" s="5" t="s">
        <v>21422</v>
      </c>
      <c r="F3065" s="5" t="s">
        <v>199</v>
      </c>
      <c r="G3065" s="5" t="s">
        <v>21423</v>
      </c>
      <c r="H3065" s="6" t="s">
        <v>21424</v>
      </c>
      <c r="I3065" s="7" t="s">
        <v>21425</v>
      </c>
      <c r="J3065" s="8" t="str">
        <f>HYPERLINK("https://drive.google.com/file/d/1nAqHv-QzHUgl4P6o7bx5tN5ptr0X1P-N/view?usp=drivesdk","ULFIYAH, S. E.  SERTIFIKAT BerAKHLAK")</f>
        <v>ULFIYAH, S. E.  SERTIFIKAT BerAKHLAK</v>
      </c>
      <c r="K3065" s="5" t="s">
        <v>21426</v>
      </c>
      <c r="L3065" s="5" t="s">
        <v>21427</v>
      </c>
      <c r="M3065" s="5" t="s">
        <v>21428</v>
      </c>
      <c r="N3065" s="7" t="s">
        <v>21429</v>
      </c>
      <c r="O3065" s="8" t="str">
        <f>HYPERLINK("https://drive.google.com/file/d/1lWzBr7RSKHJre-7-XRvsoDt_uH2lZnMM/view?usp=drivesdk","3064_ULFIYAH, S. E.  _ SERTIFIKAT BerAKHLAK")</f>
        <v>3064_ULFIYAH, S. E.  _ SERTIFIKAT BerAKHLAK</v>
      </c>
      <c r="P3065" s="5" t="s">
        <v>21430</v>
      </c>
    </row>
    <row r="3066">
      <c r="A3066" s="4">
        <v>45534.342953680556</v>
      </c>
      <c r="B3066" s="5" t="s">
        <v>34</v>
      </c>
      <c r="D3066" s="5" t="s">
        <v>522</v>
      </c>
      <c r="E3066" s="5" t="s">
        <v>21431</v>
      </c>
      <c r="F3066" s="5" t="s">
        <v>715</v>
      </c>
      <c r="G3066" s="5" t="s">
        <v>21432</v>
      </c>
      <c r="H3066" s="6" t="s">
        <v>21433</v>
      </c>
      <c r="I3066" s="7" t="s">
        <v>21434</v>
      </c>
      <c r="J3066" s="8" t="str">
        <f>HYPERLINK("https://drive.google.com/file/d/13JSearYUC2fM1dJTa6zrkLG31zSwx_ne/view?usp=drivesdk","FAUJIAH, AMK SERTIFIKAT BerAKHLAK")</f>
        <v>FAUJIAH, AMK SERTIFIKAT BerAKHLAK</v>
      </c>
      <c r="K3066" s="5" t="s">
        <v>20391</v>
      </c>
      <c r="L3066" s="5" t="s">
        <v>21435</v>
      </c>
      <c r="M3066" s="5" t="s">
        <v>21436</v>
      </c>
      <c r="N3066" s="7" t="s">
        <v>21437</v>
      </c>
      <c r="O3066" s="8" t="str">
        <f>HYPERLINK("https://drive.google.com/file/d/1AfOxtjC5xSmagb-hfrwDPwyOKfp6g0QU/view?usp=drivesdk","3065_FAUJIAH, AMK _ SERTIFIKAT BerAKHLAK")</f>
        <v>3065_FAUJIAH, AMK _ SERTIFIKAT BerAKHLAK</v>
      </c>
      <c r="P3066" s="5" t="s">
        <v>21438</v>
      </c>
    </row>
    <row r="3067" hidden="1">
      <c r="A3067" s="4">
        <v>45534.34295542824</v>
      </c>
      <c r="B3067" s="5" t="s">
        <v>19</v>
      </c>
      <c r="C3067" s="5" t="s">
        <v>292</v>
      </c>
      <c r="E3067" s="5" t="s">
        <v>21439</v>
      </c>
      <c r="F3067" s="5" t="s">
        <v>212</v>
      </c>
      <c r="G3067" s="5" t="s">
        <v>21440</v>
      </c>
      <c r="H3067" s="6" t="s">
        <v>21441</v>
      </c>
      <c r="I3067" s="7" t="s">
        <v>21442</v>
      </c>
      <c r="J3067" s="8" t="str">
        <f>HYPERLINK("https://drive.google.com/file/d/1LvRV-Ok5U3N1fiMJFLV29j59E3UEj67O/view?usp=drivesdk","ENDARWATI SERTIFIKAT BerAKHLAK")</f>
        <v>ENDARWATI SERTIFIKAT BerAKHLAK</v>
      </c>
      <c r="K3067" s="5" t="s">
        <v>20391</v>
      </c>
      <c r="L3067" s="5" t="s">
        <v>21443</v>
      </c>
      <c r="M3067" s="5" t="s">
        <v>21444</v>
      </c>
      <c r="N3067" s="7" t="s">
        <v>21445</v>
      </c>
      <c r="O3067" s="8" t="str">
        <f>HYPERLINK("https://drive.google.com/file/d/1hHOfe7oWdJIruCF4SWgR01qTTQJ04-SB/view?usp=drivesdk","3066_ENDARWATI _ SERTIFIKAT BerAKHLAK")</f>
        <v>3066_ENDARWATI _ SERTIFIKAT BerAKHLAK</v>
      </c>
      <c r="P3067" s="5" t="s">
        <v>21446</v>
      </c>
    </row>
    <row r="3068">
      <c r="A3068" s="4">
        <v>45534.34296025463</v>
      </c>
      <c r="B3068" s="5" t="s">
        <v>34</v>
      </c>
      <c r="D3068" s="5" t="s">
        <v>4775</v>
      </c>
      <c r="E3068" s="5" t="s">
        <v>21447</v>
      </c>
      <c r="F3068" s="5" t="s">
        <v>524</v>
      </c>
      <c r="G3068" s="5" t="s">
        <v>21448</v>
      </c>
      <c r="H3068" s="6" t="s">
        <v>21449</v>
      </c>
      <c r="K3068" s="5" t="s">
        <v>21450</v>
      </c>
      <c r="M3068" s="5" t="s">
        <v>21451</v>
      </c>
      <c r="N3068" s="7" t="s">
        <v>21452</v>
      </c>
      <c r="O3068" s="8" t="str">
        <f>HYPERLINK("https://drive.google.com/file/d/19SS44nLVj1QQzoWYBRGhoL_P_2ecaV2v/view?usp=drivesdk","3067_SULISTYOWATI, S.Kep., Ns.  _ SERTIFIKAT BerAKHLAK")</f>
        <v>3067_SULISTYOWATI, S.Kep., Ns.  _ SERTIFIKAT BerAKHLAK</v>
      </c>
      <c r="P3068" s="5" t="s">
        <v>21453</v>
      </c>
    </row>
    <row r="3069">
      <c r="A3069" s="4">
        <v>45534.34296591435</v>
      </c>
      <c r="B3069" s="5" t="s">
        <v>34</v>
      </c>
      <c r="D3069" s="5" t="s">
        <v>1206</v>
      </c>
      <c r="E3069" s="5" t="s">
        <v>21454</v>
      </c>
      <c r="F3069" s="5" t="s">
        <v>212</v>
      </c>
      <c r="G3069" s="5" t="s">
        <v>21455</v>
      </c>
      <c r="H3069" s="6" t="s">
        <v>21456</v>
      </c>
      <c r="K3069" s="5" t="s">
        <v>21450</v>
      </c>
      <c r="M3069" s="5" t="s">
        <v>21457</v>
      </c>
      <c r="N3069" s="7" t="s">
        <v>21458</v>
      </c>
      <c r="O3069" s="8" t="str">
        <f>HYPERLINK("https://drive.google.com/file/d/1RQT3ukYvOPxHwZCZfXnvO92XrzxpIqJu/view?usp=drivesdk","3068_RIKA AINUR ROKHMAH _ SERTIFIKAT BerAKHLAK")</f>
        <v>3068_RIKA AINUR ROKHMAH _ SERTIFIKAT BerAKHLAK</v>
      </c>
      <c r="P3069" s="5" t="s">
        <v>21459</v>
      </c>
    </row>
    <row r="3070">
      <c r="A3070" s="4">
        <v>45534.342966944445</v>
      </c>
      <c r="B3070" s="5" t="s">
        <v>34</v>
      </c>
      <c r="D3070" s="5" t="s">
        <v>4775</v>
      </c>
      <c r="E3070" s="5" t="s">
        <v>21460</v>
      </c>
      <c r="F3070" s="5" t="s">
        <v>212</v>
      </c>
      <c r="G3070" s="5" t="s">
        <v>21461</v>
      </c>
      <c r="H3070" s="6" t="s">
        <v>21462</v>
      </c>
      <c r="K3070" s="5" t="s">
        <v>21450</v>
      </c>
      <c r="M3070" s="5" t="s">
        <v>21463</v>
      </c>
      <c r="N3070" s="7" t="s">
        <v>21464</v>
      </c>
      <c r="O3070" s="8" t="str">
        <f>HYPERLINK("https://drive.google.com/file/d/10t7JpoUAKMfzBlgW_6BA_fBujc9dXjmQ/view?usp=drivesdk","3069_HAMID SYARIP _ SERTIFIKAT BerAKHLAK")</f>
        <v>3069_HAMID SYARIP _ SERTIFIKAT BerAKHLAK</v>
      </c>
      <c r="P3070" s="5" t="s">
        <v>21465</v>
      </c>
    </row>
    <row r="3071">
      <c r="A3071" s="4">
        <v>45534.34297675926</v>
      </c>
      <c r="B3071" s="5" t="s">
        <v>34</v>
      </c>
      <c r="D3071" s="5" t="s">
        <v>1206</v>
      </c>
      <c r="E3071" s="5" t="s">
        <v>21466</v>
      </c>
      <c r="F3071" s="5" t="s">
        <v>5859</v>
      </c>
      <c r="G3071" s="5" t="s">
        <v>21467</v>
      </c>
      <c r="H3071" s="6" t="s">
        <v>21468</v>
      </c>
      <c r="K3071" s="5" t="s">
        <v>21450</v>
      </c>
      <c r="M3071" s="5" t="s">
        <v>21469</v>
      </c>
      <c r="N3071" s="7" t="s">
        <v>21470</v>
      </c>
      <c r="O3071" s="8" t="str">
        <f>HYPERLINK("https://drive.google.com/file/d/1ZcGECjajP1GxklK6XdA_fqysoP8A3Ua3/view?usp=drivesdk","3070_JURU MULUD _ SERTIFIKAT BerAKHLAK")</f>
        <v>3070_JURU MULUD _ SERTIFIKAT BerAKHLAK</v>
      </c>
      <c r="P3071" s="5" t="s">
        <v>21471</v>
      </c>
    </row>
    <row r="3072">
      <c r="A3072" s="4">
        <v>45534.34297701389</v>
      </c>
      <c r="B3072" s="5" t="s">
        <v>34</v>
      </c>
      <c r="D3072" s="5" t="s">
        <v>1206</v>
      </c>
      <c r="E3072" s="5" t="s">
        <v>21472</v>
      </c>
      <c r="F3072" s="5" t="s">
        <v>212</v>
      </c>
      <c r="G3072" s="5" t="s">
        <v>21473</v>
      </c>
      <c r="H3072" s="6" t="s">
        <v>21474</v>
      </c>
      <c r="I3072" s="7" t="s">
        <v>21475</v>
      </c>
      <c r="J3072" s="8" t="str">
        <f>HYPERLINK("https://drive.google.com/file/d/1VYiInd5KuB53xMxq4Yk6ChNPhgkboIRR/view?usp=drivesdk","MOH. ANDANI SERTIFIKAT BerAKHLAK")</f>
        <v>MOH. ANDANI SERTIFIKAT BerAKHLAK</v>
      </c>
      <c r="K3072" s="5" t="s">
        <v>20391</v>
      </c>
      <c r="L3072" s="5" t="s">
        <v>21476</v>
      </c>
      <c r="M3072" s="5" t="s">
        <v>21477</v>
      </c>
      <c r="N3072" s="7" t="s">
        <v>21478</v>
      </c>
      <c r="O3072" s="8" t="str">
        <f>HYPERLINK("https://drive.google.com/file/d/1EyeAAW4S0CAcWSpUFhqI3FIwdPeO-qcf/view?usp=drivesdk","3071_MOH. ANDANI _ SERTIFIKAT BerAKHLAK")</f>
        <v>3071_MOH. ANDANI _ SERTIFIKAT BerAKHLAK</v>
      </c>
      <c r="P3072" s="5" t="s">
        <v>21479</v>
      </c>
    </row>
    <row r="3073">
      <c r="A3073" s="4">
        <v>45534.34297875</v>
      </c>
      <c r="B3073" s="5" t="s">
        <v>34</v>
      </c>
      <c r="D3073" s="5" t="s">
        <v>1558</v>
      </c>
      <c r="E3073" s="5" t="s">
        <v>21480</v>
      </c>
      <c r="F3073" s="5" t="s">
        <v>108</v>
      </c>
      <c r="G3073" s="5" t="s">
        <v>21481</v>
      </c>
      <c r="H3073" s="6" t="s">
        <v>21482</v>
      </c>
      <c r="I3073" s="7" t="s">
        <v>21483</v>
      </c>
      <c r="J3073" s="8" t="str">
        <f>HYPERLINK("https://drive.google.com/file/d/1LQkws5BKmRljVMz6r4DIAgagd-nYVCjO/view?usp=drivesdk","FAUZIAH, A. Md SERTIFIKAT BerAKHLAK")</f>
        <v>FAUZIAH, A. Md SERTIFIKAT BerAKHLAK</v>
      </c>
      <c r="K3073" s="5" t="s">
        <v>20391</v>
      </c>
      <c r="L3073" s="5" t="s">
        <v>21484</v>
      </c>
      <c r="M3073" s="5" t="s">
        <v>21485</v>
      </c>
      <c r="N3073" s="7" t="s">
        <v>21486</v>
      </c>
      <c r="O3073" s="8" t="str">
        <f>HYPERLINK("https://drive.google.com/file/d/1hF9L5KUC7WvNWGbySNwiUitdwGDKAJmK/view?usp=drivesdk","3072_FAUZIAH, A. Md _ SERTIFIKAT BerAKHLAK")</f>
        <v>3072_FAUZIAH, A. Md _ SERTIFIKAT BerAKHLAK</v>
      </c>
      <c r="P3073" s="5" t="s">
        <v>21487</v>
      </c>
    </row>
    <row r="3074">
      <c r="A3074" s="4">
        <v>45534.34298556713</v>
      </c>
      <c r="B3074" s="5" t="s">
        <v>34</v>
      </c>
      <c r="D3074" s="5" t="s">
        <v>3849</v>
      </c>
      <c r="E3074" s="5" t="s">
        <v>21488</v>
      </c>
      <c r="F3074" s="5" t="s">
        <v>37</v>
      </c>
      <c r="G3074" s="5" t="s">
        <v>21489</v>
      </c>
      <c r="H3074" s="6" t="s">
        <v>21490</v>
      </c>
      <c r="K3074" s="5" t="s">
        <v>21491</v>
      </c>
      <c r="M3074" s="5" t="s">
        <v>21492</v>
      </c>
      <c r="N3074" s="7" t="s">
        <v>21493</v>
      </c>
      <c r="O3074" s="8" t="str">
        <f>HYPERLINK("https://drive.google.com/file/d/10JHvMP2qB9zf8aD19lKv4QWgef0SrsmE/view?usp=drivesdk","3073_HARUM AGUSLANI _ SERTIFIKAT BerAKHLAK")</f>
        <v>3073_HARUM AGUSLANI _ SERTIFIKAT BerAKHLAK</v>
      </c>
      <c r="P3074" s="5" t="s">
        <v>21494</v>
      </c>
    </row>
    <row r="3075">
      <c r="A3075" s="4">
        <v>45534.34300032408</v>
      </c>
      <c r="B3075" s="5" t="s">
        <v>34</v>
      </c>
      <c r="D3075" s="5" t="s">
        <v>35</v>
      </c>
      <c r="E3075" s="5" t="s">
        <v>21495</v>
      </c>
      <c r="F3075" s="5" t="s">
        <v>524</v>
      </c>
      <c r="G3075" s="5" t="s">
        <v>21496</v>
      </c>
      <c r="H3075" s="6" t="s">
        <v>21497</v>
      </c>
      <c r="K3075" s="5" t="s">
        <v>21491</v>
      </c>
      <c r="M3075" s="5" t="s">
        <v>21498</v>
      </c>
      <c r="N3075" s="7" t="s">
        <v>21499</v>
      </c>
      <c r="O3075" s="8" t="str">
        <f>HYPERLINK("https://drive.google.com/file/d/1NXrVuXxBS9ReHGzAENcWpUSThUYkDYMP/view?usp=drivesdk","3074_TATARINA PRASASTI _ SERTIFIKAT BerAKHLAK")</f>
        <v>3074_TATARINA PRASASTI _ SERTIFIKAT BerAKHLAK</v>
      </c>
      <c r="P3075" s="5" t="s">
        <v>21500</v>
      </c>
    </row>
    <row r="3076">
      <c r="A3076" s="4">
        <v>45534.34300046296</v>
      </c>
      <c r="B3076" s="5" t="s">
        <v>34</v>
      </c>
      <c r="D3076" s="5" t="s">
        <v>10444</v>
      </c>
      <c r="E3076" s="5" t="s">
        <v>21501</v>
      </c>
      <c r="F3076" s="5" t="s">
        <v>72</v>
      </c>
      <c r="G3076" s="5" t="s">
        <v>21502</v>
      </c>
      <c r="H3076" s="6" t="s">
        <v>21503</v>
      </c>
      <c r="K3076" s="5" t="s">
        <v>21491</v>
      </c>
      <c r="M3076" s="5" t="s">
        <v>21504</v>
      </c>
      <c r="N3076" s="7" t="s">
        <v>21505</v>
      </c>
      <c r="O3076" s="8" t="str">
        <f>HYPERLINK("https://drive.google.com/file/d/1x5g5ZBfizYLWdG9HBkG_zR-fINtZ5x1A/view?usp=drivesdk","3075_HENNY LESTARI, S.E. _ SERTIFIKAT BerAKHLAK")</f>
        <v>3075_HENNY LESTARI, S.E. _ SERTIFIKAT BerAKHLAK</v>
      </c>
      <c r="P3076" s="5" t="s">
        <v>21506</v>
      </c>
    </row>
    <row r="3077">
      <c r="A3077" s="4">
        <v>45534.34300594908</v>
      </c>
      <c r="B3077" s="5" t="s">
        <v>34</v>
      </c>
      <c r="D3077" s="5" t="s">
        <v>701</v>
      </c>
      <c r="E3077" s="5" t="s">
        <v>21507</v>
      </c>
      <c r="F3077" s="5" t="s">
        <v>108</v>
      </c>
      <c r="G3077" s="5" t="s">
        <v>21508</v>
      </c>
      <c r="H3077" s="6" t="s">
        <v>21509</v>
      </c>
      <c r="K3077" s="5" t="s">
        <v>21491</v>
      </c>
      <c r="M3077" s="5" t="s">
        <v>21510</v>
      </c>
      <c r="N3077" s="7" t="s">
        <v>21511</v>
      </c>
      <c r="O3077" s="8" t="str">
        <f>HYPERLINK("https://drive.google.com/file/d/1xcJu-lX-e9aEm7FdcjfBHMzNOCpzKMjq/view?usp=drivesdk","3076_dr.YUDI CANDRA _ SERTIFIKAT BerAKHLAK")</f>
        <v>3076_dr.YUDI CANDRA _ SERTIFIKAT BerAKHLAK</v>
      </c>
      <c r="P3077" s="5" t="s">
        <v>21512</v>
      </c>
    </row>
    <row r="3078">
      <c r="A3078" s="4">
        <v>45534.34302137731</v>
      </c>
      <c r="B3078" s="5" t="s">
        <v>34</v>
      </c>
      <c r="D3078" s="5" t="s">
        <v>4775</v>
      </c>
      <c r="E3078" s="5" t="s">
        <v>21513</v>
      </c>
      <c r="F3078" s="5" t="s">
        <v>37</v>
      </c>
      <c r="G3078" s="5" t="s">
        <v>21514</v>
      </c>
      <c r="H3078" s="6" t="s">
        <v>21515</v>
      </c>
      <c r="I3078" s="7" t="s">
        <v>21516</v>
      </c>
      <c r="J3078" s="8" t="str">
        <f>HYPERLINK("https://drive.google.com/file/d/1qY9lciUE04CPvrSiEQX-zuLF4qKpRvey/view?usp=drivesdk","AKHMAD JAELANI SERTIFIKAT BerAKHLAK")</f>
        <v>AKHMAD JAELANI SERTIFIKAT BerAKHLAK</v>
      </c>
      <c r="K3078" s="5" t="s">
        <v>20391</v>
      </c>
      <c r="L3078" s="5" t="s">
        <v>21517</v>
      </c>
      <c r="M3078" s="5" t="s">
        <v>21518</v>
      </c>
      <c r="N3078" s="7" t="s">
        <v>21519</v>
      </c>
      <c r="O3078" s="8" t="str">
        <f>HYPERLINK("https://drive.google.com/file/d/1dMyDBoHCB9_IfF4nmfphzP0ofzUTgiXw/view?usp=drivesdk","3077_AKHMAD JAELANI _ SERTIFIKAT BerAKHLAK")</f>
        <v>3077_AKHMAD JAELANI _ SERTIFIKAT BerAKHLAK</v>
      </c>
      <c r="P3078" s="5" t="s">
        <v>21520</v>
      </c>
    </row>
    <row r="3079">
      <c r="A3079" s="4">
        <v>45534.34302986111</v>
      </c>
      <c r="B3079" s="5" t="s">
        <v>34</v>
      </c>
      <c r="D3079" s="5" t="s">
        <v>1768</v>
      </c>
      <c r="E3079" s="5" t="s">
        <v>21521</v>
      </c>
      <c r="F3079" s="5" t="s">
        <v>212</v>
      </c>
      <c r="G3079" s="5" t="s">
        <v>21522</v>
      </c>
      <c r="H3079" s="6" t="s">
        <v>21523</v>
      </c>
      <c r="I3079" s="7" t="s">
        <v>21524</v>
      </c>
      <c r="J3079" s="8" t="str">
        <f>HYPERLINK("https://drive.google.com/file/d/1fYVP5eJsgmGcnTzmtY1QMaWK0MoL7hLj/view?usp=drivesdk","SUPIYATI SERTIFIKAT BerAKHLAK")</f>
        <v>SUPIYATI SERTIFIKAT BerAKHLAK</v>
      </c>
      <c r="K3079" s="5" t="s">
        <v>20391</v>
      </c>
      <c r="L3079" s="5" t="s">
        <v>21525</v>
      </c>
      <c r="M3079" s="5" t="s">
        <v>21526</v>
      </c>
      <c r="N3079" s="7" t="s">
        <v>21527</v>
      </c>
      <c r="O3079" s="8" t="str">
        <f>HYPERLINK("https://drive.google.com/file/d/1MqqBizgtoXSECiKYjDIyKWk_02IdTgoB/view?usp=drivesdk","3078_SUPIYATI _ SERTIFIKAT BerAKHLAK")</f>
        <v>3078_SUPIYATI _ SERTIFIKAT BerAKHLAK</v>
      </c>
      <c r="P3079" s="5" t="s">
        <v>21528</v>
      </c>
    </row>
    <row r="3080">
      <c r="A3080" s="4">
        <v>45534.343038692125</v>
      </c>
      <c r="B3080" s="5" t="s">
        <v>34</v>
      </c>
      <c r="D3080" s="5" t="s">
        <v>1206</v>
      </c>
      <c r="E3080" s="5" t="s">
        <v>21529</v>
      </c>
      <c r="F3080" s="5" t="s">
        <v>212</v>
      </c>
      <c r="G3080" s="5" t="s">
        <v>21530</v>
      </c>
      <c r="H3080" s="6" t="s">
        <v>21531</v>
      </c>
      <c r="I3080" s="7" t="s">
        <v>21532</v>
      </c>
      <c r="J3080" s="8" t="str">
        <f>HYPERLINK("https://drive.google.com/file/d/18_eH09DSjzmQLfI_TUohWHO6fWODqubK/view?usp=drivesdk","NUR ALI NUGROHO SERTIFIKAT BerAKHLAK")</f>
        <v>NUR ALI NUGROHO SERTIFIKAT BerAKHLAK</v>
      </c>
      <c r="K3080" s="5" t="s">
        <v>20391</v>
      </c>
      <c r="L3080" s="5" t="s">
        <v>21533</v>
      </c>
      <c r="M3080" s="5" t="s">
        <v>21534</v>
      </c>
      <c r="N3080" s="7" t="s">
        <v>21535</v>
      </c>
      <c r="O3080" s="8" t="str">
        <f>HYPERLINK("https://drive.google.com/file/d/1jAeV8Rx9ejOKtuVJc-y5g3DcUIm8SP3H/view?usp=drivesdk","3079_NUR ALI NUGROHO _ SERTIFIKAT BerAKHLAK")</f>
        <v>3079_NUR ALI NUGROHO _ SERTIFIKAT BerAKHLAK</v>
      </c>
      <c r="P3080" s="5" t="s">
        <v>21536</v>
      </c>
    </row>
    <row r="3081">
      <c r="A3081" s="4">
        <v>45534.34305564815</v>
      </c>
      <c r="B3081" s="5" t="s">
        <v>34</v>
      </c>
      <c r="D3081" s="5" t="s">
        <v>7858</v>
      </c>
      <c r="E3081" s="5" t="s">
        <v>21537</v>
      </c>
      <c r="F3081" s="5" t="s">
        <v>524</v>
      </c>
      <c r="G3081" s="5" t="s">
        <v>21538</v>
      </c>
      <c r="H3081" s="6" t="s">
        <v>21539</v>
      </c>
      <c r="K3081" s="5" t="s">
        <v>21540</v>
      </c>
      <c r="M3081" s="5" t="s">
        <v>21541</v>
      </c>
      <c r="N3081" s="7" t="s">
        <v>21542</v>
      </c>
      <c r="O3081" s="8" t="str">
        <f>HYPERLINK("https://drive.google.com/file/d/1b5k3ojSgkUjhqeA2FkW9asMJduUPNJjP/view?usp=drivesdk","3080_TIM TIM PURNAMININGSIH,Amd.Kep _ SERTIFIKAT BerAKHLAK")</f>
        <v>3080_TIM TIM PURNAMININGSIH,Amd.Kep _ SERTIFIKAT BerAKHLAK</v>
      </c>
      <c r="P3081" s="5" t="s">
        <v>21543</v>
      </c>
    </row>
    <row r="3082">
      <c r="A3082" s="4">
        <v>45534.343056134254</v>
      </c>
      <c r="B3082" s="5" t="s">
        <v>34</v>
      </c>
      <c r="D3082" s="5" t="s">
        <v>522</v>
      </c>
      <c r="E3082" s="5" t="s">
        <v>21544</v>
      </c>
      <c r="F3082" s="5" t="s">
        <v>375</v>
      </c>
      <c r="G3082" s="5" t="s">
        <v>21545</v>
      </c>
      <c r="H3082" s="6" t="s">
        <v>21546</v>
      </c>
      <c r="K3082" s="5" t="s">
        <v>21540</v>
      </c>
      <c r="M3082" s="5" t="s">
        <v>21547</v>
      </c>
      <c r="N3082" s="7" t="s">
        <v>21548</v>
      </c>
      <c r="O3082" s="8" t="str">
        <f>HYPERLINK("https://drive.google.com/file/d/1-jgXzDzqA4BzgS9NeNmp5UBv1WMARO6j/view?usp=drivesdk","3081_I GUSTI NYOMAN MAHAYANA, ST _ SERTIFIKAT BerAKHLAK")</f>
        <v>3081_I GUSTI NYOMAN MAHAYANA, ST _ SERTIFIKAT BerAKHLAK</v>
      </c>
      <c r="P3082" s="5" t="s">
        <v>21549</v>
      </c>
    </row>
    <row r="3083">
      <c r="A3083" s="4">
        <v>45534.34305938658</v>
      </c>
      <c r="B3083" s="5" t="s">
        <v>34</v>
      </c>
      <c r="D3083" s="5" t="s">
        <v>4775</v>
      </c>
      <c r="E3083" s="5" t="s">
        <v>21550</v>
      </c>
      <c r="F3083" s="5" t="s">
        <v>199</v>
      </c>
      <c r="G3083" s="5" t="s">
        <v>21551</v>
      </c>
      <c r="H3083" s="6" t="s">
        <v>21552</v>
      </c>
      <c r="K3083" s="5" t="s">
        <v>21540</v>
      </c>
      <c r="M3083" s="5" t="s">
        <v>21553</v>
      </c>
      <c r="N3083" s="7" t="s">
        <v>21554</v>
      </c>
      <c r="O3083" s="8" t="str">
        <f>HYPERLINK("https://drive.google.com/file/d/19m-CuAJLwelk_wpxlZFn89z6mFhdbFRr/view?usp=drivesdk","3082_PARYONO _ SERTIFIKAT BerAKHLAK")</f>
        <v>3082_PARYONO _ SERTIFIKAT BerAKHLAK</v>
      </c>
      <c r="P3083" s="5" t="s">
        <v>21555</v>
      </c>
    </row>
    <row r="3084">
      <c r="A3084" s="4">
        <v>45534.34306925926</v>
      </c>
      <c r="B3084" s="5" t="s">
        <v>34</v>
      </c>
      <c r="D3084" s="5" t="s">
        <v>4775</v>
      </c>
      <c r="E3084" s="5" t="s">
        <v>21556</v>
      </c>
      <c r="F3084" s="5" t="s">
        <v>212</v>
      </c>
      <c r="G3084" s="5" t="s">
        <v>21557</v>
      </c>
      <c r="H3084" s="6" t="s">
        <v>21558</v>
      </c>
      <c r="I3084" s="7" t="s">
        <v>21559</v>
      </c>
      <c r="J3084" s="8" t="str">
        <f>HYPERLINK("https://drive.google.com/file/d/1MfVl3eCjRlAsv2S7cR1I2kEB2OdqMQDu/view?usp=drivesdk","ASTY TRIANDINI,AMd Keb SERTIFIKAT BerAKHLAK")</f>
        <v>ASTY TRIANDINI,AMd Keb SERTIFIKAT BerAKHLAK</v>
      </c>
      <c r="K3084" s="5" t="s">
        <v>20391</v>
      </c>
      <c r="L3084" s="5" t="s">
        <v>21560</v>
      </c>
      <c r="M3084" s="5" t="s">
        <v>21561</v>
      </c>
      <c r="N3084" s="7" t="s">
        <v>21562</v>
      </c>
      <c r="O3084" s="8" t="str">
        <f>HYPERLINK("https://drive.google.com/file/d/1opJ7-w_Prrk3kTt4iokFJjX614GoKmkx/view?usp=drivesdk","3083_ASTY TRIANDINI,AMd Keb _ SERTIFIKAT BerAKHLAK")</f>
        <v>3083_ASTY TRIANDINI,AMd Keb _ SERTIFIKAT BerAKHLAK</v>
      </c>
      <c r="P3084" s="5" t="s">
        <v>21563</v>
      </c>
    </row>
    <row r="3085">
      <c r="A3085" s="4">
        <v>45534.343070717594</v>
      </c>
      <c r="B3085" s="5" t="s">
        <v>34</v>
      </c>
      <c r="D3085" s="5" t="s">
        <v>1206</v>
      </c>
      <c r="E3085" s="5" t="s">
        <v>21564</v>
      </c>
      <c r="F3085" s="5" t="s">
        <v>375</v>
      </c>
      <c r="G3085" s="5" t="s">
        <v>21565</v>
      </c>
      <c r="H3085" s="6" t="s">
        <v>21566</v>
      </c>
      <c r="I3085" s="7" t="s">
        <v>21567</v>
      </c>
      <c r="J3085" s="8" t="str">
        <f>HYPERLINK("https://drive.google.com/file/d/1kZsb6_wPQ7l2ynCY3oS0N6mEvEvyzeAo/view?usp=drivesdk","DWI ANA SASVIYANI. S.Psi SERTIFIKAT BerAKHLAK")</f>
        <v>DWI ANA SASVIYANI. S.Psi SERTIFIKAT BerAKHLAK</v>
      </c>
      <c r="K3085" s="5" t="s">
        <v>20391</v>
      </c>
      <c r="L3085" s="5" t="s">
        <v>21568</v>
      </c>
      <c r="M3085" s="5" t="s">
        <v>21569</v>
      </c>
      <c r="N3085" s="7" t="s">
        <v>21570</v>
      </c>
      <c r="O3085" s="8" t="str">
        <f>HYPERLINK("https://drive.google.com/file/d/1pUWKK4P4DPmKgPgk7FEHOxcj1OJtjtwl/view?usp=drivesdk","3084_DWI ANA SASVIYANI. S.Psi _ SERTIFIKAT BerAKHLAK")</f>
        <v>3084_DWI ANA SASVIYANI. S.Psi _ SERTIFIKAT BerAKHLAK</v>
      </c>
      <c r="P3085" s="5" t="s">
        <v>21571</v>
      </c>
    </row>
    <row r="3086">
      <c r="A3086" s="4">
        <v>45534.343071724536</v>
      </c>
      <c r="B3086" s="5" t="s">
        <v>34</v>
      </c>
      <c r="D3086" s="5" t="s">
        <v>1456</v>
      </c>
      <c r="E3086" s="5" t="s">
        <v>21572</v>
      </c>
      <c r="F3086" s="5" t="s">
        <v>108</v>
      </c>
      <c r="G3086" s="5" t="s">
        <v>21573</v>
      </c>
      <c r="H3086" s="6" t="s">
        <v>21574</v>
      </c>
      <c r="I3086" s="7" t="s">
        <v>21575</v>
      </c>
      <c r="J3086" s="8" t="str">
        <f>HYPERLINK("https://drive.google.com/file/d/1iT1ODZ7qsdFmH22tU10AFyH2dZXgsW2W/view?usp=drivesdk","YULI AFRIANI, S.E SERTIFIKAT BerAKHLAK")</f>
        <v>YULI AFRIANI, S.E SERTIFIKAT BerAKHLAK</v>
      </c>
      <c r="K3086" s="5" t="s">
        <v>21426</v>
      </c>
      <c r="L3086" s="5" t="s">
        <v>21576</v>
      </c>
      <c r="M3086" s="5" t="s">
        <v>21577</v>
      </c>
      <c r="N3086" s="7" t="s">
        <v>21578</v>
      </c>
      <c r="O3086" s="8" t="str">
        <f>HYPERLINK("https://drive.google.com/file/d/1_v9iYKtWaQWSER6QGNOjnw5d0z6iZcS4/view?usp=drivesdk","3085_YULI AFRIANI, S.E _ SERTIFIKAT BerAKHLAK")</f>
        <v>3085_YULI AFRIANI, S.E _ SERTIFIKAT BerAKHLAK</v>
      </c>
      <c r="P3086" s="5" t="s">
        <v>21579</v>
      </c>
    </row>
    <row r="3087">
      <c r="A3087" s="4">
        <v>45534.34308153935</v>
      </c>
      <c r="B3087" s="5" t="s">
        <v>34</v>
      </c>
      <c r="D3087" s="5" t="s">
        <v>975</v>
      </c>
      <c r="E3087" s="5" t="s">
        <v>21580</v>
      </c>
      <c r="F3087" s="5" t="s">
        <v>108</v>
      </c>
      <c r="G3087" s="5" t="s">
        <v>21581</v>
      </c>
      <c r="H3087" s="6" t="s">
        <v>21582</v>
      </c>
      <c r="K3087" s="5" t="s">
        <v>21583</v>
      </c>
      <c r="M3087" s="5" t="s">
        <v>21584</v>
      </c>
      <c r="N3087" s="7" t="s">
        <v>21585</v>
      </c>
      <c r="O3087" s="8" t="str">
        <f>HYPERLINK("https://drive.google.com/file/d/1E18gWp9WWY0WS9930AooirIGQ-ptsvrd/view?usp=drivesdk","3086_FRISKA INDRYANI SITORUS, S.PSI. _ SERTIFIKAT BerAKHLAK")</f>
        <v>3086_FRISKA INDRYANI SITORUS, S.PSI. _ SERTIFIKAT BerAKHLAK</v>
      </c>
      <c r="P3087" s="5" t="s">
        <v>21586</v>
      </c>
    </row>
    <row r="3088" hidden="1">
      <c r="A3088" s="4">
        <v>45534.34308357639</v>
      </c>
      <c r="B3088" s="5" t="s">
        <v>19</v>
      </c>
      <c r="C3088" s="5" t="s">
        <v>292</v>
      </c>
      <c r="E3088" s="5" t="s">
        <v>21587</v>
      </c>
      <c r="F3088" s="5" t="s">
        <v>37</v>
      </c>
      <c r="G3088" s="5" t="s">
        <v>21588</v>
      </c>
      <c r="H3088" s="6" t="s">
        <v>21589</v>
      </c>
      <c r="K3088" s="5" t="s">
        <v>21583</v>
      </c>
      <c r="M3088" s="5" t="s">
        <v>21590</v>
      </c>
      <c r="N3088" s="7" t="s">
        <v>21591</v>
      </c>
      <c r="O3088" s="8" t="str">
        <f>HYPERLINK("https://drive.google.com/file/d/1Vn7qr2SldlEFBhyF1H7OmuMHqREGO65S/view?usp=drivesdk","3087_FALDI RENALDI, A.Md.Ft. _ SERTIFIKAT BerAKHLAK")</f>
        <v>3087_FALDI RENALDI, A.Md.Ft. _ SERTIFIKAT BerAKHLAK</v>
      </c>
      <c r="P3088" s="5" t="s">
        <v>21592</v>
      </c>
    </row>
    <row r="3089">
      <c r="A3089" s="4">
        <v>45534.34308381945</v>
      </c>
      <c r="B3089" s="5" t="s">
        <v>34</v>
      </c>
      <c r="D3089" s="5" t="s">
        <v>1206</v>
      </c>
      <c r="E3089" s="5" t="s">
        <v>21593</v>
      </c>
      <c r="F3089" s="5" t="s">
        <v>37</v>
      </c>
      <c r="G3089" s="5" t="s">
        <v>21594</v>
      </c>
      <c r="H3089" s="6" t="s">
        <v>21595</v>
      </c>
      <c r="K3089" s="5" t="s">
        <v>21583</v>
      </c>
      <c r="M3089" s="5" t="s">
        <v>21596</v>
      </c>
      <c r="N3089" s="7" t="s">
        <v>21597</v>
      </c>
      <c r="O3089" s="8" t="str">
        <f>HYPERLINK("https://drive.google.com/file/d/12J_7nuG8xB2whyBmBQAN2FXOIQhLeh16/view?usp=drivesdk","3088_MURNI RAHAJU _ SERTIFIKAT BerAKHLAK")</f>
        <v>3088_MURNI RAHAJU _ SERTIFIKAT BerAKHLAK</v>
      </c>
      <c r="P3089" s="5" t="s">
        <v>21598</v>
      </c>
    </row>
    <row r="3090">
      <c r="A3090" s="4">
        <v>45534.34309137732</v>
      </c>
      <c r="B3090" s="5" t="s">
        <v>34</v>
      </c>
      <c r="D3090" s="5" t="s">
        <v>9020</v>
      </c>
      <c r="E3090" s="5" t="s">
        <v>21599</v>
      </c>
      <c r="F3090" s="5" t="s">
        <v>108</v>
      </c>
      <c r="G3090" s="5" t="s">
        <v>21600</v>
      </c>
      <c r="H3090" s="6" t="s">
        <v>21601</v>
      </c>
      <c r="I3090" s="7" t="s">
        <v>21602</v>
      </c>
      <c r="J3090" s="8" t="str">
        <f>HYPERLINK("https://drive.google.com/file/d/1gxT5bTNo6Xn3rxPi5xo7GnfoFoE3f7hk/view?usp=drivesdk","POLMAN SIRAIT SERTIFIKAT BerAKHLAK")</f>
        <v>POLMAN SIRAIT SERTIFIKAT BerAKHLAK</v>
      </c>
      <c r="K3090" s="5" t="s">
        <v>20391</v>
      </c>
      <c r="L3090" s="5" t="s">
        <v>21603</v>
      </c>
      <c r="M3090" s="5" t="s">
        <v>21604</v>
      </c>
      <c r="N3090" s="7" t="s">
        <v>21605</v>
      </c>
      <c r="O3090" s="8" t="str">
        <f>HYPERLINK("https://drive.google.com/file/d/1b0ySu_1ue8mkGF0ggntJ9Jr0AUp8Lmg0/view?usp=drivesdk","3089_POLMAN SIRAIT _ SERTIFIKAT BerAKHLAK")</f>
        <v>3089_POLMAN SIRAIT _ SERTIFIKAT BerAKHLAK</v>
      </c>
      <c r="P3090" s="5" t="s">
        <v>21606</v>
      </c>
    </row>
    <row r="3091" hidden="1">
      <c r="A3091" s="4">
        <v>45534.34309928241</v>
      </c>
      <c r="B3091" s="5" t="s">
        <v>19</v>
      </c>
      <c r="C3091" s="5" t="s">
        <v>3301</v>
      </c>
      <c r="E3091" s="5" t="s">
        <v>21607</v>
      </c>
      <c r="F3091" s="5" t="s">
        <v>120</v>
      </c>
      <c r="G3091" s="5" t="s">
        <v>21608</v>
      </c>
      <c r="H3091" s="6" t="s">
        <v>21609</v>
      </c>
      <c r="I3091" s="7" t="s">
        <v>21610</v>
      </c>
      <c r="J3091" s="8" t="str">
        <f>HYPERLINK("https://drive.google.com/file/d/1Z5z0u3EJ2g9PeYUVi5E9TgNsDc_DPkNd/view?usp=drivesdk","dr.Veronika Eppana Silaen SERTIFIKAT BerAKHLAK")</f>
        <v>dr.Veronika Eppana Silaen SERTIFIKAT BerAKHLAK</v>
      </c>
      <c r="K3091" s="5" t="s">
        <v>20391</v>
      </c>
      <c r="L3091" s="5" t="s">
        <v>21611</v>
      </c>
      <c r="M3091" s="5" t="s">
        <v>21612</v>
      </c>
      <c r="N3091" s="7" t="s">
        <v>21613</v>
      </c>
      <c r="O3091" s="8" t="str">
        <f>HYPERLINK("https://drive.google.com/file/d/1NMEqu6I-Rh43X7y0lB2_SZB-a7hKbNWf/view?usp=drivesdk","3090_dr.Veronika Eppana Silaen _ SERTIFIKAT BerAKHLAK")</f>
        <v>3090_dr.Veronika Eppana Silaen _ SERTIFIKAT BerAKHLAK</v>
      </c>
      <c r="P3091" s="5" t="s">
        <v>21614</v>
      </c>
    </row>
    <row r="3092">
      <c r="A3092" s="4">
        <v>45534.34310731481</v>
      </c>
      <c r="B3092" s="5" t="s">
        <v>34</v>
      </c>
      <c r="D3092" s="5" t="s">
        <v>9020</v>
      </c>
      <c r="E3092" s="5" t="s">
        <v>21615</v>
      </c>
      <c r="F3092" s="5" t="s">
        <v>212</v>
      </c>
      <c r="G3092" s="5" t="s">
        <v>21616</v>
      </c>
      <c r="H3092" s="6" t="s">
        <v>21617</v>
      </c>
      <c r="I3092" s="7" t="s">
        <v>21618</v>
      </c>
      <c r="J3092" s="8" t="str">
        <f>HYPERLINK("https://drive.google.com/file/d/1OQmmios2K-kyFH7ZOnS_cLVoB4cTiEOB/view?usp=drivesdk","RATNA JUITA BR PINEM SERTIFIKAT BerAKHLAK")</f>
        <v>RATNA JUITA BR PINEM SERTIFIKAT BerAKHLAK</v>
      </c>
      <c r="K3092" s="5" t="s">
        <v>20391</v>
      </c>
      <c r="L3092" s="5" t="s">
        <v>21619</v>
      </c>
      <c r="M3092" s="5" t="s">
        <v>21620</v>
      </c>
      <c r="N3092" s="7" t="s">
        <v>21621</v>
      </c>
      <c r="O3092" s="8" t="str">
        <f>HYPERLINK("https://drive.google.com/file/d/1VIwuX1XRiugxwoHWk-N80WYtx6EKjqZs/view?usp=drivesdk","3091_RATNA JUITA BR PINEM _ SERTIFIKAT BerAKHLAK")</f>
        <v>3091_RATNA JUITA BR PINEM _ SERTIFIKAT BerAKHLAK</v>
      </c>
      <c r="P3092" s="5" t="s">
        <v>21622</v>
      </c>
    </row>
    <row r="3093">
      <c r="A3093" s="4">
        <v>45534.34310912037</v>
      </c>
      <c r="B3093" s="5" t="s">
        <v>34</v>
      </c>
      <c r="D3093" s="5" t="s">
        <v>1206</v>
      </c>
      <c r="E3093" s="5" t="s">
        <v>21623</v>
      </c>
      <c r="F3093" s="5" t="s">
        <v>37</v>
      </c>
      <c r="G3093" s="5" t="s">
        <v>21624</v>
      </c>
      <c r="H3093" s="6" t="s">
        <v>21625</v>
      </c>
      <c r="I3093" s="7" t="s">
        <v>21626</v>
      </c>
      <c r="J3093" s="8" t="str">
        <f>HYPERLINK("https://drive.google.com/file/d/1SPfj3xKJFuWSbD3dtYEg-55bpjq6lD9Y/view?usp=drivesdk","AKHMAD SYARIFUDIN SERTIFIKAT BerAKHLAK")</f>
        <v>AKHMAD SYARIFUDIN SERTIFIKAT BerAKHLAK</v>
      </c>
      <c r="K3093" s="5" t="s">
        <v>21627</v>
      </c>
      <c r="L3093" s="5" t="s">
        <v>21628</v>
      </c>
      <c r="M3093" s="5" t="s">
        <v>21629</v>
      </c>
      <c r="N3093" s="7" t="s">
        <v>21630</v>
      </c>
      <c r="O3093" s="8" t="str">
        <f>HYPERLINK("https://drive.google.com/file/d/1iWET87gpkJac6tR03FStkc1YVJL4O--L/view?usp=drivesdk","3092_AKHMAD SYARIFUDIN _ SERTIFIKAT BerAKHLAK")</f>
        <v>3092_AKHMAD SYARIFUDIN _ SERTIFIKAT BerAKHLAK</v>
      </c>
      <c r="P3093" s="5" t="s">
        <v>21631</v>
      </c>
    </row>
    <row r="3094">
      <c r="A3094" s="4">
        <v>45534.343111180555</v>
      </c>
      <c r="B3094" s="5" t="s">
        <v>34</v>
      </c>
      <c r="D3094" s="5" t="s">
        <v>12978</v>
      </c>
      <c r="E3094" s="5" t="s">
        <v>21632</v>
      </c>
      <c r="F3094" s="5" t="s">
        <v>108</v>
      </c>
      <c r="G3094" s="5" t="s">
        <v>21633</v>
      </c>
      <c r="H3094" s="6" t="s">
        <v>21634</v>
      </c>
      <c r="I3094" s="7" t="s">
        <v>21635</v>
      </c>
      <c r="J3094" s="8" t="str">
        <f>HYPERLINK("https://drive.google.com/file/d/1rxgvWYNOd2T5trjhsODuckWy8Osmc2ls/view?usp=drivesdk","LISNAWATI SERTIFIKAT BerAKHLAK")</f>
        <v>LISNAWATI SERTIFIKAT BerAKHLAK</v>
      </c>
      <c r="K3094" s="5" t="s">
        <v>21426</v>
      </c>
      <c r="L3094" s="5" t="s">
        <v>21636</v>
      </c>
      <c r="M3094" s="5" t="s">
        <v>21637</v>
      </c>
      <c r="N3094" s="7" t="s">
        <v>21638</v>
      </c>
      <c r="O3094" s="8" t="str">
        <f>HYPERLINK("https://drive.google.com/file/d/1bjd5Zt8Fu1eC59vm0BxvTs3o-mdMYqeL/view?usp=drivesdk","3093_LISNAWATI _ SERTIFIKAT BerAKHLAK")</f>
        <v>3093_LISNAWATI _ SERTIFIKAT BerAKHLAK</v>
      </c>
      <c r="P3094" s="5" t="s">
        <v>21639</v>
      </c>
    </row>
    <row r="3095">
      <c r="A3095" s="4">
        <v>45534.34311954861</v>
      </c>
      <c r="B3095" s="5" t="s">
        <v>34</v>
      </c>
      <c r="D3095" s="5" t="s">
        <v>1206</v>
      </c>
      <c r="E3095" s="5" t="s">
        <v>21640</v>
      </c>
      <c r="F3095" s="5" t="s">
        <v>37</v>
      </c>
      <c r="G3095" s="5" t="s">
        <v>21641</v>
      </c>
      <c r="H3095" s="6" t="s">
        <v>21642</v>
      </c>
      <c r="K3095" s="5" t="s">
        <v>21643</v>
      </c>
      <c r="M3095" s="5" t="s">
        <v>21644</v>
      </c>
      <c r="N3095" s="7" t="s">
        <v>21645</v>
      </c>
      <c r="O3095" s="8" t="str">
        <f>HYPERLINK("https://drive.google.com/file/d/1G1N7rVHDej5YqXYYHYLeuBlN-BiVxCBR/view?usp=drivesdk","3094_SUMAKIN AM.d _ SERTIFIKAT BerAKHLAK")</f>
        <v>3094_SUMAKIN AM.d _ SERTIFIKAT BerAKHLAK</v>
      </c>
      <c r="P3095" s="5" t="s">
        <v>21646</v>
      </c>
    </row>
    <row r="3096">
      <c r="A3096" s="4">
        <v>45534.34312104167</v>
      </c>
      <c r="B3096" s="5" t="s">
        <v>34</v>
      </c>
      <c r="D3096" s="5" t="s">
        <v>4775</v>
      </c>
      <c r="E3096" s="5" t="s">
        <v>21647</v>
      </c>
      <c r="F3096" s="5" t="s">
        <v>72</v>
      </c>
      <c r="G3096" s="5" t="s">
        <v>21648</v>
      </c>
      <c r="H3096" s="6" t="s">
        <v>21649</v>
      </c>
      <c r="K3096" s="5" t="s">
        <v>21643</v>
      </c>
      <c r="M3096" s="5" t="s">
        <v>21650</v>
      </c>
      <c r="N3096" s="7" t="s">
        <v>21651</v>
      </c>
      <c r="O3096" s="8" t="str">
        <f>HYPERLINK("https://drive.google.com/file/d/1-yMSl3DChm-Fs8T1yOH4hDuVH-EdV1g3/view?usp=drivesdk","3095_TEGUH WAHYU WIYANTO, S.E. _ SERTIFIKAT BerAKHLAK")</f>
        <v>3095_TEGUH WAHYU WIYANTO, S.E. _ SERTIFIKAT BerAKHLAK</v>
      </c>
      <c r="P3096" s="5" t="s">
        <v>21652</v>
      </c>
    </row>
    <row r="3097">
      <c r="A3097" s="4">
        <v>45534.343123819446</v>
      </c>
      <c r="B3097" s="5" t="s">
        <v>34</v>
      </c>
      <c r="D3097" s="5" t="s">
        <v>1206</v>
      </c>
      <c r="E3097" s="5" t="s">
        <v>21653</v>
      </c>
      <c r="F3097" s="5" t="s">
        <v>37</v>
      </c>
      <c r="G3097" s="5" t="s">
        <v>21654</v>
      </c>
      <c r="H3097" s="6" t="s">
        <v>21655</v>
      </c>
      <c r="K3097" s="5" t="s">
        <v>21643</v>
      </c>
      <c r="M3097" s="5" t="s">
        <v>21656</v>
      </c>
      <c r="N3097" s="7" t="s">
        <v>21657</v>
      </c>
      <c r="O3097" s="8" t="str">
        <f>HYPERLINK("https://drive.google.com/file/d/1j6Eqpb_-FPjoHlKLS5pNV7QAQp2izmB_/view?usp=drivesdk","3096_ASIYATI.S.Pd _ SERTIFIKAT BerAKHLAK")</f>
        <v>3096_ASIYATI.S.Pd _ SERTIFIKAT BerAKHLAK</v>
      </c>
      <c r="P3097" s="5" t="s">
        <v>21658</v>
      </c>
    </row>
    <row r="3098" hidden="1">
      <c r="A3098" s="4">
        <v>45534.3431266088</v>
      </c>
      <c r="B3098" s="5" t="s">
        <v>19</v>
      </c>
      <c r="C3098" s="5" t="s">
        <v>5564</v>
      </c>
      <c r="E3098" s="5" t="s">
        <v>21659</v>
      </c>
      <c r="F3098" s="5" t="s">
        <v>212</v>
      </c>
      <c r="G3098" s="5" t="s">
        <v>21660</v>
      </c>
      <c r="H3098" s="6" t="s">
        <v>21661</v>
      </c>
      <c r="K3098" s="5" t="s">
        <v>21643</v>
      </c>
      <c r="M3098" s="5" t="s">
        <v>21662</v>
      </c>
      <c r="N3098" s="7" t="s">
        <v>21663</v>
      </c>
      <c r="O3098" s="8" t="str">
        <f>HYPERLINK("https://drive.google.com/file/d/1L2ZPE8ehpd-ebJHeFikLEbhclBZaueTb/view?usp=drivesdk","3097_FIRMANSYAH _ SERTIFIKAT BerAKHLAK")</f>
        <v>3097_FIRMANSYAH _ SERTIFIKAT BerAKHLAK</v>
      </c>
      <c r="P3098" s="5" t="s">
        <v>21658</v>
      </c>
    </row>
    <row r="3099">
      <c r="A3099" s="4">
        <v>45534.34313097222</v>
      </c>
      <c r="B3099" s="5" t="s">
        <v>34</v>
      </c>
      <c r="D3099" s="5" t="s">
        <v>522</v>
      </c>
      <c r="E3099" s="5" t="s">
        <v>21664</v>
      </c>
      <c r="F3099" s="5" t="s">
        <v>37</v>
      </c>
      <c r="G3099" s="5" t="s">
        <v>21665</v>
      </c>
      <c r="H3099" s="6" t="s">
        <v>21666</v>
      </c>
      <c r="K3099" s="5" t="s">
        <v>21643</v>
      </c>
      <c r="M3099" s="5" t="s">
        <v>21667</v>
      </c>
      <c r="N3099" s="7" t="s">
        <v>21668</v>
      </c>
      <c r="O3099" s="8" t="str">
        <f>HYPERLINK("https://drive.google.com/file/d/1mZ0zLtIhsbWVxa1fnOoADX6EhV9BiaVF/view?usp=drivesdk","3098_MARYANI  _ SERTIFIKAT BerAKHLAK")</f>
        <v>3098_MARYANI  _ SERTIFIKAT BerAKHLAK</v>
      </c>
      <c r="P3099" s="5" t="s">
        <v>21658</v>
      </c>
    </row>
    <row r="3100">
      <c r="A3100" s="4">
        <v>45534.34313587963</v>
      </c>
      <c r="B3100" s="5" t="s">
        <v>34</v>
      </c>
      <c r="D3100" s="5" t="s">
        <v>1768</v>
      </c>
      <c r="E3100" s="5" t="s">
        <v>21669</v>
      </c>
      <c r="F3100" s="5" t="s">
        <v>212</v>
      </c>
      <c r="G3100" s="5" t="s">
        <v>21670</v>
      </c>
      <c r="H3100" s="6" t="s">
        <v>21671</v>
      </c>
      <c r="I3100" s="7" t="s">
        <v>21672</v>
      </c>
      <c r="J3100" s="8" t="str">
        <f>HYPERLINK("https://drive.google.com/file/d/1QYaitsjZ3bTuBv0PQNhKQTeEj2dtYqVI/view?usp=drivesdk","DEWI LESTARI SERTIFIKAT BerAKHLAK")</f>
        <v>DEWI LESTARI SERTIFIKAT BerAKHLAK</v>
      </c>
      <c r="K3100" s="5" t="s">
        <v>20391</v>
      </c>
      <c r="L3100" s="5" t="s">
        <v>21673</v>
      </c>
      <c r="M3100" s="5" t="s">
        <v>21674</v>
      </c>
      <c r="N3100" s="7" t="s">
        <v>21675</v>
      </c>
      <c r="O3100" s="8" t="str">
        <f>HYPERLINK("https://drive.google.com/file/d/1KDG-rKC4O8g8s0wPOJLWWHooY4wMtRUS/view?usp=drivesdk","3099_DEWI LESTARI _ SERTIFIKAT BerAKHLAK")</f>
        <v>3099_DEWI LESTARI _ SERTIFIKAT BerAKHLAK</v>
      </c>
      <c r="P3100" s="5" t="s">
        <v>21658</v>
      </c>
    </row>
    <row r="3101">
      <c r="A3101" s="4">
        <v>45534.343137696764</v>
      </c>
      <c r="B3101" s="5" t="s">
        <v>34</v>
      </c>
      <c r="D3101" s="5" t="s">
        <v>12978</v>
      </c>
      <c r="E3101" s="5" t="s">
        <v>21676</v>
      </c>
      <c r="F3101" s="5" t="s">
        <v>37</v>
      </c>
      <c r="G3101" s="5" t="s">
        <v>21677</v>
      </c>
      <c r="H3101" s="6" t="s">
        <v>21678</v>
      </c>
      <c r="K3101" s="5" t="s">
        <v>21679</v>
      </c>
      <c r="M3101" s="5" t="s">
        <v>21680</v>
      </c>
      <c r="N3101" s="7" t="s">
        <v>21681</v>
      </c>
      <c r="O3101" s="8" t="str">
        <f>HYPERLINK("https://drive.google.com/file/d/1uZT6UIGJF5acGdBn2ffdPosuAW_-eje_/view?usp=drivesdk","3100_NAZARUDIN  _ SERTIFIKAT BerAKHLAK")</f>
        <v>3100_NAZARUDIN  _ SERTIFIKAT BerAKHLAK</v>
      </c>
      <c r="P3101" s="5" t="s">
        <v>21682</v>
      </c>
    </row>
    <row r="3102">
      <c r="A3102" s="4">
        <v>45534.34313991899</v>
      </c>
      <c r="B3102" s="5" t="s">
        <v>34</v>
      </c>
      <c r="D3102" s="5" t="s">
        <v>996</v>
      </c>
      <c r="E3102" s="5" t="s">
        <v>21683</v>
      </c>
      <c r="F3102" s="5" t="s">
        <v>212</v>
      </c>
      <c r="G3102" s="5" t="s">
        <v>21684</v>
      </c>
      <c r="H3102" s="6" t="s">
        <v>21685</v>
      </c>
      <c r="K3102" s="5" t="s">
        <v>21679</v>
      </c>
      <c r="M3102" s="5" t="s">
        <v>21686</v>
      </c>
      <c r="N3102" s="7" t="s">
        <v>21687</v>
      </c>
      <c r="O3102" s="8" t="str">
        <f>HYPERLINK("https://drive.google.com/file/d/1z-TQ0_S4i02wwAY3TMCJ28oz-hPulQRO/view?usp=drivesdk","3101_NORLYANI _ SERTIFIKAT BerAKHLAK")</f>
        <v>3101_NORLYANI _ SERTIFIKAT BerAKHLAK</v>
      </c>
      <c r="P3102" s="5" t="s">
        <v>21682</v>
      </c>
    </row>
    <row r="3103">
      <c r="A3103" s="4">
        <v>45534.34315490741</v>
      </c>
      <c r="B3103" s="5" t="s">
        <v>34</v>
      </c>
      <c r="D3103" s="5" t="s">
        <v>522</v>
      </c>
      <c r="E3103" s="5" t="s">
        <v>21688</v>
      </c>
      <c r="F3103" s="5" t="s">
        <v>37</v>
      </c>
      <c r="G3103" s="5" t="s">
        <v>21689</v>
      </c>
      <c r="H3103" s="6" t="s">
        <v>21690</v>
      </c>
      <c r="K3103" s="5" t="s">
        <v>21679</v>
      </c>
      <c r="M3103" s="5" t="s">
        <v>21691</v>
      </c>
      <c r="N3103" s="7" t="s">
        <v>21692</v>
      </c>
      <c r="O3103" s="8" t="str">
        <f>HYPERLINK("https://drive.google.com/file/d/1oPL2zrNa0qaYpzthw67ksdLWmqh04Gh8/view?usp=drivesdk","3102_NABILLAH FULA RAMDHANI _ SERTIFIKAT BerAKHLAK")</f>
        <v>3102_NABILLAH FULA RAMDHANI _ SERTIFIKAT BerAKHLAK</v>
      </c>
      <c r="P3103" s="5" t="s">
        <v>21682</v>
      </c>
    </row>
    <row r="3104">
      <c r="A3104" s="4">
        <v>45534.34316053241</v>
      </c>
      <c r="B3104" s="5" t="s">
        <v>34</v>
      </c>
      <c r="D3104" s="5" t="s">
        <v>7858</v>
      </c>
      <c r="E3104" s="5" t="s">
        <v>21693</v>
      </c>
      <c r="F3104" s="5" t="s">
        <v>715</v>
      </c>
      <c r="G3104" s="5" t="s">
        <v>21694</v>
      </c>
      <c r="H3104" s="6" t="s">
        <v>21695</v>
      </c>
      <c r="I3104" s="7" t="s">
        <v>21696</v>
      </c>
      <c r="J3104" s="8" t="str">
        <f>HYPERLINK("https://drive.google.com/file/d/1C1mop9Lenfrw9siY9V4fxGgdeEKh_iTc/view?usp=drivesdk","PIPIT NOVIANTI, S. Sos SERTIFIKAT BerAKHLAK")</f>
        <v>PIPIT NOVIANTI, S. Sos SERTIFIKAT BerAKHLAK</v>
      </c>
      <c r="K3104" s="5" t="s">
        <v>20391</v>
      </c>
      <c r="L3104" s="5" t="s">
        <v>21697</v>
      </c>
      <c r="M3104" s="5" t="s">
        <v>21698</v>
      </c>
      <c r="N3104" s="7" t="s">
        <v>21699</v>
      </c>
      <c r="O3104" s="8" t="str">
        <f>HYPERLINK("https://drive.google.com/file/d/1zunK6TWEihGIg3IVV15y-aoS_nw3DN29/view?usp=drivesdk","3103_PIPIT NOVIANTI, S. Sos _ SERTIFIKAT BerAKHLAK")</f>
        <v>3103_PIPIT NOVIANTI, S. Sos _ SERTIFIKAT BerAKHLAK</v>
      </c>
      <c r="P3104" s="5" t="s">
        <v>21700</v>
      </c>
    </row>
    <row r="3105">
      <c r="A3105" s="4">
        <v>45534.34316740741</v>
      </c>
      <c r="B3105" s="5" t="s">
        <v>34</v>
      </c>
      <c r="D3105" s="5" t="s">
        <v>4775</v>
      </c>
      <c r="E3105" s="5" t="s">
        <v>21701</v>
      </c>
      <c r="F3105" s="5" t="s">
        <v>72</v>
      </c>
      <c r="G3105" s="5" t="s">
        <v>21702</v>
      </c>
      <c r="H3105" s="6" t="s">
        <v>21703</v>
      </c>
      <c r="I3105" s="7" t="s">
        <v>21704</v>
      </c>
      <c r="J3105" s="8" t="str">
        <f>HYPERLINK("https://drive.google.com/file/d/1qFCDWKqw3hgRtQfyf8YBsixPBDBb1MCG/view?usp=drivesdk","Angela Suma,S.Kep SERTIFIKAT BerAKHLAK")</f>
        <v>Angela Suma,S.Kep SERTIFIKAT BerAKHLAK</v>
      </c>
      <c r="K3105" s="5" t="s">
        <v>21426</v>
      </c>
      <c r="L3105" s="5" t="s">
        <v>21705</v>
      </c>
      <c r="M3105" s="5" t="s">
        <v>21706</v>
      </c>
      <c r="N3105" s="7" t="s">
        <v>21707</v>
      </c>
      <c r="O3105" s="8" t="str">
        <f>HYPERLINK("https://drive.google.com/file/d/1xq2BZjnRPvnw5lQU_JZY2YQcTjffvI6C/view?usp=drivesdk","3104_Angela Suma,S.Kep _ SERTIFIKAT BerAKHLAK")</f>
        <v>3104_Angela Suma,S.Kep _ SERTIFIKAT BerAKHLAK</v>
      </c>
      <c r="P3105" s="5" t="s">
        <v>21700</v>
      </c>
    </row>
    <row r="3106">
      <c r="A3106" s="4">
        <v>45534.34317681713</v>
      </c>
      <c r="B3106" s="5" t="s">
        <v>34</v>
      </c>
      <c r="D3106" s="5" t="s">
        <v>1768</v>
      </c>
      <c r="E3106" s="5" t="s">
        <v>21708</v>
      </c>
      <c r="F3106" s="5" t="s">
        <v>524</v>
      </c>
      <c r="G3106" s="5" t="s">
        <v>21709</v>
      </c>
      <c r="H3106" s="6" t="s">
        <v>21710</v>
      </c>
      <c r="I3106" s="7" t="s">
        <v>21711</v>
      </c>
      <c r="J3106" s="8" t="str">
        <f>HYPERLINK("https://drive.google.com/file/d/11KIxZcujnlM5V6EB_U7rhYV7bbEyWdpe/view?usp=drivesdk","Irine Dini Anggraini SERTIFIKAT BerAKHLAK")</f>
        <v>Irine Dini Anggraini SERTIFIKAT BerAKHLAK</v>
      </c>
      <c r="K3106" s="5" t="s">
        <v>21426</v>
      </c>
      <c r="L3106" s="5" t="s">
        <v>21712</v>
      </c>
      <c r="M3106" s="5" t="s">
        <v>21713</v>
      </c>
      <c r="N3106" s="7" t="s">
        <v>21714</v>
      </c>
      <c r="O3106" s="8" t="str">
        <f>HYPERLINK("https://drive.google.com/file/d/1psRvaH8icTDz5Yv9ZHOonJugjyZwSG0j/view?usp=drivesdk","3105_Irine Dini Anggraini _ SERTIFIKAT BerAKHLAK")</f>
        <v>3105_Irine Dini Anggraini _ SERTIFIKAT BerAKHLAK</v>
      </c>
      <c r="P3106" s="5" t="s">
        <v>21700</v>
      </c>
    </row>
    <row r="3107">
      <c r="A3107" s="4">
        <v>45534.34317717592</v>
      </c>
      <c r="B3107" s="5" t="s">
        <v>34</v>
      </c>
      <c r="D3107" s="5" t="s">
        <v>9020</v>
      </c>
      <c r="E3107" s="5" t="s">
        <v>21715</v>
      </c>
      <c r="F3107" s="5" t="s">
        <v>212</v>
      </c>
      <c r="G3107" s="5" t="s">
        <v>21716</v>
      </c>
      <c r="H3107" s="6" t="s">
        <v>21717</v>
      </c>
      <c r="K3107" s="5" t="s">
        <v>21718</v>
      </c>
      <c r="M3107" s="5" t="s">
        <v>21719</v>
      </c>
      <c r="N3107" s="7" t="s">
        <v>21720</v>
      </c>
      <c r="O3107" s="8" t="str">
        <f>HYPERLINK("https://drive.google.com/file/d/1_xMPe1OM4JY29kx9UnaipjP4fK1S3zq8/view?usp=drivesdk","3106_ISA RAMIATI _ SERTIFIKAT BerAKHLAK")</f>
        <v>3106_ISA RAMIATI _ SERTIFIKAT BerAKHLAK</v>
      </c>
      <c r="P3107" s="5" t="s">
        <v>21700</v>
      </c>
    </row>
    <row r="3108">
      <c r="A3108" s="4">
        <v>45534.34318576389</v>
      </c>
      <c r="B3108" s="5" t="s">
        <v>34</v>
      </c>
      <c r="D3108" s="5" t="s">
        <v>280</v>
      </c>
      <c r="E3108" s="5" t="s">
        <v>21721</v>
      </c>
      <c r="F3108" s="5" t="s">
        <v>37</v>
      </c>
      <c r="G3108" s="5" t="s">
        <v>21722</v>
      </c>
      <c r="H3108" s="6" t="s">
        <v>21723</v>
      </c>
      <c r="K3108" s="5" t="s">
        <v>21718</v>
      </c>
      <c r="M3108" s="5" t="s">
        <v>21724</v>
      </c>
      <c r="N3108" s="7" t="s">
        <v>21725</v>
      </c>
      <c r="O3108" s="8" t="str">
        <f>HYPERLINK("https://drive.google.com/file/d/1paLp8K3B2inoVGKCB3rrDHBRN5w9xh1A/view?usp=drivesdk","3107_RISTUTI _ SERTIFIKAT BerAKHLAK")</f>
        <v>3107_RISTUTI _ SERTIFIKAT BerAKHLAK</v>
      </c>
      <c r="P3108" s="5" t="s">
        <v>21726</v>
      </c>
    </row>
    <row r="3109">
      <c r="A3109" s="4">
        <v>45534.34319484954</v>
      </c>
      <c r="B3109" s="5" t="s">
        <v>34</v>
      </c>
      <c r="D3109" s="5" t="s">
        <v>1206</v>
      </c>
      <c r="E3109" s="5" t="s">
        <v>21727</v>
      </c>
      <c r="F3109" s="5" t="s">
        <v>37</v>
      </c>
      <c r="G3109" s="5" t="s">
        <v>21728</v>
      </c>
      <c r="H3109" s="6" t="s">
        <v>21729</v>
      </c>
      <c r="K3109" s="5" t="s">
        <v>21718</v>
      </c>
      <c r="M3109" s="5" t="s">
        <v>21730</v>
      </c>
      <c r="N3109" s="7" t="s">
        <v>21731</v>
      </c>
      <c r="O3109" s="8" t="str">
        <f>HYPERLINK("https://drive.google.com/file/d/1CJH-nHmoUCnjWXm_RYRs6-rva6mLESSB/view?usp=drivesdk","3108_ATIK SUJIATI _ SERTIFIKAT BerAKHLAK")</f>
        <v>3108_ATIK SUJIATI _ SERTIFIKAT BerAKHLAK</v>
      </c>
      <c r="P3109" s="5" t="s">
        <v>21726</v>
      </c>
    </row>
    <row r="3110">
      <c r="A3110" s="4">
        <v>45534.3431953588</v>
      </c>
      <c r="B3110" s="5" t="s">
        <v>34</v>
      </c>
      <c r="D3110" s="5" t="s">
        <v>996</v>
      </c>
      <c r="E3110" s="5" t="s">
        <v>21732</v>
      </c>
      <c r="F3110" s="5" t="s">
        <v>108</v>
      </c>
      <c r="G3110" s="5" t="s">
        <v>21733</v>
      </c>
      <c r="H3110" s="6" t="s">
        <v>21734</v>
      </c>
      <c r="K3110" s="5" t="s">
        <v>21718</v>
      </c>
      <c r="M3110" s="5" t="s">
        <v>21735</v>
      </c>
      <c r="N3110" s="7" t="s">
        <v>21736</v>
      </c>
      <c r="O3110" s="8" t="str">
        <f>HYPERLINK("https://drive.google.com/file/d/15QtVQTmFKYQvSLhAaSgC5wyLQthkbcSm/view?usp=drivesdk","3109_SINAR KUMALASARI  _ SERTIFIKAT BerAKHLAK")</f>
        <v>3109_SINAR KUMALASARI  _ SERTIFIKAT BerAKHLAK</v>
      </c>
      <c r="P3110" s="5" t="s">
        <v>21726</v>
      </c>
    </row>
    <row r="3111">
      <c r="A3111" s="4">
        <v>45534.34319847223</v>
      </c>
      <c r="B3111" s="5" t="s">
        <v>34</v>
      </c>
      <c r="D3111" s="5" t="s">
        <v>1206</v>
      </c>
      <c r="E3111" s="5" t="s">
        <v>21737</v>
      </c>
      <c r="F3111" s="5" t="s">
        <v>37</v>
      </c>
      <c r="G3111" s="5" t="s">
        <v>21738</v>
      </c>
      <c r="H3111" s="6" t="s">
        <v>21739</v>
      </c>
      <c r="K3111" s="5" t="s">
        <v>21718</v>
      </c>
      <c r="M3111" s="5" t="s">
        <v>21740</v>
      </c>
      <c r="N3111" s="7" t="s">
        <v>21741</v>
      </c>
      <c r="O3111" s="8" t="str">
        <f>HYPERLINK("https://drive.google.com/file/d/1EiXgtZRpmcie0zZAJGv1vbznFWHE1O8Q/view?usp=drivesdk","3110_SRI HARTINI _ SERTIFIKAT BerAKHLAK")</f>
        <v>3110_SRI HARTINI _ SERTIFIKAT BerAKHLAK</v>
      </c>
      <c r="P3111" s="5" t="s">
        <v>21726</v>
      </c>
    </row>
    <row r="3112">
      <c r="A3112" s="4">
        <v>45534.34319961806</v>
      </c>
      <c r="B3112" s="5" t="s">
        <v>34</v>
      </c>
      <c r="D3112" s="5" t="s">
        <v>4775</v>
      </c>
      <c r="E3112" s="5" t="s">
        <v>21742</v>
      </c>
      <c r="F3112" s="5" t="s">
        <v>212</v>
      </c>
      <c r="G3112" s="5" t="s">
        <v>21743</v>
      </c>
      <c r="H3112" s="6" t="s">
        <v>21744</v>
      </c>
      <c r="K3112" s="5" t="s">
        <v>21718</v>
      </c>
      <c r="M3112" s="5" t="s">
        <v>21745</v>
      </c>
      <c r="N3112" s="7" t="s">
        <v>21746</v>
      </c>
      <c r="O3112" s="8" t="str">
        <f>HYPERLINK("https://drive.google.com/file/d/1ZAWhxxnNohhUbYyYfeyKceiaOFSfzN3q/view?usp=drivesdk","3111_SITI ARIYANTI _ SERTIFIKAT BerAKHLAK")</f>
        <v>3111_SITI ARIYANTI _ SERTIFIKAT BerAKHLAK</v>
      </c>
      <c r="P3112" s="5" t="s">
        <v>21726</v>
      </c>
    </row>
    <row r="3113">
      <c r="A3113" s="4">
        <v>45534.34320047454</v>
      </c>
      <c r="B3113" s="5" t="s">
        <v>34</v>
      </c>
      <c r="D3113" s="5" t="s">
        <v>1206</v>
      </c>
      <c r="E3113" s="5" t="s">
        <v>21747</v>
      </c>
      <c r="F3113" s="5" t="s">
        <v>108</v>
      </c>
      <c r="G3113" s="5" t="s">
        <v>21748</v>
      </c>
      <c r="H3113" s="6" t="s">
        <v>21749</v>
      </c>
      <c r="K3113" s="5" t="s">
        <v>21718</v>
      </c>
      <c r="M3113" s="5" t="s">
        <v>21750</v>
      </c>
      <c r="N3113" s="7" t="s">
        <v>21751</v>
      </c>
      <c r="O3113" s="8" t="str">
        <f>HYPERLINK("https://drive.google.com/file/d/1olmhAiKXG-um9xUP55xgdmbpwrrlTpuH/view?usp=drivesdk","3112_ILA BETI _ SERTIFIKAT BerAKHLAK")</f>
        <v>3112_ILA BETI _ SERTIFIKAT BerAKHLAK</v>
      </c>
      <c r="P3113" s="5" t="s">
        <v>21752</v>
      </c>
    </row>
    <row r="3114">
      <c r="A3114" s="4">
        <v>45534.34320212963</v>
      </c>
      <c r="B3114" s="5" t="s">
        <v>34</v>
      </c>
      <c r="D3114" s="5" t="s">
        <v>1456</v>
      </c>
      <c r="E3114" s="5" t="s">
        <v>21753</v>
      </c>
      <c r="F3114" s="5" t="s">
        <v>212</v>
      </c>
      <c r="G3114" s="5" t="s">
        <v>21754</v>
      </c>
      <c r="H3114" s="6" t="s">
        <v>21755</v>
      </c>
      <c r="K3114" s="5" t="s">
        <v>21718</v>
      </c>
      <c r="M3114" s="5" t="s">
        <v>21756</v>
      </c>
      <c r="N3114" s="7" t="s">
        <v>21757</v>
      </c>
      <c r="O3114" s="8" t="str">
        <f>HYPERLINK("https://drive.google.com/file/d/11H74ToxtdU5B1nPDVonUhK82Kr5L_Khc/view?usp=drivesdk","3113_SARI WIDIAWATI _ SERTIFIKAT BerAKHLAK")</f>
        <v>3113_SARI WIDIAWATI _ SERTIFIKAT BerAKHLAK</v>
      </c>
      <c r="P3114" s="5" t="s">
        <v>21752</v>
      </c>
    </row>
    <row r="3115">
      <c r="A3115" s="4">
        <v>45534.343208680555</v>
      </c>
      <c r="B3115" s="5" t="s">
        <v>34</v>
      </c>
      <c r="D3115" s="5" t="s">
        <v>1206</v>
      </c>
      <c r="E3115" s="5" t="s">
        <v>21758</v>
      </c>
      <c r="F3115" s="5" t="s">
        <v>212</v>
      </c>
      <c r="G3115" s="5" t="s">
        <v>21759</v>
      </c>
      <c r="H3115" s="6" t="s">
        <v>21760</v>
      </c>
      <c r="K3115" s="5" t="s">
        <v>21718</v>
      </c>
      <c r="M3115" s="5" t="s">
        <v>21761</v>
      </c>
      <c r="N3115" s="7" t="s">
        <v>21762</v>
      </c>
      <c r="O3115" s="8" t="str">
        <f>HYPERLINK("https://drive.google.com/file/d/1UmejQVXlZVVJY4zqcTXbY8CMU3YL5x7y/view?usp=drivesdk","3114_DESY ANDRIYANA _ SERTIFIKAT BerAKHLAK")</f>
        <v>3114_DESY ANDRIYANA _ SERTIFIKAT BerAKHLAK</v>
      </c>
      <c r="P3115" s="5" t="s">
        <v>21763</v>
      </c>
    </row>
    <row r="3116">
      <c r="A3116" s="4">
        <v>45534.343209756946</v>
      </c>
      <c r="B3116" s="5" t="s">
        <v>34</v>
      </c>
      <c r="D3116" s="5" t="s">
        <v>9020</v>
      </c>
      <c r="E3116" s="5" t="s">
        <v>21764</v>
      </c>
      <c r="F3116" s="5" t="s">
        <v>22</v>
      </c>
      <c r="G3116" s="5" t="s">
        <v>21765</v>
      </c>
      <c r="H3116" s="6" t="s">
        <v>21766</v>
      </c>
      <c r="K3116" s="5" t="s">
        <v>21718</v>
      </c>
      <c r="M3116" s="5" t="s">
        <v>21767</v>
      </c>
      <c r="N3116" s="7" t="s">
        <v>21768</v>
      </c>
      <c r="O3116" s="8" t="str">
        <f>HYPERLINK("https://drive.google.com/file/d/1vl_Uo8EzUqLTBvv73p_HvKIahXLuKs54/view?usp=drivesdk","3115_TIARA ARMINTA, SST _ SERTIFIKAT BerAKHLAK")</f>
        <v>3115_TIARA ARMINTA, SST _ SERTIFIKAT BerAKHLAK</v>
      </c>
      <c r="P3116" s="5" t="s">
        <v>21763</v>
      </c>
    </row>
    <row r="3117">
      <c r="A3117" s="4">
        <v>45534.34321333333</v>
      </c>
      <c r="B3117" s="5" t="s">
        <v>34</v>
      </c>
      <c r="D3117" s="5" t="s">
        <v>1206</v>
      </c>
      <c r="E3117" s="5" t="s">
        <v>21769</v>
      </c>
      <c r="F3117" s="5" t="s">
        <v>212</v>
      </c>
      <c r="G3117" s="5" t="s">
        <v>21770</v>
      </c>
      <c r="H3117" s="6" t="s">
        <v>21771</v>
      </c>
      <c r="I3117" s="7" t="s">
        <v>21772</v>
      </c>
      <c r="J3117" s="8" t="str">
        <f>HYPERLINK("https://drive.google.com/file/d/1S51U1Anp_P-uAsRy8-L2mGReo7vj9zxn/view?usp=drivesdk","CATUR LUH WIDYAWATI  SERTIFIKAT BerAKHLAK")</f>
        <v>CATUR LUH WIDYAWATI  SERTIFIKAT BerAKHLAK</v>
      </c>
      <c r="K3117" s="5" t="s">
        <v>20391</v>
      </c>
      <c r="L3117" s="5" t="s">
        <v>21773</v>
      </c>
      <c r="M3117" s="5" t="s">
        <v>21774</v>
      </c>
      <c r="N3117" s="7" t="s">
        <v>21775</v>
      </c>
      <c r="O3117" s="8" t="str">
        <f>HYPERLINK("https://drive.google.com/file/d/1DaPHhVarQ6f38ki6xLy03eA6EZ7JJwLF/view?usp=drivesdk","3116_CATUR LUH WIDYAWATI  _ SERTIFIKAT BerAKHLAK")</f>
        <v>3116_CATUR LUH WIDYAWATI  _ SERTIFIKAT BerAKHLAK</v>
      </c>
      <c r="P3117" s="5" t="s">
        <v>21763</v>
      </c>
    </row>
    <row r="3118">
      <c r="A3118" s="4">
        <v>45534.34321375</v>
      </c>
      <c r="B3118" s="5" t="s">
        <v>34</v>
      </c>
      <c r="D3118" s="5" t="s">
        <v>35</v>
      </c>
      <c r="E3118" s="5" t="s">
        <v>21776</v>
      </c>
      <c r="F3118" s="5" t="s">
        <v>108</v>
      </c>
      <c r="G3118" s="5" t="s">
        <v>21777</v>
      </c>
      <c r="H3118" s="6" t="s">
        <v>21778</v>
      </c>
      <c r="K3118" s="5" t="s">
        <v>21718</v>
      </c>
      <c r="M3118" s="5" t="s">
        <v>21779</v>
      </c>
      <c r="N3118" s="7" t="s">
        <v>21780</v>
      </c>
      <c r="O3118" s="8" t="str">
        <f>HYPERLINK("https://drive.google.com/file/d/1TFRhPMfBiPOOWbY3D-p72so3J8c3KRun/view?usp=drivesdk","3117_ARA KUSWARA _ SERTIFIKAT BerAKHLAK")</f>
        <v>3117_ARA KUSWARA _ SERTIFIKAT BerAKHLAK</v>
      </c>
      <c r="P3118" s="5" t="s">
        <v>21763</v>
      </c>
    </row>
    <row r="3119">
      <c r="A3119" s="4">
        <v>45534.34322368055</v>
      </c>
      <c r="B3119" s="5" t="s">
        <v>34</v>
      </c>
      <c r="D3119" s="5" t="s">
        <v>7858</v>
      </c>
      <c r="E3119" s="5" t="s">
        <v>21781</v>
      </c>
      <c r="F3119" s="5" t="s">
        <v>120</v>
      </c>
      <c r="G3119" s="5" t="s">
        <v>21782</v>
      </c>
      <c r="H3119" s="6" t="s">
        <v>21783</v>
      </c>
      <c r="K3119" s="5" t="s">
        <v>21718</v>
      </c>
      <c r="M3119" s="5" t="s">
        <v>21784</v>
      </c>
      <c r="N3119" s="7" t="s">
        <v>21785</v>
      </c>
      <c r="O3119" s="8" t="str">
        <f>HYPERLINK("https://drive.google.com/file/d/1wYitDV8F-3W2pbRJEYFLdVbJnQpasOki/view?usp=drivesdk","3118_apt. HERNI NURLIANI S.Farm  _ SERTIFIKAT BerAKHLAK")</f>
        <v>3118_apt. HERNI NURLIANI S.Farm  _ SERTIFIKAT BerAKHLAK</v>
      </c>
      <c r="P3119" s="5" t="s">
        <v>21786</v>
      </c>
    </row>
    <row r="3120">
      <c r="A3120" s="4">
        <v>45534.34323140046</v>
      </c>
      <c r="B3120" s="5" t="s">
        <v>34</v>
      </c>
      <c r="D3120" s="5" t="s">
        <v>9020</v>
      </c>
      <c r="E3120" s="5" t="s">
        <v>21787</v>
      </c>
      <c r="F3120" s="5" t="s">
        <v>108</v>
      </c>
      <c r="G3120" s="5" t="s">
        <v>21788</v>
      </c>
      <c r="H3120" s="6" t="s">
        <v>21789</v>
      </c>
      <c r="K3120" s="5" t="s">
        <v>21718</v>
      </c>
      <c r="M3120" s="5" t="s">
        <v>21790</v>
      </c>
      <c r="N3120" s="7" t="s">
        <v>21791</v>
      </c>
      <c r="O3120" s="8" t="str">
        <f>HYPERLINK("https://drive.google.com/file/d/16WCIf6kAigTAXHNMBRBWKDpxqFcAUdl8/view?usp=drivesdk","3119_TETTY ARIANI _ SERTIFIKAT BerAKHLAK")</f>
        <v>3119_TETTY ARIANI _ SERTIFIKAT BerAKHLAK</v>
      </c>
      <c r="P3120" s="5" t="s">
        <v>21786</v>
      </c>
    </row>
    <row r="3121">
      <c r="A3121" s="4">
        <v>45534.34324375</v>
      </c>
      <c r="B3121" s="5" t="s">
        <v>34</v>
      </c>
      <c r="D3121" s="5" t="s">
        <v>996</v>
      </c>
      <c r="E3121" s="5" t="s">
        <v>21792</v>
      </c>
      <c r="F3121" s="5" t="s">
        <v>72</v>
      </c>
      <c r="G3121" s="5" t="s">
        <v>21793</v>
      </c>
      <c r="H3121" s="6" t="s">
        <v>21794</v>
      </c>
      <c r="K3121" s="5" t="s">
        <v>21795</v>
      </c>
      <c r="M3121" s="5" t="s">
        <v>21796</v>
      </c>
      <c r="N3121" s="7" t="s">
        <v>21797</v>
      </c>
      <c r="O3121" s="8" t="str">
        <f>HYPERLINK("https://drive.google.com/file/d/1TagdDg2Yi44cJBhYnsfon8KC5Te5tC2o/view?usp=drivesdk","3120_MUHAMMAD ILHAM ARMIN _ SERTIFIKAT BerAKHLAK")</f>
        <v>3120_MUHAMMAD ILHAM ARMIN _ SERTIFIKAT BerAKHLAK</v>
      </c>
      <c r="P3121" s="5" t="s">
        <v>21786</v>
      </c>
    </row>
    <row r="3122">
      <c r="A3122" s="4">
        <v>45534.34326032407</v>
      </c>
      <c r="B3122" s="5" t="s">
        <v>34</v>
      </c>
      <c r="D3122" s="5" t="s">
        <v>267</v>
      </c>
      <c r="E3122" s="5" t="s">
        <v>21798</v>
      </c>
      <c r="F3122" s="5" t="s">
        <v>37</v>
      </c>
      <c r="G3122" s="5" t="s">
        <v>21799</v>
      </c>
      <c r="H3122" s="6" t="s">
        <v>21800</v>
      </c>
      <c r="I3122" s="7" t="s">
        <v>21801</v>
      </c>
      <c r="J3122" s="8" t="str">
        <f>HYPERLINK("https://drive.google.com/file/d/1vvffcqXoO3eC6RsJTtqNVU2JPD-VJslX/view?usp=drivesdk","DODOK WALJIYANYO SERTIFIKAT BerAKHLAK")</f>
        <v>DODOK WALJIYANYO SERTIFIKAT BerAKHLAK</v>
      </c>
      <c r="K3122" s="5" t="s">
        <v>21426</v>
      </c>
      <c r="L3122" s="5" t="s">
        <v>21802</v>
      </c>
      <c r="M3122" s="5" t="s">
        <v>21803</v>
      </c>
      <c r="N3122" s="7" t="s">
        <v>21804</v>
      </c>
      <c r="O3122" s="8" t="str">
        <f>HYPERLINK("https://drive.google.com/file/d/1Fue2dlnbIf8IC_F2y41ll_YWtsN2gnsA/view?usp=drivesdk","3121_DODOK WALJIYANYO _ SERTIFIKAT BerAKHLAK")</f>
        <v>3121_DODOK WALJIYANYO _ SERTIFIKAT BerAKHLAK</v>
      </c>
      <c r="P3122" s="5" t="s">
        <v>21786</v>
      </c>
    </row>
    <row r="3123">
      <c r="A3123" s="4">
        <v>45534.343264027775</v>
      </c>
      <c r="B3123" s="5" t="s">
        <v>34</v>
      </c>
      <c r="D3123" s="5" t="s">
        <v>35</v>
      </c>
      <c r="E3123" s="5" t="s">
        <v>21805</v>
      </c>
      <c r="F3123" s="5" t="s">
        <v>37</v>
      </c>
      <c r="G3123" s="5" t="s">
        <v>21806</v>
      </c>
      <c r="H3123" s="6" t="s">
        <v>21807</v>
      </c>
      <c r="K3123" s="5" t="s">
        <v>21808</v>
      </c>
      <c r="M3123" s="5" t="s">
        <v>21809</v>
      </c>
      <c r="N3123" s="7" t="s">
        <v>21810</v>
      </c>
      <c r="O3123" s="8" t="str">
        <f>HYPERLINK("https://drive.google.com/file/d/1-Z_hNi9zgZIm4WZrxhTYKX4Vw1l_bNzB/view?usp=drivesdk","3122_WILDAN N. NASUTION _ SERTIFIKAT BerAKHLAK")</f>
        <v>3122_WILDAN N. NASUTION _ SERTIFIKAT BerAKHLAK</v>
      </c>
      <c r="P3123" s="5" t="s">
        <v>21811</v>
      </c>
    </row>
    <row r="3124">
      <c r="A3124" s="4">
        <v>45534.343264131945</v>
      </c>
      <c r="B3124" s="5" t="s">
        <v>34</v>
      </c>
      <c r="D3124" s="5" t="s">
        <v>12978</v>
      </c>
      <c r="E3124" s="5" t="s">
        <v>21812</v>
      </c>
      <c r="F3124" s="5" t="s">
        <v>524</v>
      </c>
      <c r="G3124" s="5" t="s">
        <v>21813</v>
      </c>
      <c r="H3124" s="6" t="s">
        <v>21814</v>
      </c>
      <c r="K3124" s="5" t="s">
        <v>21808</v>
      </c>
      <c r="M3124" s="5" t="s">
        <v>21815</v>
      </c>
      <c r="N3124" s="7" t="s">
        <v>21816</v>
      </c>
      <c r="O3124" s="8" t="str">
        <f>HYPERLINK("https://drive.google.com/file/d/1PmXGh1ppxdC9shX2Re45AqzzXngttRAu/view?usp=drivesdk","3123_ARLANI _ SERTIFIKAT BerAKHLAK")</f>
        <v>3123_ARLANI _ SERTIFIKAT BerAKHLAK</v>
      </c>
      <c r="P3124" s="5" t="s">
        <v>21811</v>
      </c>
    </row>
    <row r="3125" hidden="1">
      <c r="A3125" s="4">
        <v>45534.34326625</v>
      </c>
      <c r="B3125" s="5" t="s">
        <v>19</v>
      </c>
      <c r="C3125" s="5" t="s">
        <v>466</v>
      </c>
      <c r="E3125" s="5" t="s">
        <v>21817</v>
      </c>
      <c r="F3125" s="5" t="s">
        <v>108</v>
      </c>
      <c r="G3125" s="5" t="s">
        <v>21818</v>
      </c>
      <c r="H3125" s="6" t="s">
        <v>21819</v>
      </c>
      <c r="K3125" s="5" t="s">
        <v>21808</v>
      </c>
      <c r="M3125" s="5" t="s">
        <v>21820</v>
      </c>
      <c r="N3125" s="7" t="s">
        <v>21821</v>
      </c>
      <c r="O3125" s="8" t="str">
        <f>HYPERLINK("https://drive.google.com/file/d/1qLv87hwzCEgxnzLdc1INPL9K9b9n3iG8/view?usp=drivesdk","3124_SUHANDA _ SERTIFIKAT BerAKHLAK")</f>
        <v>3124_SUHANDA _ SERTIFIKAT BerAKHLAK</v>
      </c>
      <c r="P3125" s="5" t="s">
        <v>21822</v>
      </c>
    </row>
    <row r="3126">
      <c r="A3126" s="4">
        <v>45534.343270219906</v>
      </c>
      <c r="B3126" s="5" t="s">
        <v>34</v>
      </c>
      <c r="D3126" s="5" t="s">
        <v>10444</v>
      </c>
      <c r="E3126" s="5" t="s">
        <v>21823</v>
      </c>
      <c r="F3126" s="5" t="s">
        <v>212</v>
      </c>
      <c r="G3126" s="5" t="s">
        <v>21824</v>
      </c>
      <c r="H3126" s="6" t="s">
        <v>21825</v>
      </c>
      <c r="K3126" s="5" t="s">
        <v>21826</v>
      </c>
      <c r="M3126" s="5" t="s">
        <v>21827</v>
      </c>
      <c r="N3126" s="7" t="s">
        <v>21828</v>
      </c>
      <c r="O3126" s="8" t="str">
        <f>HYPERLINK("https://drive.google.com/file/d/1GWnk5Uu5M6uh2K5-crcb8lO0r9A18da1/view?usp=drivesdk","3125_RARA AYU PERDHANI _ SERTIFIKAT BerAKHLAK")</f>
        <v>3125_RARA AYU PERDHANI _ SERTIFIKAT BerAKHLAK</v>
      </c>
      <c r="P3126" s="5" t="s">
        <v>21822</v>
      </c>
    </row>
    <row r="3127">
      <c r="A3127" s="4">
        <v>45534.343270937505</v>
      </c>
      <c r="B3127" s="5" t="s">
        <v>34</v>
      </c>
      <c r="D3127" s="5" t="s">
        <v>1206</v>
      </c>
      <c r="E3127" s="5" t="s">
        <v>21829</v>
      </c>
      <c r="F3127" s="5" t="s">
        <v>37</v>
      </c>
      <c r="G3127" s="5" t="s">
        <v>21830</v>
      </c>
      <c r="H3127" s="6" t="s">
        <v>21831</v>
      </c>
      <c r="K3127" s="5" t="s">
        <v>21826</v>
      </c>
      <c r="M3127" s="5" t="s">
        <v>21832</v>
      </c>
      <c r="N3127" s="7" t="s">
        <v>21833</v>
      </c>
      <c r="O3127" s="8" t="str">
        <f>HYPERLINK("https://drive.google.com/file/d/1sVlNhPyBYvY7v1irmD37_TLk6_eAuIGc/view?usp=drivesdk","3126_INSANUL MUKMININ  _ SERTIFIKAT BerAKHLAK")</f>
        <v>3126_INSANUL MUKMININ  _ SERTIFIKAT BerAKHLAK</v>
      </c>
      <c r="P3127" s="5" t="s">
        <v>21822</v>
      </c>
    </row>
    <row r="3128">
      <c r="A3128" s="4">
        <v>45534.343274224535</v>
      </c>
      <c r="B3128" s="5" t="s">
        <v>34</v>
      </c>
      <c r="D3128" s="5" t="s">
        <v>1206</v>
      </c>
      <c r="E3128" s="5" t="s">
        <v>21834</v>
      </c>
      <c r="F3128" s="5" t="s">
        <v>375</v>
      </c>
      <c r="G3128" s="5" t="s">
        <v>21835</v>
      </c>
      <c r="H3128" s="6" t="s">
        <v>21836</v>
      </c>
      <c r="K3128" s="5" t="s">
        <v>21826</v>
      </c>
      <c r="M3128" s="5" t="s">
        <v>21837</v>
      </c>
      <c r="N3128" s="7" t="s">
        <v>21838</v>
      </c>
      <c r="O3128" s="8" t="str">
        <f>HYPERLINK("https://drive.google.com/file/d/1E8RHDRX5GupM8TmoretH8OukN6vzVpva/view?usp=drivesdk","3127_SITTI FATIMAH, S.Pd _ SERTIFIKAT BerAKHLAK")</f>
        <v>3127_SITTI FATIMAH, S.Pd _ SERTIFIKAT BerAKHLAK</v>
      </c>
      <c r="P3128" s="5" t="s">
        <v>21839</v>
      </c>
    </row>
    <row r="3129">
      <c r="A3129" s="4">
        <v>45534.34327631944</v>
      </c>
      <c r="B3129" s="5" t="s">
        <v>34</v>
      </c>
      <c r="D3129" s="5" t="s">
        <v>1206</v>
      </c>
      <c r="E3129" s="5" t="s">
        <v>21840</v>
      </c>
      <c r="F3129" s="5" t="s">
        <v>212</v>
      </c>
      <c r="G3129" s="5" t="s">
        <v>21841</v>
      </c>
      <c r="H3129" s="6" t="s">
        <v>21842</v>
      </c>
      <c r="K3129" s="5" t="s">
        <v>21826</v>
      </c>
      <c r="M3129" s="5" t="s">
        <v>21843</v>
      </c>
      <c r="N3129" s="7" t="s">
        <v>21844</v>
      </c>
      <c r="O3129" s="8" t="str">
        <f>HYPERLINK("https://drive.google.com/file/d/1JNz9rtcp7C5muHy9r9OLcPYo4qYkuHBE/view?usp=drivesdk","3128_ANITA SUGIARTI  _ SERTIFIKAT BerAKHLAK")</f>
        <v>3128_ANITA SUGIARTI  _ SERTIFIKAT BerAKHLAK</v>
      </c>
      <c r="P3129" s="5" t="s">
        <v>21839</v>
      </c>
    </row>
    <row r="3130">
      <c r="A3130" s="4">
        <v>45534.34327972222</v>
      </c>
      <c r="B3130" s="5" t="s">
        <v>34</v>
      </c>
      <c r="D3130" s="5" t="s">
        <v>1206</v>
      </c>
      <c r="E3130" s="5" t="s">
        <v>21845</v>
      </c>
      <c r="F3130" s="5" t="s">
        <v>199</v>
      </c>
      <c r="G3130" s="5" t="s">
        <v>21846</v>
      </c>
      <c r="H3130" s="6" t="s">
        <v>21847</v>
      </c>
      <c r="K3130" s="5" t="s">
        <v>21826</v>
      </c>
      <c r="M3130" s="5" t="s">
        <v>21848</v>
      </c>
      <c r="N3130" s="7" t="s">
        <v>21849</v>
      </c>
      <c r="O3130" s="8" t="str">
        <f>HYPERLINK("https://drive.google.com/file/d/1RfWabnmzuZvrHRlnRSTksulkO7iwPLWQ/view?usp=drivesdk","3129_UMMAMI _ SERTIFIKAT BerAKHLAK")</f>
        <v>3129_UMMAMI _ SERTIFIKAT BerAKHLAK</v>
      </c>
      <c r="P3130" s="5" t="s">
        <v>21839</v>
      </c>
    </row>
    <row r="3131">
      <c r="A3131" s="4">
        <v>45534.343286250005</v>
      </c>
      <c r="B3131" s="5" t="s">
        <v>34</v>
      </c>
      <c r="D3131" s="5" t="s">
        <v>996</v>
      </c>
      <c r="E3131" s="5" t="s">
        <v>21850</v>
      </c>
      <c r="F3131" s="5" t="s">
        <v>72</v>
      </c>
      <c r="G3131" s="5" t="s">
        <v>21851</v>
      </c>
      <c r="H3131" s="6" t="s">
        <v>21852</v>
      </c>
      <c r="K3131" s="5" t="s">
        <v>21826</v>
      </c>
      <c r="M3131" s="5" t="s">
        <v>21853</v>
      </c>
      <c r="N3131" s="7" t="s">
        <v>21854</v>
      </c>
      <c r="O3131" s="8" t="str">
        <f>HYPERLINK("https://drive.google.com/file/d/1Cgenc8IY4RqKYwX2dzAeOeR4tOhwFMu2/view?usp=drivesdk","3130_RAHMADI, S.AG _ SERTIFIKAT BerAKHLAK")</f>
        <v>3130_RAHMADI, S.AG _ SERTIFIKAT BerAKHLAK</v>
      </c>
      <c r="P3131" s="5" t="s">
        <v>21839</v>
      </c>
    </row>
    <row r="3132">
      <c r="A3132" s="4">
        <v>45534.34330059028</v>
      </c>
      <c r="B3132" s="5" t="s">
        <v>34</v>
      </c>
      <c r="D3132" s="5" t="s">
        <v>12978</v>
      </c>
      <c r="E3132" s="5" t="s">
        <v>21855</v>
      </c>
      <c r="F3132" s="5" t="s">
        <v>212</v>
      </c>
      <c r="G3132" s="5" t="s">
        <v>21856</v>
      </c>
      <c r="H3132" s="6" t="s">
        <v>21857</v>
      </c>
      <c r="K3132" s="5" t="s">
        <v>21826</v>
      </c>
      <c r="M3132" s="5" t="s">
        <v>21858</v>
      </c>
      <c r="N3132" s="7" t="s">
        <v>21859</v>
      </c>
      <c r="O3132" s="8" t="str">
        <f>HYPERLINK("https://drive.google.com/file/d/1YFBYeM7JkQPK5B1TSz2YTS8jFTBQLlCL/view?usp=drivesdk","3131_RISKA PRATAMA _ SERTIFIKAT BerAKHLAK")</f>
        <v>3131_RISKA PRATAMA _ SERTIFIKAT BerAKHLAK</v>
      </c>
      <c r="P3132" s="5" t="s">
        <v>21860</v>
      </c>
    </row>
    <row r="3133">
      <c r="A3133" s="4">
        <v>45534.3433009838</v>
      </c>
      <c r="B3133" s="5" t="s">
        <v>34</v>
      </c>
      <c r="D3133" s="5" t="s">
        <v>4775</v>
      </c>
      <c r="E3133" s="5" t="s">
        <v>21861</v>
      </c>
      <c r="F3133" s="5" t="s">
        <v>108</v>
      </c>
      <c r="G3133" s="5" t="s">
        <v>21862</v>
      </c>
      <c r="H3133" s="6" t="s">
        <v>21863</v>
      </c>
      <c r="K3133" s="5" t="s">
        <v>21826</v>
      </c>
      <c r="M3133" s="5" t="s">
        <v>21864</v>
      </c>
      <c r="N3133" s="7" t="s">
        <v>21865</v>
      </c>
      <c r="O3133" s="8" t="str">
        <f>HYPERLINK("https://drive.google.com/file/d/1Tr6cQxdHAJNJUo7tKUs14Cd4Ja33SC--/view?usp=drivesdk","3132_MARI SETIYA WARDANI  _ SERTIFIKAT BerAKHLAK")</f>
        <v>3132_MARI SETIYA WARDANI  _ SERTIFIKAT BerAKHLAK</v>
      </c>
      <c r="P3133" s="5" t="s">
        <v>21860</v>
      </c>
    </row>
    <row r="3134">
      <c r="A3134" s="4">
        <v>45534.34331171296</v>
      </c>
      <c r="B3134" s="5" t="s">
        <v>34</v>
      </c>
      <c r="D3134" s="5" t="s">
        <v>9020</v>
      </c>
      <c r="E3134" s="5" t="s">
        <v>21866</v>
      </c>
      <c r="F3134" s="5" t="s">
        <v>37</v>
      </c>
      <c r="G3134" s="5" t="s">
        <v>21867</v>
      </c>
      <c r="H3134" s="6" t="s">
        <v>21868</v>
      </c>
      <c r="K3134" s="5" t="s">
        <v>21826</v>
      </c>
      <c r="M3134" s="5" t="s">
        <v>21869</v>
      </c>
      <c r="N3134" s="7" t="s">
        <v>21870</v>
      </c>
      <c r="O3134" s="8" t="str">
        <f>HYPERLINK("https://drive.google.com/file/d/1kMUhEKhN-m1A_mjvm2BCglxyROJFDi9e/view?usp=drivesdk","3133_KHALID _ SERTIFIKAT BerAKHLAK")</f>
        <v>3133_KHALID _ SERTIFIKAT BerAKHLAK</v>
      </c>
      <c r="P3134" s="5" t="s">
        <v>21860</v>
      </c>
    </row>
    <row r="3135">
      <c r="A3135" s="4">
        <v>45534.34331892361</v>
      </c>
      <c r="B3135" s="5" t="s">
        <v>34</v>
      </c>
      <c r="D3135" s="5" t="s">
        <v>1206</v>
      </c>
      <c r="E3135" s="5" t="s">
        <v>21871</v>
      </c>
      <c r="F3135" s="5" t="s">
        <v>715</v>
      </c>
      <c r="G3135" s="5" t="s">
        <v>21872</v>
      </c>
      <c r="H3135" s="6" t="s">
        <v>21873</v>
      </c>
      <c r="K3135" s="5" t="s">
        <v>21826</v>
      </c>
      <c r="M3135" s="5" t="s">
        <v>21874</v>
      </c>
      <c r="N3135" s="7" t="s">
        <v>21875</v>
      </c>
      <c r="O3135" s="8" t="str">
        <f>HYPERLINK("https://drive.google.com/file/d/1okvbEIVSDSZKjM9GlrDXsJd6Ua-Hctbk/view?usp=drivesdk","3134_EKI RINI ASTUTI  _ SERTIFIKAT BerAKHLAK")</f>
        <v>3134_EKI RINI ASTUTI  _ SERTIFIKAT BerAKHLAK</v>
      </c>
      <c r="P3135" s="5" t="s">
        <v>21860</v>
      </c>
    </row>
    <row r="3136">
      <c r="A3136" s="4">
        <v>45534.34331998843</v>
      </c>
      <c r="B3136" s="5" t="s">
        <v>34</v>
      </c>
      <c r="D3136" s="5" t="s">
        <v>975</v>
      </c>
      <c r="E3136" s="5" t="s">
        <v>21876</v>
      </c>
      <c r="F3136" s="5" t="s">
        <v>37</v>
      </c>
      <c r="G3136" s="5" t="s">
        <v>21877</v>
      </c>
      <c r="H3136" s="6" t="s">
        <v>21878</v>
      </c>
      <c r="K3136" s="5" t="s">
        <v>21826</v>
      </c>
      <c r="M3136" s="5" t="s">
        <v>21879</v>
      </c>
      <c r="N3136" s="7" t="s">
        <v>21880</v>
      </c>
      <c r="O3136" s="8" t="str">
        <f>HYPERLINK("https://drive.google.com/file/d/1skqlW_NE3QdmsvrzrujCHP903UdSEXMO/view?usp=drivesdk","3135_IHDA ROSADA.A.MD.KEB _ SERTIFIKAT BerAKHLAK")</f>
        <v>3135_IHDA ROSADA.A.MD.KEB _ SERTIFIKAT BerAKHLAK</v>
      </c>
      <c r="P3136" s="5" t="s">
        <v>21881</v>
      </c>
    </row>
    <row r="3137">
      <c r="A3137" s="4">
        <v>45534.34332971065</v>
      </c>
      <c r="B3137" s="5" t="s">
        <v>34</v>
      </c>
      <c r="D3137" s="5" t="s">
        <v>1206</v>
      </c>
      <c r="E3137" s="5" t="s">
        <v>21882</v>
      </c>
      <c r="F3137" s="5" t="s">
        <v>37</v>
      </c>
      <c r="G3137" s="5" t="s">
        <v>21883</v>
      </c>
      <c r="H3137" s="6" t="s">
        <v>21884</v>
      </c>
      <c r="K3137" s="5" t="s">
        <v>21826</v>
      </c>
      <c r="M3137" s="5" t="s">
        <v>21885</v>
      </c>
      <c r="N3137" s="7" t="s">
        <v>21886</v>
      </c>
      <c r="O3137" s="8" t="str">
        <f>HYPERLINK("https://drive.google.com/file/d/1XI-hy3n9s0tmJhVfOe4VFdPuEEp09-JB/view?usp=drivesdk","3136_UMIYATI LEWENUSSA _ SERTIFIKAT BerAKHLAK")</f>
        <v>3136_UMIYATI LEWENUSSA _ SERTIFIKAT BerAKHLAK</v>
      </c>
      <c r="P3137" s="5" t="s">
        <v>21881</v>
      </c>
    </row>
    <row r="3138">
      <c r="A3138" s="4">
        <v>45534.34333052083</v>
      </c>
      <c r="B3138" s="5" t="s">
        <v>34</v>
      </c>
      <c r="D3138" s="5" t="s">
        <v>2903</v>
      </c>
      <c r="E3138" s="5" t="s">
        <v>20560</v>
      </c>
      <c r="F3138" s="5" t="s">
        <v>212</v>
      </c>
      <c r="G3138" s="5" t="s">
        <v>21887</v>
      </c>
      <c r="H3138" s="6" t="s">
        <v>21888</v>
      </c>
      <c r="K3138" s="5" t="s">
        <v>21826</v>
      </c>
      <c r="M3138" s="5" t="s">
        <v>21889</v>
      </c>
      <c r="N3138" s="7" t="s">
        <v>21890</v>
      </c>
      <c r="O3138" s="8" t="str">
        <f>HYPERLINK("https://drive.google.com/file/d/1qJsOpU2MKIFCyn888gfsjIi8pxCTdRlt/view?usp=drivesdk","3137_NURHAYATI _ SERTIFIKAT BerAKHLAK")</f>
        <v>3137_NURHAYATI _ SERTIFIKAT BerAKHLAK</v>
      </c>
      <c r="P3138" s="5" t="s">
        <v>21881</v>
      </c>
    </row>
    <row r="3139">
      <c r="A3139" s="4">
        <v>45534.34334445602</v>
      </c>
      <c r="B3139" s="5" t="s">
        <v>34</v>
      </c>
      <c r="D3139" s="5" t="s">
        <v>10444</v>
      </c>
      <c r="E3139" s="5" t="s">
        <v>21891</v>
      </c>
      <c r="F3139" s="5" t="s">
        <v>212</v>
      </c>
      <c r="G3139" s="5" t="s">
        <v>21892</v>
      </c>
      <c r="H3139" s="6" t="s">
        <v>21893</v>
      </c>
      <c r="K3139" s="5" t="s">
        <v>21894</v>
      </c>
      <c r="M3139" s="5" t="s">
        <v>21895</v>
      </c>
      <c r="N3139" s="7" t="s">
        <v>21896</v>
      </c>
      <c r="O3139" s="8" t="str">
        <f>HYPERLINK("https://drive.google.com/file/d/1y-h50PvwJd7IgUEdOLhQO8H3jhTiHR7c/view?usp=drivesdk","3138_FITRIYAH, A.Md.Kep _ SERTIFIKAT BerAKHLAK")</f>
        <v>3138_FITRIYAH, A.Md.Kep _ SERTIFIKAT BerAKHLAK</v>
      </c>
      <c r="P3139" s="5" t="s">
        <v>21881</v>
      </c>
    </row>
    <row r="3140">
      <c r="A3140" s="4">
        <v>45534.34336806713</v>
      </c>
      <c r="B3140" s="5" t="s">
        <v>34</v>
      </c>
      <c r="D3140" s="5" t="s">
        <v>267</v>
      </c>
      <c r="E3140" s="5" t="s">
        <v>21897</v>
      </c>
      <c r="F3140" s="5" t="s">
        <v>375</v>
      </c>
      <c r="G3140" s="5" t="s">
        <v>21898</v>
      </c>
      <c r="H3140" s="6" t="s">
        <v>21899</v>
      </c>
      <c r="K3140" s="5" t="s">
        <v>21894</v>
      </c>
      <c r="M3140" s="5" t="s">
        <v>21900</v>
      </c>
      <c r="N3140" s="7" t="s">
        <v>21901</v>
      </c>
      <c r="O3140" s="8" t="str">
        <f>HYPERLINK("https://drive.google.com/file/d/1u-TK0oRRB_LHxaJsb_MunTYtkRpzXIL-/view?usp=drivesdk","3139_WINARSIH, S SOS.,M.M. _ SERTIFIKAT BerAKHLAK")</f>
        <v>3139_WINARSIH, S SOS.,M.M. _ SERTIFIKAT BerAKHLAK</v>
      </c>
      <c r="P3140" s="5" t="s">
        <v>21881</v>
      </c>
    </row>
    <row r="3141">
      <c r="A3141" s="4">
        <v>45534.34336791666</v>
      </c>
      <c r="B3141" s="5" t="s">
        <v>34</v>
      </c>
      <c r="D3141" s="5" t="s">
        <v>12978</v>
      </c>
      <c r="E3141" s="5" t="s">
        <v>21902</v>
      </c>
      <c r="F3141" s="5" t="s">
        <v>212</v>
      </c>
      <c r="G3141" s="5" t="s">
        <v>21903</v>
      </c>
      <c r="H3141" s="6" t="s">
        <v>21904</v>
      </c>
      <c r="K3141" s="5" t="s">
        <v>21894</v>
      </c>
      <c r="M3141" s="5" t="s">
        <v>21905</v>
      </c>
      <c r="N3141" s="7" t="s">
        <v>21906</v>
      </c>
      <c r="O3141" s="8" t="str">
        <f>HYPERLINK("https://drive.google.com/file/d/1SNUnkwYY4X4iuoeSmNdUdv7lVJz0zUwm/view?usp=drivesdk","3140_YANTI JAHARA _ SERTIFIKAT BerAKHLAK")</f>
        <v>3140_YANTI JAHARA _ SERTIFIKAT BerAKHLAK</v>
      </c>
      <c r="P3141" s="5" t="s">
        <v>21907</v>
      </c>
    </row>
    <row r="3142">
      <c r="A3142" s="4">
        <v>45534.34337445602</v>
      </c>
      <c r="B3142" s="5" t="s">
        <v>34</v>
      </c>
      <c r="D3142" s="5" t="s">
        <v>1206</v>
      </c>
      <c r="E3142" s="5" t="s">
        <v>21908</v>
      </c>
      <c r="F3142" s="5" t="s">
        <v>375</v>
      </c>
      <c r="G3142" s="5" t="s">
        <v>21909</v>
      </c>
      <c r="H3142" s="6" t="s">
        <v>21910</v>
      </c>
      <c r="K3142" s="5" t="s">
        <v>21894</v>
      </c>
      <c r="M3142" s="5" t="s">
        <v>21911</v>
      </c>
      <c r="N3142" s="7" t="s">
        <v>21912</v>
      </c>
      <c r="O3142" s="8" t="str">
        <f>HYPERLINK("https://drive.google.com/file/d/1lcfCnSRR0l1OrgzQqn9GVK4p7uBTHwHo/view?usp=drivesdk","3141_TJATUR WAHYU S _ SERTIFIKAT BerAKHLAK")</f>
        <v>3141_TJATUR WAHYU S _ SERTIFIKAT BerAKHLAK</v>
      </c>
      <c r="P3142" s="5" t="s">
        <v>21907</v>
      </c>
    </row>
    <row r="3143">
      <c r="A3143" s="4">
        <v>45534.34337884259</v>
      </c>
      <c r="B3143" s="5" t="s">
        <v>34</v>
      </c>
      <c r="D3143" s="5" t="s">
        <v>280</v>
      </c>
      <c r="E3143" s="5" t="s">
        <v>21913</v>
      </c>
      <c r="F3143" s="5" t="s">
        <v>212</v>
      </c>
      <c r="G3143" s="5" t="s">
        <v>21914</v>
      </c>
      <c r="H3143" s="6" t="s">
        <v>21915</v>
      </c>
      <c r="K3143" s="5" t="s">
        <v>21894</v>
      </c>
      <c r="M3143" s="5" t="s">
        <v>21916</v>
      </c>
      <c r="N3143" s="7" t="s">
        <v>21917</v>
      </c>
      <c r="O3143" s="8" t="str">
        <f>HYPERLINK("https://drive.google.com/file/d/19Mzyesi7HLtPznPITosMIvUHZA6fRGgf/view?usp=drivesdk","3142_ERLINAWATI _ SERTIFIKAT BerAKHLAK")</f>
        <v>3142_ERLINAWATI _ SERTIFIKAT BerAKHLAK</v>
      </c>
      <c r="P3143" s="5" t="s">
        <v>21907</v>
      </c>
    </row>
    <row r="3144">
      <c r="A3144" s="4">
        <v>45534.34339126157</v>
      </c>
      <c r="B3144" s="5" t="s">
        <v>34</v>
      </c>
      <c r="D3144" s="5" t="s">
        <v>35</v>
      </c>
      <c r="E3144" s="5" t="s">
        <v>21918</v>
      </c>
      <c r="F3144" s="5" t="s">
        <v>37</v>
      </c>
      <c r="G3144" s="5" t="s">
        <v>21919</v>
      </c>
      <c r="H3144" s="6" t="s">
        <v>21920</v>
      </c>
      <c r="K3144" s="5" t="s">
        <v>21921</v>
      </c>
      <c r="M3144" s="5" t="s">
        <v>21922</v>
      </c>
      <c r="N3144" s="7" t="s">
        <v>21923</v>
      </c>
      <c r="O3144" s="8" t="str">
        <f>HYPERLINK("https://drive.google.com/file/d/1JcLHJBu6UkobmnuVb76FVW4lJjnNxpRJ/view?usp=drivesdk","3143_ADESUNARSO _ SERTIFIKAT BerAKHLAK")</f>
        <v>3143_ADESUNARSO _ SERTIFIKAT BerAKHLAK</v>
      </c>
      <c r="P3144" s="5" t="s">
        <v>21907</v>
      </c>
    </row>
    <row r="3145">
      <c r="A3145" s="4">
        <v>45534.343394282405</v>
      </c>
      <c r="B3145" s="5" t="s">
        <v>34</v>
      </c>
      <c r="D3145" s="5" t="s">
        <v>1206</v>
      </c>
      <c r="E3145" s="5" t="s">
        <v>21924</v>
      </c>
      <c r="F3145" s="5" t="s">
        <v>212</v>
      </c>
      <c r="G3145" s="5" t="s">
        <v>21925</v>
      </c>
      <c r="H3145" s="6" t="s">
        <v>21926</v>
      </c>
      <c r="K3145" s="5" t="s">
        <v>21921</v>
      </c>
      <c r="M3145" s="5" t="s">
        <v>21927</v>
      </c>
      <c r="N3145" s="7" t="s">
        <v>21928</v>
      </c>
      <c r="O3145" s="8" t="str">
        <f>HYPERLINK("https://drive.google.com/file/d/1Uc2kSE1sF68WZwrNx_GQrjt6xPBlWIUo/view?usp=drivesdk","3144_YUSTRIYANI _ SERTIFIKAT BerAKHLAK")</f>
        <v>3144_YUSTRIYANI _ SERTIFIKAT BerAKHLAK</v>
      </c>
      <c r="P3145" s="5" t="s">
        <v>21929</v>
      </c>
    </row>
    <row r="3146">
      <c r="A3146" s="4">
        <v>45534.34339751158</v>
      </c>
      <c r="B3146" s="5" t="s">
        <v>34</v>
      </c>
      <c r="D3146" s="5" t="s">
        <v>4775</v>
      </c>
      <c r="E3146" s="5" t="s">
        <v>21930</v>
      </c>
      <c r="F3146" s="5" t="s">
        <v>108</v>
      </c>
      <c r="G3146" s="5" t="s">
        <v>21931</v>
      </c>
      <c r="H3146" s="6" t="s">
        <v>21932</v>
      </c>
      <c r="K3146" s="5" t="s">
        <v>21921</v>
      </c>
      <c r="M3146" s="5" t="s">
        <v>21933</v>
      </c>
      <c r="N3146" s="7" t="s">
        <v>21934</v>
      </c>
      <c r="O3146" s="8" t="str">
        <f>HYPERLINK("https://drive.google.com/file/d/1lnMfmGkQIZL2V-BxShFWNjxtBbxUEm2e/view?usp=drivesdk","3145_AULIA CANDRA KURNIASARI _ SERTIFIKAT BerAKHLAK")</f>
        <v>3145_AULIA CANDRA KURNIASARI _ SERTIFIKAT BerAKHLAK</v>
      </c>
      <c r="P3146" s="5" t="s">
        <v>21929</v>
      </c>
    </row>
    <row r="3147">
      <c r="A3147" s="4">
        <v>45534.34340172454</v>
      </c>
      <c r="B3147" s="5" t="s">
        <v>34</v>
      </c>
      <c r="D3147" s="5" t="s">
        <v>6232</v>
      </c>
      <c r="E3147" s="5" t="s">
        <v>21935</v>
      </c>
      <c r="F3147" s="5" t="s">
        <v>22</v>
      </c>
      <c r="G3147" s="5" t="s">
        <v>21936</v>
      </c>
      <c r="H3147" s="6" t="s">
        <v>21937</v>
      </c>
      <c r="K3147" s="5" t="s">
        <v>21921</v>
      </c>
      <c r="M3147" s="5" t="s">
        <v>21938</v>
      </c>
      <c r="N3147" s="7" t="s">
        <v>21939</v>
      </c>
      <c r="O3147" s="8" t="str">
        <f>HYPERLINK("https://drive.google.com/file/d/1jK0zMALK4VlpdBo03-z0WI9asknmJ5Fs/view?usp=drivesdk","3146_Dr. H. MUKHTARMIZI, M.M _ SERTIFIKAT BerAKHLAK")</f>
        <v>3146_Dr. H. MUKHTARMIZI, M.M _ SERTIFIKAT BerAKHLAK</v>
      </c>
      <c r="P3147" s="5" t="s">
        <v>21929</v>
      </c>
    </row>
    <row r="3148">
      <c r="A3148" s="4">
        <v>45534.34340967593</v>
      </c>
      <c r="B3148" s="5" t="s">
        <v>34</v>
      </c>
      <c r="D3148" s="5" t="s">
        <v>4775</v>
      </c>
      <c r="E3148" s="5" t="s">
        <v>21940</v>
      </c>
      <c r="F3148" s="5" t="s">
        <v>212</v>
      </c>
      <c r="G3148" s="5" t="s">
        <v>21941</v>
      </c>
      <c r="H3148" s="6" t="s">
        <v>21942</v>
      </c>
      <c r="K3148" s="5" t="s">
        <v>21921</v>
      </c>
      <c r="M3148" s="5" t="s">
        <v>21943</v>
      </c>
      <c r="N3148" s="7" t="s">
        <v>21944</v>
      </c>
      <c r="O3148" s="8" t="str">
        <f>HYPERLINK("https://drive.google.com/file/d/1q_xBjB8o1pODGza9YNEejuHnqj89wtGu/view?usp=drivesdk","3147_LASMINI _ SERTIFIKAT BerAKHLAK")</f>
        <v>3147_LASMINI _ SERTIFIKAT BerAKHLAK</v>
      </c>
      <c r="P3148" s="5" t="s">
        <v>21929</v>
      </c>
    </row>
    <row r="3149">
      <c r="A3149" s="4">
        <v>45534.34341826389</v>
      </c>
      <c r="B3149" s="5" t="s">
        <v>34</v>
      </c>
      <c r="D3149" s="5" t="s">
        <v>1206</v>
      </c>
      <c r="E3149" s="5" t="s">
        <v>21945</v>
      </c>
      <c r="F3149" s="5" t="s">
        <v>37</v>
      </c>
      <c r="G3149" s="5" t="s">
        <v>21946</v>
      </c>
      <c r="H3149" s="6" t="s">
        <v>21947</v>
      </c>
      <c r="K3149" s="5" t="s">
        <v>21921</v>
      </c>
      <c r="M3149" s="5" t="s">
        <v>21948</v>
      </c>
      <c r="N3149" s="7" t="s">
        <v>21949</v>
      </c>
      <c r="O3149" s="8" t="str">
        <f>HYPERLINK("https://drive.google.com/file/d/1lXoyUYVGkV7urUL1ejhfpyHea1dNdFXG/view?usp=drivesdk","3148_SURYADI _ SERTIFIKAT BerAKHLAK")</f>
        <v>3148_SURYADI _ SERTIFIKAT BerAKHLAK</v>
      </c>
      <c r="P3149" s="5" t="s">
        <v>21950</v>
      </c>
    </row>
    <row r="3150">
      <c r="A3150" s="4">
        <v>45534.34341988426</v>
      </c>
      <c r="B3150" s="5" t="s">
        <v>34</v>
      </c>
      <c r="D3150" s="5" t="s">
        <v>2903</v>
      </c>
      <c r="E3150" s="5" t="s">
        <v>21951</v>
      </c>
      <c r="F3150" s="5" t="s">
        <v>120</v>
      </c>
      <c r="G3150" s="5" t="s">
        <v>21952</v>
      </c>
      <c r="H3150" s="6" t="s">
        <v>21953</v>
      </c>
      <c r="K3150" s="5" t="s">
        <v>21921</v>
      </c>
      <c r="M3150" s="5" t="s">
        <v>21954</v>
      </c>
      <c r="N3150" s="7" t="s">
        <v>21955</v>
      </c>
      <c r="O3150" s="8" t="str">
        <f>HYPERLINK("https://drive.google.com/file/d/1V5zc-8G_JOdJE8ZBNGogQjBneLd7hHAd/view?usp=drivesdk","3149_ABU HASAN, S.Ag., M.H. _ SERTIFIKAT BerAKHLAK")</f>
        <v>3149_ABU HASAN, S.Ag., M.H. _ SERTIFIKAT BerAKHLAK</v>
      </c>
      <c r="P3150" s="5" t="s">
        <v>21950</v>
      </c>
    </row>
    <row r="3151">
      <c r="A3151" s="4">
        <v>45534.3434209375</v>
      </c>
      <c r="B3151" s="5" t="s">
        <v>34</v>
      </c>
      <c r="D3151" s="5" t="s">
        <v>1206</v>
      </c>
      <c r="E3151" s="5" t="s">
        <v>21956</v>
      </c>
      <c r="F3151" s="5" t="s">
        <v>212</v>
      </c>
      <c r="G3151" s="5" t="s">
        <v>21957</v>
      </c>
      <c r="H3151" s="6" t="s">
        <v>21958</v>
      </c>
      <c r="K3151" s="5" t="s">
        <v>21921</v>
      </c>
      <c r="M3151" s="5" t="s">
        <v>21959</v>
      </c>
      <c r="N3151" s="7" t="s">
        <v>21960</v>
      </c>
      <c r="O3151" s="8" t="str">
        <f>HYPERLINK("https://drive.google.com/file/d/1XJUtb7wA3VH9J8WZn2gLnyTWpYyAo2pS/view?usp=drivesdk","3150_IKHWAN, S.H. _ SERTIFIKAT BerAKHLAK")</f>
        <v>3150_IKHWAN, S.H. _ SERTIFIKAT BerAKHLAK</v>
      </c>
      <c r="P3151" s="5" t="s">
        <v>21950</v>
      </c>
    </row>
    <row r="3152">
      <c r="A3152" s="4">
        <v>45534.34343574074</v>
      </c>
      <c r="B3152" s="5" t="s">
        <v>34</v>
      </c>
      <c r="D3152" s="5" t="s">
        <v>1206</v>
      </c>
      <c r="E3152" s="5" t="s">
        <v>21961</v>
      </c>
      <c r="F3152" s="5" t="s">
        <v>37</v>
      </c>
      <c r="G3152" s="5" t="s">
        <v>21962</v>
      </c>
      <c r="H3152" s="6" t="s">
        <v>21963</v>
      </c>
      <c r="K3152" s="5" t="s">
        <v>21921</v>
      </c>
      <c r="M3152" s="5" t="s">
        <v>21964</v>
      </c>
      <c r="N3152" s="7" t="s">
        <v>21965</v>
      </c>
      <c r="O3152" s="8" t="str">
        <f>HYPERLINK("https://drive.google.com/file/d/1bpjRF4qrnzigJ8hFaCt6L0S-8-VXeYuM/view?usp=drivesdk","3151_Yusef Eko Suwanto _ SERTIFIKAT BerAKHLAK")</f>
        <v>3151_Yusef Eko Suwanto _ SERTIFIKAT BerAKHLAK</v>
      </c>
      <c r="P3152" s="5" t="s">
        <v>21950</v>
      </c>
    </row>
    <row r="3153">
      <c r="A3153" s="4">
        <v>45534.34344456019</v>
      </c>
      <c r="B3153" s="5" t="s">
        <v>34</v>
      </c>
      <c r="D3153" s="5" t="s">
        <v>4775</v>
      </c>
      <c r="E3153" s="5" t="s">
        <v>21966</v>
      </c>
      <c r="F3153" s="5" t="s">
        <v>524</v>
      </c>
      <c r="G3153" s="5" t="s">
        <v>21967</v>
      </c>
      <c r="H3153" s="6" t="s">
        <v>21968</v>
      </c>
      <c r="K3153" s="5" t="s">
        <v>21921</v>
      </c>
      <c r="M3153" s="5" t="s">
        <v>21969</v>
      </c>
      <c r="N3153" s="7" t="s">
        <v>21970</v>
      </c>
      <c r="O3153" s="8" t="str">
        <f>HYPERLINK("https://drive.google.com/file/d/1Zo-cqKnyQC1PW85WidvLAPmVAhW9uH34/view?usp=drivesdk","3152_KUKUH RAKHMAN _ SERTIFIKAT BerAKHLAK")</f>
        <v>3152_KUKUH RAKHMAN _ SERTIFIKAT BerAKHLAK</v>
      </c>
      <c r="P3153" s="5" t="s">
        <v>21950</v>
      </c>
    </row>
    <row r="3154">
      <c r="A3154" s="4">
        <v>45534.343448252315</v>
      </c>
      <c r="B3154" s="5" t="s">
        <v>34</v>
      </c>
      <c r="D3154" s="5" t="s">
        <v>35</v>
      </c>
      <c r="E3154" s="5" t="s">
        <v>21971</v>
      </c>
      <c r="F3154" s="5" t="s">
        <v>212</v>
      </c>
      <c r="G3154" s="5" t="s">
        <v>21972</v>
      </c>
      <c r="H3154" s="6" t="s">
        <v>21973</v>
      </c>
      <c r="K3154" s="5" t="s">
        <v>21921</v>
      </c>
      <c r="M3154" s="5" t="s">
        <v>21974</v>
      </c>
      <c r="N3154" s="7" t="s">
        <v>21975</v>
      </c>
      <c r="O3154" s="8" t="str">
        <f>HYPERLINK("https://drive.google.com/file/d/1ZQtrpTukal4_-hKPRMsZJT5tXhozfCWQ/view?usp=drivesdk","3153_EDDY  SUMARTO  _ SERTIFIKAT BerAKHLAK")</f>
        <v>3153_EDDY  SUMARTO  _ SERTIFIKAT BerAKHLAK</v>
      </c>
      <c r="P3154" s="5" t="s">
        <v>21950</v>
      </c>
    </row>
    <row r="3155" hidden="1">
      <c r="A3155" s="4">
        <v>45534.343458958334</v>
      </c>
      <c r="B3155" s="5" t="s">
        <v>19</v>
      </c>
      <c r="C3155" s="5" t="s">
        <v>5564</v>
      </c>
      <c r="E3155" s="5" t="s">
        <v>21976</v>
      </c>
      <c r="F3155" s="5" t="s">
        <v>212</v>
      </c>
      <c r="G3155" s="5" t="s">
        <v>21977</v>
      </c>
      <c r="H3155" s="6" t="s">
        <v>21978</v>
      </c>
      <c r="K3155" s="5" t="s">
        <v>21921</v>
      </c>
      <c r="M3155" s="5" t="s">
        <v>21979</v>
      </c>
      <c r="N3155" s="7" t="s">
        <v>21980</v>
      </c>
      <c r="O3155" s="8" t="str">
        <f>HYPERLINK("https://drive.google.com/file/d/1jVmHxh9QOWWAq2ZVBkTWGmGgle8KKnl5/view?usp=drivesdk","3154_NURLELA _ SERTIFIKAT BerAKHLAK")</f>
        <v>3154_NURLELA _ SERTIFIKAT BerAKHLAK</v>
      </c>
      <c r="P3155" s="5" t="s">
        <v>21981</v>
      </c>
    </row>
    <row r="3156">
      <c r="A3156" s="4">
        <v>45534.343468900464</v>
      </c>
      <c r="B3156" s="5" t="s">
        <v>34</v>
      </c>
      <c r="D3156" s="5" t="s">
        <v>4775</v>
      </c>
      <c r="E3156" s="5" t="s">
        <v>21982</v>
      </c>
      <c r="F3156" s="5" t="s">
        <v>212</v>
      </c>
      <c r="G3156" s="5" t="s">
        <v>21983</v>
      </c>
      <c r="H3156" s="6" t="s">
        <v>21984</v>
      </c>
      <c r="K3156" s="5" t="s">
        <v>21921</v>
      </c>
      <c r="M3156" s="5" t="s">
        <v>21985</v>
      </c>
      <c r="N3156" s="7" t="s">
        <v>21986</v>
      </c>
      <c r="O3156" s="8" t="str">
        <f>HYPERLINK("https://drive.google.com/file/d/1qOwicltlG8r2VBwlh4GYPsnZ95qyp4-p/view?usp=drivesdk","3155_SRI DEWANOTO DIPURO  _ SERTIFIKAT BerAKHLAK")</f>
        <v>3155_SRI DEWANOTO DIPURO  _ SERTIFIKAT BerAKHLAK</v>
      </c>
      <c r="P3156" s="5" t="s">
        <v>21981</v>
      </c>
    </row>
    <row r="3157" hidden="1">
      <c r="A3157" s="4">
        <v>45534.3434722338</v>
      </c>
      <c r="B3157" s="5" t="s">
        <v>19</v>
      </c>
      <c r="C3157" s="5" t="s">
        <v>292</v>
      </c>
      <c r="E3157" s="5" t="s">
        <v>21987</v>
      </c>
      <c r="F3157" s="5" t="s">
        <v>72</v>
      </c>
      <c r="G3157" s="5" t="s">
        <v>21988</v>
      </c>
      <c r="H3157" s="6" t="s">
        <v>21989</v>
      </c>
      <c r="K3157" s="5" t="s">
        <v>21921</v>
      </c>
      <c r="M3157" s="5" t="s">
        <v>21990</v>
      </c>
      <c r="N3157" s="7" t="s">
        <v>21991</v>
      </c>
      <c r="O3157" s="8" t="str">
        <f>HYPERLINK("https://drive.google.com/file/d/1r8trDHrjMpBBMltG6A9BWfsT3OIYjK6P/view?usp=drivesdk","3156_HABIBAH, S.AB _ SERTIFIKAT BerAKHLAK")</f>
        <v>3156_HABIBAH, S.AB _ SERTIFIKAT BerAKHLAK</v>
      </c>
      <c r="P3157" s="5" t="s">
        <v>21981</v>
      </c>
    </row>
    <row r="3158">
      <c r="A3158" s="4">
        <v>45534.343474189816</v>
      </c>
      <c r="B3158" s="5" t="s">
        <v>34</v>
      </c>
      <c r="D3158" s="5" t="s">
        <v>580</v>
      </c>
      <c r="E3158" s="5" t="s">
        <v>21992</v>
      </c>
      <c r="F3158" s="5" t="s">
        <v>715</v>
      </c>
      <c r="G3158" s="5" t="s">
        <v>21993</v>
      </c>
      <c r="H3158" s="6" t="s">
        <v>21994</v>
      </c>
      <c r="K3158" s="5" t="s">
        <v>21995</v>
      </c>
      <c r="M3158" s="5" t="s">
        <v>21996</v>
      </c>
      <c r="N3158" s="7" t="s">
        <v>21997</v>
      </c>
      <c r="O3158" s="8" t="str">
        <f>HYPERLINK("https://drive.google.com/file/d/1OPR_X4vJnL2UWj0C6ho01efE2Ofyo-2z/view?usp=drivesdk","3157_ASHARI,S.H. _ SERTIFIKAT BerAKHLAK")</f>
        <v>3157_ASHARI,S.H. _ SERTIFIKAT BerAKHLAK</v>
      </c>
      <c r="P3158" s="5" t="s">
        <v>21981</v>
      </c>
    </row>
    <row r="3159">
      <c r="A3159" s="4">
        <v>45534.34347542824</v>
      </c>
      <c r="B3159" s="5" t="s">
        <v>34</v>
      </c>
      <c r="D3159" s="5" t="s">
        <v>1768</v>
      </c>
      <c r="E3159" s="5" t="s">
        <v>16873</v>
      </c>
      <c r="F3159" s="5" t="s">
        <v>72</v>
      </c>
      <c r="G3159" s="5" t="s">
        <v>21998</v>
      </c>
      <c r="H3159" s="6" t="s">
        <v>21999</v>
      </c>
      <c r="K3159" s="5" t="s">
        <v>21995</v>
      </c>
      <c r="M3159" s="5" t="s">
        <v>22000</v>
      </c>
      <c r="N3159" s="7" t="s">
        <v>22001</v>
      </c>
      <c r="O3159" s="8" t="str">
        <f>HYPERLINK("https://drive.google.com/file/d/1DdZ-61hH08BXXHnyJFtJB6tUeEooBeu9/view?usp=drivesdk","3158_SUPRAPTI _ SERTIFIKAT BerAKHLAK")</f>
        <v>3158_SUPRAPTI _ SERTIFIKAT BerAKHLAK</v>
      </c>
      <c r="P3159" s="5" t="s">
        <v>21981</v>
      </c>
    </row>
    <row r="3160">
      <c r="A3160" s="4">
        <v>45534.34348686342</v>
      </c>
      <c r="B3160" s="5" t="s">
        <v>34</v>
      </c>
      <c r="D3160" s="5" t="s">
        <v>522</v>
      </c>
      <c r="E3160" s="5" t="s">
        <v>22002</v>
      </c>
      <c r="F3160" s="5" t="s">
        <v>524</v>
      </c>
      <c r="G3160" s="5" t="s">
        <v>22003</v>
      </c>
      <c r="H3160" s="6" t="s">
        <v>22004</v>
      </c>
      <c r="K3160" s="5" t="s">
        <v>21995</v>
      </c>
      <c r="M3160" s="5" t="s">
        <v>22005</v>
      </c>
      <c r="N3160" s="7" t="s">
        <v>22006</v>
      </c>
      <c r="O3160" s="8" t="str">
        <f>HYPERLINK("https://drive.google.com/file/d/1jSs1weXKFJDInEfJ05uoARq6FY7Tq65t/view?usp=drivesdk","3159_SASTIA DIAN IRMASARI, AMD. KEB _ SERTIFIKAT BerAKHLAK")</f>
        <v>3159_SASTIA DIAN IRMASARI, AMD. KEB _ SERTIFIKAT BerAKHLAK</v>
      </c>
      <c r="P3160" s="5" t="s">
        <v>21981</v>
      </c>
    </row>
    <row r="3161">
      <c r="A3161" s="4">
        <v>45534.34348892361</v>
      </c>
      <c r="B3161" s="5" t="s">
        <v>34</v>
      </c>
      <c r="D3161" s="5" t="s">
        <v>11527</v>
      </c>
      <c r="E3161" s="5" t="s">
        <v>22007</v>
      </c>
      <c r="F3161" s="5" t="s">
        <v>72</v>
      </c>
      <c r="G3161" s="5" t="s">
        <v>22008</v>
      </c>
      <c r="H3161" s="6" t="s">
        <v>22009</v>
      </c>
      <c r="K3161" s="5" t="s">
        <v>21995</v>
      </c>
      <c r="M3161" s="5" t="s">
        <v>22010</v>
      </c>
      <c r="N3161" s="7" t="s">
        <v>22011</v>
      </c>
      <c r="O3161" s="8" t="str">
        <f>HYPERLINK("https://drive.google.com/file/d/1tr7kl_XOZy64pl3RNz4JzvW-BLQasaOH/view?usp=drivesdk","3160_NI NYOMAN PURMONI _ SERTIFIKAT BerAKHLAK")</f>
        <v>3160_NI NYOMAN PURMONI _ SERTIFIKAT BerAKHLAK</v>
      </c>
      <c r="P3161" s="5" t="s">
        <v>21981</v>
      </c>
    </row>
    <row r="3162">
      <c r="A3162" s="4">
        <v>45534.3434928125</v>
      </c>
      <c r="B3162" s="5" t="s">
        <v>34</v>
      </c>
      <c r="D3162" s="5" t="s">
        <v>3849</v>
      </c>
      <c r="E3162" s="5" t="s">
        <v>22012</v>
      </c>
      <c r="F3162" s="5" t="s">
        <v>212</v>
      </c>
      <c r="G3162" s="5" t="s">
        <v>22013</v>
      </c>
      <c r="H3162" s="6" t="s">
        <v>22014</v>
      </c>
      <c r="K3162" s="5" t="s">
        <v>21995</v>
      </c>
      <c r="M3162" s="5" t="s">
        <v>22015</v>
      </c>
      <c r="N3162" s="7" t="s">
        <v>22016</v>
      </c>
      <c r="O3162" s="8" t="str">
        <f>HYPERLINK("https://drive.google.com/file/d/1MvPhDAkwjZNClpYK5I3-er-6e2KDkEBm/view?usp=drivesdk","3161_MELIANY _ SERTIFIKAT BerAKHLAK")</f>
        <v>3161_MELIANY _ SERTIFIKAT BerAKHLAK</v>
      </c>
      <c r="P3162" s="5" t="s">
        <v>22017</v>
      </c>
    </row>
    <row r="3163">
      <c r="A3163" s="4">
        <v>45534.343493645836</v>
      </c>
      <c r="B3163" s="5" t="s">
        <v>34</v>
      </c>
      <c r="D3163" s="5" t="s">
        <v>1456</v>
      </c>
      <c r="E3163" s="5" t="s">
        <v>22018</v>
      </c>
      <c r="F3163" s="5" t="s">
        <v>524</v>
      </c>
      <c r="G3163" s="5" t="s">
        <v>22019</v>
      </c>
      <c r="H3163" s="6" t="s">
        <v>22020</v>
      </c>
      <c r="K3163" s="5" t="s">
        <v>21995</v>
      </c>
      <c r="M3163" s="5" t="s">
        <v>22021</v>
      </c>
      <c r="N3163" s="7" t="s">
        <v>22022</v>
      </c>
      <c r="O3163" s="8" t="str">
        <f>HYPERLINK("https://drive.google.com/file/d/1L1muxeKyBN--JwJZKqa8EgNW6dtZZUjN/view?usp=drivesdk","3162_MELI YULIANA _ SERTIFIKAT BerAKHLAK")</f>
        <v>3162_MELI YULIANA _ SERTIFIKAT BerAKHLAK</v>
      </c>
      <c r="P3163" s="5" t="s">
        <v>22017</v>
      </c>
    </row>
    <row r="3164">
      <c r="A3164" s="4">
        <v>45534.343495243054</v>
      </c>
      <c r="B3164" s="5" t="s">
        <v>34</v>
      </c>
      <c r="D3164" s="5" t="s">
        <v>9020</v>
      </c>
      <c r="E3164" s="5" t="s">
        <v>22023</v>
      </c>
      <c r="F3164" s="5" t="s">
        <v>72</v>
      </c>
      <c r="G3164" s="5" t="s">
        <v>22024</v>
      </c>
      <c r="H3164" s="6" t="s">
        <v>22025</v>
      </c>
      <c r="K3164" s="5" t="s">
        <v>21995</v>
      </c>
      <c r="M3164" s="5" t="s">
        <v>22026</v>
      </c>
      <c r="N3164" s="7" t="s">
        <v>22027</v>
      </c>
      <c r="O3164" s="8" t="str">
        <f>HYPERLINK("https://drive.google.com/file/d/1a8zZ61MuI0wNqNtDFuUUGNN65NDR3SJq/view?usp=drivesdk","3163_Dahniar Fatimah Harahap  _ SERTIFIKAT BerAKHLAK")</f>
        <v>3163_Dahniar Fatimah Harahap  _ SERTIFIKAT BerAKHLAK</v>
      </c>
      <c r="P3164" s="5" t="s">
        <v>22017</v>
      </c>
    </row>
    <row r="3165">
      <c r="A3165" s="4">
        <v>45534.34350853009</v>
      </c>
      <c r="B3165" s="5" t="s">
        <v>34</v>
      </c>
      <c r="D3165" s="5" t="s">
        <v>580</v>
      </c>
      <c r="E3165" s="5" t="s">
        <v>22028</v>
      </c>
      <c r="F3165" s="5" t="s">
        <v>212</v>
      </c>
      <c r="G3165" s="5" t="s">
        <v>22029</v>
      </c>
      <c r="H3165" s="6" t="s">
        <v>22030</v>
      </c>
      <c r="I3165" s="7" t="s">
        <v>22031</v>
      </c>
      <c r="J3165" s="8" t="str">
        <f>HYPERLINK("https://drive.google.com/file/d/1uOEyAaBbOkUaXRIMMnFors4hAeXKTKR_/view?usp=drivesdk","DEWA AYU ARIASIH SERTIFIKAT BerAKHLAK")</f>
        <v>DEWA AYU ARIASIH SERTIFIKAT BerAKHLAK</v>
      </c>
      <c r="K3165" s="5" t="s">
        <v>20391</v>
      </c>
      <c r="L3165" s="5" t="s">
        <v>22032</v>
      </c>
      <c r="M3165" s="5" t="s">
        <v>22033</v>
      </c>
      <c r="N3165" s="7" t="s">
        <v>22034</v>
      </c>
      <c r="O3165" s="8" t="str">
        <f>HYPERLINK("https://drive.google.com/file/d/1mZalmJcLiOBHRyu4AgOfI7Q7FLIH6xgI/view?usp=drivesdk","3164_DEWA AYU ARIASIH _ SERTIFIKAT BerAKHLAK")</f>
        <v>3164_DEWA AYU ARIASIH _ SERTIFIKAT BerAKHLAK</v>
      </c>
      <c r="P3165" s="5" t="s">
        <v>22017</v>
      </c>
    </row>
    <row r="3166">
      <c r="A3166" s="4">
        <v>45534.34351416667</v>
      </c>
      <c r="B3166" s="5" t="s">
        <v>34</v>
      </c>
      <c r="D3166" s="5" t="s">
        <v>7858</v>
      </c>
      <c r="E3166" s="5" t="s">
        <v>22035</v>
      </c>
      <c r="F3166" s="5" t="s">
        <v>375</v>
      </c>
      <c r="G3166" s="5" t="s">
        <v>22036</v>
      </c>
      <c r="H3166" s="6" t="s">
        <v>22037</v>
      </c>
      <c r="I3166" s="7" t="s">
        <v>22038</v>
      </c>
      <c r="J3166" s="8" t="str">
        <f>HYPERLINK("https://drive.google.com/file/d/1Vw5OwhlPRBaBha9kK87dh_kOY4U6TUse/view?usp=drivesdk","WAHYU MADHONA SUJATMOKO, S.E  SERTIFIKAT BerAKHLAK")</f>
        <v>WAHYU MADHONA SUJATMOKO, S.E  SERTIFIKAT BerAKHLAK</v>
      </c>
      <c r="K3166" s="5" t="s">
        <v>21426</v>
      </c>
      <c r="L3166" s="5" t="s">
        <v>22039</v>
      </c>
      <c r="M3166" s="5" t="s">
        <v>22040</v>
      </c>
      <c r="N3166" s="7" t="s">
        <v>22041</v>
      </c>
      <c r="O3166" s="8" t="str">
        <f>HYPERLINK("https://drive.google.com/file/d/1bxp3ZjSB64hQlooKvSUsKGg21qYUWXO-/view?usp=drivesdk","3165_WAHYU MADHONA SUJATMOKO, S.E  _ SERTIFIKAT BerAKHLAK")</f>
        <v>3165_WAHYU MADHONA SUJATMOKO, S.E  _ SERTIFIKAT BerAKHLAK</v>
      </c>
      <c r="P3166" s="5" t="s">
        <v>22017</v>
      </c>
    </row>
    <row r="3167">
      <c r="A3167" s="4">
        <v>45534.34351806713</v>
      </c>
      <c r="B3167" s="5" t="s">
        <v>34</v>
      </c>
      <c r="D3167" s="5" t="s">
        <v>1206</v>
      </c>
      <c r="E3167" s="5" t="s">
        <v>22042</v>
      </c>
      <c r="F3167" s="5" t="s">
        <v>37</v>
      </c>
      <c r="G3167" s="5" t="s">
        <v>22043</v>
      </c>
      <c r="H3167" s="6" t="s">
        <v>22044</v>
      </c>
      <c r="I3167" s="7" t="s">
        <v>22045</v>
      </c>
      <c r="J3167" s="8" t="str">
        <f>HYPERLINK("https://drive.google.com/file/d/1cHPNphnFfiDU8LMrEcDhuS7Km8aQLRdd/view?usp=drivesdk","RITA OKTORINA HAPSARI SERTIFIKAT BerAKHLAK")</f>
        <v>RITA OKTORINA HAPSARI SERTIFIKAT BerAKHLAK</v>
      </c>
      <c r="K3167" s="5" t="s">
        <v>20391</v>
      </c>
      <c r="L3167" s="5" t="s">
        <v>22046</v>
      </c>
      <c r="M3167" s="5" t="s">
        <v>22047</v>
      </c>
      <c r="N3167" s="7" t="s">
        <v>22048</v>
      </c>
      <c r="O3167" s="8" t="str">
        <f>HYPERLINK("https://drive.google.com/file/d/1VJszbrlC_WbNfzxT3HWng2qChdfFqWVn/view?usp=drivesdk","3166_RITA OKTORINA HAPSARI _ SERTIFIKAT BerAKHLAK")</f>
        <v>3166_RITA OKTORINA HAPSARI _ SERTIFIKAT BerAKHLAK</v>
      </c>
      <c r="P3167" s="5" t="s">
        <v>22017</v>
      </c>
    </row>
    <row r="3168">
      <c r="A3168" s="4">
        <v>45534.34352079861</v>
      </c>
      <c r="B3168" s="5" t="s">
        <v>34</v>
      </c>
      <c r="D3168" s="5" t="s">
        <v>12978</v>
      </c>
      <c r="E3168" s="5" t="s">
        <v>22049</v>
      </c>
      <c r="F3168" s="5" t="s">
        <v>37</v>
      </c>
      <c r="G3168" s="5" t="s">
        <v>22050</v>
      </c>
      <c r="H3168" s="6" t="s">
        <v>22051</v>
      </c>
      <c r="I3168" s="7" t="s">
        <v>22052</v>
      </c>
      <c r="J3168" s="8" t="str">
        <f>HYPERLINK("https://drive.google.com/file/d/1hzzTx57iBKaUPDBe1236J3L4Swet2ypQ/view?usp=drivesdk","RINA JUNIARSA SERTIFIKAT BerAKHLAK")</f>
        <v>RINA JUNIARSA SERTIFIKAT BerAKHLAK</v>
      </c>
      <c r="K3168" s="5" t="s">
        <v>21426</v>
      </c>
      <c r="L3168" s="5" t="s">
        <v>22053</v>
      </c>
      <c r="M3168" s="5" t="s">
        <v>22054</v>
      </c>
      <c r="N3168" s="7" t="s">
        <v>22055</v>
      </c>
      <c r="O3168" s="8" t="str">
        <f>HYPERLINK("https://drive.google.com/file/d/1PqS_JAoHBWn5TBc2SlEUMMA3z-xx-oSl/view?usp=drivesdk","3167_RINA JUNIARSA _ SERTIFIKAT BerAKHLAK")</f>
        <v>3167_RINA JUNIARSA _ SERTIFIKAT BerAKHLAK</v>
      </c>
      <c r="P3168" s="5" t="s">
        <v>22056</v>
      </c>
    </row>
    <row r="3169">
      <c r="A3169" s="4">
        <v>45534.34351935185</v>
      </c>
      <c r="B3169" s="5" t="s">
        <v>34</v>
      </c>
      <c r="D3169" s="5" t="s">
        <v>35</v>
      </c>
      <c r="E3169" s="5" t="s">
        <v>22057</v>
      </c>
      <c r="F3169" s="5" t="s">
        <v>524</v>
      </c>
      <c r="G3169" s="5" t="s">
        <v>22058</v>
      </c>
      <c r="H3169" s="6" t="s">
        <v>22059</v>
      </c>
      <c r="K3169" s="5" t="s">
        <v>22060</v>
      </c>
      <c r="M3169" s="5" t="s">
        <v>22061</v>
      </c>
      <c r="N3169" s="7" t="s">
        <v>22062</v>
      </c>
      <c r="O3169" s="8" t="str">
        <f>HYPERLINK("https://drive.google.com/file/d/1_h4ROCH8zW-40dcKWSD8A45bMvaaXlQv/view?usp=drivesdk","3168_VRIETA SAFARIENA RSHAYU, AMd,Kep _ SERTIFIKAT BerAKHLAK")</f>
        <v>3168_VRIETA SAFARIENA RSHAYU, AMd,Kep _ SERTIFIKAT BerAKHLAK</v>
      </c>
      <c r="P3169" s="5" t="s">
        <v>22056</v>
      </c>
    </row>
    <row r="3170">
      <c r="A3170" s="4">
        <v>45534.343529351856</v>
      </c>
      <c r="B3170" s="5" t="s">
        <v>34</v>
      </c>
      <c r="D3170" s="5" t="s">
        <v>1206</v>
      </c>
      <c r="E3170" s="5" t="s">
        <v>22063</v>
      </c>
      <c r="F3170" s="5" t="s">
        <v>108</v>
      </c>
      <c r="G3170" s="5" t="s">
        <v>22064</v>
      </c>
      <c r="H3170" s="6" t="s">
        <v>22065</v>
      </c>
      <c r="K3170" s="5" t="s">
        <v>22060</v>
      </c>
      <c r="M3170" s="5" t="s">
        <v>22066</v>
      </c>
      <c r="N3170" s="7" t="s">
        <v>22067</v>
      </c>
      <c r="O3170" s="8" t="str">
        <f>HYPERLINK("https://drive.google.com/file/d/1AVmf1mtkZBm481V5_2zJAkK4NaipBgq1/view?usp=drivesdk","3169_SRI INDARTI _ SERTIFIKAT BerAKHLAK")</f>
        <v>3169_SRI INDARTI _ SERTIFIKAT BerAKHLAK</v>
      </c>
      <c r="P3170" s="5" t="s">
        <v>22056</v>
      </c>
    </row>
    <row r="3171">
      <c r="A3171" s="4">
        <v>45534.34355931713</v>
      </c>
      <c r="B3171" s="5" t="s">
        <v>34</v>
      </c>
      <c r="D3171" s="5" t="s">
        <v>35</v>
      </c>
      <c r="E3171" s="5" t="s">
        <v>22068</v>
      </c>
      <c r="F3171" s="5" t="s">
        <v>212</v>
      </c>
      <c r="G3171" s="5" t="s">
        <v>22069</v>
      </c>
      <c r="H3171" s="6" t="s">
        <v>22070</v>
      </c>
      <c r="K3171" s="5" t="s">
        <v>22060</v>
      </c>
      <c r="M3171" s="5" t="s">
        <v>22071</v>
      </c>
      <c r="N3171" s="7" t="s">
        <v>22072</v>
      </c>
      <c r="O3171" s="8" t="str">
        <f>HYPERLINK("https://drive.google.com/file/d/1Z0U3ZPnLP_pGarkMtqPvCx5U3ljpB4nA/view?usp=drivesdk","3170_AFANDI _ SERTIFIKAT BerAKHLAK")</f>
        <v>3170_AFANDI _ SERTIFIKAT BerAKHLAK</v>
      </c>
      <c r="P3171" s="5" t="s">
        <v>22056</v>
      </c>
    </row>
    <row r="3172">
      <c r="A3172" s="4">
        <v>45534.343561284724</v>
      </c>
      <c r="B3172" s="5" t="s">
        <v>34</v>
      </c>
      <c r="D3172" s="5" t="s">
        <v>4775</v>
      </c>
      <c r="E3172" s="5" t="s">
        <v>22073</v>
      </c>
      <c r="F3172" s="5" t="s">
        <v>212</v>
      </c>
      <c r="G3172" s="5" t="s">
        <v>22074</v>
      </c>
      <c r="H3172" s="6" t="s">
        <v>22075</v>
      </c>
      <c r="I3172" s="7" t="s">
        <v>22076</v>
      </c>
      <c r="J3172" s="8" t="str">
        <f>HYPERLINK("https://drive.google.com/file/d/1ht8bgrCT997nsCAciYYj2UeI-0f_W3Mx/view?usp=drivesdk","LAILY HARININGSIH SERTIFIKAT BerAKHLAK")</f>
        <v>LAILY HARININGSIH SERTIFIKAT BerAKHLAK</v>
      </c>
      <c r="K3172" s="5" t="s">
        <v>21426</v>
      </c>
      <c r="L3172" s="5" t="s">
        <v>22077</v>
      </c>
      <c r="M3172" s="5" t="s">
        <v>22078</v>
      </c>
      <c r="N3172" s="7" t="s">
        <v>22079</v>
      </c>
      <c r="O3172" s="8" t="str">
        <f>HYPERLINK("https://drive.google.com/file/d/1M_wEjMYZiSLorP3YqYWoeeluUlH_GyQe/view?usp=drivesdk","3171_LAILY HARININGSIH _ SERTIFIKAT BerAKHLAK")</f>
        <v>3171_LAILY HARININGSIH _ SERTIFIKAT BerAKHLAK</v>
      </c>
      <c r="P3172" s="5" t="s">
        <v>22056</v>
      </c>
    </row>
    <row r="3173">
      <c r="A3173" s="4">
        <v>45534.34356550926</v>
      </c>
      <c r="B3173" s="5" t="s">
        <v>34</v>
      </c>
      <c r="D3173" s="5" t="s">
        <v>4775</v>
      </c>
      <c r="E3173" s="5" t="s">
        <v>22080</v>
      </c>
      <c r="F3173" s="5" t="s">
        <v>72</v>
      </c>
      <c r="G3173" s="5" t="s">
        <v>22081</v>
      </c>
      <c r="H3173" s="6" t="s">
        <v>22082</v>
      </c>
      <c r="I3173" s="7" t="s">
        <v>22083</v>
      </c>
      <c r="J3173" s="8" t="str">
        <f>HYPERLINK("https://drive.google.com/file/d/1mm5FpZwuLBlASqm3bDJPToahku89yK5C/view?usp=drivesdk","SUHARTI, SE SERTIFIKAT BerAKHLAK")</f>
        <v>SUHARTI, SE SERTIFIKAT BerAKHLAK</v>
      </c>
      <c r="K3173" s="5" t="s">
        <v>21426</v>
      </c>
      <c r="L3173" s="5" t="s">
        <v>22084</v>
      </c>
      <c r="M3173" s="5" t="s">
        <v>22085</v>
      </c>
      <c r="N3173" s="7" t="s">
        <v>22086</v>
      </c>
      <c r="O3173" s="8" t="str">
        <f>HYPERLINK("https://drive.google.com/file/d/1CkUUbAurLcZL8H6tvLXCj6z4OAvjZZOK/view?usp=drivesdk","3172_SUHARTI, SE _ SERTIFIKAT BerAKHLAK")</f>
        <v>3172_SUHARTI, SE _ SERTIFIKAT BerAKHLAK</v>
      </c>
      <c r="P3173" s="5" t="s">
        <v>22056</v>
      </c>
    </row>
    <row r="3174">
      <c r="A3174" s="4">
        <v>45534.34356605324</v>
      </c>
      <c r="B3174" s="5" t="s">
        <v>34</v>
      </c>
      <c r="D3174" s="5" t="s">
        <v>996</v>
      </c>
      <c r="E3174" s="5" t="s">
        <v>22087</v>
      </c>
      <c r="F3174" s="5" t="s">
        <v>212</v>
      </c>
      <c r="G3174" s="5" t="s">
        <v>22088</v>
      </c>
      <c r="H3174" s="6" t="s">
        <v>22089</v>
      </c>
      <c r="K3174" s="5" t="s">
        <v>22090</v>
      </c>
      <c r="M3174" s="5" t="s">
        <v>22091</v>
      </c>
      <c r="N3174" s="7" t="s">
        <v>22092</v>
      </c>
      <c r="O3174" s="8" t="str">
        <f>HYPERLINK("https://drive.google.com/file/d/1Qq_Ab8XpohG6nDCHENSlRSmwlsr-AY9s/view?usp=drivesdk","3173_HARTATI _ SERTIFIKAT BerAKHLAK")</f>
        <v>3173_HARTATI _ SERTIFIKAT BerAKHLAK</v>
      </c>
      <c r="P3174" s="5" t="s">
        <v>22093</v>
      </c>
    </row>
    <row r="3175">
      <c r="A3175" s="4">
        <v>45534.343572743055</v>
      </c>
      <c r="B3175" s="5" t="s">
        <v>34</v>
      </c>
      <c r="D3175" s="5" t="s">
        <v>1558</v>
      </c>
      <c r="E3175" s="5" t="s">
        <v>22094</v>
      </c>
      <c r="F3175" s="5" t="s">
        <v>375</v>
      </c>
      <c r="G3175" s="5" t="s">
        <v>22095</v>
      </c>
      <c r="H3175" s="6" t="s">
        <v>22096</v>
      </c>
      <c r="K3175" s="5" t="s">
        <v>22090</v>
      </c>
      <c r="M3175" s="5" t="s">
        <v>22097</v>
      </c>
      <c r="N3175" s="7" t="s">
        <v>22098</v>
      </c>
      <c r="O3175" s="8" t="str">
        <f>HYPERLINK("https://drive.google.com/file/d/18kQScQ5bmZi2Ybnbs-O0tGHhmQdSoiW0/view?usp=drivesdk","3174_NANANG HERI WIBOWO, S.Kom _ SERTIFIKAT BerAKHLAK")</f>
        <v>3174_NANANG HERI WIBOWO, S.Kom _ SERTIFIKAT BerAKHLAK</v>
      </c>
      <c r="P3175" s="5" t="s">
        <v>22093</v>
      </c>
    </row>
    <row r="3176">
      <c r="A3176" s="4">
        <v>45534.34357513889</v>
      </c>
      <c r="B3176" s="5" t="s">
        <v>34</v>
      </c>
      <c r="D3176" s="5" t="s">
        <v>1206</v>
      </c>
      <c r="E3176" s="5" t="s">
        <v>22099</v>
      </c>
      <c r="F3176" s="5" t="s">
        <v>120</v>
      </c>
      <c r="G3176" s="5" t="s">
        <v>22100</v>
      </c>
      <c r="H3176" s="6" t="s">
        <v>22101</v>
      </c>
      <c r="K3176" s="5" t="s">
        <v>22090</v>
      </c>
      <c r="M3176" s="5" t="s">
        <v>22102</v>
      </c>
      <c r="N3176" s="7" t="s">
        <v>22103</v>
      </c>
      <c r="O3176" s="8" t="str">
        <f>HYPERLINK("https://drive.google.com/file/d/1DUyfnHsSD8es6TojWWOs1ObI2J2DsnSh/view?usp=drivesdk","3175_ISMADI, S.PD., M.H. _ SERTIFIKAT BerAKHLAK")</f>
        <v>3175_ISMADI, S.PD., M.H. _ SERTIFIKAT BerAKHLAK</v>
      </c>
      <c r="P3176" s="5" t="s">
        <v>22104</v>
      </c>
    </row>
    <row r="3177">
      <c r="A3177" s="4">
        <v>45534.34357699074</v>
      </c>
      <c r="B3177" s="5" t="s">
        <v>34</v>
      </c>
      <c r="D3177" s="5" t="s">
        <v>6232</v>
      </c>
      <c r="E3177" s="5" t="s">
        <v>22105</v>
      </c>
      <c r="F3177" s="5" t="s">
        <v>72</v>
      </c>
      <c r="G3177" s="5" t="s">
        <v>22106</v>
      </c>
      <c r="H3177" s="6" t="s">
        <v>22107</v>
      </c>
      <c r="K3177" s="5" t="s">
        <v>22090</v>
      </c>
      <c r="M3177" s="5" t="s">
        <v>22108</v>
      </c>
      <c r="N3177" s="7" t="s">
        <v>22109</v>
      </c>
      <c r="O3177" s="8" t="str">
        <f>HYPERLINK("https://drive.google.com/file/d/1TmBgWBl_uRZSVzadtZq_8B9RqPK8M5aK/view?usp=drivesdk","3176_YUSHANA SILALAHI _ SERTIFIKAT BerAKHLAK")</f>
        <v>3176_YUSHANA SILALAHI _ SERTIFIKAT BerAKHLAK</v>
      </c>
      <c r="P3177" s="5" t="s">
        <v>22110</v>
      </c>
    </row>
    <row r="3178">
      <c r="A3178" s="4">
        <v>45534.3435900926</v>
      </c>
      <c r="B3178" s="5" t="s">
        <v>34</v>
      </c>
      <c r="D3178" s="5" t="s">
        <v>4775</v>
      </c>
      <c r="E3178" s="5" t="s">
        <v>22111</v>
      </c>
      <c r="F3178" s="5" t="s">
        <v>108</v>
      </c>
      <c r="G3178" s="5" t="s">
        <v>22112</v>
      </c>
      <c r="H3178" s="6" t="s">
        <v>22113</v>
      </c>
      <c r="I3178" s="7" t="s">
        <v>22114</v>
      </c>
      <c r="J3178" s="8" t="str">
        <f>HYPERLINK("https://drive.google.com/file/d/1rodQOJ_KGqKkNzwgA8GWsVIyKaQE_QGJ/view?usp=drivesdk","SARI SUMARYATI SERTIFIKAT BerAKHLAK")</f>
        <v>SARI SUMARYATI SERTIFIKAT BerAKHLAK</v>
      </c>
      <c r="K3178" s="5" t="s">
        <v>21426</v>
      </c>
      <c r="L3178" s="5" t="s">
        <v>22115</v>
      </c>
      <c r="M3178" s="5" t="s">
        <v>22116</v>
      </c>
      <c r="N3178" s="7" t="s">
        <v>22117</v>
      </c>
      <c r="O3178" s="8" t="str">
        <f>HYPERLINK("https://drive.google.com/file/d/1y5c6rpmagTaID7FuLRS2bgY90jCEaj7l/view?usp=drivesdk","3177_SARI SUMARYATI _ SERTIFIKAT BerAKHLAK")</f>
        <v>3177_SARI SUMARYATI _ SERTIFIKAT BerAKHLAK</v>
      </c>
      <c r="P3178" s="5" t="s">
        <v>22118</v>
      </c>
    </row>
    <row r="3179">
      <c r="A3179" s="4">
        <v>45534.34359429398</v>
      </c>
      <c r="B3179" s="5" t="s">
        <v>34</v>
      </c>
      <c r="D3179" s="5" t="s">
        <v>4775</v>
      </c>
      <c r="E3179" s="5" t="s">
        <v>22119</v>
      </c>
      <c r="F3179" s="5" t="s">
        <v>72</v>
      </c>
      <c r="G3179" s="5" t="s">
        <v>22120</v>
      </c>
      <c r="H3179" s="6" t="s">
        <v>22121</v>
      </c>
      <c r="I3179" s="7" t="s">
        <v>22122</v>
      </c>
      <c r="J3179" s="8" t="str">
        <f>HYPERLINK("https://drive.google.com/file/d/1nSGwCKeYHaxs5g9P0DSiZeib8r9RB1h_/view?usp=drivesdk","TRIYOGO SERTIFIKAT BerAKHLAK")</f>
        <v>TRIYOGO SERTIFIKAT BerAKHLAK</v>
      </c>
      <c r="K3179" s="5" t="s">
        <v>21426</v>
      </c>
      <c r="L3179" s="5" t="s">
        <v>22123</v>
      </c>
      <c r="M3179" s="5" t="s">
        <v>22124</v>
      </c>
      <c r="N3179" s="7" t="s">
        <v>22125</v>
      </c>
      <c r="O3179" s="8" t="str">
        <f>HYPERLINK("https://drive.google.com/file/d/106dVPuTg3l9FuKeSdKMTcjWe_dZIawxb/view?usp=drivesdk","3178_TRIYOGO _ SERTIFIKAT BerAKHLAK")</f>
        <v>3178_TRIYOGO _ SERTIFIKAT BerAKHLAK</v>
      </c>
      <c r="P3179" s="5" t="s">
        <v>22126</v>
      </c>
    </row>
    <row r="3180">
      <c r="A3180" s="4">
        <v>45534.3435945949</v>
      </c>
      <c r="B3180" s="5" t="s">
        <v>34</v>
      </c>
      <c r="D3180" s="5" t="s">
        <v>9394</v>
      </c>
      <c r="E3180" s="5" t="s">
        <v>22127</v>
      </c>
      <c r="F3180" s="5" t="s">
        <v>22</v>
      </c>
      <c r="G3180" s="5" t="s">
        <v>22128</v>
      </c>
      <c r="H3180" s="6" t="s">
        <v>22129</v>
      </c>
      <c r="I3180" s="7" t="s">
        <v>22130</v>
      </c>
      <c r="J3180" s="8" t="str">
        <f>HYPERLINK("https://drive.google.com/file/d/1ZJijB1GTizydmw8bBS94YBFHDGOFqTSu/view?usp=drivesdk","Drs.MAHMUD SERTIFIKAT BerAKHLAK")</f>
        <v>Drs.MAHMUD SERTIFIKAT BerAKHLAK</v>
      </c>
      <c r="K3180" s="5" t="s">
        <v>21426</v>
      </c>
      <c r="L3180" s="5" t="s">
        <v>22131</v>
      </c>
      <c r="M3180" s="5" t="s">
        <v>22132</v>
      </c>
      <c r="N3180" s="7" t="s">
        <v>22133</v>
      </c>
      <c r="O3180" s="8" t="str">
        <f>HYPERLINK("https://drive.google.com/file/d/1VASz13AdaMZGMZWIglwP0okRoYQQ8R1C/view?usp=drivesdk","3179_Drs.MAHMUD _ SERTIFIKAT BerAKHLAK")</f>
        <v>3179_Drs.MAHMUD _ SERTIFIKAT BerAKHLAK</v>
      </c>
      <c r="P3180" s="5" t="s">
        <v>22134</v>
      </c>
    </row>
    <row r="3181">
      <c r="A3181" s="4">
        <v>45534.343602442124</v>
      </c>
      <c r="B3181" s="5" t="s">
        <v>34</v>
      </c>
      <c r="D3181" s="5" t="s">
        <v>1206</v>
      </c>
      <c r="E3181" s="5" t="s">
        <v>22135</v>
      </c>
      <c r="F3181" s="5" t="s">
        <v>37</v>
      </c>
      <c r="G3181" s="5" t="s">
        <v>22136</v>
      </c>
      <c r="H3181" s="6" t="s">
        <v>22137</v>
      </c>
      <c r="K3181" s="5" t="s">
        <v>22138</v>
      </c>
      <c r="M3181" s="5" t="s">
        <v>22139</v>
      </c>
      <c r="N3181" s="7" t="s">
        <v>22140</v>
      </c>
      <c r="O3181" s="8" t="str">
        <f>HYPERLINK("https://drive.google.com/file/d/18v4MsqZNDHxhjGhqEp0WJBSX08yQg0Di/view?usp=drivesdk","3180_RENIKA EVADIASTI  PRAVITA, A.Md.Kep _ SERTIFIKAT BerAKHLAK")</f>
        <v>3180_RENIKA EVADIASTI  PRAVITA, A.Md.Kep _ SERTIFIKAT BerAKHLAK</v>
      </c>
      <c r="P3181" s="5" t="s">
        <v>22141</v>
      </c>
    </row>
    <row r="3182" hidden="1">
      <c r="A3182" s="4">
        <v>45534.343605625</v>
      </c>
      <c r="B3182" s="5" t="s">
        <v>19</v>
      </c>
      <c r="C3182" s="5" t="s">
        <v>292</v>
      </c>
      <c r="E3182" s="5" t="s">
        <v>22142</v>
      </c>
      <c r="F3182" s="5" t="s">
        <v>120</v>
      </c>
      <c r="G3182" s="5" t="s">
        <v>22143</v>
      </c>
      <c r="H3182" s="6" t="s">
        <v>22144</v>
      </c>
      <c r="K3182" s="5" t="s">
        <v>22138</v>
      </c>
      <c r="M3182" s="5" t="s">
        <v>22145</v>
      </c>
      <c r="N3182" s="7" t="s">
        <v>22146</v>
      </c>
      <c r="O3182" s="8" t="str">
        <f>HYPERLINK("https://drive.google.com/file/d/1hB2W-ljQmSfCzSh3hbgr4O-_RT6LdKiZ/view?usp=drivesdk","3181_DR YUSTINASARI _ SERTIFIKAT BerAKHLAK")</f>
        <v>3181_DR YUSTINASARI _ SERTIFIKAT BerAKHLAK</v>
      </c>
      <c r="P3182" s="5" t="s">
        <v>22147</v>
      </c>
    </row>
    <row r="3183">
      <c r="A3183" s="4">
        <v>45534.34360789352</v>
      </c>
      <c r="B3183" s="5" t="s">
        <v>34</v>
      </c>
      <c r="D3183" s="5" t="s">
        <v>4775</v>
      </c>
      <c r="E3183" s="5" t="s">
        <v>22148</v>
      </c>
      <c r="F3183" s="5" t="s">
        <v>212</v>
      </c>
      <c r="G3183" s="5" t="s">
        <v>22149</v>
      </c>
      <c r="H3183" s="6" t="s">
        <v>22150</v>
      </c>
      <c r="K3183" s="5" t="s">
        <v>22138</v>
      </c>
      <c r="M3183" s="5" t="s">
        <v>22151</v>
      </c>
      <c r="N3183" s="7" t="s">
        <v>22152</v>
      </c>
      <c r="O3183" s="8" t="str">
        <f>HYPERLINK("https://drive.google.com/file/d/1z6-oj4cJ3y3IRHzTGJl9Hsqt7qATqtxi/view?usp=drivesdk","3182_I DEWA AYU SRI MURNIATI DARMA BUDI _ SERTIFIKAT BerAKHLAK")</f>
        <v>3182_I DEWA AYU SRI MURNIATI DARMA BUDI _ SERTIFIKAT BerAKHLAK</v>
      </c>
      <c r="P3183" s="5" t="s">
        <v>22153</v>
      </c>
    </row>
    <row r="3184">
      <c r="A3184" s="4">
        <v>45534.3436128125</v>
      </c>
      <c r="B3184" s="5" t="s">
        <v>34</v>
      </c>
      <c r="D3184" s="5" t="s">
        <v>1206</v>
      </c>
      <c r="E3184" s="5" t="s">
        <v>22154</v>
      </c>
      <c r="F3184" s="5" t="s">
        <v>328</v>
      </c>
      <c r="G3184" s="5" t="s">
        <v>22155</v>
      </c>
      <c r="H3184" s="6" t="s">
        <v>22156</v>
      </c>
      <c r="K3184" s="5" t="s">
        <v>22138</v>
      </c>
      <c r="M3184" s="5" t="s">
        <v>22157</v>
      </c>
      <c r="N3184" s="7" t="s">
        <v>22158</v>
      </c>
      <c r="O3184" s="8" t="str">
        <f>HYPERLINK("https://drive.google.com/file/d/1PvnqJ37hYhABfq7b7wa89_0wQ4h4KpDD/view?usp=drivesdk","3183_KUSRIYANINGTYAS  _ SERTIFIKAT BerAKHLAK")</f>
        <v>3183_KUSRIYANINGTYAS  _ SERTIFIKAT BerAKHLAK</v>
      </c>
      <c r="P3184" s="5" t="s">
        <v>22159</v>
      </c>
    </row>
    <row r="3185" hidden="1">
      <c r="A3185" s="4">
        <v>45534.34362349537</v>
      </c>
      <c r="B3185" s="5" t="s">
        <v>19</v>
      </c>
      <c r="C3185" s="5" t="s">
        <v>292</v>
      </c>
      <c r="E3185" s="5" t="s">
        <v>22160</v>
      </c>
      <c r="F3185" s="5" t="s">
        <v>715</v>
      </c>
      <c r="G3185" s="5" t="s">
        <v>22161</v>
      </c>
      <c r="H3185" s="6" t="s">
        <v>22162</v>
      </c>
      <c r="I3185" s="7" t="s">
        <v>22163</v>
      </c>
      <c r="J3185" s="8" t="str">
        <f>HYPERLINK("https://drive.google.com/file/d/1-Q5HlTqnFTO9QMTWHGanGY2j3FQp-V_1/view?usp=drivesdk","HENDRIK KUNTORO S.E SERTIFIKAT BerAKHLAK")</f>
        <v>HENDRIK KUNTORO S.E SERTIFIKAT BerAKHLAK</v>
      </c>
      <c r="K3185" s="5" t="s">
        <v>21426</v>
      </c>
      <c r="L3185" s="5" t="s">
        <v>22164</v>
      </c>
      <c r="M3185" s="5" t="s">
        <v>22165</v>
      </c>
      <c r="N3185" s="7" t="s">
        <v>22166</v>
      </c>
      <c r="O3185" s="8" t="str">
        <f>HYPERLINK("https://drive.google.com/file/d/11DioRX_XNnw8_aJ3KvGyCDFbXo4qJCVb/view?usp=drivesdk","3184_HENDRIK KUNTORO S.E _ SERTIFIKAT BerAKHLAK")</f>
        <v>3184_HENDRIK KUNTORO S.E _ SERTIFIKAT BerAKHLAK</v>
      </c>
      <c r="P3185" s="5" t="s">
        <v>22167</v>
      </c>
    </row>
    <row r="3186">
      <c r="A3186" s="4">
        <v>45534.343627870374</v>
      </c>
      <c r="B3186" s="5" t="s">
        <v>34</v>
      </c>
      <c r="D3186" s="5" t="s">
        <v>12978</v>
      </c>
      <c r="E3186" s="5" t="s">
        <v>22168</v>
      </c>
      <c r="F3186" s="5" t="s">
        <v>375</v>
      </c>
      <c r="G3186" s="5" t="s">
        <v>22169</v>
      </c>
      <c r="H3186" s="6" t="s">
        <v>22170</v>
      </c>
      <c r="I3186" s="7" t="s">
        <v>22171</v>
      </c>
      <c r="J3186" s="8" t="str">
        <f>HYPERLINK("https://drive.google.com/file/d/1RH1AO2o5_TEeroNLlMXoDhgQma84dAFJ/view?usp=drivesdk","NOVIE WIDIASTUTI, S.E. SERTIFIKAT BerAKHLAK")</f>
        <v>NOVIE WIDIASTUTI, S.E. SERTIFIKAT BerAKHLAK</v>
      </c>
      <c r="K3186" s="5" t="s">
        <v>21426</v>
      </c>
      <c r="L3186" s="5" t="s">
        <v>22172</v>
      </c>
      <c r="M3186" s="5" t="s">
        <v>22173</v>
      </c>
      <c r="N3186" s="7" t="s">
        <v>22174</v>
      </c>
      <c r="O3186" s="8" t="str">
        <f>HYPERLINK("https://drive.google.com/file/d/1mTAsTAQph354rTzS9QrEUh7NTv2sLBQo/view?usp=drivesdk","3185_NOVIE WIDIASTUTI, S.E. _ SERTIFIKAT BerAKHLAK")</f>
        <v>3185_NOVIE WIDIASTUTI, S.E. _ SERTIFIKAT BerAKHLAK</v>
      </c>
      <c r="P3186" s="5" t="s">
        <v>22175</v>
      </c>
    </row>
    <row r="3187">
      <c r="A3187" s="4">
        <v>45534.34362994213</v>
      </c>
      <c r="B3187" s="5" t="s">
        <v>34</v>
      </c>
      <c r="D3187" s="5" t="s">
        <v>280</v>
      </c>
      <c r="E3187" s="5" t="s">
        <v>22176</v>
      </c>
      <c r="F3187" s="5" t="s">
        <v>375</v>
      </c>
      <c r="G3187" s="5" t="s">
        <v>22177</v>
      </c>
      <c r="H3187" s="6" t="s">
        <v>22178</v>
      </c>
      <c r="K3187" s="5" t="s">
        <v>22179</v>
      </c>
      <c r="M3187" s="5" t="s">
        <v>22180</v>
      </c>
      <c r="N3187" s="7" t="s">
        <v>22181</v>
      </c>
      <c r="O3187" s="8" t="str">
        <f>HYPERLINK("https://drive.google.com/file/d/1PR44MOLA1M2MaO0L4edGjt26LnpkPomy/view?usp=drivesdk","3186_NURASMI _ SERTIFIKAT BerAKHLAK")</f>
        <v>3186_NURASMI _ SERTIFIKAT BerAKHLAK</v>
      </c>
      <c r="P3187" s="5" t="s">
        <v>22182</v>
      </c>
    </row>
    <row r="3188">
      <c r="A3188" s="4">
        <v>45534.34363430555</v>
      </c>
      <c r="B3188" s="5" t="s">
        <v>34</v>
      </c>
      <c r="D3188" s="5" t="s">
        <v>14313</v>
      </c>
      <c r="E3188" s="5" t="s">
        <v>22183</v>
      </c>
      <c r="F3188" s="5" t="s">
        <v>375</v>
      </c>
      <c r="G3188" s="5" t="s">
        <v>22184</v>
      </c>
      <c r="H3188" s="6" t="s">
        <v>22185</v>
      </c>
      <c r="K3188" s="5" t="s">
        <v>22179</v>
      </c>
      <c r="M3188" s="5" t="s">
        <v>22186</v>
      </c>
      <c r="N3188" s="7" t="s">
        <v>22187</v>
      </c>
      <c r="O3188" s="8" t="str">
        <f>HYPERLINK("https://drive.google.com/file/d/11DOc1CP4CBUf3p6poUKvpyFAWBLpTz92/view?usp=drivesdk","3187_EKA YUNITA, S.T., M.T. _ SERTIFIKAT BerAKHLAK")</f>
        <v>3187_EKA YUNITA, S.T., M.T. _ SERTIFIKAT BerAKHLAK</v>
      </c>
      <c r="P3188" s="5" t="s">
        <v>22188</v>
      </c>
    </row>
    <row r="3189">
      <c r="A3189" s="4">
        <v>45534.34363545139</v>
      </c>
      <c r="B3189" s="5" t="s">
        <v>34</v>
      </c>
      <c r="D3189" s="5" t="s">
        <v>6232</v>
      </c>
      <c r="E3189" s="5" t="s">
        <v>22189</v>
      </c>
      <c r="F3189" s="5" t="s">
        <v>72</v>
      </c>
      <c r="G3189" s="5" t="s">
        <v>22190</v>
      </c>
      <c r="H3189" s="6" t="s">
        <v>22191</v>
      </c>
      <c r="K3189" s="5" t="s">
        <v>22179</v>
      </c>
      <c r="M3189" s="5" t="s">
        <v>22192</v>
      </c>
      <c r="N3189" s="7" t="s">
        <v>22193</v>
      </c>
      <c r="O3189" s="8" t="str">
        <f>HYPERLINK("https://drive.google.com/file/d/1Rue9OoU2MOsrOTYop5zsirW1X57sSYb4/view?usp=drivesdk","3188_STEVANIA SANDRELY, S.E. _ SERTIFIKAT BerAKHLAK")</f>
        <v>3188_STEVANIA SANDRELY, S.E. _ SERTIFIKAT BerAKHLAK</v>
      </c>
      <c r="P3189" s="5" t="s">
        <v>22194</v>
      </c>
    </row>
    <row r="3190">
      <c r="A3190" s="4">
        <v>45534.34363688657</v>
      </c>
      <c r="B3190" s="5" t="s">
        <v>34</v>
      </c>
      <c r="D3190" s="5" t="s">
        <v>35</v>
      </c>
      <c r="E3190" s="5" t="s">
        <v>22195</v>
      </c>
      <c r="F3190" s="5" t="s">
        <v>328</v>
      </c>
      <c r="G3190" s="5" t="s">
        <v>22196</v>
      </c>
      <c r="H3190" s="6" t="s">
        <v>22197</v>
      </c>
      <c r="K3190" s="5" t="s">
        <v>22179</v>
      </c>
      <c r="M3190" s="5" t="s">
        <v>22198</v>
      </c>
      <c r="N3190" s="7" t="s">
        <v>22199</v>
      </c>
      <c r="O3190" s="8" t="str">
        <f>HYPERLINK("https://drive.google.com/file/d/1DBe7tlmpmQEBk61w0YsGT6y7zqAWKEY4/view?usp=drivesdk","3189_HERYANTO  _ SERTIFIKAT BerAKHLAK")</f>
        <v>3189_HERYANTO  _ SERTIFIKAT BerAKHLAK</v>
      </c>
      <c r="P3190" s="5" t="s">
        <v>22200</v>
      </c>
    </row>
    <row r="3191">
      <c r="A3191" s="4">
        <v>45534.343641875</v>
      </c>
      <c r="B3191" s="5" t="s">
        <v>34</v>
      </c>
      <c r="D3191" s="5" t="s">
        <v>9020</v>
      </c>
      <c r="E3191" s="5" t="s">
        <v>22201</v>
      </c>
      <c r="F3191" s="5" t="s">
        <v>212</v>
      </c>
      <c r="G3191" s="5" t="s">
        <v>22202</v>
      </c>
      <c r="H3191" s="6" t="s">
        <v>22203</v>
      </c>
      <c r="K3191" s="5" t="s">
        <v>22179</v>
      </c>
      <c r="M3191" s="5" t="s">
        <v>22204</v>
      </c>
      <c r="N3191" s="7" t="s">
        <v>22205</v>
      </c>
      <c r="O3191" s="8" t="str">
        <f>HYPERLINK("https://drive.google.com/file/d/1caRlUzNe1D4EKtHiLFqitfyPxF5PSyGF/view?usp=drivesdk","3190_RINI HARTATI  _ SERTIFIKAT BerAKHLAK")</f>
        <v>3190_RINI HARTATI  _ SERTIFIKAT BerAKHLAK</v>
      </c>
      <c r="P3191" s="5" t="s">
        <v>22206</v>
      </c>
    </row>
    <row r="3192">
      <c r="A3192" s="4">
        <v>45534.343643182874</v>
      </c>
      <c r="B3192" s="5" t="s">
        <v>34</v>
      </c>
      <c r="D3192" s="5" t="s">
        <v>12978</v>
      </c>
      <c r="E3192" s="5" t="s">
        <v>22207</v>
      </c>
      <c r="F3192" s="5" t="s">
        <v>524</v>
      </c>
      <c r="G3192" s="5" t="s">
        <v>22208</v>
      </c>
      <c r="H3192" s="6" t="s">
        <v>22209</v>
      </c>
      <c r="K3192" s="5" t="s">
        <v>22179</v>
      </c>
      <c r="M3192" s="5" t="s">
        <v>22210</v>
      </c>
      <c r="N3192" s="7" t="s">
        <v>22211</v>
      </c>
      <c r="O3192" s="8" t="str">
        <f>HYPERLINK("https://drive.google.com/file/d/1QWyWte-4tqHyPGVnvro2N_Bnj2vSzF3-/view?usp=drivesdk","3191_EVI HERLENA, S.E _ SERTIFIKAT BerAKHLAK")</f>
        <v>3191_EVI HERLENA, S.E _ SERTIFIKAT BerAKHLAK</v>
      </c>
      <c r="P3192" s="5" t="s">
        <v>22212</v>
      </c>
    </row>
    <row r="3193">
      <c r="A3193" s="4">
        <v>45534.34364871528</v>
      </c>
      <c r="B3193" s="5" t="s">
        <v>34</v>
      </c>
      <c r="D3193" s="5" t="s">
        <v>1206</v>
      </c>
      <c r="E3193" s="5" t="s">
        <v>22213</v>
      </c>
      <c r="F3193" s="5" t="s">
        <v>6776</v>
      </c>
      <c r="G3193" s="5" t="s">
        <v>22214</v>
      </c>
      <c r="H3193" s="6" t="s">
        <v>22215</v>
      </c>
      <c r="K3193" s="5" t="s">
        <v>22179</v>
      </c>
      <c r="M3193" s="5" t="s">
        <v>22216</v>
      </c>
      <c r="N3193" s="7" t="s">
        <v>22217</v>
      </c>
      <c r="O3193" s="8" t="str">
        <f>HYPERLINK("https://drive.google.com/file/d/1M4qVZAdUSl-yQRUr2EsK7-_tpzfQlEtx/view?usp=drivesdk","3192_ABDULLOH  _ SERTIFIKAT BerAKHLAK")</f>
        <v>3192_ABDULLOH  _ SERTIFIKAT BerAKHLAK</v>
      </c>
      <c r="P3193" s="5" t="s">
        <v>22218</v>
      </c>
    </row>
    <row r="3194">
      <c r="A3194" s="4">
        <v>45534.34365206018</v>
      </c>
      <c r="B3194" s="5" t="s">
        <v>34</v>
      </c>
      <c r="D3194" s="5" t="s">
        <v>4775</v>
      </c>
      <c r="E3194" s="5" t="s">
        <v>22219</v>
      </c>
      <c r="F3194" s="5" t="s">
        <v>108</v>
      </c>
      <c r="G3194" s="5" t="s">
        <v>22220</v>
      </c>
      <c r="H3194" s="6" t="s">
        <v>22221</v>
      </c>
      <c r="K3194" s="5" t="s">
        <v>22179</v>
      </c>
      <c r="M3194" s="5" t="s">
        <v>22222</v>
      </c>
      <c r="N3194" s="7" t="s">
        <v>22223</v>
      </c>
      <c r="O3194" s="8" t="str">
        <f>HYPERLINK("https://drive.google.com/file/d/1Oymt861ek0laRUANe7iC5hzL_zxvzwsW/view?usp=drivesdk","3193_MOHAMAD BADRUN _ SERTIFIKAT BerAKHLAK")</f>
        <v>3193_MOHAMAD BADRUN _ SERTIFIKAT BerAKHLAK</v>
      </c>
      <c r="P3194" s="5" t="s">
        <v>22224</v>
      </c>
    </row>
    <row r="3195">
      <c r="A3195" s="4">
        <v>45534.34365746527</v>
      </c>
      <c r="B3195" s="5" t="s">
        <v>34</v>
      </c>
      <c r="D3195" s="5" t="s">
        <v>9020</v>
      </c>
      <c r="E3195" s="5" t="s">
        <v>22225</v>
      </c>
      <c r="F3195" s="5" t="s">
        <v>72</v>
      </c>
      <c r="G3195" s="5" t="s">
        <v>22226</v>
      </c>
      <c r="H3195" s="6" t="s">
        <v>22227</v>
      </c>
      <c r="K3195" s="5" t="s">
        <v>22179</v>
      </c>
      <c r="M3195" s="5" t="s">
        <v>22228</v>
      </c>
      <c r="N3195" s="7" t="s">
        <v>22229</v>
      </c>
      <c r="O3195" s="8" t="str">
        <f>HYPERLINK("https://drive.google.com/file/d/1bPFUhy0xLytv4z-kLhoQiVk4mXOHMGEM/view?usp=drivesdk","3194_ESPIDA MALAU _ SERTIFIKAT BerAKHLAK")</f>
        <v>3194_ESPIDA MALAU _ SERTIFIKAT BerAKHLAK</v>
      </c>
      <c r="P3195" s="5" t="s">
        <v>22230</v>
      </c>
    </row>
    <row r="3196">
      <c r="A3196" s="4">
        <v>45534.343666643515</v>
      </c>
      <c r="B3196" s="5" t="s">
        <v>34</v>
      </c>
      <c r="D3196" s="5" t="s">
        <v>1206</v>
      </c>
      <c r="E3196" s="5" t="s">
        <v>22231</v>
      </c>
      <c r="F3196" s="5" t="s">
        <v>524</v>
      </c>
      <c r="G3196" s="5" t="s">
        <v>22232</v>
      </c>
      <c r="H3196" s="6" t="s">
        <v>22233</v>
      </c>
      <c r="K3196" s="5" t="s">
        <v>22179</v>
      </c>
      <c r="M3196" s="5" t="s">
        <v>22234</v>
      </c>
      <c r="N3196" s="7" t="s">
        <v>22235</v>
      </c>
      <c r="O3196" s="8" t="str">
        <f>HYPERLINK("https://drive.google.com/file/d/1JAzFZAs_8X_eibIfSQOgUo1pQkeOOFpr/view?usp=drivesdk","3195_SUSILOWATI, SE _ SERTIFIKAT BerAKHLAK")</f>
        <v>3195_SUSILOWATI, SE _ SERTIFIKAT BerAKHLAK</v>
      </c>
      <c r="P3196" s="5" t="s">
        <v>22236</v>
      </c>
    </row>
    <row r="3197">
      <c r="A3197" s="4">
        <v>45534.343683680556</v>
      </c>
      <c r="B3197" s="5" t="s">
        <v>34</v>
      </c>
      <c r="D3197" s="5" t="s">
        <v>12978</v>
      </c>
      <c r="E3197" s="5" t="s">
        <v>22237</v>
      </c>
      <c r="F3197" s="5" t="s">
        <v>212</v>
      </c>
      <c r="G3197" s="5" t="s">
        <v>22238</v>
      </c>
      <c r="H3197" s="6" t="s">
        <v>22239</v>
      </c>
      <c r="K3197" s="5" t="s">
        <v>22240</v>
      </c>
      <c r="M3197" s="5" t="s">
        <v>22241</v>
      </c>
      <c r="N3197" s="7" t="s">
        <v>22242</v>
      </c>
      <c r="O3197" s="8" t="str">
        <f>HYPERLINK("https://drive.google.com/file/d/1_7dYNQASIiYF-ypsKTyGx00XxfJu8ixC/view?usp=drivesdk","3196_MiMI MIRAWATI _ SERTIFIKAT BerAKHLAK")</f>
        <v>3196_MiMI MIRAWATI _ SERTIFIKAT BerAKHLAK</v>
      </c>
      <c r="P3197" s="5" t="s">
        <v>22243</v>
      </c>
    </row>
    <row r="3198">
      <c r="A3198" s="4">
        <v>45534.34368467593</v>
      </c>
      <c r="B3198" s="5" t="s">
        <v>34</v>
      </c>
      <c r="D3198" s="5" t="s">
        <v>1206</v>
      </c>
      <c r="E3198" s="5" t="s">
        <v>22244</v>
      </c>
      <c r="F3198" s="5" t="s">
        <v>37</v>
      </c>
      <c r="G3198" s="5" t="s">
        <v>22245</v>
      </c>
      <c r="H3198" s="6" t="s">
        <v>22246</v>
      </c>
      <c r="K3198" s="5" t="s">
        <v>22247</v>
      </c>
      <c r="M3198" s="5" t="s">
        <v>22248</v>
      </c>
      <c r="N3198" s="7" t="s">
        <v>22249</v>
      </c>
      <c r="O3198" s="8" t="str">
        <f>HYPERLINK("https://drive.google.com/file/d/1EiRWAunH8jZvYMaL6KtYmQumq390-2o3/view?usp=drivesdk","3197_MASRUPIN _ SERTIFIKAT BerAKHLAK")</f>
        <v>3197_MASRUPIN _ SERTIFIKAT BerAKHLAK</v>
      </c>
      <c r="P3198" s="5" t="s">
        <v>22250</v>
      </c>
    </row>
    <row r="3199">
      <c r="A3199" s="4">
        <v>45534.34369653935</v>
      </c>
      <c r="B3199" s="5" t="s">
        <v>34</v>
      </c>
      <c r="D3199" s="5" t="s">
        <v>9020</v>
      </c>
      <c r="E3199" s="5" t="s">
        <v>22251</v>
      </c>
      <c r="F3199" s="5" t="s">
        <v>120</v>
      </c>
      <c r="G3199" s="5" t="s">
        <v>22252</v>
      </c>
      <c r="H3199" s="6" t="s">
        <v>22253</v>
      </c>
      <c r="K3199" s="5" t="s">
        <v>22254</v>
      </c>
      <c r="M3199" s="5" t="s">
        <v>22255</v>
      </c>
      <c r="N3199" s="7" t="s">
        <v>22256</v>
      </c>
      <c r="O3199" s="8" t="str">
        <f>HYPERLINK("https://drive.google.com/file/d/1xoZCTllNDfQObwBB7wJjfH2bEd62fNRT/view?usp=drivesdk","3198_DELIANA NAIBORHU _ SERTIFIKAT BerAKHLAK")</f>
        <v>3198_DELIANA NAIBORHU _ SERTIFIKAT BerAKHLAK</v>
      </c>
      <c r="P3199" s="5" t="s">
        <v>22257</v>
      </c>
    </row>
    <row r="3200">
      <c r="A3200" s="4">
        <v>45534.34370111111</v>
      </c>
      <c r="B3200" s="5" t="s">
        <v>34</v>
      </c>
      <c r="D3200" s="5" t="s">
        <v>267</v>
      </c>
      <c r="E3200" s="5" t="s">
        <v>22258</v>
      </c>
      <c r="F3200" s="5" t="s">
        <v>212</v>
      </c>
      <c r="G3200" s="5" t="s">
        <v>22259</v>
      </c>
      <c r="H3200" s="6" t="s">
        <v>22260</v>
      </c>
      <c r="K3200" s="5" t="s">
        <v>22254</v>
      </c>
      <c r="M3200" s="5" t="s">
        <v>22261</v>
      </c>
      <c r="N3200" s="7" t="s">
        <v>22262</v>
      </c>
      <c r="O3200" s="8" t="str">
        <f>HYPERLINK("https://drive.google.com/file/d/1xdprstGhEiQ_uke3-KJf4eKAAJytw0Kv/view?usp=drivesdk","3199_SUHARYANTI _ SERTIFIKAT BerAKHLAK")</f>
        <v>3199_SUHARYANTI _ SERTIFIKAT BerAKHLAK</v>
      </c>
      <c r="P3200" s="5" t="s">
        <v>22263</v>
      </c>
    </row>
    <row r="3201">
      <c r="A3201" s="4">
        <v>45534.34370680556</v>
      </c>
      <c r="B3201" s="5" t="s">
        <v>34</v>
      </c>
      <c r="D3201" s="5" t="s">
        <v>4775</v>
      </c>
      <c r="E3201" s="5" t="s">
        <v>22264</v>
      </c>
      <c r="F3201" s="5" t="s">
        <v>375</v>
      </c>
      <c r="G3201" s="5" t="s">
        <v>22265</v>
      </c>
      <c r="H3201" s="6" t="s">
        <v>22266</v>
      </c>
      <c r="K3201" s="5" t="s">
        <v>22254</v>
      </c>
      <c r="M3201" s="5" t="s">
        <v>22267</v>
      </c>
      <c r="N3201" s="7" t="s">
        <v>22268</v>
      </c>
      <c r="O3201" s="8" t="str">
        <f>HYPERLINK("https://drive.google.com/file/d/1BlHIdvpA5qJDktPJV_n9EUJQeir5IeDQ/view?usp=drivesdk","3200_TISTA EKA PARAMITA, S.E _ SERTIFIKAT BerAKHLAK")</f>
        <v>3200_TISTA EKA PARAMITA, S.E _ SERTIFIKAT BerAKHLAK</v>
      </c>
      <c r="P3201" s="5" t="s">
        <v>22269</v>
      </c>
    </row>
    <row r="3202">
      <c r="A3202" s="4">
        <v>45534.34370534722</v>
      </c>
      <c r="B3202" s="5" t="s">
        <v>34</v>
      </c>
      <c r="D3202" s="5" t="s">
        <v>35</v>
      </c>
      <c r="E3202" s="5" t="s">
        <v>22270</v>
      </c>
      <c r="F3202" s="5" t="s">
        <v>37</v>
      </c>
      <c r="G3202" s="5" t="s">
        <v>22271</v>
      </c>
      <c r="H3202" s="6" t="s">
        <v>22272</v>
      </c>
      <c r="K3202" s="5" t="s">
        <v>22254</v>
      </c>
      <c r="M3202" s="5" t="s">
        <v>22273</v>
      </c>
      <c r="N3202" s="7" t="s">
        <v>22274</v>
      </c>
      <c r="O3202" s="8" t="str">
        <f>HYPERLINK("https://drive.google.com/file/d/1Er_MyxR6nOlSdZeVkVQmpPuiHtJypuRN/view?usp=drivesdk","3201_WIDANINGSIH _ SERTIFIKAT BerAKHLAK")</f>
        <v>3201_WIDANINGSIH _ SERTIFIKAT BerAKHLAK</v>
      </c>
      <c r="P3202" s="5" t="s">
        <v>22275</v>
      </c>
    </row>
    <row r="3203">
      <c r="A3203" s="4">
        <v>45534.343709305555</v>
      </c>
      <c r="B3203" s="5" t="s">
        <v>34</v>
      </c>
      <c r="D3203" s="5" t="s">
        <v>701</v>
      </c>
      <c r="E3203" s="5" t="s">
        <v>22276</v>
      </c>
      <c r="F3203" s="5" t="s">
        <v>212</v>
      </c>
      <c r="G3203" s="5" t="s">
        <v>22277</v>
      </c>
      <c r="H3203" s="6" t="s">
        <v>22278</v>
      </c>
      <c r="K3203" s="5" t="s">
        <v>22254</v>
      </c>
      <c r="M3203" s="5" t="s">
        <v>22279</v>
      </c>
      <c r="N3203" s="7" t="s">
        <v>22280</v>
      </c>
      <c r="O3203" s="8" t="str">
        <f>HYPERLINK("https://drive.google.com/file/d/1-scTw1sTWxQviLDiWiZuhKvquLjq7b4M/view?usp=drivesdk","3202_ROZI OKTAVIARNI.Amd.Kep _ SERTIFIKAT BerAKHLAK")</f>
        <v>3202_ROZI OKTAVIARNI.Amd.Kep _ SERTIFIKAT BerAKHLAK</v>
      </c>
      <c r="P3203" s="5" t="s">
        <v>22281</v>
      </c>
    </row>
    <row r="3204">
      <c r="A3204" s="4">
        <v>45534.343714386574</v>
      </c>
      <c r="B3204" s="5" t="s">
        <v>34</v>
      </c>
      <c r="D3204" s="5" t="s">
        <v>4775</v>
      </c>
      <c r="E3204" s="5" t="s">
        <v>22282</v>
      </c>
      <c r="F3204" s="5" t="s">
        <v>108</v>
      </c>
      <c r="G3204" s="5" t="s">
        <v>22283</v>
      </c>
      <c r="H3204" s="6" t="s">
        <v>22284</v>
      </c>
      <c r="K3204" s="5" t="s">
        <v>22254</v>
      </c>
      <c r="M3204" s="5" t="s">
        <v>22285</v>
      </c>
      <c r="N3204" s="7" t="s">
        <v>22286</v>
      </c>
      <c r="O3204" s="8" t="str">
        <f>HYPERLINK("https://drive.google.com/file/d/1JMeWsDOPEwEW0YN2dW6uuRC3r7neFhaR/view?usp=drivesdk","3203_SANI MUSTHOFA NUR ROHMAN _ SERTIFIKAT BerAKHLAK")</f>
        <v>3203_SANI MUSTHOFA NUR ROHMAN _ SERTIFIKAT BerAKHLAK</v>
      </c>
      <c r="P3204" s="5" t="s">
        <v>22287</v>
      </c>
    </row>
    <row r="3205">
      <c r="A3205" s="4">
        <v>45534.34372012732</v>
      </c>
      <c r="B3205" s="5" t="s">
        <v>34</v>
      </c>
      <c r="D3205" s="5" t="s">
        <v>9020</v>
      </c>
      <c r="E3205" s="5" t="s">
        <v>22288</v>
      </c>
      <c r="F3205" s="5" t="s">
        <v>212</v>
      </c>
      <c r="G3205" s="5" t="s">
        <v>22289</v>
      </c>
      <c r="H3205" s="6" t="s">
        <v>22290</v>
      </c>
      <c r="K3205" s="5" t="s">
        <v>22291</v>
      </c>
      <c r="M3205" s="5" t="s">
        <v>22292</v>
      </c>
      <c r="N3205" s="7" t="s">
        <v>22293</v>
      </c>
      <c r="O3205" s="8" t="str">
        <f>HYPERLINK("https://drive.google.com/file/d/193AG9hrBKi31j9qIp-M8Oja2eFl4NBwj/view?usp=drivesdk","3204_ARTA SIMANGUNSONG _ SERTIFIKAT BerAKHLAK")</f>
        <v>3204_ARTA SIMANGUNSONG _ SERTIFIKAT BerAKHLAK</v>
      </c>
      <c r="P3205" s="5" t="s">
        <v>22294</v>
      </c>
    </row>
    <row r="3206">
      <c r="A3206" s="4">
        <v>45534.34372217592</v>
      </c>
      <c r="B3206" s="5" t="s">
        <v>34</v>
      </c>
      <c r="D3206" s="5" t="s">
        <v>6232</v>
      </c>
      <c r="E3206" s="5" t="s">
        <v>22295</v>
      </c>
      <c r="F3206" s="5" t="s">
        <v>524</v>
      </c>
      <c r="G3206" s="5" t="s">
        <v>22296</v>
      </c>
      <c r="H3206" s="6" t="s">
        <v>22297</v>
      </c>
      <c r="K3206" s="5" t="s">
        <v>22291</v>
      </c>
      <c r="M3206" s="5" t="s">
        <v>22298</v>
      </c>
      <c r="N3206" s="7" t="s">
        <v>22299</v>
      </c>
      <c r="O3206" s="8" t="str">
        <f>HYPERLINK("https://drive.google.com/file/d/14t2t7ykAe_tC6m79MSSW_8sW-_NmJ8TW/view?usp=drivesdk","3205_WIDYANIARTI, STr. Keb _ SERTIFIKAT BerAKHLAK")</f>
        <v>3205_WIDYANIARTI, STr. Keb _ SERTIFIKAT BerAKHLAK</v>
      </c>
      <c r="P3206" s="5" t="s">
        <v>22300</v>
      </c>
    </row>
    <row r="3207">
      <c r="A3207" s="4">
        <v>45534.34372247686</v>
      </c>
      <c r="B3207" s="5" t="s">
        <v>34</v>
      </c>
      <c r="D3207" s="5" t="s">
        <v>12978</v>
      </c>
      <c r="E3207" s="5" t="s">
        <v>22301</v>
      </c>
      <c r="F3207" s="5" t="s">
        <v>108</v>
      </c>
      <c r="G3207" s="5" t="s">
        <v>22302</v>
      </c>
      <c r="H3207" s="6" t="s">
        <v>22303</v>
      </c>
      <c r="K3207" s="5" t="s">
        <v>22291</v>
      </c>
      <c r="M3207" s="5" t="s">
        <v>22304</v>
      </c>
      <c r="N3207" s="7" t="s">
        <v>22305</v>
      </c>
      <c r="O3207" s="8" t="str">
        <f>HYPERLINK("https://drive.google.com/file/d/1jz2vU21c0GcpOn497EbBqasncFTPMXmY/view?usp=drivesdk","3206_SARIAH, S. SOS _ SERTIFIKAT BerAKHLAK")</f>
        <v>3206_SARIAH, S. SOS _ SERTIFIKAT BerAKHLAK</v>
      </c>
      <c r="P3207" s="5" t="s">
        <v>22306</v>
      </c>
    </row>
    <row r="3208">
      <c r="A3208" s="4">
        <v>45534.343726990744</v>
      </c>
      <c r="B3208" s="5" t="s">
        <v>34</v>
      </c>
      <c r="D3208" s="5" t="s">
        <v>35</v>
      </c>
      <c r="E3208" s="5" t="s">
        <v>22307</v>
      </c>
      <c r="F3208" s="5" t="s">
        <v>375</v>
      </c>
      <c r="G3208" s="5" t="s">
        <v>22308</v>
      </c>
      <c r="H3208" s="6" t="s">
        <v>22309</v>
      </c>
      <c r="K3208" s="5" t="s">
        <v>22291</v>
      </c>
      <c r="M3208" s="5" t="s">
        <v>22310</v>
      </c>
      <c r="N3208" s="7" t="s">
        <v>22311</v>
      </c>
      <c r="O3208" s="8" t="str">
        <f>HYPERLINK("https://drive.google.com/file/d/1wjMPk-PdeTPCcmxcFD8lr1a1shRtLX4B/view?usp=drivesdk","3207_SITI FITRATIN KORNI.S.SOS _ SERTIFIKAT BerAKHLAK")</f>
        <v>3207_SITI FITRATIN KORNI.S.SOS _ SERTIFIKAT BerAKHLAK</v>
      </c>
      <c r="P3208" s="5" t="s">
        <v>22312</v>
      </c>
    </row>
    <row r="3209">
      <c r="A3209" s="4">
        <v>45534.343733229165</v>
      </c>
      <c r="B3209" s="5" t="s">
        <v>34</v>
      </c>
      <c r="D3209" s="5" t="s">
        <v>6232</v>
      </c>
      <c r="E3209" s="5" t="s">
        <v>22313</v>
      </c>
      <c r="F3209" s="5" t="s">
        <v>108</v>
      </c>
      <c r="G3209" s="5" t="s">
        <v>22314</v>
      </c>
      <c r="H3209" s="6" t="s">
        <v>22315</v>
      </c>
      <c r="K3209" s="5" t="s">
        <v>22291</v>
      </c>
      <c r="M3209" s="5" t="s">
        <v>22316</v>
      </c>
      <c r="N3209" s="7" t="s">
        <v>22317</v>
      </c>
      <c r="O3209" s="8" t="str">
        <f>HYPERLINK("https://drive.google.com/file/d/1kfJgEP8yVMr61X1_mQuu5LlM_Y5UeAZW/view?usp=drivesdk","3208_PRANSEDA _ SERTIFIKAT BerAKHLAK")</f>
        <v>3208_PRANSEDA _ SERTIFIKAT BerAKHLAK</v>
      </c>
      <c r="P3209" s="5" t="s">
        <v>22318</v>
      </c>
    </row>
    <row r="3210">
      <c r="A3210" s="4">
        <v>45534.343749074076</v>
      </c>
      <c r="B3210" s="5" t="s">
        <v>34</v>
      </c>
      <c r="D3210" s="5" t="s">
        <v>10444</v>
      </c>
      <c r="E3210" s="5" t="s">
        <v>22319</v>
      </c>
      <c r="F3210" s="5" t="s">
        <v>212</v>
      </c>
      <c r="G3210" s="5" t="s">
        <v>22320</v>
      </c>
      <c r="H3210" s="6" t="s">
        <v>22321</v>
      </c>
      <c r="K3210" s="5" t="s">
        <v>22291</v>
      </c>
      <c r="M3210" s="5" t="s">
        <v>22322</v>
      </c>
      <c r="N3210" s="7" t="s">
        <v>22323</v>
      </c>
      <c r="O3210" s="8" t="str">
        <f>HYPERLINK("https://drive.google.com/file/d/10f0p9-3AaF5dkJAydBjpjqHlAMkxhByC/view?usp=drivesdk","3209_DWI WARYANI _ SERTIFIKAT BerAKHLAK")</f>
        <v>3209_DWI WARYANI _ SERTIFIKAT BerAKHLAK</v>
      </c>
      <c r="P3210" s="5" t="s">
        <v>22324</v>
      </c>
    </row>
    <row r="3211">
      <c r="A3211" s="4">
        <v>45534.34374923611</v>
      </c>
      <c r="B3211" s="5" t="s">
        <v>34</v>
      </c>
      <c r="D3211" s="5" t="s">
        <v>267</v>
      </c>
      <c r="E3211" s="5" t="s">
        <v>22325</v>
      </c>
      <c r="F3211" s="5" t="s">
        <v>524</v>
      </c>
      <c r="G3211" s="5" t="s">
        <v>22326</v>
      </c>
      <c r="H3211" s="6" t="s">
        <v>22327</v>
      </c>
      <c r="K3211" s="5" t="s">
        <v>22291</v>
      </c>
      <c r="M3211" s="5" t="s">
        <v>22328</v>
      </c>
      <c r="N3211" s="7" t="s">
        <v>22329</v>
      </c>
      <c r="O3211" s="8" t="str">
        <f>HYPERLINK("https://drive.google.com/file/d/1PnA_CrQhEWI7rZLAl5EvZ05CIf_4gvaK/view?usp=drivesdk","3210_SUGIYANA _ SERTIFIKAT BerAKHLAK")</f>
        <v>3210_SUGIYANA _ SERTIFIKAT BerAKHLAK</v>
      </c>
      <c r="P3211" s="5" t="s">
        <v>22330</v>
      </c>
    </row>
    <row r="3212">
      <c r="A3212" s="4">
        <v>45534.343749594904</v>
      </c>
      <c r="B3212" s="5" t="s">
        <v>34</v>
      </c>
      <c r="D3212" s="5" t="s">
        <v>280</v>
      </c>
      <c r="E3212" s="5" t="s">
        <v>22331</v>
      </c>
      <c r="F3212" s="5" t="s">
        <v>375</v>
      </c>
      <c r="G3212" s="5" t="s">
        <v>22332</v>
      </c>
      <c r="H3212" s="6" t="s">
        <v>22333</v>
      </c>
      <c r="K3212" s="5" t="s">
        <v>22291</v>
      </c>
      <c r="M3212" s="5" t="s">
        <v>22334</v>
      </c>
      <c r="N3212" s="7" t="s">
        <v>22335</v>
      </c>
      <c r="O3212" s="8" t="str">
        <f>HYPERLINK("https://drive.google.com/file/d/1wj9YCduXCcQIoLWqksPGAayzcJvfunpI/view?usp=drivesdk","3211_PIO SRIYUNI, S. E., M. M.  _ SERTIFIKAT BerAKHLAK")</f>
        <v>3211_PIO SRIYUNI, S. E., M. M.  _ SERTIFIKAT BerAKHLAK</v>
      </c>
      <c r="P3212" s="5" t="s">
        <v>22336</v>
      </c>
    </row>
    <row r="3213">
      <c r="A3213" s="4">
        <v>45534.3437706713</v>
      </c>
      <c r="B3213" s="5" t="s">
        <v>34</v>
      </c>
      <c r="D3213" s="5" t="s">
        <v>4775</v>
      </c>
      <c r="E3213" s="5" t="s">
        <v>22337</v>
      </c>
      <c r="F3213" s="5" t="s">
        <v>212</v>
      </c>
      <c r="G3213" s="5" t="s">
        <v>22338</v>
      </c>
      <c r="H3213" s="6" t="s">
        <v>22339</v>
      </c>
      <c r="K3213" s="5" t="s">
        <v>22340</v>
      </c>
      <c r="M3213" s="5" t="s">
        <v>22341</v>
      </c>
      <c r="N3213" s="7" t="s">
        <v>22342</v>
      </c>
      <c r="O3213" s="8" t="str">
        <f>HYPERLINK("https://drive.google.com/file/d/1DW-ViLZpRyDXYow_u8jGMbeVOAtYJjfK/view?usp=drivesdk","3212_SARYONO _ SERTIFIKAT BerAKHLAK")</f>
        <v>3212_SARYONO _ SERTIFIKAT BerAKHLAK</v>
      </c>
      <c r="P3213" s="5" t="s">
        <v>22343</v>
      </c>
    </row>
    <row r="3214">
      <c r="A3214" s="4">
        <v>45534.343774340276</v>
      </c>
      <c r="B3214" s="5" t="s">
        <v>34</v>
      </c>
      <c r="D3214" s="5" t="s">
        <v>580</v>
      </c>
      <c r="E3214" s="5" t="s">
        <v>22344</v>
      </c>
      <c r="F3214" s="5" t="s">
        <v>72</v>
      </c>
      <c r="G3214" s="5" t="s">
        <v>22345</v>
      </c>
      <c r="H3214" s="6" t="s">
        <v>22346</v>
      </c>
      <c r="K3214" s="5" t="s">
        <v>22340</v>
      </c>
      <c r="M3214" s="5" t="s">
        <v>22347</v>
      </c>
      <c r="N3214" s="7" t="s">
        <v>22348</v>
      </c>
      <c r="O3214" s="8" t="str">
        <f>HYPERLINK("https://drive.google.com/file/d/1fQwbk5jVpDsmYCLOct-qAl2PLphIoks1/view?usp=drivesdk","3213_I PUTU INDRA WINAYA, S.AP. _ SERTIFIKAT BerAKHLAK")</f>
        <v>3213_I PUTU INDRA WINAYA, S.AP. _ SERTIFIKAT BerAKHLAK</v>
      </c>
      <c r="P3214" s="5" t="s">
        <v>22349</v>
      </c>
    </row>
    <row r="3215">
      <c r="A3215" s="4">
        <v>45534.343779999996</v>
      </c>
      <c r="B3215" s="5" t="s">
        <v>34</v>
      </c>
      <c r="D3215" s="5" t="s">
        <v>1206</v>
      </c>
      <c r="E3215" s="5" t="s">
        <v>22350</v>
      </c>
      <c r="F3215" s="5" t="s">
        <v>212</v>
      </c>
      <c r="G3215" s="5" t="s">
        <v>22351</v>
      </c>
      <c r="H3215" s="6" t="s">
        <v>22352</v>
      </c>
      <c r="K3215" s="5" t="s">
        <v>22340</v>
      </c>
      <c r="M3215" s="5" t="s">
        <v>22353</v>
      </c>
      <c r="N3215" s="7" t="s">
        <v>22354</v>
      </c>
      <c r="O3215" s="8" t="str">
        <f>HYPERLINK("https://drive.google.com/file/d/1vxyUbUM9KMcTMOBESSfm4GOU5C8714-M/view?usp=drivesdk","3214_RINI SUSANTI  _ SERTIFIKAT BerAKHLAK")</f>
        <v>3214_RINI SUSANTI  _ SERTIFIKAT BerAKHLAK</v>
      </c>
      <c r="P3215" s="5" t="s">
        <v>22355</v>
      </c>
    </row>
    <row r="3216">
      <c r="A3216" s="4">
        <v>45534.343788252314</v>
      </c>
      <c r="B3216" s="5" t="s">
        <v>34</v>
      </c>
      <c r="D3216" s="5" t="s">
        <v>35</v>
      </c>
      <c r="E3216" s="5" t="s">
        <v>22356</v>
      </c>
      <c r="F3216" s="5" t="s">
        <v>212</v>
      </c>
      <c r="G3216" s="5" t="s">
        <v>22357</v>
      </c>
      <c r="H3216" s="6" t="s">
        <v>22358</v>
      </c>
      <c r="K3216" s="5" t="s">
        <v>22340</v>
      </c>
      <c r="M3216" s="5" t="s">
        <v>22359</v>
      </c>
      <c r="N3216" s="7" t="s">
        <v>22360</v>
      </c>
      <c r="O3216" s="8" t="str">
        <f>HYPERLINK("https://drive.google.com/file/d/1qNLpQYUXwdNkZQy_9xJuAZEe4I3abRtw/view?usp=drivesdk","3215_HARTONO _ SERTIFIKAT BerAKHLAK")</f>
        <v>3215_HARTONO _ SERTIFIKAT BerAKHLAK</v>
      </c>
      <c r="P3216" s="5" t="s">
        <v>22361</v>
      </c>
    </row>
    <row r="3217">
      <c r="A3217" s="4">
        <v>45534.34379402778</v>
      </c>
      <c r="B3217" s="5" t="s">
        <v>34</v>
      </c>
      <c r="D3217" s="5" t="s">
        <v>1206</v>
      </c>
      <c r="E3217" s="5" t="s">
        <v>22362</v>
      </c>
      <c r="F3217" s="5" t="s">
        <v>72</v>
      </c>
      <c r="G3217" s="5" t="s">
        <v>22363</v>
      </c>
      <c r="H3217" s="6" t="s">
        <v>22364</v>
      </c>
      <c r="K3217" s="5" t="s">
        <v>22340</v>
      </c>
      <c r="M3217" s="5" t="s">
        <v>22365</v>
      </c>
      <c r="N3217" s="7" t="s">
        <v>22366</v>
      </c>
      <c r="O3217" s="8" t="str">
        <f>HYPERLINK("https://drive.google.com/file/d/1DxMh7tC5uGbVDBQNK67KPjCbWXTisOBS/view?usp=drivesdk","3216_SRI ASTUTIK S.Pd. _ SERTIFIKAT BerAKHLAK")</f>
        <v>3216_SRI ASTUTIK S.Pd. _ SERTIFIKAT BerAKHLAK</v>
      </c>
      <c r="P3217" s="5" t="s">
        <v>21811</v>
      </c>
    </row>
    <row r="3218">
      <c r="A3218" s="4">
        <v>45534.343798773145</v>
      </c>
      <c r="B3218" s="5" t="s">
        <v>34</v>
      </c>
      <c r="D3218" s="5" t="s">
        <v>522</v>
      </c>
      <c r="E3218" s="5" t="s">
        <v>22367</v>
      </c>
      <c r="F3218" s="5" t="s">
        <v>72</v>
      </c>
      <c r="G3218" s="5" t="s">
        <v>22368</v>
      </c>
      <c r="H3218" s="6" t="s">
        <v>22369</v>
      </c>
      <c r="K3218" s="5" t="s">
        <v>22340</v>
      </c>
      <c r="M3218" s="5" t="s">
        <v>22370</v>
      </c>
      <c r="N3218" s="7" t="s">
        <v>22371</v>
      </c>
      <c r="O3218" s="8" t="str">
        <f>HYPERLINK("https://drive.google.com/file/d/1YOi2l1LibGeCuXQqtGOtOw21fzVRFQNo/view?usp=drivesdk","3217_EDY WAHYU PURWANTO, S.Kep. _ SERTIFIKAT BerAKHLAK")</f>
        <v>3217_EDY WAHYU PURWANTO, S.Kep. _ SERTIFIKAT BerAKHLAK</v>
      </c>
      <c r="P3218" s="5" t="s">
        <v>22372</v>
      </c>
    </row>
    <row r="3219">
      <c r="A3219" s="4">
        <v>45534.34380353009</v>
      </c>
      <c r="B3219" s="5" t="s">
        <v>34</v>
      </c>
      <c r="D3219" s="5" t="s">
        <v>1206</v>
      </c>
      <c r="E3219" s="5" t="s">
        <v>22373</v>
      </c>
      <c r="F3219" s="5" t="s">
        <v>5859</v>
      </c>
      <c r="G3219" s="5" t="s">
        <v>22374</v>
      </c>
      <c r="H3219" s="6" t="s">
        <v>22375</v>
      </c>
      <c r="K3219" s="5" t="s">
        <v>22340</v>
      </c>
      <c r="M3219" s="5" t="s">
        <v>22376</v>
      </c>
      <c r="N3219" s="7" t="s">
        <v>22377</v>
      </c>
      <c r="O3219" s="8" t="str">
        <f>HYPERLINK("https://drive.google.com/file/d/1-gGr-AreojtIYZZTxlFxVzAapumpG4zu/view?usp=drivesdk","3218_AHMAD SALIM _ SERTIFIKAT BerAKHLAK")</f>
        <v>3218_AHMAD SALIM _ SERTIFIKAT BerAKHLAK</v>
      </c>
      <c r="P3219" s="5" t="s">
        <v>22372</v>
      </c>
    </row>
    <row r="3220">
      <c r="A3220" s="4">
        <v>45534.343803842596</v>
      </c>
      <c r="B3220" s="5" t="s">
        <v>34</v>
      </c>
      <c r="D3220" s="5" t="s">
        <v>7858</v>
      </c>
      <c r="E3220" s="5" t="s">
        <v>22378</v>
      </c>
      <c r="F3220" s="5" t="s">
        <v>715</v>
      </c>
      <c r="G3220" s="5" t="s">
        <v>22379</v>
      </c>
      <c r="H3220" s="6" t="s">
        <v>22380</v>
      </c>
      <c r="K3220" s="5" t="s">
        <v>22340</v>
      </c>
      <c r="M3220" s="5" t="s">
        <v>22381</v>
      </c>
      <c r="N3220" s="7" t="s">
        <v>22382</v>
      </c>
      <c r="O3220" s="8" t="str">
        <f>HYPERLINK("https://drive.google.com/file/d/1n8-Cukipp-myZJzyU0wqeB5txQ6QV-Ts/view?usp=drivesdk","3219_TUTI,SE _ SERTIFIKAT BerAKHLAK")</f>
        <v>3219_TUTI,SE _ SERTIFIKAT BerAKHLAK</v>
      </c>
      <c r="P3220" s="5" t="s">
        <v>22372</v>
      </c>
    </row>
    <row r="3221">
      <c r="A3221" s="4">
        <v>45534.34380584491</v>
      </c>
      <c r="B3221" s="5" t="s">
        <v>34</v>
      </c>
      <c r="D3221" s="5" t="s">
        <v>280</v>
      </c>
      <c r="E3221" s="5" t="s">
        <v>22383</v>
      </c>
      <c r="F3221" s="5" t="s">
        <v>212</v>
      </c>
      <c r="G3221" s="5" t="s">
        <v>22384</v>
      </c>
      <c r="H3221" s="6" t="s">
        <v>22385</v>
      </c>
      <c r="K3221" s="5" t="s">
        <v>22340</v>
      </c>
      <c r="M3221" s="5" t="s">
        <v>22386</v>
      </c>
      <c r="N3221" s="7" t="s">
        <v>22387</v>
      </c>
      <c r="O3221" s="8" t="str">
        <f>HYPERLINK("https://drive.google.com/file/d/13Xj7vwaifSqVgMmnXOjoSY4cp8uhAMZb/view?usp=drivesdk","3220_ALFRIDA LUCIANA MANGAPUL _ SERTIFIKAT BerAKHLAK")</f>
        <v>3220_ALFRIDA LUCIANA MANGAPUL _ SERTIFIKAT BerAKHLAK</v>
      </c>
      <c r="P3221" s="5" t="s">
        <v>22388</v>
      </c>
    </row>
    <row r="3222">
      <c r="A3222" s="4">
        <v>45534.34380688657</v>
      </c>
      <c r="B3222" s="5" t="s">
        <v>34</v>
      </c>
      <c r="D3222" s="5" t="s">
        <v>1768</v>
      </c>
      <c r="E3222" s="5" t="s">
        <v>22389</v>
      </c>
      <c r="F3222" s="5" t="s">
        <v>375</v>
      </c>
      <c r="G3222" s="5" t="s">
        <v>22390</v>
      </c>
      <c r="H3222" s="6" t="s">
        <v>22391</v>
      </c>
      <c r="K3222" s="5" t="s">
        <v>22340</v>
      </c>
      <c r="M3222" s="5" t="s">
        <v>22392</v>
      </c>
      <c r="N3222" s="7" t="s">
        <v>22393</v>
      </c>
      <c r="O3222" s="8" t="str">
        <f>HYPERLINK("https://drive.google.com/file/d/1pKxSkWeYpZeN4GQSAqcFj7Kayt0Deipi/view?usp=drivesdk","3221_SYARI AYATI SKM _ SERTIFIKAT BerAKHLAK")</f>
        <v>3221_SYARI AYATI SKM _ SERTIFIKAT BerAKHLAK</v>
      </c>
      <c r="P3222" s="5" t="s">
        <v>22388</v>
      </c>
    </row>
    <row r="3223">
      <c r="A3223" s="4">
        <v>45534.343817326386</v>
      </c>
      <c r="B3223" s="5" t="s">
        <v>34</v>
      </c>
      <c r="D3223" s="5" t="s">
        <v>267</v>
      </c>
      <c r="E3223" s="5" t="s">
        <v>16208</v>
      </c>
      <c r="F3223" s="5" t="s">
        <v>37</v>
      </c>
      <c r="G3223" s="5" t="s">
        <v>22394</v>
      </c>
      <c r="H3223" s="6" t="s">
        <v>22395</v>
      </c>
      <c r="K3223" s="5" t="s">
        <v>22340</v>
      </c>
      <c r="M3223" s="5" t="s">
        <v>22396</v>
      </c>
      <c r="N3223" s="7" t="s">
        <v>22397</v>
      </c>
      <c r="O3223" s="8" t="str">
        <f>HYPERLINK("https://drive.google.com/file/d/1QZUOCf8RZ3qrvqoc3ob8odpWWwmqyTPL/view?usp=drivesdk","3222_SUYOTO _ SERTIFIKAT BerAKHLAK")</f>
        <v>3222_SUYOTO _ SERTIFIKAT BerAKHLAK</v>
      </c>
      <c r="P3223" s="5" t="s">
        <v>22388</v>
      </c>
    </row>
    <row r="3224">
      <c r="A3224" s="4">
        <v>45534.343827442135</v>
      </c>
      <c r="B3224" s="5" t="s">
        <v>34</v>
      </c>
      <c r="D3224" s="5" t="s">
        <v>10444</v>
      </c>
      <c r="E3224" s="5" t="s">
        <v>22398</v>
      </c>
      <c r="F3224" s="5" t="s">
        <v>72</v>
      </c>
      <c r="G3224" s="5" t="s">
        <v>22399</v>
      </c>
      <c r="H3224" s="6" t="s">
        <v>22400</v>
      </c>
      <c r="K3224" s="5" t="s">
        <v>22340</v>
      </c>
      <c r="M3224" s="5" t="s">
        <v>22401</v>
      </c>
      <c r="N3224" s="7" t="s">
        <v>22402</v>
      </c>
      <c r="O3224" s="8" t="str">
        <f>HYPERLINK("https://drive.google.com/file/d/1PVkobBQSvdMQZA8SgaAcNXBt1O9BenpK/view?usp=drivesdk","3223_SRI NURHAYATI _ SERTIFIKAT BerAKHLAK")</f>
        <v>3223_SRI NURHAYATI _ SERTIFIKAT BerAKHLAK</v>
      </c>
      <c r="P3224" s="5" t="s">
        <v>22403</v>
      </c>
    </row>
    <row r="3225">
      <c r="A3225" s="4">
        <v>45534.343831273145</v>
      </c>
      <c r="B3225" s="5" t="s">
        <v>34</v>
      </c>
      <c r="D3225" s="5" t="s">
        <v>2903</v>
      </c>
      <c r="E3225" s="5" t="s">
        <v>22404</v>
      </c>
      <c r="F3225" s="5" t="s">
        <v>37</v>
      </c>
      <c r="G3225" s="5" t="s">
        <v>22405</v>
      </c>
      <c r="H3225" s="6" t="s">
        <v>22406</v>
      </c>
      <c r="K3225" s="5" t="s">
        <v>22407</v>
      </c>
      <c r="M3225" s="5" t="s">
        <v>22408</v>
      </c>
      <c r="N3225" s="7" t="s">
        <v>22409</v>
      </c>
      <c r="O3225" s="8" t="str">
        <f>HYPERLINK("https://drive.google.com/file/d/1QkQ-IcvNuTQFH6NNmRJMahGj8Ul_A56X/view?usp=drivesdk","3224_AMIDAH DESTINA _ SERTIFIKAT BerAKHLAK")</f>
        <v>3224_AMIDAH DESTINA _ SERTIFIKAT BerAKHLAK</v>
      </c>
      <c r="P3225" s="5" t="s">
        <v>22410</v>
      </c>
    </row>
    <row r="3226">
      <c r="A3226" s="4">
        <v>45534.343834259256</v>
      </c>
      <c r="B3226" s="5" t="s">
        <v>34</v>
      </c>
      <c r="D3226" s="5" t="s">
        <v>1206</v>
      </c>
      <c r="E3226" s="5" t="s">
        <v>22411</v>
      </c>
      <c r="F3226" s="5" t="s">
        <v>108</v>
      </c>
      <c r="G3226" s="5" t="s">
        <v>22412</v>
      </c>
      <c r="H3226" s="6" t="s">
        <v>22413</v>
      </c>
      <c r="K3226" s="5" t="s">
        <v>22407</v>
      </c>
      <c r="M3226" s="5" t="s">
        <v>22414</v>
      </c>
      <c r="N3226" s="7" t="s">
        <v>22415</v>
      </c>
      <c r="O3226" s="8" t="str">
        <f>HYPERLINK("https://drive.google.com/file/d/1POMinn3Qnw-4iC8CWhGAKnH2oUN-RA2c/view?usp=drivesdk","3225_YONO SUGIONO _ SERTIFIKAT BerAKHLAK")</f>
        <v>3225_YONO SUGIONO _ SERTIFIKAT BerAKHLAK</v>
      </c>
      <c r="P3226" s="5" t="s">
        <v>22403</v>
      </c>
    </row>
    <row r="3227">
      <c r="A3227" s="4">
        <v>45534.34384872685</v>
      </c>
      <c r="B3227" s="5" t="s">
        <v>34</v>
      </c>
      <c r="D3227" s="5" t="s">
        <v>9020</v>
      </c>
      <c r="E3227" s="5" t="s">
        <v>22416</v>
      </c>
      <c r="F3227" s="5" t="s">
        <v>72</v>
      </c>
      <c r="G3227" s="5" t="s">
        <v>22417</v>
      </c>
      <c r="H3227" s="6" t="s">
        <v>22418</v>
      </c>
      <c r="K3227" s="5" t="s">
        <v>22407</v>
      </c>
      <c r="M3227" s="5" t="s">
        <v>22419</v>
      </c>
      <c r="N3227" s="7" t="s">
        <v>22420</v>
      </c>
      <c r="O3227" s="8" t="str">
        <f>HYPERLINK("https://drive.google.com/file/d/117V4cgfLKXegeuGiD582S1fAYir49MRV/view?usp=drivesdk","3226_MALEM KEPE KARO KARO _ SERTIFIKAT BerAKHLAK")</f>
        <v>3226_MALEM KEPE KARO KARO _ SERTIFIKAT BerAKHLAK</v>
      </c>
      <c r="P3227" s="5" t="s">
        <v>22421</v>
      </c>
    </row>
    <row r="3228">
      <c r="A3228" s="4">
        <v>45534.34385741898</v>
      </c>
      <c r="B3228" s="5" t="s">
        <v>34</v>
      </c>
      <c r="D3228" s="5" t="s">
        <v>35</v>
      </c>
      <c r="E3228" s="5" t="s">
        <v>22422</v>
      </c>
      <c r="F3228" s="5" t="s">
        <v>37</v>
      </c>
      <c r="G3228" s="5" t="s">
        <v>22423</v>
      </c>
      <c r="H3228" s="6" t="s">
        <v>22424</v>
      </c>
      <c r="K3228" s="5" t="s">
        <v>22407</v>
      </c>
      <c r="M3228" s="5" t="s">
        <v>22425</v>
      </c>
      <c r="N3228" s="7" t="s">
        <v>22426</v>
      </c>
      <c r="O3228" s="8" t="str">
        <f>HYPERLINK("https://drive.google.com/file/d/1STpwc-dnEg5EMOGodNq5gtHKi8b37bla/view?usp=drivesdk","3227_DEDE SUDARTI _ SERTIFIKAT BerAKHLAK")</f>
        <v>3227_DEDE SUDARTI _ SERTIFIKAT BerAKHLAK</v>
      </c>
      <c r="P3228" s="5" t="s">
        <v>22421</v>
      </c>
    </row>
    <row r="3229">
      <c r="A3229" s="4">
        <v>45534.34385859953</v>
      </c>
      <c r="B3229" s="5" t="s">
        <v>34</v>
      </c>
      <c r="D3229" s="5" t="s">
        <v>35</v>
      </c>
      <c r="E3229" s="5" t="s">
        <v>22427</v>
      </c>
      <c r="F3229" s="5" t="s">
        <v>15386</v>
      </c>
      <c r="G3229" s="5" t="s">
        <v>22428</v>
      </c>
      <c r="H3229" s="6" t="s">
        <v>22429</v>
      </c>
      <c r="K3229" s="5" t="s">
        <v>22407</v>
      </c>
      <c r="M3229" s="5" t="s">
        <v>22430</v>
      </c>
      <c r="N3229" s="7" t="s">
        <v>22431</v>
      </c>
      <c r="O3229" s="8" t="str">
        <f>HYPERLINK("https://drive.google.com/file/d/1T-C9JGC0wCUdqBa29-8QoXA2D_vsAmaW/view?usp=drivesdk","3228_MAMAT RAHMAT _ SERTIFIKAT BerAKHLAK")</f>
        <v>3228_MAMAT RAHMAT _ SERTIFIKAT BerAKHLAK</v>
      </c>
      <c r="P3229" s="5" t="s">
        <v>22421</v>
      </c>
    </row>
    <row r="3230">
      <c r="A3230" s="4">
        <v>45534.34386043981</v>
      </c>
      <c r="B3230" s="5" t="s">
        <v>34</v>
      </c>
      <c r="D3230" s="5" t="s">
        <v>10444</v>
      </c>
      <c r="E3230" s="5" t="s">
        <v>22432</v>
      </c>
      <c r="F3230" s="5" t="s">
        <v>37</v>
      </c>
      <c r="G3230" s="5" t="s">
        <v>22433</v>
      </c>
      <c r="H3230" s="6" t="s">
        <v>22434</v>
      </c>
      <c r="K3230" s="5" t="s">
        <v>22407</v>
      </c>
      <c r="M3230" s="5" t="s">
        <v>22435</v>
      </c>
      <c r="N3230" s="7" t="s">
        <v>22436</v>
      </c>
      <c r="O3230" s="8" t="str">
        <f>HYPERLINK("https://drive.google.com/file/d/1oJiAS3SfzNf78QN1SK5Q3cXi57LCxBkc/view?usp=drivesdk","3229_MARIA DWI SARTIKA, AMK _ SERTIFIKAT BerAKHLAK")</f>
        <v>3229_MARIA DWI SARTIKA, AMK _ SERTIFIKAT BerAKHLAK</v>
      </c>
      <c r="P3230" s="5" t="s">
        <v>22421</v>
      </c>
    </row>
    <row r="3231">
      <c r="A3231" s="4">
        <v>45534.343869641205</v>
      </c>
      <c r="B3231" s="5" t="s">
        <v>34</v>
      </c>
      <c r="D3231" s="5" t="s">
        <v>35</v>
      </c>
      <c r="E3231" s="5" t="s">
        <v>22437</v>
      </c>
      <c r="F3231" s="5" t="s">
        <v>37</v>
      </c>
      <c r="G3231" s="5" t="s">
        <v>22438</v>
      </c>
      <c r="H3231" s="6" t="s">
        <v>22439</v>
      </c>
      <c r="K3231" s="5" t="s">
        <v>22407</v>
      </c>
      <c r="M3231" s="5" t="s">
        <v>22440</v>
      </c>
      <c r="N3231" s="7" t="s">
        <v>22441</v>
      </c>
      <c r="O3231" s="8" t="str">
        <f>HYPERLINK("https://drive.google.com/file/d/1mW3OZaYrp2uVLf8Ws3xfY3VtBDh4CXuR/view?usp=drivesdk","3230_KARDIMIN _ SERTIFIKAT BerAKHLAK")</f>
        <v>3230_KARDIMIN _ SERTIFIKAT BerAKHLAK</v>
      </c>
      <c r="P3231" s="5" t="s">
        <v>22421</v>
      </c>
    </row>
    <row r="3232">
      <c r="A3232" s="4">
        <v>45534.34387412037</v>
      </c>
      <c r="B3232" s="5" t="s">
        <v>34</v>
      </c>
      <c r="D3232" s="5" t="s">
        <v>1206</v>
      </c>
      <c r="E3232" s="5" t="s">
        <v>22442</v>
      </c>
      <c r="F3232" s="5" t="s">
        <v>37</v>
      </c>
      <c r="G3232" s="5" t="s">
        <v>22443</v>
      </c>
      <c r="H3232" s="6" t="s">
        <v>22444</v>
      </c>
      <c r="K3232" s="5" t="s">
        <v>22407</v>
      </c>
      <c r="M3232" s="5" t="s">
        <v>22445</v>
      </c>
      <c r="N3232" s="7" t="s">
        <v>22446</v>
      </c>
      <c r="O3232" s="8" t="str">
        <f>HYPERLINK("https://drive.google.com/file/d/1yuil8ZMYSCIi3aXt36xkJ3yjG6SovRjg/view?usp=drivesdk","3231_A MUSHODDAQ _ SERTIFIKAT BerAKHLAK")</f>
        <v>3231_A MUSHODDAQ _ SERTIFIKAT BerAKHLAK</v>
      </c>
      <c r="P3232" s="5" t="s">
        <v>22447</v>
      </c>
    </row>
    <row r="3233">
      <c r="A3233" s="4">
        <v>45534.34387866898</v>
      </c>
      <c r="B3233" s="5" t="s">
        <v>34</v>
      </c>
      <c r="D3233" s="5" t="s">
        <v>4775</v>
      </c>
      <c r="E3233" s="5" t="s">
        <v>22448</v>
      </c>
      <c r="F3233" s="5" t="s">
        <v>375</v>
      </c>
      <c r="G3233" s="5" t="s">
        <v>22449</v>
      </c>
      <c r="H3233" s="6" t="s">
        <v>22450</v>
      </c>
      <c r="K3233" s="5" t="s">
        <v>22407</v>
      </c>
      <c r="M3233" s="5" t="s">
        <v>22451</v>
      </c>
      <c r="N3233" s="7" t="s">
        <v>22452</v>
      </c>
      <c r="O3233" s="8" t="str">
        <f>HYPERLINK("https://drive.google.com/file/d/1-GEgpTOZjkA4-A4qLpX9S0BwsOPAT4wg/view?usp=drivesdk","3232_GANANG WALUYO, S.E. _ SERTIFIKAT BerAKHLAK")</f>
        <v>3232_GANANG WALUYO, S.E. _ SERTIFIKAT BerAKHLAK</v>
      </c>
      <c r="P3233" s="5" t="s">
        <v>22447</v>
      </c>
    </row>
    <row r="3234">
      <c r="A3234" s="4">
        <v>45534.34387909722</v>
      </c>
      <c r="B3234" s="5" t="s">
        <v>34</v>
      </c>
      <c r="D3234" s="5" t="s">
        <v>9020</v>
      </c>
      <c r="E3234" s="5" t="s">
        <v>22453</v>
      </c>
      <c r="F3234" s="5" t="s">
        <v>212</v>
      </c>
      <c r="G3234" s="5" t="s">
        <v>22454</v>
      </c>
      <c r="H3234" s="6" t="s">
        <v>22455</v>
      </c>
      <c r="K3234" s="5" t="s">
        <v>22456</v>
      </c>
      <c r="M3234" s="5" t="s">
        <v>22457</v>
      </c>
      <c r="N3234" s="7" t="s">
        <v>22458</v>
      </c>
      <c r="O3234" s="8" t="str">
        <f>HYPERLINK("https://drive.google.com/file/d/1DgMImbXv_mrRvIIKh1fUpYBEwVJ61-s6/view?usp=drivesdk","3233_FRIDA ERNARIA ROHANI MANIK _ SERTIFIKAT BerAKHLAK")</f>
        <v>3233_FRIDA ERNARIA ROHANI MANIK _ SERTIFIKAT BerAKHLAK</v>
      </c>
      <c r="P3234" s="5" t="s">
        <v>22447</v>
      </c>
    </row>
    <row r="3235">
      <c r="A3235" s="4">
        <v>45534.34388458333</v>
      </c>
      <c r="B3235" s="5" t="s">
        <v>34</v>
      </c>
      <c r="D3235" s="5" t="s">
        <v>35</v>
      </c>
      <c r="E3235" s="5" t="s">
        <v>22459</v>
      </c>
      <c r="F3235" s="5" t="s">
        <v>37</v>
      </c>
      <c r="G3235" s="5" t="s">
        <v>22460</v>
      </c>
      <c r="H3235" s="6" t="s">
        <v>22461</v>
      </c>
      <c r="K3235" s="5" t="s">
        <v>22456</v>
      </c>
      <c r="M3235" s="5" t="s">
        <v>22462</v>
      </c>
      <c r="N3235" s="7" t="s">
        <v>22463</v>
      </c>
      <c r="O3235" s="8" t="str">
        <f>HYPERLINK("https://drive.google.com/file/d/1JYVcqZwHG47itf-cfgs_ISuIAB9NRbp1/view?usp=drivesdk","3234_NUR WIDAYANTI _ SERTIFIKAT BerAKHLAK")</f>
        <v>3234_NUR WIDAYANTI _ SERTIFIKAT BerAKHLAK</v>
      </c>
      <c r="P3235" s="5" t="s">
        <v>22464</v>
      </c>
    </row>
    <row r="3236">
      <c r="A3236" s="4">
        <v>45534.34389185185</v>
      </c>
      <c r="B3236" s="5" t="s">
        <v>34</v>
      </c>
      <c r="D3236" s="5" t="s">
        <v>14424</v>
      </c>
      <c r="E3236" s="5" t="s">
        <v>22465</v>
      </c>
      <c r="F3236" s="5" t="s">
        <v>72</v>
      </c>
      <c r="G3236" s="5" t="s">
        <v>22466</v>
      </c>
      <c r="H3236" s="6" t="s">
        <v>22467</v>
      </c>
      <c r="K3236" s="5" t="s">
        <v>22456</v>
      </c>
      <c r="M3236" s="5" t="s">
        <v>22468</v>
      </c>
      <c r="N3236" s="7" t="s">
        <v>22469</v>
      </c>
      <c r="O3236" s="8" t="str">
        <f>HYPERLINK("https://drive.google.com/file/d/1TkGX5B0g6Jf4f-gDQXHOWQBczZJltBDe/view?usp=drivesdk","3235_Joni Al Fakri AM.d _ SERTIFIKAT BerAKHLAK")</f>
        <v>3235_Joni Al Fakri AM.d _ SERTIFIKAT BerAKHLAK</v>
      </c>
      <c r="P3236" s="5" t="s">
        <v>22464</v>
      </c>
    </row>
    <row r="3237" hidden="1">
      <c r="A3237" s="4">
        <v>45534.34389478009</v>
      </c>
      <c r="B3237" s="5" t="s">
        <v>19</v>
      </c>
      <c r="C3237" s="5" t="s">
        <v>5564</v>
      </c>
      <c r="E3237" s="5" t="s">
        <v>22470</v>
      </c>
      <c r="F3237" s="5" t="s">
        <v>212</v>
      </c>
      <c r="G3237" s="5" t="s">
        <v>22471</v>
      </c>
      <c r="H3237" s="6" t="s">
        <v>22472</v>
      </c>
      <c r="K3237" s="5" t="s">
        <v>22456</v>
      </c>
      <c r="M3237" s="5" t="s">
        <v>22473</v>
      </c>
      <c r="N3237" s="7" t="s">
        <v>22474</v>
      </c>
      <c r="O3237" s="8" t="str">
        <f>HYPERLINK("https://drive.google.com/file/d/1COB1cEZsbCJhOwfgrslTKLEU-AAc8L9n/view?usp=drivesdk","3236_ASTRY MAHARANI _ SERTIFIKAT BerAKHLAK")</f>
        <v>3236_ASTRY MAHARANI _ SERTIFIKAT BerAKHLAK</v>
      </c>
      <c r="P3237" s="5" t="s">
        <v>22464</v>
      </c>
    </row>
    <row r="3238" hidden="1">
      <c r="A3238" s="4">
        <v>45534.34391318287</v>
      </c>
      <c r="B3238" s="5" t="s">
        <v>19</v>
      </c>
      <c r="C3238" s="5" t="s">
        <v>442</v>
      </c>
      <c r="E3238" s="5" t="s">
        <v>22475</v>
      </c>
      <c r="F3238" s="5" t="s">
        <v>375</v>
      </c>
      <c r="G3238" s="5" t="s">
        <v>22476</v>
      </c>
      <c r="H3238" s="6" t="s">
        <v>22477</v>
      </c>
      <c r="K3238" s="5" t="s">
        <v>22456</v>
      </c>
      <c r="M3238" s="5" t="s">
        <v>22478</v>
      </c>
      <c r="N3238" s="7" t="s">
        <v>22479</v>
      </c>
      <c r="O3238" s="8" t="str">
        <f>HYPERLINK("https://drive.google.com/file/d/1DAafQ4YoV93KsFzeerGF9BW5LHGC6_f4/view?usp=drivesdk","3237_PENATA TK.I ZAENAB, S.E.I. _ SERTIFIKAT BerAKHLAK")</f>
        <v>3237_PENATA TK.I ZAENAB, S.E.I. _ SERTIFIKAT BerAKHLAK</v>
      </c>
      <c r="P3238" s="5" t="s">
        <v>22464</v>
      </c>
    </row>
    <row r="3239">
      <c r="A3239" s="4">
        <v>45534.34393319444</v>
      </c>
      <c r="B3239" s="5" t="s">
        <v>34</v>
      </c>
      <c r="D3239" s="5" t="s">
        <v>9020</v>
      </c>
      <c r="E3239" s="5" t="s">
        <v>22480</v>
      </c>
      <c r="F3239" s="5" t="s">
        <v>108</v>
      </c>
      <c r="G3239" s="5" t="s">
        <v>22481</v>
      </c>
      <c r="H3239" s="6" t="s">
        <v>22482</v>
      </c>
      <c r="K3239" s="5" t="s">
        <v>22456</v>
      </c>
      <c r="M3239" s="5" t="s">
        <v>22483</v>
      </c>
      <c r="N3239" s="7" t="s">
        <v>22484</v>
      </c>
      <c r="O3239" s="8" t="str">
        <f>HYPERLINK("https://drive.google.com/file/d/1m575x1mWCTdjtTCwkNvs3UO-ATj7j0Vz/view?usp=drivesdk","3238_SUYEM ATMI  _ SERTIFIKAT BerAKHLAK")</f>
        <v>3238_SUYEM ATMI  _ SERTIFIKAT BerAKHLAK</v>
      </c>
      <c r="P3239" s="5" t="s">
        <v>22464</v>
      </c>
    </row>
    <row r="3240">
      <c r="A3240" s="4">
        <v>45534.34393824074</v>
      </c>
      <c r="B3240" s="5" t="s">
        <v>34</v>
      </c>
      <c r="D3240" s="5" t="s">
        <v>1206</v>
      </c>
      <c r="E3240" s="5" t="s">
        <v>22485</v>
      </c>
      <c r="F3240" s="5" t="s">
        <v>212</v>
      </c>
      <c r="G3240" s="5" t="s">
        <v>22486</v>
      </c>
      <c r="H3240" s="6" t="s">
        <v>22487</v>
      </c>
      <c r="K3240" s="5" t="s">
        <v>22488</v>
      </c>
      <c r="M3240" s="5" t="s">
        <v>22489</v>
      </c>
      <c r="N3240" s="7" t="s">
        <v>22490</v>
      </c>
      <c r="O3240" s="8" t="str">
        <f>HYPERLINK("https://drive.google.com/file/d/1mgIxpmnG3zxCsmJSBTzcXw_VmqH767Fl/view?usp=drivesdk","3239_EVA CRISTIANA _ SERTIFIKAT BerAKHLAK")</f>
        <v>3239_EVA CRISTIANA _ SERTIFIKAT BerAKHLAK</v>
      </c>
      <c r="P3240" s="5" t="s">
        <v>22491</v>
      </c>
    </row>
    <row r="3241">
      <c r="A3241" s="4">
        <v>45534.34394111111</v>
      </c>
      <c r="B3241" s="5" t="s">
        <v>34</v>
      </c>
      <c r="D3241" s="5" t="s">
        <v>1206</v>
      </c>
      <c r="E3241" s="5" t="s">
        <v>22492</v>
      </c>
      <c r="F3241" s="5" t="s">
        <v>212</v>
      </c>
      <c r="G3241" s="5" t="s">
        <v>22493</v>
      </c>
      <c r="H3241" s="6" t="s">
        <v>22494</v>
      </c>
      <c r="K3241" s="5" t="s">
        <v>22488</v>
      </c>
      <c r="M3241" s="5" t="s">
        <v>22495</v>
      </c>
      <c r="N3241" s="7" t="s">
        <v>22496</v>
      </c>
      <c r="O3241" s="8" t="str">
        <f>HYPERLINK("https://drive.google.com/file/d/1GU3w3HZi5g6wtN7m-S_SgTM9X4_2YnDi/view?usp=drivesdk","3240_WIDARTI _ SERTIFIKAT BerAKHLAK")</f>
        <v>3240_WIDARTI _ SERTIFIKAT BerAKHLAK</v>
      </c>
      <c r="P3241" s="5" t="s">
        <v>22491</v>
      </c>
    </row>
    <row r="3242">
      <c r="A3242" s="4">
        <v>45534.3439412963</v>
      </c>
      <c r="B3242" s="5" t="s">
        <v>34</v>
      </c>
      <c r="D3242" s="5" t="s">
        <v>522</v>
      </c>
      <c r="E3242" s="5" t="s">
        <v>22497</v>
      </c>
      <c r="F3242" s="5" t="s">
        <v>37</v>
      </c>
      <c r="G3242" s="5" t="s">
        <v>22498</v>
      </c>
      <c r="H3242" s="6" t="s">
        <v>22499</v>
      </c>
      <c r="K3242" s="5" t="s">
        <v>22488</v>
      </c>
      <c r="M3242" s="5" t="s">
        <v>22500</v>
      </c>
      <c r="N3242" s="7" t="s">
        <v>22501</v>
      </c>
      <c r="O3242" s="8" t="str">
        <f>HYPERLINK("https://drive.google.com/file/d/1EZkOkpEkL2N9vJ6XZXQUxcloBD5zOZjL/view?usp=drivesdk","3241_Ni Luh Sudiani _ SERTIFIKAT BerAKHLAK")</f>
        <v>3241_Ni Luh Sudiani _ SERTIFIKAT BerAKHLAK</v>
      </c>
      <c r="P3242" s="5" t="s">
        <v>22491</v>
      </c>
    </row>
    <row r="3243">
      <c r="A3243" s="4">
        <v>45534.343947800924</v>
      </c>
      <c r="B3243" s="5" t="s">
        <v>34</v>
      </c>
      <c r="D3243" s="5" t="s">
        <v>1558</v>
      </c>
      <c r="E3243" s="5" t="s">
        <v>22502</v>
      </c>
      <c r="F3243" s="5" t="s">
        <v>212</v>
      </c>
      <c r="G3243" s="5" t="s">
        <v>22503</v>
      </c>
      <c r="H3243" s="6" t="s">
        <v>22504</v>
      </c>
      <c r="K3243" s="5" t="s">
        <v>22488</v>
      </c>
      <c r="M3243" s="5" t="s">
        <v>22505</v>
      </c>
      <c r="N3243" s="7" t="s">
        <v>22506</v>
      </c>
      <c r="O3243" s="8" t="str">
        <f>HYPERLINK("https://drive.google.com/file/d/1msx6fDAe9PY6apNGPhktu42WhPuKTuOL/view?usp=drivesdk","3242_SUYATNO _ SERTIFIKAT BerAKHLAK")</f>
        <v>3242_SUYATNO _ SERTIFIKAT BerAKHLAK</v>
      </c>
      <c r="P3243" s="5" t="s">
        <v>22491</v>
      </c>
    </row>
    <row r="3244">
      <c r="A3244" s="4">
        <v>45534.343951504634</v>
      </c>
      <c r="B3244" s="5" t="s">
        <v>34</v>
      </c>
      <c r="D3244" s="5" t="s">
        <v>35</v>
      </c>
      <c r="E3244" s="5" t="s">
        <v>22507</v>
      </c>
      <c r="F3244" s="5" t="s">
        <v>212</v>
      </c>
      <c r="G3244" s="5" t="s">
        <v>22508</v>
      </c>
      <c r="H3244" s="6" t="s">
        <v>22509</v>
      </c>
      <c r="K3244" s="5" t="s">
        <v>22488</v>
      </c>
      <c r="M3244" s="5" t="s">
        <v>22510</v>
      </c>
      <c r="N3244" s="7" t="s">
        <v>22511</v>
      </c>
      <c r="O3244" s="8" t="str">
        <f>HYPERLINK("https://drive.google.com/file/d/18fWueK6EUS5jqsO8-Yh-FZNSTaiohw_w/view?usp=drivesdk","3243_RUKMIATI _ SERTIFIKAT BerAKHLAK")</f>
        <v>3243_RUKMIATI _ SERTIFIKAT BerAKHLAK</v>
      </c>
      <c r="P3244" s="5" t="s">
        <v>22512</v>
      </c>
    </row>
    <row r="3245">
      <c r="A3245" s="4">
        <v>45534.34395337963</v>
      </c>
      <c r="B3245" s="5" t="s">
        <v>34</v>
      </c>
      <c r="D3245" s="5" t="s">
        <v>1206</v>
      </c>
      <c r="E3245" s="5" t="s">
        <v>22513</v>
      </c>
      <c r="F3245" s="5" t="s">
        <v>108</v>
      </c>
      <c r="G3245" s="5" t="s">
        <v>22514</v>
      </c>
      <c r="H3245" s="6" t="s">
        <v>22515</v>
      </c>
      <c r="K3245" s="5" t="s">
        <v>22488</v>
      </c>
      <c r="M3245" s="5" t="s">
        <v>22516</v>
      </c>
      <c r="N3245" s="7" t="s">
        <v>22517</v>
      </c>
      <c r="O3245" s="8" t="str">
        <f>HYPERLINK("https://drive.google.com/file/d/1_FrAh4iXGAn-RAC84TQ5dmjmxeU-z6Ze/view?usp=drivesdk","3244_EKO SUPRAYITNO _ SERTIFIKAT BerAKHLAK")</f>
        <v>3244_EKO SUPRAYITNO _ SERTIFIKAT BerAKHLAK</v>
      </c>
      <c r="P3245" s="5" t="s">
        <v>22512</v>
      </c>
    </row>
    <row r="3246">
      <c r="A3246" s="4">
        <v>45534.34398140047</v>
      </c>
      <c r="B3246" s="5" t="s">
        <v>34</v>
      </c>
      <c r="D3246" s="5" t="s">
        <v>4775</v>
      </c>
      <c r="E3246" s="5" t="s">
        <v>22518</v>
      </c>
      <c r="F3246" s="5" t="s">
        <v>5859</v>
      </c>
      <c r="G3246" s="5" t="s">
        <v>22519</v>
      </c>
      <c r="H3246" s="6" t="s">
        <v>22520</v>
      </c>
      <c r="K3246" s="5" t="s">
        <v>22521</v>
      </c>
      <c r="M3246" s="5" t="s">
        <v>22522</v>
      </c>
      <c r="N3246" s="7" t="s">
        <v>22523</v>
      </c>
      <c r="O3246" s="8" t="str">
        <f>HYPERLINK("https://drive.google.com/file/d/1ORowWRjUi7MvJMemMZe2wmPSK-jpv-vL/view?usp=drivesdk","3245_SUGIRIN JURU  _ SERTIFIKAT BerAKHLAK")</f>
        <v>3245_SUGIRIN JURU  _ SERTIFIKAT BerAKHLAK</v>
      </c>
      <c r="P3246" s="5" t="s">
        <v>22512</v>
      </c>
    </row>
    <row r="3247">
      <c r="A3247" s="4">
        <v>45534.3439871875</v>
      </c>
      <c r="B3247" s="5" t="s">
        <v>34</v>
      </c>
      <c r="D3247" s="5" t="s">
        <v>3849</v>
      </c>
      <c r="E3247" s="5" t="s">
        <v>22524</v>
      </c>
      <c r="F3247" s="5" t="s">
        <v>37</v>
      </c>
      <c r="G3247" s="5" t="s">
        <v>22525</v>
      </c>
      <c r="H3247" s="6" t="s">
        <v>22526</v>
      </c>
      <c r="K3247" s="5" t="s">
        <v>22521</v>
      </c>
      <c r="M3247" s="5" t="s">
        <v>22527</v>
      </c>
      <c r="N3247" s="7" t="s">
        <v>22528</v>
      </c>
      <c r="O3247" s="8" t="str">
        <f>HYPERLINK("https://drive.google.com/file/d/1YZ7OuEAyqCyLQqWaeyXj0p5rUvJAdbb9/view?usp=drivesdk","3246_MAMING YULIANTI, Am.Keb _ SERTIFIKAT BerAKHLAK")</f>
        <v>3246_MAMING YULIANTI, Am.Keb _ SERTIFIKAT BerAKHLAK</v>
      </c>
      <c r="P3247" s="5" t="s">
        <v>22529</v>
      </c>
    </row>
    <row r="3248">
      <c r="A3248" s="4">
        <v>45534.34399837963</v>
      </c>
      <c r="B3248" s="5" t="s">
        <v>34</v>
      </c>
      <c r="D3248" s="5" t="s">
        <v>522</v>
      </c>
      <c r="E3248" s="5" t="s">
        <v>22530</v>
      </c>
      <c r="F3248" s="5" t="s">
        <v>72</v>
      </c>
      <c r="G3248" s="5" t="s">
        <v>22531</v>
      </c>
      <c r="H3248" s="6" t="s">
        <v>22532</v>
      </c>
      <c r="K3248" s="5" t="s">
        <v>22521</v>
      </c>
      <c r="M3248" s="5" t="s">
        <v>22533</v>
      </c>
      <c r="N3248" s="7" t="s">
        <v>22534</v>
      </c>
      <c r="O3248" s="8" t="str">
        <f>HYPERLINK("https://drive.google.com/file/d/1f6zA5WUeM0uxLoe_D4Wiz0PB_iFz_iTh/view?usp=drivesdk","3247_SUHARI WIDODO, A.MD _ SERTIFIKAT BerAKHLAK")</f>
        <v>3247_SUHARI WIDODO, A.MD _ SERTIFIKAT BerAKHLAK</v>
      </c>
      <c r="P3248" s="5" t="s">
        <v>22529</v>
      </c>
    </row>
    <row r="3249">
      <c r="A3249" s="4">
        <v>45534.34400534722</v>
      </c>
      <c r="B3249" s="5" t="s">
        <v>34</v>
      </c>
      <c r="D3249" s="5" t="s">
        <v>996</v>
      </c>
      <c r="E3249" s="5" t="s">
        <v>22535</v>
      </c>
      <c r="F3249" s="5" t="s">
        <v>37</v>
      </c>
      <c r="G3249" s="5" t="s">
        <v>22536</v>
      </c>
      <c r="H3249" s="6" t="s">
        <v>22537</v>
      </c>
      <c r="K3249" s="5" t="s">
        <v>22521</v>
      </c>
      <c r="M3249" s="5" t="s">
        <v>22538</v>
      </c>
      <c r="N3249" s="7" t="s">
        <v>22539</v>
      </c>
      <c r="O3249" s="8" t="str">
        <f>HYPERLINK("https://drive.google.com/file/d/11wLhdi_nXBW3ekxO-oqdSA7J9bJTXSmA/view?usp=drivesdk","3248_HENNY ZAZIMAH, S. Sos _ SERTIFIKAT BerAKHLAK")</f>
        <v>3248_HENNY ZAZIMAH, S. Sos _ SERTIFIKAT BerAKHLAK</v>
      </c>
      <c r="P3249" s="5" t="s">
        <v>22529</v>
      </c>
    </row>
    <row r="3250">
      <c r="A3250" s="4">
        <v>45534.344023240745</v>
      </c>
      <c r="B3250" s="5" t="s">
        <v>34</v>
      </c>
      <c r="D3250" s="5" t="s">
        <v>35</v>
      </c>
      <c r="E3250" s="5" t="s">
        <v>22540</v>
      </c>
      <c r="F3250" s="5" t="s">
        <v>72</v>
      </c>
      <c r="G3250" s="5" t="s">
        <v>22541</v>
      </c>
      <c r="H3250" s="6" t="s">
        <v>22542</v>
      </c>
      <c r="I3250" s="7" t="s">
        <v>22543</v>
      </c>
      <c r="J3250" s="8" t="str">
        <f>HYPERLINK("https://drive.google.com/file/d/1mNbIRdUVIpZARghwQsqyN1IFb3Opc6aO/view?usp=drivesdk","NURIMI SERTIFIKAT BerAKHLAK")</f>
        <v>NURIMI SERTIFIKAT BerAKHLAK</v>
      </c>
      <c r="K3250" s="5" t="s">
        <v>21426</v>
      </c>
      <c r="L3250" s="5" t="s">
        <v>22544</v>
      </c>
      <c r="M3250" s="5" t="s">
        <v>22545</v>
      </c>
      <c r="N3250" s="7" t="s">
        <v>22546</v>
      </c>
      <c r="O3250" s="8" t="str">
        <f>HYPERLINK("https://drive.google.com/file/d/1UKZTeGySS2nfI9huD_veZicSt8G0b3PU/view?usp=drivesdk","3249_NURIMI _ SERTIFIKAT BerAKHLAK")</f>
        <v>3249_NURIMI _ SERTIFIKAT BerAKHLAK</v>
      </c>
      <c r="P3250" s="5" t="s">
        <v>22529</v>
      </c>
    </row>
    <row r="3251">
      <c r="A3251" s="4">
        <v>45534.34402351852</v>
      </c>
      <c r="B3251" s="5" t="s">
        <v>34</v>
      </c>
      <c r="D3251" s="5" t="s">
        <v>14313</v>
      </c>
      <c r="E3251" s="5" t="s">
        <v>22547</v>
      </c>
      <c r="F3251" s="5" t="s">
        <v>212</v>
      </c>
      <c r="G3251" s="5" t="s">
        <v>22548</v>
      </c>
      <c r="H3251" s="6" t="s">
        <v>22549</v>
      </c>
      <c r="I3251" s="7" t="s">
        <v>22550</v>
      </c>
      <c r="J3251" s="8" t="str">
        <f>HYPERLINK("https://drive.google.com/file/d/1qJ7vdMXFWdeXYiTMTYrzp1Y58t4-doNH/view?usp=drivesdk","ANDI SUKMA SERTIFIKAT BerAKHLAK")</f>
        <v>ANDI SUKMA SERTIFIKAT BerAKHLAK</v>
      </c>
      <c r="K3251" s="5" t="s">
        <v>22551</v>
      </c>
      <c r="L3251" s="5" t="s">
        <v>22552</v>
      </c>
      <c r="M3251" s="5" t="s">
        <v>22553</v>
      </c>
      <c r="N3251" s="7" t="s">
        <v>22554</v>
      </c>
      <c r="O3251" s="8" t="str">
        <f>HYPERLINK("https://drive.google.com/file/d/1FekJZXUcYRLN6TJ3vsWVRdVGatKMlAfq/view?usp=drivesdk","3250_ANDI SUKMA _ SERTIFIKAT BerAKHLAK")</f>
        <v>3250_ANDI SUKMA _ SERTIFIKAT BerAKHLAK</v>
      </c>
      <c r="P3251" s="5" t="s">
        <v>22555</v>
      </c>
    </row>
    <row r="3252">
      <c r="A3252" s="4">
        <v>45534.34403177083</v>
      </c>
      <c r="B3252" s="5" t="s">
        <v>34</v>
      </c>
      <c r="D3252" s="5" t="s">
        <v>12978</v>
      </c>
      <c r="E3252" s="5" t="s">
        <v>22556</v>
      </c>
      <c r="F3252" s="5" t="s">
        <v>212</v>
      </c>
      <c r="G3252" s="5" t="s">
        <v>22557</v>
      </c>
      <c r="H3252" s="6" t="s">
        <v>22558</v>
      </c>
      <c r="K3252" s="5" t="s">
        <v>22559</v>
      </c>
      <c r="M3252" s="5" t="s">
        <v>22560</v>
      </c>
      <c r="N3252" s="7" t="s">
        <v>22561</v>
      </c>
      <c r="O3252" s="8" t="str">
        <f>HYPERLINK("https://drive.google.com/file/d/1lU1ArG5_P-iOHKmSIUYYYG6viRpa05C_/view?usp=drivesdk","3251_KMS AZHARI, S.E. _ SERTIFIKAT BerAKHLAK")</f>
        <v>3251_KMS AZHARI, S.E. _ SERTIFIKAT BerAKHLAK</v>
      </c>
      <c r="P3252" s="5" t="s">
        <v>22555</v>
      </c>
    </row>
    <row r="3253" hidden="1">
      <c r="A3253" s="4">
        <v>45534.34403574074</v>
      </c>
      <c r="B3253" s="5" t="s">
        <v>19</v>
      </c>
      <c r="C3253" s="5" t="s">
        <v>3301</v>
      </c>
      <c r="E3253" s="5" t="s">
        <v>22562</v>
      </c>
      <c r="F3253" s="5" t="s">
        <v>22</v>
      </c>
      <c r="G3253" s="5" t="s">
        <v>22563</v>
      </c>
      <c r="H3253" s="6" t="s">
        <v>22564</v>
      </c>
      <c r="K3253" s="5" t="s">
        <v>22559</v>
      </c>
      <c r="M3253" s="5" t="s">
        <v>22565</v>
      </c>
      <c r="N3253" s="7" t="s">
        <v>22566</v>
      </c>
      <c r="O3253" s="8" t="str">
        <f>HYPERLINK("https://drive.google.com/file/d/1ATV8yGjsKSHg13qbELl7DatlhMhw0Oqm/view?usp=drivesdk","3252_IGB WIRADINATA _ SERTIFIKAT BerAKHLAK")</f>
        <v>3252_IGB WIRADINATA _ SERTIFIKAT BerAKHLAK</v>
      </c>
      <c r="P3253" s="5" t="s">
        <v>22555</v>
      </c>
    </row>
    <row r="3254" hidden="1">
      <c r="A3254" s="4">
        <v>45534.344037118055</v>
      </c>
      <c r="B3254" s="5" t="s">
        <v>19</v>
      </c>
      <c r="C3254" s="5" t="s">
        <v>292</v>
      </c>
      <c r="E3254" s="5" t="s">
        <v>22567</v>
      </c>
      <c r="F3254" s="5" t="s">
        <v>212</v>
      </c>
      <c r="G3254" s="5" t="s">
        <v>22568</v>
      </c>
      <c r="H3254" s="6" t="s">
        <v>22569</v>
      </c>
      <c r="K3254" s="5" t="s">
        <v>22559</v>
      </c>
      <c r="M3254" s="5" t="s">
        <v>22570</v>
      </c>
      <c r="N3254" s="7" t="s">
        <v>22571</v>
      </c>
      <c r="O3254" s="8" t="str">
        <f>HYPERLINK("https://drive.google.com/file/d/1qBt4BDkyywT20qlIZahpP8jxdH-HEqc3/view?usp=drivesdk","3253_DARYONO _ SERTIFIKAT BerAKHLAK")</f>
        <v>3253_DARYONO _ SERTIFIKAT BerAKHLAK</v>
      </c>
      <c r="P3254" s="5" t="s">
        <v>22572</v>
      </c>
    </row>
    <row r="3255">
      <c r="A3255" s="4">
        <v>45534.34406001157</v>
      </c>
      <c r="B3255" s="5" t="s">
        <v>34</v>
      </c>
      <c r="D3255" s="5" t="s">
        <v>4775</v>
      </c>
      <c r="E3255" s="5" t="s">
        <v>22573</v>
      </c>
      <c r="F3255" s="5" t="s">
        <v>212</v>
      </c>
      <c r="G3255" s="5" t="s">
        <v>22574</v>
      </c>
      <c r="H3255" s="6" t="s">
        <v>22575</v>
      </c>
      <c r="K3255" s="5" t="s">
        <v>22559</v>
      </c>
      <c r="M3255" s="5" t="s">
        <v>22576</v>
      </c>
      <c r="N3255" s="7" t="s">
        <v>22577</v>
      </c>
      <c r="O3255" s="8" t="str">
        <f>HYPERLINK("https://drive.google.com/file/d/1wjCkqcaZcQmv3Fz_ufqU29u0LwsKTsfY/view?usp=drivesdk","3254_IGUS SETYANA KUSUMAWATI _ SERTIFIKAT BerAKHLAK")</f>
        <v>3254_IGUS SETYANA KUSUMAWATI _ SERTIFIKAT BerAKHLAK</v>
      </c>
      <c r="P3255" s="5" t="s">
        <v>22572</v>
      </c>
    </row>
    <row r="3256">
      <c r="A3256" s="4">
        <v>45534.34407057871</v>
      </c>
      <c r="B3256" s="5" t="s">
        <v>34</v>
      </c>
      <c r="D3256" s="5" t="s">
        <v>1206</v>
      </c>
      <c r="E3256" s="5" t="s">
        <v>22578</v>
      </c>
      <c r="F3256" s="5" t="s">
        <v>212</v>
      </c>
      <c r="G3256" s="5" t="s">
        <v>22579</v>
      </c>
      <c r="H3256" s="6" t="s">
        <v>22580</v>
      </c>
      <c r="K3256" s="5" t="s">
        <v>22559</v>
      </c>
      <c r="M3256" s="5" t="s">
        <v>22581</v>
      </c>
      <c r="N3256" s="7" t="s">
        <v>22582</v>
      </c>
      <c r="O3256" s="8" t="str">
        <f>HYPERLINK("https://drive.google.com/file/d/1QCYrsClNpj6OJAd4ns2vP_HiQQG6JYOK/view?usp=drivesdk","3255_HANDIKA DIAN OKTARINA _ SERTIFIKAT BerAKHLAK")</f>
        <v>3255_HANDIKA DIAN OKTARINA _ SERTIFIKAT BerAKHLAK</v>
      </c>
      <c r="P3256" s="5" t="s">
        <v>22572</v>
      </c>
    </row>
    <row r="3257">
      <c r="A3257" s="4">
        <v>45534.344072754626</v>
      </c>
      <c r="B3257" s="5" t="s">
        <v>34</v>
      </c>
      <c r="D3257" s="5" t="s">
        <v>1206</v>
      </c>
      <c r="E3257" s="5" t="s">
        <v>22583</v>
      </c>
      <c r="F3257" s="5" t="s">
        <v>375</v>
      </c>
      <c r="G3257" s="5" t="s">
        <v>22584</v>
      </c>
      <c r="H3257" s="6" t="s">
        <v>22585</v>
      </c>
      <c r="K3257" s="5" t="s">
        <v>22559</v>
      </c>
      <c r="M3257" s="5" t="s">
        <v>22586</v>
      </c>
      <c r="N3257" s="7" t="s">
        <v>22587</v>
      </c>
      <c r="O3257" s="8" t="str">
        <f>HYPERLINK("https://drive.google.com/file/d/18lKOMD6Z0vThKTzHop1JnV27k237xVo8/view?usp=drivesdk","3256_LULUK ERNA SISWANTI, SH _ SERTIFIKAT BerAKHLAK")</f>
        <v>3256_LULUK ERNA SISWANTI, SH _ SERTIFIKAT BerAKHLAK</v>
      </c>
      <c r="P3257" s="5" t="s">
        <v>22572</v>
      </c>
    </row>
    <row r="3258">
      <c r="A3258" s="4">
        <v>45534.34407767361</v>
      </c>
      <c r="B3258" s="5" t="s">
        <v>34</v>
      </c>
      <c r="D3258" s="5" t="s">
        <v>9020</v>
      </c>
      <c r="E3258" s="5" t="s">
        <v>22588</v>
      </c>
      <c r="F3258" s="5" t="s">
        <v>524</v>
      </c>
      <c r="G3258" s="5" t="s">
        <v>22589</v>
      </c>
      <c r="H3258" s="6" t="s">
        <v>22590</v>
      </c>
      <c r="K3258" s="5" t="s">
        <v>22559</v>
      </c>
      <c r="M3258" s="5" t="s">
        <v>22591</v>
      </c>
      <c r="N3258" s="7" t="s">
        <v>22592</v>
      </c>
      <c r="O3258" s="8" t="str">
        <f>HYPERLINK("https://drive.google.com/file/d/14CprPFYo3mIjO6VeDQo3YVJ2g9D4yINa/view?usp=drivesdk","3257_LISMA WATI SIREGAR _ SERTIFIKAT BerAKHLAK")</f>
        <v>3257_LISMA WATI SIREGAR _ SERTIFIKAT BerAKHLAK</v>
      </c>
      <c r="P3258" s="5" t="s">
        <v>22593</v>
      </c>
    </row>
    <row r="3259">
      <c r="A3259" s="4">
        <v>45534.344083240736</v>
      </c>
      <c r="B3259" s="5" t="s">
        <v>34</v>
      </c>
      <c r="D3259" s="5" t="s">
        <v>1206</v>
      </c>
      <c r="E3259" s="5" t="s">
        <v>22594</v>
      </c>
      <c r="F3259" s="5" t="s">
        <v>212</v>
      </c>
      <c r="G3259" s="5" t="s">
        <v>22595</v>
      </c>
      <c r="H3259" s="6" t="s">
        <v>22596</v>
      </c>
      <c r="K3259" s="5" t="s">
        <v>22559</v>
      </c>
      <c r="M3259" s="5" t="s">
        <v>22597</v>
      </c>
      <c r="N3259" s="7" t="s">
        <v>22598</v>
      </c>
      <c r="O3259" s="8" t="str">
        <f>HYPERLINK("https://drive.google.com/file/d/1M5m9hKjC6qYopPnbboK-doB1vXVRb0SS/view?usp=drivesdk","3258_YULI SUKARSANA  _ SERTIFIKAT BerAKHLAK")</f>
        <v>3258_YULI SUKARSANA  _ SERTIFIKAT BerAKHLAK</v>
      </c>
      <c r="P3259" s="5" t="s">
        <v>22593</v>
      </c>
    </row>
    <row r="3260">
      <c r="A3260" s="4">
        <v>45534.34409675926</v>
      </c>
      <c r="B3260" s="5" t="s">
        <v>34</v>
      </c>
      <c r="D3260" s="5" t="s">
        <v>1206</v>
      </c>
      <c r="E3260" s="5" t="s">
        <v>22599</v>
      </c>
      <c r="F3260" s="5" t="s">
        <v>524</v>
      </c>
      <c r="G3260" s="5" t="s">
        <v>22600</v>
      </c>
      <c r="H3260" s="6" t="s">
        <v>22601</v>
      </c>
      <c r="I3260" s="7" t="s">
        <v>22602</v>
      </c>
      <c r="J3260" s="8" t="str">
        <f>HYPERLINK("https://drive.google.com/file/d/1oW-xcpERB03t89wnz6RFEZnvz3PVoco6/view?usp=drivesdk","WIWIN WINARTI A.Md.,Farm SERTIFIKAT BerAKHLAK")</f>
        <v>WIWIN WINARTI A.Md.,Farm SERTIFIKAT BerAKHLAK</v>
      </c>
      <c r="K3260" s="5" t="s">
        <v>21426</v>
      </c>
      <c r="L3260" s="5" t="s">
        <v>22603</v>
      </c>
      <c r="M3260" s="5" t="s">
        <v>22604</v>
      </c>
      <c r="N3260" s="7" t="s">
        <v>22605</v>
      </c>
      <c r="O3260" s="8" t="str">
        <f>HYPERLINK("https://drive.google.com/file/d/1JTa2QR6LeHcKr_Ve0FkaNZrp_u2k0JiP/view?usp=drivesdk","3259_WIWIN WINARTI A.Md.,Farm _ SERTIFIKAT BerAKHLAK")</f>
        <v>3259_WIWIN WINARTI A.Md.,Farm _ SERTIFIKAT BerAKHLAK</v>
      </c>
      <c r="P3260" s="5" t="s">
        <v>22593</v>
      </c>
    </row>
    <row r="3261">
      <c r="A3261" s="4">
        <v>45534.344107233796</v>
      </c>
      <c r="B3261" s="5" t="s">
        <v>34</v>
      </c>
      <c r="D3261" s="5" t="s">
        <v>1206</v>
      </c>
      <c r="E3261" s="5" t="s">
        <v>22606</v>
      </c>
      <c r="F3261" s="5" t="s">
        <v>212</v>
      </c>
      <c r="G3261" s="5" t="s">
        <v>22607</v>
      </c>
      <c r="H3261" s="6" t="s">
        <v>22608</v>
      </c>
      <c r="I3261" s="7" t="s">
        <v>22609</v>
      </c>
      <c r="J3261" s="8" t="str">
        <f>HYPERLINK("https://drive.google.com/file/d/14KBiZJK8eogJ2qOwWDwGJAiwUtpjaPCs/view?usp=drivesdk","JUJUK IKA WINDARTI, S.Pd. SERTIFIKAT BerAKHLAK")</f>
        <v>JUJUK IKA WINDARTI, S.Pd. SERTIFIKAT BerAKHLAK</v>
      </c>
      <c r="K3261" s="5" t="s">
        <v>22551</v>
      </c>
      <c r="L3261" s="5" t="s">
        <v>22610</v>
      </c>
      <c r="M3261" s="5" t="s">
        <v>22611</v>
      </c>
      <c r="N3261" s="7" t="s">
        <v>22612</v>
      </c>
      <c r="O3261" s="8" t="str">
        <f>HYPERLINK("https://drive.google.com/file/d/1qV5bIFLqYGDj6NcAB7mLuUNxEknzliar/view?usp=drivesdk","3260_JUJUK IKA WINDARTI, S.Pd. _ SERTIFIKAT BerAKHLAK")</f>
        <v>3260_JUJUK IKA WINDARTI, S.Pd. _ SERTIFIKAT BerAKHLAK</v>
      </c>
      <c r="P3261" s="5" t="s">
        <v>22613</v>
      </c>
    </row>
    <row r="3262">
      <c r="A3262" s="4">
        <v>45534.344110659724</v>
      </c>
      <c r="B3262" s="5" t="s">
        <v>34</v>
      </c>
      <c r="D3262" s="5" t="s">
        <v>280</v>
      </c>
      <c r="E3262" s="5" t="s">
        <v>22614</v>
      </c>
      <c r="F3262" s="5" t="s">
        <v>212</v>
      </c>
      <c r="G3262" s="5" t="s">
        <v>22615</v>
      </c>
      <c r="H3262" s="6" t="s">
        <v>22616</v>
      </c>
      <c r="K3262" s="5" t="s">
        <v>22617</v>
      </c>
      <c r="M3262" s="5" t="s">
        <v>22618</v>
      </c>
      <c r="N3262" s="7" t="s">
        <v>22619</v>
      </c>
      <c r="O3262" s="8" t="str">
        <f>HYPERLINK("https://drive.google.com/file/d/1_9kI0dw7VpUePLkqIqE-k13E2j8jKUwf/view?usp=drivesdk","3261_NURAISYAH _ SERTIFIKAT BerAKHLAK")</f>
        <v>3261_NURAISYAH _ SERTIFIKAT BerAKHLAK</v>
      </c>
      <c r="P3262" s="5" t="s">
        <v>22613</v>
      </c>
    </row>
    <row r="3263">
      <c r="A3263" s="4">
        <v>45534.34411107639</v>
      </c>
      <c r="B3263" s="5" t="s">
        <v>34</v>
      </c>
      <c r="D3263" s="5" t="s">
        <v>9394</v>
      </c>
      <c r="E3263" s="5" t="s">
        <v>22620</v>
      </c>
      <c r="F3263" s="5" t="s">
        <v>37</v>
      </c>
      <c r="G3263" s="5" t="s">
        <v>22621</v>
      </c>
      <c r="H3263" s="6" t="s">
        <v>22622</v>
      </c>
      <c r="K3263" s="5" t="s">
        <v>22617</v>
      </c>
      <c r="M3263" s="5" t="s">
        <v>22623</v>
      </c>
      <c r="N3263" s="7" t="s">
        <v>22624</v>
      </c>
      <c r="O3263" s="8" t="str">
        <f>HYPERLINK("https://drive.google.com/file/d/1km2YFrJHqBEk6SW4I-NzabYxPcq4NYo_/view?usp=drivesdk","3262_JASMIATI, S.A.P _ SERTIFIKAT BerAKHLAK")</f>
        <v>3262_JASMIATI, S.A.P _ SERTIFIKAT BerAKHLAK</v>
      </c>
      <c r="P3263" s="5" t="s">
        <v>22625</v>
      </c>
    </row>
    <row r="3264">
      <c r="A3264" s="4">
        <v>45534.34411153935</v>
      </c>
      <c r="B3264" s="5" t="s">
        <v>34</v>
      </c>
      <c r="D3264" s="5" t="s">
        <v>1206</v>
      </c>
      <c r="E3264" s="5" t="s">
        <v>22626</v>
      </c>
      <c r="F3264" s="5" t="s">
        <v>328</v>
      </c>
      <c r="G3264" s="5" t="s">
        <v>22627</v>
      </c>
      <c r="H3264" s="6" t="s">
        <v>22628</v>
      </c>
      <c r="K3264" s="5" t="s">
        <v>22617</v>
      </c>
      <c r="M3264" s="5" t="s">
        <v>22629</v>
      </c>
      <c r="N3264" s="7" t="s">
        <v>22630</v>
      </c>
      <c r="O3264" s="8" t="str">
        <f>HYPERLINK("https://drive.google.com/file/d/1cRViM8-fRaqlAv33sO7floHhAgkr8yhq/view?usp=drivesdk","3263_JAMIN  JAMIN _ SERTIFIKAT BerAKHLAK")</f>
        <v>3263_JAMIN  JAMIN _ SERTIFIKAT BerAKHLAK</v>
      </c>
      <c r="P3264" s="5" t="s">
        <v>22613</v>
      </c>
    </row>
    <row r="3265">
      <c r="A3265" s="4">
        <v>45534.344115925924</v>
      </c>
      <c r="B3265" s="5" t="s">
        <v>34</v>
      </c>
      <c r="D3265" s="5" t="s">
        <v>1206</v>
      </c>
      <c r="E3265" s="5" t="s">
        <v>22631</v>
      </c>
      <c r="F3265" s="5" t="s">
        <v>199</v>
      </c>
      <c r="G3265" s="5" t="s">
        <v>22632</v>
      </c>
      <c r="H3265" s="6" t="s">
        <v>22633</v>
      </c>
      <c r="K3265" s="5" t="s">
        <v>22617</v>
      </c>
      <c r="M3265" s="5" t="s">
        <v>22634</v>
      </c>
      <c r="N3265" s="7" t="s">
        <v>22635</v>
      </c>
      <c r="O3265" s="8" t="str">
        <f>HYPERLINK("https://drive.google.com/file/d/1HczF2qaHYaXuO2PlNpSF0osjSuZm4_6n/view?usp=drivesdk","3264_MARSONO _ SERTIFIKAT BerAKHLAK")</f>
        <v>3264_MARSONO _ SERTIFIKAT BerAKHLAK</v>
      </c>
      <c r="P3265" s="5" t="s">
        <v>22636</v>
      </c>
    </row>
    <row r="3266" hidden="1">
      <c r="A3266" s="4">
        <v>45534.344132199076</v>
      </c>
      <c r="B3266" s="5" t="s">
        <v>19</v>
      </c>
      <c r="C3266" s="5" t="s">
        <v>292</v>
      </c>
      <c r="E3266" s="5" t="s">
        <v>22637</v>
      </c>
      <c r="F3266" s="5" t="s">
        <v>212</v>
      </c>
      <c r="G3266" s="5" t="s">
        <v>22638</v>
      </c>
      <c r="H3266" s="6" t="s">
        <v>22639</v>
      </c>
      <c r="I3266" s="7" t="s">
        <v>22640</v>
      </c>
      <c r="J3266" s="8" t="str">
        <f>HYPERLINK("https://drive.google.com/file/d/1JqkRNyqDT8qMPwIzS6qCrUfXqo0x_r_d/view?usp=drivesdk","SUHERDI SERTIFIKAT BerAKHLAK")</f>
        <v>SUHERDI SERTIFIKAT BerAKHLAK</v>
      </c>
      <c r="K3266" s="5" t="s">
        <v>21426</v>
      </c>
      <c r="L3266" s="5" t="s">
        <v>22641</v>
      </c>
      <c r="M3266" s="5" t="s">
        <v>22642</v>
      </c>
      <c r="N3266" s="7" t="s">
        <v>22643</v>
      </c>
      <c r="O3266" s="8" t="str">
        <f>HYPERLINK("https://drive.google.com/file/d/1xL2d0qfghmCTRJfJpvLIUhfZiKcEocTW/view?usp=drivesdk","3265_SUHERDI _ SERTIFIKAT BerAKHLAK")</f>
        <v>3265_SUHERDI _ SERTIFIKAT BerAKHLAK</v>
      </c>
      <c r="P3266" s="5" t="s">
        <v>22636</v>
      </c>
    </row>
    <row r="3267">
      <c r="A3267" s="4">
        <v>45534.34413979166</v>
      </c>
      <c r="B3267" s="5" t="s">
        <v>34</v>
      </c>
      <c r="D3267" s="5" t="s">
        <v>1206</v>
      </c>
      <c r="E3267" s="5" t="s">
        <v>22644</v>
      </c>
      <c r="F3267" s="5" t="s">
        <v>212</v>
      </c>
      <c r="G3267" s="5" t="s">
        <v>22645</v>
      </c>
      <c r="H3267" s="6" t="s">
        <v>22646</v>
      </c>
      <c r="I3267" s="7" t="s">
        <v>22647</v>
      </c>
      <c r="J3267" s="8" t="str">
        <f>HYPERLINK("https://drive.google.com/file/d/13LumqHxsTnywaFuDwt9lmJGcJFFfdCtb/view?usp=drivesdk","EDY WING SETIAWAN S.PUTRA SERTIFIKAT BerAKHLAK")</f>
        <v>EDY WING SETIAWAN S.PUTRA SERTIFIKAT BerAKHLAK</v>
      </c>
      <c r="K3267" s="5" t="s">
        <v>22551</v>
      </c>
      <c r="L3267" s="5" t="s">
        <v>22648</v>
      </c>
      <c r="M3267" s="5" t="s">
        <v>22649</v>
      </c>
      <c r="N3267" s="7" t="s">
        <v>22650</v>
      </c>
      <c r="O3267" s="8" t="str">
        <f>HYPERLINK("https://drive.google.com/file/d/1SQ23je0Z3RXIVPrt1Kygku7Xiix9_9Lt/view?usp=drivesdk","3266_EDY WING SETIAWAN S.PUTRA _ SERTIFIKAT BerAKHLAK")</f>
        <v>3266_EDY WING SETIAWAN S.PUTRA _ SERTIFIKAT BerAKHLAK</v>
      </c>
      <c r="P3267" s="5" t="s">
        <v>22636</v>
      </c>
    </row>
    <row r="3268">
      <c r="A3268" s="4">
        <v>45534.344141967595</v>
      </c>
      <c r="B3268" s="5" t="s">
        <v>34</v>
      </c>
      <c r="D3268" s="5" t="s">
        <v>1558</v>
      </c>
      <c r="E3268" s="5" t="s">
        <v>22651</v>
      </c>
      <c r="F3268" s="5" t="s">
        <v>375</v>
      </c>
      <c r="G3268" s="5" t="s">
        <v>22652</v>
      </c>
      <c r="H3268" s="6" t="s">
        <v>22653</v>
      </c>
      <c r="I3268" s="7" t="s">
        <v>22654</v>
      </c>
      <c r="J3268" s="8" t="str">
        <f>HYPERLINK("https://drive.google.com/file/d/19z_T7TvLUwSSSj4jpTNy_yzqiRCAcYF1/view?usp=drivesdk","DAYAT, S.AG SERTIFIKAT BerAKHLAK")</f>
        <v>DAYAT, S.AG SERTIFIKAT BerAKHLAK</v>
      </c>
      <c r="K3268" s="5" t="s">
        <v>22551</v>
      </c>
      <c r="L3268" s="5" t="s">
        <v>22655</v>
      </c>
      <c r="M3268" s="5" t="s">
        <v>22656</v>
      </c>
      <c r="N3268" s="7" t="s">
        <v>22657</v>
      </c>
      <c r="O3268" s="8" t="str">
        <f>HYPERLINK("https://drive.google.com/file/d/1AtVaAkCtv17vdbw8QSL28F5MNGy18ZYt/view?usp=drivesdk","3267_DAYAT, S.AG _ SERTIFIKAT BerAKHLAK")</f>
        <v>3267_DAYAT, S.AG _ SERTIFIKAT BerAKHLAK</v>
      </c>
      <c r="P3268" s="5" t="s">
        <v>22658</v>
      </c>
    </row>
    <row r="3269">
      <c r="A3269" s="4">
        <v>45534.34414594907</v>
      </c>
      <c r="B3269" s="5" t="s">
        <v>34</v>
      </c>
      <c r="D3269" s="5" t="s">
        <v>701</v>
      </c>
      <c r="E3269" s="5" t="s">
        <v>22659</v>
      </c>
      <c r="F3269" s="5" t="s">
        <v>37</v>
      </c>
      <c r="G3269" s="5" t="s">
        <v>22660</v>
      </c>
      <c r="H3269" s="6" t="s">
        <v>22661</v>
      </c>
      <c r="I3269" s="7" t="s">
        <v>22662</v>
      </c>
      <c r="J3269" s="8" t="str">
        <f>HYPERLINK("https://drive.google.com/file/d/1F_inWuOxmJ2kVM4ZRrRkYyyP-E-_oOlS/view?usp=drivesdk","DIO OCTA CHANDRA, A.Md.Kep SERTIFIKAT BerAKHLAK")</f>
        <v>DIO OCTA CHANDRA, A.Md.Kep SERTIFIKAT BerAKHLAK</v>
      </c>
      <c r="K3269" s="5" t="s">
        <v>22551</v>
      </c>
      <c r="L3269" s="5" t="s">
        <v>22663</v>
      </c>
      <c r="M3269" s="5" t="s">
        <v>22664</v>
      </c>
      <c r="N3269" s="7" t="s">
        <v>22665</v>
      </c>
      <c r="O3269" s="8" t="str">
        <f>HYPERLINK("https://drive.google.com/file/d/1jb83MPAzbH23ik3X-rGpdoz6uqVARd_D/view?usp=drivesdk","3268_DIO OCTA CHANDRA, A.Md.Kep _ SERTIFIKAT BerAKHLAK")</f>
        <v>3268_DIO OCTA CHANDRA, A.Md.Kep _ SERTIFIKAT BerAKHLAK</v>
      </c>
      <c r="P3269" s="5" t="s">
        <v>22658</v>
      </c>
    </row>
    <row r="3270">
      <c r="A3270" s="4">
        <v>45534.34415729166</v>
      </c>
      <c r="B3270" s="5" t="s">
        <v>34</v>
      </c>
      <c r="D3270" s="5" t="s">
        <v>9020</v>
      </c>
      <c r="E3270" s="5" t="s">
        <v>22666</v>
      </c>
      <c r="F3270" s="5" t="s">
        <v>37</v>
      </c>
      <c r="G3270" s="5" t="s">
        <v>22667</v>
      </c>
      <c r="H3270" s="6" t="s">
        <v>22668</v>
      </c>
      <c r="K3270" s="5" t="s">
        <v>22669</v>
      </c>
      <c r="M3270" s="5" t="s">
        <v>22670</v>
      </c>
      <c r="N3270" s="7" t="s">
        <v>22671</v>
      </c>
      <c r="O3270" s="8" t="str">
        <f>HYPERLINK("https://drive.google.com/file/d/1-XMNOTRURC1JBYfvmSckZaOQGZql5QS5/view?usp=drivesdk","3269_YAYUK WARASTUTI, S.M. _ SERTIFIKAT BerAKHLAK")</f>
        <v>3269_YAYUK WARASTUTI, S.M. _ SERTIFIKAT BerAKHLAK</v>
      </c>
      <c r="P3270" s="5" t="s">
        <v>22658</v>
      </c>
    </row>
    <row r="3271">
      <c r="A3271" s="4">
        <v>45534.34415737269</v>
      </c>
      <c r="B3271" s="5" t="s">
        <v>34</v>
      </c>
      <c r="D3271" s="5" t="s">
        <v>1206</v>
      </c>
      <c r="E3271" s="5" t="s">
        <v>22672</v>
      </c>
      <c r="F3271" s="5" t="s">
        <v>37</v>
      </c>
      <c r="G3271" s="5" t="s">
        <v>22673</v>
      </c>
      <c r="H3271" s="6" t="s">
        <v>22674</v>
      </c>
      <c r="K3271" s="5" t="s">
        <v>22669</v>
      </c>
      <c r="M3271" s="5" t="s">
        <v>22675</v>
      </c>
      <c r="N3271" s="7" t="s">
        <v>22676</v>
      </c>
      <c r="O3271" s="8" t="str">
        <f>HYPERLINK("https://drive.google.com/file/d/17mvPEKPDyvbQEQlyyOtTHqmMTZ5VvWHj/view?usp=drivesdk","3270_ERLANGGA SUCAHYO _ SERTIFIKAT BerAKHLAK")</f>
        <v>3270_ERLANGGA SUCAHYO _ SERTIFIKAT BerAKHLAK</v>
      </c>
      <c r="P3271" s="5" t="s">
        <v>22658</v>
      </c>
    </row>
    <row r="3272">
      <c r="A3272" s="4">
        <v>45534.34416332176</v>
      </c>
      <c r="B3272" s="5" t="s">
        <v>34</v>
      </c>
      <c r="D3272" s="5" t="s">
        <v>4775</v>
      </c>
      <c r="E3272" s="5" t="s">
        <v>22677</v>
      </c>
      <c r="F3272" s="5" t="s">
        <v>212</v>
      </c>
      <c r="G3272" s="5" t="s">
        <v>22678</v>
      </c>
      <c r="H3272" s="6" t="s">
        <v>22679</v>
      </c>
      <c r="K3272" s="5" t="s">
        <v>22669</v>
      </c>
      <c r="M3272" s="5" t="s">
        <v>22680</v>
      </c>
      <c r="N3272" s="7" t="s">
        <v>22681</v>
      </c>
      <c r="O3272" s="8" t="str">
        <f>HYPERLINK("https://drive.google.com/file/d/1BEgM9QiLivdT2oPkXDb-bjUTBlLxP5wm/view?usp=drivesdk","3271_SUNARDI _ SERTIFIKAT BerAKHLAK")</f>
        <v>3271_SUNARDI _ SERTIFIKAT BerAKHLAK</v>
      </c>
      <c r="P3272" s="5" t="s">
        <v>22682</v>
      </c>
    </row>
    <row r="3273">
      <c r="A3273" s="4">
        <v>45534.34416476852</v>
      </c>
      <c r="B3273" s="5" t="s">
        <v>34</v>
      </c>
      <c r="D3273" s="5" t="s">
        <v>35</v>
      </c>
      <c r="E3273" s="5" t="s">
        <v>22683</v>
      </c>
      <c r="F3273" s="5" t="s">
        <v>120</v>
      </c>
      <c r="G3273" s="5" t="s">
        <v>22684</v>
      </c>
      <c r="H3273" s="6" t="s">
        <v>22685</v>
      </c>
      <c r="K3273" s="5" t="s">
        <v>22669</v>
      </c>
      <c r="M3273" s="5" t="s">
        <v>22686</v>
      </c>
      <c r="N3273" s="7" t="s">
        <v>22687</v>
      </c>
      <c r="O3273" s="8" t="str">
        <f>HYPERLINK("https://drive.google.com/file/d/1Cm71qKB2AS_fHkhpNsEne2V8XjAW0UvF/view?usp=drivesdk","3272_AGUS NURKHOLIQ, S.Ag., SE., MA. _ SERTIFIKAT BerAKHLAK")</f>
        <v>3272_AGUS NURKHOLIQ, S.Ag., SE., MA. _ SERTIFIKAT BerAKHLAK</v>
      </c>
      <c r="P3273" s="5" t="s">
        <v>22682</v>
      </c>
    </row>
    <row r="3274">
      <c r="A3274" s="4">
        <v>45534.3441729051</v>
      </c>
      <c r="B3274" s="5" t="s">
        <v>34</v>
      </c>
      <c r="D3274" s="5" t="s">
        <v>6232</v>
      </c>
      <c r="E3274" s="5" t="s">
        <v>22688</v>
      </c>
      <c r="F3274" s="5" t="s">
        <v>212</v>
      </c>
      <c r="G3274" s="5" t="s">
        <v>22689</v>
      </c>
      <c r="H3274" s="6" t="s">
        <v>22690</v>
      </c>
      <c r="K3274" s="5" t="s">
        <v>22669</v>
      </c>
      <c r="M3274" s="5" t="s">
        <v>22691</v>
      </c>
      <c r="N3274" s="7" t="s">
        <v>22692</v>
      </c>
      <c r="O3274" s="8" t="str">
        <f>HYPERLINK("https://drive.google.com/file/d/1hRZrBfpThjg6gNKx9bncPtrJI2C7v_He/view?usp=drivesdk","3273_DIAN MARIZA SEPTIANI, Am. Kep _ SERTIFIKAT BerAKHLAK")</f>
        <v>3273_DIAN MARIZA SEPTIANI, Am. Kep _ SERTIFIKAT BerAKHLAK</v>
      </c>
      <c r="P3274" s="5" t="s">
        <v>22682</v>
      </c>
    </row>
    <row r="3275">
      <c r="A3275" s="4">
        <v>45534.34417344908</v>
      </c>
      <c r="B3275" s="5" t="s">
        <v>34</v>
      </c>
      <c r="D3275" s="5" t="s">
        <v>522</v>
      </c>
      <c r="E3275" s="5" t="s">
        <v>22693</v>
      </c>
      <c r="F3275" s="5" t="s">
        <v>108</v>
      </c>
      <c r="G3275" s="5" t="s">
        <v>22694</v>
      </c>
      <c r="H3275" s="6" t="s">
        <v>22695</v>
      </c>
      <c r="K3275" s="5" t="s">
        <v>22669</v>
      </c>
      <c r="M3275" s="5" t="s">
        <v>22696</v>
      </c>
      <c r="N3275" s="7" t="s">
        <v>22697</v>
      </c>
      <c r="O3275" s="8" t="str">
        <f>HYPERLINK("https://drive.google.com/file/d/1Jz5I18-WmwJPcnfXawDLAbY0tk1Q0Vyu/view?usp=drivesdk","3274_LUH MADE KARTHAWATI, S.I.Kom _ SERTIFIKAT BerAKHLAK")</f>
        <v>3274_LUH MADE KARTHAWATI, S.I.Kom _ SERTIFIKAT BerAKHLAK</v>
      </c>
      <c r="P3275" s="5" t="s">
        <v>22682</v>
      </c>
    </row>
    <row r="3276">
      <c r="A3276" s="4">
        <v>45534.34419930556</v>
      </c>
      <c r="B3276" s="5" t="s">
        <v>34</v>
      </c>
      <c r="D3276" s="5" t="s">
        <v>1558</v>
      </c>
      <c r="E3276" s="5" t="s">
        <v>22698</v>
      </c>
      <c r="F3276" s="5" t="s">
        <v>72</v>
      </c>
      <c r="G3276" s="5" t="s">
        <v>22699</v>
      </c>
      <c r="H3276" s="6" t="s">
        <v>22700</v>
      </c>
      <c r="I3276" s="7" t="s">
        <v>22701</v>
      </c>
      <c r="J3276" s="8" t="str">
        <f>HYPERLINK("https://drive.google.com/file/d/1YkGVKFJgYQCfXGYDj77f5Axjr0RtuJhf/view?usp=drivesdk","SRI SEJATI SERTIFIKAT BerAKHLAK")</f>
        <v>SRI SEJATI SERTIFIKAT BerAKHLAK</v>
      </c>
      <c r="K3276" s="5" t="s">
        <v>21426</v>
      </c>
      <c r="L3276" s="5" t="s">
        <v>22702</v>
      </c>
      <c r="M3276" s="5" t="s">
        <v>22703</v>
      </c>
      <c r="N3276" s="7" t="s">
        <v>22704</v>
      </c>
      <c r="O3276" s="8" t="str">
        <f>HYPERLINK("https://drive.google.com/file/d/1sQbBn3oTiKa7R3FJ_K1cJ2hgN8HGSdf3/view?usp=drivesdk","3275_SRI SEJATI _ SERTIFIKAT BerAKHLAK")</f>
        <v>3275_SRI SEJATI _ SERTIFIKAT BerAKHLAK</v>
      </c>
      <c r="P3276" s="5" t="s">
        <v>22682</v>
      </c>
    </row>
    <row r="3277">
      <c r="A3277" s="4">
        <v>45534.34420045139</v>
      </c>
      <c r="B3277" s="5" t="s">
        <v>34</v>
      </c>
      <c r="D3277" s="5" t="s">
        <v>1456</v>
      </c>
      <c r="E3277" s="5" t="s">
        <v>22705</v>
      </c>
      <c r="F3277" s="5" t="s">
        <v>715</v>
      </c>
      <c r="G3277" s="5" t="s">
        <v>22706</v>
      </c>
      <c r="H3277" s="6" t="s">
        <v>22707</v>
      </c>
      <c r="I3277" s="7" t="s">
        <v>22708</v>
      </c>
      <c r="J3277" s="8" t="str">
        <f>HYPERLINK("https://drive.google.com/file/d/16qNr6Qgk2HIzj9xKcgATJsO-Y0fhJO5C/view?usp=drivesdk","SITI HADIJAH, A.MD SERTIFIKAT BerAKHLAK")</f>
        <v>SITI HADIJAH, A.MD SERTIFIKAT BerAKHLAK</v>
      </c>
      <c r="K3277" s="5" t="s">
        <v>22551</v>
      </c>
      <c r="L3277" s="5" t="s">
        <v>22709</v>
      </c>
      <c r="M3277" s="5" t="s">
        <v>22710</v>
      </c>
      <c r="N3277" s="7" t="s">
        <v>22711</v>
      </c>
      <c r="O3277" s="8" t="str">
        <f>HYPERLINK("https://drive.google.com/file/d/11lWBqfKGzQ0Z6KF_e9A3wDdvXsId83hy/view?usp=drivesdk","3276_SITI HADIJAH, A.MD _ SERTIFIKAT BerAKHLAK")</f>
        <v>3276_SITI HADIJAH, A.MD _ SERTIFIKAT BerAKHLAK</v>
      </c>
      <c r="P3277" s="5" t="s">
        <v>22712</v>
      </c>
    </row>
    <row r="3278">
      <c r="A3278" s="4">
        <v>45534.344214212964</v>
      </c>
      <c r="B3278" s="5" t="s">
        <v>34</v>
      </c>
      <c r="D3278" s="5" t="s">
        <v>996</v>
      </c>
      <c r="E3278" s="5" t="s">
        <v>22713</v>
      </c>
      <c r="F3278" s="5" t="s">
        <v>212</v>
      </c>
      <c r="G3278" s="5" t="s">
        <v>22714</v>
      </c>
      <c r="H3278" s="6" t="s">
        <v>22715</v>
      </c>
      <c r="I3278" s="7" t="s">
        <v>22716</v>
      </c>
      <c r="J3278" s="8" t="str">
        <f>HYPERLINK("https://drive.google.com/file/d/1Sv9IJ4EZDgSXiZ54l-ylKDBAvpNgYAno/view?usp=drivesdk","MUHAMMAD JUNI SERTIFIKAT BerAKHLAK")</f>
        <v>MUHAMMAD JUNI SERTIFIKAT BerAKHLAK</v>
      </c>
      <c r="K3278" s="5" t="s">
        <v>22551</v>
      </c>
      <c r="L3278" s="5" t="s">
        <v>22717</v>
      </c>
      <c r="M3278" s="5" t="s">
        <v>22718</v>
      </c>
      <c r="N3278" s="7" t="s">
        <v>22719</v>
      </c>
      <c r="O3278" s="8" t="str">
        <f>HYPERLINK("https://drive.google.com/file/d/1RXSx6gvJQB33EzjtTQrxxLfGG1SllrIW/view?usp=drivesdk","3277_MUHAMMAD JUNI _ SERTIFIKAT BerAKHLAK")</f>
        <v>3277_MUHAMMAD JUNI _ SERTIFIKAT BerAKHLAK</v>
      </c>
      <c r="P3278" s="5" t="s">
        <v>22712</v>
      </c>
    </row>
    <row r="3279">
      <c r="A3279" s="4">
        <v>45534.3442214699</v>
      </c>
      <c r="B3279" s="5" t="s">
        <v>34</v>
      </c>
      <c r="D3279" s="5" t="s">
        <v>1206</v>
      </c>
      <c r="E3279" s="5" t="s">
        <v>22720</v>
      </c>
      <c r="F3279" s="5" t="s">
        <v>37</v>
      </c>
      <c r="G3279" s="5" t="s">
        <v>22721</v>
      </c>
      <c r="H3279" s="6" t="s">
        <v>22722</v>
      </c>
      <c r="I3279" s="7" t="s">
        <v>22723</v>
      </c>
      <c r="J3279" s="8" t="str">
        <f>HYPERLINK("https://drive.google.com/file/d/1b0AE8lXhUIfkaQXcPOBbNX7royapJK_q/view?usp=drivesdk","SUPRIYADI  SERTIFIKAT BerAKHLAK")</f>
        <v>SUPRIYADI  SERTIFIKAT BerAKHLAK</v>
      </c>
      <c r="K3279" s="5" t="s">
        <v>22551</v>
      </c>
      <c r="L3279" s="5" t="s">
        <v>22724</v>
      </c>
      <c r="M3279" s="5" t="s">
        <v>22725</v>
      </c>
      <c r="N3279" s="7" t="s">
        <v>22726</v>
      </c>
      <c r="O3279" s="8" t="str">
        <f>HYPERLINK("https://drive.google.com/file/d/1FW1wYN6fw1ElFYv3pemd5PTj6vo-58Zt/view?usp=drivesdk","3278_SUPRIYADI  _ SERTIFIKAT BerAKHLAK")</f>
        <v>3278_SUPRIYADI  _ SERTIFIKAT BerAKHLAK</v>
      </c>
      <c r="P3279" s="5" t="s">
        <v>22712</v>
      </c>
    </row>
    <row r="3280">
      <c r="A3280" s="4">
        <v>45534.34422315972</v>
      </c>
      <c r="B3280" s="5" t="s">
        <v>34</v>
      </c>
      <c r="D3280" s="5" t="s">
        <v>1456</v>
      </c>
      <c r="E3280" s="5" t="s">
        <v>22727</v>
      </c>
      <c r="F3280" s="5" t="s">
        <v>212</v>
      </c>
      <c r="G3280" s="5" t="s">
        <v>22728</v>
      </c>
      <c r="H3280" s="6" t="s">
        <v>22729</v>
      </c>
      <c r="I3280" s="7" t="s">
        <v>22730</v>
      </c>
      <c r="J3280" s="8" t="str">
        <f>HYPERLINK("https://drive.google.com/file/d/1abDfb4uwtK9RGf4Ex-M01kwXNUvjzxnd/view?usp=drivesdk","EVi YULIANTI SERTIFIKAT BerAKHLAK")</f>
        <v>EVi YULIANTI SERTIFIKAT BerAKHLAK</v>
      </c>
      <c r="K3280" s="5" t="s">
        <v>22551</v>
      </c>
      <c r="L3280" s="5" t="s">
        <v>22731</v>
      </c>
      <c r="M3280" s="5" t="s">
        <v>22732</v>
      </c>
      <c r="N3280" s="7" t="s">
        <v>22733</v>
      </c>
      <c r="O3280" s="8" t="str">
        <f>HYPERLINK("https://drive.google.com/file/d/1Esk0gqqwVnLFvoG5tQ1CTB7_MnBJPTnG/view?usp=drivesdk","3279_EVi YULIANTI _ SERTIFIKAT BerAKHLAK")</f>
        <v>3279_EVi YULIANTI _ SERTIFIKAT BerAKHLAK</v>
      </c>
      <c r="P3280" s="5" t="s">
        <v>22712</v>
      </c>
    </row>
    <row r="3281">
      <c r="A3281" s="4">
        <v>45534.34422460648</v>
      </c>
      <c r="B3281" s="5" t="s">
        <v>34</v>
      </c>
      <c r="D3281" s="5" t="s">
        <v>522</v>
      </c>
      <c r="E3281" s="5" t="s">
        <v>22734</v>
      </c>
      <c r="F3281" s="5" t="s">
        <v>108</v>
      </c>
      <c r="G3281" s="5" t="s">
        <v>22735</v>
      </c>
      <c r="H3281" s="6" t="s">
        <v>22736</v>
      </c>
      <c r="K3281" s="5" t="s">
        <v>22737</v>
      </c>
      <c r="M3281" s="5" t="s">
        <v>22738</v>
      </c>
      <c r="N3281" s="7" t="s">
        <v>22739</v>
      </c>
      <c r="O3281" s="8" t="str">
        <f>HYPERLINK("https://drive.google.com/file/d/10n0Jrk7EN_tvJUe4dzI3csBV52NK9MC3/view?usp=drivesdk","3280_IKE KUSUMA DYAH SETYA HARTATI,A.Md.Kep _ SERTIFIKAT BerAKHLAK")</f>
        <v>3280_IKE KUSUMA DYAH SETYA HARTATI,A.Md.Kep _ SERTIFIKAT BerAKHLAK</v>
      </c>
      <c r="P3281" s="5" t="s">
        <v>22740</v>
      </c>
    </row>
    <row r="3282" hidden="1">
      <c r="A3282" s="4">
        <v>45534.34423096065</v>
      </c>
      <c r="B3282" s="5" t="s">
        <v>19</v>
      </c>
      <c r="C3282" s="5" t="s">
        <v>442</v>
      </c>
      <c r="E3282" s="5" t="s">
        <v>22741</v>
      </c>
      <c r="F3282" s="5" t="s">
        <v>375</v>
      </c>
      <c r="G3282" s="5" t="s">
        <v>22742</v>
      </c>
      <c r="H3282" s="6" t="s">
        <v>22743</v>
      </c>
      <c r="K3282" s="5" t="s">
        <v>22737</v>
      </c>
      <c r="M3282" s="5" t="s">
        <v>22744</v>
      </c>
      <c r="N3282" s="7" t="s">
        <v>22745</v>
      </c>
      <c r="O3282" s="8" t="str">
        <f>HYPERLINK("https://drive.google.com/file/d/1o0dBEg5T-D8vBU8hOBJjITLtxWpX7350/view?usp=drivesdk","3281_SABIQIS  NUR AZiZAH, S.iP _ SERTIFIKAT BerAKHLAK")</f>
        <v>3281_SABIQIS  NUR AZiZAH, S.iP _ SERTIFIKAT BerAKHLAK</v>
      </c>
      <c r="P3282" s="5" t="s">
        <v>22740</v>
      </c>
    </row>
    <row r="3283">
      <c r="A3283" s="4">
        <v>45534.344233553245</v>
      </c>
      <c r="B3283" s="5" t="s">
        <v>34</v>
      </c>
      <c r="D3283" s="5" t="s">
        <v>4775</v>
      </c>
      <c r="E3283" s="5" t="s">
        <v>22746</v>
      </c>
      <c r="F3283" s="5" t="s">
        <v>120</v>
      </c>
      <c r="G3283" s="5" t="s">
        <v>22747</v>
      </c>
      <c r="H3283" s="6" t="s">
        <v>22748</v>
      </c>
      <c r="K3283" s="5" t="s">
        <v>22737</v>
      </c>
      <c r="M3283" s="5" t="s">
        <v>22749</v>
      </c>
      <c r="N3283" s="7" t="s">
        <v>22750</v>
      </c>
      <c r="O3283" s="8" t="str">
        <f>HYPERLINK("https://drive.google.com/file/d/1NGoh0-3kE0JUEo_A6wTpZ4gpfy9yc1iY/view?usp=drivesdk","3282_IIM NITA SURATNI, S.Sos.M.M _ SERTIFIKAT BerAKHLAK")</f>
        <v>3282_IIM NITA SURATNI, S.Sos.M.M _ SERTIFIKAT BerAKHLAK</v>
      </c>
      <c r="P3283" s="5" t="s">
        <v>22740</v>
      </c>
    </row>
    <row r="3284">
      <c r="A3284" s="4">
        <v>45534.34424752315</v>
      </c>
      <c r="B3284" s="5" t="s">
        <v>34</v>
      </c>
      <c r="D3284" s="5" t="s">
        <v>6232</v>
      </c>
      <c r="E3284" s="5" t="s">
        <v>22751</v>
      </c>
      <c r="F3284" s="5" t="s">
        <v>120</v>
      </c>
      <c r="G3284" s="5" t="s">
        <v>22752</v>
      </c>
      <c r="H3284" s="6" t="s">
        <v>22753</v>
      </c>
      <c r="K3284" s="5" t="s">
        <v>22737</v>
      </c>
      <c r="M3284" s="5" t="s">
        <v>22754</v>
      </c>
      <c r="N3284" s="7" t="s">
        <v>22755</v>
      </c>
      <c r="O3284" s="8" t="str">
        <f>HYPERLINK("https://drive.google.com/file/d/1FjzybDZpSnQDFVdj9XRogEqNVTd9HnUH/view?usp=drivesdk","3283_TETY MARTALENA, SKM  _ SERTIFIKAT BerAKHLAK")</f>
        <v>3283_TETY MARTALENA, SKM  _ SERTIFIKAT BerAKHLAK</v>
      </c>
      <c r="P3284" s="5" t="s">
        <v>22756</v>
      </c>
    </row>
    <row r="3285">
      <c r="A3285" s="4">
        <v>45534.344268125</v>
      </c>
      <c r="B3285" s="5" t="s">
        <v>34</v>
      </c>
      <c r="D3285" s="5" t="s">
        <v>4775</v>
      </c>
      <c r="E3285" s="5" t="s">
        <v>22757</v>
      </c>
      <c r="F3285" s="5" t="s">
        <v>37</v>
      </c>
      <c r="G3285" s="5" t="s">
        <v>22758</v>
      </c>
      <c r="H3285" s="6" t="s">
        <v>22759</v>
      </c>
      <c r="I3285" s="7" t="s">
        <v>22760</v>
      </c>
      <c r="J3285" s="8" t="str">
        <f>HYPERLINK("https://drive.google.com/file/d/1TIqNQtsstuPCKNlFB-e5QXUPGdWNbB0D/view?usp=drivesdk","JARWONO SERTIFIKAT BerAKHLAK")</f>
        <v>JARWONO SERTIFIKAT BerAKHLAK</v>
      </c>
      <c r="K3285" s="5" t="s">
        <v>22551</v>
      </c>
      <c r="L3285" s="5" t="s">
        <v>22761</v>
      </c>
      <c r="M3285" s="5" t="s">
        <v>22762</v>
      </c>
      <c r="N3285" s="7" t="s">
        <v>22763</v>
      </c>
      <c r="O3285" s="8" t="str">
        <f>HYPERLINK("https://drive.google.com/file/d/13kWAr08qDnDJFt2Ldsd3Gump9SM3eKza/view?usp=drivesdk","3284_JARWONO _ SERTIFIKAT BerAKHLAK")</f>
        <v>3284_JARWONO _ SERTIFIKAT BerAKHLAK</v>
      </c>
      <c r="P3285" s="5" t="s">
        <v>22756</v>
      </c>
    </row>
    <row r="3286">
      <c r="A3286" s="4">
        <v>45534.34427074074</v>
      </c>
      <c r="B3286" s="5" t="s">
        <v>34</v>
      </c>
      <c r="D3286" s="5" t="s">
        <v>1206</v>
      </c>
      <c r="E3286" s="5" t="s">
        <v>22764</v>
      </c>
      <c r="F3286" s="5" t="s">
        <v>524</v>
      </c>
      <c r="G3286" s="5" t="s">
        <v>22765</v>
      </c>
      <c r="H3286" s="6" t="s">
        <v>22766</v>
      </c>
      <c r="I3286" s="7" t="s">
        <v>22767</v>
      </c>
      <c r="J3286" s="8" t="str">
        <f>HYPERLINK("https://drive.google.com/file/d/1m_2K7t5RJAEkmX1M47NWWvlTOSPXgQbr/view?usp=drivesdk","SUPIYATI,Amd,Kes,Gi SERTIFIKAT BerAKHLAK")</f>
        <v>SUPIYATI,Amd,Kes,Gi SERTIFIKAT BerAKHLAK</v>
      </c>
      <c r="K3286" s="5" t="s">
        <v>22551</v>
      </c>
      <c r="L3286" s="5" t="s">
        <v>22768</v>
      </c>
      <c r="M3286" s="5" t="s">
        <v>22769</v>
      </c>
      <c r="N3286" s="7" t="s">
        <v>22770</v>
      </c>
      <c r="O3286" s="8" t="str">
        <f>HYPERLINK("https://drive.google.com/file/d/1VUlB5INPIopqtCcwvnaycajhMcJ2EBjV/view?usp=drivesdk","3285_SUPIYATI,Amd,Kes,Gi _ SERTIFIKAT BerAKHLAK")</f>
        <v>3285_SUPIYATI,Amd,Kes,Gi _ SERTIFIKAT BerAKHLAK</v>
      </c>
      <c r="P3286" s="5" t="s">
        <v>22771</v>
      </c>
    </row>
    <row r="3287">
      <c r="A3287" s="4">
        <v>45534.34427736111</v>
      </c>
      <c r="B3287" s="5" t="s">
        <v>34</v>
      </c>
      <c r="D3287" s="5" t="s">
        <v>35</v>
      </c>
      <c r="E3287" s="5" t="s">
        <v>22772</v>
      </c>
      <c r="F3287" s="5" t="s">
        <v>37</v>
      </c>
      <c r="G3287" s="5" t="s">
        <v>22773</v>
      </c>
      <c r="H3287" s="6" t="s">
        <v>22774</v>
      </c>
      <c r="K3287" s="5" t="s">
        <v>22775</v>
      </c>
      <c r="M3287" s="5" t="s">
        <v>22776</v>
      </c>
      <c r="N3287" s="7" t="s">
        <v>22777</v>
      </c>
      <c r="O3287" s="8" t="str">
        <f>HYPERLINK("https://drive.google.com/file/d/1EJeFt6GW-W2fe7WG94XT-_VdfDKB0L17/view?usp=drivesdk","3286_TEDY KURNIADY _ SERTIFIKAT BerAKHLAK")</f>
        <v>3286_TEDY KURNIADY _ SERTIFIKAT BerAKHLAK</v>
      </c>
      <c r="P3287" s="5" t="s">
        <v>22771</v>
      </c>
    </row>
    <row r="3288">
      <c r="A3288" s="4">
        <v>45534.34428065972</v>
      </c>
      <c r="B3288" s="5" t="s">
        <v>34</v>
      </c>
      <c r="D3288" s="5" t="s">
        <v>6232</v>
      </c>
      <c r="E3288" s="5" t="s">
        <v>22778</v>
      </c>
      <c r="F3288" s="5" t="s">
        <v>524</v>
      </c>
      <c r="G3288" s="5" t="s">
        <v>22779</v>
      </c>
      <c r="H3288" s="6" t="s">
        <v>22780</v>
      </c>
      <c r="K3288" s="5" t="s">
        <v>22775</v>
      </c>
      <c r="M3288" s="5" t="s">
        <v>22781</v>
      </c>
      <c r="N3288" s="7" t="s">
        <v>22782</v>
      </c>
      <c r="O3288" s="8" t="str">
        <f>HYPERLINK("https://drive.google.com/file/d/1aXRYSYPkUGXZDHR5zgYvWQ8R169TvnlQ/view?usp=drivesdk","3287_MEYI RISNAWATI _ SERTIFIKAT BerAKHLAK")</f>
        <v>3287_MEYI RISNAWATI _ SERTIFIKAT BerAKHLAK</v>
      </c>
      <c r="P3288" s="5" t="s">
        <v>22771</v>
      </c>
    </row>
    <row r="3289">
      <c r="A3289" s="4">
        <v>45534.34428824074</v>
      </c>
      <c r="B3289" s="5" t="s">
        <v>34</v>
      </c>
      <c r="D3289" s="5" t="s">
        <v>1206</v>
      </c>
      <c r="E3289" s="5" t="s">
        <v>22783</v>
      </c>
      <c r="F3289" s="5" t="s">
        <v>212</v>
      </c>
      <c r="G3289" s="5" t="s">
        <v>22784</v>
      </c>
      <c r="H3289" s="6" t="s">
        <v>22785</v>
      </c>
      <c r="K3289" s="5" t="s">
        <v>22775</v>
      </c>
      <c r="M3289" s="5" t="s">
        <v>22786</v>
      </c>
      <c r="N3289" s="7" t="s">
        <v>22787</v>
      </c>
      <c r="O3289" s="8" t="str">
        <f>HYPERLINK("https://drive.google.com/file/d/1CQtArmzJ7pwpwHIslOszCYe7RAdGfGGn/view?usp=drivesdk","3288_ISMUNANTO  _ SERTIFIKAT BerAKHLAK")</f>
        <v>3288_ISMUNANTO  _ SERTIFIKAT BerAKHLAK</v>
      </c>
      <c r="P3289" s="5" t="s">
        <v>22771</v>
      </c>
    </row>
    <row r="3290">
      <c r="A3290" s="4">
        <v>45534.34431237269</v>
      </c>
      <c r="B3290" s="5" t="s">
        <v>34</v>
      </c>
      <c r="D3290" s="5" t="s">
        <v>4775</v>
      </c>
      <c r="E3290" s="5" t="s">
        <v>22788</v>
      </c>
      <c r="F3290" s="5" t="s">
        <v>37</v>
      </c>
      <c r="G3290" s="5" t="s">
        <v>22789</v>
      </c>
      <c r="H3290" s="6" t="s">
        <v>22790</v>
      </c>
      <c r="I3290" s="7" t="s">
        <v>22791</v>
      </c>
      <c r="J3290" s="8" t="str">
        <f>HYPERLINK("https://drive.google.com/file/d/1dknBJNvwtPUlHQ35fKtsCQrIzrty0lSS/view?usp=drivesdk","EDI SUPRIYADI SERTIFIKAT BerAKHLAK")</f>
        <v>EDI SUPRIYADI SERTIFIKAT BerAKHLAK</v>
      </c>
      <c r="K3290" s="5" t="s">
        <v>22551</v>
      </c>
      <c r="L3290" s="5" t="s">
        <v>22792</v>
      </c>
      <c r="M3290" s="5" t="s">
        <v>22793</v>
      </c>
      <c r="N3290" s="7" t="s">
        <v>22794</v>
      </c>
      <c r="O3290" s="8" t="str">
        <f>HYPERLINK("https://drive.google.com/file/d/1DO1F5P-lYHCRpOziurHYEoSMhDc61vdH/view?usp=drivesdk","3289_EDI SUPRIYADI _ SERTIFIKAT BerAKHLAK")</f>
        <v>3289_EDI SUPRIYADI _ SERTIFIKAT BerAKHLAK</v>
      </c>
      <c r="P3290" s="5" t="s">
        <v>22795</v>
      </c>
    </row>
    <row r="3291">
      <c r="A3291" s="4">
        <v>45534.344312615736</v>
      </c>
      <c r="B3291" s="5" t="s">
        <v>34</v>
      </c>
      <c r="D3291" s="5" t="s">
        <v>1206</v>
      </c>
      <c r="E3291" s="5" t="s">
        <v>22796</v>
      </c>
      <c r="F3291" s="5" t="s">
        <v>37</v>
      </c>
      <c r="G3291" s="5" t="s">
        <v>22797</v>
      </c>
      <c r="H3291" s="6" t="s">
        <v>22798</v>
      </c>
      <c r="I3291" s="7" t="s">
        <v>22799</v>
      </c>
      <c r="J3291" s="8" t="str">
        <f>HYPERLINK("https://drive.google.com/file/d/1Fj39NT68MG3HzXoUWiNu7WmZwlpJgaeV/view?usp=drivesdk","DHANY TYAS DEWI PUTRI SERTIFIKAT BerAKHLAK")</f>
        <v>DHANY TYAS DEWI PUTRI SERTIFIKAT BerAKHLAK</v>
      </c>
      <c r="K3291" s="5" t="s">
        <v>22551</v>
      </c>
      <c r="L3291" s="5" t="s">
        <v>22800</v>
      </c>
      <c r="M3291" s="5" t="s">
        <v>22801</v>
      </c>
      <c r="N3291" s="7" t="s">
        <v>22802</v>
      </c>
      <c r="O3291" s="8" t="str">
        <f>HYPERLINK("https://drive.google.com/file/d/1N-axHYyZ45jgFu9n-jM0A3SEqVBOSvCC/view?usp=drivesdk","3290_DHANY TYAS DEWI PUTRI _ SERTIFIKAT BerAKHLAK")</f>
        <v>3290_DHANY TYAS DEWI PUTRI _ SERTIFIKAT BerAKHLAK</v>
      </c>
      <c r="P3291" s="5" t="s">
        <v>22795</v>
      </c>
    </row>
    <row r="3292">
      <c r="A3292" s="4">
        <v>45534.34431435185</v>
      </c>
      <c r="B3292" s="5" t="s">
        <v>34</v>
      </c>
      <c r="D3292" s="5" t="s">
        <v>1206</v>
      </c>
      <c r="E3292" s="5" t="s">
        <v>22803</v>
      </c>
      <c r="F3292" s="5" t="s">
        <v>212</v>
      </c>
      <c r="G3292" s="5" t="s">
        <v>22804</v>
      </c>
      <c r="H3292" s="6" t="s">
        <v>22805</v>
      </c>
      <c r="K3292" s="5" t="s">
        <v>22806</v>
      </c>
      <c r="M3292" s="5" t="s">
        <v>22807</v>
      </c>
      <c r="N3292" s="7" t="s">
        <v>22808</v>
      </c>
      <c r="O3292" s="8" t="str">
        <f>HYPERLINK("https://drive.google.com/file/d/1BE1xVCWwBBoiVlper4laDdVE1qamTo7_/view?usp=drivesdk","3291_YHULISTIS  _ SERTIFIKAT BerAKHLAK")</f>
        <v>3291_YHULISTIS  _ SERTIFIKAT BerAKHLAK</v>
      </c>
      <c r="P3292" s="5" t="s">
        <v>22795</v>
      </c>
    </row>
    <row r="3293">
      <c r="A3293" s="4">
        <v>45534.34432010417</v>
      </c>
      <c r="B3293" s="5" t="s">
        <v>34</v>
      </c>
      <c r="D3293" s="5" t="s">
        <v>11527</v>
      </c>
      <c r="E3293" s="5" t="s">
        <v>22809</v>
      </c>
      <c r="F3293" s="5" t="s">
        <v>37</v>
      </c>
      <c r="G3293" s="5" t="s">
        <v>22810</v>
      </c>
      <c r="H3293" s="6" t="s">
        <v>22811</v>
      </c>
      <c r="K3293" s="5" t="s">
        <v>22806</v>
      </c>
      <c r="M3293" s="5" t="s">
        <v>22812</v>
      </c>
      <c r="N3293" s="7" t="s">
        <v>22813</v>
      </c>
      <c r="O3293" s="8" t="str">
        <f>HYPERLINK("https://drive.google.com/file/d/1KYym8TQSXm15Kmm3opBjsHAAgbsWcICV/view?usp=drivesdk","3292_ESTHER OCTAVIA PELEALU _ SERTIFIKAT BerAKHLAK")</f>
        <v>3292_ESTHER OCTAVIA PELEALU _ SERTIFIKAT BerAKHLAK</v>
      </c>
      <c r="P3293" s="5" t="s">
        <v>22795</v>
      </c>
    </row>
    <row r="3294">
      <c r="A3294" s="4">
        <v>45534.34432769676</v>
      </c>
      <c r="B3294" s="5" t="s">
        <v>34</v>
      </c>
      <c r="D3294" s="5" t="s">
        <v>9020</v>
      </c>
      <c r="E3294" s="5" t="s">
        <v>22814</v>
      </c>
      <c r="F3294" s="5" t="s">
        <v>212</v>
      </c>
      <c r="G3294" s="5" t="s">
        <v>22815</v>
      </c>
      <c r="H3294" s="6" t="s">
        <v>22816</v>
      </c>
      <c r="K3294" s="5" t="s">
        <v>22806</v>
      </c>
      <c r="M3294" s="5" t="s">
        <v>22817</v>
      </c>
      <c r="N3294" s="7" t="s">
        <v>22818</v>
      </c>
      <c r="O3294" s="8" t="str">
        <f>HYPERLINK("https://drive.google.com/file/d/1SuQMl_PaDXKpEQA9mAqTenUhbPNCagNr/view?usp=drivesdk","3293_RUDI MASMUR KABAN _ SERTIFIKAT BerAKHLAK")</f>
        <v>3293_RUDI MASMUR KABAN _ SERTIFIKAT BerAKHLAK</v>
      </c>
      <c r="P3294" s="5" t="s">
        <v>22819</v>
      </c>
    </row>
    <row r="3295">
      <c r="A3295" s="4">
        <v>45534.34432805555</v>
      </c>
      <c r="B3295" s="5" t="s">
        <v>34</v>
      </c>
      <c r="D3295" s="5" t="s">
        <v>1206</v>
      </c>
      <c r="E3295" s="5" t="s">
        <v>22820</v>
      </c>
      <c r="F3295" s="5" t="s">
        <v>108</v>
      </c>
      <c r="G3295" s="5" t="s">
        <v>22821</v>
      </c>
      <c r="H3295" s="6" t="s">
        <v>22822</v>
      </c>
      <c r="K3295" s="5" t="s">
        <v>22806</v>
      </c>
      <c r="M3295" s="5" t="s">
        <v>22823</v>
      </c>
      <c r="N3295" s="7" t="s">
        <v>22824</v>
      </c>
      <c r="O3295" s="8" t="str">
        <f>HYPERLINK("https://drive.google.com/file/d/1AvjDv9MPr0C_VeF-5MeZDeIG0PiEy9ri/view?usp=drivesdk","3294_LULUK CHOLIFAH, S.E., M.M. _ SERTIFIKAT BerAKHLAK")</f>
        <v>3294_LULUK CHOLIFAH, S.E., M.M. _ SERTIFIKAT BerAKHLAK</v>
      </c>
      <c r="P3295" s="5" t="s">
        <v>22819</v>
      </c>
    </row>
    <row r="3296">
      <c r="A3296" s="4">
        <v>45534.34433953704</v>
      </c>
      <c r="B3296" s="5" t="s">
        <v>34</v>
      </c>
      <c r="D3296" s="5" t="s">
        <v>1206</v>
      </c>
      <c r="E3296" s="5" t="s">
        <v>22825</v>
      </c>
      <c r="F3296" s="5" t="s">
        <v>212</v>
      </c>
      <c r="G3296" s="5" t="s">
        <v>22826</v>
      </c>
      <c r="H3296" s="6" t="s">
        <v>22827</v>
      </c>
      <c r="K3296" s="5" t="s">
        <v>22806</v>
      </c>
      <c r="M3296" s="5" t="s">
        <v>22828</v>
      </c>
      <c r="N3296" s="7" t="s">
        <v>22829</v>
      </c>
      <c r="O3296" s="8" t="str">
        <f>HYPERLINK("https://drive.google.com/file/d/1Nz9VHDNX0OoIK_0YDdhAQAgHSCvBbDSt/view?usp=drivesdk","3295_LIA IKASARI _ SERTIFIKAT BerAKHLAK")</f>
        <v>3295_LIA IKASARI _ SERTIFIKAT BerAKHLAK</v>
      </c>
      <c r="P3296" s="5" t="s">
        <v>22819</v>
      </c>
    </row>
    <row r="3297">
      <c r="A3297" s="4">
        <v>45534.344364062505</v>
      </c>
      <c r="B3297" s="5" t="s">
        <v>34</v>
      </c>
      <c r="D3297" s="5" t="s">
        <v>1206</v>
      </c>
      <c r="E3297" s="5" t="s">
        <v>20560</v>
      </c>
      <c r="F3297" s="5" t="s">
        <v>108</v>
      </c>
      <c r="G3297" s="5" t="s">
        <v>22830</v>
      </c>
      <c r="H3297" s="6" t="s">
        <v>22831</v>
      </c>
      <c r="I3297" s="7" t="s">
        <v>22832</v>
      </c>
      <c r="J3297" s="8" t="str">
        <f>HYPERLINK("https://drive.google.com/file/d/1H4JRwBd15xMSzudWgAR6CAoW6G1bpTXY/view?usp=drivesdk","NURHAYATI SERTIFIKAT BerAKHLAK")</f>
        <v>NURHAYATI SERTIFIKAT BerAKHLAK</v>
      </c>
      <c r="K3297" s="5" t="s">
        <v>22551</v>
      </c>
      <c r="L3297" s="5" t="s">
        <v>22833</v>
      </c>
      <c r="M3297" s="5" t="s">
        <v>22834</v>
      </c>
      <c r="N3297" s="7" t="s">
        <v>22835</v>
      </c>
      <c r="O3297" s="8" t="str">
        <f>HYPERLINK("https://drive.google.com/file/d/1d7Ux2pbE7mgh8Lybvjx9DlszMGwlRCcG/view?usp=drivesdk","3296_NURHAYATI _ SERTIFIKAT BerAKHLAK")</f>
        <v>3296_NURHAYATI _ SERTIFIKAT BerAKHLAK</v>
      </c>
      <c r="P3297" s="5" t="s">
        <v>22836</v>
      </c>
    </row>
    <row r="3298" hidden="1">
      <c r="A3298" s="4">
        <v>45534.34436457176</v>
      </c>
      <c r="B3298" s="5" t="s">
        <v>19</v>
      </c>
      <c r="C3298" s="5" t="s">
        <v>292</v>
      </c>
      <c r="E3298" s="5" t="s">
        <v>22837</v>
      </c>
      <c r="F3298" s="5" t="s">
        <v>37</v>
      </c>
      <c r="G3298" s="5" t="s">
        <v>22838</v>
      </c>
      <c r="H3298" s="6" t="s">
        <v>22839</v>
      </c>
      <c r="K3298" s="5" t="s">
        <v>22840</v>
      </c>
      <c r="M3298" s="5" t="s">
        <v>22841</v>
      </c>
      <c r="N3298" s="7" t="s">
        <v>22842</v>
      </c>
      <c r="O3298" s="8" t="str">
        <f>HYPERLINK("https://drive.google.com/file/d/1OJ6C1kaz49ij7PIhK9AjJkpAQW1PXVEf/view?usp=drivesdk","3297_MUHAMMAD INDRA NAWANG, A.Md _ SERTIFIKAT BerAKHLAK")</f>
        <v>3297_MUHAMMAD INDRA NAWANG, A.Md _ SERTIFIKAT BerAKHLAK</v>
      </c>
      <c r="P3298" s="5" t="s">
        <v>22836</v>
      </c>
    </row>
    <row r="3299">
      <c r="A3299" s="4">
        <v>45534.34436618055</v>
      </c>
      <c r="B3299" s="5" t="s">
        <v>34</v>
      </c>
      <c r="D3299" s="5" t="s">
        <v>9020</v>
      </c>
      <c r="E3299" s="5" t="s">
        <v>22843</v>
      </c>
      <c r="F3299" s="5" t="s">
        <v>212</v>
      </c>
      <c r="G3299" s="5" t="s">
        <v>22844</v>
      </c>
      <c r="H3299" s="6" t="s">
        <v>22845</v>
      </c>
      <c r="K3299" s="5" t="s">
        <v>22840</v>
      </c>
      <c r="M3299" s="5" t="s">
        <v>22846</v>
      </c>
      <c r="N3299" s="7" t="s">
        <v>22847</v>
      </c>
      <c r="O3299" s="8" t="str">
        <f>HYPERLINK("https://drive.google.com/file/d/1yuALDk_SursEtskV5U1T_q2_veltYG9D/view?usp=drivesdk","3298_HANAPI _ SERTIFIKAT BerAKHLAK")</f>
        <v>3298_HANAPI _ SERTIFIKAT BerAKHLAK</v>
      </c>
      <c r="P3299" s="5" t="s">
        <v>22836</v>
      </c>
    </row>
    <row r="3300">
      <c r="A3300" s="4">
        <v>45534.344369467595</v>
      </c>
      <c r="B3300" s="5" t="s">
        <v>34</v>
      </c>
      <c r="D3300" s="5" t="s">
        <v>7858</v>
      </c>
      <c r="E3300" s="5" t="s">
        <v>22848</v>
      </c>
      <c r="F3300" s="5" t="s">
        <v>212</v>
      </c>
      <c r="G3300" s="5" t="s">
        <v>22849</v>
      </c>
      <c r="H3300" s="6" t="s">
        <v>22850</v>
      </c>
      <c r="K3300" s="5" t="s">
        <v>22840</v>
      </c>
      <c r="M3300" s="5" t="s">
        <v>22851</v>
      </c>
      <c r="N3300" s="7" t="s">
        <v>22852</v>
      </c>
      <c r="O3300" s="8" t="str">
        <f>HYPERLINK("https://drive.google.com/file/d/1-fXuPecJlxe1krkykkMjcAU7mv4iMIy9/view?usp=drivesdk","3299_AKHMAD ISTIAWAN _ SERTIFIKAT BerAKHLAK")</f>
        <v>3299_AKHMAD ISTIAWAN _ SERTIFIKAT BerAKHLAK</v>
      </c>
      <c r="P3300" s="5" t="s">
        <v>22853</v>
      </c>
    </row>
    <row r="3301" hidden="1">
      <c r="A3301" s="4">
        <v>45534.34439201389</v>
      </c>
      <c r="B3301" s="5" t="s">
        <v>19</v>
      </c>
      <c r="C3301" s="5" t="s">
        <v>3301</v>
      </c>
      <c r="E3301" s="5" t="s">
        <v>22854</v>
      </c>
      <c r="F3301" s="5" t="s">
        <v>72</v>
      </c>
      <c r="G3301" s="5" t="s">
        <v>22855</v>
      </c>
      <c r="H3301" s="6" t="s">
        <v>22856</v>
      </c>
      <c r="I3301" s="7" t="s">
        <v>22857</v>
      </c>
      <c r="J3301" s="8" t="str">
        <f>HYPERLINK("https://drive.google.com/file/d/1oME51enZRX3Edl5OKy08eWj5NhvUkGYm/view?usp=drivesdk","LINAH ROSINAH AMK SERTIFIKAT BerAKHLAK")</f>
        <v>LINAH ROSINAH AMK SERTIFIKAT BerAKHLAK</v>
      </c>
      <c r="K3301" s="5" t="s">
        <v>22551</v>
      </c>
      <c r="L3301" s="5" t="s">
        <v>22858</v>
      </c>
      <c r="M3301" s="5" t="s">
        <v>22859</v>
      </c>
      <c r="N3301" s="7" t="s">
        <v>22860</v>
      </c>
      <c r="O3301" s="8" t="str">
        <f>HYPERLINK("https://drive.google.com/file/d/1-cwoELcRK3D4TgeQlYE28zvlbhDEPNxp/view?usp=drivesdk","3300_LINAH ROSINAH AMK _ SERTIFIKAT BerAKHLAK")</f>
        <v>3300_LINAH ROSINAH AMK _ SERTIFIKAT BerAKHLAK</v>
      </c>
      <c r="P3301" s="5" t="s">
        <v>22853</v>
      </c>
    </row>
    <row r="3302">
      <c r="A3302" s="4">
        <v>45534.3443958912</v>
      </c>
      <c r="B3302" s="5" t="s">
        <v>34</v>
      </c>
      <c r="D3302" s="5" t="s">
        <v>12978</v>
      </c>
      <c r="E3302" s="5" t="s">
        <v>22861</v>
      </c>
      <c r="F3302" s="5" t="s">
        <v>375</v>
      </c>
      <c r="G3302" s="5" t="s">
        <v>22862</v>
      </c>
      <c r="H3302" s="6" t="s">
        <v>22863</v>
      </c>
      <c r="K3302" s="5" t="s">
        <v>22864</v>
      </c>
      <c r="M3302" s="5" t="s">
        <v>22865</v>
      </c>
      <c r="N3302" s="7" t="s">
        <v>22866</v>
      </c>
      <c r="O3302" s="8" t="str">
        <f>HYPERLINK("https://drive.google.com/file/d/1YSxjYmhDH8P4ueu4WQASG83Nv2WasjUt/view?usp=drivesdk","3301_MUHAMMAD KHUSNANDAR _ SERTIFIKAT BerAKHLAK")</f>
        <v>3301_MUHAMMAD KHUSNANDAR _ SERTIFIKAT BerAKHLAK</v>
      </c>
      <c r="P3302" s="5" t="s">
        <v>22853</v>
      </c>
    </row>
    <row r="3303">
      <c r="A3303" s="4">
        <v>45534.344400173606</v>
      </c>
      <c r="B3303" s="5" t="s">
        <v>34</v>
      </c>
      <c r="D3303" s="5" t="s">
        <v>35</v>
      </c>
      <c r="E3303" s="5" t="s">
        <v>22867</v>
      </c>
      <c r="F3303" s="5" t="s">
        <v>72</v>
      </c>
      <c r="G3303" s="5" t="s">
        <v>22868</v>
      </c>
      <c r="H3303" s="6" t="s">
        <v>22869</v>
      </c>
      <c r="K3303" s="5" t="s">
        <v>22864</v>
      </c>
      <c r="M3303" s="5" t="s">
        <v>22870</v>
      </c>
      <c r="N3303" s="7" t="s">
        <v>22871</v>
      </c>
      <c r="O3303" s="8" t="str">
        <f>HYPERLINK("https://drive.google.com/file/d/1iEy4ReD4gD8ItRSwCDFSWKgLonVOdl-5/view?usp=drivesdk","3302_SRI HARTININGSI, S.Sos _ SERTIFIKAT BerAKHLAK")</f>
        <v>3302_SRI HARTININGSI, S.Sos _ SERTIFIKAT BerAKHLAK</v>
      </c>
      <c r="P3303" s="5" t="s">
        <v>22872</v>
      </c>
    </row>
    <row r="3304">
      <c r="A3304" s="4">
        <v>45534.344412418985</v>
      </c>
      <c r="B3304" s="5" t="s">
        <v>34</v>
      </c>
      <c r="D3304" s="5" t="s">
        <v>9020</v>
      </c>
      <c r="E3304" s="5" t="s">
        <v>22873</v>
      </c>
      <c r="F3304" s="5" t="s">
        <v>524</v>
      </c>
      <c r="G3304" s="5" t="s">
        <v>22874</v>
      </c>
      <c r="H3304" s="6" t="s">
        <v>22875</v>
      </c>
      <c r="I3304" s="7" t="s">
        <v>22876</v>
      </c>
      <c r="J3304" s="8" t="str">
        <f>HYPERLINK("https://drive.google.com/file/d/1zH6CWQyMPVb4VUeSK2tUvLPjBjUE-kuA/view?usp=drivesdk","AHMAD ZULHAIRI, Amd SERTIFIKAT BerAKHLAK")</f>
        <v>AHMAD ZULHAIRI, Amd SERTIFIKAT BerAKHLAK</v>
      </c>
      <c r="K3304" s="5" t="s">
        <v>22551</v>
      </c>
      <c r="L3304" s="5" t="s">
        <v>22877</v>
      </c>
      <c r="M3304" s="5" t="s">
        <v>22878</v>
      </c>
      <c r="N3304" s="7" t="s">
        <v>22879</v>
      </c>
      <c r="O3304" s="8" t="str">
        <f>HYPERLINK("https://drive.google.com/file/d/16Bi1OlNG_fJv5SAv0XllSP5OChN8CyL3/view?usp=drivesdk","3303_AHMAD ZULHAIRI, Amd _ SERTIFIKAT BerAKHLAK")</f>
        <v>3303_AHMAD ZULHAIRI, Amd _ SERTIFIKAT BerAKHLAK</v>
      </c>
      <c r="P3304" s="5" t="s">
        <v>22872</v>
      </c>
    </row>
    <row r="3305">
      <c r="A3305" s="4">
        <v>45534.34441741898</v>
      </c>
      <c r="B3305" s="5" t="s">
        <v>34</v>
      </c>
      <c r="D3305" s="5" t="s">
        <v>1456</v>
      </c>
      <c r="E3305" s="5" t="s">
        <v>22880</v>
      </c>
      <c r="F3305" s="5" t="s">
        <v>37</v>
      </c>
      <c r="G3305" s="5" t="s">
        <v>22881</v>
      </c>
      <c r="H3305" s="6" t="s">
        <v>22882</v>
      </c>
      <c r="K3305" s="5" t="s">
        <v>22883</v>
      </c>
      <c r="M3305" s="5" t="s">
        <v>22884</v>
      </c>
      <c r="N3305" s="7" t="s">
        <v>22885</v>
      </c>
      <c r="O3305" s="8" t="str">
        <f>HYPERLINK("https://drive.google.com/file/d/1IqF7Zdm6vUa2lIje_G4cBnrx7vOkI9QL/view?usp=drivesdk","3304_ROZA KOSWARA, A.Md.Kep _ SERTIFIKAT BerAKHLAK")</f>
        <v>3304_ROZA KOSWARA, A.Md.Kep _ SERTIFIKAT BerAKHLAK</v>
      </c>
      <c r="P3305" s="5" t="s">
        <v>22872</v>
      </c>
    </row>
    <row r="3306">
      <c r="A3306" s="4">
        <v>45534.34442137732</v>
      </c>
      <c r="B3306" s="5" t="s">
        <v>34</v>
      </c>
      <c r="D3306" s="5" t="s">
        <v>9394</v>
      </c>
      <c r="E3306" s="5" t="s">
        <v>22886</v>
      </c>
      <c r="F3306" s="5" t="s">
        <v>212</v>
      </c>
      <c r="G3306" s="5" t="s">
        <v>22887</v>
      </c>
      <c r="H3306" s="6" t="s">
        <v>22888</v>
      </c>
      <c r="K3306" s="5" t="s">
        <v>22883</v>
      </c>
      <c r="M3306" s="5" t="s">
        <v>22889</v>
      </c>
      <c r="N3306" s="7" t="s">
        <v>22890</v>
      </c>
      <c r="O3306" s="8" t="str">
        <f>HYPERLINK("https://drive.google.com/file/d/1dlRWZYc4FvArN_yGSxWWvox4Ki9Q6c0o/view?usp=drivesdk","3305_DEDI RIANTO ISKANDAR _ SERTIFIKAT BerAKHLAK")</f>
        <v>3305_DEDI RIANTO ISKANDAR _ SERTIFIKAT BerAKHLAK</v>
      </c>
      <c r="P3306" s="5" t="s">
        <v>22872</v>
      </c>
    </row>
    <row r="3307">
      <c r="A3307" s="4">
        <v>45534.34442241898</v>
      </c>
      <c r="B3307" s="5" t="s">
        <v>34</v>
      </c>
      <c r="D3307" s="5" t="s">
        <v>4775</v>
      </c>
      <c r="E3307" s="5" t="s">
        <v>22891</v>
      </c>
      <c r="F3307" s="5" t="s">
        <v>108</v>
      </c>
      <c r="G3307" s="5" t="s">
        <v>22892</v>
      </c>
      <c r="H3307" s="6" t="s">
        <v>22893</v>
      </c>
      <c r="K3307" s="5" t="s">
        <v>22883</v>
      </c>
      <c r="M3307" s="5" t="s">
        <v>22894</v>
      </c>
      <c r="N3307" s="7" t="s">
        <v>22895</v>
      </c>
      <c r="O3307" s="8" t="str">
        <f>HYPERLINK("https://drive.google.com/file/d/17rTLKBrZlEFQmxtGVDXWMDAq-EUVMAUX/view?usp=drivesdk","3306_KARSIWEN _ SERTIFIKAT BerAKHLAK")</f>
        <v>3306_KARSIWEN _ SERTIFIKAT BerAKHLAK</v>
      </c>
      <c r="P3307" s="5" t="s">
        <v>22896</v>
      </c>
    </row>
    <row r="3308">
      <c r="A3308" s="4">
        <v>45534.34442461806</v>
      </c>
      <c r="B3308" s="5" t="s">
        <v>34</v>
      </c>
      <c r="D3308" s="5" t="s">
        <v>4775</v>
      </c>
      <c r="E3308" s="5" t="s">
        <v>22897</v>
      </c>
      <c r="F3308" s="5" t="s">
        <v>212</v>
      </c>
      <c r="G3308" s="5" t="s">
        <v>22898</v>
      </c>
      <c r="H3308" s="6" t="s">
        <v>22899</v>
      </c>
      <c r="K3308" s="5" t="s">
        <v>22883</v>
      </c>
      <c r="M3308" s="5" t="s">
        <v>22900</v>
      </c>
      <c r="N3308" s="7" t="s">
        <v>22901</v>
      </c>
      <c r="O3308" s="8" t="str">
        <f>HYPERLINK("https://drive.google.com/file/d/1v7Rx7aoWyVtq06FoTr6rui0aB-pBlMU3/view?usp=drivesdk","3307_BUDIYONO _ SERTIFIKAT BerAKHLAK")</f>
        <v>3307_BUDIYONO _ SERTIFIKAT BerAKHLAK</v>
      </c>
      <c r="P3308" s="5" t="s">
        <v>22896</v>
      </c>
    </row>
    <row r="3309">
      <c r="A3309" s="4">
        <v>45534.344427118056</v>
      </c>
      <c r="B3309" s="5" t="s">
        <v>34</v>
      </c>
      <c r="D3309" s="5" t="s">
        <v>3849</v>
      </c>
      <c r="E3309" s="5" t="s">
        <v>22902</v>
      </c>
      <c r="F3309" s="5" t="s">
        <v>108</v>
      </c>
      <c r="G3309" s="5" t="s">
        <v>22903</v>
      </c>
      <c r="H3309" s="6" t="s">
        <v>22904</v>
      </c>
      <c r="K3309" s="5" t="s">
        <v>22883</v>
      </c>
      <c r="M3309" s="5" t="s">
        <v>22905</v>
      </c>
      <c r="N3309" s="7" t="s">
        <v>22906</v>
      </c>
      <c r="O3309" s="8" t="str">
        <f>HYPERLINK("https://drive.google.com/file/d/1sIp7uhhHfkFGutdrYjrKwypM8O0MhwmL/view?usp=drivesdk","3308_ERPINA SILABAN, S.Kom _ SERTIFIKAT BerAKHLAK")</f>
        <v>3308_ERPINA SILABAN, S.Kom _ SERTIFIKAT BerAKHLAK</v>
      </c>
      <c r="P3309" s="5" t="s">
        <v>22896</v>
      </c>
    </row>
    <row r="3310">
      <c r="A3310" s="4">
        <v>45534.34443603009</v>
      </c>
      <c r="B3310" s="5" t="s">
        <v>34</v>
      </c>
      <c r="D3310" s="5" t="s">
        <v>3849</v>
      </c>
      <c r="E3310" s="5" t="s">
        <v>22907</v>
      </c>
      <c r="F3310" s="5" t="s">
        <v>715</v>
      </c>
      <c r="G3310" s="5" t="s">
        <v>22908</v>
      </c>
      <c r="H3310" s="6" t="s">
        <v>22909</v>
      </c>
      <c r="K3310" s="5" t="s">
        <v>22883</v>
      </c>
      <c r="M3310" s="5" t="s">
        <v>22910</v>
      </c>
      <c r="N3310" s="7" t="s">
        <v>22911</v>
      </c>
      <c r="O3310" s="8" t="str">
        <f>HYPERLINK("https://drive.google.com/file/d/1tI5UZm_NYSfmM7S9PGOpFDIhqmCT3kW7/view?usp=drivesdk","3309_PUSPAYANTI _ SERTIFIKAT BerAKHLAK")</f>
        <v>3309_PUSPAYANTI _ SERTIFIKAT BerAKHLAK</v>
      </c>
      <c r="P3310" s="5" t="s">
        <v>22896</v>
      </c>
    </row>
    <row r="3311">
      <c r="A3311" s="4">
        <v>45534.34445975695</v>
      </c>
      <c r="B3311" s="5" t="s">
        <v>34</v>
      </c>
      <c r="D3311" s="5" t="s">
        <v>1206</v>
      </c>
      <c r="E3311" s="5" t="s">
        <v>22912</v>
      </c>
      <c r="F3311" s="5" t="s">
        <v>199</v>
      </c>
      <c r="G3311" s="5" t="s">
        <v>22913</v>
      </c>
      <c r="H3311" s="6" t="s">
        <v>22914</v>
      </c>
      <c r="I3311" s="7" t="s">
        <v>22915</v>
      </c>
      <c r="J3311" s="8" t="str">
        <f>HYPERLINK("https://drive.google.com/file/d/1v3ufs_oQvLivPA_FH0NSZ83SOZHVgrmb/view?usp=drivesdk","DJUNAEDI  SERTIFIKAT BerAKHLAK")</f>
        <v>DJUNAEDI  SERTIFIKAT BerAKHLAK</v>
      </c>
      <c r="K3311" s="5" t="s">
        <v>22551</v>
      </c>
      <c r="L3311" s="5" t="s">
        <v>22916</v>
      </c>
      <c r="M3311" s="5" t="s">
        <v>22917</v>
      </c>
      <c r="N3311" s="7" t="s">
        <v>22918</v>
      </c>
      <c r="O3311" s="8" t="str">
        <f>HYPERLINK("https://drive.google.com/file/d/1dKd0cppMeC5UxIxkVZqAGKByhnubBGmj/view?usp=drivesdk","3310_DJUNAEDI  _ SERTIFIKAT BerAKHLAK")</f>
        <v>3310_DJUNAEDI  _ SERTIFIKAT BerAKHLAK</v>
      </c>
      <c r="P3311" s="5" t="s">
        <v>22919</v>
      </c>
    </row>
    <row r="3312">
      <c r="A3312" s="4">
        <v>45534.34446302083</v>
      </c>
      <c r="B3312" s="5" t="s">
        <v>34</v>
      </c>
      <c r="D3312" s="5" t="s">
        <v>280</v>
      </c>
      <c r="E3312" s="5" t="s">
        <v>22920</v>
      </c>
      <c r="F3312" s="5" t="s">
        <v>212</v>
      </c>
      <c r="G3312" s="5" t="s">
        <v>22921</v>
      </c>
      <c r="H3312" s="6" t="s">
        <v>22922</v>
      </c>
      <c r="K3312" s="5" t="s">
        <v>22923</v>
      </c>
      <c r="M3312" s="5" t="s">
        <v>22924</v>
      </c>
      <c r="N3312" s="7" t="s">
        <v>22925</v>
      </c>
      <c r="O3312" s="8" t="str">
        <f>HYPERLINK("https://drive.google.com/file/d/16qG9MAx65DgwbS-Vsg1GZ6-tglhBQ1V9/view?usp=drivesdk","3311_INDRA DESMEN _ SERTIFIKAT BerAKHLAK")</f>
        <v>3311_INDRA DESMEN _ SERTIFIKAT BerAKHLAK</v>
      </c>
      <c r="P3312" s="5" t="s">
        <v>22919</v>
      </c>
    </row>
    <row r="3313">
      <c r="A3313" s="4">
        <v>45534.34446436343</v>
      </c>
      <c r="B3313" s="5" t="s">
        <v>34</v>
      </c>
      <c r="D3313" s="5" t="s">
        <v>522</v>
      </c>
      <c r="E3313" s="5" t="s">
        <v>22926</v>
      </c>
      <c r="F3313" s="5" t="s">
        <v>328</v>
      </c>
      <c r="G3313" s="5" t="s">
        <v>22927</v>
      </c>
      <c r="H3313" s="6" t="s">
        <v>22928</v>
      </c>
      <c r="K3313" s="5" t="s">
        <v>22923</v>
      </c>
      <c r="M3313" s="5" t="s">
        <v>22929</v>
      </c>
      <c r="N3313" s="7" t="s">
        <v>22930</v>
      </c>
      <c r="O3313" s="8" t="str">
        <f>HYPERLINK("https://drive.google.com/file/d/1qdoHn5F0v47dKs9GMWIo2ejDf67gq72U/view?usp=drivesdk","3312_I KETUT ARI SUWISESA _ SERTIFIKAT BerAKHLAK")</f>
        <v>3312_I KETUT ARI SUWISESA _ SERTIFIKAT BerAKHLAK</v>
      </c>
      <c r="P3313" s="5" t="s">
        <v>22919</v>
      </c>
    </row>
    <row r="3314">
      <c r="A3314" s="4">
        <v>45534.344464884256</v>
      </c>
      <c r="B3314" s="5" t="s">
        <v>34</v>
      </c>
      <c r="D3314" s="5" t="s">
        <v>35</v>
      </c>
      <c r="E3314" s="5" t="s">
        <v>22931</v>
      </c>
      <c r="F3314" s="5" t="s">
        <v>22</v>
      </c>
      <c r="G3314" s="5" t="s">
        <v>22932</v>
      </c>
      <c r="H3314" s="6" t="s">
        <v>22933</v>
      </c>
      <c r="K3314" s="5" t="s">
        <v>22923</v>
      </c>
      <c r="M3314" s="5" t="s">
        <v>22934</v>
      </c>
      <c r="N3314" s="7" t="s">
        <v>22935</v>
      </c>
      <c r="O3314" s="8" t="str">
        <f>HYPERLINK("https://drive.google.com/file/d/1cAXUaPstdni7Up4gBBF-35uEbJ_JwV9L/view?usp=drivesdk","3313_DR. ANANG USMAN _ SERTIFIKAT BerAKHLAK")</f>
        <v>3313_DR. ANANG USMAN _ SERTIFIKAT BerAKHLAK</v>
      </c>
      <c r="P3314" s="5" t="s">
        <v>22919</v>
      </c>
    </row>
    <row r="3315">
      <c r="A3315" s="4">
        <v>45534.344463263886</v>
      </c>
      <c r="B3315" s="5" t="s">
        <v>34</v>
      </c>
      <c r="D3315" s="5" t="s">
        <v>1206</v>
      </c>
      <c r="E3315" s="5" t="s">
        <v>22936</v>
      </c>
      <c r="F3315" s="5" t="s">
        <v>37</v>
      </c>
      <c r="G3315" s="5" t="s">
        <v>22937</v>
      </c>
      <c r="H3315" s="6" t="s">
        <v>22938</v>
      </c>
      <c r="K3315" s="5" t="s">
        <v>22923</v>
      </c>
      <c r="M3315" s="5" t="s">
        <v>22939</v>
      </c>
      <c r="N3315" s="7" t="s">
        <v>22940</v>
      </c>
      <c r="O3315" s="8" t="str">
        <f>HYPERLINK("https://drive.google.com/file/d/1Mg78lAxgpWZ7N48os2F7Hk0cKIww4IH0/view?usp=drivesdk","3314_RATNA PUTRI KRISNAWATI _ SERTIFIKAT BerAKHLAK")</f>
        <v>3314_RATNA PUTRI KRISNAWATI _ SERTIFIKAT BerAKHLAK</v>
      </c>
      <c r="P3315" s="5" t="s">
        <v>22919</v>
      </c>
    </row>
    <row r="3316">
      <c r="A3316" s="4">
        <v>45534.344468344905</v>
      </c>
      <c r="B3316" s="5" t="s">
        <v>34</v>
      </c>
      <c r="D3316" s="5" t="s">
        <v>1206</v>
      </c>
      <c r="E3316" s="5" t="s">
        <v>22941</v>
      </c>
      <c r="F3316" s="5" t="s">
        <v>375</v>
      </c>
      <c r="G3316" s="5" t="s">
        <v>22942</v>
      </c>
      <c r="H3316" s="6" t="s">
        <v>22943</v>
      </c>
      <c r="K3316" s="5" t="s">
        <v>22923</v>
      </c>
      <c r="M3316" s="5" t="s">
        <v>22944</v>
      </c>
      <c r="N3316" s="7" t="s">
        <v>22945</v>
      </c>
      <c r="O3316" s="8" t="str">
        <f>HYPERLINK("https://drive.google.com/file/d/16oefnWJpuvBfgVPrll44BGfUdTZs-HD2/view?usp=drivesdk","3315_NINIK SETIYOWATI  _ SERTIFIKAT BerAKHLAK")</f>
        <v>3315_NINIK SETIYOWATI  _ SERTIFIKAT BerAKHLAK</v>
      </c>
      <c r="P3316" s="5" t="s">
        <v>22946</v>
      </c>
    </row>
    <row r="3317">
      <c r="A3317" s="4">
        <v>45534.34447491898</v>
      </c>
      <c r="B3317" s="5" t="s">
        <v>34</v>
      </c>
      <c r="D3317" s="5" t="s">
        <v>35</v>
      </c>
      <c r="E3317" s="5" t="s">
        <v>22947</v>
      </c>
      <c r="F3317" s="5" t="s">
        <v>375</v>
      </c>
      <c r="G3317" s="5" t="s">
        <v>22948</v>
      </c>
      <c r="H3317" s="6" t="s">
        <v>22949</v>
      </c>
      <c r="K3317" s="5" t="s">
        <v>22923</v>
      </c>
      <c r="M3317" s="5" t="s">
        <v>22950</v>
      </c>
      <c r="N3317" s="7" t="s">
        <v>22951</v>
      </c>
      <c r="O3317" s="8" t="str">
        <f>HYPERLINK("https://drive.google.com/file/d/1ctlq1kiJ2Ufr-3YJrnusSDYWJpTw_uyr/view?usp=drivesdk","3316_JANWAR RIOL, S.KOM _ SERTIFIKAT BerAKHLAK")</f>
        <v>3316_JANWAR RIOL, S.KOM _ SERTIFIKAT BerAKHLAK</v>
      </c>
      <c r="P3317" s="5" t="s">
        <v>22946</v>
      </c>
    </row>
    <row r="3318">
      <c r="A3318" s="4">
        <v>45534.34447891204</v>
      </c>
      <c r="B3318" s="5" t="s">
        <v>34</v>
      </c>
      <c r="D3318" s="5" t="s">
        <v>1206</v>
      </c>
      <c r="E3318" s="5" t="s">
        <v>22952</v>
      </c>
      <c r="F3318" s="5" t="s">
        <v>72</v>
      </c>
      <c r="G3318" s="5" t="s">
        <v>22953</v>
      </c>
      <c r="H3318" s="6" t="s">
        <v>22954</v>
      </c>
      <c r="K3318" s="5" t="s">
        <v>22923</v>
      </c>
      <c r="M3318" s="5" t="s">
        <v>22955</v>
      </c>
      <c r="N3318" s="7" t="s">
        <v>22956</v>
      </c>
      <c r="O3318" s="8" t="str">
        <f>HYPERLINK("https://drive.google.com/file/d/1HxSJd2RDA0mIgazThzq9l-87zST6b0vb/view?usp=drivesdk","3317_ANDI SULISTYONO.S.Psi _ SERTIFIKAT BerAKHLAK")</f>
        <v>3317_ANDI SULISTYONO.S.Psi _ SERTIFIKAT BerAKHLAK</v>
      </c>
      <c r="P3318" s="5" t="s">
        <v>22946</v>
      </c>
    </row>
    <row r="3319">
      <c r="A3319" s="4">
        <v>45534.3444800463</v>
      </c>
      <c r="B3319" s="5" t="s">
        <v>34</v>
      </c>
      <c r="D3319" s="5" t="s">
        <v>35</v>
      </c>
      <c r="E3319" s="5" t="s">
        <v>22957</v>
      </c>
      <c r="F3319" s="5" t="s">
        <v>524</v>
      </c>
      <c r="G3319" s="5" t="s">
        <v>22958</v>
      </c>
      <c r="H3319" s="6" t="s">
        <v>22959</v>
      </c>
      <c r="K3319" s="5" t="s">
        <v>22923</v>
      </c>
      <c r="M3319" s="5" t="s">
        <v>22960</v>
      </c>
      <c r="N3319" s="7" t="s">
        <v>22961</v>
      </c>
      <c r="O3319" s="8" t="str">
        <f>HYPERLINK("https://drive.google.com/file/d/1hUxfVdDh-qdnpgnAbm528R9kjsDszrSd/view?usp=drivesdk","3318_LILIS DIANA _ SERTIFIKAT BerAKHLAK")</f>
        <v>3318_LILIS DIANA _ SERTIFIKAT BerAKHLAK</v>
      </c>
      <c r="P3319" s="5" t="s">
        <v>22946</v>
      </c>
    </row>
    <row r="3320">
      <c r="A3320" s="4">
        <v>45534.34448600694</v>
      </c>
      <c r="B3320" s="5" t="s">
        <v>34</v>
      </c>
      <c r="D3320" s="5" t="s">
        <v>35</v>
      </c>
      <c r="E3320" s="5" t="s">
        <v>22962</v>
      </c>
      <c r="F3320" s="5" t="s">
        <v>212</v>
      </c>
      <c r="G3320" s="5" t="s">
        <v>22963</v>
      </c>
      <c r="H3320" s="6" t="s">
        <v>22964</v>
      </c>
      <c r="K3320" s="5" t="s">
        <v>22965</v>
      </c>
      <c r="M3320" s="5" t="s">
        <v>22966</v>
      </c>
      <c r="N3320" s="7" t="s">
        <v>22967</v>
      </c>
      <c r="O3320" s="8" t="str">
        <f>HYPERLINK("https://drive.google.com/file/d/1rnzp1utU20YIauMKpKHEwU_L2DYeQeyR/view?usp=drivesdk","3319_RADEN KURNIASIH _ SERTIFIKAT BerAKHLAK")</f>
        <v>3319_RADEN KURNIASIH _ SERTIFIKAT BerAKHLAK</v>
      </c>
      <c r="P3320" s="5" t="s">
        <v>22968</v>
      </c>
    </row>
    <row r="3321">
      <c r="A3321" s="4">
        <v>45534.3444878588</v>
      </c>
      <c r="B3321" s="5" t="s">
        <v>34</v>
      </c>
      <c r="D3321" s="5" t="s">
        <v>12978</v>
      </c>
      <c r="E3321" s="5" t="s">
        <v>22969</v>
      </c>
      <c r="F3321" s="5" t="s">
        <v>212</v>
      </c>
      <c r="G3321" s="5" t="s">
        <v>22970</v>
      </c>
      <c r="H3321" s="6" t="s">
        <v>22971</v>
      </c>
      <c r="K3321" s="5" t="s">
        <v>22965</v>
      </c>
      <c r="M3321" s="5" t="s">
        <v>22972</v>
      </c>
      <c r="N3321" s="7" t="s">
        <v>22973</v>
      </c>
      <c r="O3321" s="8" t="str">
        <f>HYPERLINK("https://drive.google.com/file/d/1ic6FIatvo4rQ4dSOzfMPq6_d0OH7E6Wz/view?usp=drivesdk","3320_HENDRAWATY  _ SERTIFIKAT BerAKHLAK")</f>
        <v>3320_HENDRAWATY  _ SERTIFIKAT BerAKHLAK</v>
      </c>
      <c r="P3321" s="5" t="s">
        <v>22968</v>
      </c>
    </row>
    <row r="3322">
      <c r="A3322" s="4">
        <v>45534.34449577546</v>
      </c>
      <c r="B3322" s="5" t="s">
        <v>34</v>
      </c>
      <c r="D3322" s="5" t="s">
        <v>6232</v>
      </c>
      <c r="E3322" s="5" t="s">
        <v>22974</v>
      </c>
      <c r="F3322" s="5" t="s">
        <v>375</v>
      </c>
      <c r="G3322" s="5" t="s">
        <v>22975</v>
      </c>
      <c r="H3322" s="6" t="s">
        <v>22976</v>
      </c>
      <c r="K3322" s="5" t="s">
        <v>22965</v>
      </c>
      <c r="M3322" s="5" t="s">
        <v>22977</v>
      </c>
      <c r="N3322" s="7" t="s">
        <v>22978</v>
      </c>
      <c r="O3322" s="8" t="str">
        <f>HYPERLINK("https://drive.google.com/file/d/1CMTlBKUOs1WwTEDY2fT731kfYeYtgbqj/view?usp=drivesdk","3321_HALIJAH _ SERTIFIKAT BerAKHLAK")</f>
        <v>3321_HALIJAH _ SERTIFIKAT BerAKHLAK</v>
      </c>
      <c r="P3322" s="5" t="s">
        <v>22968</v>
      </c>
    </row>
    <row r="3323">
      <c r="A3323" s="4">
        <v>45534.34449876157</v>
      </c>
      <c r="B3323" s="5" t="s">
        <v>34</v>
      </c>
      <c r="D3323" s="5" t="s">
        <v>580</v>
      </c>
      <c r="E3323" s="5" t="s">
        <v>22979</v>
      </c>
      <c r="F3323" s="5" t="s">
        <v>72</v>
      </c>
      <c r="G3323" s="5" t="s">
        <v>22980</v>
      </c>
      <c r="H3323" s="6" t="s">
        <v>22981</v>
      </c>
      <c r="K3323" s="5" t="s">
        <v>22982</v>
      </c>
      <c r="M3323" s="5" t="s">
        <v>22983</v>
      </c>
      <c r="N3323" s="7" t="s">
        <v>22984</v>
      </c>
      <c r="O3323" s="8" t="str">
        <f>HYPERLINK("https://drive.google.com/file/d/1Zj9wwXW1pnf7FmNv7VuUyewxM8kJ78Jw/view?usp=drivesdk","3322_NI KADEK LILIK SUARTINI, S.Pd _ SERTIFIKAT BerAKHLAK")</f>
        <v>3322_NI KADEK LILIK SUARTINI, S.Pd _ SERTIFIKAT BerAKHLAK</v>
      </c>
      <c r="P3323" s="5" t="s">
        <v>22968</v>
      </c>
    </row>
    <row r="3324">
      <c r="A3324" s="4">
        <v>45534.34449981482</v>
      </c>
      <c r="B3324" s="5" t="s">
        <v>34</v>
      </c>
      <c r="D3324" s="5" t="s">
        <v>6232</v>
      </c>
      <c r="E3324" s="5" t="s">
        <v>22985</v>
      </c>
      <c r="F3324" s="5" t="s">
        <v>212</v>
      </c>
      <c r="G3324" s="5" t="s">
        <v>22986</v>
      </c>
      <c r="H3324" s="6" t="s">
        <v>22987</v>
      </c>
      <c r="K3324" s="5" t="s">
        <v>22982</v>
      </c>
      <c r="M3324" s="5" t="s">
        <v>22988</v>
      </c>
      <c r="N3324" s="7" t="s">
        <v>22989</v>
      </c>
      <c r="O3324" s="8" t="str">
        <f>HYPERLINK("https://drive.google.com/file/d/1x4GYgoYb2PSgLoDDxi4EwifJpx_NavAX/view?usp=drivesdk","3323_MARLINA _ SERTIFIKAT BerAKHLAK")</f>
        <v>3323_MARLINA _ SERTIFIKAT BerAKHLAK</v>
      </c>
      <c r="P3324" s="5" t="s">
        <v>22990</v>
      </c>
    </row>
    <row r="3325">
      <c r="A3325" s="4">
        <v>45534.34450423611</v>
      </c>
      <c r="B3325" s="5" t="s">
        <v>34</v>
      </c>
      <c r="D3325" s="5" t="s">
        <v>701</v>
      </c>
      <c r="E3325" s="5" t="s">
        <v>22991</v>
      </c>
      <c r="F3325" s="5" t="s">
        <v>72</v>
      </c>
      <c r="G3325" s="5" t="s">
        <v>22992</v>
      </c>
      <c r="H3325" s="6" t="s">
        <v>22993</v>
      </c>
      <c r="K3325" s="5" t="s">
        <v>22982</v>
      </c>
      <c r="M3325" s="5" t="s">
        <v>22994</v>
      </c>
      <c r="N3325" s="7" t="s">
        <v>22995</v>
      </c>
      <c r="O3325" s="8" t="str">
        <f>HYPERLINK("https://drive.google.com/file/d/15kqpikRii4GzTF5gKg9GI305H9R2piv8/view?usp=drivesdk","3324_WAGIYANTI _ SERTIFIKAT BerAKHLAK")</f>
        <v>3324_WAGIYANTI _ SERTIFIKAT BerAKHLAK</v>
      </c>
      <c r="P3325" s="5" t="s">
        <v>22996</v>
      </c>
    </row>
    <row r="3326">
      <c r="A3326" s="4">
        <v>45534.34450607639</v>
      </c>
      <c r="B3326" s="5" t="s">
        <v>34</v>
      </c>
      <c r="D3326" s="5" t="s">
        <v>3849</v>
      </c>
      <c r="E3326" s="5" t="s">
        <v>22997</v>
      </c>
      <c r="F3326" s="5" t="s">
        <v>108</v>
      </c>
      <c r="G3326" s="5" t="s">
        <v>22998</v>
      </c>
      <c r="H3326" s="6" t="s">
        <v>22999</v>
      </c>
      <c r="K3326" s="5" t="s">
        <v>22982</v>
      </c>
      <c r="M3326" s="5" t="s">
        <v>23000</v>
      </c>
      <c r="N3326" s="7" t="s">
        <v>23001</v>
      </c>
      <c r="O3326" s="8" t="str">
        <f>HYPERLINK("https://drive.google.com/file/d/1Jfijm9lzXopYXbnuUrP05AWDJ1aRHWBI/view?usp=drivesdk","3325_APT. ATHIKA PRATIWI, S. FARM _ SERTIFIKAT BerAKHLAK")</f>
        <v>3325_APT. ATHIKA PRATIWI, S. FARM _ SERTIFIKAT BerAKHLAK</v>
      </c>
      <c r="P3326" s="5" t="s">
        <v>22996</v>
      </c>
    </row>
    <row r="3327">
      <c r="A3327" s="4">
        <v>45534.344526076384</v>
      </c>
      <c r="B3327" s="5" t="s">
        <v>34</v>
      </c>
      <c r="D3327" s="5" t="s">
        <v>280</v>
      </c>
      <c r="E3327" s="5" t="s">
        <v>23002</v>
      </c>
      <c r="F3327" s="5" t="s">
        <v>108</v>
      </c>
      <c r="G3327" s="5" t="s">
        <v>23003</v>
      </c>
      <c r="H3327" s="6" t="s">
        <v>23004</v>
      </c>
      <c r="K3327" s="5" t="s">
        <v>22982</v>
      </c>
      <c r="M3327" s="5" t="s">
        <v>23005</v>
      </c>
      <c r="N3327" s="7" t="s">
        <v>23006</v>
      </c>
      <c r="O3327" s="8" t="str">
        <f>HYPERLINK("https://drive.google.com/file/d/1xTAqif9occnQrc98L0ryZDR1qkjD66X1/view?usp=drivesdk","3326_NUR WAHYUNI,A.MD _ SERTIFIKAT BerAKHLAK")</f>
        <v>3326_NUR WAHYUNI,A.MD _ SERTIFIKAT BerAKHLAK</v>
      </c>
      <c r="P3327" s="5" t="s">
        <v>23007</v>
      </c>
    </row>
    <row r="3328" hidden="1">
      <c r="A3328" s="4">
        <v>45534.344527256944</v>
      </c>
      <c r="B3328" s="5" t="s">
        <v>19</v>
      </c>
      <c r="C3328" s="5" t="s">
        <v>442</v>
      </c>
      <c r="E3328" s="5" t="s">
        <v>23008</v>
      </c>
      <c r="F3328" s="5" t="s">
        <v>120</v>
      </c>
      <c r="G3328" s="5" t="s">
        <v>23009</v>
      </c>
      <c r="H3328" s="6" t="s">
        <v>23010</v>
      </c>
      <c r="K3328" s="5" t="s">
        <v>22982</v>
      </c>
      <c r="M3328" s="5" t="s">
        <v>23011</v>
      </c>
      <c r="N3328" s="7" t="s">
        <v>23012</v>
      </c>
      <c r="O3328" s="8" t="str">
        <f>HYPERLINK("https://drive.google.com/file/d/1REirvTIWPby0Ek6YaozoXL-MAcJOAckk/view?usp=drivesdk","3327_AWAN KUSNAWAN _ SERTIFIKAT BerAKHLAK")</f>
        <v>3327_AWAN KUSNAWAN _ SERTIFIKAT BerAKHLAK</v>
      </c>
      <c r="P3328" s="5" t="s">
        <v>23007</v>
      </c>
    </row>
    <row r="3329">
      <c r="A3329" s="4">
        <v>45534.34453326389</v>
      </c>
      <c r="B3329" s="5" t="s">
        <v>34</v>
      </c>
      <c r="D3329" s="5" t="s">
        <v>9394</v>
      </c>
      <c r="E3329" s="5" t="s">
        <v>23013</v>
      </c>
      <c r="F3329" s="5" t="s">
        <v>715</v>
      </c>
      <c r="G3329" s="5" t="s">
        <v>23014</v>
      </c>
      <c r="H3329" s="6" t="s">
        <v>23015</v>
      </c>
      <c r="K3329" s="5" t="s">
        <v>22982</v>
      </c>
      <c r="M3329" s="5" t="s">
        <v>23016</v>
      </c>
      <c r="N3329" s="7" t="s">
        <v>23017</v>
      </c>
      <c r="O3329" s="8" t="str">
        <f>HYPERLINK("https://drive.google.com/file/d/1Vo2QaX9awoqawd85_POfLpOTRD9lDOPk/view?usp=drivesdk","3328_DEWI YUSNITA _ SERTIFIKAT BerAKHLAK")</f>
        <v>3328_DEWI YUSNITA _ SERTIFIKAT BerAKHLAK</v>
      </c>
      <c r="P3329" s="5" t="s">
        <v>23007</v>
      </c>
    </row>
    <row r="3330">
      <c r="A3330" s="4">
        <v>45534.34453648148</v>
      </c>
      <c r="B3330" s="5" t="s">
        <v>34</v>
      </c>
      <c r="D3330" s="5" t="s">
        <v>580</v>
      </c>
      <c r="E3330" s="5" t="s">
        <v>23018</v>
      </c>
      <c r="F3330" s="5" t="s">
        <v>37</v>
      </c>
      <c r="G3330" s="5" t="s">
        <v>23019</v>
      </c>
      <c r="H3330" s="6" t="s">
        <v>23020</v>
      </c>
      <c r="K3330" s="5" t="s">
        <v>23021</v>
      </c>
      <c r="M3330" s="5" t="s">
        <v>23022</v>
      </c>
      <c r="N3330" s="7" t="s">
        <v>23023</v>
      </c>
      <c r="O3330" s="8" t="str">
        <f>HYPERLINK("https://drive.google.com/file/d/12bunTBhKGTABuiHuo4yhbzGvekGnDZhc/view?usp=drivesdk","3329_NI MADE ARTINI _ SERTIFIKAT BerAKHLAK")</f>
        <v>3329_NI MADE ARTINI _ SERTIFIKAT BerAKHLAK</v>
      </c>
      <c r="P3330" s="5" t="s">
        <v>23007</v>
      </c>
    </row>
    <row r="3331">
      <c r="A3331" s="4">
        <v>45534.34453853009</v>
      </c>
      <c r="B3331" s="5" t="s">
        <v>34</v>
      </c>
      <c r="D3331" s="5" t="s">
        <v>6232</v>
      </c>
      <c r="E3331" s="5" t="s">
        <v>23024</v>
      </c>
      <c r="F3331" s="5" t="s">
        <v>37</v>
      </c>
      <c r="G3331" s="5" t="s">
        <v>23025</v>
      </c>
      <c r="H3331" s="6" t="s">
        <v>23026</v>
      </c>
      <c r="K3331" s="5" t="s">
        <v>23021</v>
      </c>
      <c r="M3331" s="5" t="s">
        <v>23027</v>
      </c>
      <c r="N3331" s="7" t="s">
        <v>23028</v>
      </c>
      <c r="O3331" s="8" t="str">
        <f>HYPERLINK("https://drive.google.com/file/d/1B2DJY6P_ALLTj1qwmbvq8NgpS6oaTBGA/view?usp=drivesdk","3330_PRIYO SUTOPO  _ SERTIFIKAT BerAKHLAK")</f>
        <v>3330_PRIYO SUTOPO  _ SERTIFIKAT BerAKHLAK</v>
      </c>
      <c r="P3331" s="5" t="s">
        <v>23029</v>
      </c>
    </row>
    <row r="3332">
      <c r="A3332" s="4">
        <v>45534.344544583335</v>
      </c>
      <c r="B3332" s="5" t="s">
        <v>34</v>
      </c>
      <c r="D3332" s="5" t="s">
        <v>12978</v>
      </c>
      <c r="E3332" s="5" t="s">
        <v>23030</v>
      </c>
      <c r="F3332" s="5" t="s">
        <v>212</v>
      </c>
      <c r="G3332" s="5" t="s">
        <v>23031</v>
      </c>
      <c r="H3332" s="6" t="s">
        <v>23032</v>
      </c>
      <c r="K3332" s="5" t="s">
        <v>23033</v>
      </c>
      <c r="M3332" s="5" t="s">
        <v>23034</v>
      </c>
      <c r="N3332" s="7" t="s">
        <v>23035</v>
      </c>
      <c r="O3332" s="8" t="str">
        <f>HYPERLINK("https://drive.google.com/file/d/1EHpNR_dbBBTs47h01QSbLgVpwA40Wsxi/view?usp=drivesdk","3331_RUSMAWATI _ SERTIFIKAT BerAKHLAK")</f>
        <v>3331_RUSMAWATI _ SERTIFIKAT BerAKHLAK</v>
      </c>
      <c r="P3332" s="5" t="s">
        <v>23029</v>
      </c>
    </row>
    <row r="3333">
      <c r="A3333" s="4">
        <v>45534.34455060185</v>
      </c>
      <c r="B3333" s="5" t="s">
        <v>34</v>
      </c>
      <c r="D3333" s="5" t="s">
        <v>7858</v>
      </c>
      <c r="E3333" s="5" t="s">
        <v>23036</v>
      </c>
      <c r="F3333" s="5" t="s">
        <v>524</v>
      </c>
      <c r="G3333" s="5" t="s">
        <v>23037</v>
      </c>
      <c r="H3333" s="6" t="s">
        <v>23038</v>
      </c>
      <c r="K3333" s="5" t="s">
        <v>23033</v>
      </c>
      <c r="M3333" s="5" t="s">
        <v>23039</v>
      </c>
      <c r="N3333" s="7" t="s">
        <v>23040</v>
      </c>
      <c r="O3333" s="8" t="str">
        <f>HYPERLINK("https://drive.google.com/file/d/1u_w7gdZ88uDq2mET7dL5wA26Mzi3iG_B/view?usp=drivesdk","3332_AHMAD FATULLOH _ SERTIFIKAT BerAKHLAK")</f>
        <v>3332_AHMAD FATULLOH _ SERTIFIKAT BerAKHLAK</v>
      </c>
      <c r="P3333" s="5" t="s">
        <v>23029</v>
      </c>
    </row>
    <row r="3334">
      <c r="A3334" s="4">
        <v>45534.3445565625</v>
      </c>
      <c r="B3334" s="5" t="s">
        <v>34</v>
      </c>
      <c r="D3334" s="5" t="s">
        <v>12978</v>
      </c>
      <c r="E3334" s="5" t="s">
        <v>23041</v>
      </c>
      <c r="F3334" s="5" t="s">
        <v>328</v>
      </c>
      <c r="G3334" s="5" t="s">
        <v>23042</v>
      </c>
      <c r="H3334" s="6" t="s">
        <v>23043</v>
      </c>
      <c r="K3334" s="5" t="s">
        <v>23044</v>
      </c>
      <c r="M3334" s="5" t="s">
        <v>23045</v>
      </c>
      <c r="N3334" s="7" t="s">
        <v>23046</v>
      </c>
      <c r="O3334" s="8" t="str">
        <f>HYPERLINK("https://drive.google.com/file/d/1AFfXlgbrJjf_KEgouXSloyIYlZ6TAuqx/view?usp=drivesdk","3333_RUSMIN HARMAN _ SERTIFIKAT BerAKHLAK")</f>
        <v>3333_RUSMIN HARMAN _ SERTIFIKAT BerAKHLAK</v>
      </c>
      <c r="P3334" s="5" t="s">
        <v>23029</v>
      </c>
    </row>
    <row r="3335">
      <c r="A3335" s="4">
        <v>45534.344566608794</v>
      </c>
      <c r="B3335" s="5" t="s">
        <v>34</v>
      </c>
      <c r="D3335" s="5" t="s">
        <v>4775</v>
      </c>
      <c r="E3335" s="5" t="s">
        <v>23047</v>
      </c>
      <c r="F3335" s="5" t="s">
        <v>108</v>
      </c>
      <c r="G3335" s="5" t="s">
        <v>23048</v>
      </c>
      <c r="H3335" s="6" t="s">
        <v>23049</v>
      </c>
      <c r="K3335" s="5" t="s">
        <v>23044</v>
      </c>
      <c r="M3335" s="5" t="s">
        <v>23050</v>
      </c>
      <c r="N3335" s="7" t="s">
        <v>23051</v>
      </c>
      <c r="O3335" s="8" t="str">
        <f>HYPERLINK("https://drive.google.com/file/d/19Ztzh70TFA2xzUBS1Eph6HyePjcAhBhf/view?usp=drivesdk","3334_ENDANG SUCIATI WIDANINGSIH _ SERTIFIKAT BerAKHLAK")</f>
        <v>3334_ENDANG SUCIATI WIDANINGSIH _ SERTIFIKAT BerAKHLAK</v>
      </c>
      <c r="P3335" s="5" t="s">
        <v>23052</v>
      </c>
    </row>
    <row r="3336">
      <c r="A3336" s="4">
        <v>45534.34456949074</v>
      </c>
      <c r="B3336" s="5" t="s">
        <v>34</v>
      </c>
      <c r="D3336" s="5" t="s">
        <v>6232</v>
      </c>
      <c r="E3336" s="5" t="s">
        <v>23053</v>
      </c>
      <c r="F3336" s="5" t="s">
        <v>375</v>
      </c>
      <c r="G3336" s="5" t="s">
        <v>23054</v>
      </c>
      <c r="H3336" s="6" t="s">
        <v>23055</v>
      </c>
      <c r="K3336" s="5" t="s">
        <v>23044</v>
      </c>
      <c r="M3336" s="5" t="s">
        <v>23056</v>
      </c>
      <c r="N3336" s="7" t="s">
        <v>23057</v>
      </c>
      <c r="O3336" s="8" t="str">
        <f>HYPERLINK("https://drive.google.com/file/d/1uiFuRHOLkeodcXPZm2v6zMHh1H_QAHzk/view?usp=drivesdk","3335_FEBRI DORA, S.KEP., NERS  _ SERTIFIKAT BerAKHLAK")</f>
        <v>3335_FEBRI DORA, S.KEP., NERS  _ SERTIFIKAT BerAKHLAK</v>
      </c>
      <c r="P3336" s="5" t="s">
        <v>23052</v>
      </c>
    </row>
    <row r="3337">
      <c r="A3337" s="4">
        <v>45534.344576331016</v>
      </c>
      <c r="B3337" s="5" t="s">
        <v>34</v>
      </c>
      <c r="D3337" s="5" t="s">
        <v>9394</v>
      </c>
      <c r="E3337" s="5" t="s">
        <v>23058</v>
      </c>
      <c r="F3337" s="5" t="s">
        <v>37</v>
      </c>
      <c r="G3337" s="5" t="s">
        <v>23059</v>
      </c>
      <c r="H3337" s="6" t="s">
        <v>23060</v>
      </c>
      <c r="K3337" s="5" t="s">
        <v>23044</v>
      </c>
      <c r="M3337" s="5" t="s">
        <v>23061</v>
      </c>
      <c r="N3337" s="7" t="s">
        <v>23062</v>
      </c>
      <c r="O3337" s="8" t="str">
        <f>HYPERLINK("https://drive.google.com/file/d/1hwxChFRBPK8rTVGePwyI054o3K7BT_Gd/view?usp=drivesdk","3336_EVI ROSNIATI _ SERTIFIKAT BerAKHLAK")</f>
        <v>3336_EVI ROSNIATI _ SERTIFIKAT BerAKHLAK</v>
      </c>
      <c r="P3337" s="5" t="s">
        <v>23052</v>
      </c>
    </row>
    <row r="3338">
      <c r="A3338" s="4">
        <v>45534.344579675926</v>
      </c>
      <c r="B3338" s="5" t="s">
        <v>34</v>
      </c>
      <c r="D3338" s="5" t="s">
        <v>996</v>
      </c>
      <c r="E3338" s="5" t="s">
        <v>23063</v>
      </c>
      <c r="F3338" s="5" t="s">
        <v>212</v>
      </c>
      <c r="G3338" s="5" t="s">
        <v>23064</v>
      </c>
      <c r="H3338" s="6" t="s">
        <v>23065</v>
      </c>
      <c r="K3338" s="5" t="s">
        <v>23044</v>
      </c>
      <c r="M3338" s="5" t="s">
        <v>23066</v>
      </c>
      <c r="N3338" s="7" t="s">
        <v>23067</v>
      </c>
      <c r="O3338" s="8" t="str">
        <f>HYPERLINK("https://drive.google.com/file/d/1WqntSDyzLG3skYrD20SZCfD6cB4TBvWD/view?usp=drivesdk","3337_ABDUL RAHMAN  _ SERTIFIKAT BerAKHLAK")</f>
        <v>3337_ABDUL RAHMAN  _ SERTIFIKAT BerAKHLAK</v>
      </c>
      <c r="P3338" s="5" t="s">
        <v>23052</v>
      </c>
    </row>
    <row r="3339">
      <c r="A3339" s="4">
        <v>45534.34458320602</v>
      </c>
      <c r="B3339" s="5" t="s">
        <v>34</v>
      </c>
      <c r="D3339" s="5" t="s">
        <v>9020</v>
      </c>
      <c r="E3339" s="5" t="s">
        <v>23068</v>
      </c>
      <c r="F3339" s="5" t="s">
        <v>212</v>
      </c>
      <c r="G3339" s="5" t="s">
        <v>23069</v>
      </c>
      <c r="H3339" s="6" t="s">
        <v>23070</v>
      </c>
      <c r="K3339" s="5" t="s">
        <v>23044</v>
      </c>
      <c r="M3339" s="5" t="s">
        <v>23071</v>
      </c>
      <c r="N3339" s="7" t="s">
        <v>23072</v>
      </c>
      <c r="O3339" s="8" t="str">
        <f>HYPERLINK("https://drive.google.com/file/d/1K-s2D9G-Rnwmxaa1blZq0LOxDSCaBQf6/view?usp=drivesdk","3338_HETTY FLORA SIHOMBING,A.Md.Kep _ SERTIFIKAT BerAKHLAK")</f>
        <v>3338_HETTY FLORA SIHOMBING,A.Md.Kep _ SERTIFIKAT BerAKHLAK</v>
      </c>
      <c r="P3339" s="5" t="s">
        <v>23073</v>
      </c>
    </row>
    <row r="3340">
      <c r="A3340" s="4">
        <v>45534.34460831019</v>
      </c>
      <c r="B3340" s="5" t="s">
        <v>34</v>
      </c>
      <c r="D3340" s="5" t="s">
        <v>35</v>
      </c>
      <c r="E3340" s="5" t="s">
        <v>23074</v>
      </c>
      <c r="F3340" s="5" t="s">
        <v>37</v>
      </c>
      <c r="G3340" s="5" t="s">
        <v>23075</v>
      </c>
      <c r="H3340" s="6" t="s">
        <v>23076</v>
      </c>
      <c r="K3340" s="5" t="s">
        <v>23077</v>
      </c>
      <c r="M3340" s="5" t="s">
        <v>23078</v>
      </c>
      <c r="N3340" s="7" t="s">
        <v>23079</v>
      </c>
      <c r="O3340" s="8" t="str">
        <f>HYPERLINK("https://drive.google.com/file/d/1X16Iv6U1b5LWA2I-kfFJjTzUwduNI9sG/view?usp=drivesdk","3339_AEP SAIPURACHMAT _ SERTIFIKAT BerAKHLAK")</f>
        <v>3339_AEP SAIPURACHMAT _ SERTIFIKAT BerAKHLAK</v>
      </c>
      <c r="P3340" s="5" t="s">
        <v>23073</v>
      </c>
    </row>
    <row r="3341">
      <c r="A3341" s="4">
        <v>45534.34460998843</v>
      </c>
      <c r="B3341" s="5" t="s">
        <v>34</v>
      </c>
      <c r="D3341" s="5" t="s">
        <v>4775</v>
      </c>
      <c r="E3341" s="5" t="s">
        <v>23080</v>
      </c>
      <c r="F3341" s="5" t="s">
        <v>212</v>
      </c>
      <c r="G3341" s="5" t="s">
        <v>23081</v>
      </c>
      <c r="H3341" s="6" t="s">
        <v>23082</v>
      </c>
      <c r="K3341" s="5" t="s">
        <v>23077</v>
      </c>
      <c r="M3341" s="5" t="s">
        <v>23083</v>
      </c>
      <c r="N3341" s="7" t="s">
        <v>23084</v>
      </c>
      <c r="O3341" s="8" t="str">
        <f>HYPERLINK("https://drive.google.com/file/d/1OHBBFmrBVJuu5Emwv-p9OWzD-sTT2zfK/view?usp=drivesdk","3340_SITI CHANDAYANI _ SERTIFIKAT BerAKHLAK")</f>
        <v>3340_SITI CHANDAYANI _ SERTIFIKAT BerAKHLAK</v>
      </c>
      <c r="P3341" s="5" t="s">
        <v>23073</v>
      </c>
    </row>
    <row r="3342">
      <c r="A3342" s="4">
        <v>45534.344617106486</v>
      </c>
      <c r="B3342" s="5" t="s">
        <v>34</v>
      </c>
      <c r="D3342" s="5" t="s">
        <v>701</v>
      </c>
      <c r="E3342" s="5" t="s">
        <v>23085</v>
      </c>
      <c r="F3342" s="5" t="s">
        <v>72</v>
      </c>
      <c r="G3342" s="5" t="s">
        <v>23086</v>
      </c>
      <c r="H3342" s="6" t="s">
        <v>23087</v>
      </c>
      <c r="K3342" s="5" t="s">
        <v>23077</v>
      </c>
      <c r="M3342" s="5" t="s">
        <v>23088</v>
      </c>
      <c r="N3342" s="7" t="s">
        <v>23089</v>
      </c>
      <c r="O3342" s="8" t="str">
        <f>HYPERLINK("https://drive.google.com/file/d/10NwRwPjoHlLq7Fn2gRMq9TjX7ACxyvZD/view?usp=drivesdk","3341_DIAN NILASARI, AMd.Keb _ SERTIFIKAT BerAKHLAK")</f>
        <v>3341_DIAN NILASARI, AMd.Keb _ SERTIFIKAT BerAKHLAK</v>
      </c>
      <c r="P3342" s="5" t="s">
        <v>23073</v>
      </c>
    </row>
    <row r="3343">
      <c r="A3343" s="4">
        <v>45534.34461827546</v>
      </c>
      <c r="B3343" s="5" t="s">
        <v>34</v>
      </c>
      <c r="D3343" s="5" t="s">
        <v>10444</v>
      </c>
      <c r="E3343" s="5" t="s">
        <v>23090</v>
      </c>
      <c r="F3343" s="5" t="s">
        <v>212</v>
      </c>
      <c r="G3343" s="5" t="s">
        <v>23091</v>
      </c>
      <c r="H3343" s="6" t="s">
        <v>23092</v>
      </c>
      <c r="K3343" s="5" t="s">
        <v>23077</v>
      </c>
      <c r="M3343" s="5" t="s">
        <v>23093</v>
      </c>
      <c r="N3343" s="7" t="s">
        <v>23094</v>
      </c>
      <c r="O3343" s="8" t="str">
        <f>HYPERLINK("https://drive.google.com/file/d/1m1jd0Q1vJGYmrNCYSS2a-4Ui0G0R0lIV/view?usp=drivesdk","3342_SUNARTI _ SERTIFIKAT BerAKHLAK")</f>
        <v>3342_SUNARTI _ SERTIFIKAT BerAKHLAK</v>
      </c>
      <c r="P3343" s="5" t="s">
        <v>23095</v>
      </c>
    </row>
    <row r="3344">
      <c r="A3344" s="4">
        <v>45534.344627094906</v>
      </c>
      <c r="B3344" s="5" t="s">
        <v>34</v>
      </c>
      <c r="D3344" s="5" t="s">
        <v>12978</v>
      </c>
      <c r="E3344" s="5" t="s">
        <v>23096</v>
      </c>
      <c r="F3344" s="5" t="s">
        <v>212</v>
      </c>
      <c r="G3344" s="5" t="s">
        <v>23097</v>
      </c>
      <c r="H3344" s="6" t="s">
        <v>23098</v>
      </c>
      <c r="K3344" s="5" t="s">
        <v>23077</v>
      </c>
      <c r="M3344" s="5" t="s">
        <v>23099</v>
      </c>
      <c r="N3344" s="7" t="s">
        <v>23100</v>
      </c>
      <c r="O3344" s="8" t="str">
        <f>HYPERLINK("https://drive.google.com/file/d/1vKA4V8qJRccM8nl5aESQVxive6KeGTLG/view?usp=drivesdk","3343_EPA EPRIANTI, SH _ SERTIFIKAT BerAKHLAK")</f>
        <v>3343_EPA EPRIANTI, SH _ SERTIFIKAT BerAKHLAK</v>
      </c>
      <c r="P3344" s="5" t="s">
        <v>23095</v>
      </c>
    </row>
    <row r="3345">
      <c r="A3345" s="4">
        <v>45534.3446275</v>
      </c>
      <c r="B3345" s="5" t="s">
        <v>34</v>
      </c>
      <c r="D3345" s="5" t="s">
        <v>1456</v>
      </c>
      <c r="E3345" s="5" t="s">
        <v>23101</v>
      </c>
      <c r="F3345" s="5" t="s">
        <v>37</v>
      </c>
      <c r="G3345" s="5" t="s">
        <v>23102</v>
      </c>
      <c r="H3345" s="6" t="s">
        <v>23103</v>
      </c>
      <c r="K3345" s="5" t="s">
        <v>23077</v>
      </c>
      <c r="M3345" s="5" t="s">
        <v>23104</v>
      </c>
      <c r="N3345" s="7" t="s">
        <v>23105</v>
      </c>
      <c r="O3345" s="8" t="str">
        <f>HYPERLINK("https://drive.google.com/file/d/1Fuz3vkHTVK0V519RV4UIbm3IxDX6pHZp/view?usp=drivesdk","3344_FANNY RIDHO JUANDA,A.MD. _ SERTIFIKAT BerAKHLAK")</f>
        <v>3344_FANNY RIDHO JUANDA,A.MD. _ SERTIFIKAT BerAKHLAK</v>
      </c>
      <c r="P3345" s="5" t="s">
        <v>23095</v>
      </c>
    </row>
    <row r="3346">
      <c r="A3346" s="4">
        <v>45534.34462795139</v>
      </c>
      <c r="B3346" s="5" t="s">
        <v>34</v>
      </c>
      <c r="D3346" s="5" t="s">
        <v>267</v>
      </c>
      <c r="E3346" s="5" t="s">
        <v>23106</v>
      </c>
      <c r="F3346" s="5" t="s">
        <v>212</v>
      </c>
      <c r="G3346" s="5" t="s">
        <v>23107</v>
      </c>
      <c r="H3346" s="6" t="s">
        <v>23108</v>
      </c>
      <c r="K3346" s="5" t="s">
        <v>23077</v>
      </c>
      <c r="M3346" s="5" t="s">
        <v>23109</v>
      </c>
      <c r="N3346" s="7" t="s">
        <v>23110</v>
      </c>
      <c r="O3346" s="8" t="str">
        <f>HYPERLINK("https://drive.google.com/file/d/1sAw5mUc3zvYT357YtB4zIRYMPXsuGprv/view?usp=drivesdk","3345_SUHADI PRWATA _ SERTIFIKAT BerAKHLAK")</f>
        <v>3345_SUHADI PRWATA _ SERTIFIKAT BerAKHLAK</v>
      </c>
      <c r="P3346" s="5" t="s">
        <v>23095</v>
      </c>
    </row>
    <row r="3347">
      <c r="A3347" s="4">
        <v>45534.34462888889</v>
      </c>
      <c r="B3347" s="5" t="s">
        <v>34</v>
      </c>
      <c r="D3347" s="5" t="s">
        <v>9020</v>
      </c>
      <c r="E3347" s="5" t="s">
        <v>23111</v>
      </c>
      <c r="F3347" s="5" t="s">
        <v>212</v>
      </c>
      <c r="G3347" s="5" t="s">
        <v>23112</v>
      </c>
      <c r="H3347" s="6" t="s">
        <v>23113</v>
      </c>
      <c r="K3347" s="5" t="s">
        <v>23077</v>
      </c>
      <c r="M3347" s="5" t="s">
        <v>23114</v>
      </c>
      <c r="N3347" s="7" t="s">
        <v>23115</v>
      </c>
      <c r="O3347" s="8" t="str">
        <f>HYPERLINK("https://drive.google.com/file/d/1_nmA7_lI4B4cgax18nUnatqtZBTdkPBr/view?usp=drivesdk","3346_MERI HOTMAIDA _ SERTIFIKAT BerAKHLAK")</f>
        <v>3346_MERI HOTMAIDA _ SERTIFIKAT BerAKHLAK</v>
      </c>
      <c r="P3347" s="5" t="s">
        <v>23116</v>
      </c>
    </row>
    <row r="3348">
      <c r="A3348" s="4">
        <v>45534.34463762731</v>
      </c>
      <c r="B3348" s="5" t="s">
        <v>34</v>
      </c>
      <c r="D3348" s="5" t="s">
        <v>580</v>
      </c>
      <c r="E3348" s="5" t="s">
        <v>23117</v>
      </c>
      <c r="F3348" s="5" t="s">
        <v>212</v>
      </c>
      <c r="G3348" s="5" t="s">
        <v>23118</v>
      </c>
      <c r="H3348" s="6" t="s">
        <v>23119</v>
      </c>
      <c r="K3348" s="5" t="s">
        <v>23077</v>
      </c>
      <c r="M3348" s="5" t="s">
        <v>23120</v>
      </c>
      <c r="N3348" s="7" t="s">
        <v>23121</v>
      </c>
      <c r="O3348" s="8" t="str">
        <f>HYPERLINK("https://drive.google.com/file/d/1CKqbQJTa2JyXPhrdY55Brpb4Tm9AYJHX/view?usp=drivesdk","3347_NI KADEK AYU WIRADNYANI _ SERTIFIKAT BerAKHLAK")</f>
        <v>3347_NI KADEK AYU WIRADNYANI _ SERTIFIKAT BerAKHLAK</v>
      </c>
      <c r="P3348" s="5" t="s">
        <v>23116</v>
      </c>
    </row>
    <row r="3349">
      <c r="A3349" s="4">
        <v>45534.3446419213</v>
      </c>
      <c r="B3349" s="5" t="s">
        <v>34</v>
      </c>
      <c r="D3349" s="5" t="s">
        <v>9020</v>
      </c>
      <c r="E3349" s="5" t="s">
        <v>23122</v>
      </c>
      <c r="F3349" s="5" t="s">
        <v>212</v>
      </c>
      <c r="G3349" s="5" t="s">
        <v>23123</v>
      </c>
      <c r="H3349" s="6" t="s">
        <v>23124</v>
      </c>
      <c r="K3349" s="5" t="s">
        <v>23125</v>
      </c>
      <c r="M3349" s="5" t="s">
        <v>23126</v>
      </c>
      <c r="N3349" s="7" t="s">
        <v>23127</v>
      </c>
      <c r="O3349" s="8" t="str">
        <f>HYPERLINK("https://drive.google.com/file/d/1QESBpSG4bYdejvaLzM9Lb8HbaRea5toz/view?usp=drivesdk","3348_FOURIMAN ZENDRATO  _ SERTIFIKAT BerAKHLAK")</f>
        <v>3348_FOURIMAN ZENDRATO  _ SERTIFIKAT BerAKHLAK</v>
      </c>
      <c r="P3349" s="5" t="s">
        <v>23116</v>
      </c>
    </row>
    <row r="3350">
      <c r="A3350" s="4">
        <v>45534.34465372685</v>
      </c>
      <c r="B3350" s="5" t="s">
        <v>34</v>
      </c>
      <c r="D3350" s="5" t="s">
        <v>267</v>
      </c>
      <c r="E3350" s="5" t="s">
        <v>23128</v>
      </c>
      <c r="F3350" s="5" t="s">
        <v>375</v>
      </c>
      <c r="G3350" s="5" t="s">
        <v>23129</v>
      </c>
      <c r="H3350" s="6" t="s">
        <v>23130</v>
      </c>
      <c r="K3350" s="5" t="s">
        <v>23125</v>
      </c>
      <c r="M3350" s="5" t="s">
        <v>23131</v>
      </c>
      <c r="N3350" s="7" t="s">
        <v>23132</v>
      </c>
      <c r="O3350" s="8" t="str">
        <f>HYPERLINK("https://drive.google.com/file/d/1PDCCLjImbzcnJgsl1nSRPFT8QW_DSwum/view?usp=drivesdk","3349_THOMAS JAROT GLORIADI, SH _ SERTIFIKAT BerAKHLAK")</f>
        <v>3349_THOMAS JAROT GLORIADI, SH _ SERTIFIKAT BerAKHLAK</v>
      </c>
      <c r="P3350" s="5" t="s">
        <v>23116</v>
      </c>
    </row>
    <row r="3351">
      <c r="A3351" s="4">
        <v>45534.3446602662</v>
      </c>
      <c r="B3351" s="5" t="s">
        <v>34</v>
      </c>
      <c r="D3351" s="5" t="s">
        <v>9020</v>
      </c>
      <c r="E3351" s="5" t="s">
        <v>23133</v>
      </c>
      <c r="F3351" s="5" t="s">
        <v>72</v>
      </c>
      <c r="G3351" s="5" t="s">
        <v>23134</v>
      </c>
      <c r="H3351" s="6" t="s">
        <v>23135</v>
      </c>
      <c r="K3351" s="5" t="s">
        <v>23125</v>
      </c>
      <c r="M3351" s="5" t="s">
        <v>23136</v>
      </c>
      <c r="N3351" s="7" t="s">
        <v>23137</v>
      </c>
      <c r="O3351" s="8" t="str">
        <f>HYPERLINK("https://drive.google.com/file/d/1-itIMw_pKf0zwBf4PVQcO6B7EWVyXHCK/view?usp=drivesdk","3350_IRAWATI AMD  _ SERTIFIKAT BerAKHLAK")</f>
        <v>3350_IRAWATI AMD  _ SERTIFIKAT BerAKHLAK</v>
      </c>
      <c r="P3351" s="5" t="s">
        <v>23116</v>
      </c>
    </row>
    <row r="3352">
      <c r="A3352" s="4">
        <v>45534.34467136574</v>
      </c>
      <c r="B3352" s="5" t="s">
        <v>34</v>
      </c>
      <c r="D3352" s="5" t="s">
        <v>12978</v>
      </c>
      <c r="E3352" s="5" t="s">
        <v>16234</v>
      </c>
      <c r="F3352" s="5" t="s">
        <v>37</v>
      </c>
      <c r="G3352" s="5" t="s">
        <v>23138</v>
      </c>
      <c r="H3352" s="6" t="s">
        <v>23139</v>
      </c>
      <c r="K3352" s="5" t="s">
        <v>23125</v>
      </c>
      <c r="M3352" s="5" t="s">
        <v>23140</v>
      </c>
      <c r="N3352" s="7" t="s">
        <v>23141</v>
      </c>
      <c r="O3352" s="8" t="str">
        <f>HYPERLINK("https://drive.google.com/file/d/1pDc_rH90s8UtsAJ0F_6CvT1q5kQMA1mT/view?usp=drivesdk","3351_YULIANA _ SERTIFIKAT BerAKHLAK")</f>
        <v>3351_YULIANA _ SERTIFIKAT BerAKHLAK</v>
      </c>
      <c r="P3352" s="5" t="s">
        <v>23142</v>
      </c>
    </row>
    <row r="3353">
      <c r="A3353" s="4">
        <v>45534.3446803125</v>
      </c>
      <c r="B3353" s="5" t="s">
        <v>34</v>
      </c>
      <c r="D3353" s="5" t="s">
        <v>35</v>
      </c>
      <c r="E3353" s="5" t="s">
        <v>16286</v>
      </c>
      <c r="F3353" s="5" t="s">
        <v>524</v>
      </c>
      <c r="G3353" s="5" t="s">
        <v>23143</v>
      </c>
      <c r="H3353" s="6" t="s">
        <v>23144</v>
      </c>
      <c r="K3353" s="5" t="s">
        <v>23145</v>
      </c>
      <c r="M3353" s="5" t="s">
        <v>23146</v>
      </c>
      <c r="N3353" s="7" t="s">
        <v>23147</v>
      </c>
      <c r="O3353" s="8" t="str">
        <f>HYPERLINK("https://drive.google.com/file/d/1Lv5v6jM6ghpjuGZZfBv6QEktvUVyZDiD/view?usp=drivesdk","3352_HENDRA _ SERTIFIKAT BerAKHLAK")</f>
        <v>3352_HENDRA _ SERTIFIKAT BerAKHLAK</v>
      </c>
      <c r="P3353" s="5" t="s">
        <v>23142</v>
      </c>
    </row>
    <row r="3354">
      <c r="A3354" s="4">
        <v>45534.34468366898</v>
      </c>
      <c r="B3354" s="5" t="s">
        <v>34</v>
      </c>
      <c r="D3354" s="5" t="s">
        <v>35</v>
      </c>
      <c r="E3354" s="5" t="s">
        <v>23148</v>
      </c>
      <c r="F3354" s="5" t="s">
        <v>37</v>
      </c>
      <c r="G3354" s="5" t="s">
        <v>23149</v>
      </c>
      <c r="H3354" s="6" t="s">
        <v>23150</v>
      </c>
      <c r="K3354" s="5" t="s">
        <v>23151</v>
      </c>
      <c r="M3354" s="5" t="s">
        <v>23152</v>
      </c>
      <c r="N3354" s="7" t="s">
        <v>23153</v>
      </c>
      <c r="O3354" s="8" t="str">
        <f>HYPERLINK("https://drive.google.com/file/d/1zqoZfk-69UijUc9VySVXZUb2yDafUXch/view?usp=drivesdk","3353_EKA PRIYATNA _ SERTIFIKAT BerAKHLAK")</f>
        <v>3353_EKA PRIYATNA _ SERTIFIKAT BerAKHLAK</v>
      </c>
      <c r="P3354" s="5" t="s">
        <v>23142</v>
      </c>
    </row>
    <row r="3355">
      <c r="A3355" s="4">
        <v>45534.34468834491</v>
      </c>
      <c r="B3355" s="5" t="s">
        <v>34</v>
      </c>
      <c r="D3355" s="5" t="s">
        <v>35</v>
      </c>
      <c r="E3355" s="5" t="s">
        <v>23154</v>
      </c>
      <c r="F3355" s="5" t="s">
        <v>108</v>
      </c>
      <c r="G3355" s="5" t="s">
        <v>23155</v>
      </c>
      <c r="H3355" s="6" t="s">
        <v>23156</v>
      </c>
      <c r="K3355" s="5" t="s">
        <v>23151</v>
      </c>
      <c r="M3355" s="5" t="s">
        <v>23157</v>
      </c>
      <c r="N3355" s="7" t="s">
        <v>23158</v>
      </c>
      <c r="O3355" s="8" t="str">
        <f>HYPERLINK("https://drive.google.com/file/d/1VTcO1V0b3FENhMWX3i1lBXbN_4jJkfnM/view?usp=drivesdk","3354_YUDI YUDIANTO _ SERTIFIKAT BerAKHLAK")</f>
        <v>3354_YUDI YUDIANTO _ SERTIFIKAT BerAKHLAK</v>
      </c>
      <c r="P3355" s="5" t="s">
        <v>23142</v>
      </c>
    </row>
    <row r="3356">
      <c r="A3356" s="4">
        <v>45534.34469722222</v>
      </c>
      <c r="B3356" s="5" t="s">
        <v>34</v>
      </c>
      <c r="D3356" s="5" t="s">
        <v>12978</v>
      </c>
      <c r="E3356" s="5" t="s">
        <v>23159</v>
      </c>
      <c r="F3356" s="5" t="s">
        <v>715</v>
      </c>
      <c r="G3356" s="5" t="s">
        <v>23160</v>
      </c>
      <c r="H3356" s="6" t="s">
        <v>23161</v>
      </c>
      <c r="K3356" s="5" t="s">
        <v>23151</v>
      </c>
      <c r="M3356" s="5" t="s">
        <v>23162</v>
      </c>
      <c r="N3356" s="7" t="s">
        <v>23163</v>
      </c>
      <c r="O3356" s="8" t="str">
        <f>HYPERLINK("https://drive.google.com/file/d/1nYMniClVCIJYV24SE0iC06dGRq6jvHe8/view?usp=drivesdk","3355_DEWI WAHYUNI _ SERTIFIKAT BerAKHLAK")</f>
        <v>3355_DEWI WAHYUNI _ SERTIFIKAT BerAKHLAK</v>
      </c>
      <c r="P3356" s="5" t="s">
        <v>23164</v>
      </c>
    </row>
    <row r="3357">
      <c r="A3357" s="4">
        <v>45534.344705509255</v>
      </c>
      <c r="B3357" s="5" t="s">
        <v>34</v>
      </c>
      <c r="D3357" s="5" t="s">
        <v>975</v>
      </c>
      <c r="E3357" s="5" t="s">
        <v>23165</v>
      </c>
      <c r="F3357" s="5" t="s">
        <v>108</v>
      </c>
      <c r="G3357" s="5" t="s">
        <v>23166</v>
      </c>
      <c r="H3357" s="6" t="s">
        <v>23167</v>
      </c>
      <c r="K3357" s="5" t="s">
        <v>23151</v>
      </c>
      <c r="M3357" s="5" t="s">
        <v>23168</v>
      </c>
      <c r="N3357" s="7" t="s">
        <v>23169</v>
      </c>
      <c r="O3357" s="8" t="str">
        <f>HYPERLINK("https://drive.google.com/file/d/1ZEC9hYhnT-xMy3dVsTu1Dm7kUF4n6zfu/view?usp=drivesdk","3356_HENSEN CRISTIAN, S.Fatm., Apt _ SERTIFIKAT BerAKHLAK")</f>
        <v>3356_HENSEN CRISTIAN, S.Fatm., Apt _ SERTIFIKAT BerAKHLAK</v>
      </c>
      <c r="P3357" s="5" t="s">
        <v>23164</v>
      </c>
    </row>
    <row r="3358">
      <c r="A3358" s="4">
        <v>45534.34471164352</v>
      </c>
      <c r="B3358" s="5" t="s">
        <v>34</v>
      </c>
      <c r="D3358" s="5" t="s">
        <v>522</v>
      </c>
      <c r="E3358" s="5" t="s">
        <v>23170</v>
      </c>
      <c r="F3358" s="5" t="s">
        <v>212</v>
      </c>
      <c r="G3358" s="5" t="s">
        <v>23171</v>
      </c>
      <c r="H3358" s="6" t="s">
        <v>23172</v>
      </c>
      <c r="K3358" s="5" t="s">
        <v>23151</v>
      </c>
      <c r="M3358" s="5" t="s">
        <v>23173</v>
      </c>
      <c r="N3358" s="7" t="s">
        <v>23174</v>
      </c>
      <c r="O3358" s="8" t="str">
        <f>HYPERLINK("https://drive.google.com/file/d/1KJNTfIS_Cfzk0FCFYh9oOXIOjb9Mb3ge/view?usp=drivesdk","3357_IIS KARYANINGSIH _ SERTIFIKAT BerAKHLAK")</f>
        <v>3357_IIS KARYANINGSIH _ SERTIFIKAT BerAKHLAK</v>
      </c>
      <c r="P3358" s="5" t="s">
        <v>23164</v>
      </c>
    </row>
    <row r="3359">
      <c r="A3359" s="4">
        <v>45534.34471480324</v>
      </c>
      <c r="B3359" s="5" t="s">
        <v>34</v>
      </c>
      <c r="D3359" s="5" t="s">
        <v>4775</v>
      </c>
      <c r="E3359" s="5" t="s">
        <v>23175</v>
      </c>
      <c r="F3359" s="5" t="s">
        <v>212</v>
      </c>
      <c r="G3359" s="5" t="s">
        <v>23176</v>
      </c>
      <c r="H3359" s="6" t="s">
        <v>23177</v>
      </c>
      <c r="K3359" s="5" t="s">
        <v>23151</v>
      </c>
      <c r="M3359" s="5" t="s">
        <v>23178</v>
      </c>
      <c r="N3359" s="7" t="s">
        <v>23179</v>
      </c>
      <c r="O3359" s="8" t="str">
        <f>HYPERLINK("https://drive.google.com/file/d/12fWdjMRx-q5qN5qdH2re12eZpotoDQQL/view?usp=drivesdk","3358_SLAMET RIADI _ SERTIFIKAT BerAKHLAK")</f>
        <v>3358_SLAMET RIADI _ SERTIFIKAT BerAKHLAK</v>
      </c>
      <c r="P3359" s="5" t="s">
        <v>23164</v>
      </c>
    </row>
    <row r="3360">
      <c r="A3360" s="4">
        <v>45534.34471796296</v>
      </c>
      <c r="B3360" s="5" t="s">
        <v>34</v>
      </c>
      <c r="D3360" s="5" t="s">
        <v>7858</v>
      </c>
      <c r="E3360" s="5" t="s">
        <v>23180</v>
      </c>
      <c r="F3360" s="5" t="s">
        <v>108</v>
      </c>
      <c r="G3360" s="5" t="s">
        <v>23181</v>
      </c>
      <c r="H3360" s="6" t="s">
        <v>23182</v>
      </c>
      <c r="K3360" s="5" t="s">
        <v>23151</v>
      </c>
      <c r="M3360" s="5" t="s">
        <v>23183</v>
      </c>
      <c r="N3360" s="7" t="s">
        <v>23184</v>
      </c>
      <c r="O3360" s="8" t="str">
        <f>HYPERLINK("https://drive.google.com/file/d/10FlHzeuAnyyHEgeWmIUWKIOiKh58mLpE/view?usp=drivesdk","3359_IIS SUPRIYATI _ SERTIFIKAT BerAKHLAK")</f>
        <v>3359_IIS SUPRIYATI _ SERTIFIKAT BerAKHLAK</v>
      </c>
      <c r="P3360" s="5" t="s">
        <v>23185</v>
      </c>
    </row>
    <row r="3361">
      <c r="A3361" s="4">
        <v>45534.34472050926</v>
      </c>
      <c r="B3361" s="5" t="s">
        <v>34</v>
      </c>
      <c r="D3361" s="5" t="s">
        <v>1206</v>
      </c>
      <c r="E3361" s="5" t="s">
        <v>23186</v>
      </c>
      <c r="F3361" s="5" t="s">
        <v>72</v>
      </c>
      <c r="G3361" s="5" t="s">
        <v>23187</v>
      </c>
      <c r="H3361" s="6" t="s">
        <v>23188</v>
      </c>
      <c r="K3361" s="5" t="s">
        <v>23151</v>
      </c>
      <c r="M3361" s="5" t="s">
        <v>23189</v>
      </c>
      <c r="N3361" s="7" t="s">
        <v>23190</v>
      </c>
      <c r="O3361" s="8" t="str">
        <f>HYPERLINK("https://drive.google.com/file/d/1NAm3t0o8uOgFIgE8qaWrM9U_TLtUEpdO/view?usp=drivesdk","3360_CITRAWATI NUR WINAYU,AMD _ SERTIFIKAT BerAKHLAK")</f>
        <v>3360_CITRAWATI NUR WINAYU,AMD _ SERTIFIKAT BerAKHLAK</v>
      </c>
      <c r="P3361" s="5" t="s">
        <v>23185</v>
      </c>
    </row>
    <row r="3362">
      <c r="A3362" s="4">
        <v>45534.34472393518</v>
      </c>
      <c r="B3362" s="5" t="s">
        <v>34</v>
      </c>
      <c r="D3362" s="5" t="s">
        <v>1206</v>
      </c>
      <c r="E3362" s="5" t="s">
        <v>23191</v>
      </c>
      <c r="F3362" s="5" t="s">
        <v>37</v>
      </c>
      <c r="G3362" s="5" t="s">
        <v>23192</v>
      </c>
      <c r="H3362" s="6" t="s">
        <v>23193</v>
      </c>
      <c r="K3362" s="5" t="s">
        <v>23151</v>
      </c>
      <c r="M3362" s="5" t="s">
        <v>23194</v>
      </c>
      <c r="N3362" s="7" t="s">
        <v>23195</v>
      </c>
      <c r="O3362" s="8" t="str">
        <f>HYPERLINK("https://drive.google.com/file/d/1bq2Rzp70JPuHN-YytpJp8KqmvHEYz7mE/view?usp=drivesdk","3361_HARNOKO _ SERTIFIKAT BerAKHLAK")</f>
        <v>3361_HARNOKO _ SERTIFIKAT BerAKHLAK</v>
      </c>
      <c r="P3362" s="5" t="s">
        <v>23185</v>
      </c>
    </row>
    <row r="3363" hidden="1">
      <c r="A3363" s="4">
        <v>45534.34472907407</v>
      </c>
      <c r="B3363" s="5" t="s">
        <v>19</v>
      </c>
      <c r="C3363" s="5" t="s">
        <v>3301</v>
      </c>
      <c r="E3363" s="5" t="s">
        <v>23196</v>
      </c>
      <c r="F3363" s="5" t="s">
        <v>37</v>
      </c>
      <c r="G3363" s="5" t="s">
        <v>23197</v>
      </c>
      <c r="H3363" s="6" t="s">
        <v>23198</v>
      </c>
      <c r="K3363" s="5" t="s">
        <v>23151</v>
      </c>
      <c r="M3363" s="5" t="s">
        <v>23199</v>
      </c>
      <c r="N3363" s="7" t="s">
        <v>23200</v>
      </c>
      <c r="O3363" s="8" t="str">
        <f>HYPERLINK("https://drive.google.com/file/d/1febeII6eYzGc3WcsG9kCHFQJBPtZtJVc/view?usp=drivesdk","3362_SILV ANDRIANI OKTAVIA, AMKG _ SERTIFIKAT BerAKHLAK")</f>
        <v>3362_SILV ANDRIANI OKTAVIA, AMKG _ SERTIFIKAT BerAKHLAK</v>
      </c>
      <c r="P3363" s="5" t="s">
        <v>23185</v>
      </c>
    </row>
    <row r="3364">
      <c r="A3364" s="4">
        <v>45534.34473520833</v>
      </c>
      <c r="B3364" s="5" t="s">
        <v>34</v>
      </c>
      <c r="D3364" s="5" t="s">
        <v>12978</v>
      </c>
      <c r="E3364" s="5" t="s">
        <v>23201</v>
      </c>
      <c r="F3364" s="5" t="s">
        <v>72</v>
      </c>
      <c r="G3364" s="5" t="s">
        <v>23202</v>
      </c>
      <c r="H3364" s="6" t="s">
        <v>23203</v>
      </c>
      <c r="K3364" s="5" t="s">
        <v>23151</v>
      </c>
      <c r="M3364" s="5" t="s">
        <v>23204</v>
      </c>
      <c r="N3364" s="7" t="s">
        <v>23205</v>
      </c>
      <c r="O3364" s="8" t="str">
        <f>HYPERLINK("https://drive.google.com/file/d/17C-7rK0Xc65x6Ww4hhy26eT0ZQybv9kx/view?usp=drivesdk","3363_DERPI ANGGREANI _ SERTIFIKAT BerAKHLAK")</f>
        <v>3363_DERPI ANGGREANI _ SERTIFIKAT BerAKHLAK</v>
      </c>
      <c r="P3364" s="5" t="s">
        <v>23206</v>
      </c>
    </row>
    <row r="3365">
      <c r="A3365" s="4">
        <v>45534.344735879626</v>
      </c>
      <c r="B3365" s="5" t="s">
        <v>34</v>
      </c>
      <c r="D3365" s="5" t="s">
        <v>580</v>
      </c>
      <c r="E3365" s="5" t="s">
        <v>23207</v>
      </c>
      <c r="F3365" s="5" t="s">
        <v>108</v>
      </c>
      <c r="G3365" s="5" t="s">
        <v>23208</v>
      </c>
      <c r="H3365" s="6" t="s">
        <v>23209</v>
      </c>
      <c r="K3365" s="5" t="s">
        <v>23151</v>
      </c>
      <c r="M3365" s="5" t="s">
        <v>23210</v>
      </c>
      <c r="N3365" s="7" t="s">
        <v>23211</v>
      </c>
      <c r="O3365" s="8" t="str">
        <f>HYPERLINK("https://drive.google.com/file/d/16qu_R6lZXt5lUtyvqxHdIFU_3-2_iQhL/view?usp=drivesdk","3364_NI KADEK SRI DARMAYANTI _ SERTIFIKAT BerAKHLAK")</f>
        <v>3364_NI KADEK SRI DARMAYANTI _ SERTIFIKAT BerAKHLAK</v>
      </c>
      <c r="P3365" s="5" t="s">
        <v>23206</v>
      </c>
    </row>
    <row r="3366">
      <c r="A3366" s="4">
        <v>45534.344751365745</v>
      </c>
      <c r="B3366" s="5" t="s">
        <v>34</v>
      </c>
      <c r="D3366" s="5" t="s">
        <v>7858</v>
      </c>
      <c r="E3366" s="5" t="s">
        <v>23212</v>
      </c>
      <c r="F3366" s="5" t="s">
        <v>375</v>
      </c>
      <c r="G3366" s="5" t="s">
        <v>23213</v>
      </c>
      <c r="H3366" s="6" t="s">
        <v>23214</v>
      </c>
      <c r="K3366" s="5" t="s">
        <v>23151</v>
      </c>
      <c r="M3366" s="5" t="s">
        <v>23215</v>
      </c>
      <c r="N3366" s="7" t="s">
        <v>23216</v>
      </c>
      <c r="O3366" s="8" t="str">
        <f>HYPERLINK("https://drive.google.com/file/d/1lLhpPKMqmBTxUpkgTKR3QktdXLj8TYZ9/view?usp=drivesdk","3365_SURYANI, S. E.  _ SERTIFIKAT BerAKHLAK")</f>
        <v>3365_SURYANI, S. E.  _ SERTIFIKAT BerAKHLAK</v>
      </c>
      <c r="P3366" s="5" t="s">
        <v>23206</v>
      </c>
    </row>
    <row r="3367">
      <c r="A3367" s="4">
        <v>45534.34475793982</v>
      </c>
      <c r="B3367" s="5" t="s">
        <v>34</v>
      </c>
      <c r="D3367" s="5" t="s">
        <v>10444</v>
      </c>
      <c r="E3367" s="5" t="s">
        <v>23217</v>
      </c>
      <c r="F3367" s="5" t="s">
        <v>37</v>
      </c>
      <c r="G3367" s="5" t="s">
        <v>23218</v>
      </c>
      <c r="H3367" s="6" t="s">
        <v>23219</v>
      </c>
      <c r="K3367" s="5" t="s">
        <v>23220</v>
      </c>
      <c r="M3367" s="5" t="s">
        <v>23221</v>
      </c>
      <c r="N3367" s="7" t="s">
        <v>23222</v>
      </c>
      <c r="O3367" s="8" t="str">
        <f>HYPERLINK("https://drive.google.com/file/d/1OyCLGww3JHsduA2t5xa20zwpefTsVenD/view?usp=drivesdk","3366_ALWANDI, A. Md. Kep. _ SERTIFIKAT BerAKHLAK")</f>
        <v>3366_ALWANDI, A. Md. Kep. _ SERTIFIKAT BerAKHLAK</v>
      </c>
      <c r="P3367" s="5" t="s">
        <v>23223</v>
      </c>
    </row>
    <row r="3368" hidden="1">
      <c r="A3368" s="4">
        <v>45534.3447753588</v>
      </c>
      <c r="B3368" s="5" t="s">
        <v>19</v>
      </c>
      <c r="C3368" s="5" t="s">
        <v>3471</v>
      </c>
      <c r="E3368" s="5" t="s">
        <v>23224</v>
      </c>
      <c r="F3368" s="5" t="s">
        <v>375</v>
      </c>
      <c r="G3368" s="5" t="s">
        <v>23225</v>
      </c>
      <c r="H3368" s="6" t="s">
        <v>23226</v>
      </c>
      <c r="K3368" s="5" t="s">
        <v>23220</v>
      </c>
      <c r="M3368" s="5" t="s">
        <v>23227</v>
      </c>
      <c r="N3368" s="7" t="s">
        <v>23228</v>
      </c>
      <c r="O3368" s="8" t="str">
        <f>HYPERLINK("https://drive.google.com/file/d/1TdNPXXzxGVkqUN_dgSQrdT01KKWt6Ae-/view?usp=drivesdk","3367_CHARLES DJOHAN PARDEDE, S.E., M.A. _ SERTIFIKAT BerAKHLAK")</f>
        <v>3367_CHARLES DJOHAN PARDEDE, S.E., M.A. _ SERTIFIKAT BerAKHLAK</v>
      </c>
      <c r="P3368" s="5" t="s">
        <v>23223</v>
      </c>
    </row>
    <row r="3369">
      <c r="A3369" s="4">
        <v>45534.34477751158</v>
      </c>
      <c r="B3369" s="5" t="s">
        <v>34</v>
      </c>
      <c r="D3369" s="5" t="s">
        <v>1768</v>
      </c>
      <c r="E3369" s="5" t="s">
        <v>23229</v>
      </c>
      <c r="F3369" s="5" t="s">
        <v>108</v>
      </c>
      <c r="G3369" s="5" t="s">
        <v>23230</v>
      </c>
      <c r="H3369" s="6" t="s">
        <v>23231</v>
      </c>
      <c r="K3369" s="5" t="s">
        <v>23232</v>
      </c>
      <c r="M3369" s="5" t="s">
        <v>23233</v>
      </c>
      <c r="N3369" s="7" t="s">
        <v>23234</v>
      </c>
      <c r="O3369" s="8" t="str">
        <f>HYPERLINK("https://drive.google.com/file/d/1iOS8A0XqNfvl-kwCcIuFZwyryxiSXuHh/view?usp=drivesdk","3368_AHMAD THOLIBIN, S.ST _ SERTIFIKAT BerAKHLAK")</f>
        <v>3368_AHMAD THOLIBIN, S.ST _ SERTIFIKAT BerAKHLAK</v>
      </c>
      <c r="P3369" s="5" t="s">
        <v>23223</v>
      </c>
    </row>
    <row r="3370">
      <c r="A3370" s="4">
        <v>45534.3447794213</v>
      </c>
      <c r="B3370" s="5" t="s">
        <v>34</v>
      </c>
      <c r="D3370" s="5" t="s">
        <v>1206</v>
      </c>
      <c r="E3370" s="5" t="s">
        <v>23235</v>
      </c>
      <c r="F3370" s="5" t="s">
        <v>212</v>
      </c>
      <c r="G3370" s="5" t="s">
        <v>23236</v>
      </c>
      <c r="H3370" s="6" t="s">
        <v>23237</v>
      </c>
      <c r="K3370" s="5" t="s">
        <v>23232</v>
      </c>
      <c r="M3370" s="5" t="s">
        <v>23238</v>
      </c>
      <c r="N3370" s="7" t="s">
        <v>23239</v>
      </c>
      <c r="O3370" s="8" t="str">
        <f>HYPERLINK("https://drive.google.com/file/d/1nbao30VJGTafD7d1i3HR_DqHnl0l7jZB/view?usp=drivesdk","3369_SHOLIKHAH _ SERTIFIKAT BerAKHLAK")</f>
        <v>3369_SHOLIKHAH _ SERTIFIKAT BerAKHLAK</v>
      </c>
      <c r="P3370" s="5" t="s">
        <v>23240</v>
      </c>
    </row>
    <row r="3371">
      <c r="A3371" s="4">
        <v>45534.34478043982</v>
      </c>
      <c r="B3371" s="5" t="s">
        <v>34</v>
      </c>
      <c r="D3371" s="5" t="s">
        <v>1206</v>
      </c>
      <c r="E3371" s="5" t="s">
        <v>23241</v>
      </c>
      <c r="F3371" s="5" t="s">
        <v>199</v>
      </c>
      <c r="G3371" s="5" t="s">
        <v>23242</v>
      </c>
      <c r="H3371" s="6" t="s">
        <v>23243</v>
      </c>
      <c r="K3371" s="5" t="s">
        <v>23232</v>
      </c>
      <c r="M3371" s="5" t="s">
        <v>23244</v>
      </c>
      <c r="N3371" s="7" t="s">
        <v>23245</v>
      </c>
      <c r="O3371" s="8" t="str">
        <f>HYPERLINK("https://drive.google.com/file/d/1oq8-YDJYlJi24JuGiwzykssH329m6MjZ/view?usp=drivesdk","3370_IMAM SHOLIKIN _ SERTIFIKAT BerAKHLAK")</f>
        <v>3370_IMAM SHOLIKIN _ SERTIFIKAT BerAKHLAK</v>
      </c>
      <c r="P3371" s="5" t="s">
        <v>23240</v>
      </c>
    </row>
    <row r="3372">
      <c r="A3372" s="4">
        <v>45534.34478104167</v>
      </c>
      <c r="B3372" s="5" t="s">
        <v>34</v>
      </c>
      <c r="D3372" s="5" t="s">
        <v>267</v>
      </c>
      <c r="E3372" s="5" t="s">
        <v>23246</v>
      </c>
      <c r="F3372" s="5" t="s">
        <v>72</v>
      </c>
      <c r="G3372" s="5" t="s">
        <v>23247</v>
      </c>
      <c r="H3372" s="6" t="s">
        <v>23248</v>
      </c>
      <c r="K3372" s="5" t="s">
        <v>23232</v>
      </c>
      <c r="M3372" s="5" t="s">
        <v>23249</v>
      </c>
      <c r="N3372" s="7" t="s">
        <v>23250</v>
      </c>
      <c r="O3372" s="8" t="str">
        <f>HYPERLINK("https://drive.google.com/file/d/1dUi1kj7WbjbnH8j7Dff6vu5c353WahwX/view?usp=drivesdk","3371_ANI SUPRAPTO _ SERTIFIKAT BerAKHLAK")</f>
        <v>3371_ANI SUPRAPTO _ SERTIFIKAT BerAKHLAK</v>
      </c>
      <c r="P3372" s="5" t="s">
        <v>23240</v>
      </c>
    </row>
    <row r="3373">
      <c r="A3373" s="4">
        <v>45534.34478165509</v>
      </c>
      <c r="B3373" s="5" t="s">
        <v>34</v>
      </c>
      <c r="D3373" s="5" t="s">
        <v>9020</v>
      </c>
      <c r="E3373" s="5" t="s">
        <v>23251</v>
      </c>
      <c r="F3373" s="5" t="s">
        <v>715</v>
      </c>
      <c r="G3373" s="5" t="s">
        <v>23252</v>
      </c>
      <c r="H3373" s="6" t="s">
        <v>23253</v>
      </c>
      <c r="K3373" s="5" t="s">
        <v>23232</v>
      </c>
      <c r="M3373" s="5" t="s">
        <v>23254</v>
      </c>
      <c r="N3373" s="7" t="s">
        <v>23255</v>
      </c>
      <c r="O3373" s="8" t="str">
        <f>HYPERLINK("https://drive.google.com/file/d/1KjvaWLaFjs5jb5TJ6unWL9FvqiaWtJBY/view?usp=drivesdk","3372_KORI APRILINA SITEPU, S.Kom _ SERTIFIKAT BerAKHLAK")</f>
        <v>3372_KORI APRILINA SITEPU, S.Kom _ SERTIFIKAT BerAKHLAK</v>
      </c>
      <c r="P3373" s="5" t="s">
        <v>23256</v>
      </c>
    </row>
    <row r="3374">
      <c r="A3374" s="4">
        <v>45534.344783125</v>
      </c>
      <c r="B3374" s="5" t="s">
        <v>34</v>
      </c>
      <c r="D3374" s="5" t="s">
        <v>35</v>
      </c>
      <c r="E3374" s="5" t="s">
        <v>23257</v>
      </c>
      <c r="F3374" s="5" t="s">
        <v>37</v>
      </c>
      <c r="G3374" s="5" t="s">
        <v>23258</v>
      </c>
      <c r="H3374" s="6" t="s">
        <v>23259</v>
      </c>
      <c r="K3374" s="5" t="s">
        <v>23232</v>
      </c>
      <c r="M3374" s="5" t="s">
        <v>23260</v>
      </c>
      <c r="N3374" s="7" t="s">
        <v>23261</v>
      </c>
      <c r="O3374" s="8" t="str">
        <f>HYPERLINK("https://drive.google.com/file/d/1QddJ7LhvyvvBaixhff2NBF9tjXTc005H/view?usp=drivesdk","3373_RATNA KOMALASARI _ SERTIFIKAT BerAKHLAK")</f>
        <v>3373_RATNA KOMALASARI _ SERTIFIKAT BerAKHLAK</v>
      </c>
      <c r="P3374" s="5" t="s">
        <v>23256</v>
      </c>
    </row>
    <row r="3375">
      <c r="A3375" s="4">
        <v>45534.34478796297</v>
      </c>
      <c r="B3375" s="5" t="s">
        <v>34</v>
      </c>
      <c r="D3375" s="5" t="s">
        <v>9020</v>
      </c>
      <c r="E3375" s="5" t="s">
        <v>23262</v>
      </c>
      <c r="F3375" s="5" t="s">
        <v>715</v>
      </c>
      <c r="G3375" s="5" t="s">
        <v>23263</v>
      </c>
      <c r="H3375" s="6" t="s">
        <v>23264</v>
      </c>
      <c r="K3375" s="5" t="s">
        <v>23232</v>
      </c>
      <c r="M3375" s="5" t="s">
        <v>23265</v>
      </c>
      <c r="N3375" s="7" t="s">
        <v>23266</v>
      </c>
      <c r="O3375" s="8" t="str">
        <f>HYPERLINK("https://drive.google.com/file/d/1iRj-1vQPUaUSffVayxNeNfwlnFDHKVqd/view?usp=drivesdk","3374_DELIMA, A.Md.Kep _ SERTIFIKAT BerAKHLAK")</f>
        <v>3374_DELIMA, A.Md.Kep _ SERTIFIKAT BerAKHLAK</v>
      </c>
      <c r="P3375" s="5" t="s">
        <v>23256</v>
      </c>
    </row>
    <row r="3376">
      <c r="A3376" s="4">
        <v>45534.34480923611</v>
      </c>
      <c r="B3376" s="5" t="s">
        <v>34</v>
      </c>
      <c r="D3376" s="5" t="s">
        <v>35</v>
      </c>
      <c r="E3376" s="5" t="s">
        <v>23267</v>
      </c>
      <c r="F3376" s="5" t="s">
        <v>37</v>
      </c>
      <c r="G3376" s="5" t="s">
        <v>23268</v>
      </c>
      <c r="H3376" s="6" t="s">
        <v>23269</v>
      </c>
      <c r="K3376" s="5" t="s">
        <v>23232</v>
      </c>
      <c r="M3376" s="5" t="s">
        <v>23270</v>
      </c>
      <c r="N3376" s="7" t="s">
        <v>23271</v>
      </c>
      <c r="O3376" s="8" t="str">
        <f>HYPERLINK("https://drive.google.com/file/d/1rqS9VKQkBDO91dy8wDOPIaB2coXK7nMz/view?usp=drivesdk","3375_AZIS NURJAMAN _ SERTIFIKAT BerAKHLAK")</f>
        <v>3375_AZIS NURJAMAN _ SERTIFIKAT BerAKHLAK</v>
      </c>
      <c r="P3376" s="5" t="s">
        <v>23256</v>
      </c>
    </row>
    <row r="3377">
      <c r="A3377" s="4">
        <v>45534.34481756944</v>
      </c>
      <c r="B3377" s="5" t="s">
        <v>34</v>
      </c>
      <c r="D3377" s="5" t="s">
        <v>7858</v>
      </c>
      <c r="E3377" s="5" t="s">
        <v>23272</v>
      </c>
      <c r="F3377" s="5" t="s">
        <v>212</v>
      </c>
      <c r="G3377" s="5" t="s">
        <v>23273</v>
      </c>
      <c r="H3377" s="6" t="s">
        <v>23274</v>
      </c>
      <c r="K3377" s="5" t="s">
        <v>23232</v>
      </c>
      <c r="M3377" s="5" t="s">
        <v>23275</v>
      </c>
      <c r="N3377" s="7" t="s">
        <v>23276</v>
      </c>
      <c r="O3377" s="8" t="str">
        <f>HYPERLINK("https://drive.google.com/file/d/1hWdr1PO5hwUivlYe4J-B9cv19pynN9nr/view?usp=drivesdk","3376_OFA MUSTOFA _ SERTIFIKAT BerAKHLAK")</f>
        <v>3376_OFA MUSTOFA _ SERTIFIKAT BerAKHLAK</v>
      </c>
      <c r="P3377" s="5" t="s">
        <v>23277</v>
      </c>
    </row>
    <row r="3378">
      <c r="A3378" s="4">
        <v>45534.34482387731</v>
      </c>
      <c r="B3378" s="5" t="s">
        <v>34</v>
      </c>
      <c r="D3378" s="5" t="s">
        <v>1206</v>
      </c>
      <c r="E3378" s="5" t="s">
        <v>23278</v>
      </c>
      <c r="F3378" s="5" t="s">
        <v>37</v>
      </c>
      <c r="G3378" s="5" t="s">
        <v>23279</v>
      </c>
      <c r="H3378" s="6" t="s">
        <v>23280</v>
      </c>
      <c r="I3378" s="7" t="s">
        <v>23281</v>
      </c>
      <c r="J3378" s="8" t="str">
        <f>HYPERLINK("https://drive.google.com/file/d/1QMCPtNoHPYjRR02zbGMHh6BHzMSXU_Mp/view?usp=drivesdk","SUMARJI SERTIFIKAT BerAKHLAK")</f>
        <v>SUMARJI SERTIFIKAT BerAKHLAK</v>
      </c>
      <c r="K3378" s="5" t="s">
        <v>22551</v>
      </c>
      <c r="L3378" s="5" t="s">
        <v>23282</v>
      </c>
      <c r="M3378" s="5" t="s">
        <v>23283</v>
      </c>
      <c r="N3378" s="7" t="s">
        <v>23284</v>
      </c>
      <c r="O3378" s="8" t="str">
        <f>HYPERLINK("https://drive.google.com/file/d/11AwuZenQQs647IVwI7aDYKc5QZyfGnOE/view?usp=drivesdk","3377_SUMARJI _ SERTIFIKAT BerAKHLAK")</f>
        <v>3377_SUMARJI _ SERTIFIKAT BerAKHLAK</v>
      </c>
      <c r="P3378" s="5" t="s">
        <v>23277</v>
      </c>
    </row>
    <row r="3379">
      <c r="A3379" s="4">
        <v>45534.34483328703</v>
      </c>
      <c r="B3379" s="5" t="s">
        <v>34</v>
      </c>
      <c r="D3379" s="5" t="s">
        <v>1206</v>
      </c>
      <c r="E3379" s="5" t="s">
        <v>23285</v>
      </c>
      <c r="F3379" s="5" t="s">
        <v>37</v>
      </c>
      <c r="G3379" s="5" t="s">
        <v>23286</v>
      </c>
      <c r="H3379" s="6" t="s">
        <v>23287</v>
      </c>
      <c r="I3379" s="7" t="s">
        <v>23288</v>
      </c>
      <c r="J3379" s="8" t="str">
        <f>HYPERLINK("https://drive.google.com/file/d/1cZ6lkNfSJnZEftOAEAZAhIxuYMm1pwM_/view?usp=drivesdk","SUTIK,S.H. SERTIFIKAT BerAKHLAK")</f>
        <v>SUTIK,S.H. SERTIFIKAT BerAKHLAK</v>
      </c>
      <c r="K3379" s="5" t="s">
        <v>23289</v>
      </c>
      <c r="L3379" s="5" t="s">
        <v>23290</v>
      </c>
      <c r="M3379" s="5" t="s">
        <v>23291</v>
      </c>
      <c r="N3379" s="7" t="s">
        <v>23292</v>
      </c>
      <c r="O3379" s="8" t="str">
        <f>HYPERLINK("https://drive.google.com/file/d/1MVpVpnAElcoOMbwLTRpkdswYLi0U1Y8y/view?usp=drivesdk","3378_SUTIK,S.H. _ SERTIFIKAT BerAKHLAK")</f>
        <v>3378_SUTIK,S.H. _ SERTIFIKAT BerAKHLAK</v>
      </c>
      <c r="P3379" s="5" t="s">
        <v>23277</v>
      </c>
    </row>
    <row r="3380">
      <c r="A3380" s="4">
        <v>45534.3448403588</v>
      </c>
      <c r="B3380" s="5" t="s">
        <v>34</v>
      </c>
      <c r="D3380" s="5" t="s">
        <v>35</v>
      </c>
      <c r="E3380" s="5" t="s">
        <v>23293</v>
      </c>
      <c r="F3380" s="5" t="s">
        <v>212</v>
      </c>
      <c r="G3380" s="5" t="s">
        <v>23294</v>
      </c>
      <c r="H3380" s="6" t="s">
        <v>23295</v>
      </c>
      <c r="K3380" s="5" t="s">
        <v>23296</v>
      </c>
      <c r="M3380" s="5" t="s">
        <v>23297</v>
      </c>
      <c r="N3380" s="7" t="s">
        <v>23298</v>
      </c>
      <c r="O3380" s="8" t="str">
        <f>HYPERLINK("https://drive.google.com/file/d/1lQq3dk3o-V02fa7KgGDTkWW_Ha4m7qxE/view?usp=drivesdk","3379_SUNIAH _ SERTIFIKAT BerAKHLAK")</f>
        <v>3379_SUNIAH _ SERTIFIKAT BerAKHLAK</v>
      </c>
      <c r="P3380" s="5" t="s">
        <v>23277</v>
      </c>
    </row>
    <row r="3381">
      <c r="A3381" s="4">
        <v>45534.34484895833</v>
      </c>
      <c r="B3381" s="5" t="s">
        <v>34</v>
      </c>
      <c r="D3381" s="5" t="s">
        <v>3849</v>
      </c>
      <c r="E3381" s="5" t="s">
        <v>23299</v>
      </c>
      <c r="F3381" s="5" t="s">
        <v>37</v>
      </c>
      <c r="G3381" s="5" t="s">
        <v>23300</v>
      </c>
      <c r="H3381" s="6" t="s">
        <v>23301</v>
      </c>
      <c r="K3381" s="5" t="s">
        <v>23296</v>
      </c>
      <c r="M3381" s="5" t="s">
        <v>23302</v>
      </c>
      <c r="N3381" s="7" t="s">
        <v>23303</v>
      </c>
      <c r="O3381" s="8" t="str">
        <f>HYPERLINK("https://drive.google.com/file/d/1U_LAflTOa8EHtJGia43U6SwoMLPV2Xwz/view?usp=drivesdk","3380_TRI RIZKI PERTIWI, A.Md.Farm _ SERTIFIKAT BerAKHLAK")</f>
        <v>3380_TRI RIZKI PERTIWI, A.Md.Farm _ SERTIFIKAT BerAKHLAK</v>
      </c>
      <c r="P3381" s="5" t="s">
        <v>23304</v>
      </c>
    </row>
    <row r="3382">
      <c r="A3382" s="4">
        <v>45534.34485196759</v>
      </c>
      <c r="B3382" s="5" t="s">
        <v>34</v>
      </c>
      <c r="D3382" s="5" t="s">
        <v>6232</v>
      </c>
      <c r="E3382" s="5" t="s">
        <v>23305</v>
      </c>
      <c r="F3382" s="5" t="s">
        <v>212</v>
      </c>
      <c r="G3382" s="5" t="s">
        <v>23306</v>
      </c>
      <c r="H3382" s="6" t="s">
        <v>23307</v>
      </c>
      <c r="K3382" s="5" t="s">
        <v>23296</v>
      </c>
      <c r="M3382" s="5" t="s">
        <v>23308</v>
      </c>
      <c r="N3382" s="7" t="s">
        <v>23309</v>
      </c>
      <c r="O3382" s="8" t="str">
        <f>HYPERLINK("https://drive.google.com/file/d/1UKbHC7iKxnu_AlYOyScSXK85x-KvK5DJ/view?usp=drivesdk","3381_RAHMAT RIYADI _ SERTIFIKAT BerAKHLAK")</f>
        <v>3381_RAHMAT RIYADI _ SERTIFIKAT BerAKHLAK</v>
      </c>
      <c r="P3382" s="5" t="s">
        <v>23304</v>
      </c>
    </row>
    <row r="3383">
      <c r="A3383" s="4">
        <v>45534.34485365741</v>
      </c>
      <c r="B3383" s="5" t="s">
        <v>34</v>
      </c>
      <c r="D3383" s="5" t="s">
        <v>1206</v>
      </c>
      <c r="E3383" s="5" t="s">
        <v>23310</v>
      </c>
      <c r="F3383" s="5" t="s">
        <v>212</v>
      </c>
      <c r="G3383" s="5" t="s">
        <v>23311</v>
      </c>
      <c r="H3383" s="6" t="s">
        <v>23312</v>
      </c>
      <c r="K3383" s="5" t="s">
        <v>23296</v>
      </c>
      <c r="M3383" s="5" t="s">
        <v>23313</v>
      </c>
      <c r="N3383" s="7" t="s">
        <v>23314</v>
      </c>
      <c r="O3383" s="8" t="str">
        <f>HYPERLINK("https://drive.google.com/file/d/1aMM5-DQxCvMw6hBE4fFQJSl-upXjiTO9/view?usp=drivesdk","3382_NI MADE IRA YUSMITA _ SERTIFIKAT BerAKHLAK")</f>
        <v>3382_NI MADE IRA YUSMITA _ SERTIFIKAT BerAKHLAK</v>
      </c>
      <c r="P3383" s="5" t="s">
        <v>23304</v>
      </c>
    </row>
    <row r="3384">
      <c r="A3384" s="4">
        <v>45534.34485771991</v>
      </c>
      <c r="B3384" s="5" t="s">
        <v>34</v>
      </c>
      <c r="D3384" s="5" t="s">
        <v>1692</v>
      </c>
      <c r="E3384" s="5" t="s">
        <v>23315</v>
      </c>
      <c r="F3384" s="5" t="s">
        <v>120</v>
      </c>
      <c r="G3384" s="5" t="s">
        <v>23316</v>
      </c>
      <c r="H3384" s="6" t="s">
        <v>23317</v>
      </c>
      <c r="K3384" s="5" t="s">
        <v>23296</v>
      </c>
      <c r="M3384" s="5" t="s">
        <v>23318</v>
      </c>
      <c r="N3384" s="7" t="s">
        <v>23319</v>
      </c>
      <c r="O3384" s="8" t="str">
        <f>HYPERLINK("https://drive.google.com/file/d/13_rniXbV_JGGOI9UicLPNZa1GUtdVk0X/view?usp=drivesdk","3383_MIKA BUYANG, SH _ SERTIFIKAT BerAKHLAK")</f>
        <v>3383_MIKA BUYANG, SH _ SERTIFIKAT BerAKHLAK</v>
      </c>
      <c r="P3384" s="5" t="s">
        <v>23304</v>
      </c>
    </row>
    <row r="3385">
      <c r="A3385" s="4">
        <v>45534.34488040509</v>
      </c>
      <c r="B3385" s="5" t="s">
        <v>34</v>
      </c>
      <c r="D3385" s="5" t="s">
        <v>35</v>
      </c>
      <c r="E3385" s="5" t="s">
        <v>23320</v>
      </c>
      <c r="F3385" s="5" t="s">
        <v>37</v>
      </c>
      <c r="G3385" s="5" t="s">
        <v>23321</v>
      </c>
      <c r="H3385" s="6" t="s">
        <v>23322</v>
      </c>
      <c r="I3385" s="7" t="s">
        <v>23323</v>
      </c>
      <c r="J3385" s="8" t="str">
        <f>HYPERLINK("https://drive.google.com/file/d/1Qi-FAJ9zQjP4gZSt9DEMGSMGNoh_AExv/view?usp=drivesdk","HANI NURHAYATI, A.MD.KEP SERTIFIKAT BerAKHLAK")</f>
        <v>HANI NURHAYATI, A.MD.KEP SERTIFIKAT BerAKHLAK</v>
      </c>
      <c r="K3385" s="5" t="s">
        <v>22551</v>
      </c>
      <c r="L3385" s="5" t="s">
        <v>23324</v>
      </c>
      <c r="M3385" s="5" t="s">
        <v>23325</v>
      </c>
      <c r="N3385" s="7" t="s">
        <v>23326</v>
      </c>
      <c r="O3385" s="8" t="str">
        <f>HYPERLINK("https://drive.google.com/file/d/1fDzu_3xvDds8vcs01LDZKO9KaRnux-Mm/view?usp=drivesdk","3384_HANI NURHAYATI, A.MD.KEP _ SERTIFIKAT BerAKHLAK")</f>
        <v>3384_HANI NURHAYATI, A.MD.KEP _ SERTIFIKAT BerAKHLAK</v>
      </c>
      <c r="P3385" s="5" t="s">
        <v>23327</v>
      </c>
    </row>
    <row r="3386">
      <c r="A3386" s="4">
        <v>45534.34488181713</v>
      </c>
      <c r="B3386" s="5" t="s">
        <v>34</v>
      </c>
      <c r="D3386" s="5" t="s">
        <v>522</v>
      </c>
      <c r="E3386" s="5" t="s">
        <v>23328</v>
      </c>
      <c r="F3386" s="5" t="s">
        <v>212</v>
      </c>
      <c r="G3386" s="5" t="s">
        <v>23329</v>
      </c>
      <c r="H3386" s="6" t="s">
        <v>23330</v>
      </c>
      <c r="I3386" s="7" t="s">
        <v>23331</v>
      </c>
      <c r="J3386" s="8" t="str">
        <f>HYPERLINK("https://drive.google.com/file/d/1pltwjDPxDCA_OlrhsjFj-xteATNWrBxl/view?usp=drivesdk","JURIAH SERTIFIKAT BerAKHLAK")</f>
        <v>JURIAH SERTIFIKAT BerAKHLAK</v>
      </c>
      <c r="K3386" s="5" t="s">
        <v>23289</v>
      </c>
      <c r="L3386" s="5" t="s">
        <v>23332</v>
      </c>
      <c r="M3386" s="5" t="s">
        <v>23333</v>
      </c>
      <c r="N3386" s="7" t="s">
        <v>23334</v>
      </c>
      <c r="O3386" s="8" t="str">
        <f>HYPERLINK("https://drive.google.com/file/d/1wSzXUREp82Dl2QMA1IXvZvITE8rhLpcA/view?usp=drivesdk","3385_JURIAH _ SERTIFIKAT BerAKHLAK")</f>
        <v>3385_JURIAH _ SERTIFIKAT BerAKHLAK</v>
      </c>
      <c r="P3386" s="5" t="s">
        <v>23327</v>
      </c>
    </row>
    <row r="3387">
      <c r="A3387" s="4">
        <v>45534.34488431713</v>
      </c>
      <c r="B3387" s="5" t="s">
        <v>34</v>
      </c>
      <c r="D3387" s="5" t="s">
        <v>4775</v>
      </c>
      <c r="E3387" s="5" t="s">
        <v>23335</v>
      </c>
      <c r="F3387" s="5" t="s">
        <v>375</v>
      </c>
      <c r="G3387" s="5" t="s">
        <v>23336</v>
      </c>
      <c r="H3387" s="6" t="s">
        <v>23337</v>
      </c>
      <c r="I3387" s="7" t="s">
        <v>23338</v>
      </c>
      <c r="J3387" s="8" t="str">
        <f>HYPERLINK("https://drive.google.com/file/d/1kTjNzHv13JJoATRNmIh3fvcaPlIc_zpn/view?usp=drivesdk","DWI SANTOSO, S.E. SERTIFIKAT BerAKHLAK")</f>
        <v>DWI SANTOSO, S.E. SERTIFIKAT BerAKHLAK</v>
      </c>
      <c r="K3387" s="5" t="s">
        <v>23289</v>
      </c>
      <c r="L3387" s="5" t="s">
        <v>23339</v>
      </c>
      <c r="M3387" s="5" t="s">
        <v>23340</v>
      </c>
      <c r="N3387" s="7" t="s">
        <v>23341</v>
      </c>
      <c r="O3387" s="8" t="str">
        <f>HYPERLINK("https://drive.google.com/file/d/1nEfqY8B8SSDM2r8QzRacRjk35VaK0GNW/view?usp=drivesdk","3386_DWI SANTOSO, S.E. _ SERTIFIKAT BerAKHLAK")</f>
        <v>3386_DWI SANTOSO, S.E. _ SERTIFIKAT BerAKHLAK</v>
      </c>
      <c r="P3387" s="5" t="s">
        <v>23327</v>
      </c>
    </row>
    <row r="3388">
      <c r="A3388" s="4">
        <v>45534.3448845949</v>
      </c>
      <c r="B3388" s="5" t="s">
        <v>34</v>
      </c>
      <c r="D3388" s="5" t="s">
        <v>12978</v>
      </c>
      <c r="E3388" s="5" t="s">
        <v>23342</v>
      </c>
      <c r="F3388" s="5" t="s">
        <v>715</v>
      </c>
      <c r="G3388" s="5" t="s">
        <v>23343</v>
      </c>
      <c r="H3388" s="6" t="s">
        <v>23344</v>
      </c>
      <c r="K3388" s="5" t="s">
        <v>23345</v>
      </c>
      <c r="M3388" s="5" t="s">
        <v>23346</v>
      </c>
      <c r="N3388" s="7" t="s">
        <v>23347</v>
      </c>
      <c r="O3388" s="8" t="str">
        <f>HYPERLINK("https://drive.google.com/file/d/1Xb2GPtfCl9-ySsSPYh4HJupwfI3huCtL/view?usp=drivesdk","3387_ABDU ANSYORI _ SERTIFIKAT BerAKHLAK")</f>
        <v>3387_ABDU ANSYORI _ SERTIFIKAT BerAKHLAK</v>
      </c>
      <c r="P3388" s="5" t="s">
        <v>23348</v>
      </c>
    </row>
    <row r="3389">
      <c r="A3389" s="4">
        <v>45534.34489729167</v>
      </c>
      <c r="B3389" s="5" t="s">
        <v>34</v>
      </c>
      <c r="D3389" s="5" t="s">
        <v>1768</v>
      </c>
      <c r="E3389" s="5" t="s">
        <v>18938</v>
      </c>
      <c r="F3389" s="5" t="s">
        <v>108</v>
      </c>
      <c r="G3389" s="5" t="s">
        <v>23349</v>
      </c>
      <c r="H3389" s="6" t="s">
        <v>23350</v>
      </c>
      <c r="K3389" s="5" t="s">
        <v>23345</v>
      </c>
      <c r="M3389" s="5" t="s">
        <v>23351</v>
      </c>
      <c r="N3389" s="7" t="s">
        <v>23352</v>
      </c>
      <c r="O3389" s="8" t="str">
        <f>HYPERLINK("https://drive.google.com/file/d/1yZpsLjrN69lGEdw-Ed61NushKHQz5nQm/view?usp=drivesdk","3388_FATMAWATI _ SERTIFIKAT BerAKHLAK")</f>
        <v>3388_FATMAWATI _ SERTIFIKAT BerAKHLAK</v>
      </c>
      <c r="P3389" s="5" t="s">
        <v>23348</v>
      </c>
    </row>
    <row r="3390">
      <c r="A3390" s="4">
        <v>45534.34490065972</v>
      </c>
      <c r="B3390" s="5" t="s">
        <v>34</v>
      </c>
      <c r="D3390" s="5" t="s">
        <v>6232</v>
      </c>
      <c r="E3390" s="5" t="s">
        <v>23353</v>
      </c>
      <c r="F3390" s="5" t="s">
        <v>37</v>
      </c>
      <c r="G3390" s="5" t="s">
        <v>23354</v>
      </c>
      <c r="H3390" s="6" t="s">
        <v>23355</v>
      </c>
      <c r="K3390" s="5" t="s">
        <v>23345</v>
      </c>
      <c r="M3390" s="5" t="s">
        <v>23356</v>
      </c>
      <c r="N3390" s="7" t="s">
        <v>23357</v>
      </c>
      <c r="O3390" s="8" t="str">
        <f>HYPERLINK("https://drive.google.com/file/d/1peH01M1gelOxro0XHdEc4FVE0dNzGzcy/view?usp=drivesdk","3389_IKRAR KURNIAWAN, Amd.FT _ SERTIFIKAT BerAKHLAK")</f>
        <v>3389_IKRAR KURNIAWAN, Amd.FT _ SERTIFIKAT BerAKHLAK</v>
      </c>
      <c r="P3390" s="5" t="s">
        <v>23348</v>
      </c>
    </row>
    <row r="3391">
      <c r="A3391" s="4">
        <v>45534.34490243056</v>
      </c>
      <c r="B3391" s="5" t="s">
        <v>34</v>
      </c>
      <c r="D3391" s="5" t="s">
        <v>9020</v>
      </c>
      <c r="E3391" s="5" t="s">
        <v>23358</v>
      </c>
      <c r="F3391" s="5" t="s">
        <v>212</v>
      </c>
      <c r="G3391" s="5" t="s">
        <v>23359</v>
      </c>
      <c r="H3391" s="6" t="s">
        <v>23360</v>
      </c>
      <c r="K3391" s="5" t="s">
        <v>23345</v>
      </c>
      <c r="M3391" s="5" t="s">
        <v>23361</v>
      </c>
      <c r="N3391" s="7" t="s">
        <v>23362</v>
      </c>
      <c r="O3391" s="8" t="str">
        <f>HYPERLINK("https://drive.google.com/file/d/18gwGljIgg1sg3oj8Z2irZw86lg8IzbE0/view?usp=drivesdk","3390_AYUB GINTING _ SERTIFIKAT BerAKHLAK")</f>
        <v>3390_AYUB GINTING _ SERTIFIKAT BerAKHLAK</v>
      </c>
      <c r="P3391" s="5" t="s">
        <v>23348</v>
      </c>
    </row>
    <row r="3392">
      <c r="A3392" s="4">
        <v>45534.34490630787</v>
      </c>
      <c r="B3392" s="5" t="s">
        <v>34</v>
      </c>
      <c r="D3392" s="5" t="s">
        <v>1206</v>
      </c>
      <c r="E3392" s="5" t="s">
        <v>23363</v>
      </c>
      <c r="F3392" s="5" t="s">
        <v>212</v>
      </c>
      <c r="G3392" s="5" t="s">
        <v>23364</v>
      </c>
      <c r="H3392" s="6" t="s">
        <v>23365</v>
      </c>
      <c r="K3392" s="5" t="s">
        <v>23345</v>
      </c>
      <c r="M3392" s="5" t="s">
        <v>23366</v>
      </c>
      <c r="N3392" s="7" t="s">
        <v>23367</v>
      </c>
      <c r="O3392" s="8" t="str">
        <f>HYPERLINK("https://drive.google.com/file/d/17OrFY5tDbzUgay0K78uqR8SKrgxZ7y82/view?usp=drivesdk","3391_ELLY MARYANA A.Md _ SERTIFIKAT BerAKHLAK")</f>
        <v>3391_ELLY MARYANA A.Md _ SERTIFIKAT BerAKHLAK</v>
      </c>
      <c r="P3392" s="5" t="s">
        <v>23348</v>
      </c>
    </row>
    <row r="3393" hidden="1">
      <c r="A3393" s="4">
        <v>45534.34491547453</v>
      </c>
      <c r="B3393" s="5" t="s">
        <v>19</v>
      </c>
      <c r="C3393" s="5" t="s">
        <v>11593</v>
      </c>
      <c r="E3393" s="5" t="s">
        <v>23368</v>
      </c>
      <c r="F3393" s="5" t="s">
        <v>22</v>
      </c>
      <c r="G3393" s="5" t="s">
        <v>23369</v>
      </c>
      <c r="H3393" s="6" t="s">
        <v>23370</v>
      </c>
      <c r="I3393" s="7" t="s">
        <v>23371</v>
      </c>
      <c r="J3393" s="8" t="str">
        <f>HYPERLINK("https://drive.google.com/file/d/1PUTJk3wZCsMXtUyIxJcSBmVYx60C5q7M/view?usp=drivesdk","ANDON SUPRIYANTI SERTIFIKAT BerAKHLAK")</f>
        <v>ANDON SUPRIYANTI SERTIFIKAT BerAKHLAK</v>
      </c>
      <c r="K3393" s="5" t="s">
        <v>23289</v>
      </c>
      <c r="L3393" s="5" t="s">
        <v>23372</v>
      </c>
      <c r="M3393" s="5" t="s">
        <v>23373</v>
      </c>
      <c r="N3393" s="7" t="s">
        <v>23374</v>
      </c>
      <c r="O3393" s="8" t="str">
        <f>HYPERLINK("https://drive.google.com/file/d/1pDQoY7iMa-Rkjp5nlBa-BoUEz524GFo4/view?usp=drivesdk","3392_ANDON SUPRIYANTI _ SERTIFIKAT BerAKHLAK")</f>
        <v>3392_ANDON SUPRIYANTI _ SERTIFIKAT BerAKHLAK</v>
      </c>
      <c r="P3393" s="5" t="s">
        <v>23375</v>
      </c>
    </row>
    <row r="3394">
      <c r="A3394" s="4">
        <v>45534.34492971065</v>
      </c>
      <c r="B3394" s="5" t="s">
        <v>34</v>
      </c>
      <c r="D3394" s="5" t="s">
        <v>1206</v>
      </c>
      <c r="E3394" s="5" t="s">
        <v>23376</v>
      </c>
      <c r="F3394" s="5" t="s">
        <v>72</v>
      </c>
      <c r="G3394" s="5" t="s">
        <v>23377</v>
      </c>
      <c r="H3394" s="6" t="s">
        <v>23378</v>
      </c>
      <c r="I3394" s="7" t="s">
        <v>23379</v>
      </c>
      <c r="J3394" s="8" t="str">
        <f>HYPERLINK("https://drive.google.com/file/d/1rx3vP1riDBvsUyJkPqYCuQzN6bGGEI_c/view?usp=drivesdk","DWI ELIANA  SERTIFIKAT BerAKHLAK")</f>
        <v>DWI ELIANA  SERTIFIKAT BerAKHLAK</v>
      </c>
      <c r="K3394" s="5" t="s">
        <v>23289</v>
      </c>
      <c r="L3394" s="5" t="s">
        <v>23380</v>
      </c>
      <c r="M3394" s="5" t="s">
        <v>23381</v>
      </c>
      <c r="N3394" s="7" t="s">
        <v>23382</v>
      </c>
      <c r="O3394" s="8" t="str">
        <f>HYPERLINK("https://drive.google.com/file/d/1cR7_Z1_msI2_dfnAL0m8AxDLRRQ_m8l8/view?usp=drivesdk","3393_DWI ELIANA  _ SERTIFIKAT BerAKHLAK")</f>
        <v>3393_DWI ELIANA  _ SERTIFIKAT BerAKHLAK</v>
      </c>
      <c r="P3394" s="5" t="s">
        <v>23375</v>
      </c>
    </row>
    <row r="3395">
      <c r="A3395" s="4">
        <v>45534.344929872685</v>
      </c>
      <c r="B3395" s="5" t="s">
        <v>34</v>
      </c>
      <c r="D3395" s="5" t="s">
        <v>9394</v>
      </c>
      <c r="E3395" s="5" t="s">
        <v>23383</v>
      </c>
      <c r="F3395" s="5" t="s">
        <v>715</v>
      </c>
      <c r="G3395" s="5" t="s">
        <v>23384</v>
      </c>
      <c r="H3395" s="6" t="s">
        <v>23385</v>
      </c>
      <c r="I3395" s="7" t="s">
        <v>23386</v>
      </c>
      <c r="J3395" s="8" t="str">
        <f>HYPERLINK("https://drive.google.com/file/d/1k2hDBvEYfS42yfL_DvlNKlTfuwiD8y72/view?usp=drivesdk","SITI NUR KHASANAH SERTIFIKAT BerAKHLAK")</f>
        <v>SITI NUR KHASANAH SERTIFIKAT BerAKHLAK</v>
      </c>
      <c r="K3395" s="5" t="s">
        <v>23289</v>
      </c>
      <c r="L3395" s="5" t="s">
        <v>23387</v>
      </c>
      <c r="M3395" s="5" t="s">
        <v>23388</v>
      </c>
      <c r="N3395" s="7" t="s">
        <v>23389</v>
      </c>
      <c r="O3395" s="8" t="str">
        <f>HYPERLINK("https://drive.google.com/file/d/1PEqaTFcWgvWBimsN_2wBMwEdSNm0eBsD/view?usp=drivesdk","3394_SITI NUR KHASANAH _ SERTIFIKAT BerAKHLAK")</f>
        <v>3394_SITI NUR KHASANAH _ SERTIFIKAT BerAKHLAK</v>
      </c>
      <c r="P3395" s="5" t="s">
        <v>23375</v>
      </c>
    </row>
    <row r="3396">
      <c r="A3396" s="4">
        <v>45534.344936388894</v>
      </c>
      <c r="B3396" s="5" t="s">
        <v>34</v>
      </c>
      <c r="D3396" s="5" t="s">
        <v>12978</v>
      </c>
      <c r="E3396" s="5" t="s">
        <v>23390</v>
      </c>
      <c r="F3396" s="5" t="s">
        <v>120</v>
      </c>
      <c r="G3396" s="5" t="s">
        <v>23391</v>
      </c>
      <c r="H3396" s="6" t="s">
        <v>23392</v>
      </c>
      <c r="K3396" s="5" t="s">
        <v>23393</v>
      </c>
      <c r="M3396" s="5" t="s">
        <v>23394</v>
      </c>
      <c r="N3396" s="7" t="s">
        <v>23395</v>
      </c>
      <c r="O3396" s="8" t="str">
        <f>HYPERLINK("https://drive.google.com/file/d/1h0UpW7iYBxhkQAgYMC7mk-n4yBUgpTl4/view?usp=drivesdk","3395_DONNI SULAIMAN, S.T. _ SERTIFIKAT BerAKHLAK")</f>
        <v>3395_DONNI SULAIMAN, S.T. _ SERTIFIKAT BerAKHLAK</v>
      </c>
      <c r="P3396" s="5" t="s">
        <v>23375</v>
      </c>
    </row>
    <row r="3397">
      <c r="A3397" s="4">
        <v>45534.34495063657</v>
      </c>
      <c r="B3397" s="5" t="s">
        <v>34</v>
      </c>
      <c r="D3397" s="5" t="s">
        <v>267</v>
      </c>
      <c r="E3397" s="5" t="s">
        <v>23396</v>
      </c>
      <c r="F3397" s="5" t="s">
        <v>212</v>
      </c>
      <c r="G3397" s="5" t="s">
        <v>23397</v>
      </c>
      <c r="H3397" s="6" t="s">
        <v>23398</v>
      </c>
      <c r="I3397" s="7" t="s">
        <v>23399</v>
      </c>
      <c r="J3397" s="8" t="str">
        <f>HYPERLINK("https://drive.google.com/file/d/1f_q7kSe2QdIpX3i8UNs1Z7xv8TZkyCCI/view?usp=drivesdk","SASMINTO SERTIFIKAT BerAKHLAK")</f>
        <v>SASMINTO SERTIFIKAT BerAKHLAK</v>
      </c>
      <c r="K3397" s="5" t="s">
        <v>23289</v>
      </c>
      <c r="L3397" s="5" t="s">
        <v>23400</v>
      </c>
      <c r="M3397" s="5" t="s">
        <v>23401</v>
      </c>
      <c r="N3397" s="7" t="s">
        <v>23402</v>
      </c>
      <c r="O3397" s="8" t="str">
        <f>HYPERLINK("https://drive.google.com/file/d/1apNFQy8PlrUAWPZztpstwIE4DGwpRB3s/view?usp=drivesdk","3396_SASMINTO _ SERTIFIKAT BerAKHLAK")</f>
        <v>3396_SASMINTO _ SERTIFIKAT BerAKHLAK</v>
      </c>
      <c r="P3397" s="5" t="s">
        <v>23403</v>
      </c>
    </row>
    <row r="3398">
      <c r="A3398" s="4">
        <v>45534.34495399306</v>
      </c>
      <c r="B3398" s="5" t="s">
        <v>34</v>
      </c>
      <c r="D3398" s="5" t="s">
        <v>1206</v>
      </c>
      <c r="E3398" s="5" t="s">
        <v>23404</v>
      </c>
      <c r="F3398" s="5" t="s">
        <v>15386</v>
      </c>
      <c r="G3398" s="5" t="s">
        <v>23405</v>
      </c>
      <c r="H3398" s="6" t="s">
        <v>23406</v>
      </c>
      <c r="I3398" s="7" t="s">
        <v>23407</v>
      </c>
      <c r="J3398" s="8" t="str">
        <f>HYPERLINK("https://drive.google.com/file/d/1h13GAxCayx24Z5B0t0KnHxGsMHrvz9RU/view?usp=drivesdk","SUHARTONO SERTIFIKAT BerAKHLAK")</f>
        <v>SUHARTONO SERTIFIKAT BerAKHLAK</v>
      </c>
      <c r="K3398" s="5" t="s">
        <v>23289</v>
      </c>
      <c r="L3398" s="5" t="s">
        <v>23408</v>
      </c>
      <c r="M3398" s="5" t="s">
        <v>23409</v>
      </c>
      <c r="N3398" s="7" t="s">
        <v>23410</v>
      </c>
      <c r="O3398" s="8" t="str">
        <f>HYPERLINK("https://drive.google.com/file/d/1GtA4Sb-H1bl3yLQ5DbKliDumwG7OrfUJ/view?usp=drivesdk","3397_SUHARTONO _ SERTIFIKAT BerAKHLAK")</f>
        <v>3397_SUHARTONO _ SERTIFIKAT BerAKHLAK</v>
      </c>
      <c r="P3398" s="5" t="s">
        <v>23403</v>
      </c>
    </row>
    <row r="3399">
      <c r="A3399" s="4">
        <v>45534.34495424769</v>
      </c>
      <c r="B3399" s="5" t="s">
        <v>34</v>
      </c>
      <c r="D3399" s="5" t="s">
        <v>9020</v>
      </c>
      <c r="E3399" s="5" t="s">
        <v>23411</v>
      </c>
      <c r="F3399" s="5" t="s">
        <v>108</v>
      </c>
      <c r="G3399" s="5" t="s">
        <v>23412</v>
      </c>
      <c r="H3399" s="6" t="s">
        <v>23413</v>
      </c>
      <c r="I3399" s="7" t="s">
        <v>23414</v>
      </c>
      <c r="J3399" s="8" t="str">
        <f>HYPERLINK("https://drive.google.com/file/d/1Ks3klBAw4uMk5o6A5UD7WdQgAaF9WrKS/view?usp=drivesdk","SAMPURNAMA SERTIFIKAT BerAKHLAK")</f>
        <v>SAMPURNAMA SERTIFIKAT BerAKHLAK</v>
      </c>
      <c r="K3399" s="5" t="s">
        <v>23289</v>
      </c>
      <c r="L3399" s="5" t="s">
        <v>23415</v>
      </c>
      <c r="M3399" s="5" t="s">
        <v>23416</v>
      </c>
      <c r="N3399" s="7" t="s">
        <v>23417</v>
      </c>
      <c r="O3399" s="8" t="str">
        <f>HYPERLINK("https://drive.google.com/file/d/1Dg-gv64eH-V--OaA8LoEG5kdURUR16Py/view?usp=drivesdk","3398_SAMPURNAMA _ SERTIFIKAT BerAKHLAK")</f>
        <v>3398_SAMPURNAMA _ SERTIFIKAT BerAKHLAK</v>
      </c>
      <c r="P3399" s="5" t="s">
        <v>23403</v>
      </c>
    </row>
    <row r="3400">
      <c r="A3400" s="4">
        <v>45534.3449559375</v>
      </c>
      <c r="B3400" s="5" t="s">
        <v>34</v>
      </c>
      <c r="D3400" s="5" t="s">
        <v>9020</v>
      </c>
      <c r="E3400" s="5" t="s">
        <v>23418</v>
      </c>
      <c r="F3400" s="5" t="s">
        <v>212</v>
      </c>
      <c r="G3400" s="5" t="s">
        <v>23419</v>
      </c>
      <c r="H3400" s="6" t="s">
        <v>23420</v>
      </c>
      <c r="I3400" s="7" t="s">
        <v>23421</v>
      </c>
      <c r="J3400" s="8" t="str">
        <f>HYPERLINK("https://drive.google.com/file/d/12Hd3MAxD0Au9iQMhp9jakd2ElxRsaRJ4/view?usp=drivesdk","SUGIMAN  SERTIFIKAT BerAKHLAK")</f>
        <v>SUGIMAN  SERTIFIKAT BerAKHLAK</v>
      </c>
      <c r="K3400" s="5" t="s">
        <v>23422</v>
      </c>
      <c r="L3400" s="5" t="s">
        <v>23423</v>
      </c>
      <c r="M3400" s="5" t="s">
        <v>23424</v>
      </c>
      <c r="N3400" s="7" t="s">
        <v>23425</v>
      </c>
      <c r="O3400" s="8" t="str">
        <f>HYPERLINK("https://drive.google.com/file/d/150cO9jC4lSUwE7mF1CdX4m-z1hx5tm5d/view?usp=drivesdk","3399_SUGIMAN  _ SERTIFIKAT BerAKHLAK")</f>
        <v>3399_SUGIMAN  _ SERTIFIKAT BerAKHLAK</v>
      </c>
      <c r="P3400" s="5" t="s">
        <v>23403</v>
      </c>
    </row>
    <row r="3401">
      <c r="A3401" s="4">
        <v>45534.34498443287</v>
      </c>
      <c r="B3401" s="5" t="s">
        <v>34</v>
      </c>
      <c r="D3401" s="5" t="s">
        <v>1768</v>
      </c>
      <c r="E3401" s="5" t="s">
        <v>23426</v>
      </c>
      <c r="F3401" s="5" t="s">
        <v>524</v>
      </c>
      <c r="G3401" s="5" t="s">
        <v>23427</v>
      </c>
      <c r="H3401" s="6" t="s">
        <v>23428</v>
      </c>
      <c r="I3401" s="7" t="s">
        <v>23429</v>
      </c>
      <c r="J3401" s="8" t="str">
        <f>HYPERLINK("https://drive.google.com/file/d/10WgSp_ckDZ8v5FoaCpR4Dhp-UyqoXqUf/view?usp=drivesdk","SUWIJI SERTIFIKAT BerAKHLAK")</f>
        <v>SUWIJI SERTIFIKAT BerAKHLAK</v>
      </c>
      <c r="K3401" s="5" t="s">
        <v>23289</v>
      </c>
      <c r="L3401" s="5" t="s">
        <v>23430</v>
      </c>
      <c r="M3401" s="5" t="s">
        <v>23431</v>
      </c>
      <c r="N3401" s="7" t="s">
        <v>23432</v>
      </c>
      <c r="O3401" s="8" t="str">
        <f>HYPERLINK("https://drive.google.com/file/d/1sugMXVNKWDD_J_u7JYqD_x7QQvmKS5bX/view?usp=drivesdk","3400_SUWIJI _ SERTIFIKAT BerAKHLAK")</f>
        <v>3400_SUWIJI _ SERTIFIKAT BerAKHLAK</v>
      </c>
      <c r="P3401" s="5" t="s">
        <v>23403</v>
      </c>
    </row>
    <row r="3402">
      <c r="A3402" s="4">
        <v>45534.34498523148</v>
      </c>
      <c r="B3402" s="5" t="s">
        <v>34</v>
      </c>
      <c r="D3402" s="5" t="s">
        <v>1206</v>
      </c>
      <c r="E3402" s="5" t="s">
        <v>23433</v>
      </c>
      <c r="F3402" s="5" t="s">
        <v>524</v>
      </c>
      <c r="G3402" s="5" t="s">
        <v>23434</v>
      </c>
      <c r="H3402" s="6" t="s">
        <v>23435</v>
      </c>
      <c r="I3402" s="7" t="s">
        <v>23436</v>
      </c>
      <c r="J3402" s="8" t="str">
        <f>HYPERLINK("https://drive.google.com/file/d/1YrNMUP7hP5HX6VX2M9GS_EYzEZ5OKA8r/view?usp=drivesdk","SITI ALFIAH  SERTIFIKAT BerAKHLAK")</f>
        <v>SITI ALFIAH  SERTIFIKAT BerAKHLAK</v>
      </c>
      <c r="K3402" s="5" t="s">
        <v>23289</v>
      </c>
      <c r="L3402" s="5" t="s">
        <v>23437</v>
      </c>
      <c r="M3402" s="5" t="s">
        <v>23438</v>
      </c>
      <c r="N3402" s="7" t="s">
        <v>23439</v>
      </c>
      <c r="O3402" s="8" t="str">
        <f>HYPERLINK("https://drive.google.com/file/d/1e3DtAIWVD0q_TBpTPCNyyd8nEvfx_q3d/view?usp=drivesdk","3401_SITI ALFIAH  _ SERTIFIKAT BerAKHLAK")</f>
        <v>3401_SITI ALFIAH  _ SERTIFIKAT BerAKHLAK</v>
      </c>
      <c r="P3402" s="5" t="s">
        <v>23440</v>
      </c>
    </row>
    <row r="3403">
      <c r="A3403" s="4">
        <v>45534.34498819444</v>
      </c>
      <c r="B3403" s="5" t="s">
        <v>34</v>
      </c>
      <c r="D3403" s="5" t="s">
        <v>4775</v>
      </c>
      <c r="E3403" s="5" t="s">
        <v>23441</v>
      </c>
      <c r="F3403" s="5" t="s">
        <v>212</v>
      </c>
      <c r="G3403" s="5" t="s">
        <v>23442</v>
      </c>
      <c r="H3403" s="6" t="s">
        <v>23443</v>
      </c>
      <c r="I3403" s="7" t="s">
        <v>23444</v>
      </c>
      <c r="J3403" s="8" t="str">
        <f>HYPERLINK("https://drive.google.com/file/d/15UAQLorFZ8KeG2AT5U8PDUfwz4qQIvW6/view?usp=drivesdk","SULIKAH SERTIFIKAT BerAKHLAK")</f>
        <v>SULIKAH SERTIFIKAT BerAKHLAK</v>
      </c>
      <c r="K3403" s="5" t="s">
        <v>23289</v>
      </c>
      <c r="L3403" s="5" t="s">
        <v>23445</v>
      </c>
      <c r="M3403" s="5" t="s">
        <v>23446</v>
      </c>
      <c r="N3403" s="7" t="s">
        <v>23447</v>
      </c>
      <c r="O3403" s="8" t="str">
        <f>HYPERLINK("https://drive.google.com/file/d/1E3twOrck9Xt6Jz1xOmSune89YF8ZfgeY/view?usp=drivesdk","3402_SULIKAH _ SERTIFIKAT BerAKHLAK")</f>
        <v>3402_SULIKAH _ SERTIFIKAT BerAKHLAK</v>
      </c>
      <c r="P3403" s="5" t="s">
        <v>23440</v>
      </c>
    </row>
    <row r="3404">
      <c r="A3404" s="4">
        <v>45534.34499104167</v>
      </c>
      <c r="B3404" s="5" t="s">
        <v>34</v>
      </c>
      <c r="D3404" s="5" t="s">
        <v>7858</v>
      </c>
      <c r="E3404" s="5" t="s">
        <v>23448</v>
      </c>
      <c r="F3404" s="5" t="s">
        <v>212</v>
      </c>
      <c r="G3404" s="5" t="s">
        <v>23449</v>
      </c>
      <c r="H3404" s="6" t="s">
        <v>23450</v>
      </c>
      <c r="I3404" s="7" t="s">
        <v>23451</v>
      </c>
      <c r="J3404" s="8" t="str">
        <f>HYPERLINK("https://drive.google.com/file/d/1Hzwx7amBmbuD0tEsUqBt1U2DGQo8YK0V/view?usp=drivesdk","EKO RIYANTO SERTIFIKAT BerAKHLAK")</f>
        <v>EKO RIYANTO SERTIFIKAT BerAKHLAK</v>
      </c>
      <c r="K3404" s="5" t="s">
        <v>23289</v>
      </c>
      <c r="L3404" s="5" t="s">
        <v>23452</v>
      </c>
      <c r="M3404" s="5" t="s">
        <v>23453</v>
      </c>
      <c r="N3404" s="7" t="s">
        <v>23454</v>
      </c>
      <c r="O3404" s="8" t="str">
        <f>HYPERLINK("https://drive.google.com/file/d/1C6pt6pk61G_bTafTQ72WCH608CsP9hCd/view?usp=drivesdk","3403_EKO RIYANTO _ SERTIFIKAT BerAKHLAK")</f>
        <v>3403_EKO RIYANTO _ SERTIFIKAT BerAKHLAK</v>
      </c>
      <c r="P3404" s="5" t="s">
        <v>23440</v>
      </c>
    </row>
    <row r="3405">
      <c r="A3405" s="4">
        <v>45534.34499261574</v>
      </c>
      <c r="B3405" s="5" t="s">
        <v>34</v>
      </c>
      <c r="D3405" s="5" t="s">
        <v>4775</v>
      </c>
      <c r="E3405" s="5" t="s">
        <v>23455</v>
      </c>
      <c r="F3405" s="5" t="s">
        <v>375</v>
      </c>
      <c r="G3405" s="5" t="s">
        <v>23456</v>
      </c>
      <c r="H3405" s="6" t="s">
        <v>23457</v>
      </c>
      <c r="I3405" s="7" t="s">
        <v>23458</v>
      </c>
      <c r="J3405" s="8" t="str">
        <f>HYPERLINK("https://drive.google.com/file/d/150jZwdR6jOS4oISGNH1QCQsKVZwjajW-/view?usp=drivesdk","AMBARWATI. S.E SERTIFIKAT BerAKHLAK")</f>
        <v>AMBARWATI. S.E SERTIFIKAT BerAKHLAK</v>
      </c>
      <c r="K3405" s="5" t="s">
        <v>23289</v>
      </c>
      <c r="L3405" s="5" t="s">
        <v>23459</v>
      </c>
      <c r="M3405" s="5" t="s">
        <v>23460</v>
      </c>
      <c r="N3405" s="7" t="s">
        <v>23461</v>
      </c>
      <c r="O3405" s="8" t="str">
        <f>HYPERLINK("https://drive.google.com/file/d/1hftGjck7C6lY4-7uryA4bAZPrrOPUtii/view?usp=drivesdk","3404_AMBARWATI. S.E _ SERTIFIKAT BerAKHLAK")</f>
        <v>3404_AMBARWATI. S.E _ SERTIFIKAT BerAKHLAK</v>
      </c>
      <c r="P3405" s="5" t="s">
        <v>23440</v>
      </c>
    </row>
    <row r="3406">
      <c r="A3406" s="4">
        <v>45534.34499354167</v>
      </c>
      <c r="B3406" s="5" t="s">
        <v>34</v>
      </c>
      <c r="D3406" s="5" t="s">
        <v>35</v>
      </c>
      <c r="E3406" s="5" t="s">
        <v>23462</v>
      </c>
      <c r="F3406" s="5" t="s">
        <v>108</v>
      </c>
      <c r="G3406" s="5" t="s">
        <v>23463</v>
      </c>
      <c r="H3406" s="6" t="s">
        <v>23464</v>
      </c>
      <c r="K3406" s="5" t="s">
        <v>23465</v>
      </c>
      <c r="M3406" s="5" t="s">
        <v>23466</v>
      </c>
      <c r="N3406" s="7" t="s">
        <v>23467</v>
      </c>
      <c r="O3406" s="8" t="str">
        <f>HYPERLINK("https://drive.google.com/file/d/1CceBbgaQP0bejoRRFxzFVxhMWE3OJp5H/view?usp=drivesdk","3405_RADEN ALIT GANTINA _ SERTIFIKAT BerAKHLAK")</f>
        <v>3405_RADEN ALIT GANTINA _ SERTIFIKAT BerAKHLAK</v>
      </c>
      <c r="P3406" s="5" t="s">
        <v>23468</v>
      </c>
    </row>
    <row r="3407">
      <c r="A3407" s="4">
        <v>45534.34499855324</v>
      </c>
      <c r="B3407" s="5" t="s">
        <v>34</v>
      </c>
      <c r="D3407" s="5" t="s">
        <v>35</v>
      </c>
      <c r="E3407" s="5" t="s">
        <v>23469</v>
      </c>
      <c r="F3407" s="5" t="s">
        <v>524</v>
      </c>
      <c r="G3407" s="5" t="s">
        <v>23470</v>
      </c>
      <c r="H3407" s="6" t="s">
        <v>23471</v>
      </c>
      <c r="K3407" s="5" t="s">
        <v>23465</v>
      </c>
      <c r="M3407" s="5" t="s">
        <v>23472</v>
      </c>
      <c r="N3407" s="7" t="s">
        <v>23473</v>
      </c>
      <c r="O3407" s="8" t="str">
        <f>HYPERLINK("https://drive.google.com/file/d/1EpeSRAAq-ZPwBr6k7tLGcobrQcvimYnf/view?usp=drivesdk","3406_RASMADI _ SERTIFIKAT BerAKHLAK")</f>
        <v>3406_RASMADI _ SERTIFIKAT BerAKHLAK</v>
      </c>
      <c r="P3407" s="5" t="s">
        <v>23468</v>
      </c>
    </row>
    <row r="3408">
      <c r="A3408" s="4">
        <v>45534.345002546295</v>
      </c>
      <c r="B3408" s="5" t="s">
        <v>34</v>
      </c>
      <c r="D3408" s="5" t="s">
        <v>1206</v>
      </c>
      <c r="E3408" s="5" t="s">
        <v>23474</v>
      </c>
      <c r="F3408" s="5" t="s">
        <v>212</v>
      </c>
      <c r="G3408" s="5" t="s">
        <v>23475</v>
      </c>
      <c r="H3408" s="6" t="s">
        <v>23476</v>
      </c>
      <c r="K3408" s="5" t="s">
        <v>23465</v>
      </c>
      <c r="M3408" s="5" t="s">
        <v>23477</v>
      </c>
      <c r="N3408" s="7" t="s">
        <v>23478</v>
      </c>
      <c r="O3408" s="8" t="str">
        <f>HYPERLINK("https://drive.google.com/file/d/1Pk2iWM3gl-9xCCSk7G6sK09qA0bwEei-/view?usp=drivesdk","3407_AGUSTINUS RIYANUARSO  _ SERTIFIKAT BerAKHLAK")</f>
        <v>3407_AGUSTINUS RIYANUARSO  _ SERTIFIKAT BerAKHLAK</v>
      </c>
      <c r="P3408" s="5" t="s">
        <v>23468</v>
      </c>
    </row>
    <row r="3409" hidden="1">
      <c r="A3409" s="4">
        <v>45534.34501053241</v>
      </c>
      <c r="B3409" s="5" t="s">
        <v>19</v>
      </c>
      <c r="C3409" s="5" t="s">
        <v>1606</v>
      </c>
      <c r="E3409" s="5" t="s">
        <v>23479</v>
      </c>
      <c r="F3409" s="5" t="s">
        <v>212</v>
      </c>
      <c r="G3409" s="5" t="s">
        <v>23480</v>
      </c>
      <c r="H3409" s="6" t="s">
        <v>23481</v>
      </c>
      <c r="I3409" s="7" t="s">
        <v>23482</v>
      </c>
      <c r="J3409" s="8" t="str">
        <f>HYPERLINK("https://drive.google.com/file/d/1rTGXNQHpsbtnPl0BKRBWRjn_Nt7pqErt/view?usp=drivesdk","IIN SUMIATI  SERTIFIKAT BerAKHLAK")</f>
        <v>IIN SUMIATI  SERTIFIKAT BerAKHLAK</v>
      </c>
      <c r="K3409" s="5" t="s">
        <v>23289</v>
      </c>
      <c r="L3409" s="5" t="s">
        <v>23483</v>
      </c>
      <c r="M3409" s="5" t="s">
        <v>23484</v>
      </c>
      <c r="N3409" s="7" t="s">
        <v>23485</v>
      </c>
      <c r="O3409" s="8" t="str">
        <f>HYPERLINK("https://drive.google.com/file/d/1CEC7BxATFkQDmt-LjEirOx0MHruXLnsE/view?usp=drivesdk","3408_IIN SUMIATI  _ SERTIFIKAT BerAKHLAK")</f>
        <v>3408_IIN SUMIATI  _ SERTIFIKAT BerAKHLAK</v>
      </c>
      <c r="P3409" s="5" t="s">
        <v>23486</v>
      </c>
    </row>
    <row r="3410">
      <c r="A3410" s="4">
        <v>45534.34501877315</v>
      </c>
      <c r="B3410" s="5" t="s">
        <v>34</v>
      </c>
      <c r="D3410" s="5" t="s">
        <v>996</v>
      </c>
      <c r="E3410" s="5" t="s">
        <v>23487</v>
      </c>
      <c r="F3410" s="5" t="s">
        <v>72</v>
      </c>
      <c r="G3410" s="5" t="s">
        <v>23488</v>
      </c>
      <c r="H3410" s="6" t="s">
        <v>23489</v>
      </c>
      <c r="I3410" s="7" t="s">
        <v>23490</v>
      </c>
      <c r="J3410" s="8" t="str">
        <f>HYPERLINK("https://drive.google.com/file/d/1Bu8Xdqki47Jg6jNE3uV8geoiwN9nyOev/view?usp=drivesdk","EDI SUBAGIO, S.H.,M.M. SERTIFIKAT BerAKHLAK")</f>
        <v>EDI SUBAGIO, S.H.,M.M. SERTIFIKAT BerAKHLAK</v>
      </c>
      <c r="K3410" s="5" t="s">
        <v>23289</v>
      </c>
      <c r="L3410" s="5" t="s">
        <v>23491</v>
      </c>
      <c r="M3410" s="5" t="s">
        <v>23492</v>
      </c>
      <c r="N3410" s="7" t="s">
        <v>23493</v>
      </c>
      <c r="O3410" s="8" t="str">
        <f>HYPERLINK("https://drive.google.com/file/d/1z3e1cRpLEOPUOBvbXdQ1iAi3YJ-pDjI6/view?usp=drivesdk","3409_EDI SUBAGIO, S.H.,M.M. _ SERTIFIKAT BerAKHLAK")</f>
        <v>3409_EDI SUBAGIO, S.H.,M.M. _ SERTIFIKAT BerAKHLAK</v>
      </c>
      <c r="P3410" s="5" t="s">
        <v>23486</v>
      </c>
    </row>
    <row r="3411">
      <c r="A3411" s="4">
        <v>45534.34502050926</v>
      </c>
      <c r="B3411" s="5" t="s">
        <v>34</v>
      </c>
      <c r="D3411" s="5" t="s">
        <v>6232</v>
      </c>
      <c r="E3411" s="5" t="s">
        <v>23494</v>
      </c>
      <c r="F3411" s="5" t="s">
        <v>72</v>
      </c>
      <c r="G3411" s="5" t="s">
        <v>23495</v>
      </c>
      <c r="H3411" s="6" t="s">
        <v>23496</v>
      </c>
      <c r="I3411" s="7" t="s">
        <v>23497</v>
      </c>
      <c r="J3411" s="8" t="str">
        <f>HYPERLINK("https://drive.google.com/file/d/1eRyfYUftaSZ9vscpD5AJIU_LfMgookaa/view?usp=drivesdk","dr. RHESIWENNY RUSHE SERTIFIKAT BerAKHLAK")</f>
        <v>dr. RHESIWENNY RUSHE SERTIFIKAT BerAKHLAK</v>
      </c>
      <c r="K3411" s="5" t="s">
        <v>23289</v>
      </c>
      <c r="L3411" s="5" t="s">
        <v>23498</v>
      </c>
      <c r="M3411" s="5" t="s">
        <v>23499</v>
      </c>
      <c r="N3411" s="7" t="s">
        <v>23500</v>
      </c>
      <c r="O3411" s="8" t="str">
        <f>HYPERLINK("https://drive.google.com/file/d/1nYfM-3ssce3r9-AUbQHP8V9vFSYaVJrr/view?usp=drivesdk","3410_dr. RHESIWENNY RUSHE _ SERTIFIKAT BerAKHLAK")</f>
        <v>3410_dr. RHESIWENNY RUSHE _ SERTIFIKAT BerAKHLAK</v>
      </c>
      <c r="P3411" s="5" t="s">
        <v>23486</v>
      </c>
    </row>
    <row r="3412" hidden="1">
      <c r="A3412" s="4">
        <v>45534.34502405093</v>
      </c>
      <c r="B3412" s="5" t="s">
        <v>19</v>
      </c>
      <c r="C3412" s="5" t="s">
        <v>442</v>
      </c>
      <c r="E3412" s="5" t="s">
        <v>23501</v>
      </c>
      <c r="F3412" s="5" t="s">
        <v>375</v>
      </c>
      <c r="G3412" s="5" t="s">
        <v>23502</v>
      </c>
      <c r="H3412" s="6" t="s">
        <v>23503</v>
      </c>
      <c r="I3412" s="7" t="s">
        <v>23504</v>
      </c>
      <c r="J3412" s="8" t="str">
        <f>HYPERLINK("https://drive.google.com/file/d/14hZgpz3FmNhAjCQPAXmuF1PdrTVnNlgs/view?usp=drivesdk","KARIFUDDIN, S. Sos., M. H.  SERTIFIKAT BerAKHLAK")</f>
        <v>KARIFUDDIN, S. Sos., M. H.  SERTIFIKAT BerAKHLAK</v>
      </c>
      <c r="K3412" s="5" t="s">
        <v>23289</v>
      </c>
      <c r="L3412" s="5" t="s">
        <v>23505</v>
      </c>
      <c r="M3412" s="5" t="s">
        <v>23506</v>
      </c>
      <c r="N3412" s="7" t="s">
        <v>23507</v>
      </c>
      <c r="O3412" s="8" t="str">
        <f>HYPERLINK("https://drive.google.com/file/d/1PjqjsBg7uw8DXUIHFbcSp2Zu-YZQVBZ1/view?usp=drivesdk","3411_KARIFUDDIN, S. Sos., M. H.  _ SERTIFIKAT BerAKHLAK")</f>
        <v>3411_KARIFUDDIN, S. Sos., M. H.  _ SERTIFIKAT BerAKHLAK</v>
      </c>
      <c r="P3412" s="5" t="s">
        <v>23486</v>
      </c>
    </row>
    <row r="3413">
      <c r="A3413" s="4">
        <v>45534.3450312037</v>
      </c>
      <c r="B3413" s="5" t="s">
        <v>34</v>
      </c>
      <c r="D3413" s="5" t="s">
        <v>1206</v>
      </c>
      <c r="E3413" s="5" t="s">
        <v>23508</v>
      </c>
      <c r="F3413" s="5" t="s">
        <v>375</v>
      </c>
      <c r="G3413" s="5" t="s">
        <v>23509</v>
      </c>
      <c r="H3413" s="6" t="s">
        <v>23510</v>
      </c>
      <c r="I3413" s="7" t="s">
        <v>23511</v>
      </c>
      <c r="J3413" s="8" t="str">
        <f>HYPERLINK("https://drive.google.com/file/d/1EeGok6G_MDnRsSxhfh1Yx9aBewdrSeI0/view?usp=drivesdk","INDRADI SERTIFIKAT BerAKHLAK")</f>
        <v>INDRADI SERTIFIKAT BerAKHLAK</v>
      </c>
      <c r="K3413" s="5" t="s">
        <v>23289</v>
      </c>
      <c r="L3413" s="5" t="s">
        <v>23512</v>
      </c>
      <c r="M3413" s="5" t="s">
        <v>23513</v>
      </c>
      <c r="N3413" s="7" t="s">
        <v>23514</v>
      </c>
      <c r="O3413" s="8" t="str">
        <f>HYPERLINK("https://drive.google.com/file/d/1FXKbvcSkAfQOqZKAu1V3SmCCFzZu3JYw/view?usp=drivesdk","3412_INDRADI _ SERTIFIKAT BerAKHLAK")</f>
        <v>3412_INDRADI _ SERTIFIKAT BerAKHLAK</v>
      </c>
      <c r="P3413" s="5" t="s">
        <v>23515</v>
      </c>
    </row>
    <row r="3414">
      <c r="A3414" s="4">
        <v>45534.34503430556</v>
      </c>
      <c r="B3414" s="5" t="s">
        <v>34</v>
      </c>
      <c r="D3414" s="5" t="s">
        <v>4775</v>
      </c>
      <c r="E3414" s="5" t="s">
        <v>23516</v>
      </c>
      <c r="F3414" s="5" t="s">
        <v>37</v>
      </c>
      <c r="G3414" s="5" t="s">
        <v>23517</v>
      </c>
      <c r="H3414" s="6" t="s">
        <v>23518</v>
      </c>
      <c r="I3414" s="7" t="s">
        <v>23519</v>
      </c>
      <c r="J3414" s="8" t="str">
        <f>HYPERLINK("https://drive.google.com/file/d/15Jv-ADgMaVVkx-W99aK6reF2qcmHw6wr/view?usp=drivesdk","FAJARINA BUDIARTI  SERTIFIKAT BerAKHLAK")</f>
        <v>FAJARINA BUDIARTI  SERTIFIKAT BerAKHLAK</v>
      </c>
      <c r="K3414" s="5" t="s">
        <v>23289</v>
      </c>
      <c r="L3414" s="5" t="s">
        <v>23520</v>
      </c>
      <c r="M3414" s="5" t="s">
        <v>23521</v>
      </c>
      <c r="N3414" s="7" t="s">
        <v>23522</v>
      </c>
      <c r="O3414" s="8" t="str">
        <f>HYPERLINK("https://drive.google.com/file/d/1tAxtVaq-0AdjqVMM2W5mtT4FXeJk8DOW/view?usp=drivesdk","3413_FAJARINA BUDIARTI  _ SERTIFIKAT BerAKHLAK")</f>
        <v>3413_FAJARINA BUDIARTI  _ SERTIFIKAT BerAKHLAK</v>
      </c>
      <c r="P3414" s="5" t="s">
        <v>23515</v>
      </c>
    </row>
    <row r="3415">
      <c r="A3415" s="4">
        <v>45534.34503458333</v>
      </c>
      <c r="B3415" s="5" t="s">
        <v>34</v>
      </c>
      <c r="D3415" s="5" t="s">
        <v>1206</v>
      </c>
      <c r="E3415" s="5" t="s">
        <v>23523</v>
      </c>
      <c r="F3415" s="5" t="s">
        <v>37</v>
      </c>
      <c r="G3415" s="5" t="s">
        <v>23524</v>
      </c>
      <c r="H3415" s="6" t="s">
        <v>23525</v>
      </c>
      <c r="K3415" s="5" t="s">
        <v>23526</v>
      </c>
      <c r="M3415" s="5" t="s">
        <v>23527</v>
      </c>
      <c r="N3415" s="7" t="s">
        <v>23528</v>
      </c>
      <c r="O3415" s="8" t="str">
        <f>HYPERLINK("https://drive.google.com/file/d/1oUSHvpkj5oErzbMl55H3blJBYFLmO_5d/view?usp=drivesdk","3414_ACH HERMANTO _ SERTIFIKAT BerAKHLAK")</f>
        <v>3414_ACH HERMANTO _ SERTIFIKAT BerAKHLAK</v>
      </c>
      <c r="P3415" s="5" t="s">
        <v>23515</v>
      </c>
    </row>
    <row r="3416">
      <c r="A3416" s="4">
        <v>45534.34504248842</v>
      </c>
      <c r="B3416" s="5" t="s">
        <v>34</v>
      </c>
      <c r="D3416" s="5" t="s">
        <v>4775</v>
      </c>
      <c r="E3416" s="5" t="s">
        <v>23529</v>
      </c>
      <c r="F3416" s="5" t="s">
        <v>524</v>
      </c>
      <c r="G3416" s="5" t="s">
        <v>23530</v>
      </c>
      <c r="H3416" s="6" t="s">
        <v>23531</v>
      </c>
      <c r="K3416" s="5" t="s">
        <v>23526</v>
      </c>
      <c r="M3416" s="5" t="s">
        <v>23532</v>
      </c>
      <c r="N3416" s="7" t="s">
        <v>23533</v>
      </c>
      <c r="O3416" s="8" t="str">
        <f>HYPERLINK("https://drive.google.com/file/d/1f7tApH7Wo-qaEVgaTM4iMTCXQKHko2W9/view?usp=drivesdk","3415_MARGIANA SUKA PREHATIN _ SERTIFIKAT BerAKHLAK")</f>
        <v>3415_MARGIANA SUKA PREHATIN _ SERTIFIKAT BerAKHLAK</v>
      </c>
      <c r="P3416" s="5" t="s">
        <v>23534</v>
      </c>
    </row>
    <row r="3417">
      <c r="A3417" s="4">
        <v>45534.34505065972</v>
      </c>
      <c r="B3417" s="5" t="s">
        <v>34</v>
      </c>
      <c r="D3417" s="5" t="s">
        <v>14313</v>
      </c>
      <c r="E3417" s="5" t="s">
        <v>23535</v>
      </c>
      <c r="F3417" s="5" t="s">
        <v>715</v>
      </c>
      <c r="G3417" s="5" t="s">
        <v>23536</v>
      </c>
      <c r="H3417" s="6" t="s">
        <v>23537</v>
      </c>
      <c r="K3417" s="5" t="s">
        <v>23526</v>
      </c>
      <c r="M3417" s="5" t="s">
        <v>23538</v>
      </c>
      <c r="N3417" s="7" t="s">
        <v>23539</v>
      </c>
      <c r="O3417" s="8" t="str">
        <f>HYPERLINK("https://drive.google.com/file/d/1hpGjBeb5EkLSLkCerrHsFgS5bK_gOKT9/view?usp=drivesdk","3416_JASMIA, S.H _ SERTIFIKAT BerAKHLAK")</f>
        <v>3416_JASMIA, S.H _ SERTIFIKAT BerAKHLAK</v>
      </c>
      <c r="P3417" s="5" t="s">
        <v>23534</v>
      </c>
    </row>
    <row r="3418">
      <c r="A3418" s="4">
        <v>45534.345061064814</v>
      </c>
      <c r="B3418" s="5" t="s">
        <v>34</v>
      </c>
      <c r="D3418" s="5" t="s">
        <v>1206</v>
      </c>
      <c r="E3418" s="5" t="s">
        <v>23540</v>
      </c>
      <c r="F3418" s="5" t="s">
        <v>108</v>
      </c>
      <c r="G3418" s="5" t="s">
        <v>23541</v>
      </c>
      <c r="H3418" s="6" t="s">
        <v>23542</v>
      </c>
      <c r="I3418" s="7" t="s">
        <v>23543</v>
      </c>
      <c r="J3418" s="8" t="str">
        <f>HYPERLINK("https://drive.google.com/file/d/1m0m2c_aNtwFLMgFI2eiBsA73S7vgSrqQ/view?usp=drivesdk","ANIK WINARTI SERTIFIKAT BerAKHLAK")</f>
        <v>ANIK WINARTI SERTIFIKAT BerAKHLAK</v>
      </c>
      <c r="K3418" s="5" t="s">
        <v>23289</v>
      </c>
      <c r="L3418" s="5" t="s">
        <v>23544</v>
      </c>
      <c r="M3418" s="5" t="s">
        <v>23545</v>
      </c>
      <c r="N3418" s="7" t="s">
        <v>23546</v>
      </c>
      <c r="O3418" s="8" t="str">
        <f>HYPERLINK("https://drive.google.com/file/d/1q4jpv0AFZPdUpIrklNIDAyE-xqVPWB1S/view?usp=drivesdk","3417_ANIK WINARTI _ SERTIFIKAT BerAKHLAK")</f>
        <v>3417_ANIK WINARTI _ SERTIFIKAT BerAKHLAK</v>
      </c>
      <c r="P3418" s="5" t="s">
        <v>23534</v>
      </c>
    </row>
    <row r="3419">
      <c r="A3419" s="4">
        <v>45534.34506172454</v>
      </c>
      <c r="B3419" s="5" t="s">
        <v>34</v>
      </c>
      <c r="D3419" s="5" t="s">
        <v>267</v>
      </c>
      <c r="E3419" s="5" t="s">
        <v>23547</v>
      </c>
      <c r="F3419" s="5" t="s">
        <v>72</v>
      </c>
      <c r="G3419" s="5" t="s">
        <v>23548</v>
      </c>
      <c r="H3419" s="6" t="s">
        <v>23549</v>
      </c>
      <c r="K3419" s="5" t="s">
        <v>23550</v>
      </c>
      <c r="M3419" s="5" t="s">
        <v>23551</v>
      </c>
      <c r="N3419" s="7" t="s">
        <v>23552</v>
      </c>
      <c r="O3419" s="8" t="str">
        <f>HYPERLINK("https://drive.google.com/file/d/1yOdYDvo145kmdw_bqV22rquklI_WT0CH/view?usp=drivesdk","3418_FARIDA WIDYANTI, S.Kom. _ SERTIFIKAT BerAKHLAK")</f>
        <v>3418_FARIDA WIDYANTI, S.Kom. _ SERTIFIKAT BerAKHLAK</v>
      </c>
      <c r="P3419" s="5" t="s">
        <v>23534</v>
      </c>
    </row>
    <row r="3420">
      <c r="A3420" s="4">
        <v>45534.34506440972</v>
      </c>
      <c r="B3420" s="5" t="s">
        <v>34</v>
      </c>
      <c r="D3420" s="5" t="s">
        <v>4775</v>
      </c>
      <c r="E3420" s="5" t="s">
        <v>23553</v>
      </c>
      <c r="F3420" s="5" t="s">
        <v>199</v>
      </c>
      <c r="G3420" s="5" t="s">
        <v>23554</v>
      </c>
      <c r="H3420" s="6" t="s">
        <v>23555</v>
      </c>
      <c r="K3420" s="5" t="s">
        <v>23550</v>
      </c>
      <c r="M3420" s="5" t="s">
        <v>23556</v>
      </c>
      <c r="N3420" s="7" t="s">
        <v>23557</v>
      </c>
      <c r="O3420" s="8" t="str">
        <f>HYPERLINK("https://drive.google.com/file/d/1j8VZlyTj4npYPXA-R9u8BaPJFvq7z99r/view?usp=drivesdk","3419_HARITOPO _ SERTIFIKAT BerAKHLAK")</f>
        <v>3419_HARITOPO _ SERTIFIKAT BerAKHLAK</v>
      </c>
      <c r="P3420" s="5" t="s">
        <v>23558</v>
      </c>
    </row>
    <row r="3421">
      <c r="A3421" s="4">
        <v>45534.34506902778</v>
      </c>
      <c r="B3421" s="5" t="s">
        <v>34</v>
      </c>
      <c r="D3421" s="5" t="s">
        <v>3849</v>
      </c>
      <c r="E3421" s="5" t="s">
        <v>23559</v>
      </c>
      <c r="F3421" s="5" t="s">
        <v>524</v>
      </c>
      <c r="G3421" s="5" t="s">
        <v>23560</v>
      </c>
      <c r="H3421" s="6" t="s">
        <v>23561</v>
      </c>
      <c r="K3421" s="5" t="s">
        <v>23550</v>
      </c>
      <c r="M3421" s="5" t="s">
        <v>23562</v>
      </c>
      <c r="N3421" s="7" t="s">
        <v>23563</v>
      </c>
      <c r="O3421" s="8" t="str">
        <f>HYPERLINK("https://drive.google.com/file/d/1znAQSoebqn6YoYAARpICTb3n1O19MJGn/view?usp=drivesdk","3420_LONIARTI _ SERTIFIKAT BerAKHLAK")</f>
        <v>3420_LONIARTI _ SERTIFIKAT BerAKHLAK</v>
      </c>
      <c r="P3421" s="5" t="s">
        <v>23558</v>
      </c>
    </row>
    <row r="3422">
      <c r="A3422" s="4">
        <v>45534.34507436343</v>
      </c>
      <c r="B3422" s="5" t="s">
        <v>34</v>
      </c>
      <c r="D3422" s="5" t="s">
        <v>6232</v>
      </c>
      <c r="E3422" s="5" t="s">
        <v>23564</v>
      </c>
      <c r="F3422" s="5" t="s">
        <v>108</v>
      </c>
      <c r="G3422" s="5" t="s">
        <v>23565</v>
      </c>
      <c r="H3422" s="6" t="s">
        <v>23566</v>
      </c>
      <c r="K3422" s="5" t="s">
        <v>23550</v>
      </c>
      <c r="M3422" s="5" t="s">
        <v>23567</v>
      </c>
      <c r="N3422" s="7" t="s">
        <v>23568</v>
      </c>
      <c r="O3422" s="8" t="str">
        <f>HYPERLINK("https://drive.google.com/file/d/18NGKdXE_2dH7JxXfd3Bm9fSe9fUt0FUN/view?usp=drivesdk","3421_dr. SEPTIAWAN PERNANDES MANAF _ SERTIFIKAT BerAKHLAK")</f>
        <v>3421_dr. SEPTIAWAN PERNANDES MANAF _ SERTIFIKAT BerAKHLAK</v>
      </c>
      <c r="P3422" s="5" t="s">
        <v>23558</v>
      </c>
    </row>
    <row r="3423">
      <c r="A3423" s="4">
        <v>45534.34507763889</v>
      </c>
      <c r="B3423" s="5" t="s">
        <v>34</v>
      </c>
      <c r="D3423" s="5" t="s">
        <v>7858</v>
      </c>
      <c r="E3423" s="5" t="s">
        <v>23569</v>
      </c>
      <c r="F3423" s="5" t="s">
        <v>375</v>
      </c>
      <c r="G3423" s="5" t="s">
        <v>23570</v>
      </c>
      <c r="H3423" s="6" t="s">
        <v>23571</v>
      </c>
      <c r="K3423" s="5" t="s">
        <v>23550</v>
      </c>
      <c r="M3423" s="5" t="s">
        <v>23572</v>
      </c>
      <c r="N3423" s="7" t="s">
        <v>23573</v>
      </c>
      <c r="O3423" s="8" t="str">
        <f>HYPERLINK("https://drive.google.com/file/d/1GWIy7cdhlwljm6raI89Ria8kTpV5_o5v/view?usp=drivesdk","3422_SUHERMAN, S.E. _ SERTIFIKAT BerAKHLAK")</f>
        <v>3422_SUHERMAN, S.E. _ SERTIFIKAT BerAKHLAK</v>
      </c>
      <c r="P3423" s="5" t="s">
        <v>23574</v>
      </c>
    </row>
    <row r="3424">
      <c r="A3424" s="4">
        <v>45534.345099872684</v>
      </c>
      <c r="B3424" s="5" t="s">
        <v>34</v>
      </c>
      <c r="D3424" s="5" t="s">
        <v>35</v>
      </c>
      <c r="E3424" s="5" t="s">
        <v>23575</v>
      </c>
      <c r="F3424" s="5" t="s">
        <v>375</v>
      </c>
      <c r="G3424" s="5" t="s">
        <v>23576</v>
      </c>
      <c r="H3424" s="6" t="s">
        <v>23577</v>
      </c>
      <c r="K3424" s="5" t="s">
        <v>23550</v>
      </c>
      <c r="M3424" s="5" t="s">
        <v>23578</v>
      </c>
      <c r="N3424" s="7" t="s">
        <v>23579</v>
      </c>
      <c r="O3424" s="8" t="str">
        <f>HYPERLINK("https://drive.google.com/file/d/1sr16VT3nXbtUC1s1_--5P7JyOiDx2QFF/view?usp=drivesdk","3423_RUKMAN _ SERTIFIKAT BerAKHLAK")</f>
        <v>3423_RUKMAN _ SERTIFIKAT BerAKHLAK</v>
      </c>
      <c r="P3424" s="5" t="s">
        <v>23574</v>
      </c>
    </row>
    <row r="3425">
      <c r="A3425" s="4">
        <v>45534.34510607639</v>
      </c>
      <c r="B3425" s="5" t="s">
        <v>34</v>
      </c>
      <c r="D3425" s="5" t="s">
        <v>9020</v>
      </c>
      <c r="E3425" s="5" t="s">
        <v>23580</v>
      </c>
      <c r="F3425" s="5" t="s">
        <v>212</v>
      </c>
      <c r="G3425" s="5" t="s">
        <v>23581</v>
      </c>
      <c r="H3425" s="6" t="s">
        <v>23582</v>
      </c>
      <c r="I3425" s="7" t="s">
        <v>23583</v>
      </c>
      <c r="J3425" s="8" t="str">
        <f>HYPERLINK("https://drive.google.com/file/d/1PzFufXqDFlPHTGTp40wgWOeqcSWVVJj0/view?usp=drivesdk","SUPARLI  SERTIFIKAT BerAKHLAK")</f>
        <v>SUPARLI  SERTIFIKAT BerAKHLAK</v>
      </c>
      <c r="K3425" s="5" t="s">
        <v>23289</v>
      </c>
      <c r="L3425" s="5" t="s">
        <v>23584</v>
      </c>
      <c r="M3425" s="5" t="s">
        <v>23585</v>
      </c>
      <c r="N3425" s="7" t="s">
        <v>23586</v>
      </c>
      <c r="O3425" s="8" t="str">
        <f>HYPERLINK("https://drive.google.com/file/d/17OSa5VMeK0UaAa9eXocKkup50hCOnPBt/view?usp=drivesdk","3424_SUPARLI  _ SERTIFIKAT BerAKHLAK")</f>
        <v>3424_SUPARLI  _ SERTIFIKAT BerAKHLAK</v>
      </c>
      <c r="P3425" s="5" t="s">
        <v>23574</v>
      </c>
    </row>
    <row r="3426">
      <c r="A3426" s="4">
        <v>45534.345106249995</v>
      </c>
      <c r="B3426" s="5" t="s">
        <v>34</v>
      </c>
      <c r="D3426" s="5" t="s">
        <v>1206</v>
      </c>
      <c r="E3426" s="5" t="s">
        <v>23587</v>
      </c>
      <c r="F3426" s="5" t="s">
        <v>120</v>
      </c>
      <c r="G3426" s="5" t="s">
        <v>23588</v>
      </c>
      <c r="H3426" s="6" t="s">
        <v>23589</v>
      </c>
      <c r="K3426" s="5" t="s">
        <v>23590</v>
      </c>
      <c r="M3426" s="5" t="s">
        <v>23591</v>
      </c>
      <c r="N3426" s="7" t="s">
        <v>23592</v>
      </c>
      <c r="O3426" s="8" t="str">
        <f>HYPERLINK("https://drive.google.com/file/d/18K_1LzhHSpSVlPfxHWr3Ohkc4xHEY18B/view?usp=drivesdk","3425_YUSTIARI, SH _ SERTIFIKAT BerAKHLAK")</f>
        <v>3425_YUSTIARI, SH _ SERTIFIKAT BerAKHLAK</v>
      </c>
      <c r="P3426" s="5" t="s">
        <v>23574</v>
      </c>
    </row>
    <row r="3427">
      <c r="A3427" s="4">
        <v>45534.3451077662</v>
      </c>
      <c r="B3427" s="5" t="s">
        <v>34</v>
      </c>
      <c r="D3427" s="5" t="s">
        <v>1206</v>
      </c>
      <c r="E3427" s="5" t="s">
        <v>23593</v>
      </c>
      <c r="F3427" s="5" t="s">
        <v>212</v>
      </c>
      <c r="G3427" s="5" t="s">
        <v>23594</v>
      </c>
      <c r="H3427" s="6" t="s">
        <v>23595</v>
      </c>
      <c r="K3427" s="5" t="s">
        <v>23590</v>
      </c>
      <c r="M3427" s="5" t="s">
        <v>23596</v>
      </c>
      <c r="N3427" s="7" t="s">
        <v>23597</v>
      </c>
      <c r="O3427" s="8" t="str">
        <f>HYPERLINK("https://drive.google.com/file/d/14O1v_OXwkoJFX9WOpXPydsHaqdiBtiCe/view?usp=drivesdk","3426_TUKINI _ SERTIFIKAT BerAKHLAK")</f>
        <v>3426_TUKINI _ SERTIFIKAT BerAKHLAK</v>
      </c>
      <c r="P3427" s="5" t="s">
        <v>23574</v>
      </c>
    </row>
    <row r="3428">
      <c r="A3428" s="4">
        <v>45534.34511459491</v>
      </c>
      <c r="B3428" s="5" t="s">
        <v>34</v>
      </c>
      <c r="D3428" s="5" t="s">
        <v>267</v>
      </c>
      <c r="E3428" s="5" t="s">
        <v>23598</v>
      </c>
      <c r="F3428" s="5" t="s">
        <v>37</v>
      </c>
      <c r="G3428" s="5" t="s">
        <v>23599</v>
      </c>
      <c r="H3428" s="6" t="s">
        <v>23600</v>
      </c>
      <c r="K3428" s="5" t="s">
        <v>23590</v>
      </c>
      <c r="M3428" s="5" t="s">
        <v>23601</v>
      </c>
      <c r="N3428" s="7" t="s">
        <v>23602</v>
      </c>
      <c r="O3428" s="8" t="str">
        <f>HYPERLINK("https://drive.google.com/file/d/1RpcbXKqKdBqhOldvuOefV2zABLxjiMFK/view?usp=drivesdk","3427_MUJIYANA _ SERTIFIKAT BerAKHLAK")</f>
        <v>3427_MUJIYANA _ SERTIFIKAT BerAKHLAK</v>
      </c>
      <c r="P3428" s="5" t="s">
        <v>23603</v>
      </c>
    </row>
    <row r="3429" hidden="1">
      <c r="A3429" s="4">
        <v>45534.34511930555</v>
      </c>
      <c r="B3429" s="5" t="s">
        <v>19</v>
      </c>
      <c r="C3429" s="5" t="s">
        <v>8666</v>
      </c>
      <c r="E3429" s="5" t="s">
        <v>23604</v>
      </c>
      <c r="F3429" s="5" t="s">
        <v>5859</v>
      </c>
      <c r="G3429" s="5" t="s">
        <v>23605</v>
      </c>
      <c r="H3429" s="6" t="s">
        <v>23606</v>
      </c>
      <c r="K3429" s="5" t="s">
        <v>23590</v>
      </c>
      <c r="M3429" s="5" t="s">
        <v>23607</v>
      </c>
      <c r="N3429" s="7" t="s">
        <v>23608</v>
      </c>
      <c r="O3429" s="8" t="str">
        <f>HYPERLINK("https://drive.google.com/file/d/1VpyvKY8Rna_T1c3mh-LgCWLWIou35DF6/view?usp=drivesdk","3428_KADIKUN  _ SERTIFIKAT BerAKHLAK")</f>
        <v>3428_KADIKUN  _ SERTIFIKAT BerAKHLAK</v>
      </c>
      <c r="P3429" s="5" t="s">
        <v>23603</v>
      </c>
    </row>
    <row r="3430" hidden="1">
      <c r="A3430" s="4">
        <v>45534.34512425926</v>
      </c>
      <c r="B3430" s="5" t="s">
        <v>19</v>
      </c>
      <c r="C3430" s="5" t="s">
        <v>466</v>
      </c>
      <c r="E3430" s="5" t="s">
        <v>23609</v>
      </c>
      <c r="F3430" s="5" t="s">
        <v>375</v>
      </c>
      <c r="G3430" s="5" t="s">
        <v>23610</v>
      </c>
      <c r="H3430" s="6" t="s">
        <v>23611</v>
      </c>
      <c r="K3430" s="5" t="s">
        <v>23590</v>
      </c>
      <c r="M3430" s="5" t="s">
        <v>23612</v>
      </c>
      <c r="N3430" s="7" t="s">
        <v>23613</v>
      </c>
      <c r="O3430" s="8" t="str">
        <f>HYPERLINK("https://drive.google.com/file/d/1lpuTBcAXUpr1gRclIdvX9J11-NMF77uG/view?usp=drivesdk","3429_DWI SARI NURHAYATI.S.PD. _ SERTIFIKAT BerAKHLAK")</f>
        <v>3429_DWI SARI NURHAYATI.S.PD. _ SERTIFIKAT BerAKHLAK</v>
      </c>
      <c r="P3430" s="5" t="s">
        <v>23603</v>
      </c>
    </row>
    <row r="3431">
      <c r="A3431" s="4">
        <v>45534.34513832176</v>
      </c>
      <c r="B3431" s="5" t="s">
        <v>34</v>
      </c>
      <c r="D3431" s="5" t="s">
        <v>4775</v>
      </c>
      <c r="E3431" s="5" t="s">
        <v>23614</v>
      </c>
      <c r="F3431" s="5" t="s">
        <v>212</v>
      </c>
      <c r="G3431" s="5" t="s">
        <v>23615</v>
      </c>
      <c r="H3431" s="6" t="s">
        <v>23616</v>
      </c>
      <c r="K3431" s="5" t="s">
        <v>23590</v>
      </c>
      <c r="M3431" s="5" t="s">
        <v>23617</v>
      </c>
      <c r="N3431" s="7" t="s">
        <v>23618</v>
      </c>
      <c r="O3431" s="8" t="str">
        <f>HYPERLINK("https://drive.google.com/file/d/1M6aFXy6vGCRAzE4_IkDkWMsbWA4fE4OS/view?usp=drivesdk","3430_YUNITA _ SERTIFIKAT BerAKHLAK")</f>
        <v>3430_YUNITA _ SERTIFIKAT BerAKHLAK</v>
      </c>
      <c r="P3431" s="5" t="s">
        <v>23619</v>
      </c>
    </row>
    <row r="3432">
      <c r="A3432" s="4">
        <v>45534.34514207176</v>
      </c>
      <c r="B3432" s="5" t="s">
        <v>34</v>
      </c>
      <c r="D3432" s="5" t="s">
        <v>1206</v>
      </c>
      <c r="E3432" s="5" t="s">
        <v>23620</v>
      </c>
      <c r="F3432" s="5" t="s">
        <v>212</v>
      </c>
      <c r="G3432" s="5" t="s">
        <v>23621</v>
      </c>
      <c r="H3432" s="6" t="s">
        <v>23622</v>
      </c>
      <c r="K3432" s="5" t="s">
        <v>23590</v>
      </c>
      <c r="M3432" s="5" t="s">
        <v>23623</v>
      </c>
      <c r="N3432" s="7" t="s">
        <v>23624</v>
      </c>
      <c r="O3432" s="8" t="str">
        <f>HYPERLINK("https://drive.google.com/file/d/1IwrSlzXZIfLXQNjXl9yMGI9YFLpH6f8N/view?usp=drivesdk","3431_SITI NURMIATI AMD KEP _ SERTIFIKAT BerAKHLAK")</f>
        <v>3431_SITI NURMIATI AMD KEP _ SERTIFIKAT BerAKHLAK</v>
      </c>
      <c r="P3432" s="5" t="s">
        <v>23619</v>
      </c>
    </row>
    <row r="3433">
      <c r="A3433" s="4">
        <v>45534.34515436343</v>
      </c>
      <c r="B3433" s="5" t="s">
        <v>34</v>
      </c>
      <c r="D3433" s="5" t="s">
        <v>4775</v>
      </c>
      <c r="E3433" s="5" t="s">
        <v>23625</v>
      </c>
      <c r="F3433" s="5" t="s">
        <v>375</v>
      </c>
      <c r="G3433" s="5" t="s">
        <v>23626</v>
      </c>
      <c r="H3433" s="6" t="s">
        <v>23627</v>
      </c>
      <c r="I3433" s="7" t="s">
        <v>23628</v>
      </c>
      <c r="J3433" s="8" t="str">
        <f>HYPERLINK("https://drive.google.com/file/d/1YCHIWLngVnu7VpQ3ile7-OeNtMPHkZ9k/view?usp=drivesdk","IDA PADMAWATI SERTIFIKAT BerAKHLAK")</f>
        <v>IDA PADMAWATI SERTIFIKAT BerAKHLAK</v>
      </c>
      <c r="K3433" s="5" t="s">
        <v>23289</v>
      </c>
      <c r="L3433" s="5" t="s">
        <v>23629</v>
      </c>
      <c r="M3433" s="5" t="s">
        <v>23630</v>
      </c>
      <c r="N3433" s="7" t="s">
        <v>23631</v>
      </c>
      <c r="O3433" s="8" t="str">
        <f>HYPERLINK("https://drive.google.com/file/d/1uXah1PiXCHU5ZOgWxECm-E27d8z6KvEX/view?usp=drivesdk","3432_IDA PADMAWATI _ SERTIFIKAT BerAKHLAK")</f>
        <v>3432_IDA PADMAWATI _ SERTIFIKAT BerAKHLAK</v>
      </c>
      <c r="P3433" s="5" t="s">
        <v>23619</v>
      </c>
    </row>
    <row r="3434">
      <c r="A3434" s="4">
        <v>45534.345166018524</v>
      </c>
      <c r="B3434" s="5" t="s">
        <v>34</v>
      </c>
      <c r="D3434" s="5" t="s">
        <v>4775</v>
      </c>
      <c r="E3434" s="5" t="s">
        <v>23632</v>
      </c>
      <c r="F3434" s="5" t="s">
        <v>199</v>
      </c>
      <c r="G3434" s="5" t="s">
        <v>23633</v>
      </c>
      <c r="H3434" s="6" t="s">
        <v>23634</v>
      </c>
      <c r="I3434" s="7" t="s">
        <v>23635</v>
      </c>
      <c r="J3434" s="8" t="str">
        <f>HYPERLINK("https://drive.google.com/file/d/1lXZrsFKaY3DmGGSKedGiVo8rA0LwKMFY/view?usp=drivesdk","RUDIYANTO SERTIFIKAT BerAKHLAK")</f>
        <v>RUDIYANTO SERTIFIKAT BerAKHLAK</v>
      </c>
      <c r="K3434" s="5" t="s">
        <v>23289</v>
      </c>
      <c r="L3434" s="5" t="s">
        <v>23636</v>
      </c>
      <c r="M3434" s="5" t="s">
        <v>23637</v>
      </c>
      <c r="N3434" s="7" t="s">
        <v>23638</v>
      </c>
      <c r="O3434" s="8" t="str">
        <f>HYPERLINK("https://drive.google.com/file/d/1hw-Fd5im0OpyJ_dilCzQO6d-02G_JzgT/view?usp=drivesdk","3433_RUDIYANTO _ SERTIFIKAT BerAKHLAK")</f>
        <v>3433_RUDIYANTO _ SERTIFIKAT BerAKHLAK</v>
      </c>
      <c r="P3434" s="5" t="s">
        <v>23619</v>
      </c>
    </row>
    <row r="3435">
      <c r="A3435" s="4">
        <v>45534.34517204861</v>
      </c>
      <c r="B3435" s="5" t="s">
        <v>34</v>
      </c>
      <c r="D3435" s="5" t="s">
        <v>4775</v>
      </c>
      <c r="E3435" s="5" t="s">
        <v>23639</v>
      </c>
      <c r="F3435" s="5" t="s">
        <v>524</v>
      </c>
      <c r="G3435" s="5" t="s">
        <v>23640</v>
      </c>
      <c r="H3435" s="6" t="s">
        <v>23641</v>
      </c>
      <c r="I3435" s="7" t="s">
        <v>23642</v>
      </c>
      <c r="J3435" s="8" t="str">
        <f>HYPERLINK("https://drive.google.com/file/d/1Febew1g69iCSrbJCCEuD0aZwIkDpc7aw/view?usp=drivesdk","ACHMAD MUROFIK SERTIFIKAT BerAKHLAK")</f>
        <v>ACHMAD MUROFIK SERTIFIKAT BerAKHLAK</v>
      </c>
      <c r="K3435" s="5" t="s">
        <v>23289</v>
      </c>
      <c r="L3435" s="5" t="s">
        <v>23643</v>
      </c>
      <c r="M3435" s="5" t="s">
        <v>23644</v>
      </c>
      <c r="N3435" s="7" t="s">
        <v>23645</v>
      </c>
      <c r="O3435" s="8" t="str">
        <f>HYPERLINK("https://drive.google.com/file/d/1brwq7mDhVzeYCEnGw8kSpWVRXNr0T3dJ/view?usp=drivesdk","3434_ACHMAD MUROFIK _ SERTIFIKAT BerAKHLAK")</f>
        <v>3434_ACHMAD MUROFIK _ SERTIFIKAT BerAKHLAK</v>
      </c>
      <c r="P3435" s="5" t="s">
        <v>23646</v>
      </c>
    </row>
    <row r="3436">
      <c r="A3436" s="4">
        <v>45534.34517252315</v>
      </c>
      <c r="B3436" s="5" t="s">
        <v>34</v>
      </c>
      <c r="D3436" s="5" t="s">
        <v>4775</v>
      </c>
      <c r="E3436" s="5" t="s">
        <v>23647</v>
      </c>
      <c r="F3436" s="5" t="s">
        <v>72</v>
      </c>
      <c r="G3436" s="5" t="s">
        <v>23648</v>
      </c>
      <c r="H3436" s="6" t="s">
        <v>23649</v>
      </c>
      <c r="K3436" s="5" t="s">
        <v>23650</v>
      </c>
      <c r="M3436" s="5" t="s">
        <v>23651</v>
      </c>
      <c r="N3436" s="7" t="s">
        <v>23652</v>
      </c>
      <c r="O3436" s="8" t="str">
        <f>HYPERLINK("https://drive.google.com/file/d/1fVyYWBn31hm9bIuFgkVFAC_V--KJ6H7f/view?usp=drivesdk","3435_PAPANG AVIANTO DIRGANTORO, S.M., M.H. _ SERTIFIKAT BerAKHLAK")</f>
        <v>3435_PAPANG AVIANTO DIRGANTORO, S.M., M.H. _ SERTIFIKAT BerAKHLAK</v>
      </c>
      <c r="P3436" s="5" t="s">
        <v>23646</v>
      </c>
    </row>
    <row r="3437">
      <c r="A3437" s="4">
        <v>45534.34517314815</v>
      </c>
      <c r="B3437" s="5" t="s">
        <v>34</v>
      </c>
      <c r="D3437" s="5" t="s">
        <v>267</v>
      </c>
      <c r="E3437" s="5" t="s">
        <v>23653</v>
      </c>
      <c r="F3437" s="5" t="s">
        <v>524</v>
      </c>
      <c r="G3437" s="5" t="s">
        <v>23654</v>
      </c>
      <c r="H3437" s="6" t="s">
        <v>23655</v>
      </c>
      <c r="K3437" s="5" t="s">
        <v>23650</v>
      </c>
      <c r="M3437" s="5" t="s">
        <v>23656</v>
      </c>
      <c r="N3437" s="7" t="s">
        <v>23657</v>
      </c>
      <c r="O3437" s="8" t="str">
        <f>HYPERLINK("https://drive.google.com/file/d/1mg7hltNHUAyKgugwa-KkeC597Z4ZV0TS/view?usp=drivesdk","3436_SULARTI _ SERTIFIKAT BerAKHLAK")</f>
        <v>3436_SULARTI _ SERTIFIKAT BerAKHLAK</v>
      </c>
      <c r="P3437" s="5" t="s">
        <v>23646</v>
      </c>
    </row>
    <row r="3438">
      <c r="A3438" s="4">
        <v>45534.34517672454</v>
      </c>
      <c r="B3438" s="5" t="s">
        <v>34</v>
      </c>
      <c r="D3438" s="5" t="s">
        <v>4775</v>
      </c>
      <c r="E3438" s="5" t="s">
        <v>23658</v>
      </c>
      <c r="F3438" s="5" t="s">
        <v>72</v>
      </c>
      <c r="G3438" s="5" t="s">
        <v>23659</v>
      </c>
      <c r="H3438" s="6" t="s">
        <v>23660</v>
      </c>
      <c r="K3438" s="5" t="s">
        <v>23650</v>
      </c>
      <c r="M3438" s="5" t="s">
        <v>23661</v>
      </c>
      <c r="N3438" s="7" t="s">
        <v>23662</v>
      </c>
      <c r="O3438" s="8" t="str">
        <f>HYPERLINK("https://drive.google.com/file/d/1emzcTb0pp4C2Ti5iJWy2yTd82mfu4r7C/view?usp=drivesdk","3437_HELMI REPELITA _ SERTIFIKAT BerAKHLAK")</f>
        <v>3437_HELMI REPELITA _ SERTIFIKAT BerAKHLAK</v>
      </c>
      <c r="P3438" s="5" t="s">
        <v>23646</v>
      </c>
    </row>
    <row r="3439">
      <c r="A3439" s="4">
        <v>45534.34518493056</v>
      </c>
      <c r="B3439" s="5" t="s">
        <v>34</v>
      </c>
      <c r="D3439" s="5" t="s">
        <v>35</v>
      </c>
      <c r="E3439" s="5" t="s">
        <v>23663</v>
      </c>
      <c r="F3439" s="5" t="s">
        <v>212</v>
      </c>
      <c r="G3439" s="5" t="s">
        <v>23664</v>
      </c>
      <c r="H3439" s="6" t="s">
        <v>23665</v>
      </c>
      <c r="K3439" s="5" t="s">
        <v>23650</v>
      </c>
      <c r="M3439" s="5" t="s">
        <v>23666</v>
      </c>
      <c r="N3439" s="7" t="s">
        <v>23667</v>
      </c>
      <c r="O3439" s="8" t="str">
        <f>HYPERLINK("https://drive.google.com/file/d/1b_7CRqLv1KTvgQYz_WRf3n9fcvd4tTa7/view?usp=drivesdk","3438_MARHAYATI _ SERTIFIKAT BerAKHLAK")</f>
        <v>3438_MARHAYATI _ SERTIFIKAT BerAKHLAK</v>
      </c>
      <c r="P3439" s="5" t="s">
        <v>23668</v>
      </c>
    </row>
    <row r="3440">
      <c r="A3440" s="4">
        <v>45534.34518615741</v>
      </c>
      <c r="B3440" s="5" t="s">
        <v>34</v>
      </c>
      <c r="D3440" s="5" t="s">
        <v>580</v>
      </c>
      <c r="E3440" s="5" t="s">
        <v>23669</v>
      </c>
      <c r="F3440" s="5" t="s">
        <v>108</v>
      </c>
      <c r="G3440" s="5" t="s">
        <v>23670</v>
      </c>
      <c r="H3440" s="6" t="s">
        <v>23671</v>
      </c>
      <c r="K3440" s="5" t="s">
        <v>23650</v>
      </c>
      <c r="M3440" s="5" t="s">
        <v>23672</v>
      </c>
      <c r="N3440" s="7" t="s">
        <v>23673</v>
      </c>
      <c r="O3440" s="8" t="str">
        <f>HYPERLINK("https://drive.google.com/file/d/1ncCveFFDGoHsCK_Wi9OlRu1XFnkxMiC2/view?usp=drivesdk","3439_I MADE SUPARBAWA  _ SERTIFIKAT BerAKHLAK")</f>
        <v>3439_I MADE SUPARBAWA  _ SERTIFIKAT BerAKHLAK</v>
      </c>
      <c r="P3440" s="5" t="s">
        <v>23668</v>
      </c>
    </row>
    <row r="3441">
      <c r="A3441" s="4">
        <v>45534.34518903935</v>
      </c>
      <c r="B3441" s="5" t="s">
        <v>34</v>
      </c>
      <c r="D3441" s="5" t="s">
        <v>1206</v>
      </c>
      <c r="E3441" s="5" t="s">
        <v>23674</v>
      </c>
      <c r="F3441" s="5" t="s">
        <v>212</v>
      </c>
      <c r="G3441" s="5" t="s">
        <v>23675</v>
      </c>
      <c r="H3441" s="6" t="s">
        <v>23676</v>
      </c>
      <c r="K3441" s="5" t="s">
        <v>23650</v>
      </c>
      <c r="M3441" s="5" t="s">
        <v>23677</v>
      </c>
      <c r="N3441" s="7" t="s">
        <v>23678</v>
      </c>
      <c r="O3441" s="8" t="str">
        <f>HYPERLINK("https://drive.google.com/file/d/1VHsnHYwUiEfjiqEfuWDA2XTX9_-J6nt0/view?usp=drivesdk","3440_GINI NURKHOLIPAH _ SERTIFIKAT BerAKHLAK")</f>
        <v>3440_GINI NURKHOLIPAH _ SERTIFIKAT BerAKHLAK</v>
      </c>
      <c r="P3441" s="5" t="s">
        <v>23668</v>
      </c>
    </row>
    <row r="3442">
      <c r="A3442" s="4">
        <v>45534.345190625</v>
      </c>
      <c r="B3442" s="5" t="s">
        <v>34</v>
      </c>
      <c r="D3442" s="5" t="s">
        <v>12978</v>
      </c>
      <c r="E3442" s="5" t="s">
        <v>23679</v>
      </c>
      <c r="F3442" s="5" t="s">
        <v>212</v>
      </c>
      <c r="G3442" s="5" t="s">
        <v>23680</v>
      </c>
      <c r="H3442" s="6" t="s">
        <v>23681</v>
      </c>
      <c r="K3442" s="5" t="s">
        <v>23650</v>
      </c>
      <c r="M3442" s="5" t="s">
        <v>23682</v>
      </c>
      <c r="N3442" s="7" t="s">
        <v>23683</v>
      </c>
      <c r="O3442" s="8" t="str">
        <f>HYPERLINK("https://drive.google.com/file/d/12gyM72Qz-UK1c2WtTvBF1sd7NeleLi2M/view?usp=drivesdk","3441_IDA ROYANI _ SERTIFIKAT BerAKHLAK")</f>
        <v>3441_IDA ROYANI _ SERTIFIKAT BerAKHLAK</v>
      </c>
      <c r="P3442" s="5" t="s">
        <v>23668</v>
      </c>
    </row>
    <row r="3443" hidden="1">
      <c r="A3443" s="4">
        <v>45534.34519127315</v>
      </c>
      <c r="B3443" s="5" t="s">
        <v>19</v>
      </c>
      <c r="C3443" s="5" t="s">
        <v>5564</v>
      </c>
      <c r="E3443" s="5" t="s">
        <v>23684</v>
      </c>
      <c r="F3443" s="5" t="s">
        <v>375</v>
      </c>
      <c r="G3443" s="5" t="s">
        <v>23685</v>
      </c>
      <c r="H3443" s="6" t="s">
        <v>23686</v>
      </c>
      <c r="K3443" s="5" t="s">
        <v>23650</v>
      </c>
      <c r="M3443" s="5" t="s">
        <v>23687</v>
      </c>
      <c r="N3443" s="7" t="s">
        <v>23688</v>
      </c>
      <c r="O3443" s="8" t="str">
        <f>HYPERLINK("https://drive.google.com/file/d/1x-kKjsS2_VYk795WEoucvyhHUoOCCP4w/view?usp=drivesdk","3442_NURUL FADJRI _ SERTIFIKAT BerAKHLAK")</f>
        <v>3442_NURUL FADJRI _ SERTIFIKAT BerAKHLAK</v>
      </c>
      <c r="P3443" s="5" t="s">
        <v>23668</v>
      </c>
    </row>
    <row r="3444">
      <c r="A3444" s="4">
        <v>45534.34520347222</v>
      </c>
      <c r="B3444" s="5" t="s">
        <v>34</v>
      </c>
      <c r="D3444" s="5" t="s">
        <v>9394</v>
      </c>
      <c r="E3444" s="5" t="s">
        <v>23689</v>
      </c>
      <c r="F3444" s="5" t="s">
        <v>37</v>
      </c>
      <c r="G3444" s="5" t="s">
        <v>23690</v>
      </c>
      <c r="H3444" s="6" t="s">
        <v>23691</v>
      </c>
      <c r="K3444" s="5" t="s">
        <v>23650</v>
      </c>
      <c r="M3444" s="5" t="s">
        <v>23692</v>
      </c>
      <c r="N3444" s="7" t="s">
        <v>23693</v>
      </c>
      <c r="O3444" s="8" t="str">
        <f>HYPERLINK("https://drive.google.com/file/d/1QtMRwQi4joCrAvTS6ulm1zpVCll5wEGI/view?usp=drivesdk","3443_ALFI DANTI _ SERTIFIKAT BerAKHLAK")</f>
        <v>3443_ALFI DANTI _ SERTIFIKAT BerAKHLAK</v>
      </c>
      <c r="P3444" s="5" t="s">
        <v>23694</v>
      </c>
    </row>
    <row r="3445">
      <c r="A3445" s="4">
        <v>45534.34520440972</v>
      </c>
      <c r="B3445" s="5" t="s">
        <v>34</v>
      </c>
      <c r="D3445" s="5" t="s">
        <v>6232</v>
      </c>
      <c r="E3445" s="5" t="s">
        <v>23695</v>
      </c>
      <c r="F3445" s="5" t="s">
        <v>328</v>
      </c>
      <c r="G3445" s="5" t="s">
        <v>23696</v>
      </c>
      <c r="H3445" s="6" t="s">
        <v>23697</v>
      </c>
      <c r="K3445" s="5" t="s">
        <v>23698</v>
      </c>
      <c r="M3445" s="5" t="s">
        <v>23699</v>
      </c>
      <c r="N3445" s="7" t="s">
        <v>23700</v>
      </c>
      <c r="O3445" s="8" t="str">
        <f>HYPERLINK("https://drive.google.com/file/d/1M9amgnjWQHr-I94qowh35i4NJzVuTxex/view?usp=drivesdk","3444_ROMA ULI SIMATUPANG _ SERTIFIKAT BerAKHLAK")</f>
        <v>3444_ROMA ULI SIMATUPANG _ SERTIFIKAT BerAKHLAK</v>
      </c>
      <c r="P3445" s="5" t="s">
        <v>23694</v>
      </c>
    </row>
    <row r="3446">
      <c r="A3446" s="4">
        <v>45534.34520644676</v>
      </c>
      <c r="B3446" s="5" t="s">
        <v>34</v>
      </c>
      <c r="D3446" s="5" t="s">
        <v>1206</v>
      </c>
      <c r="E3446" s="5" t="s">
        <v>23701</v>
      </c>
      <c r="F3446" s="5" t="s">
        <v>108</v>
      </c>
      <c r="G3446" s="5" t="s">
        <v>23702</v>
      </c>
      <c r="H3446" s="6" t="s">
        <v>23703</v>
      </c>
      <c r="K3446" s="5" t="s">
        <v>23698</v>
      </c>
      <c r="M3446" s="5" t="s">
        <v>23704</v>
      </c>
      <c r="N3446" s="7" t="s">
        <v>23705</v>
      </c>
      <c r="O3446" s="8" t="str">
        <f>HYPERLINK("https://drive.google.com/file/d/1QgcJU7TdYkH0bQW2eCiVhM_XzXuer5Z5/view?usp=drivesdk","3445_AYUNING DYAH DAMAYANTI, A. Md. Keb _ SERTIFIKAT BerAKHLAK")</f>
        <v>3445_AYUNING DYAH DAMAYANTI, A. Md. Keb _ SERTIFIKAT BerAKHLAK</v>
      </c>
      <c r="P3446" s="5" t="s">
        <v>23694</v>
      </c>
    </row>
    <row r="3447">
      <c r="A3447" s="4">
        <v>45534.34520902778</v>
      </c>
      <c r="B3447" s="5" t="s">
        <v>34</v>
      </c>
      <c r="D3447" s="5" t="s">
        <v>996</v>
      </c>
      <c r="E3447" s="5" t="s">
        <v>23706</v>
      </c>
      <c r="F3447" s="5" t="s">
        <v>212</v>
      </c>
      <c r="G3447" s="5" t="s">
        <v>23707</v>
      </c>
      <c r="H3447" s="6" t="s">
        <v>23708</v>
      </c>
      <c r="K3447" s="5" t="s">
        <v>23698</v>
      </c>
      <c r="M3447" s="5" t="s">
        <v>23709</v>
      </c>
      <c r="N3447" s="7" t="s">
        <v>23710</v>
      </c>
      <c r="O3447" s="8" t="str">
        <f>HYPERLINK("https://drive.google.com/file/d/1GrOG2Ih4cV16uzXc6DfU_n2FO8PkWfqq/view?usp=drivesdk","3446_IRWAHYUDI _ SERTIFIKAT BerAKHLAK")</f>
        <v>3446_IRWAHYUDI _ SERTIFIKAT BerAKHLAK</v>
      </c>
      <c r="P3447" s="5" t="s">
        <v>23694</v>
      </c>
    </row>
    <row r="3448">
      <c r="A3448" s="4">
        <v>45534.34520957176</v>
      </c>
      <c r="B3448" s="5" t="s">
        <v>34</v>
      </c>
      <c r="D3448" s="5" t="s">
        <v>9020</v>
      </c>
      <c r="E3448" s="5" t="s">
        <v>23711</v>
      </c>
      <c r="F3448" s="5" t="s">
        <v>524</v>
      </c>
      <c r="G3448" s="5" t="s">
        <v>23712</v>
      </c>
      <c r="H3448" s="6" t="s">
        <v>23713</v>
      </c>
      <c r="K3448" s="5" t="s">
        <v>23714</v>
      </c>
      <c r="M3448" s="5" t="s">
        <v>23715</v>
      </c>
      <c r="N3448" s="7" t="s">
        <v>23716</v>
      </c>
      <c r="O3448" s="8" t="str">
        <f>HYPERLINK("https://drive.google.com/file/d/1Zc3NDZSkxBN9WF9m76aRamE0e9YLyVi2/view?usp=drivesdk","3447_SARIANNA KOTO,Skep.Ns _ SERTIFIKAT BerAKHLAK")</f>
        <v>3447_SARIANNA KOTO,Skep.Ns _ SERTIFIKAT BerAKHLAK</v>
      </c>
      <c r="P3448" s="5" t="s">
        <v>23694</v>
      </c>
    </row>
    <row r="3449" hidden="1">
      <c r="A3449" s="4">
        <v>45534.34521175926</v>
      </c>
      <c r="B3449" s="5" t="s">
        <v>19</v>
      </c>
      <c r="C3449" s="5" t="s">
        <v>3471</v>
      </c>
      <c r="E3449" s="5" t="s">
        <v>23717</v>
      </c>
      <c r="F3449" s="5" t="s">
        <v>108</v>
      </c>
      <c r="G3449" s="5" t="s">
        <v>23718</v>
      </c>
      <c r="H3449" s="6" t="s">
        <v>23719</v>
      </c>
      <c r="K3449" s="5" t="s">
        <v>23714</v>
      </c>
      <c r="M3449" s="5" t="s">
        <v>23720</v>
      </c>
      <c r="N3449" s="7" t="s">
        <v>23721</v>
      </c>
      <c r="O3449" s="8" t="str">
        <f>HYPERLINK("https://drive.google.com/file/d/1MDHdFsSYYDvDiLpktkR9z8K_XSGv_fGQ/view?usp=drivesdk","3448_ANDHY MULYA RUDYANTO _ SERTIFIKAT BerAKHLAK")</f>
        <v>3448_ANDHY MULYA RUDYANTO _ SERTIFIKAT BerAKHLAK</v>
      </c>
      <c r="P3449" s="5" t="s">
        <v>23722</v>
      </c>
    </row>
    <row r="3450">
      <c r="A3450" s="4">
        <v>45534.34521533565</v>
      </c>
      <c r="B3450" s="5" t="s">
        <v>34</v>
      </c>
      <c r="D3450" s="5" t="s">
        <v>10444</v>
      </c>
      <c r="E3450" s="5" t="s">
        <v>23723</v>
      </c>
      <c r="F3450" s="5" t="s">
        <v>37</v>
      </c>
      <c r="G3450" s="5" t="s">
        <v>23724</v>
      </c>
      <c r="H3450" s="6" t="s">
        <v>23725</v>
      </c>
      <c r="K3450" s="5" t="s">
        <v>23714</v>
      </c>
      <c r="M3450" s="5" t="s">
        <v>23726</v>
      </c>
      <c r="N3450" s="7" t="s">
        <v>23727</v>
      </c>
      <c r="O3450" s="8" t="str">
        <f>HYPERLINK("https://drive.google.com/file/d/12K-K4eX5_VNic0sD8WK4jezrWubkmh2W/view?usp=drivesdk","3449_MAULINA CORDIAZ, A.Md.KG _ SERTIFIKAT BerAKHLAK")</f>
        <v>3449_MAULINA CORDIAZ, A.Md.KG _ SERTIFIKAT BerAKHLAK</v>
      </c>
      <c r="P3450" s="5" t="s">
        <v>23728</v>
      </c>
    </row>
    <row r="3451" hidden="1">
      <c r="A3451" s="4">
        <v>45534.34522127315</v>
      </c>
      <c r="B3451" s="5" t="s">
        <v>19</v>
      </c>
      <c r="C3451" s="5" t="s">
        <v>14000</v>
      </c>
      <c r="E3451" s="5" t="s">
        <v>23729</v>
      </c>
      <c r="F3451" s="5" t="s">
        <v>72</v>
      </c>
      <c r="G3451" s="5" t="s">
        <v>23730</v>
      </c>
      <c r="H3451" s="6" t="s">
        <v>23731</v>
      </c>
      <c r="K3451" s="5" t="s">
        <v>23714</v>
      </c>
      <c r="M3451" s="5" t="s">
        <v>23732</v>
      </c>
      <c r="N3451" s="7" t="s">
        <v>23733</v>
      </c>
      <c r="O3451" s="8" t="str">
        <f>HYPERLINK("https://drive.google.com/file/d/13NyqEQlFi9oFPW9D2Vok0DLaxAXp8BFK/view?usp=drivesdk","3450_WIGNYO SUROYO.,S.E _ SERTIFIKAT BerAKHLAK")</f>
        <v>3450_WIGNYO SUROYO.,S.E _ SERTIFIKAT BerAKHLAK</v>
      </c>
      <c r="P3451" s="5" t="s">
        <v>23728</v>
      </c>
    </row>
    <row r="3452">
      <c r="A3452" s="4">
        <v>45534.34522318287</v>
      </c>
      <c r="B3452" s="5" t="s">
        <v>34</v>
      </c>
      <c r="D3452" s="5" t="s">
        <v>1206</v>
      </c>
      <c r="E3452" s="5" t="s">
        <v>23734</v>
      </c>
      <c r="F3452" s="5" t="s">
        <v>375</v>
      </c>
      <c r="G3452" s="5" t="s">
        <v>23735</v>
      </c>
      <c r="H3452" s="6" t="s">
        <v>23736</v>
      </c>
      <c r="K3452" s="5" t="s">
        <v>23714</v>
      </c>
      <c r="M3452" s="5" t="s">
        <v>23737</v>
      </c>
      <c r="N3452" s="7" t="s">
        <v>23738</v>
      </c>
      <c r="O3452" s="8" t="str">
        <f>HYPERLINK("https://drive.google.com/file/d/1K-yXjCRrgtYBseSofbzrCrS35XMiests/view?usp=drivesdk","3451_KERRY BAGUS RIANDRA, S.E _ SERTIFIKAT BerAKHLAK")</f>
        <v>3451_KERRY BAGUS RIANDRA, S.E _ SERTIFIKAT BerAKHLAK</v>
      </c>
      <c r="P3452" s="5" t="s">
        <v>23728</v>
      </c>
    </row>
    <row r="3453">
      <c r="A3453" s="4">
        <v>45534.345222916665</v>
      </c>
      <c r="B3453" s="5" t="s">
        <v>34</v>
      </c>
      <c r="D3453" s="5" t="s">
        <v>1206</v>
      </c>
      <c r="E3453" s="5" t="s">
        <v>23739</v>
      </c>
      <c r="F3453" s="5" t="s">
        <v>328</v>
      </c>
      <c r="G3453" s="5" t="s">
        <v>23740</v>
      </c>
      <c r="H3453" s="6" t="s">
        <v>23741</v>
      </c>
      <c r="K3453" s="5" t="s">
        <v>23714</v>
      </c>
      <c r="M3453" s="5" t="s">
        <v>23742</v>
      </c>
      <c r="N3453" s="7" t="s">
        <v>23743</v>
      </c>
      <c r="O3453" s="8" t="str">
        <f>HYPERLINK("https://drive.google.com/file/d/1dC1V_3y7X4QyPh3Q7ilfnKcVV0Pmo0Lj/view?usp=drivesdk","3452_ACHMAD KUJAENI _ SERTIFIKAT BerAKHLAK")</f>
        <v>3452_ACHMAD KUJAENI _ SERTIFIKAT BerAKHLAK</v>
      </c>
      <c r="P3453" s="5" t="s">
        <v>23728</v>
      </c>
    </row>
    <row r="3454">
      <c r="A3454" s="4">
        <v>45534.3452271412</v>
      </c>
      <c r="B3454" s="5" t="s">
        <v>34</v>
      </c>
      <c r="D3454" s="5" t="s">
        <v>12978</v>
      </c>
      <c r="E3454" s="5" t="s">
        <v>23744</v>
      </c>
      <c r="F3454" s="5" t="s">
        <v>108</v>
      </c>
      <c r="G3454" s="5" t="s">
        <v>23745</v>
      </c>
      <c r="H3454" s="6" t="s">
        <v>23746</v>
      </c>
      <c r="K3454" s="5" t="s">
        <v>23714</v>
      </c>
      <c r="M3454" s="5" t="s">
        <v>23747</v>
      </c>
      <c r="N3454" s="7" t="s">
        <v>23748</v>
      </c>
      <c r="O3454" s="8" t="str">
        <f>HYPERLINK("https://drive.google.com/file/d/1QNuoXs_Li-Eudg7mQY4V-qpqXJosqGEj/view?usp=drivesdk","3453_SATRIYA UTAMA _ SERTIFIKAT BerAKHLAK")</f>
        <v>3453_SATRIYA UTAMA _ SERTIFIKAT BerAKHLAK</v>
      </c>
      <c r="P3454" s="5" t="s">
        <v>23728</v>
      </c>
    </row>
    <row r="3455">
      <c r="A3455" s="4">
        <v>45534.34523023148</v>
      </c>
      <c r="B3455" s="5" t="s">
        <v>34</v>
      </c>
      <c r="D3455" s="5" t="s">
        <v>1768</v>
      </c>
      <c r="E3455" s="5" t="s">
        <v>23749</v>
      </c>
      <c r="F3455" s="5" t="s">
        <v>212</v>
      </c>
      <c r="G3455" s="5" t="s">
        <v>23750</v>
      </c>
      <c r="H3455" s="6" t="s">
        <v>23751</v>
      </c>
      <c r="K3455" s="5" t="s">
        <v>23714</v>
      </c>
      <c r="M3455" s="5" t="s">
        <v>23752</v>
      </c>
      <c r="N3455" s="7" t="s">
        <v>23753</v>
      </c>
      <c r="O3455" s="8" t="str">
        <f>HYPERLINK("https://drive.google.com/file/d/1hyGUJtm8oTptpTsay0Ubb9Bkz2E4IQI8/view?usp=drivesdk","3454_TUWO WALUYO _ SERTIFIKAT BerAKHLAK")</f>
        <v>3454_TUWO WALUYO _ SERTIFIKAT BerAKHLAK</v>
      </c>
      <c r="P3455" s="5" t="s">
        <v>23754</v>
      </c>
    </row>
    <row r="3456">
      <c r="A3456" s="4">
        <v>45534.34523097222</v>
      </c>
      <c r="B3456" s="5" t="s">
        <v>34</v>
      </c>
      <c r="D3456" s="5" t="s">
        <v>35</v>
      </c>
      <c r="E3456" s="5" t="s">
        <v>23755</v>
      </c>
      <c r="F3456" s="5" t="s">
        <v>72</v>
      </c>
      <c r="G3456" s="5" t="s">
        <v>23756</v>
      </c>
      <c r="H3456" s="6" t="s">
        <v>23757</v>
      </c>
      <c r="K3456" s="5" t="s">
        <v>23714</v>
      </c>
      <c r="M3456" s="5" t="s">
        <v>23758</v>
      </c>
      <c r="N3456" s="7" t="s">
        <v>23759</v>
      </c>
      <c r="O3456" s="8" t="str">
        <f>HYPERLINK("https://drive.google.com/file/d/12BptOGt5mcskYVnrrH3Oi4UlNErsU_px/view?usp=drivesdk","3455_SOLIKHIN S.Pd.I _ SERTIFIKAT BerAKHLAK")</f>
        <v>3455_SOLIKHIN S.Pd.I _ SERTIFIKAT BerAKHLAK</v>
      </c>
      <c r="P3456" s="5" t="s">
        <v>23754</v>
      </c>
    </row>
    <row r="3457">
      <c r="A3457" s="4">
        <v>45534.345230844905</v>
      </c>
      <c r="B3457" s="5" t="s">
        <v>34</v>
      </c>
      <c r="D3457" s="5" t="s">
        <v>701</v>
      </c>
      <c r="E3457" s="5" t="s">
        <v>23760</v>
      </c>
      <c r="F3457" s="5" t="s">
        <v>37</v>
      </c>
      <c r="G3457" s="5" t="s">
        <v>23761</v>
      </c>
      <c r="H3457" s="6" t="s">
        <v>23762</v>
      </c>
      <c r="K3457" s="5" t="s">
        <v>23714</v>
      </c>
      <c r="M3457" s="5" t="s">
        <v>23763</v>
      </c>
      <c r="N3457" s="7" t="s">
        <v>23764</v>
      </c>
      <c r="O3457" s="8" t="str">
        <f>HYPERLINK("https://drive.google.com/file/d/1a9w0RVUG5AwQOhHVZEBmvAZCsgryHJyu/view?usp=drivesdk","3456_NENG SRI CUCU MULYATI _ SERTIFIKAT BerAKHLAK")</f>
        <v>3456_NENG SRI CUCU MULYATI _ SERTIFIKAT BerAKHLAK</v>
      </c>
      <c r="P3457" s="5" t="s">
        <v>23754</v>
      </c>
    </row>
    <row r="3458">
      <c r="A3458" s="4">
        <v>45534.34523200231</v>
      </c>
      <c r="B3458" s="5" t="s">
        <v>34</v>
      </c>
      <c r="D3458" s="5" t="s">
        <v>35</v>
      </c>
      <c r="E3458" s="5" t="s">
        <v>23765</v>
      </c>
      <c r="F3458" s="5" t="s">
        <v>212</v>
      </c>
      <c r="G3458" s="5" t="s">
        <v>23766</v>
      </c>
      <c r="H3458" s="6" t="s">
        <v>23767</v>
      </c>
      <c r="K3458" s="5" t="s">
        <v>23714</v>
      </c>
      <c r="M3458" s="5" t="s">
        <v>23768</v>
      </c>
      <c r="N3458" s="7" t="s">
        <v>23769</v>
      </c>
      <c r="O3458" s="8" t="str">
        <f>HYPERLINK("https://drive.google.com/file/d/141avlX1EozublImiWF0jvPb2Z2BUqZIo/view?usp=drivesdk","3457_NUGRAENI WIDIASTUTI _ SERTIFIKAT BerAKHLAK")</f>
        <v>3457_NUGRAENI WIDIASTUTI _ SERTIFIKAT BerAKHLAK</v>
      </c>
      <c r="P3458" s="5" t="s">
        <v>23754</v>
      </c>
    </row>
    <row r="3459">
      <c r="A3459" s="4">
        <v>45534.345255231485</v>
      </c>
      <c r="B3459" s="5" t="s">
        <v>34</v>
      </c>
      <c r="D3459" s="5" t="s">
        <v>4775</v>
      </c>
      <c r="E3459" s="5" t="s">
        <v>23770</v>
      </c>
      <c r="F3459" s="5" t="s">
        <v>375</v>
      </c>
      <c r="G3459" s="5" t="s">
        <v>23771</v>
      </c>
      <c r="H3459" s="6" t="s">
        <v>23772</v>
      </c>
      <c r="K3459" s="5" t="s">
        <v>23714</v>
      </c>
      <c r="M3459" s="5" t="s">
        <v>23773</v>
      </c>
      <c r="N3459" s="7" t="s">
        <v>23774</v>
      </c>
      <c r="O3459" s="8" t="str">
        <f>HYPERLINK("https://drive.google.com/file/d/15NgSgYgkIe2XzzlFwPULlUcHS1AjHrig/view?usp=drivesdk","3458_ANWAR BAROZi _ SERTIFIKAT BerAKHLAK")</f>
        <v>3458_ANWAR BAROZi _ SERTIFIKAT BerAKHLAK</v>
      </c>
      <c r="P3459" s="5" t="s">
        <v>23775</v>
      </c>
    </row>
    <row r="3460">
      <c r="A3460" s="4">
        <v>45534.34525857639</v>
      </c>
      <c r="B3460" s="5" t="s">
        <v>34</v>
      </c>
      <c r="D3460" s="5" t="s">
        <v>1206</v>
      </c>
      <c r="E3460" s="5" t="s">
        <v>23776</v>
      </c>
      <c r="F3460" s="5" t="s">
        <v>37</v>
      </c>
      <c r="G3460" s="5" t="s">
        <v>23777</v>
      </c>
      <c r="H3460" s="6" t="s">
        <v>23778</v>
      </c>
      <c r="K3460" s="5" t="s">
        <v>23779</v>
      </c>
      <c r="M3460" s="5" t="s">
        <v>23780</v>
      </c>
      <c r="N3460" s="7" t="s">
        <v>23781</v>
      </c>
      <c r="O3460" s="8" t="str">
        <f>HYPERLINK("https://drive.google.com/file/d/1nycv4g2VCS3lPTEn0aBcAkuQEzHy7E6l/view?usp=drivesdk","3459_Dewi Sulistiyo Wati _ SERTIFIKAT BerAKHLAK")</f>
        <v>3459_Dewi Sulistiyo Wati _ SERTIFIKAT BerAKHLAK</v>
      </c>
      <c r="P3460" s="5" t="s">
        <v>23775</v>
      </c>
    </row>
    <row r="3461">
      <c r="A3461" s="4">
        <v>45534.34526516203</v>
      </c>
      <c r="B3461" s="5" t="s">
        <v>34</v>
      </c>
      <c r="D3461" s="5" t="s">
        <v>1206</v>
      </c>
      <c r="E3461" s="5" t="s">
        <v>23782</v>
      </c>
      <c r="F3461" s="5" t="s">
        <v>199</v>
      </c>
      <c r="G3461" s="5" t="s">
        <v>23783</v>
      </c>
      <c r="H3461" s="6" t="s">
        <v>23784</v>
      </c>
      <c r="K3461" s="5" t="s">
        <v>23779</v>
      </c>
      <c r="M3461" s="5" t="s">
        <v>23785</v>
      </c>
      <c r="N3461" s="7" t="s">
        <v>23786</v>
      </c>
      <c r="O3461" s="8" t="str">
        <f>HYPERLINK("https://drive.google.com/file/d/1QQVyrAmhqEqW6zcarnts-Lkoa5ufxhbG/view?usp=drivesdk","3460_SITI NURHAINI _ SERTIFIKAT BerAKHLAK")</f>
        <v>3460_SITI NURHAINI _ SERTIFIKAT BerAKHLAK</v>
      </c>
      <c r="P3461" s="5" t="s">
        <v>23775</v>
      </c>
    </row>
    <row r="3462">
      <c r="A3462" s="4">
        <v>45534.34526920139</v>
      </c>
      <c r="B3462" s="5" t="s">
        <v>34</v>
      </c>
      <c r="D3462" s="5" t="s">
        <v>35</v>
      </c>
      <c r="E3462" s="5" t="s">
        <v>23787</v>
      </c>
      <c r="F3462" s="5" t="s">
        <v>72</v>
      </c>
      <c r="G3462" s="5" t="s">
        <v>23788</v>
      </c>
      <c r="H3462" s="6" t="s">
        <v>23789</v>
      </c>
      <c r="K3462" s="5" t="s">
        <v>23779</v>
      </c>
      <c r="M3462" s="5" t="s">
        <v>23790</v>
      </c>
      <c r="N3462" s="7" t="s">
        <v>23791</v>
      </c>
      <c r="O3462" s="8" t="str">
        <f>HYPERLINK("https://drive.google.com/file/d/1Wi4ZWtZdhNXeM5hyKvWweDcVKrayOg-R/view?usp=drivesdk","3461_ADE ERWIN, A.MD _ SERTIFIKAT BerAKHLAK")</f>
        <v>3461_ADE ERWIN, A.MD _ SERTIFIKAT BerAKHLAK</v>
      </c>
      <c r="P3462" s="5" t="s">
        <v>23792</v>
      </c>
    </row>
    <row r="3463" hidden="1">
      <c r="A3463" s="4">
        <v>45534.34527829861</v>
      </c>
      <c r="B3463" s="5" t="s">
        <v>19</v>
      </c>
      <c r="C3463" s="5" t="s">
        <v>442</v>
      </c>
      <c r="E3463" s="5" t="s">
        <v>23793</v>
      </c>
      <c r="F3463" s="5" t="s">
        <v>72</v>
      </c>
      <c r="G3463" s="5" t="s">
        <v>23794</v>
      </c>
      <c r="H3463" s="6" t="s">
        <v>23795</v>
      </c>
      <c r="K3463" s="5" t="s">
        <v>23779</v>
      </c>
      <c r="M3463" s="5" t="s">
        <v>23796</v>
      </c>
      <c r="N3463" s="7" t="s">
        <v>23797</v>
      </c>
      <c r="O3463" s="8" t="str">
        <f>HYPERLINK("https://drive.google.com/file/d/1LiXj_2J-1gSnQkM1PFHBuxB73iVysSj1/view?usp=drivesdk","3462_DIANA PURBASARI HAKIM, S.H., M.Tr.A.P. _ SERTIFIKAT BerAKHLAK")</f>
        <v>3462_DIANA PURBASARI HAKIM, S.H., M.Tr.A.P. _ SERTIFIKAT BerAKHLAK</v>
      </c>
      <c r="P3463" s="5" t="s">
        <v>23792</v>
      </c>
    </row>
    <row r="3464">
      <c r="A3464" s="4">
        <v>45534.34528149306</v>
      </c>
      <c r="B3464" s="5" t="s">
        <v>34</v>
      </c>
      <c r="D3464" s="5" t="s">
        <v>35</v>
      </c>
      <c r="E3464" s="5" t="s">
        <v>23798</v>
      </c>
      <c r="F3464" s="5" t="s">
        <v>108</v>
      </c>
      <c r="G3464" s="5" t="s">
        <v>23799</v>
      </c>
      <c r="H3464" s="6" t="s">
        <v>23800</v>
      </c>
      <c r="K3464" s="5" t="s">
        <v>23779</v>
      </c>
      <c r="M3464" s="5" t="s">
        <v>23801</v>
      </c>
      <c r="N3464" s="7" t="s">
        <v>23802</v>
      </c>
      <c r="O3464" s="8" t="str">
        <f>HYPERLINK("https://drive.google.com/file/d/1Nj0Y5e2BRUXbXFX8UNPz3RIL0M01szsw/view?usp=drivesdk","3463_RICKA ROSSITA SARI A.Md _ SERTIFIKAT BerAKHLAK")</f>
        <v>3463_RICKA ROSSITA SARI A.Md _ SERTIFIKAT BerAKHLAK</v>
      </c>
      <c r="P3464" s="5" t="s">
        <v>23792</v>
      </c>
    </row>
    <row r="3465">
      <c r="A3465" s="4">
        <v>45534.34528819444</v>
      </c>
      <c r="B3465" s="5" t="s">
        <v>34</v>
      </c>
      <c r="D3465" s="5" t="s">
        <v>522</v>
      </c>
      <c r="E3465" s="5" t="s">
        <v>23803</v>
      </c>
      <c r="F3465" s="5" t="s">
        <v>72</v>
      </c>
      <c r="G3465" s="5" t="s">
        <v>23804</v>
      </c>
      <c r="H3465" s="6" t="s">
        <v>23805</v>
      </c>
      <c r="K3465" s="5" t="s">
        <v>23806</v>
      </c>
      <c r="M3465" s="5" t="s">
        <v>23807</v>
      </c>
      <c r="N3465" s="7" t="s">
        <v>23808</v>
      </c>
      <c r="O3465" s="8" t="str">
        <f>HYPERLINK("https://drive.google.com/file/d/19eW9cMfsjuA-8eElDI7AwuJJFt-9PO-B/view?usp=drivesdk","3464_TREYSE NENY VARLINA, S. Adm.  _ SERTIFIKAT BerAKHLAK")</f>
        <v>3464_TREYSE NENY VARLINA, S. Adm.  _ SERTIFIKAT BerAKHLAK</v>
      </c>
      <c r="P3465" s="5" t="s">
        <v>23792</v>
      </c>
    </row>
    <row r="3466" hidden="1">
      <c r="A3466" s="4">
        <v>45534.34529646991</v>
      </c>
      <c r="B3466" s="5" t="s">
        <v>19</v>
      </c>
      <c r="C3466" s="5" t="s">
        <v>5564</v>
      </c>
      <c r="E3466" s="5" t="s">
        <v>23809</v>
      </c>
      <c r="F3466" s="5" t="s">
        <v>120</v>
      </c>
      <c r="G3466" s="5" t="s">
        <v>23810</v>
      </c>
      <c r="H3466" s="6" t="s">
        <v>23811</v>
      </c>
      <c r="K3466" s="5" t="s">
        <v>23806</v>
      </c>
      <c r="M3466" s="5" t="s">
        <v>23812</v>
      </c>
      <c r="N3466" s="7" t="s">
        <v>23813</v>
      </c>
      <c r="O3466" s="8" t="str">
        <f>HYPERLINK("https://drive.google.com/file/d/19BwjTwwCoeF8FBYTPSegNl_ZavsRwdSf/view?usp=drivesdk","3465_FIRA ANDARINI _ SERTIFIKAT BerAKHLAK")</f>
        <v>3465_FIRA ANDARINI _ SERTIFIKAT BerAKHLAK</v>
      </c>
      <c r="P3466" s="5" t="s">
        <v>23792</v>
      </c>
    </row>
    <row r="3467">
      <c r="A3467" s="4">
        <v>45534.34530630787</v>
      </c>
      <c r="B3467" s="5" t="s">
        <v>34</v>
      </c>
      <c r="D3467" s="5" t="s">
        <v>1206</v>
      </c>
      <c r="E3467" s="5" t="s">
        <v>23814</v>
      </c>
      <c r="F3467" s="5" t="s">
        <v>108</v>
      </c>
      <c r="G3467" s="5" t="s">
        <v>23815</v>
      </c>
      <c r="H3467" s="6" t="s">
        <v>23816</v>
      </c>
      <c r="K3467" s="5" t="s">
        <v>23806</v>
      </c>
      <c r="M3467" s="5" t="s">
        <v>23817</v>
      </c>
      <c r="N3467" s="7" t="s">
        <v>23818</v>
      </c>
      <c r="O3467" s="8" t="str">
        <f>HYPERLINK("https://drive.google.com/file/d/1XG-2JU3nkcUxO7rE3RpUwpcVfe3ayuQr/view?usp=drivesdk","3466_ENDAH WAHYUNINGTYAS, A.MD _ SERTIFIKAT BerAKHLAK")</f>
        <v>3466_ENDAH WAHYUNINGTYAS, A.MD _ SERTIFIKAT BerAKHLAK</v>
      </c>
      <c r="P3467" s="5" t="s">
        <v>23819</v>
      </c>
    </row>
    <row r="3468">
      <c r="A3468" s="4">
        <v>45534.34531685185</v>
      </c>
      <c r="B3468" s="5" t="s">
        <v>34</v>
      </c>
      <c r="D3468" s="5" t="s">
        <v>35</v>
      </c>
      <c r="E3468" s="5" t="s">
        <v>23820</v>
      </c>
      <c r="F3468" s="5" t="s">
        <v>212</v>
      </c>
      <c r="G3468" s="5" t="s">
        <v>23821</v>
      </c>
      <c r="H3468" s="6" t="s">
        <v>23822</v>
      </c>
      <c r="K3468" s="5" t="s">
        <v>23823</v>
      </c>
      <c r="M3468" s="5" t="s">
        <v>23824</v>
      </c>
      <c r="N3468" s="7" t="s">
        <v>23825</v>
      </c>
      <c r="O3468" s="8" t="str">
        <f>HYPERLINK("https://drive.google.com/file/d/16XymmUs5N5YlqofNEUFGFbhnHXSBCYN9/view?usp=drivesdk","3467_Hj. NANI _ SERTIFIKAT BerAKHLAK")</f>
        <v>3467_Hj. NANI _ SERTIFIKAT BerAKHLAK</v>
      </c>
      <c r="P3468" s="5" t="s">
        <v>23819</v>
      </c>
    </row>
    <row r="3469">
      <c r="A3469" s="4">
        <v>45534.34531826389</v>
      </c>
      <c r="B3469" s="5" t="s">
        <v>34</v>
      </c>
      <c r="D3469" s="5" t="s">
        <v>9020</v>
      </c>
      <c r="E3469" s="5" t="s">
        <v>23826</v>
      </c>
      <c r="F3469" s="5" t="s">
        <v>524</v>
      </c>
      <c r="G3469" s="5" t="s">
        <v>23827</v>
      </c>
      <c r="H3469" s="6" t="s">
        <v>23828</v>
      </c>
      <c r="K3469" s="5" t="s">
        <v>23823</v>
      </c>
      <c r="M3469" s="5" t="s">
        <v>23829</v>
      </c>
      <c r="N3469" s="7" t="s">
        <v>23830</v>
      </c>
      <c r="O3469" s="8" t="str">
        <f>HYPERLINK("https://drive.google.com/file/d/1sfh0VYIcLwsVcwisQu-EzKqtBUDd1SyD/view?usp=drivesdk","3468_ENDANG TRIWAYATI _ SERTIFIKAT BerAKHLAK")</f>
        <v>3468_ENDANG TRIWAYATI _ SERTIFIKAT BerAKHLAK</v>
      </c>
      <c r="P3469" s="5" t="s">
        <v>23819</v>
      </c>
    </row>
    <row r="3470">
      <c r="A3470" s="4">
        <v>45534.34532743055</v>
      </c>
      <c r="B3470" s="5" t="s">
        <v>34</v>
      </c>
      <c r="D3470" s="5" t="s">
        <v>9020</v>
      </c>
      <c r="E3470" s="5" t="s">
        <v>23831</v>
      </c>
      <c r="F3470" s="5" t="s">
        <v>375</v>
      </c>
      <c r="G3470" s="5" t="s">
        <v>23832</v>
      </c>
      <c r="H3470" s="6" t="s">
        <v>23833</v>
      </c>
      <c r="K3470" s="5" t="s">
        <v>23823</v>
      </c>
      <c r="M3470" s="5" t="s">
        <v>23834</v>
      </c>
      <c r="N3470" s="7" t="s">
        <v>23835</v>
      </c>
      <c r="O3470" s="8" t="str">
        <f>HYPERLINK("https://drive.google.com/file/d/1YMeMzkrlmSdsBIakW17s-bLL0H9eH2LM/view?usp=drivesdk","3469_NURLENI _ SERTIFIKAT BerAKHLAK")</f>
        <v>3469_NURLENI _ SERTIFIKAT BerAKHLAK</v>
      </c>
      <c r="P3470" s="5" t="s">
        <v>23819</v>
      </c>
    </row>
    <row r="3471" hidden="1">
      <c r="A3471" s="4">
        <v>45534.34533423611</v>
      </c>
      <c r="B3471" s="5" t="s">
        <v>19</v>
      </c>
      <c r="C3471" s="5" t="s">
        <v>3301</v>
      </c>
      <c r="E3471" s="5" t="s">
        <v>23836</v>
      </c>
      <c r="F3471" s="5" t="s">
        <v>37</v>
      </c>
      <c r="G3471" s="5" t="s">
        <v>23837</v>
      </c>
      <c r="H3471" s="6" t="s">
        <v>23838</v>
      </c>
      <c r="K3471" s="5" t="s">
        <v>23823</v>
      </c>
      <c r="M3471" s="5" t="s">
        <v>23839</v>
      </c>
      <c r="N3471" s="7" t="s">
        <v>23840</v>
      </c>
      <c r="O3471" s="8" t="str">
        <f>HYPERLINK("https://drive.google.com/file/d/17xKeXR_hw_nNIoNnQFMmWRU9MOvGKWLi/view?usp=drivesdk","3470_Nia Plania Sitompul, A. Md. Kep _ SERTIFIKAT BerAKHLAK")</f>
        <v>3470_Nia Plania Sitompul, A. Md. Kep _ SERTIFIKAT BerAKHLAK</v>
      </c>
      <c r="P3471" s="5" t="s">
        <v>23841</v>
      </c>
    </row>
    <row r="3472">
      <c r="A3472" s="4">
        <v>45534.3453497338</v>
      </c>
      <c r="B3472" s="5" t="s">
        <v>34</v>
      </c>
      <c r="D3472" s="5" t="s">
        <v>1206</v>
      </c>
      <c r="E3472" s="5" t="s">
        <v>23842</v>
      </c>
      <c r="F3472" s="5" t="s">
        <v>212</v>
      </c>
      <c r="G3472" s="5" t="s">
        <v>23843</v>
      </c>
      <c r="H3472" s="6" t="s">
        <v>23844</v>
      </c>
      <c r="K3472" s="5" t="s">
        <v>23845</v>
      </c>
      <c r="M3472" s="5" t="s">
        <v>23846</v>
      </c>
      <c r="N3472" s="7" t="s">
        <v>23847</v>
      </c>
      <c r="O3472" s="8" t="str">
        <f>HYPERLINK("https://drive.google.com/file/d/1prz1FKTtpmptzFABQ6rVNCLQKw0VwkBS/view?usp=drivesdk","3471_YUDOHARDI  _ SERTIFIKAT BerAKHLAK")</f>
        <v>3471_YUDOHARDI  _ SERTIFIKAT BerAKHLAK</v>
      </c>
      <c r="P3472" s="5" t="s">
        <v>23841</v>
      </c>
    </row>
    <row r="3473">
      <c r="A3473" s="4">
        <v>45534.34535530093</v>
      </c>
      <c r="B3473" s="5" t="s">
        <v>34</v>
      </c>
      <c r="D3473" s="5" t="s">
        <v>1768</v>
      </c>
      <c r="E3473" s="5" t="s">
        <v>23848</v>
      </c>
      <c r="F3473" s="5" t="s">
        <v>37</v>
      </c>
      <c r="G3473" s="5" t="s">
        <v>23849</v>
      </c>
      <c r="H3473" s="6" t="s">
        <v>23850</v>
      </c>
      <c r="K3473" s="5" t="s">
        <v>23851</v>
      </c>
      <c r="M3473" s="5" t="s">
        <v>23852</v>
      </c>
      <c r="N3473" s="7" t="s">
        <v>23853</v>
      </c>
      <c r="O3473" s="8" t="str">
        <f>HYPERLINK("https://drive.google.com/file/d/1rQ8ENC4cAUodivncUrTbQlFndZMCKLMw/view?usp=drivesdk","3472_TINA KAMALIA  _ SERTIFIKAT BerAKHLAK")</f>
        <v>3472_TINA KAMALIA  _ SERTIFIKAT BerAKHLAK</v>
      </c>
      <c r="P3473" s="5" t="s">
        <v>23841</v>
      </c>
    </row>
    <row r="3474">
      <c r="A3474" s="4">
        <v>45534.345359942134</v>
      </c>
      <c r="B3474" s="5" t="s">
        <v>34</v>
      </c>
      <c r="D3474" s="5" t="s">
        <v>12978</v>
      </c>
      <c r="E3474" s="5" t="s">
        <v>20560</v>
      </c>
      <c r="F3474" s="5" t="s">
        <v>328</v>
      </c>
      <c r="G3474" s="5" t="s">
        <v>23854</v>
      </c>
      <c r="H3474" s="6" t="s">
        <v>23855</v>
      </c>
      <c r="K3474" s="5" t="s">
        <v>23851</v>
      </c>
      <c r="M3474" s="5" t="s">
        <v>23856</v>
      </c>
      <c r="N3474" s="7" t="s">
        <v>23857</v>
      </c>
      <c r="O3474" s="8" t="str">
        <f>HYPERLINK("https://drive.google.com/file/d/1WgG9x4ZbqcTu8kx3dwACk0JfwFRM238b/view?usp=drivesdk","3473_NURHAYATI _ SERTIFIKAT BerAKHLAK")</f>
        <v>3473_NURHAYATI _ SERTIFIKAT BerAKHLAK</v>
      </c>
      <c r="P3474" s="5" t="s">
        <v>23841</v>
      </c>
    </row>
    <row r="3475" hidden="1">
      <c r="A3475" s="4">
        <v>45534.3453646875</v>
      </c>
      <c r="B3475" s="5" t="s">
        <v>19</v>
      </c>
      <c r="C3475" s="5" t="s">
        <v>5564</v>
      </c>
      <c r="E3475" s="5" t="s">
        <v>23858</v>
      </c>
      <c r="F3475" s="5" t="s">
        <v>212</v>
      </c>
      <c r="G3475" s="5" t="s">
        <v>23859</v>
      </c>
      <c r="H3475" s="6" t="s">
        <v>23860</v>
      </c>
      <c r="K3475" s="5" t="s">
        <v>23851</v>
      </c>
      <c r="M3475" s="5" t="s">
        <v>23861</v>
      </c>
      <c r="N3475" s="7" t="s">
        <v>23862</v>
      </c>
      <c r="O3475" s="8" t="str">
        <f>HYPERLINK("https://drive.google.com/file/d/13lZxXWxiNtoIC6UKdaeIZi0KsIHCbYnO/view?usp=drivesdk","3474_NANI SURYANI _ SERTIFIKAT BerAKHLAK")</f>
        <v>3474_NANI SURYANI _ SERTIFIKAT BerAKHLAK</v>
      </c>
      <c r="P3475" s="5" t="s">
        <v>23863</v>
      </c>
    </row>
    <row r="3476">
      <c r="A3476" s="4">
        <v>45534.345370104165</v>
      </c>
      <c r="B3476" s="5" t="s">
        <v>34</v>
      </c>
      <c r="D3476" s="5" t="s">
        <v>35</v>
      </c>
      <c r="E3476" s="5" t="s">
        <v>23864</v>
      </c>
      <c r="F3476" s="5" t="s">
        <v>715</v>
      </c>
      <c r="G3476" s="5" t="s">
        <v>23865</v>
      </c>
      <c r="H3476" s="6" t="s">
        <v>23866</v>
      </c>
      <c r="K3476" s="5" t="s">
        <v>23851</v>
      </c>
      <c r="M3476" s="5" t="s">
        <v>23867</v>
      </c>
      <c r="N3476" s="7" t="s">
        <v>23868</v>
      </c>
      <c r="O3476" s="8" t="str">
        <f>HYPERLINK("https://drive.google.com/file/d/1gL7bf7Wk-D7Dj2g0KdfQyoGSGU2fJSRO/view?usp=drivesdk","3475_SRI YANTI, A.Md.Kep _ SERTIFIKAT BerAKHLAK")</f>
        <v>3475_SRI YANTI, A.Md.Kep _ SERTIFIKAT BerAKHLAK</v>
      </c>
      <c r="P3476" s="5" t="s">
        <v>23863</v>
      </c>
    </row>
    <row r="3477">
      <c r="A3477" s="4">
        <v>45534.34537034722</v>
      </c>
      <c r="B3477" s="5" t="s">
        <v>34</v>
      </c>
      <c r="D3477" s="5" t="s">
        <v>7858</v>
      </c>
      <c r="E3477" s="5" t="s">
        <v>23869</v>
      </c>
      <c r="F3477" s="5" t="s">
        <v>120</v>
      </c>
      <c r="G3477" s="5" t="s">
        <v>23870</v>
      </c>
      <c r="H3477" s="6" t="s">
        <v>23871</v>
      </c>
      <c r="K3477" s="5" t="s">
        <v>23851</v>
      </c>
      <c r="M3477" s="5" t="s">
        <v>23872</v>
      </c>
      <c r="N3477" s="7" t="s">
        <v>23873</v>
      </c>
      <c r="O3477" s="8" t="str">
        <f>HYPERLINK("https://drive.google.com/file/d/1RC_cQy0QkUFub9xWCJpEOB8S0bEKyrIq/view?usp=drivesdk","3476_NELY NURYANA  _ SERTIFIKAT BerAKHLAK")</f>
        <v>3476_NELY NURYANA  _ SERTIFIKAT BerAKHLAK</v>
      </c>
      <c r="P3477" s="5" t="s">
        <v>23863</v>
      </c>
    </row>
    <row r="3478">
      <c r="A3478" s="4">
        <v>45534.34538108796</v>
      </c>
      <c r="B3478" s="5" t="s">
        <v>34</v>
      </c>
      <c r="D3478" s="5" t="s">
        <v>3849</v>
      </c>
      <c r="E3478" s="5" t="s">
        <v>23874</v>
      </c>
      <c r="F3478" s="5" t="s">
        <v>37</v>
      </c>
      <c r="G3478" s="5" t="s">
        <v>23875</v>
      </c>
      <c r="H3478" s="6" t="s">
        <v>23876</v>
      </c>
      <c r="K3478" s="5" t="s">
        <v>23851</v>
      </c>
      <c r="M3478" s="5" t="s">
        <v>23877</v>
      </c>
      <c r="N3478" s="7" t="s">
        <v>23878</v>
      </c>
      <c r="O3478" s="8" t="str">
        <f>HYPERLINK("https://drive.google.com/file/d/1JSn2Et7GwHUEwCUr3w4nsATxyd-A8yLA/view?usp=drivesdk","3477_DESTHYA DANIARTI, A.MD.KEB _ SERTIFIKAT BerAKHLAK")</f>
        <v>3477_DESTHYA DANIARTI, A.MD.KEB _ SERTIFIKAT BerAKHLAK</v>
      </c>
      <c r="P3478" s="5" t="s">
        <v>23863</v>
      </c>
    </row>
    <row r="3479">
      <c r="A3479" s="4">
        <v>45534.34538881945</v>
      </c>
      <c r="B3479" s="5" t="s">
        <v>34</v>
      </c>
      <c r="D3479" s="5" t="s">
        <v>35</v>
      </c>
      <c r="E3479" s="5" t="s">
        <v>23879</v>
      </c>
      <c r="F3479" s="5" t="s">
        <v>108</v>
      </c>
      <c r="G3479" s="5" t="s">
        <v>23880</v>
      </c>
      <c r="H3479" s="6" t="s">
        <v>23881</v>
      </c>
      <c r="K3479" s="5" t="s">
        <v>23851</v>
      </c>
      <c r="M3479" s="5" t="s">
        <v>23882</v>
      </c>
      <c r="N3479" s="7" t="s">
        <v>23883</v>
      </c>
      <c r="O3479" s="8" t="str">
        <f>HYPERLINK("https://drive.google.com/file/d/1IX5ceapE4nNh_-YE8hRA5zVPnSZOJnhk/view?usp=drivesdk","3478_DIAN SUSTANTI _ SERTIFIKAT BerAKHLAK")</f>
        <v>3478_DIAN SUSTANTI _ SERTIFIKAT BerAKHLAK</v>
      </c>
      <c r="P3479" s="5" t="s">
        <v>23863</v>
      </c>
    </row>
    <row r="3480" hidden="1">
      <c r="A3480" s="4">
        <v>45534.34539519676</v>
      </c>
      <c r="B3480" s="5" t="s">
        <v>19</v>
      </c>
      <c r="C3480" s="5" t="s">
        <v>3471</v>
      </c>
      <c r="E3480" s="5" t="s">
        <v>23884</v>
      </c>
      <c r="F3480" s="5" t="s">
        <v>524</v>
      </c>
      <c r="G3480" s="5" t="s">
        <v>23885</v>
      </c>
      <c r="H3480" s="6" t="s">
        <v>23886</v>
      </c>
      <c r="K3480" s="5" t="s">
        <v>23851</v>
      </c>
      <c r="M3480" s="5" t="s">
        <v>23887</v>
      </c>
      <c r="N3480" s="7" t="s">
        <v>23888</v>
      </c>
      <c r="O3480" s="8" t="str">
        <f>HYPERLINK("https://drive.google.com/file/d/17XdYGQbpE0ni74Dx6tW2gQtwlFb-AYP-/view?usp=drivesdk","3479_DWI HAYATI, S.E. _ SERTIFIKAT BerAKHLAK")</f>
        <v>3479_DWI HAYATI, S.E. _ SERTIFIKAT BerAKHLAK</v>
      </c>
      <c r="P3480" s="5" t="s">
        <v>23889</v>
      </c>
    </row>
    <row r="3481">
      <c r="A3481" s="4">
        <v>45534.34539512731</v>
      </c>
      <c r="B3481" s="5" t="s">
        <v>34</v>
      </c>
      <c r="D3481" s="5" t="s">
        <v>1206</v>
      </c>
      <c r="E3481" s="5" t="s">
        <v>23890</v>
      </c>
      <c r="F3481" s="5" t="s">
        <v>375</v>
      </c>
      <c r="G3481" s="5" t="s">
        <v>23891</v>
      </c>
      <c r="H3481" s="6" t="s">
        <v>23892</v>
      </c>
      <c r="K3481" s="5" t="s">
        <v>23893</v>
      </c>
      <c r="M3481" s="5" t="s">
        <v>23894</v>
      </c>
      <c r="N3481" s="7" t="s">
        <v>23895</v>
      </c>
      <c r="O3481" s="8" t="str">
        <f>HYPERLINK("https://drive.google.com/file/d/1o1xdZfX7e16cBWzxOs3XF8_3pXL6358n/view?usp=drivesdk","3480_JOKO SUJARWO.ST _ SERTIFIKAT BerAKHLAK")</f>
        <v>3480_JOKO SUJARWO.ST _ SERTIFIKAT BerAKHLAK</v>
      </c>
      <c r="P3481" s="5" t="s">
        <v>23889</v>
      </c>
    </row>
    <row r="3482">
      <c r="A3482" s="4">
        <v>45534.34540186342</v>
      </c>
      <c r="B3482" s="5" t="s">
        <v>34</v>
      </c>
      <c r="D3482" s="5" t="s">
        <v>6232</v>
      </c>
      <c r="E3482" s="5" t="s">
        <v>23896</v>
      </c>
      <c r="F3482" s="5" t="s">
        <v>37</v>
      </c>
      <c r="G3482" s="5" t="s">
        <v>23897</v>
      </c>
      <c r="H3482" s="6" t="s">
        <v>23898</v>
      </c>
      <c r="K3482" s="5" t="s">
        <v>23893</v>
      </c>
      <c r="M3482" s="5" t="s">
        <v>23899</v>
      </c>
      <c r="N3482" s="7" t="s">
        <v>23900</v>
      </c>
      <c r="O3482" s="8" t="str">
        <f>HYPERLINK("https://drive.google.com/file/d/1vs9ns0etm9cLg8aXgy1VYjaZyiMtTICJ/view?usp=drivesdk","3481_HARDIYANTO, Am.Kep _ SERTIFIKAT BerAKHLAK")</f>
        <v>3481_HARDIYANTO, Am.Kep _ SERTIFIKAT BerAKHLAK</v>
      </c>
      <c r="P3482" s="5" t="s">
        <v>23889</v>
      </c>
    </row>
    <row r="3483">
      <c r="A3483" s="4">
        <v>45534.345411898146</v>
      </c>
      <c r="B3483" s="5" t="s">
        <v>34</v>
      </c>
      <c r="D3483" s="5" t="s">
        <v>9394</v>
      </c>
      <c r="E3483" s="5" t="s">
        <v>23901</v>
      </c>
      <c r="F3483" s="5" t="s">
        <v>120</v>
      </c>
      <c r="G3483" s="5" t="s">
        <v>23902</v>
      </c>
      <c r="H3483" s="6" t="s">
        <v>23903</v>
      </c>
      <c r="K3483" s="5" t="s">
        <v>23893</v>
      </c>
      <c r="M3483" s="5" t="s">
        <v>23904</v>
      </c>
      <c r="N3483" s="7" t="s">
        <v>23905</v>
      </c>
      <c r="O3483" s="8" t="str">
        <f>HYPERLINK("https://drive.google.com/file/d/1MH6LtA2kXgOkwXx_6lBJqAu6HYUNoe4o/view?usp=drivesdk","3482_INTAN MARGARETHA SIMANULLANG, S.S. _ SERTIFIKAT BerAKHLAK")</f>
        <v>3482_INTAN MARGARETHA SIMANULLANG, S.S. _ SERTIFIKAT BerAKHLAK</v>
      </c>
      <c r="P3483" s="5" t="s">
        <v>23889</v>
      </c>
    </row>
    <row r="3484">
      <c r="A3484" s="4">
        <v>45534.3454120949</v>
      </c>
      <c r="B3484" s="5" t="s">
        <v>34</v>
      </c>
      <c r="D3484" s="5" t="s">
        <v>1206</v>
      </c>
      <c r="E3484" s="5" t="s">
        <v>23906</v>
      </c>
      <c r="F3484" s="5" t="s">
        <v>212</v>
      </c>
      <c r="G3484" s="5" t="s">
        <v>23907</v>
      </c>
      <c r="H3484" s="6" t="s">
        <v>23908</v>
      </c>
      <c r="K3484" s="5" t="s">
        <v>23893</v>
      </c>
      <c r="M3484" s="5" t="s">
        <v>23909</v>
      </c>
      <c r="N3484" s="7" t="s">
        <v>23910</v>
      </c>
      <c r="O3484" s="8" t="str">
        <f>HYPERLINK("https://drive.google.com/file/d/1bA6do_tBkDA4BpTXFXR0O4IC4M9uA_vq/view?usp=drivesdk","3483_JIRATIN A.Md.Keb _ SERTIFIKAT BerAKHLAK")</f>
        <v>3483_JIRATIN A.Md.Keb _ SERTIFIKAT BerAKHLAK</v>
      </c>
      <c r="P3484" s="5" t="s">
        <v>23911</v>
      </c>
    </row>
    <row r="3485">
      <c r="A3485" s="4">
        <v>45534.34541675926</v>
      </c>
      <c r="B3485" s="5" t="s">
        <v>34</v>
      </c>
      <c r="D3485" s="5" t="s">
        <v>6232</v>
      </c>
      <c r="E3485" s="5" t="s">
        <v>23912</v>
      </c>
      <c r="F3485" s="5" t="s">
        <v>72</v>
      </c>
      <c r="G3485" s="5" t="s">
        <v>23913</v>
      </c>
      <c r="H3485" s="6" t="s">
        <v>23914</v>
      </c>
      <c r="K3485" s="5" t="s">
        <v>23893</v>
      </c>
      <c r="M3485" s="5" t="s">
        <v>23915</v>
      </c>
      <c r="N3485" s="7" t="s">
        <v>23916</v>
      </c>
      <c r="O3485" s="8" t="str">
        <f>HYPERLINK("https://drive.google.com/file/d/1icr8O6aOtaYSj3UgwHLydMCLJMS-AhPS/view?usp=drivesdk","3484_RUSMALA DEWI  _ SERTIFIKAT BerAKHLAK")</f>
        <v>3484_RUSMALA DEWI  _ SERTIFIKAT BerAKHLAK</v>
      </c>
      <c r="P3485" s="5" t="s">
        <v>23911</v>
      </c>
    </row>
    <row r="3486">
      <c r="A3486" s="4">
        <v>45534.345438634264</v>
      </c>
      <c r="B3486" s="5" t="s">
        <v>34</v>
      </c>
      <c r="D3486" s="5" t="s">
        <v>280</v>
      </c>
      <c r="E3486" s="5" t="s">
        <v>23917</v>
      </c>
      <c r="F3486" s="5" t="s">
        <v>212</v>
      </c>
      <c r="G3486" s="5" t="s">
        <v>23918</v>
      </c>
      <c r="H3486" s="6" t="s">
        <v>23919</v>
      </c>
      <c r="K3486" s="5" t="s">
        <v>23920</v>
      </c>
      <c r="M3486" s="5" t="s">
        <v>23921</v>
      </c>
      <c r="N3486" s="7" t="s">
        <v>23922</v>
      </c>
      <c r="O3486" s="8" t="str">
        <f>HYPERLINK("https://drive.google.com/file/d/1FT2d8KuMwMytrg9jQ5TMubdixxf3GqIt/view?usp=drivesdk","3485_JERNIS HALOMOAN DAMANIK _ SERTIFIKAT BerAKHLAK")</f>
        <v>3485_JERNIS HALOMOAN DAMANIK _ SERTIFIKAT BerAKHLAK</v>
      </c>
      <c r="P3486" s="5" t="s">
        <v>23911</v>
      </c>
    </row>
    <row r="3487">
      <c r="A3487" s="4">
        <v>45534.345440439814</v>
      </c>
      <c r="B3487" s="5" t="s">
        <v>34</v>
      </c>
      <c r="D3487" s="5" t="s">
        <v>522</v>
      </c>
      <c r="E3487" s="5" t="s">
        <v>23923</v>
      </c>
      <c r="F3487" s="5" t="s">
        <v>524</v>
      </c>
      <c r="G3487" s="5" t="s">
        <v>23924</v>
      </c>
      <c r="H3487" s="6" t="s">
        <v>23925</v>
      </c>
      <c r="K3487" s="5" t="s">
        <v>23920</v>
      </c>
      <c r="M3487" s="5" t="s">
        <v>23926</v>
      </c>
      <c r="N3487" s="7" t="s">
        <v>23927</v>
      </c>
      <c r="O3487" s="8" t="str">
        <f>HYPERLINK("https://drive.google.com/file/d/13d9bXHgyhjk68vzBCc00KCd0gTbzi213/view?usp=drivesdk","3486_I MADE ARYA SUPUTRA, S.Ak. _ SERTIFIKAT BerAKHLAK")</f>
        <v>3486_I MADE ARYA SUPUTRA, S.Ak. _ SERTIFIKAT BerAKHLAK</v>
      </c>
      <c r="P3487" s="5" t="s">
        <v>23911</v>
      </c>
    </row>
    <row r="3488">
      <c r="A3488" s="4">
        <v>45534.345446203704</v>
      </c>
      <c r="B3488" s="5" t="s">
        <v>34</v>
      </c>
      <c r="D3488" s="5" t="s">
        <v>1456</v>
      </c>
      <c r="E3488" s="5" t="s">
        <v>23928</v>
      </c>
      <c r="F3488" s="5" t="s">
        <v>108</v>
      </c>
      <c r="G3488" s="5" t="s">
        <v>23929</v>
      </c>
      <c r="H3488" s="6" t="s">
        <v>23930</v>
      </c>
      <c r="K3488" s="5" t="s">
        <v>23920</v>
      </c>
      <c r="M3488" s="5" t="s">
        <v>23931</v>
      </c>
      <c r="N3488" s="7" t="s">
        <v>23932</v>
      </c>
      <c r="O3488" s="8" t="str">
        <f>HYPERLINK("https://drive.google.com/file/d/13ikU2AjnLeIVAQNpdEgbWFDRVjbsT7rU/view?usp=drivesdk","3487_MUKTI ALI  _ SERTIFIKAT BerAKHLAK")</f>
        <v>3487_MUKTI ALI  _ SERTIFIKAT BerAKHLAK</v>
      </c>
      <c r="P3488" s="5" t="s">
        <v>23911</v>
      </c>
    </row>
    <row r="3489">
      <c r="A3489" s="4">
        <v>45534.34544780092</v>
      </c>
      <c r="B3489" s="5" t="s">
        <v>34</v>
      </c>
      <c r="D3489" s="5" t="s">
        <v>1456</v>
      </c>
      <c r="E3489" s="5" t="s">
        <v>23933</v>
      </c>
      <c r="F3489" s="5" t="s">
        <v>524</v>
      </c>
      <c r="G3489" s="5" t="s">
        <v>23934</v>
      </c>
      <c r="H3489" s="6" t="s">
        <v>23935</v>
      </c>
      <c r="K3489" s="5" t="s">
        <v>23920</v>
      </c>
      <c r="M3489" s="5" t="s">
        <v>23936</v>
      </c>
      <c r="N3489" s="7" t="s">
        <v>23937</v>
      </c>
      <c r="O3489" s="8" t="str">
        <f>HYPERLINK("https://drive.google.com/file/d/16aJK7OloaUL_EiLmIOTNmjBYQh_9w4HC/view?usp=drivesdk","3488_ROSTIATI, S.E _ SERTIFIKAT BerAKHLAK")</f>
        <v>3488_ROSTIATI, S.E _ SERTIFIKAT BerAKHLAK</v>
      </c>
      <c r="P3489" s="5" t="s">
        <v>23938</v>
      </c>
    </row>
    <row r="3490">
      <c r="A3490" s="4">
        <v>45534.3454512037</v>
      </c>
      <c r="B3490" s="5" t="s">
        <v>34</v>
      </c>
      <c r="D3490" s="5" t="s">
        <v>1206</v>
      </c>
      <c r="E3490" s="5" t="s">
        <v>23939</v>
      </c>
      <c r="F3490" s="5" t="s">
        <v>212</v>
      </c>
      <c r="G3490" s="5" t="s">
        <v>23940</v>
      </c>
      <c r="H3490" s="6" t="s">
        <v>23941</v>
      </c>
      <c r="K3490" s="5" t="s">
        <v>23920</v>
      </c>
      <c r="M3490" s="5" t="s">
        <v>23942</v>
      </c>
      <c r="N3490" s="7" t="s">
        <v>23943</v>
      </c>
      <c r="O3490" s="8" t="str">
        <f>HYPERLINK("https://drive.google.com/file/d/1TaKTqpF6eliZI_94nsWF5mO8SDRmMgog/view?usp=drivesdk","3489_AGUS UREP SUBANGUN _ SERTIFIKAT BerAKHLAK")</f>
        <v>3489_AGUS UREP SUBANGUN _ SERTIFIKAT BerAKHLAK</v>
      </c>
      <c r="P3490" s="5" t="s">
        <v>23938</v>
      </c>
    </row>
    <row r="3491">
      <c r="A3491" s="4">
        <v>45534.34545451389</v>
      </c>
      <c r="B3491" s="5" t="s">
        <v>34</v>
      </c>
      <c r="D3491" s="5" t="s">
        <v>9020</v>
      </c>
      <c r="E3491" s="5" t="s">
        <v>23944</v>
      </c>
      <c r="F3491" s="5" t="s">
        <v>212</v>
      </c>
      <c r="G3491" s="5" t="s">
        <v>23945</v>
      </c>
      <c r="H3491" s="6" t="s">
        <v>23946</v>
      </c>
      <c r="K3491" s="5" t="s">
        <v>23920</v>
      </c>
      <c r="M3491" s="5" t="s">
        <v>23947</v>
      </c>
      <c r="N3491" s="7" t="s">
        <v>23948</v>
      </c>
      <c r="O3491" s="8" t="str">
        <f>HYPERLINK("https://drive.google.com/file/d/1i5c9SJLY4TFYp-DFRK5rTdRDoiAtPg2j/view?usp=drivesdk","3490_PORMAIDA SIMANJUNTAK _ SERTIFIKAT BerAKHLAK")</f>
        <v>3490_PORMAIDA SIMANJUNTAK _ SERTIFIKAT BerAKHLAK</v>
      </c>
      <c r="P3491" s="5" t="s">
        <v>23938</v>
      </c>
    </row>
    <row r="3492">
      <c r="A3492" s="4">
        <v>45534.345458298616</v>
      </c>
      <c r="B3492" s="5" t="s">
        <v>34</v>
      </c>
      <c r="D3492" s="5" t="s">
        <v>35</v>
      </c>
      <c r="E3492" s="5" t="s">
        <v>23949</v>
      </c>
      <c r="F3492" s="5" t="s">
        <v>375</v>
      </c>
      <c r="G3492" s="5" t="s">
        <v>23950</v>
      </c>
      <c r="H3492" s="6" t="s">
        <v>23951</v>
      </c>
      <c r="K3492" s="5" t="s">
        <v>23920</v>
      </c>
      <c r="M3492" s="5" t="s">
        <v>23952</v>
      </c>
      <c r="N3492" s="7" t="s">
        <v>23953</v>
      </c>
      <c r="O3492" s="8" t="str">
        <f>HYPERLINK("https://drive.google.com/file/d/11Uz5RjZOfRWzIPiW9J019dJwQFEHZcNn/view?usp=drivesdk","3491_DETY OCTARIA, S.H. _ SERTIFIKAT BerAKHLAK")</f>
        <v>3491_DETY OCTARIA, S.H. _ SERTIFIKAT BerAKHLAK</v>
      </c>
      <c r="P3492" s="5" t="s">
        <v>23938</v>
      </c>
    </row>
    <row r="3493">
      <c r="A3493" s="4">
        <v>45534.345458842596</v>
      </c>
      <c r="B3493" s="5" t="s">
        <v>34</v>
      </c>
      <c r="D3493" s="5" t="s">
        <v>267</v>
      </c>
      <c r="E3493" s="5" t="s">
        <v>23954</v>
      </c>
      <c r="F3493" s="5" t="s">
        <v>375</v>
      </c>
      <c r="G3493" s="5" t="s">
        <v>23955</v>
      </c>
      <c r="H3493" s="6" t="s">
        <v>23956</v>
      </c>
      <c r="K3493" s="5" t="s">
        <v>23920</v>
      </c>
      <c r="M3493" s="5" t="s">
        <v>23957</v>
      </c>
      <c r="N3493" s="7" t="s">
        <v>23958</v>
      </c>
      <c r="O3493" s="8" t="str">
        <f>HYPERLINK("https://drive.google.com/file/d/1paD-e5mZBPro_dvuNJhbAEMMEld1H9Ov/view?usp=drivesdk","3492_ESTI YURIAH _ SERTIFIKAT BerAKHLAK")</f>
        <v>3492_ESTI YURIAH _ SERTIFIKAT BerAKHLAK</v>
      </c>
      <c r="P3493" s="5" t="s">
        <v>23938</v>
      </c>
    </row>
    <row r="3494" hidden="1">
      <c r="A3494" s="4">
        <v>45534.34548063658</v>
      </c>
      <c r="B3494" s="5" t="s">
        <v>19</v>
      </c>
      <c r="C3494" s="5" t="s">
        <v>3301</v>
      </c>
      <c r="E3494" s="5" t="s">
        <v>23959</v>
      </c>
      <c r="F3494" s="5" t="s">
        <v>37</v>
      </c>
      <c r="G3494" s="5" t="s">
        <v>23960</v>
      </c>
      <c r="H3494" s="6" t="s">
        <v>23961</v>
      </c>
      <c r="K3494" s="5" t="s">
        <v>23920</v>
      </c>
      <c r="M3494" s="5" t="s">
        <v>23962</v>
      </c>
      <c r="N3494" s="7" t="s">
        <v>23963</v>
      </c>
      <c r="O3494" s="8" t="str">
        <f>HYPERLINK("https://drive.google.com/file/d/1LAD-qANzZ_uzYfzDK8laRfnXKkoLoEEJ/view?usp=drivesdk","3493_ARJUNENINTIYA FERRY ANGGRIAWAN, A.Md. Farm. _ SERTIFIKAT BerAKHLAK")</f>
        <v>3493_ARJUNENINTIYA FERRY ANGGRIAWAN, A.Md. Farm. _ SERTIFIKAT BerAKHLAK</v>
      </c>
      <c r="P3494" s="5" t="s">
        <v>23964</v>
      </c>
    </row>
    <row r="3495">
      <c r="A3495" s="4">
        <v>45534.345495104164</v>
      </c>
      <c r="B3495" s="5" t="s">
        <v>34</v>
      </c>
      <c r="D3495" s="5" t="s">
        <v>9394</v>
      </c>
      <c r="E3495" s="5" t="s">
        <v>23965</v>
      </c>
      <c r="F3495" s="5" t="s">
        <v>524</v>
      </c>
      <c r="G3495" s="5" t="s">
        <v>23966</v>
      </c>
      <c r="H3495" s="6" t="s">
        <v>23967</v>
      </c>
      <c r="K3495" s="5" t="s">
        <v>23968</v>
      </c>
      <c r="M3495" s="5" t="s">
        <v>23969</v>
      </c>
      <c r="N3495" s="7" t="s">
        <v>23970</v>
      </c>
      <c r="O3495" s="8" t="str">
        <f>HYPERLINK("https://drive.google.com/file/d/1GcK5qRfr6EDtb6iag4u0e0KhXl5M1-AC/view?usp=drivesdk","3494_LENNI SIPAYUNG,S.M _ SERTIFIKAT BerAKHLAK")</f>
        <v>3494_LENNI SIPAYUNG,S.M _ SERTIFIKAT BerAKHLAK</v>
      </c>
      <c r="P3495" s="5" t="s">
        <v>23964</v>
      </c>
    </row>
    <row r="3496">
      <c r="A3496" s="4">
        <v>45534.34549637731</v>
      </c>
      <c r="B3496" s="5" t="s">
        <v>34</v>
      </c>
      <c r="D3496" s="5" t="s">
        <v>4775</v>
      </c>
      <c r="E3496" s="5" t="s">
        <v>23971</v>
      </c>
      <c r="F3496" s="5" t="s">
        <v>212</v>
      </c>
      <c r="G3496" s="5" t="s">
        <v>23972</v>
      </c>
      <c r="H3496" s="6" t="s">
        <v>23973</v>
      </c>
      <c r="K3496" s="5" t="s">
        <v>23968</v>
      </c>
      <c r="M3496" s="5" t="s">
        <v>23974</v>
      </c>
      <c r="N3496" s="7" t="s">
        <v>23975</v>
      </c>
      <c r="O3496" s="8" t="str">
        <f>HYPERLINK("https://drive.google.com/file/d/1Enwv6sOpzjJDpnliaqu7mlO6QtMFoNRO/view?usp=drivesdk","3495_CASMUDI. A.MD.KEP _ SERTIFIKAT BerAKHLAK")</f>
        <v>3495_CASMUDI. A.MD.KEP _ SERTIFIKAT BerAKHLAK</v>
      </c>
      <c r="P3496" s="5" t="s">
        <v>23964</v>
      </c>
    </row>
    <row r="3497">
      <c r="A3497" s="4">
        <v>45534.345515451394</v>
      </c>
      <c r="B3497" s="5" t="s">
        <v>34</v>
      </c>
      <c r="D3497" s="5" t="s">
        <v>12978</v>
      </c>
      <c r="E3497" s="5" t="s">
        <v>23976</v>
      </c>
      <c r="F3497" s="5" t="s">
        <v>212</v>
      </c>
      <c r="G3497" s="5" t="s">
        <v>23977</v>
      </c>
      <c r="H3497" s="6" t="s">
        <v>23978</v>
      </c>
      <c r="K3497" s="5" t="s">
        <v>23968</v>
      </c>
      <c r="M3497" s="5" t="s">
        <v>23979</v>
      </c>
      <c r="N3497" s="7" t="s">
        <v>23980</v>
      </c>
      <c r="O3497" s="8" t="str">
        <f>HYPERLINK("https://drive.google.com/file/d/1FvTZ6I-4750rZTfEcN8ZjM32p9u9mMS4/view?usp=drivesdk","3496_YENNI MARLINA _ SERTIFIKAT BerAKHLAK")</f>
        <v>3496_YENNI MARLINA _ SERTIFIKAT BerAKHLAK</v>
      </c>
      <c r="P3497" s="5" t="s">
        <v>23981</v>
      </c>
    </row>
    <row r="3498">
      <c r="A3498" s="4">
        <v>45534.34552116898</v>
      </c>
      <c r="B3498" s="5" t="s">
        <v>34</v>
      </c>
      <c r="D3498" s="5" t="s">
        <v>580</v>
      </c>
      <c r="E3498" s="5" t="s">
        <v>23982</v>
      </c>
      <c r="F3498" s="5" t="s">
        <v>212</v>
      </c>
      <c r="G3498" s="5" t="s">
        <v>23983</v>
      </c>
      <c r="H3498" s="6" t="s">
        <v>23984</v>
      </c>
      <c r="K3498" s="5" t="s">
        <v>23968</v>
      </c>
      <c r="M3498" s="5" t="s">
        <v>23985</v>
      </c>
      <c r="N3498" s="7" t="s">
        <v>23986</v>
      </c>
      <c r="O3498" s="8" t="str">
        <f>HYPERLINK("https://drive.google.com/file/d/1ZYOpoR7h5TfTA9MOVM0-vuVcQFHbfrxx/view?usp=drivesdk","3497_NI KETUT ARIANI _ SERTIFIKAT BerAKHLAK")</f>
        <v>3497_NI KETUT ARIANI _ SERTIFIKAT BerAKHLAK</v>
      </c>
      <c r="P3498" s="5" t="s">
        <v>23981</v>
      </c>
    </row>
    <row r="3499">
      <c r="A3499" s="4">
        <v>45534.345522407406</v>
      </c>
      <c r="B3499" s="5" t="s">
        <v>34</v>
      </c>
      <c r="D3499" s="5" t="s">
        <v>267</v>
      </c>
      <c r="E3499" s="5" t="s">
        <v>23987</v>
      </c>
      <c r="F3499" s="5" t="s">
        <v>72</v>
      </c>
      <c r="G3499" s="5" t="s">
        <v>23988</v>
      </c>
      <c r="H3499" s="6" t="s">
        <v>23989</v>
      </c>
      <c r="K3499" s="5" t="s">
        <v>23968</v>
      </c>
      <c r="M3499" s="5" t="s">
        <v>23990</v>
      </c>
      <c r="N3499" s="7" t="s">
        <v>23991</v>
      </c>
      <c r="O3499" s="8" t="str">
        <f>HYPERLINK("https://drive.google.com/file/d/1TwgrYDEAhnuYtAJJg6CG2sKGCmkNbdNv/view?usp=drivesdk","3498_MELDA ORIZA _ SERTIFIKAT BerAKHLAK")</f>
        <v>3498_MELDA ORIZA _ SERTIFIKAT BerAKHLAK</v>
      </c>
      <c r="P3499" s="5" t="s">
        <v>23981</v>
      </c>
    </row>
    <row r="3500">
      <c r="A3500" s="4">
        <v>45534.34552619213</v>
      </c>
      <c r="B3500" s="5" t="s">
        <v>34</v>
      </c>
      <c r="D3500" s="5" t="s">
        <v>1456</v>
      </c>
      <c r="E3500" s="5" t="s">
        <v>23992</v>
      </c>
      <c r="F3500" s="5" t="s">
        <v>120</v>
      </c>
      <c r="G3500" s="5" t="s">
        <v>23993</v>
      </c>
      <c r="H3500" s="6" t="s">
        <v>23994</v>
      </c>
      <c r="K3500" s="5" t="s">
        <v>23968</v>
      </c>
      <c r="M3500" s="5" t="s">
        <v>23995</v>
      </c>
      <c r="N3500" s="7" t="s">
        <v>23996</v>
      </c>
      <c r="O3500" s="8" t="str">
        <f>HYPERLINK("https://drive.google.com/file/d/12bG-hKpLeU-jMhDDkTzfcCM7RfoepJHC/view?usp=drivesdk","3499_ENDANG SUKMAWATY, SH _ SERTIFIKAT BerAKHLAK")</f>
        <v>3499_ENDANG SUKMAWATY, SH _ SERTIFIKAT BerAKHLAK</v>
      </c>
      <c r="P3500" s="5" t="s">
        <v>23981</v>
      </c>
    </row>
    <row r="3501">
      <c r="A3501" s="4">
        <v>45534.345567627315</v>
      </c>
      <c r="B3501" s="5" t="s">
        <v>34</v>
      </c>
      <c r="D3501" s="5" t="s">
        <v>35</v>
      </c>
      <c r="E3501" s="5" t="s">
        <v>23997</v>
      </c>
      <c r="F3501" s="5" t="s">
        <v>37</v>
      </c>
      <c r="G3501" s="5" t="s">
        <v>23998</v>
      </c>
      <c r="H3501" s="6" t="s">
        <v>23999</v>
      </c>
      <c r="K3501" s="5" t="s">
        <v>24000</v>
      </c>
      <c r="M3501" s="5" t="s">
        <v>24001</v>
      </c>
      <c r="N3501" s="7" t="s">
        <v>24002</v>
      </c>
      <c r="O3501" s="8" t="str">
        <f>HYPERLINK("https://drive.google.com/file/d/1vrpHWHkqNTYJg5aDQe39oHOBSvI2o3gZ/view?usp=drivesdk","3500_BUDI HERMAWANTO, S.IP. _ SERTIFIKAT BerAKHLAK")</f>
        <v>3500_BUDI HERMAWANTO, S.IP. _ SERTIFIKAT BerAKHLAK</v>
      </c>
      <c r="P3501" s="5" t="s">
        <v>23981</v>
      </c>
    </row>
    <row r="3502">
      <c r="A3502" s="4">
        <v>45534.345590613426</v>
      </c>
      <c r="B3502" s="5" t="s">
        <v>34</v>
      </c>
      <c r="D3502" s="5" t="s">
        <v>580</v>
      </c>
      <c r="E3502" s="5" t="s">
        <v>24003</v>
      </c>
      <c r="F3502" s="5" t="s">
        <v>108</v>
      </c>
      <c r="G3502" s="5" t="s">
        <v>24004</v>
      </c>
      <c r="H3502" s="6" t="s">
        <v>24005</v>
      </c>
      <c r="I3502" s="7" t="s">
        <v>24006</v>
      </c>
      <c r="J3502" s="8" t="str">
        <f>HYPERLINK("https://drive.google.com/file/d/1qQ7Sh6iY5nL0JgB96ielQx-lxS8dlWOd/view?usp=drivesdk","NI WAYAN SANTI LASTRI SERTIFIKAT BerAKHLAK")</f>
        <v>NI WAYAN SANTI LASTRI SERTIFIKAT BerAKHLAK</v>
      </c>
      <c r="K3502" s="5" t="s">
        <v>23289</v>
      </c>
      <c r="L3502" s="5" t="s">
        <v>24007</v>
      </c>
      <c r="M3502" s="5" t="s">
        <v>24008</v>
      </c>
      <c r="N3502" s="7" t="s">
        <v>24009</v>
      </c>
      <c r="O3502" s="8" t="str">
        <f>HYPERLINK("https://drive.google.com/file/d/1UYxydCrUuB140zxce3ISWgP9oHGBgeAz/view?usp=drivesdk","3501_NI WAYAN SANTI LASTRI _ SERTIFIKAT BerAKHLAK")</f>
        <v>3501_NI WAYAN SANTI LASTRI _ SERTIFIKAT BerAKHLAK</v>
      </c>
      <c r="P3502" s="5" t="s">
        <v>24010</v>
      </c>
    </row>
    <row r="3503">
      <c r="A3503" s="4">
        <v>45534.345618252315</v>
      </c>
      <c r="B3503" s="5" t="s">
        <v>34</v>
      </c>
      <c r="D3503" s="5" t="s">
        <v>4775</v>
      </c>
      <c r="E3503" s="5" t="s">
        <v>24011</v>
      </c>
      <c r="F3503" s="5" t="s">
        <v>37</v>
      </c>
      <c r="G3503" s="5" t="s">
        <v>24012</v>
      </c>
      <c r="H3503" s="6" t="s">
        <v>24013</v>
      </c>
      <c r="K3503" s="5" t="s">
        <v>24014</v>
      </c>
      <c r="M3503" s="5" t="s">
        <v>24015</v>
      </c>
      <c r="N3503" s="7" t="s">
        <v>24016</v>
      </c>
      <c r="O3503" s="8" t="str">
        <f>HYPERLINK("https://drive.google.com/file/d/1EzxmttJhvklntFzi9Xiz6_3KTAGo9bs6/view?usp=drivesdk","3502_JUMBADI _ SERTIFIKAT BerAKHLAK")</f>
        <v>3502_JUMBADI _ SERTIFIKAT BerAKHLAK</v>
      </c>
      <c r="P3503" s="5" t="s">
        <v>24010</v>
      </c>
    </row>
    <row r="3504">
      <c r="A3504" s="4">
        <v>45534.3456225</v>
      </c>
      <c r="B3504" s="5" t="s">
        <v>34</v>
      </c>
      <c r="D3504" s="5" t="s">
        <v>4775</v>
      </c>
      <c r="E3504" s="5" t="s">
        <v>24017</v>
      </c>
      <c r="F3504" s="5" t="s">
        <v>37</v>
      </c>
      <c r="G3504" s="5" t="s">
        <v>24018</v>
      </c>
      <c r="H3504" s="6" t="s">
        <v>24019</v>
      </c>
      <c r="I3504" s="7" t="s">
        <v>24020</v>
      </c>
      <c r="J3504" s="8" t="str">
        <f>HYPERLINK("https://drive.google.com/file/d/1pLP6EpIwJU-I2upr89SNW7UigiG8l4bs/view?usp=drivesdk","DEDI SURYADI SERTIFIKAT BerAKHLAK")</f>
        <v>DEDI SURYADI SERTIFIKAT BerAKHLAK</v>
      </c>
      <c r="K3504" s="5" t="s">
        <v>23289</v>
      </c>
      <c r="L3504" s="5" t="s">
        <v>24021</v>
      </c>
      <c r="M3504" s="5" t="s">
        <v>24022</v>
      </c>
      <c r="N3504" s="7" t="s">
        <v>24023</v>
      </c>
      <c r="O3504" s="8" t="str">
        <f>HYPERLINK("https://drive.google.com/file/d/11tpV-81twAI_AQAA8lhSkuJV_7KuZkT9/view?usp=drivesdk","3503_DEDI SURYADI _ SERTIFIKAT BerAKHLAK")</f>
        <v>3503_DEDI SURYADI _ SERTIFIKAT BerAKHLAK</v>
      </c>
      <c r="P3504" s="5" t="s">
        <v>24010</v>
      </c>
    </row>
    <row r="3505">
      <c r="A3505" s="4">
        <v>45534.34563747685</v>
      </c>
      <c r="B3505" s="5" t="s">
        <v>34</v>
      </c>
      <c r="D3505" s="5" t="s">
        <v>1206</v>
      </c>
      <c r="E3505" s="5" t="s">
        <v>24024</v>
      </c>
      <c r="F3505" s="5" t="s">
        <v>37</v>
      </c>
      <c r="G3505" s="5" t="s">
        <v>24025</v>
      </c>
      <c r="H3505" s="6" t="s">
        <v>24026</v>
      </c>
      <c r="I3505" s="7" t="s">
        <v>24027</v>
      </c>
      <c r="J3505" s="8" t="str">
        <f>HYPERLINK("https://drive.google.com/file/d/1fjm1JvvXnAMrgZ2LU5w0mZI7i9tHU9sO/view?usp=drivesdk","RATNA HIDAYATI SERTIFIKAT BerAKHLAK")</f>
        <v>RATNA HIDAYATI SERTIFIKAT BerAKHLAK</v>
      </c>
      <c r="K3505" s="5" t="s">
        <v>23289</v>
      </c>
      <c r="L3505" s="5" t="s">
        <v>24028</v>
      </c>
      <c r="M3505" s="5" t="s">
        <v>24029</v>
      </c>
      <c r="N3505" s="7" t="s">
        <v>24030</v>
      </c>
      <c r="O3505" s="8" t="str">
        <f>HYPERLINK("https://drive.google.com/file/d/1wsrEqE-PaMPiq3ReKrE40Zd5miuAvK4c/view?usp=drivesdk","3504_RATNA HIDAYATI _ SERTIFIKAT BerAKHLAK")</f>
        <v>3504_RATNA HIDAYATI _ SERTIFIKAT BerAKHLAK</v>
      </c>
      <c r="P3505" s="5" t="s">
        <v>24010</v>
      </c>
    </row>
    <row r="3506">
      <c r="A3506" s="4">
        <v>45534.34563902778</v>
      </c>
      <c r="B3506" s="5" t="s">
        <v>34</v>
      </c>
      <c r="D3506" s="5" t="s">
        <v>12978</v>
      </c>
      <c r="E3506" s="5" t="s">
        <v>24031</v>
      </c>
      <c r="F3506" s="5" t="s">
        <v>212</v>
      </c>
      <c r="G3506" s="5" t="s">
        <v>24032</v>
      </c>
      <c r="H3506" s="6" t="s">
        <v>24033</v>
      </c>
      <c r="I3506" s="7" t="s">
        <v>24034</v>
      </c>
      <c r="J3506" s="8" t="str">
        <f>HYPERLINK("https://drive.google.com/file/d/1BLmCczIjlmzBw7zNnwghZWM9XucGdHSz/view?usp=drivesdk","ELRISA APRIANI ROSA  SERTIFIKAT BerAKHLAK")</f>
        <v>ELRISA APRIANI ROSA  SERTIFIKAT BerAKHLAK</v>
      </c>
      <c r="K3506" s="5" t="s">
        <v>23422</v>
      </c>
      <c r="L3506" s="5" t="s">
        <v>24035</v>
      </c>
      <c r="M3506" s="5" t="s">
        <v>24036</v>
      </c>
      <c r="N3506" s="7" t="s">
        <v>24037</v>
      </c>
      <c r="O3506" s="8" t="str">
        <f>HYPERLINK("https://drive.google.com/file/d/1QSMMaS0vkUilQMFm1Rx3vFapWQJVb8vq/view?usp=drivesdk","3505_ELRISA APRIANI ROSA  _ SERTIFIKAT BerAKHLAK")</f>
        <v>3505_ELRISA APRIANI ROSA  _ SERTIFIKAT BerAKHLAK</v>
      </c>
      <c r="P3506" s="5" t="s">
        <v>24010</v>
      </c>
    </row>
    <row r="3507">
      <c r="A3507" s="4">
        <v>45534.34564290509</v>
      </c>
      <c r="B3507" s="5" t="s">
        <v>34</v>
      </c>
      <c r="D3507" s="5" t="s">
        <v>1206</v>
      </c>
      <c r="E3507" s="5" t="s">
        <v>24038</v>
      </c>
      <c r="F3507" s="5" t="s">
        <v>37</v>
      </c>
      <c r="G3507" s="5" t="s">
        <v>24039</v>
      </c>
      <c r="H3507" s="6" t="s">
        <v>24040</v>
      </c>
      <c r="I3507" s="7" t="s">
        <v>24041</v>
      </c>
      <c r="J3507" s="8" t="str">
        <f>HYPERLINK("https://drive.google.com/file/d/1A634yY16lxWmTpkVp5y0kBrp14UBU5g7/view?usp=drivesdk","DEVY YUNITA SULISTIYANTI  SERTIFIKAT BerAKHLAK")</f>
        <v>DEVY YUNITA SULISTIYANTI  SERTIFIKAT BerAKHLAK</v>
      </c>
      <c r="K3507" s="5" t="s">
        <v>23422</v>
      </c>
      <c r="L3507" s="5" t="s">
        <v>24042</v>
      </c>
      <c r="M3507" s="5" t="s">
        <v>24043</v>
      </c>
      <c r="N3507" s="7" t="s">
        <v>24044</v>
      </c>
      <c r="O3507" s="8" t="str">
        <f>HYPERLINK("https://drive.google.com/file/d/1SgDhyf45d69Nf03xReTvXGlGjKDsUqJN/view?usp=drivesdk","3506_DEVY YUNITA SULISTIYANTI  _ SERTIFIKAT BerAKHLAK")</f>
        <v>3506_DEVY YUNITA SULISTIYANTI  _ SERTIFIKAT BerAKHLAK</v>
      </c>
      <c r="P3507" s="5" t="s">
        <v>24045</v>
      </c>
    </row>
    <row r="3508">
      <c r="A3508" s="4">
        <v>45534.3456440625</v>
      </c>
      <c r="B3508" s="5" t="s">
        <v>34</v>
      </c>
      <c r="D3508" s="5" t="s">
        <v>12978</v>
      </c>
      <c r="E3508" s="5" t="s">
        <v>24046</v>
      </c>
      <c r="F3508" s="5" t="s">
        <v>37</v>
      </c>
      <c r="G3508" s="5" t="s">
        <v>24047</v>
      </c>
      <c r="H3508" s="6" t="s">
        <v>24048</v>
      </c>
      <c r="I3508" s="7" t="s">
        <v>24049</v>
      </c>
      <c r="J3508" s="8" t="str">
        <f>HYPERLINK("https://drive.google.com/file/d/1IUxDIIzelT_117p4lcMi2vWxo_0mo5TY/view?usp=drivesdk","HALOMOAN ADI KUSUMA SIAHAAN SERTIFIKAT BerAKHLAK")</f>
        <v>HALOMOAN ADI KUSUMA SIAHAAN SERTIFIKAT BerAKHLAK</v>
      </c>
      <c r="K3508" s="5" t="s">
        <v>23422</v>
      </c>
      <c r="L3508" s="5" t="s">
        <v>24050</v>
      </c>
      <c r="M3508" s="5" t="s">
        <v>24051</v>
      </c>
      <c r="N3508" s="7" t="s">
        <v>24052</v>
      </c>
      <c r="O3508" s="8" t="str">
        <f>HYPERLINK("https://drive.google.com/file/d/1gcc6gXVN0wW7sCqSYsSizsTpvGxDPW3K/view?usp=drivesdk","3507_HALOMOAN ADI KUSUMA SIAHAAN _ SERTIFIKAT BerAKHLAK")</f>
        <v>3507_HALOMOAN ADI KUSUMA SIAHAAN _ SERTIFIKAT BerAKHLAK</v>
      </c>
      <c r="P3508" s="5" t="s">
        <v>24045</v>
      </c>
    </row>
    <row r="3509">
      <c r="A3509" s="4">
        <v>45534.34564738426</v>
      </c>
      <c r="B3509" s="5" t="s">
        <v>34</v>
      </c>
      <c r="D3509" s="5" t="s">
        <v>2903</v>
      </c>
      <c r="E3509" s="5" t="s">
        <v>24053</v>
      </c>
      <c r="F3509" s="5" t="s">
        <v>328</v>
      </c>
      <c r="G3509" s="5" t="s">
        <v>24054</v>
      </c>
      <c r="H3509" s="6" t="s">
        <v>24055</v>
      </c>
      <c r="I3509" s="7" t="s">
        <v>24056</v>
      </c>
      <c r="J3509" s="8" t="str">
        <f>HYPERLINK("https://drive.google.com/file/d/1mUjzACLFe_SR2I1fyEXECUD2VeSW5u_A/view?usp=drivesdk","ALEX SUPRIANTO SERTIFIKAT BerAKHLAK")</f>
        <v>ALEX SUPRIANTO SERTIFIKAT BerAKHLAK</v>
      </c>
      <c r="K3509" s="5" t="s">
        <v>24057</v>
      </c>
      <c r="L3509" s="5" t="s">
        <v>24058</v>
      </c>
      <c r="M3509" s="5" t="s">
        <v>24059</v>
      </c>
      <c r="N3509" s="7" t="s">
        <v>24060</v>
      </c>
      <c r="O3509" s="8" t="str">
        <f>HYPERLINK("https://drive.google.com/file/d/1v8CATc8-oa09dEF49Yi3UrxkYwwv9Bvz/view?usp=drivesdk","3508_ALEX SUPRIANTO _ SERTIFIKAT BerAKHLAK")</f>
        <v>3508_ALEX SUPRIANTO _ SERTIFIKAT BerAKHLAK</v>
      </c>
      <c r="P3509" s="5" t="s">
        <v>24045</v>
      </c>
    </row>
    <row r="3510">
      <c r="A3510" s="4">
        <v>45534.34565116898</v>
      </c>
      <c r="B3510" s="5" t="s">
        <v>34</v>
      </c>
      <c r="D3510" s="5" t="s">
        <v>1206</v>
      </c>
      <c r="E3510" s="5" t="s">
        <v>24061</v>
      </c>
      <c r="F3510" s="5" t="s">
        <v>328</v>
      </c>
      <c r="G3510" s="5" t="s">
        <v>24062</v>
      </c>
      <c r="H3510" s="6" t="s">
        <v>24063</v>
      </c>
      <c r="K3510" s="5" t="s">
        <v>24064</v>
      </c>
      <c r="M3510" s="5" t="s">
        <v>24065</v>
      </c>
      <c r="N3510" s="7" t="s">
        <v>24066</v>
      </c>
      <c r="O3510" s="8" t="str">
        <f>HYPERLINK("https://drive.google.com/file/d/1fBKvWIvl9pyoOs6sacQcx4csiLk-7pxR/view?usp=drivesdk","3509_ZAHROTUL ASFUTIN _ SERTIFIKAT BerAKHLAK")</f>
        <v>3509_ZAHROTUL ASFUTIN _ SERTIFIKAT BerAKHLAK</v>
      </c>
      <c r="P3510" s="5" t="s">
        <v>24045</v>
      </c>
    </row>
    <row r="3511">
      <c r="A3511" s="4">
        <v>45534.345652916665</v>
      </c>
      <c r="B3511" s="5" t="s">
        <v>34</v>
      </c>
      <c r="D3511" s="5" t="s">
        <v>522</v>
      </c>
      <c r="E3511" s="5" t="s">
        <v>18319</v>
      </c>
      <c r="F3511" s="5" t="s">
        <v>108</v>
      </c>
      <c r="G3511" s="5" t="s">
        <v>18320</v>
      </c>
      <c r="H3511" s="6" t="s">
        <v>24067</v>
      </c>
      <c r="K3511" s="5" t="s">
        <v>24064</v>
      </c>
      <c r="M3511" s="5" t="s">
        <v>24068</v>
      </c>
      <c r="N3511" s="7" t="s">
        <v>24069</v>
      </c>
      <c r="O3511" s="8" t="str">
        <f>HYPERLINK("https://drive.google.com/file/d/1G74MNUOcoZhRp6kRQQsxukdrSqhppdlH/view?usp=drivesdk","3510_KURNI ARIANTO _ SERTIFIKAT BerAKHLAK")</f>
        <v>3510_KURNI ARIANTO _ SERTIFIKAT BerAKHLAK</v>
      </c>
      <c r="P3511" s="5" t="s">
        <v>24070</v>
      </c>
    </row>
    <row r="3512">
      <c r="A3512" s="4">
        <v>45534.34565319444</v>
      </c>
      <c r="B3512" s="5" t="s">
        <v>34</v>
      </c>
      <c r="D3512" s="5" t="s">
        <v>1206</v>
      </c>
      <c r="E3512" s="5" t="s">
        <v>24071</v>
      </c>
      <c r="F3512" s="5" t="s">
        <v>212</v>
      </c>
      <c r="G3512" s="5" t="s">
        <v>24072</v>
      </c>
      <c r="H3512" s="6" t="s">
        <v>24073</v>
      </c>
      <c r="K3512" s="5" t="s">
        <v>24064</v>
      </c>
      <c r="M3512" s="5" t="s">
        <v>24074</v>
      </c>
      <c r="N3512" s="7" t="s">
        <v>24075</v>
      </c>
      <c r="O3512" s="8" t="str">
        <f>HYPERLINK("https://drive.google.com/file/d/1lnX_gGJhokcYf2nK80rullX-H1LYL6d0/view?usp=drivesdk","3511_SUGENG WALUYO _ SERTIFIKAT BerAKHLAK")</f>
        <v>3511_SUGENG WALUYO _ SERTIFIKAT BerAKHLAK</v>
      </c>
      <c r="P3512" s="5" t="s">
        <v>24070</v>
      </c>
    </row>
    <row r="3513" hidden="1">
      <c r="A3513" s="4">
        <v>45534.345655729165</v>
      </c>
      <c r="B3513" s="5" t="s">
        <v>19</v>
      </c>
      <c r="C3513" s="5" t="s">
        <v>24076</v>
      </c>
      <c r="E3513" s="5" t="s">
        <v>20560</v>
      </c>
      <c r="F3513" s="5" t="s">
        <v>212</v>
      </c>
      <c r="G3513" s="5" t="s">
        <v>24077</v>
      </c>
      <c r="H3513" s="6" t="s">
        <v>24078</v>
      </c>
      <c r="K3513" s="5" t="s">
        <v>24064</v>
      </c>
      <c r="M3513" s="5" t="s">
        <v>24079</v>
      </c>
      <c r="N3513" s="7" t="s">
        <v>24080</v>
      </c>
      <c r="O3513" s="8" t="str">
        <f>HYPERLINK("https://drive.google.com/file/d/1_PEo4bzOFoeyceEOl65borYld9XimGmo/view?usp=drivesdk","3512_NURHAYATI _ SERTIFIKAT BerAKHLAK")</f>
        <v>3512_NURHAYATI _ SERTIFIKAT BerAKHLAK</v>
      </c>
      <c r="P3513" s="5" t="s">
        <v>24070</v>
      </c>
    </row>
    <row r="3514">
      <c r="A3514" s="4">
        <v>45534.345663726854</v>
      </c>
      <c r="B3514" s="5" t="s">
        <v>34</v>
      </c>
      <c r="D3514" s="5" t="s">
        <v>9394</v>
      </c>
      <c r="E3514" s="5" t="s">
        <v>24081</v>
      </c>
      <c r="F3514" s="5" t="s">
        <v>524</v>
      </c>
      <c r="G3514" s="5" t="s">
        <v>24082</v>
      </c>
      <c r="H3514" s="6" t="s">
        <v>24083</v>
      </c>
      <c r="K3514" s="5" t="s">
        <v>24064</v>
      </c>
      <c r="M3514" s="5" t="s">
        <v>24084</v>
      </c>
      <c r="N3514" s="7" t="s">
        <v>24085</v>
      </c>
      <c r="O3514" s="8" t="str">
        <f>HYPERLINK("https://drive.google.com/file/d/17F75UEa-4hzb-4Uyz5DQj3GjqkO8G1n5/view?usp=drivesdk","3513_HERMONDO.S.Kom _ SERTIFIKAT BerAKHLAK")</f>
        <v>3513_HERMONDO.S.Kom _ SERTIFIKAT BerAKHLAK</v>
      </c>
      <c r="P3514" s="5" t="s">
        <v>24070</v>
      </c>
    </row>
    <row r="3515">
      <c r="A3515" s="4">
        <v>45534.345666875</v>
      </c>
      <c r="B3515" s="5" t="s">
        <v>34</v>
      </c>
      <c r="D3515" s="5" t="s">
        <v>10297</v>
      </c>
      <c r="E3515" s="5" t="s">
        <v>24086</v>
      </c>
      <c r="F3515" s="5" t="s">
        <v>37</v>
      </c>
      <c r="G3515" s="5" t="s">
        <v>24087</v>
      </c>
      <c r="H3515" s="6" t="s">
        <v>24088</v>
      </c>
      <c r="K3515" s="5" t="s">
        <v>24064</v>
      </c>
      <c r="M3515" s="5" t="s">
        <v>24089</v>
      </c>
      <c r="N3515" s="7" t="s">
        <v>24090</v>
      </c>
      <c r="O3515" s="8" t="str">
        <f>HYPERLINK("https://drive.google.com/file/d/1U74To4ZiUtROI8MvTLHA4BzOFVGgOvIy/view?usp=drivesdk","3514_GRASELLA SANTIJA _ SERTIFIKAT BerAKHLAK")</f>
        <v>3514_GRASELLA SANTIJA _ SERTIFIKAT BerAKHLAK</v>
      </c>
      <c r="P3515" s="5" t="s">
        <v>24070</v>
      </c>
    </row>
    <row r="3516">
      <c r="A3516" s="4">
        <v>45534.34566752314</v>
      </c>
      <c r="B3516" s="5" t="s">
        <v>34</v>
      </c>
      <c r="D3516" s="5" t="s">
        <v>12978</v>
      </c>
      <c r="E3516" s="5" t="s">
        <v>24091</v>
      </c>
      <c r="F3516" s="5" t="s">
        <v>715</v>
      </c>
      <c r="G3516" s="5" t="s">
        <v>24092</v>
      </c>
      <c r="H3516" s="6" t="s">
        <v>24093</v>
      </c>
      <c r="K3516" s="5" t="s">
        <v>24064</v>
      </c>
      <c r="M3516" s="5" t="s">
        <v>24094</v>
      </c>
      <c r="N3516" s="7" t="s">
        <v>24095</v>
      </c>
      <c r="O3516" s="8" t="str">
        <f>HYPERLINK("https://drive.google.com/file/d/1EYiDoNlIvxBC4gCSs3V43yfkL2rtx2As/view?usp=drivesdk","3515_VERARIKALIA,S.E _ SERTIFIKAT BerAKHLAK")</f>
        <v>3515_VERARIKALIA,S.E _ SERTIFIKAT BerAKHLAK</v>
      </c>
      <c r="P3516" s="5" t="s">
        <v>24096</v>
      </c>
    </row>
    <row r="3517">
      <c r="A3517" s="4">
        <v>45534.34568993056</v>
      </c>
      <c r="B3517" s="5" t="s">
        <v>34</v>
      </c>
      <c r="D3517" s="5" t="s">
        <v>1206</v>
      </c>
      <c r="E3517" s="5" t="s">
        <v>24097</v>
      </c>
      <c r="F3517" s="5" t="s">
        <v>37</v>
      </c>
      <c r="G3517" s="5" t="s">
        <v>24098</v>
      </c>
      <c r="H3517" s="6" t="s">
        <v>24099</v>
      </c>
      <c r="I3517" s="7" t="s">
        <v>24100</v>
      </c>
      <c r="J3517" s="8" t="str">
        <f>HYPERLINK("https://drive.google.com/file/d/1jEK_l2HNRW4lpfpb6-4IbxEGR60vaGqc/view?usp=drivesdk","SULISTYONINGSIH SERTIFIKAT BerAKHLAK")</f>
        <v>SULISTYONINGSIH SERTIFIKAT BerAKHLAK</v>
      </c>
      <c r="K3517" s="5" t="s">
        <v>23422</v>
      </c>
      <c r="L3517" s="5" t="s">
        <v>24101</v>
      </c>
      <c r="M3517" s="5" t="s">
        <v>24102</v>
      </c>
      <c r="N3517" s="7" t="s">
        <v>24103</v>
      </c>
      <c r="O3517" s="8" t="str">
        <f>HYPERLINK("https://drive.google.com/file/d/1q_VC5hLs27N_fkPIA37VLwKlV43B0YBL/view?usp=drivesdk","3516_SULISTYONINGSIH _ SERTIFIKAT BerAKHLAK")</f>
        <v>3516_SULISTYONINGSIH _ SERTIFIKAT BerAKHLAK</v>
      </c>
      <c r="P3517" s="5" t="s">
        <v>24096</v>
      </c>
    </row>
    <row r="3518">
      <c r="A3518" s="4">
        <v>45534.345699247686</v>
      </c>
      <c r="B3518" s="5" t="s">
        <v>34</v>
      </c>
      <c r="D3518" s="5" t="s">
        <v>1206</v>
      </c>
      <c r="E3518" s="5" t="s">
        <v>24104</v>
      </c>
      <c r="F3518" s="5" t="s">
        <v>212</v>
      </c>
      <c r="G3518" s="5" t="s">
        <v>24105</v>
      </c>
      <c r="H3518" s="6" t="s">
        <v>24106</v>
      </c>
      <c r="I3518" s="7" t="s">
        <v>24107</v>
      </c>
      <c r="J3518" s="8" t="str">
        <f>HYPERLINK("https://drive.google.com/file/d/103DePo5_xq9lc4SjhETYkmMzosqGq86F/view?usp=drivesdk","SUMARDIN SERTIFIKAT BerAKHLAK")</f>
        <v>SUMARDIN SERTIFIKAT BerAKHLAK</v>
      </c>
      <c r="K3518" s="5" t="s">
        <v>23422</v>
      </c>
      <c r="L3518" s="5" t="s">
        <v>24108</v>
      </c>
      <c r="M3518" s="5" t="s">
        <v>24109</v>
      </c>
      <c r="N3518" s="7" t="s">
        <v>24110</v>
      </c>
      <c r="O3518" s="8" t="str">
        <f>HYPERLINK("https://drive.google.com/file/d/1ffcrMZNKyNRkgkw45U56tnLO808Al0w9/view?usp=drivesdk","3517_SUMARDIN _ SERTIFIKAT BerAKHLAK")</f>
        <v>3517_SUMARDIN _ SERTIFIKAT BerAKHLAK</v>
      </c>
      <c r="P3518" s="5" t="s">
        <v>24096</v>
      </c>
    </row>
    <row r="3519">
      <c r="A3519" s="4">
        <v>45534.34570535879</v>
      </c>
      <c r="B3519" s="5" t="s">
        <v>34</v>
      </c>
      <c r="D3519" s="5" t="s">
        <v>4775</v>
      </c>
      <c r="E3519" s="5" t="s">
        <v>24111</v>
      </c>
      <c r="F3519" s="5" t="s">
        <v>375</v>
      </c>
      <c r="G3519" s="5" t="s">
        <v>24112</v>
      </c>
      <c r="H3519" s="6" t="s">
        <v>24113</v>
      </c>
      <c r="I3519" s="7" t="s">
        <v>24114</v>
      </c>
      <c r="J3519" s="8" t="str">
        <f>HYPERLINK("https://drive.google.com/file/d/1IwVYCIrCh2I8GlI1UzZEPZ0bKtFXhj8v/view?usp=drivesdk","FIKA MEIRINA, S.Si SERTIFIKAT BerAKHLAK")</f>
        <v>FIKA MEIRINA, S.Si SERTIFIKAT BerAKHLAK</v>
      </c>
      <c r="K3519" s="5" t="s">
        <v>23422</v>
      </c>
      <c r="L3519" s="5" t="s">
        <v>24115</v>
      </c>
      <c r="M3519" s="5" t="s">
        <v>24116</v>
      </c>
      <c r="N3519" s="7" t="s">
        <v>24117</v>
      </c>
      <c r="O3519" s="8" t="str">
        <f>HYPERLINK("https://drive.google.com/file/d/1N8N_Yy7DVvXL7yr56TolMfHJv8UEiSb0/view?usp=drivesdk","3518_FIKA MEIRINA, S.Si _ SERTIFIKAT BerAKHLAK")</f>
        <v>3518_FIKA MEIRINA, S.Si _ SERTIFIKAT BerAKHLAK</v>
      </c>
      <c r="P3519" s="5" t="s">
        <v>24096</v>
      </c>
    </row>
    <row r="3520">
      <c r="A3520" s="4">
        <v>45534.34571030093</v>
      </c>
      <c r="B3520" s="5" t="s">
        <v>34</v>
      </c>
      <c r="D3520" s="5" t="s">
        <v>4775</v>
      </c>
      <c r="E3520" s="5" t="s">
        <v>24118</v>
      </c>
      <c r="F3520" s="5" t="s">
        <v>199</v>
      </c>
      <c r="G3520" s="5" t="s">
        <v>24119</v>
      </c>
      <c r="H3520" s="6" t="s">
        <v>24120</v>
      </c>
      <c r="I3520" s="7" t="s">
        <v>24121</v>
      </c>
      <c r="J3520" s="8" t="str">
        <f>HYPERLINK("https://drive.google.com/file/d/1W86Q7tJds0KibaBzcpnr65gvVB6gVBtT/view?usp=drivesdk","KARIMUN SERTIFIKAT BerAKHLAK")</f>
        <v>KARIMUN SERTIFIKAT BerAKHLAK</v>
      </c>
      <c r="K3520" s="5" t="s">
        <v>23422</v>
      </c>
      <c r="L3520" s="5" t="s">
        <v>24122</v>
      </c>
      <c r="M3520" s="5" t="s">
        <v>24123</v>
      </c>
      <c r="N3520" s="7" t="s">
        <v>24124</v>
      </c>
      <c r="O3520" s="8" t="str">
        <f>HYPERLINK("https://drive.google.com/file/d/1IHTZLRB3m18f4OvKRly7DvxgqThGUnqu/view?usp=drivesdk","3519_KARIMUN _ SERTIFIKAT BerAKHLAK")</f>
        <v>3519_KARIMUN _ SERTIFIKAT BerAKHLAK</v>
      </c>
      <c r="P3520" s="5" t="s">
        <v>24125</v>
      </c>
    </row>
    <row r="3521">
      <c r="A3521" s="4">
        <v>45534.34571525463</v>
      </c>
      <c r="B3521" s="5" t="s">
        <v>34</v>
      </c>
      <c r="D3521" s="5" t="s">
        <v>35</v>
      </c>
      <c r="E3521" s="5" t="s">
        <v>24126</v>
      </c>
      <c r="F3521" s="5" t="s">
        <v>37</v>
      </c>
      <c r="G3521" s="5" t="s">
        <v>24127</v>
      </c>
      <c r="H3521" s="6" t="s">
        <v>24128</v>
      </c>
      <c r="K3521" s="5" t="s">
        <v>24129</v>
      </c>
      <c r="M3521" s="5" t="s">
        <v>24130</v>
      </c>
      <c r="N3521" s="7" t="s">
        <v>24131</v>
      </c>
      <c r="O3521" s="8" t="str">
        <f>HYPERLINK("https://drive.google.com/file/d/1w8LOISQH1XGHLFBMi8sjlaIyp5fRURi4/view?usp=drivesdk","3520_PUPUNNAWANGSARI _ SERTIFIKAT BerAKHLAK")</f>
        <v>3520_PUPUNNAWANGSARI _ SERTIFIKAT BerAKHLAK</v>
      </c>
      <c r="P3521" s="5" t="s">
        <v>24125</v>
      </c>
    </row>
    <row r="3522">
      <c r="A3522" s="4">
        <v>45534.34571552083</v>
      </c>
      <c r="B3522" s="5" t="s">
        <v>34</v>
      </c>
      <c r="D3522" s="5" t="s">
        <v>12978</v>
      </c>
      <c r="E3522" s="5" t="s">
        <v>24132</v>
      </c>
      <c r="F3522" s="5" t="s">
        <v>212</v>
      </c>
      <c r="G3522" s="5" t="s">
        <v>24133</v>
      </c>
      <c r="H3522" s="6" t="s">
        <v>24134</v>
      </c>
      <c r="K3522" s="5" t="s">
        <v>24129</v>
      </c>
      <c r="M3522" s="5" t="s">
        <v>24135</v>
      </c>
      <c r="N3522" s="7" t="s">
        <v>24136</v>
      </c>
      <c r="O3522" s="8" t="str">
        <f>HYPERLINK("https://drive.google.com/file/d/1442kDmdf0AcZN7ofLxkXmSxdwmWRZfcg/view?usp=drivesdk","3521_DEBBY HERMAWATI _ SERTIFIKAT BerAKHLAK")</f>
        <v>3521_DEBBY HERMAWATI _ SERTIFIKAT BerAKHLAK</v>
      </c>
      <c r="P3522" s="5" t="s">
        <v>24125</v>
      </c>
    </row>
    <row r="3523">
      <c r="A3523" s="4">
        <v>45534.345717731485</v>
      </c>
      <c r="B3523" s="5" t="s">
        <v>34</v>
      </c>
      <c r="D3523" s="5" t="s">
        <v>9020</v>
      </c>
      <c r="E3523" s="5" t="s">
        <v>24137</v>
      </c>
      <c r="F3523" s="5" t="s">
        <v>375</v>
      </c>
      <c r="G3523" s="5" t="s">
        <v>24138</v>
      </c>
      <c r="H3523" s="6" t="s">
        <v>24139</v>
      </c>
      <c r="K3523" s="5" t="s">
        <v>24129</v>
      </c>
      <c r="M3523" s="5" t="s">
        <v>24140</v>
      </c>
      <c r="N3523" s="7" t="s">
        <v>24141</v>
      </c>
      <c r="O3523" s="8" t="str">
        <f>HYPERLINK("https://drive.google.com/file/d/1AvHuO0hy9EwRPQ9wlZ5yiNqPWNAqx1nh/view?usp=drivesdk","3522_Tatang Windianto, SE _ SERTIFIKAT BerAKHLAK")</f>
        <v>3522_Tatang Windianto, SE _ SERTIFIKAT BerAKHLAK</v>
      </c>
      <c r="P3523" s="5" t="s">
        <v>24125</v>
      </c>
    </row>
    <row r="3524">
      <c r="A3524" s="4">
        <v>45534.34572565972</v>
      </c>
      <c r="B3524" s="5" t="s">
        <v>34</v>
      </c>
      <c r="D3524" s="5" t="s">
        <v>4775</v>
      </c>
      <c r="E3524" s="5" t="s">
        <v>24142</v>
      </c>
      <c r="F3524" s="5" t="s">
        <v>212</v>
      </c>
      <c r="G3524" s="5" t="s">
        <v>24143</v>
      </c>
      <c r="H3524" s="6" t="s">
        <v>24144</v>
      </c>
      <c r="K3524" s="5" t="s">
        <v>24129</v>
      </c>
      <c r="M3524" s="5" t="s">
        <v>24145</v>
      </c>
      <c r="N3524" s="7" t="s">
        <v>24146</v>
      </c>
      <c r="O3524" s="8" t="str">
        <f>HYPERLINK("https://drive.google.com/file/d/1S6GIJz9fwuDaVp9QC8ivKuxqfcmbedfU/view?usp=drivesdk","3523_AGUS SURYONO _ SERTIFIKAT BerAKHLAK")</f>
        <v>3523_AGUS SURYONO _ SERTIFIKAT BerAKHLAK</v>
      </c>
      <c r="P3524" s="5" t="s">
        <v>24125</v>
      </c>
    </row>
    <row r="3525">
      <c r="A3525" s="4">
        <v>45534.3457322801</v>
      </c>
      <c r="B3525" s="5" t="s">
        <v>34</v>
      </c>
      <c r="D3525" s="5" t="s">
        <v>4775</v>
      </c>
      <c r="E3525" s="5" t="s">
        <v>24147</v>
      </c>
      <c r="F3525" s="5" t="s">
        <v>37</v>
      </c>
      <c r="G3525" s="5" t="s">
        <v>24148</v>
      </c>
      <c r="H3525" s="6" t="s">
        <v>24149</v>
      </c>
      <c r="I3525" s="7" t="s">
        <v>24150</v>
      </c>
      <c r="J3525" s="8" t="str">
        <f>HYPERLINK("https://drive.google.com/file/d/1ooVZGZ8mXmP2Gt3gll2JxGJ4vOER8dLB/view?usp=drivesdk","BUDI PERMONO SERTIFIKAT BerAKHLAK")</f>
        <v>BUDI PERMONO SERTIFIKAT BerAKHLAK</v>
      </c>
      <c r="K3525" s="5" t="s">
        <v>23422</v>
      </c>
      <c r="L3525" s="5" t="s">
        <v>24151</v>
      </c>
      <c r="M3525" s="5" t="s">
        <v>24152</v>
      </c>
      <c r="N3525" s="7" t="s">
        <v>24153</v>
      </c>
      <c r="O3525" s="8" t="str">
        <f>HYPERLINK("https://drive.google.com/file/d/1gdh1mIaRw6bZdFA36dXWTDKbU8MQKLVr/view?usp=drivesdk","3524_BUDI PERMONO _ SERTIFIKAT BerAKHLAK")</f>
        <v>3524_BUDI PERMONO _ SERTIFIKAT BerAKHLAK</v>
      </c>
      <c r="P3525" s="5" t="s">
        <v>24154</v>
      </c>
    </row>
    <row r="3526">
      <c r="A3526" s="4">
        <v>45534.34573339121</v>
      </c>
      <c r="B3526" s="5" t="s">
        <v>34</v>
      </c>
      <c r="D3526" s="5" t="s">
        <v>1206</v>
      </c>
      <c r="E3526" s="5" t="s">
        <v>24155</v>
      </c>
      <c r="F3526" s="5" t="s">
        <v>37</v>
      </c>
      <c r="G3526" s="5" t="s">
        <v>24156</v>
      </c>
      <c r="H3526" s="6" t="s">
        <v>24157</v>
      </c>
      <c r="I3526" s="7" t="s">
        <v>24158</v>
      </c>
      <c r="J3526" s="8" t="str">
        <f>HYPERLINK("https://drive.google.com/file/d/1wkO9UzGW7FY7inLup0S_HTg7mWBNmt_5/view?usp=drivesdk","ETY YUNIASTUTIK SERTIFIKAT BerAKHLAK")</f>
        <v>ETY YUNIASTUTIK SERTIFIKAT BerAKHLAK</v>
      </c>
      <c r="K3526" s="5" t="s">
        <v>23422</v>
      </c>
      <c r="L3526" s="5" t="s">
        <v>24159</v>
      </c>
      <c r="M3526" s="5" t="s">
        <v>24160</v>
      </c>
      <c r="N3526" s="7" t="s">
        <v>24161</v>
      </c>
      <c r="O3526" s="8" t="str">
        <f>HYPERLINK("https://drive.google.com/file/d/1OjAQUpUptLdOtxuL7hB8sc5b0kXQxlZ3/view?usp=drivesdk","3525_ETY YUNIASTUTIK _ SERTIFIKAT BerAKHLAK")</f>
        <v>3525_ETY YUNIASTUTIK _ SERTIFIKAT BerAKHLAK</v>
      </c>
      <c r="P3526" s="5" t="s">
        <v>24154</v>
      </c>
    </row>
    <row r="3527">
      <c r="A3527" s="4">
        <v>45534.34573598379</v>
      </c>
      <c r="B3527" s="5" t="s">
        <v>34</v>
      </c>
      <c r="D3527" s="5" t="s">
        <v>1206</v>
      </c>
      <c r="E3527" s="5" t="s">
        <v>24162</v>
      </c>
      <c r="F3527" s="5" t="s">
        <v>524</v>
      </c>
      <c r="G3527" s="5" t="s">
        <v>24163</v>
      </c>
      <c r="H3527" s="6" t="s">
        <v>24164</v>
      </c>
      <c r="I3527" s="7" t="s">
        <v>24165</v>
      </c>
      <c r="J3527" s="8" t="str">
        <f>HYPERLINK("https://drive.google.com/file/d/1Wu3XjyJ55yFINgeraylCx2JCjeLlVoGn/view?usp=drivesdk","SUPANI,SE SERTIFIKAT BerAKHLAK")</f>
        <v>SUPANI,SE SERTIFIKAT BerAKHLAK</v>
      </c>
      <c r="K3527" s="5" t="s">
        <v>23422</v>
      </c>
      <c r="L3527" s="5" t="s">
        <v>24166</v>
      </c>
      <c r="M3527" s="5" t="s">
        <v>24167</v>
      </c>
      <c r="N3527" s="7" t="s">
        <v>24168</v>
      </c>
      <c r="O3527" s="8" t="str">
        <f>HYPERLINK("https://drive.google.com/file/d/1iZLXzsQwgwdVel0JollsQLeDZrJIHUL1/view?usp=drivesdk","3526_SUPANI,SE _ SERTIFIKAT BerAKHLAK")</f>
        <v>3526_SUPANI,SE _ SERTIFIKAT BerAKHLAK</v>
      </c>
      <c r="P3527" s="5" t="s">
        <v>24154</v>
      </c>
    </row>
    <row r="3528">
      <c r="A3528" s="4">
        <v>45534.345745081024</v>
      </c>
      <c r="B3528" s="5" t="s">
        <v>34</v>
      </c>
      <c r="D3528" s="5" t="s">
        <v>1456</v>
      </c>
      <c r="E3528" s="5" t="s">
        <v>21753</v>
      </c>
      <c r="F3528" s="5" t="s">
        <v>212</v>
      </c>
      <c r="G3528" s="5" t="s">
        <v>24169</v>
      </c>
      <c r="H3528" s="6" t="s">
        <v>24170</v>
      </c>
      <c r="I3528" s="7" t="s">
        <v>24171</v>
      </c>
      <c r="J3528" s="8" t="str">
        <f>HYPERLINK("https://drive.google.com/file/d/1cCjFH2RfrCw2y3yfYj5aMcgZiBp2myFH/view?usp=drivesdk","SARI WIDIAWATI SERTIFIKAT BerAKHLAK")</f>
        <v>SARI WIDIAWATI SERTIFIKAT BerAKHLAK</v>
      </c>
      <c r="K3528" s="5" t="s">
        <v>23422</v>
      </c>
      <c r="L3528" s="5" t="s">
        <v>24172</v>
      </c>
      <c r="M3528" s="5" t="s">
        <v>24173</v>
      </c>
      <c r="N3528" s="7" t="s">
        <v>24174</v>
      </c>
      <c r="O3528" s="8" t="str">
        <f>HYPERLINK("https://drive.google.com/file/d/1L_37NWPDtzqUEoK4Uu7u5KmjnK7FabMJ/view?usp=drivesdk","3527_SARI WIDIAWATI _ SERTIFIKAT BerAKHLAK")</f>
        <v>3527_SARI WIDIAWATI _ SERTIFIKAT BerAKHLAK</v>
      </c>
      <c r="P3528" s="5" t="s">
        <v>24154</v>
      </c>
    </row>
    <row r="3529">
      <c r="A3529" s="4">
        <v>45534.345748935186</v>
      </c>
      <c r="B3529" s="5" t="s">
        <v>34</v>
      </c>
      <c r="D3529" s="5" t="s">
        <v>6232</v>
      </c>
      <c r="E3529" s="5" t="s">
        <v>24175</v>
      </c>
      <c r="F3529" s="5" t="s">
        <v>108</v>
      </c>
      <c r="G3529" s="5" t="s">
        <v>24176</v>
      </c>
      <c r="H3529" s="6" t="s">
        <v>24177</v>
      </c>
      <c r="K3529" s="5" t="s">
        <v>24178</v>
      </c>
      <c r="M3529" s="5" t="s">
        <v>24179</v>
      </c>
      <c r="N3529" s="7" t="s">
        <v>24180</v>
      </c>
      <c r="O3529" s="8" t="str">
        <f>HYPERLINK("https://drive.google.com/file/d/1VODx4jCt4KE08uP07uI-A2DE9C2Mof3A/view?usp=drivesdk","3528_HELWIDA _ SERTIFIKAT BerAKHLAK")</f>
        <v>3528_HELWIDA _ SERTIFIKAT BerAKHLAK</v>
      </c>
      <c r="P3529" s="5" t="s">
        <v>24181</v>
      </c>
    </row>
    <row r="3530">
      <c r="A3530" s="4">
        <v>45534.345754560185</v>
      </c>
      <c r="B3530" s="5" t="s">
        <v>34</v>
      </c>
      <c r="D3530" s="5" t="s">
        <v>1206</v>
      </c>
      <c r="E3530" s="5" t="s">
        <v>16410</v>
      </c>
      <c r="F3530" s="5" t="s">
        <v>328</v>
      </c>
      <c r="G3530" s="5" t="s">
        <v>24182</v>
      </c>
      <c r="H3530" s="6" t="s">
        <v>24183</v>
      </c>
      <c r="K3530" s="5" t="s">
        <v>24178</v>
      </c>
      <c r="M3530" s="5" t="s">
        <v>24184</v>
      </c>
      <c r="N3530" s="7" t="s">
        <v>24185</v>
      </c>
      <c r="O3530" s="8" t="str">
        <f>HYPERLINK("https://drive.google.com/file/d/1gm714b_iJJba3cg7WKIA7CBmXLzwlwYy/view?usp=drivesdk","3529_SUTIKNO _ SERTIFIKAT BerAKHLAK")</f>
        <v>3529_SUTIKNO _ SERTIFIKAT BerAKHLAK</v>
      </c>
      <c r="P3530" s="5" t="s">
        <v>24181</v>
      </c>
    </row>
    <row r="3531">
      <c r="A3531" s="4">
        <v>45534.34575408565</v>
      </c>
      <c r="B3531" s="5" t="s">
        <v>34</v>
      </c>
      <c r="D3531" s="5" t="s">
        <v>35</v>
      </c>
      <c r="E3531" s="5" t="s">
        <v>24186</v>
      </c>
      <c r="F3531" s="5" t="s">
        <v>37</v>
      </c>
      <c r="G3531" s="5" t="s">
        <v>24187</v>
      </c>
      <c r="H3531" s="6" t="s">
        <v>24188</v>
      </c>
      <c r="K3531" s="5" t="s">
        <v>24178</v>
      </c>
      <c r="M3531" s="5" t="s">
        <v>24189</v>
      </c>
      <c r="N3531" s="7" t="s">
        <v>24190</v>
      </c>
      <c r="O3531" s="8" t="str">
        <f>HYPERLINK("https://drive.google.com/file/d/16bfVrXAgizyEa6ahf0xazX02RRplbsul/view?usp=drivesdk","3530_FIANOLLA PUTRI RIZKYTIANA, A.MD. KEP _ SERTIFIKAT BerAKHLAK")</f>
        <v>3530_FIANOLLA PUTRI RIZKYTIANA, A.MD. KEP _ SERTIFIKAT BerAKHLAK</v>
      </c>
      <c r="P3531" s="5" t="s">
        <v>24181</v>
      </c>
    </row>
    <row r="3532">
      <c r="A3532" s="4">
        <v>45534.345755</v>
      </c>
      <c r="B3532" s="5" t="s">
        <v>34</v>
      </c>
      <c r="D3532" s="5" t="s">
        <v>1206</v>
      </c>
      <c r="E3532" s="5" t="s">
        <v>24191</v>
      </c>
      <c r="F3532" s="5" t="s">
        <v>37</v>
      </c>
      <c r="G3532" s="5" t="s">
        <v>24192</v>
      </c>
      <c r="H3532" s="6" t="s">
        <v>24193</v>
      </c>
      <c r="I3532" s="7" t="s">
        <v>24194</v>
      </c>
      <c r="J3532" s="8" t="str">
        <f>HYPERLINK("https://drive.google.com/file/d/1YQMSudcwYwvrVzlC81JVmtqIMtasYpME/view?usp=drivesdk","UMAR ALI SERTIFIKAT BerAKHLAK")</f>
        <v>UMAR ALI SERTIFIKAT BerAKHLAK</v>
      </c>
      <c r="K3532" s="5" t="s">
        <v>23422</v>
      </c>
      <c r="L3532" s="5" t="s">
        <v>24195</v>
      </c>
      <c r="M3532" s="5" t="s">
        <v>24196</v>
      </c>
      <c r="N3532" s="7" t="s">
        <v>24197</v>
      </c>
      <c r="O3532" s="8" t="str">
        <f>HYPERLINK("https://drive.google.com/file/d/1q1wu3mrSdUAkXYuI8nT87ZhqC_6V9e1v/view?usp=drivesdk","3531_UMAR ALI _ SERTIFIKAT BerAKHLAK")</f>
        <v>3531_UMAR ALI _ SERTIFIKAT BerAKHLAK</v>
      </c>
      <c r="P3532" s="5" t="s">
        <v>24181</v>
      </c>
    </row>
    <row r="3533" hidden="1">
      <c r="A3533" s="4">
        <v>45534.34576292824</v>
      </c>
      <c r="B3533" s="5" t="s">
        <v>19</v>
      </c>
      <c r="C3533" s="5" t="s">
        <v>10418</v>
      </c>
      <c r="E3533" s="5" t="s">
        <v>24198</v>
      </c>
      <c r="F3533" s="5" t="s">
        <v>375</v>
      </c>
      <c r="G3533" s="5" t="s">
        <v>24199</v>
      </c>
      <c r="H3533" s="6" t="s">
        <v>24200</v>
      </c>
      <c r="I3533" s="7" t="s">
        <v>24201</v>
      </c>
      <c r="J3533" s="8" t="str">
        <f>HYPERLINK("https://drive.google.com/file/d/1GIlkdWvRS5SDdK7cODBbAmV_T4_s1Ed2/view?usp=drivesdk","RETNO TRI UTAMI, S. E.  SERTIFIKAT BerAKHLAK")</f>
        <v>RETNO TRI UTAMI, S. E.  SERTIFIKAT BerAKHLAK</v>
      </c>
      <c r="K3533" s="5" t="s">
        <v>23422</v>
      </c>
      <c r="L3533" s="5" t="s">
        <v>24202</v>
      </c>
      <c r="M3533" s="5" t="s">
        <v>24203</v>
      </c>
      <c r="N3533" s="7" t="s">
        <v>24204</v>
      </c>
      <c r="O3533" s="8" t="str">
        <f>HYPERLINK("https://drive.google.com/file/d/15m80RfnGX1sbygemfGYhM9lQ07mRfzAU/view?usp=drivesdk","3532_RETNO TRI UTAMI, S. E.  _ SERTIFIKAT BerAKHLAK")</f>
        <v>3532_RETNO TRI UTAMI, S. E.  _ SERTIFIKAT BerAKHLAK</v>
      </c>
      <c r="P3533" s="5" t="s">
        <v>24181</v>
      </c>
    </row>
    <row r="3534">
      <c r="A3534" s="4">
        <v>45534.34576856482</v>
      </c>
      <c r="B3534" s="5" t="s">
        <v>34</v>
      </c>
      <c r="D3534" s="5" t="s">
        <v>9020</v>
      </c>
      <c r="E3534" s="5" t="s">
        <v>24205</v>
      </c>
      <c r="F3534" s="5" t="s">
        <v>715</v>
      </c>
      <c r="G3534" s="5" t="s">
        <v>24206</v>
      </c>
      <c r="H3534" s="6" t="s">
        <v>24207</v>
      </c>
      <c r="I3534" s="7" t="s">
        <v>24208</v>
      </c>
      <c r="J3534" s="8" t="str">
        <f>HYPERLINK("https://drive.google.com/file/d/1AQ_ciiDkNKxxtnryuc5EE_ONUT8U-cpj/view?usp=drivesdk","MUHAMMAD RIZKY ERNANDA, S.Kom SERTIFIKAT BerAKHLAK")</f>
        <v>MUHAMMAD RIZKY ERNANDA, S.Kom SERTIFIKAT BerAKHLAK</v>
      </c>
      <c r="K3534" s="5" t="s">
        <v>23422</v>
      </c>
      <c r="L3534" s="5" t="s">
        <v>24209</v>
      </c>
      <c r="M3534" s="5" t="s">
        <v>24210</v>
      </c>
      <c r="N3534" s="7" t="s">
        <v>24211</v>
      </c>
      <c r="O3534" s="8" t="str">
        <f>HYPERLINK("https://drive.google.com/file/d/1NuP5xj7J9xzp6MFaV7FFsX4yHLKOmc_n/view?usp=drivesdk","3533_MUHAMMAD RIZKY ERNANDA, S.Kom _ SERTIFIKAT BerAKHLAK")</f>
        <v>3533_MUHAMMAD RIZKY ERNANDA, S.Kom _ SERTIFIKAT BerAKHLAK</v>
      </c>
      <c r="P3534" s="5" t="s">
        <v>24212</v>
      </c>
    </row>
    <row r="3535">
      <c r="A3535" s="4">
        <v>45534.345772719906</v>
      </c>
      <c r="B3535" s="5" t="s">
        <v>34</v>
      </c>
      <c r="D3535" s="5" t="s">
        <v>4775</v>
      </c>
      <c r="E3535" s="5" t="s">
        <v>24213</v>
      </c>
      <c r="F3535" s="5" t="s">
        <v>375</v>
      </c>
      <c r="G3535" s="5" t="s">
        <v>24214</v>
      </c>
      <c r="H3535" s="6" t="s">
        <v>24215</v>
      </c>
      <c r="I3535" s="7" t="s">
        <v>24216</v>
      </c>
      <c r="J3535" s="8" t="str">
        <f>HYPERLINK("https://drive.google.com/file/d/1XIP8AyZDDhs3cASFloVOvPBlDVjGopx0/view?usp=drivesdk","PANUWUN PRIO HUTOMO, S.Kom SERTIFIKAT BerAKHLAK")</f>
        <v>PANUWUN PRIO HUTOMO, S.Kom SERTIFIKAT BerAKHLAK</v>
      </c>
      <c r="K3535" s="5" t="s">
        <v>23422</v>
      </c>
      <c r="L3535" s="5" t="s">
        <v>24217</v>
      </c>
      <c r="M3535" s="5" t="s">
        <v>24218</v>
      </c>
      <c r="N3535" s="7" t="s">
        <v>24219</v>
      </c>
      <c r="O3535" s="8" t="str">
        <f>HYPERLINK("https://drive.google.com/file/d/15ISlGzpQAwV9nOhOGqJc5KLv-CP-XrBD/view?usp=drivesdk","3534_PANUWUN PRIO HUTOMO, S.Kom _ SERTIFIKAT BerAKHLAK")</f>
        <v>3534_PANUWUN PRIO HUTOMO, S.Kom _ SERTIFIKAT BerAKHLAK</v>
      </c>
      <c r="P3535" s="5" t="s">
        <v>24212</v>
      </c>
    </row>
    <row r="3536">
      <c r="A3536" s="4">
        <v>45534.34577984954</v>
      </c>
      <c r="B3536" s="5" t="s">
        <v>34</v>
      </c>
      <c r="D3536" s="5" t="s">
        <v>14424</v>
      </c>
      <c r="E3536" s="7" t="s">
        <v>24220</v>
      </c>
      <c r="F3536" s="5" t="s">
        <v>375</v>
      </c>
      <c r="G3536" s="5" t="s">
        <v>24221</v>
      </c>
      <c r="H3536" s="6" t="s">
        <v>24222</v>
      </c>
      <c r="I3536" s="7" t="s">
        <v>24223</v>
      </c>
      <c r="J3536" s="8" t="str">
        <f>HYPERLINK("https://drive.google.com/file/d/1fPjFJYZk0XNgKSrFTwtQBe2hMLJiXpJM/view?usp=drivesdk","YULISMAWATI.S.ST SERTIFIKAT BerAKHLAK")</f>
        <v>YULISMAWATI.S.ST SERTIFIKAT BerAKHLAK</v>
      </c>
      <c r="K3536" s="5" t="s">
        <v>24057</v>
      </c>
      <c r="L3536" s="5" t="s">
        <v>24224</v>
      </c>
      <c r="M3536" s="5" t="s">
        <v>24225</v>
      </c>
      <c r="N3536" s="7" t="s">
        <v>24226</v>
      </c>
      <c r="O3536" s="8" t="str">
        <f>HYPERLINK("https://drive.google.com/file/d/18Af4TlhZA8jTlt8Us8eBaFmLpXsQFDsD/view?usp=drivesdk","3535_YULISMAWATI.S.ST _ SERTIFIKAT BerAKHLAK")</f>
        <v>3535_YULISMAWATI.S.ST _ SERTIFIKAT BerAKHLAK</v>
      </c>
      <c r="P3536" s="5" t="s">
        <v>24212</v>
      </c>
    </row>
    <row r="3537">
      <c r="A3537" s="4">
        <v>45534.345795138885</v>
      </c>
      <c r="B3537" s="5" t="s">
        <v>34</v>
      </c>
      <c r="D3537" s="5" t="s">
        <v>35</v>
      </c>
      <c r="E3537" s="5" t="s">
        <v>24227</v>
      </c>
      <c r="F3537" s="5" t="s">
        <v>37</v>
      </c>
      <c r="G3537" s="5" t="s">
        <v>24228</v>
      </c>
      <c r="H3537" s="6" t="s">
        <v>24229</v>
      </c>
      <c r="I3537" s="7" t="s">
        <v>24230</v>
      </c>
      <c r="J3537" s="8" t="str">
        <f>HYPERLINK("https://drive.google.com/file/d/1OaNmPUoi_SVUIqiFlilFKEFd0fqTRFS_/view?usp=drivesdk","SOMA,SE SERTIFIKAT BerAKHLAK")</f>
        <v>SOMA,SE SERTIFIKAT BerAKHLAK</v>
      </c>
      <c r="K3537" s="5" t="s">
        <v>23422</v>
      </c>
      <c r="L3537" s="5" t="s">
        <v>24231</v>
      </c>
      <c r="M3537" s="5" t="s">
        <v>24232</v>
      </c>
      <c r="N3537" s="7" t="s">
        <v>24233</v>
      </c>
      <c r="O3537" s="8" t="str">
        <f>HYPERLINK("https://drive.google.com/file/d/1gLWzlaIjuFkdWR7Rt5YEnYxusDIBwOaf/view?usp=drivesdk","3536_SOMA,SE _ SERTIFIKAT BerAKHLAK")</f>
        <v>3536_SOMA,SE _ SERTIFIKAT BerAKHLAK</v>
      </c>
      <c r="P3537" s="5" t="s">
        <v>24212</v>
      </c>
    </row>
    <row r="3538">
      <c r="A3538" s="4">
        <v>45534.34580144676</v>
      </c>
      <c r="B3538" s="5" t="s">
        <v>34</v>
      </c>
      <c r="D3538" s="5" t="s">
        <v>4775</v>
      </c>
      <c r="E3538" s="5" t="s">
        <v>24234</v>
      </c>
      <c r="F3538" s="5" t="s">
        <v>108</v>
      </c>
      <c r="G3538" s="5" t="s">
        <v>24235</v>
      </c>
      <c r="H3538" s="6" t="s">
        <v>24236</v>
      </c>
      <c r="I3538" s="7" t="s">
        <v>24237</v>
      </c>
      <c r="J3538" s="8" t="str">
        <f>HYPERLINK("https://drive.google.com/file/d/1GAN4PUNuBhk-0zLAeDfHGlgUo9QCs_Gd/view?usp=drivesdk","SEPIYANI SERTIFIKAT BerAKHLAK")</f>
        <v>SEPIYANI SERTIFIKAT BerAKHLAK</v>
      </c>
      <c r="K3538" s="5" t="s">
        <v>23422</v>
      </c>
      <c r="L3538" s="5" t="s">
        <v>24238</v>
      </c>
      <c r="M3538" s="5" t="s">
        <v>24239</v>
      </c>
      <c r="N3538" s="7" t="s">
        <v>24240</v>
      </c>
      <c r="O3538" s="8" t="str">
        <f>HYPERLINK("https://drive.google.com/file/d/16FkWqLv_rxZFljPsw8hKaJGLidLRVCza/view?usp=drivesdk","3537_SEPIYANI _ SERTIFIKAT BerAKHLAK")</f>
        <v>3537_SEPIYANI _ SERTIFIKAT BerAKHLAK</v>
      </c>
      <c r="P3538" s="5" t="s">
        <v>24212</v>
      </c>
    </row>
    <row r="3539">
      <c r="A3539" s="4">
        <v>45534.34580369213</v>
      </c>
      <c r="B3539" s="5" t="s">
        <v>34</v>
      </c>
      <c r="D3539" s="5" t="s">
        <v>1206</v>
      </c>
      <c r="E3539" s="5" t="s">
        <v>24241</v>
      </c>
      <c r="F3539" s="5" t="s">
        <v>199</v>
      </c>
      <c r="G3539" s="5" t="s">
        <v>24242</v>
      </c>
      <c r="H3539" s="6" t="s">
        <v>24243</v>
      </c>
      <c r="I3539" s="7" t="s">
        <v>24244</v>
      </c>
      <c r="J3539" s="8" t="str">
        <f>HYPERLINK("https://drive.google.com/file/d/1VnyKElh4Fnd2WzfaP1gGP2lqeu8dZDCf/view?usp=drivesdk","PUPUT SETYO WAHYUNINGSIH SERTIFIKAT BerAKHLAK")</f>
        <v>PUPUT SETYO WAHYUNINGSIH SERTIFIKAT BerAKHLAK</v>
      </c>
      <c r="K3539" s="5" t="s">
        <v>23422</v>
      </c>
      <c r="L3539" s="5" t="s">
        <v>24245</v>
      </c>
      <c r="M3539" s="5" t="s">
        <v>24246</v>
      </c>
      <c r="N3539" s="7" t="s">
        <v>24247</v>
      </c>
      <c r="O3539" s="8" t="str">
        <f>HYPERLINK("https://drive.google.com/file/d/1RfVDWd-H7b4JqyZzCEVrrzxNPUguHxvT/view?usp=drivesdk","3538_PUPUT SETYO WAHYUNINGSIH _ SERTIFIKAT BerAKHLAK")</f>
        <v>3538_PUPUT SETYO WAHYUNINGSIH _ SERTIFIKAT BerAKHLAK</v>
      </c>
      <c r="P3539" s="5" t="s">
        <v>24248</v>
      </c>
    </row>
    <row r="3540">
      <c r="A3540" s="4">
        <v>45534.34581068287</v>
      </c>
      <c r="B3540" s="5" t="s">
        <v>34</v>
      </c>
      <c r="D3540" s="5" t="s">
        <v>1558</v>
      </c>
      <c r="E3540" s="5" t="s">
        <v>24249</v>
      </c>
      <c r="F3540" s="5" t="s">
        <v>37</v>
      </c>
      <c r="G3540" s="5" t="s">
        <v>24250</v>
      </c>
      <c r="H3540" s="6" t="s">
        <v>24251</v>
      </c>
      <c r="K3540" s="5" t="s">
        <v>24252</v>
      </c>
      <c r="M3540" s="5" t="s">
        <v>24253</v>
      </c>
      <c r="N3540" s="7" t="s">
        <v>24254</v>
      </c>
      <c r="O3540" s="8" t="str">
        <f>HYPERLINK("https://drive.google.com/file/d/1ChnZIDIuWRRN5wharVKQjKEWZoMTa85Y/view?usp=drivesdk","3539_HARYANTO _ SERTIFIKAT BerAKHLAK")</f>
        <v>3539_HARYANTO _ SERTIFIKAT BerAKHLAK</v>
      </c>
      <c r="P3540" s="5" t="s">
        <v>24248</v>
      </c>
    </row>
    <row r="3541">
      <c r="A3541" s="4">
        <v>45534.345813645836</v>
      </c>
      <c r="B3541" s="5" t="s">
        <v>34</v>
      </c>
      <c r="D3541" s="5" t="s">
        <v>12978</v>
      </c>
      <c r="E3541" s="5" t="s">
        <v>24255</v>
      </c>
      <c r="F3541" s="5" t="s">
        <v>108</v>
      </c>
      <c r="G3541" s="5" t="s">
        <v>24256</v>
      </c>
      <c r="H3541" s="6" t="s">
        <v>24257</v>
      </c>
      <c r="K3541" s="5" t="s">
        <v>24252</v>
      </c>
      <c r="M3541" s="5" t="s">
        <v>24258</v>
      </c>
      <c r="N3541" s="7" t="s">
        <v>24259</v>
      </c>
      <c r="O3541" s="8" t="str">
        <f>HYPERLINK("https://drive.google.com/file/d/17yA6XmG9NkDrtJJqrQ3W--gjdjvbe0Cb/view?usp=drivesdk","3540_YUNITA LISTIANA  _ SERTIFIKAT BerAKHLAK")</f>
        <v>3540_YUNITA LISTIANA  _ SERTIFIKAT BerAKHLAK</v>
      </c>
      <c r="P3541" s="5" t="s">
        <v>24248</v>
      </c>
    </row>
    <row r="3542">
      <c r="A3542" s="4">
        <v>45534.345814988425</v>
      </c>
      <c r="B3542" s="5" t="s">
        <v>34</v>
      </c>
      <c r="D3542" s="5" t="s">
        <v>3849</v>
      </c>
      <c r="E3542" s="5" t="s">
        <v>24260</v>
      </c>
      <c r="F3542" s="5" t="s">
        <v>212</v>
      </c>
      <c r="G3542" s="5" t="s">
        <v>24261</v>
      </c>
      <c r="H3542" s="6" t="s">
        <v>24262</v>
      </c>
      <c r="K3542" s="5" t="s">
        <v>24252</v>
      </c>
      <c r="M3542" s="5" t="s">
        <v>24263</v>
      </c>
      <c r="N3542" s="7" t="s">
        <v>24264</v>
      </c>
      <c r="O3542" s="8" t="str">
        <f>HYPERLINK("https://drive.google.com/file/d/1MsP_twmx6636EyKx8halilxKC2O9aN71/view?usp=drivesdk","3541_LUSIANTI _ SERTIFIKAT BerAKHLAK")</f>
        <v>3541_LUSIANTI _ SERTIFIKAT BerAKHLAK</v>
      </c>
      <c r="P3542" s="5" t="s">
        <v>24248</v>
      </c>
    </row>
    <row r="3543">
      <c r="A3543" s="4">
        <v>45534.34584064815</v>
      </c>
      <c r="B3543" s="5" t="s">
        <v>34</v>
      </c>
      <c r="D3543" s="5" t="s">
        <v>1456</v>
      </c>
      <c r="E3543" s="5" t="s">
        <v>24265</v>
      </c>
      <c r="F3543" s="5" t="s">
        <v>37</v>
      </c>
      <c r="G3543" s="5" t="s">
        <v>24266</v>
      </c>
      <c r="H3543" s="6" t="s">
        <v>24267</v>
      </c>
      <c r="I3543" s="7" t="s">
        <v>24268</v>
      </c>
      <c r="J3543" s="8" t="str">
        <f>HYPERLINK("https://drive.google.com/file/d/17oyI5L9gIfX2O3ijUKvc5xDik6gZ2czh/view?usp=drivesdk","YUNIDA WIDIATI SERTIFIKAT BerAKHLAK")</f>
        <v>YUNIDA WIDIATI SERTIFIKAT BerAKHLAK</v>
      </c>
      <c r="K3543" s="5" t="s">
        <v>23422</v>
      </c>
      <c r="L3543" s="5" t="s">
        <v>24269</v>
      </c>
      <c r="M3543" s="5" t="s">
        <v>24270</v>
      </c>
      <c r="N3543" s="7" t="s">
        <v>24271</v>
      </c>
      <c r="O3543" s="8" t="str">
        <f>HYPERLINK("https://drive.google.com/file/d/1Ej8UcWCgp-OV-u3zUG9eDwbt8ZlvLskr/view?usp=drivesdk","3542_YUNIDA WIDIATI _ SERTIFIKAT BerAKHLAK")</f>
        <v>3542_YUNIDA WIDIATI _ SERTIFIKAT BerAKHLAK</v>
      </c>
      <c r="P3543" s="5" t="s">
        <v>24272</v>
      </c>
    </row>
    <row r="3544">
      <c r="A3544" s="4">
        <v>45534.34584137732</v>
      </c>
      <c r="B3544" s="5" t="s">
        <v>34</v>
      </c>
      <c r="D3544" s="5" t="s">
        <v>4775</v>
      </c>
      <c r="E3544" s="5" t="s">
        <v>23090</v>
      </c>
      <c r="F3544" s="5" t="s">
        <v>212</v>
      </c>
      <c r="G3544" s="5" t="s">
        <v>24273</v>
      </c>
      <c r="H3544" s="6" t="s">
        <v>24274</v>
      </c>
      <c r="I3544" s="7" t="s">
        <v>24275</v>
      </c>
      <c r="J3544" s="8" t="str">
        <f>HYPERLINK("https://drive.google.com/file/d/1fI6FAJ-FdovTS1xteBxcC0cTwcm8dKIJ/view?usp=drivesdk","SUNARTI SERTIFIKAT BerAKHLAK")</f>
        <v>SUNARTI SERTIFIKAT BerAKHLAK</v>
      </c>
      <c r="K3544" s="5" t="s">
        <v>23422</v>
      </c>
      <c r="L3544" s="5" t="s">
        <v>24276</v>
      </c>
      <c r="M3544" s="5" t="s">
        <v>24277</v>
      </c>
      <c r="N3544" s="7" t="s">
        <v>24278</v>
      </c>
      <c r="O3544" s="8" t="str">
        <f>HYPERLINK("https://drive.google.com/file/d/1DQH42feRszJJWXxEEBJoIbtFiiIOv1uG/view?usp=drivesdk","3543_SUNARTI _ SERTIFIKAT BerAKHLAK")</f>
        <v>3543_SUNARTI _ SERTIFIKAT BerAKHLAK</v>
      </c>
      <c r="P3544" s="5" t="s">
        <v>24272</v>
      </c>
    </row>
    <row r="3545" hidden="1">
      <c r="A3545" s="4">
        <v>45534.345848576384</v>
      </c>
      <c r="B3545" s="5" t="s">
        <v>19</v>
      </c>
      <c r="C3545" s="5" t="s">
        <v>442</v>
      </c>
      <c r="E3545" s="5" t="s">
        <v>24279</v>
      </c>
      <c r="F3545" s="5" t="s">
        <v>72</v>
      </c>
      <c r="G3545" s="5" t="s">
        <v>24280</v>
      </c>
      <c r="H3545" s="6" t="s">
        <v>24281</v>
      </c>
      <c r="I3545" s="7" t="s">
        <v>24282</v>
      </c>
      <c r="J3545" s="8" t="str">
        <f>HYPERLINK("https://drive.google.com/file/d/1_XM_XneHxUbFbKQ3Rw2_wuDzlyapGzwP/view?usp=drivesdk","WAWAN RAHWAN,A.Md SERTIFIKAT BerAKHLAK")</f>
        <v>WAWAN RAHWAN,A.Md SERTIFIKAT BerAKHLAK</v>
      </c>
      <c r="K3545" s="5" t="s">
        <v>23422</v>
      </c>
      <c r="L3545" s="5" t="s">
        <v>24283</v>
      </c>
      <c r="M3545" s="5" t="s">
        <v>24284</v>
      </c>
      <c r="N3545" s="7" t="s">
        <v>24285</v>
      </c>
      <c r="O3545" s="8" t="str">
        <f>HYPERLINK("https://drive.google.com/file/d/1IphfJiPXJdFgObzk9a7Cgr08JmkNcvCP/view?usp=drivesdk","3544_WAWAN RAHWAN,A.Md _ SERTIFIKAT BerAKHLAK")</f>
        <v>3544_WAWAN RAHWAN,A.Md _ SERTIFIKAT BerAKHLAK</v>
      </c>
      <c r="P3545" s="5" t="s">
        <v>24272</v>
      </c>
    </row>
    <row r="3546">
      <c r="A3546" s="4">
        <v>45534.34586828704</v>
      </c>
      <c r="B3546" s="5" t="s">
        <v>34</v>
      </c>
      <c r="D3546" s="5" t="s">
        <v>12978</v>
      </c>
      <c r="E3546" s="5" t="s">
        <v>24286</v>
      </c>
      <c r="F3546" s="5" t="s">
        <v>212</v>
      </c>
      <c r="G3546" s="5" t="s">
        <v>24287</v>
      </c>
      <c r="H3546" s="6" t="s">
        <v>24288</v>
      </c>
      <c r="I3546" s="7" t="s">
        <v>24289</v>
      </c>
      <c r="J3546" s="8" t="str">
        <f>HYPERLINK("https://drive.google.com/file/d/1K8-yMnkHH5QERM23hcL5BVxMzsWwu99j/view?usp=drivesdk","NENI DIANTI, S.E. SERTIFIKAT BerAKHLAK")</f>
        <v>NENI DIANTI, S.E. SERTIFIKAT BerAKHLAK</v>
      </c>
      <c r="K3546" s="5" t="s">
        <v>23422</v>
      </c>
      <c r="L3546" s="5" t="s">
        <v>24290</v>
      </c>
      <c r="M3546" s="5" t="s">
        <v>24291</v>
      </c>
      <c r="N3546" s="7" t="s">
        <v>24292</v>
      </c>
      <c r="O3546" s="8" t="str">
        <f>HYPERLINK("https://drive.google.com/file/d/19TQF6YwKRx2hXliJ_FV26F-DkgEE7G2t/view?usp=drivesdk","3545_NENI DIANTI, S.E. _ SERTIFIKAT BerAKHLAK")</f>
        <v>3545_NENI DIANTI, S.E. _ SERTIFIKAT BerAKHLAK</v>
      </c>
      <c r="P3546" s="5" t="s">
        <v>24272</v>
      </c>
    </row>
    <row r="3547">
      <c r="A3547" s="4">
        <v>45534.34587356482</v>
      </c>
      <c r="B3547" s="5" t="s">
        <v>34</v>
      </c>
      <c r="D3547" s="5" t="s">
        <v>1206</v>
      </c>
      <c r="E3547" s="5" t="s">
        <v>24293</v>
      </c>
      <c r="F3547" s="5" t="s">
        <v>72</v>
      </c>
      <c r="G3547" s="5" t="s">
        <v>24294</v>
      </c>
      <c r="H3547" s="6" t="s">
        <v>24295</v>
      </c>
      <c r="K3547" s="5" t="s">
        <v>24296</v>
      </c>
      <c r="M3547" s="5" t="s">
        <v>24297</v>
      </c>
      <c r="N3547" s="7" t="s">
        <v>24298</v>
      </c>
      <c r="O3547" s="8" t="str">
        <f>HYPERLINK("https://drive.google.com/file/d/1wpgbLUszObm3DthsVMBaD2_E-0_6CWs1/view?usp=drivesdk","3546_SRI WAHYUNINGRUM SUHARTI, S.H. _ SERTIFIKAT BerAKHLAK")</f>
        <v>3546_SRI WAHYUNINGRUM SUHARTI, S.H. _ SERTIFIKAT BerAKHLAK</v>
      </c>
      <c r="P3547" s="5" t="s">
        <v>24299</v>
      </c>
    </row>
    <row r="3548">
      <c r="A3548" s="4">
        <v>45534.34588868056</v>
      </c>
      <c r="B3548" s="5" t="s">
        <v>34</v>
      </c>
      <c r="D3548" s="5" t="s">
        <v>12978</v>
      </c>
      <c r="E3548" s="5" t="s">
        <v>24300</v>
      </c>
      <c r="F3548" s="5" t="s">
        <v>72</v>
      </c>
      <c r="G3548" s="5" t="s">
        <v>24301</v>
      </c>
      <c r="H3548" s="6" t="s">
        <v>24302</v>
      </c>
      <c r="I3548" s="7" t="s">
        <v>24303</v>
      </c>
      <c r="J3548" s="8" t="str">
        <f>HYPERLINK("https://drive.google.com/file/d/1r1b2I43IFdjBe0jLN879pBFKhBJE35A1/view?usp=drivesdk","INA MELYATI.SKM SERTIFIKAT BerAKHLAK")</f>
        <v>INA MELYATI.SKM SERTIFIKAT BerAKHLAK</v>
      </c>
      <c r="K3548" s="5" t="s">
        <v>23422</v>
      </c>
      <c r="L3548" s="5" t="s">
        <v>24304</v>
      </c>
      <c r="M3548" s="5" t="s">
        <v>24305</v>
      </c>
      <c r="N3548" s="7" t="s">
        <v>24306</v>
      </c>
      <c r="O3548" s="8" t="str">
        <f>HYPERLINK("https://drive.google.com/file/d/1gsDf1J-s2VRJ599O5_9O7Vjv6-DFT0Yn/view?usp=drivesdk","3547_INA MELYATI.SKM _ SERTIFIKAT BerAKHLAK")</f>
        <v>3547_INA MELYATI.SKM _ SERTIFIKAT BerAKHLAK</v>
      </c>
      <c r="P3548" s="5" t="s">
        <v>24299</v>
      </c>
    </row>
    <row r="3549">
      <c r="A3549" s="4">
        <v>45534.34589524305</v>
      </c>
      <c r="B3549" s="5" t="s">
        <v>34</v>
      </c>
      <c r="D3549" s="5" t="s">
        <v>10444</v>
      </c>
      <c r="E3549" s="5" t="s">
        <v>24307</v>
      </c>
      <c r="F3549" s="5" t="s">
        <v>72</v>
      </c>
      <c r="G3549" s="5" t="s">
        <v>24308</v>
      </c>
      <c r="H3549" s="6" t="s">
        <v>24309</v>
      </c>
      <c r="I3549" s="7" t="s">
        <v>24310</v>
      </c>
      <c r="J3549" s="8" t="str">
        <f>HYPERLINK("https://drive.google.com/file/d/1SSM037jm1mESmGkBYykCWCpfqejhRJnm/view?usp=drivesdk","dr. RENI MASYITA SERTIFIKAT BerAKHLAK")</f>
        <v>dr. RENI MASYITA SERTIFIKAT BerAKHLAK</v>
      </c>
      <c r="K3549" s="5" t="s">
        <v>23422</v>
      </c>
      <c r="L3549" s="5" t="s">
        <v>24311</v>
      </c>
      <c r="M3549" s="5" t="s">
        <v>24312</v>
      </c>
      <c r="N3549" s="7" t="s">
        <v>24313</v>
      </c>
      <c r="O3549" s="8" t="str">
        <f>HYPERLINK("https://drive.google.com/file/d/1doaVVbTdCBnjhQmNRnDqXyHC8lfMhpQM/view?usp=drivesdk","3548_dr. RENI MASYITA _ SERTIFIKAT BerAKHLAK")</f>
        <v>3548_dr. RENI MASYITA _ SERTIFIKAT BerAKHLAK</v>
      </c>
      <c r="P3549" s="5" t="s">
        <v>24299</v>
      </c>
    </row>
    <row r="3550">
      <c r="A3550" s="4">
        <v>45534.345899374995</v>
      </c>
      <c r="B3550" s="5" t="s">
        <v>34</v>
      </c>
      <c r="D3550" s="5" t="s">
        <v>12978</v>
      </c>
      <c r="E3550" s="5" t="s">
        <v>24314</v>
      </c>
      <c r="F3550" s="5" t="s">
        <v>37</v>
      </c>
      <c r="G3550" s="5" t="s">
        <v>24315</v>
      </c>
      <c r="H3550" s="6" t="s">
        <v>24316</v>
      </c>
      <c r="K3550" s="5" t="s">
        <v>24317</v>
      </c>
      <c r="M3550" s="5" t="s">
        <v>24318</v>
      </c>
      <c r="N3550" s="7" t="s">
        <v>24319</v>
      </c>
      <c r="O3550" s="8" t="str">
        <f>HYPERLINK("https://drive.google.com/file/d/1ovC24Se8s4sbwHh1rCezZfSCtUQ7Dbtp/view?usp=drivesdk","3549_SUBANDI _ SERTIFIKAT BerAKHLAK")</f>
        <v>3549_SUBANDI _ SERTIFIKAT BerAKHLAK</v>
      </c>
      <c r="P3550" s="5" t="s">
        <v>24299</v>
      </c>
    </row>
    <row r="3551">
      <c r="A3551" s="4">
        <v>45534.34590123843</v>
      </c>
      <c r="B3551" s="5" t="s">
        <v>34</v>
      </c>
      <c r="D3551" s="5" t="s">
        <v>280</v>
      </c>
      <c r="E3551" s="5" t="s">
        <v>24320</v>
      </c>
      <c r="F3551" s="5" t="s">
        <v>108</v>
      </c>
      <c r="G3551" s="5" t="s">
        <v>24321</v>
      </c>
      <c r="H3551" s="6" t="s">
        <v>24322</v>
      </c>
      <c r="K3551" s="5" t="s">
        <v>24317</v>
      </c>
      <c r="M3551" s="5" t="s">
        <v>24323</v>
      </c>
      <c r="N3551" s="7" t="s">
        <v>24324</v>
      </c>
      <c r="O3551" s="8" t="str">
        <f>HYPERLINK("https://drive.google.com/file/d/1rw3isTx7O5t11EOqtz0rawI7HZNya4Yo/view?usp=drivesdk","3550_RITA MUSDIANTY MUIS, A.Md _ SERTIFIKAT BerAKHLAK")</f>
        <v>3550_RITA MUSDIANTY MUIS, A.Md _ SERTIFIKAT BerAKHLAK</v>
      </c>
      <c r="P3551" s="5" t="s">
        <v>24325</v>
      </c>
    </row>
    <row r="3552">
      <c r="A3552" s="4">
        <v>45534.34590748843</v>
      </c>
      <c r="B3552" s="5" t="s">
        <v>34</v>
      </c>
      <c r="D3552" s="5" t="s">
        <v>10444</v>
      </c>
      <c r="E3552" s="5" t="s">
        <v>24326</v>
      </c>
      <c r="F3552" s="5" t="s">
        <v>37</v>
      </c>
      <c r="G3552" s="5" t="s">
        <v>24327</v>
      </c>
      <c r="H3552" s="6" t="s">
        <v>24328</v>
      </c>
      <c r="K3552" s="5" t="s">
        <v>24317</v>
      </c>
      <c r="M3552" s="5" t="s">
        <v>24329</v>
      </c>
      <c r="N3552" s="7" t="s">
        <v>24330</v>
      </c>
      <c r="O3552" s="8" t="str">
        <f>HYPERLINK("https://drive.google.com/file/d/1XDDXqBU2x2KegXMCjz4czWt79hR8nl8V/view?usp=drivesdk","3551_DWI PRATIWI, A.Md.KG _ SERTIFIKAT BerAKHLAK")</f>
        <v>3551_DWI PRATIWI, A.Md.KG _ SERTIFIKAT BerAKHLAK</v>
      </c>
      <c r="P3552" s="5" t="s">
        <v>24325</v>
      </c>
    </row>
    <row r="3553">
      <c r="A3553" s="4">
        <v>45534.345913321755</v>
      </c>
      <c r="B3553" s="5" t="s">
        <v>34</v>
      </c>
      <c r="D3553" s="5" t="s">
        <v>6232</v>
      </c>
      <c r="E3553" s="5" t="s">
        <v>24331</v>
      </c>
      <c r="F3553" s="5" t="s">
        <v>72</v>
      </c>
      <c r="G3553" s="5" t="s">
        <v>24332</v>
      </c>
      <c r="H3553" s="6" t="s">
        <v>24333</v>
      </c>
      <c r="I3553" s="7" t="s">
        <v>24334</v>
      </c>
      <c r="J3553" s="8" t="str">
        <f>HYPERLINK("https://drive.google.com/file/d/1kJLnUMoYixv2KcU2Ah2hazxqiJ_B3YX4/view?usp=drivesdk","dr. YUNI HASMITA SERTIFIKAT BerAKHLAK")</f>
        <v>dr. YUNI HASMITA SERTIFIKAT BerAKHLAK</v>
      </c>
      <c r="K3553" s="5" t="s">
        <v>23422</v>
      </c>
      <c r="L3553" s="5" t="s">
        <v>24335</v>
      </c>
      <c r="M3553" s="5" t="s">
        <v>24336</v>
      </c>
      <c r="N3553" s="7" t="s">
        <v>24337</v>
      </c>
      <c r="O3553" s="8" t="str">
        <f>HYPERLINK("https://drive.google.com/file/d/1xGG-hZTCgeXfqDbcjH40Gc3RiGksDkld/view?usp=drivesdk","3552_dr. YUNI HASMITA _ SERTIFIKAT BerAKHLAK")</f>
        <v>3552_dr. YUNI HASMITA _ SERTIFIKAT BerAKHLAK</v>
      </c>
      <c r="P3553" s="5" t="s">
        <v>24325</v>
      </c>
    </row>
    <row r="3554">
      <c r="A3554" s="4">
        <v>45534.34591452546</v>
      </c>
      <c r="B3554" s="5" t="s">
        <v>34</v>
      </c>
      <c r="D3554" s="5" t="s">
        <v>701</v>
      </c>
      <c r="E3554" s="5" t="s">
        <v>24338</v>
      </c>
      <c r="F3554" s="5" t="s">
        <v>212</v>
      </c>
      <c r="G3554" s="5" t="s">
        <v>24339</v>
      </c>
      <c r="H3554" s="6" t="s">
        <v>24340</v>
      </c>
      <c r="I3554" s="7" t="s">
        <v>24341</v>
      </c>
      <c r="J3554" s="8" t="str">
        <f>HYPERLINK("https://drive.google.com/file/d/1ikXSZGiQjLWVK_RU-tOJwUbfZ7OqrS-t/view?usp=drivesdk","MISRAWATY SERTIFIKAT BerAKHLAK")</f>
        <v>MISRAWATY SERTIFIKAT BerAKHLAK</v>
      </c>
      <c r="K3554" s="5" t="s">
        <v>23422</v>
      </c>
      <c r="L3554" s="5" t="s">
        <v>24342</v>
      </c>
      <c r="M3554" s="5" t="s">
        <v>24343</v>
      </c>
      <c r="N3554" s="7" t="s">
        <v>24344</v>
      </c>
      <c r="O3554" s="8" t="str">
        <f>HYPERLINK("https://drive.google.com/file/d/1ukYNjnNULbhG3Q9qqS7jv31SHH3X4i84/view?usp=drivesdk","3553_MISRAWATY _ SERTIFIKAT BerAKHLAK")</f>
        <v>3553_MISRAWATY _ SERTIFIKAT BerAKHLAK</v>
      </c>
      <c r="P3554" s="5" t="s">
        <v>24325</v>
      </c>
    </row>
    <row r="3555" hidden="1">
      <c r="A3555" s="4">
        <v>45534.34594017361</v>
      </c>
      <c r="B3555" s="5" t="s">
        <v>19</v>
      </c>
      <c r="C3555" s="5" t="s">
        <v>5564</v>
      </c>
      <c r="E3555" s="5" t="s">
        <v>24345</v>
      </c>
      <c r="F3555" s="5" t="s">
        <v>375</v>
      </c>
      <c r="G3555" s="5" t="s">
        <v>24346</v>
      </c>
      <c r="H3555" s="6" t="s">
        <v>24347</v>
      </c>
      <c r="I3555" s="7" t="s">
        <v>24348</v>
      </c>
      <c r="J3555" s="8" t="str">
        <f>HYPERLINK("https://drive.google.com/file/d/1kt1XPKcUu1JtjL6iHxB2c3ctMiPQJbqy/view?usp=drivesdk","ASIH SURANI SERTIFIKAT BerAKHLAK")</f>
        <v>ASIH SURANI SERTIFIKAT BerAKHLAK</v>
      </c>
      <c r="K3555" s="5" t="s">
        <v>23422</v>
      </c>
      <c r="L3555" s="5" t="s">
        <v>24349</v>
      </c>
      <c r="M3555" s="5" t="s">
        <v>24350</v>
      </c>
      <c r="N3555" s="7" t="s">
        <v>24351</v>
      </c>
      <c r="O3555" s="8" t="str">
        <f>HYPERLINK("https://drive.google.com/file/d/1XjtTRibu1J9dhcldizlUUJVfyma4bd5J/view?usp=drivesdk","3554_ASIH SURANI _ SERTIFIKAT BerAKHLAK")</f>
        <v>3554_ASIH SURANI _ SERTIFIKAT BerAKHLAK</v>
      </c>
      <c r="P3555" s="5" t="s">
        <v>24325</v>
      </c>
    </row>
    <row r="3556">
      <c r="A3556" s="4">
        <v>45534.3459409375</v>
      </c>
      <c r="B3556" s="5" t="s">
        <v>34</v>
      </c>
      <c r="D3556" s="5" t="s">
        <v>9394</v>
      </c>
      <c r="E3556" s="5" t="s">
        <v>24352</v>
      </c>
      <c r="F3556" s="5" t="s">
        <v>375</v>
      </c>
      <c r="G3556" s="5" t="s">
        <v>24353</v>
      </c>
      <c r="H3556" s="6" t="s">
        <v>24354</v>
      </c>
      <c r="K3556" s="5" t="s">
        <v>24355</v>
      </c>
      <c r="M3556" s="5" t="s">
        <v>24356</v>
      </c>
      <c r="N3556" s="7" t="s">
        <v>24357</v>
      </c>
      <c r="O3556" s="8" t="str">
        <f>HYPERLINK("https://drive.google.com/file/d/142qThMpioz9iWR0UiV-NBDHXjB68gM57/view?usp=drivesdk","3555_SYAFRIALMI,S.SOS _ SERTIFIKAT BerAKHLAK")</f>
        <v>3555_SYAFRIALMI,S.SOS _ SERTIFIKAT BerAKHLAK</v>
      </c>
      <c r="P3556" s="5" t="s">
        <v>24358</v>
      </c>
    </row>
    <row r="3557">
      <c r="A3557" s="4">
        <v>45534.34594370371</v>
      </c>
      <c r="B3557" s="5" t="s">
        <v>34</v>
      </c>
      <c r="D3557" s="5" t="s">
        <v>9020</v>
      </c>
      <c r="E3557" s="5" t="s">
        <v>24359</v>
      </c>
      <c r="F3557" s="5" t="s">
        <v>37</v>
      </c>
      <c r="G3557" s="5" t="s">
        <v>24360</v>
      </c>
      <c r="H3557" s="6" t="s">
        <v>24361</v>
      </c>
      <c r="K3557" s="5" t="s">
        <v>24355</v>
      </c>
      <c r="M3557" s="5" t="s">
        <v>24362</v>
      </c>
      <c r="N3557" s="7" t="s">
        <v>24363</v>
      </c>
      <c r="O3557" s="8" t="str">
        <f>HYPERLINK("https://drive.google.com/file/d/1UDu6z91BzXWDRVxgIT4laCjaT9fpcGzs/view?usp=drivesdk","3556_BINTANG RIDWAn _ SERTIFIKAT BerAKHLAK")</f>
        <v>3556_BINTANG RIDWAn _ SERTIFIKAT BerAKHLAK</v>
      </c>
      <c r="P3557" s="5" t="s">
        <v>24358</v>
      </c>
    </row>
    <row r="3558">
      <c r="A3558" s="4">
        <v>45534.345959722225</v>
      </c>
      <c r="B3558" s="5" t="s">
        <v>34</v>
      </c>
      <c r="D3558" s="5" t="s">
        <v>2903</v>
      </c>
      <c r="E3558" s="5" t="s">
        <v>24364</v>
      </c>
      <c r="F3558" s="5" t="s">
        <v>37</v>
      </c>
      <c r="G3558" s="5" t="s">
        <v>24365</v>
      </c>
      <c r="H3558" s="6" t="s">
        <v>24366</v>
      </c>
      <c r="K3558" s="5" t="s">
        <v>24355</v>
      </c>
      <c r="M3558" s="5" t="s">
        <v>24367</v>
      </c>
      <c r="N3558" s="7" t="s">
        <v>24368</v>
      </c>
      <c r="O3558" s="8" t="str">
        <f>HYPERLINK("https://drive.google.com/file/d/1D8pNeRa-ZxMvoQYL7-0YCW8faECNTLo5/view?usp=drivesdk","3557_DODI ANTONI _ SERTIFIKAT BerAKHLAK")</f>
        <v>3557_DODI ANTONI _ SERTIFIKAT BerAKHLAK</v>
      </c>
      <c r="P3558" s="5" t="s">
        <v>24358</v>
      </c>
    </row>
    <row r="3559">
      <c r="A3559" s="4">
        <v>45534.34596716435</v>
      </c>
      <c r="B3559" s="5" t="s">
        <v>34</v>
      </c>
      <c r="D3559" s="5" t="s">
        <v>1206</v>
      </c>
      <c r="E3559" s="5" t="s">
        <v>24369</v>
      </c>
      <c r="F3559" s="5" t="s">
        <v>375</v>
      </c>
      <c r="G3559" s="5" t="s">
        <v>24370</v>
      </c>
      <c r="H3559" s="6" t="s">
        <v>24371</v>
      </c>
      <c r="K3559" s="5" t="s">
        <v>24355</v>
      </c>
      <c r="M3559" s="5" t="s">
        <v>24372</v>
      </c>
      <c r="N3559" s="7" t="s">
        <v>24373</v>
      </c>
      <c r="O3559" s="8" t="str">
        <f>HYPERLINK("https://drive.google.com/file/d/1t3siBIcFJmd8zonqJ1OxLWUogstcpIFZ/view?usp=drivesdk","3558_DEDY HERMAWAN S. Kom. _ SERTIFIKAT BerAKHLAK")</f>
        <v>3558_DEDY HERMAWAN S. Kom. _ SERTIFIKAT BerAKHLAK</v>
      </c>
      <c r="P3559" s="5" t="s">
        <v>24358</v>
      </c>
    </row>
    <row r="3560">
      <c r="A3560" s="4">
        <v>45534.3459825</v>
      </c>
      <c r="B3560" s="5" t="s">
        <v>34</v>
      </c>
      <c r="D3560" s="5" t="s">
        <v>1206</v>
      </c>
      <c r="E3560" s="5" t="s">
        <v>24374</v>
      </c>
      <c r="F3560" s="5" t="s">
        <v>37</v>
      </c>
      <c r="G3560" s="5" t="s">
        <v>24375</v>
      </c>
      <c r="H3560" s="6" t="s">
        <v>24376</v>
      </c>
      <c r="I3560" s="7" t="s">
        <v>24377</v>
      </c>
      <c r="J3560" s="8" t="str">
        <f>HYPERLINK("https://drive.google.com/file/d/1VHSOxXVz-Y6hE2EGyh0f68h1Q5R6tSKW/view?usp=drivesdk","hARTIPAH SERTIFIKAT BerAKHLAK")</f>
        <v>hARTIPAH SERTIFIKAT BerAKHLAK</v>
      </c>
      <c r="K3560" s="5" t="s">
        <v>23422</v>
      </c>
      <c r="L3560" s="5" t="s">
        <v>24378</v>
      </c>
      <c r="M3560" s="5" t="s">
        <v>24379</v>
      </c>
      <c r="N3560" s="7" t="s">
        <v>24380</v>
      </c>
      <c r="O3560" s="8" t="str">
        <f>HYPERLINK("https://drive.google.com/file/d/13H5jqQ_nC-JLSeFeLX3oqnla4y1yPoAU/view?usp=drivesdk","3559_hARTIPAH _ SERTIFIKAT BerAKHLAK")</f>
        <v>3559_hARTIPAH _ SERTIFIKAT BerAKHLAK</v>
      </c>
      <c r="P3560" s="5" t="s">
        <v>24381</v>
      </c>
    </row>
    <row r="3561">
      <c r="A3561" s="4">
        <v>45534.345989016205</v>
      </c>
      <c r="B3561" s="5" t="s">
        <v>34</v>
      </c>
      <c r="D3561" s="5" t="s">
        <v>9020</v>
      </c>
      <c r="E3561" s="5" t="s">
        <v>24382</v>
      </c>
      <c r="F3561" s="5" t="s">
        <v>524</v>
      </c>
      <c r="G3561" s="5" t="s">
        <v>24383</v>
      </c>
      <c r="H3561" s="6" t="s">
        <v>24384</v>
      </c>
      <c r="K3561" s="5" t="s">
        <v>24385</v>
      </c>
      <c r="M3561" s="5" t="s">
        <v>24386</v>
      </c>
      <c r="N3561" s="7" t="s">
        <v>24387</v>
      </c>
      <c r="O3561" s="8" t="str">
        <f>HYPERLINK("https://drive.google.com/file/d/1gTsHr1C0Vteg-D7342C1kzZJ_aFtqosL/view?usp=drivesdk","3560_Rumiris Delima Imelda Panjaitan,S.Kep.Ns _ SERTIFIKAT BerAKHLAK")</f>
        <v>3560_Rumiris Delima Imelda Panjaitan,S.Kep.Ns _ SERTIFIKAT BerAKHLAK</v>
      </c>
      <c r="P3561" s="5" t="s">
        <v>24381</v>
      </c>
    </row>
    <row r="3562">
      <c r="A3562" s="4">
        <v>45534.34599533565</v>
      </c>
      <c r="B3562" s="5" t="s">
        <v>34</v>
      </c>
      <c r="D3562" s="5" t="s">
        <v>4775</v>
      </c>
      <c r="E3562" s="5" t="s">
        <v>24388</v>
      </c>
      <c r="F3562" s="5" t="s">
        <v>212</v>
      </c>
      <c r="G3562" s="5" t="s">
        <v>24389</v>
      </c>
      <c r="H3562" s="6" t="s">
        <v>24390</v>
      </c>
      <c r="K3562" s="5" t="s">
        <v>24385</v>
      </c>
      <c r="M3562" s="5" t="s">
        <v>24391</v>
      </c>
      <c r="N3562" s="7" t="s">
        <v>24392</v>
      </c>
      <c r="O3562" s="8" t="str">
        <f>HYPERLINK("https://drive.google.com/file/d/1eQy4tTe3WjydxkCsLK7eKvrJt_NZ2I9S/view?usp=drivesdk","3561_ROCHMAN WIDODO _ SERTIFIKAT BerAKHLAK")</f>
        <v>3561_ROCHMAN WIDODO _ SERTIFIKAT BerAKHLAK</v>
      </c>
      <c r="P3562" s="5" t="s">
        <v>24381</v>
      </c>
    </row>
    <row r="3563" hidden="1">
      <c r="A3563" s="4">
        <v>45534.345999074074</v>
      </c>
      <c r="B3563" s="5" t="s">
        <v>19</v>
      </c>
      <c r="C3563" s="5" t="s">
        <v>292</v>
      </c>
      <c r="E3563" s="5" t="s">
        <v>24393</v>
      </c>
      <c r="F3563" s="5" t="s">
        <v>715</v>
      </c>
      <c r="G3563" s="5" t="s">
        <v>24394</v>
      </c>
      <c r="H3563" s="6" t="s">
        <v>24395</v>
      </c>
      <c r="K3563" s="5" t="s">
        <v>24385</v>
      </c>
      <c r="M3563" s="5" t="s">
        <v>24396</v>
      </c>
      <c r="N3563" s="7" t="s">
        <v>24397</v>
      </c>
      <c r="O3563" s="8" t="str">
        <f>HYPERLINK("https://drive.google.com/file/d/1Padhfx9BJARgikp4yC3zRqPcKrzrpZeV/view?usp=drivesdk","3562_ACENG SUNANDAR, S.Pd _ SERTIFIKAT BerAKHLAK")</f>
        <v>3562_ACENG SUNANDAR, S.Pd _ SERTIFIKAT BerAKHLAK</v>
      </c>
      <c r="P3563" s="5" t="s">
        <v>24381</v>
      </c>
    </row>
    <row r="3564">
      <c r="A3564" s="4">
        <v>45534.34601166667</v>
      </c>
      <c r="B3564" s="5" t="s">
        <v>34</v>
      </c>
      <c r="D3564" s="5" t="s">
        <v>9394</v>
      </c>
      <c r="E3564" s="5" t="s">
        <v>24398</v>
      </c>
      <c r="F3564" s="5" t="s">
        <v>375</v>
      </c>
      <c r="G3564" s="5" t="s">
        <v>24399</v>
      </c>
      <c r="H3564" s="6" t="s">
        <v>24400</v>
      </c>
      <c r="K3564" s="5" t="s">
        <v>24385</v>
      </c>
      <c r="M3564" s="5" t="s">
        <v>24401</v>
      </c>
      <c r="N3564" s="7" t="s">
        <v>24402</v>
      </c>
      <c r="O3564" s="8" t="str">
        <f>HYPERLINK("https://drive.google.com/file/d/1bBo6eECyCaMAR_QwNe59DuEReF6AeqrZ/view?usp=drivesdk","3563_NOFRIADI, S.E _ SERTIFIKAT BerAKHLAK")</f>
        <v>3563_NOFRIADI, S.E _ SERTIFIKAT BerAKHLAK</v>
      </c>
      <c r="P3564" s="5" t="s">
        <v>24381</v>
      </c>
    </row>
    <row r="3565">
      <c r="A3565" s="4">
        <v>45534.34601657407</v>
      </c>
      <c r="B3565" s="5" t="s">
        <v>34</v>
      </c>
      <c r="D3565" s="5" t="s">
        <v>35</v>
      </c>
      <c r="E3565" s="5" t="s">
        <v>24403</v>
      </c>
      <c r="F3565" s="5" t="s">
        <v>37</v>
      </c>
      <c r="G3565" s="5" t="s">
        <v>24404</v>
      </c>
      <c r="H3565" s="6" t="s">
        <v>24405</v>
      </c>
      <c r="K3565" s="5" t="s">
        <v>24406</v>
      </c>
      <c r="M3565" s="5" t="s">
        <v>24407</v>
      </c>
      <c r="N3565" s="7" t="s">
        <v>24408</v>
      </c>
      <c r="O3565" s="8" t="str">
        <f>HYPERLINK("https://drive.google.com/file/d/1Tm6TCooEA3UR37rasoVVH95oJKYJxgNK/view?usp=drivesdk","3564_SHINTA DESSIYANI, A.Md.Kep _ SERTIFIKAT BerAKHLAK")</f>
        <v>3564_SHINTA DESSIYANI, A.Md.Kep _ SERTIFIKAT BerAKHLAK</v>
      </c>
      <c r="P3565" s="5" t="s">
        <v>24409</v>
      </c>
    </row>
    <row r="3566" hidden="1">
      <c r="A3566" s="4">
        <v>45534.34603482639</v>
      </c>
      <c r="B3566" s="5" t="s">
        <v>19</v>
      </c>
      <c r="C3566" s="5" t="s">
        <v>466</v>
      </c>
      <c r="E3566" s="5" t="s">
        <v>24410</v>
      </c>
      <c r="F3566" s="5" t="s">
        <v>212</v>
      </c>
      <c r="G3566" s="5" t="s">
        <v>24411</v>
      </c>
      <c r="H3566" s="6" t="s">
        <v>24412</v>
      </c>
      <c r="K3566" s="5" t="s">
        <v>24406</v>
      </c>
      <c r="M3566" s="5" t="s">
        <v>24413</v>
      </c>
      <c r="N3566" s="7" t="s">
        <v>24414</v>
      </c>
      <c r="O3566" s="8" t="str">
        <f>HYPERLINK("https://drive.google.com/file/d/1RYijvNRReHo1YxyH5WujctMuvqx9EAyj/view?usp=drivesdk","3565_ANDI SUPANDI _ SERTIFIKAT BerAKHLAK")</f>
        <v>3565_ANDI SUPANDI _ SERTIFIKAT BerAKHLAK</v>
      </c>
      <c r="P3566" s="5" t="s">
        <v>24409</v>
      </c>
    </row>
    <row r="3567">
      <c r="A3567" s="4">
        <v>45534.346036620365</v>
      </c>
      <c r="B3567" s="5" t="s">
        <v>34</v>
      </c>
      <c r="D3567" s="5" t="s">
        <v>35</v>
      </c>
      <c r="E3567" s="5" t="s">
        <v>24415</v>
      </c>
      <c r="F3567" s="5" t="s">
        <v>120</v>
      </c>
      <c r="G3567" s="5" t="s">
        <v>24416</v>
      </c>
      <c r="H3567" s="6" t="s">
        <v>24417</v>
      </c>
      <c r="K3567" s="5" t="s">
        <v>24406</v>
      </c>
      <c r="M3567" s="5" t="s">
        <v>24418</v>
      </c>
      <c r="N3567" s="7" t="s">
        <v>24419</v>
      </c>
      <c r="O3567" s="8" t="str">
        <f>HYPERLINK("https://drive.google.com/file/d/1Ts5xEhbiuJJ4ojojMQ98g4ppkFlaxLnS/view?usp=drivesdk","3566_SUMARNI, S.Sos _ SERTIFIKAT BerAKHLAK")</f>
        <v>3566_SUMARNI, S.Sos _ SERTIFIKAT BerAKHLAK</v>
      </c>
      <c r="P3567" s="5" t="s">
        <v>24409</v>
      </c>
    </row>
    <row r="3568">
      <c r="A3568" s="4">
        <v>45534.346038449075</v>
      </c>
      <c r="B3568" s="5" t="s">
        <v>34</v>
      </c>
      <c r="D3568" s="5" t="s">
        <v>12978</v>
      </c>
      <c r="E3568" s="5" t="s">
        <v>24420</v>
      </c>
      <c r="F3568" s="5" t="s">
        <v>212</v>
      </c>
      <c r="G3568" s="5" t="s">
        <v>24421</v>
      </c>
      <c r="H3568" s="6" t="s">
        <v>24422</v>
      </c>
      <c r="K3568" s="5" t="s">
        <v>24406</v>
      </c>
      <c r="M3568" s="5" t="s">
        <v>24423</v>
      </c>
      <c r="N3568" s="7" t="s">
        <v>24424</v>
      </c>
      <c r="O3568" s="8" t="str">
        <f>HYPERLINK("https://drive.google.com/file/d/1cHk4bUlBesfWLj5Co9V8cTo4bveiYy2d/view?usp=drivesdk","3567_MUTIYA FITRIANI _ SERTIFIKAT BerAKHLAK")</f>
        <v>3567_MUTIYA FITRIANI _ SERTIFIKAT BerAKHLAK</v>
      </c>
      <c r="P3568" s="5" t="s">
        <v>24425</v>
      </c>
    </row>
    <row r="3569">
      <c r="A3569" s="4">
        <v>45534.34603861111</v>
      </c>
      <c r="B3569" s="5" t="s">
        <v>34</v>
      </c>
      <c r="D3569" s="5" t="s">
        <v>280</v>
      </c>
      <c r="E3569" s="5" t="s">
        <v>24426</v>
      </c>
      <c r="F3569" s="5" t="s">
        <v>72</v>
      </c>
      <c r="G3569" s="5" t="s">
        <v>24427</v>
      </c>
      <c r="H3569" s="6" t="s">
        <v>24428</v>
      </c>
      <c r="K3569" s="5" t="s">
        <v>24406</v>
      </c>
      <c r="M3569" s="5" t="s">
        <v>24429</v>
      </c>
      <c r="N3569" s="7" t="s">
        <v>24430</v>
      </c>
      <c r="O3569" s="8" t="str">
        <f>HYPERLINK("https://drive.google.com/file/d/1QQF9UwFO-sM9wp73iWttTklori7ZhyW5/view?usp=drivesdk","3568_RIANA MARTINELLY,AMd _ SERTIFIKAT BerAKHLAK")</f>
        <v>3568_RIANA MARTINELLY,AMd _ SERTIFIKAT BerAKHLAK</v>
      </c>
      <c r="P3569" s="5" t="s">
        <v>24425</v>
      </c>
    </row>
    <row r="3570">
      <c r="A3570" s="4">
        <v>45534.3460440625</v>
      </c>
      <c r="B3570" s="5" t="s">
        <v>34</v>
      </c>
      <c r="D3570" s="5" t="s">
        <v>35</v>
      </c>
      <c r="E3570" s="5" t="s">
        <v>24431</v>
      </c>
      <c r="F3570" s="5" t="s">
        <v>108</v>
      </c>
      <c r="G3570" s="5" t="s">
        <v>24432</v>
      </c>
      <c r="H3570" s="6" t="s">
        <v>24433</v>
      </c>
      <c r="K3570" s="5" t="s">
        <v>24406</v>
      </c>
      <c r="M3570" s="5" t="s">
        <v>24434</v>
      </c>
      <c r="N3570" s="7" t="s">
        <v>24435</v>
      </c>
      <c r="O3570" s="8" t="str">
        <f>HYPERLINK("https://drive.google.com/file/d/10vY877SUMH8x0-0nBNJad_W50WXIKJ1H/view?usp=drivesdk","3569_drg. TIKA HESTIANA _ SERTIFIKAT BerAKHLAK")</f>
        <v>3569_drg. TIKA HESTIANA _ SERTIFIKAT BerAKHLAK</v>
      </c>
      <c r="P3570" s="5" t="s">
        <v>24425</v>
      </c>
    </row>
    <row r="3571">
      <c r="A3571" s="4">
        <v>45534.34605247685</v>
      </c>
      <c r="B3571" s="5" t="s">
        <v>34</v>
      </c>
      <c r="D3571" s="5" t="s">
        <v>522</v>
      </c>
      <c r="E3571" s="5" t="s">
        <v>24436</v>
      </c>
      <c r="F3571" s="5" t="s">
        <v>375</v>
      </c>
      <c r="G3571" s="5" t="s">
        <v>24437</v>
      </c>
      <c r="H3571" s="6" t="s">
        <v>24438</v>
      </c>
      <c r="K3571" s="5" t="s">
        <v>24406</v>
      </c>
      <c r="M3571" s="5" t="s">
        <v>24439</v>
      </c>
      <c r="N3571" s="7" t="s">
        <v>24440</v>
      </c>
      <c r="O3571" s="8" t="str">
        <f>HYPERLINK("https://drive.google.com/file/d/1wKGC2Zm5TxJB1wtM7ns1O25nhmAatRhX/view?usp=drivesdk","3570_SAPRUDIN, SPD _ SERTIFIKAT BerAKHLAK")</f>
        <v>3570_SAPRUDIN, SPD _ SERTIFIKAT BerAKHLAK</v>
      </c>
      <c r="P3571" s="5" t="s">
        <v>24425</v>
      </c>
    </row>
    <row r="3572">
      <c r="A3572" s="4">
        <v>45534.34606542824</v>
      </c>
      <c r="B3572" s="5" t="s">
        <v>34</v>
      </c>
      <c r="D3572" s="5" t="s">
        <v>10444</v>
      </c>
      <c r="E3572" s="5" t="s">
        <v>24441</v>
      </c>
      <c r="F3572" s="5" t="s">
        <v>212</v>
      </c>
      <c r="G3572" s="5" t="s">
        <v>24442</v>
      </c>
      <c r="H3572" s="6" t="s">
        <v>24443</v>
      </c>
      <c r="K3572" s="5" t="s">
        <v>24406</v>
      </c>
      <c r="M3572" s="5" t="s">
        <v>24444</v>
      </c>
      <c r="N3572" s="7" t="s">
        <v>24445</v>
      </c>
      <c r="O3572" s="8" t="str">
        <f>HYPERLINK("https://drive.google.com/file/d/1c_7vD_Wg8vzPPmngpWSdKm-R6rAem_TE/view?usp=drivesdk","3571_ASPIYANI _ SERTIFIKAT BerAKHLAK")</f>
        <v>3571_ASPIYANI _ SERTIFIKAT BerAKHLAK</v>
      </c>
      <c r="P3572" s="5" t="s">
        <v>24446</v>
      </c>
    </row>
    <row r="3573">
      <c r="A3573" s="4">
        <v>45534.346067418985</v>
      </c>
      <c r="B3573" s="5" t="s">
        <v>34</v>
      </c>
      <c r="D3573" s="5" t="s">
        <v>9020</v>
      </c>
      <c r="E3573" s="5" t="s">
        <v>24447</v>
      </c>
      <c r="F3573" s="5" t="s">
        <v>212</v>
      </c>
      <c r="G3573" s="5" t="s">
        <v>24448</v>
      </c>
      <c r="H3573" s="6" t="s">
        <v>24449</v>
      </c>
      <c r="K3573" s="5" t="s">
        <v>24406</v>
      </c>
      <c r="M3573" s="5" t="s">
        <v>24450</v>
      </c>
      <c r="N3573" s="7" t="s">
        <v>24451</v>
      </c>
      <c r="O3573" s="8" t="str">
        <f>HYPERLINK("https://drive.google.com/file/d/1EPJRLaR92fateAaB2j3ag6yWMKeeBR3C/view?usp=drivesdk","3572_YENNY MARLINA  _ SERTIFIKAT BerAKHLAK")</f>
        <v>3572_YENNY MARLINA  _ SERTIFIKAT BerAKHLAK</v>
      </c>
      <c r="P3573" s="5" t="s">
        <v>24446</v>
      </c>
    </row>
    <row r="3574">
      <c r="A3574" s="4">
        <v>45534.34607542824</v>
      </c>
      <c r="B3574" s="5" t="s">
        <v>34</v>
      </c>
      <c r="D3574" s="5" t="s">
        <v>701</v>
      </c>
      <c r="E3574" s="5" t="s">
        <v>24452</v>
      </c>
      <c r="F3574" s="5" t="s">
        <v>212</v>
      </c>
      <c r="G3574" s="5" t="s">
        <v>24453</v>
      </c>
      <c r="H3574" s="6" t="s">
        <v>24454</v>
      </c>
      <c r="K3574" s="5" t="s">
        <v>24406</v>
      </c>
      <c r="M3574" s="5" t="s">
        <v>24455</v>
      </c>
      <c r="N3574" s="7" t="s">
        <v>24456</v>
      </c>
      <c r="O3574" s="8" t="str">
        <f>HYPERLINK("https://drive.google.com/file/d/1srRD9klUSXLTbN5jxzJgBo4oV9VPGMvm/view?usp=drivesdk","3573_MARLIANI _ SERTIFIKAT BerAKHLAK")</f>
        <v>3573_MARLIANI _ SERTIFIKAT BerAKHLAK</v>
      </c>
      <c r="P3574" s="5" t="s">
        <v>24446</v>
      </c>
    </row>
    <row r="3575">
      <c r="A3575" s="4">
        <v>45534.34607586806</v>
      </c>
      <c r="B3575" s="5" t="s">
        <v>34</v>
      </c>
      <c r="D3575" s="5" t="s">
        <v>9020</v>
      </c>
      <c r="E3575" s="5" t="s">
        <v>24457</v>
      </c>
      <c r="F3575" s="5" t="s">
        <v>37</v>
      </c>
      <c r="G3575" s="5" t="s">
        <v>24458</v>
      </c>
      <c r="H3575" s="6" t="s">
        <v>24459</v>
      </c>
      <c r="K3575" s="5" t="s">
        <v>24406</v>
      </c>
      <c r="M3575" s="5" t="s">
        <v>24460</v>
      </c>
      <c r="N3575" s="7" t="s">
        <v>24461</v>
      </c>
      <c r="O3575" s="8" t="str">
        <f>HYPERLINK("https://drive.google.com/file/d/1lgZxToyb2BcecH2vhav8NYuPMnCFfVKj/view?usp=drivesdk","3574_LISMAI SAROH _ SERTIFIKAT BerAKHLAK")</f>
        <v>3574_LISMAI SAROH _ SERTIFIKAT BerAKHLAK</v>
      </c>
      <c r="P3575" s="5" t="s">
        <v>24446</v>
      </c>
    </row>
    <row r="3576">
      <c r="A3576" s="4">
        <v>45534.346081689815</v>
      </c>
      <c r="B3576" s="5" t="s">
        <v>34</v>
      </c>
      <c r="D3576" s="5" t="s">
        <v>35</v>
      </c>
      <c r="E3576" s="5" t="s">
        <v>24462</v>
      </c>
      <c r="F3576" s="5" t="s">
        <v>72</v>
      </c>
      <c r="G3576" s="5" t="s">
        <v>24463</v>
      </c>
      <c r="H3576" s="6" t="s">
        <v>24464</v>
      </c>
      <c r="K3576" s="5" t="s">
        <v>24406</v>
      </c>
      <c r="M3576" s="5" t="s">
        <v>24465</v>
      </c>
      <c r="N3576" s="7" t="s">
        <v>24466</v>
      </c>
      <c r="O3576" s="8" t="str">
        <f>HYPERLINK("https://drive.google.com/file/d/1D5SzaZT6qhU3O9w5PFnHo4jfiD2a8WrD/view?usp=drivesdk","3575_Roza Linda, Amd. keb _ SERTIFIKAT BerAKHLAK")</f>
        <v>3575_Roza Linda, Amd. keb _ SERTIFIKAT BerAKHLAK</v>
      </c>
      <c r="P3576" s="5" t="s">
        <v>24446</v>
      </c>
    </row>
    <row r="3577">
      <c r="A3577" s="4">
        <v>45534.346078206014</v>
      </c>
      <c r="B3577" s="5" t="s">
        <v>34</v>
      </c>
      <c r="D3577" s="5" t="s">
        <v>1206</v>
      </c>
      <c r="E3577" s="5" t="s">
        <v>24467</v>
      </c>
      <c r="F3577" s="5" t="s">
        <v>375</v>
      </c>
      <c r="G3577" s="5" t="s">
        <v>24468</v>
      </c>
      <c r="H3577" s="6" t="s">
        <v>24469</v>
      </c>
      <c r="K3577" s="5" t="s">
        <v>24406</v>
      </c>
      <c r="M3577" s="5" t="s">
        <v>24470</v>
      </c>
      <c r="N3577" s="7" t="s">
        <v>24471</v>
      </c>
      <c r="O3577" s="8" t="str">
        <f>HYPERLINK("https://drive.google.com/file/d/1kDvhBdxpvu_oFCiXiXIpE4HczdubSN2g/view?usp=drivesdk","3576_DWIANTO DJOKO PRAJITNO, S.Sos. _ SERTIFIKAT BerAKHLAK")</f>
        <v>3576_DWIANTO DJOKO PRAJITNO, S.Sos. _ SERTIFIKAT BerAKHLAK</v>
      </c>
      <c r="P3577" s="5" t="s">
        <v>24472</v>
      </c>
    </row>
    <row r="3578">
      <c r="A3578" s="4">
        <v>45534.34608329861</v>
      </c>
      <c r="B3578" s="5" t="s">
        <v>34</v>
      </c>
      <c r="D3578" s="5" t="s">
        <v>12978</v>
      </c>
      <c r="E3578" s="5" t="s">
        <v>24473</v>
      </c>
      <c r="F3578" s="5" t="s">
        <v>212</v>
      </c>
      <c r="G3578" s="5" t="s">
        <v>24474</v>
      </c>
      <c r="H3578" s="6" t="s">
        <v>24475</v>
      </c>
      <c r="K3578" s="5" t="s">
        <v>24406</v>
      </c>
      <c r="M3578" s="5" t="s">
        <v>24476</v>
      </c>
      <c r="N3578" s="7" t="s">
        <v>24477</v>
      </c>
      <c r="O3578" s="8" t="str">
        <f>HYPERLINK("https://drive.google.com/file/d/15Fwv95UgcacIs3SRRY-XOSe50ngGJhaD/view?usp=drivesdk","3577_MARDALENA _ SERTIFIKAT BerAKHLAK")</f>
        <v>3577_MARDALENA _ SERTIFIKAT BerAKHLAK</v>
      </c>
      <c r="P3578" s="5" t="s">
        <v>24472</v>
      </c>
    </row>
    <row r="3579" hidden="1">
      <c r="A3579" s="4">
        <v>45534.34609371528</v>
      </c>
      <c r="B3579" s="5" t="s">
        <v>19</v>
      </c>
      <c r="C3579" s="5" t="s">
        <v>3301</v>
      </c>
      <c r="E3579" s="5" t="s">
        <v>24478</v>
      </c>
      <c r="F3579" s="5" t="s">
        <v>120</v>
      </c>
      <c r="G3579" s="5" t="s">
        <v>24479</v>
      </c>
      <c r="H3579" s="6" t="s">
        <v>24480</v>
      </c>
      <c r="K3579" s="5" t="s">
        <v>24406</v>
      </c>
      <c r="M3579" s="5" t="s">
        <v>24481</v>
      </c>
      <c r="N3579" s="7" t="s">
        <v>24482</v>
      </c>
      <c r="O3579" s="8" t="str">
        <f>HYPERLINK("https://drive.google.com/file/d/1-WEMjwvXNQ9cjCYzuAj8HUAgpXAA8Ht7/view?usp=drivesdk","3578_BETI MARYATI,S.Sos.,M.M. _ SERTIFIKAT BerAKHLAK")</f>
        <v>3578_BETI MARYATI,S.Sos.,M.M. _ SERTIFIKAT BerAKHLAK</v>
      </c>
      <c r="P3579" s="5" t="s">
        <v>24472</v>
      </c>
    </row>
    <row r="3580">
      <c r="A3580" s="4">
        <v>45534.34609423611</v>
      </c>
      <c r="B3580" s="5" t="s">
        <v>34</v>
      </c>
      <c r="D3580" s="5" t="s">
        <v>1206</v>
      </c>
      <c r="E3580" s="5" t="s">
        <v>24483</v>
      </c>
      <c r="F3580" s="5" t="s">
        <v>212</v>
      </c>
      <c r="G3580" s="5" t="s">
        <v>24484</v>
      </c>
      <c r="H3580" s="6" t="s">
        <v>24485</v>
      </c>
      <c r="K3580" s="5" t="s">
        <v>24406</v>
      </c>
      <c r="M3580" s="5" t="s">
        <v>24486</v>
      </c>
      <c r="N3580" s="7" t="s">
        <v>24487</v>
      </c>
      <c r="O3580" s="8" t="str">
        <f>HYPERLINK("https://drive.google.com/file/d/1c2kyTuhR8adhRfeP2M9_Y6IlVVD3tDW3/view?usp=drivesdk","3579_SLAMET NURYUDAYANTO  _ SERTIFIKAT BerAKHLAK")</f>
        <v>3579_SLAMET NURYUDAYANTO  _ SERTIFIKAT BerAKHLAK</v>
      </c>
      <c r="P3580" s="5" t="s">
        <v>24472</v>
      </c>
    </row>
    <row r="3581">
      <c r="A3581" s="4">
        <v>45534.34610768518</v>
      </c>
      <c r="B3581" s="5" t="s">
        <v>34</v>
      </c>
      <c r="D3581" s="5" t="s">
        <v>12978</v>
      </c>
      <c r="E3581" s="5" t="s">
        <v>24488</v>
      </c>
      <c r="F3581" s="5" t="s">
        <v>715</v>
      </c>
      <c r="G3581" s="5" t="s">
        <v>24489</v>
      </c>
      <c r="H3581" s="6" t="s">
        <v>24490</v>
      </c>
      <c r="K3581" s="5" t="s">
        <v>24406</v>
      </c>
      <c r="M3581" s="5" t="s">
        <v>24491</v>
      </c>
      <c r="N3581" s="7" t="s">
        <v>24492</v>
      </c>
      <c r="O3581" s="8" t="str">
        <f>HYPERLINK("https://drive.google.com/file/d/1Mb6nJnRMGCeRGaU8_FYfkXeTqPXFGPTu/view?usp=drivesdk","3580_SURYANI _ SERTIFIKAT BerAKHLAK")</f>
        <v>3580_SURYANI _ SERTIFIKAT BerAKHLAK</v>
      </c>
      <c r="P3581" s="5" t="s">
        <v>24493</v>
      </c>
    </row>
    <row r="3582">
      <c r="A3582" s="4">
        <v>45534.34610969907</v>
      </c>
      <c r="B3582" s="5" t="s">
        <v>34</v>
      </c>
      <c r="D3582" s="5" t="s">
        <v>35</v>
      </c>
      <c r="E3582" s="5" t="s">
        <v>24494</v>
      </c>
      <c r="F3582" s="5" t="s">
        <v>328</v>
      </c>
      <c r="G3582" s="5" t="s">
        <v>24495</v>
      </c>
      <c r="H3582" s="6" t="s">
        <v>24496</v>
      </c>
      <c r="K3582" s="5" t="s">
        <v>24406</v>
      </c>
      <c r="M3582" s="5" t="s">
        <v>24497</v>
      </c>
      <c r="N3582" s="7" t="s">
        <v>24498</v>
      </c>
      <c r="O3582" s="8" t="str">
        <f>HYPERLINK("https://drive.google.com/file/d/1GOob1nBEaqe9kXzvvITtBNMpPcSeL7Go/view?usp=drivesdk","3581_RUKBAN NAWAWI  _ SERTIFIKAT BerAKHLAK")</f>
        <v>3581_RUKBAN NAWAWI  _ SERTIFIKAT BerAKHLAK</v>
      </c>
      <c r="P3582" s="5" t="s">
        <v>24493</v>
      </c>
    </row>
    <row r="3583">
      <c r="A3583" s="4">
        <v>45534.3461183912</v>
      </c>
      <c r="B3583" s="5" t="s">
        <v>34</v>
      </c>
      <c r="D3583" s="5" t="s">
        <v>1206</v>
      </c>
      <c r="E3583" s="5" t="s">
        <v>24499</v>
      </c>
      <c r="F3583" s="5" t="s">
        <v>199</v>
      </c>
      <c r="G3583" s="5" t="s">
        <v>24500</v>
      </c>
      <c r="H3583" s="6" t="s">
        <v>24501</v>
      </c>
      <c r="K3583" s="5" t="s">
        <v>24502</v>
      </c>
      <c r="M3583" s="5" t="s">
        <v>24503</v>
      </c>
      <c r="N3583" s="7" t="s">
        <v>24504</v>
      </c>
      <c r="O3583" s="8" t="str">
        <f>HYPERLINK("https://drive.google.com/file/d/18MR-1wzvlW_GvAtKTocaUR6FN4ukIB_j/view?usp=drivesdk","3582_NENIK HERAWATI  _ SERTIFIKAT BerAKHLAK")</f>
        <v>3582_NENIK HERAWATI  _ SERTIFIKAT BerAKHLAK</v>
      </c>
      <c r="P3583" s="5" t="s">
        <v>24493</v>
      </c>
    </row>
    <row r="3584">
      <c r="A3584" s="4">
        <v>45534.34612069445</v>
      </c>
      <c r="B3584" s="5" t="s">
        <v>34</v>
      </c>
      <c r="D3584" s="5" t="s">
        <v>267</v>
      </c>
      <c r="E3584" s="5" t="s">
        <v>24505</v>
      </c>
      <c r="F3584" s="5" t="s">
        <v>212</v>
      </c>
      <c r="G3584" s="5" t="s">
        <v>24506</v>
      </c>
      <c r="H3584" s="6" t="s">
        <v>24507</v>
      </c>
      <c r="K3584" s="5" t="s">
        <v>24502</v>
      </c>
      <c r="M3584" s="5" t="s">
        <v>24508</v>
      </c>
      <c r="N3584" s="7" t="s">
        <v>24509</v>
      </c>
      <c r="O3584" s="8" t="str">
        <f>HYPERLINK("https://drive.google.com/file/d/1AtnznEwjbQCzPMZcmuDobffWBEBWldkL/view?usp=drivesdk","3583_SUPRAPTI  _ SERTIFIKAT BerAKHLAK")</f>
        <v>3583_SUPRAPTI  _ SERTIFIKAT BerAKHLAK</v>
      </c>
      <c r="P3584" s="5" t="s">
        <v>24493</v>
      </c>
    </row>
    <row r="3585">
      <c r="A3585" s="4">
        <v>45534.34612310185</v>
      </c>
      <c r="B3585" s="5" t="s">
        <v>34</v>
      </c>
      <c r="D3585" s="5" t="s">
        <v>580</v>
      </c>
      <c r="E3585" s="5" t="s">
        <v>24510</v>
      </c>
      <c r="F3585" s="5" t="s">
        <v>108</v>
      </c>
      <c r="G3585" s="5" t="s">
        <v>24511</v>
      </c>
      <c r="H3585" s="6" t="s">
        <v>24512</v>
      </c>
      <c r="K3585" s="5" t="s">
        <v>24502</v>
      </c>
      <c r="M3585" s="5" t="s">
        <v>24513</v>
      </c>
      <c r="N3585" s="7" t="s">
        <v>24514</v>
      </c>
      <c r="O3585" s="8" t="str">
        <f>HYPERLINK("https://drive.google.com/file/d/15LblWCRp5cw3Wwf22EArgC0j4b2oIDhP/view?usp=drivesdk","3584_NI PUTU SUANARI _ SERTIFIKAT BerAKHLAK")</f>
        <v>3584_NI PUTU SUANARI _ SERTIFIKAT BerAKHLAK</v>
      </c>
      <c r="P3585" s="5" t="s">
        <v>24515</v>
      </c>
    </row>
    <row r="3586">
      <c r="A3586" s="4">
        <v>45534.34615211806</v>
      </c>
      <c r="B3586" s="5" t="s">
        <v>34</v>
      </c>
      <c r="D3586" s="5" t="s">
        <v>35</v>
      </c>
      <c r="E3586" s="5" t="s">
        <v>24516</v>
      </c>
      <c r="F3586" s="5" t="s">
        <v>37</v>
      </c>
      <c r="G3586" s="5" t="s">
        <v>24517</v>
      </c>
      <c r="H3586" s="6" t="s">
        <v>24518</v>
      </c>
      <c r="K3586" s="5" t="s">
        <v>24519</v>
      </c>
      <c r="M3586" s="5" t="s">
        <v>24520</v>
      </c>
      <c r="N3586" s="7" t="s">
        <v>24521</v>
      </c>
      <c r="O3586" s="8" t="str">
        <f>HYPERLINK("https://drive.google.com/file/d/1cKrvAACUfZ9YZGfOFESR-Wup7Bvu9eSO/view?usp=drivesdk","3585_TARYONO, S.H. _ SERTIFIKAT BerAKHLAK")</f>
        <v>3585_TARYONO, S.H. _ SERTIFIKAT BerAKHLAK</v>
      </c>
      <c r="P3586" s="5" t="s">
        <v>24515</v>
      </c>
    </row>
    <row r="3587">
      <c r="A3587" s="4">
        <v>45534.34617105324</v>
      </c>
      <c r="B3587" s="5" t="s">
        <v>34</v>
      </c>
      <c r="D3587" s="5" t="s">
        <v>1206</v>
      </c>
      <c r="E3587" s="5" t="s">
        <v>24522</v>
      </c>
      <c r="F3587" s="5" t="s">
        <v>72</v>
      </c>
      <c r="G3587" s="5" t="s">
        <v>24523</v>
      </c>
      <c r="H3587" s="6" t="s">
        <v>24524</v>
      </c>
      <c r="K3587" s="5" t="s">
        <v>24525</v>
      </c>
      <c r="M3587" s="5" t="s">
        <v>24526</v>
      </c>
      <c r="N3587" s="7" t="s">
        <v>24527</v>
      </c>
      <c r="O3587" s="8" t="str">
        <f>HYPERLINK("https://drive.google.com/file/d/1GDFlOwi-0ONt3K4TKZhUtjOv5SiWw-qs/view?usp=drivesdk","3586_DWI RATNA WAHYUNINGSIH  _ SERTIFIKAT BerAKHLAK")</f>
        <v>3586_DWI RATNA WAHYUNINGSIH  _ SERTIFIKAT BerAKHLAK</v>
      </c>
      <c r="P3587" s="5" t="s">
        <v>24515</v>
      </c>
    </row>
    <row r="3588" hidden="1">
      <c r="A3588" s="4">
        <v>45534.34617300926</v>
      </c>
      <c r="B3588" s="5" t="s">
        <v>19</v>
      </c>
      <c r="C3588" s="5" t="s">
        <v>3301</v>
      </c>
      <c r="E3588" s="5" t="s">
        <v>24528</v>
      </c>
      <c r="F3588" s="5" t="s">
        <v>108</v>
      </c>
      <c r="G3588" s="5" t="s">
        <v>24529</v>
      </c>
      <c r="H3588" s="6" t="s">
        <v>24530</v>
      </c>
      <c r="K3588" s="5" t="s">
        <v>24525</v>
      </c>
      <c r="M3588" s="5" t="s">
        <v>24531</v>
      </c>
      <c r="N3588" s="7" t="s">
        <v>24532</v>
      </c>
      <c r="O3588" s="8" t="str">
        <f>HYPERLINK("https://drive.google.com/file/d/1_k5CmmGZi3NkRyQ1yRdn_OVSoUI13hpX/view?usp=drivesdk","3587_dr. IKA JULIANTI _ SERTIFIKAT BerAKHLAK")</f>
        <v>3587_dr. IKA JULIANTI _ SERTIFIKAT BerAKHLAK</v>
      </c>
      <c r="P3588" s="5" t="s">
        <v>24515</v>
      </c>
    </row>
    <row r="3589">
      <c r="A3589" s="4">
        <v>45534.346174583334</v>
      </c>
      <c r="B3589" s="5" t="s">
        <v>34</v>
      </c>
      <c r="D3589" s="5" t="s">
        <v>35</v>
      </c>
      <c r="E3589" s="5" t="s">
        <v>24533</v>
      </c>
      <c r="F3589" s="5" t="s">
        <v>524</v>
      </c>
      <c r="G3589" s="5" t="s">
        <v>24534</v>
      </c>
      <c r="H3589" s="6" t="s">
        <v>24535</v>
      </c>
      <c r="K3589" s="5" t="s">
        <v>24525</v>
      </c>
      <c r="M3589" s="5" t="s">
        <v>24536</v>
      </c>
      <c r="N3589" s="7" t="s">
        <v>24537</v>
      </c>
      <c r="O3589" s="8" t="str">
        <f>HYPERLINK("https://drive.google.com/file/d/1ZR4TQO-GcDpCEVOClX9oAY0Hcz3ttUgH/view?usp=drivesdk","3588_SRI WIYATI _ SERTIFIKAT BerAKHLAK")</f>
        <v>3588_SRI WIYATI _ SERTIFIKAT BerAKHLAK</v>
      </c>
      <c r="P3589" s="5" t="s">
        <v>24515</v>
      </c>
    </row>
    <row r="3590">
      <c r="A3590" s="4">
        <v>45534.34618383102</v>
      </c>
      <c r="B3590" s="5" t="s">
        <v>34</v>
      </c>
      <c r="D3590" s="5" t="s">
        <v>701</v>
      </c>
      <c r="E3590" s="5" t="s">
        <v>24538</v>
      </c>
      <c r="F3590" s="5" t="s">
        <v>37</v>
      </c>
      <c r="G3590" s="5" t="s">
        <v>24539</v>
      </c>
      <c r="H3590" s="6" t="s">
        <v>24540</v>
      </c>
      <c r="K3590" s="5" t="s">
        <v>24541</v>
      </c>
      <c r="M3590" s="5" t="s">
        <v>24542</v>
      </c>
      <c r="N3590" s="7" t="s">
        <v>24543</v>
      </c>
      <c r="O3590" s="8" t="str">
        <f>HYPERLINK("https://drive.google.com/file/d/1FdC9X8mWmmZCJoxO0ilPqX6rQvdVVB99/view?usp=drivesdk","3589_IKA WULANDARI _ SERTIFIKAT BerAKHLAK")</f>
        <v>3589_IKA WULANDARI _ SERTIFIKAT BerAKHLAK</v>
      </c>
      <c r="P3590" s="5" t="s">
        <v>24544</v>
      </c>
    </row>
    <row r="3591">
      <c r="A3591" s="4">
        <v>45534.346185497685</v>
      </c>
      <c r="B3591" s="5" t="s">
        <v>34</v>
      </c>
      <c r="D3591" s="5" t="s">
        <v>1456</v>
      </c>
      <c r="E3591" s="5" t="s">
        <v>24545</v>
      </c>
      <c r="F3591" s="5" t="s">
        <v>37</v>
      </c>
      <c r="G3591" s="5" t="s">
        <v>24546</v>
      </c>
      <c r="H3591" s="6" t="s">
        <v>24547</v>
      </c>
      <c r="K3591" s="5" t="s">
        <v>24541</v>
      </c>
      <c r="M3591" s="5" t="s">
        <v>24548</v>
      </c>
      <c r="N3591" s="7" t="s">
        <v>24549</v>
      </c>
      <c r="O3591" s="8" t="str">
        <f>HYPERLINK("https://drive.google.com/file/d/1bgEofe6CaR_bhfYtFa-_H28neRz9euDW/view?usp=drivesdk","3590_SANDI, S.M _ SERTIFIKAT BerAKHLAK")</f>
        <v>3590_SANDI, S.M _ SERTIFIKAT BerAKHLAK</v>
      </c>
      <c r="P3591" s="5" t="s">
        <v>24544</v>
      </c>
    </row>
    <row r="3592">
      <c r="A3592" s="4">
        <v>45534.346185532406</v>
      </c>
      <c r="B3592" s="5" t="s">
        <v>34</v>
      </c>
      <c r="D3592" s="5" t="s">
        <v>4775</v>
      </c>
      <c r="E3592" s="5" t="s">
        <v>24550</v>
      </c>
      <c r="F3592" s="5" t="s">
        <v>37</v>
      </c>
      <c r="G3592" s="5" t="s">
        <v>24551</v>
      </c>
      <c r="H3592" s="6" t="s">
        <v>24552</v>
      </c>
      <c r="K3592" s="5" t="s">
        <v>24541</v>
      </c>
      <c r="M3592" s="5" t="s">
        <v>24553</v>
      </c>
      <c r="N3592" s="7" t="s">
        <v>24554</v>
      </c>
      <c r="O3592" s="8" t="str">
        <f>HYPERLINK("https://drive.google.com/file/d/14TaOPg-0aTI1ChRPBBABoLDerf7efX0_/view?usp=drivesdk","3591_MUHAMMAD HARI _ SERTIFIKAT BerAKHLAK")</f>
        <v>3591_MUHAMMAD HARI _ SERTIFIKAT BerAKHLAK</v>
      </c>
      <c r="P3592" s="5" t="s">
        <v>24544</v>
      </c>
    </row>
    <row r="3593">
      <c r="A3593" s="4">
        <v>45534.34618635417</v>
      </c>
      <c r="B3593" s="5" t="s">
        <v>34</v>
      </c>
      <c r="D3593" s="5" t="s">
        <v>12978</v>
      </c>
      <c r="E3593" s="5" t="s">
        <v>24555</v>
      </c>
      <c r="F3593" s="5" t="s">
        <v>375</v>
      </c>
      <c r="G3593" s="5" t="s">
        <v>24556</v>
      </c>
      <c r="H3593" s="6" t="s">
        <v>24557</v>
      </c>
      <c r="K3593" s="5" t="s">
        <v>24541</v>
      </c>
      <c r="M3593" s="5" t="s">
        <v>24558</v>
      </c>
      <c r="N3593" s="7" t="s">
        <v>24559</v>
      </c>
      <c r="O3593" s="8" t="str">
        <f>HYPERLINK("https://drive.google.com/file/d/16CP9BoY6-9loXSqbEJfo3eLNfZo6VsJz/view?usp=drivesdk","3592_ELLIYA EFFENDI SP MM  _ SERTIFIKAT BerAKHLAK")</f>
        <v>3592_ELLIYA EFFENDI SP MM  _ SERTIFIKAT BerAKHLAK</v>
      </c>
      <c r="P3593" s="5" t="s">
        <v>24544</v>
      </c>
    </row>
    <row r="3594">
      <c r="A3594" s="4">
        <v>45534.34619758102</v>
      </c>
      <c r="B3594" s="5" t="s">
        <v>34</v>
      </c>
      <c r="D3594" s="5" t="s">
        <v>1206</v>
      </c>
      <c r="E3594" s="5" t="s">
        <v>24560</v>
      </c>
      <c r="F3594" s="5" t="s">
        <v>37</v>
      </c>
      <c r="G3594" s="5" t="s">
        <v>24561</v>
      </c>
      <c r="H3594" s="6" t="s">
        <v>24562</v>
      </c>
      <c r="K3594" s="5" t="s">
        <v>24541</v>
      </c>
      <c r="M3594" s="5" t="s">
        <v>24563</v>
      </c>
      <c r="N3594" s="7" t="s">
        <v>24564</v>
      </c>
      <c r="O3594" s="8" t="str">
        <f>HYPERLINK("https://drive.google.com/file/d/1sw4M1fvIt2LcvugFTn4iBDaAdNsQYJ7q/view?usp=drivesdk","3593_SIGIT PRAMONO _ SERTIFIKAT BerAKHLAK")</f>
        <v>3593_SIGIT PRAMONO _ SERTIFIKAT BerAKHLAK</v>
      </c>
      <c r="P3594" s="5" t="s">
        <v>24565</v>
      </c>
    </row>
    <row r="3595">
      <c r="A3595" s="4">
        <v>45534.34619969907</v>
      </c>
      <c r="B3595" s="5" t="s">
        <v>34</v>
      </c>
      <c r="D3595" s="5" t="s">
        <v>1206</v>
      </c>
      <c r="E3595" s="5" t="s">
        <v>24566</v>
      </c>
      <c r="F3595" s="5" t="s">
        <v>108</v>
      </c>
      <c r="G3595" s="5" t="s">
        <v>24567</v>
      </c>
      <c r="H3595" s="6" t="s">
        <v>24568</v>
      </c>
      <c r="K3595" s="5" t="s">
        <v>24541</v>
      </c>
      <c r="M3595" s="5" t="s">
        <v>24569</v>
      </c>
      <c r="N3595" s="7" t="s">
        <v>24570</v>
      </c>
      <c r="O3595" s="8" t="str">
        <f>HYPERLINK("https://drive.google.com/file/d/1gpnff5xSa59brEdITXKSfeS3Fe4e4R2g/view?usp=drivesdk","3594_VALORENA RENATE TENTUA, S.E. _ SERTIFIKAT BerAKHLAK")</f>
        <v>3594_VALORENA RENATE TENTUA, S.E. _ SERTIFIKAT BerAKHLAK</v>
      </c>
      <c r="P3595" s="5" t="s">
        <v>24565</v>
      </c>
    </row>
    <row r="3596">
      <c r="A3596" s="4">
        <v>45534.346230509254</v>
      </c>
      <c r="B3596" s="5" t="s">
        <v>34</v>
      </c>
      <c r="D3596" s="5" t="s">
        <v>267</v>
      </c>
      <c r="E3596" s="5" t="s">
        <v>24571</v>
      </c>
      <c r="F3596" s="5" t="s">
        <v>72</v>
      </c>
      <c r="G3596" s="5" t="s">
        <v>24572</v>
      </c>
      <c r="H3596" s="6" t="s">
        <v>24573</v>
      </c>
      <c r="K3596" s="5" t="s">
        <v>24574</v>
      </c>
      <c r="M3596" s="5" t="s">
        <v>24575</v>
      </c>
      <c r="N3596" s="7" t="s">
        <v>24576</v>
      </c>
      <c r="O3596" s="8" t="str">
        <f>HYPERLINK("https://drive.google.com/file/d/1RB3UAOFY3NM_JobeCJNNQ1r3lZl-OvQ4/view?usp=drivesdk","3595_NIA MEITYA WATI, S.Pd _ SERTIFIKAT BerAKHLAK")</f>
        <v>3595_NIA MEITYA WATI, S.Pd _ SERTIFIKAT BerAKHLAK</v>
      </c>
      <c r="P3596" s="5" t="s">
        <v>24565</v>
      </c>
    </row>
    <row r="3597">
      <c r="A3597" s="4">
        <v>45534.346248125</v>
      </c>
      <c r="B3597" s="5" t="s">
        <v>34</v>
      </c>
      <c r="D3597" s="5" t="s">
        <v>701</v>
      </c>
      <c r="E3597" s="5" t="s">
        <v>24577</v>
      </c>
      <c r="F3597" s="5" t="s">
        <v>37</v>
      </c>
      <c r="G3597" s="5" t="s">
        <v>24578</v>
      </c>
      <c r="H3597" s="6" t="s">
        <v>24579</v>
      </c>
      <c r="K3597" s="5" t="s">
        <v>24574</v>
      </c>
      <c r="M3597" s="5" t="s">
        <v>24580</v>
      </c>
      <c r="N3597" s="7" t="s">
        <v>24581</v>
      </c>
      <c r="O3597" s="8" t="str">
        <f>HYPERLINK("https://drive.google.com/file/d/1NxxVTlPmajLzNbzjd1er1ak-PovRQOki/view?usp=drivesdk","3596_SRI YANTI WULANDARI _ SERTIFIKAT BerAKHLAK")</f>
        <v>3596_SRI YANTI WULANDARI _ SERTIFIKAT BerAKHLAK</v>
      </c>
      <c r="P3597" s="5" t="s">
        <v>24565</v>
      </c>
    </row>
    <row r="3598">
      <c r="A3598" s="4">
        <v>45534.34626752315</v>
      </c>
      <c r="B3598" s="5" t="s">
        <v>34</v>
      </c>
      <c r="D3598" s="5" t="s">
        <v>1206</v>
      </c>
      <c r="E3598" s="5" t="s">
        <v>24582</v>
      </c>
      <c r="F3598" s="5" t="s">
        <v>37</v>
      </c>
      <c r="G3598" s="5" t="s">
        <v>24583</v>
      </c>
      <c r="H3598" s="6" t="s">
        <v>24584</v>
      </c>
      <c r="K3598" s="5" t="s">
        <v>24574</v>
      </c>
      <c r="M3598" s="5" t="s">
        <v>24585</v>
      </c>
      <c r="N3598" s="7" t="s">
        <v>24586</v>
      </c>
      <c r="O3598" s="8" t="str">
        <f>HYPERLINK("https://drive.google.com/file/d/1HIaPCa8new857_Sx9zZUydL_DyClHNm0/view?usp=drivesdk","3597_FATKUR RAHMAN _ SERTIFIKAT BerAKHLAK")</f>
        <v>3597_FATKUR RAHMAN _ SERTIFIKAT BerAKHLAK</v>
      </c>
      <c r="P3598" s="5" t="s">
        <v>24587</v>
      </c>
    </row>
    <row r="3599">
      <c r="A3599" s="4">
        <v>45534.34628005787</v>
      </c>
      <c r="B3599" s="5" t="s">
        <v>34</v>
      </c>
      <c r="D3599" s="5" t="s">
        <v>996</v>
      </c>
      <c r="E3599" s="5" t="s">
        <v>24588</v>
      </c>
      <c r="F3599" s="5" t="s">
        <v>212</v>
      </c>
      <c r="G3599" s="5" t="s">
        <v>24589</v>
      </c>
      <c r="H3599" s="6" t="s">
        <v>24590</v>
      </c>
      <c r="I3599" s="7" t="s">
        <v>24591</v>
      </c>
      <c r="J3599" s="8" t="str">
        <f>HYPERLINK("https://drive.google.com/file/d/1BuMHPdLIX-cEYMGvyKOY-l64ikPG56rq/view?usp=drivesdk","SUMARLIK SERTIFIKAT BerAKHLAK")</f>
        <v>SUMARLIK SERTIFIKAT BerAKHLAK</v>
      </c>
      <c r="K3599" s="5" t="s">
        <v>23422</v>
      </c>
      <c r="L3599" s="5" t="s">
        <v>24592</v>
      </c>
      <c r="M3599" s="5" t="s">
        <v>24593</v>
      </c>
      <c r="N3599" s="7" t="s">
        <v>24594</v>
      </c>
      <c r="O3599" s="8" t="str">
        <f>HYPERLINK("https://drive.google.com/file/d/1gEzr8RHJxiI0agRxk_ZJq-1Wai9KjTb8/view?usp=drivesdk","3598_SUMARLIK _ SERTIFIKAT BerAKHLAK")</f>
        <v>3598_SUMARLIK _ SERTIFIKAT BerAKHLAK</v>
      </c>
      <c r="P3599" s="5" t="s">
        <v>24587</v>
      </c>
    </row>
    <row r="3600">
      <c r="A3600" s="4">
        <v>45534.346285127314</v>
      </c>
      <c r="B3600" s="5" t="s">
        <v>34</v>
      </c>
      <c r="D3600" s="5" t="s">
        <v>35</v>
      </c>
      <c r="E3600" s="5" t="s">
        <v>24595</v>
      </c>
      <c r="F3600" s="5" t="s">
        <v>212</v>
      </c>
      <c r="G3600" s="5" t="s">
        <v>24596</v>
      </c>
      <c r="H3600" s="6" t="s">
        <v>24597</v>
      </c>
      <c r="I3600" s="7" t="s">
        <v>24598</v>
      </c>
      <c r="J3600" s="8" t="str">
        <f>HYPERLINK("https://drive.google.com/file/d/1qlZ77zLfYV08d5ATgoETBQtKV-czrFeE/view?usp=drivesdk","DEWI SUSILOWATI SERTIFIKAT BerAKHLAK")</f>
        <v>DEWI SUSILOWATI SERTIFIKAT BerAKHLAK</v>
      </c>
      <c r="K3600" s="5" t="s">
        <v>24057</v>
      </c>
      <c r="L3600" s="5" t="s">
        <v>24599</v>
      </c>
      <c r="M3600" s="5" t="s">
        <v>24600</v>
      </c>
      <c r="N3600" s="7" t="s">
        <v>24601</v>
      </c>
      <c r="O3600" s="8" t="str">
        <f>HYPERLINK("https://drive.google.com/file/d/1TWXXk524ZgBIiXegMITV2d5xXu1sVCEN/view?usp=drivesdk","3599_DEWI SUSILOWATI _ SERTIFIKAT BerAKHLAK")</f>
        <v>3599_DEWI SUSILOWATI _ SERTIFIKAT BerAKHLAK</v>
      </c>
      <c r="P3600" s="5" t="s">
        <v>24587</v>
      </c>
    </row>
    <row r="3601">
      <c r="A3601" s="4">
        <v>45534.346287465276</v>
      </c>
      <c r="B3601" s="5" t="s">
        <v>34</v>
      </c>
      <c r="D3601" s="5" t="s">
        <v>1206</v>
      </c>
      <c r="E3601" s="5" t="s">
        <v>24602</v>
      </c>
      <c r="F3601" s="5" t="s">
        <v>108</v>
      </c>
      <c r="G3601" s="5" t="s">
        <v>24603</v>
      </c>
      <c r="H3601" s="6" t="s">
        <v>24604</v>
      </c>
      <c r="I3601" s="7" t="s">
        <v>24605</v>
      </c>
      <c r="J3601" s="8" t="str">
        <f>HYPERLINK("https://drive.google.com/file/d/1SEbQC66mTHK45A7FWju3UPaj7sWyUIxF/view?usp=drivesdk","ANDRI DIANASARI, S.Kep.Ners SERTIFIKAT BerAKHLAK")</f>
        <v>ANDRI DIANASARI, S.Kep.Ners SERTIFIKAT BerAKHLAK</v>
      </c>
      <c r="K3601" s="5" t="s">
        <v>24057</v>
      </c>
      <c r="L3601" s="5" t="s">
        <v>24606</v>
      </c>
      <c r="M3601" s="5" t="s">
        <v>24607</v>
      </c>
      <c r="N3601" s="7" t="s">
        <v>24608</v>
      </c>
      <c r="O3601" s="8" t="str">
        <f>HYPERLINK("https://drive.google.com/file/d/1IvKGTlNqiN9phitoyKGP60ESuRi0FN7o/view?usp=drivesdk","3600_ANDRI DIANASARI, S.Kep.Ners _ SERTIFIKAT BerAKHLAK")</f>
        <v>3600_ANDRI DIANASARI, S.Kep.Ners _ SERTIFIKAT BerAKHLAK</v>
      </c>
      <c r="P3601" s="5" t="s">
        <v>24587</v>
      </c>
    </row>
    <row r="3602">
      <c r="A3602" s="4">
        <v>45534.34630430555</v>
      </c>
      <c r="B3602" s="5" t="s">
        <v>34</v>
      </c>
      <c r="D3602" s="5" t="s">
        <v>35</v>
      </c>
      <c r="E3602" s="5" t="s">
        <v>24609</v>
      </c>
      <c r="F3602" s="5" t="s">
        <v>37</v>
      </c>
      <c r="G3602" s="5" t="s">
        <v>24610</v>
      </c>
      <c r="H3602" s="6" t="s">
        <v>24611</v>
      </c>
      <c r="I3602" s="7" t="s">
        <v>24612</v>
      </c>
      <c r="J3602" s="8" t="str">
        <f>HYPERLINK("https://drive.google.com/file/d/1DAlmLMWGqjtfuO8oRi-6SGev1t7EX6Do/view?usp=drivesdk","SOFYAN HARIS SERTIFIKAT BerAKHLAK")</f>
        <v>SOFYAN HARIS SERTIFIKAT BerAKHLAK</v>
      </c>
      <c r="K3602" s="5" t="s">
        <v>24057</v>
      </c>
      <c r="L3602" s="5" t="s">
        <v>24613</v>
      </c>
      <c r="M3602" s="5" t="s">
        <v>24614</v>
      </c>
      <c r="N3602" s="7" t="s">
        <v>24615</v>
      </c>
      <c r="O3602" s="8" t="str">
        <f>HYPERLINK("https://drive.google.com/file/d/19ErZbU05Ypb1qcaxwN7MBa2miegjFJZM/view?usp=drivesdk","3601_SOFYAN HARIS _ SERTIFIKAT BerAKHLAK")</f>
        <v>3601_SOFYAN HARIS _ SERTIFIKAT BerAKHLAK</v>
      </c>
      <c r="P3602" s="5" t="s">
        <v>24616</v>
      </c>
    </row>
    <row r="3603">
      <c r="A3603" s="4">
        <v>45534.34630903935</v>
      </c>
      <c r="B3603" s="5" t="s">
        <v>34</v>
      </c>
      <c r="D3603" s="5" t="s">
        <v>1558</v>
      </c>
      <c r="E3603" s="5" t="s">
        <v>24617</v>
      </c>
      <c r="F3603" s="5" t="s">
        <v>375</v>
      </c>
      <c r="G3603" s="5" t="s">
        <v>24618</v>
      </c>
      <c r="H3603" s="6" t="s">
        <v>24619</v>
      </c>
      <c r="I3603" s="7" t="s">
        <v>24620</v>
      </c>
      <c r="J3603" s="8" t="str">
        <f>HYPERLINK("https://drive.google.com/file/d/1VNIrvR5lOVhIT4EjgJFOalhN61DGnGlF/view?usp=drivesdk","WORONINGROEM FATMASARI, S.Psi SERTIFIKAT BerAKHLAK")</f>
        <v>WORONINGROEM FATMASARI, S.Psi SERTIFIKAT BerAKHLAK</v>
      </c>
      <c r="K3603" s="5" t="s">
        <v>24057</v>
      </c>
      <c r="L3603" s="5" t="s">
        <v>24621</v>
      </c>
      <c r="M3603" s="5" t="s">
        <v>24622</v>
      </c>
      <c r="N3603" s="7" t="s">
        <v>24623</v>
      </c>
      <c r="O3603" s="8" t="str">
        <f>HYPERLINK("https://drive.google.com/file/d/1KpqNmpWwZM4A_UmxwJm235zgamR6YCIu/view?usp=drivesdk","3602_WORONINGROEM FATMASARI, S.Psi _ SERTIFIKAT BerAKHLAK")</f>
        <v>3602_WORONINGROEM FATMASARI, S.Psi _ SERTIFIKAT BerAKHLAK</v>
      </c>
      <c r="P3603" s="5" t="s">
        <v>24616</v>
      </c>
    </row>
    <row r="3604">
      <c r="A3604" s="4">
        <v>45534.3463093287</v>
      </c>
      <c r="B3604" s="5" t="s">
        <v>34</v>
      </c>
      <c r="D3604" s="5" t="s">
        <v>9020</v>
      </c>
      <c r="E3604" s="5" t="s">
        <v>24624</v>
      </c>
      <c r="F3604" s="5" t="s">
        <v>37</v>
      </c>
      <c r="G3604" s="5" t="s">
        <v>24625</v>
      </c>
      <c r="H3604" s="6" t="s">
        <v>24626</v>
      </c>
      <c r="K3604" s="5" t="s">
        <v>24627</v>
      </c>
      <c r="M3604" s="5" t="s">
        <v>24628</v>
      </c>
      <c r="N3604" s="7" t="s">
        <v>24629</v>
      </c>
      <c r="O3604" s="8" t="str">
        <f>HYPERLINK("https://drive.google.com/file/d/1lhsIBIiw3i357j0Wn2KRVfZPPzV6ApRX/view?usp=drivesdk","3603_SUGIONO _ SERTIFIKAT BerAKHLAK")</f>
        <v>3603_SUGIONO _ SERTIFIKAT BerAKHLAK</v>
      </c>
      <c r="P3604" s="5" t="s">
        <v>24616</v>
      </c>
    </row>
    <row r="3605">
      <c r="A3605" s="4">
        <v>45534.34631317129</v>
      </c>
      <c r="B3605" s="5" t="s">
        <v>34</v>
      </c>
      <c r="D3605" s="5" t="s">
        <v>1206</v>
      </c>
      <c r="E3605" s="5" t="s">
        <v>24630</v>
      </c>
      <c r="F3605" s="5" t="s">
        <v>212</v>
      </c>
      <c r="G3605" s="5" t="s">
        <v>24631</v>
      </c>
      <c r="H3605" s="6" t="s">
        <v>24632</v>
      </c>
      <c r="K3605" s="5" t="s">
        <v>24627</v>
      </c>
      <c r="M3605" s="5" t="s">
        <v>24633</v>
      </c>
      <c r="N3605" s="7" t="s">
        <v>24634</v>
      </c>
      <c r="O3605" s="8" t="str">
        <f>HYPERLINK("https://drive.google.com/file/d/1gkrAejSJToO4zrRthnMOelOFk-InIyZq/view?usp=drivesdk","3604_SUDARYANTO _ SERTIFIKAT BerAKHLAK")</f>
        <v>3604_SUDARYANTO _ SERTIFIKAT BerAKHLAK</v>
      </c>
      <c r="P3605" s="5" t="s">
        <v>24616</v>
      </c>
    </row>
    <row r="3606">
      <c r="A3606" s="4">
        <v>45534.34631504629</v>
      </c>
      <c r="B3606" s="5" t="s">
        <v>34</v>
      </c>
      <c r="D3606" s="5" t="s">
        <v>1206</v>
      </c>
      <c r="E3606" s="5" t="s">
        <v>19744</v>
      </c>
      <c r="F3606" s="5" t="s">
        <v>37</v>
      </c>
      <c r="G3606" s="5" t="s">
        <v>24635</v>
      </c>
      <c r="H3606" s="6" t="s">
        <v>24636</v>
      </c>
      <c r="K3606" s="5" t="s">
        <v>24627</v>
      </c>
      <c r="M3606" s="5" t="s">
        <v>24637</v>
      </c>
      <c r="N3606" s="7" t="s">
        <v>24638</v>
      </c>
      <c r="O3606" s="8" t="str">
        <f>HYPERLINK("https://drive.google.com/file/d/1MViE08o-oyMG9tS40KZwWUXNGYV0KCaR/view?usp=drivesdk","3605_SISWANTO _ SERTIFIKAT BerAKHLAK")</f>
        <v>3605_SISWANTO _ SERTIFIKAT BerAKHLAK</v>
      </c>
      <c r="P3606" s="5" t="s">
        <v>24616</v>
      </c>
    </row>
    <row r="3607">
      <c r="A3607" s="4">
        <v>45534.346334201386</v>
      </c>
      <c r="B3607" s="5" t="s">
        <v>34</v>
      </c>
      <c r="D3607" s="5" t="s">
        <v>9394</v>
      </c>
      <c r="E3607" s="5" t="s">
        <v>24639</v>
      </c>
      <c r="F3607" s="5" t="s">
        <v>37</v>
      </c>
      <c r="G3607" s="5" t="s">
        <v>24640</v>
      </c>
      <c r="H3607" s="6" t="s">
        <v>24641</v>
      </c>
      <c r="K3607" s="5" t="s">
        <v>24627</v>
      </c>
      <c r="M3607" s="5" t="s">
        <v>24642</v>
      </c>
      <c r="N3607" s="7" t="s">
        <v>24643</v>
      </c>
      <c r="O3607" s="8" t="str">
        <f>HYPERLINK("https://drive.google.com/file/d/1hOnzkBpwoBGohIFWAcueBRxTq4jdp6k3/view?usp=drivesdk","3606_HASAN JUNAIDI  _ SERTIFIKAT BerAKHLAK")</f>
        <v>3606_HASAN JUNAIDI  _ SERTIFIKAT BerAKHLAK</v>
      </c>
      <c r="P3607" s="5" t="s">
        <v>24644</v>
      </c>
    </row>
    <row r="3608">
      <c r="A3608" s="4">
        <v>45534.34635212963</v>
      </c>
      <c r="B3608" s="5" t="s">
        <v>34</v>
      </c>
      <c r="D3608" s="5" t="s">
        <v>1768</v>
      </c>
      <c r="E3608" s="5" t="s">
        <v>24645</v>
      </c>
      <c r="F3608" s="5" t="s">
        <v>37</v>
      </c>
      <c r="G3608" s="5" t="s">
        <v>24646</v>
      </c>
      <c r="H3608" s="6" t="s">
        <v>24647</v>
      </c>
      <c r="I3608" s="7" t="s">
        <v>24648</v>
      </c>
      <c r="J3608" s="8" t="str">
        <f>HYPERLINK("https://drive.google.com/file/d/1dtILI4zsMjhJ9XClfQGMBHNGJI2a8bmY/view?usp=drivesdk","MAHMUDAH  SERTIFIKAT BerAKHLAK")</f>
        <v>MAHMUDAH  SERTIFIKAT BerAKHLAK</v>
      </c>
      <c r="K3608" s="5" t="s">
        <v>24057</v>
      </c>
      <c r="L3608" s="5" t="s">
        <v>24649</v>
      </c>
      <c r="M3608" s="5" t="s">
        <v>24650</v>
      </c>
      <c r="N3608" s="7" t="s">
        <v>24651</v>
      </c>
      <c r="O3608" s="8" t="str">
        <f>HYPERLINK("https://drive.google.com/file/d/1PyZQ7jg70j14EXCV3uSQ0dkncCLmxtUc/view?usp=drivesdk","3607_MAHMUDAH  _ SERTIFIKAT BerAKHLAK")</f>
        <v>3607_MAHMUDAH  _ SERTIFIKAT BerAKHLAK</v>
      </c>
      <c r="P3608" s="5" t="s">
        <v>24644</v>
      </c>
    </row>
    <row r="3609">
      <c r="A3609" s="4">
        <v>45534.346360868054</v>
      </c>
      <c r="B3609" s="5" t="s">
        <v>34</v>
      </c>
      <c r="D3609" s="5" t="s">
        <v>7858</v>
      </c>
      <c r="E3609" s="5" t="s">
        <v>24652</v>
      </c>
      <c r="F3609" s="5" t="s">
        <v>22</v>
      </c>
      <c r="G3609" s="5" t="s">
        <v>24653</v>
      </c>
      <c r="H3609" s="6" t="s">
        <v>24654</v>
      </c>
      <c r="I3609" s="7" t="s">
        <v>24655</v>
      </c>
      <c r="J3609" s="8" t="str">
        <f>HYPERLINK("https://drive.google.com/file/d/1BReSeNtiC7UM3yK58Tf4wKECzLZCJbzP/view?usp=drivesdk","dr. Donald Rinaldi Kusumaningrat, Sp.FM, MHKes SERTIFIKAT BerAKHLAK")</f>
        <v>dr. Donald Rinaldi Kusumaningrat, Sp.FM, MHKes SERTIFIKAT BerAKHLAK</v>
      </c>
      <c r="K3609" s="5" t="s">
        <v>24057</v>
      </c>
      <c r="L3609" s="5" t="s">
        <v>24656</v>
      </c>
      <c r="M3609" s="5" t="s">
        <v>24657</v>
      </c>
      <c r="N3609" s="7" t="s">
        <v>24658</v>
      </c>
      <c r="O3609" s="8" t="str">
        <f>HYPERLINK("https://drive.google.com/file/d/1tq8_4bZZ-evfo_eKVgLt4CcDuozllhGB/view?usp=drivesdk","3608_dr. Donald Rinaldi Kusumaningrat, Sp.FM, MHKes _ SERTIFIKAT BerAKHLAK")</f>
        <v>3608_dr. Donald Rinaldi Kusumaningrat, Sp.FM, MHKes _ SERTIFIKAT BerAKHLAK</v>
      </c>
      <c r="P3609" s="5" t="s">
        <v>24644</v>
      </c>
    </row>
    <row r="3610">
      <c r="A3610" s="4">
        <v>45534.3463624537</v>
      </c>
      <c r="B3610" s="5" t="s">
        <v>34</v>
      </c>
      <c r="D3610" s="5" t="s">
        <v>10444</v>
      </c>
      <c r="E3610" s="5" t="s">
        <v>24659</v>
      </c>
      <c r="F3610" s="5" t="s">
        <v>375</v>
      </c>
      <c r="G3610" s="5" t="s">
        <v>24660</v>
      </c>
      <c r="H3610" s="6" t="s">
        <v>24661</v>
      </c>
      <c r="I3610" s="7" t="s">
        <v>24662</v>
      </c>
      <c r="J3610" s="8" t="str">
        <f>HYPERLINK("https://drive.google.com/file/d/1fSZxZ0MNvsKJunKUC36Leyt8ZrCSyNs6/view?usp=drivesdk","SUGIJANTO SERTIFIKAT BerAKHLAK")</f>
        <v>SUGIJANTO SERTIFIKAT BerAKHLAK</v>
      </c>
      <c r="K3610" s="5" t="s">
        <v>24057</v>
      </c>
      <c r="L3610" s="5" t="s">
        <v>24663</v>
      </c>
      <c r="M3610" s="5" t="s">
        <v>24664</v>
      </c>
      <c r="N3610" s="7" t="s">
        <v>24665</v>
      </c>
      <c r="O3610" s="8" t="str">
        <f>HYPERLINK("https://drive.google.com/file/d/1bdPnByJrTNgXvdneREX8M2G0s62_jqy_/view?usp=drivesdk","3609_SUGIJANTO _ SERTIFIKAT BerAKHLAK")</f>
        <v>3609_SUGIJANTO _ SERTIFIKAT BerAKHLAK</v>
      </c>
      <c r="P3610" s="5" t="s">
        <v>24644</v>
      </c>
    </row>
    <row r="3611" hidden="1">
      <c r="A3611" s="4">
        <v>45534.346366134254</v>
      </c>
      <c r="B3611" s="5" t="s">
        <v>19</v>
      </c>
      <c r="C3611" s="5" t="s">
        <v>11593</v>
      </c>
      <c r="E3611" s="5" t="s">
        <v>24666</v>
      </c>
      <c r="F3611" s="5" t="s">
        <v>120</v>
      </c>
      <c r="G3611" s="5" t="s">
        <v>24667</v>
      </c>
      <c r="H3611" s="6" t="s">
        <v>24668</v>
      </c>
      <c r="K3611" s="5" t="s">
        <v>24669</v>
      </c>
      <c r="M3611" s="5" t="s">
        <v>24670</v>
      </c>
      <c r="N3611" s="7" t="s">
        <v>24671</v>
      </c>
      <c r="O3611" s="8" t="str">
        <f>HYPERLINK("https://drive.google.com/file/d/1UpHY5lTeg5xlz0Db8czAat-_sfLTN05T/view?usp=drivesdk","3610_Drg. Mira Andriani Anas, Sp Pros  _ SERTIFIKAT BerAKHLAK")</f>
        <v>3610_Drg. Mira Andriani Anas, Sp Pros  _ SERTIFIKAT BerAKHLAK</v>
      </c>
      <c r="P3611" s="5" t="s">
        <v>24672</v>
      </c>
    </row>
    <row r="3612">
      <c r="A3612" s="4">
        <v>45534.34637912037</v>
      </c>
      <c r="B3612" s="5" t="s">
        <v>34</v>
      </c>
      <c r="D3612" s="5" t="s">
        <v>1558</v>
      </c>
      <c r="E3612" s="5" t="s">
        <v>24673</v>
      </c>
      <c r="F3612" s="5" t="s">
        <v>108</v>
      </c>
      <c r="G3612" s="5" t="s">
        <v>24674</v>
      </c>
      <c r="H3612" s="6" t="s">
        <v>24675</v>
      </c>
      <c r="K3612" s="5" t="s">
        <v>24669</v>
      </c>
      <c r="M3612" s="5" t="s">
        <v>24676</v>
      </c>
      <c r="N3612" s="7" t="s">
        <v>24677</v>
      </c>
      <c r="O3612" s="8" t="str">
        <f>HYPERLINK("https://drive.google.com/file/d/1yN1PzwhJ9WlwYPCGnikzHWO7IqxCXIQ1/view?usp=drivesdk","3611_RIASARI SUPRIHATI, A.Md. _ SERTIFIKAT BerAKHLAK")</f>
        <v>3611_RIASARI SUPRIHATI, A.Md. _ SERTIFIKAT BerAKHLAK</v>
      </c>
      <c r="P3612" s="5" t="s">
        <v>24672</v>
      </c>
    </row>
    <row r="3613">
      <c r="A3613" s="4">
        <v>45534.34638768519</v>
      </c>
      <c r="B3613" s="5" t="s">
        <v>34</v>
      </c>
      <c r="D3613" s="5" t="s">
        <v>701</v>
      </c>
      <c r="E3613" s="5" t="s">
        <v>24678</v>
      </c>
      <c r="F3613" s="5" t="s">
        <v>212</v>
      </c>
      <c r="G3613" s="5" t="s">
        <v>24679</v>
      </c>
      <c r="H3613" s="6" t="s">
        <v>24680</v>
      </c>
      <c r="I3613" s="7" t="s">
        <v>24681</v>
      </c>
      <c r="J3613" s="8" t="str">
        <f>HYPERLINK("https://drive.google.com/file/d/1KT4BK2REMtlzUedD5VwySKS2mUw0wOvy/view?usp=drivesdk","WAHIDAH BAHAR SERTIFIKAT BerAKHLAK")</f>
        <v>WAHIDAH BAHAR SERTIFIKAT BerAKHLAK</v>
      </c>
      <c r="K3613" s="5" t="s">
        <v>24057</v>
      </c>
      <c r="L3613" s="5" t="s">
        <v>24682</v>
      </c>
      <c r="M3613" s="5" t="s">
        <v>24683</v>
      </c>
      <c r="N3613" s="7" t="s">
        <v>24684</v>
      </c>
      <c r="O3613" s="8" t="str">
        <f>HYPERLINK("https://drive.google.com/file/d/1t_ot2IVGD_Dmkhn6W1tzsQpI5lLH9uvG/view?usp=drivesdk","3612_WAHIDAH BAHAR _ SERTIFIKAT BerAKHLAK")</f>
        <v>3612_WAHIDAH BAHAR _ SERTIFIKAT BerAKHLAK</v>
      </c>
      <c r="P3613" s="5" t="s">
        <v>24672</v>
      </c>
    </row>
    <row r="3614">
      <c r="A3614" s="4">
        <v>45534.34638890046</v>
      </c>
      <c r="B3614" s="5" t="s">
        <v>34</v>
      </c>
      <c r="D3614" s="5" t="s">
        <v>4775</v>
      </c>
      <c r="E3614" s="5" t="s">
        <v>24685</v>
      </c>
      <c r="F3614" s="5" t="s">
        <v>715</v>
      </c>
      <c r="G3614" s="5" t="s">
        <v>24686</v>
      </c>
      <c r="H3614" s="6" t="s">
        <v>24687</v>
      </c>
      <c r="I3614" s="7" t="s">
        <v>24688</v>
      </c>
      <c r="J3614" s="8" t="str">
        <f>HYPERLINK("https://drive.google.com/file/d/1fBU9rFR0G18gi0d5WPST36umrSQEy2Pp/view?usp=drivesdk","SAFA'ATUL MUJAHIDILAH SERTIFIKAT BerAKHLAK")</f>
        <v>SAFA'ATUL MUJAHIDILAH SERTIFIKAT BerAKHLAK</v>
      </c>
      <c r="K3614" s="5" t="s">
        <v>24057</v>
      </c>
      <c r="L3614" s="5" t="s">
        <v>24689</v>
      </c>
      <c r="M3614" s="5" t="s">
        <v>24690</v>
      </c>
      <c r="N3614" s="7" t="s">
        <v>24691</v>
      </c>
      <c r="O3614" s="8" t="str">
        <f>HYPERLINK("https://drive.google.com/file/d/1NR_-irk3tTLbDi5vcDPqGl2xPnVWzhWq/view?usp=drivesdk","3613_SAFA'ATUL MUJAHIDILAH _ SERTIFIKAT BerAKHLAK")</f>
        <v>3613_SAFA'ATUL MUJAHIDILAH _ SERTIFIKAT BerAKHLAK</v>
      </c>
      <c r="P3614" s="5" t="s">
        <v>24672</v>
      </c>
    </row>
    <row r="3615">
      <c r="A3615" s="4">
        <v>45534.346393263884</v>
      </c>
      <c r="B3615" s="5" t="s">
        <v>34</v>
      </c>
      <c r="D3615" s="5" t="s">
        <v>1206</v>
      </c>
      <c r="E3615" s="5" t="s">
        <v>24692</v>
      </c>
      <c r="F3615" s="5" t="s">
        <v>72</v>
      </c>
      <c r="G3615" s="5" t="s">
        <v>24693</v>
      </c>
      <c r="H3615" s="6" t="s">
        <v>24694</v>
      </c>
      <c r="K3615" s="5" t="s">
        <v>24695</v>
      </c>
      <c r="M3615" s="5" t="s">
        <v>24696</v>
      </c>
      <c r="N3615" s="7" t="s">
        <v>24697</v>
      </c>
      <c r="O3615" s="8" t="str">
        <f>HYPERLINK("https://drive.google.com/file/d/1jhlF_RQy0K1Z2gDmGyL-8Pk9GVstAce-/view?usp=drivesdk","3614_SUHARWANTO _ SERTIFIKAT BerAKHLAK")</f>
        <v>3614_SUHARWANTO _ SERTIFIKAT BerAKHLAK</v>
      </c>
      <c r="P3615" s="5" t="s">
        <v>24698</v>
      </c>
    </row>
    <row r="3616">
      <c r="A3616" s="4">
        <v>45534.346401215276</v>
      </c>
      <c r="B3616" s="5" t="s">
        <v>34</v>
      </c>
      <c r="D3616" s="5" t="s">
        <v>4775</v>
      </c>
      <c r="E3616" s="5" t="s">
        <v>24699</v>
      </c>
      <c r="F3616" s="5" t="s">
        <v>212</v>
      </c>
      <c r="G3616" s="5" t="s">
        <v>24700</v>
      </c>
      <c r="H3616" s="6" t="s">
        <v>24701</v>
      </c>
      <c r="I3616" s="7" t="s">
        <v>24702</v>
      </c>
      <c r="J3616" s="8" t="str">
        <f>HYPERLINK("https://drive.google.com/file/d/1NJT7PD6A4A878qedJ8V2wvGqcUMappZn/view?usp=drivesdk","DJATMIKO SERTIFIKAT BerAKHLAK")</f>
        <v>DJATMIKO SERTIFIKAT BerAKHLAK</v>
      </c>
      <c r="K3616" s="5" t="s">
        <v>24057</v>
      </c>
      <c r="L3616" s="5" t="s">
        <v>24703</v>
      </c>
      <c r="M3616" s="5" t="s">
        <v>24704</v>
      </c>
      <c r="N3616" s="7" t="s">
        <v>24705</v>
      </c>
      <c r="O3616" s="8" t="str">
        <f>HYPERLINK("https://drive.google.com/file/d/1S7EWEHDO3l7rfy5wAsFhUkTZPNk3kdfX/view?usp=drivesdk","3615_DJATMIKO _ SERTIFIKAT BerAKHLAK")</f>
        <v>3615_DJATMIKO _ SERTIFIKAT BerAKHLAK</v>
      </c>
      <c r="P3616" s="5" t="s">
        <v>24698</v>
      </c>
    </row>
    <row r="3617">
      <c r="A3617" s="4">
        <v>45534.346401828705</v>
      </c>
      <c r="B3617" s="5" t="s">
        <v>34</v>
      </c>
      <c r="D3617" s="5" t="s">
        <v>12978</v>
      </c>
      <c r="E3617" s="5" t="s">
        <v>24706</v>
      </c>
      <c r="F3617" s="5" t="s">
        <v>715</v>
      </c>
      <c r="G3617" s="5" t="s">
        <v>24707</v>
      </c>
      <c r="H3617" s="6" t="s">
        <v>24708</v>
      </c>
      <c r="K3617" s="5" t="s">
        <v>24709</v>
      </c>
      <c r="M3617" s="5" t="s">
        <v>24710</v>
      </c>
      <c r="N3617" s="7" t="s">
        <v>24711</v>
      </c>
      <c r="O3617" s="8" t="str">
        <f>HYPERLINK("https://drive.google.com/file/d/105nySd4nlV-fbKiGwGpCNFKTZDi6rucI/view?usp=drivesdk","3616_LILI YULIANTi _ SERTIFIKAT BerAKHLAK")</f>
        <v>3616_LILI YULIANTi _ SERTIFIKAT BerAKHLAK</v>
      </c>
      <c r="P3617" s="5" t="s">
        <v>24698</v>
      </c>
    </row>
    <row r="3618">
      <c r="A3618" s="4">
        <v>45534.34640520833</v>
      </c>
      <c r="B3618" s="5" t="s">
        <v>34</v>
      </c>
      <c r="D3618" s="5" t="s">
        <v>9020</v>
      </c>
      <c r="E3618" s="5" t="s">
        <v>24712</v>
      </c>
      <c r="F3618" s="5" t="s">
        <v>524</v>
      </c>
      <c r="G3618" s="5" t="s">
        <v>24713</v>
      </c>
      <c r="H3618" s="6" t="s">
        <v>24714</v>
      </c>
      <c r="K3618" s="5" t="s">
        <v>24709</v>
      </c>
      <c r="M3618" s="5" t="s">
        <v>24715</v>
      </c>
      <c r="N3618" s="7" t="s">
        <v>24716</v>
      </c>
      <c r="O3618" s="8" t="str">
        <f>HYPERLINK("https://drive.google.com/file/d/17LeJK_5BflSiUmocF5nQpy8eqaunkTgV/view?usp=drivesdk","3617_SUYANI,S.H. _ SERTIFIKAT BerAKHLAK")</f>
        <v>3617_SUYANI,S.H. _ SERTIFIKAT BerAKHLAK</v>
      </c>
      <c r="P3618" s="5" t="s">
        <v>24698</v>
      </c>
    </row>
    <row r="3619">
      <c r="A3619" s="4">
        <v>45534.34641203703</v>
      </c>
      <c r="B3619" s="5" t="s">
        <v>34</v>
      </c>
      <c r="D3619" s="5" t="s">
        <v>10444</v>
      </c>
      <c r="E3619" s="5" t="s">
        <v>24717</v>
      </c>
      <c r="F3619" s="5" t="s">
        <v>375</v>
      </c>
      <c r="G3619" s="5" t="s">
        <v>24718</v>
      </c>
      <c r="H3619" s="6" t="s">
        <v>24719</v>
      </c>
      <c r="K3619" s="5" t="s">
        <v>24709</v>
      </c>
      <c r="M3619" s="5" t="s">
        <v>24720</v>
      </c>
      <c r="N3619" s="7" t="s">
        <v>24721</v>
      </c>
      <c r="O3619" s="8" t="str">
        <f>HYPERLINK("https://drive.google.com/file/d/1yf3V4sMlimyKVyqk3CyFttYU0YEaG2Vy/view?usp=drivesdk","3618_MELY SILVANI SIREGAR _ SERTIFIKAT BerAKHLAK")</f>
        <v>3618_MELY SILVANI SIREGAR _ SERTIFIKAT BerAKHLAK</v>
      </c>
      <c r="P3619" s="5" t="s">
        <v>24698</v>
      </c>
    </row>
    <row r="3620">
      <c r="A3620" s="4">
        <v>45534.346416458335</v>
      </c>
      <c r="B3620" s="5" t="s">
        <v>34</v>
      </c>
      <c r="D3620" s="5" t="s">
        <v>280</v>
      </c>
      <c r="E3620" s="5" t="s">
        <v>24722</v>
      </c>
      <c r="F3620" s="5" t="s">
        <v>212</v>
      </c>
      <c r="G3620" s="5" t="s">
        <v>24723</v>
      </c>
      <c r="H3620" s="6" t="s">
        <v>24724</v>
      </c>
      <c r="K3620" s="5" t="s">
        <v>24709</v>
      </c>
      <c r="M3620" s="5" t="s">
        <v>24725</v>
      </c>
      <c r="N3620" s="7" t="s">
        <v>24726</v>
      </c>
      <c r="O3620" s="8" t="str">
        <f>HYPERLINK("https://drive.google.com/file/d/1z5Tak1mLfQCX8nCqAjF1VoVkHBKN2Nhg/view?usp=drivesdk","3619_RAJA ANDI KHAIRULLAH  _ SERTIFIKAT BerAKHLAK")</f>
        <v>3619_RAJA ANDI KHAIRULLAH  _ SERTIFIKAT BerAKHLAK</v>
      </c>
      <c r="P3620" s="5" t="s">
        <v>24727</v>
      </c>
    </row>
    <row r="3621">
      <c r="A3621" s="4">
        <v>45534.346419849535</v>
      </c>
      <c r="B3621" s="5" t="s">
        <v>34</v>
      </c>
      <c r="D3621" s="5" t="s">
        <v>1206</v>
      </c>
      <c r="E3621" s="5" t="s">
        <v>24728</v>
      </c>
      <c r="F3621" s="5" t="s">
        <v>375</v>
      </c>
      <c r="G3621" s="5" t="s">
        <v>24729</v>
      </c>
      <c r="H3621" s="6" t="s">
        <v>24730</v>
      </c>
      <c r="K3621" s="5" t="s">
        <v>24709</v>
      </c>
      <c r="M3621" s="5" t="s">
        <v>24731</v>
      </c>
      <c r="N3621" s="7" t="s">
        <v>24732</v>
      </c>
      <c r="O3621" s="8" t="str">
        <f>HYPERLINK("https://drive.google.com/file/d/1Xh64DDA7Ngo2ny4T78cxtlxa-hm9kYVo/view?usp=drivesdk","3620_DR.SUKAMTO IRAWAN _ SERTIFIKAT BerAKHLAK")</f>
        <v>3620_DR.SUKAMTO IRAWAN _ SERTIFIKAT BerAKHLAK</v>
      </c>
      <c r="P3621" s="5" t="s">
        <v>24727</v>
      </c>
    </row>
    <row r="3622">
      <c r="A3622" s="4">
        <v>45534.34642261574</v>
      </c>
      <c r="B3622" s="5" t="s">
        <v>34</v>
      </c>
      <c r="D3622" s="5" t="s">
        <v>1206</v>
      </c>
      <c r="E3622" s="5" t="s">
        <v>24733</v>
      </c>
      <c r="F3622" s="5" t="s">
        <v>375</v>
      </c>
      <c r="G3622" s="5" t="s">
        <v>24734</v>
      </c>
      <c r="H3622" s="6" t="s">
        <v>24735</v>
      </c>
      <c r="K3622" s="5" t="s">
        <v>24709</v>
      </c>
      <c r="M3622" s="5" t="s">
        <v>24736</v>
      </c>
      <c r="N3622" s="7" t="s">
        <v>24737</v>
      </c>
      <c r="O3622" s="8" t="str">
        <f>HYPERLINK("https://drive.google.com/file/d/1_727w4nRbgE3U4-e1VKyVuVmidrhtdgV/view?usp=drivesdk","3621_ABDUL MANAF _ SERTIFIKAT BerAKHLAK")</f>
        <v>3621_ABDUL MANAF _ SERTIFIKAT BerAKHLAK</v>
      </c>
      <c r="P3622" s="5" t="s">
        <v>24727</v>
      </c>
    </row>
    <row r="3623" hidden="1">
      <c r="A3623" s="4">
        <v>45534.34642501158</v>
      </c>
      <c r="B3623" s="5" t="s">
        <v>19</v>
      </c>
      <c r="C3623" s="5" t="s">
        <v>3301</v>
      </c>
      <c r="E3623" s="5" t="s">
        <v>24738</v>
      </c>
      <c r="F3623" s="5" t="s">
        <v>37</v>
      </c>
      <c r="G3623" s="5" t="s">
        <v>24739</v>
      </c>
      <c r="H3623" s="6" t="s">
        <v>24740</v>
      </c>
      <c r="K3623" s="5" t="s">
        <v>24709</v>
      </c>
      <c r="M3623" s="5" t="s">
        <v>24741</v>
      </c>
      <c r="N3623" s="7" t="s">
        <v>24742</v>
      </c>
      <c r="O3623" s="8" t="str">
        <f>HYPERLINK("https://drive.google.com/file/d/1VMdDiIrPUS0yhJJoa0PM0GKY4XHqard_/view?usp=drivesdk","3622_DIAH ADIANI, A.Md.Kep _ SERTIFIKAT BerAKHLAK")</f>
        <v>3622_DIAH ADIANI, A.Md.Kep _ SERTIFIKAT BerAKHLAK</v>
      </c>
      <c r="P3623" s="5" t="s">
        <v>24727</v>
      </c>
    </row>
    <row r="3624">
      <c r="A3624" s="4">
        <v>45534.3464312963</v>
      </c>
      <c r="B3624" s="5" t="s">
        <v>34</v>
      </c>
      <c r="D3624" s="5" t="s">
        <v>12978</v>
      </c>
      <c r="E3624" s="5" t="s">
        <v>24743</v>
      </c>
      <c r="F3624" s="5" t="s">
        <v>375</v>
      </c>
      <c r="G3624" s="5" t="s">
        <v>24744</v>
      </c>
      <c r="H3624" s="6" t="s">
        <v>24745</v>
      </c>
      <c r="K3624" s="5" t="s">
        <v>24709</v>
      </c>
      <c r="M3624" s="5" t="s">
        <v>24746</v>
      </c>
      <c r="N3624" s="7" t="s">
        <v>24747</v>
      </c>
      <c r="O3624" s="8" t="str">
        <f>HYPERLINK("https://drive.google.com/file/d/1X6zl4vmQzEPX_vcOmIOaARk6P1G4zvNp/view?usp=drivesdk","3623_RAHMA AGUSTINA, S.E. _ SERTIFIKAT BerAKHLAK")</f>
        <v>3623_RAHMA AGUSTINA, S.E. _ SERTIFIKAT BerAKHLAK</v>
      </c>
      <c r="P3624" s="5" t="s">
        <v>24748</v>
      </c>
    </row>
    <row r="3625">
      <c r="A3625" s="4">
        <v>45534.346437291664</v>
      </c>
      <c r="B3625" s="5" t="s">
        <v>34</v>
      </c>
      <c r="D3625" s="5" t="s">
        <v>1206</v>
      </c>
      <c r="E3625" s="5" t="s">
        <v>24749</v>
      </c>
      <c r="F3625" s="5" t="s">
        <v>328</v>
      </c>
      <c r="G3625" s="5" t="s">
        <v>24750</v>
      </c>
      <c r="H3625" s="6" t="s">
        <v>24751</v>
      </c>
      <c r="K3625" s="5" t="s">
        <v>24709</v>
      </c>
      <c r="M3625" s="5" t="s">
        <v>24752</v>
      </c>
      <c r="N3625" s="7" t="s">
        <v>24753</v>
      </c>
      <c r="O3625" s="8" t="str">
        <f>HYPERLINK("https://drive.google.com/file/d/1H4wgE2oJsEBGQ0COgZ73Wk6DRB9RtAOX/view?usp=drivesdk","3624_DUWI SANTOSO _ SERTIFIKAT BerAKHLAK")</f>
        <v>3624_DUWI SANTOSO _ SERTIFIKAT BerAKHLAK</v>
      </c>
      <c r="P3625" s="5" t="s">
        <v>24748</v>
      </c>
    </row>
    <row r="3626">
      <c r="A3626" s="4">
        <v>45534.34645395834</v>
      </c>
      <c r="B3626" s="5" t="s">
        <v>34</v>
      </c>
      <c r="D3626" s="5" t="s">
        <v>4775</v>
      </c>
      <c r="E3626" s="5" t="s">
        <v>24754</v>
      </c>
      <c r="F3626" s="5" t="s">
        <v>212</v>
      </c>
      <c r="G3626" s="5" t="s">
        <v>24755</v>
      </c>
      <c r="H3626" s="6" t="s">
        <v>24756</v>
      </c>
      <c r="I3626" s="7" t="s">
        <v>24757</v>
      </c>
      <c r="J3626" s="8" t="str">
        <f>HYPERLINK("https://drive.google.com/file/d/1jTeF8u79Padsurw5H9k0idcb91o9YGtU/view?usp=drivesdk","Anastasia Barek Bunga  SERTIFIKAT BerAKHLAK")</f>
        <v>Anastasia Barek Bunga  SERTIFIKAT BerAKHLAK</v>
      </c>
      <c r="K3626" s="5" t="s">
        <v>24057</v>
      </c>
      <c r="L3626" s="5" t="s">
        <v>24758</v>
      </c>
      <c r="M3626" s="5" t="s">
        <v>24759</v>
      </c>
      <c r="N3626" s="7" t="s">
        <v>24760</v>
      </c>
      <c r="O3626" s="8" t="str">
        <f>HYPERLINK("https://drive.google.com/file/d/1a8HSxoI3OXEXXo_WeaaLN4sjKEmArcL1/view?usp=drivesdk","3625_Anastasia Barek Bunga  _ SERTIFIKAT BerAKHLAK")</f>
        <v>3625_Anastasia Barek Bunga  _ SERTIFIKAT BerAKHLAK</v>
      </c>
      <c r="P3626" s="5" t="s">
        <v>24748</v>
      </c>
    </row>
    <row r="3627">
      <c r="A3627" s="4">
        <v>45534.346468125004</v>
      </c>
      <c r="B3627" s="5" t="s">
        <v>34</v>
      </c>
      <c r="D3627" s="5" t="s">
        <v>9020</v>
      </c>
      <c r="E3627" s="5" t="s">
        <v>24761</v>
      </c>
      <c r="F3627" s="5" t="s">
        <v>212</v>
      </c>
      <c r="G3627" s="5" t="s">
        <v>24762</v>
      </c>
      <c r="H3627" s="6" t="s">
        <v>24763</v>
      </c>
      <c r="K3627" s="5" t="s">
        <v>24764</v>
      </c>
      <c r="M3627" s="5" t="s">
        <v>24765</v>
      </c>
      <c r="N3627" s="7" t="s">
        <v>24766</v>
      </c>
      <c r="O3627" s="8" t="str">
        <f>HYPERLINK("https://drive.google.com/file/d/1nScgI4_H_uflbqg8c4MFg9WdnvGxPGAj/view?usp=drivesdk","3626_DEMAK ULIASI SIAHAAN _ SERTIFIKAT BerAKHLAK")</f>
        <v>3626_DEMAK ULIASI SIAHAAN _ SERTIFIKAT BerAKHLAK</v>
      </c>
      <c r="P3627" s="5" t="s">
        <v>24748</v>
      </c>
    </row>
    <row r="3628">
      <c r="A3628" s="4">
        <v>45534.3464691088</v>
      </c>
      <c r="B3628" s="5" t="s">
        <v>34</v>
      </c>
      <c r="D3628" s="5" t="s">
        <v>35</v>
      </c>
      <c r="E3628" s="5" t="s">
        <v>24767</v>
      </c>
      <c r="F3628" s="5" t="s">
        <v>5859</v>
      </c>
      <c r="G3628" s="5" t="s">
        <v>24768</v>
      </c>
      <c r="H3628" s="6" t="s">
        <v>24769</v>
      </c>
      <c r="K3628" s="5" t="s">
        <v>24764</v>
      </c>
      <c r="M3628" s="5" t="s">
        <v>24770</v>
      </c>
      <c r="N3628" s="7" t="s">
        <v>24771</v>
      </c>
      <c r="O3628" s="8" t="str">
        <f>HYPERLINK("https://drive.google.com/file/d/1twQTEhPtSz_g5JuNtd7rWTVD7z3_fAxb/view?usp=drivesdk","3627_IYUS YUSUF _ SERTIFIKAT BerAKHLAK")</f>
        <v>3627_IYUS YUSUF _ SERTIFIKAT BerAKHLAK</v>
      </c>
      <c r="P3628" s="5" t="s">
        <v>24748</v>
      </c>
    </row>
    <row r="3629">
      <c r="A3629" s="4">
        <v>45534.346475150465</v>
      </c>
      <c r="B3629" s="5" t="s">
        <v>34</v>
      </c>
      <c r="D3629" s="5" t="s">
        <v>12978</v>
      </c>
      <c r="E3629" s="5" t="s">
        <v>24772</v>
      </c>
      <c r="F3629" s="5" t="s">
        <v>72</v>
      </c>
      <c r="G3629" s="5" t="s">
        <v>24773</v>
      </c>
      <c r="H3629" s="6" t="s">
        <v>24774</v>
      </c>
      <c r="K3629" s="5" t="s">
        <v>24764</v>
      </c>
      <c r="M3629" s="5" t="s">
        <v>24775</v>
      </c>
      <c r="N3629" s="7" t="s">
        <v>24776</v>
      </c>
      <c r="O3629" s="8" t="str">
        <f>HYPERLINK("https://drive.google.com/file/d/1bKzNxbaMNptw62Z14DIIxy2csaZqsyfr/view?usp=drivesdk","3628_SYARI MARDALENI. SE _ SERTIFIKAT BerAKHLAK")</f>
        <v>3628_SYARI MARDALENI. SE _ SERTIFIKAT BerAKHLAK</v>
      </c>
      <c r="P3629" s="5" t="s">
        <v>24777</v>
      </c>
    </row>
    <row r="3630">
      <c r="A3630" s="4">
        <v>45534.34648571759</v>
      </c>
      <c r="B3630" s="5" t="s">
        <v>34</v>
      </c>
      <c r="D3630" s="5" t="s">
        <v>1768</v>
      </c>
      <c r="E3630" s="5" t="s">
        <v>24778</v>
      </c>
      <c r="F3630" s="5" t="s">
        <v>37</v>
      </c>
      <c r="G3630" s="5" t="s">
        <v>24779</v>
      </c>
      <c r="H3630" s="6" t="s">
        <v>24780</v>
      </c>
      <c r="K3630" s="5" t="s">
        <v>24764</v>
      </c>
      <c r="M3630" s="5" t="s">
        <v>24781</v>
      </c>
      <c r="N3630" s="7" t="s">
        <v>24782</v>
      </c>
      <c r="O3630" s="8" t="str">
        <f>HYPERLINK("https://drive.google.com/file/d/1SW3iLX_votwKevQW9Wkm64r_ni30cyaD/view?usp=drivesdk","3629_JOHANSYAH _ SERTIFIKAT BerAKHLAK")</f>
        <v>3629_JOHANSYAH _ SERTIFIKAT BerAKHLAK</v>
      </c>
      <c r="P3630" s="5" t="s">
        <v>24777</v>
      </c>
    </row>
    <row r="3631" hidden="1">
      <c r="A3631" s="4">
        <v>45534.34648688657</v>
      </c>
      <c r="B3631" s="5" t="s">
        <v>19</v>
      </c>
      <c r="C3631" s="5" t="s">
        <v>292</v>
      </c>
      <c r="E3631" s="5" t="s">
        <v>24783</v>
      </c>
      <c r="F3631" s="5" t="s">
        <v>524</v>
      </c>
      <c r="G3631" s="5" t="s">
        <v>24784</v>
      </c>
      <c r="H3631" s="6" t="s">
        <v>24785</v>
      </c>
      <c r="K3631" s="5" t="s">
        <v>24764</v>
      </c>
      <c r="M3631" s="5" t="s">
        <v>24786</v>
      </c>
      <c r="N3631" s="7" t="s">
        <v>24787</v>
      </c>
      <c r="O3631" s="8" t="str">
        <f>HYPERLINK("https://drive.google.com/file/d/1UkA3ni9KQfpA9v0j3w3BTFCPiJe8PrPN/view?usp=drivesdk","3630_Yudha Risatya Bakti _ SERTIFIKAT BerAKHLAK")</f>
        <v>3630_Yudha Risatya Bakti _ SERTIFIKAT BerAKHLAK</v>
      </c>
      <c r="P3631" s="5" t="s">
        <v>24777</v>
      </c>
    </row>
    <row r="3632">
      <c r="A3632" s="4">
        <v>45534.34650583334</v>
      </c>
      <c r="B3632" s="5" t="s">
        <v>34</v>
      </c>
      <c r="D3632" s="5" t="s">
        <v>1206</v>
      </c>
      <c r="E3632" s="5" t="s">
        <v>24788</v>
      </c>
      <c r="F3632" s="5" t="s">
        <v>212</v>
      </c>
      <c r="G3632" s="5" t="s">
        <v>24789</v>
      </c>
      <c r="H3632" s="6" t="s">
        <v>24790</v>
      </c>
      <c r="K3632" s="5" t="s">
        <v>24791</v>
      </c>
      <c r="M3632" s="5" t="s">
        <v>24792</v>
      </c>
      <c r="N3632" s="7" t="s">
        <v>24793</v>
      </c>
      <c r="O3632" s="8" t="str">
        <f>HYPERLINK("https://drive.google.com/file/d/1-f5zhyDC05kc5NFPYhgblFRKU35azl42/view?usp=drivesdk","3631_HARMAWAN _ SERTIFIKAT BerAKHLAK")</f>
        <v>3631_HARMAWAN _ SERTIFIKAT BerAKHLAK</v>
      </c>
      <c r="P3632" s="5" t="s">
        <v>24777</v>
      </c>
    </row>
    <row r="3633">
      <c r="A3633" s="4">
        <v>45534.34650802083</v>
      </c>
      <c r="B3633" s="5" t="s">
        <v>34</v>
      </c>
      <c r="D3633" s="5" t="s">
        <v>12978</v>
      </c>
      <c r="E3633" s="5" t="s">
        <v>24794</v>
      </c>
      <c r="F3633" s="5" t="s">
        <v>524</v>
      </c>
      <c r="G3633" s="5" t="s">
        <v>24795</v>
      </c>
      <c r="H3633" s="6" t="s">
        <v>24796</v>
      </c>
      <c r="K3633" s="5" t="s">
        <v>24791</v>
      </c>
      <c r="M3633" s="5" t="s">
        <v>24797</v>
      </c>
      <c r="N3633" s="7" t="s">
        <v>24798</v>
      </c>
      <c r="O3633" s="8" t="str">
        <f>HYPERLINK("https://drive.google.com/file/d/1UVYJL7kZob_fjjVZc_zY9viEq-oAZfo6/view?usp=drivesdk","3632_SETIA HARYATI, S.H., M.H. _ SERTIFIKAT BerAKHLAK")</f>
        <v>3632_SETIA HARYATI, S.H., M.H. _ SERTIFIKAT BerAKHLAK</v>
      </c>
      <c r="P3633" s="5" t="s">
        <v>24777</v>
      </c>
    </row>
    <row r="3634">
      <c r="A3634" s="4">
        <v>45534.34650940972</v>
      </c>
      <c r="B3634" s="5" t="s">
        <v>34</v>
      </c>
      <c r="D3634" s="5" t="s">
        <v>1206</v>
      </c>
      <c r="E3634" s="5" t="s">
        <v>24799</v>
      </c>
      <c r="F3634" s="5" t="s">
        <v>212</v>
      </c>
      <c r="G3634" s="5" t="s">
        <v>24800</v>
      </c>
      <c r="H3634" s="6" t="s">
        <v>24801</v>
      </c>
      <c r="K3634" s="5" t="s">
        <v>24791</v>
      </c>
      <c r="M3634" s="5" t="s">
        <v>24802</v>
      </c>
      <c r="N3634" s="7" t="s">
        <v>24803</v>
      </c>
      <c r="O3634" s="8" t="str">
        <f>HYPERLINK("https://drive.google.com/file/d/1YlrWJL0gTHxW66D5UygaMe3ejA7X3D2l/view?usp=drivesdk","3633_ATIKA MERY PUJI ASTUTIK _ SERTIFIKAT BerAKHLAK")</f>
        <v>3633_ATIKA MERY PUJI ASTUTIK _ SERTIFIKAT BerAKHLAK</v>
      </c>
      <c r="P3634" s="5" t="s">
        <v>24804</v>
      </c>
    </row>
    <row r="3635">
      <c r="A3635" s="4">
        <v>45534.34651055555</v>
      </c>
      <c r="B3635" s="5" t="s">
        <v>34</v>
      </c>
      <c r="D3635" s="5" t="s">
        <v>4775</v>
      </c>
      <c r="E3635" s="5" t="s">
        <v>24805</v>
      </c>
      <c r="F3635" s="5" t="s">
        <v>212</v>
      </c>
      <c r="G3635" s="5" t="s">
        <v>24806</v>
      </c>
      <c r="H3635" s="6" t="s">
        <v>24807</v>
      </c>
      <c r="K3635" s="5" t="s">
        <v>24791</v>
      </c>
      <c r="M3635" s="5" t="s">
        <v>24808</v>
      </c>
      <c r="N3635" s="7" t="s">
        <v>24809</v>
      </c>
      <c r="O3635" s="8" t="str">
        <f>HYPERLINK("https://drive.google.com/file/d/1rOZNw4lubOBUNvfJe9esAPKDgSd5wzHQ/view?usp=drivesdk","3634_SRI SUPRAPTI  _ SERTIFIKAT BerAKHLAK")</f>
        <v>3634_SRI SUPRAPTI  _ SERTIFIKAT BerAKHLAK</v>
      </c>
      <c r="P3635" s="5" t="s">
        <v>24804</v>
      </c>
    </row>
    <row r="3636">
      <c r="A3636" s="4">
        <v>45534.346516481484</v>
      </c>
      <c r="B3636" s="5" t="s">
        <v>34</v>
      </c>
      <c r="D3636" s="5" t="s">
        <v>12978</v>
      </c>
      <c r="E3636" s="5" t="s">
        <v>24810</v>
      </c>
      <c r="F3636" s="5" t="s">
        <v>72</v>
      </c>
      <c r="G3636" s="5" t="s">
        <v>24811</v>
      </c>
      <c r="H3636" s="6" t="s">
        <v>24812</v>
      </c>
      <c r="K3636" s="5" t="s">
        <v>24791</v>
      </c>
      <c r="M3636" s="5" t="s">
        <v>24813</v>
      </c>
      <c r="N3636" s="7" t="s">
        <v>24814</v>
      </c>
      <c r="O3636" s="8" t="str">
        <f>HYPERLINK("https://drive.google.com/file/d/13n1nwoETNUtbKtXYjhXdSHJbID9qHJ__/view?usp=drivesdk","3635_ANDI BAHMADA, SKM _ SERTIFIKAT BerAKHLAK")</f>
        <v>3635_ANDI BAHMADA, SKM _ SERTIFIKAT BerAKHLAK</v>
      </c>
      <c r="P3636" s="5" t="s">
        <v>24804</v>
      </c>
    </row>
    <row r="3637">
      <c r="A3637" s="4">
        <v>45534.34652918982</v>
      </c>
      <c r="B3637" s="5" t="s">
        <v>34</v>
      </c>
      <c r="D3637" s="5" t="s">
        <v>35</v>
      </c>
      <c r="E3637" s="5" t="s">
        <v>24815</v>
      </c>
      <c r="F3637" s="5" t="s">
        <v>37</v>
      </c>
      <c r="G3637" s="5" t="s">
        <v>24816</v>
      </c>
      <c r="H3637" s="6" t="s">
        <v>24817</v>
      </c>
      <c r="K3637" s="5" t="s">
        <v>24791</v>
      </c>
      <c r="M3637" s="5" t="s">
        <v>24818</v>
      </c>
      <c r="N3637" s="7" t="s">
        <v>24819</v>
      </c>
      <c r="O3637" s="8" t="str">
        <f>HYPERLINK("https://drive.google.com/file/d/1cdwh5mUoyNLAU657njRK9a8976-Yc1K-/view?usp=drivesdk","3636_ENGKUS KUSNIWA _ SERTIFIKAT BerAKHLAK")</f>
        <v>3636_ENGKUS KUSNIWA _ SERTIFIKAT BerAKHLAK</v>
      </c>
      <c r="P3637" s="5" t="s">
        <v>24820</v>
      </c>
    </row>
    <row r="3638">
      <c r="A3638" s="4">
        <v>45534.346532083335</v>
      </c>
      <c r="B3638" s="5" t="s">
        <v>34</v>
      </c>
      <c r="D3638" s="5" t="s">
        <v>267</v>
      </c>
      <c r="E3638" s="5" t="s">
        <v>24821</v>
      </c>
      <c r="F3638" s="5" t="s">
        <v>108</v>
      </c>
      <c r="G3638" s="5" t="s">
        <v>24822</v>
      </c>
      <c r="H3638" s="6" t="s">
        <v>24823</v>
      </c>
      <c r="K3638" s="5" t="s">
        <v>24791</v>
      </c>
      <c r="M3638" s="5" t="s">
        <v>24824</v>
      </c>
      <c r="N3638" s="7" t="s">
        <v>24825</v>
      </c>
      <c r="O3638" s="8" t="str">
        <f>HYPERLINK("https://drive.google.com/file/d/1E5AezVqN6DzGmKJRH_zCkw5ETDB3BrTj/view?usp=drivesdk","3637_MARLINDA ANISTYA SARI S.Kep.,Ns _ SERTIFIKAT BerAKHLAK")</f>
        <v>3637_MARLINDA ANISTYA SARI S.Kep.,Ns _ SERTIFIKAT BerAKHLAK</v>
      </c>
      <c r="P3638" s="5" t="s">
        <v>24820</v>
      </c>
    </row>
    <row r="3639">
      <c r="A3639" s="4">
        <v>45534.346532800926</v>
      </c>
      <c r="B3639" s="5" t="s">
        <v>34</v>
      </c>
      <c r="D3639" s="5" t="s">
        <v>10297</v>
      </c>
      <c r="E3639" s="5" t="s">
        <v>24826</v>
      </c>
      <c r="F3639" s="5" t="s">
        <v>37</v>
      </c>
      <c r="G3639" s="5" t="s">
        <v>24827</v>
      </c>
      <c r="H3639" s="6" t="s">
        <v>24828</v>
      </c>
      <c r="K3639" s="5" t="s">
        <v>24791</v>
      </c>
      <c r="M3639" s="5" t="s">
        <v>24829</v>
      </c>
      <c r="N3639" s="7" t="s">
        <v>24830</v>
      </c>
      <c r="O3639" s="8" t="str">
        <f>HYPERLINK("https://drive.google.com/file/d/1wE2bnrP5mFVA8y5HCipAkMSeeG52V35I/view?usp=drivesdk","3638_MAULIANAWATI MESRA, A.Md _ SERTIFIKAT BerAKHLAK")</f>
        <v>3638_MAULIANAWATI MESRA, A.Md _ SERTIFIKAT BerAKHLAK</v>
      </c>
      <c r="P3639" s="5" t="s">
        <v>24820</v>
      </c>
    </row>
    <row r="3640">
      <c r="A3640" s="4">
        <v>45534.34653659722</v>
      </c>
      <c r="B3640" s="5" t="s">
        <v>34</v>
      </c>
      <c r="D3640" s="5" t="s">
        <v>1206</v>
      </c>
      <c r="E3640" s="5" t="s">
        <v>24831</v>
      </c>
      <c r="F3640" s="5" t="s">
        <v>328</v>
      </c>
      <c r="G3640" s="5" t="s">
        <v>24832</v>
      </c>
      <c r="H3640" s="6" t="s">
        <v>24833</v>
      </c>
      <c r="K3640" s="5" t="s">
        <v>24791</v>
      </c>
      <c r="M3640" s="5" t="s">
        <v>24834</v>
      </c>
      <c r="N3640" s="7" t="s">
        <v>24835</v>
      </c>
      <c r="O3640" s="8" t="str">
        <f>HYPERLINK("https://drive.google.com/file/d/12CkYPKHVnsemwU6bbdqdFi1iCzhuNQ0u/view?usp=drivesdk","3639_RARA JUARI _ SERTIFIKAT BerAKHLAK")</f>
        <v>3639_RARA JUARI _ SERTIFIKAT BerAKHLAK</v>
      </c>
      <c r="P3640" s="5" t="s">
        <v>24820</v>
      </c>
    </row>
    <row r="3641">
      <c r="A3641" s="4">
        <v>45534.346538067126</v>
      </c>
      <c r="B3641" s="5" t="s">
        <v>34</v>
      </c>
      <c r="D3641" s="5" t="s">
        <v>10444</v>
      </c>
      <c r="E3641" s="5" t="s">
        <v>24836</v>
      </c>
      <c r="F3641" s="5" t="s">
        <v>212</v>
      </c>
      <c r="G3641" s="5" t="s">
        <v>24837</v>
      </c>
      <c r="H3641" s="6" t="s">
        <v>24838</v>
      </c>
      <c r="K3641" s="5" t="s">
        <v>24791</v>
      </c>
      <c r="M3641" s="5" t="s">
        <v>24839</v>
      </c>
      <c r="N3641" s="7" t="s">
        <v>24840</v>
      </c>
      <c r="O3641" s="8" t="str">
        <f>HYPERLINK("https://drive.google.com/file/d/1fv-zlZqlOGhk_bI3esNZcjMeljGZHaC6/view?usp=drivesdk","3640_HUSEIN _ SERTIFIKAT BerAKHLAK")</f>
        <v>3640_HUSEIN _ SERTIFIKAT BerAKHLAK</v>
      </c>
      <c r="P3641" s="5" t="s">
        <v>24820</v>
      </c>
    </row>
    <row r="3642">
      <c r="A3642" s="4">
        <v>45534.34654106481</v>
      </c>
      <c r="B3642" s="5" t="s">
        <v>34</v>
      </c>
      <c r="D3642" s="5" t="s">
        <v>1206</v>
      </c>
      <c r="E3642" s="5" t="s">
        <v>24841</v>
      </c>
      <c r="F3642" s="5" t="s">
        <v>37</v>
      </c>
      <c r="G3642" s="5" t="s">
        <v>24842</v>
      </c>
      <c r="H3642" s="6" t="s">
        <v>24843</v>
      </c>
      <c r="K3642" s="5" t="s">
        <v>24791</v>
      </c>
      <c r="M3642" s="5" t="s">
        <v>24844</v>
      </c>
      <c r="N3642" s="7" t="s">
        <v>24845</v>
      </c>
      <c r="O3642" s="8" t="str">
        <f>HYPERLINK("https://drive.google.com/file/d/1djX2r2xnjHsUt1mXZ9-SjRcoIua-H47C/view?usp=drivesdk","3641_SRI RAHAYU  _ SERTIFIKAT BerAKHLAK")</f>
        <v>3641_SRI RAHAYU  _ SERTIFIKAT BerAKHLAK</v>
      </c>
      <c r="P3642" s="5" t="s">
        <v>24846</v>
      </c>
    </row>
    <row r="3643">
      <c r="A3643" s="4">
        <v>45534.346543935186</v>
      </c>
      <c r="B3643" s="5" t="s">
        <v>34</v>
      </c>
      <c r="D3643" s="5" t="s">
        <v>9020</v>
      </c>
      <c r="E3643" s="5" t="s">
        <v>24847</v>
      </c>
      <c r="F3643" s="5" t="s">
        <v>715</v>
      </c>
      <c r="G3643" s="5" t="s">
        <v>24848</v>
      </c>
      <c r="H3643" s="6" t="s">
        <v>24849</v>
      </c>
      <c r="K3643" s="5" t="s">
        <v>24791</v>
      </c>
      <c r="M3643" s="5" t="s">
        <v>24850</v>
      </c>
      <c r="N3643" s="7" t="s">
        <v>24851</v>
      </c>
      <c r="O3643" s="8" t="str">
        <f>HYPERLINK("https://drive.google.com/file/d/1ltV6otLTVr1RyjXbvOz9-zZxm5yzUKZN/view?usp=drivesdk","3642_EFRIYANTI SH _ SERTIFIKAT BerAKHLAK")</f>
        <v>3642_EFRIYANTI SH _ SERTIFIKAT BerAKHLAK</v>
      </c>
      <c r="P3643" s="5" t="s">
        <v>24846</v>
      </c>
    </row>
    <row r="3644" hidden="1">
      <c r="A3644" s="4">
        <v>45534.3465450463</v>
      </c>
      <c r="B3644" s="5" t="s">
        <v>19</v>
      </c>
      <c r="C3644" s="5" t="s">
        <v>292</v>
      </c>
      <c r="E3644" s="5" t="s">
        <v>24852</v>
      </c>
      <c r="F3644" s="5" t="s">
        <v>72</v>
      </c>
      <c r="G3644" s="5" t="s">
        <v>24853</v>
      </c>
      <c r="H3644" s="6" t="s">
        <v>24854</v>
      </c>
      <c r="K3644" s="5" t="s">
        <v>24791</v>
      </c>
      <c r="M3644" s="5" t="s">
        <v>24855</v>
      </c>
      <c r="N3644" s="7" t="s">
        <v>24856</v>
      </c>
      <c r="O3644" s="8" t="str">
        <f>HYPERLINK("https://drive.google.com/file/d/1qu_MsH02WWRrc91mwb_-ZJtCzevwxNxc/view?usp=drivesdk","3643_AI RENIAWATI, S.Pd. _ SERTIFIKAT BerAKHLAK")</f>
        <v>3643_AI RENIAWATI, S.Pd. _ SERTIFIKAT BerAKHLAK</v>
      </c>
      <c r="P3644" s="5" t="s">
        <v>24846</v>
      </c>
    </row>
    <row r="3645">
      <c r="A3645" s="4">
        <v>45534.3465637037</v>
      </c>
      <c r="B3645" s="5" t="s">
        <v>34</v>
      </c>
      <c r="D3645" s="5" t="s">
        <v>280</v>
      </c>
      <c r="E3645" s="5" t="s">
        <v>24857</v>
      </c>
      <c r="F3645" s="5" t="s">
        <v>108</v>
      </c>
      <c r="G3645" s="5" t="s">
        <v>24858</v>
      </c>
      <c r="H3645" s="6" t="s">
        <v>24859</v>
      </c>
      <c r="K3645" s="5" t="s">
        <v>24791</v>
      </c>
      <c r="M3645" s="5" t="s">
        <v>24860</v>
      </c>
      <c r="N3645" s="7" t="s">
        <v>24861</v>
      </c>
      <c r="O3645" s="8" t="str">
        <f>HYPERLINK("https://drive.google.com/file/d/1G2AYaCiAxVL-lO3PuUyO19UrGulf2uOG/view?usp=drivesdk","3644_RISKAWATI _ SERTIFIKAT BerAKHLAK")</f>
        <v>3644_RISKAWATI _ SERTIFIKAT BerAKHLAK</v>
      </c>
      <c r="P3645" s="5" t="s">
        <v>24846</v>
      </c>
    </row>
    <row r="3646">
      <c r="A3646" s="4">
        <v>45534.34656690972</v>
      </c>
      <c r="B3646" s="5" t="s">
        <v>34</v>
      </c>
      <c r="D3646" s="5" t="s">
        <v>12978</v>
      </c>
      <c r="E3646" s="5" t="s">
        <v>24862</v>
      </c>
      <c r="F3646" s="5" t="s">
        <v>108</v>
      </c>
      <c r="G3646" s="5" t="s">
        <v>24863</v>
      </c>
      <c r="H3646" s="6" t="s">
        <v>24864</v>
      </c>
      <c r="K3646" s="5" t="s">
        <v>24791</v>
      </c>
      <c r="M3646" s="5" t="s">
        <v>24865</v>
      </c>
      <c r="N3646" s="7" t="s">
        <v>24866</v>
      </c>
      <c r="O3646" s="8" t="str">
        <f>HYPERLINK("https://drive.google.com/file/d/1Xe_sdnHdb2cABB2nfc4vfzDO0kn-VMYw/view?usp=drivesdk","3645_A WAHID AZHARA _ SERTIFIKAT BerAKHLAK")</f>
        <v>3645_A WAHID AZHARA _ SERTIFIKAT BerAKHLAK</v>
      </c>
      <c r="P3646" s="5" t="s">
        <v>24867</v>
      </c>
    </row>
    <row r="3647">
      <c r="A3647" s="4">
        <v>45534.34657076389</v>
      </c>
      <c r="B3647" s="5" t="s">
        <v>34</v>
      </c>
      <c r="D3647" s="5" t="s">
        <v>4775</v>
      </c>
      <c r="E3647" s="5" t="s">
        <v>24868</v>
      </c>
      <c r="F3647" s="5" t="s">
        <v>108</v>
      </c>
      <c r="G3647" s="5" t="s">
        <v>24869</v>
      </c>
      <c r="H3647" s="6" t="s">
        <v>24870</v>
      </c>
      <c r="K3647" s="5" t="s">
        <v>24871</v>
      </c>
      <c r="M3647" s="5" t="s">
        <v>24872</v>
      </c>
      <c r="N3647" s="7" t="s">
        <v>24873</v>
      </c>
      <c r="O3647" s="8" t="str">
        <f>HYPERLINK("https://drive.google.com/file/d/1SluOipTtF_F-2tW-xUjEe3cOtVDOEs8e/view?usp=drivesdk","3646_ZURAIDA SEPTIA NURLAILI,AMd _ SERTIFIKAT BerAKHLAK")</f>
        <v>3646_ZURAIDA SEPTIA NURLAILI,AMd _ SERTIFIKAT BerAKHLAK</v>
      </c>
      <c r="P3647" s="5" t="s">
        <v>24867</v>
      </c>
    </row>
    <row r="3648">
      <c r="A3648" s="4">
        <v>45534.34657548611</v>
      </c>
      <c r="B3648" s="5" t="s">
        <v>34</v>
      </c>
      <c r="D3648" s="5" t="s">
        <v>12010</v>
      </c>
      <c r="E3648" s="5" t="s">
        <v>24874</v>
      </c>
      <c r="F3648" s="5" t="s">
        <v>524</v>
      </c>
      <c r="G3648" s="5" t="s">
        <v>24875</v>
      </c>
      <c r="H3648" s="6" t="s">
        <v>24876</v>
      </c>
      <c r="K3648" s="5" t="s">
        <v>24871</v>
      </c>
      <c r="M3648" s="5" t="s">
        <v>24877</v>
      </c>
      <c r="N3648" s="7" t="s">
        <v>24878</v>
      </c>
      <c r="O3648" s="8" t="str">
        <f>HYPERLINK("https://drive.google.com/file/d/18uM44Vbatm6PZC172AxfAPxhEnwJVMwo/view?usp=drivesdk","3647_ROY DJAFAR _ SERTIFIKAT BerAKHLAK")</f>
        <v>3647_ROY DJAFAR _ SERTIFIKAT BerAKHLAK</v>
      </c>
      <c r="P3648" s="5" t="s">
        <v>24867</v>
      </c>
    </row>
    <row r="3649">
      <c r="A3649" s="4">
        <v>45534.3465874074</v>
      </c>
      <c r="B3649" s="5" t="s">
        <v>34</v>
      </c>
      <c r="D3649" s="5" t="s">
        <v>1206</v>
      </c>
      <c r="E3649" s="5" t="s">
        <v>24879</v>
      </c>
      <c r="F3649" s="5" t="s">
        <v>524</v>
      </c>
      <c r="G3649" s="5" t="s">
        <v>24880</v>
      </c>
      <c r="H3649" s="6" t="s">
        <v>24881</v>
      </c>
      <c r="K3649" s="5" t="s">
        <v>24871</v>
      </c>
      <c r="M3649" s="5" t="s">
        <v>24882</v>
      </c>
      <c r="N3649" s="7" t="s">
        <v>24883</v>
      </c>
      <c r="O3649" s="8" t="str">
        <f>HYPERLINK("https://drive.google.com/file/d/15_zfU9mIR0JzyBtepuNKNL9mpmeSpF_Z/view?usp=drivesdk","3648_RETNO YEKTI REJEKI _ SERTIFIKAT BerAKHLAK")</f>
        <v>3648_RETNO YEKTI REJEKI _ SERTIFIKAT BerAKHLAK</v>
      </c>
      <c r="P3649" s="5" t="s">
        <v>24867</v>
      </c>
    </row>
    <row r="3650">
      <c r="A3650" s="4">
        <v>45534.34658813657</v>
      </c>
      <c r="B3650" s="5" t="s">
        <v>34</v>
      </c>
      <c r="D3650" s="5" t="s">
        <v>12978</v>
      </c>
      <c r="E3650" s="5" t="s">
        <v>24884</v>
      </c>
      <c r="F3650" s="5" t="s">
        <v>212</v>
      </c>
      <c r="G3650" s="5" t="s">
        <v>24885</v>
      </c>
      <c r="H3650" s="6" t="s">
        <v>24886</v>
      </c>
      <c r="K3650" s="5" t="s">
        <v>24871</v>
      </c>
      <c r="M3650" s="5" t="s">
        <v>24887</v>
      </c>
      <c r="N3650" s="7" t="s">
        <v>24888</v>
      </c>
      <c r="O3650" s="8" t="str">
        <f>HYPERLINK("https://drive.google.com/file/d/1tiC0QRXUw7lIptnQwiSaEUUrmdnnVuSW/view?usp=drivesdk","3649_AHMAD SOHIRI  _ SERTIFIKAT BerAKHLAK")</f>
        <v>3649_AHMAD SOHIRI  _ SERTIFIKAT BerAKHLAK</v>
      </c>
      <c r="P3650" s="5" t="s">
        <v>24889</v>
      </c>
    </row>
    <row r="3651">
      <c r="A3651" s="4">
        <v>45534.3465990625</v>
      </c>
      <c r="B3651" s="5" t="s">
        <v>34</v>
      </c>
      <c r="D3651" s="5" t="s">
        <v>4775</v>
      </c>
      <c r="E3651" s="5" t="s">
        <v>24890</v>
      </c>
      <c r="F3651" s="5" t="s">
        <v>72</v>
      </c>
      <c r="G3651" s="5" t="s">
        <v>24891</v>
      </c>
      <c r="H3651" s="6" t="s">
        <v>24892</v>
      </c>
      <c r="K3651" s="5" t="s">
        <v>24871</v>
      </c>
      <c r="M3651" s="5" t="s">
        <v>24893</v>
      </c>
      <c r="N3651" s="7" t="s">
        <v>24894</v>
      </c>
      <c r="O3651" s="8" t="str">
        <f>HYPERLINK("https://drive.google.com/file/d/1n6mFNbO-5I2CTAOzu6Ron84krJyIMShO/view?usp=drivesdk","3650_DR. KUSUMANINGRUM _ SERTIFIKAT BerAKHLAK")</f>
        <v>3650_DR. KUSUMANINGRUM _ SERTIFIKAT BerAKHLAK</v>
      </c>
      <c r="P3651" s="5" t="s">
        <v>24889</v>
      </c>
    </row>
    <row r="3652" hidden="1">
      <c r="A3652" s="4">
        <v>45534.34659998842</v>
      </c>
      <c r="B3652" s="5" t="s">
        <v>19</v>
      </c>
      <c r="C3652" s="5" t="s">
        <v>292</v>
      </c>
      <c r="E3652" s="5" t="s">
        <v>24895</v>
      </c>
      <c r="F3652" s="5" t="s">
        <v>524</v>
      </c>
      <c r="G3652" s="5" t="s">
        <v>24896</v>
      </c>
      <c r="H3652" s="6" t="s">
        <v>24897</v>
      </c>
      <c r="K3652" s="5" t="s">
        <v>24871</v>
      </c>
      <c r="M3652" s="5" t="s">
        <v>24898</v>
      </c>
      <c r="N3652" s="7" t="s">
        <v>24899</v>
      </c>
      <c r="O3652" s="8" t="str">
        <f>HYPERLINK("https://drive.google.com/file/d/1wSXItWkF12RTyTYboyx2m7z3o6VRhHS7/view?usp=drivesdk","3651_RENI SUTINI, S.Pd _ SERTIFIKAT BerAKHLAK")</f>
        <v>3651_RENI SUTINI, S.Pd _ SERTIFIKAT BerAKHLAK</v>
      </c>
      <c r="P3652" s="5" t="s">
        <v>24889</v>
      </c>
    </row>
    <row r="3653">
      <c r="A3653" s="4">
        <v>45534.34661515046</v>
      </c>
      <c r="B3653" s="5" t="s">
        <v>34</v>
      </c>
      <c r="D3653" s="5" t="s">
        <v>701</v>
      </c>
      <c r="E3653" s="5" t="s">
        <v>24900</v>
      </c>
      <c r="F3653" s="5" t="s">
        <v>37</v>
      </c>
      <c r="G3653" s="5" t="s">
        <v>24901</v>
      </c>
      <c r="H3653" s="6" t="s">
        <v>24902</v>
      </c>
      <c r="K3653" s="5" t="s">
        <v>24871</v>
      </c>
      <c r="M3653" s="5" t="s">
        <v>24903</v>
      </c>
      <c r="N3653" s="7" t="s">
        <v>24904</v>
      </c>
      <c r="O3653" s="8" t="str">
        <f>HYPERLINK("https://drive.google.com/file/d/1IKRI07FQvgjPAoHtHjlTR-mwoYYDww28/view?usp=drivesdk","3652_TUTI ASNITA  _ SERTIFIKAT BerAKHLAK")</f>
        <v>3652_TUTI ASNITA  _ SERTIFIKAT BerAKHLAK</v>
      </c>
      <c r="P3653" s="5" t="s">
        <v>24889</v>
      </c>
    </row>
    <row r="3654">
      <c r="A3654" s="4">
        <v>45534.34661703704</v>
      </c>
      <c r="B3654" s="5" t="s">
        <v>34</v>
      </c>
      <c r="D3654" s="5" t="s">
        <v>9020</v>
      </c>
      <c r="E3654" s="5" t="s">
        <v>24905</v>
      </c>
      <c r="F3654" s="5" t="s">
        <v>37</v>
      </c>
      <c r="G3654" s="5" t="s">
        <v>24906</v>
      </c>
      <c r="H3654" s="6" t="s">
        <v>24907</v>
      </c>
      <c r="K3654" s="5" t="s">
        <v>24871</v>
      </c>
      <c r="M3654" s="5" t="s">
        <v>24908</v>
      </c>
      <c r="N3654" s="7" t="s">
        <v>24909</v>
      </c>
      <c r="O3654" s="8" t="str">
        <f>HYPERLINK("https://drive.google.com/file/d/1HP0NZ89XAEWoSvg1SeEewpzYyBj9KYyV/view?usp=drivesdk","3653_SRI WINARTI  _ SERTIFIKAT BerAKHLAK")</f>
        <v>3653_SRI WINARTI  _ SERTIFIKAT BerAKHLAK</v>
      </c>
      <c r="P3654" s="5" t="s">
        <v>24889</v>
      </c>
    </row>
    <row r="3655">
      <c r="A3655" s="4">
        <v>45534.34662773148</v>
      </c>
      <c r="B3655" s="5" t="s">
        <v>34</v>
      </c>
      <c r="D3655" s="5" t="s">
        <v>35</v>
      </c>
      <c r="E3655" s="5" t="s">
        <v>24910</v>
      </c>
      <c r="F3655" s="5" t="s">
        <v>212</v>
      </c>
      <c r="G3655" s="5" t="s">
        <v>24911</v>
      </c>
      <c r="H3655" s="6" t="s">
        <v>24912</v>
      </c>
      <c r="K3655" s="5" t="s">
        <v>24871</v>
      </c>
      <c r="M3655" s="5" t="s">
        <v>24913</v>
      </c>
      <c r="N3655" s="7" t="s">
        <v>24914</v>
      </c>
      <c r="O3655" s="8" t="str">
        <f>HYPERLINK("https://drive.google.com/file/d/1Et6tJVD_CDVz8QR0DwOF8tW6dNOyn050/view?usp=drivesdk","3654_ABIDIN _ SERTIFIKAT BerAKHLAK")</f>
        <v>3654_ABIDIN _ SERTIFIKAT BerAKHLAK</v>
      </c>
      <c r="P3655" s="5" t="s">
        <v>24915</v>
      </c>
    </row>
    <row r="3656">
      <c r="A3656" s="4">
        <v>45534.34663581019</v>
      </c>
      <c r="B3656" s="5" t="s">
        <v>34</v>
      </c>
      <c r="D3656" s="5" t="s">
        <v>1206</v>
      </c>
      <c r="E3656" s="5" t="s">
        <v>24916</v>
      </c>
      <c r="F3656" s="5" t="s">
        <v>212</v>
      </c>
      <c r="G3656" s="5" t="s">
        <v>24917</v>
      </c>
      <c r="H3656" s="6" t="s">
        <v>24918</v>
      </c>
      <c r="K3656" s="5" t="s">
        <v>24871</v>
      </c>
      <c r="M3656" s="5" t="s">
        <v>24919</v>
      </c>
      <c r="N3656" s="7" t="s">
        <v>24920</v>
      </c>
      <c r="O3656" s="8" t="str">
        <f>HYPERLINK("https://drive.google.com/file/d/1anOr-uKwOo5ZOIh6atuHoylr1wKXztsp/view?usp=drivesdk","3655_SUBIJANTO _ SERTIFIKAT BerAKHLAK")</f>
        <v>3655_SUBIJANTO _ SERTIFIKAT BerAKHLAK</v>
      </c>
      <c r="P3656" s="5" t="s">
        <v>24915</v>
      </c>
    </row>
    <row r="3657">
      <c r="A3657" s="4">
        <v>45534.346636041664</v>
      </c>
      <c r="B3657" s="5" t="s">
        <v>34</v>
      </c>
      <c r="D3657" s="5" t="s">
        <v>580</v>
      </c>
      <c r="E3657" s="5" t="s">
        <v>24921</v>
      </c>
      <c r="F3657" s="5" t="s">
        <v>72</v>
      </c>
      <c r="G3657" s="5" t="s">
        <v>24922</v>
      </c>
      <c r="H3657" s="6" t="s">
        <v>24923</v>
      </c>
      <c r="K3657" s="5" t="s">
        <v>24871</v>
      </c>
      <c r="M3657" s="5" t="s">
        <v>24924</v>
      </c>
      <c r="N3657" s="7" t="s">
        <v>24925</v>
      </c>
      <c r="O3657" s="8" t="str">
        <f>HYPERLINK("https://drive.google.com/file/d/1VwxfC80niS0vlu06RIB7G58d83Y2-q44/view?usp=drivesdk","3656_NI KETUT SURYANI _ SERTIFIKAT BerAKHLAK")</f>
        <v>3656_NI KETUT SURYANI _ SERTIFIKAT BerAKHLAK</v>
      </c>
      <c r="P3657" s="5" t="s">
        <v>24915</v>
      </c>
    </row>
    <row r="3658">
      <c r="A3658" s="4">
        <v>45534.34664671296</v>
      </c>
      <c r="B3658" s="5" t="s">
        <v>34</v>
      </c>
      <c r="D3658" s="5" t="s">
        <v>280</v>
      </c>
      <c r="E3658" s="5" t="s">
        <v>24926</v>
      </c>
      <c r="F3658" s="5" t="s">
        <v>108</v>
      </c>
      <c r="G3658" s="5" t="s">
        <v>24927</v>
      </c>
      <c r="H3658" s="6" t="s">
        <v>24928</v>
      </c>
      <c r="K3658" s="5" t="s">
        <v>24871</v>
      </c>
      <c r="M3658" s="5" t="s">
        <v>24929</v>
      </c>
      <c r="N3658" s="7" t="s">
        <v>24930</v>
      </c>
      <c r="O3658" s="8" t="str">
        <f>HYPERLINK("https://drive.google.com/file/d/11pE0bhMLlwu60MecZ67L5RpbmHiGdg_7/view?usp=drivesdk","3657_NS FITRI YULANDRA, S.Kep _ SERTIFIKAT BerAKHLAK")</f>
        <v>3657_NS FITRI YULANDRA, S.Kep _ SERTIFIKAT BerAKHLAK</v>
      </c>
      <c r="P3658" s="5" t="s">
        <v>24915</v>
      </c>
    </row>
    <row r="3659">
      <c r="A3659" s="4">
        <v>45534.346655138885</v>
      </c>
      <c r="B3659" s="5" t="s">
        <v>34</v>
      </c>
      <c r="D3659" s="5" t="s">
        <v>35</v>
      </c>
      <c r="E3659" s="5" t="s">
        <v>24931</v>
      </c>
      <c r="F3659" s="5" t="s">
        <v>72</v>
      </c>
      <c r="G3659" s="5" t="s">
        <v>24932</v>
      </c>
      <c r="H3659" s="6" t="s">
        <v>24933</v>
      </c>
      <c r="K3659" s="5" t="s">
        <v>24871</v>
      </c>
      <c r="M3659" s="5" t="s">
        <v>24934</v>
      </c>
      <c r="N3659" s="7" t="s">
        <v>24935</v>
      </c>
      <c r="O3659" s="8" t="str">
        <f>HYPERLINK("https://drive.google.com/file/d/1Hb9AyGx2qql5pW6tqMf_TAqFy7zBvZQi/view?usp=drivesdk","3658_ROHATI _ SERTIFIKAT BerAKHLAK")</f>
        <v>3658_ROHATI _ SERTIFIKAT BerAKHLAK</v>
      </c>
      <c r="P3659" s="5" t="s">
        <v>24936</v>
      </c>
    </row>
    <row r="3660">
      <c r="A3660" s="4">
        <v>45534.34665600694</v>
      </c>
      <c r="B3660" s="5" t="s">
        <v>34</v>
      </c>
      <c r="D3660" s="5" t="s">
        <v>4775</v>
      </c>
      <c r="E3660" s="5" t="s">
        <v>24937</v>
      </c>
      <c r="F3660" s="5" t="s">
        <v>212</v>
      </c>
      <c r="G3660" s="5" t="s">
        <v>24938</v>
      </c>
      <c r="H3660" s="6" t="s">
        <v>24939</v>
      </c>
      <c r="K3660" s="5" t="s">
        <v>24871</v>
      </c>
      <c r="M3660" s="5" t="s">
        <v>24940</v>
      </c>
      <c r="N3660" s="7" t="s">
        <v>24941</v>
      </c>
      <c r="O3660" s="8" t="str">
        <f>HYPERLINK("https://drive.google.com/file/d/1NVrG0v1qvFcMAj_pxMHml2lN4GuSs5_U/view?usp=drivesdk","3659_JAENAL _ SERTIFIKAT BerAKHLAK")</f>
        <v>3659_JAENAL _ SERTIFIKAT BerAKHLAK</v>
      </c>
      <c r="P3660" s="5" t="s">
        <v>24936</v>
      </c>
    </row>
    <row r="3661">
      <c r="A3661" s="4">
        <v>45534.346656863425</v>
      </c>
      <c r="B3661" s="5" t="s">
        <v>34</v>
      </c>
      <c r="D3661" s="5" t="s">
        <v>1206</v>
      </c>
      <c r="E3661" s="5" t="s">
        <v>24942</v>
      </c>
      <c r="F3661" s="5" t="s">
        <v>212</v>
      </c>
      <c r="G3661" s="5" t="s">
        <v>24943</v>
      </c>
      <c r="H3661" s="6" t="s">
        <v>24944</v>
      </c>
      <c r="K3661" s="5" t="s">
        <v>24871</v>
      </c>
      <c r="M3661" s="5" t="s">
        <v>24945</v>
      </c>
      <c r="N3661" s="7" t="s">
        <v>24946</v>
      </c>
      <c r="O3661" s="8" t="str">
        <f>HYPERLINK("https://drive.google.com/file/d/1p3je3NftDuwCr0agvWaiGiQ6OcJgVzWq/view?usp=drivesdk","3660_JULI HARTONO _ SERTIFIKAT BerAKHLAK")</f>
        <v>3660_JULI HARTONO _ SERTIFIKAT BerAKHLAK</v>
      </c>
      <c r="P3661" s="5" t="s">
        <v>24936</v>
      </c>
    </row>
    <row r="3662">
      <c r="A3662" s="4">
        <v>45534.34666599537</v>
      </c>
      <c r="B3662" s="5" t="s">
        <v>34</v>
      </c>
      <c r="D3662" s="5" t="s">
        <v>4775</v>
      </c>
      <c r="E3662" s="5" t="s">
        <v>24947</v>
      </c>
      <c r="F3662" s="5" t="s">
        <v>72</v>
      </c>
      <c r="G3662" s="5" t="s">
        <v>24948</v>
      </c>
      <c r="H3662" s="6" t="s">
        <v>24949</v>
      </c>
      <c r="K3662" s="5" t="s">
        <v>24950</v>
      </c>
      <c r="M3662" s="5" t="s">
        <v>24951</v>
      </c>
      <c r="N3662" s="7" t="s">
        <v>24952</v>
      </c>
      <c r="O3662" s="8" t="str">
        <f>HYPERLINK("https://drive.google.com/file/d/161dPXdYMW6IEpodcQHrDRQ4JE1-KgphW/view?usp=drivesdk","3661_TUMIYEM, S.E _ SERTIFIKAT BerAKHLAK")</f>
        <v>3661_TUMIYEM, S.E _ SERTIFIKAT BerAKHLAK</v>
      </c>
      <c r="P3662" s="5" t="s">
        <v>24936</v>
      </c>
    </row>
    <row r="3663">
      <c r="A3663" s="4">
        <v>45534.34669608796</v>
      </c>
      <c r="B3663" s="5" t="s">
        <v>34</v>
      </c>
      <c r="D3663" s="5" t="s">
        <v>9020</v>
      </c>
      <c r="E3663" s="5" t="s">
        <v>24953</v>
      </c>
      <c r="F3663" s="5" t="s">
        <v>72</v>
      </c>
      <c r="G3663" s="5" t="s">
        <v>24954</v>
      </c>
      <c r="H3663" s="6" t="s">
        <v>24955</v>
      </c>
      <c r="K3663" s="5" t="s">
        <v>24950</v>
      </c>
      <c r="M3663" s="5" t="s">
        <v>24956</v>
      </c>
      <c r="N3663" s="7" t="s">
        <v>24957</v>
      </c>
      <c r="O3663" s="8" t="str">
        <f>HYPERLINK("https://drive.google.com/file/d/1-JNo2vHZmQ734MBYJbbNwNUWjaUNtTU4/view?usp=drivesdk","3662_RINAL ASRURI S. T _ SERTIFIKAT BerAKHLAK")</f>
        <v>3662_RINAL ASRURI S. T _ SERTIFIKAT BerAKHLAK</v>
      </c>
      <c r="P3663" s="5" t="s">
        <v>24958</v>
      </c>
    </row>
    <row r="3664">
      <c r="A3664" s="4">
        <v>45534.34669658565</v>
      </c>
      <c r="B3664" s="5" t="s">
        <v>34</v>
      </c>
      <c r="D3664" s="5" t="s">
        <v>35</v>
      </c>
      <c r="E3664" s="5" t="s">
        <v>24959</v>
      </c>
      <c r="F3664" s="5" t="s">
        <v>524</v>
      </c>
      <c r="G3664" s="5" t="s">
        <v>24960</v>
      </c>
      <c r="H3664" s="6" t="s">
        <v>24961</v>
      </c>
      <c r="K3664" s="5" t="s">
        <v>24950</v>
      </c>
      <c r="M3664" s="5" t="s">
        <v>24962</v>
      </c>
      <c r="N3664" s="7" t="s">
        <v>24963</v>
      </c>
      <c r="O3664" s="8" t="str">
        <f>HYPERLINK("https://drive.google.com/file/d/1v0LSFAkT5rP6BJzck0Ot21t-emGLqxs-/view?usp=drivesdk","3663_ROHJAENI _ SERTIFIKAT BerAKHLAK")</f>
        <v>3663_ROHJAENI _ SERTIFIKAT BerAKHLAK</v>
      </c>
      <c r="P3664" s="5" t="s">
        <v>24958</v>
      </c>
    </row>
    <row r="3665">
      <c r="A3665" s="4">
        <v>45534.346712708335</v>
      </c>
      <c r="B3665" s="5" t="s">
        <v>34</v>
      </c>
      <c r="D3665" s="5" t="s">
        <v>267</v>
      </c>
      <c r="E3665" s="5" t="s">
        <v>24964</v>
      </c>
      <c r="F3665" s="5" t="s">
        <v>72</v>
      </c>
      <c r="G3665" s="5" t="s">
        <v>24965</v>
      </c>
      <c r="H3665" s="6" t="s">
        <v>24966</v>
      </c>
      <c r="K3665" s="5" t="s">
        <v>24950</v>
      </c>
      <c r="M3665" s="5" t="s">
        <v>24967</v>
      </c>
      <c r="N3665" s="7" t="s">
        <v>24968</v>
      </c>
      <c r="O3665" s="8" t="str">
        <f>HYPERLINK("https://drive.google.com/file/d/1AumoO_NJK0GuJoruMonIzf4yYXfx4Jag/view?usp=drivesdk","3664_Dewi Puspa Anggraeni _ SERTIFIKAT BerAKHLAK")</f>
        <v>3664_Dewi Puspa Anggraeni _ SERTIFIKAT BerAKHLAK</v>
      </c>
      <c r="P3665" s="5" t="s">
        <v>24958</v>
      </c>
    </row>
    <row r="3666" hidden="1">
      <c r="A3666" s="4">
        <v>45534.34671686342</v>
      </c>
      <c r="B3666" s="5" t="s">
        <v>19</v>
      </c>
      <c r="C3666" s="5" t="s">
        <v>442</v>
      </c>
      <c r="E3666" s="5" t="s">
        <v>24969</v>
      </c>
      <c r="F3666" s="5" t="s">
        <v>524</v>
      </c>
      <c r="G3666" s="5" t="s">
        <v>24970</v>
      </c>
      <c r="H3666" s="6" t="s">
        <v>24971</v>
      </c>
      <c r="K3666" s="5" t="s">
        <v>24950</v>
      </c>
      <c r="M3666" s="5" t="s">
        <v>24972</v>
      </c>
      <c r="N3666" s="7" t="s">
        <v>24973</v>
      </c>
      <c r="O3666" s="8" t="str">
        <f>HYPERLINK("https://drive.google.com/file/d/13epvqIhAxdf59xQnUieE3XQFuWWT6R-1/view?usp=drivesdk","3665_SRI MULYANI, S.H. _ SERTIFIKAT BerAKHLAK")</f>
        <v>3665_SRI MULYANI, S.H. _ SERTIFIKAT BerAKHLAK</v>
      </c>
      <c r="P3666" s="5" t="s">
        <v>24958</v>
      </c>
    </row>
    <row r="3667">
      <c r="A3667" s="4">
        <v>45534.34672516204</v>
      </c>
      <c r="B3667" s="5" t="s">
        <v>34</v>
      </c>
      <c r="D3667" s="5" t="s">
        <v>12010</v>
      </c>
      <c r="E3667" s="5" t="s">
        <v>24974</v>
      </c>
      <c r="F3667" s="5" t="s">
        <v>715</v>
      </c>
      <c r="G3667" s="5" t="s">
        <v>24975</v>
      </c>
      <c r="H3667" s="6" t="s">
        <v>24976</v>
      </c>
      <c r="K3667" s="5" t="s">
        <v>24950</v>
      </c>
      <c r="M3667" s="5" t="s">
        <v>24977</v>
      </c>
      <c r="N3667" s="7" t="s">
        <v>24978</v>
      </c>
      <c r="O3667" s="8" t="str">
        <f>HYPERLINK("https://drive.google.com/file/d/1332GCS-R8MCtdtWvbp1HQmJ5lbrW6_aY/view?usp=drivesdk","3666_YESSY ANGGRAINI MANYOE, S.Sos _ SERTIFIKAT BerAKHLAK")</f>
        <v>3666_YESSY ANGGRAINI MANYOE, S.Sos _ SERTIFIKAT BerAKHLAK</v>
      </c>
      <c r="P3667" s="5" t="s">
        <v>24958</v>
      </c>
    </row>
    <row r="3668">
      <c r="A3668" s="4">
        <v>45534.34672616898</v>
      </c>
      <c r="B3668" s="5" t="s">
        <v>34</v>
      </c>
      <c r="D3668" s="5" t="s">
        <v>35</v>
      </c>
      <c r="E3668" s="5" t="s">
        <v>24979</v>
      </c>
      <c r="F3668" s="5" t="s">
        <v>212</v>
      </c>
      <c r="G3668" s="5" t="s">
        <v>24980</v>
      </c>
      <c r="H3668" s="6" t="s">
        <v>24981</v>
      </c>
      <c r="K3668" s="5" t="s">
        <v>24950</v>
      </c>
      <c r="M3668" s="5" t="s">
        <v>24982</v>
      </c>
      <c r="N3668" s="7" t="s">
        <v>24983</v>
      </c>
      <c r="O3668" s="8" t="str">
        <f>HYPERLINK("https://drive.google.com/file/d/1MwpUyJ6uAZ4hNWP6CPS4UDQCR8-kvWG6/view?usp=drivesdk","3667_MUGIA HARYANTI _ SERTIFIKAT BerAKHLAK")</f>
        <v>3667_MUGIA HARYANTI _ SERTIFIKAT BerAKHLAK</v>
      </c>
      <c r="P3668" s="5" t="s">
        <v>24984</v>
      </c>
    </row>
    <row r="3669">
      <c r="A3669" s="4">
        <v>45534.34672891204</v>
      </c>
      <c r="B3669" s="5" t="s">
        <v>34</v>
      </c>
      <c r="D3669" s="5" t="s">
        <v>4775</v>
      </c>
      <c r="E3669" s="5" t="s">
        <v>24985</v>
      </c>
      <c r="F3669" s="5" t="s">
        <v>212</v>
      </c>
      <c r="G3669" s="5" t="s">
        <v>24986</v>
      </c>
      <c r="H3669" s="6" t="s">
        <v>24987</v>
      </c>
      <c r="K3669" s="5" t="s">
        <v>24950</v>
      </c>
      <c r="M3669" s="5" t="s">
        <v>24988</v>
      </c>
      <c r="N3669" s="7" t="s">
        <v>24989</v>
      </c>
      <c r="O3669" s="8" t="str">
        <f>HYPERLINK("https://drive.google.com/file/d/15MK_1_q04ByAXMG42gzbR_A_84QFocBv/view?usp=drivesdk","3668_DHIBA KAPADIA _ SERTIFIKAT BerAKHLAK")</f>
        <v>3668_DHIBA KAPADIA _ SERTIFIKAT BerAKHLAK</v>
      </c>
      <c r="P3669" s="5" t="s">
        <v>24984</v>
      </c>
    </row>
    <row r="3670">
      <c r="A3670" s="4">
        <v>45534.346733819446</v>
      </c>
      <c r="B3670" s="5" t="s">
        <v>34</v>
      </c>
      <c r="D3670" s="5" t="s">
        <v>35</v>
      </c>
      <c r="E3670" s="5" t="s">
        <v>24990</v>
      </c>
      <c r="F3670" s="5" t="s">
        <v>37</v>
      </c>
      <c r="G3670" s="5" t="s">
        <v>24991</v>
      </c>
      <c r="H3670" s="6" t="s">
        <v>24992</v>
      </c>
      <c r="K3670" s="5" t="s">
        <v>24950</v>
      </c>
      <c r="M3670" s="5" t="s">
        <v>24993</v>
      </c>
      <c r="N3670" s="7" t="s">
        <v>24994</v>
      </c>
      <c r="O3670" s="8" t="str">
        <f>HYPERLINK("https://drive.google.com/file/d/1_8bvvt5zWMSJliDlteaQQE7iLpCpekY3/view?usp=drivesdk","3669_RUSMAN _ SERTIFIKAT BerAKHLAK")</f>
        <v>3669_RUSMAN _ SERTIFIKAT BerAKHLAK</v>
      </c>
      <c r="P3670" s="5" t="s">
        <v>24984</v>
      </c>
    </row>
    <row r="3671" hidden="1">
      <c r="A3671" s="4">
        <v>45534.34673725694</v>
      </c>
      <c r="B3671" s="5" t="s">
        <v>19</v>
      </c>
      <c r="C3671" s="5" t="s">
        <v>292</v>
      </c>
      <c r="E3671" s="5" t="s">
        <v>24995</v>
      </c>
      <c r="F3671" s="5" t="s">
        <v>120</v>
      </c>
      <c r="G3671" s="5" t="s">
        <v>24996</v>
      </c>
      <c r="H3671" s="6" t="s">
        <v>24997</v>
      </c>
      <c r="K3671" s="5" t="s">
        <v>24998</v>
      </c>
      <c r="M3671" s="5" t="s">
        <v>24999</v>
      </c>
      <c r="N3671" s="7" t="s">
        <v>25000</v>
      </c>
      <c r="O3671" s="8" t="str">
        <f>HYPERLINK("https://drive.google.com/file/d/1HcyAigGIhtYSkQEs4Byu02ddeW9P2LoD/view?usp=drivesdk","3670_SUDARWITANTI,SH,MM _ SERTIFIKAT BerAKHLAK")</f>
        <v>3670_SUDARWITANTI,SH,MM _ SERTIFIKAT BerAKHLAK</v>
      </c>
      <c r="P3671" s="5" t="s">
        <v>24984</v>
      </c>
    </row>
    <row r="3672">
      <c r="A3672" s="4">
        <v>45534.34673824074</v>
      </c>
      <c r="B3672" s="5" t="s">
        <v>34</v>
      </c>
      <c r="D3672" s="5" t="s">
        <v>1456</v>
      </c>
      <c r="E3672" s="5" t="s">
        <v>25001</v>
      </c>
      <c r="F3672" s="5" t="s">
        <v>72</v>
      </c>
      <c r="G3672" s="5" t="s">
        <v>25002</v>
      </c>
      <c r="H3672" s="6" t="s">
        <v>25003</v>
      </c>
      <c r="K3672" s="5" t="s">
        <v>24998</v>
      </c>
      <c r="M3672" s="5" t="s">
        <v>25004</v>
      </c>
      <c r="N3672" s="7" t="s">
        <v>25005</v>
      </c>
      <c r="O3672" s="8" t="str">
        <f>HYPERLINK("https://drive.google.com/file/d/1tphdMyFjJtyou8JM17fCbTy53BwcC70k/view?usp=drivesdk","3671_DEWI SETIANI  _ SERTIFIKAT BerAKHLAK")</f>
        <v>3671_DEWI SETIANI  _ SERTIFIKAT BerAKHLAK</v>
      </c>
      <c r="P3672" s="5" t="s">
        <v>25006</v>
      </c>
    </row>
    <row r="3673">
      <c r="A3673" s="4">
        <v>45534.34676695602</v>
      </c>
      <c r="B3673" s="5" t="s">
        <v>34</v>
      </c>
      <c r="D3673" s="5" t="s">
        <v>9020</v>
      </c>
      <c r="E3673" s="5" t="s">
        <v>25007</v>
      </c>
      <c r="F3673" s="5" t="s">
        <v>22</v>
      </c>
      <c r="G3673" s="5" t="s">
        <v>25008</v>
      </c>
      <c r="H3673" s="6" t="s">
        <v>25009</v>
      </c>
      <c r="K3673" s="5" t="s">
        <v>24998</v>
      </c>
      <c r="M3673" s="5" t="s">
        <v>25010</v>
      </c>
      <c r="N3673" s="7" t="s">
        <v>25011</v>
      </c>
      <c r="O3673" s="8" t="str">
        <f>HYPERLINK("https://drive.google.com/file/d/1F2Sr-VN5G-uyGXfTjNMJhrrb1eIqoMPT/view?usp=drivesdk","3672_dr.TIEN NELLY RHOMA _ SERTIFIKAT BerAKHLAK")</f>
        <v>3672_dr.TIEN NELLY RHOMA _ SERTIFIKAT BerAKHLAK</v>
      </c>
      <c r="P3673" s="5" t="s">
        <v>25006</v>
      </c>
    </row>
    <row r="3674" hidden="1">
      <c r="A3674" s="4">
        <v>45534.34676803241</v>
      </c>
      <c r="B3674" s="5" t="s">
        <v>19</v>
      </c>
      <c r="C3674" s="5" t="s">
        <v>3471</v>
      </c>
      <c r="E3674" s="5" t="s">
        <v>25012</v>
      </c>
      <c r="F3674" s="5" t="s">
        <v>108</v>
      </c>
      <c r="G3674" s="5" t="s">
        <v>25013</v>
      </c>
      <c r="H3674" s="6" t="s">
        <v>25014</v>
      </c>
      <c r="K3674" s="5" t="s">
        <v>24998</v>
      </c>
      <c r="M3674" s="5" t="s">
        <v>25015</v>
      </c>
      <c r="N3674" s="7" t="s">
        <v>25016</v>
      </c>
      <c r="O3674" s="8" t="str">
        <f>HYPERLINK("https://drive.google.com/file/d/1VBiXPEpIDA2HIGZTIncPujRP08kaZ0HP/view?usp=drivesdk","3673_INDRAYANTO, S.M. _ SERTIFIKAT BerAKHLAK")</f>
        <v>3673_INDRAYANTO, S.M. _ SERTIFIKAT BerAKHLAK</v>
      </c>
      <c r="P3674" s="5" t="s">
        <v>25006</v>
      </c>
    </row>
    <row r="3675">
      <c r="A3675" s="4">
        <v>45534.34679107639</v>
      </c>
      <c r="B3675" s="5" t="s">
        <v>34</v>
      </c>
      <c r="D3675" s="5" t="s">
        <v>701</v>
      </c>
      <c r="E3675" s="5" t="s">
        <v>25017</v>
      </c>
      <c r="F3675" s="5" t="s">
        <v>72</v>
      </c>
      <c r="G3675" s="5" t="s">
        <v>25018</v>
      </c>
      <c r="H3675" s="6" t="s">
        <v>25019</v>
      </c>
      <c r="K3675" s="5" t="s">
        <v>25020</v>
      </c>
      <c r="M3675" s="5" t="s">
        <v>25021</v>
      </c>
      <c r="N3675" s="7" t="s">
        <v>25022</v>
      </c>
      <c r="O3675" s="8" t="str">
        <f>HYPERLINK("https://drive.google.com/file/d/1jlC-w97-_qr9jwkBbOJsGHRvaiFpR3pq/view?usp=drivesdk","3674_HARMAISYAH _ SERTIFIKAT BerAKHLAK")</f>
        <v>3674_HARMAISYAH _ SERTIFIKAT BerAKHLAK</v>
      </c>
      <c r="P3675" s="5" t="s">
        <v>25006</v>
      </c>
    </row>
    <row r="3676">
      <c r="A3676" s="4">
        <v>45534.34679457176</v>
      </c>
      <c r="B3676" s="5" t="s">
        <v>34</v>
      </c>
      <c r="D3676" s="5" t="s">
        <v>6232</v>
      </c>
      <c r="E3676" s="5" t="s">
        <v>25023</v>
      </c>
      <c r="F3676" s="5" t="s">
        <v>524</v>
      </c>
      <c r="G3676" s="5" t="s">
        <v>25024</v>
      </c>
      <c r="H3676" s="6" t="s">
        <v>25025</v>
      </c>
      <c r="K3676" s="5" t="s">
        <v>25020</v>
      </c>
      <c r="M3676" s="5" t="s">
        <v>25026</v>
      </c>
      <c r="N3676" s="7" t="s">
        <v>25027</v>
      </c>
      <c r="O3676" s="8" t="str">
        <f>HYPERLINK("https://drive.google.com/file/d/1ixOXiPL627IYhMLmMluJW-2kFjDFHzAJ/view?usp=drivesdk","3675_MARLINA, SE _ SERTIFIKAT BerAKHLAK")</f>
        <v>3675_MARLINA, SE _ SERTIFIKAT BerAKHLAK</v>
      </c>
      <c r="P3676" s="5" t="s">
        <v>25028</v>
      </c>
    </row>
    <row r="3677">
      <c r="A3677" s="4">
        <v>45534.34679607639</v>
      </c>
      <c r="B3677" s="5" t="s">
        <v>34</v>
      </c>
      <c r="D3677" s="5" t="s">
        <v>6232</v>
      </c>
      <c r="E3677" s="5" t="s">
        <v>25029</v>
      </c>
      <c r="F3677" s="5" t="s">
        <v>212</v>
      </c>
      <c r="G3677" s="5" t="s">
        <v>25030</v>
      </c>
      <c r="H3677" s="6" t="s">
        <v>25031</v>
      </c>
      <c r="K3677" s="5" t="s">
        <v>25020</v>
      </c>
      <c r="M3677" s="5" t="s">
        <v>25032</v>
      </c>
      <c r="N3677" s="7" t="s">
        <v>25033</v>
      </c>
      <c r="O3677" s="8" t="str">
        <f>HYPERLINK("https://drive.google.com/file/d/1JA1Rtj1jYvPwv_mJKKUxElFBL1GkQQ6S/view?usp=drivesdk","3676_Wenli Nurdini,A.Md.Keb _ SERTIFIKAT BerAKHLAK")</f>
        <v>3676_Wenli Nurdini,A.Md.Keb _ SERTIFIKAT BerAKHLAK</v>
      </c>
      <c r="P3677" s="5" t="s">
        <v>25028</v>
      </c>
    </row>
    <row r="3678">
      <c r="A3678" s="4">
        <v>45534.34679739583</v>
      </c>
      <c r="B3678" s="5" t="s">
        <v>34</v>
      </c>
      <c r="D3678" s="5" t="s">
        <v>9020</v>
      </c>
      <c r="E3678" s="5" t="s">
        <v>25034</v>
      </c>
      <c r="F3678" s="5" t="s">
        <v>375</v>
      </c>
      <c r="G3678" s="5" t="s">
        <v>25035</v>
      </c>
      <c r="H3678" s="6" t="s">
        <v>25036</v>
      </c>
      <c r="K3678" s="5" t="s">
        <v>25020</v>
      </c>
      <c r="M3678" s="5" t="s">
        <v>25037</v>
      </c>
      <c r="N3678" s="7" t="s">
        <v>25038</v>
      </c>
      <c r="O3678" s="8" t="str">
        <f>HYPERLINK("https://drive.google.com/file/d/1o_dxP-bjIbA1oASo78TKOqhCIQAhJthd/view?usp=drivesdk","3677_HERMANSYAH _ SERTIFIKAT BerAKHLAK")</f>
        <v>3677_HERMANSYAH _ SERTIFIKAT BerAKHLAK</v>
      </c>
      <c r="P3678" s="5" t="s">
        <v>25028</v>
      </c>
    </row>
    <row r="3679">
      <c r="A3679" s="4">
        <v>45534.34680509259</v>
      </c>
      <c r="B3679" s="5" t="s">
        <v>34</v>
      </c>
      <c r="D3679" s="5" t="s">
        <v>1558</v>
      </c>
      <c r="E3679" s="5" t="s">
        <v>25039</v>
      </c>
      <c r="F3679" s="5" t="s">
        <v>120</v>
      </c>
      <c r="G3679" s="5" t="s">
        <v>25040</v>
      </c>
      <c r="H3679" s="6" t="s">
        <v>25041</v>
      </c>
      <c r="K3679" s="5" t="s">
        <v>25020</v>
      </c>
      <c r="M3679" s="5" t="s">
        <v>25042</v>
      </c>
      <c r="N3679" s="7" t="s">
        <v>25043</v>
      </c>
      <c r="O3679" s="8" t="str">
        <f>HYPERLINK("https://drive.google.com/file/d/1KKZNvFzEJpOT3MGTUmzfY7qyOM11afk3/view?usp=drivesdk","3678_Kartika wahyuningsih S Psi MM M.Psi Psikolog _ SERTIFIKAT BerAKHLAK")</f>
        <v>3678_Kartika wahyuningsih S Psi MM M.Psi Psikolog _ SERTIFIKAT BerAKHLAK</v>
      </c>
      <c r="P3679" s="5" t="s">
        <v>25028</v>
      </c>
    </row>
    <row r="3680">
      <c r="A3680" s="4">
        <v>45534.34680554398</v>
      </c>
      <c r="B3680" s="5" t="s">
        <v>34</v>
      </c>
      <c r="D3680" s="5" t="s">
        <v>4775</v>
      </c>
      <c r="E3680" s="5" t="s">
        <v>25044</v>
      </c>
      <c r="F3680" s="5" t="s">
        <v>375</v>
      </c>
      <c r="G3680" s="5" t="s">
        <v>25045</v>
      </c>
      <c r="H3680" s="6" t="s">
        <v>25046</v>
      </c>
      <c r="K3680" s="5" t="s">
        <v>25020</v>
      </c>
      <c r="M3680" s="5" t="s">
        <v>25047</v>
      </c>
      <c r="N3680" s="7" t="s">
        <v>25048</v>
      </c>
      <c r="O3680" s="8" t="str">
        <f>HYPERLINK("https://drive.google.com/file/d/1nJQHsUuvxd25u7HalDEa-Qk2YKQr4FQT/view?usp=drivesdk","3679_DR.ERIDHANI DHARMA SATYA, S.Ag., M.Pd. _ SERTIFIKAT BerAKHLAK")</f>
        <v>3679_DR.ERIDHANI DHARMA SATYA, S.Ag., M.Pd. _ SERTIFIKAT BerAKHLAK</v>
      </c>
      <c r="P3680" s="5" t="s">
        <v>25049</v>
      </c>
    </row>
    <row r="3681">
      <c r="A3681" s="4">
        <v>45534.34680755787</v>
      </c>
      <c r="B3681" s="5" t="s">
        <v>34</v>
      </c>
      <c r="D3681" s="5" t="s">
        <v>4775</v>
      </c>
      <c r="E3681" s="5" t="s">
        <v>25050</v>
      </c>
      <c r="F3681" s="5" t="s">
        <v>5859</v>
      </c>
      <c r="G3681" s="5" t="s">
        <v>25051</v>
      </c>
      <c r="H3681" s="6" t="s">
        <v>25052</v>
      </c>
      <c r="K3681" s="5" t="s">
        <v>25020</v>
      </c>
      <c r="M3681" s="5" t="s">
        <v>25053</v>
      </c>
      <c r="N3681" s="7" t="s">
        <v>25054</v>
      </c>
      <c r="O3681" s="8" t="str">
        <f>HYPERLINK("https://drive.google.com/file/d/1sSQfVzSzebvj8irWQ_U91sfqaicLK_RR/view?usp=drivesdk","3680_SANTOSO _ SERTIFIKAT BerAKHLAK")</f>
        <v>3680_SANTOSO _ SERTIFIKAT BerAKHLAK</v>
      </c>
      <c r="P3681" s="5" t="s">
        <v>25049</v>
      </c>
    </row>
    <row r="3682" hidden="1">
      <c r="A3682" s="4">
        <v>45534.346809571754</v>
      </c>
      <c r="B3682" s="5" t="s">
        <v>19</v>
      </c>
      <c r="C3682" s="5" t="s">
        <v>5564</v>
      </c>
      <c r="E3682" s="5" t="s">
        <v>25055</v>
      </c>
      <c r="F3682" s="5" t="s">
        <v>22</v>
      </c>
      <c r="G3682" s="5" t="s">
        <v>25056</v>
      </c>
      <c r="H3682" s="6" t="s">
        <v>25057</v>
      </c>
      <c r="K3682" s="5" t="s">
        <v>25020</v>
      </c>
      <c r="M3682" s="5" t="s">
        <v>25058</v>
      </c>
      <c r="N3682" s="7" t="s">
        <v>25059</v>
      </c>
      <c r="O3682" s="8" t="str">
        <f>HYPERLINK("https://drive.google.com/file/d/1OVFYOLd4FS2RwTJF7DYeb-tnUKtbXprh/view?usp=drivesdk","3681_DRG AYU SUSILOWATI MM  _ SERTIFIKAT BerAKHLAK")</f>
        <v>3681_DRG AYU SUSILOWATI MM  _ SERTIFIKAT BerAKHLAK</v>
      </c>
      <c r="P3682" s="5" t="s">
        <v>25049</v>
      </c>
    </row>
    <row r="3683">
      <c r="A3683" s="4">
        <v>45534.34681311343</v>
      </c>
      <c r="B3683" s="5" t="s">
        <v>34</v>
      </c>
      <c r="D3683" s="5" t="s">
        <v>362</v>
      </c>
      <c r="E3683" s="5" t="s">
        <v>25060</v>
      </c>
      <c r="F3683" s="5" t="s">
        <v>715</v>
      </c>
      <c r="G3683" s="5" t="s">
        <v>25061</v>
      </c>
      <c r="H3683" s="6" t="s">
        <v>25062</v>
      </c>
      <c r="K3683" s="5" t="s">
        <v>25020</v>
      </c>
      <c r="M3683" s="5" t="s">
        <v>25063</v>
      </c>
      <c r="N3683" s="7" t="s">
        <v>25064</v>
      </c>
      <c r="O3683" s="8" t="str">
        <f>HYPERLINK("https://drive.google.com/file/d/1195Lp3PC2IAZVY1VxQobfZNvuqt_c5Ic/view?usp=drivesdk","3682_EKA ELVISA, Amd. Kep _ SERTIFIKAT BerAKHLAK")</f>
        <v>3682_EKA ELVISA, Amd. Kep _ SERTIFIKAT BerAKHLAK</v>
      </c>
      <c r="P3683" s="5" t="s">
        <v>25049</v>
      </c>
    </row>
    <row r="3684">
      <c r="A3684" s="4">
        <v>45534.34682233796</v>
      </c>
      <c r="B3684" s="5" t="s">
        <v>34</v>
      </c>
      <c r="D3684" s="5" t="s">
        <v>3849</v>
      </c>
      <c r="E3684" s="5" t="s">
        <v>25065</v>
      </c>
      <c r="F3684" s="5" t="s">
        <v>37</v>
      </c>
      <c r="G3684" s="5" t="s">
        <v>25066</v>
      </c>
      <c r="H3684" s="6" t="s">
        <v>25067</v>
      </c>
      <c r="K3684" s="5" t="s">
        <v>25068</v>
      </c>
      <c r="M3684" s="5" t="s">
        <v>25069</v>
      </c>
      <c r="N3684" s="7" t="s">
        <v>25070</v>
      </c>
      <c r="O3684" s="8" t="str">
        <f>HYPERLINK("https://drive.google.com/file/d/1tXXTKjkqehJPsMDT2hTFyLRO2QrhAGO7/view?usp=drivesdk","3683_ALENI BETRI _ SERTIFIKAT BerAKHLAK")</f>
        <v>3683_ALENI BETRI _ SERTIFIKAT BerAKHLAK</v>
      </c>
      <c r="P3684" s="5" t="s">
        <v>25071</v>
      </c>
    </row>
    <row r="3685">
      <c r="A3685" s="4">
        <v>45534.34683333333</v>
      </c>
      <c r="B3685" s="5" t="s">
        <v>34</v>
      </c>
      <c r="D3685" s="5" t="s">
        <v>11527</v>
      </c>
      <c r="E3685" s="5" t="s">
        <v>25072</v>
      </c>
      <c r="F3685" s="5" t="s">
        <v>37</v>
      </c>
      <c r="G3685" s="5" t="s">
        <v>25073</v>
      </c>
      <c r="H3685" s="6" t="s">
        <v>25074</v>
      </c>
      <c r="K3685" s="5" t="s">
        <v>25068</v>
      </c>
      <c r="M3685" s="5" t="s">
        <v>25075</v>
      </c>
      <c r="N3685" s="7" t="s">
        <v>25076</v>
      </c>
      <c r="O3685" s="8" t="str">
        <f>HYPERLINK("https://drive.google.com/file/d/1O01Mtad6J5npUjJlyeSZXeEOiX1zThDK/view?usp=drivesdk","3684_FIRASAT MOKODOMPIT _ SERTIFIKAT BerAKHLAK")</f>
        <v>3684_FIRASAT MOKODOMPIT _ SERTIFIKAT BerAKHLAK</v>
      </c>
      <c r="P3685" s="5" t="s">
        <v>25071</v>
      </c>
    </row>
    <row r="3686">
      <c r="A3686" s="4">
        <v>45534.34684052083</v>
      </c>
      <c r="B3686" s="5" t="s">
        <v>34</v>
      </c>
      <c r="D3686" s="5" t="s">
        <v>1768</v>
      </c>
      <c r="E3686" s="5" t="s">
        <v>25077</v>
      </c>
      <c r="F3686" s="5" t="s">
        <v>212</v>
      </c>
      <c r="G3686" s="5" t="s">
        <v>25078</v>
      </c>
      <c r="H3686" s="6" t="s">
        <v>25079</v>
      </c>
      <c r="K3686" s="5" t="s">
        <v>25068</v>
      </c>
      <c r="M3686" s="5" t="s">
        <v>25080</v>
      </c>
      <c r="N3686" s="7" t="s">
        <v>25081</v>
      </c>
      <c r="O3686" s="8" t="str">
        <f>HYPERLINK("https://drive.google.com/file/d/1sGd_5ft8pGJWWb6LqEAZgvs3ACbD5cJ7/view?usp=drivesdk","3685_A RIANG AWALIA  _ SERTIFIKAT BerAKHLAK")</f>
        <v>3685_A RIANG AWALIA  _ SERTIFIKAT BerAKHLAK</v>
      </c>
      <c r="P3686" s="5" t="s">
        <v>25071</v>
      </c>
    </row>
    <row r="3687">
      <c r="A3687" s="4">
        <v>45534.346851979164</v>
      </c>
      <c r="B3687" s="5" t="s">
        <v>34</v>
      </c>
      <c r="D3687" s="5" t="s">
        <v>35</v>
      </c>
      <c r="E3687" s="5" t="s">
        <v>25082</v>
      </c>
      <c r="F3687" s="5" t="s">
        <v>108</v>
      </c>
      <c r="G3687" s="5" t="s">
        <v>25083</v>
      </c>
      <c r="H3687" s="6" t="s">
        <v>25084</v>
      </c>
      <c r="K3687" s="5" t="s">
        <v>25068</v>
      </c>
      <c r="M3687" s="5" t="s">
        <v>25085</v>
      </c>
      <c r="N3687" s="7" t="s">
        <v>25086</v>
      </c>
      <c r="O3687" s="8" t="str">
        <f>HYPERLINK("https://drive.google.com/file/d/1nTvD50B_SQYXvHFWdj_ZThPCzoEmGxu-/view?usp=drivesdk","3686_Dian Mardiana Juhadirta _ SERTIFIKAT BerAKHLAK")</f>
        <v>3686_Dian Mardiana Juhadirta _ SERTIFIKAT BerAKHLAK</v>
      </c>
      <c r="P3687" s="5" t="s">
        <v>25071</v>
      </c>
    </row>
    <row r="3688">
      <c r="A3688" s="4">
        <v>45534.346852476854</v>
      </c>
      <c r="B3688" s="5" t="s">
        <v>34</v>
      </c>
      <c r="D3688" s="5" t="s">
        <v>4775</v>
      </c>
      <c r="E3688" s="5" t="s">
        <v>25087</v>
      </c>
      <c r="F3688" s="5" t="s">
        <v>72</v>
      </c>
      <c r="G3688" s="5" t="s">
        <v>24948</v>
      </c>
      <c r="H3688" s="6" t="s">
        <v>25088</v>
      </c>
      <c r="K3688" s="5" t="s">
        <v>25068</v>
      </c>
      <c r="M3688" s="5" t="s">
        <v>25089</v>
      </c>
      <c r="N3688" s="7" t="s">
        <v>25090</v>
      </c>
      <c r="O3688" s="8" t="str">
        <f>HYPERLINK("https://drive.google.com/file/d/1hPn_l7yPQzU1Xlyg2k8pptwy6hbdUdWA/view?usp=drivesdk","3687_TUMIYEM _ SERTIFIKAT BerAKHLAK")</f>
        <v>3687_TUMIYEM _ SERTIFIKAT BerAKHLAK</v>
      </c>
      <c r="P3688" s="5" t="s">
        <v>25071</v>
      </c>
    </row>
    <row r="3689">
      <c r="A3689" s="4">
        <v>45534.34686027778</v>
      </c>
      <c r="B3689" s="5" t="s">
        <v>34</v>
      </c>
      <c r="D3689" s="5" t="s">
        <v>6232</v>
      </c>
      <c r="E3689" s="5" t="s">
        <v>25091</v>
      </c>
      <c r="F3689" s="5" t="s">
        <v>37</v>
      </c>
      <c r="G3689" s="5" t="s">
        <v>25092</v>
      </c>
      <c r="H3689" s="6" t="s">
        <v>25093</v>
      </c>
      <c r="K3689" s="5" t="s">
        <v>25094</v>
      </c>
      <c r="M3689" s="5" t="s">
        <v>25095</v>
      </c>
      <c r="N3689" s="7" t="s">
        <v>25096</v>
      </c>
      <c r="O3689" s="8" t="str">
        <f>HYPERLINK("https://drive.google.com/file/d/1kca7YPm1_2_v5KzrziJdCGczm03KVdpo/view?usp=drivesdk","3688_Intan Puspita Ratih _ SERTIFIKAT BerAKHLAK")</f>
        <v>3688_Intan Puspita Ratih _ SERTIFIKAT BerAKHLAK</v>
      </c>
      <c r="P3689" s="5" t="s">
        <v>25097</v>
      </c>
    </row>
    <row r="3690" hidden="1">
      <c r="A3690" s="4">
        <v>45534.34686837963</v>
      </c>
      <c r="B3690" s="5" t="s">
        <v>19</v>
      </c>
      <c r="C3690" s="5" t="s">
        <v>24076</v>
      </c>
      <c r="E3690" s="5" t="s">
        <v>25098</v>
      </c>
      <c r="F3690" s="5" t="s">
        <v>375</v>
      </c>
      <c r="G3690" s="5" t="s">
        <v>25099</v>
      </c>
      <c r="H3690" s="6" t="s">
        <v>25100</v>
      </c>
      <c r="K3690" s="5" t="s">
        <v>25094</v>
      </c>
      <c r="M3690" s="5" t="s">
        <v>25101</v>
      </c>
      <c r="N3690" s="7" t="s">
        <v>25102</v>
      </c>
      <c r="O3690" s="8" t="str">
        <f>HYPERLINK("https://drive.google.com/file/d/1l8sZwUCF_3EOpAupywUkHeJfD4znz9rS/view?usp=drivesdk","3689_ANITA ELYSIUS TOKULO _ SERTIFIKAT BerAKHLAK")</f>
        <v>3689_ANITA ELYSIUS TOKULO _ SERTIFIKAT BerAKHLAK</v>
      </c>
      <c r="P3690" s="5" t="s">
        <v>25097</v>
      </c>
    </row>
    <row r="3691" hidden="1">
      <c r="A3691" s="4">
        <v>45534.346869305555</v>
      </c>
      <c r="B3691" s="5" t="s">
        <v>19</v>
      </c>
      <c r="C3691" s="5" t="s">
        <v>442</v>
      </c>
      <c r="E3691" s="5" t="s">
        <v>25103</v>
      </c>
      <c r="F3691" s="5" t="s">
        <v>72</v>
      </c>
      <c r="G3691" s="5" t="s">
        <v>25104</v>
      </c>
      <c r="H3691" s="6" t="s">
        <v>25105</v>
      </c>
      <c r="K3691" s="5" t="s">
        <v>25094</v>
      </c>
      <c r="M3691" s="5" t="s">
        <v>25106</v>
      </c>
      <c r="N3691" s="7" t="s">
        <v>25107</v>
      </c>
      <c r="O3691" s="8" t="str">
        <f>HYPERLINK("https://drive.google.com/file/d/1BsF6_DmDCVKrtWdrhwKHnHcVMZ5oIlGg/view?usp=drivesdk","3690_AGUS MADONA _ SERTIFIKAT BerAKHLAK")</f>
        <v>3690_AGUS MADONA _ SERTIFIKAT BerAKHLAK</v>
      </c>
      <c r="P3691" s="5" t="s">
        <v>25097</v>
      </c>
    </row>
    <row r="3692">
      <c r="A3692" s="4">
        <v>45534.34687695601</v>
      </c>
      <c r="B3692" s="5" t="s">
        <v>34</v>
      </c>
      <c r="D3692" s="5" t="s">
        <v>4775</v>
      </c>
      <c r="E3692" s="5" t="s">
        <v>25108</v>
      </c>
      <c r="F3692" s="5" t="s">
        <v>375</v>
      </c>
      <c r="G3692" s="5" t="s">
        <v>25109</v>
      </c>
      <c r="H3692" s="6" t="s">
        <v>25110</v>
      </c>
      <c r="K3692" s="5" t="s">
        <v>25094</v>
      </c>
      <c r="M3692" s="5" t="s">
        <v>25111</v>
      </c>
      <c r="N3692" s="7" t="s">
        <v>25112</v>
      </c>
      <c r="O3692" s="8" t="str">
        <f>HYPERLINK("https://drive.google.com/file/d/1H4-aT-eV6UEAcV5u0uOS0QGVOi3mLyCc/view?usp=drivesdk","3691_HANDHOJO, S.Si _ SERTIFIKAT BerAKHLAK")</f>
        <v>3691_HANDHOJO, S.Si _ SERTIFIKAT BerAKHLAK</v>
      </c>
      <c r="P3692" s="5" t="s">
        <v>25097</v>
      </c>
    </row>
    <row r="3693">
      <c r="A3693" s="4">
        <v>45534.34688012731</v>
      </c>
      <c r="B3693" s="5" t="s">
        <v>34</v>
      </c>
      <c r="D3693" s="5" t="s">
        <v>996</v>
      </c>
      <c r="E3693" s="5" t="s">
        <v>25113</v>
      </c>
      <c r="F3693" s="5" t="s">
        <v>212</v>
      </c>
      <c r="G3693" s="5" t="s">
        <v>25114</v>
      </c>
      <c r="H3693" s="6" t="s">
        <v>25115</v>
      </c>
      <c r="K3693" s="5" t="s">
        <v>25094</v>
      </c>
      <c r="M3693" s="5" t="s">
        <v>25116</v>
      </c>
      <c r="N3693" s="7" t="s">
        <v>25117</v>
      </c>
      <c r="O3693" s="8" t="str">
        <f>HYPERLINK("https://drive.google.com/file/d/1Gwa4T7H-Bv_7-Ldx-oEFT9gtF3NOUUi-/view?usp=drivesdk","3692_SITI KUSTAINAH  _ SERTIFIKAT BerAKHLAK")</f>
        <v>3692_SITI KUSTAINAH  _ SERTIFIKAT BerAKHLAK</v>
      </c>
      <c r="P3693" s="5" t="s">
        <v>25118</v>
      </c>
    </row>
    <row r="3694">
      <c r="A3694" s="4">
        <v>45534.346889293985</v>
      </c>
      <c r="B3694" s="5" t="s">
        <v>34</v>
      </c>
      <c r="D3694" s="5" t="s">
        <v>4775</v>
      </c>
      <c r="E3694" s="5" t="s">
        <v>25119</v>
      </c>
      <c r="F3694" s="5" t="s">
        <v>72</v>
      </c>
      <c r="G3694" s="5" t="s">
        <v>25120</v>
      </c>
      <c r="H3694" s="6" t="s">
        <v>25121</v>
      </c>
      <c r="K3694" s="5" t="s">
        <v>25122</v>
      </c>
      <c r="M3694" s="5" t="s">
        <v>25123</v>
      </c>
      <c r="N3694" s="7" t="s">
        <v>25124</v>
      </c>
      <c r="O3694" s="8" t="str">
        <f>HYPERLINK("https://drive.google.com/file/d/1nvqlF_Hc-jCkeZh66Zp33tTp1Ww5PBzk/view?usp=drivesdk","3693_SITI KHODIJAH, AMd. SE _ SERTIFIKAT BerAKHLAK")</f>
        <v>3693_SITI KHODIJAH, AMd. SE _ SERTIFIKAT BerAKHLAK</v>
      </c>
      <c r="P3694" s="5" t="s">
        <v>25118</v>
      </c>
    </row>
    <row r="3695">
      <c r="A3695" s="4">
        <v>45534.34688927083</v>
      </c>
      <c r="B3695" s="5" t="s">
        <v>34</v>
      </c>
      <c r="D3695" s="5" t="s">
        <v>10444</v>
      </c>
      <c r="E3695" s="5" t="s">
        <v>25125</v>
      </c>
      <c r="F3695" s="5" t="s">
        <v>37</v>
      </c>
      <c r="G3695" s="5" t="s">
        <v>25126</v>
      </c>
      <c r="H3695" s="6" t="s">
        <v>25127</v>
      </c>
      <c r="K3695" s="5" t="s">
        <v>25122</v>
      </c>
      <c r="M3695" s="5" t="s">
        <v>25128</v>
      </c>
      <c r="N3695" s="7" t="s">
        <v>25129</v>
      </c>
      <c r="O3695" s="8" t="str">
        <f>HYPERLINK("https://drive.google.com/file/d/1KHKDJtv-yGsXRDpPksEkTO_MmUuCmb-c/view?usp=drivesdk","3694_RACHMAWATI YUNUS, A. MD. KEP _ SERTIFIKAT BerAKHLAK")</f>
        <v>3694_RACHMAWATI YUNUS, A. MD. KEP _ SERTIFIKAT BerAKHLAK</v>
      </c>
      <c r="P3695" s="5" t="s">
        <v>25118</v>
      </c>
    </row>
    <row r="3696">
      <c r="A3696" s="4">
        <v>45534.34690197917</v>
      </c>
      <c r="B3696" s="5" t="s">
        <v>34</v>
      </c>
      <c r="D3696" s="5" t="s">
        <v>1768</v>
      </c>
      <c r="E3696" s="5" t="s">
        <v>25130</v>
      </c>
      <c r="F3696" s="5" t="s">
        <v>375</v>
      </c>
      <c r="G3696" s="5" t="s">
        <v>25131</v>
      </c>
      <c r="H3696" s="6" t="s">
        <v>25132</v>
      </c>
      <c r="K3696" s="5" t="s">
        <v>25122</v>
      </c>
      <c r="M3696" s="5" t="s">
        <v>25133</v>
      </c>
      <c r="N3696" s="7" t="s">
        <v>25134</v>
      </c>
      <c r="O3696" s="8" t="str">
        <f>HYPERLINK("https://drive.google.com/file/d/1dbFfQhXgNfQeXAMcHirn86fi8NzcJ9RN/view?usp=drivesdk","3695_PATMAWATI BR KARO,SE _ SERTIFIKAT BerAKHLAK")</f>
        <v>3695_PATMAWATI BR KARO,SE _ SERTIFIKAT BerAKHLAK</v>
      </c>
      <c r="P3696" s="5" t="s">
        <v>25118</v>
      </c>
    </row>
    <row r="3697">
      <c r="A3697" s="4">
        <v>45534.346909224536</v>
      </c>
      <c r="B3697" s="5" t="s">
        <v>34</v>
      </c>
      <c r="D3697" s="5" t="s">
        <v>1206</v>
      </c>
      <c r="E3697" s="5" t="s">
        <v>25135</v>
      </c>
      <c r="F3697" s="5" t="s">
        <v>212</v>
      </c>
      <c r="G3697" s="5" t="s">
        <v>25136</v>
      </c>
      <c r="H3697" s="6" t="s">
        <v>25137</v>
      </c>
      <c r="K3697" s="5" t="s">
        <v>25122</v>
      </c>
      <c r="M3697" s="5" t="s">
        <v>25138</v>
      </c>
      <c r="N3697" s="7" t="s">
        <v>25139</v>
      </c>
      <c r="O3697" s="8" t="str">
        <f>HYPERLINK("https://drive.google.com/file/d/1DKT5RVYV9AcD810KYDN8hT2Aw4LXqWNw/view?usp=drivesdk","3696_MULYONO  _ SERTIFIKAT BerAKHLAK")</f>
        <v>3696_MULYONO  _ SERTIFIKAT BerAKHLAK</v>
      </c>
      <c r="P3697" s="5" t="s">
        <v>25118</v>
      </c>
    </row>
    <row r="3698">
      <c r="A3698" s="4">
        <v>45534.3469137963</v>
      </c>
      <c r="B3698" s="5" t="s">
        <v>34</v>
      </c>
      <c r="D3698" s="5" t="s">
        <v>1206</v>
      </c>
      <c r="E3698" s="5" t="s">
        <v>17521</v>
      </c>
      <c r="F3698" s="5" t="s">
        <v>212</v>
      </c>
      <c r="G3698" s="5" t="s">
        <v>25140</v>
      </c>
      <c r="H3698" s="6" t="s">
        <v>25141</v>
      </c>
      <c r="K3698" s="5" t="s">
        <v>25122</v>
      </c>
      <c r="M3698" s="5" t="s">
        <v>25142</v>
      </c>
      <c r="N3698" s="7" t="s">
        <v>25143</v>
      </c>
      <c r="O3698" s="8" t="str">
        <f>HYPERLINK("https://drive.google.com/file/d/1u1jRoAjCJMpF4NeGPolVbhER_silicGP/view?usp=drivesdk","3697_SITI ASIYAH _ SERTIFIKAT BerAKHLAK")</f>
        <v>3697_SITI ASIYAH _ SERTIFIKAT BerAKHLAK</v>
      </c>
      <c r="P3698" s="5" t="s">
        <v>25144</v>
      </c>
    </row>
    <row r="3699">
      <c r="A3699" s="4">
        <v>45534.3469196875</v>
      </c>
      <c r="B3699" s="5" t="s">
        <v>34</v>
      </c>
      <c r="D3699" s="5" t="s">
        <v>12010</v>
      </c>
      <c r="E3699" s="5" t="s">
        <v>25145</v>
      </c>
      <c r="F3699" s="5" t="s">
        <v>212</v>
      </c>
      <c r="G3699" s="5" t="s">
        <v>25146</v>
      </c>
      <c r="H3699" s="6" t="s">
        <v>25147</v>
      </c>
      <c r="K3699" s="5" t="s">
        <v>25148</v>
      </c>
      <c r="M3699" s="5" t="s">
        <v>25149</v>
      </c>
      <c r="N3699" s="7" t="s">
        <v>25150</v>
      </c>
      <c r="O3699" s="8" t="str">
        <f>HYPERLINK("https://drive.google.com/file/d/17vBfm0ymZg_9yEIKra8ECuDh1EcSxZcI/view?usp=drivesdk","3698_RENI DATAU, SH _ SERTIFIKAT BerAKHLAK")</f>
        <v>3698_RENI DATAU, SH _ SERTIFIKAT BerAKHLAK</v>
      </c>
      <c r="P3699" s="5" t="s">
        <v>25144</v>
      </c>
    </row>
    <row r="3700">
      <c r="A3700" s="4">
        <v>45534.346920474534</v>
      </c>
      <c r="B3700" s="5" t="s">
        <v>34</v>
      </c>
      <c r="D3700" s="5" t="s">
        <v>4775</v>
      </c>
      <c r="E3700" s="5" t="s">
        <v>25151</v>
      </c>
      <c r="F3700" s="5" t="s">
        <v>72</v>
      </c>
      <c r="G3700" s="5" t="s">
        <v>25152</v>
      </c>
      <c r="H3700" s="6" t="s">
        <v>25153</v>
      </c>
      <c r="K3700" s="5" t="s">
        <v>25148</v>
      </c>
      <c r="M3700" s="5" t="s">
        <v>25154</v>
      </c>
      <c r="N3700" s="7" t="s">
        <v>25155</v>
      </c>
      <c r="O3700" s="8" t="str">
        <f>HYPERLINK("https://drive.google.com/file/d/1KeNdmOKD1t13KtgYQNcO6yUbF8EkqBz1/view?usp=drivesdk","3699_SIH PRAKOSA _ SERTIFIKAT BerAKHLAK")</f>
        <v>3699_SIH PRAKOSA _ SERTIFIKAT BerAKHLAK</v>
      </c>
      <c r="P3700" s="5" t="s">
        <v>25144</v>
      </c>
    </row>
    <row r="3701">
      <c r="A3701" s="4">
        <v>45534.34692280093</v>
      </c>
      <c r="B3701" s="5" t="s">
        <v>34</v>
      </c>
      <c r="D3701" s="5" t="s">
        <v>701</v>
      </c>
      <c r="E3701" s="5" t="s">
        <v>25156</v>
      </c>
      <c r="F3701" s="5" t="s">
        <v>524</v>
      </c>
      <c r="G3701" s="5" t="s">
        <v>25157</v>
      </c>
      <c r="H3701" s="6" t="s">
        <v>25158</v>
      </c>
      <c r="K3701" s="5" t="s">
        <v>25148</v>
      </c>
      <c r="M3701" s="5" t="s">
        <v>25159</v>
      </c>
      <c r="N3701" s="7" t="s">
        <v>25160</v>
      </c>
      <c r="O3701" s="8" t="str">
        <f>HYPERLINK("https://drive.google.com/file/d/1kbwccpfmcq33cgdjxduWMqcg2awdmW5j/view?usp=drivesdk","3700_KEVIN KAHFI KAMANDANO, S.H. _ SERTIFIKAT BerAKHLAK")</f>
        <v>3700_KEVIN KAHFI KAMANDANO, S.H. _ SERTIFIKAT BerAKHLAK</v>
      </c>
      <c r="P3701" s="5" t="s">
        <v>25144</v>
      </c>
    </row>
    <row r="3702">
      <c r="A3702" s="4">
        <v>45534.346926122686</v>
      </c>
      <c r="B3702" s="5" t="s">
        <v>34</v>
      </c>
      <c r="D3702" s="5" t="s">
        <v>6232</v>
      </c>
      <c r="E3702" s="5" t="s">
        <v>25161</v>
      </c>
      <c r="F3702" s="5" t="s">
        <v>37</v>
      </c>
      <c r="G3702" s="5" t="s">
        <v>25162</v>
      </c>
      <c r="H3702" s="6" t="s">
        <v>25163</v>
      </c>
      <c r="K3702" s="5" t="s">
        <v>25148</v>
      </c>
      <c r="M3702" s="5" t="s">
        <v>25164</v>
      </c>
      <c r="N3702" s="7" t="s">
        <v>25165</v>
      </c>
      <c r="O3702" s="8" t="str">
        <f>HYPERLINK("https://drive.google.com/file/d/14w5ov2eEIhnIZShd1VY6lGC0vfAntE3r/view?usp=drivesdk","3701_ANEPRI KAWISMAN, AMD. KEP _ SERTIFIKAT BerAKHLAK")</f>
        <v>3701_ANEPRI KAWISMAN, AMD. KEP _ SERTIFIKAT BerAKHLAK</v>
      </c>
      <c r="P3702" s="5" t="s">
        <v>25166</v>
      </c>
    </row>
    <row r="3703">
      <c r="A3703" s="4">
        <v>45534.346932650464</v>
      </c>
      <c r="B3703" s="5" t="s">
        <v>34</v>
      </c>
      <c r="D3703" s="5" t="s">
        <v>14424</v>
      </c>
      <c r="E3703" s="5" t="s">
        <v>25167</v>
      </c>
      <c r="F3703" s="5" t="s">
        <v>375</v>
      </c>
      <c r="G3703" s="5" t="s">
        <v>25168</v>
      </c>
      <c r="H3703" s="6" t="s">
        <v>25169</v>
      </c>
      <c r="K3703" s="5" t="s">
        <v>25148</v>
      </c>
      <c r="M3703" s="5" t="s">
        <v>25170</v>
      </c>
      <c r="N3703" s="7" t="s">
        <v>25171</v>
      </c>
      <c r="O3703" s="8" t="str">
        <f>HYPERLINK("https://drive.google.com/file/d/1TStjIWlODfdNoSS8CcLGvn5riVuvDFes/view?usp=drivesdk","3702_VITRI WAHYUNI, S.E. _ SERTIFIKAT BerAKHLAK")</f>
        <v>3702_VITRI WAHYUNI, S.E. _ SERTIFIKAT BerAKHLAK</v>
      </c>
      <c r="P3703" s="5" t="s">
        <v>25166</v>
      </c>
    </row>
    <row r="3704">
      <c r="A3704" s="4">
        <v>45534.346959953706</v>
      </c>
      <c r="B3704" s="5" t="s">
        <v>34</v>
      </c>
      <c r="D3704" s="5" t="s">
        <v>4775</v>
      </c>
      <c r="E3704" s="5" t="s">
        <v>25172</v>
      </c>
      <c r="F3704" s="5" t="s">
        <v>108</v>
      </c>
      <c r="G3704" s="5" t="s">
        <v>25173</v>
      </c>
      <c r="H3704" s="6" t="s">
        <v>25174</v>
      </c>
      <c r="I3704" s="7" t="s">
        <v>25175</v>
      </c>
      <c r="J3704" s="8" t="str">
        <f>HYPERLINK("https://drive.google.com/file/d/1L1tD4PiRafNcDQ1we1_6SY7nGHpeRHR0/view?usp=drivesdk","PUTDWIHANDA BAYU ANGGORO SERTIFIKAT BerAKHLAK")</f>
        <v>PUTDWIHANDA BAYU ANGGORO SERTIFIKAT BerAKHLAK</v>
      </c>
      <c r="K3704" s="5" t="s">
        <v>24057</v>
      </c>
      <c r="L3704" s="5" t="s">
        <v>25176</v>
      </c>
      <c r="M3704" s="5" t="s">
        <v>25177</v>
      </c>
      <c r="N3704" s="7" t="s">
        <v>25178</v>
      </c>
      <c r="O3704" s="8" t="str">
        <f>HYPERLINK("https://drive.google.com/file/d/1zyjfBkkaR9ItwJss9c35cPuQlqSrpABn/view?usp=drivesdk","3703_PUTDWIHANDA BAYU ANGGORO _ SERTIFIKAT BerAKHLAK")</f>
        <v>3703_PUTDWIHANDA BAYU ANGGORO _ SERTIFIKAT BerAKHLAK</v>
      </c>
      <c r="P3704" s="5" t="s">
        <v>25166</v>
      </c>
    </row>
    <row r="3705" hidden="1">
      <c r="A3705" s="4">
        <v>45534.34696502315</v>
      </c>
      <c r="B3705" s="5" t="s">
        <v>19</v>
      </c>
      <c r="C3705" s="5" t="s">
        <v>292</v>
      </c>
      <c r="E3705" s="5" t="s">
        <v>25179</v>
      </c>
      <c r="F3705" s="5" t="s">
        <v>212</v>
      </c>
      <c r="G3705" s="5" t="s">
        <v>25180</v>
      </c>
      <c r="H3705" s="6" t="s">
        <v>25181</v>
      </c>
      <c r="I3705" s="7" t="s">
        <v>25182</v>
      </c>
      <c r="J3705" s="8" t="str">
        <f>HYPERLINK("https://drive.google.com/file/d/1SQj1b1SITswbWsczQq-xr7N49Vepeyv2/view?usp=drivesdk","KEMAS HARYADI SERTIFIKAT BerAKHLAK")</f>
        <v>KEMAS HARYADI SERTIFIKAT BerAKHLAK</v>
      </c>
      <c r="K3705" s="5" t="s">
        <v>25183</v>
      </c>
      <c r="L3705" s="5" t="s">
        <v>25184</v>
      </c>
      <c r="M3705" s="5" t="s">
        <v>25185</v>
      </c>
      <c r="N3705" s="7" t="s">
        <v>25186</v>
      </c>
      <c r="O3705" s="8" t="str">
        <f>HYPERLINK("https://drive.google.com/file/d/1wtSlyQhA-qZlu5jBaggmtQxvjFU74NG0/view?usp=drivesdk","3704_KEMAS HARYADI _ SERTIFIKAT BerAKHLAK")</f>
        <v>3704_KEMAS HARYADI _ SERTIFIKAT BerAKHLAK</v>
      </c>
      <c r="P3705" s="5" t="s">
        <v>25166</v>
      </c>
    </row>
    <row r="3706">
      <c r="A3706" s="4">
        <v>45534.346973391206</v>
      </c>
      <c r="B3706" s="5" t="s">
        <v>34</v>
      </c>
      <c r="D3706" s="5" t="s">
        <v>267</v>
      </c>
      <c r="E3706" s="5" t="s">
        <v>25187</v>
      </c>
      <c r="F3706" s="5" t="s">
        <v>108</v>
      </c>
      <c r="G3706" s="5" t="s">
        <v>25188</v>
      </c>
      <c r="H3706" s="6" t="s">
        <v>25189</v>
      </c>
      <c r="K3706" s="5" t="s">
        <v>25190</v>
      </c>
      <c r="M3706" s="5" t="s">
        <v>25191</v>
      </c>
      <c r="N3706" s="7" t="s">
        <v>25192</v>
      </c>
      <c r="O3706" s="8" t="str">
        <f>HYPERLINK("https://drive.google.com/file/d/1fKxT1wi1pb7-gueHpta-nIR1SOXmS58S/view?usp=drivesdk","3705_ANDILA, A.Md _ SERTIFIKAT BerAKHLAK")</f>
        <v>3705_ANDILA, A.Md _ SERTIFIKAT BerAKHLAK</v>
      </c>
      <c r="P3706" s="5" t="s">
        <v>25193</v>
      </c>
    </row>
    <row r="3707">
      <c r="A3707" s="4">
        <v>45534.346977511574</v>
      </c>
      <c r="B3707" s="5" t="s">
        <v>34</v>
      </c>
      <c r="D3707" s="5" t="s">
        <v>35</v>
      </c>
      <c r="E3707" s="5" t="s">
        <v>25194</v>
      </c>
      <c r="F3707" s="5" t="s">
        <v>212</v>
      </c>
      <c r="G3707" s="5" t="s">
        <v>25195</v>
      </c>
      <c r="H3707" s="6" t="s">
        <v>25196</v>
      </c>
      <c r="I3707" s="7" t="s">
        <v>25197</v>
      </c>
      <c r="J3707" s="8" t="str">
        <f>HYPERLINK("https://drive.google.com/file/d/1DaBeRKSfCGtVTh8Gq8fRycKHnMRy3plw/view?usp=drivesdk","OJO SANDI SERTIFIKAT BerAKHLAK")</f>
        <v>OJO SANDI SERTIFIKAT BerAKHLAK</v>
      </c>
      <c r="K3707" s="5" t="s">
        <v>24057</v>
      </c>
      <c r="L3707" s="5" t="s">
        <v>25198</v>
      </c>
      <c r="M3707" s="5" t="s">
        <v>25199</v>
      </c>
      <c r="N3707" s="7" t="s">
        <v>25200</v>
      </c>
      <c r="O3707" s="8" t="str">
        <f>HYPERLINK("https://drive.google.com/file/d/1lJfePWibod47ZLFBMC2YVMIA2NGQ0N8C/view?usp=drivesdk","3706_OJO SANDI _ SERTIFIKAT BerAKHLAK")</f>
        <v>3706_OJO SANDI _ SERTIFIKAT BerAKHLAK</v>
      </c>
      <c r="P3707" s="5" t="s">
        <v>25193</v>
      </c>
    </row>
    <row r="3708">
      <c r="A3708" s="4">
        <v>45534.34698508102</v>
      </c>
      <c r="B3708" s="5" t="s">
        <v>34</v>
      </c>
      <c r="D3708" s="5" t="s">
        <v>1206</v>
      </c>
      <c r="E3708" s="5" t="s">
        <v>25201</v>
      </c>
      <c r="F3708" s="5" t="s">
        <v>212</v>
      </c>
      <c r="G3708" s="5" t="s">
        <v>25202</v>
      </c>
      <c r="H3708" s="6" t="s">
        <v>25203</v>
      </c>
      <c r="I3708" s="7" t="s">
        <v>25204</v>
      </c>
      <c r="J3708" s="8" t="str">
        <f>HYPERLINK("https://drive.google.com/file/d/1aSYhbnRpRKW9rZ_9HLw0G2stnWkqthHJ/view?usp=drivesdk","DIDIK SANTOSO SERTIFIKAT BerAKHLAK")</f>
        <v>DIDIK SANTOSO SERTIFIKAT BerAKHLAK</v>
      </c>
      <c r="K3708" s="5" t="s">
        <v>25183</v>
      </c>
      <c r="L3708" s="5" t="s">
        <v>25205</v>
      </c>
      <c r="M3708" s="5" t="s">
        <v>25206</v>
      </c>
      <c r="N3708" s="7" t="s">
        <v>25207</v>
      </c>
      <c r="O3708" s="8" t="str">
        <f>HYPERLINK("https://drive.google.com/file/d/1Qm3VrNcoHzq387k6ZvjVqjM9hnE_WBnc/view?usp=drivesdk","3707_DIDIK SANTOSO _ SERTIFIKAT BerAKHLAK")</f>
        <v>3707_DIDIK SANTOSO _ SERTIFIKAT BerAKHLAK</v>
      </c>
      <c r="P3708" s="5" t="s">
        <v>25193</v>
      </c>
    </row>
    <row r="3709">
      <c r="A3709" s="4">
        <v>45534.34698552084</v>
      </c>
      <c r="B3709" s="5" t="s">
        <v>34</v>
      </c>
      <c r="D3709" s="5" t="s">
        <v>9020</v>
      </c>
      <c r="E3709" s="5" t="s">
        <v>25208</v>
      </c>
      <c r="F3709" s="5" t="s">
        <v>37</v>
      </c>
      <c r="G3709" s="5" t="s">
        <v>25209</v>
      </c>
      <c r="H3709" s="6" t="s">
        <v>25210</v>
      </c>
      <c r="I3709" s="7" t="s">
        <v>25211</v>
      </c>
      <c r="J3709" s="8" t="str">
        <f>HYPERLINK("https://drive.google.com/file/d/19XCAdrVZtW9Yx9vGDpt8J1OMU7hE5H0b/view?usp=drivesdk","SILVIA SIREGAR,S.kep SERTIFIKAT BerAKHLAK")</f>
        <v>SILVIA SIREGAR,S.kep SERTIFIKAT BerAKHLAK</v>
      </c>
      <c r="K3709" s="5" t="s">
        <v>25183</v>
      </c>
      <c r="L3709" s="5" t="s">
        <v>25212</v>
      </c>
      <c r="M3709" s="5" t="s">
        <v>25213</v>
      </c>
      <c r="N3709" s="7" t="s">
        <v>25214</v>
      </c>
      <c r="O3709" s="8" t="str">
        <f>HYPERLINK("https://drive.google.com/file/d/1JZqzl_OJJXrZYvJIR6umAkvPsHFSpVPF/view?usp=drivesdk","3708_SILVIA SIREGAR,S.kep _ SERTIFIKAT BerAKHLAK")</f>
        <v>3708_SILVIA SIREGAR,S.kep _ SERTIFIKAT BerAKHLAK</v>
      </c>
      <c r="P3709" s="5" t="s">
        <v>25193</v>
      </c>
    </row>
    <row r="3710">
      <c r="A3710" s="4">
        <v>45534.34698736111</v>
      </c>
      <c r="B3710" s="5" t="s">
        <v>34</v>
      </c>
      <c r="D3710" s="5" t="s">
        <v>6232</v>
      </c>
      <c r="E3710" s="5" t="s">
        <v>25215</v>
      </c>
      <c r="F3710" s="5" t="s">
        <v>72</v>
      </c>
      <c r="G3710" s="5" t="s">
        <v>25216</v>
      </c>
      <c r="H3710" s="6" t="s">
        <v>25217</v>
      </c>
      <c r="I3710" s="7" t="s">
        <v>25218</v>
      </c>
      <c r="J3710" s="8" t="str">
        <f>HYPERLINK("https://drive.google.com/file/d/12PdFovyGYdLUTA6yKY2McdLk6GIr-M8_/view?usp=drivesdk","ETI MARTATI SERTIFIKAT BerAKHLAK")</f>
        <v>ETI MARTATI SERTIFIKAT BerAKHLAK</v>
      </c>
      <c r="K3710" s="5" t="s">
        <v>25183</v>
      </c>
      <c r="L3710" s="5" t="s">
        <v>25219</v>
      </c>
      <c r="M3710" s="5" t="s">
        <v>25220</v>
      </c>
      <c r="N3710" s="7" t="s">
        <v>25221</v>
      </c>
      <c r="O3710" s="8" t="str">
        <f>HYPERLINK("https://drive.google.com/file/d/1utrwPf4M2239VTbmq9Cl1woln9P45Ne_/view?usp=drivesdk","3709_ETI MARTATI _ SERTIFIKAT BerAKHLAK")</f>
        <v>3709_ETI MARTATI _ SERTIFIKAT BerAKHLAK</v>
      </c>
      <c r="P3710" s="5" t="s">
        <v>25222</v>
      </c>
    </row>
    <row r="3711">
      <c r="A3711" s="4">
        <v>45534.3469925463</v>
      </c>
      <c r="B3711" s="5" t="s">
        <v>34</v>
      </c>
      <c r="D3711" s="5" t="s">
        <v>7858</v>
      </c>
      <c r="E3711" s="5" t="s">
        <v>25223</v>
      </c>
      <c r="F3711" s="5" t="s">
        <v>120</v>
      </c>
      <c r="G3711" s="5" t="s">
        <v>19361</v>
      </c>
      <c r="H3711" s="6" t="s">
        <v>25224</v>
      </c>
      <c r="K3711" s="5" t="s">
        <v>25225</v>
      </c>
      <c r="M3711" s="5" t="s">
        <v>25226</v>
      </c>
      <c r="N3711" s="7" t="s">
        <v>25227</v>
      </c>
      <c r="O3711" s="8" t="str">
        <f>HYPERLINK("https://drive.google.com/file/d/1QoBIKhhvoBXCDCyfrdcic-NHSFnVVXHf/view?usp=drivesdk","3710_EKA IYUS SUPTANDAR, S.H. _ SERTIFIKAT BerAKHLAK")</f>
        <v>3710_EKA IYUS SUPTANDAR, S.H. _ SERTIFIKAT BerAKHLAK</v>
      </c>
      <c r="P3711" s="5" t="s">
        <v>25222</v>
      </c>
    </row>
    <row r="3712">
      <c r="A3712" s="4">
        <v>45534.34699899306</v>
      </c>
      <c r="B3712" s="5" t="s">
        <v>34</v>
      </c>
      <c r="D3712" s="5" t="s">
        <v>9020</v>
      </c>
      <c r="E3712" s="5" t="s">
        <v>25228</v>
      </c>
      <c r="F3712" s="5" t="s">
        <v>375</v>
      </c>
      <c r="G3712" s="5" t="s">
        <v>25229</v>
      </c>
      <c r="H3712" s="6" t="s">
        <v>25230</v>
      </c>
      <c r="K3712" s="5" t="s">
        <v>25225</v>
      </c>
      <c r="M3712" s="5" t="s">
        <v>25231</v>
      </c>
      <c r="N3712" s="7" t="s">
        <v>25232</v>
      </c>
      <c r="O3712" s="8" t="str">
        <f>HYPERLINK("https://drive.google.com/file/d/1ArEj0CIK4CJUISB2566LatztIUXBR43B/view?usp=drivesdk","3711_PENATA TK I SUSY ELFRIDA SIREGAR, S.E., M.Ak _ SERTIFIKAT BerAKHLAK")</f>
        <v>3711_PENATA TK I SUSY ELFRIDA SIREGAR, S.E., M.Ak _ SERTIFIKAT BerAKHLAK</v>
      </c>
      <c r="P3712" s="5" t="s">
        <v>25222</v>
      </c>
    </row>
    <row r="3713">
      <c r="A3713" s="4">
        <v>45534.3470094213</v>
      </c>
      <c r="B3713" s="5" t="s">
        <v>34</v>
      </c>
      <c r="D3713" s="5" t="s">
        <v>1206</v>
      </c>
      <c r="E3713" s="5" t="s">
        <v>25233</v>
      </c>
      <c r="F3713" s="5" t="s">
        <v>212</v>
      </c>
      <c r="G3713" s="5" t="s">
        <v>25234</v>
      </c>
      <c r="H3713" s="6" t="s">
        <v>25235</v>
      </c>
      <c r="I3713" s="7" t="s">
        <v>25236</v>
      </c>
      <c r="J3713" s="8" t="str">
        <f>HYPERLINK("https://drive.google.com/file/d/1ihC4YglMvBw7Gc85Sm2aC8qpNUk7Npll/view?usp=drivesdk","MARTATIK  SERTIFIKAT BerAKHLAK")</f>
        <v>MARTATIK  SERTIFIKAT BerAKHLAK</v>
      </c>
      <c r="K3713" s="5" t="s">
        <v>24057</v>
      </c>
      <c r="L3713" s="5" t="s">
        <v>25237</v>
      </c>
      <c r="M3713" s="5" t="s">
        <v>25238</v>
      </c>
      <c r="N3713" s="7" t="s">
        <v>25239</v>
      </c>
      <c r="O3713" s="8" t="str">
        <f>HYPERLINK("https://drive.google.com/file/d/1GdtW5TO9YWALYUwgQzkbEmb6frfCyLHw/view?usp=drivesdk","3712_MARTATIK  _ SERTIFIKAT BerAKHLAK")</f>
        <v>3712_MARTATIK  _ SERTIFIKAT BerAKHLAK</v>
      </c>
      <c r="P3713" s="5" t="s">
        <v>25222</v>
      </c>
    </row>
    <row r="3714">
      <c r="A3714" s="4">
        <v>45534.34701133102</v>
      </c>
      <c r="B3714" s="5" t="s">
        <v>34</v>
      </c>
      <c r="D3714" s="5" t="s">
        <v>1456</v>
      </c>
      <c r="E3714" s="5" t="s">
        <v>24545</v>
      </c>
      <c r="F3714" s="5" t="s">
        <v>37</v>
      </c>
      <c r="G3714" s="5" t="s">
        <v>25240</v>
      </c>
      <c r="H3714" s="6" t="s">
        <v>25241</v>
      </c>
      <c r="I3714" s="7" t="s">
        <v>25242</v>
      </c>
      <c r="J3714" s="8" t="str">
        <f>HYPERLINK("https://drive.google.com/file/d/1lv0yzvmcj9P8wn2lGJabsvSJyvdhgP2n/view?usp=drivesdk","SANDI, S.M SERTIFIKAT BerAKHLAK")</f>
        <v>SANDI, S.M SERTIFIKAT BerAKHLAK</v>
      </c>
      <c r="K3714" s="5" t="s">
        <v>25183</v>
      </c>
      <c r="L3714" s="5" t="s">
        <v>25243</v>
      </c>
      <c r="M3714" s="5" t="s">
        <v>25244</v>
      </c>
      <c r="N3714" s="7" t="s">
        <v>25245</v>
      </c>
      <c r="O3714" s="8" t="str">
        <f>HYPERLINK("https://drive.google.com/file/d/1OZGotCSmjkc3MQlCGXujBVqgH0Bp5rWD/view?usp=drivesdk","3713_SANDI, S.M _ SERTIFIKAT BerAKHLAK")</f>
        <v>3713_SANDI, S.M _ SERTIFIKAT BerAKHLAK</v>
      </c>
      <c r="P3714" s="5" t="s">
        <v>25222</v>
      </c>
    </row>
    <row r="3715">
      <c r="A3715" s="4">
        <v>45534.34702724537</v>
      </c>
      <c r="B3715" s="5" t="s">
        <v>34</v>
      </c>
      <c r="D3715" s="5" t="s">
        <v>1206</v>
      </c>
      <c r="E3715" s="5" t="s">
        <v>25246</v>
      </c>
      <c r="F3715" s="5" t="s">
        <v>212</v>
      </c>
      <c r="G3715" s="5" t="s">
        <v>25247</v>
      </c>
      <c r="H3715" s="6" t="s">
        <v>25248</v>
      </c>
      <c r="I3715" s="7" t="s">
        <v>25249</v>
      </c>
      <c r="J3715" s="8" t="str">
        <f>HYPERLINK("https://drive.google.com/file/d/1B6NHCnQdaqxinmadQ1YTFrQ8qA1jVFNj/view?usp=drivesdk","SITI MUNAWAROH SERTIFIKAT BerAKHLAK")</f>
        <v>SITI MUNAWAROH SERTIFIKAT BerAKHLAK</v>
      </c>
      <c r="K3715" s="5" t="s">
        <v>25183</v>
      </c>
      <c r="L3715" s="5" t="s">
        <v>25250</v>
      </c>
      <c r="M3715" s="5" t="s">
        <v>25251</v>
      </c>
      <c r="N3715" s="7" t="s">
        <v>25252</v>
      </c>
      <c r="O3715" s="8" t="str">
        <f>HYPERLINK("https://drive.google.com/file/d/1CYC8cnUdcX9kBtT3o9qvCE6xAkieFAcl/view?usp=drivesdk","3714_SITI MUNAWAROH _ SERTIFIKAT BerAKHLAK")</f>
        <v>3714_SITI MUNAWAROH _ SERTIFIKAT BerAKHLAK</v>
      </c>
      <c r="P3715" s="5" t="s">
        <v>25253</v>
      </c>
    </row>
    <row r="3716">
      <c r="A3716" s="4">
        <v>45534.34703040509</v>
      </c>
      <c r="B3716" s="5" t="s">
        <v>34</v>
      </c>
      <c r="D3716" s="5" t="s">
        <v>35</v>
      </c>
      <c r="E3716" s="5" t="s">
        <v>25254</v>
      </c>
      <c r="F3716" s="5" t="s">
        <v>524</v>
      </c>
      <c r="G3716" s="5" t="s">
        <v>25255</v>
      </c>
      <c r="H3716" s="6" t="s">
        <v>25256</v>
      </c>
      <c r="I3716" s="7" t="s">
        <v>25257</v>
      </c>
      <c r="J3716" s="8" t="str">
        <f>HYPERLINK("https://drive.google.com/file/d/1_8gdEAO5C4qXcpDSLIRNAcwMh6B5lKMu/view?usp=drivesdk","JURAHMI SERTIFIKAT BerAKHLAK")</f>
        <v>JURAHMI SERTIFIKAT BerAKHLAK</v>
      </c>
      <c r="K3716" s="5" t="s">
        <v>25183</v>
      </c>
      <c r="L3716" s="5" t="s">
        <v>25258</v>
      </c>
      <c r="M3716" s="5" t="s">
        <v>25259</v>
      </c>
      <c r="N3716" s="7" t="s">
        <v>25260</v>
      </c>
      <c r="O3716" s="8" t="str">
        <f>HYPERLINK("https://drive.google.com/file/d/1hH_ZPY_uGHt1zn_bFRscDxHOgfOznLKq/view?usp=drivesdk","3715_JURAHMI _ SERTIFIKAT BerAKHLAK")</f>
        <v>3715_JURAHMI _ SERTIFIKAT BerAKHLAK</v>
      </c>
      <c r="P3716" s="5" t="s">
        <v>25253</v>
      </c>
    </row>
    <row r="3717">
      <c r="A3717" s="4">
        <v>45534.34703295139</v>
      </c>
      <c r="B3717" s="5" t="s">
        <v>34</v>
      </c>
      <c r="D3717" s="5" t="s">
        <v>10444</v>
      </c>
      <c r="E3717" s="5" t="s">
        <v>25261</v>
      </c>
      <c r="F3717" s="5" t="s">
        <v>375</v>
      </c>
      <c r="G3717" s="5" t="s">
        <v>25262</v>
      </c>
      <c r="H3717" s="6" t="s">
        <v>25263</v>
      </c>
      <c r="I3717" s="7" t="s">
        <v>25264</v>
      </c>
      <c r="J3717" s="8" t="str">
        <f>HYPERLINK("https://drive.google.com/file/d/1f2slyUbtvpIi8QYLLvESuRJtAd9D64rr/view?usp=drivesdk","ADE MUKRI, S.E SERTIFIKAT BerAKHLAK")</f>
        <v>ADE MUKRI, S.E SERTIFIKAT BerAKHLAK</v>
      </c>
      <c r="K3717" s="5" t="s">
        <v>25183</v>
      </c>
      <c r="L3717" s="5" t="s">
        <v>25265</v>
      </c>
      <c r="M3717" s="5" t="s">
        <v>25266</v>
      </c>
      <c r="N3717" s="7" t="s">
        <v>25267</v>
      </c>
      <c r="O3717" s="8" t="str">
        <f>HYPERLINK("https://drive.google.com/file/d/19FzBah_OvND_8re3iGkvC9QL2lqFRM21/view?usp=drivesdk","3716_ADE MUKRI, S.E _ SERTIFIKAT BerAKHLAK")</f>
        <v>3716_ADE MUKRI, S.E _ SERTIFIKAT BerAKHLAK</v>
      </c>
      <c r="P3717" s="5" t="s">
        <v>25253</v>
      </c>
    </row>
    <row r="3718">
      <c r="A3718" s="4">
        <v>45534.34703802083</v>
      </c>
      <c r="B3718" s="5" t="s">
        <v>34</v>
      </c>
      <c r="D3718" s="5" t="s">
        <v>4775</v>
      </c>
      <c r="E3718" s="5" t="s">
        <v>25268</v>
      </c>
      <c r="F3718" s="5" t="s">
        <v>120</v>
      </c>
      <c r="G3718" s="5" t="s">
        <v>25269</v>
      </c>
      <c r="H3718" s="6" t="s">
        <v>25270</v>
      </c>
      <c r="I3718" s="7" t="s">
        <v>25271</v>
      </c>
      <c r="J3718" s="8" t="str">
        <f>HYPERLINK("https://drive.google.com/file/d/1tQzCNxQrt3ve-ygQAdmqs-vbCYFIU_Sp/view?usp=drivesdk","FARIDAH NUGRAHANI SERTIFIKAT BerAKHLAK")</f>
        <v>FARIDAH NUGRAHANI SERTIFIKAT BerAKHLAK</v>
      </c>
      <c r="K3718" s="5" t="s">
        <v>25183</v>
      </c>
      <c r="L3718" s="5" t="s">
        <v>25272</v>
      </c>
      <c r="M3718" s="5" t="s">
        <v>25273</v>
      </c>
      <c r="N3718" s="7" t="s">
        <v>25274</v>
      </c>
      <c r="O3718" s="8" t="str">
        <f>HYPERLINK("https://drive.google.com/file/d/1eoVyl74mwun6roMxNUmLE_LpGsOppi2P/view?usp=drivesdk","3717_FARIDAH NUGRAHANI _ SERTIFIKAT BerAKHLAK")</f>
        <v>3717_FARIDAH NUGRAHANI _ SERTIFIKAT BerAKHLAK</v>
      </c>
      <c r="P3718" s="5" t="s">
        <v>25253</v>
      </c>
    </row>
    <row r="3719">
      <c r="A3719" s="4">
        <v>45534.347041388886</v>
      </c>
      <c r="B3719" s="5" t="s">
        <v>34</v>
      </c>
      <c r="D3719" s="5" t="s">
        <v>1206</v>
      </c>
      <c r="E3719" s="5" t="s">
        <v>25275</v>
      </c>
      <c r="F3719" s="5" t="s">
        <v>524</v>
      </c>
      <c r="G3719" s="5" t="s">
        <v>25276</v>
      </c>
      <c r="H3719" s="6" t="s">
        <v>25277</v>
      </c>
      <c r="I3719" s="7" t="s">
        <v>25278</v>
      </c>
      <c r="J3719" s="8" t="str">
        <f>HYPERLINK("https://drive.google.com/file/d/1KKg2i3bfyM5ozRYTIqp9fQ8tiA7JVYRq/view?usp=drivesdk","SUNARTI S SOS SERTIFIKAT BerAKHLAK")</f>
        <v>SUNARTI S SOS SERTIFIKAT BerAKHLAK</v>
      </c>
      <c r="K3719" s="5" t="s">
        <v>25183</v>
      </c>
      <c r="L3719" s="5" t="s">
        <v>25279</v>
      </c>
      <c r="M3719" s="5" t="s">
        <v>25280</v>
      </c>
      <c r="N3719" s="7" t="s">
        <v>25281</v>
      </c>
      <c r="O3719" s="8" t="str">
        <f>HYPERLINK("https://drive.google.com/file/d/120fattWhCKzvprlAYI87pB9hXCjXq4qk/view?usp=drivesdk","3718_SUNARTI S SOS _ SERTIFIKAT BerAKHLAK")</f>
        <v>3718_SUNARTI S SOS _ SERTIFIKAT BerAKHLAK</v>
      </c>
      <c r="P3719" s="5" t="s">
        <v>25253</v>
      </c>
    </row>
    <row r="3720">
      <c r="A3720" s="4">
        <v>45534.34706438657</v>
      </c>
      <c r="B3720" s="5" t="s">
        <v>34</v>
      </c>
      <c r="D3720" s="5" t="s">
        <v>10444</v>
      </c>
      <c r="E3720" s="5" t="s">
        <v>5498</v>
      </c>
      <c r="F3720" s="5" t="s">
        <v>212</v>
      </c>
      <c r="G3720" s="5" t="s">
        <v>25282</v>
      </c>
      <c r="H3720" s="6" t="s">
        <v>25283</v>
      </c>
      <c r="I3720" s="7" t="s">
        <v>25284</v>
      </c>
      <c r="J3720" s="8" t="str">
        <f>HYPERLINK("https://drive.google.com/file/d/1aWmt5ZuqcHQSkeAFQBnHXqTclcPCl98X/view?usp=drivesdk","SULISTYOWATI SERTIFIKAT BerAKHLAK")</f>
        <v>SULISTYOWATI SERTIFIKAT BerAKHLAK</v>
      </c>
      <c r="K3720" s="5" t="s">
        <v>25183</v>
      </c>
      <c r="L3720" s="5" t="s">
        <v>25285</v>
      </c>
      <c r="M3720" s="5" t="s">
        <v>25286</v>
      </c>
      <c r="N3720" s="7" t="s">
        <v>25287</v>
      </c>
      <c r="O3720" s="8" t="str">
        <f>HYPERLINK("https://drive.google.com/file/d/1KZd7tj6JJH7R6YAB8xJPxmct8VAPe8MA/view?usp=drivesdk","3719_SULISTYOWATI _ SERTIFIKAT BerAKHLAK")</f>
        <v>3719_SULISTYOWATI _ SERTIFIKAT BerAKHLAK</v>
      </c>
      <c r="P3720" s="5" t="s">
        <v>25288</v>
      </c>
    </row>
    <row r="3721">
      <c r="A3721" s="4">
        <v>45534.34706472223</v>
      </c>
      <c r="B3721" s="5" t="s">
        <v>34</v>
      </c>
      <c r="D3721" s="5" t="s">
        <v>12010</v>
      </c>
      <c r="E3721" s="5" t="s">
        <v>25289</v>
      </c>
      <c r="F3721" s="5" t="s">
        <v>715</v>
      </c>
      <c r="G3721" s="5" t="s">
        <v>25290</v>
      </c>
      <c r="H3721" s="6" t="s">
        <v>25291</v>
      </c>
      <c r="I3721" s="7" t="s">
        <v>25292</v>
      </c>
      <c r="J3721" s="8" t="str">
        <f>HYPERLINK("https://drive.google.com/file/d/1ZBHVhB6nPs3P8jLmwfcw57fDS0Tp1_KA/view?usp=drivesdk","HERDI R. LONE S.SI SERTIFIKAT BerAKHLAK")</f>
        <v>HERDI R. LONE S.SI SERTIFIKAT BerAKHLAK</v>
      </c>
      <c r="K3721" s="5" t="s">
        <v>25183</v>
      </c>
      <c r="L3721" s="5" t="s">
        <v>25293</v>
      </c>
      <c r="M3721" s="5" t="s">
        <v>25294</v>
      </c>
      <c r="N3721" s="7" t="s">
        <v>25295</v>
      </c>
      <c r="O3721" s="8" t="str">
        <f>HYPERLINK("https://drive.google.com/file/d/1psTPrj7e-iYq2JdcgzyLzO-BioznRyd5/view?usp=drivesdk","3720_HERDI R. LONE S.SI _ SERTIFIKAT BerAKHLAK")</f>
        <v>3720_HERDI R. LONE S.SI _ SERTIFIKAT BerAKHLAK</v>
      </c>
      <c r="P3721" s="5" t="s">
        <v>25288</v>
      </c>
    </row>
    <row r="3722" hidden="1">
      <c r="A3722" s="4">
        <v>45534.347064629634</v>
      </c>
      <c r="B3722" s="5" t="s">
        <v>19</v>
      </c>
      <c r="C3722" s="5" t="s">
        <v>14000</v>
      </c>
      <c r="E3722" s="5" t="s">
        <v>25296</v>
      </c>
      <c r="F3722" s="5" t="s">
        <v>37</v>
      </c>
      <c r="G3722" s="5" t="s">
        <v>25297</v>
      </c>
      <c r="H3722" s="6" t="s">
        <v>25298</v>
      </c>
      <c r="I3722" s="7" t="s">
        <v>25299</v>
      </c>
      <c r="J3722" s="8" t="str">
        <f>HYPERLINK("https://drive.google.com/file/d/1Fr8RXDc6YTDrFo2KDLtDSfzph3OvjIbC/view?usp=drivesdk","RINI PRAWITASARI SERTIFIKAT BerAKHLAK")</f>
        <v>RINI PRAWITASARI SERTIFIKAT BerAKHLAK</v>
      </c>
      <c r="K3722" s="5" t="s">
        <v>25183</v>
      </c>
      <c r="L3722" s="5" t="s">
        <v>25300</v>
      </c>
      <c r="M3722" s="5" t="s">
        <v>25301</v>
      </c>
      <c r="N3722" s="7" t="s">
        <v>25302</v>
      </c>
      <c r="O3722" s="8" t="str">
        <f>HYPERLINK("https://drive.google.com/file/d/1npxU1mpNnZ3RoG01DC5I3KHlT3qvfcBF/view?usp=drivesdk","3721_RINI PRAWITASARI _ SERTIFIKAT BerAKHLAK")</f>
        <v>3721_RINI PRAWITASARI _ SERTIFIKAT BerAKHLAK</v>
      </c>
      <c r="P3722" s="5" t="s">
        <v>25288</v>
      </c>
    </row>
    <row r="3723">
      <c r="A3723" s="4">
        <v>45534.34706483796</v>
      </c>
      <c r="B3723" s="5" t="s">
        <v>34</v>
      </c>
      <c r="D3723" s="5" t="s">
        <v>1206</v>
      </c>
      <c r="E3723" s="5" t="s">
        <v>25303</v>
      </c>
      <c r="F3723" s="5" t="s">
        <v>212</v>
      </c>
      <c r="G3723" s="5" t="s">
        <v>25304</v>
      </c>
      <c r="H3723" s="6" t="s">
        <v>25305</v>
      </c>
      <c r="K3723" s="5" t="s">
        <v>25306</v>
      </c>
      <c r="M3723" s="5" t="s">
        <v>25307</v>
      </c>
      <c r="N3723" s="7" t="s">
        <v>25308</v>
      </c>
      <c r="O3723" s="8" t="str">
        <f>HYPERLINK("https://drive.google.com/file/d/1FagMVEXbdGLacc7bj2H-4rOnhQXDOyec/view?usp=drivesdk","3722_RAHMADI KURNIAWAN _ SERTIFIKAT BerAKHLAK")</f>
        <v>3722_RAHMADI KURNIAWAN _ SERTIFIKAT BerAKHLAK</v>
      </c>
      <c r="P3723" s="5" t="s">
        <v>25288</v>
      </c>
    </row>
    <row r="3724" hidden="1">
      <c r="A3724" s="4">
        <v>45534.347077314815</v>
      </c>
      <c r="B3724" s="5" t="s">
        <v>19</v>
      </c>
      <c r="C3724" s="5" t="s">
        <v>442</v>
      </c>
      <c r="E3724" s="5" t="s">
        <v>25309</v>
      </c>
      <c r="F3724" s="5" t="s">
        <v>72</v>
      </c>
      <c r="G3724" s="5" t="s">
        <v>25310</v>
      </c>
      <c r="H3724" s="6" t="s">
        <v>25311</v>
      </c>
      <c r="K3724" s="5" t="s">
        <v>25306</v>
      </c>
      <c r="M3724" s="5" t="s">
        <v>25312</v>
      </c>
      <c r="N3724" s="7" t="s">
        <v>25313</v>
      </c>
      <c r="O3724" s="8" t="str">
        <f>HYPERLINK("https://drive.google.com/file/d/1tftWX7MwFWA8OXBvRVztUh4AdxdEfO60/view?usp=drivesdk","3723_RETNO WULAN SARI, AMD _ SERTIFIKAT BerAKHLAK")</f>
        <v>3723_RETNO WULAN SARI, AMD _ SERTIFIKAT BerAKHLAK</v>
      </c>
      <c r="P3724" s="5" t="s">
        <v>25314</v>
      </c>
    </row>
    <row r="3725">
      <c r="A3725" s="4">
        <v>45534.347077557875</v>
      </c>
      <c r="B3725" s="5" t="s">
        <v>34</v>
      </c>
      <c r="D3725" s="5" t="s">
        <v>701</v>
      </c>
      <c r="E3725" s="5" t="s">
        <v>25315</v>
      </c>
      <c r="F3725" s="5" t="s">
        <v>212</v>
      </c>
      <c r="G3725" s="5" t="s">
        <v>25316</v>
      </c>
      <c r="H3725" s="6" t="s">
        <v>25317</v>
      </c>
      <c r="K3725" s="5" t="s">
        <v>25306</v>
      </c>
      <c r="M3725" s="5" t="s">
        <v>25318</v>
      </c>
      <c r="N3725" s="7" t="s">
        <v>25319</v>
      </c>
      <c r="O3725" s="8" t="str">
        <f>HYPERLINK("https://drive.google.com/file/d/1lm4HXJQS-QvCU1PwdFTZPjZ40J7PDZPy/view?usp=drivesdk","3724_SONIA MARTA, A.Md.Kep _ SERTIFIKAT BerAKHLAK")</f>
        <v>3724_SONIA MARTA, A.Md.Kep _ SERTIFIKAT BerAKHLAK</v>
      </c>
      <c r="P3725" s="5" t="s">
        <v>25314</v>
      </c>
    </row>
    <row r="3726">
      <c r="A3726" s="4">
        <v>45534.34709045139</v>
      </c>
      <c r="B3726" s="5" t="s">
        <v>34</v>
      </c>
      <c r="D3726" s="5" t="s">
        <v>1206</v>
      </c>
      <c r="E3726" s="5" t="s">
        <v>25320</v>
      </c>
      <c r="F3726" s="5" t="s">
        <v>72</v>
      </c>
      <c r="G3726" s="5" t="s">
        <v>25321</v>
      </c>
      <c r="H3726" s="6" t="s">
        <v>25322</v>
      </c>
      <c r="I3726" s="7" t="s">
        <v>25323</v>
      </c>
      <c r="J3726" s="8" t="str">
        <f>HYPERLINK("https://drive.google.com/file/d/1tMGoVpbtDFtck0Do4-BXZXkhvfxWK4_w/view?usp=drivesdk","NUR PRASETYO HADI, S.T SERTIFIKAT BerAKHLAK")</f>
        <v>NUR PRASETYO HADI, S.T SERTIFIKAT BerAKHLAK</v>
      </c>
      <c r="K3726" s="5" t="s">
        <v>25183</v>
      </c>
      <c r="L3726" s="5" t="s">
        <v>25324</v>
      </c>
      <c r="M3726" s="5" t="s">
        <v>25325</v>
      </c>
      <c r="N3726" s="7" t="s">
        <v>25326</v>
      </c>
      <c r="O3726" s="8" t="str">
        <f>HYPERLINK("https://drive.google.com/file/d/1MdBKxr4vlF2GANdfQmps3rY1Da3qBzyx/view?usp=drivesdk","3725_NUR PRASETYO HADI, S.T _ SERTIFIKAT BerAKHLAK")</f>
        <v>3725_NUR PRASETYO HADI, S.T _ SERTIFIKAT BerAKHLAK</v>
      </c>
      <c r="P3726" s="5" t="s">
        <v>25314</v>
      </c>
    </row>
    <row r="3727">
      <c r="A3727" s="4">
        <v>45534.347096875004</v>
      </c>
      <c r="B3727" s="5" t="s">
        <v>34</v>
      </c>
      <c r="D3727" s="5" t="s">
        <v>701</v>
      </c>
      <c r="E3727" s="5" t="s">
        <v>25327</v>
      </c>
      <c r="F3727" s="5" t="s">
        <v>37</v>
      </c>
      <c r="G3727" s="5" t="s">
        <v>25328</v>
      </c>
      <c r="H3727" s="6" t="s">
        <v>25329</v>
      </c>
      <c r="I3727" s="7" t="s">
        <v>25330</v>
      </c>
      <c r="J3727" s="8" t="str">
        <f>HYPERLINK("https://drive.google.com/file/d/1NbjlaalrypQ5D9XTmt1g07siKS5I3onB/view?usp=drivesdk","RATNA SARI DEWI SERTIFIKAT BerAKHLAK")</f>
        <v>RATNA SARI DEWI SERTIFIKAT BerAKHLAK</v>
      </c>
      <c r="K3727" s="5" t="s">
        <v>25183</v>
      </c>
      <c r="L3727" s="5" t="s">
        <v>25331</v>
      </c>
      <c r="M3727" s="5" t="s">
        <v>25332</v>
      </c>
      <c r="N3727" s="7" t="s">
        <v>25333</v>
      </c>
      <c r="O3727" s="8" t="str">
        <f>HYPERLINK("https://drive.google.com/file/d/1zPqo7eNTXMsp9m_wLVKTlBtt1A9AS_sB/view?usp=drivesdk","3726_RATNA SARI DEWI _ SERTIFIKAT BerAKHLAK")</f>
        <v>3726_RATNA SARI DEWI _ SERTIFIKAT BerAKHLAK</v>
      </c>
      <c r="P3727" s="5" t="s">
        <v>25314</v>
      </c>
    </row>
    <row r="3728">
      <c r="A3728" s="4">
        <v>45534.34710157407</v>
      </c>
      <c r="B3728" s="5" t="s">
        <v>34</v>
      </c>
      <c r="D3728" s="5" t="s">
        <v>10444</v>
      </c>
      <c r="E3728" s="5" t="s">
        <v>25334</v>
      </c>
      <c r="F3728" s="5" t="s">
        <v>72</v>
      </c>
      <c r="G3728" s="5" t="s">
        <v>25335</v>
      </c>
      <c r="H3728" s="6" t="s">
        <v>25336</v>
      </c>
      <c r="K3728" s="5" t="s">
        <v>25337</v>
      </c>
      <c r="M3728" s="5" t="s">
        <v>25338</v>
      </c>
      <c r="N3728" s="7" t="s">
        <v>25339</v>
      </c>
      <c r="O3728" s="8" t="str">
        <f>HYPERLINK("https://drive.google.com/file/d/1ZesbwSIwy0gG7d1Na1-GCsolcMOC3FRk/view?usp=drivesdk","3727_MUHAMMAD FACHRIZA, SE _ SERTIFIKAT BerAKHLAK")</f>
        <v>3727_MUHAMMAD FACHRIZA, SE _ SERTIFIKAT BerAKHLAK</v>
      </c>
      <c r="P3728" s="5" t="s">
        <v>25340</v>
      </c>
    </row>
    <row r="3729">
      <c r="A3729" s="4">
        <v>45534.34711449074</v>
      </c>
      <c r="B3729" s="5" t="s">
        <v>34</v>
      </c>
      <c r="D3729" s="5" t="s">
        <v>10444</v>
      </c>
      <c r="E3729" s="5" t="s">
        <v>25341</v>
      </c>
      <c r="F3729" s="5" t="s">
        <v>108</v>
      </c>
      <c r="G3729" s="5" t="s">
        <v>25342</v>
      </c>
      <c r="H3729" s="6" t="s">
        <v>25343</v>
      </c>
      <c r="K3729" s="5" t="s">
        <v>25337</v>
      </c>
      <c r="M3729" s="5" t="s">
        <v>25344</v>
      </c>
      <c r="N3729" s="7" t="s">
        <v>25345</v>
      </c>
      <c r="O3729" s="8" t="str">
        <f>HYPERLINK("https://drive.google.com/file/d/1NI43-usiz3pN9SEV28nWKxPEoqp8fty_/view?usp=drivesdk","3728_apt.FARHANAH YUSTIKA PUTRI _ SERTIFIKAT BerAKHLAK")</f>
        <v>3728_apt.FARHANAH YUSTIKA PUTRI _ SERTIFIKAT BerAKHLAK</v>
      </c>
      <c r="P3729" s="5" t="s">
        <v>25340</v>
      </c>
    </row>
    <row r="3730">
      <c r="A3730" s="4">
        <v>45534.34711528935</v>
      </c>
      <c r="B3730" s="5" t="s">
        <v>34</v>
      </c>
      <c r="D3730" s="5" t="s">
        <v>4775</v>
      </c>
      <c r="E3730" s="5" t="s">
        <v>25346</v>
      </c>
      <c r="F3730" s="5" t="s">
        <v>524</v>
      </c>
      <c r="G3730" s="5" t="s">
        <v>25347</v>
      </c>
      <c r="H3730" s="6" t="s">
        <v>25348</v>
      </c>
      <c r="I3730" s="7" t="s">
        <v>25349</v>
      </c>
      <c r="J3730" s="8" t="str">
        <f>HYPERLINK("https://drive.google.com/file/d/1jJdTP_p-XwgseRPVt_cwXMHOJMi_vCVy/view?usp=drivesdk","WAHYU HIDAYAT SINGANJAYA, A.Md.Kep. SERTIFIKAT BerAKHLAK")</f>
        <v>WAHYU HIDAYAT SINGANJAYA, A.Md.Kep. SERTIFIKAT BerAKHLAK</v>
      </c>
      <c r="K3730" s="5" t="s">
        <v>25183</v>
      </c>
      <c r="L3730" s="5" t="s">
        <v>25350</v>
      </c>
      <c r="M3730" s="5" t="s">
        <v>25351</v>
      </c>
      <c r="N3730" s="7" t="s">
        <v>25352</v>
      </c>
      <c r="O3730" s="8" t="str">
        <f>HYPERLINK("https://drive.google.com/file/d/1qNcOfe3fD4kRI7NhJRut7kbyKIwo6fOB/view?usp=drivesdk","3729_WAHYU HIDAYAT SINGANJAYA, A.Md.Kep. _ SERTIFIKAT BerAKHLAK")</f>
        <v>3729_WAHYU HIDAYAT SINGANJAYA, A.Md.Kep. _ SERTIFIKAT BerAKHLAK</v>
      </c>
      <c r="P3730" s="5" t="s">
        <v>25340</v>
      </c>
    </row>
    <row r="3731" hidden="1">
      <c r="A3731" s="4">
        <v>45534.34711563657</v>
      </c>
      <c r="B3731" s="5" t="s">
        <v>19</v>
      </c>
      <c r="C3731" s="5" t="s">
        <v>442</v>
      </c>
      <c r="E3731" s="5" t="s">
        <v>25353</v>
      </c>
      <c r="F3731" s="5" t="s">
        <v>375</v>
      </c>
      <c r="G3731" s="5" t="s">
        <v>25354</v>
      </c>
      <c r="H3731" s="6" t="s">
        <v>25355</v>
      </c>
      <c r="I3731" s="7" t="s">
        <v>25356</v>
      </c>
      <c r="J3731" s="8" t="str">
        <f>HYPERLINK("https://drive.google.com/file/d/1Lc_KiS2O979xEJEOd_5EoUgAdMzpsmhU/view?usp=drivesdk","RITA FUJI HASTUTI SERTIFIKAT BerAKHLAK")</f>
        <v>RITA FUJI HASTUTI SERTIFIKAT BerAKHLAK</v>
      </c>
      <c r="K3731" s="5" t="s">
        <v>25183</v>
      </c>
      <c r="L3731" s="5" t="s">
        <v>25357</v>
      </c>
      <c r="M3731" s="5" t="s">
        <v>25358</v>
      </c>
      <c r="N3731" s="7" t="s">
        <v>25359</v>
      </c>
      <c r="O3731" s="8" t="str">
        <f>HYPERLINK("https://drive.google.com/file/d/1bgqOr40Ve4Qoz48PlNp-srZlzadd5vNU/view?usp=drivesdk","3730_RITA FUJI HASTUTI _ SERTIFIKAT BerAKHLAK")</f>
        <v>3730_RITA FUJI HASTUTI _ SERTIFIKAT BerAKHLAK</v>
      </c>
      <c r="P3731" s="5" t="s">
        <v>25340</v>
      </c>
    </row>
    <row r="3732">
      <c r="A3732" s="4">
        <v>45534.34713744213</v>
      </c>
      <c r="B3732" s="5" t="s">
        <v>34</v>
      </c>
      <c r="D3732" s="5" t="s">
        <v>6232</v>
      </c>
      <c r="E3732" s="5" t="s">
        <v>25360</v>
      </c>
      <c r="F3732" s="5" t="s">
        <v>108</v>
      </c>
      <c r="G3732" s="5" t="s">
        <v>25361</v>
      </c>
      <c r="H3732" s="6" t="s">
        <v>25362</v>
      </c>
      <c r="I3732" s="7" t="s">
        <v>25363</v>
      </c>
      <c r="J3732" s="8" t="str">
        <f>HYPERLINK("https://drive.google.com/file/d/1IBgMA7OV80W2ZhvUiA2XCJuEFimREr7-/view?usp=drivesdk","SAMIJAN SERTIFIKAT BerAKHLAK")</f>
        <v>SAMIJAN SERTIFIKAT BerAKHLAK</v>
      </c>
      <c r="K3732" s="5" t="s">
        <v>25183</v>
      </c>
      <c r="L3732" s="5" t="s">
        <v>25364</v>
      </c>
      <c r="M3732" s="5" t="s">
        <v>25365</v>
      </c>
      <c r="N3732" s="7" t="s">
        <v>25366</v>
      </c>
      <c r="O3732" s="8" t="str">
        <f>HYPERLINK("https://drive.google.com/file/d/1wqQzAM7oZfaIJuXK7Gyfedvq0efqbDlE/view?usp=drivesdk","3731_SAMIJAN _ SERTIFIKAT BerAKHLAK")</f>
        <v>3731_SAMIJAN _ SERTIFIKAT BerAKHLAK</v>
      </c>
      <c r="P3732" s="5" t="s">
        <v>25340</v>
      </c>
    </row>
    <row r="3733">
      <c r="A3733" s="4">
        <v>45534.34715053241</v>
      </c>
      <c r="B3733" s="5" t="s">
        <v>34</v>
      </c>
      <c r="D3733" s="5" t="s">
        <v>4775</v>
      </c>
      <c r="E3733" s="5" t="s">
        <v>25367</v>
      </c>
      <c r="F3733" s="5" t="s">
        <v>37</v>
      </c>
      <c r="G3733" s="5" t="s">
        <v>25368</v>
      </c>
      <c r="H3733" s="6" t="s">
        <v>25369</v>
      </c>
      <c r="K3733" s="5" t="s">
        <v>25370</v>
      </c>
      <c r="M3733" s="5" t="s">
        <v>25371</v>
      </c>
      <c r="N3733" s="7" t="s">
        <v>25372</v>
      </c>
      <c r="O3733" s="8" t="str">
        <f>HYPERLINK("https://drive.google.com/file/d/1dr-HWbkG9RiEb-E4xXFv94EcQEQpSBFe/view?usp=drivesdk","3732_KARTIYONO _ SERTIFIKAT BerAKHLAK")</f>
        <v>3732_KARTIYONO _ SERTIFIKAT BerAKHLAK</v>
      </c>
      <c r="P3733" s="5" t="s">
        <v>25373</v>
      </c>
    </row>
    <row r="3734">
      <c r="A3734" s="4">
        <v>45534.347156874996</v>
      </c>
      <c r="B3734" s="5" t="s">
        <v>34</v>
      </c>
      <c r="D3734" s="5" t="s">
        <v>10444</v>
      </c>
      <c r="E3734" s="5" t="s">
        <v>25374</v>
      </c>
      <c r="F3734" s="5" t="s">
        <v>524</v>
      </c>
      <c r="G3734" s="5" t="s">
        <v>25375</v>
      </c>
      <c r="H3734" s="6" t="s">
        <v>25376</v>
      </c>
      <c r="I3734" s="7" t="s">
        <v>25377</v>
      </c>
      <c r="J3734" s="8" t="str">
        <f>HYPERLINK("https://drive.google.com/file/d/1hBRioDHrtjVdKSuOmBrEcY3R4OF1KkO9/view?usp=drivesdk","ISMUN SADE SERTIFIKAT BerAKHLAK")</f>
        <v>ISMUN SADE SERTIFIKAT BerAKHLAK</v>
      </c>
      <c r="K3734" s="5" t="s">
        <v>25183</v>
      </c>
      <c r="L3734" s="5" t="s">
        <v>25378</v>
      </c>
      <c r="M3734" s="5" t="s">
        <v>25379</v>
      </c>
      <c r="N3734" s="7" t="s">
        <v>25380</v>
      </c>
      <c r="O3734" s="8" t="str">
        <f>HYPERLINK("https://drive.google.com/file/d/1RrhsQxjM8jPyeZGWJ3Bi4Am8ERtE44Rb/view?usp=drivesdk","3733_ISMUN SADE _ SERTIFIKAT BerAKHLAK")</f>
        <v>3733_ISMUN SADE _ SERTIFIKAT BerAKHLAK</v>
      </c>
      <c r="P3734" s="5" t="s">
        <v>25373</v>
      </c>
    </row>
    <row r="3735">
      <c r="A3735" s="4">
        <v>45534.34717085648</v>
      </c>
      <c r="B3735" s="5" t="s">
        <v>34</v>
      </c>
      <c r="D3735" s="5" t="s">
        <v>1768</v>
      </c>
      <c r="E3735" s="5" t="s">
        <v>25381</v>
      </c>
      <c r="F3735" s="5" t="s">
        <v>199</v>
      </c>
      <c r="G3735" s="5" t="s">
        <v>25382</v>
      </c>
      <c r="H3735" s="6" t="s">
        <v>25383</v>
      </c>
      <c r="I3735" s="7" t="s">
        <v>25384</v>
      </c>
      <c r="J3735" s="8" t="str">
        <f>HYPERLINK("https://drive.google.com/file/d/1-9RZWf9a2GPRDs-_tRoYelPVjVY4MrhM/view?usp=drivesdk","KUSNIKUSNI SERTIFIKAT BerAKHLAK")</f>
        <v>KUSNIKUSNI SERTIFIKAT BerAKHLAK</v>
      </c>
      <c r="K3735" s="5" t="s">
        <v>25183</v>
      </c>
      <c r="L3735" s="5" t="s">
        <v>25385</v>
      </c>
      <c r="M3735" s="5" t="s">
        <v>25386</v>
      </c>
      <c r="N3735" s="7" t="s">
        <v>25387</v>
      </c>
      <c r="O3735" s="8" t="str">
        <f>HYPERLINK("https://drive.google.com/file/d/1wnJOzOexDaE8_yXxQA0F6gLGktPl2ylz/view?usp=drivesdk","3734_KUSNIKUSNI _ SERTIFIKAT BerAKHLAK")</f>
        <v>3734_KUSNIKUSNI _ SERTIFIKAT BerAKHLAK</v>
      </c>
      <c r="P3735" s="5" t="s">
        <v>25373</v>
      </c>
    </row>
    <row r="3736">
      <c r="A3736" s="4">
        <v>45534.347174826384</v>
      </c>
      <c r="B3736" s="5" t="s">
        <v>34</v>
      </c>
      <c r="D3736" s="5" t="s">
        <v>14424</v>
      </c>
      <c r="E3736" s="5" t="s">
        <v>25388</v>
      </c>
      <c r="F3736" s="5" t="s">
        <v>375</v>
      </c>
      <c r="G3736" s="5" t="s">
        <v>25389</v>
      </c>
      <c r="H3736" s="6" t="s">
        <v>25390</v>
      </c>
      <c r="I3736" s="7" t="s">
        <v>25391</v>
      </c>
      <c r="J3736" s="8" t="str">
        <f>HYPERLINK("https://drive.google.com/file/d/1wcJ6De2_yqo83K71hsnnnkienDwRrN7A/view?usp=drivesdk","MUKHLIS, SHI SERTIFIKAT BerAKHLAK")</f>
        <v>MUKHLIS, SHI SERTIFIKAT BerAKHLAK</v>
      </c>
      <c r="K3736" s="5" t="s">
        <v>25183</v>
      </c>
      <c r="L3736" s="5" t="s">
        <v>25392</v>
      </c>
      <c r="M3736" s="5" t="s">
        <v>25393</v>
      </c>
      <c r="N3736" s="7" t="s">
        <v>25394</v>
      </c>
      <c r="O3736" s="8" t="str">
        <f>HYPERLINK("https://drive.google.com/file/d/19ZLe6N1WuNu8RsfuO12bEwny7FF8V43w/view?usp=drivesdk","3735_MUKHLIS, SHI _ SERTIFIKAT BerAKHLAK")</f>
        <v>3735_MUKHLIS, SHI _ SERTIFIKAT BerAKHLAK</v>
      </c>
      <c r="P3736" s="5" t="s">
        <v>25373</v>
      </c>
    </row>
    <row r="3737" hidden="1">
      <c r="A3737" s="4">
        <v>45534.34717633102</v>
      </c>
      <c r="B3737" s="5" t="s">
        <v>19</v>
      </c>
      <c r="C3737" s="5" t="s">
        <v>292</v>
      </c>
      <c r="E3737" s="5" t="s">
        <v>25395</v>
      </c>
      <c r="F3737" s="5" t="s">
        <v>212</v>
      </c>
      <c r="G3737" s="5" t="s">
        <v>25396</v>
      </c>
      <c r="H3737" s="6" t="s">
        <v>25397</v>
      </c>
      <c r="K3737" s="5" t="s">
        <v>25398</v>
      </c>
      <c r="M3737" s="5" t="s">
        <v>25399</v>
      </c>
      <c r="N3737" s="7" t="s">
        <v>25400</v>
      </c>
      <c r="O3737" s="8" t="str">
        <f>HYPERLINK("https://drive.google.com/file/d/1WUr0igPWxOdyiKmgGxRrOY1BOn7fx9ab/view?usp=drivesdk","3736_TAJUDDIN _ SERTIFIKAT BerAKHLAK")</f>
        <v>3736_TAJUDDIN _ SERTIFIKAT BerAKHLAK</v>
      </c>
      <c r="P3737" s="5" t="s">
        <v>25401</v>
      </c>
    </row>
    <row r="3738">
      <c r="A3738" s="4">
        <v>45534.34717641203</v>
      </c>
      <c r="B3738" s="5" t="s">
        <v>34</v>
      </c>
      <c r="D3738" s="5" t="s">
        <v>1206</v>
      </c>
      <c r="E3738" s="5" t="s">
        <v>25402</v>
      </c>
      <c r="F3738" s="5" t="s">
        <v>524</v>
      </c>
      <c r="G3738" s="5" t="s">
        <v>25403</v>
      </c>
      <c r="H3738" s="6" t="s">
        <v>25404</v>
      </c>
      <c r="K3738" s="5" t="s">
        <v>25398</v>
      </c>
      <c r="M3738" s="5" t="s">
        <v>25405</v>
      </c>
      <c r="N3738" s="7" t="s">
        <v>25406</v>
      </c>
      <c r="O3738" s="8" t="str">
        <f>HYPERLINK("https://drive.google.com/file/d/1QiAGzm97T9xh1O_IeG1XlXtl1T3pR7yq/view?usp=drivesdk","3737_Ners. SUHARBAYU, SKep.  _ SERTIFIKAT BerAKHLAK")</f>
        <v>3737_Ners. SUHARBAYU, SKep.  _ SERTIFIKAT BerAKHLAK</v>
      </c>
      <c r="P3738" s="5" t="s">
        <v>25401</v>
      </c>
    </row>
    <row r="3739">
      <c r="A3739" s="4">
        <v>45534.34717684028</v>
      </c>
      <c r="B3739" s="5" t="s">
        <v>34</v>
      </c>
      <c r="D3739" s="5" t="s">
        <v>9394</v>
      </c>
      <c r="E3739" s="5" t="s">
        <v>25407</v>
      </c>
      <c r="F3739" s="5" t="s">
        <v>212</v>
      </c>
      <c r="G3739" s="5" t="s">
        <v>25408</v>
      </c>
      <c r="H3739" s="6" t="s">
        <v>25409</v>
      </c>
      <c r="K3739" s="5" t="s">
        <v>25398</v>
      </c>
      <c r="M3739" s="5" t="s">
        <v>25410</v>
      </c>
      <c r="N3739" s="7" t="s">
        <v>25411</v>
      </c>
      <c r="O3739" s="8" t="str">
        <f>HYPERLINK("https://drive.google.com/file/d/1qGdOCNb-nRBm2QW70miORuRmPmpF9_-b/view?usp=drivesdk","3738_YULIANA  _ SERTIFIKAT BerAKHLAK")</f>
        <v>3738_YULIANA  _ SERTIFIKAT BerAKHLAK</v>
      </c>
      <c r="P3739" s="5" t="s">
        <v>25401</v>
      </c>
    </row>
    <row r="3740">
      <c r="A3740" s="4">
        <v>45534.347199606476</v>
      </c>
      <c r="B3740" s="5" t="s">
        <v>34</v>
      </c>
      <c r="D3740" s="5" t="s">
        <v>3432</v>
      </c>
      <c r="E3740" s="5" t="s">
        <v>25412</v>
      </c>
      <c r="F3740" s="5" t="s">
        <v>375</v>
      </c>
      <c r="G3740" s="5" t="s">
        <v>25413</v>
      </c>
      <c r="H3740" s="6" t="s">
        <v>25414</v>
      </c>
      <c r="I3740" s="7" t="s">
        <v>25415</v>
      </c>
      <c r="J3740" s="8" t="str">
        <f>HYPERLINK("https://drive.google.com/file/d/1RYD7-PhZ4spAZaB6X-sTLr7QMr25vgUY/view?usp=drivesdk","KURNIAHTI HAYATUN  SERTIFIKAT BerAKHLAK")</f>
        <v>KURNIAHTI HAYATUN  SERTIFIKAT BerAKHLAK</v>
      </c>
      <c r="K3740" s="5" t="s">
        <v>25183</v>
      </c>
      <c r="L3740" s="5" t="s">
        <v>25416</v>
      </c>
      <c r="M3740" s="5" t="s">
        <v>25417</v>
      </c>
      <c r="N3740" s="7" t="s">
        <v>25418</v>
      </c>
      <c r="O3740" s="8" t="str">
        <f>HYPERLINK("https://drive.google.com/file/d/1fWThsqXoruWr6yQ_1zrZeO3D6Zf_GKcU/view?usp=drivesdk","3739_KURNIAHTI HAYATUN  _ SERTIFIKAT BerAKHLAK")</f>
        <v>3739_KURNIAHTI HAYATUN  _ SERTIFIKAT BerAKHLAK</v>
      </c>
      <c r="P3740" s="5" t="s">
        <v>25401</v>
      </c>
    </row>
    <row r="3741">
      <c r="A3741" s="4">
        <v>45534.347201412034</v>
      </c>
      <c r="B3741" s="5" t="s">
        <v>34</v>
      </c>
      <c r="D3741" s="5" t="s">
        <v>1206</v>
      </c>
      <c r="E3741" s="5" t="s">
        <v>25419</v>
      </c>
      <c r="F3741" s="5" t="s">
        <v>328</v>
      </c>
      <c r="G3741" s="5" t="s">
        <v>25420</v>
      </c>
      <c r="H3741" s="6" t="s">
        <v>25421</v>
      </c>
      <c r="I3741" s="7" t="s">
        <v>25422</v>
      </c>
      <c r="J3741" s="8" t="str">
        <f>HYPERLINK("https://drive.google.com/file/d/1xj48OZ5gu5k5jBUGcFecvmnw88lCXVYr/view?usp=drivesdk","LIA NOVIANTI  SERTIFIKAT BerAKHLAK")</f>
        <v>LIA NOVIANTI  SERTIFIKAT BerAKHLAK</v>
      </c>
      <c r="K3741" s="5" t="s">
        <v>25183</v>
      </c>
      <c r="L3741" s="5" t="s">
        <v>25423</v>
      </c>
      <c r="M3741" s="5" t="s">
        <v>25424</v>
      </c>
      <c r="N3741" s="7" t="s">
        <v>25425</v>
      </c>
      <c r="O3741" s="8" t="str">
        <f>HYPERLINK("https://drive.google.com/file/d/1WeN7O1GyeSxVZRHC4BUj2LNhpC_VUbC8/view?usp=drivesdk","3740_LIA NOVIANTI  _ SERTIFIKAT BerAKHLAK")</f>
        <v>3740_LIA NOVIANTI  _ SERTIFIKAT BerAKHLAK</v>
      </c>
      <c r="P3741" s="5" t="s">
        <v>25401</v>
      </c>
    </row>
    <row r="3742">
      <c r="A3742" s="4">
        <v>45534.34721460648</v>
      </c>
      <c r="B3742" s="5" t="s">
        <v>34</v>
      </c>
      <c r="D3742" s="5" t="s">
        <v>1206</v>
      </c>
      <c r="E3742" s="5" t="s">
        <v>25426</v>
      </c>
      <c r="F3742" s="5" t="s">
        <v>212</v>
      </c>
      <c r="G3742" s="5" t="s">
        <v>25427</v>
      </c>
      <c r="H3742" s="6" t="s">
        <v>25428</v>
      </c>
      <c r="K3742" s="5" t="s">
        <v>25429</v>
      </c>
      <c r="M3742" s="5" t="s">
        <v>25430</v>
      </c>
      <c r="N3742" s="7" t="s">
        <v>25431</v>
      </c>
      <c r="O3742" s="8" t="str">
        <f>HYPERLINK("https://drive.google.com/file/d/1avpbaNM9-MMrmBCTXO5sJDMx5LLvfbuz/view?usp=drivesdk","3741_KHOIRI BIN MUNTARI _ SERTIFIKAT BerAKHLAK")</f>
        <v>3741_KHOIRI BIN MUNTARI _ SERTIFIKAT BerAKHLAK</v>
      </c>
      <c r="P3742" s="5" t="s">
        <v>25432</v>
      </c>
    </row>
    <row r="3743">
      <c r="A3743" s="4">
        <v>45534.347236319445</v>
      </c>
      <c r="B3743" s="5" t="s">
        <v>34</v>
      </c>
      <c r="D3743" s="5" t="s">
        <v>701</v>
      </c>
      <c r="E3743" s="5" t="s">
        <v>25433</v>
      </c>
      <c r="F3743" s="5" t="s">
        <v>37</v>
      </c>
      <c r="G3743" s="5" t="s">
        <v>25434</v>
      </c>
      <c r="H3743" s="6" t="s">
        <v>25435</v>
      </c>
      <c r="I3743" s="7" t="s">
        <v>25436</v>
      </c>
      <c r="J3743" s="8" t="str">
        <f>HYPERLINK("https://drive.google.com/file/d/1IsP8nsIZ96WaDPCCofVWkyvJNLARbFbB/view?usp=drivesdk","SONIA ZHAHARA,A.Md.Kep SERTIFIKAT BerAKHLAK")</f>
        <v>SONIA ZHAHARA,A.Md.Kep SERTIFIKAT BerAKHLAK</v>
      </c>
      <c r="K3743" s="5" t="s">
        <v>25183</v>
      </c>
      <c r="L3743" s="5" t="s">
        <v>25437</v>
      </c>
      <c r="M3743" s="5" t="s">
        <v>25438</v>
      </c>
      <c r="N3743" s="7" t="s">
        <v>25439</v>
      </c>
      <c r="O3743" s="8" t="str">
        <f>HYPERLINK("https://drive.google.com/file/d/19Z6QJtXBlHL25W3u3i6df_0TgHh3us52/view?usp=drivesdk","3742_SONIA ZHAHARA,A.Md.Kep _ SERTIFIKAT BerAKHLAK")</f>
        <v>3742_SONIA ZHAHARA,A.Md.Kep _ SERTIFIKAT BerAKHLAK</v>
      </c>
      <c r="P3743" s="5" t="s">
        <v>25432</v>
      </c>
    </row>
    <row r="3744">
      <c r="A3744" s="4">
        <v>45534.34723655092</v>
      </c>
      <c r="B3744" s="5" t="s">
        <v>34</v>
      </c>
      <c r="D3744" s="5" t="s">
        <v>9020</v>
      </c>
      <c r="E3744" s="5" t="s">
        <v>25440</v>
      </c>
      <c r="F3744" s="5" t="s">
        <v>212</v>
      </c>
      <c r="G3744" s="5" t="s">
        <v>25441</v>
      </c>
      <c r="H3744" s="6" t="s">
        <v>25442</v>
      </c>
      <c r="I3744" s="7" t="s">
        <v>25443</v>
      </c>
      <c r="J3744" s="8" t="str">
        <f>HYPERLINK("https://drive.google.com/file/d/19_iMGh_-i6HDjl_YsdM2qtW-6mlOVpod/view?usp=drivesdk","MARINTAN PAKPAHAN SERTIFIKAT BerAKHLAK")</f>
        <v>MARINTAN PAKPAHAN SERTIFIKAT BerAKHLAK</v>
      </c>
      <c r="K3744" s="5" t="s">
        <v>25183</v>
      </c>
      <c r="L3744" s="5" t="s">
        <v>25444</v>
      </c>
      <c r="M3744" s="5" t="s">
        <v>25445</v>
      </c>
      <c r="N3744" s="7" t="s">
        <v>25446</v>
      </c>
      <c r="O3744" s="8" t="str">
        <f>HYPERLINK("https://drive.google.com/file/d/19tmW9f76-O1NAZ1n296cd-mD7xtPMVeK/view?usp=drivesdk","3743_MARINTAN PAKPAHAN _ SERTIFIKAT BerAKHLAK")</f>
        <v>3743_MARINTAN PAKPAHAN _ SERTIFIKAT BerAKHLAK</v>
      </c>
      <c r="P3744" s="5" t="s">
        <v>25432</v>
      </c>
    </row>
    <row r="3745">
      <c r="A3745" s="4">
        <v>45534.34724476852</v>
      </c>
      <c r="B3745" s="5" t="s">
        <v>34</v>
      </c>
      <c r="D3745" s="5" t="s">
        <v>1206</v>
      </c>
      <c r="E3745" s="5" t="s">
        <v>25447</v>
      </c>
      <c r="F3745" s="5" t="s">
        <v>37</v>
      </c>
      <c r="G3745" s="5" t="s">
        <v>25448</v>
      </c>
      <c r="H3745" s="6" t="s">
        <v>25449</v>
      </c>
      <c r="I3745" s="7" t="s">
        <v>25450</v>
      </c>
      <c r="J3745" s="8" t="str">
        <f>HYPERLINK("https://drive.google.com/file/d/1r6JP_ZADl01sXl9gjONB8W1rMJnZGqqN/view?usp=drivesdk","DIANSAH LOEBIS SERTIFIKAT BerAKHLAK")</f>
        <v>DIANSAH LOEBIS SERTIFIKAT BerAKHLAK</v>
      </c>
      <c r="K3745" s="5" t="s">
        <v>25183</v>
      </c>
      <c r="L3745" s="5" t="s">
        <v>25451</v>
      </c>
      <c r="M3745" s="5" t="s">
        <v>25452</v>
      </c>
      <c r="N3745" s="7" t="s">
        <v>25453</v>
      </c>
      <c r="O3745" s="8" t="str">
        <f>HYPERLINK("https://drive.google.com/file/d/1x3VSDfa9tnq9j1bZyLKdyZcXsC3_RbsW/view?usp=drivesdk","3744_DIANSAH LOEBIS _ SERTIFIKAT BerAKHLAK")</f>
        <v>3744_DIANSAH LOEBIS _ SERTIFIKAT BerAKHLAK</v>
      </c>
      <c r="P3745" s="5" t="s">
        <v>25432</v>
      </c>
    </row>
    <row r="3746">
      <c r="A3746" s="4">
        <v>45534.34725885416</v>
      </c>
      <c r="B3746" s="5" t="s">
        <v>34</v>
      </c>
      <c r="D3746" s="5" t="s">
        <v>12978</v>
      </c>
      <c r="E3746" s="5" t="s">
        <v>25454</v>
      </c>
      <c r="F3746" s="5" t="s">
        <v>212</v>
      </c>
      <c r="G3746" s="5" t="s">
        <v>25455</v>
      </c>
      <c r="H3746" s="6" t="s">
        <v>25456</v>
      </c>
      <c r="I3746" s="7" t="s">
        <v>25457</v>
      </c>
      <c r="J3746" s="8" t="str">
        <f>HYPERLINK("https://drive.google.com/file/d/1NRt6fj2VxatBHDy96qqihrMs3ji_b-uM/view?usp=drivesdk","ROBIYATUL ADAWIYAH SERTIFIKAT BerAKHLAK")</f>
        <v>ROBIYATUL ADAWIYAH SERTIFIKAT BerAKHLAK</v>
      </c>
      <c r="K3746" s="5" t="s">
        <v>25183</v>
      </c>
      <c r="L3746" s="5" t="s">
        <v>25458</v>
      </c>
      <c r="M3746" s="5" t="s">
        <v>25459</v>
      </c>
      <c r="N3746" s="7" t="s">
        <v>25460</v>
      </c>
      <c r="O3746" s="8" t="str">
        <f>HYPERLINK("https://drive.google.com/file/d/1YlirUPlsGxCAOsJY9ioT0mg7nnsKeguj/view?usp=drivesdk","3745_ROBIYATUL ADAWIYAH _ SERTIFIKAT BerAKHLAK")</f>
        <v>3745_ROBIYATUL ADAWIYAH _ SERTIFIKAT BerAKHLAK</v>
      </c>
      <c r="P3746" s="5" t="s">
        <v>25432</v>
      </c>
    </row>
    <row r="3747">
      <c r="A3747" s="4">
        <v>45534.3472678588</v>
      </c>
      <c r="B3747" s="5" t="s">
        <v>34</v>
      </c>
      <c r="D3747" s="5" t="s">
        <v>14424</v>
      </c>
      <c r="E3747" s="5" t="s">
        <v>25461</v>
      </c>
      <c r="F3747" s="5" t="s">
        <v>37</v>
      </c>
      <c r="G3747" s="5" t="s">
        <v>25462</v>
      </c>
      <c r="H3747" s="6" t="s">
        <v>25463</v>
      </c>
      <c r="I3747" s="7" t="s">
        <v>25464</v>
      </c>
      <c r="J3747" s="8" t="str">
        <f>HYPERLINK("https://drive.google.com/file/d/1aKk7zYUeptRSgGgcXcgN7DpZGOAesN13/view?usp=drivesdk","MUHAMMAD YUSRI  SERTIFIKAT BerAKHLAK")</f>
        <v>MUHAMMAD YUSRI  SERTIFIKAT BerAKHLAK</v>
      </c>
      <c r="K3747" s="5" t="s">
        <v>25183</v>
      </c>
      <c r="L3747" s="5" t="s">
        <v>25465</v>
      </c>
      <c r="M3747" s="5" t="s">
        <v>25466</v>
      </c>
      <c r="N3747" s="7" t="s">
        <v>25467</v>
      </c>
      <c r="O3747" s="8" t="str">
        <f>HYPERLINK("https://drive.google.com/file/d/1M3xfSXiXKVo60t99JAYXjAbqWYn_J_2b/view?usp=drivesdk","3746_MUHAMMAD YUSRI  _ SERTIFIKAT BerAKHLAK")</f>
        <v>3746_MUHAMMAD YUSRI  _ SERTIFIKAT BerAKHLAK</v>
      </c>
      <c r="P3747" s="5" t="s">
        <v>25468</v>
      </c>
    </row>
    <row r="3748">
      <c r="A3748" s="4">
        <v>45534.347269398146</v>
      </c>
      <c r="B3748" s="5" t="s">
        <v>34</v>
      </c>
      <c r="D3748" s="5" t="s">
        <v>35</v>
      </c>
      <c r="E3748" s="5" t="s">
        <v>25469</v>
      </c>
      <c r="F3748" s="5" t="s">
        <v>328</v>
      </c>
      <c r="G3748" s="5" t="s">
        <v>25470</v>
      </c>
      <c r="H3748" s="6" t="s">
        <v>25471</v>
      </c>
      <c r="K3748" s="5" t="s">
        <v>25472</v>
      </c>
      <c r="M3748" s="5" t="s">
        <v>25473</v>
      </c>
      <c r="N3748" s="7" t="s">
        <v>25474</v>
      </c>
      <c r="O3748" s="8" t="str">
        <f>HYPERLINK("https://drive.google.com/file/d/1Su81RnciWcXPBhRf1SFN05IbF26XwICS/view?usp=drivesdk","3747_NUNUNG IDA _ SERTIFIKAT BerAKHLAK")</f>
        <v>3747_NUNUNG IDA _ SERTIFIKAT BerAKHLAK</v>
      </c>
      <c r="P3748" s="5" t="s">
        <v>25468</v>
      </c>
    </row>
    <row r="3749">
      <c r="A3749" s="4">
        <v>45534.34728541667</v>
      </c>
      <c r="B3749" s="5" t="s">
        <v>34</v>
      </c>
      <c r="D3749" s="5" t="s">
        <v>10444</v>
      </c>
      <c r="E3749" s="5" t="s">
        <v>25475</v>
      </c>
      <c r="F3749" s="5" t="s">
        <v>212</v>
      </c>
      <c r="G3749" s="5" t="s">
        <v>25476</v>
      </c>
      <c r="H3749" s="6" t="s">
        <v>25477</v>
      </c>
      <c r="I3749" s="7" t="s">
        <v>25478</v>
      </c>
      <c r="J3749" s="8" t="str">
        <f>HYPERLINK("https://drive.google.com/file/d/1_Bx_zF8_KV2Bd3nPciLgA80_2HwtxDdg/view?usp=drivesdk","Rika Mustika. A.Md SERTIFIKAT BerAKHLAK")</f>
        <v>Rika Mustika. A.Md SERTIFIKAT BerAKHLAK</v>
      </c>
      <c r="K3749" s="5" t="s">
        <v>25183</v>
      </c>
      <c r="L3749" s="5" t="s">
        <v>25479</v>
      </c>
      <c r="M3749" s="5" t="s">
        <v>25480</v>
      </c>
      <c r="N3749" s="7" t="s">
        <v>25481</v>
      </c>
      <c r="O3749" s="8" t="str">
        <f>HYPERLINK("https://drive.google.com/file/d/1s9DGV-PkYLf2o52fGK9hl0uYjtcS7t-F/view?usp=drivesdk","3748_Rika Mustika. A.Md _ SERTIFIKAT BerAKHLAK")</f>
        <v>3748_Rika Mustika. A.Md _ SERTIFIKAT BerAKHLAK</v>
      </c>
      <c r="P3749" s="5" t="s">
        <v>25468</v>
      </c>
    </row>
    <row r="3750">
      <c r="A3750" s="4">
        <v>45534.34728923611</v>
      </c>
      <c r="B3750" s="5" t="s">
        <v>34</v>
      </c>
      <c r="D3750" s="5" t="s">
        <v>1206</v>
      </c>
      <c r="E3750" s="5" t="s">
        <v>25482</v>
      </c>
      <c r="F3750" s="5" t="s">
        <v>212</v>
      </c>
      <c r="G3750" s="5" t="s">
        <v>25483</v>
      </c>
      <c r="H3750" s="6" t="s">
        <v>25484</v>
      </c>
      <c r="I3750" s="7" t="s">
        <v>25485</v>
      </c>
      <c r="J3750" s="8" t="str">
        <f>HYPERLINK("https://drive.google.com/file/d/1FC1qHEm6CYt2dvKw1RdvX2oOt-LK31aA/view?usp=drivesdk","JULIANTO SERTIFIKAT BerAKHLAK")</f>
        <v>JULIANTO SERTIFIKAT BerAKHLAK</v>
      </c>
      <c r="K3750" s="5" t="s">
        <v>25486</v>
      </c>
      <c r="L3750" s="5" t="s">
        <v>25487</v>
      </c>
      <c r="M3750" s="5" t="s">
        <v>25488</v>
      </c>
      <c r="N3750" s="7" t="s">
        <v>25489</v>
      </c>
      <c r="O3750" s="8" t="str">
        <f>HYPERLINK("https://drive.google.com/file/d/18nAuG8UoipeqECnB1IIT8xpiYSNBGsbg/view?usp=drivesdk","3749_JULIANTO _ SERTIFIKAT BerAKHLAK")</f>
        <v>3749_JULIANTO _ SERTIFIKAT BerAKHLAK</v>
      </c>
      <c r="P3750" s="5" t="s">
        <v>25468</v>
      </c>
    </row>
    <row r="3751">
      <c r="A3751" s="4">
        <v>45534.34728916667</v>
      </c>
      <c r="B3751" s="5" t="s">
        <v>34</v>
      </c>
      <c r="D3751" s="5" t="s">
        <v>4775</v>
      </c>
      <c r="E3751" s="5" t="s">
        <v>25490</v>
      </c>
      <c r="F3751" s="5" t="s">
        <v>524</v>
      </c>
      <c r="G3751" s="5" t="s">
        <v>25491</v>
      </c>
      <c r="H3751" s="6" t="s">
        <v>25492</v>
      </c>
      <c r="I3751" s="7" t="s">
        <v>25493</v>
      </c>
      <c r="J3751" s="8" t="str">
        <f>HYPERLINK("https://drive.google.com/file/d/1Qh6KMtMuWWU_x8nnZ6rjb80aSWX1j1us/view?usp=drivesdk","SRI REDJEKI, SE SERTIFIKAT BerAKHLAK")</f>
        <v>SRI REDJEKI, SE SERTIFIKAT BerAKHLAK</v>
      </c>
      <c r="K3751" s="5" t="s">
        <v>25486</v>
      </c>
      <c r="L3751" s="5" t="s">
        <v>25494</v>
      </c>
      <c r="M3751" s="5" t="s">
        <v>25495</v>
      </c>
      <c r="N3751" s="7" t="s">
        <v>25496</v>
      </c>
      <c r="O3751" s="8" t="str">
        <f>HYPERLINK("https://drive.google.com/file/d/1JeN-2tBFA9BzS5U_KS3gth_NqhzG41Wu/view?usp=drivesdk","3750_SRI REDJEKI, SE _ SERTIFIKAT BerAKHLAK")</f>
        <v>3750_SRI REDJEKI, SE _ SERTIFIKAT BerAKHLAK</v>
      </c>
      <c r="P3751" s="5" t="s">
        <v>25497</v>
      </c>
    </row>
    <row r="3752">
      <c r="A3752" s="4">
        <v>45534.347289791665</v>
      </c>
      <c r="B3752" s="5" t="s">
        <v>34</v>
      </c>
      <c r="D3752" s="5" t="s">
        <v>6232</v>
      </c>
      <c r="E3752" s="5" t="s">
        <v>25498</v>
      </c>
      <c r="F3752" s="5" t="s">
        <v>108</v>
      </c>
      <c r="G3752" s="5" t="s">
        <v>25499</v>
      </c>
      <c r="H3752" s="6" t="s">
        <v>25500</v>
      </c>
      <c r="I3752" s="7" t="s">
        <v>25501</v>
      </c>
      <c r="J3752" s="8" t="str">
        <f>HYPERLINK("https://drive.google.com/file/d/1C9U5CMfOwZwe1P_dlu79fAQfjsMxAAfv/view?usp=drivesdk","dr.WILIARTI SEPUTRI SERTIFIKAT BerAKHLAK")</f>
        <v>dr.WILIARTI SEPUTRI SERTIFIKAT BerAKHLAK</v>
      </c>
      <c r="K3752" s="5" t="s">
        <v>25486</v>
      </c>
      <c r="L3752" s="5" t="s">
        <v>25502</v>
      </c>
      <c r="M3752" s="5" t="s">
        <v>25503</v>
      </c>
      <c r="N3752" s="7" t="s">
        <v>25504</v>
      </c>
      <c r="O3752" s="8" t="str">
        <f>HYPERLINK("https://drive.google.com/file/d/1srFpBfwni8r6Vv5kemp9IWdgAAI2LxcX/view?usp=drivesdk","3751_dr.WILIARTI SEPUTRI _ SERTIFIKAT BerAKHLAK")</f>
        <v>3751_dr.WILIARTI SEPUTRI _ SERTIFIKAT BerAKHLAK</v>
      </c>
      <c r="P3752" s="5" t="s">
        <v>25497</v>
      </c>
    </row>
    <row r="3753">
      <c r="A3753" s="4">
        <v>45534.34730363426</v>
      </c>
      <c r="B3753" s="5" t="s">
        <v>34</v>
      </c>
      <c r="D3753" s="5" t="s">
        <v>6232</v>
      </c>
      <c r="E3753" s="5" t="s">
        <v>25505</v>
      </c>
      <c r="F3753" s="5" t="s">
        <v>715</v>
      </c>
      <c r="G3753" s="5" t="s">
        <v>25506</v>
      </c>
      <c r="H3753" s="6" t="s">
        <v>25507</v>
      </c>
      <c r="K3753" s="5" t="s">
        <v>25508</v>
      </c>
      <c r="M3753" s="5" t="s">
        <v>25509</v>
      </c>
      <c r="N3753" s="7" t="s">
        <v>25510</v>
      </c>
      <c r="O3753" s="8" t="str">
        <f>HYPERLINK("https://drive.google.com/file/d/1FbQuGiG0v2OXvNMgX0SEAnsdwMs0INZZ/view?usp=drivesdk","3752_ATIKA ANDRINA. S, AM. KEP _ SERTIFIKAT BerAKHLAK")</f>
        <v>3752_ATIKA ANDRINA. S, AM. KEP _ SERTIFIKAT BerAKHLAK</v>
      </c>
      <c r="P3753" s="5" t="s">
        <v>25497</v>
      </c>
    </row>
    <row r="3754">
      <c r="A3754" s="4">
        <v>45534.3473116088</v>
      </c>
      <c r="B3754" s="5" t="s">
        <v>34</v>
      </c>
      <c r="D3754" s="5" t="s">
        <v>1206</v>
      </c>
      <c r="E3754" s="5" t="s">
        <v>25511</v>
      </c>
      <c r="F3754" s="5" t="s">
        <v>212</v>
      </c>
      <c r="G3754" s="5" t="s">
        <v>25512</v>
      </c>
      <c r="H3754" s="6" t="s">
        <v>25513</v>
      </c>
      <c r="K3754" s="5" t="s">
        <v>25508</v>
      </c>
      <c r="M3754" s="5" t="s">
        <v>25514</v>
      </c>
      <c r="N3754" s="7" t="s">
        <v>25515</v>
      </c>
      <c r="O3754" s="8" t="str">
        <f>HYPERLINK("https://drive.google.com/file/d/1jfqtKUCknnnGvQS925kelea4fVkFqbXt/view?usp=drivesdk","3753_UDIN SUYONO _ SERTIFIKAT BerAKHLAK")</f>
        <v>3753_UDIN SUYONO _ SERTIFIKAT BerAKHLAK</v>
      </c>
      <c r="P3754" s="5" t="s">
        <v>25497</v>
      </c>
    </row>
    <row r="3755">
      <c r="A3755" s="4">
        <v>45534.34732028935</v>
      </c>
      <c r="B3755" s="5" t="s">
        <v>34</v>
      </c>
      <c r="D3755" s="5" t="s">
        <v>12978</v>
      </c>
      <c r="E3755" s="5" t="s">
        <v>25516</v>
      </c>
      <c r="F3755" s="5" t="s">
        <v>212</v>
      </c>
      <c r="G3755" s="5" t="s">
        <v>25517</v>
      </c>
      <c r="H3755" s="6" t="s">
        <v>25518</v>
      </c>
      <c r="I3755" s="7" t="s">
        <v>25519</v>
      </c>
      <c r="J3755" s="8" t="str">
        <f>HYPERLINK("https://drive.google.com/file/d/1qW2ubu-QV_uUN3LSvmtcNbPCqCkcTwB9/view?usp=drivesdk","AL FURKON SERTIFIKAT BerAKHLAK")</f>
        <v>AL FURKON SERTIFIKAT BerAKHLAK</v>
      </c>
      <c r="K3755" s="5" t="s">
        <v>25183</v>
      </c>
      <c r="L3755" s="5" t="s">
        <v>25520</v>
      </c>
      <c r="M3755" s="5" t="s">
        <v>25521</v>
      </c>
      <c r="N3755" s="7" t="s">
        <v>25522</v>
      </c>
      <c r="O3755" s="8" t="str">
        <f>HYPERLINK("https://drive.google.com/file/d/1falcmqeTFyrq7Jv-WeGSZ3uDJzmFTNL1/view?usp=drivesdk","3754_AL FURKON _ SERTIFIKAT BerAKHLAK")</f>
        <v>3754_AL FURKON _ SERTIFIKAT BerAKHLAK</v>
      </c>
      <c r="P3755" s="5" t="s">
        <v>25523</v>
      </c>
    </row>
    <row r="3756">
      <c r="A3756" s="4">
        <v>45534.34732973379</v>
      </c>
      <c r="B3756" s="5" t="s">
        <v>34</v>
      </c>
      <c r="D3756" s="5" t="s">
        <v>35</v>
      </c>
      <c r="E3756" s="5" t="s">
        <v>25524</v>
      </c>
      <c r="F3756" s="5" t="s">
        <v>212</v>
      </c>
      <c r="G3756" s="5" t="s">
        <v>25525</v>
      </c>
      <c r="H3756" s="6" t="s">
        <v>25526</v>
      </c>
      <c r="I3756" s="7" t="s">
        <v>25527</v>
      </c>
      <c r="J3756" s="8" t="str">
        <f>HYPERLINK("https://drive.google.com/file/d/1LWnn8BW12ohtdy3k04HDpMXyoHt5STEo/view?usp=drivesdk","LIN NUR ISNAWATI SERTIFIKAT BerAKHLAK")</f>
        <v>LIN NUR ISNAWATI SERTIFIKAT BerAKHLAK</v>
      </c>
      <c r="K3756" s="5" t="s">
        <v>25486</v>
      </c>
      <c r="L3756" s="5" t="s">
        <v>25528</v>
      </c>
      <c r="M3756" s="5" t="s">
        <v>25529</v>
      </c>
      <c r="N3756" s="7" t="s">
        <v>25530</v>
      </c>
      <c r="O3756" s="8" t="str">
        <f>HYPERLINK("https://drive.google.com/file/d/1qLATkpLaVRk-W2OpHsJSbn5dK30xfb0i/view?usp=drivesdk","3755_LIN NUR ISNAWATI _ SERTIFIKAT BerAKHLAK")</f>
        <v>3755_LIN NUR ISNAWATI _ SERTIFIKAT BerAKHLAK</v>
      </c>
      <c r="P3756" s="5" t="s">
        <v>25523</v>
      </c>
    </row>
    <row r="3757">
      <c r="A3757" s="4">
        <v>45534.34733230324</v>
      </c>
      <c r="B3757" s="5" t="s">
        <v>34</v>
      </c>
      <c r="D3757" s="5" t="s">
        <v>996</v>
      </c>
      <c r="E3757" s="5" t="s">
        <v>25531</v>
      </c>
      <c r="F3757" s="5" t="s">
        <v>212</v>
      </c>
      <c r="G3757" s="5" t="s">
        <v>25532</v>
      </c>
      <c r="H3757" s="6" t="s">
        <v>25533</v>
      </c>
      <c r="I3757" s="7" t="s">
        <v>25534</v>
      </c>
      <c r="J3757" s="8" t="str">
        <f>HYPERLINK("https://drive.google.com/file/d/1r0KQAOolojE4crKDHUBCt1bppTXbvYez/view?usp=drivesdk","NISWOYO SERTIFIKAT BerAKHLAK")</f>
        <v>NISWOYO SERTIFIKAT BerAKHLAK</v>
      </c>
      <c r="K3757" s="5" t="s">
        <v>25486</v>
      </c>
      <c r="L3757" s="5" t="s">
        <v>25535</v>
      </c>
      <c r="M3757" s="5" t="s">
        <v>25536</v>
      </c>
      <c r="N3757" s="7" t="s">
        <v>25537</v>
      </c>
      <c r="O3757" s="8" t="str">
        <f>HYPERLINK("https://drive.google.com/file/d/1S7DmgYmvEm547opnosymy0QQFwLSt4uI/view?usp=drivesdk","3756_NISWOYO _ SERTIFIKAT BerAKHLAK")</f>
        <v>3756_NISWOYO _ SERTIFIKAT BerAKHLAK</v>
      </c>
      <c r="P3757" s="5" t="s">
        <v>25523</v>
      </c>
    </row>
    <row r="3758">
      <c r="A3758" s="4">
        <v>45534.34733396991</v>
      </c>
      <c r="B3758" s="5" t="s">
        <v>34</v>
      </c>
      <c r="D3758" s="5" t="s">
        <v>701</v>
      </c>
      <c r="E3758" s="5" t="s">
        <v>25538</v>
      </c>
      <c r="F3758" s="5" t="s">
        <v>37</v>
      </c>
      <c r="G3758" s="5" t="s">
        <v>25539</v>
      </c>
      <c r="H3758" s="6" t="s">
        <v>25540</v>
      </c>
      <c r="K3758" s="5" t="s">
        <v>25541</v>
      </c>
      <c r="M3758" s="5" t="s">
        <v>25542</v>
      </c>
      <c r="N3758" s="7" t="s">
        <v>25543</v>
      </c>
      <c r="O3758" s="8" t="str">
        <f>HYPERLINK("https://drive.google.com/file/d/11HQIJXHdy7Y1HLsWKvA5oIVk24bveWSC/view?usp=drivesdk","3757_INDRIATI RENI _ SERTIFIKAT BerAKHLAK")</f>
        <v>3757_INDRIATI RENI _ SERTIFIKAT BerAKHLAK</v>
      </c>
      <c r="P3758" s="5" t="s">
        <v>25523</v>
      </c>
    </row>
    <row r="3759">
      <c r="A3759" s="4">
        <v>45534.34733496528</v>
      </c>
      <c r="B3759" s="5" t="s">
        <v>34</v>
      </c>
      <c r="D3759" s="5" t="s">
        <v>9020</v>
      </c>
      <c r="E3759" s="5" t="s">
        <v>25544</v>
      </c>
      <c r="F3759" s="5" t="s">
        <v>212</v>
      </c>
      <c r="G3759" s="5" t="s">
        <v>25545</v>
      </c>
      <c r="H3759" s="6" t="s">
        <v>25546</v>
      </c>
      <c r="K3759" s="5" t="s">
        <v>25541</v>
      </c>
      <c r="M3759" s="5" t="s">
        <v>25547</v>
      </c>
      <c r="N3759" s="7" t="s">
        <v>25548</v>
      </c>
      <c r="O3759" s="8" t="str">
        <f>HYPERLINK("https://drive.google.com/file/d/1ml6nJ1UK9YYpmW1Vwl6gTgC7dXTmnPKe/view?usp=drivesdk","3758_RUMINI _ SERTIFIKAT BerAKHLAK")</f>
        <v>3758_RUMINI _ SERTIFIKAT BerAKHLAK</v>
      </c>
      <c r="P3759" s="5" t="s">
        <v>25523</v>
      </c>
    </row>
    <row r="3760">
      <c r="A3760" s="4">
        <v>45534.34733996528</v>
      </c>
      <c r="B3760" s="5" t="s">
        <v>34</v>
      </c>
      <c r="D3760" s="5" t="s">
        <v>1206</v>
      </c>
      <c r="E3760" s="5" t="s">
        <v>25549</v>
      </c>
      <c r="F3760" s="5" t="s">
        <v>108</v>
      </c>
      <c r="G3760" s="5" t="s">
        <v>25550</v>
      </c>
      <c r="H3760" s="6" t="s">
        <v>25551</v>
      </c>
      <c r="K3760" s="5" t="s">
        <v>25541</v>
      </c>
      <c r="M3760" s="5" t="s">
        <v>25552</v>
      </c>
      <c r="N3760" s="7" t="s">
        <v>25553</v>
      </c>
      <c r="O3760" s="8" t="str">
        <f>HYPERLINK("https://drive.google.com/file/d/1ZnAaxFp_qFH_EXyJQ2CcuAQILupxvMC5/view?usp=drivesdk","3759_EDY PURNOMO  _ SERTIFIKAT BerAKHLAK")</f>
        <v>3759_EDY PURNOMO  _ SERTIFIKAT BerAKHLAK</v>
      </c>
      <c r="P3760" s="5" t="s">
        <v>25554</v>
      </c>
    </row>
    <row r="3761">
      <c r="A3761" s="4">
        <v>45534.34734025463</v>
      </c>
      <c r="B3761" s="5" t="s">
        <v>34</v>
      </c>
      <c r="D3761" s="5" t="s">
        <v>35</v>
      </c>
      <c r="E3761" s="5" t="s">
        <v>25555</v>
      </c>
      <c r="F3761" s="5" t="s">
        <v>108</v>
      </c>
      <c r="G3761" s="5" t="s">
        <v>25556</v>
      </c>
      <c r="H3761" s="6" t="s">
        <v>25557</v>
      </c>
      <c r="K3761" s="5" t="s">
        <v>25541</v>
      </c>
      <c r="M3761" s="5" t="s">
        <v>25558</v>
      </c>
      <c r="N3761" s="7" t="s">
        <v>25559</v>
      </c>
      <c r="O3761" s="8" t="str">
        <f>HYPERLINK("https://drive.google.com/file/d/1dL4yeBZTq5ggk84mp5TXil_f4Ven0Hvl/view?usp=drivesdk","3760_PUTRI RAHAYU, S.R. _ SERTIFIKAT BerAKHLAK")</f>
        <v>3760_PUTRI RAHAYU, S.R. _ SERTIFIKAT BerAKHLAK</v>
      </c>
      <c r="P3761" s="5" t="s">
        <v>25554</v>
      </c>
    </row>
    <row r="3762">
      <c r="A3762" s="4">
        <v>45534.34735043981</v>
      </c>
      <c r="B3762" s="5" t="s">
        <v>34</v>
      </c>
      <c r="D3762" s="5" t="s">
        <v>1206</v>
      </c>
      <c r="E3762" s="5" t="s">
        <v>25560</v>
      </c>
      <c r="F3762" s="5" t="s">
        <v>212</v>
      </c>
      <c r="G3762" s="5" t="s">
        <v>25561</v>
      </c>
      <c r="H3762" s="6" t="s">
        <v>25562</v>
      </c>
      <c r="K3762" s="5" t="s">
        <v>25541</v>
      </c>
      <c r="M3762" s="5" t="s">
        <v>25563</v>
      </c>
      <c r="N3762" s="7" t="s">
        <v>25564</v>
      </c>
      <c r="O3762" s="8" t="str">
        <f>HYPERLINK("https://drive.google.com/file/d/11Vxvt9RcLU53X1k9oVZocegFWap2Eb91/view?usp=drivesdk","3761_YUNI WIDIASTUTI _ SERTIFIKAT BerAKHLAK")</f>
        <v>3761_YUNI WIDIASTUTI _ SERTIFIKAT BerAKHLAK</v>
      </c>
      <c r="P3762" s="5" t="s">
        <v>25554</v>
      </c>
    </row>
    <row r="3763">
      <c r="A3763" s="4">
        <v>45534.34736699074</v>
      </c>
      <c r="B3763" s="5" t="s">
        <v>34</v>
      </c>
      <c r="D3763" s="5" t="s">
        <v>701</v>
      </c>
      <c r="E3763" s="5" t="s">
        <v>25565</v>
      </c>
      <c r="F3763" s="5" t="s">
        <v>72</v>
      </c>
      <c r="G3763" s="5" t="s">
        <v>25566</v>
      </c>
      <c r="H3763" s="6" t="s">
        <v>25567</v>
      </c>
      <c r="K3763" s="5" t="s">
        <v>25541</v>
      </c>
      <c r="M3763" s="5" t="s">
        <v>25568</v>
      </c>
      <c r="N3763" s="7" t="s">
        <v>25569</v>
      </c>
      <c r="O3763" s="8" t="str">
        <f>HYPERLINK("https://drive.google.com/file/d/1hA5XkWvY4EZ_BMLVL1zCI0FnsXJiHoye/view?usp=drivesdk","3762_dr. HARMAILINDA _ SERTIFIKAT BerAKHLAK")</f>
        <v>3762_dr. HARMAILINDA _ SERTIFIKAT BerAKHLAK</v>
      </c>
      <c r="P3763" s="5" t="s">
        <v>25554</v>
      </c>
    </row>
    <row r="3764">
      <c r="A3764" s="4">
        <v>45534.347382430555</v>
      </c>
      <c r="B3764" s="5" t="s">
        <v>34</v>
      </c>
      <c r="D3764" s="5" t="s">
        <v>9020</v>
      </c>
      <c r="E3764" s="5" t="s">
        <v>25570</v>
      </c>
      <c r="F3764" s="5" t="s">
        <v>212</v>
      </c>
      <c r="G3764" s="5" t="s">
        <v>25571</v>
      </c>
      <c r="H3764" s="6" t="s">
        <v>25572</v>
      </c>
      <c r="K3764" s="5" t="s">
        <v>25541</v>
      </c>
      <c r="M3764" s="5" t="s">
        <v>25573</v>
      </c>
      <c r="N3764" s="7" t="s">
        <v>25574</v>
      </c>
      <c r="O3764" s="8" t="str">
        <f>HYPERLINK("https://drive.google.com/file/d/1TI2UFV3vwQXNu6rOYWOv9OnIwNxju-_p/view?usp=drivesdk","3763_SUGIYANTI _ SERTIFIKAT BerAKHLAK")</f>
        <v>3763_SUGIYANTI _ SERTIFIKAT BerAKHLAK</v>
      </c>
      <c r="P3764" s="5" t="s">
        <v>25575</v>
      </c>
    </row>
    <row r="3765">
      <c r="A3765" s="4">
        <v>45534.34738643518</v>
      </c>
      <c r="B3765" s="5" t="s">
        <v>34</v>
      </c>
      <c r="D3765" s="5" t="s">
        <v>15401</v>
      </c>
      <c r="E3765" s="5" t="s">
        <v>25576</v>
      </c>
      <c r="F3765" s="5" t="s">
        <v>715</v>
      </c>
      <c r="G3765" s="5" t="s">
        <v>25577</v>
      </c>
      <c r="H3765" s="6" t="s">
        <v>25578</v>
      </c>
      <c r="K3765" s="5" t="s">
        <v>25541</v>
      </c>
      <c r="M3765" s="5" t="s">
        <v>25579</v>
      </c>
      <c r="N3765" s="7" t="s">
        <v>25580</v>
      </c>
      <c r="O3765" s="8" t="str">
        <f>HYPERLINK("https://drive.google.com/file/d/1rAcOSHmBHdYbMSDNt2SHxodM27CERvoo/view?usp=drivesdk","3764_SETIAWATI, A.Md.,M.I. _ SERTIFIKAT BerAKHLAK")</f>
        <v>3764_SETIAWATI, A.Md.,M.I. _ SERTIFIKAT BerAKHLAK</v>
      </c>
      <c r="P3765" s="5" t="s">
        <v>25575</v>
      </c>
    </row>
    <row r="3766">
      <c r="A3766" s="4">
        <v>45534.34738704861</v>
      </c>
      <c r="B3766" s="5" t="s">
        <v>34</v>
      </c>
      <c r="D3766" s="5" t="s">
        <v>1206</v>
      </c>
      <c r="E3766" s="5" t="s">
        <v>25581</v>
      </c>
      <c r="F3766" s="5" t="s">
        <v>328</v>
      </c>
      <c r="G3766" s="5" t="s">
        <v>25582</v>
      </c>
      <c r="H3766" s="6" t="s">
        <v>25583</v>
      </c>
      <c r="K3766" s="5" t="s">
        <v>25541</v>
      </c>
      <c r="M3766" s="5" t="s">
        <v>25584</v>
      </c>
      <c r="N3766" s="7" t="s">
        <v>25585</v>
      </c>
      <c r="O3766" s="8" t="str">
        <f>HYPERLINK("https://drive.google.com/file/d/1gvPSm_hyFty_JyZbZuAygDhCttrTmRKn/view?usp=drivesdk","3765_JOKO SUMARYONO _ SERTIFIKAT BerAKHLAK")</f>
        <v>3765_JOKO SUMARYONO _ SERTIFIKAT BerAKHLAK</v>
      </c>
      <c r="P3766" s="5" t="s">
        <v>25575</v>
      </c>
    </row>
    <row r="3767">
      <c r="A3767" s="4">
        <v>45534.34738724537</v>
      </c>
      <c r="B3767" s="5" t="s">
        <v>34</v>
      </c>
      <c r="D3767" s="5" t="s">
        <v>1692</v>
      </c>
      <c r="E3767" s="5" t="s">
        <v>25586</v>
      </c>
      <c r="F3767" s="5" t="s">
        <v>108</v>
      </c>
      <c r="G3767" s="5" t="s">
        <v>25587</v>
      </c>
      <c r="H3767" s="6" t="s">
        <v>25588</v>
      </c>
      <c r="K3767" s="5" t="s">
        <v>25541</v>
      </c>
      <c r="M3767" s="5" t="s">
        <v>25589</v>
      </c>
      <c r="N3767" s="7" t="s">
        <v>25590</v>
      </c>
      <c r="O3767" s="8" t="str">
        <f>HYPERLINK("https://drive.google.com/file/d/1l78NhpqL3eciB3OGDFp1-vFdEtyhqmQV/view?usp=drivesdk","3766_FRANGKY MANUHUTU, S.E. _ SERTIFIKAT BerAKHLAK")</f>
        <v>3766_FRANGKY MANUHUTU, S.E. _ SERTIFIKAT BerAKHLAK</v>
      </c>
      <c r="P3767" s="5" t="s">
        <v>25575</v>
      </c>
    </row>
    <row r="3768">
      <c r="A3768" s="4">
        <v>45534.34739215278</v>
      </c>
      <c r="B3768" s="5" t="s">
        <v>34</v>
      </c>
      <c r="D3768" s="5" t="s">
        <v>1206</v>
      </c>
      <c r="E3768" s="5" t="s">
        <v>25591</v>
      </c>
      <c r="F3768" s="5" t="s">
        <v>328</v>
      </c>
      <c r="G3768" s="5" t="s">
        <v>25592</v>
      </c>
      <c r="H3768" s="6" t="s">
        <v>25593</v>
      </c>
      <c r="K3768" s="5" t="s">
        <v>25541</v>
      </c>
      <c r="M3768" s="5" t="s">
        <v>25594</v>
      </c>
      <c r="N3768" s="7" t="s">
        <v>25595</v>
      </c>
      <c r="O3768" s="8" t="str">
        <f>HYPERLINK("https://drive.google.com/file/d/1aGi0PXmZ_Uqsc4UVAMASGhjjLolGaGkc/view?usp=drivesdk","3767_KEMAS ABDUL HARIS  _ SERTIFIKAT BerAKHLAK")</f>
        <v>3767_KEMAS ABDUL HARIS  _ SERTIFIKAT BerAKHLAK</v>
      </c>
      <c r="P3768" s="5" t="s">
        <v>25596</v>
      </c>
    </row>
    <row r="3769" hidden="1">
      <c r="A3769" s="4">
        <v>45534.347395046294</v>
      </c>
      <c r="B3769" s="5" t="s">
        <v>19</v>
      </c>
      <c r="C3769" s="5" t="s">
        <v>466</v>
      </c>
      <c r="E3769" s="5" t="s">
        <v>25597</v>
      </c>
      <c r="F3769" s="5" t="s">
        <v>72</v>
      </c>
      <c r="G3769" s="5" t="s">
        <v>25598</v>
      </c>
      <c r="H3769" s="6" t="s">
        <v>25599</v>
      </c>
      <c r="K3769" s="5" t="s">
        <v>25541</v>
      </c>
      <c r="M3769" s="5" t="s">
        <v>25600</v>
      </c>
      <c r="N3769" s="7" t="s">
        <v>25601</v>
      </c>
      <c r="O3769" s="8" t="str">
        <f>HYPERLINK("https://drive.google.com/file/d/1W0ULkK1Mts-eOFuvlWMtgeIJAgTQi5DY/view?usp=drivesdk","3768_APRILIANA SAGITA, SE _ SERTIFIKAT BerAKHLAK")</f>
        <v>3768_APRILIANA SAGITA, SE _ SERTIFIKAT BerAKHLAK</v>
      </c>
      <c r="P3769" s="5" t="s">
        <v>25596</v>
      </c>
    </row>
    <row r="3770">
      <c r="A3770" s="4">
        <v>45534.34740032407</v>
      </c>
      <c r="B3770" s="5" t="s">
        <v>34</v>
      </c>
      <c r="D3770" s="5" t="s">
        <v>11527</v>
      </c>
      <c r="E3770" s="5" t="s">
        <v>25602</v>
      </c>
      <c r="F3770" s="5" t="s">
        <v>120</v>
      </c>
      <c r="G3770" s="5" t="s">
        <v>25603</v>
      </c>
      <c r="H3770" s="6" t="s">
        <v>25604</v>
      </c>
      <c r="K3770" s="5" t="s">
        <v>25541</v>
      </c>
      <c r="M3770" s="5" t="s">
        <v>25605</v>
      </c>
      <c r="N3770" s="7" t="s">
        <v>25606</v>
      </c>
      <c r="O3770" s="8" t="str">
        <f>HYPERLINK("https://drive.google.com/file/d/1HdFQ6YoyAatKqrvCoxbGKJ1wSBfT62XH/view?usp=drivesdk","3769_dr. Sti Marioni Sandag, M.Kes _ SERTIFIKAT BerAKHLAK")</f>
        <v>3769_dr. Sti Marioni Sandag, M.Kes _ SERTIFIKAT BerAKHLAK</v>
      </c>
      <c r="P3770" s="5" t="s">
        <v>25596</v>
      </c>
    </row>
    <row r="3771">
      <c r="A3771" s="4">
        <v>45534.347410937495</v>
      </c>
      <c r="B3771" s="5" t="s">
        <v>34</v>
      </c>
      <c r="D3771" s="5" t="s">
        <v>1206</v>
      </c>
      <c r="E3771" s="5" t="s">
        <v>25607</v>
      </c>
      <c r="F3771" s="5" t="s">
        <v>524</v>
      </c>
      <c r="G3771" s="5" t="s">
        <v>25608</v>
      </c>
      <c r="H3771" s="6" t="s">
        <v>25609</v>
      </c>
      <c r="I3771" s="7" t="s">
        <v>25610</v>
      </c>
      <c r="J3771" s="8" t="str">
        <f>HYPERLINK("https://drive.google.com/file/d/1-jXUDNaRPtEyrAzvLOTcFHb8r1hObcBq/view?usp=drivesdk","SUAIBAH, S.P.,S.Pd., M.Pd. SERTIFIKAT BerAKHLAK")</f>
        <v>SUAIBAH, S.P.,S.Pd., M.Pd. SERTIFIKAT BerAKHLAK</v>
      </c>
      <c r="K3771" s="5" t="s">
        <v>25486</v>
      </c>
      <c r="L3771" s="5" t="s">
        <v>25611</v>
      </c>
      <c r="M3771" s="5" t="s">
        <v>25612</v>
      </c>
      <c r="N3771" s="7" t="s">
        <v>25613</v>
      </c>
      <c r="O3771" s="8" t="str">
        <f>HYPERLINK("https://drive.google.com/file/d/1tGyJqM6o0D8qIeIdODwLWpHfr53liIx9/view?usp=drivesdk","3770_SUAIBAH, S.P.,S.Pd., M.Pd. _ SERTIFIKAT BerAKHLAK")</f>
        <v>3770_SUAIBAH, S.P.,S.Pd., M.Pd. _ SERTIFIKAT BerAKHLAK</v>
      </c>
      <c r="P3771" s="5" t="s">
        <v>25596</v>
      </c>
    </row>
    <row r="3772">
      <c r="A3772" s="4">
        <v>45534.34741731481</v>
      </c>
      <c r="B3772" s="5" t="s">
        <v>34</v>
      </c>
      <c r="D3772" s="5" t="s">
        <v>1206</v>
      </c>
      <c r="E3772" s="5" t="s">
        <v>25614</v>
      </c>
      <c r="F3772" s="5" t="s">
        <v>328</v>
      </c>
      <c r="G3772" s="5" t="s">
        <v>25615</v>
      </c>
      <c r="H3772" s="6" t="s">
        <v>25616</v>
      </c>
      <c r="I3772" s="7" t="s">
        <v>25617</v>
      </c>
      <c r="J3772" s="8" t="str">
        <f>HYPERLINK("https://drive.google.com/file/d/1kZA9rCFW_K8mSH5Ii-rGCo8hXEaU9zXo/view?usp=drivesdk","INTAN NOFITA ARIFIANI  SERTIFIKAT BerAKHLAK")</f>
        <v>INTAN NOFITA ARIFIANI  SERTIFIKAT BerAKHLAK</v>
      </c>
      <c r="K3772" s="5" t="s">
        <v>25486</v>
      </c>
      <c r="L3772" s="5" t="s">
        <v>25618</v>
      </c>
      <c r="M3772" s="5" t="s">
        <v>25619</v>
      </c>
      <c r="N3772" s="7" t="s">
        <v>25620</v>
      </c>
      <c r="O3772" s="8" t="str">
        <f>HYPERLINK("https://drive.google.com/file/d/1mLBNFhSbGnfbqLrD4rmSA9Q42AYLNsAB/view?usp=drivesdk","3771_INTAN NOFITA ARIFIANI  _ SERTIFIKAT BerAKHLAK")</f>
        <v>3771_INTAN NOFITA ARIFIANI  _ SERTIFIKAT BerAKHLAK</v>
      </c>
      <c r="P3772" s="5" t="s">
        <v>25596</v>
      </c>
    </row>
    <row r="3773" hidden="1">
      <c r="A3773" s="4">
        <v>45534.34742439815</v>
      </c>
      <c r="B3773" s="5" t="s">
        <v>19</v>
      </c>
      <c r="C3773" s="5" t="s">
        <v>5564</v>
      </c>
      <c r="E3773" s="5" t="s">
        <v>25621</v>
      </c>
      <c r="F3773" s="5" t="s">
        <v>524</v>
      </c>
      <c r="G3773" s="5" t="s">
        <v>25622</v>
      </c>
      <c r="H3773" s="6" t="s">
        <v>25623</v>
      </c>
      <c r="I3773" s="7" t="s">
        <v>25624</v>
      </c>
      <c r="J3773" s="8" t="str">
        <f>HYPERLINK("https://drive.google.com/file/d/1ZHfHh1lQs2mVdOVBd6W6DOgUjfZFOoBB/view?usp=drivesdk","MERIKA WIDYANINGSIH SERTIFIKAT BerAKHLAK")</f>
        <v>MERIKA WIDYANINGSIH SERTIFIKAT BerAKHLAK</v>
      </c>
      <c r="K3773" s="5" t="s">
        <v>25486</v>
      </c>
      <c r="L3773" s="5" t="s">
        <v>25625</v>
      </c>
      <c r="M3773" s="5" t="s">
        <v>25626</v>
      </c>
      <c r="N3773" s="7" t="s">
        <v>25627</v>
      </c>
      <c r="O3773" s="8" t="str">
        <f>HYPERLINK("https://drive.google.com/file/d/1-bjh57s5TK2LPeon9nQWFwJBONUXs0qd/view?usp=drivesdk","3772_MERIKA WIDYANINGSIH _ SERTIFIKAT BerAKHLAK")</f>
        <v>3772_MERIKA WIDYANINGSIH _ SERTIFIKAT BerAKHLAK</v>
      </c>
      <c r="P3773" s="5" t="s">
        <v>25628</v>
      </c>
    </row>
    <row r="3774">
      <c r="A3774" s="4">
        <v>45534.34742608796</v>
      </c>
      <c r="B3774" s="5" t="s">
        <v>34</v>
      </c>
      <c r="D3774" s="5" t="s">
        <v>4775</v>
      </c>
      <c r="E3774" s="5" t="s">
        <v>25629</v>
      </c>
      <c r="F3774" s="5" t="s">
        <v>375</v>
      </c>
      <c r="G3774" s="5" t="s">
        <v>25630</v>
      </c>
      <c r="H3774" s="6" t="s">
        <v>25631</v>
      </c>
      <c r="K3774" s="5" t="s">
        <v>25632</v>
      </c>
      <c r="M3774" s="5" t="s">
        <v>25633</v>
      </c>
      <c r="N3774" s="7" t="s">
        <v>25634</v>
      </c>
      <c r="O3774" s="8" t="str">
        <f>HYPERLINK("https://drive.google.com/file/d/1rcr14tNZAMHY2ru-iliUzlBSDnIQ6u8u/view?usp=drivesdk","3773_SUMIYATI S.Kom _ SERTIFIKAT BerAKHLAK")</f>
        <v>3773_SUMIYATI S.Kom _ SERTIFIKAT BerAKHLAK</v>
      </c>
      <c r="P3774" s="5" t="s">
        <v>25628</v>
      </c>
    </row>
    <row r="3775">
      <c r="A3775" s="4">
        <v>45534.34743497685</v>
      </c>
      <c r="B3775" s="5" t="s">
        <v>34</v>
      </c>
      <c r="D3775" s="5" t="s">
        <v>4775</v>
      </c>
      <c r="E3775" s="5" t="s">
        <v>25635</v>
      </c>
      <c r="F3775" s="5" t="s">
        <v>37</v>
      </c>
      <c r="G3775" s="5" t="s">
        <v>25636</v>
      </c>
      <c r="H3775" s="6" t="s">
        <v>25637</v>
      </c>
      <c r="K3775" s="5" t="s">
        <v>25632</v>
      </c>
      <c r="M3775" s="5" t="s">
        <v>25638</v>
      </c>
      <c r="N3775" s="7" t="s">
        <v>25639</v>
      </c>
      <c r="O3775" s="8" t="str">
        <f>HYPERLINK("https://drive.google.com/file/d/1OhZCbrcvAArUyYYgQImS9pwMSitMiTh1/view?usp=drivesdk","3774_AGUS SUDIRGO _ SERTIFIKAT BerAKHLAK")</f>
        <v>3774_AGUS SUDIRGO _ SERTIFIKAT BerAKHLAK</v>
      </c>
      <c r="P3775" s="5" t="s">
        <v>25628</v>
      </c>
    </row>
    <row r="3776">
      <c r="A3776" s="4">
        <v>45534.3474441088</v>
      </c>
      <c r="B3776" s="5" t="s">
        <v>34</v>
      </c>
      <c r="D3776" s="5" t="s">
        <v>9020</v>
      </c>
      <c r="E3776" s="5" t="s">
        <v>25640</v>
      </c>
      <c r="F3776" s="5" t="s">
        <v>37</v>
      </c>
      <c r="G3776" s="5" t="s">
        <v>25641</v>
      </c>
      <c r="H3776" s="6" t="s">
        <v>25642</v>
      </c>
      <c r="K3776" s="5" t="s">
        <v>25632</v>
      </c>
      <c r="M3776" s="5" t="s">
        <v>25643</v>
      </c>
      <c r="N3776" s="7" t="s">
        <v>25644</v>
      </c>
      <c r="O3776" s="8" t="str">
        <f>HYPERLINK("https://drive.google.com/file/d/1ZJCxC8jCtf3vDq-nGXRCkU61J_xO87z8/view?usp=drivesdk","3775_DESIWIDIANTI _ SERTIFIKAT BerAKHLAK")</f>
        <v>3775_DESIWIDIANTI _ SERTIFIKAT BerAKHLAK</v>
      </c>
      <c r="P3776" s="5" t="s">
        <v>25628</v>
      </c>
    </row>
    <row r="3777">
      <c r="A3777" s="4">
        <v>45534.34744817129</v>
      </c>
      <c r="B3777" s="5" t="s">
        <v>34</v>
      </c>
      <c r="D3777" s="5" t="s">
        <v>10444</v>
      </c>
      <c r="E3777" s="5" t="s">
        <v>16441</v>
      </c>
      <c r="F3777" s="5" t="s">
        <v>212</v>
      </c>
      <c r="G3777" s="5" t="s">
        <v>25645</v>
      </c>
      <c r="H3777" s="6" t="s">
        <v>25646</v>
      </c>
      <c r="K3777" s="5" t="s">
        <v>25632</v>
      </c>
      <c r="M3777" s="5" t="s">
        <v>25647</v>
      </c>
      <c r="N3777" s="7" t="s">
        <v>25648</v>
      </c>
      <c r="O3777" s="8" t="str">
        <f>HYPERLINK("https://drive.google.com/file/d/19Lav17xmaSYI28FxFZzfJTppfGrrdECA/view?usp=drivesdk","3776_SUMINI _ SERTIFIKAT BerAKHLAK")</f>
        <v>3776_SUMINI _ SERTIFIKAT BerAKHLAK</v>
      </c>
      <c r="P3777" s="5" t="s">
        <v>25649</v>
      </c>
    </row>
    <row r="3778">
      <c r="A3778" s="4">
        <v>45534.34745505787</v>
      </c>
      <c r="B3778" s="5" t="s">
        <v>34</v>
      </c>
      <c r="D3778" s="5" t="s">
        <v>12978</v>
      </c>
      <c r="E3778" s="5" t="s">
        <v>25650</v>
      </c>
      <c r="F3778" s="5" t="s">
        <v>212</v>
      </c>
      <c r="G3778" s="5" t="s">
        <v>25651</v>
      </c>
      <c r="H3778" s="6" t="s">
        <v>25652</v>
      </c>
      <c r="K3778" s="5" t="s">
        <v>25632</v>
      </c>
      <c r="M3778" s="5" t="s">
        <v>25653</v>
      </c>
      <c r="N3778" s="7" t="s">
        <v>25654</v>
      </c>
      <c r="O3778" s="8" t="str">
        <f>HYPERLINK("https://drive.google.com/file/d/1OMEycWwTGsEUmrHY1GtBhuQUju-pbqjh/view?usp=drivesdk","3777_NUTIMA GUMAINI _ SERTIFIKAT BerAKHLAK")</f>
        <v>3777_NUTIMA GUMAINI _ SERTIFIKAT BerAKHLAK</v>
      </c>
      <c r="P3778" s="5" t="s">
        <v>25649</v>
      </c>
    </row>
    <row r="3779">
      <c r="A3779" s="4">
        <v>45534.34745913194</v>
      </c>
      <c r="B3779" s="5" t="s">
        <v>34</v>
      </c>
      <c r="D3779" s="5" t="s">
        <v>7858</v>
      </c>
      <c r="E3779" s="5" t="s">
        <v>25655</v>
      </c>
      <c r="F3779" s="5" t="s">
        <v>37</v>
      </c>
      <c r="G3779" s="5" t="s">
        <v>25656</v>
      </c>
      <c r="H3779" s="6" t="s">
        <v>25657</v>
      </c>
      <c r="K3779" s="5" t="s">
        <v>25632</v>
      </c>
      <c r="M3779" s="5" t="s">
        <v>25658</v>
      </c>
      <c r="N3779" s="7" t="s">
        <v>25659</v>
      </c>
      <c r="O3779" s="8" t="str">
        <f>HYPERLINK("https://drive.google.com/file/d/1HHDKEKZfdXaLdVAWdjcxSJ0cCm6Ey3W5/view?usp=drivesdk","3778_SANTIKA  _ SERTIFIKAT BerAKHLAK")</f>
        <v>3778_SANTIKA  _ SERTIFIKAT BerAKHLAK</v>
      </c>
      <c r="P3779" s="5" t="s">
        <v>25649</v>
      </c>
    </row>
    <row r="3780">
      <c r="A3780" s="4">
        <v>45534.34745945602</v>
      </c>
      <c r="B3780" s="5" t="s">
        <v>34</v>
      </c>
      <c r="D3780" s="5" t="s">
        <v>1206</v>
      </c>
      <c r="E3780" s="5" t="s">
        <v>25660</v>
      </c>
      <c r="F3780" s="5" t="s">
        <v>524</v>
      </c>
      <c r="G3780" s="5" t="s">
        <v>25661</v>
      </c>
      <c r="H3780" s="6" t="s">
        <v>25662</v>
      </c>
      <c r="K3780" s="5" t="s">
        <v>25632</v>
      </c>
      <c r="M3780" s="5" t="s">
        <v>25663</v>
      </c>
      <c r="N3780" s="7" t="s">
        <v>25664</v>
      </c>
      <c r="O3780" s="8" t="str">
        <f>HYPERLINK("https://drive.google.com/file/d/1pgKhopDnsBMX6IcRAazG14CUGKTGeFRn/view?usp=drivesdk","3779_TUGAS YULI NURSETYANINGSIH,S.Kep.Ns _ SERTIFIKAT BerAKHLAK")</f>
        <v>3779_TUGAS YULI NURSETYANINGSIH,S.Kep.Ns _ SERTIFIKAT BerAKHLAK</v>
      </c>
      <c r="P3780" s="5" t="s">
        <v>25649</v>
      </c>
    </row>
    <row r="3781">
      <c r="A3781" s="4">
        <v>45534.34746189815</v>
      </c>
      <c r="B3781" s="5" t="s">
        <v>34</v>
      </c>
      <c r="D3781" s="5" t="s">
        <v>1206</v>
      </c>
      <c r="E3781" s="5" t="s">
        <v>25665</v>
      </c>
      <c r="F3781" s="5" t="s">
        <v>37</v>
      </c>
      <c r="G3781" s="5" t="s">
        <v>25666</v>
      </c>
      <c r="H3781" s="6" t="s">
        <v>25667</v>
      </c>
      <c r="K3781" s="5" t="s">
        <v>25632</v>
      </c>
      <c r="M3781" s="5" t="s">
        <v>25668</v>
      </c>
      <c r="N3781" s="7" t="s">
        <v>25669</v>
      </c>
      <c r="O3781" s="8" t="str">
        <f>HYPERLINK("https://drive.google.com/file/d/1_yBh7WxrYv1KTXqiXHcQD1nuPbgS6eqZ/view?usp=drivesdk","3780_AZIZUL HAKIEM _ SERTIFIKAT BerAKHLAK")</f>
        <v>3780_AZIZUL HAKIEM _ SERTIFIKAT BerAKHLAK</v>
      </c>
      <c r="P3781" s="5" t="s">
        <v>25670</v>
      </c>
    </row>
    <row r="3782">
      <c r="A3782" s="4">
        <v>45534.34746888889</v>
      </c>
      <c r="B3782" s="5" t="s">
        <v>34</v>
      </c>
      <c r="D3782" s="5" t="s">
        <v>604</v>
      </c>
      <c r="E3782" s="5" t="s">
        <v>25671</v>
      </c>
      <c r="F3782" s="5" t="s">
        <v>524</v>
      </c>
      <c r="G3782" s="5" t="s">
        <v>25672</v>
      </c>
      <c r="H3782" s="6" t="s">
        <v>25673</v>
      </c>
      <c r="K3782" s="5" t="s">
        <v>25632</v>
      </c>
      <c r="M3782" s="5" t="s">
        <v>25674</v>
      </c>
      <c r="N3782" s="7" t="s">
        <v>25675</v>
      </c>
      <c r="O3782" s="8" t="str">
        <f>HYPERLINK("https://drive.google.com/file/d/1FA5OoBrFcqSYII9KlTcq6eVNgoH2JiYg/view?usp=drivesdk","3781_JUNIANTI SAWIAS, A.Md.Keb _ SERTIFIKAT BerAKHLAK")</f>
        <v>3781_JUNIANTI SAWIAS, A.Md.Keb _ SERTIFIKAT BerAKHLAK</v>
      </c>
      <c r="P3782" s="5" t="s">
        <v>25670</v>
      </c>
    </row>
    <row r="3783">
      <c r="A3783" s="4">
        <v>45534.34747825231</v>
      </c>
      <c r="B3783" s="5" t="s">
        <v>34</v>
      </c>
      <c r="D3783" s="5" t="s">
        <v>9020</v>
      </c>
      <c r="E3783" s="5" t="s">
        <v>25676</v>
      </c>
      <c r="F3783" s="5" t="s">
        <v>37</v>
      </c>
      <c r="G3783" s="5" t="s">
        <v>25677</v>
      </c>
      <c r="H3783" s="6" t="s">
        <v>25678</v>
      </c>
      <c r="K3783" s="5" t="s">
        <v>25632</v>
      </c>
      <c r="M3783" s="5" t="s">
        <v>25679</v>
      </c>
      <c r="N3783" s="7" t="s">
        <v>25680</v>
      </c>
      <c r="O3783" s="8" t="str">
        <f>HYPERLINK("https://drive.google.com/file/d/1nTQi9QMpZeJnayHSklMsSboLlaPxnLe7/view?usp=drivesdk","3782_AHMAD NURIADIN  _ SERTIFIKAT BerAKHLAK")</f>
        <v>3782_AHMAD NURIADIN  _ SERTIFIKAT BerAKHLAK</v>
      </c>
      <c r="P3783" s="5" t="s">
        <v>25670</v>
      </c>
    </row>
    <row r="3784">
      <c r="A3784" s="4">
        <v>45534.34748589121</v>
      </c>
      <c r="B3784" s="5" t="s">
        <v>34</v>
      </c>
      <c r="D3784" s="5" t="s">
        <v>522</v>
      </c>
      <c r="E3784" s="5" t="s">
        <v>25681</v>
      </c>
      <c r="F3784" s="5" t="s">
        <v>72</v>
      </c>
      <c r="G3784" s="5" t="s">
        <v>25682</v>
      </c>
      <c r="H3784" s="6" t="s">
        <v>25683</v>
      </c>
      <c r="K3784" s="5" t="s">
        <v>25632</v>
      </c>
      <c r="M3784" s="5" t="s">
        <v>25684</v>
      </c>
      <c r="N3784" s="7" t="s">
        <v>25685</v>
      </c>
      <c r="O3784" s="8" t="str">
        <f>HYPERLINK("https://drive.google.com/file/d/1OYGC4NfNlp_F2gzv4rR19TzRrXkNjl8j/view?usp=drivesdk","3783_NI NYOMAN SANTRINJ _ SERTIFIKAT BerAKHLAK")</f>
        <v>3783_NI NYOMAN SANTRINJ _ SERTIFIKAT BerAKHLAK</v>
      </c>
      <c r="P3784" s="5" t="s">
        <v>25670</v>
      </c>
    </row>
    <row r="3785">
      <c r="A3785" s="4">
        <v>45534.34748888889</v>
      </c>
      <c r="B3785" s="5" t="s">
        <v>34</v>
      </c>
      <c r="D3785" s="5" t="s">
        <v>4775</v>
      </c>
      <c r="E3785" s="5" t="s">
        <v>25686</v>
      </c>
      <c r="F3785" s="5" t="s">
        <v>37</v>
      </c>
      <c r="G3785" s="5" t="s">
        <v>25687</v>
      </c>
      <c r="H3785" s="6" t="s">
        <v>25688</v>
      </c>
      <c r="K3785" s="5" t="s">
        <v>25632</v>
      </c>
      <c r="M3785" s="5" t="s">
        <v>25689</v>
      </c>
      <c r="N3785" s="7" t="s">
        <v>25690</v>
      </c>
      <c r="O3785" s="8" t="str">
        <f>HYPERLINK("https://drive.google.com/file/d/1pFQ8L0x8a5cevvRnFqmqpX4A3iyA7Auk/view?usp=drivesdk","3784_SRI SUDARYATI _ SERTIFIKAT BerAKHLAK")</f>
        <v>3784_SRI SUDARYATI _ SERTIFIKAT BerAKHLAK</v>
      </c>
      <c r="P3785" s="5" t="s">
        <v>25691</v>
      </c>
    </row>
    <row r="3786">
      <c r="A3786" s="4">
        <v>45534.347493043984</v>
      </c>
      <c r="B3786" s="5" t="s">
        <v>34</v>
      </c>
      <c r="D3786" s="5" t="s">
        <v>7858</v>
      </c>
      <c r="E3786" s="5" t="s">
        <v>25692</v>
      </c>
      <c r="F3786" s="5" t="s">
        <v>524</v>
      </c>
      <c r="G3786" s="5" t="s">
        <v>25693</v>
      </c>
      <c r="H3786" s="6" t="s">
        <v>25694</v>
      </c>
      <c r="K3786" s="5" t="s">
        <v>25632</v>
      </c>
      <c r="M3786" s="5" t="s">
        <v>25695</v>
      </c>
      <c r="N3786" s="7" t="s">
        <v>25696</v>
      </c>
      <c r="O3786" s="8" t="str">
        <f>HYPERLINK("https://drive.google.com/file/d/1zLOvJDpQ7AReXWA2U7EoAdub9qE9F7yB/view?usp=drivesdk","3785_EVA ENDRASARY, S.E.  _ SERTIFIKAT BerAKHLAK")</f>
        <v>3785_EVA ENDRASARY, S.E.  _ SERTIFIKAT BerAKHLAK</v>
      </c>
      <c r="P3786" s="5" t="s">
        <v>25691</v>
      </c>
    </row>
    <row r="3787">
      <c r="A3787" s="4">
        <v>45534.347497696755</v>
      </c>
      <c r="B3787" s="5" t="s">
        <v>34</v>
      </c>
      <c r="D3787" s="5" t="s">
        <v>1206</v>
      </c>
      <c r="E3787" s="5" t="s">
        <v>25697</v>
      </c>
      <c r="F3787" s="5" t="s">
        <v>375</v>
      </c>
      <c r="G3787" s="5" t="s">
        <v>25698</v>
      </c>
      <c r="H3787" s="6" t="s">
        <v>25699</v>
      </c>
      <c r="K3787" s="5" t="s">
        <v>25632</v>
      </c>
      <c r="M3787" s="5" t="s">
        <v>25700</v>
      </c>
      <c r="N3787" s="7" t="s">
        <v>25701</v>
      </c>
      <c r="O3787" s="8" t="str">
        <f>HYPERLINK("https://drive.google.com/file/d/1rvhFDf2Shm7Usp0Jtgi3HEOMAOOfQhGI/view?usp=drivesdk","3786_LIA NOVI ERMAWATI, S. Si _ SERTIFIKAT BerAKHLAK")</f>
        <v>3786_LIA NOVI ERMAWATI, S. Si _ SERTIFIKAT BerAKHLAK</v>
      </c>
      <c r="P3787" s="5" t="s">
        <v>25691</v>
      </c>
    </row>
    <row r="3788">
      <c r="A3788" s="4">
        <v>45534.34749637732</v>
      </c>
      <c r="B3788" s="5" t="s">
        <v>34</v>
      </c>
      <c r="D3788" s="5" t="s">
        <v>6232</v>
      </c>
      <c r="E3788" s="5" t="s">
        <v>25702</v>
      </c>
      <c r="F3788" s="5" t="s">
        <v>212</v>
      </c>
      <c r="G3788" s="5" t="s">
        <v>25703</v>
      </c>
      <c r="H3788" s="6" t="s">
        <v>25704</v>
      </c>
      <c r="K3788" s="5" t="s">
        <v>25632</v>
      </c>
      <c r="M3788" s="5" t="s">
        <v>25705</v>
      </c>
      <c r="N3788" s="7" t="s">
        <v>25706</v>
      </c>
      <c r="O3788" s="8" t="str">
        <f>HYPERLINK("https://drive.google.com/file/d/1t4QSHMFHQLHOKY0FZSOinvBKo0j3S3CR/view?usp=drivesdk","3787_OKTARINA _ SERTIFIKAT BerAKHLAK")</f>
        <v>3787_OKTARINA _ SERTIFIKAT BerAKHLAK</v>
      </c>
      <c r="P3788" s="5" t="s">
        <v>25691</v>
      </c>
    </row>
    <row r="3789">
      <c r="A3789" s="4">
        <v>45534.347500937496</v>
      </c>
      <c r="B3789" s="5" t="s">
        <v>34</v>
      </c>
      <c r="D3789" s="5" t="s">
        <v>4775</v>
      </c>
      <c r="E3789" s="5" t="s">
        <v>25707</v>
      </c>
      <c r="F3789" s="5" t="s">
        <v>37</v>
      </c>
      <c r="G3789" s="5" t="s">
        <v>25708</v>
      </c>
      <c r="H3789" s="6" t="s">
        <v>25709</v>
      </c>
      <c r="K3789" s="5" t="s">
        <v>25632</v>
      </c>
      <c r="M3789" s="5" t="s">
        <v>25710</v>
      </c>
      <c r="N3789" s="7" t="s">
        <v>25711</v>
      </c>
      <c r="O3789" s="8" t="str">
        <f>HYPERLINK("https://drive.google.com/file/d/1jHtGwDr2SYuAo0Hhyytl0cuOhUEH7m86/view?usp=drivesdk","3788_SUMILAH _ SERTIFIKAT BerAKHLAK")</f>
        <v>3788_SUMILAH _ SERTIFIKAT BerAKHLAK</v>
      </c>
      <c r="P3789" s="5" t="s">
        <v>25691</v>
      </c>
    </row>
    <row r="3790">
      <c r="A3790" s="4">
        <v>45534.34750857639</v>
      </c>
      <c r="B3790" s="5" t="s">
        <v>34</v>
      </c>
      <c r="D3790" s="5" t="s">
        <v>7858</v>
      </c>
      <c r="E3790" s="5" t="s">
        <v>25712</v>
      </c>
      <c r="F3790" s="5" t="s">
        <v>37</v>
      </c>
      <c r="G3790" s="5" t="s">
        <v>25713</v>
      </c>
      <c r="H3790" s="6" t="s">
        <v>25714</v>
      </c>
      <c r="K3790" s="5" t="s">
        <v>25632</v>
      </c>
      <c r="M3790" s="5" t="s">
        <v>25715</v>
      </c>
      <c r="N3790" s="7" t="s">
        <v>25716</v>
      </c>
      <c r="O3790" s="8" t="str">
        <f>HYPERLINK("https://drive.google.com/file/d/13UsiO1aeJH1kxnI1i8a6PdY1nD-ImegY/view?usp=drivesdk","3789_YENI INDRIANINGTRYAS, S.E. _ SERTIFIKAT BerAKHLAK")</f>
        <v>3789_YENI INDRIANINGTRYAS, S.E. _ SERTIFIKAT BerAKHLAK</v>
      </c>
      <c r="P3790" s="5" t="s">
        <v>25717</v>
      </c>
    </row>
    <row r="3791">
      <c r="A3791" s="4">
        <v>45534.34751662037</v>
      </c>
      <c r="B3791" s="5" t="s">
        <v>34</v>
      </c>
      <c r="D3791" s="5" t="s">
        <v>10444</v>
      </c>
      <c r="E3791" s="5" t="s">
        <v>25718</v>
      </c>
      <c r="F3791" s="5" t="s">
        <v>108</v>
      </c>
      <c r="G3791" s="5" t="s">
        <v>25719</v>
      </c>
      <c r="H3791" s="6" t="s">
        <v>25720</v>
      </c>
      <c r="K3791" s="5" t="s">
        <v>25632</v>
      </c>
      <c r="M3791" s="5" t="s">
        <v>25721</v>
      </c>
      <c r="N3791" s="7" t="s">
        <v>25722</v>
      </c>
      <c r="O3791" s="8" t="str">
        <f>HYPERLINK("https://drive.google.com/file/d/1kOaphcHZvGnP-nAIszvK4L2s8xoCeTPb/view?usp=drivesdk","3790_MUHAMMAD TAUFIK,A.MD.FARM, S.AP _ SERTIFIKAT BerAKHLAK")</f>
        <v>3790_MUHAMMAD TAUFIK,A.MD.FARM, S.AP _ SERTIFIKAT BerAKHLAK</v>
      </c>
      <c r="P3791" s="5" t="s">
        <v>25717</v>
      </c>
    </row>
    <row r="3792">
      <c r="A3792" s="4">
        <v>45534.34751854167</v>
      </c>
      <c r="B3792" s="5" t="s">
        <v>34</v>
      </c>
      <c r="D3792" s="5" t="s">
        <v>701</v>
      </c>
      <c r="E3792" s="5" t="s">
        <v>25723</v>
      </c>
      <c r="F3792" s="5" t="s">
        <v>524</v>
      </c>
      <c r="G3792" s="5" t="s">
        <v>25724</v>
      </c>
      <c r="H3792" s="6" t="s">
        <v>25725</v>
      </c>
      <c r="K3792" s="5" t="s">
        <v>25632</v>
      </c>
      <c r="M3792" s="5" t="s">
        <v>25726</v>
      </c>
      <c r="N3792" s="7" t="s">
        <v>25727</v>
      </c>
      <c r="O3792" s="8" t="str">
        <f>HYPERLINK("https://drive.google.com/file/d/1Ren6EJbCwJc9KOJwqsRMVoWDt9FodBJd/view?usp=drivesdk","3791_ARIEF WIBOWO, S.H. _ SERTIFIKAT BerAKHLAK")</f>
        <v>3791_ARIEF WIBOWO, S.H. _ SERTIFIKAT BerAKHLAK</v>
      </c>
      <c r="P3792" s="5" t="s">
        <v>25717</v>
      </c>
    </row>
    <row r="3793">
      <c r="A3793" s="4">
        <v>45534.347519629635</v>
      </c>
      <c r="B3793" s="5" t="s">
        <v>34</v>
      </c>
      <c r="D3793" s="5" t="s">
        <v>3432</v>
      </c>
      <c r="E3793" s="5" t="s">
        <v>25728</v>
      </c>
      <c r="F3793" s="5" t="s">
        <v>375</v>
      </c>
      <c r="G3793" s="5" t="s">
        <v>25729</v>
      </c>
      <c r="H3793" s="6" t="s">
        <v>25730</v>
      </c>
      <c r="K3793" s="5" t="s">
        <v>25632</v>
      </c>
      <c r="M3793" s="5" t="s">
        <v>25731</v>
      </c>
      <c r="N3793" s="7" t="s">
        <v>25732</v>
      </c>
      <c r="O3793" s="8" t="str">
        <f>HYPERLINK("https://drive.google.com/file/d/1zTiF9kjwtvXUAL4w6LLZHlMYyx9BEQJz/view?usp=drivesdk","3792_SOFYAN BIN TAHER,SE.,M.Si _ SERTIFIKAT BerAKHLAK")</f>
        <v>3792_SOFYAN BIN TAHER,SE.,M.Si _ SERTIFIKAT BerAKHLAK</v>
      </c>
      <c r="P3793" s="5" t="s">
        <v>25717</v>
      </c>
    </row>
    <row r="3794">
      <c r="A3794" s="4">
        <v>45534.34751982639</v>
      </c>
      <c r="B3794" s="5" t="s">
        <v>34</v>
      </c>
      <c r="D3794" s="5" t="s">
        <v>12978</v>
      </c>
      <c r="E3794" s="5" t="s">
        <v>25733</v>
      </c>
      <c r="F3794" s="5" t="s">
        <v>120</v>
      </c>
      <c r="G3794" s="5" t="s">
        <v>25734</v>
      </c>
      <c r="H3794" s="6" t="s">
        <v>25735</v>
      </c>
      <c r="K3794" s="5" t="s">
        <v>25632</v>
      </c>
      <c r="M3794" s="5" t="s">
        <v>25736</v>
      </c>
      <c r="N3794" s="7" t="s">
        <v>25737</v>
      </c>
      <c r="O3794" s="8" t="str">
        <f>HYPERLINK("https://drive.google.com/file/d/1lFVf_o6QoZXj4VOKsBhc3biadG6e93RV/view?usp=drivesdk","3793_ASTARI DIAH SETIANINGSIH, S.E., M.Si. _ SERTIFIKAT BerAKHLAK")</f>
        <v>3793_ASTARI DIAH SETIANINGSIH, S.E., M.Si. _ SERTIFIKAT BerAKHLAK</v>
      </c>
      <c r="P3794" s="5" t="s">
        <v>25738</v>
      </c>
    </row>
    <row r="3795" hidden="1">
      <c r="A3795" s="4">
        <v>45534.34754662037</v>
      </c>
      <c r="B3795" s="5" t="s">
        <v>19</v>
      </c>
      <c r="C3795" s="5" t="s">
        <v>14000</v>
      </c>
      <c r="E3795" s="5" t="s">
        <v>25739</v>
      </c>
      <c r="F3795" s="5" t="s">
        <v>72</v>
      </c>
      <c r="G3795" s="5" t="s">
        <v>25740</v>
      </c>
      <c r="H3795" s="6" t="s">
        <v>25741</v>
      </c>
      <c r="I3795" s="7" t="s">
        <v>25742</v>
      </c>
      <c r="J3795" s="8" t="str">
        <f>HYPERLINK("https://drive.google.com/file/d/1xRQbLwsem3XzdNbRp_wA9FCXw78LNi-1/view?usp=drivesdk","MIMIN MINTARSIH SERTIFIKAT BerAKHLAK")</f>
        <v>MIMIN MINTARSIH SERTIFIKAT BerAKHLAK</v>
      </c>
      <c r="K3795" s="5" t="s">
        <v>25183</v>
      </c>
      <c r="L3795" s="5" t="s">
        <v>25743</v>
      </c>
      <c r="M3795" s="5" t="s">
        <v>25744</v>
      </c>
      <c r="N3795" s="7" t="s">
        <v>25745</v>
      </c>
      <c r="O3795" s="8" t="str">
        <f>HYPERLINK("https://drive.google.com/file/d/1dFI5AIHaTZJx4WtFx-5EHJC73NNm-8Uy/view?usp=drivesdk","3794_MIMIN MINTARSIH _ SERTIFIKAT BerAKHLAK")</f>
        <v>3794_MIMIN MINTARSIH _ SERTIFIKAT BerAKHLAK</v>
      </c>
      <c r="P3795" s="5" t="s">
        <v>25738</v>
      </c>
    </row>
    <row r="3796">
      <c r="A3796" s="4">
        <v>45534.347549791666</v>
      </c>
      <c r="B3796" s="5" t="s">
        <v>34</v>
      </c>
      <c r="D3796" s="5" t="s">
        <v>9020</v>
      </c>
      <c r="E3796" s="5" t="s">
        <v>24624</v>
      </c>
      <c r="F3796" s="5" t="s">
        <v>37</v>
      </c>
      <c r="G3796" s="5" t="s">
        <v>25746</v>
      </c>
      <c r="H3796" s="6" t="s">
        <v>25747</v>
      </c>
      <c r="I3796" s="7" t="s">
        <v>25748</v>
      </c>
      <c r="J3796" s="8" t="str">
        <f>HYPERLINK("https://drive.google.com/file/d/1a1UizuzcR1Odv6hOh6s_Cu6xks-EgjAK/view?usp=drivesdk","SUGIONO SERTIFIKAT BerAKHLAK")</f>
        <v>SUGIONO SERTIFIKAT BerAKHLAK</v>
      </c>
      <c r="K3796" s="5" t="s">
        <v>25486</v>
      </c>
      <c r="L3796" s="5" t="s">
        <v>25749</v>
      </c>
      <c r="M3796" s="5" t="s">
        <v>25750</v>
      </c>
      <c r="N3796" s="7" t="s">
        <v>25751</v>
      </c>
      <c r="O3796" s="8" t="str">
        <f>HYPERLINK("https://drive.google.com/file/d/1v9Q8KkEYBtUOkcJc6e9IuYeiGyToUsRD/view?usp=drivesdk","3795_SUGIONO _ SERTIFIKAT BerAKHLAK")</f>
        <v>3795_SUGIONO _ SERTIFIKAT BerAKHLAK</v>
      </c>
      <c r="P3796" s="5" t="s">
        <v>25738</v>
      </c>
    </row>
    <row r="3797">
      <c r="A3797" s="4">
        <v>45534.34755416667</v>
      </c>
      <c r="B3797" s="5" t="s">
        <v>34</v>
      </c>
      <c r="D3797" s="5" t="s">
        <v>4775</v>
      </c>
      <c r="E3797" s="5" t="s">
        <v>25752</v>
      </c>
      <c r="F3797" s="5" t="s">
        <v>524</v>
      </c>
      <c r="G3797" s="5" t="s">
        <v>25753</v>
      </c>
      <c r="H3797" s="6" t="s">
        <v>25754</v>
      </c>
      <c r="I3797" s="7" t="s">
        <v>25755</v>
      </c>
      <c r="J3797" s="8" t="str">
        <f>HYPERLINK("https://drive.google.com/file/d/1tx3xh6lp3bYAlB8M3vJfhXhlckyCzT8X/view?usp=drivesdk","WAHYONO SANTOSO, S.M. SERTIFIKAT BerAKHLAK")</f>
        <v>WAHYONO SANTOSO, S.M. SERTIFIKAT BerAKHLAK</v>
      </c>
      <c r="K3797" s="5" t="s">
        <v>25486</v>
      </c>
      <c r="L3797" s="5" t="s">
        <v>25756</v>
      </c>
      <c r="M3797" s="5" t="s">
        <v>25757</v>
      </c>
      <c r="N3797" s="7" t="s">
        <v>25758</v>
      </c>
      <c r="O3797" s="8" t="str">
        <f>HYPERLINK("https://drive.google.com/file/d/1YEWJUkUI2JjrmXcADshFdNGLc_WDECu3/view?usp=drivesdk","3796_WAHYONO SANTOSO, S.M. _ SERTIFIKAT BerAKHLAK")</f>
        <v>3796_WAHYONO SANTOSO, S.M. _ SERTIFIKAT BerAKHLAK</v>
      </c>
      <c r="P3797" s="5" t="s">
        <v>25738</v>
      </c>
    </row>
    <row r="3798">
      <c r="A3798" s="4">
        <v>45534.34756416667</v>
      </c>
      <c r="B3798" s="5" t="s">
        <v>34</v>
      </c>
      <c r="D3798" s="5" t="s">
        <v>1206</v>
      </c>
      <c r="E3798" s="5" t="s">
        <v>25759</v>
      </c>
      <c r="F3798" s="5" t="s">
        <v>212</v>
      </c>
      <c r="G3798" s="5" t="s">
        <v>25760</v>
      </c>
      <c r="H3798" s="6" t="s">
        <v>25761</v>
      </c>
      <c r="K3798" s="5" t="s">
        <v>25632</v>
      </c>
      <c r="M3798" s="5" t="s">
        <v>25762</v>
      </c>
      <c r="N3798" s="7" t="s">
        <v>25763</v>
      </c>
      <c r="O3798" s="8" t="str">
        <f>HYPERLINK("https://drive.google.com/file/d/1O_Vdw1vXM-atj2cYQuhyD5QOc6sQp07T/view?usp=drivesdk","3797_WIWIK PRASETYOWATI _ SERTIFIKAT BerAKHLAK")</f>
        <v>3797_WIWIK PRASETYOWATI _ SERTIFIKAT BerAKHLAK</v>
      </c>
      <c r="P3798" s="5" t="s">
        <v>25764</v>
      </c>
    </row>
    <row r="3799">
      <c r="A3799" s="4">
        <v>45534.34757010417</v>
      </c>
      <c r="B3799" s="5" t="s">
        <v>34</v>
      </c>
      <c r="D3799" s="5" t="s">
        <v>12978</v>
      </c>
      <c r="E3799" s="5" t="s">
        <v>25765</v>
      </c>
      <c r="F3799" s="5" t="s">
        <v>328</v>
      </c>
      <c r="G3799" s="5" t="s">
        <v>25766</v>
      </c>
      <c r="H3799" s="6" t="s">
        <v>25767</v>
      </c>
      <c r="I3799" s="7" t="s">
        <v>25768</v>
      </c>
      <c r="J3799" s="8" t="str">
        <f>HYPERLINK("https://drive.google.com/file/d/18eRSwFvaMWo2RAm5jZHLk9Geo-DbZAme/view?usp=drivesdk","AHMAD MIRDAT  SERTIFIKAT BerAKHLAK")</f>
        <v>AHMAD MIRDAT  SERTIFIKAT BerAKHLAK</v>
      </c>
      <c r="K3799" s="5" t="s">
        <v>25486</v>
      </c>
      <c r="L3799" s="5" t="s">
        <v>25769</v>
      </c>
      <c r="M3799" s="5" t="s">
        <v>25770</v>
      </c>
      <c r="N3799" s="7" t="s">
        <v>25771</v>
      </c>
      <c r="O3799" s="8" t="str">
        <f>HYPERLINK("https://drive.google.com/file/d/1t9zOBsUAFHWMWGSO5ZWfW7MiI-14uwFN/view?usp=drivesdk","3798_AHMAD MIRDAT  _ SERTIFIKAT BerAKHLAK")</f>
        <v>3798_AHMAD MIRDAT  _ SERTIFIKAT BerAKHLAK</v>
      </c>
      <c r="P3799" s="5" t="s">
        <v>25764</v>
      </c>
    </row>
    <row r="3800" hidden="1">
      <c r="A3800" s="4">
        <v>45534.347572326384</v>
      </c>
      <c r="B3800" s="5" t="s">
        <v>19</v>
      </c>
      <c r="C3800" s="5" t="s">
        <v>292</v>
      </c>
      <c r="E3800" s="5" t="s">
        <v>25772</v>
      </c>
      <c r="F3800" s="5" t="s">
        <v>212</v>
      </c>
      <c r="G3800" s="5" t="s">
        <v>25773</v>
      </c>
      <c r="H3800" s="6" t="s">
        <v>25774</v>
      </c>
      <c r="I3800" s="7" t="s">
        <v>25775</v>
      </c>
      <c r="J3800" s="8" t="str">
        <f>HYPERLINK("https://drive.google.com/file/d/1q4FB9Jnn2YZa-UE-6KhHGqXjOPeBE58w/view?usp=drivesdk","KUSMANA SERTIFIKAT BerAKHLAK")</f>
        <v>KUSMANA SERTIFIKAT BerAKHLAK</v>
      </c>
      <c r="K3800" s="5" t="s">
        <v>25486</v>
      </c>
      <c r="L3800" s="5" t="s">
        <v>25776</v>
      </c>
      <c r="M3800" s="5" t="s">
        <v>25777</v>
      </c>
      <c r="N3800" s="7" t="s">
        <v>25778</v>
      </c>
      <c r="O3800" s="8" t="str">
        <f>HYPERLINK("https://drive.google.com/file/d/14gdAijiUv-vUshbrnm11ImuU09EB6laS/view?usp=drivesdk","3799_KUSMANA _ SERTIFIKAT BerAKHLAK")</f>
        <v>3799_KUSMANA _ SERTIFIKAT BerAKHLAK</v>
      </c>
      <c r="P3800" s="5" t="s">
        <v>25764</v>
      </c>
    </row>
    <row r="3801">
      <c r="A3801" s="4">
        <v>45534.34757629629</v>
      </c>
      <c r="B3801" s="5" t="s">
        <v>34</v>
      </c>
      <c r="D3801" s="5" t="s">
        <v>4775</v>
      </c>
      <c r="E3801" s="5" t="s">
        <v>25779</v>
      </c>
      <c r="F3801" s="5" t="s">
        <v>72</v>
      </c>
      <c r="G3801" s="5" t="s">
        <v>25780</v>
      </c>
      <c r="H3801" s="6" t="s">
        <v>25781</v>
      </c>
      <c r="I3801" s="7" t="s">
        <v>25782</v>
      </c>
      <c r="J3801" s="8" t="str">
        <f>HYPERLINK("https://drive.google.com/file/d/1qPezSDT2iFVIcwDE96tqYqhkbykTGs_w/view?usp=drivesdk","SURINTO PML SERTIFIKAT BerAKHLAK")</f>
        <v>SURINTO PML SERTIFIKAT BerAKHLAK</v>
      </c>
      <c r="K3801" s="5" t="s">
        <v>25486</v>
      </c>
      <c r="L3801" s="5" t="s">
        <v>25783</v>
      </c>
      <c r="M3801" s="5" t="s">
        <v>25784</v>
      </c>
      <c r="N3801" s="7" t="s">
        <v>25785</v>
      </c>
      <c r="O3801" s="8" t="str">
        <f>HYPERLINK("https://drive.google.com/file/d/1JBQETGfCxzbcKjm2WOq199lZ6bxbW2XP/view?usp=drivesdk","3800_SURINTO PML _ SERTIFIKAT BerAKHLAK")</f>
        <v>3800_SURINTO PML _ SERTIFIKAT BerAKHLAK</v>
      </c>
      <c r="P3801" s="5" t="s">
        <v>25764</v>
      </c>
    </row>
    <row r="3802">
      <c r="A3802" s="4">
        <v>45534.3475853125</v>
      </c>
      <c r="B3802" s="5" t="s">
        <v>34</v>
      </c>
      <c r="D3802" s="5" t="s">
        <v>9394</v>
      </c>
      <c r="E3802" s="5" t="s">
        <v>25786</v>
      </c>
      <c r="F3802" s="5" t="s">
        <v>212</v>
      </c>
      <c r="G3802" s="5" t="s">
        <v>25787</v>
      </c>
      <c r="H3802" s="6" t="s">
        <v>25788</v>
      </c>
      <c r="K3802" s="5" t="s">
        <v>25789</v>
      </c>
      <c r="M3802" s="5" t="s">
        <v>25790</v>
      </c>
      <c r="N3802" s="7" t="s">
        <v>25791</v>
      </c>
      <c r="O3802" s="8" t="str">
        <f>HYPERLINK("https://drive.google.com/file/d/1-_96TGtfFfwBWhhFTCaJHBfgwz2MDGc_/view?usp=drivesdk","3801_SULASTRI _ SERTIFIKAT BerAKHLAK")</f>
        <v>3801_SULASTRI _ SERTIFIKAT BerAKHLAK</v>
      </c>
      <c r="P3802" s="5" t="s">
        <v>25792</v>
      </c>
    </row>
    <row r="3803">
      <c r="A3803" s="4">
        <v>45534.34759068287</v>
      </c>
      <c r="B3803" s="5" t="s">
        <v>34</v>
      </c>
      <c r="D3803" s="5" t="s">
        <v>604</v>
      </c>
      <c r="E3803" s="5" t="s">
        <v>25793</v>
      </c>
      <c r="F3803" s="5" t="s">
        <v>108</v>
      </c>
      <c r="G3803" s="5" t="s">
        <v>25794</v>
      </c>
      <c r="H3803" s="6" t="s">
        <v>25795</v>
      </c>
      <c r="K3803" s="5" t="s">
        <v>25789</v>
      </c>
      <c r="M3803" s="5" t="s">
        <v>25796</v>
      </c>
      <c r="N3803" s="7" t="s">
        <v>25797</v>
      </c>
      <c r="O3803" s="8" t="str">
        <f>HYPERLINK("https://drive.google.com/file/d/18NoFQRQBio11yH6cvy91EOb_QTj1iNCc/view?usp=drivesdk","3802_SRI WIRATMI _ SERTIFIKAT BerAKHLAK")</f>
        <v>3802_SRI WIRATMI _ SERTIFIKAT BerAKHLAK</v>
      </c>
      <c r="P3803" s="5" t="s">
        <v>25792</v>
      </c>
    </row>
    <row r="3804">
      <c r="A3804" s="4">
        <v>45534.347610717596</v>
      </c>
      <c r="B3804" s="5" t="s">
        <v>34</v>
      </c>
      <c r="D3804" s="5" t="s">
        <v>701</v>
      </c>
      <c r="E3804" s="5" t="s">
        <v>25798</v>
      </c>
      <c r="F3804" s="5" t="s">
        <v>212</v>
      </c>
      <c r="G3804" s="5" t="s">
        <v>25799</v>
      </c>
      <c r="H3804" s="6" t="s">
        <v>25800</v>
      </c>
      <c r="I3804" s="7" t="s">
        <v>25801</v>
      </c>
      <c r="J3804" s="8" t="str">
        <f>HYPERLINK("https://drive.google.com/file/d/1oIsSxSXdPZiI9hGJu89KxW2C7mKMrmsT/view?usp=drivesdk","LASMIATI SERTIFIKAT BerAKHLAK")</f>
        <v>LASMIATI SERTIFIKAT BerAKHLAK</v>
      </c>
      <c r="K3804" s="5" t="s">
        <v>25486</v>
      </c>
      <c r="L3804" s="5" t="s">
        <v>25802</v>
      </c>
      <c r="M3804" s="5" t="s">
        <v>25803</v>
      </c>
      <c r="N3804" s="7" t="s">
        <v>25804</v>
      </c>
      <c r="O3804" s="8" t="str">
        <f>HYPERLINK("https://drive.google.com/file/d/1-ztoafz3_7uiUxjXoHKq21we7RgxSyf2/view?usp=drivesdk","3803_LASMIATI _ SERTIFIKAT BerAKHLAK")</f>
        <v>3803_LASMIATI _ SERTIFIKAT BerAKHLAK</v>
      </c>
      <c r="P3804" s="5" t="s">
        <v>25792</v>
      </c>
    </row>
    <row r="3805">
      <c r="A3805" s="4">
        <v>45534.3476136574</v>
      </c>
      <c r="B3805" s="5" t="s">
        <v>34</v>
      </c>
      <c r="D3805" s="5" t="s">
        <v>7858</v>
      </c>
      <c r="E3805" s="5" t="s">
        <v>25805</v>
      </c>
      <c r="F3805" s="5" t="s">
        <v>212</v>
      </c>
      <c r="G3805" s="5" t="s">
        <v>25806</v>
      </c>
      <c r="H3805" s="6" t="s">
        <v>25807</v>
      </c>
      <c r="I3805" s="7" t="s">
        <v>25808</v>
      </c>
      <c r="J3805" s="8" t="str">
        <f>HYPERLINK("https://drive.google.com/file/d/1tH1AjmivUV3H-h7-5tiIRzBr6pIabqto/view?usp=drivesdk","ANDRIANI  SERTIFIKAT BerAKHLAK")</f>
        <v>ANDRIANI  SERTIFIKAT BerAKHLAK</v>
      </c>
      <c r="K3805" s="5" t="s">
        <v>25486</v>
      </c>
      <c r="L3805" s="5" t="s">
        <v>25809</v>
      </c>
      <c r="M3805" s="5" t="s">
        <v>25810</v>
      </c>
      <c r="N3805" s="7" t="s">
        <v>25811</v>
      </c>
      <c r="O3805" s="8" t="str">
        <f>HYPERLINK("https://drive.google.com/file/d/1ohlPWHzke4Y7CfapuxAhFQAKV1CfoAnJ/view?usp=drivesdk","3804_ANDRIANI  _ SERTIFIKAT BerAKHLAK")</f>
        <v>3804_ANDRIANI  _ SERTIFIKAT BerAKHLAK</v>
      </c>
      <c r="P3805" s="5" t="s">
        <v>25792</v>
      </c>
    </row>
    <row r="3806">
      <c r="A3806" s="4">
        <v>45534.347614224534</v>
      </c>
      <c r="B3806" s="5" t="s">
        <v>34</v>
      </c>
      <c r="D3806" s="5" t="s">
        <v>522</v>
      </c>
      <c r="E3806" s="5" t="s">
        <v>25812</v>
      </c>
      <c r="F3806" s="5" t="s">
        <v>37</v>
      </c>
      <c r="G3806" s="5" t="s">
        <v>25813</v>
      </c>
      <c r="H3806" s="6" t="s">
        <v>25814</v>
      </c>
      <c r="I3806" s="7" t="s">
        <v>25815</v>
      </c>
      <c r="J3806" s="8" t="str">
        <f>HYPERLINK("https://drive.google.com/file/d/1QHXUmWmWHhS0EqHQoe4XevJZjaa3MqzX/view?usp=drivesdk","IHSAN,S.H SERTIFIKAT BerAKHLAK")</f>
        <v>IHSAN,S.H SERTIFIKAT BerAKHLAK</v>
      </c>
      <c r="K3806" s="5" t="s">
        <v>25486</v>
      </c>
      <c r="L3806" s="5" t="s">
        <v>25816</v>
      </c>
      <c r="M3806" s="5" t="s">
        <v>25817</v>
      </c>
      <c r="N3806" s="7" t="s">
        <v>25818</v>
      </c>
      <c r="O3806" s="8" t="str">
        <f>HYPERLINK("https://drive.google.com/file/d/1YVyZrp4O_RkmLs9RTRNy2nGhrLqu9sJ0/view?usp=drivesdk","3805_IHSAN,S.H _ SERTIFIKAT BerAKHLAK")</f>
        <v>3805_IHSAN,S.H _ SERTIFIKAT BerAKHLAK</v>
      </c>
      <c r="P3806" s="5" t="s">
        <v>25792</v>
      </c>
    </row>
    <row r="3807">
      <c r="A3807" s="4">
        <v>45534.34761862268</v>
      </c>
      <c r="B3807" s="5" t="s">
        <v>34</v>
      </c>
      <c r="D3807" s="5" t="s">
        <v>1558</v>
      </c>
      <c r="E3807" s="5" t="s">
        <v>25819</v>
      </c>
      <c r="F3807" s="5" t="s">
        <v>375</v>
      </c>
      <c r="G3807" s="5" t="s">
        <v>25820</v>
      </c>
      <c r="H3807" s="6" t="s">
        <v>25821</v>
      </c>
      <c r="I3807" s="7" t="s">
        <v>25822</v>
      </c>
      <c r="J3807" s="8" t="str">
        <f>HYPERLINK("https://drive.google.com/file/d/1b9YAewE-yYDy1lOaPGlIbnEMKf8eMAzP/view?usp=drivesdk","CHAIRUL ARLIYANSYAH, S.E. SERTIFIKAT BerAKHLAK")</f>
        <v>CHAIRUL ARLIYANSYAH, S.E. SERTIFIKAT BerAKHLAK</v>
      </c>
      <c r="K3807" s="5" t="s">
        <v>25486</v>
      </c>
      <c r="L3807" s="5" t="s">
        <v>25823</v>
      </c>
      <c r="M3807" s="5" t="s">
        <v>25824</v>
      </c>
      <c r="N3807" s="7" t="s">
        <v>25825</v>
      </c>
      <c r="O3807" s="8" t="str">
        <f>HYPERLINK("https://drive.google.com/file/d/1SY-NNfOBN_LeXjP13bTJIvVPqJ7P1O1P/view?usp=drivesdk","3806_CHAIRUL ARLIYANSYAH, S.E. _ SERTIFIKAT BerAKHLAK")</f>
        <v>3806_CHAIRUL ARLIYANSYAH, S.E. _ SERTIFIKAT BerAKHLAK</v>
      </c>
      <c r="P3807" s="5" t="s">
        <v>25826</v>
      </c>
    </row>
    <row r="3808">
      <c r="A3808" s="4">
        <v>45534.34762479167</v>
      </c>
      <c r="B3808" s="5" t="s">
        <v>34</v>
      </c>
      <c r="D3808" s="5" t="s">
        <v>1206</v>
      </c>
      <c r="E3808" s="5" t="s">
        <v>25827</v>
      </c>
      <c r="F3808" s="5" t="s">
        <v>199</v>
      </c>
      <c r="G3808" s="5" t="s">
        <v>25828</v>
      </c>
      <c r="H3808" s="6" t="s">
        <v>25829</v>
      </c>
      <c r="I3808" s="7" t="s">
        <v>25830</v>
      </c>
      <c r="J3808" s="8" t="str">
        <f>HYPERLINK("https://drive.google.com/file/d/1CMDHyPa-4Ug5mL0SFBBKMay1A70SkDPh/view?usp=drivesdk","ARIK YUNIATI SERTIFIKAT BerAKHLAK")</f>
        <v>ARIK YUNIATI SERTIFIKAT BerAKHLAK</v>
      </c>
      <c r="K3808" s="5" t="s">
        <v>25486</v>
      </c>
      <c r="L3808" s="5" t="s">
        <v>25831</v>
      </c>
      <c r="M3808" s="5" t="s">
        <v>25832</v>
      </c>
      <c r="N3808" s="7" t="s">
        <v>25833</v>
      </c>
      <c r="O3808" s="8" t="str">
        <f>HYPERLINK("https://drive.google.com/file/d/1rEkDbs-PHf-XAzFkLPTMJfxG6K18wqft/view?usp=drivesdk","3807_ARIK YUNIATI _ SERTIFIKAT BerAKHLAK")</f>
        <v>3807_ARIK YUNIATI _ SERTIFIKAT BerAKHLAK</v>
      </c>
      <c r="P3808" s="5" t="s">
        <v>25826</v>
      </c>
    </row>
    <row r="3809">
      <c r="A3809" s="4">
        <v>45534.34762583333</v>
      </c>
      <c r="B3809" s="5" t="s">
        <v>34</v>
      </c>
      <c r="D3809" s="5" t="s">
        <v>1206</v>
      </c>
      <c r="E3809" s="5" t="s">
        <v>25834</v>
      </c>
      <c r="F3809" s="5" t="s">
        <v>524</v>
      </c>
      <c r="G3809" s="5" t="s">
        <v>25835</v>
      </c>
      <c r="H3809" s="6" t="s">
        <v>25836</v>
      </c>
      <c r="I3809" s="7" t="s">
        <v>25837</v>
      </c>
      <c r="J3809" s="8" t="str">
        <f>HYPERLINK("https://drive.google.com/file/d/11fWszxZ-xsw6M2KHCV13Wcy1ac2uGtWd/view?usp=drivesdk","KRISTIYANI JUWATISARI AMd.Far SERTIFIKAT BerAKHLAK")</f>
        <v>KRISTIYANI JUWATISARI AMd.Far SERTIFIKAT BerAKHLAK</v>
      </c>
      <c r="K3809" s="5" t="s">
        <v>25486</v>
      </c>
      <c r="L3809" s="5" t="s">
        <v>25838</v>
      </c>
      <c r="M3809" s="5" t="s">
        <v>25839</v>
      </c>
      <c r="N3809" s="7" t="s">
        <v>25840</v>
      </c>
      <c r="O3809" s="8" t="str">
        <f>HYPERLINK("https://drive.google.com/file/d/1ekKEwANiPME8bjq_I1Kph59MEdLsh7Tt/view?usp=drivesdk","3808_KRISTIYANI JUWATISARI AMd.Far _ SERTIFIKAT BerAKHLAK")</f>
        <v>3808_KRISTIYANI JUWATISARI AMd.Far _ SERTIFIKAT BerAKHLAK</v>
      </c>
      <c r="P3809" s="5" t="s">
        <v>25826</v>
      </c>
    </row>
    <row r="3810">
      <c r="A3810" s="4">
        <v>45534.34763719907</v>
      </c>
      <c r="B3810" s="5" t="s">
        <v>34</v>
      </c>
      <c r="D3810" s="5" t="s">
        <v>701</v>
      </c>
      <c r="E3810" s="5" t="s">
        <v>25841</v>
      </c>
      <c r="F3810" s="5" t="s">
        <v>108</v>
      </c>
      <c r="G3810" s="5" t="s">
        <v>25842</v>
      </c>
      <c r="H3810" s="6" t="s">
        <v>25843</v>
      </c>
      <c r="I3810" s="7" t="s">
        <v>25844</v>
      </c>
      <c r="J3810" s="8" t="str">
        <f>HYPERLINK("https://drive.google.com/file/d/12djq_NX5VEFyGTCVRhlYjLZrIWz-3mIo/view?usp=drivesdk","WAWAN KURNIADI, SE, M. Si SERTIFIKAT BerAKHLAK")</f>
        <v>WAWAN KURNIADI, SE, M. Si SERTIFIKAT BerAKHLAK</v>
      </c>
      <c r="K3810" s="5" t="s">
        <v>25486</v>
      </c>
      <c r="L3810" s="5" t="s">
        <v>25845</v>
      </c>
      <c r="M3810" s="5" t="s">
        <v>25846</v>
      </c>
      <c r="N3810" s="7" t="s">
        <v>25847</v>
      </c>
      <c r="O3810" s="8" t="str">
        <f>HYPERLINK("https://drive.google.com/file/d/1CuigsRlDpMtYDEAVWR6dIYcRDEV1tbX5/view?usp=drivesdk","3809_WAWAN KURNIADI, SE, M. Si _ SERTIFIKAT BerAKHLAK")</f>
        <v>3809_WAWAN KURNIADI, SE, M. Si _ SERTIFIKAT BerAKHLAK</v>
      </c>
      <c r="P3810" s="5" t="s">
        <v>25826</v>
      </c>
    </row>
    <row r="3811">
      <c r="A3811" s="4">
        <v>45534.34764069444</v>
      </c>
      <c r="B3811" s="5" t="s">
        <v>34</v>
      </c>
      <c r="D3811" s="5" t="s">
        <v>1206</v>
      </c>
      <c r="E3811" s="5" t="s">
        <v>25848</v>
      </c>
      <c r="F3811" s="5" t="s">
        <v>212</v>
      </c>
      <c r="G3811" s="5" t="s">
        <v>25849</v>
      </c>
      <c r="H3811" s="6" t="s">
        <v>25850</v>
      </c>
      <c r="I3811" s="7" t="s">
        <v>25851</v>
      </c>
      <c r="J3811" s="8" t="str">
        <f>HYPERLINK("https://drive.google.com/file/d/1kqmAQJqGwoP97q7XG0dYaQvVLwEd6MCX/view?usp=drivesdk","AGUS SUPRIYANTO SERTIFIKAT BerAKHLAK")</f>
        <v>AGUS SUPRIYANTO SERTIFIKAT BerAKHLAK</v>
      </c>
      <c r="K3811" s="5" t="s">
        <v>25486</v>
      </c>
      <c r="L3811" s="5" t="s">
        <v>25852</v>
      </c>
      <c r="M3811" s="5" t="s">
        <v>25853</v>
      </c>
      <c r="N3811" s="7" t="s">
        <v>25854</v>
      </c>
      <c r="O3811" s="8" t="str">
        <f>HYPERLINK("https://drive.google.com/file/d/1cDoBTk_p15n7FtdQJBkcsZXc4f2F2djS/view?usp=drivesdk","3810_AGUS SUPRIYANTO _ SERTIFIKAT BerAKHLAK")</f>
        <v>3810_AGUS SUPRIYANTO _ SERTIFIKAT BerAKHLAK</v>
      </c>
      <c r="P3811" s="5" t="s">
        <v>25826</v>
      </c>
    </row>
    <row r="3812">
      <c r="A3812" s="4">
        <v>45534.347643194444</v>
      </c>
      <c r="B3812" s="5" t="s">
        <v>34</v>
      </c>
      <c r="D3812" s="5" t="s">
        <v>1206</v>
      </c>
      <c r="E3812" s="5" t="s">
        <v>17149</v>
      </c>
      <c r="F3812" s="5" t="s">
        <v>37</v>
      </c>
      <c r="G3812" s="5" t="s">
        <v>25855</v>
      </c>
      <c r="H3812" s="6" t="s">
        <v>25856</v>
      </c>
      <c r="K3812" s="5" t="s">
        <v>25857</v>
      </c>
      <c r="M3812" s="5" t="s">
        <v>25858</v>
      </c>
      <c r="N3812" s="7" t="s">
        <v>25859</v>
      </c>
      <c r="O3812" s="8" t="str">
        <f>HYPERLINK("https://drive.google.com/file/d/1bGDcZCDTD2XIi2ZVaH-gRubZ87ulMXOr/view?usp=drivesdk","3811_SRI LESTARI _ SERTIFIKAT BerAKHLAK")</f>
        <v>3811_SRI LESTARI _ SERTIFIKAT BerAKHLAK</v>
      </c>
      <c r="P3812" s="5" t="s">
        <v>25860</v>
      </c>
    </row>
    <row r="3813">
      <c r="A3813" s="4">
        <v>45534.347646168986</v>
      </c>
      <c r="B3813" s="5" t="s">
        <v>34</v>
      </c>
      <c r="D3813" s="5" t="s">
        <v>35</v>
      </c>
      <c r="E3813" s="5" t="s">
        <v>25861</v>
      </c>
      <c r="F3813" s="5" t="s">
        <v>6776</v>
      </c>
      <c r="G3813" s="5" t="s">
        <v>25862</v>
      </c>
      <c r="H3813" s="6" t="s">
        <v>25863</v>
      </c>
      <c r="K3813" s="5" t="s">
        <v>25857</v>
      </c>
      <c r="M3813" s="5" t="s">
        <v>25864</v>
      </c>
      <c r="N3813" s="7" t="s">
        <v>25865</v>
      </c>
      <c r="O3813" s="8" t="str">
        <f>HYPERLINK("https://drive.google.com/file/d/1bJLqgb3LROZOy3dfulxq5vzausKgooQT/view?usp=drivesdk","3812_SUNTAMAN  _ SERTIFIKAT BerAKHLAK")</f>
        <v>3812_SUNTAMAN  _ SERTIFIKAT BerAKHLAK</v>
      </c>
      <c r="P3813" s="5" t="s">
        <v>25860</v>
      </c>
    </row>
    <row r="3814" hidden="1">
      <c r="A3814" s="4">
        <v>45534.34766363426</v>
      </c>
      <c r="B3814" s="5" t="s">
        <v>19</v>
      </c>
      <c r="C3814" s="5" t="s">
        <v>292</v>
      </c>
      <c r="E3814" s="5" t="s">
        <v>25866</v>
      </c>
      <c r="F3814" s="5" t="s">
        <v>375</v>
      </c>
      <c r="G3814" s="5" t="s">
        <v>25867</v>
      </c>
      <c r="H3814" s="6" t="s">
        <v>25868</v>
      </c>
      <c r="K3814" s="5" t="s">
        <v>25857</v>
      </c>
      <c r="M3814" s="5" t="s">
        <v>25869</v>
      </c>
      <c r="N3814" s="7" t="s">
        <v>25870</v>
      </c>
      <c r="O3814" s="8" t="str">
        <f>HYPERLINK("https://drive.google.com/file/d/1xbVwjt9mVmKmpCftYHSR0lCaAuZZ4e6k/view?usp=drivesdk","3813_NURLAELAH, S.E. _ SERTIFIKAT BerAKHLAK")</f>
        <v>3813_NURLAELAH, S.E. _ SERTIFIKAT BerAKHLAK</v>
      </c>
      <c r="P3814" s="5" t="s">
        <v>25860</v>
      </c>
    </row>
    <row r="3815">
      <c r="A3815" s="4">
        <v>45534.34766434028</v>
      </c>
      <c r="B3815" s="5" t="s">
        <v>34</v>
      </c>
      <c r="D3815" s="5" t="s">
        <v>267</v>
      </c>
      <c r="E3815" s="5" t="s">
        <v>25871</v>
      </c>
      <c r="F3815" s="5" t="s">
        <v>375</v>
      </c>
      <c r="G3815" s="5" t="s">
        <v>25872</v>
      </c>
      <c r="H3815" s="6" t="s">
        <v>25873</v>
      </c>
      <c r="I3815" s="7" t="s">
        <v>25874</v>
      </c>
      <c r="J3815" s="8" t="str">
        <f>HYPERLINK("https://drive.google.com/file/d/1WzmGm479PijjKK6osvx-PSPiK7Fz3cHC/view?usp=drivesdk","SUDARSIH, S. KM SERTIFIKAT BerAKHLAK")</f>
        <v>SUDARSIH, S. KM SERTIFIKAT BerAKHLAK</v>
      </c>
      <c r="K3815" s="5" t="s">
        <v>25486</v>
      </c>
      <c r="L3815" s="5" t="s">
        <v>25875</v>
      </c>
      <c r="M3815" s="5" t="s">
        <v>25876</v>
      </c>
      <c r="N3815" s="7" t="s">
        <v>25877</v>
      </c>
      <c r="O3815" s="8" t="str">
        <f>HYPERLINK("https://drive.google.com/file/d/1PguTOaUUzlyPi8-j67fWNgbzltM4DAYU/view?usp=drivesdk","3814_SUDARSIH, S. KM _ SERTIFIKAT BerAKHLAK")</f>
        <v>3814_SUDARSIH, S. KM _ SERTIFIKAT BerAKHLAK</v>
      </c>
      <c r="P3815" s="5" t="s">
        <v>25860</v>
      </c>
    </row>
    <row r="3816">
      <c r="A3816" s="4">
        <v>45534.34766745371</v>
      </c>
      <c r="B3816" s="5" t="s">
        <v>34</v>
      </c>
      <c r="D3816" s="5" t="s">
        <v>12978</v>
      </c>
      <c r="E3816" s="5" t="s">
        <v>25878</v>
      </c>
      <c r="F3816" s="5" t="s">
        <v>212</v>
      </c>
      <c r="G3816" s="5" t="s">
        <v>25879</v>
      </c>
      <c r="H3816" s="6" t="s">
        <v>25880</v>
      </c>
      <c r="I3816" s="7" t="s">
        <v>25881</v>
      </c>
      <c r="J3816" s="8" t="str">
        <f>HYPERLINK("https://drive.google.com/file/d/1SxJFy9SueUHZOeyowitMq1YNSoGeSmRE/view?usp=drivesdk","HARDI SURYANTO SERTIFIKAT BerAKHLAK")</f>
        <v>HARDI SURYANTO SERTIFIKAT BerAKHLAK</v>
      </c>
      <c r="K3816" s="5" t="s">
        <v>25486</v>
      </c>
      <c r="L3816" s="5" t="s">
        <v>25882</v>
      </c>
      <c r="M3816" s="5" t="s">
        <v>25883</v>
      </c>
      <c r="N3816" s="7" t="s">
        <v>25884</v>
      </c>
      <c r="O3816" s="8" t="str">
        <f>HYPERLINK("https://drive.google.com/file/d/162UQQoydPOLA0eTG84IiQAJIUcVisiyM/view?usp=drivesdk","3815_HARDI SURYANTO _ SERTIFIKAT BerAKHLAK")</f>
        <v>3815_HARDI SURYANTO _ SERTIFIKAT BerAKHLAK</v>
      </c>
      <c r="P3816" s="5" t="s">
        <v>25885</v>
      </c>
    </row>
    <row r="3817">
      <c r="A3817" s="4">
        <v>45534.34766730324</v>
      </c>
      <c r="B3817" s="5" t="s">
        <v>34</v>
      </c>
      <c r="D3817" s="5" t="s">
        <v>267</v>
      </c>
      <c r="E3817" s="5" t="s">
        <v>25886</v>
      </c>
      <c r="F3817" s="5" t="s">
        <v>108</v>
      </c>
      <c r="G3817" s="5" t="s">
        <v>25887</v>
      </c>
      <c r="H3817" s="6" t="s">
        <v>25888</v>
      </c>
      <c r="K3817" s="5" t="s">
        <v>25889</v>
      </c>
      <c r="M3817" s="5" t="s">
        <v>25890</v>
      </c>
      <c r="N3817" s="7" t="s">
        <v>25891</v>
      </c>
      <c r="O3817" s="8" t="str">
        <f>HYPERLINK("https://drive.google.com/file/d/13CdbBZwWQ77WVJ_UbHOV7nwZzWXFxAOQ/view?usp=drivesdk","3816_YONI WAHYU PRIYONO, A.Md _ SERTIFIKAT BerAKHLAK")</f>
        <v>3816_YONI WAHYU PRIYONO, A.Md _ SERTIFIKAT BerAKHLAK</v>
      </c>
      <c r="P3817" s="5" t="s">
        <v>25885</v>
      </c>
    </row>
    <row r="3818">
      <c r="A3818" s="4">
        <v>45534.34767394676</v>
      </c>
      <c r="B3818" s="5" t="s">
        <v>34</v>
      </c>
      <c r="D3818" s="5" t="s">
        <v>701</v>
      </c>
      <c r="E3818" s="5" t="s">
        <v>25892</v>
      </c>
      <c r="F3818" s="5" t="s">
        <v>212</v>
      </c>
      <c r="G3818" s="5" t="s">
        <v>25893</v>
      </c>
      <c r="H3818" s="6" t="s">
        <v>25894</v>
      </c>
      <c r="K3818" s="5" t="s">
        <v>25889</v>
      </c>
      <c r="M3818" s="5" t="s">
        <v>25895</v>
      </c>
      <c r="N3818" s="7" t="s">
        <v>25896</v>
      </c>
      <c r="O3818" s="8" t="str">
        <f>HYPERLINK("https://drive.google.com/file/d/1WDMim-KdVj74kks1-U_GTtUxElkV8jjX/view?usp=drivesdk","3817_HENDRI SAPUTRA _ SERTIFIKAT BerAKHLAK")</f>
        <v>3817_HENDRI SAPUTRA _ SERTIFIKAT BerAKHLAK</v>
      </c>
      <c r="P3818" s="5" t="s">
        <v>25885</v>
      </c>
    </row>
    <row r="3819">
      <c r="A3819" s="4">
        <v>45534.34768818287</v>
      </c>
      <c r="B3819" s="5" t="s">
        <v>34</v>
      </c>
      <c r="D3819" s="5" t="s">
        <v>701</v>
      </c>
      <c r="E3819" s="5" t="s">
        <v>25897</v>
      </c>
      <c r="F3819" s="5" t="s">
        <v>212</v>
      </c>
      <c r="G3819" s="5" t="s">
        <v>25898</v>
      </c>
      <c r="H3819" s="6" t="s">
        <v>25899</v>
      </c>
      <c r="K3819" s="5" t="s">
        <v>25889</v>
      </c>
      <c r="M3819" s="5" t="s">
        <v>25900</v>
      </c>
      <c r="N3819" s="7" t="s">
        <v>25901</v>
      </c>
      <c r="O3819" s="8" t="str">
        <f>HYPERLINK("https://drive.google.com/file/d/1qiny1qZzN2ugGKjVb-23pLNB9-prbYvg/view?usp=drivesdk","3818_GUSNIARTI.S _ SERTIFIKAT BerAKHLAK")</f>
        <v>3818_GUSNIARTI.S _ SERTIFIKAT BerAKHLAK</v>
      </c>
      <c r="P3819" s="5" t="s">
        <v>25885</v>
      </c>
    </row>
    <row r="3820">
      <c r="A3820" s="4">
        <v>45534.347692361116</v>
      </c>
      <c r="B3820" s="5" t="s">
        <v>34</v>
      </c>
      <c r="D3820" s="5" t="s">
        <v>9020</v>
      </c>
      <c r="E3820" s="5" t="s">
        <v>25902</v>
      </c>
      <c r="F3820" s="5" t="s">
        <v>524</v>
      </c>
      <c r="G3820" s="5" t="s">
        <v>25903</v>
      </c>
      <c r="H3820" s="6" t="s">
        <v>25904</v>
      </c>
      <c r="K3820" s="5" t="s">
        <v>25889</v>
      </c>
      <c r="M3820" s="5" t="s">
        <v>25905</v>
      </c>
      <c r="N3820" s="7" t="s">
        <v>25906</v>
      </c>
      <c r="O3820" s="8" t="str">
        <f>HYPERLINK("https://drive.google.com/file/d/1PSsWPvVdbO-s-XbOBeF0H9c9TdFkI6vJ/view?usp=drivesdk","3819_EVIULIULFASARI _ SERTIFIKAT BerAKHLAK")</f>
        <v>3819_EVIULIULFASARI _ SERTIFIKAT BerAKHLAK</v>
      </c>
      <c r="P3820" s="5" t="s">
        <v>25885</v>
      </c>
    </row>
    <row r="3821">
      <c r="A3821" s="4">
        <v>45534.34770172454</v>
      </c>
      <c r="B3821" s="5" t="s">
        <v>34</v>
      </c>
      <c r="D3821" s="5" t="s">
        <v>9394</v>
      </c>
      <c r="E3821" s="5" t="s">
        <v>25907</v>
      </c>
      <c r="F3821" s="5" t="s">
        <v>715</v>
      </c>
      <c r="G3821" s="5" t="s">
        <v>25908</v>
      </c>
      <c r="H3821" s="6" t="s">
        <v>25909</v>
      </c>
      <c r="K3821" s="5" t="s">
        <v>25889</v>
      </c>
      <c r="M3821" s="5" t="s">
        <v>25910</v>
      </c>
      <c r="N3821" s="7" t="s">
        <v>25911</v>
      </c>
      <c r="O3821" s="8" t="str">
        <f>HYPERLINK("https://drive.google.com/file/d/1h94D8SiAzv9PYW9DbgGd6XX_cUNemB4A/view?usp=drivesdk","3820_YESI ARIANTI, SPD.I _ SERTIFIKAT BerAKHLAK")</f>
        <v>3820_YESI ARIANTI, SPD.I _ SERTIFIKAT BerAKHLAK</v>
      </c>
      <c r="P3821" s="5" t="s">
        <v>25912</v>
      </c>
    </row>
    <row r="3822">
      <c r="A3822" s="4">
        <v>45534.347708113426</v>
      </c>
      <c r="B3822" s="5" t="s">
        <v>34</v>
      </c>
      <c r="D3822" s="5" t="s">
        <v>1206</v>
      </c>
      <c r="E3822" s="5" t="s">
        <v>25913</v>
      </c>
      <c r="F3822" s="5" t="s">
        <v>37</v>
      </c>
      <c r="G3822" s="5" t="s">
        <v>25914</v>
      </c>
      <c r="H3822" s="6" t="s">
        <v>25915</v>
      </c>
      <c r="K3822" s="5" t="s">
        <v>25889</v>
      </c>
      <c r="M3822" s="5" t="s">
        <v>25916</v>
      </c>
      <c r="N3822" s="7" t="s">
        <v>25917</v>
      </c>
      <c r="O3822" s="8" t="str">
        <f>HYPERLINK("https://drive.google.com/file/d/1Ors2qZW7UhcGPOoBiISrEfEjnrGMLVDT/view?usp=drivesdk","3821_ANDIK RIBUT PRIYONO _ SERTIFIKAT BerAKHLAK")</f>
        <v>3821_ANDIK RIBUT PRIYONO _ SERTIFIKAT BerAKHLAK</v>
      </c>
      <c r="P3822" s="5" t="s">
        <v>25912</v>
      </c>
    </row>
    <row r="3823">
      <c r="A3823" s="4">
        <v>45534.347712800925</v>
      </c>
      <c r="B3823" s="5" t="s">
        <v>34</v>
      </c>
      <c r="D3823" s="5" t="s">
        <v>1206</v>
      </c>
      <c r="E3823" s="5" t="s">
        <v>25918</v>
      </c>
      <c r="F3823" s="5" t="s">
        <v>212</v>
      </c>
      <c r="G3823" s="5" t="s">
        <v>25919</v>
      </c>
      <c r="H3823" s="6" t="s">
        <v>25920</v>
      </c>
      <c r="K3823" s="5" t="s">
        <v>25889</v>
      </c>
      <c r="M3823" s="5" t="s">
        <v>25921</v>
      </c>
      <c r="N3823" s="7" t="s">
        <v>25922</v>
      </c>
      <c r="O3823" s="8" t="str">
        <f>HYPERLINK("https://drive.google.com/file/d/1C7Np77IDoAD8-69711SrDq1WBgFAz-ZR/view?usp=drivesdk","3822_WAFI TOYYIFI _ SERTIFIKAT BerAKHLAK")</f>
        <v>3822_WAFI TOYYIFI _ SERTIFIKAT BerAKHLAK</v>
      </c>
      <c r="P3823" s="5" t="s">
        <v>25912</v>
      </c>
    </row>
    <row r="3824">
      <c r="A3824" s="4">
        <v>45534.347723252315</v>
      </c>
      <c r="B3824" s="5" t="s">
        <v>34</v>
      </c>
      <c r="D3824" s="5" t="s">
        <v>9020</v>
      </c>
      <c r="E3824" s="5" t="s">
        <v>25923</v>
      </c>
      <c r="F3824" s="5" t="s">
        <v>72</v>
      </c>
      <c r="G3824" s="5" t="s">
        <v>25924</v>
      </c>
      <c r="H3824" s="6" t="s">
        <v>25925</v>
      </c>
      <c r="K3824" s="5" t="s">
        <v>25889</v>
      </c>
      <c r="M3824" s="5" t="s">
        <v>25926</v>
      </c>
      <c r="N3824" s="7" t="s">
        <v>25927</v>
      </c>
      <c r="O3824" s="8" t="str">
        <f>HYPERLINK("https://drive.google.com/file/d/1SHw41kDEl_rGMumaWpKiHl2OBpbpjD5w/view?usp=drivesdk","3823_DARMAWANTI, S.M _ SERTIFIKAT BerAKHLAK")</f>
        <v>3823_DARMAWANTI, S.M _ SERTIFIKAT BerAKHLAK</v>
      </c>
      <c r="P3824" s="5" t="s">
        <v>25912</v>
      </c>
    </row>
    <row r="3825">
      <c r="A3825" s="4">
        <v>45534.3477255787</v>
      </c>
      <c r="B3825" s="5" t="s">
        <v>34</v>
      </c>
      <c r="D3825" s="5" t="s">
        <v>1663</v>
      </c>
      <c r="E3825" s="5" t="s">
        <v>25928</v>
      </c>
      <c r="F3825" s="5" t="s">
        <v>108</v>
      </c>
      <c r="G3825" s="5" t="s">
        <v>25929</v>
      </c>
      <c r="H3825" s="6" t="s">
        <v>25930</v>
      </c>
      <c r="K3825" s="5" t="s">
        <v>25889</v>
      </c>
      <c r="M3825" s="5" t="s">
        <v>25931</v>
      </c>
      <c r="N3825" s="7" t="s">
        <v>25932</v>
      </c>
      <c r="O3825" s="8" t="str">
        <f>HYPERLINK("https://drive.google.com/file/d/1w4QIZwzg8_aqceQZwWi8qm0fwk09Ti6I/view?usp=drivesdk","3824_Ahmad Muhammad Noor _ SERTIFIKAT BerAKHLAK")</f>
        <v>3824_Ahmad Muhammad Noor _ SERTIFIKAT BerAKHLAK</v>
      </c>
      <c r="P3825" s="5" t="s">
        <v>25933</v>
      </c>
    </row>
    <row r="3826">
      <c r="A3826" s="4">
        <v>45534.34773366898</v>
      </c>
      <c r="B3826" s="5" t="s">
        <v>34</v>
      </c>
      <c r="D3826" s="5" t="s">
        <v>4775</v>
      </c>
      <c r="E3826" s="5" t="s">
        <v>25934</v>
      </c>
      <c r="F3826" s="5" t="s">
        <v>212</v>
      </c>
      <c r="G3826" s="5" t="s">
        <v>25935</v>
      </c>
      <c r="H3826" s="6" t="s">
        <v>25936</v>
      </c>
      <c r="K3826" s="5" t="s">
        <v>25889</v>
      </c>
      <c r="M3826" s="5" t="s">
        <v>25937</v>
      </c>
      <c r="N3826" s="7" t="s">
        <v>25938</v>
      </c>
      <c r="O3826" s="8" t="str">
        <f>HYPERLINK("https://drive.google.com/file/d/1HCXJGZ6_w5XQJjbKkaJmpAEyc2HJyDZB/view?usp=drivesdk","3825_MARINI _ SERTIFIKAT BerAKHLAK")</f>
        <v>3825_MARINI _ SERTIFIKAT BerAKHLAK</v>
      </c>
      <c r="P3826" s="5" t="s">
        <v>25933</v>
      </c>
    </row>
    <row r="3827">
      <c r="A3827" s="4">
        <v>45534.34775314815</v>
      </c>
      <c r="B3827" s="5" t="s">
        <v>34</v>
      </c>
      <c r="D3827" s="5" t="s">
        <v>9394</v>
      </c>
      <c r="E3827" s="5" t="s">
        <v>25939</v>
      </c>
      <c r="F3827" s="5" t="s">
        <v>212</v>
      </c>
      <c r="G3827" s="5" t="s">
        <v>25940</v>
      </c>
      <c r="H3827" s="6" t="s">
        <v>25941</v>
      </c>
      <c r="I3827" s="7" t="s">
        <v>25942</v>
      </c>
      <c r="J3827" s="8" t="str">
        <f>HYPERLINK("https://drive.google.com/file/d/1hXTSfUd5yDEMtw_LA3dg1X2QdVCkFCZD/view?usp=drivesdk","MELLYZIA SERTIFIKAT BerAKHLAK")</f>
        <v>MELLYZIA SERTIFIKAT BerAKHLAK</v>
      </c>
      <c r="K3827" s="5" t="s">
        <v>25486</v>
      </c>
      <c r="L3827" s="5" t="s">
        <v>25943</v>
      </c>
      <c r="M3827" s="5" t="s">
        <v>25944</v>
      </c>
      <c r="N3827" s="7" t="s">
        <v>25945</v>
      </c>
      <c r="O3827" s="8" t="str">
        <f>HYPERLINK("https://drive.google.com/file/d/1P2jS0YsFsAf9uA1hQWFeldAzsBLpIen5/view?usp=drivesdk","3826_MELLYZIA _ SERTIFIKAT BerAKHLAK")</f>
        <v>3826_MELLYZIA _ SERTIFIKAT BerAKHLAK</v>
      </c>
      <c r="P3827" s="5" t="s">
        <v>25933</v>
      </c>
    </row>
    <row r="3828">
      <c r="A3828" s="4">
        <v>45534.347751504625</v>
      </c>
      <c r="B3828" s="5" t="s">
        <v>34</v>
      </c>
      <c r="D3828" s="5" t="s">
        <v>6232</v>
      </c>
      <c r="E3828" s="5" t="s">
        <v>25946</v>
      </c>
      <c r="F3828" s="5" t="s">
        <v>37</v>
      </c>
      <c r="G3828" s="5" t="s">
        <v>25947</v>
      </c>
      <c r="H3828" s="6" t="s">
        <v>25948</v>
      </c>
      <c r="I3828" s="7" t="s">
        <v>25949</v>
      </c>
      <c r="J3828" s="8" t="str">
        <f>HYPERLINK("https://drive.google.com/file/d/1CYzdgK6q59Yd6wQmcn5ycR6IUo9ux28v/view?usp=drivesdk","AL HUSAIRI SERTIFIKAT BerAKHLAK")</f>
        <v>AL HUSAIRI SERTIFIKAT BerAKHLAK</v>
      </c>
      <c r="K3828" s="5" t="s">
        <v>25486</v>
      </c>
      <c r="L3828" s="5" t="s">
        <v>25950</v>
      </c>
      <c r="M3828" s="5" t="s">
        <v>25951</v>
      </c>
      <c r="N3828" s="7" t="s">
        <v>25952</v>
      </c>
      <c r="O3828" s="8" t="str">
        <f>HYPERLINK("https://drive.google.com/file/d/1ahhWOSptolkbTVZKGEQdFArkJvFfkM1m/view?usp=drivesdk","3827_AL HUSAIRI _ SERTIFIKAT BerAKHLAK")</f>
        <v>3827_AL HUSAIRI _ SERTIFIKAT BerAKHLAK</v>
      </c>
      <c r="P3828" s="5" t="s">
        <v>25933</v>
      </c>
    </row>
    <row r="3829">
      <c r="A3829" s="4">
        <v>45534.34775782407</v>
      </c>
      <c r="B3829" s="5" t="s">
        <v>34</v>
      </c>
      <c r="D3829" s="5" t="s">
        <v>1206</v>
      </c>
      <c r="E3829" s="5" t="s">
        <v>25953</v>
      </c>
      <c r="F3829" s="5" t="s">
        <v>212</v>
      </c>
      <c r="G3829" s="5" t="s">
        <v>25954</v>
      </c>
      <c r="H3829" s="6" t="s">
        <v>25955</v>
      </c>
      <c r="K3829" s="5" t="s">
        <v>25956</v>
      </c>
      <c r="M3829" s="5" t="s">
        <v>25957</v>
      </c>
      <c r="N3829" s="7" t="s">
        <v>25958</v>
      </c>
      <c r="O3829" s="8" t="str">
        <f>HYPERLINK("https://drive.google.com/file/d/145g5dTERk4ndraFmRAjg85vHZMJR-18d/view?usp=drivesdk","3828_RR. MUJI SUPRIHATIN  _ SERTIFIKAT BerAKHLAK")</f>
        <v>3828_RR. MUJI SUPRIHATIN  _ SERTIFIKAT BerAKHLAK</v>
      </c>
      <c r="P3829" s="5" t="s">
        <v>25933</v>
      </c>
    </row>
    <row r="3830" hidden="1">
      <c r="A3830" s="4">
        <v>45534.34776292824</v>
      </c>
      <c r="B3830" s="5" t="s">
        <v>19</v>
      </c>
      <c r="C3830" s="5" t="s">
        <v>10418</v>
      </c>
      <c r="E3830" s="5" t="s">
        <v>25959</v>
      </c>
      <c r="F3830" s="5" t="s">
        <v>375</v>
      </c>
      <c r="G3830" s="5" t="s">
        <v>25960</v>
      </c>
      <c r="H3830" s="6" t="s">
        <v>25961</v>
      </c>
      <c r="K3830" s="5" t="s">
        <v>25956</v>
      </c>
      <c r="M3830" s="5" t="s">
        <v>25962</v>
      </c>
      <c r="N3830" s="7" t="s">
        <v>25963</v>
      </c>
      <c r="O3830" s="8" t="str">
        <f>HYPERLINK("https://drive.google.com/file/d/1fBRxEHAjI6qdFvAldROJlyGKjUR-kPDE/view?usp=drivesdk","3829_HARYANTI IDA FITRI _ SERTIFIKAT BerAKHLAK")</f>
        <v>3829_HARYANTI IDA FITRI _ SERTIFIKAT BerAKHLAK</v>
      </c>
      <c r="P3830" s="5" t="s">
        <v>25964</v>
      </c>
    </row>
    <row r="3831" hidden="1">
      <c r="A3831" s="4">
        <v>45534.34777190972</v>
      </c>
      <c r="B3831" s="5" t="s">
        <v>19</v>
      </c>
      <c r="C3831" s="5" t="s">
        <v>20</v>
      </c>
      <c r="E3831" s="5" t="s">
        <v>25965</v>
      </c>
      <c r="F3831" s="5" t="s">
        <v>22</v>
      </c>
      <c r="G3831" s="5" t="s">
        <v>25966</v>
      </c>
      <c r="H3831" s="6" t="s">
        <v>25967</v>
      </c>
      <c r="K3831" s="5" t="s">
        <v>25956</v>
      </c>
      <c r="M3831" s="5" t="s">
        <v>25968</v>
      </c>
      <c r="N3831" s="7" t="s">
        <v>25969</v>
      </c>
      <c r="O3831" s="8" t="str">
        <f>HYPERLINK("https://drive.google.com/file/d/1D9mFeERU1RTYpIxKyy9CAcRC0B-potE7/view?usp=drivesdk","3830_MOHAMAD SUPRIYANTO, S.E. _ SERTIFIKAT BerAKHLAK")</f>
        <v>3830_MOHAMAD SUPRIYANTO, S.E. _ SERTIFIKAT BerAKHLAK</v>
      </c>
      <c r="P3831" s="5" t="s">
        <v>25964</v>
      </c>
    </row>
    <row r="3832">
      <c r="A3832" s="4">
        <v>45534.34777400463</v>
      </c>
      <c r="B3832" s="5" t="s">
        <v>34</v>
      </c>
      <c r="D3832" s="5" t="s">
        <v>12978</v>
      </c>
      <c r="E3832" s="5" t="s">
        <v>25970</v>
      </c>
      <c r="F3832" s="5" t="s">
        <v>108</v>
      </c>
      <c r="G3832" s="5" t="s">
        <v>25971</v>
      </c>
      <c r="H3832" s="6" t="s">
        <v>25972</v>
      </c>
      <c r="K3832" s="5" t="s">
        <v>25956</v>
      </c>
      <c r="M3832" s="5" t="s">
        <v>25973</v>
      </c>
      <c r="N3832" s="7" t="s">
        <v>25974</v>
      </c>
      <c r="O3832" s="8" t="str">
        <f>HYPERLINK("https://drive.google.com/file/d/1d-azuGzbBo21ZpF83jyKLYB2D043zGCx/view?usp=drivesdk","3831_JAKARIA _ SERTIFIKAT BerAKHLAK")</f>
        <v>3831_JAKARIA _ SERTIFIKAT BerAKHLAK</v>
      </c>
      <c r="P3832" s="5" t="s">
        <v>25964</v>
      </c>
    </row>
    <row r="3833">
      <c r="A3833" s="4">
        <v>45534.347779097225</v>
      </c>
      <c r="B3833" s="5" t="s">
        <v>34</v>
      </c>
      <c r="D3833" s="5" t="s">
        <v>1456</v>
      </c>
      <c r="E3833" s="5" t="s">
        <v>25975</v>
      </c>
      <c r="F3833" s="5" t="s">
        <v>37</v>
      </c>
      <c r="G3833" s="5" t="s">
        <v>25976</v>
      </c>
      <c r="H3833" s="6" t="s">
        <v>25977</v>
      </c>
      <c r="I3833" s="7" t="s">
        <v>25978</v>
      </c>
      <c r="J3833" s="8" t="str">
        <f>HYPERLINK("https://drive.google.com/file/d/1I-y1LDctPnrlawAY1l6DK9AYEZ7A0SgT/view?usp=drivesdk","WIDODO NARSASIH SERTIFIKAT BerAKHLAK")</f>
        <v>WIDODO NARSASIH SERTIFIKAT BerAKHLAK</v>
      </c>
      <c r="K3833" s="5" t="s">
        <v>25486</v>
      </c>
      <c r="L3833" s="5" t="s">
        <v>25979</v>
      </c>
      <c r="M3833" s="5" t="s">
        <v>25980</v>
      </c>
      <c r="N3833" s="7" t="s">
        <v>25981</v>
      </c>
      <c r="O3833" s="8" t="str">
        <f>HYPERLINK("https://drive.google.com/file/d/1FQ3p5XAbAet-_ExNNqkrNj3-JrPajcYp/view?usp=drivesdk","3832_WIDODO NARSASIH _ SERTIFIKAT BerAKHLAK")</f>
        <v>3832_WIDODO NARSASIH _ SERTIFIKAT BerAKHLAK</v>
      </c>
      <c r="P3833" s="5" t="s">
        <v>25964</v>
      </c>
    </row>
    <row r="3834">
      <c r="A3834" s="4">
        <v>45534.34778899305</v>
      </c>
      <c r="B3834" s="5" t="s">
        <v>34</v>
      </c>
      <c r="D3834" s="5" t="s">
        <v>10444</v>
      </c>
      <c r="E3834" s="5" t="s">
        <v>25982</v>
      </c>
      <c r="F3834" s="5" t="s">
        <v>212</v>
      </c>
      <c r="G3834" s="5" t="s">
        <v>25983</v>
      </c>
      <c r="H3834" s="6" t="s">
        <v>25984</v>
      </c>
      <c r="I3834" s="7" t="s">
        <v>25985</v>
      </c>
      <c r="J3834" s="8" t="str">
        <f>HYPERLINK("https://drive.google.com/file/d/1nufEuaspDEa33ald1WnPA3FJe7u32-Ze/view?usp=drivesdk","BAROKAH ARIATRI SERTIFIKAT BerAKHLAK")</f>
        <v>BAROKAH ARIATRI SERTIFIKAT BerAKHLAK</v>
      </c>
      <c r="K3834" s="5" t="s">
        <v>25486</v>
      </c>
      <c r="L3834" s="5" t="s">
        <v>25986</v>
      </c>
      <c r="M3834" s="5" t="s">
        <v>25987</v>
      </c>
      <c r="N3834" s="7" t="s">
        <v>25988</v>
      </c>
      <c r="O3834" s="8" t="str">
        <f>HYPERLINK("https://drive.google.com/file/d/1ilVOubIb1dP4dzsv8UbqgoNPLU1lx5US/view?usp=drivesdk","3833_BAROKAH ARIATRI _ SERTIFIKAT BerAKHLAK")</f>
        <v>3833_BAROKAH ARIATRI _ SERTIFIKAT BerAKHLAK</v>
      </c>
      <c r="P3834" s="5" t="s">
        <v>25989</v>
      </c>
    </row>
    <row r="3835">
      <c r="A3835" s="4">
        <v>45534.34779417824</v>
      </c>
      <c r="B3835" s="5" t="s">
        <v>34</v>
      </c>
      <c r="D3835" s="5" t="s">
        <v>4775</v>
      </c>
      <c r="E3835" s="5" t="s">
        <v>25990</v>
      </c>
      <c r="F3835" s="5" t="s">
        <v>524</v>
      </c>
      <c r="G3835" s="5" t="s">
        <v>25991</v>
      </c>
      <c r="H3835" s="6" t="s">
        <v>25992</v>
      </c>
      <c r="K3835" s="5" t="s">
        <v>25993</v>
      </c>
      <c r="M3835" s="5" t="s">
        <v>25994</v>
      </c>
      <c r="N3835" s="7" t="s">
        <v>25995</v>
      </c>
      <c r="O3835" s="8" t="str">
        <f>HYPERLINK("https://drive.google.com/file/d/14MwKQMr1x-p8n2r_abJT3ND0e7tX5mCt/view?usp=drivesdk","3834_RINAWATI WIJI LESTARI _ SERTIFIKAT BerAKHLAK")</f>
        <v>3834_RINAWATI WIJI LESTARI _ SERTIFIKAT BerAKHLAK</v>
      </c>
      <c r="P3835" s="5" t="s">
        <v>25989</v>
      </c>
    </row>
    <row r="3836">
      <c r="A3836" s="4">
        <v>45534.347795856476</v>
      </c>
      <c r="B3836" s="5" t="s">
        <v>34</v>
      </c>
      <c r="D3836" s="5" t="s">
        <v>12978</v>
      </c>
      <c r="E3836" s="5" t="s">
        <v>25996</v>
      </c>
      <c r="F3836" s="5" t="s">
        <v>524</v>
      </c>
      <c r="G3836" s="5" t="s">
        <v>25997</v>
      </c>
      <c r="H3836" s="6" t="s">
        <v>25998</v>
      </c>
      <c r="K3836" s="5" t="s">
        <v>25993</v>
      </c>
      <c r="M3836" s="5" t="s">
        <v>25999</v>
      </c>
      <c r="N3836" s="7" t="s">
        <v>26000</v>
      </c>
      <c r="O3836" s="8" t="str">
        <f>HYPERLINK("https://drive.google.com/file/d/12hmwA8YMwU_7dYkSplkRCP1G8WLArKqh/view?usp=drivesdk","3835_ROBI TRIONO, AMd. _ SERTIFIKAT BerAKHLAK")</f>
        <v>3835_ROBI TRIONO, AMd. _ SERTIFIKAT BerAKHLAK</v>
      </c>
      <c r="P3836" s="5" t="s">
        <v>25989</v>
      </c>
    </row>
    <row r="3837">
      <c r="A3837" s="4">
        <v>45534.34779733796</v>
      </c>
      <c r="B3837" s="5" t="s">
        <v>34</v>
      </c>
      <c r="D3837" s="5" t="s">
        <v>996</v>
      </c>
      <c r="E3837" s="5" t="s">
        <v>26001</v>
      </c>
      <c r="F3837" s="5" t="s">
        <v>375</v>
      </c>
      <c r="G3837" s="5" t="s">
        <v>26002</v>
      </c>
      <c r="H3837" s="6" t="s">
        <v>26003</v>
      </c>
      <c r="K3837" s="5" t="s">
        <v>25993</v>
      </c>
      <c r="M3837" s="5" t="s">
        <v>26004</v>
      </c>
      <c r="N3837" s="7" t="s">
        <v>26005</v>
      </c>
      <c r="O3837" s="8" t="str">
        <f>HYPERLINK("https://drive.google.com/file/d/1IVwCFUxGa4PGuJVDCkoQKK1iNvpd4TZg/view?usp=drivesdk","3836_SUPARMAN, S.E. _ SERTIFIKAT BerAKHLAK")</f>
        <v>3836_SUPARMAN, S.E. _ SERTIFIKAT BerAKHLAK</v>
      </c>
      <c r="P3837" s="5" t="s">
        <v>25989</v>
      </c>
    </row>
    <row r="3838" hidden="1">
      <c r="A3838" s="4">
        <v>45534.34779748843</v>
      </c>
      <c r="B3838" s="5" t="s">
        <v>19</v>
      </c>
      <c r="C3838" s="5" t="s">
        <v>5564</v>
      </c>
      <c r="E3838" s="5" t="s">
        <v>26006</v>
      </c>
      <c r="F3838" s="5" t="s">
        <v>37</v>
      </c>
      <c r="G3838" s="5" t="s">
        <v>26007</v>
      </c>
      <c r="H3838" s="6" t="s">
        <v>26008</v>
      </c>
      <c r="K3838" s="5" t="s">
        <v>25993</v>
      </c>
      <c r="M3838" s="5" t="s">
        <v>26009</v>
      </c>
      <c r="N3838" s="7" t="s">
        <v>26010</v>
      </c>
      <c r="O3838" s="8" t="str">
        <f>HYPERLINK("https://drive.google.com/file/d/1PPSFDycPljfazAUrVoV0OkBwj5nqTBK_/view?usp=drivesdk","3837_DINA FITRIA RAHAYU  _ SERTIFIKAT BerAKHLAK")</f>
        <v>3837_DINA FITRIA RAHAYU  _ SERTIFIKAT BerAKHLAK</v>
      </c>
      <c r="P3838" s="5" t="s">
        <v>25989</v>
      </c>
    </row>
    <row r="3839">
      <c r="A3839" s="4">
        <v>45534.3478033912</v>
      </c>
      <c r="B3839" s="5" t="s">
        <v>34</v>
      </c>
      <c r="D3839" s="5" t="s">
        <v>35</v>
      </c>
      <c r="E3839" s="5" t="s">
        <v>26011</v>
      </c>
      <c r="F3839" s="5" t="s">
        <v>37</v>
      </c>
      <c r="G3839" s="5" t="s">
        <v>26012</v>
      </c>
      <c r="H3839" s="6" t="s">
        <v>26013</v>
      </c>
      <c r="K3839" s="5" t="s">
        <v>25993</v>
      </c>
      <c r="M3839" s="5" t="s">
        <v>26014</v>
      </c>
      <c r="N3839" s="7" t="s">
        <v>26015</v>
      </c>
      <c r="O3839" s="8" t="str">
        <f>HYPERLINK("https://drive.google.com/file/d/19Uy9tr6GtDUc8meMGHXx06ADw3zNeaja/view?usp=drivesdk","3838_ANDRI NOVIAR  _ SERTIFIKAT BerAKHLAK")</f>
        <v>3838_ANDRI NOVIAR  _ SERTIFIKAT BerAKHLAK</v>
      </c>
      <c r="P3839" s="5" t="s">
        <v>26016</v>
      </c>
    </row>
    <row r="3840">
      <c r="A3840" s="4">
        <v>45534.347807048616</v>
      </c>
      <c r="B3840" s="5" t="s">
        <v>34</v>
      </c>
      <c r="D3840" s="5" t="s">
        <v>35</v>
      </c>
      <c r="E3840" s="5" t="s">
        <v>26017</v>
      </c>
      <c r="F3840" s="5" t="s">
        <v>212</v>
      </c>
      <c r="G3840" s="5" t="s">
        <v>26018</v>
      </c>
      <c r="H3840" s="6" t="s">
        <v>26019</v>
      </c>
      <c r="K3840" s="5" t="s">
        <v>25993</v>
      </c>
      <c r="M3840" s="5" t="s">
        <v>26020</v>
      </c>
      <c r="N3840" s="7" t="s">
        <v>26021</v>
      </c>
      <c r="O3840" s="8" t="str">
        <f>HYPERLINK("https://drive.google.com/file/d/1vQoncRucD2SF77KhqpvCQHZxeM3gWwHl/view?usp=drivesdk","3839_EMILDA KURNIATIH _ SERTIFIKAT BerAKHLAK")</f>
        <v>3839_EMILDA KURNIATIH _ SERTIFIKAT BerAKHLAK</v>
      </c>
      <c r="P3840" s="5" t="s">
        <v>26016</v>
      </c>
    </row>
    <row r="3841">
      <c r="A3841" s="4">
        <v>45534.34781041667</v>
      </c>
      <c r="B3841" s="5" t="s">
        <v>34</v>
      </c>
      <c r="D3841" s="5" t="s">
        <v>267</v>
      </c>
      <c r="E3841" s="5" t="s">
        <v>26022</v>
      </c>
      <c r="F3841" s="5" t="s">
        <v>375</v>
      </c>
      <c r="G3841" s="5" t="s">
        <v>26023</v>
      </c>
      <c r="H3841" s="6" t="s">
        <v>26024</v>
      </c>
      <c r="K3841" s="5" t="s">
        <v>25993</v>
      </c>
      <c r="M3841" s="5" t="s">
        <v>26025</v>
      </c>
      <c r="N3841" s="7" t="s">
        <v>26026</v>
      </c>
      <c r="O3841" s="8" t="str">
        <f>HYPERLINK("https://drive.google.com/file/d/1OSCnaK7F5DTyYZKNlu0dle7_F8C9H0Td/view?usp=drivesdk","3840_FITRI ROFI'ATUN, A.Md., S.Ikom., M.M. _ SERTIFIKAT BerAKHLAK")</f>
        <v>3840_FITRI ROFI'ATUN, A.Md., S.Ikom., M.M. _ SERTIFIKAT BerAKHLAK</v>
      </c>
      <c r="P3841" s="5" t="s">
        <v>26016</v>
      </c>
    </row>
    <row r="3842">
      <c r="A3842" s="4">
        <v>45534.347811064814</v>
      </c>
      <c r="B3842" s="5" t="s">
        <v>34</v>
      </c>
      <c r="D3842" s="5" t="s">
        <v>14424</v>
      </c>
      <c r="E3842" s="5" t="s">
        <v>26027</v>
      </c>
      <c r="F3842" s="5" t="s">
        <v>108</v>
      </c>
      <c r="G3842" s="5" t="s">
        <v>26028</v>
      </c>
      <c r="H3842" s="6" t="s">
        <v>26029</v>
      </c>
      <c r="K3842" s="5" t="s">
        <v>25993</v>
      </c>
      <c r="M3842" s="5" t="s">
        <v>26030</v>
      </c>
      <c r="N3842" s="7" t="s">
        <v>26031</v>
      </c>
      <c r="O3842" s="8" t="str">
        <f>HYPERLINK("https://drive.google.com/file/d/1tD5OvmadvdU3wJlmsjx-B2R7fxMFeB9-/view?usp=drivesdk","3841_DR. PUTRI MAYA SARY _ SERTIFIKAT BerAKHLAK")</f>
        <v>3841_DR. PUTRI MAYA SARY _ SERTIFIKAT BerAKHLAK</v>
      </c>
      <c r="P3842" s="5" t="s">
        <v>26016</v>
      </c>
    </row>
    <row r="3843">
      <c r="A3843" s="4">
        <v>45534.347811493055</v>
      </c>
      <c r="B3843" s="5" t="s">
        <v>34</v>
      </c>
      <c r="D3843" s="5" t="s">
        <v>10444</v>
      </c>
      <c r="E3843" s="5" t="s">
        <v>26032</v>
      </c>
      <c r="F3843" s="5" t="s">
        <v>120</v>
      </c>
      <c r="G3843" s="5" t="s">
        <v>26033</v>
      </c>
      <c r="H3843" s="6" t="s">
        <v>26034</v>
      </c>
      <c r="K3843" s="5" t="s">
        <v>25993</v>
      </c>
      <c r="M3843" s="5" t="s">
        <v>26035</v>
      </c>
      <c r="N3843" s="7" t="s">
        <v>26036</v>
      </c>
      <c r="O3843" s="8" t="str">
        <f>HYPERLINK("https://drive.google.com/file/d/1rQW9Fs6SDh6pZIuz4hU6oJIEHD4jVuPb/view?usp=drivesdk","3842_SUDARMANTO, S.E. _ SERTIFIKAT BerAKHLAK")</f>
        <v>3842_SUDARMANTO, S.E. _ SERTIFIKAT BerAKHLAK</v>
      </c>
      <c r="P3843" s="5" t="s">
        <v>26016</v>
      </c>
    </row>
    <row r="3844">
      <c r="A3844" s="4">
        <v>45534.34781371528</v>
      </c>
      <c r="B3844" s="5" t="s">
        <v>34</v>
      </c>
      <c r="D3844" s="5" t="s">
        <v>1206</v>
      </c>
      <c r="E3844" s="5" t="s">
        <v>26037</v>
      </c>
      <c r="F3844" s="5" t="s">
        <v>108</v>
      </c>
      <c r="G3844" s="5" t="s">
        <v>26038</v>
      </c>
      <c r="H3844" s="6" t="s">
        <v>26039</v>
      </c>
      <c r="K3844" s="5" t="s">
        <v>25993</v>
      </c>
      <c r="M3844" s="5" t="s">
        <v>26040</v>
      </c>
      <c r="N3844" s="7" t="s">
        <v>26041</v>
      </c>
      <c r="O3844" s="8" t="str">
        <f>HYPERLINK("https://drive.google.com/file/d/1ZB6iJnSaTSe1xm4Qp7Qk7NGS_sixKiMH/view?usp=drivesdk","3843_PUJI WAHYUNI _ SERTIFIKAT BerAKHLAK")</f>
        <v>3843_PUJI WAHYUNI _ SERTIFIKAT BerAKHLAK</v>
      </c>
      <c r="P3844" s="5" t="s">
        <v>26042</v>
      </c>
    </row>
    <row r="3845">
      <c r="A3845" s="4">
        <v>45534.347814583336</v>
      </c>
      <c r="B3845" s="5" t="s">
        <v>34</v>
      </c>
      <c r="D3845" s="5" t="s">
        <v>11527</v>
      </c>
      <c r="E3845" s="5" t="s">
        <v>26043</v>
      </c>
      <c r="F3845" s="5" t="s">
        <v>524</v>
      </c>
      <c r="G3845" s="5" t="s">
        <v>26044</v>
      </c>
      <c r="H3845" s="6" t="s">
        <v>26045</v>
      </c>
      <c r="K3845" s="5" t="s">
        <v>25993</v>
      </c>
      <c r="M3845" s="5" t="s">
        <v>26046</v>
      </c>
      <c r="N3845" s="7" t="s">
        <v>26047</v>
      </c>
      <c r="O3845" s="8" t="str">
        <f>HYPERLINK("https://drive.google.com/file/d/1dVR2RtaGf6uP8KB8Tc7dYqE1chF3DkDN/view?usp=drivesdk","3844_Abdul Rahman Musa  _ SERTIFIKAT BerAKHLAK")</f>
        <v>3844_Abdul Rahman Musa  _ SERTIFIKAT BerAKHLAK</v>
      </c>
      <c r="P3845" s="5" t="s">
        <v>26042</v>
      </c>
    </row>
    <row r="3846">
      <c r="A3846" s="4">
        <v>45534.34781601852</v>
      </c>
      <c r="B3846" s="5" t="s">
        <v>34</v>
      </c>
      <c r="D3846" s="5" t="s">
        <v>280</v>
      </c>
      <c r="E3846" s="5" t="s">
        <v>26048</v>
      </c>
      <c r="F3846" s="5" t="s">
        <v>72</v>
      </c>
      <c r="G3846" s="5" t="s">
        <v>26049</v>
      </c>
      <c r="H3846" s="6" t="s">
        <v>26050</v>
      </c>
      <c r="K3846" s="5" t="s">
        <v>25993</v>
      </c>
      <c r="M3846" s="5" t="s">
        <v>26051</v>
      </c>
      <c r="N3846" s="7" t="s">
        <v>26052</v>
      </c>
      <c r="O3846" s="8" t="str">
        <f>HYPERLINK("https://drive.google.com/file/d/1apnDJyEGgFb76Ucjr2p79-YrKKQgQu8O/view?usp=drivesdk","3845_EVA CORINA _ SERTIFIKAT BerAKHLAK")</f>
        <v>3845_EVA CORINA _ SERTIFIKAT BerAKHLAK</v>
      </c>
      <c r="P3846" s="5" t="s">
        <v>26042</v>
      </c>
    </row>
    <row r="3847">
      <c r="A3847" s="4">
        <v>45534.3478309375</v>
      </c>
      <c r="B3847" s="5" t="s">
        <v>34</v>
      </c>
      <c r="D3847" s="5" t="s">
        <v>12978</v>
      </c>
      <c r="E3847" s="5" t="s">
        <v>26053</v>
      </c>
      <c r="F3847" s="5" t="s">
        <v>37</v>
      </c>
      <c r="G3847" s="5" t="s">
        <v>26054</v>
      </c>
      <c r="H3847" s="6" t="s">
        <v>26055</v>
      </c>
      <c r="K3847" s="5" t="s">
        <v>25993</v>
      </c>
      <c r="M3847" s="5" t="s">
        <v>26056</v>
      </c>
      <c r="N3847" s="7" t="s">
        <v>26057</v>
      </c>
      <c r="O3847" s="8" t="str">
        <f>HYPERLINK("https://drive.google.com/file/d/1EOmk7sxOGVpy0VlB2bZixfE8CSuiXwgL/view?usp=drivesdk","3846_RIZA EFFANDRI  _ SERTIFIKAT BerAKHLAK")</f>
        <v>3846_RIZA EFFANDRI  _ SERTIFIKAT BerAKHLAK</v>
      </c>
      <c r="P3847" s="5" t="s">
        <v>26042</v>
      </c>
    </row>
    <row r="3848">
      <c r="A3848" s="4">
        <v>45534.34785021991</v>
      </c>
      <c r="B3848" s="5" t="s">
        <v>34</v>
      </c>
      <c r="D3848" s="5" t="s">
        <v>701</v>
      </c>
      <c r="E3848" s="5" t="s">
        <v>26058</v>
      </c>
      <c r="F3848" s="5" t="s">
        <v>37</v>
      </c>
      <c r="G3848" s="5" t="s">
        <v>26059</v>
      </c>
      <c r="H3848" s="6" t="s">
        <v>26060</v>
      </c>
      <c r="K3848" s="5" t="s">
        <v>25993</v>
      </c>
      <c r="M3848" s="5" t="s">
        <v>26061</v>
      </c>
      <c r="N3848" s="7" t="s">
        <v>26062</v>
      </c>
      <c r="O3848" s="8" t="str">
        <f>HYPERLINK("https://drive.google.com/file/d/1uws_O9vOmxt_wE06Ze2AL_aBOukc8kzy/view?usp=drivesdk","3847_MIKE AFRINI PUTRI _ SERTIFIKAT BerAKHLAK")</f>
        <v>3847_MIKE AFRINI PUTRI _ SERTIFIKAT BerAKHLAK</v>
      </c>
      <c r="P3848" s="5" t="s">
        <v>26063</v>
      </c>
    </row>
    <row r="3849">
      <c r="A3849" s="4">
        <v>45534.3478562963</v>
      </c>
      <c r="B3849" s="5" t="s">
        <v>34</v>
      </c>
      <c r="D3849" s="5" t="s">
        <v>10444</v>
      </c>
      <c r="E3849" s="5" t="s">
        <v>16234</v>
      </c>
      <c r="F3849" s="5" t="s">
        <v>72</v>
      </c>
      <c r="G3849" s="5" t="s">
        <v>26064</v>
      </c>
      <c r="H3849" s="6" t="s">
        <v>26065</v>
      </c>
      <c r="I3849" s="7" t="s">
        <v>26066</v>
      </c>
      <c r="J3849" s="8" t="str">
        <f>HYPERLINK("https://drive.google.com/file/d/1OxjK93w-FttJThpn6c2gAXW-F5eNUZWW/view?usp=drivesdk","YULIANA SERTIFIKAT BerAKHLAK")</f>
        <v>YULIANA SERTIFIKAT BerAKHLAK</v>
      </c>
      <c r="K3849" s="5" t="s">
        <v>25486</v>
      </c>
      <c r="L3849" s="5" t="s">
        <v>26067</v>
      </c>
      <c r="M3849" s="5" t="s">
        <v>26068</v>
      </c>
      <c r="N3849" s="7" t="s">
        <v>26069</v>
      </c>
      <c r="O3849" s="8" t="str">
        <f>HYPERLINK("https://drive.google.com/file/d/1ATuq2tSUw-3UfmTlvzKKA0wNstljI1HR/view?usp=drivesdk","3848_YULIANA _ SERTIFIKAT BerAKHLAK")</f>
        <v>3848_YULIANA _ SERTIFIKAT BerAKHLAK</v>
      </c>
      <c r="P3849" s="5" t="s">
        <v>26063</v>
      </c>
    </row>
    <row r="3850">
      <c r="A3850" s="4">
        <v>45534.34786175926</v>
      </c>
      <c r="B3850" s="5" t="s">
        <v>34</v>
      </c>
      <c r="D3850" s="5" t="s">
        <v>35</v>
      </c>
      <c r="E3850" s="5" t="s">
        <v>26070</v>
      </c>
      <c r="F3850" s="5" t="s">
        <v>37</v>
      </c>
      <c r="G3850" s="5" t="s">
        <v>26071</v>
      </c>
      <c r="H3850" s="6" t="s">
        <v>26072</v>
      </c>
      <c r="K3850" s="5" t="s">
        <v>26073</v>
      </c>
      <c r="M3850" s="5" t="s">
        <v>26074</v>
      </c>
      <c r="N3850" s="7" t="s">
        <v>26075</v>
      </c>
      <c r="O3850" s="8" t="str">
        <f>HYPERLINK("https://drive.google.com/file/d/1yqBRs8Ocy24LxpcmcojK95lZ1VfM7_aB/view?usp=drivesdk","3849_ROBBY KURNIA ARIF _ SERTIFIKAT BerAKHLAK")</f>
        <v>3849_ROBBY KURNIA ARIF _ SERTIFIKAT BerAKHLAK</v>
      </c>
      <c r="P3850" s="5" t="s">
        <v>26063</v>
      </c>
    </row>
    <row r="3851">
      <c r="A3851" s="4">
        <v>45534.34786366898</v>
      </c>
      <c r="B3851" s="5" t="s">
        <v>34</v>
      </c>
      <c r="D3851" s="5" t="s">
        <v>1206</v>
      </c>
      <c r="E3851" s="5" t="s">
        <v>26076</v>
      </c>
      <c r="F3851" s="5" t="s">
        <v>37</v>
      </c>
      <c r="G3851" s="5" t="s">
        <v>26077</v>
      </c>
      <c r="H3851" s="6" t="s">
        <v>26078</v>
      </c>
      <c r="K3851" s="5" t="s">
        <v>26073</v>
      </c>
      <c r="M3851" s="5" t="s">
        <v>26079</v>
      </c>
      <c r="N3851" s="7" t="s">
        <v>26080</v>
      </c>
      <c r="O3851" s="8" t="str">
        <f>HYPERLINK("https://drive.google.com/file/d/1itTNW13UVb4kljwd3pqeh__W_Az_Asl4/view?usp=drivesdk","3850_SETYO BAKTI, S.H _ SERTIFIKAT BerAKHLAK")</f>
        <v>3850_SETYO BAKTI, S.H _ SERTIFIKAT BerAKHLAK</v>
      </c>
      <c r="P3851" s="5" t="s">
        <v>26063</v>
      </c>
    </row>
    <row r="3852">
      <c r="A3852" s="4">
        <v>45534.34786412037</v>
      </c>
      <c r="B3852" s="5" t="s">
        <v>34</v>
      </c>
      <c r="D3852" s="5" t="s">
        <v>1206</v>
      </c>
      <c r="E3852" s="5" t="s">
        <v>26081</v>
      </c>
      <c r="F3852" s="5" t="s">
        <v>37</v>
      </c>
      <c r="G3852" s="5" t="s">
        <v>26082</v>
      </c>
      <c r="H3852" s="6" t="s">
        <v>26083</v>
      </c>
      <c r="K3852" s="5" t="s">
        <v>26073</v>
      </c>
      <c r="M3852" s="5" t="s">
        <v>26084</v>
      </c>
      <c r="N3852" s="7" t="s">
        <v>26085</v>
      </c>
      <c r="O3852" s="8" t="str">
        <f>HYPERLINK("https://drive.google.com/file/d/1HAoK0YohR2Z2ssFwWYG2E2KWkxVhKb7V/view?usp=drivesdk","3851_MOH SUDI _ SERTIFIKAT BerAKHLAK")</f>
        <v>3851_MOH SUDI _ SERTIFIKAT BerAKHLAK</v>
      </c>
      <c r="P3852" s="5" t="s">
        <v>26086</v>
      </c>
    </row>
    <row r="3853">
      <c r="A3853" s="4">
        <v>45534.34786512732</v>
      </c>
      <c r="B3853" s="5" t="s">
        <v>34</v>
      </c>
      <c r="D3853" s="5" t="s">
        <v>4775</v>
      </c>
      <c r="E3853" s="5" t="s">
        <v>26087</v>
      </c>
      <c r="F3853" s="5" t="s">
        <v>37</v>
      </c>
      <c r="G3853" s="5" t="s">
        <v>26088</v>
      </c>
      <c r="H3853" s="6" t="s">
        <v>26089</v>
      </c>
      <c r="K3853" s="5" t="s">
        <v>26073</v>
      </c>
      <c r="M3853" s="5" t="s">
        <v>26090</v>
      </c>
      <c r="N3853" s="7" t="s">
        <v>26091</v>
      </c>
      <c r="O3853" s="8" t="str">
        <f>HYPERLINK("https://drive.google.com/file/d/192e0ihH_YduZcT7mnvqwyBczUBzGcg3e/view?usp=drivesdk","3852_BAWONO _ SERTIFIKAT BerAKHLAK")</f>
        <v>3852_BAWONO _ SERTIFIKAT BerAKHLAK</v>
      </c>
      <c r="P3853" s="5" t="s">
        <v>26086</v>
      </c>
    </row>
    <row r="3854">
      <c r="A3854" s="4">
        <v>45534.347878252316</v>
      </c>
      <c r="B3854" s="5" t="s">
        <v>34</v>
      </c>
      <c r="D3854" s="5" t="s">
        <v>9020</v>
      </c>
      <c r="E3854" s="5" t="s">
        <v>26092</v>
      </c>
      <c r="F3854" s="5" t="s">
        <v>212</v>
      </c>
      <c r="G3854" s="5" t="s">
        <v>26093</v>
      </c>
      <c r="H3854" s="6" t="s">
        <v>26094</v>
      </c>
      <c r="K3854" s="5" t="s">
        <v>26073</v>
      </c>
      <c r="M3854" s="5" t="s">
        <v>26095</v>
      </c>
      <c r="N3854" s="7" t="s">
        <v>26096</v>
      </c>
      <c r="O3854" s="8" t="str">
        <f>HYPERLINK("https://drive.google.com/file/d/1HrkF5Ez-nBZS6yVXJbRwfUNsHpVimzK9/view?usp=drivesdk","3853_JUMPA MALEM GINTING  _ SERTIFIKAT BerAKHLAK")</f>
        <v>3853_JUMPA MALEM GINTING  _ SERTIFIKAT BerAKHLAK</v>
      </c>
      <c r="P3854" s="5" t="s">
        <v>26086</v>
      </c>
    </row>
    <row r="3855">
      <c r="A3855" s="4">
        <v>45534.34788623842</v>
      </c>
      <c r="B3855" s="5" t="s">
        <v>34</v>
      </c>
      <c r="D3855" s="5" t="s">
        <v>4775</v>
      </c>
      <c r="E3855" s="5" t="s">
        <v>26097</v>
      </c>
      <c r="F3855" s="5" t="s">
        <v>37</v>
      </c>
      <c r="G3855" s="5" t="s">
        <v>26098</v>
      </c>
      <c r="H3855" s="6" t="s">
        <v>26099</v>
      </c>
      <c r="K3855" s="5" t="s">
        <v>26073</v>
      </c>
      <c r="M3855" s="5" t="s">
        <v>26100</v>
      </c>
      <c r="N3855" s="7" t="s">
        <v>26101</v>
      </c>
      <c r="O3855" s="8" t="str">
        <f>HYPERLINK("https://drive.google.com/file/d/1V2oCA1u4RSbARR8ODIxsk71uGxcoRQzg/view?usp=drivesdk","3854_GALIH DWI SAPUTRO  _ SERTIFIKAT BerAKHLAK")</f>
        <v>3854_GALIH DWI SAPUTRO  _ SERTIFIKAT BerAKHLAK</v>
      </c>
      <c r="P3855" s="5" t="s">
        <v>26086</v>
      </c>
    </row>
    <row r="3856">
      <c r="A3856" s="4">
        <v>45534.34790328704</v>
      </c>
      <c r="B3856" s="5" t="s">
        <v>34</v>
      </c>
      <c r="D3856" s="5" t="s">
        <v>10444</v>
      </c>
      <c r="E3856" s="5" t="s">
        <v>26102</v>
      </c>
      <c r="F3856" s="5" t="s">
        <v>524</v>
      </c>
      <c r="G3856" s="5" t="s">
        <v>26103</v>
      </c>
      <c r="H3856" s="6" t="s">
        <v>26104</v>
      </c>
      <c r="K3856" s="5" t="s">
        <v>26073</v>
      </c>
      <c r="M3856" s="5" t="s">
        <v>26105</v>
      </c>
      <c r="N3856" s="7" t="s">
        <v>26106</v>
      </c>
      <c r="O3856" s="8" t="str">
        <f>HYPERLINK("https://drive.google.com/file/d/1g9rouP8PhHvi0vXEJhSybjKD38Z8vOSP/view?usp=drivesdk","3855_WARSIDI, S.H. _ SERTIFIKAT BerAKHLAK")</f>
        <v>3855_WARSIDI, S.H. _ SERTIFIKAT BerAKHLAK</v>
      </c>
      <c r="P3856" s="5" t="s">
        <v>26086</v>
      </c>
    </row>
    <row r="3857">
      <c r="A3857" s="4">
        <v>45534.34790435185</v>
      </c>
      <c r="B3857" s="5" t="s">
        <v>34</v>
      </c>
      <c r="D3857" s="5" t="s">
        <v>701</v>
      </c>
      <c r="E3857" s="5" t="s">
        <v>26107</v>
      </c>
      <c r="F3857" s="5" t="s">
        <v>108</v>
      </c>
      <c r="G3857" s="5" t="s">
        <v>26108</v>
      </c>
      <c r="H3857" s="6" t="s">
        <v>26109</v>
      </c>
      <c r="K3857" s="5" t="s">
        <v>26073</v>
      </c>
      <c r="M3857" s="5" t="s">
        <v>26110</v>
      </c>
      <c r="N3857" s="7" t="s">
        <v>26111</v>
      </c>
      <c r="O3857" s="8" t="str">
        <f>HYPERLINK("https://drive.google.com/file/d/1QkoA6hwWRHamMPI2yfxk1EJXOReUkj6f/view?usp=drivesdk","3856_Ns NILAWATI. Skepl _ SERTIFIKAT BerAKHLAK")</f>
        <v>3856_Ns NILAWATI. Skepl _ SERTIFIKAT BerAKHLAK</v>
      </c>
      <c r="P3857" s="5" t="s">
        <v>26112</v>
      </c>
    </row>
    <row r="3858">
      <c r="A3858" s="4">
        <v>45534.34791053241</v>
      </c>
      <c r="B3858" s="5" t="s">
        <v>34</v>
      </c>
      <c r="D3858" s="5" t="s">
        <v>522</v>
      </c>
      <c r="E3858" s="5" t="s">
        <v>26113</v>
      </c>
      <c r="F3858" s="5" t="s">
        <v>72</v>
      </c>
      <c r="G3858" s="5" t="s">
        <v>26114</v>
      </c>
      <c r="H3858" s="6" t="s">
        <v>26115</v>
      </c>
      <c r="K3858" s="5" t="s">
        <v>26073</v>
      </c>
      <c r="M3858" s="5" t="s">
        <v>26116</v>
      </c>
      <c r="N3858" s="7" t="s">
        <v>26117</v>
      </c>
      <c r="O3858" s="8" t="str">
        <f>HYPERLINK("https://drive.google.com/file/d/1TRMBqbvCswumiWJZiqEWm-BnZ5dH6bhV/view?usp=drivesdk","3857_SIFITRI HADIANTI _ SERTIFIKAT BerAKHLAK")</f>
        <v>3857_SIFITRI HADIANTI _ SERTIFIKAT BerAKHLAK</v>
      </c>
      <c r="P3858" s="5" t="s">
        <v>26112</v>
      </c>
    </row>
    <row r="3859">
      <c r="A3859" s="4">
        <v>45534.34792273148</v>
      </c>
      <c r="B3859" s="5" t="s">
        <v>34</v>
      </c>
      <c r="D3859" s="5" t="s">
        <v>267</v>
      </c>
      <c r="E3859" s="5" t="s">
        <v>26118</v>
      </c>
      <c r="F3859" s="5" t="s">
        <v>37</v>
      </c>
      <c r="G3859" s="5" t="s">
        <v>26119</v>
      </c>
      <c r="H3859" s="6" t="s">
        <v>26120</v>
      </c>
      <c r="K3859" s="5" t="s">
        <v>26073</v>
      </c>
      <c r="M3859" s="5" t="s">
        <v>26121</v>
      </c>
      <c r="N3859" s="7" t="s">
        <v>26122</v>
      </c>
      <c r="O3859" s="8" t="str">
        <f>HYPERLINK("https://drive.google.com/file/d/1rFDAohIuXnTpOxbWFPpb2-7hwsbjAW7H/view?usp=drivesdk","3858_RIYANTO  _ SERTIFIKAT BerAKHLAK")</f>
        <v>3858_RIYANTO  _ SERTIFIKAT BerAKHLAK</v>
      </c>
      <c r="P3859" s="5" t="s">
        <v>26112</v>
      </c>
    </row>
    <row r="3860">
      <c r="A3860" s="4">
        <v>45534.34792392361</v>
      </c>
      <c r="B3860" s="5" t="s">
        <v>34</v>
      </c>
      <c r="D3860" s="5" t="s">
        <v>1206</v>
      </c>
      <c r="E3860" s="5" t="s">
        <v>26123</v>
      </c>
      <c r="F3860" s="5" t="s">
        <v>375</v>
      </c>
      <c r="G3860" s="5" t="s">
        <v>26124</v>
      </c>
      <c r="H3860" s="6" t="s">
        <v>26125</v>
      </c>
      <c r="K3860" s="5" t="s">
        <v>26073</v>
      </c>
      <c r="M3860" s="5" t="s">
        <v>26126</v>
      </c>
      <c r="N3860" s="7" t="s">
        <v>26127</v>
      </c>
      <c r="O3860" s="8" t="str">
        <f>HYPERLINK("https://drive.google.com/file/d/1hhzXJUZnw8CqTfhh_3QqwKcVPI5-NcDB/view?usp=drivesdk","3859_WAWAN CAHYONO, S.H. _ SERTIFIKAT BerAKHLAK")</f>
        <v>3859_WAWAN CAHYONO, S.H. _ SERTIFIKAT BerAKHLAK</v>
      </c>
      <c r="P3860" s="5" t="s">
        <v>26112</v>
      </c>
    </row>
    <row r="3861">
      <c r="A3861" s="4">
        <v>45534.34792667824</v>
      </c>
      <c r="B3861" s="5" t="s">
        <v>34</v>
      </c>
      <c r="D3861" s="5" t="s">
        <v>1206</v>
      </c>
      <c r="E3861" s="5" t="s">
        <v>26128</v>
      </c>
      <c r="F3861" s="5" t="s">
        <v>37</v>
      </c>
      <c r="G3861" s="5" t="s">
        <v>26129</v>
      </c>
      <c r="H3861" s="6" t="s">
        <v>26130</v>
      </c>
      <c r="K3861" s="5" t="s">
        <v>26073</v>
      </c>
      <c r="M3861" s="5" t="s">
        <v>26131</v>
      </c>
      <c r="N3861" s="7" t="s">
        <v>26132</v>
      </c>
      <c r="O3861" s="8" t="str">
        <f>HYPERLINK("https://drive.google.com/file/d/1IGJV8XtnYXK77AMDWtSTJh3HJYyEMrPN/view?usp=drivesdk","3860_SUWITO HAMDANI _ SERTIFIKAT BerAKHLAK")</f>
        <v>3860_SUWITO HAMDANI _ SERTIFIKAT BerAKHLAK</v>
      </c>
      <c r="P3861" s="5" t="s">
        <v>26112</v>
      </c>
    </row>
    <row r="3862">
      <c r="A3862" s="4">
        <v>45534.34792662037</v>
      </c>
      <c r="B3862" s="5" t="s">
        <v>34</v>
      </c>
      <c r="D3862" s="5" t="s">
        <v>35</v>
      </c>
      <c r="E3862" s="5" t="s">
        <v>26133</v>
      </c>
      <c r="F3862" s="5" t="s">
        <v>108</v>
      </c>
      <c r="G3862" s="5" t="s">
        <v>26134</v>
      </c>
      <c r="H3862" s="6" t="s">
        <v>26135</v>
      </c>
      <c r="K3862" s="5" t="s">
        <v>26073</v>
      </c>
      <c r="M3862" s="5" t="s">
        <v>26136</v>
      </c>
      <c r="N3862" s="7" t="s">
        <v>26137</v>
      </c>
      <c r="O3862" s="8" t="str">
        <f>HYPERLINK("https://drive.google.com/file/d/1hvl0HHspD_g9kyFfzDKY7W8iDljbrAEU/view?usp=drivesdk","3861_NUN ASTI PUTRI BUNYAMIN _ SERTIFIKAT BerAKHLAK")</f>
        <v>3861_NUN ASTI PUTRI BUNYAMIN _ SERTIFIKAT BerAKHLAK</v>
      </c>
      <c r="P3862" s="5" t="s">
        <v>26138</v>
      </c>
    </row>
    <row r="3863">
      <c r="A3863" s="4">
        <v>45534.3479290625</v>
      </c>
      <c r="B3863" s="5" t="s">
        <v>34</v>
      </c>
      <c r="D3863" s="5" t="s">
        <v>35</v>
      </c>
      <c r="E3863" s="5" t="s">
        <v>26139</v>
      </c>
      <c r="F3863" s="5" t="s">
        <v>108</v>
      </c>
      <c r="G3863" s="5" t="s">
        <v>26140</v>
      </c>
      <c r="H3863" s="6" t="s">
        <v>26141</v>
      </c>
      <c r="K3863" s="5" t="s">
        <v>26073</v>
      </c>
      <c r="M3863" s="5" t="s">
        <v>26142</v>
      </c>
      <c r="N3863" s="7" t="s">
        <v>26143</v>
      </c>
      <c r="O3863" s="8" t="str">
        <f>HYPERLINK("https://drive.google.com/file/d/127jOFgW3BfL1oSqP1mZGuYHKC1EXhON6/view?usp=drivesdk","3862_SRI MULYANI _ SERTIFIKAT BerAKHLAK")</f>
        <v>3862_SRI MULYANI _ SERTIFIKAT BerAKHLAK</v>
      </c>
      <c r="P3863" s="5" t="s">
        <v>26138</v>
      </c>
    </row>
    <row r="3864">
      <c r="A3864" s="4">
        <v>45534.347943263885</v>
      </c>
      <c r="B3864" s="5" t="s">
        <v>34</v>
      </c>
      <c r="D3864" s="5" t="s">
        <v>267</v>
      </c>
      <c r="E3864" s="5" t="s">
        <v>26144</v>
      </c>
      <c r="F3864" s="5" t="s">
        <v>72</v>
      </c>
      <c r="G3864" s="5" t="s">
        <v>26145</v>
      </c>
      <c r="H3864" s="6" t="s">
        <v>26146</v>
      </c>
      <c r="K3864" s="5" t="s">
        <v>26073</v>
      </c>
      <c r="M3864" s="5" t="s">
        <v>26147</v>
      </c>
      <c r="N3864" s="7" t="s">
        <v>26148</v>
      </c>
      <c r="O3864" s="8" t="str">
        <f>HYPERLINK("https://drive.google.com/file/d/1F1BTOWIAvKh__6JbaxfrzTrM0Oggq515/view?usp=drivesdk","3863_BERNADUS LITA KUSBINDRATNO BAYU ANGGORO _ SERTIFIKAT BerAKHLAK")</f>
        <v>3863_BERNADUS LITA KUSBINDRATNO BAYU ANGGORO _ SERTIFIKAT BerAKHLAK</v>
      </c>
      <c r="P3864" s="5" t="s">
        <v>26138</v>
      </c>
    </row>
    <row r="3865">
      <c r="A3865" s="4">
        <v>45534.34794688657</v>
      </c>
      <c r="B3865" s="5" t="s">
        <v>34</v>
      </c>
      <c r="D3865" s="5" t="s">
        <v>12978</v>
      </c>
      <c r="E3865" s="5" t="s">
        <v>26149</v>
      </c>
      <c r="F3865" s="5" t="s">
        <v>37</v>
      </c>
      <c r="G3865" s="5" t="s">
        <v>26150</v>
      </c>
      <c r="H3865" s="6" t="s">
        <v>26151</v>
      </c>
      <c r="K3865" s="5" t="s">
        <v>26073</v>
      </c>
      <c r="M3865" s="5" t="s">
        <v>26152</v>
      </c>
      <c r="N3865" s="7" t="s">
        <v>26153</v>
      </c>
      <c r="O3865" s="8" t="str">
        <f>HYPERLINK("https://drive.google.com/file/d/1eGZTMlA6hoXvFovr4w9LcRmRFAZPsXbZ/view?usp=drivesdk","3864_OLLA KESUMA TRIANA,S.H _ SERTIFIKAT BerAKHLAK")</f>
        <v>3864_OLLA KESUMA TRIANA,S.H _ SERTIFIKAT BerAKHLAK</v>
      </c>
      <c r="P3865" s="5" t="s">
        <v>26138</v>
      </c>
    </row>
    <row r="3866">
      <c r="A3866" s="4">
        <v>45534.347978854166</v>
      </c>
      <c r="B3866" s="5" t="s">
        <v>34</v>
      </c>
      <c r="D3866" s="5" t="s">
        <v>522</v>
      </c>
      <c r="E3866" s="5" t="s">
        <v>26154</v>
      </c>
      <c r="F3866" s="5" t="s">
        <v>212</v>
      </c>
      <c r="G3866" s="5" t="s">
        <v>26155</v>
      </c>
      <c r="H3866" s="6" t="s">
        <v>26156</v>
      </c>
      <c r="K3866" s="5" t="s">
        <v>26157</v>
      </c>
      <c r="M3866" s="5" t="s">
        <v>26158</v>
      </c>
      <c r="N3866" s="7" t="s">
        <v>26159</v>
      </c>
      <c r="O3866" s="8" t="str">
        <f>HYPERLINK("https://drive.google.com/file/d/1wdJlZUQflHvXFr-ptub7-h3HoASiO2s7/view?usp=drivesdk","3865_SABRII _ SERTIFIKAT BerAKHLAK")</f>
        <v>3865_SABRII _ SERTIFIKAT BerAKHLAK</v>
      </c>
      <c r="P3866" s="5" t="s">
        <v>26138</v>
      </c>
    </row>
    <row r="3867">
      <c r="A3867" s="4">
        <v>45534.34797928241</v>
      </c>
      <c r="B3867" s="5" t="s">
        <v>34</v>
      </c>
      <c r="D3867" s="5" t="s">
        <v>4775</v>
      </c>
      <c r="E3867" s="5" t="s">
        <v>26160</v>
      </c>
      <c r="F3867" s="5" t="s">
        <v>37</v>
      </c>
      <c r="G3867" s="5" t="s">
        <v>26161</v>
      </c>
      <c r="H3867" s="6" t="s">
        <v>26162</v>
      </c>
      <c r="K3867" s="5" t="s">
        <v>26163</v>
      </c>
      <c r="M3867" s="5" t="s">
        <v>26164</v>
      </c>
      <c r="N3867" s="7" t="s">
        <v>26165</v>
      </c>
      <c r="O3867" s="8" t="str">
        <f>HYPERLINK("https://drive.google.com/file/d/1yJQUxU3ba8Vybiy5bvCdiONSLugC6Dj_/view?usp=drivesdk","3866_MEITAKA HUDA _ SERTIFIKAT BerAKHLAK")</f>
        <v>3866_MEITAKA HUDA _ SERTIFIKAT BerAKHLAK</v>
      </c>
      <c r="P3867" s="5" t="s">
        <v>26166</v>
      </c>
    </row>
    <row r="3868">
      <c r="A3868" s="4">
        <v>45534.34798060185</v>
      </c>
      <c r="B3868" s="5" t="s">
        <v>34</v>
      </c>
      <c r="D3868" s="5" t="s">
        <v>9020</v>
      </c>
      <c r="E3868" s="5" t="s">
        <v>26167</v>
      </c>
      <c r="F3868" s="5" t="s">
        <v>72</v>
      </c>
      <c r="G3868" s="5" t="s">
        <v>26168</v>
      </c>
      <c r="H3868" s="6" t="s">
        <v>26169</v>
      </c>
      <c r="K3868" s="5" t="s">
        <v>26163</v>
      </c>
      <c r="M3868" s="5" t="s">
        <v>26170</v>
      </c>
      <c r="N3868" s="7" t="s">
        <v>26171</v>
      </c>
      <c r="O3868" s="8" t="str">
        <f>HYPERLINK("https://drive.google.com/file/d/1ylkda39GeQ5KlNJb1kskiLJj8LdI6Gcc/view?usp=drivesdk","3867_NURAINUN NASUTION AMKep  _ SERTIFIKAT BerAKHLAK")</f>
        <v>3867_NURAINUN NASUTION AMKep  _ SERTIFIKAT BerAKHLAK</v>
      </c>
      <c r="P3868" s="5" t="s">
        <v>26166</v>
      </c>
    </row>
    <row r="3869">
      <c r="A3869" s="4">
        <v>45534.34798407408</v>
      </c>
      <c r="B3869" s="5" t="s">
        <v>34</v>
      </c>
      <c r="D3869" s="5" t="s">
        <v>1206</v>
      </c>
      <c r="E3869" s="5" t="s">
        <v>26172</v>
      </c>
      <c r="F3869" s="5" t="s">
        <v>37</v>
      </c>
      <c r="G3869" s="5" t="s">
        <v>26173</v>
      </c>
      <c r="H3869" s="6" t="s">
        <v>26174</v>
      </c>
      <c r="K3869" s="5" t="s">
        <v>26163</v>
      </c>
      <c r="M3869" s="5" t="s">
        <v>26175</v>
      </c>
      <c r="N3869" s="7" t="s">
        <v>26176</v>
      </c>
      <c r="O3869" s="8" t="str">
        <f>HYPERLINK("https://drive.google.com/file/d/1VrXV34773P7kYkZU2mNASvgEoucv0RW3/view?usp=drivesdk","3868_MOCHAMMAD SODIQ _ SERTIFIKAT BerAKHLAK")</f>
        <v>3868_MOCHAMMAD SODIQ _ SERTIFIKAT BerAKHLAK</v>
      </c>
      <c r="P3869" s="5" t="s">
        <v>26166</v>
      </c>
    </row>
    <row r="3870">
      <c r="A3870" s="4">
        <v>45534.34798525463</v>
      </c>
      <c r="B3870" s="5" t="s">
        <v>34</v>
      </c>
      <c r="D3870" s="5" t="s">
        <v>280</v>
      </c>
      <c r="E3870" s="5" t="s">
        <v>16105</v>
      </c>
      <c r="F3870" s="5" t="s">
        <v>375</v>
      </c>
      <c r="G3870" s="5" t="s">
        <v>26177</v>
      </c>
      <c r="H3870" s="6" t="s">
        <v>26178</v>
      </c>
      <c r="K3870" s="5" t="s">
        <v>26163</v>
      </c>
      <c r="M3870" s="5" t="s">
        <v>26179</v>
      </c>
      <c r="N3870" s="7" t="s">
        <v>26180</v>
      </c>
      <c r="O3870" s="8" t="str">
        <f>HYPERLINK("https://drive.google.com/file/d/1aMNGWZ1zc9i4tPIcA4ZPgn5DLlAAGqYx/view?usp=drivesdk","3869_MELLY RUSWIDA _ SERTIFIKAT BerAKHLAK")</f>
        <v>3869_MELLY RUSWIDA _ SERTIFIKAT BerAKHLAK</v>
      </c>
      <c r="P3870" s="5" t="s">
        <v>26166</v>
      </c>
    </row>
    <row r="3871">
      <c r="A3871" s="4">
        <v>45534.347986134264</v>
      </c>
      <c r="B3871" s="5" t="s">
        <v>34</v>
      </c>
      <c r="D3871" s="5" t="s">
        <v>2903</v>
      </c>
      <c r="E3871" s="5" t="s">
        <v>26181</v>
      </c>
      <c r="F3871" s="5" t="s">
        <v>37</v>
      </c>
      <c r="G3871" s="5" t="s">
        <v>26182</v>
      </c>
      <c r="H3871" s="6" t="s">
        <v>26183</v>
      </c>
      <c r="K3871" s="5" t="s">
        <v>26163</v>
      </c>
      <c r="M3871" s="5" t="s">
        <v>26184</v>
      </c>
      <c r="N3871" s="7" t="s">
        <v>26185</v>
      </c>
      <c r="O3871" s="8" t="str">
        <f>HYPERLINK("https://drive.google.com/file/d/13893IG4MKa7oDMMgyONjjTldcvQrSGMg/view?usp=drivesdk","3870_ANUGRAH WATI FAHLEZI, A.Md.Kep _ SERTIFIKAT BerAKHLAK")</f>
        <v>3870_ANUGRAH WATI FAHLEZI, A.Md.Kep _ SERTIFIKAT BerAKHLAK</v>
      </c>
      <c r="P3871" s="5" t="s">
        <v>26186</v>
      </c>
    </row>
    <row r="3872" hidden="1">
      <c r="A3872" s="4">
        <v>45534.34799351852</v>
      </c>
      <c r="B3872" s="5" t="s">
        <v>19</v>
      </c>
      <c r="C3872" s="5" t="s">
        <v>26187</v>
      </c>
      <c r="E3872" s="5" t="s">
        <v>26188</v>
      </c>
      <c r="F3872" s="5" t="s">
        <v>120</v>
      </c>
      <c r="G3872" s="5" t="s">
        <v>26189</v>
      </c>
      <c r="H3872" s="6" t="s">
        <v>26190</v>
      </c>
      <c r="K3872" s="5" t="s">
        <v>26163</v>
      </c>
      <c r="M3872" s="5" t="s">
        <v>26191</v>
      </c>
      <c r="N3872" s="7" t="s">
        <v>26192</v>
      </c>
      <c r="O3872" s="8" t="str">
        <f>HYPERLINK("https://drive.google.com/file/d/1LbN2vm_weZpXro5tdGgYKNe97scLut_g/view?usp=drivesdk","3871_PRABOWO SYUNI  _ SERTIFIKAT BerAKHLAK")</f>
        <v>3871_PRABOWO SYUNI  _ SERTIFIKAT BerAKHLAK</v>
      </c>
      <c r="P3872" s="5" t="s">
        <v>26186</v>
      </c>
    </row>
    <row r="3873">
      <c r="A3873" s="4">
        <v>45534.34801645833</v>
      </c>
      <c r="B3873" s="5" t="s">
        <v>34</v>
      </c>
      <c r="D3873" s="5" t="s">
        <v>9394</v>
      </c>
      <c r="E3873" s="5" t="s">
        <v>26193</v>
      </c>
      <c r="F3873" s="5" t="s">
        <v>37</v>
      </c>
      <c r="G3873" s="5" t="s">
        <v>26194</v>
      </c>
      <c r="H3873" s="6" t="s">
        <v>26195</v>
      </c>
      <c r="K3873" s="5" t="s">
        <v>26163</v>
      </c>
      <c r="M3873" s="5" t="s">
        <v>26196</v>
      </c>
      <c r="N3873" s="7" t="s">
        <v>26197</v>
      </c>
      <c r="O3873" s="8" t="str">
        <f>HYPERLINK("https://drive.google.com/file/d/16xaUws9pC2QVpOJGz1wI1NvRuNrOE6tG/view?usp=drivesdk","3872_WIDIYA WATI  _ SERTIFIKAT BerAKHLAK")</f>
        <v>3872_WIDIYA WATI  _ SERTIFIKAT BerAKHLAK</v>
      </c>
      <c r="P3873" s="5" t="s">
        <v>26186</v>
      </c>
    </row>
    <row r="3874">
      <c r="A3874" s="4">
        <v>45534.348027824075</v>
      </c>
      <c r="B3874" s="5" t="s">
        <v>34</v>
      </c>
      <c r="D3874" s="5" t="s">
        <v>9020</v>
      </c>
      <c r="E3874" s="5" t="s">
        <v>26198</v>
      </c>
      <c r="F3874" s="5" t="s">
        <v>37</v>
      </c>
      <c r="G3874" s="5" t="s">
        <v>26199</v>
      </c>
      <c r="H3874" s="6" t="s">
        <v>26200</v>
      </c>
      <c r="K3874" s="5" t="s">
        <v>26163</v>
      </c>
      <c r="M3874" s="5" t="s">
        <v>26201</v>
      </c>
      <c r="N3874" s="7" t="s">
        <v>26202</v>
      </c>
      <c r="O3874" s="8" t="str">
        <f>HYPERLINK("https://drive.google.com/file/d/1K6EfMkEJKYQ7dD85g4F0zziU_Xzu7a43/view?usp=drivesdk","3873_AINA SARI _ SERTIFIKAT BerAKHLAK")</f>
        <v>3873_AINA SARI _ SERTIFIKAT BerAKHLAK</v>
      </c>
      <c r="P3874" s="5" t="s">
        <v>26186</v>
      </c>
    </row>
    <row r="3875">
      <c r="A3875" s="4">
        <v>45534.34802709491</v>
      </c>
      <c r="B3875" s="5" t="s">
        <v>34</v>
      </c>
      <c r="D3875" s="5" t="s">
        <v>1206</v>
      </c>
      <c r="E3875" s="5" t="s">
        <v>26203</v>
      </c>
      <c r="F3875" s="5" t="s">
        <v>212</v>
      </c>
      <c r="G3875" s="5" t="s">
        <v>26204</v>
      </c>
      <c r="H3875" s="6" t="s">
        <v>26205</v>
      </c>
      <c r="K3875" s="5" t="s">
        <v>26163</v>
      </c>
      <c r="M3875" s="5" t="s">
        <v>26206</v>
      </c>
      <c r="N3875" s="7" t="s">
        <v>26207</v>
      </c>
      <c r="O3875" s="8" t="str">
        <f>HYPERLINK("https://drive.google.com/file/d/1C5jkfzOEDUK-poext3wqGZeGc5YRm-2B/view?usp=drivesdk","3874_TAUFIK HIDAYAT _ SERTIFIKAT BerAKHLAK")</f>
        <v>3874_TAUFIK HIDAYAT _ SERTIFIKAT BerAKHLAK</v>
      </c>
      <c r="P3875" s="5" t="s">
        <v>26208</v>
      </c>
    </row>
    <row r="3876">
      <c r="A3876" s="4">
        <v>45534.34803310185</v>
      </c>
      <c r="B3876" s="5" t="s">
        <v>34</v>
      </c>
      <c r="D3876" s="5" t="s">
        <v>4775</v>
      </c>
      <c r="E3876" s="5" t="s">
        <v>26209</v>
      </c>
      <c r="F3876" s="5" t="s">
        <v>212</v>
      </c>
      <c r="G3876" s="5" t="s">
        <v>26210</v>
      </c>
      <c r="H3876" s="6" t="s">
        <v>26211</v>
      </c>
      <c r="K3876" s="5" t="s">
        <v>26163</v>
      </c>
      <c r="M3876" s="5" t="s">
        <v>26212</v>
      </c>
      <c r="N3876" s="7" t="s">
        <v>26213</v>
      </c>
      <c r="O3876" s="8" t="str">
        <f>HYPERLINK("https://drive.google.com/file/d/1YZNtHQpebJNFrYyBDEbt03w3SO3mRQ3E/view?usp=drivesdk","3875_SUSILOWATI _ SERTIFIKAT BerAKHLAK")</f>
        <v>3875_SUSILOWATI _ SERTIFIKAT BerAKHLAK</v>
      </c>
      <c r="P3876" s="5" t="s">
        <v>26208</v>
      </c>
    </row>
    <row r="3877">
      <c r="A3877" s="4">
        <v>45534.34803783565</v>
      </c>
      <c r="B3877" s="5" t="s">
        <v>34</v>
      </c>
      <c r="D3877" s="5" t="s">
        <v>1206</v>
      </c>
      <c r="E3877" s="5" t="s">
        <v>26214</v>
      </c>
      <c r="F3877" s="5" t="s">
        <v>212</v>
      </c>
      <c r="G3877" s="5" t="s">
        <v>26215</v>
      </c>
      <c r="H3877" s="6" t="s">
        <v>26216</v>
      </c>
      <c r="K3877" s="5" t="s">
        <v>26163</v>
      </c>
      <c r="M3877" s="5" t="s">
        <v>26217</v>
      </c>
      <c r="N3877" s="7" t="s">
        <v>26218</v>
      </c>
      <c r="O3877" s="8" t="str">
        <f>HYPERLINK("https://drive.google.com/file/d/1MI9vSaxUZPzixi27Su3AfJSK-fiixCeC/view?usp=drivesdk","3876_JUPRIYANTO _ SERTIFIKAT BerAKHLAK")</f>
        <v>3876_JUPRIYANTO _ SERTIFIKAT BerAKHLAK</v>
      </c>
      <c r="P3877" s="5" t="s">
        <v>26208</v>
      </c>
    </row>
    <row r="3878">
      <c r="A3878" s="4">
        <v>45534.348041377314</v>
      </c>
      <c r="B3878" s="5" t="s">
        <v>34</v>
      </c>
      <c r="D3878" s="5" t="s">
        <v>1206</v>
      </c>
      <c r="E3878" s="5" t="s">
        <v>26219</v>
      </c>
      <c r="F3878" s="5" t="s">
        <v>72</v>
      </c>
      <c r="G3878" s="5" t="s">
        <v>26220</v>
      </c>
      <c r="H3878" s="6" t="s">
        <v>26221</v>
      </c>
      <c r="K3878" s="5" t="s">
        <v>26163</v>
      </c>
      <c r="M3878" s="5" t="s">
        <v>26222</v>
      </c>
      <c r="N3878" s="7" t="s">
        <v>26223</v>
      </c>
      <c r="O3878" s="8" t="str">
        <f>HYPERLINK("https://drive.google.com/file/d/1kyIMqCdzk66hnB5O6FgbzsymP6hpRCog/view?usp=drivesdk","3877_EKA MARIANAWATI,S.Kep.Ns _ SERTIFIKAT BerAKHLAK")</f>
        <v>3877_EKA MARIANAWATI,S.Kep.Ns _ SERTIFIKAT BerAKHLAK</v>
      </c>
      <c r="P3878" s="5" t="s">
        <v>26208</v>
      </c>
    </row>
    <row r="3879">
      <c r="A3879" s="4">
        <v>45534.34804165509</v>
      </c>
      <c r="B3879" s="5" t="s">
        <v>34</v>
      </c>
      <c r="D3879" s="5" t="s">
        <v>35</v>
      </c>
      <c r="E3879" s="5" t="s">
        <v>26224</v>
      </c>
      <c r="F3879" s="5" t="s">
        <v>108</v>
      </c>
      <c r="G3879" s="5" t="s">
        <v>26225</v>
      </c>
      <c r="H3879" s="6" t="s">
        <v>26226</v>
      </c>
      <c r="K3879" s="5" t="s">
        <v>26163</v>
      </c>
      <c r="M3879" s="5" t="s">
        <v>26227</v>
      </c>
      <c r="N3879" s="7" t="s">
        <v>26228</v>
      </c>
      <c r="O3879" s="8" t="str">
        <f>HYPERLINK("https://drive.google.com/file/d/1x-5ZZA8JH-SYzVdGElP5N9e1FHk46fio/view?usp=drivesdk","3878_Indra Setia N, S.Akun. _ SERTIFIKAT BerAKHLAK")</f>
        <v>3878_Indra Setia N, S.Akun. _ SERTIFIKAT BerAKHLAK</v>
      </c>
      <c r="P3879" s="5" t="s">
        <v>26229</v>
      </c>
    </row>
    <row r="3880">
      <c r="A3880" s="4">
        <v>45534.34805119213</v>
      </c>
      <c r="B3880" s="5" t="s">
        <v>34</v>
      </c>
      <c r="D3880" s="5" t="s">
        <v>1206</v>
      </c>
      <c r="E3880" s="5" t="s">
        <v>26230</v>
      </c>
      <c r="F3880" s="5" t="s">
        <v>37</v>
      </c>
      <c r="G3880" s="5" t="s">
        <v>26231</v>
      </c>
      <c r="H3880" s="6" t="s">
        <v>26232</v>
      </c>
      <c r="K3880" s="5" t="s">
        <v>26163</v>
      </c>
      <c r="M3880" s="5" t="s">
        <v>26233</v>
      </c>
      <c r="N3880" s="7" t="s">
        <v>26234</v>
      </c>
      <c r="O3880" s="8" t="str">
        <f>HYPERLINK("https://drive.google.com/file/d/1U1Jc_tij1JOepYeETHCwpjqP9E8_W_HX/view?usp=drivesdk","3879_WINDI WAHYUNING PRAMESTI, S.Tr.Kes. _ SERTIFIKAT BerAKHLAK")</f>
        <v>3879_WINDI WAHYUNING PRAMESTI, S.Tr.Kes. _ SERTIFIKAT BerAKHLAK</v>
      </c>
      <c r="P3880" s="5" t="s">
        <v>26229</v>
      </c>
    </row>
    <row r="3881">
      <c r="A3881" s="4">
        <v>45534.34805327546</v>
      </c>
      <c r="B3881" s="5" t="s">
        <v>34</v>
      </c>
      <c r="D3881" s="5" t="s">
        <v>35</v>
      </c>
      <c r="E3881" s="5" t="s">
        <v>26235</v>
      </c>
      <c r="F3881" s="5" t="s">
        <v>375</v>
      </c>
      <c r="G3881" s="5" t="s">
        <v>26236</v>
      </c>
      <c r="H3881" s="6" t="s">
        <v>26237</v>
      </c>
      <c r="K3881" s="5" t="s">
        <v>26163</v>
      </c>
      <c r="M3881" s="5" t="s">
        <v>26238</v>
      </c>
      <c r="N3881" s="7" t="s">
        <v>26239</v>
      </c>
      <c r="O3881" s="8" t="str">
        <f>HYPERLINK("https://drive.google.com/file/d/1EMNizESBj37Yyb5jhcqQVQnV7_UlydZ2/view?usp=drivesdk","3880_ADE KUSDINAR _ SERTIFIKAT BerAKHLAK")</f>
        <v>3880_ADE KUSDINAR _ SERTIFIKAT BerAKHLAK</v>
      </c>
      <c r="P3881" s="5" t="s">
        <v>26229</v>
      </c>
    </row>
    <row r="3882">
      <c r="A3882" s="4">
        <v>45534.34805399306</v>
      </c>
      <c r="B3882" s="5" t="s">
        <v>34</v>
      </c>
      <c r="D3882" s="5" t="s">
        <v>1206</v>
      </c>
      <c r="E3882" s="5" t="s">
        <v>26240</v>
      </c>
      <c r="F3882" s="5" t="s">
        <v>37</v>
      </c>
      <c r="G3882" s="5" t="s">
        <v>26241</v>
      </c>
      <c r="H3882" s="6" t="s">
        <v>26242</v>
      </c>
      <c r="K3882" s="5" t="s">
        <v>26163</v>
      </c>
      <c r="M3882" s="5" t="s">
        <v>26243</v>
      </c>
      <c r="N3882" s="7" t="s">
        <v>26244</v>
      </c>
      <c r="O3882" s="8" t="str">
        <f>HYPERLINK("https://drive.google.com/file/d/1r0h1pr8lVaB0E5XMzatb7slxTvAzSl5Z/view?usp=drivesdk","3881_ANIK SUSANTI _ SERTIFIKAT BerAKHLAK")</f>
        <v>3881_ANIK SUSANTI _ SERTIFIKAT BerAKHLAK</v>
      </c>
      <c r="P3882" s="5" t="s">
        <v>26229</v>
      </c>
    </row>
    <row r="3883">
      <c r="A3883" s="4">
        <v>45534.34805756944</v>
      </c>
      <c r="B3883" s="5" t="s">
        <v>34</v>
      </c>
      <c r="D3883" s="5" t="s">
        <v>1206</v>
      </c>
      <c r="E3883" s="5" t="s">
        <v>26245</v>
      </c>
      <c r="F3883" s="5" t="s">
        <v>37</v>
      </c>
      <c r="G3883" s="5" t="s">
        <v>26246</v>
      </c>
      <c r="H3883" s="6" t="s">
        <v>26247</v>
      </c>
      <c r="K3883" s="5" t="s">
        <v>26163</v>
      </c>
      <c r="M3883" s="5" t="s">
        <v>26248</v>
      </c>
      <c r="N3883" s="7" t="s">
        <v>26249</v>
      </c>
      <c r="O3883" s="8" t="str">
        <f>HYPERLINK("https://drive.google.com/file/d/1k2mPWzsbUg1wPvY04GtgC12TDDwhiv7N/view?usp=drivesdk","3882_TRISNAWATI _ SERTIFIKAT BerAKHLAK")</f>
        <v>3882_TRISNAWATI _ SERTIFIKAT BerAKHLAK</v>
      </c>
      <c r="P3883" s="5" t="s">
        <v>26229</v>
      </c>
    </row>
    <row r="3884">
      <c r="A3884" s="4">
        <v>45534.34807707176</v>
      </c>
      <c r="B3884" s="5" t="s">
        <v>34</v>
      </c>
      <c r="D3884" s="5" t="s">
        <v>1206</v>
      </c>
      <c r="E3884" s="5" t="s">
        <v>26250</v>
      </c>
      <c r="F3884" s="5" t="s">
        <v>212</v>
      </c>
      <c r="G3884" s="5" t="s">
        <v>26251</v>
      </c>
      <c r="H3884" s="6" t="s">
        <v>26252</v>
      </c>
      <c r="K3884" s="5" t="s">
        <v>26163</v>
      </c>
      <c r="M3884" s="5" t="s">
        <v>26253</v>
      </c>
      <c r="N3884" s="7" t="s">
        <v>26254</v>
      </c>
      <c r="O3884" s="8" t="str">
        <f>HYPERLINK("https://drive.google.com/file/d/1TnOmYci0TT1_x3Eh7WJKzVb7-c02ZZ0u/view?usp=drivesdk","3883_AHMAD AINUR ROFIQ _ SERTIFIKAT BerAKHLAK")</f>
        <v>3883_AHMAD AINUR ROFIQ _ SERTIFIKAT BerAKHLAK</v>
      </c>
      <c r="P3884" s="5" t="s">
        <v>26255</v>
      </c>
    </row>
    <row r="3885">
      <c r="A3885" s="4">
        <v>45534.348077511575</v>
      </c>
      <c r="B3885" s="5" t="s">
        <v>34</v>
      </c>
      <c r="D3885" s="5" t="s">
        <v>6232</v>
      </c>
      <c r="E3885" s="5" t="s">
        <v>26256</v>
      </c>
      <c r="F3885" s="5" t="s">
        <v>108</v>
      </c>
      <c r="G3885" s="5" t="s">
        <v>26257</v>
      </c>
      <c r="H3885" s="6" t="s">
        <v>26258</v>
      </c>
      <c r="K3885" s="5" t="s">
        <v>26163</v>
      </c>
      <c r="M3885" s="5" t="s">
        <v>26259</v>
      </c>
      <c r="N3885" s="7" t="s">
        <v>26260</v>
      </c>
      <c r="O3885" s="8" t="str">
        <f>HYPERLINK("https://drive.google.com/file/d/12IbEOMDBkLOrBJNIJStOBF7Pqgdf3YvY/view?usp=drivesdk","3884_ERI MUSPIDRA  _ SERTIFIKAT BerAKHLAK")</f>
        <v>3884_ERI MUSPIDRA  _ SERTIFIKAT BerAKHLAK</v>
      </c>
      <c r="P3885" s="5" t="s">
        <v>26255</v>
      </c>
    </row>
    <row r="3886">
      <c r="A3886" s="4">
        <v>45534.34809078704</v>
      </c>
      <c r="B3886" s="5" t="s">
        <v>34</v>
      </c>
      <c r="D3886" s="5" t="s">
        <v>1206</v>
      </c>
      <c r="E3886" s="5" t="s">
        <v>26261</v>
      </c>
      <c r="F3886" s="5" t="s">
        <v>37</v>
      </c>
      <c r="G3886" s="5" t="s">
        <v>26262</v>
      </c>
      <c r="H3886" s="6" t="s">
        <v>26263</v>
      </c>
      <c r="K3886" s="5" t="s">
        <v>26163</v>
      </c>
      <c r="M3886" s="5" t="s">
        <v>26264</v>
      </c>
      <c r="N3886" s="7" t="s">
        <v>26265</v>
      </c>
      <c r="O3886" s="8" t="str">
        <f>HYPERLINK("https://drive.google.com/file/d/1LO8axxCl90Y_Gv9IdBnxO103sY31Jv6P/view?usp=drivesdk","3885_SUNARKO _ SERTIFIKAT BerAKHLAK")</f>
        <v>3885_SUNARKO _ SERTIFIKAT BerAKHLAK</v>
      </c>
      <c r="P3886" s="5" t="s">
        <v>26255</v>
      </c>
    </row>
    <row r="3887">
      <c r="A3887" s="4">
        <v>45534.34809290509</v>
      </c>
      <c r="B3887" s="5" t="s">
        <v>34</v>
      </c>
      <c r="D3887" s="5" t="s">
        <v>267</v>
      </c>
      <c r="E3887" s="5" t="s">
        <v>26266</v>
      </c>
      <c r="F3887" s="5" t="s">
        <v>72</v>
      </c>
      <c r="G3887" s="5" t="s">
        <v>26267</v>
      </c>
      <c r="H3887" s="6" t="s">
        <v>26268</v>
      </c>
      <c r="K3887" s="5" t="s">
        <v>26163</v>
      </c>
      <c r="M3887" s="5" t="s">
        <v>26269</v>
      </c>
      <c r="N3887" s="7" t="s">
        <v>26270</v>
      </c>
      <c r="O3887" s="8" t="str">
        <f>HYPERLINK("https://drive.google.com/file/d/1m_SH0C46Ek9FatDwzk9ZefgHadbpGGwz/view?usp=drivesdk","3886_HERI LISTIYONO, A.Md _ SERTIFIKAT BerAKHLAK")</f>
        <v>3886_HERI LISTIYONO, A.Md _ SERTIFIKAT BerAKHLAK</v>
      </c>
      <c r="P3887" s="5" t="s">
        <v>26255</v>
      </c>
    </row>
    <row r="3888">
      <c r="A3888" s="4">
        <v>45534.348094155095</v>
      </c>
      <c r="B3888" s="5" t="s">
        <v>34</v>
      </c>
      <c r="D3888" s="5" t="s">
        <v>14424</v>
      </c>
      <c r="E3888" s="5" t="s">
        <v>26271</v>
      </c>
      <c r="F3888" s="5" t="s">
        <v>72</v>
      </c>
      <c r="G3888" s="5" t="s">
        <v>26272</v>
      </c>
      <c r="H3888" s="6" t="s">
        <v>26273</v>
      </c>
      <c r="K3888" s="5" t="s">
        <v>26163</v>
      </c>
      <c r="M3888" s="5" t="s">
        <v>26274</v>
      </c>
      <c r="N3888" s="7" t="s">
        <v>26275</v>
      </c>
      <c r="O3888" s="8" t="str">
        <f>HYPERLINK("https://drive.google.com/file/d/1BwntA5Q8kRx-4n0QrCLezs-R4Joy_UML/view?usp=drivesdk","3887_CANDRA AGUSDI, S.Si _ SERTIFIKAT BerAKHLAK")</f>
        <v>3887_CANDRA AGUSDI, S.Si _ SERTIFIKAT BerAKHLAK</v>
      </c>
      <c r="P3888" s="5" t="s">
        <v>26255</v>
      </c>
    </row>
    <row r="3889">
      <c r="A3889" s="4">
        <v>45534.3480963426</v>
      </c>
      <c r="B3889" s="5" t="s">
        <v>34</v>
      </c>
      <c r="D3889" s="5" t="s">
        <v>580</v>
      </c>
      <c r="E3889" s="5" t="s">
        <v>26276</v>
      </c>
      <c r="F3889" s="5" t="s">
        <v>72</v>
      </c>
      <c r="G3889" s="5" t="s">
        <v>26277</v>
      </c>
      <c r="H3889" s="6" t="s">
        <v>26278</v>
      </c>
      <c r="K3889" s="5" t="s">
        <v>26163</v>
      </c>
      <c r="M3889" s="5" t="s">
        <v>26279</v>
      </c>
      <c r="N3889" s="7" t="s">
        <v>26280</v>
      </c>
      <c r="O3889" s="8" t="str">
        <f>HYPERLINK("https://drive.google.com/file/d/1GCxoSojOuUn9wlguLXtPSi-fU6ukyN1l/view?usp=drivesdk","3888_NI LUH SRI PUTARI _ SERTIFIKAT BerAKHLAK")</f>
        <v>3888_NI LUH SRI PUTARI _ SERTIFIKAT BerAKHLAK</v>
      </c>
      <c r="P3889" s="5" t="s">
        <v>26281</v>
      </c>
    </row>
    <row r="3890">
      <c r="A3890" s="4">
        <v>45534.34809840278</v>
      </c>
      <c r="B3890" s="5" t="s">
        <v>34</v>
      </c>
      <c r="D3890" s="5" t="s">
        <v>1206</v>
      </c>
      <c r="E3890" s="5" t="s">
        <v>26282</v>
      </c>
      <c r="F3890" s="5" t="s">
        <v>375</v>
      </c>
      <c r="G3890" s="5" t="s">
        <v>26283</v>
      </c>
      <c r="H3890" s="6" t="s">
        <v>26284</v>
      </c>
      <c r="K3890" s="5" t="s">
        <v>26163</v>
      </c>
      <c r="M3890" s="5" t="s">
        <v>26285</v>
      </c>
      <c r="N3890" s="7" t="s">
        <v>26286</v>
      </c>
      <c r="O3890" s="8" t="str">
        <f>HYPERLINK("https://drive.google.com/file/d/16N-yEjJKIGxjmmdIl-uX60DpnlPkJS8s/view?usp=drivesdk","3889_HENI DURITA, SH _ SERTIFIKAT BerAKHLAK")</f>
        <v>3889_HENI DURITA, SH _ SERTIFIKAT BerAKHLAK</v>
      </c>
      <c r="P3890" s="5" t="s">
        <v>26281</v>
      </c>
    </row>
    <row r="3891">
      <c r="A3891" s="4">
        <v>45534.34811334491</v>
      </c>
      <c r="B3891" s="5" t="s">
        <v>34</v>
      </c>
      <c r="D3891" s="5" t="s">
        <v>1206</v>
      </c>
      <c r="E3891" s="5" t="s">
        <v>26287</v>
      </c>
      <c r="F3891" s="5" t="s">
        <v>212</v>
      </c>
      <c r="G3891" s="5" t="s">
        <v>26288</v>
      </c>
      <c r="H3891" s="6" t="s">
        <v>26289</v>
      </c>
      <c r="K3891" s="5" t="s">
        <v>26290</v>
      </c>
      <c r="M3891" s="5" t="s">
        <v>26291</v>
      </c>
      <c r="N3891" s="7" t="s">
        <v>26292</v>
      </c>
      <c r="O3891" s="8" t="str">
        <f>HYPERLINK("https://drive.google.com/file/d/10LFuolF3JMBsIdphA5XIIhAUYpHcb-e6/view?usp=drivesdk","3890_NORA YUANITA  _ SERTIFIKAT BerAKHLAK")</f>
        <v>3890_NORA YUANITA  _ SERTIFIKAT BerAKHLAK</v>
      </c>
      <c r="P3891" s="5" t="s">
        <v>26281</v>
      </c>
    </row>
    <row r="3892">
      <c r="A3892" s="4">
        <v>45534.34811766204</v>
      </c>
      <c r="B3892" s="5" t="s">
        <v>34</v>
      </c>
      <c r="D3892" s="5" t="s">
        <v>7858</v>
      </c>
      <c r="E3892" s="5" t="s">
        <v>26293</v>
      </c>
      <c r="F3892" s="5" t="s">
        <v>212</v>
      </c>
      <c r="G3892" s="5" t="s">
        <v>26294</v>
      </c>
      <c r="H3892" s="6" t="s">
        <v>26295</v>
      </c>
      <c r="K3892" s="5" t="s">
        <v>26290</v>
      </c>
      <c r="M3892" s="5" t="s">
        <v>26296</v>
      </c>
      <c r="N3892" s="7" t="s">
        <v>26297</v>
      </c>
      <c r="O3892" s="8" t="str">
        <f>HYPERLINK("https://drive.google.com/file/d/16eaZ3RNgp_YMxdG7F715_boRXHitoYRj/view?usp=drivesdk","3891_ANIS KURLIYAH _ SERTIFIKAT BerAKHLAK")</f>
        <v>3891_ANIS KURLIYAH _ SERTIFIKAT BerAKHLAK</v>
      </c>
      <c r="P3892" s="5" t="s">
        <v>26281</v>
      </c>
    </row>
    <row r="3893">
      <c r="A3893" s="4">
        <v>45534.34812012731</v>
      </c>
      <c r="B3893" s="5" t="s">
        <v>34</v>
      </c>
      <c r="D3893" s="5" t="s">
        <v>1206</v>
      </c>
      <c r="E3893" s="5" t="s">
        <v>26298</v>
      </c>
      <c r="F3893" s="5" t="s">
        <v>37</v>
      </c>
      <c r="G3893" s="5" t="s">
        <v>26299</v>
      </c>
      <c r="H3893" s="6" t="s">
        <v>26300</v>
      </c>
      <c r="K3893" s="5" t="s">
        <v>26301</v>
      </c>
      <c r="M3893" s="5" t="s">
        <v>26302</v>
      </c>
      <c r="N3893" s="7" t="s">
        <v>26303</v>
      </c>
      <c r="O3893" s="8" t="str">
        <f>HYPERLINK("https://drive.google.com/file/d/1dum6L9rea6cdTZTil9vjWNIA1oPwl45G/view?usp=drivesdk","3892_BAMBANG GIANTORO, S.Pd. _ SERTIFIKAT BerAKHLAK")</f>
        <v>3892_BAMBANG GIANTORO, S.Pd. _ SERTIFIKAT BerAKHLAK</v>
      </c>
      <c r="P3893" s="5" t="s">
        <v>26281</v>
      </c>
    </row>
    <row r="3894">
      <c r="A3894" s="4">
        <v>45534.34812541667</v>
      </c>
      <c r="B3894" s="5" t="s">
        <v>34</v>
      </c>
      <c r="D3894" s="5" t="s">
        <v>9020</v>
      </c>
      <c r="E3894" s="5" t="s">
        <v>26304</v>
      </c>
      <c r="F3894" s="5" t="s">
        <v>212</v>
      </c>
      <c r="G3894" s="5" t="s">
        <v>26305</v>
      </c>
      <c r="H3894" s="6" t="s">
        <v>26306</v>
      </c>
      <c r="K3894" s="5" t="s">
        <v>26301</v>
      </c>
      <c r="M3894" s="5" t="s">
        <v>26307</v>
      </c>
      <c r="N3894" s="7" t="s">
        <v>26308</v>
      </c>
      <c r="O3894" s="8" t="str">
        <f>HYPERLINK("https://drive.google.com/file/d/1hJqyuhq5jBOnTSjkuY1K3jU1cnuLL3ET/view?usp=drivesdk","3893_SITI ROHAYA  _ SERTIFIKAT BerAKHLAK")</f>
        <v>3893_SITI ROHAYA  _ SERTIFIKAT BerAKHLAK</v>
      </c>
      <c r="P3894" s="5" t="s">
        <v>26309</v>
      </c>
    </row>
    <row r="3895">
      <c r="A3895" s="4">
        <v>45534.348131597224</v>
      </c>
      <c r="B3895" s="5" t="s">
        <v>34</v>
      </c>
      <c r="D3895" s="5" t="s">
        <v>10444</v>
      </c>
      <c r="E3895" s="5" t="s">
        <v>26310</v>
      </c>
      <c r="F3895" s="5" t="s">
        <v>72</v>
      </c>
      <c r="G3895" s="5" t="s">
        <v>26311</v>
      </c>
      <c r="H3895" s="6" t="s">
        <v>26312</v>
      </c>
      <c r="K3895" s="5" t="s">
        <v>26301</v>
      </c>
      <c r="M3895" s="5" t="s">
        <v>26313</v>
      </c>
      <c r="N3895" s="7" t="s">
        <v>26314</v>
      </c>
      <c r="O3895" s="8" t="str">
        <f>HYPERLINK("https://drive.google.com/file/d/1zbCN4DHxegAMQZ0oJfZE4_Ox7N__0zFp/view?usp=drivesdk","3894_IIS SUHERNI  A.Md. Kep _ SERTIFIKAT BerAKHLAK")</f>
        <v>3894_IIS SUHERNI  A.Md. Kep _ SERTIFIKAT BerAKHLAK</v>
      </c>
      <c r="P3895" s="5" t="s">
        <v>26309</v>
      </c>
    </row>
    <row r="3896">
      <c r="A3896" s="4">
        <v>45534.348134375</v>
      </c>
      <c r="B3896" s="5" t="s">
        <v>34</v>
      </c>
      <c r="D3896" s="5" t="s">
        <v>4775</v>
      </c>
      <c r="E3896" s="5" t="s">
        <v>26315</v>
      </c>
      <c r="F3896" s="5" t="s">
        <v>375</v>
      </c>
      <c r="G3896" s="5" t="s">
        <v>26316</v>
      </c>
      <c r="H3896" s="6" t="s">
        <v>26317</v>
      </c>
      <c r="K3896" s="5" t="s">
        <v>26301</v>
      </c>
      <c r="M3896" s="5" t="s">
        <v>26318</v>
      </c>
      <c r="N3896" s="7" t="s">
        <v>26319</v>
      </c>
      <c r="O3896" s="8" t="str">
        <f>HYPERLINK("https://drive.google.com/file/d/1h5MSdpZm1S6Yo9wTBuDD_cB5qdzWzJCP/view?usp=drivesdk","3895_MOH JONI AGUS S, S.E. _ SERTIFIKAT BerAKHLAK")</f>
        <v>3895_MOH JONI AGUS S, S.E. _ SERTIFIKAT BerAKHLAK</v>
      </c>
      <c r="P3896" s="5" t="s">
        <v>26309</v>
      </c>
    </row>
    <row r="3897">
      <c r="A3897" s="4">
        <v>45534.34814480324</v>
      </c>
      <c r="B3897" s="5" t="s">
        <v>34</v>
      </c>
      <c r="D3897" s="5" t="s">
        <v>1206</v>
      </c>
      <c r="E3897" s="5" t="s">
        <v>26320</v>
      </c>
      <c r="F3897" s="5" t="s">
        <v>212</v>
      </c>
      <c r="G3897" s="5" t="s">
        <v>26321</v>
      </c>
      <c r="H3897" s="6" t="s">
        <v>26322</v>
      </c>
      <c r="K3897" s="5" t="s">
        <v>26301</v>
      </c>
      <c r="M3897" s="5" t="s">
        <v>26323</v>
      </c>
      <c r="N3897" s="7" t="s">
        <v>26324</v>
      </c>
      <c r="O3897" s="8" t="str">
        <f>HYPERLINK("https://drive.google.com/file/d/1RPHJk5dofH3HGd_FLpPJ7QCvt3bgoojj/view?usp=drivesdk","3896_HERLIK YULIATI Amd.kep _ SERTIFIKAT BerAKHLAK")</f>
        <v>3896_HERLIK YULIATI Amd.kep _ SERTIFIKAT BerAKHLAK</v>
      </c>
      <c r="P3897" s="5" t="s">
        <v>26309</v>
      </c>
    </row>
    <row r="3898">
      <c r="A3898" s="4">
        <v>45534.34815259259</v>
      </c>
      <c r="B3898" s="5" t="s">
        <v>34</v>
      </c>
      <c r="D3898" s="5" t="s">
        <v>9394</v>
      </c>
      <c r="E3898" s="5" t="s">
        <v>26325</v>
      </c>
      <c r="F3898" s="5" t="s">
        <v>212</v>
      </c>
      <c r="G3898" s="5" t="s">
        <v>26326</v>
      </c>
      <c r="H3898" s="6" t="s">
        <v>26327</v>
      </c>
      <c r="K3898" s="5" t="s">
        <v>26301</v>
      </c>
      <c r="M3898" s="5" t="s">
        <v>26328</v>
      </c>
      <c r="N3898" s="7" t="s">
        <v>26329</v>
      </c>
      <c r="O3898" s="8" t="str">
        <f>HYPERLINK("https://drive.google.com/file/d/1mZJ3l_MD9sOqtm9YtsBZ8_bQgpwejPYG/view?usp=drivesdk","3897_MENRY SITUMORANG _ SERTIFIKAT BerAKHLAK")</f>
        <v>3897_MENRY SITUMORANG _ SERTIFIKAT BerAKHLAK</v>
      </c>
      <c r="P3898" s="5" t="s">
        <v>26330</v>
      </c>
    </row>
    <row r="3899">
      <c r="A3899" s="4">
        <v>45534.348155960644</v>
      </c>
      <c r="B3899" s="5" t="s">
        <v>34</v>
      </c>
      <c r="D3899" s="5" t="s">
        <v>14424</v>
      </c>
      <c r="E3899" s="5" t="s">
        <v>26331</v>
      </c>
      <c r="F3899" s="5" t="s">
        <v>108</v>
      </c>
      <c r="G3899" s="5" t="s">
        <v>26332</v>
      </c>
      <c r="H3899" s="6" t="s">
        <v>26333</v>
      </c>
      <c r="K3899" s="5" t="s">
        <v>26301</v>
      </c>
      <c r="M3899" s="5" t="s">
        <v>26334</v>
      </c>
      <c r="N3899" s="7" t="s">
        <v>26335</v>
      </c>
      <c r="O3899" s="8" t="str">
        <f>HYPERLINK("https://drive.google.com/file/d/1KsSzvo_D1uZDax-tp5wXFQR3sBljJc4V/view?usp=drivesdk","3898_NGATMIATI _ SERTIFIKAT BerAKHLAK")</f>
        <v>3898_NGATMIATI _ SERTIFIKAT BerAKHLAK</v>
      </c>
      <c r="P3899" s="5" t="s">
        <v>26330</v>
      </c>
    </row>
    <row r="3900">
      <c r="A3900" s="4">
        <v>45534.34816105324</v>
      </c>
      <c r="B3900" s="5" t="s">
        <v>34</v>
      </c>
      <c r="D3900" s="5" t="s">
        <v>6232</v>
      </c>
      <c r="E3900" s="5" t="s">
        <v>26336</v>
      </c>
      <c r="F3900" s="5" t="s">
        <v>108</v>
      </c>
      <c r="G3900" s="5" t="s">
        <v>26337</v>
      </c>
      <c r="H3900" s="6" t="s">
        <v>26338</v>
      </c>
      <c r="K3900" s="5" t="s">
        <v>26301</v>
      </c>
      <c r="M3900" s="5" t="s">
        <v>26339</v>
      </c>
      <c r="N3900" s="7" t="s">
        <v>26340</v>
      </c>
      <c r="O3900" s="8" t="str">
        <f>HYPERLINK("https://drive.google.com/file/d/1f8NdKzET8WDMMr3jF0hJFdkyNPR5ewEQ/view?usp=drivesdk","3899_dr. DYTHA YULIA HANDAYANI  _ SERTIFIKAT BerAKHLAK")</f>
        <v>3899_dr. DYTHA YULIA HANDAYANI  _ SERTIFIKAT BerAKHLAK</v>
      </c>
      <c r="P3900" s="5" t="s">
        <v>26330</v>
      </c>
    </row>
    <row r="3901">
      <c r="A3901" s="4">
        <v>45534.34817513889</v>
      </c>
      <c r="B3901" s="5" t="s">
        <v>34</v>
      </c>
      <c r="D3901" s="5" t="s">
        <v>9020</v>
      </c>
      <c r="E3901" s="5" t="s">
        <v>26341</v>
      </c>
      <c r="F3901" s="5" t="s">
        <v>524</v>
      </c>
      <c r="G3901" s="5" t="s">
        <v>26342</v>
      </c>
      <c r="H3901" s="6" t="s">
        <v>26343</v>
      </c>
      <c r="K3901" s="5" t="s">
        <v>26344</v>
      </c>
      <c r="M3901" s="5" t="s">
        <v>26345</v>
      </c>
      <c r="N3901" s="7" t="s">
        <v>26346</v>
      </c>
      <c r="O3901" s="8" t="str">
        <f>HYPERLINK("https://drive.google.com/file/d/1hzdZC9l2C4u4s3AzbyNdJ5ZwQlGwqIQM/view?usp=drivesdk","3900_NURUL AZNI. S.H _ SERTIFIKAT BerAKHLAK")</f>
        <v>3900_NURUL AZNI. S.H _ SERTIFIKAT BerAKHLAK</v>
      </c>
      <c r="P3901" s="5" t="s">
        <v>26330</v>
      </c>
    </row>
    <row r="3902" hidden="1">
      <c r="A3902" s="4">
        <v>45534.34819259259</v>
      </c>
      <c r="B3902" s="5" t="s">
        <v>19</v>
      </c>
      <c r="C3902" s="5" t="s">
        <v>442</v>
      </c>
      <c r="E3902" s="5" t="s">
        <v>26347</v>
      </c>
      <c r="F3902" s="5" t="s">
        <v>524</v>
      </c>
      <c r="G3902" s="5" t="s">
        <v>26348</v>
      </c>
      <c r="H3902" s="6" t="s">
        <v>26349</v>
      </c>
      <c r="K3902" s="5" t="s">
        <v>26344</v>
      </c>
      <c r="M3902" s="5" t="s">
        <v>26350</v>
      </c>
      <c r="N3902" s="7" t="s">
        <v>26351</v>
      </c>
      <c r="O3902" s="8" t="str">
        <f>HYPERLINK("https://drive.google.com/file/d/1beEqndi6BXE5lMf5UJ2mCmuJh3gNzrjk/view?usp=drivesdk","3901_DUWI ARYANINGSIH, S.H. _ SERTIFIKAT BerAKHLAK")</f>
        <v>3901_DUWI ARYANINGSIH, S.H. _ SERTIFIKAT BerAKHLAK</v>
      </c>
      <c r="P3902" s="5" t="s">
        <v>26330</v>
      </c>
    </row>
    <row r="3903">
      <c r="A3903" s="4">
        <v>45534.34819510416</v>
      </c>
      <c r="B3903" s="5" t="s">
        <v>34</v>
      </c>
      <c r="D3903" s="5" t="s">
        <v>267</v>
      </c>
      <c r="E3903" s="5" t="s">
        <v>15428</v>
      </c>
      <c r="F3903" s="5" t="s">
        <v>72</v>
      </c>
      <c r="G3903" s="5" t="s">
        <v>26352</v>
      </c>
      <c r="H3903" s="6" t="s">
        <v>26353</v>
      </c>
      <c r="K3903" s="5" t="s">
        <v>26344</v>
      </c>
      <c r="M3903" s="5" t="s">
        <v>26354</v>
      </c>
      <c r="N3903" s="7" t="s">
        <v>26355</v>
      </c>
      <c r="O3903" s="8" t="str">
        <f>HYPERLINK("https://drive.google.com/file/d/1yelk3cpjFgAJLuwrq6lIHkqvqpdOgv1z/view?usp=drivesdk","3902_SUTRISNO _ SERTIFIKAT BerAKHLAK")</f>
        <v>3902_SUTRISNO _ SERTIFIKAT BerAKHLAK</v>
      </c>
      <c r="P3903" s="5" t="s">
        <v>26356</v>
      </c>
    </row>
    <row r="3904">
      <c r="A3904" s="4">
        <v>45534.348195625</v>
      </c>
      <c r="B3904" s="5" t="s">
        <v>34</v>
      </c>
      <c r="D3904" s="5" t="s">
        <v>35</v>
      </c>
      <c r="E3904" s="5" t="s">
        <v>26357</v>
      </c>
      <c r="F3904" s="5" t="s">
        <v>328</v>
      </c>
      <c r="G3904" s="5" t="s">
        <v>26358</v>
      </c>
      <c r="H3904" s="6" t="s">
        <v>26359</v>
      </c>
      <c r="K3904" s="5" t="s">
        <v>26344</v>
      </c>
      <c r="M3904" s="5" t="s">
        <v>26360</v>
      </c>
      <c r="N3904" s="7" t="s">
        <v>26361</v>
      </c>
      <c r="O3904" s="8" t="str">
        <f>HYPERLINK("https://drive.google.com/file/d/1Me_XHbzyNDIsjPLBDK5g0gOZQohSdXbp/view?usp=drivesdk","3903_ASEPNUGRAHA _ SERTIFIKAT BerAKHLAK")</f>
        <v>3903_ASEPNUGRAHA _ SERTIFIKAT BerAKHLAK</v>
      </c>
      <c r="P3904" s="5" t="s">
        <v>26356</v>
      </c>
    </row>
    <row r="3905">
      <c r="A3905" s="4">
        <v>45534.34820799768</v>
      </c>
      <c r="B3905" s="5" t="s">
        <v>34</v>
      </c>
      <c r="D3905" s="5" t="s">
        <v>9020</v>
      </c>
      <c r="E3905" s="5" t="s">
        <v>26362</v>
      </c>
      <c r="F3905" s="5" t="s">
        <v>715</v>
      </c>
      <c r="G3905" s="5" t="s">
        <v>26363</v>
      </c>
      <c r="H3905" s="6" t="s">
        <v>26364</v>
      </c>
      <c r="K3905" s="5" t="s">
        <v>26344</v>
      </c>
      <c r="M3905" s="5" t="s">
        <v>26365</v>
      </c>
      <c r="N3905" s="7" t="s">
        <v>26366</v>
      </c>
      <c r="O3905" s="8" t="str">
        <f>HYPERLINK("https://drive.google.com/file/d/1LlPvAnJ1w3hSpTk_JHNHPth4w7XojPc-/view?usp=drivesdk","3904_FERNANDO SILALAHI, A.Md _ SERTIFIKAT BerAKHLAK")</f>
        <v>3904_FERNANDO SILALAHI, A.Md _ SERTIFIKAT BerAKHLAK</v>
      </c>
      <c r="P3905" s="5" t="s">
        <v>26356</v>
      </c>
    </row>
    <row r="3906">
      <c r="A3906" s="4">
        <v>45534.34821561343</v>
      </c>
      <c r="B3906" s="5" t="s">
        <v>34</v>
      </c>
      <c r="D3906" s="5" t="s">
        <v>12978</v>
      </c>
      <c r="E3906" s="5" t="s">
        <v>26367</v>
      </c>
      <c r="F3906" s="5" t="s">
        <v>212</v>
      </c>
      <c r="G3906" s="5" t="s">
        <v>26368</v>
      </c>
      <c r="H3906" s="6" t="s">
        <v>26369</v>
      </c>
      <c r="K3906" s="5" t="s">
        <v>26344</v>
      </c>
      <c r="M3906" s="5" t="s">
        <v>26370</v>
      </c>
      <c r="N3906" s="7" t="s">
        <v>26371</v>
      </c>
      <c r="O3906" s="8" t="str">
        <f>HYPERLINK("https://drive.google.com/file/d/1Ip4D-aNFf7GKyyzFF4s3L0nI2i5Iej6E/view?usp=drivesdk","3905_FITRI YANTI ADITAMA AMD.KEP _ SERTIFIKAT BerAKHLAK")</f>
        <v>3905_FITRI YANTI ADITAMA AMD.KEP _ SERTIFIKAT BerAKHLAK</v>
      </c>
      <c r="P3906" s="5" t="s">
        <v>26356</v>
      </c>
    </row>
    <row r="3907">
      <c r="A3907" s="4">
        <v>45534.348217384264</v>
      </c>
      <c r="B3907" s="5" t="s">
        <v>34</v>
      </c>
      <c r="D3907" s="5" t="s">
        <v>580</v>
      </c>
      <c r="E3907" s="5" t="s">
        <v>26372</v>
      </c>
      <c r="F3907" s="5" t="s">
        <v>212</v>
      </c>
      <c r="G3907" s="5" t="s">
        <v>26373</v>
      </c>
      <c r="H3907" s="6" t="s">
        <v>26374</v>
      </c>
      <c r="K3907" s="5" t="s">
        <v>26344</v>
      </c>
      <c r="M3907" s="5" t="s">
        <v>26375</v>
      </c>
      <c r="N3907" s="7" t="s">
        <v>26376</v>
      </c>
      <c r="O3907" s="8" t="str">
        <f>HYPERLINK("https://drive.google.com/file/d/1hj1kGClUc5Ij5Et2DXNJ8yR7BY7zTONL/view?usp=drivesdk","3906_DEWA GEDE SATRIA INDIKA _ SERTIFIKAT BerAKHLAK")</f>
        <v>3906_DEWA GEDE SATRIA INDIKA _ SERTIFIKAT BerAKHLAK</v>
      </c>
      <c r="P3907" s="5" t="s">
        <v>26356</v>
      </c>
    </row>
    <row r="3908">
      <c r="A3908" s="4">
        <v>45534.3482180787</v>
      </c>
      <c r="B3908" s="5" t="s">
        <v>34</v>
      </c>
      <c r="D3908" s="5" t="s">
        <v>6232</v>
      </c>
      <c r="E3908" s="5" t="s">
        <v>26377</v>
      </c>
      <c r="F3908" s="5" t="s">
        <v>524</v>
      </c>
      <c r="G3908" s="5" t="s">
        <v>26378</v>
      </c>
      <c r="H3908" s="6" t="s">
        <v>26379</v>
      </c>
      <c r="K3908" s="5" t="s">
        <v>26344</v>
      </c>
      <c r="M3908" s="5" t="s">
        <v>26380</v>
      </c>
      <c r="N3908" s="7" t="s">
        <v>26381</v>
      </c>
      <c r="O3908" s="8" t="str">
        <f>HYPERLINK("https://drive.google.com/file/d/13pCvnjVbmDrzn2vXIuA4Oay3wUDj6lnD/view?usp=drivesdk","3907_NETTY YOPITA SANNARIA HARAHAP,S.Kep _ SERTIFIKAT BerAKHLAK")</f>
        <v>3907_NETTY YOPITA SANNARIA HARAHAP,S.Kep _ SERTIFIKAT BerAKHLAK</v>
      </c>
      <c r="P3908" s="5" t="s">
        <v>26382</v>
      </c>
    </row>
    <row r="3909">
      <c r="A3909" s="4">
        <v>45534.348235972226</v>
      </c>
      <c r="B3909" s="5" t="s">
        <v>34</v>
      </c>
      <c r="D3909" s="5" t="s">
        <v>10444</v>
      </c>
      <c r="E3909" s="5" t="s">
        <v>18430</v>
      </c>
      <c r="F3909" s="5" t="s">
        <v>108</v>
      </c>
      <c r="G3909" s="5" t="s">
        <v>26383</v>
      </c>
      <c r="H3909" s="6" t="s">
        <v>26384</v>
      </c>
      <c r="K3909" s="5" t="s">
        <v>26385</v>
      </c>
      <c r="M3909" s="5" t="s">
        <v>26386</v>
      </c>
      <c r="N3909" s="7" t="s">
        <v>26387</v>
      </c>
      <c r="O3909" s="8" t="str">
        <f>HYPERLINK("https://drive.google.com/file/d/1zQBulnu5XNun0Yrpb5xvob4FUApeXqeZ/view?usp=drivesdk","3908_SRI WAHYUNI _ SERTIFIKAT BerAKHLAK")</f>
        <v>3908_SRI WAHYUNI _ SERTIFIKAT BerAKHLAK</v>
      </c>
      <c r="P3909" s="5" t="s">
        <v>26382</v>
      </c>
    </row>
    <row r="3910">
      <c r="A3910" s="4">
        <v>45534.34824344907</v>
      </c>
      <c r="B3910" s="5" t="s">
        <v>34</v>
      </c>
      <c r="D3910" s="5" t="s">
        <v>12978</v>
      </c>
      <c r="E3910" s="5" t="s">
        <v>26388</v>
      </c>
      <c r="F3910" s="5" t="s">
        <v>72</v>
      </c>
      <c r="G3910" s="5" t="s">
        <v>26389</v>
      </c>
      <c r="H3910" s="6" t="s">
        <v>26390</v>
      </c>
      <c r="K3910" s="5" t="s">
        <v>26385</v>
      </c>
      <c r="M3910" s="5" t="s">
        <v>26391</v>
      </c>
      <c r="N3910" s="7" t="s">
        <v>26392</v>
      </c>
      <c r="O3910" s="8" t="str">
        <f>HYPERLINK("https://drive.google.com/file/d/1iZBhF8jsX4IVza-iJb49qJNiG6DlTshs/view?usp=drivesdk","3909_DELIANA KOMALA SARI _ SERTIFIKAT BerAKHLAK")</f>
        <v>3909_DELIANA KOMALA SARI _ SERTIFIKAT BerAKHLAK</v>
      </c>
      <c r="P3910" s="5" t="s">
        <v>26382</v>
      </c>
    </row>
    <row r="3911">
      <c r="A3911" s="4">
        <v>45534.34824395833</v>
      </c>
      <c r="B3911" s="5" t="s">
        <v>34</v>
      </c>
      <c r="D3911" s="5" t="s">
        <v>1206</v>
      </c>
      <c r="E3911" s="5" t="s">
        <v>26393</v>
      </c>
      <c r="F3911" s="5" t="s">
        <v>375</v>
      </c>
      <c r="G3911" s="5" t="s">
        <v>26394</v>
      </c>
      <c r="H3911" s="6" t="s">
        <v>26395</v>
      </c>
      <c r="K3911" s="5" t="s">
        <v>26385</v>
      </c>
      <c r="M3911" s="5" t="s">
        <v>26396</v>
      </c>
      <c r="N3911" s="7" t="s">
        <v>26397</v>
      </c>
      <c r="O3911" s="8" t="str">
        <f>HYPERLINK("https://drive.google.com/file/d/1KCvpAF0T4WFjBYaMkv8QgoBvKJy9sGco/view?usp=drivesdk","3910_LUSIASIH. OKTININGTIWI _ SERTIFIKAT BerAKHLAK")</f>
        <v>3910_LUSIASIH. OKTININGTIWI _ SERTIFIKAT BerAKHLAK</v>
      </c>
      <c r="P3911" s="5" t="s">
        <v>26382</v>
      </c>
    </row>
    <row r="3912">
      <c r="A3912" s="4">
        <v>45534.3482442824</v>
      </c>
      <c r="B3912" s="5" t="s">
        <v>34</v>
      </c>
      <c r="D3912" s="5" t="s">
        <v>9020</v>
      </c>
      <c r="E3912" s="5" t="s">
        <v>26398</v>
      </c>
      <c r="F3912" s="5" t="s">
        <v>524</v>
      </c>
      <c r="G3912" s="5" t="s">
        <v>26399</v>
      </c>
      <c r="H3912" s="6" t="s">
        <v>26400</v>
      </c>
      <c r="K3912" s="5" t="s">
        <v>26385</v>
      </c>
      <c r="M3912" s="5" t="s">
        <v>26401</v>
      </c>
      <c r="N3912" s="7" t="s">
        <v>26402</v>
      </c>
      <c r="O3912" s="8" t="str">
        <f>HYPERLINK("https://drive.google.com/file/d/1UBRI6e-7VkqZYKDrx89EowpNXKIDDpcl/view?usp=drivesdk","3911_KAMSYAH _ SERTIFIKAT BerAKHLAK")</f>
        <v>3911_KAMSYAH _ SERTIFIKAT BerAKHLAK</v>
      </c>
      <c r="P3912" s="5" t="s">
        <v>26382</v>
      </c>
    </row>
    <row r="3913">
      <c r="A3913" s="4">
        <v>45534.348246608795</v>
      </c>
      <c r="B3913" s="5" t="s">
        <v>34</v>
      </c>
      <c r="D3913" s="5" t="s">
        <v>996</v>
      </c>
      <c r="E3913" s="5" t="s">
        <v>26403</v>
      </c>
      <c r="F3913" s="5" t="s">
        <v>199</v>
      </c>
      <c r="G3913" s="5" t="s">
        <v>26404</v>
      </c>
      <c r="H3913" s="6" t="s">
        <v>26405</v>
      </c>
      <c r="K3913" s="5" t="s">
        <v>26385</v>
      </c>
      <c r="M3913" s="5" t="s">
        <v>26406</v>
      </c>
      <c r="N3913" s="7" t="s">
        <v>26407</v>
      </c>
      <c r="O3913" s="8" t="str">
        <f>HYPERLINK("https://drive.google.com/file/d/1tBlB0-pBfjCH9Jyfx0GS2OseXy4EazKB/view?usp=drivesdk","3912_MULIADI _ SERTIFIKAT BerAKHLAK")</f>
        <v>3912_MULIADI _ SERTIFIKAT BerAKHLAK</v>
      </c>
      <c r="P3913" s="5" t="s">
        <v>26408</v>
      </c>
    </row>
    <row r="3914" hidden="1">
      <c r="A3914" s="4">
        <v>45534.34825648148</v>
      </c>
      <c r="B3914" s="5" t="s">
        <v>19</v>
      </c>
      <c r="C3914" s="5" t="s">
        <v>466</v>
      </c>
      <c r="E3914" s="5" t="s">
        <v>26409</v>
      </c>
      <c r="F3914" s="5" t="s">
        <v>212</v>
      </c>
      <c r="G3914" s="5" t="s">
        <v>26410</v>
      </c>
      <c r="H3914" s="6" t="s">
        <v>26411</v>
      </c>
      <c r="K3914" s="5" t="s">
        <v>26385</v>
      </c>
      <c r="M3914" s="5" t="s">
        <v>26412</v>
      </c>
      <c r="N3914" s="7" t="s">
        <v>26413</v>
      </c>
      <c r="O3914" s="8" t="str">
        <f>HYPERLINK("https://drive.google.com/file/d/1U9kKsdsoqgTyHxHL7p5-vZvJTO5o0uWJ/view?usp=drivesdk","3913_RUSDI AWALUDIN _ SERTIFIKAT BerAKHLAK")</f>
        <v>3913_RUSDI AWALUDIN _ SERTIFIKAT BerAKHLAK</v>
      </c>
      <c r="P3914" s="5" t="s">
        <v>26408</v>
      </c>
    </row>
    <row r="3915">
      <c r="A3915" s="4">
        <v>45534.34828597222</v>
      </c>
      <c r="B3915" s="5" t="s">
        <v>34</v>
      </c>
      <c r="D3915" s="5" t="s">
        <v>701</v>
      </c>
      <c r="E3915" s="5" t="s">
        <v>26414</v>
      </c>
      <c r="F3915" s="5" t="s">
        <v>37</v>
      </c>
      <c r="G3915" s="5" t="s">
        <v>26415</v>
      </c>
      <c r="H3915" s="6" t="s">
        <v>26416</v>
      </c>
      <c r="K3915" s="5" t="s">
        <v>26385</v>
      </c>
      <c r="M3915" s="5" t="s">
        <v>26417</v>
      </c>
      <c r="N3915" s="7" t="s">
        <v>26418</v>
      </c>
      <c r="O3915" s="8" t="str">
        <f>HYPERLINK("https://drive.google.com/file/d/1uHtlBYJq9opuHQ3wyNtT5MOtmBnSU5ap/view?usp=drivesdk","3914_FITRI YANTI  _ SERTIFIKAT BerAKHLAK")</f>
        <v>3914_FITRI YANTI  _ SERTIFIKAT BerAKHLAK</v>
      </c>
      <c r="P3915" s="5" t="s">
        <v>26408</v>
      </c>
    </row>
    <row r="3916" hidden="1">
      <c r="A3916" s="4">
        <v>45534.34830371528</v>
      </c>
      <c r="B3916" s="5" t="s">
        <v>19</v>
      </c>
      <c r="C3916" s="5" t="s">
        <v>11593</v>
      </c>
      <c r="E3916" s="5" t="s">
        <v>26419</v>
      </c>
      <c r="F3916" s="5" t="s">
        <v>375</v>
      </c>
      <c r="G3916" s="5" t="s">
        <v>26420</v>
      </c>
      <c r="H3916" s="6" t="s">
        <v>26421</v>
      </c>
      <c r="I3916" s="7" t="s">
        <v>26422</v>
      </c>
      <c r="J3916" s="8" t="str">
        <f>HYPERLINK("https://drive.google.com/file/d/16grxy4USKK-WeTpOVWuM4lr-H9d0QtI9/view?usp=drivesdk","SRI RAHAYUNINGSIH SERTIFIKAT BerAKHLAK")</f>
        <v>SRI RAHAYUNINGSIH SERTIFIKAT BerAKHLAK</v>
      </c>
      <c r="K3916" s="5" t="s">
        <v>25486</v>
      </c>
      <c r="L3916" s="5" t="s">
        <v>26423</v>
      </c>
      <c r="M3916" s="5" t="s">
        <v>26424</v>
      </c>
      <c r="N3916" s="7" t="s">
        <v>26425</v>
      </c>
      <c r="O3916" s="8" t="str">
        <f>HYPERLINK("https://drive.google.com/file/d/1if2glhBdZs9C2nWfr0M64_41DG7pfPic/view?usp=drivesdk","3915_SRI RAHAYUNINGSIH _ SERTIFIKAT BerAKHLAK")</f>
        <v>3915_SRI RAHAYUNINGSIH _ SERTIFIKAT BerAKHLAK</v>
      </c>
      <c r="P3916" s="5" t="s">
        <v>26408</v>
      </c>
    </row>
    <row r="3917">
      <c r="A3917" s="4">
        <v>45534.3483056713</v>
      </c>
      <c r="B3917" s="5" t="s">
        <v>34</v>
      </c>
      <c r="D3917" s="5" t="s">
        <v>35</v>
      </c>
      <c r="E3917" s="5" t="s">
        <v>26426</v>
      </c>
      <c r="F3917" s="5" t="s">
        <v>72</v>
      </c>
      <c r="G3917" s="5" t="s">
        <v>26427</v>
      </c>
      <c r="H3917" s="6" t="s">
        <v>26428</v>
      </c>
      <c r="I3917" s="7" t="s">
        <v>26429</v>
      </c>
      <c r="J3917" s="8" t="str">
        <f>HYPERLINK("https://drive.google.com/file/d/1OKPKtNZ_gIublyvR159w3i6iJGTXnjCI/view?usp=drivesdk","NOVA AYU WINARNING. S SKep SERTIFIKAT BerAKHLAK")</f>
        <v>NOVA AYU WINARNING. S SKep SERTIFIKAT BerAKHLAK</v>
      </c>
      <c r="K3917" s="5" t="s">
        <v>26430</v>
      </c>
      <c r="L3917" s="5" t="s">
        <v>26431</v>
      </c>
      <c r="M3917" s="5" t="s">
        <v>26432</v>
      </c>
      <c r="N3917" s="7" t="s">
        <v>26433</v>
      </c>
      <c r="O3917" s="8" t="str">
        <f>HYPERLINK("https://drive.google.com/file/d/1lz_8cWadrbzKfdgAfTM-KorBGNSQCWRO/view?usp=drivesdk","3916_NOVA AYU WINARNING. S SKep _ SERTIFIKAT BerAKHLAK")</f>
        <v>3916_NOVA AYU WINARNING. S SKep _ SERTIFIKAT BerAKHLAK</v>
      </c>
      <c r="P3917" s="5" t="s">
        <v>26434</v>
      </c>
    </row>
    <row r="3918">
      <c r="A3918" s="4">
        <v>45534.348306342596</v>
      </c>
      <c r="B3918" s="5" t="s">
        <v>34</v>
      </c>
      <c r="D3918" s="5" t="s">
        <v>4775</v>
      </c>
      <c r="E3918" s="5" t="s">
        <v>26435</v>
      </c>
      <c r="F3918" s="5" t="s">
        <v>37</v>
      </c>
      <c r="G3918" s="5" t="s">
        <v>26436</v>
      </c>
      <c r="H3918" s="6" t="s">
        <v>26437</v>
      </c>
      <c r="I3918" s="7" t="s">
        <v>26438</v>
      </c>
      <c r="J3918" s="8" t="str">
        <f>HYPERLINK("https://drive.google.com/file/d/1oHkhcKvYbTHfTr2YpYHrha_HfJQFTgbM/view?usp=drivesdk","IMAM SURYONO SERTIFIKAT BerAKHLAK")</f>
        <v>IMAM SURYONO SERTIFIKAT BerAKHLAK</v>
      </c>
      <c r="K3918" s="5" t="s">
        <v>26430</v>
      </c>
      <c r="L3918" s="5" t="s">
        <v>26439</v>
      </c>
      <c r="M3918" s="5" t="s">
        <v>26440</v>
      </c>
      <c r="N3918" s="7" t="s">
        <v>26441</v>
      </c>
      <c r="O3918" s="8" t="str">
        <f>HYPERLINK("https://drive.google.com/file/d/1gaKLIBbHdAQQTilDBI3CSaGhBg98NkHo/view?usp=drivesdk","3917_IMAM SURYONO _ SERTIFIKAT BerAKHLAK")</f>
        <v>3917_IMAM SURYONO _ SERTIFIKAT BerAKHLAK</v>
      </c>
      <c r="P3918" s="5" t="s">
        <v>26434</v>
      </c>
    </row>
    <row r="3919">
      <c r="A3919" s="4">
        <v>45534.34831799769</v>
      </c>
      <c r="B3919" s="5" t="s">
        <v>34</v>
      </c>
      <c r="D3919" s="5" t="s">
        <v>1206</v>
      </c>
      <c r="E3919" s="5" t="s">
        <v>26442</v>
      </c>
      <c r="F3919" s="5" t="s">
        <v>212</v>
      </c>
      <c r="G3919" s="5" t="s">
        <v>26443</v>
      </c>
      <c r="H3919" s="6" t="s">
        <v>26444</v>
      </c>
      <c r="I3919" s="7" t="s">
        <v>26445</v>
      </c>
      <c r="J3919" s="8" t="str">
        <f>HYPERLINK("https://drive.google.com/file/d/1d8vBuX4RHQrzlJuh-j1mvN94R1IahJcp/view?usp=drivesdk","KARUNIA HADI SETIJONO, S.Sos SERTIFIKAT BerAKHLAK")</f>
        <v>KARUNIA HADI SETIJONO, S.Sos SERTIFIKAT BerAKHLAK</v>
      </c>
      <c r="K3919" s="5" t="s">
        <v>26430</v>
      </c>
      <c r="L3919" s="5" t="s">
        <v>26446</v>
      </c>
      <c r="M3919" s="5" t="s">
        <v>26447</v>
      </c>
      <c r="N3919" s="7" t="s">
        <v>26448</v>
      </c>
      <c r="O3919" s="8" t="str">
        <f>HYPERLINK("https://drive.google.com/file/d/10X-bly0zwaBtsgSshMXxM_PdhAF-1EAm/view?usp=drivesdk","3918_KARUNIA HADI SETIJONO, S.Sos _ SERTIFIKAT BerAKHLAK")</f>
        <v>3918_KARUNIA HADI SETIJONO, S.Sos _ SERTIFIKAT BerAKHLAK</v>
      </c>
      <c r="P3919" s="5" t="s">
        <v>26434</v>
      </c>
    </row>
    <row r="3920">
      <c r="A3920" s="4">
        <v>45534.348317662036</v>
      </c>
      <c r="B3920" s="5" t="s">
        <v>34</v>
      </c>
      <c r="D3920" s="5" t="s">
        <v>9020</v>
      </c>
      <c r="E3920" s="5" t="s">
        <v>26449</v>
      </c>
      <c r="F3920" s="5" t="s">
        <v>72</v>
      </c>
      <c r="G3920" s="5" t="s">
        <v>26450</v>
      </c>
      <c r="H3920" s="6" t="s">
        <v>26451</v>
      </c>
      <c r="I3920" s="7" t="s">
        <v>26452</v>
      </c>
      <c r="J3920" s="8" t="str">
        <f>HYPERLINK("https://drive.google.com/file/d/1AuvRg3tnao45oUyxvNHn6chmEqHgtinh/view?usp=drivesdk","SARIA MANGOPO JULIANA SITORUS SERTIFIKAT BerAKHLAK")</f>
        <v>SARIA MANGOPO JULIANA SITORUS SERTIFIKAT BerAKHLAK</v>
      </c>
      <c r="K3920" s="5" t="s">
        <v>26430</v>
      </c>
      <c r="L3920" s="5" t="s">
        <v>26453</v>
      </c>
      <c r="M3920" s="5" t="s">
        <v>26454</v>
      </c>
      <c r="N3920" s="7" t="s">
        <v>26455</v>
      </c>
      <c r="O3920" s="8" t="str">
        <f>HYPERLINK("https://drive.google.com/file/d/1jiQJynR038AiqF-Tq5-G3jPsMsjDYUIA/view?usp=drivesdk","3919_SARIA MANGOPO JULIANA SITORUS _ SERTIFIKAT BerAKHLAK")</f>
        <v>3919_SARIA MANGOPO JULIANA SITORUS _ SERTIFIKAT BerAKHLAK</v>
      </c>
      <c r="P3920" s="5" t="s">
        <v>26434</v>
      </c>
    </row>
    <row r="3921">
      <c r="A3921" s="4">
        <v>45534.34831840278</v>
      </c>
      <c r="B3921" s="5" t="s">
        <v>34</v>
      </c>
      <c r="D3921" s="5" t="s">
        <v>1206</v>
      </c>
      <c r="E3921" s="5" t="s">
        <v>26456</v>
      </c>
      <c r="F3921" s="5" t="s">
        <v>524</v>
      </c>
      <c r="G3921" s="5" t="s">
        <v>26457</v>
      </c>
      <c r="H3921" s="6" t="s">
        <v>26458</v>
      </c>
      <c r="I3921" s="7" t="s">
        <v>26459</v>
      </c>
      <c r="J3921" s="8" t="str">
        <f>HYPERLINK("https://drive.google.com/file/d/1GAFc3Ns9qXf1xDqEcrSwwnz8HlPPCLjU/view?usp=drivesdk","YENI FITRI YULIASTUTIK, S.M. SERTIFIKAT BerAKHLAK")</f>
        <v>YENI FITRI YULIASTUTIK, S.M. SERTIFIKAT BerAKHLAK</v>
      </c>
      <c r="K3921" s="5" t="s">
        <v>26460</v>
      </c>
      <c r="L3921" s="5" t="s">
        <v>26461</v>
      </c>
      <c r="M3921" s="5" t="s">
        <v>26462</v>
      </c>
      <c r="N3921" s="7" t="s">
        <v>26463</v>
      </c>
      <c r="O3921" s="8" t="str">
        <f>HYPERLINK("https://drive.google.com/file/d/18QNiEInYHZXgU52N2BB7YJBP_JXCMTC_/view?usp=drivesdk","3920_YENI FITRI YULIASTUTIK, S.M. _ SERTIFIKAT BerAKHLAK")</f>
        <v>3920_YENI FITRI YULIASTUTIK, S.M. _ SERTIFIKAT BerAKHLAK</v>
      </c>
      <c r="P3921" s="5" t="s">
        <v>26434</v>
      </c>
    </row>
    <row r="3922">
      <c r="A3922" s="4">
        <v>45534.34832412037</v>
      </c>
      <c r="B3922" s="5" t="s">
        <v>34</v>
      </c>
      <c r="D3922" s="5" t="s">
        <v>1206</v>
      </c>
      <c r="E3922" s="5" t="s">
        <v>26464</v>
      </c>
      <c r="F3922" s="5" t="s">
        <v>72</v>
      </c>
      <c r="G3922" s="5" t="s">
        <v>26465</v>
      </c>
      <c r="H3922" s="6" t="s">
        <v>26466</v>
      </c>
      <c r="I3922" s="7" t="s">
        <v>26467</v>
      </c>
      <c r="J3922" s="8" t="str">
        <f>HYPERLINK("https://drive.google.com/file/d/1cJXasOll3E4M3DsY16F11AMmzmJEfdsS/view?usp=drivesdk","FILANTARI CAHYANI A.Md SERTIFIKAT BerAKHLAK")</f>
        <v>FILANTARI CAHYANI A.Md SERTIFIKAT BerAKHLAK</v>
      </c>
      <c r="K3922" s="5" t="s">
        <v>26460</v>
      </c>
      <c r="L3922" s="5" t="s">
        <v>26468</v>
      </c>
      <c r="M3922" s="5" t="s">
        <v>26469</v>
      </c>
      <c r="N3922" s="7" t="s">
        <v>26470</v>
      </c>
      <c r="O3922" s="8" t="str">
        <f>HYPERLINK("https://drive.google.com/file/d/1BfSpy-zZa1e2uA2xFQwgjoQ7Ucy06qDf/view?usp=drivesdk","3921_FILANTARI CAHYANI A.Md _ SERTIFIKAT BerAKHLAK")</f>
        <v>3921_FILANTARI CAHYANI A.Md _ SERTIFIKAT BerAKHLAK</v>
      </c>
      <c r="P3922" s="5" t="s">
        <v>26471</v>
      </c>
    </row>
    <row r="3923">
      <c r="A3923" s="4">
        <v>45534.34832416667</v>
      </c>
      <c r="B3923" s="5" t="s">
        <v>34</v>
      </c>
      <c r="D3923" s="5" t="s">
        <v>1206</v>
      </c>
      <c r="E3923" s="5" t="s">
        <v>26472</v>
      </c>
      <c r="F3923" s="5" t="s">
        <v>37</v>
      </c>
      <c r="G3923" s="5" t="s">
        <v>26473</v>
      </c>
      <c r="H3923" s="6" t="s">
        <v>26474</v>
      </c>
      <c r="K3923" s="5" t="s">
        <v>26475</v>
      </c>
      <c r="M3923" s="5" t="s">
        <v>26476</v>
      </c>
      <c r="N3923" s="7" t="s">
        <v>26477</v>
      </c>
      <c r="O3923" s="8" t="str">
        <f>HYPERLINK("https://drive.google.com/file/d/1dCIsO7IfPrD8n3pc8o_VLfMyHicqUb64/view?usp=drivesdk","3922_EDY WINARNO _ SERTIFIKAT BerAKHLAK")</f>
        <v>3922_EDY WINARNO _ SERTIFIKAT BerAKHLAK</v>
      </c>
      <c r="P3923" s="5" t="s">
        <v>26471</v>
      </c>
    </row>
    <row r="3924" hidden="1">
      <c r="A3924" s="4">
        <v>45534.348325439816</v>
      </c>
      <c r="B3924" s="5" t="s">
        <v>19</v>
      </c>
      <c r="C3924" s="5" t="s">
        <v>5564</v>
      </c>
      <c r="E3924" s="5" t="s">
        <v>26478</v>
      </c>
      <c r="F3924" s="5" t="s">
        <v>212</v>
      </c>
      <c r="G3924" s="5" t="s">
        <v>26479</v>
      </c>
      <c r="H3924" s="6" t="s">
        <v>26480</v>
      </c>
      <c r="K3924" s="5" t="s">
        <v>26475</v>
      </c>
      <c r="M3924" s="5" t="s">
        <v>26481</v>
      </c>
      <c r="N3924" s="7" t="s">
        <v>26482</v>
      </c>
      <c r="O3924" s="8" t="str">
        <f>HYPERLINK("https://drive.google.com/file/d/1xWaVYaD9RFbbpvRhRZHK9vfAeX-tYdF2/view?usp=drivesdk","3923_DWI YULI ASTUTI _ SERTIFIKAT BerAKHLAK")</f>
        <v>3923_DWI YULI ASTUTI _ SERTIFIKAT BerAKHLAK</v>
      </c>
      <c r="P3924" s="5" t="s">
        <v>26471</v>
      </c>
    </row>
    <row r="3925">
      <c r="A3925" s="4">
        <v>45534.348327430554</v>
      </c>
      <c r="B3925" s="5" t="s">
        <v>34</v>
      </c>
      <c r="D3925" s="5" t="s">
        <v>1206</v>
      </c>
      <c r="E3925" s="5" t="s">
        <v>26483</v>
      </c>
      <c r="F3925" s="5" t="s">
        <v>37</v>
      </c>
      <c r="G3925" s="5" t="s">
        <v>26484</v>
      </c>
      <c r="H3925" s="6" t="s">
        <v>26485</v>
      </c>
      <c r="K3925" s="5" t="s">
        <v>26475</v>
      </c>
      <c r="M3925" s="5" t="s">
        <v>26486</v>
      </c>
      <c r="N3925" s="7" t="s">
        <v>26487</v>
      </c>
      <c r="O3925" s="8" t="str">
        <f>HYPERLINK("https://drive.google.com/file/d/1KUjJRjwLAsnk-KdMHo9Gb4KGZkTMhIlN/view?usp=drivesdk","3924_DENI KURNIAWAN _ SERTIFIKAT BerAKHLAK")</f>
        <v>3924_DENI KURNIAWAN _ SERTIFIKAT BerAKHLAK</v>
      </c>
      <c r="P3925" s="5" t="s">
        <v>26471</v>
      </c>
    </row>
    <row r="3926">
      <c r="A3926" s="4">
        <v>45534.34832680556</v>
      </c>
      <c r="B3926" s="5" t="s">
        <v>34</v>
      </c>
      <c r="D3926" s="5" t="s">
        <v>3432</v>
      </c>
      <c r="E3926" s="5" t="s">
        <v>26488</v>
      </c>
      <c r="F3926" s="5" t="s">
        <v>524</v>
      </c>
      <c r="G3926" s="5" t="s">
        <v>26489</v>
      </c>
      <c r="H3926" s="6" t="s">
        <v>26490</v>
      </c>
      <c r="K3926" s="5" t="s">
        <v>26475</v>
      </c>
      <c r="M3926" s="5" t="s">
        <v>26491</v>
      </c>
      <c r="N3926" s="7" t="s">
        <v>26492</v>
      </c>
      <c r="O3926" s="8" t="str">
        <f>HYPERLINK("https://drive.google.com/file/d/1aUUchEsIGfQvc-TyMMDpNUk0QR1xKHNy/view?usp=drivesdk","3925_WA ERNI S.K.M _ SERTIFIKAT BerAKHLAK")</f>
        <v>3925_WA ERNI S.K.M _ SERTIFIKAT BerAKHLAK</v>
      </c>
      <c r="P3926" s="5" t="s">
        <v>26493</v>
      </c>
    </row>
    <row r="3927">
      <c r="A3927" s="4">
        <v>45534.34835144676</v>
      </c>
      <c r="B3927" s="5" t="s">
        <v>34</v>
      </c>
      <c r="D3927" s="5" t="s">
        <v>1206</v>
      </c>
      <c r="E3927" s="5" t="s">
        <v>26494</v>
      </c>
      <c r="F3927" s="5" t="s">
        <v>72</v>
      </c>
      <c r="G3927" s="5" t="s">
        <v>26495</v>
      </c>
      <c r="H3927" s="6" t="s">
        <v>26496</v>
      </c>
      <c r="K3927" s="5" t="s">
        <v>26475</v>
      </c>
      <c r="M3927" s="5" t="s">
        <v>26497</v>
      </c>
      <c r="N3927" s="7" t="s">
        <v>26498</v>
      </c>
      <c r="O3927" s="8" t="str">
        <f>HYPERLINK("https://drive.google.com/file/d/1geuKqRP5OYGPgckd8BDU4-FJm_GuSIxZ/view?usp=drivesdk","3926_SULISTIOWATI _ SERTIFIKAT BerAKHLAK")</f>
        <v>3926_SULISTIOWATI _ SERTIFIKAT BerAKHLAK</v>
      </c>
      <c r="P3927" s="5" t="s">
        <v>26493</v>
      </c>
    </row>
    <row r="3928">
      <c r="A3928" s="4">
        <v>45534.348351967594</v>
      </c>
      <c r="B3928" s="5" t="s">
        <v>34</v>
      </c>
      <c r="D3928" s="5" t="s">
        <v>9020</v>
      </c>
      <c r="E3928" s="5" t="s">
        <v>26499</v>
      </c>
      <c r="F3928" s="5" t="s">
        <v>375</v>
      </c>
      <c r="G3928" s="5" t="s">
        <v>26500</v>
      </c>
      <c r="H3928" s="6" t="s">
        <v>26501</v>
      </c>
      <c r="K3928" s="5" t="s">
        <v>26475</v>
      </c>
      <c r="M3928" s="5" t="s">
        <v>26502</v>
      </c>
      <c r="N3928" s="7" t="s">
        <v>26503</v>
      </c>
      <c r="O3928" s="8" t="str">
        <f>HYPERLINK("https://drive.google.com/file/d/12pT4-STqSsqytetK9GtVTYNCWFppTotB/view?usp=drivesdk","3927_ULY FETTY SIMBOLON, S.K.M., M.K.M. _ SERTIFIKAT BerAKHLAK")</f>
        <v>3927_ULY FETTY SIMBOLON, S.K.M., M.K.M. _ SERTIFIKAT BerAKHLAK</v>
      </c>
      <c r="P3928" s="5" t="s">
        <v>26493</v>
      </c>
    </row>
    <row r="3929">
      <c r="A3929" s="4">
        <v>45534.34835339121</v>
      </c>
      <c r="B3929" s="5" t="s">
        <v>34</v>
      </c>
      <c r="D3929" s="5" t="s">
        <v>1206</v>
      </c>
      <c r="E3929" s="5" t="s">
        <v>26504</v>
      </c>
      <c r="F3929" s="5" t="s">
        <v>212</v>
      </c>
      <c r="G3929" s="5" t="s">
        <v>26505</v>
      </c>
      <c r="H3929" s="6" t="s">
        <v>26506</v>
      </c>
      <c r="K3929" s="5" t="s">
        <v>26475</v>
      </c>
      <c r="M3929" s="5" t="s">
        <v>26507</v>
      </c>
      <c r="N3929" s="7" t="s">
        <v>26508</v>
      </c>
      <c r="O3929" s="8" t="str">
        <f>HYPERLINK("https://drive.google.com/file/d/19i0EXcQl7_VxH7PmxKG5y8JAwm4LI2lV/view?usp=drivesdk","3928_GATI PERTIWI  _ SERTIFIKAT BerAKHLAK")</f>
        <v>3928_GATI PERTIWI  _ SERTIFIKAT BerAKHLAK</v>
      </c>
      <c r="P3929" s="5" t="s">
        <v>26493</v>
      </c>
    </row>
    <row r="3930">
      <c r="A3930" s="4">
        <v>45534.34835988426</v>
      </c>
      <c r="B3930" s="5" t="s">
        <v>34</v>
      </c>
      <c r="D3930" s="5" t="s">
        <v>1206</v>
      </c>
      <c r="E3930" s="5" t="s">
        <v>26509</v>
      </c>
      <c r="F3930" s="5" t="s">
        <v>212</v>
      </c>
      <c r="G3930" s="5" t="s">
        <v>26510</v>
      </c>
      <c r="H3930" s="6" t="s">
        <v>26511</v>
      </c>
      <c r="K3930" s="5" t="s">
        <v>26475</v>
      </c>
      <c r="M3930" s="5" t="s">
        <v>26512</v>
      </c>
      <c r="N3930" s="7" t="s">
        <v>26513</v>
      </c>
      <c r="O3930" s="8" t="str">
        <f>HYPERLINK("https://drive.google.com/file/d/10jaSA5YFMvHRAnV4mL2TG50yKE23j8En/view?usp=drivesdk","3929_BANGUN SUPRIYONO _ SERTIFIKAT BerAKHLAK")</f>
        <v>3929_BANGUN SUPRIYONO _ SERTIFIKAT BerAKHLAK</v>
      </c>
      <c r="P3930" s="5" t="s">
        <v>26493</v>
      </c>
    </row>
    <row r="3931" hidden="1">
      <c r="A3931" s="4">
        <v>45534.34836326389</v>
      </c>
      <c r="B3931" s="5" t="s">
        <v>19</v>
      </c>
      <c r="C3931" s="5" t="s">
        <v>442</v>
      </c>
      <c r="E3931" s="5" t="s">
        <v>26514</v>
      </c>
      <c r="F3931" s="5" t="s">
        <v>72</v>
      </c>
      <c r="G3931" s="5" t="s">
        <v>26515</v>
      </c>
      <c r="H3931" s="6" t="s">
        <v>26516</v>
      </c>
      <c r="K3931" s="5" t="s">
        <v>26475</v>
      </c>
      <c r="M3931" s="5" t="s">
        <v>26517</v>
      </c>
      <c r="N3931" s="7" t="s">
        <v>26518</v>
      </c>
      <c r="O3931" s="8" t="str">
        <f>HYPERLINK("https://drive.google.com/file/d/1pJ669xiamf7SPZcrC6TvmlsdA5CVfW_Y/view?usp=drivesdk","3930_LELA MEILASARI, S.E. _ SERTIFIKAT BerAKHLAK")</f>
        <v>3930_LELA MEILASARI, S.E. _ SERTIFIKAT BerAKHLAK</v>
      </c>
      <c r="P3931" s="5" t="s">
        <v>26519</v>
      </c>
    </row>
    <row r="3932">
      <c r="A3932" s="4">
        <v>45534.34836701389</v>
      </c>
      <c r="B3932" s="5" t="s">
        <v>34</v>
      </c>
      <c r="D3932" s="5" t="s">
        <v>1206</v>
      </c>
      <c r="E3932" s="5" t="s">
        <v>26520</v>
      </c>
      <c r="F3932" s="5" t="s">
        <v>72</v>
      </c>
      <c r="G3932" s="5" t="s">
        <v>26521</v>
      </c>
      <c r="H3932" s="6" t="s">
        <v>26522</v>
      </c>
      <c r="K3932" s="5" t="s">
        <v>26475</v>
      </c>
      <c r="M3932" s="5" t="s">
        <v>26523</v>
      </c>
      <c r="N3932" s="7" t="s">
        <v>26524</v>
      </c>
      <c r="O3932" s="8" t="str">
        <f>HYPERLINK("https://drive.google.com/file/d/1d0Z2dtjrVTqlZlcEXHMq1efAMrLV5MjS/view?usp=drivesdk","3931_SOKHIBUL Amd. RO _ SERTIFIKAT BerAKHLAK")</f>
        <v>3931_SOKHIBUL Amd. RO _ SERTIFIKAT BerAKHLAK</v>
      </c>
      <c r="P3932" s="5" t="s">
        <v>26519</v>
      </c>
    </row>
    <row r="3933">
      <c r="A3933" s="4">
        <v>45534.348379166666</v>
      </c>
      <c r="B3933" s="5" t="s">
        <v>34</v>
      </c>
      <c r="D3933" s="5" t="s">
        <v>4775</v>
      </c>
      <c r="E3933" s="5" t="s">
        <v>26525</v>
      </c>
      <c r="F3933" s="5" t="s">
        <v>212</v>
      </c>
      <c r="G3933" s="5" t="s">
        <v>26526</v>
      </c>
      <c r="H3933" s="6" t="s">
        <v>26527</v>
      </c>
      <c r="I3933" s="7" t="s">
        <v>26528</v>
      </c>
      <c r="J3933" s="8" t="str">
        <f>HYPERLINK("https://drive.google.com/file/d/16yYsf9gApE_2Jqb3SKt66moUVc36vfgS/view?usp=drivesdk","AGUNG TRI WAHANA SERTIFIKAT BerAKHLAK")</f>
        <v>AGUNG TRI WAHANA SERTIFIKAT BerAKHLAK</v>
      </c>
      <c r="K3933" s="5" t="s">
        <v>26475</v>
      </c>
      <c r="L3933" s="5" t="s">
        <v>26529</v>
      </c>
      <c r="M3933" s="5" t="s">
        <v>26530</v>
      </c>
      <c r="N3933" s="7" t="s">
        <v>26531</v>
      </c>
      <c r="O3933" s="8" t="str">
        <f>HYPERLINK("https://drive.google.com/file/d/12GZDUv6vPrW3n83ye93oO1NVyYNZl7xC/view?usp=drivesdk","3932_AGUNG TRI WAHANA _ SERTIFIKAT BerAKHLAK")</f>
        <v>3932_AGUNG TRI WAHANA _ SERTIFIKAT BerAKHLAK</v>
      </c>
      <c r="P3933" s="5" t="s">
        <v>26519</v>
      </c>
    </row>
    <row r="3934">
      <c r="A3934" s="4">
        <v>45534.34837921296</v>
      </c>
      <c r="B3934" s="5" t="s">
        <v>34</v>
      </c>
      <c r="D3934" s="5" t="s">
        <v>1206</v>
      </c>
      <c r="E3934" s="5" t="s">
        <v>26532</v>
      </c>
      <c r="F3934" s="5" t="s">
        <v>212</v>
      </c>
      <c r="G3934" s="5" t="s">
        <v>26533</v>
      </c>
      <c r="H3934" s="6" t="s">
        <v>26534</v>
      </c>
      <c r="I3934" s="7" t="s">
        <v>26535</v>
      </c>
      <c r="J3934" s="8" t="str">
        <f>HYPERLINK("https://drive.google.com/file/d/1tMVMo8Zc8AVdufH8U_zrTz5XxBI1F5KB/view?usp=drivesdk","TRI ROHMATUL DWI WULAN NINGSIH SERTIFIKAT BerAKHLAK")</f>
        <v>TRI ROHMATUL DWI WULAN NINGSIH SERTIFIKAT BerAKHLAK</v>
      </c>
      <c r="K3934" s="5" t="s">
        <v>26475</v>
      </c>
      <c r="L3934" s="5" t="s">
        <v>26536</v>
      </c>
      <c r="M3934" s="5" t="s">
        <v>26537</v>
      </c>
      <c r="N3934" s="7" t="s">
        <v>26538</v>
      </c>
      <c r="O3934" s="8" t="str">
        <f>HYPERLINK("https://drive.google.com/file/d/1u6Vzlfay3rUy5eQoListAwni3m9LL3gk/view?usp=drivesdk","3933_TRI ROHMATUL DWI WULAN NINGSIH _ SERTIFIKAT BerAKHLAK")</f>
        <v>3933_TRI ROHMATUL DWI WULAN NINGSIH _ SERTIFIKAT BerAKHLAK</v>
      </c>
      <c r="P3934" s="5" t="s">
        <v>26519</v>
      </c>
    </row>
    <row r="3935">
      <c r="A3935" s="4">
        <v>45534.34838240741</v>
      </c>
      <c r="B3935" s="5" t="s">
        <v>34</v>
      </c>
      <c r="D3935" s="5" t="s">
        <v>1206</v>
      </c>
      <c r="E3935" s="5" t="s">
        <v>26539</v>
      </c>
      <c r="F3935" s="5" t="s">
        <v>37</v>
      </c>
      <c r="G3935" s="5" t="s">
        <v>26540</v>
      </c>
      <c r="H3935" s="6" t="s">
        <v>26541</v>
      </c>
      <c r="I3935" s="7" t="s">
        <v>26542</v>
      </c>
      <c r="J3935" s="8" t="str">
        <f>HYPERLINK("https://drive.google.com/file/d/1HyWYUepl1byzaYoyM4Su_5ppJFJq7zRy/view?usp=drivesdk","LILIK FATCHILLAH SERTIFIKAT BerAKHLAK")</f>
        <v>LILIK FATCHILLAH SERTIFIKAT BerAKHLAK</v>
      </c>
      <c r="K3935" s="5" t="s">
        <v>26475</v>
      </c>
      <c r="L3935" s="5" t="s">
        <v>26543</v>
      </c>
      <c r="M3935" s="5" t="s">
        <v>26544</v>
      </c>
      <c r="N3935" s="7" t="s">
        <v>26545</v>
      </c>
      <c r="O3935" s="8" t="str">
        <f>HYPERLINK("https://drive.google.com/file/d/1WP9GNqySxkgbPnB6nMR6es50vSEmpzF0/view?usp=drivesdk","3934_LILIK FATCHILLAH _ SERTIFIKAT BerAKHLAK")</f>
        <v>3934_LILIK FATCHILLAH _ SERTIFIKAT BerAKHLAK</v>
      </c>
      <c r="P3935" s="5" t="s">
        <v>26519</v>
      </c>
    </row>
    <row r="3936">
      <c r="A3936" s="4">
        <v>45534.34838616898</v>
      </c>
      <c r="B3936" s="5" t="s">
        <v>34</v>
      </c>
      <c r="D3936" s="5" t="s">
        <v>9020</v>
      </c>
      <c r="E3936" s="5" t="s">
        <v>26546</v>
      </c>
      <c r="F3936" s="5" t="s">
        <v>120</v>
      </c>
      <c r="G3936" s="5" t="s">
        <v>26547</v>
      </c>
      <c r="H3936" s="6" t="s">
        <v>26548</v>
      </c>
      <c r="I3936" s="7" t="s">
        <v>26549</v>
      </c>
      <c r="J3936" s="8" t="str">
        <f>HYPERLINK("https://drive.google.com/file/d/1gLtleYo0CRVc7jmJI149yXlUAZWASTOq/view?usp=drivesdk","EDDY WIJAYA SUKATENDEL. SE. MM SERTIFIKAT BerAKHLAK")</f>
        <v>EDDY WIJAYA SUKATENDEL. SE. MM SERTIFIKAT BerAKHLAK</v>
      </c>
      <c r="K3936" s="5" t="s">
        <v>26475</v>
      </c>
      <c r="L3936" s="5" t="s">
        <v>26550</v>
      </c>
      <c r="M3936" s="5" t="s">
        <v>26551</v>
      </c>
      <c r="N3936" s="7" t="s">
        <v>26552</v>
      </c>
      <c r="O3936" s="8" t="str">
        <f>HYPERLINK("https://drive.google.com/file/d/1TZ4kh1zn18ERMcrPTAWDnADARcm8doW5/view?usp=drivesdk","3935_EDDY WIJAYA SUKATENDEL. SE. MM _ SERTIFIKAT BerAKHLAK")</f>
        <v>3935_EDDY WIJAYA SUKATENDEL. SE. MM _ SERTIFIKAT BerAKHLAK</v>
      </c>
      <c r="P3936" s="5" t="s">
        <v>26553</v>
      </c>
    </row>
    <row r="3937" hidden="1">
      <c r="A3937" s="4">
        <v>45534.348390949075</v>
      </c>
      <c r="B3937" s="5" t="s">
        <v>19</v>
      </c>
      <c r="C3937" s="5" t="s">
        <v>292</v>
      </c>
      <c r="E3937" s="5" t="s">
        <v>26554</v>
      </c>
      <c r="F3937" s="5" t="s">
        <v>108</v>
      </c>
      <c r="G3937" s="5" t="s">
        <v>26555</v>
      </c>
      <c r="H3937" s="6" t="s">
        <v>26556</v>
      </c>
      <c r="K3937" s="5" t="s">
        <v>26475</v>
      </c>
      <c r="M3937" s="5" t="s">
        <v>26557</v>
      </c>
      <c r="N3937" s="7" t="s">
        <v>26558</v>
      </c>
      <c r="O3937" s="8" t="str">
        <f>HYPERLINK("https://drive.google.com/file/d/1VBF6j1uz1eEy-ojT_-GKmfe0-eCeH0yC/view?usp=drivesdk","3936_Maria Pintam Wahyu Mediatri, S.IKom _ SERTIFIKAT BerAKHLAK")</f>
        <v>3936_Maria Pintam Wahyu Mediatri, S.IKom _ SERTIFIKAT BerAKHLAK</v>
      </c>
      <c r="P3937" s="5" t="s">
        <v>26553</v>
      </c>
    </row>
    <row r="3938">
      <c r="A3938" s="4">
        <v>45534.348392291664</v>
      </c>
      <c r="B3938" s="5" t="s">
        <v>34</v>
      </c>
      <c r="D3938" s="5" t="s">
        <v>1692</v>
      </c>
      <c r="E3938" s="5" t="s">
        <v>26559</v>
      </c>
      <c r="F3938" s="5" t="s">
        <v>212</v>
      </c>
      <c r="G3938" s="5" t="s">
        <v>26560</v>
      </c>
      <c r="H3938" s="6" t="s">
        <v>26561</v>
      </c>
      <c r="K3938" s="5" t="s">
        <v>26562</v>
      </c>
      <c r="M3938" s="5" t="s">
        <v>26563</v>
      </c>
      <c r="N3938" s="7" t="s">
        <v>26564</v>
      </c>
      <c r="O3938" s="8" t="str">
        <f>HYPERLINK("https://drive.google.com/file/d/1OJbgXnGEvxNDoQGzWETZgqaNKNY4pkPO/view?usp=drivesdk","3937_HENRY RICARDO TAMPATY. A.Md.Kep _ SERTIFIKAT BerAKHLAK")</f>
        <v>3937_HENRY RICARDO TAMPATY. A.Md.Kep _ SERTIFIKAT BerAKHLAK</v>
      </c>
      <c r="P3938" s="5" t="s">
        <v>26553</v>
      </c>
    </row>
    <row r="3939">
      <c r="A3939" s="4">
        <v>45534.34838967593</v>
      </c>
      <c r="B3939" s="5" t="s">
        <v>34</v>
      </c>
      <c r="D3939" s="5" t="s">
        <v>4775</v>
      </c>
      <c r="E3939" s="5" t="s">
        <v>26565</v>
      </c>
      <c r="F3939" s="5" t="s">
        <v>328</v>
      </c>
      <c r="G3939" s="5" t="s">
        <v>26566</v>
      </c>
      <c r="H3939" s="6" t="s">
        <v>26567</v>
      </c>
      <c r="K3939" s="5" t="s">
        <v>26562</v>
      </c>
      <c r="M3939" s="5" t="s">
        <v>26568</v>
      </c>
      <c r="N3939" s="7" t="s">
        <v>26569</v>
      </c>
      <c r="O3939" s="8" t="str">
        <f>HYPERLINK("https://drive.google.com/file/d/1vMIWYfXrk9D75Kyp1g1UKDWUbL3KNMeZ/view?usp=drivesdk","3938_SIYONO _ SERTIFIKAT BerAKHLAK")</f>
        <v>3938_SIYONO _ SERTIFIKAT BerAKHLAK</v>
      </c>
      <c r="P3939" s="5" t="s">
        <v>26553</v>
      </c>
    </row>
    <row r="3940">
      <c r="A3940" s="4">
        <v>45534.34839387731</v>
      </c>
      <c r="B3940" s="5" t="s">
        <v>34</v>
      </c>
      <c r="D3940" s="5" t="s">
        <v>267</v>
      </c>
      <c r="E3940" s="5" t="s">
        <v>26570</v>
      </c>
      <c r="F3940" s="5" t="s">
        <v>375</v>
      </c>
      <c r="G3940" s="5" t="s">
        <v>26571</v>
      </c>
      <c r="H3940" s="6" t="s">
        <v>26572</v>
      </c>
      <c r="K3940" s="5" t="s">
        <v>26562</v>
      </c>
      <c r="M3940" s="5" t="s">
        <v>26573</v>
      </c>
      <c r="N3940" s="7" t="s">
        <v>26574</v>
      </c>
      <c r="O3940" s="8" t="str">
        <f>HYPERLINK("https://drive.google.com/file/d/1hi7cFMx-FcVptP5_p6Y5GaeQGXdV4IBX/view?usp=drivesdk","3939_SULISMIATI, M.Psi., Psikolog  _ SERTIFIKAT BerAKHLAK")</f>
        <v>3939_SULISMIATI, M.Psi., Psikolog  _ SERTIFIKAT BerAKHLAK</v>
      </c>
      <c r="P3940" s="5" t="s">
        <v>26553</v>
      </c>
    </row>
    <row r="3941">
      <c r="A3941" s="4">
        <v>45534.34841057871</v>
      </c>
      <c r="B3941" s="5" t="s">
        <v>34</v>
      </c>
      <c r="D3941" s="5" t="s">
        <v>1206</v>
      </c>
      <c r="E3941" s="5" t="s">
        <v>26575</v>
      </c>
      <c r="F3941" s="5" t="s">
        <v>37</v>
      </c>
      <c r="G3941" s="5" t="s">
        <v>26576</v>
      </c>
      <c r="H3941" s="6" t="s">
        <v>26577</v>
      </c>
      <c r="K3941" s="5" t="s">
        <v>26562</v>
      </c>
      <c r="M3941" s="5" t="s">
        <v>26578</v>
      </c>
      <c r="N3941" s="7" t="s">
        <v>26579</v>
      </c>
      <c r="O3941" s="8" t="str">
        <f>HYPERLINK("https://drive.google.com/file/d/1Dxah26lx27tS7-YB0-TzPB3TD_dM45hO/view?usp=drivesdk","3940_ANIK MUFIDAH _ SERTIFIKAT BerAKHLAK")</f>
        <v>3940_ANIK MUFIDAH _ SERTIFIKAT BerAKHLAK</v>
      </c>
      <c r="P3941" s="5" t="s">
        <v>26580</v>
      </c>
    </row>
    <row r="3942">
      <c r="A3942" s="4">
        <v>45534.34841384259</v>
      </c>
      <c r="B3942" s="5" t="s">
        <v>34</v>
      </c>
      <c r="D3942" s="5" t="s">
        <v>1206</v>
      </c>
      <c r="E3942" s="5" t="s">
        <v>26581</v>
      </c>
      <c r="F3942" s="5" t="s">
        <v>212</v>
      </c>
      <c r="G3942" s="5" t="s">
        <v>26582</v>
      </c>
      <c r="H3942" s="6" t="s">
        <v>26583</v>
      </c>
      <c r="K3942" s="5" t="s">
        <v>26562</v>
      </c>
      <c r="M3942" s="5" t="s">
        <v>26584</v>
      </c>
      <c r="N3942" s="7" t="s">
        <v>26585</v>
      </c>
      <c r="O3942" s="8" t="str">
        <f>HYPERLINK("https://drive.google.com/file/d/1XCyy_Rhe27akYd6rqfxv6OU7iZO8MokN/view?usp=drivesdk","3941_TITIK PURWATI  _ SERTIFIKAT BerAKHLAK")</f>
        <v>3941_TITIK PURWATI  _ SERTIFIKAT BerAKHLAK</v>
      </c>
      <c r="P3942" s="5" t="s">
        <v>26580</v>
      </c>
    </row>
    <row r="3943">
      <c r="A3943" s="4">
        <v>45534.34841502315</v>
      </c>
      <c r="B3943" s="5" t="s">
        <v>34</v>
      </c>
      <c r="D3943" s="5" t="s">
        <v>1206</v>
      </c>
      <c r="E3943" s="5" t="s">
        <v>26586</v>
      </c>
      <c r="F3943" s="5" t="s">
        <v>212</v>
      </c>
      <c r="G3943" s="5" t="s">
        <v>26587</v>
      </c>
      <c r="H3943" s="6" t="s">
        <v>26588</v>
      </c>
      <c r="K3943" s="5" t="s">
        <v>26562</v>
      </c>
      <c r="M3943" s="5" t="s">
        <v>26589</v>
      </c>
      <c r="N3943" s="7" t="s">
        <v>26590</v>
      </c>
      <c r="O3943" s="8" t="str">
        <f>HYPERLINK("https://drive.google.com/file/d/1FN-OqjW7_GtY4F4pcJ7wjkRMj5C3eQHO/view?usp=drivesdk","3942_NAMA PAINI _ SERTIFIKAT BerAKHLAK")</f>
        <v>3942_NAMA PAINI _ SERTIFIKAT BerAKHLAK</v>
      </c>
      <c r="P3943" s="5" t="s">
        <v>26580</v>
      </c>
    </row>
    <row r="3944">
      <c r="A3944" s="4">
        <v>45534.34841560185</v>
      </c>
      <c r="B3944" s="5" t="s">
        <v>34</v>
      </c>
      <c r="D3944" s="5" t="s">
        <v>4775</v>
      </c>
      <c r="E3944" s="5" t="s">
        <v>26591</v>
      </c>
      <c r="F3944" s="5" t="s">
        <v>72</v>
      </c>
      <c r="G3944" s="5" t="s">
        <v>26592</v>
      </c>
      <c r="H3944" s="6" t="s">
        <v>26593</v>
      </c>
      <c r="K3944" s="5" t="s">
        <v>26562</v>
      </c>
      <c r="M3944" s="5" t="s">
        <v>26594</v>
      </c>
      <c r="N3944" s="7" t="s">
        <v>26595</v>
      </c>
      <c r="O3944" s="8" t="str">
        <f>HYPERLINK("https://drive.google.com/file/d/1iVx6eUonpuI5GSoweYJIJq0_HHhXQs4S/view?usp=drivesdk","3943_BUDI UTOMO _ SERTIFIKAT BerAKHLAK")</f>
        <v>3943_BUDI UTOMO _ SERTIFIKAT BerAKHLAK</v>
      </c>
      <c r="P3944" s="5" t="s">
        <v>26580</v>
      </c>
    </row>
    <row r="3945">
      <c r="A3945" s="4">
        <v>45534.3484228125</v>
      </c>
      <c r="B3945" s="5" t="s">
        <v>34</v>
      </c>
      <c r="D3945" s="5" t="s">
        <v>604</v>
      </c>
      <c r="E3945" s="5" t="s">
        <v>26596</v>
      </c>
      <c r="F3945" s="5" t="s">
        <v>108</v>
      </c>
      <c r="G3945" s="5" t="s">
        <v>26597</v>
      </c>
      <c r="H3945" s="6" t="s">
        <v>26598</v>
      </c>
      <c r="I3945" s="7" t="s">
        <v>26599</v>
      </c>
      <c r="J3945" s="8" t="str">
        <f>HYPERLINK("https://drive.google.com/file/d/1skjSIHpRS6pDwD7CeZFz7ecklcKHWRMI/view?usp=drivesdk","SRI ANI SERTIFIKAT BerAKHLAK")</f>
        <v>SRI ANI SERTIFIKAT BerAKHLAK</v>
      </c>
      <c r="K3945" s="5" t="s">
        <v>25486</v>
      </c>
      <c r="L3945" s="5" t="s">
        <v>26600</v>
      </c>
      <c r="M3945" s="5" t="s">
        <v>26601</v>
      </c>
      <c r="N3945" s="7" t="s">
        <v>26602</v>
      </c>
      <c r="O3945" s="8" t="str">
        <f>HYPERLINK("https://drive.google.com/file/d/1KlO762hT14pLY3TLv5kiMkDOqw78VpM3/view?usp=drivesdk","3944_SRI ANI _ SERTIFIKAT BerAKHLAK")</f>
        <v>3944_SRI ANI _ SERTIFIKAT BerAKHLAK</v>
      </c>
      <c r="P3945" s="5" t="s">
        <v>26603</v>
      </c>
    </row>
    <row r="3946">
      <c r="A3946" s="4">
        <v>45534.34843085648</v>
      </c>
      <c r="B3946" s="5" t="s">
        <v>34</v>
      </c>
      <c r="D3946" s="5" t="s">
        <v>9020</v>
      </c>
      <c r="E3946" s="5" t="s">
        <v>26604</v>
      </c>
      <c r="F3946" s="5" t="s">
        <v>72</v>
      </c>
      <c r="G3946" s="5" t="s">
        <v>26605</v>
      </c>
      <c r="H3946" s="6" t="s">
        <v>26606</v>
      </c>
      <c r="I3946" s="7" t="s">
        <v>26607</v>
      </c>
      <c r="J3946" s="8" t="str">
        <f>HYPERLINK("https://drive.google.com/file/d/16EaAlbgfD-4vpu-tlTelK-NgQtAezxzT/view?usp=drivesdk","ERWIN MULIADI  SERTIFIKAT BerAKHLAK")</f>
        <v>ERWIN MULIADI  SERTIFIKAT BerAKHLAK</v>
      </c>
      <c r="K3946" s="5" t="s">
        <v>26430</v>
      </c>
      <c r="L3946" s="5" t="s">
        <v>26608</v>
      </c>
      <c r="M3946" s="5" t="s">
        <v>26609</v>
      </c>
      <c r="N3946" s="7" t="s">
        <v>26610</v>
      </c>
      <c r="O3946" s="8" t="str">
        <f>HYPERLINK("https://drive.google.com/file/d/1g3Iw7SxMARcT8k-zsBojMoba0-C9wo7s/view?usp=drivesdk","3945_ERWIN MULIADI  _ SERTIFIKAT BerAKHLAK")</f>
        <v>3945_ERWIN MULIADI  _ SERTIFIKAT BerAKHLAK</v>
      </c>
      <c r="P3946" s="5" t="s">
        <v>26603</v>
      </c>
    </row>
    <row r="3947">
      <c r="A3947" s="4">
        <v>45534.34844913194</v>
      </c>
      <c r="B3947" s="5" t="s">
        <v>34</v>
      </c>
      <c r="D3947" s="5" t="s">
        <v>12978</v>
      </c>
      <c r="E3947" s="5" t="s">
        <v>26611</v>
      </c>
      <c r="F3947" s="5" t="s">
        <v>120</v>
      </c>
      <c r="G3947" s="5" t="s">
        <v>26612</v>
      </c>
      <c r="H3947" s="6" t="s">
        <v>26613</v>
      </c>
      <c r="I3947" s="7" t="s">
        <v>26614</v>
      </c>
      <c r="J3947" s="8" t="str">
        <f>HYPERLINK("https://drive.google.com/file/d/1fAbxfj9PglCqZjzxCtyC0yO2k2Me3WPN/view?usp=drivesdk","Henny Ernaida S.Sos.Msi SERTIFIKAT BerAKHLAK")</f>
        <v>Henny Ernaida S.Sos.Msi SERTIFIKAT BerAKHLAK</v>
      </c>
      <c r="K3947" s="5" t="s">
        <v>26430</v>
      </c>
      <c r="L3947" s="5" t="s">
        <v>26615</v>
      </c>
      <c r="M3947" s="5" t="s">
        <v>26616</v>
      </c>
      <c r="N3947" s="7" t="s">
        <v>26617</v>
      </c>
      <c r="O3947" s="8" t="str">
        <f>HYPERLINK("https://drive.google.com/file/d/1fpUspWLjgF6OH-ANUHqNW2B7rsDIjM7g/view?usp=drivesdk","3946_Henny Ernaida S.Sos.Msi _ SERTIFIKAT BerAKHLAK")</f>
        <v>3946_Henny Ernaida S.Sos.Msi _ SERTIFIKAT BerAKHLAK</v>
      </c>
      <c r="P3947" s="5" t="s">
        <v>26603</v>
      </c>
    </row>
    <row r="3948">
      <c r="A3948" s="4">
        <v>45534.34844990741</v>
      </c>
      <c r="B3948" s="5" t="s">
        <v>34</v>
      </c>
      <c r="D3948" s="5" t="s">
        <v>267</v>
      </c>
      <c r="E3948" s="5" t="s">
        <v>26618</v>
      </c>
      <c r="F3948" s="5" t="s">
        <v>212</v>
      </c>
      <c r="G3948" s="5" t="s">
        <v>26619</v>
      </c>
      <c r="H3948" s="6" t="s">
        <v>26620</v>
      </c>
      <c r="K3948" s="5" t="s">
        <v>26621</v>
      </c>
      <c r="M3948" s="5" t="s">
        <v>26622</v>
      </c>
      <c r="N3948" s="7" t="s">
        <v>26623</v>
      </c>
      <c r="O3948" s="8" t="str">
        <f>HYPERLINK("https://drive.google.com/file/d/1e__8oIQ6UM6FxHV9IPz5v4DmYqy_uKFa/view?usp=drivesdk","3947_DWI WASTINI _ SERTIFIKAT BerAKHLAK")</f>
        <v>3947_DWI WASTINI _ SERTIFIKAT BerAKHLAK</v>
      </c>
      <c r="P3948" s="5" t="s">
        <v>26603</v>
      </c>
    </row>
    <row r="3949">
      <c r="A3949" s="4">
        <v>45534.34845089121</v>
      </c>
      <c r="B3949" s="5" t="s">
        <v>34</v>
      </c>
      <c r="D3949" s="5" t="s">
        <v>1206</v>
      </c>
      <c r="E3949" s="5" t="s">
        <v>26624</v>
      </c>
      <c r="F3949" s="5" t="s">
        <v>37</v>
      </c>
      <c r="G3949" s="5" t="s">
        <v>26625</v>
      </c>
      <c r="H3949" s="6" t="s">
        <v>26626</v>
      </c>
      <c r="K3949" s="5" t="s">
        <v>26621</v>
      </c>
      <c r="M3949" s="5" t="s">
        <v>26627</v>
      </c>
      <c r="N3949" s="7" t="s">
        <v>26628</v>
      </c>
      <c r="O3949" s="8" t="str">
        <f>HYPERLINK("https://drive.google.com/file/d/1AZOAUhzaQZdN1OxFpqIwehP1mXC3rpkv/view?usp=drivesdk","3948_NI MATUL ULA RHD _ SERTIFIKAT BerAKHLAK")</f>
        <v>3948_NI MATUL ULA RHD _ SERTIFIKAT BerAKHLAK</v>
      </c>
      <c r="P3949" s="5" t="s">
        <v>26629</v>
      </c>
    </row>
    <row r="3950">
      <c r="A3950" s="4">
        <v>45534.348464571754</v>
      </c>
      <c r="B3950" s="5" t="s">
        <v>34</v>
      </c>
      <c r="D3950" s="5" t="s">
        <v>1206</v>
      </c>
      <c r="E3950" s="5" t="s">
        <v>26630</v>
      </c>
      <c r="F3950" s="5" t="s">
        <v>108</v>
      </c>
      <c r="G3950" s="5" t="s">
        <v>26631</v>
      </c>
      <c r="H3950" s="6" t="s">
        <v>26632</v>
      </c>
      <c r="K3950" s="5" t="s">
        <v>26621</v>
      </c>
      <c r="M3950" s="5" t="s">
        <v>26633</v>
      </c>
      <c r="N3950" s="7" t="s">
        <v>26634</v>
      </c>
      <c r="O3950" s="8" t="str">
        <f>HYPERLINK("https://drive.google.com/file/d/1PaWrlrYu-llsaF_-fPNkEG-5SjQOHTPX/view?usp=drivesdk","3949_TREINDIAS YUN PROBOWATI KAESA, A.Md _ SERTIFIKAT BerAKHLAK")</f>
        <v>3949_TREINDIAS YUN PROBOWATI KAESA, A.Md _ SERTIFIKAT BerAKHLAK</v>
      </c>
      <c r="P3950" s="5" t="s">
        <v>26629</v>
      </c>
    </row>
    <row r="3951">
      <c r="A3951" s="4">
        <v>45534.34846465278</v>
      </c>
      <c r="B3951" s="5" t="s">
        <v>34</v>
      </c>
      <c r="D3951" s="5" t="s">
        <v>1206</v>
      </c>
      <c r="E3951" s="5" t="s">
        <v>26635</v>
      </c>
      <c r="F3951" s="5" t="s">
        <v>72</v>
      </c>
      <c r="G3951" s="5" t="s">
        <v>26636</v>
      </c>
      <c r="H3951" s="6" t="s">
        <v>26637</v>
      </c>
      <c r="I3951" s="7" t="s">
        <v>26638</v>
      </c>
      <c r="J3951" s="8" t="str">
        <f>HYPERLINK("https://drive.google.com/file/d/1bzldVyQ2_QTdtTEByFUlgfr7ANL-6wrn/view?usp=drivesdk","ELLY IRIANTY OKTAVIA, S.Kep. Ns. SERTIFIKAT BerAKHLAK")</f>
        <v>ELLY IRIANTY OKTAVIA, S.Kep. Ns. SERTIFIKAT BerAKHLAK</v>
      </c>
      <c r="K3951" s="5" t="s">
        <v>26430</v>
      </c>
      <c r="L3951" s="5" t="s">
        <v>26639</v>
      </c>
      <c r="M3951" s="5" t="s">
        <v>26640</v>
      </c>
      <c r="N3951" s="7" t="s">
        <v>26641</v>
      </c>
      <c r="O3951" s="8" t="str">
        <f>HYPERLINK("https://drive.google.com/file/d/1_uBrdUYlRdN1YIVJVSTgy74SfuyRlWot/view?usp=drivesdk","3950_ELLY IRIANTY OKTAVIA, S.Kep. Ns. _ SERTIFIKAT BerAKHLAK")</f>
        <v>3950_ELLY IRIANTY OKTAVIA, S.Kep. Ns. _ SERTIFIKAT BerAKHLAK</v>
      </c>
      <c r="P3951" s="5" t="s">
        <v>26629</v>
      </c>
    </row>
    <row r="3952">
      <c r="A3952" s="4">
        <v>45534.348465648145</v>
      </c>
      <c r="B3952" s="5" t="s">
        <v>34</v>
      </c>
      <c r="D3952" s="5" t="s">
        <v>4775</v>
      </c>
      <c r="E3952" s="5" t="s">
        <v>26642</v>
      </c>
      <c r="F3952" s="5" t="s">
        <v>212</v>
      </c>
      <c r="G3952" s="5" t="s">
        <v>26643</v>
      </c>
      <c r="H3952" s="6" t="s">
        <v>26644</v>
      </c>
      <c r="I3952" s="7" t="s">
        <v>26645</v>
      </c>
      <c r="J3952" s="8" t="str">
        <f>HYPERLINK("https://drive.google.com/file/d/1K36hGgGVvbEe0ACizWvTWGDOiufOivWI/view?usp=drivesdk","DIDIK RIYANTO  SERTIFIKAT BerAKHLAK")</f>
        <v>DIDIK RIYANTO  SERTIFIKAT BerAKHLAK</v>
      </c>
      <c r="K3952" s="5" t="s">
        <v>26430</v>
      </c>
      <c r="L3952" s="5" t="s">
        <v>26646</v>
      </c>
      <c r="M3952" s="5" t="s">
        <v>26647</v>
      </c>
      <c r="N3952" s="7" t="s">
        <v>26648</v>
      </c>
      <c r="O3952" s="8" t="str">
        <f>HYPERLINK("https://drive.google.com/file/d/1eEGz5oNiyRuzw3fdfaDMxOxsHngwfozy/view?usp=drivesdk","3951_DIDIK RIYANTO  _ SERTIFIKAT BerAKHLAK")</f>
        <v>3951_DIDIK RIYANTO  _ SERTIFIKAT BerAKHLAK</v>
      </c>
      <c r="P3952" s="5" t="s">
        <v>26629</v>
      </c>
    </row>
    <row r="3953">
      <c r="A3953" s="4">
        <v>45534.3484721875</v>
      </c>
      <c r="B3953" s="5" t="s">
        <v>34</v>
      </c>
      <c r="D3953" s="5" t="s">
        <v>1206</v>
      </c>
      <c r="E3953" s="5" t="s">
        <v>26649</v>
      </c>
      <c r="F3953" s="5" t="s">
        <v>212</v>
      </c>
      <c r="G3953" s="5" t="s">
        <v>26650</v>
      </c>
      <c r="H3953" s="6" t="s">
        <v>26651</v>
      </c>
      <c r="I3953" s="7" t="s">
        <v>26652</v>
      </c>
      <c r="J3953" s="8" t="str">
        <f>HYPERLINK("https://drive.google.com/file/d/1TdY9Hy49zjYhUG6E4V5W8g0wTgwMBdXa/view?usp=drivesdk","MUJI ASTUTIK SERTIFIKAT BerAKHLAK")</f>
        <v>MUJI ASTUTIK SERTIFIKAT BerAKHLAK</v>
      </c>
      <c r="K3953" s="5" t="s">
        <v>26430</v>
      </c>
      <c r="L3953" s="5" t="s">
        <v>26653</v>
      </c>
      <c r="M3953" s="5" t="s">
        <v>26654</v>
      </c>
      <c r="N3953" s="7" t="s">
        <v>26655</v>
      </c>
      <c r="O3953" s="8" t="str">
        <f>HYPERLINK("https://drive.google.com/file/d/1jFhSxBDQPnbeNsb8YKJ71agYCdxBm6vw/view?usp=drivesdk","3952_MUJI ASTUTIK _ SERTIFIKAT BerAKHLAK")</f>
        <v>3952_MUJI ASTUTIK _ SERTIFIKAT BerAKHLAK</v>
      </c>
      <c r="P3953" s="5" t="s">
        <v>26629</v>
      </c>
    </row>
    <row r="3954">
      <c r="A3954" s="4">
        <v>45534.34847456019</v>
      </c>
      <c r="B3954" s="5" t="s">
        <v>34</v>
      </c>
      <c r="D3954" s="5" t="s">
        <v>35</v>
      </c>
      <c r="E3954" s="5" t="s">
        <v>26656</v>
      </c>
      <c r="F3954" s="5" t="s">
        <v>37</v>
      </c>
      <c r="G3954" s="5" t="s">
        <v>26657</v>
      </c>
      <c r="H3954" s="6" t="s">
        <v>26658</v>
      </c>
      <c r="I3954" s="7" t="s">
        <v>26659</v>
      </c>
      <c r="J3954" s="8" t="str">
        <f>HYPERLINK("https://drive.google.com/file/d/18jdAVU0g5KH_U-RnpQtAoGMX-LCDl6QF/view?usp=drivesdk","YAYAT SUMITRA SERTIFIKAT BerAKHLAK")</f>
        <v>YAYAT SUMITRA SERTIFIKAT BerAKHLAK</v>
      </c>
      <c r="K3954" s="5" t="s">
        <v>26430</v>
      </c>
      <c r="L3954" s="5" t="s">
        <v>26660</v>
      </c>
      <c r="M3954" s="5" t="s">
        <v>26661</v>
      </c>
      <c r="N3954" s="7" t="s">
        <v>26662</v>
      </c>
      <c r="O3954" s="8" t="str">
        <f>HYPERLINK("https://drive.google.com/file/d/1uh7WC-0HObac1MQ_VTolYrVZuypljkE_/view?usp=drivesdk","3953_YAYAT SUMITRA _ SERTIFIKAT BerAKHLAK")</f>
        <v>3953_YAYAT SUMITRA _ SERTIFIKAT BerAKHLAK</v>
      </c>
      <c r="P3954" s="5" t="s">
        <v>26663</v>
      </c>
    </row>
    <row r="3955">
      <c r="A3955" s="4">
        <v>45534.34847549768</v>
      </c>
      <c r="B3955" s="5" t="s">
        <v>34</v>
      </c>
      <c r="D3955" s="5" t="s">
        <v>6232</v>
      </c>
      <c r="E3955" s="5" t="s">
        <v>26664</v>
      </c>
      <c r="F3955" s="5" t="s">
        <v>524</v>
      </c>
      <c r="G3955" s="5" t="s">
        <v>26665</v>
      </c>
      <c r="H3955" s="6" t="s">
        <v>26666</v>
      </c>
      <c r="K3955" s="5" t="s">
        <v>26667</v>
      </c>
      <c r="M3955" s="5" t="s">
        <v>26668</v>
      </c>
      <c r="N3955" s="7" t="s">
        <v>26669</v>
      </c>
      <c r="O3955" s="8" t="str">
        <f>HYPERLINK("https://drive.google.com/file/d/1FqK5No8DT3Tva7WF54IkFlAGeg4KZwQF/view?usp=drivesdk","3954_EKA DEWITA _ SERTIFIKAT BerAKHLAK")</f>
        <v>3954_EKA DEWITA _ SERTIFIKAT BerAKHLAK</v>
      </c>
      <c r="P3955" s="5" t="s">
        <v>26663</v>
      </c>
    </row>
    <row r="3956">
      <c r="A3956" s="4">
        <v>45534.34847986111</v>
      </c>
      <c r="B3956" s="5" t="s">
        <v>34</v>
      </c>
      <c r="D3956" s="5" t="s">
        <v>701</v>
      </c>
      <c r="E3956" s="5" t="s">
        <v>26670</v>
      </c>
      <c r="F3956" s="5" t="s">
        <v>524</v>
      </c>
      <c r="G3956" s="5" t="s">
        <v>26671</v>
      </c>
      <c r="H3956" s="6" t="s">
        <v>26672</v>
      </c>
      <c r="K3956" s="5" t="s">
        <v>26667</v>
      </c>
      <c r="M3956" s="5" t="s">
        <v>26673</v>
      </c>
      <c r="N3956" s="7" t="s">
        <v>26674</v>
      </c>
      <c r="O3956" s="8" t="str">
        <f>HYPERLINK("https://drive.google.com/file/d/1LzYv3OJ7YWAbglx0tWzggr-dMWliSSIv/view?usp=drivesdk","3955_ILHAM RAMADHAN, S.Kep. _ SERTIFIKAT BerAKHLAK")</f>
        <v>3955_ILHAM RAMADHAN, S.Kep. _ SERTIFIKAT BerAKHLAK</v>
      </c>
      <c r="P3956" s="5" t="s">
        <v>26663</v>
      </c>
    </row>
    <row r="3957">
      <c r="A3957" s="4">
        <v>45534.348491701385</v>
      </c>
      <c r="B3957" s="5" t="s">
        <v>34</v>
      </c>
      <c r="D3957" s="5" t="s">
        <v>9020</v>
      </c>
      <c r="E3957" s="5" t="s">
        <v>26675</v>
      </c>
      <c r="F3957" s="5" t="s">
        <v>108</v>
      </c>
      <c r="G3957" s="5" t="s">
        <v>26676</v>
      </c>
      <c r="H3957" s="6" t="s">
        <v>26677</v>
      </c>
      <c r="K3957" s="5" t="s">
        <v>26667</v>
      </c>
      <c r="M3957" s="5" t="s">
        <v>26678</v>
      </c>
      <c r="N3957" s="7" t="s">
        <v>26679</v>
      </c>
      <c r="O3957" s="8" t="str">
        <f>HYPERLINK("https://drive.google.com/file/d/1hc8l9pLDX4MiOj1NMmy8Kmj8DJD24cM-/view?usp=drivesdk","3956_BERTHA M SIANTURI _ SERTIFIKAT BerAKHLAK")</f>
        <v>3956_BERTHA M SIANTURI _ SERTIFIKAT BerAKHLAK</v>
      </c>
      <c r="P3957" s="5" t="s">
        <v>26663</v>
      </c>
    </row>
    <row r="3958">
      <c r="A3958" s="4">
        <v>45534.34851261574</v>
      </c>
      <c r="B3958" s="5" t="s">
        <v>34</v>
      </c>
      <c r="D3958" s="5" t="s">
        <v>1206</v>
      </c>
      <c r="E3958" s="5" t="s">
        <v>26680</v>
      </c>
      <c r="F3958" s="5" t="s">
        <v>212</v>
      </c>
      <c r="G3958" s="5" t="s">
        <v>26681</v>
      </c>
      <c r="H3958" s="6" t="s">
        <v>26682</v>
      </c>
      <c r="I3958" s="7" t="s">
        <v>26683</v>
      </c>
      <c r="J3958" s="8" t="str">
        <f>HYPERLINK("https://drive.google.com/file/d/1Epbck5SqpKIvXa13lluOmFCl_zLsHUBs/view?usp=drivesdk","HERUWANTO SERTIFIKAT BerAKHLAK")</f>
        <v>HERUWANTO SERTIFIKAT BerAKHLAK</v>
      </c>
      <c r="K3958" s="5" t="s">
        <v>26430</v>
      </c>
      <c r="L3958" s="5" t="s">
        <v>26684</v>
      </c>
      <c r="M3958" s="5" t="s">
        <v>26685</v>
      </c>
      <c r="N3958" s="7" t="s">
        <v>26686</v>
      </c>
      <c r="O3958" s="8" t="str">
        <f>HYPERLINK("https://drive.google.com/file/d/1RQ5O_G1_uwMt2ufcCtNJRN5PMcLvxZr4/view?usp=drivesdk","3957_HERUWANTO _ SERTIFIKAT BerAKHLAK")</f>
        <v>3957_HERUWANTO _ SERTIFIKAT BerAKHLAK</v>
      </c>
      <c r="P3958" s="5" t="s">
        <v>26663</v>
      </c>
    </row>
    <row r="3959">
      <c r="A3959" s="4">
        <v>45534.34852167824</v>
      </c>
      <c r="B3959" s="5" t="s">
        <v>34</v>
      </c>
      <c r="D3959" s="5" t="s">
        <v>1206</v>
      </c>
      <c r="E3959" s="5" t="s">
        <v>26687</v>
      </c>
      <c r="F3959" s="5" t="s">
        <v>37</v>
      </c>
      <c r="G3959" s="5" t="s">
        <v>26688</v>
      </c>
      <c r="H3959" s="6" t="s">
        <v>26689</v>
      </c>
      <c r="I3959" s="7" t="s">
        <v>26690</v>
      </c>
      <c r="J3959" s="8" t="str">
        <f>HYPERLINK("https://drive.google.com/file/d/1oI5VXcLjxtWUe1D8TpzC2l1dt1DvZytS/view?usp=drivesdk","AMIR SUBEKTI SERTIFIKAT BerAKHLAK")</f>
        <v>AMIR SUBEKTI SERTIFIKAT BerAKHLAK</v>
      </c>
      <c r="K3959" s="5" t="s">
        <v>26430</v>
      </c>
      <c r="L3959" s="5" t="s">
        <v>26691</v>
      </c>
      <c r="M3959" s="5" t="s">
        <v>26692</v>
      </c>
      <c r="N3959" s="7" t="s">
        <v>26693</v>
      </c>
      <c r="O3959" s="8" t="str">
        <f>HYPERLINK("https://drive.google.com/file/d/1ZnFgBXe1MCpN3B3jZjgTBVkEtEnzvNvf/view?usp=drivesdk","3958_AMIR SUBEKTI _ SERTIFIKAT BerAKHLAK")</f>
        <v>3958_AMIR SUBEKTI _ SERTIFIKAT BerAKHLAK</v>
      </c>
      <c r="P3959" s="5" t="s">
        <v>26694</v>
      </c>
    </row>
    <row r="3960">
      <c r="A3960" s="4">
        <v>45534.348526180554</v>
      </c>
      <c r="B3960" s="5" t="s">
        <v>34</v>
      </c>
      <c r="D3960" s="5" t="s">
        <v>12978</v>
      </c>
      <c r="E3960" s="5" t="s">
        <v>26695</v>
      </c>
      <c r="F3960" s="5" t="s">
        <v>524</v>
      </c>
      <c r="G3960" s="5" t="s">
        <v>26696</v>
      </c>
      <c r="H3960" s="6" t="s">
        <v>26697</v>
      </c>
      <c r="I3960" s="7" t="s">
        <v>26698</v>
      </c>
      <c r="J3960" s="8" t="str">
        <f>HYPERLINK("https://drive.google.com/file/d/1J1-jSx13Rys7eZtcKrtPtYmt9rhcHsMa/view?usp=drivesdk","APRIANI SIAHAAN SERTIFIKAT BerAKHLAK")</f>
        <v>APRIANI SIAHAAN SERTIFIKAT BerAKHLAK</v>
      </c>
      <c r="K3960" s="5" t="s">
        <v>26430</v>
      </c>
      <c r="L3960" s="5" t="s">
        <v>26699</v>
      </c>
      <c r="M3960" s="5" t="s">
        <v>26700</v>
      </c>
      <c r="N3960" s="7" t="s">
        <v>26701</v>
      </c>
      <c r="O3960" s="8" t="str">
        <f>HYPERLINK("https://drive.google.com/file/d/1AM2FQeACYyJp9KDkpotovTHVoxyb_qLI/view?usp=drivesdk","3959_APRIANI SIAHAAN _ SERTIFIKAT BerAKHLAK")</f>
        <v>3959_APRIANI SIAHAAN _ SERTIFIKAT BerAKHLAK</v>
      </c>
      <c r="P3960" s="5" t="s">
        <v>26694</v>
      </c>
    </row>
    <row r="3961">
      <c r="A3961" s="4">
        <v>45534.3485372338</v>
      </c>
      <c r="B3961" s="5" t="s">
        <v>34</v>
      </c>
      <c r="D3961" s="5" t="s">
        <v>12978</v>
      </c>
      <c r="E3961" s="5" t="s">
        <v>26702</v>
      </c>
      <c r="F3961" s="5" t="s">
        <v>524</v>
      </c>
      <c r="G3961" s="5" t="s">
        <v>26703</v>
      </c>
      <c r="H3961" s="6" t="s">
        <v>26704</v>
      </c>
      <c r="I3961" s="7" t="s">
        <v>26705</v>
      </c>
      <c r="J3961" s="8" t="str">
        <f>HYPERLINK("https://drive.google.com/file/d/1Fd3AYMC2eZ4g-Icyf4RebocLw4SQE4YF/view?usp=drivesdk","RINDA UTAMA,SH SERTIFIKAT BerAKHLAK")</f>
        <v>RINDA UTAMA,SH SERTIFIKAT BerAKHLAK</v>
      </c>
      <c r="K3961" s="5" t="s">
        <v>26430</v>
      </c>
      <c r="L3961" s="5" t="s">
        <v>26706</v>
      </c>
      <c r="M3961" s="5" t="s">
        <v>26707</v>
      </c>
      <c r="N3961" s="7" t="s">
        <v>26708</v>
      </c>
      <c r="O3961" s="8" t="str">
        <f>HYPERLINK("https://drive.google.com/file/d/1EZ34UeClakzC3R1WjHLWBYR0dkrfyLdm/view?usp=drivesdk","3960_RINDA UTAMA,SH _ SERTIFIKAT BerAKHLAK")</f>
        <v>3960_RINDA UTAMA,SH _ SERTIFIKAT BerAKHLAK</v>
      </c>
      <c r="P3961" s="5" t="s">
        <v>26694</v>
      </c>
    </row>
    <row r="3962">
      <c r="A3962" s="4">
        <v>45534.34854569445</v>
      </c>
      <c r="B3962" s="5" t="s">
        <v>34</v>
      </c>
      <c r="D3962" s="5" t="s">
        <v>1768</v>
      </c>
      <c r="E3962" s="5" t="s">
        <v>26709</v>
      </c>
      <c r="F3962" s="5" t="s">
        <v>108</v>
      </c>
      <c r="G3962" s="5" t="s">
        <v>26710</v>
      </c>
      <c r="H3962" s="6" t="s">
        <v>26711</v>
      </c>
      <c r="K3962" s="5" t="s">
        <v>26712</v>
      </c>
      <c r="M3962" s="5" t="s">
        <v>26713</v>
      </c>
      <c r="N3962" s="7" t="s">
        <v>26714</v>
      </c>
      <c r="O3962" s="8" t="str">
        <f>HYPERLINK("https://drive.google.com/file/d/1qhwH7r_54wZ5Nd2nXVX7fSDa8xuJCbuu/view?usp=drivesdk","3961_ANNISA LATIFAH, S.Keb _ SERTIFIKAT BerAKHLAK")</f>
        <v>3961_ANNISA LATIFAH, S.Keb _ SERTIFIKAT BerAKHLAK</v>
      </c>
      <c r="P3962" s="5" t="s">
        <v>26694</v>
      </c>
    </row>
    <row r="3963">
      <c r="A3963" s="4">
        <v>45534.34854695602</v>
      </c>
      <c r="B3963" s="5" t="s">
        <v>34</v>
      </c>
      <c r="D3963" s="5" t="s">
        <v>522</v>
      </c>
      <c r="E3963" s="5" t="s">
        <v>22497</v>
      </c>
      <c r="F3963" s="5" t="s">
        <v>37</v>
      </c>
      <c r="G3963" s="5" t="s">
        <v>22498</v>
      </c>
      <c r="H3963" s="6" t="s">
        <v>26715</v>
      </c>
      <c r="K3963" s="5" t="s">
        <v>26712</v>
      </c>
      <c r="M3963" s="5" t="s">
        <v>26716</v>
      </c>
      <c r="N3963" s="7" t="s">
        <v>26717</v>
      </c>
      <c r="O3963" s="8" t="str">
        <f>HYPERLINK("https://drive.google.com/file/d/1amIo1Fw59QohF_3uWdadgJYA8chc_Gj2/view?usp=drivesdk","3962_Ni Luh Sudiani _ SERTIFIKAT BerAKHLAK")</f>
        <v>3962_Ni Luh Sudiani _ SERTIFIKAT BerAKHLAK</v>
      </c>
      <c r="P3963" s="5" t="s">
        <v>26694</v>
      </c>
    </row>
    <row r="3964">
      <c r="A3964" s="4">
        <v>45534.34855027778</v>
      </c>
      <c r="B3964" s="5" t="s">
        <v>34</v>
      </c>
      <c r="D3964" s="5" t="s">
        <v>1206</v>
      </c>
      <c r="E3964" s="5" t="s">
        <v>26718</v>
      </c>
      <c r="F3964" s="5" t="s">
        <v>120</v>
      </c>
      <c r="G3964" s="5" t="s">
        <v>26719</v>
      </c>
      <c r="H3964" s="6" t="s">
        <v>26720</v>
      </c>
      <c r="I3964" s="7" t="s">
        <v>26721</v>
      </c>
      <c r="J3964" s="8" t="str">
        <f>HYPERLINK("https://drive.google.com/file/d/12EujYx1wOnQ8kQFffuKIS4ngpBwe5dee/view?usp=drivesdk","NINIK SETYORINI, S.E. SERTIFIKAT BerAKHLAK")</f>
        <v>NINIK SETYORINI, S.E. SERTIFIKAT BerAKHLAK</v>
      </c>
      <c r="K3964" s="5" t="s">
        <v>26430</v>
      </c>
      <c r="L3964" s="5" t="s">
        <v>26722</v>
      </c>
      <c r="M3964" s="5" t="s">
        <v>26723</v>
      </c>
      <c r="N3964" s="7" t="s">
        <v>26724</v>
      </c>
      <c r="O3964" s="8" t="str">
        <f>HYPERLINK("https://drive.google.com/file/d/1ltyk1wD6f-ownKvccRP8EG_6HdCytm-Z/view?usp=drivesdk","3963_NINIK SETYORINI, S.E. _ SERTIFIKAT BerAKHLAK")</f>
        <v>3963_NINIK SETYORINI, S.E. _ SERTIFIKAT BerAKHLAK</v>
      </c>
      <c r="P3964" s="5" t="s">
        <v>26725</v>
      </c>
    </row>
    <row r="3965">
      <c r="A3965" s="4">
        <v>45534.34855285879</v>
      </c>
      <c r="B3965" s="5" t="s">
        <v>34</v>
      </c>
      <c r="D3965" s="5" t="s">
        <v>9020</v>
      </c>
      <c r="E3965" s="5" t="s">
        <v>26726</v>
      </c>
      <c r="F3965" s="5" t="s">
        <v>715</v>
      </c>
      <c r="G3965" s="5" t="s">
        <v>26727</v>
      </c>
      <c r="H3965" s="6" t="s">
        <v>26728</v>
      </c>
      <c r="I3965" s="7" t="s">
        <v>26729</v>
      </c>
      <c r="J3965" s="8" t="str">
        <f>HYPERLINK("https://drive.google.com/file/d/138rSDp3rySntHjA-8onNNC75sAWw0vWE/view?usp=drivesdk","DESRIANA SIHOMBING, SE SERTIFIKAT BerAKHLAK")</f>
        <v>DESRIANA SIHOMBING, SE SERTIFIKAT BerAKHLAK</v>
      </c>
      <c r="K3965" s="5" t="s">
        <v>26430</v>
      </c>
      <c r="L3965" s="5" t="s">
        <v>26730</v>
      </c>
      <c r="M3965" s="5" t="s">
        <v>26731</v>
      </c>
      <c r="N3965" s="7" t="s">
        <v>26732</v>
      </c>
      <c r="O3965" s="8" t="str">
        <f>HYPERLINK("https://drive.google.com/file/d/1n6YsuvfYe6yjHfXiKW6xeIa6cZrt4gTi/view?usp=drivesdk","3964_DESRIANA SIHOMBING, SE _ SERTIFIKAT BerAKHLAK")</f>
        <v>3964_DESRIANA SIHOMBING, SE _ SERTIFIKAT BerAKHLAK</v>
      </c>
      <c r="P3965" s="5" t="s">
        <v>26725</v>
      </c>
    </row>
    <row r="3966">
      <c r="A3966" s="4">
        <v>45534.34855679398</v>
      </c>
      <c r="B3966" s="5" t="s">
        <v>34</v>
      </c>
      <c r="D3966" s="5" t="s">
        <v>1206</v>
      </c>
      <c r="E3966" s="5" t="s">
        <v>26733</v>
      </c>
      <c r="F3966" s="5" t="s">
        <v>37</v>
      </c>
      <c r="G3966" s="5" t="s">
        <v>26734</v>
      </c>
      <c r="H3966" s="6" t="s">
        <v>26735</v>
      </c>
      <c r="I3966" s="7" t="s">
        <v>26736</v>
      </c>
      <c r="J3966" s="8" t="str">
        <f>HYPERLINK("https://drive.google.com/file/d/1XaFxw4uuf5vResD0mI8J8XiCpBiolTzH/view?usp=drivesdk","TRI CAHYONO SERTIFIKAT BerAKHLAK")</f>
        <v>TRI CAHYONO SERTIFIKAT BerAKHLAK</v>
      </c>
      <c r="K3966" s="5" t="s">
        <v>26430</v>
      </c>
      <c r="L3966" s="5" t="s">
        <v>26737</v>
      </c>
      <c r="M3966" s="5" t="s">
        <v>26738</v>
      </c>
      <c r="N3966" s="7" t="s">
        <v>26739</v>
      </c>
      <c r="O3966" s="8" t="str">
        <f>HYPERLINK("https://drive.google.com/file/d/1LywEY0DOMnnjHFn6KvOaH48Uym1jcUQt/view?usp=drivesdk","3965_TRI CAHYONO _ SERTIFIKAT BerAKHLAK")</f>
        <v>3965_TRI CAHYONO _ SERTIFIKAT BerAKHLAK</v>
      </c>
      <c r="P3966" s="5" t="s">
        <v>26725</v>
      </c>
    </row>
    <row r="3967">
      <c r="A3967" s="4">
        <v>45534.34856020834</v>
      </c>
      <c r="B3967" s="5" t="s">
        <v>34</v>
      </c>
      <c r="D3967" s="5" t="s">
        <v>1206</v>
      </c>
      <c r="E3967" s="5" t="s">
        <v>26740</v>
      </c>
      <c r="F3967" s="5" t="s">
        <v>72</v>
      </c>
      <c r="G3967" s="5" t="s">
        <v>26741</v>
      </c>
      <c r="H3967" s="6" t="s">
        <v>26742</v>
      </c>
      <c r="I3967" s="7" t="s">
        <v>26743</v>
      </c>
      <c r="J3967" s="8" t="str">
        <f>HYPERLINK("https://drive.google.com/file/d/1bG1pElJyQAWTnPfFeHv4WPPhyN8U5_Xo/view?usp=drivesdk","SUKESTIN, S.Psi SERTIFIKAT BerAKHLAK")</f>
        <v>SUKESTIN, S.Psi SERTIFIKAT BerAKHLAK</v>
      </c>
      <c r="K3967" s="5" t="s">
        <v>26430</v>
      </c>
      <c r="L3967" s="5" t="s">
        <v>26744</v>
      </c>
      <c r="M3967" s="5" t="s">
        <v>26745</v>
      </c>
      <c r="N3967" s="7" t="s">
        <v>26746</v>
      </c>
      <c r="O3967" s="8" t="str">
        <f>HYPERLINK("https://drive.google.com/file/d/1rlyheeqDYIwUkTXGz12fsFrZRol0EsHg/view?usp=drivesdk","3966_SUKESTIN, S.Psi _ SERTIFIKAT BerAKHLAK")</f>
        <v>3966_SUKESTIN, S.Psi _ SERTIFIKAT BerAKHLAK</v>
      </c>
      <c r="P3967" s="5" t="s">
        <v>26725</v>
      </c>
    </row>
    <row r="3968">
      <c r="A3968" s="4">
        <v>45534.34856844907</v>
      </c>
      <c r="B3968" s="5" t="s">
        <v>34</v>
      </c>
      <c r="D3968" s="5" t="s">
        <v>1206</v>
      </c>
      <c r="E3968" s="5" t="s">
        <v>26747</v>
      </c>
      <c r="F3968" s="5" t="s">
        <v>212</v>
      </c>
      <c r="G3968" s="5" t="s">
        <v>26748</v>
      </c>
      <c r="H3968" s="6" t="s">
        <v>26749</v>
      </c>
      <c r="I3968" s="7" t="s">
        <v>26750</v>
      </c>
      <c r="J3968" s="8" t="str">
        <f>HYPERLINK("https://drive.google.com/file/d/1iVBI5NKOQWwhAtnPbBS5lb4nHqpvJPjW/view?usp=drivesdk","Vonne Agustien Tasiam SERTIFIKAT BerAKHLAK")</f>
        <v>Vonne Agustien Tasiam SERTIFIKAT BerAKHLAK</v>
      </c>
      <c r="K3968" s="5" t="s">
        <v>26460</v>
      </c>
      <c r="L3968" s="5" t="s">
        <v>26751</v>
      </c>
      <c r="M3968" s="5" t="s">
        <v>26752</v>
      </c>
      <c r="N3968" s="7" t="s">
        <v>26753</v>
      </c>
      <c r="O3968" s="8" t="str">
        <f>HYPERLINK("https://drive.google.com/file/d/1eo8LKf-Hw55xCXXNBo_mg1SuwhKY3d-E/view?usp=drivesdk","3967_Vonne Agustien Tasiam _ SERTIFIKAT BerAKHLAK")</f>
        <v>3967_Vonne Agustien Tasiam _ SERTIFIKAT BerAKHLAK</v>
      </c>
      <c r="P3968" s="5" t="s">
        <v>26754</v>
      </c>
    </row>
    <row r="3969">
      <c r="A3969" s="4">
        <v>45534.348569062495</v>
      </c>
      <c r="B3969" s="5" t="s">
        <v>34</v>
      </c>
      <c r="D3969" s="5" t="s">
        <v>1206</v>
      </c>
      <c r="E3969" s="5" t="s">
        <v>26755</v>
      </c>
      <c r="F3969" s="5" t="s">
        <v>37</v>
      </c>
      <c r="G3969" s="5" t="s">
        <v>26756</v>
      </c>
      <c r="H3969" s="6" t="s">
        <v>26757</v>
      </c>
      <c r="I3969" s="7" t="s">
        <v>26758</v>
      </c>
      <c r="J3969" s="8" t="str">
        <f>HYPERLINK("https://drive.google.com/file/d/1ef7AgOYovhZmR20b5Q2DkmK2_bpVf_tq/view?usp=drivesdk","AGUSTINI SERTIFIKAT BerAKHLAK")</f>
        <v>AGUSTINI SERTIFIKAT BerAKHLAK</v>
      </c>
      <c r="K3969" s="5" t="s">
        <v>26460</v>
      </c>
      <c r="L3969" s="5" t="s">
        <v>26759</v>
      </c>
      <c r="M3969" s="5" t="s">
        <v>26760</v>
      </c>
      <c r="N3969" s="7" t="s">
        <v>26761</v>
      </c>
      <c r="O3969" s="8" t="str">
        <f>HYPERLINK("https://drive.google.com/file/d/1wY4ow9sttVEC5voLHzmN8-wuMlqsSDBF/view?usp=drivesdk","3968_AGUSTINI _ SERTIFIKAT BerAKHLAK")</f>
        <v>3968_AGUSTINI _ SERTIFIKAT BerAKHLAK</v>
      </c>
      <c r="P3969" s="5" t="s">
        <v>26754</v>
      </c>
    </row>
    <row r="3970">
      <c r="A3970" s="4">
        <v>45534.34857177083</v>
      </c>
      <c r="B3970" s="5" t="s">
        <v>34</v>
      </c>
      <c r="D3970" s="5" t="s">
        <v>14424</v>
      </c>
      <c r="E3970" s="5" t="s">
        <v>26762</v>
      </c>
      <c r="F3970" s="5" t="s">
        <v>120</v>
      </c>
      <c r="G3970" s="5" t="s">
        <v>26763</v>
      </c>
      <c r="H3970" s="6" t="s">
        <v>26764</v>
      </c>
      <c r="I3970" s="7" t="s">
        <v>26765</v>
      </c>
      <c r="J3970" s="8" t="str">
        <f>HYPERLINK("https://drive.google.com/file/d/1amoFRvcsUo04bNGmdVCS9vqqiCMo9x-Z/view?usp=drivesdk","SUKMA YULIANA SARI, S.E, M.M. SERTIFIKAT BerAKHLAK")</f>
        <v>SUKMA YULIANA SARI, S.E, M.M. SERTIFIKAT BerAKHLAK</v>
      </c>
      <c r="K3970" s="5" t="s">
        <v>26460</v>
      </c>
      <c r="L3970" s="5" t="s">
        <v>26766</v>
      </c>
      <c r="M3970" s="5" t="s">
        <v>26767</v>
      </c>
      <c r="N3970" s="7" t="s">
        <v>26768</v>
      </c>
      <c r="O3970" s="8" t="str">
        <f>HYPERLINK("https://drive.google.com/file/d/1Tek5ge3tlpMoI8HxekF2NFLbK6c8vUAz/view?usp=drivesdk","3969_SUKMA YULIANA SARI, S.E, M.M. _ SERTIFIKAT BerAKHLAK")</f>
        <v>3969_SUKMA YULIANA SARI, S.E, M.M. _ SERTIFIKAT BerAKHLAK</v>
      </c>
      <c r="P3970" s="5" t="s">
        <v>26754</v>
      </c>
    </row>
    <row r="3971">
      <c r="A3971" s="4">
        <v>45534.34857703703</v>
      </c>
      <c r="B3971" s="5" t="s">
        <v>34</v>
      </c>
      <c r="D3971" s="5" t="s">
        <v>522</v>
      </c>
      <c r="E3971" s="5" t="s">
        <v>26769</v>
      </c>
      <c r="F3971" s="5" t="s">
        <v>715</v>
      </c>
      <c r="G3971" s="5" t="s">
        <v>26770</v>
      </c>
      <c r="H3971" s="6" t="s">
        <v>26771</v>
      </c>
      <c r="K3971" s="5" t="s">
        <v>26772</v>
      </c>
      <c r="M3971" s="5" t="s">
        <v>26773</v>
      </c>
      <c r="N3971" s="7" t="s">
        <v>26774</v>
      </c>
      <c r="O3971" s="8" t="str">
        <f>HYPERLINK("https://drive.google.com/file/d/1trJTILIbOHM5AtSXxZQW1E5flNgUhvyr/view?usp=drivesdk","3970_MEGAWATI,S.SOS _ SERTIFIKAT BerAKHLAK")</f>
        <v>3970_MEGAWATI,S.SOS _ SERTIFIKAT BerAKHLAK</v>
      </c>
      <c r="P3971" s="5" t="s">
        <v>26775</v>
      </c>
    </row>
    <row r="3972">
      <c r="A3972" s="4">
        <v>45534.34858277778</v>
      </c>
      <c r="B3972" s="5" t="s">
        <v>34</v>
      </c>
      <c r="D3972" s="5" t="s">
        <v>9394</v>
      </c>
      <c r="E3972" s="5" t="s">
        <v>26776</v>
      </c>
      <c r="F3972" s="5" t="s">
        <v>37</v>
      </c>
      <c r="G3972" s="5" t="s">
        <v>26777</v>
      </c>
      <c r="H3972" s="6" t="s">
        <v>26778</v>
      </c>
      <c r="K3972" s="5" t="s">
        <v>26772</v>
      </c>
      <c r="M3972" s="5" t="s">
        <v>26779</v>
      </c>
      <c r="N3972" s="7" t="s">
        <v>26780</v>
      </c>
      <c r="O3972" s="8" t="str">
        <f>HYPERLINK("https://drive.google.com/file/d/1sA_o95-in2T64nS9HclCcGAEBP_5cRxO/view?usp=drivesdk","3971_SRI ENDAH PRIHATIN _ SERTIFIKAT BerAKHLAK")</f>
        <v>3971_SRI ENDAH PRIHATIN _ SERTIFIKAT BerAKHLAK</v>
      </c>
      <c r="P3972" s="5" t="s">
        <v>26775</v>
      </c>
    </row>
    <row r="3973">
      <c r="A3973" s="4">
        <v>45534.348587002314</v>
      </c>
      <c r="B3973" s="5" t="s">
        <v>34</v>
      </c>
      <c r="D3973" s="5" t="s">
        <v>2903</v>
      </c>
      <c r="E3973" s="5" t="s">
        <v>26781</v>
      </c>
      <c r="F3973" s="5" t="s">
        <v>37</v>
      </c>
      <c r="G3973" s="5" t="s">
        <v>26782</v>
      </c>
      <c r="H3973" s="6" t="s">
        <v>26783</v>
      </c>
      <c r="K3973" s="5" t="s">
        <v>26772</v>
      </c>
      <c r="M3973" s="5" t="s">
        <v>26784</v>
      </c>
      <c r="N3973" s="7" t="s">
        <v>26785</v>
      </c>
      <c r="O3973" s="8" t="str">
        <f>HYPERLINK("https://drive.google.com/file/d/1-5FubO2jz2T40_8PIHfZoFbf0_xCveA7/view?usp=drivesdk","3972_SEPTI ANDRIANI, A.MD. KEB _ SERTIFIKAT BerAKHLAK")</f>
        <v>3972_SEPTI ANDRIANI, A.MD. KEB _ SERTIFIKAT BerAKHLAK</v>
      </c>
      <c r="P3973" s="5" t="s">
        <v>26786</v>
      </c>
    </row>
    <row r="3974">
      <c r="A3974" s="4">
        <v>45534.34858841435</v>
      </c>
      <c r="B3974" s="5" t="s">
        <v>34</v>
      </c>
      <c r="D3974" s="5" t="s">
        <v>1456</v>
      </c>
      <c r="E3974" s="5" t="s">
        <v>26787</v>
      </c>
      <c r="F3974" s="5" t="s">
        <v>212</v>
      </c>
      <c r="G3974" s="5" t="s">
        <v>26788</v>
      </c>
      <c r="H3974" s="6" t="s">
        <v>26789</v>
      </c>
      <c r="K3974" s="5" t="s">
        <v>26772</v>
      </c>
      <c r="M3974" s="5" t="s">
        <v>26790</v>
      </c>
      <c r="N3974" s="7" t="s">
        <v>26791</v>
      </c>
      <c r="O3974" s="8" t="str">
        <f>HYPERLINK("https://drive.google.com/file/d/1VyyNQl2sY28BYDW3yUxceWcJbWw0XIuc/view?usp=drivesdk","3973_LASITAWATI _ SERTIFIKAT BerAKHLAK")</f>
        <v>3973_LASITAWATI _ SERTIFIKAT BerAKHLAK</v>
      </c>
      <c r="P3974" s="5" t="s">
        <v>26786</v>
      </c>
    </row>
    <row r="3975">
      <c r="A3975" s="4">
        <v>45534.3485939699</v>
      </c>
      <c r="B3975" s="5" t="s">
        <v>34</v>
      </c>
      <c r="D3975" s="5" t="s">
        <v>35</v>
      </c>
      <c r="E3975" s="5" t="s">
        <v>26792</v>
      </c>
      <c r="F3975" s="5" t="s">
        <v>212</v>
      </c>
      <c r="G3975" s="5" t="s">
        <v>26793</v>
      </c>
      <c r="H3975" s="6" t="s">
        <v>26794</v>
      </c>
      <c r="K3975" s="5" t="s">
        <v>26772</v>
      </c>
      <c r="M3975" s="5" t="s">
        <v>26795</v>
      </c>
      <c r="N3975" s="7" t="s">
        <v>26796</v>
      </c>
      <c r="O3975" s="8" t="str">
        <f>HYPERLINK("https://drive.google.com/file/d/1PEfRo6zxNUgI13NCDB3OBcNQD4EirBxr/view?usp=drivesdk","3974_ARNENGSIH _ SERTIFIKAT BerAKHLAK")</f>
        <v>3974_ARNENGSIH _ SERTIFIKAT BerAKHLAK</v>
      </c>
      <c r="P3975" s="5" t="s">
        <v>26786</v>
      </c>
    </row>
    <row r="3976">
      <c r="A3976" s="4">
        <v>45534.34859849537</v>
      </c>
      <c r="B3976" s="5" t="s">
        <v>34</v>
      </c>
      <c r="D3976" s="5" t="s">
        <v>35</v>
      </c>
      <c r="E3976" s="5" t="s">
        <v>26797</v>
      </c>
      <c r="F3976" s="5" t="s">
        <v>37</v>
      </c>
      <c r="G3976" s="5" t="s">
        <v>26798</v>
      </c>
      <c r="H3976" s="6" t="s">
        <v>26799</v>
      </c>
      <c r="K3976" s="5" t="s">
        <v>26772</v>
      </c>
      <c r="M3976" s="5" t="s">
        <v>26800</v>
      </c>
      <c r="N3976" s="7" t="s">
        <v>26801</v>
      </c>
      <c r="O3976" s="8" t="str">
        <f>HYPERLINK("https://drive.google.com/file/d/1AcPDRN8RqcF9VIwGksilnlbvT1c62WBu/view?usp=drivesdk","3975_NURWANTI, S.KEP., NERS _ SERTIFIKAT BerAKHLAK")</f>
        <v>3975_NURWANTI, S.KEP., NERS _ SERTIFIKAT BerAKHLAK</v>
      </c>
      <c r="P3976" s="5" t="s">
        <v>26786</v>
      </c>
    </row>
    <row r="3977">
      <c r="A3977" s="4">
        <v>45534.348600694444</v>
      </c>
      <c r="B3977" s="5" t="s">
        <v>34</v>
      </c>
      <c r="D3977" s="5" t="s">
        <v>1206</v>
      </c>
      <c r="E3977" s="5" t="s">
        <v>26802</v>
      </c>
      <c r="F3977" s="5" t="s">
        <v>524</v>
      </c>
      <c r="G3977" s="5" t="s">
        <v>26803</v>
      </c>
      <c r="H3977" s="6" t="s">
        <v>26804</v>
      </c>
      <c r="K3977" s="5" t="s">
        <v>26772</v>
      </c>
      <c r="M3977" s="5" t="s">
        <v>26805</v>
      </c>
      <c r="N3977" s="7" t="s">
        <v>26806</v>
      </c>
      <c r="O3977" s="8" t="str">
        <f>HYPERLINK("https://drive.google.com/file/d/1kWawMIBfGkvO1jnmoHYi7XXxCcO0SQXk/view?usp=drivesdk","3976_SUKARTI  _ SERTIFIKAT BerAKHLAK")</f>
        <v>3976_SUKARTI  _ SERTIFIKAT BerAKHLAK</v>
      </c>
      <c r="P3977" s="5" t="s">
        <v>26807</v>
      </c>
    </row>
    <row r="3978">
      <c r="A3978" s="4">
        <v>45534.348602928236</v>
      </c>
      <c r="B3978" s="5" t="s">
        <v>34</v>
      </c>
      <c r="D3978" s="5" t="s">
        <v>4775</v>
      </c>
      <c r="E3978" s="5" t="s">
        <v>26808</v>
      </c>
      <c r="F3978" s="5" t="s">
        <v>37</v>
      </c>
      <c r="G3978" s="5" t="s">
        <v>26809</v>
      </c>
      <c r="H3978" s="6" t="s">
        <v>26810</v>
      </c>
      <c r="K3978" s="5" t="s">
        <v>26772</v>
      </c>
      <c r="M3978" s="5" t="s">
        <v>26811</v>
      </c>
      <c r="N3978" s="7" t="s">
        <v>26812</v>
      </c>
      <c r="O3978" s="8" t="str">
        <f>HYPERLINK("https://drive.google.com/file/d/1oUqcWX7PanZfQgWavbypucPtTP27r-7Y/view?usp=drivesdk","3977_SITI ROIKAH _ SERTIFIKAT BerAKHLAK")</f>
        <v>3977_SITI ROIKAH _ SERTIFIKAT BerAKHLAK</v>
      </c>
      <c r="P3978" s="5" t="s">
        <v>26807</v>
      </c>
    </row>
    <row r="3979">
      <c r="A3979" s="4">
        <v>45534.34861789352</v>
      </c>
      <c r="B3979" s="5" t="s">
        <v>34</v>
      </c>
      <c r="D3979" s="5" t="s">
        <v>4775</v>
      </c>
      <c r="E3979" s="5" t="s">
        <v>26813</v>
      </c>
      <c r="F3979" s="5" t="s">
        <v>212</v>
      </c>
      <c r="G3979" s="5" t="s">
        <v>26814</v>
      </c>
      <c r="H3979" s="6" t="s">
        <v>26815</v>
      </c>
      <c r="K3979" s="5" t="s">
        <v>26772</v>
      </c>
      <c r="M3979" s="5" t="s">
        <v>26816</v>
      </c>
      <c r="N3979" s="7" t="s">
        <v>26817</v>
      </c>
      <c r="O3979" s="8" t="str">
        <f>HYPERLINK("https://drive.google.com/file/d/1gBFnFx1xnISWenzKlCVs65HETo3Sm7Ay/view?usp=drivesdk","3978_SEPTI RIAN SARI, A.Md.Kep _ SERTIFIKAT BerAKHLAK")</f>
        <v>3978_SEPTI RIAN SARI, A.Md.Kep _ SERTIFIKAT BerAKHLAK</v>
      </c>
      <c r="P3979" s="5" t="s">
        <v>26807</v>
      </c>
    </row>
    <row r="3980">
      <c r="A3980" s="4">
        <v>45534.34862133102</v>
      </c>
      <c r="B3980" s="5" t="s">
        <v>34</v>
      </c>
      <c r="D3980" s="5" t="s">
        <v>522</v>
      </c>
      <c r="E3980" s="5" t="s">
        <v>26818</v>
      </c>
      <c r="F3980" s="5" t="s">
        <v>108</v>
      </c>
      <c r="G3980" s="5" t="s">
        <v>26819</v>
      </c>
      <c r="H3980" s="6" t="s">
        <v>26820</v>
      </c>
      <c r="K3980" s="5" t="s">
        <v>26772</v>
      </c>
      <c r="M3980" s="5" t="s">
        <v>26821</v>
      </c>
      <c r="N3980" s="7" t="s">
        <v>26822</v>
      </c>
      <c r="O3980" s="8" t="str">
        <f>HYPERLINK("https://drive.google.com/file/d/1mMWyiXMLphARyKL5MP_WY6d6Gf3Va2JL/view?usp=drivesdk","3979_SITI ZOHRAH, A.Md _ SERTIFIKAT BerAKHLAK")</f>
        <v>3979_SITI ZOHRAH, A.Md _ SERTIFIKAT BerAKHLAK</v>
      </c>
      <c r="P3980" s="5" t="s">
        <v>26807</v>
      </c>
    </row>
    <row r="3981">
      <c r="A3981" s="4">
        <v>45534.34864972222</v>
      </c>
      <c r="B3981" s="5" t="s">
        <v>34</v>
      </c>
      <c r="D3981" s="5" t="s">
        <v>12978</v>
      </c>
      <c r="E3981" s="5" t="s">
        <v>26823</v>
      </c>
      <c r="F3981" s="5" t="s">
        <v>715</v>
      </c>
      <c r="G3981" s="5" t="s">
        <v>26824</v>
      </c>
      <c r="H3981" s="6" t="s">
        <v>26825</v>
      </c>
      <c r="I3981" s="7" t="s">
        <v>26826</v>
      </c>
      <c r="J3981" s="8" t="str">
        <f>HYPERLINK("https://drive.google.com/file/d/1cytReAKv55YJwyyxd2HH1uSR9dxrsEOX/view?usp=drivesdk","SURYO WIJOYO.,S.H. SERTIFIKAT BerAKHLAK")</f>
        <v>SURYO WIJOYO.,S.H. SERTIFIKAT BerAKHLAK</v>
      </c>
      <c r="K3981" s="5" t="s">
        <v>26430</v>
      </c>
      <c r="L3981" s="5" t="s">
        <v>26827</v>
      </c>
      <c r="M3981" s="5" t="s">
        <v>26828</v>
      </c>
      <c r="N3981" s="7" t="s">
        <v>26829</v>
      </c>
      <c r="O3981" s="8" t="str">
        <f>HYPERLINK("https://drive.google.com/file/d/1UM5o2-0Xpje1RZihSL3NlEDo1SY7Y_k8/view?usp=drivesdk","3980_SURYO WIJOYO.,S.H. _ SERTIFIKAT BerAKHLAK")</f>
        <v>3980_SURYO WIJOYO.,S.H. _ SERTIFIKAT BerAKHLAK</v>
      </c>
      <c r="P3981" s="5" t="s">
        <v>26807</v>
      </c>
    </row>
    <row r="3982">
      <c r="A3982" s="4">
        <v>45534.34865064815</v>
      </c>
      <c r="B3982" s="5" t="s">
        <v>34</v>
      </c>
      <c r="D3982" s="5" t="s">
        <v>1206</v>
      </c>
      <c r="E3982" s="5" t="s">
        <v>26830</v>
      </c>
      <c r="F3982" s="5" t="s">
        <v>212</v>
      </c>
      <c r="G3982" s="5" t="s">
        <v>26831</v>
      </c>
      <c r="H3982" s="6" t="s">
        <v>26832</v>
      </c>
      <c r="I3982" s="7" t="s">
        <v>26833</v>
      </c>
      <c r="J3982" s="8" t="str">
        <f>HYPERLINK("https://drive.google.com/file/d/1eL1M13b90f3Aa_No6ckin1Nr-y_Nb8Ek/view?usp=drivesdk","Ignasius Bambang Wahyu susilo SERTIFIKAT BerAKHLAK")</f>
        <v>Ignasius Bambang Wahyu susilo SERTIFIKAT BerAKHLAK</v>
      </c>
      <c r="K3982" s="5" t="s">
        <v>26430</v>
      </c>
      <c r="L3982" s="5" t="s">
        <v>26834</v>
      </c>
      <c r="M3982" s="5" t="s">
        <v>26835</v>
      </c>
      <c r="N3982" s="7" t="s">
        <v>26836</v>
      </c>
      <c r="O3982" s="8" t="str">
        <f>HYPERLINK("https://drive.google.com/file/d/1Z4qCt-dKftQwi9MBCRzXdVGwyTB8Asjc/view?usp=drivesdk","3981_Ignasius Bambang Wahyu susilo _ SERTIFIKAT BerAKHLAK")</f>
        <v>3981_Ignasius Bambang Wahyu susilo _ SERTIFIKAT BerAKHLAK</v>
      </c>
      <c r="P3982" s="5" t="s">
        <v>26837</v>
      </c>
    </row>
    <row r="3983" hidden="1">
      <c r="A3983" s="4">
        <v>45534.34865222222</v>
      </c>
      <c r="B3983" s="5" t="s">
        <v>19</v>
      </c>
      <c r="C3983" s="5" t="s">
        <v>14000</v>
      </c>
      <c r="E3983" s="5" t="s">
        <v>26838</v>
      </c>
      <c r="F3983" s="5" t="s">
        <v>37</v>
      </c>
      <c r="G3983" s="5" t="s">
        <v>26839</v>
      </c>
      <c r="H3983" s="6" t="s">
        <v>26840</v>
      </c>
      <c r="K3983" s="5" t="s">
        <v>26841</v>
      </c>
      <c r="M3983" s="5" t="s">
        <v>26842</v>
      </c>
      <c r="N3983" s="7" t="s">
        <v>26843</v>
      </c>
      <c r="O3983" s="8" t="str">
        <f>HYPERLINK("https://drive.google.com/file/d/1LnBrcAKandZFeO3o2V1xykl-mGvddjge/view?usp=drivesdk","3982_EKA BUDI SANTOSO _ SERTIFIKAT BerAKHLAK")</f>
        <v>3982_EKA BUDI SANTOSO _ SERTIFIKAT BerAKHLAK</v>
      </c>
      <c r="P3983" s="5" t="s">
        <v>26837</v>
      </c>
    </row>
    <row r="3984">
      <c r="A3984" s="4">
        <v>45534.34865545139</v>
      </c>
      <c r="B3984" s="5" t="s">
        <v>34</v>
      </c>
      <c r="D3984" s="5" t="s">
        <v>14313</v>
      </c>
      <c r="E3984" s="5" t="s">
        <v>26844</v>
      </c>
      <c r="F3984" s="5" t="s">
        <v>212</v>
      </c>
      <c r="G3984" s="5" t="s">
        <v>26845</v>
      </c>
      <c r="H3984" s="6" t="s">
        <v>26846</v>
      </c>
      <c r="K3984" s="5" t="s">
        <v>26841</v>
      </c>
      <c r="M3984" s="5" t="s">
        <v>26847</v>
      </c>
      <c r="N3984" s="7" t="s">
        <v>26848</v>
      </c>
      <c r="O3984" s="8" t="str">
        <f>HYPERLINK("https://drive.google.com/file/d/1n8nPVPE9LRJlSWfx9r5IfCofaqGAthT9/view?usp=drivesdk","3983_SURYA KARIM,S.M. _ SERTIFIKAT BerAKHLAK")</f>
        <v>3983_SURYA KARIM,S.M. _ SERTIFIKAT BerAKHLAK</v>
      </c>
      <c r="P3984" s="5" t="s">
        <v>26837</v>
      </c>
    </row>
    <row r="3985">
      <c r="A3985" s="4">
        <v>45534.34865584491</v>
      </c>
      <c r="B3985" s="5" t="s">
        <v>34</v>
      </c>
      <c r="D3985" s="5" t="s">
        <v>4775</v>
      </c>
      <c r="E3985" s="5" t="s">
        <v>26849</v>
      </c>
      <c r="F3985" s="5" t="s">
        <v>212</v>
      </c>
      <c r="G3985" s="5" t="s">
        <v>26850</v>
      </c>
      <c r="H3985" s="6" t="s">
        <v>26851</v>
      </c>
      <c r="K3985" s="5" t="s">
        <v>26841</v>
      </c>
      <c r="M3985" s="5" t="s">
        <v>26852</v>
      </c>
      <c r="N3985" s="7" t="s">
        <v>26853</v>
      </c>
      <c r="O3985" s="8" t="str">
        <f>HYPERLINK("https://drive.google.com/file/d/1cKqXmtBft5VXSwAB8WmzgEoDQmGKJQoh/view?usp=drivesdk","3984_WIWIK ISTIYAWATI _ SERTIFIKAT BerAKHLAK")</f>
        <v>3984_WIWIK ISTIYAWATI _ SERTIFIKAT BerAKHLAK</v>
      </c>
      <c r="P3985" s="5" t="s">
        <v>26837</v>
      </c>
    </row>
    <row r="3986">
      <c r="A3986" s="4">
        <v>45534.34867744213</v>
      </c>
      <c r="B3986" s="5" t="s">
        <v>34</v>
      </c>
      <c r="D3986" s="5" t="s">
        <v>604</v>
      </c>
      <c r="E3986" s="5" t="s">
        <v>26854</v>
      </c>
      <c r="F3986" s="5" t="s">
        <v>37</v>
      </c>
      <c r="G3986" s="5" t="s">
        <v>26855</v>
      </c>
      <c r="H3986" s="6" t="s">
        <v>26856</v>
      </c>
      <c r="I3986" s="7" t="s">
        <v>26857</v>
      </c>
      <c r="J3986" s="8" t="str">
        <f>HYPERLINK("https://drive.google.com/file/d/1Q0gCuntEi_xgVlrHNuaLlG5iH5g6dR6W/view?usp=drivesdk","SRI MARYANI SERTIFIKAT BerAKHLAK")</f>
        <v>SRI MARYANI SERTIFIKAT BerAKHLAK</v>
      </c>
      <c r="K3986" s="5" t="s">
        <v>26430</v>
      </c>
      <c r="L3986" s="5" t="s">
        <v>26858</v>
      </c>
      <c r="M3986" s="5" t="s">
        <v>26859</v>
      </c>
      <c r="N3986" s="7" t="s">
        <v>26860</v>
      </c>
      <c r="O3986" s="8" t="str">
        <f>HYPERLINK("https://drive.google.com/file/d/19JO9pzp5wdadrD7mKtZuC0thxTJcj3Ji/view?usp=drivesdk","3985_SRI MARYANI _ SERTIFIKAT BerAKHLAK")</f>
        <v>3985_SRI MARYANI _ SERTIFIKAT BerAKHLAK</v>
      </c>
      <c r="P3986" s="5" t="s">
        <v>26861</v>
      </c>
    </row>
    <row r="3987">
      <c r="A3987" s="4">
        <v>45534.34868949074</v>
      </c>
      <c r="B3987" s="5" t="s">
        <v>34</v>
      </c>
      <c r="D3987" s="5" t="s">
        <v>1206</v>
      </c>
      <c r="E3987" s="5" t="s">
        <v>26862</v>
      </c>
      <c r="F3987" s="5" t="s">
        <v>108</v>
      </c>
      <c r="G3987" s="5" t="s">
        <v>26863</v>
      </c>
      <c r="H3987" s="6" t="s">
        <v>26864</v>
      </c>
      <c r="K3987" s="5" t="s">
        <v>26865</v>
      </c>
      <c r="M3987" s="5" t="s">
        <v>26866</v>
      </c>
      <c r="N3987" s="7" t="s">
        <v>26867</v>
      </c>
      <c r="O3987" s="8" t="str">
        <f>HYPERLINK("https://drive.google.com/file/d/1QwcDiX265XH4lM6276Uq6Pg-sMiuV4Bp/view?usp=drivesdk","3986_LIAN TRIANA _ SERTIFIKAT BerAKHLAK")</f>
        <v>3986_LIAN TRIANA _ SERTIFIKAT BerAKHLAK</v>
      </c>
      <c r="P3987" s="5" t="s">
        <v>26861</v>
      </c>
    </row>
    <row r="3988">
      <c r="A3988" s="4">
        <v>45534.34869296296</v>
      </c>
      <c r="B3988" s="5" t="s">
        <v>34</v>
      </c>
      <c r="D3988" s="5" t="s">
        <v>975</v>
      </c>
      <c r="E3988" s="5" t="s">
        <v>26868</v>
      </c>
      <c r="F3988" s="5" t="s">
        <v>37</v>
      </c>
      <c r="G3988" s="5" t="s">
        <v>26869</v>
      </c>
      <c r="H3988" s="6" t="s">
        <v>26870</v>
      </c>
      <c r="I3988" s="7" t="s">
        <v>26871</v>
      </c>
      <c r="J3988" s="8" t="str">
        <f>HYPERLINK("https://drive.google.com/file/d/12z3NJNqfWu_Pl_Lr3k1hFC2Ejwaz3dZs/view?usp=drivesdk","SRIWAHYUNI SERTIFIKAT BerAKHLAK")</f>
        <v>SRIWAHYUNI SERTIFIKAT BerAKHLAK</v>
      </c>
      <c r="K3988" s="5" t="s">
        <v>26430</v>
      </c>
      <c r="L3988" s="5" t="s">
        <v>26872</v>
      </c>
      <c r="M3988" s="5" t="s">
        <v>26873</v>
      </c>
      <c r="N3988" s="7" t="s">
        <v>26874</v>
      </c>
      <c r="O3988" s="8" t="str">
        <f>HYPERLINK("https://drive.google.com/file/d/11kuEIFqTDih6652m_SMemI-NF-9Apit_/view?usp=drivesdk","3987_SRIWAHYUNI _ SERTIFIKAT BerAKHLAK")</f>
        <v>3987_SRIWAHYUNI _ SERTIFIKAT BerAKHLAK</v>
      </c>
      <c r="P3988" s="5" t="s">
        <v>26861</v>
      </c>
    </row>
    <row r="3989">
      <c r="A3989" s="4">
        <v>45534.34869554398</v>
      </c>
      <c r="B3989" s="5" t="s">
        <v>34</v>
      </c>
      <c r="D3989" s="5" t="s">
        <v>4775</v>
      </c>
      <c r="E3989" s="5" t="s">
        <v>26875</v>
      </c>
      <c r="F3989" s="5" t="s">
        <v>212</v>
      </c>
      <c r="G3989" s="5" t="s">
        <v>26876</v>
      </c>
      <c r="H3989" s="6" t="s">
        <v>26877</v>
      </c>
      <c r="I3989" s="7" t="s">
        <v>26878</v>
      </c>
      <c r="J3989" s="8" t="str">
        <f>HYPERLINK("https://drive.google.com/file/d/1ch_qiLN5xteQIZohvSbFLj0ySgQMf278/view?usp=drivesdk","SUDIYO SERTIFIKAT BerAKHLAK")</f>
        <v>SUDIYO SERTIFIKAT BerAKHLAK</v>
      </c>
      <c r="K3989" s="5" t="s">
        <v>26430</v>
      </c>
      <c r="L3989" s="5" t="s">
        <v>26879</v>
      </c>
      <c r="M3989" s="5" t="s">
        <v>26880</v>
      </c>
      <c r="N3989" s="7" t="s">
        <v>26881</v>
      </c>
      <c r="O3989" s="8" t="str">
        <f>HYPERLINK("https://drive.google.com/file/d/10nw7uXdr5LUdX0YqHeCQehRV4UrcuZ52/view?usp=drivesdk","3988_SUDIYO _ SERTIFIKAT BerAKHLAK")</f>
        <v>3988_SUDIYO _ SERTIFIKAT BerAKHLAK</v>
      </c>
      <c r="P3989" s="5" t="s">
        <v>26861</v>
      </c>
    </row>
    <row r="3990">
      <c r="A3990" s="4">
        <v>45534.348697511574</v>
      </c>
      <c r="B3990" s="5" t="s">
        <v>34</v>
      </c>
      <c r="D3990" s="5" t="s">
        <v>604</v>
      </c>
      <c r="E3990" s="5" t="s">
        <v>26882</v>
      </c>
      <c r="F3990" s="5" t="s">
        <v>72</v>
      </c>
      <c r="G3990" s="5" t="s">
        <v>26883</v>
      </c>
      <c r="H3990" s="6" t="s">
        <v>26884</v>
      </c>
      <c r="I3990" s="7" t="s">
        <v>26885</v>
      </c>
      <c r="J3990" s="8" t="str">
        <f>HYPERLINK("https://drive.google.com/file/d/187pomCOOZLYTIGbVRL0lVudzVrcLF-PJ/view?usp=drivesdk","Dr. MARINA SERTIFIKAT BerAKHLAK")</f>
        <v>Dr. MARINA SERTIFIKAT BerAKHLAK</v>
      </c>
      <c r="K3990" s="5" t="s">
        <v>26460</v>
      </c>
      <c r="L3990" s="5" t="s">
        <v>26886</v>
      </c>
      <c r="M3990" s="5" t="s">
        <v>26887</v>
      </c>
      <c r="N3990" s="7" t="s">
        <v>26888</v>
      </c>
      <c r="O3990" s="8" t="str">
        <f>HYPERLINK("https://drive.google.com/file/d/1wGK8fUjX0oVt1aSKguB-87z2lD2l2Tju/view?usp=drivesdk","3989_Dr. MARINA _ SERTIFIKAT BerAKHLAK")</f>
        <v>3989_Dr. MARINA _ SERTIFIKAT BerAKHLAK</v>
      </c>
      <c r="P3990" s="5" t="s">
        <v>26861</v>
      </c>
    </row>
    <row r="3991">
      <c r="A3991" s="4">
        <v>45534.34870084491</v>
      </c>
      <c r="B3991" s="5" t="s">
        <v>34</v>
      </c>
      <c r="D3991" s="5" t="s">
        <v>9020</v>
      </c>
      <c r="E3991" s="5" t="s">
        <v>26889</v>
      </c>
      <c r="F3991" s="5" t="s">
        <v>524</v>
      </c>
      <c r="G3991" s="5" t="s">
        <v>26890</v>
      </c>
      <c r="H3991" s="6" t="s">
        <v>26891</v>
      </c>
      <c r="I3991" s="7" t="s">
        <v>26892</v>
      </c>
      <c r="J3991" s="8" t="str">
        <f>HYPERLINK("https://drive.google.com/file/d/198dZprrCgQqRL0tOenVeK28GXeQxms-W/view?usp=drivesdk","EKA PRASTUA RINI, SE SERTIFIKAT BerAKHLAK")</f>
        <v>EKA PRASTUA RINI, SE SERTIFIKAT BerAKHLAK</v>
      </c>
      <c r="K3991" s="5" t="s">
        <v>26460</v>
      </c>
      <c r="L3991" s="5" t="s">
        <v>26893</v>
      </c>
      <c r="M3991" s="5" t="s">
        <v>26894</v>
      </c>
      <c r="N3991" s="7" t="s">
        <v>26895</v>
      </c>
      <c r="O3991" s="8" t="str">
        <f>HYPERLINK("https://drive.google.com/file/d/1htwePqEXvxHcYh6ZLXYbFfxZzmttJvJj/view?usp=drivesdk","3990_EKA PRASTUA RINI, SE _ SERTIFIKAT BerAKHLAK")</f>
        <v>3990_EKA PRASTUA RINI, SE _ SERTIFIKAT BerAKHLAK</v>
      </c>
      <c r="P3991" s="5" t="s">
        <v>26896</v>
      </c>
    </row>
    <row r="3992">
      <c r="A3992" s="4">
        <v>45534.34870368056</v>
      </c>
      <c r="B3992" s="5" t="s">
        <v>34</v>
      </c>
      <c r="D3992" s="5" t="s">
        <v>1206</v>
      </c>
      <c r="E3992" s="5" t="s">
        <v>26897</v>
      </c>
      <c r="F3992" s="5" t="s">
        <v>72</v>
      </c>
      <c r="G3992" s="5" t="s">
        <v>26898</v>
      </c>
      <c r="H3992" s="6" t="s">
        <v>26899</v>
      </c>
      <c r="K3992" s="5" t="s">
        <v>26900</v>
      </c>
      <c r="M3992" s="5" t="s">
        <v>26901</v>
      </c>
      <c r="N3992" s="7" t="s">
        <v>26902</v>
      </c>
      <c r="O3992" s="8" t="str">
        <f>HYPERLINK("https://drive.google.com/file/d/1aFWVM4CE-n7Pm9PYz5ImyWQjCpYVBC2K/view?usp=drivesdk","3991_NINA KURNIAWATI, S.H. _ SERTIFIKAT BerAKHLAK")</f>
        <v>3991_NINA KURNIAWATI, S.H. _ SERTIFIKAT BerAKHLAK</v>
      </c>
      <c r="P3992" s="5" t="s">
        <v>26896</v>
      </c>
    </row>
    <row r="3993">
      <c r="A3993" s="4">
        <v>45534.34870598379</v>
      </c>
      <c r="B3993" s="5" t="s">
        <v>34</v>
      </c>
      <c r="D3993" s="5" t="s">
        <v>1206</v>
      </c>
      <c r="E3993" s="5" t="s">
        <v>26903</v>
      </c>
      <c r="F3993" s="5" t="s">
        <v>524</v>
      </c>
      <c r="G3993" s="5" t="s">
        <v>26904</v>
      </c>
      <c r="H3993" s="6" t="s">
        <v>26905</v>
      </c>
      <c r="K3993" s="5" t="s">
        <v>26900</v>
      </c>
      <c r="M3993" s="5" t="s">
        <v>26906</v>
      </c>
      <c r="N3993" s="7" t="s">
        <v>26907</v>
      </c>
      <c r="O3993" s="8" t="str">
        <f>HYPERLINK("https://drive.google.com/file/d/14vn4ie5UU-KPtpUfdPM40ksFMtpztS3K/view?usp=drivesdk","3992_Amiril Wieludan Suryanto _ SERTIFIKAT BerAKHLAK")</f>
        <v>3992_Amiril Wieludan Suryanto _ SERTIFIKAT BerAKHLAK</v>
      </c>
      <c r="P3993" s="5" t="s">
        <v>26896</v>
      </c>
    </row>
    <row r="3994">
      <c r="A3994" s="4">
        <v>45534.34871194445</v>
      </c>
      <c r="B3994" s="5" t="s">
        <v>34</v>
      </c>
      <c r="D3994" s="5" t="s">
        <v>1206</v>
      </c>
      <c r="E3994" s="5" t="s">
        <v>26908</v>
      </c>
      <c r="F3994" s="5" t="s">
        <v>120</v>
      </c>
      <c r="G3994" s="5" t="s">
        <v>26909</v>
      </c>
      <c r="H3994" s="6" t="s">
        <v>26910</v>
      </c>
      <c r="K3994" s="5" t="s">
        <v>26900</v>
      </c>
      <c r="M3994" s="5" t="s">
        <v>26911</v>
      </c>
      <c r="N3994" s="7" t="s">
        <v>26912</v>
      </c>
      <c r="O3994" s="8" t="str">
        <f>HYPERLINK("https://drive.google.com/file/d/1XlAQSZh1be9ipX8I0FWbhqS3m0PjOSxT/view?usp=drivesdk","3993_DR ANDI FANNY SUJUTI _ SERTIFIKAT BerAKHLAK")</f>
        <v>3993_DR ANDI FANNY SUJUTI _ SERTIFIKAT BerAKHLAK</v>
      </c>
      <c r="P3994" s="5" t="s">
        <v>26896</v>
      </c>
    </row>
    <row r="3995">
      <c r="A3995" s="4">
        <v>45534.34873171296</v>
      </c>
      <c r="B3995" s="5" t="s">
        <v>34</v>
      </c>
      <c r="D3995" s="5" t="s">
        <v>3849</v>
      </c>
      <c r="E3995" s="5" t="s">
        <v>26913</v>
      </c>
      <c r="F3995" s="5" t="s">
        <v>108</v>
      </c>
      <c r="G3995" s="5" t="s">
        <v>26914</v>
      </c>
      <c r="H3995" s="6" t="s">
        <v>26915</v>
      </c>
      <c r="K3995" s="5" t="s">
        <v>26900</v>
      </c>
      <c r="M3995" s="5" t="s">
        <v>26916</v>
      </c>
      <c r="N3995" s="7" t="s">
        <v>26917</v>
      </c>
      <c r="O3995" s="8" t="str">
        <f>HYPERLINK("https://drive.google.com/file/d/1CDZ4dYrUd4M00bO2WMJ08Wmyxr5lyJiG/view?usp=drivesdk","3994_RURI DWI RAHAYU _ SERTIFIKAT BerAKHLAK")</f>
        <v>3994_RURI DWI RAHAYU _ SERTIFIKAT BerAKHLAK</v>
      </c>
      <c r="P3995" s="5" t="s">
        <v>26918</v>
      </c>
    </row>
    <row r="3996">
      <c r="A3996" s="4">
        <v>45534.34873574074</v>
      </c>
      <c r="B3996" s="5" t="s">
        <v>34</v>
      </c>
      <c r="D3996" s="5" t="s">
        <v>1206</v>
      </c>
      <c r="E3996" s="5" t="s">
        <v>26919</v>
      </c>
      <c r="F3996" s="5" t="s">
        <v>212</v>
      </c>
      <c r="G3996" s="5" t="s">
        <v>26920</v>
      </c>
      <c r="H3996" s="6" t="s">
        <v>26921</v>
      </c>
      <c r="K3996" s="5" t="s">
        <v>26900</v>
      </c>
      <c r="M3996" s="5" t="s">
        <v>26922</v>
      </c>
      <c r="N3996" s="7" t="s">
        <v>26923</v>
      </c>
      <c r="O3996" s="8" t="str">
        <f>HYPERLINK("https://drive.google.com/file/d/1_Gdoza14n9bDnM_sLBGImVTD-DiVf1lD/view?usp=drivesdk","3995_Manambak Butar butar,SE _ SERTIFIKAT BerAKHLAK")</f>
        <v>3995_Manambak Butar butar,SE _ SERTIFIKAT BerAKHLAK</v>
      </c>
      <c r="P3996" s="5" t="s">
        <v>26918</v>
      </c>
    </row>
    <row r="3997">
      <c r="A3997" s="4">
        <v>45534.34873990741</v>
      </c>
      <c r="B3997" s="5" t="s">
        <v>34</v>
      </c>
      <c r="D3997" s="5" t="s">
        <v>1206</v>
      </c>
      <c r="E3997" s="5" t="s">
        <v>26924</v>
      </c>
      <c r="F3997" s="5" t="s">
        <v>37</v>
      </c>
      <c r="G3997" s="5" t="s">
        <v>26925</v>
      </c>
      <c r="H3997" s="6" t="s">
        <v>26926</v>
      </c>
      <c r="I3997" s="7" t="s">
        <v>26927</v>
      </c>
      <c r="J3997" s="8" t="str">
        <f>HYPERLINK("https://drive.google.com/file/d/1d0JPh61h1CaowS15a3vPpUJ0aaVtSaS3/view?usp=drivesdk","SULISTYORINI SERTIFIKAT BerAKHLAK")</f>
        <v>SULISTYORINI SERTIFIKAT BerAKHLAK</v>
      </c>
      <c r="K3997" s="5" t="s">
        <v>26430</v>
      </c>
      <c r="L3997" s="5" t="s">
        <v>26928</v>
      </c>
      <c r="M3997" s="5" t="s">
        <v>26929</v>
      </c>
      <c r="N3997" s="7" t="s">
        <v>26930</v>
      </c>
      <c r="O3997" s="8" t="str">
        <f>HYPERLINK("https://drive.google.com/file/d/1lYg6wEtKE4P0HjPNXXJBdv-xTo7NdcbN/view?usp=drivesdk","3996_SULISTYORINI _ SERTIFIKAT BerAKHLAK")</f>
        <v>3996_SULISTYORINI _ SERTIFIKAT BerAKHLAK</v>
      </c>
      <c r="P3997" s="5" t="s">
        <v>26918</v>
      </c>
    </row>
    <row r="3998">
      <c r="A3998" s="4">
        <v>45534.34874819445</v>
      </c>
      <c r="B3998" s="5" t="s">
        <v>34</v>
      </c>
      <c r="D3998" s="5" t="s">
        <v>1206</v>
      </c>
      <c r="E3998" s="5" t="s">
        <v>26931</v>
      </c>
      <c r="F3998" s="5" t="s">
        <v>37</v>
      </c>
      <c r="G3998" s="5" t="s">
        <v>26932</v>
      </c>
      <c r="H3998" s="6" t="s">
        <v>26933</v>
      </c>
      <c r="I3998" s="7" t="s">
        <v>26934</v>
      </c>
      <c r="J3998" s="8" t="str">
        <f>HYPERLINK("https://drive.google.com/file/d/1OExjfn4uJjPg7PTTB-U6Xam68wHOvsuj/view?usp=drivesdk","MOCHAMAD BAHRUDIN SERTIFIKAT BerAKHLAK")</f>
        <v>MOCHAMAD BAHRUDIN SERTIFIKAT BerAKHLAK</v>
      </c>
      <c r="K3998" s="5" t="s">
        <v>26430</v>
      </c>
      <c r="L3998" s="5" t="s">
        <v>26935</v>
      </c>
      <c r="M3998" s="5" t="s">
        <v>26936</v>
      </c>
      <c r="N3998" s="7" t="s">
        <v>26937</v>
      </c>
      <c r="O3998" s="8" t="str">
        <f>HYPERLINK("https://drive.google.com/file/d/1HL0I08PTAG1B1hqZyKsZasYNDFKguii7/view?usp=drivesdk","3997_MOCHAMAD BAHRUDIN _ SERTIFIKAT BerAKHLAK")</f>
        <v>3997_MOCHAMAD BAHRUDIN _ SERTIFIKAT BerAKHLAK</v>
      </c>
      <c r="P3998" s="5" t="s">
        <v>26918</v>
      </c>
    </row>
    <row r="3999">
      <c r="A3999" s="4">
        <v>45534.34875671296</v>
      </c>
      <c r="B3999" s="5" t="s">
        <v>34</v>
      </c>
      <c r="D3999" s="5" t="s">
        <v>14424</v>
      </c>
      <c r="E3999" s="5" t="s">
        <v>26938</v>
      </c>
      <c r="F3999" s="5" t="s">
        <v>37</v>
      </c>
      <c r="G3999" s="5" t="s">
        <v>26939</v>
      </c>
      <c r="H3999" s="6" t="s">
        <v>26940</v>
      </c>
      <c r="I3999" s="7" t="s">
        <v>26941</v>
      </c>
      <c r="J3999" s="8" t="str">
        <f>HYPERLINK("https://drive.google.com/file/d/1k5PhfKl4j0JfSmlqe_m3qFtP4qOcTgih/view?usp=drivesdk","MUHAMMAD RIZKI AMD.FARM SERTIFIKAT BerAKHLAK")</f>
        <v>MUHAMMAD RIZKI AMD.FARM SERTIFIKAT BerAKHLAK</v>
      </c>
      <c r="K3999" s="5" t="s">
        <v>26430</v>
      </c>
      <c r="L3999" s="5" t="s">
        <v>26942</v>
      </c>
      <c r="M3999" s="5" t="s">
        <v>26943</v>
      </c>
      <c r="N3999" s="7" t="s">
        <v>26944</v>
      </c>
      <c r="O3999" s="8" t="str">
        <f>HYPERLINK("https://drive.google.com/file/d/1VRMmte7MZnKv4CUPO0h_YArvWBs0KN4U/view?usp=drivesdk","3998_MUHAMMAD RIZKI AMD.FARM _ SERTIFIKAT BerAKHLAK")</f>
        <v>3998_MUHAMMAD RIZKI AMD.FARM _ SERTIFIKAT BerAKHLAK</v>
      </c>
      <c r="P3999" s="5" t="s">
        <v>26945</v>
      </c>
    </row>
    <row r="4000">
      <c r="A4000" s="4">
        <v>45534.34876309028</v>
      </c>
      <c r="B4000" s="5" t="s">
        <v>34</v>
      </c>
      <c r="D4000" s="5" t="s">
        <v>7858</v>
      </c>
      <c r="E4000" s="5" t="s">
        <v>26946</v>
      </c>
      <c r="F4000" s="5" t="s">
        <v>524</v>
      </c>
      <c r="G4000" s="5" t="s">
        <v>26947</v>
      </c>
      <c r="H4000" s="6" t="s">
        <v>26948</v>
      </c>
      <c r="I4000" s="7" t="s">
        <v>26949</v>
      </c>
      <c r="J4000" s="8" t="str">
        <f>HYPERLINK("https://drive.google.com/file/d/1mt3fyAcwDOf7jeLf0UTGDKpYFP7ha3-b/view?usp=drivesdk","ENI YULIANI SERTIFIKAT BerAKHLAK")</f>
        <v>ENI YULIANI SERTIFIKAT BerAKHLAK</v>
      </c>
      <c r="K4000" s="5" t="s">
        <v>26460</v>
      </c>
      <c r="L4000" s="5" t="s">
        <v>26950</v>
      </c>
      <c r="M4000" s="5" t="s">
        <v>26951</v>
      </c>
      <c r="N4000" s="7" t="s">
        <v>26952</v>
      </c>
      <c r="O4000" s="8" t="str">
        <f>HYPERLINK("https://drive.google.com/file/d/1oODkZvn5_gXUmhbhNM9kj47QZP_zPu0D/view?usp=drivesdk","3999_ENI YULIANI _ SERTIFIKAT BerAKHLAK")</f>
        <v>3999_ENI YULIANI _ SERTIFIKAT BerAKHLAK</v>
      </c>
      <c r="P4000" s="5" t="s">
        <v>26945</v>
      </c>
    </row>
    <row r="4001">
      <c r="A4001" s="4">
        <v>45534.34876512732</v>
      </c>
      <c r="B4001" s="5" t="s">
        <v>34</v>
      </c>
      <c r="D4001" s="5" t="s">
        <v>4775</v>
      </c>
      <c r="E4001" s="5" t="s">
        <v>26953</v>
      </c>
      <c r="F4001" s="5" t="s">
        <v>37</v>
      </c>
      <c r="G4001" s="5" t="s">
        <v>26954</v>
      </c>
      <c r="H4001" s="6" t="s">
        <v>26955</v>
      </c>
      <c r="I4001" s="7" t="s">
        <v>26956</v>
      </c>
      <c r="J4001" s="8" t="str">
        <f>HYPERLINK("https://drive.google.com/file/d/1cZlxT16L-EfmqFd9d7pk2LXssW_xtzuN/view?usp=drivesdk","RETNO PEIHATINI  SERTIFIKAT BerAKHLAK")</f>
        <v>RETNO PEIHATINI  SERTIFIKAT BerAKHLAK</v>
      </c>
      <c r="K4001" s="5" t="s">
        <v>26460</v>
      </c>
      <c r="L4001" s="5" t="s">
        <v>26957</v>
      </c>
      <c r="M4001" s="5" t="s">
        <v>26958</v>
      </c>
      <c r="N4001" s="7" t="s">
        <v>26959</v>
      </c>
      <c r="O4001" s="8" t="str">
        <f>HYPERLINK("https://drive.google.com/file/d/1Y3OIN7bXug-MKCa7k4Vgz1nQxGjAaYYU/view?usp=drivesdk","4000_RETNO PEIHATINI  _ SERTIFIKAT BerAKHLAK")</f>
        <v>4000_RETNO PEIHATINI  _ SERTIFIKAT BerAKHLAK</v>
      </c>
      <c r="P4001" s="5" t="s">
        <v>26945</v>
      </c>
    </row>
    <row r="4002" hidden="1">
      <c r="A4002" s="4">
        <v>45534.34876878472</v>
      </c>
      <c r="B4002" s="5" t="s">
        <v>19</v>
      </c>
      <c r="C4002" s="5" t="s">
        <v>292</v>
      </c>
      <c r="E4002" s="5" t="s">
        <v>26960</v>
      </c>
      <c r="F4002" s="5" t="s">
        <v>212</v>
      </c>
      <c r="G4002" s="5" t="s">
        <v>26961</v>
      </c>
      <c r="H4002" s="6" t="s">
        <v>26962</v>
      </c>
      <c r="I4002" s="7" t="s">
        <v>26963</v>
      </c>
      <c r="J4002" s="8" t="str">
        <f>HYPERLINK("https://drive.google.com/file/d/1JrcJI12n7Xs9GjrFMCP-Lt5wLh6zpxWZ/view?usp=drivesdk","SUWARTINI SERTIFIKAT BerAKHLAK")</f>
        <v>SUWARTINI SERTIFIKAT BerAKHLAK</v>
      </c>
      <c r="K4002" s="5" t="s">
        <v>26460</v>
      </c>
      <c r="L4002" s="5" t="s">
        <v>26964</v>
      </c>
      <c r="M4002" s="5" t="s">
        <v>26965</v>
      </c>
      <c r="N4002" s="7" t="s">
        <v>26966</v>
      </c>
      <c r="O4002" s="8" t="str">
        <f>HYPERLINK("https://drive.google.com/file/d/152IG0CnraDD6OdNA-Pjfo1sgm8IpOhAn/view?usp=drivesdk","4001_SUWARTINI _ SERTIFIKAT BerAKHLAK")</f>
        <v>4001_SUWARTINI _ SERTIFIKAT BerAKHLAK</v>
      </c>
      <c r="P4002" s="5" t="s">
        <v>26945</v>
      </c>
    </row>
    <row r="4003">
      <c r="A4003" s="4">
        <v>45534.34877189815</v>
      </c>
      <c r="B4003" s="5" t="s">
        <v>34</v>
      </c>
      <c r="D4003" s="5" t="s">
        <v>1206</v>
      </c>
      <c r="E4003" s="5" t="s">
        <v>26967</v>
      </c>
      <c r="F4003" s="5" t="s">
        <v>212</v>
      </c>
      <c r="G4003" s="5" t="s">
        <v>26968</v>
      </c>
      <c r="H4003" s="6" t="s">
        <v>26969</v>
      </c>
      <c r="K4003" s="5" t="s">
        <v>26970</v>
      </c>
      <c r="M4003" s="5" t="s">
        <v>26971</v>
      </c>
      <c r="N4003" s="7" t="s">
        <v>26972</v>
      </c>
      <c r="O4003" s="8" t="str">
        <f>HYPERLINK("https://drive.google.com/file/d/1RGdSTtxfih1MPKIbanHYAIY-YcdO_rzM/view?usp=drivesdk","4002_NOVIE WIJAYANTO _ SERTIFIKAT BerAKHLAK")</f>
        <v>4002_NOVIE WIJAYANTO _ SERTIFIKAT BerAKHLAK</v>
      </c>
      <c r="P4003" s="5" t="s">
        <v>26973</v>
      </c>
    </row>
    <row r="4004">
      <c r="A4004" s="4">
        <v>45534.34878349537</v>
      </c>
      <c r="B4004" s="5" t="s">
        <v>34</v>
      </c>
      <c r="D4004" s="5" t="s">
        <v>9394</v>
      </c>
      <c r="E4004" s="5" t="s">
        <v>26974</v>
      </c>
      <c r="F4004" s="5" t="s">
        <v>37</v>
      </c>
      <c r="G4004" s="5" t="s">
        <v>26975</v>
      </c>
      <c r="H4004" s="6" t="s">
        <v>26976</v>
      </c>
      <c r="K4004" s="5" t="s">
        <v>26970</v>
      </c>
      <c r="M4004" s="5" t="s">
        <v>26977</v>
      </c>
      <c r="N4004" s="7" t="s">
        <v>26978</v>
      </c>
      <c r="O4004" s="8" t="str">
        <f>HYPERLINK("https://drive.google.com/file/d/1zPPoodhLUv0rCmYNmaGB8lr3wfgAby2B/view?usp=drivesdk","4003_WIDODO _ SERTIFIKAT BerAKHLAK")</f>
        <v>4003_WIDODO _ SERTIFIKAT BerAKHLAK</v>
      </c>
      <c r="P4004" s="5" t="s">
        <v>26973</v>
      </c>
    </row>
    <row r="4005">
      <c r="A4005" s="4">
        <v>45534.34879056713</v>
      </c>
      <c r="B4005" s="5" t="s">
        <v>34</v>
      </c>
      <c r="D4005" s="5" t="s">
        <v>280</v>
      </c>
      <c r="E4005" s="5" t="s">
        <v>26979</v>
      </c>
      <c r="F4005" s="5" t="s">
        <v>212</v>
      </c>
      <c r="G4005" s="5" t="s">
        <v>26980</v>
      </c>
      <c r="H4005" s="6" t="s">
        <v>26981</v>
      </c>
      <c r="K4005" s="5" t="s">
        <v>26970</v>
      </c>
      <c r="M4005" s="5" t="s">
        <v>26982</v>
      </c>
      <c r="N4005" s="7" t="s">
        <v>26983</v>
      </c>
      <c r="O4005" s="8" t="str">
        <f>HYPERLINK("https://drive.google.com/file/d/1Vxx8XF4mtMWzsTrglqQN8tih4YELl2Ln/view?usp=drivesdk","4004_FERMAN SYAHRIZAL,S.I.P. _ SERTIFIKAT BerAKHLAK")</f>
        <v>4004_FERMAN SYAHRIZAL,S.I.P. _ SERTIFIKAT BerAKHLAK</v>
      </c>
      <c r="P4005" s="5" t="s">
        <v>26973</v>
      </c>
    </row>
    <row r="4006" hidden="1">
      <c r="A4006" s="4">
        <v>45534.348793784724</v>
      </c>
      <c r="B4006" s="5" t="s">
        <v>19</v>
      </c>
      <c r="C4006" s="5" t="s">
        <v>292</v>
      </c>
      <c r="E4006" s="5" t="s">
        <v>26984</v>
      </c>
      <c r="F4006" s="5" t="s">
        <v>524</v>
      </c>
      <c r="G4006" s="5" t="s">
        <v>26985</v>
      </c>
      <c r="H4006" s="6" t="s">
        <v>26986</v>
      </c>
      <c r="K4006" s="5" t="s">
        <v>26970</v>
      </c>
      <c r="M4006" s="5" t="s">
        <v>26987</v>
      </c>
      <c r="N4006" s="7" t="s">
        <v>26988</v>
      </c>
      <c r="O4006" s="8" t="str">
        <f>HYPERLINK("https://drive.google.com/file/d/19aiieYJq5qR2UVHS5WyBM61GnNPzt2Ir/view?usp=drivesdk","4005_ADE RAHWANDI,Skep.Ners _ SERTIFIKAT BerAKHLAK")</f>
        <v>4005_ADE RAHWANDI,Skep.Ners _ SERTIFIKAT BerAKHLAK</v>
      </c>
      <c r="P4006" s="5" t="s">
        <v>26973</v>
      </c>
    </row>
    <row r="4007">
      <c r="A4007" s="4">
        <v>45534.34880800926</v>
      </c>
      <c r="B4007" s="5" t="s">
        <v>34</v>
      </c>
      <c r="D4007" s="5" t="s">
        <v>11527</v>
      </c>
      <c r="E4007" s="5" t="s">
        <v>26989</v>
      </c>
      <c r="F4007" s="5" t="s">
        <v>37</v>
      </c>
      <c r="G4007" s="5" t="s">
        <v>26990</v>
      </c>
      <c r="H4007" s="6" t="s">
        <v>26991</v>
      </c>
      <c r="K4007" s="5" t="s">
        <v>26970</v>
      </c>
      <c r="M4007" s="5" t="s">
        <v>26992</v>
      </c>
      <c r="N4007" s="7" t="s">
        <v>26993</v>
      </c>
      <c r="O4007" s="8" t="str">
        <f>HYPERLINK("https://drive.google.com/file/d/1alcksFIWsXBSEqdi-HKHUO2nZtb1q0jf/view?usp=drivesdk","4006_Sien Olfine Korompis _ SERTIFIKAT BerAKHLAK")</f>
        <v>4006_Sien Olfine Korompis _ SERTIFIKAT BerAKHLAK</v>
      </c>
      <c r="P4007" s="5" t="s">
        <v>26973</v>
      </c>
    </row>
    <row r="4008" hidden="1">
      <c r="A4008" s="4">
        <v>45534.34886261574</v>
      </c>
      <c r="B4008" s="5" t="s">
        <v>19</v>
      </c>
      <c r="C4008" s="5" t="s">
        <v>292</v>
      </c>
      <c r="E4008" s="5" t="s">
        <v>26994</v>
      </c>
      <c r="F4008" s="5" t="s">
        <v>524</v>
      </c>
      <c r="G4008" s="5" t="s">
        <v>26995</v>
      </c>
      <c r="H4008" s="6" t="s">
        <v>26996</v>
      </c>
      <c r="I4008" s="7" t="s">
        <v>26997</v>
      </c>
      <c r="J4008" s="8" t="str">
        <f>HYPERLINK("https://drive.google.com/file/d/1UcYRlSenOQJWfNzTQVEvGAXNbCrpQRzj/view?usp=drivesdk","Rossita Guspita Sari SERTIFIKAT BerAKHLAK")</f>
        <v>Rossita Guspita Sari SERTIFIKAT BerAKHLAK</v>
      </c>
      <c r="K4008" s="5" t="s">
        <v>26430</v>
      </c>
      <c r="L4008" s="5" t="s">
        <v>26998</v>
      </c>
      <c r="M4008" s="5" t="s">
        <v>26999</v>
      </c>
      <c r="N4008" s="7" t="s">
        <v>27000</v>
      </c>
      <c r="O4008" s="8" t="str">
        <f>HYPERLINK("https://drive.google.com/file/d/1Jxf4s415-i7px3SIU6cs13hY6LrJrORP/view?usp=drivesdk","4007_Rossita Guspita Sari _ SERTIFIKAT BerAKHLAK")</f>
        <v>4007_Rossita Guspita Sari _ SERTIFIKAT BerAKHLAK</v>
      </c>
      <c r="P4008" s="5" t="s">
        <v>27001</v>
      </c>
    </row>
    <row r="4009">
      <c r="A4009" s="4">
        <v>45534.3488675463</v>
      </c>
      <c r="B4009" s="5" t="s">
        <v>34</v>
      </c>
      <c r="D4009" s="5" t="s">
        <v>996</v>
      </c>
      <c r="E4009" s="5" t="s">
        <v>27002</v>
      </c>
      <c r="F4009" s="5" t="s">
        <v>212</v>
      </c>
      <c r="G4009" s="5" t="s">
        <v>27003</v>
      </c>
      <c r="H4009" s="6" t="s">
        <v>27004</v>
      </c>
      <c r="I4009" s="7" t="s">
        <v>27005</v>
      </c>
      <c r="J4009" s="8" t="str">
        <f>HYPERLINK("https://drive.google.com/file/d/1BOdRZcynvgQm-ZmoHYfb7pmXCRfB095C/view?usp=drivesdk","CUCU SAADAH SERTIFIKAT BerAKHLAK")</f>
        <v>CUCU SAADAH SERTIFIKAT BerAKHLAK</v>
      </c>
      <c r="K4009" s="5" t="s">
        <v>26430</v>
      </c>
      <c r="L4009" s="5" t="s">
        <v>27006</v>
      </c>
      <c r="M4009" s="5" t="s">
        <v>27007</v>
      </c>
      <c r="N4009" s="7" t="s">
        <v>27008</v>
      </c>
      <c r="O4009" s="8" t="str">
        <f>HYPERLINK("https://drive.google.com/file/d/1yDwJF8XCBR6cwBq31O3iidxLGxn452Ul/view?usp=drivesdk","4008_CUCU SAADAH _ SERTIFIKAT BerAKHLAK")</f>
        <v>4008_CUCU SAADAH _ SERTIFIKAT BerAKHLAK</v>
      </c>
      <c r="P4009" s="5" t="s">
        <v>27001</v>
      </c>
    </row>
    <row r="4010">
      <c r="A4010" s="4">
        <v>45534.34886784722</v>
      </c>
      <c r="B4010" s="5" t="s">
        <v>34</v>
      </c>
      <c r="D4010" s="5" t="s">
        <v>6232</v>
      </c>
      <c r="E4010" s="5" t="s">
        <v>27009</v>
      </c>
      <c r="F4010" s="5" t="s">
        <v>199</v>
      </c>
      <c r="G4010" s="5" t="s">
        <v>27010</v>
      </c>
      <c r="H4010" s="6" t="s">
        <v>27011</v>
      </c>
      <c r="I4010" s="7" t="s">
        <v>27012</v>
      </c>
      <c r="J4010" s="8" t="str">
        <f>HYPERLINK("https://drive.google.com/file/d/1pudCk9zSvaN4PTDthkcODTpMmU0diaTf/view?usp=drivesdk","NILAWATI.S.A.P SERTIFIKAT BerAKHLAK")</f>
        <v>NILAWATI.S.A.P SERTIFIKAT BerAKHLAK</v>
      </c>
      <c r="K4010" s="5" t="s">
        <v>26460</v>
      </c>
      <c r="L4010" s="5" t="s">
        <v>27013</v>
      </c>
      <c r="M4010" s="5" t="s">
        <v>27014</v>
      </c>
      <c r="N4010" s="7" t="s">
        <v>27015</v>
      </c>
      <c r="O4010" s="8" t="str">
        <f>HYPERLINK("https://drive.google.com/file/d/1nl0LF5GUQncTjns10NLMtEDlLJtFmc5J/view?usp=drivesdk","4009_NILAWATI.S.A.P _ SERTIFIKAT BerAKHLAK")</f>
        <v>4009_NILAWATI.S.A.P _ SERTIFIKAT BerAKHLAK</v>
      </c>
      <c r="P4010" s="5" t="s">
        <v>27001</v>
      </c>
    </row>
    <row r="4011">
      <c r="A4011" s="4">
        <v>45534.34887320602</v>
      </c>
      <c r="B4011" s="5" t="s">
        <v>34</v>
      </c>
      <c r="D4011" s="5" t="s">
        <v>35</v>
      </c>
      <c r="E4011" s="5" t="s">
        <v>17159</v>
      </c>
      <c r="F4011" s="5" t="s">
        <v>199</v>
      </c>
      <c r="G4011" s="5" t="s">
        <v>27016</v>
      </c>
      <c r="H4011" s="6" t="s">
        <v>27017</v>
      </c>
      <c r="I4011" s="7" t="s">
        <v>27018</v>
      </c>
      <c r="J4011" s="8" t="str">
        <f>HYPERLINK("https://drive.google.com/file/d/1iojiTIhb1p4L5PR1uQmhF3Q3DzyJzWeG/view?usp=drivesdk","SUHERMAN SERTIFIKAT BerAKHLAK")</f>
        <v>SUHERMAN SERTIFIKAT BerAKHLAK</v>
      </c>
      <c r="K4011" s="5" t="s">
        <v>26460</v>
      </c>
      <c r="L4011" s="5" t="s">
        <v>27019</v>
      </c>
      <c r="M4011" s="5" t="s">
        <v>27020</v>
      </c>
      <c r="N4011" s="7" t="s">
        <v>27021</v>
      </c>
      <c r="O4011" s="8" t="str">
        <f>HYPERLINK("https://drive.google.com/file/d/15iLXV9IT9abX4KZAo_Em0jDZa-t8q4WL/view?usp=drivesdk","4010_SUHERMAN _ SERTIFIKAT BerAKHLAK")</f>
        <v>4010_SUHERMAN _ SERTIFIKAT BerAKHLAK</v>
      </c>
      <c r="P4011" s="5" t="s">
        <v>27001</v>
      </c>
    </row>
    <row r="4012" hidden="1">
      <c r="A4012" s="4">
        <v>45534.348873553245</v>
      </c>
      <c r="B4012" s="5" t="s">
        <v>19</v>
      </c>
      <c r="C4012" s="5" t="s">
        <v>292</v>
      </c>
      <c r="E4012" s="5" t="s">
        <v>27022</v>
      </c>
      <c r="F4012" s="5" t="s">
        <v>375</v>
      </c>
      <c r="G4012" s="5" t="s">
        <v>27023</v>
      </c>
      <c r="H4012" s="6" t="s">
        <v>27024</v>
      </c>
      <c r="I4012" s="7" t="s">
        <v>27025</v>
      </c>
      <c r="J4012" s="8" t="str">
        <f>HYPERLINK("https://drive.google.com/file/d/1zOasguDHf0W6fe0d8I3C-CCz9xpIywmv/view?usp=drivesdk","NINING MURDININGSIH SERTIFIKAT BerAKHLAK")</f>
        <v>NINING MURDININGSIH SERTIFIKAT BerAKHLAK</v>
      </c>
      <c r="K4012" s="5" t="s">
        <v>26460</v>
      </c>
      <c r="L4012" s="5" t="s">
        <v>27026</v>
      </c>
      <c r="M4012" s="5" t="s">
        <v>27027</v>
      </c>
      <c r="N4012" s="7" t="s">
        <v>27028</v>
      </c>
      <c r="O4012" s="8" t="str">
        <f>HYPERLINK("https://drive.google.com/file/d/1-QsASZcPIUrOawP7CVUCRXkHbS8tnNNT/view?usp=drivesdk","4011_NINING MURDININGSIH _ SERTIFIKAT BerAKHLAK")</f>
        <v>4011_NINING MURDININGSIH _ SERTIFIKAT BerAKHLAK</v>
      </c>
      <c r="P4012" s="5" t="s">
        <v>27001</v>
      </c>
    </row>
    <row r="4013">
      <c r="A4013" s="4">
        <v>45534.34887407407</v>
      </c>
      <c r="B4013" s="5" t="s">
        <v>34</v>
      </c>
      <c r="D4013" s="5" t="s">
        <v>604</v>
      </c>
      <c r="E4013" s="5" t="s">
        <v>27029</v>
      </c>
      <c r="F4013" s="5" t="s">
        <v>524</v>
      </c>
      <c r="G4013" s="5" t="s">
        <v>27030</v>
      </c>
      <c r="H4013" s="6" t="s">
        <v>27031</v>
      </c>
      <c r="K4013" s="5" t="s">
        <v>27032</v>
      </c>
      <c r="M4013" s="5" t="s">
        <v>27033</v>
      </c>
      <c r="N4013" s="7" t="s">
        <v>27034</v>
      </c>
      <c r="O4013" s="8" t="str">
        <f>HYPERLINK("https://drive.google.com/file/d/1TFCzapfEuJ3CXYRbkKfU_mmmSVn--JqJ/view?usp=drivesdk","4012_Ratna Pala'biran  _ SERTIFIKAT BerAKHLAK")</f>
        <v>4012_Ratna Pala'biran  _ SERTIFIKAT BerAKHLAK</v>
      </c>
      <c r="P4013" s="5" t="s">
        <v>27035</v>
      </c>
    </row>
    <row r="4014">
      <c r="A4014" s="4">
        <v>45534.34887454861</v>
      </c>
      <c r="B4014" s="5" t="s">
        <v>34</v>
      </c>
      <c r="D4014" s="5" t="s">
        <v>975</v>
      </c>
      <c r="E4014" s="5" t="s">
        <v>27036</v>
      </c>
      <c r="F4014" s="5" t="s">
        <v>37</v>
      </c>
      <c r="G4014" s="5" t="s">
        <v>27037</v>
      </c>
      <c r="H4014" s="6" t="s">
        <v>27038</v>
      </c>
      <c r="K4014" s="5" t="s">
        <v>27032</v>
      </c>
      <c r="M4014" s="5" t="s">
        <v>27039</v>
      </c>
      <c r="N4014" s="7" t="s">
        <v>27040</v>
      </c>
      <c r="O4014" s="8" t="str">
        <f>HYPERLINK("https://drive.google.com/file/d/1JBQelOK6ZG26cqWkGiJSlNrTR7U7Aipy/view?usp=drivesdk","4013_DIANA RAVITA, A.MD.KEB _ SERTIFIKAT BerAKHLAK")</f>
        <v>4013_DIANA RAVITA, A.MD.KEB _ SERTIFIKAT BerAKHLAK</v>
      </c>
      <c r="P4014" s="5" t="s">
        <v>27035</v>
      </c>
    </row>
    <row r="4015">
      <c r="A4015" s="4">
        <v>45534.34889725695</v>
      </c>
      <c r="B4015" s="5" t="s">
        <v>34</v>
      </c>
      <c r="D4015" s="5" t="s">
        <v>1206</v>
      </c>
      <c r="E4015" s="5" t="s">
        <v>27041</v>
      </c>
      <c r="F4015" s="5" t="s">
        <v>199</v>
      </c>
      <c r="G4015" s="5" t="s">
        <v>27042</v>
      </c>
      <c r="H4015" s="6" t="s">
        <v>27043</v>
      </c>
      <c r="K4015" s="5" t="s">
        <v>27032</v>
      </c>
      <c r="M4015" s="5" t="s">
        <v>27044</v>
      </c>
      <c r="N4015" s="7" t="s">
        <v>27045</v>
      </c>
      <c r="O4015" s="8" t="str">
        <f>HYPERLINK("https://drive.google.com/file/d/1XBDb39irFZYu1BqHmck6VhigLdB4AtyZ/view?usp=drivesdk","4014_AGUS SUGIYANTO _ SERTIFIKAT BerAKHLAK")</f>
        <v>4014_AGUS SUGIYANTO _ SERTIFIKAT BerAKHLAK</v>
      </c>
      <c r="P4015" s="5" t="s">
        <v>27035</v>
      </c>
    </row>
    <row r="4016">
      <c r="A4016" s="4">
        <v>45534.348901562495</v>
      </c>
      <c r="B4016" s="5" t="s">
        <v>34</v>
      </c>
      <c r="D4016" s="5" t="s">
        <v>9394</v>
      </c>
      <c r="E4016" s="5" t="s">
        <v>27046</v>
      </c>
      <c r="F4016" s="5" t="s">
        <v>37</v>
      </c>
      <c r="G4016" s="5" t="s">
        <v>27047</v>
      </c>
      <c r="H4016" s="6" t="s">
        <v>27048</v>
      </c>
      <c r="K4016" s="5" t="s">
        <v>27032</v>
      </c>
      <c r="M4016" s="5" t="s">
        <v>27049</v>
      </c>
      <c r="N4016" s="7" t="s">
        <v>27050</v>
      </c>
      <c r="O4016" s="8" t="str">
        <f>HYPERLINK("https://drive.google.com/file/d/13jSffFwuRnXIo804L9zQggNbnYjR6YUT/view?usp=drivesdk","4015_YASWIR _ SERTIFIKAT BerAKHLAK")</f>
        <v>4015_YASWIR _ SERTIFIKAT BerAKHLAK</v>
      </c>
      <c r="P4016" s="5" t="s">
        <v>27035</v>
      </c>
    </row>
    <row r="4017">
      <c r="A4017" s="4">
        <v>45534.34891002315</v>
      </c>
      <c r="B4017" s="5" t="s">
        <v>34</v>
      </c>
      <c r="D4017" s="5" t="s">
        <v>1768</v>
      </c>
      <c r="E4017" s="5" t="s">
        <v>27051</v>
      </c>
      <c r="F4017" s="5" t="s">
        <v>120</v>
      </c>
      <c r="G4017" s="5" t="s">
        <v>27052</v>
      </c>
      <c r="H4017" s="6" t="s">
        <v>27053</v>
      </c>
      <c r="K4017" s="5" t="s">
        <v>27032</v>
      </c>
      <c r="M4017" s="5" t="s">
        <v>27054</v>
      </c>
      <c r="N4017" s="7" t="s">
        <v>27055</v>
      </c>
      <c r="O4017" s="8" t="str">
        <f>HYPERLINK("https://drive.google.com/file/d/1LLvQZcVpMjlYo3amSy4mjPBq4rbaZE_S/view?usp=drivesdk","4016_IMAN ROCHAMAN, S.H. _ SERTIFIKAT BerAKHLAK")</f>
        <v>4016_IMAN ROCHAMAN, S.H. _ SERTIFIKAT BerAKHLAK</v>
      </c>
      <c r="P4017" s="5" t="s">
        <v>27056</v>
      </c>
    </row>
    <row r="4018">
      <c r="A4018" s="4">
        <v>45534.348911712965</v>
      </c>
      <c r="B4018" s="5" t="s">
        <v>34</v>
      </c>
      <c r="D4018" s="5" t="s">
        <v>701</v>
      </c>
      <c r="E4018" s="5" t="s">
        <v>27057</v>
      </c>
      <c r="F4018" s="5" t="s">
        <v>524</v>
      </c>
      <c r="G4018" s="5" t="s">
        <v>27058</v>
      </c>
      <c r="H4018" s="6" t="s">
        <v>27059</v>
      </c>
      <c r="K4018" s="5" t="s">
        <v>27032</v>
      </c>
      <c r="M4018" s="5" t="s">
        <v>27060</v>
      </c>
      <c r="N4018" s="7" t="s">
        <v>27061</v>
      </c>
      <c r="O4018" s="8" t="str">
        <f>HYPERLINK("https://drive.google.com/file/d/1il5dgWQNUn4FNVJ6cpghteDJHrUs0hW6/view?usp=drivesdk","4017_NS. NANCY SASMITA, S.KEP _ SERTIFIKAT BerAKHLAK")</f>
        <v>4017_NS. NANCY SASMITA, S.KEP _ SERTIFIKAT BerAKHLAK</v>
      </c>
      <c r="P4018" s="5" t="s">
        <v>27056</v>
      </c>
    </row>
    <row r="4019" hidden="1">
      <c r="A4019" s="4">
        <v>45534.348923321755</v>
      </c>
      <c r="B4019" s="5" t="s">
        <v>19</v>
      </c>
      <c r="C4019" s="5" t="s">
        <v>292</v>
      </c>
      <c r="E4019" s="5" t="s">
        <v>27062</v>
      </c>
      <c r="F4019" s="5" t="s">
        <v>715</v>
      </c>
      <c r="G4019" s="5" t="s">
        <v>27063</v>
      </c>
      <c r="H4019" s="6" t="s">
        <v>27064</v>
      </c>
      <c r="I4019" s="7" t="s">
        <v>27065</v>
      </c>
      <c r="J4019" s="8" t="str">
        <f>HYPERLINK("https://drive.google.com/file/d/1N4osntDw_bAWSm_78FjSxJhrAlFgRefU/view?usp=drivesdk","E.NILAWATi.,S.KOM SERTIFIKAT BerAKHLAK")</f>
        <v>E.NILAWATi.,S.KOM SERTIFIKAT BerAKHLAK</v>
      </c>
      <c r="K4019" s="5" t="s">
        <v>26460</v>
      </c>
      <c r="L4019" s="5" t="s">
        <v>27066</v>
      </c>
      <c r="M4019" s="5" t="s">
        <v>27067</v>
      </c>
      <c r="N4019" s="7" t="s">
        <v>27068</v>
      </c>
      <c r="O4019" s="8" t="str">
        <f>HYPERLINK("https://drive.google.com/file/d/1Byu1TM0evHPznmEMi8qXf18pjVYt92_O/view?usp=drivesdk","4018_E.NILAWATi.,S.KOM _ SERTIFIKAT BerAKHLAK")</f>
        <v>4018_E.NILAWATi.,S.KOM _ SERTIFIKAT BerAKHLAK</v>
      </c>
      <c r="P4019" s="5" t="s">
        <v>27056</v>
      </c>
    </row>
    <row r="4020">
      <c r="A4020" s="4">
        <v>45534.348942881945</v>
      </c>
      <c r="B4020" s="5" t="s">
        <v>34</v>
      </c>
      <c r="D4020" s="5" t="s">
        <v>12978</v>
      </c>
      <c r="E4020" s="5" t="s">
        <v>27069</v>
      </c>
      <c r="F4020" s="5" t="s">
        <v>375</v>
      </c>
      <c r="G4020" s="5" t="s">
        <v>27070</v>
      </c>
      <c r="H4020" s="6" t="s">
        <v>27071</v>
      </c>
      <c r="K4020" s="5" t="s">
        <v>27072</v>
      </c>
      <c r="M4020" s="5" t="s">
        <v>27073</v>
      </c>
      <c r="N4020" s="7" t="s">
        <v>27074</v>
      </c>
      <c r="O4020" s="8" t="str">
        <f>HYPERLINK("https://drive.google.com/file/d/1FEJyvjef2K_qXZiJ62YfM58brzhcKO0w/view?usp=drivesdk","4019_Dwi Yana Firmawatie _ SERTIFIKAT BerAKHLAK")</f>
        <v>4019_Dwi Yana Firmawatie _ SERTIFIKAT BerAKHLAK</v>
      </c>
      <c r="P4020" s="5" t="s">
        <v>27056</v>
      </c>
    </row>
    <row r="4021">
      <c r="A4021" s="4">
        <v>45534.34894789352</v>
      </c>
      <c r="B4021" s="5" t="s">
        <v>34</v>
      </c>
      <c r="D4021" s="5" t="s">
        <v>9020</v>
      </c>
      <c r="E4021" s="5" t="s">
        <v>27075</v>
      </c>
      <c r="F4021" s="5" t="s">
        <v>212</v>
      </c>
      <c r="G4021" s="5" t="s">
        <v>27076</v>
      </c>
      <c r="H4021" s="6" t="s">
        <v>27077</v>
      </c>
      <c r="I4021" s="7" t="s">
        <v>27078</v>
      </c>
      <c r="J4021" s="8" t="str">
        <f>HYPERLINK("https://drive.google.com/file/d/1XyXyoMOVGqjt6YtURRTKS_oV1ANwYLYm/view?usp=drivesdk","SRI ARDYANTI SERTIFIKAT BerAKHLAK")</f>
        <v>SRI ARDYANTI SERTIFIKAT BerAKHLAK</v>
      </c>
      <c r="K4021" s="5" t="s">
        <v>26430</v>
      </c>
      <c r="L4021" s="5" t="s">
        <v>27079</v>
      </c>
      <c r="M4021" s="5" t="s">
        <v>27080</v>
      </c>
      <c r="N4021" s="7" t="s">
        <v>27081</v>
      </c>
      <c r="O4021" s="8" t="str">
        <f>HYPERLINK("https://drive.google.com/file/d/1-5AHqRZhttHuO_SU6T6bPANkylqub-ID/view?usp=drivesdk","4020_SRI ARDYANTI _ SERTIFIKAT BerAKHLAK")</f>
        <v>4020_SRI ARDYANTI _ SERTIFIKAT BerAKHLAK</v>
      </c>
      <c r="P4021" s="5" t="s">
        <v>27082</v>
      </c>
    </row>
    <row r="4022">
      <c r="A4022" s="4">
        <v>45534.3489484375</v>
      </c>
      <c r="B4022" s="5" t="s">
        <v>34</v>
      </c>
      <c r="D4022" s="5" t="s">
        <v>522</v>
      </c>
      <c r="E4022" s="5" t="s">
        <v>27083</v>
      </c>
      <c r="F4022" s="5" t="s">
        <v>72</v>
      </c>
      <c r="G4022" s="5" t="s">
        <v>27084</v>
      </c>
      <c r="H4022" s="6" t="s">
        <v>27085</v>
      </c>
      <c r="I4022" s="7" t="s">
        <v>27086</v>
      </c>
      <c r="J4022" s="8" t="str">
        <f>HYPERLINK("https://drive.google.com/file/d/1tZeVSk1fxLs2ba95fJLzAaC8bMoYdcB4/view?usp=drivesdk","JUNAIDI SERTIFIKAT BerAKHLAK")</f>
        <v>JUNAIDI SERTIFIKAT BerAKHLAK</v>
      </c>
      <c r="K4022" s="5" t="s">
        <v>26460</v>
      </c>
      <c r="L4022" s="5" t="s">
        <v>27087</v>
      </c>
      <c r="M4022" s="5" t="s">
        <v>27088</v>
      </c>
      <c r="N4022" s="7" t="s">
        <v>27089</v>
      </c>
      <c r="O4022" s="8" t="str">
        <f>HYPERLINK("https://drive.google.com/file/d/1PRiRi5EclSXmIpIAKzsUK-YuD0D_rCw3/view?usp=drivesdk","4021_JUNAIDI _ SERTIFIKAT BerAKHLAK")</f>
        <v>4021_JUNAIDI _ SERTIFIKAT BerAKHLAK</v>
      </c>
      <c r="P4022" s="5" t="s">
        <v>27082</v>
      </c>
    </row>
    <row r="4023">
      <c r="A4023" s="4">
        <v>45534.348964398145</v>
      </c>
      <c r="B4023" s="5" t="s">
        <v>34</v>
      </c>
      <c r="D4023" s="5" t="s">
        <v>1206</v>
      </c>
      <c r="E4023" s="5" t="s">
        <v>27090</v>
      </c>
      <c r="F4023" s="5" t="s">
        <v>37</v>
      </c>
      <c r="G4023" s="5" t="s">
        <v>27091</v>
      </c>
      <c r="H4023" s="6" t="s">
        <v>27092</v>
      </c>
      <c r="I4023" s="7" t="s">
        <v>27093</v>
      </c>
      <c r="J4023" s="8" t="str">
        <f>HYPERLINK("https://drive.google.com/file/d/1tytXRrGcJ-nLmUXMyZrpu8My0Zl2dmu5/view?usp=drivesdk","HARIS WAHYUDI  SERTIFIKAT BerAKHLAK")</f>
        <v>HARIS WAHYUDI  SERTIFIKAT BerAKHLAK</v>
      </c>
      <c r="K4023" s="5" t="s">
        <v>26460</v>
      </c>
      <c r="L4023" s="5" t="s">
        <v>27094</v>
      </c>
      <c r="M4023" s="5" t="s">
        <v>27095</v>
      </c>
      <c r="N4023" s="7" t="s">
        <v>27096</v>
      </c>
      <c r="O4023" s="8" t="str">
        <f>HYPERLINK("https://drive.google.com/file/d/1l1Z7dZ7eLnu4Vx6vZlQejvy1BQpy1lRq/view?usp=drivesdk","4022_HARIS WAHYUDI  _ SERTIFIKAT BerAKHLAK")</f>
        <v>4022_HARIS WAHYUDI  _ SERTIFIKAT BerAKHLAK</v>
      </c>
      <c r="P4023" s="5" t="s">
        <v>27082</v>
      </c>
    </row>
    <row r="4024">
      <c r="A4024" s="4">
        <v>45534.348976504625</v>
      </c>
      <c r="B4024" s="5" t="s">
        <v>34</v>
      </c>
      <c r="D4024" s="5" t="s">
        <v>12978</v>
      </c>
      <c r="E4024" s="5" t="s">
        <v>27097</v>
      </c>
      <c r="F4024" s="5" t="s">
        <v>108</v>
      </c>
      <c r="G4024" s="5" t="s">
        <v>27098</v>
      </c>
      <c r="H4024" s="6" t="s">
        <v>27099</v>
      </c>
      <c r="I4024" s="7" t="s">
        <v>27100</v>
      </c>
      <c r="J4024" s="8" t="str">
        <f>HYPERLINK("https://drive.google.com/file/d/1YhYA82_hbwa6EWb9k6ztvnMjRnBMZRXk/view?usp=drivesdk","JUMIRAH SERTIFIKAT BerAKHLAK")</f>
        <v>JUMIRAH SERTIFIKAT BerAKHLAK</v>
      </c>
      <c r="K4024" s="5" t="s">
        <v>26460</v>
      </c>
      <c r="L4024" s="5" t="s">
        <v>27101</v>
      </c>
      <c r="M4024" s="5" t="s">
        <v>27102</v>
      </c>
      <c r="N4024" s="7" t="s">
        <v>27103</v>
      </c>
      <c r="O4024" s="8" t="str">
        <f>HYPERLINK("https://drive.google.com/file/d/1roHXQeEiBRdfa93SNzxHrmh5CLx-Wbn-/view?usp=drivesdk","4023_JUMIRAH _ SERTIFIKAT BerAKHLAK")</f>
        <v>4023_JUMIRAH _ SERTIFIKAT BerAKHLAK</v>
      </c>
      <c r="P4024" s="5" t="s">
        <v>27082</v>
      </c>
    </row>
    <row r="4025">
      <c r="A4025" s="4">
        <v>45534.34899041666</v>
      </c>
      <c r="B4025" s="5" t="s">
        <v>34</v>
      </c>
      <c r="D4025" s="5" t="s">
        <v>7858</v>
      </c>
      <c r="E4025" s="5" t="s">
        <v>27104</v>
      </c>
      <c r="F4025" s="5" t="s">
        <v>37</v>
      </c>
      <c r="G4025" s="5" t="s">
        <v>27105</v>
      </c>
      <c r="H4025" s="6" t="s">
        <v>27106</v>
      </c>
      <c r="I4025" s="7" t="s">
        <v>27107</v>
      </c>
      <c r="J4025" s="8" t="str">
        <f>HYPERLINK("https://drive.google.com/file/d/1_-d467bw3QuUc3xlQE16lxzK-2K9R5R_/view?usp=drivesdk","EDI SUMARDI SERTIFIKAT BerAKHLAK")</f>
        <v>EDI SUMARDI SERTIFIKAT BerAKHLAK</v>
      </c>
      <c r="K4025" s="5" t="s">
        <v>26460</v>
      </c>
      <c r="L4025" s="5" t="s">
        <v>27108</v>
      </c>
      <c r="M4025" s="5" t="s">
        <v>27109</v>
      </c>
      <c r="N4025" s="7" t="s">
        <v>27110</v>
      </c>
      <c r="O4025" s="8" t="str">
        <f>HYPERLINK("https://drive.google.com/file/d/14OOwktNhkBBA7z0-3ZLZIEUXnwWSEF3b/view?usp=drivesdk","4024_EDI SUMARDI _ SERTIFIKAT BerAKHLAK")</f>
        <v>4024_EDI SUMARDI _ SERTIFIKAT BerAKHLAK</v>
      </c>
      <c r="P4025" s="5" t="s">
        <v>27082</v>
      </c>
    </row>
    <row r="4026">
      <c r="A4026" s="4">
        <v>45534.3489922338</v>
      </c>
      <c r="B4026" s="5" t="s">
        <v>34</v>
      </c>
      <c r="D4026" s="5" t="s">
        <v>14424</v>
      </c>
      <c r="E4026" s="5" t="s">
        <v>27111</v>
      </c>
      <c r="F4026" s="5" t="s">
        <v>715</v>
      </c>
      <c r="G4026" s="5" t="s">
        <v>27112</v>
      </c>
      <c r="H4026" s="6" t="s">
        <v>27113</v>
      </c>
      <c r="I4026" s="7" t="s">
        <v>27114</v>
      </c>
      <c r="J4026" s="8" t="str">
        <f>HYPERLINK("https://drive.google.com/file/d/1jHJv7u3sk9eGjc50CyX71jS1c4AFllGJ/view?usp=drivesdk","ELVIDAYANTI,SE SERTIFIKAT BerAKHLAK")</f>
        <v>ELVIDAYANTI,SE SERTIFIKAT BerAKHLAK</v>
      </c>
      <c r="K4026" s="5" t="s">
        <v>26460</v>
      </c>
      <c r="L4026" s="5" t="s">
        <v>27115</v>
      </c>
      <c r="M4026" s="5" t="s">
        <v>27116</v>
      </c>
      <c r="N4026" s="7" t="s">
        <v>27117</v>
      </c>
      <c r="O4026" s="8" t="str">
        <f>HYPERLINK("https://drive.google.com/file/d/1lIET2ePXumwo-4mPUiDxaoBFi3GMzAxq/view?usp=drivesdk","4025_ELVIDAYANTI,SE _ SERTIFIKAT BerAKHLAK")</f>
        <v>4025_ELVIDAYANTI,SE _ SERTIFIKAT BerAKHLAK</v>
      </c>
      <c r="P4026" s="5" t="s">
        <v>27118</v>
      </c>
    </row>
    <row r="4027">
      <c r="A4027" s="4">
        <v>45534.34899180556</v>
      </c>
      <c r="B4027" s="5" t="s">
        <v>34</v>
      </c>
      <c r="D4027" s="5" t="s">
        <v>267</v>
      </c>
      <c r="E4027" s="5" t="s">
        <v>27119</v>
      </c>
      <c r="F4027" s="5" t="s">
        <v>375</v>
      </c>
      <c r="G4027" s="5" t="s">
        <v>27120</v>
      </c>
      <c r="H4027" s="6" t="s">
        <v>27121</v>
      </c>
      <c r="I4027" s="7" t="s">
        <v>27122</v>
      </c>
      <c r="J4027" s="8" t="str">
        <f>HYPERLINK("https://drive.google.com/file/d/1mxfImIM1yD53j-DujuF_EsQO6G9eLm2w/view?usp=drivesdk","FX HENDRY PAMUNGKAS SERTIFIKAT BerAKHLAK")</f>
        <v>FX HENDRY PAMUNGKAS SERTIFIKAT BerAKHLAK</v>
      </c>
      <c r="K4027" s="5" t="s">
        <v>26460</v>
      </c>
      <c r="L4027" s="5" t="s">
        <v>27123</v>
      </c>
      <c r="M4027" s="5" t="s">
        <v>27124</v>
      </c>
      <c r="N4027" s="7" t="s">
        <v>27125</v>
      </c>
      <c r="O4027" s="8" t="str">
        <f>HYPERLINK("https://drive.google.com/file/d/1Ed2lWW4x4ekLto_6Jbbj6LUpNPkyAtOt/view?usp=drivesdk","4026_FX HENDRY PAMUNGKAS _ SERTIFIKAT BerAKHLAK")</f>
        <v>4026_FX HENDRY PAMUNGKAS _ SERTIFIKAT BerAKHLAK</v>
      </c>
      <c r="P4027" s="5" t="s">
        <v>27118</v>
      </c>
    </row>
    <row r="4028">
      <c r="A4028" s="4">
        <v>45534.3489978588</v>
      </c>
      <c r="B4028" s="5" t="s">
        <v>34</v>
      </c>
      <c r="D4028" s="5" t="s">
        <v>1206</v>
      </c>
      <c r="E4028" s="5" t="s">
        <v>27126</v>
      </c>
      <c r="F4028" s="5" t="s">
        <v>37</v>
      </c>
      <c r="G4028" s="5" t="s">
        <v>27127</v>
      </c>
      <c r="H4028" s="6" t="s">
        <v>27128</v>
      </c>
      <c r="K4028" s="5" t="s">
        <v>27129</v>
      </c>
      <c r="M4028" s="5" t="s">
        <v>27130</v>
      </c>
      <c r="N4028" s="7" t="s">
        <v>27131</v>
      </c>
      <c r="O4028" s="8" t="str">
        <f>HYPERLINK("https://drive.google.com/file/d/1zgObEUtakcvGzsndvZRcNOGu4tmk2CK4/view?usp=drivesdk","4027_DWI MULYANINGSIH _ SERTIFIKAT BerAKHLAK")</f>
        <v>4027_DWI MULYANINGSIH _ SERTIFIKAT BerAKHLAK</v>
      </c>
      <c r="P4028" s="5" t="s">
        <v>27118</v>
      </c>
    </row>
    <row r="4029">
      <c r="A4029" s="4">
        <v>45534.348998472226</v>
      </c>
      <c r="B4029" s="5" t="s">
        <v>34</v>
      </c>
      <c r="D4029" s="5" t="s">
        <v>1206</v>
      </c>
      <c r="E4029" s="5" t="s">
        <v>27132</v>
      </c>
      <c r="F4029" s="5" t="s">
        <v>37</v>
      </c>
      <c r="G4029" s="5" t="s">
        <v>27133</v>
      </c>
      <c r="H4029" s="6" t="s">
        <v>27134</v>
      </c>
      <c r="K4029" s="5" t="s">
        <v>27129</v>
      </c>
      <c r="M4029" s="5" t="s">
        <v>27135</v>
      </c>
      <c r="N4029" s="7" t="s">
        <v>27136</v>
      </c>
      <c r="O4029" s="8" t="str">
        <f>HYPERLINK("https://drive.google.com/file/d/1iCpWqCGQIOPfOzzUnTuyThUXdNSt1b4O/view?usp=drivesdk","4028_IKA YULIANA _ SERTIFIKAT BerAKHLAK")</f>
        <v>4028_IKA YULIANA _ SERTIFIKAT BerAKHLAK</v>
      </c>
      <c r="P4029" s="5" t="s">
        <v>27118</v>
      </c>
    </row>
    <row r="4030">
      <c r="A4030" s="4">
        <v>45534.34900109954</v>
      </c>
      <c r="B4030" s="5" t="s">
        <v>34</v>
      </c>
      <c r="D4030" s="5" t="s">
        <v>4775</v>
      </c>
      <c r="E4030" s="5" t="s">
        <v>27137</v>
      </c>
      <c r="F4030" s="5" t="s">
        <v>72</v>
      </c>
      <c r="G4030" s="5" t="s">
        <v>27138</v>
      </c>
      <c r="H4030" s="6" t="s">
        <v>27139</v>
      </c>
      <c r="K4030" s="5" t="s">
        <v>27129</v>
      </c>
      <c r="M4030" s="5" t="s">
        <v>27140</v>
      </c>
      <c r="N4030" s="7" t="s">
        <v>27141</v>
      </c>
      <c r="O4030" s="8" t="str">
        <f>HYPERLINK("https://drive.google.com/file/d/1mEbiyvKRJd9ARuLsjmodLc_IPraDJzrp/view?usp=drivesdk","4029_MUJIYANTI, AMd. _ SERTIFIKAT BerAKHLAK")</f>
        <v>4029_MUJIYANTI, AMd. _ SERTIFIKAT BerAKHLAK</v>
      </c>
      <c r="P4030" s="5" t="s">
        <v>27118</v>
      </c>
    </row>
    <row r="4031">
      <c r="A4031" s="4">
        <v>45534.34901668981</v>
      </c>
      <c r="B4031" s="5" t="s">
        <v>34</v>
      </c>
      <c r="D4031" s="5" t="s">
        <v>1206</v>
      </c>
      <c r="E4031" s="5" t="s">
        <v>27142</v>
      </c>
      <c r="F4031" s="5" t="s">
        <v>212</v>
      </c>
      <c r="G4031" s="5" t="s">
        <v>27143</v>
      </c>
      <c r="H4031" s="6" t="s">
        <v>27144</v>
      </c>
      <c r="K4031" s="5" t="s">
        <v>27129</v>
      </c>
      <c r="M4031" s="5" t="s">
        <v>27145</v>
      </c>
      <c r="N4031" s="7" t="s">
        <v>27146</v>
      </c>
      <c r="O4031" s="8" t="str">
        <f>HYPERLINK("https://drive.google.com/file/d/1YUldfNWmPOXyXKXNl725z0iaa02EV8AA/view?usp=drivesdk","4030_SRI SUMIARSIH _ SERTIFIKAT BerAKHLAK")</f>
        <v>4030_SRI SUMIARSIH _ SERTIFIKAT BerAKHLAK</v>
      </c>
      <c r="P4031" s="5" t="s">
        <v>27147</v>
      </c>
    </row>
    <row r="4032">
      <c r="A4032" s="4">
        <v>45534.34902847222</v>
      </c>
      <c r="B4032" s="5" t="s">
        <v>34</v>
      </c>
      <c r="D4032" s="5" t="s">
        <v>1692</v>
      </c>
      <c r="E4032" s="5" t="s">
        <v>27148</v>
      </c>
      <c r="F4032" s="5" t="s">
        <v>375</v>
      </c>
      <c r="G4032" s="5" t="s">
        <v>27149</v>
      </c>
      <c r="H4032" s="6" t="s">
        <v>27150</v>
      </c>
      <c r="K4032" s="5" t="s">
        <v>27129</v>
      </c>
      <c r="M4032" s="5" t="s">
        <v>27151</v>
      </c>
      <c r="N4032" s="7" t="s">
        <v>27152</v>
      </c>
      <c r="O4032" s="8" t="str">
        <f>HYPERLINK("https://drive.google.com/file/d/1sp4pkW10fps6MDeptEDZSq6r0gvpwjut/view?usp=drivesdk","4031_LA TARA, S.H. _ SERTIFIKAT BerAKHLAK")</f>
        <v>4031_LA TARA, S.H. _ SERTIFIKAT BerAKHLAK</v>
      </c>
      <c r="P4032" s="5" t="s">
        <v>27147</v>
      </c>
    </row>
    <row r="4033">
      <c r="A4033" s="4">
        <v>45534.34903133102</v>
      </c>
      <c r="B4033" s="5" t="s">
        <v>34</v>
      </c>
      <c r="D4033" s="5" t="s">
        <v>35</v>
      </c>
      <c r="E4033" s="5" t="s">
        <v>27153</v>
      </c>
      <c r="F4033" s="5" t="s">
        <v>524</v>
      </c>
      <c r="G4033" s="5" t="s">
        <v>27154</v>
      </c>
      <c r="H4033" s="6" t="s">
        <v>27155</v>
      </c>
      <c r="K4033" s="5" t="s">
        <v>27129</v>
      </c>
      <c r="M4033" s="5" t="s">
        <v>27156</v>
      </c>
      <c r="N4033" s="7" t="s">
        <v>27157</v>
      </c>
      <c r="O4033" s="8" t="str">
        <f>HYPERLINK("https://drive.google.com/file/d/1TKlEdn6LrF8QSefyF2DVTLmrvQ-hzG5S/view?usp=drivesdk","4032_ATI SUGIARTI _ SERTIFIKAT BerAKHLAK")</f>
        <v>4032_ATI SUGIARTI _ SERTIFIKAT BerAKHLAK</v>
      </c>
      <c r="P4033" s="5" t="s">
        <v>27147</v>
      </c>
    </row>
    <row r="4034">
      <c r="A4034" s="4">
        <v>45534.34903236111</v>
      </c>
      <c r="B4034" s="5" t="s">
        <v>34</v>
      </c>
      <c r="D4034" s="5" t="s">
        <v>35</v>
      </c>
      <c r="E4034" s="5" t="s">
        <v>27158</v>
      </c>
      <c r="F4034" s="5" t="s">
        <v>212</v>
      </c>
      <c r="G4034" s="5" t="s">
        <v>27159</v>
      </c>
      <c r="H4034" s="6" t="s">
        <v>27160</v>
      </c>
      <c r="K4034" s="5" t="s">
        <v>27129</v>
      </c>
      <c r="M4034" s="5" t="s">
        <v>27161</v>
      </c>
      <c r="N4034" s="7" t="s">
        <v>27162</v>
      </c>
      <c r="O4034" s="8" t="str">
        <f>HYPERLINK("https://drive.google.com/file/d/1vR8nY9Mf2-zT4GuSJ6BSqtRduAj5HiRo/view?usp=drivesdk","4033_DEDI NURHENDI _ SERTIFIKAT BerAKHLAK")</f>
        <v>4033_DEDI NURHENDI _ SERTIFIKAT BerAKHLAK</v>
      </c>
      <c r="P4034" s="5" t="s">
        <v>27147</v>
      </c>
    </row>
    <row r="4035">
      <c r="A4035" s="4">
        <v>45534.34903990741</v>
      </c>
      <c r="B4035" s="5" t="s">
        <v>34</v>
      </c>
      <c r="D4035" s="5" t="s">
        <v>1206</v>
      </c>
      <c r="E4035" s="5" t="s">
        <v>27163</v>
      </c>
      <c r="F4035" s="5" t="s">
        <v>524</v>
      </c>
      <c r="G4035" s="5" t="s">
        <v>27164</v>
      </c>
      <c r="H4035" s="6" t="s">
        <v>27165</v>
      </c>
      <c r="I4035" s="7" t="s">
        <v>27166</v>
      </c>
      <c r="J4035" s="8" t="str">
        <f>HYPERLINK("https://drive.google.com/file/d/1P0n8lj_1rTjcd5Jgy7bTDMPmJAgFNMeD/view?usp=drivesdk","ASIH DWI UTAMI,S.Kep.Ners SERTIFIKAT BerAKHLAK")</f>
        <v>ASIH DWI UTAMI,S.Kep.Ners SERTIFIKAT BerAKHLAK</v>
      </c>
      <c r="K4035" s="5" t="s">
        <v>26460</v>
      </c>
      <c r="L4035" s="5" t="s">
        <v>27167</v>
      </c>
      <c r="M4035" s="5" t="s">
        <v>27168</v>
      </c>
      <c r="N4035" s="7" t="s">
        <v>27169</v>
      </c>
      <c r="O4035" s="8" t="str">
        <f>HYPERLINK("https://drive.google.com/file/d/10J-gDD8YwEFGVMXqI9ijMgM0rJsvC2FO/view?usp=drivesdk","4034_ASIH DWI UTAMI,S.Kep.Ners _ SERTIFIKAT BerAKHLAK")</f>
        <v>4034_ASIH DWI UTAMI,S.Kep.Ners _ SERTIFIKAT BerAKHLAK</v>
      </c>
      <c r="P4035" s="5" t="s">
        <v>27147</v>
      </c>
    </row>
    <row r="4036">
      <c r="A4036" s="4">
        <v>45534.34905320602</v>
      </c>
      <c r="B4036" s="5" t="s">
        <v>34</v>
      </c>
      <c r="D4036" s="5" t="s">
        <v>7858</v>
      </c>
      <c r="E4036" s="5" t="s">
        <v>27170</v>
      </c>
      <c r="F4036" s="5" t="s">
        <v>37</v>
      </c>
      <c r="G4036" s="5" t="s">
        <v>27171</v>
      </c>
      <c r="H4036" s="6" t="s">
        <v>27172</v>
      </c>
      <c r="I4036" s="7" t="s">
        <v>27173</v>
      </c>
      <c r="J4036" s="8" t="str">
        <f>HYPERLINK("https://drive.google.com/file/d/1YZykOuEQr5Oen3Lj8W_OAT-bYanB7g-e/view?usp=drivesdk","DESI RISMAWATI  SERTIFIKAT BerAKHLAK")</f>
        <v>DESI RISMAWATI  SERTIFIKAT BerAKHLAK</v>
      </c>
      <c r="K4036" s="5" t="s">
        <v>26460</v>
      </c>
      <c r="L4036" s="5" t="s">
        <v>27174</v>
      </c>
      <c r="M4036" s="5" t="s">
        <v>27175</v>
      </c>
      <c r="N4036" s="7" t="s">
        <v>27176</v>
      </c>
      <c r="O4036" s="8" t="str">
        <f>HYPERLINK("https://drive.google.com/file/d/1kwtIwzOtz5ToRlbIrIUA3IQ-ZftatYNT/view?usp=drivesdk","4035_DESI RISMAWATI  _ SERTIFIKAT BerAKHLAK")</f>
        <v>4035_DESI RISMAWATI  _ SERTIFIKAT BerAKHLAK</v>
      </c>
      <c r="P4036" s="5" t="s">
        <v>27177</v>
      </c>
    </row>
    <row r="4037">
      <c r="A4037" s="4">
        <v>45534.34906818287</v>
      </c>
      <c r="B4037" s="5" t="s">
        <v>34</v>
      </c>
      <c r="D4037" s="5" t="s">
        <v>1206</v>
      </c>
      <c r="E4037" s="5" t="s">
        <v>27178</v>
      </c>
      <c r="F4037" s="5" t="s">
        <v>375</v>
      </c>
      <c r="G4037" s="5" t="s">
        <v>27179</v>
      </c>
      <c r="H4037" s="6" t="s">
        <v>27180</v>
      </c>
      <c r="I4037" s="7" t="s">
        <v>27181</v>
      </c>
      <c r="J4037" s="8" t="str">
        <f>HYPERLINK("https://drive.google.com/file/d/18gR6LO4f15bsSSNGupajQfuSe5ZTaoVE/view?usp=drivesdk","HARYONO, Skep. Ns. SERTIFIKAT BerAKHLAK")</f>
        <v>HARYONO, Skep. Ns. SERTIFIKAT BerAKHLAK</v>
      </c>
      <c r="K4037" s="5" t="s">
        <v>26460</v>
      </c>
      <c r="L4037" s="5" t="s">
        <v>27182</v>
      </c>
      <c r="M4037" s="5" t="s">
        <v>27183</v>
      </c>
      <c r="N4037" s="7" t="s">
        <v>27184</v>
      </c>
      <c r="O4037" s="8" t="str">
        <f>HYPERLINK("https://drive.google.com/file/d/1D6YP_HLTfc8jtP0Qa0knZhlAgyratea1/view?usp=drivesdk","4036_HARYONO, Skep. Ns. _ SERTIFIKAT BerAKHLAK")</f>
        <v>4036_HARYONO, Skep. Ns. _ SERTIFIKAT BerAKHLAK</v>
      </c>
      <c r="P4037" s="5" t="s">
        <v>27177</v>
      </c>
    </row>
    <row r="4038">
      <c r="A4038" s="4">
        <v>45534.34906883102</v>
      </c>
      <c r="B4038" s="5" t="s">
        <v>34</v>
      </c>
      <c r="D4038" s="5" t="s">
        <v>1206</v>
      </c>
      <c r="E4038" s="5" t="s">
        <v>27185</v>
      </c>
      <c r="F4038" s="5" t="s">
        <v>524</v>
      </c>
      <c r="G4038" s="5" t="s">
        <v>27186</v>
      </c>
      <c r="H4038" s="6" t="s">
        <v>27187</v>
      </c>
      <c r="K4038" s="5" t="s">
        <v>27188</v>
      </c>
      <c r="M4038" s="5" t="s">
        <v>27189</v>
      </c>
      <c r="N4038" s="7" t="s">
        <v>27190</v>
      </c>
      <c r="O4038" s="8" t="str">
        <f>HYPERLINK("https://drive.google.com/file/d/1mkEHCTX2J-338tX55RbUfRVUe5B1Qh8a/view?usp=drivesdk","4037_SUMARTIN, S.M _ SERTIFIKAT BerAKHLAK")</f>
        <v>4037_SUMARTIN, S.M _ SERTIFIKAT BerAKHLAK</v>
      </c>
      <c r="P4038" s="5" t="s">
        <v>27177</v>
      </c>
    </row>
    <row r="4039">
      <c r="A4039" s="4">
        <v>45534.349083587964</v>
      </c>
      <c r="B4039" s="5" t="s">
        <v>34</v>
      </c>
      <c r="D4039" s="5" t="s">
        <v>10444</v>
      </c>
      <c r="E4039" s="5" t="s">
        <v>27191</v>
      </c>
      <c r="F4039" s="5" t="s">
        <v>120</v>
      </c>
      <c r="G4039" s="5" t="s">
        <v>27192</v>
      </c>
      <c r="H4039" s="6" t="s">
        <v>27193</v>
      </c>
      <c r="K4039" s="5" t="s">
        <v>27188</v>
      </c>
      <c r="M4039" s="5" t="s">
        <v>27194</v>
      </c>
      <c r="N4039" s="7" t="s">
        <v>27195</v>
      </c>
      <c r="O4039" s="8" t="str">
        <f>HYPERLINK("https://drive.google.com/file/d/1GdskxM2VeNvOvplcK4jIVwRfx6KqnFb9/view?usp=drivesdk","4038_DR. AVIA ATRYKA  _ SERTIFIKAT BerAKHLAK")</f>
        <v>4038_DR. AVIA ATRYKA  _ SERTIFIKAT BerAKHLAK</v>
      </c>
      <c r="P4039" s="5" t="s">
        <v>27177</v>
      </c>
    </row>
    <row r="4040">
      <c r="A4040" s="4">
        <v>45534.3490871875</v>
      </c>
      <c r="B4040" s="5" t="s">
        <v>34</v>
      </c>
      <c r="D4040" s="5" t="s">
        <v>1206</v>
      </c>
      <c r="E4040" s="5" t="s">
        <v>27196</v>
      </c>
      <c r="F4040" s="5" t="s">
        <v>22</v>
      </c>
      <c r="G4040" s="5" t="s">
        <v>27197</v>
      </c>
      <c r="H4040" s="6" t="s">
        <v>27198</v>
      </c>
      <c r="I4040" s="7" t="s">
        <v>27199</v>
      </c>
      <c r="J4040" s="8" t="str">
        <f>HYPERLINK("https://drive.google.com/file/d/1fuHDR5_biNkozrbeEAqnaFPxSW0RQiOR/view?usp=drivesdk","dr. Prasti Adhi Dharmasanti, SpDVE. SERTIFIKAT BerAKHLAK")</f>
        <v>dr. Prasti Adhi Dharmasanti, SpDVE. SERTIFIKAT BerAKHLAK</v>
      </c>
      <c r="K4040" s="5" t="s">
        <v>26460</v>
      </c>
      <c r="L4040" s="5" t="s">
        <v>27200</v>
      </c>
      <c r="M4040" s="5" t="s">
        <v>27201</v>
      </c>
      <c r="N4040" s="7" t="s">
        <v>27202</v>
      </c>
      <c r="O4040" s="8" t="str">
        <f>HYPERLINK("https://drive.google.com/file/d/1jO2Ozf93cdsnNrw-cIvQ7n-FwhQaXogK/view?usp=drivesdk","4039_dr. Prasti Adhi Dharmasanti, SpDVE. _ SERTIFIKAT BerAKHLAK")</f>
        <v>4039_dr. Prasti Adhi Dharmasanti, SpDVE. _ SERTIFIKAT BerAKHLAK</v>
      </c>
      <c r="P4040" s="5" t="s">
        <v>27177</v>
      </c>
    </row>
    <row r="4041">
      <c r="A4041" s="4">
        <v>45534.349089027775</v>
      </c>
      <c r="B4041" s="5" t="s">
        <v>34</v>
      </c>
      <c r="D4041" s="5" t="s">
        <v>12978</v>
      </c>
      <c r="E4041" s="5" t="s">
        <v>27203</v>
      </c>
      <c r="F4041" s="5" t="s">
        <v>524</v>
      </c>
      <c r="G4041" s="5" t="s">
        <v>27204</v>
      </c>
      <c r="H4041" s="6" t="s">
        <v>27205</v>
      </c>
      <c r="I4041" s="7" t="s">
        <v>27206</v>
      </c>
      <c r="J4041" s="8" t="str">
        <f>HYPERLINK("https://drive.google.com/file/d/1r3p4ZSp53GWAONHAnyP3mH63Wzbq3oNR/view?usp=drivesdk","PENDA MISNO SERTIFIKAT BerAKHLAK")</f>
        <v>PENDA MISNO SERTIFIKAT BerAKHLAK</v>
      </c>
      <c r="K4041" s="5" t="s">
        <v>26460</v>
      </c>
      <c r="L4041" s="5" t="s">
        <v>27207</v>
      </c>
      <c r="M4041" s="5" t="s">
        <v>27208</v>
      </c>
      <c r="N4041" s="7" t="s">
        <v>27209</v>
      </c>
      <c r="O4041" s="8" t="str">
        <f>HYPERLINK("https://drive.google.com/file/d/10BCmlyImWNXdoPb3dYrgRmXW5umhFCbj/view?usp=drivesdk","4040_PENDA MISNO _ SERTIFIKAT BerAKHLAK")</f>
        <v>4040_PENDA MISNO _ SERTIFIKAT BerAKHLAK</v>
      </c>
      <c r="P4041" s="5" t="s">
        <v>27210</v>
      </c>
    </row>
    <row r="4042">
      <c r="A4042" s="4">
        <v>45534.34909002315</v>
      </c>
      <c r="B4042" s="5" t="s">
        <v>34</v>
      </c>
      <c r="D4042" s="5" t="s">
        <v>1206</v>
      </c>
      <c r="E4042" s="5" t="s">
        <v>27211</v>
      </c>
      <c r="F4042" s="5" t="s">
        <v>72</v>
      </c>
      <c r="G4042" s="5" t="s">
        <v>27212</v>
      </c>
      <c r="H4042" s="6" t="s">
        <v>27213</v>
      </c>
      <c r="K4042" s="5" t="s">
        <v>27214</v>
      </c>
      <c r="M4042" s="5" t="s">
        <v>27215</v>
      </c>
      <c r="N4042" s="7" t="s">
        <v>27216</v>
      </c>
      <c r="O4042" s="8" t="str">
        <f>HYPERLINK("https://drive.google.com/file/d/1UkRRujd_nsMiJ5fxFz8c-bNmWyh4dZPe/view?usp=drivesdk","4041_SRI WAHYUNINGSIH, AMd. Kep. _ SERTIFIKAT BerAKHLAK")</f>
        <v>4041_SRI WAHYUNINGSIH, AMd. Kep. _ SERTIFIKAT BerAKHLAK</v>
      </c>
      <c r="P4042" s="5" t="s">
        <v>27210</v>
      </c>
    </row>
    <row r="4043">
      <c r="A4043" s="4">
        <v>45534.349098402774</v>
      </c>
      <c r="B4043" s="5" t="s">
        <v>34</v>
      </c>
      <c r="D4043" s="5" t="s">
        <v>4775</v>
      </c>
      <c r="E4043" s="5" t="s">
        <v>27217</v>
      </c>
      <c r="F4043" s="5" t="s">
        <v>524</v>
      </c>
      <c r="G4043" s="5" t="s">
        <v>27218</v>
      </c>
      <c r="H4043" s="6" t="s">
        <v>27219</v>
      </c>
      <c r="K4043" s="5" t="s">
        <v>27214</v>
      </c>
      <c r="M4043" s="5" t="s">
        <v>27220</v>
      </c>
      <c r="N4043" s="7" t="s">
        <v>27221</v>
      </c>
      <c r="O4043" s="8" t="str">
        <f>HYPERLINK("https://drive.google.com/file/d/1BkuPbvIvmG1Nk31tzdd9kUzirRqkxWsO/view?usp=drivesdk","4042_SRI RAHMADANI,S.M. _ SERTIFIKAT BerAKHLAK")</f>
        <v>4042_SRI RAHMADANI,S.M. _ SERTIFIKAT BerAKHLAK</v>
      </c>
      <c r="P4043" s="5" t="s">
        <v>27210</v>
      </c>
    </row>
    <row r="4044">
      <c r="A4044" s="4">
        <v>45534.34910497685</v>
      </c>
      <c r="B4044" s="5" t="s">
        <v>34</v>
      </c>
      <c r="D4044" s="5" t="s">
        <v>12978</v>
      </c>
      <c r="E4044" s="5" t="s">
        <v>27222</v>
      </c>
      <c r="F4044" s="5" t="s">
        <v>328</v>
      </c>
      <c r="G4044" s="5" t="s">
        <v>27223</v>
      </c>
      <c r="H4044" s="6" t="s">
        <v>27224</v>
      </c>
      <c r="I4044" s="7" t="s">
        <v>27225</v>
      </c>
      <c r="J4044" s="8" t="str">
        <f>HYPERLINK("https://drive.google.com/file/d/1OWJxgWFQemkHowDOt1ppmywubPC_oBs0/view?usp=drivesdk","SAIFUL IJAD SERTIFIKAT BerAKHLAK")</f>
        <v>SAIFUL IJAD SERTIFIKAT BerAKHLAK</v>
      </c>
      <c r="K4044" s="5" t="s">
        <v>26460</v>
      </c>
      <c r="L4044" s="5" t="s">
        <v>27226</v>
      </c>
      <c r="M4044" s="5" t="s">
        <v>27227</v>
      </c>
      <c r="N4044" s="7" t="s">
        <v>27228</v>
      </c>
      <c r="O4044" s="8" t="str">
        <f>HYPERLINK("https://drive.google.com/file/d/1k9w1ldlq9lynAkPTlXmiD2D4wRAu2IDP/view?usp=drivesdk","4043_SAIFUL IJAD _ SERTIFIKAT BerAKHLAK")</f>
        <v>4043_SAIFUL IJAD _ SERTIFIKAT BerAKHLAK</v>
      </c>
      <c r="P4044" s="5" t="s">
        <v>27210</v>
      </c>
    </row>
    <row r="4045">
      <c r="A4045" s="4">
        <v>45534.34910922454</v>
      </c>
      <c r="B4045" s="5" t="s">
        <v>34</v>
      </c>
      <c r="D4045" s="5" t="s">
        <v>1206</v>
      </c>
      <c r="E4045" s="5" t="s">
        <v>27229</v>
      </c>
      <c r="F4045" s="5" t="s">
        <v>375</v>
      </c>
      <c r="G4045" s="5" t="s">
        <v>27230</v>
      </c>
      <c r="H4045" s="6" t="s">
        <v>27231</v>
      </c>
      <c r="I4045" s="7" t="s">
        <v>27232</v>
      </c>
      <c r="J4045" s="8" t="str">
        <f>HYPERLINK("https://drive.google.com/file/d/1maTf2f0m19x8nINq_KuhVF1FZ4vHnJ-X/view?usp=drivesdk","GUNARTO, S.H. SERTIFIKAT BerAKHLAK")</f>
        <v>GUNARTO, S.H. SERTIFIKAT BerAKHLAK</v>
      </c>
      <c r="K4045" s="5" t="s">
        <v>26460</v>
      </c>
      <c r="L4045" s="5" t="s">
        <v>27233</v>
      </c>
      <c r="M4045" s="5" t="s">
        <v>27234</v>
      </c>
      <c r="N4045" s="7" t="s">
        <v>27235</v>
      </c>
      <c r="O4045" s="8" t="str">
        <f>HYPERLINK("https://drive.google.com/file/d/1bfKEEmjOm-pi-ESizhIOcmlvFNB9BvLv/view?usp=drivesdk","4044_GUNARTO, S.H. _ SERTIFIKAT BerAKHLAK")</f>
        <v>4044_GUNARTO, S.H. _ SERTIFIKAT BerAKHLAK</v>
      </c>
      <c r="P4045" s="5" t="s">
        <v>27236</v>
      </c>
    </row>
    <row r="4046">
      <c r="A4046" s="4">
        <v>45534.34911542824</v>
      </c>
      <c r="B4046" s="5" t="s">
        <v>34</v>
      </c>
      <c r="D4046" s="5" t="s">
        <v>1206</v>
      </c>
      <c r="E4046" s="5" t="s">
        <v>27237</v>
      </c>
      <c r="F4046" s="5" t="s">
        <v>212</v>
      </c>
      <c r="G4046" s="5" t="s">
        <v>27238</v>
      </c>
      <c r="H4046" s="6" t="s">
        <v>27239</v>
      </c>
      <c r="K4046" s="5" t="s">
        <v>27240</v>
      </c>
      <c r="M4046" s="5" t="s">
        <v>27241</v>
      </c>
      <c r="N4046" s="7" t="s">
        <v>27242</v>
      </c>
      <c r="O4046" s="8" t="str">
        <f>HYPERLINK("https://drive.google.com/file/d/13qMCDyonI1bG7YFuv7CjOY4Ru7pzWoac/view?usp=drivesdk","4045_RIZA NIRMALA _ SERTIFIKAT BerAKHLAK")</f>
        <v>4045_RIZA NIRMALA _ SERTIFIKAT BerAKHLAK</v>
      </c>
      <c r="P4046" s="5" t="s">
        <v>27236</v>
      </c>
    </row>
    <row r="4047">
      <c r="A4047" s="4">
        <v>45534.349118321756</v>
      </c>
      <c r="B4047" s="5" t="s">
        <v>34</v>
      </c>
      <c r="D4047" s="5" t="s">
        <v>14313</v>
      </c>
      <c r="E4047" s="5" t="s">
        <v>27243</v>
      </c>
      <c r="F4047" s="5" t="s">
        <v>715</v>
      </c>
      <c r="G4047" s="5" t="s">
        <v>27244</v>
      </c>
      <c r="H4047" s="6" t="s">
        <v>27245</v>
      </c>
      <c r="K4047" s="5" t="s">
        <v>27240</v>
      </c>
      <c r="M4047" s="5" t="s">
        <v>27246</v>
      </c>
      <c r="N4047" s="7" t="s">
        <v>27247</v>
      </c>
      <c r="O4047" s="8" t="str">
        <f>HYPERLINK("https://drive.google.com/file/d/1JUvX_zK84hM7Jx2FOhlet7wHXk3l4DzD/view?usp=drivesdk","4046_HARTATI  _ SERTIFIKAT BerAKHLAK")</f>
        <v>4046_HARTATI  _ SERTIFIKAT BerAKHLAK</v>
      </c>
      <c r="P4047" s="5" t="s">
        <v>27236</v>
      </c>
    </row>
    <row r="4048">
      <c r="A4048" s="4">
        <v>45534.34912144676</v>
      </c>
      <c r="B4048" s="5" t="s">
        <v>34</v>
      </c>
      <c r="D4048" s="5" t="s">
        <v>12978</v>
      </c>
      <c r="E4048" s="5" t="s">
        <v>27248</v>
      </c>
      <c r="F4048" s="5" t="s">
        <v>212</v>
      </c>
      <c r="G4048" s="5" t="s">
        <v>27249</v>
      </c>
      <c r="H4048" s="6" t="s">
        <v>27250</v>
      </c>
      <c r="K4048" s="5" t="s">
        <v>27240</v>
      </c>
      <c r="M4048" s="5" t="s">
        <v>27251</v>
      </c>
      <c r="N4048" s="7" t="s">
        <v>27252</v>
      </c>
      <c r="O4048" s="8" t="str">
        <f>HYPERLINK("https://drive.google.com/file/d/1KVaMnso56_B8TPvityyPbsvaE7C9WCFm/view?usp=drivesdk","4047_SUGENG RIYANTO _ SERTIFIKAT BerAKHLAK")</f>
        <v>4047_SUGENG RIYANTO _ SERTIFIKAT BerAKHLAK</v>
      </c>
      <c r="P4048" s="5" t="s">
        <v>27236</v>
      </c>
    </row>
    <row r="4049" hidden="1">
      <c r="A4049" s="4">
        <v>45534.349135833334</v>
      </c>
      <c r="B4049" s="5" t="s">
        <v>19</v>
      </c>
      <c r="C4049" s="5" t="s">
        <v>466</v>
      </c>
      <c r="E4049" s="5" t="s">
        <v>27253</v>
      </c>
      <c r="F4049" s="5" t="s">
        <v>212</v>
      </c>
      <c r="G4049" s="5" t="s">
        <v>27254</v>
      </c>
      <c r="H4049" s="6" t="s">
        <v>27255</v>
      </c>
      <c r="K4049" s="5" t="s">
        <v>27240</v>
      </c>
      <c r="M4049" s="5" t="s">
        <v>27256</v>
      </c>
      <c r="N4049" s="7" t="s">
        <v>27257</v>
      </c>
      <c r="O4049" s="8" t="str">
        <f>HYPERLINK("https://drive.google.com/file/d/12cQ_Sb9BTjMgssiAyneU0VlZw6rtoRiz/view?usp=drivesdk","4048_MUHIRAWATI _ SERTIFIKAT BerAKHLAK")</f>
        <v>4048_MUHIRAWATI _ SERTIFIKAT BerAKHLAK</v>
      </c>
      <c r="P4049" s="5" t="s">
        <v>27236</v>
      </c>
    </row>
    <row r="4050">
      <c r="A4050" s="4">
        <v>45534.349140185186</v>
      </c>
      <c r="B4050" s="5" t="s">
        <v>34</v>
      </c>
      <c r="D4050" s="5" t="s">
        <v>9394</v>
      </c>
      <c r="E4050" s="5" t="s">
        <v>15628</v>
      </c>
      <c r="F4050" s="5" t="s">
        <v>212</v>
      </c>
      <c r="G4050" s="5" t="s">
        <v>27258</v>
      </c>
      <c r="H4050" s="6" t="s">
        <v>27259</v>
      </c>
      <c r="K4050" s="5" t="s">
        <v>27240</v>
      </c>
      <c r="M4050" s="5" t="s">
        <v>27260</v>
      </c>
      <c r="N4050" s="7" t="s">
        <v>27261</v>
      </c>
      <c r="O4050" s="8" t="str">
        <f>HYPERLINK("https://drive.google.com/file/d/10FUcM6HqtpR-OSVa7CY_tOxdENiRHy4R/view?usp=drivesdk","4049_NURAINI _ SERTIFIKAT BerAKHLAK")</f>
        <v>4049_NURAINI _ SERTIFIKAT BerAKHLAK</v>
      </c>
      <c r="P4050" s="5" t="s">
        <v>27262</v>
      </c>
    </row>
    <row r="4051">
      <c r="A4051" s="4">
        <v>45534.34915016204</v>
      </c>
      <c r="B4051" s="5" t="s">
        <v>34</v>
      </c>
      <c r="D4051" s="5" t="s">
        <v>35</v>
      </c>
      <c r="E4051" s="5" t="s">
        <v>27263</v>
      </c>
      <c r="F4051" s="5" t="s">
        <v>328</v>
      </c>
      <c r="G4051" s="5" t="s">
        <v>27264</v>
      </c>
      <c r="H4051" s="6" t="s">
        <v>27265</v>
      </c>
      <c r="K4051" s="5" t="s">
        <v>27240</v>
      </c>
      <c r="M4051" s="5" t="s">
        <v>27266</v>
      </c>
      <c r="N4051" s="7" t="s">
        <v>27267</v>
      </c>
      <c r="O4051" s="8" t="str">
        <f>HYPERLINK("https://drive.google.com/file/d/1U78Ic5c0OwQLUapkSWowETmd-nZAjYWL/view?usp=drivesdk","4050_KUSNUL ROSITA _ SERTIFIKAT BerAKHLAK")</f>
        <v>4050_KUSNUL ROSITA _ SERTIFIKAT BerAKHLAK</v>
      </c>
      <c r="P4051" s="5" t="s">
        <v>27262</v>
      </c>
    </row>
    <row r="4052">
      <c r="A4052" s="4">
        <v>45534.349165775464</v>
      </c>
      <c r="B4052" s="5" t="s">
        <v>34</v>
      </c>
      <c r="D4052" s="5" t="s">
        <v>522</v>
      </c>
      <c r="E4052" s="5" t="s">
        <v>27268</v>
      </c>
      <c r="F4052" s="5" t="s">
        <v>37</v>
      </c>
      <c r="G4052" s="5" t="s">
        <v>27269</v>
      </c>
      <c r="H4052" s="6" t="s">
        <v>27270</v>
      </c>
      <c r="I4052" s="7" t="s">
        <v>27271</v>
      </c>
      <c r="J4052" s="8" t="str">
        <f>HYPERLINK("https://drive.google.com/file/d/14QCjhGUOFy1RbSb6OqP7TlgXwGuqUAVD/view?usp=drivesdk","DEVI OKTAVIANA, A.Md.Kep. SERTIFIKAT BerAKHLAK")</f>
        <v>DEVI OKTAVIANA, A.Md.Kep. SERTIFIKAT BerAKHLAK</v>
      </c>
      <c r="K4052" s="5" t="s">
        <v>26460</v>
      </c>
      <c r="L4052" s="5" t="s">
        <v>27272</v>
      </c>
      <c r="M4052" s="5" t="s">
        <v>27273</v>
      </c>
      <c r="N4052" s="7" t="s">
        <v>27274</v>
      </c>
      <c r="O4052" s="8" t="str">
        <f>HYPERLINK("https://drive.google.com/file/d/1xsnYX0LSJA4xmT00FQRXq4nBO0DvNEp3/view?usp=drivesdk","4051_DEVI OKTAVIANA, A.Md.Kep. _ SERTIFIKAT BerAKHLAK")</f>
        <v>4051_DEVI OKTAVIANA, A.Md.Kep. _ SERTIFIKAT BerAKHLAK</v>
      </c>
      <c r="P4052" s="5" t="s">
        <v>27262</v>
      </c>
    </row>
    <row r="4053">
      <c r="A4053" s="4">
        <v>45534.34916803241</v>
      </c>
      <c r="B4053" s="5" t="s">
        <v>34</v>
      </c>
      <c r="D4053" s="5" t="s">
        <v>1456</v>
      </c>
      <c r="E4053" s="5" t="s">
        <v>27275</v>
      </c>
      <c r="F4053" s="5" t="s">
        <v>72</v>
      </c>
      <c r="G4053" s="5" t="s">
        <v>27276</v>
      </c>
      <c r="H4053" s="6" t="s">
        <v>27277</v>
      </c>
      <c r="I4053" s="7" t="s">
        <v>27278</v>
      </c>
      <c r="J4053" s="8" t="str">
        <f>HYPERLINK("https://drive.google.com/file/d/1-jA7mxT0ArBmA1COQ2GfZJKTO97EcqEO/view?usp=drivesdk","DINI SARASWATI SE., MM SERTIFIKAT BerAKHLAK")</f>
        <v>DINI SARASWATI SE., MM SERTIFIKAT BerAKHLAK</v>
      </c>
      <c r="K4053" s="5" t="s">
        <v>26460</v>
      </c>
      <c r="L4053" s="5" t="s">
        <v>27279</v>
      </c>
      <c r="M4053" s="5" t="s">
        <v>27280</v>
      </c>
      <c r="N4053" s="7" t="s">
        <v>27281</v>
      </c>
      <c r="O4053" s="8" t="str">
        <f>HYPERLINK("https://drive.google.com/file/d/19oCr-26zL8vOFX7ryOL_6GV1xMzrGbsg/view?usp=drivesdk","4052_DINI SARASWATI SE., MM _ SERTIFIKAT BerAKHLAK")</f>
        <v>4052_DINI SARASWATI SE., MM _ SERTIFIKAT BerAKHLAK</v>
      </c>
      <c r="P4053" s="5" t="s">
        <v>27262</v>
      </c>
    </row>
    <row r="4054">
      <c r="A4054" s="4">
        <v>45534.34918446759</v>
      </c>
      <c r="B4054" s="5" t="s">
        <v>34</v>
      </c>
      <c r="D4054" s="5" t="s">
        <v>1206</v>
      </c>
      <c r="E4054" s="5" t="s">
        <v>27282</v>
      </c>
      <c r="F4054" s="5" t="s">
        <v>37</v>
      </c>
      <c r="G4054" s="5" t="s">
        <v>27283</v>
      </c>
      <c r="H4054" s="6" t="s">
        <v>27284</v>
      </c>
      <c r="I4054" s="7" t="s">
        <v>27285</v>
      </c>
      <c r="J4054" s="8" t="str">
        <f>HYPERLINK("https://drive.google.com/file/d/1GYOa-vy0IpUQrPE6jbzLKa1ROAWa9vGN/view?usp=drivesdk","NUR KHOLIS, S.H. SERTIFIKAT BerAKHLAK")</f>
        <v>NUR KHOLIS, S.H. SERTIFIKAT BerAKHLAK</v>
      </c>
      <c r="K4054" s="5" t="s">
        <v>26460</v>
      </c>
      <c r="L4054" s="5" t="s">
        <v>27286</v>
      </c>
      <c r="M4054" s="5" t="s">
        <v>27287</v>
      </c>
      <c r="N4054" s="7" t="s">
        <v>27288</v>
      </c>
      <c r="O4054" s="8" t="str">
        <f>HYPERLINK("https://drive.google.com/file/d/1zIGXEu5ah8hiZdtBh9aVbdrss1XPcGiC/view?usp=drivesdk","4053_NUR KHOLIS, S.H. _ SERTIFIKAT BerAKHLAK")</f>
        <v>4053_NUR KHOLIS, S.H. _ SERTIFIKAT BerAKHLAK</v>
      </c>
      <c r="P4054" s="5" t="s">
        <v>27262</v>
      </c>
    </row>
    <row r="4055">
      <c r="A4055" s="4">
        <v>45534.349185983796</v>
      </c>
      <c r="B4055" s="5" t="s">
        <v>34</v>
      </c>
      <c r="D4055" s="5" t="s">
        <v>9020</v>
      </c>
      <c r="E4055" s="5" t="s">
        <v>27289</v>
      </c>
      <c r="F4055" s="5" t="s">
        <v>524</v>
      </c>
      <c r="G4055" s="5" t="s">
        <v>27290</v>
      </c>
      <c r="H4055" s="6" t="s">
        <v>27291</v>
      </c>
      <c r="K4055" s="5" t="s">
        <v>27292</v>
      </c>
      <c r="M4055" s="5" t="s">
        <v>27293</v>
      </c>
      <c r="N4055" s="7" t="s">
        <v>27294</v>
      </c>
      <c r="O4055" s="8" t="str">
        <f>HYPERLINK("https://drive.google.com/file/d/1dyLvkwtdpPp7hNGR8hmlnwosr1WDhXlK/view?usp=drivesdk","4054_SUASA,SKM _ SERTIFIKAT BerAKHLAK")</f>
        <v>4054_SUASA,SKM _ SERTIFIKAT BerAKHLAK</v>
      </c>
      <c r="P4055" s="5" t="s">
        <v>27295</v>
      </c>
    </row>
    <row r="4056">
      <c r="A4056" s="4">
        <v>45534.349190266206</v>
      </c>
      <c r="B4056" s="5" t="s">
        <v>34</v>
      </c>
      <c r="D4056" s="5" t="s">
        <v>1206</v>
      </c>
      <c r="E4056" s="5" t="s">
        <v>27296</v>
      </c>
      <c r="F4056" s="5" t="s">
        <v>212</v>
      </c>
      <c r="G4056" s="5" t="s">
        <v>27297</v>
      </c>
      <c r="H4056" s="6" t="s">
        <v>27298</v>
      </c>
      <c r="K4056" s="5" t="s">
        <v>27292</v>
      </c>
      <c r="M4056" s="5" t="s">
        <v>27299</v>
      </c>
      <c r="N4056" s="7" t="s">
        <v>27300</v>
      </c>
      <c r="O4056" s="8" t="str">
        <f>HYPERLINK("https://drive.google.com/file/d/1gBZQ5cNL7hk6KJtMTgfbEVTHK7owVCQF/view?usp=drivesdk","4055_DARYANI _ SERTIFIKAT BerAKHLAK")</f>
        <v>4055_DARYANI _ SERTIFIKAT BerAKHLAK</v>
      </c>
      <c r="P4056" s="5" t="s">
        <v>27295</v>
      </c>
    </row>
    <row r="4057" hidden="1">
      <c r="A4057" s="4">
        <v>45534.349191608795</v>
      </c>
      <c r="B4057" s="5" t="s">
        <v>19</v>
      </c>
      <c r="C4057" s="5" t="s">
        <v>3301</v>
      </c>
      <c r="E4057" s="5" t="s">
        <v>27301</v>
      </c>
      <c r="F4057" s="5" t="s">
        <v>108</v>
      </c>
      <c r="G4057" s="5" t="s">
        <v>27302</v>
      </c>
      <c r="H4057" s="6" t="s">
        <v>27303</v>
      </c>
      <c r="K4057" s="5" t="s">
        <v>27292</v>
      </c>
      <c r="M4057" s="5" t="s">
        <v>27304</v>
      </c>
      <c r="N4057" s="7" t="s">
        <v>27305</v>
      </c>
      <c r="O4057" s="8" t="str">
        <f>HYPERLINK("https://drive.google.com/file/d/1DP89DC1H2GwHoGvAcDO7rGzj0y8pngIS/view?usp=drivesdk","4056_dr. SHELLY AFINA PERNANDA _ SERTIFIKAT BerAKHLAK")</f>
        <v>4056_dr. SHELLY AFINA PERNANDA _ SERTIFIKAT BerAKHLAK</v>
      </c>
      <c r="P4057" s="5" t="s">
        <v>27295</v>
      </c>
    </row>
    <row r="4058">
      <c r="A4058" s="4">
        <v>45534.34919313657</v>
      </c>
      <c r="B4058" s="5" t="s">
        <v>34</v>
      </c>
      <c r="D4058" s="5" t="s">
        <v>4775</v>
      </c>
      <c r="E4058" s="5" t="s">
        <v>27306</v>
      </c>
      <c r="F4058" s="5" t="s">
        <v>72</v>
      </c>
      <c r="G4058" s="5" t="s">
        <v>27307</v>
      </c>
      <c r="H4058" s="6" t="s">
        <v>27308</v>
      </c>
      <c r="K4058" s="5" t="s">
        <v>27292</v>
      </c>
      <c r="M4058" s="5" t="s">
        <v>27309</v>
      </c>
      <c r="N4058" s="7" t="s">
        <v>27310</v>
      </c>
      <c r="O4058" s="8" t="str">
        <f>HYPERLINK("https://drive.google.com/file/d/1RP88FiH1FAcTDk3VuBaJhEqjkh9Rv8SS/view?usp=drivesdk","4057_FOURMA PRIYATI SARI, A.Md _ SERTIFIKAT BerAKHLAK")</f>
        <v>4057_FOURMA PRIYATI SARI, A.Md _ SERTIFIKAT BerAKHLAK</v>
      </c>
      <c r="P4058" s="5" t="s">
        <v>27295</v>
      </c>
    </row>
    <row r="4059">
      <c r="A4059" s="4">
        <v>45534.34919606481</v>
      </c>
      <c r="B4059" s="5" t="s">
        <v>34</v>
      </c>
      <c r="D4059" s="5" t="s">
        <v>1558</v>
      </c>
      <c r="E4059" s="5" t="s">
        <v>27311</v>
      </c>
      <c r="F4059" s="5" t="s">
        <v>120</v>
      </c>
      <c r="G4059" s="5" t="s">
        <v>27312</v>
      </c>
      <c r="H4059" s="6" t="s">
        <v>27313</v>
      </c>
      <c r="K4059" s="5" t="s">
        <v>27292</v>
      </c>
      <c r="M4059" s="5" t="s">
        <v>27314</v>
      </c>
      <c r="N4059" s="7" t="s">
        <v>27315</v>
      </c>
      <c r="O4059" s="8" t="str">
        <f>HYPERLINK("https://drive.google.com/file/d/1mKsAA-wHKBddu0H2fZGosDmEUJ4vQvzL/view?usp=drivesdk","4058_DWI HANDAYANI.SE.MM _ SERTIFIKAT BerAKHLAK")</f>
        <v>4058_DWI HANDAYANI.SE.MM _ SERTIFIKAT BerAKHLAK</v>
      </c>
      <c r="P4059" s="5" t="s">
        <v>27295</v>
      </c>
    </row>
    <row r="4060">
      <c r="A4060" s="4">
        <v>45534.349197187505</v>
      </c>
      <c r="B4060" s="5" t="s">
        <v>34</v>
      </c>
      <c r="D4060" s="5" t="s">
        <v>9020</v>
      </c>
      <c r="E4060" s="5" t="s">
        <v>27316</v>
      </c>
      <c r="F4060" s="5" t="s">
        <v>212</v>
      </c>
      <c r="G4060" s="5" t="s">
        <v>27317</v>
      </c>
      <c r="H4060" s="6" t="s">
        <v>27318</v>
      </c>
      <c r="K4060" s="5" t="s">
        <v>27292</v>
      </c>
      <c r="M4060" s="5" t="s">
        <v>27319</v>
      </c>
      <c r="N4060" s="7" t="s">
        <v>27320</v>
      </c>
      <c r="O4060" s="8" t="str">
        <f>HYPERLINK("https://drive.google.com/file/d/1H0-O6EP7FqgWWix6xkslDtE_1c-FR9FG/view?usp=drivesdk","4059_JAPAET MANURUNG _ SERTIFIKAT BerAKHLAK")</f>
        <v>4059_JAPAET MANURUNG _ SERTIFIKAT BerAKHLAK</v>
      </c>
      <c r="P4060" s="5" t="s">
        <v>27321</v>
      </c>
    </row>
    <row r="4061">
      <c r="A4061" s="4">
        <v>45534.349204375</v>
      </c>
      <c r="B4061" s="5" t="s">
        <v>34</v>
      </c>
      <c r="D4061" s="5" t="s">
        <v>701</v>
      </c>
      <c r="E4061" s="5" t="s">
        <v>27322</v>
      </c>
      <c r="F4061" s="5" t="s">
        <v>524</v>
      </c>
      <c r="G4061" s="5" t="s">
        <v>27323</v>
      </c>
      <c r="H4061" s="6" t="s">
        <v>27324</v>
      </c>
      <c r="I4061" s="7" t="s">
        <v>27325</v>
      </c>
      <c r="J4061" s="8" t="str">
        <f>HYPERLINK("https://drive.google.com/file/d/1_b8dA02crIc2VkmSWB1AyCH7svWpgcT-/view?usp=drivesdk","RATIH DESVITASARI SERTIFIKAT BerAKHLAK")</f>
        <v>RATIH DESVITASARI SERTIFIKAT BerAKHLAK</v>
      </c>
      <c r="K4061" s="5" t="s">
        <v>26460</v>
      </c>
      <c r="L4061" s="5" t="s">
        <v>27326</v>
      </c>
      <c r="M4061" s="5" t="s">
        <v>27327</v>
      </c>
      <c r="N4061" s="7" t="s">
        <v>27328</v>
      </c>
      <c r="O4061" s="8" t="str">
        <f>HYPERLINK("https://drive.google.com/file/d/161duQCVV2NSd7K9N1kYVidc7YmE_-A2U/view?usp=drivesdk","4060_RATIH DESVITASARI _ SERTIFIKAT BerAKHLAK")</f>
        <v>4060_RATIH DESVITASARI _ SERTIFIKAT BerAKHLAK</v>
      </c>
      <c r="P4061" s="5" t="s">
        <v>27321</v>
      </c>
    </row>
    <row r="4062">
      <c r="A4062" s="4">
        <v>45534.34921212963</v>
      </c>
      <c r="B4062" s="5" t="s">
        <v>34</v>
      </c>
      <c r="D4062" s="5" t="s">
        <v>35</v>
      </c>
      <c r="E4062" s="5" t="s">
        <v>27329</v>
      </c>
      <c r="F4062" s="5" t="s">
        <v>212</v>
      </c>
      <c r="G4062" s="5" t="s">
        <v>27330</v>
      </c>
      <c r="H4062" s="6" t="s">
        <v>27331</v>
      </c>
      <c r="K4062" s="5" t="s">
        <v>27332</v>
      </c>
      <c r="M4062" s="5" t="s">
        <v>27333</v>
      </c>
      <c r="N4062" s="7" t="s">
        <v>27334</v>
      </c>
      <c r="O4062" s="8" t="str">
        <f>HYPERLINK("https://drive.google.com/file/d/1h_CRU_Y24CFTxUzTjfWcKLf6dUxBDp6l/view?usp=drivesdk","4061_UNUN FITRIATUN Amd.kep _ SERTIFIKAT BerAKHLAK")</f>
        <v>4061_UNUN FITRIATUN Amd.kep _ SERTIFIKAT BerAKHLAK</v>
      </c>
      <c r="P4062" s="5" t="s">
        <v>27321</v>
      </c>
    </row>
    <row r="4063">
      <c r="A4063" s="4">
        <v>45534.34921770833</v>
      </c>
      <c r="B4063" s="5" t="s">
        <v>34</v>
      </c>
      <c r="D4063" s="5" t="s">
        <v>4775</v>
      </c>
      <c r="E4063" s="5" t="s">
        <v>27335</v>
      </c>
      <c r="F4063" s="5" t="s">
        <v>212</v>
      </c>
      <c r="G4063" s="5" t="s">
        <v>27336</v>
      </c>
      <c r="H4063" s="6" t="s">
        <v>27337</v>
      </c>
      <c r="K4063" s="5" t="s">
        <v>27332</v>
      </c>
      <c r="M4063" s="5" t="s">
        <v>27338</v>
      </c>
      <c r="N4063" s="7" t="s">
        <v>27339</v>
      </c>
      <c r="O4063" s="8" t="str">
        <f>HYPERLINK("https://drive.google.com/file/d/1dt4YymMJcl-Huzg8JAyl5Ymi33yZdWKY/view?usp=drivesdk","4062_ACHMAD TAUFIK ,S.H. _ SERTIFIKAT BerAKHLAK")</f>
        <v>4062_ACHMAD TAUFIK ,S.H. _ SERTIFIKAT BerAKHLAK</v>
      </c>
      <c r="P4063" s="5" t="s">
        <v>27321</v>
      </c>
    </row>
    <row r="4064">
      <c r="A4064" s="4">
        <v>45534.34922596064</v>
      </c>
      <c r="B4064" s="5" t="s">
        <v>34</v>
      </c>
      <c r="D4064" s="5" t="s">
        <v>1206</v>
      </c>
      <c r="E4064" s="5" t="s">
        <v>25786</v>
      </c>
      <c r="F4064" s="5" t="s">
        <v>37</v>
      </c>
      <c r="G4064" s="5" t="s">
        <v>27340</v>
      </c>
      <c r="H4064" s="6" t="s">
        <v>27341</v>
      </c>
      <c r="K4064" s="5" t="s">
        <v>27332</v>
      </c>
      <c r="M4064" s="5" t="s">
        <v>27342</v>
      </c>
      <c r="N4064" s="7" t="s">
        <v>27343</v>
      </c>
      <c r="O4064" s="8" t="str">
        <f>HYPERLINK("https://drive.google.com/file/d/19p9s_fqu17EpgTnQrcy7W8kVK0yB_rNq/view?usp=drivesdk","4063_SULASTRI _ SERTIFIKAT BerAKHLAK")</f>
        <v>4063_SULASTRI _ SERTIFIKAT BerAKHLAK</v>
      </c>
      <c r="P4064" s="5" t="s">
        <v>27344</v>
      </c>
    </row>
    <row r="4065">
      <c r="A4065" s="4">
        <v>45534.349231851855</v>
      </c>
      <c r="B4065" s="5" t="s">
        <v>34</v>
      </c>
      <c r="D4065" s="5" t="s">
        <v>35</v>
      </c>
      <c r="E4065" s="5" t="s">
        <v>27345</v>
      </c>
      <c r="F4065" s="5" t="s">
        <v>212</v>
      </c>
      <c r="G4065" s="5" t="s">
        <v>27346</v>
      </c>
      <c r="H4065" s="6" t="s">
        <v>27347</v>
      </c>
      <c r="K4065" s="5" t="s">
        <v>27332</v>
      </c>
      <c r="M4065" s="5" t="s">
        <v>27348</v>
      </c>
      <c r="N4065" s="7" t="s">
        <v>27349</v>
      </c>
      <c r="O4065" s="8" t="str">
        <f>HYPERLINK("https://drive.google.com/file/d/1wu2ZHJiEGGslEx1gl_Z2_m2adKamCvS0/view?usp=drivesdk","4064_YAYAT SUDERAJAT _ SERTIFIKAT BerAKHLAK")</f>
        <v>4064_YAYAT SUDERAJAT _ SERTIFIKAT BerAKHLAK</v>
      </c>
      <c r="P4065" s="5" t="s">
        <v>27344</v>
      </c>
    </row>
    <row r="4066">
      <c r="A4066" s="4">
        <v>45534.34923717593</v>
      </c>
      <c r="B4066" s="5" t="s">
        <v>34</v>
      </c>
      <c r="D4066" s="5" t="s">
        <v>1206</v>
      </c>
      <c r="E4066" s="5" t="s">
        <v>17175</v>
      </c>
      <c r="F4066" s="5" t="s">
        <v>37</v>
      </c>
      <c r="G4066" s="5" t="s">
        <v>27350</v>
      </c>
      <c r="H4066" s="6" t="s">
        <v>27351</v>
      </c>
      <c r="K4066" s="5" t="s">
        <v>27332</v>
      </c>
      <c r="M4066" s="5" t="s">
        <v>27352</v>
      </c>
      <c r="N4066" s="7" t="s">
        <v>27353</v>
      </c>
      <c r="O4066" s="8" t="str">
        <f>HYPERLINK("https://drive.google.com/file/d/1xxpKqCEUkvoa4JXtAN5511C7Sz5qFlCg/view?usp=drivesdk","4065_TRI WAHYUNI _ SERTIFIKAT BerAKHLAK")</f>
        <v>4065_TRI WAHYUNI _ SERTIFIKAT BerAKHLAK</v>
      </c>
      <c r="P4066" s="5" t="s">
        <v>27344</v>
      </c>
    </row>
    <row r="4067">
      <c r="A4067" s="4">
        <v>45534.34923548611</v>
      </c>
      <c r="B4067" s="5" t="s">
        <v>34</v>
      </c>
      <c r="D4067" s="5" t="s">
        <v>1206</v>
      </c>
      <c r="E4067" s="5" t="s">
        <v>27354</v>
      </c>
      <c r="F4067" s="5" t="s">
        <v>375</v>
      </c>
      <c r="G4067" s="5" t="s">
        <v>27355</v>
      </c>
      <c r="H4067" s="6" t="s">
        <v>27356</v>
      </c>
      <c r="K4067" s="5" t="s">
        <v>27332</v>
      </c>
      <c r="M4067" s="5" t="s">
        <v>27357</v>
      </c>
      <c r="N4067" s="7" t="s">
        <v>27358</v>
      </c>
      <c r="O4067" s="8" t="str">
        <f>HYPERLINK("https://drive.google.com/file/d/1WOetulTYAGe4wRTPuxqaHsoDx-ncHeQI/view?usp=drivesdk","4066_MARIA YULIAWATI,SE _ SERTIFIKAT BerAKHLAK")</f>
        <v>4066_MARIA YULIAWATI,SE _ SERTIFIKAT BerAKHLAK</v>
      </c>
      <c r="P4067" s="5" t="s">
        <v>27344</v>
      </c>
    </row>
    <row r="4068">
      <c r="A4068" s="4">
        <v>45534.34924538195</v>
      </c>
      <c r="B4068" s="5" t="s">
        <v>34</v>
      </c>
      <c r="D4068" s="5" t="s">
        <v>1206</v>
      </c>
      <c r="E4068" s="5" t="s">
        <v>27359</v>
      </c>
      <c r="F4068" s="5" t="s">
        <v>37</v>
      </c>
      <c r="G4068" s="5" t="s">
        <v>27360</v>
      </c>
      <c r="H4068" s="6" t="s">
        <v>27361</v>
      </c>
      <c r="K4068" s="5" t="s">
        <v>27332</v>
      </c>
      <c r="M4068" s="5" t="s">
        <v>27362</v>
      </c>
      <c r="N4068" s="7" t="s">
        <v>27363</v>
      </c>
      <c r="O4068" s="8" t="str">
        <f>HYPERLINK("https://drive.google.com/file/d/1BuZasEX1ClTe8CQyXrqZ1jKe4EwskZVJ/view?usp=drivesdk","4067_BAMBANG SUMITRO _ SERTIFIKAT BerAKHLAK")</f>
        <v>4067_BAMBANG SUMITRO _ SERTIFIKAT BerAKHLAK</v>
      </c>
      <c r="P4068" s="5" t="s">
        <v>27344</v>
      </c>
    </row>
    <row r="4069">
      <c r="A4069" s="4">
        <v>45534.34925204861</v>
      </c>
      <c r="B4069" s="5" t="s">
        <v>34</v>
      </c>
      <c r="D4069" s="5" t="s">
        <v>1206</v>
      </c>
      <c r="E4069" s="5" t="s">
        <v>27364</v>
      </c>
      <c r="F4069" s="5" t="s">
        <v>72</v>
      </c>
      <c r="G4069" s="5" t="s">
        <v>27365</v>
      </c>
      <c r="H4069" s="6" t="s">
        <v>27366</v>
      </c>
      <c r="K4069" s="5" t="s">
        <v>27332</v>
      </c>
      <c r="M4069" s="5" t="s">
        <v>27367</v>
      </c>
      <c r="N4069" s="7" t="s">
        <v>27368</v>
      </c>
      <c r="O4069" s="8" t="str">
        <f>HYPERLINK("https://drive.google.com/file/d/1j2mSy7DeiaPrM7Dr8cwKOWvdIKc_-Pqx/view?usp=drivesdk","4068_NUNIK SUSIATI, S.Kep _ SERTIFIKAT BerAKHLAK")</f>
        <v>4068_NUNIK SUSIATI, S.Kep _ SERTIFIKAT BerAKHLAK</v>
      </c>
      <c r="P4069" s="5" t="s">
        <v>27369</v>
      </c>
    </row>
    <row r="4070">
      <c r="A4070" s="4">
        <v>45534.34925298611</v>
      </c>
      <c r="B4070" s="5" t="s">
        <v>34</v>
      </c>
      <c r="D4070" s="5" t="s">
        <v>1206</v>
      </c>
      <c r="E4070" s="5" t="s">
        <v>27370</v>
      </c>
      <c r="F4070" s="5" t="s">
        <v>212</v>
      </c>
      <c r="G4070" s="5" t="s">
        <v>27371</v>
      </c>
      <c r="H4070" s="6" t="s">
        <v>27372</v>
      </c>
      <c r="K4070" s="5" t="s">
        <v>27332</v>
      </c>
      <c r="M4070" s="5" t="s">
        <v>27373</v>
      </c>
      <c r="N4070" s="7" t="s">
        <v>27374</v>
      </c>
      <c r="O4070" s="8" t="str">
        <f>HYPERLINK("https://drive.google.com/file/d/1mZYp6HlbS_bgcZATK6lekg1bhNr2Eyni/view?usp=drivesdk","4069_BINTI CHURIAH _ SERTIFIKAT BerAKHLAK")</f>
        <v>4069_BINTI CHURIAH _ SERTIFIKAT BerAKHLAK</v>
      </c>
      <c r="P4070" s="5" t="s">
        <v>27369</v>
      </c>
    </row>
    <row r="4071">
      <c r="A4071" s="4">
        <v>45534.34926307871</v>
      </c>
      <c r="B4071" s="5" t="s">
        <v>34</v>
      </c>
      <c r="D4071" s="5" t="s">
        <v>9020</v>
      </c>
      <c r="E4071" s="5" t="s">
        <v>27375</v>
      </c>
      <c r="F4071" s="5" t="s">
        <v>524</v>
      </c>
      <c r="G4071" s="5" t="s">
        <v>27376</v>
      </c>
      <c r="H4071" s="6" t="s">
        <v>27377</v>
      </c>
      <c r="K4071" s="5" t="s">
        <v>27332</v>
      </c>
      <c r="M4071" s="5" t="s">
        <v>27378</v>
      </c>
      <c r="N4071" s="7" t="s">
        <v>27379</v>
      </c>
      <c r="O4071" s="8" t="str">
        <f>HYPERLINK("https://drive.google.com/file/d/1C9BeiObrznjAayJLBxwrBFPK5P2RP3P8/view?usp=drivesdk","4070_MUHAMMAD HELMI FAIZAL, S.T _ SERTIFIKAT BerAKHLAK")</f>
        <v>4070_MUHAMMAD HELMI FAIZAL, S.T _ SERTIFIKAT BerAKHLAK</v>
      </c>
      <c r="P4071" s="5" t="s">
        <v>27369</v>
      </c>
    </row>
    <row r="4072">
      <c r="A4072" s="4">
        <v>45534.34927128472</v>
      </c>
      <c r="B4072" s="5" t="s">
        <v>34</v>
      </c>
      <c r="D4072" s="5" t="s">
        <v>1206</v>
      </c>
      <c r="E4072" s="5" t="s">
        <v>27380</v>
      </c>
      <c r="F4072" s="5" t="s">
        <v>524</v>
      </c>
      <c r="G4072" s="5" t="s">
        <v>27381</v>
      </c>
      <c r="H4072" s="6" t="s">
        <v>27382</v>
      </c>
      <c r="K4072" s="5" t="s">
        <v>27332</v>
      </c>
      <c r="M4072" s="5" t="s">
        <v>27383</v>
      </c>
      <c r="N4072" s="7" t="s">
        <v>27384</v>
      </c>
      <c r="O4072" s="8" t="str">
        <f>HYPERLINK("https://drive.google.com/file/d/1w71N4IXSr81W8dxuMexyx_cCNjq_Ob9N/view?usp=drivesdk","4071_Lolita Sulistya Sari _ SERTIFIKAT BerAKHLAK")</f>
        <v>4071_Lolita Sulistya Sari _ SERTIFIKAT BerAKHLAK</v>
      </c>
      <c r="P4072" s="5" t="s">
        <v>27369</v>
      </c>
    </row>
    <row r="4073">
      <c r="A4073" s="4">
        <v>45534.349271643514</v>
      </c>
      <c r="B4073" s="5" t="s">
        <v>34</v>
      </c>
      <c r="D4073" s="5" t="s">
        <v>9020</v>
      </c>
      <c r="E4073" s="5" t="s">
        <v>27385</v>
      </c>
      <c r="F4073" s="5" t="s">
        <v>375</v>
      </c>
      <c r="G4073" s="5" t="s">
        <v>27386</v>
      </c>
      <c r="H4073" s="6" t="s">
        <v>27387</v>
      </c>
      <c r="K4073" s="5" t="s">
        <v>27332</v>
      </c>
      <c r="M4073" s="5" t="s">
        <v>27388</v>
      </c>
      <c r="N4073" s="7" t="s">
        <v>27389</v>
      </c>
      <c r="O4073" s="8" t="str">
        <f>HYPERLINK("https://drive.google.com/file/d/1TMJOLkOSKP4ESAUwlD-xybNvdiOeD-LF/view?usp=drivesdk","4072_SAIPUL, SE _ SERTIFIKAT BerAKHLAK")</f>
        <v>4072_SAIPUL, SE _ SERTIFIKAT BerAKHLAK</v>
      </c>
      <c r="P4073" s="5" t="s">
        <v>27390</v>
      </c>
    </row>
    <row r="4074">
      <c r="A4074" s="4">
        <v>45534.34927450231</v>
      </c>
      <c r="B4074" s="5" t="s">
        <v>34</v>
      </c>
      <c r="D4074" s="5" t="s">
        <v>12978</v>
      </c>
      <c r="E4074" s="5" t="s">
        <v>27391</v>
      </c>
      <c r="F4074" s="5" t="s">
        <v>108</v>
      </c>
      <c r="G4074" s="5" t="s">
        <v>27392</v>
      </c>
      <c r="H4074" s="6" t="s">
        <v>27393</v>
      </c>
      <c r="K4074" s="5" t="s">
        <v>27332</v>
      </c>
      <c r="M4074" s="5" t="s">
        <v>27394</v>
      </c>
      <c r="N4074" s="7" t="s">
        <v>27395</v>
      </c>
      <c r="O4074" s="8" t="str">
        <f>HYPERLINK("https://drive.google.com/file/d/1Ugui_PQOKJt2lQ8Xkbhc4GD19QklMkGB/view?usp=drivesdk","4073_IDAWATI _ SERTIFIKAT BerAKHLAK")</f>
        <v>4073_IDAWATI _ SERTIFIKAT BerAKHLAK</v>
      </c>
      <c r="P4074" s="5" t="s">
        <v>27390</v>
      </c>
    </row>
    <row r="4075">
      <c r="A4075" s="4">
        <v>45534.34927876157</v>
      </c>
      <c r="B4075" s="5" t="s">
        <v>34</v>
      </c>
      <c r="D4075" s="5" t="s">
        <v>1692</v>
      </c>
      <c r="E4075" s="5" t="s">
        <v>27396</v>
      </c>
      <c r="F4075" s="5" t="s">
        <v>212</v>
      </c>
      <c r="G4075" s="5" t="s">
        <v>27397</v>
      </c>
      <c r="H4075" s="6" t="s">
        <v>27398</v>
      </c>
      <c r="K4075" s="5" t="s">
        <v>27332</v>
      </c>
      <c r="M4075" s="5" t="s">
        <v>27399</v>
      </c>
      <c r="N4075" s="7" t="s">
        <v>27400</v>
      </c>
      <c r="O4075" s="8" t="str">
        <f>HYPERLINK("https://drive.google.com/file/d/1T6UlS72yuWh3FxstZtrCykhSGTo5XfnO/view?usp=drivesdk","4074_HASRIATY TUARA, Amd.Kep _ SERTIFIKAT BerAKHLAK")</f>
        <v>4074_HASRIATY TUARA, Amd.Kep _ SERTIFIKAT BerAKHLAK</v>
      </c>
      <c r="P4075" s="5" t="s">
        <v>27390</v>
      </c>
    </row>
    <row r="4076">
      <c r="A4076" s="4">
        <v>45534.3492815162</v>
      </c>
      <c r="B4076" s="5" t="s">
        <v>34</v>
      </c>
      <c r="D4076" s="5" t="s">
        <v>9394</v>
      </c>
      <c r="E4076" s="5" t="s">
        <v>27401</v>
      </c>
      <c r="F4076" s="5" t="s">
        <v>37</v>
      </c>
      <c r="G4076" s="5" t="s">
        <v>27402</v>
      </c>
      <c r="H4076" s="6" t="s">
        <v>27403</v>
      </c>
      <c r="K4076" s="5" t="s">
        <v>27332</v>
      </c>
      <c r="M4076" s="5" t="s">
        <v>27404</v>
      </c>
      <c r="N4076" s="7" t="s">
        <v>27405</v>
      </c>
      <c r="O4076" s="8" t="str">
        <f>HYPERLINK("https://drive.google.com/file/d/175UOLf6DJH51KIzST9l7RfKj897-FnL8/view?usp=drivesdk","4075_LENNA ASLIATY _ SERTIFIKAT BerAKHLAK")</f>
        <v>4075_LENNA ASLIATY _ SERTIFIKAT BerAKHLAK</v>
      </c>
      <c r="P4076" s="5" t="s">
        <v>27390</v>
      </c>
    </row>
    <row r="4077" hidden="1">
      <c r="A4077" s="4">
        <v>45534.34928368055</v>
      </c>
      <c r="B4077" s="5" t="s">
        <v>19</v>
      </c>
      <c r="C4077" s="5" t="s">
        <v>14000</v>
      </c>
      <c r="E4077" s="5" t="s">
        <v>27406</v>
      </c>
      <c r="F4077" s="5" t="s">
        <v>212</v>
      </c>
      <c r="G4077" s="5" t="s">
        <v>27407</v>
      </c>
      <c r="H4077" s="6" t="s">
        <v>27408</v>
      </c>
      <c r="K4077" s="5" t="s">
        <v>27332</v>
      </c>
      <c r="M4077" s="5" t="s">
        <v>27409</v>
      </c>
      <c r="N4077" s="7" t="s">
        <v>27410</v>
      </c>
      <c r="O4077" s="8" t="str">
        <f>HYPERLINK("https://drive.google.com/file/d/11rTqSZrRQziWgrlJq5ueM9NUvSc4wlpb/view?usp=drivesdk","4076_NONO SARTONO _ SERTIFIKAT BerAKHLAK")</f>
        <v>4076_NONO SARTONO _ SERTIFIKAT BerAKHLAK</v>
      </c>
      <c r="P4077" s="5" t="s">
        <v>27390</v>
      </c>
    </row>
    <row r="4078">
      <c r="A4078" s="4">
        <v>45534.349285185184</v>
      </c>
      <c r="B4078" s="5" t="s">
        <v>34</v>
      </c>
      <c r="D4078" s="5" t="s">
        <v>35</v>
      </c>
      <c r="E4078" s="5" t="s">
        <v>27411</v>
      </c>
      <c r="F4078" s="5" t="s">
        <v>524</v>
      </c>
      <c r="G4078" s="5" t="s">
        <v>27412</v>
      </c>
      <c r="H4078" s="6" t="s">
        <v>27413</v>
      </c>
      <c r="K4078" s="5" t="s">
        <v>27332</v>
      </c>
      <c r="M4078" s="5" t="s">
        <v>27414</v>
      </c>
      <c r="N4078" s="7" t="s">
        <v>27415</v>
      </c>
      <c r="O4078" s="8" t="str">
        <f>HYPERLINK("https://drive.google.com/file/d/17hmBOuBKw7IH9sCSrWuPX1UaEaLznQzY/view?usp=drivesdk","4077_NUGRAHA BANU SAPTANA _ SERTIFIKAT BerAKHLAK")</f>
        <v>4077_NUGRAHA BANU SAPTANA _ SERTIFIKAT BerAKHLAK</v>
      </c>
      <c r="P4078" s="5" t="s">
        <v>27416</v>
      </c>
    </row>
    <row r="4079">
      <c r="A4079" s="4">
        <v>45534.34928596065</v>
      </c>
      <c r="B4079" s="5" t="s">
        <v>34</v>
      </c>
      <c r="D4079" s="5" t="s">
        <v>1206</v>
      </c>
      <c r="E4079" s="5" t="s">
        <v>27417</v>
      </c>
      <c r="F4079" s="5" t="s">
        <v>108</v>
      </c>
      <c r="G4079" s="5" t="s">
        <v>27418</v>
      </c>
      <c r="H4079" s="6" t="s">
        <v>27419</v>
      </c>
      <c r="K4079" s="5" t="s">
        <v>27332</v>
      </c>
      <c r="M4079" s="5" t="s">
        <v>27420</v>
      </c>
      <c r="N4079" s="7" t="s">
        <v>27421</v>
      </c>
      <c r="O4079" s="8" t="str">
        <f>HYPERLINK("https://drive.google.com/file/d/1o1lxAQ39EIxGouHfEcvFfRza3r8PCOeI/view?usp=drivesdk","4078_SRI ANIK _ SERTIFIKAT BerAKHLAK")</f>
        <v>4078_SRI ANIK _ SERTIFIKAT BerAKHLAK</v>
      </c>
      <c r="P4079" s="5" t="s">
        <v>27416</v>
      </c>
    </row>
    <row r="4080">
      <c r="A4080" s="4">
        <v>45534.34928987268</v>
      </c>
      <c r="B4080" s="5" t="s">
        <v>34</v>
      </c>
      <c r="D4080" s="5" t="s">
        <v>9020</v>
      </c>
      <c r="E4080" s="5" t="s">
        <v>27422</v>
      </c>
      <c r="F4080" s="5" t="s">
        <v>212</v>
      </c>
      <c r="G4080" s="5" t="s">
        <v>27423</v>
      </c>
      <c r="H4080" s="6" t="s">
        <v>27424</v>
      </c>
      <c r="K4080" s="5" t="s">
        <v>27332</v>
      </c>
      <c r="M4080" s="5" t="s">
        <v>27425</v>
      </c>
      <c r="N4080" s="7" t="s">
        <v>27426</v>
      </c>
      <c r="O4080" s="8" t="str">
        <f>HYPERLINK("https://drive.google.com/file/d/18L5lv6T8WoewEuz94LG53QMw7MuU3MeE/view?usp=drivesdk","4079_SAMSIDAR SATAGIH _ SERTIFIKAT BerAKHLAK")</f>
        <v>4079_SAMSIDAR SATAGIH _ SERTIFIKAT BerAKHLAK</v>
      </c>
      <c r="P4080" s="5" t="s">
        <v>27416</v>
      </c>
    </row>
    <row r="4081">
      <c r="A4081" s="4">
        <v>45534.34930457176</v>
      </c>
      <c r="B4081" s="5" t="s">
        <v>34</v>
      </c>
      <c r="D4081" s="5" t="s">
        <v>522</v>
      </c>
      <c r="E4081" s="5" t="s">
        <v>27427</v>
      </c>
      <c r="F4081" s="5" t="s">
        <v>212</v>
      </c>
      <c r="G4081" s="5" t="s">
        <v>27428</v>
      </c>
      <c r="H4081" s="6" t="s">
        <v>27429</v>
      </c>
      <c r="K4081" s="5" t="s">
        <v>27332</v>
      </c>
      <c r="M4081" s="5" t="s">
        <v>27430</v>
      </c>
      <c r="N4081" s="7" t="s">
        <v>27431</v>
      </c>
      <c r="O4081" s="8" t="str">
        <f>HYPERLINK("https://drive.google.com/file/d/1-C1ROEyJ0Um89fNJwlQyCyhd3Fb4cJU-/view?usp=drivesdk","4080_SITI RAHMAH  _ SERTIFIKAT BerAKHLAK")</f>
        <v>4080_SITI RAHMAH  _ SERTIFIKAT BerAKHLAK</v>
      </c>
      <c r="P4081" s="5" t="s">
        <v>27416</v>
      </c>
    </row>
    <row r="4082">
      <c r="A4082" s="4">
        <v>45534.34931497685</v>
      </c>
      <c r="B4082" s="5" t="s">
        <v>34</v>
      </c>
      <c r="D4082" s="5" t="s">
        <v>9394</v>
      </c>
      <c r="E4082" s="5" t="s">
        <v>27432</v>
      </c>
      <c r="F4082" s="5" t="s">
        <v>72</v>
      </c>
      <c r="G4082" s="5" t="s">
        <v>27433</v>
      </c>
      <c r="H4082" s="6" t="s">
        <v>27434</v>
      </c>
      <c r="K4082" s="5" t="s">
        <v>27332</v>
      </c>
      <c r="M4082" s="5" t="s">
        <v>27435</v>
      </c>
      <c r="N4082" s="7" t="s">
        <v>27436</v>
      </c>
      <c r="O4082" s="8" t="str">
        <f>HYPERLINK("https://drive.google.com/file/d/1ZzrB_vbvcaIhQZ4MtvLY8rkihiYaYrPK/view?usp=drivesdk","4081_RINA SIAGIAN, A.Md., S.M. _ SERTIFIKAT BerAKHLAK")</f>
        <v>4081_RINA SIAGIAN, A.Md., S.M. _ SERTIFIKAT BerAKHLAK</v>
      </c>
      <c r="P4082" s="5" t="s">
        <v>27416</v>
      </c>
    </row>
    <row r="4083" hidden="1">
      <c r="A4083" s="4">
        <v>45534.349325462965</v>
      </c>
      <c r="B4083" s="5" t="s">
        <v>19</v>
      </c>
      <c r="C4083" s="5" t="s">
        <v>292</v>
      </c>
      <c r="E4083" s="5" t="s">
        <v>27437</v>
      </c>
      <c r="F4083" s="5" t="s">
        <v>524</v>
      </c>
      <c r="G4083" s="5" t="s">
        <v>27438</v>
      </c>
      <c r="H4083" s="6" t="s">
        <v>27439</v>
      </c>
      <c r="K4083" s="5" t="s">
        <v>27440</v>
      </c>
      <c r="M4083" s="5" t="s">
        <v>27441</v>
      </c>
      <c r="N4083" s="7" t="s">
        <v>27442</v>
      </c>
      <c r="O4083" s="8" t="str">
        <f>HYPERLINK("https://drive.google.com/file/d/1K_ffk0jabQLe0m5nDBwqNgYg3dTJm64L/view?usp=drivesdk","4082_NINING MULYANI, S.E _ SERTIFIKAT BerAKHLAK")</f>
        <v>4082_NINING MULYANI, S.E _ SERTIFIKAT BerAKHLAK</v>
      </c>
      <c r="P4083" s="5" t="s">
        <v>27443</v>
      </c>
    </row>
    <row r="4084">
      <c r="A4084" s="4">
        <v>45534.34932809028</v>
      </c>
      <c r="B4084" s="5" t="s">
        <v>34</v>
      </c>
      <c r="D4084" s="5" t="s">
        <v>580</v>
      </c>
      <c r="E4084" s="5" t="s">
        <v>27444</v>
      </c>
      <c r="F4084" s="5" t="s">
        <v>108</v>
      </c>
      <c r="G4084" s="5" t="s">
        <v>27445</v>
      </c>
      <c r="H4084" s="6" t="s">
        <v>27446</v>
      </c>
      <c r="K4084" s="5" t="s">
        <v>27440</v>
      </c>
      <c r="M4084" s="5" t="s">
        <v>27447</v>
      </c>
      <c r="N4084" s="7" t="s">
        <v>27448</v>
      </c>
      <c r="O4084" s="8" t="str">
        <f>HYPERLINK("https://drive.google.com/file/d/151G82ypjCobBpvof38RW0oLjNHPhhHS4/view?usp=drivesdk","4083_NI KETUT SUARJANI _ SERTIFIKAT BerAKHLAK")</f>
        <v>4083_NI KETUT SUARJANI _ SERTIFIKAT BerAKHLAK</v>
      </c>
      <c r="P4084" s="5" t="s">
        <v>27443</v>
      </c>
    </row>
    <row r="4085">
      <c r="A4085" s="4">
        <v>45534.349329212964</v>
      </c>
      <c r="B4085" s="5" t="s">
        <v>34</v>
      </c>
      <c r="D4085" s="5" t="s">
        <v>280</v>
      </c>
      <c r="E4085" s="5" t="s">
        <v>27449</v>
      </c>
      <c r="F4085" s="5" t="s">
        <v>212</v>
      </c>
      <c r="G4085" s="5" t="s">
        <v>27450</v>
      </c>
      <c r="H4085" s="6" t="s">
        <v>27451</v>
      </c>
      <c r="K4085" s="5" t="s">
        <v>27440</v>
      </c>
      <c r="M4085" s="5" t="s">
        <v>27452</v>
      </c>
      <c r="N4085" s="7" t="s">
        <v>27453</v>
      </c>
      <c r="O4085" s="8" t="str">
        <f>HYPERLINK("https://drive.google.com/file/d/1fptFiS-8ZpVJZydiAQ5oJImjBSapqRbA/view?usp=drivesdk","4084_SRI SAMSINI _ SERTIFIKAT BerAKHLAK")</f>
        <v>4084_SRI SAMSINI _ SERTIFIKAT BerAKHLAK</v>
      </c>
      <c r="P4085" s="5" t="s">
        <v>27443</v>
      </c>
    </row>
    <row r="4086">
      <c r="A4086" s="4">
        <v>45534.34933211806</v>
      </c>
      <c r="B4086" s="5" t="s">
        <v>34</v>
      </c>
      <c r="D4086" s="5" t="s">
        <v>7858</v>
      </c>
      <c r="E4086" s="5" t="s">
        <v>27454</v>
      </c>
      <c r="F4086" s="5" t="s">
        <v>524</v>
      </c>
      <c r="G4086" s="5" t="s">
        <v>27455</v>
      </c>
      <c r="H4086" s="6" t="s">
        <v>27456</v>
      </c>
      <c r="K4086" s="5" t="s">
        <v>27440</v>
      </c>
      <c r="M4086" s="5" t="s">
        <v>27457</v>
      </c>
      <c r="N4086" s="7" t="s">
        <v>27458</v>
      </c>
      <c r="O4086" s="8" t="str">
        <f>HYPERLINK("https://drive.google.com/file/d/1darRzWigvxlSbIFuW15kSAwifVwYZ80E/view?usp=drivesdk","4085_HERIYAWATI, S.H. _ SERTIFIKAT BerAKHLAK")</f>
        <v>4085_HERIYAWATI, S.H. _ SERTIFIKAT BerAKHLAK</v>
      </c>
      <c r="P4086" s="5" t="s">
        <v>27443</v>
      </c>
    </row>
    <row r="4087" hidden="1">
      <c r="A4087" s="4">
        <v>45534.349341319445</v>
      </c>
      <c r="B4087" s="5" t="s">
        <v>19</v>
      </c>
      <c r="C4087" s="5" t="s">
        <v>466</v>
      </c>
      <c r="E4087" s="5" t="s">
        <v>27459</v>
      </c>
      <c r="F4087" s="5" t="s">
        <v>108</v>
      </c>
      <c r="G4087" s="5" t="s">
        <v>27460</v>
      </c>
      <c r="H4087" s="6" t="s">
        <v>27461</v>
      </c>
      <c r="K4087" s="5" t="s">
        <v>27440</v>
      </c>
      <c r="M4087" s="5" t="s">
        <v>27462</v>
      </c>
      <c r="N4087" s="7" t="s">
        <v>27463</v>
      </c>
      <c r="O4087" s="8" t="str">
        <f>HYPERLINK("https://drive.google.com/file/d/1YAVRzYEOi_UtRkIfjno5ZBulx2ezvkm_/view?usp=drivesdk","4086_DARYANTO _ SERTIFIKAT BerAKHLAK")</f>
        <v>4086_DARYANTO _ SERTIFIKAT BerAKHLAK</v>
      </c>
      <c r="P4087" s="5" t="s">
        <v>27464</v>
      </c>
    </row>
    <row r="4088" hidden="1">
      <c r="A4088" s="4">
        <v>45534.349341493056</v>
      </c>
      <c r="B4088" s="5" t="s">
        <v>19</v>
      </c>
      <c r="C4088" s="5" t="s">
        <v>5058</v>
      </c>
      <c r="E4088" s="5" t="s">
        <v>27465</v>
      </c>
      <c r="F4088" s="5" t="s">
        <v>108</v>
      </c>
      <c r="G4088" s="5" t="s">
        <v>27466</v>
      </c>
      <c r="H4088" s="6" t="s">
        <v>27467</v>
      </c>
      <c r="K4088" s="5" t="s">
        <v>27440</v>
      </c>
      <c r="M4088" s="5" t="s">
        <v>27468</v>
      </c>
      <c r="N4088" s="7" t="s">
        <v>27469</v>
      </c>
      <c r="O4088" s="8" t="str">
        <f>HYPERLINK("https://drive.google.com/file/d/1LAMftSbveB3CzN6WR43LYKi0uiPHWOR_/view?usp=drivesdk","4087_DWI YULIANA. A.Md _ SERTIFIKAT BerAKHLAK")</f>
        <v>4087_DWI YULIANA. A.Md _ SERTIFIKAT BerAKHLAK</v>
      </c>
      <c r="P4088" s="5" t="s">
        <v>27464</v>
      </c>
    </row>
    <row r="4089">
      <c r="A4089" s="4">
        <v>45534.34936586805</v>
      </c>
      <c r="B4089" s="5" t="s">
        <v>34</v>
      </c>
      <c r="D4089" s="5" t="s">
        <v>4775</v>
      </c>
      <c r="E4089" s="5" t="s">
        <v>27470</v>
      </c>
      <c r="F4089" s="5" t="s">
        <v>37</v>
      </c>
      <c r="G4089" s="5" t="s">
        <v>27471</v>
      </c>
      <c r="H4089" s="6" t="s">
        <v>27472</v>
      </c>
      <c r="K4089" s="5" t="s">
        <v>27440</v>
      </c>
      <c r="M4089" s="5" t="s">
        <v>27473</v>
      </c>
      <c r="N4089" s="7" t="s">
        <v>27474</v>
      </c>
      <c r="O4089" s="8" t="str">
        <f>HYPERLINK("https://drive.google.com/file/d/189p1a6KAN0Brt-0uatysYaz5YYKZ7P04/view?usp=drivesdk","4088_TRIYANDOKO _ SERTIFIKAT BerAKHLAK")</f>
        <v>4088_TRIYANDOKO _ SERTIFIKAT BerAKHLAK</v>
      </c>
      <c r="P4089" s="5" t="s">
        <v>27464</v>
      </c>
    </row>
    <row r="4090">
      <c r="A4090" s="4">
        <v>45534.34937988426</v>
      </c>
      <c r="B4090" s="5" t="s">
        <v>34</v>
      </c>
      <c r="D4090" s="5" t="s">
        <v>4775</v>
      </c>
      <c r="E4090" s="5" t="s">
        <v>27475</v>
      </c>
      <c r="F4090" s="5" t="s">
        <v>37</v>
      </c>
      <c r="G4090" s="5" t="s">
        <v>27476</v>
      </c>
      <c r="H4090" s="6" t="s">
        <v>27477</v>
      </c>
      <c r="K4090" s="5" t="s">
        <v>27440</v>
      </c>
      <c r="M4090" s="5" t="s">
        <v>27478</v>
      </c>
      <c r="N4090" s="7" t="s">
        <v>27479</v>
      </c>
      <c r="O4090" s="8" t="str">
        <f>HYPERLINK("https://drive.google.com/file/d/1tzRzM1P2MOEj2Xs48nLHa8jsj-aGVGuc/view?usp=drivesdk","4089_SUYATMIN _ SERTIFIKAT BerAKHLAK")</f>
        <v>4089_SUYATMIN _ SERTIFIKAT BerAKHLAK</v>
      </c>
      <c r="P4090" s="5" t="s">
        <v>27464</v>
      </c>
    </row>
    <row r="4091">
      <c r="A4091" s="4">
        <v>45534.34938373843</v>
      </c>
      <c r="B4091" s="5" t="s">
        <v>34</v>
      </c>
      <c r="D4091" s="5" t="s">
        <v>267</v>
      </c>
      <c r="E4091" s="5" t="s">
        <v>27480</v>
      </c>
      <c r="F4091" s="5" t="s">
        <v>375</v>
      </c>
      <c r="G4091" s="5" t="s">
        <v>27481</v>
      </c>
      <c r="H4091" s="6" t="s">
        <v>27482</v>
      </c>
      <c r="K4091" s="5" t="s">
        <v>27440</v>
      </c>
      <c r="M4091" s="5" t="s">
        <v>27483</v>
      </c>
      <c r="N4091" s="7" t="s">
        <v>27484</v>
      </c>
      <c r="O4091" s="8" t="str">
        <f>HYPERLINK("https://drive.google.com/file/d/1NSmXggf4fcTrROX2WSaVkgslLwMAczPk/view?usp=drivesdk","4090_ADI SETYO NUGROHO S.E., M.M. _ SERTIFIKAT BerAKHLAK")</f>
        <v>4090_ADI SETYO NUGROHO S.E., M.M. _ SERTIFIKAT BerAKHLAK</v>
      </c>
      <c r="P4091" s="5" t="s">
        <v>27464</v>
      </c>
    </row>
    <row r="4092">
      <c r="A4092" s="4">
        <v>45534.34938721065</v>
      </c>
      <c r="B4092" s="5" t="s">
        <v>34</v>
      </c>
      <c r="D4092" s="5" t="s">
        <v>580</v>
      </c>
      <c r="E4092" s="5" t="s">
        <v>27485</v>
      </c>
      <c r="F4092" s="5" t="s">
        <v>72</v>
      </c>
      <c r="G4092" s="5" t="s">
        <v>27486</v>
      </c>
      <c r="H4092" s="6" t="s">
        <v>27487</v>
      </c>
      <c r="K4092" s="5" t="s">
        <v>27440</v>
      </c>
      <c r="M4092" s="5" t="s">
        <v>27488</v>
      </c>
      <c r="N4092" s="7" t="s">
        <v>27489</v>
      </c>
      <c r="O4092" s="8" t="str">
        <f>HYPERLINK("https://drive.google.com/file/d/1r1YxTV-rVFeZXehu4VvefulT5Toyvx9_/view?usp=drivesdk","4091_DR N DIARTHA BUDI LEGAWA _ SERTIFIKAT BerAKHLAK")</f>
        <v>4091_DR N DIARTHA BUDI LEGAWA _ SERTIFIKAT BerAKHLAK</v>
      </c>
      <c r="P4092" s="5" t="s">
        <v>27490</v>
      </c>
    </row>
    <row r="4093">
      <c r="A4093" s="4">
        <v>45534.34939206019</v>
      </c>
      <c r="B4093" s="5" t="s">
        <v>34</v>
      </c>
      <c r="D4093" s="5" t="s">
        <v>996</v>
      </c>
      <c r="E4093" s="5" t="s">
        <v>27491</v>
      </c>
      <c r="F4093" s="5" t="s">
        <v>72</v>
      </c>
      <c r="G4093" s="5" t="s">
        <v>27492</v>
      </c>
      <c r="H4093" s="6" t="s">
        <v>27493</v>
      </c>
      <c r="K4093" s="5" t="s">
        <v>27440</v>
      </c>
      <c r="M4093" s="5" t="s">
        <v>27494</v>
      </c>
      <c r="N4093" s="7" t="s">
        <v>27495</v>
      </c>
      <c r="O4093" s="8" t="str">
        <f>HYPERLINK("https://drive.google.com/file/d/1UZC-Hv18iujp88NHXipVi1LhCjftdriU/view?usp=drivesdk","4092_HARLINA _ SERTIFIKAT BerAKHLAK")</f>
        <v>4092_HARLINA _ SERTIFIKAT BerAKHLAK</v>
      </c>
      <c r="P4093" s="5" t="s">
        <v>27490</v>
      </c>
    </row>
    <row r="4094">
      <c r="A4094" s="4">
        <v>45534.34939780092</v>
      </c>
      <c r="B4094" s="5" t="s">
        <v>34</v>
      </c>
      <c r="D4094" s="5" t="s">
        <v>1206</v>
      </c>
      <c r="E4094" s="5" t="s">
        <v>27496</v>
      </c>
      <c r="F4094" s="5" t="s">
        <v>328</v>
      </c>
      <c r="G4094" s="5" t="s">
        <v>27497</v>
      </c>
      <c r="H4094" s="6" t="s">
        <v>27498</v>
      </c>
      <c r="K4094" s="5" t="s">
        <v>27499</v>
      </c>
      <c r="M4094" s="5" t="s">
        <v>27500</v>
      </c>
      <c r="N4094" s="7" t="s">
        <v>27501</v>
      </c>
      <c r="O4094" s="8" t="str">
        <f>HYPERLINK("https://drive.google.com/file/d/1fxsVaCX3tWpfeRVJKBz8c2PcB9LsiRqk/view?usp=drivesdk","4093_KIFIRUL MUAZIS _ SERTIFIKAT BerAKHLAK")</f>
        <v>4093_KIFIRUL MUAZIS _ SERTIFIKAT BerAKHLAK</v>
      </c>
      <c r="P4094" s="5" t="s">
        <v>27490</v>
      </c>
    </row>
    <row r="4095">
      <c r="A4095" s="4">
        <v>45534.34942230324</v>
      </c>
      <c r="B4095" s="5" t="s">
        <v>34</v>
      </c>
      <c r="D4095" s="5" t="s">
        <v>9394</v>
      </c>
      <c r="E4095" s="5" t="s">
        <v>27502</v>
      </c>
      <c r="F4095" s="5" t="s">
        <v>524</v>
      </c>
      <c r="G4095" s="5" t="s">
        <v>27503</v>
      </c>
      <c r="H4095" s="6" t="s">
        <v>27504</v>
      </c>
      <c r="K4095" s="5" t="s">
        <v>27499</v>
      </c>
      <c r="M4095" s="5" t="s">
        <v>27505</v>
      </c>
      <c r="N4095" s="7" t="s">
        <v>27506</v>
      </c>
      <c r="O4095" s="8" t="str">
        <f>HYPERLINK("https://drive.google.com/file/d/1weCsjsaHC6jZnghm0pjTK-yPQwoF6X1N/view?usp=drivesdk","4094_ELFA SURYANI.S.E _ SERTIFIKAT BerAKHLAK")</f>
        <v>4094_ELFA SURYANI.S.E _ SERTIFIKAT BerAKHLAK</v>
      </c>
      <c r="P4095" s="5" t="s">
        <v>27490</v>
      </c>
    </row>
    <row r="4096">
      <c r="A4096" s="4">
        <v>45534.349426388886</v>
      </c>
      <c r="B4096" s="5" t="s">
        <v>34</v>
      </c>
      <c r="D4096" s="5" t="s">
        <v>1768</v>
      </c>
      <c r="E4096" s="5" t="s">
        <v>27507</v>
      </c>
      <c r="F4096" s="5" t="s">
        <v>375</v>
      </c>
      <c r="G4096" s="5" t="s">
        <v>27508</v>
      </c>
      <c r="H4096" s="6" t="s">
        <v>27509</v>
      </c>
      <c r="K4096" s="5" t="s">
        <v>27499</v>
      </c>
      <c r="M4096" s="5" t="s">
        <v>27510</v>
      </c>
      <c r="N4096" s="7" t="s">
        <v>27511</v>
      </c>
      <c r="O4096" s="8" t="str">
        <f>HYPERLINK("https://drive.google.com/file/d/1d1V2UWhi3FulqsV0LiJhk2eweQJg9xZ_/view?usp=drivesdk","4095_TATI SUPRIYATI _ SERTIFIKAT BerAKHLAK")</f>
        <v>4095_TATI SUPRIYATI _ SERTIFIKAT BerAKHLAK</v>
      </c>
      <c r="P4096" s="5" t="s">
        <v>27512</v>
      </c>
    </row>
    <row r="4097">
      <c r="A4097" s="4">
        <v>45534.34943159722</v>
      </c>
      <c r="B4097" s="5" t="s">
        <v>34</v>
      </c>
      <c r="D4097" s="5" t="s">
        <v>1206</v>
      </c>
      <c r="E4097" s="5" t="s">
        <v>27513</v>
      </c>
      <c r="F4097" s="5" t="s">
        <v>108</v>
      </c>
      <c r="G4097" s="5" t="s">
        <v>27514</v>
      </c>
      <c r="H4097" s="6" t="s">
        <v>27515</v>
      </c>
      <c r="K4097" s="5" t="s">
        <v>27499</v>
      </c>
      <c r="M4097" s="5" t="s">
        <v>27516</v>
      </c>
      <c r="N4097" s="7" t="s">
        <v>27517</v>
      </c>
      <c r="O4097" s="8" t="str">
        <f>HYPERLINK("https://drive.google.com/file/d/1NFAT-IvdJONyIZZ4-OH9x-GF-Yg4a-Hh/view?usp=drivesdk","4096_THOMA KUMARA _ SERTIFIKAT BerAKHLAK")</f>
        <v>4096_THOMA KUMARA _ SERTIFIKAT BerAKHLAK</v>
      </c>
      <c r="P4097" s="5" t="s">
        <v>27512</v>
      </c>
    </row>
    <row r="4098">
      <c r="A4098" s="4">
        <v>45534.34944708333</v>
      </c>
      <c r="B4098" s="5" t="s">
        <v>34</v>
      </c>
      <c r="D4098" s="5" t="s">
        <v>1768</v>
      </c>
      <c r="E4098" s="5" t="s">
        <v>27518</v>
      </c>
      <c r="F4098" s="5" t="s">
        <v>524</v>
      </c>
      <c r="G4098" s="5" t="s">
        <v>27519</v>
      </c>
      <c r="H4098" s="6" t="s">
        <v>27520</v>
      </c>
      <c r="K4098" s="5" t="s">
        <v>27499</v>
      </c>
      <c r="M4098" s="5" t="s">
        <v>27521</v>
      </c>
      <c r="N4098" s="7" t="s">
        <v>27522</v>
      </c>
      <c r="O4098" s="8" t="str">
        <f>HYPERLINK("https://drive.google.com/file/d/1sw8Q7FhFm9GhN_1_4z4NtPYxp51IEwnJ/view?usp=drivesdk","4097_AYU SRI RAHAYU  _ SERTIFIKAT BerAKHLAK")</f>
        <v>4097_AYU SRI RAHAYU  _ SERTIFIKAT BerAKHLAK</v>
      </c>
      <c r="P4098" s="5" t="s">
        <v>27512</v>
      </c>
    </row>
    <row r="4099">
      <c r="A4099" s="4">
        <v>45534.349459282406</v>
      </c>
      <c r="B4099" s="5" t="s">
        <v>34</v>
      </c>
      <c r="D4099" s="5" t="s">
        <v>12978</v>
      </c>
      <c r="E4099" s="5" t="s">
        <v>27523</v>
      </c>
      <c r="F4099" s="5" t="s">
        <v>120</v>
      </c>
      <c r="G4099" s="5" t="s">
        <v>27524</v>
      </c>
      <c r="H4099" s="6" t="s">
        <v>27525</v>
      </c>
      <c r="K4099" s="5" t="s">
        <v>27499</v>
      </c>
      <c r="M4099" s="5" t="s">
        <v>27526</v>
      </c>
      <c r="N4099" s="7" t="s">
        <v>27527</v>
      </c>
      <c r="O4099" s="8" t="str">
        <f>HYPERLINK("https://drive.google.com/file/d/1XYcc4mA_Rb34z_TZTaZTqly3Dp09ZLj4/view?usp=drivesdk","4098_DRA.RUSNANI _ SERTIFIKAT BerAKHLAK")</f>
        <v>4098_DRA.RUSNANI _ SERTIFIKAT BerAKHLAK</v>
      </c>
      <c r="P4099" s="5" t="s">
        <v>27512</v>
      </c>
    </row>
    <row r="4100">
      <c r="A4100" s="4">
        <v>45534.34947908565</v>
      </c>
      <c r="B4100" s="5" t="s">
        <v>34</v>
      </c>
      <c r="D4100" s="5" t="s">
        <v>4775</v>
      </c>
      <c r="E4100" s="5" t="s">
        <v>27528</v>
      </c>
      <c r="F4100" s="5" t="s">
        <v>212</v>
      </c>
      <c r="G4100" s="5" t="s">
        <v>27529</v>
      </c>
      <c r="H4100" s="6" t="s">
        <v>27530</v>
      </c>
      <c r="K4100" s="5" t="s">
        <v>26475</v>
      </c>
      <c r="M4100" s="5" t="s">
        <v>27531</v>
      </c>
      <c r="N4100" s="7" t="s">
        <v>27532</v>
      </c>
      <c r="O4100" s="8" t="str">
        <f>HYPERLINK("https://drive.google.com/file/d/1jfPhCZMxBh0jilQ_4T5kbPHQTJDk5i8q/view?usp=drivesdk","4099_SUMADI _ SERTIFIKAT BerAKHLAK")</f>
        <v>4099_SUMADI _ SERTIFIKAT BerAKHLAK</v>
      </c>
      <c r="P4100" s="5" t="s">
        <v>27512</v>
      </c>
    </row>
    <row r="4101">
      <c r="A4101" s="4">
        <v>45534.3494858912</v>
      </c>
      <c r="B4101" s="5" t="s">
        <v>34</v>
      </c>
      <c r="D4101" s="5" t="s">
        <v>1206</v>
      </c>
      <c r="E4101" s="5" t="s">
        <v>27533</v>
      </c>
      <c r="F4101" s="5" t="s">
        <v>212</v>
      </c>
      <c r="G4101" s="5" t="s">
        <v>27534</v>
      </c>
      <c r="H4101" s="6" t="s">
        <v>27535</v>
      </c>
      <c r="K4101" s="5" t="s">
        <v>26475</v>
      </c>
      <c r="M4101" s="5" t="s">
        <v>27536</v>
      </c>
      <c r="N4101" s="7" t="s">
        <v>27537</v>
      </c>
      <c r="O4101" s="8" t="str">
        <f>HYPERLINK("https://drive.google.com/file/d/1TjPrpqPuZnedUUJ0MeDQYU_99ZN8qwJ7/view?usp=drivesdk","4100_ROSHID, S.A.P. _ SERTIFIKAT BerAKHLAK")</f>
        <v>4100_ROSHID, S.A.P. _ SERTIFIKAT BerAKHLAK</v>
      </c>
      <c r="P4101" s="5" t="s">
        <v>27538</v>
      </c>
    </row>
    <row r="4102">
      <c r="A4102" s="4">
        <v>45534.349504791666</v>
      </c>
      <c r="B4102" s="5" t="s">
        <v>34</v>
      </c>
      <c r="D4102" s="5" t="s">
        <v>9020</v>
      </c>
      <c r="E4102" s="5" t="s">
        <v>27539</v>
      </c>
      <c r="F4102" s="5" t="s">
        <v>212</v>
      </c>
      <c r="G4102" s="5" t="s">
        <v>27540</v>
      </c>
      <c r="H4102" s="6" t="s">
        <v>27541</v>
      </c>
      <c r="K4102" s="5" t="s">
        <v>26475</v>
      </c>
      <c r="M4102" s="5" t="s">
        <v>27542</v>
      </c>
      <c r="N4102" s="7" t="s">
        <v>27543</v>
      </c>
      <c r="O4102" s="8" t="str">
        <f>HYPERLINK("https://drive.google.com/file/d/1bqxYGGIrRo0NdRD3_ewSsldqDUp444wq/view?usp=drivesdk","4101_WILLY ANDES SITOHANG _ SERTIFIKAT BerAKHLAK")</f>
        <v>4101_WILLY ANDES SITOHANG _ SERTIFIKAT BerAKHLAK</v>
      </c>
      <c r="P4102" s="5" t="s">
        <v>27538</v>
      </c>
    </row>
    <row r="4103">
      <c r="A4103" s="4">
        <v>45534.34950673611</v>
      </c>
      <c r="B4103" s="5" t="s">
        <v>34</v>
      </c>
      <c r="D4103" s="5" t="s">
        <v>4775</v>
      </c>
      <c r="E4103" s="5" t="s">
        <v>27544</v>
      </c>
      <c r="F4103" s="5" t="s">
        <v>375</v>
      </c>
      <c r="G4103" s="5" t="s">
        <v>27545</v>
      </c>
      <c r="H4103" s="6" t="s">
        <v>27546</v>
      </c>
      <c r="K4103" s="5" t="s">
        <v>26475</v>
      </c>
      <c r="M4103" s="5" t="s">
        <v>27547</v>
      </c>
      <c r="N4103" s="7" t="s">
        <v>27548</v>
      </c>
      <c r="O4103" s="8" t="str">
        <f>HYPERLINK("https://drive.google.com/file/d/1VlNsOvvNdSxEWF6ffSFnuLSXeouUzT3h/view?usp=drivesdk","4102_ARI WIDYANINGSIH, S.KOM. _ SERTIFIKAT BerAKHLAK")</f>
        <v>4102_ARI WIDYANINGSIH, S.KOM. _ SERTIFIKAT BerAKHLAK</v>
      </c>
      <c r="P4103" s="5" t="s">
        <v>27538</v>
      </c>
    </row>
    <row r="4104">
      <c r="A4104" s="4">
        <v>45534.349507430554</v>
      </c>
      <c r="B4104" s="5" t="s">
        <v>34</v>
      </c>
      <c r="D4104" s="5" t="s">
        <v>1206</v>
      </c>
      <c r="E4104" s="5" t="s">
        <v>20883</v>
      </c>
      <c r="F4104" s="5" t="s">
        <v>199</v>
      </c>
      <c r="G4104" s="5" t="s">
        <v>27549</v>
      </c>
      <c r="H4104" s="6" t="s">
        <v>27550</v>
      </c>
      <c r="K4104" s="5" t="s">
        <v>26475</v>
      </c>
      <c r="M4104" s="5" t="s">
        <v>27551</v>
      </c>
      <c r="N4104" s="7" t="s">
        <v>27552</v>
      </c>
      <c r="O4104" s="8" t="str">
        <f>HYPERLINK("https://drive.google.com/file/d/1r-3b3hSHQVkKH8GrMQwGbYteN8_p1q6-/view?usp=drivesdk","4103_SUNARYO _ SERTIFIKAT BerAKHLAK")</f>
        <v>4103_SUNARYO _ SERTIFIKAT BerAKHLAK</v>
      </c>
      <c r="P4104" s="5" t="s">
        <v>27538</v>
      </c>
    </row>
    <row r="4105">
      <c r="A4105" s="4">
        <v>45534.34950783565</v>
      </c>
      <c r="B4105" s="5" t="s">
        <v>34</v>
      </c>
      <c r="D4105" s="5" t="s">
        <v>1206</v>
      </c>
      <c r="E4105" s="5" t="s">
        <v>27553</v>
      </c>
      <c r="F4105" s="5" t="s">
        <v>375</v>
      </c>
      <c r="G4105" s="5" t="s">
        <v>27554</v>
      </c>
      <c r="H4105" s="6" t="s">
        <v>27555</v>
      </c>
      <c r="K4105" s="5" t="s">
        <v>27556</v>
      </c>
      <c r="M4105" s="5" t="s">
        <v>27557</v>
      </c>
      <c r="N4105" s="7" t="s">
        <v>27558</v>
      </c>
      <c r="O4105" s="8" t="str">
        <f>HYPERLINK("https://drive.google.com/file/d/1ZkJHC6BsXYNl_oOeYGQs_LyX8kZylYME/view?usp=drivesdk","4104_Ruly Anggara Miastuti, S.Ip _ SERTIFIKAT BerAKHLAK")</f>
        <v>4104_Ruly Anggara Miastuti, S.Ip _ SERTIFIKAT BerAKHLAK</v>
      </c>
      <c r="P4105" s="5" t="s">
        <v>27538</v>
      </c>
    </row>
    <row r="4106">
      <c r="A4106" s="4">
        <v>45534.349507858795</v>
      </c>
      <c r="B4106" s="5" t="s">
        <v>34</v>
      </c>
      <c r="D4106" s="5" t="s">
        <v>10444</v>
      </c>
      <c r="E4106" s="5" t="s">
        <v>27559</v>
      </c>
      <c r="F4106" s="5" t="s">
        <v>72</v>
      </c>
      <c r="G4106" s="5" t="s">
        <v>27560</v>
      </c>
      <c r="H4106" s="6" t="s">
        <v>27561</v>
      </c>
      <c r="K4106" s="5" t="s">
        <v>27556</v>
      </c>
      <c r="M4106" s="5" t="s">
        <v>27562</v>
      </c>
      <c r="N4106" s="7" t="s">
        <v>27563</v>
      </c>
      <c r="O4106" s="8" t="str">
        <f>HYPERLINK("https://drive.google.com/file/d/1fLrN-UlH_QYLzYOXEq1cxEqJXihP_E2d/view?usp=drivesdk","4105_KOMARIAH _ SERTIFIKAT BerAKHLAK")</f>
        <v>4105_KOMARIAH _ SERTIFIKAT BerAKHLAK</v>
      </c>
      <c r="P4106" s="5" t="s">
        <v>27564</v>
      </c>
    </row>
    <row r="4107">
      <c r="A4107" s="4">
        <v>45534.349513946756</v>
      </c>
      <c r="B4107" s="5" t="s">
        <v>34</v>
      </c>
      <c r="D4107" s="5" t="s">
        <v>9020</v>
      </c>
      <c r="E4107" s="5" t="s">
        <v>27565</v>
      </c>
      <c r="F4107" s="5" t="s">
        <v>212</v>
      </c>
      <c r="G4107" s="5" t="s">
        <v>27566</v>
      </c>
      <c r="H4107" s="6" t="s">
        <v>27567</v>
      </c>
      <c r="K4107" s="5" t="s">
        <v>27556</v>
      </c>
      <c r="M4107" s="5" t="s">
        <v>27568</v>
      </c>
      <c r="N4107" s="7" t="s">
        <v>27569</v>
      </c>
      <c r="O4107" s="8" t="str">
        <f>HYPERLINK("https://drive.google.com/file/d/1zlKrOU3WW6crpAwZi9ElERHME1SbpAot/view?usp=drivesdk","4106_ERIANI _ SERTIFIKAT BerAKHLAK")</f>
        <v>4106_ERIANI _ SERTIFIKAT BerAKHLAK</v>
      </c>
      <c r="P4107" s="5" t="s">
        <v>27564</v>
      </c>
    </row>
    <row r="4108">
      <c r="A4108" s="4">
        <v>45534.34952503472</v>
      </c>
      <c r="B4108" s="5" t="s">
        <v>34</v>
      </c>
      <c r="D4108" s="5" t="s">
        <v>35</v>
      </c>
      <c r="E4108" s="5" t="s">
        <v>27570</v>
      </c>
      <c r="F4108" s="5" t="s">
        <v>37</v>
      </c>
      <c r="G4108" s="5" t="s">
        <v>27571</v>
      </c>
      <c r="H4108" s="6" t="s">
        <v>27572</v>
      </c>
      <c r="K4108" s="5" t="s">
        <v>27556</v>
      </c>
      <c r="M4108" s="5" t="s">
        <v>27573</v>
      </c>
      <c r="N4108" s="7" t="s">
        <v>27574</v>
      </c>
      <c r="O4108" s="8" t="str">
        <f>HYPERLINK("https://drive.google.com/file/d/1ihqJHquQV-jek16Hexh9B4QQs_ePQkzf/view?usp=drivesdk","4107_BUNAIM _ SERTIFIKAT BerAKHLAK")</f>
        <v>4107_BUNAIM _ SERTIFIKAT BerAKHLAK</v>
      </c>
      <c r="P4108" s="5" t="s">
        <v>27564</v>
      </c>
    </row>
    <row r="4109">
      <c r="A4109" s="4">
        <v>45534.349550555555</v>
      </c>
      <c r="B4109" s="5" t="s">
        <v>34</v>
      </c>
      <c r="D4109" s="5" t="s">
        <v>1456</v>
      </c>
      <c r="E4109" s="5" t="s">
        <v>27575</v>
      </c>
      <c r="F4109" s="5" t="s">
        <v>37</v>
      </c>
      <c r="G4109" s="5" t="s">
        <v>27576</v>
      </c>
      <c r="H4109" s="6" t="s">
        <v>27577</v>
      </c>
      <c r="K4109" s="5" t="s">
        <v>27556</v>
      </c>
      <c r="M4109" s="5" t="s">
        <v>27578</v>
      </c>
      <c r="N4109" s="7" t="s">
        <v>27579</v>
      </c>
      <c r="O4109" s="8" t="str">
        <f>HYPERLINK("https://drive.google.com/file/d/1M8M8QKjXgGDh1lBoxfucb81qHK9OOBsJ/view?usp=drivesdk","4108_ARIS SETIAWAN A.MD.KEP _ SERTIFIKAT BerAKHLAK")</f>
        <v>4108_ARIS SETIAWAN A.MD.KEP _ SERTIFIKAT BerAKHLAK</v>
      </c>
      <c r="P4109" s="5" t="s">
        <v>27564</v>
      </c>
    </row>
    <row r="4110" hidden="1">
      <c r="A4110" s="4">
        <v>45534.349554942135</v>
      </c>
      <c r="B4110" s="5" t="s">
        <v>19</v>
      </c>
      <c r="C4110" s="5" t="s">
        <v>3471</v>
      </c>
      <c r="E4110" s="5" t="s">
        <v>27580</v>
      </c>
      <c r="F4110" s="5" t="s">
        <v>199</v>
      </c>
      <c r="G4110" s="5" t="s">
        <v>27581</v>
      </c>
      <c r="H4110" s="6" t="s">
        <v>27582</v>
      </c>
      <c r="K4110" s="5" t="s">
        <v>27583</v>
      </c>
      <c r="M4110" s="5" t="s">
        <v>27584</v>
      </c>
      <c r="N4110" s="7" t="s">
        <v>27585</v>
      </c>
      <c r="O4110" s="8" t="str">
        <f>HYPERLINK("https://drive.google.com/file/d/1dsaZ0bjl5eJKNj00Qvl1uTs1rKKix7nh/view?usp=drivesdk","4109_NOPIH HERMANA _ SERTIFIKAT BerAKHLAK")</f>
        <v>4109_NOPIH HERMANA _ SERTIFIKAT BerAKHLAK</v>
      </c>
      <c r="P4110" s="5" t="s">
        <v>27564</v>
      </c>
    </row>
    <row r="4111">
      <c r="A4111" s="4">
        <v>45534.34956074074</v>
      </c>
      <c r="B4111" s="5" t="s">
        <v>34</v>
      </c>
      <c r="D4111" s="5" t="s">
        <v>9020</v>
      </c>
      <c r="E4111" s="5" t="s">
        <v>27586</v>
      </c>
      <c r="F4111" s="5" t="s">
        <v>72</v>
      </c>
      <c r="G4111" s="5" t="s">
        <v>27587</v>
      </c>
      <c r="H4111" s="6" t="s">
        <v>27588</v>
      </c>
      <c r="K4111" s="5" t="s">
        <v>27583</v>
      </c>
      <c r="M4111" s="5" t="s">
        <v>27589</v>
      </c>
      <c r="N4111" s="7" t="s">
        <v>27590</v>
      </c>
      <c r="O4111" s="8" t="str">
        <f>HYPERLINK("https://drive.google.com/file/d/1WmZfZb_NXL1tpvHAiPtVZbI5F154QGSN/view?usp=drivesdk","4110_SOVA ARNANDA PUTRI,S.KOM _ SERTIFIKAT BerAKHLAK")</f>
        <v>4110_SOVA ARNANDA PUTRI,S.KOM _ SERTIFIKAT BerAKHLAK</v>
      </c>
      <c r="P4111" s="5" t="s">
        <v>27591</v>
      </c>
    </row>
    <row r="4112">
      <c r="A4112" s="4">
        <v>45534.349571597224</v>
      </c>
      <c r="B4112" s="5" t="s">
        <v>34</v>
      </c>
      <c r="D4112" s="5" t="s">
        <v>1206</v>
      </c>
      <c r="E4112" s="5" t="s">
        <v>27592</v>
      </c>
      <c r="F4112" s="5" t="s">
        <v>37</v>
      </c>
      <c r="G4112" s="5" t="s">
        <v>27593</v>
      </c>
      <c r="H4112" s="6" t="s">
        <v>27594</v>
      </c>
      <c r="K4112" s="5" t="s">
        <v>27583</v>
      </c>
      <c r="M4112" s="5" t="s">
        <v>27595</v>
      </c>
      <c r="N4112" s="7" t="s">
        <v>27596</v>
      </c>
      <c r="O4112" s="8" t="str">
        <f>HYPERLINK("https://drive.google.com/file/d/1on93aiVa1ZLqDUJ5BvqDo4KdPBMptKgF/view?usp=drivesdk","4111_MUHAIMIN _ SERTIFIKAT BerAKHLAK")</f>
        <v>4111_MUHAIMIN _ SERTIFIKAT BerAKHLAK</v>
      </c>
      <c r="P4112" s="5" t="s">
        <v>27591</v>
      </c>
    </row>
    <row r="4113">
      <c r="A4113" s="4">
        <v>45534.34957258102</v>
      </c>
      <c r="B4113" s="5" t="s">
        <v>34</v>
      </c>
      <c r="D4113" s="5" t="s">
        <v>522</v>
      </c>
      <c r="E4113" s="5" t="s">
        <v>27597</v>
      </c>
      <c r="F4113" s="5" t="s">
        <v>212</v>
      </c>
      <c r="G4113" s="5" t="s">
        <v>27598</v>
      </c>
      <c r="H4113" s="6" t="s">
        <v>27599</v>
      </c>
      <c r="K4113" s="5" t="s">
        <v>27583</v>
      </c>
      <c r="M4113" s="5" t="s">
        <v>27600</v>
      </c>
      <c r="N4113" s="7" t="s">
        <v>27601</v>
      </c>
      <c r="O4113" s="8" t="str">
        <f>HYPERLINK("https://drive.google.com/file/d/1NSbAtgpg8qYUeV3MVw0a8VyICWjTwcyj/view?usp=drivesdk","4112_NURSIN _ SERTIFIKAT BerAKHLAK")</f>
        <v>4112_NURSIN _ SERTIFIKAT BerAKHLAK</v>
      </c>
      <c r="P4113" s="5" t="s">
        <v>27591</v>
      </c>
    </row>
    <row r="4114">
      <c r="A4114" s="4">
        <v>45534.349580243055</v>
      </c>
      <c r="B4114" s="5" t="s">
        <v>34</v>
      </c>
      <c r="D4114" s="5" t="s">
        <v>7858</v>
      </c>
      <c r="E4114" s="5" t="s">
        <v>27602</v>
      </c>
      <c r="F4114" s="5" t="s">
        <v>524</v>
      </c>
      <c r="G4114" s="5" t="s">
        <v>27603</v>
      </c>
      <c r="H4114" s="6" t="s">
        <v>27604</v>
      </c>
      <c r="K4114" s="5" t="s">
        <v>27583</v>
      </c>
      <c r="M4114" s="5" t="s">
        <v>27605</v>
      </c>
      <c r="N4114" s="7" t="s">
        <v>27606</v>
      </c>
      <c r="O4114" s="8" t="str">
        <f>HYPERLINK("https://drive.google.com/file/d/1nMXlcX9NnY8QFDmf0pVXmXeU8U9cTSHs/view?usp=drivesdk","4113_Lisa Mutiara Rina _ SERTIFIKAT BerAKHLAK")</f>
        <v>4113_Lisa Mutiara Rina _ SERTIFIKAT BerAKHLAK</v>
      </c>
      <c r="P4114" s="5" t="s">
        <v>27591</v>
      </c>
    </row>
    <row r="4115">
      <c r="A4115" s="4">
        <v>45534.34959008102</v>
      </c>
      <c r="B4115" s="5" t="s">
        <v>34</v>
      </c>
      <c r="D4115" s="5" t="s">
        <v>1206</v>
      </c>
      <c r="E4115" s="5" t="s">
        <v>27607</v>
      </c>
      <c r="F4115" s="5" t="s">
        <v>212</v>
      </c>
      <c r="G4115" s="5" t="s">
        <v>27608</v>
      </c>
      <c r="H4115" s="6" t="s">
        <v>27609</v>
      </c>
      <c r="K4115" s="5" t="s">
        <v>27583</v>
      </c>
      <c r="M4115" s="5" t="s">
        <v>27610</v>
      </c>
      <c r="N4115" s="7" t="s">
        <v>27611</v>
      </c>
      <c r="O4115" s="8" t="str">
        <f>HYPERLINK("https://drive.google.com/file/d/1IC6iwyIKhdxMU0TVxKsGQsJNjb90Jc_w/view?usp=drivesdk","4114_SOLIMIN _ SERTIFIKAT BerAKHLAK")</f>
        <v>4114_SOLIMIN _ SERTIFIKAT BerAKHLAK</v>
      </c>
      <c r="P4115" s="5" t="s">
        <v>27612</v>
      </c>
    </row>
    <row r="4116">
      <c r="A4116" s="4">
        <v>45534.3495907176</v>
      </c>
      <c r="B4116" s="5" t="s">
        <v>34</v>
      </c>
      <c r="D4116" s="5" t="s">
        <v>9020</v>
      </c>
      <c r="E4116" s="5" t="s">
        <v>27613</v>
      </c>
      <c r="F4116" s="5" t="s">
        <v>524</v>
      </c>
      <c r="G4116" s="5" t="s">
        <v>27614</v>
      </c>
      <c r="H4116" s="6" t="s">
        <v>27615</v>
      </c>
      <c r="K4116" s="5" t="s">
        <v>27583</v>
      </c>
      <c r="M4116" s="5" t="s">
        <v>27616</v>
      </c>
      <c r="N4116" s="7" t="s">
        <v>27617</v>
      </c>
      <c r="O4116" s="8" t="str">
        <f>HYPERLINK("https://drive.google.com/file/d/1lei4lFiZxzvIacCPj1KCjE1SiPjJbr9_/view?usp=drivesdk","4115_DAMERIA SIMAJUNTAK _ SERTIFIKAT BerAKHLAK")</f>
        <v>4115_DAMERIA SIMAJUNTAK _ SERTIFIKAT BerAKHLAK</v>
      </c>
      <c r="P4116" s="5" t="s">
        <v>27612</v>
      </c>
    </row>
    <row r="4117">
      <c r="A4117" s="4">
        <v>45534.34959574074</v>
      </c>
      <c r="B4117" s="5" t="s">
        <v>34</v>
      </c>
      <c r="D4117" s="5" t="s">
        <v>522</v>
      </c>
      <c r="E4117" s="5" t="s">
        <v>27618</v>
      </c>
      <c r="F4117" s="5" t="s">
        <v>108</v>
      </c>
      <c r="G4117" s="5" t="s">
        <v>27619</v>
      </c>
      <c r="H4117" s="6" t="s">
        <v>27620</v>
      </c>
      <c r="K4117" s="5" t="s">
        <v>27583</v>
      </c>
      <c r="M4117" s="5" t="s">
        <v>27621</v>
      </c>
      <c r="N4117" s="7" t="s">
        <v>27622</v>
      </c>
      <c r="O4117" s="8" t="str">
        <f>HYPERLINK("https://drive.google.com/file/d/1yQ7Ra77knIuFUZj2ZbN4qnh6wVrTRAYt/view?usp=drivesdk","4116_IDA AYU SWATHI ANTARI, AMG, S.K.M. _ SERTIFIKAT BerAKHLAK")</f>
        <v>4116_IDA AYU SWATHI ANTARI, AMG, S.K.M. _ SERTIFIKAT BerAKHLAK</v>
      </c>
      <c r="P4117" s="5" t="s">
        <v>27612</v>
      </c>
    </row>
    <row r="4118">
      <c r="A4118" s="4">
        <v>45534.34960107639</v>
      </c>
      <c r="B4118" s="5" t="s">
        <v>34</v>
      </c>
      <c r="D4118" s="5" t="s">
        <v>9020</v>
      </c>
      <c r="E4118" s="5" t="s">
        <v>27623</v>
      </c>
      <c r="F4118" s="5" t="s">
        <v>37</v>
      </c>
      <c r="G4118" s="5" t="s">
        <v>27624</v>
      </c>
      <c r="H4118" s="6" t="s">
        <v>27625</v>
      </c>
      <c r="K4118" s="5" t="s">
        <v>27583</v>
      </c>
      <c r="M4118" s="5" t="s">
        <v>27626</v>
      </c>
      <c r="N4118" s="7" t="s">
        <v>27627</v>
      </c>
      <c r="O4118" s="8" t="str">
        <f>HYPERLINK("https://drive.google.com/file/d/1x7nKzeTSQetPHtxZEZnBewFKKO0y9SoC/view?usp=drivesdk","4117_RAFIKA CHAN _ SERTIFIKAT BerAKHLAK")</f>
        <v>4117_RAFIKA CHAN _ SERTIFIKAT BerAKHLAK</v>
      </c>
      <c r="P4118" s="5" t="s">
        <v>27612</v>
      </c>
    </row>
    <row r="4119">
      <c r="A4119" s="4">
        <v>45534.34960825232</v>
      </c>
      <c r="B4119" s="5" t="s">
        <v>34</v>
      </c>
      <c r="D4119" s="5" t="s">
        <v>4775</v>
      </c>
      <c r="E4119" s="5" t="s">
        <v>27628</v>
      </c>
      <c r="F4119" s="5" t="s">
        <v>524</v>
      </c>
      <c r="G4119" s="5" t="s">
        <v>27629</v>
      </c>
      <c r="H4119" s="6" t="s">
        <v>27630</v>
      </c>
      <c r="K4119" s="5" t="s">
        <v>27583</v>
      </c>
      <c r="M4119" s="5" t="s">
        <v>27631</v>
      </c>
      <c r="N4119" s="7" t="s">
        <v>27632</v>
      </c>
      <c r="O4119" s="8" t="str">
        <f>HYPERLINK("https://drive.google.com/file/d/1WucheNj-MoM6IrSaH3d0ZAuVUqfCtrmb/view?usp=drivesdk","4118_MEILANI IDA JATI LESTARI _ SERTIFIKAT BerAKHLAK")</f>
        <v>4118_MEILANI IDA JATI LESTARI _ SERTIFIKAT BerAKHLAK</v>
      </c>
      <c r="P4119" s="5" t="s">
        <v>27633</v>
      </c>
    </row>
    <row r="4120">
      <c r="A4120" s="4">
        <v>45534.349615266205</v>
      </c>
      <c r="B4120" s="5" t="s">
        <v>34</v>
      </c>
      <c r="D4120" s="5" t="s">
        <v>1206</v>
      </c>
      <c r="E4120" s="5" t="s">
        <v>27634</v>
      </c>
      <c r="F4120" s="5" t="s">
        <v>72</v>
      </c>
      <c r="G4120" s="5" t="s">
        <v>27635</v>
      </c>
      <c r="H4120" s="6" t="s">
        <v>27636</v>
      </c>
      <c r="K4120" s="5" t="s">
        <v>27583</v>
      </c>
      <c r="M4120" s="5" t="s">
        <v>27637</v>
      </c>
      <c r="N4120" s="7" t="s">
        <v>27638</v>
      </c>
      <c r="O4120" s="8" t="str">
        <f>HYPERLINK("https://drive.google.com/file/d/1D865p2TvbpJ6XBOHni4Y9enDdQGDbtDF/view?usp=drivesdk","4119_INDARNI _ SERTIFIKAT BerAKHLAK")</f>
        <v>4119_INDARNI _ SERTIFIKAT BerAKHLAK</v>
      </c>
      <c r="P4120" s="5" t="s">
        <v>27633</v>
      </c>
    </row>
    <row r="4121">
      <c r="A4121" s="4">
        <v>45534.34961953704</v>
      </c>
      <c r="B4121" s="5" t="s">
        <v>34</v>
      </c>
      <c r="D4121" s="5" t="s">
        <v>996</v>
      </c>
      <c r="E4121" s="5" t="s">
        <v>27639</v>
      </c>
      <c r="F4121" s="5" t="s">
        <v>212</v>
      </c>
      <c r="G4121" s="5" t="s">
        <v>27640</v>
      </c>
      <c r="H4121" s="6" t="s">
        <v>27641</v>
      </c>
      <c r="K4121" s="5" t="s">
        <v>27583</v>
      </c>
      <c r="M4121" s="5" t="s">
        <v>27642</v>
      </c>
      <c r="N4121" s="7" t="s">
        <v>27643</v>
      </c>
      <c r="O4121" s="8" t="str">
        <f>HYPERLINK("https://drive.google.com/file/d/1IlA4kZ3VqfiqZXvVPj0q1qPjsOV6cqU3/view?usp=drivesdk","4120_ANGGA PRASETYO, AMD. KEP _ SERTIFIKAT BerAKHLAK")</f>
        <v>4120_ANGGA PRASETYO, AMD. KEP _ SERTIFIKAT BerAKHLAK</v>
      </c>
      <c r="P4121" s="5" t="s">
        <v>27633</v>
      </c>
    </row>
    <row r="4122">
      <c r="A4122" s="4">
        <v>45534.349620740744</v>
      </c>
      <c r="B4122" s="5" t="s">
        <v>34</v>
      </c>
      <c r="D4122" s="5" t="s">
        <v>2903</v>
      </c>
      <c r="E4122" s="5" t="s">
        <v>27644</v>
      </c>
      <c r="F4122" s="5" t="s">
        <v>37</v>
      </c>
      <c r="G4122" s="5" t="s">
        <v>27645</v>
      </c>
      <c r="H4122" s="6" t="s">
        <v>27646</v>
      </c>
      <c r="K4122" s="5" t="s">
        <v>27583</v>
      </c>
      <c r="M4122" s="5" t="s">
        <v>27647</v>
      </c>
      <c r="N4122" s="7" t="s">
        <v>27648</v>
      </c>
      <c r="O4122" s="8" t="str">
        <f>HYPERLINK("https://drive.google.com/file/d/1P0d0q-RGYnjdvz8pAXveNSI9Rdaf40g0/view?usp=drivesdk","4121_KELANA AKILA TANJUNG,A.Md.Kep _ SERTIFIKAT BerAKHLAK")</f>
        <v>4121_KELANA AKILA TANJUNG,A.Md.Kep _ SERTIFIKAT BerAKHLAK</v>
      </c>
      <c r="P4122" s="5" t="s">
        <v>27633</v>
      </c>
    </row>
    <row r="4123">
      <c r="A4123" s="4">
        <v>45534.34962443287</v>
      </c>
      <c r="B4123" s="5" t="s">
        <v>34</v>
      </c>
      <c r="D4123" s="5" t="s">
        <v>12978</v>
      </c>
      <c r="E4123" s="5" t="s">
        <v>16453</v>
      </c>
      <c r="F4123" s="5" t="s">
        <v>375</v>
      </c>
      <c r="G4123" s="5" t="s">
        <v>27649</v>
      </c>
      <c r="H4123" s="6" t="s">
        <v>27650</v>
      </c>
      <c r="K4123" s="5" t="s">
        <v>27583</v>
      </c>
      <c r="M4123" s="5" t="s">
        <v>27651</v>
      </c>
      <c r="N4123" s="7" t="s">
        <v>27652</v>
      </c>
      <c r="O4123" s="8" t="str">
        <f>HYPERLINK("https://drive.google.com/file/d/1SGmnk-Vkdpzsi2Hb4qFRmyIXKfcRF7nH/view?usp=drivesdk","4122_SRI RAHAYU _ SERTIFIKAT BerAKHLAK")</f>
        <v>4122_SRI RAHAYU _ SERTIFIKAT BerAKHLAK</v>
      </c>
      <c r="P4123" s="5" t="s">
        <v>27633</v>
      </c>
    </row>
    <row r="4124">
      <c r="A4124" s="4">
        <v>45534.34963023148</v>
      </c>
      <c r="B4124" s="5" t="s">
        <v>34</v>
      </c>
      <c r="D4124" s="5" t="s">
        <v>12978</v>
      </c>
      <c r="E4124" s="5" t="s">
        <v>27653</v>
      </c>
      <c r="F4124" s="5" t="s">
        <v>212</v>
      </c>
      <c r="G4124" s="5" t="s">
        <v>27654</v>
      </c>
      <c r="H4124" s="6" t="s">
        <v>27655</v>
      </c>
      <c r="I4124" s="7" t="s">
        <v>27656</v>
      </c>
      <c r="J4124" s="8" t="str">
        <f>HYPERLINK("https://drive.google.com/file/d/1yw-GFD5pmO5UWaR2NMwJQidutmlmqkKk/view?usp=drivesdk","DIANA SUPRI SERTIFIKAT BerAKHLAK")</f>
        <v>DIANA SUPRI SERTIFIKAT BerAKHLAK</v>
      </c>
      <c r="K4124" s="5" t="s">
        <v>27657</v>
      </c>
      <c r="L4124" s="5" t="s">
        <v>27658</v>
      </c>
      <c r="M4124" s="5" t="s">
        <v>27659</v>
      </c>
      <c r="N4124" s="7" t="s">
        <v>27660</v>
      </c>
      <c r="O4124" s="8" t="str">
        <f>HYPERLINK("https://drive.google.com/file/d/1rD1KnB8E7NaYmM9od9qyQSdwIEnixOTE/view?usp=drivesdk","4123_DIANA SUPRI _ SERTIFIKAT BerAKHLAK")</f>
        <v>4123_DIANA SUPRI _ SERTIFIKAT BerAKHLAK</v>
      </c>
      <c r="P4124" s="5" t="s">
        <v>27661</v>
      </c>
    </row>
    <row r="4125">
      <c r="A4125" s="4">
        <v>45534.34963164352</v>
      </c>
      <c r="B4125" s="5" t="s">
        <v>34</v>
      </c>
      <c r="D4125" s="5" t="s">
        <v>35</v>
      </c>
      <c r="E4125" s="5" t="s">
        <v>27662</v>
      </c>
      <c r="F4125" s="5" t="s">
        <v>37</v>
      </c>
      <c r="G4125" s="5" t="s">
        <v>27663</v>
      </c>
      <c r="H4125" s="6" t="s">
        <v>27664</v>
      </c>
      <c r="I4125" s="7" t="s">
        <v>27665</v>
      </c>
      <c r="J4125" s="8" t="str">
        <f>HYPERLINK("https://drive.google.com/file/d/1Ego8Dqo2g4cPHDzzkRgnH55e-BbGZ4O4/view?usp=drivesdk","SURTINAH SERTIFIKAT BerAKHLAK")</f>
        <v>SURTINAH SERTIFIKAT BerAKHLAK</v>
      </c>
      <c r="K4125" s="5" t="s">
        <v>27657</v>
      </c>
      <c r="L4125" s="5" t="s">
        <v>27666</v>
      </c>
      <c r="M4125" s="5" t="s">
        <v>27667</v>
      </c>
      <c r="N4125" s="7" t="s">
        <v>27668</v>
      </c>
      <c r="O4125" s="8" t="str">
        <f>HYPERLINK("https://drive.google.com/file/d/1TtE5qh9uQamSbS2W_ssfVhuYe-D2D9Bd/view?usp=drivesdk","4124_SURTINAH _ SERTIFIKAT BerAKHLAK")</f>
        <v>4124_SURTINAH _ SERTIFIKAT BerAKHLAK</v>
      </c>
      <c r="P4125" s="5" t="s">
        <v>27661</v>
      </c>
    </row>
    <row r="4126">
      <c r="A4126" s="4">
        <v>45534.34963292824</v>
      </c>
      <c r="B4126" s="5" t="s">
        <v>34</v>
      </c>
      <c r="D4126" s="5" t="s">
        <v>4775</v>
      </c>
      <c r="E4126" s="5" t="s">
        <v>27669</v>
      </c>
      <c r="F4126" s="5" t="s">
        <v>108</v>
      </c>
      <c r="G4126" s="5" t="s">
        <v>27670</v>
      </c>
      <c r="H4126" s="6" t="s">
        <v>27671</v>
      </c>
      <c r="I4126" s="7" t="s">
        <v>27672</v>
      </c>
      <c r="J4126" s="8" t="str">
        <f>HYPERLINK("https://drive.google.com/file/d/1wMlZ9OUtmTE0BeEpA8o7g8IxQcO1Z5Pz/view?usp=drivesdk","YULIANA SAUSELE SERTIFIKAT BerAKHLAK")</f>
        <v>YULIANA SAUSELE SERTIFIKAT BerAKHLAK</v>
      </c>
      <c r="K4126" s="5" t="s">
        <v>27657</v>
      </c>
      <c r="L4126" s="5" t="s">
        <v>27673</v>
      </c>
      <c r="M4126" s="5" t="s">
        <v>27674</v>
      </c>
      <c r="N4126" s="7" t="s">
        <v>27675</v>
      </c>
      <c r="O4126" s="8" t="str">
        <f>HYPERLINK("https://drive.google.com/file/d/1HxnTUceVqDJkwzLo2xwbBaIj51H3Uhn0/view?usp=drivesdk","4125_YULIANA SAUSELE _ SERTIFIKAT BerAKHLAK")</f>
        <v>4125_YULIANA SAUSELE _ SERTIFIKAT BerAKHLAK</v>
      </c>
      <c r="P4126" s="5" t="s">
        <v>27661</v>
      </c>
    </row>
    <row r="4127">
      <c r="A4127" s="4">
        <v>45534.349634583334</v>
      </c>
      <c r="B4127" s="5" t="s">
        <v>34</v>
      </c>
      <c r="D4127" s="5" t="s">
        <v>1206</v>
      </c>
      <c r="E4127" s="5" t="s">
        <v>20883</v>
      </c>
      <c r="F4127" s="5" t="s">
        <v>37</v>
      </c>
      <c r="G4127" s="5" t="s">
        <v>27676</v>
      </c>
      <c r="H4127" s="6" t="s">
        <v>27677</v>
      </c>
      <c r="I4127" s="7" t="s">
        <v>27678</v>
      </c>
      <c r="J4127" s="8" t="str">
        <f>HYPERLINK("https://drive.google.com/file/d/1BMVOcw0S0KiKK7RpW3Ogf6mQsWJoxQRE/view?usp=drivesdk","SUNARYO SERTIFIKAT BerAKHLAK")</f>
        <v>SUNARYO SERTIFIKAT BerAKHLAK</v>
      </c>
      <c r="K4127" s="5" t="s">
        <v>27679</v>
      </c>
      <c r="L4127" s="5" t="s">
        <v>27680</v>
      </c>
      <c r="M4127" s="5" t="s">
        <v>27681</v>
      </c>
      <c r="N4127" s="7" t="s">
        <v>27682</v>
      </c>
      <c r="O4127" s="8" t="str">
        <f>HYPERLINK("https://drive.google.com/file/d/14E3i23BVBm2VW6RIksiZkYo612X8tfk3/view?usp=drivesdk","4126_SUNARYO _ SERTIFIKAT BerAKHLAK")</f>
        <v>4126_SUNARYO _ SERTIFIKAT BerAKHLAK</v>
      </c>
      <c r="P4127" s="5" t="s">
        <v>27661</v>
      </c>
    </row>
    <row r="4128">
      <c r="A4128" s="4">
        <v>45534.34963997685</v>
      </c>
      <c r="B4128" s="5" t="s">
        <v>34</v>
      </c>
      <c r="D4128" s="5" t="s">
        <v>1206</v>
      </c>
      <c r="E4128" s="5" t="s">
        <v>27683</v>
      </c>
      <c r="F4128" s="5" t="s">
        <v>212</v>
      </c>
      <c r="G4128" s="5" t="s">
        <v>27684</v>
      </c>
      <c r="H4128" s="6" t="s">
        <v>27685</v>
      </c>
      <c r="I4128" s="7" t="s">
        <v>27686</v>
      </c>
      <c r="J4128" s="8" t="str">
        <f>HYPERLINK("https://drive.google.com/file/d/1_a05ddT-HQcMgJWInYQ2YZ52P3KVW5Kz/view?usp=drivesdk","PURIYONO SERTIFIKAT BerAKHLAK")</f>
        <v>PURIYONO SERTIFIKAT BerAKHLAK</v>
      </c>
      <c r="K4128" s="5" t="s">
        <v>27687</v>
      </c>
      <c r="L4128" s="5" t="s">
        <v>27688</v>
      </c>
      <c r="M4128" s="5" t="s">
        <v>27689</v>
      </c>
      <c r="N4128" s="7" t="s">
        <v>27690</v>
      </c>
      <c r="O4128" s="8" t="str">
        <f>HYPERLINK("https://drive.google.com/file/d/18ekH20InqhfvWc_bAKV1eBBHFNh6WCuU/view?usp=drivesdk","4127_PURIYONO _ SERTIFIKAT BerAKHLAK")</f>
        <v>4127_PURIYONO _ SERTIFIKAT BerAKHLAK</v>
      </c>
      <c r="P4128" s="5" t="s">
        <v>27661</v>
      </c>
    </row>
    <row r="4129">
      <c r="A4129" s="4">
        <v>45534.34964417824</v>
      </c>
      <c r="B4129" s="5" t="s">
        <v>34</v>
      </c>
      <c r="D4129" s="5" t="s">
        <v>35</v>
      </c>
      <c r="E4129" s="5" t="s">
        <v>27691</v>
      </c>
      <c r="F4129" s="5" t="s">
        <v>212</v>
      </c>
      <c r="G4129" s="5" t="s">
        <v>27692</v>
      </c>
      <c r="H4129" s="6" t="s">
        <v>27693</v>
      </c>
      <c r="I4129" s="7" t="s">
        <v>27694</v>
      </c>
      <c r="J4129" s="8" t="str">
        <f>HYPERLINK("https://drive.google.com/file/d/10EjXQw2CaLOUTWCCDfpkYdYoGIw3WG7C/view?usp=drivesdk","EMMA MULYANI, A.md SERTIFIKAT BerAKHLAK")</f>
        <v>EMMA MULYANI, A.md SERTIFIKAT BerAKHLAK</v>
      </c>
      <c r="K4129" s="5" t="s">
        <v>27687</v>
      </c>
      <c r="L4129" s="5" t="s">
        <v>27695</v>
      </c>
      <c r="M4129" s="5" t="s">
        <v>27696</v>
      </c>
      <c r="N4129" s="7" t="s">
        <v>27697</v>
      </c>
      <c r="O4129" s="8" t="str">
        <f>HYPERLINK("https://drive.google.com/file/d/1-AC88dgYx6Wvmo_neucizWFQAPoCcnqX/view?usp=drivesdk","4128_EMMA MULYANI, A.md _ SERTIFIKAT BerAKHLAK")</f>
        <v>4128_EMMA MULYANI, A.md _ SERTIFIKAT BerAKHLAK</v>
      </c>
      <c r="P4129" s="5" t="s">
        <v>27698</v>
      </c>
    </row>
    <row r="4130">
      <c r="A4130" s="4">
        <v>45534.34965873843</v>
      </c>
      <c r="B4130" s="5" t="s">
        <v>34</v>
      </c>
      <c r="D4130" s="5" t="s">
        <v>1206</v>
      </c>
      <c r="E4130" s="5" t="s">
        <v>27699</v>
      </c>
      <c r="F4130" s="5" t="s">
        <v>212</v>
      </c>
      <c r="G4130" s="5" t="s">
        <v>27700</v>
      </c>
      <c r="H4130" s="6" t="s">
        <v>27701</v>
      </c>
      <c r="I4130" s="7" t="s">
        <v>27702</v>
      </c>
      <c r="J4130" s="8" t="str">
        <f>HYPERLINK("https://drive.google.com/file/d/1cl0WUhzQRoKf0diPIshdl82DjGo-l6ZE/view?usp=drivesdk","SITI KHOIRIYAH SERTIFIKAT BerAKHLAK")</f>
        <v>SITI KHOIRIYAH SERTIFIKAT BerAKHLAK</v>
      </c>
      <c r="K4130" s="5" t="s">
        <v>27687</v>
      </c>
      <c r="L4130" s="5" t="s">
        <v>27703</v>
      </c>
      <c r="M4130" s="5" t="s">
        <v>27704</v>
      </c>
      <c r="N4130" s="7" t="s">
        <v>27705</v>
      </c>
      <c r="O4130" s="8" t="str">
        <f>HYPERLINK("https://drive.google.com/file/d/1FkzAipX0K-ncfyXoJGcd6bAb03v8UXBf/view?usp=drivesdk","4129_SITI KHOIRIYAH _ SERTIFIKAT BerAKHLAK")</f>
        <v>4129_SITI KHOIRIYAH _ SERTIFIKAT BerAKHLAK</v>
      </c>
      <c r="P4130" s="5" t="s">
        <v>27698</v>
      </c>
    </row>
    <row r="4131" hidden="1">
      <c r="A4131" s="4">
        <v>45534.34966175926</v>
      </c>
      <c r="B4131" s="5" t="s">
        <v>19</v>
      </c>
      <c r="C4131" s="5" t="s">
        <v>20</v>
      </c>
      <c r="E4131" s="5" t="s">
        <v>27706</v>
      </c>
      <c r="F4131" s="5" t="s">
        <v>120</v>
      </c>
      <c r="G4131" s="5" t="s">
        <v>27707</v>
      </c>
      <c r="H4131" s="6" t="s">
        <v>27708</v>
      </c>
      <c r="I4131" s="7" t="s">
        <v>27709</v>
      </c>
      <c r="J4131" s="8" t="str">
        <f>HYPERLINK("https://drive.google.com/file/d/1qTUeDonYtOkdc0KQ6toY8v4KrI65p3F4/view?usp=drivesdk","SITI JAYANTI SERTIFIKAT BerAKHLAK")</f>
        <v>SITI JAYANTI SERTIFIKAT BerAKHLAK</v>
      </c>
      <c r="K4131" s="5" t="s">
        <v>27687</v>
      </c>
      <c r="L4131" s="5" t="s">
        <v>27710</v>
      </c>
      <c r="M4131" s="5" t="s">
        <v>27711</v>
      </c>
      <c r="N4131" s="7" t="s">
        <v>27712</v>
      </c>
      <c r="O4131" s="8" t="str">
        <f>HYPERLINK("https://drive.google.com/file/d/1vBT2EHxu-_vyV5DXbUXj4LFvpLSiBRgE/view?usp=drivesdk","4130_SITI JAYANTI _ SERTIFIKAT BerAKHLAK")</f>
        <v>4130_SITI JAYANTI _ SERTIFIKAT BerAKHLAK</v>
      </c>
      <c r="P4131" s="5" t="s">
        <v>27698</v>
      </c>
    </row>
    <row r="4132">
      <c r="A4132" s="4">
        <v>45534.34966502315</v>
      </c>
      <c r="B4132" s="5" t="s">
        <v>34</v>
      </c>
      <c r="D4132" s="5" t="s">
        <v>6232</v>
      </c>
      <c r="E4132" s="5" t="s">
        <v>27713</v>
      </c>
      <c r="F4132" s="5" t="s">
        <v>524</v>
      </c>
      <c r="G4132" s="5" t="s">
        <v>27714</v>
      </c>
      <c r="H4132" s="6" t="s">
        <v>27715</v>
      </c>
      <c r="K4132" s="5" t="s">
        <v>27687</v>
      </c>
      <c r="M4132" s="5" t="s">
        <v>27716</v>
      </c>
      <c r="N4132" s="7" t="s">
        <v>27717</v>
      </c>
      <c r="O4132" s="8" t="str">
        <f>HYPERLINK("https://drive.google.com/file/d/1guNSAtj5KRLP6WodZVIoKnaNk4diGhkI/view?usp=drivesdk","4131_RIRI ANGGREINI _ SERTIFIKAT BerAKHLAK")</f>
        <v>4131_RIRI ANGGREINI _ SERTIFIKAT BerAKHLAK</v>
      </c>
      <c r="P4132" s="5" t="s">
        <v>27698</v>
      </c>
    </row>
    <row r="4133">
      <c r="A4133" s="4">
        <v>45534.34966641203</v>
      </c>
      <c r="B4133" s="5" t="s">
        <v>34</v>
      </c>
      <c r="D4133" s="5" t="s">
        <v>10444</v>
      </c>
      <c r="E4133" s="5" t="s">
        <v>27718</v>
      </c>
      <c r="F4133" s="5" t="s">
        <v>328</v>
      </c>
      <c r="G4133" s="5" t="s">
        <v>27719</v>
      </c>
      <c r="H4133" s="6" t="s">
        <v>27720</v>
      </c>
      <c r="K4133" s="5" t="s">
        <v>27687</v>
      </c>
      <c r="M4133" s="5" t="s">
        <v>27721</v>
      </c>
      <c r="N4133" s="7" t="s">
        <v>27722</v>
      </c>
      <c r="O4133" s="8" t="str">
        <f>HYPERLINK("https://drive.google.com/file/d/1i6UAlHAuyE2ehRGThgvRlBXqGwHxvff_/view?usp=drivesdk","4132_ELGAWATI  _ SERTIFIKAT BerAKHLAK")</f>
        <v>4132_ELGAWATI  _ SERTIFIKAT BerAKHLAK</v>
      </c>
      <c r="P4133" s="5" t="s">
        <v>27698</v>
      </c>
    </row>
    <row r="4134">
      <c r="A4134" s="4">
        <v>45534.34967146991</v>
      </c>
      <c r="B4134" s="5" t="s">
        <v>34</v>
      </c>
      <c r="D4134" s="5" t="s">
        <v>1663</v>
      </c>
      <c r="E4134" s="5" t="s">
        <v>27723</v>
      </c>
      <c r="F4134" s="5" t="s">
        <v>37</v>
      </c>
      <c r="G4134" s="5" t="s">
        <v>27724</v>
      </c>
      <c r="H4134" s="6" t="s">
        <v>27725</v>
      </c>
      <c r="K4134" s="5" t="s">
        <v>27687</v>
      </c>
      <c r="M4134" s="5" t="s">
        <v>27726</v>
      </c>
      <c r="N4134" s="7" t="s">
        <v>27727</v>
      </c>
      <c r="O4134" s="8" t="str">
        <f>HYPERLINK("https://drive.google.com/file/d/1I_KyKaabrjIwoDEpwqaXClRwEwkVjKny/view?usp=drivesdk","4133_MIRA SLANA, A.MD.KEB _ SERTIFIKAT BerAKHLAK")</f>
        <v>4133_MIRA SLANA, A.MD.KEB _ SERTIFIKAT BerAKHLAK</v>
      </c>
      <c r="P4134" s="5" t="s">
        <v>27728</v>
      </c>
    </row>
    <row r="4135">
      <c r="A4135" s="4">
        <v>45534.34967609953</v>
      </c>
      <c r="B4135" s="5" t="s">
        <v>34</v>
      </c>
      <c r="D4135" s="5" t="s">
        <v>10444</v>
      </c>
      <c r="E4135" s="5" t="s">
        <v>27729</v>
      </c>
      <c r="F4135" s="5" t="s">
        <v>524</v>
      </c>
      <c r="G4135" s="5" t="s">
        <v>27730</v>
      </c>
      <c r="H4135" s="6" t="s">
        <v>27731</v>
      </c>
      <c r="K4135" s="5" t="s">
        <v>27687</v>
      </c>
      <c r="M4135" s="5" t="s">
        <v>27732</v>
      </c>
      <c r="N4135" s="7" t="s">
        <v>27733</v>
      </c>
      <c r="O4135" s="8" t="str">
        <f>HYPERLINK("https://drive.google.com/file/d/1h4bJ5PnQsdqCCujZK1ER9G3PtsWK-aaN/view?usp=drivesdk","4134_NURASITA _ SERTIFIKAT BerAKHLAK")</f>
        <v>4134_NURASITA _ SERTIFIKAT BerAKHLAK</v>
      </c>
      <c r="P4135" s="5" t="s">
        <v>27728</v>
      </c>
    </row>
    <row r="4136" hidden="1">
      <c r="A4136" s="4">
        <v>45534.349689305556</v>
      </c>
      <c r="B4136" s="5" t="s">
        <v>19</v>
      </c>
      <c r="C4136" s="5" t="s">
        <v>442</v>
      </c>
      <c r="E4136" s="5" t="s">
        <v>27734</v>
      </c>
      <c r="F4136" s="5" t="s">
        <v>108</v>
      </c>
      <c r="G4136" s="5" t="s">
        <v>27735</v>
      </c>
      <c r="H4136" s="6" t="s">
        <v>27736</v>
      </c>
      <c r="K4136" s="5" t="s">
        <v>27687</v>
      </c>
      <c r="M4136" s="5" t="s">
        <v>27737</v>
      </c>
      <c r="N4136" s="7" t="s">
        <v>27738</v>
      </c>
      <c r="O4136" s="8" t="str">
        <f>HYPERLINK("https://drive.google.com/file/d/1hcXonNN_V5SleYMnXGEze_PebdaQC98b/view?usp=drivesdk","4135_YUDI TRISNAYADI, S H. _ SERTIFIKAT BerAKHLAK")</f>
        <v>4135_YUDI TRISNAYADI, S H. _ SERTIFIKAT BerAKHLAK</v>
      </c>
      <c r="P4136" s="5" t="s">
        <v>27728</v>
      </c>
    </row>
    <row r="4137" hidden="1">
      <c r="A4137" s="4">
        <v>45534.349699513885</v>
      </c>
      <c r="B4137" s="5" t="s">
        <v>19</v>
      </c>
      <c r="C4137" s="5" t="s">
        <v>5564</v>
      </c>
      <c r="E4137" s="5" t="s">
        <v>27739</v>
      </c>
      <c r="F4137" s="5" t="s">
        <v>212</v>
      </c>
      <c r="G4137" s="5" t="s">
        <v>27740</v>
      </c>
      <c r="H4137" s="6" t="s">
        <v>27741</v>
      </c>
      <c r="K4137" s="5" t="s">
        <v>27687</v>
      </c>
      <c r="M4137" s="5" t="s">
        <v>27742</v>
      </c>
      <c r="N4137" s="7" t="s">
        <v>27743</v>
      </c>
      <c r="O4137" s="8" t="str">
        <f>HYPERLINK("https://drive.google.com/file/d/18e5n8AMhsMb80lRXR4rKe9nGYA64F4zU/view?usp=drivesdk","4136_MURDAYAT _ SERTIFIKAT BerAKHLAK")</f>
        <v>4136_MURDAYAT _ SERTIFIKAT BerAKHLAK</v>
      </c>
      <c r="P4137" s="5" t="s">
        <v>27728</v>
      </c>
    </row>
    <row r="4138">
      <c r="A4138" s="4">
        <v>45534.349716620374</v>
      </c>
      <c r="B4138" s="5" t="s">
        <v>34</v>
      </c>
      <c r="D4138" s="5" t="s">
        <v>267</v>
      </c>
      <c r="E4138" s="5" t="s">
        <v>27744</v>
      </c>
      <c r="F4138" s="5" t="s">
        <v>212</v>
      </c>
      <c r="G4138" s="5" t="s">
        <v>27745</v>
      </c>
      <c r="H4138" s="6" t="s">
        <v>27746</v>
      </c>
      <c r="K4138" s="5" t="s">
        <v>27747</v>
      </c>
      <c r="M4138" s="5" t="s">
        <v>27748</v>
      </c>
      <c r="N4138" s="7" t="s">
        <v>27749</v>
      </c>
      <c r="O4138" s="8" t="str">
        <f>HYPERLINK("https://drive.google.com/file/d/1IHOwFEl5GnW3SuH_tSpcWpmvWLlrzvGy/view?usp=drivesdk","4137_MUJILAH SRIYONO _ SERTIFIKAT BerAKHLAK")</f>
        <v>4137_MUJILAH SRIYONO _ SERTIFIKAT BerAKHLAK</v>
      </c>
      <c r="P4138" s="5" t="s">
        <v>27728</v>
      </c>
    </row>
    <row r="4139">
      <c r="A4139" s="4">
        <v>45534.34972153935</v>
      </c>
      <c r="B4139" s="5" t="s">
        <v>34</v>
      </c>
      <c r="D4139" s="5" t="s">
        <v>12978</v>
      </c>
      <c r="E4139" s="5" t="s">
        <v>27750</v>
      </c>
      <c r="F4139" s="5" t="s">
        <v>524</v>
      </c>
      <c r="G4139" s="5" t="s">
        <v>27751</v>
      </c>
      <c r="H4139" s="6" t="s">
        <v>27752</v>
      </c>
      <c r="K4139" s="5" t="s">
        <v>27747</v>
      </c>
      <c r="M4139" s="5" t="s">
        <v>27753</v>
      </c>
      <c r="N4139" s="7" t="s">
        <v>27754</v>
      </c>
      <c r="O4139" s="8" t="str">
        <f>HYPERLINK("https://drive.google.com/file/d/1_aOYj5tOtnQMIOUYeyQqneT4twaOq_ml/view?usp=drivesdk","4138_SYOFRIDA. SE _ SERTIFIKAT BerAKHLAK")</f>
        <v>4138_SYOFRIDA. SE _ SERTIFIKAT BerAKHLAK</v>
      </c>
      <c r="P4139" s="5" t="s">
        <v>27755</v>
      </c>
    </row>
    <row r="4140">
      <c r="A4140" s="4">
        <v>45534.34973094908</v>
      </c>
      <c r="B4140" s="5" t="s">
        <v>34</v>
      </c>
      <c r="D4140" s="5" t="s">
        <v>4775</v>
      </c>
      <c r="E4140" s="5" t="s">
        <v>27756</v>
      </c>
      <c r="F4140" s="5" t="s">
        <v>212</v>
      </c>
      <c r="G4140" s="5" t="s">
        <v>27757</v>
      </c>
      <c r="H4140" s="6" t="s">
        <v>27758</v>
      </c>
      <c r="K4140" s="5" t="s">
        <v>27747</v>
      </c>
      <c r="M4140" s="5" t="s">
        <v>27759</v>
      </c>
      <c r="N4140" s="7" t="s">
        <v>27760</v>
      </c>
      <c r="O4140" s="8" t="str">
        <f>HYPERLINK("https://drive.google.com/file/d/11sxwaxBSdhfX8XnHrWx4D-jvPkZc_JDQ/view?usp=drivesdk","4139_MOKHAMAD BADRUN _ SERTIFIKAT BerAKHLAK")</f>
        <v>4139_MOKHAMAD BADRUN _ SERTIFIKAT BerAKHLAK</v>
      </c>
      <c r="P4140" s="5" t="s">
        <v>27755</v>
      </c>
    </row>
    <row r="4141">
      <c r="A4141" s="4">
        <v>45534.34973284722</v>
      </c>
      <c r="B4141" s="5" t="s">
        <v>34</v>
      </c>
      <c r="D4141" s="5" t="s">
        <v>7858</v>
      </c>
      <c r="E4141" s="5" t="s">
        <v>27761</v>
      </c>
      <c r="F4141" s="5" t="s">
        <v>37</v>
      </c>
      <c r="G4141" s="5" t="s">
        <v>27762</v>
      </c>
      <c r="H4141" s="6" t="s">
        <v>27763</v>
      </c>
      <c r="K4141" s="5" t="s">
        <v>27747</v>
      </c>
      <c r="M4141" s="5" t="s">
        <v>27764</v>
      </c>
      <c r="N4141" s="7" t="s">
        <v>27765</v>
      </c>
      <c r="O4141" s="8" t="str">
        <f>HYPERLINK("https://drive.google.com/file/d/1NUuoMlqWPPl759BY0As56HVxGtPSh-gz/view?usp=drivesdk","4140_HERI SUBEKTI, A.MD. KEP _ SERTIFIKAT BerAKHLAK")</f>
        <v>4140_HERI SUBEKTI, A.MD. KEP _ SERTIFIKAT BerAKHLAK</v>
      </c>
      <c r="P4141" s="5" t="s">
        <v>27755</v>
      </c>
    </row>
    <row r="4142">
      <c r="A4142" s="4">
        <v>45534.34973777778</v>
      </c>
      <c r="B4142" s="5" t="s">
        <v>34</v>
      </c>
      <c r="D4142" s="5" t="s">
        <v>1206</v>
      </c>
      <c r="E4142" s="5" t="s">
        <v>27766</v>
      </c>
      <c r="F4142" s="5" t="s">
        <v>72</v>
      </c>
      <c r="G4142" s="5" t="s">
        <v>27767</v>
      </c>
      <c r="H4142" s="6" t="s">
        <v>27768</v>
      </c>
      <c r="I4142" s="7" t="s">
        <v>27769</v>
      </c>
      <c r="J4142" s="8" t="str">
        <f>HYPERLINK("https://drive.google.com/file/d/1B5agQyMf6SQFLDD0Gnuo8aG60rMCTzwa/view?usp=drivesdk","PATONI SERTIFIKAT BerAKHLAK")</f>
        <v>PATONI SERTIFIKAT BerAKHLAK</v>
      </c>
      <c r="K4142" s="5" t="s">
        <v>27657</v>
      </c>
      <c r="L4142" s="5" t="s">
        <v>27770</v>
      </c>
      <c r="M4142" s="5" t="s">
        <v>27771</v>
      </c>
      <c r="N4142" s="7" t="s">
        <v>27772</v>
      </c>
      <c r="O4142" s="8" t="str">
        <f>HYPERLINK("https://drive.google.com/file/d/1AfQRli_0HgiRLetZx2qFIn-09VWTBtB4/view?usp=drivesdk","4141_PATONI _ SERTIFIKAT BerAKHLAK")</f>
        <v>4141_PATONI _ SERTIFIKAT BerAKHLAK</v>
      </c>
      <c r="P4142" s="5" t="s">
        <v>27755</v>
      </c>
    </row>
    <row r="4143">
      <c r="A4143" s="4">
        <v>45534.34974143519</v>
      </c>
      <c r="B4143" s="5" t="s">
        <v>34</v>
      </c>
      <c r="D4143" s="5" t="s">
        <v>4775</v>
      </c>
      <c r="E4143" s="5" t="s">
        <v>27773</v>
      </c>
      <c r="F4143" s="5" t="s">
        <v>108</v>
      </c>
      <c r="G4143" s="5" t="s">
        <v>27774</v>
      </c>
      <c r="H4143" s="6" t="s">
        <v>27775</v>
      </c>
      <c r="I4143" s="7" t="s">
        <v>27776</v>
      </c>
      <c r="J4143" s="8" t="str">
        <f>HYPERLINK("https://drive.google.com/file/d/1vIm9caVPqQxrz-2LiBs6PwdUAFqFeR9j/view?usp=drivesdk","PILAR ADI PAMUNGKAS SERTIFIKAT BerAKHLAK")</f>
        <v>PILAR ADI PAMUNGKAS SERTIFIKAT BerAKHLAK</v>
      </c>
      <c r="K4143" s="5" t="s">
        <v>27657</v>
      </c>
      <c r="L4143" s="5" t="s">
        <v>27777</v>
      </c>
      <c r="M4143" s="5" t="s">
        <v>27778</v>
      </c>
      <c r="N4143" s="7" t="s">
        <v>27779</v>
      </c>
      <c r="O4143" s="8" t="str">
        <f>HYPERLINK("https://drive.google.com/file/d/1sJLwfnBQfiRsz1c7CgT1fw3Z9R83htn9/view?usp=drivesdk","4142_PILAR ADI PAMUNGKAS _ SERTIFIKAT BerAKHLAK")</f>
        <v>4142_PILAR ADI PAMUNGKAS _ SERTIFIKAT BerAKHLAK</v>
      </c>
      <c r="P4143" s="5" t="s">
        <v>27780</v>
      </c>
    </row>
    <row r="4144" hidden="1">
      <c r="A4144" s="4">
        <v>45534.34974586805</v>
      </c>
      <c r="B4144" s="5" t="s">
        <v>19</v>
      </c>
      <c r="C4144" s="5" t="s">
        <v>5564</v>
      </c>
      <c r="E4144" s="5" t="s">
        <v>27781</v>
      </c>
      <c r="F4144" s="5" t="s">
        <v>37</v>
      </c>
      <c r="G4144" s="5" t="s">
        <v>27782</v>
      </c>
      <c r="H4144" s="6" t="s">
        <v>27783</v>
      </c>
      <c r="I4144" s="7" t="s">
        <v>27784</v>
      </c>
      <c r="J4144" s="8" t="str">
        <f>HYPERLINK("https://drive.google.com/file/d/1JubeCy4sPTkvPdUleZcFIUIMKEr2mis5/view?usp=drivesdk","EDI PITRIADi SERTIFIKAT BerAKHLAK")</f>
        <v>EDI PITRIADi SERTIFIKAT BerAKHLAK</v>
      </c>
      <c r="K4144" s="5" t="s">
        <v>27657</v>
      </c>
      <c r="L4144" s="5" t="s">
        <v>27785</v>
      </c>
      <c r="M4144" s="5" t="s">
        <v>27786</v>
      </c>
      <c r="N4144" s="7" t="s">
        <v>27787</v>
      </c>
      <c r="O4144" s="8" t="str">
        <f>HYPERLINK("https://drive.google.com/file/d/1ld9jM7J5M5drmoW2ZmvCe7g8FyBa7Ib4/view?usp=drivesdk","4143_EDI PITRIADi _ SERTIFIKAT BerAKHLAK")</f>
        <v>4143_EDI PITRIADi _ SERTIFIKAT BerAKHLAK</v>
      </c>
      <c r="P4144" s="5" t="s">
        <v>27780</v>
      </c>
    </row>
    <row r="4145">
      <c r="A4145" s="4">
        <v>45534.34974677084</v>
      </c>
      <c r="B4145" s="5" t="s">
        <v>34</v>
      </c>
      <c r="D4145" s="5" t="s">
        <v>1768</v>
      </c>
      <c r="E4145" s="5" t="s">
        <v>27788</v>
      </c>
      <c r="F4145" s="5" t="s">
        <v>212</v>
      </c>
      <c r="G4145" s="5" t="s">
        <v>27789</v>
      </c>
      <c r="H4145" s="6" t="s">
        <v>27790</v>
      </c>
      <c r="I4145" s="7" t="s">
        <v>27791</v>
      </c>
      <c r="J4145" s="8" t="str">
        <f>HYPERLINK("https://drive.google.com/file/d/1CHblbJ0CRwqmnZIubHXjVGPTa-W-zIS1/view?usp=drivesdk","MARTINI SERTIFIKAT BerAKHLAK")</f>
        <v>MARTINI SERTIFIKAT BerAKHLAK</v>
      </c>
      <c r="K4145" s="5" t="s">
        <v>27657</v>
      </c>
      <c r="L4145" s="5" t="s">
        <v>27792</v>
      </c>
      <c r="M4145" s="5" t="s">
        <v>27793</v>
      </c>
      <c r="N4145" s="7" t="s">
        <v>27794</v>
      </c>
      <c r="O4145" s="8" t="str">
        <f>HYPERLINK("https://drive.google.com/file/d/13J24jHDvKQ6C36UDdc9_V9V-EM4JI4a9/view?usp=drivesdk","4144_MARTINI _ SERTIFIKAT BerAKHLAK")</f>
        <v>4144_MARTINI _ SERTIFIKAT BerAKHLAK</v>
      </c>
      <c r="P4145" s="5" t="s">
        <v>27780</v>
      </c>
    </row>
    <row r="4146">
      <c r="A4146" s="4">
        <v>45534.34975163195</v>
      </c>
      <c r="B4146" s="5" t="s">
        <v>34</v>
      </c>
      <c r="D4146" s="5" t="s">
        <v>1206</v>
      </c>
      <c r="E4146" s="5" t="s">
        <v>27795</v>
      </c>
      <c r="F4146" s="5" t="s">
        <v>524</v>
      </c>
      <c r="G4146" s="5" t="s">
        <v>27796</v>
      </c>
      <c r="H4146" s="6" t="s">
        <v>27797</v>
      </c>
      <c r="K4146" s="5" t="s">
        <v>27798</v>
      </c>
      <c r="M4146" s="5" t="s">
        <v>27799</v>
      </c>
      <c r="N4146" s="7" t="s">
        <v>27800</v>
      </c>
      <c r="O4146" s="8" t="str">
        <f>HYPERLINK("https://drive.google.com/file/d/11XQckFWAbr_3pJf3A83EUZTAfNIitk4D/view?usp=drivesdk","4145_JUNI SH _ SERTIFIKAT BerAKHLAK")</f>
        <v>4145_JUNI SH _ SERTIFIKAT BerAKHLAK</v>
      </c>
      <c r="P4146" s="5" t="s">
        <v>27780</v>
      </c>
    </row>
    <row r="4147">
      <c r="A4147" s="4">
        <v>45534.34976822916</v>
      </c>
      <c r="B4147" s="5" t="s">
        <v>34</v>
      </c>
      <c r="D4147" s="5" t="s">
        <v>1768</v>
      </c>
      <c r="E4147" s="5" t="s">
        <v>27801</v>
      </c>
      <c r="F4147" s="5" t="s">
        <v>212</v>
      </c>
      <c r="G4147" s="5" t="s">
        <v>27802</v>
      </c>
      <c r="H4147" s="6" t="s">
        <v>27803</v>
      </c>
      <c r="K4147" s="5" t="s">
        <v>27798</v>
      </c>
      <c r="M4147" s="5" t="s">
        <v>27804</v>
      </c>
      <c r="N4147" s="7" t="s">
        <v>27805</v>
      </c>
      <c r="O4147" s="8" t="str">
        <f>HYPERLINK("https://drive.google.com/file/d/1oOkIylxHNHdch9TEVt5saPbfSB-OJdNj/view?usp=drivesdk","4146_ALVIN CHANDRA IRAWAN _ SERTIFIKAT BerAKHLAK")</f>
        <v>4146_ALVIN CHANDRA IRAWAN _ SERTIFIKAT BerAKHLAK</v>
      </c>
      <c r="P4147" s="5" t="s">
        <v>27806</v>
      </c>
    </row>
    <row r="4148">
      <c r="A4148" s="4">
        <v>45534.349767974534</v>
      </c>
      <c r="B4148" s="5" t="s">
        <v>34</v>
      </c>
      <c r="D4148" s="5" t="s">
        <v>35</v>
      </c>
      <c r="E4148" s="5" t="s">
        <v>27807</v>
      </c>
      <c r="F4148" s="5" t="s">
        <v>37</v>
      </c>
      <c r="G4148" s="5" t="s">
        <v>27808</v>
      </c>
      <c r="H4148" s="6" t="s">
        <v>27809</v>
      </c>
      <c r="K4148" s="5" t="s">
        <v>27798</v>
      </c>
      <c r="M4148" s="5" t="s">
        <v>27810</v>
      </c>
      <c r="N4148" s="7" t="s">
        <v>27811</v>
      </c>
      <c r="O4148" s="8" t="str">
        <f>HYPERLINK("https://drive.google.com/file/d/1HsPmaVRCG5jzzzn9yPPUnh1a4srXe6ZB/view?usp=drivesdk","4147_RADEN CAHYA MEDIAWAN  _ SERTIFIKAT BerAKHLAK")</f>
        <v>4147_RADEN CAHYA MEDIAWAN  _ SERTIFIKAT BerAKHLAK</v>
      </c>
      <c r="P4148" s="5" t="s">
        <v>27806</v>
      </c>
    </row>
    <row r="4149">
      <c r="A4149" s="4">
        <v>45534.34978870371</v>
      </c>
      <c r="B4149" s="5" t="s">
        <v>34</v>
      </c>
      <c r="D4149" s="5" t="s">
        <v>580</v>
      </c>
      <c r="E4149" s="5" t="s">
        <v>27812</v>
      </c>
      <c r="F4149" s="5" t="s">
        <v>375</v>
      </c>
      <c r="G4149" s="5" t="s">
        <v>27813</v>
      </c>
      <c r="H4149" s="6" t="s">
        <v>27814</v>
      </c>
      <c r="I4149" s="7" t="s">
        <v>27815</v>
      </c>
      <c r="J4149" s="8" t="str">
        <f>HYPERLINK("https://drive.google.com/file/d/1ACMp5FebXWzacMVC2CE_IMDC_pc36yj9/view?usp=drivesdk","NI WAYAN SUWENI SERTIFIKAT BerAKHLAK")</f>
        <v>NI WAYAN SUWENI SERTIFIKAT BerAKHLAK</v>
      </c>
      <c r="K4149" s="5" t="s">
        <v>26460</v>
      </c>
      <c r="L4149" s="5" t="s">
        <v>27816</v>
      </c>
      <c r="M4149" s="5" t="s">
        <v>27817</v>
      </c>
      <c r="N4149" s="7" t="s">
        <v>27818</v>
      </c>
      <c r="O4149" s="8" t="str">
        <f>HYPERLINK("https://drive.google.com/file/d/1m6AKiBkSD9Jtln5o2zyJgPRV7IE6tBI9/view?usp=drivesdk","4148_NI WAYAN SUWENI _ SERTIFIKAT BerAKHLAK")</f>
        <v>4148_NI WAYAN SUWENI _ SERTIFIKAT BerAKHLAK</v>
      </c>
      <c r="P4149" s="5" t="s">
        <v>27806</v>
      </c>
    </row>
    <row r="4150">
      <c r="A4150" s="4">
        <v>45534.34980015046</v>
      </c>
      <c r="B4150" s="5" t="s">
        <v>34</v>
      </c>
      <c r="D4150" s="5" t="s">
        <v>701</v>
      </c>
      <c r="E4150" s="5" t="s">
        <v>27819</v>
      </c>
      <c r="F4150" s="5" t="s">
        <v>212</v>
      </c>
      <c r="G4150" s="5" t="s">
        <v>27820</v>
      </c>
      <c r="H4150" s="6" t="s">
        <v>27821</v>
      </c>
      <c r="K4150" s="5" t="s">
        <v>27822</v>
      </c>
      <c r="M4150" s="5" t="s">
        <v>27823</v>
      </c>
      <c r="N4150" s="7" t="s">
        <v>27824</v>
      </c>
      <c r="O4150" s="8" t="str">
        <f>HYPERLINK("https://drive.google.com/file/d/14PuQekFLPQRs7sqSloTcw0Qg3zuSXzSs/view?usp=drivesdk","4149_MIRNA LOIDA _ SERTIFIKAT BerAKHLAK")</f>
        <v>4149_MIRNA LOIDA _ SERTIFIKAT BerAKHLAK</v>
      </c>
      <c r="P4150" s="5" t="s">
        <v>27806</v>
      </c>
    </row>
    <row r="4151">
      <c r="A4151" s="4">
        <v>45534.34980630787</v>
      </c>
      <c r="B4151" s="5" t="s">
        <v>34</v>
      </c>
      <c r="D4151" s="5" t="s">
        <v>10444</v>
      </c>
      <c r="E4151" s="5" t="s">
        <v>27825</v>
      </c>
      <c r="F4151" s="5" t="s">
        <v>212</v>
      </c>
      <c r="G4151" s="5" t="s">
        <v>27826</v>
      </c>
      <c r="H4151" s="6" t="s">
        <v>27827</v>
      </c>
      <c r="K4151" s="5" t="s">
        <v>27822</v>
      </c>
      <c r="M4151" s="5" t="s">
        <v>27828</v>
      </c>
      <c r="N4151" s="7" t="s">
        <v>27829</v>
      </c>
      <c r="O4151" s="8" t="str">
        <f>HYPERLINK("https://drive.google.com/file/d/1dLxzAayuyWWe_DdXiwSPql7V2f4qnFdz/view?usp=drivesdk","4150_CHANIF MACHRUSAH, Amd.Keb _ SERTIFIKAT BerAKHLAK")</f>
        <v>4150_CHANIF MACHRUSAH, Amd.Keb _ SERTIFIKAT BerAKHLAK</v>
      </c>
      <c r="P4151" s="5" t="s">
        <v>27806</v>
      </c>
    </row>
    <row r="4152" hidden="1">
      <c r="A4152" s="4">
        <v>45534.34982261574</v>
      </c>
      <c r="B4152" s="5" t="s">
        <v>19</v>
      </c>
      <c r="C4152" s="5" t="s">
        <v>11593</v>
      </c>
      <c r="E4152" s="7" t="s">
        <v>27830</v>
      </c>
      <c r="F4152" s="5" t="s">
        <v>72</v>
      </c>
      <c r="G4152" s="5" t="s">
        <v>27831</v>
      </c>
      <c r="H4152" s="6" t="s">
        <v>27832</v>
      </c>
      <c r="K4152" s="5" t="s">
        <v>27822</v>
      </c>
      <c r="M4152" s="5" t="s">
        <v>27833</v>
      </c>
      <c r="N4152" s="7" t="s">
        <v>27834</v>
      </c>
      <c r="O4152" s="8" t="str">
        <f>HYPERLINK("https://drive.google.com/file/d/1Ru6XWry1T8Hfn4zPV-JrYWwlOPeGgm7w/view?usp=drivesdk","4151_TITI.SH _ SERTIFIKAT BerAKHLAK")</f>
        <v>4151_TITI.SH _ SERTIFIKAT BerAKHLAK</v>
      </c>
      <c r="P4152" s="5" t="s">
        <v>27835</v>
      </c>
    </row>
    <row r="4153">
      <c r="A4153" s="4">
        <v>45534.34982880787</v>
      </c>
      <c r="B4153" s="5" t="s">
        <v>34</v>
      </c>
      <c r="D4153" s="5" t="s">
        <v>35</v>
      </c>
      <c r="E4153" s="5" t="s">
        <v>27836</v>
      </c>
      <c r="F4153" s="5" t="s">
        <v>37</v>
      </c>
      <c r="G4153" s="5" t="s">
        <v>27837</v>
      </c>
      <c r="H4153" s="6" t="s">
        <v>27838</v>
      </c>
      <c r="K4153" s="5" t="s">
        <v>27822</v>
      </c>
      <c r="M4153" s="5" t="s">
        <v>27839</v>
      </c>
      <c r="N4153" s="7" t="s">
        <v>27840</v>
      </c>
      <c r="O4153" s="8" t="str">
        <f>HYPERLINK("https://drive.google.com/file/d/1XpkQooB3ayP4RqlsOK3nBOAZFHc3DfSf/view?usp=drivesdk","4152_NOVI OKTAVIANI, A.MD.KEP _ SERTIFIKAT BerAKHLAK")</f>
        <v>4152_NOVI OKTAVIANI, A.MD.KEP _ SERTIFIKAT BerAKHLAK</v>
      </c>
      <c r="P4153" s="5" t="s">
        <v>27835</v>
      </c>
    </row>
    <row r="4154" hidden="1">
      <c r="A4154" s="4">
        <v>45534.34982979167</v>
      </c>
      <c r="B4154" s="5" t="s">
        <v>19</v>
      </c>
      <c r="C4154" s="5" t="s">
        <v>5564</v>
      </c>
      <c r="E4154" s="5" t="s">
        <v>27841</v>
      </c>
      <c r="F4154" s="5" t="s">
        <v>5566</v>
      </c>
      <c r="G4154" s="5" t="s">
        <v>27842</v>
      </c>
      <c r="H4154" s="6" t="s">
        <v>27843</v>
      </c>
      <c r="K4154" s="5" t="s">
        <v>27822</v>
      </c>
      <c r="M4154" s="5" t="s">
        <v>27844</v>
      </c>
      <c r="N4154" s="7" t="s">
        <v>27845</v>
      </c>
      <c r="O4154" s="8" t="str">
        <f>HYPERLINK("https://drive.google.com/file/d/1dzkyjLJa3PbMUcLZ-jo3gxJXoe4UMvip/view?usp=drivesdk","4153_MUHAMAD IQBAL MAULANA _ SERTIFIKAT BerAKHLAK")</f>
        <v>4153_MUHAMAD IQBAL MAULANA _ SERTIFIKAT BerAKHLAK</v>
      </c>
      <c r="P4154" s="5" t="s">
        <v>27835</v>
      </c>
    </row>
    <row r="4155">
      <c r="A4155" s="4">
        <v>45534.349838587965</v>
      </c>
      <c r="B4155" s="5" t="s">
        <v>34</v>
      </c>
      <c r="D4155" s="5" t="s">
        <v>1768</v>
      </c>
      <c r="E4155" s="5" t="s">
        <v>27846</v>
      </c>
      <c r="F4155" s="5" t="s">
        <v>375</v>
      </c>
      <c r="G4155" s="5" t="s">
        <v>27847</v>
      </c>
      <c r="H4155" s="6" t="s">
        <v>27848</v>
      </c>
      <c r="K4155" s="5" t="s">
        <v>27822</v>
      </c>
      <c r="M4155" s="5" t="s">
        <v>27849</v>
      </c>
      <c r="N4155" s="7" t="s">
        <v>27850</v>
      </c>
      <c r="O4155" s="8" t="str">
        <f>HYPERLINK("https://drive.google.com/file/d/1T_VkvFjomPFBj6aQV40_fgNoUoAJp_8i/view?usp=drivesdk","4154_DITA EKA PUTRI HADI, ST. _ SERTIFIKAT BerAKHLAK")</f>
        <v>4154_DITA EKA PUTRI HADI, ST. _ SERTIFIKAT BerAKHLAK</v>
      </c>
      <c r="P4155" s="5" t="s">
        <v>27835</v>
      </c>
    </row>
    <row r="4156">
      <c r="A4156" s="4">
        <v>45534.34984199074</v>
      </c>
      <c r="B4156" s="5" t="s">
        <v>34</v>
      </c>
      <c r="D4156" s="5" t="s">
        <v>1206</v>
      </c>
      <c r="E4156" s="5" t="s">
        <v>27851</v>
      </c>
      <c r="F4156" s="5" t="s">
        <v>15386</v>
      </c>
      <c r="G4156" s="5" t="s">
        <v>27852</v>
      </c>
      <c r="H4156" s="6" t="s">
        <v>27853</v>
      </c>
      <c r="K4156" s="5" t="s">
        <v>27822</v>
      </c>
      <c r="M4156" s="5" t="s">
        <v>27854</v>
      </c>
      <c r="N4156" s="7" t="s">
        <v>27855</v>
      </c>
      <c r="O4156" s="8" t="str">
        <f>HYPERLINK("https://drive.google.com/file/d/1ExoXC_Et9b2NKxNA_w2yIi9d2YrPCGcS/view?usp=drivesdk","4155_ENDANG KUSUMAWATI _ SERTIFIKAT BerAKHLAK")</f>
        <v>4155_ENDANG KUSUMAWATI _ SERTIFIKAT BerAKHLAK</v>
      </c>
      <c r="P4156" s="5" t="s">
        <v>27835</v>
      </c>
    </row>
    <row r="4157" hidden="1">
      <c r="A4157" s="4">
        <v>45534.349843564814</v>
      </c>
      <c r="B4157" s="5" t="s">
        <v>19</v>
      </c>
      <c r="C4157" s="5" t="s">
        <v>292</v>
      </c>
      <c r="E4157" s="5" t="s">
        <v>27856</v>
      </c>
      <c r="F4157" s="5" t="s">
        <v>212</v>
      </c>
      <c r="G4157" s="5" t="s">
        <v>27857</v>
      </c>
      <c r="H4157" s="6" t="s">
        <v>27858</v>
      </c>
      <c r="K4157" s="5" t="s">
        <v>27822</v>
      </c>
      <c r="M4157" s="5" t="s">
        <v>27859</v>
      </c>
      <c r="N4157" s="7" t="s">
        <v>27860</v>
      </c>
      <c r="O4157" s="8" t="str">
        <f>HYPERLINK("https://drive.google.com/file/d/1lda-qKY9F2_rpRJapDt9vThvsjzUfE10/view?usp=drivesdk","4156_AHMAD MULYANA _ SERTIFIKAT BerAKHLAK")</f>
        <v>4156_AHMAD MULYANA _ SERTIFIKAT BerAKHLAK</v>
      </c>
      <c r="P4157" s="5" t="s">
        <v>27861</v>
      </c>
    </row>
    <row r="4158">
      <c r="A4158" s="4">
        <v>45534.349847418984</v>
      </c>
      <c r="B4158" s="5" t="s">
        <v>34</v>
      </c>
      <c r="D4158" s="5" t="s">
        <v>9020</v>
      </c>
      <c r="E4158" s="5" t="s">
        <v>27862</v>
      </c>
      <c r="F4158" s="5" t="s">
        <v>37</v>
      </c>
      <c r="G4158" s="5" t="s">
        <v>27863</v>
      </c>
      <c r="H4158" s="6" t="s">
        <v>27864</v>
      </c>
      <c r="K4158" s="5" t="s">
        <v>27822</v>
      </c>
      <c r="M4158" s="5" t="s">
        <v>27865</v>
      </c>
      <c r="N4158" s="7" t="s">
        <v>27866</v>
      </c>
      <c r="O4158" s="8" t="str">
        <f>HYPERLINK("https://drive.google.com/file/d/1J7iRshqaI5pTsfY8uTIhqGYh8dlBNZYp/view?usp=drivesdk","4157_DARMA SITINJAK _ SERTIFIKAT BerAKHLAK")</f>
        <v>4157_DARMA SITINJAK _ SERTIFIKAT BerAKHLAK</v>
      </c>
      <c r="P4158" s="5" t="s">
        <v>27861</v>
      </c>
    </row>
    <row r="4159">
      <c r="A4159" s="4">
        <v>45534.3498558912</v>
      </c>
      <c r="B4159" s="5" t="s">
        <v>34</v>
      </c>
      <c r="D4159" s="5" t="s">
        <v>9020</v>
      </c>
      <c r="E4159" s="5" t="s">
        <v>27867</v>
      </c>
      <c r="F4159" s="5" t="s">
        <v>212</v>
      </c>
      <c r="G4159" s="5" t="s">
        <v>27868</v>
      </c>
      <c r="H4159" s="6" t="s">
        <v>27869</v>
      </c>
      <c r="K4159" s="5" t="s">
        <v>27822</v>
      </c>
      <c r="M4159" s="5" t="s">
        <v>27870</v>
      </c>
      <c r="N4159" s="7" t="s">
        <v>27871</v>
      </c>
      <c r="O4159" s="8" t="str">
        <f>HYPERLINK("https://drive.google.com/file/d/1FFElbr852hHg-ZZWqL8mySd16cm1n3fu/view?usp=drivesdk","4158_ZUANA DEBORA BR. HOMBING _ SERTIFIKAT BerAKHLAK")</f>
        <v>4158_ZUANA DEBORA BR. HOMBING _ SERTIFIKAT BerAKHLAK</v>
      </c>
      <c r="P4159" s="5" t="s">
        <v>27861</v>
      </c>
    </row>
    <row r="4160" hidden="1">
      <c r="A4160" s="4">
        <v>45534.34986071759</v>
      </c>
      <c r="B4160" s="5" t="s">
        <v>19</v>
      </c>
      <c r="C4160" s="5" t="s">
        <v>3301</v>
      </c>
      <c r="E4160" s="5" t="s">
        <v>27872</v>
      </c>
      <c r="F4160" s="5" t="s">
        <v>72</v>
      </c>
      <c r="G4160" s="5" t="s">
        <v>27873</v>
      </c>
      <c r="H4160" s="6" t="s">
        <v>27874</v>
      </c>
      <c r="K4160" s="5" t="s">
        <v>27822</v>
      </c>
      <c r="M4160" s="5" t="s">
        <v>27875</v>
      </c>
      <c r="N4160" s="7" t="s">
        <v>27876</v>
      </c>
      <c r="O4160" s="8" t="str">
        <f>HYPERLINK("https://drive.google.com/file/d/1c5daoseCu2KdKV5k9zkjeYAx8raEuHvy/view?usp=drivesdk","4159_YULIS UTAMININGSIH,AMdKeb _ SERTIFIKAT BerAKHLAK")</f>
        <v>4159_YULIS UTAMININGSIH,AMdKeb _ SERTIFIKAT BerAKHLAK</v>
      </c>
      <c r="P4160" s="5" t="s">
        <v>27861</v>
      </c>
    </row>
    <row r="4161">
      <c r="A4161" s="4">
        <v>45534.349872025465</v>
      </c>
      <c r="B4161" s="5" t="s">
        <v>34</v>
      </c>
      <c r="D4161" s="5" t="s">
        <v>14424</v>
      </c>
      <c r="E4161" s="5" t="s">
        <v>27877</v>
      </c>
      <c r="F4161" s="5" t="s">
        <v>108</v>
      </c>
      <c r="G4161" s="5" t="s">
        <v>27878</v>
      </c>
      <c r="H4161" s="6" t="s">
        <v>27879</v>
      </c>
      <c r="I4161" s="7" t="s">
        <v>27880</v>
      </c>
      <c r="J4161" s="8" t="str">
        <f>HYPERLINK("https://drive.google.com/file/d/1jYCHKPZXG_h4xYfQxFVgF0wI8c1E-9fC/view?usp=drivesdk","drg. MISRA HANUM, M.K.M SERTIFIKAT BerAKHLAK")</f>
        <v>drg. MISRA HANUM, M.K.M SERTIFIKAT BerAKHLAK</v>
      </c>
      <c r="K4161" s="5" t="s">
        <v>27657</v>
      </c>
      <c r="L4161" s="5" t="s">
        <v>27881</v>
      </c>
      <c r="M4161" s="5" t="s">
        <v>27882</v>
      </c>
      <c r="N4161" s="7" t="s">
        <v>27883</v>
      </c>
      <c r="O4161" s="8" t="str">
        <f>HYPERLINK("https://drive.google.com/file/d/1JjxhxjakWg9KX-PnpP9sRa2ebijLO_5W/view?usp=drivesdk","4160_drg. MISRA HANUM, M.K.M _ SERTIFIKAT BerAKHLAK")</f>
        <v>4160_drg. MISRA HANUM, M.K.M _ SERTIFIKAT BerAKHLAK</v>
      </c>
      <c r="P4161" s="5" t="s">
        <v>27861</v>
      </c>
    </row>
    <row r="4162">
      <c r="A4162" s="4">
        <v>45534.349872465275</v>
      </c>
      <c r="B4162" s="5" t="s">
        <v>34</v>
      </c>
      <c r="D4162" s="5" t="s">
        <v>4775</v>
      </c>
      <c r="E4162" s="5" t="s">
        <v>27884</v>
      </c>
      <c r="F4162" s="5" t="s">
        <v>72</v>
      </c>
      <c r="G4162" s="5" t="s">
        <v>27885</v>
      </c>
      <c r="H4162" s="6" t="s">
        <v>27886</v>
      </c>
      <c r="I4162" s="7" t="s">
        <v>27887</v>
      </c>
      <c r="J4162" s="8" t="str">
        <f>HYPERLINK("https://drive.google.com/file/d/1fPDPik7eXURLg1eIF2kKxKyfI4qbTaj4/view?usp=drivesdk","TITI SOFIANI SERTIFIKAT BerAKHLAK")</f>
        <v>TITI SOFIANI SERTIFIKAT BerAKHLAK</v>
      </c>
      <c r="K4162" s="5" t="s">
        <v>27657</v>
      </c>
      <c r="L4162" s="5" t="s">
        <v>27888</v>
      </c>
      <c r="M4162" s="5" t="s">
        <v>27889</v>
      </c>
      <c r="N4162" s="7" t="s">
        <v>27890</v>
      </c>
      <c r="O4162" s="8" t="str">
        <f>HYPERLINK("https://drive.google.com/file/d/14UeHk3Me8E0ZHXFiLtJdWdcIaqSeJ094/view?usp=drivesdk","4161_TITI SOFIANI _ SERTIFIKAT BerAKHLAK")</f>
        <v>4161_TITI SOFIANI _ SERTIFIKAT BerAKHLAK</v>
      </c>
      <c r="P4162" s="5" t="s">
        <v>27891</v>
      </c>
    </row>
    <row r="4163">
      <c r="A4163" s="4">
        <v>45534.349877395834</v>
      </c>
      <c r="B4163" s="5" t="s">
        <v>34</v>
      </c>
      <c r="D4163" s="5" t="s">
        <v>4775</v>
      </c>
      <c r="E4163" s="5" t="s">
        <v>27892</v>
      </c>
      <c r="F4163" s="5" t="s">
        <v>212</v>
      </c>
      <c r="G4163" s="5" t="s">
        <v>27893</v>
      </c>
      <c r="H4163" s="6" t="s">
        <v>27894</v>
      </c>
      <c r="I4163" s="7" t="s">
        <v>27895</v>
      </c>
      <c r="J4163" s="8" t="str">
        <f>HYPERLINK("https://drive.google.com/file/d/1V9oMXFzaqS4XnY2X8IgjZWhwFx7TbT76/view?usp=drivesdk","RAMINI SERTIFIKAT BerAKHLAK")</f>
        <v>RAMINI SERTIFIKAT BerAKHLAK</v>
      </c>
      <c r="K4163" s="5" t="s">
        <v>27657</v>
      </c>
      <c r="L4163" s="5" t="s">
        <v>27896</v>
      </c>
      <c r="M4163" s="5" t="s">
        <v>27897</v>
      </c>
      <c r="N4163" s="7" t="s">
        <v>27898</v>
      </c>
      <c r="O4163" s="8" t="str">
        <f>HYPERLINK("https://drive.google.com/file/d/1TewpBsUponwYWe31LUNjBGPVhdwtWJUU/view?usp=drivesdk","4162_RAMINI _ SERTIFIKAT BerAKHLAK")</f>
        <v>4162_RAMINI _ SERTIFIKAT BerAKHLAK</v>
      </c>
      <c r="P4163" s="5" t="s">
        <v>27891</v>
      </c>
    </row>
    <row r="4164">
      <c r="A4164" s="4">
        <v>45534.34988069444</v>
      </c>
      <c r="B4164" s="5" t="s">
        <v>34</v>
      </c>
      <c r="D4164" s="5" t="s">
        <v>15401</v>
      </c>
      <c r="E4164" s="5" t="s">
        <v>27899</v>
      </c>
      <c r="F4164" s="5" t="s">
        <v>212</v>
      </c>
      <c r="G4164" s="5" t="s">
        <v>27900</v>
      </c>
      <c r="H4164" s="6" t="s">
        <v>27901</v>
      </c>
      <c r="I4164" s="7" t="s">
        <v>27902</v>
      </c>
      <c r="J4164" s="8" t="str">
        <f>HYPERLINK("https://drive.google.com/file/d/15X1vj4XD-LXOTbLNuzaRFG54iyK_6eN3/view?usp=drivesdk","MULYATI, A.Md.Kep SERTIFIKAT BerAKHLAK")</f>
        <v>MULYATI, A.Md.Kep SERTIFIKAT BerAKHLAK</v>
      </c>
      <c r="K4164" s="5" t="s">
        <v>27657</v>
      </c>
      <c r="L4164" s="5" t="s">
        <v>27903</v>
      </c>
      <c r="M4164" s="5" t="s">
        <v>27904</v>
      </c>
      <c r="N4164" s="7" t="s">
        <v>27905</v>
      </c>
      <c r="O4164" s="8" t="str">
        <f>HYPERLINK("https://drive.google.com/file/d/1bCYHc3fvn0BIRGZxMaYQioB1MW4hK9xv/view?usp=drivesdk","4163_MULYATI, A.Md.Kep _ SERTIFIKAT BerAKHLAK")</f>
        <v>4163_MULYATI, A.Md.Kep _ SERTIFIKAT BerAKHLAK</v>
      </c>
      <c r="P4164" s="5" t="s">
        <v>27891</v>
      </c>
    </row>
    <row r="4165">
      <c r="A4165" s="4">
        <v>45534.34988460648</v>
      </c>
      <c r="B4165" s="5" t="s">
        <v>34</v>
      </c>
      <c r="D4165" s="5" t="s">
        <v>1206</v>
      </c>
      <c r="E4165" s="5" t="s">
        <v>27906</v>
      </c>
      <c r="F4165" s="5" t="s">
        <v>375</v>
      </c>
      <c r="G4165" s="5" t="s">
        <v>27907</v>
      </c>
      <c r="H4165" s="6" t="s">
        <v>27908</v>
      </c>
      <c r="I4165" s="7" t="s">
        <v>27909</v>
      </c>
      <c r="J4165" s="8" t="str">
        <f>HYPERLINK("https://drive.google.com/file/d/1fIfzj-DSNxgCVeOrliKnojuGteaLKXMG/view?usp=drivesdk","WARAS AL ISMIANTO, S.E. SERTIFIKAT BerAKHLAK")</f>
        <v>WARAS AL ISMIANTO, S.E. SERTIFIKAT BerAKHLAK</v>
      </c>
      <c r="K4165" s="5" t="s">
        <v>27657</v>
      </c>
      <c r="L4165" s="5" t="s">
        <v>27910</v>
      </c>
      <c r="M4165" s="5" t="s">
        <v>27911</v>
      </c>
      <c r="N4165" s="7" t="s">
        <v>27912</v>
      </c>
      <c r="O4165" s="8" t="str">
        <f>HYPERLINK("https://drive.google.com/file/d/1dcnc4Yl0DSVeS64FE1mJDYKxVN7OVvHa/view?usp=drivesdk","4164_WARAS AL ISMIANTO, S.E. _ SERTIFIKAT BerAKHLAK")</f>
        <v>4164_WARAS AL ISMIANTO, S.E. _ SERTIFIKAT BerAKHLAK</v>
      </c>
      <c r="P4165" s="5" t="s">
        <v>27891</v>
      </c>
    </row>
    <row r="4166">
      <c r="A4166" s="4">
        <v>45534.34989175926</v>
      </c>
      <c r="B4166" s="5" t="s">
        <v>34</v>
      </c>
      <c r="D4166" s="5" t="s">
        <v>280</v>
      </c>
      <c r="E4166" s="5" t="s">
        <v>27913</v>
      </c>
      <c r="F4166" s="5" t="s">
        <v>375</v>
      </c>
      <c r="G4166" s="5" t="s">
        <v>27914</v>
      </c>
      <c r="H4166" s="6" t="s">
        <v>27915</v>
      </c>
      <c r="I4166" s="7" t="s">
        <v>27916</v>
      </c>
      <c r="J4166" s="8" t="str">
        <f>HYPERLINK("https://drive.google.com/file/d/1Zm0P9kQUDkjkUMNguRX-SNAvZLX1No5R/view?usp=drivesdk","ZELVI ZASMITA S.Kep.,Ns SERTIFIKAT BerAKHLAK")</f>
        <v>ZELVI ZASMITA S.Kep.,Ns SERTIFIKAT BerAKHLAK</v>
      </c>
      <c r="K4166" s="5" t="s">
        <v>27679</v>
      </c>
      <c r="L4166" s="5" t="s">
        <v>27917</v>
      </c>
      <c r="M4166" s="5" t="s">
        <v>27918</v>
      </c>
      <c r="N4166" s="7" t="s">
        <v>27919</v>
      </c>
      <c r="O4166" s="8" t="str">
        <f>HYPERLINK("https://drive.google.com/file/d/1HQM7JyPxt54mrswaDBh9NS52qnl9YTVF/view?usp=drivesdk","4165_ZELVI ZASMITA S.Kep.,Ns _ SERTIFIKAT BerAKHLAK")</f>
        <v>4165_ZELVI ZASMITA S.Kep.,Ns _ SERTIFIKAT BerAKHLAK</v>
      </c>
      <c r="P4166" s="5" t="s">
        <v>27920</v>
      </c>
    </row>
    <row r="4167">
      <c r="A4167" s="4">
        <v>45534.34989190972</v>
      </c>
      <c r="B4167" s="5" t="s">
        <v>34</v>
      </c>
      <c r="D4167" s="5" t="s">
        <v>1558</v>
      </c>
      <c r="E4167" s="5" t="s">
        <v>27921</v>
      </c>
      <c r="F4167" s="5" t="s">
        <v>120</v>
      </c>
      <c r="G4167" s="5" t="s">
        <v>27922</v>
      </c>
      <c r="H4167" s="6" t="s">
        <v>27923</v>
      </c>
      <c r="I4167" s="7" t="s">
        <v>27924</v>
      </c>
      <c r="J4167" s="8" t="str">
        <f>HYPERLINK("https://drive.google.com/file/d/1PjPtpv2OW6c111u189kF16QzOSqmPlTR/view?usp=drivesdk","CURIE HALIMATUS SOFIA, S.E., M.Ak SERTIFIKAT BerAKHLAK")</f>
        <v>CURIE HALIMATUS SOFIA, S.E., M.Ak SERTIFIKAT BerAKHLAK</v>
      </c>
      <c r="K4167" s="5" t="s">
        <v>27657</v>
      </c>
      <c r="L4167" s="5" t="s">
        <v>27925</v>
      </c>
      <c r="M4167" s="5" t="s">
        <v>27926</v>
      </c>
      <c r="N4167" s="7" t="s">
        <v>27927</v>
      </c>
      <c r="O4167" s="8" t="str">
        <f>HYPERLINK("https://drive.google.com/file/d/1KSCEEqqZuIiDff8FNKXVyQXucPL4QHdH/view?usp=drivesdk","4166_CURIE HALIMATUS SOFIA, S.E., M.Ak _ SERTIFIKAT BerAKHLAK")</f>
        <v>4166_CURIE HALIMATUS SOFIA, S.E., M.Ak _ SERTIFIKAT BerAKHLAK</v>
      </c>
      <c r="P4167" s="5" t="s">
        <v>27920</v>
      </c>
    </row>
    <row r="4168">
      <c r="A4168" s="4">
        <v>45534.349904814815</v>
      </c>
      <c r="B4168" s="5" t="s">
        <v>34</v>
      </c>
      <c r="D4168" s="5" t="s">
        <v>1206</v>
      </c>
      <c r="E4168" s="5" t="s">
        <v>17521</v>
      </c>
      <c r="F4168" s="5" t="s">
        <v>212</v>
      </c>
      <c r="G4168" s="5" t="s">
        <v>27928</v>
      </c>
      <c r="H4168" s="6" t="s">
        <v>27929</v>
      </c>
      <c r="I4168" s="7" t="s">
        <v>27930</v>
      </c>
      <c r="J4168" s="8" t="str">
        <f>HYPERLINK("https://drive.google.com/file/d/1JsrTIQRguqNKh7DzQ_1mNqPU0XGPt91a/view?usp=drivesdk","SITI ASIYAH SERTIFIKAT BerAKHLAK")</f>
        <v>SITI ASIYAH SERTIFIKAT BerAKHLAK</v>
      </c>
      <c r="K4168" s="5" t="s">
        <v>27657</v>
      </c>
      <c r="L4168" s="5" t="s">
        <v>27931</v>
      </c>
      <c r="M4168" s="5" t="s">
        <v>27932</v>
      </c>
      <c r="N4168" s="7" t="s">
        <v>27933</v>
      </c>
      <c r="O4168" s="8" t="str">
        <f>HYPERLINK("https://drive.google.com/file/d/1FfbapagkplwP0XgE7LLCDw5reLhjdYzI/view?usp=drivesdk","4167_SITI ASIYAH _ SERTIFIKAT BerAKHLAK")</f>
        <v>4167_SITI ASIYAH _ SERTIFIKAT BerAKHLAK</v>
      </c>
      <c r="P4168" s="5" t="s">
        <v>27920</v>
      </c>
    </row>
    <row r="4169">
      <c r="A4169" s="4">
        <v>45534.34991315972</v>
      </c>
      <c r="B4169" s="5" t="s">
        <v>34</v>
      </c>
      <c r="D4169" s="5" t="s">
        <v>267</v>
      </c>
      <c r="E4169" s="5" t="s">
        <v>27934</v>
      </c>
      <c r="F4169" s="5" t="s">
        <v>212</v>
      </c>
      <c r="G4169" s="5" t="s">
        <v>27935</v>
      </c>
      <c r="H4169" s="6" t="s">
        <v>27936</v>
      </c>
      <c r="I4169" s="7" t="s">
        <v>27937</v>
      </c>
      <c r="J4169" s="8" t="str">
        <f>HYPERLINK("https://drive.google.com/file/d/1ExjT-VqCqFzgISN9mEqM2igppZHmCQbQ/view?usp=drivesdk","RENDRA AJI KUSWORO SERTIFIKAT BerAKHLAK")</f>
        <v>RENDRA AJI KUSWORO SERTIFIKAT BerAKHLAK</v>
      </c>
      <c r="K4169" s="5" t="s">
        <v>27657</v>
      </c>
      <c r="L4169" s="5" t="s">
        <v>27938</v>
      </c>
      <c r="M4169" s="5" t="s">
        <v>27939</v>
      </c>
      <c r="N4169" s="7" t="s">
        <v>27940</v>
      </c>
      <c r="O4169" s="8" t="str">
        <f>HYPERLINK("https://drive.google.com/file/d/1HM8gFi_5tiI1Dxgq2O7ORGiZb3zpL2sB/view?usp=drivesdk","4168_RENDRA AJI KUSWORO _ SERTIFIKAT BerAKHLAK")</f>
        <v>4168_RENDRA AJI KUSWORO _ SERTIFIKAT BerAKHLAK</v>
      </c>
      <c r="P4169" s="5" t="s">
        <v>27920</v>
      </c>
    </row>
    <row r="4170" hidden="1">
      <c r="A4170" s="4">
        <v>45534.34991576389</v>
      </c>
      <c r="B4170" s="5" t="s">
        <v>19</v>
      </c>
      <c r="C4170" s="5" t="s">
        <v>24076</v>
      </c>
      <c r="E4170" s="5" t="s">
        <v>27941</v>
      </c>
      <c r="F4170" s="5" t="s">
        <v>715</v>
      </c>
      <c r="G4170" s="5" t="s">
        <v>27942</v>
      </c>
      <c r="H4170" s="6" t="s">
        <v>27943</v>
      </c>
      <c r="I4170" s="7" t="s">
        <v>27944</v>
      </c>
      <c r="J4170" s="8" t="str">
        <f>HYPERLINK("https://drive.google.com/file/d/1S_N-xiwhEiCeoxZRAxHnOE0N7QyQlvbo/view?usp=drivesdk","WANDA APRINDO, S.H. SERTIFIKAT BerAKHLAK")</f>
        <v>WANDA APRINDO, S.H. SERTIFIKAT BerAKHLAK</v>
      </c>
      <c r="K4170" s="5" t="s">
        <v>27657</v>
      </c>
      <c r="L4170" s="5" t="s">
        <v>27945</v>
      </c>
      <c r="M4170" s="5" t="s">
        <v>27946</v>
      </c>
      <c r="N4170" s="7" t="s">
        <v>27947</v>
      </c>
      <c r="O4170" s="8" t="str">
        <f>HYPERLINK("https://drive.google.com/file/d/1FHYSVrA1ie4fbLjNBDbyYQSYsiKz3_ak/view?usp=drivesdk","4169_WANDA APRINDO, S.H. _ SERTIFIKAT BerAKHLAK")</f>
        <v>4169_WANDA APRINDO, S.H. _ SERTIFIKAT BerAKHLAK</v>
      </c>
      <c r="P4170" s="5" t="s">
        <v>27948</v>
      </c>
    </row>
    <row r="4171">
      <c r="A4171" s="4">
        <v>45534.34993118056</v>
      </c>
      <c r="B4171" s="5" t="s">
        <v>34</v>
      </c>
      <c r="D4171" s="5" t="s">
        <v>4775</v>
      </c>
      <c r="E4171" s="5" t="s">
        <v>27949</v>
      </c>
      <c r="F4171" s="5" t="s">
        <v>72</v>
      </c>
      <c r="G4171" s="5" t="s">
        <v>27950</v>
      </c>
      <c r="H4171" s="6" t="s">
        <v>27951</v>
      </c>
      <c r="I4171" s="7" t="s">
        <v>27952</v>
      </c>
      <c r="J4171" s="8" t="str">
        <f>HYPERLINK("https://drive.google.com/file/d/1QbJw_MFq7--oVI775qrrIpOKQJB5Z7uh/view?usp=drivesdk","DEBBY YULIANTY, AMK SERTIFIKAT BerAKHLAK")</f>
        <v>DEBBY YULIANTY, AMK SERTIFIKAT BerAKHLAK</v>
      </c>
      <c r="K4171" s="5" t="s">
        <v>27657</v>
      </c>
      <c r="L4171" s="5" t="s">
        <v>27953</v>
      </c>
      <c r="M4171" s="5" t="s">
        <v>27954</v>
      </c>
      <c r="N4171" s="7" t="s">
        <v>27955</v>
      </c>
      <c r="O4171" s="8" t="str">
        <f>HYPERLINK("https://drive.google.com/file/d/1FGR9YyhpZv3A75vuZ8zKfVxejx0jPwx6/view?usp=drivesdk","4170_DEBBY YULIANTY, AMK _ SERTIFIKAT BerAKHLAK")</f>
        <v>4170_DEBBY YULIANTY, AMK _ SERTIFIKAT BerAKHLAK</v>
      </c>
      <c r="P4171" s="5" t="s">
        <v>27948</v>
      </c>
    </row>
    <row r="4172">
      <c r="A4172" s="4">
        <v>45534.34993546296</v>
      </c>
      <c r="B4172" s="5" t="s">
        <v>34</v>
      </c>
      <c r="D4172" s="5" t="s">
        <v>9020</v>
      </c>
      <c r="E4172" s="5" t="s">
        <v>27956</v>
      </c>
      <c r="F4172" s="5" t="s">
        <v>212</v>
      </c>
      <c r="G4172" s="5" t="s">
        <v>27957</v>
      </c>
      <c r="H4172" s="6" t="s">
        <v>27958</v>
      </c>
      <c r="I4172" s="7" t="s">
        <v>27959</v>
      </c>
      <c r="J4172" s="8" t="str">
        <f>HYPERLINK("https://drive.google.com/file/d/14dSDlYKVBbjOkrk20TkpbgPvohonXpFZ/view?usp=drivesdk","SILVA MONITA SERTIFIKAT BerAKHLAK")</f>
        <v>SILVA MONITA SERTIFIKAT BerAKHLAK</v>
      </c>
      <c r="K4172" s="5" t="s">
        <v>27657</v>
      </c>
      <c r="L4172" s="5" t="s">
        <v>27960</v>
      </c>
      <c r="M4172" s="5" t="s">
        <v>27961</v>
      </c>
      <c r="N4172" s="7" t="s">
        <v>27962</v>
      </c>
      <c r="O4172" s="8" t="str">
        <f>HYPERLINK("https://drive.google.com/file/d/104fps93AhP8NByEsudP9DJVfaW4g6vHq/view?usp=drivesdk","4171_SILVA MONITA _ SERTIFIKAT BerAKHLAK")</f>
        <v>4171_SILVA MONITA _ SERTIFIKAT BerAKHLAK</v>
      </c>
      <c r="P4172" s="5" t="s">
        <v>27948</v>
      </c>
    </row>
    <row r="4173">
      <c r="A4173" s="4">
        <v>45534.34993646991</v>
      </c>
      <c r="B4173" s="5" t="s">
        <v>34</v>
      </c>
      <c r="D4173" s="5" t="s">
        <v>1206</v>
      </c>
      <c r="E4173" s="5" t="s">
        <v>27963</v>
      </c>
      <c r="F4173" s="5" t="s">
        <v>37</v>
      </c>
      <c r="G4173" s="5" t="s">
        <v>27964</v>
      </c>
      <c r="H4173" s="6" t="s">
        <v>27965</v>
      </c>
      <c r="I4173" s="7" t="s">
        <v>27966</v>
      </c>
      <c r="J4173" s="8" t="str">
        <f>HYPERLINK("https://drive.google.com/file/d/1dFOWuheHKQD2s_LGBOV6prcIl0Caf8lU/view?usp=drivesdk","AGGUSTININGTYAS DWI HARINI, S.H. SERTIFIKAT BerAKHLAK")</f>
        <v>AGGUSTININGTYAS DWI HARINI, S.H. SERTIFIKAT BerAKHLAK</v>
      </c>
      <c r="K4173" s="5" t="s">
        <v>27657</v>
      </c>
      <c r="L4173" s="5" t="s">
        <v>27967</v>
      </c>
      <c r="M4173" s="5" t="s">
        <v>27968</v>
      </c>
      <c r="N4173" s="7" t="s">
        <v>27969</v>
      </c>
      <c r="O4173" s="8" t="str">
        <f>HYPERLINK("https://drive.google.com/file/d/1WChYyGJMXNP-zAM1CPTZNhhY0FY3c05Q/view?usp=drivesdk","4172_AGGUSTININGTYAS DWI HARINI, S.H. _ SERTIFIKAT BerAKHLAK")</f>
        <v>4172_AGGUSTININGTYAS DWI HARINI, S.H. _ SERTIFIKAT BerAKHLAK</v>
      </c>
      <c r="P4173" s="5" t="s">
        <v>27948</v>
      </c>
    </row>
    <row r="4174">
      <c r="A4174" s="4">
        <v>45534.349948773146</v>
      </c>
      <c r="B4174" s="5" t="s">
        <v>34</v>
      </c>
      <c r="D4174" s="5" t="s">
        <v>701</v>
      </c>
      <c r="E4174" s="5" t="s">
        <v>27970</v>
      </c>
      <c r="F4174" s="5" t="s">
        <v>108</v>
      </c>
      <c r="G4174" s="5" t="s">
        <v>27971</v>
      </c>
      <c r="H4174" s="6" t="s">
        <v>27972</v>
      </c>
      <c r="I4174" s="7" t="s">
        <v>27973</v>
      </c>
      <c r="J4174" s="8" t="str">
        <f>HYPERLINK("https://drive.google.com/file/d/1KPec4fgjK25ZKFXrFscn-SCSGZbUq-gc/view?usp=drivesdk","ROSMIATI SERTIFIKAT BerAKHLAK")</f>
        <v>ROSMIATI SERTIFIKAT BerAKHLAK</v>
      </c>
      <c r="K4174" s="5" t="s">
        <v>27657</v>
      </c>
      <c r="L4174" s="5" t="s">
        <v>27974</v>
      </c>
      <c r="M4174" s="5" t="s">
        <v>27975</v>
      </c>
      <c r="N4174" s="7" t="s">
        <v>27976</v>
      </c>
      <c r="O4174" s="8" t="str">
        <f>HYPERLINK("https://drive.google.com/file/d/1fAcFFaaWB1K3NDn7D-0Zj3xo7Kry7ku9/view?usp=drivesdk","4173_ROSMIATI _ SERTIFIKAT BerAKHLAK")</f>
        <v>4173_ROSMIATI _ SERTIFIKAT BerAKHLAK</v>
      </c>
      <c r="P4174" s="5" t="s">
        <v>27948</v>
      </c>
    </row>
    <row r="4175">
      <c r="A4175" s="4">
        <v>45534.3499669213</v>
      </c>
      <c r="B4175" s="5" t="s">
        <v>34</v>
      </c>
      <c r="D4175" s="5" t="s">
        <v>9020</v>
      </c>
      <c r="E4175" s="5" t="s">
        <v>27977</v>
      </c>
      <c r="F4175" s="5" t="s">
        <v>212</v>
      </c>
      <c r="G4175" s="5" t="s">
        <v>27978</v>
      </c>
      <c r="H4175" s="6" t="s">
        <v>27979</v>
      </c>
      <c r="I4175" s="7" t="s">
        <v>27980</v>
      </c>
      <c r="J4175" s="8" t="str">
        <f>HYPERLINK("https://drive.google.com/file/d/1Ts2FIU0ch3Sg_acHlYmQdCroZaiYwnK5/view?usp=drivesdk","NORVALIYANTI BR TARIGAN SERTIFIKAT BerAKHLAK")</f>
        <v>NORVALIYANTI BR TARIGAN SERTIFIKAT BerAKHLAK</v>
      </c>
      <c r="K4175" s="5" t="s">
        <v>27679</v>
      </c>
      <c r="L4175" s="5" t="s">
        <v>27981</v>
      </c>
      <c r="M4175" s="5" t="s">
        <v>27982</v>
      </c>
      <c r="N4175" s="7" t="s">
        <v>27983</v>
      </c>
      <c r="O4175" s="8" t="str">
        <f>HYPERLINK("https://drive.google.com/file/d/16clFXIG2H1GsyfQ7dwq5n4SiL_52yuss/view?usp=drivesdk","4174_NORVALIYANTI BR TARIGAN _ SERTIFIKAT BerAKHLAK")</f>
        <v>4174_NORVALIYANTI BR TARIGAN _ SERTIFIKAT BerAKHLAK</v>
      </c>
      <c r="P4175" s="5" t="s">
        <v>27984</v>
      </c>
    </row>
    <row r="4176">
      <c r="A4176" s="4">
        <v>45534.34996724537</v>
      </c>
      <c r="B4176" s="5" t="s">
        <v>34</v>
      </c>
      <c r="D4176" s="5" t="s">
        <v>267</v>
      </c>
      <c r="E4176" s="5" t="s">
        <v>27985</v>
      </c>
      <c r="F4176" s="5" t="s">
        <v>212</v>
      </c>
      <c r="G4176" s="5" t="s">
        <v>27986</v>
      </c>
      <c r="H4176" s="6" t="s">
        <v>27987</v>
      </c>
      <c r="K4176" s="5" t="s">
        <v>27988</v>
      </c>
      <c r="M4176" s="5" t="s">
        <v>27989</v>
      </c>
      <c r="N4176" s="7" t="s">
        <v>27990</v>
      </c>
      <c r="O4176" s="8" t="str">
        <f>HYPERLINK("https://drive.google.com/file/d/1VTU_XNrwNx4WcmH0ttY8p7sFglvlxWeC/view?usp=drivesdk","4175_KHUSNUL WARDAYATI _ SERTIFIKAT BerAKHLAK")</f>
        <v>4175_KHUSNUL WARDAYATI _ SERTIFIKAT BerAKHLAK</v>
      </c>
      <c r="P4176" s="5" t="s">
        <v>27984</v>
      </c>
    </row>
    <row r="4177">
      <c r="A4177" s="4">
        <v>45534.34997912037</v>
      </c>
      <c r="B4177" s="5" t="s">
        <v>34</v>
      </c>
      <c r="D4177" s="5" t="s">
        <v>280</v>
      </c>
      <c r="E4177" s="5" t="s">
        <v>21913</v>
      </c>
      <c r="F4177" s="5" t="s">
        <v>212</v>
      </c>
      <c r="G4177" s="5" t="s">
        <v>21914</v>
      </c>
      <c r="H4177" s="6" t="s">
        <v>27991</v>
      </c>
      <c r="K4177" s="5" t="s">
        <v>27992</v>
      </c>
      <c r="M4177" s="5" t="s">
        <v>27993</v>
      </c>
      <c r="N4177" s="7" t="s">
        <v>27994</v>
      </c>
      <c r="O4177" s="8" t="str">
        <f>HYPERLINK("https://drive.google.com/file/d/15elkWoDhBvSp26hGfhHRDhazJRQzBJt7/view?usp=drivesdk","4176_ERLINAWATI _ SERTIFIKAT BerAKHLAK")</f>
        <v>4176_ERLINAWATI _ SERTIFIKAT BerAKHLAK</v>
      </c>
      <c r="P4177" s="5" t="s">
        <v>27984</v>
      </c>
    </row>
    <row r="4178">
      <c r="A4178" s="4">
        <v>45534.349983125</v>
      </c>
      <c r="B4178" s="5" t="s">
        <v>34</v>
      </c>
      <c r="D4178" s="5" t="s">
        <v>1206</v>
      </c>
      <c r="E4178" s="5" t="s">
        <v>27995</v>
      </c>
      <c r="F4178" s="5" t="s">
        <v>37</v>
      </c>
      <c r="G4178" s="5" t="s">
        <v>27996</v>
      </c>
      <c r="H4178" s="6" t="s">
        <v>27997</v>
      </c>
      <c r="K4178" s="5" t="s">
        <v>27992</v>
      </c>
      <c r="M4178" s="5" t="s">
        <v>27998</v>
      </c>
      <c r="N4178" s="7" t="s">
        <v>27999</v>
      </c>
      <c r="O4178" s="8" t="str">
        <f>HYPERLINK("https://drive.google.com/file/d/1Wf-EaLoZi0FGvD_KitWccIq7a8HEfh7v/view?usp=drivesdk","4177_EKO WIDODO _ SERTIFIKAT BerAKHLAK")</f>
        <v>4177_EKO WIDODO _ SERTIFIKAT BerAKHLAK</v>
      </c>
      <c r="P4178" s="5" t="s">
        <v>27984</v>
      </c>
    </row>
    <row r="4179">
      <c r="A4179" s="4">
        <v>45534.34998759259</v>
      </c>
      <c r="B4179" s="5" t="s">
        <v>34</v>
      </c>
      <c r="D4179" s="5" t="s">
        <v>9020</v>
      </c>
      <c r="E4179" s="5" t="s">
        <v>28000</v>
      </c>
      <c r="F4179" s="5" t="s">
        <v>212</v>
      </c>
      <c r="G4179" s="5" t="s">
        <v>28001</v>
      </c>
      <c r="H4179" s="6" t="s">
        <v>28002</v>
      </c>
      <c r="K4179" s="5" t="s">
        <v>27992</v>
      </c>
      <c r="M4179" s="5" t="s">
        <v>28003</v>
      </c>
      <c r="N4179" s="7" t="s">
        <v>28004</v>
      </c>
      <c r="O4179" s="8" t="str">
        <f>HYPERLINK("https://drive.google.com/file/d/17njq8X_q0ByjyBeLw-c4Xh1HQCrS9zx-/view?usp=drivesdk","4178_NARDATI _ SERTIFIKAT BerAKHLAK")</f>
        <v>4178_NARDATI _ SERTIFIKAT BerAKHLAK</v>
      </c>
      <c r="P4179" s="5" t="s">
        <v>27984</v>
      </c>
    </row>
    <row r="4180">
      <c r="A4180" s="4">
        <v>45534.349990243056</v>
      </c>
      <c r="B4180" s="5" t="s">
        <v>34</v>
      </c>
      <c r="D4180" s="5" t="s">
        <v>1558</v>
      </c>
      <c r="E4180" s="5" t="s">
        <v>28005</v>
      </c>
      <c r="F4180" s="5" t="s">
        <v>375</v>
      </c>
      <c r="G4180" s="5" t="s">
        <v>28006</v>
      </c>
      <c r="H4180" s="6" t="s">
        <v>28007</v>
      </c>
      <c r="K4180" s="5" t="s">
        <v>27992</v>
      </c>
      <c r="M4180" s="5" t="s">
        <v>28008</v>
      </c>
      <c r="N4180" s="7" t="s">
        <v>28009</v>
      </c>
      <c r="O4180" s="8" t="str">
        <f>HYPERLINK("https://drive.google.com/file/d/1IRaZETHjA_Bj-AuN061mL48Sou3k6Uiv/view?usp=drivesdk","4179_YULIANI SARIWATY SIREGAR, S.KOM., M.Tr.A.P. _ SERTIFIKAT BerAKHLAK")</f>
        <v>4179_YULIANI SARIWATY SIREGAR, S.KOM., M.Tr.A.P. _ SERTIFIKAT BerAKHLAK</v>
      </c>
      <c r="P4180" s="5" t="s">
        <v>28010</v>
      </c>
    </row>
    <row r="4181">
      <c r="A4181" s="4">
        <v>45534.34999108796</v>
      </c>
      <c r="B4181" s="5" t="s">
        <v>34</v>
      </c>
      <c r="D4181" s="5" t="s">
        <v>10444</v>
      </c>
      <c r="E4181" s="5" t="s">
        <v>28011</v>
      </c>
      <c r="F4181" s="5" t="s">
        <v>72</v>
      </c>
      <c r="G4181" s="5" t="s">
        <v>28012</v>
      </c>
      <c r="H4181" s="6" t="s">
        <v>28013</v>
      </c>
      <c r="K4181" s="5" t="s">
        <v>27992</v>
      </c>
      <c r="M4181" s="5" t="s">
        <v>28014</v>
      </c>
      <c r="N4181" s="7" t="s">
        <v>28015</v>
      </c>
      <c r="O4181" s="8" t="str">
        <f>HYPERLINK("https://drive.google.com/file/d/1Q0tbVVGIZ83Vl8yq37bTwh6nh8Rm4FSN/view?usp=drivesdk","4180_IMANUDDIN ST _ SERTIFIKAT BerAKHLAK")</f>
        <v>4180_IMANUDDIN ST _ SERTIFIKAT BerAKHLAK</v>
      </c>
      <c r="P4181" s="5" t="s">
        <v>28010</v>
      </c>
    </row>
    <row r="4182">
      <c r="A4182" s="4">
        <v>45534.34999436342</v>
      </c>
      <c r="B4182" s="5" t="s">
        <v>34</v>
      </c>
      <c r="D4182" s="5" t="s">
        <v>9020</v>
      </c>
      <c r="E4182" s="5" t="s">
        <v>28016</v>
      </c>
      <c r="F4182" s="5" t="s">
        <v>212</v>
      </c>
      <c r="G4182" s="5" t="s">
        <v>28017</v>
      </c>
      <c r="H4182" s="6" t="s">
        <v>28018</v>
      </c>
      <c r="K4182" s="5" t="s">
        <v>27992</v>
      </c>
      <c r="M4182" s="5" t="s">
        <v>28019</v>
      </c>
      <c r="N4182" s="7" t="s">
        <v>28020</v>
      </c>
      <c r="O4182" s="8" t="str">
        <f>HYPERLINK("https://drive.google.com/file/d/12atWxio_tR_vqZuDi-mdFmbbs-85aJKZ/view?usp=drivesdk","4181_JUBAIDAH _ SERTIFIKAT BerAKHLAK")</f>
        <v>4181_JUBAIDAH _ SERTIFIKAT BerAKHLAK</v>
      </c>
      <c r="P4182" s="5" t="s">
        <v>28010</v>
      </c>
    </row>
    <row r="4183">
      <c r="A4183" s="4">
        <v>45534.34999497685</v>
      </c>
      <c r="B4183" s="5" t="s">
        <v>34</v>
      </c>
      <c r="D4183" s="5" t="s">
        <v>604</v>
      </c>
      <c r="E4183" s="5" t="s">
        <v>28021</v>
      </c>
      <c r="F4183" s="5" t="s">
        <v>108</v>
      </c>
      <c r="G4183" s="5" t="s">
        <v>28022</v>
      </c>
      <c r="H4183" s="6" t="s">
        <v>28023</v>
      </c>
      <c r="K4183" s="5" t="s">
        <v>27992</v>
      </c>
      <c r="M4183" s="5" t="s">
        <v>28024</v>
      </c>
      <c r="N4183" s="7" t="s">
        <v>28025</v>
      </c>
      <c r="O4183" s="8" t="str">
        <f>HYPERLINK("https://drive.google.com/file/d/1zjfbBqJ1Fc1hfvgWF6jxkpWwdJL4p9m-/view?usp=drivesdk","4182_IRIYANI _ SERTIFIKAT BerAKHLAK")</f>
        <v>4182_IRIYANI _ SERTIFIKAT BerAKHLAK</v>
      </c>
      <c r="P4183" s="5" t="s">
        <v>28010</v>
      </c>
    </row>
    <row r="4184" hidden="1">
      <c r="A4184" s="4">
        <v>45534.350007175926</v>
      </c>
      <c r="B4184" s="5" t="s">
        <v>19</v>
      </c>
      <c r="C4184" s="5" t="s">
        <v>292</v>
      </c>
      <c r="E4184" s="5" t="s">
        <v>28026</v>
      </c>
      <c r="F4184" s="5" t="s">
        <v>108</v>
      </c>
      <c r="G4184" s="5" t="s">
        <v>28027</v>
      </c>
      <c r="H4184" s="6" t="s">
        <v>28028</v>
      </c>
      <c r="K4184" s="5" t="s">
        <v>27992</v>
      </c>
      <c r="M4184" s="5" t="s">
        <v>28029</v>
      </c>
      <c r="N4184" s="7" t="s">
        <v>28030</v>
      </c>
      <c r="O4184" s="8" t="str">
        <f>HYPERLINK("https://drive.google.com/file/d/1r6_zVJLYKUA_xupeE5ORsQqxGYoA8qRH/view?usp=drivesdk","4183_DEDEN BAYU SAPUTRA, S.Gz. _ SERTIFIKAT BerAKHLAK")</f>
        <v>4183_DEDEN BAYU SAPUTRA, S.Gz. _ SERTIFIKAT BerAKHLAK</v>
      </c>
      <c r="P4184" s="5" t="s">
        <v>28010</v>
      </c>
    </row>
    <row r="4185">
      <c r="A4185" s="4">
        <v>45534.35001925926</v>
      </c>
      <c r="B4185" s="5" t="s">
        <v>34</v>
      </c>
      <c r="D4185" s="5" t="s">
        <v>1206</v>
      </c>
      <c r="E4185" s="5" t="s">
        <v>28031</v>
      </c>
      <c r="F4185" s="5" t="s">
        <v>108</v>
      </c>
      <c r="G4185" s="5" t="s">
        <v>28032</v>
      </c>
      <c r="H4185" s="6" t="s">
        <v>28033</v>
      </c>
      <c r="K4185" s="5" t="s">
        <v>27992</v>
      </c>
      <c r="M4185" s="5" t="s">
        <v>28034</v>
      </c>
      <c r="N4185" s="7" t="s">
        <v>28035</v>
      </c>
      <c r="O4185" s="8" t="str">
        <f>HYPERLINK("https://drive.google.com/file/d/1IwwZ5iJgQ0JpOSqVrEW4Dqzw17rfsFRe/view?usp=drivesdk","4184_SUBAGIYO, SE _ SERTIFIKAT BerAKHLAK")</f>
        <v>4184_SUBAGIYO, SE _ SERTIFIKAT BerAKHLAK</v>
      </c>
      <c r="P4185" s="5" t="s">
        <v>28036</v>
      </c>
    </row>
    <row r="4186">
      <c r="A4186" s="4">
        <v>45534.35001978009</v>
      </c>
      <c r="B4186" s="5" t="s">
        <v>34</v>
      </c>
      <c r="D4186" s="5" t="s">
        <v>1206</v>
      </c>
      <c r="E4186" s="5" t="s">
        <v>27528</v>
      </c>
      <c r="F4186" s="5" t="s">
        <v>328</v>
      </c>
      <c r="G4186" s="5" t="s">
        <v>28037</v>
      </c>
      <c r="H4186" s="6" t="s">
        <v>28038</v>
      </c>
      <c r="K4186" s="5" t="s">
        <v>27992</v>
      </c>
      <c r="M4186" s="5" t="s">
        <v>28039</v>
      </c>
      <c r="N4186" s="7" t="s">
        <v>28040</v>
      </c>
      <c r="O4186" s="8" t="str">
        <f>HYPERLINK("https://drive.google.com/file/d/1Kuf7kM8zVjPR6DFnhDNfQ1kuqwTp9eVd/view?usp=drivesdk","4185_SUMADI _ SERTIFIKAT BerAKHLAK")</f>
        <v>4185_SUMADI _ SERTIFIKAT BerAKHLAK</v>
      </c>
      <c r="P4186" s="5" t="s">
        <v>28036</v>
      </c>
    </row>
    <row r="4187">
      <c r="A4187" s="4">
        <v>45534.35002189815</v>
      </c>
      <c r="B4187" s="5" t="s">
        <v>34</v>
      </c>
      <c r="D4187" s="5" t="s">
        <v>9020</v>
      </c>
      <c r="E4187" s="5" t="s">
        <v>28041</v>
      </c>
      <c r="F4187" s="5" t="s">
        <v>212</v>
      </c>
      <c r="G4187" s="5" t="s">
        <v>28042</v>
      </c>
      <c r="H4187" s="6" t="s">
        <v>28043</v>
      </c>
      <c r="K4187" s="5" t="s">
        <v>27992</v>
      </c>
      <c r="M4187" s="5" t="s">
        <v>28044</v>
      </c>
      <c r="N4187" s="7" t="s">
        <v>28045</v>
      </c>
      <c r="O4187" s="8" t="str">
        <f>HYPERLINK("https://drive.google.com/file/d/1srWuhkk1CpXcyhjDhpDMQlxvUcvNhbUy/view?usp=drivesdk","4186_DEWI WAHYUNI, A. Md _ SERTIFIKAT BerAKHLAK")</f>
        <v>4186_DEWI WAHYUNI, A. Md _ SERTIFIKAT BerAKHLAK</v>
      </c>
      <c r="P4187" s="5" t="s">
        <v>28036</v>
      </c>
    </row>
    <row r="4188">
      <c r="A4188" s="4">
        <v>45534.350027974535</v>
      </c>
      <c r="B4188" s="5" t="s">
        <v>34</v>
      </c>
      <c r="D4188" s="5" t="s">
        <v>9020</v>
      </c>
      <c r="E4188" s="5" t="s">
        <v>28046</v>
      </c>
      <c r="F4188" s="5" t="s">
        <v>37</v>
      </c>
      <c r="G4188" s="5" t="s">
        <v>28047</v>
      </c>
      <c r="H4188" s="6" t="s">
        <v>28048</v>
      </c>
      <c r="K4188" s="5" t="s">
        <v>27992</v>
      </c>
      <c r="M4188" s="5" t="s">
        <v>28049</v>
      </c>
      <c r="N4188" s="7" t="s">
        <v>28050</v>
      </c>
      <c r="O4188" s="8" t="str">
        <f>HYPERLINK("https://drive.google.com/file/d/1rlaacIHsY1MSFHRHYkPWCnlARXOaITLw/view?usp=drivesdk","4187_ALVIN ANDRIAN _ SERTIFIKAT BerAKHLAK")</f>
        <v>4187_ALVIN ANDRIAN _ SERTIFIKAT BerAKHLAK</v>
      </c>
      <c r="P4188" s="5" t="s">
        <v>28036</v>
      </c>
    </row>
    <row r="4189">
      <c r="A4189" s="4">
        <v>45534.35003584491</v>
      </c>
      <c r="B4189" s="5" t="s">
        <v>34</v>
      </c>
      <c r="D4189" s="5" t="s">
        <v>9020</v>
      </c>
      <c r="E4189" s="5" t="s">
        <v>28051</v>
      </c>
      <c r="F4189" s="5" t="s">
        <v>212</v>
      </c>
      <c r="G4189" s="5" t="s">
        <v>28052</v>
      </c>
      <c r="H4189" s="6" t="s">
        <v>28053</v>
      </c>
      <c r="K4189" s="5" t="s">
        <v>27992</v>
      </c>
      <c r="M4189" s="5" t="s">
        <v>28054</v>
      </c>
      <c r="N4189" s="7" t="s">
        <v>28055</v>
      </c>
      <c r="O4189" s="8" t="str">
        <f>HYPERLINK("https://drive.google.com/file/d/1f5JiKa1qULqWvu7Lhd0-yCggvLJZT-Pe/view?usp=drivesdk","4188_SUWARTIK _ SERTIFIKAT BerAKHLAK")</f>
        <v>4188_SUWARTIK _ SERTIFIKAT BerAKHLAK</v>
      </c>
      <c r="P4189" s="5" t="s">
        <v>28056</v>
      </c>
    </row>
    <row r="4190">
      <c r="A4190" s="4">
        <v>45534.35004128472</v>
      </c>
      <c r="B4190" s="5" t="s">
        <v>34</v>
      </c>
      <c r="D4190" s="5" t="s">
        <v>4775</v>
      </c>
      <c r="E4190" s="5" t="s">
        <v>28057</v>
      </c>
      <c r="F4190" s="5" t="s">
        <v>199</v>
      </c>
      <c r="G4190" s="5" t="s">
        <v>28058</v>
      </c>
      <c r="H4190" s="6" t="s">
        <v>28059</v>
      </c>
      <c r="K4190" s="5" t="s">
        <v>27992</v>
      </c>
      <c r="M4190" s="5" t="s">
        <v>28060</v>
      </c>
      <c r="N4190" s="7" t="s">
        <v>28061</v>
      </c>
      <c r="O4190" s="8" t="str">
        <f>HYPERLINK("https://drive.google.com/file/d/1ywMQoI5Pq6ManjWH1rQgWEcUq2hvr15a/view?usp=drivesdk","4189_DWI HARTANTO _ SERTIFIKAT BerAKHLAK")</f>
        <v>4189_DWI HARTANTO _ SERTIFIKAT BerAKHLAK</v>
      </c>
      <c r="P4190" s="5" t="s">
        <v>28056</v>
      </c>
    </row>
    <row r="4191">
      <c r="A4191" s="4">
        <v>45534.35004902778</v>
      </c>
      <c r="B4191" s="5" t="s">
        <v>34</v>
      </c>
      <c r="D4191" s="5" t="s">
        <v>4775</v>
      </c>
      <c r="E4191" s="5" t="s">
        <v>28062</v>
      </c>
      <c r="F4191" s="5" t="s">
        <v>212</v>
      </c>
      <c r="G4191" s="5" t="s">
        <v>28063</v>
      </c>
      <c r="H4191" s="6" t="s">
        <v>28064</v>
      </c>
      <c r="K4191" s="5" t="s">
        <v>27992</v>
      </c>
      <c r="M4191" s="5" t="s">
        <v>28065</v>
      </c>
      <c r="N4191" s="7" t="s">
        <v>28066</v>
      </c>
      <c r="O4191" s="8" t="str">
        <f>HYPERLINK("https://drive.google.com/file/d/1so8OCJ-_FugZc35UNigP-uY32QLmQc2X/view?usp=drivesdk","4190_SOIM ASNAWI, S.H. _ SERTIFIKAT BerAKHLAK")</f>
        <v>4190_SOIM ASNAWI, S.H. _ SERTIFIKAT BerAKHLAK</v>
      </c>
      <c r="P4191" s="5" t="s">
        <v>28056</v>
      </c>
    </row>
    <row r="4192">
      <c r="A4192" s="4">
        <v>45534.350056828705</v>
      </c>
      <c r="B4192" s="5" t="s">
        <v>34</v>
      </c>
      <c r="D4192" s="5" t="s">
        <v>1768</v>
      </c>
      <c r="E4192" s="5" t="s">
        <v>28067</v>
      </c>
      <c r="F4192" s="5" t="s">
        <v>120</v>
      </c>
      <c r="G4192" s="5" t="s">
        <v>28068</v>
      </c>
      <c r="H4192" s="6" t="s">
        <v>28069</v>
      </c>
      <c r="K4192" s="5" t="s">
        <v>27992</v>
      </c>
      <c r="M4192" s="5" t="s">
        <v>28070</v>
      </c>
      <c r="N4192" s="7" t="s">
        <v>28071</v>
      </c>
      <c r="O4192" s="8" t="str">
        <f>HYPERLINK("https://drive.google.com/file/d/1AZBWTMIi3RsymUyBk8cX8WWMNm2Jlf8S/view?usp=drivesdk","4191_AMI NOVIANA PANGKONG _ SERTIFIKAT BerAKHLAK")</f>
        <v>4191_AMI NOVIANA PANGKONG _ SERTIFIKAT BerAKHLAK</v>
      </c>
      <c r="P4192" s="5" t="s">
        <v>28056</v>
      </c>
    </row>
    <row r="4193">
      <c r="A4193" s="4">
        <v>45534.35005898148</v>
      </c>
      <c r="B4193" s="5" t="s">
        <v>34</v>
      </c>
      <c r="D4193" s="5" t="s">
        <v>4775</v>
      </c>
      <c r="E4193" s="5" t="s">
        <v>24213</v>
      </c>
      <c r="F4193" s="5" t="s">
        <v>375</v>
      </c>
      <c r="G4193" s="5" t="s">
        <v>24214</v>
      </c>
      <c r="H4193" s="6" t="s">
        <v>28072</v>
      </c>
      <c r="K4193" s="5" t="s">
        <v>27992</v>
      </c>
      <c r="M4193" s="5" t="s">
        <v>28073</v>
      </c>
      <c r="N4193" s="7" t="s">
        <v>28074</v>
      </c>
      <c r="O4193" s="8" t="str">
        <f>HYPERLINK("https://drive.google.com/file/d/1gka5_tCI6icGgZdMx9DuTtQlbwk7B8U0/view?usp=drivesdk","4192_PANUWUN PRIO HUTOMO, S.Kom _ SERTIFIKAT BerAKHLAK")</f>
        <v>4192_PANUWUN PRIO HUTOMO, S.Kom _ SERTIFIKAT BerAKHLAK</v>
      </c>
      <c r="P4193" s="5" t="s">
        <v>28075</v>
      </c>
    </row>
    <row r="4194">
      <c r="A4194" s="4">
        <v>45534.35005903935</v>
      </c>
      <c r="B4194" s="5" t="s">
        <v>34</v>
      </c>
      <c r="D4194" s="5" t="s">
        <v>35</v>
      </c>
      <c r="E4194" s="5" t="s">
        <v>28076</v>
      </c>
      <c r="F4194" s="5" t="s">
        <v>798</v>
      </c>
      <c r="G4194" s="5" t="s">
        <v>28077</v>
      </c>
      <c r="H4194" s="6" t="s">
        <v>28078</v>
      </c>
      <c r="K4194" s="5" t="s">
        <v>27992</v>
      </c>
      <c r="M4194" s="5" t="s">
        <v>28079</v>
      </c>
      <c r="N4194" s="7" t="s">
        <v>28080</v>
      </c>
      <c r="O4194" s="8" t="str">
        <f>HYPERLINK("https://drive.google.com/file/d/1o19QMSUOTaO5-EGU1fDhRNJ8iA6Tww-m/view?usp=drivesdk","4193_NURTOYIB, S.H. _ SERTIFIKAT BerAKHLAK")</f>
        <v>4193_NURTOYIB, S.H. _ SERTIFIKAT BerAKHLAK</v>
      </c>
      <c r="P4194" s="5" t="s">
        <v>28075</v>
      </c>
    </row>
    <row r="4195">
      <c r="A4195" s="4">
        <v>45534.35006049769</v>
      </c>
      <c r="B4195" s="5" t="s">
        <v>34</v>
      </c>
      <c r="D4195" s="5" t="s">
        <v>12978</v>
      </c>
      <c r="E4195" s="5" t="s">
        <v>28081</v>
      </c>
      <c r="F4195" s="5" t="s">
        <v>108</v>
      </c>
      <c r="G4195" s="5" t="s">
        <v>28082</v>
      </c>
      <c r="H4195" s="6" t="s">
        <v>28083</v>
      </c>
      <c r="K4195" s="5" t="s">
        <v>27992</v>
      </c>
      <c r="M4195" s="5" t="s">
        <v>28084</v>
      </c>
      <c r="N4195" s="7" t="s">
        <v>28085</v>
      </c>
      <c r="O4195" s="8" t="str">
        <f>HYPERLINK("https://drive.google.com/file/d/1Qqtwcs9hpMY3hAs2auH5IdyX1xKDxjf_/view?usp=drivesdk","4194_HARYONO  _ SERTIFIKAT BerAKHLAK")</f>
        <v>4194_HARYONO  _ SERTIFIKAT BerAKHLAK</v>
      </c>
      <c r="P4195" s="5" t="s">
        <v>28075</v>
      </c>
    </row>
    <row r="4196">
      <c r="A4196" s="4">
        <v>45534.3500612037</v>
      </c>
      <c r="B4196" s="5" t="s">
        <v>34</v>
      </c>
      <c r="D4196" s="5" t="s">
        <v>1206</v>
      </c>
      <c r="E4196" s="5" t="s">
        <v>28086</v>
      </c>
      <c r="F4196" s="5" t="s">
        <v>212</v>
      </c>
      <c r="G4196" s="5" t="s">
        <v>28087</v>
      </c>
      <c r="H4196" s="6" t="s">
        <v>28088</v>
      </c>
      <c r="K4196" s="5" t="s">
        <v>27992</v>
      </c>
      <c r="M4196" s="5" t="s">
        <v>28089</v>
      </c>
      <c r="N4196" s="7" t="s">
        <v>28090</v>
      </c>
      <c r="O4196" s="8" t="str">
        <f>HYPERLINK("https://drive.google.com/file/d/1vHT6BRli4e6tXH9B_gx3at_FKHcEnLX-/view?usp=drivesdk","4195_SITI MARDIYAH _ SERTIFIKAT BerAKHLAK")</f>
        <v>4195_SITI MARDIYAH _ SERTIFIKAT BerAKHLAK</v>
      </c>
      <c r="P4196" s="5" t="s">
        <v>28075</v>
      </c>
    </row>
    <row r="4197">
      <c r="A4197" s="4">
        <v>45534.350064178245</v>
      </c>
      <c r="B4197" s="5" t="s">
        <v>34</v>
      </c>
      <c r="D4197" s="5" t="s">
        <v>12978</v>
      </c>
      <c r="E4197" s="5" t="s">
        <v>28091</v>
      </c>
      <c r="F4197" s="5" t="s">
        <v>375</v>
      </c>
      <c r="G4197" s="5" t="s">
        <v>28092</v>
      </c>
      <c r="H4197" s="6" t="s">
        <v>28093</v>
      </c>
      <c r="K4197" s="5" t="s">
        <v>27992</v>
      </c>
      <c r="M4197" s="5" t="s">
        <v>28094</v>
      </c>
      <c r="N4197" s="7" t="s">
        <v>28095</v>
      </c>
      <c r="O4197" s="8" t="str">
        <f>HYPERLINK("https://drive.google.com/file/d/1XUSo7zOQvVrZPFaYGOgbixhDjaajk_Dy/view?usp=drivesdk","4196_DIANASARI. S.Kom, M.Si _ SERTIFIKAT BerAKHLAK")</f>
        <v>4196_DIANASARI. S.Kom, M.Si _ SERTIFIKAT BerAKHLAK</v>
      </c>
      <c r="P4197" s="5" t="s">
        <v>28075</v>
      </c>
    </row>
    <row r="4198">
      <c r="A4198" s="4">
        <v>45534.350069120366</v>
      </c>
      <c r="B4198" s="5" t="s">
        <v>34</v>
      </c>
      <c r="D4198" s="5" t="s">
        <v>604</v>
      </c>
      <c r="E4198" s="5" t="s">
        <v>28096</v>
      </c>
      <c r="F4198" s="5" t="s">
        <v>108</v>
      </c>
      <c r="G4198" s="5" t="s">
        <v>28097</v>
      </c>
      <c r="H4198" s="6" t="s">
        <v>28098</v>
      </c>
      <c r="K4198" s="5" t="s">
        <v>27992</v>
      </c>
      <c r="M4198" s="5" t="s">
        <v>28099</v>
      </c>
      <c r="N4198" s="7" t="s">
        <v>28100</v>
      </c>
      <c r="O4198" s="8" t="str">
        <f>HYPERLINK("https://drive.google.com/file/d/1vW7_hsgoXkQRF-JTOvDPa1s_dQW1KUqj/view?usp=drivesdk","4197_dr. REBEKA DESRIANI RADJA _ SERTIFIKAT BerAKHLAK")</f>
        <v>4197_dr. REBEKA DESRIANI RADJA _ SERTIFIKAT BerAKHLAK</v>
      </c>
      <c r="P4198" s="5" t="s">
        <v>28101</v>
      </c>
    </row>
    <row r="4199">
      <c r="A4199" s="4">
        <v>45534.35008508102</v>
      </c>
      <c r="B4199" s="5" t="s">
        <v>34</v>
      </c>
      <c r="D4199" s="5" t="s">
        <v>4775</v>
      </c>
      <c r="E4199" s="5" t="s">
        <v>28102</v>
      </c>
      <c r="F4199" s="5" t="s">
        <v>72</v>
      </c>
      <c r="G4199" s="5" t="s">
        <v>28103</v>
      </c>
      <c r="H4199" s="6" t="s">
        <v>28104</v>
      </c>
      <c r="I4199" s="7" t="s">
        <v>28105</v>
      </c>
      <c r="J4199" s="8" t="str">
        <f>HYPERLINK("https://drive.google.com/file/d/1V-RlqvnjuOlGTzdyMwHPE1YQ-3VySPMx/view?usp=drivesdk","ABDUl JALiL SERTIFIKAT BerAKHLAK")</f>
        <v>ABDUl JALiL SERTIFIKAT BerAKHLAK</v>
      </c>
      <c r="K4199" s="5" t="s">
        <v>27657</v>
      </c>
      <c r="L4199" s="5" t="s">
        <v>28106</v>
      </c>
      <c r="M4199" s="5" t="s">
        <v>28107</v>
      </c>
      <c r="N4199" s="7" t="s">
        <v>28108</v>
      </c>
      <c r="O4199" s="8" t="str">
        <f>HYPERLINK("https://drive.google.com/file/d/1lyZzq3twS6qBQu14LL5NK4fr0QJIc7YA/view?usp=drivesdk","4198_ABDUl JALiL _ SERTIFIKAT BerAKHLAK")</f>
        <v>4198_ABDUl JALiL _ SERTIFIKAT BerAKHLAK</v>
      </c>
      <c r="P4199" s="5" t="s">
        <v>28101</v>
      </c>
    </row>
    <row r="4200" hidden="1">
      <c r="A4200" s="4">
        <v>45534.35009738426</v>
      </c>
      <c r="B4200" s="5" t="s">
        <v>19</v>
      </c>
      <c r="C4200" s="5" t="s">
        <v>292</v>
      </c>
      <c r="E4200" s="5" t="s">
        <v>28109</v>
      </c>
      <c r="F4200" s="5" t="s">
        <v>72</v>
      </c>
      <c r="G4200" s="5" t="s">
        <v>28110</v>
      </c>
      <c r="H4200" s="6" t="s">
        <v>28111</v>
      </c>
      <c r="I4200" s="7" t="s">
        <v>28112</v>
      </c>
      <c r="J4200" s="8" t="str">
        <f>HYPERLINK("https://drive.google.com/file/d/1NmnE_A_zbyDFyjMlfhZSeO-BJGqpFm0J/view?usp=drivesdk","Siangga Wirapasi Buana SERTIFIKAT BerAKHLAK")</f>
        <v>Siangga Wirapasi Buana SERTIFIKAT BerAKHLAK</v>
      </c>
      <c r="K4200" s="5" t="s">
        <v>27657</v>
      </c>
      <c r="L4200" s="5" t="s">
        <v>28113</v>
      </c>
      <c r="M4200" s="5" t="s">
        <v>28114</v>
      </c>
      <c r="N4200" s="7" t="s">
        <v>28115</v>
      </c>
      <c r="O4200" s="8" t="str">
        <f>HYPERLINK("https://drive.google.com/file/d/1RDtQPt5XJDDa7ZqbU1HCkHiq6nPVfnMh/view?usp=drivesdk","4199_Siangga Wirapasi Buana _ SERTIFIKAT BerAKHLAK")</f>
        <v>4199_Siangga Wirapasi Buana _ SERTIFIKAT BerAKHLAK</v>
      </c>
      <c r="P4200" s="5" t="s">
        <v>28101</v>
      </c>
    </row>
    <row r="4201">
      <c r="A4201" s="4">
        <v>45534.35010202546</v>
      </c>
      <c r="B4201" s="5" t="s">
        <v>34</v>
      </c>
      <c r="D4201" s="5" t="s">
        <v>4775</v>
      </c>
      <c r="E4201" s="5" t="s">
        <v>28116</v>
      </c>
      <c r="F4201" s="5" t="s">
        <v>37</v>
      </c>
      <c r="G4201" s="5" t="s">
        <v>28117</v>
      </c>
      <c r="H4201" s="6" t="s">
        <v>28118</v>
      </c>
      <c r="I4201" s="7" t="s">
        <v>28119</v>
      </c>
      <c r="J4201" s="8" t="str">
        <f>HYPERLINK("https://drive.google.com/file/d/1-VUHHirePeb_ar6QZRZ3rY999Z05IEEU/view?usp=drivesdk","BUDIYANTO SERTIFIKAT BerAKHLAK")</f>
        <v>BUDIYANTO SERTIFIKAT BerAKHLAK</v>
      </c>
      <c r="K4201" s="5" t="s">
        <v>27657</v>
      </c>
      <c r="L4201" s="5" t="s">
        <v>28120</v>
      </c>
      <c r="M4201" s="5" t="s">
        <v>28121</v>
      </c>
      <c r="N4201" s="7" t="s">
        <v>28122</v>
      </c>
      <c r="O4201" s="8" t="str">
        <f>HYPERLINK("https://drive.google.com/file/d/1vva2c0LFFGd_El4iQ9gtSoC43gIcY7FP/view?usp=drivesdk","4200_BUDIYANTO _ SERTIFIKAT BerAKHLAK")</f>
        <v>4200_BUDIYANTO _ SERTIFIKAT BerAKHLAK</v>
      </c>
      <c r="P4201" s="5" t="s">
        <v>28101</v>
      </c>
    </row>
    <row r="4202">
      <c r="A4202" s="4">
        <v>45534.35014767361</v>
      </c>
      <c r="B4202" s="5" t="s">
        <v>34</v>
      </c>
      <c r="D4202" s="5" t="s">
        <v>1206</v>
      </c>
      <c r="E4202" s="5" t="s">
        <v>28123</v>
      </c>
      <c r="F4202" s="5" t="s">
        <v>524</v>
      </c>
      <c r="G4202" s="5" t="s">
        <v>28124</v>
      </c>
      <c r="H4202" s="6" t="s">
        <v>28125</v>
      </c>
      <c r="I4202" s="7" t="s">
        <v>28126</v>
      </c>
      <c r="J4202" s="8" t="str">
        <f>HYPERLINK("https://drive.google.com/file/d/14Cf6knXobAAkmZEFwCkfXSUVZjEW8TOm/view?usp=drivesdk","MOKH SALEH SERTIFIKAT BerAKHLAK")</f>
        <v>MOKH SALEH SERTIFIKAT BerAKHLAK</v>
      </c>
      <c r="K4202" s="5" t="s">
        <v>27657</v>
      </c>
      <c r="L4202" s="5" t="s">
        <v>28127</v>
      </c>
      <c r="M4202" s="5" t="s">
        <v>28128</v>
      </c>
      <c r="N4202" s="7" t="s">
        <v>28129</v>
      </c>
      <c r="O4202" s="8" t="str">
        <f>HYPERLINK("https://drive.google.com/file/d/1Aky6_ybY7P33lmN6z1zgFNugXkLRqrTe/view?usp=drivesdk","4201_MOKH SALEH _ SERTIFIKAT BerAKHLAK")</f>
        <v>4201_MOKH SALEH _ SERTIFIKAT BerAKHLAK</v>
      </c>
      <c r="P4202" s="5" t="s">
        <v>28101</v>
      </c>
    </row>
    <row r="4203">
      <c r="A4203" s="4">
        <v>45534.35014821759</v>
      </c>
      <c r="B4203" s="5" t="s">
        <v>34</v>
      </c>
      <c r="D4203" s="5" t="s">
        <v>1206</v>
      </c>
      <c r="E4203" s="5" t="s">
        <v>28130</v>
      </c>
      <c r="F4203" s="5" t="s">
        <v>212</v>
      </c>
      <c r="G4203" s="5" t="s">
        <v>28131</v>
      </c>
      <c r="H4203" s="6" t="s">
        <v>28132</v>
      </c>
      <c r="I4203" s="7" t="s">
        <v>28133</v>
      </c>
      <c r="J4203" s="8" t="str">
        <f>HYPERLINK("https://drive.google.com/file/d/1BooB-izGZOOtmaxWutoACwy6himUsZQT/view?usp=drivesdk","MOCHAMAD CHOMSIN SERTIFIKAT BerAKHLAK")</f>
        <v>MOCHAMAD CHOMSIN SERTIFIKAT BerAKHLAK</v>
      </c>
      <c r="K4203" s="5" t="s">
        <v>27657</v>
      </c>
      <c r="L4203" s="5" t="s">
        <v>28134</v>
      </c>
      <c r="M4203" s="5" t="s">
        <v>28135</v>
      </c>
      <c r="N4203" s="7" t="s">
        <v>28136</v>
      </c>
      <c r="O4203" s="8" t="str">
        <f>HYPERLINK("https://drive.google.com/file/d/1RNLdQSNp8Xe3DyytytErJTGeXQpFcPx1/view?usp=drivesdk","4202_MOCHAMAD CHOMSIN _ SERTIFIKAT BerAKHLAK")</f>
        <v>4202_MOCHAMAD CHOMSIN _ SERTIFIKAT BerAKHLAK</v>
      </c>
      <c r="P4203" s="5" t="s">
        <v>28137</v>
      </c>
    </row>
    <row r="4204">
      <c r="A4204" s="4">
        <v>45534.35015440972</v>
      </c>
      <c r="B4204" s="5" t="s">
        <v>34</v>
      </c>
      <c r="D4204" s="5" t="s">
        <v>9020</v>
      </c>
      <c r="E4204" s="5" t="s">
        <v>28138</v>
      </c>
      <c r="F4204" s="5" t="s">
        <v>37</v>
      </c>
      <c r="G4204" s="5" t="s">
        <v>28139</v>
      </c>
      <c r="H4204" s="6" t="s">
        <v>28140</v>
      </c>
      <c r="I4204" s="7" t="s">
        <v>28141</v>
      </c>
      <c r="J4204" s="8" t="str">
        <f>HYPERLINK("https://drive.google.com/file/d/1GFQWetifeqtono55JeJqQfkaGsNVCVeG/view?usp=drivesdk","SAMSUDDIN  SERTIFIKAT BerAKHLAK")</f>
        <v>SAMSUDDIN  SERTIFIKAT BerAKHLAK</v>
      </c>
      <c r="K4204" s="5" t="s">
        <v>27657</v>
      </c>
      <c r="L4204" s="5" t="s">
        <v>28142</v>
      </c>
      <c r="M4204" s="5" t="s">
        <v>28143</v>
      </c>
      <c r="N4204" s="7" t="s">
        <v>28144</v>
      </c>
      <c r="O4204" s="8" t="str">
        <f>HYPERLINK("https://drive.google.com/file/d/1SKvOTL2Hqt3fGUMgvNc4eXjh6gYsN-oI/view?usp=drivesdk","4203_SAMSUDDIN  _ SERTIFIKAT BerAKHLAK")</f>
        <v>4203_SAMSUDDIN  _ SERTIFIKAT BerAKHLAK</v>
      </c>
      <c r="P4204" s="5" t="s">
        <v>28137</v>
      </c>
    </row>
    <row r="4205">
      <c r="A4205" s="4">
        <v>45534.35016255787</v>
      </c>
      <c r="B4205" s="5" t="s">
        <v>34</v>
      </c>
      <c r="D4205" s="5" t="s">
        <v>35</v>
      </c>
      <c r="E4205" s="5" t="s">
        <v>28145</v>
      </c>
      <c r="F4205" s="5" t="s">
        <v>524</v>
      </c>
      <c r="G4205" s="5" t="s">
        <v>28146</v>
      </c>
      <c r="H4205" s="6" t="s">
        <v>28147</v>
      </c>
      <c r="I4205" s="7" t="s">
        <v>28148</v>
      </c>
      <c r="J4205" s="8" t="str">
        <f>HYPERLINK("https://drive.google.com/file/d/1fYP6cS52Ty-0eK4_mdqPvZ6OsbJeswSw/view?usp=drivesdk","NURKESI SERTIFIKAT BerAKHLAK")</f>
        <v>NURKESI SERTIFIKAT BerAKHLAK</v>
      </c>
      <c r="K4205" s="5" t="s">
        <v>27679</v>
      </c>
      <c r="L4205" s="5" t="s">
        <v>28149</v>
      </c>
      <c r="M4205" s="5" t="s">
        <v>28150</v>
      </c>
      <c r="N4205" s="7" t="s">
        <v>28151</v>
      </c>
      <c r="O4205" s="8" t="str">
        <f>HYPERLINK("https://drive.google.com/file/d/1eQn7hmQlaK8YjCmdVuvQ78qCGFICSPUI/view?usp=drivesdk","4204_NURKESI _ SERTIFIKAT BerAKHLAK")</f>
        <v>4204_NURKESI _ SERTIFIKAT BerAKHLAK</v>
      </c>
      <c r="P4205" s="5" t="s">
        <v>28137</v>
      </c>
    </row>
    <row r="4206">
      <c r="A4206" s="4">
        <v>45534.35016354166</v>
      </c>
      <c r="B4206" s="5" t="s">
        <v>34</v>
      </c>
      <c r="D4206" s="5" t="s">
        <v>4775</v>
      </c>
      <c r="E4206" s="5" t="s">
        <v>28152</v>
      </c>
      <c r="F4206" s="5" t="s">
        <v>212</v>
      </c>
      <c r="G4206" s="5" t="s">
        <v>28153</v>
      </c>
      <c r="H4206" s="6" t="s">
        <v>28154</v>
      </c>
      <c r="I4206" s="7" t="s">
        <v>28155</v>
      </c>
      <c r="J4206" s="8" t="str">
        <f>HYPERLINK("https://drive.google.com/file/d/1rC99Y-sOXAOTvK1Oecg8zOSsbZTGUeSB/view?usp=drivesdk","TRI HANDOKO SERTIFIKAT BerAKHLAK")</f>
        <v>TRI HANDOKO SERTIFIKAT BerAKHLAK</v>
      </c>
      <c r="K4206" s="5" t="s">
        <v>27657</v>
      </c>
      <c r="L4206" s="5" t="s">
        <v>28156</v>
      </c>
      <c r="M4206" s="5" t="s">
        <v>28157</v>
      </c>
      <c r="N4206" s="7" t="s">
        <v>28158</v>
      </c>
      <c r="O4206" s="8" t="str">
        <f>HYPERLINK("https://drive.google.com/file/d/1zig-lmJVOTmstATHXnt1ijsgZVVqdoBU/view?usp=drivesdk","4205_TRI HANDOKO _ SERTIFIKAT BerAKHLAK")</f>
        <v>4205_TRI HANDOKO _ SERTIFIKAT BerAKHLAK</v>
      </c>
      <c r="P4206" s="5" t="s">
        <v>28137</v>
      </c>
    </row>
    <row r="4207">
      <c r="A4207" s="4">
        <v>45534.35016408565</v>
      </c>
      <c r="B4207" s="5" t="s">
        <v>34</v>
      </c>
      <c r="D4207" s="5" t="s">
        <v>1206</v>
      </c>
      <c r="E4207" s="5" t="s">
        <v>28159</v>
      </c>
      <c r="F4207" s="5" t="s">
        <v>37</v>
      </c>
      <c r="G4207" s="5" t="s">
        <v>28160</v>
      </c>
      <c r="H4207" s="6" t="s">
        <v>28161</v>
      </c>
      <c r="I4207" s="7" t="s">
        <v>28162</v>
      </c>
      <c r="J4207" s="8" t="str">
        <f>HYPERLINK("https://drive.google.com/file/d/1L9LW_3qtsmWdH4sqqrerzyIgOD3lnXwe/view?usp=drivesdk","MOCH HARIS SERTIFIKAT BerAKHLAK")</f>
        <v>MOCH HARIS SERTIFIKAT BerAKHLAK</v>
      </c>
      <c r="K4207" s="5" t="s">
        <v>27657</v>
      </c>
      <c r="L4207" s="5" t="s">
        <v>28163</v>
      </c>
      <c r="M4207" s="5" t="s">
        <v>28164</v>
      </c>
      <c r="N4207" s="7" t="s">
        <v>28165</v>
      </c>
      <c r="O4207" s="8" t="str">
        <f>HYPERLINK("https://drive.google.com/file/d/1yZhtjhakWI1jRPH5rc0kwtT2E7iW5LYC/view?usp=drivesdk","4206_MOCH HARIS _ SERTIFIKAT BerAKHLAK")</f>
        <v>4206_MOCH HARIS _ SERTIFIKAT BerAKHLAK</v>
      </c>
      <c r="P4207" s="5" t="s">
        <v>28137</v>
      </c>
    </row>
    <row r="4208" hidden="1">
      <c r="A4208" s="4">
        <v>45534.3501671875</v>
      </c>
      <c r="B4208" s="5" t="s">
        <v>19</v>
      </c>
      <c r="C4208" s="5" t="s">
        <v>292</v>
      </c>
      <c r="E4208" s="5" t="s">
        <v>28166</v>
      </c>
      <c r="F4208" s="5" t="s">
        <v>524</v>
      </c>
      <c r="G4208" s="5" t="s">
        <v>28167</v>
      </c>
      <c r="H4208" s="6" t="s">
        <v>28168</v>
      </c>
      <c r="I4208" s="7" t="s">
        <v>28169</v>
      </c>
      <c r="J4208" s="8" t="str">
        <f>HYPERLINK("https://drive.google.com/file/d/1sGJTYuDx3Si1pqbRAbGxS7CLS7TviwSO/view?usp=drivesdk","SRI HARYADI, SPd SERTIFIKAT BerAKHLAK")</f>
        <v>SRI HARYADI, SPd SERTIFIKAT BerAKHLAK</v>
      </c>
      <c r="K4208" s="5" t="s">
        <v>27679</v>
      </c>
      <c r="L4208" s="5" t="s">
        <v>28170</v>
      </c>
      <c r="M4208" s="5" t="s">
        <v>28171</v>
      </c>
      <c r="N4208" s="7" t="s">
        <v>28172</v>
      </c>
      <c r="O4208" s="8" t="str">
        <f>HYPERLINK("https://drive.google.com/file/d/18qRtjrpzPBTuz8teK3StXqPRDL8ANC3R/view?usp=drivesdk","4207_SRI HARYADI, SPd _ SERTIFIKAT BerAKHLAK")</f>
        <v>4207_SRI HARYADI, SPd _ SERTIFIKAT BerAKHLAK</v>
      </c>
      <c r="P4208" s="5" t="s">
        <v>28173</v>
      </c>
    </row>
    <row r="4209">
      <c r="A4209" s="4">
        <v>45534.350171886574</v>
      </c>
      <c r="B4209" s="5" t="s">
        <v>34</v>
      </c>
      <c r="D4209" s="5" t="s">
        <v>9020</v>
      </c>
      <c r="E4209" s="5" t="s">
        <v>28174</v>
      </c>
      <c r="F4209" s="5" t="s">
        <v>212</v>
      </c>
      <c r="G4209" s="5" t="s">
        <v>28175</v>
      </c>
      <c r="H4209" s="6" t="s">
        <v>28176</v>
      </c>
      <c r="K4209" s="5" t="s">
        <v>28177</v>
      </c>
      <c r="M4209" s="5" t="s">
        <v>28178</v>
      </c>
      <c r="N4209" s="7" t="s">
        <v>28179</v>
      </c>
      <c r="O4209" s="8" t="str">
        <f>HYPERLINK("https://drive.google.com/file/d/11CMf67sBRbGJUJ3pAm6NcylVJi2w5p3O/view?usp=drivesdk","4208_Adianta Ginting, SH _ SERTIFIKAT BerAKHLAK")</f>
        <v>4208_Adianta Ginting, SH _ SERTIFIKAT BerAKHLAK</v>
      </c>
      <c r="P4209" s="5" t="s">
        <v>28173</v>
      </c>
    </row>
    <row r="4210">
      <c r="A4210" s="4">
        <v>45534.35017200232</v>
      </c>
      <c r="B4210" s="5" t="s">
        <v>34</v>
      </c>
      <c r="D4210" s="5" t="s">
        <v>9394</v>
      </c>
      <c r="E4210" s="5" t="s">
        <v>28180</v>
      </c>
      <c r="F4210" s="5" t="s">
        <v>72</v>
      </c>
      <c r="G4210" s="5" t="s">
        <v>28181</v>
      </c>
      <c r="H4210" s="6" t="s">
        <v>28182</v>
      </c>
      <c r="K4210" s="5" t="s">
        <v>28177</v>
      </c>
      <c r="M4210" s="5" t="s">
        <v>28183</v>
      </c>
      <c r="N4210" s="7" t="s">
        <v>28184</v>
      </c>
      <c r="O4210" s="8" t="str">
        <f>HYPERLINK("https://drive.google.com/file/d/1O5jcJwWLiymCgw8qOV-EUdd3jR92sYrz/view?usp=drivesdk","4209_SOSNITA _ SERTIFIKAT BerAKHLAK")</f>
        <v>4209_SOSNITA _ SERTIFIKAT BerAKHLAK</v>
      </c>
      <c r="P4210" s="5" t="s">
        <v>28173</v>
      </c>
    </row>
    <row r="4211">
      <c r="A4211" s="4">
        <v>45534.35017327547</v>
      </c>
      <c r="B4211" s="5" t="s">
        <v>34</v>
      </c>
      <c r="D4211" s="5" t="s">
        <v>1206</v>
      </c>
      <c r="E4211" s="5" t="s">
        <v>28185</v>
      </c>
      <c r="F4211" s="5" t="s">
        <v>524</v>
      </c>
      <c r="G4211" s="5" t="s">
        <v>28186</v>
      </c>
      <c r="H4211" s="6" t="s">
        <v>28187</v>
      </c>
      <c r="K4211" s="5" t="s">
        <v>28177</v>
      </c>
      <c r="M4211" s="5" t="s">
        <v>28188</v>
      </c>
      <c r="N4211" s="7" t="s">
        <v>28189</v>
      </c>
      <c r="O4211" s="8" t="str">
        <f>HYPERLINK("https://drive.google.com/file/d/13bpuVC3hoYHwuFuYQ0lA4-PoyGmC8zGw/view?usp=drivesdk","4210_YUNDARWATI _ SERTIFIKAT BerAKHLAK")</f>
        <v>4210_YUNDARWATI _ SERTIFIKAT BerAKHLAK</v>
      </c>
      <c r="P4211" s="5" t="s">
        <v>28173</v>
      </c>
    </row>
    <row r="4212">
      <c r="A4212" s="4">
        <v>45534.35017908565</v>
      </c>
      <c r="B4212" s="5" t="s">
        <v>34</v>
      </c>
      <c r="D4212" s="5" t="s">
        <v>35</v>
      </c>
      <c r="E4212" s="5" t="s">
        <v>28190</v>
      </c>
      <c r="F4212" s="5" t="s">
        <v>72</v>
      </c>
      <c r="G4212" s="5" t="s">
        <v>28191</v>
      </c>
      <c r="H4212" s="6" t="s">
        <v>28192</v>
      </c>
      <c r="K4212" s="5" t="s">
        <v>28177</v>
      </c>
      <c r="M4212" s="5" t="s">
        <v>28193</v>
      </c>
      <c r="N4212" s="7" t="s">
        <v>28194</v>
      </c>
      <c r="O4212" s="8" t="str">
        <f>HYPERLINK("https://drive.google.com/file/d/1Z_OCrIFt9WPNJMbIgjGu8VGld0p6zhhX/view?usp=drivesdk","4211_SANDRA AYU MELINA, S.SI _ SERTIFIKAT BerAKHLAK")</f>
        <v>4211_SANDRA AYU MELINA, S.SI _ SERTIFIKAT BerAKHLAK</v>
      </c>
      <c r="P4212" s="5" t="s">
        <v>28195</v>
      </c>
    </row>
    <row r="4213">
      <c r="A4213" s="4">
        <v>45534.35018476852</v>
      </c>
      <c r="B4213" s="5" t="s">
        <v>34</v>
      </c>
      <c r="D4213" s="5" t="s">
        <v>9020</v>
      </c>
      <c r="E4213" s="5" t="s">
        <v>28196</v>
      </c>
      <c r="F4213" s="5" t="s">
        <v>524</v>
      </c>
      <c r="G4213" s="5" t="s">
        <v>28197</v>
      </c>
      <c r="H4213" s="6" t="s">
        <v>28198</v>
      </c>
      <c r="K4213" s="5" t="s">
        <v>28177</v>
      </c>
      <c r="M4213" s="5" t="s">
        <v>28199</v>
      </c>
      <c r="N4213" s="7" t="s">
        <v>28200</v>
      </c>
      <c r="O4213" s="8" t="str">
        <f>HYPERLINK("https://drive.google.com/file/d/11GUZBqauKWT7JcveaehD19Uc70AykBif/view?usp=drivesdk","4212_ABDUL SUWADY _ SERTIFIKAT BerAKHLAK")</f>
        <v>4212_ABDUL SUWADY _ SERTIFIKAT BerAKHLAK</v>
      </c>
      <c r="P4213" s="5" t="s">
        <v>28195</v>
      </c>
    </row>
    <row r="4214" hidden="1">
      <c r="A4214" s="4">
        <v>45534.35019203703</v>
      </c>
      <c r="B4214" s="5" t="s">
        <v>19</v>
      </c>
      <c r="C4214" s="5" t="s">
        <v>5564</v>
      </c>
      <c r="E4214" s="5" t="s">
        <v>28201</v>
      </c>
      <c r="F4214" s="5" t="s">
        <v>37</v>
      </c>
      <c r="G4214" s="5" t="s">
        <v>28202</v>
      </c>
      <c r="H4214" s="6" t="s">
        <v>28203</v>
      </c>
      <c r="K4214" s="5" t="s">
        <v>28177</v>
      </c>
      <c r="M4214" s="5" t="s">
        <v>28204</v>
      </c>
      <c r="N4214" s="7" t="s">
        <v>28205</v>
      </c>
      <c r="O4214" s="8" t="str">
        <f>HYPERLINK("https://drive.google.com/file/d/1NWkGcfIuPRKh17Hwuqwlmlwo9kv17Gfw/view?usp=drivesdk","4213_RAHMAT _ SERTIFIKAT BerAKHLAK")</f>
        <v>4213_RAHMAT _ SERTIFIKAT BerAKHLAK</v>
      </c>
      <c r="P4214" s="5" t="s">
        <v>28195</v>
      </c>
    </row>
    <row r="4215">
      <c r="A4215" s="4">
        <v>45534.35021048611</v>
      </c>
      <c r="B4215" s="5" t="s">
        <v>34</v>
      </c>
      <c r="D4215" s="5" t="s">
        <v>522</v>
      </c>
      <c r="E4215" s="5" t="s">
        <v>28206</v>
      </c>
      <c r="F4215" s="5" t="s">
        <v>37</v>
      </c>
      <c r="G4215" s="5" t="s">
        <v>28207</v>
      </c>
      <c r="H4215" s="6" t="s">
        <v>28208</v>
      </c>
      <c r="I4215" s="7" t="s">
        <v>28209</v>
      </c>
      <c r="J4215" s="8" t="str">
        <f>HYPERLINK("https://drive.google.com/file/d/10VWcKXtYueUucw2p0aHwZ6T8ki-DiaJV/view?usp=drivesdk","NOVITA PUTRI UTAMI, A.Md., Kep SERTIFIKAT BerAKHLAK")</f>
        <v>NOVITA PUTRI UTAMI, A.Md., Kep SERTIFIKAT BerAKHLAK</v>
      </c>
      <c r="K4215" s="5" t="s">
        <v>27657</v>
      </c>
      <c r="L4215" s="5" t="s">
        <v>28210</v>
      </c>
      <c r="M4215" s="5" t="s">
        <v>28211</v>
      </c>
      <c r="N4215" s="7" t="s">
        <v>28212</v>
      </c>
      <c r="O4215" s="8" t="str">
        <f>HYPERLINK("https://drive.google.com/file/d/1iJBD0-6FnPFA3G_M0a7136iFFyf1oI-R/view?usp=drivesdk","4214_NOVITA PUTRI UTAMI, A.Md., Kep _ SERTIFIKAT BerAKHLAK")</f>
        <v>4214_NOVITA PUTRI UTAMI, A.Md., Kep _ SERTIFIKAT BerAKHLAK</v>
      </c>
      <c r="P4215" s="5" t="s">
        <v>28195</v>
      </c>
    </row>
    <row r="4216">
      <c r="A4216" s="4">
        <v>45534.350210752316</v>
      </c>
      <c r="B4216" s="5" t="s">
        <v>34</v>
      </c>
      <c r="D4216" s="5" t="s">
        <v>12010</v>
      </c>
      <c r="E4216" s="5" t="s">
        <v>28213</v>
      </c>
      <c r="F4216" s="5" t="s">
        <v>108</v>
      </c>
      <c r="G4216" s="5" t="s">
        <v>28214</v>
      </c>
      <c r="H4216" s="6" t="s">
        <v>28215</v>
      </c>
      <c r="I4216" s="7" t="s">
        <v>28216</v>
      </c>
      <c r="J4216" s="8" t="str">
        <f>HYPERLINK("https://drive.google.com/file/d/16IrUZnSRqmRPl148FwBh9upjoA4a3O8_/view?usp=drivesdk","RUSNI RUSLAN DALI SERTIFIKAT BerAKHLAK")</f>
        <v>RUSNI RUSLAN DALI SERTIFIKAT BerAKHLAK</v>
      </c>
      <c r="K4216" s="5" t="s">
        <v>27657</v>
      </c>
      <c r="L4216" s="5" t="s">
        <v>28217</v>
      </c>
      <c r="M4216" s="5" t="s">
        <v>28218</v>
      </c>
      <c r="N4216" s="7" t="s">
        <v>28219</v>
      </c>
      <c r="O4216" s="8" t="str">
        <f>HYPERLINK("https://drive.google.com/file/d/1byxzp5_hm7wlE0sg5lfIXzQj0dc_U2kC/view?usp=drivesdk","4215_RUSNI RUSLAN DALI _ SERTIFIKAT BerAKHLAK")</f>
        <v>4215_RUSNI RUSLAN DALI _ SERTIFIKAT BerAKHLAK</v>
      </c>
      <c r="P4216" s="5" t="s">
        <v>28220</v>
      </c>
    </row>
    <row r="4217">
      <c r="A4217" s="4">
        <v>45534.350211377314</v>
      </c>
      <c r="B4217" s="5" t="s">
        <v>34</v>
      </c>
      <c r="D4217" s="5" t="s">
        <v>35</v>
      </c>
      <c r="E4217" s="5" t="s">
        <v>23997</v>
      </c>
      <c r="F4217" s="5" t="s">
        <v>37</v>
      </c>
      <c r="G4217" s="5" t="s">
        <v>28221</v>
      </c>
      <c r="H4217" s="6" t="s">
        <v>28222</v>
      </c>
      <c r="I4217" s="7" t="s">
        <v>28223</v>
      </c>
      <c r="J4217" s="8" t="str">
        <f>HYPERLINK("https://drive.google.com/file/d/1TbkaBkW85KI9v_FVntsjpaELJ-hmcnAq/view?usp=drivesdk","BUDI HERMAWANTO, S.IP. SERTIFIKAT BerAKHLAK")</f>
        <v>BUDI HERMAWANTO, S.IP. SERTIFIKAT BerAKHLAK</v>
      </c>
      <c r="K4217" s="5" t="s">
        <v>27679</v>
      </c>
      <c r="L4217" s="5" t="s">
        <v>28224</v>
      </c>
      <c r="M4217" s="5" t="s">
        <v>28225</v>
      </c>
      <c r="N4217" s="7" t="s">
        <v>28226</v>
      </c>
      <c r="O4217" s="8" t="str">
        <f>HYPERLINK("https://drive.google.com/file/d/1i5BBhDaC6S30bcCDxf7zTFJr75_tfirz/view?usp=drivesdk","4216_BUDI HERMAWANTO, S.IP. _ SERTIFIKAT BerAKHLAK")</f>
        <v>4216_BUDI HERMAWANTO, S.IP. _ SERTIFIKAT BerAKHLAK</v>
      </c>
      <c r="P4217" s="5" t="s">
        <v>28220</v>
      </c>
    </row>
    <row r="4218">
      <c r="A4218" s="4">
        <v>45534.35021826389</v>
      </c>
      <c r="B4218" s="5" t="s">
        <v>34</v>
      </c>
      <c r="D4218" s="5" t="s">
        <v>1206</v>
      </c>
      <c r="E4218" s="5" t="s">
        <v>28227</v>
      </c>
      <c r="F4218" s="5" t="s">
        <v>212</v>
      </c>
      <c r="G4218" s="5" t="s">
        <v>28228</v>
      </c>
      <c r="H4218" s="6" t="s">
        <v>28229</v>
      </c>
      <c r="I4218" s="7" t="s">
        <v>28230</v>
      </c>
      <c r="J4218" s="8" t="str">
        <f>HYPERLINK("https://drive.google.com/file/d/1WV-KijHFHRtMnrlu_CUKQzgHs-awAJ-w/view?usp=drivesdk","LUSI AGUSTINI, SE SERTIFIKAT BerAKHLAK")</f>
        <v>LUSI AGUSTINI, SE SERTIFIKAT BerAKHLAK</v>
      </c>
      <c r="K4218" s="5" t="s">
        <v>27679</v>
      </c>
      <c r="L4218" s="5" t="s">
        <v>28231</v>
      </c>
      <c r="M4218" s="5" t="s">
        <v>28232</v>
      </c>
      <c r="N4218" s="7" t="s">
        <v>28233</v>
      </c>
      <c r="O4218" s="8" t="str">
        <f>HYPERLINK("https://drive.google.com/file/d/1ZB_NLan-RJVEeEmgNYYEPxEycyGFLIr8/view?usp=drivesdk","4217_LUSI AGUSTINI, SE _ SERTIFIKAT BerAKHLAK")</f>
        <v>4217_LUSI AGUSTINI, SE _ SERTIFIKAT BerAKHLAK</v>
      </c>
      <c r="P4218" s="5" t="s">
        <v>28220</v>
      </c>
    </row>
    <row r="4219">
      <c r="A4219" s="4">
        <v>45534.350240775464</v>
      </c>
      <c r="B4219" s="5" t="s">
        <v>34</v>
      </c>
      <c r="D4219" s="5" t="s">
        <v>6232</v>
      </c>
      <c r="E4219" s="5" t="s">
        <v>28234</v>
      </c>
      <c r="F4219" s="5" t="s">
        <v>524</v>
      </c>
      <c r="G4219" s="5" t="s">
        <v>28235</v>
      </c>
      <c r="H4219" s="6" t="s">
        <v>28236</v>
      </c>
      <c r="I4219" s="7" t="s">
        <v>28237</v>
      </c>
      <c r="J4219" s="8" t="str">
        <f>HYPERLINK("https://drive.google.com/file/d/1rZy_yQWddM7OW504sdEpGXmZYOe9Gl1K/view?usp=drivesdk","HAPPY NAZIA, S.Pd. AUD SERTIFIKAT BerAKHLAK")</f>
        <v>HAPPY NAZIA, S.Pd. AUD SERTIFIKAT BerAKHLAK</v>
      </c>
      <c r="K4219" s="5" t="s">
        <v>27657</v>
      </c>
      <c r="L4219" s="5" t="s">
        <v>28238</v>
      </c>
      <c r="M4219" s="5" t="s">
        <v>28239</v>
      </c>
      <c r="N4219" s="7" t="s">
        <v>28240</v>
      </c>
      <c r="O4219" s="8" t="str">
        <f>HYPERLINK("https://drive.google.com/file/d/1WiOQLzN49F5P14Nkmy9XD6DkU-_Q6NYe/view?usp=drivesdk","4218_HAPPY NAZIA, S.Pd. AUD _ SERTIFIKAT BerAKHLAK")</f>
        <v>4218_HAPPY NAZIA, S.Pd. AUD _ SERTIFIKAT BerAKHLAK</v>
      </c>
      <c r="P4219" s="5" t="s">
        <v>28241</v>
      </c>
    </row>
    <row r="4220">
      <c r="A4220" s="4">
        <v>45534.35024489583</v>
      </c>
      <c r="B4220" s="5" t="s">
        <v>34</v>
      </c>
      <c r="D4220" s="5" t="s">
        <v>1206</v>
      </c>
      <c r="E4220" s="5" t="s">
        <v>28242</v>
      </c>
      <c r="F4220" s="5" t="s">
        <v>37</v>
      </c>
      <c r="G4220" s="5" t="s">
        <v>28243</v>
      </c>
      <c r="H4220" s="6" t="s">
        <v>28244</v>
      </c>
      <c r="I4220" s="7" t="s">
        <v>28245</v>
      </c>
      <c r="J4220" s="8" t="str">
        <f>HYPERLINK("https://drive.google.com/file/d/170uXcQaycfL5L5MGCkxbxsyzreo9YqI3/view?usp=drivesdk","NINIK DWI ERLINA SERTIFIKAT BerAKHLAK")</f>
        <v>NINIK DWI ERLINA SERTIFIKAT BerAKHLAK</v>
      </c>
      <c r="K4220" s="5" t="s">
        <v>27657</v>
      </c>
      <c r="L4220" s="5" t="s">
        <v>28246</v>
      </c>
      <c r="M4220" s="5" t="s">
        <v>28247</v>
      </c>
      <c r="N4220" s="7" t="s">
        <v>28248</v>
      </c>
      <c r="O4220" s="8" t="str">
        <f>HYPERLINK("https://drive.google.com/file/d/1oG9LZCqA0dEeTswAHAz9cacbfApIVj8X/view?usp=drivesdk","4219_NINIK DWI ERLINA _ SERTIFIKAT BerAKHLAK")</f>
        <v>4219_NINIK DWI ERLINA _ SERTIFIKAT BerAKHLAK</v>
      </c>
      <c r="P4220" s="5" t="s">
        <v>28241</v>
      </c>
    </row>
    <row r="4221">
      <c r="A4221" s="4">
        <v>45534.3502452199</v>
      </c>
      <c r="B4221" s="5" t="s">
        <v>34</v>
      </c>
      <c r="D4221" s="5" t="s">
        <v>1206</v>
      </c>
      <c r="E4221" s="5" t="s">
        <v>28249</v>
      </c>
      <c r="F4221" s="5" t="s">
        <v>37</v>
      </c>
      <c r="G4221" s="5" t="s">
        <v>28250</v>
      </c>
      <c r="H4221" s="6" t="s">
        <v>28251</v>
      </c>
      <c r="I4221" s="7" t="s">
        <v>28252</v>
      </c>
      <c r="J4221" s="8" t="str">
        <f>HYPERLINK("https://drive.google.com/file/d/1AjbaEr6tqbm7fg_xwkiwWphIaUwHp_45/view?usp=drivesdk","SITI MUTMAINAH SERTIFIKAT BerAKHLAK")</f>
        <v>SITI MUTMAINAH SERTIFIKAT BerAKHLAK</v>
      </c>
      <c r="K4221" s="5" t="s">
        <v>27657</v>
      </c>
      <c r="L4221" s="5" t="s">
        <v>28253</v>
      </c>
      <c r="M4221" s="5" t="s">
        <v>28254</v>
      </c>
      <c r="N4221" s="7" t="s">
        <v>28255</v>
      </c>
      <c r="O4221" s="8" t="str">
        <f>HYPERLINK("https://drive.google.com/file/d/1ET5L5NpPgSHx8xHw-XojGIGU18r_osq3/view?usp=drivesdk","4220_SITI MUTMAINAH _ SERTIFIKAT BerAKHLAK")</f>
        <v>4220_SITI MUTMAINAH _ SERTIFIKAT BerAKHLAK</v>
      </c>
      <c r="P4221" s="5" t="s">
        <v>28241</v>
      </c>
    </row>
    <row r="4222">
      <c r="A4222" s="4">
        <v>45534.350246064816</v>
      </c>
      <c r="B4222" s="5" t="s">
        <v>34</v>
      </c>
      <c r="D4222" s="5" t="s">
        <v>10444</v>
      </c>
      <c r="E4222" s="5" t="s">
        <v>28256</v>
      </c>
      <c r="F4222" s="5" t="s">
        <v>212</v>
      </c>
      <c r="G4222" s="5" t="s">
        <v>28257</v>
      </c>
      <c r="H4222" s="6" t="s">
        <v>28258</v>
      </c>
      <c r="I4222" s="7" t="s">
        <v>28259</v>
      </c>
      <c r="J4222" s="8" t="str">
        <f>HYPERLINK("https://drive.google.com/file/d/1yPVxcEA8HBVrWPmMs-n09oZJWp9C88B-/view?usp=drivesdk","INDAH OKTAVIANTI SERTIFIKAT BerAKHLAK")</f>
        <v>INDAH OKTAVIANTI SERTIFIKAT BerAKHLAK</v>
      </c>
      <c r="K4222" s="5" t="s">
        <v>27679</v>
      </c>
      <c r="L4222" s="5" t="s">
        <v>28260</v>
      </c>
      <c r="M4222" s="5" t="s">
        <v>28261</v>
      </c>
      <c r="N4222" s="7" t="s">
        <v>28262</v>
      </c>
      <c r="O4222" s="8" t="str">
        <f>HYPERLINK("https://drive.google.com/file/d/1glPv3quNGgg-rd2CMaFed_iihv7rRgwT/view?usp=drivesdk","4221_INDAH OKTAVIANTI _ SERTIFIKAT BerAKHLAK")</f>
        <v>4221_INDAH OKTAVIANTI _ SERTIFIKAT BerAKHLAK</v>
      </c>
      <c r="P4222" s="5" t="s">
        <v>28241</v>
      </c>
    </row>
    <row r="4223">
      <c r="A4223" s="4">
        <v>45534.35024810185</v>
      </c>
      <c r="B4223" s="5" t="s">
        <v>34</v>
      </c>
      <c r="D4223" s="5" t="s">
        <v>9020</v>
      </c>
      <c r="E4223" s="5" t="s">
        <v>28263</v>
      </c>
      <c r="F4223" s="5" t="s">
        <v>524</v>
      </c>
      <c r="G4223" s="5" t="s">
        <v>28264</v>
      </c>
      <c r="H4223" s="6" t="s">
        <v>28265</v>
      </c>
      <c r="I4223" s="7" t="s">
        <v>28266</v>
      </c>
      <c r="J4223" s="8" t="str">
        <f>HYPERLINK("https://drive.google.com/file/d/1zQuzQWFz1UkVukXrPWyyqjBltoJL3S9D/view?usp=drivesdk","FATIMAH SIAHAAN SH SERTIFIKAT BerAKHLAK")</f>
        <v>FATIMAH SIAHAAN SH SERTIFIKAT BerAKHLAK</v>
      </c>
      <c r="K4223" s="5" t="s">
        <v>27679</v>
      </c>
      <c r="L4223" s="5" t="s">
        <v>28267</v>
      </c>
      <c r="M4223" s="5" t="s">
        <v>28268</v>
      </c>
      <c r="N4223" s="7" t="s">
        <v>28269</v>
      </c>
      <c r="O4223" s="8" t="str">
        <f>HYPERLINK("https://drive.google.com/file/d/1q-PS6bQGaawYphgtqxajAwAsH-GCEXTz/view?usp=drivesdk","4222_FATIMAH SIAHAAN SH _ SERTIFIKAT BerAKHLAK")</f>
        <v>4222_FATIMAH SIAHAAN SH _ SERTIFIKAT BerAKHLAK</v>
      </c>
      <c r="P4223" s="5" t="s">
        <v>28270</v>
      </c>
    </row>
    <row r="4224" hidden="1">
      <c r="A4224" s="4">
        <v>45534.35025173611</v>
      </c>
      <c r="B4224" s="5" t="s">
        <v>19</v>
      </c>
      <c r="C4224" s="5" t="s">
        <v>292</v>
      </c>
      <c r="E4224" s="5" t="s">
        <v>28271</v>
      </c>
      <c r="F4224" s="5" t="s">
        <v>72</v>
      </c>
      <c r="G4224" s="5" t="s">
        <v>28272</v>
      </c>
      <c r="H4224" s="6" t="s">
        <v>28273</v>
      </c>
      <c r="I4224" s="7" t="s">
        <v>28274</v>
      </c>
      <c r="J4224" s="8" t="str">
        <f>HYPERLINK("https://drive.google.com/file/d/1Isjs3P9OO5oBJ3NJhpegFbEO8tmERr-1/view?usp=drivesdk","SASLI KUSUMA SERTIFIKAT BerAKHLAK")</f>
        <v>SASLI KUSUMA SERTIFIKAT BerAKHLAK</v>
      </c>
      <c r="K4224" s="5" t="s">
        <v>27679</v>
      </c>
      <c r="L4224" s="5" t="s">
        <v>28275</v>
      </c>
      <c r="M4224" s="5" t="s">
        <v>28276</v>
      </c>
      <c r="N4224" s="7" t="s">
        <v>28277</v>
      </c>
      <c r="O4224" s="8" t="str">
        <f>HYPERLINK("https://drive.google.com/file/d/1H8b5uRK-aXYjZ5MtXEkvXBr2AC0MLXt-/view?usp=drivesdk","4223_SASLI KUSUMA _ SERTIFIKAT BerAKHLAK")</f>
        <v>4223_SASLI KUSUMA _ SERTIFIKAT BerAKHLAK</v>
      </c>
      <c r="P4224" s="5" t="s">
        <v>28270</v>
      </c>
    </row>
    <row r="4225">
      <c r="A4225" s="4">
        <v>45534.35025778935</v>
      </c>
      <c r="B4225" s="5" t="s">
        <v>34</v>
      </c>
      <c r="D4225" s="5" t="s">
        <v>9020</v>
      </c>
      <c r="E4225" s="5" t="s">
        <v>28278</v>
      </c>
      <c r="F4225" s="5" t="s">
        <v>199</v>
      </c>
      <c r="G4225" s="5" t="s">
        <v>28279</v>
      </c>
      <c r="H4225" s="6" t="s">
        <v>28280</v>
      </c>
      <c r="K4225" s="5" t="s">
        <v>28281</v>
      </c>
      <c r="M4225" s="5" t="s">
        <v>28282</v>
      </c>
      <c r="N4225" s="7" t="s">
        <v>28283</v>
      </c>
      <c r="O4225" s="8" t="str">
        <f>HYPERLINK("https://drive.google.com/file/d/136Fem_aOlisXcJKuVazh6GdCMRupTJGK/view?usp=drivesdk","4224_SUAIB HIDAYAT _ SERTIFIKAT BerAKHLAK")</f>
        <v>4224_SUAIB HIDAYAT _ SERTIFIKAT BerAKHLAK</v>
      </c>
      <c r="P4225" s="5" t="s">
        <v>28270</v>
      </c>
    </row>
    <row r="4226">
      <c r="A4226" s="4">
        <v>45534.35026375</v>
      </c>
      <c r="B4226" s="5" t="s">
        <v>34</v>
      </c>
      <c r="D4226" s="5" t="s">
        <v>522</v>
      </c>
      <c r="E4226" s="5" t="s">
        <v>28284</v>
      </c>
      <c r="F4226" s="5" t="s">
        <v>375</v>
      </c>
      <c r="G4226" s="5" t="s">
        <v>28285</v>
      </c>
      <c r="H4226" s="6" t="s">
        <v>28286</v>
      </c>
      <c r="I4226" s="7" t="s">
        <v>28287</v>
      </c>
      <c r="J4226" s="8" t="str">
        <f>HYPERLINK("https://drive.google.com/file/d/1-bu0ThHDegsHn78jcl_gko_MF8VUCCle/view?usp=drivesdk","SAHLAN S.SOS SERTIFIKAT BerAKHLAK")</f>
        <v>SAHLAN S.SOS SERTIFIKAT BerAKHLAK</v>
      </c>
      <c r="K4226" s="5" t="s">
        <v>27657</v>
      </c>
      <c r="L4226" s="5" t="s">
        <v>28288</v>
      </c>
      <c r="M4226" s="5" t="s">
        <v>28289</v>
      </c>
      <c r="N4226" s="7" t="s">
        <v>28290</v>
      </c>
      <c r="O4226" s="8" t="str">
        <f>HYPERLINK("https://drive.google.com/file/d/1RTNyB5QKF5YFGtdNyzhe9mscyKIGhnXz/view?usp=drivesdk","4225_SAHLAN S.SOS _ SERTIFIKAT BerAKHLAK")</f>
        <v>4225_SAHLAN S.SOS _ SERTIFIKAT BerAKHLAK</v>
      </c>
      <c r="P4226" s="5" t="s">
        <v>28291</v>
      </c>
    </row>
    <row r="4227" hidden="1">
      <c r="A4227" s="4">
        <v>45534.35028878472</v>
      </c>
      <c r="B4227" s="5" t="s">
        <v>19</v>
      </c>
      <c r="C4227" s="5" t="s">
        <v>292</v>
      </c>
      <c r="E4227" s="5" t="s">
        <v>28292</v>
      </c>
      <c r="F4227" s="5" t="s">
        <v>375</v>
      </c>
      <c r="G4227" s="5" t="s">
        <v>28293</v>
      </c>
      <c r="H4227" s="6" t="s">
        <v>28294</v>
      </c>
      <c r="I4227" s="7" t="s">
        <v>28295</v>
      </c>
      <c r="J4227" s="8" t="str">
        <f>HYPERLINK("https://drive.google.com/file/d/1AP4IaGnt1F6_-pQvYn1Greye7KsZG4cU/view?usp=drivesdk","RINI PUSPADEWI SERTIFIKAT BerAKHLAK")</f>
        <v>RINI PUSPADEWI SERTIFIKAT BerAKHLAK</v>
      </c>
      <c r="K4227" s="5" t="s">
        <v>27657</v>
      </c>
      <c r="L4227" s="5" t="s">
        <v>28296</v>
      </c>
      <c r="M4227" s="5" t="s">
        <v>28297</v>
      </c>
      <c r="N4227" s="7" t="s">
        <v>28298</v>
      </c>
      <c r="O4227" s="8" t="str">
        <f>HYPERLINK("https://drive.google.com/file/d/1-52nQldwaWt7_AtT8N1SK-v6tPaqNujf/view?usp=drivesdk","4226_RINI PUSPADEWI _ SERTIFIKAT BerAKHLAK")</f>
        <v>4226_RINI PUSPADEWI _ SERTIFIKAT BerAKHLAK</v>
      </c>
      <c r="P4227" s="5" t="s">
        <v>28291</v>
      </c>
    </row>
    <row r="4228">
      <c r="A4228" s="4">
        <v>45534.350295763885</v>
      </c>
      <c r="B4228" s="5" t="s">
        <v>34</v>
      </c>
      <c r="D4228" s="5" t="s">
        <v>10444</v>
      </c>
      <c r="E4228" s="5" t="s">
        <v>28299</v>
      </c>
      <c r="F4228" s="5" t="s">
        <v>375</v>
      </c>
      <c r="G4228" s="5" t="s">
        <v>28300</v>
      </c>
      <c r="H4228" s="6" t="s">
        <v>28301</v>
      </c>
      <c r="I4228" s="7" t="s">
        <v>28302</v>
      </c>
      <c r="J4228" s="8" t="str">
        <f>HYPERLINK("https://drive.google.com/file/d/1BhJW6UDcdqWObxNVp8NDshxpsicQUKgB/view?usp=drivesdk","DODY ARDIYONO, S.KOM SERTIFIKAT BerAKHLAK")</f>
        <v>DODY ARDIYONO, S.KOM SERTIFIKAT BerAKHLAK</v>
      </c>
      <c r="K4228" s="5" t="s">
        <v>27679</v>
      </c>
      <c r="L4228" s="5" t="s">
        <v>28303</v>
      </c>
      <c r="M4228" s="5" t="s">
        <v>28304</v>
      </c>
      <c r="N4228" s="7" t="s">
        <v>28305</v>
      </c>
      <c r="O4228" s="8" t="str">
        <f>HYPERLINK("https://drive.google.com/file/d/1y8SiuLjWfGKg04FOGkZUU-Xfh4OIhKN4/view?usp=drivesdk","4227_DODY ARDIYONO, S.KOM _ SERTIFIKAT BerAKHLAK")</f>
        <v>4227_DODY ARDIYONO, S.KOM _ SERTIFIKAT BerAKHLAK</v>
      </c>
      <c r="P4228" s="5" t="s">
        <v>28291</v>
      </c>
    </row>
    <row r="4229">
      <c r="A4229" s="4">
        <v>45534.35029702546</v>
      </c>
      <c r="B4229" s="5" t="s">
        <v>34</v>
      </c>
      <c r="D4229" s="5" t="s">
        <v>4775</v>
      </c>
      <c r="E4229" s="5" t="s">
        <v>28306</v>
      </c>
      <c r="F4229" s="5" t="s">
        <v>524</v>
      </c>
      <c r="G4229" s="5" t="s">
        <v>28307</v>
      </c>
      <c r="H4229" s="6" t="s">
        <v>28308</v>
      </c>
      <c r="I4229" s="7" t="s">
        <v>28309</v>
      </c>
      <c r="J4229" s="8" t="str">
        <f>HYPERLINK("https://drive.google.com/file/d/1RqIVr8QlAU1eXZF06F4Ww3ZXSHZAoCCF/view?usp=drivesdk","PITO, A. Md SERTIFIKAT BerAKHLAK")</f>
        <v>PITO, A. Md SERTIFIKAT BerAKHLAK</v>
      </c>
      <c r="K4229" s="5" t="s">
        <v>27679</v>
      </c>
      <c r="L4229" s="5" t="s">
        <v>28310</v>
      </c>
      <c r="M4229" s="5" t="s">
        <v>28311</v>
      </c>
      <c r="N4229" s="7" t="s">
        <v>28312</v>
      </c>
      <c r="O4229" s="8" t="str">
        <f>HYPERLINK("https://drive.google.com/file/d/1W2NvHg1CDa2XCuclNkZOKNeD0vsy78sE/view?usp=drivesdk","4228_PITO, A. Md _ SERTIFIKAT BerAKHLAK")</f>
        <v>4228_PITO, A. Md _ SERTIFIKAT BerAKHLAK</v>
      </c>
      <c r="P4229" s="5" t="s">
        <v>28291</v>
      </c>
    </row>
    <row r="4230">
      <c r="A4230" s="4">
        <v>45534.35030498843</v>
      </c>
      <c r="B4230" s="5" t="s">
        <v>34</v>
      </c>
      <c r="D4230" s="5" t="s">
        <v>35</v>
      </c>
      <c r="E4230" s="5" t="s">
        <v>28313</v>
      </c>
      <c r="F4230" s="5" t="s">
        <v>72</v>
      </c>
      <c r="G4230" s="5" t="s">
        <v>28314</v>
      </c>
      <c r="H4230" s="6" t="s">
        <v>28315</v>
      </c>
      <c r="I4230" s="7" t="s">
        <v>28316</v>
      </c>
      <c r="J4230" s="8" t="str">
        <f>HYPERLINK("https://drive.google.com/file/d/1cICb6DgoyJNMP06xBAcb0sceJ-csXSJn/view?usp=drivesdk","SUYATMAN SERTIFIKAT BerAKHLAK")</f>
        <v>SUYATMAN SERTIFIKAT BerAKHLAK</v>
      </c>
      <c r="K4230" s="5" t="s">
        <v>27679</v>
      </c>
      <c r="L4230" s="5" t="s">
        <v>28317</v>
      </c>
      <c r="M4230" s="5" t="s">
        <v>28318</v>
      </c>
      <c r="N4230" s="7" t="s">
        <v>28319</v>
      </c>
      <c r="O4230" s="8" t="str">
        <f>HYPERLINK("https://drive.google.com/file/d/1DDOWstOMShUVDgLuwj_GWcHnrBOokmb6/view?usp=drivesdk","4229_SUYATMAN _ SERTIFIKAT BerAKHLAK")</f>
        <v>4229_SUYATMAN _ SERTIFIKAT BerAKHLAK</v>
      </c>
      <c r="P4230" s="5" t="s">
        <v>28320</v>
      </c>
    </row>
    <row r="4231">
      <c r="A4231" s="4">
        <v>45534.350305914355</v>
      </c>
      <c r="B4231" s="5" t="s">
        <v>34</v>
      </c>
      <c r="D4231" s="5" t="s">
        <v>1206</v>
      </c>
      <c r="E4231" s="5" t="s">
        <v>28321</v>
      </c>
      <c r="F4231" s="5" t="s">
        <v>212</v>
      </c>
      <c r="G4231" s="5" t="s">
        <v>28322</v>
      </c>
      <c r="H4231" s="6" t="s">
        <v>28323</v>
      </c>
      <c r="K4231" s="5" t="s">
        <v>28324</v>
      </c>
      <c r="M4231" s="5" t="s">
        <v>28325</v>
      </c>
      <c r="N4231" s="7" t="s">
        <v>28326</v>
      </c>
      <c r="O4231" s="8" t="str">
        <f>HYPERLINK("https://drive.google.com/file/d/1MwWuVuKeV1dwEqOPi6-2HjBIpCcqs0-J/view?usp=drivesdk","4230_JOKO BUDIAWAN _ SERTIFIKAT BerAKHLAK")</f>
        <v>4230_JOKO BUDIAWAN _ SERTIFIKAT BerAKHLAK</v>
      </c>
      <c r="P4231" s="5" t="s">
        <v>28320</v>
      </c>
    </row>
    <row r="4232" hidden="1">
      <c r="A4232" s="4">
        <v>45534.35030578704</v>
      </c>
      <c r="B4232" s="5" t="s">
        <v>19</v>
      </c>
      <c r="C4232" s="5" t="s">
        <v>292</v>
      </c>
      <c r="E4232" s="5" t="s">
        <v>28327</v>
      </c>
      <c r="F4232" s="5" t="s">
        <v>524</v>
      </c>
      <c r="G4232" s="5" t="s">
        <v>28328</v>
      </c>
      <c r="H4232" s="6" t="s">
        <v>28329</v>
      </c>
      <c r="K4232" s="5" t="s">
        <v>28324</v>
      </c>
      <c r="M4232" s="5" t="s">
        <v>28330</v>
      </c>
      <c r="N4232" s="7" t="s">
        <v>28331</v>
      </c>
      <c r="O4232" s="8" t="str">
        <f>HYPERLINK("https://drive.google.com/file/d/104tB7_C69cLeyTkjijrGzwo1m2vnh_hE/view?usp=drivesdk","4231_RISKA SANDRA _ SERTIFIKAT BerAKHLAK")</f>
        <v>4231_RISKA SANDRA _ SERTIFIKAT BerAKHLAK</v>
      </c>
      <c r="P4232" s="5" t="s">
        <v>28320</v>
      </c>
    </row>
    <row r="4233">
      <c r="A4233" s="4">
        <v>45534.350308124995</v>
      </c>
      <c r="B4233" s="5" t="s">
        <v>34</v>
      </c>
      <c r="D4233" s="5" t="s">
        <v>9020</v>
      </c>
      <c r="E4233" s="5" t="s">
        <v>28332</v>
      </c>
      <c r="F4233" s="5" t="s">
        <v>524</v>
      </c>
      <c r="G4233" s="5" t="s">
        <v>28333</v>
      </c>
      <c r="H4233" s="6" t="s">
        <v>28334</v>
      </c>
      <c r="K4233" s="5" t="s">
        <v>28335</v>
      </c>
      <c r="M4233" s="5" t="s">
        <v>28336</v>
      </c>
      <c r="N4233" s="7" t="s">
        <v>28337</v>
      </c>
      <c r="O4233" s="8" t="str">
        <f>HYPERLINK("https://drive.google.com/file/d/1cFvdb-c4OJMcb5s_-Wl2pbBIpJ5oPFTZ/view?usp=drivesdk","4232_JUMAGA GUNTUR HALOMOAN SIMANJUNTAK, A.MD _ SERTIFIKAT BerAKHLAK")</f>
        <v>4232_JUMAGA GUNTUR HALOMOAN SIMANJUNTAK, A.MD _ SERTIFIKAT BerAKHLAK</v>
      </c>
      <c r="P4233" s="5" t="s">
        <v>28320</v>
      </c>
    </row>
    <row r="4234" hidden="1">
      <c r="A4234" s="4">
        <v>45534.350313206014</v>
      </c>
      <c r="B4234" s="5" t="s">
        <v>19</v>
      </c>
      <c r="C4234" s="5" t="s">
        <v>3471</v>
      </c>
      <c r="E4234" s="5" t="s">
        <v>28338</v>
      </c>
      <c r="F4234" s="5" t="s">
        <v>108</v>
      </c>
      <c r="G4234" s="5" t="s">
        <v>28339</v>
      </c>
      <c r="H4234" s="6" t="s">
        <v>28340</v>
      </c>
      <c r="K4234" s="5" t="s">
        <v>28335</v>
      </c>
      <c r="M4234" s="5" t="s">
        <v>28341</v>
      </c>
      <c r="N4234" s="7" t="s">
        <v>28342</v>
      </c>
      <c r="O4234" s="8" t="str">
        <f>HYPERLINK("https://drive.google.com/file/d/1hSEqz4NSvIe8_bTz34Q86fMqNQgpVJye/view?usp=drivesdk","4233_ENY SRIHASTUTI _ SERTIFIKAT BerAKHLAK")</f>
        <v>4233_ENY SRIHASTUTI _ SERTIFIKAT BerAKHLAK</v>
      </c>
      <c r="P4234" s="5" t="s">
        <v>28343</v>
      </c>
    </row>
    <row r="4235">
      <c r="A4235" s="4">
        <v>45534.35032809028</v>
      </c>
      <c r="B4235" s="5" t="s">
        <v>34</v>
      </c>
      <c r="D4235" s="5" t="s">
        <v>9020</v>
      </c>
      <c r="E4235" s="5" t="s">
        <v>28344</v>
      </c>
      <c r="F4235" s="5" t="s">
        <v>212</v>
      </c>
      <c r="G4235" s="5" t="s">
        <v>28345</v>
      </c>
      <c r="H4235" s="6" t="s">
        <v>28346</v>
      </c>
      <c r="K4235" s="5" t="s">
        <v>28335</v>
      </c>
      <c r="M4235" s="5" t="s">
        <v>28347</v>
      </c>
      <c r="N4235" s="7" t="s">
        <v>28348</v>
      </c>
      <c r="O4235" s="8" t="str">
        <f>HYPERLINK("https://drive.google.com/file/d/1_5eHpmDSEvRcd0mBid9qO-h8Q1wB5p8l/view?usp=drivesdk","4234_TIMBUL BAMBANG _ SERTIFIKAT BerAKHLAK")</f>
        <v>4234_TIMBUL BAMBANG _ SERTIFIKAT BerAKHLAK</v>
      </c>
      <c r="P4235" s="5" t="s">
        <v>28343</v>
      </c>
    </row>
    <row r="4236">
      <c r="A4236" s="4">
        <v>45534.35033015047</v>
      </c>
      <c r="B4236" s="5" t="s">
        <v>34</v>
      </c>
      <c r="D4236" s="5" t="s">
        <v>35</v>
      </c>
      <c r="E4236" s="5" t="s">
        <v>28349</v>
      </c>
      <c r="F4236" s="5" t="s">
        <v>37</v>
      </c>
      <c r="G4236" s="5" t="s">
        <v>28350</v>
      </c>
      <c r="H4236" s="6" t="s">
        <v>28351</v>
      </c>
      <c r="K4236" s="5" t="s">
        <v>28352</v>
      </c>
      <c r="M4236" s="5" t="s">
        <v>28353</v>
      </c>
      <c r="N4236" s="7" t="s">
        <v>28354</v>
      </c>
      <c r="O4236" s="8" t="str">
        <f>HYPERLINK("https://drive.google.com/file/d/1o0lR01_nlFpxFXtNUl215toczctrXQ7K/view?usp=drivesdk","4235_JUNAENA  _ SERTIFIKAT BerAKHLAK")</f>
        <v>4235_JUNAENA  _ SERTIFIKAT BerAKHLAK</v>
      </c>
      <c r="P4236" s="5" t="s">
        <v>28343</v>
      </c>
    </row>
    <row r="4237">
      <c r="A4237" s="4">
        <v>45534.35034171296</v>
      </c>
      <c r="B4237" s="5" t="s">
        <v>34</v>
      </c>
      <c r="D4237" s="5" t="s">
        <v>1206</v>
      </c>
      <c r="E4237" s="5" t="s">
        <v>28355</v>
      </c>
      <c r="F4237" s="5" t="s">
        <v>37</v>
      </c>
      <c r="G4237" s="5" t="s">
        <v>28356</v>
      </c>
      <c r="H4237" s="6" t="s">
        <v>28357</v>
      </c>
      <c r="K4237" s="5" t="s">
        <v>28352</v>
      </c>
      <c r="M4237" s="5" t="s">
        <v>28358</v>
      </c>
      <c r="N4237" s="7" t="s">
        <v>28359</v>
      </c>
      <c r="O4237" s="8" t="str">
        <f>HYPERLINK("https://drive.google.com/file/d/1uVckUc2LHGdhNOoEqQwxfGQIsOlXbVOw/view?usp=drivesdk","4236_WAHYU HARIADI _ SERTIFIKAT BerAKHLAK")</f>
        <v>4236_WAHYU HARIADI _ SERTIFIKAT BerAKHLAK</v>
      </c>
      <c r="P4237" s="5" t="s">
        <v>28343</v>
      </c>
    </row>
    <row r="4238">
      <c r="A4238" s="4">
        <v>45534.35034331019</v>
      </c>
      <c r="B4238" s="5" t="s">
        <v>34</v>
      </c>
      <c r="D4238" s="5" t="s">
        <v>1206</v>
      </c>
      <c r="E4238" s="5" t="s">
        <v>28360</v>
      </c>
      <c r="F4238" s="5" t="s">
        <v>22</v>
      </c>
      <c r="G4238" s="5" t="s">
        <v>28361</v>
      </c>
      <c r="H4238" s="6" t="s">
        <v>28362</v>
      </c>
      <c r="K4238" s="5" t="s">
        <v>28352</v>
      </c>
      <c r="M4238" s="5" t="s">
        <v>28363</v>
      </c>
      <c r="N4238" s="7" t="s">
        <v>28364</v>
      </c>
      <c r="O4238" s="8" t="str">
        <f>HYPERLINK("https://drive.google.com/file/d/1LK7gv4uz9v-dpbxxf7dNp0gwtIHy06-8/view?usp=drivesdk","4237_drg. SRIMELVINA RIESKY MURNIDEWI, Sp.KG _ SERTIFIKAT BerAKHLAK")</f>
        <v>4237_drg. SRIMELVINA RIESKY MURNIDEWI, Sp.KG _ SERTIFIKAT BerAKHLAK</v>
      </c>
      <c r="P4238" s="5" t="s">
        <v>28365</v>
      </c>
    </row>
    <row r="4239">
      <c r="A4239" s="4">
        <v>45534.35034913194</v>
      </c>
      <c r="B4239" s="5" t="s">
        <v>34</v>
      </c>
      <c r="D4239" s="5" t="s">
        <v>10444</v>
      </c>
      <c r="E4239" s="5" t="s">
        <v>28366</v>
      </c>
      <c r="F4239" s="5" t="s">
        <v>108</v>
      </c>
      <c r="G4239" s="5" t="s">
        <v>28367</v>
      </c>
      <c r="H4239" s="6" t="s">
        <v>28368</v>
      </c>
      <c r="K4239" s="5" t="s">
        <v>28369</v>
      </c>
      <c r="M4239" s="5" t="s">
        <v>28370</v>
      </c>
      <c r="N4239" s="7" t="s">
        <v>28371</v>
      </c>
      <c r="O4239" s="8" t="str">
        <f>HYPERLINK("https://drive.google.com/file/d/16sOMCBxkV0rDzBcHULfrXyc6vjdTmOBc/view?usp=drivesdk","4238_RIMA KUSRINI _ SERTIFIKAT BerAKHLAK")</f>
        <v>4238_RIMA KUSRINI _ SERTIFIKAT BerAKHLAK</v>
      </c>
      <c r="P4239" s="5" t="s">
        <v>28365</v>
      </c>
    </row>
    <row r="4240">
      <c r="A4240" s="4">
        <v>45534.35035017361</v>
      </c>
      <c r="B4240" s="5" t="s">
        <v>34</v>
      </c>
      <c r="D4240" s="5" t="s">
        <v>9020</v>
      </c>
      <c r="E4240" s="5" t="s">
        <v>28372</v>
      </c>
      <c r="F4240" s="5" t="s">
        <v>715</v>
      </c>
      <c r="G4240" s="5" t="s">
        <v>28373</v>
      </c>
      <c r="H4240" s="6" t="s">
        <v>28374</v>
      </c>
      <c r="K4240" s="5" t="s">
        <v>28369</v>
      </c>
      <c r="M4240" s="5" t="s">
        <v>28375</v>
      </c>
      <c r="N4240" s="7" t="s">
        <v>28376</v>
      </c>
      <c r="O4240" s="8" t="str">
        <f>HYPERLINK("https://drive.google.com/file/d/1W2kTgKDg0di_uuDDkqUhO_yTcFYWya_I/view?usp=drivesdk","4239_MELPA ARINAWATI PANJAITAN, SE _ SERTIFIKAT BerAKHLAK")</f>
        <v>4239_MELPA ARINAWATI PANJAITAN, SE _ SERTIFIKAT BerAKHLAK</v>
      </c>
      <c r="P4240" s="5" t="s">
        <v>28365</v>
      </c>
    </row>
    <row r="4241">
      <c r="A4241" s="4">
        <v>45534.35036803241</v>
      </c>
      <c r="B4241" s="5" t="s">
        <v>34</v>
      </c>
      <c r="D4241" s="5" t="s">
        <v>9020</v>
      </c>
      <c r="E4241" s="5" t="s">
        <v>28377</v>
      </c>
      <c r="F4241" s="5" t="s">
        <v>37</v>
      </c>
      <c r="G4241" s="5" t="s">
        <v>28378</v>
      </c>
      <c r="H4241" s="6" t="s">
        <v>28379</v>
      </c>
      <c r="I4241" s="7" t="s">
        <v>28380</v>
      </c>
      <c r="J4241" s="8" t="str">
        <f>HYPERLINK("https://drive.google.com/file/d/1yCaEx0WJX6sIJFQEthk4OYDIR7TY_ty7/view?usp=drivesdk","SILVIA YUNDARI  SERTIFIKAT BerAKHLAK")</f>
        <v>SILVIA YUNDARI  SERTIFIKAT BerAKHLAK</v>
      </c>
      <c r="K4241" s="5" t="s">
        <v>27679</v>
      </c>
      <c r="L4241" s="5" t="s">
        <v>28381</v>
      </c>
      <c r="M4241" s="5" t="s">
        <v>28382</v>
      </c>
      <c r="N4241" s="7" t="s">
        <v>28383</v>
      </c>
      <c r="O4241" s="8" t="str">
        <f>HYPERLINK("https://drive.google.com/file/d/1OACSudd4zFOhFB2qVAJKAAtRWNu2XouF/view?usp=drivesdk","4240_SILVIA YUNDARI  _ SERTIFIKAT BerAKHLAK")</f>
        <v>4240_SILVIA YUNDARI  _ SERTIFIKAT BerAKHLAK</v>
      </c>
      <c r="P4241" s="5" t="s">
        <v>28365</v>
      </c>
    </row>
    <row r="4242">
      <c r="A4242" s="4">
        <v>45534.35037130787</v>
      </c>
      <c r="B4242" s="5" t="s">
        <v>34</v>
      </c>
      <c r="D4242" s="5" t="s">
        <v>9020</v>
      </c>
      <c r="E4242" s="5" t="s">
        <v>28384</v>
      </c>
      <c r="F4242" s="5" t="s">
        <v>120</v>
      </c>
      <c r="G4242" s="5" t="s">
        <v>28385</v>
      </c>
      <c r="H4242" s="6" t="s">
        <v>28386</v>
      </c>
      <c r="I4242" s="7" t="s">
        <v>28387</v>
      </c>
      <c r="J4242" s="8" t="str">
        <f>HYPERLINK("https://drive.google.com/file/d/1kqYT7R49lGdz5EeOFpWhCNxGPnXUjz_W/view?usp=drivesdk","Dr Lesly Nelvawaty Sitorus SERTIFIKAT BerAKHLAK")</f>
        <v>Dr Lesly Nelvawaty Sitorus SERTIFIKAT BerAKHLAK</v>
      </c>
      <c r="K4242" s="5" t="s">
        <v>27679</v>
      </c>
      <c r="L4242" s="5" t="s">
        <v>28388</v>
      </c>
      <c r="M4242" s="5" t="s">
        <v>28389</v>
      </c>
      <c r="N4242" s="7" t="s">
        <v>28390</v>
      </c>
      <c r="O4242" s="8" t="str">
        <f>HYPERLINK("https://drive.google.com/file/d/1ruiDxn5giW6yRhY4ArZBn3G0fmxm7CkW/view?usp=drivesdk","4241_Dr Lesly Nelvawaty Sitorus _ SERTIFIKAT BerAKHLAK")</f>
        <v>4241_Dr Lesly Nelvawaty Sitorus _ SERTIFIKAT BerAKHLAK</v>
      </c>
      <c r="P4242" s="5" t="s">
        <v>28391</v>
      </c>
    </row>
    <row r="4243">
      <c r="A4243" s="4">
        <v>45534.3503838426</v>
      </c>
      <c r="B4243" s="5" t="s">
        <v>34</v>
      </c>
      <c r="D4243" s="5" t="s">
        <v>35</v>
      </c>
      <c r="E4243" s="5" t="s">
        <v>28392</v>
      </c>
      <c r="F4243" s="5" t="s">
        <v>37</v>
      </c>
      <c r="G4243" s="5" t="s">
        <v>28393</v>
      </c>
      <c r="H4243" s="6" t="s">
        <v>28394</v>
      </c>
      <c r="I4243" s="7" t="s">
        <v>28395</v>
      </c>
      <c r="J4243" s="8" t="str">
        <f>HYPERLINK("https://drive.google.com/file/d/15PYweRxLiVls29e2DUUU3BcI3Im7Vjw-/view?usp=drivesdk","YULI SETIOWATI SERTIFIKAT BerAKHLAK")</f>
        <v>YULI SETIOWATI SERTIFIKAT BerAKHLAK</v>
      </c>
      <c r="K4243" s="5" t="s">
        <v>27657</v>
      </c>
      <c r="L4243" s="5" t="s">
        <v>28396</v>
      </c>
      <c r="M4243" s="5" t="s">
        <v>28397</v>
      </c>
      <c r="N4243" s="7" t="s">
        <v>28398</v>
      </c>
      <c r="O4243" s="8" t="str">
        <f>HYPERLINK("https://drive.google.com/file/d/1jlPoLzBvWGujWEZGMdWniDhnAPY9bmIY/view?usp=drivesdk","4242_YULI SETIOWATI _ SERTIFIKAT BerAKHLAK")</f>
        <v>4242_YULI SETIOWATI _ SERTIFIKAT BerAKHLAK</v>
      </c>
      <c r="P4243" s="5" t="s">
        <v>28391</v>
      </c>
    </row>
    <row r="4244">
      <c r="A4244" s="4">
        <v>45534.35038725694</v>
      </c>
      <c r="B4244" s="5" t="s">
        <v>34</v>
      </c>
      <c r="D4244" s="5" t="s">
        <v>1558</v>
      </c>
      <c r="E4244" s="5" t="s">
        <v>28399</v>
      </c>
      <c r="F4244" s="5" t="s">
        <v>524</v>
      </c>
      <c r="G4244" s="5" t="s">
        <v>28400</v>
      </c>
      <c r="H4244" s="6" t="s">
        <v>28401</v>
      </c>
      <c r="I4244" s="7" t="s">
        <v>28402</v>
      </c>
      <c r="J4244" s="8" t="str">
        <f>HYPERLINK("https://drive.google.com/file/d/1rEo6yyah8Pk9Z8cJICfr1YQJYw37LTRk/view?usp=drivesdk","SUTARBI, SH SERTIFIKAT BerAKHLAK")</f>
        <v>SUTARBI, SH SERTIFIKAT BerAKHLAK</v>
      </c>
      <c r="K4244" s="5" t="s">
        <v>27679</v>
      </c>
      <c r="L4244" s="5" t="s">
        <v>28403</v>
      </c>
      <c r="M4244" s="5" t="s">
        <v>28404</v>
      </c>
      <c r="N4244" s="7" t="s">
        <v>28405</v>
      </c>
      <c r="O4244" s="8" t="str">
        <f>HYPERLINK("https://drive.google.com/file/d/1m3uHS3KoC_ROBbh6tmqgmkZhCk51XAZ9/view?usp=drivesdk","4243_SUTARBI, SH _ SERTIFIKAT BerAKHLAK")</f>
        <v>4243_SUTARBI, SH _ SERTIFIKAT BerAKHLAK</v>
      </c>
      <c r="P4244" s="5" t="s">
        <v>28391</v>
      </c>
    </row>
    <row r="4245">
      <c r="A4245" s="4">
        <v>45534.35038856481</v>
      </c>
      <c r="B4245" s="5" t="s">
        <v>34</v>
      </c>
      <c r="D4245" s="5" t="s">
        <v>12010</v>
      </c>
      <c r="E4245" s="5" t="s">
        <v>28406</v>
      </c>
      <c r="F4245" s="5" t="s">
        <v>212</v>
      </c>
      <c r="G4245" s="5" t="s">
        <v>28407</v>
      </c>
      <c r="H4245" s="6" t="s">
        <v>28408</v>
      </c>
      <c r="K4245" s="5" t="s">
        <v>28409</v>
      </c>
      <c r="M4245" s="5" t="s">
        <v>28410</v>
      </c>
      <c r="N4245" s="7" t="s">
        <v>28411</v>
      </c>
      <c r="O4245" s="8" t="str">
        <f>HYPERLINK("https://drive.google.com/file/d/1z15M_9N97cyH10IsPDXkMSVasG-E4Nw0/view?usp=drivesdk","4244_MOHAMAD ISWANTO PODUNGGE, AMD.KEP _ SERTIFIKAT BerAKHLAK")</f>
        <v>4244_MOHAMAD ISWANTO PODUNGGE, AMD.KEP _ SERTIFIKAT BerAKHLAK</v>
      </c>
      <c r="P4245" s="5" t="s">
        <v>28391</v>
      </c>
    </row>
    <row r="4246">
      <c r="A4246" s="4">
        <v>45534.35038978009</v>
      </c>
      <c r="B4246" s="5" t="s">
        <v>34</v>
      </c>
      <c r="D4246" s="5" t="s">
        <v>701</v>
      </c>
      <c r="E4246" s="5" t="s">
        <v>28412</v>
      </c>
      <c r="F4246" s="5" t="s">
        <v>524</v>
      </c>
      <c r="G4246" s="5" t="s">
        <v>28413</v>
      </c>
      <c r="H4246" s="6" t="s">
        <v>28414</v>
      </c>
      <c r="K4246" s="5" t="s">
        <v>28409</v>
      </c>
      <c r="M4246" s="5" t="s">
        <v>28415</v>
      </c>
      <c r="N4246" s="7" t="s">
        <v>28416</v>
      </c>
      <c r="O4246" s="8" t="str">
        <f>HYPERLINK("https://drive.google.com/file/d/1qJdfgnQxFw1kDVlSYTF92jb9pgkIseMc/view?usp=drivesdk","4245_HENDRO SETIAWAN  _ SERTIFIKAT BerAKHLAK")</f>
        <v>4245_HENDRO SETIAWAN  _ SERTIFIKAT BerAKHLAK</v>
      </c>
      <c r="P4246" s="5" t="s">
        <v>28417</v>
      </c>
    </row>
    <row r="4247">
      <c r="A4247" s="4">
        <v>45534.3504058449</v>
      </c>
      <c r="B4247" s="5" t="s">
        <v>34</v>
      </c>
      <c r="D4247" s="5" t="s">
        <v>1206</v>
      </c>
      <c r="E4247" s="5" t="s">
        <v>28418</v>
      </c>
      <c r="F4247" s="5" t="s">
        <v>212</v>
      </c>
      <c r="G4247" s="5" t="s">
        <v>28419</v>
      </c>
      <c r="H4247" s="6" t="s">
        <v>28420</v>
      </c>
      <c r="I4247" s="7" t="s">
        <v>28421</v>
      </c>
      <c r="J4247" s="8" t="str">
        <f>HYPERLINK("https://drive.google.com/file/d/19lsJ03XeInr_s8L-wCm30dkUIYoL2yQP/view?usp=drivesdk","HADI SUMONO SERTIFIKAT BerAKHLAK")</f>
        <v>HADI SUMONO SERTIFIKAT BerAKHLAK</v>
      </c>
      <c r="K4247" s="5" t="s">
        <v>27679</v>
      </c>
      <c r="L4247" s="5" t="s">
        <v>28422</v>
      </c>
      <c r="M4247" s="5" t="s">
        <v>28423</v>
      </c>
      <c r="N4247" s="7" t="s">
        <v>28424</v>
      </c>
      <c r="O4247" s="8" t="str">
        <f>HYPERLINK("https://drive.google.com/file/d/16TxBkxGESk-HJG04e0lveVUoW_lDcNIJ/view?usp=drivesdk","4246_HADI SUMONO _ SERTIFIKAT BerAKHLAK")</f>
        <v>4246_HADI SUMONO _ SERTIFIKAT BerAKHLAK</v>
      </c>
      <c r="P4247" s="5" t="s">
        <v>28417</v>
      </c>
    </row>
    <row r="4248">
      <c r="A4248" s="4">
        <v>45534.35040809028</v>
      </c>
      <c r="B4248" s="5" t="s">
        <v>34</v>
      </c>
      <c r="D4248" s="5" t="s">
        <v>35</v>
      </c>
      <c r="E4248" s="5" t="s">
        <v>28425</v>
      </c>
      <c r="F4248" s="5" t="s">
        <v>37</v>
      </c>
      <c r="G4248" s="5" t="s">
        <v>28426</v>
      </c>
      <c r="H4248" s="6" t="s">
        <v>28427</v>
      </c>
      <c r="I4248" s="7" t="s">
        <v>28428</v>
      </c>
      <c r="J4248" s="8" t="str">
        <f>HYPERLINK("https://drive.google.com/file/d/1Lz4H7YXDs4zfx4AGX-ZBtmPVRMX_qmCo/view?usp=drivesdk","PENGATUR TARWIN  SERTIFIKAT BerAKHLAK")</f>
        <v>PENGATUR TARWIN  SERTIFIKAT BerAKHLAK</v>
      </c>
      <c r="K4248" s="5" t="s">
        <v>27679</v>
      </c>
      <c r="L4248" s="5" t="s">
        <v>28429</v>
      </c>
      <c r="M4248" s="5" t="s">
        <v>28430</v>
      </c>
      <c r="N4248" s="7" t="s">
        <v>28431</v>
      </c>
      <c r="O4248" s="8" t="str">
        <f>HYPERLINK("https://drive.google.com/file/d/1qR6GzfVfmcjiJgzK9XKzOJM13126nlzw/view?usp=drivesdk","4247_PENGATUR TARWIN  _ SERTIFIKAT BerAKHLAK")</f>
        <v>4247_PENGATUR TARWIN  _ SERTIFIKAT BerAKHLAK</v>
      </c>
      <c r="P4248" s="5" t="s">
        <v>28417</v>
      </c>
    </row>
    <row r="4249">
      <c r="A4249" s="4">
        <v>45534.35041135417</v>
      </c>
      <c r="B4249" s="5" t="s">
        <v>34</v>
      </c>
      <c r="D4249" s="5" t="s">
        <v>996</v>
      </c>
      <c r="E4249" s="5" t="s">
        <v>28432</v>
      </c>
      <c r="F4249" s="5" t="s">
        <v>212</v>
      </c>
      <c r="G4249" s="5" t="s">
        <v>28433</v>
      </c>
      <c r="H4249" s="6" t="s">
        <v>28434</v>
      </c>
      <c r="I4249" s="7" t="s">
        <v>28435</v>
      </c>
      <c r="J4249" s="8" t="str">
        <f>HYPERLINK("https://drive.google.com/file/d/1R2E_eOgLqXClL71CcHo2by6LFM-32Ah4/view?usp=drivesdk","NURJANNAH SERTIFIKAT BerAKHLAK")</f>
        <v>NURJANNAH SERTIFIKAT BerAKHLAK</v>
      </c>
      <c r="K4249" s="5" t="s">
        <v>27679</v>
      </c>
      <c r="L4249" s="5" t="s">
        <v>28436</v>
      </c>
      <c r="M4249" s="5" t="s">
        <v>28437</v>
      </c>
      <c r="N4249" s="7" t="s">
        <v>28438</v>
      </c>
      <c r="O4249" s="8" t="str">
        <f>HYPERLINK("https://drive.google.com/file/d/1D8ckXNeP8aw1TEf3XhcOVicjv7YKRDtm/view?usp=drivesdk","4248_NURJANNAH _ SERTIFIKAT BerAKHLAK")</f>
        <v>4248_NURJANNAH _ SERTIFIKAT BerAKHLAK</v>
      </c>
      <c r="P4249" s="5" t="s">
        <v>28439</v>
      </c>
    </row>
    <row r="4250">
      <c r="A4250" s="4">
        <v>45534.350423194446</v>
      </c>
      <c r="B4250" s="5" t="s">
        <v>34</v>
      </c>
      <c r="D4250" s="5" t="s">
        <v>2903</v>
      </c>
      <c r="E4250" s="5" t="s">
        <v>28440</v>
      </c>
      <c r="F4250" s="5" t="s">
        <v>37</v>
      </c>
      <c r="G4250" s="5" t="s">
        <v>28441</v>
      </c>
      <c r="H4250" s="6" t="s">
        <v>28442</v>
      </c>
      <c r="K4250" s="5" t="s">
        <v>28443</v>
      </c>
      <c r="M4250" s="5" t="s">
        <v>28444</v>
      </c>
      <c r="N4250" s="7" t="s">
        <v>28445</v>
      </c>
      <c r="O4250" s="8" t="str">
        <f>HYPERLINK("https://drive.google.com/file/d/1wCNz-XFnFFygKIe5dYzHpLMCA4EV_Fev/view?usp=drivesdk","4249_SUSI ELVIANA _ SERTIFIKAT BerAKHLAK")</f>
        <v>4249_SUSI ELVIANA _ SERTIFIKAT BerAKHLAK</v>
      </c>
      <c r="P4250" s="5" t="s">
        <v>28439</v>
      </c>
    </row>
    <row r="4251">
      <c r="A4251" s="4">
        <v>45534.35043795139</v>
      </c>
      <c r="B4251" s="5" t="s">
        <v>34</v>
      </c>
      <c r="D4251" s="5" t="s">
        <v>1206</v>
      </c>
      <c r="E4251" s="5" t="s">
        <v>28446</v>
      </c>
      <c r="F4251" s="5" t="s">
        <v>375</v>
      </c>
      <c r="G4251" s="5" t="s">
        <v>28447</v>
      </c>
      <c r="H4251" s="6" t="s">
        <v>28448</v>
      </c>
      <c r="K4251" s="5" t="s">
        <v>28443</v>
      </c>
      <c r="M4251" s="5" t="s">
        <v>28449</v>
      </c>
      <c r="N4251" s="7" t="s">
        <v>28450</v>
      </c>
      <c r="O4251" s="8" t="str">
        <f>HYPERLINK("https://drive.google.com/file/d/13NAPcTFZvsnA2XEqyq99xYrSl8JRVu55/view?usp=drivesdk","4250_Ns. NYOTO., S.Kep., M.Tr.Kep  _ SERTIFIKAT BerAKHLAK")</f>
        <v>4250_Ns. NYOTO., S.Kep., M.Tr.Kep  _ SERTIFIKAT BerAKHLAK</v>
      </c>
      <c r="P4251" s="5" t="s">
        <v>28439</v>
      </c>
    </row>
    <row r="4252">
      <c r="A4252" s="4">
        <v>45534.35044490741</v>
      </c>
      <c r="B4252" s="5" t="s">
        <v>34</v>
      </c>
      <c r="D4252" s="5" t="s">
        <v>9020</v>
      </c>
      <c r="E4252" s="5" t="s">
        <v>28451</v>
      </c>
      <c r="F4252" s="5" t="s">
        <v>524</v>
      </c>
      <c r="G4252" s="5" t="s">
        <v>28452</v>
      </c>
      <c r="H4252" s="6" t="s">
        <v>28453</v>
      </c>
      <c r="K4252" s="5" t="s">
        <v>28443</v>
      </c>
      <c r="M4252" s="5" t="s">
        <v>28454</v>
      </c>
      <c r="N4252" s="7" t="s">
        <v>28455</v>
      </c>
      <c r="O4252" s="8" t="str">
        <f>HYPERLINK("https://drive.google.com/file/d/1p9Y3JAZyqZQHu0wmXn4BBqOvKZQmpQbm/view?usp=drivesdk","4251_Elfrida Sijabat SKM _ SERTIFIKAT BerAKHLAK")</f>
        <v>4251_Elfrida Sijabat SKM _ SERTIFIKAT BerAKHLAK</v>
      </c>
      <c r="P4252" s="5" t="s">
        <v>28439</v>
      </c>
    </row>
    <row r="4253">
      <c r="A4253" s="4">
        <v>45534.350457175926</v>
      </c>
      <c r="B4253" s="5" t="s">
        <v>34</v>
      </c>
      <c r="D4253" s="5" t="s">
        <v>12978</v>
      </c>
      <c r="E4253" s="5" t="s">
        <v>28456</v>
      </c>
      <c r="F4253" s="5" t="s">
        <v>524</v>
      </c>
      <c r="G4253" s="5" t="s">
        <v>28457</v>
      </c>
      <c r="H4253" s="6" t="s">
        <v>28458</v>
      </c>
      <c r="K4253" s="5" t="s">
        <v>28443</v>
      </c>
      <c r="M4253" s="5" t="s">
        <v>28459</v>
      </c>
      <c r="N4253" s="7" t="s">
        <v>28460</v>
      </c>
      <c r="O4253" s="8" t="str">
        <f>HYPERLINK("https://drive.google.com/file/d/1lf71mLugnw4BAQllD706Ise-YQJ2Rjhu/view?usp=drivesdk","4252_SYARI KUSMIYATI, S.Sos _ SERTIFIKAT BerAKHLAK")</f>
        <v>4252_SYARI KUSMIYATI, S.Sos _ SERTIFIKAT BerAKHLAK</v>
      </c>
      <c r="P4253" s="5" t="s">
        <v>28461</v>
      </c>
    </row>
    <row r="4254">
      <c r="A4254" s="4">
        <v>45534.35047935185</v>
      </c>
      <c r="B4254" s="5" t="s">
        <v>34</v>
      </c>
      <c r="D4254" s="5" t="s">
        <v>1206</v>
      </c>
      <c r="E4254" s="5" t="s">
        <v>28462</v>
      </c>
      <c r="F4254" s="5" t="s">
        <v>37</v>
      </c>
      <c r="G4254" s="5" t="s">
        <v>28463</v>
      </c>
      <c r="H4254" s="6" t="s">
        <v>28464</v>
      </c>
      <c r="K4254" s="5" t="s">
        <v>28443</v>
      </c>
      <c r="M4254" s="5" t="s">
        <v>28465</v>
      </c>
      <c r="N4254" s="7" t="s">
        <v>28466</v>
      </c>
      <c r="O4254" s="8" t="str">
        <f>HYPERLINK("https://drive.google.com/file/d/1WAduJgwJtTDkp3HfiAZS8kD_1KccLLik/view?usp=drivesdk","4253_RATNA CITRA _ SERTIFIKAT BerAKHLAK")</f>
        <v>4253_RATNA CITRA _ SERTIFIKAT BerAKHLAK</v>
      </c>
      <c r="P4254" s="5" t="s">
        <v>28461</v>
      </c>
    </row>
    <row r="4255">
      <c r="A4255" s="4">
        <v>45534.35049442129</v>
      </c>
      <c r="B4255" s="5" t="s">
        <v>34</v>
      </c>
      <c r="D4255" s="5" t="s">
        <v>9020</v>
      </c>
      <c r="E4255" s="5" t="s">
        <v>28467</v>
      </c>
      <c r="F4255" s="5" t="s">
        <v>212</v>
      </c>
      <c r="G4255" s="5" t="s">
        <v>28468</v>
      </c>
      <c r="H4255" s="6" t="s">
        <v>28469</v>
      </c>
      <c r="K4255" s="5" t="s">
        <v>28443</v>
      </c>
      <c r="M4255" s="5" t="s">
        <v>28470</v>
      </c>
      <c r="N4255" s="7" t="s">
        <v>28471</v>
      </c>
      <c r="O4255" s="8" t="str">
        <f>HYPERLINK("https://drive.google.com/file/d/1lRyCu9azJT1S1_6KA2XAIm5K-MfocONN/view?usp=drivesdk","4254_FITRI PANAI _ SERTIFIKAT BerAKHLAK")</f>
        <v>4254_FITRI PANAI _ SERTIFIKAT BerAKHLAK</v>
      </c>
      <c r="P4255" s="5" t="s">
        <v>28461</v>
      </c>
    </row>
    <row r="4256">
      <c r="A4256" s="4">
        <v>45534.350499479166</v>
      </c>
      <c r="B4256" s="5" t="s">
        <v>34</v>
      </c>
      <c r="D4256" s="5" t="s">
        <v>35</v>
      </c>
      <c r="E4256" s="5" t="s">
        <v>28472</v>
      </c>
      <c r="F4256" s="5" t="s">
        <v>108</v>
      </c>
      <c r="G4256" s="5" t="s">
        <v>28473</v>
      </c>
      <c r="H4256" s="6" t="s">
        <v>28474</v>
      </c>
      <c r="K4256" s="5" t="s">
        <v>28443</v>
      </c>
      <c r="M4256" s="5" t="s">
        <v>28475</v>
      </c>
      <c r="N4256" s="7" t="s">
        <v>28476</v>
      </c>
      <c r="O4256" s="8" t="str">
        <f>HYPERLINK("https://drive.google.com/file/d/1DRyjoiQAz-Nql9tRxTRIB6BbUZFi09Mo/view?usp=drivesdk","4255_ELI HERAWATI _ SERTIFIKAT BerAKHLAK")</f>
        <v>4255_ELI HERAWATI _ SERTIFIKAT BerAKHLAK</v>
      </c>
      <c r="P4256" s="5" t="s">
        <v>28461</v>
      </c>
    </row>
    <row r="4257">
      <c r="A4257" s="4">
        <v>45534.350508159725</v>
      </c>
      <c r="B4257" s="5" t="s">
        <v>34</v>
      </c>
      <c r="D4257" s="5" t="s">
        <v>9394</v>
      </c>
      <c r="E4257" s="5" t="s">
        <v>28477</v>
      </c>
      <c r="F4257" s="5" t="s">
        <v>715</v>
      </c>
      <c r="G4257" s="5" t="s">
        <v>28478</v>
      </c>
      <c r="H4257" s="6" t="s">
        <v>28479</v>
      </c>
      <c r="K4257" s="5" t="s">
        <v>28443</v>
      </c>
      <c r="M4257" s="5" t="s">
        <v>28480</v>
      </c>
      <c r="N4257" s="7" t="s">
        <v>28481</v>
      </c>
      <c r="O4257" s="8" t="str">
        <f>HYPERLINK("https://drive.google.com/file/d/1j8eZEy8dN9M7_1m2ToCY7vitReOyWxPq/view?usp=drivesdk","4256_MURNIATI, A.Md _ SERTIFIKAT BerAKHLAK")</f>
        <v>4256_MURNIATI, A.Md _ SERTIFIKAT BerAKHLAK</v>
      </c>
      <c r="P4257" s="5" t="s">
        <v>28482</v>
      </c>
    </row>
    <row r="4258" hidden="1">
      <c r="A4258" s="4">
        <v>45534.350508738426</v>
      </c>
      <c r="B4258" s="5" t="s">
        <v>19</v>
      </c>
      <c r="C4258" s="5" t="s">
        <v>466</v>
      </c>
      <c r="E4258" s="5" t="s">
        <v>28483</v>
      </c>
      <c r="F4258" s="5" t="s">
        <v>375</v>
      </c>
      <c r="G4258" s="5" t="s">
        <v>28484</v>
      </c>
      <c r="H4258" s="6" t="s">
        <v>28485</v>
      </c>
      <c r="I4258" s="7" t="s">
        <v>28486</v>
      </c>
      <c r="J4258" s="8" t="str">
        <f>HYPERLINK("https://drive.google.com/file/d/1Xu08Dzmsf2knXt1Tr4A3MH-K1dGBK2ef/view?usp=drivesdk","CECEP HIDAYAT SERTIFIKAT BerAKHLAK")</f>
        <v>CECEP HIDAYAT SERTIFIKAT BerAKHLAK</v>
      </c>
      <c r="K4258" s="5" t="s">
        <v>27679</v>
      </c>
      <c r="L4258" s="5" t="s">
        <v>28487</v>
      </c>
      <c r="M4258" s="5" t="s">
        <v>28488</v>
      </c>
      <c r="N4258" s="7" t="s">
        <v>28489</v>
      </c>
      <c r="O4258" s="8" t="str">
        <f>HYPERLINK("https://drive.google.com/file/d/1MwgYw8xv0ZXz4n4JNCuz9ZKnJaW3aQ5Z/view?usp=drivesdk","4257_CECEP HIDAYAT _ SERTIFIKAT BerAKHLAK")</f>
        <v>4257_CECEP HIDAYAT _ SERTIFIKAT BerAKHLAK</v>
      </c>
      <c r="P4258" s="5" t="s">
        <v>28482</v>
      </c>
    </row>
    <row r="4259">
      <c r="A4259" s="4">
        <v>45534.35051258102</v>
      </c>
      <c r="B4259" s="5" t="s">
        <v>34</v>
      </c>
      <c r="D4259" s="5" t="s">
        <v>4775</v>
      </c>
      <c r="E4259" s="5" t="s">
        <v>28490</v>
      </c>
      <c r="F4259" s="5" t="s">
        <v>212</v>
      </c>
      <c r="G4259" s="5" t="s">
        <v>28491</v>
      </c>
      <c r="H4259" s="6" t="s">
        <v>28492</v>
      </c>
      <c r="I4259" s="7" t="s">
        <v>28493</v>
      </c>
      <c r="J4259" s="8" t="str">
        <f>HYPERLINK("https://drive.google.com/file/d/1dJEoeC2sO1hcSPoO6rGeMFyW4RMChpDf/view?usp=drivesdk","SOPHIAN SERTIFIKAT BerAKHLAK")</f>
        <v>SOPHIAN SERTIFIKAT BerAKHLAK</v>
      </c>
      <c r="K4259" s="5" t="s">
        <v>27679</v>
      </c>
      <c r="L4259" s="5" t="s">
        <v>28494</v>
      </c>
      <c r="M4259" s="5" t="s">
        <v>28495</v>
      </c>
      <c r="N4259" s="7" t="s">
        <v>28496</v>
      </c>
      <c r="O4259" s="8" t="str">
        <f>HYPERLINK("https://drive.google.com/file/d/1JkBRAXUr-tXUA7bd4FYsSzUOepTOc3j-/view?usp=drivesdk","4258_SOPHIAN _ SERTIFIKAT BerAKHLAK")</f>
        <v>4258_SOPHIAN _ SERTIFIKAT BerAKHLAK</v>
      </c>
      <c r="P4259" s="5" t="s">
        <v>28482</v>
      </c>
    </row>
    <row r="4260">
      <c r="A4260" s="4">
        <v>45534.350512743054</v>
      </c>
      <c r="B4260" s="5" t="s">
        <v>34</v>
      </c>
      <c r="D4260" s="5" t="s">
        <v>1206</v>
      </c>
      <c r="E4260" s="5" t="s">
        <v>28497</v>
      </c>
      <c r="F4260" s="5" t="s">
        <v>524</v>
      </c>
      <c r="G4260" s="5" t="s">
        <v>28498</v>
      </c>
      <c r="H4260" s="6" t="s">
        <v>28499</v>
      </c>
      <c r="K4260" s="5" t="s">
        <v>28500</v>
      </c>
      <c r="M4260" s="5" t="s">
        <v>28501</v>
      </c>
      <c r="N4260" s="7" t="s">
        <v>28502</v>
      </c>
      <c r="O4260" s="8" t="str">
        <f>HYPERLINK("https://drive.google.com/file/d/1tdgsUs9kNe9axs65Bc5HTuMbmhdQEpLw/view?usp=drivesdk","4259_SITI ROHANA _ SERTIFIKAT BerAKHLAK")</f>
        <v>4259_SITI ROHANA _ SERTIFIKAT BerAKHLAK</v>
      </c>
      <c r="P4260" s="5" t="s">
        <v>28503</v>
      </c>
    </row>
    <row r="4261">
      <c r="A4261" s="4">
        <v>45534.350521053246</v>
      </c>
      <c r="B4261" s="5" t="s">
        <v>34</v>
      </c>
      <c r="D4261" s="5" t="s">
        <v>580</v>
      </c>
      <c r="E4261" s="5" t="s">
        <v>28504</v>
      </c>
      <c r="F4261" s="5" t="s">
        <v>37</v>
      </c>
      <c r="G4261" s="5" t="s">
        <v>28505</v>
      </c>
      <c r="H4261" s="6" t="s">
        <v>28506</v>
      </c>
      <c r="K4261" s="5" t="s">
        <v>28500</v>
      </c>
      <c r="M4261" s="5" t="s">
        <v>28507</v>
      </c>
      <c r="N4261" s="7" t="s">
        <v>28508</v>
      </c>
      <c r="O4261" s="8" t="str">
        <f>HYPERLINK("https://drive.google.com/file/d/1kmbBnDF3H5wL7YjOh5aU3I7nPsHYY_Hw/view?usp=drivesdk","4260_NI NENGAH YULIARI _ SERTIFIKAT BerAKHLAK")</f>
        <v>4260_NI NENGAH YULIARI _ SERTIFIKAT BerAKHLAK</v>
      </c>
      <c r="P4261" s="5" t="s">
        <v>28503</v>
      </c>
    </row>
    <row r="4262">
      <c r="A4262" s="4">
        <v>45534.35052219908</v>
      </c>
      <c r="B4262" s="5" t="s">
        <v>34</v>
      </c>
      <c r="D4262" s="5" t="s">
        <v>1206</v>
      </c>
      <c r="E4262" s="5" t="s">
        <v>28509</v>
      </c>
      <c r="F4262" s="5" t="s">
        <v>212</v>
      </c>
      <c r="G4262" s="5" t="s">
        <v>28510</v>
      </c>
      <c r="H4262" s="6" t="s">
        <v>28511</v>
      </c>
      <c r="K4262" s="5" t="s">
        <v>28500</v>
      </c>
      <c r="M4262" s="5" t="s">
        <v>28512</v>
      </c>
      <c r="N4262" s="7" t="s">
        <v>28513</v>
      </c>
      <c r="O4262" s="8" t="str">
        <f>HYPERLINK("https://drive.google.com/file/d/1MuydHvfOSFbS4CExkvmwnS_MvH7eyXqh/view?usp=drivesdk","4261_ARIEF SUGIHARTO _ SERTIFIKAT BerAKHLAK")</f>
        <v>4261_ARIEF SUGIHARTO _ SERTIFIKAT BerAKHLAK</v>
      </c>
      <c r="P4262" s="5" t="s">
        <v>28503</v>
      </c>
    </row>
    <row r="4263">
      <c r="A4263" s="4">
        <v>45534.3505284375</v>
      </c>
      <c r="B4263" s="5" t="s">
        <v>34</v>
      </c>
      <c r="D4263" s="5" t="s">
        <v>10444</v>
      </c>
      <c r="E4263" s="5" t="s">
        <v>28514</v>
      </c>
      <c r="F4263" s="5" t="s">
        <v>212</v>
      </c>
      <c r="G4263" s="5" t="s">
        <v>28515</v>
      </c>
      <c r="H4263" s="6" t="s">
        <v>28516</v>
      </c>
      <c r="K4263" s="5" t="s">
        <v>28500</v>
      </c>
      <c r="M4263" s="5" t="s">
        <v>28517</v>
      </c>
      <c r="N4263" s="7" t="s">
        <v>28518</v>
      </c>
      <c r="O4263" s="8" t="str">
        <f>HYPERLINK("https://drive.google.com/file/d/1vropu3rP7YqzN7kxEWBlYb5kw-IUHqTA/view?usp=drivesdk","4262_DARU PURWANINGSIH _ SERTIFIKAT BerAKHLAK")</f>
        <v>4262_DARU PURWANINGSIH _ SERTIFIKAT BerAKHLAK</v>
      </c>
      <c r="P4263" s="5" t="s">
        <v>28503</v>
      </c>
    </row>
    <row r="4264">
      <c r="A4264" s="4">
        <v>45534.35053108796</v>
      </c>
      <c r="B4264" s="5" t="s">
        <v>34</v>
      </c>
      <c r="D4264" s="5" t="s">
        <v>701</v>
      </c>
      <c r="E4264" s="5" t="s">
        <v>28519</v>
      </c>
      <c r="F4264" s="5" t="s">
        <v>108</v>
      </c>
      <c r="G4264" s="5" t="s">
        <v>28520</v>
      </c>
      <c r="H4264" s="6" t="s">
        <v>28521</v>
      </c>
      <c r="K4264" s="5" t="s">
        <v>28500</v>
      </c>
      <c r="M4264" s="5" t="s">
        <v>28522</v>
      </c>
      <c r="N4264" s="7" t="s">
        <v>28523</v>
      </c>
      <c r="O4264" s="8" t="str">
        <f>HYPERLINK("https://drive.google.com/file/d/144QdRE-rifiaw5kgKx7RtYBZcmnTcEWj/view?usp=drivesdk","4263_dr. FADHIL NAUFAL AMMAR _ SERTIFIKAT BerAKHLAK")</f>
        <v>4263_dr. FADHIL NAUFAL AMMAR _ SERTIFIKAT BerAKHLAK</v>
      </c>
      <c r="P4264" s="5" t="s">
        <v>28503</v>
      </c>
    </row>
    <row r="4265">
      <c r="A4265" s="4">
        <v>45534.35053383102</v>
      </c>
      <c r="B4265" s="5" t="s">
        <v>34</v>
      </c>
      <c r="D4265" s="5" t="s">
        <v>15401</v>
      </c>
      <c r="E4265" s="5" t="s">
        <v>28524</v>
      </c>
      <c r="F4265" s="5" t="s">
        <v>715</v>
      </c>
      <c r="G4265" s="5" t="s">
        <v>28525</v>
      </c>
      <c r="H4265" s="6" t="s">
        <v>28526</v>
      </c>
      <c r="K4265" s="5" t="s">
        <v>28500</v>
      </c>
      <c r="M4265" s="5" t="s">
        <v>28527</v>
      </c>
      <c r="N4265" s="7" t="s">
        <v>28528</v>
      </c>
      <c r="O4265" s="8" t="str">
        <f>HYPERLINK("https://drive.google.com/file/d/1IuUrtHwc61rqyvbf0hYBGIjOcj2W0TfT/view?usp=drivesdk","4264_ROSITA.S.A.P _ SERTIFIKAT BerAKHLAK")</f>
        <v>4264_ROSITA.S.A.P _ SERTIFIKAT BerAKHLAK</v>
      </c>
      <c r="P4265" s="5" t="s">
        <v>28529</v>
      </c>
    </row>
    <row r="4266">
      <c r="A4266" s="4">
        <v>45534.35053755787</v>
      </c>
      <c r="B4266" s="5" t="s">
        <v>34</v>
      </c>
      <c r="D4266" s="5" t="s">
        <v>9020</v>
      </c>
      <c r="E4266" s="5" t="s">
        <v>28530</v>
      </c>
      <c r="F4266" s="5" t="s">
        <v>108</v>
      </c>
      <c r="G4266" s="5" t="s">
        <v>28531</v>
      </c>
      <c r="H4266" s="6" t="s">
        <v>28532</v>
      </c>
      <c r="K4266" s="5" t="s">
        <v>28500</v>
      </c>
      <c r="M4266" s="5" t="s">
        <v>28533</v>
      </c>
      <c r="N4266" s="7" t="s">
        <v>28534</v>
      </c>
      <c r="O4266" s="8" t="str">
        <f>HYPERLINK("https://drive.google.com/file/d/1RYC13hjwWkDLv-V1RxsQypvj3Ta9Lm5p/view?usp=drivesdk","4265_JOE PERNANDO NABABAN, A.md _ SERTIFIKAT BerAKHLAK")</f>
        <v>4265_JOE PERNANDO NABABAN, A.md _ SERTIFIKAT BerAKHLAK</v>
      </c>
      <c r="P4266" s="5" t="s">
        <v>28529</v>
      </c>
    </row>
    <row r="4267">
      <c r="A4267" s="4">
        <v>45534.350558564816</v>
      </c>
      <c r="B4267" s="5" t="s">
        <v>34</v>
      </c>
      <c r="D4267" s="5" t="s">
        <v>1206</v>
      </c>
      <c r="E4267" s="5" t="s">
        <v>28535</v>
      </c>
      <c r="F4267" s="5" t="s">
        <v>72</v>
      </c>
      <c r="G4267" s="5" t="s">
        <v>28536</v>
      </c>
      <c r="H4267" s="6" t="s">
        <v>28537</v>
      </c>
      <c r="K4267" s="5" t="s">
        <v>28538</v>
      </c>
      <c r="M4267" s="5" t="s">
        <v>28539</v>
      </c>
      <c r="N4267" s="7" t="s">
        <v>28540</v>
      </c>
      <c r="O4267" s="8" t="str">
        <f>HYPERLINK("https://drive.google.com/file/d/1jbQ1j1I93LJhQ4zlcBptvFHPw4lRoemN/view?usp=drivesdk","4266_DARMADJI, SE _ SERTIFIKAT BerAKHLAK")</f>
        <v>4266_DARMADJI, SE _ SERTIFIKAT BerAKHLAK</v>
      </c>
      <c r="P4267" s="5" t="s">
        <v>28529</v>
      </c>
    </row>
    <row r="4268">
      <c r="A4268" s="4">
        <v>45534.350559108796</v>
      </c>
      <c r="B4268" s="5" t="s">
        <v>34</v>
      </c>
      <c r="D4268" s="5" t="s">
        <v>9394</v>
      </c>
      <c r="E4268" s="5" t="s">
        <v>28541</v>
      </c>
      <c r="F4268" s="5" t="s">
        <v>715</v>
      </c>
      <c r="G4268" s="5" t="s">
        <v>28542</v>
      </c>
      <c r="H4268" s="6" t="s">
        <v>28543</v>
      </c>
      <c r="I4268" s="7" t="s">
        <v>28544</v>
      </c>
      <c r="J4268" s="8" t="str">
        <f>HYPERLINK("https://drive.google.com/file/d/13_OOXeinTXbyBtjeI8LMwgP15xjk4Kcx/view?usp=drivesdk","SRI WAHYUNI S.E SERTIFIKAT BerAKHLAK")</f>
        <v>SRI WAHYUNI S.E SERTIFIKAT BerAKHLAK</v>
      </c>
      <c r="K4268" s="5" t="s">
        <v>27679</v>
      </c>
      <c r="L4268" s="5" t="s">
        <v>28545</v>
      </c>
      <c r="M4268" s="5" t="s">
        <v>28546</v>
      </c>
      <c r="N4268" s="7" t="s">
        <v>28547</v>
      </c>
      <c r="O4268" s="8" t="str">
        <f>HYPERLINK("https://drive.google.com/file/d/1zFSOMFaiOR9-jNWwR0D8i5byj3dOTCZG/view?usp=drivesdk","4267_SRI WAHYUNI S.E _ SERTIFIKAT BerAKHLAK")</f>
        <v>4267_SRI WAHYUNI S.E _ SERTIFIKAT BerAKHLAK</v>
      </c>
      <c r="P4268" s="5" t="s">
        <v>28548</v>
      </c>
    </row>
    <row r="4269">
      <c r="A4269" s="4">
        <v>45534.350576192126</v>
      </c>
      <c r="B4269" s="5" t="s">
        <v>34</v>
      </c>
      <c r="D4269" s="5" t="s">
        <v>1206</v>
      </c>
      <c r="E4269" s="5" t="s">
        <v>28549</v>
      </c>
      <c r="F4269" s="5" t="s">
        <v>212</v>
      </c>
      <c r="G4269" s="5" t="s">
        <v>28550</v>
      </c>
      <c r="H4269" s="6" t="s">
        <v>28551</v>
      </c>
      <c r="I4269" s="7" t="s">
        <v>28552</v>
      </c>
      <c r="J4269" s="8" t="str">
        <f>HYPERLINK("https://drive.google.com/file/d/1eP8FjrxXCxFNZuF2AZ9FsWbUDxI9tFSc/view?usp=drivesdk","SEPTI MIRIYANTI SERTIFIKAT BerAKHLAK")</f>
        <v>SEPTI MIRIYANTI SERTIFIKAT BerAKHLAK</v>
      </c>
      <c r="K4269" s="5" t="s">
        <v>27679</v>
      </c>
      <c r="L4269" s="5" t="s">
        <v>28553</v>
      </c>
      <c r="M4269" s="5" t="s">
        <v>28554</v>
      </c>
      <c r="N4269" s="7" t="s">
        <v>28555</v>
      </c>
      <c r="O4269" s="8" t="str">
        <f>HYPERLINK("https://drive.google.com/file/d/1RbiddI90cmnzmE_p34vqa9CU4-j-Vjme/view?usp=drivesdk","4268_SEPTI MIRIYANTI _ SERTIFIKAT BerAKHLAK")</f>
        <v>4268_SEPTI MIRIYANTI _ SERTIFIKAT BerAKHLAK</v>
      </c>
      <c r="P4269" s="5" t="s">
        <v>28548</v>
      </c>
    </row>
    <row r="4270">
      <c r="A4270" s="4">
        <v>45534.350579942125</v>
      </c>
      <c r="B4270" s="5" t="s">
        <v>34</v>
      </c>
      <c r="D4270" s="5" t="s">
        <v>6232</v>
      </c>
      <c r="E4270" s="5" t="s">
        <v>28556</v>
      </c>
      <c r="F4270" s="5" t="s">
        <v>108</v>
      </c>
      <c r="G4270" s="5" t="s">
        <v>28557</v>
      </c>
      <c r="H4270" s="6" t="s">
        <v>28558</v>
      </c>
      <c r="I4270" s="7" t="s">
        <v>28559</v>
      </c>
      <c r="J4270" s="8" t="str">
        <f>HYPERLINK("https://drive.google.com/file/d/1AlrKt-6vrPNIt98ut19OLxDmXIk5m7jr/view?usp=drivesdk","HERI SUGITO SERTIFIKAT BerAKHLAK")</f>
        <v>HERI SUGITO SERTIFIKAT BerAKHLAK</v>
      </c>
      <c r="K4270" s="5" t="s">
        <v>27679</v>
      </c>
      <c r="L4270" s="5" t="s">
        <v>28560</v>
      </c>
      <c r="M4270" s="5" t="s">
        <v>28561</v>
      </c>
      <c r="N4270" s="7" t="s">
        <v>28562</v>
      </c>
      <c r="O4270" s="8" t="str">
        <f>HYPERLINK("https://drive.google.com/file/d/1ZUXF3Tm1fVND6ZvcrmR1zxz4ZteLwKE_/view?usp=drivesdk","4269_HERI SUGITO _ SERTIFIKAT BerAKHLAK")</f>
        <v>4269_HERI SUGITO _ SERTIFIKAT BerAKHLAK</v>
      </c>
      <c r="P4270" s="5" t="s">
        <v>28548</v>
      </c>
    </row>
    <row r="4271">
      <c r="A4271" s="4">
        <v>45534.350584444444</v>
      </c>
      <c r="B4271" s="5" t="s">
        <v>34</v>
      </c>
      <c r="D4271" s="5" t="s">
        <v>1206</v>
      </c>
      <c r="E4271" s="5" t="s">
        <v>28563</v>
      </c>
      <c r="F4271" s="5" t="s">
        <v>37</v>
      </c>
      <c r="G4271" s="5" t="s">
        <v>28564</v>
      </c>
      <c r="H4271" s="6" t="s">
        <v>28565</v>
      </c>
      <c r="K4271" s="5" t="s">
        <v>28566</v>
      </c>
      <c r="M4271" s="5" t="s">
        <v>28567</v>
      </c>
      <c r="N4271" s="7" t="s">
        <v>28568</v>
      </c>
      <c r="O4271" s="8" t="str">
        <f>HYPERLINK("https://drive.google.com/file/d/1pZeYPehkbL-N0WzzccxCO1QO7__Ot-H5/view?usp=drivesdk","4270_LANGGENG SUGIARTO  _ SERTIFIKAT BerAKHLAK")</f>
        <v>4270_LANGGENG SUGIARTO  _ SERTIFIKAT BerAKHLAK</v>
      </c>
      <c r="P4271" s="5" t="s">
        <v>28548</v>
      </c>
    </row>
    <row r="4272">
      <c r="A4272" s="4">
        <v>45534.350582743056</v>
      </c>
      <c r="B4272" s="5" t="s">
        <v>34</v>
      </c>
      <c r="D4272" s="5" t="s">
        <v>701</v>
      </c>
      <c r="E4272" s="5" t="s">
        <v>28569</v>
      </c>
      <c r="F4272" s="5" t="s">
        <v>37</v>
      </c>
      <c r="G4272" s="5" t="s">
        <v>28570</v>
      </c>
      <c r="H4272" s="6" t="s">
        <v>28571</v>
      </c>
      <c r="I4272" s="7" t="s">
        <v>28572</v>
      </c>
      <c r="J4272" s="8" t="str">
        <f>HYPERLINK("https://drive.google.com/file/d/1mmZWTLyEKGuTud9wEOZ20kqBtSoc6ech/view?usp=drivesdk","SILVI MARSYA YUYU, A.md.Kep SERTIFIKAT BerAKHLAK")</f>
        <v>SILVI MARSYA YUYU, A.md.Kep SERTIFIKAT BerAKHLAK</v>
      </c>
      <c r="K4272" s="5" t="s">
        <v>27679</v>
      </c>
      <c r="L4272" s="5" t="s">
        <v>28573</v>
      </c>
      <c r="M4272" s="5" t="s">
        <v>28574</v>
      </c>
      <c r="N4272" s="7" t="s">
        <v>28575</v>
      </c>
      <c r="O4272" s="8" t="str">
        <f>HYPERLINK("https://drive.google.com/file/d/1wmTKvfAPG3FfDI1oacpg47WaWfPL3C6H/view?usp=drivesdk","4271_SILVI MARSYA YUYU, A.md.Kep _ SERTIFIKAT BerAKHLAK")</f>
        <v>4271_SILVI MARSYA YUYU, A.md.Kep _ SERTIFIKAT BerAKHLAK</v>
      </c>
      <c r="P4272" s="5" t="s">
        <v>28576</v>
      </c>
    </row>
    <row r="4273">
      <c r="A4273" s="4">
        <v>45534.350593194446</v>
      </c>
      <c r="B4273" s="5" t="s">
        <v>34</v>
      </c>
      <c r="D4273" s="5" t="s">
        <v>1206</v>
      </c>
      <c r="E4273" s="5" t="s">
        <v>28577</v>
      </c>
      <c r="F4273" s="5" t="s">
        <v>72</v>
      </c>
      <c r="G4273" s="5" t="s">
        <v>28578</v>
      </c>
      <c r="H4273" s="6" t="s">
        <v>28579</v>
      </c>
      <c r="K4273" s="5" t="s">
        <v>28580</v>
      </c>
      <c r="M4273" s="5" t="s">
        <v>28581</v>
      </c>
      <c r="N4273" s="7" t="s">
        <v>28582</v>
      </c>
      <c r="O4273" s="8" t="str">
        <f>HYPERLINK("https://drive.google.com/file/d/1P9HchQh0Et04gaA6whQ0IkrrX6BKDzAJ/view?usp=drivesdk","4272_RACHMALAWATI,S.Si _ SERTIFIKAT BerAKHLAK")</f>
        <v>4272_RACHMALAWATI,S.Si _ SERTIFIKAT BerAKHLAK</v>
      </c>
      <c r="P4273" s="5" t="s">
        <v>28576</v>
      </c>
    </row>
    <row r="4274">
      <c r="A4274" s="4">
        <v>45534.350597557874</v>
      </c>
      <c r="B4274" s="5" t="s">
        <v>34</v>
      </c>
      <c r="D4274" s="5" t="s">
        <v>1206</v>
      </c>
      <c r="E4274" s="5" t="s">
        <v>28583</v>
      </c>
      <c r="F4274" s="5" t="s">
        <v>212</v>
      </c>
      <c r="G4274" s="5" t="s">
        <v>28584</v>
      </c>
      <c r="H4274" s="6" t="s">
        <v>28585</v>
      </c>
      <c r="I4274" s="7" t="s">
        <v>28586</v>
      </c>
      <c r="J4274" s="8" t="str">
        <f>HYPERLINK("https://drive.google.com/file/d/1jCnapzq-QAPpUq20U5N8Z4j8gUZcqMkC/view?usp=drivesdk","ANTUN WIJAYATI  SERTIFIKAT BerAKHLAK")</f>
        <v>ANTUN WIJAYATI  SERTIFIKAT BerAKHLAK</v>
      </c>
      <c r="K4274" s="5" t="s">
        <v>27679</v>
      </c>
      <c r="L4274" s="5" t="s">
        <v>28587</v>
      </c>
      <c r="M4274" s="5" t="s">
        <v>28588</v>
      </c>
      <c r="N4274" s="7" t="s">
        <v>28589</v>
      </c>
      <c r="O4274" s="8" t="str">
        <f>HYPERLINK("https://drive.google.com/file/d/1qgnivEIJn48H77XCzNrGUIWfan5QmOsw/view?usp=drivesdk","4273_ANTUN WIJAYATI  _ SERTIFIKAT BerAKHLAK")</f>
        <v>4273_ANTUN WIJAYATI  _ SERTIFIKAT BerAKHLAK</v>
      </c>
      <c r="P4274" s="5" t="s">
        <v>28576</v>
      </c>
    </row>
    <row r="4275">
      <c r="A4275" s="4">
        <v>45534.35059940972</v>
      </c>
      <c r="B4275" s="5" t="s">
        <v>34</v>
      </c>
      <c r="D4275" s="5" t="s">
        <v>280</v>
      </c>
      <c r="E4275" s="5" t="s">
        <v>28590</v>
      </c>
      <c r="F4275" s="5" t="s">
        <v>37</v>
      </c>
      <c r="G4275" s="5" t="s">
        <v>28591</v>
      </c>
      <c r="H4275" s="6" t="s">
        <v>28592</v>
      </c>
      <c r="K4275" s="5" t="s">
        <v>28593</v>
      </c>
      <c r="M4275" s="5" t="s">
        <v>28594</v>
      </c>
      <c r="N4275" s="7" t="s">
        <v>28595</v>
      </c>
      <c r="O4275" s="8" t="str">
        <f>HYPERLINK("https://drive.google.com/file/d/1Bi04JlihCUe2ZGTXXZm03cYR2GD9YBUi/view?usp=drivesdk","4274_HERY SAPTONO _ SERTIFIKAT BerAKHLAK")</f>
        <v>4274_HERY SAPTONO _ SERTIFIKAT BerAKHLAK</v>
      </c>
      <c r="P4275" s="5" t="s">
        <v>28596</v>
      </c>
    </row>
    <row r="4276">
      <c r="A4276" s="4">
        <v>45534.350603796294</v>
      </c>
      <c r="B4276" s="5" t="s">
        <v>34</v>
      </c>
      <c r="D4276" s="5" t="s">
        <v>1206</v>
      </c>
      <c r="E4276" s="5" t="s">
        <v>24588</v>
      </c>
      <c r="F4276" s="5" t="s">
        <v>37</v>
      </c>
      <c r="G4276" s="5" t="s">
        <v>28597</v>
      </c>
      <c r="H4276" s="6" t="s">
        <v>28598</v>
      </c>
      <c r="K4276" s="5" t="s">
        <v>28593</v>
      </c>
      <c r="M4276" s="5" t="s">
        <v>28599</v>
      </c>
      <c r="N4276" s="7" t="s">
        <v>28600</v>
      </c>
      <c r="O4276" s="8" t="str">
        <f>HYPERLINK("https://drive.google.com/file/d/1z4CFGuiR14Xm73ZwzdY2oCqB4Cqx5ySH/view?usp=drivesdk","4275_SUMARLIK _ SERTIFIKAT BerAKHLAK")</f>
        <v>4275_SUMARLIK _ SERTIFIKAT BerAKHLAK</v>
      </c>
      <c r="P4276" s="5" t="s">
        <v>28596</v>
      </c>
    </row>
    <row r="4277">
      <c r="A4277" s="4">
        <v>45534.350617731485</v>
      </c>
      <c r="B4277" s="5" t="s">
        <v>34</v>
      </c>
      <c r="D4277" s="5" t="s">
        <v>14313</v>
      </c>
      <c r="E4277" s="5" t="s">
        <v>28601</v>
      </c>
      <c r="F4277" s="5" t="s">
        <v>212</v>
      </c>
      <c r="G4277" s="5" t="s">
        <v>28602</v>
      </c>
      <c r="H4277" s="6" t="s">
        <v>28603</v>
      </c>
      <c r="I4277" s="7" t="s">
        <v>28604</v>
      </c>
      <c r="J4277" s="8" t="str">
        <f>HYPERLINK("https://drive.google.com/file/d/112M3PwvoexIvVU5om-YLFrZqK-jH3Uvt/view?usp=drivesdk","MARYAM HR SERTIFIKAT BerAKHLAK")</f>
        <v>MARYAM HR SERTIFIKAT BerAKHLAK</v>
      </c>
      <c r="K4277" s="5" t="s">
        <v>27679</v>
      </c>
      <c r="L4277" s="5" t="s">
        <v>28605</v>
      </c>
      <c r="M4277" s="5" t="s">
        <v>28606</v>
      </c>
      <c r="N4277" s="7" t="s">
        <v>28607</v>
      </c>
      <c r="O4277" s="8" t="str">
        <f>HYPERLINK("https://drive.google.com/file/d/1nxDMeFkCxq8IVJrCmFBR0UdvEGa7w8n2/view?usp=drivesdk","4276_MARYAM HR _ SERTIFIKAT BerAKHLAK")</f>
        <v>4276_MARYAM HR _ SERTIFIKAT BerAKHLAK</v>
      </c>
      <c r="P4277" s="5" t="s">
        <v>28596</v>
      </c>
    </row>
    <row r="4278">
      <c r="A4278" s="4">
        <v>45534.35062881945</v>
      </c>
      <c r="B4278" s="5" t="s">
        <v>34</v>
      </c>
      <c r="D4278" s="5" t="s">
        <v>3849</v>
      </c>
      <c r="E4278" s="5" t="s">
        <v>28608</v>
      </c>
      <c r="F4278" s="5" t="s">
        <v>37</v>
      </c>
      <c r="G4278" s="5" t="s">
        <v>28609</v>
      </c>
      <c r="H4278" s="6" t="s">
        <v>28610</v>
      </c>
      <c r="K4278" s="5" t="s">
        <v>28611</v>
      </c>
      <c r="M4278" s="5" t="s">
        <v>28612</v>
      </c>
      <c r="N4278" s="7" t="s">
        <v>28613</v>
      </c>
      <c r="O4278" s="8" t="str">
        <f>HYPERLINK("https://drive.google.com/file/d/10LTl5P8FvkTMlwMLGjRkrMn1zc7057p_/view?usp=drivesdk","4277_TRI SUSILANINGTIAS _ SERTIFIKAT BerAKHLAK")</f>
        <v>4277_TRI SUSILANINGTIAS _ SERTIFIKAT BerAKHLAK</v>
      </c>
      <c r="P4278" s="5" t="s">
        <v>28614</v>
      </c>
    </row>
    <row r="4279">
      <c r="A4279" s="4">
        <v>45534.35062873842</v>
      </c>
      <c r="B4279" s="5" t="s">
        <v>34</v>
      </c>
      <c r="D4279" s="5" t="s">
        <v>1206</v>
      </c>
      <c r="E4279" s="5" t="s">
        <v>28615</v>
      </c>
      <c r="F4279" s="5" t="s">
        <v>37</v>
      </c>
      <c r="G4279" s="5" t="s">
        <v>28616</v>
      </c>
      <c r="H4279" s="6" t="s">
        <v>28617</v>
      </c>
      <c r="K4279" s="5" t="s">
        <v>28611</v>
      </c>
      <c r="M4279" s="5" t="s">
        <v>28618</v>
      </c>
      <c r="N4279" s="7" t="s">
        <v>28619</v>
      </c>
      <c r="O4279" s="8" t="str">
        <f>HYPERLINK("https://drive.google.com/file/d/1UtZdP86E1_i-G5vSmS5NdASP-ZjIeUah/view?usp=drivesdk","4278_TRi RIANI _ SERTIFIKAT BerAKHLAK")</f>
        <v>4278_TRi RIANI _ SERTIFIKAT BerAKHLAK</v>
      </c>
      <c r="P4279" s="5" t="s">
        <v>28620</v>
      </c>
    </row>
    <row r="4280">
      <c r="A4280" s="4">
        <v>45534.350650486114</v>
      </c>
      <c r="B4280" s="5" t="s">
        <v>34</v>
      </c>
      <c r="D4280" s="5" t="s">
        <v>15401</v>
      </c>
      <c r="E4280" s="5" t="s">
        <v>28621</v>
      </c>
      <c r="F4280" s="5" t="s">
        <v>37</v>
      </c>
      <c r="G4280" s="5" t="s">
        <v>28622</v>
      </c>
      <c r="H4280" s="6" t="s">
        <v>28623</v>
      </c>
      <c r="I4280" s="7" t="s">
        <v>28624</v>
      </c>
      <c r="J4280" s="8" t="str">
        <f>HYPERLINK("https://drive.google.com/file/d/1j31p5eGYqpofK6mzwfzcQYnK6h8IFuUZ/view?usp=drivesdk","NURHIDAYAH SERTIFIKAT BerAKHLAK")</f>
        <v>NURHIDAYAH SERTIFIKAT BerAKHLAK</v>
      </c>
      <c r="K4280" s="5" t="s">
        <v>27679</v>
      </c>
      <c r="L4280" s="5" t="s">
        <v>28625</v>
      </c>
      <c r="M4280" s="5" t="s">
        <v>28626</v>
      </c>
      <c r="N4280" s="7" t="s">
        <v>28627</v>
      </c>
      <c r="O4280" s="8" t="str">
        <f>HYPERLINK("https://drive.google.com/file/d/1pdVscXYj8he65IO9EqDmE7gYUv80OeUc/view?usp=drivesdk","4279_NURHIDAYAH _ SERTIFIKAT BerAKHLAK")</f>
        <v>4279_NURHIDAYAH _ SERTIFIKAT BerAKHLAK</v>
      </c>
      <c r="P4280" s="5" t="s">
        <v>28620</v>
      </c>
    </row>
    <row r="4281">
      <c r="A4281" s="4">
        <v>45534.35065204861</v>
      </c>
      <c r="B4281" s="5" t="s">
        <v>34</v>
      </c>
      <c r="D4281" s="5" t="s">
        <v>14424</v>
      </c>
      <c r="E4281" s="5" t="s">
        <v>28628</v>
      </c>
      <c r="F4281" s="5" t="s">
        <v>37</v>
      </c>
      <c r="G4281" s="5" t="s">
        <v>28629</v>
      </c>
      <c r="H4281" s="6" t="s">
        <v>28630</v>
      </c>
      <c r="I4281" s="7" t="s">
        <v>28631</v>
      </c>
      <c r="J4281" s="8" t="str">
        <f>HYPERLINK("https://drive.google.com/file/d/19S0AFJrOvPRVzVIBKJ4b0Yee9vvJmR-L/view?usp=drivesdk","MAKHFIRAH SERTIFIKAT BerAKHLAK")</f>
        <v>MAKHFIRAH SERTIFIKAT BerAKHLAK</v>
      </c>
      <c r="K4281" s="5" t="s">
        <v>27679</v>
      </c>
      <c r="L4281" s="5" t="s">
        <v>28632</v>
      </c>
      <c r="M4281" s="5" t="s">
        <v>28633</v>
      </c>
      <c r="N4281" s="7" t="s">
        <v>28634</v>
      </c>
      <c r="O4281" s="8" t="str">
        <f>HYPERLINK("https://drive.google.com/file/d/1Qcaxuwe9cV7ppfmqOk90Ifp6tOb3f4HN/view?usp=drivesdk","4280_MAKHFIRAH _ SERTIFIKAT BerAKHLAK")</f>
        <v>4280_MAKHFIRAH _ SERTIFIKAT BerAKHLAK</v>
      </c>
      <c r="P4281" s="5" t="s">
        <v>28620</v>
      </c>
    </row>
    <row r="4282">
      <c r="A4282" s="4">
        <v>45534.35065487269</v>
      </c>
      <c r="B4282" s="5" t="s">
        <v>34</v>
      </c>
      <c r="D4282" s="5" t="s">
        <v>10444</v>
      </c>
      <c r="E4282" s="5" t="s">
        <v>28635</v>
      </c>
      <c r="F4282" s="5" t="s">
        <v>108</v>
      </c>
      <c r="G4282" s="5" t="s">
        <v>28636</v>
      </c>
      <c r="H4282" s="6" t="s">
        <v>28637</v>
      </c>
      <c r="I4282" s="7" t="s">
        <v>28638</v>
      </c>
      <c r="J4282" s="8" t="str">
        <f>HYPERLINK("https://drive.google.com/file/d/1OkD9YD_R7nXkc5epY_8G66BwFZz2WwkB/view?usp=drivesdk","dr. RISNAWATI WAHAB SERTIFIKAT BerAKHLAK")</f>
        <v>dr. RISNAWATI WAHAB SERTIFIKAT BerAKHLAK</v>
      </c>
      <c r="K4282" s="5" t="s">
        <v>28639</v>
      </c>
      <c r="L4282" s="5" t="s">
        <v>28640</v>
      </c>
      <c r="M4282" s="5" t="s">
        <v>28641</v>
      </c>
      <c r="N4282" s="7" t="s">
        <v>28642</v>
      </c>
      <c r="O4282" s="8" t="str">
        <f>HYPERLINK("https://drive.google.com/file/d/1CbN6s8AVMndrOGkfeWho7y8QRYOCw9Hf/view?usp=drivesdk","4281_dr. RISNAWATI WAHAB _ SERTIFIKAT BerAKHLAK")</f>
        <v>4281_dr. RISNAWATI WAHAB _ SERTIFIKAT BerAKHLAK</v>
      </c>
      <c r="P4282" s="5" t="s">
        <v>28643</v>
      </c>
    </row>
    <row r="4283">
      <c r="A4283" s="4">
        <v>45534.35065746528</v>
      </c>
      <c r="B4283" s="5" t="s">
        <v>34</v>
      </c>
      <c r="D4283" s="5" t="s">
        <v>267</v>
      </c>
      <c r="E4283" s="5" t="s">
        <v>28644</v>
      </c>
      <c r="F4283" s="5" t="s">
        <v>375</v>
      </c>
      <c r="G4283" s="5" t="s">
        <v>28645</v>
      </c>
      <c r="H4283" s="6" t="s">
        <v>28646</v>
      </c>
      <c r="I4283" s="7" t="s">
        <v>28647</v>
      </c>
      <c r="J4283" s="8" t="str">
        <f>HYPERLINK("https://drive.google.com/file/d/1VrjdNjPffxE87oMrVN71mnT_2ChykLXj/view?usp=drivesdk","Dra. ANY SETYAWATI SERTIFIKAT BerAKHLAK")</f>
        <v>Dra. ANY SETYAWATI SERTIFIKAT BerAKHLAK</v>
      </c>
      <c r="K4283" s="5" t="s">
        <v>28639</v>
      </c>
      <c r="L4283" s="5" t="s">
        <v>28648</v>
      </c>
      <c r="M4283" s="5" t="s">
        <v>28649</v>
      </c>
      <c r="N4283" s="7" t="s">
        <v>28650</v>
      </c>
      <c r="O4283" s="8" t="str">
        <f>HYPERLINK("https://drive.google.com/file/d/1fVPvsZ2kSsKab_3eHLKSo4SdZfPBiAxX/view?usp=drivesdk","4282_Dra. ANY SETYAWATI _ SERTIFIKAT BerAKHLAK")</f>
        <v>4282_Dra. ANY SETYAWATI _ SERTIFIKAT BerAKHLAK</v>
      </c>
      <c r="P4283" s="5" t="s">
        <v>28643</v>
      </c>
    </row>
    <row r="4284">
      <c r="A4284" s="4">
        <v>45534.35066210648</v>
      </c>
      <c r="B4284" s="5" t="s">
        <v>34</v>
      </c>
      <c r="D4284" s="5" t="s">
        <v>580</v>
      </c>
      <c r="E4284" s="5" t="s">
        <v>28651</v>
      </c>
      <c r="F4284" s="5" t="s">
        <v>524</v>
      </c>
      <c r="G4284" s="5" t="s">
        <v>28652</v>
      </c>
      <c r="H4284" s="6" t="s">
        <v>28653</v>
      </c>
      <c r="I4284" s="7" t="s">
        <v>28654</v>
      </c>
      <c r="J4284" s="8" t="str">
        <f>HYPERLINK("https://drive.google.com/file/d/1gBw8xHb0BIuGYBToSDoB6if9f80z8Oun/view?usp=drivesdk","NI WAYAN KUSUMATIWATI SERTIFIKAT BerAKHLAK")</f>
        <v>NI WAYAN KUSUMATIWATI SERTIFIKAT BerAKHLAK</v>
      </c>
      <c r="K4284" s="5" t="s">
        <v>28639</v>
      </c>
      <c r="L4284" s="5" t="s">
        <v>28655</v>
      </c>
      <c r="M4284" s="5" t="s">
        <v>28656</v>
      </c>
      <c r="N4284" s="7" t="s">
        <v>28657</v>
      </c>
      <c r="O4284" s="8" t="str">
        <f>HYPERLINK("https://drive.google.com/file/d/1ObGnqWp0j18O8FOfj_H7rE1p935YLiYp/view?usp=drivesdk","4283_NI WAYAN KUSUMATIWATI _ SERTIFIKAT BerAKHLAK")</f>
        <v>4283_NI WAYAN KUSUMATIWATI _ SERTIFIKAT BerAKHLAK</v>
      </c>
      <c r="P4284" s="5" t="s">
        <v>28643</v>
      </c>
    </row>
    <row r="4285">
      <c r="A4285" s="4">
        <v>45534.350669155094</v>
      </c>
      <c r="B4285" s="5" t="s">
        <v>34</v>
      </c>
      <c r="D4285" s="5" t="s">
        <v>14424</v>
      </c>
      <c r="E4285" s="5" t="s">
        <v>28658</v>
      </c>
      <c r="F4285" s="5" t="s">
        <v>72</v>
      </c>
      <c r="G4285" s="5" t="s">
        <v>28659</v>
      </c>
      <c r="H4285" s="6" t="s">
        <v>28660</v>
      </c>
      <c r="K4285" s="5" t="s">
        <v>28661</v>
      </c>
      <c r="M4285" s="5" t="s">
        <v>28662</v>
      </c>
      <c r="N4285" s="7" t="s">
        <v>28663</v>
      </c>
      <c r="O4285" s="8" t="str">
        <f>HYPERLINK("https://drive.google.com/file/d/1FkrX0uYXWlCEmfbe7N2p9u54zNLvEy0-/view?usp=drivesdk","4284_ONI SURYANI _ SERTIFIKAT BerAKHLAK")</f>
        <v>4284_ONI SURYANI _ SERTIFIKAT BerAKHLAK</v>
      </c>
      <c r="P4285" s="5" t="s">
        <v>28643</v>
      </c>
    </row>
    <row r="4286">
      <c r="A4286" s="4">
        <v>45534.35067122686</v>
      </c>
      <c r="B4286" s="5" t="s">
        <v>34</v>
      </c>
      <c r="D4286" s="5" t="s">
        <v>10444</v>
      </c>
      <c r="E4286" s="5" t="s">
        <v>28664</v>
      </c>
      <c r="F4286" s="5" t="s">
        <v>37</v>
      </c>
      <c r="G4286" s="5" t="s">
        <v>28665</v>
      </c>
      <c r="H4286" s="6" t="s">
        <v>28666</v>
      </c>
      <c r="K4286" s="5" t="s">
        <v>28661</v>
      </c>
      <c r="M4286" s="5" t="s">
        <v>28667</v>
      </c>
      <c r="N4286" s="7" t="s">
        <v>28668</v>
      </c>
      <c r="O4286" s="8" t="str">
        <f>HYPERLINK("https://drive.google.com/file/d/1CtoBBsLFp3QJJYOZjljjRewrc5TNGybY/view?usp=drivesdk","4285_HAFIDATUL ULA, A.Md.Keb _ SERTIFIKAT BerAKHLAK")</f>
        <v>4285_HAFIDATUL ULA, A.Md.Keb _ SERTIFIKAT BerAKHLAK</v>
      </c>
      <c r="P4286" s="5" t="s">
        <v>28643</v>
      </c>
    </row>
    <row r="4287">
      <c r="A4287" s="4">
        <v>45534.350680613425</v>
      </c>
      <c r="B4287" s="5" t="s">
        <v>34</v>
      </c>
      <c r="D4287" s="5" t="s">
        <v>1206</v>
      </c>
      <c r="E4287" s="5" t="s">
        <v>28669</v>
      </c>
      <c r="F4287" s="5" t="s">
        <v>72</v>
      </c>
      <c r="G4287" s="5" t="s">
        <v>28670</v>
      </c>
      <c r="H4287" s="6" t="s">
        <v>28671</v>
      </c>
      <c r="K4287" s="5" t="s">
        <v>28672</v>
      </c>
      <c r="M4287" s="5" t="s">
        <v>28673</v>
      </c>
      <c r="N4287" s="7" t="s">
        <v>28674</v>
      </c>
      <c r="O4287" s="8" t="str">
        <f>HYPERLINK("https://drive.google.com/file/d/1rXiVjbOpcnUDbCHn7V0PWiGlQiH6Cqlw/view?usp=drivesdk","4286_RETNO SAFITRI, Amd. Kes _ SERTIFIKAT BerAKHLAK")</f>
        <v>4286_RETNO SAFITRI, Amd. Kes _ SERTIFIKAT BerAKHLAK</v>
      </c>
      <c r="P4287" s="5" t="s">
        <v>28675</v>
      </c>
    </row>
    <row r="4288">
      <c r="A4288" s="4">
        <v>45534.350710081024</v>
      </c>
      <c r="B4288" s="5" t="s">
        <v>34</v>
      </c>
      <c r="D4288" s="5" t="s">
        <v>1206</v>
      </c>
      <c r="E4288" s="5" t="s">
        <v>28676</v>
      </c>
      <c r="F4288" s="5" t="s">
        <v>715</v>
      </c>
      <c r="G4288" s="5" t="s">
        <v>28677</v>
      </c>
      <c r="H4288" s="6" t="s">
        <v>28678</v>
      </c>
      <c r="K4288" s="5" t="s">
        <v>28679</v>
      </c>
      <c r="M4288" s="5" t="s">
        <v>28680</v>
      </c>
      <c r="N4288" s="7" t="s">
        <v>28681</v>
      </c>
      <c r="O4288" s="8" t="str">
        <f>HYPERLINK("https://drive.google.com/file/d/1IFHNEMl4cmVXJ2bR0og4GDMApR9zyLpo/view?usp=drivesdk","4287_LILIS TRI LESTARI _ SERTIFIKAT BerAKHLAK")</f>
        <v>4287_LILIS TRI LESTARI _ SERTIFIKAT BerAKHLAK</v>
      </c>
      <c r="P4288" s="5" t="s">
        <v>28675</v>
      </c>
    </row>
    <row r="4289">
      <c r="A4289" s="4">
        <v>45534.35071064815</v>
      </c>
      <c r="B4289" s="5" t="s">
        <v>34</v>
      </c>
      <c r="D4289" s="5" t="s">
        <v>1206</v>
      </c>
      <c r="E4289" s="5" t="s">
        <v>28682</v>
      </c>
      <c r="F4289" s="5" t="s">
        <v>37</v>
      </c>
      <c r="G4289" s="5" t="s">
        <v>28683</v>
      </c>
      <c r="H4289" s="6" t="s">
        <v>28684</v>
      </c>
      <c r="K4289" s="5" t="s">
        <v>28679</v>
      </c>
      <c r="M4289" s="5" t="s">
        <v>28685</v>
      </c>
      <c r="N4289" s="7" t="s">
        <v>28686</v>
      </c>
      <c r="O4289" s="8" t="str">
        <f>HYPERLINK("https://drive.google.com/file/d/1ZI4LHmywRQKK-c0T_3IDj-_34-SJ4E2W/view?usp=drivesdk","4288_NURHADI _ SERTIFIKAT BerAKHLAK")</f>
        <v>4288_NURHADI _ SERTIFIKAT BerAKHLAK</v>
      </c>
      <c r="P4289" s="5" t="s">
        <v>28675</v>
      </c>
    </row>
    <row r="4290">
      <c r="A4290" s="4">
        <v>45534.350714768516</v>
      </c>
      <c r="B4290" s="5" t="s">
        <v>34</v>
      </c>
      <c r="D4290" s="5" t="s">
        <v>1206</v>
      </c>
      <c r="E4290" s="5" t="s">
        <v>28687</v>
      </c>
      <c r="F4290" s="5" t="s">
        <v>212</v>
      </c>
      <c r="G4290" s="5" t="s">
        <v>28688</v>
      </c>
      <c r="H4290" s="6" t="s">
        <v>28689</v>
      </c>
      <c r="K4290" s="5" t="s">
        <v>28679</v>
      </c>
      <c r="M4290" s="5" t="s">
        <v>28690</v>
      </c>
      <c r="N4290" s="7" t="s">
        <v>28691</v>
      </c>
      <c r="O4290" s="8" t="str">
        <f>HYPERLINK("https://drive.google.com/file/d/1qe6Nje5ncVsXRBNPlsJnrd00z4CuzULK/view?usp=drivesdk","4289_MARDIYATI _ SERTIFIKAT BerAKHLAK")</f>
        <v>4289_MARDIYATI _ SERTIFIKAT BerAKHLAK</v>
      </c>
      <c r="P4290" s="5" t="s">
        <v>28675</v>
      </c>
    </row>
    <row r="4291">
      <c r="A4291" s="4">
        <v>45534.350726805555</v>
      </c>
      <c r="B4291" s="5" t="s">
        <v>34</v>
      </c>
      <c r="D4291" s="5" t="s">
        <v>975</v>
      </c>
      <c r="E4291" s="5" t="s">
        <v>28692</v>
      </c>
      <c r="F4291" s="5" t="s">
        <v>212</v>
      </c>
      <c r="G4291" s="5" t="s">
        <v>28693</v>
      </c>
      <c r="H4291" s="6" t="s">
        <v>28694</v>
      </c>
      <c r="K4291" s="5" t="s">
        <v>27687</v>
      </c>
      <c r="M4291" s="5" t="s">
        <v>28695</v>
      </c>
      <c r="N4291" s="7" t="s">
        <v>28696</v>
      </c>
      <c r="O4291" s="8" t="str">
        <f>HYPERLINK("https://drive.google.com/file/d/1BTJ1oB_a-lT9Z3JVtQprtDHsHWYuAeDF/view?usp=drivesdk","4290_AZHAR ANNAS, AMAK _ SERTIFIKAT BerAKHLAK")</f>
        <v>4290_AZHAR ANNAS, AMAK _ SERTIFIKAT BerAKHLAK</v>
      </c>
      <c r="P4291" s="5" t="s">
        <v>28675</v>
      </c>
    </row>
    <row r="4292" hidden="1">
      <c r="A4292" s="4">
        <v>45534.35073655093</v>
      </c>
      <c r="B4292" s="5" t="s">
        <v>19</v>
      </c>
      <c r="C4292" s="5" t="s">
        <v>466</v>
      </c>
      <c r="E4292" s="5" t="s">
        <v>28697</v>
      </c>
      <c r="F4292" s="5" t="s">
        <v>108</v>
      </c>
      <c r="G4292" s="5" t="s">
        <v>28698</v>
      </c>
      <c r="H4292" s="6" t="s">
        <v>28699</v>
      </c>
      <c r="K4292" s="5" t="s">
        <v>27687</v>
      </c>
      <c r="M4292" s="5" t="s">
        <v>28700</v>
      </c>
      <c r="N4292" s="7" t="s">
        <v>28701</v>
      </c>
      <c r="O4292" s="8" t="str">
        <f>HYPERLINK("https://drive.google.com/file/d/1Dsyktes32IRARzRu_us5M9kWnErxRUfc/view?usp=drivesdk","4291_WALJIYATI _ SERTIFIKAT BerAKHLAK")</f>
        <v>4291_WALJIYATI _ SERTIFIKAT BerAKHLAK</v>
      </c>
      <c r="P4292" s="5" t="s">
        <v>28702</v>
      </c>
    </row>
    <row r="4293">
      <c r="A4293" s="4">
        <v>45534.35073959491</v>
      </c>
      <c r="B4293" s="5" t="s">
        <v>34</v>
      </c>
      <c r="D4293" s="5" t="s">
        <v>9020</v>
      </c>
      <c r="E4293" s="5" t="s">
        <v>28703</v>
      </c>
      <c r="F4293" s="5" t="s">
        <v>375</v>
      </c>
      <c r="G4293" s="5" t="s">
        <v>28704</v>
      </c>
      <c r="H4293" s="6" t="s">
        <v>28705</v>
      </c>
      <c r="K4293" s="5" t="s">
        <v>27687</v>
      </c>
      <c r="M4293" s="5" t="s">
        <v>28706</v>
      </c>
      <c r="N4293" s="7" t="s">
        <v>28707</v>
      </c>
      <c r="O4293" s="8" t="str">
        <f>HYPERLINK("https://drive.google.com/file/d/1WxcfurRPlXuzJLFxbtCEbiSDt0rPlWea/view?usp=drivesdk","4292_ELIYANA _ SERTIFIKAT BerAKHLAK")</f>
        <v>4292_ELIYANA _ SERTIFIKAT BerAKHLAK</v>
      </c>
      <c r="P4293" s="5" t="s">
        <v>28702</v>
      </c>
    </row>
    <row r="4294">
      <c r="A4294" s="4">
        <v>45534.35074040509</v>
      </c>
      <c r="B4294" s="5" t="s">
        <v>34</v>
      </c>
      <c r="D4294" s="5" t="s">
        <v>10444</v>
      </c>
      <c r="E4294" s="5" t="s">
        <v>28708</v>
      </c>
      <c r="F4294" s="5" t="s">
        <v>108</v>
      </c>
      <c r="G4294" s="5" t="s">
        <v>28709</v>
      </c>
      <c r="H4294" s="6" t="s">
        <v>28710</v>
      </c>
      <c r="K4294" s="5" t="s">
        <v>27687</v>
      </c>
      <c r="M4294" s="5" t="s">
        <v>28711</v>
      </c>
      <c r="N4294" s="7" t="s">
        <v>28712</v>
      </c>
      <c r="O4294" s="8" t="str">
        <f>HYPERLINK("https://drive.google.com/file/d/1l-xuF2_Q6ijPiwJxlMGaARCtwfc7dgYo/view?usp=drivesdk","4293_NURDIANI, A.MD. _ SERTIFIKAT BerAKHLAK")</f>
        <v>4293_NURDIANI, A.MD. _ SERTIFIKAT BerAKHLAK</v>
      </c>
      <c r="P4294" s="5" t="s">
        <v>28702</v>
      </c>
    </row>
    <row r="4295">
      <c r="A4295" s="4">
        <v>45534.350741030095</v>
      </c>
      <c r="B4295" s="5" t="s">
        <v>34</v>
      </c>
      <c r="D4295" s="5" t="s">
        <v>1206</v>
      </c>
      <c r="E4295" s="5" t="s">
        <v>28713</v>
      </c>
      <c r="F4295" s="5" t="s">
        <v>37</v>
      </c>
      <c r="G4295" s="5" t="s">
        <v>28714</v>
      </c>
      <c r="H4295" s="6" t="s">
        <v>28715</v>
      </c>
      <c r="K4295" s="5" t="s">
        <v>27687</v>
      </c>
      <c r="M4295" s="5" t="s">
        <v>28716</v>
      </c>
      <c r="N4295" s="7" t="s">
        <v>28717</v>
      </c>
      <c r="O4295" s="8" t="str">
        <f>HYPERLINK("https://drive.google.com/file/d/1Itf4Psso4jIN7re5rtVkYJtL76MVPlsV/view?usp=drivesdk","4294_RIZAL ARDIYANSYAH  _ SERTIFIKAT BerAKHLAK")</f>
        <v>4294_RIZAL ARDIYANSYAH  _ SERTIFIKAT BerAKHLAK</v>
      </c>
      <c r="P4295" s="5" t="s">
        <v>28702</v>
      </c>
    </row>
    <row r="4296">
      <c r="A4296" s="4">
        <v>45534.3507469676</v>
      </c>
      <c r="B4296" s="5" t="s">
        <v>34</v>
      </c>
      <c r="D4296" s="5" t="s">
        <v>4775</v>
      </c>
      <c r="E4296" s="5" t="s">
        <v>28718</v>
      </c>
      <c r="F4296" s="5" t="s">
        <v>120</v>
      </c>
      <c r="G4296" s="5" t="s">
        <v>28719</v>
      </c>
      <c r="H4296" s="6" t="s">
        <v>28720</v>
      </c>
      <c r="K4296" s="5" t="s">
        <v>27687</v>
      </c>
      <c r="M4296" s="5" t="s">
        <v>28721</v>
      </c>
      <c r="N4296" s="7" t="s">
        <v>28722</v>
      </c>
      <c r="O4296" s="8" t="str">
        <f>HYPERLINK("https://drive.google.com/file/d/1S3cVvztyUmaNd6azOrMK05fqNsm9qoL0/view?usp=drivesdk","4295_DWITA SRIHAPSARI, S. Si, M. Si _ SERTIFIKAT BerAKHLAK")</f>
        <v>4295_DWITA SRIHAPSARI, S. Si, M. Si _ SERTIFIKAT BerAKHLAK</v>
      </c>
      <c r="P4296" s="5" t="s">
        <v>28702</v>
      </c>
    </row>
    <row r="4297">
      <c r="A4297" s="4">
        <v>45534.35074765046</v>
      </c>
      <c r="B4297" s="5" t="s">
        <v>34</v>
      </c>
      <c r="D4297" s="5" t="s">
        <v>4775</v>
      </c>
      <c r="E4297" s="5" t="s">
        <v>28723</v>
      </c>
      <c r="F4297" s="5" t="s">
        <v>108</v>
      </c>
      <c r="G4297" s="5" t="s">
        <v>28724</v>
      </c>
      <c r="H4297" s="6" t="s">
        <v>28725</v>
      </c>
      <c r="K4297" s="5" t="s">
        <v>27687</v>
      </c>
      <c r="M4297" s="5" t="s">
        <v>28726</v>
      </c>
      <c r="N4297" s="7" t="s">
        <v>28727</v>
      </c>
      <c r="O4297" s="8" t="str">
        <f>HYPERLINK("https://drive.google.com/file/d/1LJyCjj3QF2waSWiTqQjCSWxcm6CwJZKh/view?usp=drivesdk","4296_RUSLINDRIYATI _ SERTIFIKAT BerAKHLAK")</f>
        <v>4296_RUSLINDRIYATI _ SERTIFIKAT BerAKHLAK</v>
      </c>
      <c r="P4297" s="5" t="s">
        <v>28728</v>
      </c>
    </row>
    <row r="4298">
      <c r="A4298" s="4">
        <v>45534.350751087964</v>
      </c>
      <c r="B4298" s="5" t="s">
        <v>34</v>
      </c>
      <c r="D4298" s="5" t="s">
        <v>522</v>
      </c>
      <c r="E4298" s="5" t="s">
        <v>28729</v>
      </c>
      <c r="F4298" s="5" t="s">
        <v>524</v>
      </c>
      <c r="G4298" s="5" t="s">
        <v>28730</v>
      </c>
      <c r="H4298" s="6" t="s">
        <v>28731</v>
      </c>
      <c r="K4298" s="5" t="s">
        <v>27687</v>
      </c>
      <c r="M4298" s="5" t="s">
        <v>28732</v>
      </c>
      <c r="N4298" s="7" t="s">
        <v>28733</v>
      </c>
      <c r="O4298" s="8" t="str">
        <f>HYPERLINK("https://drive.google.com/file/d/1YWmZFU3XCvasBNvAmr53TIzVpgC4W94W/view?usp=drivesdk","4297_EDWIN ARDIYAN _ SERTIFIKAT BerAKHLAK")</f>
        <v>4297_EDWIN ARDIYAN _ SERTIFIKAT BerAKHLAK</v>
      </c>
      <c r="P4298" s="5" t="s">
        <v>28728</v>
      </c>
    </row>
    <row r="4299" hidden="1">
      <c r="A4299" s="4">
        <v>45534.35075486111</v>
      </c>
      <c r="B4299" s="5" t="s">
        <v>19</v>
      </c>
      <c r="C4299" s="5" t="s">
        <v>292</v>
      </c>
      <c r="E4299" s="5" t="s">
        <v>28734</v>
      </c>
      <c r="F4299" s="5" t="s">
        <v>37</v>
      </c>
      <c r="G4299" s="5" t="s">
        <v>28735</v>
      </c>
      <c r="H4299" s="6" t="s">
        <v>28736</v>
      </c>
      <c r="K4299" s="5" t="s">
        <v>28737</v>
      </c>
      <c r="M4299" s="5" t="s">
        <v>28738</v>
      </c>
      <c r="N4299" s="7" t="s">
        <v>28739</v>
      </c>
      <c r="O4299" s="8" t="str">
        <f>HYPERLINK("https://drive.google.com/file/d/1X5XkwGQdFiAC96A42opR359P9u6X9uAS/view?usp=drivesdk","4298_Emil Nur Arifah _ SERTIFIKAT BerAKHLAK")</f>
        <v>4298_Emil Nur Arifah _ SERTIFIKAT BerAKHLAK</v>
      </c>
      <c r="P4299" s="5" t="s">
        <v>28728</v>
      </c>
    </row>
    <row r="4300">
      <c r="A4300" s="4">
        <v>45534.35076002315</v>
      </c>
      <c r="B4300" s="5" t="s">
        <v>34</v>
      </c>
      <c r="D4300" s="5" t="s">
        <v>9020</v>
      </c>
      <c r="E4300" s="5" t="s">
        <v>28740</v>
      </c>
      <c r="F4300" s="5" t="s">
        <v>375</v>
      </c>
      <c r="G4300" s="5" t="s">
        <v>28741</v>
      </c>
      <c r="H4300" s="6" t="s">
        <v>28742</v>
      </c>
      <c r="K4300" s="5" t="s">
        <v>28737</v>
      </c>
      <c r="M4300" s="5" t="s">
        <v>28743</v>
      </c>
      <c r="N4300" s="7" t="s">
        <v>28744</v>
      </c>
      <c r="O4300" s="8" t="str">
        <f>HYPERLINK("https://drive.google.com/file/d/1PwsRVCsbbuj5i-9UBHh7aMOo2OULzmtL/view?usp=drivesdk","4299_HEROE SOETIKNO _ SERTIFIKAT BerAKHLAK")</f>
        <v>4299_HEROE SOETIKNO _ SERTIFIKAT BerAKHLAK</v>
      </c>
      <c r="P4300" s="5" t="s">
        <v>28745</v>
      </c>
    </row>
    <row r="4301">
      <c r="A4301" s="4">
        <v>45534.3507725</v>
      </c>
      <c r="B4301" s="5" t="s">
        <v>34</v>
      </c>
      <c r="D4301" s="5" t="s">
        <v>4775</v>
      </c>
      <c r="E4301" s="5" t="s">
        <v>28746</v>
      </c>
      <c r="F4301" s="5" t="s">
        <v>72</v>
      </c>
      <c r="G4301" s="5" t="s">
        <v>28747</v>
      </c>
      <c r="H4301" s="6" t="s">
        <v>28748</v>
      </c>
      <c r="K4301" s="5" t="s">
        <v>28737</v>
      </c>
      <c r="M4301" s="5" t="s">
        <v>28749</v>
      </c>
      <c r="N4301" s="7" t="s">
        <v>28750</v>
      </c>
      <c r="O4301" s="8" t="str">
        <f>HYPERLINK("https://drive.google.com/file/d/1Z7bWcg84DGDCl05wJ0tDB57Slpl_zQJY/view?usp=drivesdk","4300_AMIN FAUZI, S.Kom., M.IKom _ SERTIFIKAT BerAKHLAK")</f>
        <v>4300_AMIN FAUZI, S.Kom., M.IKom _ SERTIFIKAT BerAKHLAK</v>
      </c>
      <c r="P4301" s="5" t="s">
        <v>28745</v>
      </c>
    </row>
    <row r="4302" hidden="1">
      <c r="A4302" s="4">
        <v>45534.35077878472</v>
      </c>
      <c r="B4302" s="5" t="s">
        <v>19</v>
      </c>
      <c r="C4302" s="5" t="s">
        <v>292</v>
      </c>
      <c r="E4302" s="5" t="s">
        <v>14925</v>
      </c>
      <c r="F4302" s="5" t="s">
        <v>524</v>
      </c>
      <c r="G4302" s="5" t="s">
        <v>28751</v>
      </c>
      <c r="H4302" s="6" t="s">
        <v>28752</v>
      </c>
      <c r="K4302" s="5" t="s">
        <v>28737</v>
      </c>
      <c r="M4302" s="5" t="s">
        <v>28753</v>
      </c>
      <c r="N4302" s="7" t="s">
        <v>28754</v>
      </c>
      <c r="O4302" s="8" t="str">
        <f>HYPERLINK("https://drive.google.com/file/d/1oYjS7uslf8Mq6nR5C6Wo3gmydcOUej9r/view?usp=drivesdk","4301_SARNO, S.E. _ SERTIFIKAT BerAKHLAK")</f>
        <v>4301_SARNO, S.E. _ SERTIFIKAT BerAKHLAK</v>
      </c>
      <c r="P4302" s="5" t="s">
        <v>28745</v>
      </c>
    </row>
    <row r="4303">
      <c r="A4303" s="4">
        <v>45534.350782106485</v>
      </c>
      <c r="B4303" s="5" t="s">
        <v>34</v>
      </c>
      <c r="D4303" s="5" t="s">
        <v>1768</v>
      </c>
      <c r="E4303" s="5" t="s">
        <v>28755</v>
      </c>
      <c r="F4303" s="5" t="s">
        <v>108</v>
      </c>
      <c r="G4303" s="5" t="s">
        <v>28756</v>
      </c>
      <c r="H4303" s="6" t="s">
        <v>28757</v>
      </c>
      <c r="K4303" s="5" t="s">
        <v>28737</v>
      </c>
      <c r="M4303" s="5" t="s">
        <v>28758</v>
      </c>
      <c r="N4303" s="7" t="s">
        <v>28759</v>
      </c>
      <c r="O4303" s="8" t="str">
        <f>HYPERLINK("https://drive.google.com/file/d/1UvhgICWIzbA2V8dNkfR-Y9IDuIjDd23p/view?usp=drivesdk","4302_TRI KRISNIYAWATI, S.Keb. _ SERTIFIKAT BerAKHLAK")</f>
        <v>4302_TRI KRISNIYAWATI, S.Keb. _ SERTIFIKAT BerAKHLAK</v>
      </c>
      <c r="P4303" s="5" t="s">
        <v>28760</v>
      </c>
    </row>
    <row r="4304">
      <c r="A4304" s="4">
        <v>45534.3507832176</v>
      </c>
      <c r="B4304" s="5" t="s">
        <v>34</v>
      </c>
      <c r="D4304" s="5" t="s">
        <v>12978</v>
      </c>
      <c r="E4304" s="5" t="s">
        <v>28761</v>
      </c>
      <c r="F4304" s="5" t="s">
        <v>6776</v>
      </c>
      <c r="G4304" s="5" t="s">
        <v>28762</v>
      </c>
      <c r="H4304" s="6" t="s">
        <v>28763</v>
      </c>
      <c r="K4304" s="5" t="s">
        <v>28737</v>
      </c>
      <c r="M4304" s="5" t="s">
        <v>28764</v>
      </c>
      <c r="N4304" s="7" t="s">
        <v>28765</v>
      </c>
      <c r="O4304" s="8" t="str">
        <f>HYPERLINK("https://drive.google.com/file/d/1Ka1-M3H3xYFBO1PuHLlgUn0NPuzAhDcf/view?usp=drivesdk","4303_WAWAN SETIAWAN _ SERTIFIKAT BerAKHLAK")</f>
        <v>4303_WAWAN SETIAWAN _ SERTIFIKAT BerAKHLAK</v>
      </c>
      <c r="P4304" s="5" t="s">
        <v>28760</v>
      </c>
    </row>
    <row r="4305">
      <c r="A4305" s="4">
        <v>45534.35078796296</v>
      </c>
      <c r="B4305" s="5" t="s">
        <v>34</v>
      </c>
      <c r="D4305" s="5" t="s">
        <v>35</v>
      </c>
      <c r="E4305" s="5" t="s">
        <v>28766</v>
      </c>
      <c r="F4305" s="5" t="s">
        <v>37</v>
      </c>
      <c r="G4305" s="5" t="s">
        <v>28767</v>
      </c>
      <c r="H4305" s="6" t="s">
        <v>28768</v>
      </c>
      <c r="K4305" s="5" t="s">
        <v>28737</v>
      </c>
      <c r="M4305" s="5" t="s">
        <v>28769</v>
      </c>
      <c r="N4305" s="7" t="s">
        <v>28770</v>
      </c>
      <c r="O4305" s="8" t="str">
        <f>HYPERLINK("https://drive.google.com/file/d/13-YVqPEKIRk9wH7NfcwpgVr9UAX5O29z/view?usp=drivesdk","4304_EDI SUPRIADI  _ SERTIFIKAT BerAKHLAK")</f>
        <v>4304_EDI SUPRIADI  _ SERTIFIKAT BerAKHLAK</v>
      </c>
      <c r="P4305" s="5" t="s">
        <v>28760</v>
      </c>
    </row>
    <row r="4306">
      <c r="A4306" s="4">
        <v>45534.35079096065</v>
      </c>
      <c r="B4306" s="5" t="s">
        <v>34</v>
      </c>
      <c r="D4306" s="5" t="s">
        <v>35</v>
      </c>
      <c r="E4306" s="5" t="s">
        <v>28771</v>
      </c>
      <c r="F4306" s="5" t="s">
        <v>37</v>
      </c>
      <c r="G4306" s="5" t="s">
        <v>28772</v>
      </c>
      <c r="H4306" s="6" t="s">
        <v>28773</v>
      </c>
      <c r="K4306" s="5" t="s">
        <v>28737</v>
      </c>
      <c r="M4306" s="5" t="s">
        <v>28774</v>
      </c>
      <c r="N4306" s="7" t="s">
        <v>28775</v>
      </c>
      <c r="O4306" s="8" t="str">
        <f>HYPERLINK("https://drive.google.com/file/d/1BmOHv1uqGVF_pHrlWCDhgPUsVBxgXyfG/view?usp=drivesdk","4305_EDI SUTISNA  _ SERTIFIKAT BerAKHLAK")</f>
        <v>4305_EDI SUTISNA  _ SERTIFIKAT BerAKHLAK</v>
      </c>
      <c r="P4306" s="5" t="s">
        <v>28760</v>
      </c>
    </row>
    <row r="4307">
      <c r="A4307" s="4">
        <v>45534.3507944213</v>
      </c>
      <c r="B4307" s="5" t="s">
        <v>34</v>
      </c>
      <c r="D4307" s="5" t="s">
        <v>1206</v>
      </c>
      <c r="E4307" s="5" t="s">
        <v>28776</v>
      </c>
      <c r="F4307" s="5" t="s">
        <v>212</v>
      </c>
      <c r="G4307" s="5" t="s">
        <v>28777</v>
      </c>
      <c r="H4307" s="6" t="s">
        <v>28778</v>
      </c>
      <c r="K4307" s="5" t="s">
        <v>28737</v>
      </c>
      <c r="M4307" s="5" t="s">
        <v>28779</v>
      </c>
      <c r="N4307" s="7" t="s">
        <v>28780</v>
      </c>
      <c r="O4307" s="8" t="str">
        <f>HYPERLINK("https://drive.google.com/file/d/1ekWG2Sj6_aKHDQfgsBJuQoH3B8nHFdyq/view?usp=drivesdk","4306_IDA NURYANI _ SERTIFIKAT BerAKHLAK")</f>
        <v>4306_IDA NURYANI _ SERTIFIKAT BerAKHLAK</v>
      </c>
      <c r="P4307" s="5" t="s">
        <v>28781</v>
      </c>
    </row>
    <row r="4308">
      <c r="A4308" s="4">
        <v>45534.35079672454</v>
      </c>
      <c r="B4308" s="5" t="s">
        <v>34</v>
      </c>
      <c r="D4308" s="5" t="s">
        <v>1206</v>
      </c>
      <c r="E4308" s="5" t="s">
        <v>28782</v>
      </c>
      <c r="F4308" s="5" t="s">
        <v>37</v>
      </c>
      <c r="G4308" s="5" t="s">
        <v>28783</v>
      </c>
      <c r="H4308" s="6" t="s">
        <v>28784</v>
      </c>
      <c r="K4308" s="5" t="s">
        <v>28737</v>
      </c>
      <c r="M4308" s="5" t="s">
        <v>28785</v>
      </c>
      <c r="N4308" s="7" t="s">
        <v>28786</v>
      </c>
      <c r="O4308" s="8" t="str">
        <f>HYPERLINK("https://drive.google.com/file/d/1OUwXctrFQGO3GQJABW70Aj04otQ5X81g/view?usp=drivesdk","4307_DADANG SULFIANDI _ SERTIFIKAT BerAKHLAK")</f>
        <v>4307_DADANG SULFIANDI _ SERTIFIKAT BerAKHLAK</v>
      </c>
      <c r="P4308" s="5" t="s">
        <v>28781</v>
      </c>
    </row>
    <row r="4309">
      <c r="A4309" s="4">
        <v>45534.35080134259</v>
      </c>
      <c r="B4309" s="5" t="s">
        <v>34</v>
      </c>
      <c r="D4309" s="5" t="s">
        <v>1206</v>
      </c>
      <c r="E4309" s="5" t="s">
        <v>28787</v>
      </c>
      <c r="F4309" s="5" t="s">
        <v>212</v>
      </c>
      <c r="G4309" s="5" t="s">
        <v>28788</v>
      </c>
      <c r="H4309" s="6" t="s">
        <v>28789</v>
      </c>
      <c r="K4309" s="5" t="s">
        <v>28737</v>
      </c>
      <c r="M4309" s="5" t="s">
        <v>28790</v>
      </c>
      <c r="N4309" s="7" t="s">
        <v>28791</v>
      </c>
      <c r="O4309" s="8" t="str">
        <f>HYPERLINK("https://drive.google.com/file/d/1gXMWWiAQDnUofCCJQgtcp5yZGWbAZNt5/view?usp=drivesdk","4308_SRI RAHAYU SUWIJI _ SERTIFIKAT BerAKHLAK")</f>
        <v>4308_SRI RAHAYU SUWIJI _ SERTIFIKAT BerAKHLAK</v>
      </c>
      <c r="P4309" s="5" t="s">
        <v>28781</v>
      </c>
    </row>
    <row r="4310">
      <c r="A4310" s="4">
        <v>45534.350801759254</v>
      </c>
      <c r="B4310" s="5" t="s">
        <v>34</v>
      </c>
      <c r="D4310" s="5" t="s">
        <v>522</v>
      </c>
      <c r="E4310" s="5" t="s">
        <v>28792</v>
      </c>
      <c r="F4310" s="5" t="s">
        <v>37</v>
      </c>
      <c r="G4310" s="5" t="s">
        <v>28793</v>
      </c>
      <c r="H4310" s="6" t="s">
        <v>28794</v>
      </c>
      <c r="K4310" s="5" t="s">
        <v>28737</v>
      </c>
      <c r="M4310" s="5" t="s">
        <v>28795</v>
      </c>
      <c r="N4310" s="7" t="s">
        <v>28796</v>
      </c>
      <c r="O4310" s="8" t="str">
        <f>HYPERLINK("https://drive.google.com/file/d/1vkGaSckwF9PErUM1pMa7An9Lkq2m6hfa/view?usp=drivesdk","4309_WADI WAHYUDI _ SERTIFIKAT BerAKHLAK")</f>
        <v>4309_WADI WAHYUDI _ SERTIFIKAT BerAKHLAK</v>
      </c>
      <c r="P4310" s="5" t="s">
        <v>28797</v>
      </c>
    </row>
    <row r="4311">
      <c r="A4311" s="4">
        <v>45534.35080375</v>
      </c>
      <c r="B4311" s="5" t="s">
        <v>34</v>
      </c>
      <c r="D4311" s="5" t="s">
        <v>9020</v>
      </c>
      <c r="E4311" s="5" t="s">
        <v>28798</v>
      </c>
      <c r="F4311" s="5" t="s">
        <v>37</v>
      </c>
      <c r="G4311" s="5" t="s">
        <v>28799</v>
      </c>
      <c r="H4311" s="6" t="s">
        <v>28800</v>
      </c>
      <c r="K4311" s="5" t="s">
        <v>28737</v>
      </c>
      <c r="M4311" s="5" t="s">
        <v>28801</v>
      </c>
      <c r="N4311" s="7" t="s">
        <v>28802</v>
      </c>
      <c r="O4311" s="8" t="str">
        <f>HYPERLINK("https://drive.google.com/file/d/1fhN9G_0UfBy8pn-eqdzErd8mmzu_dvSr/view?usp=drivesdk","4310_RIMBA SAKTI  _ SERTIFIKAT BerAKHLAK")</f>
        <v>4310_RIMBA SAKTI  _ SERTIFIKAT BerAKHLAK</v>
      </c>
      <c r="P4311" s="5" t="s">
        <v>28797</v>
      </c>
    </row>
    <row r="4312">
      <c r="A4312" s="4">
        <v>45534.35082678241</v>
      </c>
      <c r="B4312" s="5" t="s">
        <v>34</v>
      </c>
      <c r="D4312" s="5" t="s">
        <v>580</v>
      </c>
      <c r="E4312" s="5" t="s">
        <v>28803</v>
      </c>
      <c r="F4312" s="5" t="s">
        <v>37</v>
      </c>
      <c r="G4312" s="5" t="s">
        <v>28804</v>
      </c>
      <c r="H4312" s="6" t="s">
        <v>28805</v>
      </c>
      <c r="K4312" s="5" t="s">
        <v>28737</v>
      </c>
      <c r="M4312" s="5" t="s">
        <v>28806</v>
      </c>
      <c r="N4312" s="7" t="s">
        <v>28807</v>
      </c>
      <c r="O4312" s="8" t="str">
        <f>HYPERLINK("https://drive.google.com/file/d/1ZMFLfXExNKRxTn6DG3gdlrvkerT_gwdG/view?usp=drivesdk","4311_NI MADE ARIANI _ SERTIFIKAT BerAKHLAK")</f>
        <v>4311_NI MADE ARIANI _ SERTIFIKAT BerAKHLAK</v>
      </c>
      <c r="P4312" s="5" t="s">
        <v>28797</v>
      </c>
    </row>
    <row r="4313">
      <c r="A4313" s="4">
        <v>45534.3508065625</v>
      </c>
      <c r="B4313" s="5" t="s">
        <v>34</v>
      </c>
      <c r="D4313" s="5" t="s">
        <v>9020</v>
      </c>
      <c r="E4313" s="5" t="s">
        <v>28808</v>
      </c>
      <c r="F4313" s="5" t="s">
        <v>120</v>
      </c>
      <c r="G4313" s="5" t="s">
        <v>28809</v>
      </c>
      <c r="H4313" s="6" t="s">
        <v>28810</v>
      </c>
      <c r="K4313" s="5" t="s">
        <v>28737</v>
      </c>
      <c r="M4313" s="5" t="s">
        <v>28811</v>
      </c>
      <c r="N4313" s="7" t="s">
        <v>28812</v>
      </c>
      <c r="O4313" s="8" t="str">
        <f>HYPERLINK("https://drive.google.com/file/d/1X9D-Fy9uCRk1xESKF82xLPXJWsCpJb67/view?usp=drivesdk","4312_SURYA NINGSIH _ SERTIFIKAT BerAKHLAK")</f>
        <v>4312_SURYA NINGSIH _ SERTIFIKAT BerAKHLAK</v>
      </c>
      <c r="P4313" s="5" t="s">
        <v>28797</v>
      </c>
    </row>
    <row r="4314">
      <c r="A4314" s="4">
        <v>45534.35081189815</v>
      </c>
      <c r="B4314" s="5" t="s">
        <v>34</v>
      </c>
      <c r="D4314" s="5" t="s">
        <v>4775</v>
      </c>
      <c r="E4314" s="5" t="s">
        <v>28813</v>
      </c>
      <c r="F4314" s="5" t="s">
        <v>375</v>
      </c>
      <c r="G4314" s="5" t="s">
        <v>28814</v>
      </c>
      <c r="H4314" s="6" t="s">
        <v>28815</v>
      </c>
      <c r="K4314" s="5" t="s">
        <v>28737</v>
      </c>
      <c r="M4314" s="5" t="s">
        <v>28816</v>
      </c>
      <c r="N4314" s="7" t="s">
        <v>28817</v>
      </c>
      <c r="O4314" s="8" t="str">
        <f>HYPERLINK("https://drive.google.com/file/d/1J_8n0HfQif5GnSERVgI7uVru-QrRxxtc/view?usp=drivesdk","4313_RUSMIATUN, S.Sos _ SERTIFIKAT BerAKHLAK")</f>
        <v>4313_RUSMIATUN, S.Sos _ SERTIFIKAT BerAKHLAK</v>
      </c>
      <c r="P4314" s="5" t="s">
        <v>28797</v>
      </c>
    </row>
    <row r="4315" hidden="1">
      <c r="A4315" s="4">
        <v>45534.350840300925</v>
      </c>
      <c r="B4315" s="5" t="s">
        <v>19</v>
      </c>
      <c r="C4315" s="5" t="s">
        <v>292</v>
      </c>
      <c r="E4315" s="5" t="s">
        <v>28818</v>
      </c>
      <c r="F4315" s="5" t="s">
        <v>715</v>
      </c>
      <c r="G4315" s="5" t="s">
        <v>28819</v>
      </c>
      <c r="H4315" s="6" t="s">
        <v>28820</v>
      </c>
      <c r="K4315" s="5" t="s">
        <v>28737</v>
      </c>
      <c r="M4315" s="5" t="s">
        <v>28821</v>
      </c>
      <c r="N4315" s="7" t="s">
        <v>28822</v>
      </c>
      <c r="O4315" s="8" t="str">
        <f>HYPERLINK("https://drive.google.com/file/d/17--srMRr1ZV6TLUjuQO8XnQULmzb4IPB/view?usp=drivesdk","4314_SUHARYONO _ SERTIFIKAT BerAKHLAK")</f>
        <v>4314_SUHARYONO _ SERTIFIKAT BerAKHLAK</v>
      </c>
      <c r="P4315" s="5" t="s">
        <v>28823</v>
      </c>
    </row>
    <row r="4316">
      <c r="A4316" s="4">
        <v>45534.350849305556</v>
      </c>
      <c r="B4316" s="5" t="s">
        <v>34</v>
      </c>
      <c r="D4316" s="5" t="s">
        <v>12978</v>
      </c>
      <c r="E4316" s="5" t="s">
        <v>28824</v>
      </c>
      <c r="F4316" s="5" t="s">
        <v>108</v>
      </c>
      <c r="G4316" s="5" t="s">
        <v>28825</v>
      </c>
      <c r="H4316" s="6" t="s">
        <v>28826</v>
      </c>
      <c r="K4316" s="5" t="s">
        <v>28737</v>
      </c>
      <c r="M4316" s="5" t="s">
        <v>28827</v>
      </c>
      <c r="N4316" s="7" t="s">
        <v>28828</v>
      </c>
      <c r="O4316" s="8" t="str">
        <f>HYPERLINK("https://drive.google.com/file/d/1Scr-vu9xkwcEhHerGku2a2g73GYzCnvZ/view?usp=drivesdk","4315_ADI RACHMAT, S.E. _ SERTIFIKAT BerAKHLAK")</f>
        <v>4315_ADI RACHMAT, S.E. _ SERTIFIKAT BerAKHLAK</v>
      </c>
      <c r="P4316" s="5" t="s">
        <v>28823</v>
      </c>
    </row>
    <row r="4317">
      <c r="A4317" s="4">
        <v>45534.350854282406</v>
      </c>
      <c r="B4317" s="5" t="s">
        <v>34</v>
      </c>
      <c r="D4317" s="5" t="s">
        <v>996</v>
      </c>
      <c r="E4317" s="5" t="s">
        <v>28829</v>
      </c>
      <c r="F4317" s="5" t="s">
        <v>212</v>
      </c>
      <c r="G4317" s="5" t="s">
        <v>28830</v>
      </c>
      <c r="H4317" s="6" t="s">
        <v>28831</v>
      </c>
      <c r="K4317" s="5" t="s">
        <v>28737</v>
      </c>
      <c r="M4317" s="5" t="s">
        <v>28832</v>
      </c>
      <c r="N4317" s="7" t="s">
        <v>28833</v>
      </c>
      <c r="O4317" s="8" t="str">
        <f>HYPERLINK("https://drive.google.com/file/d/1AQvhChSZxPt-_-wldHZcT6n3p5PxKzOh/view?usp=drivesdk","4316_JARLINUM RAHAYU _ SERTIFIKAT BerAKHLAK")</f>
        <v>4316_JARLINUM RAHAYU _ SERTIFIKAT BerAKHLAK</v>
      </c>
      <c r="P4317" s="5" t="s">
        <v>28823</v>
      </c>
    </row>
    <row r="4318">
      <c r="A4318" s="4">
        <v>45534.35087094907</v>
      </c>
      <c r="B4318" s="5" t="s">
        <v>34</v>
      </c>
      <c r="D4318" s="5" t="s">
        <v>1206</v>
      </c>
      <c r="E4318" s="5" t="s">
        <v>28834</v>
      </c>
      <c r="F4318" s="5" t="s">
        <v>37</v>
      </c>
      <c r="G4318" s="5" t="s">
        <v>28835</v>
      </c>
      <c r="H4318" s="6" t="s">
        <v>28836</v>
      </c>
      <c r="K4318" s="5" t="s">
        <v>28737</v>
      </c>
      <c r="M4318" s="5" t="s">
        <v>28837</v>
      </c>
      <c r="N4318" s="7" t="s">
        <v>28838</v>
      </c>
      <c r="O4318" s="8" t="str">
        <f>HYPERLINK("https://drive.google.com/file/d/15MTutpTyXXaD1R9H5J7XOGJLPFd-hY_u/view?usp=drivesdk","4317_HERI SUGIARTO _ SERTIFIKAT BerAKHLAK")</f>
        <v>4317_HERI SUGIARTO _ SERTIFIKAT BerAKHLAK</v>
      </c>
      <c r="P4318" s="5" t="s">
        <v>28823</v>
      </c>
    </row>
    <row r="4319">
      <c r="A4319" s="4">
        <v>45534.35087454861</v>
      </c>
      <c r="B4319" s="5" t="s">
        <v>34</v>
      </c>
      <c r="D4319" s="5" t="s">
        <v>10444</v>
      </c>
      <c r="E4319" s="5" t="s">
        <v>28839</v>
      </c>
      <c r="F4319" s="5" t="s">
        <v>72</v>
      </c>
      <c r="G4319" s="5" t="s">
        <v>28840</v>
      </c>
      <c r="H4319" s="6" t="s">
        <v>28841</v>
      </c>
      <c r="K4319" s="5" t="s">
        <v>28737</v>
      </c>
      <c r="M4319" s="5" t="s">
        <v>28842</v>
      </c>
      <c r="N4319" s="7" t="s">
        <v>28843</v>
      </c>
      <c r="O4319" s="8" t="str">
        <f>HYPERLINK("https://drive.google.com/file/d/1Hq5mqS9MyiIwY4dalwygORi2uK0Ewx_M/view?usp=drivesdk","4318_SRI HARTATI  _ SERTIFIKAT BerAKHLAK")</f>
        <v>4318_SRI HARTATI  _ SERTIFIKAT BerAKHLAK</v>
      </c>
      <c r="P4319" s="5" t="s">
        <v>28844</v>
      </c>
    </row>
    <row r="4320">
      <c r="A4320" s="4">
        <v>45534.35088938657</v>
      </c>
      <c r="B4320" s="5" t="s">
        <v>34</v>
      </c>
      <c r="D4320" s="5" t="s">
        <v>35</v>
      </c>
      <c r="E4320" s="5" t="s">
        <v>28845</v>
      </c>
      <c r="F4320" s="5" t="s">
        <v>524</v>
      </c>
      <c r="G4320" s="5" t="s">
        <v>28846</v>
      </c>
      <c r="H4320" s="6" t="s">
        <v>28847</v>
      </c>
      <c r="K4320" s="5" t="s">
        <v>28737</v>
      </c>
      <c r="M4320" s="5" t="s">
        <v>28848</v>
      </c>
      <c r="N4320" s="7" t="s">
        <v>28849</v>
      </c>
      <c r="O4320" s="8" t="str">
        <f>HYPERLINK("https://drive.google.com/file/d/11w-mcHnOks5DP-4XGvZE0gS5Yue8ezbl/view?usp=drivesdk","4319_ASEP SUPARYANA _ SERTIFIKAT BerAKHLAK")</f>
        <v>4319_ASEP SUPARYANA _ SERTIFIKAT BerAKHLAK</v>
      </c>
      <c r="P4320" s="5" t="s">
        <v>28844</v>
      </c>
    </row>
    <row r="4321">
      <c r="A4321" s="4">
        <v>45534.35090965278</v>
      </c>
      <c r="B4321" s="5" t="s">
        <v>34</v>
      </c>
      <c r="D4321" s="5" t="s">
        <v>1768</v>
      </c>
      <c r="E4321" s="5" t="s">
        <v>28850</v>
      </c>
      <c r="F4321" s="5" t="s">
        <v>72</v>
      </c>
      <c r="G4321" s="5" t="s">
        <v>28851</v>
      </c>
      <c r="H4321" s="6" t="s">
        <v>28852</v>
      </c>
      <c r="K4321" s="5" t="s">
        <v>28737</v>
      </c>
      <c r="M4321" s="5" t="s">
        <v>28853</v>
      </c>
      <c r="N4321" s="7" t="s">
        <v>28854</v>
      </c>
      <c r="O4321" s="8" t="str">
        <f>HYPERLINK("https://drive.google.com/file/d/1-26JAaxNKKVcXBbL-Db15kLxndm2Zrq3/view?usp=drivesdk","4320_dr. PUTU CINDRA PRAMESWARI _ SERTIFIKAT BerAKHLAK")</f>
        <v>4320_dr. PUTU CINDRA PRAMESWARI _ SERTIFIKAT BerAKHLAK</v>
      </c>
      <c r="P4321" s="5" t="s">
        <v>28844</v>
      </c>
    </row>
    <row r="4322">
      <c r="A4322" s="4">
        <v>45534.35091490741</v>
      </c>
      <c r="B4322" s="5" t="s">
        <v>34</v>
      </c>
      <c r="D4322" s="5" t="s">
        <v>35</v>
      </c>
      <c r="E4322" s="5" t="s">
        <v>28855</v>
      </c>
      <c r="F4322" s="5" t="s">
        <v>524</v>
      </c>
      <c r="G4322" s="5" t="s">
        <v>28856</v>
      </c>
      <c r="H4322" s="6" t="s">
        <v>28857</v>
      </c>
      <c r="K4322" s="5" t="s">
        <v>28737</v>
      </c>
      <c r="M4322" s="5" t="s">
        <v>28858</v>
      </c>
      <c r="N4322" s="7" t="s">
        <v>28859</v>
      </c>
      <c r="O4322" s="8" t="str">
        <f>HYPERLINK("https://drive.google.com/file/d/1mB1PraeuTs9-MRUCvI5u8kVUndaY0B7l/view?usp=drivesdk","4321_YULIAWATI _ SERTIFIKAT BerAKHLAK")</f>
        <v>4321_YULIAWATI _ SERTIFIKAT BerAKHLAK</v>
      </c>
      <c r="P4322" s="5" t="s">
        <v>28844</v>
      </c>
    </row>
    <row r="4323">
      <c r="A4323" s="4">
        <v>45534.35092138889</v>
      </c>
      <c r="B4323" s="5" t="s">
        <v>34</v>
      </c>
      <c r="D4323" s="5" t="s">
        <v>1456</v>
      </c>
      <c r="E4323" s="5" t="s">
        <v>28860</v>
      </c>
      <c r="F4323" s="5" t="s">
        <v>37</v>
      </c>
      <c r="G4323" s="5" t="s">
        <v>28861</v>
      </c>
      <c r="H4323" s="6" t="s">
        <v>28862</v>
      </c>
      <c r="K4323" s="5" t="s">
        <v>28863</v>
      </c>
      <c r="M4323" s="5" t="s">
        <v>28864</v>
      </c>
      <c r="N4323" s="7" t="s">
        <v>28865</v>
      </c>
      <c r="O4323" s="8" t="str">
        <f>HYPERLINK("https://drive.google.com/file/d/1sGQKLg5-0-P1um44LrHm6UvLR5fQkcHP/view?usp=drivesdk","4322_ZULFIKRI M, S.Ak _ SERTIFIKAT BerAKHLAK")</f>
        <v>4322_ZULFIKRI M, S.Ak _ SERTIFIKAT BerAKHLAK</v>
      </c>
      <c r="P4323" s="5" t="s">
        <v>28866</v>
      </c>
    </row>
    <row r="4324">
      <c r="A4324" s="4">
        <v>45534.350928125</v>
      </c>
      <c r="B4324" s="5" t="s">
        <v>34</v>
      </c>
      <c r="D4324" s="5" t="s">
        <v>1558</v>
      </c>
      <c r="E4324" s="5" t="s">
        <v>28867</v>
      </c>
      <c r="F4324" s="5" t="s">
        <v>375</v>
      </c>
      <c r="G4324" s="5" t="s">
        <v>28868</v>
      </c>
      <c r="H4324" s="6" t="s">
        <v>28869</v>
      </c>
      <c r="K4324" s="5" t="s">
        <v>28863</v>
      </c>
      <c r="M4324" s="5" t="s">
        <v>28870</v>
      </c>
      <c r="N4324" s="7" t="s">
        <v>28871</v>
      </c>
      <c r="O4324" s="8" t="str">
        <f>HYPERLINK("https://drive.google.com/file/d/1OsY4DWAOOEkfSXncUwd7AS2rHS-X-jk6/view?usp=drivesdk","4323_EVA YULITA, S.Pd _ SERTIFIKAT BerAKHLAK")</f>
        <v>4323_EVA YULITA, S.Pd _ SERTIFIKAT BerAKHLAK</v>
      </c>
      <c r="P4324" s="5" t="s">
        <v>28866</v>
      </c>
    </row>
    <row r="4325">
      <c r="A4325" s="4">
        <v>45534.35093663195</v>
      </c>
      <c r="B4325" s="5" t="s">
        <v>34</v>
      </c>
      <c r="D4325" s="5" t="s">
        <v>522</v>
      </c>
      <c r="E4325" s="5" t="s">
        <v>28872</v>
      </c>
      <c r="F4325" s="5" t="s">
        <v>212</v>
      </c>
      <c r="G4325" s="5" t="s">
        <v>28873</v>
      </c>
      <c r="H4325" s="6" t="s">
        <v>28874</v>
      </c>
      <c r="K4325" s="5" t="s">
        <v>28875</v>
      </c>
      <c r="M4325" s="5" t="s">
        <v>28876</v>
      </c>
      <c r="N4325" s="7" t="s">
        <v>28877</v>
      </c>
      <c r="O4325" s="8" t="str">
        <f>HYPERLINK("https://drive.google.com/file/d/11I6Bb6QQ-WQlAdcIBsYNi1g7OUk2gLjz/view?usp=drivesdk","4324_TITIN NUR AMINY _ SERTIFIKAT BerAKHLAK")</f>
        <v>4324_TITIN NUR AMINY _ SERTIFIKAT BerAKHLAK</v>
      </c>
      <c r="P4325" s="5" t="s">
        <v>28866</v>
      </c>
    </row>
    <row r="4326">
      <c r="A4326" s="4">
        <v>45534.35095436343</v>
      </c>
      <c r="B4326" s="5" t="s">
        <v>34</v>
      </c>
      <c r="D4326" s="5" t="s">
        <v>1206</v>
      </c>
      <c r="E4326" s="5" t="s">
        <v>28878</v>
      </c>
      <c r="F4326" s="5" t="s">
        <v>375</v>
      </c>
      <c r="G4326" s="5" t="s">
        <v>28879</v>
      </c>
      <c r="H4326" s="6" t="s">
        <v>28880</v>
      </c>
      <c r="K4326" s="5" t="s">
        <v>28881</v>
      </c>
      <c r="M4326" s="5" t="s">
        <v>28882</v>
      </c>
      <c r="N4326" s="7" t="s">
        <v>28883</v>
      </c>
      <c r="O4326" s="8" t="str">
        <f>HYPERLINK("https://drive.google.com/file/d/1CkMmNLOQssnBellhjz2Ul65Kt-Lutgsd/view?usp=drivesdk","4325_WIENDA INDAH PRIHATINA,S.FARM.,M.M _ SERTIFIKAT BerAKHLAK")</f>
        <v>4325_WIENDA INDAH PRIHATINA,S.FARM.,M.M _ SERTIFIKAT BerAKHLAK</v>
      </c>
      <c r="P4326" s="5" t="s">
        <v>28866</v>
      </c>
    </row>
    <row r="4327">
      <c r="A4327" s="4">
        <v>45534.35096876157</v>
      </c>
      <c r="B4327" s="5" t="s">
        <v>34</v>
      </c>
      <c r="D4327" s="5" t="s">
        <v>1206</v>
      </c>
      <c r="E4327" s="5" t="s">
        <v>28884</v>
      </c>
      <c r="F4327" s="5" t="s">
        <v>212</v>
      </c>
      <c r="G4327" s="5" t="s">
        <v>28885</v>
      </c>
      <c r="H4327" s="6" t="s">
        <v>28886</v>
      </c>
      <c r="K4327" s="5" t="s">
        <v>28881</v>
      </c>
      <c r="M4327" s="5" t="s">
        <v>28887</v>
      </c>
      <c r="N4327" s="7" t="s">
        <v>28888</v>
      </c>
      <c r="O4327" s="8" t="str">
        <f>HYPERLINK("https://drive.google.com/file/d/1KvcrNbArnPgoSobvIyz-Cwxq6VQiC3Jz/view?usp=drivesdk","4326_MOKHAMMAD SALEH _ SERTIFIKAT BerAKHLAK")</f>
        <v>4326_MOKHAMMAD SALEH _ SERTIFIKAT BerAKHLAK</v>
      </c>
      <c r="P4327" s="5" t="s">
        <v>28866</v>
      </c>
    </row>
    <row r="4328">
      <c r="A4328" s="4">
        <v>45534.3509727662</v>
      </c>
      <c r="B4328" s="5" t="s">
        <v>34</v>
      </c>
      <c r="D4328" s="5" t="s">
        <v>12978</v>
      </c>
      <c r="E4328" s="5" t="s">
        <v>28889</v>
      </c>
      <c r="F4328" s="5" t="s">
        <v>72</v>
      </c>
      <c r="G4328" s="5" t="s">
        <v>28890</v>
      </c>
      <c r="H4328" s="6" t="s">
        <v>28891</v>
      </c>
      <c r="K4328" s="5" t="s">
        <v>28881</v>
      </c>
      <c r="M4328" s="5" t="s">
        <v>28892</v>
      </c>
      <c r="N4328" s="7" t="s">
        <v>28893</v>
      </c>
      <c r="O4328" s="8" t="str">
        <f>HYPERLINK("https://drive.google.com/file/d/12HXxDh9MSx-Ws3ZZUuA64IBhTX55vbiM/view?usp=drivesdk","4327_ENI SUPRAPTI _ SERTIFIKAT BerAKHLAK")</f>
        <v>4327_ENI SUPRAPTI _ SERTIFIKAT BerAKHLAK</v>
      </c>
      <c r="P4328" s="5" t="s">
        <v>28894</v>
      </c>
    </row>
    <row r="4329">
      <c r="A4329" s="4">
        <v>45534.350976643516</v>
      </c>
      <c r="B4329" s="5" t="s">
        <v>34</v>
      </c>
      <c r="D4329" s="5" t="s">
        <v>12978</v>
      </c>
      <c r="E4329" s="5" t="s">
        <v>28895</v>
      </c>
      <c r="F4329" s="5" t="s">
        <v>212</v>
      </c>
      <c r="G4329" s="5" t="s">
        <v>28896</v>
      </c>
      <c r="H4329" s="6" t="s">
        <v>28897</v>
      </c>
      <c r="K4329" s="5" t="s">
        <v>28881</v>
      </c>
      <c r="M4329" s="5" t="s">
        <v>28898</v>
      </c>
      <c r="N4329" s="7" t="s">
        <v>28899</v>
      </c>
      <c r="O4329" s="8" t="str">
        <f>HYPERLINK("https://drive.google.com/file/d/1mUGyYw4N5YNc2jHfldZyrX23cFCtP2hG/view?usp=drivesdk","4328_BUNAWAN _ SERTIFIKAT BerAKHLAK")</f>
        <v>4328_BUNAWAN _ SERTIFIKAT BerAKHLAK</v>
      </c>
      <c r="P4329" s="5" t="s">
        <v>28894</v>
      </c>
    </row>
    <row r="4330" hidden="1">
      <c r="A4330" s="4">
        <v>45534.350979016206</v>
      </c>
      <c r="B4330" s="5" t="s">
        <v>19</v>
      </c>
      <c r="C4330" s="5" t="s">
        <v>292</v>
      </c>
      <c r="E4330" s="5" t="s">
        <v>28900</v>
      </c>
      <c r="F4330" s="5" t="s">
        <v>37</v>
      </c>
      <c r="G4330" s="5" t="s">
        <v>28901</v>
      </c>
      <c r="H4330" s="6" t="s">
        <v>28902</v>
      </c>
      <c r="K4330" s="5" t="s">
        <v>28881</v>
      </c>
      <c r="M4330" s="5" t="s">
        <v>28903</v>
      </c>
      <c r="N4330" s="7" t="s">
        <v>28904</v>
      </c>
      <c r="O4330" s="8" t="str">
        <f>HYPERLINK("https://drive.google.com/file/d/1yeFNzSnFlCSE3KDQtgDnAGpaI6JTQNGM/view?usp=drivesdk","4329_SURYANTI _ SERTIFIKAT BerAKHLAK")</f>
        <v>4329_SURYANTI _ SERTIFIKAT BerAKHLAK</v>
      </c>
      <c r="P4330" s="5" t="s">
        <v>28894</v>
      </c>
    </row>
    <row r="4331">
      <c r="A4331" s="4">
        <v>45534.350980752315</v>
      </c>
      <c r="B4331" s="5" t="s">
        <v>34</v>
      </c>
      <c r="D4331" s="5" t="s">
        <v>4775</v>
      </c>
      <c r="E4331" s="5" t="s">
        <v>28905</v>
      </c>
      <c r="F4331" s="5" t="s">
        <v>212</v>
      </c>
      <c r="G4331" s="5" t="s">
        <v>28906</v>
      </c>
      <c r="H4331" s="6" t="s">
        <v>28907</v>
      </c>
      <c r="K4331" s="5" t="s">
        <v>28881</v>
      </c>
      <c r="M4331" s="5" t="s">
        <v>28908</v>
      </c>
      <c r="N4331" s="7" t="s">
        <v>28909</v>
      </c>
      <c r="O4331" s="8" t="str">
        <f>HYPERLINK("https://drive.google.com/file/d/1FX54Uvk_wDj0gH7FRHNFeBWHaWyfXT0D/view?usp=drivesdk","4330_IMAN SETIAWAN _ SERTIFIKAT BerAKHLAK")</f>
        <v>4330_IMAN SETIAWAN _ SERTIFIKAT BerAKHLAK</v>
      </c>
      <c r="P4331" s="5" t="s">
        <v>28894</v>
      </c>
    </row>
    <row r="4332">
      <c r="A4332" s="4">
        <v>45534.35098662037</v>
      </c>
      <c r="B4332" s="5" t="s">
        <v>34</v>
      </c>
      <c r="D4332" s="5" t="s">
        <v>9020</v>
      </c>
      <c r="E4332" s="5" t="s">
        <v>28910</v>
      </c>
      <c r="F4332" s="5" t="s">
        <v>375</v>
      </c>
      <c r="G4332" s="5" t="s">
        <v>28911</v>
      </c>
      <c r="H4332" s="6" t="s">
        <v>28912</v>
      </c>
      <c r="K4332" s="5" t="s">
        <v>28881</v>
      </c>
      <c r="M4332" s="5" t="s">
        <v>28913</v>
      </c>
      <c r="N4332" s="7" t="s">
        <v>28914</v>
      </c>
      <c r="O4332" s="8" t="str">
        <f>HYPERLINK("https://drive.google.com/file/d/1wIu_-pwaryZg62NUegT_XR5p4Bp6zdPb/view?usp=drivesdk","4331_WARDIANTO _ SERTIFIKAT BerAKHLAK")</f>
        <v>4331_WARDIANTO _ SERTIFIKAT BerAKHLAK</v>
      </c>
      <c r="P4332" s="5" t="s">
        <v>28915</v>
      </c>
    </row>
    <row r="4333">
      <c r="A4333" s="4">
        <v>45534.35098754629</v>
      </c>
      <c r="B4333" s="5" t="s">
        <v>34</v>
      </c>
      <c r="D4333" s="5" t="s">
        <v>35</v>
      </c>
      <c r="E4333" s="5" t="s">
        <v>28916</v>
      </c>
      <c r="F4333" s="5" t="s">
        <v>212</v>
      </c>
      <c r="G4333" s="5" t="s">
        <v>28917</v>
      </c>
      <c r="H4333" s="6" t="s">
        <v>28918</v>
      </c>
      <c r="K4333" s="5" t="s">
        <v>28919</v>
      </c>
      <c r="M4333" s="5" t="s">
        <v>28920</v>
      </c>
      <c r="N4333" s="7" t="s">
        <v>28921</v>
      </c>
      <c r="O4333" s="8" t="str">
        <f>HYPERLINK("https://drive.google.com/file/d/1JM8rLxUnrqDz8xrJK3RKL3q-cbLCmFj6/view?usp=drivesdk","4332_MUH DAWUD  _ SERTIFIKAT BerAKHLAK")</f>
        <v>4332_MUH DAWUD  _ SERTIFIKAT BerAKHLAK</v>
      </c>
      <c r="P4333" s="5" t="s">
        <v>28915</v>
      </c>
    </row>
    <row r="4334">
      <c r="A4334" s="4">
        <v>45534.35099427083</v>
      </c>
      <c r="B4334" s="5" t="s">
        <v>34</v>
      </c>
      <c r="D4334" s="5" t="s">
        <v>701</v>
      </c>
      <c r="E4334" s="5" t="s">
        <v>28922</v>
      </c>
      <c r="F4334" s="5" t="s">
        <v>37</v>
      </c>
      <c r="G4334" s="5" t="s">
        <v>28923</v>
      </c>
      <c r="H4334" s="6" t="s">
        <v>28924</v>
      </c>
      <c r="K4334" s="5" t="s">
        <v>28919</v>
      </c>
      <c r="M4334" s="5" t="s">
        <v>28925</v>
      </c>
      <c r="N4334" s="7" t="s">
        <v>28926</v>
      </c>
      <c r="O4334" s="8" t="str">
        <f>HYPERLINK("https://drive.google.com/file/d/1mryhRqSTUGXTLM53nDWILz0juBfNNXAv/view?usp=drivesdk","4333_M. Nasrul Ramadhan,A.Md.Kep _ SERTIFIKAT BerAKHLAK")</f>
        <v>4333_M. Nasrul Ramadhan,A.Md.Kep _ SERTIFIKAT BerAKHLAK</v>
      </c>
      <c r="P4334" s="5" t="s">
        <v>28915</v>
      </c>
    </row>
    <row r="4335">
      <c r="A4335" s="4">
        <v>45534.35100253472</v>
      </c>
      <c r="B4335" s="5" t="s">
        <v>34</v>
      </c>
      <c r="D4335" s="5" t="s">
        <v>10444</v>
      </c>
      <c r="E4335" s="5" t="s">
        <v>28927</v>
      </c>
      <c r="F4335" s="5" t="s">
        <v>212</v>
      </c>
      <c r="G4335" s="5" t="s">
        <v>28928</v>
      </c>
      <c r="H4335" s="6" t="s">
        <v>28929</v>
      </c>
      <c r="K4335" s="5" t="s">
        <v>28919</v>
      </c>
      <c r="M4335" s="5" t="s">
        <v>28930</v>
      </c>
      <c r="N4335" s="7" t="s">
        <v>28931</v>
      </c>
      <c r="O4335" s="8" t="str">
        <f>HYPERLINK("https://drive.google.com/file/d/1FlsJNSkLxDxUT_JYMI72OnpMi-pGE2ce/view?usp=drivesdk","4334_NENI RUSDIANI _ SERTIFIKAT BerAKHLAK")</f>
        <v>4334_NENI RUSDIANI _ SERTIFIKAT BerAKHLAK</v>
      </c>
      <c r="P4335" s="5" t="s">
        <v>28915</v>
      </c>
    </row>
    <row r="4336">
      <c r="A4336" s="4">
        <v>45534.35100300926</v>
      </c>
      <c r="B4336" s="5" t="s">
        <v>34</v>
      </c>
      <c r="D4336" s="5" t="s">
        <v>996</v>
      </c>
      <c r="E4336" s="5" t="s">
        <v>28932</v>
      </c>
      <c r="F4336" s="5" t="s">
        <v>212</v>
      </c>
      <c r="G4336" s="5" t="s">
        <v>28933</v>
      </c>
      <c r="H4336" s="6" t="s">
        <v>28934</v>
      </c>
      <c r="K4336" s="5" t="s">
        <v>28919</v>
      </c>
      <c r="M4336" s="5" t="s">
        <v>28935</v>
      </c>
      <c r="N4336" s="7" t="s">
        <v>28936</v>
      </c>
      <c r="O4336" s="8" t="str">
        <f>HYPERLINK("https://drive.google.com/file/d/1Rlg9zL2ds9D0Vwb-f2ywPzTzHJh84CUa/view?usp=drivesdk","4335_MEGAWATI _ SERTIFIKAT BerAKHLAK")</f>
        <v>4335_MEGAWATI _ SERTIFIKAT BerAKHLAK</v>
      </c>
      <c r="P4336" s="5" t="s">
        <v>28915</v>
      </c>
    </row>
    <row r="4337">
      <c r="A4337" s="4">
        <v>45534.351011018516</v>
      </c>
      <c r="B4337" s="5" t="s">
        <v>34</v>
      </c>
      <c r="D4337" s="5" t="s">
        <v>701</v>
      </c>
      <c r="E4337" s="5" t="s">
        <v>28937</v>
      </c>
      <c r="F4337" s="5" t="s">
        <v>37</v>
      </c>
      <c r="G4337" s="5" t="s">
        <v>28938</v>
      </c>
      <c r="H4337" s="6" t="s">
        <v>28939</v>
      </c>
      <c r="K4337" s="5" t="s">
        <v>28919</v>
      </c>
      <c r="M4337" s="5" t="s">
        <v>28940</v>
      </c>
      <c r="N4337" s="7" t="s">
        <v>28941</v>
      </c>
      <c r="O4337" s="8" t="str">
        <f>HYPERLINK("https://drive.google.com/file/d/1melIDPc3h5nLX_u29qvNgHOTBjBWW8kZ/view?usp=drivesdk","4336_DINUL HAQ AMD.KEP _ SERTIFIKAT BerAKHLAK")</f>
        <v>4336_DINUL HAQ AMD.KEP _ SERTIFIKAT BerAKHLAK</v>
      </c>
      <c r="P4337" s="5" t="s">
        <v>28942</v>
      </c>
    </row>
    <row r="4338">
      <c r="A4338" s="4">
        <v>45534.35102556713</v>
      </c>
      <c r="B4338" s="5" t="s">
        <v>34</v>
      </c>
      <c r="D4338" s="5" t="s">
        <v>1558</v>
      </c>
      <c r="E4338" s="5" t="s">
        <v>28943</v>
      </c>
      <c r="F4338" s="5" t="s">
        <v>199</v>
      </c>
      <c r="G4338" s="5" t="s">
        <v>28944</v>
      </c>
      <c r="H4338" s="6" t="s">
        <v>28945</v>
      </c>
      <c r="K4338" s="5" t="s">
        <v>28919</v>
      </c>
      <c r="M4338" s="5" t="s">
        <v>28946</v>
      </c>
      <c r="N4338" s="7" t="s">
        <v>28947</v>
      </c>
      <c r="O4338" s="8" t="str">
        <f>HYPERLINK("https://drive.google.com/file/d/1rP9Z28xCZwWvnt1j7O0eSVpiYqN_G4HO/view?usp=drivesdk","4337_DEVA RATINI LENANINGSIH  _ SERTIFIKAT BerAKHLAK")</f>
        <v>4337_DEVA RATINI LENANINGSIH  _ SERTIFIKAT BerAKHLAK</v>
      </c>
      <c r="P4338" s="5" t="s">
        <v>28942</v>
      </c>
    </row>
    <row r="4339">
      <c r="A4339" s="4">
        <v>45534.35102780093</v>
      </c>
      <c r="B4339" s="5" t="s">
        <v>34</v>
      </c>
      <c r="D4339" s="5" t="s">
        <v>4775</v>
      </c>
      <c r="E4339" s="5" t="s">
        <v>28948</v>
      </c>
      <c r="F4339" s="5" t="s">
        <v>37</v>
      </c>
      <c r="G4339" s="5" t="s">
        <v>28949</v>
      </c>
      <c r="H4339" s="6" t="s">
        <v>28950</v>
      </c>
      <c r="K4339" s="5" t="s">
        <v>28919</v>
      </c>
      <c r="M4339" s="5" t="s">
        <v>28951</v>
      </c>
      <c r="N4339" s="7" t="s">
        <v>28952</v>
      </c>
      <c r="O4339" s="8" t="str">
        <f>HYPERLINK("https://drive.google.com/file/d/1hPOBvEf9tIyoOWh4fauiucv0kzJbiZNZ/view?usp=drivesdk","4338_RADEN ALREFA WAHYU PUTRANTO _ SERTIFIKAT BerAKHLAK")</f>
        <v>4338_RADEN ALREFA WAHYU PUTRANTO _ SERTIFIKAT BerAKHLAK</v>
      </c>
      <c r="P4339" s="5" t="s">
        <v>28942</v>
      </c>
    </row>
    <row r="4340" hidden="1">
      <c r="A4340" s="4">
        <v>45534.35103266204</v>
      </c>
      <c r="B4340" s="5" t="s">
        <v>19</v>
      </c>
      <c r="C4340" s="5" t="s">
        <v>466</v>
      </c>
      <c r="E4340" s="5" t="s">
        <v>19722</v>
      </c>
      <c r="F4340" s="5" t="s">
        <v>212</v>
      </c>
      <c r="G4340" s="5" t="s">
        <v>28953</v>
      </c>
      <c r="H4340" s="6" t="s">
        <v>28954</v>
      </c>
      <c r="K4340" s="5" t="s">
        <v>28919</v>
      </c>
      <c r="M4340" s="5" t="s">
        <v>28955</v>
      </c>
      <c r="N4340" s="7" t="s">
        <v>28956</v>
      </c>
      <c r="O4340" s="8" t="str">
        <f>HYPERLINK("https://drive.google.com/file/d/1JHdPHoHApy4cFx2UH0fKyOVUdCCU2kCO/view?usp=drivesdk","4339_SUPARMAN _ SERTIFIKAT BerAKHLAK")</f>
        <v>4339_SUPARMAN _ SERTIFIKAT BerAKHLAK</v>
      </c>
      <c r="P4340" s="5" t="s">
        <v>28942</v>
      </c>
    </row>
    <row r="4341" hidden="1">
      <c r="A4341" s="4">
        <v>45534.351038900466</v>
      </c>
      <c r="B4341" s="5" t="s">
        <v>19</v>
      </c>
      <c r="C4341" s="5" t="s">
        <v>292</v>
      </c>
      <c r="E4341" s="5" t="s">
        <v>28957</v>
      </c>
      <c r="F4341" s="5" t="s">
        <v>108</v>
      </c>
      <c r="G4341" s="5" t="s">
        <v>28958</v>
      </c>
      <c r="H4341" s="6" t="s">
        <v>28959</v>
      </c>
      <c r="K4341" s="5" t="s">
        <v>28919</v>
      </c>
      <c r="M4341" s="5" t="s">
        <v>28960</v>
      </c>
      <c r="N4341" s="7" t="s">
        <v>28961</v>
      </c>
      <c r="O4341" s="8" t="str">
        <f>HYPERLINK("https://drive.google.com/file/d/10ASuffngNbwx2v7CgamjTwZRBmnEBihj/view?usp=drivesdk","4340_LILLAH KURNIAWATI, S.AP. _ SERTIFIKAT BerAKHLAK")</f>
        <v>4340_LILLAH KURNIAWATI, S.AP. _ SERTIFIKAT BerAKHLAK</v>
      </c>
      <c r="P4341" s="5" t="s">
        <v>28962</v>
      </c>
    </row>
    <row r="4342">
      <c r="A4342" s="4">
        <v>45534.351042696755</v>
      </c>
      <c r="B4342" s="5" t="s">
        <v>34</v>
      </c>
      <c r="D4342" s="5" t="s">
        <v>1206</v>
      </c>
      <c r="E4342" s="5" t="s">
        <v>24624</v>
      </c>
      <c r="F4342" s="5" t="s">
        <v>37</v>
      </c>
      <c r="G4342" s="5" t="s">
        <v>28963</v>
      </c>
      <c r="H4342" s="6" t="s">
        <v>28964</v>
      </c>
      <c r="K4342" s="5" t="s">
        <v>28919</v>
      </c>
      <c r="M4342" s="5" t="s">
        <v>28965</v>
      </c>
      <c r="N4342" s="7" t="s">
        <v>28966</v>
      </c>
      <c r="O4342" s="8" t="str">
        <f>HYPERLINK("https://drive.google.com/file/d/1ReCZ33tsxDUXqwb3eFjZJ6ls5OcwD2TX/view?usp=drivesdk","4341_SUGIONO _ SERTIFIKAT BerAKHLAK")</f>
        <v>4341_SUGIONO _ SERTIFIKAT BerAKHLAK</v>
      </c>
      <c r="P4342" s="5" t="s">
        <v>28962</v>
      </c>
    </row>
    <row r="4343">
      <c r="A4343" s="4">
        <v>45534.3510449537</v>
      </c>
      <c r="B4343" s="5" t="s">
        <v>34</v>
      </c>
      <c r="D4343" s="5" t="s">
        <v>9020</v>
      </c>
      <c r="E4343" s="5" t="s">
        <v>28967</v>
      </c>
      <c r="F4343" s="5" t="s">
        <v>524</v>
      </c>
      <c r="G4343" s="5" t="s">
        <v>28968</v>
      </c>
      <c r="H4343" s="6" t="s">
        <v>28969</v>
      </c>
      <c r="K4343" s="5" t="s">
        <v>28919</v>
      </c>
      <c r="M4343" s="5" t="s">
        <v>28970</v>
      </c>
      <c r="N4343" s="7" t="s">
        <v>28971</v>
      </c>
      <c r="O4343" s="8" t="str">
        <f>HYPERLINK("https://drive.google.com/file/d/1Jk8uEXJSXBhyCOYzCDYstfG_7W4WQRto/view?usp=drivesdk","4342_BASIMAN _ SERTIFIKAT BerAKHLAK")</f>
        <v>4342_BASIMAN _ SERTIFIKAT BerAKHLAK</v>
      </c>
      <c r="P4343" s="5" t="s">
        <v>28962</v>
      </c>
    </row>
    <row r="4344">
      <c r="A4344" s="4">
        <v>45534.35104555555</v>
      </c>
      <c r="B4344" s="5" t="s">
        <v>34</v>
      </c>
      <c r="D4344" s="5" t="s">
        <v>2903</v>
      </c>
      <c r="E4344" s="5" t="s">
        <v>28972</v>
      </c>
      <c r="F4344" s="5" t="s">
        <v>120</v>
      </c>
      <c r="G4344" s="5" t="s">
        <v>28973</v>
      </c>
      <c r="H4344" s="6" t="s">
        <v>28974</v>
      </c>
      <c r="K4344" s="5" t="s">
        <v>28919</v>
      </c>
      <c r="M4344" s="5" t="s">
        <v>28975</v>
      </c>
      <c r="N4344" s="7" t="s">
        <v>28976</v>
      </c>
      <c r="O4344" s="8" t="str">
        <f>HYPERLINK("https://drive.google.com/file/d/1Lrl9l6bLC1SUTQsSGdqEnbbpfXOV8Lhk/view?usp=drivesdk","4343_Dr.DEBBY _ SERTIFIKAT BerAKHLAK")</f>
        <v>4343_Dr.DEBBY _ SERTIFIKAT BerAKHLAK</v>
      </c>
      <c r="P4344" s="5" t="s">
        <v>28962</v>
      </c>
    </row>
    <row r="4345">
      <c r="A4345" s="4">
        <v>45534.35104982639</v>
      </c>
      <c r="B4345" s="5" t="s">
        <v>34</v>
      </c>
      <c r="D4345" s="5" t="s">
        <v>9394</v>
      </c>
      <c r="E4345" s="5" t="s">
        <v>17857</v>
      </c>
      <c r="F4345" s="5" t="s">
        <v>212</v>
      </c>
      <c r="G4345" s="5" t="s">
        <v>28977</v>
      </c>
      <c r="H4345" s="6" t="s">
        <v>28978</v>
      </c>
      <c r="K4345" s="5" t="s">
        <v>28919</v>
      </c>
      <c r="M4345" s="5" t="s">
        <v>28979</v>
      </c>
      <c r="N4345" s="7" t="s">
        <v>28980</v>
      </c>
      <c r="O4345" s="8" t="str">
        <f>HYPERLINK("https://drive.google.com/file/d/1c5l6O_9iRwGKA1pxvHLE9qriFxrxDmyy/view?usp=drivesdk","4344_HERLINA _ SERTIFIKAT BerAKHLAK")</f>
        <v>4344_HERLINA _ SERTIFIKAT BerAKHLAK</v>
      </c>
      <c r="P4345" s="5" t="s">
        <v>28981</v>
      </c>
    </row>
    <row r="4346">
      <c r="A4346" s="4">
        <v>45534.35105513889</v>
      </c>
      <c r="B4346" s="5" t="s">
        <v>34</v>
      </c>
      <c r="D4346" s="5" t="s">
        <v>14313</v>
      </c>
      <c r="E4346" s="5" t="s">
        <v>28982</v>
      </c>
      <c r="F4346" s="5" t="s">
        <v>375</v>
      </c>
      <c r="G4346" s="5" t="s">
        <v>28983</v>
      </c>
      <c r="H4346" s="6" t="s">
        <v>28984</v>
      </c>
      <c r="K4346" s="5" t="s">
        <v>28919</v>
      </c>
      <c r="M4346" s="5" t="s">
        <v>28985</v>
      </c>
      <c r="N4346" s="7" t="s">
        <v>28986</v>
      </c>
      <c r="O4346" s="8" t="str">
        <f>HYPERLINK("https://drive.google.com/file/d/1oxqeh4e6UlOPlsBe9f8bHP05vzImCeX1/view?usp=drivesdk","4345_NURWAHIDAH,S.IP _ SERTIFIKAT BerAKHLAK")</f>
        <v>4345_NURWAHIDAH,S.IP _ SERTIFIKAT BerAKHLAK</v>
      </c>
      <c r="P4346" s="5" t="s">
        <v>28981</v>
      </c>
    </row>
    <row r="4347">
      <c r="A4347" s="4">
        <v>45534.35106017361</v>
      </c>
      <c r="B4347" s="5" t="s">
        <v>34</v>
      </c>
      <c r="D4347" s="5" t="s">
        <v>522</v>
      </c>
      <c r="E4347" s="5" t="s">
        <v>28987</v>
      </c>
      <c r="F4347" s="5" t="s">
        <v>120</v>
      </c>
      <c r="G4347" s="5" t="s">
        <v>28988</v>
      </c>
      <c r="H4347" s="6" t="s">
        <v>28989</v>
      </c>
      <c r="K4347" s="5" t="s">
        <v>28919</v>
      </c>
      <c r="M4347" s="5" t="s">
        <v>28990</v>
      </c>
      <c r="N4347" s="7" t="s">
        <v>28991</v>
      </c>
      <c r="O4347" s="8" t="str">
        <f>HYPERLINK("https://drive.google.com/file/d/1b2PkfCeAGvgpgdp2gCA2-hrmLKV30u3P/view?usp=drivesdk","4346_APRIONO,S.E _ SERTIFIKAT BerAKHLAK")</f>
        <v>4346_APRIONO,S.E _ SERTIFIKAT BerAKHLAK</v>
      </c>
      <c r="P4347" s="5" t="s">
        <v>28981</v>
      </c>
    </row>
    <row r="4348" hidden="1">
      <c r="A4348" s="4">
        <v>45534.3510641551</v>
      </c>
      <c r="B4348" s="5" t="s">
        <v>19</v>
      </c>
      <c r="C4348" s="5" t="s">
        <v>5058</v>
      </c>
      <c r="E4348" s="5" t="s">
        <v>28992</v>
      </c>
      <c r="F4348" s="5" t="s">
        <v>108</v>
      </c>
      <c r="G4348" s="5" t="s">
        <v>28993</v>
      </c>
      <c r="H4348" s="6" t="s">
        <v>28994</v>
      </c>
      <c r="K4348" s="5" t="s">
        <v>28919</v>
      </c>
      <c r="M4348" s="5" t="s">
        <v>28995</v>
      </c>
      <c r="N4348" s="7" t="s">
        <v>28996</v>
      </c>
      <c r="O4348" s="8" t="str">
        <f>HYPERLINK("https://drive.google.com/file/d/1mCEJRn4HVykNluZOszm24-DjntCFxo0F/view?usp=drivesdk","4347_DINA SORAYYA _ SERTIFIKAT BerAKHLAK")</f>
        <v>4347_DINA SORAYYA _ SERTIFIKAT BerAKHLAK</v>
      </c>
      <c r="P4348" s="5" t="s">
        <v>28981</v>
      </c>
    </row>
    <row r="4349" hidden="1">
      <c r="A4349" s="4">
        <v>45534.35108415509</v>
      </c>
      <c r="B4349" s="5" t="s">
        <v>19</v>
      </c>
      <c r="C4349" s="5" t="s">
        <v>466</v>
      </c>
      <c r="E4349" s="5" t="s">
        <v>28997</v>
      </c>
      <c r="F4349" s="5" t="s">
        <v>212</v>
      </c>
      <c r="G4349" s="5" t="s">
        <v>28998</v>
      </c>
      <c r="H4349" s="6" t="s">
        <v>28999</v>
      </c>
      <c r="K4349" s="5" t="s">
        <v>28919</v>
      </c>
      <c r="M4349" s="5" t="s">
        <v>29000</v>
      </c>
      <c r="N4349" s="7" t="s">
        <v>29001</v>
      </c>
      <c r="O4349" s="8" t="str">
        <f>HYPERLINK("https://drive.google.com/file/d/1MCnrPTsQQQHtSgA8ABN2koKeg9_OHTXr/view?usp=drivesdk","4348_YADI SUPRIADI _ SERTIFIKAT BerAKHLAK")</f>
        <v>4348_YADI SUPRIADI _ SERTIFIKAT BerAKHLAK</v>
      </c>
      <c r="P4349" s="5" t="s">
        <v>29002</v>
      </c>
    </row>
    <row r="4350">
      <c r="A4350" s="4">
        <v>45534.351086875</v>
      </c>
      <c r="B4350" s="5" t="s">
        <v>34</v>
      </c>
      <c r="D4350" s="5" t="s">
        <v>9020</v>
      </c>
      <c r="E4350" s="5" t="s">
        <v>29003</v>
      </c>
      <c r="F4350" s="5" t="s">
        <v>212</v>
      </c>
      <c r="G4350" s="5" t="s">
        <v>29004</v>
      </c>
      <c r="H4350" s="6" t="s">
        <v>29005</v>
      </c>
      <c r="K4350" s="5" t="s">
        <v>28919</v>
      </c>
      <c r="M4350" s="5" t="s">
        <v>29006</v>
      </c>
      <c r="N4350" s="7" t="s">
        <v>29007</v>
      </c>
      <c r="O4350" s="8" t="str">
        <f>HYPERLINK("https://drive.google.com/file/d/12Bah3KtMzGMV0P1kxZb3UhvKC1FIiBMv/view?usp=drivesdk","4349_HELMADINAH SIMANJUNTAK _ SERTIFIKAT BerAKHLAK")</f>
        <v>4349_HELMADINAH SIMANJUNTAK _ SERTIFIKAT BerAKHLAK</v>
      </c>
      <c r="P4350" s="5" t="s">
        <v>29002</v>
      </c>
    </row>
    <row r="4351">
      <c r="A4351" s="4">
        <v>45534.35110332176</v>
      </c>
      <c r="B4351" s="5" t="s">
        <v>34</v>
      </c>
      <c r="D4351" s="5" t="s">
        <v>6232</v>
      </c>
      <c r="E4351" s="5" t="s">
        <v>29008</v>
      </c>
      <c r="F4351" s="5" t="s">
        <v>212</v>
      </c>
      <c r="G4351" s="5" t="s">
        <v>29009</v>
      </c>
      <c r="H4351" s="6" t="s">
        <v>29010</v>
      </c>
      <c r="K4351" s="5" t="s">
        <v>29011</v>
      </c>
      <c r="M4351" s="5" t="s">
        <v>29012</v>
      </c>
      <c r="N4351" s="7" t="s">
        <v>29013</v>
      </c>
      <c r="O4351" s="8" t="str">
        <f>HYPERLINK("https://drive.google.com/file/d/13J2_K_f4dSZpuyLeWzCyQw_BkGUl6GEf/view?usp=drivesdk","4350_PENGATUR TK I ASIAH _ SERTIFIKAT BerAKHLAK")</f>
        <v>4350_PENGATUR TK I ASIAH _ SERTIFIKAT BerAKHLAK</v>
      </c>
      <c r="P4351" s="5" t="s">
        <v>29002</v>
      </c>
    </row>
    <row r="4352">
      <c r="A4352" s="4">
        <v>45534.351106030095</v>
      </c>
      <c r="B4352" s="5" t="s">
        <v>34</v>
      </c>
      <c r="D4352" s="5" t="s">
        <v>9020</v>
      </c>
      <c r="E4352" s="5" t="s">
        <v>29014</v>
      </c>
      <c r="F4352" s="5" t="s">
        <v>37</v>
      </c>
      <c r="G4352" s="5" t="s">
        <v>29015</v>
      </c>
      <c r="H4352" s="6" t="s">
        <v>29016</v>
      </c>
      <c r="K4352" s="5" t="s">
        <v>29011</v>
      </c>
      <c r="M4352" s="5" t="s">
        <v>29017</v>
      </c>
      <c r="N4352" s="7" t="s">
        <v>29018</v>
      </c>
      <c r="O4352" s="8" t="str">
        <f>HYPERLINK("https://drive.google.com/file/d/1WHdRr_44zPDhSRELPQ0rriWeoDbRMNrx/view?usp=drivesdk","4351_HADI MULYONO _ SERTIFIKAT BerAKHLAK")</f>
        <v>4351_HADI MULYONO _ SERTIFIKAT BerAKHLAK</v>
      </c>
      <c r="P4352" s="5" t="s">
        <v>29002</v>
      </c>
    </row>
    <row r="4353">
      <c r="A4353" s="4">
        <v>45534.351116631944</v>
      </c>
      <c r="B4353" s="5" t="s">
        <v>34</v>
      </c>
      <c r="D4353" s="5" t="s">
        <v>9020</v>
      </c>
      <c r="E4353" s="5" t="s">
        <v>29019</v>
      </c>
      <c r="F4353" s="5" t="s">
        <v>328</v>
      </c>
      <c r="G4353" s="5" t="s">
        <v>29020</v>
      </c>
      <c r="H4353" s="6" t="s">
        <v>29021</v>
      </c>
      <c r="K4353" s="5" t="s">
        <v>29022</v>
      </c>
      <c r="M4353" s="5" t="s">
        <v>29023</v>
      </c>
      <c r="N4353" s="7" t="s">
        <v>29024</v>
      </c>
      <c r="O4353" s="8" t="str">
        <f>HYPERLINK("https://drive.google.com/file/d/1Rt9PODutJfh7eK6zCpO07eLBfdX1HYLd/view?usp=drivesdk","4352_M.SOFIAN _ SERTIFIKAT BerAKHLAK")</f>
        <v>4352_M.SOFIAN _ SERTIFIKAT BerAKHLAK</v>
      </c>
      <c r="P4353" s="5" t="s">
        <v>29002</v>
      </c>
    </row>
    <row r="4354">
      <c r="A4354" s="4">
        <v>45534.35112390046</v>
      </c>
      <c r="B4354" s="5" t="s">
        <v>34</v>
      </c>
      <c r="D4354" s="5" t="s">
        <v>1206</v>
      </c>
      <c r="E4354" s="5" t="s">
        <v>29025</v>
      </c>
      <c r="F4354" s="5" t="s">
        <v>37</v>
      </c>
      <c r="G4354" s="5" t="s">
        <v>29026</v>
      </c>
      <c r="H4354" s="6" t="s">
        <v>29027</v>
      </c>
      <c r="K4354" s="5" t="s">
        <v>29022</v>
      </c>
      <c r="M4354" s="5" t="s">
        <v>29028</v>
      </c>
      <c r="N4354" s="7" t="s">
        <v>29029</v>
      </c>
      <c r="O4354" s="8" t="str">
        <f>HYPERLINK("https://drive.google.com/file/d/1ovLjZlMPjiV-HZqWveaG81qWgR57vnOI/view?usp=drivesdk","4353_MUNAWAR SOKEH _ SERTIFIKAT BerAKHLAK")</f>
        <v>4353_MUNAWAR SOKEH _ SERTIFIKAT BerAKHLAK</v>
      </c>
      <c r="P4354" s="5" t="s">
        <v>29030</v>
      </c>
    </row>
    <row r="4355">
      <c r="A4355" s="4">
        <v>45534.351135578705</v>
      </c>
      <c r="B4355" s="5" t="s">
        <v>34</v>
      </c>
      <c r="D4355" s="5" t="s">
        <v>1206</v>
      </c>
      <c r="E4355" s="5" t="s">
        <v>17242</v>
      </c>
      <c r="F4355" s="5" t="s">
        <v>37</v>
      </c>
      <c r="G4355" s="5" t="s">
        <v>29031</v>
      </c>
      <c r="H4355" s="6" t="s">
        <v>29032</v>
      </c>
      <c r="K4355" s="5" t="s">
        <v>29033</v>
      </c>
      <c r="M4355" s="5" t="s">
        <v>29034</v>
      </c>
      <c r="N4355" s="7" t="s">
        <v>29035</v>
      </c>
      <c r="O4355" s="8" t="str">
        <f>HYPERLINK("https://drive.google.com/file/d/1t1Pah3mdEo8N02xsmS5GdKkuxJMecyGx/view?usp=drivesdk","4354_SUYITNO _ SERTIFIKAT BerAKHLAK")</f>
        <v>4354_SUYITNO _ SERTIFIKAT BerAKHLAK</v>
      </c>
      <c r="P4355" s="5" t="s">
        <v>29030</v>
      </c>
    </row>
    <row r="4356">
      <c r="A4356" s="4">
        <v>45534.35116586805</v>
      </c>
      <c r="B4356" s="5" t="s">
        <v>34</v>
      </c>
      <c r="D4356" s="5" t="s">
        <v>1206</v>
      </c>
      <c r="E4356" s="5" t="s">
        <v>29036</v>
      </c>
      <c r="F4356" s="5" t="s">
        <v>37</v>
      </c>
      <c r="G4356" s="5" t="s">
        <v>29037</v>
      </c>
      <c r="H4356" s="6" t="s">
        <v>29038</v>
      </c>
      <c r="I4356" s="7" t="s">
        <v>29039</v>
      </c>
      <c r="J4356" s="8" t="str">
        <f>HYPERLINK("https://drive.google.com/file/d/1UpcmFk2477Ef3bmyX8lNk69fADFRKC8s/view?usp=drivesdk","TITIK NENG RAHAYU, S.Psi. SERTIFIKAT BerAKHLAK")</f>
        <v>TITIK NENG RAHAYU, S.Psi. SERTIFIKAT BerAKHLAK</v>
      </c>
      <c r="K4356" s="5" t="s">
        <v>27679</v>
      </c>
      <c r="L4356" s="5" t="s">
        <v>29040</v>
      </c>
      <c r="M4356" s="5" t="s">
        <v>29041</v>
      </c>
      <c r="N4356" s="7" t="s">
        <v>29042</v>
      </c>
      <c r="O4356" s="8" t="str">
        <f>HYPERLINK("https://drive.google.com/file/d/16_UVxyNEOS9pepPiUcuvhyKJjplLoQ32/view?usp=drivesdk","4355_TITIK NENG RAHAYU, S.Psi. _ SERTIFIKAT BerAKHLAK")</f>
        <v>4355_TITIK NENG RAHAYU, S.Psi. _ SERTIFIKAT BerAKHLAK</v>
      </c>
      <c r="P4356" s="5" t="s">
        <v>29030</v>
      </c>
    </row>
    <row r="4357">
      <c r="A4357" s="4">
        <v>45534.351170532405</v>
      </c>
      <c r="B4357" s="5" t="s">
        <v>34</v>
      </c>
      <c r="D4357" s="5" t="s">
        <v>4775</v>
      </c>
      <c r="E4357" s="5" t="s">
        <v>29043</v>
      </c>
      <c r="F4357" s="5" t="s">
        <v>328</v>
      </c>
      <c r="G4357" s="5" t="s">
        <v>29044</v>
      </c>
      <c r="H4357" s="6" t="s">
        <v>29045</v>
      </c>
      <c r="I4357" s="7" t="s">
        <v>29046</v>
      </c>
      <c r="J4357" s="8" t="str">
        <f>HYPERLINK("https://drive.google.com/file/d/1QF3mZvfQq-RLgcRo60HPyMVX0a2-STTy/view?usp=drivesdk","SURIPTO SERTIFIKAT BerAKHLAK")</f>
        <v>SURIPTO SERTIFIKAT BerAKHLAK</v>
      </c>
      <c r="K4357" s="5" t="s">
        <v>28639</v>
      </c>
      <c r="L4357" s="5" t="s">
        <v>29047</v>
      </c>
      <c r="M4357" s="5" t="s">
        <v>29048</v>
      </c>
      <c r="N4357" s="7" t="s">
        <v>29049</v>
      </c>
      <c r="O4357" s="8" t="str">
        <f>HYPERLINK("https://drive.google.com/file/d/11DTUEQsKAh3AE4xnSWviqKrssbZymP9A/view?usp=drivesdk","4356_SURIPTO _ SERTIFIKAT BerAKHLAK")</f>
        <v>4356_SURIPTO _ SERTIFIKAT BerAKHLAK</v>
      </c>
      <c r="P4357" s="5" t="s">
        <v>29050</v>
      </c>
    </row>
    <row r="4358">
      <c r="A4358" s="4">
        <v>45534.351181875</v>
      </c>
      <c r="B4358" s="5" t="s">
        <v>34</v>
      </c>
      <c r="D4358" s="5" t="s">
        <v>1206</v>
      </c>
      <c r="E4358" s="5" t="s">
        <v>29051</v>
      </c>
      <c r="F4358" s="5" t="s">
        <v>375</v>
      </c>
      <c r="G4358" s="5" t="s">
        <v>29052</v>
      </c>
      <c r="H4358" s="6" t="s">
        <v>29053</v>
      </c>
      <c r="I4358" s="7" t="s">
        <v>29054</v>
      </c>
      <c r="J4358" s="8" t="str">
        <f>HYPERLINK("https://drive.google.com/file/d/138XS91MSmV4HvQ_ILwcte13bO5TzWXJk/view?usp=drivesdk","ANISA PURNAWATI, SE. SERTIFIKAT BerAKHLAK")</f>
        <v>ANISA PURNAWATI, SE. SERTIFIKAT BerAKHLAK</v>
      </c>
      <c r="K4358" s="5" t="s">
        <v>28639</v>
      </c>
      <c r="L4358" s="5" t="s">
        <v>29055</v>
      </c>
      <c r="M4358" s="5" t="s">
        <v>29056</v>
      </c>
      <c r="N4358" s="7" t="s">
        <v>29057</v>
      </c>
      <c r="O4358" s="8" t="str">
        <f>HYPERLINK("https://drive.google.com/file/d/1DYOAxvD2t408KYhYihAc-zb7ZefdtyEM/view?usp=drivesdk","4357_ANISA PURNAWATI, SE. _ SERTIFIKAT BerAKHLAK")</f>
        <v>4357_ANISA PURNAWATI, SE. _ SERTIFIKAT BerAKHLAK</v>
      </c>
      <c r="P4358" s="5" t="s">
        <v>29058</v>
      </c>
    </row>
    <row r="4359">
      <c r="A4359" s="4">
        <v>45534.35119253473</v>
      </c>
      <c r="B4359" s="5" t="s">
        <v>34</v>
      </c>
      <c r="D4359" s="5" t="s">
        <v>1558</v>
      </c>
      <c r="E4359" s="5" t="s">
        <v>29059</v>
      </c>
      <c r="F4359" s="5" t="s">
        <v>375</v>
      </c>
      <c r="G4359" s="5" t="s">
        <v>29060</v>
      </c>
      <c r="H4359" s="6" t="s">
        <v>29061</v>
      </c>
      <c r="K4359" s="5" t="s">
        <v>29062</v>
      </c>
      <c r="M4359" s="5" t="s">
        <v>29063</v>
      </c>
      <c r="N4359" s="7" t="s">
        <v>29064</v>
      </c>
      <c r="O4359" s="8" t="str">
        <f>HYPERLINK("https://drive.google.com/file/d/1m9ZKL60mUFzAiLvRPquRFj1Q8KldkfuN/view?usp=drivesdk","4358_AGUS ARIFIN, SH _ SERTIFIKAT BerAKHLAK")</f>
        <v>4358_AGUS ARIFIN, SH _ SERTIFIKAT BerAKHLAK</v>
      </c>
      <c r="P4359" s="5" t="s">
        <v>29058</v>
      </c>
    </row>
    <row r="4360">
      <c r="A4360" s="4">
        <v>45534.35119371528</v>
      </c>
      <c r="B4360" s="5" t="s">
        <v>34</v>
      </c>
      <c r="D4360" s="5" t="s">
        <v>701</v>
      </c>
      <c r="E4360" s="5" t="s">
        <v>29065</v>
      </c>
      <c r="F4360" s="5" t="s">
        <v>37</v>
      </c>
      <c r="G4360" s="5" t="s">
        <v>29066</v>
      </c>
      <c r="H4360" s="6" t="s">
        <v>29067</v>
      </c>
      <c r="K4360" s="5" t="s">
        <v>29062</v>
      </c>
      <c r="M4360" s="5" t="s">
        <v>29068</v>
      </c>
      <c r="N4360" s="7" t="s">
        <v>29069</v>
      </c>
      <c r="O4360" s="8" t="str">
        <f>HYPERLINK("https://drive.google.com/file/d/1P18_vYPkjWV4LQneLyhxf0oW7xiabN_L/view?usp=drivesdk","4359_YUHERNIS _ SERTIFIKAT BerAKHLAK")</f>
        <v>4359_YUHERNIS _ SERTIFIKAT BerAKHLAK</v>
      </c>
      <c r="P4360" s="5" t="s">
        <v>29070</v>
      </c>
    </row>
    <row r="4361">
      <c r="A4361" s="4">
        <v>45534.35119825232</v>
      </c>
      <c r="B4361" s="5" t="s">
        <v>34</v>
      </c>
      <c r="D4361" s="5" t="s">
        <v>1206</v>
      </c>
      <c r="E4361" s="5" t="s">
        <v>29071</v>
      </c>
      <c r="F4361" s="5" t="s">
        <v>212</v>
      </c>
      <c r="G4361" s="5" t="s">
        <v>29072</v>
      </c>
      <c r="H4361" s="6" t="s">
        <v>29073</v>
      </c>
      <c r="I4361" s="7" t="s">
        <v>29074</v>
      </c>
      <c r="J4361" s="8" t="str">
        <f>HYPERLINK("https://drive.google.com/file/d/16B-MrkrfxLjSLBjtR0-1op2NroIuT4XN/view?usp=drivesdk","WIWIN PUJAYANTI, A.Md.Far. SERTIFIKAT BerAKHLAK")</f>
        <v>WIWIN PUJAYANTI, A.Md.Far. SERTIFIKAT BerAKHLAK</v>
      </c>
      <c r="K4361" s="5" t="s">
        <v>28639</v>
      </c>
      <c r="L4361" s="5" t="s">
        <v>29075</v>
      </c>
      <c r="M4361" s="5" t="s">
        <v>29076</v>
      </c>
      <c r="N4361" s="7" t="s">
        <v>29077</v>
      </c>
      <c r="O4361" s="8" t="str">
        <f>HYPERLINK("https://drive.google.com/file/d/14qojSh3TZ3PAFKQUGCqGgOCY-FLxAYgB/view?usp=drivesdk","4360_WIWIN PUJAYANTI, A.Md.Far. _ SERTIFIKAT BerAKHLAK")</f>
        <v>4360_WIWIN PUJAYANTI, A.Md.Far. _ SERTIFIKAT BerAKHLAK</v>
      </c>
      <c r="P4361" s="5" t="s">
        <v>29070</v>
      </c>
    </row>
    <row r="4362">
      <c r="A4362" s="4">
        <v>45534.351202743055</v>
      </c>
      <c r="B4362" s="5" t="s">
        <v>34</v>
      </c>
      <c r="D4362" s="5" t="s">
        <v>4775</v>
      </c>
      <c r="E4362" s="5" t="s">
        <v>21737</v>
      </c>
      <c r="F4362" s="5" t="s">
        <v>212</v>
      </c>
      <c r="G4362" s="5" t="s">
        <v>29078</v>
      </c>
      <c r="H4362" s="6" t="s">
        <v>29079</v>
      </c>
      <c r="I4362" s="7" t="s">
        <v>29080</v>
      </c>
      <c r="J4362" s="8" t="str">
        <f>HYPERLINK("https://drive.google.com/file/d/1y3-9cUwoXGoDBFyV_Bcw6Wa_zhUjghb4/view?usp=drivesdk","SRI HARTINI SERTIFIKAT BerAKHLAK")</f>
        <v>SRI HARTINI SERTIFIKAT BerAKHLAK</v>
      </c>
      <c r="K4362" s="5" t="s">
        <v>28639</v>
      </c>
      <c r="L4362" s="5" t="s">
        <v>29081</v>
      </c>
      <c r="M4362" s="5" t="s">
        <v>29082</v>
      </c>
      <c r="N4362" s="7" t="s">
        <v>29083</v>
      </c>
      <c r="O4362" s="8" t="str">
        <f>HYPERLINK("https://drive.google.com/file/d/1s9Gpc9sSceW7hthcBE3e0sCpRsk0o7nm/view?usp=drivesdk","4361_SRI HARTINI _ SERTIFIKAT BerAKHLAK")</f>
        <v>4361_SRI HARTINI _ SERTIFIKAT BerAKHLAK</v>
      </c>
      <c r="P4362" s="5" t="s">
        <v>29070</v>
      </c>
    </row>
    <row r="4363">
      <c r="A4363" s="4">
        <v>45534.35120405092</v>
      </c>
      <c r="B4363" s="5" t="s">
        <v>34</v>
      </c>
      <c r="D4363" s="5" t="s">
        <v>1206</v>
      </c>
      <c r="E4363" s="5" t="s">
        <v>29084</v>
      </c>
      <c r="F4363" s="5" t="s">
        <v>37</v>
      </c>
      <c r="G4363" s="5" t="s">
        <v>29085</v>
      </c>
      <c r="H4363" s="6" t="s">
        <v>29086</v>
      </c>
      <c r="I4363" s="7" t="s">
        <v>29087</v>
      </c>
      <c r="J4363" s="8" t="str">
        <f>HYPERLINK("https://drive.google.com/file/d/1SkwCxQuraO_wmuOhfsF4q3LHMXUOYKlk/view?usp=drivesdk","SUGIARTO SERTIFIKAT BerAKHLAK")</f>
        <v>SUGIARTO SERTIFIKAT BerAKHLAK</v>
      </c>
      <c r="K4363" s="5" t="s">
        <v>28639</v>
      </c>
      <c r="L4363" s="5" t="s">
        <v>29088</v>
      </c>
      <c r="M4363" s="5" t="s">
        <v>29089</v>
      </c>
      <c r="N4363" s="7" t="s">
        <v>29090</v>
      </c>
      <c r="O4363" s="8" t="str">
        <f>HYPERLINK("https://drive.google.com/file/d/1MYD9rC3x_0kJWHpJFCMKGzJpBA5HBkl3/view?usp=drivesdk","4362_SUGIARTO _ SERTIFIKAT BerAKHLAK")</f>
        <v>4362_SUGIARTO _ SERTIFIKAT BerAKHLAK</v>
      </c>
      <c r="P4363" s="5" t="s">
        <v>29091</v>
      </c>
    </row>
    <row r="4364">
      <c r="A4364" s="4">
        <v>45534.35121849537</v>
      </c>
      <c r="B4364" s="5" t="s">
        <v>34</v>
      </c>
      <c r="D4364" s="5" t="s">
        <v>1206</v>
      </c>
      <c r="E4364" s="5" t="s">
        <v>29092</v>
      </c>
      <c r="F4364" s="5" t="s">
        <v>72</v>
      </c>
      <c r="G4364" s="5" t="s">
        <v>29093</v>
      </c>
      <c r="H4364" s="6" t="s">
        <v>29094</v>
      </c>
      <c r="K4364" s="5" t="s">
        <v>29095</v>
      </c>
      <c r="M4364" s="5" t="s">
        <v>29096</v>
      </c>
      <c r="N4364" s="7" t="s">
        <v>29097</v>
      </c>
      <c r="O4364" s="8" t="str">
        <f>HYPERLINK("https://drive.google.com/file/d/16H4abKDGxbrPHvVm8RKD1FFbcuri0IEZ/view?usp=drivesdk","4363_ERNA TUMINAWATI, S.H. _ SERTIFIKAT BerAKHLAK")</f>
        <v>4363_ERNA TUMINAWATI, S.H. _ SERTIFIKAT BerAKHLAK</v>
      </c>
      <c r="P4364" s="5" t="s">
        <v>29091</v>
      </c>
    </row>
    <row r="4365">
      <c r="A4365" s="4">
        <v>45534.351225439816</v>
      </c>
      <c r="B4365" s="5" t="s">
        <v>34</v>
      </c>
      <c r="D4365" s="5" t="s">
        <v>12978</v>
      </c>
      <c r="E4365" s="5" t="s">
        <v>29098</v>
      </c>
      <c r="F4365" s="5" t="s">
        <v>212</v>
      </c>
      <c r="G4365" s="5" t="s">
        <v>29099</v>
      </c>
      <c r="H4365" s="6" t="s">
        <v>29100</v>
      </c>
      <c r="I4365" s="7" t="s">
        <v>29101</v>
      </c>
      <c r="J4365" s="8" t="str">
        <f>HYPERLINK("https://drive.google.com/file/d/1aCvB2CWKpbwR4OSf6_71Ceplsun3Kkrr/view?usp=drivesdk","SUMiYATI SERTIFIKAT BerAKHLAK")</f>
        <v>SUMiYATI SERTIFIKAT BerAKHLAK</v>
      </c>
      <c r="K4365" s="5" t="s">
        <v>28639</v>
      </c>
      <c r="L4365" s="5" t="s">
        <v>29102</v>
      </c>
      <c r="M4365" s="5" t="s">
        <v>29103</v>
      </c>
      <c r="N4365" s="7" t="s">
        <v>29104</v>
      </c>
      <c r="O4365" s="8" t="str">
        <f>HYPERLINK("https://drive.google.com/file/d/12S_Ts5Oml3MvlJmpEgGgfkT8Ju79tIKU/view?usp=drivesdk","4364_SUMiYATI _ SERTIFIKAT BerAKHLAK")</f>
        <v>4364_SUMiYATI _ SERTIFIKAT BerAKHLAK</v>
      </c>
      <c r="P4365" s="5" t="s">
        <v>29091</v>
      </c>
    </row>
    <row r="4366">
      <c r="A4366" s="4">
        <v>45534.3512481713</v>
      </c>
      <c r="B4366" s="5" t="s">
        <v>34</v>
      </c>
      <c r="D4366" s="5" t="s">
        <v>1206</v>
      </c>
      <c r="E4366" s="5" t="s">
        <v>29105</v>
      </c>
      <c r="F4366" s="5" t="s">
        <v>375</v>
      </c>
      <c r="G4366" s="5" t="s">
        <v>29106</v>
      </c>
      <c r="H4366" s="6" t="s">
        <v>29107</v>
      </c>
      <c r="I4366" s="7" t="s">
        <v>29108</v>
      </c>
      <c r="J4366" s="8" t="str">
        <f>HYPERLINK("https://drive.google.com/file/d/1MdAdjfJkMNEZbameoY8zuhdEHgaQNU6z/view?usp=drivesdk","SELVIA FITRI MULYANTI  SERTIFIKAT BerAKHLAK")</f>
        <v>SELVIA FITRI MULYANTI  SERTIFIKAT BerAKHLAK</v>
      </c>
      <c r="K4366" s="5" t="s">
        <v>28639</v>
      </c>
      <c r="L4366" s="5" t="s">
        <v>29109</v>
      </c>
      <c r="M4366" s="5" t="s">
        <v>29110</v>
      </c>
      <c r="N4366" s="7" t="s">
        <v>29111</v>
      </c>
      <c r="O4366" s="8" t="str">
        <f>HYPERLINK("https://drive.google.com/file/d/1ULKf0NH1u-1UO4VJE55v-gqZtlZgrY4T/view?usp=drivesdk","4365_SELVIA FITRI MULYANTI  _ SERTIFIKAT BerAKHLAK")</f>
        <v>4365_SELVIA FITRI MULYANTI  _ SERTIFIKAT BerAKHLAK</v>
      </c>
      <c r="P4366" s="5" t="s">
        <v>29091</v>
      </c>
    </row>
    <row r="4367">
      <c r="A4367" s="4">
        <v>45534.35125775463</v>
      </c>
      <c r="B4367" s="5" t="s">
        <v>34</v>
      </c>
      <c r="D4367" s="5" t="s">
        <v>4775</v>
      </c>
      <c r="E4367" s="5" t="s">
        <v>29112</v>
      </c>
      <c r="F4367" s="5" t="s">
        <v>212</v>
      </c>
      <c r="G4367" s="5" t="s">
        <v>29113</v>
      </c>
      <c r="H4367" s="6" t="s">
        <v>29114</v>
      </c>
      <c r="I4367" s="7" t="s">
        <v>29115</v>
      </c>
      <c r="J4367" s="8" t="str">
        <f>HYPERLINK("https://drive.google.com/file/d/1v5IdnspGr5YzfqNLSmGydOuJ5huK2NJ8/view?usp=drivesdk","TUGI EKWAN SERTIFIKAT BerAKHLAK")</f>
        <v>TUGI EKWAN SERTIFIKAT BerAKHLAK</v>
      </c>
      <c r="K4367" s="5" t="s">
        <v>28639</v>
      </c>
      <c r="L4367" s="5" t="s">
        <v>29116</v>
      </c>
      <c r="M4367" s="5" t="s">
        <v>29117</v>
      </c>
      <c r="N4367" s="7" t="s">
        <v>29118</v>
      </c>
      <c r="O4367" s="8" t="str">
        <f>HYPERLINK("https://drive.google.com/file/d/16CM5NXXRryVatYVHQIN4NtyeNExokURd/view?usp=drivesdk","4366_TUGI EKWAN _ SERTIFIKAT BerAKHLAK")</f>
        <v>4366_TUGI EKWAN _ SERTIFIKAT BerAKHLAK</v>
      </c>
      <c r="P4367" s="5" t="s">
        <v>29091</v>
      </c>
    </row>
    <row r="4368">
      <c r="A4368" s="4">
        <v>45534.351267060185</v>
      </c>
      <c r="B4368" s="5" t="s">
        <v>34</v>
      </c>
      <c r="D4368" s="5" t="s">
        <v>35</v>
      </c>
      <c r="E4368" s="5" t="s">
        <v>29119</v>
      </c>
      <c r="F4368" s="5" t="s">
        <v>375</v>
      </c>
      <c r="G4368" s="5" t="s">
        <v>29120</v>
      </c>
      <c r="H4368" s="6" t="s">
        <v>29121</v>
      </c>
      <c r="I4368" s="7" t="s">
        <v>29122</v>
      </c>
      <c r="J4368" s="8" t="str">
        <f>HYPERLINK("https://drive.google.com/file/d/1wC6hmDqeK-gUbV6-RnvbuEXLzA6f165b/view?usp=drivesdk","YUNO ALYUDIN, S.T. SERTIFIKAT BerAKHLAK")</f>
        <v>YUNO ALYUDIN, S.T. SERTIFIKAT BerAKHLAK</v>
      </c>
      <c r="K4368" s="5" t="s">
        <v>28639</v>
      </c>
      <c r="L4368" s="5" t="s">
        <v>29123</v>
      </c>
      <c r="M4368" s="5" t="s">
        <v>29124</v>
      </c>
      <c r="N4368" s="7" t="s">
        <v>29125</v>
      </c>
      <c r="O4368" s="8" t="str">
        <f>HYPERLINK("https://drive.google.com/file/d/13_7GTBvAwdmDZWOG1XEIiyCLF9zPL8wM/view?usp=drivesdk","4367_YUNO ALYUDIN, S.T. _ SERTIFIKAT BerAKHLAK")</f>
        <v>4367_YUNO ALYUDIN, S.T. _ SERTIFIKAT BerAKHLAK</v>
      </c>
      <c r="P4368" s="5" t="s">
        <v>29126</v>
      </c>
    </row>
    <row r="4369">
      <c r="A4369" s="4">
        <v>45534.35127636574</v>
      </c>
      <c r="B4369" s="5" t="s">
        <v>34</v>
      </c>
      <c r="D4369" s="5" t="s">
        <v>35</v>
      </c>
      <c r="E4369" s="5" t="s">
        <v>29127</v>
      </c>
      <c r="F4369" s="5" t="s">
        <v>72</v>
      </c>
      <c r="G4369" s="5" t="s">
        <v>29128</v>
      </c>
      <c r="H4369" s="6" t="s">
        <v>29129</v>
      </c>
      <c r="I4369" s="7" t="s">
        <v>29130</v>
      </c>
      <c r="J4369" s="8" t="str">
        <f>HYPERLINK("https://drive.google.com/file/d/1GyruqO0cpkdI3O7yM-0ojaynkZdPhD8f/view?usp=drivesdk","SRI REJEKI WINDARNINGSIH SERTIFIKAT BerAKHLAK")</f>
        <v>SRI REJEKI WINDARNINGSIH SERTIFIKAT BerAKHLAK</v>
      </c>
      <c r="K4369" s="5" t="s">
        <v>28639</v>
      </c>
      <c r="L4369" s="5" t="s">
        <v>29131</v>
      </c>
      <c r="M4369" s="5" t="s">
        <v>29132</v>
      </c>
      <c r="N4369" s="7" t="s">
        <v>29133</v>
      </c>
      <c r="O4369" s="8" t="str">
        <f>HYPERLINK("https://drive.google.com/file/d/1IY1TTGhIwWlIuYGK4NO4me4R2Uj2uEGk/view?usp=drivesdk","4368_SRI REJEKI WINDARNINGSIH _ SERTIFIKAT BerAKHLAK")</f>
        <v>4368_SRI REJEKI WINDARNINGSIH _ SERTIFIKAT BerAKHLAK</v>
      </c>
      <c r="P4369" s="5" t="s">
        <v>29126</v>
      </c>
    </row>
    <row r="4370">
      <c r="A4370" s="4">
        <v>45534.35128371528</v>
      </c>
      <c r="B4370" s="5" t="s">
        <v>34</v>
      </c>
      <c r="D4370" s="5" t="s">
        <v>701</v>
      </c>
      <c r="E4370" s="5" t="s">
        <v>29134</v>
      </c>
      <c r="F4370" s="5" t="s">
        <v>212</v>
      </c>
      <c r="G4370" s="5" t="s">
        <v>29135</v>
      </c>
      <c r="H4370" s="6" t="s">
        <v>29136</v>
      </c>
      <c r="I4370" s="7" t="s">
        <v>29137</v>
      </c>
      <c r="J4370" s="8" t="str">
        <f>HYPERLINK("https://drive.google.com/file/d/1HERXb2N_a5jLLgv56AojRw2F2xWBvBT6/view?usp=drivesdk","NI YUR YURNI SERTIFIKAT BerAKHLAK")</f>
        <v>NI YUR YURNI SERTIFIKAT BerAKHLAK</v>
      </c>
      <c r="K4370" s="5" t="s">
        <v>28639</v>
      </c>
      <c r="L4370" s="5" t="s">
        <v>29138</v>
      </c>
      <c r="M4370" s="5" t="s">
        <v>29139</v>
      </c>
      <c r="N4370" s="7" t="s">
        <v>29140</v>
      </c>
      <c r="O4370" s="8" t="str">
        <f>HYPERLINK("https://drive.google.com/file/d/1Y8xb8gr8UVR2lhLLOfq5b4RvVXgGx8yE/view?usp=drivesdk","4369_NI YUR YURNI _ SERTIFIKAT BerAKHLAK")</f>
        <v>4369_NI YUR YURNI _ SERTIFIKAT BerAKHLAK</v>
      </c>
      <c r="P4370" s="5" t="s">
        <v>29126</v>
      </c>
    </row>
    <row r="4371">
      <c r="A4371" s="4">
        <v>45534.35129012731</v>
      </c>
      <c r="B4371" s="5" t="s">
        <v>34</v>
      </c>
      <c r="D4371" s="5" t="s">
        <v>996</v>
      </c>
      <c r="E4371" s="5" t="s">
        <v>29141</v>
      </c>
      <c r="F4371" s="5" t="s">
        <v>375</v>
      </c>
      <c r="G4371" s="5" t="s">
        <v>29142</v>
      </c>
      <c r="H4371" s="6" t="s">
        <v>29143</v>
      </c>
      <c r="I4371" s="7" t="s">
        <v>29144</v>
      </c>
      <c r="J4371" s="8" t="str">
        <f>HYPERLINK("https://drive.google.com/file/d/1JZ6sHAeFOCKjWmRzG8csPe2BVI9T2sAX/view?usp=drivesdk","NURUL MUNA,S.E. SERTIFIKAT BerAKHLAK")</f>
        <v>NURUL MUNA,S.E. SERTIFIKAT BerAKHLAK</v>
      </c>
      <c r="K4371" s="5" t="s">
        <v>28639</v>
      </c>
      <c r="L4371" s="5" t="s">
        <v>29145</v>
      </c>
      <c r="M4371" s="5" t="s">
        <v>29146</v>
      </c>
      <c r="N4371" s="7" t="s">
        <v>29147</v>
      </c>
      <c r="O4371" s="8" t="str">
        <f>HYPERLINK("https://drive.google.com/file/d/1ZdkVWZZ2jKzaqeLnM_e4fo4DCKwTslB-/view?usp=drivesdk","4370_NURUL MUNA,S.E. _ SERTIFIKAT BerAKHLAK")</f>
        <v>4370_NURUL MUNA,S.E. _ SERTIFIKAT BerAKHLAK</v>
      </c>
      <c r="P4371" s="5" t="s">
        <v>29126</v>
      </c>
    </row>
    <row r="4372">
      <c r="A4372" s="4">
        <v>45534.35128592592</v>
      </c>
      <c r="B4372" s="5" t="s">
        <v>34</v>
      </c>
      <c r="D4372" s="5" t="s">
        <v>3849</v>
      </c>
      <c r="E4372" s="5" t="s">
        <v>29148</v>
      </c>
      <c r="F4372" s="5" t="s">
        <v>37</v>
      </c>
      <c r="G4372" s="5" t="s">
        <v>29149</v>
      </c>
      <c r="H4372" s="6" t="s">
        <v>29150</v>
      </c>
      <c r="I4372" s="7" t="s">
        <v>29151</v>
      </c>
      <c r="J4372" s="8" t="str">
        <f>HYPERLINK("https://drive.google.com/file/d/1R2mJn-2V-i93uQDQiKe62-TiQkj_wgIb/view?usp=drivesdk","DEDY DERMAWAN SERTIFIKAT BerAKHLAK")</f>
        <v>DEDY DERMAWAN SERTIFIKAT BerAKHLAK</v>
      </c>
      <c r="K4372" s="5" t="s">
        <v>28639</v>
      </c>
      <c r="L4372" s="5" t="s">
        <v>29152</v>
      </c>
      <c r="M4372" s="5" t="s">
        <v>29153</v>
      </c>
      <c r="N4372" s="7" t="s">
        <v>29154</v>
      </c>
      <c r="O4372" s="8" t="str">
        <f>HYPERLINK("https://drive.google.com/file/d/1-lmHk8SzNkN-Cf0uFxoLgegym-W9BZlS/view?usp=drivesdk","4371_DEDY DERMAWAN _ SERTIFIKAT BerAKHLAK")</f>
        <v>4371_DEDY DERMAWAN _ SERTIFIKAT BerAKHLAK</v>
      </c>
      <c r="P4372" s="5" t="s">
        <v>29155</v>
      </c>
    </row>
    <row r="4373">
      <c r="A4373" s="4">
        <v>45534.351291597224</v>
      </c>
      <c r="B4373" s="5" t="s">
        <v>34</v>
      </c>
      <c r="D4373" s="5" t="s">
        <v>1206</v>
      </c>
      <c r="E4373" s="5" t="s">
        <v>29156</v>
      </c>
      <c r="F4373" s="5" t="s">
        <v>212</v>
      </c>
      <c r="G4373" s="5" t="s">
        <v>29157</v>
      </c>
      <c r="H4373" s="6" t="s">
        <v>29158</v>
      </c>
      <c r="I4373" s="7" t="s">
        <v>29159</v>
      </c>
      <c r="J4373" s="8" t="str">
        <f>HYPERLINK("https://drive.google.com/file/d/1HQPmB41WbaTyXFvnJ8mnGsLuDGkhxRck/view?usp=drivesdk","HARI SUTIYONO SERTIFIKAT BerAKHLAK")</f>
        <v>HARI SUTIYONO SERTIFIKAT BerAKHLAK</v>
      </c>
      <c r="K4373" s="5" t="s">
        <v>28639</v>
      </c>
      <c r="L4373" s="5" t="s">
        <v>29160</v>
      </c>
      <c r="M4373" s="5" t="s">
        <v>29161</v>
      </c>
      <c r="N4373" s="7" t="s">
        <v>29162</v>
      </c>
      <c r="O4373" s="8" t="str">
        <f>HYPERLINK("https://drive.google.com/file/d/1tlAgemFvRhKVMSJy5wIlDK-qhGi18qwM/view?usp=drivesdk","4372_HARI SUTIYONO _ SERTIFIKAT BerAKHLAK")</f>
        <v>4372_HARI SUTIYONO _ SERTIFIKAT BerAKHLAK</v>
      </c>
      <c r="P4373" s="5" t="s">
        <v>29155</v>
      </c>
    </row>
    <row r="4374">
      <c r="A4374" s="4">
        <v>45534.35129820602</v>
      </c>
      <c r="B4374" s="5" t="s">
        <v>34</v>
      </c>
      <c r="D4374" s="5" t="s">
        <v>701</v>
      </c>
      <c r="E4374" s="5" t="s">
        <v>29163</v>
      </c>
      <c r="F4374" s="5" t="s">
        <v>37</v>
      </c>
      <c r="G4374" s="5" t="s">
        <v>29164</v>
      </c>
      <c r="H4374" s="6" t="s">
        <v>29165</v>
      </c>
      <c r="K4374" s="5" t="s">
        <v>29166</v>
      </c>
      <c r="M4374" s="5" t="s">
        <v>29167</v>
      </c>
      <c r="N4374" s="7" t="s">
        <v>29168</v>
      </c>
      <c r="O4374" s="8" t="str">
        <f>HYPERLINK("https://drive.google.com/file/d/1FlXX8BjjQF89ZJn2gT6Rk09Uw8zBo15O/view?usp=drivesdk","4373_REHAYAVABI ANDISKA PUTRI, A.Md.Kep _ SERTIFIKAT BerAKHLAK")</f>
        <v>4373_REHAYAVABI ANDISKA PUTRI, A.Md.Kep _ SERTIFIKAT BerAKHLAK</v>
      </c>
      <c r="P4374" s="5" t="s">
        <v>29155</v>
      </c>
    </row>
    <row r="4375">
      <c r="A4375" s="4">
        <v>45534.35129893519</v>
      </c>
      <c r="B4375" s="5" t="s">
        <v>34</v>
      </c>
      <c r="D4375" s="5" t="s">
        <v>1558</v>
      </c>
      <c r="E4375" s="5" t="s">
        <v>29169</v>
      </c>
      <c r="F4375" s="5" t="s">
        <v>212</v>
      </c>
      <c r="G4375" s="5" t="s">
        <v>29170</v>
      </c>
      <c r="H4375" s="6" t="s">
        <v>29171</v>
      </c>
      <c r="K4375" s="5" t="s">
        <v>29166</v>
      </c>
      <c r="M4375" s="5" t="s">
        <v>29172</v>
      </c>
      <c r="N4375" s="7" t="s">
        <v>29173</v>
      </c>
      <c r="O4375" s="8" t="str">
        <f>HYPERLINK("https://drive.google.com/file/d/1xXSGc0sjbokO08R_egg2C8BxsbJJdowb/view?usp=drivesdk","4374_ADE SAPUTRA _ SERTIFIKAT BerAKHLAK")</f>
        <v>4374_ADE SAPUTRA _ SERTIFIKAT BerAKHLAK</v>
      </c>
      <c r="P4375" s="5" t="s">
        <v>29174</v>
      </c>
    </row>
    <row r="4376">
      <c r="A4376" s="4">
        <v>45534.35130112269</v>
      </c>
      <c r="B4376" s="5" t="s">
        <v>34</v>
      </c>
      <c r="D4376" s="5" t="s">
        <v>1768</v>
      </c>
      <c r="E4376" s="5" t="s">
        <v>29175</v>
      </c>
      <c r="F4376" s="5" t="s">
        <v>72</v>
      </c>
      <c r="G4376" s="5" t="s">
        <v>29176</v>
      </c>
      <c r="H4376" s="6" t="s">
        <v>29177</v>
      </c>
      <c r="K4376" s="5" t="s">
        <v>29166</v>
      </c>
      <c r="M4376" s="5" t="s">
        <v>29178</v>
      </c>
      <c r="N4376" s="7" t="s">
        <v>29179</v>
      </c>
      <c r="O4376" s="8" t="str">
        <f>HYPERLINK("https://drive.google.com/file/d/1qtOT3xJuMp9pglbCyV6ya20TXHowVFEW/view?usp=drivesdk","4375_JUNY Amd.Kep _ SERTIFIKAT BerAKHLAK")</f>
        <v>4375_JUNY Amd.Kep _ SERTIFIKAT BerAKHLAK</v>
      </c>
      <c r="P4376" s="5" t="s">
        <v>29174</v>
      </c>
    </row>
    <row r="4377">
      <c r="A4377" s="4">
        <v>45534.35131431713</v>
      </c>
      <c r="B4377" s="5" t="s">
        <v>34</v>
      </c>
      <c r="D4377" s="5" t="s">
        <v>2903</v>
      </c>
      <c r="E4377" s="5" t="s">
        <v>29180</v>
      </c>
      <c r="F4377" s="5" t="s">
        <v>212</v>
      </c>
      <c r="G4377" s="5" t="s">
        <v>29181</v>
      </c>
      <c r="H4377" s="6" t="s">
        <v>29182</v>
      </c>
      <c r="I4377" s="7" t="s">
        <v>29183</v>
      </c>
      <c r="J4377" s="8" t="str">
        <f>HYPERLINK("https://drive.google.com/file/d/1hh5JM3MpwOricWlsjsZ2ElQC1q48Os6p/view?usp=drivesdk","SEPTARINA CITRA LESTARI, AMD. Kep SERTIFIKAT BerAKHLAK")</f>
        <v>SEPTARINA CITRA LESTARI, AMD. Kep SERTIFIKAT BerAKHLAK</v>
      </c>
      <c r="K4377" s="5" t="s">
        <v>28639</v>
      </c>
      <c r="L4377" s="5" t="s">
        <v>29184</v>
      </c>
      <c r="M4377" s="5" t="s">
        <v>29185</v>
      </c>
      <c r="N4377" s="7" t="s">
        <v>29186</v>
      </c>
      <c r="O4377" s="8" t="str">
        <f>HYPERLINK("https://drive.google.com/file/d/1MzgzgJf00zfMHb6g2CFEra4XATPGMZat/view?usp=drivesdk","4376_SEPTARINA CITRA LESTARI, AMD. Kep _ SERTIFIKAT BerAKHLAK")</f>
        <v>4376_SEPTARINA CITRA LESTARI, AMD. Kep _ SERTIFIKAT BerAKHLAK</v>
      </c>
      <c r="P4377" s="5" t="s">
        <v>29187</v>
      </c>
    </row>
    <row r="4378">
      <c r="A4378" s="4">
        <v>45534.35132138889</v>
      </c>
      <c r="B4378" s="5" t="s">
        <v>34</v>
      </c>
      <c r="D4378" s="5" t="s">
        <v>12978</v>
      </c>
      <c r="E4378" s="5" t="s">
        <v>29188</v>
      </c>
      <c r="F4378" s="5" t="s">
        <v>375</v>
      </c>
      <c r="G4378" s="5" t="s">
        <v>29189</v>
      </c>
      <c r="H4378" s="6" t="s">
        <v>29190</v>
      </c>
      <c r="I4378" s="7" t="s">
        <v>29191</v>
      </c>
      <c r="J4378" s="8" t="str">
        <f>HYPERLINK("https://drive.google.com/file/d/1STgggQZbZiurUWzcSPDFk7YzYQ2H97cr/view?usp=drivesdk","DANIAL, S.E. SERTIFIKAT BerAKHLAK")</f>
        <v>DANIAL, S.E. SERTIFIKAT BerAKHLAK</v>
      </c>
      <c r="K4378" s="5" t="s">
        <v>28639</v>
      </c>
      <c r="L4378" s="5" t="s">
        <v>29192</v>
      </c>
      <c r="M4378" s="5" t="s">
        <v>29193</v>
      </c>
      <c r="N4378" s="7" t="s">
        <v>29194</v>
      </c>
      <c r="O4378" s="8" t="str">
        <f>HYPERLINK("https://drive.google.com/file/d/1Ctd5QG3XbGy-oCO8aODyXt4ujFQnyBRS/view?usp=drivesdk","4377_DANIAL, S.E. _ SERTIFIKAT BerAKHLAK")</f>
        <v>4377_DANIAL, S.E. _ SERTIFIKAT BerAKHLAK</v>
      </c>
      <c r="P4378" s="5" t="s">
        <v>29187</v>
      </c>
    </row>
    <row r="4379" hidden="1">
      <c r="A4379" s="4">
        <v>45534.35132740741</v>
      </c>
      <c r="B4379" s="5" t="s">
        <v>19</v>
      </c>
      <c r="C4379" s="5" t="s">
        <v>292</v>
      </c>
      <c r="E4379" s="5" t="s">
        <v>29195</v>
      </c>
      <c r="F4379" s="5" t="s">
        <v>375</v>
      </c>
      <c r="G4379" s="5" t="s">
        <v>29196</v>
      </c>
      <c r="H4379" s="6" t="s">
        <v>29197</v>
      </c>
      <c r="I4379" s="7" t="s">
        <v>29198</v>
      </c>
      <c r="J4379" s="8" t="str">
        <f>HYPERLINK("https://drive.google.com/file/d/1T7-0LDRubgbikCryU5hcdvddlaMG6sJW/view?usp=drivesdk","YANI HERAWATI, S.E. SERTIFIKAT BerAKHLAK")</f>
        <v>YANI HERAWATI, S.E. SERTIFIKAT BerAKHLAK</v>
      </c>
      <c r="K4379" s="5" t="s">
        <v>28639</v>
      </c>
      <c r="L4379" s="5" t="s">
        <v>29199</v>
      </c>
      <c r="M4379" s="5" t="s">
        <v>29200</v>
      </c>
      <c r="N4379" s="7" t="s">
        <v>29201</v>
      </c>
      <c r="O4379" s="8" t="str">
        <f>HYPERLINK("https://drive.google.com/file/d/1Hi7mIZgFmElB8-sFhFHfDJm3zUJhhMyX/view?usp=drivesdk","4378_YANI HERAWATI, S.E. _ SERTIFIKAT BerAKHLAK")</f>
        <v>4378_YANI HERAWATI, S.E. _ SERTIFIKAT BerAKHLAK</v>
      </c>
      <c r="P4379" s="5" t="s">
        <v>29187</v>
      </c>
    </row>
    <row r="4380">
      <c r="A4380" s="4">
        <v>45534.35133089121</v>
      </c>
      <c r="B4380" s="5" t="s">
        <v>34</v>
      </c>
      <c r="D4380" s="5" t="s">
        <v>12978</v>
      </c>
      <c r="E4380" s="5" t="s">
        <v>29202</v>
      </c>
      <c r="F4380" s="5" t="s">
        <v>108</v>
      </c>
      <c r="G4380" s="5" t="s">
        <v>29203</v>
      </c>
      <c r="H4380" s="6" t="s">
        <v>29204</v>
      </c>
      <c r="I4380" s="7" t="s">
        <v>29205</v>
      </c>
      <c r="J4380" s="8" t="str">
        <f>HYPERLINK("https://drive.google.com/file/d/1upwUH1hirD2S3yVqnKYwxjtHhrqe9Vu9/view?usp=drivesdk","RUSMIYATI SERTIFIKAT BerAKHLAK")</f>
        <v>RUSMIYATI SERTIFIKAT BerAKHLAK</v>
      </c>
      <c r="K4380" s="5" t="s">
        <v>28639</v>
      </c>
      <c r="L4380" s="5" t="s">
        <v>29206</v>
      </c>
      <c r="M4380" s="5" t="s">
        <v>29207</v>
      </c>
      <c r="N4380" s="7" t="s">
        <v>29208</v>
      </c>
      <c r="O4380" s="8" t="str">
        <f>HYPERLINK("https://drive.google.com/file/d/1g2gy0epuT4pNoj-uKKB6slUP6BDiQjHK/view?usp=drivesdk","4379_RUSMIYATI _ SERTIFIKAT BerAKHLAK")</f>
        <v>4379_RUSMIYATI _ SERTIFIKAT BerAKHLAK</v>
      </c>
      <c r="P4380" s="5" t="s">
        <v>29187</v>
      </c>
    </row>
    <row r="4381">
      <c r="A4381" s="4">
        <v>45534.351331956015</v>
      </c>
      <c r="B4381" s="5" t="s">
        <v>34</v>
      </c>
      <c r="D4381" s="5" t="s">
        <v>2903</v>
      </c>
      <c r="E4381" s="5" t="s">
        <v>29209</v>
      </c>
      <c r="F4381" s="5" t="s">
        <v>108</v>
      </c>
      <c r="G4381" s="5" t="s">
        <v>29210</v>
      </c>
      <c r="H4381" s="6" t="s">
        <v>29211</v>
      </c>
      <c r="K4381" s="5" t="s">
        <v>29212</v>
      </c>
      <c r="M4381" s="5" t="s">
        <v>29213</v>
      </c>
      <c r="N4381" s="7" t="s">
        <v>29214</v>
      </c>
      <c r="O4381" s="8" t="str">
        <f>HYPERLINK("https://drive.google.com/file/d/1LEHgqJOLI7ekH_2dE1_r1hzfbGSx_7HK/view?usp=drivesdk","4380_apt. FITRI FADHILLAH MU'MINAH, S. Farm _ SERTIFIKAT BerAKHLAK")</f>
        <v>4380_apt. FITRI FADHILLAH MU'MINAH, S. Farm _ SERTIFIKAT BerAKHLAK</v>
      </c>
      <c r="P4381" s="5" t="s">
        <v>29215</v>
      </c>
    </row>
    <row r="4382">
      <c r="A4382" s="4">
        <v>45534.35133423611</v>
      </c>
      <c r="B4382" s="5" t="s">
        <v>34</v>
      </c>
      <c r="D4382" s="5" t="s">
        <v>35</v>
      </c>
      <c r="E4382" s="5" t="s">
        <v>29216</v>
      </c>
      <c r="F4382" s="5" t="s">
        <v>37</v>
      </c>
      <c r="G4382" s="5" t="s">
        <v>29217</v>
      </c>
      <c r="H4382" s="6" t="s">
        <v>29218</v>
      </c>
      <c r="K4382" s="5" t="s">
        <v>29212</v>
      </c>
      <c r="M4382" s="5" t="s">
        <v>29219</v>
      </c>
      <c r="N4382" s="7" t="s">
        <v>29220</v>
      </c>
      <c r="O4382" s="8" t="str">
        <f>HYPERLINK("https://drive.google.com/file/d/1_W8-N71dBTd5P_YzYiW8Y_5bwbWesLYc/view?usp=drivesdk","4381_SUJANA _ SERTIFIKAT BerAKHLAK")</f>
        <v>4381_SUJANA _ SERTIFIKAT BerAKHLAK</v>
      </c>
      <c r="P4382" s="5" t="s">
        <v>29215</v>
      </c>
    </row>
    <row r="4383">
      <c r="A4383" s="4">
        <v>45534.35133978009</v>
      </c>
      <c r="B4383" s="5" t="s">
        <v>34</v>
      </c>
      <c r="D4383" s="5" t="s">
        <v>9020</v>
      </c>
      <c r="E4383" s="5" t="s">
        <v>29221</v>
      </c>
      <c r="F4383" s="5" t="s">
        <v>37</v>
      </c>
      <c r="G4383" s="5" t="s">
        <v>29222</v>
      </c>
      <c r="H4383" s="6" t="s">
        <v>29223</v>
      </c>
      <c r="K4383" s="5" t="s">
        <v>29212</v>
      </c>
      <c r="M4383" s="5" t="s">
        <v>29224</v>
      </c>
      <c r="N4383" s="7" t="s">
        <v>29225</v>
      </c>
      <c r="O4383" s="8" t="str">
        <f>HYPERLINK("https://drive.google.com/file/d/1PNGEWq0m0iDdlXCZweLUkWfK71TngyqG/view?usp=drivesdk","4382_SUSILAWATI _ SERTIFIKAT BerAKHLAK")</f>
        <v>4382_SUSILAWATI _ SERTIFIKAT BerAKHLAK</v>
      </c>
      <c r="P4383" s="5" t="s">
        <v>29215</v>
      </c>
    </row>
    <row r="4384">
      <c r="A4384" s="4">
        <v>45534.35134538195</v>
      </c>
      <c r="B4384" s="5" t="s">
        <v>34</v>
      </c>
      <c r="D4384" s="5" t="s">
        <v>1692</v>
      </c>
      <c r="E4384" s="5" t="s">
        <v>29226</v>
      </c>
      <c r="F4384" s="5" t="s">
        <v>212</v>
      </c>
      <c r="G4384" s="5" t="s">
        <v>29227</v>
      </c>
      <c r="H4384" s="6" t="s">
        <v>29228</v>
      </c>
      <c r="I4384" s="7" t="s">
        <v>29229</v>
      </c>
      <c r="J4384" s="8" t="str">
        <f>HYPERLINK("https://drive.google.com/file/d/13xm6je0pO8yGWwuiIaUwCp7gM2kZeWXn/view?usp=drivesdk","NURDIANA UMANAHU, AMD. KEB SERTIFIKAT BerAKHLAK")</f>
        <v>NURDIANA UMANAHU, AMD. KEB SERTIFIKAT BerAKHLAK</v>
      </c>
      <c r="K4384" s="5" t="s">
        <v>28639</v>
      </c>
      <c r="L4384" s="5" t="s">
        <v>29230</v>
      </c>
      <c r="M4384" s="5" t="s">
        <v>29231</v>
      </c>
      <c r="N4384" s="7" t="s">
        <v>29232</v>
      </c>
      <c r="O4384" s="8" t="str">
        <f>HYPERLINK("https://drive.google.com/file/d/1yy3PuNOMTS09c-3kvzXjsGg65uG9AqZa/view?usp=drivesdk","4383_NURDIANA UMANAHU, AMD. KEB _ SERTIFIKAT BerAKHLAK")</f>
        <v>4383_NURDIANA UMANAHU, AMD. KEB _ SERTIFIKAT BerAKHLAK</v>
      </c>
      <c r="P4384" s="5" t="s">
        <v>29215</v>
      </c>
    </row>
    <row r="4385">
      <c r="A4385" s="4">
        <v>45534.351349386576</v>
      </c>
      <c r="B4385" s="5" t="s">
        <v>34</v>
      </c>
      <c r="D4385" s="5" t="s">
        <v>1206</v>
      </c>
      <c r="E4385" s="5" t="s">
        <v>29233</v>
      </c>
      <c r="F4385" s="5" t="s">
        <v>212</v>
      </c>
      <c r="G4385" s="5" t="s">
        <v>29234</v>
      </c>
      <c r="H4385" s="6" t="s">
        <v>29235</v>
      </c>
      <c r="I4385" s="7" t="s">
        <v>29236</v>
      </c>
      <c r="J4385" s="8" t="str">
        <f>HYPERLINK("https://drive.google.com/file/d/1ejbVAZrRNs9U7hLZw8DDdN61xCfE5UKx/view?usp=drivesdk","RINA KARTIKANINGRUM SERTIFIKAT BerAKHLAK")</f>
        <v>RINA KARTIKANINGRUM SERTIFIKAT BerAKHLAK</v>
      </c>
      <c r="K4385" s="5" t="s">
        <v>28639</v>
      </c>
      <c r="L4385" s="5" t="s">
        <v>29237</v>
      </c>
      <c r="M4385" s="5" t="s">
        <v>29238</v>
      </c>
      <c r="N4385" s="7" t="s">
        <v>29239</v>
      </c>
      <c r="O4385" s="8" t="str">
        <f>HYPERLINK("https://drive.google.com/file/d/1Gf-U9DkIyE0Wf_LGY5wI6zGTnNFn1Fhc/view?usp=drivesdk","4384_RINA KARTIKANINGRUM _ SERTIFIKAT BerAKHLAK")</f>
        <v>4384_RINA KARTIKANINGRUM _ SERTIFIKAT BerAKHLAK</v>
      </c>
      <c r="P4385" s="5" t="s">
        <v>29215</v>
      </c>
    </row>
    <row r="4386">
      <c r="A4386" s="4">
        <v>45534.35135357639</v>
      </c>
      <c r="B4386" s="5" t="s">
        <v>34</v>
      </c>
      <c r="D4386" s="5" t="s">
        <v>522</v>
      </c>
      <c r="E4386" s="5" t="s">
        <v>29240</v>
      </c>
      <c r="F4386" s="5" t="s">
        <v>72</v>
      </c>
      <c r="G4386" s="5" t="s">
        <v>29241</v>
      </c>
      <c r="H4386" s="6" t="s">
        <v>29242</v>
      </c>
      <c r="I4386" s="7" t="s">
        <v>29243</v>
      </c>
      <c r="J4386" s="8" t="str">
        <f>HYPERLINK("https://drive.google.com/file/d/1TyrYp1ti71ng5bzcRfulzkZ9AUliH6HO/view?usp=drivesdk","IRMA JULIYANTI,A.Md.Keb. SERTIFIKAT BerAKHLAK")</f>
        <v>IRMA JULIYANTI,A.Md.Keb. SERTIFIKAT BerAKHLAK</v>
      </c>
      <c r="K4386" s="5" t="s">
        <v>28639</v>
      </c>
      <c r="L4386" s="5" t="s">
        <v>29244</v>
      </c>
      <c r="M4386" s="5" t="s">
        <v>29245</v>
      </c>
      <c r="N4386" s="7" t="s">
        <v>29246</v>
      </c>
      <c r="O4386" s="8" t="str">
        <f>HYPERLINK("https://drive.google.com/file/d/1cNzKe7uMnHsSRoWNrKO1o39-9jFtPDbg/view?usp=drivesdk","4385_IRMA JULIYANTI,A.Md.Keb. _ SERTIFIKAT BerAKHLAK")</f>
        <v>4385_IRMA JULIYANTI,A.Md.Keb. _ SERTIFIKAT BerAKHLAK</v>
      </c>
      <c r="P4386" s="5" t="s">
        <v>29215</v>
      </c>
    </row>
    <row r="4387">
      <c r="A4387" s="4">
        <v>45534.35135236111</v>
      </c>
      <c r="B4387" s="5" t="s">
        <v>34</v>
      </c>
      <c r="D4387" s="5" t="s">
        <v>1206</v>
      </c>
      <c r="E4387" s="5" t="s">
        <v>29247</v>
      </c>
      <c r="F4387" s="5" t="s">
        <v>212</v>
      </c>
      <c r="G4387" s="5" t="s">
        <v>29248</v>
      </c>
      <c r="H4387" s="6" t="s">
        <v>29249</v>
      </c>
      <c r="K4387" s="5" t="s">
        <v>29250</v>
      </c>
      <c r="M4387" s="5" t="s">
        <v>29251</v>
      </c>
      <c r="N4387" s="7" t="s">
        <v>29252</v>
      </c>
      <c r="O4387" s="8" t="str">
        <f>HYPERLINK("https://drive.google.com/file/d/1fU8A8Xu-_YTS4yU6hPb2cVP4J8f3Gqko/view?usp=drivesdk","4386_WIT SEGYATTI _ SERTIFIKAT BerAKHLAK")</f>
        <v>4386_WIT SEGYATTI _ SERTIFIKAT BerAKHLAK</v>
      </c>
      <c r="P4387" s="5" t="s">
        <v>29253</v>
      </c>
    </row>
    <row r="4388">
      <c r="A4388" s="4">
        <v>45534.35136488426</v>
      </c>
      <c r="B4388" s="5" t="s">
        <v>34</v>
      </c>
      <c r="D4388" s="5" t="s">
        <v>10444</v>
      </c>
      <c r="E4388" s="5" t="s">
        <v>29254</v>
      </c>
      <c r="F4388" s="5" t="s">
        <v>72</v>
      </c>
      <c r="G4388" s="5" t="s">
        <v>29255</v>
      </c>
      <c r="H4388" s="6" t="s">
        <v>29256</v>
      </c>
      <c r="K4388" s="5" t="s">
        <v>29250</v>
      </c>
      <c r="M4388" s="5" t="s">
        <v>29257</v>
      </c>
      <c r="N4388" s="7" t="s">
        <v>29258</v>
      </c>
      <c r="O4388" s="8" t="str">
        <f>HYPERLINK("https://drive.google.com/file/d/1Cx0IR7zWQdQrwpr-ZowFdbdjCLEGNJJi/view?usp=drivesdk","4387_MIRIYANI _ SERTIFIKAT BerAKHLAK")</f>
        <v>4387_MIRIYANI _ SERTIFIKAT BerAKHLAK</v>
      </c>
      <c r="P4388" s="5" t="s">
        <v>29253</v>
      </c>
    </row>
    <row r="4389">
      <c r="A4389" s="4">
        <v>45534.35136774306</v>
      </c>
      <c r="B4389" s="5" t="s">
        <v>34</v>
      </c>
      <c r="D4389" s="5" t="s">
        <v>1768</v>
      </c>
      <c r="E4389" s="5" t="s">
        <v>29259</v>
      </c>
      <c r="F4389" s="5" t="s">
        <v>37</v>
      </c>
      <c r="G4389" s="5" t="s">
        <v>29260</v>
      </c>
      <c r="H4389" s="6" t="s">
        <v>29261</v>
      </c>
      <c r="K4389" s="5" t="s">
        <v>29250</v>
      </c>
      <c r="M4389" s="5" t="s">
        <v>29262</v>
      </c>
      <c r="N4389" s="7" t="s">
        <v>29263</v>
      </c>
      <c r="O4389" s="8" t="str">
        <f>HYPERLINK("https://drive.google.com/file/d/17RcH0QSXnyL9IQF1v9o6ApZSMWO-i1-K/view?usp=drivesdk","4388_FIRSAN FIRSAN _ SERTIFIKAT BerAKHLAK")</f>
        <v>4388_FIRSAN FIRSAN _ SERTIFIKAT BerAKHLAK</v>
      </c>
      <c r="P4389" s="5" t="s">
        <v>29253</v>
      </c>
    </row>
    <row r="4390" hidden="1">
      <c r="A4390" s="4">
        <v>45534.35137097222</v>
      </c>
      <c r="B4390" s="5" t="s">
        <v>19</v>
      </c>
      <c r="C4390" s="5" t="s">
        <v>5564</v>
      </c>
      <c r="E4390" s="5" t="s">
        <v>29264</v>
      </c>
      <c r="F4390" s="5" t="s">
        <v>212</v>
      </c>
      <c r="G4390" s="5" t="s">
        <v>29265</v>
      </c>
      <c r="H4390" s="6" t="s">
        <v>29266</v>
      </c>
      <c r="K4390" s="5" t="s">
        <v>29250</v>
      </c>
      <c r="M4390" s="5" t="s">
        <v>29267</v>
      </c>
      <c r="N4390" s="7" t="s">
        <v>29268</v>
      </c>
      <c r="O4390" s="8" t="str">
        <f>HYPERLINK("https://drive.google.com/file/d/1h9rixVoWX3xHESjhzMX7__ISNMiRNz37/view?usp=drivesdk","4389_WARYONO _ SERTIFIKAT BerAKHLAK")</f>
        <v>4389_WARYONO _ SERTIFIKAT BerAKHLAK</v>
      </c>
      <c r="P4390" s="5" t="s">
        <v>29253</v>
      </c>
    </row>
    <row r="4391" hidden="1">
      <c r="A4391" s="4">
        <v>45534.351371192126</v>
      </c>
      <c r="B4391" s="5" t="s">
        <v>19</v>
      </c>
      <c r="C4391" s="5" t="s">
        <v>5564</v>
      </c>
      <c r="E4391" s="5" t="s">
        <v>29269</v>
      </c>
      <c r="F4391" s="5" t="s">
        <v>120</v>
      </c>
      <c r="G4391" s="5" t="s">
        <v>29270</v>
      </c>
      <c r="H4391" s="6" t="s">
        <v>29271</v>
      </c>
      <c r="I4391" s="7" t="s">
        <v>29272</v>
      </c>
      <c r="J4391" s="8" t="str">
        <f>HYPERLINK("https://drive.google.com/file/d/1MrgyBIQS0TIS4HL20tNQTKO52h8gV-wg/view?usp=drivesdk","YUNITA WAHYUNINGTYAS, S.Psi, Psikolog, M.M SERTIFIKAT BerAKHLAK")</f>
        <v>YUNITA WAHYUNINGTYAS, S.Psi, Psikolog, M.M SERTIFIKAT BerAKHLAK</v>
      </c>
      <c r="K4391" s="5" t="s">
        <v>28639</v>
      </c>
      <c r="L4391" s="5" t="s">
        <v>29273</v>
      </c>
      <c r="M4391" s="5" t="s">
        <v>29274</v>
      </c>
      <c r="N4391" s="7" t="s">
        <v>29275</v>
      </c>
      <c r="O4391" s="8" t="str">
        <f>HYPERLINK("https://drive.google.com/file/d/1qG6gI1OvvS1xJ6-G0rSe08Y5p9clBlds/view?usp=drivesdk","4390_YUNITA WAHYUNINGTYAS, S.Psi, Psikolog, M.M _ SERTIFIKAT BerAKHLAK")</f>
        <v>4390_YUNITA WAHYUNINGTYAS, S.Psi, Psikolog, M.M _ SERTIFIKAT BerAKHLAK</v>
      </c>
      <c r="P4391" s="5" t="s">
        <v>29253</v>
      </c>
    </row>
    <row r="4392">
      <c r="A4392" s="4">
        <v>45534.351376307866</v>
      </c>
      <c r="B4392" s="5" t="s">
        <v>34</v>
      </c>
      <c r="D4392" s="5" t="s">
        <v>1206</v>
      </c>
      <c r="E4392" s="5" t="s">
        <v>29276</v>
      </c>
      <c r="F4392" s="5" t="s">
        <v>212</v>
      </c>
      <c r="G4392" s="5" t="s">
        <v>29277</v>
      </c>
      <c r="H4392" s="6" t="s">
        <v>29278</v>
      </c>
      <c r="I4392" s="7" t="s">
        <v>29279</v>
      </c>
      <c r="J4392" s="8" t="str">
        <f>HYPERLINK("https://drive.google.com/file/d/1UneiM9Hh2mQgDGtuPC6KgCib-6h9GshM/view?usp=drivesdk","WiDI ASTUTIK SERTIFIKAT BerAKHLAK")</f>
        <v>WiDI ASTUTIK SERTIFIKAT BerAKHLAK</v>
      </c>
      <c r="K4392" s="5" t="s">
        <v>28639</v>
      </c>
      <c r="L4392" s="5" t="s">
        <v>29280</v>
      </c>
      <c r="M4392" s="5" t="s">
        <v>29281</v>
      </c>
      <c r="N4392" s="7" t="s">
        <v>29282</v>
      </c>
      <c r="O4392" s="8" t="str">
        <f>HYPERLINK("https://drive.google.com/file/d/18Ac1HDh9wHYSsYerxX2vRVz-XD4D5Hzn/view?usp=drivesdk","4391_WiDI ASTUTIK _ SERTIFIKAT BerAKHLAK")</f>
        <v>4391_WiDI ASTUTIK _ SERTIFIKAT BerAKHLAK</v>
      </c>
      <c r="P4392" s="5" t="s">
        <v>29283</v>
      </c>
    </row>
    <row r="4393">
      <c r="A4393" s="4">
        <v>45534.35138107639</v>
      </c>
      <c r="B4393" s="5" t="s">
        <v>34</v>
      </c>
      <c r="D4393" s="5" t="s">
        <v>1206</v>
      </c>
      <c r="E4393" s="5" t="s">
        <v>29284</v>
      </c>
      <c r="F4393" s="5" t="s">
        <v>375</v>
      </c>
      <c r="G4393" s="5" t="s">
        <v>29285</v>
      </c>
      <c r="H4393" s="6" t="s">
        <v>29286</v>
      </c>
      <c r="I4393" s="7" t="s">
        <v>29287</v>
      </c>
      <c r="J4393" s="8" t="str">
        <f>HYPERLINK("https://drive.google.com/file/d/1iYMjHCGyi_qR4qMCyKHTQrQSTFeolOhJ/view?usp=drivesdk","IKA SUCI RAHMAWATI, S.H. SERTIFIKAT BerAKHLAK")</f>
        <v>IKA SUCI RAHMAWATI, S.H. SERTIFIKAT BerAKHLAK</v>
      </c>
      <c r="K4393" s="5" t="s">
        <v>28639</v>
      </c>
      <c r="L4393" s="5" t="s">
        <v>29288</v>
      </c>
      <c r="M4393" s="5" t="s">
        <v>29289</v>
      </c>
      <c r="N4393" s="7" t="s">
        <v>29290</v>
      </c>
      <c r="O4393" s="8" t="str">
        <f>HYPERLINK("https://drive.google.com/file/d/14O4BkPACa5dRGT93viSuVj7rZr9AGLEz/view?usp=drivesdk","4392_IKA SUCI RAHMAWATI, S.H. _ SERTIFIKAT BerAKHLAK")</f>
        <v>4392_IKA SUCI RAHMAWATI, S.H. _ SERTIFIKAT BerAKHLAK</v>
      </c>
      <c r="P4393" s="5" t="s">
        <v>29283</v>
      </c>
    </row>
    <row r="4394">
      <c r="A4394" s="4">
        <v>45534.35139489583</v>
      </c>
      <c r="B4394" s="5" t="s">
        <v>34</v>
      </c>
      <c r="D4394" s="5" t="s">
        <v>9394</v>
      </c>
      <c r="E4394" s="5" t="s">
        <v>29291</v>
      </c>
      <c r="F4394" s="5" t="s">
        <v>72</v>
      </c>
      <c r="G4394" s="5" t="s">
        <v>29292</v>
      </c>
      <c r="H4394" s="6" t="s">
        <v>29293</v>
      </c>
      <c r="K4394" s="5" t="s">
        <v>29294</v>
      </c>
      <c r="M4394" s="5" t="s">
        <v>29295</v>
      </c>
      <c r="N4394" s="7" t="s">
        <v>29296</v>
      </c>
      <c r="O4394" s="8" t="str">
        <f>HYPERLINK("https://drive.google.com/file/d/1ZReK3b68tFR8UVymTkbdniFFRjBgMU9m/view?usp=drivesdk","4393_Penara Meri Sitorus _ SERTIFIKAT BerAKHLAK")</f>
        <v>4393_Penara Meri Sitorus _ SERTIFIKAT BerAKHLAK</v>
      </c>
      <c r="P4394" s="5" t="s">
        <v>29283</v>
      </c>
    </row>
    <row r="4395">
      <c r="A4395" s="4">
        <v>45534.35141379629</v>
      </c>
      <c r="B4395" s="5" t="s">
        <v>34</v>
      </c>
      <c r="D4395" s="5" t="s">
        <v>9020</v>
      </c>
      <c r="E4395" s="5" t="s">
        <v>29297</v>
      </c>
      <c r="F4395" s="5" t="s">
        <v>37</v>
      </c>
      <c r="G4395" s="5" t="s">
        <v>29298</v>
      </c>
      <c r="H4395" s="6" t="s">
        <v>29299</v>
      </c>
      <c r="I4395" s="7" t="s">
        <v>29300</v>
      </c>
      <c r="J4395" s="8" t="str">
        <f>HYPERLINK("https://drive.google.com/file/d/1lesmlKrSudqOxsO9PEL258oMpjKiohyj/view?usp=drivesdk","ARLAN HUTAHAEAN SERTIFIKAT BerAKHLAK")</f>
        <v>ARLAN HUTAHAEAN SERTIFIKAT BerAKHLAK</v>
      </c>
      <c r="K4395" s="5" t="s">
        <v>28639</v>
      </c>
      <c r="L4395" s="5" t="s">
        <v>29301</v>
      </c>
      <c r="M4395" s="5" t="s">
        <v>29302</v>
      </c>
      <c r="N4395" s="7" t="s">
        <v>29303</v>
      </c>
      <c r="O4395" s="8" t="str">
        <f>HYPERLINK("https://drive.google.com/file/d/1I_f4ZnhWEJ5dMv8bp1FTzYDEiA-YR-jg/view?usp=drivesdk","4394_ARLAN HUTAHAEAN _ SERTIFIKAT BerAKHLAK")</f>
        <v>4394_ARLAN HUTAHAEAN _ SERTIFIKAT BerAKHLAK</v>
      </c>
      <c r="P4395" s="5" t="s">
        <v>29283</v>
      </c>
    </row>
    <row r="4396">
      <c r="A4396" s="4">
        <v>45534.3514259838</v>
      </c>
      <c r="B4396" s="5" t="s">
        <v>34</v>
      </c>
      <c r="D4396" s="5" t="s">
        <v>2903</v>
      </c>
      <c r="E4396" s="5" t="s">
        <v>29304</v>
      </c>
      <c r="F4396" s="5" t="s">
        <v>375</v>
      </c>
      <c r="G4396" s="5" t="s">
        <v>29305</v>
      </c>
      <c r="H4396" s="6" t="s">
        <v>29306</v>
      </c>
      <c r="I4396" s="7" t="s">
        <v>29307</v>
      </c>
      <c r="J4396" s="8" t="str">
        <f>HYPERLINK("https://drive.google.com/file/d/1WE6rcitHuHuax_Um643aDwLz1dpPytdb/view?usp=drivesdk","Ns.Rita Zahara S.Kep SERTIFIKAT BerAKHLAK")</f>
        <v>Ns.Rita Zahara S.Kep SERTIFIKAT BerAKHLAK</v>
      </c>
      <c r="K4396" s="5" t="s">
        <v>28639</v>
      </c>
      <c r="L4396" s="5" t="s">
        <v>29308</v>
      </c>
      <c r="M4396" s="5" t="s">
        <v>29309</v>
      </c>
      <c r="N4396" s="7" t="s">
        <v>29310</v>
      </c>
      <c r="O4396" s="8" t="str">
        <f>HYPERLINK("https://drive.google.com/file/d/19rq8-AhYoPlRVOt9LEMJbS3THo6sEgtw/view?usp=drivesdk","4395_Ns.Rita Zahara S.Kep _ SERTIFIKAT BerAKHLAK")</f>
        <v>4395_Ns.Rita Zahara S.Kep _ SERTIFIKAT BerAKHLAK</v>
      </c>
      <c r="P4396" s="5" t="s">
        <v>29283</v>
      </c>
    </row>
    <row r="4397" hidden="1">
      <c r="A4397" s="4">
        <v>45534.351439108796</v>
      </c>
      <c r="B4397" s="5" t="s">
        <v>19</v>
      </c>
      <c r="C4397" s="5" t="s">
        <v>292</v>
      </c>
      <c r="E4397" s="5" t="s">
        <v>29311</v>
      </c>
      <c r="F4397" s="5" t="s">
        <v>120</v>
      </c>
      <c r="G4397" s="5" t="s">
        <v>29312</v>
      </c>
      <c r="H4397" s="6" t="s">
        <v>29313</v>
      </c>
      <c r="I4397" s="7" t="s">
        <v>29314</v>
      </c>
      <c r="J4397" s="8" t="str">
        <f>HYPERLINK("https://drive.google.com/file/d/18I4GKCXz7iQ1ZGah5Uu9o_vQleDuskxl/view?usp=drivesdk","DR. WAHDAN SANUR TARIHORAN, S.Sos.I., M.M SERTIFIKAT BerAKHLAK")</f>
        <v>DR. WAHDAN SANUR TARIHORAN, S.Sos.I., M.M SERTIFIKAT BerAKHLAK</v>
      </c>
      <c r="K4397" s="5" t="s">
        <v>28639</v>
      </c>
      <c r="L4397" s="5" t="s">
        <v>29315</v>
      </c>
      <c r="M4397" s="5" t="s">
        <v>29316</v>
      </c>
      <c r="N4397" s="7" t="s">
        <v>29317</v>
      </c>
      <c r="O4397" s="8" t="str">
        <f>HYPERLINK("https://drive.google.com/file/d/1x3boOocAEIMAGEzFPlEsSJvOh1TSxd8e/view?usp=drivesdk","4396_DR. WAHDAN SANUR TARIHORAN, S.Sos.I., M.M _ SERTIFIKAT BerAKHLAK")</f>
        <v>4396_DR. WAHDAN SANUR TARIHORAN, S.Sos.I., M.M _ SERTIFIKAT BerAKHLAK</v>
      </c>
      <c r="P4397" s="5" t="s">
        <v>29283</v>
      </c>
    </row>
    <row r="4398">
      <c r="A4398" s="4">
        <v>45534.35145596065</v>
      </c>
      <c r="B4398" s="5" t="s">
        <v>34</v>
      </c>
      <c r="D4398" s="5" t="s">
        <v>14424</v>
      </c>
      <c r="E4398" s="5" t="s">
        <v>29318</v>
      </c>
      <c r="F4398" s="5" t="s">
        <v>72</v>
      </c>
      <c r="G4398" s="5" t="s">
        <v>29319</v>
      </c>
      <c r="H4398" s="6" t="s">
        <v>29320</v>
      </c>
      <c r="K4398" s="5" t="s">
        <v>29321</v>
      </c>
      <c r="M4398" s="5" t="s">
        <v>29322</v>
      </c>
      <c r="N4398" s="7" t="s">
        <v>29323</v>
      </c>
      <c r="O4398" s="8" t="str">
        <f>HYPERLINK("https://drive.google.com/file/d/1ba4z0pdokVOTHlVtTdKM8BKptrKIfv3w/view?usp=drivesdk","4397_CHERMAYUNA _ SERTIFIKAT BerAKHLAK")</f>
        <v>4397_CHERMAYUNA _ SERTIFIKAT BerAKHLAK</v>
      </c>
      <c r="P4398" s="5" t="s">
        <v>29324</v>
      </c>
    </row>
    <row r="4399">
      <c r="A4399" s="4">
        <v>45534.35146032408</v>
      </c>
      <c r="B4399" s="5" t="s">
        <v>34</v>
      </c>
      <c r="D4399" s="5" t="s">
        <v>1206</v>
      </c>
      <c r="E4399" s="5" t="s">
        <v>29325</v>
      </c>
      <c r="F4399" s="5" t="s">
        <v>5859</v>
      </c>
      <c r="G4399" s="5" t="s">
        <v>29326</v>
      </c>
      <c r="H4399" s="6" t="s">
        <v>29327</v>
      </c>
      <c r="K4399" s="5" t="s">
        <v>29321</v>
      </c>
      <c r="M4399" s="5" t="s">
        <v>29328</v>
      </c>
      <c r="N4399" s="7" t="s">
        <v>29329</v>
      </c>
      <c r="O4399" s="8" t="str">
        <f>HYPERLINK("https://drive.google.com/file/d/1EOByyi_u-u1yYZkrYIV9DVGb3FeBNjRy/view?usp=drivesdk","4398_BUDIMAN  _ SERTIFIKAT BerAKHLAK")</f>
        <v>4398_BUDIMAN  _ SERTIFIKAT BerAKHLAK</v>
      </c>
      <c r="P4399" s="5" t="s">
        <v>29324</v>
      </c>
    </row>
    <row r="4400">
      <c r="A4400" s="4">
        <v>45534.35146167824</v>
      </c>
      <c r="B4400" s="5" t="s">
        <v>34</v>
      </c>
      <c r="D4400" s="5" t="s">
        <v>9020</v>
      </c>
      <c r="E4400" s="5" t="s">
        <v>29330</v>
      </c>
      <c r="F4400" s="5" t="s">
        <v>37</v>
      </c>
      <c r="G4400" s="5" t="s">
        <v>29331</v>
      </c>
      <c r="H4400" s="6" t="s">
        <v>29332</v>
      </c>
      <c r="K4400" s="5" t="s">
        <v>29321</v>
      </c>
      <c r="M4400" s="5" t="s">
        <v>29333</v>
      </c>
      <c r="N4400" s="7" t="s">
        <v>29334</v>
      </c>
      <c r="O4400" s="8" t="str">
        <f>HYPERLINK("https://drive.google.com/file/d/1zXTzEVedDrfAh2ZE4JDr0x7r1aSieeN1/view?usp=drivesdk","4399_ADEWINA DARIANI  _ SERTIFIKAT BerAKHLAK")</f>
        <v>4399_ADEWINA DARIANI  _ SERTIFIKAT BerAKHLAK</v>
      </c>
      <c r="P4400" s="5" t="s">
        <v>29324</v>
      </c>
    </row>
    <row r="4401">
      <c r="A4401" s="4">
        <v>45534.35147956018</v>
      </c>
      <c r="B4401" s="5" t="s">
        <v>34</v>
      </c>
      <c r="D4401" s="5" t="s">
        <v>1206</v>
      </c>
      <c r="E4401" s="5" t="s">
        <v>29335</v>
      </c>
      <c r="F4401" s="5" t="s">
        <v>37</v>
      </c>
      <c r="G4401" s="5" t="s">
        <v>29336</v>
      </c>
      <c r="H4401" s="6" t="s">
        <v>29337</v>
      </c>
      <c r="K4401" s="5" t="s">
        <v>29321</v>
      </c>
      <c r="M4401" s="5" t="s">
        <v>29338</v>
      </c>
      <c r="N4401" s="7" t="s">
        <v>29339</v>
      </c>
      <c r="O4401" s="8" t="str">
        <f>HYPERLINK("https://drive.google.com/file/d/1ZXtO1Mvq7uYem7r-ssYxlT4DorVC_Nqn/view?usp=drivesdk","4400_ARMIATI _ SERTIFIKAT BerAKHLAK")</f>
        <v>4400_ARMIATI _ SERTIFIKAT BerAKHLAK</v>
      </c>
      <c r="P4401" s="5" t="s">
        <v>29324</v>
      </c>
    </row>
    <row r="4402">
      <c r="A4402" s="4">
        <v>45534.351487604166</v>
      </c>
      <c r="B4402" s="5" t="s">
        <v>34</v>
      </c>
      <c r="D4402" s="5" t="s">
        <v>1206</v>
      </c>
      <c r="E4402" s="5" t="s">
        <v>15428</v>
      </c>
      <c r="F4402" s="5" t="s">
        <v>328</v>
      </c>
      <c r="G4402" s="5" t="s">
        <v>29340</v>
      </c>
      <c r="H4402" s="6" t="s">
        <v>29341</v>
      </c>
      <c r="K4402" s="5" t="s">
        <v>29321</v>
      </c>
      <c r="M4402" s="5" t="s">
        <v>29342</v>
      </c>
      <c r="N4402" s="7" t="s">
        <v>29343</v>
      </c>
      <c r="O4402" s="8" t="str">
        <f>HYPERLINK("https://drive.google.com/file/d/1g-ti8seZ9_-YSf6MOb25i6ZqkZPXO_cH/view?usp=drivesdk","4401_SUTRISNO _ SERTIFIKAT BerAKHLAK")</f>
        <v>4401_SUTRISNO _ SERTIFIKAT BerAKHLAK</v>
      </c>
      <c r="P4402" s="5" t="s">
        <v>29324</v>
      </c>
    </row>
    <row r="4403">
      <c r="A4403" s="4">
        <v>45534.35150412037</v>
      </c>
      <c r="B4403" s="5" t="s">
        <v>34</v>
      </c>
      <c r="D4403" s="5" t="s">
        <v>4775</v>
      </c>
      <c r="E4403" s="5" t="s">
        <v>29344</v>
      </c>
      <c r="F4403" s="5" t="s">
        <v>375</v>
      </c>
      <c r="G4403" s="5" t="s">
        <v>29345</v>
      </c>
      <c r="H4403" s="6" t="s">
        <v>29346</v>
      </c>
      <c r="K4403" s="5" t="s">
        <v>29321</v>
      </c>
      <c r="M4403" s="5" t="s">
        <v>29347</v>
      </c>
      <c r="N4403" s="7" t="s">
        <v>29348</v>
      </c>
      <c r="O4403" s="8" t="str">
        <f>HYPERLINK("https://drive.google.com/file/d/1dL5nX1dp36UL4K0JSd3n2reRsb6vhOxq/view?usp=drivesdk","4402_WIDYA UTAMI _ SERTIFIKAT BerAKHLAK")</f>
        <v>4402_WIDYA UTAMI _ SERTIFIKAT BerAKHLAK</v>
      </c>
      <c r="P4403" s="5" t="s">
        <v>29349</v>
      </c>
    </row>
    <row r="4404">
      <c r="A4404" s="4">
        <v>45534.35150498843</v>
      </c>
      <c r="B4404" s="5" t="s">
        <v>34</v>
      </c>
      <c r="D4404" s="5" t="s">
        <v>580</v>
      </c>
      <c r="E4404" s="5" t="s">
        <v>29350</v>
      </c>
      <c r="F4404" s="5" t="s">
        <v>524</v>
      </c>
      <c r="G4404" s="5" t="s">
        <v>29351</v>
      </c>
      <c r="H4404" s="6" t="s">
        <v>29352</v>
      </c>
      <c r="K4404" s="5" t="s">
        <v>29321</v>
      </c>
      <c r="M4404" s="5" t="s">
        <v>29353</v>
      </c>
      <c r="N4404" s="7" t="s">
        <v>29354</v>
      </c>
      <c r="O4404" s="8" t="str">
        <f>HYPERLINK("https://drive.google.com/file/d/1T9HxMpf9xKb9b_chdN_j8_Je6SrgfCaa/view?usp=drivesdk","4403_ANAK AGUNG TIRTA PUSPITAWATI,SH _ SERTIFIKAT BerAKHLAK")</f>
        <v>4403_ANAK AGUNG TIRTA PUSPITAWATI,SH _ SERTIFIKAT BerAKHLAK</v>
      </c>
      <c r="P4404" s="5" t="s">
        <v>29355</v>
      </c>
    </row>
    <row r="4405" hidden="1">
      <c r="A4405" s="4">
        <v>45534.35151094907</v>
      </c>
      <c r="B4405" s="5" t="s">
        <v>19</v>
      </c>
      <c r="C4405" s="5" t="s">
        <v>292</v>
      </c>
      <c r="E4405" s="5" t="s">
        <v>29356</v>
      </c>
      <c r="F4405" s="5" t="s">
        <v>212</v>
      </c>
      <c r="G4405" s="5" t="s">
        <v>29357</v>
      </c>
      <c r="H4405" s="6" t="s">
        <v>29358</v>
      </c>
      <c r="K4405" s="5" t="s">
        <v>29321</v>
      </c>
      <c r="M4405" s="5" t="s">
        <v>29359</v>
      </c>
      <c r="N4405" s="7" t="s">
        <v>29360</v>
      </c>
      <c r="O4405" s="8" t="str">
        <f>HYPERLINK("https://drive.google.com/file/d/1JILKkl9yi412eQHz7RfQlkewfc6ttIXa/view?usp=drivesdk","4404_ACHYAT NURQORIAH WIJAYANI _ SERTIFIKAT BerAKHLAK")</f>
        <v>4404_ACHYAT NURQORIAH WIJAYANI _ SERTIFIKAT BerAKHLAK</v>
      </c>
      <c r="P4405" s="5" t="s">
        <v>29361</v>
      </c>
    </row>
    <row r="4406">
      <c r="A4406" s="4">
        <v>45534.351511597226</v>
      </c>
      <c r="B4406" s="5" t="s">
        <v>34</v>
      </c>
      <c r="D4406" s="5" t="s">
        <v>9394</v>
      </c>
      <c r="E4406" s="5" t="s">
        <v>29362</v>
      </c>
      <c r="F4406" s="5" t="s">
        <v>212</v>
      </c>
      <c r="G4406" s="5" t="s">
        <v>29363</v>
      </c>
      <c r="H4406" s="6" t="s">
        <v>29364</v>
      </c>
      <c r="K4406" s="5" t="s">
        <v>29321</v>
      </c>
      <c r="M4406" s="5" t="s">
        <v>29365</v>
      </c>
      <c r="N4406" s="7" t="s">
        <v>29366</v>
      </c>
      <c r="O4406" s="8" t="str">
        <f>HYPERLINK("https://drive.google.com/file/d/1FjlvPgFlJnZQ1KkY5Z-g_E9X7vubSiYD/view?usp=drivesdk","4405_PENGATUR TK.I HEFA RUSPITA,S.H _ SERTIFIKAT BerAKHLAK")</f>
        <v>4405_PENGATUR TK.I HEFA RUSPITA,S.H _ SERTIFIKAT BerAKHLAK</v>
      </c>
      <c r="P4406" s="5" t="s">
        <v>29361</v>
      </c>
    </row>
    <row r="4407">
      <c r="A4407" s="4">
        <v>45534.35152454861</v>
      </c>
      <c r="B4407" s="5" t="s">
        <v>34</v>
      </c>
      <c r="D4407" s="5" t="s">
        <v>1768</v>
      </c>
      <c r="E4407" s="5" t="s">
        <v>29367</v>
      </c>
      <c r="F4407" s="5" t="s">
        <v>72</v>
      </c>
      <c r="G4407" s="5" t="s">
        <v>29368</v>
      </c>
      <c r="H4407" s="6" t="s">
        <v>29369</v>
      </c>
      <c r="I4407" s="7" t="s">
        <v>29370</v>
      </c>
      <c r="J4407" s="8" t="str">
        <f>HYPERLINK("https://drive.google.com/file/d/1JqBrtEVYNmfxdNKsuSozXIKT7xScc-Mp/view?usp=drivesdk","YAENAH  SERTIFIKAT BerAKHLAK")</f>
        <v>YAENAH  SERTIFIKAT BerAKHLAK</v>
      </c>
      <c r="K4407" s="5" t="s">
        <v>28639</v>
      </c>
      <c r="L4407" s="5" t="s">
        <v>29371</v>
      </c>
      <c r="M4407" s="5" t="s">
        <v>29372</v>
      </c>
      <c r="N4407" s="7" t="s">
        <v>29373</v>
      </c>
      <c r="O4407" s="8" t="str">
        <f>HYPERLINK("https://drive.google.com/file/d/11Dj01w34uHxA50qFY0vUbE_Huav8OHdJ/view?usp=drivesdk","4406_YAENAH  _ SERTIFIKAT BerAKHLAK")</f>
        <v>4406_YAENAH  _ SERTIFIKAT BerAKHLAK</v>
      </c>
      <c r="P4407" s="5" t="s">
        <v>29361</v>
      </c>
    </row>
    <row r="4408">
      <c r="A4408" s="4">
        <v>45534.35152862269</v>
      </c>
      <c r="B4408" s="5" t="s">
        <v>34</v>
      </c>
      <c r="D4408" s="5" t="s">
        <v>1206</v>
      </c>
      <c r="E4408" s="5" t="s">
        <v>29374</v>
      </c>
      <c r="F4408" s="5" t="s">
        <v>199</v>
      </c>
      <c r="G4408" s="5" t="s">
        <v>29375</v>
      </c>
      <c r="H4408" s="6" t="s">
        <v>29376</v>
      </c>
      <c r="K4408" s="5" t="s">
        <v>29377</v>
      </c>
      <c r="M4408" s="5" t="s">
        <v>29378</v>
      </c>
      <c r="N4408" s="7" t="s">
        <v>29379</v>
      </c>
      <c r="O4408" s="8" t="str">
        <f>HYPERLINK("https://drive.google.com/file/d/1v1GVV2qA-tmJZMVTfGEGm08b_ihkjT_r/view?usp=drivesdk","4407_NUR ANIS MASNAWATI _ SERTIFIKAT BerAKHLAK")</f>
        <v>4407_NUR ANIS MASNAWATI _ SERTIFIKAT BerAKHLAK</v>
      </c>
      <c r="P4408" s="5" t="s">
        <v>29361</v>
      </c>
    </row>
    <row r="4409">
      <c r="A4409" s="4">
        <v>45534.35152982639</v>
      </c>
      <c r="B4409" s="5" t="s">
        <v>34</v>
      </c>
      <c r="D4409" s="5" t="s">
        <v>4775</v>
      </c>
      <c r="E4409" s="5" t="s">
        <v>29380</v>
      </c>
      <c r="F4409" s="5" t="s">
        <v>212</v>
      </c>
      <c r="G4409" s="5" t="s">
        <v>29381</v>
      </c>
      <c r="H4409" s="6" t="s">
        <v>29382</v>
      </c>
      <c r="K4409" s="5" t="s">
        <v>29377</v>
      </c>
      <c r="M4409" s="5" t="s">
        <v>29383</v>
      </c>
      <c r="N4409" s="7" t="s">
        <v>29384</v>
      </c>
      <c r="O4409" s="8" t="str">
        <f>HYPERLINK("https://drive.google.com/file/d/1U4Bl8JPAhzP-p7NvQi1Fhx02Y57-zs94/view?usp=drivesdk","4408_NUR FARIDAH _ SERTIFIKAT BerAKHLAK")</f>
        <v>4408_NUR FARIDAH _ SERTIFIKAT BerAKHLAK</v>
      </c>
      <c r="P4409" s="5" t="s">
        <v>29385</v>
      </c>
    </row>
    <row r="4410">
      <c r="A4410" s="4">
        <v>45534.35153277778</v>
      </c>
      <c r="B4410" s="5" t="s">
        <v>34</v>
      </c>
      <c r="D4410" s="5" t="s">
        <v>4775</v>
      </c>
      <c r="E4410" s="5" t="s">
        <v>29386</v>
      </c>
      <c r="F4410" s="5" t="s">
        <v>375</v>
      </c>
      <c r="G4410" s="5" t="s">
        <v>29387</v>
      </c>
      <c r="H4410" s="6" t="s">
        <v>29388</v>
      </c>
      <c r="K4410" s="5" t="s">
        <v>29377</v>
      </c>
      <c r="M4410" s="5" t="s">
        <v>29389</v>
      </c>
      <c r="N4410" s="7" t="s">
        <v>29390</v>
      </c>
      <c r="O4410" s="8" t="str">
        <f>HYPERLINK("https://drive.google.com/file/d/1UegLZZgR1kx66N8tuMWdeu3593Iaqli4/view?usp=drivesdk","4409_CHRISTINA DWI MARSIYANI  _ SERTIFIKAT BerAKHLAK")</f>
        <v>4409_CHRISTINA DWI MARSIYANI  _ SERTIFIKAT BerAKHLAK</v>
      </c>
      <c r="P4410" s="5" t="s">
        <v>29385</v>
      </c>
    </row>
    <row r="4411">
      <c r="A4411" s="4">
        <v>45534.351549189814</v>
      </c>
      <c r="B4411" s="5" t="s">
        <v>34</v>
      </c>
      <c r="D4411" s="5" t="s">
        <v>1206</v>
      </c>
      <c r="E4411" s="5" t="s">
        <v>29391</v>
      </c>
      <c r="F4411" s="5" t="s">
        <v>375</v>
      </c>
      <c r="G4411" s="5" t="s">
        <v>29392</v>
      </c>
      <c r="H4411" s="6" t="s">
        <v>29393</v>
      </c>
      <c r="K4411" s="5" t="s">
        <v>29394</v>
      </c>
      <c r="M4411" s="5" t="s">
        <v>29395</v>
      </c>
      <c r="N4411" s="7" t="s">
        <v>29396</v>
      </c>
      <c r="O4411" s="8" t="str">
        <f>HYPERLINK("https://drive.google.com/file/d/1gtfa7BIYIvRJC3lSCi9N7PU-R_HtdRDF/view?usp=drivesdk","4410_Dwi Retno Sulistyowati, S.Sos _ SERTIFIKAT BerAKHLAK")</f>
        <v>4410_Dwi Retno Sulistyowati, S.Sos _ SERTIFIKAT BerAKHLAK</v>
      </c>
      <c r="P4411" s="5" t="s">
        <v>29385</v>
      </c>
    </row>
    <row r="4412">
      <c r="A4412" s="4">
        <v>45534.351550300926</v>
      </c>
      <c r="B4412" s="5" t="s">
        <v>34</v>
      </c>
      <c r="D4412" s="5" t="s">
        <v>1206</v>
      </c>
      <c r="E4412" s="5" t="s">
        <v>29397</v>
      </c>
      <c r="F4412" s="5" t="s">
        <v>212</v>
      </c>
      <c r="G4412" s="5" t="s">
        <v>29398</v>
      </c>
      <c r="H4412" s="6" t="s">
        <v>29399</v>
      </c>
      <c r="K4412" s="5" t="s">
        <v>29394</v>
      </c>
      <c r="M4412" s="5" t="s">
        <v>29400</v>
      </c>
      <c r="N4412" s="7" t="s">
        <v>29401</v>
      </c>
      <c r="O4412" s="8" t="str">
        <f>HYPERLINK("https://drive.google.com/file/d/1l2J7uy0NZbe2xXh92SlgbVLy0iu1futU/view?usp=drivesdk","4411_HENDRA BADRIAWAN _ SERTIFIKAT BerAKHLAK")</f>
        <v>4411_HENDRA BADRIAWAN _ SERTIFIKAT BerAKHLAK</v>
      </c>
      <c r="P4412" s="5" t="s">
        <v>29385</v>
      </c>
    </row>
    <row r="4413" hidden="1">
      <c r="A4413" s="4">
        <v>45534.3515728125</v>
      </c>
      <c r="B4413" s="5" t="s">
        <v>19</v>
      </c>
      <c r="C4413" s="5" t="s">
        <v>3301</v>
      </c>
      <c r="E4413" s="5" t="s">
        <v>29402</v>
      </c>
      <c r="F4413" s="5" t="s">
        <v>715</v>
      </c>
      <c r="G4413" s="5" t="s">
        <v>29403</v>
      </c>
      <c r="H4413" s="6" t="s">
        <v>29404</v>
      </c>
      <c r="K4413" s="5" t="s">
        <v>29394</v>
      </c>
      <c r="M4413" s="5" t="s">
        <v>29405</v>
      </c>
      <c r="N4413" s="7" t="s">
        <v>29406</v>
      </c>
      <c r="O4413" s="8" t="str">
        <f>HYPERLINK("https://drive.google.com/file/d/1NiWsSogOL0e2SemX96R-wrC9xGHPYxYc/view?usp=drivesdk","4412_INDRA IRAWATI, AMK _ SERTIFIKAT BerAKHLAK")</f>
        <v>4412_INDRA IRAWATI, AMK _ SERTIFIKAT BerAKHLAK</v>
      </c>
      <c r="P4413" s="5" t="s">
        <v>29385</v>
      </c>
    </row>
    <row r="4414">
      <c r="A4414" s="4">
        <v>45534.35157564815</v>
      </c>
      <c r="B4414" s="5" t="s">
        <v>34</v>
      </c>
      <c r="D4414" s="5" t="s">
        <v>1206</v>
      </c>
      <c r="E4414" s="5" t="s">
        <v>23734</v>
      </c>
      <c r="F4414" s="5" t="s">
        <v>375</v>
      </c>
      <c r="G4414" s="5" t="s">
        <v>23735</v>
      </c>
      <c r="H4414" s="6" t="s">
        <v>29407</v>
      </c>
      <c r="K4414" s="5" t="s">
        <v>29394</v>
      </c>
      <c r="M4414" s="5" t="s">
        <v>29408</v>
      </c>
      <c r="N4414" s="7" t="s">
        <v>29409</v>
      </c>
      <c r="O4414" s="8" t="str">
        <f>HYPERLINK("https://drive.google.com/file/d/1aAYLP5YfMQPtNhlC1O-vzxcc6Qm201hF/view?usp=drivesdk","4413_KERRY BAGUS RIANDRA, S.E _ SERTIFIKAT BerAKHLAK")</f>
        <v>4413_KERRY BAGUS RIANDRA, S.E _ SERTIFIKAT BerAKHLAK</v>
      </c>
      <c r="P4414" s="5" t="s">
        <v>29410</v>
      </c>
    </row>
    <row r="4415">
      <c r="A4415" s="4">
        <v>45534.35158130787</v>
      </c>
      <c r="B4415" s="5" t="s">
        <v>34</v>
      </c>
      <c r="D4415" s="5" t="s">
        <v>1206</v>
      </c>
      <c r="E4415" s="5" t="s">
        <v>29411</v>
      </c>
      <c r="F4415" s="5" t="s">
        <v>37</v>
      </c>
      <c r="G4415" s="5" t="s">
        <v>29412</v>
      </c>
      <c r="H4415" s="6" t="s">
        <v>29413</v>
      </c>
      <c r="K4415" s="5" t="s">
        <v>29394</v>
      </c>
      <c r="M4415" s="5" t="s">
        <v>29414</v>
      </c>
      <c r="N4415" s="7" t="s">
        <v>29415</v>
      </c>
      <c r="O4415" s="8" t="str">
        <f>HYPERLINK("https://drive.google.com/file/d/1Ji9gqAyTEcGt86Eyw0h-FbbM3T5821zA/view?usp=drivesdk","4414_SAPARI WIDARSO _ SERTIFIKAT BerAKHLAK")</f>
        <v>4414_SAPARI WIDARSO _ SERTIFIKAT BerAKHLAK</v>
      </c>
      <c r="P4415" s="5" t="s">
        <v>29410</v>
      </c>
    </row>
    <row r="4416">
      <c r="A4416" s="4">
        <v>45534.35158969907</v>
      </c>
      <c r="B4416" s="5" t="s">
        <v>34</v>
      </c>
      <c r="D4416" s="5" t="s">
        <v>7858</v>
      </c>
      <c r="E4416" s="5" t="s">
        <v>29416</v>
      </c>
      <c r="F4416" s="5" t="s">
        <v>212</v>
      </c>
      <c r="G4416" s="5" t="s">
        <v>29417</v>
      </c>
      <c r="H4416" s="6" t="s">
        <v>29418</v>
      </c>
      <c r="K4416" s="5" t="s">
        <v>29394</v>
      </c>
      <c r="M4416" s="5" t="s">
        <v>29419</v>
      </c>
      <c r="N4416" s="7" t="s">
        <v>29420</v>
      </c>
      <c r="O4416" s="8" t="str">
        <f>HYPERLINK("https://drive.google.com/file/d/1map2Omx1dQH__noTLnaeJeaXco5Ieu4k/view?usp=drivesdk","4415_AKHMAD SAEPUDIN _ SERTIFIKAT BerAKHLAK")</f>
        <v>4415_AKHMAD SAEPUDIN _ SERTIFIKAT BerAKHLAK</v>
      </c>
      <c r="P4416" s="5" t="s">
        <v>29410</v>
      </c>
    </row>
    <row r="4417">
      <c r="A4417" s="4">
        <v>45534.35159148148</v>
      </c>
      <c r="B4417" s="5" t="s">
        <v>34</v>
      </c>
      <c r="D4417" s="5" t="s">
        <v>1558</v>
      </c>
      <c r="E4417" s="5" t="s">
        <v>29421</v>
      </c>
      <c r="F4417" s="5" t="s">
        <v>72</v>
      </c>
      <c r="G4417" s="5" t="s">
        <v>29422</v>
      </c>
      <c r="H4417" s="6" t="s">
        <v>29423</v>
      </c>
      <c r="K4417" s="5" t="s">
        <v>29394</v>
      </c>
      <c r="M4417" s="5" t="s">
        <v>29424</v>
      </c>
      <c r="N4417" s="7" t="s">
        <v>29425</v>
      </c>
      <c r="O4417" s="8" t="str">
        <f>HYPERLINK("https://drive.google.com/file/d/1vPcE9WRSAJHeNtx3djVSqaYkOgEa-zcd/view?usp=drivesdk","4416_JULI ANGGRIANI, A.Md.Kom _ SERTIFIKAT BerAKHLAK")</f>
        <v>4416_JULI ANGGRIANI, A.Md.Kom _ SERTIFIKAT BerAKHLAK</v>
      </c>
      <c r="P4417" s="5" t="s">
        <v>29410</v>
      </c>
    </row>
    <row r="4418">
      <c r="A4418" s="4">
        <v>45534.351592962965</v>
      </c>
      <c r="B4418" s="5" t="s">
        <v>34</v>
      </c>
      <c r="D4418" s="5" t="s">
        <v>12978</v>
      </c>
      <c r="E4418" s="5" t="s">
        <v>29426</v>
      </c>
      <c r="F4418" s="5" t="s">
        <v>72</v>
      </c>
      <c r="G4418" s="5" t="s">
        <v>29427</v>
      </c>
      <c r="H4418" s="6" t="s">
        <v>29428</v>
      </c>
      <c r="K4418" s="5" t="s">
        <v>29394</v>
      </c>
      <c r="M4418" s="5" t="s">
        <v>29429</v>
      </c>
      <c r="N4418" s="7" t="s">
        <v>29430</v>
      </c>
      <c r="O4418" s="8" t="str">
        <f>HYPERLINK("https://drive.google.com/file/d/1gHnmLO57q-Sdg3mdRRP24-4wjtGXyjOU/view?usp=drivesdk","4417_BETTY APRIANI _ SERTIFIKAT BerAKHLAK")</f>
        <v>4417_BETTY APRIANI _ SERTIFIKAT BerAKHLAK</v>
      </c>
      <c r="P4418" s="5" t="s">
        <v>29410</v>
      </c>
    </row>
    <row r="4419">
      <c r="A4419" s="4">
        <v>45534.351598912035</v>
      </c>
      <c r="B4419" s="5" t="s">
        <v>34</v>
      </c>
      <c r="D4419" s="5" t="s">
        <v>4775</v>
      </c>
      <c r="E4419" s="5" t="s">
        <v>29431</v>
      </c>
      <c r="F4419" s="5" t="s">
        <v>212</v>
      </c>
      <c r="G4419" s="5" t="s">
        <v>29432</v>
      </c>
      <c r="H4419" s="6" t="s">
        <v>29433</v>
      </c>
      <c r="K4419" s="5" t="s">
        <v>29394</v>
      </c>
      <c r="M4419" s="5" t="s">
        <v>29434</v>
      </c>
      <c r="N4419" s="7" t="s">
        <v>29435</v>
      </c>
      <c r="O4419" s="8" t="str">
        <f>HYPERLINK("https://drive.google.com/file/d/16FpOZVFDF5EpSgNo4tbYL0zQEOKnXqr3/view?usp=drivesdk","4418_VISTA YANU MARDIARTI _ SERTIFIKAT BerAKHLAK")</f>
        <v>4418_VISTA YANU MARDIARTI _ SERTIFIKAT BerAKHLAK</v>
      </c>
      <c r="P4419" s="5" t="s">
        <v>29436</v>
      </c>
    </row>
    <row r="4420">
      <c r="A4420" s="4">
        <v>45534.35160016204</v>
      </c>
      <c r="B4420" s="5" t="s">
        <v>34</v>
      </c>
      <c r="D4420" s="5" t="s">
        <v>1558</v>
      </c>
      <c r="E4420" s="5" t="s">
        <v>29437</v>
      </c>
      <c r="F4420" s="5" t="s">
        <v>199</v>
      </c>
      <c r="G4420" s="5" t="s">
        <v>29438</v>
      </c>
      <c r="H4420" s="6" t="s">
        <v>29439</v>
      </c>
      <c r="K4420" s="5" t="s">
        <v>29394</v>
      </c>
      <c r="M4420" s="5" t="s">
        <v>29440</v>
      </c>
      <c r="N4420" s="7" t="s">
        <v>29441</v>
      </c>
      <c r="O4420" s="8" t="str">
        <f>HYPERLINK("https://drive.google.com/file/d/1a52lrPdnCIFKAZmlnD4PqRMqj5zVnD4X/view?usp=drivesdk","4419_DJUMIYANTI  _ SERTIFIKAT BerAKHLAK")</f>
        <v>4419_DJUMIYANTI  _ SERTIFIKAT BerAKHLAK</v>
      </c>
      <c r="P4420" s="5" t="s">
        <v>29436</v>
      </c>
    </row>
    <row r="4421">
      <c r="A4421" s="4">
        <v>45534.3516078588</v>
      </c>
      <c r="B4421" s="5" t="s">
        <v>34</v>
      </c>
      <c r="D4421" s="5" t="s">
        <v>1206</v>
      </c>
      <c r="E4421" s="5" t="s">
        <v>29442</v>
      </c>
      <c r="F4421" s="5" t="s">
        <v>212</v>
      </c>
      <c r="G4421" s="5" t="s">
        <v>29443</v>
      </c>
      <c r="H4421" s="6" t="s">
        <v>29444</v>
      </c>
      <c r="K4421" s="5" t="s">
        <v>29394</v>
      </c>
      <c r="M4421" s="5" t="s">
        <v>29445</v>
      </c>
      <c r="N4421" s="7" t="s">
        <v>29446</v>
      </c>
      <c r="O4421" s="8" t="str">
        <f>HYPERLINK("https://drive.google.com/file/d/1xi6cNN6hctIBTSI5-RGmZgl4Zhw0g95L/view?usp=drivesdk","4420_TARJO , SH _ SERTIFIKAT BerAKHLAK")</f>
        <v>4420_TARJO , SH _ SERTIFIKAT BerAKHLAK</v>
      </c>
      <c r="P4421" s="5" t="s">
        <v>29436</v>
      </c>
    </row>
    <row r="4422">
      <c r="A4422" s="4">
        <v>45534.35161763889</v>
      </c>
      <c r="B4422" s="5" t="s">
        <v>34</v>
      </c>
      <c r="D4422" s="5" t="s">
        <v>996</v>
      </c>
      <c r="E4422" s="5" t="s">
        <v>29447</v>
      </c>
      <c r="F4422" s="5" t="s">
        <v>37</v>
      </c>
      <c r="G4422" s="5" t="s">
        <v>29448</v>
      </c>
      <c r="H4422" s="6" t="s">
        <v>29449</v>
      </c>
      <c r="K4422" s="5" t="s">
        <v>29394</v>
      </c>
      <c r="M4422" s="5" t="s">
        <v>29450</v>
      </c>
      <c r="N4422" s="7" t="s">
        <v>29451</v>
      </c>
      <c r="O4422" s="8" t="str">
        <f>HYPERLINK("https://drive.google.com/file/d/1GsK0vP3pcBsPrG_5234gNWrWYvzri1A6/view?usp=drivesdk","4421_NURUL HUDA _ SERTIFIKAT BerAKHLAK")</f>
        <v>4421_NURUL HUDA _ SERTIFIKAT BerAKHLAK</v>
      </c>
      <c r="P4422" s="5" t="s">
        <v>29436</v>
      </c>
    </row>
    <row r="4423">
      <c r="A4423" s="4">
        <v>45534.35163306713</v>
      </c>
      <c r="B4423" s="5" t="s">
        <v>34</v>
      </c>
      <c r="D4423" s="5" t="s">
        <v>4775</v>
      </c>
      <c r="E4423" s="5" t="s">
        <v>29452</v>
      </c>
      <c r="F4423" s="5" t="s">
        <v>375</v>
      </c>
      <c r="G4423" s="5" t="s">
        <v>29453</v>
      </c>
      <c r="H4423" s="6" t="s">
        <v>29454</v>
      </c>
      <c r="K4423" s="5" t="s">
        <v>29455</v>
      </c>
      <c r="M4423" s="5" t="s">
        <v>29456</v>
      </c>
      <c r="N4423" s="7" t="s">
        <v>29457</v>
      </c>
      <c r="O4423" s="8" t="str">
        <f>HYPERLINK("https://drive.google.com/file/d/1atvln6Hz1SfaIEnh9EYVKwfqx6-68EtD/view?usp=drivesdk","4422_ERNA RANIYANINGSIH, SH MH _ SERTIFIKAT BerAKHLAK")</f>
        <v>4422_ERNA RANIYANINGSIH, SH MH _ SERTIFIKAT BerAKHLAK</v>
      </c>
      <c r="P4423" s="5" t="s">
        <v>29458</v>
      </c>
    </row>
    <row r="4424">
      <c r="A4424" s="4">
        <v>45534.35163664352</v>
      </c>
      <c r="B4424" s="5" t="s">
        <v>34</v>
      </c>
      <c r="D4424" s="5" t="s">
        <v>1206</v>
      </c>
      <c r="E4424" s="5" t="s">
        <v>29459</v>
      </c>
      <c r="F4424" s="5" t="s">
        <v>212</v>
      </c>
      <c r="G4424" s="5" t="s">
        <v>29460</v>
      </c>
      <c r="H4424" s="6" t="s">
        <v>29461</v>
      </c>
      <c r="K4424" s="5" t="s">
        <v>29455</v>
      </c>
      <c r="M4424" s="5" t="s">
        <v>29462</v>
      </c>
      <c r="N4424" s="7" t="s">
        <v>29463</v>
      </c>
      <c r="O4424" s="8" t="str">
        <f>HYPERLINK("https://drive.google.com/file/d/1ICkbp0AAPFE_c9iEyA4C74j2geb-2sB6/view?usp=drivesdk","4423_ANTOK SISWANTORO _ SERTIFIKAT BerAKHLAK")</f>
        <v>4423_ANTOK SISWANTORO _ SERTIFIKAT BerAKHLAK</v>
      </c>
      <c r="P4424" s="5" t="s">
        <v>29458</v>
      </c>
    </row>
    <row r="4425">
      <c r="A4425" s="4">
        <v>45534.35165527777</v>
      </c>
      <c r="B4425" s="5" t="s">
        <v>34</v>
      </c>
      <c r="D4425" s="5" t="s">
        <v>9020</v>
      </c>
      <c r="E4425" s="5" t="s">
        <v>29464</v>
      </c>
      <c r="F4425" s="5" t="s">
        <v>37</v>
      </c>
      <c r="G4425" s="5" t="s">
        <v>29465</v>
      </c>
      <c r="H4425" s="6" t="s">
        <v>29466</v>
      </c>
      <c r="K4425" s="5" t="s">
        <v>29455</v>
      </c>
      <c r="M4425" s="5" t="s">
        <v>29467</v>
      </c>
      <c r="N4425" s="7" t="s">
        <v>29468</v>
      </c>
      <c r="O4425" s="8" t="str">
        <f>HYPERLINK("https://drive.google.com/file/d/1ryhf0A5sCRreQl-7DDVZ-Txg2-qgbGIF/view?usp=drivesdk","4424_RIKA YUSANTI _ SERTIFIKAT BerAKHLAK")</f>
        <v>4424_RIKA YUSANTI _ SERTIFIKAT BerAKHLAK</v>
      </c>
      <c r="P4425" s="5" t="s">
        <v>29458</v>
      </c>
    </row>
    <row r="4426">
      <c r="A4426" s="4">
        <v>45534.35166728009</v>
      </c>
      <c r="B4426" s="5" t="s">
        <v>34</v>
      </c>
      <c r="D4426" s="5" t="s">
        <v>1206</v>
      </c>
      <c r="E4426" s="5" t="s">
        <v>29469</v>
      </c>
      <c r="F4426" s="5" t="s">
        <v>37</v>
      </c>
      <c r="G4426" s="5" t="s">
        <v>29470</v>
      </c>
      <c r="H4426" s="6" t="s">
        <v>29471</v>
      </c>
      <c r="K4426" s="5" t="s">
        <v>29455</v>
      </c>
      <c r="M4426" s="5" t="s">
        <v>29472</v>
      </c>
      <c r="N4426" s="7" t="s">
        <v>29473</v>
      </c>
      <c r="O4426" s="8" t="str">
        <f>HYPERLINK("https://drive.google.com/file/d/1J_Kn5WPkq-Bhkvt7vKtxsWbF0stYgZLF/view?usp=drivesdk","4425_INDRA ANWAR MAYASARI  _ SERTIFIKAT BerAKHLAK")</f>
        <v>4425_INDRA ANWAR MAYASARI  _ SERTIFIKAT BerAKHLAK</v>
      </c>
      <c r="P4426" s="5" t="s">
        <v>29474</v>
      </c>
    </row>
    <row r="4427">
      <c r="A4427" s="4">
        <v>45534.351670289354</v>
      </c>
      <c r="B4427" s="5" t="s">
        <v>34</v>
      </c>
      <c r="D4427" s="5" t="s">
        <v>12978</v>
      </c>
      <c r="E4427" s="5" t="s">
        <v>29475</v>
      </c>
      <c r="F4427" s="5" t="s">
        <v>212</v>
      </c>
      <c r="G4427" s="5" t="s">
        <v>29476</v>
      </c>
      <c r="H4427" s="6" t="s">
        <v>29477</v>
      </c>
      <c r="K4427" s="5" t="s">
        <v>29478</v>
      </c>
      <c r="M4427" s="5" t="s">
        <v>29479</v>
      </c>
      <c r="N4427" s="7" t="s">
        <v>29480</v>
      </c>
      <c r="O4427" s="8" t="str">
        <f>HYPERLINK("https://drive.google.com/file/d/1DtVUj-pXK_jbaXmFWi815svntZ4uF120/view?usp=drivesdk","4426_SURIYANI,S.Sos _ SERTIFIKAT BerAKHLAK")</f>
        <v>4426_SURIYANI,S.Sos _ SERTIFIKAT BerAKHLAK</v>
      </c>
      <c r="P4427" s="5" t="s">
        <v>29474</v>
      </c>
    </row>
    <row r="4428">
      <c r="A4428" s="4">
        <v>45534.35167554398</v>
      </c>
      <c r="B4428" s="5" t="s">
        <v>34</v>
      </c>
      <c r="D4428" s="5" t="s">
        <v>6232</v>
      </c>
      <c r="E4428" s="5" t="s">
        <v>29481</v>
      </c>
      <c r="F4428" s="5" t="s">
        <v>108</v>
      </c>
      <c r="G4428" s="5" t="s">
        <v>29482</v>
      </c>
      <c r="H4428" s="6" t="s">
        <v>29483</v>
      </c>
      <c r="K4428" s="5" t="s">
        <v>29478</v>
      </c>
      <c r="M4428" s="5" t="s">
        <v>29484</v>
      </c>
      <c r="N4428" s="7" t="s">
        <v>29485</v>
      </c>
      <c r="O4428" s="8" t="str">
        <f>HYPERLINK("https://drive.google.com/file/d/1qFl-oRXOa5ME1UauKUV8JUG18Lvqjihg/view?usp=drivesdk","4427_DIANA SUPENI _ SERTIFIKAT BerAKHLAK")</f>
        <v>4427_DIANA SUPENI _ SERTIFIKAT BerAKHLAK</v>
      </c>
      <c r="P4428" s="5" t="s">
        <v>29474</v>
      </c>
    </row>
    <row r="4429">
      <c r="A4429" s="4">
        <v>45534.35172805555</v>
      </c>
      <c r="B4429" s="5" t="s">
        <v>34</v>
      </c>
      <c r="D4429" s="5" t="s">
        <v>6232</v>
      </c>
      <c r="E4429" s="5" t="s">
        <v>29486</v>
      </c>
      <c r="F4429" s="5" t="s">
        <v>108</v>
      </c>
      <c r="G4429" s="5" t="s">
        <v>29487</v>
      </c>
      <c r="H4429" s="6" t="s">
        <v>29488</v>
      </c>
      <c r="K4429" s="5" t="s">
        <v>29489</v>
      </c>
      <c r="M4429" s="5" t="s">
        <v>29490</v>
      </c>
      <c r="N4429" s="7" t="s">
        <v>29491</v>
      </c>
      <c r="O4429" s="8" t="str">
        <f>HYPERLINK("https://drive.google.com/file/d/12rRST68asyq5JKGAw3dhF2fCtvFjwGBl/view?usp=drivesdk","4428_Osnila,A.Md.Kep _ SERTIFIKAT BerAKHLAK")</f>
        <v>4428_Osnila,A.Md.Kep _ SERTIFIKAT BerAKHLAK</v>
      </c>
      <c r="P4429" s="5" t="s">
        <v>29492</v>
      </c>
    </row>
    <row r="4430">
      <c r="A4430" s="4">
        <v>45534.3517302199</v>
      </c>
      <c r="B4430" s="5" t="s">
        <v>34</v>
      </c>
      <c r="D4430" s="5" t="s">
        <v>4775</v>
      </c>
      <c r="E4430" s="5" t="s">
        <v>29493</v>
      </c>
      <c r="F4430" s="5" t="s">
        <v>375</v>
      </c>
      <c r="G4430" s="5" t="s">
        <v>29494</v>
      </c>
      <c r="H4430" s="6" t="s">
        <v>29495</v>
      </c>
      <c r="K4430" s="5" t="s">
        <v>29489</v>
      </c>
      <c r="M4430" s="5" t="s">
        <v>29496</v>
      </c>
      <c r="N4430" s="7" t="s">
        <v>29497</v>
      </c>
      <c r="O4430" s="8" t="str">
        <f>HYPERLINK("https://drive.google.com/file/d/19YKBzS4gMQ12-V80uvWCdCvzxWcTMeDX/view?usp=drivesdk","4429_SRI WIHARYATI _ SERTIFIKAT BerAKHLAK")</f>
        <v>4429_SRI WIHARYATI _ SERTIFIKAT BerAKHLAK</v>
      </c>
      <c r="P4430" s="5" t="s">
        <v>29492</v>
      </c>
    </row>
    <row r="4431">
      <c r="A4431" s="4">
        <v>45534.351732511575</v>
      </c>
      <c r="B4431" s="5" t="s">
        <v>34</v>
      </c>
      <c r="D4431" s="5" t="s">
        <v>1206</v>
      </c>
      <c r="E4431" s="5" t="s">
        <v>29498</v>
      </c>
      <c r="F4431" s="5" t="s">
        <v>37</v>
      </c>
      <c r="G4431" s="5" t="s">
        <v>29499</v>
      </c>
      <c r="H4431" s="6" t="s">
        <v>29500</v>
      </c>
      <c r="K4431" s="5" t="s">
        <v>29489</v>
      </c>
      <c r="M4431" s="5" t="s">
        <v>29501</v>
      </c>
      <c r="N4431" s="7" t="s">
        <v>29502</v>
      </c>
      <c r="O4431" s="8" t="str">
        <f>HYPERLINK("https://drive.google.com/file/d/1rKMWzKISB32fxzzOU0q4crzK-djGxx1Z/view?usp=drivesdk","4430_DIYAH FITRIYANTI AGUSTIN _ SERTIFIKAT BerAKHLAK")</f>
        <v>4430_DIYAH FITRIYANTI AGUSTIN _ SERTIFIKAT BerAKHLAK</v>
      </c>
      <c r="P4431" s="5" t="s">
        <v>29492</v>
      </c>
    </row>
    <row r="4432">
      <c r="A4432" s="4">
        <v>45534.351732337964</v>
      </c>
      <c r="B4432" s="5" t="s">
        <v>34</v>
      </c>
      <c r="D4432" s="5" t="s">
        <v>10444</v>
      </c>
      <c r="E4432" s="5" t="s">
        <v>29503</v>
      </c>
      <c r="F4432" s="5" t="s">
        <v>37</v>
      </c>
      <c r="G4432" s="5" t="s">
        <v>29504</v>
      </c>
      <c r="H4432" s="6" t="s">
        <v>29505</v>
      </c>
      <c r="K4432" s="5" t="s">
        <v>29489</v>
      </c>
      <c r="M4432" s="5" t="s">
        <v>29506</v>
      </c>
      <c r="N4432" s="7" t="s">
        <v>29507</v>
      </c>
      <c r="O4432" s="8" t="str">
        <f>HYPERLINK("https://drive.google.com/file/d/17rAilmZO21L78PZNUDPkQmZCiBomT3f5/view?usp=drivesdk","4431_Gusyanti,A.Md.,Farm _ SERTIFIKAT BerAKHLAK")</f>
        <v>4431_Gusyanti,A.Md.,Farm _ SERTIFIKAT BerAKHLAK</v>
      </c>
      <c r="P4432" s="5" t="s">
        <v>29492</v>
      </c>
    </row>
    <row r="4433">
      <c r="A4433" s="4">
        <v>45534.35173299769</v>
      </c>
      <c r="B4433" s="5" t="s">
        <v>34</v>
      </c>
      <c r="D4433" s="5" t="s">
        <v>4775</v>
      </c>
      <c r="E4433" s="5" t="s">
        <v>29508</v>
      </c>
      <c r="F4433" s="5" t="s">
        <v>524</v>
      </c>
      <c r="G4433" s="5" t="s">
        <v>29509</v>
      </c>
      <c r="H4433" s="6" t="s">
        <v>29510</v>
      </c>
      <c r="K4433" s="5" t="s">
        <v>29489</v>
      </c>
      <c r="M4433" s="5" t="s">
        <v>29511</v>
      </c>
      <c r="N4433" s="7" t="s">
        <v>29512</v>
      </c>
      <c r="O4433" s="8" t="str">
        <f>HYPERLINK("https://drive.google.com/file/d/1u2h5LcvorYrzQMNb2OxtWkW0D8ObpyxL/view?usp=drivesdk","4432_HERI KURNIANI _ SERTIFIKAT BerAKHLAK")</f>
        <v>4432_HERI KURNIANI _ SERTIFIKAT BerAKHLAK</v>
      </c>
      <c r="P4433" s="5" t="s">
        <v>29492</v>
      </c>
    </row>
    <row r="4434">
      <c r="A4434" s="4">
        <v>45534.3517333912</v>
      </c>
      <c r="B4434" s="5" t="s">
        <v>34</v>
      </c>
      <c r="D4434" s="5" t="s">
        <v>12978</v>
      </c>
      <c r="E4434" s="5" t="s">
        <v>29513</v>
      </c>
      <c r="F4434" s="5" t="s">
        <v>199</v>
      </c>
      <c r="G4434" s="5" t="s">
        <v>29514</v>
      </c>
      <c r="H4434" s="6" t="s">
        <v>29515</v>
      </c>
      <c r="K4434" s="5" t="s">
        <v>29489</v>
      </c>
      <c r="M4434" s="5" t="s">
        <v>29516</v>
      </c>
      <c r="N4434" s="7" t="s">
        <v>29517</v>
      </c>
      <c r="O4434" s="8" t="str">
        <f>HYPERLINK("https://drive.google.com/file/d/1EYXD3-fNy-_0uAt_QQMH9tyF0KVe22et/view?usp=drivesdk","4433_MUHAMAD SOLEH.S.SOS  _ SERTIFIKAT BerAKHLAK")</f>
        <v>4433_MUHAMAD SOLEH.S.SOS  _ SERTIFIKAT BerAKHLAK</v>
      </c>
      <c r="P4434" s="5" t="s">
        <v>29518</v>
      </c>
    </row>
    <row r="4435">
      <c r="A4435" s="4">
        <v>45534.35173570602</v>
      </c>
      <c r="B4435" s="5" t="s">
        <v>34</v>
      </c>
      <c r="D4435" s="5" t="s">
        <v>1206</v>
      </c>
      <c r="E4435" s="5" t="s">
        <v>29519</v>
      </c>
      <c r="F4435" s="5" t="s">
        <v>199</v>
      </c>
      <c r="G4435" s="5" t="s">
        <v>29520</v>
      </c>
      <c r="H4435" s="6" t="s">
        <v>29521</v>
      </c>
      <c r="K4435" s="5" t="s">
        <v>29489</v>
      </c>
      <c r="M4435" s="5" t="s">
        <v>29522</v>
      </c>
      <c r="N4435" s="7" t="s">
        <v>29523</v>
      </c>
      <c r="O4435" s="8" t="str">
        <f>HYPERLINK("https://drive.google.com/file/d/1m-5WLSuaLb6_2H08D34jAbs7ya94gwET/view?usp=drivesdk","4434_WINARSIH _ SERTIFIKAT BerAKHLAK")</f>
        <v>4434_WINARSIH _ SERTIFIKAT BerAKHLAK</v>
      </c>
      <c r="P4435" s="5" t="s">
        <v>29518</v>
      </c>
    </row>
    <row r="4436">
      <c r="A4436" s="4">
        <v>45534.35174333333</v>
      </c>
      <c r="B4436" s="5" t="s">
        <v>34</v>
      </c>
      <c r="D4436" s="5" t="s">
        <v>4775</v>
      </c>
      <c r="E4436" s="5" t="s">
        <v>17539</v>
      </c>
      <c r="F4436" s="5" t="s">
        <v>212</v>
      </c>
      <c r="G4436" s="5" t="s">
        <v>29524</v>
      </c>
      <c r="H4436" s="6" t="s">
        <v>29525</v>
      </c>
      <c r="K4436" s="5" t="s">
        <v>29489</v>
      </c>
      <c r="M4436" s="5" t="s">
        <v>29526</v>
      </c>
      <c r="N4436" s="7" t="s">
        <v>29527</v>
      </c>
      <c r="O4436" s="8" t="str">
        <f>HYPERLINK("https://drive.google.com/file/d/1LA1T6E21_Arvle2J55CkOjMAw5IURBu6/view?usp=drivesdk","4435_SUPRIYATI _ SERTIFIKAT BerAKHLAK")</f>
        <v>4435_SUPRIYATI _ SERTIFIKAT BerAKHLAK</v>
      </c>
      <c r="P4436" s="5" t="s">
        <v>29518</v>
      </c>
    </row>
    <row r="4437">
      <c r="A4437" s="4">
        <v>45534.35175479167</v>
      </c>
      <c r="B4437" s="5" t="s">
        <v>34</v>
      </c>
      <c r="D4437" s="5" t="s">
        <v>4775</v>
      </c>
      <c r="E4437" s="5" t="s">
        <v>18419</v>
      </c>
      <c r="F4437" s="5" t="s">
        <v>212</v>
      </c>
      <c r="G4437" s="5" t="s">
        <v>29528</v>
      </c>
      <c r="H4437" s="6" t="s">
        <v>29529</v>
      </c>
      <c r="K4437" s="5" t="s">
        <v>29489</v>
      </c>
      <c r="M4437" s="5" t="s">
        <v>29530</v>
      </c>
      <c r="N4437" s="7" t="s">
        <v>29531</v>
      </c>
      <c r="O4437" s="8" t="str">
        <f>HYPERLINK("https://drive.google.com/file/d/1-oH5bXDFSVM-lfZH1a1GjB3Md7GJ8AnW/view?usp=drivesdk","4436_SUMARNI _ SERTIFIKAT BerAKHLAK")</f>
        <v>4436_SUMARNI _ SERTIFIKAT BerAKHLAK</v>
      </c>
      <c r="P4437" s="5" t="s">
        <v>29518</v>
      </c>
    </row>
    <row r="4438">
      <c r="A4438" s="4">
        <v>45534.35175710648</v>
      </c>
      <c r="B4438" s="5" t="s">
        <v>34</v>
      </c>
      <c r="D4438" s="5" t="s">
        <v>6232</v>
      </c>
      <c r="E4438" s="5" t="s">
        <v>29532</v>
      </c>
      <c r="F4438" s="5" t="s">
        <v>120</v>
      </c>
      <c r="G4438" s="5" t="s">
        <v>29533</v>
      </c>
      <c r="H4438" s="6" t="s">
        <v>29534</v>
      </c>
      <c r="K4438" s="5" t="s">
        <v>29489</v>
      </c>
      <c r="M4438" s="5" t="s">
        <v>29535</v>
      </c>
      <c r="N4438" s="7" t="s">
        <v>29536</v>
      </c>
      <c r="O4438" s="8" t="str">
        <f>HYPERLINK("https://drive.google.com/file/d/1gMulNruW3k8LG5Xqx_nho2TZkiHHJLq4/view?usp=drivesdk","4437_dr.M Isnaini Trisyah Putra _ SERTIFIKAT BerAKHLAK")</f>
        <v>4437_dr.M Isnaini Trisyah Putra _ SERTIFIKAT BerAKHLAK</v>
      </c>
      <c r="P4438" s="5" t="s">
        <v>29518</v>
      </c>
    </row>
    <row r="4439">
      <c r="A4439" s="4">
        <v>45534.351768506946</v>
      </c>
      <c r="B4439" s="5" t="s">
        <v>34</v>
      </c>
      <c r="D4439" s="5" t="s">
        <v>701</v>
      </c>
      <c r="E4439" s="5" t="s">
        <v>29537</v>
      </c>
      <c r="F4439" s="5" t="s">
        <v>108</v>
      </c>
      <c r="G4439" s="5" t="s">
        <v>29538</v>
      </c>
      <c r="H4439" s="6" t="s">
        <v>29539</v>
      </c>
      <c r="K4439" s="5" t="s">
        <v>29540</v>
      </c>
      <c r="M4439" s="5" t="s">
        <v>29541</v>
      </c>
      <c r="N4439" s="7" t="s">
        <v>29542</v>
      </c>
      <c r="O4439" s="8" t="str">
        <f>HYPERLINK("https://drive.google.com/file/d/1FJd2tIzArwyfOXoWBcBRidkpMs_x8bA5/view?usp=drivesdk","4438_SYOFYAN, S.E _ SERTIFIKAT BerAKHLAK")</f>
        <v>4438_SYOFYAN, S.E _ SERTIFIKAT BerAKHLAK</v>
      </c>
      <c r="P4439" s="5" t="s">
        <v>29518</v>
      </c>
    </row>
    <row r="4440">
      <c r="A4440" s="4">
        <v>45534.35177954861</v>
      </c>
      <c r="B4440" s="5" t="s">
        <v>34</v>
      </c>
      <c r="D4440" s="5" t="s">
        <v>35</v>
      </c>
      <c r="E4440" s="5" t="s">
        <v>29543</v>
      </c>
      <c r="F4440" s="5" t="s">
        <v>37</v>
      </c>
      <c r="G4440" s="5" t="s">
        <v>29544</v>
      </c>
      <c r="H4440" s="6" t="s">
        <v>29545</v>
      </c>
      <c r="K4440" s="5" t="s">
        <v>29540</v>
      </c>
      <c r="M4440" s="5" t="s">
        <v>29546</v>
      </c>
      <c r="N4440" s="7" t="s">
        <v>29547</v>
      </c>
      <c r="O4440" s="8" t="str">
        <f>HYPERLINK("https://drive.google.com/file/d/1xHWb-zkq1j9sASeIYCdPDwxifIYf4hn3/view?usp=drivesdk","4439_RIANAH WIDIA NINGSIH A. MD. KEP _ SERTIFIKAT BerAKHLAK")</f>
        <v>4439_RIANAH WIDIA NINGSIH A. MD. KEP _ SERTIFIKAT BerAKHLAK</v>
      </c>
      <c r="P4440" s="5" t="s">
        <v>29548</v>
      </c>
    </row>
    <row r="4441">
      <c r="A4441" s="4">
        <v>45534.35178087963</v>
      </c>
      <c r="B4441" s="5" t="s">
        <v>34</v>
      </c>
      <c r="D4441" s="5" t="s">
        <v>701</v>
      </c>
      <c r="E4441" s="5" t="s">
        <v>29549</v>
      </c>
      <c r="F4441" s="5" t="s">
        <v>212</v>
      </c>
      <c r="G4441" s="5" t="s">
        <v>29550</v>
      </c>
      <c r="H4441" s="6" t="s">
        <v>29551</v>
      </c>
      <c r="K4441" s="5" t="s">
        <v>29540</v>
      </c>
      <c r="M4441" s="5" t="s">
        <v>29552</v>
      </c>
      <c r="N4441" s="7" t="s">
        <v>29553</v>
      </c>
      <c r="O4441" s="8" t="str">
        <f>HYPERLINK("https://drive.google.com/file/d/1DRCg9oETRASjR5ebcndffgFxVn5fqYZm/view?usp=drivesdk","4440_HESTIHESTI _ SERTIFIKAT BerAKHLAK")</f>
        <v>4440_HESTIHESTI _ SERTIFIKAT BerAKHLAK</v>
      </c>
      <c r="P4441" s="5" t="s">
        <v>29548</v>
      </c>
    </row>
    <row r="4442">
      <c r="A4442" s="4">
        <v>45534.35178675926</v>
      </c>
      <c r="B4442" s="5" t="s">
        <v>34</v>
      </c>
      <c r="D4442" s="5" t="s">
        <v>1206</v>
      </c>
      <c r="E4442" s="5" t="s">
        <v>29554</v>
      </c>
      <c r="F4442" s="5" t="s">
        <v>212</v>
      </c>
      <c r="G4442" s="5" t="s">
        <v>29555</v>
      </c>
      <c r="H4442" s="6" t="s">
        <v>29556</v>
      </c>
      <c r="K4442" s="5" t="s">
        <v>29557</v>
      </c>
      <c r="M4442" s="5" t="s">
        <v>29558</v>
      </c>
      <c r="N4442" s="7" t="s">
        <v>29559</v>
      </c>
      <c r="O4442" s="8" t="str">
        <f>HYPERLINK("https://drive.google.com/file/d/14n0DFK18D3cGpBFZVMrrRWFmtY-4qaqX/view?usp=drivesdk","4441_SUSTIARIWAYATI _ SERTIFIKAT BerAKHLAK")</f>
        <v>4441_SUSTIARIWAYATI _ SERTIFIKAT BerAKHLAK</v>
      </c>
      <c r="P4442" s="5" t="s">
        <v>29548</v>
      </c>
    </row>
    <row r="4443">
      <c r="A4443" s="4">
        <v>45534.35181207176</v>
      </c>
      <c r="B4443" s="5" t="s">
        <v>34</v>
      </c>
      <c r="D4443" s="5" t="s">
        <v>6232</v>
      </c>
      <c r="E4443" s="5" t="s">
        <v>29560</v>
      </c>
      <c r="F4443" s="5" t="s">
        <v>72</v>
      </c>
      <c r="G4443" s="5" t="s">
        <v>29561</v>
      </c>
      <c r="H4443" s="6" t="s">
        <v>29562</v>
      </c>
      <c r="K4443" s="5" t="s">
        <v>29557</v>
      </c>
      <c r="M4443" s="5" t="s">
        <v>29563</v>
      </c>
      <c r="N4443" s="7" t="s">
        <v>29564</v>
      </c>
      <c r="O4443" s="8" t="str">
        <f>HYPERLINK("https://drive.google.com/file/d/18MOSlRso2PYIe4YtWA3_woUJjqd5iQ68/view?usp=drivesdk","4442_INDRIYANI _ SERTIFIKAT BerAKHLAK")</f>
        <v>4442_INDRIYANI _ SERTIFIKAT BerAKHLAK</v>
      </c>
      <c r="P4443" s="5" t="s">
        <v>29548</v>
      </c>
    </row>
    <row r="4444">
      <c r="A4444" s="4">
        <v>45534.35181486111</v>
      </c>
      <c r="B4444" s="5" t="s">
        <v>34</v>
      </c>
      <c r="D4444" s="5" t="s">
        <v>1558</v>
      </c>
      <c r="E4444" s="5" t="s">
        <v>29565</v>
      </c>
      <c r="F4444" s="5" t="s">
        <v>212</v>
      </c>
      <c r="G4444" s="5" t="s">
        <v>29566</v>
      </c>
      <c r="H4444" s="6" t="s">
        <v>29567</v>
      </c>
      <c r="K4444" s="5" t="s">
        <v>29568</v>
      </c>
      <c r="M4444" s="5" t="s">
        <v>29569</v>
      </c>
      <c r="N4444" s="7" t="s">
        <v>29570</v>
      </c>
      <c r="O4444" s="8" t="str">
        <f>HYPERLINK("https://drive.google.com/file/d/19q69swwiDEYgPxeBsITB3HOHUIP9PzET/view?usp=drivesdk","4443_SAMSUL BAKHRI _ SERTIFIKAT BerAKHLAK")</f>
        <v>4443_SAMSUL BAKHRI _ SERTIFIKAT BerAKHLAK</v>
      </c>
      <c r="P4444" s="5" t="s">
        <v>29548</v>
      </c>
    </row>
    <row r="4445">
      <c r="A4445" s="4">
        <v>45534.35182033565</v>
      </c>
      <c r="B4445" s="5" t="s">
        <v>34</v>
      </c>
      <c r="D4445" s="5" t="s">
        <v>35</v>
      </c>
      <c r="E4445" s="5" t="s">
        <v>29571</v>
      </c>
      <c r="F4445" s="5" t="s">
        <v>37</v>
      </c>
      <c r="G4445" s="5" t="s">
        <v>29572</v>
      </c>
      <c r="H4445" s="6" t="s">
        <v>29573</v>
      </c>
      <c r="K4445" s="5" t="s">
        <v>29568</v>
      </c>
      <c r="M4445" s="5" t="s">
        <v>29574</v>
      </c>
      <c r="N4445" s="7" t="s">
        <v>29575</v>
      </c>
      <c r="O4445" s="8" t="str">
        <f>HYPERLINK("https://drive.google.com/file/d/1Ar_qYMXbPAmR_-4mJECNg47TCFF-urk_/view?usp=drivesdk","4444_TARYANTO _ SERTIFIKAT BerAKHLAK")</f>
        <v>4444_TARYANTO _ SERTIFIKAT BerAKHLAK</v>
      </c>
      <c r="P4445" s="5" t="s">
        <v>29576</v>
      </c>
    </row>
    <row r="4446">
      <c r="A4446" s="4">
        <v>45534.35182311342</v>
      </c>
      <c r="B4446" s="5" t="s">
        <v>34</v>
      </c>
      <c r="D4446" s="5" t="s">
        <v>10444</v>
      </c>
      <c r="E4446" s="5" t="s">
        <v>29577</v>
      </c>
      <c r="F4446" s="5" t="s">
        <v>524</v>
      </c>
      <c r="G4446" s="5" t="s">
        <v>29578</v>
      </c>
      <c r="H4446" s="6" t="s">
        <v>29579</v>
      </c>
      <c r="K4446" s="5" t="s">
        <v>29568</v>
      </c>
      <c r="M4446" s="5" t="s">
        <v>29580</v>
      </c>
      <c r="N4446" s="7" t="s">
        <v>29581</v>
      </c>
      <c r="O4446" s="8" t="str">
        <f>HYPERLINK("https://drive.google.com/file/d/1Pfqk8QkYBdnUZAnG0UqtXO5ahsbzQR9p/view?usp=drivesdk","4445_MUHAMMAD KHAIRUDDIN, S.ST _ SERTIFIKAT BerAKHLAK")</f>
        <v>4445_MUHAMMAD KHAIRUDDIN, S.ST _ SERTIFIKAT BerAKHLAK</v>
      </c>
      <c r="P4446" s="5" t="s">
        <v>29576</v>
      </c>
    </row>
    <row r="4447">
      <c r="A4447" s="4">
        <v>45534.35182471065</v>
      </c>
      <c r="B4447" s="5" t="s">
        <v>34</v>
      </c>
      <c r="D4447" s="5" t="s">
        <v>9394</v>
      </c>
      <c r="E4447" s="5" t="s">
        <v>29582</v>
      </c>
      <c r="F4447" s="5" t="s">
        <v>37</v>
      </c>
      <c r="G4447" s="5" t="s">
        <v>29583</v>
      </c>
      <c r="H4447" s="6" t="s">
        <v>29584</v>
      </c>
      <c r="K4447" s="5" t="s">
        <v>29568</v>
      </c>
      <c r="M4447" s="5" t="s">
        <v>29585</v>
      </c>
      <c r="N4447" s="7" t="s">
        <v>29586</v>
      </c>
      <c r="O4447" s="8" t="str">
        <f>HYPERLINK("https://drive.google.com/file/d/1XHTQmOzWfEm_LmpKWLuFhCyz1pXRxjMk/view?usp=drivesdk","4446_YAN FINAL _ SERTIFIKAT BerAKHLAK")</f>
        <v>4446_YAN FINAL _ SERTIFIKAT BerAKHLAK</v>
      </c>
      <c r="P4447" s="5" t="s">
        <v>29576</v>
      </c>
    </row>
    <row r="4448">
      <c r="A4448" s="4">
        <v>45534.35183027778</v>
      </c>
      <c r="B4448" s="5" t="s">
        <v>34</v>
      </c>
      <c r="D4448" s="5" t="s">
        <v>12978</v>
      </c>
      <c r="E4448" s="5" t="s">
        <v>29587</v>
      </c>
      <c r="F4448" s="5" t="s">
        <v>524</v>
      </c>
      <c r="G4448" s="5" t="s">
        <v>29588</v>
      </c>
      <c r="H4448" s="6" t="s">
        <v>29589</v>
      </c>
      <c r="K4448" s="5" t="s">
        <v>29568</v>
      </c>
      <c r="M4448" s="5" t="s">
        <v>29590</v>
      </c>
      <c r="N4448" s="7" t="s">
        <v>29591</v>
      </c>
      <c r="O4448" s="8" t="str">
        <f>HYPERLINK("https://drive.google.com/file/d/1kqvSXIYmYlXbkCuHDDZA_Z4n4CxTEFj-/view?usp=drivesdk","4447_RONI FEBRIYAN _ SERTIFIKAT BerAKHLAK")</f>
        <v>4447_RONI FEBRIYAN _ SERTIFIKAT BerAKHLAK</v>
      </c>
      <c r="P4448" s="5" t="s">
        <v>29576</v>
      </c>
    </row>
    <row r="4449">
      <c r="A4449" s="4">
        <v>45534.3518397338</v>
      </c>
      <c r="B4449" s="5" t="s">
        <v>34</v>
      </c>
      <c r="D4449" s="5" t="s">
        <v>1206</v>
      </c>
      <c r="E4449" s="5" t="s">
        <v>29592</v>
      </c>
      <c r="F4449" s="5" t="s">
        <v>5859</v>
      </c>
      <c r="G4449" s="5" t="s">
        <v>29593</v>
      </c>
      <c r="H4449" s="6" t="s">
        <v>29594</v>
      </c>
      <c r="I4449" s="7" t="s">
        <v>29595</v>
      </c>
      <c r="J4449" s="8" t="str">
        <f>HYPERLINK("https://drive.google.com/file/d/12hTI2KcPpUHOWLxuYkq9m-l9zWGa_W2O/view?usp=drivesdk","YULIATI SERTIFIKAT BerAKHLAK")</f>
        <v>YULIATI SERTIFIKAT BerAKHLAK</v>
      </c>
      <c r="K4449" s="5" t="s">
        <v>28639</v>
      </c>
      <c r="L4449" s="5" t="s">
        <v>29596</v>
      </c>
      <c r="M4449" s="5" t="s">
        <v>29597</v>
      </c>
      <c r="N4449" s="7" t="s">
        <v>29598</v>
      </c>
      <c r="O4449" s="8" t="str">
        <f>HYPERLINK("https://drive.google.com/file/d/1m8ST6DvfPuyKNeug1Qpaqru_tPgZnoqJ/view?usp=drivesdk","4448_YULIATI _ SERTIFIKAT BerAKHLAK")</f>
        <v>4448_YULIATI _ SERTIFIKAT BerAKHLAK</v>
      </c>
      <c r="P4449" s="5" t="s">
        <v>29576</v>
      </c>
    </row>
    <row r="4450">
      <c r="A4450" s="4">
        <v>45534.351845983794</v>
      </c>
      <c r="B4450" s="5" t="s">
        <v>34</v>
      </c>
      <c r="D4450" s="5" t="s">
        <v>1692</v>
      </c>
      <c r="E4450" s="5" t="s">
        <v>29599</v>
      </c>
      <c r="F4450" s="5" t="s">
        <v>108</v>
      </c>
      <c r="G4450" s="5" t="s">
        <v>29600</v>
      </c>
      <c r="H4450" s="6" t="s">
        <v>29601</v>
      </c>
      <c r="I4450" s="7" t="s">
        <v>29602</v>
      </c>
      <c r="J4450" s="8" t="str">
        <f>HYPERLINK("https://drive.google.com/file/d/1w1gq7Ir__MHKDNREaAbAxqUm65fBH5Tt/view?usp=drivesdk","ERNAWATY EFIYANTI LESILOLO SERTIFIKAT BerAKHLAK")</f>
        <v>ERNAWATY EFIYANTI LESILOLO SERTIFIKAT BerAKHLAK</v>
      </c>
      <c r="K4450" s="5" t="s">
        <v>29603</v>
      </c>
      <c r="L4450" s="5" t="s">
        <v>29604</v>
      </c>
      <c r="M4450" s="5" t="s">
        <v>29605</v>
      </c>
      <c r="N4450" s="7" t="s">
        <v>29606</v>
      </c>
      <c r="O4450" s="8" t="str">
        <f>HYPERLINK("https://drive.google.com/file/d/1KrKFuG6nMsZrcwU5-HrJAxmSdRQsm4N2/view?usp=drivesdk","4449_ERNAWATY EFIYANTI LESILOLO _ SERTIFIKAT BerAKHLAK")</f>
        <v>4449_ERNAWATY EFIYANTI LESILOLO _ SERTIFIKAT BerAKHLAK</v>
      </c>
      <c r="P4450" s="5" t="s">
        <v>29607</v>
      </c>
    </row>
    <row r="4451">
      <c r="A4451" s="4">
        <v>45534.35185247685</v>
      </c>
      <c r="B4451" s="5" t="s">
        <v>34</v>
      </c>
      <c r="D4451" s="5" t="s">
        <v>6232</v>
      </c>
      <c r="E4451" s="5" t="s">
        <v>29608</v>
      </c>
      <c r="F4451" s="5" t="s">
        <v>108</v>
      </c>
      <c r="G4451" s="5" t="s">
        <v>29609</v>
      </c>
      <c r="H4451" s="6" t="s">
        <v>29610</v>
      </c>
      <c r="I4451" s="7" t="s">
        <v>29611</v>
      </c>
      <c r="J4451" s="8" t="str">
        <f>HYPERLINK("https://drive.google.com/file/d/1Tpxw4RVUlniyHg_ydjzfHJz7D54K69TQ/view?usp=drivesdk","JOJOR HUTABARAT, S.E SERTIFIKAT BerAKHLAK")</f>
        <v>JOJOR HUTABARAT, S.E SERTIFIKAT BerAKHLAK</v>
      </c>
      <c r="K4451" s="5" t="s">
        <v>29603</v>
      </c>
      <c r="L4451" s="5" t="s">
        <v>29612</v>
      </c>
      <c r="M4451" s="5" t="s">
        <v>29613</v>
      </c>
      <c r="N4451" s="7" t="s">
        <v>29614</v>
      </c>
      <c r="O4451" s="8" t="str">
        <f>HYPERLINK("https://drive.google.com/file/d/17Aq_ZxgpYMbD6650iJI22F-SMh7U0z62/view?usp=drivesdk","4450_JOJOR HUTABARAT, S.E _ SERTIFIKAT BerAKHLAK")</f>
        <v>4450_JOJOR HUTABARAT, S.E _ SERTIFIKAT BerAKHLAK</v>
      </c>
      <c r="P4451" s="5" t="s">
        <v>29607</v>
      </c>
    </row>
    <row r="4452">
      <c r="A4452" s="4">
        <v>45534.35185652778</v>
      </c>
      <c r="B4452" s="5" t="s">
        <v>34</v>
      </c>
      <c r="D4452" s="5" t="s">
        <v>1206</v>
      </c>
      <c r="E4452" s="5" t="s">
        <v>29615</v>
      </c>
      <c r="F4452" s="5" t="s">
        <v>37</v>
      </c>
      <c r="G4452" s="5" t="s">
        <v>29616</v>
      </c>
      <c r="H4452" s="6" t="s">
        <v>29617</v>
      </c>
      <c r="I4452" s="7" t="s">
        <v>29618</v>
      </c>
      <c r="J4452" s="8" t="str">
        <f>HYPERLINK("https://drive.google.com/file/d/1uHtaa7RZ3-WRRt2oSOsq9RiV4SI_pwZR/view?usp=drivesdk","SUPARNI  SERTIFIKAT BerAKHLAK")</f>
        <v>SUPARNI  SERTIFIKAT BerAKHLAK</v>
      </c>
      <c r="K4452" s="5" t="s">
        <v>28639</v>
      </c>
      <c r="L4452" s="5" t="s">
        <v>29619</v>
      </c>
      <c r="M4452" s="5" t="s">
        <v>29620</v>
      </c>
      <c r="N4452" s="7" t="s">
        <v>29621</v>
      </c>
      <c r="O4452" s="8" t="str">
        <f>HYPERLINK("https://drive.google.com/file/d/1yim4cyv9xu6MsdTmb4DZqmgqqAAd4nkM/view?usp=drivesdk","4451_SUPARNI  _ SERTIFIKAT BerAKHLAK")</f>
        <v>4451_SUPARNI  _ SERTIFIKAT BerAKHLAK</v>
      </c>
      <c r="P4452" s="5" t="s">
        <v>29622</v>
      </c>
    </row>
    <row r="4453">
      <c r="A4453" s="4">
        <v>45534.35187128472</v>
      </c>
      <c r="B4453" s="5" t="s">
        <v>34</v>
      </c>
      <c r="D4453" s="5" t="s">
        <v>1558</v>
      </c>
      <c r="E4453" s="5" t="s">
        <v>29623</v>
      </c>
      <c r="F4453" s="5" t="s">
        <v>212</v>
      </c>
      <c r="G4453" s="5" t="s">
        <v>29624</v>
      </c>
      <c r="H4453" s="6" t="s">
        <v>29625</v>
      </c>
      <c r="I4453" s="7" t="s">
        <v>29626</v>
      </c>
      <c r="J4453" s="8" t="str">
        <f>HYPERLINK("https://drive.google.com/file/d/1Ps0UkrO2kUWyO3HX6Uw45k5SwhQQAXch/view?usp=drivesdk","WIWIK SUGIARTINI SERTIFIKAT BerAKHLAK")</f>
        <v>WIWIK SUGIARTINI SERTIFIKAT BerAKHLAK</v>
      </c>
      <c r="K4453" s="5" t="s">
        <v>29603</v>
      </c>
      <c r="L4453" s="5" t="s">
        <v>29627</v>
      </c>
      <c r="M4453" s="5" t="s">
        <v>29628</v>
      </c>
      <c r="N4453" s="7" t="s">
        <v>29629</v>
      </c>
      <c r="O4453" s="8" t="str">
        <f>HYPERLINK("https://drive.google.com/file/d/1ABblFA4k-uvcDGeE7lPRvf50CDbF58m0/view?usp=drivesdk","4452_WIWIK SUGIARTINI _ SERTIFIKAT BerAKHLAK")</f>
        <v>4452_WIWIK SUGIARTINI _ SERTIFIKAT BerAKHLAK</v>
      </c>
      <c r="P4453" s="5" t="s">
        <v>29622</v>
      </c>
    </row>
    <row r="4454">
      <c r="A4454" s="4">
        <v>45534.351873900465</v>
      </c>
      <c r="B4454" s="5" t="s">
        <v>34</v>
      </c>
      <c r="D4454" s="5" t="s">
        <v>4775</v>
      </c>
      <c r="E4454" s="5" t="s">
        <v>29630</v>
      </c>
      <c r="F4454" s="5" t="s">
        <v>212</v>
      </c>
      <c r="G4454" s="5" t="s">
        <v>29631</v>
      </c>
      <c r="H4454" s="6" t="s">
        <v>29632</v>
      </c>
      <c r="I4454" s="7" t="s">
        <v>29633</v>
      </c>
      <c r="J4454" s="8" t="str">
        <f>HYPERLINK("https://drive.google.com/file/d/1xLBmZ9-2nOTJ7_RMl_Fhh2lOeJVWjHXh/view?usp=drivesdk","ERNY KURNIASIH SERTIFIKAT BerAKHLAK")</f>
        <v>ERNY KURNIASIH SERTIFIKAT BerAKHLAK</v>
      </c>
      <c r="K4454" s="5" t="s">
        <v>29603</v>
      </c>
      <c r="L4454" s="5" t="s">
        <v>29634</v>
      </c>
      <c r="M4454" s="5" t="s">
        <v>29635</v>
      </c>
      <c r="N4454" s="7" t="s">
        <v>29636</v>
      </c>
      <c r="O4454" s="8" t="str">
        <f>HYPERLINK("https://drive.google.com/file/d/1ZTVZCgmxVte7Q2DpvqNSVLP3ZazhJ8gk/view?usp=drivesdk","4453_ERNY KURNIASIH _ SERTIFIKAT BerAKHLAK")</f>
        <v>4453_ERNY KURNIASIH _ SERTIFIKAT BerAKHLAK</v>
      </c>
      <c r="P4454" s="5" t="s">
        <v>29622</v>
      </c>
    </row>
    <row r="4455">
      <c r="A4455" s="4">
        <v>45534.35188212963</v>
      </c>
      <c r="B4455" s="5" t="s">
        <v>34</v>
      </c>
      <c r="D4455" s="5" t="s">
        <v>1206</v>
      </c>
      <c r="E4455" s="5" t="s">
        <v>29637</v>
      </c>
      <c r="F4455" s="5" t="s">
        <v>212</v>
      </c>
      <c r="G4455" s="5" t="s">
        <v>29638</v>
      </c>
      <c r="H4455" s="6" t="s">
        <v>29639</v>
      </c>
      <c r="I4455" s="7" t="s">
        <v>29640</v>
      </c>
      <c r="J4455" s="8" t="str">
        <f>HYPERLINK("https://drive.google.com/file/d/1h8cJQ9QkLJR5jHxVPa7Urg8l5lVOlcFq/view?usp=drivesdk","BUDIONO,S.I.P. SERTIFIKAT BerAKHLAK")</f>
        <v>BUDIONO,S.I.P. SERTIFIKAT BerAKHLAK</v>
      </c>
      <c r="K4455" s="5" t="s">
        <v>29603</v>
      </c>
      <c r="L4455" s="5" t="s">
        <v>29641</v>
      </c>
      <c r="M4455" s="5" t="s">
        <v>29642</v>
      </c>
      <c r="N4455" s="7" t="s">
        <v>29643</v>
      </c>
      <c r="O4455" s="8" t="str">
        <f>HYPERLINK("https://drive.google.com/file/d/1o65wiofAgFWB8sybMOxuFQ4gtzdbXUEE/view?usp=drivesdk","4454_BUDIONO,S.I.P. _ SERTIFIKAT BerAKHLAK")</f>
        <v>4454_BUDIONO,S.I.P. _ SERTIFIKAT BerAKHLAK</v>
      </c>
      <c r="P4455" s="5" t="s">
        <v>29622</v>
      </c>
    </row>
    <row r="4456">
      <c r="A4456" s="4">
        <v>45534.3518867824</v>
      </c>
      <c r="B4456" s="5" t="s">
        <v>34</v>
      </c>
      <c r="D4456" s="5" t="s">
        <v>35</v>
      </c>
      <c r="E4456" s="5" t="s">
        <v>29644</v>
      </c>
      <c r="F4456" s="5" t="s">
        <v>120</v>
      </c>
      <c r="G4456" s="5" t="s">
        <v>29645</v>
      </c>
      <c r="H4456" s="6" t="s">
        <v>29646</v>
      </c>
      <c r="K4456" s="5" t="s">
        <v>29647</v>
      </c>
      <c r="M4456" s="5" t="s">
        <v>29648</v>
      </c>
      <c r="N4456" s="7" t="s">
        <v>29649</v>
      </c>
      <c r="O4456" s="8" t="str">
        <f>HYPERLINK("https://drive.google.com/file/d/1pf6NMX40bI8JFl1cvu7jr7ycqe-Z2iiG/view?usp=drivesdk","4455_MULUDIN _ SERTIFIKAT BerAKHLAK")</f>
        <v>4455_MULUDIN _ SERTIFIKAT BerAKHLAK</v>
      </c>
      <c r="P4456" s="5" t="s">
        <v>29650</v>
      </c>
    </row>
    <row r="4457">
      <c r="A4457" s="4">
        <v>45534.351890474536</v>
      </c>
      <c r="B4457" s="5" t="s">
        <v>34</v>
      </c>
      <c r="D4457" s="5" t="s">
        <v>4775</v>
      </c>
      <c r="E4457" s="5" t="s">
        <v>29651</v>
      </c>
      <c r="F4457" s="5" t="s">
        <v>212</v>
      </c>
      <c r="G4457" s="5" t="s">
        <v>29652</v>
      </c>
      <c r="H4457" s="6" t="s">
        <v>29653</v>
      </c>
      <c r="K4457" s="5" t="s">
        <v>29647</v>
      </c>
      <c r="M4457" s="5" t="s">
        <v>29654</v>
      </c>
      <c r="N4457" s="7" t="s">
        <v>29655</v>
      </c>
      <c r="O4457" s="8" t="str">
        <f>HYPERLINK("https://drive.google.com/file/d/1CLjICkwGiNE9mbDA0IxfuoqbE3McJBXr/view?usp=drivesdk","4456_MARSIYEM  _ SERTIFIKAT BerAKHLAK")</f>
        <v>4456_MARSIYEM  _ SERTIFIKAT BerAKHLAK</v>
      </c>
      <c r="P4457" s="5" t="s">
        <v>29650</v>
      </c>
    </row>
    <row r="4458">
      <c r="A4458" s="4">
        <v>45534.35191387731</v>
      </c>
      <c r="B4458" s="5" t="s">
        <v>34</v>
      </c>
      <c r="D4458" s="5" t="s">
        <v>996</v>
      </c>
      <c r="E4458" s="5" t="s">
        <v>29656</v>
      </c>
      <c r="F4458" s="5" t="s">
        <v>108</v>
      </c>
      <c r="G4458" s="5" t="s">
        <v>29657</v>
      </c>
      <c r="H4458" s="6" t="s">
        <v>29658</v>
      </c>
      <c r="I4458" s="7" t="s">
        <v>29659</v>
      </c>
      <c r="J4458" s="8" t="str">
        <f>HYPERLINK("https://drive.google.com/file/d/1hmiOqSdfi01fAIifLnjU1G7sS6VEwoXu/view?usp=drivesdk","MUHAMMAD YULIADIVRAHMAN, A.Md SERTIFIKAT BerAKHLAK")</f>
        <v>MUHAMMAD YULIADIVRAHMAN, A.Md SERTIFIKAT BerAKHLAK</v>
      </c>
      <c r="K4458" s="5" t="s">
        <v>28639</v>
      </c>
      <c r="L4458" s="5" t="s">
        <v>29660</v>
      </c>
      <c r="M4458" s="5" t="s">
        <v>29661</v>
      </c>
      <c r="N4458" s="7" t="s">
        <v>29662</v>
      </c>
      <c r="O4458" s="8" t="str">
        <f>HYPERLINK("https://drive.google.com/file/d/1SIVAs4G47w8DdB_abzsWvg84M2EJOhrZ/view?usp=drivesdk","4457_MUHAMMAD YULIADIVRAHMAN, A.Md _ SERTIFIKAT BerAKHLAK")</f>
        <v>4457_MUHAMMAD YULIADIVRAHMAN, A.Md _ SERTIFIKAT BerAKHLAK</v>
      </c>
      <c r="P4458" s="5" t="s">
        <v>29650</v>
      </c>
    </row>
    <row r="4459">
      <c r="A4459" s="4">
        <v>45534.35191834491</v>
      </c>
      <c r="B4459" s="5" t="s">
        <v>34</v>
      </c>
      <c r="D4459" s="5" t="s">
        <v>996</v>
      </c>
      <c r="E4459" s="5" t="s">
        <v>29663</v>
      </c>
      <c r="F4459" s="5" t="s">
        <v>524</v>
      </c>
      <c r="G4459" s="5" t="s">
        <v>29664</v>
      </c>
      <c r="H4459" s="6" t="s">
        <v>29665</v>
      </c>
      <c r="I4459" s="7" t="s">
        <v>29666</v>
      </c>
      <c r="J4459" s="8" t="str">
        <f>HYPERLINK("https://drive.google.com/file/d/1sjD7044Jnm_lMXBJ2JEfwXqOjPQQuNPo/view?usp=drivesdk","SITI HADIZAH SERTIFIKAT BerAKHLAK")</f>
        <v>SITI HADIZAH SERTIFIKAT BerAKHLAK</v>
      </c>
      <c r="K4459" s="5" t="s">
        <v>29603</v>
      </c>
      <c r="L4459" s="5" t="s">
        <v>29667</v>
      </c>
      <c r="M4459" s="5" t="s">
        <v>29668</v>
      </c>
      <c r="N4459" s="7" t="s">
        <v>29669</v>
      </c>
      <c r="O4459" s="8" t="str">
        <f>HYPERLINK("https://drive.google.com/file/d/1YSU2zZTIL9AZEreIPBS9JuMaMBd570Tr/view?usp=drivesdk","4458_SITI HADIZAH _ SERTIFIKAT BerAKHLAK")</f>
        <v>4458_SITI HADIZAH _ SERTIFIKAT BerAKHLAK</v>
      </c>
      <c r="P4459" s="5" t="s">
        <v>29650</v>
      </c>
    </row>
    <row r="4460">
      <c r="A4460" s="4">
        <v>45534.351923483795</v>
      </c>
      <c r="B4460" s="5" t="s">
        <v>34</v>
      </c>
      <c r="D4460" s="5" t="s">
        <v>35</v>
      </c>
      <c r="E4460" s="5" t="s">
        <v>327</v>
      </c>
      <c r="F4460" s="5" t="s">
        <v>108</v>
      </c>
      <c r="G4460" s="5" t="s">
        <v>29670</v>
      </c>
      <c r="H4460" s="6" t="s">
        <v>29671</v>
      </c>
      <c r="I4460" s="7" t="s">
        <v>29672</v>
      </c>
      <c r="J4460" s="8" t="str">
        <f>HYPERLINK("https://drive.google.com/file/d/1KJ8bAizvFaK3a6d3mo7J8ValMTm3cyB4/view?usp=drivesdk","AGUS SETIAWAN SERTIFIKAT BerAKHLAK")</f>
        <v>AGUS SETIAWAN SERTIFIKAT BerAKHLAK</v>
      </c>
      <c r="K4460" s="5" t="s">
        <v>29603</v>
      </c>
      <c r="L4460" s="5" t="s">
        <v>29673</v>
      </c>
      <c r="M4460" s="5" t="s">
        <v>29674</v>
      </c>
      <c r="N4460" s="7" t="s">
        <v>29675</v>
      </c>
      <c r="O4460" s="8" t="str">
        <f>HYPERLINK("https://drive.google.com/file/d/1hHdbfh--l28JEBxa9lk0Mu703iBbUShf/view?usp=drivesdk","4459_AGUS SETIAWAN _ SERTIFIKAT BerAKHLAK")</f>
        <v>4459_AGUS SETIAWAN _ SERTIFIKAT BerAKHLAK</v>
      </c>
      <c r="P4460" s="5" t="s">
        <v>29650</v>
      </c>
    </row>
    <row r="4461">
      <c r="A4461" s="4">
        <v>45534.35192765047</v>
      </c>
      <c r="B4461" s="5" t="s">
        <v>34</v>
      </c>
      <c r="D4461" s="5" t="s">
        <v>4775</v>
      </c>
      <c r="E4461" s="5" t="s">
        <v>29676</v>
      </c>
      <c r="F4461" s="5" t="s">
        <v>72</v>
      </c>
      <c r="G4461" s="5" t="s">
        <v>29677</v>
      </c>
      <c r="H4461" s="6" t="s">
        <v>29678</v>
      </c>
      <c r="I4461" s="7" t="s">
        <v>29679</v>
      </c>
      <c r="J4461" s="8" t="str">
        <f>HYPERLINK("https://drive.google.com/file/d/1N8YO0cEF647J8Ok0YdTKC1B0xBbRgtQj/view?usp=drivesdk","NOEROCHMAH ROMDONIJATUN  SERTIFIKAT BerAKHLAK")</f>
        <v>NOEROCHMAH ROMDONIJATUN  SERTIFIKAT BerAKHLAK</v>
      </c>
      <c r="K4461" s="5" t="s">
        <v>29603</v>
      </c>
      <c r="L4461" s="5" t="s">
        <v>29680</v>
      </c>
      <c r="M4461" s="5" t="s">
        <v>29681</v>
      </c>
      <c r="N4461" s="7" t="s">
        <v>29682</v>
      </c>
      <c r="O4461" s="8" t="str">
        <f>HYPERLINK("https://drive.google.com/file/d/19BqU0Sh3nUf8Fq3L5QKcaAdAJmbVvC2a/view?usp=drivesdk","4460_NOEROCHMAH ROMDONIJATUN  _ SERTIFIKAT BerAKHLAK")</f>
        <v>4460_NOEROCHMAH ROMDONIJATUN  _ SERTIFIKAT BerAKHLAK</v>
      </c>
      <c r="P4461" s="5" t="s">
        <v>29683</v>
      </c>
    </row>
    <row r="4462">
      <c r="A4462" s="4">
        <v>45534.35194341435</v>
      </c>
      <c r="B4462" s="5" t="s">
        <v>34</v>
      </c>
      <c r="D4462" s="5" t="s">
        <v>701</v>
      </c>
      <c r="E4462" s="5" t="s">
        <v>29684</v>
      </c>
      <c r="F4462" s="5" t="s">
        <v>524</v>
      </c>
      <c r="G4462" s="5" t="s">
        <v>29685</v>
      </c>
      <c r="H4462" s="6" t="s">
        <v>29686</v>
      </c>
      <c r="I4462" s="7" t="s">
        <v>29687</v>
      </c>
      <c r="J4462" s="8" t="str">
        <f>HYPERLINK("https://drive.google.com/file/d/1tlwBK9Yt5v4S-eFZVB-9GgU2vbhp-sn7/view?usp=drivesdk","RIZA NURHAYATI, S.Kep SERTIFIKAT BerAKHLAK")</f>
        <v>RIZA NURHAYATI, S.Kep SERTIFIKAT BerAKHLAK</v>
      </c>
      <c r="K4462" s="5" t="s">
        <v>29603</v>
      </c>
      <c r="L4462" s="5" t="s">
        <v>29688</v>
      </c>
      <c r="M4462" s="5" t="s">
        <v>29689</v>
      </c>
      <c r="N4462" s="7" t="s">
        <v>29690</v>
      </c>
      <c r="O4462" s="8" t="str">
        <f>HYPERLINK("https://drive.google.com/file/d/1__fF8Rqymu0J89vppyFqzNg-rmOIRMmz/view?usp=drivesdk","4461_RIZA NURHAYATI, S.Kep _ SERTIFIKAT BerAKHLAK")</f>
        <v>4461_RIZA NURHAYATI, S.Kep _ SERTIFIKAT BerAKHLAK</v>
      </c>
      <c r="P4462" s="5" t="s">
        <v>29683</v>
      </c>
    </row>
    <row r="4463">
      <c r="A4463" s="4">
        <v>45534.35194541667</v>
      </c>
      <c r="B4463" s="5" t="s">
        <v>34</v>
      </c>
      <c r="D4463" s="5" t="s">
        <v>975</v>
      </c>
      <c r="E4463" s="5" t="s">
        <v>29691</v>
      </c>
      <c r="F4463" s="5" t="s">
        <v>37</v>
      </c>
      <c r="G4463" s="5" t="s">
        <v>29692</v>
      </c>
      <c r="H4463" s="6" t="s">
        <v>29693</v>
      </c>
      <c r="I4463" s="7" t="s">
        <v>29694</v>
      </c>
      <c r="J4463" s="8" t="str">
        <f>HYPERLINK("https://drive.google.com/file/d/1k4UmjVD2Xim7Z-oFTqGjUqxHenChishs/view?usp=drivesdk","APRIANI, A. Md Kes SERTIFIKAT BerAKHLAK")</f>
        <v>APRIANI, A. Md Kes SERTIFIKAT BerAKHLAK</v>
      </c>
      <c r="K4463" s="5" t="s">
        <v>29695</v>
      </c>
      <c r="L4463" s="5" t="s">
        <v>29696</v>
      </c>
      <c r="M4463" s="5" t="s">
        <v>29697</v>
      </c>
      <c r="N4463" s="7" t="s">
        <v>29698</v>
      </c>
      <c r="O4463" s="8" t="str">
        <f>HYPERLINK("https://drive.google.com/file/d/14FGZyg1GkGzAB6z7EUoIOpu2PBiekoQG/view?usp=drivesdk","4462_APRIANI, A. Md Kes _ SERTIFIKAT BerAKHLAK")</f>
        <v>4462_APRIANI, A. Md Kes _ SERTIFIKAT BerAKHLAK</v>
      </c>
      <c r="P4463" s="5" t="s">
        <v>29683</v>
      </c>
    </row>
    <row r="4464">
      <c r="A4464" s="4">
        <v>45534.35194710648</v>
      </c>
      <c r="B4464" s="5" t="s">
        <v>34</v>
      </c>
      <c r="D4464" s="5" t="s">
        <v>1206</v>
      </c>
      <c r="E4464" s="5" t="s">
        <v>29699</v>
      </c>
      <c r="F4464" s="5" t="s">
        <v>37</v>
      </c>
      <c r="G4464" s="5" t="s">
        <v>29700</v>
      </c>
      <c r="H4464" s="6" t="s">
        <v>29701</v>
      </c>
      <c r="I4464" s="7" t="s">
        <v>29702</v>
      </c>
      <c r="J4464" s="8" t="str">
        <f>HYPERLINK("https://drive.google.com/file/d/19JqWc4tN0IRs5xE7sZbD2DCbSisSzuJ7/view?usp=drivesdk","MULADI SERTIFIKAT BerAKHLAK")</f>
        <v>MULADI SERTIFIKAT BerAKHLAK</v>
      </c>
      <c r="K4464" s="5" t="s">
        <v>29695</v>
      </c>
      <c r="L4464" s="5" t="s">
        <v>29703</v>
      </c>
      <c r="M4464" s="5" t="s">
        <v>29704</v>
      </c>
      <c r="N4464" s="7" t="s">
        <v>29705</v>
      </c>
      <c r="O4464" s="8" t="str">
        <f>HYPERLINK("https://drive.google.com/file/d/1UOAMcIyblebLqzoCQaB5kLDnW3OOhUDa/view?usp=drivesdk","4463_MULADI _ SERTIFIKAT BerAKHLAK")</f>
        <v>4463_MULADI _ SERTIFIKAT BerAKHLAK</v>
      </c>
      <c r="P4464" s="5" t="s">
        <v>29683</v>
      </c>
    </row>
    <row r="4465">
      <c r="A4465" s="4">
        <v>45534.351952060184</v>
      </c>
      <c r="B4465" s="5" t="s">
        <v>34</v>
      </c>
      <c r="D4465" s="5" t="s">
        <v>12978</v>
      </c>
      <c r="E4465" s="5" t="s">
        <v>29706</v>
      </c>
      <c r="F4465" s="5" t="s">
        <v>524</v>
      </c>
      <c r="G4465" s="5" t="s">
        <v>29707</v>
      </c>
      <c r="H4465" s="6" t="s">
        <v>29708</v>
      </c>
      <c r="I4465" s="7" t="s">
        <v>29709</v>
      </c>
      <c r="J4465" s="8" t="str">
        <f>HYPERLINK("https://drive.google.com/file/d/1neKpLk8yv-9ZY32FpzS7-iEsWf0n52wu/view?usp=drivesdk","LINDA.Amd SERTIFIKAT BerAKHLAK")</f>
        <v>LINDA.Amd SERTIFIKAT BerAKHLAK</v>
      </c>
      <c r="K4465" s="5" t="s">
        <v>29695</v>
      </c>
      <c r="L4465" s="5" t="s">
        <v>29710</v>
      </c>
      <c r="M4465" s="5" t="s">
        <v>29711</v>
      </c>
      <c r="N4465" s="7" t="s">
        <v>29712</v>
      </c>
      <c r="O4465" s="8" t="str">
        <f>HYPERLINK("https://drive.google.com/file/d/1v2JMr_ka2Hf6l2X2C4h1IDBGS1NKOxeu/view?usp=drivesdk","4464_LINDA.Amd _ SERTIFIKAT BerAKHLAK")</f>
        <v>4464_LINDA.Amd _ SERTIFIKAT BerAKHLAK</v>
      </c>
      <c r="P4465" s="5" t="s">
        <v>29683</v>
      </c>
    </row>
    <row r="4466">
      <c r="A4466" s="4">
        <v>45534.35195469907</v>
      </c>
      <c r="B4466" s="5" t="s">
        <v>34</v>
      </c>
      <c r="D4466" s="5" t="s">
        <v>4775</v>
      </c>
      <c r="E4466" s="5" t="s">
        <v>29713</v>
      </c>
      <c r="F4466" s="5" t="s">
        <v>375</v>
      </c>
      <c r="G4466" s="5" t="s">
        <v>29714</v>
      </c>
      <c r="H4466" s="6" t="s">
        <v>29715</v>
      </c>
      <c r="I4466" s="7" t="s">
        <v>29716</v>
      </c>
      <c r="J4466" s="8" t="str">
        <f>HYPERLINK("https://drive.google.com/file/d/1W26yOZlkP1LfXZ7S5b70mXlzfjtw14Mf/view?usp=drivesdk","LINA APRILIANI, S.Kom SERTIFIKAT BerAKHLAK")</f>
        <v>LINA APRILIANI, S.Kom SERTIFIKAT BerAKHLAK</v>
      </c>
      <c r="K4466" s="5" t="s">
        <v>29717</v>
      </c>
      <c r="L4466" s="5" t="s">
        <v>29718</v>
      </c>
      <c r="M4466" s="5" t="s">
        <v>29719</v>
      </c>
      <c r="N4466" s="7" t="s">
        <v>29720</v>
      </c>
      <c r="O4466" s="8" t="str">
        <f>HYPERLINK("https://drive.google.com/file/d/18bPNC53_e4J2wfUYp6SOjgrLxmxwcT8Y/view?usp=drivesdk","4465_LINA APRILIANI, S.Kom _ SERTIFIKAT BerAKHLAK")</f>
        <v>4465_LINA APRILIANI, S.Kom _ SERTIFIKAT BerAKHLAK</v>
      </c>
      <c r="P4466" s="5" t="s">
        <v>29721</v>
      </c>
    </row>
    <row r="4467">
      <c r="A4467" s="4">
        <v>45534.35195972222</v>
      </c>
      <c r="B4467" s="5" t="s">
        <v>34</v>
      </c>
      <c r="D4467" s="5" t="s">
        <v>11527</v>
      </c>
      <c r="E4467" s="5" t="s">
        <v>29722</v>
      </c>
      <c r="F4467" s="5" t="s">
        <v>37</v>
      </c>
      <c r="G4467" s="5" t="s">
        <v>29723</v>
      </c>
      <c r="H4467" s="6" t="s">
        <v>29724</v>
      </c>
      <c r="K4467" s="5" t="s">
        <v>29725</v>
      </c>
      <c r="M4467" s="5" t="s">
        <v>29726</v>
      </c>
      <c r="N4467" s="7" t="s">
        <v>29727</v>
      </c>
      <c r="O4467" s="8" t="str">
        <f>HYPERLINK("https://drive.google.com/file/d/1G3CLs0nCUnx5-ER9gAULXggUr_4PiuAg/view?usp=drivesdk","4466_HADIDJAH MOKODOMPIT _ SERTIFIKAT BerAKHLAK")</f>
        <v>4466_HADIDJAH MOKODOMPIT _ SERTIFIKAT BerAKHLAK</v>
      </c>
      <c r="P4467" s="5" t="s">
        <v>29721</v>
      </c>
    </row>
    <row r="4468">
      <c r="A4468" s="4">
        <v>45534.35196138889</v>
      </c>
      <c r="B4468" s="5" t="s">
        <v>34</v>
      </c>
      <c r="D4468" s="5" t="s">
        <v>3432</v>
      </c>
      <c r="E4468" s="5" t="s">
        <v>29728</v>
      </c>
      <c r="F4468" s="5" t="s">
        <v>375</v>
      </c>
      <c r="G4468" s="5" t="s">
        <v>29729</v>
      </c>
      <c r="H4468" s="6" t="s">
        <v>29730</v>
      </c>
      <c r="K4468" s="5" t="s">
        <v>29725</v>
      </c>
      <c r="M4468" s="5" t="s">
        <v>29731</v>
      </c>
      <c r="N4468" s="7" t="s">
        <v>29732</v>
      </c>
      <c r="O4468" s="8" t="str">
        <f>HYPERLINK("https://drive.google.com/file/d/1IiZOMZCGhBsBlVMF_hG_EmK5fL9EG4rw/view?usp=drivesdk","4467_RUSTANI SIRAIT, SKM _ SERTIFIKAT BerAKHLAK")</f>
        <v>4467_RUSTANI SIRAIT, SKM _ SERTIFIKAT BerAKHLAK</v>
      </c>
      <c r="P4468" s="5" t="s">
        <v>29721</v>
      </c>
    </row>
    <row r="4469">
      <c r="A4469" s="4">
        <v>45534.35198133102</v>
      </c>
      <c r="B4469" s="5" t="s">
        <v>34</v>
      </c>
      <c r="D4469" s="5" t="s">
        <v>1206</v>
      </c>
      <c r="E4469" s="5" t="s">
        <v>29733</v>
      </c>
      <c r="F4469" s="5" t="s">
        <v>375</v>
      </c>
      <c r="G4469" s="5" t="s">
        <v>29734</v>
      </c>
      <c r="H4469" s="6" t="s">
        <v>29735</v>
      </c>
      <c r="I4469" s="7" t="s">
        <v>29736</v>
      </c>
      <c r="J4469" s="8" t="str">
        <f>HYPERLINK("https://drive.google.com/file/d/1IvJteFCj802Gqes1yB-UDGGW5xPQP-Pp/view?usp=drivesdk","DEWI RAHMAWATI, S.H. SERTIFIKAT BerAKHLAK")</f>
        <v>DEWI RAHMAWATI, S.H. SERTIFIKAT BerAKHLAK</v>
      </c>
      <c r="K4469" s="5" t="s">
        <v>29603</v>
      </c>
      <c r="L4469" s="5" t="s">
        <v>29737</v>
      </c>
      <c r="M4469" s="5" t="s">
        <v>29738</v>
      </c>
      <c r="N4469" s="7" t="s">
        <v>29739</v>
      </c>
      <c r="O4469" s="8" t="str">
        <f>HYPERLINK("https://drive.google.com/file/d/1bVnJCIg6ASnHOocQ_BO4SboeZ7A7Opl8/view?usp=drivesdk","4468_DEWI RAHMAWATI, S.H. _ SERTIFIKAT BerAKHLAK")</f>
        <v>4468_DEWI RAHMAWATI, S.H. _ SERTIFIKAT BerAKHLAK</v>
      </c>
      <c r="P4469" s="5" t="s">
        <v>29721</v>
      </c>
    </row>
    <row r="4470">
      <c r="A4470" s="4">
        <v>45534.35198630787</v>
      </c>
      <c r="B4470" s="5" t="s">
        <v>34</v>
      </c>
      <c r="D4470" s="5" t="s">
        <v>35</v>
      </c>
      <c r="E4470" s="5" t="s">
        <v>29740</v>
      </c>
      <c r="F4470" s="5" t="s">
        <v>108</v>
      </c>
      <c r="G4470" s="5" t="s">
        <v>29741</v>
      </c>
      <c r="H4470" s="6" t="s">
        <v>29742</v>
      </c>
      <c r="I4470" s="7" t="s">
        <v>29743</v>
      </c>
      <c r="J4470" s="8" t="str">
        <f>HYPERLINK("https://drive.google.com/file/d/1SNNeXu1cfYWUI45o77ZSA3AQHtBgUPJt/view?usp=drivesdk","SAIDIN SAJIDIN SERTIFIKAT BerAKHLAK")</f>
        <v>SAIDIN SAJIDIN SERTIFIKAT BerAKHLAK</v>
      </c>
      <c r="K4470" s="5" t="s">
        <v>29603</v>
      </c>
      <c r="L4470" s="5" t="s">
        <v>29744</v>
      </c>
      <c r="M4470" s="5" t="s">
        <v>29745</v>
      </c>
      <c r="N4470" s="7" t="s">
        <v>29746</v>
      </c>
      <c r="O4470" s="8" t="str">
        <f>HYPERLINK("https://drive.google.com/file/d/1o2QBDNjmOLQJy-s2Y8B-i0G7BtibmP39/view?usp=drivesdk","4469_SAIDIN SAJIDIN _ SERTIFIKAT BerAKHLAK")</f>
        <v>4469_SAIDIN SAJIDIN _ SERTIFIKAT BerAKHLAK</v>
      </c>
      <c r="P4470" s="5" t="s">
        <v>29747</v>
      </c>
    </row>
    <row r="4471">
      <c r="A4471" s="4">
        <v>45534.352003101856</v>
      </c>
      <c r="B4471" s="5" t="s">
        <v>34</v>
      </c>
      <c r="D4471" s="5" t="s">
        <v>12978</v>
      </c>
      <c r="E4471" s="5" t="s">
        <v>29748</v>
      </c>
      <c r="F4471" s="5" t="s">
        <v>212</v>
      </c>
      <c r="G4471" s="5" t="s">
        <v>29749</v>
      </c>
      <c r="H4471" s="6" t="s">
        <v>29750</v>
      </c>
      <c r="I4471" s="7" t="s">
        <v>29751</v>
      </c>
      <c r="J4471" s="8" t="str">
        <f>HYPERLINK("https://drive.google.com/file/d/1HuW25CSlisyv05Mdbz9RRXMcPs6svHD2/view?usp=drivesdk","PATIMAWATI SERTIFIKAT BerAKHLAK")</f>
        <v>PATIMAWATI SERTIFIKAT BerAKHLAK</v>
      </c>
      <c r="K4471" s="5" t="s">
        <v>29603</v>
      </c>
      <c r="L4471" s="5" t="s">
        <v>29752</v>
      </c>
      <c r="M4471" s="5" t="s">
        <v>29753</v>
      </c>
      <c r="N4471" s="7" t="s">
        <v>29754</v>
      </c>
      <c r="O4471" s="8" t="str">
        <f>HYPERLINK("https://drive.google.com/file/d/1oKH-sdnYe0Lbe_SLKsmGiLtCq12mf25w/view?usp=drivesdk","4470_PATIMAWATI _ SERTIFIKAT BerAKHLAK")</f>
        <v>4470_PATIMAWATI _ SERTIFIKAT BerAKHLAK</v>
      </c>
      <c r="P4471" s="5" t="s">
        <v>29747</v>
      </c>
    </row>
    <row r="4472">
      <c r="A4472" s="4">
        <v>45534.3520046412</v>
      </c>
      <c r="B4472" s="5" t="s">
        <v>34</v>
      </c>
      <c r="D4472" s="5" t="s">
        <v>1206</v>
      </c>
      <c r="E4472" s="5" t="s">
        <v>29755</v>
      </c>
      <c r="F4472" s="5" t="s">
        <v>328</v>
      </c>
      <c r="G4472" s="5" t="s">
        <v>29756</v>
      </c>
      <c r="H4472" s="6" t="s">
        <v>29757</v>
      </c>
      <c r="I4472" s="7" t="s">
        <v>29758</v>
      </c>
      <c r="J4472" s="8" t="str">
        <f>HYPERLINK("https://drive.google.com/file/d/1nSDY3vmTiatq9jM_8Zrs2C1LkUU3DxFY/view?usp=drivesdk","AGUS SALIM SERTIFIKAT BerAKHLAK")</f>
        <v>AGUS SALIM SERTIFIKAT BerAKHLAK</v>
      </c>
      <c r="K4472" s="5" t="s">
        <v>29603</v>
      </c>
      <c r="L4472" s="5" t="s">
        <v>29759</v>
      </c>
      <c r="M4472" s="5" t="s">
        <v>29760</v>
      </c>
      <c r="N4472" s="7" t="s">
        <v>29761</v>
      </c>
      <c r="O4472" s="8" t="str">
        <f>HYPERLINK("https://drive.google.com/file/d/1OG_pGDsGFbZphp_FPeMEHnSScIWMXQmx/view?usp=drivesdk","4471_AGUS SALIM _ SERTIFIKAT BerAKHLAK")</f>
        <v>4471_AGUS SALIM _ SERTIFIKAT BerAKHLAK</v>
      </c>
      <c r="P4472" s="5" t="s">
        <v>29747</v>
      </c>
    </row>
    <row r="4473" hidden="1">
      <c r="A4473" s="4">
        <v>45534.35201248842</v>
      </c>
      <c r="B4473" s="5" t="s">
        <v>19</v>
      </c>
      <c r="C4473" s="5" t="s">
        <v>292</v>
      </c>
      <c r="E4473" s="5" t="s">
        <v>29762</v>
      </c>
      <c r="F4473" s="5" t="s">
        <v>715</v>
      </c>
      <c r="G4473" s="5" t="s">
        <v>29763</v>
      </c>
      <c r="H4473" s="6" t="s">
        <v>29764</v>
      </c>
      <c r="I4473" s="7" t="s">
        <v>29765</v>
      </c>
      <c r="J4473" s="8" t="str">
        <f>HYPERLINK("https://drive.google.com/file/d/19o3HZoeRNTeMQOBBHoYD_Sz5fuWst4B6/view?usp=drivesdk","ZAENAL ABIDIN S, H.  SERTIFIKAT BerAKHLAK")</f>
        <v>ZAENAL ABIDIN S, H.  SERTIFIKAT BerAKHLAK</v>
      </c>
      <c r="K4473" s="5" t="s">
        <v>29603</v>
      </c>
      <c r="L4473" s="5" t="s">
        <v>29766</v>
      </c>
      <c r="M4473" s="5" t="s">
        <v>29767</v>
      </c>
      <c r="N4473" s="7" t="s">
        <v>29768</v>
      </c>
      <c r="O4473" s="8" t="str">
        <f>HYPERLINK("https://drive.google.com/file/d/1fMkf3NkGtFEakitVz8uxkCkgZpJ4g3HR/view?usp=drivesdk","4472_ZAENAL ABIDIN S, H.  _ SERTIFIKAT BerAKHLAK")</f>
        <v>4472_ZAENAL ABIDIN S, H.  _ SERTIFIKAT BerAKHLAK</v>
      </c>
      <c r="P4473" s="5" t="s">
        <v>29747</v>
      </c>
    </row>
    <row r="4474">
      <c r="A4474" s="4">
        <v>45534.35201898148</v>
      </c>
      <c r="B4474" s="5" t="s">
        <v>34</v>
      </c>
      <c r="D4474" s="5" t="s">
        <v>267</v>
      </c>
      <c r="E4474" s="5" t="s">
        <v>29769</v>
      </c>
      <c r="F4474" s="5" t="s">
        <v>212</v>
      </c>
      <c r="G4474" s="5" t="s">
        <v>29770</v>
      </c>
      <c r="H4474" s="6" t="s">
        <v>29771</v>
      </c>
      <c r="I4474" s="7" t="s">
        <v>29772</v>
      </c>
      <c r="J4474" s="8" t="str">
        <f>HYPERLINK("https://drive.google.com/file/d/1Or-51F5C-7AVmz90gWLgbAuWxhAoSLf2/view?usp=drivesdk","MARYANI, A.MD SERTIFIKAT BerAKHLAK")</f>
        <v>MARYANI, A.MD SERTIFIKAT BerAKHLAK</v>
      </c>
      <c r="K4474" s="5" t="s">
        <v>29603</v>
      </c>
      <c r="L4474" s="5" t="s">
        <v>29773</v>
      </c>
      <c r="M4474" s="5" t="s">
        <v>29774</v>
      </c>
      <c r="N4474" s="7" t="s">
        <v>29775</v>
      </c>
      <c r="O4474" s="8" t="str">
        <f>HYPERLINK("https://drive.google.com/file/d/1bEMr6LA-_XeMtaJYYfsDFtYTPi-Cwark/view?usp=drivesdk","4473_MARYANI, A.MD _ SERTIFIKAT BerAKHLAK")</f>
        <v>4473_MARYANI, A.MD _ SERTIFIKAT BerAKHLAK</v>
      </c>
      <c r="P4474" s="5" t="s">
        <v>29747</v>
      </c>
    </row>
    <row r="4475">
      <c r="A4475" s="4">
        <v>45534.35202651621</v>
      </c>
      <c r="B4475" s="5" t="s">
        <v>34</v>
      </c>
      <c r="D4475" s="5" t="s">
        <v>1206</v>
      </c>
      <c r="E4475" s="5" t="s">
        <v>29776</v>
      </c>
      <c r="F4475" s="5" t="s">
        <v>15386</v>
      </c>
      <c r="G4475" s="5" t="s">
        <v>29777</v>
      </c>
      <c r="H4475" s="6" t="s">
        <v>29778</v>
      </c>
      <c r="I4475" s="7" t="s">
        <v>29779</v>
      </c>
      <c r="J4475" s="8" t="str">
        <f>HYPERLINK("https://drive.google.com/file/d/1B9aM2VxtezW_BJWMHy572jYNj9agHdW7/view?usp=drivesdk","SHOLEH SERTIFIKAT BerAKHLAK")</f>
        <v>SHOLEH SERTIFIKAT BerAKHLAK</v>
      </c>
      <c r="K4475" s="5" t="s">
        <v>29603</v>
      </c>
      <c r="L4475" s="5" t="s">
        <v>29780</v>
      </c>
      <c r="M4475" s="5" t="s">
        <v>29781</v>
      </c>
      <c r="N4475" s="7" t="s">
        <v>29782</v>
      </c>
      <c r="O4475" s="8" t="str">
        <f>HYPERLINK("https://drive.google.com/file/d/1MTzJAO64_FSCGUdb4_DfA4aWLgG-EmI1/view?usp=drivesdk","4474_SHOLEH _ SERTIFIKAT BerAKHLAK")</f>
        <v>4474_SHOLEH _ SERTIFIKAT BerAKHLAK</v>
      </c>
      <c r="P4475" s="5" t="s">
        <v>28614</v>
      </c>
    </row>
    <row r="4476">
      <c r="A4476" s="4">
        <v>45534.35203563658</v>
      </c>
      <c r="B4476" s="5" t="s">
        <v>34</v>
      </c>
      <c r="D4476" s="5" t="s">
        <v>1558</v>
      </c>
      <c r="E4476" s="5" t="s">
        <v>29783</v>
      </c>
      <c r="F4476" s="5" t="s">
        <v>212</v>
      </c>
      <c r="G4476" s="5" t="s">
        <v>29784</v>
      </c>
      <c r="H4476" s="6" t="s">
        <v>29785</v>
      </c>
      <c r="I4476" s="7" t="s">
        <v>29786</v>
      </c>
      <c r="J4476" s="8" t="str">
        <f>HYPERLINK("https://drive.google.com/file/d/1dcGaJRYP09L-IMP1tFkzDWtLoCWDE7Xq/view?usp=drivesdk","LIZA TRI INDRA LESTARI SERTIFIKAT BerAKHLAK")</f>
        <v>LIZA TRI INDRA LESTARI SERTIFIKAT BerAKHLAK</v>
      </c>
      <c r="K4476" s="5" t="s">
        <v>29603</v>
      </c>
      <c r="L4476" s="5" t="s">
        <v>29787</v>
      </c>
      <c r="M4476" s="5" t="s">
        <v>29788</v>
      </c>
      <c r="N4476" s="7" t="s">
        <v>29789</v>
      </c>
      <c r="O4476" s="8" t="str">
        <f>HYPERLINK("https://drive.google.com/file/d/1mTDg3ovw0ufZO9pmRyX19_0AA6FfiYBc/view?usp=drivesdk","4475_LIZA TRI INDRA LESTARI _ SERTIFIKAT BerAKHLAK")</f>
        <v>4475_LIZA TRI INDRA LESTARI _ SERTIFIKAT BerAKHLAK</v>
      </c>
      <c r="P4476" s="5" t="s">
        <v>29050</v>
      </c>
    </row>
    <row r="4477">
      <c r="A4477" s="4">
        <v>45534.35205688658</v>
      </c>
      <c r="B4477" s="5" t="s">
        <v>34</v>
      </c>
      <c r="D4477" s="5" t="s">
        <v>1206</v>
      </c>
      <c r="E4477" s="5" t="s">
        <v>29790</v>
      </c>
      <c r="F4477" s="5" t="s">
        <v>37</v>
      </c>
      <c r="G4477" s="5" t="s">
        <v>29791</v>
      </c>
      <c r="H4477" s="6" t="s">
        <v>29792</v>
      </c>
      <c r="K4477" s="5" t="s">
        <v>29793</v>
      </c>
      <c r="M4477" s="5" t="s">
        <v>29794</v>
      </c>
      <c r="N4477" s="7" t="s">
        <v>29795</v>
      </c>
      <c r="O4477" s="8" t="str">
        <f>HYPERLINK("https://drive.google.com/file/d/1dBbrQ8n52YWKSEJ_eU2MfPtL8KDpDv0W/view?usp=drivesdk","4476_NUR AINI DEWI SYAFITRI  _ SERTIFIKAT BerAKHLAK")</f>
        <v>4476_NUR AINI DEWI SYAFITRI  _ SERTIFIKAT BerAKHLAK</v>
      </c>
      <c r="P4477" s="5" t="s">
        <v>29050</v>
      </c>
    </row>
    <row r="4478">
      <c r="A4478" s="4">
        <v>45534.35205886574</v>
      </c>
      <c r="B4478" s="5" t="s">
        <v>34</v>
      </c>
      <c r="D4478" s="5" t="s">
        <v>4775</v>
      </c>
      <c r="E4478" s="5" t="s">
        <v>29796</v>
      </c>
      <c r="F4478" s="5" t="s">
        <v>212</v>
      </c>
      <c r="G4478" s="5" t="s">
        <v>29797</v>
      </c>
      <c r="H4478" s="6" t="s">
        <v>29798</v>
      </c>
      <c r="K4478" s="5" t="s">
        <v>29793</v>
      </c>
      <c r="M4478" s="5" t="s">
        <v>29799</v>
      </c>
      <c r="N4478" s="7" t="s">
        <v>29800</v>
      </c>
      <c r="O4478" s="8" t="str">
        <f>HYPERLINK("https://drive.google.com/file/d/1rkvp5NLEhjxrJhY1ieg9pfA3d_yIlcJV/view?usp=drivesdk","4477_ANI PURWANTI _ SERTIFIKAT BerAKHLAK")</f>
        <v>4477_ANI PURWANTI _ SERTIFIKAT BerAKHLAK</v>
      </c>
      <c r="P4478" s="5" t="s">
        <v>29801</v>
      </c>
    </row>
    <row r="4479">
      <c r="A4479" s="4">
        <v>45534.352061631944</v>
      </c>
      <c r="B4479" s="5" t="s">
        <v>34</v>
      </c>
      <c r="D4479" s="5" t="s">
        <v>10444</v>
      </c>
      <c r="E4479" s="5" t="s">
        <v>29802</v>
      </c>
      <c r="F4479" s="5" t="s">
        <v>524</v>
      </c>
      <c r="G4479" s="5" t="s">
        <v>29803</v>
      </c>
      <c r="H4479" s="6" t="s">
        <v>29804</v>
      </c>
      <c r="I4479" s="7" t="s">
        <v>29805</v>
      </c>
      <c r="J4479" s="8" t="str">
        <f>HYPERLINK("https://drive.google.com/file/d/14Uop2_yoBIgAodj-2Xm4vSlihVrdKFsT/view?usp=drivesdk","YOGA DWI PRASTIYA, S.Tr.Ak SERTIFIKAT BerAKHLAK")</f>
        <v>YOGA DWI PRASTIYA, S.Tr.Ak SERTIFIKAT BerAKHLAK</v>
      </c>
      <c r="K4479" s="5" t="s">
        <v>29603</v>
      </c>
      <c r="L4479" s="5" t="s">
        <v>29806</v>
      </c>
      <c r="M4479" s="5" t="s">
        <v>29807</v>
      </c>
      <c r="N4479" s="7" t="s">
        <v>29808</v>
      </c>
      <c r="O4479" s="8" t="str">
        <f>HYPERLINK("https://drive.google.com/file/d/1hLwH25eKLk6EJYuBJpwgd02wb1OX61I2/view?usp=drivesdk","4478_YOGA DWI PRASTIYA, S.Tr.Ak _ SERTIFIKAT BerAKHLAK")</f>
        <v>4478_YOGA DWI PRASTIYA, S.Tr.Ak _ SERTIFIKAT BerAKHLAK</v>
      </c>
      <c r="P4479" s="5" t="s">
        <v>29801</v>
      </c>
    </row>
    <row r="4480">
      <c r="A4480" s="4">
        <v>45534.352090960645</v>
      </c>
      <c r="B4480" s="5" t="s">
        <v>34</v>
      </c>
      <c r="D4480" s="5" t="s">
        <v>6232</v>
      </c>
      <c r="E4480" s="5" t="s">
        <v>29809</v>
      </c>
      <c r="F4480" s="5" t="s">
        <v>524</v>
      </c>
      <c r="G4480" s="5" t="s">
        <v>29810</v>
      </c>
      <c r="H4480" s="6" t="s">
        <v>29811</v>
      </c>
      <c r="I4480" s="7" t="s">
        <v>29812</v>
      </c>
      <c r="J4480" s="8" t="str">
        <f>HYPERLINK("https://drive.google.com/file/d/10ppAIQ67bq9QUPV1B3xI6wJAZ3mLy8mF/view?usp=drivesdk","ASMIDA SERTIFIKAT BerAKHLAK")</f>
        <v>ASMIDA SERTIFIKAT BerAKHLAK</v>
      </c>
      <c r="K4480" s="5" t="s">
        <v>29603</v>
      </c>
      <c r="L4480" s="5" t="s">
        <v>29813</v>
      </c>
      <c r="M4480" s="5" t="s">
        <v>29814</v>
      </c>
      <c r="N4480" s="7" t="s">
        <v>29815</v>
      </c>
      <c r="O4480" s="8" t="str">
        <f>HYPERLINK("https://drive.google.com/file/d/1T4IOY6CLMEGZEGxIava5q93dAalArzdd/view?usp=drivesdk","4479_ASMIDA _ SERTIFIKAT BerAKHLAK")</f>
        <v>4479_ASMIDA _ SERTIFIKAT BerAKHLAK</v>
      </c>
      <c r="P4480" s="5" t="s">
        <v>29801</v>
      </c>
    </row>
    <row r="4481">
      <c r="A4481" s="4">
        <v>45534.35209115741</v>
      </c>
      <c r="B4481" s="5" t="s">
        <v>34</v>
      </c>
      <c r="D4481" s="5" t="s">
        <v>522</v>
      </c>
      <c r="E4481" s="5" t="s">
        <v>29816</v>
      </c>
      <c r="F4481" s="5" t="s">
        <v>120</v>
      </c>
      <c r="G4481" s="5" t="s">
        <v>29817</v>
      </c>
      <c r="H4481" s="6" t="s">
        <v>29818</v>
      </c>
      <c r="I4481" s="7" t="s">
        <v>29819</v>
      </c>
      <c r="J4481" s="8" t="str">
        <f>HYPERLINK("https://drive.google.com/file/d/1a2SMVHJGvWYVKJSLhvADpZlAUTutMojU/view?usp=drivesdk","ABDUL KAMAL, S.Sos. SERTIFIKAT BerAKHLAK")</f>
        <v>ABDUL KAMAL, S.Sos. SERTIFIKAT BerAKHLAK</v>
      </c>
      <c r="K4481" s="5" t="s">
        <v>29603</v>
      </c>
      <c r="L4481" s="5" t="s">
        <v>29820</v>
      </c>
      <c r="M4481" s="5" t="s">
        <v>29821</v>
      </c>
      <c r="N4481" s="7" t="s">
        <v>29822</v>
      </c>
      <c r="O4481" s="8" t="str">
        <f>HYPERLINK("https://drive.google.com/file/d/1sPWdadOgRrRqN2Emf6jjBfKenZfzLu3r/view?usp=drivesdk","4480_ABDUL KAMAL, S.Sos. _ SERTIFIKAT BerAKHLAK")</f>
        <v>4480_ABDUL KAMAL, S.Sos. _ SERTIFIKAT BerAKHLAK</v>
      </c>
      <c r="P4481" s="5" t="s">
        <v>29801</v>
      </c>
    </row>
    <row r="4482">
      <c r="A4482" s="4">
        <v>45534.352092291665</v>
      </c>
      <c r="B4482" s="5" t="s">
        <v>34</v>
      </c>
      <c r="D4482" s="5" t="s">
        <v>701</v>
      </c>
      <c r="E4482" s="5" t="s">
        <v>29823</v>
      </c>
      <c r="F4482" s="5" t="s">
        <v>37</v>
      </c>
      <c r="G4482" s="5" t="s">
        <v>29824</v>
      </c>
      <c r="H4482" s="6" t="s">
        <v>29825</v>
      </c>
      <c r="K4482" s="5" t="s">
        <v>29826</v>
      </c>
      <c r="M4482" s="5" t="s">
        <v>29827</v>
      </c>
      <c r="N4482" s="7" t="s">
        <v>29828</v>
      </c>
      <c r="O4482" s="8" t="str">
        <f>HYPERLINK("https://drive.google.com/file/d/187LpnklAc-wIGscd7unLU9HcQVianwmy/view?usp=drivesdk","4481_MARLINA SE _ SERTIFIKAT BerAKHLAK")</f>
        <v>4481_MARLINA SE _ SERTIFIKAT BerAKHLAK</v>
      </c>
      <c r="P4482" s="5" t="s">
        <v>29801</v>
      </c>
    </row>
    <row r="4483">
      <c r="A4483" s="4">
        <v>45534.35210181713</v>
      </c>
      <c r="B4483" s="5" t="s">
        <v>34</v>
      </c>
      <c r="D4483" s="5" t="s">
        <v>4775</v>
      </c>
      <c r="E4483" s="5" t="s">
        <v>29829</v>
      </c>
      <c r="F4483" s="5" t="s">
        <v>37</v>
      </c>
      <c r="G4483" s="5" t="s">
        <v>29830</v>
      </c>
      <c r="H4483" s="6" t="s">
        <v>29831</v>
      </c>
      <c r="K4483" s="5" t="s">
        <v>29826</v>
      </c>
      <c r="M4483" s="5" t="s">
        <v>29832</v>
      </c>
      <c r="N4483" s="7" t="s">
        <v>29833</v>
      </c>
      <c r="O4483" s="8" t="str">
        <f>HYPERLINK("https://drive.google.com/file/d/1KZ2Pif2eG87FISpVETjiWhWVKUGhdFYb/view?usp=drivesdk","4482_WIBOWO _ SERTIFIKAT BerAKHLAK")</f>
        <v>4482_WIBOWO _ SERTIFIKAT BerAKHLAK</v>
      </c>
      <c r="P4483" s="5" t="s">
        <v>29834</v>
      </c>
    </row>
    <row r="4484">
      <c r="A4484" s="4">
        <v>45534.3521025463</v>
      </c>
      <c r="B4484" s="5" t="s">
        <v>34</v>
      </c>
      <c r="D4484" s="5" t="s">
        <v>1558</v>
      </c>
      <c r="E4484" s="5" t="s">
        <v>29835</v>
      </c>
      <c r="F4484" s="5" t="s">
        <v>72</v>
      </c>
      <c r="G4484" s="5" t="s">
        <v>29836</v>
      </c>
      <c r="H4484" s="6" t="s">
        <v>29837</v>
      </c>
      <c r="K4484" s="5" t="s">
        <v>29826</v>
      </c>
      <c r="M4484" s="5" t="s">
        <v>29838</v>
      </c>
      <c r="N4484" s="7" t="s">
        <v>29839</v>
      </c>
      <c r="O4484" s="8" t="str">
        <f>HYPERLINK("https://drive.google.com/file/d/1Bp6zxP9M04uIm1cf-LEu3vYn2l7tRYPG/view?usp=drivesdk","4483_WALUYO _ SERTIFIKAT BerAKHLAK")</f>
        <v>4483_WALUYO _ SERTIFIKAT BerAKHLAK</v>
      </c>
      <c r="P4484" s="5" t="s">
        <v>29834</v>
      </c>
    </row>
    <row r="4485">
      <c r="A4485" s="4">
        <v>45534.35210592592</v>
      </c>
      <c r="B4485" s="5" t="s">
        <v>34</v>
      </c>
      <c r="D4485" s="5" t="s">
        <v>14424</v>
      </c>
      <c r="E4485" s="5" t="s">
        <v>29840</v>
      </c>
      <c r="F4485" s="5" t="s">
        <v>375</v>
      </c>
      <c r="G4485" s="5" t="s">
        <v>29841</v>
      </c>
      <c r="H4485" s="6" t="s">
        <v>29842</v>
      </c>
      <c r="K4485" s="5" t="s">
        <v>29826</v>
      </c>
      <c r="M4485" s="5" t="s">
        <v>29843</v>
      </c>
      <c r="N4485" s="7" t="s">
        <v>29844</v>
      </c>
      <c r="O4485" s="8" t="str">
        <f>HYPERLINK("https://drive.google.com/file/d/16bsVANB_PRiFNlmeq_vLLUeOwljve01p/view?usp=drivesdk","4484_IQBAL, S.E. _ SERTIFIKAT BerAKHLAK")</f>
        <v>4484_IQBAL, S.E. _ SERTIFIKAT BerAKHLAK</v>
      </c>
      <c r="P4485" s="5" t="s">
        <v>29834</v>
      </c>
    </row>
    <row r="4486" hidden="1">
      <c r="A4486" s="4">
        <v>45534.35211013889</v>
      </c>
      <c r="B4486" s="5" t="s">
        <v>19</v>
      </c>
      <c r="C4486" s="5" t="s">
        <v>292</v>
      </c>
      <c r="E4486" s="5" t="s">
        <v>29845</v>
      </c>
      <c r="F4486" s="5" t="s">
        <v>22</v>
      </c>
      <c r="G4486" s="5" t="s">
        <v>29846</v>
      </c>
      <c r="H4486" s="6" t="s">
        <v>29847</v>
      </c>
      <c r="K4486" s="5" t="s">
        <v>29826</v>
      </c>
      <c r="M4486" s="5" t="s">
        <v>29848</v>
      </c>
      <c r="N4486" s="7" t="s">
        <v>29849</v>
      </c>
      <c r="O4486" s="8" t="str">
        <f>HYPERLINK("https://drive.google.com/file/d/1gXNxHSWvFSjsgD2EoyNviD9G6wLS6C2K/view?usp=drivesdk","4485_Drs. Waris, M.Pd.I _ SERTIFIKAT BerAKHLAK")</f>
        <v>4485_Drs. Waris, M.Pd.I _ SERTIFIKAT BerAKHLAK</v>
      </c>
      <c r="P4486" s="5" t="s">
        <v>29850</v>
      </c>
    </row>
    <row r="4487">
      <c r="A4487" s="4">
        <v>45534.35211449074</v>
      </c>
      <c r="B4487" s="5" t="s">
        <v>34</v>
      </c>
      <c r="D4487" s="5" t="s">
        <v>1206</v>
      </c>
      <c r="E4487" s="5" t="s">
        <v>29851</v>
      </c>
      <c r="F4487" s="5" t="s">
        <v>37</v>
      </c>
      <c r="G4487" s="5" t="s">
        <v>29852</v>
      </c>
      <c r="H4487" s="6" t="s">
        <v>29853</v>
      </c>
      <c r="K4487" s="5" t="s">
        <v>29826</v>
      </c>
      <c r="M4487" s="5" t="s">
        <v>29854</v>
      </c>
      <c r="N4487" s="7" t="s">
        <v>29855</v>
      </c>
      <c r="O4487" s="8" t="str">
        <f>HYPERLINK("https://drive.google.com/file/d/1nM1aYcE9nirNetHydw6dfBYVNnLlHr5g/view?usp=drivesdk","4486_FAJAR TRIMAWANTO _ SERTIFIKAT BerAKHLAK")</f>
        <v>4486_FAJAR TRIMAWANTO _ SERTIFIKAT BerAKHLAK</v>
      </c>
      <c r="P4487" s="5" t="s">
        <v>29850</v>
      </c>
    </row>
    <row r="4488">
      <c r="A4488" s="4">
        <v>45534.352123854165</v>
      </c>
      <c r="B4488" s="5" t="s">
        <v>34</v>
      </c>
      <c r="D4488" s="5" t="s">
        <v>1558</v>
      </c>
      <c r="E4488" s="5" t="s">
        <v>29856</v>
      </c>
      <c r="F4488" s="5" t="s">
        <v>120</v>
      </c>
      <c r="G4488" s="5" t="s">
        <v>29857</v>
      </c>
      <c r="H4488" s="6" t="s">
        <v>29858</v>
      </c>
      <c r="I4488" s="7" t="s">
        <v>29859</v>
      </c>
      <c r="J4488" s="8" t="str">
        <f>HYPERLINK("https://drive.google.com/file/d/19m_xh7OebdBn9WJ6Fb8lv6aAODzZC4pD/view?usp=drivesdk","EDY NUGROHO, S.SOS.I SERTIFIKAT BerAKHLAK")</f>
        <v>EDY NUGROHO, S.SOS.I SERTIFIKAT BerAKHLAK</v>
      </c>
      <c r="K4488" s="5" t="s">
        <v>29603</v>
      </c>
      <c r="L4488" s="5" t="s">
        <v>29860</v>
      </c>
      <c r="M4488" s="5" t="s">
        <v>29861</v>
      </c>
      <c r="N4488" s="7" t="s">
        <v>29862</v>
      </c>
      <c r="O4488" s="8" t="str">
        <f>HYPERLINK("https://drive.google.com/file/d/1GobKRgCOeP4tx1mtBu1gM4qJkCv3g1ja/view?usp=drivesdk","4487_EDY NUGROHO, S.SOS.I _ SERTIFIKAT BerAKHLAK")</f>
        <v>4487_EDY NUGROHO, S.SOS.I _ SERTIFIKAT BerAKHLAK</v>
      </c>
      <c r="P4488" s="5" t="s">
        <v>29850</v>
      </c>
    </row>
    <row r="4489">
      <c r="A4489" s="4">
        <v>45534.35213696759</v>
      </c>
      <c r="B4489" s="5" t="s">
        <v>34</v>
      </c>
      <c r="D4489" s="5" t="s">
        <v>1206</v>
      </c>
      <c r="E4489" s="5" t="s">
        <v>29863</v>
      </c>
      <c r="F4489" s="5" t="s">
        <v>375</v>
      </c>
      <c r="G4489" s="5" t="s">
        <v>29864</v>
      </c>
      <c r="H4489" s="6" t="s">
        <v>29865</v>
      </c>
      <c r="I4489" s="7" t="s">
        <v>29866</v>
      </c>
      <c r="J4489" s="8" t="str">
        <f>HYPERLINK("https://drive.google.com/file/d/1D0Fgtl0cNVY17xwmRsnc-RgIkxK4bmAG/view?usp=drivesdk","MEYLANY RATIH I, S.Farm., Apt SERTIFIKAT BerAKHLAK")</f>
        <v>MEYLANY RATIH I, S.Farm., Apt SERTIFIKAT BerAKHLAK</v>
      </c>
      <c r="K4489" s="5" t="s">
        <v>29603</v>
      </c>
      <c r="L4489" s="5" t="s">
        <v>29867</v>
      </c>
      <c r="M4489" s="5" t="s">
        <v>29868</v>
      </c>
      <c r="N4489" s="7" t="s">
        <v>29869</v>
      </c>
      <c r="O4489" s="8" t="str">
        <f>HYPERLINK("https://drive.google.com/file/d/1ZqGwVvPQnSlaEmCRrOQKkAcv6yqEY_1F/view?usp=drivesdk","4488_MEYLANY RATIH I, S.Farm., Apt _ SERTIFIKAT BerAKHLAK")</f>
        <v>4488_MEYLANY RATIH I, S.Farm., Apt _ SERTIFIKAT BerAKHLAK</v>
      </c>
      <c r="P4489" s="5" t="s">
        <v>29850</v>
      </c>
    </row>
    <row r="4490">
      <c r="A4490" s="4">
        <v>45534.35214407407</v>
      </c>
      <c r="B4490" s="5" t="s">
        <v>34</v>
      </c>
      <c r="D4490" s="5" t="s">
        <v>1206</v>
      </c>
      <c r="E4490" s="5" t="s">
        <v>29870</v>
      </c>
      <c r="F4490" s="5" t="s">
        <v>212</v>
      </c>
      <c r="G4490" s="5" t="s">
        <v>29871</v>
      </c>
      <c r="H4490" s="6" t="s">
        <v>29872</v>
      </c>
      <c r="I4490" s="7" t="s">
        <v>29873</v>
      </c>
      <c r="J4490" s="8" t="str">
        <f>HYPERLINK("https://drive.google.com/file/d/1gW4r5-02VJ4MdIuE8CqcW0GewozK_DfD/view?usp=drivesdk","ANJAR SRI LESTARI SERTIFIKAT BerAKHLAK")</f>
        <v>ANJAR SRI LESTARI SERTIFIKAT BerAKHLAK</v>
      </c>
      <c r="K4490" s="5" t="s">
        <v>29603</v>
      </c>
      <c r="L4490" s="5" t="s">
        <v>29874</v>
      </c>
      <c r="M4490" s="5" t="s">
        <v>29875</v>
      </c>
      <c r="N4490" s="7" t="s">
        <v>29876</v>
      </c>
      <c r="O4490" s="8" t="str">
        <f>HYPERLINK("https://drive.google.com/file/d/1kj35geTaiSMD8IZ9e3hEBOAtyUIT21Fw/view?usp=drivesdk","4489_ANJAR SRI LESTARI _ SERTIFIKAT BerAKHLAK")</f>
        <v>4489_ANJAR SRI LESTARI _ SERTIFIKAT BerAKHLAK</v>
      </c>
      <c r="P4490" s="5" t="s">
        <v>29850</v>
      </c>
    </row>
    <row r="4491">
      <c r="A4491" s="4">
        <v>45534.35218128472</v>
      </c>
      <c r="B4491" s="5" t="s">
        <v>34</v>
      </c>
      <c r="D4491" s="5" t="s">
        <v>1206</v>
      </c>
      <c r="E4491" s="5" t="s">
        <v>29877</v>
      </c>
      <c r="F4491" s="5" t="s">
        <v>199</v>
      </c>
      <c r="G4491" s="5" t="s">
        <v>29878</v>
      </c>
      <c r="H4491" s="6" t="s">
        <v>29879</v>
      </c>
      <c r="I4491" s="7" t="s">
        <v>29880</v>
      </c>
      <c r="J4491" s="8" t="str">
        <f>HYPERLINK("https://drive.google.com/file/d/1V8eALJACOU6lSYoYPVvjL_VAdJhaUqm_/view?usp=drivesdk","SUMARTONO SERTIFIKAT BerAKHLAK")</f>
        <v>SUMARTONO SERTIFIKAT BerAKHLAK</v>
      </c>
      <c r="K4491" s="5" t="s">
        <v>29603</v>
      </c>
      <c r="L4491" s="5" t="s">
        <v>29881</v>
      </c>
      <c r="M4491" s="5" t="s">
        <v>29882</v>
      </c>
      <c r="N4491" s="7" t="s">
        <v>29883</v>
      </c>
      <c r="O4491" s="8" t="str">
        <f>HYPERLINK("https://drive.google.com/file/d/1LDIY3YKfkJT0is7yqVHqsMqaBGeRbE52/view?usp=drivesdk","4490_SUMARTONO _ SERTIFIKAT BerAKHLAK")</f>
        <v>4490_SUMARTONO _ SERTIFIKAT BerAKHLAK</v>
      </c>
      <c r="P4491" s="5" t="s">
        <v>29850</v>
      </c>
    </row>
    <row r="4492">
      <c r="A4492" s="4">
        <v>45534.35218854167</v>
      </c>
      <c r="B4492" s="5" t="s">
        <v>34</v>
      </c>
      <c r="D4492" s="5" t="s">
        <v>35</v>
      </c>
      <c r="E4492" s="5" t="s">
        <v>29884</v>
      </c>
      <c r="F4492" s="5" t="s">
        <v>212</v>
      </c>
      <c r="G4492" s="5" t="s">
        <v>29885</v>
      </c>
      <c r="H4492" s="6" t="s">
        <v>29886</v>
      </c>
      <c r="K4492" s="5" t="s">
        <v>29887</v>
      </c>
      <c r="M4492" s="5" t="s">
        <v>29888</v>
      </c>
      <c r="N4492" s="7" t="s">
        <v>29889</v>
      </c>
      <c r="O4492" s="8" t="str">
        <f>HYPERLINK("https://drive.google.com/file/d/1zyFwqCbM6b8bJscC8Hi8jyhwOg-WOFIM/view?usp=drivesdk","4491_HESTI PUSPITASARI  _ SERTIFIKAT BerAKHLAK")</f>
        <v>4491_HESTI PUSPITASARI  _ SERTIFIKAT BerAKHLAK</v>
      </c>
      <c r="P4492" s="5" t="s">
        <v>29890</v>
      </c>
    </row>
    <row r="4493">
      <c r="A4493" s="4">
        <v>45534.35219344907</v>
      </c>
      <c r="B4493" s="5" t="s">
        <v>34</v>
      </c>
      <c r="D4493" s="5" t="s">
        <v>35</v>
      </c>
      <c r="E4493" s="5" t="s">
        <v>29891</v>
      </c>
      <c r="F4493" s="5" t="s">
        <v>328</v>
      </c>
      <c r="G4493" s="5" t="s">
        <v>29892</v>
      </c>
      <c r="H4493" s="6" t="s">
        <v>29893</v>
      </c>
      <c r="K4493" s="5" t="s">
        <v>29887</v>
      </c>
      <c r="M4493" s="5" t="s">
        <v>29894</v>
      </c>
      <c r="N4493" s="7" t="s">
        <v>29895</v>
      </c>
      <c r="O4493" s="8" t="str">
        <f>HYPERLINK("https://drive.google.com/file/d/1pI99CbdQPNnhax9XTIMMTmCphf-CsrGU/view?usp=drivesdk","4492_MITRA SUMITRA  _ SERTIFIKAT BerAKHLAK")</f>
        <v>4492_MITRA SUMITRA  _ SERTIFIKAT BerAKHLAK</v>
      </c>
      <c r="P4493" s="5" t="s">
        <v>29896</v>
      </c>
    </row>
    <row r="4494">
      <c r="A4494" s="4">
        <v>45534.3521968287</v>
      </c>
      <c r="B4494" s="5" t="s">
        <v>34</v>
      </c>
      <c r="D4494" s="5" t="s">
        <v>4775</v>
      </c>
      <c r="E4494" s="5" t="s">
        <v>29897</v>
      </c>
      <c r="F4494" s="5" t="s">
        <v>524</v>
      </c>
      <c r="G4494" s="5" t="s">
        <v>29898</v>
      </c>
      <c r="H4494" s="6" t="s">
        <v>29899</v>
      </c>
      <c r="K4494" s="5" t="s">
        <v>29887</v>
      </c>
      <c r="M4494" s="5" t="s">
        <v>29900</v>
      </c>
      <c r="N4494" s="7" t="s">
        <v>29901</v>
      </c>
      <c r="O4494" s="8" t="str">
        <f>HYPERLINK("https://drive.google.com/file/d/1cTm6KAjL0FQBya1ICav1QPDileimOjw6/view?usp=drivesdk","4493_KURNIAJATI SETYORINI _ SERTIFIKAT BerAKHLAK")</f>
        <v>4493_KURNIAJATI SETYORINI _ SERTIFIKAT BerAKHLAK</v>
      </c>
      <c r="P4494" s="5" t="s">
        <v>29896</v>
      </c>
    </row>
    <row r="4495">
      <c r="A4495" s="4">
        <v>45534.35219842593</v>
      </c>
      <c r="B4495" s="5" t="s">
        <v>34</v>
      </c>
      <c r="D4495" s="5" t="s">
        <v>35</v>
      </c>
      <c r="E4495" s="5" t="s">
        <v>29902</v>
      </c>
      <c r="F4495" s="5" t="s">
        <v>72</v>
      </c>
      <c r="G4495" s="5" t="s">
        <v>29903</v>
      </c>
      <c r="H4495" s="6" t="s">
        <v>29904</v>
      </c>
      <c r="K4495" s="5" t="s">
        <v>29887</v>
      </c>
      <c r="M4495" s="5" t="s">
        <v>29905</v>
      </c>
      <c r="N4495" s="7" t="s">
        <v>29906</v>
      </c>
      <c r="O4495" s="8" t="str">
        <f>HYPERLINK("https://drive.google.com/file/d/1Q1KCia3C351edrHmQPlwvEWoXiehrOBz/view?usp=drivesdk","4494_INA MARLINA _ SERTIFIKAT BerAKHLAK")</f>
        <v>4494_INA MARLINA _ SERTIFIKAT BerAKHLAK</v>
      </c>
      <c r="P4495" s="5" t="s">
        <v>29896</v>
      </c>
    </row>
    <row r="4496">
      <c r="A4496" s="4">
        <v>45534.35220050926</v>
      </c>
      <c r="B4496" s="5" t="s">
        <v>34</v>
      </c>
      <c r="D4496" s="5" t="s">
        <v>15401</v>
      </c>
      <c r="E4496" s="5" t="s">
        <v>29907</v>
      </c>
      <c r="F4496" s="5" t="s">
        <v>37</v>
      </c>
      <c r="G4496" s="5" t="s">
        <v>29908</v>
      </c>
      <c r="H4496" s="6" t="s">
        <v>29909</v>
      </c>
      <c r="K4496" s="5" t="s">
        <v>29887</v>
      </c>
      <c r="M4496" s="5" t="s">
        <v>29910</v>
      </c>
      <c r="N4496" s="7" t="s">
        <v>29911</v>
      </c>
      <c r="O4496" s="8" t="str">
        <f>HYPERLINK("https://drive.google.com/file/d/1iY2y5EmXDks7EbieuOVMD9h8sCCEKDdf/view?usp=drivesdk","4495_HAMZAH S.SOS _ SERTIFIKAT BerAKHLAK")</f>
        <v>4495_HAMZAH S.SOS _ SERTIFIKAT BerAKHLAK</v>
      </c>
      <c r="P4496" s="5" t="s">
        <v>29896</v>
      </c>
    </row>
    <row r="4497">
      <c r="A4497" s="4">
        <v>45534.35220188658</v>
      </c>
      <c r="B4497" s="5" t="s">
        <v>34</v>
      </c>
      <c r="D4497" s="5" t="s">
        <v>1558</v>
      </c>
      <c r="E4497" s="5" t="s">
        <v>29912</v>
      </c>
      <c r="F4497" s="5" t="s">
        <v>108</v>
      </c>
      <c r="G4497" s="5" t="s">
        <v>29913</v>
      </c>
      <c r="H4497" s="6" t="s">
        <v>29914</v>
      </c>
      <c r="K4497" s="5" t="s">
        <v>29887</v>
      </c>
      <c r="M4497" s="5" t="s">
        <v>29915</v>
      </c>
      <c r="N4497" s="7" t="s">
        <v>29916</v>
      </c>
      <c r="O4497" s="8" t="str">
        <f>HYPERLINK("https://drive.google.com/file/d/1DvD0tfr7fnxKZfGySOHJmsbNzGIsuDkS/view?usp=drivesdk","4496_NETTY DAMANIK _ SERTIFIKAT BerAKHLAK")</f>
        <v>4496_NETTY DAMANIK _ SERTIFIKAT BerAKHLAK</v>
      </c>
      <c r="P4497" s="5" t="s">
        <v>29896</v>
      </c>
    </row>
    <row r="4498">
      <c r="A4498" s="4">
        <v>45534.352211226855</v>
      </c>
      <c r="B4498" s="5" t="s">
        <v>34</v>
      </c>
      <c r="D4498" s="5" t="s">
        <v>35</v>
      </c>
      <c r="E4498" s="5" t="s">
        <v>29917</v>
      </c>
      <c r="F4498" s="5" t="s">
        <v>328</v>
      </c>
      <c r="G4498" s="5" t="s">
        <v>29918</v>
      </c>
      <c r="H4498" s="6" t="s">
        <v>29919</v>
      </c>
      <c r="K4498" s="5" t="s">
        <v>29887</v>
      </c>
      <c r="M4498" s="5" t="s">
        <v>29920</v>
      </c>
      <c r="N4498" s="7" t="s">
        <v>29921</v>
      </c>
      <c r="O4498" s="8" t="str">
        <f>HYPERLINK("https://drive.google.com/file/d/16lqBAhYkdlGvG9jgP1CwFOtxaD2Uo08Q/view?usp=drivesdk","4497_PENGDAAGUS _ SERTIFIKAT BerAKHLAK")</f>
        <v>4497_PENGDAAGUS _ SERTIFIKAT BerAKHLAK</v>
      </c>
      <c r="P4498" s="5" t="s">
        <v>29922</v>
      </c>
    </row>
    <row r="4499">
      <c r="A4499" s="4">
        <v>45534.35221539352</v>
      </c>
      <c r="B4499" s="5" t="s">
        <v>34</v>
      </c>
      <c r="D4499" s="5" t="s">
        <v>35</v>
      </c>
      <c r="E4499" s="5" t="s">
        <v>29923</v>
      </c>
      <c r="F4499" s="5" t="s">
        <v>37</v>
      </c>
      <c r="G4499" s="5" t="s">
        <v>29924</v>
      </c>
      <c r="H4499" s="6" t="s">
        <v>29925</v>
      </c>
      <c r="K4499" s="5" t="s">
        <v>29887</v>
      </c>
      <c r="M4499" s="5" t="s">
        <v>29926</v>
      </c>
      <c r="N4499" s="7" t="s">
        <v>29927</v>
      </c>
      <c r="O4499" s="8" t="str">
        <f>HYPERLINK("https://drive.google.com/file/d/1b0MQHrALSbZRZSh-1K7VDrGJ_7DpQTjj/view?usp=drivesdk","4498_TUTI RUSMINI _ SERTIFIKAT BerAKHLAK")</f>
        <v>4498_TUTI RUSMINI _ SERTIFIKAT BerAKHLAK</v>
      </c>
      <c r="P4499" s="5" t="s">
        <v>29922</v>
      </c>
    </row>
    <row r="4500">
      <c r="A4500" s="4">
        <v>45534.35221701389</v>
      </c>
      <c r="B4500" s="5" t="s">
        <v>34</v>
      </c>
      <c r="D4500" s="5" t="s">
        <v>1206</v>
      </c>
      <c r="E4500" s="5" t="s">
        <v>29928</v>
      </c>
      <c r="F4500" s="5" t="s">
        <v>37</v>
      </c>
      <c r="G4500" s="5" t="s">
        <v>29929</v>
      </c>
      <c r="H4500" s="6" t="s">
        <v>29930</v>
      </c>
      <c r="K4500" s="5" t="s">
        <v>29887</v>
      </c>
      <c r="M4500" s="5" t="s">
        <v>29931</v>
      </c>
      <c r="N4500" s="7" t="s">
        <v>29932</v>
      </c>
      <c r="O4500" s="8" t="str">
        <f>HYPERLINK("https://drive.google.com/file/d/113SWlCb4V-qeuTzV8MtNHtpJi59kDBkJ/view?usp=drivesdk","4499_SRI HARTUTIK _ SERTIFIKAT BerAKHLAK")</f>
        <v>4499_SRI HARTUTIK _ SERTIFIKAT BerAKHLAK</v>
      </c>
      <c r="P4500" s="5" t="s">
        <v>29922</v>
      </c>
    </row>
    <row r="4501">
      <c r="A4501" s="4">
        <v>45534.35221899305</v>
      </c>
      <c r="B4501" s="5" t="s">
        <v>34</v>
      </c>
      <c r="D4501" s="5" t="s">
        <v>4775</v>
      </c>
      <c r="E4501" s="5" t="s">
        <v>29933</v>
      </c>
      <c r="F4501" s="5" t="s">
        <v>212</v>
      </c>
      <c r="G4501" s="5" t="s">
        <v>29934</v>
      </c>
      <c r="H4501" s="6" t="s">
        <v>29935</v>
      </c>
      <c r="K4501" s="5" t="s">
        <v>29887</v>
      </c>
      <c r="M4501" s="5" t="s">
        <v>29936</v>
      </c>
      <c r="N4501" s="7" t="s">
        <v>29937</v>
      </c>
      <c r="O4501" s="8" t="str">
        <f>HYPERLINK("https://drive.google.com/file/d/1WyWUvCayAW_IIHmLa4Dc7S3p_ax-mnnJ/view?usp=drivesdk","4500_SITI MARFUNGAH, A.MD _ SERTIFIKAT BerAKHLAK")</f>
        <v>4500_SITI MARFUNGAH, A.MD _ SERTIFIKAT BerAKHLAK</v>
      </c>
      <c r="P4501" s="5" t="s">
        <v>29922</v>
      </c>
    </row>
    <row r="4502">
      <c r="A4502" s="4">
        <v>45534.35223748843</v>
      </c>
      <c r="B4502" s="5" t="s">
        <v>34</v>
      </c>
      <c r="D4502" s="5" t="s">
        <v>12978</v>
      </c>
      <c r="E4502" s="5" t="s">
        <v>29938</v>
      </c>
      <c r="F4502" s="5" t="s">
        <v>715</v>
      </c>
      <c r="G4502" s="5" t="s">
        <v>29939</v>
      </c>
      <c r="H4502" s="6" t="s">
        <v>29940</v>
      </c>
      <c r="K4502" s="5" t="s">
        <v>29941</v>
      </c>
      <c r="M4502" s="5" t="s">
        <v>29942</v>
      </c>
      <c r="N4502" s="7" t="s">
        <v>29943</v>
      </c>
      <c r="O4502" s="8" t="str">
        <f>HYPERLINK("https://drive.google.com/file/d/1HQw0y16vRCfMTG_g6kHeAbjAW9TdoemL/view?usp=drivesdk","4501_EVA SUSANTI _ SERTIFIKAT BerAKHLAK")</f>
        <v>4501_EVA SUSANTI _ SERTIFIKAT BerAKHLAK</v>
      </c>
      <c r="P4502" s="5" t="s">
        <v>29944</v>
      </c>
    </row>
    <row r="4503">
      <c r="A4503" s="4">
        <v>45534.35227016204</v>
      </c>
      <c r="B4503" s="5" t="s">
        <v>34</v>
      </c>
      <c r="D4503" s="5" t="s">
        <v>35</v>
      </c>
      <c r="E4503" s="5" t="s">
        <v>29945</v>
      </c>
      <c r="F4503" s="5" t="s">
        <v>37</v>
      </c>
      <c r="G4503" s="5" t="s">
        <v>29946</v>
      </c>
      <c r="H4503" s="6" t="s">
        <v>29947</v>
      </c>
      <c r="I4503" s="7" t="s">
        <v>29948</v>
      </c>
      <c r="J4503" s="8" t="str">
        <f>HYPERLINK("https://drive.google.com/file/d/1zTvtMBIfuva6CBQO2yTGXSoE2GDouDeX/view?usp=drivesdk","PENGATUR TONI BUSTONI SERTIFIKAT BerAKHLAK")</f>
        <v>PENGATUR TONI BUSTONI SERTIFIKAT BerAKHLAK</v>
      </c>
      <c r="K4503" s="5" t="s">
        <v>29603</v>
      </c>
      <c r="L4503" s="5" t="s">
        <v>29949</v>
      </c>
      <c r="M4503" s="5" t="s">
        <v>29950</v>
      </c>
      <c r="N4503" s="7" t="s">
        <v>29951</v>
      </c>
      <c r="O4503" s="8" t="str">
        <f>HYPERLINK("https://drive.google.com/file/d/1JkwFmiHOCPhXLLqVSde9JsX5Xi560UHk/view?usp=drivesdk","4502_PENGATUR TONI BUSTONI _ SERTIFIKAT BerAKHLAK")</f>
        <v>4502_PENGATUR TONI BUSTONI _ SERTIFIKAT BerAKHLAK</v>
      </c>
      <c r="P4503" s="5" t="s">
        <v>29944</v>
      </c>
    </row>
    <row r="4504">
      <c r="A4504" s="4">
        <v>45534.35227693287</v>
      </c>
      <c r="B4504" s="5" t="s">
        <v>34</v>
      </c>
      <c r="D4504" s="5" t="s">
        <v>1558</v>
      </c>
      <c r="E4504" s="5" t="s">
        <v>29952</v>
      </c>
      <c r="F4504" s="5" t="s">
        <v>37</v>
      </c>
      <c r="G4504" s="5" t="s">
        <v>29953</v>
      </c>
      <c r="H4504" s="6" t="s">
        <v>29954</v>
      </c>
      <c r="I4504" s="7" t="s">
        <v>29955</v>
      </c>
      <c r="J4504" s="8" t="str">
        <f>HYPERLINK("https://drive.google.com/file/d/1jlfo-2Cx8YDizwS3UOCy8wW6h-Dy6x_m/view?usp=drivesdk","RAKHMAT GUNAWAN SERTIFIKAT BerAKHLAK")</f>
        <v>RAKHMAT GUNAWAN SERTIFIKAT BerAKHLAK</v>
      </c>
      <c r="K4504" s="5" t="s">
        <v>29695</v>
      </c>
      <c r="L4504" s="5" t="s">
        <v>29956</v>
      </c>
      <c r="M4504" s="5" t="s">
        <v>29957</v>
      </c>
      <c r="N4504" s="7" t="s">
        <v>29958</v>
      </c>
      <c r="O4504" s="8" t="str">
        <f>HYPERLINK("https://drive.google.com/file/d/1Dl116V8Bkob5uUUkPuzIvO9GDpIC1Iyf/view?usp=drivesdk","4503_RAKHMAT GUNAWAN _ SERTIFIKAT BerAKHLAK")</f>
        <v>4503_RAKHMAT GUNAWAN _ SERTIFIKAT BerAKHLAK</v>
      </c>
      <c r="P4504" s="5" t="s">
        <v>29944</v>
      </c>
    </row>
    <row r="4505">
      <c r="A4505" s="4">
        <v>45534.35227733797</v>
      </c>
      <c r="B4505" s="5" t="s">
        <v>34</v>
      </c>
      <c r="D4505" s="5" t="s">
        <v>10444</v>
      </c>
      <c r="E4505" s="5" t="s">
        <v>29959</v>
      </c>
      <c r="F4505" s="5" t="s">
        <v>108</v>
      </c>
      <c r="G4505" s="5" t="s">
        <v>29960</v>
      </c>
      <c r="H4505" s="6" t="s">
        <v>29961</v>
      </c>
      <c r="I4505" s="7" t="s">
        <v>29962</v>
      </c>
      <c r="J4505" s="8" t="str">
        <f>HYPERLINK("https://drive.google.com/file/d/1ATWy8SfL-2bfEVPkTxvUXmft2nAd1dLd/view?usp=drivesdk","ROSDIANA SITINJAK SERTIFIKAT BerAKHLAK")</f>
        <v>ROSDIANA SITINJAK SERTIFIKAT BerAKHLAK</v>
      </c>
      <c r="K4505" s="5" t="s">
        <v>29695</v>
      </c>
      <c r="L4505" s="5" t="s">
        <v>29963</v>
      </c>
      <c r="M4505" s="5" t="s">
        <v>29964</v>
      </c>
      <c r="N4505" s="7" t="s">
        <v>29965</v>
      </c>
      <c r="O4505" s="8" t="str">
        <f>HYPERLINK("https://drive.google.com/file/d/18SfdNlxYBDmRIWAprt6nzC7f8c-LqhA5/view?usp=drivesdk","4504_ROSDIANA SITINJAK _ SERTIFIKAT BerAKHLAK")</f>
        <v>4504_ROSDIANA SITINJAK _ SERTIFIKAT BerAKHLAK</v>
      </c>
      <c r="P4505" s="5" t="s">
        <v>29944</v>
      </c>
    </row>
    <row r="4506">
      <c r="A4506" s="4">
        <v>45534.352281087966</v>
      </c>
      <c r="B4506" s="5" t="s">
        <v>34</v>
      </c>
      <c r="D4506" s="5" t="s">
        <v>4775</v>
      </c>
      <c r="E4506" s="5" t="s">
        <v>29966</v>
      </c>
      <c r="F4506" s="5" t="s">
        <v>524</v>
      </c>
      <c r="G4506" s="5" t="s">
        <v>29967</v>
      </c>
      <c r="H4506" s="6" t="s">
        <v>29968</v>
      </c>
      <c r="K4506" s="5" t="s">
        <v>29969</v>
      </c>
      <c r="M4506" s="5" t="s">
        <v>29970</v>
      </c>
      <c r="N4506" s="7" t="s">
        <v>29971</v>
      </c>
      <c r="O4506" s="8" t="str">
        <f>HYPERLINK("https://drive.google.com/file/d/120rDci8m1flVx_BqjEeT4BfrRD_71n94/view?usp=drivesdk","4505_IKE ENDANG SRIREJEKI _ SERTIFIKAT BerAKHLAK")</f>
        <v>4505_IKE ENDANG SRIREJEKI _ SERTIFIKAT BerAKHLAK</v>
      </c>
      <c r="P4506" s="5" t="s">
        <v>29972</v>
      </c>
    </row>
    <row r="4507">
      <c r="A4507" s="4">
        <v>45534.35228950232</v>
      </c>
      <c r="B4507" s="5" t="s">
        <v>34</v>
      </c>
      <c r="D4507" s="5" t="s">
        <v>1206</v>
      </c>
      <c r="E4507" s="5" t="s">
        <v>29973</v>
      </c>
      <c r="F4507" s="5" t="s">
        <v>37</v>
      </c>
      <c r="G4507" s="5" t="s">
        <v>29974</v>
      </c>
      <c r="H4507" s="6" t="s">
        <v>29975</v>
      </c>
      <c r="K4507" s="5" t="s">
        <v>29969</v>
      </c>
      <c r="M4507" s="5" t="s">
        <v>29976</v>
      </c>
      <c r="N4507" s="7" t="s">
        <v>29977</v>
      </c>
      <c r="O4507" s="8" t="str">
        <f>HYPERLINK("https://drive.google.com/file/d/1M7NCFV2T1EqHLQ_b7p-YPHnRodcoHs_e/view?usp=drivesdk","4506_IZZATUL LAILA _ SERTIFIKAT BerAKHLAK")</f>
        <v>4506_IZZATUL LAILA _ SERTIFIKAT BerAKHLAK</v>
      </c>
      <c r="P4507" s="5" t="s">
        <v>29972</v>
      </c>
    </row>
    <row r="4508">
      <c r="A4508" s="4">
        <v>45534.35229488426</v>
      </c>
      <c r="B4508" s="5" t="s">
        <v>34</v>
      </c>
      <c r="D4508" s="5" t="s">
        <v>10297</v>
      </c>
      <c r="E4508" s="5" t="s">
        <v>29978</v>
      </c>
      <c r="F4508" s="5" t="s">
        <v>37</v>
      </c>
      <c r="G4508" s="5" t="s">
        <v>29979</v>
      </c>
      <c r="H4508" s="6" t="s">
        <v>29980</v>
      </c>
      <c r="K4508" s="5" t="s">
        <v>29969</v>
      </c>
      <c r="M4508" s="5" t="s">
        <v>29981</v>
      </c>
      <c r="N4508" s="7" t="s">
        <v>29982</v>
      </c>
      <c r="O4508" s="8" t="str">
        <f>HYPERLINK("https://drive.google.com/file/d/1WF_ZLHgUI4X131zNo9VbrY0iN9qfDQ8z/view?usp=drivesdk","4507_IIS DENIATY, A.Md _ SERTIFIKAT BerAKHLAK")</f>
        <v>4507_IIS DENIATY, A.Md _ SERTIFIKAT BerAKHLAK</v>
      </c>
      <c r="P4508" s="5" t="s">
        <v>29972</v>
      </c>
    </row>
    <row r="4509" hidden="1">
      <c r="A4509" s="4">
        <v>45534.352294641205</v>
      </c>
      <c r="B4509" s="5" t="s">
        <v>19</v>
      </c>
      <c r="C4509" s="5" t="s">
        <v>292</v>
      </c>
      <c r="E4509" s="5" t="s">
        <v>29983</v>
      </c>
      <c r="F4509" s="5" t="s">
        <v>524</v>
      </c>
      <c r="G4509" s="5" t="s">
        <v>29984</v>
      </c>
      <c r="H4509" s="6" t="s">
        <v>29985</v>
      </c>
      <c r="K4509" s="5" t="s">
        <v>29969</v>
      </c>
      <c r="M4509" s="5" t="s">
        <v>29986</v>
      </c>
      <c r="N4509" s="7" t="s">
        <v>29987</v>
      </c>
      <c r="O4509" s="8" t="str">
        <f>HYPERLINK("https://drive.google.com/file/d/15nhRISHy6tzexNc1FB1QoIgiQFg9n7IG/view?usp=drivesdk","4508_AMAS SAMBAS _ SERTIFIKAT BerAKHLAK")</f>
        <v>4508_AMAS SAMBAS _ SERTIFIKAT BerAKHLAK</v>
      </c>
      <c r="P4509" s="5" t="s">
        <v>29972</v>
      </c>
    </row>
    <row r="4510">
      <c r="A4510" s="4">
        <v>45534.3522969676</v>
      </c>
      <c r="B4510" s="5" t="s">
        <v>34</v>
      </c>
      <c r="D4510" s="5" t="s">
        <v>701</v>
      </c>
      <c r="E4510" s="5" t="s">
        <v>17060</v>
      </c>
      <c r="F4510" s="5" t="s">
        <v>524</v>
      </c>
      <c r="G4510" s="5" t="s">
        <v>29988</v>
      </c>
      <c r="H4510" s="6" t="s">
        <v>29989</v>
      </c>
      <c r="K4510" s="5" t="s">
        <v>29969</v>
      </c>
      <c r="M4510" s="5" t="s">
        <v>29990</v>
      </c>
      <c r="N4510" s="7" t="s">
        <v>29991</v>
      </c>
      <c r="O4510" s="8" t="str">
        <f>HYPERLINK("https://drive.google.com/file/d/19wuSepHdrQs14STUGoXEYdC0awYuutqX/view?usp=drivesdk","4509_FITRI YANTI _ SERTIFIKAT BerAKHLAK")</f>
        <v>4509_FITRI YANTI _ SERTIFIKAT BerAKHLAK</v>
      </c>
      <c r="P4510" s="5" t="s">
        <v>29992</v>
      </c>
    </row>
    <row r="4511">
      <c r="A4511" s="4">
        <v>45534.352300659724</v>
      </c>
      <c r="B4511" s="5" t="s">
        <v>34</v>
      </c>
      <c r="D4511" s="5" t="s">
        <v>35</v>
      </c>
      <c r="E4511" s="5" t="s">
        <v>29993</v>
      </c>
      <c r="F4511" s="5" t="s">
        <v>375</v>
      </c>
      <c r="G4511" s="5" t="s">
        <v>29994</v>
      </c>
      <c r="H4511" s="6" t="s">
        <v>29995</v>
      </c>
      <c r="K4511" s="5" t="s">
        <v>29969</v>
      </c>
      <c r="M4511" s="5" t="s">
        <v>29996</v>
      </c>
      <c r="N4511" s="7" t="s">
        <v>29997</v>
      </c>
      <c r="O4511" s="8" t="str">
        <f>HYPERLINK("https://drive.google.com/file/d/1H1Bsa_JKDGbiTCJzRCmUkrGKb4Dk-4q7/view?usp=drivesdk","4510_ERIK ADMIRAL, SH _ SERTIFIKAT BerAKHLAK")</f>
        <v>4510_ERIK ADMIRAL, SH _ SERTIFIKAT BerAKHLAK</v>
      </c>
      <c r="P4511" s="5" t="s">
        <v>29992</v>
      </c>
    </row>
    <row r="4512">
      <c r="A4512" s="4">
        <v>45534.35230770834</v>
      </c>
      <c r="B4512" s="5" t="s">
        <v>34</v>
      </c>
      <c r="D4512" s="5" t="s">
        <v>9020</v>
      </c>
      <c r="E4512" s="5" t="s">
        <v>29998</v>
      </c>
      <c r="F4512" s="5" t="s">
        <v>37</v>
      </c>
      <c r="G4512" s="5" t="s">
        <v>29999</v>
      </c>
      <c r="H4512" s="6" t="s">
        <v>30000</v>
      </c>
      <c r="K4512" s="5" t="s">
        <v>29969</v>
      </c>
      <c r="M4512" s="5" t="s">
        <v>30001</v>
      </c>
      <c r="N4512" s="7" t="s">
        <v>30002</v>
      </c>
      <c r="O4512" s="8" t="str">
        <f>HYPERLINK("https://drive.google.com/file/d/1tboQGoyrE04QAvT1FoefYoxB7RUYqvlt/view?usp=drivesdk","4511_TIURLINA NAPITUPULU SH _ SERTIFIKAT BerAKHLAK")</f>
        <v>4511_TIURLINA NAPITUPULU SH _ SERTIFIKAT BerAKHLAK</v>
      </c>
      <c r="P4512" s="5" t="s">
        <v>29992</v>
      </c>
    </row>
    <row r="4513">
      <c r="A4513" s="4">
        <v>45534.35230837963</v>
      </c>
      <c r="B4513" s="5" t="s">
        <v>34</v>
      </c>
      <c r="D4513" s="5" t="s">
        <v>4775</v>
      </c>
      <c r="E4513" s="5" t="s">
        <v>30003</v>
      </c>
      <c r="F4513" s="5" t="s">
        <v>37</v>
      </c>
      <c r="G4513" s="5" t="s">
        <v>30004</v>
      </c>
      <c r="H4513" s="6" t="s">
        <v>30005</v>
      </c>
      <c r="K4513" s="5" t="s">
        <v>29969</v>
      </c>
      <c r="M4513" s="5" t="s">
        <v>30006</v>
      </c>
      <c r="N4513" s="7" t="s">
        <v>30007</v>
      </c>
      <c r="O4513" s="8" t="str">
        <f>HYPERLINK("https://drive.google.com/file/d/1EIAB-KeYkZmsfJZuHVh0SR1DjBv0z8AB/view?usp=drivesdk","4512_DHYAN RETNOWATI _ SERTIFIKAT BerAKHLAK")</f>
        <v>4512_DHYAN RETNOWATI _ SERTIFIKAT BerAKHLAK</v>
      </c>
      <c r="P4513" s="5" t="s">
        <v>29992</v>
      </c>
    </row>
    <row r="4514">
      <c r="A4514" s="4">
        <v>45534.352320370366</v>
      </c>
      <c r="B4514" s="5" t="s">
        <v>34</v>
      </c>
      <c r="D4514" s="5" t="s">
        <v>9394</v>
      </c>
      <c r="E4514" s="5" t="s">
        <v>30008</v>
      </c>
      <c r="F4514" s="5" t="s">
        <v>37</v>
      </c>
      <c r="G4514" s="5" t="s">
        <v>30009</v>
      </c>
      <c r="H4514" s="6" t="s">
        <v>30010</v>
      </c>
      <c r="K4514" s="5" t="s">
        <v>29969</v>
      </c>
      <c r="M4514" s="5" t="s">
        <v>30011</v>
      </c>
      <c r="N4514" s="7" t="s">
        <v>30012</v>
      </c>
      <c r="O4514" s="8" t="str">
        <f>HYPERLINK("https://drive.google.com/file/d/1HCq9DLXw8LltfjzCCO-C022TnfLH83-n/view?usp=drivesdk","4513_WAN DADANG MASYURI _ SERTIFIKAT BerAKHLAK")</f>
        <v>4513_WAN DADANG MASYURI _ SERTIFIKAT BerAKHLAK</v>
      </c>
      <c r="P4514" s="5" t="s">
        <v>29992</v>
      </c>
    </row>
    <row r="4515" hidden="1">
      <c r="A4515" s="4">
        <v>45534.3523458912</v>
      </c>
      <c r="B4515" s="5" t="s">
        <v>19</v>
      </c>
      <c r="C4515" s="5" t="s">
        <v>466</v>
      </c>
      <c r="E4515" s="5" t="s">
        <v>30013</v>
      </c>
      <c r="F4515" s="5" t="s">
        <v>375</v>
      </c>
      <c r="G4515" s="5" t="s">
        <v>30014</v>
      </c>
      <c r="H4515" s="6" t="s">
        <v>30015</v>
      </c>
      <c r="I4515" s="7" t="s">
        <v>30016</v>
      </c>
      <c r="J4515" s="8" t="str">
        <f>HYPERLINK("https://drive.google.com/file/d/1rJ8Ej4E4a9lCIUtpLztKS389LAZNuvXo/view?usp=drivesdk","KUSWIYATI SERTIFIKAT BerAKHLAK")</f>
        <v>KUSWIYATI SERTIFIKAT BerAKHLAK</v>
      </c>
      <c r="K4515" s="5" t="s">
        <v>29603</v>
      </c>
      <c r="L4515" s="5" t="s">
        <v>30017</v>
      </c>
      <c r="M4515" s="5" t="s">
        <v>30018</v>
      </c>
      <c r="N4515" s="7" t="s">
        <v>30019</v>
      </c>
      <c r="O4515" s="8" t="str">
        <f>HYPERLINK("https://drive.google.com/file/d/1wreXBd_v5uImthx0GqRlTCHiqleKR_kc/view?usp=drivesdk","4514_KUSWIYATI _ SERTIFIKAT BerAKHLAK")</f>
        <v>4514_KUSWIYATI _ SERTIFIKAT BerAKHLAK</v>
      </c>
      <c r="P4515" s="5" t="s">
        <v>29992</v>
      </c>
    </row>
    <row r="4516">
      <c r="A4516" s="4">
        <v>45534.35234695602</v>
      </c>
      <c r="B4516" s="5" t="s">
        <v>34</v>
      </c>
      <c r="D4516" s="5" t="s">
        <v>4775</v>
      </c>
      <c r="E4516" s="5" t="s">
        <v>30020</v>
      </c>
      <c r="F4516" s="5" t="s">
        <v>108</v>
      </c>
      <c r="G4516" s="5" t="s">
        <v>30021</v>
      </c>
      <c r="H4516" s="6" t="s">
        <v>30022</v>
      </c>
      <c r="I4516" s="7" t="s">
        <v>30023</v>
      </c>
      <c r="J4516" s="8" t="str">
        <f>HYPERLINK("https://drive.google.com/file/d/1yXwkR8hkSY8HqcWvB0FmhhrP7mNGjkoL/view?usp=drivesdk","SRI KADAR SUYATMI SERTIFIKAT BerAKHLAK")</f>
        <v>SRI KADAR SUYATMI SERTIFIKAT BerAKHLAK</v>
      </c>
      <c r="K4516" s="5" t="s">
        <v>29695</v>
      </c>
      <c r="L4516" s="5" t="s">
        <v>30024</v>
      </c>
      <c r="M4516" s="5" t="s">
        <v>30025</v>
      </c>
      <c r="N4516" s="7" t="s">
        <v>30026</v>
      </c>
      <c r="O4516" s="8" t="str">
        <f>HYPERLINK("https://drive.google.com/file/d/1_aDoC6q-gETwSPepPv7oV0RRrdHjySZ7/view?usp=drivesdk","4515_SRI KADAR SUYATMI _ SERTIFIKAT BerAKHLAK")</f>
        <v>4515_SRI KADAR SUYATMI _ SERTIFIKAT BerAKHLAK</v>
      </c>
      <c r="P4516" s="5" t="s">
        <v>30027</v>
      </c>
    </row>
    <row r="4517">
      <c r="A4517" s="4">
        <v>45534.35235487268</v>
      </c>
      <c r="B4517" s="5" t="s">
        <v>34</v>
      </c>
      <c r="D4517" s="5" t="s">
        <v>35</v>
      </c>
      <c r="E4517" s="5" t="s">
        <v>30028</v>
      </c>
      <c r="F4517" s="5" t="s">
        <v>37</v>
      </c>
      <c r="G4517" s="5" t="s">
        <v>30029</v>
      </c>
      <c r="H4517" s="6" t="s">
        <v>30030</v>
      </c>
      <c r="I4517" s="7" t="s">
        <v>30031</v>
      </c>
      <c r="J4517" s="8" t="str">
        <f>HYPERLINK("https://drive.google.com/file/d/1YG1IJpG2T4W9liqWlBUAnogxWS08iute/view?usp=drivesdk","NINA DIANA SERTIFIKAT BerAKHLAK")</f>
        <v>NINA DIANA SERTIFIKAT BerAKHLAK</v>
      </c>
      <c r="K4517" s="5" t="s">
        <v>29695</v>
      </c>
      <c r="L4517" s="5" t="s">
        <v>30032</v>
      </c>
      <c r="M4517" s="5" t="s">
        <v>30033</v>
      </c>
      <c r="N4517" s="7" t="s">
        <v>30034</v>
      </c>
      <c r="O4517" s="8" t="str">
        <f>HYPERLINK("https://drive.google.com/file/d/1qWD16qcWyPb9wWiA4h1MOl_UAO6D3zcw/view?usp=drivesdk","4516_NINA DIANA _ SERTIFIKAT BerAKHLAK")</f>
        <v>4516_NINA DIANA _ SERTIFIKAT BerAKHLAK</v>
      </c>
      <c r="P4517" s="5" t="s">
        <v>30027</v>
      </c>
    </row>
    <row r="4518">
      <c r="A4518" s="4">
        <v>45534.35237046296</v>
      </c>
      <c r="B4518" s="5" t="s">
        <v>34</v>
      </c>
      <c r="D4518" s="5" t="s">
        <v>522</v>
      </c>
      <c r="E4518" s="5" t="s">
        <v>30035</v>
      </c>
      <c r="F4518" s="5" t="s">
        <v>375</v>
      </c>
      <c r="G4518" s="5" t="s">
        <v>30036</v>
      </c>
      <c r="H4518" s="6" t="s">
        <v>30037</v>
      </c>
      <c r="I4518" s="7" t="s">
        <v>30038</v>
      </c>
      <c r="J4518" s="8" t="str">
        <f>HYPERLINK("https://drive.google.com/file/d/16imI7PCFUV1J-a1Nppilfg-f_yET-3o0/view?usp=drivesdk","NI KADEK ENDAH DHARMAYANTI, AMd.Keb., S.Si., M.M. SERTIFIKAT BerAKHLAK")</f>
        <v>NI KADEK ENDAH DHARMAYANTI, AMd.Keb., S.Si., M.M. SERTIFIKAT BerAKHLAK</v>
      </c>
      <c r="K4518" s="5" t="s">
        <v>29695</v>
      </c>
      <c r="L4518" s="5" t="s">
        <v>30039</v>
      </c>
      <c r="M4518" s="5" t="s">
        <v>30040</v>
      </c>
      <c r="N4518" s="7" t="s">
        <v>30041</v>
      </c>
      <c r="O4518" s="8" t="str">
        <f>HYPERLINK("https://drive.google.com/file/d/1OejxG93ELpsG7vRpkFahYTcckjWV296k/view?usp=drivesdk","4517_NI KADEK ENDAH DHARMAYANTI, AMd.Keb., S.Si., M.M. _ SERTIFIKAT BerAKHLAK")</f>
        <v>4517_NI KADEK ENDAH DHARMAYANTI, AMd.Keb., S.Si., M.M. _ SERTIFIKAT BerAKHLAK</v>
      </c>
      <c r="P4518" s="5" t="s">
        <v>30027</v>
      </c>
    </row>
    <row r="4519" hidden="1">
      <c r="A4519" s="4">
        <v>45534.35238296296</v>
      </c>
      <c r="B4519" s="5" t="s">
        <v>19</v>
      </c>
      <c r="C4519" s="5" t="s">
        <v>292</v>
      </c>
      <c r="E4519" s="5" t="s">
        <v>30042</v>
      </c>
      <c r="F4519" s="5" t="s">
        <v>120</v>
      </c>
      <c r="G4519" s="5" t="s">
        <v>30043</v>
      </c>
      <c r="H4519" s="6" t="s">
        <v>30044</v>
      </c>
      <c r="K4519" s="5" t="s">
        <v>30045</v>
      </c>
      <c r="M4519" s="5" t="s">
        <v>30046</v>
      </c>
      <c r="N4519" s="7" t="s">
        <v>30047</v>
      </c>
      <c r="O4519" s="8" t="str">
        <f>HYPERLINK("https://drive.google.com/file/d/1s3HWmEDeI7gXfqJyBhZNhzxfp6QlI4jX/view?usp=drivesdk","4518_RAHMADSYAH LUBIS, SPD, MPD _ SERTIFIKAT BerAKHLAK")</f>
        <v>4518_RAHMADSYAH LUBIS, SPD, MPD _ SERTIFIKAT BerAKHLAK</v>
      </c>
      <c r="P4519" s="5" t="s">
        <v>30027</v>
      </c>
    </row>
    <row r="4520">
      <c r="A4520" s="4">
        <v>45534.352384224534</v>
      </c>
      <c r="B4520" s="5" t="s">
        <v>34</v>
      </c>
      <c r="D4520" s="5" t="s">
        <v>6232</v>
      </c>
      <c r="E4520" s="5" t="s">
        <v>30048</v>
      </c>
      <c r="F4520" s="5" t="s">
        <v>375</v>
      </c>
      <c r="G4520" s="5" t="s">
        <v>30049</v>
      </c>
      <c r="H4520" s="6" t="s">
        <v>30050</v>
      </c>
      <c r="K4520" s="5" t="s">
        <v>30045</v>
      </c>
      <c r="M4520" s="5" t="s">
        <v>30051</v>
      </c>
      <c r="N4520" s="7" t="s">
        <v>30052</v>
      </c>
      <c r="O4520" s="8" t="str">
        <f>HYPERLINK("https://drive.google.com/file/d/1KcW-XmH6AyTt4Gz5PSIB-yNV4ntIzynd/view?usp=drivesdk","4519_drg.MAYANG PUSPITASARI.M.M.,C.H. _ SERTIFIKAT BerAKHLAK")</f>
        <v>4519_drg.MAYANG PUSPITASARI.M.M.,C.H. _ SERTIFIKAT BerAKHLAK</v>
      </c>
      <c r="P4520" s="5" t="s">
        <v>30027</v>
      </c>
    </row>
    <row r="4521">
      <c r="A4521" s="4">
        <v>45534.35239097222</v>
      </c>
      <c r="B4521" s="5" t="s">
        <v>34</v>
      </c>
      <c r="D4521" s="5" t="s">
        <v>1206</v>
      </c>
      <c r="E4521" s="5" t="s">
        <v>30053</v>
      </c>
      <c r="F4521" s="5" t="s">
        <v>108</v>
      </c>
      <c r="G4521" s="5" t="s">
        <v>30054</v>
      </c>
      <c r="H4521" s="6" t="s">
        <v>30055</v>
      </c>
      <c r="K4521" s="5" t="s">
        <v>30045</v>
      </c>
      <c r="M4521" s="5" t="s">
        <v>30056</v>
      </c>
      <c r="N4521" s="7" t="s">
        <v>30057</v>
      </c>
      <c r="O4521" s="8" t="str">
        <f>HYPERLINK("https://drive.google.com/file/d/1aD1fdlpTFt8-6TdS7lPuZzivlihGV3DH/view?usp=drivesdk","4520_SUNARDI,AMD _ SERTIFIKAT BerAKHLAK")</f>
        <v>4520_SUNARDI,AMD _ SERTIFIKAT BerAKHLAK</v>
      </c>
      <c r="P4521" s="5" t="s">
        <v>30058</v>
      </c>
    </row>
    <row r="4522">
      <c r="A4522" s="4">
        <v>45534.35239141204</v>
      </c>
      <c r="B4522" s="5" t="s">
        <v>34</v>
      </c>
      <c r="D4522" s="5" t="s">
        <v>9020</v>
      </c>
      <c r="E4522" s="5" t="s">
        <v>30059</v>
      </c>
      <c r="F4522" s="5" t="s">
        <v>212</v>
      </c>
      <c r="G4522" s="5" t="s">
        <v>30060</v>
      </c>
      <c r="H4522" s="6" t="s">
        <v>30061</v>
      </c>
      <c r="K4522" s="5" t="s">
        <v>30045</v>
      </c>
      <c r="M4522" s="5" t="s">
        <v>30062</v>
      </c>
      <c r="N4522" s="7" t="s">
        <v>30063</v>
      </c>
      <c r="O4522" s="8" t="str">
        <f>HYPERLINK("https://drive.google.com/file/d/1mIAqdZy20SXeAtt5kfUm_aoxNHbUOBPU/view?usp=drivesdk","4521_ZULHAM EFENDI _ SERTIFIKAT BerAKHLAK")</f>
        <v>4521_ZULHAM EFENDI _ SERTIFIKAT BerAKHLAK</v>
      </c>
      <c r="P4522" s="5" t="s">
        <v>30058</v>
      </c>
    </row>
    <row r="4523">
      <c r="A4523" s="4">
        <v>45534.35242417824</v>
      </c>
      <c r="B4523" s="5" t="s">
        <v>34</v>
      </c>
      <c r="D4523" s="5" t="s">
        <v>35</v>
      </c>
      <c r="E4523" s="5" t="s">
        <v>30064</v>
      </c>
      <c r="F4523" s="5" t="s">
        <v>37</v>
      </c>
      <c r="G4523" s="5" t="s">
        <v>30065</v>
      </c>
      <c r="H4523" s="6" t="s">
        <v>30066</v>
      </c>
      <c r="I4523" s="7" t="s">
        <v>30067</v>
      </c>
      <c r="J4523" s="8" t="str">
        <f>HYPERLINK("https://drive.google.com/file/d/15W814H1ZIFtyebY6c5oHcK273NGsPzuk/view?usp=drivesdk","NENENG RAKHMAWATI  SERTIFIKAT BerAKHLAK")</f>
        <v>NENENG RAKHMAWATI  SERTIFIKAT BerAKHLAK</v>
      </c>
      <c r="K4523" s="5" t="s">
        <v>29695</v>
      </c>
      <c r="L4523" s="5" t="s">
        <v>30068</v>
      </c>
      <c r="M4523" s="5" t="s">
        <v>30069</v>
      </c>
      <c r="N4523" s="7" t="s">
        <v>30070</v>
      </c>
      <c r="O4523" s="8" t="str">
        <f>HYPERLINK("https://drive.google.com/file/d/1bFKSsMKHcpu5R2k7YFLVsPeUp4Ej3CrF/view?usp=drivesdk","4522_NENENG RAKHMAWATI  _ SERTIFIKAT BerAKHLAK")</f>
        <v>4522_NENENG RAKHMAWATI  _ SERTIFIKAT BerAKHLAK</v>
      </c>
      <c r="P4523" s="5" t="s">
        <v>30058</v>
      </c>
    </row>
    <row r="4524">
      <c r="A4524" s="4">
        <v>45534.3524244213</v>
      </c>
      <c r="B4524" s="5" t="s">
        <v>34</v>
      </c>
      <c r="D4524" s="5" t="s">
        <v>9020</v>
      </c>
      <c r="E4524" s="5" t="s">
        <v>30071</v>
      </c>
      <c r="F4524" s="5" t="s">
        <v>524</v>
      </c>
      <c r="G4524" s="5" t="s">
        <v>30072</v>
      </c>
      <c r="H4524" s="6" t="s">
        <v>30073</v>
      </c>
      <c r="I4524" s="7" t="s">
        <v>30074</v>
      </c>
      <c r="J4524" s="8" t="str">
        <f>HYPERLINK("https://drive.google.com/file/d/1IuRD82p0p2rCaymtJMEAP4Ps3gKXhLhj/view?usp=drivesdk","DWI SRIWULAN, S.K.M SERTIFIKAT BerAKHLAK")</f>
        <v>DWI SRIWULAN, S.K.M SERTIFIKAT BerAKHLAK</v>
      </c>
      <c r="K4524" s="5" t="s">
        <v>29695</v>
      </c>
      <c r="L4524" s="5" t="s">
        <v>30075</v>
      </c>
      <c r="M4524" s="5" t="s">
        <v>30076</v>
      </c>
      <c r="N4524" s="7" t="s">
        <v>30077</v>
      </c>
      <c r="O4524" s="8" t="str">
        <f>HYPERLINK("https://drive.google.com/file/d/1cfZyJ8kZ48bMQFhcmanlWTHv-CXnImpb/view?usp=drivesdk","4523_DWI SRIWULAN, S.K.M _ SERTIFIKAT BerAKHLAK")</f>
        <v>4523_DWI SRIWULAN, S.K.M _ SERTIFIKAT BerAKHLAK</v>
      </c>
      <c r="P4524" s="5" t="s">
        <v>30058</v>
      </c>
    </row>
    <row r="4525" hidden="1">
      <c r="A4525" s="4">
        <v>45534.35242876157</v>
      </c>
      <c r="B4525" s="5" t="s">
        <v>19</v>
      </c>
      <c r="C4525" s="5" t="s">
        <v>5564</v>
      </c>
      <c r="E4525" s="5" t="s">
        <v>30078</v>
      </c>
      <c r="F4525" s="5" t="s">
        <v>212</v>
      </c>
      <c r="G4525" s="5" t="s">
        <v>30079</v>
      </c>
      <c r="H4525" s="6" t="s">
        <v>30080</v>
      </c>
      <c r="I4525" s="7" t="s">
        <v>30081</v>
      </c>
      <c r="J4525" s="8" t="str">
        <f>HYPERLINK("https://drive.google.com/file/d/1hIob9XTmgd_VeMxLzCETRURJiQIvi4lz/view?usp=drivesdk","HERMAWATI, S.Pd. SERTIFIKAT BerAKHLAK")</f>
        <v>HERMAWATI, S.Pd. SERTIFIKAT BerAKHLAK</v>
      </c>
      <c r="K4525" s="5" t="s">
        <v>29695</v>
      </c>
      <c r="L4525" s="5" t="s">
        <v>30082</v>
      </c>
      <c r="M4525" s="5" t="s">
        <v>30083</v>
      </c>
      <c r="N4525" s="7" t="s">
        <v>30084</v>
      </c>
      <c r="O4525" s="8" t="str">
        <f>HYPERLINK("https://drive.google.com/file/d/1laG3hOJ6exB7bz0lRU3D3TnlkyFzqhUd/view?usp=drivesdk","4524_HERMAWATI, S.Pd. _ SERTIFIKAT BerAKHLAK")</f>
        <v>4524_HERMAWATI, S.Pd. _ SERTIFIKAT BerAKHLAK</v>
      </c>
      <c r="P4525" s="5" t="s">
        <v>30085</v>
      </c>
    </row>
    <row r="4526">
      <c r="A4526" s="4">
        <v>45534.35242898148</v>
      </c>
      <c r="B4526" s="5" t="s">
        <v>34</v>
      </c>
      <c r="D4526" s="5" t="s">
        <v>35</v>
      </c>
      <c r="E4526" s="5" t="s">
        <v>30086</v>
      </c>
      <c r="F4526" s="5" t="s">
        <v>524</v>
      </c>
      <c r="G4526" s="5" t="s">
        <v>30087</v>
      </c>
      <c r="H4526" s="6" t="s">
        <v>30088</v>
      </c>
      <c r="I4526" s="7" t="s">
        <v>30089</v>
      </c>
      <c r="J4526" s="8" t="str">
        <f>HYPERLINK("https://drive.google.com/file/d/1iVTlZk8FEhtulcoz3Tsf__HgefsaHgSq/view?usp=drivesdk","YAYU INDRAYANI SUDIBYO, S.K.M SERTIFIKAT BerAKHLAK")</f>
        <v>YAYU INDRAYANI SUDIBYO, S.K.M SERTIFIKAT BerAKHLAK</v>
      </c>
      <c r="K4526" s="5" t="s">
        <v>29695</v>
      </c>
      <c r="L4526" s="5" t="s">
        <v>30090</v>
      </c>
      <c r="M4526" s="5" t="s">
        <v>30091</v>
      </c>
      <c r="N4526" s="7" t="s">
        <v>30092</v>
      </c>
      <c r="O4526" s="8" t="str">
        <f>HYPERLINK("https://drive.google.com/file/d/1Mda6fLMYIEKzEQTAFRflM3H3vDxZZWPA/view?usp=drivesdk","4525_YAYU INDRAYANI SUDIBYO, S.K.M _ SERTIFIKAT BerAKHLAK")</f>
        <v>4525_YAYU INDRAYANI SUDIBYO, S.K.M _ SERTIFIKAT BerAKHLAK</v>
      </c>
      <c r="P4526" s="5" t="s">
        <v>30085</v>
      </c>
    </row>
    <row r="4527">
      <c r="A4527" s="4">
        <v>45534.35243408565</v>
      </c>
      <c r="B4527" s="5" t="s">
        <v>34</v>
      </c>
      <c r="D4527" s="5" t="s">
        <v>12978</v>
      </c>
      <c r="E4527" s="5" t="s">
        <v>30093</v>
      </c>
      <c r="F4527" s="5" t="s">
        <v>375</v>
      </c>
      <c r="G4527" s="5" t="s">
        <v>30094</v>
      </c>
      <c r="H4527" s="6" t="s">
        <v>30095</v>
      </c>
      <c r="K4527" s="5" t="s">
        <v>30096</v>
      </c>
      <c r="M4527" s="5" t="s">
        <v>30097</v>
      </c>
      <c r="N4527" s="7" t="s">
        <v>30098</v>
      </c>
      <c r="O4527" s="8" t="str">
        <f>HYPERLINK("https://drive.google.com/file/d/1OEmOp7Wc76jTwKBIoNQF4O1O44ScIcWJ/view?usp=drivesdk","4526_LINDA, S.E. _ SERTIFIKAT BerAKHLAK")</f>
        <v>4526_LINDA, S.E. _ SERTIFIKAT BerAKHLAK</v>
      </c>
      <c r="P4527" s="5" t="s">
        <v>30099</v>
      </c>
    </row>
    <row r="4528">
      <c r="A4528" s="4">
        <v>45534.35244771991</v>
      </c>
      <c r="B4528" s="5" t="s">
        <v>34</v>
      </c>
      <c r="D4528" s="5" t="s">
        <v>9020</v>
      </c>
      <c r="E4528" s="5" t="s">
        <v>30100</v>
      </c>
      <c r="F4528" s="5" t="s">
        <v>72</v>
      </c>
      <c r="G4528" s="5" t="s">
        <v>30101</v>
      </c>
      <c r="H4528" s="6" t="s">
        <v>30102</v>
      </c>
      <c r="K4528" s="5" t="s">
        <v>30096</v>
      </c>
      <c r="M4528" s="5" t="s">
        <v>30103</v>
      </c>
      <c r="N4528" s="7" t="s">
        <v>30104</v>
      </c>
      <c r="O4528" s="8" t="str">
        <f>HYPERLINK("https://drive.google.com/file/d/1te_uxfAUhDDiL7jbI7rMyBxSn5VRZsRk/view?usp=drivesdk","4527_dr. SIROVENESIA BANJARNAHOR  _ SERTIFIKAT BerAKHLAK")</f>
        <v>4527_dr. SIROVENESIA BANJARNAHOR  _ SERTIFIKAT BerAKHLAK</v>
      </c>
      <c r="P4528" s="5" t="s">
        <v>30099</v>
      </c>
    </row>
    <row r="4529">
      <c r="A4529" s="4">
        <v>45534.3524496875</v>
      </c>
      <c r="B4529" s="5" t="s">
        <v>34</v>
      </c>
      <c r="D4529" s="5" t="s">
        <v>1558</v>
      </c>
      <c r="E4529" s="5" t="s">
        <v>30105</v>
      </c>
      <c r="F4529" s="5" t="s">
        <v>37</v>
      </c>
      <c r="G4529" s="5" t="s">
        <v>30106</v>
      </c>
      <c r="H4529" s="6" t="s">
        <v>30107</v>
      </c>
      <c r="K4529" s="5" t="s">
        <v>30096</v>
      </c>
      <c r="M4529" s="5" t="s">
        <v>30108</v>
      </c>
      <c r="N4529" s="7" t="s">
        <v>30109</v>
      </c>
      <c r="O4529" s="8" t="str">
        <f>HYPERLINK("https://drive.google.com/file/d/1IA346XQ7SYczwS_1ilDxs8xX-dy5Of5n/view?usp=drivesdk","4528_NURHAIDAH _ SERTIFIKAT BerAKHLAK")</f>
        <v>4528_NURHAIDAH _ SERTIFIKAT BerAKHLAK</v>
      </c>
      <c r="P4529" s="5" t="s">
        <v>30099</v>
      </c>
    </row>
    <row r="4530">
      <c r="A4530" s="4">
        <v>45534.35245708333</v>
      </c>
      <c r="B4530" s="5" t="s">
        <v>34</v>
      </c>
      <c r="D4530" s="5" t="s">
        <v>4775</v>
      </c>
      <c r="E4530" s="5" t="s">
        <v>13019</v>
      </c>
      <c r="F4530" s="5" t="s">
        <v>72</v>
      </c>
      <c r="G4530" s="5" t="s">
        <v>30110</v>
      </c>
      <c r="H4530" s="6" t="s">
        <v>30111</v>
      </c>
      <c r="K4530" s="5" t="s">
        <v>30096</v>
      </c>
      <c r="M4530" s="5" t="s">
        <v>30112</v>
      </c>
      <c r="N4530" s="7" t="s">
        <v>30113</v>
      </c>
      <c r="O4530" s="8" t="str">
        <f>HYPERLINK("https://drive.google.com/file/d/1iax6JY_WNTVtB_dWTovsUDSORxkXi2wT/view?usp=drivesdk","4529_AGUS SARJITO, A.Md. _ SERTIFIKAT BerAKHLAK")</f>
        <v>4529_AGUS SARJITO, A.Md. _ SERTIFIKAT BerAKHLAK</v>
      </c>
      <c r="P4530" s="5" t="s">
        <v>30099</v>
      </c>
    </row>
    <row r="4531">
      <c r="A4531" s="4">
        <v>45534.35246537037</v>
      </c>
      <c r="B4531" s="5" t="s">
        <v>34</v>
      </c>
      <c r="D4531" s="5" t="s">
        <v>4775</v>
      </c>
      <c r="E4531" s="5" t="s">
        <v>30114</v>
      </c>
      <c r="F4531" s="5" t="s">
        <v>37</v>
      </c>
      <c r="G4531" s="5" t="s">
        <v>30115</v>
      </c>
      <c r="H4531" s="6" t="s">
        <v>30116</v>
      </c>
      <c r="K4531" s="5" t="s">
        <v>30096</v>
      </c>
      <c r="M4531" s="5" t="s">
        <v>30117</v>
      </c>
      <c r="N4531" s="7" t="s">
        <v>30118</v>
      </c>
      <c r="O4531" s="8" t="str">
        <f>HYPERLINK("https://drive.google.com/file/d/1tGoTmWKtSiahtvgnxcIQjbIZqRf8cXfF/view?usp=drivesdk","4530_SUDARINI _ SERTIFIKAT BerAKHLAK")</f>
        <v>4530_SUDARINI _ SERTIFIKAT BerAKHLAK</v>
      </c>
      <c r="P4531" s="5" t="s">
        <v>30119</v>
      </c>
    </row>
    <row r="4532">
      <c r="A4532" s="4">
        <v>45534.35246659722</v>
      </c>
      <c r="B4532" s="5" t="s">
        <v>34</v>
      </c>
      <c r="D4532" s="5" t="s">
        <v>4775</v>
      </c>
      <c r="E4532" s="5" t="s">
        <v>30120</v>
      </c>
      <c r="F4532" s="5" t="s">
        <v>524</v>
      </c>
      <c r="G4532" s="5" t="s">
        <v>30121</v>
      </c>
      <c r="H4532" s="6" t="s">
        <v>30122</v>
      </c>
      <c r="K4532" s="5" t="s">
        <v>30096</v>
      </c>
      <c r="M4532" s="5" t="s">
        <v>30123</v>
      </c>
      <c r="N4532" s="7" t="s">
        <v>30124</v>
      </c>
      <c r="O4532" s="8" t="str">
        <f>HYPERLINK("https://drive.google.com/file/d/1aBvlpc9WE5VMsAATUOEzFgxNaRLTxJBV/view?usp=drivesdk","4531_MAHRONI, A.Md. _ SERTIFIKAT BerAKHLAK")</f>
        <v>4531_MAHRONI, A.Md. _ SERTIFIKAT BerAKHLAK</v>
      </c>
      <c r="P4532" s="5" t="s">
        <v>30119</v>
      </c>
    </row>
    <row r="4533">
      <c r="A4533" s="4">
        <v>45534.35246693287</v>
      </c>
      <c r="B4533" s="5" t="s">
        <v>34</v>
      </c>
      <c r="D4533" s="5" t="s">
        <v>580</v>
      </c>
      <c r="E4533" s="5" t="s">
        <v>30125</v>
      </c>
      <c r="F4533" s="5" t="s">
        <v>37</v>
      </c>
      <c r="G4533" s="5" t="s">
        <v>30126</v>
      </c>
      <c r="H4533" s="6" t="s">
        <v>30127</v>
      </c>
      <c r="K4533" s="5" t="s">
        <v>30096</v>
      </c>
      <c r="M4533" s="5" t="s">
        <v>30128</v>
      </c>
      <c r="N4533" s="7" t="s">
        <v>30129</v>
      </c>
      <c r="O4533" s="8" t="str">
        <f>HYPERLINK("https://drive.google.com/file/d/17rC2oETDzp6-6nolSS-D6nCNDleS3GsS/view?usp=drivesdk","4532_ANAK AGUNG AYU LAKSMI DEWI, A. Md. Keb _ SERTIFIKAT BerAKHLAK")</f>
        <v>4532_ANAK AGUNG AYU LAKSMI DEWI, A. Md. Keb _ SERTIFIKAT BerAKHLAK</v>
      </c>
      <c r="P4533" s="5" t="s">
        <v>30119</v>
      </c>
    </row>
    <row r="4534">
      <c r="A4534" s="4">
        <v>45534.35247707176</v>
      </c>
      <c r="B4534" s="5" t="s">
        <v>34</v>
      </c>
      <c r="D4534" s="5" t="s">
        <v>1558</v>
      </c>
      <c r="E4534" s="5" t="s">
        <v>30130</v>
      </c>
      <c r="F4534" s="5" t="s">
        <v>375</v>
      </c>
      <c r="G4534" s="5" t="s">
        <v>30131</v>
      </c>
      <c r="H4534" s="6" t="s">
        <v>30132</v>
      </c>
      <c r="K4534" s="5" t="s">
        <v>30096</v>
      </c>
      <c r="M4534" s="5" t="s">
        <v>30133</v>
      </c>
      <c r="N4534" s="7" t="s">
        <v>30134</v>
      </c>
      <c r="O4534" s="8" t="str">
        <f>HYPERLINK("https://drive.google.com/file/d/1psXKsVytq4voaH3yOU3nFzFSXd6MWHxN/view?usp=drivesdk","4533_HM SAKIM _ SERTIFIKAT BerAKHLAK")</f>
        <v>4533_HM SAKIM _ SERTIFIKAT BerAKHLAK</v>
      </c>
      <c r="P4534" s="5" t="s">
        <v>30135</v>
      </c>
    </row>
    <row r="4535">
      <c r="A4535" s="4">
        <v>45534.35248043982</v>
      </c>
      <c r="B4535" s="5" t="s">
        <v>34</v>
      </c>
      <c r="D4535" s="5" t="s">
        <v>522</v>
      </c>
      <c r="E4535" s="5" t="s">
        <v>30136</v>
      </c>
      <c r="F4535" s="5" t="s">
        <v>375</v>
      </c>
      <c r="G4535" s="5" t="s">
        <v>30137</v>
      </c>
      <c r="H4535" s="6" t="s">
        <v>30138</v>
      </c>
      <c r="K4535" s="5" t="s">
        <v>30096</v>
      </c>
      <c r="M4535" s="5" t="s">
        <v>30139</v>
      </c>
      <c r="N4535" s="7" t="s">
        <v>30140</v>
      </c>
      <c r="O4535" s="8" t="str">
        <f>HYPERLINK("https://drive.google.com/file/d/17VDYLfj_iY0H3pATf-5aexQquR8a0Sv5/view?usp=drivesdk","4534_M AHYAR _ SERTIFIKAT BerAKHLAK")</f>
        <v>4534_M AHYAR _ SERTIFIKAT BerAKHLAK</v>
      </c>
      <c r="P4535" s="5" t="s">
        <v>30135</v>
      </c>
    </row>
    <row r="4536">
      <c r="A4536" s="4">
        <v>45534.35248163194</v>
      </c>
      <c r="B4536" s="5" t="s">
        <v>34</v>
      </c>
      <c r="D4536" s="5" t="s">
        <v>1206</v>
      </c>
      <c r="E4536" s="5" t="s">
        <v>30141</v>
      </c>
      <c r="F4536" s="5" t="s">
        <v>37</v>
      </c>
      <c r="G4536" s="5" t="s">
        <v>30142</v>
      </c>
      <c r="H4536" s="6" t="s">
        <v>30143</v>
      </c>
      <c r="K4536" s="5" t="s">
        <v>30096</v>
      </c>
      <c r="M4536" s="5" t="s">
        <v>30144</v>
      </c>
      <c r="N4536" s="7" t="s">
        <v>30145</v>
      </c>
      <c r="O4536" s="8" t="str">
        <f>HYPERLINK("https://drive.google.com/file/d/1qr-jyfRxl6L1qor_DpfQmcNj5ZDb9WTO/view?usp=drivesdk","4535_EKO BUDIARSO  _ SERTIFIKAT BerAKHLAK")</f>
        <v>4535_EKO BUDIARSO  _ SERTIFIKAT BerAKHLAK</v>
      </c>
      <c r="P4536" s="5" t="s">
        <v>30135</v>
      </c>
    </row>
    <row r="4537">
      <c r="A4537" s="4">
        <v>45534.35248435185</v>
      </c>
      <c r="B4537" s="5" t="s">
        <v>34</v>
      </c>
      <c r="D4537" s="5" t="s">
        <v>6232</v>
      </c>
      <c r="E4537" s="5" t="s">
        <v>30146</v>
      </c>
      <c r="F4537" s="5" t="s">
        <v>37</v>
      </c>
      <c r="G4537" s="5" t="s">
        <v>30147</v>
      </c>
      <c r="H4537" s="6" t="s">
        <v>30148</v>
      </c>
      <c r="K4537" s="5" t="s">
        <v>30096</v>
      </c>
      <c r="M4537" s="5" t="s">
        <v>30149</v>
      </c>
      <c r="N4537" s="7" t="s">
        <v>30150</v>
      </c>
      <c r="O4537" s="8" t="str">
        <f>HYPERLINK("https://drive.google.com/file/d/1htExWLl84mOZT-6XSHkqu-lIikKVmNqe/view?usp=drivesdk","4536_SARMA SUSILAWATI.S _ SERTIFIKAT BerAKHLAK")</f>
        <v>4536_SARMA SUSILAWATI.S _ SERTIFIKAT BerAKHLAK</v>
      </c>
      <c r="P4537" s="5" t="s">
        <v>30135</v>
      </c>
    </row>
    <row r="4538">
      <c r="A4538" s="4">
        <v>45534.35248770833</v>
      </c>
      <c r="B4538" s="5" t="s">
        <v>34</v>
      </c>
      <c r="D4538" s="5" t="s">
        <v>267</v>
      </c>
      <c r="E4538" s="5" t="s">
        <v>30151</v>
      </c>
      <c r="F4538" s="5" t="s">
        <v>375</v>
      </c>
      <c r="G4538" s="5" t="s">
        <v>30152</v>
      </c>
      <c r="H4538" s="6" t="s">
        <v>30153</v>
      </c>
      <c r="K4538" s="5" t="s">
        <v>30096</v>
      </c>
      <c r="M4538" s="5" t="s">
        <v>30154</v>
      </c>
      <c r="N4538" s="7" t="s">
        <v>30155</v>
      </c>
      <c r="O4538" s="8" t="str">
        <f>HYPERLINK("https://drive.google.com/file/d/1bFZCDTq0DARZZ--hevr6Ox_JjtpzWfsU/view?usp=drivesdk","4537_MARYANTO, S.T. _ SERTIFIKAT BerAKHLAK")</f>
        <v>4537_MARYANTO, S.T. _ SERTIFIKAT BerAKHLAK</v>
      </c>
      <c r="P4538" s="5" t="s">
        <v>30135</v>
      </c>
    </row>
    <row r="4539">
      <c r="A4539" s="4">
        <v>45534.35249907407</v>
      </c>
      <c r="B4539" s="5" t="s">
        <v>34</v>
      </c>
      <c r="D4539" s="5" t="s">
        <v>522</v>
      </c>
      <c r="E4539" s="5" t="s">
        <v>30156</v>
      </c>
      <c r="F4539" s="5" t="s">
        <v>72</v>
      </c>
      <c r="G4539" s="5" t="s">
        <v>30157</v>
      </c>
      <c r="H4539" s="6" t="s">
        <v>30158</v>
      </c>
      <c r="K4539" s="5" t="s">
        <v>30096</v>
      </c>
      <c r="M4539" s="5" t="s">
        <v>30159</v>
      </c>
      <c r="N4539" s="7" t="s">
        <v>30160</v>
      </c>
      <c r="O4539" s="8" t="str">
        <f>HYPERLINK("https://drive.google.com/file/d/1Mm_BiG3Z00N_j-m9i7i9v5UCgdkN5i7f/view?usp=drivesdk","4538_JUMDAN _ SERTIFIKAT BerAKHLAK")</f>
        <v>4538_JUMDAN _ SERTIFIKAT BerAKHLAK</v>
      </c>
      <c r="P4539" s="5" t="s">
        <v>30161</v>
      </c>
    </row>
    <row r="4540">
      <c r="A4540" s="4">
        <v>45534.35250496528</v>
      </c>
      <c r="B4540" s="5" t="s">
        <v>34</v>
      </c>
      <c r="D4540" s="5" t="s">
        <v>1206</v>
      </c>
      <c r="E4540" s="5" t="s">
        <v>30162</v>
      </c>
      <c r="F4540" s="5" t="s">
        <v>375</v>
      </c>
      <c r="G4540" s="5" t="s">
        <v>30163</v>
      </c>
      <c r="H4540" s="6" t="s">
        <v>30164</v>
      </c>
      <c r="K4540" s="5" t="s">
        <v>30045</v>
      </c>
      <c r="M4540" s="5" t="s">
        <v>30165</v>
      </c>
      <c r="N4540" s="7" t="s">
        <v>30166</v>
      </c>
      <c r="O4540" s="8" t="str">
        <f>HYPERLINK("https://drive.google.com/file/d/1k9OK3nmPeJUtJ92DnQDxYS91YkiNv4B-/view?usp=drivesdk","4539_RINA CAPANITA ,SE _ SERTIFIKAT BerAKHLAK")</f>
        <v>4539_RINA CAPANITA ,SE _ SERTIFIKAT BerAKHLAK</v>
      </c>
      <c r="P4540" s="5" t="s">
        <v>30161</v>
      </c>
    </row>
    <row r="4541">
      <c r="A4541" s="4">
        <v>45534.352505243056</v>
      </c>
      <c r="B4541" s="5" t="s">
        <v>34</v>
      </c>
      <c r="D4541" s="5" t="s">
        <v>12978</v>
      </c>
      <c r="E4541" s="5" t="s">
        <v>30167</v>
      </c>
      <c r="F4541" s="5" t="s">
        <v>72</v>
      </c>
      <c r="G4541" s="5" t="s">
        <v>30168</v>
      </c>
      <c r="H4541" s="6" t="s">
        <v>30169</v>
      </c>
      <c r="K4541" s="5" t="s">
        <v>30045</v>
      </c>
      <c r="M4541" s="5" t="s">
        <v>30170</v>
      </c>
      <c r="N4541" s="7" t="s">
        <v>30171</v>
      </c>
      <c r="O4541" s="8" t="str">
        <f>HYPERLINK("https://drive.google.com/file/d/1ROQx1HeuS7LJAziWBT28358BfKa1OTUv/view?usp=drivesdk","4540_YULIA, S.Sos _ SERTIFIKAT BerAKHLAK")</f>
        <v>4540_YULIA, S.Sos _ SERTIFIKAT BerAKHLAK</v>
      </c>
      <c r="P4541" s="5" t="s">
        <v>30161</v>
      </c>
    </row>
    <row r="4542">
      <c r="A4542" s="4">
        <v>45534.35250969908</v>
      </c>
      <c r="B4542" s="5" t="s">
        <v>34</v>
      </c>
      <c r="D4542" s="5" t="s">
        <v>1558</v>
      </c>
      <c r="E4542" s="5" t="s">
        <v>30172</v>
      </c>
      <c r="F4542" s="5" t="s">
        <v>212</v>
      </c>
      <c r="G4542" s="5" t="s">
        <v>30173</v>
      </c>
      <c r="H4542" s="6" t="s">
        <v>30174</v>
      </c>
      <c r="K4542" s="5" t="s">
        <v>30045</v>
      </c>
      <c r="M4542" s="5" t="s">
        <v>30175</v>
      </c>
      <c r="N4542" s="7" t="s">
        <v>30176</v>
      </c>
      <c r="O4542" s="8" t="str">
        <f>HYPERLINK("https://drive.google.com/file/d/1qRRe-DP1-YjxEJBHFAQJ7ptbeg_qhtLX/view?usp=drivesdk","4541_WINITA _ SERTIFIKAT BerAKHLAK")</f>
        <v>4541_WINITA _ SERTIFIKAT BerAKHLAK</v>
      </c>
      <c r="P4542" s="5" t="s">
        <v>30161</v>
      </c>
    </row>
    <row r="4543">
      <c r="A4543" s="4">
        <v>45534.35252035879</v>
      </c>
      <c r="B4543" s="5" t="s">
        <v>34</v>
      </c>
      <c r="D4543" s="5" t="s">
        <v>1768</v>
      </c>
      <c r="E4543" s="5" t="s">
        <v>30177</v>
      </c>
      <c r="F4543" s="5" t="s">
        <v>22</v>
      </c>
      <c r="G4543" s="5" t="s">
        <v>30178</v>
      </c>
      <c r="H4543" s="6" t="s">
        <v>30179</v>
      </c>
      <c r="K4543" s="5" t="s">
        <v>30045</v>
      </c>
      <c r="M4543" s="5" t="s">
        <v>30180</v>
      </c>
      <c r="N4543" s="7" t="s">
        <v>30181</v>
      </c>
      <c r="O4543" s="8" t="str">
        <f>HYPERLINK("https://drive.google.com/file/d/1QHyC2Klb7bodDCulMxEuXlyBjfmvQ7VZ/view?usp=drivesdk","4542_Dra. SRI AGUSTINAH _ SERTIFIKAT BerAKHLAK")</f>
        <v>4542_Dra. SRI AGUSTINAH _ SERTIFIKAT BerAKHLAK</v>
      </c>
      <c r="P4543" s="5" t="s">
        <v>30182</v>
      </c>
    </row>
    <row r="4544">
      <c r="A4544" s="4">
        <v>45534.35252641204</v>
      </c>
      <c r="B4544" s="5" t="s">
        <v>34</v>
      </c>
      <c r="D4544" s="5" t="s">
        <v>280</v>
      </c>
      <c r="E4544" s="5" t="s">
        <v>30183</v>
      </c>
      <c r="F4544" s="5" t="s">
        <v>37</v>
      </c>
      <c r="G4544" s="5" t="s">
        <v>30184</v>
      </c>
      <c r="H4544" s="6" t="s">
        <v>30185</v>
      </c>
      <c r="I4544" s="7" t="s">
        <v>30186</v>
      </c>
      <c r="J4544" s="8" t="str">
        <f>HYPERLINK("https://drive.google.com/file/d/1dund-meAKwWhzi8L6UvCbkji-uZiLFuH/view?usp=drivesdk","ROCHMAN  SERTIFIKAT BerAKHLAK")</f>
        <v>ROCHMAN  SERTIFIKAT BerAKHLAK</v>
      </c>
      <c r="K4544" s="5" t="s">
        <v>29695</v>
      </c>
      <c r="L4544" s="5" t="s">
        <v>30187</v>
      </c>
      <c r="M4544" s="5" t="s">
        <v>30188</v>
      </c>
      <c r="N4544" s="7" t="s">
        <v>30189</v>
      </c>
      <c r="O4544" s="8" t="str">
        <f>HYPERLINK("https://drive.google.com/file/d/18KK8of4mFnFVBLP3_GCKoUND57XRoskh/view?usp=drivesdk","4543_ROCHMAN  _ SERTIFIKAT BerAKHLAK")</f>
        <v>4543_ROCHMAN  _ SERTIFIKAT BerAKHLAK</v>
      </c>
      <c r="P4544" s="5" t="s">
        <v>30182</v>
      </c>
    </row>
    <row r="4545">
      <c r="A4545" s="4">
        <v>45534.35252758102</v>
      </c>
      <c r="B4545" s="5" t="s">
        <v>34</v>
      </c>
      <c r="D4545" s="5" t="s">
        <v>9020</v>
      </c>
      <c r="E4545" s="5" t="s">
        <v>30190</v>
      </c>
      <c r="F4545" s="5" t="s">
        <v>199</v>
      </c>
      <c r="G4545" s="5" t="s">
        <v>30191</v>
      </c>
      <c r="H4545" s="6" t="s">
        <v>30192</v>
      </c>
      <c r="I4545" s="7" t="s">
        <v>30193</v>
      </c>
      <c r="J4545" s="8" t="str">
        <f>HYPERLINK("https://drive.google.com/file/d/1SqR06cJ8f9sS9V3zyAk1WG11QZnducxL/view?usp=drivesdk","TIGOR HASUDUNGAN SITUMORANG SERTIFIKAT BerAKHLAK")</f>
        <v>TIGOR HASUDUNGAN SITUMORANG SERTIFIKAT BerAKHLAK</v>
      </c>
      <c r="K4545" s="5" t="s">
        <v>29695</v>
      </c>
      <c r="L4545" s="5" t="s">
        <v>30194</v>
      </c>
      <c r="M4545" s="5" t="s">
        <v>30195</v>
      </c>
      <c r="N4545" s="7" t="s">
        <v>30196</v>
      </c>
      <c r="O4545" s="8" t="str">
        <f>HYPERLINK("https://drive.google.com/file/d/1lPqi-xaZwWnf17zl5C5LJYqyOERnvPkr/view?usp=drivesdk","4544_TIGOR HASUDUNGAN SITUMORANG _ SERTIFIKAT BerAKHLAK")</f>
        <v>4544_TIGOR HASUDUNGAN SITUMORANG _ SERTIFIKAT BerAKHLAK</v>
      </c>
      <c r="P4545" s="5" t="s">
        <v>30182</v>
      </c>
    </row>
    <row r="4546">
      <c r="A4546" s="4">
        <v>45534.35253074074</v>
      </c>
      <c r="B4546" s="5" t="s">
        <v>34</v>
      </c>
      <c r="D4546" s="5" t="s">
        <v>1206</v>
      </c>
      <c r="E4546" s="5" t="s">
        <v>30197</v>
      </c>
      <c r="F4546" s="5" t="s">
        <v>212</v>
      </c>
      <c r="G4546" s="5" t="s">
        <v>30198</v>
      </c>
      <c r="H4546" s="6" t="s">
        <v>30199</v>
      </c>
      <c r="I4546" s="7" t="s">
        <v>30200</v>
      </c>
      <c r="J4546" s="8" t="str">
        <f>HYPERLINK("https://drive.google.com/file/d/1FJqGMAomuNVgz83uGyq7ggE8-MTb7VQY/view?usp=drivesdk","AMANG SETIAWAN  SERTIFIKAT BerAKHLAK")</f>
        <v>AMANG SETIAWAN  SERTIFIKAT BerAKHLAK</v>
      </c>
      <c r="K4546" s="5" t="s">
        <v>29695</v>
      </c>
      <c r="L4546" s="5" t="s">
        <v>30201</v>
      </c>
      <c r="M4546" s="5" t="s">
        <v>30202</v>
      </c>
      <c r="N4546" s="7" t="s">
        <v>30203</v>
      </c>
      <c r="O4546" s="8" t="str">
        <f>HYPERLINK("https://drive.google.com/file/d/1fqCzvjoCion5caRNmvMOmtbfk2wlfGOf/view?usp=drivesdk","4545_AMANG SETIAWAN  _ SERTIFIKAT BerAKHLAK")</f>
        <v>4545_AMANG SETIAWAN  _ SERTIFIKAT BerAKHLAK</v>
      </c>
      <c r="P4546" s="5" t="s">
        <v>30182</v>
      </c>
    </row>
    <row r="4547">
      <c r="A4547" s="4">
        <v>45534.352551840275</v>
      </c>
      <c r="B4547" s="5" t="s">
        <v>34</v>
      </c>
      <c r="D4547" s="5" t="s">
        <v>9394</v>
      </c>
      <c r="E4547" s="5" t="s">
        <v>30204</v>
      </c>
      <c r="F4547" s="5" t="s">
        <v>72</v>
      </c>
      <c r="G4547" s="5" t="s">
        <v>30205</v>
      </c>
      <c r="H4547" s="6" t="s">
        <v>30206</v>
      </c>
      <c r="I4547" s="7" t="s">
        <v>30207</v>
      </c>
      <c r="J4547" s="8" t="str">
        <f>HYPERLINK("https://drive.google.com/file/d/1xKRxX49y_CaDI7LOdn-j1kaGne-Ssqsb/view?usp=drivesdk","LINCHE SRIANA SERTIFIKAT BerAKHLAK")</f>
        <v>LINCHE SRIANA SERTIFIKAT BerAKHLAK</v>
      </c>
      <c r="K4547" s="5" t="s">
        <v>29695</v>
      </c>
      <c r="L4547" s="5" t="s">
        <v>30208</v>
      </c>
      <c r="M4547" s="5" t="s">
        <v>30209</v>
      </c>
      <c r="N4547" s="7" t="s">
        <v>30210</v>
      </c>
      <c r="O4547" s="8" t="str">
        <f>HYPERLINK("https://drive.google.com/file/d/1Vl4-aBXIx63OWTZPiKFRyjiL5E2XcwD9/view?usp=drivesdk","4546_LINCHE SRIANA _ SERTIFIKAT BerAKHLAK")</f>
        <v>4546_LINCHE SRIANA _ SERTIFIKAT BerAKHLAK</v>
      </c>
      <c r="P4547" s="5" t="s">
        <v>30211</v>
      </c>
    </row>
    <row r="4548" hidden="1">
      <c r="A4548" s="4">
        <v>45534.35255952546</v>
      </c>
      <c r="B4548" s="5" t="s">
        <v>19</v>
      </c>
      <c r="C4548" s="5" t="s">
        <v>315</v>
      </c>
      <c r="E4548" s="5" t="s">
        <v>30212</v>
      </c>
      <c r="F4548" s="5" t="s">
        <v>72</v>
      </c>
      <c r="G4548" s="5" t="s">
        <v>30213</v>
      </c>
      <c r="H4548" s="6" t="s">
        <v>30214</v>
      </c>
      <c r="I4548" s="7" t="s">
        <v>30215</v>
      </c>
      <c r="J4548" s="8" t="str">
        <f>HYPERLINK("https://drive.google.com/file/d/12nJkfkWV8d_eZBg6hWbwmIGc54DTLQRj/view?usp=drivesdk","ENDAH WAHYUNI SERTIFIKAT BerAKHLAK")</f>
        <v>ENDAH WAHYUNI SERTIFIKAT BerAKHLAK</v>
      </c>
      <c r="K4548" s="5" t="s">
        <v>29717</v>
      </c>
      <c r="L4548" s="5" t="s">
        <v>30216</v>
      </c>
      <c r="M4548" s="5" t="s">
        <v>30217</v>
      </c>
      <c r="N4548" s="7" t="s">
        <v>30218</v>
      </c>
      <c r="O4548" s="8" t="str">
        <f>HYPERLINK("https://drive.google.com/file/d/1Ru6i4X5aSdC9Z6tRrNvK_wDMFtS321Eq/view?usp=drivesdk","4547_ENDAH WAHYUNI _ SERTIFIKAT BerAKHLAK")</f>
        <v>4547_ENDAH WAHYUNI _ SERTIFIKAT BerAKHLAK</v>
      </c>
      <c r="P4548" s="5" t="s">
        <v>30211</v>
      </c>
    </row>
    <row r="4549">
      <c r="A4549" s="4">
        <v>45534.35257300926</v>
      </c>
      <c r="B4549" s="5" t="s">
        <v>34</v>
      </c>
      <c r="D4549" s="5" t="s">
        <v>4775</v>
      </c>
      <c r="E4549" s="5" t="s">
        <v>30219</v>
      </c>
      <c r="F4549" s="5" t="s">
        <v>108</v>
      </c>
      <c r="G4549" s="5" t="s">
        <v>30220</v>
      </c>
      <c r="H4549" s="6" t="s">
        <v>30221</v>
      </c>
      <c r="I4549" s="7" t="s">
        <v>30222</v>
      </c>
      <c r="J4549" s="8" t="str">
        <f>HYPERLINK("https://drive.google.com/file/d/1xwXdnZnLmFOcATnKw5kDnPPHCVjuU-F6/view?usp=drivesdk","CAHYO NUGROHO, A.Md SERTIFIKAT BerAKHLAK")</f>
        <v>CAHYO NUGROHO, A.Md SERTIFIKAT BerAKHLAK</v>
      </c>
      <c r="K4549" s="5" t="s">
        <v>29695</v>
      </c>
      <c r="L4549" s="5" t="s">
        <v>30223</v>
      </c>
      <c r="M4549" s="5" t="s">
        <v>30224</v>
      </c>
      <c r="N4549" s="7" t="s">
        <v>30225</v>
      </c>
      <c r="O4549" s="8" t="str">
        <f>HYPERLINK("https://drive.google.com/file/d/1Y8-3KmKiw-u6G-BI2pkkF50UhLwP0K3j/view?usp=drivesdk","4548_CAHYO NUGROHO, A.Md _ SERTIFIKAT BerAKHLAK")</f>
        <v>4548_CAHYO NUGROHO, A.Md _ SERTIFIKAT BerAKHLAK</v>
      </c>
      <c r="P4549" s="5" t="s">
        <v>30211</v>
      </c>
    </row>
    <row r="4550">
      <c r="A4550" s="4">
        <v>45534.352565821755</v>
      </c>
      <c r="B4550" s="5" t="s">
        <v>34</v>
      </c>
      <c r="D4550" s="5" t="s">
        <v>1206</v>
      </c>
      <c r="E4550" s="5" t="s">
        <v>30226</v>
      </c>
      <c r="F4550" s="5" t="s">
        <v>375</v>
      </c>
      <c r="G4550" s="5" t="s">
        <v>30227</v>
      </c>
      <c r="H4550" s="6" t="s">
        <v>30228</v>
      </c>
      <c r="I4550" s="7" t="s">
        <v>30229</v>
      </c>
      <c r="J4550" s="8" t="str">
        <f>HYPERLINK("https://drive.google.com/file/d/1MY7bc9sRJu7tvCUd3AriTsWytUMpX79p/view?usp=drivesdk","SITI AMBAR FATONAH SERTIFIKAT BerAKHLAK")</f>
        <v>SITI AMBAR FATONAH SERTIFIKAT BerAKHLAK</v>
      </c>
      <c r="K4550" s="5" t="s">
        <v>29695</v>
      </c>
      <c r="L4550" s="5" t="s">
        <v>30230</v>
      </c>
      <c r="M4550" s="5" t="s">
        <v>30231</v>
      </c>
      <c r="N4550" s="7" t="s">
        <v>30232</v>
      </c>
      <c r="O4550" s="8" t="str">
        <f>HYPERLINK("https://drive.google.com/file/d/1TQVFIoGiKwKgEftQarVMt3RAvzkmw3cZ/view?usp=drivesdk","4549_SITI AMBAR FATONAH _ SERTIFIKAT BerAKHLAK")</f>
        <v>4549_SITI AMBAR FATONAH _ SERTIFIKAT BerAKHLAK</v>
      </c>
      <c r="P4550" s="5" t="s">
        <v>30211</v>
      </c>
    </row>
    <row r="4551">
      <c r="A4551" s="4">
        <v>45534.35259429398</v>
      </c>
      <c r="B4551" s="5" t="s">
        <v>34</v>
      </c>
      <c r="D4551" s="5" t="s">
        <v>12978</v>
      </c>
      <c r="E4551" s="5" t="s">
        <v>30233</v>
      </c>
      <c r="F4551" s="5" t="s">
        <v>212</v>
      </c>
      <c r="G4551" s="5" t="s">
        <v>30234</v>
      </c>
      <c r="H4551" s="6" t="s">
        <v>30235</v>
      </c>
      <c r="I4551" s="7" t="s">
        <v>30236</v>
      </c>
      <c r="J4551" s="8" t="str">
        <f>HYPERLINK("https://drive.google.com/file/d/1qLl1gx8Gv4HU3PHGwU6ivRL86FODleoo/view?usp=drivesdk","TUTI HANDAYANI SERTIFIKAT BerAKHLAK")</f>
        <v>TUTI HANDAYANI SERTIFIKAT BerAKHLAK</v>
      </c>
      <c r="K4551" s="5" t="s">
        <v>29717</v>
      </c>
      <c r="L4551" s="5" t="s">
        <v>30237</v>
      </c>
      <c r="M4551" s="5" t="s">
        <v>30238</v>
      </c>
      <c r="N4551" s="7" t="s">
        <v>30239</v>
      </c>
      <c r="O4551" s="8" t="str">
        <f>HYPERLINK("https://drive.google.com/file/d/1WFmEHf2twwsjzjD_LvWUUmNNcnPtGJVx/view?usp=drivesdk","4550_TUTI HANDAYANI _ SERTIFIKAT BerAKHLAK")</f>
        <v>4550_TUTI HANDAYANI _ SERTIFIKAT BerAKHLAK</v>
      </c>
      <c r="P4551" s="5" t="s">
        <v>30240</v>
      </c>
    </row>
    <row r="4552">
      <c r="A4552" s="4">
        <v>45534.35260554398</v>
      </c>
      <c r="B4552" s="5" t="s">
        <v>34</v>
      </c>
      <c r="D4552" s="5" t="s">
        <v>3849</v>
      </c>
      <c r="E4552" s="5" t="s">
        <v>30241</v>
      </c>
      <c r="F4552" s="5" t="s">
        <v>37</v>
      </c>
      <c r="G4552" s="5" t="s">
        <v>30242</v>
      </c>
      <c r="H4552" s="6" t="s">
        <v>30243</v>
      </c>
      <c r="I4552" s="7" t="s">
        <v>30244</v>
      </c>
      <c r="J4552" s="8" t="str">
        <f>HYPERLINK("https://drive.google.com/file/d/1QPVbul5P8rF8n5qJvfUD93WwzFfhtnkp/view?usp=drivesdk","NIAAZLIA SERTIFIKAT BerAKHLAK")</f>
        <v>NIAAZLIA SERTIFIKAT BerAKHLAK</v>
      </c>
      <c r="K4552" s="5" t="s">
        <v>29717</v>
      </c>
      <c r="L4552" s="5" t="s">
        <v>30245</v>
      </c>
      <c r="M4552" s="5" t="s">
        <v>30246</v>
      </c>
      <c r="N4552" s="7" t="s">
        <v>30247</v>
      </c>
      <c r="O4552" s="8" t="str">
        <f>HYPERLINK("https://drive.google.com/file/d/1puScNg_Qsa0s6O90LDWD4gzjqyCCxK04/view?usp=drivesdk","4551_NIAAZLIA _ SERTIFIKAT BerAKHLAK")</f>
        <v>4551_NIAAZLIA _ SERTIFIKAT BerAKHLAK</v>
      </c>
      <c r="P4552" s="5" t="s">
        <v>30248</v>
      </c>
    </row>
    <row r="4553">
      <c r="A4553" s="4">
        <v>45534.35261392361</v>
      </c>
      <c r="B4553" s="5" t="s">
        <v>34</v>
      </c>
      <c r="D4553" s="5" t="s">
        <v>1558</v>
      </c>
      <c r="E4553" s="5" t="s">
        <v>30249</v>
      </c>
      <c r="F4553" s="5" t="s">
        <v>375</v>
      </c>
      <c r="G4553" s="5" t="s">
        <v>30250</v>
      </c>
      <c r="H4553" s="6" t="s">
        <v>30251</v>
      </c>
      <c r="K4553" s="5" t="s">
        <v>30252</v>
      </c>
      <c r="M4553" s="5" t="s">
        <v>30253</v>
      </c>
      <c r="N4553" s="7" t="s">
        <v>30254</v>
      </c>
      <c r="O4553" s="8" t="str">
        <f>HYPERLINK("https://drive.google.com/file/d/1EiYH6n6tl_WUsP13iQelYQmkM19t_GfM/view?usp=drivesdk","4552_BENNY PRATOMO S, ST, MM  _ SERTIFIKAT BerAKHLAK")</f>
        <v>4552_BENNY PRATOMO S, ST, MM  _ SERTIFIKAT BerAKHLAK</v>
      </c>
      <c r="P4553" s="5" t="s">
        <v>30248</v>
      </c>
    </row>
    <row r="4554">
      <c r="A4554" s="4">
        <v>45534.35261434028</v>
      </c>
      <c r="B4554" s="5" t="s">
        <v>34</v>
      </c>
      <c r="D4554" s="5" t="s">
        <v>35</v>
      </c>
      <c r="E4554" s="5" t="s">
        <v>30255</v>
      </c>
      <c r="F4554" s="5" t="s">
        <v>72</v>
      </c>
      <c r="G4554" s="5" t="s">
        <v>30256</v>
      </c>
      <c r="H4554" s="6" t="s">
        <v>30257</v>
      </c>
      <c r="K4554" s="5" t="s">
        <v>30252</v>
      </c>
      <c r="M4554" s="5" t="s">
        <v>30258</v>
      </c>
      <c r="N4554" s="7" t="s">
        <v>30259</v>
      </c>
      <c r="O4554" s="8" t="str">
        <f>HYPERLINK("https://drive.google.com/file/d/1X4rO3tfQKLKUt1iK4yRzMDOaaIJUZaQo/view?usp=drivesdk","4553_TITOH KUSTIAH _ SERTIFIKAT BerAKHLAK")</f>
        <v>4553_TITOH KUSTIAH _ SERTIFIKAT BerAKHLAK</v>
      </c>
      <c r="P4554" s="5" t="s">
        <v>30248</v>
      </c>
    </row>
    <row r="4555">
      <c r="A4555" s="4">
        <v>45534.35262585648</v>
      </c>
      <c r="B4555" s="5" t="s">
        <v>34</v>
      </c>
      <c r="D4555" s="5" t="s">
        <v>1206</v>
      </c>
      <c r="E4555" s="5" t="s">
        <v>26203</v>
      </c>
      <c r="F4555" s="5" t="s">
        <v>212</v>
      </c>
      <c r="G4555" s="5" t="s">
        <v>30260</v>
      </c>
      <c r="H4555" s="6" t="s">
        <v>30261</v>
      </c>
      <c r="K4555" s="5" t="s">
        <v>30252</v>
      </c>
      <c r="M4555" s="5" t="s">
        <v>30262</v>
      </c>
      <c r="N4555" s="7" t="s">
        <v>30263</v>
      </c>
      <c r="O4555" s="8" t="str">
        <f>HYPERLINK("https://drive.google.com/file/d/1hrm1lIB4rW-NWdLuy82rnlWw5LTS1lMm/view?usp=drivesdk","4554_TAUFIK HIDAYAT _ SERTIFIKAT BerAKHLAK")</f>
        <v>4554_TAUFIK HIDAYAT _ SERTIFIKAT BerAKHLAK</v>
      </c>
      <c r="P4555" s="5" t="s">
        <v>30264</v>
      </c>
    </row>
    <row r="4556">
      <c r="A4556" s="4">
        <v>45534.35263542824</v>
      </c>
      <c r="B4556" s="5" t="s">
        <v>34</v>
      </c>
      <c r="D4556" s="5" t="s">
        <v>6232</v>
      </c>
      <c r="E4556" s="5" t="s">
        <v>30265</v>
      </c>
      <c r="F4556" s="5" t="s">
        <v>37</v>
      </c>
      <c r="G4556" s="5" t="s">
        <v>30266</v>
      </c>
      <c r="H4556" s="6" t="s">
        <v>30267</v>
      </c>
      <c r="K4556" s="5" t="s">
        <v>30252</v>
      </c>
      <c r="M4556" s="5" t="s">
        <v>30268</v>
      </c>
      <c r="N4556" s="7" t="s">
        <v>30269</v>
      </c>
      <c r="O4556" s="8" t="str">
        <f>HYPERLINK("https://drive.google.com/file/d/1yQRpwmQbE-KWphq4Ap7j3Og7zxZf-lQa/view?usp=drivesdk","4555_WIWIN WIDIASTUTI AM. KEP _ SERTIFIKAT BerAKHLAK")</f>
        <v>4555_WIWIN WIDIASTUTI AM. KEP _ SERTIFIKAT BerAKHLAK</v>
      </c>
      <c r="P4556" s="5" t="s">
        <v>30264</v>
      </c>
    </row>
    <row r="4557">
      <c r="A4557" s="4">
        <v>45534.352638854165</v>
      </c>
      <c r="B4557" s="5" t="s">
        <v>34</v>
      </c>
      <c r="D4557" s="5" t="s">
        <v>4775</v>
      </c>
      <c r="E4557" s="5" t="s">
        <v>30270</v>
      </c>
      <c r="F4557" s="5" t="s">
        <v>375</v>
      </c>
      <c r="G4557" s="5" t="s">
        <v>30271</v>
      </c>
      <c r="H4557" s="6" t="s">
        <v>30272</v>
      </c>
      <c r="K4557" s="5" t="s">
        <v>30252</v>
      </c>
      <c r="M4557" s="5" t="s">
        <v>30273</v>
      </c>
      <c r="N4557" s="7" t="s">
        <v>30274</v>
      </c>
      <c r="O4557" s="8" t="str">
        <f>HYPERLINK("https://drive.google.com/file/d/1yg4nMS-jfMYR0iLA5OO84MqB-CFD6OZW/view?usp=drivesdk","4556_ANDY BUDI PRAKOSO _ SERTIFIKAT BerAKHLAK")</f>
        <v>4556_ANDY BUDI PRAKOSO _ SERTIFIKAT BerAKHLAK</v>
      </c>
      <c r="P4557" s="5" t="s">
        <v>30264</v>
      </c>
    </row>
    <row r="4558">
      <c r="A4558" s="4">
        <v>45534.35264241898</v>
      </c>
      <c r="B4558" s="5" t="s">
        <v>34</v>
      </c>
      <c r="D4558" s="5" t="s">
        <v>4775</v>
      </c>
      <c r="E4558" s="5" t="s">
        <v>30275</v>
      </c>
      <c r="F4558" s="5" t="s">
        <v>212</v>
      </c>
      <c r="G4558" s="5" t="s">
        <v>30276</v>
      </c>
      <c r="H4558" s="6" t="s">
        <v>30277</v>
      </c>
      <c r="K4558" s="5" t="s">
        <v>30252</v>
      </c>
      <c r="M4558" s="5" t="s">
        <v>30278</v>
      </c>
      <c r="N4558" s="7" t="s">
        <v>30279</v>
      </c>
      <c r="O4558" s="8" t="str">
        <f>HYPERLINK("https://drive.google.com/file/d/1ibSy-VDgLk5h52gNV5SjWdWIP4-5RTc0/view?usp=drivesdk","4557_NURHIDAJATI _ SERTIFIKAT BerAKHLAK")</f>
        <v>4557_NURHIDAJATI _ SERTIFIKAT BerAKHLAK</v>
      </c>
      <c r="P4558" s="5" t="s">
        <v>30264</v>
      </c>
    </row>
    <row r="4559">
      <c r="A4559" s="4">
        <v>45534.35264300926</v>
      </c>
      <c r="B4559" s="5" t="s">
        <v>34</v>
      </c>
      <c r="D4559" s="5" t="s">
        <v>1558</v>
      </c>
      <c r="E4559" s="5" t="s">
        <v>30280</v>
      </c>
      <c r="F4559" s="5" t="s">
        <v>199</v>
      </c>
      <c r="G4559" s="5" t="s">
        <v>30281</v>
      </c>
      <c r="H4559" s="6" t="s">
        <v>30282</v>
      </c>
      <c r="K4559" s="5" t="s">
        <v>30252</v>
      </c>
      <c r="M4559" s="5" t="s">
        <v>30283</v>
      </c>
      <c r="N4559" s="7" t="s">
        <v>30284</v>
      </c>
      <c r="O4559" s="8" t="str">
        <f>HYPERLINK("https://drive.google.com/file/d/1z7KScLqD86tNz9v6CEgZtYPJnOXMEqFi/view?usp=drivesdk","4558_SEHONO _ SERTIFIKAT BerAKHLAK")</f>
        <v>4558_SEHONO _ SERTIFIKAT BerAKHLAK</v>
      </c>
      <c r="P4559" s="5" t="s">
        <v>30285</v>
      </c>
    </row>
    <row r="4560">
      <c r="A4560" s="4">
        <v>45534.35266552083</v>
      </c>
      <c r="B4560" s="5" t="s">
        <v>34</v>
      </c>
      <c r="D4560" s="5" t="s">
        <v>1206</v>
      </c>
      <c r="E4560" s="5" t="s">
        <v>30286</v>
      </c>
      <c r="F4560" s="5" t="s">
        <v>37</v>
      </c>
      <c r="G4560" s="5" t="s">
        <v>30287</v>
      </c>
      <c r="H4560" s="6" t="s">
        <v>30288</v>
      </c>
      <c r="I4560" s="7" t="s">
        <v>30289</v>
      </c>
      <c r="J4560" s="8" t="str">
        <f>HYPERLINK("https://drive.google.com/file/d/1GK6JERlD-1AyvXxAVRXX4BceuXDR4-Oy/view?usp=drivesdk","HARIYATI SERTIFIKAT BerAKHLAK")</f>
        <v>HARIYATI SERTIFIKAT BerAKHLAK</v>
      </c>
      <c r="K4560" s="5" t="s">
        <v>29695</v>
      </c>
      <c r="L4560" s="5" t="s">
        <v>30290</v>
      </c>
      <c r="M4560" s="5" t="s">
        <v>30291</v>
      </c>
      <c r="N4560" s="7" t="s">
        <v>30292</v>
      </c>
      <c r="O4560" s="8" t="str">
        <f>HYPERLINK("https://drive.google.com/file/d/1B0KYFlcJvwrXMFLOe70uhaWQsHOG-liR/view?usp=drivesdk","4559_HARIYATI _ SERTIFIKAT BerAKHLAK")</f>
        <v>4559_HARIYATI _ SERTIFIKAT BerAKHLAK</v>
      </c>
      <c r="P4560" s="5" t="s">
        <v>30285</v>
      </c>
    </row>
    <row r="4561">
      <c r="A4561" s="4">
        <v>45534.352667280094</v>
      </c>
      <c r="B4561" s="5" t="s">
        <v>34</v>
      </c>
      <c r="D4561" s="5" t="s">
        <v>1206</v>
      </c>
      <c r="E4561" s="5" t="s">
        <v>30293</v>
      </c>
      <c r="F4561" s="5" t="s">
        <v>212</v>
      </c>
      <c r="G4561" s="5" t="s">
        <v>30294</v>
      </c>
      <c r="H4561" s="6" t="s">
        <v>30295</v>
      </c>
      <c r="K4561" s="5" t="s">
        <v>30296</v>
      </c>
      <c r="M4561" s="5" t="s">
        <v>30297</v>
      </c>
      <c r="N4561" s="7" t="s">
        <v>30298</v>
      </c>
      <c r="O4561" s="8" t="str">
        <f>HYPERLINK("https://drive.google.com/file/d/1bIeZ6oqYz6StmvT0zuDlMb-TFp2J7OCD/view?usp=drivesdk","4560_NUR SHOLIHAH _ SERTIFIKAT BerAKHLAK")</f>
        <v>4560_NUR SHOLIHAH _ SERTIFIKAT BerAKHLAK</v>
      </c>
      <c r="P4561" s="5" t="s">
        <v>30285</v>
      </c>
    </row>
    <row r="4562">
      <c r="A4562" s="4">
        <v>45534.35267789352</v>
      </c>
      <c r="B4562" s="5" t="s">
        <v>34</v>
      </c>
      <c r="D4562" s="5" t="s">
        <v>12978</v>
      </c>
      <c r="E4562" s="5" t="s">
        <v>30299</v>
      </c>
      <c r="F4562" s="5" t="s">
        <v>524</v>
      </c>
      <c r="G4562" s="5" t="s">
        <v>30300</v>
      </c>
      <c r="H4562" s="6" t="s">
        <v>30301</v>
      </c>
      <c r="K4562" s="5" t="s">
        <v>30296</v>
      </c>
      <c r="M4562" s="5" t="s">
        <v>30302</v>
      </c>
      <c r="N4562" s="7" t="s">
        <v>30303</v>
      </c>
      <c r="O4562" s="8" t="str">
        <f>HYPERLINK("https://drive.google.com/file/d/1-qmIah39e-p-VitJe_Zwo22ULsWHnu_D/view?usp=drivesdk","4561_MULYADI  _ SERTIFIKAT BerAKHLAK")</f>
        <v>4561_MULYADI  _ SERTIFIKAT BerAKHLAK</v>
      </c>
      <c r="P4562" s="5" t="s">
        <v>30285</v>
      </c>
    </row>
    <row r="4563">
      <c r="A4563" s="4">
        <v>45534.35268019676</v>
      </c>
      <c r="B4563" s="5" t="s">
        <v>34</v>
      </c>
      <c r="D4563" s="5" t="s">
        <v>9394</v>
      </c>
      <c r="E4563" s="5" t="s">
        <v>30304</v>
      </c>
      <c r="F4563" s="5" t="s">
        <v>375</v>
      </c>
      <c r="G4563" s="5" t="s">
        <v>30305</v>
      </c>
      <c r="H4563" s="6" t="s">
        <v>30306</v>
      </c>
      <c r="K4563" s="5" t="s">
        <v>30296</v>
      </c>
      <c r="M4563" s="5" t="s">
        <v>30307</v>
      </c>
      <c r="N4563" s="7" t="s">
        <v>30308</v>
      </c>
      <c r="O4563" s="8" t="str">
        <f>HYPERLINK("https://drive.google.com/file/d/1YuHUjMHifApkUs8IMda905wHmJAdXgP4/view?usp=drivesdk","4562_ERNI YUSNITA, S.KOM., M.SI. _ SERTIFIKAT BerAKHLAK")</f>
        <v>4562_ERNI YUSNITA, S.KOM., M.SI. _ SERTIFIKAT BerAKHLAK</v>
      </c>
      <c r="P4563" s="5" t="s">
        <v>30285</v>
      </c>
    </row>
    <row r="4564">
      <c r="A4564" s="4">
        <v>45534.35268473379</v>
      </c>
      <c r="B4564" s="5" t="s">
        <v>34</v>
      </c>
      <c r="D4564" s="5" t="s">
        <v>1206</v>
      </c>
      <c r="E4564" s="5" t="s">
        <v>30309</v>
      </c>
      <c r="F4564" s="5" t="s">
        <v>120</v>
      </c>
      <c r="G4564" s="5" t="s">
        <v>30310</v>
      </c>
      <c r="H4564" s="6" t="s">
        <v>30311</v>
      </c>
      <c r="K4564" s="5" t="s">
        <v>30252</v>
      </c>
      <c r="M4564" s="5" t="s">
        <v>30312</v>
      </c>
      <c r="N4564" s="7" t="s">
        <v>30313</v>
      </c>
      <c r="O4564" s="8" t="str">
        <f>HYPERLINK("https://drive.google.com/file/d/1Ll1hninY4LameMCQ8Stn122Js_DDmkYl/view?usp=drivesdk","4563_Drg Ade Setyawan _ SERTIFIKAT BerAKHLAK")</f>
        <v>4563_Drg Ade Setyawan _ SERTIFIKAT BerAKHLAK</v>
      </c>
      <c r="P4564" s="5" t="s">
        <v>30314</v>
      </c>
    </row>
    <row r="4565">
      <c r="A4565" s="4">
        <v>45534.35268953704</v>
      </c>
      <c r="B4565" s="5" t="s">
        <v>34</v>
      </c>
      <c r="D4565" s="5" t="s">
        <v>12978</v>
      </c>
      <c r="E4565" s="5" t="s">
        <v>30315</v>
      </c>
      <c r="F4565" s="5" t="s">
        <v>524</v>
      </c>
      <c r="G4565" s="5" t="s">
        <v>30316</v>
      </c>
      <c r="H4565" s="6" t="s">
        <v>30317</v>
      </c>
      <c r="K4565" s="5" t="s">
        <v>30252</v>
      </c>
      <c r="M4565" s="5" t="s">
        <v>30318</v>
      </c>
      <c r="N4565" s="7" t="s">
        <v>30319</v>
      </c>
      <c r="O4565" s="8" t="str">
        <f>HYPERLINK("https://drive.google.com/file/d/1H8zj1RcCtyesNfBvTeEvueA4J8phQ_Kg/view?usp=drivesdk","4564_ELLY NOPRIANI _ SERTIFIKAT BerAKHLAK")</f>
        <v>4564_ELLY NOPRIANI _ SERTIFIKAT BerAKHLAK</v>
      </c>
      <c r="P4565" s="5" t="s">
        <v>30314</v>
      </c>
    </row>
    <row r="4566">
      <c r="A4566" s="4">
        <v>45534.35269487269</v>
      </c>
      <c r="B4566" s="5" t="s">
        <v>34</v>
      </c>
      <c r="D4566" s="5" t="s">
        <v>1558</v>
      </c>
      <c r="E4566" s="5" t="s">
        <v>30320</v>
      </c>
      <c r="F4566" s="5" t="s">
        <v>199</v>
      </c>
      <c r="G4566" s="5" t="s">
        <v>30321</v>
      </c>
      <c r="H4566" s="6" t="s">
        <v>30322</v>
      </c>
      <c r="I4566" s="7" t="s">
        <v>30323</v>
      </c>
      <c r="J4566" s="8" t="str">
        <f>HYPERLINK("https://drive.google.com/file/d/1qy8QFRYT-LF8oepfcMfFduudlwiprg3y/view?usp=drivesdk","MUHAMMAD SARTONO  SERTIFIKAT BerAKHLAK")</f>
        <v>MUHAMMAD SARTONO  SERTIFIKAT BerAKHLAK</v>
      </c>
      <c r="K4566" s="5" t="s">
        <v>29695</v>
      </c>
      <c r="L4566" s="5" t="s">
        <v>30324</v>
      </c>
      <c r="M4566" s="5" t="s">
        <v>30325</v>
      </c>
      <c r="N4566" s="7" t="s">
        <v>30326</v>
      </c>
      <c r="O4566" s="8" t="str">
        <f>HYPERLINK("https://drive.google.com/file/d/1SNr5EIvTviTASjhS20Rx1hmD5gwXEFE7/view?usp=drivesdk","4565_MUHAMMAD SARTONO  _ SERTIFIKAT BerAKHLAK")</f>
        <v>4565_MUHAMMAD SARTONO  _ SERTIFIKAT BerAKHLAK</v>
      </c>
      <c r="P4566" s="5" t="s">
        <v>30314</v>
      </c>
    </row>
    <row r="4567">
      <c r="A4567" s="4">
        <v>45534.35271248843</v>
      </c>
      <c r="B4567" s="5" t="s">
        <v>34</v>
      </c>
      <c r="D4567" s="5" t="s">
        <v>6232</v>
      </c>
      <c r="E4567" s="5" t="s">
        <v>30327</v>
      </c>
      <c r="F4567" s="5" t="s">
        <v>375</v>
      </c>
      <c r="G4567" s="5" t="s">
        <v>30328</v>
      </c>
      <c r="H4567" s="6" t="s">
        <v>30329</v>
      </c>
      <c r="I4567" s="7" t="s">
        <v>30330</v>
      </c>
      <c r="J4567" s="8" t="str">
        <f>HYPERLINK("https://drive.google.com/file/d/1kcfB-9w1vgRjokv0Vl4_6bqhWeD9gBrc/view?usp=drivesdk","RENTA ROIDA SIMANJUNTAK  SERTIFIKAT BerAKHLAK")</f>
        <v>RENTA ROIDA SIMANJUNTAK  SERTIFIKAT BerAKHLAK</v>
      </c>
      <c r="K4567" s="5" t="s">
        <v>29695</v>
      </c>
      <c r="L4567" s="5" t="s">
        <v>30331</v>
      </c>
      <c r="M4567" s="5" t="s">
        <v>30332</v>
      </c>
      <c r="N4567" s="7" t="s">
        <v>30333</v>
      </c>
      <c r="O4567" s="8" t="str">
        <f>HYPERLINK("https://drive.google.com/file/d/1CTwTDFiFfPn6av2K7t3kbpiH27aHdmLo/view?usp=drivesdk","4566_RENTA ROIDA SIMANJUNTAK  _ SERTIFIKAT BerAKHLAK")</f>
        <v>4566_RENTA ROIDA SIMANJUNTAK  _ SERTIFIKAT BerAKHLAK</v>
      </c>
      <c r="P4567" s="5" t="s">
        <v>30314</v>
      </c>
    </row>
    <row r="4568">
      <c r="A4568" s="4">
        <v>45534.35271546296</v>
      </c>
      <c r="B4568" s="5" t="s">
        <v>34</v>
      </c>
      <c r="D4568" s="5" t="s">
        <v>1768</v>
      </c>
      <c r="E4568" s="5" t="s">
        <v>30334</v>
      </c>
      <c r="F4568" s="5" t="s">
        <v>22</v>
      </c>
      <c r="G4568" s="5" t="s">
        <v>30335</v>
      </c>
      <c r="H4568" s="6" t="s">
        <v>30336</v>
      </c>
      <c r="K4568" s="5" t="s">
        <v>30337</v>
      </c>
      <c r="M4568" s="5" t="s">
        <v>30338</v>
      </c>
      <c r="N4568" s="7" t="s">
        <v>30339</v>
      </c>
      <c r="O4568" s="8" t="str">
        <f>HYPERLINK("https://drive.google.com/file/d/1GE5pdQvfHeuETVzcNqdTRmDO4WDjxNIO/view?usp=drivesdk","4567_SETUR, S.H. _ SERTIFIKAT BerAKHLAK")</f>
        <v>4567_SETUR, S.H. _ SERTIFIKAT BerAKHLAK</v>
      </c>
      <c r="P4568" s="5" t="s">
        <v>30314</v>
      </c>
    </row>
    <row r="4569">
      <c r="A4569" s="4">
        <v>45534.35271545139</v>
      </c>
      <c r="B4569" s="5" t="s">
        <v>34</v>
      </c>
      <c r="D4569" s="5" t="s">
        <v>35</v>
      </c>
      <c r="E4569" s="5" t="s">
        <v>2413</v>
      </c>
      <c r="F4569" s="5" t="s">
        <v>37</v>
      </c>
      <c r="G4569" s="5" t="s">
        <v>2414</v>
      </c>
      <c r="H4569" s="6" t="s">
        <v>30340</v>
      </c>
      <c r="K4569" s="5" t="s">
        <v>30337</v>
      </c>
      <c r="M4569" s="5" t="s">
        <v>30341</v>
      </c>
      <c r="N4569" s="7" t="s">
        <v>30342</v>
      </c>
      <c r="O4569" s="8" t="str">
        <f>HYPERLINK("https://drive.google.com/file/d/10if3syNA0E07URcX3tOaZGWwv6tF-r8w/view?usp=drivesdk","4568_OFIK TAUFIKUROCHMAN _ SERTIFIKAT BerAKHLAK")</f>
        <v>4568_OFIK TAUFIKUROCHMAN _ SERTIFIKAT BerAKHLAK</v>
      </c>
      <c r="P4569" s="5" t="s">
        <v>30343</v>
      </c>
    </row>
    <row r="4570">
      <c r="A4570" s="4">
        <v>45534.35271972222</v>
      </c>
      <c r="B4570" s="5" t="s">
        <v>34</v>
      </c>
      <c r="D4570" s="5" t="s">
        <v>1206</v>
      </c>
      <c r="E4570" s="5" t="s">
        <v>30344</v>
      </c>
      <c r="F4570" s="5" t="s">
        <v>108</v>
      </c>
      <c r="G4570" s="5" t="s">
        <v>30345</v>
      </c>
      <c r="H4570" s="6" t="s">
        <v>30346</v>
      </c>
      <c r="K4570" s="5" t="s">
        <v>30337</v>
      </c>
      <c r="M4570" s="5" t="s">
        <v>30347</v>
      </c>
      <c r="N4570" s="7" t="s">
        <v>30348</v>
      </c>
      <c r="O4570" s="8" t="str">
        <f>HYPERLINK("https://drive.google.com/file/d/1EIqjKk4gdFBh18YkRZ4sMYOkkoxAyRfb/view?usp=drivesdk","4569_dr. FANNY APRILIA SAVITRI _ SERTIFIKAT BerAKHLAK")</f>
        <v>4569_dr. FANNY APRILIA SAVITRI _ SERTIFIKAT BerAKHLAK</v>
      </c>
      <c r="P4570" s="5" t="s">
        <v>30343</v>
      </c>
    </row>
    <row r="4571">
      <c r="A4571" s="4">
        <v>45534.352732893516</v>
      </c>
      <c r="B4571" s="5" t="s">
        <v>34</v>
      </c>
      <c r="D4571" s="5" t="s">
        <v>9020</v>
      </c>
      <c r="E4571" s="5" t="s">
        <v>30349</v>
      </c>
      <c r="F4571" s="5" t="s">
        <v>212</v>
      </c>
      <c r="G4571" s="5" t="s">
        <v>30350</v>
      </c>
      <c r="H4571" s="6" t="s">
        <v>30351</v>
      </c>
      <c r="K4571" s="5" t="s">
        <v>30337</v>
      </c>
      <c r="M4571" s="5" t="s">
        <v>30352</v>
      </c>
      <c r="N4571" s="7" t="s">
        <v>30353</v>
      </c>
      <c r="O4571" s="8" t="str">
        <f>HYPERLINK("https://drive.google.com/file/d/1DFCf1j6MDfVoN7s1K4y5RFuISbYlZMvD/view?usp=drivesdk","4570_SRIYATI  _ SERTIFIKAT BerAKHLAK")</f>
        <v>4570_SRIYATI  _ SERTIFIKAT BerAKHLAK</v>
      </c>
      <c r="P4571" s="5" t="s">
        <v>30343</v>
      </c>
    </row>
    <row r="4572">
      <c r="A4572" s="4">
        <v>45534.35273701389</v>
      </c>
      <c r="B4572" s="5" t="s">
        <v>34</v>
      </c>
      <c r="D4572" s="5" t="s">
        <v>12010</v>
      </c>
      <c r="E4572" s="5" t="s">
        <v>30354</v>
      </c>
      <c r="F4572" s="5" t="s">
        <v>37</v>
      </c>
      <c r="G4572" s="5" t="s">
        <v>30355</v>
      </c>
      <c r="H4572" s="6" t="s">
        <v>30356</v>
      </c>
      <c r="I4572" s="7" t="s">
        <v>30357</v>
      </c>
      <c r="J4572" s="8" t="str">
        <f>HYPERLINK("https://drive.google.com/file/d/10K20Ht5LJQULpCaJhJDHK4wZcPIvlmTC/view?usp=drivesdk","FAHRIYADI PURNAMA THAIB, A.MD.KOM SERTIFIKAT BerAKHLAK")</f>
        <v>FAHRIYADI PURNAMA THAIB, A.MD.KOM SERTIFIKAT BerAKHLAK</v>
      </c>
      <c r="K4572" s="5" t="s">
        <v>29695</v>
      </c>
      <c r="L4572" s="5" t="s">
        <v>30358</v>
      </c>
      <c r="M4572" s="5" t="s">
        <v>30359</v>
      </c>
      <c r="N4572" s="7" t="s">
        <v>30360</v>
      </c>
      <c r="O4572" s="8" t="str">
        <f>HYPERLINK("https://drive.google.com/file/d/1NDfDq0yIKIS4rpAqJ5Y6Pq5EwGHh9nyU/view?usp=drivesdk","4571_FAHRIYADI PURNAMA THAIB, A.MD.KOM _ SERTIFIKAT BerAKHLAK")</f>
        <v>4571_FAHRIYADI PURNAMA THAIB, A.MD.KOM _ SERTIFIKAT BerAKHLAK</v>
      </c>
      <c r="P4572" s="5" t="s">
        <v>30240</v>
      </c>
    </row>
    <row r="4573">
      <c r="A4573" s="4">
        <v>45534.35273784722</v>
      </c>
      <c r="B4573" s="5" t="s">
        <v>34</v>
      </c>
      <c r="D4573" s="5" t="s">
        <v>1206</v>
      </c>
      <c r="E4573" s="5" t="s">
        <v>30361</v>
      </c>
      <c r="F4573" s="5" t="s">
        <v>37</v>
      </c>
      <c r="G4573" s="5" t="s">
        <v>30362</v>
      </c>
      <c r="H4573" s="6" t="s">
        <v>30363</v>
      </c>
      <c r="I4573" s="7" t="s">
        <v>30364</v>
      </c>
      <c r="J4573" s="8" t="str">
        <f>HYPERLINK("https://drive.google.com/file/d/1cmQiOinxnjcuJTWzeG40lOT0f2Qt5Owx/view?usp=drivesdk","MISAN BIN NYARMAN SERTIFIKAT BerAKHLAK")</f>
        <v>MISAN BIN NYARMAN SERTIFIKAT BerAKHLAK</v>
      </c>
      <c r="K4573" s="5" t="s">
        <v>29695</v>
      </c>
      <c r="L4573" s="5" t="s">
        <v>30365</v>
      </c>
      <c r="M4573" s="5" t="s">
        <v>30366</v>
      </c>
      <c r="N4573" s="7" t="s">
        <v>30367</v>
      </c>
      <c r="O4573" s="8" t="str">
        <f>HYPERLINK("https://drive.google.com/file/d/1FsASmh15_rc1Uc6i9fQDvLxAmzNfBapE/view?usp=drivesdk","4572_MISAN BIN NYARMAN _ SERTIFIKAT BerAKHLAK")</f>
        <v>4572_MISAN BIN NYARMAN _ SERTIFIKAT BerAKHLAK</v>
      </c>
      <c r="P4573" s="5" t="s">
        <v>30240</v>
      </c>
    </row>
    <row r="4574">
      <c r="A4574" s="4">
        <v>45534.35274306713</v>
      </c>
      <c r="B4574" s="5" t="s">
        <v>34</v>
      </c>
      <c r="D4574" s="5" t="s">
        <v>1206</v>
      </c>
      <c r="E4574" s="5" t="s">
        <v>30368</v>
      </c>
      <c r="F4574" s="5" t="s">
        <v>212</v>
      </c>
      <c r="G4574" s="5" t="s">
        <v>30369</v>
      </c>
      <c r="H4574" s="6" t="s">
        <v>30370</v>
      </c>
      <c r="I4574" s="7" t="s">
        <v>30371</v>
      </c>
      <c r="J4574" s="8" t="str">
        <f>HYPERLINK("https://drive.google.com/file/d/1F07Tp5uq5Dfcy3jA_IS7CtunfgzRRebH/view?usp=drivesdk","MARLIN EKO ARIFIANTO SERTIFIKAT BerAKHLAK")</f>
        <v>MARLIN EKO ARIFIANTO SERTIFIKAT BerAKHLAK</v>
      </c>
      <c r="K4574" s="5" t="s">
        <v>29717</v>
      </c>
      <c r="L4574" s="5" t="s">
        <v>30372</v>
      </c>
      <c r="M4574" s="5" t="s">
        <v>30373</v>
      </c>
      <c r="N4574" s="7" t="s">
        <v>30374</v>
      </c>
      <c r="O4574" s="8" t="str">
        <f>HYPERLINK("https://drive.google.com/file/d/1LEFuz74L2p1ePwzvoRP6wRr_e0zMX0d6/view?usp=drivesdk","4573_MARLIN EKO ARIFIANTO _ SERTIFIKAT BerAKHLAK")</f>
        <v>4573_MARLIN EKO ARIFIANTO _ SERTIFIKAT BerAKHLAK</v>
      </c>
      <c r="P4574" s="5" t="s">
        <v>30240</v>
      </c>
    </row>
    <row r="4575">
      <c r="A4575" s="4">
        <v>45534.35274405092</v>
      </c>
      <c r="B4575" s="5" t="s">
        <v>34</v>
      </c>
      <c r="D4575" s="5" t="s">
        <v>1206</v>
      </c>
      <c r="E4575" s="5" t="s">
        <v>30375</v>
      </c>
      <c r="F4575" s="5" t="s">
        <v>212</v>
      </c>
      <c r="G4575" s="5" t="s">
        <v>30376</v>
      </c>
      <c r="H4575" s="6" t="s">
        <v>30377</v>
      </c>
      <c r="I4575" s="7" t="s">
        <v>30378</v>
      </c>
      <c r="J4575" s="8" t="str">
        <f>HYPERLINK("https://drive.google.com/file/d/12Xz5fNfaD5hrM7fvz3SbjSJPFxVr_OsZ/view?usp=drivesdk","KISWANTO SERTIFIKAT BerAKHLAK")</f>
        <v>KISWANTO SERTIFIKAT BerAKHLAK</v>
      </c>
      <c r="K4575" s="5" t="s">
        <v>29717</v>
      </c>
      <c r="L4575" s="5" t="s">
        <v>30379</v>
      </c>
      <c r="M4575" s="5" t="s">
        <v>30380</v>
      </c>
      <c r="N4575" s="7" t="s">
        <v>30381</v>
      </c>
      <c r="O4575" s="8" t="str">
        <f>HYPERLINK("https://drive.google.com/file/d/1aN1aprEZ5VV1qDLuqAprq5TVygkSDX-1/view?usp=drivesdk","4574_KISWANTO _ SERTIFIKAT BerAKHLAK")</f>
        <v>4574_KISWANTO _ SERTIFIKAT BerAKHLAK</v>
      </c>
      <c r="P4575" s="5" t="s">
        <v>30240</v>
      </c>
    </row>
    <row r="4576">
      <c r="A4576" s="4">
        <v>45534.3527441551</v>
      </c>
      <c r="B4576" s="5" t="s">
        <v>34</v>
      </c>
      <c r="D4576" s="5" t="s">
        <v>701</v>
      </c>
      <c r="E4576" s="5" t="s">
        <v>30382</v>
      </c>
      <c r="F4576" s="5" t="s">
        <v>212</v>
      </c>
      <c r="G4576" s="5" t="s">
        <v>30383</v>
      </c>
      <c r="H4576" s="6" t="s">
        <v>30384</v>
      </c>
      <c r="I4576" s="7" t="s">
        <v>30385</v>
      </c>
      <c r="J4576" s="8" t="str">
        <f>HYPERLINK("https://drive.google.com/file/d/1XVm6O79wvP37Bifs6GbJGLM2UAXCxNWf/view?usp=drivesdk","MASDIATI SERTIFIKAT BerAKHLAK")</f>
        <v>MASDIATI SERTIFIKAT BerAKHLAK</v>
      </c>
      <c r="K4576" s="5" t="s">
        <v>29717</v>
      </c>
      <c r="L4576" s="5" t="s">
        <v>30386</v>
      </c>
      <c r="M4576" s="5" t="s">
        <v>30387</v>
      </c>
      <c r="N4576" s="7" t="s">
        <v>30388</v>
      </c>
      <c r="O4576" s="8" t="str">
        <f>HYPERLINK("https://drive.google.com/file/d/18kXNbzP5iUn6I9ZwuvhwrMnatZXXGfB4/view?usp=drivesdk","4575_MASDIATI _ SERTIFIKAT BerAKHLAK")</f>
        <v>4575_MASDIATI _ SERTIFIKAT BerAKHLAK</v>
      </c>
      <c r="P4576" s="5" t="s">
        <v>30389</v>
      </c>
    </row>
    <row r="4577">
      <c r="A4577" s="4">
        <v>45534.35275306713</v>
      </c>
      <c r="B4577" s="5" t="s">
        <v>34</v>
      </c>
      <c r="D4577" s="5" t="s">
        <v>35</v>
      </c>
      <c r="E4577" s="5" t="s">
        <v>30390</v>
      </c>
      <c r="F4577" s="5" t="s">
        <v>375</v>
      </c>
      <c r="G4577" s="5" t="s">
        <v>30391</v>
      </c>
      <c r="H4577" s="6" t="s">
        <v>30392</v>
      </c>
      <c r="K4577" s="5" t="s">
        <v>30393</v>
      </c>
      <c r="M4577" s="5" t="s">
        <v>30394</v>
      </c>
      <c r="N4577" s="7" t="s">
        <v>30395</v>
      </c>
      <c r="O4577" s="8" t="str">
        <f>HYPERLINK("https://drive.google.com/file/d/18G5yv0uRQzKFLiADPedoRGn023f3SWYc/view?usp=drivesdk","4576_SELPIA NURHAYATI, S.Si. _ SERTIFIKAT BerAKHLAK")</f>
        <v>4576_SELPIA NURHAYATI, S.Si. _ SERTIFIKAT BerAKHLAK</v>
      </c>
      <c r="P4577" s="5" t="s">
        <v>30389</v>
      </c>
    </row>
    <row r="4578">
      <c r="A4578" s="4">
        <v>45534.352753784726</v>
      </c>
      <c r="B4578" s="5" t="s">
        <v>34</v>
      </c>
      <c r="D4578" s="5" t="s">
        <v>1558</v>
      </c>
      <c r="E4578" s="5" t="s">
        <v>30396</v>
      </c>
      <c r="F4578" s="5" t="s">
        <v>108</v>
      </c>
      <c r="G4578" s="5" t="s">
        <v>30397</v>
      </c>
      <c r="H4578" s="6" t="s">
        <v>30398</v>
      </c>
      <c r="K4578" s="5" t="s">
        <v>30393</v>
      </c>
      <c r="M4578" s="5" t="s">
        <v>30399</v>
      </c>
      <c r="N4578" s="7" t="s">
        <v>30400</v>
      </c>
      <c r="O4578" s="8" t="str">
        <f>HYPERLINK("https://drive.google.com/file/d/1KIJ7wJLerddx3Lo15x1fqF9bL8msC5zf/view?usp=drivesdk","4577_MOHAMAD TAUFIK _ SERTIFIKAT BerAKHLAK")</f>
        <v>4577_MOHAMAD TAUFIK _ SERTIFIKAT BerAKHLAK</v>
      </c>
      <c r="P4578" s="5" t="s">
        <v>30389</v>
      </c>
    </row>
    <row r="4579">
      <c r="A4579" s="4">
        <v>45534.35276165509</v>
      </c>
      <c r="B4579" s="5" t="s">
        <v>34</v>
      </c>
      <c r="D4579" s="5" t="s">
        <v>9020</v>
      </c>
      <c r="E4579" s="5" t="s">
        <v>30401</v>
      </c>
      <c r="F4579" s="5" t="s">
        <v>212</v>
      </c>
      <c r="G4579" s="5" t="s">
        <v>30402</v>
      </c>
      <c r="H4579" s="6" t="s">
        <v>30403</v>
      </c>
      <c r="K4579" s="5" t="s">
        <v>30393</v>
      </c>
      <c r="M4579" s="5" t="s">
        <v>30404</v>
      </c>
      <c r="N4579" s="7" t="s">
        <v>30405</v>
      </c>
      <c r="O4579" s="8" t="str">
        <f>HYPERLINK("https://drive.google.com/file/d/1SvxCckOtKw1bj8KU9Rjr_avn9uIXiLIM/view?usp=drivesdk","4578_VIVI SUMANTI _ SERTIFIKAT BerAKHLAK")</f>
        <v>4578_VIVI SUMANTI _ SERTIFIKAT BerAKHLAK</v>
      </c>
      <c r="P4579" s="5" t="s">
        <v>30389</v>
      </c>
    </row>
    <row r="4580">
      <c r="A4580" s="4">
        <v>45534.35276253472</v>
      </c>
      <c r="B4580" s="5" t="s">
        <v>34</v>
      </c>
      <c r="D4580" s="5" t="s">
        <v>6232</v>
      </c>
      <c r="E4580" s="5" t="s">
        <v>30406</v>
      </c>
      <c r="F4580" s="5" t="s">
        <v>108</v>
      </c>
      <c r="G4580" s="5" t="s">
        <v>30407</v>
      </c>
      <c r="H4580" s="6" t="s">
        <v>30408</v>
      </c>
      <c r="K4580" s="5" t="s">
        <v>30393</v>
      </c>
      <c r="M4580" s="5" t="s">
        <v>30409</v>
      </c>
      <c r="N4580" s="7" t="s">
        <v>30410</v>
      </c>
      <c r="O4580" s="8" t="str">
        <f>HYPERLINK("https://drive.google.com/file/d/1m0kgUaaqSdeo4LSgHVDr8KHMf17-tuvb/view?usp=drivesdk","4579_Ns. NOVITA EKA PUTRI, S.Kep _ SERTIFIKAT BerAKHLAK")</f>
        <v>4579_Ns. NOVITA EKA PUTRI, S.Kep _ SERTIFIKAT BerAKHLAK</v>
      </c>
      <c r="P4580" s="5" t="s">
        <v>30389</v>
      </c>
    </row>
    <row r="4581">
      <c r="A4581" s="4">
        <v>45534.352774756946</v>
      </c>
      <c r="B4581" s="5" t="s">
        <v>34</v>
      </c>
      <c r="D4581" s="5" t="s">
        <v>1206</v>
      </c>
      <c r="E4581" s="5" t="s">
        <v>30411</v>
      </c>
      <c r="F4581" s="5" t="s">
        <v>37</v>
      </c>
      <c r="G4581" s="5" t="s">
        <v>30412</v>
      </c>
      <c r="H4581" s="6" t="s">
        <v>30413</v>
      </c>
      <c r="K4581" s="5" t="s">
        <v>30393</v>
      </c>
      <c r="M4581" s="5" t="s">
        <v>30414</v>
      </c>
      <c r="N4581" s="7" t="s">
        <v>30415</v>
      </c>
      <c r="O4581" s="8" t="str">
        <f>HYPERLINK("https://drive.google.com/file/d/1nJs_Z3qr0B1Wvu-PnOVHc_uEUebDCXwa/view?usp=drivesdk","4580_MUNIR MUSTHOFA _ SERTIFIKAT BerAKHLAK")</f>
        <v>4580_MUNIR MUSTHOFA _ SERTIFIKAT BerAKHLAK</v>
      </c>
      <c r="P4581" s="5" t="s">
        <v>30416</v>
      </c>
    </row>
    <row r="4582">
      <c r="A4582" s="4">
        <v>45534.35277883102</v>
      </c>
      <c r="B4582" s="5" t="s">
        <v>34</v>
      </c>
      <c r="D4582" s="5" t="s">
        <v>4775</v>
      </c>
      <c r="E4582" s="5" t="s">
        <v>30417</v>
      </c>
      <c r="F4582" s="5" t="s">
        <v>120</v>
      </c>
      <c r="G4582" s="5" t="s">
        <v>30418</v>
      </c>
      <c r="H4582" s="6" t="s">
        <v>30419</v>
      </c>
      <c r="K4582" s="5" t="s">
        <v>30393</v>
      </c>
      <c r="M4582" s="5" t="s">
        <v>30420</v>
      </c>
      <c r="N4582" s="7" t="s">
        <v>30421</v>
      </c>
      <c r="O4582" s="8" t="str">
        <f>HYPERLINK("https://drive.google.com/file/d/13-qoTabEYg8HYgOQEwBB91E0CrHKeF1Y/view?usp=drivesdk","4581_Dr. CIPTO WALUYO _ SERTIFIKAT BerAKHLAK")</f>
        <v>4581_Dr. CIPTO WALUYO _ SERTIFIKAT BerAKHLAK</v>
      </c>
      <c r="P4582" s="5" t="s">
        <v>30416</v>
      </c>
    </row>
    <row r="4583">
      <c r="A4583" s="4">
        <v>45534.3527824537</v>
      </c>
      <c r="B4583" s="5" t="s">
        <v>34</v>
      </c>
      <c r="D4583" s="5" t="s">
        <v>1206</v>
      </c>
      <c r="E4583" s="5" t="s">
        <v>30422</v>
      </c>
      <c r="F4583" s="5" t="s">
        <v>375</v>
      </c>
      <c r="G4583" s="5" t="s">
        <v>30423</v>
      </c>
      <c r="H4583" s="6" t="s">
        <v>30424</v>
      </c>
      <c r="K4583" s="5" t="s">
        <v>30393</v>
      </c>
      <c r="M4583" s="5" t="s">
        <v>30425</v>
      </c>
      <c r="N4583" s="7" t="s">
        <v>30426</v>
      </c>
      <c r="O4583" s="8" t="str">
        <f>HYPERLINK("https://drive.google.com/file/d/1p67dhVzZXNZCOErrOkaxN2VksLKjycRq/view?usp=drivesdk","4582_NANANG HARIYANA, S.E. _ SERTIFIKAT BerAKHLAK")</f>
        <v>4582_NANANG HARIYANA, S.E. _ SERTIFIKAT BerAKHLAK</v>
      </c>
      <c r="P4583" s="5" t="s">
        <v>30416</v>
      </c>
    </row>
    <row r="4584">
      <c r="A4584" s="4">
        <v>45534.35279106481</v>
      </c>
      <c r="B4584" s="5" t="s">
        <v>34</v>
      </c>
      <c r="D4584" s="5" t="s">
        <v>35</v>
      </c>
      <c r="E4584" s="5" t="s">
        <v>30427</v>
      </c>
      <c r="F4584" s="5" t="s">
        <v>524</v>
      </c>
      <c r="G4584" s="5" t="s">
        <v>30428</v>
      </c>
      <c r="H4584" s="6" t="s">
        <v>30429</v>
      </c>
      <c r="K4584" s="5" t="s">
        <v>30393</v>
      </c>
      <c r="M4584" s="5" t="s">
        <v>30430</v>
      </c>
      <c r="N4584" s="7" t="s">
        <v>30431</v>
      </c>
      <c r="O4584" s="8" t="str">
        <f>HYPERLINK("https://drive.google.com/file/d/1lJj-68FvOL_GNyFPBEIReDBoA7LJPeeN/view?usp=drivesdk","4583_ASEP SUTEJA _ SERTIFIKAT BerAKHLAK")</f>
        <v>4583_ASEP SUTEJA _ SERTIFIKAT BerAKHLAK</v>
      </c>
      <c r="P4584" s="5" t="s">
        <v>30416</v>
      </c>
    </row>
    <row r="4585">
      <c r="A4585" s="4">
        <v>45534.352809375</v>
      </c>
      <c r="B4585" s="5" t="s">
        <v>34</v>
      </c>
      <c r="D4585" s="5" t="s">
        <v>1206</v>
      </c>
      <c r="E4585" s="5" t="s">
        <v>30432</v>
      </c>
      <c r="F4585" s="5" t="s">
        <v>120</v>
      </c>
      <c r="G4585" s="5" t="s">
        <v>30433</v>
      </c>
      <c r="H4585" s="6" t="s">
        <v>30434</v>
      </c>
      <c r="I4585" s="7" t="s">
        <v>30435</v>
      </c>
      <c r="J4585" s="8" t="str">
        <f>HYPERLINK("https://drive.google.com/file/d/18QEU0KXihry-mMWsE12JsrOg7kcIbSU-/view?usp=drivesdk","ANIKA VIDIANA, S.E., M.M. SERTIFIKAT BerAKHLAK")</f>
        <v>ANIKA VIDIANA, S.E., M.M. SERTIFIKAT BerAKHLAK</v>
      </c>
      <c r="K4585" s="5" t="s">
        <v>29695</v>
      </c>
      <c r="L4585" s="5" t="s">
        <v>30436</v>
      </c>
      <c r="M4585" s="5" t="s">
        <v>30437</v>
      </c>
      <c r="N4585" s="7" t="s">
        <v>30438</v>
      </c>
      <c r="O4585" s="8" t="str">
        <f>HYPERLINK("https://drive.google.com/file/d/1QOtgB1hOpVI7F5xg07Vz87_BcQy6glmF/view?usp=drivesdk","4584_ANIKA VIDIANA, S.E., M.M. _ SERTIFIKAT BerAKHLAK")</f>
        <v>4584_ANIKA VIDIANA, S.E., M.M. _ SERTIFIKAT BerAKHLAK</v>
      </c>
      <c r="P4585" s="5" t="s">
        <v>30416</v>
      </c>
    </row>
    <row r="4586">
      <c r="A4586" s="4">
        <v>45534.3528159375</v>
      </c>
      <c r="B4586" s="5" t="s">
        <v>34</v>
      </c>
      <c r="D4586" s="5" t="s">
        <v>9020</v>
      </c>
      <c r="E4586" s="5" t="s">
        <v>30439</v>
      </c>
      <c r="F4586" s="5" t="s">
        <v>37</v>
      </c>
      <c r="G4586" s="5" t="s">
        <v>30440</v>
      </c>
      <c r="H4586" s="6" t="s">
        <v>30441</v>
      </c>
      <c r="K4586" s="5" t="s">
        <v>30442</v>
      </c>
      <c r="M4586" s="5" t="s">
        <v>30443</v>
      </c>
      <c r="N4586" s="7" t="s">
        <v>30444</v>
      </c>
      <c r="O4586" s="8" t="str">
        <f>HYPERLINK("https://drive.google.com/file/d/15cqFmeEX_Byi_QZ_SZLt9HTAgTaAg3Vp/view?usp=drivesdk","4585_JUNITA VIVIANTY PANJAITAN _ SERTIFIKAT BerAKHLAK")</f>
        <v>4585_JUNITA VIVIANTY PANJAITAN _ SERTIFIKAT BerAKHLAK</v>
      </c>
      <c r="P4586" s="5" t="s">
        <v>30445</v>
      </c>
    </row>
    <row r="4587">
      <c r="A4587" s="4">
        <v>45534.35282748843</v>
      </c>
      <c r="B4587" s="5" t="s">
        <v>34</v>
      </c>
      <c r="D4587" s="5" t="s">
        <v>1558</v>
      </c>
      <c r="E4587" s="5" t="s">
        <v>30446</v>
      </c>
      <c r="F4587" s="5" t="s">
        <v>212</v>
      </c>
      <c r="G4587" s="5" t="s">
        <v>30447</v>
      </c>
      <c r="H4587" s="6" t="s">
        <v>30448</v>
      </c>
      <c r="K4587" s="5" t="s">
        <v>30442</v>
      </c>
      <c r="M4587" s="5" t="s">
        <v>30449</v>
      </c>
      <c r="N4587" s="7" t="s">
        <v>30450</v>
      </c>
      <c r="O4587" s="8" t="str">
        <f>HYPERLINK("https://drive.google.com/file/d/1VYWJeVgQcBczUfaIoahZBqrG-oQw-_nQ/view?usp=drivesdk","4586_SUTIRAH _ SERTIFIKAT BerAKHLAK")</f>
        <v>4586_SUTIRAH _ SERTIFIKAT BerAKHLAK</v>
      </c>
      <c r="P4587" s="5" t="s">
        <v>30445</v>
      </c>
    </row>
    <row r="4588" hidden="1">
      <c r="A4588" s="4">
        <v>45534.35282813657</v>
      </c>
      <c r="B4588" s="5" t="s">
        <v>19</v>
      </c>
      <c r="C4588" s="5" t="s">
        <v>3301</v>
      </c>
      <c r="E4588" s="5" t="s">
        <v>30451</v>
      </c>
      <c r="F4588" s="5" t="s">
        <v>524</v>
      </c>
      <c r="G4588" s="5" t="s">
        <v>30452</v>
      </c>
      <c r="H4588" s="6" t="s">
        <v>30453</v>
      </c>
      <c r="K4588" s="5" t="s">
        <v>30442</v>
      </c>
      <c r="M4588" s="5" t="s">
        <v>30454</v>
      </c>
      <c r="N4588" s="7" t="s">
        <v>30455</v>
      </c>
      <c r="O4588" s="8" t="str">
        <f>HYPERLINK("https://drive.google.com/file/d/1xv_bjTRk6hA6hhY0mKQ5wxpNZmBPf6Sd/view?usp=drivesdk","4587_Yuvindra Yasodhara, S.Si. _ SERTIFIKAT BerAKHLAK")</f>
        <v>4587_Yuvindra Yasodhara, S.Si. _ SERTIFIKAT BerAKHLAK</v>
      </c>
      <c r="P4588" s="5" t="s">
        <v>30445</v>
      </c>
    </row>
    <row r="4589">
      <c r="A4589" s="4">
        <v>45534.35282871527</v>
      </c>
      <c r="B4589" s="5" t="s">
        <v>34</v>
      </c>
      <c r="D4589" s="5" t="s">
        <v>9394</v>
      </c>
      <c r="E4589" s="5" t="s">
        <v>30456</v>
      </c>
      <c r="F4589" s="5" t="s">
        <v>37</v>
      </c>
      <c r="G4589" s="5" t="s">
        <v>30457</v>
      </c>
      <c r="H4589" s="6" t="s">
        <v>30458</v>
      </c>
      <c r="K4589" s="5" t="s">
        <v>30442</v>
      </c>
      <c r="M4589" s="5" t="s">
        <v>30459</v>
      </c>
      <c r="N4589" s="7" t="s">
        <v>30460</v>
      </c>
      <c r="O4589" s="8" t="str">
        <f>HYPERLINK("https://drive.google.com/file/d/1-SM3zoMgpsvi8HCpbHVco6zizt3FvMmX/view?usp=drivesdk","4588_FARIDA _ SERTIFIKAT BerAKHLAK")</f>
        <v>4588_FARIDA _ SERTIFIKAT BerAKHLAK</v>
      </c>
      <c r="P4589" s="5" t="s">
        <v>30445</v>
      </c>
    </row>
    <row r="4590" hidden="1">
      <c r="A4590" s="4">
        <v>45534.352832986115</v>
      </c>
      <c r="B4590" s="5" t="s">
        <v>19</v>
      </c>
      <c r="C4590" s="5" t="s">
        <v>1606</v>
      </c>
      <c r="E4590" s="5" t="s">
        <v>15628</v>
      </c>
      <c r="F4590" s="5" t="s">
        <v>375</v>
      </c>
      <c r="G4590" s="5" t="s">
        <v>30461</v>
      </c>
      <c r="H4590" s="6" t="s">
        <v>30462</v>
      </c>
      <c r="K4590" s="5" t="s">
        <v>30442</v>
      </c>
      <c r="M4590" s="5" t="s">
        <v>30463</v>
      </c>
      <c r="N4590" s="7" t="s">
        <v>30464</v>
      </c>
      <c r="O4590" s="8" t="str">
        <f>HYPERLINK("https://drive.google.com/file/d/19YraOCPlknHB4T1Ap0Tv-cNvfdcyDdWK/view?usp=drivesdk","4589_NURAINI _ SERTIFIKAT BerAKHLAK")</f>
        <v>4589_NURAINI _ SERTIFIKAT BerAKHLAK</v>
      </c>
      <c r="P4590" s="5" t="s">
        <v>30465</v>
      </c>
    </row>
    <row r="4591">
      <c r="A4591" s="4">
        <v>45534.352834652775</v>
      </c>
      <c r="B4591" s="5" t="s">
        <v>34</v>
      </c>
      <c r="D4591" s="5" t="s">
        <v>35</v>
      </c>
      <c r="E4591" s="5" t="s">
        <v>30466</v>
      </c>
      <c r="F4591" s="5" t="s">
        <v>37</v>
      </c>
      <c r="G4591" s="5" t="s">
        <v>30467</v>
      </c>
      <c r="H4591" s="6" t="s">
        <v>30468</v>
      </c>
      <c r="K4591" s="5" t="s">
        <v>30442</v>
      </c>
      <c r="M4591" s="5" t="s">
        <v>30469</v>
      </c>
      <c r="N4591" s="7" t="s">
        <v>30470</v>
      </c>
      <c r="O4591" s="8" t="str">
        <f>HYPERLINK("https://drive.google.com/file/d/1niZ6IAHUjyPsvH6P_sygaROyq7f4uIgg/view?usp=drivesdk","4590_ARMAWANTI _ SERTIFIKAT BerAKHLAK")</f>
        <v>4590_ARMAWANTI _ SERTIFIKAT BerAKHLAK</v>
      </c>
      <c r="P4591" s="5" t="s">
        <v>30465</v>
      </c>
    </row>
    <row r="4592">
      <c r="A4592" s="4">
        <v>45534.35283725694</v>
      </c>
      <c r="B4592" s="5" t="s">
        <v>34</v>
      </c>
      <c r="D4592" s="5" t="s">
        <v>1206</v>
      </c>
      <c r="E4592" s="5" t="s">
        <v>30471</v>
      </c>
      <c r="F4592" s="5" t="s">
        <v>212</v>
      </c>
      <c r="G4592" s="5" t="s">
        <v>30472</v>
      </c>
      <c r="H4592" s="6" t="s">
        <v>30473</v>
      </c>
      <c r="K4592" s="5" t="s">
        <v>30442</v>
      </c>
      <c r="M4592" s="5" t="s">
        <v>30474</v>
      </c>
      <c r="N4592" s="7" t="s">
        <v>30475</v>
      </c>
      <c r="O4592" s="8" t="str">
        <f>HYPERLINK("https://drive.google.com/file/d/1ylwYGjLPmzb-GHlXQ0fnJ-Y4OjKeEhJb/view?usp=drivesdk","4591_RACHMAD DWI HARI UTOMO _ SERTIFIKAT BerAKHLAK")</f>
        <v>4591_RACHMAD DWI HARI UTOMO _ SERTIFIKAT BerAKHLAK</v>
      </c>
      <c r="P4592" s="5" t="s">
        <v>30465</v>
      </c>
    </row>
    <row r="4593">
      <c r="A4593" s="4">
        <v>45534.35283738426</v>
      </c>
      <c r="B4593" s="5" t="s">
        <v>34</v>
      </c>
      <c r="D4593" s="5" t="s">
        <v>4775</v>
      </c>
      <c r="E4593" s="5" t="s">
        <v>30476</v>
      </c>
      <c r="F4593" s="5" t="s">
        <v>212</v>
      </c>
      <c r="G4593" s="5" t="s">
        <v>30477</v>
      </c>
      <c r="H4593" s="6" t="s">
        <v>30478</v>
      </c>
      <c r="K4593" s="5" t="s">
        <v>30442</v>
      </c>
      <c r="M4593" s="5" t="s">
        <v>30479</v>
      </c>
      <c r="N4593" s="7" t="s">
        <v>30480</v>
      </c>
      <c r="O4593" s="8" t="str">
        <f>HYPERLINK("https://drive.google.com/file/d/103aO3aTyTHhOIcsM6H5OpwtWBYcj1CLB/view?usp=drivesdk","4592_MUSLIKIN _ SERTIFIKAT BerAKHLAK")</f>
        <v>4592_MUSLIKIN _ SERTIFIKAT BerAKHLAK</v>
      </c>
      <c r="P4593" s="5" t="s">
        <v>30465</v>
      </c>
    </row>
    <row r="4594">
      <c r="A4594" s="4">
        <v>45534.35284009259</v>
      </c>
      <c r="B4594" s="5" t="s">
        <v>34</v>
      </c>
      <c r="D4594" s="5" t="s">
        <v>4775</v>
      </c>
      <c r="E4594" s="5" t="s">
        <v>30481</v>
      </c>
      <c r="F4594" s="5" t="s">
        <v>108</v>
      </c>
      <c r="G4594" s="5" t="s">
        <v>30482</v>
      </c>
      <c r="H4594" s="6" t="s">
        <v>30483</v>
      </c>
      <c r="K4594" s="5" t="s">
        <v>30442</v>
      </c>
      <c r="M4594" s="5" t="s">
        <v>30484</v>
      </c>
      <c r="N4594" s="7" t="s">
        <v>30485</v>
      </c>
      <c r="O4594" s="8" t="str">
        <f>HYPERLINK("https://drive.google.com/file/d/1Po7aZ06J5D3ZEgC7qv4l_o4oivr38YEI/view?usp=drivesdk","4593_AYUN ERNIATI, S.E. _ SERTIFIKAT BerAKHLAK")</f>
        <v>4593_AYUN ERNIATI, S.E. _ SERTIFIKAT BerAKHLAK</v>
      </c>
      <c r="P4594" s="5" t="s">
        <v>30486</v>
      </c>
    </row>
    <row r="4595">
      <c r="A4595" s="4">
        <v>45534.35284126157</v>
      </c>
      <c r="B4595" s="5" t="s">
        <v>34</v>
      </c>
      <c r="D4595" s="5" t="s">
        <v>4775</v>
      </c>
      <c r="E4595" s="5" t="s">
        <v>30487</v>
      </c>
      <c r="F4595" s="5" t="s">
        <v>212</v>
      </c>
      <c r="G4595" s="5" t="s">
        <v>30488</v>
      </c>
      <c r="H4595" s="6" t="s">
        <v>30489</v>
      </c>
      <c r="K4595" s="5" t="s">
        <v>30490</v>
      </c>
      <c r="M4595" s="5" t="s">
        <v>30491</v>
      </c>
      <c r="N4595" s="7" t="s">
        <v>30492</v>
      </c>
      <c r="O4595" s="8" t="str">
        <f>HYPERLINK("https://drive.google.com/file/d/1AvJ1kxHrNxTc2l_Jt4et6Grt5IRjcXLR/view?usp=drivesdk","4594_SLAMET ABIDIN _ SERTIFIKAT BerAKHLAK")</f>
        <v>4594_SLAMET ABIDIN _ SERTIFIKAT BerAKHLAK</v>
      </c>
      <c r="P4595" s="5" t="s">
        <v>30486</v>
      </c>
    </row>
    <row r="4596">
      <c r="A4596" s="4">
        <v>45534.35285081019</v>
      </c>
      <c r="B4596" s="5" t="s">
        <v>34</v>
      </c>
      <c r="D4596" s="5" t="s">
        <v>10444</v>
      </c>
      <c r="E4596" s="5" t="s">
        <v>30493</v>
      </c>
      <c r="F4596" s="5" t="s">
        <v>37</v>
      </c>
      <c r="G4596" s="5" t="s">
        <v>30494</v>
      </c>
      <c r="H4596" s="6" t="s">
        <v>30495</v>
      </c>
      <c r="K4596" s="5" t="s">
        <v>30490</v>
      </c>
      <c r="M4596" s="5" t="s">
        <v>30496</v>
      </c>
      <c r="N4596" s="7" t="s">
        <v>30497</v>
      </c>
      <c r="O4596" s="8" t="str">
        <f>HYPERLINK("https://drive.google.com/file/d/1Pfk6DbQRGeNUshjlzAnVgPBVnXHVINht/view?usp=drivesdk","4595_RIZKY DWI OCTAVIA, A.Md., Farm _ SERTIFIKAT BerAKHLAK")</f>
        <v>4595_RIZKY DWI OCTAVIA, A.Md., Farm _ SERTIFIKAT BerAKHLAK</v>
      </c>
      <c r="P4596" s="5" t="s">
        <v>30486</v>
      </c>
    </row>
    <row r="4597">
      <c r="A4597" s="4">
        <v>45534.352873587966</v>
      </c>
      <c r="B4597" s="5" t="s">
        <v>34</v>
      </c>
      <c r="D4597" s="5" t="s">
        <v>1206</v>
      </c>
      <c r="E4597" s="5" t="s">
        <v>30498</v>
      </c>
      <c r="F4597" s="5" t="s">
        <v>72</v>
      </c>
      <c r="G4597" s="5" t="s">
        <v>30499</v>
      </c>
      <c r="H4597" s="6" t="s">
        <v>30500</v>
      </c>
      <c r="K4597" s="5" t="s">
        <v>30490</v>
      </c>
      <c r="M4597" s="5" t="s">
        <v>30501</v>
      </c>
      <c r="N4597" s="7" t="s">
        <v>30502</v>
      </c>
      <c r="O4597" s="8" t="str">
        <f>HYPERLINK("https://drive.google.com/file/d/1rFDkKzP2ukmWZBgiO5LHuWnsXfrBuu7C/view?usp=drivesdk","4596_PURWANTO _ SERTIFIKAT BerAKHLAK")</f>
        <v>4596_PURWANTO _ SERTIFIKAT BerAKHLAK</v>
      </c>
      <c r="P4597" s="5" t="s">
        <v>30486</v>
      </c>
    </row>
    <row r="4598">
      <c r="A4598" s="4">
        <v>45534.35287916666</v>
      </c>
      <c r="B4598" s="5" t="s">
        <v>34</v>
      </c>
      <c r="D4598" s="5" t="s">
        <v>267</v>
      </c>
      <c r="E4598" s="5" t="s">
        <v>30503</v>
      </c>
      <c r="F4598" s="5" t="s">
        <v>37</v>
      </c>
      <c r="G4598" s="5" t="s">
        <v>30504</v>
      </c>
      <c r="H4598" s="6" t="s">
        <v>30505</v>
      </c>
      <c r="K4598" s="5" t="s">
        <v>30490</v>
      </c>
      <c r="M4598" s="5" t="s">
        <v>30506</v>
      </c>
      <c r="N4598" s="7" t="s">
        <v>30507</v>
      </c>
      <c r="O4598" s="8" t="str">
        <f>HYPERLINK("https://drive.google.com/file/d/1on1dzF1-kBpJOWr7AiZjY0jJ1iJ2mGaO/view?usp=drivesdk","4597_AGITA LINI KHARISMAWATI _ SERTIFIKAT BerAKHLAK")</f>
        <v>4597_AGITA LINI KHARISMAWATI _ SERTIFIKAT BerAKHLAK</v>
      </c>
      <c r="P4598" s="5" t="s">
        <v>30486</v>
      </c>
    </row>
    <row r="4599">
      <c r="A4599" s="4">
        <v>45534.35288813658</v>
      </c>
      <c r="B4599" s="5" t="s">
        <v>34</v>
      </c>
      <c r="D4599" s="5" t="s">
        <v>1206</v>
      </c>
      <c r="E4599" s="5" t="s">
        <v>30508</v>
      </c>
      <c r="F4599" s="5" t="s">
        <v>5859</v>
      </c>
      <c r="G4599" s="5" t="s">
        <v>30509</v>
      </c>
      <c r="H4599" s="6" t="s">
        <v>30510</v>
      </c>
      <c r="K4599" s="5" t="s">
        <v>30490</v>
      </c>
      <c r="M4599" s="5" t="s">
        <v>30511</v>
      </c>
      <c r="N4599" s="7" t="s">
        <v>30512</v>
      </c>
      <c r="O4599" s="8" t="str">
        <f>HYPERLINK("https://drive.google.com/file/d/1FLUcn5E_UDBl0aPKsDYSrgYkYAVnYrx1/view?usp=drivesdk","4598_NUR IHSAN _ SERTIFIKAT BerAKHLAK")</f>
        <v>4598_NUR IHSAN _ SERTIFIKAT BerAKHLAK</v>
      </c>
      <c r="P4599" s="5" t="s">
        <v>30513</v>
      </c>
    </row>
    <row r="4600">
      <c r="A4600" s="4">
        <v>45534.35289267361</v>
      </c>
      <c r="B4600" s="5" t="s">
        <v>34</v>
      </c>
      <c r="D4600" s="5" t="s">
        <v>1206</v>
      </c>
      <c r="E4600" s="5" t="s">
        <v>30514</v>
      </c>
      <c r="F4600" s="5" t="s">
        <v>37</v>
      </c>
      <c r="G4600" s="5" t="s">
        <v>30515</v>
      </c>
      <c r="H4600" s="6" t="s">
        <v>30516</v>
      </c>
      <c r="K4600" s="5" t="s">
        <v>30490</v>
      </c>
      <c r="M4600" s="5" t="s">
        <v>30517</v>
      </c>
      <c r="N4600" s="7" t="s">
        <v>30518</v>
      </c>
      <c r="O4600" s="8" t="str">
        <f>HYPERLINK("https://drive.google.com/file/d/1FHAfig0M4HAmA7DJmDsIiB61bvpuijNY/view?usp=drivesdk","4599_ARINI WIDJI LESTARI _ SERTIFIKAT BerAKHLAK")</f>
        <v>4599_ARINI WIDJI LESTARI _ SERTIFIKAT BerAKHLAK</v>
      </c>
      <c r="P4600" s="5" t="s">
        <v>30513</v>
      </c>
    </row>
    <row r="4601">
      <c r="A4601" s="4">
        <v>45534.352899687496</v>
      </c>
      <c r="B4601" s="5" t="s">
        <v>34</v>
      </c>
      <c r="D4601" s="5" t="s">
        <v>1206</v>
      </c>
      <c r="E4601" s="5" t="s">
        <v>30519</v>
      </c>
      <c r="F4601" s="5" t="s">
        <v>199</v>
      </c>
      <c r="G4601" s="5" t="s">
        <v>30520</v>
      </c>
      <c r="H4601" s="6" t="s">
        <v>30521</v>
      </c>
      <c r="K4601" s="5" t="s">
        <v>30490</v>
      </c>
      <c r="M4601" s="5" t="s">
        <v>30522</v>
      </c>
      <c r="N4601" s="7" t="s">
        <v>30523</v>
      </c>
      <c r="O4601" s="8" t="str">
        <f>HYPERLINK("https://drive.google.com/file/d/1ypMMpjPBxNMszhhtXJvYGfQqSoTcK7Bh/view?usp=drivesdk","4600_AMALIA _ SERTIFIKAT BerAKHLAK")</f>
        <v>4600_AMALIA _ SERTIFIKAT BerAKHLAK</v>
      </c>
      <c r="P4601" s="5" t="s">
        <v>30513</v>
      </c>
    </row>
    <row r="4602">
      <c r="A4602" s="4">
        <v>45534.35292260417</v>
      </c>
      <c r="B4602" s="5" t="s">
        <v>34</v>
      </c>
      <c r="D4602" s="5" t="s">
        <v>1558</v>
      </c>
      <c r="E4602" s="5" t="s">
        <v>30524</v>
      </c>
      <c r="F4602" s="5" t="s">
        <v>37</v>
      </c>
      <c r="G4602" s="5" t="s">
        <v>30525</v>
      </c>
      <c r="H4602" s="6" t="s">
        <v>30526</v>
      </c>
      <c r="K4602" s="5" t="s">
        <v>30527</v>
      </c>
      <c r="M4602" s="5" t="s">
        <v>30528</v>
      </c>
      <c r="N4602" s="7" t="s">
        <v>30529</v>
      </c>
      <c r="O4602" s="8" t="str">
        <f>HYPERLINK("https://drive.google.com/file/d/1z_OVac_PQ2ZkX0UCnorDWKIRIeoC6dTz/view?usp=drivesdk","4601_LIBERTY ARTUR PANAMOTAN SIMANGUNSONG, A.Md.T. _ SERTIFIKAT BerAKHLAK")</f>
        <v>4601_LIBERTY ARTUR PANAMOTAN SIMANGUNSONG, A.Md.T. _ SERTIFIKAT BerAKHLAK</v>
      </c>
      <c r="P4602" s="5" t="s">
        <v>30513</v>
      </c>
    </row>
    <row r="4603">
      <c r="A4603" s="4">
        <v>45534.35292443287</v>
      </c>
      <c r="B4603" s="5" t="s">
        <v>34</v>
      </c>
      <c r="D4603" s="5" t="s">
        <v>1206</v>
      </c>
      <c r="E4603" s="5" t="s">
        <v>30530</v>
      </c>
      <c r="F4603" s="5" t="s">
        <v>212</v>
      </c>
      <c r="G4603" s="5" t="s">
        <v>30531</v>
      </c>
      <c r="H4603" s="6" t="s">
        <v>30532</v>
      </c>
      <c r="K4603" s="5" t="s">
        <v>30527</v>
      </c>
      <c r="M4603" s="5" t="s">
        <v>30533</v>
      </c>
      <c r="N4603" s="7" t="s">
        <v>30534</v>
      </c>
      <c r="O4603" s="8" t="str">
        <f>HYPERLINK("https://drive.google.com/file/d/1wVAyorFmkXHxj4HqVEUzpmEIwwITaW-U/view?usp=drivesdk","4602_RENDRA AGUNG P _ SERTIFIKAT BerAKHLAK")</f>
        <v>4602_RENDRA AGUNG P _ SERTIFIKAT BerAKHLAK</v>
      </c>
      <c r="P4603" s="5" t="s">
        <v>30513</v>
      </c>
    </row>
    <row r="4604">
      <c r="A4604" s="4">
        <v>45534.352926203705</v>
      </c>
      <c r="B4604" s="5" t="s">
        <v>34</v>
      </c>
      <c r="D4604" s="5" t="s">
        <v>580</v>
      </c>
      <c r="E4604" s="5" t="s">
        <v>30535</v>
      </c>
      <c r="F4604" s="5" t="s">
        <v>375</v>
      </c>
      <c r="G4604" s="5" t="s">
        <v>30536</v>
      </c>
      <c r="H4604" s="6" t="s">
        <v>30537</v>
      </c>
      <c r="K4604" s="5" t="s">
        <v>30527</v>
      </c>
      <c r="M4604" s="5" t="s">
        <v>30538</v>
      </c>
      <c r="N4604" s="7" t="s">
        <v>30539</v>
      </c>
      <c r="O4604" s="8" t="str">
        <f>HYPERLINK("https://drive.google.com/file/d/1lGtz8lr3pqCdjJqZT__GwPckInb-klBI/view?usp=drivesdk","4603_LUH PASEK OKA ARYANI, S.E. _ SERTIFIKAT BerAKHLAK")</f>
        <v>4603_LUH PASEK OKA ARYANI, S.E. _ SERTIFIKAT BerAKHLAK</v>
      </c>
      <c r="P4604" s="5" t="s">
        <v>30540</v>
      </c>
    </row>
    <row r="4605" hidden="1">
      <c r="A4605" s="4">
        <v>45534.35292631944</v>
      </c>
      <c r="B4605" s="5" t="s">
        <v>19</v>
      </c>
      <c r="C4605" s="5" t="s">
        <v>466</v>
      </c>
      <c r="E4605" s="5" t="s">
        <v>327</v>
      </c>
      <c r="F4605" s="5" t="s">
        <v>212</v>
      </c>
      <c r="G4605" s="5" t="s">
        <v>30541</v>
      </c>
      <c r="H4605" s="6" t="s">
        <v>30542</v>
      </c>
      <c r="K4605" s="5" t="s">
        <v>30527</v>
      </c>
      <c r="M4605" s="5" t="s">
        <v>30543</v>
      </c>
      <c r="N4605" s="7" t="s">
        <v>30544</v>
      </c>
      <c r="O4605" s="8" t="str">
        <f>HYPERLINK("https://drive.google.com/file/d/1zpqKnfQ7HFrtQ2CWprVlrMhxkda3b476/view?usp=drivesdk","4604_AGUS SETIAWAN _ SERTIFIKAT BerAKHLAK")</f>
        <v>4604_AGUS SETIAWAN _ SERTIFIKAT BerAKHLAK</v>
      </c>
      <c r="P4605" s="5" t="s">
        <v>30540</v>
      </c>
    </row>
    <row r="4606">
      <c r="A4606" s="4">
        <v>45534.35293248843</v>
      </c>
      <c r="B4606" s="5" t="s">
        <v>34</v>
      </c>
      <c r="D4606" s="5" t="s">
        <v>701</v>
      </c>
      <c r="E4606" s="5" t="s">
        <v>30545</v>
      </c>
      <c r="F4606" s="5" t="s">
        <v>212</v>
      </c>
      <c r="G4606" s="5" t="s">
        <v>30546</v>
      </c>
      <c r="H4606" s="6" t="s">
        <v>30547</v>
      </c>
      <c r="K4606" s="5" t="s">
        <v>30527</v>
      </c>
      <c r="M4606" s="5" t="s">
        <v>30548</v>
      </c>
      <c r="N4606" s="7" t="s">
        <v>30549</v>
      </c>
      <c r="O4606" s="8" t="str">
        <f>HYPERLINK("https://drive.google.com/file/d/1_Sp1miHJrMoi0fb01Bh6FQG7YvJkWBGn/view?usp=drivesdk","4605_NASRIL _ SERTIFIKAT BerAKHLAK")</f>
        <v>4605_NASRIL _ SERTIFIKAT BerAKHLAK</v>
      </c>
      <c r="P4606" s="5" t="s">
        <v>30540</v>
      </c>
    </row>
    <row r="4607">
      <c r="A4607" s="4">
        <v>45534.35293358796</v>
      </c>
      <c r="B4607" s="5" t="s">
        <v>34</v>
      </c>
      <c r="D4607" s="5" t="s">
        <v>1206</v>
      </c>
      <c r="E4607" s="5" t="s">
        <v>30550</v>
      </c>
      <c r="F4607" s="5" t="s">
        <v>212</v>
      </c>
      <c r="G4607" s="5" t="s">
        <v>30551</v>
      </c>
      <c r="H4607" s="6" t="s">
        <v>30552</v>
      </c>
      <c r="K4607" s="5" t="s">
        <v>30527</v>
      </c>
      <c r="M4607" s="5" t="s">
        <v>30553</v>
      </c>
      <c r="N4607" s="7" t="s">
        <v>30554</v>
      </c>
      <c r="O4607" s="8" t="str">
        <f>HYPERLINK("https://drive.google.com/file/d/1VAik4yn2U2kIqfROwFHjtUZhvtYM4nYy/view?usp=drivesdk","4606_MOCH CHOIRUDIN  _ SERTIFIKAT BerAKHLAK")</f>
        <v>4606_MOCH CHOIRUDIN  _ SERTIFIKAT BerAKHLAK</v>
      </c>
      <c r="P4607" s="5" t="s">
        <v>30555</v>
      </c>
    </row>
    <row r="4608">
      <c r="A4608" s="4">
        <v>45534.352934375</v>
      </c>
      <c r="B4608" s="5" t="s">
        <v>34</v>
      </c>
      <c r="D4608" s="5" t="s">
        <v>362</v>
      </c>
      <c r="E4608" s="5" t="s">
        <v>30556</v>
      </c>
      <c r="F4608" s="5" t="s">
        <v>37</v>
      </c>
      <c r="G4608" s="5" t="s">
        <v>30557</v>
      </c>
      <c r="H4608" s="6" t="s">
        <v>30558</v>
      </c>
      <c r="K4608" s="5" t="s">
        <v>30527</v>
      </c>
      <c r="M4608" s="5" t="s">
        <v>30559</v>
      </c>
      <c r="N4608" s="7" t="s">
        <v>30560</v>
      </c>
      <c r="O4608" s="8" t="str">
        <f>HYPERLINK("https://drive.google.com/file/d/1esA9Whsp5eqLrrrPzdT0VVH7DTbAJobt/view?usp=drivesdk","4607_YULIANA M, AMD.KEB _ SERTIFIKAT BerAKHLAK")</f>
        <v>4607_YULIANA M, AMD.KEB _ SERTIFIKAT BerAKHLAK</v>
      </c>
      <c r="P4608" s="5" t="s">
        <v>30555</v>
      </c>
    </row>
    <row r="4609">
      <c r="A4609" s="4">
        <v>45534.35294907408</v>
      </c>
      <c r="B4609" s="5" t="s">
        <v>34</v>
      </c>
      <c r="D4609" s="5" t="s">
        <v>10444</v>
      </c>
      <c r="E4609" s="5" t="s">
        <v>30561</v>
      </c>
      <c r="F4609" s="5" t="s">
        <v>108</v>
      </c>
      <c r="G4609" s="5" t="s">
        <v>30562</v>
      </c>
      <c r="H4609" s="6" t="s">
        <v>30563</v>
      </c>
      <c r="K4609" s="5" t="s">
        <v>30527</v>
      </c>
      <c r="M4609" s="5" t="s">
        <v>30564</v>
      </c>
      <c r="N4609" s="7" t="s">
        <v>30565</v>
      </c>
      <c r="O4609" s="8" t="str">
        <f>HYPERLINK("https://drive.google.com/file/d/1ZiEqzdpaPW7lhBz2IJEHJ64oeiceQoqv/view?usp=drivesdk","4608_NANDA KRESNA DUPAYANA, S.E.  _ SERTIFIKAT BerAKHLAK")</f>
        <v>4608_NANDA KRESNA DUPAYANA, S.E.  _ SERTIFIKAT BerAKHLAK</v>
      </c>
      <c r="P4609" s="5" t="s">
        <v>30555</v>
      </c>
    </row>
    <row r="4610">
      <c r="A4610" s="4">
        <v>45534.352963935184</v>
      </c>
      <c r="B4610" s="5" t="s">
        <v>34</v>
      </c>
      <c r="D4610" s="5" t="s">
        <v>10444</v>
      </c>
      <c r="E4610" s="5" t="s">
        <v>30566</v>
      </c>
      <c r="F4610" s="5" t="s">
        <v>375</v>
      </c>
      <c r="G4610" s="5" t="s">
        <v>30567</v>
      </c>
      <c r="H4610" s="6" t="s">
        <v>30568</v>
      </c>
      <c r="K4610" s="5" t="s">
        <v>30527</v>
      </c>
      <c r="M4610" s="5" t="s">
        <v>30569</v>
      </c>
      <c r="N4610" s="7" t="s">
        <v>30570</v>
      </c>
      <c r="O4610" s="8" t="str">
        <f>HYPERLINK("https://drive.google.com/file/d/1fWL8iSijF_lsnLNmIYC6rG79GXZK3uec/view?usp=drivesdk","4609_UMIATI _ SERTIFIKAT BerAKHLAK")</f>
        <v>4609_UMIATI _ SERTIFIKAT BerAKHLAK</v>
      </c>
      <c r="P4610" s="5" t="s">
        <v>30555</v>
      </c>
    </row>
    <row r="4611">
      <c r="A4611" s="4">
        <v>45534.3529746875</v>
      </c>
      <c r="B4611" s="5" t="s">
        <v>34</v>
      </c>
      <c r="D4611" s="5" t="s">
        <v>1768</v>
      </c>
      <c r="E4611" s="5" t="s">
        <v>15413</v>
      </c>
      <c r="F4611" s="5" t="s">
        <v>72</v>
      </c>
      <c r="G4611" s="5" t="s">
        <v>30571</v>
      </c>
      <c r="H4611" s="6" t="s">
        <v>30572</v>
      </c>
      <c r="K4611" s="5" t="s">
        <v>30573</v>
      </c>
      <c r="M4611" s="5" t="s">
        <v>30574</v>
      </c>
      <c r="N4611" s="7" t="s">
        <v>30575</v>
      </c>
      <c r="O4611" s="8" t="str">
        <f>HYPERLINK("https://drive.google.com/file/d/1wdJWqKkf-fFWA4l-_K_d2zpF8D4RQB3r/view?usp=drivesdk","4610_dr. FITRIE WIDYASTUTI _ SERTIFIKAT BerAKHLAK")</f>
        <v>4610_dr. FITRIE WIDYASTUTI _ SERTIFIKAT BerAKHLAK</v>
      </c>
      <c r="P4611" s="5" t="s">
        <v>30555</v>
      </c>
    </row>
    <row r="4612">
      <c r="A4612" s="4">
        <v>45534.35299629629</v>
      </c>
      <c r="B4612" s="5" t="s">
        <v>34</v>
      </c>
      <c r="D4612" s="5" t="s">
        <v>604</v>
      </c>
      <c r="E4612" s="5" t="s">
        <v>30576</v>
      </c>
      <c r="F4612" s="5" t="s">
        <v>108</v>
      </c>
      <c r="G4612" s="5" t="s">
        <v>30577</v>
      </c>
      <c r="H4612" s="6" t="s">
        <v>30578</v>
      </c>
      <c r="K4612" s="5" t="s">
        <v>30573</v>
      </c>
      <c r="M4612" s="5" t="s">
        <v>30579</v>
      </c>
      <c r="N4612" s="7" t="s">
        <v>30580</v>
      </c>
      <c r="O4612" s="8" t="str">
        <f>HYPERLINK("https://drive.google.com/file/d/111k3yemu3q7wpKYVyZf1BInX9dzx0rs6/view?usp=drivesdk","4611_CLAUDIA FERDA SADSUITUBUN _ SERTIFIKAT BerAKHLAK")</f>
        <v>4611_CLAUDIA FERDA SADSUITUBUN _ SERTIFIKAT BerAKHLAK</v>
      </c>
      <c r="P4612" s="5" t="s">
        <v>30581</v>
      </c>
    </row>
    <row r="4613">
      <c r="A4613" s="4">
        <v>45534.35300858796</v>
      </c>
      <c r="B4613" s="5" t="s">
        <v>34</v>
      </c>
      <c r="D4613" s="5" t="s">
        <v>35</v>
      </c>
      <c r="E4613" s="5" t="s">
        <v>30582</v>
      </c>
      <c r="F4613" s="5" t="s">
        <v>715</v>
      </c>
      <c r="G4613" s="5" t="s">
        <v>30583</v>
      </c>
      <c r="H4613" s="6" t="s">
        <v>30584</v>
      </c>
      <c r="K4613" s="5" t="s">
        <v>30585</v>
      </c>
      <c r="M4613" s="5" t="s">
        <v>30586</v>
      </c>
      <c r="N4613" s="7" t="s">
        <v>30587</v>
      </c>
      <c r="O4613" s="8" t="str">
        <f>HYPERLINK("https://drive.google.com/file/d/1czun6c8gN8TRMtKaX8PHyrYh6KRR5sjg/view?usp=drivesdk","4612_AAY SUWARDI, A.Md. _ SERTIFIKAT BerAKHLAK")</f>
        <v>4612_AAY SUWARDI, A.Md. _ SERTIFIKAT BerAKHLAK</v>
      </c>
      <c r="P4613" s="5" t="s">
        <v>30581</v>
      </c>
    </row>
    <row r="4614" hidden="1">
      <c r="A4614" s="4">
        <v>45534.353018344904</v>
      </c>
      <c r="B4614" s="5" t="s">
        <v>19</v>
      </c>
      <c r="C4614" s="5" t="s">
        <v>30588</v>
      </c>
      <c r="E4614" s="5" t="s">
        <v>30589</v>
      </c>
      <c r="F4614" s="5" t="s">
        <v>72</v>
      </c>
      <c r="G4614" s="5" t="s">
        <v>30590</v>
      </c>
      <c r="H4614" s="6" t="s">
        <v>30591</v>
      </c>
      <c r="K4614" s="5" t="s">
        <v>30585</v>
      </c>
      <c r="M4614" s="5" t="s">
        <v>30592</v>
      </c>
      <c r="N4614" s="7" t="s">
        <v>30593</v>
      </c>
      <c r="O4614" s="8" t="str">
        <f>HYPERLINK("https://drive.google.com/file/d/1w6BJseprINdOofm8ZgDxa0_TPzF_4JHO/view?usp=drivesdk","4613_FAJRI PRISANDI _ SERTIFIKAT BerAKHLAK")</f>
        <v>4613_FAJRI PRISANDI _ SERTIFIKAT BerAKHLAK</v>
      </c>
      <c r="P4614" s="5" t="s">
        <v>30581</v>
      </c>
    </row>
    <row r="4615">
      <c r="A4615" s="4">
        <v>45534.35301943287</v>
      </c>
      <c r="B4615" s="5" t="s">
        <v>34</v>
      </c>
      <c r="D4615" s="5" t="s">
        <v>1206</v>
      </c>
      <c r="E4615" s="5" t="s">
        <v>30594</v>
      </c>
      <c r="F4615" s="5" t="s">
        <v>108</v>
      </c>
      <c r="G4615" s="5" t="s">
        <v>30595</v>
      </c>
      <c r="H4615" s="6" t="s">
        <v>30596</v>
      </c>
      <c r="K4615" s="5" t="s">
        <v>30585</v>
      </c>
      <c r="M4615" s="5" t="s">
        <v>30597</v>
      </c>
      <c r="N4615" s="7" t="s">
        <v>30598</v>
      </c>
      <c r="O4615" s="8" t="str">
        <f>HYPERLINK("https://drive.google.com/file/d/1Jx_z8KoEZuPsqB4k2SEdrEghV1azrv-v/view?usp=drivesdk","4614_DIYN BAGUS MUHAMMAD  _ SERTIFIKAT BerAKHLAK")</f>
        <v>4614_DIYN BAGUS MUHAMMAD  _ SERTIFIKAT BerAKHLAK</v>
      </c>
      <c r="P4615" s="5" t="s">
        <v>30581</v>
      </c>
    </row>
    <row r="4616">
      <c r="A4616" s="4">
        <v>45534.353021006944</v>
      </c>
      <c r="B4616" s="5" t="s">
        <v>34</v>
      </c>
      <c r="D4616" s="5" t="s">
        <v>1206</v>
      </c>
      <c r="E4616" s="5" t="s">
        <v>30599</v>
      </c>
      <c r="F4616" s="5" t="s">
        <v>524</v>
      </c>
      <c r="G4616" s="5" t="s">
        <v>30600</v>
      </c>
      <c r="H4616" s="6" t="s">
        <v>30601</v>
      </c>
      <c r="K4616" s="5" t="s">
        <v>30585</v>
      </c>
      <c r="M4616" s="5" t="s">
        <v>30602</v>
      </c>
      <c r="N4616" s="7" t="s">
        <v>30603</v>
      </c>
      <c r="O4616" s="8" t="str">
        <f>HYPERLINK("https://drive.google.com/file/d/1Iod__IlTJ0e6eBK7u2WL0Hfssv2N26jh/view?usp=drivesdk","4615_TUTIK HARYATI _ SERTIFIKAT BerAKHLAK")</f>
        <v>4615_TUTIK HARYATI _ SERTIFIKAT BerAKHLAK</v>
      </c>
      <c r="P4616" s="5" t="s">
        <v>30581</v>
      </c>
    </row>
    <row r="4617">
      <c r="A4617" s="4">
        <v>45534.35302224537</v>
      </c>
      <c r="B4617" s="5" t="s">
        <v>34</v>
      </c>
      <c r="D4617" s="5" t="s">
        <v>1206</v>
      </c>
      <c r="E4617" s="5" t="s">
        <v>30604</v>
      </c>
      <c r="F4617" s="5" t="s">
        <v>212</v>
      </c>
      <c r="G4617" s="5" t="s">
        <v>30605</v>
      </c>
      <c r="H4617" s="6" t="s">
        <v>30606</v>
      </c>
      <c r="K4617" s="5" t="s">
        <v>30585</v>
      </c>
      <c r="M4617" s="5" t="s">
        <v>30607</v>
      </c>
      <c r="N4617" s="7" t="s">
        <v>30608</v>
      </c>
      <c r="O4617" s="8" t="str">
        <f>HYPERLINK("https://drive.google.com/file/d/1Icw-yKo8KGonFJMTWIsutrXc8l_6Xhe3/view?usp=drivesdk","4616_SITI CHANIFAH _ SERTIFIKAT BerAKHLAK")</f>
        <v>4616_SITI CHANIFAH _ SERTIFIKAT BerAKHLAK</v>
      </c>
      <c r="P4617" s="5" t="s">
        <v>30609</v>
      </c>
    </row>
    <row r="4618">
      <c r="A4618" s="4">
        <v>45534.35302388889</v>
      </c>
      <c r="B4618" s="5" t="s">
        <v>34</v>
      </c>
      <c r="D4618" s="5" t="s">
        <v>4775</v>
      </c>
      <c r="E4618" s="5" t="s">
        <v>30610</v>
      </c>
      <c r="F4618" s="5" t="s">
        <v>72</v>
      </c>
      <c r="G4618" s="5" t="s">
        <v>30611</v>
      </c>
      <c r="H4618" s="6" t="s">
        <v>30612</v>
      </c>
      <c r="K4618" s="5" t="s">
        <v>30585</v>
      </c>
      <c r="M4618" s="5" t="s">
        <v>30613</v>
      </c>
      <c r="N4618" s="7" t="s">
        <v>30614</v>
      </c>
      <c r="O4618" s="8" t="str">
        <f>HYPERLINK("https://drive.google.com/file/d/1fYcoM6KtCJjgjYJqP56ugGpoRUQtsJma/view?usp=drivesdk","4617_DIDIK KISWANTO  _ SERTIFIKAT BerAKHLAK")</f>
        <v>4617_DIDIK KISWANTO  _ SERTIFIKAT BerAKHLAK</v>
      </c>
      <c r="P4618" s="5" t="s">
        <v>30609</v>
      </c>
    </row>
    <row r="4619">
      <c r="A4619" s="4">
        <v>45534.3530240625</v>
      </c>
      <c r="B4619" s="5" t="s">
        <v>34</v>
      </c>
      <c r="D4619" s="5" t="s">
        <v>9394</v>
      </c>
      <c r="E4619" s="5" t="s">
        <v>30615</v>
      </c>
      <c r="F4619" s="5" t="s">
        <v>212</v>
      </c>
      <c r="G4619" s="5" t="s">
        <v>30616</v>
      </c>
      <c r="H4619" s="6" t="s">
        <v>30617</v>
      </c>
      <c r="K4619" s="5" t="s">
        <v>30585</v>
      </c>
      <c r="M4619" s="5" t="s">
        <v>30618</v>
      </c>
      <c r="N4619" s="7" t="s">
        <v>30619</v>
      </c>
      <c r="O4619" s="8" t="str">
        <f>HYPERLINK("https://drive.google.com/file/d/1LC7uUTsEpiRm3Ez2nqbAArn6gp57_9zV/view?usp=drivesdk","4618_PENGATUR TK I ELWIN _ SERTIFIKAT BerAKHLAK")</f>
        <v>4618_PENGATUR TK I ELWIN _ SERTIFIKAT BerAKHLAK</v>
      </c>
      <c r="P4619" s="5" t="s">
        <v>30609</v>
      </c>
    </row>
    <row r="4620">
      <c r="A4620" s="4">
        <v>45534.3530284375</v>
      </c>
      <c r="B4620" s="5" t="s">
        <v>34</v>
      </c>
      <c r="D4620" s="5" t="s">
        <v>12978</v>
      </c>
      <c r="E4620" s="5" t="s">
        <v>30620</v>
      </c>
      <c r="F4620" s="5" t="s">
        <v>37</v>
      </c>
      <c r="G4620" s="5" t="s">
        <v>30621</v>
      </c>
      <c r="H4620" s="6" t="s">
        <v>30622</v>
      </c>
      <c r="K4620" s="5" t="s">
        <v>30585</v>
      </c>
      <c r="M4620" s="5" t="s">
        <v>30623</v>
      </c>
      <c r="N4620" s="7" t="s">
        <v>30624</v>
      </c>
      <c r="O4620" s="8" t="str">
        <f>HYPERLINK("https://drive.google.com/file/d/14P4sGIc72W6I8KKUuDlXuPSFhFV87JNO/view?usp=drivesdk","4619_LISKA HANDAYANI  _ SERTIFIKAT BerAKHLAK")</f>
        <v>4619_LISKA HANDAYANI  _ SERTIFIKAT BerAKHLAK</v>
      </c>
      <c r="P4620" s="5" t="s">
        <v>30625</v>
      </c>
    </row>
    <row r="4621">
      <c r="A4621" s="4">
        <v>45534.35302866898</v>
      </c>
      <c r="B4621" s="5" t="s">
        <v>34</v>
      </c>
      <c r="D4621" s="5" t="s">
        <v>11527</v>
      </c>
      <c r="E4621" s="5" t="s">
        <v>30626</v>
      </c>
      <c r="F4621" s="5" t="s">
        <v>715</v>
      </c>
      <c r="G4621" s="5" t="s">
        <v>30627</v>
      </c>
      <c r="H4621" s="6" t="s">
        <v>30628</v>
      </c>
      <c r="K4621" s="5" t="s">
        <v>30585</v>
      </c>
      <c r="M4621" s="5" t="s">
        <v>30629</v>
      </c>
      <c r="N4621" s="7" t="s">
        <v>30630</v>
      </c>
      <c r="O4621" s="8" t="str">
        <f>HYPERLINK("https://drive.google.com/file/d/1TZNWQlpBJaaUVbuyg5f8VzT5pj_dJ4lt/view?usp=drivesdk","4620_Suliyace.S.Taniwang,S.Si _ SERTIFIKAT BerAKHLAK")</f>
        <v>4620_Suliyace.S.Taniwang,S.Si _ SERTIFIKAT BerAKHLAK</v>
      </c>
      <c r="P4621" s="5" t="s">
        <v>30625</v>
      </c>
    </row>
    <row r="4622">
      <c r="A4622" s="4">
        <v>45534.353055416665</v>
      </c>
      <c r="B4622" s="5" t="s">
        <v>34</v>
      </c>
      <c r="D4622" s="5" t="s">
        <v>1768</v>
      </c>
      <c r="E4622" s="5" t="s">
        <v>30631</v>
      </c>
      <c r="F4622" s="5" t="s">
        <v>212</v>
      </c>
      <c r="G4622" s="5" t="s">
        <v>30632</v>
      </c>
      <c r="H4622" s="6" t="s">
        <v>30633</v>
      </c>
      <c r="K4622" s="5" t="s">
        <v>30634</v>
      </c>
      <c r="M4622" s="5" t="s">
        <v>30635</v>
      </c>
      <c r="N4622" s="7" t="s">
        <v>30636</v>
      </c>
      <c r="O4622" s="8" t="str">
        <f>HYPERLINK("https://drive.google.com/file/d/1_SUMmDJsLnPsNK1tgXR3HckigMojO3ku/view?usp=drivesdk","4621_ABDUL MAJID HARYADI _ SERTIFIKAT BerAKHLAK")</f>
        <v>4621_ABDUL MAJID HARYADI _ SERTIFIKAT BerAKHLAK</v>
      </c>
      <c r="P4622" s="5" t="s">
        <v>30625</v>
      </c>
    </row>
    <row r="4623">
      <c r="A4623" s="4">
        <v>45534.35307181713</v>
      </c>
      <c r="B4623" s="5" t="s">
        <v>34</v>
      </c>
      <c r="D4623" s="5" t="s">
        <v>522</v>
      </c>
      <c r="E4623" s="5" t="s">
        <v>30637</v>
      </c>
      <c r="F4623" s="5" t="s">
        <v>37</v>
      </c>
      <c r="G4623" s="5" t="s">
        <v>30638</v>
      </c>
      <c r="H4623" s="6" t="s">
        <v>30639</v>
      </c>
      <c r="K4623" s="5" t="s">
        <v>30634</v>
      </c>
      <c r="M4623" s="5" t="s">
        <v>30640</v>
      </c>
      <c r="N4623" s="7" t="s">
        <v>30641</v>
      </c>
      <c r="O4623" s="8" t="str">
        <f>HYPERLINK("https://drive.google.com/file/d/1uwH3J4SkcyvlB2nD1Mqg2pH3-Zke2-Lt/view?usp=drivesdk","4622_BAIQ ELMA WIRIASTATI, A.Md.Kep _ SERTIFIKAT BerAKHLAK")</f>
        <v>4622_BAIQ ELMA WIRIASTATI, A.Md.Kep _ SERTIFIKAT BerAKHLAK</v>
      </c>
      <c r="P4623" s="5" t="s">
        <v>30625</v>
      </c>
    </row>
    <row r="4624">
      <c r="A4624" s="4">
        <v>45534.35307585648</v>
      </c>
      <c r="B4624" s="5" t="s">
        <v>34</v>
      </c>
      <c r="D4624" s="5" t="s">
        <v>1206</v>
      </c>
      <c r="E4624" s="5" t="s">
        <v>30642</v>
      </c>
      <c r="F4624" s="5" t="s">
        <v>375</v>
      </c>
      <c r="G4624" s="5" t="s">
        <v>30643</v>
      </c>
      <c r="H4624" s="6" t="s">
        <v>30644</v>
      </c>
      <c r="K4624" s="5" t="s">
        <v>30634</v>
      </c>
      <c r="M4624" s="5" t="s">
        <v>30645</v>
      </c>
      <c r="N4624" s="7" t="s">
        <v>30646</v>
      </c>
      <c r="O4624" s="8" t="str">
        <f>HYPERLINK("https://drive.google.com/file/d/11bXGHDIm7qmLY_O2eOp5oDlRTjTfdnM_/view?usp=drivesdk","4623_SRI HERIYANTI, S.E _ SERTIFIKAT BerAKHLAK")</f>
        <v>4623_SRI HERIYANTI, S.E _ SERTIFIKAT BerAKHLAK</v>
      </c>
      <c r="P4624" s="5" t="s">
        <v>30647</v>
      </c>
    </row>
    <row r="4625">
      <c r="A4625" s="4">
        <v>45534.353079733795</v>
      </c>
      <c r="B4625" s="5" t="s">
        <v>34</v>
      </c>
      <c r="D4625" s="5" t="s">
        <v>12978</v>
      </c>
      <c r="E4625" s="5" t="s">
        <v>30648</v>
      </c>
      <c r="F4625" s="5" t="s">
        <v>108</v>
      </c>
      <c r="G4625" s="5" t="s">
        <v>30649</v>
      </c>
      <c r="H4625" s="6" t="s">
        <v>30650</v>
      </c>
      <c r="K4625" s="5" t="s">
        <v>30634</v>
      </c>
      <c r="M4625" s="5" t="s">
        <v>30651</v>
      </c>
      <c r="N4625" s="7" t="s">
        <v>30652</v>
      </c>
      <c r="O4625" s="8" t="str">
        <f>HYPERLINK("https://drive.google.com/file/d/1V4ZcD46o_n6yxC5DRv8k76bCvQEYMtgp/view?usp=drivesdk","4624_ARYANI _ SERTIFIKAT BerAKHLAK")</f>
        <v>4624_ARYANI _ SERTIFIKAT BerAKHLAK</v>
      </c>
      <c r="P4625" s="5" t="s">
        <v>30647</v>
      </c>
    </row>
    <row r="4626">
      <c r="A4626" s="4">
        <v>45534.35309674768</v>
      </c>
      <c r="B4626" s="5" t="s">
        <v>34</v>
      </c>
      <c r="D4626" s="5" t="s">
        <v>1206</v>
      </c>
      <c r="E4626" s="5" t="s">
        <v>30653</v>
      </c>
      <c r="F4626" s="5" t="s">
        <v>37</v>
      </c>
      <c r="G4626" s="5" t="s">
        <v>30654</v>
      </c>
      <c r="H4626" s="6" t="s">
        <v>30655</v>
      </c>
      <c r="K4626" s="5" t="s">
        <v>30634</v>
      </c>
      <c r="M4626" s="5" t="s">
        <v>30656</v>
      </c>
      <c r="N4626" s="7" t="s">
        <v>30657</v>
      </c>
      <c r="O4626" s="8" t="str">
        <f>HYPERLINK("https://drive.google.com/file/d/14FfuR8CjpYe1LOKhB12kPNSXrFzmDl-o/view?usp=drivesdk","4625_SUGENG RIYADI _ SERTIFIKAT BerAKHLAK")</f>
        <v>4625_SUGENG RIYADI _ SERTIFIKAT BerAKHLAK</v>
      </c>
      <c r="P4626" s="5" t="s">
        <v>30647</v>
      </c>
    </row>
    <row r="4627">
      <c r="A4627" s="4">
        <v>45534.353114467594</v>
      </c>
      <c r="B4627" s="5" t="s">
        <v>34</v>
      </c>
      <c r="D4627" s="5" t="s">
        <v>1206</v>
      </c>
      <c r="E4627" s="5" t="s">
        <v>30658</v>
      </c>
      <c r="F4627" s="5" t="s">
        <v>524</v>
      </c>
      <c r="G4627" s="5" t="s">
        <v>30659</v>
      </c>
      <c r="H4627" s="6" t="s">
        <v>30660</v>
      </c>
      <c r="K4627" s="5" t="s">
        <v>30661</v>
      </c>
      <c r="M4627" s="5" t="s">
        <v>30662</v>
      </c>
      <c r="N4627" s="7" t="s">
        <v>30663</v>
      </c>
      <c r="O4627" s="8" t="str">
        <f>HYPERLINK("https://drive.google.com/file/d/1tnaNFlEd-XmMKc5NJNlHCN0f6Crv1-0d/view?usp=drivesdk","4626_RATNA SETYANI _ SERTIFIKAT BerAKHLAK")</f>
        <v>4626_RATNA SETYANI _ SERTIFIKAT BerAKHLAK</v>
      </c>
      <c r="P4627" s="5" t="s">
        <v>30664</v>
      </c>
    </row>
    <row r="4628">
      <c r="A4628" s="4">
        <v>45534.353128738425</v>
      </c>
      <c r="B4628" s="5" t="s">
        <v>34</v>
      </c>
      <c r="D4628" s="5" t="s">
        <v>1206</v>
      </c>
      <c r="E4628" s="5" t="s">
        <v>16441</v>
      </c>
      <c r="F4628" s="5" t="s">
        <v>108</v>
      </c>
      <c r="G4628" s="5" t="s">
        <v>30665</v>
      </c>
      <c r="H4628" s="6" t="s">
        <v>30666</v>
      </c>
      <c r="K4628" s="5" t="s">
        <v>30661</v>
      </c>
      <c r="M4628" s="5" t="s">
        <v>30667</v>
      </c>
      <c r="N4628" s="7" t="s">
        <v>30668</v>
      </c>
      <c r="O4628" s="8" t="str">
        <f>HYPERLINK("https://drive.google.com/file/d/1OL-Puuk1T3XtOecy0XXt-W2j4m2Y1UZy/view?usp=drivesdk","4627_SUMINI _ SERTIFIKAT BerAKHLAK")</f>
        <v>4627_SUMINI _ SERTIFIKAT BerAKHLAK</v>
      </c>
      <c r="P4628" s="5" t="s">
        <v>30664</v>
      </c>
    </row>
    <row r="4629">
      <c r="A4629" s="4">
        <v>45534.3531309838</v>
      </c>
      <c r="B4629" s="5" t="s">
        <v>34</v>
      </c>
      <c r="D4629" s="5" t="s">
        <v>9394</v>
      </c>
      <c r="E4629" s="5" t="s">
        <v>30669</v>
      </c>
      <c r="F4629" s="5" t="s">
        <v>524</v>
      </c>
      <c r="G4629" s="5" t="s">
        <v>30670</v>
      </c>
      <c r="H4629" s="6" t="s">
        <v>30671</v>
      </c>
      <c r="K4629" s="5" t="s">
        <v>30661</v>
      </c>
      <c r="M4629" s="5" t="s">
        <v>30672</v>
      </c>
      <c r="N4629" s="7" t="s">
        <v>30673</v>
      </c>
      <c r="O4629" s="8" t="str">
        <f>HYPERLINK("https://drive.google.com/file/d/18uDU0e0kCt_RJkoUYVyVfh4XEDFWF0Ac/view?usp=drivesdk","4628_MURSYIDAH _ SERTIFIKAT BerAKHLAK")</f>
        <v>4628_MURSYIDAH _ SERTIFIKAT BerAKHLAK</v>
      </c>
      <c r="P4629" s="5" t="s">
        <v>30664</v>
      </c>
    </row>
    <row r="4630">
      <c r="A4630" s="4">
        <v>45534.35313513889</v>
      </c>
      <c r="B4630" s="5" t="s">
        <v>34</v>
      </c>
      <c r="D4630" s="5" t="s">
        <v>4775</v>
      </c>
      <c r="E4630" s="5" t="s">
        <v>30674</v>
      </c>
      <c r="F4630" s="5" t="s">
        <v>212</v>
      </c>
      <c r="G4630" s="5" t="s">
        <v>30675</v>
      </c>
      <c r="H4630" s="6" t="s">
        <v>30676</v>
      </c>
      <c r="K4630" s="5" t="s">
        <v>30661</v>
      </c>
      <c r="M4630" s="5" t="s">
        <v>30677</v>
      </c>
      <c r="N4630" s="7" t="s">
        <v>30678</v>
      </c>
      <c r="O4630" s="8" t="str">
        <f>HYPERLINK("https://drive.google.com/file/d/1IBIvGViBoOrylXQCmYBl79xZKRxrRcdC/view?usp=drivesdk","4629_SUPARJILAH  _ SERTIFIKAT BerAKHLAK")</f>
        <v>4629_SUPARJILAH  _ SERTIFIKAT BerAKHLAK</v>
      </c>
      <c r="P4630" s="5" t="s">
        <v>30664</v>
      </c>
    </row>
    <row r="4631">
      <c r="A4631" s="4">
        <v>45534.353135763886</v>
      </c>
      <c r="B4631" s="5" t="s">
        <v>34</v>
      </c>
      <c r="D4631" s="5" t="s">
        <v>4775</v>
      </c>
      <c r="E4631" s="5" t="s">
        <v>30679</v>
      </c>
      <c r="F4631" s="5" t="s">
        <v>375</v>
      </c>
      <c r="G4631" s="5" t="s">
        <v>30680</v>
      </c>
      <c r="H4631" s="6" t="s">
        <v>30681</v>
      </c>
      <c r="K4631" s="5" t="s">
        <v>30661</v>
      </c>
      <c r="M4631" s="5" t="s">
        <v>30682</v>
      </c>
      <c r="N4631" s="7" t="s">
        <v>30683</v>
      </c>
      <c r="O4631" s="8" t="str">
        <f>HYPERLINK("https://drive.google.com/file/d/16JPa_JFqrEsjKUu8hONGKkX66-2SjTCN/view?usp=drivesdk","4630_JUWARNI _ SERTIFIKAT BerAKHLAK")</f>
        <v>4630_JUWARNI _ SERTIFIKAT BerAKHLAK</v>
      </c>
      <c r="P4631" s="5" t="s">
        <v>30664</v>
      </c>
    </row>
    <row r="4632">
      <c r="A4632" s="4">
        <v>45534.35313957176</v>
      </c>
      <c r="B4632" s="5" t="s">
        <v>34</v>
      </c>
      <c r="D4632" s="5" t="s">
        <v>12978</v>
      </c>
      <c r="E4632" s="5" t="s">
        <v>30684</v>
      </c>
      <c r="F4632" s="5" t="s">
        <v>72</v>
      </c>
      <c r="G4632" s="5" t="s">
        <v>30685</v>
      </c>
      <c r="H4632" s="6" t="s">
        <v>30686</v>
      </c>
      <c r="K4632" s="5" t="s">
        <v>30661</v>
      </c>
      <c r="M4632" s="5" t="s">
        <v>30687</v>
      </c>
      <c r="N4632" s="7" t="s">
        <v>30688</v>
      </c>
      <c r="O4632" s="8" t="str">
        <f>HYPERLINK("https://drive.google.com/file/d/15PJpLIEpPsXffOLJccwcnUIpVZVFnKs6/view?usp=drivesdk","4631_EKA WATI.S.Sos _ SERTIFIKAT BerAKHLAK")</f>
        <v>4631_EKA WATI.S.Sos _ SERTIFIKAT BerAKHLAK</v>
      </c>
      <c r="P4632" s="5" t="s">
        <v>30689</v>
      </c>
    </row>
    <row r="4633">
      <c r="A4633" s="4">
        <v>45534.35314114583</v>
      </c>
      <c r="B4633" s="5" t="s">
        <v>34</v>
      </c>
      <c r="D4633" s="5" t="s">
        <v>1206</v>
      </c>
      <c r="E4633" s="5" t="s">
        <v>30690</v>
      </c>
      <c r="F4633" s="5" t="s">
        <v>375</v>
      </c>
      <c r="G4633" s="5" t="s">
        <v>30691</v>
      </c>
      <c r="H4633" s="6" t="s">
        <v>30692</v>
      </c>
      <c r="K4633" s="5" t="s">
        <v>30661</v>
      </c>
      <c r="M4633" s="5" t="s">
        <v>30693</v>
      </c>
      <c r="N4633" s="7" t="s">
        <v>30694</v>
      </c>
      <c r="O4633" s="8" t="str">
        <f>HYPERLINK("https://drive.google.com/file/d/1ndUxLnKqIeJrnO6J_oz2oSw21LQywben/view?usp=drivesdk","4632_Trichumik Mery Fikriyah.,S.H. _ SERTIFIKAT BerAKHLAK")</f>
        <v>4632_Trichumik Mery Fikriyah.,S.H. _ SERTIFIKAT BerAKHLAK</v>
      </c>
      <c r="P4633" s="5" t="s">
        <v>30689</v>
      </c>
    </row>
    <row r="4634">
      <c r="A4634" s="4">
        <v>45534.353145891204</v>
      </c>
      <c r="B4634" s="5" t="s">
        <v>34</v>
      </c>
      <c r="D4634" s="5" t="s">
        <v>4775</v>
      </c>
      <c r="E4634" s="5" t="s">
        <v>30695</v>
      </c>
      <c r="F4634" s="5" t="s">
        <v>37</v>
      </c>
      <c r="G4634" s="5" t="s">
        <v>30696</v>
      </c>
      <c r="H4634" s="6" t="s">
        <v>30697</v>
      </c>
      <c r="K4634" s="5" t="s">
        <v>30661</v>
      </c>
      <c r="M4634" s="5" t="s">
        <v>30698</v>
      </c>
      <c r="N4634" s="7" t="s">
        <v>30699</v>
      </c>
      <c r="O4634" s="8" t="str">
        <f>HYPERLINK("https://drive.google.com/file/d/1rQcaSTWC3Z1HYeTuisGC8zRJJW12uQfm/view?usp=drivesdk","4633_JULIAN SHADEN MANDANI, A.Md.Kom. _ SERTIFIKAT BerAKHLAK")</f>
        <v>4633_JULIAN SHADEN MANDANI, A.Md.Kom. _ SERTIFIKAT BerAKHLAK</v>
      </c>
      <c r="P4634" s="5" t="s">
        <v>30689</v>
      </c>
    </row>
    <row r="4635">
      <c r="A4635" s="4">
        <v>45534.35315069444</v>
      </c>
      <c r="B4635" s="5" t="s">
        <v>34</v>
      </c>
      <c r="D4635" s="5" t="s">
        <v>280</v>
      </c>
      <c r="E4635" s="5" t="s">
        <v>30700</v>
      </c>
      <c r="F4635" s="5" t="s">
        <v>72</v>
      </c>
      <c r="G4635" s="5" t="s">
        <v>30701</v>
      </c>
      <c r="H4635" s="6" t="s">
        <v>30702</v>
      </c>
      <c r="I4635" s="7" t="s">
        <v>30703</v>
      </c>
      <c r="J4635" s="8" t="str">
        <f>HYPERLINK("https://drive.google.com/file/d/1TsmmVIa2qLyusvGvViJIF-TSD3jNG5WO/view?usp=drivesdk","CHRISTOPHER P SIMARMATA, S.KOM., M.H. SERTIFIKAT BerAKHLAK")</f>
        <v>CHRISTOPHER P SIMARMATA, S.KOM., M.H. SERTIFIKAT BerAKHLAK</v>
      </c>
      <c r="K4635" s="5" t="s">
        <v>29695</v>
      </c>
      <c r="L4635" s="5" t="s">
        <v>30704</v>
      </c>
      <c r="M4635" s="5" t="s">
        <v>30705</v>
      </c>
      <c r="N4635" s="7" t="s">
        <v>30706</v>
      </c>
      <c r="O4635" s="8" t="str">
        <f>HYPERLINK("https://drive.google.com/file/d/1vKM3znKJ-QzHpBbDjON8rmN1YVxhjbyk/view?usp=drivesdk","4634_CHRISTOPHER P SIMARMATA, S.KOM., M.H. _ SERTIFIKAT BerAKHLAK")</f>
        <v>4634_CHRISTOPHER P SIMARMATA, S.KOM., M.H. _ SERTIFIKAT BerAKHLAK</v>
      </c>
      <c r="P4635" s="5" t="s">
        <v>30689</v>
      </c>
    </row>
    <row r="4636">
      <c r="A4636" s="4">
        <v>45534.353154247685</v>
      </c>
      <c r="B4636" s="5" t="s">
        <v>34</v>
      </c>
      <c r="D4636" s="5" t="s">
        <v>1206</v>
      </c>
      <c r="E4636" s="5" t="s">
        <v>30707</v>
      </c>
      <c r="F4636" s="5" t="s">
        <v>212</v>
      </c>
      <c r="G4636" s="5" t="s">
        <v>30708</v>
      </c>
      <c r="H4636" s="6" t="s">
        <v>30709</v>
      </c>
      <c r="I4636" s="7" t="s">
        <v>30710</v>
      </c>
      <c r="J4636" s="8" t="str">
        <f>HYPERLINK("https://drive.google.com/file/d/1OP37KpGEpGQb9vmVsCpdB17C_mnlJ7rE/view?usp=drivesdk","HENI WAHYUNINGSIH SERTIFIKAT BerAKHLAK")</f>
        <v>HENI WAHYUNINGSIH SERTIFIKAT BerAKHLAK</v>
      </c>
      <c r="K4636" s="5" t="s">
        <v>29717</v>
      </c>
      <c r="L4636" s="5" t="s">
        <v>30711</v>
      </c>
      <c r="M4636" s="5" t="s">
        <v>30712</v>
      </c>
      <c r="N4636" s="7" t="s">
        <v>30713</v>
      </c>
      <c r="O4636" s="8" t="str">
        <f>HYPERLINK("https://drive.google.com/file/d/1SbqXWccHRuW7YD9Y0xLhOfLVS8pA1rs3/view?usp=drivesdk","4635_HENI WAHYUNINGSIH _ SERTIFIKAT BerAKHLAK")</f>
        <v>4635_HENI WAHYUNINGSIH _ SERTIFIKAT BerAKHLAK</v>
      </c>
      <c r="P4636" s="5" t="s">
        <v>30689</v>
      </c>
    </row>
    <row r="4637">
      <c r="A4637" s="4">
        <v>45534.35315510417</v>
      </c>
      <c r="B4637" s="5" t="s">
        <v>34</v>
      </c>
      <c r="D4637" s="5" t="s">
        <v>4775</v>
      </c>
      <c r="E4637" s="5" t="s">
        <v>12578</v>
      </c>
      <c r="F4637" s="5" t="s">
        <v>72</v>
      </c>
      <c r="G4637" s="5" t="s">
        <v>30714</v>
      </c>
      <c r="H4637" s="6" t="s">
        <v>30715</v>
      </c>
      <c r="I4637" s="7" t="s">
        <v>30716</v>
      </c>
      <c r="J4637" s="8" t="str">
        <f>HYPERLINK("https://drive.google.com/file/d/17NR8hS4GDk15Mxe6C33-pivqkpTZ1iU8/view?usp=drivesdk","SULISTYOWATI  SERTIFIKAT BerAKHLAK")</f>
        <v>SULISTYOWATI  SERTIFIKAT BerAKHLAK</v>
      </c>
      <c r="K4637" s="5" t="s">
        <v>29695</v>
      </c>
      <c r="L4637" s="5" t="s">
        <v>30717</v>
      </c>
      <c r="M4637" s="5" t="s">
        <v>30718</v>
      </c>
      <c r="N4637" s="7" t="s">
        <v>30719</v>
      </c>
      <c r="O4637" s="8" t="str">
        <f>HYPERLINK("https://drive.google.com/file/d/17rReM5_dChQspu8PPRkuS_tkmqkrnZWU/view?usp=drivesdk","4636_SULISTYOWATI  _ SERTIFIKAT BerAKHLAK")</f>
        <v>4636_SULISTYOWATI  _ SERTIFIKAT BerAKHLAK</v>
      </c>
      <c r="P4637" s="5" t="s">
        <v>30720</v>
      </c>
    </row>
    <row r="4638">
      <c r="A4638" s="4">
        <v>45534.35315753472</v>
      </c>
      <c r="B4638" s="5" t="s">
        <v>34</v>
      </c>
      <c r="D4638" s="5" t="s">
        <v>4775</v>
      </c>
      <c r="E4638" s="5" t="s">
        <v>30721</v>
      </c>
      <c r="F4638" s="5" t="s">
        <v>375</v>
      </c>
      <c r="G4638" s="5" t="s">
        <v>30722</v>
      </c>
      <c r="H4638" s="6" t="s">
        <v>30723</v>
      </c>
      <c r="I4638" s="7" t="s">
        <v>30724</v>
      </c>
      <c r="J4638" s="8" t="str">
        <f>HYPERLINK("https://drive.google.com/file/d/1CUz3x1qseR4RcBuYFqMHCmbHSwyfEI9-/view?usp=drivesdk","AGUS SUWARTONO SERTIFIKAT BerAKHLAK")</f>
        <v>AGUS SUWARTONO SERTIFIKAT BerAKHLAK</v>
      </c>
      <c r="K4638" s="5" t="s">
        <v>29717</v>
      </c>
      <c r="L4638" s="5" t="s">
        <v>30725</v>
      </c>
      <c r="M4638" s="5" t="s">
        <v>30726</v>
      </c>
      <c r="N4638" s="7" t="s">
        <v>30727</v>
      </c>
      <c r="O4638" s="8" t="str">
        <f>HYPERLINK("https://drive.google.com/file/d/1Npl_GlhwO6K3K-DAXce5Y3cxqbEQsdNv/view?usp=drivesdk","4637_AGUS SUWARTONO _ SERTIFIKAT BerAKHLAK")</f>
        <v>4637_AGUS SUWARTONO _ SERTIFIKAT BerAKHLAK</v>
      </c>
      <c r="P4638" s="5" t="s">
        <v>30720</v>
      </c>
    </row>
    <row r="4639">
      <c r="A4639" s="4">
        <v>45534.3531649537</v>
      </c>
      <c r="B4639" s="5" t="s">
        <v>34</v>
      </c>
      <c r="D4639" s="5" t="s">
        <v>996</v>
      </c>
      <c r="E4639" s="5" t="s">
        <v>30728</v>
      </c>
      <c r="F4639" s="5" t="s">
        <v>212</v>
      </c>
      <c r="G4639" s="5" t="s">
        <v>30729</v>
      </c>
      <c r="H4639" s="6" t="s">
        <v>30730</v>
      </c>
      <c r="I4639" s="7" t="s">
        <v>30731</v>
      </c>
      <c r="J4639" s="8" t="str">
        <f>HYPERLINK("https://drive.google.com/file/d/1A7khHt5NuldLI__mqw5kTHbil5gMSPko/view?usp=drivesdk","ENDANG SRI WAHYUNI  SERTIFIKAT BerAKHLAK")</f>
        <v>ENDANG SRI WAHYUNI  SERTIFIKAT BerAKHLAK</v>
      </c>
      <c r="K4639" s="5" t="s">
        <v>29717</v>
      </c>
      <c r="L4639" s="5" t="s">
        <v>30732</v>
      </c>
      <c r="M4639" s="5" t="s">
        <v>30733</v>
      </c>
      <c r="N4639" s="7" t="s">
        <v>30734</v>
      </c>
      <c r="O4639" s="8" t="str">
        <f>HYPERLINK("https://drive.google.com/file/d/1e2msX-XhYhEG8yD2rE4FAoXboF7iHZWb/view?usp=drivesdk","4638_ENDANG SRI WAHYUNI  _ SERTIFIKAT BerAKHLAK")</f>
        <v>4638_ENDANG SRI WAHYUNI  _ SERTIFIKAT BerAKHLAK</v>
      </c>
      <c r="P4639" s="5" t="s">
        <v>30720</v>
      </c>
    </row>
    <row r="4640">
      <c r="A4640" s="4">
        <v>45534.35316583334</v>
      </c>
      <c r="B4640" s="5" t="s">
        <v>34</v>
      </c>
      <c r="D4640" s="5" t="s">
        <v>12978</v>
      </c>
      <c r="E4640" s="5" t="s">
        <v>30735</v>
      </c>
      <c r="F4640" s="5" t="s">
        <v>212</v>
      </c>
      <c r="G4640" s="5" t="s">
        <v>30736</v>
      </c>
      <c r="H4640" s="6" t="s">
        <v>30737</v>
      </c>
      <c r="I4640" s="7" t="s">
        <v>30738</v>
      </c>
      <c r="J4640" s="8" t="str">
        <f>HYPERLINK("https://drive.google.com/file/d/18sRS__j3DDipG7Z2YKwezHl_poIhAMo6/view?usp=drivesdk","SUGIATNI SERTIFIKAT BerAKHLAK")</f>
        <v>SUGIATNI SERTIFIKAT BerAKHLAK</v>
      </c>
      <c r="K4640" s="5" t="s">
        <v>29717</v>
      </c>
      <c r="L4640" s="5" t="s">
        <v>30739</v>
      </c>
      <c r="M4640" s="5" t="s">
        <v>30740</v>
      </c>
      <c r="N4640" s="7" t="s">
        <v>30741</v>
      </c>
      <c r="O4640" s="8" t="str">
        <f>HYPERLINK("https://drive.google.com/file/d/1x-9qM513oAaiu5f54Uf9ZbIM0xfKO2cU/view?usp=drivesdk","4639_SUGIATNI _ SERTIFIKAT BerAKHLAK")</f>
        <v>4639_SUGIATNI _ SERTIFIKAT BerAKHLAK</v>
      </c>
      <c r="P4640" s="5" t="s">
        <v>30720</v>
      </c>
    </row>
    <row r="4641">
      <c r="A4641" s="4">
        <v>45534.35318100694</v>
      </c>
      <c r="B4641" s="5" t="s">
        <v>34</v>
      </c>
      <c r="D4641" s="5" t="s">
        <v>1768</v>
      </c>
      <c r="E4641" s="5" t="s">
        <v>22677</v>
      </c>
      <c r="F4641" s="5" t="s">
        <v>108</v>
      </c>
      <c r="G4641" s="5" t="s">
        <v>30742</v>
      </c>
      <c r="H4641" s="6" t="s">
        <v>30743</v>
      </c>
      <c r="I4641" s="7" t="s">
        <v>30744</v>
      </c>
      <c r="J4641" s="8" t="str">
        <f>HYPERLINK("https://drive.google.com/file/d/1gSfBlzRs2ctzCaoZ8MUxkrH2A9KD_qWf/view?usp=drivesdk","SUNARDI SERTIFIKAT BerAKHLAK")</f>
        <v>SUNARDI SERTIFIKAT BerAKHLAK</v>
      </c>
      <c r="K4641" s="5" t="s">
        <v>29717</v>
      </c>
      <c r="L4641" s="5" t="s">
        <v>30745</v>
      </c>
      <c r="M4641" s="5" t="s">
        <v>30746</v>
      </c>
      <c r="N4641" s="7" t="s">
        <v>30747</v>
      </c>
      <c r="O4641" s="8" t="str">
        <f>HYPERLINK("https://drive.google.com/file/d/1re6mQYX1-TjO2idPg_CM8ZUTEJVJOQHO/view?usp=drivesdk","4640_SUNARDI _ SERTIFIKAT BerAKHLAK")</f>
        <v>4640_SUNARDI _ SERTIFIKAT BerAKHLAK</v>
      </c>
      <c r="P4641" s="5" t="s">
        <v>30748</v>
      </c>
    </row>
    <row r="4642">
      <c r="A4642" s="4">
        <v>45534.35318063658</v>
      </c>
      <c r="B4642" s="5" t="s">
        <v>34</v>
      </c>
      <c r="D4642" s="5" t="s">
        <v>280</v>
      </c>
      <c r="E4642" s="5" t="s">
        <v>30749</v>
      </c>
      <c r="F4642" s="5" t="s">
        <v>37</v>
      </c>
      <c r="G4642" s="5" t="s">
        <v>30750</v>
      </c>
      <c r="H4642" s="6" t="s">
        <v>30751</v>
      </c>
      <c r="I4642" s="7" t="s">
        <v>30752</v>
      </c>
      <c r="J4642" s="8" t="str">
        <f>HYPERLINK("https://drive.google.com/file/d/1OoW2fGVF4nGXTJFJ0lJhpPy-yNrcms_L/view?usp=drivesdk","MURNALIS SERTIFIKAT BerAKHLAK")</f>
        <v>MURNALIS SERTIFIKAT BerAKHLAK</v>
      </c>
      <c r="K4642" s="5" t="s">
        <v>29717</v>
      </c>
      <c r="L4642" s="5" t="s">
        <v>30753</v>
      </c>
      <c r="M4642" s="5" t="s">
        <v>30754</v>
      </c>
      <c r="N4642" s="7" t="s">
        <v>30755</v>
      </c>
      <c r="O4642" s="8" t="str">
        <f>HYPERLINK("https://drive.google.com/file/d/1_dBH-1ldgoQRCDa6rO17YpPbTVAcJO9E/view?usp=drivesdk","4641_MURNALIS _ SERTIFIKAT BerAKHLAK")</f>
        <v>4641_MURNALIS _ SERTIFIKAT BerAKHLAK</v>
      </c>
      <c r="P4642" s="5" t="s">
        <v>30748</v>
      </c>
    </row>
    <row r="4643">
      <c r="A4643" s="4">
        <v>45534.35319363426</v>
      </c>
      <c r="B4643" s="5" t="s">
        <v>34</v>
      </c>
      <c r="D4643" s="5" t="s">
        <v>10444</v>
      </c>
      <c r="E4643" s="5" t="s">
        <v>30756</v>
      </c>
      <c r="F4643" s="5" t="s">
        <v>524</v>
      </c>
      <c r="G4643" s="5" t="s">
        <v>30757</v>
      </c>
      <c r="H4643" s="6" t="s">
        <v>30758</v>
      </c>
      <c r="K4643" s="5" t="s">
        <v>30759</v>
      </c>
      <c r="M4643" s="5" t="s">
        <v>30760</v>
      </c>
      <c r="N4643" s="7" t="s">
        <v>30761</v>
      </c>
      <c r="O4643" s="8" t="str">
        <f>HYPERLINK("https://drive.google.com/file/d/1S3kKTpwIUrevojYZhygPZOMK6jPVTuL8/view?usp=drivesdk","4642_MAYASARI DEWI _ SERTIFIKAT BerAKHLAK")</f>
        <v>4642_MAYASARI DEWI _ SERTIFIKAT BerAKHLAK</v>
      </c>
      <c r="P4643" s="5" t="s">
        <v>30748</v>
      </c>
    </row>
    <row r="4644" hidden="1">
      <c r="A4644" s="4">
        <v>45534.35319951389</v>
      </c>
      <c r="B4644" s="5" t="s">
        <v>19</v>
      </c>
      <c r="C4644" s="5" t="s">
        <v>1498</v>
      </c>
      <c r="E4644" s="5" t="s">
        <v>30762</v>
      </c>
      <c r="F4644" s="5" t="s">
        <v>108</v>
      </c>
      <c r="G4644" s="5" t="s">
        <v>30763</v>
      </c>
      <c r="H4644" s="6" t="s">
        <v>30764</v>
      </c>
      <c r="K4644" s="5" t="s">
        <v>30759</v>
      </c>
      <c r="M4644" s="5" t="s">
        <v>30765</v>
      </c>
      <c r="N4644" s="7" t="s">
        <v>30766</v>
      </c>
      <c r="O4644" s="8" t="str">
        <f>HYPERLINK("https://drive.google.com/file/d/1-9wdGfd8GBE3o0P-URkqzyXcVuMFGIU3/view?usp=drivesdk","4643_BASUKI  _ SERTIFIKAT BerAKHLAK")</f>
        <v>4643_BASUKI  _ SERTIFIKAT BerAKHLAK</v>
      </c>
      <c r="P4644" s="5" t="s">
        <v>30767</v>
      </c>
    </row>
    <row r="4645">
      <c r="A4645" s="4">
        <v>45534.35320912037</v>
      </c>
      <c r="B4645" s="5" t="s">
        <v>34</v>
      </c>
      <c r="D4645" s="5" t="s">
        <v>35</v>
      </c>
      <c r="E4645" s="5" t="s">
        <v>13894</v>
      </c>
      <c r="F4645" s="5" t="s">
        <v>524</v>
      </c>
      <c r="G4645" s="5" t="s">
        <v>30768</v>
      </c>
      <c r="H4645" s="6" t="s">
        <v>30769</v>
      </c>
      <c r="K4645" s="5" t="s">
        <v>30770</v>
      </c>
      <c r="M4645" s="5" t="s">
        <v>30771</v>
      </c>
      <c r="N4645" s="7" t="s">
        <v>30772</v>
      </c>
      <c r="O4645" s="8" t="str">
        <f>HYPERLINK("https://drive.google.com/file/d/1ozN7WwJJIvR4aeQ_XzQUnuVWKX-T6qS9/view?usp=drivesdk","4644_WIWIN WINDU WULAN _ SERTIFIKAT BerAKHLAK")</f>
        <v>4644_WIWIN WINDU WULAN _ SERTIFIKAT BerAKHLAK</v>
      </c>
      <c r="P4645" s="5" t="s">
        <v>30767</v>
      </c>
    </row>
    <row r="4646">
      <c r="A4646" s="4">
        <v>45534.35321608796</v>
      </c>
      <c r="B4646" s="5" t="s">
        <v>34</v>
      </c>
      <c r="D4646" s="5" t="s">
        <v>9020</v>
      </c>
      <c r="E4646" s="5" t="s">
        <v>30773</v>
      </c>
      <c r="F4646" s="5" t="s">
        <v>212</v>
      </c>
      <c r="G4646" s="5" t="s">
        <v>30774</v>
      </c>
      <c r="H4646" s="6" t="s">
        <v>30775</v>
      </c>
      <c r="K4646" s="5" t="s">
        <v>30770</v>
      </c>
      <c r="M4646" s="5" t="s">
        <v>30776</v>
      </c>
      <c r="N4646" s="7" t="s">
        <v>30777</v>
      </c>
      <c r="O4646" s="8" t="str">
        <f>HYPERLINK("https://drive.google.com/file/d/15IQvHGc0Pn0G-Ue9-cOgePBdOKQNMSYR/view?usp=drivesdk","4645_RISMA NABABAN _ SERTIFIKAT BerAKHLAK")</f>
        <v>4645_RISMA NABABAN _ SERTIFIKAT BerAKHLAK</v>
      </c>
      <c r="P4646" s="5" t="s">
        <v>30767</v>
      </c>
    </row>
    <row r="4647">
      <c r="A4647" s="4">
        <v>45534.353218530094</v>
      </c>
      <c r="B4647" s="5" t="s">
        <v>34</v>
      </c>
      <c r="D4647" s="5" t="s">
        <v>1206</v>
      </c>
      <c r="E4647" s="5" t="s">
        <v>30778</v>
      </c>
      <c r="F4647" s="5" t="s">
        <v>37</v>
      </c>
      <c r="G4647" s="5" t="s">
        <v>30779</v>
      </c>
      <c r="H4647" s="6" t="s">
        <v>30780</v>
      </c>
      <c r="K4647" s="5" t="s">
        <v>30770</v>
      </c>
      <c r="M4647" s="5" t="s">
        <v>30781</v>
      </c>
      <c r="N4647" s="7" t="s">
        <v>30782</v>
      </c>
      <c r="O4647" s="8" t="str">
        <f>HYPERLINK("https://drive.google.com/file/d/1BLyd-hHHRWzZxVZMneJKfaPLovlFxDSn/view?usp=drivesdk","4646_NURDI ISWANTORO _ SERTIFIKAT BerAKHLAK")</f>
        <v>4646_NURDI ISWANTORO _ SERTIFIKAT BerAKHLAK</v>
      </c>
      <c r="P4647" s="5" t="s">
        <v>30767</v>
      </c>
    </row>
    <row r="4648">
      <c r="A4648" s="4">
        <v>45534.35321891204</v>
      </c>
      <c r="B4648" s="5" t="s">
        <v>34</v>
      </c>
      <c r="D4648" s="5" t="s">
        <v>1206</v>
      </c>
      <c r="E4648" s="5" t="s">
        <v>30783</v>
      </c>
      <c r="F4648" s="5" t="s">
        <v>375</v>
      </c>
      <c r="G4648" s="5" t="s">
        <v>30784</v>
      </c>
      <c r="H4648" s="6" t="s">
        <v>30785</v>
      </c>
      <c r="I4648" s="7" t="s">
        <v>30786</v>
      </c>
      <c r="J4648" s="8" t="str">
        <f>HYPERLINK("https://drive.google.com/file/d/1My3x_WkZk0SEwSMQNTIPsc9zMAmhECvj/view?usp=drivesdk","ENNI TRI WAHYURINI SERTIFIKAT BerAKHLAK")</f>
        <v>ENNI TRI WAHYURINI SERTIFIKAT BerAKHLAK</v>
      </c>
      <c r="K4648" s="5" t="s">
        <v>29717</v>
      </c>
      <c r="L4648" s="5" t="s">
        <v>30787</v>
      </c>
      <c r="M4648" s="5" t="s">
        <v>30788</v>
      </c>
      <c r="N4648" s="7" t="s">
        <v>30789</v>
      </c>
      <c r="O4648" s="8" t="str">
        <f>HYPERLINK("https://drive.google.com/file/d/11BdggvAE0AzCip7CfsEDJ_pXKsW5HxFK/view?usp=drivesdk","4647_ENNI TRI WAHYURINI _ SERTIFIKAT BerAKHLAK")</f>
        <v>4647_ENNI TRI WAHYURINI _ SERTIFIKAT BerAKHLAK</v>
      </c>
      <c r="P4648" s="5" t="s">
        <v>30767</v>
      </c>
    </row>
    <row r="4649">
      <c r="A4649" s="4">
        <v>45534.35322414352</v>
      </c>
      <c r="B4649" s="5" t="s">
        <v>34</v>
      </c>
      <c r="D4649" s="5" t="s">
        <v>1206</v>
      </c>
      <c r="E4649" s="5" t="s">
        <v>30790</v>
      </c>
      <c r="F4649" s="5" t="s">
        <v>212</v>
      </c>
      <c r="G4649" s="5" t="s">
        <v>30791</v>
      </c>
      <c r="H4649" s="6" t="s">
        <v>30792</v>
      </c>
      <c r="I4649" s="7" t="s">
        <v>30793</v>
      </c>
      <c r="J4649" s="8" t="str">
        <f>HYPERLINK("https://drive.google.com/file/d/13Ga6HxuMguLJANsM-32Fkwh2qJ6eTkdI/view?usp=drivesdk","ERYANTO  SERTIFIKAT BerAKHLAK")</f>
        <v>ERYANTO  SERTIFIKAT BerAKHLAK</v>
      </c>
      <c r="K4649" s="5" t="s">
        <v>29717</v>
      </c>
      <c r="L4649" s="5" t="s">
        <v>30794</v>
      </c>
      <c r="M4649" s="5" t="s">
        <v>30795</v>
      </c>
      <c r="N4649" s="7" t="s">
        <v>30796</v>
      </c>
      <c r="O4649" s="8" t="str">
        <f>HYPERLINK("https://drive.google.com/file/d/1-NVry5lak-hNbLVQ7lumuvykic0kFBaV/view?usp=drivesdk","4648_ERYANTO  _ SERTIFIKAT BerAKHLAK")</f>
        <v>4648_ERYANTO  _ SERTIFIKAT BerAKHLAK</v>
      </c>
      <c r="P4649" s="5" t="s">
        <v>30797</v>
      </c>
    </row>
    <row r="4650">
      <c r="A4650" s="4">
        <v>45534.35322682871</v>
      </c>
      <c r="B4650" s="5" t="s">
        <v>34</v>
      </c>
      <c r="D4650" s="5" t="s">
        <v>1206</v>
      </c>
      <c r="E4650" s="5" t="s">
        <v>30798</v>
      </c>
      <c r="F4650" s="5" t="s">
        <v>212</v>
      </c>
      <c r="G4650" s="5" t="s">
        <v>30799</v>
      </c>
      <c r="H4650" s="6" t="s">
        <v>30800</v>
      </c>
      <c r="K4650" s="5" t="s">
        <v>30801</v>
      </c>
      <c r="M4650" s="5" t="s">
        <v>30802</v>
      </c>
      <c r="N4650" s="7" t="s">
        <v>30803</v>
      </c>
      <c r="O4650" s="8" t="str">
        <f>HYPERLINK("https://drive.google.com/file/d/1JdbqGyvJKViqiduxgjiKRk4bMDKlEjgn/view?usp=drivesdk","4649_TRINISWATI _ SERTIFIKAT BerAKHLAK")</f>
        <v>4649_TRINISWATI _ SERTIFIKAT BerAKHLAK</v>
      </c>
      <c r="P4650" s="5" t="s">
        <v>30797</v>
      </c>
    </row>
    <row r="4651">
      <c r="A4651" s="4">
        <v>45534.353229699074</v>
      </c>
      <c r="B4651" s="5" t="s">
        <v>34</v>
      </c>
      <c r="D4651" s="5" t="s">
        <v>11527</v>
      </c>
      <c r="E4651" s="5" t="s">
        <v>30804</v>
      </c>
      <c r="F4651" s="5" t="s">
        <v>212</v>
      </c>
      <c r="G4651" s="5" t="s">
        <v>30805</v>
      </c>
      <c r="H4651" s="6" t="s">
        <v>30806</v>
      </c>
      <c r="K4651" s="5" t="s">
        <v>30801</v>
      </c>
      <c r="M4651" s="5" t="s">
        <v>30807</v>
      </c>
      <c r="N4651" s="7" t="s">
        <v>30808</v>
      </c>
      <c r="O4651" s="8" t="str">
        <f>HYPERLINK("https://drive.google.com/file/d/1YywSlItgqZ3ZnqcdZcSzsc8E6DJ1rDcr/view?usp=drivesdk","4650_RINDY MUJIANTI _ SERTIFIKAT BerAKHLAK")</f>
        <v>4650_RINDY MUJIANTI _ SERTIFIKAT BerAKHLAK</v>
      </c>
      <c r="P4651" s="5" t="s">
        <v>30797</v>
      </c>
    </row>
    <row r="4652">
      <c r="A4652" s="4">
        <v>45534.353255497685</v>
      </c>
      <c r="B4652" s="5" t="s">
        <v>34</v>
      </c>
      <c r="D4652" s="5" t="s">
        <v>9020</v>
      </c>
      <c r="E4652" s="5" t="s">
        <v>30809</v>
      </c>
      <c r="F4652" s="5" t="s">
        <v>72</v>
      </c>
      <c r="G4652" s="5" t="s">
        <v>30810</v>
      </c>
      <c r="H4652" s="6" t="s">
        <v>30811</v>
      </c>
      <c r="I4652" s="7" t="s">
        <v>30812</v>
      </c>
      <c r="J4652" s="8" t="str">
        <f>HYPERLINK("https://drive.google.com/file/d/1NOEeHrSiuboVXW1A_cXKG-uAc6toIB8r/view?usp=drivesdk","dr. FENTI OKTAVIANI MENDROFA SERTIFIKAT BerAKHLAK")</f>
        <v>dr. FENTI OKTAVIANI MENDROFA SERTIFIKAT BerAKHLAK</v>
      </c>
      <c r="K4652" s="5" t="s">
        <v>29717</v>
      </c>
      <c r="L4652" s="5" t="s">
        <v>30813</v>
      </c>
      <c r="M4652" s="5" t="s">
        <v>30814</v>
      </c>
      <c r="N4652" s="7" t="s">
        <v>30815</v>
      </c>
      <c r="O4652" s="8" t="str">
        <f>HYPERLINK("https://drive.google.com/file/d/1Si_qI6g-2gkRQCkxOWK7sbRMABEOM2kS/view?usp=drivesdk","4651_dr. FENTI OKTAVIANI MENDROFA _ SERTIFIKAT BerAKHLAK")</f>
        <v>4651_dr. FENTI OKTAVIANI MENDROFA _ SERTIFIKAT BerAKHLAK</v>
      </c>
      <c r="P4652" s="5" t="s">
        <v>30816</v>
      </c>
    </row>
    <row r="4653">
      <c r="A4653" s="4">
        <v>45534.353259166666</v>
      </c>
      <c r="B4653" s="5" t="s">
        <v>34</v>
      </c>
      <c r="D4653" s="5" t="s">
        <v>12010</v>
      </c>
      <c r="E4653" s="5" t="s">
        <v>30817</v>
      </c>
      <c r="F4653" s="5" t="s">
        <v>37</v>
      </c>
      <c r="G4653" s="5" t="s">
        <v>30818</v>
      </c>
      <c r="H4653" s="6" t="s">
        <v>30819</v>
      </c>
      <c r="I4653" s="7" t="s">
        <v>30820</v>
      </c>
      <c r="J4653" s="8" t="str">
        <f>HYPERLINK("https://drive.google.com/file/d/1UsIVlHLrAs-_Hs7vEOMwyLlSKIgEZUNn/view?usp=drivesdk","RITA JUSUF EYATO SERTIFIKAT BerAKHLAK")</f>
        <v>RITA JUSUF EYATO SERTIFIKAT BerAKHLAK</v>
      </c>
      <c r="K4653" s="5" t="s">
        <v>29717</v>
      </c>
      <c r="L4653" s="5" t="s">
        <v>30821</v>
      </c>
      <c r="M4653" s="5" t="s">
        <v>30822</v>
      </c>
      <c r="N4653" s="7" t="s">
        <v>30823</v>
      </c>
      <c r="O4653" s="8" t="str">
        <f>HYPERLINK("https://drive.google.com/file/d/1xbWjwLjuprf8vJfUD79AzS5G1oLcowB0/view?usp=drivesdk","4652_RITA JUSUF EYATO _ SERTIFIKAT BerAKHLAK")</f>
        <v>4652_RITA JUSUF EYATO _ SERTIFIKAT BerAKHLAK</v>
      </c>
      <c r="P4653" s="5" t="s">
        <v>30816</v>
      </c>
    </row>
    <row r="4654">
      <c r="A4654" s="4">
        <v>45534.35326686343</v>
      </c>
      <c r="B4654" s="5" t="s">
        <v>34</v>
      </c>
      <c r="D4654" s="5" t="s">
        <v>1206</v>
      </c>
      <c r="E4654" s="5" t="s">
        <v>30824</v>
      </c>
      <c r="F4654" s="5" t="s">
        <v>72</v>
      </c>
      <c r="G4654" s="5" t="s">
        <v>30825</v>
      </c>
      <c r="H4654" s="6" t="s">
        <v>30826</v>
      </c>
      <c r="I4654" s="7" t="s">
        <v>30827</v>
      </c>
      <c r="J4654" s="8" t="str">
        <f>HYPERLINK("https://drive.google.com/file/d/1ALjVb7YGMxG0HmCuTcRHihCK3loNAWJ_/view?usp=drivesdk","SISWANTININGSIH, SH SERTIFIKAT BerAKHLAK")</f>
        <v>SISWANTININGSIH, SH SERTIFIKAT BerAKHLAK</v>
      </c>
      <c r="K4654" s="5" t="s">
        <v>29717</v>
      </c>
      <c r="L4654" s="5" t="s">
        <v>30828</v>
      </c>
      <c r="M4654" s="5" t="s">
        <v>30829</v>
      </c>
      <c r="N4654" s="7" t="s">
        <v>30830</v>
      </c>
      <c r="O4654" s="8" t="str">
        <f>HYPERLINK("https://drive.google.com/file/d/16zfVsVwI_O5V1qGiZROa35j9y6bitGL-/view?usp=drivesdk","4653_SISWANTININGSIH, SH _ SERTIFIKAT BerAKHLAK")</f>
        <v>4653_SISWANTININGSIH, SH _ SERTIFIKAT BerAKHLAK</v>
      </c>
      <c r="P4654" s="5" t="s">
        <v>30816</v>
      </c>
    </row>
    <row r="4655">
      <c r="A4655" s="4">
        <v>45534.35327744213</v>
      </c>
      <c r="B4655" s="5" t="s">
        <v>34</v>
      </c>
      <c r="D4655" s="5" t="s">
        <v>4775</v>
      </c>
      <c r="E4655" s="5" t="s">
        <v>30831</v>
      </c>
      <c r="F4655" s="5" t="s">
        <v>524</v>
      </c>
      <c r="G4655" s="5" t="s">
        <v>30832</v>
      </c>
      <c r="H4655" s="6" t="s">
        <v>30833</v>
      </c>
      <c r="K4655" s="5" t="s">
        <v>30834</v>
      </c>
      <c r="M4655" s="5" t="s">
        <v>30835</v>
      </c>
      <c r="N4655" s="7" t="s">
        <v>30836</v>
      </c>
      <c r="O4655" s="8" t="str">
        <f>HYPERLINK("https://drive.google.com/file/d/1c9yyPlfWcPV2LF09WGoZXgzCEZD5QFOe/view?usp=drivesdk","4654_AHMAD SOBIRIN _ SERTIFIKAT BerAKHLAK")</f>
        <v>4654_AHMAD SOBIRIN _ SERTIFIKAT BerAKHLAK</v>
      </c>
      <c r="P4655" s="5" t="s">
        <v>30816</v>
      </c>
    </row>
    <row r="4656">
      <c r="A4656" s="4">
        <v>45534.35327733796</v>
      </c>
      <c r="B4656" s="5" t="s">
        <v>34</v>
      </c>
      <c r="D4656" s="5" t="s">
        <v>10444</v>
      </c>
      <c r="E4656" s="5" t="s">
        <v>30837</v>
      </c>
      <c r="F4656" s="5" t="s">
        <v>375</v>
      </c>
      <c r="G4656" s="5" t="s">
        <v>30838</v>
      </c>
      <c r="H4656" s="6" t="s">
        <v>30839</v>
      </c>
      <c r="K4656" s="5" t="s">
        <v>30834</v>
      </c>
      <c r="M4656" s="5" t="s">
        <v>30840</v>
      </c>
      <c r="N4656" s="7" t="s">
        <v>30841</v>
      </c>
      <c r="O4656" s="8" t="str">
        <f>HYPERLINK("https://drive.google.com/file/d/1KGotKX0ZL2P2pGfDlB0EtJfeeT4k1U6o/view?usp=drivesdk","4655_WAYAN HERRY BASTIAN, SE _ SERTIFIKAT BerAKHLAK")</f>
        <v>4655_WAYAN HERRY BASTIAN, SE _ SERTIFIKAT BerAKHLAK</v>
      </c>
      <c r="P4656" s="5" t="s">
        <v>30816</v>
      </c>
    </row>
    <row r="4657">
      <c r="A4657" s="4">
        <v>45534.35329802083</v>
      </c>
      <c r="B4657" s="5" t="s">
        <v>34</v>
      </c>
      <c r="D4657" s="5" t="s">
        <v>4775</v>
      </c>
      <c r="E4657" s="5" t="s">
        <v>30842</v>
      </c>
      <c r="F4657" s="5" t="s">
        <v>72</v>
      </c>
      <c r="G4657" s="5" t="s">
        <v>30843</v>
      </c>
      <c r="H4657" s="6" t="s">
        <v>30844</v>
      </c>
      <c r="I4657" s="7" t="s">
        <v>30845</v>
      </c>
      <c r="J4657" s="8" t="str">
        <f>HYPERLINK("https://drive.google.com/file/d/1tWfNjHGHDmp2GHDca8ygI7s9NqMD-yJx/view?usp=drivesdk","MOH. SYAICHU, S.I.P. SERTIFIKAT BerAKHLAK")</f>
        <v>MOH. SYAICHU, S.I.P. SERTIFIKAT BerAKHLAK</v>
      </c>
      <c r="K4657" s="5" t="s">
        <v>29717</v>
      </c>
      <c r="L4657" s="5" t="s">
        <v>30846</v>
      </c>
      <c r="M4657" s="5" t="s">
        <v>30847</v>
      </c>
      <c r="N4657" s="7" t="s">
        <v>30848</v>
      </c>
      <c r="O4657" s="8" t="str">
        <f>HYPERLINK("https://drive.google.com/file/d/1MvUbawANHDRM_f_ryj_eHDmFUEosu7P-/view?usp=drivesdk","4656_MOH. SYAICHU, S.I.P. _ SERTIFIKAT BerAKHLAK")</f>
        <v>4656_MOH. SYAICHU, S.I.P. _ SERTIFIKAT BerAKHLAK</v>
      </c>
      <c r="P4657" s="5" t="s">
        <v>30849</v>
      </c>
    </row>
    <row r="4658">
      <c r="A4658" s="4">
        <v>45534.35329868055</v>
      </c>
      <c r="B4658" s="5" t="s">
        <v>34</v>
      </c>
      <c r="D4658" s="5" t="s">
        <v>12978</v>
      </c>
      <c r="E4658" s="5" t="s">
        <v>30850</v>
      </c>
      <c r="F4658" s="5" t="s">
        <v>715</v>
      </c>
      <c r="G4658" s="5" t="s">
        <v>30851</v>
      </c>
      <c r="H4658" s="6" t="s">
        <v>30852</v>
      </c>
      <c r="I4658" s="7" t="s">
        <v>30853</v>
      </c>
      <c r="J4658" s="8" t="str">
        <f>HYPERLINK("https://drive.google.com/file/d/1r9iU_k1r8trUvbac68LZWX7dKsUnvYK9/view?usp=drivesdk","Wahyu wibowo AMD com SERTIFIKAT BerAKHLAK")</f>
        <v>Wahyu wibowo AMD com SERTIFIKAT BerAKHLAK</v>
      </c>
      <c r="K4658" s="5" t="s">
        <v>29717</v>
      </c>
      <c r="L4658" s="5" t="s">
        <v>30854</v>
      </c>
      <c r="M4658" s="5" t="s">
        <v>30855</v>
      </c>
      <c r="N4658" s="7" t="s">
        <v>30856</v>
      </c>
      <c r="O4658" s="8" t="str">
        <f>HYPERLINK("https://drive.google.com/file/d/1pH1xus6w9HUzqF0RmpaAYkepurmThhup/view?usp=drivesdk","4657_Wahyu wibowo AMD com _ SERTIFIKAT BerAKHLAK")</f>
        <v>4657_Wahyu wibowo AMD com _ SERTIFIKAT BerAKHLAK</v>
      </c>
      <c r="P4658" s="5" t="s">
        <v>30849</v>
      </c>
    </row>
    <row r="4659">
      <c r="A4659" s="4">
        <v>45534.3533065625</v>
      </c>
      <c r="B4659" s="5" t="s">
        <v>34</v>
      </c>
      <c r="D4659" s="5" t="s">
        <v>280</v>
      </c>
      <c r="E4659" s="5" t="s">
        <v>30857</v>
      </c>
      <c r="F4659" s="5" t="s">
        <v>524</v>
      </c>
      <c r="G4659" s="5" t="s">
        <v>30858</v>
      </c>
      <c r="H4659" s="6" t="s">
        <v>30859</v>
      </c>
      <c r="K4659" s="5" t="s">
        <v>30860</v>
      </c>
      <c r="M4659" s="5" t="s">
        <v>30861</v>
      </c>
      <c r="N4659" s="7" t="s">
        <v>30862</v>
      </c>
      <c r="O4659" s="8" t="str">
        <f>HYPERLINK("https://drive.google.com/file/d/1a4u7ambhns8mH0fQoUDP9edo9RDdScwT/view?usp=drivesdk","4658_ZALMADRI PUTRA,S.E, M.M  _ SERTIFIKAT BerAKHLAK")</f>
        <v>4658_ZALMADRI PUTRA,S.E, M.M  _ SERTIFIKAT BerAKHLAK</v>
      </c>
      <c r="P4659" s="5" t="s">
        <v>30849</v>
      </c>
    </row>
    <row r="4660">
      <c r="A4660" s="4">
        <v>45534.35330673611</v>
      </c>
      <c r="B4660" s="5" t="s">
        <v>34</v>
      </c>
      <c r="D4660" s="5" t="s">
        <v>1206</v>
      </c>
      <c r="E4660" s="5" t="s">
        <v>30863</v>
      </c>
      <c r="F4660" s="5" t="s">
        <v>212</v>
      </c>
      <c r="G4660" s="5" t="s">
        <v>30864</v>
      </c>
      <c r="H4660" s="6" t="s">
        <v>30865</v>
      </c>
      <c r="K4660" s="5" t="s">
        <v>30860</v>
      </c>
      <c r="M4660" s="5" t="s">
        <v>30866</v>
      </c>
      <c r="N4660" s="7" t="s">
        <v>30867</v>
      </c>
      <c r="O4660" s="8" t="str">
        <f>HYPERLINK("https://drive.google.com/file/d/1Piacu1Nc8UmKVyTM98smIccfyh0p84jM/view?usp=drivesdk","4659_WINARNO _ SERTIFIKAT BerAKHLAK")</f>
        <v>4659_WINARNO _ SERTIFIKAT BerAKHLAK</v>
      </c>
      <c r="P4660" s="5" t="s">
        <v>30868</v>
      </c>
    </row>
    <row r="4661">
      <c r="A4661" s="4">
        <v>45534.353308645834</v>
      </c>
      <c r="B4661" s="5" t="s">
        <v>34</v>
      </c>
      <c r="D4661" s="5" t="s">
        <v>1206</v>
      </c>
      <c r="E4661" s="5" t="s">
        <v>15697</v>
      </c>
      <c r="F4661" s="5" t="s">
        <v>37</v>
      </c>
      <c r="G4661" s="5" t="s">
        <v>30869</v>
      </c>
      <c r="H4661" s="6" t="s">
        <v>30870</v>
      </c>
      <c r="K4661" s="5" t="s">
        <v>30860</v>
      </c>
      <c r="M4661" s="5" t="s">
        <v>30871</v>
      </c>
      <c r="N4661" s="7" t="s">
        <v>30872</v>
      </c>
      <c r="O4661" s="8" t="str">
        <f>HYPERLINK("https://drive.google.com/file/d/1VsXpu_6jwD5s1rTvMm6BjwqaefINBsZ_/view?usp=drivesdk","4660_MULYONO _ SERTIFIKAT BerAKHLAK")</f>
        <v>4660_MULYONO _ SERTIFIKAT BerAKHLAK</v>
      </c>
      <c r="P4661" s="5" t="s">
        <v>30868</v>
      </c>
    </row>
    <row r="4662">
      <c r="A4662" s="4">
        <v>45534.353309259255</v>
      </c>
      <c r="B4662" s="5" t="s">
        <v>34</v>
      </c>
      <c r="D4662" s="5" t="s">
        <v>1206</v>
      </c>
      <c r="E4662" s="5" t="s">
        <v>30873</v>
      </c>
      <c r="F4662" s="5" t="s">
        <v>37</v>
      </c>
      <c r="G4662" s="5" t="s">
        <v>30874</v>
      </c>
      <c r="H4662" s="6" t="s">
        <v>30875</v>
      </c>
      <c r="K4662" s="5" t="s">
        <v>30860</v>
      </c>
      <c r="M4662" s="5" t="s">
        <v>30876</v>
      </c>
      <c r="N4662" s="7" t="s">
        <v>30877</v>
      </c>
      <c r="O4662" s="8" t="str">
        <f>HYPERLINK("https://drive.google.com/file/d/1vuM96HQAmCNp2aT4wLRK3qqn2K4SJ3V3/view?usp=drivesdk","4661_SAPARTIWI _ SERTIFIKAT BerAKHLAK")</f>
        <v>4661_SAPARTIWI _ SERTIFIKAT BerAKHLAK</v>
      </c>
      <c r="P4662" s="5" t="s">
        <v>30868</v>
      </c>
    </row>
    <row r="4663">
      <c r="A4663" s="4">
        <v>45534.353319375005</v>
      </c>
      <c r="B4663" s="5" t="s">
        <v>34</v>
      </c>
      <c r="D4663" s="5" t="s">
        <v>12978</v>
      </c>
      <c r="E4663" s="5" t="s">
        <v>30878</v>
      </c>
      <c r="F4663" s="5" t="s">
        <v>212</v>
      </c>
      <c r="G4663" s="5" t="s">
        <v>30879</v>
      </c>
      <c r="H4663" s="6" t="s">
        <v>30880</v>
      </c>
      <c r="K4663" s="5" t="s">
        <v>30860</v>
      </c>
      <c r="M4663" s="5" t="s">
        <v>30881</v>
      </c>
      <c r="N4663" s="7" t="s">
        <v>30882</v>
      </c>
      <c r="O4663" s="8" t="str">
        <f>HYPERLINK("https://drive.google.com/file/d/1p79O4H_TYOPoHD5S6AhBsOveFt6ZzTCM/view?usp=drivesdk","4662_SUKARNI _ SERTIFIKAT BerAKHLAK")</f>
        <v>4662_SUKARNI _ SERTIFIKAT BerAKHLAK</v>
      </c>
      <c r="P4663" s="5" t="s">
        <v>30868</v>
      </c>
    </row>
    <row r="4664">
      <c r="A4664" s="4">
        <v>45534.35335841435</v>
      </c>
      <c r="B4664" s="5" t="s">
        <v>34</v>
      </c>
      <c r="D4664" s="5" t="s">
        <v>267</v>
      </c>
      <c r="E4664" s="5" t="s">
        <v>30883</v>
      </c>
      <c r="F4664" s="5" t="s">
        <v>108</v>
      </c>
      <c r="G4664" s="5" t="s">
        <v>30884</v>
      </c>
      <c r="H4664" s="6" t="s">
        <v>30885</v>
      </c>
      <c r="I4664" s="7" t="s">
        <v>30886</v>
      </c>
      <c r="J4664" s="8" t="str">
        <f>HYPERLINK("https://drive.google.com/file/d/1pZpR_50NDPjHjGRfwrsaO1w9mD3vNJVC/view?usp=drivesdk","ALI RACHMAN SERTIFIKAT BerAKHLAK")</f>
        <v>ALI RACHMAN SERTIFIKAT BerAKHLAK</v>
      </c>
      <c r="K4664" s="5" t="s">
        <v>29717</v>
      </c>
      <c r="L4664" s="5" t="s">
        <v>30887</v>
      </c>
      <c r="M4664" s="5" t="s">
        <v>30888</v>
      </c>
      <c r="N4664" s="7" t="s">
        <v>30889</v>
      </c>
      <c r="O4664" s="8" t="str">
        <f>HYPERLINK("https://drive.google.com/file/d/1ifAqCrWARynP0xSE2yJURqxrZFOXDp3O/view?usp=drivesdk","4663_ALI RACHMAN _ SERTIFIKAT BerAKHLAK")</f>
        <v>4663_ALI RACHMAN _ SERTIFIKAT BerAKHLAK</v>
      </c>
      <c r="P4664" s="5" t="s">
        <v>30868</v>
      </c>
    </row>
    <row r="4665" hidden="1">
      <c r="A4665" s="4">
        <v>45534.353360312496</v>
      </c>
      <c r="B4665" s="5" t="s">
        <v>19</v>
      </c>
      <c r="C4665" s="5" t="s">
        <v>24076</v>
      </c>
      <c r="E4665" s="5" t="s">
        <v>30890</v>
      </c>
      <c r="F4665" s="5" t="s">
        <v>212</v>
      </c>
      <c r="G4665" s="5" t="s">
        <v>30891</v>
      </c>
      <c r="H4665" s="6" t="s">
        <v>30892</v>
      </c>
      <c r="I4665" s="7" t="s">
        <v>30893</v>
      </c>
      <c r="J4665" s="8" t="str">
        <f>HYPERLINK("https://drive.google.com/file/d/1o9cfk0b9MxiBzhsTiURiYH9CCWGU7II3/view?usp=drivesdk","SUPARDI, S.H. SERTIFIKAT BerAKHLAK")</f>
        <v>SUPARDI, S.H. SERTIFIKAT BerAKHLAK</v>
      </c>
      <c r="K4665" s="5" t="s">
        <v>29717</v>
      </c>
      <c r="L4665" s="5" t="s">
        <v>30894</v>
      </c>
      <c r="M4665" s="5" t="s">
        <v>30895</v>
      </c>
      <c r="N4665" s="7" t="s">
        <v>30896</v>
      </c>
      <c r="O4665" s="8" t="str">
        <f>HYPERLINK("https://drive.google.com/file/d/1KV3JG5f_Fk0yFcSluu_vt5H9vQ6vzjS4/view?usp=drivesdk","4664_SUPARDI, S.H. _ SERTIFIKAT BerAKHLAK")</f>
        <v>4664_SUPARDI, S.H. _ SERTIFIKAT BerAKHLAK</v>
      </c>
      <c r="P4665" s="5" t="s">
        <v>30868</v>
      </c>
    </row>
    <row r="4666">
      <c r="A4666" s="4">
        <v>45534.35337266204</v>
      </c>
      <c r="B4666" s="5" t="s">
        <v>34</v>
      </c>
      <c r="D4666" s="5" t="s">
        <v>996</v>
      </c>
      <c r="E4666" s="5" t="s">
        <v>30897</v>
      </c>
      <c r="F4666" s="5" t="s">
        <v>37</v>
      </c>
      <c r="G4666" s="5" t="s">
        <v>30898</v>
      </c>
      <c r="H4666" s="6" t="s">
        <v>30899</v>
      </c>
      <c r="K4666" s="5" t="s">
        <v>30900</v>
      </c>
      <c r="M4666" s="5" t="s">
        <v>30901</v>
      </c>
      <c r="N4666" s="7" t="s">
        <v>30902</v>
      </c>
      <c r="O4666" s="8" t="str">
        <f>HYPERLINK("https://drive.google.com/file/d/1EnhL1kmro1ZS-NXRudxbIApxm2i94HaP/view?usp=drivesdk","4665_DINA AULIA, SE _ SERTIFIKAT BerAKHLAK")</f>
        <v>4665_DINA AULIA, SE _ SERTIFIKAT BerAKHLAK</v>
      </c>
      <c r="P4666" s="5" t="s">
        <v>30903</v>
      </c>
    </row>
    <row r="4667">
      <c r="A4667" s="4">
        <v>45534.35337265047</v>
      </c>
      <c r="B4667" s="5" t="s">
        <v>34</v>
      </c>
      <c r="D4667" s="5" t="s">
        <v>1206</v>
      </c>
      <c r="E4667" s="5" t="s">
        <v>30904</v>
      </c>
      <c r="F4667" s="5" t="s">
        <v>6776</v>
      </c>
      <c r="G4667" s="5" t="s">
        <v>30905</v>
      </c>
      <c r="H4667" s="6" t="s">
        <v>30906</v>
      </c>
      <c r="K4667" s="5" t="s">
        <v>30900</v>
      </c>
      <c r="M4667" s="5" t="s">
        <v>30907</v>
      </c>
      <c r="N4667" s="7" t="s">
        <v>30908</v>
      </c>
      <c r="O4667" s="8" t="str">
        <f>HYPERLINK("https://drive.google.com/file/d/16yHRg0GwrDNmWv5OF9noWRLf_1XtA1i7/view?usp=drivesdk","4666_SRIANAH _ SERTIFIKAT BerAKHLAK")</f>
        <v>4666_SRIANAH _ SERTIFIKAT BerAKHLAK</v>
      </c>
      <c r="P4667" s="5" t="s">
        <v>30903</v>
      </c>
    </row>
    <row r="4668">
      <c r="A4668" s="4">
        <v>45534.353374259255</v>
      </c>
      <c r="B4668" s="5" t="s">
        <v>34</v>
      </c>
      <c r="D4668" s="5" t="s">
        <v>975</v>
      </c>
      <c r="E4668" s="5" t="s">
        <v>30909</v>
      </c>
      <c r="F4668" s="5" t="s">
        <v>37</v>
      </c>
      <c r="G4668" s="5" t="s">
        <v>30910</v>
      </c>
      <c r="H4668" s="6" t="s">
        <v>30911</v>
      </c>
      <c r="I4668" s="7" t="s">
        <v>30912</v>
      </c>
      <c r="J4668" s="8" t="str">
        <f>HYPERLINK("https://drive.google.com/file/d/1ns9EaJbvL4KpniLIa_QK9DvRghBhovhv/view?usp=drivesdk","BELLA CHOLIFANI DYAH HARSO, A.Md  SERTIFIKAT BerAKHLAK")</f>
        <v>BELLA CHOLIFANI DYAH HARSO, A.Md  SERTIFIKAT BerAKHLAK</v>
      </c>
      <c r="K4668" s="5" t="s">
        <v>29717</v>
      </c>
      <c r="L4668" s="5" t="s">
        <v>30913</v>
      </c>
      <c r="M4668" s="5" t="s">
        <v>30914</v>
      </c>
      <c r="N4668" s="7" t="s">
        <v>30915</v>
      </c>
      <c r="O4668" s="8" t="str">
        <f>HYPERLINK("https://drive.google.com/file/d/1tPZEzDaOz8_r_VILuC4tmy_3AnJzdSIV/view?usp=drivesdk","4667_BELLA CHOLIFANI DYAH HARSO, A.Md  _ SERTIFIKAT BerAKHLAK")</f>
        <v>4667_BELLA CHOLIFANI DYAH HARSO, A.Md  _ SERTIFIKAT BerAKHLAK</v>
      </c>
      <c r="P4668" s="5" t="s">
        <v>30903</v>
      </c>
    </row>
    <row r="4669">
      <c r="A4669" s="4">
        <v>45534.35337858796</v>
      </c>
      <c r="B4669" s="5" t="s">
        <v>34</v>
      </c>
      <c r="D4669" s="5" t="s">
        <v>701</v>
      </c>
      <c r="E4669" s="5" t="s">
        <v>30916</v>
      </c>
      <c r="F4669" s="5" t="s">
        <v>108</v>
      </c>
      <c r="G4669" s="5" t="s">
        <v>30917</v>
      </c>
      <c r="H4669" s="6" t="s">
        <v>30918</v>
      </c>
      <c r="K4669" s="5" t="s">
        <v>30919</v>
      </c>
      <c r="M4669" s="5" t="s">
        <v>30920</v>
      </c>
      <c r="N4669" s="7" t="s">
        <v>30921</v>
      </c>
      <c r="O4669" s="8" t="str">
        <f>HYPERLINK("https://drive.google.com/file/d/1KHy3iLiR9YfZ0MzM-WNfU_guGzOmddLW/view?usp=drivesdk","4668_Deswita,Amd keb SKM _ SERTIFIKAT BerAKHLAK")</f>
        <v>4668_Deswita,Amd keb SKM _ SERTIFIKAT BerAKHLAK</v>
      </c>
      <c r="P4669" s="5" t="s">
        <v>30903</v>
      </c>
    </row>
    <row r="4670">
      <c r="A4670" s="4">
        <v>45534.35340320602</v>
      </c>
      <c r="B4670" s="5" t="s">
        <v>34</v>
      </c>
      <c r="D4670" s="5" t="s">
        <v>9394</v>
      </c>
      <c r="E4670" s="5" t="s">
        <v>30922</v>
      </c>
      <c r="F4670" s="5" t="s">
        <v>37</v>
      </c>
      <c r="G4670" s="5" t="s">
        <v>30923</v>
      </c>
      <c r="H4670" s="6" t="s">
        <v>30924</v>
      </c>
      <c r="K4670" s="5" t="s">
        <v>30919</v>
      </c>
      <c r="M4670" s="5" t="s">
        <v>30925</v>
      </c>
      <c r="N4670" s="7" t="s">
        <v>30926</v>
      </c>
      <c r="O4670" s="8" t="str">
        <f>HYPERLINK("https://drive.google.com/file/d/13nF_iFVoxPCsyeD3XMcV_0x8jtM8hs-S/view?usp=drivesdk","4669_RIYADI MUSRI _ SERTIFIKAT BerAKHLAK")</f>
        <v>4669_RIYADI MUSRI _ SERTIFIKAT BerAKHLAK</v>
      </c>
      <c r="P4670" s="5" t="s">
        <v>30927</v>
      </c>
    </row>
    <row r="4671">
      <c r="A4671" s="4">
        <v>45534.353433125</v>
      </c>
      <c r="B4671" s="5" t="s">
        <v>34</v>
      </c>
      <c r="D4671" s="5" t="s">
        <v>10444</v>
      </c>
      <c r="E4671" s="5" t="s">
        <v>30928</v>
      </c>
      <c r="F4671" s="5" t="s">
        <v>524</v>
      </c>
      <c r="G4671" s="5" t="s">
        <v>30929</v>
      </c>
      <c r="H4671" s="6" t="s">
        <v>30930</v>
      </c>
      <c r="I4671" s="7" t="s">
        <v>30931</v>
      </c>
      <c r="J4671" s="8" t="str">
        <f>HYPERLINK("https://drive.google.com/file/d/1KfrYt23xMX6cbTavRiDp4AY1J0GzyVEf/view?usp=drivesdk","UTARI TRI KUSUMA, S.AK SERTIFIKAT BerAKHLAK")</f>
        <v>UTARI TRI KUSUMA, S.AK SERTIFIKAT BerAKHLAK</v>
      </c>
      <c r="K4671" s="5" t="s">
        <v>29717</v>
      </c>
      <c r="L4671" s="5" t="s">
        <v>30932</v>
      </c>
      <c r="M4671" s="5" t="s">
        <v>30933</v>
      </c>
      <c r="N4671" s="7" t="s">
        <v>30934</v>
      </c>
      <c r="O4671" s="8" t="str">
        <f>HYPERLINK("https://drive.google.com/file/d/14sqE8u3ARyDDwbpEkJVTRY5p2A9Vlw10/view?usp=drivesdk","4670_UTARI TRI KUSUMA, S.AK _ SERTIFIKAT BerAKHLAK")</f>
        <v>4670_UTARI TRI KUSUMA, S.AK _ SERTIFIKAT BerAKHLAK</v>
      </c>
      <c r="P4671" s="5" t="s">
        <v>30927</v>
      </c>
    </row>
    <row r="4672">
      <c r="A4672" s="4">
        <v>45534.35345094907</v>
      </c>
      <c r="B4672" s="5" t="s">
        <v>34</v>
      </c>
      <c r="D4672" s="5" t="s">
        <v>1456</v>
      </c>
      <c r="E4672" s="5" t="s">
        <v>30935</v>
      </c>
      <c r="F4672" s="5" t="s">
        <v>212</v>
      </c>
      <c r="G4672" s="5" t="s">
        <v>30936</v>
      </c>
      <c r="H4672" s="6" t="s">
        <v>30937</v>
      </c>
      <c r="K4672" s="5" t="s">
        <v>30938</v>
      </c>
      <c r="M4672" s="5" t="s">
        <v>30939</v>
      </c>
      <c r="N4672" s="7" t="s">
        <v>30940</v>
      </c>
      <c r="O4672" s="8" t="str">
        <f>HYPERLINK("https://drive.google.com/file/d/1VgHlBv4iLHPOvOOPjarA272LySvJQvQF/view?usp=drivesdk","4671_DINA FITRIANI _ SERTIFIKAT BerAKHLAK")</f>
        <v>4671_DINA FITRIANI _ SERTIFIKAT BerAKHLAK</v>
      </c>
      <c r="P4672" s="5" t="s">
        <v>30927</v>
      </c>
    </row>
    <row r="4673">
      <c r="A4673" s="4">
        <v>45534.35345303241</v>
      </c>
      <c r="B4673" s="5" t="s">
        <v>34</v>
      </c>
      <c r="D4673" s="5" t="s">
        <v>4775</v>
      </c>
      <c r="E4673" s="5" t="s">
        <v>30941</v>
      </c>
      <c r="F4673" s="5" t="s">
        <v>524</v>
      </c>
      <c r="G4673" s="5" t="s">
        <v>30942</v>
      </c>
      <c r="H4673" s="6" t="s">
        <v>30943</v>
      </c>
      <c r="K4673" s="5" t="s">
        <v>30938</v>
      </c>
      <c r="M4673" s="5" t="s">
        <v>30944</v>
      </c>
      <c r="N4673" s="7" t="s">
        <v>30945</v>
      </c>
      <c r="O4673" s="8" t="str">
        <f>HYPERLINK("https://drive.google.com/file/d/1VkB3rZgINgdt5md-tRmid_qEnvbS8BzS/view?usp=drivesdk","4672_SUWARTINI, S.Kep _ SERTIFIKAT BerAKHLAK")</f>
        <v>4672_SUWARTINI, S.Kep _ SERTIFIKAT BerAKHLAK</v>
      </c>
      <c r="P4673" s="5" t="s">
        <v>30927</v>
      </c>
    </row>
    <row r="4674">
      <c r="A4674" s="4">
        <v>45534.35345451389</v>
      </c>
      <c r="B4674" s="5" t="s">
        <v>34</v>
      </c>
      <c r="D4674" s="5" t="s">
        <v>996</v>
      </c>
      <c r="E4674" s="5" t="s">
        <v>30946</v>
      </c>
      <c r="F4674" s="5" t="s">
        <v>524</v>
      </c>
      <c r="G4674" s="5" t="s">
        <v>30947</v>
      </c>
      <c r="H4674" s="6" t="s">
        <v>30948</v>
      </c>
      <c r="K4674" s="5" t="s">
        <v>30938</v>
      </c>
      <c r="M4674" s="5" t="s">
        <v>30949</v>
      </c>
      <c r="N4674" s="7" t="s">
        <v>30950</v>
      </c>
      <c r="O4674" s="8" t="str">
        <f>HYPERLINK("https://drive.google.com/file/d/1LyfrUZL_f0x13f3BScq_lHwRfz-L6rMQ/view?usp=drivesdk","4673_NURUL HIKMAH _ SERTIFIKAT BerAKHLAK")</f>
        <v>4673_NURUL HIKMAH _ SERTIFIKAT BerAKHLAK</v>
      </c>
      <c r="P4674" s="5" t="s">
        <v>30951</v>
      </c>
    </row>
    <row r="4675">
      <c r="A4675" s="4">
        <v>45534.35346458333</v>
      </c>
      <c r="B4675" s="5" t="s">
        <v>34</v>
      </c>
      <c r="D4675" s="5" t="s">
        <v>1206</v>
      </c>
      <c r="E4675" s="5" t="s">
        <v>30952</v>
      </c>
      <c r="F4675" s="5" t="s">
        <v>37</v>
      </c>
      <c r="G4675" s="5" t="s">
        <v>30953</v>
      </c>
      <c r="H4675" s="6" t="s">
        <v>30954</v>
      </c>
      <c r="K4675" s="5" t="s">
        <v>30938</v>
      </c>
      <c r="M4675" s="5" t="s">
        <v>30955</v>
      </c>
      <c r="N4675" s="7" t="s">
        <v>30956</v>
      </c>
      <c r="O4675" s="8" t="str">
        <f>HYPERLINK("https://drive.google.com/file/d/10svSOHE8eWmzbZPJexcXvlYA6V0XNeBq/view?usp=drivesdk","4674_MUKAYANI _ SERTIFIKAT BerAKHLAK")</f>
        <v>4674_MUKAYANI _ SERTIFIKAT BerAKHLAK</v>
      </c>
      <c r="P4675" s="5" t="s">
        <v>30951</v>
      </c>
    </row>
    <row r="4676">
      <c r="A4676" s="4">
        <v>45534.35348273148</v>
      </c>
      <c r="B4676" s="5" t="s">
        <v>34</v>
      </c>
      <c r="D4676" s="5" t="s">
        <v>1206</v>
      </c>
      <c r="E4676" s="5" t="s">
        <v>30957</v>
      </c>
      <c r="F4676" s="5" t="s">
        <v>120</v>
      </c>
      <c r="G4676" s="5" t="s">
        <v>30958</v>
      </c>
      <c r="H4676" s="6" t="s">
        <v>30959</v>
      </c>
      <c r="K4676" s="5" t="s">
        <v>30938</v>
      </c>
      <c r="M4676" s="5" t="s">
        <v>30960</v>
      </c>
      <c r="N4676" s="7" t="s">
        <v>30961</v>
      </c>
      <c r="O4676" s="8" t="str">
        <f>HYPERLINK("https://drive.google.com/file/d/1gOpvow6TuIabkLIl69mDunh2iiUDzP_w/view?usp=drivesdk","4675_dr.LEEVI TANU WIJAYANTI,M.M _ SERTIFIKAT BerAKHLAK")</f>
        <v>4675_dr.LEEVI TANU WIJAYANTI,M.M _ SERTIFIKAT BerAKHLAK</v>
      </c>
      <c r="P4676" s="5" t="s">
        <v>30951</v>
      </c>
    </row>
    <row r="4677">
      <c r="A4677" s="4">
        <v>45534.35348706019</v>
      </c>
      <c r="B4677" s="5" t="s">
        <v>34</v>
      </c>
      <c r="D4677" s="5" t="s">
        <v>9020</v>
      </c>
      <c r="E4677" s="5" t="s">
        <v>30962</v>
      </c>
      <c r="F4677" s="5" t="s">
        <v>72</v>
      </c>
      <c r="G4677" s="5" t="s">
        <v>30963</v>
      </c>
      <c r="H4677" s="6" t="s">
        <v>30964</v>
      </c>
      <c r="K4677" s="5" t="s">
        <v>30965</v>
      </c>
      <c r="M4677" s="5" t="s">
        <v>30966</v>
      </c>
      <c r="N4677" s="7" t="s">
        <v>30967</v>
      </c>
      <c r="O4677" s="8" t="str">
        <f>HYPERLINK("https://drive.google.com/file/d/1YFPceNN29fKfBTnlkveAZV7HhYalk4V_/view?usp=drivesdk","4676_NURHAPPI PASARIBU S.KEP _ SERTIFIKAT BerAKHLAK")</f>
        <v>4676_NURHAPPI PASARIBU S.KEP _ SERTIFIKAT BerAKHLAK</v>
      </c>
      <c r="P4677" s="5" t="s">
        <v>30951</v>
      </c>
    </row>
    <row r="4678">
      <c r="A4678" s="4">
        <v>45534.35348777778</v>
      </c>
      <c r="B4678" s="5" t="s">
        <v>34</v>
      </c>
      <c r="D4678" s="5" t="s">
        <v>9394</v>
      </c>
      <c r="E4678" s="5" t="s">
        <v>30968</v>
      </c>
      <c r="F4678" s="5" t="s">
        <v>108</v>
      </c>
      <c r="G4678" s="5" t="s">
        <v>30969</v>
      </c>
      <c r="H4678" s="6" t="s">
        <v>30970</v>
      </c>
      <c r="K4678" s="5" t="s">
        <v>30971</v>
      </c>
      <c r="M4678" s="5" t="s">
        <v>30972</v>
      </c>
      <c r="N4678" s="7" t="s">
        <v>30973</v>
      </c>
      <c r="O4678" s="8" t="str">
        <f>HYPERLINK("https://drive.google.com/file/d/1gViVFPIHZjEDoqTeKMK_jZLdBib0LAIS/view?usp=drivesdk","4677_SRI KURNIAWATI, SKM _ SERTIFIKAT BerAKHLAK")</f>
        <v>4677_SRI KURNIAWATI, SKM _ SERTIFIKAT BerAKHLAK</v>
      </c>
      <c r="P4678" s="5" t="s">
        <v>30951</v>
      </c>
    </row>
    <row r="4679">
      <c r="A4679" s="4">
        <v>45534.35350278935</v>
      </c>
      <c r="B4679" s="5" t="s">
        <v>34</v>
      </c>
      <c r="D4679" s="5" t="s">
        <v>1206</v>
      </c>
      <c r="E4679" s="5" t="s">
        <v>30974</v>
      </c>
      <c r="F4679" s="5" t="s">
        <v>199</v>
      </c>
      <c r="G4679" s="5" t="s">
        <v>30975</v>
      </c>
      <c r="H4679" s="6" t="s">
        <v>30976</v>
      </c>
      <c r="K4679" s="5" t="s">
        <v>30971</v>
      </c>
      <c r="M4679" s="5" t="s">
        <v>30977</v>
      </c>
      <c r="N4679" s="7" t="s">
        <v>30978</v>
      </c>
      <c r="O4679" s="8" t="str">
        <f>HYPERLINK("https://drive.google.com/file/d/1l_4YcNVY0CP4XqKiquH0fAK6fwC-KodY/view?usp=drivesdk","4678_HENDRI MUGIARSO,SPd _ SERTIFIKAT BerAKHLAK")</f>
        <v>4678_HENDRI MUGIARSO,SPd _ SERTIFIKAT BerAKHLAK</v>
      </c>
      <c r="P4679" s="5" t="s">
        <v>30979</v>
      </c>
    </row>
    <row r="4680">
      <c r="A4680" s="4">
        <v>45534.3535170949</v>
      </c>
      <c r="B4680" s="5" t="s">
        <v>34</v>
      </c>
      <c r="D4680" s="5" t="s">
        <v>1206</v>
      </c>
      <c r="E4680" s="5" t="s">
        <v>30980</v>
      </c>
      <c r="F4680" s="5" t="s">
        <v>524</v>
      </c>
      <c r="G4680" s="5" t="s">
        <v>30981</v>
      </c>
      <c r="H4680" s="6" t="s">
        <v>30982</v>
      </c>
      <c r="K4680" s="5" t="s">
        <v>30971</v>
      </c>
      <c r="M4680" s="5" t="s">
        <v>30983</v>
      </c>
      <c r="N4680" s="7" t="s">
        <v>30984</v>
      </c>
      <c r="O4680" s="8" t="str">
        <f>HYPERLINK("https://drive.google.com/file/d/1bWmQvLbKkKY6SO1n23JNey4TteiNclF4/view?usp=drivesdk","4679_Damaryanto R, S,Kep, Ns.  _ SERTIFIKAT BerAKHLAK")</f>
        <v>4679_Damaryanto R, S,Kep, Ns.  _ SERTIFIKAT BerAKHLAK</v>
      </c>
      <c r="P4680" s="5" t="s">
        <v>30979</v>
      </c>
    </row>
    <row r="4681">
      <c r="A4681" s="4">
        <v>45534.353520115736</v>
      </c>
      <c r="B4681" s="5" t="s">
        <v>34</v>
      </c>
      <c r="D4681" s="5" t="s">
        <v>10444</v>
      </c>
      <c r="E4681" s="5" t="s">
        <v>30985</v>
      </c>
      <c r="F4681" s="5" t="s">
        <v>37</v>
      </c>
      <c r="G4681" s="5" t="s">
        <v>30986</v>
      </c>
      <c r="H4681" s="6" t="s">
        <v>30987</v>
      </c>
      <c r="K4681" s="5" t="s">
        <v>30971</v>
      </c>
      <c r="M4681" s="5" t="s">
        <v>30988</v>
      </c>
      <c r="N4681" s="7" t="s">
        <v>30989</v>
      </c>
      <c r="O4681" s="8" t="str">
        <f>HYPERLINK("https://drive.google.com/file/d/17eX6CY_9BOi4BvRIRvbjccaqKd6M3RsS/view?usp=drivesdk","4680_MARLIYANI, A.Md.KG _ SERTIFIKAT BerAKHLAK")</f>
        <v>4680_MARLIYANI, A.Md.KG _ SERTIFIKAT BerAKHLAK</v>
      </c>
      <c r="P4681" s="5" t="s">
        <v>30979</v>
      </c>
    </row>
    <row r="4682" hidden="1">
      <c r="A4682" s="4">
        <v>45534.35354325231</v>
      </c>
      <c r="B4682" s="5" t="s">
        <v>19</v>
      </c>
      <c r="C4682" s="5" t="s">
        <v>292</v>
      </c>
      <c r="E4682" s="5" t="s">
        <v>21976</v>
      </c>
      <c r="F4682" s="5" t="s">
        <v>524</v>
      </c>
      <c r="G4682" s="5" t="s">
        <v>30990</v>
      </c>
      <c r="H4682" s="6" t="s">
        <v>30991</v>
      </c>
      <c r="K4682" s="5" t="s">
        <v>30992</v>
      </c>
      <c r="M4682" s="5" t="s">
        <v>30993</v>
      </c>
      <c r="N4682" s="7" t="s">
        <v>30994</v>
      </c>
      <c r="O4682" s="8" t="str">
        <f>HYPERLINK("https://drive.google.com/file/d/1BENPFIioINCr4ez3cSEi7a3whEhOKOJ-/view?usp=drivesdk","4681_NURLELA _ SERTIFIKAT BerAKHLAK")</f>
        <v>4681_NURLELA _ SERTIFIKAT BerAKHLAK</v>
      </c>
      <c r="P4682" s="5" t="s">
        <v>30979</v>
      </c>
    </row>
    <row r="4683">
      <c r="A4683" s="4">
        <v>45534.353549120366</v>
      </c>
      <c r="B4683" s="5" t="s">
        <v>34</v>
      </c>
      <c r="D4683" s="5" t="s">
        <v>3849</v>
      </c>
      <c r="E4683" s="5" t="s">
        <v>30995</v>
      </c>
      <c r="F4683" s="5" t="s">
        <v>108</v>
      </c>
      <c r="G4683" s="5" t="s">
        <v>30996</v>
      </c>
      <c r="H4683" s="6" t="s">
        <v>30997</v>
      </c>
      <c r="K4683" s="5" t="s">
        <v>30992</v>
      </c>
      <c r="M4683" s="5" t="s">
        <v>30998</v>
      </c>
      <c r="N4683" s="7" t="s">
        <v>30999</v>
      </c>
      <c r="O4683" s="8" t="str">
        <f>HYPERLINK("https://drive.google.com/file/d/1g-YuHsF0fb4vyMAFRT1qBcVNaGBXe3E6/view?usp=drivesdk","4682_ADIK FADHILAH, S.Kom _ SERTIFIKAT BerAKHLAK")</f>
        <v>4682_ADIK FADHILAH, S.Kom _ SERTIFIKAT BerAKHLAK</v>
      </c>
      <c r="P4683" s="5" t="s">
        <v>31000</v>
      </c>
    </row>
    <row r="4684">
      <c r="A4684" s="4">
        <v>45534.35356710648</v>
      </c>
      <c r="B4684" s="5" t="s">
        <v>34</v>
      </c>
      <c r="D4684" s="5" t="s">
        <v>1206</v>
      </c>
      <c r="E4684" s="5" t="s">
        <v>31001</v>
      </c>
      <c r="F4684" s="5" t="s">
        <v>212</v>
      </c>
      <c r="G4684" s="5" t="s">
        <v>31002</v>
      </c>
      <c r="H4684" s="6" t="s">
        <v>31003</v>
      </c>
      <c r="K4684" s="5" t="s">
        <v>31004</v>
      </c>
      <c r="M4684" s="5" t="s">
        <v>31005</v>
      </c>
      <c r="N4684" s="7" t="s">
        <v>31006</v>
      </c>
      <c r="O4684" s="8" t="str">
        <f>HYPERLINK("https://drive.google.com/file/d/1_X1XMQ914YW6gK4sneaLUO1Vw3eFSR4c/view?usp=drivesdk","4683_ERNI ROESMAJANTI _ SERTIFIKAT BerAKHLAK")</f>
        <v>4683_ERNI ROESMAJANTI _ SERTIFIKAT BerAKHLAK</v>
      </c>
      <c r="P4684" s="5" t="s">
        <v>31000</v>
      </c>
    </row>
    <row r="4685">
      <c r="A4685" s="4">
        <v>45534.3535708912</v>
      </c>
      <c r="B4685" s="5" t="s">
        <v>34</v>
      </c>
      <c r="D4685" s="5" t="s">
        <v>1206</v>
      </c>
      <c r="E4685" s="5" t="s">
        <v>31007</v>
      </c>
      <c r="F4685" s="5" t="s">
        <v>524</v>
      </c>
      <c r="G4685" s="5" t="s">
        <v>31008</v>
      </c>
      <c r="H4685" s="6" t="s">
        <v>31009</v>
      </c>
      <c r="K4685" s="5" t="s">
        <v>31004</v>
      </c>
      <c r="M4685" s="5" t="s">
        <v>31010</v>
      </c>
      <c r="N4685" s="7" t="s">
        <v>31011</v>
      </c>
      <c r="O4685" s="8" t="str">
        <f>HYPERLINK("https://drive.google.com/file/d/1WLR81mbz1bTiqbWuQz_gozAaBBxGa0zj/view?usp=drivesdk","4684_NUR HADI AFIYAH, S. Kep., Ns _ SERTIFIKAT BerAKHLAK")</f>
        <v>4684_NUR HADI AFIYAH, S. Kep., Ns _ SERTIFIKAT BerAKHLAK</v>
      </c>
      <c r="P4685" s="5" t="s">
        <v>31000</v>
      </c>
    </row>
    <row r="4686">
      <c r="A4686" s="4">
        <v>45534.35357438657</v>
      </c>
      <c r="B4686" s="5" t="s">
        <v>34</v>
      </c>
      <c r="D4686" s="5" t="s">
        <v>1692</v>
      </c>
      <c r="E4686" s="5" t="s">
        <v>31012</v>
      </c>
      <c r="F4686" s="5" t="s">
        <v>375</v>
      </c>
      <c r="G4686" s="5" t="s">
        <v>31013</v>
      </c>
      <c r="H4686" s="6" t="s">
        <v>31014</v>
      </c>
      <c r="K4686" s="5" t="s">
        <v>31004</v>
      </c>
      <c r="M4686" s="5" t="s">
        <v>31015</v>
      </c>
      <c r="N4686" s="7" t="s">
        <v>31016</v>
      </c>
      <c r="O4686" s="8" t="str">
        <f>HYPERLINK("https://drive.google.com/file/d/1V5bmam7xPnLcUey3AsHlQ5HoFAnfN0un/view?usp=drivesdk","4685_GRESYE LEATEMIA _ SERTIFIKAT BerAKHLAK")</f>
        <v>4685_GRESYE LEATEMIA _ SERTIFIKAT BerAKHLAK</v>
      </c>
      <c r="P4686" s="5" t="s">
        <v>31000</v>
      </c>
    </row>
    <row r="4687">
      <c r="A4687" s="4">
        <v>45534.35358390046</v>
      </c>
      <c r="B4687" s="5" t="s">
        <v>34</v>
      </c>
      <c r="D4687" s="5" t="s">
        <v>4775</v>
      </c>
      <c r="E4687" s="5" t="s">
        <v>31017</v>
      </c>
      <c r="F4687" s="5" t="s">
        <v>212</v>
      </c>
      <c r="G4687" s="5" t="s">
        <v>31018</v>
      </c>
      <c r="H4687" s="6" t="s">
        <v>31019</v>
      </c>
      <c r="K4687" s="5" t="s">
        <v>31004</v>
      </c>
      <c r="M4687" s="5" t="s">
        <v>31020</v>
      </c>
      <c r="N4687" s="7" t="s">
        <v>31021</v>
      </c>
      <c r="O4687" s="8" t="str">
        <f>HYPERLINK("https://drive.google.com/file/d/1EztwhryQME7yf6Ch6kp7QgDs4a9Y41PH/view?usp=drivesdk","4686_DYAH ANDRIYANI _ SERTIFIKAT BerAKHLAK")</f>
        <v>4686_DYAH ANDRIYANI _ SERTIFIKAT BerAKHLAK</v>
      </c>
      <c r="P4687" s="5" t="s">
        <v>31022</v>
      </c>
    </row>
    <row r="4688">
      <c r="A4688" s="4">
        <v>45534.35359116898</v>
      </c>
      <c r="B4688" s="5" t="s">
        <v>34</v>
      </c>
      <c r="D4688" s="5" t="s">
        <v>580</v>
      </c>
      <c r="E4688" s="5" t="s">
        <v>31023</v>
      </c>
      <c r="F4688" s="5" t="s">
        <v>72</v>
      </c>
      <c r="G4688" s="5" t="s">
        <v>31024</v>
      </c>
      <c r="H4688" s="6" t="s">
        <v>31025</v>
      </c>
      <c r="K4688" s="5" t="s">
        <v>31004</v>
      </c>
      <c r="M4688" s="5" t="s">
        <v>31026</v>
      </c>
      <c r="N4688" s="7" t="s">
        <v>31027</v>
      </c>
      <c r="O4688" s="8" t="str">
        <f>HYPERLINK("https://drive.google.com/file/d/11I9_iXG9RtFfxWd1al4f_t5rebOy1fPb/view?usp=drivesdk","4687_DR NI KOMANG SARASWITA LAKSMI _ SERTIFIKAT BerAKHLAK")</f>
        <v>4687_DR NI KOMANG SARASWITA LAKSMI _ SERTIFIKAT BerAKHLAK</v>
      </c>
      <c r="P4688" s="5" t="s">
        <v>31022</v>
      </c>
    </row>
    <row r="4689">
      <c r="A4689" s="4">
        <v>45534.35359385417</v>
      </c>
      <c r="B4689" s="5" t="s">
        <v>34</v>
      </c>
      <c r="D4689" s="5" t="s">
        <v>4775</v>
      </c>
      <c r="E4689" s="5" t="s">
        <v>31028</v>
      </c>
      <c r="F4689" s="5" t="s">
        <v>22</v>
      </c>
      <c r="G4689" s="5" t="s">
        <v>31029</v>
      </c>
      <c r="H4689" s="6" t="s">
        <v>31030</v>
      </c>
      <c r="K4689" s="5" t="s">
        <v>31004</v>
      </c>
      <c r="M4689" s="5" t="s">
        <v>31031</v>
      </c>
      <c r="N4689" s="7" t="s">
        <v>31032</v>
      </c>
      <c r="O4689" s="8" t="str">
        <f>HYPERLINK("https://drive.google.com/file/d/1lILpa1tAcoFq4f6-3w-e66DQBVl0zVM2/view?usp=drivesdk","4688_dr NIKEN DIAH ANITASARI,SpPD _ SERTIFIKAT BerAKHLAK")</f>
        <v>4688_dr NIKEN DIAH ANITASARI,SpPD _ SERTIFIKAT BerAKHLAK</v>
      </c>
      <c r="P4689" s="5" t="s">
        <v>31022</v>
      </c>
    </row>
    <row r="4690">
      <c r="A4690" s="4">
        <v>45534.35360065972</v>
      </c>
      <c r="B4690" s="5" t="s">
        <v>34</v>
      </c>
      <c r="D4690" s="5" t="s">
        <v>4775</v>
      </c>
      <c r="E4690" s="5" t="s">
        <v>31033</v>
      </c>
      <c r="F4690" s="5" t="s">
        <v>72</v>
      </c>
      <c r="G4690" s="5" t="s">
        <v>31034</v>
      </c>
      <c r="H4690" s="6" t="s">
        <v>31035</v>
      </c>
      <c r="K4690" s="5" t="s">
        <v>30992</v>
      </c>
      <c r="M4690" s="5" t="s">
        <v>31036</v>
      </c>
      <c r="N4690" s="7" t="s">
        <v>31037</v>
      </c>
      <c r="O4690" s="8" t="str">
        <f>HYPERLINK("https://drive.google.com/file/d/1YWWxQ3n4mTXkGRnIqPDVKnKYx05P4mKC/view?usp=drivesdk","4689_SETYOWATI _ SERTIFIKAT BerAKHLAK")</f>
        <v>4689_SETYOWATI _ SERTIFIKAT BerAKHLAK</v>
      </c>
      <c r="P4690" s="5" t="s">
        <v>31022</v>
      </c>
    </row>
    <row r="4691">
      <c r="A4691" s="4">
        <v>45534.35360261574</v>
      </c>
      <c r="B4691" s="5" t="s">
        <v>34</v>
      </c>
      <c r="D4691" s="5" t="s">
        <v>4775</v>
      </c>
      <c r="E4691" s="5" t="s">
        <v>31038</v>
      </c>
      <c r="F4691" s="5" t="s">
        <v>37</v>
      </c>
      <c r="G4691" s="5" t="s">
        <v>31039</v>
      </c>
      <c r="H4691" s="6" t="s">
        <v>31040</v>
      </c>
      <c r="K4691" s="5" t="s">
        <v>30992</v>
      </c>
      <c r="M4691" s="5" t="s">
        <v>31041</v>
      </c>
      <c r="N4691" s="7" t="s">
        <v>31042</v>
      </c>
      <c r="O4691" s="8" t="str">
        <f>HYPERLINK("https://drive.google.com/file/d/14iSbnO7S05rVxShVg0NlnMqnfZ0mczW2/view?usp=drivesdk","4690_TIKA CHANDRA VIJAYANTI, A. Md. Kep  _ SERTIFIKAT BerAKHLAK")</f>
        <v>4690_TIKA CHANDRA VIJAYANTI, A. Md. Kep  _ SERTIFIKAT BerAKHLAK</v>
      </c>
      <c r="P4691" s="5" t="s">
        <v>31043</v>
      </c>
    </row>
    <row r="4692">
      <c r="A4692" s="4">
        <v>45534.353604062504</v>
      </c>
      <c r="B4692" s="5" t="s">
        <v>34</v>
      </c>
      <c r="D4692" s="5" t="s">
        <v>4775</v>
      </c>
      <c r="E4692" s="5" t="s">
        <v>31044</v>
      </c>
      <c r="F4692" s="5" t="s">
        <v>212</v>
      </c>
      <c r="G4692" s="5" t="s">
        <v>31045</v>
      </c>
      <c r="H4692" s="6" t="s">
        <v>31046</v>
      </c>
      <c r="K4692" s="5" t="s">
        <v>31047</v>
      </c>
      <c r="M4692" s="5" t="s">
        <v>31048</v>
      </c>
      <c r="N4692" s="7" t="s">
        <v>31049</v>
      </c>
      <c r="O4692" s="8" t="str">
        <f>HYPERLINK("https://drive.google.com/file/d/1rNPOvygJ4yUYOs7vSH2AJbhAErxgbWFq/view?usp=drivesdk","4691_HERLITA SUSANTI  _ SERTIFIKAT BerAKHLAK")</f>
        <v>4691_HERLITA SUSANTI  _ SERTIFIKAT BerAKHLAK</v>
      </c>
      <c r="P4692" s="5" t="s">
        <v>31043</v>
      </c>
    </row>
    <row r="4693">
      <c r="A4693" s="4">
        <v>45534.35361369213</v>
      </c>
      <c r="B4693" s="5" t="s">
        <v>34</v>
      </c>
      <c r="D4693" s="5" t="s">
        <v>1206</v>
      </c>
      <c r="E4693" s="5" t="s">
        <v>31050</v>
      </c>
      <c r="F4693" s="5" t="s">
        <v>212</v>
      </c>
      <c r="G4693" s="5" t="s">
        <v>31051</v>
      </c>
      <c r="H4693" s="6" t="s">
        <v>31052</v>
      </c>
      <c r="K4693" s="5" t="s">
        <v>31047</v>
      </c>
      <c r="M4693" s="5" t="s">
        <v>31053</v>
      </c>
      <c r="N4693" s="7" t="s">
        <v>31054</v>
      </c>
      <c r="O4693" s="8" t="str">
        <f>HYPERLINK("https://drive.google.com/file/d/1CWlrnp5ifaIbiVqmplS0fibVrOswdlyN/view?usp=drivesdk","4692_ENDAH RETNO WULAN _ SERTIFIKAT BerAKHLAK")</f>
        <v>4692_ENDAH RETNO WULAN _ SERTIFIKAT BerAKHLAK</v>
      </c>
      <c r="P4693" s="5" t="s">
        <v>31043</v>
      </c>
    </row>
    <row r="4694">
      <c r="A4694" s="4">
        <v>45534.35361420139</v>
      </c>
      <c r="B4694" s="5" t="s">
        <v>34</v>
      </c>
      <c r="D4694" s="5" t="s">
        <v>4775</v>
      </c>
      <c r="E4694" s="5" t="s">
        <v>31055</v>
      </c>
      <c r="F4694" s="5" t="s">
        <v>37</v>
      </c>
      <c r="G4694" s="5" t="s">
        <v>31056</v>
      </c>
      <c r="H4694" s="6" t="s">
        <v>31057</v>
      </c>
      <c r="K4694" s="5" t="s">
        <v>31047</v>
      </c>
      <c r="M4694" s="5" t="s">
        <v>31058</v>
      </c>
      <c r="N4694" s="7" t="s">
        <v>31059</v>
      </c>
      <c r="O4694" s="8" t="str">
        <f>HYPERLINK("https://drive.google.com/file/d/1V9vCUuT0JxaM7zLtUGevxkO3eMeQVG6n/view?usp=drivesdk","4693_ELISABETH DESI ROSARININGTYAS, A.MD.FARM  _ SERTIFIKAT BerAKHLAK")</f>
        <v>4693_ELISABETH DESI ROSARININGTYAS, A.MD.FARM  _ SERTIFIKAT BerAKHLAK</v>
      </c>
      <c r="P4694" s="5" t="s">
        <v>31043</v>
      </c>
    </row>
    <row r="4695">
      <c r="A4695" s="4">
        <v>45534.3536174537</v>
      </c>
      <c r="B4695" s="5" t="s">
        <v>34</v>
      </c>
      <c r="D4695" s="5" t="s">
        <v>12978</v>
      </c>
      <c r="E4695" s="5" t="s">
        <v>31060</v>
      </c>
      <c r="F4695" s="5" t="s">
        <v>37</v>
      </c>
      <c r="G4695" s="5" t="s">
        <v>31061</v>
      </c>
      <c r="H4695" s="6" t="s">
        <v>31062</v>
      </c>
      <c r="K4695" s="5" t="s">
        <v>31047</v>
      </c>
      <c r="M4695" s="5" t="s">
        <v>31063</v>
      </c>
      <c r="N4695" s="7" t="s">
        <v>31064</v>
      </c>
      <c r="O4695" s="8" t="str">
        <f>HYPERLINK("https://drive.google.com/file/d/1rsyJUpnmuObqG3XpFGCkJCNGgtRwHHJA/view?usp=drivesdk","4694_RATNA WATI  _ SERTIFIKAT BerAKHLAK")</f>
        <v>4694_RATNA WATI  _ SERTIFIKAT BerAKHLAK</v>
      </c>
      <c r="P4695" s="5" t="s">
        <v>31043</v>
      </c>
    </row>
    <row r="4696">
      <c r="A4696" s="4">
        <v>45534.353619016205</v>
      </c>
      <c r="B4696" s="5" t="s">
        <v>34</v>
      </c>
      <c r="D4696" s="5" t="s">
        <v>12978</v>
      </c>
      <c r="E4696" s="5" t="s">
        <v>31065</v>
      </c>
      <c r="F4696" s="5" t="s">
        <v>37</v>
      </c>
      <c r="G4696" s="5" t="s">
        <v>31066</v>
      </c>
      <c r="H4696" s="6" t="s">
        <v>31067</v>
      </c>
      <c r="K4696" s="5" t="s">
        <v>31047</v>
      </c>
      <c r="M4696" s="5" t="s">
        <v>31068</v>
      </c>
      <c r="N4696" s="7" t="s">
        <v>31069</v>
      </c>
      <c r="O4696" s="8" t="str">
        <f>HYPERLINK("https://drive.google.com/file/d/1UJTwmCU5la5lruaatUhcGzRnQJKK3bH-/view?usp=drivesdk","4695_PENGATUR ERNI _ SERTIFIKAT BerAKHLAK")</f>
        <v>4695_PENGATUR ERNI _ SERTIFIKAT BerAKHLAK</v>
      </c>
      <c r="P4696" s="5" t="s">
        <v>31070</v>
      </c>
    </row>
    <row r="4697">
      <c r="A4697" s="4">
        <v>45534.35361924769</v>
      </c>
      <c r="B4697" s="5" t="s">
        <v>34</v>
      </c>
      <c r="D4697" s="5" t="s">
        <v>4775</v>
      </c>
      <c r="E4697" s="5" t="s">
        <v>31071</v>
      </c>
      <c r="F4697" s="5" t="s">
        <v>212</v>
      </c>
      <c r="G4697" s="5" t="s">
        <v>31072</v>
      </c>
      <c r="H4697" s="6" t="s">
        <v>31073</v>
      </c>
      <c r="K4697" s="5" t="s">
        <v>31047</v>
      </c>
      <c r="M4697" s="5" t="s">
        <v>31074</v>
      </c>
      <c r="N4697" s="7" t="s">
        <v>31075</v>
      </c>
      <c r="O4697" s="8" t="str">
        <f>HYPERLINK("https://drive.google.com/file/d/1SPjLijyjjnNzPt4nqXRmh3yOVIwIvyUi/view?usp=drivesdk","4696_SRI ARIYANI _ SERTIFIKAT BerAKHLAK")</f>
        <v>4696_SRI ARIYANI _ SERTIFIKAT BerAKHLAK</v>
      </c>
      <c r="P4697" s="5" t="s">
        <v>31070</v>
      </c>
    </row>
    <row r="4698">
      <c r="A4698" s="4">
        <v>45534.35362034722</v>
      </c>
      <c r="B4698" s="5" t="s">
        <v>34</v>
      </c>
      <c r="D4698" s="5" t="s">
        <v>996</v>
      </c>
      <c r="E4698" s="5" t="s">
        <v>31076</v>
      </c>
      <c r="F4698" s="5" t="s">
        <v>212</v>
      </c>
      <c r="G4698" s="5" t="s">
        <v>31077</v>
      </c>
      <c r="H4698" s="6" t="s">
        <v>31078</v>
      </c>
      <c r="K4698" s="5" t="s">
        <v>31047</v>
      </c>
      <c r="M4698" s="5" t="s">
        <v>31079</v>
      </c>
      <c r="N4698" s="7" t="s">
        <v>31080</v>
      </c>
      <c r="O4698" s="8" t="str">
        <f>HYPERLINK("https://drive.google.com/file/d/1NEHc4bOOFaHMMLT_5F63TteqB5nVr6G7/view?usp=drivesdk","4697_EKA SANTOSA _ SERTIFIKAT BerAKHLAK")</f>
        <v>4697_EKA SANTOSA _ SERTIFIKAT BerAKHLAK</v>
      </c>
      <c r="P4698" s="5" t="s">
        <v>31070</v>
      </c>
    </row>
    <row r="4699">
      <c r="A4699" s="4">
        <v>45534.35362202546</v>
      </c>
      <c r="B4699" s="5" t="s">
        <v>34</v>
      </c>
      <c r="D4699" s="5" t="s">
        <v>12010</v>
      </c>
      <c r="E4699" s="5" t="s">
        <v>31081</v>
      </c>
      <c r="F4699" s="5" t="s">
        <v>37</v>
      </c>
      <c r="G4699" s="5" t="s">
        <v>31082</v>
      </c>
      <c r="H4699" s="6" t="s">
        <v>31083</v>
      </c>
      <c r="K4699" s="5" t="s">
        <v>31047</v>
      </c>
      <c r="M4699" s="5" t="s">
        <v>31084</v>
      </c>
      <c r="N4699" s="7" t="s">
        <v>31085</v>
      </c>
      <c r="O4699" s="8" t="str">
        <f>HYPERLINK("https://drive.google.com/file/d/1rxb70lRzzMuOx_ZU99Ry-V4k8hzpdFza/view?usp=drivesdk","4698_UCUK KATILI _ SERTIFIKAT BerAKHLAK")</f>
        <v>4698_UCUK KATILI _ SERTIFIKAT BerAKHLAK</v>
      </c>
      <c r="P4699" s="5" t="s">
        <v>31070</v>
      </c>
    </row>
    <row r="4700">
      <c r="A4700" s="4">
        <v>45534.3536330787</v>
      </c>
      <c r="B4700" s="5" t="s">
        <v>34</v>
      </c>
      <c r="D4700" s="5" t="s">
        <v>604</v>
      </c>
      <c r="E4700" s="5" t="s">
        <v>31086</v>
      </c>
      <c r="F4700" s="5" t="s">
        <v>375</v>
      </c>
      <c r="G4700" s="5" t="s">
        <v>31087</v>
      </c>
      <c r="H4700" s="6" t="s">
        <v>31088</v>
      </c>
      <c r="K4700" s="5" t="s">
        <v>31047</v>
      </c>
      <c r="M4700" s="5" t="s">
        <v>31089</v>
      </c>
      <c r="N4700" s="7" t="s">
        <v>31090</v>
      </c>
      <c r="O4700" s="8" t="str">
        <f>HYPERLINK("https://drive.google.com/file/d/1LbDPc57_lCn8sW5bapyE-vhPifj1cKB8/view?usp=drivesdk","4699_ASBUDY, S.E. _ SERTIFIKAT BerAKHLAK")</f>
        <v>4699_ASBUDY, S.E. _ SERTIFIKAT BerAKHLAK</v>
      </c>
      <c r="P4700" s="5" t="s">
        <v>31070</v>
      </c>
    </row>
    <row r="4701" hidden="1">
      <c r="A4701" s="4">
        <v>45534.35363787037</v>
      </c>
      <c r="B4701" s="5" t="s">
        <v>19</v>
      </c>
      <c r="C4701" s="5" t="s">
        <v>30588</v>
      </c>
      <c r="E4701" s="5" t="s">
        <v>31091</v>
      </c>
      <c r="F4701" s="5" t="s">
        <v>72</v>
      </c>
      <c r="G4701" s="5" t="s">
        <v>31092</v>
      </c>
      <c r="H4701" s="6" t="s">
        <v>31093</v>
      </c>
      <c r="K4701" s="5" t="s">
        <v>31047</v>
      </c>
      <c r="M4701" s="5" t="s">
        <v>31094</v>
      </c>
      <c r="N4701" s="7" t="s">
        <v>31095</v>
      </c>
      <c r="O4701" s="8" t="str">
        <f>HYPERLINK("https://drive.google.com/file/d/1dKsFmLkxzBDGJttEiY5mewWWRn4NpE50/view?usp=drivesdk","4700_URAY MOHAMMAD FACHRIANSYAH, S.KOM. _ SERTIFIKAT BerAKHLAK")</f>
        <v>4700_URAY MOHAMMAD FACHRIANSYAH, S.KOM. _ SERTIFIKAT BerAKHLAK</v>
      </c>
      <c r="P4701" s="5" t="s">
        <v>31096</v>
      </c>
    </row>
    <row r="4702">
      <c r="A4702" s="4">
        <v>45534.353645613424</v>
      </c>
      <c r="B4702" s="5" t="s">
        <v>34</v>
      </c>
      <c r="D4702" s="5" t="s">
        <v>9020</v>
      </c>
      <c r="E4702" s="5" t="s">
        <v>31097</v>
      </c>
      <c r="F4702" s="5" t="s">
        <v>37</v>
      </c>
      <c r="G4702" s="5" t="s">
        <v>31098</v>
      </c>
      <c r="H4702" s="6" t="s">
        <v>31099</v>
      </c>
      <c r="K4702" s="5" t="s">
        <v>31047</v>
      </c>
      <c r="M4702" s="5" t="s">
        <v>31100</v>
      </c>
      <c r="N4702" s="7" t="s">
        <v>31101</v>
      </c>
      <c r="O4702" s="8" t="str">
        <f>HYPERLINK("https://drive.google.com/file/d/1IrCMG99F_L2ko16zQKKfb6SzjKfxMrt4/view?usp=drivesdk","4701_RENNY MARLINA SIHOMBING _ SERTIFIKAT BerAKHLAK")</f>
        <v>4701_RENNY MARLINA SIHOMBING _ SERTIFIKAT BerAKHLAK</v>
      </c>
      <c r="P4702" s="5" t="s">
        <v>31096</v>
      </c>
    </row>
    <row r="4703">
      <c r="A4703" s="4">
        <v>45534.353650289355</v>
      </c>
      <c r="B4703" s="5" t="s">
        <v>34</v>
      </c>
      <c r="D4703" s="5" t="s">
        <v>4775</v>
      </c>
      <c r="E4703" s="5" t="s">
        <v>31102</v>
      </c>
      <c r="F4703" s="5" t="s">
        <v>37</v>
      </c>
      <c r="G4703" s="5" t="s">
        <v>31103</v>
      </c>
      <c r="H4703" s="6" t="s">
        <v>31104</v>
      </c>
      <c r="K4703" s="5" t="s">
        <v>31047</v>
      </c>
      <c r="M4703" s="5" t="s">
        <v>31105</v>
      </c>
      <c r="N4703" s="7" t="s">
        <v>31106</v>
      </c>
      <c r="O4703" s="8" t="str">
        <f>HYPERLINK("https://drive.google.com/file/d/1P82i4vlQy2BeUQf7Bqqfuzl2PYZh7BUL/view?usp=drivesdk","4702_INDAH SETYANINGSIH  _ SERTIFIKAT BerAKHLAK")</f>
        <v>4702_INDAH SETYANINGSIH  _ SERTIFIKAT BerAKHLAK</v>
      </c>
      <c r="P4703" s="5" t="s">
        <v>31096</v>
      </c>
    </row>
    <row r="4704">
      <c r="A4704" s="4">
        <v>45534.35368310185</v>
      </c>
      <c r="B4704" s="5" t="s">
        <v>34</v>
      </c>
      <c r="D4704" s="5" t="s">
        <v>1768</v>
      </c>
      <c r="E4704" s="5" t="s">
        <v>31107</v>
      </c>
      <c r="F4704" s="5" t="s">
        <v>108</v>
      </c>
      <c r="G4704" s="5" t="s">
        <v>31108</v>
      </c>
      <c r="H4704" s="6" t="s">
        <v>31109</v>
      </c>
      <c r="I4704" s="7" t="s">
        <v>31110</v>
      </c>
      <c r="J4704" s="8" t="str">
        <f>HYPERLINK("https://drive.google.com/file/d/1BSu_-X24caatleC4ppb9o5Vjwrx5LYj7/view?usp=drivesdk","Ida Ayu Nyoman witari SERTIFIKAT BerAKHLAK")</f>
        <v>Ida Ayu Nyoman witari SERTIFIKAT BerAKHLAK</v>
      </c>
      <c r="K4704" s="5" t="s">
        <v>29717</v>
      </c>
      <c r="L4704" s="5" t="s">
        <v>31111</v>
      </c>
      <c r="M4704" s="5" t="s">
        <v>31112</v>
      </c>
      <c r="N4704" s="7" t="s">
        <v>31113</v>
      </c>
      <c r="O4704" s="8" t="str">
        <f>HYPERLINK("https://drive.google.com/file/d/1o8NkFmyA8uquBGdtx4yjg1y1VPc3aJ0V/view?usp=drivesdk","4703_Ida Ayu Nyoman witari _ SERTIFIKAT BerAKHLAK")</f>
        <v>4703_Ida Ayu Nyoman witari _ SERTIFIKAT BerAKHLAK</v>
      </c>
      <c r="P4704" s="5" t="s">
        <v>31096</v>
      </c>
    </row>
    <row r="4705">
      <c r="A4705" s="4">
        <v>45534.35369164352</v>
      </c>
      <c r="B4705" s="5" t="s">
        <v>34</v>
      </c>
      <c r="D4705" s="5" t="s">
        <v>1558</v>
      </c>
      <c r="E4705" s="5" t="s">
        <v>31114</v>
      </c>
      <c r="F4705" s="5" t="s">
        <v>199</v>
      </c>
      <c r="G4705" s="5" t="s">
        <v>31115</v>
      </c>
      <c r="H4705" s="6" t="s">
        <v>31116</v>
      </c>
      <c r="I4705" s="7" t="s">
        <v>31117</v>
      </c>
      <c r="J4705" s="8" t="str">
        <f>HYPERLINK("https://drive.google.com/file/d/1gTe1_x3H9Bx6cLOVN4UScqyEkq5oiLD7/view?usp=drivesdk","RUSMIANTO SERTIFIKAT BerAKHLAK")</f>
        <v>RUSMIANTO SERTIFIKAT BerAKHLAK</v>
      </c>
      <c r="K4705" s="5" t="s">
        <v>31118</v>
      </c>
      <c r="L4705" s="5" t="s">
        <v>31119</v>
      </c>
      <c r="M4705" s="5" t="s">
        <v>31120</v>
      </c>
      <c r="N4705" s="7" t="s">
        <v>31121</v>
      </c>
      <c r="O4705" s="8" t="str">
        <f>HYPERLINK("https://drive.google.com/file/d/1X1gyt4F4Dfx5LPk9Bt0XEQLyNdyBjA7a/view?usp=drivesdk","4704_RUSMIANTO _ SERTIFIKAT BerAKHLAK")</f>
        <v>4704_RUSMIANTO _ SERTIFIKAT BerAKHLAK</v>
      </c>
      <c r="P4705" s="5" t="s">
        <v>31122</v>
      </c>
    </row>
    <row r="4706" hidden="1">
      <c r="A4706" s="4">
        <v>45534.353693564815</v>
      </c>
      <c r="B4706" s="5" t="s">
        <v>19</v>
      </c>
      <c r="C4706" s="5" t="s">
        <v>466</v>
      </c>
      <c r="E4706" s="5" t="s">
        <v>31123</v>
      </c>
      <c r="F4706" s="5" t="s">
        <v>524</v>
      </c>
      <c r="G4706" s="5" t="s">
        <v>31124</v>
      </c>
      <c r="H4706" s="6" t="s">
        <v>31125</v>
      </c>
      <c r="I4706" s="7" t="s">
        <v>31126</v>
      </c>
      <c r="J4706" s="8" t="str">
        <f>HYPERLINK("https://drive.google.com/file/d/1rSL6Gdr8YSMRxvthSFP-A-aH8GMI4FaY/view?usp=drivesdk","DIDIK,S.H. SERTIFIKAT BerAKHLAK")</f>
        <v>DIDIK,S.H. SERTIFIKAT BerAKHLAK</v>
      </c>
      <c r="K4706" s="5" t="s">
        <v>31118</v>
      </c>
      <c r="L4706" s="5" t="s">
        <v>31127</v>
      </c>
      <c r="M4706" s="5" t="s">
        <v>31128</v>
      </c>
      <c r="N4706" s="7" t="s">
        <v>31129</v>
      </c>
      <c r="O4706" s="8" t="str">
        <f>HYPERLINK("https://drive.google.com/file/d/1u2_FC1X6jbopzXLKtwMh0T2udIPuhnH5/view?usp=drivesdk","4705_DIDIK,S.H. _ SERTIFIKAT BerAKHLAK")</f>
        <v>4705_DIDIK,S.H. _ SERTIFIKAT BerAKHLAK</v>
      </c>
      <c r="P4706" s="5" t="s">
        <v>31122</v>
      </c>
    </row>
    <row r="4707">
      <c r="A4707" s="4">
        <v>45534.35369471065</v>
      </c>
      <c r="B4707" s="5" t="s">
        <v>34</v>
      </c>
      <c r="D4707" s="5" t="s">
        <v>1558</v>
      </c>
      <c r="E4707" s="5" t="s">
        <v>31130</v>
      </c>
      <c r="F4707" s="5" t="s">
        <v>108</v>
      </c>
      <c r="G4707" s="5" t="s">
        <v>31131</v>
      </c>
      <c r="H4707" s="6" t="s">
        <v>31132</v>
      </c>
      <c r="K4707" s="5" t="s">
        <v>31133</v>
      </c>
      <c r="M4707" s="5" t="s">
        <v>31134</v>
      </c>
      <c r="N4707" s="7" t="s">
        <v>31135</v>
      </c>
      <c r="O4707" s="8" t="str">
        <f>HYPERLINK("https://drive.google.com/file/d/1AJPRiQg650PD-UtWmFUwsm4vB0NijJot/view?usp=drivesdk","4706_SUNARSIH _ SERTIFIKAT BerAKHLAK")</f>
        <v>4706_SUNARSIH _ SERTIFIKAT BerAKHLAK</v>
      </c>
      <c r="P4707" s="5" t="s">
        <v>31122</v>
      </c>
    </row>
    <row r="4708">
      <c r="A4708" s="4">
        <v>45534.35369552083</v>
      </c>
      <c r="B4708" s="5" t="s">
        <v>34</v>
      </c>
      <c r="D4708" s="5" t="s">
        <v>1206</v>
      </c>
      <c r="E4708" s="5" t="s">
        <v>31136</v>
      </c>
      <c r="F4708" s="5" t="s">
        <v>212</v>
      </c>
      <c r="G4708" s="5" t="s">
        <v>31137</v>
      </c>
      <c r="H4708" s="6" t="s">
        <v>31138</v>
      </c>
      <c r="K4708" s="5" t="s">
        <v>31133</v>
      </c>
      <c r="M4708" s="5" t="s">
        <v>31139</v>
      </c>
      <c r="N4708" s="7" t="s">
        <v>31140</v>
      </c>
      <c r="O4708" s="8" t="str">
        <f>HYPERLINK("https://drive.google.com/file/d/1-MEBHqOKV7B0l-koLIVpd4otdeVFnD_W/view?usp=drivesdk","4707_NURYADI SYUKUR BAGIO  _ SERTIFIKAT BerAKHLAK")</f>
        <v>4707_NURYADI SYUKUR BAGIO  _ SERTIFIKAT BerAKHLAK</v>
      </c>
      <c r="P4708" s="5" t="s">
        <v>31122</v>
      </c>
    </row>
    <row r="4709">
      <c r="A4709" s="4">
        <v>45534.35369978009</v>
      </c>
      <c r="B4709" s="5" t="s">
        <v>34</v>
      </c>
      <c r="D4709" s="5" t="s">
        <v>1206</v>
      </c>
      <c r="E4709" s="5" t="s">
        <v>31141</v>
      </c>
      <c r="F4709" s="5" t="s">
        <v>72</v>
      </c>
      <c r="G4709" s="5" t="s">
        <v>31142</v>
      </c>
      <c r="H4709" s="6" t="s">
        <v>31143</v>
      </c>
      <c r="K4709" s="5" t="s">
        <v>31133</v>
      </c>
      <c r="M4709" s="5" t="s">
        <v>31144</v>
      </c>
      <c r="N4709" s="7" t="s">
        <v>31145</v>
      </c>
      <c r="O4709" s="8" t="str">
        <f>HYPERLINK("https://drive.google.com/file/d/1zWRO471E4uTyfVhv8ovOcTNdUI8sWfrN/view?usp=drivesdk","4708_SRI PUDJIASTUTIK _ SERTIFIKAT BerAKHLAK")</f>
        <v>4708_SRI PUDJIASTUTIK _ SERTIFIKAT BerAKHLAK</v>
      </c>
      <c r="P4709" s="5" t="s">
        <v>31146</v>
      </c>
    </row>
    <row r="4710">
      <c r="A4710" s="4">
        <v>45534.35370248843</v>
      </c>
      <c r="B4710" s="5" t="s">
        <v>34</v>
      </c>
      <c r="D4710" s="5" t="s">
        <v>12978</v>
      </c>
      <c r="E4710" s="5" t="s">
        <v>31147</v>
      </c>
      <c r="F4710" s="5" t="s">
        <v>524</v>
      </c>
      <c r="G4710" s="5" t="s">
        <v>31148</v>
      </c>
      <c r="H4710" s="6" t="s">
        <v>31149</v>
      </c>
      <c r="K4710" s="5" t="s">
        <v>31133</v>
      </c>
      <c r="M4710" s="5" t="s">
        <v>31150</v>
      </c>
      <c r="N4710" s="7" t="s">
        <v>31151</v>
      </c>
      <c r="O4710" s="8" t="str">
        <f>HYPERLINK("https://drive.google.com/file/d/1pIYAThexHCmC3HLXS_KlRrL5vV6rr_v_/view?usp=drivesdk","4709_DARWATI _ SERTIFIKAT BerAKHLAK")</f>
        <v>4709_DARWATI _ SERTIFIKAT BerAKHLAK</v>
      </c>
      <c r="P4710" s="5" t="s">
        <v>31146</v>
      </c>
    </row>
    <row r="4711">
      <c r="A4711" s="4">
        <v>45534.35371361111</v>
      </c>
      <c r="B4711" s="5" t="s">
        <v>34</v>
      </c>
      <c r="D4711" s="5" t="s">
        <v>267</v>
      </c>
      <c r="E4711" s="5" t="s">
        <v>31152</v>
      </c>
      <c r="F4711" s="5" t="s">
        <v>524</v>
      </c>
      <c r="G4711" s="5" t="s">
        <v>31153</v>
      </c>
      <c r="H4711" s="6" t="s">
        <v>31154</v>
      </c>
      <c r="K4711" s="5" t="s">
        <v>31133</v>
      </c>
      <c r="M4711" s="5" t="s">
        <v>31155</v>
      </c>
      <c r="N4711" s="7" t="s">
        <v>31156</v>
      </c>
      <c r="O4711" s="8" t="str">
        <f>HYPERLINK("https://drive.google.com/file/d/1W7x_kso23yaghf1w3fZIK6sZcHDQYtUC/view?usp=drivesdk","4710_ASIH SUMARSI, S.Kep _ SERTIFIKAT BerAKHLAK")</f>
        <v>4710_ASIH SUMARSI, S.Kep _ SERTIFIKAT BerAKHLAK</v>
      </c>
      <c r="P4711" s="5" t="s">
        <v>31157</v>
      </c>
    </row>
    <row r="4712">
      <c r="A4712" s="4">
        <v>45534.35371998843</v>
      </c>
      <c r="B4712" s="5" t="s">
        <v>34</v>
      </c>
      <c r="D4712" s="5" t="s">
        <v>1206</v>
      </c>
      <c r="E4712" s="5" t="s">
        <v>31158</v>
      </c>
      <c r="F4712" s="5" t="s">
        <v>37</v>
      </c>
      <c r="G4712" s="5" t="s">
        <v>31159</v>
      </c>
      <c r="H4712" s="6" t="s">
        <v>31160</v>
      </c>
      <c r="K4712" s="5" t="s">
        <v>31133</v>
      </c>
      <c r="M4712" s="5" t="s">
        <v>31161</v>
      </c>
      <c r="N4712" s="7" t="s">
        <v>31162</v>
      </c>
      <c r="O4712" s="8" t="str">
        <f>HYPERLINK("https://drive.google.com/file/d/15N5FPXUGuYAeo113cciWYbmQ8atynXmH/view?usp=drivesdk","4711_AGUS SUGIANTO _ SERTIFIKAT BerAKHLAK")</f>
        <v>4711_AGUS SUGIANTO _ SERTIFIKAT BerAKHLAK</v>
      </c>
      <c r="P4712" s="5" t="s">
        <v>31157</v>
      </c>
    </row>
    <row r="4713">
      <c r="A4713" s="4">
        <v>45534.353730821764</v>
      </c>
      <c r="B4713" s="5" t="s">
        <v>34</v>
      </c>
      <c r="D4713" s="5" t="s">
        <v>12978</v>
      </c>
      <c r="E4713" s="5" t="s">
        <v>31163</v>
      </c>
      <c r="F4713" s="5" t="s">
        <v>375</v>
      </c>
      <c r="G4713" s="5" t="s">
        <v>31164</v>
      </c>
      <c r="H4713" s="6" t="s">
        <v>31165</v>
      </c>
      <c r="K4713" s="5" t="s">
        <v>31133</v>
      </c>
      <c r="M4713" s="5" t="s">
        <v>31166</v>
      </c>
      <c r="N4713" s="7" t="s">
        <v>31167</v>
      </c>
      <c r="O4713" s="8" t="str">
        <f>HYPERLINK("https://drive.google.com/file/d/1k1pha9y-WqwnSNvX1cL2yHrrKW15PDT1/view?usp=drivesdk","4712_LESTARI BAGAWANTI, S.Kep., MARS _ SERTIFIKAT BerAKHLAK")</f>
        <v>4712_LESTARI BAGAWANTI, S.Kep., MARS _ SERTIFIKAT BerAKHLAK</v>
      </c>
      <c r="P4713" s="5" t="s">
        <v>31157</v>
      </c>
    </row>
    <row r="4714">
      <c r="A4714" s="4">
        <v>45534.35373283565</v>
      </c>
      <c r="B4714" s="5" t="s">
        <v>34</v>
      </c>
      <c r="D4714" s="5" t="s">
        <v>1206</v>
      </c>
      <c r="E4714" s="5" t="s">
        <v>31168</v>
      </c>
      <c r="F4714" s="5" t="s">
        <v>72</v>
      </c>
      <c r="G4714" s="5" t="s">
        <v>31169</v>
      </c>
      <c r="H4714" s="6" t="s">
        <v>31170</v>
      </c>
      <c r="K4714" s="5" t="s">
        <v>31133</v>
      </c>
      <c r="M4714" s="5" t="s">
        <v>31171</v>
      </c>
      <c r="N4714" s="7" t="s">
        <v>31172</v>
      </c>
      <c r="O4714" s="8" t="str">
        <f>HYPERLINK("https://drive.google.com/file/d/15K5P_8hV7CeTkEcCnDWkk_g4wCEB_y6l/view?usp=drivesdk","4713_FITRIA PURNAMASARI  _ SERTIFIKAT BerAKHLAK")</f>
        <v>4713_FITRIA PURNAMASARI  _ SERTIFIKAT BerAKHLAK</v>
      </c>
      <c r="P4714" s="5" t="s">
        <v>31157</v>
      </c>
    </row>
    <row r="4715">
      <c r="A4715" s="4">
        <v>45534.35373990741</v>
      </c>
      <c r="B4715" s="5" t="s">
        <v>34</v>
      </c>
      <c r="D4715" s="5" t="s">
        <v>362</v>
      </c>
      <c r="E4715" s="5" t="s">
        <v>31173</v>
      </c>
      <c r="F4715" s="5" t="s">
        <v>37</v>
      </c>
      <c r="G4715" s="5" t="s">
        <v>31174</v>
      </c>
      <c r="H4715" s="6" t="s">
        <v>31175</v>
      </c>
      <c r="K4715" s="5" t="s">
        <v>31133</v>
      </c>
      <c r="M4715" s="5" t="s">
        <v>31176</v>
      </c>
      <c r="N4715" s="7" t="s">
        <v>31177</v>
      </c>
      <c r="O4715" s="8" t="str">
        <f>HYPERLINK("https://drive.google.com/file/d/1QLtFdN1wJzbuRiV3ltchvdKa5ACn7Sxw/view?usp=drivesdk","4714_HERIAGUS T _ SERTIFIKAT BerAKHLAK")</f>
        <v>4714_HERIAGUS T _ SERTIFIKAT BerAKHLAK</v>
      </c>
      <c r="P4715" s="5" t="s">
        <v>31178</v>
      </c>
    </row>
    <row r="4716">
      <c r="A4716" s="4">
        <v>45534.35375673611</v>
      </c>
      <c r="B4716" s="5" t="s">
        <v>34</v>
      </c>
      <c r="D4716" s="5" t="s">
        <v>12978</v>
      </c>
      <c r="E4716" s="5" t="s">
        <v>31179</v>
      </c>
      <c r="F4716" s="5" t="s">
        <v>212</v>
      </c>
      <c r="G4716" s="5" t="s">
        <v>31180</v>
      </c>
      <c r="H4716" s="6" t="s">
        <v>31181</v>
      </c>
      <c r="K4716" s="5" t="s">
        <v>31133</v>
      </c>
      <c r="M4716" s="5" t="s">
        <v>31182</v>
      </c>
      <c r="N4716" s="7" t="s">
        <v>31183</v>
      </c>
      <c r="O4716" s="8" t="str">
        <f>HYPERLINK("https://drive.google.com/file/d/1rW8LlB6rK_RjAeHNOkldG1IaXEeTsA_o/view?usp=drivesdk","4715_SYAMSURIZAL _ SERTIFIKAT BerAKHLAK")</f>
        <v>4715_SYAMSURIZAL _ SERTIFIKAT BerAKHLAK</v>
      </c>
      <c r="P4716" s="5" t="s">
        <v>31178</v>
      </c>
    </row>
    <row r="4717">
      <c r="A4717" s="4">
        <v>45534.353758032405</v>
      </c>
      <c r="B4717" s="5" t="s">
        <v>34</v>
      </c>
      <c r="D4717" s="5" t="s">
        <v>267</v>
      </c>
      <c r="E4717" s="5" t="s">
        <v>31184</v>
      </c>
      <c r="F4717" s="5" t="s">
        <v>212</v>
      </c>
      <c r="G4717" s="5" t="s">
        <v>31185</v>
      </c>
      <c r="H4717" s="6" t="s">
        <v>31186</v>
      </c>
      <c r="K4717" s="5" t="s">
        <v>31133</v>
      </c>
      <c r="M4717" s="5" t="s">
        <v>31187</v>
      </c>
      <c r="N4717" s="7" t="s">
        <v>31188</v>
      </c>
      <c r="O4717" s="8" t="str">
        <f>HYPERLINK("https://drive.google.com/file/d/1Ti-0BhKpS9clvnDu0_JWVbg_yIWP1opq/view?usp=drivesdk","4716_DASIYAH _ SERTIFIKAT BerAKHLAK")</f>
        <v>4716_DASIYAH _ SERTIFIKAT BerAKHLAK</v>
      </c>
      <c r="P4717" s="5" t="s">
        <v>31178</v>
      </c>
    </row>
    <row r="4718">
      <c r="A4718" s="4">
        <v>45534.3537607176</v>
      </c>
      <c r="B4718" s="5" t="s">
        <v>34</v>
      </c>
      <c r="D4718" s="5" t="s">
        <v>267</v>
      </c>
      <c r="E4718" s="5" t="s">
        <v>31189</v>
      </c>
      <c r="F4718" s="5" t="s">
        <v>72</v>
      </c>
      <c r="G4718" s="5" t="s">
        <v>31190</v>
      </c>
      <c r="H4718" s="6" t="s">
        <v>31191</v>
      </c>
      <c r="K4718" s="5" t="s">
        <v>31133</v>
      </c>
      <c r="M4718" s="5" t="s">
        <v>31192</v>
      </c>
      <c r="N4718" s="7" t="s">
        <v>31193</v>
      </c>
      <c r="O4718" s="8" t="str">
        <f>HYPERLINK("https://drive.google.com/file/d/1YaXT5dQUyjKPHggYXBsUJ9fM4YUz3wW9/view?usp=drivesdk","4717_NOVERI BINDATU, A.Md _ SERTIFIKAT BerAKHLAK")</f>
        <v>4717_NOVERI BINDATU, A.Md _ SERTIFIKAT BerAKHLAK</v>
      </c>
      <c r="P4718" s="5" t="s">
        <v>31178</v>
      </c>
    </row>
    <row r="4719">
      <c r="A4719" s="4">
        <v>45534.35377372685</v>
      </c>
      <c r="B4719" s="5" t="s">
        <v>34</v>
      </c>
      <c r="D4719" s="5" t="s">
        <v>35</v>
      </c>
      <c r="E4719" s="5" t="s">
        <v>31194</v>
      </c>
      <c r="F4719" s="5" t="s">
        <v>37</v>
      </c>
      <c r="G4719" s="5" t="s">
        <v>31195</v>
      </c>
      <c r="H4719" s="6" t="s">
        <v>31196</v>
      </c>
      <c r="K4719" s="5" t="s">
        <v>31133</v>
      </c>
      <c r="M4719" s="5" t="s">
        <v>31197</v>
      </c>
      <c r="N4719" s="7" t="s">
        <v>31198</v>
      </c>
      <c r="O4719" s="8" t="str">
        <f>HYPERLINK("https://drive.google.com/file/d/1NlxX_FfbbAJxZpv9NC5nc02Lp1YW0pub/view?usp=drivesdk","4718_AFID ADNAN _ SERTIFIKAT BerAKHLAK")</f>
        <v>4718_AFID ADNAN _ SERTIFIKAT BerAKHLAK</v>
      </c>
      <c r="P4719" s="5" t="s">
        <v>31199</v>
      </c>
    </row>
    <row r="4720">
      <c r="A4720" s="4">
        <v>45534.353779212965</v>
      </c>
      <c r="B4720" s="5" t="s">
        <v>34</v>
      </c>
      <c r="D4720" s="5" t="s">
        <v>10444</v>
      </c>
      <c r="E4720" s="5" t="s">
        <v>31200</v>
      </c>
      <c r="F4720" s="5" t="s">
        <v>37</v>
      </c>
      <c r="G4720" s="5" t="s">
        <v>31201</v>
      </c>
      <c r="H4720" s="6" t="s">
        <v>31202</v>
      </c>
      <c r="K4720" s="5" t="s">
        <v>31133</v>
      </c>
      <c r="M4720" s="5" t="s">
        <v>31203</v>
      </c>
      <c r="N4720" s="7" t="s">
        <v>31204</v>
      </c>
      <c r="O4720" s="8" t="str">
        <f>HYPERLINK("https://drive.google.com/file/d/150kbsjs7_YR1SNNtYDt99i5WPVSw6vRO/view?usp=drivesdk","4719_INDAH GUSTARI, A.Md.Farm. _ SERTIFIKAT BerAKHLAK")</f>
        <v>4719_INDAH GUSTARI, A.Md.Farm. _ SERTIFIKAT BerAKHLAK</v>
      </c>
      <c r="P4720" s="5" t="s">
        <v>31199</v>
      </c>
    </row>
    <row r="4721">
      <c r="A4721" s="4">
        <v>45534.35378148148</v>
      </c>
      <c r="B4721" s="5" t="s">
        <v>34</v>
      </c>
      <c r="D4721" s="5" t="s">
        <v>9394</v>
      </c>
      <c r="E4721" s="5" t="s">
        <v>31205</v>
      </c>
      <c r="F4721" s="5" t="s">
        <v>120</v>
      </c>
      <c r="G4721" s="5" t="s">
        <v>31206</v>
      </c>
      <c r="H4721" s="6" t="s">
        <v>31207</v>
      </c>
      <c r="K4721" s="5" t="s">
        <v>31133</v>
      </c>
      <c r="M4721" s="5" t="s">
        <v>31208</v>
      </c>
      <c r="N4721" s="7" t="s">
        <v>31209</v>
      </c>
      <c r="O4721" s="8" t="str">
        <f>HYPERLINK("https://drive.google.com/file/d/1w7SY67C9inBOtlVdZFga1Y_LKmrNyTsE/view?usp=drivesdk","4720_AFNAR MEILYNA, S.E. _ SERTIFIKAT BerAKHLAK")</f>
        <v>4720_AFNAR MEILYNA, S.E. _ SERTIFIKAT BerAKHLAK</v>
      </c>
      <c r="P4721" s="5" t="s">
        <v>31199</v>
      </c>
    </row>
    <row r="4722">
      <c r="A4722" s="4">
        <v>45534.35378609954</v>
      </c>
      <c r="B4722" s="5" t="s">
        <v>34</v>
      </c>
      <c r="D4722" s="5" t="s">
        <v>9394</v>
      </c>
      <c r="E4722" s="5" t="s">
        <v>31210</v>
      </c>
      <c r="F4722" s="5" t="s">
        <v>212</v>
      </c>
      <c r="G4722" s="5" t="s">
        <v>31211</v>
      </c>
      <c r="H4722" s="6" t="s">
        <v>31212</v>
      </c>
      <c r="K4722" s="5" t="s">
        <v>31133</v>
      </c>
      <c r="M4722" s="5" t="s">
        <v>31213</v>
      </c>
      <c r="N4722" s="7" t="s">
        <v>31214</v>
      </c>
      <c r="O4722" s="8" t="str">
        <f>HYPERLINK("https://drive.google.com/file/d/1Je9Tw5R5mCRa6CFsxdmPxiA0vPGdCjHu/view?usp=drivesdk","4721_JASMANI _ SERTIFIKAT BerAKHLAK")</f>
        <v>4721_JASMANI _ SERTIFIKAT BerAKHLAK</v>
      </c>
      <c r="P4722" s="5" t="s">
        <v>31199</v>
      </c>
    </row>
    <row r="4723">
      <c r="A4723" s="4">
        <v>45534.35379425926</v>
      </c>
      <c r="B4723" s="5" t="s">
        <v>34</v>
      </c>
      <c r="D4723" s="5" t="s">
        <v>1558</v>
      </c>
      <c r="E4723" s="5" t="s">
        <v>31215</v>
      </c>
      <c r="F4723" s="5" t="s">
        <v>212</v>
      </c>
      <c r="G4723" s="5" t="s">
        <v>31216</v>
      </c>
      <c r="H4723" s="6" t="s">
        <v>31217</v>
      </c>
      <c r="K4723" s="5" t="s">
        <v>31133</v>
      </c>
      <c r="M4723" s="5" t="s">
        <v>31218</v>
      </c>
      <c r="N4723" s="7" t="s">
        <v>31219</v>
      </c>
      <c r="O4723" s="8" t="str">
        <f>HYPERLINK("https://drive.google.com/file/d/1aD9xSNoPsWYQLTehfkl_kN16lo2r8aiY/view?usp=drivesdk","4722_SAFRIYANTO SIHOMBING _ SERTIFIKAT BerAKHLAK")</f>
        <v>4722_SAFRIYANTO SIHOMBING _ SERTIFIKAT BerAKHLAK</v>
      </c>
      <c r="P4723" s="5" t="s">
        <v>31199</v>
      </c>
    </row>
    <row r="4724">
      <c r="A4724" s="4">
        <v>45534.3537947338</v>
      </c>
      <c r="B4724" s="5" t="s">
        <v>34</v>
      </c>
      <c r="D4724" s="5" t="s">
        <v>4775</v>
      </c>
      <c r="E4724" s="5" t="s">
        <v>31220</v>
      </c>
      <c r="F4724" s="5" t="s">
        <v>212</v>
      </c>
      <c r="G4724" s="5" t="s">
        <v>31221</v>
      </c>
      <c r="H4724" s="6" t="s">
        <v>31222</v>
      </c>
      <c r="K4724" s="5" t="s">
        <v>31133</v>
      </c>
      <c r="M4724" s="5" t="s">
        <v>31223</v>
      </c>
      <c r="N4724" s="7" t="s">
        <v>31224</v>
      </c>
      <c r="O4724" s="8" t="str">
        <f>HYPERLINK("https://drive.google.com/file/d/1Qkr15QIBctsDjXiHXg_zGKWJ6yoOBf7s/view?usp=drivesdk","4723_JENNY ANDHIAS WINATASARI _ SERTIFIKAT BerAKHLAK")</f>
        <v>4723_JENNY ANDHIAS WINATASARI _ SERTIFIKAT BerAKHLAK</v>
      </c>
      <c r="P4724" s="5" t="s">
        <v>31225</v>
      </c>
    </row>
    <row r="4725">
      <c r="A4725" s="4">
        <v>45534.35380488426</v>
      </c>
      <c r="B4725" s="5" t="s">
        <v>34</v>
      </c>
      <c r="D4725" s="5" t="s">
        <v>9020</v>
      </c>
      <c r="E4725" s="5" t="s">
        <v>31226</v>
      </c>
      <c r="F4725" s="5" t="s">
        <v>212</v>
      </c>
      <c r="G4725" s="5" t="s">
        <v>31227</v>
      </c>
      <c r="H4725" s="6" t="s">
        <v>31228</v>
      </c>
      <c r="K4725" s="5" t="s">
        <v>31133</v>
      </c>
      <c r="M4725" s="5" t="s">
        <v>31229</v>
      </c>
      <c r="N4725" s="7" t="s">
        <v>31230</v>
      </c>
      <c r="O4725" s="8" t="str">
        <f>HYPERLINK("https://drive.google.com/file/d/1_d1byt_1CVYiO1hLMlgCKUcITVMNpMuk/view?usp=drivesdk","4724_OKTI DEFUAN NAINGGOLAN, A.Md _ SERTIFIKAT BerAKHLAK")</f>
        <v>4724_OKTI DEFUAN NAINGGOLAN, A.Md _ SERTIFIKAT BerAKHLAK</v>
      </c>
      <c r="P4725" s="5" t="s">
        <v>31225</v>
      </c>
    </row>
    <row r="4726">
      <c r="A4726" s="4">
        <v>45534.353809409724</v>
      </c>
      <c r="B4726" s="5" t="s">
        <v>34</v>
      </c>
      <c r="D4726" s="5" t="s">
        <v>1558</v>
      </c>
      <c r="E4726" s="5" t="s">
        <v>31231</v>
      </c>
      <c r="F4726" s="5" t="s">
        <v>212</v>
      </c>
      <c r="G4726" s="5" t="s">
        <v>31232</v>
      </c>
      <c r="H4726" s="6" t="s">
        <v>31233</v>
      </c>
      <c r="K4726" s="5" t="s">
        <v>31133</v>
      </c>
      <c r="M4726" s="5" t="s">
        <v>31234</v>
      </c>
      <c r="N4726" s="7" t="s">
        <v>31235</v>
      </c>
      <c r="O4726" s="8" t="str">
        <f>HYPERLINK("https://drive.google.com/file/d/1u1JwhnCjNhlj9Zjri1J1E2qOYODVvNgX/view?usp=drivesdk","4725_MUHFIATUN _ SERTIFIKAT BerAKHLAK")</f>
        <v>4725_MUHFIATUN _ SERTIFIKAT BerAKHLAK</v>
      </c>
      <c r="P4726" s="5" t="s">
        <v>31225</v>
      </c>
    </row>
    <row r="4727">
      <c r="A4727" s="4">
        <v>45534.35381021991</v>
      </c>
      <c r="B4727" s="5" t="s">
        <v>34</v>
      </c>
      <c r="D4727" s="5" t="s">
        <v>4775</v>
      </c>
      <c r="E4727" s="5" t="s">
        <v>31236</v>
      </c>
      <c r="F4727" s="5" t="s">
        <v>212</v>
      </c>
      <c r="G4727" s="5" t="s">
        <v>31237</v>
      </c>
      <c r="H4727" s="6" t="s">
        <v>31238</v>
      </c>
      <c r="K4727" s="5" t="s">
        <v>31133</v>
      </c>
      <c r="M4727" s="5" t="s">
        <v>31239</v>
      </c>
      <c r="N4727" s="7" t="s">
        <v>31240</v>
      </c>
      <c r="O4727" s="8" t="str">
        <f>HYPERLINK("https://drive.google.com/file/d/1PbGtCPAYGlrfuGm2lThebHXv1HpMJcTF/view?usp=drivesdk","4726_ARI WAHYUDI _ SERTIFIKAT BerAKHLAK")</f>
        <v>4726_ARI WAHYUDI _ SERTIFIKAT BerAKHLAK</v>
      </c>
      <c r="P4727" s="5" t="s">
        <v>31225</v>
      </c>
    </row>
    <row r="4728">
      <c r="A4728" s="4">
        <v>45534.35381353009</v>
      </c>
      <c r="B4728" s="5" t="s">
        <v>34</v>
      </c>
      <c r="D4728" s="5" t="s">
        <v>522</v>
      </c>
      <c r="E4728" s="5" t="s">
        <v>31241</v>
      </c>
      <c r="F4728" s="5" t="s">
        <v>199</v>
      </c>
      <c r="G4728" s="5" t="s">
        <v>31242</v>
      </c>
      <c r="H4728" s="6" t="s">
        <v>31243</v>
      </c>
      <c r="K4728" s="5" t="s">
        <v>31133</v>
      </c>
      <c r="M4728" s="5" t="s">
        <v>31244</v>
      </c>
      <c r="N4728" s="7" t="s">
        <v>31245</v>
      </c>
      <c r="O4728" s="8" t="str">
        <f>HYPERLINK("https://drive.google.com/file/d/1Q_LBkFvYB5ey65OcfiNQZD62H7W7hcGM/view?usp=drivesdk","4727_SURIANI _ SERTIFIKAT BerAKHLAK")</f>
        <v>4727_SURIANI _ SERTIFIKAT BerAKHLAK</v>
      </c>
      <c r="P4728" s="5" t="s">
        <v>31246</v>
      </c>
    </row>
    <row r="4729">
      <c r="A4729" s="4">
        <v>45534.35382059027</v>
      </c>
      <c r="B4729" s="5" t="s">
        <v>34</v>
      </c>
      <c r="D4729" s="5" t="s">
        <v>267</v>
      </c>
      <c r="E4729" s="5" t="s">
        <v>31247</v>
      </c>
      <c r="F4729" s="5" t="s">
        <v>524</v>
      </c>
      <c r="G4729" s="5" t="s">
        <v>31248</v>
      </c>
      <c r="H4729" s="6" t="s">
        <v>31249</v>
      </c>
      <c r="K4729" s="5" t="s">
        <v>31133</v>
      </c>
      <c r="M4729" s="5" t="s">
        <v>31250</v>
      </c>
      <c r="N4729" s="7" t="s">
        <v>31251</v>
      </c>
      <c r="O4729" s="8" t="str">
        <f>HYPERLINK("https://drive.google.com/file/d/13oLYSi3ZOkyfyAN3HMgIFJ8YbYNQtdbL/view?usp=drivesdk","4728_JULIANA SARAGIH S. KEP _ SERTIFIKAT BerAKHLAK")</f>
        <v>4728_JULIANA SARAGIH S. KEP _ SERTIFIKAT BerAKHLAK</v>
      </c>
      <c r="P4729" s="5" t="s">
        <v>31246</v>
      </c>
    </row>
    <row r="4730">
      <c r="A4730" s="4">
        <v>45534.35382621527</v>
      </c>
      <c r="B4730" s="5" t="s">
        <v>34</v>
      </c>
      <c r="D4730" s="5" t="s">
        <v>701</v>
      </c>
      <c r="E4730" s="5" t="s">
        <v>31252</v>
      </c>
      <c r="F4730" s="5" t="s">
        <v>212</v>
      </c>
      <c r="G4730" s="5" t="s">
        <v>31253</v>
      </c>
      <c r="H4730" s="6" t="s">
        <v>31254</v>
      </c>
      <c r="K4730" s="5" t="s">
        <v>31133</v>
      </c>
      <c r="M4730" s="5" t="s">
        <v>31255</v>
      </c>
      <c r="N4730" s="7" t="s">
        <v>31256</v>
      </c>
      <c r="O4730" s="8" t="str">
        <f>HYPERLINK("https://drive.google.com/file/d/1yZC4wtJ_E77Ias_PozaTAX6HurdTLz6l/view?usp=drivesdk","4729_AHMAD SYAFARi _ SERTIFIKAT BerAKHLAK")</f>
        <v>4729_AHMAD SYAFARi _ SERTIFIKAT BerAKHLAK</v>
      </c>
      <c r="P4730" s="5" t="s">
        <v>31257</v>
      </c>
    </row>
    <row r="4731">
      <c r="A4731" s="4">
        <v>45534.35384293982</v>
      </c>
      <c r="B4731" s="5" t="s">
        <v>34</v>
      </c>
      <c r="D4731" s="5" t="s">
        <v>4775</v>
      </c>
      <c r="E4731" s="5" t="s">
        <v>31258</v>
      </c>
      <c r="F4731" s="5" t="s">
        <v>524</v>
      </c>
      <c r="G4731" s="5" t="s">
        <v>31259</v>
      </c>
      <c r="H4731" s="6" t="s">
        <v>31260</v>
      </c>
      <c r="I4731" s="7" t="s">
        <v>31261</v>
      </c>
      <c r="J4731" s="8" t="str">
        <f>HYPERLINK("https://drive.google.com/file/d/1a0Udg-GFWrJM71OTNhEBE-mrrQVuf91C/view?usp=drivesdk","NURHAEDA A,S.Psi., M.Psi SERTIFIKAT BerAKHLAK")</f>
        <v>NURHAEDA A,S.Psi., M.Psi SERTIFIKAT BerAKHLAK</v>
      </c>
      <c r="K4731" s="5" t="s">
        <v>29717</v>
      </c>
      <c r="L4731" s="5" t="s">
        <v>31262</v>
      </c>
      <c r="M4731" s="5" t="s">
        <v>31263</v>
      </c>
      <c r="N4731" s="7" t="s">
        <v>31264</v>
      </c>
      <c r="O4731" s="8" t="str">
        <f>HYPERLINK("https://drive.google.com/file/d/1FxB6H4eK6xuJrSTGqGg8itW8nq-L7zZi/view?usp=drivesdk","4730_NURHAEDA A,S.Psi., M.Psi _ SERTIFIKAT BerAKHLAK")</f>
        <v>4730_NURHAEDA A,S.Psi., M.Psi _ SERTIFIKAT BerAKHLAK</v>
      </c>
      <c r="P4731" s="5" t="s">
        <v>31257</v>
      </c>
    </row>
    <row r="4732">
      <c r="A4732" s="4">
        <v>45534.35384930555</v>
      </c>
      <c r="B4732" s="5" t="s">
        <v>34</v>
      </c>
      <c r="D4732" s="5" t="s">
        <v>1206</v>
      </c>
      <c r="E4732" s="5" t="s">
        <v>31265</v>
      </c>
      <c r="F4732" s="5" t="s">
        <v>72</v>
      </c>
      <c r="G4732" s="5" t="s">
        <v>31266</v>
      </c>
      <c r="H4732" s="6" t="s">
        <v>31267</v>
      </c>
      <c r="I4732" s="7" t="s">
        <v>31268</v>
      </c>
      <c r="J4732" s="8" t="str">
        <f>HYPERLINK("https://drive.google.com/file/d/1v3cdQYNDhoArdZylNbHbHOVMLKuYbTz1/view?usp=drivesdk","INDAH DWI SUSANTI SERTIFIKAT BerAKHLAK")</f>
        <v>INDAH DWI SUSANTI SERTIFIKAT BerAKHLAK</v>
      </c>
      <c r="K4732" s="5" t="s">
        <v>31118</v>
      </c>
      <c r="L4732" s="5" t="s">
        <v>31269</v>
      </c>
      <c r="M4732" s="5" t="s">
        <v>31270</v>
      </c>
      <c r="N4732" s="7" t="s">
        <v>31271</v>
      </c>
      <c r="O4732" s="8" t="str">
        <f>HYPERLINK("https://drive.google.com/file/d/1toKnMp5-rG8MQDhVEcIKrPWhJZMr4Wk4/view?usp=drivesdk","4731_INDAH DWI SUSANTI _ SERTIFIKAT BerAKHLAK")</f>
        <v>4731_INDAH DWI SUSANTI _ SERTIFIKAT BerAKHLAK</v>
      </c>
      <c r="P4732" s="5" t="s">
        <v>31257</v>
      </c>
    </row>
    <row r="4733">
      <c r="A4733" s="4">
        <v>45534.35384943287</v>
      </c>
      <c r="B4733" s="5" t="s">
        <v>34</v>
      </c>
      <c r="D4733" s="5" t="s">
        <v>10297</v>
      </c>
      <c r="E4733" s="5" t="s">
        <v>31272</v>
      </c>
      <c r="F4733" s="5" t="s">
        <v>72</v>
      </c>
      <c r="G4733" s="5" t="s">
        <v>31273</v>
      </c>
      <c r="H4733" s="6" t="s">
        <v>31274</v>
      </c>
      <c r="I4733" s="7" t="s">
        <v>31275</v>
      </c>
      <c r="J4733" s="8" t="str">
        <f>HYPERLINK("https://drive.google.com/file/d/1_D3xu-4am2y_uCDJKUC1WjBb6vIrYKpf/view?usp=drivesdk","SYARIF HAGANDI SERTIFIKAT BerAKHLAK")</f>
        <v>SYARIF HAGANDI SERTIFIKAT BerAKHLAK</v>
      </c>
      <c r="K4733" s="5" t="s">
        <v>31118</v>
      </c>
      <c r="L4733" s="5" t="s">
        <v>31276</v>
      </c>
      <c r="M4733" s="5" t="s">
        <v>31277</v>
      </c>
      <c r="N4733" s="7" t="s">
        <v>31278</v>
      </c>
      <c r="O4733" s="8" t="str">
        <f>HYPERLINK("https://drive.google.com/file/d/1H57dYJtRlsUZjWupmOOqsuKyxCxh02Kz/view?usp=drivesdk","4732_SYARIF HAGANDI _ SERTIFIKAT BerAKHLAK")</f>
        <v>4732_SYARIF HAGANDI _ SERTIFIKAT BerAKHLAK</v>
      </c>
      <c r="P4733" s="5" t="s">
        <v>31257</v>
      </c>
    </row>
    <row r="4734">
      <c r="A4734" s="4">
        <v>45534.353854479166</v>
      </c>
      <c r="B4734" s="5" t="s">
        <v>34</v>
      </c>
      <c r="D4734" s="5" t="s">
        <v>9394</v>
      </c>
      <c r="E4734" s="5" t="s">
        <v>31279</v>
      </c>
      <c r="F4734" s="5" t="s">
        <v>212</v>
      </c>
      <c r="G4734" s="5" t="s">
        <v>31280</v>
      </c>
      <c r="H4734" s="6" t="s">
        <v>31281</v>
      </c>
      <c r="I4734" s="7" t="s">
        <v>31282</v>
      </c>
      <c r="J4734" s="8" t="str">
        <f>HYPERLINK("https://drive.google.com/file/d/1AsC-m5QS-1c7ANGn92w_9imZVoMzS6Ig/view?usp=drivesdk","LIDYA ELANI SITORUS, Amd.Kep SERTIFIKAT BerAKHLAK")</f>
        <v>LIDYA ELANI SITORUS, Amd.Kep SERTIFIKAT BerAKHLAK</v>
      </c>
      <c r="K4734" s="5" t="s">
        <v>31118</v>
      </c>
      <c r="L4734" s="5" t="s">
        <v>31283</v>
      </c>
      <c r="M4734" s="5" t="s">
        <v>31284</v>
      </c>
      <c r="N4734" s="7" t="s">
        <v>31285</v>
      </c>
      <c r="O4734" s="8" t="str">
        <f>HYPERLINK("https://drive.google.com/file/d/1tf_aC_uSXMnCAsDgHZ3aJOkrTLO_W2eO/view?usp=drivesdk","4733_LIDYA ELANI SITORUS, Amd.Kep _ SERTIFIKAT BerAKHLAK")</f>
        <v>4733_LIDYA ELANI SITORUS, Amd.Kep _ SERTIFIKAT BerAKHLAK</v>
      </c>
      <c r="P4734" s="5" t="s">
        <v>31286</v>
      </c>
    </row>
    <row r="4735">
      <c r="A4735" s="4">
        <v>45534.35386449074</v>
      </c>
      <c r="B4735" s="5" t="s">
        <v>34</v>
      </c>
      <c r="D4735" s="5" t="s">
        <v>6232</v>
      </c>
      <c r="E4735" s="5" t="s">
        <v>31287</v>
      </c>
      <c r="F4735" s="5" t="s">
        <v>37</v>
      </c>
      <c r="G4735" s="5" t="s">
        <v>31288</v>
      </c>
      <c r="H4735" s="6" t="s">
        <v>31289</v>
      </c>
      <c r="I4735" s="7" t="s">
        <v>31290</v>
      </c>
      <c r="J4735" s="8" t="str">
        <f>HYPERLINK("https://drive.google.com/file/d/196bmwBb4WBkozdg8ETx2HyFSvAdPElrU/view?usp=drivesdk","OLVIE DITA CHYNTIA, A.Md.Far SERTIFIKAT BerAKHLAK")</f>
        <v>OLVIE DITA CHYNTIA, A.Md.Far SERTIFIKAT BerAKHLAK</v>
      </c>
      <c r="K4735" s="5" t="s">
        <v>31118</v>
      </c>
      <c r="L4735" s="5" t="s">
        <v>31291</v>
      </c>
      <c r="M4735" s="5" t="s">
        <v>31292</v>
      </c>
      <c r="N4735" s="7" t="s">
        <v>31293</v>
      </c>
      <c r="O4735" s="8" t="str">
        <f>HYPERLINK("https://drive.google.com/file/d/1c2WzuQbe3ClZwwSw8bReqQzHQ9whBdb_/view?usp=drivesdk","4734_OLVIE DITA CHYNTIA, A.Md.Far _ SERTIFIKAT BerAKHLAK")</f>
        <v>4734_OLVIE DITA CHYNTIA, A.Md.Far _ SERTIFIKAT BerAKHLAK</v>
      </c>
      <c r="P4735" s="5" t="s">
        <v>31286</v>
      </c>
    </row>
    <row r="4736">
      <c r="A4736" s="4">
        <v>45534.35387065972</v>
      </c>
      <c r="B4736" s="5" t="s">
        <v>34</v>
      </c>
      <c r="D4736" s="5" t="s">
        <v>1206</v>
      </c>
      <c r="E4736" s="5" t="s">
        <v>31294</v>
      </c>
      <c r="F4736" s="5" t="s">
        <v>37</v>
      </c>
      <c r="G4736" s="5" t="s">
        <v>31295</v>
      </c>
      <c r="H4736" s="6" t="s">
        <v>31296</v>
      </c>
      <c r="I4736" s="7" t="s">
        <v>31297</v>
      </c>
      <c r="J4736" s="8" t="str">
        <f>HYPERLINK("https://drive.google.com/file/d/18QnkFy1fFWnU1sCj6HfVCPERzAQIP7Rx/view?usp=drivesdk","ANGGER RAHMADANI PUTRI, A.Md.Kep SERTIFIKAT BerAKHLAK")</f>
        <v>ANGGER RAHMADANI PUTRI, A.Md.Kep SERTIFIKAT BerAKHLAK</v>
      </c>
      <c r="K4736" s="5" t="s">
        <v>31298</v>
      </c>
      <c r="L4736" s="5" t="s">
        <v>31299</v>
      </c>
      <c r="M4736" s="5" t="s">
        <v>31300</v>
      </c>
      <c r="N4736" s="7" t="s">
        <v>31301</v>
      </c>
      <c r="O4736" s="8" t="str">
        <f>HYPERLINK("https://drive.google.com/file/d/1num8Ivl-tWHYnvHYtZeqjR0RljBnP31-/view?usp=drivesdk","4735_ANGGER RAHMADANI PUTRI, A.Md.Kep _ SERTIFIKAT BerAKHLAK")</f>
        <v>4735_ANGGER RAHMADANI PUTRI, A.Md.Kep _ SERTIFIKAT BerAKHLAK</v>
      </c>
      <c r="P4736" s="5" t="s">
        <v>31286</v>
      </c>
    </row>
    <row r="4737">
      <c r="A4737" s="4">
        <v>45534.35388065972</v>
      </c>
      <c r="B4737" s="5" t="s">
        <v>34</v>
      </c>
      <c r="D4737" s="5" t="s">
        <v>1768</v>
      </c>
      <c r="E4737" s="5" t="s">
        <v>31302</v>
      </c>
      <c r="F4737" s="5" t="s">
        <v>108</v>
      </c>
      <c r="G4737" s="5" t="s">
        <v>31303</v>
      </c>
      <c r="H4737" s="6" t="s">
        <v>31304</v>
      </c>
      <c r="I4737" s="7" t="s">
        <v>31305</v>
      </c>
      <c r="J4737" s="8" t="str">
        <f>HYPERLINK("https://drive.google.com/file/d/1cHinNpBepUTNz2YPkYTk3dzI9Of9wDcW/view?usp=drivesdk","NURYNTO ROCHMAN  SERTIFIKAT BerAKHLAK")</f>
        <v>NURYNTO ROCHMAN  SERTIFIKAT BerAKHLAK</v>
      </c>
      <c r="K4737" s="5" t="s">
        <v>31298</v>
      </c>
      <c r="L4737" s="5" t="s">
        <v>31306</v>
      </c>
      <c r="M4737" s="5" t="s">
        <v>31307</v>
      </c>
      <c r="N4737" s="7" t="s">
        <v>31308</v>
      </c>
      <c r="O4737" s="8" t="str">
        <f>HYPERLINK("https://drive.google.com/file/d/1oTOnToSs1U_TW4kgoMmkX4_9Nr6sXiCn/view?usp=drivesdk","4736_NURYNTO ROCHMAN  _ SERTIFIKAT BerAKHLAK")</f>
        <v>4736_NURYNTO ROCHMAN  _ SERTIFIKAT BerAKHLAK</v>
      </c>
      <c r="P4737" s="5" t="s">
        <v>31286</v>
      </c>
    </row>
    <row r="4738">
      <c r="A4738" s="4">
        <v>45534.35388391204</v>
      </c>
      <c r="B4738" s="5" t="s">
        <v>34</v>
      </c>
      <c r="D4738" s="5" t="s">
        <v>9394</v>
      </c>
      <c r="E4738" s="5" t="s">
        <v>31309</v>
      </c>
      <c r="F4738" s="5" t="s">
        <v>37</v>
      </c>
      <c r="G4738" s="5" t="s">
        <v>31310</v>
      </c>
      <c r="H4738" s="6" t="s">
        <v>31311</v>
      </c>
      <c r="I4738" s="7" t="s">
        <v>31312</v>
      </c>
      <c r="J4738" s="8" t="str">
        <f>HYPERLINK("https://drive.google.com/file/d/1lyPCu64nh0zV9PidZ0Pb8eJLvpfuqfD0/view?usp=drivesdk","IDDALINA SERTIFIKAT BerAKHLAK")</f>
        <v>IDDALINA SERTIFIKAT BerAKHLAK</v>
      </c>
      <c r="K4738" s="5" t="s">
        <v>31118</v>
      </c>
      <c r="L4738" s="5" t="s">
        <v>31313</v>
      </c>
      <c r="M4738" s="5" t="s">
        <v>31314</v>
      </c>
      <c r="N4738" s="7" t="s">
        <v>31315</v>
      </c>
      <c r="O4738" s="8" t="str">
        <f>HYPERLINK("https://drive.google.com/file/d/1CgtWU-0BztKmlvFjdcwtcMdbRSyxgxzZ/view?usp=drivesdk","4737_IDDALINA _ SERTIFIKAT BerAKHLAK")</f>
        <v>4737_IDDALINA _ SERTIFIKAT BerAKHLAK</v>
      </c>
      <c r="P4738" s="5" t="s">
        <v>31316</v>
      </c>
    </row>
    <row r="4739">
      <c r="A4739" s="4">
        <v>45534.35389543981</v>
      </c>
      <c r="B4739" s="5" t="s">
        <v>34</v>
      </c>
      <c r="D4739" s="5" t="s">
        <v>4775</v>
      </c>
      <c r="E4739" s="5" t="s">
        <v>31317</v>
      </c>
      <c r="F4739" s="5" t="s">
        <v>108</v>
      </c>
      <c r="G4739" s="5" t="s">
        <v>31318</v>
      </c>
      <c r="H4739" s="6" t="s">
        <v>31319</v>
      </c>
      <c r="I4739" s="7" t="s">
        <v>31320</v>
      </c>
      <c r="J4739" s="8" t="str">
        <f>HYPERLINK("https://drive.google.com/file/d/1-oKNVZYiiqgKvNcTzZ8ZS0a_yayPfWx2/view?usp=drivesdk","KHALIMAH SERTIFIKAT BerAKHLAK")</f>
        <v>KHALIMAH SERTIFIKAT BerAKHLAK</v>
      </c>
      <c r="K4739" s="5" t="s">
        <v>31118</v>
      </c>
      <c r="L4739" s="5" t="s">
        <v>31321</v>
      </c>
      <c r="M4739" s="5" t="s">
        <v>31322</v>
      </c>
      <c r="N4739" s="7" t="s">
        <v>31323</v>
      </c>
      <c r="O4739" s="8" t="str">
        <f>HYPERLINK("https://drive.google.com/file/d/19LQo1-KCZWOoyfGcsW0RghZPn6QPy0fC/view?usp=drivesdk","4738_KHALIMAH _ SERTIFIKAT BerAKHLAK")</f>
        <v>4738_KHALIMAH _ SERTIFIKAT BerAKHLAK</v>
      </c>
      <c r="P4739" s="5" t="s">
        <v>31316</v>
      </c>
    </row>
    <row r="4740">
      <c r="A4740" s="4">
        <v>45534.35389918981</v>
      </c>
      <c r="B4740" s="5" t="s">
        <v>34</v>
      </c>
      <c r="D4740" s="5" t="s">
        <v>15401</v>
      </c>
      <c r="E4740" s="5" t="s">
        <v>31324</v>
      </c>
      <c r="F4740" s="5" t="s">
        <v>328</v>
      </c>
      <c r="G4740" s="5" t="s">
        <v>31325</v>
      </c>
      <c r="H4740" s="6" t="s">
        <v>31326</v>
      </c>
      <c r="I4740" s="7" t="s">
        <v>31327</v>
      </c>
      <c r="J4740" s="8" t="str">
        <f>HYPERLINK("https://drive.google.com/file/d/1jYdS1MIguMsH0WZCQVfLad45D-R6FMBg/view?usp=drivesdk","ARIFIN SERTIFIKAT BerAKHLAK")</f>
        <v>ARIFIN SERTIFIKAT BerAKHLAK</v>
      </c>
      <c r="K4740" s="5" t="s">
        <v>31118</v>
      </c>
      <c r="L4740" s="5" t="s">
        <v>31328</v>
      </c>
      <c r="M4740" s="5" t="s">
        <v>31329</v>
      </c>
      <c r="N4740" s="7" t="s">
        <v>31330</v>
      </c>
      <c r="O4740" s="8" t="str">
        <f>HYPERLINK("https://drive.google.com/file/d/1xGEXLjwZElDUE-ynJqQUT7kFr3VxW6kR/view?usp=drivesdk","4739_ARIFIN _ SERTIFIKAT BerAKHLAK")</f>
        <v>4739_ARIFIN _ SERTIFIKAT BerAKHLAK</v>
      </c>
      <c r="P4740" s="5" t="s">
        <v>31316</v>
      </c>
    </row>
    <row r="4741">
      <c r="A4741" s="4">
        <v>45534.35392872685</v>
      </c>
      <c r="B4741" s="5" t="s">
        <v>34</v>
      </c>
      <c r="D4741" s="5" t="s">
        <v>1206</v>
      </c>
      <c r="E4741" s="5" t="s">
        <v>31331</v>
      </c>
      <c r="F4741" s="5" t="s">
        <v>108</v>
      </c>
      <c r="G4741" s="5" t="s">
        <v>31332</v>
      </c>
      <c r="H4741" s="6" t="s">
        <v>31333</v>
      </c>
      <c r="I4741" s="7" t="s">
        <v>31334</v>
      </c>
      <c r="J4741" s="8" t="str">
        <f>HYPERLINK("https://drive.google.com/file/d/1GplXKx_ksuVhO2xnUM_kNURA7q1hg5wi/view?usp=drivesdk","MAIMA EVA HANIFAH  SERTIFIKAT BerAKHLAK")</f>
        <v>MAIMA EVA HANIFAH  SERTIFIKAT BerAKHLAK</v>
      </c>
      <c r="K4741" s="5" t="s">
        <v>31118</v>
      </c>
      <c r="L4741" s="5" t="s">
        <v>31335</v>
      </c>
      <c r="M4741" s="5" t="s">
        <v>31336</v>
      </c>
      <c r="N4741" s="7" t="s">
        <v>31337</v>
      </c>
      <c r="O4741" s="8" t="str">
        <f>HYPERLINK("https://drive.google.com/file/d/1zFjT-3rvHnj2poaWg0EuWqW2xZh0wKy6/view?usp=drivesdk","4740_MAIMA EVA HANIFAH  _ SERTIFIKAT BerAKHLAK")</f>
        <v>4740_MAIMA EVA HANIFAH  _ SERTIFIKAT BerAKHLAK</v>
      </c>
      <c r="P4741" s="5" t="s">
        <v>31316</v>
      </c>
    </row>
    <row r="4742">
      <c r="A4742" s="4">
        <v>45534.35393498842</v>
      </c>
      <c r="B4742" s="5" t="s">
        <v>34</v>
      </c>
      <c r="D4742" s="5" t="s">
        <v>975</v>
      </c>
      <c r="E4742" s="5" t="s">
        <v>31338</v>
      </c>
      <c r="F4742" s="5" t="s">
        <v>108</v>
      </c>
      <c r="G4742" s="5" t="s">
        <v>31339</v>
      </c>
      <c r="H4742" s="6" t="s">
        <v>31340</v>
      </c>
      <c r="I4742" s="7" t="s">
        <v>31341</v>
      </c>
      <c r="J4742" s="8" t="str">
        <f>HYPERLINK("https://drive.google.com/file/d/1v_6-5WrPz1h7snee7Q2vRvpA_M5xnsiU/view?usp=drivesdk","KHAERIYAH.A.MD.KEP SERTIFIKAT BerAKHLAK")</f>
        <v>KHAERIYAH.A.MD.KEP SERTIFIKAT BerAKHLAK</v>
      </c>
      <c r="K4742" s="5" t="s">
        <v>31118</v>
      </c>
      <c r="L4742" s="5" t="s">
        <v>31342</v>
      </c>
      <c r="M4742" s="5" t="s">
        <v>31343</v>
      </c>
      <c r="N4742" s="7" t="s">
        <v>31344</v>
      </c>
      <c r="O4742" s="8" t="str">
        <f>HYPERLINK("https://drive.google.com/file/d/1pSrLoh9uqgU4CaFHA2arTZu_y1jeuluI/view?usp=drivesdk","4741_KHAERIYAH.A.MD.KEP _ SERTIFIKAT BerAKHLAK")</f>
        <v>4741_KHAERIYAH.A.MD.KEP _ SERTIFIKAT BerAKHLAK</v>
      </c>
      <c r="P4742" s="5" t="s">
        <v>31316</v>
      </c>
    </row>
    <row r="4743">
      <c r="A4743" s="4">
        <v>45534.353942581016</v>
      </c>
      <c r="B4743" s="5" t="s">
        <v>34</v>
      </c>
      <c r="D4743" s="5" t="s">
        <v>4775</v>
      </c>
      <c r="E4743" s="5" t="s">
        <v>31345</v>
      </c>
      <c r="F4743" s="5" t="s">
        <v>72</v>
      </c>
      <c r="G4743" s="5" t="s">
        <v>31346</v>
      </c>
      <c r="H4743" s="6" t="s">
        <v>31347</v>
      </c>
      <c r="K4743" s="5" t="s">
        <v>31348</v>
      </c>
      <c r="M4743" s="5" t="s">
        <v>31349</v>
      </c>
      <c r="N4743" s="7" t="s">
        <v>31350</v>
      </c>
      <c r="O4743" s="8" t="str">
        <f>HYPERLINK("https://drive.google.com/file/d/14N0r4D3aDSxFvWCQFQLMTS26i9feW73t/view?usp=drivesdk","4742_SRI ANIK, S. Tr. Keb., M.M. _ SERTIFIKAT BerAKHLAK")</f>
        <v>4742_SRI ANIK, S. Tr. Keb., M.M. _ SERTIFIKAT BerAKHLAK</v>
      </c>
      <c r="P4743" s="5" t="s">
        <v>31351</v>
      </c>
    </row>
    <row r="4744">
      <c r="A4744" s="4">
        <v>45534.35394508102</v>
      </c>
      <c r="B4744" s="5" t="s">
        <v>34</v>
      </c>
      <c r="D4744" s="5" t="s">
        <v>4775</v>
      </c>
      <c r="E4744" s="5" t="s">
        <v>31352</v>
      </c>
      <c r="F4744" s="5" t="s">
        <v>37</v>
      </c>
      <c r="G4744" s="5" t="s">
        <v>31353</v>
      </c>
      <c r="H4744" s="6" t="s">
        <v>31354</v>
      </c>
      <c r="K4744" s="5" t="s">
        <v>31348</v>
      </c>
      <c r="M4744" s="5" t="s">
        <v>31355</v>
      </c>
      <c r="N4744" s="7" t="s">
        <v>31356</v>
      </c>
      <c r="O4744" s="8" t="str">
        <f>HYPERLINK("https://drive.google.com/file/d/1qYuPDIACmDRBrUMn6-_CN7_rZHcbUW-v/view?usp=drivesdk","4743_TRI EKO AGUSTONO _ SERTIFIKAT BerAKHLAK")</f>
        <v>4743_TRI EKO AGUSTONO _ SERTIFIKAT BerAKHLAK</v>
      </c>
      <c r="P4744" s="5" t="s">
        <v>31351</v>
      </c>
    </row>
    <row r="4745">
      <c r="A4745" s="4">
        <v>45534.353952731486</v>
      </c>
      <c r="B4745" s="5" t="s">
        <v>34</v>
      </c>
      <c r="D4745" s="5" t="s">
        <v>3849</v>
      </c>
      <c r="E4745" s="5" t="s">
        <v>31357</v>
      </c>
      <c r="F4745" s="5" t="s">
        <v>37</v>
      </c>
      <c r="G4745" s="5" t="s">
        <v>31358</v>
      </c>
      <c r="H4745" s="6" t="s">
        <v>31359</v>
      </c>
      <c r="K4745" s="5" t="s">
        <v>31348</v>
      </c>
      <c r="M4745" s="5" t="s">
        <v>31360</v>
      </c>
      <c r="N4745" s="7" t="s">
        <v>31361</v>
      </c>
      <c r="O4745" s="8" t="str">
        <f>HYPERLINK("https://drive.google.com/file/d/1Wx64boeVnQGytvn1UOvVHGPEgwBaMw8s/view?usp=drivesdk","4744_MURTI SARI DEWI _ SERTIFIKAT BerAKHLAK")</f>
        <v>4744_MURTI SARI DEWI _ SERTIFIKAT BerAKHLAK</v>
      </c>
      <c r="P4745" s="5" t="s">
        <v>31351</v>
      </c>
    </row>
    <row r="4746">
      <c r="A4746" s="4">
        <v>45534.35396162037</v>
      </c>
      <c r="B4746" s="5" t="s">
        <v>34</v>
      </c>
      <c r="D4746" s="5" t="s">
        <v>1206</v>
      </c>
      <c r="E4746" s="5" t="s">
        <v>31362</v>
      </c>
      <c r="F4746" s="5" t="s">
        <v>212</v>
      </c>
      <c r="G4746" s="5" t="s">
        <v>31363</v>
      </c>
      <c r="H4746" s="6" t="s">
        <v>31364</v>
      </c>
      <c r="K4746" s="5" t="s">
        <v>31348</v>
      </c>
      <c r="M4746" s="5" t="s">
        <v>31365</v>
      </c>
      <c r="N4746" s="7" t="s">
        <v>31366</v>
      </c>
      <c r="O4746" s="8" t="str">
        <f>HYPERLINK("https://drive.google.com/file/d/1zbfnq7MuWnFQY7b52vUdhw4O7dYsw48L/view?usp=drivesdk","4745_MUJIONO _ SERTIFIKAT BerAKHLAK")</f>
        <v>4745_MUJIONO _ SERTIFIKAT BerAKHLAK</v>
      </c>
      <c r="P4746" s="5" t="s">
        <v>31351</v>
      </c>
    </row>
    <row r="4747">
      <c r="A4747" s="4">
        <v>45534.35396820602</v>
      </c>
      <c r="B4747" s="5" t="s">
        <v>34</v>
      </c>
      <c r="D4747" s="5" t="s">
        <v>9020</v>
      </c>
      <c r="E4747" s="5" t="s">
        <v>31367</v>
      </c>
      <c r="F4747" s="5" t="s">
        <v>524</v>
      </c>
      <c r="G4747" s="5" t="s">
        <v>31368</v>
      </c>
      <c r="H4747" s="6" t="s">
        <v>31369</v>
      </c>
      <c r="K4747" s="5" t="s">
        <v>31348</v>
      </c>
      <c r="M4747" s="5" t="s">
        <v>31370</v>
      </c>
      <c r="N4747" s="7" t="s">
        <v>31371</v>
      </c>
      <c r="O4747" s="8" t="str">
        <f>HYPERLINK("https://drive.google.com/file/d/1ktHiMQtuP7yb1CY-HhYqcO3i3N5HKl53/view?usp=drivesdk","4746_PONIMAN, S.H. _ SERTIFIKAT BerAKHLAK")</f>
        <v>4746_PONIMAN, S.H. _ SERTIFIKAT BerAKHLAK</v>
      </c>
      <c r="P4747" s="5" t="s">
        <v>31372</v>
      </c>
    </row>
    <row r="4748">
      <c r="A4748" s="4">
        <v>45534.35399582176</v>
      </c>
      <c r="B4748" s="5" t="s">
        <v>34</v>
      </c>
      <c r="D4748" s="5" t="s">
        <v>14313</v>
      </c>
      <c r="E4748" s="5" t="s">
        <v>31373</v>
      </c>
      <c r="F4748" s="5" t="s">
        <v>715</v>
      </c>
      <c r="G4748" s="5" t="s">
        <v>31374</v>
      </c>
      <c r="H4748" s="6" t="s">
        <v>31375</v>
      </c>
      <c r="I4748" s="7" t="s">
        <v>31376</v>
      </c>
      <c r="J4748" s="8" t="str">
        <f>HYPERLINK("https://drive.google.com/file/d/1rtgos_gCRYbNVT5JAS2ZVQJC_k1LcJEa/view?usp=drivesdk","NURWAHIDAH, SE SERTIFIKAT BerAKHLAK")</f>
        <v>NURWAHIDAH, SE SERTIFIKAT BerAKHLAK</v>
      </c>
      <c r="K4748" s="5" t="s">
        <v>31118</v>
      </c>
      <c r="L4748" s="5" t="s">
        <v>31377</v>
      </c>
      <c r="M4748" s="5" t="s">
        <v>31378</v>
      </c>
      <c r="N4748" s="7" t="s">
        <v>31379</v>
      </c>
      <c r="O4748" s="8" t="str">
        <f>HYPERLINK("https://drive.google.com/file/d/1m97ckenHbl08YMAooT9uTLxkVXwKGR86/view?usp=drivesdk","4747_NURWAHIDAH, SE _ SERTIFIKAT BerAKHLAK")</f>
        <v>4747_NURWAHIDAH, SE _ SERTIFIKAT BerAKHLAK</v>
      </c>
      <c r="P4748" s="5" t="s">
        <v>31372</v>
      </c>
    </row>
    <row r="4749">
      <c r="A4749" s="4">
        <v>45534.35399752315</v>
      </c>
      <c r="B4749" s="5" t="s">
        <v>34</v>
      </c>
      <c r="D4749" s="5" t="s">
        <v>522</v>
      </c>
      <c r="E4749" s="5" t="s">
        <v>31380</v>
      </c>
      <c r="F4749" s="5" t="s">
        <v>328</v>
      </c>
      <c r="G4749" s="5" t="s">
        <v>31381</v>
      </c>
      <c r="H4749" s="6" t="s">
        <v>31382</v>
      </c>
      <c r="I4749" s="7" t="s">
        <v>31383</v>
      </c>
      <c r="J4749" s="8" t="str">
        <f>HYPERLINK("https://drive.google.com/file/d/1LreIgJx1pG1M454ahl40h_MdAV92h1BS/view?usp=drivesdk","M ARIPIN SERTIFIKAT BerAKHLAK")</f>
        <v>M ARIPIN SERTIFIKAT BerAKHLAK</v>
      </c>
      <c r="K4749" s="5" t="s">
        <v>31118</v>
      </c>
      <c r="L4749" s="5" t="s">
        <v>31384</v>
      </c>
      <c r="M4749" s="5" t="s">
        <v>31385</v>
      </c>
      <c r="N4749" s="7" t="s">
        <v>31386</v>
      </c>
      <c r="O4749" s="8" t="str">
        <f>HYPERLINK("https://drive.google.com/file/d/1wfHJkNbZvXFHwYP9yL_Qamxhva1FbPcb/view?usp=drivesdk","4748_M ARIPIN _ SERTIFIKAT BerAKHLAK")</f>
        <v>4748_M ARIPIN _ SERTIFIKAT BerAKHLAK</v>
      </c>
      <c r="P4749" s="5" t="s">
        <v>31372</v>
      </c>
    </row>
    <row r="4750">
      <c r="A4750" s="4">
        <v>45534.35400412037</v>
      </c>
      <c r="B4750" s="5" t="s">
        <v>34</v>
      </c>
      <c r="D4750" s="5" t="s">
        <v>4775</v>
      </c>
      <c r="E4750" s="5" t="s">
        <v>31387</v>
      </c>
      <c r="F4750" s="5" t="s">
        <v>212</v>
      </c>
      <c r="G4750" s="5" t="s">
        <v>31388</v>
      </c>
      <c r="H4750" s="6" t="s">
        <v>31389</v>
      </c>
      <c r="I4750" s="7" t="s">
        <v>31390</v>
      </c>
      <c r="J4750" s="8" t="str">
        <f>HYPERLINK("https://drive.google.com/file/d/1fu34gRWaCaVEN9wC2RNulsAJkBHvi_qr/view?usp=drivesdk","HARTUTI SERTIFIKAT BerAKHLAK")</f>
        <v>HARTUTI SERTIFIKAT BerAKHLAK</v>
      </c>
      <c r="K4750" s="5" t="s">
        <v>31118</v>
      </c>
      <c r="L4750" s="5" t="s">
        <v>31391</v>
      </c>
      <c r="M4750" s="5" t="s">
        <v>31392</v>
      </c>
      <c r="N4750" s="7" t="s">
        <v>31393</v>
      </c>
      <c r="O4750" s="8" t="str">
        <f>HYPERLINK("https://drive.google.com/file/d/1X1oXODkD1Udz0cGGcwdx4_jDqJ5HZduz/view?usp=drivesdk","4749_HARTUTI _ SERTIFIKAT BerAKHLAK")</f>
        <v>4749_HARTUTI _ SERTIFIKAT BerAKHLAK</v>
      </c>
      <c r="P4750" s="5" t="s">
        <v>31372</v>
      </c>
    </row>
    <row r="4751">
      <c r="A4751" s="4">
        <v>45534.35400464121</v>
      </c>
      <c r="B4751" s="5" t="s">
        <v>34</v>
      </c>
      <c r="D4751" s="5" t="s">
        <v>4775</v>
      </c>
      <c r="E4751" s="5" t="s">
        <v>31394</v>
      </c>
      <c r="F4751" s="5" t="s">
        <v>199</v>
      </c>
      <c r="G4751" s="5" t="s">
        <v>31395</v>
      </c>
      <c r="H4751" s="6" t="s">
        <v>31396</v>
      </c>
      <c r="K4751" s="5" t="s">
        <v>31397</v>
      </c>
      <c r="M4751" s="5" t="s">
        <v>31398</v>
      </c>
      <c r="N4751" s="7" t="s">
        <v>31399</v>
      </c>
      <c r="O4751" s="8" t="str">
        <f>HYPERLINK("https://drive.google.com/file/d/15D_dhrh_ieiFcJpG7WPa1XlGCOhGvkTI/view?usp=drivesdk","4750_SUGOMO _ SERTIFIKAT BerAKHLAK")</f>
        <v>4750_SUGOMO _ SERTIFIKAT BerAKHLAK</v>
      </c>
      <c r="P4751" s="5" t="s">
        <v>31400</v>
      </c>
    </row>
    <row r="4752">
      <c r="A4752" s="4">
        <v>45534.3540087963</v>
      </c>
      <c r="B4752" s="5" t="s">
        <v>34</v>
      </c>
      <c r="D4752" s="5" t="s">
        <v>975</v>
      </c>
      <c r="E4752" s="5" t="s">
        <v>31401</v>
      </c>
      <c r="F4752" s="5" t="s">
        <v>108</v>
      </c>
      <c r="G4752" s="5" t="s">
        <v>31402</v>
      </c>
      <c r="H4752" s="6" t="s">
        <v>31403</v>
      </c>
      <c r="K4752" s="5" t="s">
        <v>31397</v>
      </c>
      <c r="M4752" s="5" t="s">
        <v>31404</v>
      </c>
      <c r="N4752" s="7" t="s">
        <v>31405</v>
      </c>
      <c r="O4752" s="8" t="str">
        <f>HYPERLINK("https://drive.google.com/file/d/1yRzgdFJnJLPg56G3TwqrtGKOvpd3RBHF/view?usp=drivesdk","4751_WYDIA OPSITARI _ SERTIFIKAT BerAKHLAK")</f>
        <v>4751_WYDIA OPSITARI _ SERTIFIKAT BerAKHLAK</v>
      </c>
      <c r="P4752" s="5" t="s">
        <v>31400</v>
      </c>
    </row>
    <row r="4753">
      <c r="A4753" s="4">
        <v>45534.354011180556</v>
      </c>
      <c r="B4753" s="5" t="s">
        <v>34</v>
      </c>
      <c r="D4753" s="5" t="s">
        <v>14424</v>
      </c>
      <c r="E4753" s="5" t="s">
        <v>31406</v>
      </c>
      <c r="F4753" s="5" t="s">
        <v>120</v>
      </c>
      <c r="G4753" s="5" t="s">
        <v>31407</v>
      </c>
      <c r="H4753" s="6" t="s">
        <v>31408</v>
      </c>
      <c r="K4753" s="5" t="s">
        <v>31397</v>
      </c>
      <c r="M4753" s="5" t="s">
        <v>31409</v>
      </c>
      <c r="N4753" s="7" t="s">
        <v>31410</v>
      </c>
      <c r="O4753" s="8" t="str">
        <f>HYPERLINK("https://drive.google.com/file/d/1zPFh5PcHmW-Mz5zXyvmaz9KB0q9nN-pD/view?usp=drivesdk","4752_HAMIDAH, S.K.M.,M.K.M _ SERTIFIKAT BerAKHLAK")</f>
        <v>4752_HAMIDAH, S.K.M.,M.K.M _ SERTIFIKAT BerAKHLAK</v>
      </c>
      <c r="P4753" s="5" t="s">
        <v>31400</v>
      </c>
    </row>
    <row r="4754">
      <c r="A4754" s="4">
        <v>45534.35401252315</v>
      </c>
      <c r="B4754" s="5" t="s">
        <v>34</v>
      </c>
      <c r="D4754" s="5" t="s">
        <v>1206</v>
      </c>
      <c r="E4754" s="5" t="s">
        <v>31411</v>
      </c>
      <c r="F4754" s="5" t="s">
        <v>37</v>
      </c>
      <c r="G4754" s="5" t="s">
        <v>31412</v>
      </c>
      <c r="H4754" s="6" t="s">
        <v>31413</v>
      </c>
      <c r="K4754" s="5" t="s">
        <v>31397</v>
      </c>
      <c r="M4754" s="5" t="s">
        <v>31414</v>
      </c>
      <c r="N4754" s="7" t="s">
        <v>31415</v>
      </c>
      <c r="O4754" s="8" t="str">
        <f>HYPERLINK("https://drive.google.com/file/d/1VZiFMkAuaSiLfZWoJK5bxojd-eONVOcO/view?usp=drivesdk","4753_TITIK SUMIATI _ SERTIFIKAT BerAKHLAK")</f>
        <v>4753_TITIK SUMIATI _ SERTIFIKAT BerAKHLAK</v>
      </c>
      <c r="P4754" s="5" t="s">
        <v>31400</v>
      </c>
    </row>
    <row r="4755">
      <c r="A4755" s="4">
        <v>45534.35401550926</v>
      </c>
      <c r="B4755" s="5" t="s">
        <v>34</v>
      </c>
      <c r="D4755" s="5" t="s">
        <v>35</v>
      </c>
      <c r="E4755" s="5" t="s">
        <v>31416</v>
      </c>
      <c r="F4755" s="5" t="s">
        <v>328</v>
      </c>
      <c r="G4755" s="5" t="s">
        <v>31417</v>
      </c>
      <c r="H4755" s="6" t="s">
        <v>31418</v>
      </c>
      <c r="K4755" s="5" t="s">
        <v>31397</v>
      </c>
      <c r="M4755" s="5" t="s">
        <v>31419</v>
      </c>
      <c r="N4755" s="7" t="s">
        <v>31420</v>
      </c>
      <c r="O4755" s="8" t="str">
        <f>HYPERLINK("https://drive.google.com/file/d/1-HXX8mZUKryLDQzPvVAQDzKSSfYS4idg/view?usp=drivesdk","4754_PARYANTO _ SERTIFIKAT BerAKHLAK")</f>
        <v>4754_PARYANTO _ SERTIFIKAT BerAKHLAK</v>
      </c>
      <c r="P4755" s="5" t="s">
        <v>31400</v>
      </c>
    </row>
    <row r="4756">
      <c r="A4756" s="4">
        <v>45534.35402881945</v>
      </c>
      <c r="B4756" s="5" t="s">
        <v>34</v>
      </c>
      <c r="D4756" s="5" t="s">
        <v>10444</v>
      </c>
      <c r="E4756" s="5" t="s">
        <v>31421</v>
      </c>
      <c r="F4756" s="5" t="s">
        <v>37</v>
      </c>
      <c r="G4756" s="5" t="s">
        <v>31422</v>
      </c>
      <c r="H4756" s="6" t="s">
        <v>31423</v>
      </c>
      <c r="I4756" s="7" t="s">
        <v>31424</v>
      </c>
      <c r="J4756" s="8" t="str">
        <f>HYPERLINK("https://drive.google.com/file/d/1aWDp-pFeJTvWX5lAPDg6ZcK43jg1fRka/view?usp=drivesdk","INES FRAMITA, A.MD.KEB SERTIFIKAT BerAKHLAK")</f>
        <v>INES FRAMITA, A.MD.KEB SERTIFIKAT BerAKHLAK</v>
      </c>
      <c r="K4756" s="5" t="s">
        <v>31118</v>
      </c>
      <c r="L4756" s="5" t="s">
        <v>31425</v>
      </c>
      <c r="M4756" s="5" t="s">
        <v>31426</v>
      </c>
      <c r="N4756" s="7" t="s">
        <v>31427</v>
      </c>
      <c r="O4756" s="8" t="str">
        <f>HYPERLINK("https://drive.google.com/file/d/1h-PkNfa0KEVrxEB1cErsW6QS2euSWTu3/view?usp=drivesdk","4755_INES FRAMITA, A.MD.KEB _ SERTIFIKAT BerAKHLAK")</f>
        <v>4755_INES FRAMITA, A.MD.KEB _ SERTIFIKAT BerAKHLAK</v>
      </c>
      <c r="P4756" s="5" t="s">
        <v>31428</v>
      </c>
    </row>
    <row r="4757">
      <c r="A4757" s="4">
        <v>45534.354041412036</v>
      </c>
      <c r="B4757" s="5" t="s">
        <v>34</v>
      </c>
      <c r="D4757" s="5" t="s">
        <v>604</v>
      </c>
      <c r="E4757" s="5" t="s">
        <v>31429</v>
      </c>
      <c r="F4757" s="5" t="s">
        <v>37</v>
      </c>
      <c r="G4757" s="5" t="s">
        <v>31430</v>
      </c>
      <c r="H4757" s="6" t="s">
        <v>31431</v>
      </c>
      <c r="I4757" s="7" t="s">
        <v>31432</v>
      </c>
      <c r="J4757" s="8" t="str">
        <f>HYPERLINK("https://drive.google.com/file/d/1gKJAjystUAxwx_1FulV1vgp5UxEOR2XV/view?usp=drivesdk","Fredrik Meki Ansanay  SERTIFIKAT BerAKHLAK")</f>
        <v>Fredrik Meki Ansanay  SERTIFIKAT BerAKHLAK</v>
      </c>
      <c r="K4757" s="5" t="s">
        <v>31118</v>
      </c>
      <c r="L4757" s="5" t="s">
        <v>31433</v>
      </c>
      <c r="M4757" s="5" t="s">
        <v>31434</v>
      </c>
      <c r="N4757" s="7" t="s">
        <v>31435</v>
      </c>
      <c r="O4757" s="8" t="str">
        <f>HYPERLINK("https://drive.google.com/file/d/1uIht27DX5PPWlI1vLFzmrJYyty42Ygv5/view?usp=drivesdk","4756_Fredrik Meki Ansanay  _ SERTIFIKAT BerAKHLAK")</f>
        <v>4756_Fredrik Meki Ansanay  _ SERTIFIKAT BerAKHLAK</v>
      </c>
      <c r="P4757" s="5" t="s">
        <v>31428</v>
      </c>
    </row>
    <row r="4758">
      <c r="A4758" s="4">
        <v>45534.354052662035</v>
      </c>
      <c r="B4758" s="5" t="s">
        <v>34</v>
      </c>
      <c r="D4758" s="5" t="s">
        <v>4775</v>
      </c>
      <c r="E4758" s="5" t="s">
        <v>31436</v>
      </c>
      <c r="F4758" s="5" t="s">
        <v>212</v>
      </c>
      <c r="G4758" s="5" t="s">
        <v>31437</v>
      </c>
      <c r="H4758" s="6" t="s">
        <v>31438</v>
      </c>
      <c r="I4758" s="7" t="s">
        <v>31439</v>
      </c>
      <c r="J4758" s="8" t="str">
        <f>HYPERLINK("https://drive.google.com/file/d/1K3XW3Rk4AnSVbtDGHHzXV1GK5zVn2Cfp/view?usp=drivesdk","NGESTI SRI HARTATI SERTIFIKAT BerAKHLAK")</f>
        <v>NGESTI SRI HARTATI SERTIFIKAT BerAKHLAK</v>
      </c>
      <c r="K4758" s="5" t="s">
        <v>31118</v>
      </c>
      <c r="L4758" s="5" t="s">
        <v>31440</v>
      </c>
      <c r="M4758" s="5" t="s">
        <v>31441</v>
      </c>
      <c r="N4758" s="7" t="s">
        <v>31442</v>
      </c>
      <c r="O4758" s="8" t="str">
        <f>HYPERLINK("https://drive.google.com/file/d/17vQ9WMy9DEZoOqExpx2kY0H76TzpiCSO/view?usp=drivesdk","4757_NGESTI SRI HARTATI _ SERTIFIKAT BerAKHLAK")</f>
        <v>4757_NGESTI SRI HARTATI _ SERTIFIKAT BerAKHLAK</v>
      </c>
      <c r="P4758" s="5" t="s">
        <v>31428</v>
      </c>
    </row>
    <row r="4759">
      <c r="A4759" s="4">
        <v>45534.35407315972</v>
      </c>
      <c r="B4759" s="5" t="s">
        <v>34</v>
      </c>
      <c r="D4759" s="5" t="s">
        <v>9020</v>
      </c>
      <c r="E4759" s="5" t="s">
        <v>31443</v>
      </c>
      <c r="F4759" s="5" t="s">
        <v>212</v>
      </c>
      <c r="G4759" s="5" t="s">
        <v>31444</v>
      </c>
      <c r="H4759" s="6" t="s">
        <v>31445</v>
      </c>
      <c r="K4759" s="5" t="s">
        <v>31446</v>
      </c>
      <c r="M4759" s="5" t="s">
        <v>31447</v>
      </c>
      <c r="N4759" s="7" t="s">
        <v>31448</v>
      </c>
      <c r="O4759" s="8" t="str">
        <f>HYPERLINK("https://drive.google.com/file/d/1kwFu20WTJGXGTx26T5whDHB_OpyUjz86/view?usp=drivesdk","4758_ARMAN PENGATUR TK.I _ SERTIFIKAT BerAKHLAK")</f>
        <v>4758_ARMAN PENGATUR TK.I _ SERTIFIKAT BerAKHLAK</v>
      </c>
      <c r="P4759" s="5" t="s">
        <v>31428</v>
      </c>
    </row>
    <row r="4760">
      <c r="A4760" s="4">
        <v>45534.35407774306</v>
      </c>
      <c r="B4760" s="5" t="s">
        <v>34</v>
      </c>
      <c r="D4760" s="5" t="s">
        <v>4775</v>
      </c>
      <c r="E4760" s="5" t="s">
        <v>31449</v>
      </c>
      <c r="F4760" s="5" t="s">
        <v>37</v>
      </c>
      <c r="G4760" s="5" t="s">
        <v>31450</v>
      </c>
      <c r="H4760" s="6" t="s">
        <v>31451</v>
      </c>
      <c r="K4760" s="5" t="s">
        <v>31446</v>
      </c>
      <c r="M4760" s="5" t="s">
        <v>31452</v>
      </c>
      <c r="N4760" s="7" t="s">
        <v>31453</v>
      </c>
      <c r="O4760" s="8" t="str">
        <f>HYPERLINK("https://drive.google.com/file/d/1WND1Q76pXg6lt8Tpw2Tl1FL9NVbjCkid/view?usp=drivesdk","4759_PURNOMO _ SERTIFIKAT BerAKHLAK")</f>
        <v>4759_PURNOMO _ SERTIFIKAT BerAKHLAK</v>
      </c>
      <c r="P4760" s="5" t="s">
        <v>31428</v>
      </c>
    </row>
    <row r="4761">
      <c r="A4761" s="4">
        <v>45534.3540900463</v>
      </c>
      <c r="B4761" s="5" t="s">
        <v>34</v>
      </c>
      <c r="D4761" s="5" t="s">
        <v>4775</v>
      </c>
      <c r="E4761" s="5" t="s">
        <v>31454</v>
      </c>
      <c r="F4761" s="5" t="s">
        <v>212</v>
      </c>
      <c r="G4761" s="5" t="s">
        <v>31455</v>
      </c>
      <c r="H4761" s="6" t="s">
        <v>31456</v>
      </c>
      <c r="K4761" s="5" t="s">
        <v>31446</v>
      </c>
      <c r="M4761" s="5" t="s">
        <v>31457</v>
      </c>
      <c r="N4761" s="7" t="s">
        <v>31458</v>
      </c>
      <c r="O4761" s="8" t="str">
        <f>HYPERLINK("https://drive.google.com/file/d/1MyysB8o4HcAD4RVXwcx0eNd4HLG2ifi8/view?usp=drivesdk","4760_MORTINI _ SERTIFIKAT BerAKHLAK")</f>
        <v>4760_MORTINI _ SERTIFIKAT BerAKHLAK</v>
      </c>
      <c r="P4761" s="5" t="s">
        <v>31459</v>
      </c>
    </row>
    <row r="4762">
      <c r="A4762" s="4">
        <v>45534.35409460648</v>
      </c>
      <c r="B4762" s="5" t="s">
        <v>34</v>
      </c>
      <c r="D4762" s="5" t="s">
        <v>9020</v>
      </c>
      <c r="E4762" s="5" t="s">
        <v>31460</v>
      </c>
      <c r="F4762" s="5" t="s">
        <v>212</v>
      </c>
      <c r="G4762" s="5" t="s">
        <v>31461</v>
      </c>
      <c r="H4762" s="6" t="s">
        <v>31462</v>
      </c>
      <c r="I4762" s="7" t="s">
        <v>31463</v>
      </c>
      <c r="J4762" s="8" t="str">
        <f>HYPERLINK("https://drive.google.com/file/d/1QPUsHaUm6IzlO5bLuQUPReqVg2eV_1kB/view?usp=drivesdk","RUSLII SERTIFIKAT BerAKHLAK")</f>
        <v>RUSLII SERTIFIKAT BerAKHLAK</v>
      </c>
      <c r="K4762" s="5" t="s">
        <v>31118</v>
      </c>
      <c r="L4762" s="5" t="s">
        <v>31464</v>
      </c>
      <c r="M4762" s="5" t="s">
        <v>31465</v>
      </c>
      <c r="N4762" s="7" t="s">
        <v>31466</v>
      </c>
      <c r="O4762" s="8" t="str">
        <f>HYPERLINK("https://drive.google.com/file/d/1SEKn96viR-KV7TwtBD3gQB9qEBbxthNL/view?usp=drivesdk","4761_RUSLII _ SERTIFIKAT BerAKHLAK")</f>
        <v>4761_RUSLII _ SERTIFIKAT BerAKHLAK</v>
      </c>
      <c r="P4762" s="5" t="s">
        <v>31459</v>
      </c>
    </row>
    <row r="4763">
      <c r="A4763" s="4">
        <v>45534.35410778935</v>
      </c>
      <c r="B4763" s="5" t="s">
        <v>34</v>
      </c>
      <c r="D4763" s="5" t="s">
        <v>4775</v>
      </c>
      <c r="E4763" s="5" t="s">
        <v>31467</v>
      </c>
      <c r="F4763" s="5" t="s">
        <v>524</v>
      </c>
      <c r="G4763" s="5" t="s">
        <v>31468</v>
      </c>
      <c r="H4763" s="6" t="s">
        <v>31469</v>
      </c>
      <c r="I4763" s="7" t="s">
        <v>31470</v>
      </c>
      <c r="J4763" s="8" t="str">
        <f>HYPERLINK("https://drive.google.com/file/d/1rV7WL7iYa7Mjxfn1e-kR6g9fcpHG6Ny9/view?usp=drivesdk","DIDIK SEPTIYONO, S.E. SERTIFIKAT BerAKHLAK")</f>
        <v>DIDIK SEPTIYONO, S.E. SERTIFIKAT BerAKHLAK</v>
      </c>
      <c r="K4763" s="5" t="s">
        <v>31118</v>
      </c>
      <c r="L4763" s="5" t="s">
        <v>31471</v>
      </c>
      <c r="M4763" s="5" t="s">
        <v>31472</v>
      </c>
      <c r="N4763" s="7" t="s">
        <v>31473</v>
      </c>
      <c r="O4763" s="8" t="str">
        <f>HYPERLINK("https://drive.google.com/file/d/11Y2Pfy2iKsVnhtUjJACQfKP1OIFQVUiq/view?usp=drivesdk","4762_DIDIK SEPTIYONO, S.E. _ SERTIFIKAT BerAKHLAK")</f>
        <v>4762_DIDIK SEPTIYONO, S.E. _ SERTIFIKAT BerAKHLAK</v>
      </c>
      <c r="P4763" s="5" t="s">
        <v>31459</v>
      </c>
    </row>
    <row r="4764">
      <c r="A4764" s="4">
        <v>45534.35410978009</v>
      </c>
      <c r="B4764" s="5" t="s">
        <v>34</v>
      </c>
      <c r="D4764" s="5" t="s">
        <v>35</v>
      </c>
      <c r="E4764" s="5" t="s">
        <v>31474</v>
      </c>
      <c r="F4764" s="5" t="s">
        <v>199</v>
      </c>
      <c r="G4764" s="5" t="s">
        <v>31475</v>
      </c>
      <c r="H4764" s="6" t="s">
        <v>31476</v>
      </c>
      <c r="I4764" s="7" t="s">
        <v>31477</v>
      </c>
      <c r="J4764" s="8" t="str">
        <f>HYPERLINK("https://drive.google.com/file/d/1REfpt1ks78ax55-kEM6bbZZCnwKlMWhh/view?usp=drivesdk","SOPYAN SERTIFIKAT BerAKHLAK")</f>
        <v>SOPYAN SERTIFIKAT BerAKHLAK</v>
      </c>
      <c r="K4764" s="5" t="s">
        <v>31118</v>
      </c>
      <c r="L4764" s="5" t="s">
        <v>31478</v>
      </c>
      <c r="M4764" s="5" t="s">
        <v>31479</v>
      </c>
      <c r="N4764" s="7" t="s">
        <v>31480</v>
      </c>
      <c r="O4764" s="8" t="str">
        <f>HYPERLINK("https://drive.google.com/file/d/12Y6UnSBUz52HodWICgzOqB9cdxqkdS5i/view?usp=drivesdk","4763_SOPYAN _ SERTIFIKAT BerAKHLAK")</f>
        <v>4763_SOPYAN _ SERTIFIKAT BerAKHLAK</v>
      </c>
      <c r="P4764" s="5" t="s">
        <v>31459</v>
      </c>
    </row>
    <row r="4765">
      <c r="A4765" s="4">
        <v>45534.354135625</v>
      </c>
      <c r="B4765" s="5" t="s">
        <v>34</v>
      </c>
      <c r="D4765" s="5" t="s">
        <v>10444</v>
      </c>
      <c r="E4765" s="5" t="s">
        <v>31481</v>
      </c>
      <c r="F4765" s="5" t="s">
        <v>715</v>
      </c>
      <c r="G4765" s="5" t="s">
        <v>31482</v>
      </c>
      <c r="H4765" s="6" t="s">
        <v>31483</v>
      </c>
      <c r="I4765" s="7" t="s">
        <v>31484</v>
      </c>
      <c r="J4765" s="8" t="str">
        <f>HYPERLINK("https://drive.google.com/file/d/1Lqz-LkKQflnLBK16nr04qjJOYpNErrzU/view?usp=drivesdk","DESSY TRI WAHYUNI, A.Md SERTIFIKAT BerAKHLAK")</f>
        <v>DESSY TRI WAHYUNI, A.Md SERTIFIKAT BerAKHLAK</v>
      </c>
      <c r="K4765" s="5" t="s">
        <v>31118</v>
      </c>
      <c r="L4765" s="5" t="s">
        <v>31485</v>
      </c>
      <c r="M4765" s="5" t="s">
        <v>31486</v>
      </c>
      <c r="N4765" s="7" t="s">
        <v>31487</v>
      </c>
      <c r="O4765" s="8" t="str">
        <f>HYPERLINK("https://drive.google.com/file/d/1WZbAGodxAwoxkic2JXd-ckBTnT50xgtj/view?usp=drivesdk","4764_DESSY TRI WAHYUNI, A.Md _ SERTIFIKAT BerAKHLAK")</f>
        <v>4764_DESSY TRI WAHYUNI, A.Md _ SERTIFIKAT BerAKHLAK</v>
      </c>
      <c r="P4765" s="5" t="s">
        <v>31459</v>
      </c>
    </row>
    <row r="4766" hidden="1">
      <c r="A4766" s="4">
        <v>45534.35414314815</v>
      </c>
      <c r="B4766" s="5" t="s">
        <v>19</v>
      </c>
      <c r="C4766" s="5" t="s">
        <v>14000</v>
      </c>
      <c r="E4766" s="5" t="s">
        <v>31488</v>
      </c>
      <c r="F4766" s="5" t="s">
        <v>108</v>
      </c>
      <c r="G4766" s="5" t="s">
        <v>31489</v>
      </c>
      <c r="H4766" s="6" t="s">
        <v>31490</v>
      </c>
      <c r="I4766" s="7" t="s">
        <v>31491</v>
      </c>
      <c r="J4766" s="8" t="str">
        <f>HYPERLINK("https://drive.google.com/file/d/1VIpsXiGMNXxNPc47S32XbRV7rQX7vp4T/view?usp=drivesdk","WIDI KUMORO, A.Md. SERTIFIKAT BerAKHLAK")</f>
        <v>WIDI KUMORO, A.Md. SERTIFIKAT BerAKHLAK</v>
      </c>
      <c r="K4766" s="5" t="s">
        <v>31118</v>
      </c>
      <c r="L4766" s="5" t="s">
        <v>31492</v>
      </c>
      <c r="M4766" s="5" t="s">
        <v>31493</v>
      </c>
      <c r="N4766" s="7" t="s">
        <v>31494</v>
      </c>
      <c r="O4766" s="8" t="str">
        <f>HYPERLINK("https://drive.google.com/file/d/11BoY32HV2rdwZCoCHJ2CAJlE2ZonV-iN/view?usp=drivesdk","4765_WIDI KUMORO, A.Md. _ SERTIFIKAT BerAKHLAK")</f>
        <v>4765_WIDI KUMORO, A.Md. _ SERTIFIKAT BerAKHLAK</v>
      </c>
      <c r="P4766" s="5" t="s">
        <v>31495</v>
      </c>
    </row>
    <row r="4767">
      <c r="A4767" s="4">
        <v>45534.354149189814</v>
      </c>
      <c r="B4767" s="5" t="s">
        <v>34</v>
      </c>
      <c r="D4767" s="5" t="s">
        <v>9020</v>
      </c>
      <c r="E4767" s="5" t="s">
        <v>31496</v>
      </c>
      <c r="F4767" s="5" t="s">
        <v>212</v>
      </c>
      <c r="G4767" s="5" t="s">
        <v>31497</v>
      </c>
      <c r="H4767" s="6" t="s">
        <v>31498</v>
      </c>
      <c r="K4767" s="5" t="s">
        <v>31499</v>
      </c>
      <c r="M4767" s="5" t="s">
        <v>31500</v>
      </c>
      <c r="N4767" s="7" t="s">
        <v>31501</v>
      </c>
      <c r="O4767" s="8" t="str">
        <f>HYPERLINK("https://drive.google.com/file/d/1jhPbn5imYHLWzdHEVLRl_L4NMI0ATRZ_/view?usp=drivesdk","4766_ROBINSON SEMBIRING _ SERTIFIKAT BerAKHLAK")</f>
        <v>4766_ROBINSON SEMBIRING _ SERTIFIKAT BerAKHLAK</v>
      </c>
      <c r="P4767" s="5" t="s">
        <v>31495</v>
      </c>
    </row>
    <row r="4768">
      <c r="A4768" s="4">
        <v>45534.3541533449</v>
      </c>
      <c r="B4768" s="5" t="s">
        <v>34</v>
      </c>
      <c r="D4768" s="5" t="s">
        <v>4775</v>
      </c>
      <c r="E4768" s="5" t="s">
        <v>31502</v>
      </c>
      <c r="F4768" s="5" t="s">
        <v>375</v>
      </c>
      <c r="G4768" s="5" t="s">
        <v>31503</v>
      </c>
      <c r="H4768" s="6" t="s">
        <v>31504</v>
      </c>
      <c r="K4768" s="5" t="s">
        <v>31499</v>
      </c>
      <c r="M4768" s="5" t="s">
        <v>31505</v>
      </c>
      <c r="N4768" s="7" t="s">
        <v>31506</v>
      </c>
      <c r="O4768" s="8" t="str">
        <f>HYPERLINK("https://drive.google.com/file/d/1Bo2wbjdHM9hbCKwEJokKMdQhpZBjqyiK/view?usp=drivesdk","4767_HARYO WAHYU WIBOWO, ST _ SERTIFIKAT BerAKHLAK")</f>
        <v>4767_HARYO WAHYU WIBOWO, ST _ SERTIFIKAT BerAKHLAK</v>
      </c>
      <c r="P4768" s="5" t="s">
        <v>31495</v>
      </c>
    </row>
    <row r="4769" hidden="1">
      <c r="A4769" s="4">
        <v>45534.354153692126</v>
      </c>
      <c r="B4769" s="5" t="s">
        <v>19</v>
      </c>
      <c r="C4769" s="5" t="s">
        <v>442</v>
      </c>
      <c r="E4769" s="5" t="s">
        <v>31507</v>
      </c>
      <c r="F4769" s="5" t="s">
        <v>120</v>
      </c>
      <c r="G4769" s="5" t="s">
        <v>31508</v>
      </c>
      <c r="H4769" s="6" t="s">
        <v>31509</v>
      </c>
      <c r="K4769" s="5" t="s">
        <v>31499</v>
      </c>
      <c r="M4769" s="5" t="s">
        <v>31510</v>
      </c>
      <c r="N4769" s="7" t="s">
        <v>31511</v>
      </c>
      <c r="O4769" s="8" t="str">
        <f>HYPERLINK("https://drive.google.com/file/d/17vxqy1wzAmuxQO9brnkqxvo1LiuL6Iv0/view?usp=drivesdk","4768_Ario Martha Hasibuan, S.T. _ SERTIFIKAT BerAKHLAK")</f>
        <v>4768_Ario Martha Hasibuan, S.T. _ SERTIFIKAT BerAKHLAK</v>
      </c>
      <c r="P4769" s="5" t="s">
        <v>31495</v>
      </c>
    </row>
    <row r="4770">
      <c r="A4770" s="4">
        <v>45534.354161932875</v>
      </c>
      <c r="B4770" s="5" t="s">
        <v>34</v>
      </c>
      <c r="D4770" s="5" t="s">
        <v>9020</v>
      </c>
      <c r="E4770" s="5" t="s">
        <v>31512</v>
      </c>
      <c r="F4770" s="5" t="s">
        <v>212</v>
      </c>
      <c r="G4770" s="5" t="s">
        <v>31513</v>
      </c>
      <c r="H4770" s="6" t="s">
        <v>31514</v>
      </c>
      <c r="K4770" s="5" t="s">
        <v>31499</v>
      </c>
      <c r="M4770" s="5" t="s">
        <v>31515</v>
      </c>
      <c r="N4770" s="7" t="s">
        <v>31516</v>
      </c>
      <c r="O4770" s="8" t="str">
        <f>HYPERLINK("https://drive.google.com/file/d/141H_27P5zXxOrLy87qLBW1IzlW-thrQJ/view?usp=drivesdk","4769_SUHARTINI  _ SERTIFIKAT BerAKHLAK")</f>
        <v>4769_SUHARTINI  _ SERTIFIKAT BerAKHLAK</v>
      </c>
      <c r="P4770" s="5" t="s">
        <v>31517</v>
      </c>
    </row>
    <row r="4771">
      <c r="A4771" s="4">
        <v>45534.354171747684</v>
      </c>
      <c r="B4771" s="5" t="s">
        <v>34</v>
      </c>
      <c r="D4771" s="5" t="s">
        <v>1206</v>
      </c>
      <c r="E4771" s="5" t="s">
        <v>31518</v>
      </c>
      <c r="F4771" s="5" t="s">
        <v>212</v>
      </c>
      <c r="G4771" s="5" t="s">
        <v>31519</v>
      </c>
      <c r="H4771" s="6" t="s">
        <v>31520</v>
      </c>
      <c r="K4771" s="5" t="s">
        <v>31499</v>
      </c>
      <c r="M4771" s="5" t="s">
        <v>31521</v>
      </c>
      <c r="N4771" s="7" t="s">
        <v>31522</v>
      </c>
      <c r="O4771" s="8" t="str">
        <f>HYPERLINK("https://drive.google.com/file/d/1L4krz5ShC9iQDzhOw9zykDDTpCUptKvw/view?usp=drivesdk","4770_LILIN DWI MASTUTIK _ SERTIFIKAT BerAKHLAK")</f>
        <v>4770_LILIN DWI MASTUTIK _ SERTIFIKAT BerAKHLAK</v>
      </c>
      <c r="P4771" s="5" t="s">
        <v>31517</v>
      </c>
    </row>
    <row r="4772">
      <c r="A4772" s="4">
        <v>45534.35418206018</v>
      </c>
      <c r="B4772" s="5" t="s">
        <v>34</v>
      </c>
      <c r="D4772" s="5" t="s">
        <v>9020</v>
      </c>
      <c r="E4772" s="5" t="s">
        <v>31523</v>
      </c>
      <c r="F4772" s="5" t="s">
        <v>37</v>
      </c>
      <c r="G4772" s="5" t="s">
        <v>31524</v>
      </c>
      <c r="H4772" s="6" t="s">
        <v>31525</v>
      </c>
      <c r="K4772" s="5" t="s">
        <v>31499</v>
      </c>
      <c r="M4772" s="5" t="s">
        <v>31526</v>
      </c>
      <c r="N4772" s="7" t="s">
        <v>31527</v>
      </c>
      <c r="O4772" s="8" t="str">
        <f>HYPERLINK("https://drive.google.com/file/d/1ZBN1q0VfQwoMvdN0P5Jv6s6osDwnBkAt/view?usp=drivesdk","4771_SUGIANTO _ SERTIFIKAT BerAKHLAK")</f>
        <v>4771_SUGIANTO _ SERTIFIKAT BerAKHLAK</v>
      </c>
      <c r="P4772" s="5" t="s">
        <v>31517</v>
      </c>
    </row>
    <row r="4773">
      <c r="A4773" s="4">
        <v>45534.35419241898</v>
      </c>
      <c r="B4773" s="5" t="s">
        <v>34</v>
      </c>
      <c r="D4773" s="5" t="s">
        <v>4775</v>
      </c>
      <c r="E4773" s="5" t="s">
        <v>31528</v>
      </c>
      <c r="F4773" s="5" t="s">
        <v>375</v>
      </c>
      <c r="G4773" s="5" t="s">
        <v>31529</v>
      </c>
      <c r="H4773" s="6" t="s">
        <v>31530</v>
      </c>
      <c r="K4773" s="5" t="s">
        <v>31499</v>
      </c>
      <c r="M4773" s="5" t="s">
        <v>31531</v>
      </c>
      <c r="N4773" s="7" t="s">
        <v>31532</v>
      </c>
      <c r="O4773" s="8" t="str">
        <f>HYPERLINK("https://drive.google.com/file/d/1qt6fofJzrx_ig2qFhNj4zbiUs7MAUJAy/view?usp=drivesdk","4772_PRIHATIN CATUR FITRIYANI. SKM. MM _ SERTIFIKAT BerAKHLAK")</f>
        <v>4772_PRIHATIN CATUR FITRIYANI. SKM. MM _ SERTIFIKAT BerAKHLAK</v>
      </c>
      <c r="P4773" s="5" t="s">
        <v>31533</v>
      </c>
    </row>
    <row r="4774">
      <c r="A4774" s="4">
        <v>45534.35419916667</v>
      </c>
      <c r="B4774" s="5" t="s">
        <v>34</v>
      </c>
      <c r="D4774" s="5" t="s">
        <v>1206</v>
      </c>
      <c r="E4774" s="5" t="s">
        <v>31534</v>
      </c>
      <c r="F4774" s="5" t="s">
        <v>524</v>
      </c>
      <c r="G4774" s="5" t="s">
        <v>31535</v>
      </c>
      <c r="H4774" s="6" t="s">
        <v>31536</v>
      </c>
      <c r="K4774" s="5" t="s">
        <v>31499</v>
      </c>
      <c r="M4774" s="5" t="s">
        <v>31537</v>
      </c>
      <c r="N4774" s="7" t="s">
        <v>31538</v>
      </c>
      <c r="O4774" s="8" t="str">
        <f>HYPERLINK("https://drive.google.com/file/d/1pIsX_RfiqjM8vbcC1euz3KkjaC7MzQAs/view?usp=drivesdk","4773_KUSRIPAH _ SERTIFIKAT BerAKHLAK")</f>
        <v>4773_KUSRIPAH _ SERTIFIKAT BerAKHLAK</v>
      </c>
      <c r="P4774" s="5" t="s">
        <v>31533</v>
      </c>
    </row>
    <row r="4775">
      <c r="A4775" s="4">
        <v>45534.35421665509</v>
      </c>
      <c r="B4775" s="5" t="s">
        <v>34</v>
      </c>
      <c r="D4775" s="5" t="s">
        <v>1558</v>
      </c>
      <c r="E4775" s="5" t="s">
        <v>31539</v>
      </c>
      <c r="F4775" s="5" t="s">
        <v>108</v>
      </c>
      <c r="G4775" s="5" t="s">
        <v>31540</v>
      </c>
      <c r="H4775" s="6" t="s">
        <v>31541</v>
      </c>
      <c r="I4775" s="7" t="s">
        <v>31542</v>
      </c>
      <c r="J4775" s="8" t="str">
        <f>HYPERLINK("https://drive.google.com/file/d/1khaOLjqbe5iOlkEFKn7H7-MNC4KNutTM/view?usp=drivesdk","RADEN RORO FRANSISCA NANIK PRASETYAWATI,SE SERTIFIKAT BerAKHLAK")</f>
        <v>RADEN RORO FRANSISCA NANIK PRASETYAWATI,SE SERTIFIKAT BerAKHLAK</v>
      </c>
      <c r="K4775" s="5" t="s">
        <v>31118</v>
      </c>
      <c r="L4775" s="5" t="s">
        <v>31543</v>
      </c>
      <c r="M4775" s="5" t="s">
        <v>31544</v>
      </c>
      <c r="N4775" s="7" t="s">
        <v>31545</v>
      </c>
      <c r="O4775" s="8" t="str">
        <f>HYPERLINK("https://drive.google.com/file/d/1WnVAzoQ7z3UHmOn8CQxSg5d8KO1VDE3c/view?usp=drivesdk","4774_RADEN RORO FRANSISCA NANIK PRASETYAWATI,SE _ SERTIFIKAT BerAKHLAK")</f>
        <v>4774_RADEN RORO FRANSISCA NANIK PRASETYAWATI,SE _ SERTIFIKAT BerAKHLAK</v>
      </c>
      <c r="P4775" s="5" t="s">
        <v>31533</v>
      </c>
    </row>
    <row r="4776">
      <c r="A4776" s="4">
        <v>45534.35422775463</v>
      </c>
      <c r="B4776" s="5" t="s">
        <v>34</v>
      </c>
      <c r="D4776" s="5" t="s">
        <v>4775</v>
      </c>
      <c r="E4776" s="5" t="s">
        <v>31546</v>
      </c>
      <c r="F4776" s="5" t="s">
        <v>108</v>
      </c>
      <c r="G4776" s="5" t="s">
        <v>31547</v>
      </c>
      <c r="H4776" s="6" t="s">
        <v>31548</v>
      </c>
      <c r="I4776" s="7" t="s">
        <v>31549</v>
      </c>
      <c r="J4776" s="8" t="str">
        <f>HYPERLINK("https://drive.google.com/file/d/1twtxEMjbeyG7Hbya7Xj4f4GhE-aM-7As/view?usp=drivesdk","PRAPTI HANDAYANI, A.Md,PK SERTIFIKAT BerAKHLAK")</f>
        <v>PRAPTI HANDAYANI, A.Md,PK SERTIFIKAT BerAKHLAK</v>
      </c>
      <c r="K4776" s="5" t="s">
        <v>31118</v>
      </c>
      <c r="L4776" s="5" t="s">
        <v>31550</v>
      </c>
      <c r="M4776" s="5" t="s">
        <v>31551</v>
      </c>
      <c r="N4776" s="7" t="s">
        <v>31552</v>
      </c>
      <c r="O4776" s="8" t="str">
        <f>HYPERLINK("https://drive.google.com/file/d/1tQdm7PMlAUMOdJ5HhsthnBZSaYP-i6Dw/view?usp=drivesdk","4775_PRAPTI HANDAYANI, A.Md,PK _ SERTIFIKAT BerAKHLAK")</f>
        <v>4775_PRAPTI HANDAYANI, A.Md,PK _ SERTIFIKAT BerAKHLAK</v>
      </c>
      <c r="P4776" s="5" t="s">
        <v>31533</v>
      </c>
    </row>
    <row r="4777">
      <c r="A4777" s="4">
        <v>45534.35423296296</v>
      </c>
      <c r="B4777" s="5" t="s">
        <v>34</v>
      </c>
      <c r="D4777" s="5" t="s">
        <v>1206</v>
      </c>
      <c r="E4777" s="5" t="s">
        <v>31553</v>
      </c>
      <c r="F4777" s="5" t="s">
        <v>212</v>
      </c>
      <c r="G4777" s="5" t="s">
        <v>31554</v>
      </c>
      <c r="H4777" s="6" t="s">
        <v>31555</v>
      </c>
      <c r="I4777" s="7" t="s">
        <v>31556</v>
      </c>
      <c r="J4777" s="8" t="str">
        <f>HYPERLINK("https://drive.google.com/file/d/1EX5XFyUmHYqcRaN54XrV33IvJ6Rtbu64/view?usp=drivesdk","INDRI NINGTYAS UTAMI SERTIFIKAT BerAKHLAK")</f>
        <v>INDRI NINGTYAS UTAMI SERTIFIKAT BerAKHLAK</v>
      </c>
      <c r="K4777" s="5" t="s">
        <v>31118</v>
      </c>
      <c r="L4777" s="5" t="s">
        <v>31557</v>
      </c>
      <c r="M4777" s="5" t="s">
        <v>31558</v>
      </c>
      <c r="N4777" s="7" t="s">
        <v>31559</v>
      </c>
      <c r="O4777" s="8" t="str">
        <f>HYPERLINK("https://drive.google.com/file/d/1WLJDoEmgWbhpGeAzmq5uV4wPmZisBys2/view?usp=drivesdk","4776_INDRI NINGTYAS UTAMI _ SERTIFIKAT BerAKHLAK")</f>
        <v>4776_INDRI NINGTYAS UTAMI _ SERTIFIKAT BerAKHLAK</v>
      </c>
      <c r="P4777" s="5" t="s">
        <v>31533</v>
      </c>
    </row>
    <row r="4778">
      <c r="A4778" s="4">
        <v>45534.35424497685</v>
      </c>
      <c r="B4778" s="5" t="s">
        <v>34</v>
      </c>
      <c r="D4778" s="5" t="s">
        <v>1206</v>
      </c>
      <c r="E4778" s="5" t="s">
        <v>31560</v>
      </c>
      <c r="F4778" s="5" t="s">
        <v>212</v>
      </c>
      <c r="G4778" s="5" t="s">
        <v>31561</v>
      </c>
      <c r="H4778" s="6" t="s">
        <v>31562</v>
      </c>
      <c r="K4778" s="5" t="s">
        <v>31563</v>
      </c>
      <c r="M4778" s="5" t="s">
        <v>31564</v>
      </c>
      <c r="N4778" s="7" t="s">
        <v>31565</v>
      </c>
      <c r="O4778" s="8" t="str">
        <f>HYPERLINK("https://drive.google.com/file/d/1SuZ8G3qy0HOeI0oHu0DYYvPLXXvL8Sqo/view?usp=drivesdk","4777_SUYONO _ SERTIFIKAT BerAKHLAK")</f>
        <v>4777_SUYONO _ SERTIFIKAT BerAKHLAK</v>
      </c>
      <c r="P4778" s="5" t="s">
        <v>31566</v>
      </c>
    </row>
    <row r="4779">
      <c r="A4779" s="4">
        <v>45534.35426846065</v>
      </c>
      <c r="B4779" s="5" t="s">
        <v>34</v>
      </c>
      <c r="D4779" s="5" t="s">
        <v>1206</v>
      </c>
      <c r="E4779" s="5" t="s">
        <v>31567</v>
      </c>
      <c r="F4779" s="5" t="s">
        <v>199</v>
      </c>
      <c r="G4779" s="5" t="s">
        <v>31568</v>
      </c>
      <c r="H4779" s="6" t="s">
        <v>31569</v>
      </c>
      <c r="K4779" s="5" t="s">
        <v>31570</v>
      </c>
      <c r="M4779" s="5" t="s">
        <v>31571</v>
      </c>
      <c r="N4779" s="7" t="s">
        <v>31572</v>
      </c>
      <c r="O4779" s="8" t="str">
        <f>HYPERLINK("https://drive.google.com/file/d/1-BZ1bY4Lu7vjv5Tgv4js8mbkG8byFpzF/view?usp=drivesdk","4778_SUDJOLO _ SERTIFIKAT BerAKHLAK")</f>
        <v>4778_SUDJOLO _ SERTIFIKAT BerAKHLAK</v>
      </c>
      <c r="P4779" s="5" t="s">
        <v>31566</v>
      </c>
    </row>
    <row r="4780">
      <c r="A4780" s="4">
        <v>45534.354270104166</v>
      </c>
      <c r="B4780" s="5" t="s">
        <v>34</v>
      </c>
      <c r="D4780" s="5" t="s">
        <v>996</v>
      </c>
      <c r="E4780" s="5" t="s">
        <v>31573</v>
      </c>
      <c r="F4780" s="5" t="s">
        <v>37</v>
      </c>
      <c r="G4780" s="5" t="s">
        <v>31574</v>
      </c>
      <c r="H4780" s="6" t="s">
        <v>31575</v>
      </c>
      <c r="K4780" s="5" t="s">
        <v>31570</v>
      </c>
      <c r="M4780" s="5" t="s">
        <v>31576</v>
      </c>
      <c r="N4780" s="7" t="s">
        <v>31577</v>
      </c>
      <c r="O4780" s="8" t="str">
        <f>HYPERLINK("https://drive.google.com/file/d/1qasFmSpgXTBOMwg0BGJ_AnGWUJiYsOjx/view?usp=drivesdk","4779_SUBAHAN _ SERTIFIKAT BerAKHLAK")</f>
        <v>4779_SUBAHAN _ SERTIFIKAT BerAKHLAK</v>
      </c>
      <c r="P4780" s="5" t="s">
        <v>31566</v>
      </c>
    </row>
    <row r="4781">
      <c r="A4781" s="4">
        <v>45534.35427763889</v>
      </c>
      <c r="B4781" s="5" t="s">
        <v>34</v>
      </c>
      <c r="D4781" s="5" t="s">
        <v>1206</v>
      </c>
      <c r="E4781" s="5" t="s">
        <v>31578</v>
      </c>
      <c r="F4781" s="5" t="s">
        <v>212</v>
      </c>
      <c r="G4781" s="5" t="s">
        <v>31579</v>
      </c>
      <c r="H4781" s="6" t="s">
        <v>31580</v>
      </c>
      <c r="K4781" s="5" t="s">
        <v>31570</v>
      </c>
      <c r="M4781" s="5" t="s">
        <v>31581</v>
      </c>
      <c r="N4781" s="7" t="s">
        <v>31582</v>
      </c>
      <c r="O4781" s="8" t="str">
        <f>HYPERLINK("https://drive.google.com/file/d/1AgWYlN7y3tfpz2VeTaXanTQ9SDq8iDYr/view?usp=drivesdk","4780_KRISNOADI _ SERTIFIKAT BerAKHLAK")</f>
        <v>4780_KRISNOADI _ SERTIFIKAT BerAKHLAK</v>
      </c>
      <c r="P4781" s="5" t="s">
        <v>31566</v>
      </c>
    </row>
    <row r="4782" hidden="1">
      <c r="A4782" s="4">
        <v>45534.35427790509</v>
      </c>
      <c r="B4782" s="5" t="s">
        <v>19</v>
      </c>
      <c r="C4782" s="5" t="s">
        <v>30588</v>
      </c>
      <c r="E4782" s="5" t="s">
        <v>31583</v>
      </c>
      <c r="F4782" s="5" t="s">
        <v>108</v>
      </c>
      <c r="G4782" s="5" t="s">
        <v>31584</v>
      </c>
      <c r="H4782" s="6" t="s">
        <v>31585</v>
      </c>
      <c r="K4782" s="5" t="s">
        <v>31570</v>
      </c>
      <c r="M4782" s="5" t="s">
        <v>31586</v>
      </c>
      <c r="N4782" s="7" t="s">
        <v>31587</v>
      </c>
      <c r="O4782" s="8" t="str">
        <f>HYPERLINK("https://drive.google.com/file/d/11DrSj9RUNZBnq9OV-gBlNZg6JBkXD9XH/view?usp=drivesdk","4781_SUNARIYO _ SERTIFIKAT BerAKHLAK")</f>
        <v>4781_SUNARIYO _ SERTIFIKAT BerAKHLAK</v>
      </c>
      <c r="P4782" s="5" t="s">
        <v>31588</v>
      </c>
    </row>
    <row r="4783">
      <c r="A4783" s="4">
        <v>45534.354282581015</v>
      </c>
      <c r="B4783" s="5" t="s">
        <v>34</v>
      </c>
      <c r="D4783" s="5" t="s">
        <v>1206</v>
      </c>
      <c r="E4783" s="5" t="s">
        <v>31589</v>
      </c>
      <c r="F4783" s="5" t="s">
        <v>375</v>
      </c>
      <c r="G4783" s="5" t="s">
        <v>31590</v>
      </c>
      <c r="H4783" s="6" t="s">
        <v>31591</v>
      </c>
      <c r="K4783" s="5" t="s">
        <v>31570</v>
      </c>
      <c r="M4783" s="5" t="s">
        <v>31592</v>
      </c>
      <c r="N4783" s="7" t="s">
        <v>31593</v>
      </c>
      <c r="O4783" s="8" t="str">
        <f>HYPERLINK("https://drive.google.com/file/d/1gRvritWSVCHshm6hvZYs3207jiDekj-9/view?usp=drivesdk","4782_ANIK RAHAYU SE _ SERTIFIKAT BerAKHLAK")</f>
        <v>4782_ANIK RAHAYU SE _ SERTIFIKAT BerAKHLAK</v>
      </c>
      <c r="P4783" s="5" t="s">
        <v>31588</v>
      </c>
    </row>
    <row r="4784" hidden="1">
      <c r="A4784" s="4">
        <v>45534.3542883912</v>
      </c>
      <c r="B4784" s="5" t="s">
        <v>19</v>
      </c>
      <c r="C4784" s="5" t="s">
        <v>30588</v>
      </c>
      <c r="E4784" s="5" t="s">
        <v>31594</v>
      </c>
      <c r="F4784" s="5" t="s">
        <v>375</v>
      </c>
      <c r="G4784" s="5" t="s">
        <v>31595</v>
      </c>
      <c r="H4784" s="6" t="s">
        <v>31596</v>
      </c>
      <c r="K4784" s="5" t="s">
        <v>31570</v>
      </c>
      <c r="M4784" s="5" t="s">
        <v>31597</v>
      </c>
      <c r="N4784" s="7" t="s">
        <v>31598</v>
      </c>
      <c r="O4784" s="8" t="str">
        <f>HYPERLINK("https://drive.google.com/file/d/168nUi-Ga6gNpC2vR-ubHZT7xQC0p6oK6/view?usp=drivesdk","4783_NOVI NURCAHYANTI  _ SERTIFIKAT BerAKHLAK")</f>
        <v>4783_NOVI NURCAHYANTI  _ SERTIFIKAT BerAKHLAK</v>
      </c>
      <c r="P4784" s="5" t="s">
        <v>31588</v>
      </c>
    </row>
    <row r="4785">
      <c r="A4785" s="4">
        <v>45534.35429737269</v>
      </c>
      <c r="B4785" s="5" t="s">
        <v>34</v>
      </c>
      <c r="D4785" s="5" t="s">
        <v>9020</v>
      </c>
      <c r="E4785" s="5" t="s">
        <v>31599</v>
      </c>
      <c r="F4785" s="5" t="s">
        <v>37</v>
      </c>
      <c r="G4785" s="5" t="s">
        <v>31600</v>
      </c>
      <c r="H4785" s="6" t="s">
        <v>31601</v>
      </c>
      <c r="K4785" s="5" t="s">
        <v>31570</v>
      </c>
      <c r="M4785" s="5" t="s">
        <v>31602</v>
      </c>
      <c r="N4785" s="7" t="s">
        <v>31603</v>
      </c>
      <c r="O4785" s="8" t="str">
        <f>HYPERLINK("https://drive.google.com/file/d/1YfOZiSLfPqPKlFcyY2d6-DFORMzueiwU/view?usp=drivesdk","4784_MUHAMMAD KHAIDIR LUBIS _ SERTIFIKAT BerAKHLAK")</f>
        <v>4784_MUHAMMAD KHAIDIR LUBIS _ SERTIFIKAT BerAKHLAK</v>
      </c>
      <c r="P4785" s="5" t="s">
        <v>31588</v>
      </c>
    </row>
    <row r="4786" hidden="1">
      <c r="A4786" s="4">
        <v>45534.354298923616</v>
      </c>
      <c r="B4786" s="5" t="s">
        <v>19</v>
      </c>
      <c r="C4786" s="5" t="s">
        <v>3471</v>
      </c>
      <c r="E4786" s="5" t="s">
        <v>31604</v>
      </c>
      <c r="F4786" s="5" t="s">
        <v>375</v>
      </c>
      <c r="G4786" s="5" t="s">
        <v>31605</v>
      </c>
      <c r="H4786" s="6" t="s">
        <v>31606</v>
      </c>
      <c r="K4786" s="5" t="s">
        <v>31570</v>
      </c>
      <c r="M4786" s="5" t="s">
        <v>31607</v>
      </c>
      <c r="N4786" s="7" t="s">
        <v>31608</v>
      </c>
      <c r="O4786" s="8" t="str">
        <f>HYPERLINK("https://drive.google.com/file/d/1mWmbpSQDshz-LeXjZ2QJHKxRcQJHO5Pq/view?usp=drivesdk","4785_DEWI SRI MULYANI, S. E.  _ SERTIFIKAT BerAKHLAK")</f>
        <v>4785_DEWI SRI MULYANI, S. E.  _ SERTIFIKAT BerAKHLAK</v>
      </c>
      <c r="P4786" s="5" t="s">
        <v>31588</v>
      </c>
    </row>
    <row r="4787">
      <c r="A4787" s="4">
        <v>45534.3543343287</v>
      </c>
      <c r="B4787" s="5" t="s">
        <v>34</v>
      </c>
      <c r="D4787" s="5" t="s">
        <v>4775</v>
      </c>
      <c r="E4787" s="5" t="s">
        <v>31609</v>
      </c>
      <c r="F4787" s="5" t="s">
        <v>524</v>
      </c>
      <c r="G4787" s="5" t="s">
        <v>31610</v>
      </c>
      <c r="H4787" s="6" t="s">
        <v>31611</v>
      </c>
      <c r="I4787" s="7" t="s">
        <v>31612</v>
      </c>
      <c r="J4787" s="8" t="str">
        <f>HYPERLINK("https://drive.google.com/file/d/1dyVCKL9wQl66CuMiBa7anC7zkY_8aymG/view?usp=drivesdk","IRAWATI,S.Kep SERTIFIKAT BerAKHLAK")</f>
        <v>IRAWATI,S.Kep SERTIFIKAT BerAKHLAK</v>
      </c>
      <c r="K4787" s="5" t="s">
        <v>31118</v>
      </c>
      <c r="L4787" s="5" t="s">
        <v>31613</v>
      </c>
      <c r="M4787" s="5" t="s">
        <v>31614</v>
      </c>
      <c r="N4787" s="7" t="s">
        <v>31615</v>
      </c>
      <c r="O4787" s="8" t="str">
        <f>HYPERLINK("https://drive.google.com/file/d/14CfyR2hJc3-Lqyad2FXv_gutK_bV0l0f/view?usp=drivesdk","4786_IRAWATI,S.Kep _ SERTIFIKAT BerAKHLAK")</f>
        <v>4786_IRAWATI,S.Kep _ SERTIFIKAT BerAKHLAK</v>
      </c>
      <c r="P4787" s="5" t="s">
        <v>31588</v>
      </c>
    </row>
    <row r="4788">
      <c r="A4788" s="4">
        <v>45534.35433916667</v>
      </c>
      <c r="B4788" s="5" t="s">
        <v>34</v>
      </c>
      <c r="D4788" s="5" t="s">
        <v>1206</v>
      </c>
      <c r="E4788" s="5" t="s">
        <v>31616</v>
      </c>
      <c r="F4788" s="5" t="s">
        <v>37</v>
      </c>
      <c r="G4788" s="5" t="s">
        <v>31617</v>
      </c>
      <c r="H4788" s="6" t="s">
        <v>31618</v>
      </c>
      <c r="K4788" s="5" t="s">
        <v>31619</v>
      </c>
      <c r="M4788" s="5" t="s">
        <v>31620</v>
      </c>
      <c r="N4788" s="7" t="s">
        <v>31621</v>
      </c>
      <c r="O4788" s="8" t="str">
        <f>HYPERLINK("https://drive.google.com/file/d/1hZ7boUREHNdP0oYXeYokjYnkvtN1D5cD/view?usp=drivesdk","4787_NANANG EKO SUHARDI _ SERTIFIKAT BerAKHLAK")</f>
        <v>4787_NANANG EKO SUHARDI _ SERTIFIKAT BerAKHLAK</v>
      </c>
      <c r="P4788" s="5" t="s">
        <v>31622</v>
      </c>
    </row>
    <row r="4789">
      <c r="A4789" s="4">
        <v>45534.354340000005</v>
      </c>
      <c r="B4789" s="5" t="s">
        <v>34</v>
      </c>
      <c r="D4789" s="5" t="s">
        <v>4775</v>
      </c>
      <c r="E4789" s="5" t="s">
        <v>31623</v>
      </c>
      <c r="F4789" s="5" t="s">
        <v>72</v>
      </c>
      <c r="G4789" s="5" t="s">
        <v>31624</v>
      </c>
      <c r="H4789" s="6" t="s">
        <v>31625</v>
      </c>
      <c r="K4789" s="5" t="s">
        <v>31619</v>
      </c>
      <c r="M4789" s="5" t="s">
        <v>31626</v>
      </c>
      <c r="N4789" s="7" t="s">
        <v>31627</v>
      </c>
      <c r="O4789" s="8" t="str">
        <f>HYPERLINK("https://drive.google.com/file/d/1Nb_iICKJNGbRrUujG8RDeRxzmmnoIY8p/view?usp=drivesdk","4788_MOCHAMMAD FUADZ UZYAIR _ SERTIFIKAT BerAKHLAK")</f>
        <v>4788_MOCHAMMAD FUADZ UZYAIR _ SERTIFIKAT BerAKHLAK</v>
      </c>
      <c r="P4789" s="5" t="s">
        <v>31622</v>
      </c>
    </row>
    <row r="4790">
      <c r="A4790" s="4">
        <v>45534.35435238426</v>
      </c>
      <c r="B4790" s="5" t="s">
        <v>34</v>
      </c>
      <c r="D4790" s="5" t="s">
        <v>1206</v>
      </c>
      <c r="E4790" s="5" t="s">
        <v>31628</v>
      </c>
      <c r="F4790" s="5" t="s">
        <v>212</v>
      </c>
      <c r="G4790" s="5" t="s">
        <v>31629</v>
      </c>
      <c r="H4790" s="6" t="s">
        <v>31630</v>
      </c>
      <c r="K4790" s="5" t="s">
        <v>31619</v>
      </c>
      <c r="M4790" s="5" t="s">
        <v>31631</v>
      </c>
      <c r="N4790" s="7" t="s">
        <v>31632</v>
      </c>
      <c r="O4790" s="8" t="str">
        <f>HYPERLINK("https://drive.google.com/file/d/153GlSs65DSwFjLHNLycpJeS5GEfSa-RE/view?usp=drivesdk","4789_TRI MURTI _ SERTIFIKAT BerAKHLAK")</f>
        <v>4789_TRI MURTI _ SERTIFIKAT BerAKHLAK</v>
      </c>
      <c r="P4790" s="5" t="s">
        <v>31622</v>
      </c>
    </row>
    <row r="4791" hidden="1">
      <c r="A4791" s="4">
        <v>45534.3543637963</v>
      </c>
      <c r="B4791" s="5" t="s">
        <v>19</v>
      </c>
      <c r="C4791" s="5" t="s">
        <v>3301</v>
      </c>
      <c r="E4791" s="5" t="s">
        <v>31633</v>
      </c>
      <c r="F4791" s="5" t="s">
        <v>524</v>
      </c>
      <c r="G4791" s="5" t="s">
        <v>31634</v>
      </c>
      <c r="H4791" s="6" t="s">
        <v>31635</v>
      </c>
      <c r="K4791" s="5" t="s">
        <v>31636</v>
      </c>
      <c r="M4791" s="5" t="s">
        <v>31637</v>
      </c>
      <c r="N4791" s="7" t="s">
        <v>31638</v>
      </c>
      <c r="O4791" s="8" t="str">
        <f>HYPERLINK("https://drive.google.com/file/d/12TF78Ay9_9bosPQ2y9HHImqaqIRPW7df/view?usp=drivesdk","4790_SUHERNI _ SERTIFIKAT BerAKHLAK")</f>
        <v>4790_SUHERNI _ SERTIFIKAT BerAKHLAK</v>
      </c>
      <c r="P4791" s="5" t="s">
        <v>31622</v>
      </c>
    </row>
    <row r="4792">
      <c r="A4792" s="4">
        <v>45534.35436482639</v>
      </c>
      <c r="B4792" s="5" t="s">
        <v>34</v>
      </c>
      <c r="D4792" s="5" t="s">
        <v>4775</v>
      </c>
      <c r="E4792" s="5" t="s">
        <v>31639</v>
      </c>
      <c r="F4792" s="5" t="s">
        <v>108</v>
      </c>
      <c r="G4792" s="5" t="s">
        <v>31640</v>
      </c>
      <c r="H4792" s="6" t="s">
        <v>31641</v>
      </c>
      <c r="K4792" s="5" t="s">
        <v>31636</v>
      </c>
      <c r="M4792" s="5" t="s">
        <v>31642</v>
      </c>
      <c r="N4792" s="7" t="s">
        <v>31643</v>
      </c>
      <c r="O4792" s="8" t="str">
        <f>HYPERLINK("https://drive.google.com/file/d/12IJC-Kl_ya16Xw5inxeKFKUEv_MCUZcW/view?usp=drivesdk","4791_KRISWAHYONO _ SERTIFIKAT BerAKHLAK")</f>
        <v>4791_KRISWAHYONO _ SERTIFIKAT BerAKHLAK</v>
      </c>
      <c r="P4792" s="5" t="s">
        <v>31644</v>
      </c>
    </row>
    <row r="4793">
      <c r="A4793" s="4">
        <v>45534.35436520833</v>
      </c>
      <c r="B4793" s="5" t="s">
        <v>34</v>
      </c>
      <c r="D4793" s="5" t="s">
        <v>1206</v>
      </c>
      <c r="E4793" s="5" t="s">
        <v>31645</v>
      </c>
      <c r="F4793" s="5" t="s">
        <v>212</v>
      </c>
      <c r="G4793" s="5" t="s">
        <v>31646</v>
      </c>
      <c r="H4793" s="6" t="s">
        <v>31647</v>
      </c>
      <c r="K4793" s="5" t="s">
        <v>31636</v>
      </c>
      <c r="M4793" s="5" t="s">
        <v>31648</v>
      </c>
      <c r="N4793" s="7" t="s">
        <v>31649</v>
      </c>
      <c r="O4793" s="8" t="str">
        <f>HYPERLINK("https://drive.google.com/file/d/1CM5o0Gt00UKEh6mhjZ9-8_LpfFwqW6SL/view?usp=drivesdk","4792_YONNY ARIYANTO  _ SERTIFIKAT BerAKHLAK")</f>
        <v>4792_YONNY ARIYANTO  _ SERTIFIKAT BerAKHLAK</v>
      </c>
      <c r="P4793" s="5" t="s">
        <v>31644</v>
      </c>
    </row>
    <row r="4794">
      <c r="A4794" s="4">
        <v>45534.354371759255</v>
      </c>
      <c r="B4794" s="5" t="s">
        <v>34</v>
      </c>
      <c r="D4794" s="5" t="s">
        <v>1456</v>
      </c>
      <c r="E4794" s="5" t="s">
        <v>31650</v>
      </c>
      <c r="F4794" s="5" t="s">
        <v>212</v>
      </c>
      <c r="G4794" s="5" t="s">
        <v>31651</v>
      </c>
      <c r="H4794" s="6" t="s">
        <v>31652</v>
      </c>
      <c r="K4794" s="5" t="s">
        <v>31636</v>
      </c>
      <c r="M4794" s="5" t="s">
        <v>31653</v>
      </c>
      <c r="N4794" s="7" t="s">
        <v>31654</v>
      </c>
      <c r="O4794" s="8" t="str">
        <f>HYPERLINK("https://drive.google.com/file/d/1oM0sxX-ha0GqdF7YWhyyv5H087FNf2L3/view?usp=drivesdk","4793_TUTI AWALIYAH _ SERTIFIKAT BerAKHLAK")</f>
        <v>4793_TUTI AWALIYAH _ SERTIFIKAT BerAKHLAK</v>
      </c>
      <c r="P4794" s="5" t="s">
        <v>31644</v>
      </c>
    </row>
    <row r="4795">
      <c r="A4795" s="4">
        <v>45534.35437295139</v>
      </c>
      <c r="B4795" s="5" t="s">
        <v>34</v>
      </c>
      <c r="D4795" s="5" t="s">
        <v>35</v>
      </c>
      <c r="E4795" s="5" t="s">
        <v>31655</v>
      </c>
      <c r="F4795" s="5" t="s">
        <v>37</v>
      </c>
      <c r="G4795" s="5" t="s">
        <v>31656</v>
      </c>
      <c r="H4795" s="6" t="s">
        <v>31657</v>
      </c>
      <c r="K4795" s="5" t="s">
        <v>31636</v>
      </c>
      <c r="M4795" s="5" t="s">
        <v>31658</v>
      </c>
      <c r="N4795" s="7" t="s">
        <v>31659</v>
      </c>
      <c r="O4795" s="8" t="str">
        <f>HYPERLINK("https://drive.google.com/file/d/1siAb7KLpNY-0d9jaHYawoufQx6AswtuE/view?usp=drivesdk","4794_AGUNG ADRIANA FIRDAUS, A.Md.Kep. _ SERTIFIKAT BerAKHLAK")</f>
        <v>4794_AGUNG ADRIANA FIRDAUS, A.Md.Kep. _ SERTIFIKAT BerAKHLAK</v>
      </c>
      <c r="P4795" s="5" t="s">
        <v>31660</v>
      </c>
    </row>
    <row r="4796">
      <c r="A4796" s="4">
        <v>45534.35437545139</v>
      </c>
      <c r="B4796" s="5" t="s">
        <v>34</v>
      </c>
      <c r="D4796" s="5" t="s">
        <v>7858</v>
      </c>
      <c r="E4796" s="5" t="s">
        <v>19603</v>
      </c>
      <c r="F4796" s="5" t="s">
        <v>212</v>
      </c>
      <c r="G4796" s="5" t="s">
        <v>31661</v>
      </c>
      <c r="H4796" s="6" t="s">
        <v>31662</v>
      </c>
      <c r="K4796" s="5" t="s">
        <v>31636</v>
      </c>
      <c r="M4796" s="5" t="s">
        <v>31663</v>
      </c>
      <c r="N4796" s="7" t="s">
        <v>31664</v>
      </c>
      <c r="O4796" s="8" t="str">
        <f>HYPERLINK("https://drive.google.com/file/d/1CTZqsTyf-oU84_kvzvLjun7DEa3a-37I/view?usp=drivesdk","4795_ERNAWATI _ SERTIFIKAT BerAKHLAK")</f>
        <v>4795_ERNAWATI _ SERTIFIKAT BerAKHLAK</v>
      </c>
      <c r="P4796" s="5" t="s">
        <v>31660</v>
      </c>
    </row>
    <row r="4797">
      <c r="A4797" s="4">
        <v>45534.35437556713</v>
      </c>
      <c r="B4797" s="5" t="s">
        <v>34</v>
      </c>
      <c r="D4797" s="5" t="s">
        <v>1206</v>
      </c>
      <c r="E4797" s="5" t="s">
        <v>31665</v>
      </c>
      <c r="F4797" s="5" t="s">
        <v>108</v>
      </c>
      <c r="G4797" s="5" t="s">
        <v>31666</v>
      </c>
      <c r="H4797" s="6" t="s">
        <v>31667</v>
      </c>
      <c r="K4797" s="5" t="s">
        <v>31636</v>
      </c>
      <c r="M4797" s="5" t="s">
        <v>31668</v>
      </c>
      <c r="N4797" s="7" t="s">
        <v>31669</v>
      </c>
      <c r="O4797" s="8" t="str">
        <f>HYPERLINK("https://drive.google.com/file/d/1ht8OSnaQd7aYax8j-tJFK0_azkcBf6GD/view?usp=drivesdk","4796_DWIKA YUHANA INDRAWATI, Amd.Keb, S.M _ SERTIFIKAT BerAKHLAK")</f>
        <v>4796_DWIKA YUHANA INDRAWATI, Amd.Keb, S.M _ SERTIFIKAT BerAKHLAK</v>
      </c>
      <c r="P4797" s="5" t="s">
        <v>31660</v>
      </c>
    </row>
    <row r="4798">
      <c r="A4798" s="4">
        <v>45534.3543812037</v>
      </c>
      <c r="B4798" s="5" t="s">
        <v>34</v>
      </c>
      <c r="D4798" s="5" t="s">
        <v>4775</v>
      </c>
      <c r="E4798" s="5" t="s">
        <v>31670</v>
      </c>
      <c r="F4798" s="5" t="s">
        <v>72</v>
      </c>
      <c r="G4798" s="5" t="s">
        <v>31671</v>
      </c>
      <c r="H4798" s="6" t="s">
        <v>31672</v>
      </c>
      <c r="K4798" s="5" t="s">
        <v>31636</v>
      </c>
      <c r="M4798" s="5" t="s">
        <v>31673</v>
      </c>
      <c r="N4798" s="7" t="s">
        <v>31674</v>
      </c>
      <c r="O4798" s="8" t="str">
        <f>HYPERLINK("https://drive.google.com/file/d/1aAIox8yt7otXYvvked3PiB55_aIxBQlV/view?usp=drivesdk","4797_ARMARIYA ROSANA _ SERTIFIKAT BerAKHLAK")</f>
        <v>4797_ARMARIYA ROSANA _ SERTIFIKAT BerAKHLAK</v>
      </c>
      <c r="P4798" s="5" t="s">
        <v>31660</v>
      </c>
    </row>
    <row r="4799">
      <c r="A4799" s="4">
        <v>45534.35438784723</v>
      </c>
      <c r="B4799" s="5" t="s">
        <v>34</v>
      </c>
      <c r="D4799" s="5" t="s">
        <v>10444</v>
      </c>
      <c r="E4799" s="5" t="s">
        <v>31675</v>
      </c>
      <c r="F4799" s="5" t="s">
        <v>37</v>
      </c>
      <c r="G4799" s="5" t="s">
        <v>31676</v>
      </c>
      <c r="H4799" s="6" t="s">
        <v>31677</v>
      </c>
      <c r="K4799" s="5" t="s">
        <v>31636</v>
      </c>
      <c r="M4799" s="5" t="s">
        <v>31678</v>
      </c>
      <c r="N4799" s="7" t="s">
        <v>31679</v>
      </c>
      <c r="O4799" s="8" t="str">
        <f>HYPERLINK("https://drive.google.com/file/d/1gXtjiKWysgSOxS1sVeOU5kPI5y1IcsOV/view?usp=drivesdk","4798_NADHEA YULI SURYANTARI, A.MD.KOM _ SERTIFIKAT BerAKHLAK")</f>
        <v>4798_NADHEA YULI SURYANTARI, A.MD.KOM _ SERTIFIKAT BerAKHLAK</v>
      </c>
      <c r="P4799" s="5" t="s">
        <v>31680</v>
      </c>
    </row>
    <row r="4800">
      <c r="A4800" s="4">
        <v>45534.354389409724</v>
      </c>
      <c r="B4800" s="5" t="s">
        <v>34</v>
      </c>
      <c r="D4800" s="5" t="s">
        <v>6232</v>
      </c>
      <c r="E4800" s="5" t="s">
        <v>31681</v>
      </c>
      <c r="F4800" s="5" t="s">
        <v>120</v>
      </c>
      <c r="G4800" s="5" t="s">
        <v>31682</v>
      </c>
      <c r="H4800" s="6" t="s">
        <v>31683</v>
      </c>
      <c r="K4800" s="5" t="s">
        <v>31636</v>
      </c>
      <c r="M4800" s="5" t="s">
        <v>31684</v>
      </c>
      <c r="N4800" s="7" t="s">
        <v>31685</v>
      </c>
      <c r="O4800" s="8" t="str">
        <f>HYPERLINK("https://drive.google.com/file/d/1QjZhW9pP4ep9W38yP5GP3goLB9MraaTX/view?usp=drivesdk","4799_YURNALIS, S.E., M.E. _ SERTIFIKAT BerAKHLAK")</f>
        <v>4799_YURNALIS, S.E., M.E. _ SERTIFIKAT BerAKHLAK</v>
      </c>
      <c r="P4800" s="5" t="s">
        <v>31680</v>
      </c>
    </row>
    <row r="4801">
      <c r="A4801" s="4">
        <v>45534.35439245371</v>
      </c>
      <c r="B4801" s="5" t="s">
        <v>34</v>
      </c>
      <c r="D4801" s="5" t="s">
        <v>14424</v>
      </c>
      <c r="E4801" s="5" t="s">
        <v>26403</v>
      </c>
      <c r="F4801" s="5" t="s">
        <v>375</v>
      </c>
      <c r="G4801" s="5" t="s">
        <v>31686</v>
      </c>
      <c r="H4801" s="6" t="s">
        <v>31687</v>
      </c>
      <c r="K4801" s="5" t="s">
        <v>31636</v>
      </c>
      <c r="M4801" s="5" t="s">
        <v>31688</v>
      </c>
      <c r="N4801" s="7" t="s">
        <v>31689</v>
      </c>
      <c r="O4801" s="8" t="str">
        <f>HYPERLINK("https://drive.google.com/file/d/1Snxmh8BayedFa137JK_oTcTHTsTyzLy2/view?usp=drivesdk","4800_MULIADI _ SERTIFIKAT BerAKHLAK")</f>
        <v>4800_MULIADI _ SERTIFIKAT BerAKHLAK</v>
      </c>
      <c r="P4801" s="5" t="s">
        <v>31680</v>
      </c>
    </row>
    <row r="4802">
      <c r="A4802" s="4">
        <v>45534.35439434028</v>
      </c>
      <c r="B4802" s="5" t="s">
        <v>34</v>
      </c>
      <c r="D4802" s="5" t="s">
        <v>12010</v>
      </c>
      <c r="E4802" s="5" t="s">
        <v>31690</v>
      </c>
      <c r="F4802" s="5" t="s">
        <v>524</v>
      </c>
      <c r="G4802" s="5" t="s">
        <v>31691</v>
      </c>
      <c r="H4802" s="6" t="s">
        <v>31692</v>
      </c>
      <c r="K4802" s="5" t="s">
        <v>31636</v>
      </c>
      <c r="M4802" s="5" t="s">
        <v>31693</v>
      </c>
      <c r="N4802" s="7" t="s">
        <v>31694</v>
      </c>
      <c r="O4802" s="8" t="str">
        <f>HYPERLINK("https://drive.google.com/file/d/1vjhy9oDfxivvepkIvHFNL7Afhsi1gqx8/view?usp=drivesdk","4801_IDRIS A DANGKUA _ SERTIFIKAT BerAKHLAK")</f>
        <v>4801_IDRIS A DANGKUA _ SERTIFIKAT BerAKHLAK</v>
      </c>
      <c r="P4802" s="5" t="s">
        <v>31680</v>
      </c>
    </row>
    <row r="4803" hidden="1">
      <c r="A4803" s="4">
        <v>45534.35439965277</v>
      </c>
      <c r="B4803" s="5" t="s">
        <v>19</v>
      </c>
      <c r="C4803" s="5" t="s">
        <v>292</v>
      </c>
      <c r="E4803" s="5" t="s">
        <v>31695</v>
      </c>
      <c r="F4803" s="5" t="s">
        <v>37</v>
      </c>
      <c r="G4803" s="5" t="s">
        <v>31696</v>
      </c>
      <c r="H4803" s="6" t="s">
        <v>31697</v>
      </c>
      <c r="K4803" s="5" t="s">
        <v>31636</v>
      </c>
      <c r="M4803" s="5" t="s">
        <v>31698</v>
      </c>
      <c r="N4803" s="7" t="s">
        <v>31699</v>
      </c>
      <c r="O4803" s="8" t="str">
        <f>HYPERLINK("https://drive.google.com/file/d/15k7_5kpTRLK_vel9sm77z63DdxhdssXP/view?usp=drivesdk","4802_PRAMA SHINTA KIKIM LITUNESIA, AMK _ SERTIFIKAT BerAKHLAK")</f>
        <v>4802_PRAMA SHINTA KIKIM LITUNESIA, AMK _ SERTIFIKAT BerAKHLAK</v>
      </c>
      <c r="P4803" s="5" t="s">
        <v>31680</v>
      </c>
    </row>
    <row r="4804">
      <c r="A4804" s="4">
        <v>45534.35440306713</v>
      </c>
      <c r="B4804" s="5" t="s">
        <v>34</v>
      </c>
      <c r="D4804" s="5" t="s">
        <v>2903</v>
      </c>
      <c r="E4804" s="5" t="s">
        <v>31700</v>
      </c>
      <c r="F4804" s="5" t="s">
        <v>199</v>
      </c>
      <c r="G4804" s="5" t="s">
        <v>31701</v>
      </c>
      <c r="H4804" s="6" t="s">
        <v>31702</v>
      </c>
      <c r="K4804" s="5" t="s">
        <v>31636</v>
      </c>
      <c r="M4804" s="5" t="s">
        <v>31703</v>
      </c>
      <c r="N4804" s="7" t="s">
        <v>31704</v>
      </c>
      <c r="O4804" s="8" t="str">
        <f>HYPERLINK("https://drive.google.com/file/d/1760XGPCPVjm1RTzWVzNXHSPvSe6xwelQ/view?usp=drivesdk","4803_DEMI ZULIANA _ SERTIFIKAT BerAKHLAK")</f>
        <v>4803_DEMI ZULIANA _ SERTIFIKAT BerAKHLAK</v>
      </c>
      <c r="P4804" s="5" t="s">
        <v>31705</v>
      </c>
    </row>
    <row r="4805">
      <c r="A4805" s="4">
        <v>45534.3544036574</v>
      </c>
      <c r="B4805" s="5" t="s">
        <v>34</v>
      </c>
      <c r="D4805" s="5" t="s">
        <v>604</v>
      </c>
      <c r="E4805" s="5" t="s">
        <v>31706</v>
      </c>
      <c r="F4805" s="5" t="s">
        <v>715</v>
      </c>
      <c r="G4805" s="5" t="s">
        <v>31707</v>
      </c>
      <c r="H4805" s="6" t="s">
        <v>31708</v>
      </c>
      <c r="K4805" s="5" t="s">
        <v>31636</v>
      </c>
      <c r="M4805" s="5" t="s">
        <v>31709</v>
      </c>
      <c r="N4805" s="7" t="s">
        <v>31710</v>
      </c>
      <c r="O4805" s="8" t="str">
        <f>HYPERLINK("https://drive.google.com/file/d/1O_FgiAaR6IhpTNUiShj1GDGI0kND_FGQ/view?usp=drivesdk","4804_Talbiah umroh Amd.Rad _ SERTIFIKAT BerAKHLAK")</f>
        <v>4804_Talbiah umroh Amd.Rad _ SERTIFIKAT BerAKHLAK</v>
      </c>
      <c r="P4805" s="5" t="s">
        <v>31705</v>
      </c>
    </row>
    <row r="4806">
      <c r="A4806" s="4">
        <v>45534.35440923611</v>
      </c>
      <c r="B4806" s="5" t="s">
        <v>34</v>
      </c>
      <c r="D4806" s="5" t="s">
        <v>35</v>
      </c>
      <c r="E4806" s="5" t="s">
        <v>31711</v>
      </c>
      <c r="F4806" s="5" t="s">
        <v>524</v>
      </c>
      <c r="G4806" s="5" t="s">
        <v>31712</v>
      </c>
      <c r="H4806" s="6" t="s">
        <v>31713</v>
      </c>
      <c r="K4806" s="5" t="s">
        <v>31636</v>
      </c>
      <c r="M4806" s="5" t="s">
        <v>31714</v>
      </c>
      <c r="N4806" s="7" t="s">
        <v>31715</v>
      </c>
      <c r="O4806" s="8" t="str">
        <f>HYPERLINK("https://drive.google.com/file/d/1lm35nHyd-Hwh_BvtrRvtawA6NoN9YKjp/view?usp=drivesdk","4805_SUBAIDAH, S.K.M.,M.H _ SERTIFIKAT BerAKHLAK")</f>
        <v>4805_SUBAIDAH, S.K.M.,M.H _ SERTIFIKAT BerAKHLAK</v>
      </c>
      <c r="P4806" s="5" t="s">
        <v>31705</v>
      </c>
    </row>
    <row r="4807">
      <c r="A4807" s="4">
        <v>45534.3544099537</v>
      </c>
      <c r="B4807" s="5" t="s">
        <v>34</v>
      </c>
      <c r="D4807" s="5" t="s">
        <v>9020</v>
      </c>
      <c r="E4807" s="5" t="s">
        <v>31716</v>
      </c>
      <c r="F4807" s="5" t="s">
        <v>524</v>
      </c>
      <c r="G4807" s="5" t="s">
        <v>31717</v>
      </c>
      <c r="H4807" s="6" t="s">
        <v>31718</v>
      </c>
      <c r="K4807" s="5" t="s">
        <v>31636</v>
      </c>
      <c r="M4807" s="5" t="s">
        <v>31719</v>
      </c>
      <c r="N4807" s="7" t="s">
        <v>31720</v>
      </c>
      <c r="O4807" s="8" t="str">
        <f>HYPERLINK("https://drive.google.com/file/d/1NJtMWNVzdtFwBnNxYk-EU10ZjTzcWpcX/view?usp=drivesdk","4806_MINAR SINAGA _ SERTIFIKAT BerAKHLAK")</f>
        <v>4806_MINAR SINAGA _ SERTIFIKAT BerAKHLAK</v>
      </c>
      <c r="P4807" s="5" t="s">
        <v>31705</v>
      </c>
    </row>
    <row r="4808">
      <c r="A4808" s="4">
        <v>45534.35441111111</v>
      </c>
      <c r="B4808" s="5" t="s">
        <v>34</v>
      </c>
      <c r="D4808" s="5" t="s">
        <v>35</v>
      </c>
      <c r="E4808" s="5" t="s">
        <v>31721</v>
      </c>
      <c r="F4808" s="5" t="s">
        <v>524</v>
      </c>
      <c r="G4808" s="5" t="s">
        <v>31722</v>
      </c>
      <c r="H4808" s="6" t="s">
        <v>31723</v>
      </c>
      <c r="K4808" s="5" t="s">
        <v>31636</v>
      </c>
      <c r="M4808" s="5" t="s">
        <v>31724</v>
      </c>
      <c r="N4808" s="7" t="s">
        <v>31725</v>
      </c>
      <c r="O4808" s="8" t="str">
        <f>HYPERLINK("https://drive.google.com/file/d/1QZWJ4_wfKfg6ng5MI8JzQElEtSt00hTO/view?usp=drivesdk","4807_PENDA ERNI _ SERTIFIKAT BerAKHLAK")</f>
        <v>4807_PENDA ERNI _ SERTIFIKAT BerAKHLAK</v>
      </c>
      <c r="P4808" s="5" t="s">
        <v>31705</v>
      </c>
    </row>
    <row r="4809">
      <c r="A4809" s="4">
        <v>45534.35441122685</v>
      </c>
      <c r="B4809" s="5" t="s">
        <v>34</v>
      </c>
      <c r="D4809" s="5" t="s">
        <v>10444</v>
      </c>
      <c r="E4809" s="5" t="s">
        <v>31726</v>
      </c>
      <c r="F4809" s="5" t="s">
        <v>212</v>
      </c>
      <c r="G4809" s="5" t="s">
        <v>31727</v>
      </c>
      <c r="H4809" s="6" t="s">
        <v>31728</v>
      </c>
      <c r="K4809" s="5" t="s">
        <v>31636</v>
      </c>
      <c r="M4809" s="5" t="s">
        <v>31729</v>
      </c>
      <c r="N4809" s="7" t="s">
        <v>31730</v>
      </c>
      <c r="O4809" s="8" t="str">
        <f>HYPERLINK("https://drive.google.com/file/d/13qWl1EIWRcDMCVPkXqwKGgL-7dMBdmAD/view?usp=drivesdk","4808_SEPTIAN MATIUS, A.MD.KEP _ SERTIFIKAT BerAKHLAK")</f>
        <v>4808_SEPTIAN MATIUS, A.MD.KEP _ SERTIFIKAT BerAKHLAK</v>
      </c>
      <c r="P4809" s="5" t="s">
        <v>31731</v>
      </c>
    </row>
    <row r="4810">
      <c r="A4810" s="4">
        <v>45534.354421145836</v>
      </c>
      <c r="B4810" s="5" t="s">
        <v>34</v>
      </c>
      <c r="D4810" s="5" t="s">
        <v>1206</v>
      </c>
      <c r="E4810" s="5" t="s">
        <v>31732</v>
      </c>
      <c r="F4810" s="5" t="s">
        <v>524</v>
      </c>
      <c r="G4810" s="5" t="s">
        <v>31733</v>
      </c>
      <c r="H4810" s="6" t="s">
        <v>31734</v>
      </c>
      <c r="K4810" s="5" t="s">
        <v>31636</v>
      </c>
      <c r="M4810" s="5" t="s">
        <v>31735</v>
      </c>
      <c r="N4810" s="7" t="s">
        <v>31736</v>
      </c>
      <c r="O4810" s="8" t="str">
        <f>HYPERLINK("https://drive.google.com/file/d/1QQKgJYoNLL-OYTPSyCBJXpuR56fTl0XV/view?usp=drivesdk","4809_Dwi Rahayu Wahyuni  _ SERTIFIKAT BerAKHLAK")</f>
        <v>4809_Dwi Rahayu Wahyuni  _ SERTIFIKAT BerAKHLAK</v>
      </c>
      <c r="P4810" s="5" t="s">
        <v>31731</v>
      </c>
    </row>
    <row r="4811">
      <c r="A4811" s="4">
        <v>45534.35442396991</v>
      </c>
      <c r="B4811" s="5" t="s">
        <v>34</v>
      </c>
      <c r="D4811" s="5" t="s">
        <v>35</v>
      </c>
      <c r="E4811" s="5" t="s">
        <v>31737</v>
      </c>
      <c r="F4811" s="5" t="s">
        <v>375</v>
      </c>
      <c r="G4811" s="5" t="s">
        <v>31738</v>
      </c>
      <c r="H4811" s="6" t="s">
        <v>31739</v>
      </c>
      <c r="K4811" s="5" t="s">
        <v>31636</v>
      </c>
      <c r="M4811" s="5" t="s">
        <v>31740</v>
      </c>
      <c r="N4811" s="7" t="s">
        <v>31741</v>
      </c>
      <c r="O4811" s="8" t="str">
        <f>HYPERLINK("https://drive.google.com/file/d/1c8x2E8qGiEcLBNYk23PWnG2upG96aqKE/view?usp=drivesdk","4810_YAYAT HIDAYAT RAHMAT  _ SERTIFIKAT BerAKHLAK")</f>
        <v>4810_YAYAT HIDAYAT RAHMAT  _ SERTIFIKAT BerAKHLAK</v>
      </c>
      <c r="P4811" s="5" t="s">
        <v>31731</v>
      </c>
    </row>
    <row r="4812">
      <c r="A4812" s="4">
        <v>45534.354424571764</v>
      </c>
      <c r="B4812" s="5" t="s">
        <v>34</v>
      </c>
      <c r="D4812" s="5" t="s">
        <v>35</v>
      </c>
      <c r="E4812" s="5" t="s">
        <v>31742</v>
      </c>
      <c r="F4812" s="5" t="s">
        <v>37</v>
      </c>
      <c r="G4812" s="5" t="s">
        <v>31743</v>
      </c>
      <c r="H4812" s="6" t="s">
        <v>31744</v>
      </c>
      <c r="K4812" s="5" t="s">
        <v>31636</v>
      </c>
      <c r="M4812" s="5" t="s">
        <v>31745</v>
      </c>
      <c r="N4812" s="7" t="s">
        <v>31746</v>
      </c>
      <c r="O4812" s="8" t="str">
        <f>HYPERLINK("https://drive.google.com/file/d/1oDWe_gULRiq0LNVf-h5lWfcb1L1MhSqj/view?usp=drivesdk","4811_NOVIA VALUPI SUSANTI  _ SERTIFIKAT BerAKHLAK")</f>
        <v>4811_NOVIA VALUPI SUSANTI  _ SERTIFIKAT BerAKHLAK</v>
      </c>
      <c r="P4812" s="5" t="s">
        <v>31731</v>
      </c>
    </row>
    <row r="4813">
      <c r="A4813" s="4">
        <v>45534.35443989583</v>
      </c>
      <c r="B4813" s="5" t="s">
        <v>34</v>
      </c>
      <c r="D4813" s="5" t="s">
        <v>1206</v>
      </c>
      <c r="E4813" s="5" t="s">
        <v>31747</v>
      </c>
      <c r="F4813" s="5" t="s">
        <v>37</v>
      </c>
      <c r="G4813" s="5" t="s">
        <v>5359</v>
      </c>
      <c r="H4813" s="6" t="s">
        <v>31748</v>
      </c>
      <c r="K4813" s="5" t="s">
        <v>31636</v>
      </c>
      <c r="M4813" s="5" t="s">
        <v>31749</v>
      </c>
      <c r="N4813" s="7" t="s">
        <v>31750</v>
      </c>
      <c r="O4813" s="8" t="str">
        <f>HYPERLINK("https://drive.google.com/file/d/1805FbzvEb8g4lw9bQnMI4FtTnxGafTUB/view?usp=drivesdk","4812_AVIV ACHMAD ROZAQ _ SERTIFIKAT BerAKHLAK")</f>
        <v>4812_AVIV ACHMAD ROZAQ _ SERTIFIKAT BerAKHLAK</v>
      </c>
      <c r="P4813" s="5" t="s">
        <v>31731</v>
      </c>
    </row>
    <row r="4814">
      <c r="A4814" s="4">
        <v>45534.35444394676</v>
      </c>
      <c r="B4814" s="5" t="s">
        <v>34</v>
      </c>
      <c r="D4814" s="5" t="s">
        <v>12978</v>
      </c>
      <c r="E4814" s="5" t="s">
        <v>31751</v>
      </c>
      <c r="F4814" s="5" t="s">
        <v>375</v>
      </c>
      <c r="G4814" s="5" t="s">
        <v>31752</v>
      </c>
      <c r="H4814" s="6" t="s">
        <v>31753</v>
      </c>
      <c r="K4814" s="5" t="s">
        <v>31754</v>
      </c>
      <c r="M4814" s="5" t="s">
        <v>31755</v>
      </c>
      <c r="N4814" s="7" t="s">
        <v>31756</v>
      </c>
      <c r="O4814" s="8" t="str">
        <f>HYPERLINK("https://drive.google.com/file/d/1EZb02hye0sY3RugK4sP7UTuUJrC0xWEL/view?usp=drivesdk","4813_DWI SELVIANY, SKM _ SERTIFIKAT BerAKHLAK")</f>
        <v>4813_DWI SELVIANY, SKM _ SERTIFIKAT BerAKHLAK</v>
      </c>
      <c r="P4814" s="5" t="s">
        <v>31757</v>
      </c>
    </row>
    <row r="4815">
      <c r="A4815" s="4">
        <v>45534.354446157406</v>
      </c>
      <c r="B4815" s="5" t="s">
        <v>34</v>
      </c>
      <c r="D4815" s="5" t="s">
        <v>1206</v>
      </c>
      <c r="E4815" s="5" t="s">
        <v>31758</v>
      </c>
      <c r="F4815" s="5" t="s">
        <v>212</v>
      </c>
      <c r="G4815" s="5" t="s">
        <v>31759</v>
      </c>
      <c r="H4815" s="6" t="s">
        <v>31760</v>
      </c>
      <c r="K4815" s="5" t="s">
        <v>31754</v>
      </c>
      <c r="M4815" s="5" t="s">
        <v>31761</v>
      </c>
      <c r="N4815" s="7" t="s">
        <v>31762</v>
      </c>
      <c r="O4815" s="8" t="str">
        <f>HYPERLINK("https://drive.google.com/file/d/1i0mLZegIlcYFyUrx0qSaa_1FRu6pWFrs/view?usp=drivesdk","4814_IIN INDRAYANI _ SERTIFIKAT BerAKHLAK")</f>
        <v>4814_IIN INDRAYANI _ SERTIFIKAT BerAKHLAK</v>
      </c>
      <c r="P4815" s="5" t="s">
        <v>31757</v>
      </c>
    </row>
    <row r="4816">
      <c r="A4816" s="4">
        <v>45534.354447418984</v>
      </c>
      <c r="B4816" s="5" t="s">
        <v>34</v>
      </c>
      <c r="D4816" s="5" t="s">
        <v>1206</v>
      </c>
      <c r="E4816" s="5" t="s">
        <v>31763</v>
      </c>
      <c r="F4816" s="5" t="s">
        <v>212</v>
      </c>
      <c r="G4816" s="5" t="s">
        <v>31764</v>
      </c>
      <c r="H4816" s="6" t="s">
        <v>31765</v>
      </c>
      <c r="K4816" s="5" t="s">
        <v>31754</v>
      </c>
      <c r="M4816" s="5" t="s">
        <v>31766</v>
      </c>
      <c r="N4816" s="7" t="s">
        <v>31767</v>
      </c>
      <c r="O4816" s="8" t="str">
        <f>HYPERLINK("https://drive.google.com/file/d/11kJ0hw4686PIB9IPtwsq6IospXyC2u1V/view?usp=drivesdk","4815_JOKO SASMITO _ SERTIFIKAT BerAKHLAK")</f>
        <v>4815_JOKO SASMITO _ SERTIFIKAT BerAKHLAK</v>
      </c>
      <c r="P4816" s="5" t="s">
        <v>31757</v>
      </c>
    </row>
    <row r="4817">
      <c r="A4817" s="4">
        <v>45534.35445890046</v>
      </c>
      <c r="B4817" s="5" t="s">
        <v>34</v>
      </c>
      <c r="D4817" s="5" t="s">
        <v>4775</v>
      </c>
      <c r="E4817" s="5" t="s">
        <v>31768</v>
      </c>
      <c r="F4817" s="5" t="s">
        <v>375</v>
      </c>
      <c r="G4817" s="5" t="s">
        <v>31769</v>
      </c>
      <c r="H4817" s="6" t="s">
        <v>31770</v>
      </c>
      <c r="K4817" s="5" t="s">
        <v>31754</v>
      </c>
      <c r="M4817" s="5" t="s">
        <v>31771</v>
      </c>
      <c r="N4817" s="7" t="s">
        <v>31772</v>
      </c>
      <c r="O4817" s="8" t="str">
        <f>HYPERLINK("https://drive.google.com/file/d/1leT7ITpgLrmdFsGtfG1x_VbdBIJsSDfl/view?usp=drivesdk","4816_HAFID ISTOLAH _ SERTIFIKAT BerAKHLAK")</f>
        <v>4816_HAFID ISTOLAH _ SERTIFIKAT BerAKHLAK</v>
      </c>
      <c r="P4817" s="5" t="s">
        <v>31757</v>
      </c>
    </row>
    <row r="4818">
      <c r="A4818" s="4">
        <v>45534.35446097222</v>
      </c>
      <c r="B4818" s="5" t="s">
        <v>34</v>
      </c>
      <c r="D4818" s="5" t="s">
        <v>7858</v>
      </c>
      <c r="E4818" s="5" t="s">
        <v>31773</v>
      </c>
      <c r="F4818" s="5" t="s">
        <v>72</v>
      </c>
      <c r="G4818" s="5" t="s">
        <v>31774</v>
      </c>
      <c r="H4818" s="6" t="s">
        <v>31775</v>
      </c>
      <c r="K4818" s="5" t="s">
        <v>31754</v>
      </c>
      <c r="M4818" s="5" t="s">
        <v>31776</v>
      </c>
      <c r="N4818" s="7" t="s">
        <v>31777</v>
      </c>
      <c r="O4818" s="8" t="str">
        <f>HYPERLINK("https://drive.google.com/file/d/1yIqeWMR5dKQ1Cvzh50V0wWbBN4gI9S4N/view?usp=drivesdk","4817_NURHANJAS TRI WAHYUNI, S.H. _ SERTIFIKAT BerAKHLAK")</f>
        <v>4817_NURHANJAS TRI WAHYUNI, S.H. _ SERTIFIKAT BerAKHLAK</v>
      </c>
      <c r="P4818" s="5" t="s">
        <v>31757</v>
      </c>
    </row>
    <row r="4819">
      <c r="A4819" s="4">
        <v>45534.35446174769</v>
      </c>
      <c r="B4819" s="5" t="s">
        <v>34</v>
      </c>
      <c r="D4819" s="5" t="s">
        <v>1206</v>
      </c>
      <c r="E4819" s="5" t="s">
        <v>31778</v>
      </c>
      <c r="F4819" s="5" t="s">
        <v>72</v>
      </c>
      <c r="G4819" s="5" t="s">
        <v>31779</v>
      </c>
      <c r="H4819" s="6" t="s">
        <v>31780</v>
      </c>
      <c r="K4819" s="5" t="s">
        <v>31754</v>
      </c>
      <c r="M4819" s="5" t="s">
        <v>31781</v>
      </c>
      <c r="N4819" s="7" t="s">
        <v>31782</v>
      </c>
      <c r="O4819" s="8" t="str">
        <f>HYPERLINK("https://drive.google.com/file/d/15scY8qPQzsGZgHuDtjK1b-FPtxS4eSBs/view?usp=drivesdk","4818_Bahrudin, AmdKep _ SERTIFIKAT BerAKHLAK")</f>
        <v>4818_Bahrudin, AmdKep _ SERTIFIKAT BerAKHLAK</v>
      </c>
      <c r="P4819" s="5" t="s">
        <v>31783</v>
      </c>
    </row>
    <row r="4820">
      <c r="A4820" s="4">
        <v>45534.3544666088</v>
      </c>
      <c r="B4820" s="5" t="s">
        <v>34</v>
      </c>
      <c r="D4820" s="5" t="s">
        <v>35</v>
      </c>
      <c r="E4820" s="5" t="s">
        <v>31784</v>
      </c>
      <c r="F4820" s="5" t="s">
        <v>212</v>
      </c>
      <c r="G4820" s="5" t="s">
        <v>31785</v>
      </c>
      <c r="H4820" s="6" t="s">
        <v>31786</v>
      </c>
      <c r="K4820" s="5" t="s">
        <v>31754</v>
      </c>
      <c r="M4820" s="5" t="s">
        <v>31787</v>
      </c>
      <c r="N4820" s="7" t="s">
        <v>31788</v>
      </c>
      <c r="O4820" s="8" t="str">
        <f>HYPERLINK("https://drive.google.com/file/d/1OLUCJaLyuJUHB-Lm0memLsTOq3STD_Bv/view?usp=drivesdk","4819_DWI YEDI SUPRIATNO _ SERTIFIKAT BerAKHLAK")</f>
        <v>4819_DWI YEDI SUPRIATNO _ SERTIFIKAT BerAKHLAK</v>
      </c>
      <c r="P4820" s="5" t="s">
        <v>31783</v>
      </c>
    </row>
    <row r="4821">
      <c r="A4821" s="4">
        <v>45534.354469247686</v>
      </c>
      <c r="B4821" s="5" t="s">
        <v>34</v>
      </c>
      <c r="D4821" s="5" t="s">
        <v>996</v>
      </c>
      <c r="E4821" s="5" t="s">
        <v>31789</v>
      </c>
      <c r="F4821" s="5" t="s">
        <v>37</v>
      </c>
      <c r="G4821" s="5" t="s">
        <v>31790</v>
      </c>
      <c r="H4821" s="6" t="s">
        <v>31791</v>
      </c>
      <c r="K4821" s="5" t="s">
        <v>31754</v>
      </c>
      <c r="M4821" s="5" t="s">
        <v>31792</v>
      </c>
      <c r="N4821" s="7" t="s">
        <v>31793</v>
      </c>
      <c r="O4821" s="8" t="str">
        <f>HYPERLINK("https://drive.google.com/file/d/1dvU0ZSk9DRXE7bnNiu83OlFuDz9xQuQn/view?usp=drivesdk","4820_SITI NOOR HIDAYATI, S.E. _ SERTIFIKAT BerAKHLAK")</f>
        <v>4820_SITI NOOR HIDAYATI, S.E. _ SERTIFIKAT BerAKHLAK</v>
      </c>
      <c r="P4821" s="5" t="s">
        <v>31783</v>
      </c>
    </row>
    <row r="4822">
      <c r="A4822" s="4">
        <v>45534.35447716435</v>
      </c>
      <c r="B4822" s="5" t="s">
        <v>34</v>
      </c>
      <c r="D4822" s="5" t="s">
        <v>35</v>
      </c>
      <c r="E4822" s="5" t="s">
        <v>31794</v>
      </c>
      <c r="F4822" s="5" t="s">
        <v>37</v>
      </c>
      <c r="G4822" s="5" t="s">
        <v>31795</v>
      </c>
      <c r="H4822" s="6" t="s">
        <v>31796</v>
      </c>
      <c r="K4822" s="5" t="s">
        <v>31797</v>
      </c>
      <c r="M4822" s="5" t="s">
        <v>31798</v>
      </c>
      <c r="N4822" s="7" t="s">
        <v>31799</v>
      </c>
      <c r="O4822" s="8" t="str">
        <f>HYPERLINK("https://drive.google.com/file/d/1R38z4Dfci2LsZuwdM3zmk9773eSsqpyG/view?usp=drivesdk","4821_YOCKIE NURAFNI _ SERTIFIKAT BerAKHLAK")</f>
        <v>4821_YOCKIE NURAFNI _ SERTIFIKAT BerAKHLAK</v>
      </c>
      <c r="P4822" s="5" t="s">
        <v>31800</v>
      </c>
    </row>
    <row r="4823">
      <c r="A4823" s="4">
        <v>45534.35447722222</v>
      </c>
      <c r="B4823" s="5" t="s">
        <v>34</v>
      </c>
      <c r="D4823" s="5" t="s">
        <v>4775</v>
      </c>
      <c r="E4823" s="5" t="s">
        <v>31801</v>
      </c>
      <c r="F4823" s="5" t="s">
        <v>37</v>
      </c>
      <c r="G4823" s="5" t="s">
        <v>31802</v>
      </c>
      <c r="H4823" s="6" t="s">
        <v>31803</v>
      </c>
      <c r="K4823" s="5" t="s">
        <v>31797</v>
      </c>
      <c r="M4823" s="5" t="s">
        <v>31804</v>
      </c>
      <c r="N4823" s="7" t="s">
        <v>31805</v>
      </c>
      <c r="O4823" s="8" t="str">
        <f>HYPERLINK("https://drive.google.com/file/d/1YenHhmZWk-haAcK499VyXUEw5RIABveO/view?usp=drivesdk","4822_SUWARTO,S.KOM _ SERTIFIKAT BerAKHLAK")</f>
        <v>4822_SUWARTO,S.KOM _ SERTIFIKAT BerAKHLAK</v>
      </c>
      <c r="P4823" s="5" t="s">
        <v>31800</v>
      </c>
    </row>
    <row r="4824">
      <c r="A4824" s="4">
        <v>45534.35447975695</v>
      </c>
      <c r="B4824" s="5" t="s">
        <v>34</v>
      </c>
      <c r="D4824" s="5" t="s">
        <v>12010</v>
      </c>
      <c r="E4824" s="5" t="s">
        <v>31806</v>
      </c>
      <c r="F4824" s="5" t="s">
        <v>715</v>
      </c>
      <c r="G4824" s="5" t="s">
        <v>31807</v>
      </c>
      <c r="H4824" s="6" t="s">
        <v>31808</v>
      </c>
      <c r="K4824" s="5" t="s">
        <v>31797</v>
      </c>
      <c r="M4824" s="5" t="s">
        <v>31809</v>
      </c>
      <c r="N4824" s="7" t="s">
        <v>31810</v>
      </c>
      <c r="O4824" s="8" t="str">
        <f>HYPERLINK("https://drive.google.com/file/d/1GHRpCqWNloIqwUsSoWaj37BoIc_FJWJq/view?usp=drivesdk","4823_FELNY IGIRISA,S.SI _ SERTIFIKAT BerAKHLAK")</f>
        <v>4823_FELNY IGIRISA,S.SI _ SERTIFIKAT BerAKHLAK</v>
      </c>
      <c r="P4824" s="5" t="s">
        <v>31800</v>
      </c>
    </row>
    <row r="4825">
      <c r="A4825" s="4">
        <v>45534.35448384259</v>
      </c>
      <c r="B4825" s="5" t="s">
        <v>34</v>
      </c>
      <c r="D4825" s="5" t="s">
        <v>580</v>
      </c>
      <c r="E4825" s="5" t="s">
        <v>31811</v>
      </c>
      <c r="F4825" s="5" t="s">
        <v>715</v>
      </c>
      <c r="G4825" s="5" t="s">
        <v>31812</v>
      </c>
      <c r="H4825" s="6" t="s">
        <v>31813</v>
      </c>
      <c r="K4825" s="5" t="s">
        <v>31797</v>
      </c>
      <c r="M4825" s="5" t="s">
        <v>31814</v>
      </c>
      <c r="N4825" s="7" t="s">
        <v>31815</v>
      </c>
      <c r="O4825" s="8" t="str">
        <f>HYPERLINK("https://drive.google.com/file/d/14RC4bibYb6FF-4hUBdCwdGQOZf7drj3l/view?usp=drivesdk","4824_I GEDE WINANTARA, S.E. _ SERTIFIKAT BerAKHLAK")</f>
        <v>4824_I GEDE WINANTARA, S.E. _ SERTIFIKAT BerAKHLAK</v>
      </c>
      <c r="P4825" s="5" t="s">
        <v>31800</v>
      </c>
    </row>
    <row r="4826">
      <c r="A4826" s="4">
        <v>45534.35449489583</v>
      </c>
      <c r="B4826" s="5" t="s">
        <v>34</v>
      </c>
      <c r="D4826" s="5" t="s">
        <v>267</v>
      </c>
      <c r="E4826" s="5" t="s">
        <v>31816</v>
      </c>
      <c r="F4826" s="5" t="s">
        <v>72</v>
      </c>
      <c r="G4826" s="5" t="s">
        <v>31817</v>
      </c>
      <c r="H4826" s="6" t="s">
        <v>31818</v>
      </c>
      <c r="K4826" s="5" t="s">
        <v>31797</v>
      </c>
      <c r="M4826" s="5" t="s">
        <v>31819</v>
      </c>
      <c r="N4826" s="7" t="s">
        <v>31820</v>
      </c>
      <c r="O4826" s="8" t="str">
        <f>HYPERLINK("https://drive.google.com/file/d/1q-p0_khPL9Ivq-h7qeQY4zON1oR8d6vG/view?usp=drivesdk","4825_LUKAS EDWIN YUNIARKA _ SERTIFIKAT BerAKHLAK")</f>
        <v>4825_LUKAS EDWIN YUNIARKA _ SERTIFIKAT BerAKHLAK</v>
      </c>
      <c r="P4826" s="5" t="s">
        <v>31800</v>
      </c>
    </row>
    <row r="4827">
      <c r="A4827" s="4">
        <v>45534.35451275463</v>
      </c>
      <c r="B4827" s="5" t="s">
        <v>34</v>
      </c>
      <c r="D4827" s="5" t="s">
        <v>6232</v>
      </c>
      <c r="E4827" s="5" t="s">
        <v>31821</v>
      </c>
      <c r="F4827" s="5" t="s">
        <v>37</v>
      </c>
      <c r="G4827" s="5" t="s">
        <v>31822</v>
      </c>
      <c r="H4827" s="6" t="s">
        <v>31823</v>
      </c>
      <c r="K4827" s="5" t="s">
        <v>31797</v>
      </c>
      <c r="M4827" s="5" t="s">
        <v>31824</v>
      </c>
      <c r="N4827" s="7" t="s">
        <v>31825</v>
      </c>
      <c r="O4827" s="8" t="str">
        <f>HYPERLINK("https://drive.google.com/file/d/1uPSgKxFu7mQp7xoaKQdwYzMLOpg7xZ2e/view?usp=drivesdk","4826_YUNIARTO _ SERTIFIKAT BerAKHLAK")</f>
        <v>4826_YUNIARTO _ SERTIFIKAT BerAKHLAK</v>
      </c>
      <c r="P4827" s="5" t="s">
        <v>31826</v>
      </c>
    </row>
    <row r="4828">
      <c r="A4828" s="4">
        <v>45534.35451415509</v>
      </c>
      <c r="B4828" s="5" t="s">
        <v>34</v>
      </c>
      <c r="D4828" s="5" t="s">
        <v>1206</v>
      </c>
      <c r="E4828" s="5" t="s">
        <v>31827</v>
      </c>
      <c r="F4828" s="5" t="s">
        <v>328</v>
      </c>
      <c r="G4828" s="5" t="s">
        <v>31828</v>
      </c>
      <c r="H4828" s="6" t="s">
        <v>31829</v>
      </c>
      <c r="K4828" s="5" t="s">
        <v>31797</v>
      </c>
      <c r="M4828" s="5" t="s">
        <v>31830</v>
      </c>
      <c r="N4828" s="7" t="s">
        <v>31831</v>
      </c>
      <c r="O4828" s="8" t="str">
        <f>HYPERLINK("https://drive.google.com/file/d/1XuOuk-MfyzaHOgbealp-C_hcyHZ0OT3j/view?usp=drivesdk","4827_JUDA KUSUMAWATI  _ SERTIFIKAT BerAKHLAK")</f>
        <v>4827_JUDA KUSUMAWATI  _ SERTIFIKAT BerAKHLAK</v>
      </c>
      <c r="P4828" s="5" t="s">
        <v>31826</v>
      </c>
    </row>
    <row r="4829">
      <c r="A4829" s="4">
        <v>45534.35451599537</v>
      </c>
      <c r="B4829" s="5" t="s">
        <v>34</v>
      </c>
      <c r="D4829" s="5" t="s">
        <v>1206</v>
      </c>
      <c r="E4829" s="5" t="s">
        <v>31832</v>
      </c>
      <c r="F4829" s="5" t="s">
        <v>37</v>
      </c>
      <c r="G4829" s="5" t="s">
        <v>31833</v>
      </c>
      <c r="H4829" s="6" t="s">
        <v>31834</v>
      </c>
      <c r="K4829" s="5" t="s">
        <v>31797</v>
      </c>
      <c r="M4829" s="5" t="s">
        <v>31835</v>
      </c>
      <c r="N4829" s="7" t="s">
        <v>31836</v>
      </c>
      <c r="O4829" s="8" t="str">
        <f>HYPERLINK("https://drive.google.com/file/d/13zV07MxscWC0QCWtxcBnKm33uSPSz9RY/view?usp=drivesdk","4828_SRI ASTUTI _ SERTIFIKAT BerAKHLAK")</f>
        <v>4828_SRI ASTUTI _ SERTIFIKAT BerAKHLAK</v>
      </c>
      <c r="P4829" s="5" t="s">
        <v>31826</v>
      </c>
    </row>
    <row r="4830">
      <c r="A4830" s="4">
        <v>45534.35451716435</v>
      </c>
      <c r="B4830" s="5" t="s">
        <v>34</v>
      </c>
      <c r="D4830" s="5" t="s">
        <v>1206</v>
      </c>
      <c r="E4830" s="5" t="s">
        <v>31837</v>
      </c>
      <c r="F4830" s="5" t="s">
        <v>199</v>
      </c>
      <c r="G4830" s="5" t="s">
        <v>31838</v>
      </c>
      <c r="H4830" s="6" t="s">
        <v>31839</v>
      </c>
      <c r="K4830" s="5" t="s">
        <v>31797</v>
      </c>
      <c r="M4830" s="5" t="s">
        <v>31840</v>
      </c>
      <c r="N4830" s="7" t="s">
        <v>31841</v>
      </c>
      <c r="O4830" s="8" t="str">
        <f>HYPERLINK("https://drive.google.com/file/d/1weApEhVzWPHy7-FLxa0Pm8KhFgjxlrvv/view?usp=drivesdk","4829_SUKADI _ SERTIFIKAT BerAKHLAK")</f>
        <v>4829_SUKADI _ SERTIFIKAT BerAKHLAK</v>
      </c>
      <c r="P4830" s="5" t="s">
        <v>31826</v>
      </c>
    </row>
    <row r="4831">
      <c r="A4831" s="4">
        <v>45534.35451706019</v>
      </c>
      <c r="B4831" s="5" t="s">
        <v>34</v>
      </c>
      <c r="D4831" s="5" t="s">
        <v>4775</v>
      </c>
      <c r="E4831" s="5" t="s">
        <v>31842</v>
      </c>
      <c r="F4831" s="5" t="s">
        <v>37</v>
      </c>
      <c r="G4831" s="5" t="s">
        <v>31843</v>
      </c>
      <c r="H4831" s="6" t="s">
        <v>31844</v>
      </c>
      <c r="K4831" s="5" t="s">
        <v>31797</v>
      </c>
      <c r="M4831" s="5" t="s">
        <v>31845</v>
      </c>
      <c r="N4831" s="7" t="s">
        <v>31846</v>
      </c>
      <c r="O4831" s="8" t="str">
        <f>HYPERLINK("https://drive.google.com/file/d/1rt1GA-8rNiivfowZSwLt4NhVLi3RNt5s/view?usp=drivesdk","4830_LINDA WIJI ASTUTI  _ SERTIFIKAT BerAKHLAK")</f>
        <v>4830_LINDA WIJI ASTUTI  _ SERTIFIKAT BerAKHLAK</v>
      </c>
      <c r="P4831" s="5" t="s">
        <v>31826</v>
      </c>
    </row>
    <row r="4832">
      <c r="A4832" s="4">
        <v>45534.35452113426</v>
      </c>
      <c r="B4832" s="5" t="s">
        <v>34</v>
      </c>
      <c r="D4832" s="5" t="s">
        <v>4775</v>
      </c>
      <c r="E4832" s="5" t="s">
        <v>31847</v>
      </c>
      <c r="F4832" s="5" t="s">
        <v>212</v>
      </c>
      <c r="G4832" s="5" t="s">
        <v>31848</v>
      </c>
      <c r="H4832" s="6" t="s">
        <v>31849</v>
      </c>
      <c r="K4832" s="5" t="s">
        <v>31797</v>
      </c>
      <c r="M4832" s="5" t="s">
        <v>31850</v>
      </c>
      <c r="N4832" s="7" t="s">
        <v>31851</v>
      </c>
      <c r="O4832" s="8" t="str">
        <f>HYPERLINK("https://drive.google.com/file/d/1o15loQGiGrcYlqH1Zk3GDM8Ow6MLW10M/view?usp=drivesdk","4831_Akhmad MA'MUN  _ SERTIFIKAT BerAKHLAK")</f>
        <v>4831_Akhmad MA'MUN  _ SERTIFIKAT BerAKHLAK</v>
      </c>
      <c r="P4832" s="5" t="s">
        <v>31826</v>
      </c>
    </row>
    <row r="4833">
      <c r="A4833" s="4">
        <v>45534.35452511574</v>
      </c>
      <c r="B4833" s="5" t="s">
        <v>34</v>
      </c>
      <c r="D4833" s="5" t="s">
        <v>280</v>
      </c>
      <c r="E4833" s="5" t="s">
        <v>31852</v>
      </c>
      <c r="F4833" s="5" t="s">
        <v>212</v>
      </c>
      <c r="G4833" s="5" t="s">
        <v>31853</v>
      </c>
      <c r="H4833" s="6" t="s">
        <v>31854</v>
      </c>
      <c r="K4833" s="5" t="s">
        <v>31797</v>
      </c>
      <c r="M4833" s="5" t="s">
        <v>31855</v>
      </c>
      <c r="N4833" s="7" t="s">
        <v>31856</v>
      </c>
      <c r="O4833" s="8" t="str">
        <f>HYPERLINK("https://drive.google.com/file/d/1f032CRU8dYi-JdNbAlE4hkEo2XU76dlO/view?usp=drivesdk","4832_PARNINGOTAN TAMPUBOLON  _ SERTIFIKAT BerAKHLAK")</f>
        <v>4832_PARNINGOTAN TAMPUBOLON  _ SERTIFIKAT BerAKHLAK</v>
      </c>
      <c r="P4833" s="5" t="s">
        <v>31857</v>
      </c>
    </row>
    <row r="4834">
      <c r="A4834" s="4">
        <v>45534.354528819444</v>
      </c>
      <c r="B4834" s="5" t="s">
        <v>34</v>
      </c>
      <c r="D4834" s="5" t="s">
        <v>280</v>
      </c>
      <c r="E4834" s="5" t="s">
        <v>31858</v>
      </c>
      <c r="F4834" s="5" t="s">
        <v>375</v>
      </c>
      <c r="G4834" s="5" t="s">
        <v>31859</v>
      </c>
      <c r="H4834" s="6" t="s">
        <v>31860</v>
      </c>
      <c r="K4834" s="5" t="s">
        <v>31797</v>
      </c>
      <c r="M4834" s="5" t="s">
        <v>31861</v>
      </c>
      <c r="N4834" s="7" t="s">
        <v>31862</v>
      </c>
      <c r="O4834" s="8" t="str">
        <f>HYPERLINK("https://drive.google.com/file/d/1iBokcoicP_I49mizWelJQBzen1WXCZ-7/view?usp=drivesdk","4833_ANI WAHYUNI, S.IP _ SERTIFIKAT BerAKHLAK")</f>
        <v>4833_ANI WAHYUNI, S.IP _ SERTIFIKAT BerAKHLAK</v>
      </c>
      <c r="P4834" s="5" t="s">
        <v>31857</v>
      </c>
    </row>
    <row r="4835">
      <c r="A4835" s="4">
        <v>45534.354529965276</v>
      </c>
      <c r="B4835" s="5" t="s">
        <v>34</v>
      </c>
      <c r="D4835" s="5" t="s">
        <v>1206</v>
      </c>
      <c r="E4835" s="5" t="s">
        <v>31863</v>
      </c>
      <c r="F4835" s="5" t="s">
        <v>524</v>
      </c>
      <c r="G4835" s="5" t="s">
        <v>31864</v>
      </c>
      <c r="H4835" s="6" t="s">
        <v>31865</v>
      </c>
      <c r="K4835" s="5" t="s">
        <v>31797</v>
      </c>
      <c r="M4835" s="5" t="s">
        <v>31866</v>
      </c>
      <c r="N4835" s="7" t="s">
        <v>31867</v>
      </c>
      <c r="O4835" s="8" t="str">
        <f>HYPERLINK("https://drive.google.com/file/d/1MGQ3nmne1UGPKTFh-SPdCuKaPQccPdvN/view?usp=drivesdk","4834_WIWIN ACHMAWANTI, S.H. _ SERTIFIKAT BerAKHLAK")</f>
        <v>4834_WIWIN ACHMAWANTI, S.H. _ SERTIFIKAT BerAKHLAK</v>
      </c>
      <c r="P4835" s="5" t="s">
        <v>31857</v>
      </c>
    </row>
    <row r="4836">
      <c r="A4836" s="4">
        <v>45534.354537453706</v>
      </c>
      <c r="B4836" s="5" t="s">
        <v>34</v>
      </c>
      <c r="D4836" s="5" t="s">
        <v>4775</v>
      </c>
      <c r="E4836" s="5" t="s">
        <v>31868</v>
      </c>
      <c r="F4836" s="5" t="s">
        <v>37</v>
      </c>
      <c r="G4836" s="5" t="s">
        <v>31869</v>
      </c>
      <c r="H4836" s="6" t="s">
        <v>31870</v>
      </c>
      <c r="K4836" s="5" t="s">
        <v>31797</v>
      </c>
      <c r="M4836" s="5" t="s">
        <v>31871</v>
      </c>
      <c r="N4836" s="7" t="s">
        <v>31872</v>
      </c>
      <c r="O4836" s="8" t="str">
        <f>HYPERLINK("https://drive.google.com/file/d/15GuqTf_uXkEDe1sWns-tqGDzrtY54S71/view?usp=drivesdk","4835_CHRISTIANA SETYANINGRUM _ SERTIFIKAT BerAKHLAK")</f>
        <v>4835_CHRISTIANA SETYANINGRUM _ SERTIFIKAT BerAKHLAK</v>
      </c>
      <c r="P4836" s="5" t="s">
        <v>31857</v>
      </c>
    </row>
    <row r="4837">
      <c r="A4837" s="4">
        <v>45534.35453890046</v>
      </c>
      <c r="B4837" s="5" t="s">
        <v>34</v>
      </c>
      <c r="D4837" s="5" t="s">
        <v>1206</v>
      </c>
      <c r="E4837" s="5" t="s">
        <v>31873</v>
      </c>
      <c r="F4837" s="5" t="s">
        <v>212</v>
      </c>
      <c r="G4837" s="5" t="s">
        <v>31874</v>
      </c>
      <c r="H4837" s="6" t="s">
        <v>31875</v>
      </c>
      <c r="K4837" s="5" t="s">
        <v>31797</v>
      </c>
      <c r="M4837" s="5" t="s">
        <v>31876</v>
      </c>
      <c r="N4837" s="7" t="s">
        <v>31877</v>
      </c>
      <c r="O4837" s="8" t="str">
        <f>HYPERLINK("https://drive.google.com/file/d/1QBXZUHD_-TlY_H_jTSyqBFr4JyVNx01J/view?usp=drivesdk","4836_SPARNO _ SERTIFIKAT BerAKHLAK")</f>
        <v>4836_SPARNO _ SERTIFIKAT BerAKHLAK</v>
      </c>
      <c r="P4837" s="5" t="s">
        <v>31857</v>
      </c>
    </row>
    <row r="4838">
      <c r="A4838" s="4">
        <v>45534.35454078704</v>
      </c>
      <c r="B4838" s="5" t="s">
        <v>34</v>
      </c>
      <c r="D4838" s="5" t="s">
        <v>9020</v>
      </c>
      <c r="E4838" s="5" t="s">
        <v>31878</v>
      </c>
      <c r="F4838" s="5" t="s">
        <v>212</v>
      </c>
      <c r="G4838" s="5" t="s">
        <v>31879</v>
      </c>
      <c r="H4838" s="6" t="s">
        <v>31880</v>
      </c>
      <c r="K4838" s="5" t="s">
        <v>31797</v>
      </c>
      <c r="M4838" s="5" t="s">
        <v>31881</v>
      </c>
      <c r="N4838" s="7" t="s">
        <v>31882</v>
      </c>
      <c r="O4838" s="8" t="str">
        <f>HYPERLINK("https://drive.google.com/file/d/1j7_lbVSC0xMnBy2t5CQW0leYAUbW1IUg/view?usp=drivesdk","4837_LENNI DEBORA HUTAHAEAN _ SERTIFIKAT BerAKHLAK")</f>
        <v>4837_LENNI DEBORA HUTAHAEAN _ SERTIFIKAT BerAKHLAK</v>
      </c>
      <c r="P4838" s="5" t="s">
        <v>31883</v>
      </c>
    </row>
    <row r="4839">
      <c r="A4839" s="4">
        <v>45534.354544120375</v>
      </c>
      <c r="B4839" s="5" t="s">
        <v>34</v>
      </c>
      <c r="D4839" s="5" t="s">
        <v>1206</v>
      </c>
      <c r="E4839" s="5" t="s">
        <v>31884</v>
      </c>
      <c r="F4839" s="5" t="s">
        <v>37</v>
      </c>
      <c r="G4839" s="5" t="s">
        <v>31885</v>
      </c>
      <c r="H4839" s="6" t="s">
        <v>31886</v>
      </c>
      <c r="K4839" s="5" t="s">
        <v>31797</v>
      </c>
      <c r="M4839" s="5" t="s">
        <v>31887</v>
      </c>
      <c r="N4839" s="7" t="s">
        <v>31888</v>
      </c>
      <c r="O4839" s="8" t="str">
        <f>HYPERLINK("https://drive.google.com/file/d/1TLWy2gUZdZTuklJAJsM9NMSFQFRiuZcW/view?usp=drivesdk","4838_FITRI LESTARI BUDIARTI _ SERTIFIKAT BerAKHLAK")</f>
        <v>4838_FITRI LESTARI BUDIARTI _ SERTIFIKAT BerAKHLAK</v>
      </c>
      <c r="P4839" s="5" t="s">
        <v>31883</v>
      </c>
    </row>
    <row r="4840">
      <c r="A4840" s="4">
        <v>45534.354555185186</v>
      </c>
      <c r="B4840" s="5" t="s">
        <v>34</v>
      </c>
      <c r="D4840" s="5" t="s">
        <v>4775</v>
      </c>
      <c r="E4840" s="5" t="s">
        <v>31889</v>
      </c>
      <c r="F4840" s="5" t="s">
        <v>72</v>
      </c>
      <c r="G4840" s="5" t="s">
        <v>31890</v>
      </c>
      <c r="H4840" s="6" t="s">
        <v>31891</v>
      </c>
      <c r="K4840" s="5" t="s">
        <v>31797</v>
      </c>
      <c r="M4840" s="5" t="s">
        <v>31892</v>
      </c>
      <c r="N4840" s="7" t="s">
        <v>31893</v>
      </c>
      <c r="O4840" s="8" t="str">
        <f>HYPERLINK("https://drive.google.com/file/d/1syccduZsLcxhSMVBAfy7RkEy4wpySvFT/view?usp=drivesdk","4839_WARMAH YULIANTI  _ SERTIFIKAT BerAKHLAK")</f>
        <v>4839_WARMAH YULIANTI  _ SERTIFIKAT BerAKHLAK</v>
      </c>
      <c r="P4840" s="5" t="s">
        <v>31883</v>
      </c>
    </row>
    <row r="4841">
      <c r="A4841" s="4">
        <v>45534.35455866898</v>
      </c>
      <c r="B4841" s="5" t="s">
        <v>34</v>
      </c>
      <c r="D4841" s="5" t="s">
        <v>10444</v>
      </c>
      <c r="E4841" s="5" t="s">
        <v>31894</v>
      </c>
      <c r="F4841" s="5" t="s">
        <v>37</v>
      </c>
      <c r="G4841" s="5" t="s">
        <v>31895</v>
      </c>
      <c r="H4841" s="6" t="s">
        <v>31896</v>
      </c>
      <c r="K4841" s="5" t="s">
        <v>31797</v>
      </c>
      <c r="M4841" s="5" t="s">
        <v>31897</v>
      </c>
      <c r="N4841" s="7" t="s">
        <v>31898</v>
      </c>
      <c r="O4841" s="8" t="str">
        <f>HYPERLINK("https://drive.google.com/file/d/1uIWMUD3xVaAoY7jKmmLy_0ArsHIbM_pw/view?usp=drivesdk","4840_FITHRA M. DJAENUR, A. MD. KG _ SERTIFIKAT BerAKHLAK")</f>
        <v>4840_FITHRA M. DJAENUR, A. MD. KG _ SERTIFIKAT BerAKHLAK</v>
      </c>
      <c r="P4841" s="5" t="s">
        <v>31883</v>
      </c>
    </row>
    <row r="4842">
      <c r="A4842" s="4">
        <v>45534.3545599537</v>
      </c>
      <c r="B4842" s="5" t="s">
        <v>34</v>
      </c>
      <c r="D4842" s="5" t="s">
        <v>4775</v>
      </c>
      <c r="E4842" s="5" t="s">
        <v>31899</v>
      </c>
      <c r="F4842" s="5" t="s">
        <v>72</v>
      </c>
      <c r="G4842" s="5" t="s">
        <v>31900</v>
      </c>
      <c r="H4842" s="6" t="s">
        <v>31901</v>
      </c>
      <c r="K4842" s="5" t="s">
        <v>31797</v>
      </c>
      <c r="M4842" s="5" t="s">
        <v>31902</v>
      </c>
      <c r="N4842" s="7" t="s">
        <v>31903</v>
      </c>
      <c r="O4842" s="8" t="str">
        <f>HYPERLINK("https://drive.google.com/file/d/1IU-BCyoUyOtdDyNQGbUp0B0borCGPoL1/view?usp=drivesdk","4841_TEGUH IMANTOKO,AMK _ SERTIFIKAT BerAKHLAK")</f>
        <v>4841_TEGUH IMANTOKO,AMK _ SERTIFIKAT BerAKHLAK</v>
      </c>
      <c r="P4842" s="5" t="s">
        <v>31883</v>
      </c>
    </row>
    <row r="4843">
      <c r="A4843" s="4">
        <v>45534.3545778588</v>
      </c>
      <c r="B4843" s="5" t="s">
        <v>34</v>
      </c>
      <c r="D4843" s="5" t="s">
        <v>4775</v>
      </c>
      <c r="E4843" s="5" t="s">
        <v>31904</v>
      </c>
      <c r="F4843" s="5" t="s">
        <v>37</v>
      </c>
      <c r="G4843" s="5" t="s">
        <v>31905</v>
      </c>
      <c r="H4843" s="6" t="s">
        <v>31906</v>
      </c>
      <c r="K4843" s="5" t="s">
        <v>31907</v>
      </c>
      <c r="M4843" s="5" t="s">
        <v>31908</v>
      </c>
      <c r="N4843" s="7" t="s">
        <v>31909</v>
      </c>
      <c r="O4843" s="8" t="str">
        <f>HYPERLINK("https://drive.google.com/file/d/1Z2pCDbe9cTZ0FZ1LGIowG2vZtv7A4-6B/view?usp=drivesdk","4842_EKO SUSETYAWATI _ SERTIFIKAT BerAKHLAK")</f>
        <v>4842_EKO SUSETYAWATI _ SERTIFIKAT BerAKHLAK</v>
      </c>
      <c r="P4843" s="5" t="s">
        <v>31910</v>
      </c>
    </row>
    <row r="4844" hidden="1">
      <c r="A4844" s="4">
        <v>45534.35458013889</v>
      </c>
      <c r="B4844" s="5" t="s">
        <v>19</v>
      </c>
      <c r="C4844" s="5" t="s">
        <v>292</v>
      </c>
      <c r="E4844" s="5" t="s">
        <v>31911</v>
      </c>
      <c r="F4844" s="5" t="s">
        <v>212</v>
      </c>
      <c r="G4844" s="5" t="s">
        <v>31912</v>
      </c>
      <c r="H4844" s="6" t="s">
        <v>31913</v>
      </c>
      <c r="K4844" s="5" t="s">
        <v>31907</v>
      </c>
      <c r="M4844" s="5" t="s">
        <v>31914</v>
      </c>
      <c r="N4844" s="7" t="s">
        <v>31915</v>
      </c>
      <c r="O4844" s="8" t="str">
        <f>HYPERLINK("https://drive.google.com/file/d/1W4eU9j6PkHhpA6oXCaFbDIdNvOLVVVRl/view?usp=drivesdk","4843_IDA HAFIDAH _ SERTIFIKAT BerAKHLAK")</f>
        <v>4843_IDA HAFIDAH _ SERTIFIKAT BerAKHLAK</v>
      </c>
      <c r="P4844" s="5" t="s">
        <v>31910</v>
      </c>
    </row>
    <row r="4845">
      <c r="A4845" s="4">
        <v>45534.35458068287</v>
      </c>
      <c r="B4845" s="5" t="s">
        <v>34</v>
      </c>
      <c r="D4845" s="5" t="s">
        <v>701</v>
      </c>
      <c r="E4845" s="5" t="s">
        <v>31916</v>
      </c>
      <c r="F4845" s="5" t="s">
        <v>212</v>
      </c>
      <c r="G4845" s="5" t="s">
        <v>31917</v>
      </c>
      <c r="H4845" s="6" t="s">
        <v>31918</v>
      </c>
      <c r="K4845" s="5" t="s">
        <v>31907</v>
      </c>
      <c r="M4845" s="5" t="s">
        <v>31919</v>
      </c>
      <c r="N4845" s="7" t="s">
        <v>31920</v>
      </c>
      <c r="O4845" s="8" t="str">
        <f>HYPERLINK("https://drive.google.com/file/d/1ETa9wwu5BpkzHNWrPvc_ABDgGkGVAR1p/view?usp=drivesdk","4844_AFRIANTI, SE _ SERTIFIKAT BerAKHLAK")</f>
        <v>4844_AFRIANTI, SE _ SERTIFIKAT BerAKHLAK</v>
      </c>
      <c r="P4845" s="5" t="s">
        <v>31910</v>
      </c>
    </row>
    <row r="4846">
      <c r="A4846" s="4">
        <v>45534.35458530093</v>
      </c>
      <c r="B4846" s="5" t="s">
        <v>34</v>
      </c>
      <c r="D4846" s="5" t="s">
        <v>1206</v>
      </c>
      <c r="E4846" s="5" t="s">
        <v>31921</v>
      </c>
      <c r="F4846" s="5" t="s">
        <v>37</v>
      </c>
      <c r="G4846" s="5" t="s">
        <v>31922</v>
      </c>
      <c r="H4846" s="6" t="s">
        <v>31923</v>
      </c>
      <c r="K4846" s="5" t="s">
        <v>31907</v>
      </c>
      <c r="M4846" s="5" t="s">
        <v>31924</v>
      </c>
      <c r="N4846" s="7" t="s">
        <v>31925</v>
      </c>
      <c r="O4846" s="8" t="str">
        <f>HYPERLINK("https://drive.google.com/file/d/1MPbPQypfKZObDOBZ3QL2JfeE_MLaTxdL/view?usp=drivesdk","4845_MARIYONO,A.Md.Kep _ SERTIFIKAT BerAKHLAK")</f>
        <v>4845_MARIYONO,A.Md.Kep _ SERTIFIKAT BerAKHLAK</v>
      </c>
      <c r="P4846" s="5" t="s">
        <v>31926</v>
      </c>
    </row>
    <row r="4847">
      <c r="A4847" s="4">
        <v>45534.35459239583</v>
      </c>
      <c r="B4847" s="5" t="s">
        <v>34</v>
      </c>
      <c r="D4847" s="5" t="s">
        <v>1456</v>
      </c>
      <c r="E4847" s="5" t="s">
        <v>31927</v>
      </c>
      <c r="F4847" s="5" t="s">
        <v>72</v>
      </c>
      <c r="G4847" s="5" t="s">
        <v>31928</v>
      </c>
      <c r="H4847" s="6" t="s">
        <v>31929</v>
      </c>
      <c r="K4847" s="5" t="s">
        <v>31907</v>
      </c>
      <c r="M4847" s="5" t="s">
        <v>31930</v>
      </c>
      <c r="N4847" s="7" t="s">
        <v>31931</v>
      </c>
      <c r="O4847" s="8" t="str">
        <f>HYPERLINK("https://drive.google.com/file/d/1myZNySwtZb1bXrGih1SESMZmYZK7Qvdc/view?usp=drivesdk","4846_AGUSSISWANTO _ SERTIFIKAT BerAKHLAK")</f>
        <v>4846_AGUSSISWANTO _ SERTIFIKAT BerAKHLAK</v>
      </c>
      <c r="P4847" s="5" t="s">
        <v>31926</v>
      </c>
    </row>
    <row r="4848">
      <c r="A4848" s="4">
        <v>45534.35460723379</v>
      </c>
      <c r="B4848" s="5" t="s">
        <v>34</v>
      </c>
      <c r="D4848" s="5" t="s">
        <v>3849</v>
      </c>
      <c r="E4848" s="5" t="s">
        <v>31932</v>
      </c>
      <c r="F4848" s="5" t="s">
        <v>72</v>
      </c>
      <c r="G4848" s="5" t="s">
        <v>31933</v>
      </c>
      <c r="H4848" s="6" t="s">
        <v>31934</v>
      </c>
      <c r="I4848" s="7" t="s">
        <v>31935</v>
      </c>
      <c r="J4848" s="8" t="str">
        <f>HYPERLINK("https://drive.google.com/file/d/1w-6wIvTNk6u229H4lsEPKb2NdPAvlKZU/view?usp=drivesdk","NIRA ARIANTINI, S.KOM SERTIFIKAT BerAKHLAK")</f>
        <v>NIRA ARIANTINI, S.KOM SERTIFIKAT BerAKHLAK</v>
      </c>
      <c r="K4848" s="5" t="s">
        <v>31118</v>
      </c>
      <c r="L4848" s="5" t="s">
        <v>31936</v>
      </c>
      <c r="M4848" s="5" t="s">
        <v>31937</v>
      </c>
      <c r="N4848" s="7" t="s">
        <v>31938</v>
      </c>
      <c r="O4848" s="8" t="str">
        <f>HYPERLINK("https://drive.google.com/file/d/1WBNnSkNXuzTSItJIRws1jcM-hHICKSkL/view?usp=drivesdk","4847_NIRA ARIANTINI, S.KOM _ SERTIFIKAT BerAKHLAK")</f>
        <v>4847_NIRA ARIANTINI, S.KOM _ SERTIFIKAT BerAKHLAK</v>
      </c>
      <c r="P4848" s="5" t="s">
        <v>31926</v>
      </c>
    </row>
    <row r="4849">
      <c r="A4849" s="4">
        <v>45534.354612916664</v>
      </c>
      <c r="B4849" s="5" t="s">
        <v>34</v>
      </c>
      <c r="D4849" s="5" t="s">
        <v>1206</v>
      </c>
      <c r="E4849" s="5" t="s">
        <v>31939</v>
      </c>
      <c r="F4849" s="5" t="s">
        <v>375</v>
      </c>
      <c r="G4849" s="5" t="s">
        <v>31940</v>
      </c>
      <c r="H4849" s="6" t="s">
        <v>31941</v>
      </c>
      <c r="I4849" s="7" t="s">
        <v>31942</v>
      </c>
      <c r="J4849" s="8" t="str">
        <f>HYPERLINK("https://drive.google.com/file/d/1rVfNSXhCIsl1J5oR6RV0Wkj-ZLp79ah6/view?usp=drivesdk","RACHMAD SUGIYANTO, S.Sos., M.M. SERTIFIKAT BerAKHLAK")</f>
        <v>RACHMAD SUGIYANTO, S.Sos., M.M. SERTIFIKAT BerAKHLAK</v>
      </c>
      <c r="K4849" s="5" t="s">
        <v>31298</v>
      </c>
      <c r="L4849" s="5" t="s">
        <v>31943</v>
      </c>
      <c r="M4849" s="5" t="s">
        <v>31944</v>
      </c>
      <c r="N4849" s="7" t="s">
        <v>31945</v>
      </c>
      <c r="O4849" s="8" t="str">
        <f>HYPERLINK("https://drive.google.com/file/d/16Y-IZVlsY6fbhKZmQh2Db6otCGUlVpM7/view?usp=drivesdk","4848_RACHMAD SUGIYANTO, S.Sos., M.M. _ SERTIFIKAT BerAKHLAK")</f>
        <v>4848_RACHMAD SUGIYANTO, S.Sos., M.M. _ SERTIFIKAT BerAKHLAK</v>
      </c>
      <c r="P4849" s="5" t="s">
        <v>31926</v>
      </c>
    </row>
    <row r="4850">
      <c r="A4850" s="4">
        <v>45534.35461565972</v>
      </c>
      <c r="B4850" s="5" t="s">
        <v>34</v>
      </c>
      <c r="D4850" s="5" t="s">
        <v>1206</v>
      </c>
      <c r="E4850" s="5" t="s">
        <v>31946</v>
      </c>
      <c r="F4850" s="5" t="s">
        <v>212</v>
      </c>
      <c r="G4850" s="5" t="s">
        <v>31947</v>
      </c>
      <c r="H4850" s="6" t="s">
        <v>31948</v>
      </c>
      <c r="I4850" s="7" t="s">
        <v>31949</v>
      </c>
      <c r="J4850" s="8" t="str">
        <f>HYPERLINK("https://drive.google.com/file/d/1jKmHHAkSs0jqzJRjlSHH1SxXwWDAq5ge/view?usp=drivesdk","TRIWALUYO,AMD.KEP. SERTIFIKAT BerAKHLAK")</f>
        <v>TRIWALUYO,AMD.KEP. SERTIFIKAT BerAKHLAK</v>
      </c>
      <c r="K4850" s="5" t="s">
        <v>31298</v>
      </c>
      <c r="L4850" s="5" t="s">
        <v>31950</v>
      </c>
      <c r="M4850" s="5" t="s">
        <v>31951</v>
      </c>
      <c r="N4850" s="7" t="s">
        <v>31952</v>
      </c>
      <c r="O4850" s="8" t="str">
        <f>HYPERLINK("https://drive.google.com/file/d/1lQ9eId-OQ-BBOx4Y6g1J5Y638ocBBnbs/view?usp=drivesdk","4849_TRIWALUYO,AMD.KEP. _ SERTIFIKAT BerAKHLAK")</f>
        <v>4849_TRIWALUYO,AMD.KEP. _ SERTIFIKAT BerAKHLAK</v>
      </c>
      <c r="P4850" s="5" t="s">
        <v>31926</v>
      </c>
    </row>
    <row r="4851">
      <c r="A4851" s="4">
        <v>45534.35462</v>
      </c>
      <c r="B4851" s="5" t="s">
        <v>34</v>
      </c>
      <c r="D4851" s="5" t="s">
        <v>3849</v>
      </c>
      <c r="E4851" s="5" t="s">
        <v>31953</v>
      </c>
      <c r="F4851" s="5" t="s">
        <v>37</v>
      </c>
      <c r="G4851" s="5" t="s">
        <v>31954</v>
      </c>
      <c r="H4851" s="6" t="s">
        <v>31955</v>
      </c>
      <c r="I4851" s="7" t="s">
        <v>31956</v>
      </c>
      <c r="J4851" s="8" t="str">
        <f>HYPERLINK("https://drive.google.com/file/d/1iPdY52eujMnFPSJRFUPIrReEDUrKMRQs/view?usp=drivesdk","YESI SULASTRI AM.KEP SERTIFIKAT BerAKHLAK")</f>
        <v>YESI SULASTRI AM.KEP SERTIFIKAT BerAKHLAK</v>
      </c>
      <c r="K4851" s="5" t="s">
        <v>31298</v>
      </c>
      <c r="L4851" s="5" t="s">
        <v>31957</v>
      </c>
      <c r="M4851" s="5" t="s">
        <v>31958</v>
      </c>
      <c r="N4851" s="7" t="s">
        <v>31959</v>
      </c>
      <c r="O4851" s="8" t="str">
        <f>HYPERLINK("https://drive.google.com/file/d/1-aw9I9Iecaal4nCO7TBML9_mo-1Tq3uC/view?usp=drivesdk","4850_YESI SULASTRI AM.KEP _ SERTIFIKAT BerAKHLAK")</f>
        <v>4850_YESI SULASTRI AM.KEP _ SERTIFIKAT BerAKHLAK</v>
      </c>
      <c r="P4851" s="5" t="s">
        <v>31960</v>
      </c>
    </row>
    <row r="4852">
      <c r="A4852" s="4">
        <v>45534.35462244213</v>
      </c>
      <c r="B4852" s="5" t="s">
        <v>34</v>
      </c>
      <c r="D4852" s="5" t="s">
        <v>9020</v>
      </c>
      <c r="E4852" s="5" t="s">
        <v>31961</v>
      </c>
      <c r="F4852" s="5" t="s">
        <v>212</v>
      </c>
      <c r="G4852" s="5" t="s">
        <v>31962</v>
      </c>
      <c r="H4852" s="6" t="s">
        <v>31963</v>
      </c>
      <c r="I4852" s="7" t="s">
        <v>31964</v>
      </c>
      <c r="J4852" s="8" t="str">
        <f>HYPERLINK("https://drive.google.com/file/d/1BWKw8WR-4yyPdcgzrx2Atz7qTA0O-EOA/view?usp=drivesdk","MARLIANA TAMBUNAN  SERTIFIKAT BerAKHLAK")</f>
        <v>MARLIANA TAMBUNAN  SERTIFIKAT BerAKHLAK</v>
      </c>
      <c r="K4852" s="5" t="s">
        <v>31298</v>
      </c>
      <c r="L4852" s="5" t="s">
        <v>31965</v>
      </c>
      <c r="M4852" s="5" t="s">
        <v>31966</v>
      </c>
      <c r="N4852" s="7" t="s">
        <v>31967</v>
      </c>
      <c r="O4852" s="8" t="str">
        <f>HYPERLINK("https://drive.google.com/file/d/1zKXsQffb7cji5Y9OXW06NFo1tpnQY-Hx/view?usp=drivesdk","4851_MARLIANA TAMBUNAN  _ SERTIFIKAT BerAKHLAK")</f>
        <v>4851_MARLIANA TAMBUNAN  _ SERTIFIKAT BerAKHLAK</v>
      </c>
      <c r="P4852" s="5" t="s">
        <v>31960</v>
      </c>
    </row>
    <row r="4853">
      <c r="A4853" s="4">
        <v>45534.35462802083</v>
      </c>
      <c r="B4853" s="5" t="s">
        <v>34</v>
      </c>
      <c r="D4853" s="5" t="s">
        <v>1206</v>
      </c>
      <c r="E4853" s="5" t="s">
        <v>25275</v>
      </c>
      <c r="F4853" s="5" t="s">
        <v>524</v>
      </c>
      <c r="G4853" s="5" t="s">
        <v>31968</v>
      </c>
      <c r="H4853" s="6" t="s">
        <v>31969</v>
      </c>
      <c r="I4853" s="7" t="s">
        <v>31970</v>
      </c>
      <c r="J4853" s="8" t="str">
        <f>HYPERLINK("https://drive.google.com/file/d/1p_d2RPLEMMOE7ZRnsx1s-YnTlzrB3Pm1/view?usp=drivesdk","SUNARTI S SOS SERTIFIKAT BerAKHLAK")</f>
        <v>SUNARTI S SOS SERTIFIKAT BerAKHLAK</v>
      </c>
      <c r="K4853" s="5" t="s">
        <v>31298</v>
      </c>
      <c r="L4853" s="5" t="s">
        <v>31971</v>
      </c>
      <c r="M4853" s="5" t="s">
        <v>31972</v>
      </c>
      <c r="N4853" s="7" t="s">
        <v>31973</v>
      </c>
      <c r="O4853" s="8" t="str">
        <f>HYPERLINK("https://drive.google.com/file/d/1_6jO3oBJjNM7982_z2IxKxGjy6e6UxKq/view?usp=drivesdk","4852_SUNARTI S SOS _ SERTIFIKAT BerAKHLAK")</f>
        <v>4852_SUNARTI S SOS _ SERTIFIKAT BerAKHLAK</v>
      </c>
      <c r="P4853" s="5" t="s">
        <v>31960</v>
      </c>
    </row>
    <row r="4854">
      <c r="A4854" s="4">
        <v>45534.35462935185</v>
      </c>
      <c r="B4854" s="5" t="s">
        <v>34</v>
      </c>
      <c r="D4854" s="5" t="s">
        <v>1206</v>
      </c>
      <c r="E4854" s="5" t="s">
        <v>31974</v>
      </c>
      <c r="F4854" s="5" t="s">
        <v>120</v>
      </c>
      <c r="G4854" s="5" t="s">
        <v>31975</v>
      </c>
      <c r="H4854" s="6" t="s">
        <v>31976</v>
      </c>
      <c r="I4854" s="7" t="s">
        <v>31977</v>
      </c>
      <c r="J4854" s="8" t="str">
        <f>HYPERLINK("https://drive.google.com/file/d/1jxzZZLhblYr8cc0gYwXO5tgfAmR9wFc7/view?usp=drivesdk","DRG.NANIK PUJi WAHYUNI,MM SERTIFIKAT BerAKHLAK")</f>
        <v>DRG.NANIK PUJi WAHYUNI,MM SERTIFIKAT BerAKHLAK</v>
      </c>
      <c r="K4854" s="5" t="s">
        <v>31978</v>
      </c>
      <c r="L4854" s="5" t="s">
        <v>31979</v>
      </c>
      <c r="M4854" s="5" t="s">
        <v>31980</v>
      </c>
      <c r="N4854" s="7" t="s">
        <v>31981</v>
      </c>
      <c r="O4854" s="8" t="str">
        <f>HYPERLINK("https://drive.google.com/file/d/19zU0oVVToKi6kxqwzn6oMRZrcIPoaNy0/view?usp=drivesdk","4853_DRG.NANIK PUJi WAHYUNI,MM _ SERTIFIKAT BerAKHLAK")</f>
        <v>4853_DRG.NANIK PUJi WAHYUNI,MM _ SERTIFIKAT BerAKHLAK</v>
      </c>
      <c r="P4854" s="5" t="s">
        <v>31960</v>
      </c>
    </row>
    <row r="4855">
      <c r="A4855" s="4">
        <v>45534.35463527778</v>
      </c>
      <c r="B4855" s="5" t="s">
        <v>34</v>
      </c>
      <c r="D4855" s="5" t="s">
        <v>4775</v>
      </c>
      <c r="E4855" s="5" t="s">
        <v>31982</v>
      </c>
      <c r="F4855" s="5" t="s">
        <v>72</v>
      </c>
      <c r="G4855" s="5" t="s">
        <v>31983</v>
      </c>
      <c r="H4855" s="6" t="s">
        <v>31984</v>
      </c>
      <c r="I4855" s="7" t="s">
        <v>31985</v>
      </c>
      <c r="J4855" s="8" t="str">
        <f>HYPERLINK("https://drive.google.com/file/d/1ryTuRg3ZsbKg9SpTZv9O_zQCZWTkC5Ao/view?usp=drivesdk","WIDIYA PURWANTI, A. MD SERTIFIKAT BerAKHLAK")</f>
        <v>WIDIYA PURWANTI, A. MD SERTIFIKAT BerAKHLAK</v>
      </c>
      <c r="K4855" s="5" t="s">
        <v>31978</v>
      </c>
      <c r="L4855" s="5" t="s">
        <v>31986</v>
      </c>
      <c r="M4855" s="5" t="s">
        <v>31987</v>
      </c>
      <c r="N4855" s="7" t="s">
        <v>31988</v>
      </c>
      <c r="O4855" s="8" t="str">
        <f>HYPERLINK("https://drive.google.com/file/d/1Veq9OUKsHtq2lqFDIA2Baw08eJYris-i/view?usp=drivesdk","4854_WIDIYA PURWANTI, A. MD _ SERTIFIKAT BerAKHLAK")</f>
        <v>4854_WIDIYA PURWANTI, A. MD _ SERTIFIKAT BerAKHLAK</v>
      </c>
      <c r="P4855" s="5" t="s">
        <v>31989</v>
      </c>
    </row>
    <row r="4856">
      <c r="A4856" s="4">
        <v>45534.35463828704</v>
      </c>
      <c r="B4856" s="5" t="s">
        <v>34</v>
      </c>
      <c r="D4856" s="5" t="s">
        <v>522</v>
      </c>
      <c r="E4856" s="5" t="s">
        <v>31990</v>
      </c>
      <c r="F4856" s="5" t="s">
        <v>715</v>
      </c>
      <c r="G4856" s="5" t="s">
        <v>31991</v>
      </c>
      <c r="H4856" s="6" t="s">
        <v>31992</v>
      </c>
      <c r="I4856" s="7" t="s">
        <v>31993</v>
      </c>
      <c r="J4856" s="8" t="str">
        <f>HYPERLINK("https://drive.google.com/file/d/1H4hzN97LQ9noOZKn7jXD0Q-zDm8_jSca/view?usp=drivesdk","SUMARNI S.SOS SERTIFIKAT BerAKHLAK")</f>
        <v>SUMARNI S.SOS SERTIFIKAT BerAKHLAK</v>
      </c>
      <c r="K4856" s="5" t="s">
        <v>31118</v>
      </c>
      <c r="L4856" s="5" t="s">
        <v>31994</v>
      </c>
      <c r="M4856" s="5" t="s">
        <v>31995</v>
      </c>
      <c r="N4856" s="7" t="s">
        <v>31996</v>
      </c>
      <c r="O4856" s="8" t="str">
        <f>HYPERLINK("https://drive.google.com/file/d/1qOfuRzl-tFAWWHtxsCfL-IvuvO_2tAT_/view?usp=drivesdk","4855_SUMARNI S.SOS _ SERTIFIKAT BerAKHLAK")</f>
        <v>4855_SUMARNI S.SOS _ SERTIFIKAT BerAKHLAK</v>
      </c>
      <c r="P4856" s="5" t="s">
        <v>31989</v>
      </c>
    </row>
    <row r="4857">
      <c r="A4857" s="4">
        <v>45534.35464320602</v>
      </c>
      <c r="B4857" s="5" t="s">
        <v>34</v>
      </c>
      <c r="D4857" s="5" t="s">
        <v>12978</v>
      </c>
      <c r="E4857" s="7" t="s">
        <v>31997</v>
      </c>
      <c r="F4857" s="5" t="s">
        <v>72</v>
      </c>
      <c r="G4857" s="5" t="s">
        <v>31998</v>
      </c>
      <c r="H4857" s="6" t="s">
        <v>31999</v>
      </c>
      <c r="I4857" s="7" t="s">
        <v>32000</v>
      </c>
      <c r="J4857" s="8" t="str">
        <f>HYPERLINK("https://drive.google.com/file/d/1x-qMjMdLm0M_5J0GS8G1-IkGmZm7aE3E/view?usp=drivesdk","ROHANI.A.S.Psi.M.Si SERTIFIKAT BerAKHLAK")</f>
        <v>ROHANI.A.S.Psi.M.Si SERTIFIKAT BerAKHLAK</v>
      </c>
      <c r="K4857" s="5" t="s">
        <v>31298</v>
      </c>
      <c r="L4857" s="5" t="s">
        <v>32001</v>
      </c>
      <c r="M4857" s="5" t="s">
        <v>32002</v>
      </c>
      <c r="N4857" s="7" t="s">
        <v>32003</v>
      </c>
      <c r="O4857" s="8" t="str">
        <f>HYPERLINK("https://drive.google.com/file/d/1Jj4zGPPhqWCN3KqgdfRSyss1riXePZWo/view?usp=drivesdk","4856_ROHANI.A.S.Psi.M.Si _ SERTIFIKAT BerAKHLAK")</f>
        <v>4856_ROHANI.A.S.Psi.M.Si _ SERTIFIKAT BerAKHLAK</v>
      </c>
      <c r="P4857" s="5" t="s">
        <v>31989</v>
      </c>
    </row>
    <row r="4858">
      <c r="A4858" s="4">
        <v>45534.35464884259</v>
      </c>
      <c r="B4858" s="5" t="s">
        <v>34</v>
      </c>
      <c r="D4858" s="5" t="s">
        <v>4775</v>
      </c>
      <c r="E4858" s="5" t="s">
        <v>32004</v>
      </c>
      <c r="F4858" s="5" t="s">
        <v>524</v>
      </c>
      <c r="G4858" s="5" t="s">
        <v>32005</v>
      </c>
      <c r="H4858" s="6" t="s">
        <v>32006</v>
      </c>
      <c r="I4858" s="7" t="s">
        <v>32007</v>
      </c>
      <c r="J4858" s="8" t="str">
        <f>HYPERLINK("https://drive.google.com/file/d/1shnbRAuA-xtQ2TR-EPTvLOwatrB0i4SB/view?usp=drivesdk","DESY ARISANDI.A.Md SERTIFIKAT BerAKHLAK")</f>
        <v>DESY ARISANDI.A.Md SERTIFIKAT BerAKHLAK</v>
      </c>
      <c r="K4858" s="5" t="s">
        <v>31298</v>
      </c>
      <c r="L4858" s="5" t="s">
        <v>32008</v>
      </c>
      <c r="M4858" s="5" t="s">
        <v>32009</v>
      </c>
      <c r="N4858" s="7" t="s">
        <v>32010</v>
      </c>
      <c r="O4858" s="8" t="str">
        <f>HYPERLINK("https://drive.google.com/file/d/14MwhtA3bAshTS5EGyD5SsbeJhl_eB5um/view?usp=drivesdk","4857_DESY ARISANDI.A.Md _ SERTIFIKAT BerAKHLAK")</f>
        <v>4857_DESY ARISANDI.A.Md _ SERTIFIKAT BerAKHLAK</v>
      </c>
      <c r="P4858" s="5" t="s">
        <v>31989</v>
      </c>
    </row>
    <row r="4859">
      <c r="A4859" s="4">
        <v>45534.354659756944</v>
      </c>
      <c r="B4859" s="5" t="s">
        <v>34</v>
      </c>
      <c r="D4859" s="5" t="s">
        <v>1206</v>
      </c>
      <c r="E4859" s="5" t="s">
        <v>32011</v>
      </c>
      <c r="F4859" s="5" t="s">
        <v>37</v>
      </c>
      <c r="G4859" s="5" t="s">
        <v>32012</v>
      </c>
      <c r="H4859" s="6" t="s">
        <v>32013</v>
      </c>
      <c r="I4859" s="7" t="s">
        <v>32014</v>
      </c>
      <c r="J4859" s="8" t="str">
        <f>HYPERLINK("https://drive.google.com/file/d/1VQ_vob2ctJP-ZPbHAo4wR5Ht9Yq_4ILs/view?usp=drivesdk","HERRY WICAKSOKO SERTIFIKAT BerAKHLAK")</f>
        <v>HERRY WICAKSOKO SERTIFIKAT BerAKHLAK</v>
      </c>
      <c r="K4859" s="5" t="s">
        <v>31298</v>
      </c>
      <c r="L4859" s="5" t="s">
        <v>32015</v>
      </c>
      <c r="M4859" s="5" t="s">
        <v>32016</v>
      </c>
      <c r="N4859" s="7" t="s">
        <v>32017</v>
      </c>
      <c r="O4859" s="8" t="str">
        <f>HYPERLINK("https://drive.google.com/file/d/1p-tCNdIHS9FeWD_WNfdq0Wmb_WL07HsV/view?usp=drivesdk","4858_HERRY WICAKSOKO _ SERTIFIKAT BerAKHLAK")</f>
        <v>4858_HERRY WICAKSOKO _ SERTIFIKAT BerAKHLAK</v>
      </c>
      <c r="P4859" s="5" t="s">
        <v>32018</v>
      </c>
    </row>
    <row r="4860">
      <c r="A4860" s="4">
        <v>45534.3546600463</v>
      </c>
      <c r="B4860" s="5" t="s">
        <v>34</v>
      </c>
      <c r="D4860" s="5" t="s">
        <v>580</v>
      </c>
      <c r="E4860" s="5" t="s">
        <v>32019</v>
      </c>
      <c r="F4860" s="5" t="s">
        <v>22</v>
      </c>
      <c r="G4860" s="5" t="s">
        <v>32020</v>
      </c>
      <c r="H4860" s="6" t="s">
        <v>32021</v>
      </c>
      <c r="I4860" s="7" t="s">
        <v>32022</v>
      </c>
      <c r="J4860" s="8" t="str">
        <f>HYPERLINK("https://drive.google.com/file/d/1UPsCNxS4XnO84-nP2omc3SnDQv6j3nP2/view?usp=drivesdk","dr. KETUT SUKADANI, S. Ked SERTIFIKAT BerAKHLAK")</f>
        <v>dr. KETUT SUKADANI, S. Ked SERTIFIKAT BerAKHLAK</v>
      </c>
      <c r="K4860" s="5" t="s">
        <v>31978</v>
      </c>
      <c r="L4860" s="5" t="s">
        <v>32023</v>
      </c>
      <c r="M4860" s="5" t="s">
        <v>32024</v>
      </c>
      <c r="N4860" s="7" t="s">
        <v>32025</v>
      </c>
      <c r="O4860" s="8" t="str">
        <f>HYPERLINK("https://drive.google.com/file/d/1QpLB551VJhb7SBNOQmJBtwt_0OKfjQfH/view?usp=drivesdk","4859_dr. KETUT SUKADANI, S. Ked _ SERTIFIKAT BerAKHLAK")</f>
        <v>4859_dr. KETUT SUKADANI, S. Ked _ SERTIFIKAT BerAKHLAK</v>
      </c>
      <c r="P4860" s="5" t="s">
        <v>32018</v>
      </c>
    </row>
    <row r="4861">
      <c r="A4861" s="4">
        <v>45534.354669849534</v>
      </c>
      <c r="B4861" s="5" t="s">
        <v>34</v>
      </c>
      <c r="D4861" s="5" t="s">
        <v>4775</v>
      </c>
      <c r="E4861" s="5" t="s">
        <v>32026</v>
      </c>
      <c r="F4861" s="5" t="s">
        <v>120</v>
      </c>
      <c r="G4861" s="5" t="s">
        <v>32027</v>
      </c>
      <c r="H4861" s="6" t="s">
        <v>32028</v>
      </c>
      <c r="K4861" s="5" t="s">
        <v>32029</v>
      </c>
      <c r="M4861" s="5" t="s">
        <v>32030</v>
      </c>
      <c r="N4861" s="7" t="s">
        <v>32031</v>
      </c>
      <c r="O4861" s="8" t="str">
        <f>HYPERLINK("https://drive.google.com/file/d/18yIMlDsuiWCoT5di_0IJJVFuswfDwITK/view?usp=drivesdk","4860_DRG. INAJATI JUSUF ARIFIN SP.KG _ SERTIFIKAT BerAKHLAK")</f>
        <v>4860_DRG. INAJATI JUSUF ARIFIN SP.KG _ SERTIFIKAT BerAKHLAK</v>
      </c>
      <c r="P4861" s="5" t="s">
        <v>32018</v>
      </c>
    </row>
    <row r="4862">
      <c r="A4862" s="4">
        <v>45534.35467425926</v>
      </c>
      <c r="B4862" s="5" t="s">
        <v>34</v>
      </c>
      <c r="D4862" s="5" t="s">
        <v>1206</v>
      </c>
      <c r="E4862" s="5" t="s">
        <v>32032</v>
      </c>
      <c r="F4862" s="5" t="s">
        <v>524</v>
      </c>
      <c r="G4862" s="5" t="s">
        <v>32033</v>
      </c>
      <c r="H4862" s="6" t="s">
        <v>32034</v>
      </c>
      <c r="K4862" s="5" t="s">
        <v>32029</v>
      </c>
      <c r="M4862" s="5" t="s">
        <v>32035</v>
      </c>
      <c r="N4862" s="7" t="s">
        <v>32036</v>
      </c>
      <c r="O4862" s="8" t="str">
        <f>HYPERLINK("https://drive.google.com/file/d/1e8_iwOkpfAoI6Kwp4N9D9Hl7MfQA7iTq/view?usp=drivesdk","4861_RIKO PURWANTO, A.Md., S.E. _ SERTIFIKAT BerAKHLAK")</f>
        <v>4861_RIKO PURWANTO, A.Md., S.E. _ SERTIFIKAT BerAKHLAK</v>
      </c>
      <c r="P4862" s="5" t="s">
        <v>32018</v>
      </c>
    </row>
    <row r="4863" hidden="1">
      <c r="A4863" s="4">
        <v>45534.35467438657</v>
      </c>
      <c r="B4863" s="5" t="s">
        <v>19</v>
      </c>
      <c r="C4863" s="5" t="s">
        <v>3301</v>
      </c>
      <c r="E4863" s="5" t="s">
        <v>32037</v>
      </c>
      <c r="F4863" s="5" t="s">
        <v>72</v>
      </c>
      <c r="G4863" s="5" t="s">
        <v>32038</v>
      </c>
      <c r="H4863" s="6" t="s">
        <v>32039</v>
      </c>
      <c r="K4863" s="5" t="s">
        <v>32029</v>
      </c>
      <c r="M4863" s="5" t="s">
        <v>32040</v>
      </c>
      <c r="N4863" s="7" t="s">
        <v>32041</v>
      </c>
      <c r="O4863" s="8" t="str">
        <f>HYPERLINK("https://drive.google.com/file/d/156oVR6R6wfhPHsAs34JKGogfz0UO-72Z/view?usp=drivesdk","4862_NOLI KUSUMAWANTI, A.Md.Keb _ SERTIFIKAT BerAKHLAK")</f>
        <v>4862_NOLI KUSUMAWANTI, A.Md.Keb _ SERTIFIKAT BerAKHLAK</v>
      </c>
      <c r="P4863" s="5" t="s">
        <v>32018</v>
      </c>
    </row>
    <row r="4864">
      <c r="A4864" s="4">
        <v>45534.354677372685</v>
      </c>
      <c r="B4864" s="5" t="s">
        <v>34</v>
      </c>
      <c r="D4864" s="5" t="s">
        <v>4775</v>
      </c>
      <c r="E4864" s="5" t="s">
        <v>32042</v>
      </c>
      <c r="F4864" s="5" t="s">
        <v>524</v>
      </c>
      <c r="G4864" s="5" t="s">
        <v>32043</v>
      </c>
      <c r="H4864" s="6" t="s">
        <v>32044</v>
      </c>
      <c r="K4864" s="5" t="s">
        <v>32029</v>
      </c>
      <c r="M4864" s="5" t="s">
        <v>32045</v>
      </c>
      <c r="N4864" s="7" t="s">
        <v>32046</v>
      </c>
      <c r="O4864" s="8" t="str">
        <f>HYPERLINK("https://drive.google.com/file/d/1lmxsBNreE9LrSmnydBIzrXo2RXDYocSH/view?usp=drivesdk","4863_NUR ANIFAH  _ SERTIFIKAT BerAKHLAK")</f>
        <v>4863_NUR ANIFAH  _ SERTIFIKAT BerAKHLAK</v>
      </c>
      <c r="P4864" s="5" t="s">
        <v>32047</v>
      </c>
    </row>
    <row r="4865">
      <c r="A4865" s="4">
        <v>45534.354686412036</v>
      </c>
      <c r="B4865" s="5" t="s">
        <v>34</v>
      </c>
      <c r="D4865" s="5" t="s">
        <v>3849</v>
      </c>
      <c r="E4865" s="5" t="s">
        <v>32048</v>
      </c>
      <c r="F4865" s="5" t="s">
        <v>108</v>
      </c>
      <c r="G4865" s="5" t="s">
        <v>32049</v>
      </c>
      <c r="H4865" s="6" t="s">
        <v>32050</v>
      </c>
      <c r="K4865" s="5" t="s">
        <v>32029</v>
      </c>
      <c r="M4865" s="5" t="s">
        <v>32051</v>
      </c>
      <c r="N4865" s="7" t="s">
        <v>32052</v>
      </c>
      <c r="O4865" s="8" t="str">
        <f>HYPERLINK("https://drive.google.com/file/d/1OH2eoo3Jc7V3RsFrNwk4tRNFFXXoIebl/view?usp=drivesdk","4864_BOBBY DIMAS PUSPONEGORO  _ SERTIFIKAT BerAKHLAK")</f>
        <v>4864_BOBBY DIMAS PUSPONEGORO  _ SERTIFIKAT BerAKHLAK</v>
      </c>
      <c r="P4865" s="5" t="s">
        <v>32047</v>
      </c>
    </row>
    <row r="4866">
      <c r="A4866" s="4">
        <v>45534.35469064815</v>
      </c>
      <c r="B4866" s="5" t="s">
        <v>34</v>
      </c>
      <c r="D4866" s="5" t="s">
        <v>4775</v>
      </c>
      <c r="E4866" s="5" t="s">
        <v>32053</v>
      </c>
      <c r="F4866" s="5" t="s">
        <v>37</v>
      </c>
      <c r="G4866" s="5" t="s">
        <v>32054</v>
      </c>
      <c r="H4866" s="6" t="s">
        <v>32055</v>
      </c>
      <c r="K4866" s="5" t="s">
        <v>32029</v>
      </c>
      <c r="M4866" s="5" t="s">
        <v>32056</v>
      </c>
      <c r="N4866" s="7" t="s">
        <v>32057</v>
      </c>
      <c r="O4866" s="8" t="str">
        <f>HYPERLINK("https://drive.google.com/file/d/1cOTH1injlrJZRdcTKZqSKUzBCXSlUwFC/view?usp=drivesdk","4865_DANNANG SAPUTRO  _ SERTIFIKAT BerAKHLAK")</f>
        <v>4865_DANNANG SAPUTRO  _ SERTIFIKAT BerAKHLAK</v>
      </c>
      <c r="P4866" s="5" t="s">
        <v>32047</v>
      </c>
    </row>
    <row r="4867">
      <c r="A4867" s="4">
        <v>45534.354693472225</v>
      </c>
      <c r="B4867" s="5" t="s">
        <v>34</v>
      </c>
      <c r="D4867" s="5" t="s">
        <v>3849</v>
      </c>
      <c r="E4867" s="5" t="s">
        <v>32058</v>
      </c>
      <c r="F4867" s="5" t="s">
        <v>37</v>
      </c>
      <c r="G4867" s="5" t="s">
        <v>32059</v>
      </c>
      <c r="H4867" s="6" t="s">
        <v>32060</v>
      </c>
      <c r="K4867" s="5" t="s">
        <v>32029</v>
      </c>
      <c r="M4867" s="5" t="s">
        <v>32061</v>
      </c>
      <c r="N4867" s="7" t="s">
        <v>32062</v>
      </c>
      <c r="O4867" s="8" t="str">
        <f>HYPERLINK("https://drive.google.com/file/d/1PYPOlJlleoGrQEx9coGFVpMVsGnqzCtT/view?usp=drivesdk","4866_SHELLA OCTAVIA, A.Md.Kep _ SERTIFIKAT BerAKHLAK")</f>
        <v>4866_SHELLA OCTAVIA, A.Md.Kep _ SERTIFIKAT BerAKHLAK</v>
      </c>
      <c r="P4867" s="5" t="s">
        <v>32047</v>
      </c>
    </row>
    <row r="4868">
      <c r="A4868" s="4">
        <v>45534.35470869213</v>
      </c>
      <c r="B4868" s="5" t="s">
        <v>34</v>
      </c>
      <c r="D4868" s="5" t="s">
        <v>6232</v>
      </c>
      <c r="E4868" s="5" t="s">
        <v>32063</v>
      </c>
      <c r="F4868" s="5" t="s">
        <v>524</v>
      </c>
      <c r="G4868" s="5" t="s">
        <v>32064</v>
      </c>
      <c r="H4868" s="6" t="s">
        <v>32065</v>
      </c>
      <c r="I4868" s="7" t="s">
        <v>32066</v>
      </c>
      <c r="J4868" s="8" t="str">
        <f>HYPERLINK("https://drive.google.com/file/d/1rLm-LxLQQj_k88g3z5lCw-b-iCYejGZj/view?usp=drivesdk","LISRI OKTARIDA, S.PD SERTIFIKAT BerAKHLAK")</f>
        <v>LISRI OKTARIDA, S.PD SERTIFIKAT BerAKHLAK</v>
      </c>
      <c r="K4868" s="5" t="s">
        <v>31118</v>
      </c>
      <c r="L4868" s="5" t="s">
        <v>32067</v>
      </c>
      <c r="M4868" s="5" t="s">
        <v>32068</v>
      </c>
      <c r="N4868" s="7" t="s">
        <v>32069</v>
      </c>
      <c r="O4868" s="8" t="str">
        <f>HYPERLINK("https://drive.google.com/file/d/1qgOw1F1mH7TRx6n9-dGMHbzOQJwGg2if/view?usp=drivesdk","4867_LISRI OKTARIDA, S.PD _ SERTIFIKAT BerAKHLAK")</f>
        <v>4867_LISRI OKTARIDA, S.PD _ SERTIFIKAT BerAKHLAK</v>
      </c>
      <c r="P4868" s="5" t="s">
        <v>32047</v>
      </c>
    </row>
    <row r="4869">
      <c r="A4869" s="4">
        <v>45534.35471559028</v>
      </c>
      <c r="B4869" s="5" t="s">
        <v>34</v>
      </c>
      <c r="D4869" s="5" t="s">
        <v>4775</v>
      </c>
      <c r="E4869" s="5" t="s">
        <v>32070</v>
      </c>
      <c r="F4869" s="5" t="s">
        <v>120</v>
      </c>
      <c r="G4869" s="5" t="s">
        <v>32071</v>
      </c>
      <c r="H4869" s="6" t="s">
        <v>32072</v>
      </c>
      <c r="I4869" s="7" t="s">
        <v>32073</v>
      </c>
      <c r="J4869" s="8" t="str">
        <f>HYPERLINK("https://drive.google.com/file/d/1ImQ7_FVlfdkpCwqCBeeORvW7ga4COViy/view?usp=drivesdk","dr MICHAEL KHRISTIAWAN ARIESTADI SERTIFIKAT BerAKHLAK")</f>
        <v>dr MICHAEL KHRISTIAWAN ARIESTADI SERTIFIKAT BerAKHLAK</v>
      </c>
      <c r="K4869" s="5" t="s">
        <v>31298</v>
      </c>
      <c r="L4869" s="5" t="s">
        <v>32074</v>
      </c>
      <c r="M4869" s="5" t="s">
        <v>32075</v>
      </c>
      <c r="N4869" s="7" t="s">
        <v>32076</v>
      </c>
      <c r="O4869" s="8" t="str">
        <f>HYPERLINK("https://drive.google.com/file/d/1aLCBv_xJKtM4Cx1haHpCCSkfHOpKoig5/view?usp=drivesdk","4868_dr MICHAEL KHRISTIAWAN ARIESTADI _ SERTIFIKAT BerAKHLAK")</f>
        <v>4868_dr MICHAEL KHRISTIAWAN ARIESTADI _ SERTIFIKAT BerAKHLAK</v>
      </c>
      <c r="P4869" s="5" t="s">
        <v>32077</v>
      </c>
    </row>
    <row r="4870">
      <c r="A4870" s="4">
        <v>45534.354729212966</v>
      </c>
      <c r="B4870" s="5" t="s">
        <v>34</v>
      </c>
      <c r="D4870" s="5" t="s">
        <v>267</v>
      </c>
      <c r="E4870" s="5" t="s">
        <v>32078</v>
      </c>
      <c r="F4870" s="5" t="s">
        <v>108</v>
      </c>
      <c r="G4870" s="5" t="s">
        <v>32079</v>
      </c>
      <c r="H4870" s="6" t="s">
        <v>32080</v>
      </c>
      <c r="I4870" s="7" t="s">
        <v>32081</v>
      </c>
      <c r="J4870" s="8" t="str">
        <f>HYPERLINK("https://drive.google.com/file/d/1CdEQyYvLNTRD6SOCTHnEzNq4_7idYSso/view?usp=drivesdk","SRI WAHYUNINGSIH SERTIFIKAT BerAKHLAK")</f>
        <v>SRI WAHYUNINGSIH SERTIFIKAT BerAKHLAK</v>
      </c>
      <c r="K4870" s="5" t="s">
        <v>31298</v>
      </c>
      <c r="L4870" s="5" t="s">
        <v>32082</v>
      </c>
      <c r="M4870" s="5" t="s">
        <v>32083</v>
      </c>
      <c r="N4870" s="7" t="s">
        <v>32084</v>
      </c>
      <c r="O4870" s="8" t="str">
        <f>HYPERLINK("https://drive.google.com/file/d/1rK7Nsy8Xxa4-MzZ8Qw9VecAS-hD2UGAp/view?usp=drivesdk","4869_SRI WAHYUNINGSIH _ SERTIFIKAT BerAKHLAK")</f>
        <v>4869_SRI WAHYUNINGSIH _ SERTIFIKAT BerAKHLAK</v>
      </c>
      <c r="P4870" s="5" t="s">
        <v>32077</v>
      </c>
    </row>
    <row r="4871">
      <c r="A4871" s="4">
        <v>45534.354735925925</v>
      </c>
      <c r="B4871" s="5" t="s">
        <v>34</v>
      </c>
      <c r="D4871" s="5" t="s">
        <v>10444</v>
      </c>
      <c r="E4871" s="5" t="s">
        <v>32085</v>
      </c>
      <c r="F4871" s="5" t="s">
        <v>524</v>
      </c>
      <c r="G4871" s="5" t="s">
        <v>32086</v>
      </c>
      <c r="H4871" s="6" t="s">
        <v>32087</v>
      </c>
      <c r="I4871" s="7" t="s">
        <v>32088</v>
      </c>
      <c r="J4871" s="8" t="str">
        <f>HYPERLINK("https://drive.google.com/file/d/1RDp-e9RUvDTNl1NQHtFv1UNXtdMvZDR6/view?usp=drivesdk","RENDI EKA PUTRA, Amd SERTIFIKAT BerAKHLAK")</f>
        <v>RENDI EKA PUTRA, Amd SERTIFIKAT BerAKHLAK</v>
      </c>
      <c r="K4871" s="5" t="s">
        <v>31298</v>
      </c>
      <c r="L4871" s="5" t="s">
        <v>32089</v>
      </c>
      <c r="M4871" s="5" t="s">
        <v>32090</v>
      </c>
      <c r="N4871" s="7" t="s">
        <v>32091</v>
      </c>
      <c r="O4871" s="8" t="str">
        <f>HYPERLINK("https://drive.google.com/file/d/1yZYbZJ17yitfRVqDCj46vk5Pkcv4u76m/view?usp=drivesdk","4870_RENDI EKA PUTRA, Amd _ SERTIFIKAT BerAKHLAK")</f>
        <v>4870_RENDI EKA PUTRA, Amd _ SERTIFIKAT BerAKHLAK</v>
      </c>
      <c r="P4871" s="5" t="s">
        <v>32077</v>
      </c>
    </row>
    <row r="4872">
      <c r="A4872" s="4">
        <v>45534.354742696756</v>
      </c>
      <c r="B4872" s="5" t="s">
        <v>34</v>
      </c>
      <c r="D4872" s="5" t="s">
        <v>10444</v>
      </c>
      <c r="E4872" s="5" t="s">
        <v>32092</v>
      </c>
      <c r="F4872" s="5" t="s">
        <v>212</v>
      </c>
      <c r="G4872" s="5" t="s">
        <v>32093</v>
      </c>
      <c r="H4872" s="6" t="s">
        <v>32094</v>
      </c>
      <c r="I4872" s="7" t="s">
        <v>32095</v>
      </c>
      <c r="J4872" s="8" t="str">
        <f>HYPERLINK("https://drive.google.com/file/d/1_OExGGBjAdYQ2E52VniESZK8P8IKaBBh/view?usp=drivesdk","MASNIARDI, A.Md.,Kep. SERTIFIKAT BerAKHLAK")</f>
        <v>MASNIARDI, A.Md.,Kep. SERTIFIKAT BerAKHLAK</v>
      </c>
      <c r="K4872" s="5" t="s">
        <v>31298</v>
      </c>
      <c r="L4872" s="5" t="s">
        <v>32096</v>
      </c>
      <c r="M4872" s="5" t="s">
        <v>32097</v>
      </c>
      <c r="N4872" s="7" t="s">
        <v>32098</v>
      </c>
      <c r="O4872" s="8" t="str">
        <f>HYPERLINK("https://drive.google.com/file/d/17hFpvEsiQVlBVFmitLvk3BLS-usPY1HL/view?usp=drivesdk","4871_MASNIARDI, A.Md.,Kep. _ SERTIFIKAT BerAKHLAK")</f>
        <v>4871_MASNIARDI, A.Md.,Kep. _ SERTIFIKAT BerAKHLAK</v>
      </c>
      <c r="P4872" s="5" t="s">
        <v>32077</v>
      </c>
    </row>
    <row r="4873">
      <c r="A4873" s="4">
        <v>45534.35474445602</v>
      </c>
      <c r="B4873" s="5" t="s">
        <v>34</v>
      </c>
      <c r="D4873" s="5" t="s">
        <v>522</v>
      </c>
      <c r="E4873" s="5" t="s">
        <v>32099</v>
      </c>
      <c r="F4873" s="5" t="s">
        <v>212</v>
      </c>
      <c r="G4873" s="5" t="s">
        <v>32100</v>
      </c>
      <c r="H4873" s="6" t="s">
        <v>32101</v>
      </c>
      <c r="I4873" s="7" t="s">
        <v>32102</v>
      </c>
      <c r="J4873" s="8" t="str">
        <f>HYPERLINK("https://drive.google.com/file/d/1ArVLOnZqcX5jehh3bn10vVF2xghjwvsr/view?usp=drivesdk","KOMANG SUDIARTA SERTIFIKAT BerAKHLAK")</f>
        <v>KOMANG SUDIARTA SERTIFIKAT BerAKHLAK</v>
      </c>
      <c r="K4873" s="5" t="s">
        <v>31298</v>
      </c>
      <c r="L4873" s="5" t="s">
        <v>32103</v>
      </c>
      <c r="M4873" s="5" t="s">
        <v>32104</v>
      </c>
      <c r="N4873" s="7" t="s">
        <v>32105</v>
      </c>
      <c r="O4873" s="8" t="str">
        <f>HYPERLINK("https://drive.google.com/file/d/1OQ_v2ATNApOE9uspiBMssnumD_eKSEze/view?usp=drivesdk","4872_KOMANG SUDIARTA _ SERTIFIKAT BerAKHLAK")</f>
        <v>4872_KOMANG SUDIARTA _ SERTIFIKAT BerAKHLAK</v>
      </c>
      <c r="P4873" s="5" t="s">
        <v>32077</v>
      </c>
    </row>
    <row r="4874">
      <c r="A4874" s="4">
        <v>45534.35475375</v>
      </c>
      <c r="B4874" s="5" t="s">
        <v>34</v>
      </c>
      <c r="D4874" s="5" t="s">
        <v>12978</v>
      </c>
      <c r="E4874" s="5" t="s">
        <v>29221</v>
      </c>
      <c r="F4874" s="5" t="s">
        <v>108</v>
      </c>
      <c r="G4874" s="5" t="s">
        <v>32106</v>
      </c>
      <c r="H4874" s="6" t="s">
        <v>32107</v>
      </c>
      <c r="I4874" s="7" t="s">
        <v>32108</v>
      </c>
      <c r="J4874" s="8" t="str">
        <f>HYPERLINK("https://drive.google.com/file/d/1FCgDK4qVLeiaw-oGJRpF-EQPjuX0vnda/view?usp=drivesdk","SUSILAWATI SERTIFIKAT BerAKHLAK")</f>
        <v>SUSILAWATI SERTIFIKAT BerAKHLAK</v>
      </c>
      <c r="K4874" s="5" t="s">
        <v>31298</v>
      </c>
      <c r="L4874" s="5" t="s">
        <v>32109</v>
      </c>
      <c r="M4874" s="5" t="s">
        <v>32110</v>
      </c>
      <c r="N4874" s="7" t="s">
        <v>32111</v>
      </c>
      <c r="O4874" s="8" t="str">
        <f>HYPERLINK("https://drive.google.com/file/d/1FuYUs_I2qk5O8HNEZJQpeJFlbIxgAvIy/view?usp=drivesdk","4873_SUSILAWATI _ SERTIFIKAT BerAKHLAK")</f>
        <v>4873_SUSILAWATI _ SERTIFIKAT BerAKHLAK</v>
      </c>
      <c r="P4874" s="5" t="s">
        <v>32112</v>
      </c>
    </row>
    <row r="4875">
      <c r="A4875" s="4">
        <v>45534.35475896991</v>
      </c>
      <c r="B4875" s="5" t="s">
        <v>34</v>
      </c>
      <c r="D4875" s="5" t="s">
        <v>10444</v>
      </c>
      <c r="E4875" s="5" t="s">
        <v>32113</v>
      </c>
      <c r="F4875" s="5" t="s">
        <v>120</v>
      </c>
      <c r="G4875" s="5" t="s">
        <v>32114</v>
      </c>
      <c r="H4875" s="6" t="s">
        <v>32115</v>
      </c>
      <c r="I4875" s="7" t="s">
        <v>32116</v>
      </c>
      <c r="J4875" s="8" t="str">
        <f>HYPERLINK("https://drive.google.com/file/d/1RFLC5JYAJ2EgnXkwa8obq5GIV14-qu9o/view?usp=drivesdk","EKO PRASATYO, S.E SERTIFIKAT BerAKHLAK")</f>
        <v>EKO PRASATYO, S.E SERTIFIKAT BerAKHLAK</v>
      </c>
      <c r="K4875" s="5" t="s">
        <v>31298</v>
      </c>
      <c r="L4875" s="5" t="s">
        <v>32117</v>
      </c>
      <c r="M4875" s="5" t="s">
        <v>32118</v>
      </c>
      <c r="N4875" s="7" t="s">
        <v>32119</v>
      </c>
      <c r="O4875" s="8" t="str">
        <f>HYPERLINK("https://drive.google.com/file/d/1rJR4uFEHDBAthkZwSCWlXoGIL0LDzKGU/view?usp=drivesdk","4874_EKO PRASATYO, S.E _ SERTIFIKAT BerAKHLAK")</f>
        <v>4874_EKO PRASATYO, S.E _ SERTIFIKAT BerAKHLAK</v>
      </c>
      <c r="P4875" s="5" t="s">
        <v>32112</v>
      </c>
    </row>
    <row r="4876">
      <c r="A4876" s="4">
        <v>45534.35476327546</v>
      </c>
      <c r="B4876" s="5" t="s">
        <v>34</v>
      </c>
      <c r="D4876" s="5" t="s">
        <v>4775</v>
      </c>
      <c r="E4876" s="5" t="s">
        <v>32120</v>
      </c>
      <c r="F4876" s="5" t="s">
        <v>524</v>
      </c>
      <c r="G4876" s="5" t="s">
        <v>32121</v>
      </c>
      <c r="H4876" s="6" t="s">
        <v>32122</v>
      </c>
      <c r="K4876" s="5" t="s">
        <v>32123</v>
      </c>
      <c r="M4876" s="5" t="s">
        <v>32124</v>
      </c>
      <c r="N4876" s="7" t="s">
        <v>32125</v>
      </c>
      <c r="O4876" s="8" t="str">
        <f>HYPERLINK("https://drive.google.com/file/d/1wf90RFd_GXtHkUoK25qKASxceBfDENtL/view?usp=drivesdk","4875_YANI IRAWATI,S.Kep _ SERTIFIKAT BerAKHLAK")</f>
        <v>4875_YANI IRAWATI,S.Kep _ SERTIFIKAT BerAKHLAK</v>
      </c>
      <c r="P4876" s="5" t="s">
        <v>32112</v>
      </c>
    </row>
    <row r="4877">
      <c r="A4877" s="4">
        <v>45534.35478083334</v>
      </c>
      <c r="B4877" s="5" t="s">
        <v>34</v>
      </c>
      <c r="D4877" s="5" t="s">
        <v>4775</v>
      </c>
      <c r="E4877" s="5" t="s">
        <v>32126</v>
      </c>
      <c r="F4877" s="5" t="s">
        <v>328</v>
      </c>
      <c r="G4877" s="5" t="s">
        <v>32127</v>
      </c>
      <c r="H4877" s="6" t="s">
        <v>32128</v>
      </c>
      <c r="I4877" s="7" t="s">
        <v>32129</v>
      </c>
      <c r="J4877" s="8" t="str">
        <f>HYPERLINK("https://drive.google.com/file/d/17XtC-aW6TN9cadVKwPHy_3prJGylvNhT/view?usp=drivesdk","ACHMAD TOHIR SERTIFIKAT BerAKHLAK")</f>
        <v>ACHMAD TOHIR SERTIFIKAT BerAKHLAK</v>
      </c>
      <c r="K4877" s="5" t="s">
        <v>31298</v>
      </c>
      <c r="L4877" s="5" t="s">
        <v>32130</v>
      </c>
      <c r="M4877" s="5" t="s">
        <v>32131</v>
      </c>
      <c r="N4877" s="7" t="s">
        <v>32132</v>
      </c>
      <c r="O4877" s="8" t="str">
        <f>HYPERLINK("https://drive.google.com/file/d/1LZZVD4imAIl6DQw4-Oc28psAYsRep9Ug/view?usp=drivesdk","4876_ACHMAD TOHIR _ SERTIFIKAT BerAKHLAK")</f>
        <v>4876_ACHMAD TOHIR _ SERTIFIKAT BerAKHLAK</v>
      </c>
      <c r="P4877" s="5" t="s">
        <v>32133</v>
      </c>
    </row>
    <row r="4878">
      <c r="A4878" s="4">
        <v>45534.354790405094</v>
      </c>
      <c r="B4878" s="5" t="s">
        <v>34</v>
      </c>
      <c r="D4878" s="5" t="s">
        <v>1558</v>
      </c>
      <c r="E4878" s="5" t="s">
        <v>32134</v>
      </c>
      <c r="F4878" s="5" t="s">
        <v>212</v>
      </c>
      <c r="G4878" s="5" t="s">
        <v>32135</v>
      </c>
      <c r="H4878" s="6" t="s">
        <v>32136</v>
      </c>
      <c r="I4878" s="7" t="s">
        <v>32137</v>
      </c>
      <c r="J4878" s="8" t="str">
        <f>HYPERLINK("https://drive.google.com/file/d/10NvvSvUmnV_riakYk8HVMjNPNRS10uI9/view?usp=drivesdk","WAHYU PRATIWI SERTIFIKAT BerAKHLAK")</f>
        <v>WAHYU PRATIWI SERTIFIKAT BerAKHLAK</v>
      </c>
      <c r="K4878" s="5" t="s">
        <v>31298</v>
      </c>
      <c r="L4878" s="5" t="s">
        <v>32138</v>
      </c>
      <c r="M4878" s="5" t="s">
        <v>32139</v>
      </c>
      <c r="N4878" s="7" t="s">
        <v>32140</v>
      </c>
      <c r="O4878" s="8" t="str">
        <f>HYPERLINK("https://drive.google.com/file/d/1i4qeoIXE5ZPyOus1TlcvZ19NHcXf4EMp/view?usp=drivesdk","4877_WAHYU PRATIWI _ SERTIFIKAT BerAKHLAK")</f>
        <v>4877_WAHYU PRATIWI _ SERTIFIKAT BerAKHLAK</v>
      </c>
      <c r="P4878" s="5" t="s">
        <v>32133</v>
      </c>
    </row>
    <row r="4879">
      <c r="A4879" s="4">
        <v>45534.35479280092</v>
      </c>
      <c r="B4879" s="5" t="s">
        <v>34</v>
      </c>
      <c r="D4879" s="5" t="s">
        <v>1206</v>
      </c>
      <c r="E4879" s="5" t="s">
        <v>32141</v>
      </c>
      <c r="F4879" s="5" t="s">
        <v>37</v>
      </c>
      <c r="G4879" s="5" t="s">
        <v>32142</v>
      </c>
      <c r="H4879" s="6" t="s">
        <v>32143</v>
      </c>
      <c r="I4879" s="7" t="s">
        <v>32144</v>
      </c>
      <c r="J4879" s="8" t="str">
        <f>HYPERLINK("https://drive.google.com/file/d/1CvR4uR084VDS0dv3HsDwQTowAbJ_6GhN/view?usp=drivesdk","DIAN HIDAYAT SERTIFIKAT BerAKHLAK")</f>
        <v>DIAN HIDAYAT SERTIFIKAT BerAKHLAK</v>
      </c>
      <c r="K4879" s="5" t="s">
        <v>31298</v>
      </c>
      <c r="L4879" s="5" t="s">
        <v>32145</v>
      </c>
      <c r="M4879" s="5" t="s">
        <v>32146</v>
      </c>
      <c r="N4879" s="7" t="s">
        <v>32147</v>
      </c>
      <c r="O4879" s="8" t="str">
        <f>HYPERLINK("https://drive.google.com/file/d/1Y4RSMdFJAAXYTKZ1D_OIGGDOit9qrE7F/view?usp=drivesdk","4878_DIAN HIDAYAT _ SERTIFIKAT BerAKHLAK")</f>
        <v>4878_DIAN HIDAYAT _ SERTIFIKAT BerAKHLAK</v>
      </c>
      <c r="P4879" s="5" t="s">
        <v>32133</v>
      </c>
    </row>
    <row r="4880">
      <c r="A4880" s="4">
        <v>45534.354793715276</v>
      </c>
      <c r="B4880" s="5" t="s">
        <v>34</v>
      </c>
      <c r="D4880" s="5" t="s">
        <v>9394</v>
      </c>
      <c r="E4880" s="5" t="s">
        <v>32148</v>
      </c>
      <c r="F4880" s="5" t="s">
        <v>37</v>
      </c>
      <c r="G4880" s="5" t="s">
        <v>32149</v>
      </c>
      <c r="H4880" s="6" t="s">
        <v>32150</v>
      </c>
      <c r="K4880" s="5" t="s">
        <v>32151</v>
      </c>
      <c r="M4880" s="5" t="s">
        <v>32152</v>
      </c>
      <c r="N4880" s="7" t="s">
        <v>32153</v>
      </c>
      <c r="O4880" s="8" t="str">
        <f>HYPERLINK("https://drive.google.com/file/d/1PzBLfiqgUEnCsiY6hJvR1hvxpIjTN_cM/view?usp=drivesdk","4879_VERA DIANA _ SERTIFIKAT BerAKHLAK")</f>
        <v>4879_VERA DIANA _ SERTIFIKAT BerAKHLAK</v>
      </c>
      <c r="P4880" s="5" t="s">
        <v>32133</v>
      </c>
    </row>
    <row r="4881">
      <c r="A4881" s="4">
        <v>45534.354796747684</v>
      </c>
      <c r="B4881" s="5" t="s">
        <v>34</v>
      </c>
      <c r="D4881" s="5" t="s">
        <v>1206</v>
      </c>
      <c r="E4881" s="5" t="s">
        <v>32154</v>
      </c>
      <c r="F4881" s="5" t="s">
        <v>375</v>
      </c>
      <c r="G4881" s="5" t="s">
        <v>32155</v>
      </c>
      <c r="H4881" s="6" t="s">
        <v>32156</v>
      </c>
      <c r="K4881" s="5" t="s">
        <v>32151</v>
      </c>
      <c r="M4881" s="5" t="s">
        <v>32157</v>
      </c>
      <c r="N4881" s="7" t="s">
        <v>32158</v>
      </c>
      <c r="O4881" s="8" t="str">
        <f>HYPERLINK("https://drive.google.com/file/d/1G-4P_8YJSLV93HmhN2ZIl7sOQg8CIbU2/view?usp=drivesdk","4880_Dr. Aullia Dewi Kusumawati, Sp.EM  _ SERTIFIKAT BerAKHLAK")</f>
        <v>4880_Dr. Aullia Dewi Kusumawati, Sp.EM  _ SERTIFIKAT BerAKHLAK</v>
      </c>
      <c r="P4881" s="5" t="s">
        <v>32133</v>
      </c>
    </row>
    <row r="4882">
      <c r="A4882" s="4">
        <v>45534.35481335648</v>
      </c>
      <c r="B4882" s="5" t="s">
        <v>34</v>
      </c>
      <c r="D4882" s="5" t="s">
        <v>1206</v>
      </c>
      <c r="E4882" s="5" t="s">
        <v>25786</v>
      </c>
      <c r="F4882" s="5" t="s">
        <v>37</v>
      </c>
      <c r="G4882" s="5" t="s">
        <v>32159</v>
      </c>
      <c r="H4882" s="6" t="s">
        <v>32160</v>
      </c>
      <c r="I4882" s="7" t="s">
        <v>32161</v>
      </c>
      <c r="J4882" s="8" t="str">
        <f>HYPERLINK("https://drive.google.com/file/d/153lnCdfCtb0Evg0s6W1XzXLDpSzLPgsO/view?usp=drivesdk","SULASTRI SERTIFIKAT BerAKHLAK")</f>
        <v>SULASTRI SERTIFIKAT BerAKHLAK</v>
      </c>
      <c r="K4882" s="5" t="s">
        <v>31298</v>
      </c>
      <c r="L4882" s="5" t="s">
        <v>32162</v>
      </c>
      <c r="M4882" s="5" t="s">
        <v>32163</v>
      </c>
      <c r="N4882" s="7" t="s">
        <v>32164</v>
      </c>
      <c r="O4882" s="8" t="str">
        <f>HYPERLINK("https://drive.google.com/file/d/1BB4zSPIy4_GWtBdKFDoMdB0kTJ-SfR0P/view?usp=drivesdk","4881_SULASTRI _ SERTIFIKAT BerAKHLAK")</f>
        <v>4881_SULASTRI _ SERTIFIKAT BerAKHLAK</v>
      </c>
      <c r="P4882" s="5" t="s">
        <v>32133</v>
      </c>
    </row>
    <row r="4883">
      <c r="A4883" s="4">
        <v>45534.35481875</v>
      </c>
      <c r="B4883" s="5" t="s">
        <v>34</v>
      </c>
      <c r="D4883" s="5" t="s">
        <v>4775</v>
      </c>
      <c r="E4883" s="5" t="s">
        <v>32165</v>
      </c>
      <c r="F4883" s="5" t="s">
        <v>108</v>
      </c>
      <c r="G4883" s="5" t="s">
        <v>32166</v>
      </c>
      <c r="H4883" s="6" t="s">
        <v>32167</v>
      </c>
      <c r="I4883" s="7" t="s">
        <v>32168</v>
      </c>
      <c r="J4883" s="8" t="str">
        <f>HYPERLINK("https://drive.google.com/file/d/1HaS_93jXmOgZj0cCNNMPbL1I9ichA_pC/view?usp=drivesdk","KUSWINI SERTIFIKAT BerAKHLAK")</f>
        <v>KUSWINI SERTIFIKAT BerAKHLAK</v>
      </c>
      <c r="K4883" s="5" t="s">
        <v>31298</v>
      </c>
      <c r="L4883" s="5" t="s">
        <v>32169</v>
      </c>
      <c r="M4883" s="5" t="s">
        <v>32170</v>
      </c>
      <c r="N4883" s="7" t="s">
        <v>32171</v>
      </c>
      <c r="O4883" s="8" t="str">
        <f>HYPERLINK("https://drive.google.com/file/d/1yWSDLnGSGJGq6Vxzk8hbf9Jb9AawiYb6/view?usp=drivesdk","4882_KUSWINI _ SERTIFIKAT BerAKHLAK")</f>
        <v>4882_KUSWINI _ SERTIFIKAT BerAKHLAK</v>
      </c>
      <c r="P4883" s="5" t="s">
        <v>32172</v>
      </c>
    </row>
    <row r="4884">
      <c r="A4884" s="4">
        <v>45534.35483053241</v>
      </c>
      <c r="B4884" s="5" t="s">
        <v>34</v>
      </c>
      <c r="D4884" s="5" t="s">
        <v>9020</v>
      </c>
      <c r="E4884" s="5" t="s">
        <v>32173</v>
      </c>
      <c r="F4884" s="5" t="s">
        <v>72</v>
      </c>
      <c r="G4884" s="5" t="s">
        <v>32174</v>
      </c>
      <c r="H4884" s="6" t="s">
        <v>32175</v>
      </c>
      <c r="I4884" s="7" t="s">
        <v>32176</v>
      </c>
      <c r="J4884" s="8" t="str">
        <f>HYPERLINK("https://drive.google.com/file/d/1gLrI9ECoTEYvQU9_2dO0QLRmSCffGXYA/view?usp=drivesdk","EMA SUSILAWATI SERTIFIKAT BerAKHLAK")</f>
        <v>EMA SUSILAWATI SERTIFIKAT BerAKHLAK</v>
      </c>
      <c r="K4884" s="5" t="s">
        <v>31298</v>
      </c>
      <c r="L4884" s="5" t="s">
        <v>32177</v>
      </c>
      <c r="M4884" s="5" t="s">
        <v>32178</v>
      </c>
      <c r="N4884" s="7" t="s">
        <v>32179</v>
      </c>
      <c r="O4884" s="8" t="str">
        <f>HYPERLINK("https://drive.google.com/file/d/1RrGZBFKl3CFeGQ7CUgomdIxtkfR7ngpt/view?usp=drivesdk","4883_EMA SUSILAWATI _ SERTIFIKAT BerAKHLAK")</f>
        <v>4883_EMA SUSILAWATI _ SERTIFIKAT BerAKHLAK</v>
      </c>
      <c r="P4884" s="5" t="s">
        <v>32172</v>
      </c>
    </row>
    <row r="4885">
      <c r="A4885" s="4">
        <v>45534.35484335649</v>
      </c>
      <c r="B4885" s="5" t="s">
        <v>34</v>
      </c>
      <c r="D4885" s="5" t="s">
        <v>9020</v>
      </c>
      <c r="E4885" s="5" t="s">
        <v>32180</v>
      </c>
      <c r="F4885" s="5" t="s">
        <v>212</v>
      </c>
      <c r="G4885" s="5" t="s">
        <v>32181</v>
      </c>
      <c r="H4885" s="6" t="s">
        <v>32182</v>
      </c>
      <c r="K4885" s="5" t="s">
        <v>32183</v>
      </c>
      <c r="M4885" s="5" t="s">
        <v>32184</v>
      </c>
      <c r="N4885" s="7" t="s">
        <v>32185</v>
      </c>
      <c r="O4885" s="8" t="str">
        <f>HYPERLINK("https://drive.google.com/file/d/1UABsgDMoD8kTKac_3o0RU7lmme7j4gn8/view?usp=drivesdk","4884_ARNISAH _ SERTIFIKAT BerAKHLAK")</f>
        <v>4884_ARNISAH _ SERTIFIKAT BerAKHLAK</v>
      </c>
      <c r="P4885" s="5" t="s">
        <v>32172</v>
      </c>
    </row>
    <row r="4886">
      <c r="A4886" s="4">
        <v>45534.354844236106</v>
      </c>
      <c r="B4886" s="5" t="s">
        <v>34</v>
      </c>
      <c r="D4886" s="5" t="s">
        <v>4775</v>
      </c>
      <c r="E4886" s="5" t="s">
        <v>32186</v>
      </c>
      <c r="F4886" s="5" t="s">
        <v>108</v>
      </c>
      <c r="G4886" s="5" t="s">
        <v>32187</v>
      </c>
      <c r="H4886" s="6" t="s">
        <v>32188</v>
      </c>
      <c r="K4886" s="5" t="s">
        <v>32183</v>
      </c>
      <c r="M4886" s="5" t="s">
        <v>32189</v>
      </c>
      <c r="N4886" s="7" t="s">
        <v>32190</v>
      </c>
      <c r="O4886" s="8" t="str">
        <f>HYPERLINK("https://drive.google.com/file/d/1ZZaSSnutHDOo_fpGrUerBjI3PXRj0YrM/view?usp=drivesdk","4885_SLAMET MURYANI _ SERTIFIKAT BerAKHLAK")</f>
        <v>4885_SLAMET MURYANI _ SERTIFIKAT BerAKHLAK</v>
      </c>
      <c r="P4886" s="5" t="s">
        <v>32172</v>
      </c>
    </row>
    <row r="4887" hidden="1">
      <c r="A4887" s="4">
        <v>45534.35484393519</v>
      </c>
      <c r="B4887" s="5" t="s">
        <v>19</v>
      </c>
      <c r="C4887" s="5" t="s">
        <v>292</v>
      </c>
      <c r="E4887" s="5" t="s">
        <v>32191</v>
      </c>
      <c r="F4887" s="5" t="s">
        <v>212</v>
      </c>
      <c r="G4887" s="5" t="s">
        <v>32192</v>
      </c>
      <c r="H4887" s="6" t="s">
        <v>32193</v>
      </c>
      <c r="K4887" s="5" t="s">
        <v>32183</v>
      </c>
      <c r="M4887" s="5" t="s">
        <v>32194</v>
      </c>
      <c r="N4887" s="7" t="s">
        <v>32195</v>
      </c>
      <c r="O4887" s="8" t="str">
        <f>HYPERLINK("https://drive.google.com/file/d/1tvKpz9Pz1TNX2Zatgj3PNBBvSmNXaZnI/view?usp=drivesdk","4886_ENGKUS. MULYADI.S.IP _ SERTIFIKAT BerAKHLAK")</f>
        <v>4886_ENGKUS. MULYADI.S.IP _ SERTIFIKAT BerAKHLAK</v>
      </c>
      <c r="P4887" s="5" t="s">
        <v>32196</v>
      </c>
    </row>
    <row r="4888">
      <c r="A4888" s="4">
        <v>45534.35484560185</v>
      </c>
      <c r="B4888" s="5" t="s">
        <v>34</v>
      </c>
      <c r="D4888" s="5" t="s">
        <v>6232</v>
      </c>
      <c r="E4888" s="5" t="s">
        <v>32197</v>
      </c>
      <c r="F4888" s="5" t="s">
        <v>108</v>
      </c>
      <c r="G4888" s="5" t="s">
        <v>32198</v>
      </c>
      <c r="H4888" s="6" t="s">
        <v>32199</v>
      </c>
      <c r="K4888" s="5" t="s">
        <v>32183</v>
      </c>
      <c r="M4888" s="5" t="s">
        <v>32200</v>
      </c>
      <c r="N4888" s="7" t="s">
        <v>32201</v>
      </c>
      <c r="O4888" s="8" t="str">
        <f>HYPERLINK("https://drive.google.com/file/d/1G3hHoKyJNErgA_7mxD1OwNIs9ZuRLY_A/view?usp=drivesdk","4887_dr. AYU AMALIA _ SERTIFIKAT BerAKHLAK")</f>
        <v>4887_dr. AYU AMALIA _ SERTIFIKAT BerAKHLAK</v>
      </c>
      <c r="P4888" s="5" t="s">
        <v>32196</v>
      </c>
    </row>
    <row r="4889">
      <c r="A4889" s="4">
        <v>45534.35485185185</v>
      </c>
      <c r="B4889" s="5" t="s">
        <v>34</v>
      </c>
      <c r="D4889" s="5" t="s">
        <v>1206</v>
      </c>
      <c r="E4889" s="5" t="s">
        <v>32202</v>
      </c>
      <c r="F4889" s="5" t="s">
        <v>37</v>
      </c>
      <c r="G4889" s="5" t="s">
        <v>32203</v>
      </c>
      <c r="H4889" s="6" t="s">
        <v>32204</v>
      </c>
      <c r="K4889" s="5" t="s">
        <v>32183</v>
      </c>
      <c r="M4889" s="5" t="s">
        <v>32205</v>
      </c>
      <c r="N4889" s="7" t="s">
        <v>32206</v>
      </c>
      <c r="O4889" s="8" t="str">
        <f>HYPERLINK("https://drive.google.com/file/d/12qdwj_9c0KVW8FfRt6LNT0DR9Uyq2y32/view?usp=drivesdk","4888_SRI WINDARTI _ SERTIFIKAT BerAKHLAK")</f>
        <v>4888_SRI WINDARTI _ SERTIFIKAT BerAKHLAK</v>
      </c>
      <c r="P4889" s="5" t="s">
        <v>32196</v>
      </c>
    </row>
    <row r="4890">
      <c r="A4890" s="4">
        <v>45534.35485878472</v>
      </c>
      <c r="B4890" s="5" t="s">
        <v>34</v>
      </c>
      <c r="D4890" s="5" t="s">
        <v>4775</v>
      </c>
      <c r="E4890" s="5" t="s">
        <v>32207</v>
      </c>
      <c r="F4890" s="5" t="s">
        <v>524</v>
      </c>
      <c r="G4890" s="5" t="s">
        <v>32208</v>
      </c>
      <c r="H4890" s="6" t="s">
        <v>32209</v>
      </c>
      <c r="K4890" s="5" t="s">
        <v>32183</v>
      </c>
      <c r="M4890" s="5" t="s">
        <v>32210</v>
      </c>
      <c r="N4890" s="7" t="s">
        <v>32211</v>
      </c>
      <c r="O4890" s="8" t="str">
        <f>HYPERLINK("https://drive.google.com/file/d/14G1shLcNYz6zYsZbmTMHePZe1KkgYZOY/view?usp=drivesdk","4889_ADELINA CAHYANINGRUM, AMd.Keb _ SERTIFIKAT BerAKHLAK")</f>
        <v>4889_ADELINA CAHYANINGRUM, AMd.Keb _ SERTIFIKAT BerAKHLAK</v>
      </c>
      <c r="P4890" s="5" t="s">
        <v>32196</v>
      </c>
    </row>
    <row r="4891">
      <c r="A4891" s="4">
        <v>45534.35486482639</v>
      </c>
      <c r="B4891" s="5" t="s">
        <v>34</v>
      </c>
      <c r="D4891" s="5" t="s">
        <v>12978</v>
      </c>
      <c r="E4891" s="5" t="s">
        <v>32212</v>
      </c>
      <c r="F4891" s="5" t="s">
        <v>212</v>
      </c>
      <c r="G4891" s="5" t="s">
        <v>32213</v>
      </c>
      <c r="H4891" s="6" t="s">
        <v>32214</v>
      </c>
      <c r="K4891" s="5" t="s">
        <v>32183</v>
      </c>
      <c r="M4891" s="5" t="s">
        <v>32215</v>
      </c>
      <c r="N4891" s="7" t="s">
        <v>32216</v>
      </c>
      <c r="O4891" s="8" t="str">
        <f>HYPERLINK("https://drive.google.com/file/d/1R_F459HPG56XIYCKA81ZfMxg95IhiNu0/view?usp=drivesdk","4890_SRiI HARTATi _ SERTIFIKAT BerAKHLAK")</f>
        <v>4890_SRiI HARTATi _ SERTIFIKAT BerAKHLAK</v>
      </c>
      <c r="P4891" s="5" t="s">
        <v>32217</v>
      </c>
    </row>
    <row r="4892">
      <c r="A4892" s="4">
        <v>45534.35487335648</v>
      </c>
      <c r="B4892" s="5" t="s">
        <v>34</v>
      </c>
      <c r="D4892" s="5" t="s">
        <v>1206</v>
      </c>
      <c r="E4892" s="5" t="s">
        <v>32218</v>
      </c>
      <c r="F4892" s="5" t="s">
        <v>72</v>
      </c>
      <c r="G4892" s="5" t="s">
        <v>32219</v>
      </c>
      <c r="H4892" s="6" t="s">
        <v>32220</v>
      </c>
      <c r="K4892" s="5" t="s">
        <v>32183</v>
      </c>
      <c r="M4892" s="5" t="s">
        <v>32221</v>
      </c>
      <c r="N4892" s="7" t="s">
        <v>32222</v>
      </c>
      <c r="O4892" s="8" t="str">
        <f>HYPERLINK("https://drive.google.com/file/d/1COWIxLEk7nKTxUbg4CVGUIFOsP3XJ1gs/view?usp=drivesdk","4891_ANIK PURWATI SKEP. NERS _ SERTIFIKAT BerAKHLAK")</f>
        <v>4891_ANIK PURWATI SKEP. NERS _ SERTIFIKAT BerAKHLAK</v>
      </c>
      <c r="P4892" s="5" t="s">
        <v>32217</v>
      </c>
    </row>
    <row r="4893">
      <c r="A4893" s="4">
        <v>45534.35488355324</v>
      </c>
      <c r="B4893" s="5" t="s">
        <v>34</v>
      </c>
      <c r="D4893" s="5" t="s">
        <v>580</v>
      </c>
      <c r="E4893" s="5" t="s">
        <v>32223</v>
      </c>
      <c r="F4893" s="5" t="s">
        <v>108</v>
      </c>
      <c r="G4893" s="5" t="s">
        <v>32224</v>
      </c>
      <c r="H4893" s="6" t="s">
        <v>32225</v>
      </c>
      <c r="I4893" s="7" t="s">
        <v>32226</v>
      </c>
      <c r="J4893" s="8" t="str">
        <f>HYPERLINK("https://drive.google.com/file/d/1JXzBCEBBt8n-BpbH_NvUQMuIjygFSzaq/view?usp=drivesdk","PUTU BALIFTA SAVITRI, S.E., M.Si. SERTIFIKAT BerAKHLAK")</f>
        <v>PUTU BALIFTA SAVITRI, S.E., M.Si. SERTIFIKAT BerAKHLAK</v>
      </c>
      <c r="K4893" s="5" t="s">
        <v>31298</v>
      </c>
      <c r="L4893" s="5" t="s">
        <v>32227</v>
      </c>
      <c r="M4893" s="5" t="s">
        <v>32228</v>
      </c>
      <c r="N4893" s="7" t="s">
        <v>32229</v>
      </c>
      <c r="O4893" s="8" t="str">
        <f>HYPERLINK("https://drive.google.com/file/d/1Y7Op9Mk1ICpyJRjpicqJh5x063Ox5R3Q/view?usp=drivesdk","4892_PUTU BALIFTA SAVITRI, S.E., M.Si. _ SERTIFIKAT BerAKHLAK")</f>
        <v>4892_PUTU BALIFTA SAVITRI, S.E., M.Si. _ SERTIFIKAT BerAKHLAK</v>
      </c>
      <c r="P4893" s="5" t="s">
        <v>32230</v>
      </c>
    </row>
    <row r="4894">
      <c r="A4894" s="4">
        <v>45534.354884305554</v>
      </c>
      <c r="B4894" s="5" t="s">
        <v>34</v>
      </c>
      <c r="D4894" s="5" t="s">
        <v>12978</v>
      </c>
      <c r="E4894" s="5" t="s">
        <v>32231</v>
      </c>
      <c r="F4894" s="5" t="s">
        <v>212</v>
      </c>
      <c r="G4894" s="5" t="s">
        <v>32232</v>
      </c>
      <c r="H4894" s="6" t="s">
        <v>32233</v>
      </c>
      <c r="I4894" s="7" t="s">
        <v>32234</v>
      </c>
      <c r="J4894" s="8" t="str">
        <f>HYPERLINK("https://drive.google.com/file/d/1_CGtDz-AMf_hoAoJRXOdRsdcKsqwXLPB/view?usp=drivesdk","HUSNA AGUSTINA SERTIFIKAT BerAKHLAK")</f>
        <v>HUSNA AGUSTINA SERTIFIKAT BerAKHLAK</v>
      </c>
      <c r="K4894" s="5" t="s">
        <v>31298</v>
      </c>
      <c r="L4894" s="5" t="s">
        <v>32235</v>
      </c>
      <c r="M4894" s="5" t="s">
        <v>32236</v>
      </c>
      <c r="N4894" s="7" t="s">
        <v>32237</v>
      </c>
      <c r="O4894" s="8" t="str">
        <f>HYPERLINK("https://drive.google.com/file/d/1Ti-QbWvV3FmN5tzmueRbzstbpPSvHN6M/view?usp=drivesdk","4893_HUSNA AGUSTINA _ SERTIFIKAT BerAKHLAK")</f>
        <v>4893_HUSNA AGUSTINA _ SERTIFIKAT BerAKHLAK</v>
      </c>
      <c r="P4894" s="5" t="s">
        <v>32230</v>
      </c>
    </row>
    <row r="4895">
      <c r="A4895" s="4">
        <v>45534.35491184027</v>
      </c>
      <c r="B4895" s="5" t="s">
        <v>34</v>
      </c>
      <c r="D4895" s="5" t="s">
        <v>10444</v>
      </c>
      <c r="E4895" s="5" t="s">
        <v>32238</v>
      </c>
      <c r="F4895" s="5" t="s">
        <v>375</v>
      </c>
      <c r="G4895" s="5" t="s">
        <v>32239</v>
      </c>
      <c r="H4895" s="6" t="s">
        <v>32240</v>
      </c>
      <c r="I4895" s="7" t="s">
        <v>32241</v>
      </c>
      <c r="J4895" s="8" t="str">
        <f>HYPERLINK("https://drive.google.com/file/d/1tlwaWAWthUvzsgRpz1Kmr0NAV1vaHa2g/view?usp=drivesdk","RAHMAWATI S.Kom SERTIFIKAT BerAKHLAK")</f>
        <v>RAHMAWATI S.Kom SERTIFIKAT BerAKHLAK</v>
      </c>
      <c r="K4895" s="5" t="s">
        <v>31298</v>
      </c>
      <c r="L4895" s="5" t="s">
        <v>32242</v>
      </c>
      <c r="M4895" s="5" t="s">
        <v>32243</v>
      </c>
      <c r="N4895" s="7" t="s">
        <v>32244</v>
      </c>
      <c r="O4895" s="8" t="str">
        <f>HYPERLINK("https://drive.google.com/file/d/1Oc31XHKhHiYwijfwyuFIVhu0JH8bNF2C/view?usp=drivesdk","4894_RAHMAWATI S.Kom _ SERTIFIKAT BerAKHLAK")</f>
        <v>4894_RAHMAWATI S.Kom _ SERTIFIKAT BerAKHLAK</v>
      </c>
      <c r="P4895" s="5" t="s">
        <v>32230</v>
      </c>
    </row>
    <row r="4896">
      <c r="A4896" s="4">
        <v>45534.354917199074</v>
      </c>
      <c r="B4896" s="5" t="s">
        <v>34</v>
      </c>
      <c r="D4896" s="5" t="s">
        <v>1206</v>
      </c>
      <c r="E4896" s="5" t="s">
        <v>32245</v>
      </c>
      <c r="F4896" s="5" t="s">
        <v>37</v>
      </c>
      <c r="G4896" s="5" t="s">
        <v>32246</v>
      </c>
      <c r="H4896" s="6" t="s">
        <v>32247</v>
      </c>
      <c r="I4896" s="7" t="s">
        <v>32248</v>
      </c>
      <c r="J4896" s="8" t="str">
        <f>HYPERLINK("https://drive.google.com/file/d/1GH0WMqJGLAmC4ISNwn95epp_aqcSnVXt/view?usp=drivesdk","LILLAH FITRIA, SS SERTIFIKAT BerAKHLAK")</f>
        <v>LILLAH FITRIA, SS SERTIFIKAT BerAKHLAK</v>
      </c>
      <c r="K4896" s="5" t="s">
        <v>31298</v>
      </c>
      <c r="L4896" s="5" t="s">
        <v>32249</v>
      </c>
      <c r="M4896" s="5" t="s">
        <v>32250</v>
      </c>
      <c r="N4896" s="7" t="s">
        <v>32251</v>
      </c>
      <c r="O4896" s="8" t="str">
        <f>HYPERLINK("https://drive.google.com/file/d/1Y21gdO8VzKyvwPugpf4EbvCt29dd6izh/view?usp=drivesdk","4895_LILLAH FITRIA, SS _ SERTIFIKAT BerAKHLAK")</f>
        <v>4895_LILLAH FITRIA, SS _ SERTIFIKAT BerAKHLAK</v>
      </c>
      <c r="P4896" s="5" t="s">
        <v>32230</v>
      </c>
    </row>
    <row r="4897">
      <c r="A4897" s="4">
        <v>45534.354917627315</v>
      </c>
      <c r="B4897" s="5" t="s">
        <v>34</v>
      </c>
      <c r="D4897" s="5" t="s">
        <v>4775</v>
      </c>
      <c r="E4897" s="5" t="s">
        <v>32252</v>
      </c>
      <c r="F4897" s="5" t="s">
        <v>5859</v>
      </c>
      <c r="G4897" s="5" t="s">
        <v>32253</v>
      </c>
      <c r="H4897" s="6" t="s">
        <v>32254</v>
      </c>
      <c r="I4897" s="7" t="s">
        <v>32255</v>
      </c>
      <c r="J4897" s="8" t="str">
        <f>HYPERLINK("https://drive.google.com/file/d/1tmZDxIvbZN-JpxxyUewdN0yjs4wWWLjs/view?usp=drivesdk","BAPAK NARSO SERTIFIKAT BerAKHLAK")</f>
        <v>BAPAK NARSO SERTIFIKAT BerAKHLAK</v>
      </c>
      <c r="K4897" s="5" t="s">
        <v>31298</v>
      </c>
      <c r="L4897" s="5" t="s">
        <v>32256</v>
      </c>
      <c r="M4897" s="5" t="s">
        <v>32257</v>
      </c>
      <c r="N4897" s="7" t="s">
        <v>32258</v>
      </c>
      <c r="O4897" s="8" t="str">
        <f>HYPERLINK("https://drive.google.com/file/d/1NtbH5sQGXB_xsIzz4C02YEapeBsvhZxR/view?usp=drivesdk","4896_BAPAK NARSO _ SERTIFIKAT BerAKHLAK")</f>
        <v>4896_BAPAK NARSO _ SERTIFIKAT BerAKHLAK</v>
      </c>
      <c r="P4897" s="5" t="s">
        <v>32230</v>
      </c>
    </row>
    <row r="4898">
      <c r="A4898" s="4">
        <v>45534.3549403125</v>
      </c>
      <c r="B4898" s="5" t="s">
        <v>34</v>
      </c>
      <c r="D4898" s="5" t="s">
        <v>4775</v>
      </c>
      <c r="E4898" s="5" t="s">
        <v>32259</v>
      </c>
      <c r="F4898" s="5" t="s">
        <v>37</v>
      </c>
      <c r="G4898" s="5" t="s">
        <v>32260</v>
      </c>
      <c r="H4898" s="6" t="s">
        <v>32261</v>
      </c>
      <c r="I4898" s="7" t="s">
        <v>32262</v>
      </c>
      <c r="J4898" s="8" t="str">
        <f>HYPERLINK("https://drive.google.com/file/d/16rqeuyR4rM5NgWDEzS4-1pY_ubORfw7-/view?usp=drivesdk","CHRISTINA WAHYU WIDHI ASTUTI SERTIFIKAT BerAKHLAK")</f>
        <v>CHRISTINA WAHYU WIDHI ASTUTI SERTIFIKAT BerAKHLAK</v>
      </c>
      <c r="K4898" s="5" t="s">
        <v>31298</v>
      </c>
      <c r="L4898" s="5" t="s">
        <v>32263</v>
      </c>
      <c r="M4898" s="5" t="s">
        <v>32264</v>
      </c>
      <c r="N4898" s="7" t="s">
        <v>32265</v>
      </c>
      <c r="O4898" s="8" t="str">
        <f>HYPERLINK("https://drive.google.com/file/d/1TEDsGGYQEjWwB2yQuvo5fInwWWoPFGB4/view?usp=drivesdk","4897_CHRISTINA WAHYU WIDHI ASTUTI _ SERTIFIKAT BerAKHLAK")</f>
        <v>4897_CHRISTINA WAHYU WIDHI ASTUTI _ SERTIFIKAT BerAKHLAK</v>
      </c>
      <c r="P4898" s="5" t="s">
        <v>32266</v>
      </c>
    </row>
    <row r="4899">
      <c r="A4899" s="4">
        <v>45534.35494363426</v>
      </c>
      <c r="B4899" s="5" t="s">
        <v>34</v>
      </c>
      <c r="D4899" s="5" t="s">
        <v>1206</v>
      </c>
      <c r="E4899" s="5" t="s">
        <v>32267</v>
      </c>
      <c r="F4899" s="5" t="s">
        <v>212</v>
      </c>
      <c r="G4899" s="5" t="s">
        <v>32268</v>
      </c>
      <c r="H4899" s="6" t="s">
        <v>32269</v>
      </c>
      <c r="I4899" s="7" t="s">
        <v>32270</v>
      </c>
      <c r="J4899" s="8" t="str">
        <f>HYPERLINK("https://drive.google.com/file/d/1xHYI4Mz0bvP8zpvVNZtc81nuz5BaQckS/view?usp=drivesdk","PRABOWO SUBEKTI SERTIFIKAT BerAKHLAK")</f>
        <v>PRABOWO SUBEKTI SERTIFIKAT BerAKHLAK</v>
      </c>
      <c r="K4899" s="5" t="s">
        <v>31298</v>
      </c>
      <c r="L4899" s="5" t="s">
        <v>32271</v>
      </c>
      <c r="M4899" s="5" t="s">
        <v>32272</v>
      </c>
      <c r="N4899" s="7" t="s">
        <v>32273</v>
      </c>
      <c r="O4899" s="8" t="str">
        <f>HYPERLINK("https://drive.google.com/file/d/1Hh_5IiIlOokk-0icrKJglhJgrA-KkWgO/view?usp=drivesdk","4898_PRABOWO SUBEKTI _ SERTIFIKAT BerAKHLAK")</f>
        <v>4898_PRABOWO SUBEKTI _ SERTIFIKAT BerAKHLAK</v>
      </c>
      <c r="P4899" s="5" t="s">
        <v>32266</v>
      </c>
    </row>
    <row r="4900">
      <c r="A4900" s="4">
        <v>45534.35495145833</v>
      </c>
      <c r="B4900" s="5" t="s">
        <v>34</v>
      </c>
      <c r="D4900" s="5" t="s">
        <v>7858</v>
      </c>
      <c r="E4900" s="5" t="s">
        <v>32274</v>
      </c>
      <c r="F4900" s="5" t="s">
        <v>37</v>
      </c>
      <c r="G4900" s="5" t="s">
        <v>32275</v>
      </c>
      <c r="H4900" s="6" t="s">
        <v>32276</v>
      </c>
      <c r="I4900" s="7" t="s">
        <v>32277</v>
      </c>
      <c r="J4900" s="8" t="str">
        <f>HYPERLINK("https://drive.google.com/file/d/17THPLLfX9Cp8zr3txe1_i0sQbVMiWflV/view?usp=drivesdk","MANDU HAERANI, S.Ak SERTIFIKAT BerAKHLAK")</f>
        <v>MANDU HAERANI, S.Ak SERTIFIKAT BerAKHLAK</v>
      </c>
      <c r="K4900" s="5" t="s">
        <v>31298</v>
      </c>
      <c r="L4900" s="5" t="s">
        <v>32278</v>
      </c>
      <c r="M4900" s="5" t="s">
        <v>32279</v>
      </c>
      <c r="N4900" s="7" t="s">
        <v>32280</v>
      </c>
      <c r="O4900" s="8" t="str">
        <f>HYPERLINK("https://drive.google.com/file/d/1yiQPlUL748EX2W1bMmZ6x1bhxAhymUd2/view?usp=drivesdk","4899_MANDU HAERANI, S.Ak _ SERTIFIKAT BerAKHLAK")</f>
        <v>4899_MANDU HAERANI, S.Ak _ SERTIFIKAT BerAKHLAK</v>
      </c>
      <c r="P4900" s="5" t="s">
        <v>32266</v>
      </c>
    </row>
    <row r="4901">
      <c r="A4901" s="4">
        <v>45534.35497540509</v>
      </c>
      <c r="B4901" s="5" t="s">
        <v>34</v>
      </c>
      <c r="D4901" s="5" t="s">
        <v>9394</v>
      </c>
      <c r="E4901" s="5" t="s">
        <v>32281</v>
      </c>
      <c r="F4901" s="5" t="s">
        <v>715</v>
      </c>
      <c r="G4901" s="5" t="s">
        <v>32282</v>
      </c>
      <c r="H4901" s="6" t="s">
        <v>32283</v>
      </c>
      <c r="I4901" s="7" t="s">
        <v>32284</v>
      </c>
      <c r="J4901" s="8" t="str">
        <f>HYPERLINK("https://drive.google.com/file/d/1yLyf7oNp2aJB7-LU6PE0OfJwTCsVkKP2/view?usp=drivesdk","RITA AGUSTINA RIA, SH SERTIFIKAT BerAKHLAK")</f>
        <v>RITA AGUSTINA RIA, SH SERTIFIKAT BerAKHLAK</v>
      </c>
      <c r="K4901" s="5" t="s">
        <v>31298</v>
      </c>
      <c r="L4901" s="5" t="s">
        <v>32285</v>
      </c>
      <c r="M4901" s="5" t="s">
        <v>32286</v>
      </c>
      <c r="N4901" s="7" t="s">
        <v>32287</v>
      </c>
      <c r="O4901" s="8" t="str">
        <f>HYPERLINK("https://drive.google.com/file/d/1J6JzN1hH4Ca3sqrHO7a69JfU2osX9IM2/view?usp=drivesdk","4900_RITA AGUSTINA RIA, SH _ SERTIFIKAT BerAKHLAK")</f>
        <v>4900_RITA AGUSTINA RIA, SH _ SERTIFIKAT BerAKHLAK</v>
      </c>
      <c r="P4901" s="5" t="s">
        <v>32266</v>
      </c>
    </row>
    <row r="4902">
      <c r="A4902" s="4">
        <v>45534.35499590277</v>
      </c>
      <c r="B4902" s="5" t="s">
        <v>34</v>
      </c>
      <c r="D4902" s="5" t="s">
        <v>35</v>
      </c>
      <c r="E4902" s="5" t="s">
        <v>32288</v>
      </c>
      <c r="F4902" s="5" t="s">
        <v>37</v>
      </c>
      <c r="G4902" s="5" t="s">
        <v>32289</v>
      </c>
      <c r="H4902" s="6" t="s">
        <v>32290</v>
      </c>
      <c r="I4902" s="7" t="s">
        <v>32291</v>
      </c>
      <c r="J4902" s="8" t="str">
        <f>HYPERLINK("https://drive.google.com/file/d/1Cn4kWXSaxYP6JmDBON-hOv_xNciquPax/view?usp=drivesdk","PENGATUR IYUS SUMPENA SERTIFIKAT BerAKHLAK")</f>
        <v>PENGATUR IYUS SUMPENA SERTIFIKAT BerAKHLAK</v>
      </c>
      <c r="K4902" s="5" t="s">
        <v>31298</v>
      </c>
      <c r="L4902" s="5" t="s">
        <v>32292</v>
      </c>
      <c r="M4902" s="5" t="s">
        <v>32293</v>
      </c>
      <c r="N4902" s="7" t="s">
        <v>32294</v>
      </c>
      <c r="O4902" s="8" t="str">
        <f>HYPERLINK("https://drive.google.com/file/d/1OzvjANiKtHZ5Jra7oz96cKRlChHvZ6wx/view?usp=drivesdk","4901_PENGATUR IYUS SUMPENA _ SERTIFIKAT BerAKHLAK")</f>
        <v>4901_PENGATUR IYUS SUMPENA _ SERTIFIKAT BerAKHLAK</v>
      </c>
      <c r="P4902" s="5" t="s">
        <v>32295</v>
      </c>
    </row>
    <row r="4903">
      <c r="A4903" s="4">
        <v>45534.35500577546</v>
      </c>
      <c r="B4903" s="5" t="s">
        <v>34</v>
      </c>
      <c r="D4903" s="5" t="s">
        <v>4775</v>
      </c>
      <c r="E4903" s="5" t="s">
        <v>32296</v>
      </c>
      <c r="F4903" s="5" t="s">
        <v>212</v>
      </c>
      <c r="G4903" s="5" t="s">
        <v>32297</v>
      </c>
      <c r="H4903" s="6" t="s">
        <v>32298</v>
      </c>
      <c r="I4903" s="7" t="s">
        <v>32299</v>
      </c>
      <c r="J4903" s="8" t="str">
        <f>HYPERLINK("https://drive.google.com/file/d/17Mc-P50s_WkIW7wZz3t05d6DIa9O2ns_/view?usp=drivesdk","MATORI SERTIFIKAT BerAKHLAK")</f>
        <v>MATORI SERTIFIKAT BerAKHLAK</v>
      </c>
      <c r="K4903" s="5" t="s">
        <v>31978</v>
      </c>
      <c r="L4903" s="5" t="s">
        <v>32300</v>
      </c>
      <c r="M4903" s="5" t="s">
        <v>32301</v>
      </c>
      <c r="N4903" s="7" t="s">
        <v>32302</v>
      </c>
      <c r="O4903" s="8" t="str">
        <f>HYPERLINK("https://drive.google.com/file/d/1LrTTVtwKnBuAK1-5AoR_R2_G6iu8F0M_/view?usp=drivesdk","4902_MATORI _ SERTIFIKAT BerAKHLAK")</f>
        <v>4902_MATORI _ SERTIFIKAT BerAKHLAK</v>
      </c>
      <c r="P4903" s="5" t="s">
        <v>32295</v>
      </c>
    </row>
    <row r="4904">
      <c r="A4904" s="4">
        <v>45534.35500729167</v>
      </c>
      <c r="B4904" s="5" t="s">
        <v>34</v>
      </c>
      <c r="D4904" s="5" t="s">
        <v>975</v>
      </c>
      <c r="E4904" s="5" t="s">
        <v>32303</v>
      </c>
      <c r="F4904" s="5" t="s">
        <v>108</v>
      </c>
      <c r="G4904" s="5" t="s">
        <v>32304</v>
      </c>
      <c r="H4904" s="6" t="s">
        <v>32305</v>
      </c>
      <c r="I4904" s="7" t="s">
        <v>32306</v>
      </c>
      <c r="J4904" s="8" t="str">
        <f>HYPERLINK("https://drive.google.com/file/d/1dk9KnAbmO3XQpL5Tk100zd_b8xH3XyHb/view?usp=drivesdk","dr. Vera Uliana Simanjuntak SERTIFIKAT BerAKHLAK")</f>
        <v>dr. Vera Uliana Simanjuntak SERTIFIKAT BerAKHLAK</v>
      </c>
      <c r="K4904" s="5" t="s">
        <v>31978</v>
      </c>
      <c r="L4904" s="5" t="s">
        <v>32307</v>
      </c>
      <c r="M4904" s="5" t="s">
        <v>32308</v>
      </c>
      <c r="N4904" s="7" t="s">
        <v>32309</v>
      </c>
      <c r="O4904" s="8" t="str">
        <f>HYPERLINK("https://drive.google.com/file/d/10fOOdcPEZDzNOzeyLPsWZZuM_L4bJPHR/view?usp=drivesdk","4903_dr. Vera Uliana Simanjuntak _ SERTIFIKAT BerAKHLAK")</f>
        <v>4903_dr. Vera Uliana Simanjuntak _ SERTIFIKAT BerAKHLAK</v>
      </c>
      <c r="P4904" s="5" t="s">
        <v>32295</v>
      </c>
    </row>
    <row r="4905">
      <c r="A4905" s="4">
        <v>45534.35501864583</v>
      </c>
      <c r="B4905" s="5" t="s">
        <v>34</v>
      </c>
      <c r="D4905" s="5" t="s">
        <v>1206</v>
      </c>
      <c r="E4905" s="5" t="s">
        <v>32310</v>
      </c>
      <c r="F4905" s="5" t="s">
        <v>37</v>
      </c>
      <c r="G4905" s="5" t="s">
        <v>32311</v>
      </c>
      <c r="H4905" s="6" t="s">
        <v>32312</v>
      </c>
      <c r="K4905" s="5" t="s">
        <v>32313</v>
      </c>
      <c r="M4905" s="5" t="s">
        <v>32314</v>
      </c>
      <c r="N4905" s="7" t="s">
        <v>32315</v>
      </c>
      <c r="O4905" s="8" t="str">
        <f>HYPERLINK("https://drive.google.com/file/d/1yMbsaKy8r8lKehHYwCfq886dnU-y177L/view?usp=drivesdk","4904_GUNOMO _ SERTIFIKAT BerAKHLAK")</f>
        <v>4904_GUNOMO _ SERTIFIKAT BerAKHLAK</v>
      </c>
      <c r="P4905" s="5" t="s">
        <v>32295</v>
      </c>
    </row>
    <row r="4906">
      <c r="A4906" s="4">
        <v>45534.35502055555</v>
      </c>
      <c r="B4906" s="5" t="s">
        <v>34</v>
      </c>
      <c r="D4906" s="5" t="s">
        <v>9020</v>
      </c>
      <c r="E4906" s="5" t="s">
        <v>32316</v>
      </c>
      <c r="F4906" s="5" t="s">
        <v>212</v>
      </c>
      <c r="G4906" s="5" t="s">
        <v>32317</v>
      </c>
      <c r="H4906" s="6" t="s">
        <v>32318</v>
      </c>
      <c r="K4906" s="5" t="s">
        <v>32319</v>
      </c>
      <c r="M4906" s="5" t="s">
        <v>32320</v>
      </c>
      <c r="N4906" s="7" t="s">
        <v>32321</v>
      </c>
      <c r="O4906" s="8" t="str">
        <f>HYPERLINK("https://drive.google.com/file/d/1e0OWyG6QV_20gwmJGzfPV36bWnV3OThZ/view?usp=drivesdk","4905_INSAR NST _ SERTIFIKAT BerAKHLAK")</f>
        <v>4905_INSAR NST _ SERTIFIKAT BerAKHLAK</v>
      </c>
      <c r="P4906" s="5" t="s">
        <v>32295</v>
      </c>
    </row>
    <row r="4907">
      <c r="A4907" s="4">
        <v>45534.35503456018</v>
      </c>
      <c r="B4907" s="5" t="s">
        <v>34</v>
      </c>
      <c r="D4907" s="5" t="s">
        <v>4775</v>
      </c>
      <c r="E4907" s="5" t="s">
        <v>32322</v>
      </c>
      <c r="F4907" s="5" t="s">
        <v>524</v>
      </c>
      <c r="G4907" s="5" t="s">
        <v>32323</v>
      </c>
      <c r="H4907" s="6" t="s">
        <v>32324</v>
      </c>
      <c r="I4907" s="7" t="s">
        <v>32325</v>
      </c>
      <c r="J4907" s="8" t="str">
        <f>HYPERLINK("https://drive.google.com/file/d/1nycxrg4A154iueZdsvEQLqdtRut0ez0Z/view?usp=drivesdk","CHARISMA HANIF FEBRIA NUGROHO  SERTIFIKAT BerAKHLAK")</f>
        <v>CHARISMA HANIF FEBRIA NUGROHO  SERTIFIKAT BerAKHLAK</v>
      </c>
      <c r="K4907" s="5" t="s">
        <v>31298</v>
      </c>
      <c r="L4907" s="5" t="s">
        <v>32326</v>
      </c>
      <c r="M4907" s="5" t="s">
        <v>32327</v>
      </c>
      <c r="N4907" s="7" t="s">
        <v>32328</v>
      </c>
      <c r="O4907" s="8" t="str">
        <f>HYPERLINK("https://drive.google.com/file/d/19RE6PsQVADHKninGRpoMYi5KvO-zT9J5/view?usp=drivesdk","4906_CHARISMA HANIF FEBRIA NUGROHO  _ SERTIFIKAT BerAKHLAK")</f>
        <v>4906_CHARISMA HANIF FEBRIA NUGROHO  _ SERTIFIKAT BerAKHLAK</v>
      </c>
      <c r="P4907" s="5" t="s">
        <v>32329</v>
      </c>
    </row>
    <row r="4908" hidden="1">
      <c r="A4908" s="4">
        <v>45534.35503820602</v>
      </c>
      <c r="B4908" s="5" t="s">
        <v>19</v>
      </c>
      <c r="C4908" s="5" t="s">
        <v>11593</v>
      </c>
      <c r="E4908" s="5" t="s">
        <v>32330</v>
      </c>
      <c r="F4908" s="5" t="s">
        <v>120</v>
      </c>
      <c r="G4908" s="5" t="s">
        <v>32331</v>
      </c>
      <c r="H4908" s="6" t="s">
        <v>32332</v>
      </c>
      <c r="I4908" s="7" t="s">
        <v>32333</v>
      </c>
      <c r="J4908" s="8" t="str">
        <f>HYPERLINK("https://drive.google.com/file/d/1Gnzfiginfo11NgOEsj2rzi7e_ykOE987/view?usp=drivesdk","Dr. ANINDITA BASUKI, Sp.RAD SERTIFIKAT BerAKHLAK")</f>
        <v>Dr. ANINDITA BASUKI, Sp.RAD SERTIFIKAT BerAKHLAK</v>
      </c>
      <c r="K4908" s="5" t="s">
        <v>31978</v>
      </c>
      <c r="L4908" s="5" t="s">
        <v>32334</v>
      </c>
      <c r="M4908" s="5" t="s">
        <v>32335</v>
      </c>
      <c r="N4908" s="7" t="s">
        <v>32336</v>
      </c>
      <c r="O4908" s="8" t="str">
        <f>HYPERLINK("https://drive.google.com/file/d/1HGRO4DTK_-RxwoxD6kt3lhDNS0Bxk6W7/view?usp=drivesdk","4907_Dr. ANINDITA BASUKI, Sp.RAD _ SERTIFIKAT BerAKHLAK")</f>
        <v>4907_Dr. ANINDITA BASUKI, Sp.RAD _ SERTIFIKAT BerAKHLAK</v>
      </c>
      <c r="P4908" s="5" t="s">
        <v>32329</v>
      </c>
    </row>
    <row r="4909">
      <c r="A4909" s="4">
        <v>45534.35503917824</v>
      </c>
      <c r="B4909" s="5" t="s">
        <v>34</v>
      </c>
      <c r="D4909" s="5" t="s">
        <v>10444</v>
      </c>
      <c r="E4909" s="5" t="s">
        <v>32337</v>
      </c>
      <c r="F4909" s="5" t="s">
        <v>375</v>
      </c>
      <c r="G4909" s="5" t="s">
        <v>32338</v>
      </c>
      <c r="H4909" s="6" t="s">
        <v>32339</v>
      </c>
      <c r="I4909" s="7" t="s">
        <v>32340</v>
      </c>
      <c r="J4909" s="8" t="str">
        <f>HYPERLINK("https://drive.google.com/file/d/1g4eYHFOMbyDbR9MdgyBBtQPuHrB62wHn/view?usp=drivesdk","AREIS RIZALDI SERTIFIKAT BerAKHLAK")</f>
        <v>AREIS RIZALDI SERTIFIKAT BerAKHLAK</v>
      </c>
      <c r="K4909" s="5" t="s">
        <v>31978</v>
      </c>
      <c r="L4909" s="5" t="s">
        <v>32341</v>
      </c>
      <c r="M4909" s="5" t="s">
        <v>32342</v>
      </c>
      <c r="N4909" s="7" t="s">
        <v>32343</v>
      </c>
      <c r="O4909" s="8" t="str">
        <f>HYPERLINK("https://drive.google.com/file/d/1VNz09O1q9qFVVtllPHPAt-vQ5JLW3LqU/view?usp=drivesdk","4908_AREIS RIZALDI _ SERTIFIKAT BerAKHLAK")</f>
        <v>4908_AREIS RIZALDI _ SERTIFIKAT BerAKHLAK</v>
      </c>
      <c r="P4909" s="5" t="s">
        <v>32329</v>
      </c>
    </row>
    <row r="4910">
      <c r="A4910" s="4">
        <v>45534.355058078705</v>
      </c>
      <c r="B4910" s="5" t="s">
        <v>34</v>
      </c>
      <c r="D4910" s="5" t="s">
        <v>7858</v>
      </c>
      <c r="E4910" s="5" t="s">
        <v>32344</v>
      </c>
      <c r="F4910" s="5" t="s">
        <v>120</v>
      </c>
      <c r="G4910" s="5" t="s">
        <v>32345</v>
      </c>
      <c r="H4910" s="6" t="s">
        <v>32346</v>
      </c>
      <c r="I4910" s="7" t="s">
        <v>32347</v>
      </c>
      <c r="J4910" s="8" t="str">
        <f>HYPERLINK("https://drive.google.com/file/d/1R-Y3dOSEbL8zjGgywPRUjSdOhGo9KZ8Y/view?usp=drivesdk","dr. EKA MARIANI SERTIFIKAT BerAKHLAK")</f>
        <v>dr. EKA MARIANI SERTIFIKAT BerAKHLAK</v>
      </c>
      <c r="K4910" s="5" t="s">
        <v>31978</v>
      </c>
      <c r="L4910" s="5" t="s">
        <v>32348</v>
      </c>
      <c r="M4910" s="5" t="s">
        <v>32349</v>
      </c>
      <c r="N4910" s="7" t="s">
        <v>32350</v>
      </c>
      <c r="O4910" s="8" t="str">
        <f>HYPERLINK("https://drive.google.com/file/d/1R3YhiPAMTgDs6tNNAhgcGEONbNoVCtf8/view?usp=drivesdk","4909_dr. EKA MARIANI _ SERTIFIKAT BerAKHLAK")</f>
        <v>4909_dr. EKA MARIANI _ SERTIFIKAT BerAKHLAK</v>
      </c>
      <c r="P4910" s="5" t="s">
        <v>32329</v>
      </c>
    </row>
    <row r="4911">
      <c r="A4911" s="4">
        <v>45534.355064664356</v>
      </c>
      <c r="B4911" s="5" t="s">
        <v>34</v>
      </c>
      <c r="D4911" s="5" t="s">
        <v>4775</v>
      </c>
      <c r="E4911" s="5" t="s">
        <v>32351</v>
      </c>
      <c r="F4911" s="5" t="s">
        <v>72</v>
      </c>
      <c r="G4911" s="5" t="s">
        <v>32352</v>
      </c>
      <c r="H4911" s="6" t="s">
        <v>32353</v>
      </c>
      <c r="I4911" s="7" t="s">
        <v>32354</v>
      </c>
      <c r="J4911" s="8" t="str">
        <f>HYPERLINK("https://drive.google.com/file/d/1f4Rtzdn81ABXWQUPrMMxp5ObYDRi3C5V/view?usp=drivesdk","ELIAWATI, S.H SERTIFIKAT BerAKHLAK")</f>
        <v>ELIAWATI, S.H SERTIFIKAT BerAKHLAK</v>
      </c>
      <c r="K4911" s="5" t="s">
        <v>31978</v>
      </c>
      <c r="L4911" s="5" t="s">
        <v>32355</v>
      </c>
      <c r="M4911" s="5" t="s">
        <v>32356</v>
      </c>
      <c r="N4911" s="7" t="s">
        <v>32357</v>
      </c>
      <c r="O4911" s="8" t="str">
        <f>HYPERLINK("https://drive.google.com/file/d/1Ca-HXklqLRVqbIW6X7A7Z3woYWICAq4u/view?usp=drivesdk","4910_ELIAWATI, S.H _ SERTIFIKAT BerAKHLAK")</f>
        <v>4910_ELIAWATI, S.H _ SERTIFIKAT BerAKHLAK</v>
      </c>
      <c r="P4911" s="5" t="s">
        <v>32329</v>
      </c>
    </row>
    <row r="4912">
      <c r="A4912" s="4">
        <v>45534.355069756944</v>
      </c>
      <c r="B4912" s="5" t="s">
        <v>34</v>
      </c>
      <c r="D4912" s="5" t="s">
        <v>1206</v>
      </c>
      <c r="E4912" s="5" t="s">
        <v>32358</v>
      </c>
      <c r="F4912" s="5" t="s">
        <v>524</v>
      </c>
      <c r="G4912" s="5" t="s">
        <v>32359</v>
      </c>
      <c r="H4912" s="6" t="s">
        <v>32360</v>
      </c>
      <c r="I4912" s="7" t="s">
        <v>32361</v>
      </c>
      <c r="J4912" s="8" t="str">
        <f>HYPERLINK("https://drive.google.com/file/d/1VJvryXXYesaqtsXo51CmDyDgyeiAWFGV/view?usp=drivesdk","IDA DWI NOPIA SARI  SERTIFIKAT BerAKHLAK")</f>
        <v>IDA DWI NOPIA SARI  SERTIFIKAT BerAKHLAK</v>
      </c>
      <c r="K4912" s="5" t="s">
        <v>31978</v>
      </c>
      <c r="L4912" s="5" t="s">
        <v>32362</v>
      </c>
      <c r="M4912" s="5" t="s">
        <v>32363</v>
      </c>
      <c r="N4912" s="7" t="s">
        <v>32364</v>
      </c>
      <c r="O4912" s="8" t="str">
        <f>HYPERLINK("https://drive.google.com/file/d/1-5K9lFGp7HgcN2VCeCijaZsg8ltQALzl/view?usp=drivesdk","4911_IDA DWI NOPIA SARI  _ SERTIFIKAT BerAKHLAK")</f>
        <v>4911_IDA DWI NOPIA SARI  _ SERTIFIKAT BerAKHLAK</v>
      </c>
      <c r="P4912" s="5" t="s">
        <v>32365</v>
      </c>
    </row>
    <row r="4913">
      <c r="A4913" s="4">
        <v>45534.35507333333</v>
      </c>
      <c r="B4913" s="5" t="s">
        <v>34</v>
      </c>
      <c r="D4913" s="5" t="s">
        <v>522</v>
      </c>
      <c r="E4913" s="5" t="s">
        <v>32366</v>
      </c>
      <c r="F4913" s="5" t="s">
        <v>37</v>
      </c>
      <c r="G4913" s="5" t="s">
        <v>32367</v>
      </c>
      <c r="H4913" s="6" t="s">
        <v>32368</v>
      </c>
      <c r="K4913" s="5" t="s">
        <v>32369</v>
      </c>
      <c r="M4913" s="5" t="s">
        <v>32370</v>
      </c>
      <c r="N4913" s="7" t="s">
        <v>32371</v>
      </c>
      <c r="O4913" s="8" t="str">
        <f>HYPERLINK("https://drive.google.com/file/d/1azzj1PWqVk77o3jz-jA3FNC3YijpotZe/view?usp=drivesdk","4912_I GEDE ARSANA WIYANTARA, Amd. Kep.  _ SERTIFIKAT BerAKHLAK")</f>
        <v>4912_I GEDE ARSANA WIYANTARA, Amd. Kep.  _ SERTIFIKAT BerAKHLAK</v>
      </c>
      <c r="P4913" s="5" t="s">
        <v>32365</v>
      </c>
    </row>
    <row r="4914">
      <c r="A4914" s="4">
        <v>45534.355084814815</v>
      </c>
      <c r="B4914" s="5" t="s">
        <v>34</v>
      </c>
      <c r="D4914" s="5" t="s">
        <v>4775</v>
      </c>
      <c r="E4914" s="5" t="s">
        <v>32372</v>
      </c>
      <c r="F4914" s="5" t="s">
        <v>375</v>
      </c>
      <c r="G4914" s="5" t="s">
        <v>32373</v>
      </c>
      <c r="H4914" s="6" t="s">
        <v>32374</v>
      </c>
      <c r="K4914" s="5" t="s">
        <v>32375</v>
      </c>
      <c r="M4914" s="5" t="s">
        <v>32376</v>
      </c>
      <c r="N4914" s="7" t="s">
        <v>32377</v>
      </c>
      <c r="O4914" s="8" t="str">
        <f>HYPERLINK("https://drive.google.com/file/d/1OnPBn5eUuJcU2aHGDchVTPvYuC6ucZ_L/view?usp=drivesdk","4913_dr.Yuni Susilo, Sp.K.F.R. _ SERTIFIKAT BerAKHLAK")</f>
        <v>4913_dr.Yuni Susilo, Sp.K.F.R. _ SERTIFIKAT BerAKHLAK</v>
      </c>
      <c r="P4914" s="5" t="s">
        <v>32365</v>
      </c>
    </row>
    <row r="4915">
      <c r="A4915" s="4">
        <v>45534.355096134255</v>
      </c>
      <c r="B4915" s="5" t="s">
        <v>34</v>
      </c>
      <c r="D4915" s="5" t="s">
        <v>701</v>
      </c>
      <c r="E4915" s="5" t="s">
        <v>32378</v>
      </c>
      <c r="F4915" s="5" t="s">
        <v>37</v>
      </c>
      <c r="G4915" s="5" t="s">
        <v>32379</v>
      </c>
      <c r="H4915" s="6" t="s">
        <v>32380</v>
      </c>
      <c r="K4915" s="5" t="s">
        <v>32375</v>
      </c>
      <c r="M4915" s="5" t="s">
        <v>32381</v>
      </c>
      <c r="N4915" s="7" t="s">
        <v>32382</v>
      </c>
      <c r="O4915" s="8" t="str">
        <f>HYPERLINK("https://drive.google.com/file/d/1XrbtWhb5_vL1IueqawwYS16UbtytczE1/view?usp=drivesdk","4914_MUTIA ANIZA,Amd.Kep _ SERTIFIKAT BerAKHLAK")</f>
        <v>4914_MUTIA ANIZA,Amd.Kep _ SERTIFIKAT BerAKHLAK</v>
      </c>
      <c r="P4915" s="5" t="s">
        <v>32365</v>
      </c>
    </row>
    <row r="4916">
      <c r="A4916" s="4">
        <v>45534.355096631945</v>
      </c>
      <c r="B4916" s="5" t="s">
        <v>34</v>
      </c>
      <c r="D4916" s="5" t="s">
        <v>1206</v>
      </c>
      <c r="E4916" s="5" t="s">
        <v>32383</v>
      </c>
      <c r="F4916" s="5" t="s">
        <v>212</v>
      </c>
      <c r="G4916" s="5" t="s">
        <v>32384</v>
      </c>
      <c r="H4916" s="6" t="s">
        <v>32385</v>
      </c>
      <c r="K4916" s="5" t="s">
        <v>32375</v>
      </c>
      <c r="M4916" s="5" t="s">
        <v>32386</v>
      </c>
      <c r="N4916" s="7" t="s">
        <v>32387</v>
      </c>
      <c r="O4916" s="8" t="str">
        <f>HYPERLINK("https://drive.google.com/file/d/1CjvNKm9O6Uik32_QtBqplTcPJSo001i7/view?usp=drivesdk","4915_BAMBANG ERAWANTO _ SERTIFIKAT BerAKHLAK")</f>
        <v>4915_BAMBANG ERAWANTO _ SERTIFIKAT BerAKHLAK</v>
      </c>
      <c r="P4916" s="5" t="s">
        <v>32388</v>
      </c>
    </row>
    <row r="4917">
      <c r="A4917" s="4">
        <v>45534.35509997685</v>
      </c>
      <c r="B4917" s="5" t="s">
        <v>34</v>
      </c>
      <c r="D4917" s="5" t="s">
        <v>35</v>
      </c>
      <c r="E4917" s="5" t="s">
        <v>32389</v>
      </c>
      <c r="F4917" s="5" t="s">
        <v>120</v>
      </c>
      <c r="G4917" s="5" t="s">
        <v>32390</v>
      </c>
      <c r="H4917" s="6" t="s">
        <v>32391</v>
      </c>
      <c r="K4917" s="5" t="s">
        <v>32375</v>
      </c>
      <c r="M4917" s="5" t="s">
        <v>32392</v>
      </c>
      <c r="N4917" s="7" t="s">
        <v>32393</v>
      </c>
      <c r="O4917" s="8" t="str">
        <f>HYPERLINK("https://drive.google.com/file/d/1nnAX02kslhs_IlZX-ks6w0HVeHHKs2M5/view?usp=drivesdk","4916_ASIH PARAMASARI,DR _ SERTIFIKAT BerAKHLAK")</f>
        <v>4916_ASIH PARAMASARI,DR _ SERTIFIKAT BerAKHLAK</v>
      </c>
      <c r="P4917" s="5" t="s">
        <v>32388</v>
      </c>
    </row>
    <row r="4918">
      <c r="A4918" s="4">
        <v>45534.35511344907</v>
      </c>
      <c r="B4918" s="5" t="s">
        <v>34</v>
      </c>
      <c r="D4918" s="5" t="s">
        <v>4775</v>
      </c>
      <c r="E4918" s="5" t="s">
        <v>32394</v>
      </c>
      <c r="F4918" s="5" t="s">
        <v>524</v>
      </c>
      <c r="G4918" s="5" t="s">
        <v>32395</v>
      </c>
      <c r="H4918" s="6" t="s">
        <v>32396</v>
      </c>
      <c r="I4918" s="7" t="s">
        <v>32397</v>
      </c>
      <c r="J4918" s="8" t="str">
        <f>HYPERLINK("https://drive.google.com/file/d/1rdR5m8LNjBrSzPJf4Xkwy6Nkrko54HWN/view?usp=drivesdk","TRI ARTATI, A.MD. FARM SERTIFIKAT BerAKHLAK")</f>
        <v>TRI ARTATI, A.MD. FARM SERTIFIKAT BerAKHLAK</v>
      </c>
      <c r="K4918" s="5" t="s">
        <v>31978</v>
      </c>
      <c r="L4918" s="5" t="s">
        <v>32398</v>
      </c>
      <c r="M4918" s="5" t="s">
        <v>32399</v>
      </c>
      <c r="N4918" s="7" t="s">
        <v>32400</v>
      </c>
      <c r="O4918" s="8" t="str">
        <f>HYPERLINK("https://drive.google.com/file/d/1g6cbZyyjt71qKNr0xrdl6BJvLJMSqBqI/view?usp=drivesdk","4917_TRI ARTATI, A.MD. FARM _ SERTIFIKAT BerAKHLAK")</f>
        <v>4917_TRI ARTATI, A.MD. FARM _ SERTIFIKAT BerAKHLAK</v>
      </c>
      <c r="P4918" s="5" t="s">
        <v>32388</v>
      </c>
    </row>
    <row r="4919">
      <c r="A4919" s="4">
        <v>45534.355116701394</v>
      </c>
      <c r="B4919" s="5" t="s">
        <v>34</v>
      </c>
      <c r="D4919" s="5" t="s">
        <v>1206</v>
      </c>
      <c r="E4919" s="5" t="s">
        <v>32401</v>
      </c>
      <c r="F4919" s="5" t="s">
        <v>328</v>
      </c>
      <c r="G4919" s="5" t="s">
        <v>32402</v>
      </c>
      <c r="H4919" s="6" t="s">
        <v>32403</v>
      </c>
      <c r="I4919" s="7" t="s">
        <v>32404</v>
      </c>
      <c r="J4919" s="8" t="str">
        <f>HYPERLINK("https://drive.google.com/file/d/1u3r7iEnLo7Thfk5Ri7YXVBZt-Y0ARUuI/view?usp=drivesdk","ISMAWATI  SERTIFIKAT BerAKHLAK")</f>
        <v>ISMAWATI  SERTIFIKAT BerAKHLAK</v>
      </c>
      <c r="K4919" s="5" t="s">
        <v>31978</v>
      </c>
      <c r="L4919" s="5" t="s">
        <v>32405</v>
      </c>
      <c r="M4919" s="5" t="s">
        <v>32406</v>
      </c>
      <c r="N4919" s="7" t="s">
        <v>32407</v>
      </c>
      <c r="O4919" s="8" t="str">
        <f>HYPERLINK("https://drive.google.com/file/d/1wlonc_uwFlufTMSOlzH7vDGko35ICIYC/view?usp=drivesdk","4918_ISMAWATI  _ SERTIFIKAT BerAKHLAK")</f>
        <v>4918_ISMAWATI  _ SERTIFIKAT BerAKHLAK</v>
      </c>
      <c r="P4919" s="5" t="s">
        <v>32408</v>
      </c>
    </row>
    <row r="4920">
      <c r="A4920" s="4">
        <v>45534.35511740741</v>
      </c>
      <c r="B4920" s="5" t="s">
        <v>34</v>
      </c>
      <c r="D4920" s="5" t="s">
        <v>4775</v>
      </c>
      <c r="E4920" s="5" t="s">
        <v>32409</v>
      </c>
      <c r="F4920" s="5" t="s">
        <v>212</v>
      </c>
      <c r="G4920" s="5" t="s">
        <v>32410</v>
      </c>
      <c r="H4920" s="6" t="s">
        <v>32411</v>
      </c>
      <c r="I4920" s="7" t="s">
        <v>32412</v>
      </c>
      <c r="J4920" s="8" t="str">
        <f>HYPERLINK("https://drive.google.com/file/d/1JigaYHd-2uP6iFR0Jvpv8J9OxO6YWSV9/view?usp=drivesdk","NING SUMEKAR SERTIFIKAT BerAKHLAK")</f>
        <v>NING SUMEKAR SERTIFIKAT BerAKHLAK</v>
      </c>
      <c r="K4920" s="5" t="s">
        <v>32413</v>
      </c>
      <c r="L4920" s="5" t="s">
        <v>32414</v>
      </c>
      <c r="M4920" s="5" t="s">
        <v>32415</v>
      </c>
      <c r="N4920" s="7" t="s">
        <v>32416</v>
      </c>
      <c r="O4920" s="8" t="str">
        <f>HYPERLINK("https://drive.google.com/file/d/1tkjFX3JEYzBKbEsXwUhs1sDsAAjTGpsE/view?usp=drivesdk","4919_NING SUMEKAR _ SERTIFIKAT BerAKHLAK")</f>
        <v>4919_NING SUMEKAR _ SERTIFIKAT BerAKHLAK</v>
      </c>
      <c r="P4920" s="5" t="s">
        <v>32408</v>
      </c>
    </row>
    <row r="4921">
      <c r="A4921" s="4">
        <v>45534.35511762732</v>
      </c>
      <c r="B4921" s="5" t="s">
        <v>34</v>
      </c>
      <c r="D4921" s="5" t="s">
        <v>1206</v>
      </c>
      <c r="E4921" s="5" t="s">
        <v>32417</v>
      </c>
      <c r="F4921" s="5" t="s">
        <v>212</v>
      </c>
      <c r="G4921" s="5" t="s">
        <v>32418</v>
      </c>
      <c r="H4921" s="6" t="s">
        <v>32419</v>
      </c>
      <c r="K4921" s="5" t="s">
        <v>32420</v>
      </c>
      <c r="M4921" s="5" t="s">
        <v>32421</v>
      </c>
      <c r="N4921" s="7" t="s">
        <v>32422</v>
      </c>
      <c r="O4921" s="8" t="str">
        <f>HYPERLINK("https://drive.google.com/file/d/1TqE6P7CUnWfLslpmZB4qjbQv3aE9sNZp/view?usp=drivesdk","4920_Wahyu Dwi Istiko Budi _ SERTIFIKAT BerAKHLAK")</f>
        <v>4920_Wahyu Dwi Istiko Budi _ SERTIFIKAT BerAKHLAK</v>
      </c>
      <c r="P4921" s="5" t="s">
        <v>32408</v>
      </c>
    </row>
    <row r="4922" hidden="1">
      <c r="A4922" s="4">
        <v>45534.35512385417</v>
      </c>
      <c r="B4922" s="5" t="s">
        <v>19</v>
      </c>
      <c r="C4922" s="5" t="s">
        <v>1606</v>
      </c>
      <c r="E4922" s="5" t="s">
        <v>32423</v>
      </c>
      <c r="F4922" s="5" t="s">
        <v>108</v>
      </c>
      <c r="G4922" s="5" t="s">
        <v>32424</v>
      </c>
      <c r="H4922" s="6" t="s">
        <v>32425</v>
      </c>
      <c r="K4922" s="5" t="s">
        <v>32420</v>
      </c>
      <c r="M4922" s="5" t="s">
        <v>32426</v>
      </c>
      <c r="N4922" s="7" t="s">
        <v>32427</v>
      </c>
      <c r="O4922" s="8" t="str">
        <f>HYPERLINK("https://drive.google.com/file/d/12KnGQiXaMYrhKFJ_mAF7QZC60H8q8djn/view?usp=drivesdk","4921_AKHMAD BASUKI _ SERTIFIKAT BerAKHLAK")</f>
        <v>4921_AKHMAD BASUKI _ SERTIFIKAT BerAKHLAK</v>
      </c>
      <c r="P4922" s="5" t="s">
        <v>32428</v>
      </c>
    </row>
    <row r="4923">
      <c r="A4923" s="4">
        <v>45534.35516324074</v>
      </c>
      <c r="B4923" s="5" t="s">
        <v>34</v>
      </c>
      <c r="D4923" s="5" t="s">
        <v>4775</v>
      </c>
      <c r="E4923" s="5" t="s">
        <v>32429</v>
      </c>
      <c r="F4923" s="5" t="s">
        <v>524</v>
      </c>
      <c r="G4923" s="5" t="s">
        <v>32430</v>
      </c>
      <c r="H4923" s="6" t="s">
        <v>32431</v>
      </c>
      <c r="I4923" s="7" t="s">
        <v>32432</v>
      </c>
      <c r="J4923" s="8" t="str">
        <f>HYPERLINK("https://drive.google.com/file/d/13Uowo2NkHWcpb1pJGurvOCUXwreIiEhb/view?usp=drivesdk","Ita Hapsari, S Kep SERTIFIKAT BerAKHLAK")</f>
        <v>Ita Hapsari, S Kep SERTIFIKAT BerAKHLAK</v>
      </c>
      <c r="K4923" s="5" t="s">
        <v>32420</v>
      </c>
      <c r="L4923" s="5" t="s">
        <v>32433</v>
      </c>
      <c r="M4923" s="5" t="s">
        <v>32434</v>
      </c>
      <c r="N4923" s="7" t="s">
        <v>32435</v>
      </c>
      <c r="O4923" s="8" t="str">
        <f>HYPERLINK("https://drive.google.com/file/d/1RAPk2Tjo-ihc1InuiALWnwGambgIe6Ln/view?usp=drivesdk","4922_Ita Hapsari, S Kep _ SERTIFIKAT BerAKHLAK")</f>
        <v>4922_Ita Hapsari, S Kep _ SERTIFIKAT BerAKHLAK</v>
      </c>
      <c r="P4923" s="5" t="s">
        <v>32428</v>
      </c>
    </row>
    <row r="4924">
      <c r="A4924" s="4">
        <v>45534.35516497685</v>
      </c>
      <c r="B4924" s="5" t="s">
        <v>34</v>
      </c>
      <c r="D4924" s="5" t="s">
        <v>996</v>
      </c>
      <c r="E4924" s="5" t="s">
        <v>32436</v>
      </c>
      <c r="F4924" s="5" t="s">
        <v>212</v>
      </c>
      <c r="G4924" s="5" t="s">
        <v>32437</v>
      </c>
      <c r="H4924" s="6" t="s">
        <v>32438</v>
      </c>
      <c r="I4924" s="7" t="s">
        <v>32439</v>
      </c>
      <c r="J4924" s="8" t="str">
        <f>HYPERLINK("https://drive.google.com/file/d/1zHcUv7x7pWHdlrxfPAXR1C49IlQ9AHDl/view?usp=drivesdk","SUAULOWATI SERTIFIKAT BerAKHLAK")</f>
        <v>SUAULOWATI SERTIFIKAT BerAKHLAK</v>
      </c>
      <c r="K4924" s="5" t="s">
        <v>32420</v>
      </c>
      <c r="L4924" s="5" t="s">
        <v>32440</v>
      </c>
      <c r="M4924" s="5" t="s">
        <v>32441</v>
      </c>
      <c r="N4924" s="7" t="s">
        <v>32442</v>
      </c>
      <c r="O4924" s="8" t="str">
        <f>HYPERLINK("https://drive.google.com/file/d/1z797zftROjgOpxwmmlb3Xdbn-Ss3ZRqn/view?usp=drivesdk","4923_SUAULOWATI _ SERTIFIKAT BerAKHLAK")</f>
        <v>4923_SUAULOWATI _ SERTIFIKAT BerAKHLAK</v>
      </c>
      <c r="P4924" s="5" t="s">
        <v>32428</v>
      </c>
    </row>
    <row r="4925">
      <c r="A4925" s="4">
        <v>45534.355168842594</v>
      </c>
      <c r="B4925" s="5" t="s">
        <v>34</v>
      </c>
      <c r="D4925" s="5" t="s">
        <v>1206</v>
      </c>
      <c r="E4925" s="5" t="s">
        <v>32443</v>
      </c>
      <c r="F4925" s="5" t="s">
        <v>72</v>
      </c>
      <c r="G4925" s="5" t="s">
        <v>32444</v>
      </c>
      <c r="H4925" s="6" t="s">
        <v>32445</v>
      </c>
      <c r="K4925" s="5" t="s">
        <v>32420</v>
      </c>
      <c r="M4925" s="5" t="s">
        <v>32446</v>
      </c>
      <c r="N4925" s="7" t="s">
        <v>32447</v>
      </c>
      <c r="O4925" s="8" t="str">
        <f>HYPERLINK("https://drive.google.com/file/d/13tFFBiQTZdnAj7GD0OhuM3tIdX5zICeJ/view?usp=drivesdk","4924_DWI RETNOWATI _ SERTIFIKAT BerAKHLAK")</f>
        <v>4924_DWI RETNOWATI _ SERTIFIKAT BerAKHLAK</v>
      </c>
      <c r="P4925" s="5" t="s">
        <v>32428</v>
      </c>
    </row>
    <row r="4926">
      <c r="A4926" s="4">
        <v>45534.355174861106</v>
      </c>
      <c r="B4926" s="5" t="s">
        <v>34</v>
      </c>
      <c r="D4926" s="5" t="s">
        <v>12978</v>
      </c>
      <c r="E4926" s="5" t="s">
        <v>32448</v>
      </c>
      <c r="F4926" s="5" t="s">
        <v>72</v>
      </c>
      <c r="G4926" s="5" t="s">
        <v>32449</v>
      </c>
      <c r="H4926" s="6" t="s">
        <v>32450</v>
      </c>
      <c r="K4926" s="5" t="s">
        <v>32420</v>
      </c>
      <c r="M4926" s="5" t="s">
        <v>32451</v>
      </c>
      <c r="N4926" s="7" t="s">
        <v>32452</v>
      </c>
      <c r="O4926" s="8" t="str">
        <f>HYPERLINK("https://drive.google.com/file/d/1CalKtHqlsqIeqywrw1jVXvOBADjcJwdi/view?usp=drivesdk","4925_JAWARIA,SE _ SERTIFIKAT BerAKHLAK")</f>
        <v>4925_JAWARIA,SE _ SERTIFIKAT BerAKHLAK</v>
      </c>
      <c r="P4926" s="5" t="s">
        <v>32428</v>
      </c>
    </row>
    <row r="4927">
      <c r="A4927" s="4">
        <v>45534.35517627315</v>
      </c>
      <c r="B4927" s="5" t="s">
        <v>34</v>
      </c>
      <c r="D4927" s="5" t="s">
        <v>3849</v>
      </c>
      <c r="E4927" s="5" t="s">
        <v>32453</v>
      </c>
      <c r="F4927" s="5" t="s">
        <v>37</v>
      </c>
      <c r="G4927" s="5" t="s">
        <v>32454</v>
      </c>
      <c r="H4927" s="6" t="s">
        <v>32455</v>
      </c>
      <c r="I4927" s="7" t="s">
        <v>32456</v>
      </c>
      <c r="J4927" s="8" t="str">
        <f>HYPERLINK("https://drive.google.com/file/d/1QRG-dExBthcJtJe_piv-tTdxiLZm0M5y/view?usp=drivesdk","DEWI RISTIKA SERTIFIKAT BerAKHLAK")</f>
        <v>DEWI RISTIKA SERTIFIKAT BerAKHLAK</v>
      </c>
      <c r="K4927" s="5" t="s">
        <v>31978</v>
      </c>
      <c r="L4927" s="5" t="s">
        <v>32457</v>
      </c>
      <c r="M4927" s="5" t="s">
        <v>32458</v>
      </c>
      <c r="N4927" s="7" t="s">
        <v>32459</v>
      </c>
      <c r="O4927" s="8" t="str">
        <f>HYPERLINK("https://drive.google.com/file/d/1mEEPljhAgUrg5tyQGmXUIotYyXKn7g9I/view?usp=drivesdk","4926_DEWI RISTIKA _ SERTIFIKAT BerAKHLAK")</f>
        <v>4926_DEWI RISTIKA _ SERTIFIKAT BerAKHLAK</v>
      </c>
      <c r="P4927" s="5" t="s">
        <v>32460</v>
      </c>
    </row>
    <row r="4928">
      <c r="A4928" s="4">
        <v>45534.3551869213</v>
      </c>
      <c r="B4928" s="5" t="s">
        <v>34</v>
      </c>
      <c r="D4928" s="5" t="s">
        <v>15401</v>
      </c>
      <c r="E4928" s="5" t="s">
        <v>32461</v>
      </c>
      <c r="F4928" s="5" t="s">
        <v>212</v>
      </c>
      <c r="G4928" s="5" t="s">
        <v>32462</v>
      </c>
      <c r="H4928" s="6" t="s">
        <v>32463</v>
      </c>
      <c r="I4928" s="7" t="s">
        <v>32464</v>
      </c>
      <c r="J4928" s="8" t="str">
        <f>HYPERLINK("https://drive.google.com/file/d/1JF446y5y2zdeVRwTXCkpjOAbdZfn8hdF/view?usp=drivesdk","ARMAN SYAH GENGGENG SERTIFIKAT BerAKHLAK")</f>
        <v>ARMAN SYAH GENGGENG SERTIFIKAT BerAKHLAK</v>
      </c>
      <c r="K4928" s="5" t="s">
        <v>31978</v>
      </c>
      <c r="L4928" s="5" t="s">
        <v>32465</v>
      </c>
      <c r="M4928" s="5" t="s">
        <v>32466</v>
      </c>
      <c r="N4928" s="7" t="s">
        <v>32467</v>
      </c>
      <c r="O4928" s="8" t="str">
        <f>HYPERLINK("https://drive.google.com/file/d/1-NY51ZC2MKFt1XsbnO1k6c2If9qD54tG/view?usp=drivesdk","4927_ARMAN SYAH GENGGENG _ SERTIFIKAT BerAKHLAK")</f>
        <v>4927_ARMAN SYAH GENGGENG _ SERTIFIKAT BerAKHLAK</v>
      </c>
      <c r="P4928" s="5" t="s">
        <v>32460</v>
      </c>
    </row>
    <row r="4929">
      <c r="A4929" s="4">
        <v>45534.355187696754</v>
      </c>
      <c r="B4929" s="5" t="s">
        <v>34</v>
      </c>
      <c r="D4929" s="5" t="s">
        <v>4775</v>
      </c>
      <c r="E4929" s="5" t="s">
        <v>32468</v>
      </c>
      <c r="F4929" s="5" t="s">
        <v>524</v>
      </c>
      <c r="G4929" s="5" t="s">
        <v>32469</v>
      </c>
      <c r="H4929" s="6" t="s">
        <v>32470</v>
      </c>
      <c r="K4929" s="5" t="s">
        <v>32471</v>
      </c>
      <c r="M4929" s="5" t="s">
        <v>32472</v>
      </c>
      <c r="N4929" s="7" t="s">
        <v>32473</v>
      </c>
      <c r="O4929" s="8" t="str">
        <f>HYPERLINK("https://drive.google.com/file/d/1jPz3zef2igmC1YJ-ovVEWYLU1ZnHB8eJ/view?usp=drivesdk","4928_GIRINTA SARI PALUPI _ SERTIFIKAT BerAKHLAK")</f>
        <v>4928_GIRINTA SARI PALUPI _ SERTIFIKAT BerAKHLAK</v>
      </c>
      <c r="P4929" s="5" t="s">
        <v>32460</v>
      </c>
    </row>
    <row r="4930">
      <c r="A4930" s="4">
        <v>45534.35519498843</v>
      </c>
      <c r="B4930" s="5" t="s">
        <v>34</v>
      </c>
      <c r="D4930" s="5" t="s">
        <v>10297</v>
      </c>
      <c r="E4930" s="5" t="s">
        <v>32474</v>
      </c>
      <c r="F4930" s="5" t="s">
        <v>108</v>
      </c>
      <c r="G4930" s="5" t="s">
        <v>32475</v>
      </c>
      <c r="H4930" s="6" t="s">
        <v>32476</v>
      </c>
      <c r="K4930" s="5" t="s">
        <v>32471</v>
      </c>
      <c r="M4930" s="5" t="s">
        <v>32477</v>
      </c>
      <c r="N4930" s="7" t="s">
        <v>32478</v>
      </c>
      <c r="O4930" s="8" t="str">
        <f>HYPERLINK("https://drive.google.com/file/d/1gaqfTYL2RRq_2jRfGnPAZJ_tbsHVGxhn/view?usp=drivesdk","4929_DRG.INDAH ANGGARAINI.,S.K.G.,M.DSC _ SERTIFIKAT BerAKHLAK")</f>
        <v>4929_DRG.INDAH ANGGARAINI.,S.K.G.,M.DSC _ SERTIFIKAT BerAKHLAK</v>
      </c>
      <c r="P4930" s="5" t="s">
        <v>32460</v>
      </c>
    </row>
    <row r="4931" hidden="1">
      <c r="A4931" s="4">
        <v>45534.35520875</v>
      </c>
      <c r="B4931" s="5" t="s">
        <v>19</v>
      </c>
      <c r="C4931" s="5" t="s">
        <v>30588</v>
      </c>
      <c r="E4931" s="5" t="s">
        <v>32479</v>
      </c>
      <c r="F4931" s="5" t="s">
        <v>375</v>
      </c>
      <c r="G4931" s="5" t="s">
        <v>32480</v>
      </c>
      <c r="H4931" s="6" t="s">
        <v>32481</v>
      </c>
      <c r="K4931" s="5" t="s">
        <v>32471</v>
      </c>
      <c r="M4931" s="5" t="s">
        <v>32482</v>
      </c>
      <c r="N4931" s="7" t="s">
        <v>32483</v>
      </c>
      <c r="O4931" s="8" t="str">
        <f>HYPERLINK("https://drive.google.com/file/d/1XOWMJU_gLhZ2XUBhZclQlhZKqBgrbvgg/view?usp=drivesdk","4930_NGATNI HARYATI _ SERTIFIKAT BerAKHLAK")</f>
        <v>4930_NGATNI HARYATI _ SERTIFIKAT BerAKHLAK</v>
      </c>
      <c r="P4931" s="5" t="s">
        <v>32460</v>
      </c>
    </row>
    <row r="4932">
      <c r="A4932" s="4">
        <v>45534.355211608796</v>
      </c>
      <c r="B4932" s="5" t="s">
        <v>34</v>
      </c>
      <c r="D4932" s="5" t="s">
        <v>10444</v>
      </c>
      <c r="E4932" s="5" t="s">
        <v>32484</v>
      </c>
      <c r="F4932" s="5" t="s">
        <v>37</v>
      </c>
      <c r="G4932" s="5" t="s">
        <v>32485</v>
      </c>
      <c r="H4932" s="6" t="s">
        <v>32486</v>
      </c>
      <c r="K4932" s="5" t="s">
        <v>32471</v>
      </c>
      <c r="M4932" s="5" t="s">
        <v>32487</v>
      </c>
      <c r="N4932" s="7" t="s">
        <v>32488</v>
      </c>
      <c r="O4932" s="8" t="str">
        <f>HYPERLINK("https://drive.google.com/file/d/1PErxFTX2yeAdeXLO_r0ERnmhdQ6iiVny/view?usp=drivesdk","4931_ANGGY ARIESTY, A. Md. Kep _ SERTIFIKAT BerAKHLAK")</f>
        <v>4931_ANGGY ARIESTY, A. Md. Kep _ SERTIFIKAT BerAKHLAK</v>
      </c>
      <c r="P4932" s="5" t="s">
        <v>32489</v>
      </c>
    </row>
    <row r="4933">
      <c r="A4933" s="4">
        <v>45534.35522142361</v>
      </c>
      <c r="B4933" s="5" t="s">
        <v>34</v>
      </c>
      <c r="D4933" s="5" t="s">
        <v>10444</v>
      </c>
      <c r="E4933" s="5" t="s">
        <v>32490</v>
      </c>
      <c r="F4933" s="5" t="s">
        <v>199</v>
      </c>
      <c r="G4933" s="5" t="s">
        <v>32491</v>
      </c>
      <c r="H4933" s="6" t="s">
        <v>32492</v>
      </c>
      <c r="K4933" s="5" t="s">
        <v>32471</v>
      </c>
      <c r="M4933" s="5" t="s">
        <v>32493</v>
      </c>
      <c r="N4933" s="7" t="s">
        <v>32494</v>
      </c>
      <c r="O4933" s="8" t="str">
        <f>HYPERLINK("https://drive.google.com/file/d/1TmZSJxH_lY4fpo-sWJ6qq851CPZJGlNf/view?usp=drivesdk","4932_MUJIYATIN _ SERTIFIKAT BerAKHLAK")</f>
        <v>4932_MUJIYATIN _ SERTIFIKAT BerAKHLAK</v>
      </c>
      <c r="P4933" s="5" t="s">
        <v>32489</v>
      </c>
    </row>
    <row r="4934">
      <c r="A4934" s="4">
        <v>45534.35522409722</v>
      </c>
      <c r="B4934" s="5" t="s">
        <v>34</v>
      </c>
      <c r="D4934" s="5" t="s">
        <v>1206</v>
      </c>
      <c r="E4934" s="5" t="s">
        <v>32495</v>
      </c>
      <c r="F4934" s="5" t="s">
        <v>37</v>
      </c>
      <c r="G4934" s="5" t="s">
        <v>32496</v>
      </c>
      <c r="H4934" s="6" t="s">
        <v>32497</v>
      </c>
      <c r="K4934" s="5" t="s">
        <v>32471</v>
      </c>
      <c r="M4934" s="5" t="s">
        <v>32498</v>
      </c>
      <c r="N4934" s="7" t="s">
        <v>32499</v>
      </c>
      <c r="O4934" s="8" t="str">
        <f>HYPERLINK("https://drive.google.com/file/d/1Z52Qijj7z4iuYhtmn27nQdsy12RA4-KS/view?usp=drivesdk","4933_HARIATI, S.M. _ SERTIFIKAT BerAKHLAK")</f>
        <v>4933_HARIATI, S.M. _ SERTIFIKAT BerAKHLAK</v>
      </c>
      <c r="P4934" s="5" t="s">
        <v>32489</v>
      </c>
    </row>
    <row r="4935">
      <c r="A4935" s="4">
        <v>45534.35524246527</v>
      </c>
      <c r="B4935" s="5" t="s">
        <v>34</v>
      </c>
      <c r="D4935" s="5" t="s">
        <v>1206</v>
      </c>
      <c r="E4935" s="5" t="s">
        <v>32500</v>
      </c>
      <c r="F4935" s="5" t="s">
        <v>37</v>
      </c>
      <c r="G4935" s="5" t="s">
        <v>32501</v>
      </c>
      <c r="H4935" s="6" t="s">
        <v>32502</v>
      </c>
      <c r="K4935" s="5" t="s">
        <v>32471</v>
      </c>
      <c r="M4935" s="5" t="s">
        <v>32503</v>
      </c>
      <c r="N4935" s="7" t="s">
        <v>32504</v>
      </c>
      <c r="O4935" s="8" t="str">
        <f>HYPERLINK("https://drive.google.com/file/d/1QfRfueWOJQxxmqk7fJ58wWuRVe9Ox8Z9/view?usp=drivesdk","4934_SUPRIANTO _ SERTIFIKAT BerAKHLAK")</f>
        <v>4934_SUPRIANTO _ SERTIFIKAT BerAKHLAK</v>
      </c>
      <c r="P4935" s="5" t="s">
        <v>32489</v>
      </c>
    </row>
    <row r="4936">
      <c r="A4936" s="4">
        <v>45534.35524809027</v>
      </c>
      <c r="B4936" s="5" t="s">
        <v>34</v>
      </c>
      <c r="D4936" s="5" t="s">
        <v>9020</v>
      </c>
      <c r="E4936" s="5" t="s">
        <v>32505</v>
      </c>
      <c r="F4936" s="5" t="s">
        <v>37</v>
      </c>
      <c r="G4936" s="5" t="s">
        <v>32506</v>
      </c>
      <c r="H4936" s="6" t="s">
        <v>32507</v>
      </c>
      <c r="K4936" s="5" t="s">
        <v>32471</v>
      </c>
      <c r="M4936" s="5" t="s">
        <v>32508</v>
      </c>
      <c r="N4936" s="7" t="s">
        <v>32509</v>
      </c>
      <c r="O4936" s="8" t="str">
        <f>HYPERLINK("https://drive.google.com/file/d/1zUOV5czuqzJCN8wzXqXbHD8IzSX6Ea-v/view?usp=drivesdk","4935_FABER SITUMORANG _ SERTIFIKAT BerAKHLAK")</f>
        <v>4935_FABER SITUMORANG _ SERTIFIKAT BerAKHLAK</v>
      </c>
      <c r="P4936" s="5" t="s">
        <v>32510</v>
      </c>
    </row>
    <row r="4937">
      <c r="A4937" s="4">
        <v>45534.35525245371</v>
      </c>
      <c r="B4937" s="5" t="s">
        <v>34</v>
      </c>
      <c r="D4937" s="5" t="s">
        <v>1206</v>
      </c>
      <c r="E4937" s="5" t="s">
        <v>32511</v>
      </c>
      <c r="F4937" s="5" t="s">
        <v>37</v>
      </c>
      <c r="G4937" s="5" t="s">
        <v>32512</v>
      </c>
      <c r="H4937" s="6" t="s">
        <v>32513</v>
      </c>
      <c r="K4937" s="5" t="s">
        <v>32471</v>
      </c>
      <c r="M4937" s="5" t="s">
        <v>32514</v>
      </c>
      <c r="N4937" s="7" t="s">
        <v>32515</v>
      </c>
      <c r="O4937" s="8" t="str">
        <f>HYPERLINK("https://drive.google.com/file/d/1qhYh4yjk0J8a5cWv5XnaxwnP3O3WcUl-/view?usp=drivesdk","4936_YULI WAHYUNING ASTUTI _ SERTIFIKAT BerAKHLAK")</f>
        <v>4936_YULI WAHYUNING ASTUTI _ SERTIFIKAT BerAKHLAK</v>
      </c>
      <c r="P4937" s="5" t="s">
        <v>32510</v>
      </c>
    </row>
    <row r="4938">
      <c r="A4938" s="4">
        <v>45534.35525673611</v>
      </c>
      <c r="B4938" s="5" t="s">
        <v>34</v>
      </c>
      <c r="D4938" s="5" t="s">
        <v>9020</v>
      </c>
      <c r="E4938" s="5" t="s">
        <v>32516</v>
      </c>
      <c r="F4938" s="5" t="s">
        <v>212</v>
      </c>
      <c r="G4938" s="5" t="s">
        <v>32517</v>
      </c>
      <c r="H4938" s="6" t="s">
        <v>32518</v>
      </c>
      <c r="K4938" s="5" t="s">
        <v>32471</v>
      </c>
      <c r="M4938" s="5" t="s">
        <v>32519</v>
      </c>
      <c r="N4938" s="7" t="s">
        <v>32520</v>
      </c>
      <c r="O4938" s="8" t="str">
        <f>HYPERLINK("https://drive.google.com/file/d/1IeuRYoEQxgxS19Ut2YU5W3HYA07EBUcj/view?usp=drivesdk","4937_TICTIN ROSEVELT SARAGI _ SERTIFIKAT BerAKHLAK")</f>
        <v>4937_TICTIN ROSEVELT SARAGI _ SERTIFIKAT BerAKHLAK</v>
      </c>
      <c r="P4938" s="5" t="s">
        <v>32510</v>
      </c>
    </row>
    <row r="4939">
      <c r="A4939" s="4">
        <v>45534.3552694213</v>
      </c>
      <c r="B4939" s="5" t="s">
        <v>34</v>
      </c>
      <c r="D4939" s="5" t="s">
        <v>1206</v>
      </c>
      <c r="E4939" s="5" t="s">
        <v>32521</v>
      </c>
      <c r="F4939" s="5" t="s">
        <v>72</v>
      </c>
      <c r="G4939" s="5" t="s">
        <v>32522</v>
      </c>
      <c r="H4939" s="6" t="s">
        <v>32523</v>
      </c>
      <c r="K4939" s="5" t="s">
        <v>32471</v>
      </c>
      <c r="M4939" s="5" t="s">
        <v>32524</v>
      </c>
      <c r="N4939" s="7" t="s">
        <v>32525</v>
      </c>
      <c r="O4939" s="8" t="str">
        <f>HYPERLINK("https://drive.google.com/file/d/1hq4FUVRFBbVeGivXfi17rg4DWXy1sUvo/view?usp=drivesdk","4938_EMMY KRISTIANI, S.Sos _ SERTIFIKAT BerAKHLAK")</f>
        <v>4938_EMMY KRISTIANI, S.Sos _ SERTIFIKAT BerAKHLAK</v>
      </c>
      <c r="P4939" s="5" t="s">
        <v>32510</v>
      </c>
    </row>
    <row r="4940">
      <c r="A4940" s="4">
        <v>45534.355301620366</v>
      </c>
      <c r="B4940" s="5" t="s">
        <v>34</v>
      </c>
      <c r="D4940" s="5" t="s">
        <v>1206</v>
      </c>
      <c r="E4940" s="5" t="s">
        <v>32526</v>
      </c>
      <c r="F4940" s="5" t="s">
        <v>6776</v>
      </c>
      <c r="G4940" s="5" t="s">
        <v>32527</v>
      </c>
      <c r="H4940" s="6" t="s">
        <v>32528</v>
      </c>
      <c r="I4940" s="7" t="s">
        <v>32529</v>
      </c>
      <c r="J4940" s="8" t="str">
        <f>HYPERLINK("https://drive.google.com/file/d/1P_ejFo5q8xtCDTZfGI9ZL32rTXnu_gvw/view?usp=drivesdk","LILIK MIASIH SERTIFIKAT BerAKHLAK")</f>
        <v>LILIK MIASIH SERTIFIKAT BerAKHLAK</v>
      </c>
      <c r="K4940" s="5" t="s">
        <v>31978</v>
      </c>
      <c r="L4940" s="5" t="s">
        <v>32530</v>
      </c>
      <c r="M4940" s="5" t="s">
        <v>32531</v>
      </c>
      <c r="N4940" s="7" t="s">
        <v>32532</v>
      </c>
      <c r="O4940" s="8" t="str">
        <f>HYPERLINK("https://drive.google.com/file/d/1LVF2zgdsDLzlr3krgfEYF41GxXYQ2bf9/view?usp=drivesdk","4939_LILIK MIASIH _ SERTIFIKAT BerAKHLAK")</f>
        <v>4939_LILIK MIASIH _ SERTIFIKAT BerAKHLAK</v>
      </c>
      <c r="P4940" s="5" t="s">
        <v>32533</v>
      </c>
    </row>
    <row r="4941">
      <c r="A4941" s="4">
        <v>45534.35530232639</v>
      </c>
      <c r="B4941" s="5" t="s">
        <v>34</v>
      </c>
      <c r="D4941" s="5" t="s">
        <v>9020</v>
      </c>
      <c r="E4941" s="5" t="s">
        <v>32534</v>
      </c>
      <c r="F4941" s="5" t="s">
        <v>715</v>
      </c>
      <c r="G4941" s="5" t="s">
        <v>32535</v>
      </c>
      <c r="H4941" s="6" t="s">
        <v>32536</v>
      </c>
      <c r="I4941" s="7" t="s">
        <v>32537</v>
      </c>
      <c r="J4941" s="8" t="str">
        <f>HYPERLINK("https://drive.google.com/file/d/1PDt37VyDCP5IYxgkwisv21l6oZP45f4e/view?usp=drivesdk","ELISMAWATY NASUTION  SERTIFIKAT BerAKHLAK")</f>
        <v>ELISMAWATY NASUTION  SERTIFIKAT BerAKHLAK</v>
      </c>
      <c r="K4941" s="5" t="s">
        <v>31978</v>
      </c>
      <c r="L4941" s="5" t="s">
        <v>32538</v>
      </c>
      <c r="M4941" s="5" t="s">
        <v>32539</v>
      </c>
      <c r="N4941" s="7" t="s">
        <v>32540</v>
      </c>
      <c r="O4941" s="8" t="str">
        <f>HYPERLINK("https://drive.google.com/file/d/1YkOmEJpqlw4sGyHNNbDeJirRUe9R22Ga/view?usp=drivesdk","4940_ELISMAWATY NASUTION  _ SERTIFIKAT BerAKHLAK")</f>
        <v>4940_ELISMAWATY NASUTION  _ SERTIFIKAT BerAKHLAK</v>
      </c>
      <c r="P4941" s="5" t="s">
        <v>32533</v>
      </c>
    </row>
    <row r="4942">
      <c r="A4942" s="4">
        <v>45534.35530780093</v>
      </c>
      <c r="B4942" s="5" t="s">
        <v>34</v>
      </c>
      <c r="D4942" s="5" t="s">
        <v>35</v>
      </c>
      <c r="E4942" s="5" t="s">
        <v>32541</v>
      </c>
      <c r="F4942" s="5" t="s">
        <v>212</v>
      </c>
      <c r="G4942" s="5" t="s">
        <v>32542</v>
      </c>
      <c r="H4942" s="6" t="s">
        <v>32543</v>
      </c>
      <c r="K4942" s="5" t="s">
        <v>32544</v>
      </c>
      <c r="M4942" s="5" t="s">
        <v>32545</v>
      </c>
      <c r="N4942" s="7" t="s">
        <v>32546</v>
      </c>
      <c r="O4942" s="8" t="str">
        <f>HYPERLINK("https://drive.google.com/file/d/1GOHJQSoCN2RriSgbbKXIkJ0I66b2yuvp/view?usp=drivesdk","4941_AWALUDIN _ SERTIFIKAT BerAKHLAK")</f>
        <v>4941_AWALUDIN _ SERTIFIKAT BerAKHLAK</v>
      </c>
      <c r="P4942" s="5" t="s">
        <v>32533</v>
      </c>
    </row>
    <row r="4943" hidden="1">
      <c r="A4943" s="4">
        <v>45534.355312245374</v>
      </c>
      <c r="B4943" s="5" t="s">
        <v>19</v>
      </c>
      <c r="C4943" s="5" t="s">
        <v>24076</v>
      </c>
      <c r="E4943" s="5" t="s">
        <v>32547</v>
      </c>
      <c r="F4943" s="5" t="s">
        <v>72</v>
      </c>
      <c r="G4943" s="5" t="s">
        <v>32548</v>
      </c>
      <c r="H4943" s="6" t="s">
        <v>32549</v>
      </c>
      <c r="K4943" s="5" t="s">
        <v>32544</v>
      </c>
      <c r="M4943" s="5" t="s">
        <v>32550</v>
      </c>
      <c r="N4943" s="7" t="s">
        <v>32551</v>
      </c>
      <c r="O4943" s="8" t="str">
        <f>HYPERLINK("https://drive.google.com/file/d/1envd7TnulXNDLiq1Nolpx2bG6EywnGP8/view?usp=drivesdk","4942_NURLINA PAMBAYUNI, AMD _ SERTIFIKAT BerAKHLAK")</f>
        <v>4942_NURLINA PAMBAYUNI, AMD _ SERTIFIKAT BerAKHLAK</v>
      </c>
      <c r="P4943" s="5" t="s">
        <v>32533</v>
      </c>
    </row>
    <row r="4944">
      <c r="A4944" s="4">
        <v>45534.35531408565</v>
      </c>
      <c r="B4944" s="5" t="s">
        <v>34</v>
      </c>
      <c r="D4944" s="5" t="s">
        <v>1206</v>
      </c>
      <c r="E4944" s="5" t="s">
        <v>32552</v>
      </c>
      <c r="F4944" s="5" t="s">
        <v>199</v>
      </c>
      <c r="G4944" s="5" t="s">
        <v>32553</v>
      </c>
      <c r="H4944" s="6" t="s">
        <v>32554</v>
      </c>
      <c r="K4944" s="5" t="s">
        <v>32544</v>
      </c>
      <c r="M4944" s="5" t="s">
        <v>32555</v>
      </c>
      <c r="N4944" s="7" t="s">
        <v>32556</v>
      </c>
      <c r="O4944" s="8" t="str">
        <f>HYPERLINK("https://drive.google.com/file/d/1-0-7sln5hHIiGYtvphuQRTWdTSMx9Eto/view?usp=drivesdk","4943_NOER FAIZAH  _ SERTIFIKAT BerAKHLAK")</f>
        <v>4943_NOER FAIZAH  _ SERTIFIKAT BerAKHLAK</v>
      </c>
      <c r="P4944" s="5" t="s">
        <v>32557</v>
      </c>
    </row>
    <row r="4945">
      <c r="A4945" s="4">
        <v>45534.355314942135</v>
      </c>
      <c r="B4945" s="5" t="s">
        <v>34</v>
      </c>
      <c r="D4945" s="5" t="s">
        <v>12978</v>
      </c>
      <c r="E4945" s="5" t="s">
        <v>32558</v>
      </c>
      <c r="F4945" s="5" t="s">
        <v>375</v>
      </c>
      <c r="G4945" s="5" t="s">
        <v>32559</v>
      </c>
      <c r="H4945" s="6" t="s">
        <v>32560</v>
      </c>
      <c r="K4945" s="5" t="s">
        <v>32544</v>
      </c>
      <c r="M4945" s="5" t="s">
        <v>32561</v>
      </c>
      <c r="N4945" s="7" t="s">
        <v>32562</v>
      </c>
      <c r="O4945" s="8" t="str">
        <f>HYPERLINK("https://drive.google.com/file/d/1YDmd_4EX1y56aDYrtSoGh_kGuDS7rJtN/view?usp=drivesdk","4944_TRI MEIDAWATI. SH _ SERTIFIKAT BerAKHLAK")</f>
        <v>4944_TRI MEIDAWATI. SH _ SERTIFIKAT BerAKHLAK</v>
      </c>
      <c r="P4945" s="5" t="s">
        <v>32557</v>
      </c>
    </row>
    <row r="4946">
      <c r="A4946" s="4">
        <v>45534.355323888885</v>
      </c>
      <c r="B4946" s="5" t="s">
        <v>34</v>
      </c>
      <c r="D4946" s="5" t="s">
        <v>9020</v>
      </c>
      <c r="E4946" s="5" t="s">
        <v>32563</v>
      </c>
      <c r="F4946" s="5" t="s">
        <v>37</v>
      </c>
      <c r="G4946" s="5" t="s">
        <v>32564</v>
      </c>
      <c r="H4946" s="6" t="s">
        <v>32565</v>
      </c>
      <c r="K4946" s="5" t="s">
        <v>32544</v>
      </c>
      <c r="M4946" s="5" t="s">
        <v>32566</v>
      </c>
      <c r="N4946" s="7" t="s">
        <v>32567</v>
      </c>
      <c r="O4946" s="8" t="str">
        <f>HYPERLINK("https://drive.google.com/file/d/1sw-WtHdHmzmaTAABLbgh4PgihGWDDYqx/view?usp=drivesdk","4945_Agus Toni Bangun _ SERTIFIKAT BerAKHLAK")</f>
        <v>4945_Agus Toni Bangun _ SERTIFIKAT BerAKHLAK</v>
      </c>
      <c r="P4946" s="5" t="s">
        <v>32557</v>
      </c>
    </row>
    <row r="4947">
      <c r="A4947" s="4">
        <v>45534.355327337966</v>
      </c>
      <c r="B4947" s="5" t="s">
        <v>34</v>
      </c>
      <c r="D4947" s="5" t="s">
        <v>9020</v>
      </c>
      <c r="E4947" s="5" t="s">
        <v>32568</v>
      </c>
      <c r="F4947" s="5" t="s">
        <v>375</v>
      </c>
      <c r="G4947" s="5" t="s">
        <v>32569</v>
      </c>
      <c r="H4947" s="6" t="s">
        <v>32570</v>
      </c>
      <c r="K4947" s="5" t="s">
        <v>32544</v>
      </c>
      <c r="M4947" s="5" t="s">
        <v>32571</v>
      </c>
      <c r="N4947" s="7" t="s">
        <v>32572</v>
      </c>
      <c r="O4947" s="8" t="str">
        <f>HYPERLINK("https://drive.google.com/file/d/1NMKzTRIc-WPyoB-vPUFpx2fuqfwRxi6B/view?usp=drivesdk","4946_DARWIN JONI _ SERTIFIKAT BerAKHLAK")</f>
        <v>4946_DARWIN JONI _ SERTIFIKAT BerAKHLAK</v>
      </c>
      <c r="P4947" s="5" t="s">
        <v>32573</v>
      </c>
    </row>
    <row r="4948">
      <c r="A4948" s="4">
        <v>45534.35533922454</v>
      </c>
      <c r="B4948" s="5" t="s">
        <v>34</v>
      </c>
      <c r="D4948" s="5" t="s">
        <v>1768</v>
      </c>
      <c r="E4948" s="5" t="s">
        <v>32574</v>
      </c>
      <c r="F4948" s="5" t="s">
        <v>72</v>
      </c>
      <c r="G4948" s="5" t="s">
        <v>32575</v>
      </c>
      <c r="H4948" s="6" t="s">
        <v>32576</v>
      </c>
      <c r="K4948" s="5" t="s">
        <v>32544</v>
      </c>
      <c r="M4948" s="5" t="s">
        <v>32577</v>
      </c>
      <c r="N4948" s="7" t="s">
        <v>32578</v>
      </c>
      <c r="O4948" s="8" t="str">
        <f>HYPERLINK("https://drive.google.com/file/d/1ApLc0b06FsUtBTCiZuvhG4BRwcdCSaX1/view?usp=drivesdk","4947_YURIA EVIANA,S Kep _ SERTIFIKAT BerAKHLAK")</f>
        <v>4947_YURIA EVIANA,S Kep _ SERTIFIKAT BerAKHLAK</v>
      </c>
      <c r="P4948" s="5" t="s">
        <v>32573</v>
      </c>
    </row>
    <row r="4949">
      <c r="A4949" s="4">
        <v>45534.355346516204</v>
      </c>
      <c r="B4949" s="5" t="s">
        <v>34</v>
      </c>
      <c r="D4949" s="5" t="s">
        <v>12978</v>
      </c>
      <c r="E4949" s="5" t="s">
        <v>32579</v>
      </c>
      <c r="F4949" s="5" t="s">
        <v>37</v>
      </c>
      <c r="G4949" s="5" t="s">
        <v>32580</v>
      </c>
      <c r="H4949" s="6" t="s">
        <v>32581</v>
      </c>
      <c r="K4949" s="5" t="s">
        <v>32544</v>
      </c>
      <c r="M4949" s="5" t="s">
        <v>32582</v>
      </c>
      <c r="N4949" s="7" t="s">
        <v>32583</v>
      </c>
      <c r="O4949" s="8" t="str">
        <f>HYPERLINK("https://drive.google.com/file/d/124a23zzmH1B1AP76UEAKrhZTa-M8NblY/view?usp=drivesdk","4948_EVA HARIYANY _ SERTIFIKAT BerAKHLAK")</f>
        <v>4948_EVA HARIYANY _ SERTIFIKAT BerAKHLAK</v>
      </c>
      <c r="P4949" s="5" t="s">
        <v>32573</v>
      </c>
    </row>
    <row r="4950" hidden="1">
      <c r="A4950" s="4">
        <v>45534.355352569444</v>
      </c>
      <c r="B4950" s="5" t="s">
        <v>19</v>
      </c>
      <c r="C4950" s="5" t="s">
        <v>315</v>
      </c>
      <c r="E4950" s="5" t="s">
        <v>32584</v>
      </c>
      <c r="F4950" s="5" t="s">
        <v>108</v>
      </c>
      <c r="G4950" s="5" t="s">
        <v>32585</v>
      </c>
      <c r="H4950" s="6" t="s">
        <v>32586</v>
      </c>
      <c r="K4950" s="5" t="s">
        <v>32544</v>
      </c>
      <c r="M4950" s="5" t="s">
        <v>32587</v>
      </c>
      <c r="N4950" s="7" t="s">
        <v>32588</v>
      </c>
      <c r="O4950" s="8" t="str">
        <f>HYPERLINK("https://drive.google.com/file/d/1iE0w6E2osCTNphUMZ6dPrikq9nPyX4aF/view?usp=drivesdk","4949_WIJAYA INDRA PRABHAWA, S.Pd. _ SERTIFIKAT BerAKHLAK")</f>
        <v>4949_WIJAYA INDRA PRABHAWA, S.Pd. _ SERTIFIKAT BerAKHLAK</v>
      </c>
      <c r="P4950" s="5" t="s">
        <v>32573</v>
      </c>
    </row>
    <row r="4951">
      <c r="A4951" s="4">
        <v>45534.355363379625</v>
      </c>
      <c r="B4951" s="5" t="s">
        <v>34</v>
      </c>
      <c r="D4951" s="5" t="s">
        <v>267</v>
      </c>
      <c r="E4951" s="5" t="s">
        <v>32589</v>
      </c>
      <c r="F4951" s="5" t="s">
        <v>212</v>
      </c>
      <c r="G4951" s="5" t="s">
        <v>32590</v>
      </c>
      <c r="H4951" s="6" t="s">
        <v>32591</v>
      </c>
      <c r="I4951" s="7" t="s">
        <v>32592</v>
      </c>
      <c r="J4951" s="8" t="str">
        <f>HYPERLINK("https://drive.google.com/file/d/1sEQECUT7EdlY5IdL0-xvAHh05JAGCU0J/view?usp=drivesdk","HARYANTA SERTIFIKAT BerAKHLAK")</f>
        <v>HARYANTA SERTIFIKAT BerAKHLAK</v>
      </c>
      <c r="K4951" s="5" t="s">
        <v>31978</v>
      </c>
      <c r="L4951" s="5" t="s">
        <v>32593</v>
      </c>
      <c r="M4951" s="5" t="s">
        <v>32594</v>
      </c>
      <c r="N4951" s="7" t="s">
        <v>32595</v>
      </c>
      <c r="O4951" s="8" t="str">
        <f>HYPERLINK("https://drive.google.com/file/d/1aDGqr13gUdV-OfbgAcDIFgMmhcKmzznU/view?usp=drivesdk","4950_HARYANTA _ SERTIFIKAT BerAKHLAK")</f>
        <v>4950_HARYANTA _ SERTIFIKAT BerAKHLAK</v>
      </c>
      <c r="P4951" s="5" t="s">
        <v>32573</v>
      </c>
    </row>
    <row r="4952" hidden="1">
      <c r="A4952" s="4">
        <v>45534.3553825</v>
      </c>
      <c r="B4952" s="5" t="s">
        <v>19</v>
      </c>
      <c r="C4952" s="5" t="s">
        <v>3301</v>
      </c>
      <c r="E4952" s="5" t="s">
        <v>32596</v>
      </c>
      <c r="F4952" s="5" t="s">
        <v>524</v>
      </c>
      <c r="G4952" s="5" t="s">
        <v>32597</v>
      </c>
      <c r="H4952" s="6" t="s">
        <v>32598</v>
      </c>
      <c r="I4952" s="7" t="s">
        <v>32599</v>
      </c>
      <c r="J4952" s="8" t="str">
        <f>HYPERLINK("https://drive.google.com/file/d/16ebK3MwzJPP9w96vEOYSw2GB58sJ7hYN/view?usp=drivesdk","HOLIPAH SERTIFIKAT BerAKHLAK")</f>
        <v>HOLIPAH SERTIFIKAT BerAKHLAK</v>
      </c>
      <c r="K4952" s="5" t="s">
        <v>31978</v>
      </c>
      <c r="L4952" s="5" t="s">
        <v>32600</v>
      </c>
      <c r="M4952" s="5" t="s">
        <v>32601</v>
      </c>
      <c r="N4952" s="7" t="s">
        <v>32602</v>
      </c>
      <c r="O4952" s="8" t="str">
        <f>HYPERLINK("https://drive.google.com/file/d/1kl-hknGcRrqP9Ar4JGSgOtcheAWaHuwU/view?usp=drivesdk","4951_HOLIPAH _ SERTIFIKAT BerAKHLAK")</f>
        <v>4951_HOLIPAH _ SERTIFIKAT BerAKHLAK</v>
      </c>
      <c r="P4952" s="5" t="s">
        <v>32603</v>
      </c>
    </row>
    <row r="4953">
      <c r="A4953" s="4">
        <v>45534.35539226852</v>
      </c>
      <c r="B4953" s="5" t="s">
        <v>34</v>
      </c>
      <c r="D4953" s="5" t="s">
        <v>10444</v>
      </c>
      <c r="E4953" s="5" t="s">
        <v>32604</v>
      </c>
      <c r="F4953" s="5" t="s">
        <v>37</v>
      </c>
      <c r="G4953" s="5" t="s">
        <v>32605</v>
      </c>
      <c r="H4953" s="6" t="s">
        <v>32606</v>
      </c>
      <c r="K4953" s="5" t="s">
        <v>32607</v>
      </c>
      <c r="M4953" s="5" t="s">
        <v>32608</v>
      </c>
      <c r="N4953" s="7" t="s">
        <v>32609</v>
      </c>
      <c r="O4953" s="8" t="str">
        <f>HYPERLINK("https://drive.google.com/file/d/12gcUw7jZhOfFZkLjqYg795qLgFAn-Vsf/view?usp=drivesdk","4952_FITRIA MUSLIMAH BERTIEN, A.Md.Keb. _ SERTIFIKAT BerAKHLAK")</f>
        <v>4952_FITRIA MUSLIMAH BERTIEN, A.Md.Keb. _ SERTIFIKAT BerAKHLAK</v>
      </c>
      <c r="P4953" s="5" t="s">
        <v>32603</v>
      </c>
    </row>
    <row r="4954">
      <c r="A4954" s="4">
        <v>45534.35540173611</v>
      </c>
      <c r="B4954" s="5" t="s">
        <v>34</v>
      </c>
      <c r="D4954" s="5" t="s">
        <v>280</v>
      </c>
      <c r="E4954" s="5" t="s">
        <v>32610</v>
      </c>
      <c r="F4954" s="5" t="s">
        <v>524</v>
      </c>
      <c r="G4954" s="5" t="s">
        <v>32611</v>
      </c>
      <c r="H4954" s="6" t="s">
        <v>32612</v>
      </c>
      <c r="I4954" s="7" t="s">
        <v>32613</v>
      </c>
      <c r="J4954" s="8" t="str">
        <f>HYPERLINK("https://drive.google.com/file/d/1c2XfaABBQiZ4QBW9DPh7VrjSjwrDIVzw/view?usp=drivesdk","Arief Binsar Tampubolon  SERTIFIKAT BerAKHLAK")</f>
        <v>Arief Binsar Tampubolon  SERTIFIKAT BerAKHLAK</v>
      </c>
      <c r="K4954" s="5" t="s">
        <v>31978</v>
      </c>
      <c r="L4954" s="5" t="s">
        <v>32614</v>
      </c>
      <c r="M4954" s="5" t="s">
        <v>32615</v>
      </c>
      <c r="N4954" s="7" t="s">
        <v>32616</v>
      </c>
      <c r="O4954" s="8" t="str">
        <f>HYPERLINK("https://drive.google.com/file/d/1538Kq6N0gdf0klNoAMXxH_Sg4SXZ72bx/view?usp=drivesdk","4953_Arief Binsar Tampubolon  _ SERTIFIKAT BerAKHLAK")</f>
        <v>4953_Arief Binsar Tampubolon  _ SERTIFIKAT BerAKHLAK</v>
      </c>
      <c r="P4954" s="5" t="s">
        <v>32617</v>
      </c>
    </row>
    <row r="4955">
      <c r="A4955" s="4">
        <v>45534.35541708334</v>
      </c>
      <c r="B4955" s="5" t="s">
        <v>34</v>
      </c>
      <c r="D4955" s="5" t="s">
        <v>9020</v>
      </c>
      <c r="E4955" s="5" t="s">
        <v>32618</v>
      </c>
      <c r="F4955" s="5" t="s">
        <v>212</v>
      </c>
      <c r="G4955" s="5" t="s">
        <v>32619</v>
      </c>
      <c r="H4955" s="6" t="s">
        <v>32620</v>
      </c>
      <c r="I4955" s="7" t="s">
        <v>32621</v>
      </c>
      <c r="J4955" s="8" t="str">
        <f>HYPERLINK("https://drive.google.com/file/d/13s8rva-mIHGlCcrKnf7eEhYeRsQbKzuH/view?usp=drivesdk","RIDWAN PANJAITAN SERTIFIKAT BerAKHLAK")</f>
        <v>RIDWAN PANJAITAN SERTIFIKAT BerAKHLAK</v>
      </c>
      <c r="K4955" s="5" t="s">
        <v>31978</v>
      </c>
      <c r="L4955" s="5" t="s">
        <v>32622</v>
      </c>
      <c r="M4955" s="5" t="s">
        <v>32623</v>
      </c>
      <c r="N4955" s="7" t="s">
        <v>32624</v>
      </c>
      <c r="O4955" s="8" t="str">
        <f>HYPERLINK("https://drive.google.com/file/d/1oYnAXtcH6snFqCnfCE0T7GBq_9AzG0rT/view?usp=drivesdk","4954_RIDWAN PANJAITAN _ SERTIFIKAT BerAKHLAK")</f>
        <v>4954_RIDWAN PANJAITAN _ SERTIFIKAT BerAKHLAK</v>
      </c>
      <c r="P4955" s="5" t="s">
        <v>32617</v>
      </c>
    </row>
    <row r="4956">
      <c r="A4956" s="4">
        <v>45534.35542368055</v>
      </c>
      <c r="B4956" s="5" t="s">
        <v>34</v>
      </c>
      <c r="D4956" s="5" t="s">
        <v>4775</v>
      </c>
      <c r="E4956" s="5" t="s">
        <v>31502</v>
      </c>
      <c r="F4956" s="5" t="s">
        <v>375</v>
      </c>
      <c r="G4956" s="5" t="s">
        <v>32625</v>
      </c>
      <c r="H4956" s="6" t="s">
        <v>32626</v>
      </c>
      <c r="I4956" s="7" t="s">
        <v>32627</v>
      </c>
      <c r="J4956" s="8" t="str">
        <f>HYPERLINK("https://drive.google.com/file/d/1HU-A2n_QRGtLw9QyBzjM_oOKxxzetoIa/view?usp=drivesdk","HARYO WAHYU WIBOWO, ST SERTIFIKAT BerAKHLAK")</f>
        <v>HARYO WAHYU WIBOWO, ST SERTIFIKAT BerAKHLAK</v>
      </c>
      <c r="K4956" s="5" t="s">
        <v>31978</v>
      </c>
      <c r="L4956" s="5" t="s">
        <v>32628</v>
      </c>
      <c r="M4956" s="5" t="s">
        <v>32629</v>
      </c>
      <c r="N4956" s="7" t="s">
        <v>32630</v>
      </c>
      <c r="O4956" s="8" t="str">
        <f>HYPERLINK("https://drive.google.com/file/d/15HcEbMWiLeCvQn1_ET2U8yblAbB7Zf7Y/view?usp=drivesdk","4955_HARYO WAHYU WIBOWO, ST _ SERTIFIKAT BerAKHLAK")</f>
        <v>4955_HARYO WAHYU WIBOWO, ST _ SERTIFIKAT BerAKHLAK</v>
      </c>
      <c r="P4956" s="5" t="s">
        <v>32617</v>
      </c>
    </row>
    <row r="4957">
      <c r="A4957" s="4">
        <v>45534.355436516205</v>
      </c>
      <c r="B4957" s="5" t="s">
        <v>34</v>
      </c>
      <c r="D4957" s="5" t="s">
        <v>1456</v>
      </c>
      <c r="E4957" s="5" t="s">
        <v>32631</v>
      </c>
      <c r="F4957" s="5" t="s">
        <v>108</v>
      </c>
      <c r="G4957" s="5" t="s">
        <v>32632</v>
      </c>
      <c r="H4957" s="6" t="s">
        <v>32633</v>
      </c>
      <c r="K4957" s="5" t="s">
        <v>32634</v>
      </c>
      <c r="M4957" s="5" t="s">
        <v>32635</v>
      </c>
      <c r="N4957" s="7" t="s">
        <v>32636</v>
      </c>
      <c r="O4957" s="8" t="str">
        <f>HYPERLINK("https://drive.google.com/file/d/1u1ZW7UqxxbHEEmE5iSbV1eRvWqU1M7wK/view?usp=drivesdk","4956_SRI WAHYUNI, S.Sos _ SERTIFIKAT BerAKHLAK")</f>
        <v>4956_SRI WAHYUNI, S.Sos _ SERTIFIKAT BerAKHLAK</v>
      </c>
      <c r="P4957" s="5" t="s">
        <v>32617</v>
      </c>
    </row>
    <row r="4958">
      <c r="A4958" s="4">
        <v>45534.35544010416</v>
      </c>
      <c r="B4958" s="5" t="s">
        <v>34</v>
      </c>
      <c r="D4958" s="5" t="s">
        <v>9020</v>
      </c>
      <c r="E4958" s="5" t="s">
        <v>32637</v>
      </c>
      <c r="F4958" s="5" t="s">
        <v>212</v>
      </c>
      <c r="G4958" s="5" t="s">
        <v>32638</v>
      </c>
      <c r="H4958" s="6" t="s">
        <v>32639</v>
      </c>
      <c r="I4958" s="7" t="s">
        <v>32640</v>
      </c>
      <c r="J4958" s="8" t="str">
        <f>HYPERLINK("https://drive.google.com/file/d/1P9_nlDjCGZWKJlp9X2N5ZT9YFygiDkCA/view?usp=drivesdk","ASLINIA HULU,S.KEP SERTIFIKAT BerAKHLAK")</f>
        <v>ASLINIA HULU,S.KEP SERTIFIKAT BerAKHLAK</v>
      </c>
      <c r="K4958" s="5" t="s">
        <v>31978</v>
      </c>
      <c r="L4958" s="5" t="s">
        <v>32641</v>
      </c>
      <c r="M4958" s="5" t="s">
        <v>32642</v>
      </c>
      <c r="N4958" s="7" t="s">
        <v>32643</v>
      </c>
      <c r="O4958" s="8" t="str">
        <f>HYPERLINK("https://drive.google.com/file/d/1UaqiFRrtn7nsqhiLRsz6jQFJtsAasBOl/view?usp=drivesdk","4957_ASLINIA HULU,S.KEP _ SERTIFIKAT BerAKHLAK")</f>
        <v>4957_ASLINIA HULU,S.KEP _ SERTIFIKAT BerAKHLAK</v>
      </c>
      <c r="P4958" s="5" t="s">
        <v>32644</v>
      </c>
    </row>
    <row r="4959">
      <c r="A4959" s="4">
        <v>45534.35546274306</v>
      </c>
      <c r="B4959" s="5" t="s">
        <v>34</v>
      </c>
      <c r="D4959" s="5" t="s">
        <v>996</v>
      </c>
      <c r="E4959" s="5" t="s">
        <v>32645</v>
      </c>
      <c r="F4959" s="5" t="s">
        <v>120</v>
      </c>
      <c r="G4959" s="5" t="s">
        <v>32646</v>
      </c>
      <c r="H4959" s="6" t="s">
        <v>32647</v>
      </c>
      <c r="K4959" s="5" t="s">
        <v>32648</v>
      </c>
      <c r="M4959" s="5" t="s">
        <v>32649</v>
      </c>
      <c r="N4959" s="7" t="s">
        <v>32650</v>
      </c>
      <c r="O4959" s="8" t="str">
        <f>HYPERLINK("https://drive.google.com/file/d/13SluU9REZE19YuMBbUDA7ijqt3pFMZL3/view?usp=drivesdk","4958_ASIKIN NOOR, S.H _ SERTIFIKAT BerAKHLAK")</f>
        <v>4958_ASIKIN NOOR, S.H _ SERTIFIKAT BerAKHLAK</v>
      </c>
      <c r="P4959" s="5" t="s">
        <v>32644</v>
      </c>
    </row>
    <row r="4960">
      <c r="A4960" s="4">
        <v>45534.35546435185</v>
      </c>
      <c r="B4960" s="5" t="s">
        <v>34</v>
      </c>
      <c r="D4960" s="5" t="s">
        <v>280</v>
      </c>
      <c r="E4960" s="5" t="s">
        <v>32651</v>
      </c>
      <c r="F4960" s="5" t="s">
        <v>37</v>
      </c>
      <c r="G4960" s="5" t="s">
        <v>32652</v>
      </c>
      <c r="H4960" s="6" t="s">
        <v>32653</v>
      </c>
      <c r="I4960" s="7" t="s">
        <v>32654</v>
      </c>
      <c r="J4960" s="8" t="str">
        <f>HYPERLINK("https://drive.google.com/file/d/1AdiFfZq3bWEOx96LxUAeiI5kAx2nP621/view?usp=drivesdk","TITIN LAYONSARI SM SERTIFIKAT BerAKHLAK")</f>
        <v>TITIN LAYONSARI SM SERTIFIKAT BerAKHLAK</v>
      </c>
      <c r="K4960" s="5" t="s">
        <v>31978</v>
      </c>
      <c r="L4960" s="5" t="s">
        <v>32655</v>
      </c>
      <c r="M4960" s="5" t="s">
        <v>32656</v>
      </c>
      <c r="N4960" s="7" t="s">
        <v>32657</v>
      </c>
      <c r="O4960" s="8" t="str">
        <f>HYPERLINK("https://drive.google.com/file/d/178F71g7PYPr2w0cQh1e8nxWdH0YyTeUI/view?usp=drivesdk","4959_TITIN LAYONSARI SM _ SERTIFIKAT BerAKHLAK")</f>
        <v>4959_TITIN LAYONSARI SM _ SERTIFIKAT BerAKHLAK</v>
      </c>
      <c r="P4960" s="5" t="s">
        <v>32644</v>
      </c>
    </row>
    <row r="4961">
      <c r="A4961" s="4">
        <v>45534.355465636574</v>
      </c>
      <c r="B4961" s="5" t="s">
        <v>34</v>
      </c>
      <c r="D4961" s="5" t="s">
        <v>1206</v>
      </c>
      <c r="E4961" s="5" t="s">
        <v>32658</v>
      </c>
      <c r="F4961" s="5" t="s">
        <v>37</v>
      </c>
      <c r="G4961" s="5" t="s">
        <v>32659</v>
      </c>
      <c r="H4961" s="6" t="s">
        <v>32660</v>
      </c>
      <c r="K4961" s="5" t="s">
        <v>32661</v>
      </c>
      <c r="M4961" s="5" t="s">
        <v>32662</v>
      </c>
      <c r="N4961" s="7" t="s">
        <v>32663</v>
      </c>
      <c r="O4961" s="8" t="str">
        <f>HYPERLINK("https://drive.google.com/file/d/1fEQ_dLPEhJ48_zYtBovM5JDake0qPwHc/view?usp=drivesdk","4960_SUNARTO _ SERTIFIKAT BerAKHLAK")</f>
        <v>4960_SUNARTO _ SERTIFIKAT BerAKHLAK</v>
      </c>
      <c r="P4961" s="5" t="s">
        <v>32644</v>
      </c>
    </row>
    <row r="4962">
      <c r="A4962" s="4">
        <v>45534.35547861111</v>
      </c>
      <c r="B4962" s="5" t="s">
        <v>34</v>
      </c>
      <c r="D4962" s="5" t="s">
        <v>1206</v>
      </c>
      <c r="E4962" s="5" t="s">
        <v>32664</v>
      </c>
      <c r="F4962" s="5" t="s">
        <v>212</v>
      </c>
      <c r="G4962" s="5" t="s">
        <v>32665</v>
      </c>
      <c r="H4962" s="6" t="s">
        <v>32666</v>
      </c>
      <c r="K4962" s="5" t="s">
        <v>32661</v>
      </c>
      <c r="M4962" s="5" t="s">
        <v>32667</v>
      </c>
      <c r="N4962" s="7" t="s">
        <v>32668</v>
      </c>
      <c r="O4962" s="8" t="str">
        <f>HYPERLINK("https://drive.google.com/file/d/1ZWTHWC29sNRT2WpzrsKMEHAVKDGyP8X_/view?usp=drivesdk","4961_ERNA WIJAYATI _ SERTIFIKAT BerAKHLAK")</f>
        <v>4961_ERNA WIJAYATI _ SERTIFIKAT BerAKHLAK</v>
      </c>
      <c r="P4962" s="5" t="s">
        <v>32644</v>
      </c>
    </row>
    <row r="4963">
      <c r="A4963" s="4">
        <v>45534.355480949074</v>
      </c>
      <c r="B4963" s="5" t="s">
        <v>34</v>
      </c>
      <c r="D4963" s="5" t="s">
        <v>1558</v>
      </c>
      <c r="E4963" s="5" t="s">
        <v>32669</v>
      </c>
      <c r="F4963" s="5" t="s">
        <v>375</v>
      </c>
      <c r="G4963" s="5" t="s">
        <v>32670</v>
      </c>
      <c r="H4963" s="6" t="s">
        <v>32671</v>
      </c>
      <c r="K4963" s="5" t="s">
        <v>32661</v>
      </c>
      <c r="M4963" s="5" t="s">
        <v>32672</v>
      </c>
      <c r="N4963" s="7" t="s">
        <v>32673</v>
      </c>
      <c r="O4963" s="8" t="str">
        <f>HYPERLINK("https://drive.google.com/file/d/1Ujfl2XnNmSn2l9nVBr0C8sYTNYuA70rT/view?usp=drivesdk","4962_KIKI FAURINA, SE _ SERTIFIKAT BerAKHLAK")</f>
        <v>4962_KIKI FAURINA, SE _ SERTIFIKAT BerAKHLAK</v>
      </c>
      <c r="P4963" s="5" t="s">
        <v>32674</v>
      </c>
    </row>
    <row r="4964">
      <c r="A4964" s="4">
        <v>45534.355487442124</v>
      </c>
      <c r="B4964" s="5" t="s">
        <v>34</v>
      </c>
      <c r="D4964" s="5" t="s">
        <v>12978</v>
      </c>
      <c r="E4964" s="5" t="s">
        <v>32675</v>
      </c>
      <c r="F4964" s="5" t="s">
        <v>212</v>
      </c>
      <c r="G4964" s="5" t="s">
        <v>32676</v>
      </c>
      <c r="H4964" s="6" t="s">
        <v>32677</v>
      </c>
      <c r="K4964" s="5" t="s">
        <v>32661</v>
      </c>
      <c r="M4964" s="5" t="s">
        <v>32678</v>
      </c>
      <c r="N4964" s="7" t="s">
        <v>32679</v>
      </c>
      <c r="O4964" s="8" t="str">
        <f>HYPERLINK("https://drive.google.com/file/d/1u77NokkLC7IuUag-2e7aYQ6lj-8rW2c8/view?usp=drivesdk","4963_HARIANI MAGDALENA  _ SERTIFIKAT BerAKHLAK")</f>
        <v>4963_HARIANI MAGDALENA  _ SERTIFIKAT BerAKHLAK</v>
      </c>
      <c r="P4964" s="5" t="s">
        <v>32674</v>
      </c>
    </row>
    <row r="4965">
      <c r="A4965" s="4">
        <v>45534.35548726852</v>
      </c>
      <c r="B4965" s="5" t="s">
        <v>34</v>
      </c>
      <c r="D4965" s="5" t="s">
        <v>701</v>
      </c>
      <c r="E4965" s="5" t="s">
        <v>32680</v>
      </c>
      <c r="F4965" s="5" t="s">
        <v>37</v>
      </c>
      <c r="G4965" s="5" t="s">
        <v>32681</v>
      </c>
      <c r="H4965" s="6" t="s">
        <v>32682</v>
      </c>
      <c r="K4965" s="5" t="s">
        <v>32661</v>
      </c>
      <c r="M4965" s="5" t="s">
        <v>32683</v>
      </c>
      <c r="N4965" s="7" t="s">
        <v>32684</v>
      </c>
      <c r="O4965" s="8" t="str">
        <f>HYPERLINK("https://drive.google.com/file/d/1efO7EJK_w8_tnpapXvUrBEQ5u0t7fEtO/view?usp=drivesdk","4964_RAFI YULITA _ SERTIFIKAT BerAKHLAK")</f>
        <v>4964_RAFI YULITA _ SERTIFIKAT BerAKHLAK</v>
      </c>
      <c r="P4965" s="5" t="s">
        <v>32674</v>
      </c>
    </row>
    <row r="4966">
      <c r="A4966" s="4">
        <v>45534.35548868055</v>
      </c>
      <c r="B4966" s="5" t="s">
        <v>34</v>
      </c>
      <c r="D4966" s="5" t="s">
        <v>1558</v>
      </c>
      <c r="E4966" s="5" t="s">
        <v>32685</v>
      </c>
      <c r="F4966" s="5" t="s">
        <v>72</v>
      </c>
      <c r="G4966" s="5" t="s">
        <v>32686</v>
      </c>
      <c r="H4966" s="6" t="s">
        <v>32687</v>
      </c>
      <c r="K4966" s="5" t="s">
        <v>32688</v>
      </c>
      <c r="M4966" s="5" t="s">
        <v>32689</v>
      </c>
      <c r="N4966" s="7" t="s">
        <v>32690</v>
      </c>
      <c r="O4966" s="8" t="str">
        <f>HYPERLINK("https://drive.google.com/file/d/1WMhy6amIFjgcq9iKG-HN5yznlIdspb6_/view?usp=drivesdk","4965_ENY PUTRANTI BASKARININGSIH, A.MD _ SERTIFIKAT BerAKHLAK")</f>
        <v>4965_ENY PUTRANTI BASKARININGSIH, A.MD _ SERTIFIKAT BerAKHLAK</v>
      </c>
      <c r="P4966" s="5" t="s">
        <v>32674</v>
      </c>
    </row>
    <row r="4967">
      <c r="A4967" s="4">
        <v>45534.35549229167</v>
      </c>
      <c r="B4967" s="5" t="s">
        <v>34</v>
      </c>
      <c r="D4967" s="5" t="s">
        <v>9020</v>
      </c>
      <c r="E4967" s="5" t="s">
        <v>32691</v>
      </c>
      <c r="F4967" s="5" t="s">
        <v>524</v>
      </c>
      <c r="G4967" s="5" t="s">
        <v>32692</v>
      </c>
      <c r="H4967" s="6" t="s">
        <v>32693</v>
      </c>
      <c r="K4967" s="5" t="s">
        <v>32688</v>
      </c>
      <c r="M4967" s="5" t="s">
        <v>32694</v>
      </c>
      <c r="N4967" s="7" t="s">
        <v>32695</v>
      </c>
      <c r="O4967" s="8" t="str">
        <f>HYPERLINK("https://drive.google.com/file/d/1trfk4dnM7ChkBLQyiTsyN10tPbBJIQol/view?usp=drivesdk","4966_IKBAL AL RASYID, S.Kom _ SERTIFIKAT BerAKHLAK")</f>
        <v>4966_IKBAL AL RASYID, S.Kom _ SERTIFIKAT BerAKHLAK</v>
      </c>
      <c r="P4967" s="5" t="s">
        <v>32674</v>
      </c>
    </row>
    <row r="4968">
      <c r="A4968" s="4">
        <v>45534.35551109954</v>
      </c>
      <c r="B4968" s="5" t="s">
        <v>34</v>
      </c>
      <c r="D4968" s="5" t="s">
        <v>35</v>
      </c>
      <c r="E4968" s="5" t="s">
        <v>32696</v>
      </c>
      <c r="F4968" s="5" t="s">
        <v>108</v>
      </c>
      <c r="G4968" s="5" t="s">
        <v>32697</v>
      </c>
      <c r="H4968" s="6" t="s">
        <v>32698</v>
      </c>
      <c r="K4968" s="5" t="s">
        <v>32688</v>
      </c>
      <c r="M4968" s="5" t="s">
        <v>32699</v>
      </c>
      <c r="N4968" s="7" t="s">
        <v>32700</v>
      </c>
      <c r="O4968" s="8" t="str">
        <f>HYPERLINK("https://drive.google.com/file/d/13CK56rRsuYkvaVerWSEBvz8FVOnpTt9F/view?usp=drivesdk","4967_INDAH HADIAWATI  _ SERTIFIKAT BerAKHLAK")</f>
        <v>4967_INDAH HADIAWATI  _ SERTIFIKAT BerAKHLAK</v>
      </c>
      <c r="P4968" s="5" t="s">
        <v>32701</v>
      </c>
    </row>
    <row r="4969">
      <c r="A4969" s="4">
        <v>45534.35551739583</v>
      </c>
      <c r="B4969" s="5" t="s">
        <v>34</v>
      </c>
      <c r="D4969" s="5" t="s">
        <v>14424</v>
      </c>
      <c r="E4969" s="5" t="s">
        <v>32702</v>
      </c>
      <c r="F4969" s="5" t="s">
        <v>120</v>
      </c>
      <c r="G4969" s="5" t="s">
        <v>32703</v>
      </c>
      <c r="H4969" s="6" t="s">
        <v>32704</v>
      </c>
      <c r="K4969" s="5" t="s">
        <v>32688</v>
      </c>
      <c r="M4969" s="5" t="s">
        <v>32705</v>
      </c>
      <c r="N4969" s="7" t="s">
        <v>32706</v>
      </c>
      <c r="O4969" s="8" t="str">
        <f>HYPERLINK("https://drive.google.com/file/d/1jR_NKVQ9SvAI9-3Jx3lNZtuKwWofkIUP/view?usp=drivesdk","4968_MUHAMMAD SIDDIQ AMRULLAH _ SERTIFIKAT BerAKHLAK")</f>
        <v>4968_MUHAMMAD SIDDIQ AMRULLAH _ SERTIFIKAT BerAKHLAK</v>
      </c>
      <c r="P4969" s="5" t="s">
        <v>32701</v>
      </c>
    </row>
    <row r="4970">
      <c r="A4970" s="4">
        <v>45534.35551780093</v>
      </c>
      <c r="B4970" s="5" t="s">
        <v>34</v>
      </c>
      <c r="D4970" s="5" t="s">
        <v>1768</v>
      </c>
      <c r="E4970" s="5" t="s">
        <v>32707</v>
      </c>
      <c r="F4970" s="5" t="s">
        <v>37</v>
      </c>
      <c r="G4970" s="5" t="s">
        <v>32708</v>
      </c>
      <c r="H4970" s="6" t="s">
        <v>32709</v>
      </c>
      <c r="K4970" s="5" t="s">
        <v>32688</v>
      </c>
      <c r="M4970" s="5" t="s">
        <v>32710</v>
      </c>
      <c r="N4970" s="7" t="s">
        <v>32711</v>
      </c>
      <c r="O4970" s="8" t="str">
        <f>HYPERLINK("https://drive.google.com/file/d/1g40elV4AHrru4rnpw4vKuNfa1Sfrjdcf/view?usp=drivesdk","4969_SUCIATI _ SERTIFIKAT BerAKHLAK")</f>
        <v>4969_SUCIATI _ SERTIFIKAT BerAKHLAK</v>
      </c>
      <c r="P4970" s="5" t="s">
        <v>32701</v>
      </c>
    </row>
    <row r="4971">
      <c r="A4971" s="4">
        <v>45534.35553944444</v>
      </c>
      <c r="B4971" s="5" t="s">
        <v>34</v>
      </c>
      <c r="D4971" s="5" t="s">
        <v>10444</v>
      </c>
      <c r="E4971" s="5" t="s">
        <v>32712</v>
      </c>
      <c r="F4971" s="5" t="s">
        <v>375</v>
      </c>
      <c r="G4971" s="5" t="s">
        <v>32713</v>
      </c>
      <c r="H4971" s="6" t="s">
        <v>32714</v>
      </c>
      <c r="I4971" s="7" t="s">
        <v>32715</v>
      </c>
      <c r="J4971" s="8" t="str">
        <f>HYPERLINK("https://drive.google.com/file/d/115zWjMcC-hF4SKhXHLhwFjbJ3W-nOkOD/view?usp=drivesdk","PRIO PRIONO NUGROHO, S.H. SERTIFIKAT BerAKHLAK")</f>
        <v>PRIO PRIONO NUGROHO, S.H. SERTIFIKAT BerAKHLAK</v>
      </c>
      <c r="K4971" s="5" t="s">
        <v>31978</v>
      </c>
      <c r="L4971" s="5" t="s">
        <v>32716</v>
      </c>
      <c r="M4971" s="5" t="s">
        <v>32717</v>
      </c>
      <c r="N4971" s="7" t="s">
        <v>32718</v>
      </c>
      <c r="O4971" s="8" t="str">
        <f>HYPERLINK("https://drive.google.com/file/d/1vi_hD4lXPICdWgZ_PR5HQlirhWwjqlo4/view?usp=drivesdk","4970_PRIO PRIONO NUGROHO, S.H. _ SERTIFIKAT BerAKHLAK")</f>
        <v>4970_PRIO PRIONO NUGROHO, S.H. _ SERTIFIKAT BerAKHLAK</v>
      </c>
      <c r="P4971" s="5" t="s">
        <v>32701</v>
      </c>
    </row>
    <row r="4972" hidden="1">
      <c r="A4972" s="4">
        <v>45534.35554534722</v>
      </c>
      <c r="B4972" s="5" t="s">
        <v>19</v>
      </c>
      <c r="C4972" s="5" t="s">
        <v>3471</v>
      </c>
      <c r="E4972" s="5" t="s">
        <v>32719</v>
      </c>
      <c r="F4972" s="5" t="s">
        <v>212</v>
      </c>
      <c r="G4972" s="5" t="s">
        <v>32720</v>
      </c>
      <c r="H4972" s="6" t="s">
        <v>32721</v>
      </c>
      <c r="K4972" s="5" t="s">
        <v>32722</v>
      </c>
      <c r="M4972" s="5" t="s">
        <v>32723</v>
      </c>
      <c r="N4972" s="7" t="s">
        <v>32724</v>
      </c>
      <c r="O4972" s="8" t="str">
        <f>HYPERLINK("https://drive.google.com/file/d/13JalX0ekna86-Oj6KQiaImHiRTHX-Sp4/view?usp=drivesdk","4971_BATAS BANJARNAHOR _ SERTIFIKAT BerAKHLAK")</f>
        <v>4971_BATAS BANJARNAHOR _ SERTIFIKAT BerAKHLAK</v>
      </c>
      <c r="P4972" s="5" t="s">
        <v>32725</v>
      </c>
    </row>
    <row r="4973">
      <c r="A4973" s="4">
        <v>45534.35554671296</v>
      </c>
      <c r="B4973" s="5" t="s">
        <v>34</v>
      </c>
      <c r="D4973" s="5" t="s">
        <v>996</v>
      </c>
      <c r="E4973" s="5" t="s">
        <v>32726</v>
      </c>
      <c r="F4973" s="5" t="s">
        <v>212</v>
      </c>
      <c r="G4973" s="5" t="s">
        <v>32727</v>
      </c>
      <c r="H4973" s="6" t="s">
        <v>32728</v>
      </c>
      <c r="K4973" s="5" t="s">
        <v>32722</v>
      </c>
      <c r="M4973" s="5" t="s">
        <v>32729</v>
      </c>
      <c r="N4973" s="7" t="s">
        <v>32730</v>
      </c>
      <c r="O4973" s="8" t="str">
        <f>HYPERLINK("https://drive.google.com/file/d/1XIcRZkXbQpXtYgq96ZN6OzoNlkOx7rtO/view?usp=drivesdk","4972_Tuti Karya Milu Wati _ SERTIFIKAT BerAKHLAK")</f>
        <v>4972_Tuti Karya Milu Wati _ SERTIFIKAT BerAKHLAK</v>
      </c>
      <c r="P4973" s="5" t="s">
        <v>32725</v>
      </c>
    </row>
    <row r="4974">
      <c r="A4974" s="4">
        <v>45534.35555246528</v>
      </c>
      <c r="B4974" s="5" t="s">
        <v>34</v>
      </c>
      <c r="D4974" s="5" t="s">
        <v>4775</v>
      </c>
      <c r="E4974" s="5" t="s">
        <v>32731</v>
      </c>
      <c r="F4974" s="5" t="s">
        <v>524</v>
      </c>
      <c r="G4974" s="5" t="s">
        <v>32732</v>
      </c>
      <c r="H4974" s="6" t="s">
        <v>32733</v>
      </c>
      <c r="K4974" s="5" t="s">
        <v>32722</v>
      </c>
      <c r="M4974" s="5" t="s">
        <v>32734</v>
      </c>
      <c r="N4974" s="7" t="s">
        <v>32735</v>
      </c>
      <c r="O4974" s="8" t="str">
        <f>HYPERLINK("https://drive.google.com/file/d/176bigRIy-_c4HgyYVBFeATTLyw-QjqYB/view?usp=drivesdk","4973_ROBERTUS WAHYU HARIYANTO  _ SERTIFIKAT BerAKHLAK")</f>
        <v>4973_ROBERTUS WAHYU HARIYANTO  _ SERTIFIKAT BerAKHLAK</v>
      </c>
      <c r="P4974" s="5" t="s">
        <v>32725</v>
      </c>
    </row>
    <row r="4975">
      <c r="A4975" s="4">
        <v>45534.35555373842</v>
      </c>
      <c r="B4975" s="5" t="s">
        <v>34</v>
      </c>
      <c r="D4975" s="5" t="s">
        <v>12978</v>
      </c>
      <c r="E4975" s="5" t="s">
        <v>21097</v>
      </c>
      <c r="F4975" s="5" t="s">
        <v>212</v>
      </c>
      <c r="G4975" s="5" t="s">
        <v>32736</v>
      </c>
      <c r="H4975" s="6" t="s">
        <v>32737</v>
      </c>
      <c r="K4975" s="5" t="s">
        <v>32722</v>
      </c>
      <c r="M4975" s="5" t="s">
        <v>32738</v>
      </c>
      <c r="N4975" s="7" t="s">
        <v>32739</v>
      </c>
      <c r="O4975" s="8" t="str">
        <f>HYPERLINK("https://drive.google.com/file/d/1ON3nBcUjrvcqxqzl62HSiOny4v554I9e/view?usp=drivesdk","4974_JAMARI _ SERTIFIKAT BerAKHLAK")</f>
        <v>4974_JAMARI _ SERTIFIKAT BerAKHLAK</v>
      </c>
      <c r="P4975" s="5" t="s">
        <v>32725</v>
      </c>
    </row>
    <row r="4976" hidden="1">
      <c r="A4976" s="4">
        <v>45534.355554050926</v>
      </c>
      <c r="B4976" s="5" t="s">
        <v>19</v>
      </c>
      <c r="C4976" s="5" t="s">
        <v>10418</v>
      </c>
      <c r="E4976" s="5" t="s">
        <v>32740</v>
      </c>
      <c r="F4976" s="5" t="s">
        <v>375</v>
      </c>
      <c r="G4976" s="5" t="s">
        <v>32741</v>
      </c>
      <c r="H4976" s="6" t="s">
        <v>32742</v>
      </c>
      <c r="K4976" s="5" t="s">
        <v>32722</v>
      </c>
      <c r="M4976" s="5" t="s">
        <v>32743</v>
      </c>
      <c r="N4976" s="7" t="s">
        <v>32744</v>
      </c>
      <c r="O4976" s="8" t="str">
        <f>HYPERLINK("https://drive.google.com/file/d/1l6WhNdHqnG4ju0bz32sw_33LJjh-xnko/view?usp=drivesdk","4975_AGUNG WIDYASMORO, S.E. _ SERTIFIKAT BerAKHLAK")</f>
        <v>4975_AGUNG WIDYASMORO, S.E. _ SERTIFIKAT BerAKHLAK</v>
      </c>
      <c r="P4976" s="5" t="s">
        <v>32725</v>
      </c>
    </row>
    <row r="4977">
      <c r="A4977" s="4">
        <v>45534.3555546875</v>
      </c>
      <c r="B4977" s="5" t="s">
        <v>34</v>
      </c>
      <c r="D4977" s="5" t="s">
        <v>4775</v>
      </c>
      <c r="E4977" s="5" t="s">
        <v>32745</v>
      </c>
      <c r="F4977" s="5" t="s">
        <v>524</v>
      </c>
      <c r="G4977" s="5" t="s">
        <v>32746</v>
      </c>
      <c r="H4977" s="6" t="s">
        <v>32747</v>
      </c>
      <c r="K4977" s="5" t="s">
        <v>32722</v>
      </c>
      <c r="M4977" s="5" t="s">
        <v>32748</v>
      </c>
      <c r="N4977" s="7" t="s">
        <v>32749</v>
      </c>
      <c r="O4977" s="8" t="str">
        <f>HYPERLINK("https://drive.google.com/file/d/1GiCPiSdYy14ld94dpDFapp8cKcMWfFmT/view?usp=drivesdk","4976_AGUSTINA ENY HARIANTI, S. M.  _ SERTIFIKAT BerAKHLAK")</f>
        <v>4976_AGUSTINA ENY HARIANTI, S. M.  _ SERTIFIKAT BerAKHLAK</v>
      </c>
      <c r="P4977" s="5" t="s">
        <v>32750</v>
      </c>
    </row>
    <row r="4978">
      <c r="A4978" s="4">
        <v>45534.35556195602</v>
      </c>
      <c r="B4978" s="5" t="s">
        <v>34</v>
      </c>
      <c r="D4978" s="5" t="s">
        <v>1206</v>
      </c>
      <c r="E4978" s="5" t="s">
        <v>32751</v>
      </c>
      <c r="F4978" s="5" t="s">
        <v>108</v>
      </c>
      <c r="G4978" s="5" t="s">
        <v>32752</v>
      </c>
      <c r="H4978" s="6" t="s">
        <v>32753</v>
      </c>
      <c r="K4978" s="5" t="s">
        <v>32722</v>
      </c>
      <c r="M4978" s="5" t="s">
        <v>32754</v>
      </c>
      <c r="N4978" s="7" t="s">
        <v>32755</v>
      </c>
      <c r="O4978" s="8" t="str">
        <f>HYPERLINK("https://drive.google.com/file/d/1DDjcowU08GWfLJpodLvaMgmqnT6ZrEYV/view?usp=drivesdk","4977_CAPRINTANOVA VIRGOZANI, S.E. _ SERTIFIKAT BerAKHLAK")</f>
        <v>4977_CAPRINTANOVA VIRGOZANI, S.E. _ SERTIFIKAT BerAKHLAK</v>
      </c>
      <c r="P4978" s="5" t="s">
        <v>32750</v>
      </c>
    </row>
    <row r="4979">
      <c r="A4979" s="4">
        <v>45534.3555643287</v>
      </c>
      <c r="B4979" s="5" t="s">
        <v>34</v>
      </c>
      <c r="D4979" s="5" t="s">
        <v>1206</v>
      </c>
      <c r="E4979" s="5" t="s">
        <v>32756</v>
      </c>
      <c r="F4979" s="5" t="s">
        <v>212</v>
      </c>
      <c r="G4979" s="5" t="s">
        <v>32757</v>
      </c>
      <c r="H4979" s="6" t="s">
        <v>32758</v>
      </c>
      <c r="K4979" s="5" t="s">
        <v>32722</v>
      </c>
      <c r="M4979" s="5" t="s">
        <v>32759</v>
      </c>
      <c r="N4979" s="7" t="s">
        <v>32760</v>
      </c>
      <c r="O4979" s="8" t="str">
        <f>HYPERLINK("https://drive.google.com/file/d/1rgFSiXGTn4ky1geazqRXXuGYeIEJBv75/view?usp=drivesdk","4978_HARI WIJAYATI _ SERTIFIKAT BerAKHLAK")</f>
        <v>4978_HARI WIJAYATI _ SERTIFIKAT BerAKHLAK</v>
      </c>
      <c r="P4979" s="5" t="s">
        <v>32750</v>
      </c>
    </row>
    <row r="4980">
      <c r="A4980" s="4">
        <v>45534.355571249995</v>
      </c>
      <c r="B4980" s="5" t="s">
        <v>34</v>
      </c>
      <c r="D4980" s="5" t="s">
        <v>1206</v>
      </c>
      <c r="E4980" s="5" t="s">
        <v>32761</v>
      </c>
      <c r="F4980" s="5" t="s">
        <v>212</v>
      </c>
      <c r="G4980" s="5" t="s">
        <v>32762</v>
      </c>
      <c r="H4980" s="6" t="s">
        <v>32763</v>
      </c>
      <c r="K4980" s="5" t="s">
        <v>32722</v>
      </c>
      <c r="M4980" s="5" t="s">
        <v>32764</v>
      </c>
      <c r="N4980" s="7" t="s">
        <v>32765</v>
      </c>
      <c r="O4980" s="8" t="str">
        <f>HYPERLINK("https://drive.google.com/file/d/16JtL24_4PHIl3gbKxoepYTHbzRoSsNsV/view?usp=drivesdk","4979_YUSPIDIANI _ SERTIFIKAT BerAKHLAK")</f>
        <v>4979_YUSPIDIANI _ SERTIFIKAT BerAKHLAK</v>
      </c>
      <c r="P4980" s="5" t="s">
        <v>32750</v>
      </c>
    </row>
    <row r="4981">
      <c r="A4981" s="4">
        <v>45534.35557640046</v>
      </c>
      <c r="B4981" s="5" t="s">
        <v>34</v>
      </c>
      <c r="D4981" s="5" t="s">
        <v>2903</v>
      </c>
      <c r="E4981" s="5" t="s">
        <v>32766</v>
      </c>
      <c r="F4981" s="5" t="s">
        <v>108</v>
      </c>
      <c r="G4981" s="5" t="s">
        <v>32767</v>
      </c>
      <c r="H4981" s="6" t="s">
        <v>32768</v>
      </c>
      <c r="K4981" s="5" t="s">
        <v>32722</v>
      </c>
      <c r="M4981" s="5" t="s">
        <v>32769</v>
      </c>
      <c r="N4981" s="7" t="s">
        <v>32770</v>
      </c>
      <c r="O4981" s="8" t="str">
        <f>HYPERLINK("https://drive.google.com/file/d/1-4qa6NM3Syk1raUa75fWuGfQpbngCyB9/view?usp=drivesdk","4980_SYAMSUL EDUARD, SE  _ SERTIFIKAT BerAKHLAK")</f>
        <v>4980_SYAMSUL EDUARD, SE  _ SERTIFIKAT BerAKHLAK</v>
      </c>
      <c r="P4981" s="5" t="s">
        <v>32771</v>
      </c>
    </row>
    <row r="4982">
      <c r="A4982" s="4">
        <v>45534.355582986114</v>
      </c>
      <c r="B4982" s="5" t="s">
        <v>34</v>
      </c>
      <c r="D4982" s="5" t="s">
        <v>12978</v>
      </c>
      <c r="E4982" s="5" t="s">
        <v>32772</v>
      </c>
      <c r="F4982" s="5" t="s">
        <v>524</v>
      </c>
      <c r="G4982" s="5" t="s">
        <v>32773</v>
      </c>
      <c r="H4982" s="6" t="s">
        <v>32774</v>
      </c>
      <c r="K4982" s="5" t="s">
        <v>32775</v>
      </c>
      <c r="M4982" s="5" t="s">
        <v>32776</v>
      </c>
      <c r="N4982" s="7" t="s">
        <v>32777</v>
      </c>
      <c r="O4982" s="8" t="str">
        <f>HYPERLINK("https://drive.google.com/file/d/1Ek1GFFx1lLDoSoGx7kVh3UGRDMrCSduc/view?usp=drivesdk","4981_SRI INDRAWATI,SE _ SERTIFIKAT BerAKHLAK")</f>
        <v>4981_SRI INDRAWATI,SE _ SERTIFIKAT BerAKHLAK</v>
      </c>
      <c r="P4982" s="5" t="s">
        <v>32771</v>
      </c>
    </row>
    <row r="4983">
      <c r="A4983" s="4">
        <v>45534.35559005787</v>
      </c>
      <c r="B4983" s="5" t="s">
        <v>34</v>
      </c>
      <c r="D4983" s="5" t="s">
        <v>1456</v>
      </c>
      <c r="E4983" s="5" t="s">
        <v>32778</v>
      </c>
      <c r="F4983" s="5" t="s">
        <v>37</v>
      </c>
      <c r="G4983" s="5" t="s">
        <v>32779</v>
      </c>
      <c r="H4983" s="6" t="s">
        <v>32780</v>
      </c>
      <c r="K4983" s="5" t="s">
        <v>32775</v>
      </c>
      <c r="M4983" s="5" t="s">
        <v>32781</v>
      </c>
      <c r="N4983" s="7" t="s">
        <v>32782</v>
      </c>
      <c r="O4983" s="8" t="str">
        <f>HYPERLINK("https://drive.google.com/file/d/1Y6loUYCmB9e2dxNjM1wZE3YYCQ5b4k3y/view?usp=drivesdk","4982_RANI YULIANTI, SH _ SERTIFIKAT BerAKHLAK")</f>
        <v>4982_RANI YULIANTI, SH _ SERTIFIKAT BerAKHLAK</v>
      </c>
      <c r="P4983" s="5" t="s">
        <v>32771</v>
      </c>
    </row>
    <row r="4984">
      <c r="A4984" s="4">
        <v>45534.35561384259</v>
      </c>
      <c r="B4984" s="5" t="s">
        <v>34</v>
      </c>
      <c r="D4984" s="5" t="s">
        <v>4775</v>
      </c>
      <c r="E4984" s="5" t="s">
        <v>32783</v>
      </c>
      <c r="F4984" s="5" t="s">
        <v>72</v>
      </c>
      <c r="G4984" s="5" t="s">
        <v>32784</v>
      </c>
      <c r="H4984" s="6" t="s">
        <v>32785</v>
      </c>
      <c r="K4984" s="5" t="s">
        <v>32775</v>
      </c>
      <c r="M4984" s="5" t="s">
        <v>32786</v>
      </c>
      <c r="N4984" s="7" t="s">
        <v>32787</v>
      </c>
      <c r="O4984" s="8" t="str">
        <f>HYPERLINK("https://drive.google.com/file/d/1D0pzwamHwaR8iBsHRkfXrVKXO3iLWRbU/view?usp=drivesdk","4983_SUWARTI,SH _ SERTIFIKAT BerAKHLAK")</f>
        <v>4983_SUWARTI,SH _ SERTIFIKAT BerAKHLAK</v>
      </c>
      <c r="P4984" s="5" t="s">
        <v>32771</v>
      </c>
    </row>
    <row r="4985">
      <c r="A4985" s="4">
        <v>45534.355615567125</v>
      </c>
      <c r="B4985" s="5" t="s">
        <v>34</v>
      </c>
      <c r="D4985" s="5" t="s">
        <v>522</v>
      </c>
      <c r="E4985" s="5" t="s">
        <v>32788</v>
      </c>
      <c r="F4985" s="5" t="s">
        <v>108</v>
      </c>
      <c r="G4985" s="5" t="s">
        <v>32789</v>
      </c>
      <c r="H4985" s="6" t="s">
        <v>32790</v>
      </c>
      <c r="K4985" s="5" t="s">
        <v>32775</v>
      </c>
      <c r="M4985" s="5" t="s">
        <v>32791</v>
      </c>
      <c r="N4985" s="7" t="s">
        <v>32792</v>
      </c>
      <c r="O4985" s="8" t="str">
        <f>HYPERLINK("https://drive.google.com/file/d/1EY3y8cUJgVzKZ4i1qKEMJHpZS00TPViT/view?usp=drivesdk","4984_CAHYANI ISMAWATI _ SERTIFIKAT BerAKHLAK")</f>
        <v>4984_CAHYANI ISMAWATI _ SERTIFIKAT BerAKHLAK</v>
      </c>
      <c r="P4985" s="5" t="s">
        <v>32793</v>
      </c>
    </row>
    <row r="4986">
      <c r="A4986" s="4">
        <v>45534.35563712963</v>
      </c>
      <c r="B4986" s="5" t="s">
        <v>34</v>
      </c>
      <c r="D4986" s="5" t="s">
        <v>9020</v>
      </c>
      <c r="E4986" s="5" t="s">
        <v>32794</v>
      </c>
      <c r="F4986" s="5" t="s">
        <v>524</v>
      </c>
      <c r="G4986" s="5" t="s">
        <v>32795</v>
      </c>
      <c r="H4986" s="6" t="s">
        <v>32796</v>
      </c>
      <c r="K4986" s="5" t="s">
        <v>32775</v>
      </c>
      <c r="M4986" s="5" t="s">
        <v>32797</v>
      </c>
      <c r="N4986" s="7" t="s">
        <v>32798</v>
      </c>
      <c r="O4986" s="8" t="str">
        <f>HYPERLINK("https://drive.google.com/file/d/12jC0mrw9dGneqkyrIcc6UBxYbYwyei8O/view?usp=drivesdk","4985_RINI YULITA, S. Farm _ SERTIFIKAT BerAKHLAK")</f>
        <v>4985_RINI YULITA, S. Farm _ SERTIFIKAT BerAKHLAK</v>
      </c>
      <c r="P4986" s="5" t="s">
        <v>32793</v>
      </c>
    </row>
    <row r="4987">
      <c r="A4987" s="4">
        <v>45534.35563824074</v>
      </c>
      <c r="B4987" s="5" t="s">
        <v>34</v>
      </c>
      <c r="D4987" s="5" t="s">
        <v>1768</v>
      </c>
      <c r="E4987" s="5" t="s">
        <v>32799</v>
      </c>
      <c r="F4987" s="5" t="s">
        <v>72</v>
      </c>
      <c r="G4987" s="5" t="s">
        <v>32800</v>
      </c>
      <c r="H4987" s="6" t="s">
        <v>32801</v>
      </c>
      <c r="K4987" s="5" t="s">
        <v>32775</v>
      </c>
      <c r="M4987" s="5" t="s">
        <v>32802</v>
      </c>
      <c r="N4987" s="7" t="s">
        <v>32803</v>
      </c>
      <c r="O4987" s="8" t="str">
        <f>HYPERLINK("https://drive.google.com/file/d/1KlEFSaNWwws89KUE8CsntOvVwAAcfQ5k/view?usp=drivesdk","4986_ELFRIDA SIMAMORA _ SERTIFIKAT BerAKHLAK")</f>
        <v>4986_ELFRIDA SIMAMORA _ SERTIFIKAT BerAKHLAK</v>
      </c>
      <c r="P4987" s="5" t="s">
        <v>32793</v>
      </c>
    </row>
    <row r="4988">
      <c r="A4988" s="4">
        <v>45534.35564015046</v>
      </c>
      <c r="B4988" s="5" t="s">
        <v>34</v>
      </c>
      <c r="D4988" s="5" t="s">
        <v>1206</v>
      </c>
      <c r="E4988" s="5" t="s">
        <v>32804</v>
      </c>
      <c r="F4988" s="5" t="s">
        <v>524</v>
      </c>
      <c r="G4988" s="5" t="s">
        <v>32805</v>
      </c>
      <c r="H4988" s="6" t="s">
        <v>32806</v>
      </c>
      <c r="K4988" s="5" t="s">
        <v>32775</v>
      </c>
      <c r="M4988" s="5" t="s">
        <v>32807</v>
      </c>
      <c r="N4988" s="7" t="s">
        <v>32808</v>
      </c>
      <c r="O4988" s="8" t="str">
        <f>HYPERLINK("https://drive.google.com/file/d/1gEDYsk8n59lqKmFy74kBEpVS1URh53bE/view?usp=drivesdk","4987_NURMUALIMIN S kep Ns _ SERTIFIKAT BerAKHLAK")</f>
        <v>4987_NURMUALIMIN S kep Ns _ SERTIFIKAT BerAKHLAK</v>
      </c>
      <c r="P4988" s="5" t="s">
        <v>32793</v>
      </c>
    </row>
    <row r="4989">
      <c r="A4989" s="4">
        <v>45534.35564418981</v>
      </c>
      <c r="B4989" s="5" t="s">
        <v>34</v>
      </c>
      <c r="D4989" s="5" t="s">
        <v>1206</v>
      </c>
      <c r="E4989" s="5" t="s">
        <v>32809</v>
      </c>
      <c r="F4989" s="5" t="s">
        <v>108</v>
      </c>
      <c r="G4989" s="5" t="s">
        <v>32810</v>
      </c>
      <c r="H4989" s="6" t="s">
        <v>32811</v>
      </c>
      <c r="K4989" s="5" t="s">
        <v>32775</v>
      </c>
      <c r="M4989" s="5" t="s">
        <v>32812</v>
      </c>
      <c r="N4989" s="7" t="s">
        <v>32813</v>
      </c>
      <c r="O4989" s="8" t="str">
        <f>HYPERLINK("https://drive.google.com/file/d/1ttzAIetZPYs0E3QX9VGdnhW10dV1fI63/view?usp=drivesdk","4988_DIAN EKA PRASMINTA SARI _ SERTIFIKAT BerAKHLAK")</f>
        <v>4988_DIAN EKA PRASMINTA SARI _ SERTIFIKAT BerAKHLAK</v>
      </c>
      <c r="P4989" s="5" t="s">
        <v>32793</v>
      </c>
    </row>
    <row r="4990">
      <c r="A4990" s="4">
        <v>45534.355644537034</v>
      </c>
      <c r="B4990" s="5" t="s">
        <v>34</v>
      </c>
      <c r="D4990" s="5" t="s">
        <v>522</v>
      </c>
      <c r="E4990" s="5" t="s">
        <v>32814</v>
      </c>
      <c r="F4990" s="5" t="s">
        <v>524</v>
      </c>
      <c r="G4990" s="5" t="s">
        <v>32815</v>
      </c>
      <c r="H4990" s="6" t="s">
        <v>32816</v>
      </c>
      <c r="K4990" s="5" t="s">
        <v>32775</v>
      </c>
      <c r="M4990" s="5" t="s">
        <v>32817</v>
      </c>
      <c r="N4990" s="7" t="s">
        <v>32818</v>
      </c>
      <c r="O4990" s="8" t="str">
        <f>HYPERLINK("https://drive.google.com/file/d/1VlpkvvZZPoJpK3AzhTkqEdy6Q80DkW8T/view?usp=drivesdk","4989_Rosita Yuni Andrianingsih, S.Kep _ SERTIFIKAT BerAKHLAK")</f>
        <v>4989_Rosita Yuni Andrianingsih, S.Kep _ SERTIFIKAT BerAKHLAK</v>
      </c>
      <c r="P4990" s="5" t="s">
        <v>32819</v>
      </c>
    </row>
    <row r="4991">
      <c r="A4991" s="4">
        <v>45534.35565353009</v>
      </c>
      <c r="B4991" s="5" t="s">
        <v>34</v>
      </c>
      <c r="D4991" s="5" t="s">
        <v>522</v>
      </c>
      <c r="E4991" s="5" t="s">
        <v>26154</v>
      </c>
      <c r="F4991" s="5" t="s">
        <v>212</v>
      </c>
      <c r="G4991" s="5" t="s">
        <v>32820</v>
      </c>
      <c r="H4991" s="6" t="s">
        <v>32821</v>
      </c>
      <c r="K4991" s="5" t="s">
        <v>32775</v>
      </c>
      <c r="M4991" s="5" t="s">
        <v>32822</v>
      </c>
      <c r="N4991" s="7" t="s">
        <v>32823</v>
      </c>
      <c r="O4991" s="8" t="str">
        <f>HYPERLINK("https://drive.google.com/file/d/1kBZcAWf85kdU5VTijcUBblSVih-l2vNl/view?usp=drivesdk","4990_SABRII _ SERTIFIKAT BerAKHLAK")</f>
        <v>4990_SABRII _ SERTIFIKAT BerAKHLAK</v>
      </c>
      <c r="P4991" s="5" t="s">
        <v>32819</v>
      </c>
    </row>
    <row r="4992">
      <c r="A4992" s="4">
        <v>45534.355668564815</v>
      </c>
      <c r="B4992" s="5" t="s">
        <v>34</v>
      </c>
      <c r="D4992" s="5" t="s">
        <v>6232</v>
      </c>
      <c r="E4992" s="5" t="s">
        <v>32824</v>
      </c>
      <c r="F4992" s="5" t="s">
        <v>37</v>
      </c>
      <c r="G4992" s="5" t="s">
        <v>32825</v>
      </c>
      <c r="H4992" s="6" t="s">
        <v>32826</v>
      </c>
      <c r="K4992" s="5" t="s">
        <v>32775</v>
      </c>
      <c r="M4992" s="5" t="s">
        <v>32827</v>
      </c>
      <c r="N4992" s="7" t="s">
        <v>32828</v>
      </c>
      <c r="O4992" s="8" t="str">
        <f>HYPERLINK("https://drive.google.com/file/d/1ng1Relam5srfs-vCFOdGdy7J849imszG/view?usp=drivesdk","4991_ASMITA AULIA, A.Md.Kep _ SERTIFIKAT BerAKHLAK")</f>
        <v>4991_ASMITA AULIA, A.Md.Kep _ SERTIFIKAT BerAKHLAK</v>
      </c>
      <c r="P4992" s="5" t="s">
        <v>32819</v>
      </c>
    </row>
    <row r="4993" hidden="1">
      <c r="A4993" s="4">
        <v>45534.35567078704</v>
      </c>
      <c r="B4993" s="5" t="s">
        <v>19</v>
      </c>
      <c r="C4993" s="5" t="s">
        <v>292</v>
      </c>
      <c r="E4993" s="5" t="s">
        <v>32829</v>
      </c>
      <c r="F4993" s="5" t="s">
        <v>120</v>
      </c>
      <c r="G4993" s="5" t="s">
        <v>32830</v>
      </c>
      <c r="H4993" s="6" t="s">
        <v>32831</v>
      </c>
      <c r="K4993" s="5" t="s">
        <v>32775</v>
      </c>
      <c r="M4993" s="5" t="s">
        <v>32832</v>
      </c>
      <c r="N4993" s="7" t="s">
        <v>32833</v>
      </c>
      <c r="O4993" s="8" t="str">
        <f>HYPERLINK("https://drive.google.com/file/d/1wxZDrjaNgo1kYKfClEH8010Ov3qWqqi_/view?usp=drivesdk","4992_dr. CICILIA DRANA SISKAWATY B _ SERTIFIKAT BerAKHLAK")</f>
        <v>4992_dr. CICILIA DRANA SISKAWATY B _ SERTIFIKAT BerAKHLAK</v>
      </c>
      <c r="P4993" s="5" t="s">
        <v>32819</v>
      </c>
    </row>
    <row r="4994">
      <c r="A4994" s="4">
        <v>45534.35567643518</v>
      </c>
      <c r="B4994" s="5" t="s">
        <v>34</v>
      </c>
      <c r="D4994" s="5" t="s">
        <v>522</v>
      </c>
      <c r="E4994" s="5" t="s">
        <v>32834</v>
      </c>
      <c r="F4994" s="5" t="s">
        <v>120</v>
      </c>
      <c r="G4994" s="5" t="s">
        <v>32835</v>
      </c>
      <c r="H4994" s="6" t="s">
        <v>32836</v>
      </c>
      <c r="K4994" s="5" t="s">
        <v>32775</v>
      </c>
      <c r="M4994" s="5" t="s">
        <v>32837</v>
      </c>
      <c r="N4994" s="7" t="s">
        <v>32838</v>
      </c>
      <c r="O4994" s="8" t="str">
        <f>HYPERLINK("https://drive.google.com/file/d/1lE3S04qVqRjxhGeYUL337-yAvDTKg5UK/view?usp=drivesdk","4993_TUTI HANDAYANI G _ SERTIFIKAT BerAKHLAK")</f>
        <v>4993_TUTI HANDAYANI G _ SERTIFIKAT BerAKHLAK</v>
      </c>
      <c r="P4994" s="5" t="s">
        <v>32819</v>
      </c>
    </row>
    <row r="4995">
      <c r="A4995" s="4">
        <v>45534.35568163195</v>
      </c>
      <c r="B4995" s="5" t="s">
        <v>34</v>
      </c>
      <c r="D4995" s="5" t="s">
        <v>12978</v>
      </c>
      <c r="E4995" s="5" t="s">
        <v>32839</v>
      </c>
      <c r="F4995" s="5" t="s">
        <v>375</v>
      </c>
      <c r="G4995" s="5" t="s">
        <v>32840</v>
      </c>
      <c r="H4995" s="6" t="s">
        <v>32841</v>
      </c>
      <c r="K4995" s="5" t="s">
        <v>32775</v>
      </c>
      <c r="M4995" s="5" t="s">
        <v>32842</v>
      </c>
      <c r="N4995" s="7" t="s">
        <v>32843</v>
      </c>
      <c r="O4995" s="8" t="str">
        <f>HYPERLINK("https://drive.google.com/file/d/1tdBddM1ZZ16MH9rbvbOC08vaDnAsdzTX/view?usp=drivesdk","4994_DAFREL.S.Sos _ SERTIFIKAT BerAKHLAK")</f>
        <v>4994_DAFREL.S.Sos _ SERTIFIKAT BerAKHLAK</v>
      </c>
      <c r="P4995" s="5" t="s">
        <v>32819</v>
      </c>
    </row>
    <row r="4996">
      <c r="A4996" s="4">
        <v>45534.35568260417</v>
      </c>
      <c r="B4996" s="5" t="s">
        <v>34</v>
      </c>
      <c r="D4996" s="5" t="s">
        <v>9020</v>
      </c>
      <c r="E4996" s="5" t="s">
        <v>32844</v>
      </c>
      <c r="F4996" s="5" t="s">
        <v>715</v>
      </c>
      <c r="G4996" s="5" t="s">
        <v>32845</v>
      </c>
      <c r="H4996" s="6" t="s">
        <v>32846</v>
      </c>
      <c r="K4996" s="5" t="s">
        <v>32775</v>
      </c>
      <c r="M4996" s="5" t="s">
        <v>32847</v>
      </c>
      <c r="N4996" s="7" t="s">
        <v>32848</v>
      </c>
      <c r="O4996" s="8" t="str">
        <f>HYPERLINK("https://drive.google.com/file/d/12fYqyHlZHjC-K3PlBuBtr78IzE6rDely/view?usp=drivesdk","4995_PARINSAN NAIBAHO  _ SERTIFIKAT BerAKHLAK")</f>
        <v>4995_PARINSAN NAIBAHO  _ SERTIFIKAT BerAKHLAK</v>
      </c>
      <c r="P4996" s="5" t="s">
        <v>32849</v>
      </c>
    </row>
    <row r="4997">
      <c r="A4997" s="4">
        <v>45534.35568453703</v>
      </c>
      <c r="B4997" s="5" t="s">
        <v>34</v>
      </c>
      <c r="D4997" s="5" t="s">
        <v>14424</v>
      </c>
      <c r="E4997" s="5" t="s">
        <v>32850</v>
      </c>
      <c r="F4997" s="5" t="s">
        <v>212</v>
      </c>
      <c r="G4997" s="5" t="s">
        <v>32851</v>
      </c>
      <c r="H4997" s="6" t="s">
        <v>32852</v>
      </c>
      <c r="K4997" s="5" t="s">
        <v>32775</v>
      </c>
      <c r="M4997" s="5" t="s">
        <v>32853</v>
      </c>
      <c r="N4997" s="7" t="s">
        <v>32854</v>
      </c>
      <c r="O4997" s="8" t="str">
        <f>HYPERLINK("https://drive.google.com/file/d/1WtO7PVmepgmB5Zy4SDVcXEf3FQ5oVlhL/view?usp=drivesdk","4996_SYAMSYIDAR _ SERTIFIKAT BerAKHLAK")</f>
        <v>4996_SYAMSYIDAR _ SERTIFIKAT BerAKHLAK</v>
      </c>
      <c r="P4997" s="5" t="s">
        <v>32849</v>
      </c>
    </row>
    <row r="4998">
      <c r="A4998" s="4">
        <v>45534.35569060185</v>
      </c>
      <c r="B4998" s="5" t="s">
        <v>34</v>
      </c>
      <c r="D4998" s="5" t="s">
        <v>12010</v>
      </c>
      <c r="E4998" s="5" t="s">
        <v>32855</v>
      </c>
      <c r="F4998" s="5" t="s">
        <v>37</v>
      </c>
      <c r="G4998" s="5" t="s">
        <v>32856</v>
      </c>
      <c r="H4998" s="6" t="s">
        <v>32857</v>
      </c>
      <c r="K4998" s="5" t="s">
        <v>32775</v>
      </c>
      <c r="M4998" s="5" t="s">
        <v>32858</v>
      </c>
      <c r="N4998" s="7" t="s">
        <v>32859</v>
      </c>
      <c r="O4998" s="8" t="str">
        <f>HYPERLINK("https://drive.google.com/file/d/117iAr1ORfBcpL3nHyrkhxS3TlclQZ69z/view?usp=drivesdk","4997_FITRI D.MOHUNE _ SERTIFIKAT BerAKHLAK")</f>
        <v>4997_FITRI D.MOHUNE _ SERTIFIKAT BerAKHLAK</v>
      </c>
      <c r="P4998" s="5" t="s">
        <v>32849</v>
      </c>
    </row>
    <row r="4999">
      <c r="A4999" s="4">
        <v>45534.355700162036</v>
      </c>
      <c r="B4999" s="5" t="s">
        <v>34</v>
      </c>
      <c r="D4999" s="5" t="s">
        <v>1206</v>
      </c>
      <c r="E4999" s="5" t="s">
        <v>32860</v>
      </c>
      <c r="F4999" s="5" t="s">
        <v>212</v>
      </c>
      <c r="G4999" s="5" t="s">
        <v>32861</v>
      </c>
      <c r="H4999" s="6" t="s">
        <v>32862</v>
      </c>
      <c r="K4999" s="5" t="s">
        <v>32775</v>
      </c>
      <c r="M4999" s="5" t="s">
        <v>32863</v>
      </c>
      <c r="N4999" s="7" t="s">
        <v>32864</v>
      </c>
      <c r="O4999" s="8" t="str">
        <f>HYPERLINK("https://drive.google.com/file/d/1bC_9TLakMokeTmujDyEngmLJ-AI9o3z3/view?usp=drivesdk","4998_ENIK SRI WAHYUNI _ SERTIFIKAT BerAKHLAK")</f>
        <v>4998_ENIK SRI WAHYUNI _ SERTIFIKAT BerAKHLAK</v>
      </c>
      <c r="P4999" s="5" t="s">
        <v>32849</v>
      </c>
    </row>
    <row r="5000">
      <c r="A5000" s="4">
        <v>45534.3557091088</v>
      </c>
      <c r="B5000" s="5" t="s">
        <v>34</v>
      </c>
      <c r="D5000" s="5" t="s">
        <v>10444</v>
      </c>
      <c r="E5000" s="5" t="s">
        <v>32865</v>
      </c>
      <c r="F5000" s="5" t="s">
        <v>37</v>
      </c>
      <c r="G5000" s="5" t="s">
        <v>32866</v>
      </c>
      <c r="H5000" s="6" t="s">
        <v>32867</v>
      </c>
      <c r="K5000" s="5" t="s">
        <v>32775</v>
      </c>
      <c r="M5000" s="5" t="s">
        <v>32868</v>
      </c>
      <c r="N5000" s="7" t="s">
        <v>32869</v>
      </c>
      <c r="O5000" s="8" t="str">
        <f>HYPERLINK("https://drive.google.com/file/d/1CA8rhjlD2gYRGqGcZlGBLiVRKFlhqpxA/view?usp=drivesdk","4999_RETNO WIJAYANTI, A.MD.KEB _ SERTIFIKAT BerAKHLAK")</f>
        <v>4999_RETNO WIJAYANTI, A.MD.KEB _ SERTIFIKAT BerAKHLAK</v>
      </c>
      <c r="P5000" s="5" t="s">
        <v>32849</v>
      </c>
    </row>
    <row r="5001">
      <c r="A5001" s="4">
        <v>45534.35571538194</v>
      </c>
      <c r="B5001" s="5" t="s">
        <v>34</v>
      </c>
      <c r="D5001" s="5" t="s">
        <v>35</v>
      </c>
      <c r="E5001" s="5" t="s">
        <v>32870</v>
      </c>
      <c r="F5001" s="5" t="s">
        <v>72</v>
      </c>
      <c r="G5001" s="5" t="s">
        <v>32871</v>
      </c>
      <c r="H5001" s="6" t="s">
        <v>32872</v>
      </c>
      <c r="K5001" s="5" t="s">
        <v>32873</v>
      </c>
      <c r="M5001" s="5" t="s">
        <v>32874</v>
      </c>
      <c r="N5001" s="7" t="s">
        <v>32875</v>
      </c>
      <c r="O5001" s="8" t="str">
        <f>HYPERLINK("https://drive.google.com/file/d/1uGOvjIwT9VIVGi4DP9aWfTGj0Ycmw-P-/view?usp=drivesdk","5000_ANA MULYANI  _ SERTIFIKAT BerAKHLAK")</f>
        <v>5000_ANA MULYANI  _ SERTIFIKAT BerAKHLAK</v>
      </c>
      <c r="P5001" s="5" t="s">
        <v>32876</v>
      </c>
    </row>
    <row r="5002">
      <c r="A5002" s="4">
        <v>45534.35571793982</v>
      </c>
      <c r="B5002" s="5" t="s">
        <v>34</v>
      </c>
      <c r="D5002" s="5" t="s">
        <v>4775</v>
      </c>
      <c r="E5002" s="5" t="s">
        <v>32877</v>
      </c>
      <c r="F5002" s="5" t="s">
        <v>72</v>
      </c>
      <c r="G5002" s="5" t="s">
        <v>32878</v>
      </c>
      <c r="H5002" s="6" t="s">
        <v>32879</v>
      </c>
      <c r="K5002" s="5" t="s">
        <v>32873</v>
      </c>
      <c r="M5002" s="5" t="s">
        <v>32880</v>
      </c>
      <c r="N5002" s="7" t="s">
        <v>32881</v>
      </c>
      <c r="O5002" s="8" t="str">
        <f>HYPERLINK("https://drive.google.com/file/d/187KfhDo_qB7twZSwTbyuVLKzGkEqEgVF/view?usp=drivesdk","5001_SRI KOMSATI _ SERTIFIKAT BerAKHLAK")</f>
        <v>5001_SRI KOMSATI _ SERTIFIKAT BerAKHLAK</v>
      </c>
      <c r="P5002" s="5" t="s">
        <v>32876</v>
      </c>
    </row>
    <row r="5003">
      <c r="A5003" s="4">
        <v>45534.35571900463</v>
      </c>
      <c r="B5003" s="5" t="s">
        <v>34</v>
      </c>
      <c r="D5003" s="5" t="s">
        <v>7858</v>
      </c>
      <c r="E5003" s="5" t="s">
        <v>32882</v>
      </c>
      <c r="F5003" s="5" t="s">
        <v>212</v>
      </c>
      <c r="G5003" s="5" t="s">
        <v>32883</v>
      </c>
      <c r="H5003" s="6" t="s">
        <v>32884</v>
      </c>
      <c r="K5003" s="5" t="s">
        <v>32873</v>
      </c>
      <c r="M5003" s="5" t="s">
        <v>32885</v>
      </c>
      <c r="N5003" s="7" t="s">
        <v>32886</v>
      </c>
      <c r="O5003" s="8" t="str">
        <f>HYPERLINK("https://drive.google.com/file/d/1l810yz884cn68UO_0L0CUT36sC-_XCG5/view?usp=drivesdk","5002_HESTI WIDIANTI _ SERTIFIKAT BerAKHLAK")</f>
        <v>5002_HESTI WIDIANTI _ SERTIFIKAT BerAKHLAK</v>
      </c>
      <c r="P5003" s="5" t="s">
        <v>32876</v>
      </c>
    </row>
    <row r="5004">
      <c r="A5004" s="4">
        <v>45534.35572399305</v>
      </c>
      <c r="B5004" s="5" t="s">
        <v>34</v>
      </c>
      <c r="D5004" s="5" t="s">
        <v>1206</v>
      </c>
      <c r="E5004" s="5" t="s">
        <v>32887</v>
      </c>
      <c r="F5004" s="5" t="s">
        <v>212</v>
      </c>
      <c r="G5004" s="5" t="s">
        <v>32888</v>
      </c>
      <c r="H5004" s="6" t="s">
        <v>32889</v>
      </c>
      <c r="K5004" s="5" t="s">
        <v>32873</v>
      </c>
      <c r="M5004" s="5" t="s">
        <v>32890</v>
      </c>
      <c r="N5004" s="7" t="s">
        <v>32891</v>
      </c>
      <c r="O5004" s="8" t="str">
        <f>HYPERLINK("https://drive.google.com/file/d/1V017ThaNyLHAzic42T-WXDE1B3bLgC2-/view?usp=drivesdk","5003_MUJIASIH _ SERTIFIKAT BerAKHLAK")</f>
        <v>5003_MUJIASIH _ SERTIFIKAT BerAKHLAK</v>
      </c>
      <c r="P5004" s="5" t="s">
        <v>32876</v>
      </c>
    </row>
    <row r="5005">
      <c r="A5005" s="4">
        <v>45534.3557425</v>
      </c>
      <c r="B5005" s="5" t="s">
        <v>34</v>
      </c>
      <c r="D5005" s="5" t="s">
        <v>12010</v>
      </c>
      <c r="E5005" s="5" t="s">
        <v>32892</v>
      </c>
      <c r="F5005" s="5" t="s">
        <v>524</v>
      </c>
      <c r="G5005" s="5" t="s">
        <v>32893</v>
      </c>
      <c r="H5005" s="6" t="s">
        <v>32894</v>
      </c>
      <c r="K5005" s="5" t="s">
        <v>32873</v>
      </c>
      <c r="M5005" s="5" t="s">
        <v>32895</v>
      </c>
      <c r="N5005" s="7" t="s">
        <v>32896</v>
      </c>
      <c r="O5005" s="8" t="str">
        <f>HYPERLINK("https://drive.google.com/file/d/1M7Q457QSePgWnIGhTiNluPpM8gzLtLMF/view?usp=drivesdk","5004_Ramli Hapa Diko _ SERTIFIKAT BerAKHLAK")</f>
        <v>5004_Ramli Hapa Diko _ SERTIFIKAT BerAKHLAK</v>
      </c>
      <c r="P5005" s="5" t="s">
        <v>32876</v>
      </c>
    </row>
    <row r="5006">
      <c r="A5006" s="4">
        <v>45534.355742291664</v>
      </c>
      <c r="B5006" s="5" t="s">
        <v>34</v>
      </c>
      <c r="D5006" s="5" t="s">
        <v>35</v>
      </c>
      <c r="E5006" s="5" t="s">
        <v>14694</v>
      </c>
      <c r="F5006" s="5" t="s">
        <v>212</v>
      </c>
      <c r="G5006" s="5" t="s">
        <v>14695</v>
      </c>
      <c r="H5006" s="6" t="s">
        <v>32897</v>
      </c>
      <c r="K5006" s="5" t="s">
        <v>32873</v>
      </c>
      <c r="M5006" s="5" t="s">
        <v>32898</v>
      </c>
      <c r="N5006" s="7" t="s">
        <v>32899</v>
      </c>
      <c r="O5006" s="8" t="str">
        <f>HYPERLINK("https://drive.google.com/file/d/1_kAAPVPKzA-m53pLmuMXBtbsxjBKD5CE/view?usp=drivesdk","5005_MAHDALENA _ SERTIFIKAT BerAKHLAK")</f>
        <v>5005_MAHDALENA _ SERTIFIKAT BerAKHLAK</v>
      </c>
      <c r="P5006" s="5" t="s">
        <v>32900</v>
      </c>
    </row>
    <row r="5007" hidden="1">
      <c r="A5007" s="4">
        <v>45534.35575664352</v>
      </c>
      <c r="B5007" s="5" t="s">
        <v>19</v>
      </c>
      <c r="C5007" s="5" t="s">
        <v>32901</v>
      </c>
      <c r="E5007" s="5" t="s">
        <v>32902</v>
      </c>
      <c r="F5007" s="5" t="s">
        <v>375</v>
      </c>
      <c r="G5007" s="5" t="s">
        <v>32903</v>
      </c>
      <c r="H5007" s="6" t="s">
        <v>32904</v>
      </c>
      <c r="K5007" s="5" t="s">
        <v>32873</v>
      </c>
      <c r="M5007" s="5" t="s">
        <v>32905</v>
      </c>
      <c r="N5007" s="7" t="s">
        <v>32906</v>
      </c>
      <c r="O5007" s="8" t="str">
        <f>HYPERLINK("https://drive.google.com/file/d/1PG8yE7bdvb2rdIdnO0jLohcZOyyErOb2/view?usp=drivesdk","5006_TRINING KURNIASARI, S.H. _ SERTIFIKAT BerAKHLAK")</f>
        <v>5006_TRINING KURNIASARI, S.H. _ SERTIFIKAT BerAKHLAK</v>
      </c>
      <c r="P5007" s="5" t="s">
        <v>32900</v>
      </c>
    </row>
    <row r="5008">
      <c r="A5008" s="4">
        <v>45534.35577563658</v>
      </c>
      <c r="B5008" s="5" t="s">
        <v>34</v>
      </c>
      <c r="D5008" s="5" t="s">
        <v>9020</v>
      </c>
      <c r="E5008" s="5" t="s">
        <v>31512</v>
      </c>
      <c r="F5008" s="5" t="s">
        <v>212</v>
      </c>
      <c r="G5008" s="5" t="s">
        <v>31513</v>
      </c>
      <c r="H5008" s="6" t="s">
        <v>32907</v>
      </c>
      <c r="K5008" s="5" t="s">
        <v>32873</v>
      </c>
      <c r="M5008" s="5" t="s">
        <v>32908</v>
      </c>
      <c r="N5008" s="7" t="s">
        <v>32909</v>
      </c>
      <c r="O5008" s="8" t="str">
        <f>HYPERLINK("https://drive.google.com/file/d/1wNz-BmE6PkrscrlZLUBSDpYzYQTh6zVv/view?usp=drivesdk","5007_SUHARTINI  _ SERTIFIKAT BerAKHLAK")</f>
        <v>5007_SUHARTINI  _ SERTIFIKAT BerAKHLAK</v>
      </c>
      <c r="P5008" s="5" t="s">
        <v>32900</v>
      </c>
    </row>
    <row r="5009">
      <c r="A5009" s="4">
        <v>45534.35577944445</v>
      </c>
      <c r="B5009" s="5" t="s">
        <v>34</v>
      </c>
      <c r="D5009" s="5" t="s">
        <v>522</v>
      </c>
      <c r="E5009" s="5" t="s">
        <v>32910</v>
      </c>
      <c r="F5009" s="5" t="s">
        <v>37</v>
      </c>
      <c r="G5009" s="5" t="s">
        <v>32911</v>
      </c>
      <c r="H5009" s="6" t="s">
        <v>32912</v>
      </c>
      <c r="K5009" s="5" t="s">
        <v>32873</v>
      </c>
      <c r="M5009" s="5" t="s">
        <v>32913</v>
      </c>
      <c r="N5009" s="7" t="s">
        <v>32914</v>
      </c>
      <c r="O5009" s="8" t="str">
        <f>HYPERLINK("https://drive.google.com/file/d/1BKShnFex10StTiHVKCfiGnYI7qGOxVVM/view?usp=drivesdk","5008_LALU BANU KARISMA SETIAJI A.Md.Kep _ SERTIFIKAT BerAKHLAK")</f>
        <v>5008_LALU BANU KARISMA SETIAJI A.Md.Kep _ SERTIFIKAT BerAKHLAK</v>
      </c>
      <c r="P5009" s="5" t="s">
        <v>32900</v>
      </c>
    </row>
    <row r="5010">
      <c r="A5010" s="4">
        <v>45534.355784178246</v>
      </c>
      <c r="B5010" s="5" t="s">
        <v>34</v>
      </c>
      <c r="D5010" s="5" t="s">
        <v>522</v>
      </c>
      <c r="E5010" s="5" t="s">
        <v>32915</v>
      </c>
      <c r="F5010" s="5" t="s">
        <v>212</v>
      </c>
      <c r="G5010" s="5" t="s">
        <v>32916</v>
      </c>
      <c r="H5010" s="6" t="s">
        <v>32917</v>
      </c>
      <c r="K5010" s="5" t="s">
        <v>32873</v>
      </c>
      <c r="M5010" s="5" t="s">
        <v>32918</v>
      </c>
      <c r="N5010" s="7" t="s">
        <v>32919</v>
      </c>
      <c r="O5010" s="8" t="str">
        <f>HYPERLINK("https://drive.google.com/file/d/1N9ijXamaGOKDI1TEAAoeA0IrYlN-w60j/view?usp=drivesdk","5009_EDY HARIANTO _ SERTIFIKAT BerAKHLAK")</f>
        <v>5009_EDY HARIANTO _ SERTIFIKAT BerAKHLAK</v>
      </c>
      <c r="P5010" s="5" t="s">
        <v>32900</v>
      </c>
    </row>
    <row r="5011">
      <c r="A5011" s="4">
        <v>45534.35579796296</v>
      </c>
      <c r="B5011" s="5" t="s">
        <v>34</v>
      </c>
      <c r="D5011" s="5" t="s">
        <v>1206</v>
      </c>
      <c r="E5011" s="5" t="s">
        <v>32920</v>
      </c>
      <c r="F5011" s="5" t="s">
        <v>37</v>
      </c>
      <c r="G5011" s="5" t="s">
        <v>32921</v>
      </c>
      <c r="H5011" s="6" t="s">
        <v>32922</v>
      </c>
      <c r="K5011" s="5" t="s">
        <v>32923</v>
      </c>
      <c r="M5011" s="5" t="s">
        <v>32924</v>
      </c>
      <c r="N5011" s="7" t="s">
        <v>32925</v>
      </c>
      <c r="O5011" s="8" t="str">
        <f>HYPERLINK("https://drive.google.com/file/d/1daDgcwZLvFsvmzRGMhozo771dyZQmu0P/view?usp=drivesdk","5010_NANING RAHAYU  _ SERTIFIKAT BerAKHLAK")</f>
        <v>5010_NANING RAHAYU  _ SERTIFIKAT BerAKHLAK</v>
      </c>
      <c r="P5011" s="5" t="s">
        <v>32926</v>
      </c>
    </row>
    <row r="5012">
      <c r="A5012" s="4">
        <v>45534.35579806713</v>
      </c>
      <c r="B5012" s="5" t="s">
        <v>34</v>
      </c>
      <c r="D5012" s="5" t="s">
        <v>1206</v>
      </c>
      <c r="E5012" s="5" t="s">
        <v>32927</v>
      </c>
      <c r="F5012" s="5" t="s">
        <v>37</v>
      </c>
      <c r="G5012" s="5" t="s">
        <v>32928</v>
      </c>
      <c r="H5012" s="6" t="s">
        <v>32929</v>
      </c>
      <c r="K5012" s="5" t="s">
        <v>32923</v>
      </c>
      <c r="M5012" s="5" t="s">
        <v>32930</v>
      </c>
      <c r="N5012" s="7" t="s">
        <v>32931</v>
      </c>
      <c r="O5012" s="8" t="str">
        <f>HYPERLINK("https://drive.google.com/file/d/1MxUccWvqbhrNgE6IsrFW5hCwrBaRB_MZ/view?usp=drivesdk","5011_ROCHMAT  _ SERTIFIKAT BerAKHLAK")</f>
        <v>5011_ROCHMAT  _ SERTIFIKAT BerAKHLAK</v>
      </c>
      <c r="P5012" s="5" t="s">
        <v>32926</v>
      </c>
    </row>
    <row r="5013">
      <c r="A5013" s="4">
        <v>45534.35580704861</v>
      </c>
      <c r="B5013" s="5" t="s">
        <v>34</v>
      </c>
      <c r="D5013" s="5" t="s">
        <v>267</v>
      </c>
      <c r="E5013" s="5" t="s">
        <v>32932</v>
      </c>
      <c r="F5013" s="5" t="s">
        <v>524</v>
      </c>
      <c r="G5013" s="5" t="s">
        <v>32933</v>
      </c>
      <c r="H5013" s="6" t="s">
        <v>32934</v>
      </c>
      <c r="K5013" s="5" t="s">
        <v>32923</v>
      </c>
      <c r="M5013" s="5" t="s">
        <v>32935</v>
      </c>
      <c r="N5013" s="7" t="s">
        <v>32936</v>
      </c>
      <c r="O5013" s="8" t="str">
        <f>HYPERLINK("https://drive.google.com/file/d/16x-ijpBLn0MRGwceIDPkkNhQGalwKWSh/view?usp=drivesdk","5012_ARNI PURNOMO _ SERTIFIKAT BerAKHLAK")</f>
        <v>5012_ARNI PURNOMO _ SERTIFIKAT BerAKHLAK</v>
      </c>
      <c r="P5013" s="5" t="s">
        <v>32926</v>
      </c>
    </row>
    <row r="5014">
      <c r="A5014" s="4">
        <v>45534.35582418981</v>
      </c>
      <c r="B5014" s="5" t="s">
        <v>34</v>
      </c>
      <c r="D5014" s="5" t="s">
        <v>12978</v>
      </c>
      <c r="E5014" s="5" t="s">
        <v>32937</v>
      </c>
      <c r="F5014" s="5" t="s">
        <v>524</v>
      </c>
      <c r="G5014" s="5" t="s">
        <v>32938</v>
      </c>
      <c r="H5014" s="6" t="s">
        <v>32939</v>
      </c>
      <c r="K5014" s="5" t="s">
        <v>32923</v>
      </c>
      <c r="M5014" s="5" t="s">
        <v>32940</v>
      </c>
      <c r="N5014" s="7" t="s">
        <v>32941</v>
      </c>
      <c r="O5014" s="8" t="str">
        <f>HYPERLINK("https://drive.google.com/file/d/1jOt7rYDsj6rIBBRVKTGjzIpio8aHMdXI/view?usp=drivesdk","5013_HASNAH, S. H _ SERTIFIKAT BerAKHLAK")</f>
        <v>5013_HASNAH, S. H _ SERTIFIKAT BerAKHLAK</v>
      </c>
      <c r="P5014" s="5" t="s">
        <v>32926</v>
      </c>
    </row>
    <row r="5015">
      <c r="A5015" s="4">
        <v>45534.35582627315</v>
      </c>
      <c r="B5015" s="5" t="s">
        <v>34</v>
      </c>
      <c r="D5015" s="5" t="s">
        <v>1206</v>
      </c>
      <c r="E5015" s="5" t="s">
        <v>32942</v>
      </c>
      <c r="F5015" s="5" t="s">
        <v>212</v>
      </c>
      <c r="G5015" s="5" t="s">
        <v>32943</v>
      </c>
      <c r="H5015" s="6" t="s">
        <v>32944</v>
      </c>
      <c r="K5015" s="5" t="s">
        <v>32923</v>
      </c>
      <c r="M5015" s="5" t="s">
        <v>32945</v>
      </c>
      <c r="N5015" s="7" t="s">
        <v>32946</v>
      </c>
      <c r="O5015" s="8" t="str">
        <f>HYPERLINK("https://drive.google.com/file/d/18jnynZ7IMLJ89QjKm1qs1VccLcBc5z6S/view?usp=drivesdk","5014_INDRA  YAMA  IKA _ SERTIFIKAT BerAKHLAK")</f>
        <v>5014_INDRA  YAMA  IKA _ SERTIFIKAT BerAKHLAK</v>
      </c>
      <c r="P5015" s="5" t="s">
        <v>32947</v>
      </c>
    </row>
    <row r="5016">
      <c r="A5016" s="4">
        <v>45534.35584131944</v>
      </c>
      <c r="B5016" s="5" t="s">
        <v>34</v>
      </c>
      <c r="D5016" s="5" t="s">
        <v>12978</v>
      </c>
      <c r="E5016" s="5" t="s">
        <v>32948</v>
      </c>
      <c r="F5016" s="5" t="s">
        <v>72</v>
      </c>
      <c r="G5016" s="5" t="s">
        <v>32949</v>
      </c>
      <c r="H5016" s="6" t="s">
        <v>32950</v>
      </c>
      <c r="I5016" s="7" t="s">
        <v>32951</v>
      </c>
      <c r="J5016" s="8" t="str">
        <f>HYPERLINK("https://drive.google.com/file/d/13riJv8Ag2w2gwr-mcNrm5zL44dDqeY8j/view?usp=drivesdk","PIMIZA LUSKA SERTIFIKAT BerAKHLAK")</f>
        <v>PIMIZA LUSKA SERTIFIKAT BerAKHLAK</v>
      </c>
      <c r="K5016" s="5" t="s">
        <v>31978</v>
      </c>
      <c r="L5016" s="5" t="s">
        <v>32952</v>
      </c>
      <c r="M5016" s="5" t="s">
        <v>32953</v>
      </c>
      <c r="N5016" s="7" t="s">
        <v>32954</v>
      </c>
      <c r="O5016" s="8" t="str">
        <f>HYPERLINK("https://drive.google.com/file/d/124NKjTVlGtSUPcztf0TjZlROHnUkYxfX/view?usp=drivesdk","5015_PIMIZA LUSKA _ SERTIFIKAT BerAKHLAK")</f>
        <v>5015_PIMIZA LUSKA _ SERTIFIKAT BerAKHLAK</v>
      </c>
      <c r="P5016" s="5" t="s">
        <v>32947</v>
      </c>
    </row>
    <row r="5017">
      <c r="A5017" s="4">
        <v>45534.35585127315</v>
      </c>
      <c r="B5017" s="5" t="s">
        <v>34</v>
      </c>
      <c r="D5017" s="5" t="s">
        <v>6232</v>
      </c>
      <c r="E5017" s="5" t="s">
        <v>32955</v>
      </c>
      <c r="F5017" s="5" t="s">
        <v>108</v>
      </c>
      <c r="G5017" s="5" t="s">
        <v>32956</v>
      </c>
      <c r="H5017" s="6" t="s">
        <v>32957</v>
      </c>
      <c r="I5017" s="7" t="s">
        <v>32958</v>
      </c>
      <c r="J5017" s="8" t="str">
        <f>HYPERLINK("https://drive.google.com/file/d/1sanEOEFYbwgrYOkiwVJ6_eA7bIHrN9R9/view?usp=drivesdk","Destrian Chandra Putra., S.Pd SERTIFIKAT BerAKHLAK")</f>
        <v>Destrian Chandra Putra., S.Pd SERTIFIKAT BerAKHLAK</v>
      </c>
      <c r="K5017" s="5" t="s">
        <v>32413</v>
      </c>
      <c r="L5017" s="5" t="s">
        <v>32959</v>
      </c>
      <c r="M5017" s="5" t="s">
        <v>32960</v>
      </c>
      <c r="N5017" s="7" t="s">
        <v>32961</v>
      </c>
      <c r="O5017" s="8" t="str">
        <f>HYPERLINK("https://drive.google.com/file/d/1dnWqvDIxvf60Y1zIFEDttAbR4HxIytrz/view?usp=drivesdk","5016_Destrian Chandra Putra., S.Pd _ SERTIFIKAT BerAKHLAK")</f>
        <v>5016_Destrian Chandra Putra., S.Pd _ SERTIFIKAT BerAKHLAK</v>
      </c>
      <c r="P5017" s="5" t="s">
        <v>32947</v>
      </c>
    </row>
    <row r="5018">
      <c r="A5018" s="4">
        <v>45534.355857268514</v>
      </c>
      <c r="B5018" s="5" t="s">
        <v>34</v>
      </c>
      <c r="D5018" s="5" t="s">
        <v>35</v>
      </c>
      <c r="E5018" s="5" t="s">
        <v>32962</v>
      </c>
      <c r="F5018" s="5" t="s">
        <v>37</v>
      </c>
      <c r="G5018" s="5" t="s">
        <v>32963</v>
      </c>
      <c r="H5018" s="6" t="s">
        <v>32964</v>
      </c>
      <c r="K5018" s="5" t="s">
        <v>32965</v>
      </c>
      <c r="M5018" s="5" t="s">
        <v>32966</v>
      </c>
      <c r="N5018" s="7" t="s">
        <v>32967</v>
      </c>
      <c r="O5018" s="8" t="str">
        <f>HYPERLINK("https://drive.google.com/file/d/1oC8WPUzWpnvVcW33SNOBokncRXdcWjGr/view?usp=drivesdk","5017_ERNI RIYANTI _ SERTIFIKAT BerAKHLAK")</f>
        <v>5017_ERNI RIYANTI _ SERTIFIKAT BerAKHLAK</v>
      </c>
      <c r="P5018" s="5" t="s">
        <v>32947</v>
      </c>
    </row>
    <row r="5019">
      <c r="A5019" s="4">
        <v>45534.35586732639</v>
      </c>
      <c r="B5019" s="5" t="s">
        <v>34</v>
      </c>
      <c r="D5019" s="5" t="s">
        <v>6232</v>
      </c>
      <c r="E5019" s="5" t="s">
        <v>32968</v>
      </c>
      <c r="F5019" s="5" t="s">
        <v>120</v>
      </c>
      <c r="G5019" s="5" t="s">
        <v>32969</v>
      </c>
      <c r="H5019" s="6" t="s">
        <v>32970</v>
      </c>
      <c r="K5019" s="5" t="s">
        <v>32965</v>
      </c>
      <c r="M5019" s="5" t="s">
        <v>32971</v>
      </c>
      <c r="N5019" s="7" t="s">
        <v>32972</v>
      </c>
      <c r="O5019" s="8" t="str">
        <f>HYPERLINK("https://drive.google.com/file/d/1lijmIUrx2wQPjXx1q6XcB-44wr4Or1jC/view?usp=drivesdk","5018_Leny Kasari Pane, S.E., M.M. _ SERTIFIKAT BerAKHLAK")</f>
        <v>5018_Leny Kasari Pane, S.E., M.M. _ SERTIFIKAT BerAKHLAK</v>
      </c>
      <c r="P5019" s="5" t="s">
        <v>32973</v>
      </c>
    </row>
    <row r="5020">
      <c r="A5020" s="4">
        <v>45534.35587561343</v>
      </c>
      <c r="B5020" s="5" t="s">
        <v>34</v>
      </c>
      <c r="D5020" s="5" t="s">
        <v>701</v>
      </c>
      <c r="E5020" s="5" t="s">
        <v>32974</v>
      </c>
      <c r="F5020" s="5" t="s">
        <v>375</v>
      </c>
      <c r="G5020" s="5" t="s">
        <v>32975</v>
      </c>
      <c r="H5020" s="6" t="s">
        <v>32976</v>
      </c>
      <c r="K5020" s="5" t="s">
        <v>32965</v>
      </c>
      <c r="M5020" s="5" t="s">
        <v>32977</v>
      </c>
      <c r="N5020" s="7" t="s">
        <v>32978</v>
      </c>
      <c r="O5020" s="8" t="str">
        <f>HYPERLINK("https://drive.google.com/file/d/18GiVFPKS5m7Afi-WcJ_xRIzm7ftLdLRg/view?usp=drivesdk","5019_BIL YENNA, SE.MM. _ SERTIFIKAT BerAKHLAK")</f>
        <v>5019_BIL YENNA, SE.MM. _ SERTIFIKAT BerAKHLAK</v>
      </c>
      <c r="P5020" s="5" t="s">
        <v>32973</v>
      </c>
    </row>
    <row r="5021">
      <c r="A5021" s="4">
        <v>45534.35590201389</v>
      </c>
      <c r="B5021" s="5" t="s">
        <v>34</v>
      </c>
      <c r="D5021" s="5" t="s">
        <v>12010</v>
      </c>
      <c r="E5021" s="5" t="s">
        <v>32979</v>
      </c>
      <c r="F5021" s="5" t="s">
        <v>108</v>
      </c>
      <c r="G5021" s="5" t="s">
        <v>32980</v>
      </c>
      <c r="H5021" s="6" t="s">
        <v>32981</v>
      </c>
      <c r="K5021" s="5" t="s">
        <v>32965</v>
      </c>
      <c r="M5021" s="5" t="s">
        <v>32982</v>
      </c>
      <c r="N5021" s="7" t="s">
        <v>32983</v>
      </c>
      <c r="O5021" s="8" t="str">
        <f>HYPERLINK("https://drive.google.com/file/d/1C2cC42hNEhZXkuIHzDtmRxMDN2NVv2gS/view?usp=drivesdk","5020_FEBRINTI TANGAHU, S.E. _ SERTIFIKAT BerAKHLAK")</f>
        <v>5020_FEBRINTI TANGAHU, S.E. _ SERTIFIKAT BerAKHLAK</v>
      </c>
      <c r="P5021" s="5" t="s">
        <v>32973</v>
      </c>
    </row>
    <row r="5022">
      <c r="A5022" s="4">
        <v>45534.35590285879</v>
      </c>
      <c r="B5022" s="5" t="s">
        <v>34</v>
      </c>
      <c r="D5022" s="5" t="s">
        <v>14424</v>
      </c>
      <c r="E5022" s="5" t="s">
        <v>32984</v>
      </c>
      <c r="F5022" s="5" t="s">
        <v>524</v>
      </c>
      <c r="G5022" s="5" t="s">
        <v>32985</v>
      </c>
      <c r="H5022" s="6" t="s">
        <v>32986</v>
      </c>
      <c r="K5022" s="5" t="s">
        <v>32965</v>
      </c>
      <c r="M5022" s="5" t="s">
        <v>32987</v>
      </c>
      <c r="N5022" s="7" t="s">
        <v>32988</v>
      </c>
      <c r="O5022" s="8" t="str">
        <f>HYPERLINK("https://drive.google.com/file/d/1usPAxoHskhIDg_gDvZF_V0kw5qPLNFHc/view?usp=drivesdk","5021_HERMAN EFENDI  _ SERTIFIKAT BerAKHLAK")</f>
        <v>5021_HERMAN EFENDI  _ SERTIFIKAT BerAKHLAK</v>
      </c>
      <c r="P5022" s="5" t="s">
        <v>32973</v>
      </c>
    </row>
    <row r="5023">
      <c r="A5023" s="4">
        <v>45534.35591005787</v>
      </c>
      <c r="B5023" s="5" t="s">
        <v>34</v>
      </c>
      <c r="D5023" s="5" t="s">
        <v>6232</v>
      </c>
      <c r="E5023" s="5" t="s">
        <v>32989</v>
      </c>
      <c r="F5023" s="5" t="s">
        <v>212</v>
      </c>
      <c r="G5023" s="5" t="s">
        <v>32990</v>
      </c>
      <c r="H5023" s="6" t="s">
        <v>32991</v>
      </c>
      <c r="I5023" s="7" t="s">
        <v>32992</v>
      </c>
      <c r="J5023" s="8" t="str">
        <f>HYPERLINK("https://drive.google.com/file/d/1dpJoWLkQbLDYnVZ6DGQQu_szFN9ShV-P/view?usp=drivesdk","FEVI ROSMITA SERTIFIKAT BerAKHLAK")</f>
        <v>FEVI ROSMITA SERTIFIKAT BerAKHLAK</v>
      </c>
      <c r="K5023" s="5" t="s">
        <v>31978</v>
      </c>
      <c r="L5023" s="5" t="s">
        <v>32993</v>
      </c>
      <c r="M5023" s="5" t="s">
        <v>32994</v>
      </c>
      <c r="N5023" s="7" t="s">
        <v>32995</v>
      </c>
      <c r="O5023" s="8" t="str">
        <f>HYPERLINK("https://drive.google.com/file/d/18-m6g_FbPYGEwUaUNCCgsenyX95YYJXb/view?usp=drivesdk","5022_FEVI ROSMITA _ SERTIFIKAT BerAKHLAK")</f>
        <v>5022_FEVI ROSMITA _ SERTIFIKAT BerAKHLAK</v>
      </c>
      <c r="P5023" s="5" t="s">
        <v>32973</v>
      </c>
    </row>
    <row r="5024">
      <c r="A5024" s="4">
        <v>45534.355914687505</v>
      </c>
      <c r="B5024" s="5" t="s">
        <v>34</v>
      </c>
      <c r="D5024" s="5" t="s">
        <v>12978</v>
      </c>
      <c r="E5024" s="5" t="s">
        <v>32996</v>
      </c>
      <c r="F5024" s="5" t="s">
        <v>212</v>
      </c>
      <c r="G5024" s="5" t="s">
        <v>32997</v>
      </c>
      <c r="H5024" s="6" t="s">
        <v>32998</v>
      </c>
      <c r="I5024" s="7" t="s">
        <v>32999</v>
      </c>
      <c r="J5024" s="8" t="str">
        <f>HYPERLINK("https://drive.google.com/file/d/1lda_3MeuKCgsVjLAZ9L-Rjn7TzsxYg4I/view?usp=drivesdk","SUDARWATI  SERTIFIKAT BerAKHLAK")</f>
        <v>SUDARWATI  SERTIFIKAT BerAKHLAK</v>
      </c>
      <c r="K5024" s="5" t="s">
        <v>32413</v>
      </c>
      <c r="L5024" s="5" t="s">
        <v>33000</v>
      </c>
      <c r="M5024" s="5" t="s">
        <v>33001</v>
      </c>
      <c r="N5024" s="7" t="s">
        <v>33002</v>
      </c>
      <c r="O5024" s="8" t="str">
        <f>HYPERLINK("https://drive.google.com/file/d/1XDW2K5WHu-e20hIB_nBfmSwsU9hNa8vy/view?usp=drivesdk","5023_SUDARWATI  _ SERTIFIKAT BerAKHLAK")</f>
        <v>5023_SUDARWATI  _ SERTIFIKAT BerAKHLAK</v>
      </c>
      <c r="P5024" s="5" t="s">
        <v>33003</v>
      </c>
    </row>
    <row r="5025">
      <c r="A5025" s="4">
        <v>45534.355917719906</v>
      </c>
      <c r="B5025" s="5" t="s">
        <v>34</v>
      </c>
      <c r="D5025" s="5" t="s">
        <v>1558</v>
      </c>
      <c r="E5025" s="5" t="s">
        <v>33004</v>
      </c>
      <c r="F5025" s="5" t="s">
        <v>375</v>
      </c>
      <c r="G5025" s="5" t="s">
        <v>33005</v>
      </c>
      <c r="H5025" s="6" t="s">
        <v>33006</v>
      </c>
      <c r="I5025" s="7" t="s">
        <v>33007</v>
      </c>
      <c r="J5025" s="8" t="str">
        <f>HYPERLINK("https://drive.google.com/file/d/1dB2QT1WLafQ8K_7j4cDK-5KbLvLQxpJa/view?usp=drivesdk","NENI KURNIATI, S.Kom SERTIFIKAT BerAKHLAK")</f>
        <v>NENI KURNIATI, S.Kom SERTIFIKAT BerAKHLAK</v>
      </c>
      <c r="K5025" s="5" t="s">
        <v>32413</v>
      </c>
      <c r="L5025" s="5" t="s">
        <v>33008</v>
      </c>
      <c r="M5025" s="5" t="s">
        <v>33009</v>
      </c>
      <c r="N5025" s="7" t="s">
        <v>33010</v>
      </c>
      <c r="O5025" s="8" t="str">
        <f>HYPERLINK("https://drive.google.com/file/d/1rQNOP--N6KvlVfM-3bbL3hZ7qbVAixqd/view?usp=drivesdk","5024_NENI KURNIATI, S.Kom _ SERTIFIKAT BerAKHLAK")</f>
        <v>5024_NENI KURNIATI, S.Kom _ SERTIFIKAT BerAKHLAK</v>
      </c>
      <c r="P5025" s="5" t="s">
        <v>33003</v>
      </c>
    </row>
    <row r="5026">
      <c r="A5026" s="4">
        <v>45534.35592502315</v>
      </c>
      <c r="B5026" s="5" t="s">
        <v>34</v>
      </c>
      <c r="D5026" s="5" t="s">
        <v>6232</v>
      </c>
      <c r="E5026" s="5" t="s">
        <v>33011</v>
      </c>
      <c r="F5026" s="5" t="s">
        <v>37</v>
      </c>
      <c r="G5026" s="5" t="s">
        <v>33012</v>
      </c>
      <c r="H5026" s="6" t="s">
        <v>33013</v>
      </c>
      <c r="I5026" s="7" t="s">
        <v>33014</v>
      </c>
      <c r="J5026" s="8" t="str">
        <f>HYPERLINK("https://drive.google.com/file/d/1gHMYFb3ZCct4NxfS3W47O65e9j3bLeUZ/view?usp=drivesdk","EKA YUDI YANTI, S.Kom SERTIFIKAT BerAKHLAK")</f>
        <v>EKA YUDI YANTI, S.Kom SERTIFIKAT BerAKHLAK</v>
      </c>
      <c r="K5026" s="5" t="s">
        <v>32413</v>
      </c>
      <c r="L5026" s="5" t="s">
        <v>33015</v>
      </c>
      <c r="M5026" s="5" t="s">
        <v>33016</v>
      </c>
      <c r="N5026" s="7" t="s">
        <v>33017</v>
      </c>
      <c r="O5026" s="8" t="str">
        <f>HYPERLINK("https://drive.google.com/file/d/10SQimRuftGwW-_oZkM5129S2X08dQFpy/view?usp=drivesdk","5025_EKA YUDI YANTI, S.Kom _ SERTIFIKAT BerAKHLAK")</f>
        <v>5025_EKA YUDI YANTI, S.Kom _ SERTIFIKAT BerAKHLAK</v>
      </c>
      <c r="P5026" s="5" t="s">
        <v>33003</v>
      </c>
    </row>
    <row r="5027">
      <c r="A5027" s="4">
        <v>45534.3559439699</v>
      </c>
      <c r="B5027" s="5" t="s">
        <v>34</v>
      </c>
      <c r="D5027" s="5" t="s">
        <v>4775</v>
      </c>
      <c r="E5027" s="5" t="s">
        <v>33018</v>
      </c>
      <c r="F5027" s="5" t="s">
        <v>524</v>
      </c>
      <c r="G5027" s="5" t="s">
        <v>33019</v>
      </c>
      <c r="H5027" s="6" t="s">
        <v>33020</v>
      </c>
      <c r="I5027" s="7" t="s">
        <v>33021</v>
      </c>
      <c r="J5027" s="8" t="str">
        <f>HYPERLINK("https://drive.google.com/file/d/1DWxLNUN0dZrfOisQwocTP6YVLn6O-nQh/view?usp=drivesdk","DWIYANTO, S.H. SERTIFIKAT BerAKHLAK")</f>
        <v>DWIYANTO, S.H. SERTIFIKAT BerAKHLAK</v>
      </c>
      <c r="K5027" s="5" t="s">
        <v>32413</v>
      </c>
      <c r="L5027" s="5" t="s">
        <v>33022</v>
      </c>
      <c r="M5027" s="5" t="s">
        <v>33023</v>
      </c>
      <c r="N5027" s="7" t="s">
        <v>33024</v>
      </c>
      <c r="O5027" s="8" t="str">
        <f>HYPERLINK("https://drive.google.com/file/d/1GYkj4tYkjHKDAbnbn27v6bvpGicPKtGI/view?usp=drivesdk","5026_DWIYANTO, S.H. _ SERTIFIKAT BerAKHLAK")</f>
        <v>5026_DWIYANTO, S.H. _ SERTIFIKAT BerAKHLAK</v>
      </c>
      <c r="P5027" s="5" t="s">
        <v>33003</v>
      </c>
    </row>
    <row r="5028">
      <c r="A5028" s="4">
        <v>45534.355946435186</v>
      </c>
      <c r="B5028" s="5" t="s">
        <v>34</v>
      </c>
      <c r="D5028" s="5" t="s">
        <v>1456</v>
      </c>
      <c r="E5028" s="5" t="s">
        <v>33025</v>
      </c>
      <c r="F5028" s="5" t="s">
        <v>715</v>
      </c>
      <c r="G5028" s="5" t="s">
        <v>33026</v>
      </c>
      <c r="H5028" s="6" t="s">
        <v>33027</v>
      </c>
      <c r="I5028" s="7" t="s">
        <v>33028</v>
      </c>
      <c r="J5028" s="8" t="str">
        <f>HYPERLINK("https://drive.google.com/file/d/1-zU5o6Hum60D5l3-CLe8BUv4zWcbf3dT/view?usp=drivesdk","RATNA WATI SERTIFIKAT BerAKHLAK")</f>
        <v>RATNA WATI SERTIFIKAT BerAKHLAK</v>
      </c>
      <c r="K5028" s="5" t="s">
        <v>32413</v>
      </c>
      <c r="L5028" s="5" t="s">
        <v>33029</v>
      </c>
      <c r="M5028" s="5" t="s">
        <v>33030</v>
      </c>
      <c r="N5028" s="7" t="s">
        <v>33031</v>
      </c>
      <c r="O5028" s="8" t="str">
        <f>HYPERLINK("https://drive.google.com/file/d/1fGRVO2CCNQwZfX4Gk9Lt9dLqjGgcYvjf/view?usp=drivesdk","5027_RATNA WATI _ SERTIFIKAT BerAKHLAK")</f>
        <v>5027_RATNA WATI _ SERTIFIKAT BerAKHLAK</v>
      </c>
      <c r="P5028" s="5" t="s">
        <v>33003</v>
      </c>
    </row>
    <row r="5029">
      <c r="A5029" s="4">
        <v>45534.35594194444</v>
      </c>
      <c r="B5029" s="5" t="s">
        <v>34</v>
      </c>
      <c r="D5029" s="5" t="s">
        <v>1558</v>
      </c>
      <c r="E5029" s="5" t="s">
        <v>33032</v>
      </c>
      <c r="F5029" s="5" t="s">
        <v>524</v>
      </c>
      <c r="G5029" s="5" t="s">
        <v>33033</v>
      </c>
      <c r="H5029" s="6" t="s">
        <v>33034</v>
      </c>
      <c r="K5029" s="5" t="s">
        <v>33035</v>
      </c>
      <c r="M5029" s="5" t="s">
        <v>33036</v>
      </c>
      <c r="N5029" s="7" t="s">
        <v>33037</v>
      </c>
      <c r="O5029" s="8" t="str">
        <f>HYPERLINK("https://drive.google.com/file/d/13FrNEKb4nekaXYX03aeWqbfGdmoBajnT/view?usp=drivesdk","5028_MUJI HANDININGSIH _ SERTIFIKAT BerAKHLAK")</f>
        <v>5028_MUJI HANDININGSIH _ SERTIFIKAT BerAKHLAK</v>
      </c>
      <c r="P5029" s="5" t="s">
        <v>33003</v>
      </c>
    </row>
    <row r="5030">
      <c r="A5030" s="4">
        <v>45534.35594780093</v>
      </c>
      <c r="B5030" s="5" t="s">
        <v>34</v>
      </c>
      <c r="D5030" s="5" t="s">
        <v>14313</v>
      </c>
      <c r="E5030" s="5" t="s">
        <v>33038</v>
      </c>
      <c r="F5030" s="5" t="s">
        <v>524</v>
      </c>
      <c r="G5030" s="5" t="s">
        <v>33039</v>
      </c>
      <c r="H5030" s="6" t="s">
        <v>33040</v>
      </c>
      <c r="K5030" s="5" t="s">
        <v>33035</v>
      </c>
      <c r="M5030" s="5" t="s">
        <v>33041</v>
      </c>
      <c r="N5030" s="7" t="s">
        <v>33042</v>
      </c>
      <c r="O5030" s="8" t="str">
        <f>HYPERLINK("https://drive.google.com/file/d/1CWLEV_7AGZF-IOUUrcxL4ij9maUeCA5D/view?usp=drivesdk","5029_ROSYANI RAUF _ SERTIFIKAT BerAKHLAK")</f>
        <v>5029_ROSYANI RAUF _ SERTIFIKAT BerAKHLAK</v>
      </c>
      <c r="P5030" s="5" t="s">
        <v>33043</v>
      </c>
    </row>
    <row r="5031" hidden="1">
      <c r="A5031" s="4">
        <v>45534.35595804398</v>
      </c>
      <c r="B5031" s="5" t="s">
        <v>19</v>
      </c>
      <c r="C5031" s="5" t="s">
        <v>466</v>
      </c>
      <c r="E5031" s="5" t="s">
        <v>33044</v>
      </c>
      <c r="F5031" s="5" t="s">
        <v>212</v>
      </c>
      <c r="G5031" s="5" t="s">
        <v>33045</v>
      </c>
      <c r="H5031" s="6" t="s">
        <v>33046</v>
      </c>
      <c r="K5031" s="5" t="s">
        <v>33035</v>
      </c>
      <c r="M5031" s="5" t="s">
        <v>33047</v>
      </c>
      <c r="N5031" s="7" t="s">
        <v>33048</v>
      </c>
      <c r="O5031" s="8" t="str">
        <f>HYPERLINK("https://drive.google.com/file/d/1uzkuHcmHiWDA6G3Em2XvVL5c7p-Oi_Nd/view?usp=drivesdk","5030_HIDAYAT _ SERTIFIKAT BerAKHLAK")</f>
        <v>5030_HIDAYAT _ SERTIFIKAT BerAKHLAK</v>
      </c>
      <c r="P5031" s="5" t="s">
        <v>33043</v>
      </c>
    </row>
    <row r="5032">
      <c r="A5032" s="4">
        <v>45534.35596097222</v>
      </c>
      <c r="B5032" s="5" t="s">
        <v>34</v>
      </c>
      <c r="D5032" s="5" t="s">
        <v>267</v>
      </c>
      <c r="E5032" s="5" t="s">
        <v>33049</v>
      </c>
      <c r="F5032" s="5" t="s">
        <v>212</v>
      </c>
      <c r="G5032" s="5" t="s">
        <v>33050</v>
      </c>
      <c r="H5032" s="6" t="s">
        <v>33051</v>
      </c>
      <c r="K5032" s="5" t="s">
        <v>33035</v>
      </c>
      <c r="M5032" s="5" t="s">
        <v>33052</v>
      </c>
      <c r="N5032" s="7" t="s">
        <v>33053</v>
      </c>
      <c r="O5032" s="8" t="str">
        <f>HYPERLINK("https://drive.google.com/file/d/1J29Slh1F1QVXlp5_23hVfQNJgLVeBeKI/view?usp=drivesdk","5031_DANI TRIYANA EKAWATI, S.E. _ SERTIFIKAT BerAKHLAK")</f>
        <v>5031_DANI TRIYANA EKAWATI, S.E. _ SERTIFIKAT BerAKHLAK</v>
      </c>
      <c r="P5032" s="5" t="s">
        <v>33043</v>
      </c>
    </row>
    <row r="5033">
      <c r="A5033" s="4">
        <v>45534.35596671296</v>
      </c>
      <c r="B5033" s="5" t="s">
        <v>34</v>
      </c>
      <c r="D5033" s="5" t="s">
        <v>6232</v>
      </c>
      <c r="E5033" s="5" t="s">
        <v>33054</v>
      </c>
      <c r="F5033" s="5" t="s">
        <v>375</v>
      </c>
      <c r="G5033" s="5" t="s">
        <v>33055</v>
      </c>
      <c r="H5033" s="6" t="s">
        <v>33056</v>
      </c>
      <c r="K5033" s="5" t="s">
        <v>33035</v>
      </c>
      <c r="M5033" s="5" t="s">
        <v>33057</v>
      </c>
      <c r="N5033" s="7" t="s">
        <v>33058</v>
      </c>
      <c r="O5033" s="8" t="str">
        <f>HYPERLINK("https://drive.google.com/file/d/1IgUQMAtvcui9PL8PLR5UeqFBTEwIDTvv/view?usp=drivesdk","5032_ASNENY,S.E _ SERTIFIKAT BerAKHLAK")</f>
        <v>5032_ASNENY,S.E _ SERTIFIKAT BerAKHLAK</v>
      </c>
      <c r="P5033" s="5" t="s">
        <v>33043</v>
      </c>
    </row>
    <row r="5034">
      <c r="A5034" s="4">
        <v>45534.355971377314</v>
      </c>
      <c r="B5034" s="5" t="s">
        <v>34</v>
      </c>
      <c r="D5034" s="5" t="s">
        <v>1206</v>
      </c>
      <c r="E5034" s="5" t="s">
        <v>33059</v>
      </c>
      <c r="F5034" s="5" t="s">
        <v>212</v>
      </c>
      <c r="G5034" s="5" t="s">
        <v>33060</v>
      </c>
      <c r="H5034" s="6" t="s">
        <v>33061</v>
      </c>
      <c r="K5034" s="5" t="s">
        <v>33035</v>
      </c>
      <c r="M5034" s="5" t="s">
        <v>33062</v>
      </c>
      <c r="N5034" s="7" t="s">
        <v>33063</v>
      </c>
      <c r="O5034" s="8" t="str">
        <f>HYPERLINK("https://drive.google.com/file/d/1Y-MLqOWD0B5DgInl1jZoZrfT56NIZhfR/view?usp=drivesdk","5033_NINANG DWI RATNO  _ SERTIFIKAT BerAKHLAK")</f>
        <v>5033_NINANG DWI RATNO  _ SERTIFIKAT BerAKHLAK</v>
      </c>
      <c r="P5034" s="5" t="s">
        <v>33064</v>
      </c>
    </row>
    <row r="5035">
      <c r="A5035" s="4">
        <v>45534.35597842593</v>
      </c>
      <c r="B5035" s="5" t="s">
        <v>34</v>
      </c>
      <c r="D5035" s="5" t="s">
        <v>4775</v>
      </c>
      <c r="E5035" s="5" t="s">
        <v>33065</v>
      </c>
      <c r="F5035" s="5" t="s">
        <v>212</v>
      </c>
      <c r="G5035" s="5" t="s">
        <v>33066</v>
      </c>
      <c r="H5035" s="6" t="s">
        <v>33067</v>
      </c>
      <c r="K5035" s="5" t="s">
        <v>33035</v>
      </c>
      <c r="M5035" s="5" t="s">
        <v>33068</v>
      </c>
      <c r="N5035" s="7" t="s">
        <v>33069</v>
      </c>
      <c r="O5035" s="8" t="str">
        <f>HYPERLINK("https://drive.google.com/file/d/1Ffneq_Kvcyuy2lx2RL7aI4ibE2_mlMsT/view?usp=drivesdk","5034_ANNISA FITRI IKA MERDEKAWATI, A.Md.Gz _ SERTIFIKAT BerAKHLAK")</f>
        <v>5034_ANNISA FITRI IKA MERDEKAWATI, A.Md.Gz _ SERTIFIKAT BerAKHLAK</v>
      </c>
      <c r="P5035" s="5" t="s">
        <v>33064</v>
      </c>
    </row>
    <row r="5036">
      <c r="A5036" s="4">
        <v>45534.35598620371</v>
      </c>
      <c r="B5036" s="5" t="s">
        <v>34</v>
      </c>
      <c r="D5036" s="5" t="s">
        <v>35</v>
      </c>
      <c r="E5036" s="5" t="s">
        <v>19603</v>
      </c>
      <c r="F5036" s="5" t="s">
        <v>37</v>
      </c>
      <c r="G5036" s="5" t="s">
        <v>33070</v>
      </c>
      <c r="H5036" s="6" t="s">
        <v>33071</v>
      </c>
      <c r="K5036" s="5" t="s">
        <v>33035</v>
      </c>
      <c r="M5036" s="5" t="s">
        <v>33072</v>
      </c>
      <c r="N5036" s="7" t="s">
        <v>33073</v>
      </c>
      <c r="O5036" s="8" t="str">
        <f>HYPERLINK("https://drive.google.com/file/d/1hqEhmnefe18HrRdM5w_nkFt6umYPNcWT/view?usp=drivesdk","5035_ERNAWATI _ SERTIFIKAT BerAKHLAK")</f>
        <v>5035_ERNAWATI _ SERTIFIKAT BerAKHLAK</v>
      </c>
      <c r="P5036" s="5" t="s">
        <v>33064</v>
      </c>
    </row>
    <row r="5037">
      <c r="A5037" s="4">
        <v>45534.35598663194</v>
      </c>
      <c r="B5037" s="5" t="s">
        <v>34</v>
      </c>
      <c r="D5037" s="5" t="s">
        <v>1206</v>
      </c>
      <c r="E5037" s="5" t="s">
        <v>33074</v>
      </c>
      <c r="F5037" s="5" t="s">
        <v>72</v>
      </c>
      <c r="G5037" s="5" t="s">
        <v>33075</v>
      </c>
      <c r="H5037" s="6" t="s">
        <v>33076</v>
      </c>
      <c r="K5037" s="5" t="s">
        <v>33035</v>
      </c>
      <c r="M5037" s="5" t="s">
        <v>33077</v>
      </c>
      <c r="N5037" s="7" t="s">
        <v>33078</v>
      </c>
      <c r="O5037" s="8" t="str">
        <f>HYPERLINK("https://drive.google.com/file/d/1K0mGV5gDCn00u2fVLb4SwqD6DxhUZNHc/view?usp=drivesdk","5036_ELVY SUKESI _ SERTIFIKAT BerAKHLAK")</f>
        <v>5036_ELVY SUKESI _ SERTIFIKAT BerAKHLAK</v>
      </c>
      <c r="P5037" s="5" t="s">
        <v>33079</v>
      </c>
    </row>
    <row r="5038">
      <c r="A5038" s="4">
        <v>45534.35598917824</v>
      </c>
      <c r="B5038" s="5" t="s">
        <v>34</v>
      </c>
      <c r="D5038" s="5" t="s">
        <v>1206</v>
      </c>
      <c r="E5038" s="5" t="s">
        <v>33080</v>
      </c>
      <c r="F5038" s="5" t="s">
        <v>524</v>
      </c>
      <c r="G5038" s="5" t="s">
        <v>33081</v>
      </c>
      <c r="H5038" s="6" t="s">
        <v>33082</v>
      </c>
      <c r="I5038" s="7" t="s">
        <v>33083</v>
      </c>
      <c r="J5038" s="8" t="str">
        <f>HYPERLINK("https://drive.google.com/file/d/15lwYA-rMFf4wNjECOILG7DaMmKdsmUx6/view?usp=drivesdk","GOLANG ROCHMANTOYO SERTIFIKAT BerAKHLAK")</f>
        <v>GOLANG ROCHMANTOYO SERTIFIKAT BerAKHLAK</v>
      </c>
      <c r="K5038" s="5" t="s">
        <v>32413</v>
      </c>
      <c r="L5038" s="5" t="s">
        <v>33084</v>
      </c>
      <c r="M5038" s="5" t="s">
        <v>33085</v>
      </c>
      <c r="N5038" s="7" t="s">
        <v>33086</v>
      </c>
      <c r="O5038" s="8" t="str">
        <f>HYPERLINK("https://drive.google.com/file/d/17j7rXU7-598edmzUTZeozy5FhQivevAL/view?usp=drivesdk","5037_GOLANG ROCHMANTOYO _ SERTIFIKAT BerAKHLAK")</f>
        <v>5037_GOLANG ROCHMANTOYO _ SERTIFIKAT BerAKHLAK</v>
      </c>
      <c r="P5038" s="5" t="s">
        <v>33079</v>
      </c>
    </row>
    <row r="5039">
      <c r="A5039" s="4">
        <v>45534.35600072917</v>
      </c>
      <c r="B5039" s="5" t="s">
        <v>34</v>
      </c>
      <c r="D5039" s="5" t="s">
        <v>9020</v>
      </c>
      <c r="E5039" s="5" t="s">
        <v>33087</v>
      </c>
      <c r="F5039" s="5" t="s">
        <v>212</v>
      </c>
      <c r="G5039" s="5" t="s">
        <v>33088</v>
      </c>
      <c r="H5039" s="6" t="s">
        <v>33089</v>
      </c>
      <c r="I5039" s="7" t="s">
        <v>33090</v>
      </c>
      <c r="J5039" s="8" t="str">
        <f>HYPERLINK("https://drive.google.com/file/d/1uOh1dOCyQNFiKY_eMRxTVI_0VOSUGZTN/view?usp=drivesdk","NAJARUDDIN  SERTIFIKAT BerAKHLAK")</f>
        <v>NAJARUDDIN  SERTIFIKAT BerAKHLAK</v>
      </c>
      <c r="K5039" s="5" t="s">
        <v>32413</v>
      </c>
      <c r="L5039" s="5" t="s">
        <v>33091</v>
      </c>
      <c r="M5039" s="5" t="s">
        <v>33092</v>
      </c>
      <c r="N5039" s="7" t="s">
        <v>33093</v>
      </c>
      <c r="O5039" s="8" t="str">
        <f>HYPERLINK("https://drive.google.com/file/d/1-viwKPPxIQDA3-43dR4PhxBTdi7177dj/view?usp=drivesdk","5038_NAJARUDDIN  _ SERTIFIKAT BerAKHLAK")</f>
        <v>5038_NAJARUDDIN  _ SERTIFIKAT BerAKHLAK</v>
      </c>
      <c r="P5039" s="5" t="s">
        <v>33079</v>
      </c>
    </row>
    <row r="5040">
      <c r="A5040" s="4">
        <v>45534.35601672454</v>
      </c>
      <c r="B5040" s="5" t="s">
        <v>34</v>
      </c>
      <c r="D5040" s="5" t="s">
        <v>1206</v>
      </c>
      <c r="E5040" s="5" t="s">
        <v>33094</v>
      </c>
      <c r="F5040" s="5" t="s">
        <v>524</v>
      </c>
      <c r="G5040" s="5" t="s">
        <v>33095</v>
      </c>
      <c r="H5040" s="6" t="s">
        <v>33096</v>
      </c>
      <c r="I5040" s="7" t="s">
        <v>33097</v>
      </c>
      <c r="J5040" s="8" t="str">
        <f>HYPERLINK("https://drive.google.com/file/d/1ux2yvRKWY8I-ATp4HMlV_LSCEHfordE1/view?usp=drivesdk","ANDRI SUSANTO, S.Sos SERTIFIKAT BerAKHLAK")</f>
        <v>ANDRI SUSANTO, S.Sos SERTIFIKAT BerAKHLAK</v>
      </c>
      <c r="K5040" s="5" t="s">
        <v>32413</v>
      </c>
      <c r="L5040" s="5" t="s">
        <v>33098</v>
      </c>
      <c r="M5040" s="5" t="s">
        <v>33099</v>
      </c>
      <c r="N5040" s="7" t="s">
        <v>33100</v>
      </c>
      <c r="O5040" s="8" t="str">
        <f>HYPERLINK("https://drive.google.com/file/d/1IXg1CmhvLyWtKDXo6PEeZY9Sa6ly4upV/view?usp=drivesdk","5039_ANDRI SUSANTO, S.Sos _ SERTIFIKAT BerAKHLAK")</f>
        <v>5039_ANDRI SUSANTO, S.Sos _ SERTIFIKAT BerAKHLAK</v>
      </c>
      <c r="P5040" s="5" t="s">
        <v>33079</v>
      </c>
    </row>
    <row r="5041">
      <c r="A5041" s="4">
        <v>45534.35601758102</v>
      </c>
      <c r="B5041" s="5" t="s">
        <v>34</v>
      </c>
      <c r="D5041" s="5" t="s">
        <v>4775</v>
      </c>
      <c r="E5041" s="5" t="s">
        <v>25087</v>
      </c>
      <c r="F5041" s="5" t="s">
        <v>37</v>
      </c>
      <c r="G5041" s="5" t="s">
        <v>33101</v>
      </c>
      <c r="H5041" s="6" t="s">
        <v>33102</v>
      </c>
      <c r="K5041" s="5" t="s">
        <v>33103</v>
      </c>
      <c r="M5041" s="5" t="s">
        <v>33104</v>
      </c>
      <c r="N5041" s="7" t="s">
        <v>33105</v>
      </c>
      <c r="O5041" s="8" t="str">
        <f>HYPERLINK("https://drive.google.com/file/d/1Cwfbg1NYptmf9dfduD7P8TMev4_dBevr/view?usp=drivesdk","5040_TUMIYEM _ SERTIFIKAT BerAKHLAK")</f>
        <v>5040_TUMIYEM _ SERTIFIKAT BerAKHLAK</v>
      </c>
      <c r="P5041" s="5" t="s">
        <v>33079</v>
      </c>
    </row>
    <row r="5042">
      <c r="A5042" s="4">
        <v>45534.35603837963</v>
      </c>
      <c r="B5042" s="5" t="s">
        <v>34</v>
      </c>
      <c r="D5042" s="5" t="s">
        <v>975</v>
      </c>
      <c r="E5042" s="5" t="s">
        <v>33106</v>
      </c>
      <c r="F5042" s="5" t="s">
        <v>37</v>
      </c>
      <c r="G5042" s="5" t="s">
        <v>33107</v>
      </c>
      <c r="H5042" s="6" t="s">
        <v>33108</v>
      </c>
      <c r="I5042" s="7" t="s">
        <v>33109</v>
      </c>
      <c r="J5042" s="8" t="str">
        <f>HYPERLINK("https://drive.google.com/file/d/19vt9lNKAEgIHiEvwK_1yg2KVMR7tLwZ9/view?usp=drivesdk","ASNIAH A MD KEB SERTIFIKAT BerAKHLAK")</f>
        <v>ASNIAH A MD KEB SERTIFIKAT BerAKHLAK</v>
      </c>
      <c r="K5042" s="5" t="s">
        <v>32413</v>
      </c>
      <c r="L5042" s="5" t="s">
        <v>33110</v>
      </c>
      <c r="M5042" s="5" t="s">
        <v>33111</v>
      </c>
      <c r="N5042" s="7" t="s">
        <v>33112</v>
      </c>
      <c r="O5042" s="8" t="str">
        <f>HYPERLINK("https://drive.google.com/file/d/1A21yKJ9tkLl21uA9S9I16byvHOkxzCaq/view?usp=drivesdk","5041_ASNIAH A MD KEB _ SERTIFIKAT BerAKHLAK")</f>
        <v>5041_ASNIAH A MD KEB _ SERTIFIKAT BerAKHLAK</v>
      </c>
      <c r="P5042" s="5" t="s">
        <v>33113</v>
      </c>
    </row>
    <row r="5043">
      <c r="A5043" s="4">
        <v>45534.35605652777</v>
      </c>
      <c r="B5043" s="5" t="s">
        <v>34</v>
      </c>
      <c r="D5043" s="5" t="s">
        <v>1206</v>
      </c>
      <c r="E5043" s="5" t="s">
        <v>33114</v>
      </c>
      <c r="F5043" s="5" t="s">
        <v>524</v>
      </c>
      <c r="G5043" s="5" t="s">
        <v>33115</v>
      </c>
      <c r="H5043" s="6" t="s">
        <v>33116</v>
      </c>
      <c r="I5043" s="7" t="s">
        <v>33117</v>
      </c>
      <c r="J5043" s="8" t="str">
        <f>HYPERLINK("https://drive.google.com/file/d/1Goo_4HFsZ-mLsQSOTcrjNu7zncQhKo0K/view?usp=drivesdk","ARIS SURYANI, S. Kep., Ns SERTIFIKAT BerAKHLAK")</f>
        <v>ARIS SURYANI, S. Kep., Ns SERTIFIKAT BerAKHLAK</v>
      </c>
      <c r="K5043" s="5" t="s">
        <v>32413</v>
      </c>
      <c r="L5043" s="5" t="s">
        <v>33118</v>
      </c>
      <c r="M5043" s="5" t="s">
        <v>33119</v>
      </c>
      <c r="N5043" s="7" t="s">
        <v>33120</v>
      </c>
      <c r="O5043" s="8" t="str">
        <f>HYPERLINK("https://drive.google.com/file/d/1SGCrsZSpXJ8AqR5lSVEKxFuLPXl_9TXt/view?usp=drivesdk","5042_ARIS SURYANI, S. Kep., Ns _ SERTIFIKAT BerAKHLAK")</f>
        <v>5042_ARIS SURYANI, S. Kep., Ns _ SERTIFIKAT BerAKHLAK</v>
      </c>
      <c r="P5043" s="5" t="s">
        <v>33113</v>
      </c>
    </row>
    <row r="5044">
      <c r="A5044" s="4">
        <v>45534.35606363426</v>
      </c>
      <c r="B5044" s="5" t="s">
        <v>34</v>
      </c>
      <c r="D5044" s="5" t="s">
        <v>1206</v>
      </c>
      <c r="E5044" s="5" t="s">
        <v>33121</v>
      </c>
      <c r="F5044" s="5" t="s">
        <v>212</v>
      </c>
      <c r="G5044" s="5" t="s">
        <v>33122</v>
      </c>
      <c r="H5044" s="6" t="s">
        <v>33123</v>
      </c>
      <c r="I5044" s="7" t="s">
        <v>33124</v>
      </c>
      <c r="J5044" s="8" t="str">
        <f>HYPERLINK("https://drive.google.com/file/d/1brf40ucByIqmHlwCpxxQZVHhSstGHb0V/view?usp=drivesdk","ERICA SUSANTI,A.Md SERTIFIKAT BerAKHLAK")</f>
        <v>ERICA SUSANTI,A.Md SERTIFIKAT BerAKHLAK</v>
      </c>
      <c r="K5044" s="5" t="s">
        <v>32413</v>
      </c>
      <c r="L5044" s="5" t="s">
        <v>33125</v>
      </c>
      <c r="M5044" s="5" t="s">
        <v>33126</v>
      </c>
      <c r="N5044" s="7" t="s">
        <v>33127</v>
      </c>
      <c r="O5044" s="8" t="str">
        <f>HYPERLINK("https://drive.google.com/file/d/1R0PlS4wI5-DkUjFOejEAxq1YXKAdb_U4/view?usp=drivesdk","5043_ERICA SUSANTI,A.Md _ SERTIFIKAT BerAKHLAK")</f>
        <v>5043_ERICA SUSANTI,A.Md _ SERTIFIKAT BerAKHLAK</v>
      </c>
      <c r="P5044" s="5" t="s">
        <v>33113</v>
      </c>
    </row>
    <row r="5045">
      <c r="A5045" s="4">
        <v>45534.35609324074</v>
      </c>
      <c r="B5045" s="5" t="s">
        <v>34</v>
      </c>
      <c r="D5045" s="5" t="s">
        <v>10444</v>
      </c>
      <c r="E5045" s="5" t="s">
        <v>33128</v>
      </c>
      <c r="F5045" s="5" t="s">
        <v>212</v>
      </c>
      <c r="G5045" s="5" t="s">
        <v>33129</v>
      </c>
      <c r="H5045" s="6" t="s">
        <v>33130</v>
      </c>
      <c r="I5045" s="7" t="s">
        <v>33131</v>
      </c>
      <c r="J5045" s="8" t="str">
        <f>HYPERLINK("https://drive.google.com/file/d/1Q39hyj3B9AUW-dVbcnfWjlBczAicJV5m/view?usp=drivesdk","SRI NURTINI, A.Md SERTIFIKAT BerAKHLAK")</f>
        <v>SRI NURTINI, A.Md SERTIFIKAT BerAKHLAK</v>
      </c>
      <c r="K5045" s="5" t="s">
        <v>32413</v>
      </c>
      <c r="L5045" s="5" t="s">
        <v>33132</v>
      </c>
      <c r="M5045" s="5" t="s">
        <v>33133</v>
      </c>
      <c r="N5045" s="7" t="s">
        <v>33134</v>
      </c>
      <c r="O5045" s="8" t="str">
        <f>HYPERLINK("https://drive.google.com/file/d/14vpud6aaUM4JjjC7kwEufCzwSw7MVU1N/view?usp=drivesdk","5044_SRI NURTINI, A.Md _ SERTIFIKAT BerAKHLAK")</f>
        <v>5044_SRI NURTINI, A.Md _ SERTIFIKAT BerAKHLAK</v>
      </c>
      <c r="P5045" s="5" t="s">
        <v>33113</v>
      </c>
    </row>
    <row r="5046">
      <c r="A5046" s="4">
        <v>45534.35610564815</v>
      </c>
      <c r="B5046" s="5" t="s">
        <v>34</v>
      </c>
      <c r="D5046" s="5" t="s">
        <v>1206</v>
      </c>
      <c r="E5046" s="5" t="s">
        <v>33135</v>
      </c>
      <c r="F5046" s="5" t="s">
        <v>212</v>
      </c>
      <c r="G5046" s="5" t="s">
        <v>33136</v>
      </c>
      <c r="H5046" s="6" t="s">
        <v>33137</v>
      </c>
      <c r="I5046" s="7" t="s">
        <v>33138</v>
      </c>
      <c r="J5046" s="8" t="str">
        <f>HYPERLINK("https://drive.google.com/file/d/11eqUr9VEg3ZTvIIB6cWjJJ7qEpIS9swr/view?usp=drivesdk","AGUS PURWANTO  SERTIFIKAT BerAKHLAK")</f>
        <v>AGUS PURWANTO  SERTIFIKAT BerAKHLAK</v>
      </c>
      <c r="K5046" s="5" t="s">
        <v>32413</v>
      </c>
      <c r="L5046" s="5" t="s">
        <v>33139</v>
      </c>
      <c r="M5046" s="5" t="s">
        <v>33140</v>
      </c>
      <c r="N5046" s="7" t="s">
        <v>33141</v>
      </c>
      <c r="O5046" s="8" t="str">
        <f>HYPERLINK("https://drive.google.com/file/d/1qNtLRUAq245BGgD7ZZJkJWc1SW5r3BU9/view?usp=drivesdk","5045_AGUS PURWANTO  _ SERTIFIKAT BerAKHLAK")</f>
        <v>5045_AGUS PURWANTO  _ SERTIFIKAT BerAKHLAK</v>
      </c>
      <c r="P5046" s="5" t="s">
        <v>33113</v>
      </c>
    </row>
    <row r="5047">
      <c r="A5047" s="4">
        <v>45534.35610726852</v>
      </c>
      <c r="B5047" s="5" t="s">
        <v>34</v>
      </c>
      <c r="D5047" s="5" t="s">
        <v>12010</v>
      </c>
      <c r="E5047" s="5" t="s">
        <v>33142</v>
      </c>
      <c r="F5047" s="5" t="s">
        <v>715</v>
      </c>
      <c r="G5047" s="5" t="s">
        <v>33143</v>
      </c>
      <c r="H5047" s="6" t="s">
        <v>33144</v>
      </c>
      <c r="K5047" s="5" t="s">
        <v>33145</v>
      </c>
      <c r="M5047" s="5" t="s">
        <v>33146</v>
      </c>
      <c r="N5047" s="7" t="s">
        <v>33147</v>
      </c>
      <c r="O5047" s="8" t="str">
        <f>HYPERLINK("https://drive.google.com/file/d/1PEyKv9i_XWxiTP4GH-r0R6zZp33Inysb/view?usp=drivesdk","5046_HESPIN ANTU, S.E _ SERTIFIKAT BerAKHLAK")</f>
        <v>5046_HESPIN ANTU, S.E _ SERTIFIKAT BerAKHLAK</v>
      </c>
      <c r="P5047" s="5" t="s">
        <v>33148</v>
      </c>
    </row>
    <row r="5048">
      <c r="A5048" s="4">
        <v>45534.35610797454</v>
      </c>
      <c r="B5048" s="5" t="s">
        <v>34</v>
      </c>
      <c r="D5048" s="5" t="s">
        <v>14424</v>
      </c>
      <c r="E5048" s="5" t="s">
        <v>33149</v>
      </c>
      <c r="F5048" s="5" t="s">
        <v>72</v>
      </c>
      <c r="G5048" s="5" t="s">
        <v>33150</v>
      </c>
      <c r="H5048" s="6" t="s">
        <v>33151</v>
      </c>
      <c r="K5048" s="5" t="s">
        <v>33145</v>
      </c>
      <c r="M5048" s="5" t="s">
        <v>33152</v>
      </c>
      <c r="N5048" s="7" t="s">
        <v>33153</v>
      </c>
      <c r="O5048" s="8" t="str">
        <f>HYPERLINK("https://drive.google.com/file/d/11APU70uRJ4VA8jCQlsQJXy15S-wEi5N0/view?usp=drivesdk","5047_WAWAN KURNIAWAN, S.E _ SERTIFIKAT BerAKHLAK")</f>
        <v>5047_WAWAN KURNIAWAN, S.E _ SERTIFIKAT BerAKHLAK</v>
      </c>
      <c r="P5048" s="5" t="s">
        <v>33148</v>
      </c>
    </row>
    <row r="5049">
      <c r="A5049" s="4">
        <v>45534.35611233796</v>
      </c>
      <c r="B5049" s="5" t="s">
        <v>34</v>
      </c>
      <c r="D5049" s="5" t="s">
        <v>701</v>
      </c>
      <c r="E5049" s="5" t="s">
        <v>10400</v>
      </c>
      <c r="F5049" s="5" t="s">
        <v>715</v>
      </c>
      <c r="G5049" s="5" t="s">
        <v>33154</v>
      </c>
      <c r="H5049" s="6" t="s">
        <v>33155</v>
      </c>
      <c r="K5049" s="5" t="s">
        <v>33145</v>
      </c>
      <c r="M5049" s="5" t="s">
        <v>33156</v>
      </c>
      <c r="N5049" s="7" t="s">
        <v>33157</v>
      </c>
      <c r="O5049" s="8" t="str">
        <f>HYPERLINK("https://drive.google.com/file/d/1cXAFItQRYfwc1e1IYlof0WkIi0f-MJKb/view?usp=drivesdk","5048_SRI HANDAYANI, S.E. _ SERTIFIKAT BerAKHLAK")</f>
        <v>5048_SRI HANDAYANI, S.E. _ SERTIFIKAT BerAKHLAK</v>
      </c>
      <c r="P5049" s="5" t="s">
        <v>33148</v>
      </c>
    </row>
    <row r="5050">
      <c r="A5050" s="4">
        <v>45534.35612314814</v>
      </c>
      <c r="B5050" s="5" t="s">
        <v>34</v>
      </c>
      <c r="D5050" s="5" t="s">
        <v>1206</v>
      </c>
      <c r="E5050" s="5" t="s">
        <v>33158</v>
      </c>
      <c r="F5050" s="5" t="s">
        <v>37</v>
      </c>
      <c r="G5050" s="5" t="s">
        <v>33159</v>
      </c>
      <c r="H5050" s="6" t="s">
        <v>33160</v>
      </c>
      <c r="K5050" s="5" t="s">
        <v>33145</v>
      </c>
      <c r="M5050" s="5" t="s">
        <v>33161</v>
      </c>
      <c r="N5050" s="7" t="s">
        <v>33162</v>
      </c>
      <c r="O5050" s="8" t="str">
        <f>HYPERLINK("https://drive.google.com/file/d/1pM7U1vuFxxPerEtsWnJC4Nu--ryIjHIN/view?usp=drivesdk","5049_HANDIK PRASETYO _ SERTIFIKAT BerAKHLAK")</f>
        <v>5049_HANDIK PRASETYO _ SERTIFIKAT BerAKHLAK</v>
      </c>
      <c r="P5050" s="5" t="s">
        <v>33148</v>
      </c>
    </row>
    <row r="5051">
      <c r="A5051" s="4">
        <v>45534.356149687505</v>
      </c>
      <c r="B5051" s="5" t="s">
        <v>34</v>
      </c>
      <c r="D5051" s="5" t="s">
        <v>9020</v>
      </c>
      <c r="E5051" s="5" t="s">
        <v>33163</v>
      </c>
      <c r="F5051" s="5" t="s">
        <v>37</v>
      </c>
      <c r="G5051" s="5" t="s">
        <v>33164</v>
      </c>
      <c r="H5051" s="6" t="s">
        <v>33165</v>
      </c>
      <c r="I5051" s="7" t="s">
        <v>33166</v>
      </c>
      <c r="J5051" s="8" t="str">
        <f>HYPERLINK("https://drive.google.com/file/d/1Ti_-poYj4JE0Mhdj1VnPpkbRcWxjCKXy/view?usp=drivesdk","ELIDAWATI SIMANJUNTAK SERTIFIKAT BerAKHLAK")</f>
        <v>ELIDAWATI SIMANJUNTAK SERTIFIKAT BerAKHLAK</v>
      </c>
      <c r="K5051" s="5" t="s">
        <v>32413</v>
      </c>
      <c r="L5051" s="5" t="s">
        <v>33167</v>
      </c>
      <c r="M5051" s="5" t="s">
        <v>33168</v>
      </c>
      <c r="N5051" s="7" t="s">
        <v>33169</v>
      </c>
      <c r="O5051" s="8" t="str">
        <f>HYPERLINK("https://drive.google.com/file/d/1MsYwViWbtES7hkr6yvy0zvy9u8oCGx_q/view?usp=drivesdk","5050_ELIDAWATI SIMANJUNTAK _ SERTIFIKAT BerAKHLAK")</f>
        <v>5050_ELIDAWATI SIMANJUNTAK _ SERTIFIKAT BerAKHLAK</v>
      </c>
      <c r="P5051" s="5" t="s">
        <v>33148</v>
      </c>
    </row>
    <row r="5052" hidden="1">
      <c r="A5052" s="4">
        <v>45534.35616510417</v>
      </c>
      <c r="B5052" s="5" t="s">
        <v>19</v>
      </c>
      <c r="C5052" s="5" t="s">
        <v>30588</v>
      </c>
      <c r="E5052" s="5" t="s">
        <v>32479</v>
      </c>
      <c r="F5052" s="5" t="s">
        <v>375</v>
      </c>
      <c r="G5052" s="5" t="s">
        <v>32480</v>
      </c>
      <c r="H5052" s="6" t="s">
        <v>33170</v>
      </c>
      <c r="I5052" s="7" t="s">
        <v>33171</v>
      </c>
      <c r="J5052" s="8" t="str">
        <f>HYPERLINK("https://drive.google.com/file/d/1U-pkepmUBIxpAV2bAevZEi-3QZPpeEP8/view?usp=drivesdk","NGATNI HARYATI SERTIFIKAT BerAKHLAK")</f>
        <v>NGATNI HARYATI SERTIFIKAT BerAKHLAK</v>
      </c>
      <c r="K5052" s="5" t="s">
        <v>32413</v>
      </c>
      <c r="L5052" s="5" t="s">
        <v>33172</v>
      </c>
      <c r="M5052" s="5" t="s">
        <v>33173</v>
      </c>
      <c r="N5052" s="7" t="s">
        <v>33174</v>
      </c>
      <c r="O5052" s="8" t="str">
        <f>HYPERLINK("https://drive.google.com/file/d/1lS1tBxgnjn2n72C3p2znLyRXUbMHFo3Y/view?usp=drivesdk","5051_NGATNI HARYATI _ SERTIFIKAT BerAKHLAK")</f>
        <v>5051_NGATNI HARYATI _ SERTIFIKAT BerAKHLAK</v>
      </c>
      <c r="P5052" s="5" t="s">
        <v>33175</v>
      </c>
    </row>
    <row r="5053">
      <c r="A5053" s="4">
        <v>45534.35618081018</v>
      </c>
      <c r="B5053" s="5" t="s">
        <v>34</v>
      </c>
      <c r="D5053" s="5" t="s">
        <v>35</v>
      </c>
      <c r="E5053" s="5" t="s">
        <v>33176</v>
      </c>
      <c r="F5053" s="5" t="s">
        <v>37</v>
      </c>
      <c r="G5053" s="5" t="s">
        <v>33177</v>
      </c>
      <c r="H5053" s="6" t="s">
        <v>33178</v>
      </c>
      <c r="K5053" s="5" t="s">
        <v>33179</v>
      </c>
      <c r="M5053" s="5" t="s">
        <v>33180</v>
      </c>
      <c r="N5053" s="7" t="s">
        <v>33181</v>
      </c>
      <c r="O5053" s="8" t="str">
        <f>HYPERLINK("https://drive.google.com/file/d/1H6U__j93H_PnKQy2hCb6xRrfJ2CxNJtG/view?usp=drivesdk","5052_RESTI JULIANTI, A.MD. RMIK _ SERTIFIKAT BerAKHLAK")</f>
        <v>5052_RESTI JULIANTI, A.MD. RMIK _ SERTIFIKAT BerAKHLAK</v>
      </c>
      <c r="P5053" s="5" t="s">
        <v>33175</v>
      </c>
    </row>
    <row r="5054">
      <c r="A5054" s="4">
        <v>45534.356182766205</v>
      </c>
      <c r="B5054" s="5" t="s">
        <v>34</v>
      </c>
      <c r="D5054" s="5" t="s">
        <v>4775</v>
      </c>
      <c r="E5054" s="5" t="s">
        <v>33182</v>
      </c>
      <c r="F5054" s="5" t="s">
        <v>37</v>
      </c>
      <c r="G5054" s="5" t="s">
        <v>33183</v>
      </c>
      <c r="H5054" s="6" t="s">
        <v>33184</v>
      </c>
      <c r="I5054" s="7" t="s">
        <v>33185</v>
      </c>
      <c r="J5054" s="8" t="str">
        <f>HYPERLINK("https://drive.google.com/file/d/1AKZtcGDGY_3oJrGzWGvazWbluxTiI0AW/view?usp=drivesdk","SABAR SANTOSO.A.Md.Farm SERTIFIKAT BerAKHLAK")</f>
        <v>SABAR SANTOSO.A.Md.Farm SERTIFIKAT BerAKHLAK</v>
      </c>
      <c r="K5054" s="5" t="s">
        <v>32413</v>
      </c>
      <c r="L5054" s="5" t="s">
        <v>33186</v>
      </c>
      <c r="M5054" s="5" t="s">
        <v>33187</v>
      </c>
      <c r="N5054" s="7" t="s">
        <v>33188</v>
      </c>
      <c r="O5054" s="8" t="str">
        <f>HYPERLINK("https://drive.google.com/file/d/1Gjeeje5XF51HptaiNSq5K2dmwcglYdVd/view?usp=drivesdk","5053_SABAR SANTOSO.A.Md.Farm _ SERTIFIKAT BerAKHLAK")</f>
        <v>5053_SABAR SANTOSO.A.Md.Farm _ SERTIFIKAT BerAKHLAK</v>
      </c>
      <c r="P5054" s="5" t="s">
        <v>33175</v>
      </c>
    </row>
    <row r="5055">
      <c r="A5055" s="4">
        <v>45534.3561834375</v>
      </c>
      <c r="B5055" s="5" t="s">
        <v>34</v>
      </c>
      <c r="D5055" s="5" t="s">
        <v>1558</v>
      </c>
      <c r="E5055" s="5" t="s">
        <v>33189</v>
      </c>
      <c r="F5055" s="5" t="s">
        <v>375</v>
      </c>
      <c r="G5055" s="5" t="s">
        <v>33190</v>
      </c>
      <c r="H5055" s="6" t="s">
        <v>33191</v>
      </c>
      <c r="I5055" s="7" t="s">
        <v>33192</v>
      </c>
      <c r="J5055" s="8" t="str">
        <f>HYPERLINK("https://drive.google.com/file/d/1hHBb8Udeopxld_15fn0vmqa6A_8hFowx/view?usp=drivesdk","SINDANG SARI PERTIWI SE SERTIFIKAT BerAKHLAK")</f>
        <v>SINDANG SARI PERTIWI SE SERTIFIKAT BerAKHLAK</v>
      </c>
      <c r="K5055" s="5" t="s">
        <v>32413</v>
      </c>
      <c r="L5055" s="5" t="s">
        <v>33193</v>
      </c>
      <c r="M5055" s="5" t="s">
        <v>33194</v>
      </c>
      <c r="N5055" s="7" t="s">
        <v>33195</v>
      </c>
      <c r="O5055" s="8" t="str">
        <f>HYPERLINK("https://drive.google.com/file/d/1POdDq4O4gZ5WR4k-muZdR5xSOrIXyBAe/view?usp=drivesdk","5054_SINDANG SARI PERTIWI SE _ SERTIFIKAT BerAKHLAK")</f>
        <v>5054_SINDANG SARI PERTIWI SE _ SERTIFIKAT BerAKHLAK</v>
      </c>
      <c r="P5055" s="5" t="s">
        <v>33175</v>
      </c>
    </row>
    <row r="5056">
      <c r="A5056" s="4">
        <v>45534.35618689815</v>
      </c>
      <c r="B5056" s="5" t="s">
        <v>34</v>
      </c>
      <c r="D5056" s="5" t="s">
        <v>4775</v>
      </c>
      <c r="E5056" s="5" t="s">
        <v>33196</v>
      </c>
      <c r="F5056" s="5" t="s">
        <v>120</v>
      </c>
      <c r="G5056" s="5" t="s">
        <v>33197</v>
      </c>
      <c r="H5056" s="6" t="s">
        <v>33198</v>
      </c>
      <c r="K5056" s="5" t="s">
        <v>33199</v>
      </c>
      <c r="M5056" s="5" t="s">
        <v>33200</v>
      </c>
      <c r="N5056" s="7" t="s">
        <v>33201</v>
      </c>
      <c r="O5056" s="8" t="str">
        <f>HYPERLINK("https://drive.google.com/file/d/1BnjXCJzAonE_Kb8VBrSpALHd7MzNCOWh/view?usp=drivesdk","5055_DRG.ANNI NURHADIYATI _ SERTIFIKAT BerAKHLAK")</f>
        <v>5055_DRG.ANNI NURHADIYATI _ SERTIFIKAT BerAKHLAK</v>
      </c>
      <c r="P5056" s="5" t="s">
        <v>33175</v>
      </c>
    </row>
    <row r="5057">
      <c r="A5057" s="4">
        <v>45534.35619142361</v>
      </c>
      <c r="B5057" s="5" t="s">
        <v>34</v>
      </c>
      <c r="D5057" s="5" t="s">
        <v>1206</v>
      </c>
      <c r="E5057" s="5" t="s">
        <v>33202</v>
      </c>
      <c r="F5057" s="5" t="s">
        <v>37</v>
      </c>
      <c r="G5057" s="5" t="s">
        <v>33203</v>
      </c>
      <c r="H5057" s="6" t="s">
        <v>33204</v>
      </c>
      <c r="K5057" s="5" t="s">
        <v>33199</v>
      </c>
      <c r="M5057" s="5" t="s">
        <v>33205</v>
      </c>
      <c r="N5057" s="7" t="s">
        <v>33206</v>
      </c>
      <c r="O5057" s="8" t="str">
        <f>HYPERLINK("https://drive.google.com/file/d/1XxgvZ64sAwJO4ECYdDtEmThQ8VmVM9eg/view?usp=drivesdk","5056_DIDIK ZUNAIDI _ SERTIFIKAT BerAKHLAK")</f>
        <v>5056_DIDIK ZUNAIDI _ SERTIFIKAT BerAKHLAK</v>
      </c>
      <c r="P5057" s="5" t="s">
        <v>33207</v>
      </c>
    </row>
    <row r="5058">
      <c r="A5058" s="4">
        <v>45534.35619313657</v>
      </c>
      <c r="B5058" s="5" t="s">
        <v>34</v>
      </c>
      <c r="D5058" s="5" t="s">
        <v>7858</v>
      </c>
      <c r="E5058" s="5" t="s">
        <v>33208</v>
      </c>
      <c r="F5058" s="5" t="s">
        <v>212</v>
      </c>
      <c r="G5058" s="5" t="s">
        <v>33209</v>
      </c>
      <c r="H5058" s="6" t="s">
        <v>33210</v>
      </c>
      <c r="K5058" s="5" t="s">
        <v>33199</v>
      </c>
      <c r="M5058" s="5" t="s">
        <v>33211</v>
      </c>
      <c r="N5058" s="7" t="s">
        <v>33212</v>
      </c>
      <c r="O5058" s="8" t="str">
        <f>HYPERLINK("https://drive.google.com/file/d/1fkdeSTMbA5_eeV7zmQnBpgf1acAX34v5/view?usp=drivesdk","5057_NIDA NADIATHUL CONITA SHOLIHAH., S.ST.Keb _ SERTIFIKAT BerAKHLAK")</f>
        <v>5057_NIDA NADIATHUL CONITA SHOLIHAH., S.ST.Keb _ SERTIFIKAT BerAKHLAK</v>
      </c>
      <c r="P5058" s="5" t="s">
        <v>33207</v>
      </c>
    </row>
    <row r="5059">
      <c r="A5059" s="4">
        <v>45534.356194259264</v>
      </c>
      <c r="B5059" s="5" t="s">
        <v>34</v>
      </c>
      <c r="D5059" s="5" t="s">
        <v>14424</v>
      </c>
      <c r="E5059" s="5" t="s">
        <v>33213</v>
      </c>
      <c r="F5059" s="5" t="s">
        <v>108</v>
      </c>
      <c r="G5059" s="5" t="s">
        <v>33214</v>
      </c>
      <c r="H5059" s="6" t="s">
        <v>33215</v>
      </c>
      <c r="K5059" s="5" t="s">
        <v>33199</v>
      </c>
      <c r="M5059" s="5" t="s">
        <v>33216</v>
      </c>
      <c r="N5059" s="7" t="s">
        <v>33217</v>
      </c>
      <c r="O5059" s="8" t="str">
        <f>HYPERLINK("https://drive.google.com/file/d/1GkKkclruu8DDa7Q7PPh20B465Grto3wx/view?usp=drivesdk","5058_dr. FARIS AKBAR ANTHONY  _ SERTIFIKAT BerAKHLAK")</f>
        <v>5058_dr. FARIS AKBAR ANTHONY  _ SERTIFIKAT BerAKHLAK</v>
      </c>
      <c r="P5059" s="5" t="s">
        <v>33207</v>
      </c>
    </row>
    <row r="5060">
      <c r="A5060" s="4">
        <v>45534.35621241898</v>
      </c>
      <c r="B5060" s="5" t="s">
        <v>34</v>
      </c>
      <c r="D5060" s="5" t="s">
        <v>4775</v>
      </c>
      <c r="E5060" s="5" t="s">
        <v>33218</v>
      </c>
      <c r="F5060" s="5" t="s">
        <v>212</v>
      </c>
      <c r="G5060" s="5" t="s">
        <v>33219</v>
      </c>
      <c r="H5060" s="6" t="s">
        <v>33220</v>
      </c>
      <c r="K5060" s="5" t="s">
        <v>33199</v>
      </c>
      <c r="M5060" s="5" t="s">
        <v>33221</v>
      </c>
      <c r="N5060" s="7" t="s">
        <v>33222</v>
      </c>
      <c r="O5060" s="8" t="str">
        <f>HYPERLINK("https://drive.google.com/file/d/1Mosi74qcvxifnPmEdsUe496ByKY_XqVG/view?usp=drivesdk","5059_ANDIK SUDARYANTO _ SERTIFIKAT BerAKHLAK")</f>
        <v>5059_ANDIK SUDARYANTO _ SERTIFIKAT BerAKHLAK</v>
      </c>
      <c r="P5060" s="5" t="s">
        <v>33207</v>
      </c>
    </row>
    <row r="5061">
      <c r="A5061" s="4">
        <v>45534.35622540509</v>
      </c>
      <c r="B5061" s="5" t="s">
        <v>34</v>
      </c>
      <c r="D5061" s="5" t="s">
        <v>1206</v>
      </c>
      <c r="E5061" s="5" t="s">
        <v>33223</v>
      </c>
      <c r="F5061" s="5" t="s">
        <v>72</v>
      </c>
      <c r="G5061" s="5" t="s">
        <v>33224</v>
      </c>
      <c r="H5061" s="6" t="s">
        <v>33225</v>
      </c>
      <c r="I5061" s="7" t="s">
        <v>33226</v>
      </c>
      <c r="J5061" s="8" t="str">
        <f>HYPERLINK("https://drive.google.com/file/d/15dxu3zspe7LkBMkGq2okvM9sqqfhqRJl/view?usp=drivesdk","KUKUK DYAH KUSUMANINGRUM, S.Sos SERTIFIKAT BerAKHLAK")</f>
        <v>KUKUK DYAH KUSUMANINGRUM, S.Sos SERTIFIKAT BerAKHLAK</v>
      </c>
      <c r="K5061" s="5" t="s">
        <v>32413</v>
      </c>
      <c r="L5061" s="5" t="s">
        <v>33227</v>
      </c>
      <c r="M5061" s="5" t="s">
        <v>33228</v>
      </c>
      <c r="N5061" s="7" t="s">
        <v>33229</v>
      </c>
      <c r="O5061" s="8" t="str">
        <f>HYPERLINK("https://drive.google.com/file/d/18k765H20vareeR03RrNxM3GfaKHyx5Zq/view?usp=drivesdk","5060_KUKUK DYAH KUSUMANINGRUM, S.Sos _ SERTIFIKAT BerAKHLAK")</f>
        <v>5060_KUKUK DYAH KUSUMANINGRUM, S.Sos _ SERTIFIKAT BerAKHLAK</v>
      </c>
      <c r="P5061" s="5" t="s">
        <v>33230</v>
      </c>
    </row>
    <row r="5062">
      <c r="A5062" s="4">
        <v>45534.35623149306</v>
      </c>
      <c r="B5062" s="5" t="s">
        <v>34</v>
      </c>
      <c r="D5062" s="5" t="s">
        <v>35</v>
      </c>
      <c r="E5062" s="5" t="s">
        <v>33231</v>
      </c>
      <c r="F5062" s="5" t="s">
        <v>108</v>
      </c>
      <c r="G5062" s="5" t="s">
        <v>33232</v>
      </c>
      <c r="H5062" s="6" t="s">
        <v>33233</v>
      </c>
      <c r="I5062" s="7" t="s">
        <v>33234</v>
      </c>
      <c r="J5062" s="8" t="str">
        <f>HYPERLINK("https://drive.google.com/file/d/12VYmRGeDggvD5O6b5o9jsis2sLQhrpFp/view?usp=drivesdk","EKA APRILIA PURWANINGSIH, S.KOM SERTIFIKAT BerAKHLAK")</f>
        <v>EKA APRILIA PURWANINGSIH, S.KOM SERTIFIKAT BerAKHLAK</v>
      </c>
      <c r="K5062" s="5" t="s">
        <v>32413</v>
      </c>
      <c r="L5062" s="5" t="s">
        <v>33235</v>
      </c>
      <c r="M5062" s="5" t="s">
        <v>33236</v>
      </c>
      <c r="N5062" s="7" t="s">
        <v>33237</v>
      </c>
      <c r="O5062" s="8" t="str">
        <f>HYPERLINK("https://drive.google.com/file/d/1emfQGRXxXhg9R-G5hcZd-A2D-D_lVznQ/view?usp=drivesdk","5061_EKA APRILIA PURWANINGSIH, S.KOM _ SERTIFIKAT BerAKHLAK")</f>
        <v>5061_EKA APRILIA PURWANINGSIH, S.KOM _ SERTIFIKAT BerAKHLAK</v>
      </c>
      <c r="P5062" s="5" t="s">
        <v>33230</v>
      </c>
    </row>
    <row r="5063">
      <c r="A5063" s="4">
        <v>45534.35625306713</v>
      </c>
      <c r="B5063" s="5" t="s">
        <v>34</v>
      </c>
      <c r="D5063" s="5" t="s">
        <v>4775</v>
      </c>
      <c r="E5063" s="5" t="s">
        <v>33238</v>
      </c>
      <c r="F5063" s="5" t="s">
        <v>108</v>
      </c>
      <c r="G5063" s="5" t="s">
        <v>33239</v>
      </c>
      <c r="H5063" s="6" t="s">
        <v>33240</v>
      </c>
      <c r="K5063" s="5" t="s">
        <v>33241</v>
      </c>
      <c r="M5063" s="5" t="s">
        <v>33242</v>
      </c>
      <c r="N5063" s="7" t="s">
        <v>33243</v>
      </c>
      <c r="O5063" s="8" t="str">
        <f>HYPERLINK("https://drive.google.com/file/d/1S9o6vqrUe-yFOE0MwtRJCB-s-A7OBQ2Z/view?usp=drivesdk","5062_RETNO ISMAWATI AM.F _ SERTIFIKAT BerAKHLAK")</f>
        <v>5062_RETNO ISMAWATI AM.F _ SERTIFIKAT BerAKHLAK</v>
      </c>
      <c r="P5063" s="5" t="s">
        <v>33230</v>
      </c>
    </row>
    <row r="5064" hidden="1">
      <c r="A5064" s="4">
        <v>45534.35626927084</v>
      </c>
      <c r="B5064" s="5" t="s">
        <v>19</v>
      </c>
      <c r="C5064" s="5" t="s">
        <v>466</v>
      </c>
      <c r="E5064" s="5" t="s">
        <v>33244</v>
      </c>
      <c r="F5064" s="5" t="s">
        <v>375</v>
      </c>
      <c r="G5064" s="5" t="s">
        <v>33245</v>
      </c>
      <c r="H5064" s="6" t="s">
        <v>33246</v>
      </c>
      <c r="K5064" s="5" t="s">
        <v>33247</v>
      </c>
      <c r="M5064" s="5" t="s">
        <v>33248</v>
      </c>
      <c r="N5064" s="7" t="s">
        <v>33249</v>
      </c>
      <c r="O5064" s="8" t="str">
        <f>HYPERLINK("https://drive.google.com/file/d/1Y_Kj_aEfU4RCYj0gduboSWVxkipGfab9/view?usp=drivesdk","5063_EKO MARDIHARTOPO _ SERTIFIKAT BerAKHLAK")</f>
        <v>5063_EKO MARDIHARTOPO _ SERTIFIKAT BerAKHLAK</v>
      </c>
      <c r="P5064" s="5" t="s">
        <v>33230</v>
      </c>
    </row>
    <row r="5065" hidden="1">
      <c r="A5065" s="4">
        <v>45534.35627265046</v>
      </c>
      <c r="B5065" s="5" t="s">
        <v>19</v>
      </c>
      <c r="C5065" s="5" t="s">
        <v>292</v>
      </c>
      <c r="E5065" s="5" t="s">
        <v>33250</v>
      </c>
      <c r="F5065" s="5" t="s">
        <v>37</v>
      </c>
      <c r="G5065" s="5" t="s">
        <v>33251</v>
      </c>
      <c r="H5065" s="6" t="s">
        <v>33252</v>
      </c>
      <c r="I5065" s="7" t="s">
        <v>33253</v>
      </c>
      <c r="J5065" s="8" t="str">
        <f>HYPERLINK("https://drive.google.com/file/d/1YKBvb6pHzkXucgnRDiJLS-CFTu1IgP9H/view?usp=drivesdk","YAJID SETIYONO SERTIFIKAT BerAKHLAK")</f>
        <v>YAJID SETIYONO SERTIFIKAT BerAKHLAK</v>
      </c>
      <c r="K5065" s="5" t="s">
        <v>32413</v>
      </c>
      <c r="L5065" s="5" t="s">
        <v>33254</v>
      </c>
      <c r="M5065" s="5" t="s">
        <v>33255</v>
      </c>
      <c r="N5065" s="7" t="s">
        <v>33256</v>
      </c>
      <c r="O5065" s="8" t="str">
        <f>HYPERLINK("https://drive.google.com/file/d/1BTOENILw9aODlmAZ3ZlAeagBtup0INOL/view?usp=drivesdk","5064_YAJID SETIYONO _ SERTIFIKAT BerAKHLAK")</f>
        <v>5064_YAJID SETIYONO _ SERTIFIKAT BerAKHLAK</v>
      </c>
      <c r="P5065" s="5" t="s">
        <v>33230</v>
      </c>
    </row>
    <row r="5066">
      <c r="A5066" s="4">
        <v>45534.356282673616</v>
      </c>
      <c r="B5066" s="5" t="s">
        <v>34</v>
      </c>
      <c r="D5066" s="5" t="s">
        <v>12978</v>
      </c>
      <c r="E5066" s="5" t="s">
        <v>33257</v>
      </c>
      <c r="F5066" s="5" t="s">
        <v>212</v>
      </c>
      <c r="G5066" s="5" t="s">
        <v>33258</v>
      </c>
      <c r="H5066" s="6" t="s">
        <v>33259</v>
      </c>
      <c r="I5066" s="7" t="s">
        <v>33260</v>
      </c>
      <c r="J5066" s="8" t="str">
        <f>HYPERLINK("https://drive.google.com/file/d/15EkPeBDN5tWdFQJBTNaeA46sqPueGWQu/view?usp=drivesdk","SRI MURNI, SH SERTIFIKAT BerAKHLAK")</f>
        <v>SRI MURNI, SH SERTIFIKAT BerAKHLAK</v>
      </c>
      <c r="K5066" s="5" t="s">
        <v>32413</v>
      </c>
      <c r="L5066" s="5" t="s">
        <v>33261</v>
      </c>
      <c r="M5066" s="5" t="s">
        <v>33262</v>
      </c>
      <c r="N5066" s="7" t="s">
        <v>33263</v>
      </c>
      <c r="O5066" s="8" t="str">
        <f>HYPERLINK("https://drive.google.com/file/d/1-pY9SAxYFzszecMQCFjJ_OUvmVFLDeiF/view?usp=drivesdk","5065_SRI MURNI, SH _ SERTIFIKAT BerAKHLAK")</f>
        <v>5065_SRI MURNI, SH _ SERTIFIKAT BerAKHLAK</v>
      </c>
      <c r="P5066" s="5" t="s">
        <v>33230</v>
      </c>
    </row>
    <row r="5067">
      <c r="A5067" s="4">
        <v>45534.35630488426</v>
      </c>
      <c r="B5067" s="5" t="s">
        <v>34</v>
      </c>
      <c r="D5067" s="5" t="s">
        <v>1206</v>
      </c>
      <c r="E5067" s="5" t="s">
        <v>33264</v>
      </c>
      <c r="F5067" s="5" t="s">
        <v>72</v>
      </c>
      <c r="G5067" s="5" t="s">
        <v>33265</v>
      </c>
      <c r="H5067" s="6" t="s">
        <v>33266</v>
      </c>
      <c r="K5067" s="5" t="s">
        <v>32420</v>
      </c>
      <c r="M5067" s="5" t="s">
        <v>33267</v>
      </c>
      <c r="N5067" s="7" t="s">
        <v>33268</v>
      </c>
      <c r="O5067" s="8" t="str">
        <f>HYPERLINK("https://drive.google.com/file/d/1BVcqYiA8zCuHjDbhtKLZ1R4a58j6R8US/view?usp=drivesdk","5066_ARIFIN AGUS WALUYO _ SERTIFIKAT BerAKHLAK")</f>
        <v>5066_ARIFIN AGUS WALUYO _ SERTIFIKAT BerAKHLAK</v>
      </c>
      <c r="P5067" s="5" t="s">
        <v>33269</v>
      </c>
    </row>
    <row r="5068">
      <c r="A5068" s="4">
        <v>45534.35630986111</v>
      </c>
      <c r="B5068" s="5" t="s">
        <v>34</v>
      </c>
      <c r="D5068" s="5" t="s">
        <v>12978</v>
      </c>
      <c r="E5068" s="5" t="s">
        <v>33270</v>
      </c>
      <c r="F5068" s="5" t="s">
        <v>212</v>
      </c>
      <c r="G5068" s="5" t="s">
        <v>33271</v>
      </c>
      <c r="H5068" s="6" t="s">
        <v>33272</v>
      </c>
      <c r="K5068" s="5" t="s">
        <v>32420</v>
      </c>
      <c r="M5068" s="5" t="s">
        <v>33273</v>
      </c>
      <c r="N5068" s="7" t="s">
        <v>33274</v>
      </c>
      <c r="O5068" s="8" t="str">
        <f>HYPERLINK("https://drive.google.com/file/d/1kRS49MQkcoqCHBO-y3Cn1T0Nz6qYdJnn/view?usp=drivesdk","5067_SUMANTRI _ SERTIFIKAT BerAKHLAK")</f>
        <v>5067_SUMANTRI _ SERTIFIKAT BerAKHLAK</v>
      </c>
      <c r="P5068" s="5" t="s">
        <v>33269</v>
      </c>
    </row>
    <row r="5069" hidden="1">
      <c r="A5069" s="4">
        <v>45534.356314178236</v>
      </c>
      <c r="B5069" s="5" t="s">
        <v>19</v>
      </c>
      <c r="C5069" s="5" t="s">
        <v>32901</v>
      </c>
      <c r="E5069" s="5" t="s">
        <v>33275</v>
      </c>
      <c r="F5069" s="5" t="s">
        <v>212</v>
      </c>
      <c r="G5069" s="5" t="s">
        <v>33276</v>
      </c>
      <c r="H5069" s="6" t="s">
        <v>33277</v>
      </c>
      <c r="K5069" s="5" t="s">
        <v>32420</v>
      </c>
      <c r="M5069" s="5" t="s">
        <v>33278</v>
      </c>
      <c r="N5069" s="7" t="s">
        <v>33279</v>
      </c>
      <c r="O5069" s="8" t="str">
        <f>HYPERLINK("https://drive.google.com/file/d/16h7CvsZ4xGlCqcz-id8xXR2bPSN8UjdZ/view?usp=drivesdk","5068_ANDRE PRADONO  _ SERTIFIKAT BerAKHLAK")</f>
        <v>5068_ANDRE PRADONO  _ SERTIFIKAT BerAKHLAK</v>
      </c>
      <c r="P5069" s="5" t="s">
        <v>33269</v>
      </c>
    </row>
    <row r="5070">
      <c r="A5070" s="4">
        <v>45534.35633572917</v>
      </c>
      <c r="B5070" s="5" t="s">
        <v>34</v>
      </c>
      <c r="D5070" s="5" t="s">
        <v>996</v>
      </c>
      <c r="E5070" s="5" t="s">
        <v>33280</v>
      </c>
      <c r="F5070" s="5" t="s">
        <v>212</v>
      </c>
      <c r="G5070" s="5" t="s">
        <v>33281</v>
      </c>
      <c r="H5070" s="6" t="s">
        <v>33282</v>
      </c>
      <c r="K5070" s="5" t="s">
        <v>32420</v>
      </c>
      <c r="M5070" s="5" t="s">
        <v>33283</v>
      </c>
      <c r="N5070" s="7" t="s">
        <v>33284</v>
      </c>
      <c r="O5070" s="8" t="str">
        <f>HYPERLINK("https://drive.google.com/file/d/1zriFw1x_aBO4LYS0Xdb3v3WWHm7tNAw9/view?usp=drivesdk","5069_SISKA ERBAYANTI  _ SERTIFIKAT BerAKHLAK")</f>
        <v>5069_SISKA ERBAYANTI  _ SERTIFIKAT BerAKHLAK</v>
      </c>
      <c r="P5070" s="5" t="s">
        <v>33269</v>
      </c>
    </row>
    <row r="5071">
      <c r="A5071" s="4">
        <v>45534.356341238425</v>
      </c>
      <c r="B5071" s="5" t="s">
        <v>34</v>
      </c>
      <c r="D5071" s="5" t="s">
        <v>1206</v>
      </c>
      <c r="E5071" s="5" t="s">
        <v>33285</v>
      </c>
      <c r="F5071" s="5" t="s">
        <v>199</v>
      </c>
      <c r="G5071" s="5" t="s">
        <v>33286</v>
      </c>
      <c r="H5071" s="6" t="s">
        <v>33287</v>
      </c>
      <c r="K5071" s="5" t="s">
        <v>32420</v>
      </c>
      <c r="M5071" s="5" t="s">
        <v>33288</v>
      </c>
      <c r="N5071" s="7" t="s">
        <v>33289</v>
      </c>
      <c r="O5071" s="8" t="str">
        <f>HYPERLINK("https://drive.google.com/file/d/18FcOS-S9Sfy8S3AEA42j-zLyw4yEP6K9/view?usp=drivesdk","5070_AGUS SUSILO _ SERTIFIKAT BerAKHLAK")</f>
        <v>5070_AGUS SUSILO _ SERTIFIKAT BerAKHLAK</v>
      </c>
      <c r="P5071" s="5" t="s">
        <v>33269</v>
      </c>
    </row>
    <row r="5072">
      <c r="A5072" s="4">
        <v>45534.35634597222</v>
      </c>
      <c r="B5072" s="5" t="s">
        <v>34</v>
      </c>
      <c r="D5072" s="5" t="s">
        <v>1206</v>
      </c>
      <c r="E5072" s="5" t="s">
        <v>33290</v>
      </c>
      <c r="F5072" s="5" t="s">
        <v>37</v>
      </c>
      <c r="G5072" s="5" t="s">
        <v>33291</v>
      </c>
      <c r="H5072" s="6" t="s">
        <v>33292</v>
      </c>
      <c r="K5072" s="5" t="s">
        <v>32420</v>
      </c>
      <c r="M5072" s="5" t="s">
        <v>33293</v>
      </c>
      <c r="N5072" s="7" t="s">
        <v>33294</v>
      </c>
      <c r="O5072" s="8" t="str">
        <f>HYPERLINK("https://drive.google.com/file/d/1BrhYiiwIt-YClC0FJdpSng1Ah0Kx7ZVG/view?usp=drivesdk","5071_DEASY WIDJI RAHAYU  _ SERTIFIKAT BerAKHLAK")</f>
        <v>5071_DEASY WIDJI RAHAYU  _ SERTIFIKAT BerAKHLAK</v>
      </c>
      <c r="P5072" s="5" t="s">
        <v>33269</v>
      </c>
    </row>
    <row r="5073">
      <c r="A5073" s="4">
        <v>45534.35636667824</v>
      </c>
      <c r="B5073" s="5" t="s">
        <v>34</v>
      </c>
      <c r="D5073" s="5" t="s">
        <v>6232</v>
      </c>
      <c r="E5073" s="5" t="s">
        <v>33295</v>
      </c>
      <c r="F5073" s="5" t="s">
        <v>37</v>
      </c>
      <c r="G5073" s="5" t="s">
        <v>33296</v>
      </c>
      <c r="H5073" s="6" t="s">
        <v>33297</v>
      </c>
      <c r="K5073" s="5" t="s">
        <v>33298</v>
      </c>
      <c r="M5073" s="5" t="s">
        <v>33299</v>
      </c>
      <c r="N5073" s="7" t="s">
        <v>33300</v>
      </c>
      <c r="O5073" s="8" t="str">
        <f>HYPERLINK("https://drive.google.com/file/d/1U3yEgNUNA859GfIeeS4duQZKeNpZro8E/view?usp=drivesdk","5072_UMI NURBIYANTI, AM.Kep _ SERTIFIKAT BerAKHLAK")</f>
        <v>5072_UMI NURBIYANTI, AM.Kep _ SERTIFIKAT BerAKHLAK</v>
      </c>
      <c r="P5073" s="5" t="s">
        <v>33301</v>
      </c>
    </row>
    <row r="5074">
      <c r="A5074" s="4">
        <v>45534.356369120374</v>
      </c>
      <c r="B5074" s="5" t="s">
        <v>34</v>
      </c>
      <c r="D5074" s="5" t="s">
        <v>4775</v>
      </c>
      <c r="E5074" s="5" t="s">
        <v>33302</v>
      </c>
      <c r="F5074" s="5" t="s">
        <v>524</v>
      </c>
      <c r="G5074" s="5" t="s">
        <v>33303</v>
      </c>
      <c r="H5074" s="6" t="s">
        <v>33304</v>
      </c>
      <c r="K5074" s="5" t="s">
        <v>33298</v>
      </c>
      <c r="M5074" s="5" t="s">
        <v>33305</v>
      </c>
      <c r="N5074" s="7" t="s">
        <v>33306</v>
      </c>
      <c r="O5074" s="8" t="str">
        <f>HYPERLINK("https://drive.google.com/file/d/1gmzm742bvSPzHsKT7U6-hiDeQwBMF7gd/view?usp=drivesdk","5073_HUGENG PURWATMADI, A.Md.Farm. _ SERTIFIKAT BerAKHLAK")</f>
        <v>5073_HUGENG PURWATMADI, A.Md.Farm. _ SERTIFIKAT BerAKHLAK</v>
      </c>
      <c r="P5074" s="5" t="s">
        <v>33301</v>
      </c>
    </row>
    <row r="5075">
      <c r="A5075" s="4">
        <v>45534.35637013889</v>
      </c>
      <c r="B5075" s="5" t="s">
        <v>34</v>
      </c>
      <c r="D5075" s="5" t="s">
        <v>35</v>
      </c>
      <c r="E5075" s="5" t="s">
        <v>33307</v>
      </c>
      <c r="F5075" s="5" t="s">
        <v>72</v>
      </c>
      <c r="G5075" s="5" t="s">
        <v>33308</v>
      </c>
      <c r="H5075" s="6" t="s">
        <v>33309</v>
      </c>
      <c r="K5075" s="5" t="s">
        <v>33298</v>
      </c>
      <c r="M5075" s="5" t="s">
        <v>33310</v>
      </c>
      <c r="N5075" s="7" t="s">
        <v>33311</v>
      </c>
      <c r="O5075" s="8" t="str">
        <f>HYPERLINK("https://drive.google.com/file/d/1j-ke6x44JTC-At8ljBQPuRz4CnhcBXpt/view?usp=drivesdk","5074_AHMAD NURZAMAN FAHLESA, S.Kom _ SERTIFIKAT BerAKHLAK")</f>
        <v>5074_AHMAD NURZAMAN FAHLESA, S.Kom _ SERTIFIKAT BerAKHLAK</v>
      </c>
      <c r="P5075" s="5" t="s">
        <v>33312</v>
      </c>
    </row>
    <row r="5076">
      <c r="A5076" s="4">
        <v>45534.35638456019</v>
      </c>
      <c r="B5076" s="5" t="s">
        <v>34</v>
      </c>
      <c r="D5076" s="5" t="s">
        <v>522</v>
      </c>
      <c r="E5076" s="5" t="s">
        <v>33313</v>
      </c>
      <c r="F5076" s="5" t="s">
        <v>524</v>
      </c>
      <c r="G5076" s="5" t="s">
        <v>33314</v>
      </c>
      <c r="H5076" s="6" t="s">
        <v>33315</v>
      </c>
      <c r="K5076" s="5" t="s">
        <v>33298</v>
      </c>
      <c r="M5076" s="5" t="s">
        <v>33316</v>
      </c>
      <c r="N5076" s="7" t="s">
        <v>33317</v>
      </c>
      <c r="O5076" s="8" t="str">
        <f>HYPERLINK("https://drive.google.com/file/d/1R5K279YEo1hhs3xXfD28_crePOjgcOxE/view?usp=drivesdk","5075_NYOMAN YENNY ANITA DEWI S.KEP _ SERTIFIKAT BerAKHLAK")</f>
        <v>5075_NYOMAN YENNY ANITA DEWI S.KEP _ SERTIFIKAT BerAKHLAK</v>
      </c>
      <c r="P5076" s="5" t="s">
        <v>33312</v>
      </c>
    </row>
    <row r="5077">
      <c r="A5077" s="4">
        <v>45534.35638975694</v>
      </c>
      <c r="B5077" s="5" t="s">
        <v>34</v>
      </c>
      <c r="D5077" s="5" t="s">
        <v>3849</v>
      </c>
      <c r="E5077" s="5" t="s">
        <v>33318</v>
      </c>
      <c r="F5077" s="5" t="s">
        <v>37</v>
      </c>
      <c r="G5077" s="5" t="s">
        <v>33319</v>
      </c>
      <c r="H5077" s="6" t="s">
        <v>33320</v>
      </c>
      <c r="K5077" s="5" t="s">
        <v>33298</v>
      </c>
      <c r="M5077" s="5" t="s">
        <v>33321</v>
      </c>
      <c r="N5077" s="7" t="s">
        <v>33322</v>
      </c>
      <c r="O5077" s="8" t="str">
        <f>HYPERLINK("https://drive.google.com/file/d/1ijPY3hnvjEnBwzpwDFnHXCRIRr8OIz-0/view?usp=drivesdk","5076_ADIK SITI JAYANTI _ SERTIFIKAT BerAKHLAK")</f>
        <v>5076_ADIK SITI JAYANTI _ SERTIFIKAT BerAKHLAK</v>
      </c>
      <c r="P5077" s="5" t="s">
        <v>33312</v>
      </c>
    </row>
    <row r="5078">
      <c r="A5078" s="4">
        <v>45534.356390879635</v>
      </c>
      <c r="B5078" s="5" t="s">
        <v>34</v>
      </c>
      <c r="D5078" s="5" t="s">
        <v>1206</v>
      </c>
      <c r="E5078" s="5" t="s">
        <v>33323</v>
      </c>
      <c r="F5078" s="5" t="s">
        <v>212</v>
      </c>
      <c r="G5078" s="5" t="s">
        <v>33324</v>
      </c>
      <c r="H5078" s="6" t="s">
        <v>33325</v>
      </c>
      <c r="K5078" s="5" t="s">
        <v>33298</v>
      </c>
      <c r="M5078" s="5" t="s">
        <v>33326</v>
      </c>
      <c r="N5078" s="7" t="s">
        <v>33327</v>
      </c>
      <c r="O5078" s="8" t="str">
        <f>HYPERLINK("https://drive.google.com/file/d/1b4xsHfLHzngkih9s1UnsOLPSS-yYesvp/view?usp=drivesdk","5077_SUSANTI WULAN YULI _ SERTIFIKAT BerAKHLAK")</f>
        <v>5077_SUSANTI WULAN YULI _ SERTIFIKAT BerAKHLAK</v>
      </c>
      <c r="P5078" s="5" t="s">
        <v>33312</v>
      </c>
    </row>
    <row r="5079">
      <c r="A5079" s="4">
        <v>45534.35640087963</v>
      </c>
      <c r="B5079" s="5" t="s">
        <v>34</v>
      </c>
      <c r="D5079" s="5" t="s">
        <v>12978</v>
      </c>
      <c r="E5079" s="5" t="s">
        <v>33328</v>
      </c>
      <c r="F5079" s="5" t="s">
        <v>108</v>
      </c>
      <c r="G5079" s="5" t="s">
        <v>33329</v>
      </c>
      <c r="H5079" s="6" t="s">
        <v>33330</v>
      </c>
      <c r="K5079" s="5" t="s">
        <v>33298</v>
      </c>
      <c r="M5079" s="5" t="s">
        <v>33331</v>
      </c>
      <c r="N5079" s="7" t="s">
        <v>33332</v>
      </c>
      <c r="O5079" s="8" t="str">
        <f>HYPERLINK("https://drive.google.com/file/d/1lK3RqolHIYuGVKyQD7FTbFDP8uJIRsuo/view?usp=drivesdk","5078_SUKEMI _ SERTIFIKAT BerAKHLAK")</f>
        <v>5078_SUKEMI _ SERTIFIKAT BerAKHLAK</v>
      </c>
      <c r="P5079" s="5" t="s">
        <v>33312</v>
      </c>
    </row>
    <row r="5080">
      <c r="A5080" s="4">
        <v>45534.356428680556</v>
      </c>
      <c r="B5080" s="5" t="s">
        <v>34</v>
      </c>
      <c r="D5080" s="5" t="s">
        <v>1558</v>
      </c>
      <c r="E5080" s="5" t="s">
        <v>33333</v>
      </c>
      <c r="F5080" s="5" t="s">
        <v>212</v>
      </c>
      <c r="G5080" s="5" t="s">
        <v>33334</v>
      </c>
      <c r="H5080" s="6" t="s">
        <v>33335</v>
      </c>
      <c r="I5080" s="7" t="s">
        <v>33336</v>
      </c>
      <c r="J5080" s="8" t="str">
        <f>HYPERLINK("https://drive.google.com/file/d/11V79Tk-OOxgbmQRshOemyI9Wjtk9VT8O/view?usp=drivesdk","SRI MINANGSIH  SERTIFIKAT BerAKHLAK")</f>
        <v>SRI MINANGSIH  SERTIFIKAT BerAKHLAK</v>
      </c>
      <c r="K5080" s="5" t="s">
        <v>33337</v>
      </c>
      <c r="L5080" s="5" t="s">
        <v>33338</v>
      </c>
      <c r="M5080" s="5" t="s">
        <v>33339</v>
      </c>
      <c r="N5080" s="7" t="s">
        <v>33340</v>
      </c>
      <c r="O5080" s="8" t="str">
        <f>HYPERLINK("https://drive.google.com/file/d/1FqdQcG7Vv6_9Ard5fDbLiAaNS1gs9_fO/view?usp=drivesdk","5079_SRI MINANGSIH  _ SERTIFIKAT BerAKHLAK")</f>
        <v>5079_SRI MINANGSIH  _ SERTIFIKAT BerAKHLAK</v>
      </c>
      <c r="P5080" s="5" t="s">
        <v>33341</v>
      </c>
    </row>
    <row r="5081">
      <c r="A5081" s="4">
        <v>45534.35644195601</v>
      </c>
      <c r="B5081" s="5" t="s">
        <v>34</v>
      </c>
      <c r="D5081" s="5" t="s">
        <v>1206</v>
      </c>
      <c r="E5081" s="5" t="s">
        <v>33342</v>
      </c>
      <c r="F5081" s="5" t="s">
        <v>108</v>
      </c>
      <c r="G5081" s="5" t="s">
        <v>33343</v>
      </c>
      <c r="H5081" s="6" t="s">
        <v>33344</v>
      </c>
      <c r="I5081" s="7" t="s">
        <v>33345</v>
      </c>
      <c r="J5081" s="8" t="str">
        <f>HYPERLINK("https://drive.google.com/file/d/1IJEquzJkqPij8epA5mbnYXYvwmZwJpOf/view?usp=drivesdk","SUTARNI SERTIFIKAT BerAKHLAK")</f>
        <v>SUTARNI SERTIFIKAT BerAKHLAK</v>
      </c>
      <c r="K5081" s="5" t="s">
        <v>33337</v>
      </c>
      <c r="L5081" s="5" t="s">
        <v>33346</v>
      </c>
      <c r="M5081" s="5" t="s">
        <v>33347</v>
      </c>
      <c r="N5081" s="7" t="s">
        <v>33348</v>
      </c>
      <c r="O5081" s="8" t="str">
        <f>HYPERLINK("https://drive.google.com/file/d/1dhwzKg_ZseazvYULY80cwp90glrU-xUY/view?usp=drivesdk","5080_SUTARNI _ SERTIFIKAT BerAKHLAK")</f>
        <v>5080_SUTARNI _ SERTIFIKAT BerAKHLAK</v>
      </c>
      <c r="P5081" s="5" t="s">
        <v>33341</v>
      </c>
    </row>
    <row r="5082">
      <c r="A5082" s="4">
        <v>45534.356447453705</v>
      </c>
      <c r="B5082" s="5" t="s">
        <v>34</v>
      </c>
      <c r="D5082" s="5" t="s">
        <v>1206</v>
      </c>
      <c r="E5082" s="5" t="s">
        <v>33349</v>
      </c>
      <c r="F5082" s="5" t="s">
        <v>212</v>
      </c>
      <c r="G5082" s="5" t="s">
        <v>33350</v>
      </c>
      <c r="H5082" s="6" t="s">
        <v>33351</v>
      </c>
      <c r="I5082" s="7" t="s">
        <v>33352</v>
      </c>
      <c r="J5082" s="8" t="str">
        <f>HYPERLINK("https://drive.google.com/file/d/1-x9x_xgBzv4K46TgxxSijwfVJj4I-uYD/view?usp=drivesdk","KURNIATI SERTIFIKAT BerAKHLAK")</f>
        <v>KURNIATI SERTIFIKAT BerAKHLAK</v>
      </c>
      <c r="K5082" s="5" t="s">
        <v>33337</v>
      </c>
      <c r="L5082" s="5" t="s">
        <v>33353</v>
      </c>
      <c r="M5082" s="5" t="s">
        <v>33354</v>
      </c>
      <c r="N5082" s="7" t="s">
        <v>33355</v>
      </c>
      <c r="O5082" s="8" t="str">
        <f>HYPERLINK("https://drive.google.com/file/d/1_TxJPl5tK_F6LeVmoCdt9fgPCYOjHzwU/view?usp=drivesdk","5081_KURNIATI _ SERTIFIKAT BerAKHLAK")</f>
        <v>5081_KURNIATI _ SERTIFIKAT BerAKHLAK</v>
      </c>
      <c r="P5082" s="5" t="s">
        <v>33341</v>
      </c>
    </row>
    <row r="5083">
      <c r="A5083" s="4">
        <v>45534.35645371528</v>
      </c>
      <c r="B5083" s="5" t="s">
        <v>34</v>
      </c>
      <c r="D5083" s="5" t="s">
        <v>9020</v>
      </c>
      <c r="E5083" s="5" t="s">
        <v>33356</v>
      </c>
      <c r="F5083" s="5" t="s">
        <v>72</v>
      </c>
      <c r="G5083" s="5" t="s">
        <v>33357</v>
      </c>
      <c r="H5083" s="6" t="s">
        <v>33358</v>
      </c>
      <c r="I5083" s="7" t="s">
        <v>33359</v>
      </c>
      <c r="J5083" s="8" t="str">
        <f>HYPERLINK("https://drive.google.com/file/d/1RcAz8tdXZvf3HeCiNmFiBpeWMXuOIQWw/view?usp=drivesdk","DELIMA SINAGA STR SERTIFIKAT BerAKHLAK")</f>
        <v>DELIMA SINAGA STR SERTIFIKAT BerAKHLAK</v>
      </c>
      <c r="K5083" s="5" t="s">
        <v>33337</v>
      </c>
      <c r="L5083" s="5" t="s">
        <v>33360</v>
      </c>
      <c r="M5083" s="5" t="s">
        <v>33361</v>
      </c>
      <c r="N5083" s="7" t="s">
        <v>33362</v>
      </c>
      <c r="O5083" s="8" t="str">
        <f>HYPERLINK("https://drive.google.com/file/d/1MiYXsdzcAbUQDwldKslYa5QPTwQXbcr6/view?usp=drivesdk","5082_DELIMA SINAGA STR _ SERTIFIKAT BerAKHLAK")</f>
        <v>5082_DELIMA SINAGA STR _ SERTIFIKAT BerAKHLAK</v>
      </c>
      <c r="P5083" s="5" t="s">
        <v>33363</v>
      </c>
    </row>
    <row r="5084">
      <c r="A5084" s="4">
        <v>45534.35645622685</v>
      </c>
      <c r="B5084" s="5" t="s">
        <v>34</v>
      </c>
      <c r="D5084" s="5" t="s">
        <v>522</v>
      </c>
      <c r="E5084" s="5" t="s">
        <v>33364</v>
      </c>
      <c r="F5084" s="5" t="s">
        <v>37</v>
      </c>
      <c r="G5084" s="5" t="s">
        <v>33365</v>
      </c>
      <c r="H5084" s="6" t="s">
        <v>33366</v>
      </c>
      <c r="I5084" s="7" t="s">
        <v>33367</v>
      </c>
      <c r="J5084" s="8" t="str">
        <f>HYPERLINK("https://drive.google.com/file/d/16ZQcwY9XDSPq27lt7se4qMQNAZLGyb20/view?usp=drivesdk","I KETUT GEDE SAPUTRA SERTIFIKAT BerAKHLAK")</f>
        <v>I KETUT GEDE SAPUTRA SERTIFIKAT BerAKHLAK</v>
      </c>
      <c r="K5084" s="5" t="s">
        <v>33337</v>
      </c>
      <c r="L5084" s="5" t="s">
        <v>33368</v>
      </c>
      <c r="M5084" s="5" t="s">
        <v>33369</v>
      </c>
      <c r="N5084" s="7" t="s">
        <v>33370</v>
      </c>
      <c r="O5084" s="8" t="str">
        <f>HYPERLINK("https://drive.google.com/file/d/1lAPJez6UU4Cb8Hhqs1N-lGqFzALa4jGz/view?usp=drivesdk","5083_I KETUT GEDE SAPUTRA _ SERTIFIKAT BerAKHLAK")</f>
        <v>5083_I KETUT GEDE SAPUTRA _ SERTIFIKAT BerAKHLAK</v>
      </c>
      <c r="P5084" s="5" t="s">
        <v>33363</v>
      </c>
    </row>
    <row r="5085">
      <c r="A5085" s="4">
        <v>45534.35645662037</v>
      </c>
      <c r="B5085" s="5" t="s">
        <v>34</v>
      </c>
      <c r="D5085" s="5" t="s">
        <v>1206</v>
      </c>
      <c r="E5085" s="5" t="s">
        <v>33371</v>
      </c>
      <c r="F5085" s="5" t="s">
        <v>375</v>
      </c>
      <c r="G5085" s="5" t="s">
        <v>33372</v>
      </c>
      <c r="H5085" s="6" t="s">
        <v>33373</v>
      </c>
      <c r="I5085" s="7" t="s">
        <v>33374</v>
      </c>
      <c r="J5085" s="8" t="str">
        <f>HYPERLINK("https://drive.google.com/file/d/1YIyEr4qJWoU463EoFBbCy2AoWjTC0Sd3/view?usp=drivesdk","WAHYUNI WIJAYATI, S.Si, S.Tr.Kes SERTIFIKAT BerAKHLAK")</f>
        <v>WAHYUNI WIJAYATI, S.Si, S.Tr.Kes SERTIFIKAT BerAKHLAK</v>
      </c>
      <c r="K5085" s="5" t="s">
        <v>33375</v>
      </c>
      <c r="L5085" s="5" t="s">
        <v>33376</v>
      </c>
      <c r="M5085" s="5" t="s">
        <v>33377</v>
      </c>
      <c r="N5085" s="7" t="s">
        <v>33378</v>
      </c>
      <c r="O5085" s="8" t="str">
        <f>HYPERLINK("https://drive.google.com/file/d/1yJ9JGY615ad4PAYcJza6fCV_hqXHQ_Cr/view?usp=drivesdk","5084_WAHYUNI WIJAYATI, S.Si, S.Tr.Kes _ SERTIFIKAT BerAKHLAK")</f>
        <v>5084_WAHYUNI WIJAYATI, S.Si, S.Tr.Kes _ SERTIFIKAT BerAKHLAK</v>
      </c>
      <c r="P5085" s="5" t="s">
        <v>33363</v>
      </c>
    </row>
    <row r="5086">
      <c r="A5086" s="4">
        <v>45534.35647614583</v>
      </c>
      <c r="B5086" s="5" t="s">
        <v>34</v>
      </c>
      <c r="D5086" s="5" t="s">
        <v>4775</v>
      </c>
      <c r="E5086" s="5" t="s">
        <v>33379</v>
      </c>
      <c r="F5086" s="5" t="s">
        <v>37</v>
      </c>
      <c r="G5086" s="5" t="s">
        <v>33380</v>
      </c>
      <c r="H5086" s="6" t="s">
        <v>33381</v>
      </c>
      <c r="I5086" s="7" t="s">
        <v>33382</v>
      </c>
      <c r="J5086" s="8" t="str">
        <f>HYPERLINK("https://drive.google.com/file/d/1A0jI-xJW8r-VxyBFkGwoMnnltEphGvw-/view?usp=drivesdk","ADITYA PUSPITASARI, AMK SERTIFIKAT BerAKHLAK")</f>
        <v>ADITYA PUSPITASARI, AMK SERTIFIKAT BerAKHLAK</v>
      </c>
      <c r="K5086" s="5" t="s">
        <v>33375</v>
      </c>
      <c r="L5086" s="5" t="s">
        <v>33383</v>
      </c>
      <c r="M5086" s="5" t="s">
        <v>33384</v>
      </c>
      <c r="N5086" s="7" t="s">
        <v>33385</v>
      </c>
      <c r="O5086" s="8" t="str">
        <f>HYPERLINK("https://drive.google.com/file/d/1CLm1iVA8Pu9Tq6sWMwAu_je8gECYSV6_/view?usp=drivesdk","5085_ADITYA PUSPITASARI, AMK _ SERTIFIKAT BerAKHLAK")</f>
        <v>5085_ADITYA PUSPITASARI, AMK _ SERTIFIKAT BerAKHLAK</v>
      </c>
      <c r="P5086" s="5" t="s">
        <v>33363</v>
      </c>
    </row>
    <row r="5087">
      <c r="A5087" s="4">
        <v>45534.35647590278</v>
      </c>
      <c r="B5087" s="5" t="s">
        <v>34</v>
      </c>
      <c r="D5087" s="5" t="s">
        <v>1206</v>
      </c>
      <c r="E5087" s="5" t="s">
        <v>33386</v>
      </c>
      <c r="F5087" s="5" t="s">
        <v>212</v>
      </c>
      <c r="G5087" s="5" t="s">
        <v>33387</v>
      </c>
      <c r="H5087" s="6" t="s">
        <v>33388</v>
      </c>
      <c r="I5087" s="7" t="s">
        <v>33389</v>
      </c>
      <c r="J5087" s="8" t="str">
        <f>HYPERLINK("https://drive.google.com/file/d/1Ut-_tqnrUwCCQPrn8Io2H7ERLHGbsUtF/view?usp=drivesdk","ISTIQOMARIYAH SERTIFIKAT BerAKHLAK")</f>
        <v>ISTIQOMARIYAH SERTIFIKAT BerAKHLAK</v>
      </c>
      <c r="K5087" s="5" t="s">
        <v>33375</v>
      </c>
      <c r="L5087" s="5" t="s">
        <v>33390</v>
      </c>
      <c r="M5087" s="5" t="s">
        <v>33391</v>
      </c>
      <c r="N5087" s="7" t="s">
        <v>33392</v>
      </c>
      <c r="O5087" s="8" t="str">
        <f>HYPERLINK("https://drive.google.com/file/d/15ZsQbs0Jd2FlQWTBoKi4ZaknLd-ZiFMC/view?usp=drivesdk","5086_ISTIQOMARIYAH _ SERTIFIKAT BerAKHLAK")</f>
        <v>5086_ISTIQOMARIYAH _ SERTIFIKAT BerAKHLAK</v>
      </c>
      <c r="P5087" s="5" t="s">
        <v>33393</v>
      </c>
    </row>
    <row r="5088">
      <c r="A5088" s="4">
        <v>45534.356478229165</v>
      </c>
      <c r="B5088" s="5" t="s">
        <v>34</v>
      </c>
      <c r="D5088" s="5" t="s">
        <v>35</v>
      </c>
      <c r="E5088" s="5" t="s">
        <v>33394</v>
      </c>
      <c r="F5088" s="5" t="s">
        <v>375</v>
      </c>
      <c r="G5088" s="5" t="s">
        <v>33395</v>
      </c>
      <c r="H5088" s="6" t="s">
        <v>33396</v>
      </c>
      <c r="K5088" s="5" t="s">
        <v>33397</v>
      </c>
      <c r="M5088" s="5" t="s">
        <v>33398</v>
      </c>
      <c r="N5088" s="7" t="s">
        <v>33399</v>
      </c>
      <c r="O5088" s="8" t="str">
        <f>HYPERLINK("https://drive.google.com/file/d/14ZSlvn1SqJr1qUg6wNTMJdY-_GsZirNN/view?usp=drivesdk","5087_TISSA TRISANTI _ SERTIFIKAT BerAKHLAK")</f>
        <v>5087_TISSA TRISANTI _ SERTIFIKAT BerAKHLAK</v>
      </c>
      <c r="P5088" s="5" t="s">
        <v>33393</v>
      </c>
    </row>
    <row r="5089">
      <c r="A5089" s="4">
        <v>45534.35650196759</v>
      </c>
      <c r="B5089" s="5" t="s">
        <v>34</v>
      </c>
      <c r="D5089" s="5" t="s">
        <v>10444</v>
      </c>
      <c r="E5089" s="5" t="s">
        <v>33400</v>
      </c>
      <c r="F5089" s="5" t="s">
        <v>212</v>
      </c>
      <c r="G5089" s="5" t="s">
        <v>33401</v>
      </c>
      <c r="H5089" s="6" t="s">
        <v>33402</v>
      </c>
      <c r="K5089" s="5" t="s">
        <v>33397</v>
      </c>
      <c r="M5089" s="5" t="s">
        <v>33403</v>
      </c>
      <c r="N5089" s="7" t="s">
        <v>33404</v>
      </c>
      <c r="O5089" s="8" t="str">
        <f>HYPERLINK("https://drive.google.com/file/d/1ypxzvaOiOJx9LhU3YmBiEgsCX5NuHeaT/view?usp=drivesdk","5088_RINA TRIANA _ SERTIFIKAT BerAKHLAK")</f>
        <v>5088_RINA TRIANA _ SERTIFIKAT BerAKHLAK</v>
      </c>
      <c r="P5089" s="5" t="s">
        <v>33393</v>
      </c>
    </row>
    <row r="5090">
      <c r="A5090" s="4">
        <v>45534.35650318287</v>
      </c>
      <c r="B5090" s="5" t="s">
        <v>34</v>
      </c>
      <c r="D5090" s="5" t="s">
        <v>6232</v>
      </c>
      <c r="E5090" s="5" t="s">
        <v>33405</v>
      </c>
      <c r="F5090" s="5" t="s">
        <v>715</v>
      </c>
      <c r="G5090" s="5" t="s">
        <v>33406</v>
      </c>
      <c r="H5090" s="6" t="s">
        <v>33407</v>
      </c>
      <c r="K5090" s="5" t="s">
        <v>33397</v>
      </c>
      <c r="M5090" s="5" t="s">
        <v>33408</v>
      </c>
      <c r="N5090" s="7" t="s">
        <v>33409</v>
      </c>
      <c r="O5090" s="8" t="str">
        <f>HYPERLINK("https://drive.google.com/file/d/1urgF0YEME_9H-t7MgjWoUGOShA79gQYd/view?usp=drivesdk","5089_NIKO WAHYUDI PUTRA A.Md _ SERTIFIKAT BerAKHLAK")</f>
        <v>5089_NIKO WAHYUDI PUTRA A.Md _ SERTIFIKAT BerAKHLAK</v>
      </c>
      <c r="P5090" s="5" t="s">
        <v>33393</v>
      </c>
    </row>
    <row r="5091">
      <c r="A5091" s="4">
        <v>45534.35650475694</v>
      </c>
      <c r="B5091" s="5" t="s">
        <v>34</v>
      </c>
      <c r="D5091" s="5" t="s">
        <v>1558</v>
      </c>
      <c r="E5091" s="5" t="s">
        <v>33410</v>
      </c>
      <c r="F5091" s="5" t="s">
        <v>72</v>
      </c>
      <c r="G5091" s="5" t="s">
        <v>33411</v>
      </c>
      <c r="H5091" s="6" t="s">
        <v>33412</v>
      </c>
      <c r="K5091" s="5" t="s">
        <v>33397</v>
      </c>
      <c r="M5091" s="5" t="s">
        <v>33413</v>
      </c>
      <c r="N5091" s="7" t="s">
        <v>33414</v>
      </c>
      <c r="O5091" s="8" t="str">
        <f>HYPERLINK("https://drive.google.com/file/d/1YdIxCdDSc-ChVvt3yXY9SyjATYOnwtOw/view?usp=drivesdk","5090_YULIANI. SE _ SERTIFIKAT BerAKHLAK")</f>
        <v>5090_YULIANI. SE _ SERTIFIKAT BerAKHLAK</v>
      </c>
      <c r="P5091" s="5" t="s">
        <v>33393</v>
      </c>
    </row>
    <row r="5092">
      <c r="A5092" s="4">
        <v>45534.35651383102</v>
      </c>
      <c r="B5092" s="5" t="s">
        <v>34</v>
      </c>
      <c r="D5092" s="5" t="s">
        <v>1206</v>
      </c>
      <c r="E5092" s="5" t="s">
        <v>33415</v>
      </c>
      <c r="F5092" s="5" t="s">
        <v>212</v>
      </c>
      <c r="G5092" s="5" t="s">
        <v>33416</v>
      </c>
      <c r="H5092" s="6" t="s">
        <v>33417</v>
      </c>
      <c r="K5092" s="5" t="s">
        <v>33397</v>
      </c>
      <c r="M5092" s="5" t="s">
        <v>33418</v>
      </c>
      <c r="N5092" s="7" t="s">
        <v>33419</v>
      </c>
      <c r="O5092" s="8" t="str">
        <f>HYPERLINK("https://drive.google.com/file/d/1P_3nGj9nKObsLRQ5tXx-eofL-XlEC8ff/view?usp=drivesdk","5091_BAMBANGTRIYANTO.S.H. _ SERTIFIKAT BerAKHLAK")</f>
        <v>5091_BAMBANGTRIYANTO.S.H. _ SERTIFIKAT BerAKHLAK</v>
      </c>
      <c r="P5092" s="5" t="s">
        <v>33420</v>
      </c>
    </row>
    <row r="5093">
      <c r="A5093" s="4">
        <v>45534.35651986111</v>
      </c>
      <c r="B5093" s="5" t="s">
        <v>34</v>
      </c>
      <c r="D5093" s="5" t="s">
        <v>267</v>
      </c>
      <c r="E5093" s="5" t="s">
        <v>33421</v>
      </c>
      <c r="F5093" s="5" t="s">
        <v>108</v>
      </c>
      <c r="G5093" s="5" t="s">
        <v>33422</v>
      </c>
      <c r="H5093" s="6" t="s">
        <v>33423</v>
      </c>
      <c r="K5093" s="5" t="s">
        <v>33397</v>
      </c>
      <c r="M5093" s="5" t="s">
        <v>33424</v>
      </c>
      <c r="N5093" s="7" t="s">
        <v>33425</v>
      </c>
      <c r="O5093" s="8" t="str">
        <f>HYPERLINK("https://drive.google.com/file/d/1dtvYpBxC3n4u4kE0fv52EsF1AUHSmpSf/view?usp=drivesdk","5092_FILA PUTRI HARIYA KUSUMA DEWI, A.Md.Farm _ SERTIFIKAT BerAKHLAK")</f>
        <v>5092_FILA PUTRI HARIYA KUSUMA DEWI, A.Md.Farm _ SERTIFIKAT BerAKHLAK</v>
      </c>
      <c r="P5093" s="5" t="s">
        <v>33420</v>
      </c>
    </row>
    <row r="5094">
      <c r="A5094" s="4">
        <v>45534.35652792824</v>
      </c>
      <c r="B5094" s="5" t="s">
        <v>34</v>
      </c>
      <c r="D5094" s="5" t="s">
        <v>12978</v>
      </c>
      <c r="E5094" s="5" t="s">
        <v>33426</v>
      </c>
      <c r="F5094" s="5" t="s">
        <v>375</v>
      </c>
      <c r="G5094" s="5" t="s">
        <v>33427</v>
      </c>
      <c r="H5094" s="6" t="s">
        <v>33428</v>
      </c>
      <c r="K5094" s="5" t="s">
        <v>33397</v>
      </c>
      <c r="M5094" s="5" t="s">
        <v>33429</v>
      </c>
      <c r="N5094" s="7" t="s">
        <v>33430</v>
      </c>
      <c r="O5094" s="8" t="str">
        <f>HYPERLINK("https://drive.google.com/file/d/1sNj1pweCTLJcGNR6fTi50jZJatIaTxgj/view?usp=drivesdk","5093_SARWINDA, S. Pd _ SERTIFIKAT BerAKHLAK")</f>
        <v>5093_SARWINDA, S. Pd _ SERTIFIKAT BerAKHLAK</v>
      </c>
      <c r="P5094" s="5" t="s">
        <v>33420</v>
      </c>
    </row>
    <row r="5095">
      <c r="A5095" s="4">
        <v>45534.35653009259</v>
      </c>
      <c r="B5095" s="5" t="s">
        <v>34</v>
      </c>
      <c r="D5095" s="5" t="s">
        <v>9020</v>
      </c>
      <c r="E5095" s="5" t="s">
        <v>33431</v>
      </c>
      <c r="F5095" s="5" t="s">
        <v>37</v>
      </c>
      <c r="G5095" s="5" t="s">
        <v>33432</v>
      </c>
      <c r="H5095" s="6" t="s">
        <v>33433</v>
      </c>
      <c r="K5095" s="5" t="s">
        <v>33397</v>
      </c>
      <c r="M5095" s="5" t="s">
        <v>33434</v>
      </c>
      <c r="N5095" s="7" t="s">
        <v>33435</v>
      </c>
      <c r="O5095" s="8" t="str">
        <f>HYPERLINK("https://drive.google.com/file/d/1L4NyvyRxcO_AilbqCRwfX_fMX9dBJEr8/view?usp=drivesdk","5094_ROSNIATI GEA _ SERTIFIKAT BerAKHLAK")</f>
        <v>5094_ROSNIATI GEA _ SERTIFIKAT BerAKHLAK</v>
      </c>
      <c r="P5095" s="5" t="s">
        <v>33436</v>
      </c>
    </row>
    <row r="5096">
      <c r="A5096" s="4">
        <v>45534.356557245366</v>
      </c>
      <c r="B5096" s="5" t="s">
        <v>34</v>
      </c>
      <c r="D5096" s="5" t="s">
        <v>9020</v>
      </c>
      <c r="E5096" s="5" t="s">
        <v>33437</v>
      </c>
      <c r="F5096" s="5" t="s">
        <v>212</v>
      </c>
      <c r="G5096" s="5" t="s">
        <v>33438</v>
      </c>
      <c r="H5096" s="6" t="s">
        <v>33439</v>
      </c>
      <c r="K5096" s="5" t="s">
        <v>33440</v>
      </c>
      <c r="M5096" s="5" t="s">
        <v>33441</v>
      </c>
      <c r="N5096" s="7" t="s">
        <v>33442</v>
      </c>
      <c r="O5096" s="8" t="str">
        <f>HYPERLINK("https://drive.google.com/file/d/164iS1NDbnFkqxFysSX9zGfEaTu3bkO1p/view?usp=drivesdk","5095_TETY SUSANTI BARUS _ SERTIFIKAT BerAKHLAK")</f>
        <v>5095_TETY SUSANTI BARUS _ SERTIFIKAT BerAKHLAK</v>
      </c>
      <c r="P5096" s="5" t="s">
        <v>33436</v>
      </c>
    </row>
    <row r="5097">
      <c r="A5097" s="4">
        <v>45534.35657099537</v>
      </c>
      <c r="B5097" s="5" t="s">
        <v>34</v>
      </c>
      <c r="D5097" s="5" t="s">
        <v>1558</v>
      </c>
      <c r="E5097" s="5" t="s">
        <v>33443</v>
      </c>
      <c r="F5097" s="5" t="s">
        <v>212</v>
      </c>
      <c r="G5097" s="5" t="s">
        <v>33444</v>
      </c>
      <c r="H5097" s="6" t="s">
        <v>33445</v>
      </c>
      <c r="K5097" s="5" t="s">
        <v>33440</v>
      </c>
      <c r="M5097" s="5" t="s">
        <v>33446</v>
      </c>
      <c r="N5097" s="7" t="s">
        <v>33447</v>
      </c>
      <c r="O5097" s="8" t="str">
        <f>HYPERLINK("https://drive.google.com/file/d/1Egre4N2gMnPti4LjgO4JNTB-zMXINh4b/view?usp=drivesdk","5096_SUHARYA _ SERTIFIKAT BerAKHLAK")</f>
        <v>5096_SUHARYA _ SERTIFIKAT BerAKHLAK</v>
      </c>
      <c r="P5097" s="5" t="s">
        <v>33436</v>
      </c>
    </row>
    <row r="5098">
      <c r="A5098" s="4">
        <v>45534.35657314815</v>
      </c>
      <c r="B5098" s="5" t="s">
        <v>34</v>
      </c>
      <c r="D5098" s="5" t="s">
        <v>1456</v>
      </c>
      <c r="E5098" s="5" t="s">
        <v>33448</v>
      </c>
      <c r="F5098" s="5" t="s">
        <v>212</v>
      </c>
      <c r="G5098" s="5" t="s">
        <v>33449</v>
      </c>
      <c r="H5098" s="6" t="s">
        <v>33450</v>
      </c>
      <c r="K5098" s="5" t="s">
        <v>33440</v>
      </c>
      <c r="M5098" s="5" t="s">
        <v>33451</v>
      </c>
      <c r="N5098" s="7" t="s">
        <v>33452</v>
      </c>
      <c r="O5098" s="8" t="str">
        <f>HYPERLINK("https://drive.google.com/file/d/11h3x322LXNKhPaOAOdFaIjOZO2m8eWLE/view?usp=drivesdk","5097_DIANA JOHAN _ SERTIFIKAT BerAKHLAK")</f>
        <v>5097_DIANA JOHAN _ SERTIFIKAT BerAKHLAK</v>
      </c>
      <c r="P5098" s="5" t="s">
        <v>33436</v>
      </c>
    </row>
    <row r="5099">
      <c r="A5099" s="4">
        <v>45534.3565752662</v>
      </c>
      <c r="B5099" s="5" t="s">
        <v>34</v>
      </c>
      <c r="D5099" s="5" t="s">
        <v>10444</v>
      </c>
      <c r="E5099" s="5" t="s">
        <v>33453</v>
      </c>
      <c r="F5099" s="5" t="s">
        <v>212</v>
      </c>
      <c r="G5099" s="5" t="s">
        <v>33454</v>
      </c>
      <c r="H5099" s="6" t="s">
        <v>33455</v>
      </c>
      <c r="K5099" s="5" t="s">
        <v>33440</v>
      </c>
      <c r="M5099" s="5" t="s">
        <v>33456</v>
      </c>
      <c r="N5099" s="7" t="s">
        <v>33457</v>
      </c>
      <c r="O5099" s="8" t="str">
        <f>HYPERLINK("https://drive.google.com/file/d/1yGAfTjKElEK95k9c4w7UsSbsEiYV3bKw/view?usp=drivesdk","5098_Husnul Hasanah AMD Kep SKM _ SERTIFIKAT BerAKHLAK")</f>
        <v>5098_Husnul Hasanah AMD Kep SKM _ SERTIFIKAT BerAKHLAK</v>
      </c>
      <c r="P5099" s="5" t="s">
        <v>33436</v>
      </c>
    </row>
    <row r="5100">
      <c r="A5100" s="4">
        <v>45534.356589999996</v>
      </c>
      <c r="B5100" s="5" t="s">
        <v>34</v>
      </c>
      <c r="D5100" s="5" t="s">
        <v>6232</v>
      </c>
      <c r="E5100" s="5" t="s">
        <v>33458</v>
      </c>
      <c r="F5100" s="5" t="s">
        <v>37</v>
      </c>
      <c r="G5100" s="5" t="s">
        <v>33459</v>
      </c>
      <c r="H5100" s="6" t="s">
        <v>33460</v>
      </c>
      <c r="K5100" s="5" t="s">
        <v>33440</v>
      </c>
      <c r="M5100" s="5" t="s">
        <v>33461</v>
      </c>
      <c r="N5100" s="7" t="s">
        <v>33462</v>
      </c>
      <c r="O5100" s="8" t="str">
        <f>HYPERLINK("https://drive.google.com/file/d/1hoEIF8I_KC1-UP_21hi7RPePifkZ_aCf/view?usp=drivesdk","5099_NOFTULLOH BINTANG MAHARDIKAN  _ SERTIFIKAT BerAKHLAK")</f>
        <v>5099_NOFTULLOH BINTANG MAHARDIKAN  _ SERTIFIKAT BerAKHLAK</v>
      </c>
      <c r="P5100" s="5" t="s">
        <v>33463</v>
      </c>
    </row>
    <row r="5101">
      <c r="A5101" s="4">
        <v>45534.35659092593</v>
      </c>
      <c r="B5101" s="5" t="s">
        <v>34</v>
      </c>
      <c r="D5101" s="5" t="s">
        <v>9020</v>
      </c>
      <c r="E5101" s="5" t="s">
        <v>33464</v>
      </c>
      <c r="F5101" s="5" t="s">
        <v>37</v>
      </c>
      <c r="G5101" s="5" t="s">
        <v>33465</v>
      </c>
      <c r="H5101" s="6" t="s">
        <v>33466</v>
      </c>
      <c r="K5101" s="5" t="s">
        <v>33440</v>
      </c>
      <c r="M5101" s="5" t="s">
        <v>33467</v>
      </c>
      <c r="N5101" s="7" t="s">
        <v>33468</v>
      </c>
      <c r="O5101" s="8" t="str">
        <f>HYPERLINK("https://drive.google.com/file/d/1DFYjBLyQOhu0IRdho5HhyWZ2iCapRGTT/view?usp=drivesdk","5100_RATNAWATI _ SERTIFIKAT BerAKHLAK")</f>
        <v>5100_RATNAWATI _ SERTIFIKAT BerAKHLAK</v>
      </c>
      <c r="P5101" s="5" t="s">
        <v>33463</v>
      </c>
    </row>
    <row r="5102">
      <c r="A5102" s="4">
        <v>45534.35660945602</v>
      </c>
      <c r="B5102" s="5" t="s">
        <v>34</v>
      </c>
      <c r="D5102" s="5" t="s">
        <v>14424</v>
      </c>
      <c r="E5102" s="5" t="s">
        <v>33469</v>
      </c>
      <c r="F5102" s="5" t="s">
        <v>37</v>
      </c>
      <c r="G5102" s="5" t="s">
        <v>33470</v>
      </c>
      <c r="H5102" s="6" t="s">
        <v>33471</v>
      </c>
      <c r="K5102" s="5" t="s">
        <v>33440</v>
      </c>
      <c r="M5102" s="5" t="s">
        <v>33472</v>
      </c>
      <c r="N5102" s="7" t="s">
        <v>33473</v>
      </c>
      <c r="O5102" s="8" t="str">
        <f>HYPERLINK("https://drive.google.com/file/d/1qXSTb0hVKGcecYj2_eFCvZIyje6yc8GT/view?usp=drivesdk","5101_MUNADIA, A.Md.Farm  _ SERTIFIKAT BerAKHLAK")</f>
        <v>5101_MUNADIA, A.Md.Farm  _ SERTIFIKAT BerAKHLAK</v>
      </c>
      <c r="P5102" s="5" t="s">
        <v>33463</v>
      </c>
    </row>
    <row r="5103">
      <c r="A5103" s="4">
        <v>45534.356614247685</v>
      </c>
      <c r="B5103" s="5" t="s">
        <v>34</v>
      </c>
      <c r="D5103" s="5" t="s">
        <v>522</v>
      </c>
      <c r="E5103" s="5" t="s">
        <v>33474</v>
      </c>
      <c r="F5103" s="5" t="s">
        <v>524</v>
      </c>
      <c r="G5103" s="5" t="s">
        <v>33475</v>
      </c>
      <c r="H5103" s="6" t="s">
        <v>33476</v>
      </c>
      <c r="K5103" s="5" t="s">
        <v>33440</v>
      </c>
      <c r="M5103" s="5" t="s">
        <v>33477</v>
      </c>
      <c r="N5103" s="7" t="s">
        <v>33478</v>
      </c>
      <c r="O5103" s="8" t="str">
        <f>HYPERLINK("https://drive.google.com/file/d/1ebqmLCTvJPR9RQZDkb4BzgtBpaOj8CR0/view?usp=drivesdk","5102_AHMAD JUNAIDI _ SERTIFIKAT BerAKHLAK")</f>
        <v>5102_AHMAD JUNAIDI _ SERTIFIKAT BerAKHLAK</v>
      </c>
      <c r="P5103" s="5" t="s">
        <v>33463</v>
      </c>
    </row>
    <row r="5104">
      <c r="A5104" s="4">
        <v>45534.356637777775</v>
      </c>
      <c r="B5104" s="5" t="s">
        <v>34</v>
      </c>
      <c r="D5104" s="5" t="s">
        <v>996</v>
      </c>
      <c r="E5104" s="5" t="s">
        <v>33479</v>
      </c>
      <c r="F5104" s="5" t="s">
        <v>72</v>
      </c>
      <c r="G5104" s="5" t="s">
        <v>33480</v>
      </c>
      <c r="H5104" s="6" t="s">
        <v>33481</v>
      </c>
      <c r="K5104" s="5" t="s">
        <v>33482</v>
      </c>
      <c r="M5104" s="5" t="s">
        <v>33483</v>
      </c>
      <c r="N5104" s="7" t="s">
        <v>33484</v>
      </c>
      <c r="O5104" s="8" t="str">
        <f>HYPERLINK("https://drive.google.com/file/d/1Z8E9wJKHt8RqcbMHMHKqX_Ri3JobpXZ9/view?usp=drivesdk","5103_RAIHANAH _ SERTIFIKAT BerAKHLAK")</f>
        <v>5103_RAIHANAH _ SERTIFIKAT BerAKHLAK</v>
      </c>
      <c r="P5104" s="5" t="s">
        <v>33463</v>
      </c>
    </row>
    <row r="5105">
      <c r="A5105" s="4">
        <v>45534.35665518518</v>
      </c>
      <c r="B5105" s="5" t="s">
        <v>34</v>
      </c>
      <c r="D5105" s="5" t="s">
        <v>4775</v>
      </c>
      <c r="E5105" s="5" t="s">
        <v>33485</v>
      </c>
      <c r="F5105" s="5" t="s">
        <v>108</v>
      </c>
      <c r="G5105" s="5" t="s">
        <v>33486</v>
      </c>
      <c r="H5105" s="6" t="s">
        <v>33487</v>
      </c>
      <c r="K5105" s="5" t="s">
        <v>33482</v>
      </c>
      <c r="M5105" s="5" t="s">
        <v>33488</v>
      </c>
      <c r="N5105" s="7" t="s">
        <v>33489</v>
      </c>
      <c r="O5105" s="8" t="str">
        <f>HYPERLINK("https://drive.google.com/file/d/1BDWplzS6ruvPagIJRdNdxT2-sqx5GH3Q/view?usp=drivesdk","5104_MARLIN YUTRISTIN _ SERTIFIKAT BerAKHLAK")</f>
        <v>5104_MARLIN YUTRISTIN _ SERTIFIKAT BerAKHLAK</v>
      </c>
      <c r="P5105" s="5" t="s">
        <v>33490</v>
      </c>
    </row>
    <row r="5106">
      <c r="A5106" s="4">
        <v>45534.356680462966</v>
      </c>
      <c r="B5106" s="5" t="s">
        <v>34</v>
      </c>
      <c r="D5106" s="5" t="s">
        <v>1206</v>
      </c>
      <c r="E5106" s="5" t="s">
        <v>33491</v>
      </c>
      <c r="F5106" s="5" t="s">
        <v>37</v>
      </c>
      <c r="G5106" s="5" t="s">
        <v>33492</v>
      </c>
      <c r="H5106" s="6" t="s">
        <v>33493</v>
      </c>
      <c r="K5106" s="5" t="s">
        <v>33494</v>
      </c>
      <c r="M5106" s="5" t="s">
        <v>33495</v>
      </c>
      <c r="N5106" s="7" t="s">
        <v>33496</v>
      </c>
      <c r="O5106" s="8" t="str">
        <f>HYPERLINK("https://drive.google.com/file/d/1RD4Gu5ISlRsoUyRZOwJQYjHXwYHy1qPG/view?usp=drivesdk","5105_MUNATUN  _ SERTIFIKAT BerAKHLAK")</f>
        <v>5105_MUNATUN  _ SERTIFIKAT BerAKHLAK</v>
      </c>
      <c r="P5106" s="5" t="s">
        <v>33490</v>
      </c>
    </row>
    <row r="5107">
      <c r="A5107" s="4">
        <v>45534.35668719908</v>
      </c>
      <c r="B5107" s="5" t="s">
        <v>34</v>
      </c>
      <c r="D5107" s="5" t="s">
        <v>9394</v>
      </c>
      <c r="E5107" s="5" t="s">
        <v>33497</v>
      </c>
      <c r="F5107" s="5" t="s">
        <v>375</v>
      </c>
      <c r="G5107" s="5" t="s">
        <v>33498</v>
      </c>
      <c r="H5107" s="6" t="s">
        <v>33499</v>
      </c>
      <c r="K5107" s="5" t="s">
        <v>33494</v>
      </c>
      <c r="M5107" s="5" t="s">
        <v>33500</v>
      </c>
      <c r="N5107" s="7" t="s">
        <v>33501</v>
      </c>
      <c r="O5107" s="8" t="str">
        <f>HYPERLINK("https://drive.google.com/file/d/13j_X-uFu7Gso0Cry6E-a98SGPxCN9Yas/view?usp=drivesdk","5106_KASMAWATI _ SERTIFIKAT BerAKHLAK")</f>
        <v>5106_KASMAWATI _ SERTIFIKAT BerAKHLAK</v>
      </c>
      <c r="P5107" s="5" t="s">
        <v>33490</v>
      </c>
    </row>
    <row r="5108">
      <c r="A5108" s="4">
        <v>45534.35670232639</v>
      </c>
      <c r="B5108" s="5" t="s">
        <v>34</v>
      </c>
      <c r="D5108" s="5" t="s">
        <v>9020</v>
      </c>
      <c r="E5108" s="5" t="s">
        <v>33502</v>
      </c>
      <c r="F5108" s="5" t="s">
        <v>120</v>
      </c>
      <c r="G5108" s="5" t="s">
        <v>33503</v>
      </c>
      <c r="H5108" s="6" t="s">
        <v>33504</v>
      </c>
      <c r="K5108" s="5" t="s">
        <v>33494</v>
      </c>
      <c r="M5108" s="5" t="s">
        <v>33505</v>
      </c>
      <c r="N5108" s="7" t="s">
        <v>33506</v>
      </c>
      <c r="O5108" s="8" t="str">
        <f>HYPERLINK("https://drive.google.com/file/d/1bPe0NqqkMWx57DEiuE8S_Ef0EAPVKhng/view?usp=drivesdk","5107_dr. WAN LIANA DEWI SYAHRA BAROS  _ SERTIFIKAT BerAKHLAK")</f>
        <v>5107_dr. WAN LIANA DEWI SYAHRA BAROS  _ SERTIFIKAT BerAKHLAK</v>
      </c>
      <c r="P5108" s="5" t="s">
        <v>33507</v>
      </c>
    </row>
    <row r="5109">
      <c r="A5109" s="4">
        <v>45534.35672261574</v>
      </c>
      <c r="B5109" s="5" t="s">
        <v>34</v>
      </c>
      <c r="D5109" s="5" t="s">
        <v>9020</v>
      </c>
      <c r="E5109" s="5" t="s">
        <v>33508</v>
      </c>
      <c r="F5109" s="5" t="s">
        <v>212</v>
      </c>
      <c r="G5109" s="5" t="s">
        <v>33509</v>
      </c>
      <c r="H5109" s="6" t="s">
        <v>33510</v>
      </c>
      <c r="I5109" s="7" t="s">
        <v>33511</v>
      </c>
      <c r="J5109" s="8" t="str">
        <f>HYPERLINK("https://drive.google.com/file/d/1uEYO_BYPPmuTJhosSY8HxdMetRRp2pZT/view?usp=drivesdk","RIANINGSIH SERTIFIKAT BerAKHLAK")</f>
        <v>RIANINGSIH SERTIFIKAT BerAKHLAK</v>
      </c>
      <c r="K5109" s="5" t="s">
        <v>33337</v>
      </c>
      <c r="L5109" s="5" t="s">
        <v>33512</v>
      </c>
      <c r="M5109" s="5" t="s">
        <v>33513</v>
      </c>
      <c r="N5109" s="7" t="s">
        <v>33514</v>
      </c>
      <c r="O5109" s="8" t="str">
        <f>HYPERLINK("https://drive.google.com/file/d/1jwNjMURlEmVijY26DOVV1x3a-iZtD7UJ/view?usp=drivesdk","5108_RIANINGSIH _ SERTIFIKAT BerAKHLAK")</f>
        <v>5108_RIANINGSIH _ SERTIFIKAT BerAKHLAK</v>
      </c>
      <c r="P5109" s="5" t="s">
        <v>33507</v>
      </c>
    </row>
    <row r="5110">
      <c r="A5110" s="4">
        <v>45534.35672847222</v>
      </c>
      <c r="B5110" s="5" t="s">
        <v>34</v>
      </c>
      <c r="D5110" s="5" t="s">
        <v>1206</v>
      </c>
      <c r="E5110" s="5" t="s">
        <v>33515</v>
      </c>
      <c r="F5110" s="5" t="s">
        <v>108</v>
      </c>
      <c r="G5110" s="5" t="s">
        <v>33516</v>
      </c>
      <c r="H5110" s="6" t="s">
        <v>33517</v>
      </c>
      <c r="I5110" s="7" t="s">
        <v>33518</v>
      </c>
      <c r="J5110" s="8" t="str">
        <f>HYPERLINK("https://drive.google.com/file/d/1k_jVbiqyzmq0BPwf6pP-IectOfgD0pOx/view?usp=drivesdk","HARIYADI SERTIFIKAT BerAKHLAK")</f>
        <v>HARIYADI SERTIFIKAT BerAKHLAK</v>
      </c>
      <c r="K5110" s="5" t="s">
        <v>33337</v>
      </c>
      <c r="L5110" s="5" t="s">
        <v>33519</v>
      </c>
      <c r="M5110" s="5" t="s">
        <v>33520</v>
      </c>
      <c r="N5110" s="7" t="s">
        <v>33521</v>
      </c>
      <c r="O5110" s="8" t="str">
        <f>HYPERLINK("https://drive.google.com/file/d/1I__9LVDofyYCHYh5mLFtG4yKWUY1eLEc/view?usp=drivesdk","5109_HARIYADI _ SERTIFIKAT BerAKHLAK")</f>
        <v>5109_HARIYADI _ SERTIFIKAT BerAKHLAK</v>
      </c>
      <c r="P5110" s="5" t="s">
        <v>33507</v>
      </c>
    </row>
    <row r="5111" hidden="1">
      <c r="A5111" s="4">
        <v>45534.356731990745</v>
      </c>
      <c r="B5111" s="5" t="s">
        <v>19</v>
      </c>
      <c r="C5111" s="5" t="s">
        <v>442</v>
      </c>
      <c r="E5111" s="5" t="s">
        <v>33522</v>
      </c>
      <c r="F5111" s="5" t="s">
        <v>375</v>
      </c>
      <c r="G5111" s="5" t="s">
        <v>33523</v>
      </c>
      <c r="H5111" s="6" t="s">
        <v>33524</v>
      </c>
      <c r="I5111" s="7" t="s">
        <v>33525</v>
      </c>
      <c r="J5111" s="8" t="str">
        <f>HYPERLINK("https://drive.google.com/file/d/1U-s7iV2pAEji9oNmM9ShOYm-71OtZHxW/view?usp=drivesdk","Niken Rahma Wiraswati, S.E. SERTIFIKAT BerAKHLAK")</f>
        <v>Niken Rahma Wiraswati, S.E. SERTIFIKAT BerAKHLAK</v>
      </c>
      <c r="K5111" s="5" t="s">
        <v>33337</v>
      </c>
      <c r="L5111" s="5" t="s">
        <v>33526</v>
      </c>
      <c r="M5111" s="5" t="s">
        <v>33527</v>
      </c>
      <c r="N5111" s="7" t="s">
        <v>33528</v>
      </c>
      <c r="O5111" s="8" t="str">
        <f>HYPERLINK("https://drive.google.com/file/d/1kA8c4egtEBU9DrA1p8n7Uf5s0G6D_O0E/view?usp=drivesdk","5110_Niken Rahma Wiraswati, S.E. _ SERTIFIKAT BerAKHLAK")</f>
        <v>5110_Niken Rahma Wiraswati, S.E. _ SERTIFIKAT BerAKHLAK</v>
      </c>
      <c r="P5111" s="5" t="s">
        <v>33507</v>
      </c>
    </row>
    <row r="5112">
      <c r="A5112" s="4">
        <v>45534.35673332176</v>
      </c>
      <c r="B5112" s="5" t="s">
        <v>34</v>
      </c>
      <c r="D5112" s="5" t="s">
        <v>4775</v>
      </c>
      <c r="E5112" s="5" t="s">
        <v>33529</v>
      </c>
      <c r="F5112" s="5" t="s">
        <v>120</v>
      </c>
      <c r="G5112" s="5" t="s">
        <v>33530</v>
      </c>
      <c r="H5112" s="6" t="s">
        <v>33531</v>
      </c>
      <c r="I5112" s="7" t="s">
        <v>33532</v>
      </c>
      <c r="J5112" s="8" t="str">
        <f>HYPERLINK("https://drive.google.com/file/d/1LbxlNwIVAqFWxWf59oNEpM2Eex5xK3jK/view?usp=drivesdk","dr RADITYA KUSUMA PUTRA SERTIFIKAT BerAKHLAK")</f>
        <v>dr RADITYA KUSUMA PUTRA SERTIFIKAT BerAKHLAK</v>
      </c>
      <c r="K5112" s="5" t="s">
        <v>33337</v>
      </c>
      <c r="L5112" s="5" t="s">
        <v>33533</v>
      </c>
      <c r="M5112" s="5" t="s">
        <v>33534</v>
      </c>
      <c r="N5112" s="7" t="s">
        <v>33535</v>
      </c>
      <c r="O5112" s="8" t="str">
        <f>HYPERLINK("https://drive.google.com/file/d/1t4qohVvJeCBkaGb2gu9UmhnSgdwio1O3/view?usp=drivesdk","5111_dr RADITYA KUSUMA PUTRA _ SERTIFIKAT BerAKHLAK")</f>
        <v>5111_dr RADITYA KUSUMA PUTRA _ SERTIFIKAT BerAKHLAK</v>
      </c>
      <c r="P5112" s="5" t="s">
        <v>33507</v>
      </c>
    </row>
    <row r="5113">
      <c r="A5113" s="4">
        <v>45534.3567587037</v>
      </c>
      <c r="B5113" s="5" t="s">
        <v>34</v>
      </c>
      <c r="D5113" s="5" t="s">
        <v>35</v>
      </c>
      <c r="E5113" s="5" t="s">
        <v>33536</v>
      </c>
      <c r="F5113" s="5" t="s">
        <v>108</v>
      </c>
      <c r="G5113" s="5" t="s">
        <v>33537</v>
      </c>
      <c r="H5113" s="6" t="s">
        <v>33538</v>
      </c>
      <c r="I5113" s="7" t="s">
        <v>33539</v>
      </c>
      <c r="J5113" s="8" t="str">
        <f>HYPERLINK("https://drive.google.com/file/d/1hqUNL4USYU9iMYmFRwVwNY-gburtLWvf/view?usp=drivesdk","BUDI ROHIMAT SERTIFIKAT BerAKHLAK")</f>
        <v>BUDI ROHIMAT SERTIFIKAT BerAKHLAK</v>
      </c>
      <c r="K5113" s="5" t="s">
        <v>33337</v>
      </c>
      <c r="L5113" s="5" t="s">
        <v>33540</v>
      </c>
      <c r="M5113" s="5" t="s">
        <v>33541</v>
      </c>
      <c r="N5113" s="7" t="s">
        <v>33542</v>
      </c>
      <c r="O5113" s="8" t="str">
        <f>HYPERLINK("https://drive.google.com/file/d/1fpy1nlEntZ_6f2Sm1cSG1lzsuMEjMage/view?usp=drivesdk","5112_BUDI ROHIMAT _ SERTIFIKAT BerAKHLAK")</f>
        <v>5112_BUDI ROHIMAT _ SERTIFIKAT BerAKHLAK</v>
      </c>
      <c r="P5113" s="5" t="s">
        <v>33543</v>
      </c>
    </row>
    <row r="5114">
      <c r="A5114" s="4">
        <v>45534.356763460644</v>
      </c>
      <c r="B5114" s="5" t="s">
        <v>34</v>
      </c>
      <c r="D5114" s="5" t="s">
        <v>12978</v>
      </c>
      <c r="E5114" s="5" t="s">
        <v>33544</v>
      </c>
      <c r="F5114" s="5" t="s">
        <v>524</v>
      </c>
      <c r="G5114" s="5" t="s">
        <v>33545</v>
      </c>
      <c r="H5114" s="6" t="s">
        <v>33546</v>
      </c>
      <c r="I5114" s="7" t="s">
        <v>33547</v>
      </c>
      <c r="J5114" s="8" t="str">
        <f>HYPERLINK("https://drive.google.com/file/d/17WM46RZ96toLwREE3LpwkHhLXLt3yETe/view?usp=drivesdk","RICKA HANDAYANI, SKM  SERTIFIKAT BerAKHLAK")</f>
        <v>RICKA HANDAYANI, SKM  SERTIFIKAT BerAKHLAK</v>
      </c>
      <c r="K5114" s="5" t="s">
        <v>33337</v>
      </c>
      <c r="L5114" s="5" t="s">
        <v>33548</v>
      </c>
      <c r="M5114" s="5" t="s">
        <v>33549</v>
      </c>
      <c r="N5114" s="7" t="s">
        <v>33550</v>
      </c>
      <c r="O5114" s="8" t="str">
        <f>HYPERLINK("https://drive.google.com/file/d/1MuKIhu6mUPXbiF_2YRj7KyY3EKAB7yEt/view?usp=drivesdk","5113_RICKA HANDAYANI, SKM  _ SERTIFIKAT BerAKHLAK")</f>
        <v>5113_RICKA HANDAYANI, SKM  _ SERTIFIKAT BerAKHLAK</v>
      </c>
      <c r="P5114" s="5" t="s">
        <v>33543</v>
      </c>
    </row>
    <row r="5115">
      <c r="A5115" s="4">
        <v>45534.35678128472</v>
      </c>
      <c r="B5115" s="5" t="s">
        <v>34</v>
      </c>
      <c r="D5115" s="5" t="s">
        <v>6232</v>
      </c>
      <c r="E5115" s="5" t="s">
        <v>33551</v>
      </c>
      <c r="F5115" s="5" t="s">
        <v>37</v>
      </c>
      <c r="G5115" s="5" t="s">
        <v>33552</v>
      </c>
      <c r="H5115" s="6" t="s">
        <v>33553</v>
      </c>
      <c r="I5115" s="7" t="s">
        <v>33554</v>
      </c>
      <c r="J5115" s="8" t="str">
        <f>HYPERLINK("https://drive.google.com/file/d/1agj_CC4Hi2pSb3HYwK_RD9OBu8RlwEX-/view?usp=drivesdk","ELI YARITATI SERTIFIKAT BerAKHLAK")</f>
        <v>ELI YARITATI SERTIFIKAT BerAKHLAK</v>
      </c>
      <c r="K5115" s="5" t="s">
        <v>33337</v>
      </c>
      <c r="L5115" s="5" t="s">
        <v>33555</v>
      </c>
      <c r="M5115" s="5" t="s">
        <v>33556</v>
      </c>
      <c r="N5115" s="7" t="s">
        <v>33557</v>
      </c>
      <c r="O5115" s="8" t="str">
        <f>HYPERLINK("https://drive.google.com/file/d/1fXiltDD2uq75qjNZs8_IFlF9KdohvYwk/view?usp=drivesdk","5114_ELI YARITATI _ SERTIFIKAT BerAKHLAK")</f>
        <v>5114_ELI YARITATI _ SERTIFIKAT BerAKHLAK</v>
      </c>
      <c r="P5115" s="5" t="s">
        <v>33543</v>
      </c>
    </row>
    <row r="5116">
      <c r="A5116" s="4">
        <v>45534.356783483796</v>
      </c>
      <c r="B5116" s="5" t="s">
        <v>34</v>
      </c>
      <c r="D5116" s="5" t="s">
        <v>10444</v>
      </c>
      <c r="E5116" s="5" t="s">
        <v>33558</v>
      </c>
      <c r="F5116" s="5" t="s">
        <v>72</v>
      </c>
      <c r="G5116" s="5" t="s">
        <v>33559</v>
      </c>
      <c r="H5116" s="6" t="s">
        <v>33560</v>
      </c>
      <c r="I5116" s="7" t="s">
        <v>33561</v>
      </c>
      <c r="J5116" s="8" t="str">
        <f>HYPERLINK("https://drive.google.com/file/d/1N4kAxZP991xkRSy3F9m6eL5yWKFIFvkQ/view?usp=drivesdk","Lely Yanusa Fitri SERTIFIKAT BerAKHLAK")</f>
        <v>Lely Yanusa Fitri SERTIFIKAT BerAKHLAK</v>
      </c>
      <c r="K5116" s="5" t="s">
        <v>33337</v>
      </c>
      <c r="L5116" s="5" t="s">
        <v>33562</v>
      </c>
      <c r="M5116" s="5" t="s">
        <v>33563</v>
      </c>
      <c r="N5116" s="7" t="s">
        <v>33564</v>
      </c>
      <c r="O5116" s="8" t="str">
        <f>HYPERLINK("https://drive.google.com/file/d/1vQS9J1OpkZ8eJlKDOP2c_o4vtdE-unNN/view?usp=drivesdk","5115_Lely Yanusa Fitri _ SERTIFIKAT BerAKHLAK")</f>
        <v>5115_Lely Yanusa Fitri _ SERTIFIKAT BerAKHLAK</v>
      </c>
      <c r="P5116" s="5" t="s">
        <v>33543</v>
      </c>
    </row>
    <row r="5117">
      <c r="A5117" s="4">
        <v>45534.35679913194</v>
      </c>
      <c r="B5117" s="5" t="s">
        <v>34</v>
      </c>
      <c r="D5117" s="5" t="s">
        <v>4775</v>
      </c>
      <c r="E5117" s="5" t="s">
        <v>33565</v>
      </c>
      <c r="F5117" s="5" t="s">
        <v>212</v>
      </c>
      <c r="G5117" s="5" t="s">
        <v>33566</v>
      </c>
      <c r="H5117" s="6" t="s">
        <v>33567</v>
      </c>
      <c r="I5117" s="7" t="s">
        <v>33568</v>
      </c>
      <c r="J5117" s="8" t="str">
        <f>HYPERLINK("https://drive.google.com/file/d/1dJMgFTwdUa6XZPcvND4OnwhgBWxa8b1M/view?usp=drivesdk","KARYONO SERTIFIKAT BerAKHLAK")</f>
        <v>KARYONO SERTIFIKAT BerAKHLAK</v>
      </c>
      <c r="K5117" s="5" t="s">
        <v>33337</v>
      </c>
      <c r="L5117" s="5" t="s">
        <v>33569</v>
      </c>
      <c r="M5117" s="5" t="s">
        <v>33570</v>
      </c>
      <c r="N5117" s="7" t="s">
        <v>33571</v>
      </c>
      <c r="O5117" s="8" t="str">
        <f>HYPERLINK("https://drive.google.com/file/d/1DTAUfpRevRXYova28PnEEQdw3B-7Ts_D/view?usp=drivesdk","5116_KARYONO _ SERTIFIKAT BerAKHLAK")</f>
        <v>5116_KARYONO _ SERTIFIKAT BerAKHLAK</v>
      </c>
      <c r="P5117" s="5" t="s">
        <v>33543</v>
      </c>
    </row>
    <row r="5118">
      <c r="A5118" s="4">
        <v>45534.35681013889</v>
      </c>
      <c r="B5118" s="5" t="s">
        <v>34</v>
      </c>
      <c r="D5118" s="5" t="s">
        <v>4775</v>
      </c>
      <c r="E5118" s="5" t="s">
        <v>33572</v>
      </c>
      <c r="F5118" s="5" t="s">
        <v>375</v>
      </c>
      <c r="G5118" s="5" t="s">
        <v>33573</v>
      </c>
      <c r="H5118" s="6" t="s">
        <v>33574</v>
      </c>
      <c r="I5118" s="7" t="s">
        <v>33575</v>
      </c>
      <c r="J5118" s="8" t="str">
        <f>HYPERLINK("https://drive.google.com/file/d/1TkkkQaQsl-oHJvEHVz1Yr4zT_15FnVc6/view?usp=drivesdk","NUR TAUFIK, S.T. SERTIFIKAT BerAKHLAK")</f>
        <v>NUR TAUFIK, S.T. SERTIFIKAT BerAKHLAK</v>
      </c>
      <c r="K5118" s="5" t="s">
        <v>33337</v>
      </c>
      <c r="L5118" s="5" t="s">
        <v>33576</v>
      </c>
      <c r="M5118" s="5" t="s">
        <v>33577</v>
      </c>
      <c r="N5118" s="7" t="s">
        <v>33578</v>
      </c>
      <c r="O5118" s="8" t="str">
        <f>HYPERLINK("https://drive.google.com/file/d/1XMdg6KrmkpgtZax8oCvIitqdFs070c0P/view?usp=drivesdk","5117_NUR TAUFIK, S.T. _ SERTIFIKAT BerAKHLAK")</f>
        <v>5117_NUR TAUFIK, S.T. _ SERTIFIKAT BerAKHLAK</v>
      </c>
      <c r="P5118" s="5" t="s">
        <v>33579</v>
      </c>
    </row>
    <row r="5119">
      <c r="A5119" s="4">
        <v>45534.356821423615</v>
      </c>
      <c r="B5119" s="5" t="s">
        <v>34</v>
      </c>
      <c r="D5119" s="5" t="s">
        <v>4775</v>
      </c>
      <c r="E5119" s="5" t="s">
        <v>33580</v>
      </c>
      <c r="F5119" s="5" t="s">
        <v>524</v>
      </c>
      <c r="G5119" s="5" t="s">
        <v>33581</v>
      </c>
      <c r="H5119" s="6" t="s">
        <v>33582</v>
      </c>
      <c r="I5119" s="7" t="s">
        <v>33583</v>
      </c>
      <c r="J5119" s="8" t="str">
        <f>HYPERLINK("https://drive.google.com/file/d/1kfd_PAhdj7RqnrxHUUC9mVCLkdBJiZE_/view?usp=drivesdk","INDAH SULISTYO INDRANI, S.H SERTIFIKAT BerAKHLAK")</f>
        <v>INDAH SULISTYO INDRANI, S.H SERTIFIKAT BerAKHLAK</v>
      </c>
      <c r="K5119" s="5" t="s">
        <v>33337</v>
      </c>
      <c r="L5119" s="5" t="s">
        <v>33584</v>
      </c>
      <c r="M5119" s="5" t="s">
        <v>33585</v>
      </c>
      <c r="N5119" s="7" t="s">
        <v>33586</v>
      </c>
      <c r="O5119" s="8" t="str">
        <f>HYPERLINK("https://drive.google.com/file/d/1P9VIyylPfKUzqNdkrNtUB-x7vUJdxO5-/view?usp=drivesdk","5118_INDAH SULISTYO INDRANI, S.H _ SERTIFIKAT BerAKHLAK")</f>
        <v>5118_INDAH SULISTYO INDRANI, S.H _ SERTIFIKAT BerAKHLAK</v>
      </c>
      <c r="P5119" s="5" t="s">
        <v>33579</v>
      </c>
    </row>
    <row r="5120">
      <c r="A5120" s="4">
        <v>45534.35683096065</v>
      </c>
      <c r="B5120" s="5" t="s">
        <v>34</v>
      </c>
      <c r="D5120" s="5" t="s">
        <v>1206</v>
      </c>
      <c r="E5120" s="5" t="s">
        <v>33587</v>
      </c>
      <c r="F5120" s="5" t="s">
        <v>375</v>
      </c>
      <c r="G5120" s="5" t="s">
        <v>33588</v>
      </c>
      <c r="H5120" s="6" t="s">
        <v>33589</v>
      </c>
      <c r="K5120" s="5" t="s">
        <v>33590</v>
      </c>
      <c r="M5120" s="5" t="s">
        <v>33591</v>
      </c>
      <c r="N5120" s="7" t="s">
        <v>33592</v>
      </c>
      <c r="O5120" s="8" t="str">
        <f>HYPERLINK("https://drive.google.com/file/d/11qcBVNiDBr_kIGOo0ocNbo6eF2dJigkx/view?usp=drivesdk","5119_dr. LIVA ANGGRAENI _ SERTIFIKAT BerAKHLAK")</f>
        <v>5119_dr. LIVA ANGGRAENI _ SERTIFIKAT BerAKHLAK</v>
      </c>
      <c r="P5120" s="5" t="s">
        <v>33579</v>
      </c>
    </row>
    <row r="5121">
      <c r="A5121" s="4">
        <v>45534.35683553241</v>
      </c>
      <c r="B5121" s="5" t="s">
        <v>34</v>
      </c>
      <c r="D5121" s="5" t="s">
        <v>1206</v>
      </c>
      <c r="E5121" s="5" t="s">
        <v>33593</v>
      </c>
      <c r="F5121" s="5" t="s">
        <v>37</v>
      </c>
      <c r="G5121" s="5" t="s">
        <v>33594</v>
      </c>
      <c r="H5121" s="6" t="s">
        <v>33595</v>
      </c>
      <c r="K5121" s="5" t="s">
        <v>33590</v>
      </c>
      <c r="M5121" s="5" t="s">
        <v>33596</v>
      </c>
      <c r="N5121" s="7" t="s">
        <v>33597</v>
      </c>
      <c r="O5121" s="8" t="str">
        <f>HYPERLINK("https://drive.google.com/file/d/1e7Da5bTlq4_zH2XmaaJ-81K68QtgGhOb/view?usp=drivesdk","5120_RITA AMELIA, ST _ SERTIFIKAT BerAKHLAK")</f>
        <v>5120_RITA AMELIA, ST _ SERTIFIKAT BerAKHLAK</v>
      </c>
      <c r="P5121" s="5" t="s">
        <v>33579</v>
      </c>
    </row>
    <row r="5122">
      <c r="A5122" s="4">
        <v>45534.35683763889</v>
      </c>
      <c r="B5122" s="5" t="s">
        <v>34</v>
      </c>
      <c r="D5122" s="5" t="s">
        <v>1206</v>
      </c>
      <c r="E5122" s="5" t="s">
        <v>33598</v>
      </c>
      <c r="F5122" s="5" t="s">
        <v>108</v>
      </c>
      <c r="G5122" s="5" t="s">
        <v>33599</v>
      </c>
      <c r="H5122" s="6" t="s">
        <v>33600</v>
      </c>
      <c r="K5122" s="5" t="s">
        <v>33590</v>
      </c>
      <c r="M5122" s="5" t="s">
        <v>33601</v>
      </c>
      <c r="N5122" s="7" t="s">
        <v>33602</v>
      </c>
      <c r="O5122" s="8" t="str">
        <f>HYPERLINK("https://drive.google.com/file/d/12BWcN7nSYzKURN0GjQtdJCgTEkWEHeea/view?usp=drivesdk","5121_SELVIA INDRITA _ SERTIFIKAT BerAKHLAK")</f>
        <v>5121_SELVIA INDRITA _ SERTIFIKAT BerAKHLAK</v>
      </c>
      <c r="P5122" s="5" t="s">
        <v>33579</v>
      </c>
    </row>
    <row r="5123">
      <c r="A5123" s="4">
        <v>45534.356879756946</v>
      </c>
      <c r="B5123" s="5" t="s">
        <v>34</v>
      </c>
      <c r="D5123" s="5" t="s">
        <v>1206</v>
      </c>
      <c r="E5123" s="5" t="s">
        <v>33603</v>
      </c>
      <c r="F5123" s="5" t="s">
        <v>37</v>
      </c>
      <c r="G5123" s="5" t="s">
        <v>33604</v>
      </c>
      <c r="H5123" s="6" t="s">
        <v>33605</v>
      </c>
      <c r="I5123" s="7" t="s">
        <v>33606</v>
      </c>
      <c r="J5123" s="8" t="str">
        <f>HYPERLINK("https://drive.google.com/file/d/1FI9Nr9TDKHU62D18PFrxXwlySHCaYjIQ/view?usp=drivesdk","IMAM WIDODO SERTIFIKAT BerAKHLAK")</f>
        <v>IMAM WIDODO SERTIFIKAT BerAKHLAK</v>
      </c>
      <c r="K5123" s="5" t="s">
        <v>33337</v>
      </c>
      <c r="L5123" s="5" t="s">
        <v>33607</v>
      </c>
      <c r="M5123" s="5" t="s">
        <v>33608</v>
      </c>
      <c r="N5123" s="7" t="s">
        <v>33609</v>
      </c>
      <c r="O5123" s="8" t="str">
        <f>HYPERLINK("https://drive.google.com/file/d/1RdeQu0IZ-5bXQU8zgmlT3ABJRwbMcFQN/view?usp=drivesdk","5122_IMAM WIDODO _ SERTIFIKAT BerAKHLAK")</f>
        <v>5122_IMAM WIDODO _ SERTIFIKAT BerAKHLAK</v>
      </c>
      <c r="P5123" s="5" t="s">
        <v>33610</v>
      </c>
    </row>
    <row r="5124">
      <c r="A5124" s="4">
        <v>45534.35688651621</v>
      </c>
      <c r="B5124" s="5" t="s">
        <v>34</v>
      </c>
      <c r="D5124" s="5" t="s">
        <v>4775</v>
      </c>
      <c r="E5124" s="5" t="s">
        <v>33611</v>
      </c>
      <c r="F5124" s="5" t="s">
        <v>108</v>
      </c>
      <c r="G5124" s="5" t="s">
        <v>33612</v>
      </c>
      <c r="H5124" s="6" t="s">
        <v>33613</v>
      </c>
      <c r="I5124" s="7" t="s">
        <v>33614</v>
      </c>
      <c r="J5124" s="8" t="str">
        <f>HYPERLINK("https://drive.google.com/file/d/1HPPWwcxjuwwZxXoDPG4WU_JiteJvrPnD/view?usp=drivesdk","DEDI DWI SETYAWAN, AMK SERTIFIKAT BerAKHLAK")</f>
        <v>DEDI DWI SETYAWAN, AMK SERTIFIKAT BerAKHLAK</v>
      </c>
      <c r="K5124" s="5" t="s">
        <v>33337</v>
      </c>
      <c r="L5124" s="5" t="s">
        <v>33615</v>
      </c>
      <c r="M5124" s="5" t="s">
        <v>33616</v>
      </c>
      <c r="N5124" s="7" t="s">
        <v>33617</v>
      </c>
      <c r="O5124" s="8" t="str">
        <f>HYPERLINK("https://drive.google.com/file/d/1yWkjAHM5fQSUYDjXmvXMiglQ10QHTjXc/view?usp=drivesdk","5123_DEDI DWI SETYAWAN, AMK _ SERTIFIKAT BerAKHLAK")</f>
        <v>5123_DEDI DWI SETYAWAN, AMK _ SERTIFIKAT BerAKHLAK</v>
      </c>
      <c r="P5124" s="5" t="s">
        <v>33610</v>
      </c>
    </row>
    <row r="5125">
      <c r="A5125" s="4">
        <v>45534.356891655094</v>
      </c>
      <c r="B5125" s="5" t="s">
        <v>34</v>
      </c>
      <c r="D5125" s="5" t="s">
        <v>9020</v>
      </c>
      <c r="E5125" s="5" t="s">
        <v>33618</v>
      </c>
      <c r="F5125" s="5" t="s">
        <v>715</v>
      </c>
      <c r="G5125" s="5" t="s">
        <v>33619</v>
      </c>
      <c r="H5125" s="6" t="s">
        <v>33620</v>
      </c>
      <c r="I5125" s="7" t="s">
        <v>33621</v>
      </c>
      <c r="J5125" s="8" t="str">
        <f>HYPERLINK("https://drive.google.com/file/d/1LBsEL-QWWoAkr0aawZAjxyCnZt_sAaH3/view?usp=drivesdk","Yusan Yanti Sinaga  SERTIFIKAT BerAKHLAK")</f>
        <v>Yusan Yanti Sinaga  SERTIFIKAT BerAKHLAK</v>
      </c>
      <c r="K5125" s="5" t="s">
        <v>33337</v>
      </c>
      <c r="L5125" s="5" t="s">
        <v>33622</v>
      </c>
      <c r="M5125" s="5" t="s">
        <v>33623</v>
      </c>
      <c r="N5125" s="7" t="s">
        <v>33624</v>
      </c>
      <c r="O5125" s="8" t="str">
        <f>HYPERLINK("https://drive.google.com/file/d/1a4dGc3NTx-mC8Iri8s050NUoPXs3ccRr/view?usp=drivesdk","5124_Yusan Yanti Sinaga  _ SERTIFIKAT BerAKHLAK")</f>
        <v>5124_Yusan Yanti Sinaga  _ SERTIFIKAT BerAKHLAK</v>
      </c>
      <c r="P5125" s="5" t="s">
        <v>33610</v>
      </c>
    </row>
    <row r="5126">
      <c r="A5126" s="4">
        <v>45534.356896921294</v>
      </c>
      <c r="B5126" s="5" t="s">
        <v>34</v>
      </c>
      <c r="D5126" s="5" t="s">
        <v>6232</v>
      </c>
      <c r="E5126" s="5" t="s">
        <v>33625</v>
      </c>
      <c r="F5126" s="5" t="s">
        <v>37</v>
      </c>
      <c r="G5126" s="5" t="s">
        <v>33626</v>
      </c>
      <c r="H5126" s="6" t="s">
        <v>33627</v>
      </c>
      <c r="I5126" s="7" t="s">
        <v>33628</v>
      </c>
      <c r="J5126" s="8" t="str">
        <f>HYPERLINK("https://drive.google.com/file/d/1g9OOeXCjMDtq7c__x5ODzeNSsiPJB1f7/view?usp=drivesdk","Deby Cinthia Yolanda,AMd.RM SERTIFIKAT BerAKHLAK")</f>
        <v>Deby Cinthia Yolanda,AMd.RM SERTIFIKAT BerAKHLAK</v>
      </c>
      <c r="K5126" s="5" t="s">
        <v>33337</v>
      </c>
      <c r="L5126" s="5" t="s">
        <v>33629</v>
      </c>
      <c r="M5126" s="5" t="s">
        <v>33630</v>
      </c>
      <c r="N5126" s="7" t="s">
        <v>33631</v>
      </c>
      <c r="O5126" s="8" t="str">
        <f>HYPERLINK("https://drive.google.com/file/d/1JuZmU0bBX-B80CEAtymSeFNJEazMXCE4/view?usp=drivesdk","5125_Deby Cinthia Yolanda,AMd.RM _ SERTIFIKAT BerAKHLAK")</f>
        <v>5125_Deby Cinthia Yolanda,AMd.RM _ SERTIFIKAT BerAKHLAK</v>
      </c>
      <c r="P5126" s="5" t="s">
        <v>33610</v>
      </c>
    </row>
    <row r="5127">
      <c r="A5127" s="4">
        <v>45534.35691761574</v>
      </c>
      <c r="B5127" s="5" t="s">
        <v>34</v>
      </c>
      <c r="D5127" s="5" t="s">
        <v>35</v>
      </c>
      <c r="E5127" s="5" t="s">
        <v>33632</v>
      </c>
      <c r="F5127" s="5" t="s">
        <v>37</v>
      </c>
      <c r="G5127" s="5" t="s">
        <v>33633</v>
      </c>
      <c r="H5127" s="6" t="s">
        <v>33634</v>
      </c>
      <c r="I5127" s="7" t="s">
        <v>33635</v>
      </c>
      <c r="J5127" s="8" t="str">
        <f>HYPERLINK("https://drive.google.com/file/d/1yCaUr8Wxv-WkDGtq60E-PHNLqqXhbyYX/view?usp=drivesdk","IDAR DARYANTI SERTIFIKAT BerAKHLAK")</f>
        <v>IDAR DARYANTI SERTIFIKAT BerAKHLAK</v>
      </c>
      <c r="K5127" s="5" t="s">
        <v>33337</v>
      </c>
      <c r="L5127" s="5" t="s">
        <v>33636</v>
      </c>
      <c r="M5127" s="5" t="s">
        <v>33637</v>
      </c>
      <c r="N5127" s="7" t="s">
        <v>33638</v>
      </c>
      <c r="O5127" s="8" t="str">
        <f>HYPERLINK("https://drive.google.com/file/d/1MAHA1decPvakdN_WQCTpfwjci_Z5Z-xV/view?usp=drivesdk","5126_IDAR DARYANTI _ SERTIFIKAT BerAKHLAK")</f>
        <v>5126_IDAR DARYANTI _ SERTIFIKAT BerAKHLAK</v>
      </c>
      <c r="P5127" s="5" t="s">
        <v>33610</v>
      </c>
    </row>
    <row r="5128">
      <c r="A5128" s="4">
        <v>45534.35693443287</v>
      </c>
      <c r="B5128" s="5" t="s">
        <v>34</v>
      </c>
      <c r="D5128" s="5" t="s">
        <v>1692</v>
      </c>
      <c r="E5128" s="5" t="s">
        <v>33639</v>
      </c>
      <c r="F5128" s="5" t="s">
        <v>375</v>
      </c>
      <c r="G5128" s="5" t="s">
        <v>33640</v>
      </c>
      <c r="H5128" s="6" t="s">
        <v>33641</v>
      </c>
      <c r="I5128" s="7" t="s">
        <v>33642</v>
      </c>
      <c r="J5128" s="8" t="str">
        <f>HYPERLINK("https://drive.google.com/file/d/1FFpxyBKoRb5XEeXgrm-fFzib9Jfd0ftm/view?usp=drivesdk","JULIA WELTH SALIAMA,S.Kep SERTIFIKAT BerAKHLAK")</f>
        <v>JULIA WELTH SALIAMA,S.Kep SERTIFIKAT BerAKHLAK</v>
      </c>
      <c r="K5128" s="5" t="s">
        <v>33337</v>
      </c>
      <c r="L5128" s="5" t="s">
        <v>33643</v>
      </c>
      <c r="M5128" s="5" t="s">
        <v>33644</v>
      </c>
      <c r="N5128" s="7" t="s">
        <v>33645</v>
      </c>
      <c r="O5128" s="8" t="str">
        <f>HYPERLINK("https://drive.google.com/file/d/1QpHePwixYbpUvzTBe909rN1XkkATnXYS/view?usp=drivesdk","5127_JULIA WELTH SALIAMA,S.Kep _ SERTIFIKAT BerAKHLAK")</f>
        <v>5127_JULIA WELTH SALIAMA,S.Kep _ SERTIFIKAT BerAKHLAK</v>
      </c>
      <c r="P5128" s="5" t="s">
        <v>33610</v>
      </c>
    </row>
    <row r="5129">
      <c r="A5129" s="4">
        <v>45534.35693494213</v>
      </c>
      <c r="B5129" s="5" t="s">
        <v>34</v>
      </c>
      <c r="D5129" s="5" t="s">
        <v>4775</v>
      </c>
      <c r="E5129" s="5" t="s">
        <v>33646</v>
      </c>
      <c r="F5129" s="5" t="s">
        <v>212</v>
      </c>
      <c r="G5129" s="5" t="s">
        <v>33647</v>
      </c>
      <c r="H5129" s="6" t="s">
        <v>33648</v>
      </c>
      <c r="K5129" s="5" t="s">
        <v>33649</v>
      </c>
      <c r="M5129" s="5" t="s">
        <v>33650</v>
      </c>
      <c r="N5129" s="7" t="s">
        <v>33651</v>
      </c>
      <c r="O5129" s="8" t="str">
        <f>HYPERLINK("https://drive.google.com/file/d/1_vQwQLHQOwW__jMOTj29rgZzmH2M_nb_/view?usp=drivesdk","5128_SRI SUKAMTI _ SERTIFIKAT BerAKHLAK")</f>
        <v>5128_SRI SUKAMTI _ SERTIFIKAT BerAKHLAK</v>
      </c>
      <c r="P5129" s="5" t="s">
        <v>33652</v>
      </c>
    </row>
    <row r="5130">
      <c r="A5130" s="4">
        <v>45534.356936261574</v>
      </c>
      <c r="B5130" s="5" t="s">
        <v>34</v>
      </c>
      <c r="D5130" s="5" t="s">
        <v>1456</v>
      </c>
      <c r="E5130" s="5" t="s">
        <v>33653</v>
      </c>
      <c r="F5130" s="5" t="s">
        <v>212</v>
      </c>
      <c r="G5130" s="5" t="s">
        <v>33654</v>
      </c>
      <c r="H5130" s="6" t="s">
        <v>33655</v>
      </c>
      <c r="K5130" s="5" t="s">
        <v>33649</v>
      </c>
      <c r="M5130" s="5" t="s">
        <v>33656</v>
      </c>
      <c r="N5130" s="7" t="s">
        <v>33657</v>
      </c>
      <c r="O5130" s="8" t="str">
        <f>HYPERLINK("https://drive.google.com/file/d/18GvPoivTBSJYv9NY3dnl957Pf0BRZSTk/view?usp=drivesdk","5129_SITI NURLELA _ SERTIFIKAT BerAKHLAK")</f>
        <v>5129_SITI NURLELA _ SERTIFIKAT BerAKHLAK</v>
      </c>
      <c r="P5130" s="5" t="s">
        <v>33652</v>
      </c>
    </row>
    <row r="5131">
      <c r="A5131" s="4">
        <v>45534.35694454861</v>
      </c>
      <c r="B5131" s="5" t="s">
        <v>34</v>
      </c>
      <c r="D5131" s="5" t="s">
        <v>9020</v>
      </c>
      <c r="E5131" s="5" t="s">
        <v>33658</v>
      </c>
      <c r="F5131" s="5" t="s">
        <v>715</v>
      </c>
      <c r="G5131" s="5" t="s">
        <v>33659</v>
      </c>
      <c r="H5131" s="6" t="s">
        <v>33660</v>
      </c>
      <c r="K5131" s="5" t="s">
        <v>33649</v>
      </c>
      <c r="M5131" s="5" t="s">
        <v>33661</v>
      </c>
      <c r="N5131" s="7" t="s">
        <v>33662</v>
      </c>
      <c r="O5131" s="8" t="str">
        <f>HYPERLINK("https://drive.google.com/file/d/1_t60Gq0np8vYjrJlM189VjvO1u--o5yl/view?usp=drivesdk","5130_SITI RAHMA _ SERTIFIKAT BerAKHLAK")</f>
        <v>5130_SITI RAHMA _ SERTIFIKAT BerAKHLAK</v>
      </c>
      <c r="P5131" s="5" t="s">
        <v>33652</v>
      </c>
    </row>
    <row r="5132">
      <c r="A5132" s="4">
        <v>45534.356950671296</v>
      </c>
      <c r="B5132" s="5" t="s">
        <v>34</v>
      </c>
      <c r="D5132" s="5" t="s">
        <v>9020</v>
      </c>
      <c r="E5132" s="5" t="s">
        <v>33663</v>
      </c>
      <c r="F5132" s="5" t="s">
        <v>212</v>
      </c>
      <c r="G5132" s="5" t="s">
        <v>33664</v>
      </c>
      <c r="H5132" s="6" t="s">
        <v>33665</v>
      </c>
      <c r="I5132" s="7" t="s">
        <v>33666</v>
      </c>
      <c r="J5132" s="8" t="str">
        <f>HYPERLINK("https://drive.google.com/file/d/1HQTfL53mCfN4kZjlEXTqJz9ys3ZmcWPr/view?usp=drivesdk","IRWANSYAH PUTRA SERTIFIKAT BerAKHLAK")</f>
        <v>IRWANSYAH PUTRA SERTIFIKAT BerAKHLAK</v>
      </c>
      <c r="K5132" s="5" t="s">
        <v>33337</v>
      </c>
      <c r="L5132" s="5" t="s">
        <v>33667</v>
      </c>
      <c r="M5132" s="5" t="s">
        <v>33668</v>
      </c>
      <c r="N5132" s="7" t="s">
        <v>33669</v>
      </c>
      <c r="O5132" s="8" t="str">
        <f>HYPERLINK("https://drive.google.com/file/d/1X24COq5aaQSRsRRW7fx9EuqrIoLFkeuO/view?usp=drivesdk","5131_IRWANSYAH PUTRA _ SERTIFIKAT BerAKHLAK")</f>
        <v>5131_IRWANSYAH PUTRA _ SERTIFIKAT BerAKHLAK</v>
      </c>
      <c r="P5132" s="5" t="s">
        <v>33670</v>
      </c>
    </row>
    <row r="5133">
      <c r="A5133" s="4">
        <v>45534.35695119213</v>
      </c>
      <c r="B5133" s="5" t="s">
        <v>34</v>
      </c>
      <c r="D5133" s="5" t="s">
        <v>1206</v>
      </c>
      <c r="E5133" s="5" t="s">
        <v>33671</v>
      </c>
      <c r="F5133" s="5" t="s">
        <v>37</v>
      </c>
      <c r="G5133" s="5" t="s">
        <v>33672</v>
      </c>
      <c r="H5133" s="6" t="s">
        <v>33673</v>
      </c>
      <c r="I5133" s="7" t="s">
        <v>33674</v>
      </c>
      <c r="J5133" s="8" t="str">
        <f>HYPERLINK("https://drive.google.com/file/d/18EcYl6AC8j6cUYgED7TqcwFf8UbPfFzm/view?usp=drivesdk","Nuning Mulyo Utami Amd,keb SERTIFIKAT BerAKHLAK")</f>
        <v>Nuning Mulyo Utami Amd,keb SERTIFIKAT BerAKHLAK</v>
      </c>
      <c r="K5133" s="5" t="s">
        <v>33337</v>
      </c>
      <c r="L5133" s="5" t="s">
        <v>33675</v>
      </c>
      <c r="M5133" s="5" t="s">
        <v>33676</v>
      </c>
      <c r="N5133" s="7" t="s">
        <v>33677</v>
      </c>
      <c r="O5133" s="8" t="str">
        <f>HYPERLINK("https://drive.google.com/file/d/1p55EMTSCtWRacIToNnVGgAl3RE6XOsLz/view?usp=drivesdk","5132_Nuning Mulyo Utami Amd,keb _ SERTIFIKAT BerAKHLAK")</f>
        <v>5132_Nuning Mulyo Utami Amd,keb _ SERTIFIKAT BerAKHLAK</v>
      </c>
      <c r="P5133" s="5" t="s">
        <v>33670</v>
      </c>
    </row>
    <row r="5134">
      <c r="A5134" s="4">
        <v>45534.356959675926</v>
      </c>
      <c r="B5134" s="5" t="s">
        <v>34</v>
      </c>
      <c r="D5134" s="5" t="s">
        <v>1206</v>
      </c>
      <c r="E5134" s="5" t="s">
        <v>33678</v>
      </c>
      <c r="F5134" s="5" t="s">
        <v>37</v>
      </c>
      <c r="G5134" s="5" t="s">
        <v>33679</v>
      </c>
      <c r="H5134" s="6" t="s">
        <v>33680</v>
      </c>
      <c r="I5134" s="7" t="s">
        <v>33681</v>
      </c>
      <c r="J5134" s="8" t="str">
        <f>HYPERLINK("https://drive.google.com/file/d/12WEiu3qkL8MUGr3gEqD10Oy1hLv7qPve/view?usp=drivesdk","ERNIS EFIYANA SERTIFIKAT BerAKHLAK")</f>
        <v>ERNIS EFIYANA SERTIFIKAT BerAKHLAK</v>
      </c>
      <c r="K5134" s="5" t="s">
        <v>33337</v>
      </c>
      <c r="L5134" s="5" t="s">
        <v>33682</v>
      </c>
      <c r="M5134" s="5" t="s">
        <v>33683</v>
      </c>
      <c r="N5134" s="7" t="s">
        <v>33684</v>
      </c>
      <c r="O5134" s="8" t="str">
        <f>HYPERLINK("https://drive.google.com/file/d/1lFTjtNl-dOKkrO0TQEClDwVNvzALoxEJ/view?usp=drivesdk","5133_ERNIS EFIYANA _ SERTIFIKAT BerAKHLAK")</f>
        <v>5133_ERNIS EFIYANA _ SERTIFIKAT BerAKHLAK</v>
      </c>
      <c r="P5134" s="5" t="s">
        <v>33670</v>
      </c>
    </row>
    <row r="5135">
      <c r="A5135" s="4">
        <v>45534.35696097222</v>
      </c>
      <c r="B5135" s="5" t="s">
        <v>34</v>
      </c>
      <c r="D5135" s="5" t="s">
        <v>9020</v>
      </c>
      <c r="E5135" s="5" t="s">
        <v>33685</v>
      </c>
      <c r="F5135" s="5" t="s">
        <v>524</v>
      </c>
      <c r="G5135" s="5" t="s">
        <v>33686</v>
      </c>
      <c r="H5135" s="6" t="s">
        <v>33687</v>
      </c>
      <c r="I5135" s="7" t="s">
        <v>33688</v>
      </c>
      <c r="J5135" s="8" t="str">
        <f>HYPERLINK("https://drive.google.com/file/d/1BQSoV7n_Ghjxr0Utsr_KbOJUC1OQw8P0/view?usp=drivesdk","SYAMSIAH TAMBUNAN SERTIFIKAT BerAKHLAK")</f>
        <v>SYAMSIAH TAMBUNAN SERTIFIKAT BerAKHLAK</v>
      </c>
      <c r="K5135" s="5" t="s">
        <v>33375</v>
      </c>
      <c r="L5135" s="5" t="s">
        <v>33689</v>
      </c>
      <c r="M5135" s="5" t="s">
        <v>33690</v>
      </c>
      <c r="N5135" s="7" t="s">
        <v>33691</v>
      </c>
      <c r="O5135" s="8" t="str">
        <f>HYPERLINK("https://drive.google.com/file/d/1kG405fyCupFIgF9LhrSFH6WJClW-x6Is/view?usp=drivesdk","5134_SYAMSIAH TAMBUNAN _ SERTIFIKAT BerAKHLAK")</f>
        <v>5134_SYAMSIAH TAMBUNAN _ SERTIFIKAT BerAKHLAK</v>
      </c>
      <c r="P5135" s="5" t="s">
        <v>33670</v>
      </c>
    </row>
    <row r="5136" hidden="1">
      <c r="A5136" s="4">
        <v>45534.35696099537</v>
      </c>
      <c r="B5136" s="5" t="s">
        <v>19</v>
      </c>
      <c r="C5136" s="5" t="s">
        <v>442</v>
      </c>
      <c r="E5136" s="5" t="s">
        <v>33692</v>
      </c>
      <c r="F5136" s="5" t="s">
        <v>108</v>
      </c>
      <c r="G5136" s="5" t="s">
        <v>33693</v>
      </c>
      <c r="H5136" s="6" t="s">
        <v>33694</v>
      </c>
      <c r="I5136" s="7" t="s">
        <v>33695</v>
      </c>
      <c r="J5136" s="8" t="str">
        <f>HYPERLINK("https://drive.google.com/file/d/1E02EHDhyaO9IviTkJaX2kCJMbKGujPLg/view?usp=drivesdk","TETIANA, S.E. SERTIFIKAT BerAKHLAK")</f>
        <v>TETIANA, S.E. SERTIFIKAT BerAKHLAK</v>
      </c>
      <c r="K5136" s="5" t="s">
        <v>33375</v>
      </c>
      <c r="L5136" s="5" t="s">
        <v>33696</v>
      </c>
      <c r="M5136" s="5" t="s">
        <v>33697</v>
      </c>
      <c r="N5136" s="7" t="s">
        <v>33698</v>
      </c>
      <c r="O5136" s="8" t="str">
        <f>HYPERLINK("https://drive.google.com/file/d/1iHHDvj84O-CEvqzzZzIOsz-FR9PTf7X1/view?usp=drivesdk","5135_TETIANA, S.E. _ SERTIFIKAT BerAKHLAK")</f>
        <v>5135_TETIANA, S.E. _ SERTIFIKAT BerAKHLAK</v>
      </c>
      <c r="P5136" s="5" t="s">
        <v>33670</v>
      </c>
    </row>
    <row r="5137">
      <c r="A5137" s="4">
        <v>45534.3569621875</v>
      </c>
      <c r="B5137" s="5" t="s">
        <v>34</v>
      </c>
      <c r="D5137" s="5" t="s">
        <v>1206</v>
      </c>
      <c r="E5137" s="5" t="s">
        <v>33699</v>
      </c>
      <c r="F5137" s="5" t="s">
        <v>199</v>
      </c>
      <c r="G5137" s="5" t="s">
        <v>33700</v>
      </c>
      <c r="H5137" s="6" t="s">
        <v>33701</v>
      </c>
      <c r="K5137" s="5" t="s">
        <v>33702</v>
      </c>
      <c r="M5137" s="5" t="s">
        <v>33703</v>
      </c>
      <c r="N5137" s="7" t="s">
        <v>33704</v>
      </c>
      <c r="O5137" s="8" t="str">
        <f>HYPERLINK("https://drive.google.com/file/d/1XsoLfHCTUiQuppPv2JyQavq--qSmecul/view?usp=drivesdk","5136_CHRISMILIA  _ SERTIFIKAT BerAKHLAK")</f>
        <v>5136_CHRISMILIA  _ SERTIFIKAT BerAKHLAK</v>
      </c>
      <c r="P5137" s="5" t="s">
        <v>33705</v>
      </c>
    </row>
    <row r="5138">
      <c r="A5138" s="4">
        <v>45534.35696556713</v>
      </c>
      <c r="B5138" s="5" t="s">
        <v>34</v>
      </c>
      <c r="D5138" s="5" t="s">
        <v>9394</v>
      </c>
      <c r="E5138" s="5" t="s">
        <v>33706</v>
      </c>
      <c r="F5138" s="5" t="s">
        <v>524</v>
      </c>
      <c r="G5138" s="5" t="s">
        <v>33707</v>
      </c>
      <c r="H5138" s="6" t="s">
        <v>33708</v>
      </c>
      <c r="K5138" s="5" t="s">
        <v>33702</v>
      </c>
      <c r="M5138" s="5" t="s">
        <v>33709</v>
      </c>
      <c r="N5138" s="7" t="s">
        <v>33710</v>
      </c>
      <c r="O5138" s="8" t="str">
        <f>HYPERLINK("https://drive.google.com/file/d/1R7Fo4LYeDv51jt9Ckq5cKcU3oinvWQbU/view?usp=drivesdk","5137_DEVIARNATALI  _ SERTIFIKAT BerAKHLAK")</f>
        <v>5137_DEVIARNATALI  _ SERTIFIKAT BerAKHLAK</v>
      </c>
      <c r="P5138" s="5" t="s">
        <v>33705</v>
      </c>
    </row>
    <row r="5139">
      <c r="A5139" s="4">
        <v>45534.35698372685</v>
      </c>
      <c r="B5139" s="5" t="s">
        <v>34</v>
      </c>
      <c r="D5139" s="5" t="s">
        <v>6232</v>
      </c>
      <c r="E5139" s="5" t="s">
        <v>33711</v>
      </c>
      <c r="F5139" s="5" t="s">
        <v>37</v>
      </c>
      <c r="G5139" s="5" t="s">
        <v>33712</v>
      </c>
      <c r="H5139" s="6" t="s">
        <v>33713</v>
      </c>
      <c r="K5139" s="5" t="s">
        <v>33702</v>
      </c>
      <c r="M5139" s="5" t="s">
        <v>33714</v>
      </c>
      <c r="N5139" s="7" t="s">
        <v>33715</v>
      </c>
      <c r="O5139" s="8" t="str">
        <f>HYPERLINK("https://drive.google.com/file/d/17EKh0hQ2A9hYkGUojevx0n5gS4Bfyciw/view?usp=drivesdk","5138_CHYNTIA VIRCHAWATI. MZ, AMD. KEB _ SERTIFIKAT BerAKHLAK")</f>
        <v>5138_CHYNTIA VIRCHAWATI. MZ, AMD. KEB _ SERTIFIKAT BerAKHLAK</v>
      </c>
      <c r="P5139" s="5" t="s">
        <v>33705</v>
      </c>
    </row>
    <row r="5140">
      <c r="A5140" s="4">
        <v>45534.356996111106</v>
      </c>
      <c r="B5140" s="5" t="s">
        <v>34</v>
      </c>
      <c r="D5140" s="5" t="s">
        <v>9394</v>
      </c>
      <c r="E5140" s="5" t="s">
        <v>33716</v>
      </c>
      <c r="F5140" s="5" t="s">
        <v>212</v>
      </c>
      <c r="G5140" s="5" t="s">
        <v>33717</v>
      </c>
      <c r="H5140" s="6" t="s">
        <v>33718</v>
      </c>
      <c r="K5140" s="5" t="s">
        <v>33702</v>
      </c>
      <c r="M5140" s="5" t="s">
        <v>33719</v>
      </c>
      <c r="N5140" s="7" t="s">
        <v>33720</v>
      </c>
      <c r="O5140" s="8" t="str">
        <f>HYPERLINK("https://drive.google.com/file/d/1-c4y_SvWoUfkvlPcudTSa1Q8xbLofKp8/view?usp=drivesdk","5139_PURNAMA ROYANA SITINJAK _ SERTIFIKAT BerAKHLAK")</f>
        <v>5139_PURNAMA ROYANA SITINJAK _ SERTIFIKAT BerAKHLAK</v>
      </c>
      <c r="P5140" s="5" t="s">
        <v>33705</v>
      </c>
    </row>
    <row r="5141">
      <c r="A5141" s="4">
        <v>45534.357020069445</v>
      </c>
      <c r="B5141" s="5" t="s">
        <v>34</v>
      </c>
      <c r="D5141" s="5" t="s">
        <v>4775</v>
      </c>
      <c r="E5141" s="5" t="s">
        <v>33721</v>
      </c>
      <c r="F5141" s="5" t="s">
        <v>120</v>
      </c>
      <c r="G5141" s="5" t="s">
        <v>33722</v>
      </c>
      <c r="H5141" s="6" t="s">
        <v>33723</v>
      </c>
      <c r="I5141" s="7" t="s">
        <v>33724</v>
      </c>
      <c r="J5141" s="8" t="str">
        <f>HYPERLINK("https://drive.google.com/file/d/1482ncFcYV3fzWgUqnMKaQQ2PGBwOqxxC/view?usp=drivesdk","dr. LENNY EVI SUSANTI, M.H. SERTIFIKAT BerAKHLAK")</f>
        <v>dr. LENNY EVI SUSANTI, M.H. SERTIFIKAT BerAKHLAK</v>
      </c>
      <c r="K5141" s="5" t="s">
        <v>33337</v>
      </c>
      <c r="L5141" s="5" t="s">
        <v>33725</v>
      </c>
      <c r="M5141" s="5" t="s">
        <v>33726</v>
      </c>
      <c r="N5141" s="7" t="s">
        <v>33727</v>
      </c>
      <c r="O5141" s="8" t="str">
        <f>HYPERLINK("https://drive.google.com/file/d/1o-T4rE5Ncvq46FQPFlCrze_Og2eXbK4M/view?usp=drivesdk","5140_dr. LENNY EVI SUSANTI, M.H. _ SERTIFIKAT BerAKHLAK")</f>
        <v>5140_dr. LENNY EVI SUSANTI, M.H. _ SERTIFIKAT BerAKHLAK</v>
      </c>
      <c r="P5141" s="5" t="s">
        <v>33705</v>
      </c>
    </row>
    <row r="5142">
      <c r="A5142" s="4">
        <v>45534.357041041665</v>
      </c>
      <c r="B5142" s="5" t="s">
        <v>34</v>
      </c>
      <c r="D5142" s="5" t="s">
        <v>4775</v>
      </c>
      <c r="E5142" s="5" t="s">
        <v>33728</v>
      </c>
      <c r="F5142" s="5" t="s">
        <v>212</v>
      </c>
      <c r="G5142" s="5" t="s">
        <v>33729</v>
      </c>
      <c r="H5142" s="6" t="s">
        <v>33730</v>
      </c>
      <c r="K5142" s="5" t="s">
        <v>33731</v>
      </c>
      <c r="M5142" s="5" t="s">
        <v>33732</v>
      </c>
      <c r="N5142" s="7" t="s">
        <v>33733</v>
      </c>
      <c r="O5142" s="8" t="str">
        <f>HYPERLINK("https://drive.google.com/file/d/1uqQ1QGM9ZXcSVuDX8O8BB7314iYfHH0n/view?usp=drivesdk","5141_ANISA ROHAYATI _ SERTIFIKAT BerAKHLAK")</f>
        <v>5141_ANISA ROHAYATI _ SERTIFIKAT BerAKHLAK</v>
      </c>
      <c r="P5142" s="5" t="s">
        <v>33734</v>
      </c>
    </row>
    <row r="5143">
      <c r="A5143" s="4">
        <v>45534.35707298611</v>
      </c>
      <c r="B5143" s="5" t="s">
        <v>34</v>
      </c>
      <c r="D5143" s="5" t="s">
        <v>1206</v>
      </c>
      <c r="E5143" s="5" t="s">
        <v>33735</v>
      </c>
      <c r="F5143" s="5" t="s">
        <v>108</v>
      </c>
      <c r="G5143" s="5" t="s">
        <v>33736</v>
      </c>
      <c r="H5143" s="6" t="s">
        <v>33737</v>
      </c>
      <c r="K5143" s="5" t="s">
        <v>33731</v>
      </c>
      <c r="M5143" s="5" t="s">
        <v>33738</v>
      </c>
      <c r="N5143" s="7" t="s">
        <v>33739</v>
      </c>
      <c r="O5143" s="8" t="str">
        <f>HYPERLINK("https://drive.google.com/file/d/1YylG_mkCkpaXJM1bK9JnKoUNfrk3w_DX/view?usp=drivesdk","5142_KARJONO _ SERTIFIKAT BerAKHLAK")</f>
        <v>5142_KARJONO _ SERTIFIKAT BerAKHLAK</v>
      </c>
      <c r="P5143" s="5" t="s">
        <v>33734</v>
      </c>
    </row>
    <row r="5144">
      <c r="A5144" s="4">
        <v>45534.357074155094</v>
      </c>
      <c r="B5144" s="5" t="s">
        <v>34</v>
      </c>
      <c r="D5144" s="5" t="s">
        <v>4775</v>
      </c>
      <c r="E5144" s="5" t="s">
        <v>33740</v>
      </c>
      <c r="F5144" s="5" t="s">
        <v>212</v>
      </c>
      <c r="G5144" s="5" t="s">
        <v>33741</v>
      </c>
      <c r="H5144" s="6" t="s">
        <v>33742</v>
      </c>
      <c r="K5144" s="5" t="s">
        <v>33731</v>
      </c>
      <c r="M5144" s="5" t="s">
        <v>33743</v>
      </c>
      <c r="N5144" s="7" t="s">
        <v>33744</v>
      </c>
      <c r="O5144" s="8" t="str">
        <f>HYPERLINK("https://drive.google.com/file/d/121b_NBJrjYJ7B-QW0JRXI3VKxH8W_89q/view?usp=drivesdk","5143_ARYA BIMA BASKORO, AMD.AK _ SERTIFIKAT BerAKHLAK")</f>
        <v>5143_ARYA BIMA BASKORO, AMD.AK _ SERTIFIKAT BerAKHLAK</v>
      </c>
      <c r="P5144" s="5" t="s">
        <v>33734</v>
      </c>
    </row>
    <row r="5145">
      <c r="A5145" s="4">
        <v>45534.35707636574</v>
      </c>
      <c r="B5145" s="5" t="s">
        <v>34</v>
      </c>
      <c r="D5145" s="5" t="s">
        <v>701</v>
      </c>
      <c r="E5145" s="5" t="s">
        <v>33745</v>
      </c>
      <c r="F5145" s="5" t="s">
        <v>37</v>
      </c>
      <c r="G5145" s="5" t="s">
        <v>33746</v>
      </c>
      <c r="H5145" s="6" t="s">
        <v>33747</v>
      </c>
      <c r="K5145" s="5" t="s">
        <v>33731</v>
      </c>
      <c r="M5145" s="5" t="s">
        <v>33748</v>
      </c>
      <c r="N5145" s="7" t="s">
        <v>33749</v>
      </c>
      <c r="O5145" s="8" t="str">
        <f>HYPERLINK("https://drive.google.com/file/d/1X59faOxQSQY90G93dRyxcnjsRbITo-Rw/view?usp=drivesdk","5144_Venny Ismelly, AMd.Kep _ SERTIFIKAT BerAKHLAK")</f>
        <v>5144_Venny Ismelly, AMd.Kep _ SERTIFIKAT BerAKHLAK</v>
      </c>
      <c r="P5145" s="5" t="s">
        <v>33734</v>
      </c>
    </row>
    <row r="5146">
      <c r="A5146" s="4">
        <v>45534.357079270834</v>
      </c>
      <c r="B5146" s="5" t="s">
        <v>34</v>
      </c>
      <c r="D5146" s="5" t="s">
        <v>4775</v>
      </c>
      <c r="E5146" s="5" t="s">
        <v>33750</v>
      </c>
      <c r="F5146" s="5" t="s">
        <v>212</v>
      </c>
      <c r="G5146" s="5" t="s">
        <v>33751</v>
      </c>
      <c r="H5146" s="6" t="s">
        <v>33752</v>
      </c>
      <c r="K5146" s="5" t="s">
        <v>33731</v>
      </c>
      <c r="M5146" s="5" t="s">
        <v>33753</v>
      </c>
      <c r="N5146" s="7" t="s">
        <v>33754</v>
      </c>
      <c r="O5146" s="8" t="str">
        <f>HYPERLINK("https://drive.google.com/file/d/1_9seIsYncELmukLc1ER0WPpMs1duXaqo/view?usp=drivesdk","5145_SUPARNO _ SERTIFIKAT BerAKHLAK")</f>
        <v>5145_SUPARNO _ SERTIFIKAT BerAKHLAK</v>
      </c>
      <c r="P5146" s="5" t="s">
        <v>33734</v>
      </c>
    </row>
    <row r="5147">
      <c r="A5147" s="4">
        <v>45534.35708440973</v>
      </c>
      <c r="B5147" s="5" t="s">
        <v>34</v>
      </c>
      <c r="D5147" s="5" t="s">
        <v>1456</v>
      </c>
      <c r="E5147" s="5" t="s">
        <v>33755</v>
      </c>
      <c r="F5147" s="5" t="s">
        <v>212</v>
      </c>
      <c r="G5147" s="5" t="s">
        <v>33756</v>
      </c>
      <c r="H5147" s="6" t="s">
        <v>33757</v>
      </c>
      <c r="K5147" s="5" t="s">
        <v>33731</v>
      </c>
      <c r="M5147" s="5" t="s">
        <v>33758</v>
      </c>
      <c r="N5147" s="7" t="s">
        <v>33759</v>
      </c>
      <c r="O5147" s="8" t="str">
        <f>HYPERLINK("https://drive.google.com/file/d/1kzFFzYHOQ05T-a8srLUYu3iEHtYOHJbW/view?usp=drivesdk","5146_NURJANAH _ SERTIFIKAT BerAKHLAK")</f>
        <v>5146_NURJANAH _ SERTIFIKAT BerAKHLAK</v>
      </c>
      <c r="P5147" s="5" t="s">
        <v>33734</v>
      </c>
    </row>
    <row r="5148">
      <c r="A5148" s="4">
        <v>45534.35709013889</v>
      </c>
      <c r="B5148" s="5" t="s">
        <v>34</v>
      </c>
      <c r="D5148" s="5" t="s">
        <v>996</v>
      </c>
      <c r="E5148" s="5" t="s">
        <v>33760</v>
      </c>
      <c r="F5148" s="5" t="s">
        <v>212</v>
      </c>
      <c r="G5148" s="5" t="s">
        <v>33761</v>
      </c>
      <c r="H5148" s="6" t="s">
        <v>33762</v>
      </c>
      <c r="K5148" s="5" t="s">
        <v>33731</v>
      </c>
      <c r="M5148" s="5" t="s">
        <v>33763</v>
      </c>
      <c r="N5148" s="7" t="s">
        <v>33764</v>
      </c>
      <c r="O5148" s="8" t="str">
        <f>HYPERLINK("https://drive.google.com/file/d/1mCyxUskz0o3ZJM4aL1PPYvoKNnDsvRdP/view?usp=drivesdk","5147_ABDUL RAHMAN _ SERTIFIKAT BerAKHLAK")</f>
        <v>5147_ABDUL RAHMAN _ SERTIFIKAT BerAKHLAK</v>
      </c>
      <c r="P5148" s="5" t="s">
        <v>33765</v>
      </c>
    </row>
    <row r="5149">
      <c r="A5149" s="4">
        <v>45534.357111527774</v>
      </c>
      <c r="B5149" s="5" t="s">
        <v>34</v>
      </c>
      <c r="D5149" s="5" t="s">
        <v>4775</v>
      </c>
      <c r="E5149" s="5" t="s">
        <v>33766</v>
      </c>
      <c r="F5149" s="5" t="s">
        <v>37</v>
      </c>
      <c r="G5149" s="5" t="s">
        <v>33767</v>
      </c>
      <c r="H5149" s="6" t="s">
        <v>33768</v>
      </c>
      <c r="K5149" s="5" t="s">
        <v>33731</v>
      </c>
      <c r="M5149" s="5" t="s">
        <v>33769</v>
      </c>
      <c r="N5149" s="7" t="s">
        <v>33770</v>
      </c>
      <c r="O5149" s="8" t="str">
        <f>HYPERLINK("https://drive.google.com/file/d/1_EgBEWMV-aaem_c8cYAeA83EEX8TL2uE/view?usp=drivesdk","5148_NURKHASANAH, A. Md. Kep _ SERTIFIKAT BerAKHLAK")</f>
        <v>5148_NURKHASANAH, A. Md. Kep _ SERTIFIKAT BerAKHLAK</v>
      </c>
      <c r="P5149" s="5" t="s">
        <v>33765</v>
      </c>
    </row>
    <row r="5150">
      <c r="A5150" s="4">
        <v>45534.35711582176</v>
      </c>
      <c r="B5150" s="5" t="s">
        <v>34</v>
      </c>
      <c r="D5150" s="5" t="s">
        <v>3849</v>
      </c>
      <c r="E5150" s="5" t="s">
        <v>33771</v>
      </c>
      <c r="F5150" s="5" t="s">
        <v>108</v>
      </c>
      <c r="G5150" s="5" t="s">
        <v>33772</v>
      </c>
      <c r="H5150" s="6" t="s">
        <v>33773</v>
      </c>
      <c r="K5150" s="5" t="s">
        <v>33731</v>
      </c>
      <c r="M5150" s="5" t="s">
        <v>33774</v>
      </c>
      <c r="N5150" s="7" t="s">
        <v>33775</v>
      </c>
      <c r="O5150" s="8" t="str">
        <f>HYPERLINK("https://drive.google.com/file/d/1Ia7Oby97D0Ucw05jnrQgFyBpA6z0Rsu3/view?usp=drivesdk","5149_dr. KHAIRUNNISA HENDRA PUTRI _ SERTIFIKAT BerAKHLAK")</f>
        <v>5149_dr. KHAIRUNNISA HENDRA PUTRI _ SERTIFIKAT BerAKHLAK</v>
      </c>
      <c r="P5150" s="5" t="s">
        <v>33765</v>
      </c>
    </row>
    <row r="5151">
      <c r="A5151" s="4">
        <v>45534.35716409722</v>
      </c>
      <c r="B5151" s="5" t="s">
        <v>34</v>
      </c>
      <c r="D5151" s="5" t="s">
        <v>35</v>
      </c>
      <c r="E5151" s="5" t="s">
        <v>33776</v>
      </c>
      <c r="F5151" s="5" t="s">
        <v>37</v>
      </c>
      <c r="G5151" s="5" t="s">
        <v>33777</v>
      </c>
      <c r="H5151" s="6" t="s">
        <v>33778</v>
      </c>
      <c r="K5151" s="5" t="s">
        <v>33731</v>
      </c>
      <c r="M5151" s="5" t="s">
        <v>33779</v>
      </c>
      <c r="N5151" s="7" t="s">
        <v>33780</v>
      </c>
      <c r="O5151" s="8" t="str">
        <f>HYPERLINK("https://drive.google.com/file/d/1yyfSNYWQ4iEi4dlwdETHRhUNCYfeHoRE/view?usp=drivesdk","5150_MOCHAMMAD FAJAR MAULANA, A.Md.Ftr _ SERTIFIKAT BerAKHLAK")</f>
        <v>5150_MOCHAMMAD FAJAR MAULANA, A.Md.Ftr _ SERTIFIKAT BerAKHLAK</v>
      </c>
      <c r="P5151" s="5" t="s">
        <v>33765</v>
      </c>
    </row>
    <row r="5152">
      <c r="A5152" s="4">
        <v>45534.35718704861</v>
      </c>
      <c r="B5152" s="5" t="s">
        <v>34</v>
      </c>
      <c r="D5152" s="5" t="s">
        <v>1206</v>
      </c>
      <c r="E5152" s="5" t="s">
        <v>33781</v>
      </c>
      <c r="F5152" s="5" t="s">
        <v>212</v>
      </c>
      <c r="G5152" s="5" t="s">
        <v>33782</v>
      </c>
      <c r="H5152" s="6" t="s">
        <v>33783</v>
      </c>
      <c r="K5152" s="5" t="s">
        <v>33731</v>
      </c>
      <c r="M5152" s="5" t="s">
        <v>33784</v>
      </c>
      <c r="N5152" s="7" t="s">
        <v>33785</v>
      </c>
      <c r="O5152" s="8" t="str">
        <f>HYPERLINK("https://drive.google.com/file/d/1HwpDofNlbNMbqQa_rVGVbGI4TxP2be1w/view?usp=drivesdk","5151_HERDINI LUGIATI _ SERTIFIKAT BerAKHLAK")</f>
        <v>5151_HERDINI LUGIATI _ SERTIFIKAT BerAKHLAK</v>
      </c>
      <c r="P5152" s="5" t="s">
        <v>33765</v>
      </c>
    </row>
    <row r="5153">
      <c r="A5153" s="4">
        <v>45534.35720549768</v>
      </c>
      <c r="B5153" s="5" t="s">
        <v>34</v>
      </c>
      <c r="D5153" s="5" t="s">
        <v>975</v>
      </c>
      <c r="E5153" s="5" t="s">
        <v>33786</v>
      </c>
      <c r="F5153" s="5" t="s">
        <v>37</v>
      </c>
      <c r="G5153" s="5" t="s">
        <v>33787</v>
      </c>
      <c r="H5153" s="6" t="s">
        <v>33788</v>
      </c>
      <c r="K5153" s="5" t="s">
        <v>33731</v>
      </c>
      <c r="M5153" s="5" t="s">
        <v>33789</v>
      </c>
      <c r="N5153" s="7" t="s">
        <v>33790</v>
      </c>
      <c r="O5153" s="8" t="str">
        <f>HYPERLINK("https://drive.google.com/file/d/12KX9MOQ4xKXn3Qouf1hIun5cqUi32jVW/view?usp=drivesdk","5152_ARI FITRIANI _ SERTIFIKAT BerAKHLAK")</f>
        <v>5152_ARI FITRIANI _ SERTIFIKAT BerAKHLAK</v>
      </c>
      <c r="P5153" s="5" t="s">
        <v>33791</v>
      </c>
    </row>
    <row r="5154">
      <c r="A5154" s="4">
        <v>45534.357202569445</v>
      </c>
      <c r="B5154" s="5" t="s">
        <v>34</v>
      </c>
      <c r="D5154" s="5" t="s">
        <v>1206</v>
      </c>
      <c r="E5154" s="5" t="s">
        <v>33792</v>
      </c>
      <c r="F5154" s="5" t="s">
        <v>72</v>
      </c>
      <c r="G5154" s="5" t="s">
        <v>33793</v>
      </c>
      <c r="H5154" s="6" t="s">
        <v>33794</v>
      </c>
      <c r="K5154" s="5" t="s">
        <v>33731</v>
      </c>
      <c r="M5154" s="5" t="s">
        <v>33795</v>
      </c>
      <c r="N5154" s="7" t="s">
        <v>33796</v>
      </c>
      <c r="O5154" s="8" t="str">
        <f>HYPERLINK("https://drive.google.com/file/d/1SC5wsFrjomaKO1RYiQ3dFHTlAq76bo1U/view?usp=drivesdk","5153_DWI EVIANA _ SERTIFIKAT BerAKHLAK")</f>
        <v>5153_DWI EVIANA _ SERTIFIKAT BerAKHLAK</v>
      </c>
      <c r="P5154" s="5" t="s">
        <v>33791</v>
      </c>
    </row>
    <row r="5155">
      <c r="A5155" s="4">
        <v>45534.35720642361</v>
      </c>
      <c r="B5155" s="5" t="s">
        <v>34</v>
      </c>
      <c r="D5155" s="5" t="s">
        <v>4775</v>
      </c>
      <c r="E5155" s="5" t="s">
        <v>33797</v>
      </c>
      <c r="F5155" s="5" t="s">
        <v>212</v>
      </c>
      <c r="G5155" s="5" t="s">
        <v>33798</v>
      </c>
      <c r="H5155" s="6" t="s">
        <v>33799</v>
      </c>
      <c r="K5155" s="5" t="s">
        <v>33731</v>
      </c>
      <c r="M5155" s="5" t="s">
        <v>33800</v>
      </c>
      <c r="N5155" s="7" t="s">
        <v>33801</v>
      </c>
      <c r="O5155" s="8" t="str">
        <f>HYPERLINK("https://drive.google.com/file/d/1cpTME5Xw2kC0PvTH2iDSvoHBY0gDvyD8/view?usp=drivesdk","5154_INDRIANI  _ SERTIFIKAT BerAKHLAK")</f>
        <v>5154_INDRIANI  _ SERTIFIKAT BerAKHLAK</v>
      </c>
      <c r="P5155" s="5" t="s">
        <v>33791</v>
      </c>
    </row>
    <row r="5156">
      <c r="A5156" s="4">
        <v>45534.357221122686</v>
      </c>
      <c r="B5156" s="5" t="s">
        <v>34</v>
      </c>
      <c r="D5156" s="5" t="s">
        <v>4775</v>
      </c>
      <c r="E5156" s="5" t="s">
        <v>33802</v>
      </c>
      <c r="F5156" s="5" t="s">
        <v>199</v>
      </c>
      <c r="G5156" s="5" t="s">
        <v>33803</v>
      </c>
      <c r="H5156" s="6" t="s">
        <v>33804</v>
      </c>
      <c r="K5156" s="5" t="s">
        <v>33731</v>
      </c>
      <c r="M5156" s="5" t="s">
        <v>33805</v>
      </c>
      <c r="N5156" s="7" t="s">
        <v>33806</v>
      </c>
      <c r="O5156" s="8" t="str">
        <f>HYPERLINK("https://drive.google.com/file/d/1d8ft73rw_38Ya_AUQE9faxa7eXFEmUr5/view?usp=drivesdk","5155_WARGINO _ SERTIFIKAT BerAKHLAK")</f>
        <v>5155_WARGINO _ SERTIFIKAT BerAKHLAK</v>
      </c>
      <c r="P5156" s="5" t="s">
        <v>33791</v>
      </c>
    </row>
    <row r="5157">
      <c r="A5157" s="4">
        <v>45534.35722199074</v>
      </c>
      <c r="B5157" s="5" t="s">
        <v>34</v>
      </c>
      <c r="D5157" s="5" t="s">
        <v>1206</v>
      </c>
      <c r="E5157" s="5" t="s">
        <v>33807</v>
      </c>
      <c r="F5157" s="5" t="s">
        <v>108</v>
      </c>
      <c r="G5157" s="5" t="s">
        <v>33808</v>
      </c>
      <c r="H5157" s="6" t="s">
        <v>33809</v>
      </c>
      <c r="K5157" s="5" t="s">
        <v>33731</v>
      </c>
      <c r="M5157" s="5" t="s">
        <v>33810</v>
      </c>
      <c r="N5157" s="7" t="s">
        <v>33811</v>
      </c>
      <c r="O5157" s="8" t="str">
        <f>HYPERLINK("https://drive.google.com/file/d/1mo0vt23ILSJc_aPPCfy4W6xFoiYwaIlk/view?usp=drivesdk","5156_NOVIA EKA ISMAWATI, S.E. _ SERTIFIKAT BerAKHLAK")</f>
        <v>5156_NOVIA EKA ISMAWATI, S.E. _ SERTIFIKAT BerAKHLAK</v>
      </c>
      <c r="P5157" s="5" t="s">
        <v>33812</v>
      </c>
    </row>
    <row r="5158">
      <c r="A5158" s="4">
        <v>45534.35722690972</v>
      </c>
      <c r="B5158" s="5" t="s">
        <v>34</v>
      </c>
      <c r="D5158" s="5" t="s">
        <v>35</v>
      </c>
      <c r="E5158" s="5" t="s">
        <v>33813</v>
      </c>
      <c r="F5158" s="5" t="s">
        <v>375</v>
      </c>
      <c r="G5158" s="5" t="s">
        <v>33814</v>
      </c>
      <c r="H5158" s="6" t="s">
        <v>33815</v>
      </c>
      <c r="K5158" s="5" t="s">
        <v>33731</v>
      </c>
      <c r="M5158" s="5" t="s">
        <v>33816</v>
      </c>
      <c r="N5158" s="7" t="s">
        <v>33817</v>
      </c>
      <c r="O5158" s="8" t="str">
        <f>HYPERLINK("https://drive.google.com/file/d/1MACG9kwppG-fYPipOTytYM8bHnEQwwhs/view?usp=drivesdk","5157_DINY AMALIA S.E. _ SERTIFIKAT BerAKHLAK")</f>
        <v>5157_DINY AMALIA S.E. _ SERTIFIKAT BerAKHLAK</v>
      </c>
      <c r="P5158" s="5" t="s">
        <v>33812</v>
      </c>
    </row>
    <row r="5159">
      <c r="A5159" s="4">
        <v>45534.35722942129</v>
      </c>
      <c r="B5159" s="5" t="s">
        <v>34</v>
      </c>
      <c r="D5159" s="5" t="s">
        <v>267</v>
      </c>
      <c r="E5159" s="5" t="s">
        <v>33818</v>
      </c>
      <c r="F5159" s="5" t="s">
        <v>108</v>
      </c>
      <c r="G5159" s="5" t="s">
        <v>33819</v>
      </c>
      <c r="H5159" s="6" t="s">
        <v>33820</v>
      </c>
      <c r="K5159" s="5" t="s">
        <v>33731</v>
      </c>
      <c r="M5159" s="5" t="s">
        <v>33821</v>
      </c>
      <c r="N5159" s="7" t="s">
        <v>33822</v>
      </c>
      <c r="O5159" s="8" t="str">
        <f>HYPERLINK("https://drive.google.com/file/d/1zc5XTqWB3u4yl3uj74V3rjCvAvAHy_3j/view?usp=drivesdk","5158_Ika Aria Dani _ SERTIFIKAT BerAKHLAK")</f>
        <v>5158_Ika Aria Dani _ SERTIFIKAT BerAKHLAK</v>
      </c>
      <c r="P5159" s="5" t="s">
        <v>33812</v>
      </c>
    </row>
    <row r="5160">
      <c r="A5160" s="4">
        <v>45534.35723554398</v>
      </c>
      <c r="B5160" s="5" t="s">
        <v>34</v>
      </c>
      <c r="D5160" s="5" t="s">
        <v>35</v>
      </c>
      <c r="E5160" s="5" t="s">
        <v>33823</v>
      </c>
      <c r="F5160" s="5" t="s">
        <v>524</v>
      </c>
      <c r="G5160" s="5" t="s">
        <v>33824</v>
      </c>
      <c r="H5160" s="6" t="s">
        <v>33825</v>
      </c>
      <c r="K5160" s="5" t="s">
        <v>33731</v>
      </c>
      <c r="M5160" s="5" t="s">
        <v>33826</v>
      </c>
      <c r="N5160" s="7" t="s">
        <v>33827</v>
      </c>
      <c r="O5160" s="8" t="str">
        <f>HYPERLINK("https://drive.google.com/file/d/1szJ3SZcylI_FOWcifxe2iDZpeFAC0wI3/view?usp=drivesdk","5159_RANI ANDRIANI RAHAYU _ SERTIFIKAT BerAKHLAK")</f>
        <v>5159_RANI ANDRIANI RAHAYU _ SERTIFIKAT BerAKHLAK</v>
      </c>
      <c r="P5160" s="5" t="s">
        <v>33812</v>
      </c>
    </row>
    <row r="5161">
      <c r="A5161" s="4">
        <v>45534.35723796296</v>
      </c>
      <c r="B5161" s="5" t="s">
        <v>34</v>
      </c>
      <c r="D5161" s="5" t="s">
        <v>14424</v>
      </c>
      <c r="E5161" s="5" t="s">
        <v>33828</v>
      </c>
      <c r="F5161" s="5" t="s">
        <v>108</v>
      </c>
      <c r="G5161" s="5" t="s">
        <v>33829</v>
      </c>
      <c r="H5161" s="6" t="s">
        <v>33830</v>
      </c>
      <c r="K5161" s="5" t="s">
        <v>33731</v>
      </c>
      <c r="M5161" s="5" t="s">
        <v>33831</v>
      </c>
      <c r="N5161" s="7" t="s">
        <v>33832</v>
      </c>
      <c r="O5161" s="8" t="str">
        <f>HYPERLINK("https://drive.google.com/file/d/1q76nK2wDCEUJKRLbeRI8xsP66dncYgC9/view?usp=drivesdk","5160_drg. ADINTYA HUMAIRA _ SERTIFIKAT BerAKHLAK")</f>
        <v>5160_drg. ADINTYA HUMAIRA _ SERTIFIKAT BerAKHLAK</v>
      </c>
      <c r="P5161" s="5" t="s">
        <v>33833</v>
      </c>
    </row>
    <row r="5162">
      <c r="A5162" s="4">
        <v>45534.35725055556</v>
      </c>
      <c r="B5162" s="5" t="s">
        <v>34</v>
      </c>
      <c r="D5162" s="5" t="s">
        <v>1206</v>
      </c>
      <c r="E5162" s="5" t="s">
        <v>33834</v>
      </c>
      <c r="F5162" s="5" t="s">
        <v>108</v>
      </c>
      <c r="G5162" s="5" t="s">
        <v>33835</v>
      </c>
      <c r="H5162" s="6" t="s">
        <v>33836</v>
      </c>
      <c r="K5162" s="5" t="s">
        <v>33837</v>
      </c>
      <c r="M5162" s="5" t="s">
        <v>33838</v>
      </c>
      <c r="N5162" s="7" t="s">
        <v>33839</v>
      </c>
      <c r="O5162" s="8" t="str">
        <f>HYPERLINK("https://drive.google.com/file/d/1YZxZdQrZBPSrHdl2mdbtc4mTehw58ahS/view?usp=drivesdk","5161_NI LUH DENIS NILA CANDRA, A.Md.Keb, S.M _ SERTIFIKAT BerAKHLAK")</f>
        <v>5161_NI LUH DENIS NILA CANDRA, A.Md.Keb, S.M _ SERTIFIKAT BerAKHLAK</v>
      </c>
      <c r="P5162" s="5" t="s">
        <v>33833</v>
      </c>
    </row>
    <row r="5163">
      <c r="A5163" s="4">
        <v>45534.3572527662</v>
      </c>
      <c r="B5163" s="5" t="s">
        <v>34</v>
      </c>
      <c r="D5163" s="5" t="s">
        <v>1206</v>
      </c>
      <c r="E5163" s="5" t="s">
        <v>33840</v>
      </c>
      <c r="F5163" s="5" t="s">
        <v>212</v>
      </c>
      <c r="G5163" s="5" t="s">
        <v>33841</v>
      </c>
      <c r="H5163" s="6" t="s">
        <v>33842</v>
      </c>
      <c r="K5163" s="5" t="s">
        <v>33837</v>
      </c>
      <c r="M5163" s="5" t="s">
        <v>33843</v>
      </c>
      <c r="N5163" s="7" t="s">
        <v>33844</v>
      </c>
      <c r="O5163" s="8" t="str">
        <f>HYPERLINK("https://drive.google.com/file/d/1_p4Q8ncRXhZMhJuEgVEl3atuAQrUZWny/view?usp=drivesdk","5162_TITI MAHARTI _ SERTIFIKAT BerAKHLAK")</f>
        <v>5162_TITI MAHARTI _ SERTIFIKAT BerAKHLAK</v>
      </c>
      <c r="P5163" s="5" t="s">
        <v>33833</v>
      </c>
    </row>
    <row r="5164">
      <c r="A5164" s="4">
        <v>45534.35725365741</v>
      </c>
      <c r="B5164" s="5" t="s">
        <v>34</v>
      </c>
      <c r="D5164" s="5" t="s">
        <v>12978</v>
      </c>
      <c r="E5164" s="5" t="s">
        <v>33845</v>
      </c>
      <c r="F5164" s="5" t="s">
        <v>375</v>
      </c>
      <c r="G5164" s="5" t="s">
        <v>33846</v>
      </c>
      <c r="H5164" s="6" t="s">
        <v>33847</v>
      </c>
      <c r="K5164" s="5" t="s">
        <v>33837</v>
      </c>
      <c r="M5164" s="5" t="s">
        <v>33848</v>
      </c>
      <c r="N5164" s="7" t="s">
        <v>33849</v>
      </c>
      <c r="O5164" s="8" t="str">
        <f>HYPERLINK("https://drive.google.com/file/d/1MQznml1rNXClfhhygguPBciwQPmdnE7_/view?usp=drivesdk","5163_PHOPIN NIRIYOFITA _ SERTIFIKAT BerAKHLAK")</f>
        <v>5163_PHOPIN NIRIYOFITA _ SERTIFIKAT BerAKHLAK</v>
      </c>
      <c r="P5164" s="5" t="s">
        <v>33812</v>
      </c>
    </row>
    <row r="5165">
      <c r="A5165" s="4">
        <v>45534.35725747685</v>
      </c>
      <c r="B5165" s="5" t="s">
        <v>34</v>
      </c>
      <c r="D5165" s="5" t="s">
        <v>1206</v>
      </c>
      <c r="E5165" s="5" t="s">
        <v>33850</v>
      </c>
      <c r="F5165" s="5" t="s">
        <v>328</v>
      </c>
      <c r="G5165" s="5" t="s">
        <v>33851</v>
      </c>
      <c r="H5165" s="6" t="s">
        <v>33852</v>
      </c>
      <c r="K5165" s="5" t="s">
        <v>33837</v>
      </c>
      <c r="M5165" s="5" t="s">
        <v>33853</v>
      </c>
      <c r="N5165" s="7" t="s">
        <v>33854</v>
      </c>
      <c r="O5165" s="8" t="str">
        <f>HYPERLINK("https://drive.google.com/file/d/1aob8Lg1snNIOqsJ4PJJ5O3EMY5VKx_jJ/view?usp=drivesdk","5164_MOCHIT _ SERTIFIKAT BerAKHLAK")</f>
        <v>5164_MOCHIT _ SERTIFIKAT BerAKHLAK</v>
      </c>
      <c r="P5165" s="5" t="s">
        <v>33855</v>
      </c>
    </row>
    <row r="5166">
      <c r="A5166" s="4">
        <v>45534.35726438658</v>
      </c>
      <c r="B5166" s="5" t="s">
        <v>34</v>
      </c>
      <c r="D5166" s="5" t="s">
        <v>12978</v>
      </c>
      <c r="E5166" s="5" t="s">
        <v>33856</v>
      </c>
      <c r="F5166" s="5" t="s">
        <v>212</v>
      </c>
      <c r="G5166" s="5" t="s">
        <v>33857</v>
      </c>
      <c r="H5166" s="6" t="s">
        <v>33858</v>
      </c>
      <c r="K5166" s="5" t="s">
        <v>33837</v>
      </c>
      <c r="M5166" s="5" t="s">
        <v>33859</v>
      </c>
      <c r="N5166" s="7" t="s">
        <v>33860</v>
      </c>
      <c r="O5166" s="8" t="str">
        <f>HYPERLINK("https://drive.google.com/file/d/16FO9AnwDPrb7HppUWJuYBSXY6ch_odpo/view?usp=drivesdk","5165_ERWIN ARDIANSYAH  _ SERTIFIKAT BerAKHLAK")</f>
        <v>5165_ERWIN ARDIANSYAH  _ SERTIFIKAT BerAKHLAK</v>
      </c>
      <c r="P5166" s="5" t="s">
        <v>33855</v>
      </c>
    </row>
    <row r="5167">
      <c r="A5167" s="4">
        <v>45534.35731572917</v>
      </c>
      <c r="B5167" s="5" t="s">
        <v>34</v>
      </c>
      <c r="D5167" s="5" t="s">
        <v>1206</v>
      </c>
      <c r="E5167" s="5" t="s">
        <v>19744</v>
      </c>
      <c r="F5167" s="5" t="s">
        <v>37</v>
      </c>
      <c r="G5167" s="5" t="s">
        <v>33861</v>
      </c>
      <c r="H5167" s="6" t="s">
        <v>33862</v>
      </c>
      <c r="K5167" s="5" t="s">
        <v>33863</v>
      </c>
      <c r="M5167" s="5" t="s">
        <v>33864</v>
      </c>
      <c r="N5167" s="7" t="s">
        <v>33865</v>
      </c>
      <c r="O5167" s="8" t="str">
        <f>HYPERLINK("https://drive.google.com/file/d/1bn_y8vIaQC2DGCGqH1K-eJS8CCjDfc47/view?usp=drivesdk","5166_SISWANTO _ SERTIFIKAT BerAKHLAK")</f>
        <v>5166_SISWANTO _ SERTIFIKAT BerAKHLAK</v>
      </c>
      <c r="P5167" s="5" t="s">
        <v>33855</v>
      </c>
    </row>
    <row r="5168">
      <c r="A5168" s="4">
        <v>45534.35733003472</v>
      </c>
      <c r="B5168" s="5" t="s">
        <v>34</v>
      </c>
      <c r="D5168" s="5" t="s">
        <v>280</v>
      </c>
      <c r="E5168" s="5" t="s">
        <v>33866</v>
      </c>
      <c r="F5168" s="5" t="s">
        <v>37</v>
      </c>
      <c r="G5168" s="5" t="s">
        <v>33867</v>
      </c>
      <c r="H5168" s="6" t="s">
        <v>33868</v>
      </c>
      <c r="K5168" s="5" t="s">
        <v>33863</v>
      </c>
      <c r="M5168" s="5" t="s">
        <v>33869</v>
      </c>
      <c r="N5168" s="7" t="s">
        <v>33870</v>
      </c>
      <c r="O5168" s="8" t="str">
        <f>HYPERLINK("https://drive.google.com/file/d/1L14BfG_TqZoEdGZYrBIt8Nq4GVHjNAW4/view?usp=drivesdk","5167_SUPRIYANTI _ SERTIFIKAT BerAKHLAK")</f>
        <v>5167_SUPRIYANTI _ SERTIFIKAT BerAKHLAK</v>
      </c>
      <c r="P5168" s="5" t="s">
        <v>33855</v>
      </c>
    </row>
    <row r="5169">
      <c r="A5169" s="4">
        <v>45534.35733521991</v>
      </c>
      <c r="B5169" s="5" t="s">
        <v>34</v>
      </c>
      <c r="D5169" s="5" t="s">
        <v>4775</v>
      </c>
      <c r="E5169" s="5" t="s">
        <v>33871</v>
      </c>
      <c r="F5169" s="5" t="s">
        <v>108</v>
      </c>
      <c r="G5169" s="5" t="s">
        <v>33872</v>
      </c>
      <c r="H5169" s="6" t="s">
        <v>33873</v>
      </c>
      <c r="K5169" s="5" t="s">
        <v>33863</v>
      </c>
      <c r="M5169" s="5" t="s">
        <v>33874</v>
      </c>
      <c r="N5169" s="7" t="s">
        <v>33875</v>
      </c>
      <c r="O5169" s="8" t="str">
        <f>HYPERLINK("https://drive.google.com/file/d/1nFcusoMHyLeaFXvNM4SjUCb8890gZrEG/view?usp=drivesdk","5168_SITI CHOTIMAH, AMd.Keb _ SERTIFIKAT BerAKHLAK")</f>
        <v>5168_SITI CHOTIMAH, AMd.Keb _ SERTIFIKAT BerAKHLAK</v>
      </c>
      <c r="P5169" s="5" t="s">
        <v>33876</v>
      </c>
    </row>
    <row r="5170">
      <c r="A5170" s="4">
        <v>45534.35734552083</v>
      </c>
      <c r="B5170" s="5" t="s">
        <v>34</v>
      </c>
      <c r="D5170" s="5" t="s">
        <v>1558</v>
      </c>
      <c r="E5170" s="5" t="s">
        <v>33877</v>
      </c>
      <c r="F5170" s="5" t="s">
        <v>212</v>
      </c>
      <c r="G5170" s="5" t="s">
        <v>33878</v>
      </c>
      <c r="H5170" s="6" t="s">
        <v>33879</v>
      </c>
      <c r="K5170" s="5" t="s">
        <v>33863</v>
      </c>
      <c r="M5170" s="5" t="s">
        <v>33880</v>
      </c>
      <c r="N5170" s="7" t="s">
        <v>33881</v>
      </c>
      <c r="O5170" s="8" t="str">
        <f>HYPERLINK("https://drive.google.com/file/d/1wXa6WTrv2_YrsjwR0xLFjYCVzpNk1DvN/view?usp=drivesdk","5169_SRi PUJIASTUTI _ SERTIFIKAT BerAKHLAK")</f>
        <v>5169_SRi PUJIASTUTI _ SERTIFIKAT BerAKHLAK</v>
      </c>
      <c r="P5170" s="5" t="s">
        <v>33876</v>
      </c>
    </row>
    <row r="5171">
      <c r="A5171" s="4">
        <v>45534.35736679398</v>
      </c>
      <c r="B5171" s="5" t="s">
        <v>34</v>
      </c>
      <c r="D5171" s="5" t="s">
        <v>3849</v>
      </c>
      <c r="E5171" s="5" t="s">
        <v>33882</v>
      </c>
      <c r="F5171" s="5" t="s">
        <v>37</v>
      </c>
      <c r="G5171" s="5" t="s">
        <v>33883</v>
      </c>
      <c r="H5171" s="6" t="s">
        <v>33884</v>
      </c>
      <c r="K5171" s="5" t="s">
        <v>33863</v>
      </c>
      <c r="M5171" s="5" t="s">
        <v>33885</v>
      </c>
      <c r="N5171" s="7" t="s">
        <v>33886</v>
      </c>
      <c r="O5171" s="8" t="str">
        <f>HYPERLINK("https://drive.google.com/file/d/1SKzw2fHS-RCjjx6iOJVMY3Jz1BjKLs_s/view?usp=drivesdk","5170_GUSTY MARINA, A.Md.Keb _ SERTIFIKAT BerAKHLAK")</f>
        <v>5170_GUSTY MARINA, A.Md.Keb _ SERTIFIKAT BerAKHLAK</v>
      </c>
      <c r="P5171" s="5" t="s">
        <v>33876</v>
      </c>
    </row>
    <row r="5172">
      <c r="A5172" s="4">
        <v>45534.3573775</v>
      </c>
      <c r="B5172" s="5" t="s">
        <v>34</v>
      </c>
      <c r="D5172" s="5" t="s">
        <v>1456</v>
      </c>
      <c r="E5172" s="5" t="s">
        <v>33887</v>
      </c>
      <c r="F5172" s="5" t="s">
        <v>524</v>
      </c>
      <c r="G5172" s="5" t="s">
        <v>33888</v>
      </c>
      <c r="H5172" s="6" t="s">
        <v>33889</v>
      </c>
      <c r="K5172" s="5" t="s">
        <v>33890</v>
      </c>
      <c r="M5172" s="5" t="s">
        <v>33891</v>
      </c>
      <c r="N5172" s="7" t="s">
        <v>33892</v>
      </c>
      <c r="O5172" s="8" t="str">
        <f>HYPERLINK("https://drive.google.com/file/d/1310YJ4-ktz6O0hDBD8mW2C9jQL3hlx9W/view?usp=drivesdk","5171_SURYANA _ SERTIFIKAT BerAKHLAK")</f>
        <v>5171_SURYANA _ SERTIFIKAT BerAKHLAK</v>
      </c>
      <c r="P5172" s="5" t="s">
        <v>33876</v>
      </c>
    </row>
    <row r="5173">
      <c r="A5173" s="4">
        <v>45534.3573831713</v>
      </c>
      <c r="B5173" s="5" t="s">
        <v>34</v>
      </c>
      <c r="D5173" s="5" t="s">
        <v>522</v>
      </c>
      <c r="E5173" s="5" t="s">
        <v>33893</v>
      </c>
      <c r="F5173" s="5" t="s">
        <v>108</v>
      </c>
      <c r="G5173" s="5" t="s">
        <v>33894</v>
      </c>
      <c r="H5173" s="6" t="s">
        <v>33895</v>
      </c>
      <c r="K5173" s="5" t="s">
        <v>33890</v>
      </c>
      <c r="M5173" s="5" t="s">
        <v>33896</v>
      </c>
      <c r="N5173" s="7" t="s">
        <v>33897</v>
      </c>
      <c r="O5173" s="8" t="str">
        <f>HYPERLINK("https://drive.google.com/file/d/1al3RWJx29ILzgdzmD1LN6hYj7i1SHt_0/view?usp=drivesdk","5172_WARDAH,SE _ SERTIFIKAT BerAKHLAK")</f>
        <v>5172_WARDAH,SE _ SERTIFIKAT BerAKHLAK</v>
      </c>
      <c r="P5173" s="5" t="s">
        <v>33898</v>
      </c>
    </row>
    <row r="5174">
      <c r="A5174" s="4">
        <v>45534.35738548611</v>
      </c>
      <c r="B5174" s="5" t="s">
        <v>34</v>
      </c>
      <c r="D5174" s="5" t="s">
        <v>4775</v>
      </c>
      <c r="E5174" s="5" t="s">
        <v>33899</v>
      </c>
      <c r="F5174" s="5" t="s">
        <v>199</v>
      </c>
      <c r="G5174" s="5" t="s">
        <v>33900</v>
      </c>
      <c r="H5174" s="6" t="s">
        <v>33901</v>
      </c>
      <c r="K5174" s="5" t="s">
        <v>33890</v>
      </c>
      <c r="M5174" s="5" t="s">
        <v>33902</v>
      </c>
      <c r="N5174" s="7" t="s">
        <v>33903</v>
      </c>
      <c r="O5174" s="8" t="str">
        <f>HYPERLINK("https://drive.google.com/file/d/1f-nYKSg-gCz8HOwePOREsH26vUf9o22y/view?usp=drivesdk","5173_ROHMANI _ SERTIFIKAT BerAKHLAK")</f>
        <v>5173_ROHMANI _ SERTIFIKAT BerAKHLAK</v>
      </c>
      <c r="P5174" s="5" t="s">
        <v>33898</v>
      </c>
    </row>
    <row r="5175">
      <c r="A5175" s="4">
        <v>45534.35738755787</v>
      </c>
      <c r="B5175" s="5" t="s">
        <v>34</v>
      </c>
      <c r="D5175" s="5" t="s">
        <v>4775</v>
      </c>
      <c r="E5175" s="5" t="s">
        <v>31560</v>
      </c>
      <c r="F5175" s="5" t="s">
        <v>37</v>
      </c>
      <c r="G5175" s="5" t="s">
        <v>33904</v>
      </c>
      <c r="H5175" s="6" t="s">
        <v>33905</v>
      </c>
      <c r="K5175" s="5" t="s">
        <v>33890</v>
      </c>
      <c r="M5175" s="5" t="s">
        <v>33906</v>
      </c>
      <c r="N5175" s="7" t="s">
        <v>33907</v>
      </c>
      <c r="O5175" s="8" t="str">
        <f>HYPERLINK("https://drive.google.com/file/d/1Bpsr1by4hVqVhRvwRjoZ_nKBRAautWso/view?usp=drivesdk","5174_SUYONO _ SERTIFIKAT BerAKHLAK")</f>
        <v>5174_SUYONO _ SERTIFIKAT BerAKHLAK</v>
      </c>
      <c r="P5175" s="5" t="s">
        <v>33898</v>
      </c>
    </row>
    <row r="5176">
      <c r="A5176" s="4">
        <v>45534.3573947338</v>
      </c>
      <c r="B5176" s="5" t="s">
        <v>34</v>
      </c>
      <c r="D5176" s="5" t="s">
        <v>9020</v>
      </c>
      <c r="E5176" s="5" t="s">
        <v>33908</v>
      </c>
      <c r="F5176" s="5" t="s">
        <v>212</v>
      </c>
      <c r="G5176" s="5" t="s">
        <v>33909</v>
      </c>
      <c r="H5176" s="6" t="s">
        <v>33910</v>
      </c>
      <c r="K5176" s="5" t="s">
        <v>33890</v>
      </c>
      <c r="M5176" s="5" t="s">
        <v>33911</v>
      </c>
      <c r="N5176" s="7" t="s">
        <v>33912</v>
      </c>
      <c r="O5176" s="8" t="str">
        <f>HYPERLINK("https://drive.google.com/file/d/1Oaojhy5nFpLvcgWw85OyGfESlPd2kQfr/view?usp=drivesdk","5175_ASIMA ROHANA _ SERTIFIKAT BerAKHLAK")</f>
        <v>5175_ASIMA ROHANA _ SERTIFIKAT BerAKHLAK</v>
      </c>
      <c r="P5176" s="5" t="s">
        <v>33898</v>
      </c>
    </row>
    <row r="5177">
      <c r="A5177" s="4">
        <v>45534.35740400463</v>
      </c>
      <c r="B5177" s="5" t="s">
        <v>34</v>
      </c>
      <c r="D5177" s="5" t="s">
        <v>14313</v>
      </c>
      <c r="E5177" s="5" t="s">
        <v>33913</v>
      </c>
      <c r="F5177" s="5" t="s">
        <v>375</v>
      </c>
      <c r="G5177" s="5" t="s">
        <v>33914</v>
      </c>
      <c r="H5177" s="6" t="s">
        <v>33915</v>
      </c>
      <c r="I5177" s="7" t="s">
        <v>33916</v>
      </c>
      <c r="J5177" s="8" t="str">
        <f>HYPERLINK("https://drive.google.com/file/d/156els75AH7g6nEO131iWHjhBHeblil6M/view?usp=drivesdk","IDAMUFIDAH SERTIFIKAT BerAKHLAK")</f>
        <v>IDAMUFIDAH SERTIFIKAT BerAKHLAK</v>
      </c>
      <c r="K5177" s="5" t="s">
        <v>33337</v>
      </c>
      <c r="L5177" s="5" t="s">
        <v>33917</v>
      </c>
      <c r="M5177" s="5" t="s">
        <v>33918</v>
      </c>
      <c r="N5177" s="7" t="s">
        <v>33919</v>
      </c>
      <c r="O5177" s="8" t="str">
        <f>HYPERLINK("https://drive.google.com/file/d/11pwVgQvfjeq8l7DI7JbtK_pg0bI9oM_S/view?usp=drivesdk","5176_IDAMUFIDAH _ SERTIFIKAT BerAKHLAK")</f>
        <v>5176_IDAMUFIDAH _ SERTIFIKAT BerAKHLAK</v>
      </c>
      <c r="P5177" s="5" t="s">
        <v>33898</v>
      </c>
    </row>
    <row r="5178">
      <c r="A5178" s="4">
        <v>45534.35740787037</v>
      </c>
      <c r="B5178" s="5" t="s">
        <v>34</v>
      </c>
      <c r="D5178" s="5" t="s">
        <v>4775</v>
      </c>
      <c r="E5178" s="5" t="s">
        <v>33920</v>
      </c>
      <c r="F5178" s="5" t="s">
        <v>524</v>
      </c>
      <c r="G5178" s="5" t="s">
        <v>33921</v>
      </c>
      <c r="H5178" s="6" t="s">
        <v>33922</v>
      </c>
      <c r="I5178" s="7" t="s">
        <v>33923</v>
      </c>
      <c r="J5178" s="8" t="str">
        <f>HYPERLINK("https://drive.google.com/file/d/1pLXqK_k1-IuUp2yDIhQA5zDXFnkVw8sQ/view?usp=drivesdk","WARTINI, A.Md.Keb SERTIFIKAT BerAKHLAK")</f>
        <v>WARTINI, A.Md.Keb SERTIFIKAT BerAKHLAK</v>
      </c>
      <c r="K5178" s="5" t="s">
        <v>33375</v>
      </c>
      <c r="L5178" s="5" t="s">
        <v>33924</v>
      </c>
      <c r="M5178" s="5" t="s">
        <v>33925</v>
      </c>
      <c r="N5178" s="7" t="s">
        <v>33926</v>
      </c>
      <c r="O5178" s="8" t="str">
        <f>HYPERLINK("https://drive.google.com/file/d/1_u1HiKgtMGE-pYRkLC5KQC0vp5CVQTta/view?usp=drivesdk","5177_WARTINI, A.Md.Keb _ SERTIFIKAT BerAKHLAK")</f>
        <v>5177_WARTINI, A.Md.Keb _ SERTIFIKAT BerAKHLAK</v>
      </c>
      <c r="P5178" s="5" t="s">
        <v>33898</v>
      </c>
    </row>
    <row r="5179">
      <c r="A5179" s="4">
        <v>45534.35741013889</v>
      </c>
      <c r="B5179" s="5" t="s">
        <v>34</v>
      </c>
      <c r="D5179" s="5" t="s">
        <v>1206</v>
      </c>
      <c r="E5179" s="5" t="s">
        <v>33927</v>
      </c>
      <c r="F5179" s="5" t="s">
        <v>212</v>
      </c>
      <c r="G5179" s="5" t="s">
        <v>33928</v>
      </c>
      <c r="H5179" s="6" t="s">
        <v>33929</v>
      </c>
      <c r="I5179" s="7" t="s">
        <v>33930</v>
      </c>
      <c r="J5179" s="8" t="str">
        <f>HYPERLINK("https://drive.google.com/file/d/1FNB6umijkjLyrCC5bCLIM89k2InfInZm/view?usp=drivesdk","LILIS SUNARMI SERTIFIKAT BerAKHLAK")</f>
        <v>LILIS SUNARMI SERTIFIKAT BerAKHLAK</v>
      </c>
      <c r="K5179" s="5" t="s">
        <v>33375</v>
      </c>
      <c r="L5179" s="5" t="s">
        <v>33931</v>
      </c>
      <c r="M5179" s="5" t="s">
        <v>33932</v>
      </c>
      <c r="N5179" s="7" t="s">
        <v>33933</v>
      </c>
      <c r="O5179" s="8" t="str">
        <f>HYPERLINK("https://drive.google.com/file/d/1dKA2Sgwx12sGmf0b58kI2V4twHR0vcE4/view?usp=drivesdk","5178_LILIS SUNARMI _ SERTIFIKAT BerAKHLAK")</f>
        <v>5178_LILIS SUNARMI _ SERTIFIKAT BerAKHLAK</v>
      </c>
      <c r="P5179" s="5" t="s">
        <v>33934</v>
      </c>
    </row>
    <row r="5180">
      <c r="A5180" s="4">
        <v>45534.357412349535</v>
      </c>
      <c r="B5180" s="5" t="s">
        <v>34</v>
      </c>
      <c r="D5180" s="5" t="s">
        <v>6232</v>
      </c>
      <c r="E5180" s="5" t="s">
        <v>33935</v>
      </c>
      <c r="F5180" s="5" t="s">
        <v>524</v>
      </c>
      <c r="G5180" s="5" t="s">
        <v>33936</v>
      </c>
      <c r="H5180" s="6" t="s">
        <v>33937</v>
      </c>
      <c r="I5180" s="7" t="s">
        <v>33938</v>
      </c>
      <c r="J5180" s="8" t="str">
        <f>HYPERLINK("https://drive.google.com/file/d/1AgAscyyN8v83nw4E3TX2nckiGW2jqbFF/view?usp=drivesdk","ASMINA SERTIFIKAT BerAKHLAK")</f>
        <v>ASMINA SERTIFIKAT BerAKHLAK</v>
      </c>
      <c r="K5180" s="5" t="s">
        <v>33375</v>
      </c>
      <c r="L5180" s="5" t="s">
        <v>33939</v>
      </c>
      <c r="M5180" s="5" t="s">
        <v>33940</v>
      </c>
      <c r="N5180" s="7" t="s">
        <v>33941</v>
      </c>
      <c r="O5180" s="8" t="str">
        <f>HYPERLINK("https://drive.google.com/file/d/1mAXtJgUmcPnAQwsltheac72TS3vP_UE4/view?usp=drivesdk","5179_ASMINA _ SERTIFIKAT BerAKHLAK")</f>
        <v>5179_ASMINA _ SERTIFIKAT BerAKHLAK</v>
      </c>
      <c r="P5180" s="5" t="s">
        <v>33934</v>
      </c>
    </row>
    <row r="5181">
      <c r="A5181" s="4">
        <v>45534.35741627315</v>
      </c>
      <c r="B5181" s="5" t="s">
        <v>34</v>
      </c>
      <c r="D5181" s="5" t="s">
        <v>1206</v>
      </c>
      <c r="E5181" s="5" t="s">
        <v>33942</v>
      </c>
      <c r="F5181" s="5" t="s">
        <v>212</v>
      </c>
      <c r="G5181" s="5" t="s">
        <v>33943</v>
      </c>
      <c r="H5181" s="6" t="s">
        <v>33944</v>
      </c>
      <c r="K5181" s="5" t="s">
        <v>33945</v>
      </c>
      <c r="M5181" s="5" t="s">
        <v>33946</v>
      </c>
      <c r="N5181" s="7" t="s">
        <v>33947</v>
      </c>
      <c r="O5181" s="8" t="str">
        <f>HYPERLINK("https://drive.google.com/file/d/1T9LQj54iAD7RMIIpl9mA7v2MsXE9MWSY/view?usp=drivesdk","5180_HENDRIYANA _ SERTIFIKAT BerAKHLAK")</f>
        <v>5180_HENDRIYANA _ SERTIFIKAT BerAKHLAK</v>
      </c>
      <c r="P5181" s="5" t="s">
        <v>33934</v>
      </c>
    </row>
    <row r="5182">
      <c r="A5182" s="4">
        <v>45534.35744775463</v>
      </c>
      <c r="B5182" s="5" t="s">
        <v>34</v>
      </c>
      <c r="D5182" s="5" t="s">
        <v>35</v>
      </c>
      <c r="E5182" s="5" t="s">
        <v>33948</v>
      </c>
      <c r="F5182" s="5" t="s">
        <v>108</v>
      </c>
      <c r="G5182" s="5" t="s">
        <v>33949</v>
      </c>
      <c r="H5182" s="6" t="s">
        <v>33950</v>
      </c>
      <c r="I5182" s="7" t="s">
        <v>33951</v>
      </c>
      <c r="J5182" s="8" t="str">
        <f>HYPERLINK("https://drive.google.com/file/d/1ta0j97f6uhRLKEyVYAWrBFLRo5aqUdeu/view?usp=drivesdk","JEJEN HIDAYAT SERTIFIKAT BerAKHLAK")</f>
        <v>JEJEN HIDAYAT SERTIFIKAT BerAKHLAK</v>
      </c>
      <c r="K5182" s="5" t="s">
        <v>33337</v>
      </c>
      <c r="L5182" s="5" t="s">
        <v>33952</v>
      </c>
      <c r="M5182" s="5" t="s">
        <v>33953</v>
      </c>
      <c r="N5182" s="7" t="s">
        <v>33954</v>
      </c>
      <c r="O5182" s="8" t="str">
        <f>HYPERLINK("https://drive.google.com/file/d/1wor3_7TLSxuMnbT2pLVy7UfrOIoypB8R/view?usp=drivesdk","5181_JEJEN HIDAYAT _ SERTIFIKAT BerAKHLAK")</f>
        <v>5181_JEJEN HIDAYAT _ SERTIFIKAT BerAKHLAK</v>
      </c>
      <c r="P5182" s="5" t="s">
        <v>33934</v>
      </c>
    </row>
    <row r="5183">
      <c r="A5183" s="4">
        <v>45534.35745099537</v>
      </c>
      <c r="B5183" s="5" t="s">
        <v>34</v>
      </c>
      <c r="D5183" s="5" t="s">
        <v>3849</v>
      </c>
      <c r="E5183" s="5" t="s">
        <v>29592</v>
      </c>
      <c r="F5183" s="5" t="s">
        <v>37</v>
      </c>
      <c r="G5183" s="5" t="s">
        <v>33955</v>
      </c>
      <c r="H5183" s="6" t="s">
        <v>33956</v>
      </c>
      <c r="I5183" s="7" t="s">
        <v>33957</v>
      </c>
      <c r="J5183" s="8" t="str">
        <f>HYPERLINK("https://drive.google.com/file/d/1E3pcb71x0qPNpNAOyhvJ5lFrhWWoz2NC/view?usp=drivesdk","YULIATI SERTIFIKAT BerAKHLAK")</f>
        <v>YULIATI SERTIFIKAT BerAKHLAK</v>
      </c>
      <c r="K5183" s="5" t="s">
        <v>33375</v>
      </c>
      <c r="L5183" s="5" t="s">
        <v>33958</v>
      </c>
      <c r="M5183" s="5" t="s">
        <v>33959</v>
      </c>
      <c r="N5183" s="7" t="s">
        <v>33960</v>
      </c>
      <c r="O5183" s="8" t="str">
        <f>HYPERLINK("https://drive.google.com/file/d/1P2oCwo0wF1TGEyBrn8nAF8rDN4CK5Cn1/view?usp=drivesdk","5182_YULIATI _ SERTIFIKAT BerAKHLAK")</f>
        <v>5182_YULIATI _ SERTIFIKAT BerAKHLAK</v>
      </c>
      <c r="P5183" s="5" t="s">
        <v>33934</v>
      </c>
    </row>
    <row r="5184">
      <c r="A5184" s="4">
        <v>45534.3574530787</v>
      </c>
      <c r="B5184" s="5" t="s">
        <v>34</v>
      </c>
      <c r="D5184" s="5" t="s">
        <v>7858</v>
      </c>
      <c r="E5184" s="5" t="s">
        <v>33961</v>
      </c>
      <c r="F5184" s="5" t="s">
        <v>375</v>
      </c>
      <c r="G5184" s="5" t="s">
        <v>33962</v>
      </c>
      <c r="H5184" s="6" t="s">
        <v>33963</v>
      </c>
      <c r="I5184" s="7" t="s">
        <v>33964</v>
      </c>
      <c r="J5184" s="8" t="str">
        <f>HYPERLINK("https://drive.google.com/file/d/1swO8GJfdcsdIDumXqOKN8ofRNEuKuSQp/view?usp=drivesdk","dr. Hezar Salahudin SpB  SERTIFIKAT BerAKHLAK")</f>
        <v>dr. Hezar Salahudin SpB  SERTIFIKAT BerAKHLAK</v>
      </c>
      <c r="K5184" s="5" t="s">
        <v>33375</v>
      </c>
      <c r="L5184" s="5" t="s">
        <v>33965</v>
      </c>
      <c r="M5184" s="5" t="s">
        <v>33966</v>
      </c>
      <c r="N5184" s="7" t="s">
        <v>33967</v>
      </c>
      <c r="O5184" s="8" t="str">
        <f>HYPERLINK("https://drive.google.com/file/d/15DKgN-0fmOB7LQbklyadhzQSIkRxqYXA/view?usp=drivesdk","5183_dr. Hezar Salahudin SpB  _ SERTIFIKAT BerAKHLAK")</f>
        <v>5183_dr. Hezar Salahudin SpB  _ SERTIFIKAT BerAKHLAK</v>
      </c>
      <c r="P5184" s="5" t="s">
        <v>33968</v>
      </c>
    </row>
    <row r="5185">
      <c r="A5185" s="4">
        <v>45534.35746262732</v>
      </c>
      <c r="B5185" s="5" t="s">
        <v>34</v>
      </c>
      <c r="D5185" s="5" t="s">
        <v>1206</v>
      </c>
      <c r="E5185" s="5" t="s">
        <v>33969</v>
      </c>
      <c r="F5185" s="5" t="s">
        <v>524</v>
      </c>
      <c r="G5185" s="5" t="s">
        <v>33970</v>
      </c>
      <c r="H5185" s="6" t="s">
        <v>33971</v>
      </c>
      <c r="I5185" s="7" t="s">
        <v>33972</v>
      </c>
      <c r="J5185" s="8" t="str">
        <f>HYPERLINK("https://drive.google.com/file/d/15LT-BPDXZQ3crxNGd0OUCzMD0wr-ESVE/view?usp=drivesdk","LYLIANA, S. Kep., Ns SERTIFIKAT BerAKHLAK")</f>
        <v>LYLIANA, S. Kep., Ns SERTIFIKAT BerAKHLAK</v>
      </c>
      <c r="K5185" s="5" t="s">
        <v>33375</v>
      </c>
      <c r="L5185" s="5" t="s">
        <v>33973</v>
      </c>
      <c r="M5185" s="5" t="s">
        <v>33974</v>
      </c>
      <c r="N5185" s="7" t="s">
        <v>33975</v>
      </c>
      <c r="O5185" s="8" t="str">
        <f>HYPERLINK("https://drive.google.com/file/d/1c-ji4e_rQLUeVM1jqHfTiC1IcFTeyFlP/view?usp=drivesdk","5184_LYLIANA, S. Kep., Ns _ SERTIFIKAT BerAKHLAK")</f>
        <v>5184_LYLIANA, S. Kep., Ns _ SERTIFIKAT BerAKHLAK</v>
      </c>
      <c r="P5185" s="5" t="s">
        <v>33968</v>
      </c>
    </row>
    <row r="5186">
      <c r="A5186" s="4">
        <v>45534.35746547453</v>
      </c>
      <c r="B5186" s="5" t="s">
        <v>34</v>
      </c>
      <c r="D5186" s="5" t="s">
        <v>1206</v>
      </c>
      <c r="E5186" s="5" t="s">
        <v>33976</v>
      </c>
      <c r="F5186" s="5" t="s">
        <v>6776</v>
      </c>
      <c r="G5186" s="5" t="s">
        <v>33977</v>
      </c>
      <c r="H5186" s="6" t="s">
        <v>33978</v>
      </c>
      <c r="K5186" s="5" t="s">
        <v>33979</v>
      </c>
      <c r="M5186" s="5" t="s">
        <v>33980</v>
      </c>
      <c r="N5186" s="7" t="s">
        <v>33981</v>
      </c>
      <c r="O5186" s="8" t="str">
        <f>HYPERLINK("https://drive.google.com/file/d/1MabMWiLnjX4HUmFYc0xiVWvo3WrYpcdK/view?usp=drivesdk","5185_SUPRIADI _ SERTIFIKAT BerAKHLAK")</f>
        <v>5185_SUPRIADI _ SERTIFIKAT BerAKHLAK</v>
      </c>
      <c r="P5186" s="5" t="s">
        <v>33968</v>
      </c>
    </row>
    <row r="5187">
      <c r="A5187" s="4">
        <v>45534.357476481484</v>
      </c>
      <c r="B5187" s="5" t="s">
        <v>34</v>
      </c>
      <c r="D5187" s="5" t="s">
        <v>267</v>
      </c>
      <c r="E5187" s="5" t="s">
        <v>33982</v>
      </c>
      <c r="F5187" s="5" t="s">
        <v>524</v>
      </c>
      <c r="G5187" s="5" t="s">
        <v>33983</v>
      </c>
      <c r="H5187" s="6" t="s">
        <v>33984</v>
      </c>
      <c r="K5187" s="5" t="s">
        <v>33979</v>
      </c>
      <c r="M5187" s="5" t="s">
        <v>33985</v>
      </c>
      <c r="N5187" s="7" t="s">
        <v>33986</v>
      </c>
      <c r="O5187" s="8" t="str">
        <f>HYPERLINK("https://drive.google.com/file/d/1kQ9RyOClG6_Zr3RdMX-K56KGr811AhPf/view?usp=drivesdk","5186_RITA JATI MULYANTARI, AMK _ SERTIFIKAT BerAKHLAK")</f>
        <v>5186_RITA JATI MULYANTARI, AMK _ SERTIFIKAT BerAKHLAK</v>
      </c>
      <c r="P5187" s="5" t="s">
        <v>33987</v>
      </c>
    </row>
    <row r="5188">
      <c r="A5188" s="4">
        <v>45534.357477847225</v>
      </c>
      <c r="B5188" s="5" t="s">
        <v>34</v>
      </c>
      <c r="D5188" s="5" t="s">
        <v>9020</v>
      </c>
      <c r="E5188" s="5" t="s">
        <v>33988</v>
      </c>
      <c r="F5188" s="5" t="s">
        <v>37</v>
      </c>
      <c r="G5188" s="5" t="s">
        <v>33989</v>
      </c>
      <c r="H5188" s="6" t="s">
        <v>33990</v>
      </c>
      <c r="K5188" s="5" t="s">
        <v>33979</v>
      </c>
      <c r="M5188" s="5" t="s">
        <v>33991</v>
      </c>
      <c r="N5188" s="7" t="s">
        <v>33992</v>
      </c>
      <c r="O5188" s="8" t="str">
        <f>HYPERLINK("https://drive.google.com/file/d/19s2SXgbDykzuJxfGtRKJe7SXjHuJHyfv/view?usp=drivesdk","5187_LAMTIUR HOTMARIA NAINGGOLAN  _ SERTIFIKAT BerAKHLAK")</f>
        <v>5187_LAMTIUR HOTMARIA NAINGGOLAN  _ SERTIFIKAT BerAKHLAK</v>
      </c>
      <c r="P5188" s="5" t="s">
        <v>33987</v>
      </c>
    </row>
    <row r="5189">
      <c r="A5189" s="4">
        <v>45534.35749538195</v>
      </c>
      <c r="B5189" s="5" t="s">
        <v>34</v>
      </c>
      <c r="D5189" s="5" t="s">
        <v>14313</v>
      </c>
      <c r="E5189" s="5" t="s">
        <v>33993</v>
      </c>
      <c r="F5189" s="5" t="s">
        <v>212</v>
      </c>
      <c r="G5189" s="5" t="s">
        <v>33994</v>
      </c>
      <c r="H5189" s="6" t="s">
        <v>33995</v>
      </c>
      <c r="I5189" s="7" t="s">
        <v>33996</v>
      </c>
      <c r="J5189" s="8" t="str">
        <f>HYPERLINK("https://drive.google.com/file/d/1V06-KgNKdsfaxKEmP2n-1bwn3WfK7y-n/view?usp=drivesdk","RUSNAH SERTIFIKAT BerAKHLAK")</f>
        <v>RUSNAH SERTIFIKAT BerAKHLAK</v>
      </c>
      <c r="K5189" s="5" t="s">
        <v>33375</v>
      </c>
      <c r="L5189" s="5" t="s">
        <v>33997</v>
      </c>
      <c r="M5189" s="5" t="s">
        <v>33998</v>
      </c>
      <c r="N5189" s="7" t="s">
        <v>33999</v>
      </c>
      <c r="O5189" s="8" t="str">
        <f>HYPERLINK("https://drive.google.com/file/d/1ikMMJRb8iAQRbtQYb8d9I0l-TnbB7G0y/view?usp=drivesdk","5188_RUSNAH _ SERTIFIKAT BerAKHLAK")</f>
        <v>5188_RUSNAH _ SERTIFIKAT BerAKHLAK</v>
      </c>
      <c r="P5189" s="5" t="s">
        <v>33987</v>
      </c>
    </row>
    <row r="5190" hidden="1">
      <c r="A5190" s="4">
        <v>45534.35751144676</v>
      </c>
      <c r="B5190" s="5" t="s">
        <v>19</v>
      </c>
      <c r="C5190" s="5" t="s">
        <v>11593</v>
      </c>
      <c r="E5190" s="5" t="s">
        <v>34000</v>
      </c>
      <c r="F5190" s="5" t="s">
        <v>72</v>
      </c>
      <c r="G5190" s="5" t="s">
        <v>34001</v>
      </c>
      <c r="H5190" s="6" t="s">
        <v>34002</v>
      </c>
      <c r="I5190" s="7" t="s">
        <v>34003</v>
      </c>
      <c r="J5190" s="8" t="str">
        <f>HYPERLINK("https://drive.google.com/file/d/1BWjebya14M66KfMFQhQQ-iuAPT9C1xj5/view?usp=drivesdk","SULISTYOWATI,AMAK,S.P.si SERTIFIKAT BerAKHLAK")</f>
        <v>SULISTYOWATI,AMAK,S.P.si SERTIFIKAT BerAKHLAK</v>
      </c>
      <c r="K5190" s="5" t="s">
        <v>33375</v>
      </c>
      <c r="L5190" s="5" t="s">
        <v>34004</v>
      </c>
      <c r="M5190" s="5" t="s">
        <v>34005</v>
      </c>
      <c r="N5190" s="7" t="s">
        <v>34006</v>
      </c>
      <c r="O5190" s="8" t="str">
        <f>HYPERLINK("https://drive.google.com/file/d/106Vie70LlZWBvedoMetSSX1P8aCn9cy4/view?usp=drivesdk","5189_SULISTYOWATI,AMAK,S.P.si _ SERTIFIKAT BerAKHLAK")</f>
        <v>5189_SULISTYOWATI,AMAK,S.P.si _ SERTIFIKAT BerAKHLAK</v>
      </c>
      <c r="P5190" s="5" t="s">
        <v>33987</v>
      </c>
    </row>
    <row r="5191">
      <c r="A5191" s="4">
        <v>45534.35751944444</v>
      </c>
      <c r="B5191" s="5" t="s">
        <v>34</v>
      </c>
      <c r="D5191" s="5" t="s">
        <v>12978</v>
      </c>
      <c r="E5191" s="5" t="s">
        <v>34007</v>
      </c>
      <c r="F5191" s="5" t="s">
        <v>715</v>
      </c>
      <c r="G5191" s="5" t="s">
        <v>34008</v>
      </c>
      <c r="H5191" s="6" t="s">
        <v>34009</v>
      </c>
      <c r="I5191" s="7" t="s">
        <v>34010</v>
      </c>
      <c r="J5191" s="8" t="str">
        <f>HYPERLINK("https://drive.google.com/file/d/1vYwEC6VqQIYuHB3FznclGTvzeJRqPGwv/view?usp=drivesdk","ANDI SUMIYATI  SERTIFIKAT BerAKHLAK")</f>
        <v>ANDI SUMIYATI  SERTIFIKAT BerAKHLAK</v>
      </c>
      <c r="K5191" s="5" t="s">
        <v>33375</v>
      </c>
      <c r="L5191" s="5" t="s">
        <v>34011</v>
      </c>
      <c r="M5191" s="5" t="s">
        <v>34012</v>
      </c>
      <c r="N5191" s="7" t="s">
        <v>34013</v>
      </c>
      <c r="O5191" s="8" t="str">
        <f>HYPERLINK("https://drive.google.com/file/d/1ejV7AkYCkKRP57PEvsXBOVXhP0jTwtuz/view?usp=drivesdk","5190_ANDI SUMIYATI  _ SERTIFIKAT BerAKHLAK")</f>
        <v>5190_ANDI SUMIYATI  _ SERTIFIKAT BerAKHLAK</v>
      </c>
      <c r="P5191" s="5" t="s">
        <v>33987</v>
      </c>
    </row>
    <row r="5192">
      <c r="A5192" s="4">
        <v>45534.35752474537</v>
      </c>
      <c r="B5192" s="5" t="s">
        <v>34</v>
      </c>
      <c r="D5192" s="5" t="s">
        <v>1768</v>
      </c>
      <c r="E5192" s="5" t="s">
        <v>34014</v>
      </c>
      <c r="F5192" s="5" t="s">
        <v>524</v>
      </c>
      <c r="G5192" s="5" t="s">
        <v>34015</v>
      </c>
      <c r="H5192" s="6" t="s">
        <v>34016</v>
      </c>
      <c r="I5192" s="7" t="s">
        <v>34017</v>
      </c>
      <c r="J5192" s="8" t="str">
        <f>HYPERLINK("https://drive.google.com/file/d/1HVcVKgkcHZhG1yIkNfY4TErX4e8PlGBl/view?usp=drivesdk","RINI APRIYANTI,A.MD.KEP SERTIFIKAT BerAKHLAK")</f>
        <v>RINI APRIYANTI,A.MD.KEP SERTIFIKAT BerAKHLAK</v>
      </c>
      <c r="K5192" s="5" t="s">
        <v>33375</v>
      </c>
      <c r="L5192" s="5" t="s">
        <v>34018</v>
      </c>
      <c r="M5192" s="5" t="s">
        <v>34019</v>
      </c>
      <c r="N5192" s="7" t="s">
        <v>34020</v>
      </c>
      <c r="O5192" s="8" t="str">
        <f>HYPERLINK("https://drive.google.com/file/d/1ecJYjDREG8h4TfrIkHi4a92th3UIcEld/view?usp=drivesdk","5191_RINI APRIYANTI,A.MD.KEP _ SERTIFIKAT BerAKHLAK")</f>
        <v>5191_RINI APRIYANTI,A.MD.KEP _ SERTIFIKAT BerAKHLAK</v>
      </c>
      <c r="P5192" s="5" t="s">
        <v>33987</v>
      </c>
    </row>
    <row r="5193">
      <c r="A5193" s="4">
        <v>45534.35752899306</v>
      </c>
      <c r="B5193" s="5" t="s">
        <v>34</v>
      </c>
      <c r="D5193" s="5" t="s">
        <v>35</v>
      </c>
      <c r="E5193" s="5" t="s">
        <v>34021</v>
      </c>
      <c r="F5193" s="5" t="s">
        <v>37</v>
      </c>
      <c r="G5193" s="5" t="s">
        <v>34022</v>
      </c>
      <c r="H5193" s="6" t="s">
        <v>34023</v>
      </c>
      <c r="I5193" s="7" t="s">
        <v>34024</v>
      </c>
      <c r="J5193" s="8" t="str">
        <f>HYPERLINK("https://drive.google.com/file/d/11nKmUuIS6oqHQ0lR3GGvKjhEpVlr6jOk/view?usp=drivesdk","BAMBANG HERYANTO SERTIFIKAT BerAKHLAK")</f>
        <v>BAMBANG HERYANTO SERTIFIKAT BerAKHLAK</v>
      </c>
      <c r="K5193" s="5" t="s">
        <v>33375</v>
      </c>
      <c r="L5193" s="5" t="s">
        <v>34025</v>
      </c>
      <c r="M5193" s="5" t="s">
        <v>34026</v>
      </c>
      <c r="N5193" s="7" t="s">
        <v>34027</v>
      </c>
      <c r="O5193" s="8" t="str">
        <f>HYPERLINK("https://drive.google.com/file/d/1kqAjBiOO0bTz1DeYDBrPBwFst0qjV3IX/view?usp=drivesdk","5192_BAMBANG HERYANTO _ SERTIFIKAT BerAKHLAK")</f>
        <v>5192_BAMBANG HERYANTO _ SERTIFIKAT BerAKHLAK</v>
      </c>
      <c r="P5193" s="5" t="s">
        <v>34028</v>
      </c>
    </row>
    <row r="5194">
      <c r="A5194" s="4">
        <v>45534.35753886574</v>
      </c>
      <c r="B5194" s="5" t="s">
        <v>34</v>
      </c>
      <c r="D5194" s="5" t="s">
        <v>35</v>
      </c>
      <c r="E5194" s="5" t="s">
        <v>34029</v>
      </c>
      <c r="F5194" s="5" t="s">
        <v>37</v>
      </c>
      <c r="G5194" s="5" t="s">
        <v>34030</v>
      </c>
      <c r="H5194" s="6" t="s">
        <v>34031</v>
      </c>
      <c r="I5194" s="7" t="s">
        <v>34032</v>
      </c>
      <c r="J5194" s="8" t="str">
        <f>HYPERLINK("https://drive.google.com/file/d/1sSGrMUvYJZpBaAgfDIlvLPDTQJnuRO-5/view?usp=drivesdk","ARIS RISTIAWAN SERTIFIKAT BerAKHLAK")</f>
        <v>ARIS RISTIAWAN SERTIFIKAT BerAKHLAK</v>
      </c>
      <c r="K5194" s="5" t="s">
        <v>33375</v>
      </c>
      <c r="L5194" s="5" t="s">
        <v>34033</v>
      </c>
      <c r="M5194" s="5" t="s">
        <v>34034</v>
      </c>
      <c r="N5194" s="7" t="s">
        <v>34035</v>
      </c>
      <c r="O5194" s="8" t="str">
        <f>HYPERLINK("https://drive.google.com/file/d/1-lbBhuuS-ezSImVSlyulwxGYIKtwG1Vg/view?usp=drivesdk","5193_ARIS RISTIAWAN _ SERTIFIKAT BerAKHLAK")</f>
        <v>5193_ARIS RISTIAWAN _ SERTIFIKAT BerAKHLAK</v>
      </c>
      <c r="P5194" s="5" t="s">
        <v>34028</v>
      </c>
    </row>
    <row r="5195">
      <c r="A5195" s="4">
        <v>45534.35754028935</v>
      </c>
      <c r="B5195" s="5" t="s">
        <v>34</v>
      </c>
      <c r="D5195" s="5" t="s">
        <v>2903</v>
      </c>
      <c r="E5195" s="5" t="s">
        <v>34036</v>
      </c>
      <c r="F5195" s="5" t="s">
        <v>120</v>
      </c>
      <c r="G5195" s="5" t="s">
        <v>34037</v>
      </c>
      <c r="H5195" s="6" t="s">
        <v>34038</v>
      </c>
      <c r="I5195" s="7" t="s">
        <v>34039</v>
      </c>
      <c r="J5195" s="8" t="str">
        <f>HYPERLINK("https://drive.google.com/file/d/1ozQVK7JgTivofSy3H7aq1IsWnzUcFloj/view?usp=drivesdk","REFNINI SERTIFIKAT BerAKHLAK")</f>
        <v>REFNINI SERTIFIKAT BerAKHLAK</v>
      </c>
      <c r="K5195" s="5" t="s">
        <v>33375</v>
      </c>
      <c r="L5195" s="5" t="s">
        <v>34040</v>
      </c>
      <c r="M5195" s="5" t="s">
        <v>34041</v>
      </c>
      <c r="N5195" s="7" t="s">
        <v>34042</v>
      </c>
      <c r="O5195" s="8" t="str">
        <f>HYPERLINK("https://drive.google.com/file/d/1YnZJfBFQCQuuQ-fZ5u449Gz-3zvOinv3/view?usp=drivesdk","5194_REFNINI _ SERTIFIKAT BerAKHLAK")</f>
        <v>5194_REFNINI _ SERTIFIKAT BerAKHLAK</v>
      </c>
      <c r="P5195" s="5" t="s">
        <v>34028</v>
      </c>
    </row>
    <row r="5196">
      <c r="A5196" s="4">
        <v>45534.35756049769</v>
      </c>
      <c r="B5196" s="5" t="s">
        <v>34</v>
      </c>
      <c r="D5196" s="5" t="s">
        <v>9394</v>
      </c>
      <c r="E5196" s="5" t="s">
        <v>34043</v>
      </c>
      <c r="F5196" s="5" t="s">
        <v>37</v>
      </c>
      <c r="G5196" s="5" t="s">
        <v>34044</v>
      </c>
      <c r="H5196" s="6" t="s">
        <v>34045</v>
      </c>
      <c r="I5196" s="7" t="s">
        <v>34046</v>
      </c>
      <c r="J5196" s="8" t="str">
        <f>HYPERLINK("https://drive.google.com/file/d/1cVvjFjzp1HSKXHWJ1miOta82qsq_vIzZ/view?usp=drivesdk","ERNAWATI, S.E. SERTIFIKAT BerAKHLAK")</f>
        <v>ERNAWATI, S.E. SERTIFIKAT BerAKHLAK</v>
      </c>
      <c r="K5196" s="5" t="s">
        <v>33375</v>
      </c>
      <c r="L5196" s="5" t="s">
        <v>34047</v>
      </c>
      <c r="M5196" s="5" t="s">
        <v>34048</v>
      </c>
      <c r="N5196" s="7" t="s">
        <v>34049</v>
      </c>
      <c r="O5196" s="8" t="str">
        <f>HYPERLINK("https://drive.google.com/file/d/1sBRiRgZmk1JHaC8FiODgEWIv7OmqyAge/view?usp=drivesdk","5195_ERNAWATI, S.E. _ SERTIFIKAT BerAKHLAK")</f>
        <v>5195_ERNAWATI, S.E. _ SERTIFIKAT BerAKHLAK</v>
      </c>
      <c r="P5196" s="5" t="s">
        <v>34028</v>
      </c>
    </row>
    <row r="5197">
      <c r="A5197" s="4">
        <v>45534.357571597226</v>
      </c>
      <c r="B5197" s="5" t="s">
        <v>34</v>
      </c>
      <c r="D5197" s="5" t="s">
        <v>12978</v>
      </c>
      <c r="E5197" s="5" t="s">
        <v>34050</v>
      </c>
      <c r="F5197" s="5" t="s">
        <v>715</v>
      </c>
      <c r="G5197" s="5" t="s">
        <v>34051</v>
      </c>
      <c r="H5197" s="6" t="s">
        <v>34052</v>
      </c>
      <c r="I5197" s="7" t="s">
        <v>34053</v>
      </c>
      <c r="J5197" s="8" t="str">
        <f>HYPERLINK("https://drive.google.com/file/d/1_N_PNFqShs9Oojxs32uOaC4uUq1eozdK/view?usp=drivesdk","MARLINA, S.E SERTIFIKAT BerAKHLAK")</f>
        <v>MARLINA, S.E SERTIFIKAT BerAKHLAK</v>
      </c>
      <c r="K5197" s="5" t="s">
        <v>33375</v>
      </c>
      <c r="L5197" s="5" t="s">
        <v>34054</v>
      </c>
      <c r="M5197" s="5" t="s">
        <v>34055</v>
      </c>
      <c r="N5197" s="7" t="s">
        <v>34056</v>
      </c>
      <c r="O5197" s="8" t="str">
        <f>HYPERLINK("https://drive.google.com/file/d/12-UuZfnxAED3aB_VHDzqprk37PsF8ftp/view?usp=drivesdk","5196_MARLINA, S.E _ SERTIFIKAT BerAKHLAK")</f>
        <v>5196_MARLINA, S.E _ SERTIFIKAT BerAKHLAK</v>
      </c>
      <c r="P5197" s="5" t="s">
        <v>34028</v>
      </c>
    </row>
    <row r="5198">
      <c r="A5198" s="4">
        <v>45534.35758759259</v>
      </c>
      <c r="B5198" s="5" t="s">
        <v>34</v>
      </c>
      <c r="D5198" s="5" t="s">
        <v>701</v>
      </c>
      <c r="E5198" s="5" t="s">
        <v>34057</v>
      </c>
      <c r="F5198" s="5" t="s">
        <v>212</v>
      </c>
      <c r="G5198" s="5" t="s">
        <v>34058</v>
      </c>
      <c r="H5198" s="6" t="s">
        <v>34059</v>
      </c>
      <c r="K5198" s="5" t="s">
        <v>34060</v>
      </c>
      <c r="M5198" s="5" t="s">
        <v>34061</v>
      </c>
      <c r="N5198" s="7" t="s">
        <v>34062</v>
      </c>
      <c r="O5198" s="8" t="str">
        <f>HYPERLINK("https://drive.google.com/file/d/1S9qMghjdxcp1xmBIbRTSCh-LvYC-uH6h/view?usp=drivesdk","5197_ZAINUL APENDI _ SERTIFIKAT BerAKHLAK")</f>
        <v>5197_ZAINUL APENDI _ SERTIFIKAT BerAKHLAK</v>
      </c>
      <c r="P5198" s="5" t="s">
        <v>34063</v>
      </c>
    </row>
    <row r="5199">
      <c r="A5199" s="4">
        <v>45534.35760800926</v>
      </c>
      <c r="B5199" s="5" t="s">
        <v>34</v>
      </c>
      <c r="D5199" s="5" t="s">
        <v>1206</v>
      </c>
      <c r="E5199" s="5" t="s">
        <v>34064</v>
      </c>
      <c r="F5199" s="5" t="s">
        <v>524</v>
      </c>
      <c r="G5199" s="5" t="s">
        <v>34065</v>
      </c>
      <c r="H5199" s="6" t="s">
        <v>34066</v>
      </c>
      <c r="I5199" s="7" t="s">
        <v>34067</v>
      </c>
      <c r="J5199" s="8" t="str">
        <f>HYPERLINK("https://drive.google.com/file/d/1JaomYl1s6Wce3xr3BEGrz8ExUeOT0z6X/view?usp=drivesdk","NUR MUJI ASTUTIK, S.Kep.Ns SERTIFIKAT BerAKHLAK")</f>
        <v>NUR MUJI ASTUTIK, S.Kep.Ns SERTIFIKAT BerAKHLAK</v>
      </c>
      <c r="K5199" s="5" t="s">
        <v>33375</v>
      </c>
      <c r="L5199" s="5" t="s">
        <v>34068</v>
      </c>
      <c r="M5199" s="5" t="s">
        <v>34069</v>
      </c>
      <c r="N5199" s="7" t="s">
        <v>34070</v>
      </c>
      <c r="O5199" s="8" t="str">
        <f>HYPERLINK("https://drive.google.com/file/d/1LU_8TfnVNFEXvgxc8ZrMbrVYQTRl_Hwk/view?usp=drivesdk","5198_NUR MUJI ASTUTIK, S.Kep.Ns _ SERTIFIKAT BerAKHLAK")</f>
        <v>5198_NUR MUJI ASTUTIK, S.Kep.Ns _ SERTIFIKAT BerAKHLAK</v>
      </c>
      <c r="P5199" s="5" t="s">
        <v>34063</v>
      </c>
    </row>
    <row r="5200">
      <c r="A5200" s="4">
        <v>45534.35760829861</v>
      </c>
      <c r="B5200" s="5" t="s">
        <v>34</v>
      </c>
      <c r="D5200" s="5" t="s">
        <v>1206</v>
      </c>
      <c r="E5200" s="5" t="s">
        <v>34071</v>
      </c>
      <c r="F5200" s="5" t="s">
        <v>108</v>
      </c>
      <c r="G5200" s="5" t="s">
        <v>34072</v>
      </c>
      <c r="H5200" s="6" t="s">
        <v>34073</v>
      </c>
      <c r="I5200" s="7" t="s">
        <v>34074</v>
      </c>
      <c r="J5200" s="8" t="str">
        <f>HYPERLINK("https://drive.google.com/file/d/1kainxWx2MswsDOkfSJZrzHB30PzfMrJl/view?usp=drivesdk","SUPRIYATIN.S.Sos SERTIFIKAT BerAKHLAK")</f>
        <v>SUPRIYATIN.S.Sos SERTIFIKAT BerAKHLAK</v>
      </c>
      <c r="K5200" s="5" t="s">
        <v>33375</v>
      </c>
      <c r="L5200" s="5" t="s">
        <v>34075</v>
      </c>
      <c r="M5200" s="5" t="s">
        <v>34076</v>
      </c>
      <c r="N5200" s="7" t="s">
        <v>34077</v>
      </c>
      <c r="O5200" s="8" t="str">
        <f>HYPERLINK("https://drive.google.com/file/d/1P25gwKikp2c6xg-cwDGqX6j_zos06s7c/view?usp=drivesdk","5199_SUPRIYATIN.S.Sos _ SERTIFIKAT BerAKHLAK")</f>
        <v>5199_SUPRIYATIN.S.Sos _ SERTIFIKAT BerAKHLAK</v>
      </c>
      <c r="P5200" s="5" t="s">
        <v>34063</v>
      </c>
    </row>
    <row r="5201" hidden="1">
      <c r="A5201" s="4">
        <v>45534.35762599537</v>
      </c>
      <c r="B5201" s="5" t="s">
        <v>19</v>
      </c>
      <c r="C5201" s="5" t="s">
        <v>442</v>
      </c>
      <c r="E5201" s="5" t="s">
        <v>34078</v>
      </c>
      <c r="F5201" s="5" t="s">
        <v>108</v>
      </c>
      <c r="G5201" s="5" t="s">
        <v>34079</v>
      </c>
      <c r="H5201" s="6" t="s">
        <v>34080</v>
      </c>
      <c r="I5201" s="7" t="s">
        <v>34081</v>
      </c>
      <c r="J5201" s="8" t="str">
        <f>HYPERLINK("https://drive.google.com/file/d/1HJb8t2gPTM94JJYPISWsIgYBRsoYHhse/view?usp=drivesdk","ANDRIAS LOMO, S.H. SERTIFIKAT BerAKHLAK")</f>
        <v>ANDRIAS LOMO, S.H. SERTIFIKAT BerAKHLAK</v>
      </c>
      <c r="K5201" s="5" t="s">
        <v>33375</v>
      </c>
      <c r="L5201" s="5" t="s">
        <v>34082</v>
      </c>
      <c r="M5201" s="5" t="s">
        <v>34083</v>
      </c>
      <c r="N5201" s="7" t="s">
        <v>34084</v>
      </c>
      <c r="O5201" s="8" t="str">
        <f>HYPERLINK("https://drive.google.com/file/d/1rtuWv_AnQjaDEt0xPSX3LYQiv-pwhNxu/view?usp=drivesdk","5200_ANDRIAS LOMO, S.H. _ SERTIFIKAT BerAKHLAK")</f>
        <v>5200_ANDRIAS LOMO, S.H. _ SERTIFIKAT BerAKHLAK</v>
      </c>
      <c r="P5201" s="5" t="s">
        <v>34063</v>
      </c>
    </row>
    <row r="5202">
      <c r="A5202" s="4">
        <v>45534.357628425925</v>
      </c>
      <c r="B5202" s="5" t="s">
        <v>34</v>
      </c>
      <c r="D5202" s="5" t="s">
        <v>4775</v>
      </c>
      <c r="E5202" s="5" t="s">
        <v>34085</v>
      </c>
      <c r="F5202" s="5" t="s">
        <v>212</v>
      </c>
      <c r="G5202" s="5" t="s">
        <v>34086</v>
      </c>
      <c r="H5202" s="6" t="s">
        <v>34087</v>
      </c>
      <c r="K5202" s="5" t="s">
        <v>34088</v>
      </c>
      <c r="M5202" s="5" t="s">
        <v>34089</v>
      </c>
      <c r="N5202" s="7" t="s">
        <v>34090</v>
      </c>
      <c r="O5202" s="8" t="str">
        <f>HYPERLINK("https://drive.google.com/file/d/1j9xGDXe4swPPEFhBsw2gFOPMHxdgVQ3x/view?usp=drivesdk","5201_WIWIK SETYANINGSIH, A.Md _ SERTIFIKAT BerAKHLAK")</f>
        <v>5201_WIWIK SETYANINGSIH, A.Md _ SERTIFIKAT BerAKHLAK</v>
      </c>
      <c r="P5202" s="5" t="s">
        <v>34063</v>
      </c>
    </row>
    <row r="5203">
      <c r="A5203" s="4">
        <v>45534.35762969907</v>
      </c>
      <c r="B5203" s="5" t="s">
        <v>34</v>
      </c>
      <c r="D5203" s="5" t="s">
        <v>267</v>
      </c>
      <c r="E5203" s="5" t="s">
        <v>34091</v>
      </c>
      <c r="F5203" s="5" t="s">
        <v>524</v>
      </c>
      <c r="G5203" s="5" t="s">
        <v>34092</v>
      </c>
      <c r="H5203" s="6" t="s">
        <v>34093</v>
      </c>
      <c r="K5203" s="5" t="s">
        <v>34088</v>
      </c>
      <c r="M5203" s="5" t="s">
        <v>34094</v>
      </c>
      <c r="N5203" s="7" t="s">
        <v>34095</v>
      </c>
      <c r="O5203" s="8" t="str">
        <f>HYPERLINK("https://drive.google.com/file/d/1NCqW95wiTcAoyNbFGt5xAVLtmI0neuPQ/view?usp=drivesdk","5202_YUNIARTININGSIH  _ SERTIFIKAT BerAKHLAK")</f>
        <v>5202_YUNIARTININGSIH  _ SERTIFIKAT BerAKHLAK</v>
      </c>
      <c r="P5203" s="5" t="s">
        <v>34063</v>
      </c>
    </row>
    <row r="5204">
      <c r="A5204" s="4">
        <v>45534.35763453704</v>
      </c>
      <c r="B5204" s="5" t="s">
        <v>34</v>
      </c>
      <c r="D5204" s="5" t="s">
        <v>14313</v>
      </c>
      <c r="E5204" s="5" t="s">
        <v>34096</v>
      </c>
      <c r="F5204" s="5" t="s">
        <v>375</v>
      </c>
      <c r="G5204" s="5" t="s">
        <v>34097</v>
      </c>
      <c r="H5204" s="6" t="s">
        <v>34098</v>
      </c>
      <c r="K5204" s="5" t="s">
        <v>34088</v>
      </c>
      <c r="M5204" s="5" t="s">
        <v>34099</v>
      </c>
      <c r="N5204" s="7" t="s">
        <v>34100</v>
      </c>
      <c r="O5204" s="8" t="str">
        <f>HYPERLINK("https://drive.google.com/file/d/11vQK7IC6_vBwE1AKpt78viaZcDaSjuRf/view?usp=drivesdk","5203_MILKA P.RAMMA.S.SOS.MSI _ SERTIFIKAT BerAKHLAK")</f>
        <v>5203_MILKA P.RAMMA.S.SOS.MSI _ SERTIFIKAT BerAKHLAK</v>
      </c>
      <c r="P5204" s="5" t="s">
        <v>34101</v>
      </c>
    </row>
    <row r="5205">
      <c r="A5205" s="4">
        <v>45534.357653900464</v>
      </c>
      <c r="B5205" s="5" t="s">
        <v>34</v>
      </c>
      <c r="D5205" s="5" t="s">
        <v>12978</v>
      </c>
      <c r="E5205" s="5" t="s">
        <v>34102</v>
      </c>
      <c r="F5205" s="5" t="s">
        <v>212</v>
      </c>
      <c r="G5205" s="5" t="s">
        <v>34103</v>
      </c>
      <c r="H5205" s="6" t="s">
        <v>34104</v>
      </c>
      <c r="I5205" s="7" t="s">
        <v>34105</v>
      </c>
      <c r="J5205" s="8" t="str">
        <f>HYPERLINK("https://drive.google.com/file/d/1b-pZuG228daoFLmtMpSkVgZ89mRD0U8E/view?usp=drivesdk","YUNIARSIH SERTIFIKAT BerAKHLAK")</f>
        <v>YUNIARSIH SERTIFIKAT BerAKHLAK</v>
      </c>
      <c r="K5205" s="5" t="s">
        <v>33375</v>
      </c>
      <c r="L5205" s="5" t="s">
        <v>34106</v>
      </c>
      <c r="M5205" s="5" t="s">
        <v>34107</v>
      </c>
      <c r="N5205" s="7" t="s">
        <v>34108</v>
      </c>
      <c r="O5205" s="8" t="str">
        <f>HYPERLINK("https://drive.google.com/file/d/115a-SurJVOoZyzWptkHkc0BR0tdoIYUR/view?usp=drivesdk","5204_YUNIARSIH _ SERTIFIKAT BerAKHLAK")</f>
        <v>5204_YUNIARSIH _ SERTIFIKAT BerAKHLAK</v>
      </c>
      <c r="P5205" s="5" t="s">
        <v>34101</v>
      </c>
    </row>
    <row r="5206">
      <c r="A5206" s="4">
        <v>45534.35766605324</v>
      </c>
      <c r="B5206" s="5" t="s">
        <v>34</v>
      </c>
      <c r="D5206" s="5" t="s">
        <v>14313</v>
      </c>
      <c r="E5206" s="5" t="s">
        <v>34109</v>
      </c>
      <c r="F5206" s="5" t="s">
        <v>375</v>
      </c>
      <c r="G5206" s="5" t="s">
        <v>34110</v>
      </c>
      <c r="H5206" s="6" t="s">
        <v>34111</v>
      </c>
      <c r="I5206" s="7" t="s">
        <v>34112</v>
      </c>
      <c r="J5206" s="8" t="str">
        <f>HYPERLINK("https://drive.google.com/file/d/180WIwad4qSDoksQiR3oQAVkxIQzrHVTW/view?usp=drivesdk","SRI MIARSIH SERTIFIKAT BerAKHLAK")</f>
        <v>SRI MIARSIH SERTIFIKAT BerAKHLAK</v>
      </c>
      <c r="K5206" s="5" t="s">
        <v>33375</v>
      </c>
      <c r="L5206" s="5" t="s">
        <v>34113</v>
      </c>
      <c r="M5206" s="5" t="s">
        <v>34114</v>
      </c>
      <c r="N5206" s="7" t="s">
        <v>34115</v>
      </c>
      <c r="O5206" s="8" t="str">
        <f>HYPERLINK("https://drive.google.com/file/d/1ljUOWTTIAR9THqyWXL2HN8eSzXIIaAX9/view?usp=drivesdk","5205_SRI MIARSIH _ SERTIFIKAT BerAKHLAK")</f>
        <v>5205_SRI MIARSIH _ SERTIFIKAT BerAKHLAK</v>
      </c>
      <c r="P5206" s="5" t="s">
        <v>34101</v>
      </c>
    </row>
    <row r="5207" hidden="1">
      <c r="A5207" s="4">
        <v>45534.35767084491</v>
      </c>
      <c r="B5207" s="5" t="s">
        <v>19</v>
      </c>
      <c r="C5207" s="5" t="s">
        <v>14000</v>
      </c>
      <c r="E5207" s="5" t="s">
        <v>34116</v>
      </c>
      <c r="F5207" s="5" t="s">
        <v>37</v>
      </c>
      <c r="G5207" s="5" t="s">
        <v>34117</v>
      </c>
      <c r="H5207" s="6" t="s">
        <v>34118</v>
      </c>
      <c r="I5207" s="7" t="s">
        <v>34119</v>
      </c>
      <c r="J5207" s="8" t="str">
        <f>HYPERLINK("https://drive.google.com/file/d/1Klmri6g5FxwUWt2pk3BQN4_tgOencHXP/view?usp=drivesdk","Dimas Setya Permana, A.Md SERTIFIKAT BerAKHLAK")</f>
        <v>Dimas Setya Permana, A.Md SERTIFIKAT BerAKHLAK</v>
      </c>
      <c r="K5207" s="5" t="s">
        <v>33375</v>
      </c>
      <c r="L5207" s="5" t="s">
        <v>34120</v>
      </c>
      <c r="M5207" s="5" t="s">
        <v>34121</v>
      </c>
      <c r="N5207" s="7" t="s">
        <v>34122</v>
      </c>
      <c r="O5207" s="8" t="str">
        <f>HYPERLINK("https://drive.google.com/file/d/1Wb9U6xpoOgKwbZiijbYoz3lMK55lgZA5/view?usp=drivesdk","5206_Dimas Setya Permana, A.Md _ SERTIFIKAT BerAKHLAK")</f>
        <v>5206_Dimas Setya Permana, A.Md _ SERTIFIKAT BerAKHLAK</v>
      </c>
      <c r="P5207" s="5" t="s">
        <v>34101</v>
      </c>
    </row>
    <row r="5208">
      <c r="A5208" s="4">
        <v>45534.35767082176</v>
      </c>
      <c r="B5208" s="5" t="s">
        <v>34</v>
      </c>
      <c r="D5208" s="5" t="s">
        <v>9020</v>
      </c>
      <c r="E5208" s="5" t="s">
        <v>34123</v>
      </c>
      <c r="F5208" s="5" t="s">
        <v>72</v>
      </c>
      <c r="G5208" s="5" t="s">
        <v>34124</v>
      </c>
      <c r="H5208" s="6" t="s">
        <v>34125</v>
      </c>
      <c r="I5208" s="7" t="s">
        <v>34126</v>
      </c>
      <c r="J5208" s="8" t="str">
        <f>HYPERLINK("https://drive.google.com/file/d/1Nm0b91elHljOLDf37TyN5MOA1dMEjzlP/view?usp=drivesdk","ROBBY IRWANSYAH, S.Pd SERTIFIKAT BerAKHLAK")</f>
        <v>ROBBY IRWANSYAH, S.Pd SERTIFIKAT BerAKHLAK</v>
      </c>
      <c r="K5208" s="5" t="s">
        <v>33375</v>
      </c>
      <c r="L5208" s="5" t="s">
        <v>34127</v>
      </c>
      <c r="M5208" s="5" t="s">
        <v>34128</v>
      </c>
      <c r="N5208" s="7" t="s">
        <v>34129</v>
      </c>
      <c r="O5208" s="8" t="str">
        <f>HYPERLINK("https://drive.google.com/file/d/1zpq1AtPGJmVVtEOziCuvINZOVOs3AMU_/view?usp=drivesdk","5207_ROBBY IRWANSYAH, S.Pd _ SERTIFIKAT BerAKHLAK")</f>
        <v>5207_ROBBY IRWANSYAH, S.Pd _ SERTIFIKAT BerAKHLAK</v>
      </c>
      <c r="P5208" s="5" t="s">
        <v>34130</v>
      </c>
    </row>
    <row r="5209">
      <c r="A5209" s="4">
        <v>45534.357671550926</v>
      </c>
      <c r="B5209" s="5" t="s">
        <v>34</v>
      </c>
      <c r="D5209" s="5" t="s">
        <v>996</v>
      </c>
      <c r="E5209" s="5" t="s">
        <v>34131</v>
      </c>
      <c r="F5209" s="5" t="s">
        <v>72</v>
      </c>
      <c r="G5209" s="5" t="s">
        <v>34132</v>
      </c>
      <c r="H5209" s="6" t="s">
        <v>34133</v>
      </c>
      <c r="I5209" s="7" t="s">
        <v>34134</v>
      </c>
      <c r="J5209" s="8" t="str">
        <f>HYPERLINK("https://drive.google.com/file/d/1MLJzJ97bfh3v6se8CqTNCIZrYijJetEO/view?usp=drivesdk","WELLY RANTUNG SERTIFIKAT BerAKHLAK")</f>
        <v>WELLY RANTUNG SERTIFIKAT BerAKHLAK</v>
      </c>
      <c r="K5209" s="5" t="s">
        <v>34135</v>
      </c>
      <c r="L5209" s="5" t="s">
        <v>34136</v>
      </c>
      <c r="M5209" s="5" t="s">
        <v>34137</v>
      </c>
      <c r="N5209" s="7" t="s">
        <v>34138</v>
      </c>
      <c r="O5209" s="8" t="str">
        <f>HYPERLINK("https://drive.google.com/file/d/1eexxdH4oPomuqlol5skeVecONEQ6qC1f/view?usp=drivesdk","5208_WELLY RANTUNG _ SERTIFIKAT BerAKHLAK")</f>
        <v>5208_WELLY RANTUNG _ SERTIFIKAT BerAKHLAK</v>
      </c>
      <c r="P5209" s="5" t="s">
        <v>34130</v>
      </c>
    </row>
    <row r="5210">
      <c r="A5210" s="4">
        <v>45534.357678368055</v>
      </c>
      <c r="B5210" s="5" t="s">
        <v>34</v>
      </c>
      <c r="D5210" s="5" t="s">
        <v>267</v>
      </c>
      <c r="E5210" s="5" t="s">
        <v>34139</v>
      </c>
      <c r="F5210" s="5" t="s">
        <v>524</v>
      </c>
      <c r="G5210" s="5" t="s">
        <v>34140</v>
      </c>
      <c r="H5210" s="6" t="s">
        <v>34141</v>
      </c>
      <c r="I5210" s="7" t="s">
        <v>34142</v>
      </c>
      <c r="J5210" s="8" t="str">
        <f>HYPERLINK("https://drive.google.com/file/d/1ywyKrAVgsvkoAK14TrZtFodbctt286aD/view?usp=drivesdk","SATINEM SERTIFIKAT BerAKHLAK")</f>
        <v>SATINEM SERTIFIKAT BerAKHLAK</v>
      </c>
      <c r="K5210" s="5" t="s">
        <v>34135</v>
      </c>
      <c r="L5210" s="5" t="s">
        <v>34143</v>
      </c>
      <c r="M5210" s="5" t="s">
        <v>34144</v>
      </c>
      <c r="N5210" s="7" t="s">
        <v>34145</v>
      </c>
      <c r="O5210" s="8" t="str">
        <f>HYPERLINK("https://drive.google.com/file/d/1Fk0AtJjPajRu4NeW0O6VxQrvcjks3m9v/view?usp=drivesdk","5209_SATINEM _ SERTIFIKAT BerAKHLAK")</f>
        <v>5209_SATINEM _ SERTIFIKAT BerAKHLAK</v>
      </c>
      <c r="P5210" s="5" t="s">
        <v>34130</v>
      </c>
    </row>
    <row r="5211">
      <c r="A5211" s="4">
        <v>45534.357678217595</v>
      </c>
      <c r="B5211" s="5" t="s">
        <v>34</v>
      </c>
      <c r="D5211" s="5" t="s">
        <v>267</v>
      </c>
      <c r="E5211" s="5" t="s">
        <v>34146</v>
      </c>
      <c r="F5211" s="5" t="s">
        <v>375</v>
      </c>
      <c r="G5211" s="5" t="s">
        <v>34147</v>
      </c>
      <c r="H5211" s="6" t="s">
        <v>34148</v>
      </c>
      <c r="K5211" s="5" t="s">
        <v>34149</v>
      </c>
      <c r="M5211" s="5" t="s">
        <v>34150</v>
      </c>
      <c r="N5211" s="7" t="s">
        <v>34151</v>
      </c>
      <c r="O5211" s="8" t="str">
        <f>HYPERLINK("https://drive.google.com/file/d/1sHWaL-Ii9Hi86Zs7c86W0XAUlMZcZ7wW/view?usp=drivesdk","5210_IKA LISTYARINI, S.Tr.Keb _ SERTIFIKAT BerAKHLAK")</f>
        <v>5210_IKA LISTYARINI, S.Tr.Keb _ SERTIFIKAT BerAKHLAK</v>
      </c>
      <c r="P5211" s="5" t="s">
        <v>34130</v>
      </c>
    </row>
    <row r="5212">
      <c r="A5212" s="4">
        <v>45534.35771532408</v>
      </c>
      <c r="B5212" s="5" t="s">
        <v>34</v>
      </c>
      <c r="D5212" s="5" t="s">
        <v>522</v>
      </c>
      <c r="E5212" s="5" t="s">
        <v>20560</v>
      </c>
      <c r="F5212" s="5" t="s">
        <v>212</v>
      </c>
      <c r="G5212" s="5" t="s">
        <v>34152</v>
      </c>
      <c r="H5212" s="6" t="s">
        <v>34153</v>
      </c>
      <c r="K5212" s="5" t="s">
        <v>34149</v>
      </c>
      <c r="M5212" s="5" t="s">
        <v>34154</v>
      </c>
      <c r="N5212" s="7" t="s">
        <v>34155</v>
      </c>
      <c r="O5212" s="8" t="str">
        <f>HYPERLINK("https://drive.google.com/file/d/1kR1I3xZfPiKjoxBqmDpH129_OVGMah5p/view?usp=drivesdk","5211_NURHAYATI _ SERTIFIKAT BerAKHLAK")</f>
        <v>5211_NURHAYATI _ SERTIFIKAT BerAKHLAK</v>
      </c>
      <c r="P5212" s="5" t="s">
        <v>34156</v>
      </c>
    </row>
    <row r="5213">
      <c r="A5213" s="4">
        <v>45534.35773236111</v>
      </c>
      <c r="B5213" s="5" t="s">
        <v>34</v>
      </c>
      <c r="D5213" s="5" t="s">
        <v>1206</v>
      </c>
      <c r="E5213" s="5" t="s">
        <v>34157</v>
      </c>
      <c r="F5213" s="5" t="s">
        <v>37</v>
      </c>
      <c r="G5213" s="5" t="s">
        <v>34158</v>
      </c>
      <c r="H5213" s="6" t="s">
        <v>34159</v>
      </c>
      <c r="K5213" s="5" t="s">
        <v>33397</v>
      </c>
      <c r="M5213" s="5" t="s">
        <v>34160</v>
      </c>
      <c r="N5213" s="7" t="s">
        <v>34161</v>
      </c>
      <c r="O5213" s="8" t="str">
        <f>HYPERLINK("https://drive.google.com/file/d/1B_qO_7ZXRUpuWd6_oO5be0Djx7J8JVuC/view?usp=drivesdk","5212_DEWI KARNASIH., S. H _ SERTIFIKAT BerAKHLAK")</f>
        <v>5212_DEWI KARNASIH., S. H _ SERTIFIKAT BerAKHLAK</v>
      </c>
      <c r="P5213" s="5" t="s">
        <v>34156</v>
      </c>
    </row>
    <row r="5214">
      <c r="A5214" s="4">
        <v>45534.357733125</v>
      </c>
      <c r="B5214" s="5" t="s">
        <v>34</v>
      </c>
      <c r="D5214" s="5" t="s">
        <v>1456</v>
      </c>
      <c r="E5214" s="5" t="s">
        <v>34162</v>
      </c>
      <c r="F5214" s="5" t="s">
        <v>212</v>
      </c>
      <c r="G5214" s="5" t="s">
        <v>34163</v>
      </c>
      <c r="H5214" s="6" t="s">
        <v>34164</v>
      </c>
      <c r="K5214" s="5" t="s">
        <v>33397</v>
      </c>
      <c r="M5214" s="5" t="s">
        <v>34165</v>
      </c>
      <c r="N5214" s="7" t="s">
        <v>34166</v>
      </c>
      <c r="O5214" s="8" t="str">
        <f>HYPERLINK("https://drive.google.com/file/d/18ZJJVK4V1LzEVerumGG6IIrkmOAEmUpA/view?usp=drivesdk","5213_LINDA MAERANI, SH _ SERTIFIKAT BerAKHLAK")</f>
        <v>5213_LINDA MAERANI, SH _ SERTIFIKAT BerAKHLAK</v>
      </c>
      <c r="P5214" s="5" t="s">
        <v>34156</v>
      </c>
    </row>
    <row r="5215">
      <c r="A5215" s="4">
        <v>45534.357736192134</v>
      </c>
      <c r="B5215" s="5" t="s">
        <v>34</v>
      </c>
      <c r="D5215" s="5" t="s">
        <v>996</v>
      </c>
      <c r="E5215" s="5" t="s">
        <v>34167</v>
      </c>
      <c r="F5215" s="5" t="s">
        <v>212</v>
      </c>
      <c r="G5215" s="5" t="s">
        <v>34168</v>
      </c>
      <c r="H5215" s="6" t="s">
        <v>34169</v>
      </c>
      <c r="K5215" s="5" t="s">
        <v>33397</v>
      </c>
      <c r="M5215" s="5" t="s">
        <v>34170</v>
      </c>
      <c r="N5215" s="7" t="s">
        <v>34171</v>
      </c>
      <c r="O5215" s="8" t="str">
        <f>HYPERLINK("https://drive.google.com/file/d/1B_s7Kobfo7XFca7T3V2pCZWPy04KQpYm/view?usp=drivesdk","5214_KANDA RONY _ SERTIFIKAT BerAKHLAK")</f>
        <v>5214_KANDA RONY _ SERTIFIKAT BerAKHLAK</v>
      </c>
      <c r="P5215" s="5" t="s">
        <v>34156</v>
      </c>
    </row>
    <row r="5216">
      <c r="A5216" s="4">
        <v>45534.35775109954</v>
      </c>
      <c r="B5216" s="5" t="s">
        <v>34</v>
      </c>
      <c r="D5216" s="5" t="s">
        <v>996</v>
      </c>
      <c r="E5216" s="5" t="s">
        <v>34172</v>
      </c>
      <c r="F5216" s="5" t="s">
        <v>72</v>
      </c>
      <c r="G5216" s="5" t="s">
        <v>34173</v>
      </c>
      <c r="H5216" s="6" t="s">
        <v>34174</v>
      </c>
      <c r="K5216" s="5" t="s">
        <v>33397</v>
      </c>
      <c r="M5216" s="5" t="s">
        <v>34175</v>
      </c>
      <c r="N5216" s="7" t="s">
        <v>34176</v>
      </c>
      <c r="O5216" s="8" t="str">
        <f>HYPERLINK("https://drive.google.com/file/d/1dhdfIDVVTEsF5OKq2Q4wIMKWMZtRD9D-/view?usp=drivesdk","5215_TRIYATMO NUGROHO _ SERTIFIKAT BerAKHLAK")</f>
        <v>5215_TRIYATMO NUGROHO _ SERTIFIKAT BerAKHLAK</v>
      </c>
      <c r="P5216" s="5" t="s">
        <v>34177</v>
      </c>
    </row>
    <row r="5217">
      <c r="A5217" s="4">
        <v>45534.35776461806</v>
      </c>
      <c r="B5217" s="5" t="s">
        <v>34</v>
      </c>
      <c r="D5217" s="5" t="s">
        <v>280</v>
      </c>
      <c r="E5217" s="5" t="s">
        <v>34178</v>
      </c>
      <c r="F5217" s="5" t="s">
        <v>108</v>
      </c>
      <c r="G5217" s="5" t="s">
        <v>34179</v>
      </c>
      <c r="H5217" s="6" t="s">
        <v>34180</v>
      </c>
      <c r="I5217" s="7" t="s">
        <v>34181</v>
      </c>
      <c r="J5217" s="8" t="str">
        <f>HYPERLINK("https://drive.google.com/file/d/1iW2NkYBce24SdyFB_AFiGaxjx6w7Rzxx/view?usp=drivesdk","CHANDRA SIANIPAR SERTIFIKAT BerAKHLAK")</f>
        <v>CHANDRA SIANIPAR SERTIFIKAT BerAKHLAK</v>
      </c>
      <c r="K5217" s="5" t="s">
        <v>33375</v>
      </c>
      <c r="L5217" s="5" t="s">
        <v>34182</v>
      </c>
      <c r="M5217" s="5" t="s">
        <v>34183</v>
      </c>
      <c r="N5217" s="7" t="s">
        <v>34184</v>
      </c>
      <c r="O5217" s="8" t="str">
        <f>HYPERLINK("https://drive.google.com/file/d/1DvtPMg6eZmjChGnqiz6J90fEskZ3xVXg/view?usp=drivesdk","5216_CHANDRA SIANIPAR _ SERTIFIKAT BerAKHLAK")</f>
        <v>5216_CHANDRA SIANIPAR _ SERTIFIKAT BerAKHLAK</v>
      </c>
      <c r="P5217" s="5" t="s">
        <v>34177</v>
      </c>
    </row>
    <row r="5218">
      <c r="A5218" s="4">
        <v>45534.35777253472</v>
      </c>
      <c r="B5218" s="5" t="s">
        <v>34</v>
      </c>
      <c r="D5218" s="5" t="s">
        <v>4775</v>
      </c>
      <c r="E5218" s="5" t="s">
        <v>34185</v>
      </c>
      <c r="F5218" s="5" t="s">
        <v>212</v>
      </c>
      <c r="G5218" s="5" t="s">
        <v>34186</v>
      </c>
      <c r="H5218" s="6" t="s">
        <v>34187</v>
      </c>
      <c r="K5218" s="5" t="s">
        <v>34188</v>
      </c>
      <c r="M5218" s="5" t="s">
        <v>34189</v>
      </c>
      <c r="N5218" s="7" t="s">
        <v>34190</v>
      </c>
      <c r="O5218" s="8" t="str">
        <f>HYPERLINK("https://drive.google.com/file/d/19TfImIUn8qmy8GRAlMbNHvR2R7XHkzBx/view?usp=drivesdk","5217_DIDIK PRASTIO _ SERTIFIKAT BerAKHLAK")</f>
        <v>5217_DIDIK PRASTIO _ SERTIFIKAT BerAKHLAK</v>
      </c>
      <c r="P5218" s="5" t="s">
        <v>34177</v>
      </c>
    </row>
    <row r="5219">
      <c r="A5219" s="4">
        <v>45534.35777386574</v>
      </c>
      <c r="B5219" s="5" t="s">
        <v>34</v>
      </c>
      <c r="D5219" s="5" t="s">
        <v>1206</v>
      </c>
      <c r="E5219" s="5" t="s">
        <v>34191</v>
      </c>
      <c r="F5219" s="5" t="s">
        <v>212</v>
      </c>
      <c r="G5219" s="5" t="s">
        <v>34192</v>
      </c>
      <c r="H5219" s="6" t="s">
        <v>34193</v>
      </c>
      <c r="K5219" s="5" t="s">
        <v>34188</v>
      </c>
      <c r="M5219" s="5" t="s">
        <v>34194</v>
      </c>
      <c r="N5219" s="7" t="s">
        <v>34195</v>
      </c>
      <c r="O5219" s="8" t="str">
        <f>HYPERLINK("https://drive.google.com/file/d/1XOuKchiRCP1lSwTRrl-B3sBQMhyGuz9w/view?usp=drivesdk","5218_ANDRIK FARIANTO _ SERTIFIKAT BerAKHLAK")</f>
        <v>5218_ANDRIK FARIANTO _ SERTIFIKAT BerAKHLAK</v>
      </c>
      <c r="P5219" s="5" t="s">
        <v>34177</v>
      </c>
    </row>
    <row r="5220">
      <c r="A5220" s="4">
        <v>45534.35778697916</v>
      </c>
      <c r="B5220" s="5" t="s">
        <v>34</v>
      </c>
      <c r="D5220" s="5" t="s">
        <v>1206</v>
      </c>
      <c r="E5220" s="5" t="s">
        <v>34196</v>
      </c>
      <c r="F5220" s="5" t="s">
        <v>375</v>
      </c>
      <c r="G5220" s="5" t="s">
        <v>34197</v>
      </c>
      <c r="H5220" s="6" t="s">
        <v>34198</v>
      </c>
      <c r="K5220" s="5" t="s">
        <v>34188</v>
      </c>
      <c r="M5220" s="5" t="s">
        <v>34199</v>
      </c>
      <c r="N5220" s="7" t="s">
        <v>34200</v>
      </c>
      <c r="O5220" s="8" t="str">
        <f>HYPERLINK("https://drive.google.com/file/d/1RwOZFp8crSJt4kI0tgkPXVK29qvG1sDM/view?usp=drivesdk","5219_Hendang Mardijanti, S.Sos. _ SERTIFIKAT BerAKHLAK")</f>
        <v>5219_Hendang Mardijanti, S.Sos. _ SERTIFIKAT BerAKHLAK</v>
      </c>
      <c r="P5220" s="5" t="s">
        <v>34177</v>
      </c>
    </row>
    <row r="5221">
      <c r="A5221" s="4">
        <v>45534.35779675926</v>
      </c>
      <c r="B5221" s="5" t="s">
        <v>34</v>
      </c>
      <c r="D5221" s="5" t="s">
        <v>9020</v>
      </c>
      <c r="E5221" s="5" t="s">
        <v>34201</v>
      </c>
      <c r="F5221" s="5" t="s">
        <v>375</v>
      </c>
      <c r="G5221" s="5" t="s">
        <v>34202</v>
      </c>
      <c r="H5221" s="6" t="s">
        <v>34203</v>
      </c>
      <c r="I5221" s="7" t="s">
        <v>34204</v>
      </c>
      <c r="J5221" s="8" t="str">
        <f>HYPERLINK("https://drive.google.com/file/d/1t0LVVJQRoHAaR9AAukPshndMJ-sNPQuS/view?usp=drivesdk","EMILAN SIBORO, S.Kom., M.M. SERTIFIKAT BerAKHLAK")</f>
        <v>EMILAN SIBORO, S.Kom., M.M. SERTIFIKAT BerAKHLAK</v>
      </c>
      <c r="K5221" s="5" t="s">
        <v>33375</v>
      </c>
      <c r="L5221" s="5" t="s">
        <v>34205</v>
      </c>
      <c r="M5221" s="5" t="s">
        <v>34206</v>
      </c>
      <c r="N5221" s="7" t="s">
        <v>34207</v>
      </c>
      <c r="O5221" s="8" t="str">
        <f>HYPERLINK("https://drive.google.com/file/d/1YWzEqbJrGpsxHZsJfGKEBITw3cZM5FHU/view?usp=drivesdk","5220_EMILAN SIBORO, S.Kom., M.M. _ SERTIFIKAT BerAKHLAK")</f>
        <v>5220_EMILAN SIBORO, S.Kom., M.M. _ SERTIFIKAT BerAKHLAK</v>
      </c>
      <c r="P5221" s="5" t="s">
        <v>34208</v>
      </c>
    </row>
    <row r="5222">
      <c r="A5222" s="4">
        <v>45534.35780302083</v>
      </c>
      <c r="B5222" s="5" t="s">
        <v>34</v>
      </c>
      <c r="D5222" s="5" t="s">
        <v>6232</v>
      </c>
      <c r="E5222" s="5" t="s">
        <v>34209</v>
      </c>
      <c r="F5222" s="5" t="s">
        <v>37</v>
      </c>
      <c r="G5222" s="5" t="s">
        <v>34210</v>
      </c>
      <c r="H5222" s="6" t="s">
        <v>34211</v>
      </c>
      <c r="I5222" s="7" t="s">
        <v>34212</v>
      </c>
      <c r="J5222" s="8" t="str">
        <f>HYPERLINK("https://drive.google.com/file/d/1PqsbmVr6bBsZ_EdEFVmz-Eeu4s8sVhqc/view?usp=drivesdk","ANNA ROSA LUCKYTA, A.Md.Far SERTIFIKAT BerAKHLAK")</f>
        <v>ANNA ROSA LUCKYTA, A.Md.Far SERTIFIKAT BerAKHLAK</v>
      </c>
      <c r="K5222" s="5" t="s">
        <v>33375</v>
      </c>
      <c r="L5222" s="5" t="s">
        <v>34213</v>
      </c>
      <c r="M5222" s="5" t="s">
        <v>34214</v>
      </c>
      <c r="N5222" s="7" t="s">
        <v>34215</v>
      </c>
      <c r="O5222" s="8" t="str">
        <f>HYPERLINK("https://drive.google.com/file/d/1rzkJaWfDYLcdGrmPT8gb8JBq7nGSOn38/view?usp=drivesdk","5221_ANNA ROSA LUCKYTA, A.Md.Far _ SERTIFIKAT BerAKHLAK")</f>
        <v>5221_ANNA ROSA LUCKYTA, A.Md.Far _ SERTIFIKAT BerAKHLAK</v>
      </c>
      <c r="P5222" s="5" t="s">
        <v>34208</v>
      </c>
    </row>
    <row r="5223">
      <c r="A5223" s="4">
        <v>45534.357814918985</v>
      </c>
      <c r="B5223" s="5" t="s">
        <v>34</v>
      </c>
      <c r="D5223" s="5" t="s">
        <v>2903</v>
      </c>
      <c r="E5223" s="5" t="s">
        <v>34216</v>
      </c>
      <c r="F5223" s="5" t="s">
        <v>120</v>
      </c>
      <c r="G5223" s="5" t="s">
        <v>34217</v>
      </c>
      <c r="H5223" s="6" t="s">
        <v>34218</v>
      </c>
      <c r="I5223" s="7" t="s">
        <v>34219</v>
      </c>
      <c r="J5223" s="8" t="str">
        <f>HYPERLINK("https://drive.google.com/file/d/1cN8fYGOLgLdT3v1NsUTNgRDPNptp8dU1/view?usp=drivesdk","BAIIR ARZAN, S.Sos SERTIFIKAT BerAKHLAK")</f>
        <v>BAIIR ARZAN, S.Sos SERTIFIKAT BerAKHLAK</v>
      </c>
      <c r="K5223" s="5" t="s">
        <v>34135</v>
      </c>
      <c r="L5223" s="5" t="s">
        <v>34220</v>
      </c>
      <c r="M5223" s="5" t="s">
        <v>34221</v>
      </c>
      <c r="N5223" s="7" t="s">
        <v>34222</v>
      </c>
      <c r="O5223" s="8" t="str">
        <f>HYPERLINK("https://drive.google.com/file/d/1K5FYCmJt4XvQPoTYZGeCbuxWl73i5vO1/view?usp=drivesdk","5222_BAIIR ARZAN, S.Sos _ SERTIFIKAT BerAKHLAK")</f>
        <v>5222_BAIIR ARZAN, S.Sos _ SERTIFIKAT BerAKHLAK</v>
      </c>
      <c r="P5223" s="5" t="s">
        <v>34208</v>
      </c>
    </row>
    <row r="5224">
      <c r="A5224" s="4">
        <v>45534.35782167824</v>
      </c>
      <c r="B5224" s="5" t="s">
        <v>34</v>
      </c>
      <c r="D5224" s="5" t="s">
        <v>3849</v>
      </c>
      <c r="E5224" s="5" t="s">
        <v>34223</v>
      </c>
      <c r="F5224" s="5" t="s">
        <v>37</v>
      </c>
      <c r="G5224" s="5" t="s">
        <v>34224</v>
      </c>
      <c r="H5224" s="6" t="s">
        <v>34225</v>
      </c>
      <c r="K5224" s="5" t="s">
        <v>34226</v>
      </c>
      <c r="M5224" s="5" t="s">
        <v>34227</v>
      </c>
      <c r="N5224" s="7" t="s">
        <v>34228</v>
      </c>
      <c r="O5224" s="8" t="str">
        <f>HYPERLINK("https://drive.google.com/file/d/1gGb8HZt6V8jkWSUlSVucqQLGYTU0MbXE/view?usp=drivesdk","5223_AGUSTINA _ SERTIFIKAT BerAKHLAK")</f>
        <v>5223_AGUSTINA _ SERTIFIKAT BerAKHLAK</v>
      </c>
      <c r="P5224" s="5" t="s">
        <v>34208</v>
      </c>
    </row>
    <row r="5225">
      <c r="A5225" s="4">
        <v>45534.35782733797</v>
      </c>
      <c r="B5225" s="5" t="s">
        <v>34</v>
      </c>
      <c r="D5225" s="5" t="s">
        <v>35</v>
      </c>
      <c r="E5225" s="5" t="s">
        <v>34229</v>
      </c>
      <c r="F5225" s="5" t="s">
        <v>37</v>
      </c>
      <c r="G5225" s="5" t="s">
        <v>34230</v>
      </c>
      <c r="H5225" s="6" t="s">
        <v>34231</v>
      </c>
      <c r="K5225" s="5" t="s">
        <v>34226</v>
      </c>
      <c r="M5225" s="5" t="s">
        <v>34232</v>
      </c>
      <c r="N5225" s="7" t="s">
        <v>34233</v>
      </c>
      <c r="O5225" s="8" t="str">
        <f>HYPERLINK("https://drive.google.com/file/d/16TNFr5xyr5NdqjnLBPtY6e2th7LMx2D0/view?usp=drivesdk","5224_KARTONO _ SERTIFIKAT BerAKHLAK")</f>
        <v>5224_KARTONO _ SERTIFIKAT BerAKHLAK</v>
      </c>
      <c r="P5225" s="5" t="s">
        <v>34208</v>
      </c>
    </row>
    <row r="5226">
      <c r="A5226" s="4">
        <v>45534.35782885417</v>
      </c>
      <c r="B5226" s="5" t="s">
        <v>34</v>
      </c>
      <c r="D5226" s="5" t="s">
        <v>4775</v>
      </c>
      <c r="E5226" s="5" t="s">
        <v>34234</v>
      </c>
      <c r="F5226" s="5" t="s">
        <v>524</v>
      </c>
      <c r="G5226" s="5" t="s">
        <v>34235</v>
      </c>
      <c r="H5226" s="6" t="s">
        <v>34236</v>
      </c>
      <c r="K5226" s="5" t="s">
        <v>34226</v>
      </c>
      <c r="M5226" s="5" t="s">
        <v>34237</v>
      </c>
      <c r="N5226" s="7" t="s">
        <v>34238</v>
      </c>
      <c r="O5226" s="8" t="str">
        <f>HYPERLINK("https://drive.google.com/file/d/1bj-GcSVya2twtEiXa4L6Kwe4flHas9e0/view?usp=drivesdk","5225_DINA ISMAWATI _ SERTIFIKAT BerAKHLAK")</f>
        <v>5225_DINA ISMAWATI _ SERTIFIKAT BerAKHLAK</v>
      </c>
      <c r="P5226" s="5" t="s">
        <v>34208</v>
      </c>
    </row>
    <row r="5227">
      <c r="A5227" s="4">
        <v>45534.35784146991</v>
      </c>
      <c r="B5227" s="5" t="s">
        <v>34</v>
      </c>
      <c r="D5227" s="5" t="s">
        <v>1692</v>
      </c>
      <c r="E5227" s="5" t="s">
        <v>34239</v>
      </c>
      <c r="F5227" s="5" t="s">
        <v>524</v>
      </c>
      <c r="G5227" s="5" t="s">
        <v>34240</v>
      </c>
      <c r="H5227" s="6" t="s">
        <v>34241</v>
      </c>
      <c r="K5227" s="5" t="s">
        <v>34226</v>
      </c>
      <c r="M5227" s="5" t="s">
        <v>34242</v>
      </c>
      <c r="N5227" s="7" t="s">
        <v>34243</v>
      </c>
      <c r="O5227" s="8" t="str">
        <f>HYPERLINK("https://drive.google.com/file/d/1VuR7jaTK4e4-Buhhp7b3PjWOoqH6Z2FN/view?usp=drivesdk","5226_WA NELI _ SERTIFIKAT BerAKHLAK")</f>
        <v>5226_WA NELI _ SERTIFIKAT BerAKHLAK</v>
      </c>
      <c r="P5227" s="5" t="s">
        <v>34244</v>
      </c>
    </row>
    <row r="5228">
      <c r="A5228" s="4">
        <v>45534.35784351852</v>
      </c>
      <c r="B5228" s="5" t="s">
        <v>34</v>
      </c>
      <c r="D5228" s="5" t="s">
        <v>9020</v>
      </c>
      <c r="E5228" s="5" t="s">
        <v>34245</v>
      </c>
      <c r="F5228" s="5" t="s">
        <v>212</v>
      </c>
      <c r="G5228" s="5" t="s">
        <v>34246</v>
      </c>
      <c r="H5228" s="6" t="s">
        <v>34247</v>
      </c>
      <c r="K5228" s="5" t="s">
        <v>34226</v>
      </c>
      <c r="M5228" s="5" t="s">
        <v>34248</v>
      </c>
      <c r="N5228" s="7" t="s">
        <v>34249</v>
      </c>
      <c r="O5228" s="8" t="str">
        <f>HYPERLINK("https://drive.google.com/file/d/1rWpgV1ofnwGoNvqDhGIXuUxYySx-M-lR/view?usp=drivesdk","5227_Tobok Sihar Hamonangan Batuara _ SERTIFIKAT BerAKHLAK")</f>
        <v>5227_Tobok Sihar Hamonangan Batuara _ SERTIFIKAT BerAKHLAK</v>
      </c>
      <c r="P5228" s="5" t="s">
        <v>34244</v>
      </c>
    </row>
    <row r="5229">
      <c r="A5229" s="4">
        <v>45534.35784596065</v>
      </c>
      <c r="B5229" s="5" t="s">
        <v>34</v>
      </c>
      <c r="D5229" s="5" t="s">
        <v>14424</v>
      </c>
      <c r="E5229" s="5" t="s">
        <v>34250</v>
      </c>
      <c r="F5229" s="5" t="s">
        <v>120</v>
      </c>
      <c r="G5229" s="5" t="s">
        <v>34251</v>
      </c>
      <c r="H5229" s="6" t="s">
        <v>34252</v>
      </c>
      <c r="K5229" s="5" t="s">
        <v>34226</v>
      </c>
      <c r="M5229" s="5" t="s">
        <v>34253</v>
      </c>
      <c r="N5229" s="7" t="s">
        <v>34254</v>
      </c>
      <c r="O5229" s="8" t="str">
        <f>HYPERLINK("https://drive.google.com/file/d/1NiJFF2-GnZYNZa8RTpyYTVfXEFSiBFC7/view?usp=drivesdk","5228_ASNAINI Spd MM _ SERTIFIKAT BerAKHLAK")</f>
        <v>5228_ASNAINI Spd MM _ SERTIFIKAT BerAKHLAK</v>
      </c>
      <c r="P5229" s="5" t="s">
        <v>34244</v>
      </c>
    </row>
    <row r="5230">
      <c r="A5230" s="4">
        <v>45534.35784861111</v>
      </c>
      <c r="B5230" s="5" t="s">
        <v>34</v>
      </c>
      <c r="D5230" s="5" t="s">
        <v>4775</v>
      </c>
      <c r="E5230" s="5" t="s">
        <v>34255</v>
      </c>
      <c r="F5230" s="5" t="s">
        <v>212</v>
      </c>
      <c r="G5230" s="5" t="s">
        <v>34256</v>
      </c>
      <c r="H5230" s="6" t="s">
        <v>34257</v>
      </c>
      <c r="K5230" s="5" t="s">
        <v>34226</v>
      </c>
      <c r="M5230" s="5" t="s">
        <v>34258</v>
      </c>
      <c r="N5230" s="7" t="s">
        <v>34259</v>
      </c>
      <c r="O5230" s="8" t="str">
        <f>HYPERLINK("https://drive.google.com/file/d/1bhQFsXw00S_wMHOEUyXR8XqqBPObWUSa/view?usp=drivesdk","5229_DARMONO _ SERTIFIKAT BerAKHLAK")</f>
        <v>5229_DARMONO _ SERTIFIKAT BerAKHLAK</v>
      </c>
      <c r="P5230" s="5" t="s">
        <v>34244</v>
      </c>
    </row>
    <row r="5231">
      <c r="A5231" s="4">
        <v>45534.35785623842</v>
      </c>
      <c r="B5231" s="5" t="s">
        <v>34</v>
      </c>
      <c r="D5231" s="5" t="s">
        <v>1206</v>
      </c>
      <c r="E5231" s="5" t="s">
        <v>34260</v>
      </c>
      <c r="F5231" s="5" t="s">
        <v>328</v>
      </c>
      <c r="G5231" s="5" t="s">
        <v>34261</v>
      </c>
      <c r="H5231" s="6" t="s">
        <v>34262</v>
      </c>
      <c r="K5231" s="5" t="s">
        <v>34226</v>
      </c>
      <c r="M5231" s="5" t="s">
        <v>34263</v>
      </c>
      <c r="N5231" s="7" t="s">
        <v>34264</v>
      </c>
      <c r="O5231" s="8" t="str">
        <f>HYPERLINK("https://drive.google.com/file/d/179bmUUmV70Lu0WFpq3IH6PxHy3I1VJ5W/view?usp=drivesdk","5230_DWI UTOMO _ SERTIFIKAT BerAKHLAK")</f>
        <v>5230_DWI UTOMO _ SERTIFIKAT BerAKHLAK</v>
      </c>
      <c r="P5231" s="5" t="s">
        <v>34244</v>
      </c>
    </row>
    <row r="5232">
      <c r="A5232" s="4">
        <v>45534.357861701385</v>
      </c>
      <c r="B5232" s="5" t="s">
        <v>34</v>
      </c>
      <c r="D5232" s="5" t="s">
        <v>522</v>
      </c>
      <c r="E5232" s="5" t="s">
        <v>25544</v>
      </c>
      <c r="F5232" s="5" t="s">
        <v>524</v>
      </c>
      <c r="G5232" s="5" t="s">
        <v>34265</v>
      </c>
      <c r="H5232" s="6" t="s">
        <v>34266</v>
      </c>
      <c r="K5232" s="5" t="s">
        <v>34226</v>
      </c>
      <c r="M5232" s="5" t="s">
        <v>34267</v>
      </c>
      <c r="N5232" s="7" t="s">
        <v>34268</v>
      </c>
      <c r="O5232" s="8" t="str">
        <f>HYPERLINK("https://drive.google.com/file/d/1o18RAjOg0nx-Qgx36ko6wmCJy0PLqeNi/view?usp=drivesdk","5231_RUMINI _ SERTIFIKAT BerAKHLAK")</f>
        <v>5231_RUMINI _ SERTIFIKAT BerAKHLAK</v>
      </c>
      <c r="P5232" s="5" t="s">
        <v>34269</v>
      </c>
    </row>
    <row r="5233">
      <c r="A5233" s="4">
        <v>45534.357867280094</v>
      </c>
      <c r="B5233" s="5" t="s">
        <v>34</v>
      </c>
      <c r="D5233" s="5" t="s">
        <v>14424</v>
      </c>
      <c r="E5233" s="5" t="s">
        <v>34270</v>
      </c>
      <c r="F5233" s="5" t="s">
        <v>375</v>
      </c>
      <c r="G5233" s="5" t="s">
        <v>34271</v>
      </c>
      <c r="H5233" s="6" t="s">
        <v>34272</v>
      </c>
      <c r="K5233" s="5" t="s">
        <v>34226</v>
      </c>
      <c r="M5233" s="5" t="s">
        <v>34273</v>
      </c>
      <c r="N5233" s="7" t="s">
        <v>34274</v>
      </c>
      <c r="O5233" s="8" t="str">
        <f>HYPERLINK("https://drive.google.com/file/d/1COcBYFuORW46stUADIOmCTRofwf3Zexp/view?usp=drivesdk","5232_LENI LIANA _ SERTIFIKAT BerAKHLAK")</f>
        <v>5232_LENI LIANA _ SERTIFIKAT BerAKHLAK</v>
      </c>
      <c r="P5233" s="5" t="s">
        <v>34269</v>
      </c>
    </row>
    <row r="5234">
      <c r="A5234" s="4">
        <v>45534.3578718287</v>
      </c>
      <c r="B5234" s="5" t="s">
        <v>34</v>
      </c>
      <c r="D5234" s="5" t="s">
        <v>14313</v>
      </c>
      <c r="E5234" s="5" t="s">
        <v>34275</v>
      </c>
      <c r="F5234" s="5" t="s">
        <v>37</v>
      </c>
      <c r="G5234" s="5" t="s">
        <v>34276</v>
      </c>
      <c r="H5234" s="6" t="s">
        <v>34277</v>
      </c>
      <c r="K5234" s="5" t="s">
        <v>34226</v>
      </c>
      <c r="M5234" s="5" t="s">
        <v>34278</v>
      </c>
      <c r="N5234" s="7" t="s">
        <v>34279</v>
      </c>
      <c r="O5234" s="8" t="str">
        <f>HYPERLINK("https://drive.google.com/file/d/198OHt93mlnQdsRBWIrpowdL1R9C4c5Qp/view?usp=drivesdk","5233_EVI WARSIATININGSIH _ SERTIFIKAT BerAKHLAK")</f>
        <v>5233_EVI WARSIATININGSIH _ SERTIFIKAT BerAKHLAK</v>
      </c>
      <c r="P5234" s="5" t="s">
        <v>34269</v>
      </c>
    </row>
    <row r="5235">
      <c r="A5235" s="4">
        <v>45534.357891377316</v>
      </c>
      <c r="B5235" s="5" t="s">
        <v>34</v>
      </c>
      <c r="D5235" s="5" t="s">
        <v>1206</v>
      </c>
      <c r="E5235" s="5" t="s">
        <v>34280</v>
      </c>
      <c r="F5235" s="5" t="s">
        <v>72</v>
      </c>
      <c r="G5235" s="5" t="s">
        <v>34281</v>
      </c>
      <c r="H5235" s="6" t="s">
        <v>34282</v>
      </c>
      <c r="K5235" s="5" t="s">
        <v>34226</v>
      </c>
      <c r="M5235" s="5" t="s">
        <v>34283</v>
      </c>
      <c r="N5235" s="7" t="s">
        <v>34284</v>
      </c>
      <c r="O5235" s="8" t="str">
        <f>HYPERLINK("https://drive.google.com/file/d/1pPZCb1R49uZFSYP1Vv1kpziFp2Dls6js/view?usp=drivesdk","5234_PUJI LESTARI _ SERTIFIKAT BerAKHLAK")</f>
        <v>5234_PUJI LESTARI _ SERTIFIKAT BerAKHLAK</v>
      </c>
      <c r="P5235" s="5" t="s">
        <v>34269</v>
      </c>
    </row>
    <row r="5236">
      <c r="A5236" s="4">
        <v>45534.357908935184</v>
      </c>
      <c r="B5236" s="5" t="s">
        <v>34</v>
      </c>
      <c r="D5236" s="5" t="s">
        <v>10444</v>
      </c>
      <c r="E5236" s="5" t="s">
        <v>34285</v>
      </c>
      <c r="F5236" s="5" t="s">
        <v>108</v>
      </c>
      <c r="G5236" s="5" t="s">
        <v>34286</v>
      </c>
      <c r="H5236" s="6" t="s">
        <v>34287</v>
      </c>
      <c r="I5236" s="7" t="s">
        <v>34288</v>
      </c>
      <c r="J5236" s="8" t="str">
        <f>HYPERLINK("https://drive.google.com/file/d/11mSZ5l9yym_VTaZboFJ45SH-JhuhlGPj/view?usp=drivesdk","SHANTY RIVANNY, A.Md SERTIFIKAT BerAKHLAK")</f>
        <v>SHANTY RIVANNY, A.Md SERTIFIKAT BerAKHLAK</v>
      </c>
      <c r="K5236" s="5" t="s">
        <v>33375</v>
      </c>
      <c r="L5236" s="5" t="s">
        <v>34289</v>
      </c>
      <c r="M5236" s="5" t="s">
        <v>34290</v>
      </c>
      <c r="N5236" s="7" t="s">
        <v>34291</v>
      </c>
      <c r="O5236" s="8" t="str">
        <f>HYPERLINK("https://drive.google.com/file/d/1eW4n4jT3RAZSVwnHo7voGaj4Ot3jfJF-/view?usp=drivesdk","5235_SHANTY RIVANNY, A.Md _ SERTIFIKAT BerAKHLAK")</f>
        <v>5235_SHANTY RIVANNY, A.Md _ SERTIFIKAT BerAKHLAK</v>
      </c>
      <c r="P5236" s="5" t="s">
        <v>34292</v>
      </c>
    </row>
    <row r="5237">
      <c r="A5237" s="4">
        <v>45534.35791274306</v>
      </c>
      <c r="B5237" s="5" t="s">
        <v>34</v>
      </c>
      <c r="D5237" s="5" t="s">
        <v>1206</v>
      </c>
      <c r="E5237" s="5" t="s">
        <v>34293</v>
      </c>
      <c r="F5237" s="5" t="s">
        <v>212</v>
      </c>
      <c r="G5237" s="5" t="s">
        <v>34294</v>
      </c>
      <c r="H5237" s="6" t="s">
        <v>34295</v>
      </c>
      <c r="I5237" s="7" t="s">
        <v>34296</v>
      </c>
      <c r="J5237" s="8" t="str">
        <f>HYPERLINK("https://drive.google.com/file/d/1BcyF4Wopb5MlmQuwAugOOncfBH6L9v2p/view?usp=drivesdk","YUDI ANDARTO  SERTIFIKAT BerAKHLAK")</f>
        <v>YUDI ANDARTO  SERTIFIKAT BerAKHLAK</v>
      </c>
      <c r="K5237" s="5" t="s">
        <v>34135</v>
      </c>
      <c r="L5237" s="5" t="s">
        <v>34297</v>
      </c>
      <c r="M5237" s="5" t="s">
        <v>34298</v>
      </c>
      <c r="N5237" s="7" t="s">
        <v>34299</v>
      </c>
      <c r="O5237" s="8" t="str">
        <f>HYPERLINK("https://drive.google.com/file/d/1kz2epgSFYDahuMsogu7s9Mwf696FMUXk/view?usp=drivesdk","5236_YUDI ANDARTO  _ SERTIFIKAT BerAKHLAK")</f>
        <v>5236_YUDI ANDARTO  _ SERTIFIKAT BerAKHLAK</v>
      </c>
      <c r="P5237" s="5" t="s">
        <v>34292</v>
      </c>
    </row>
    <row r="5238">
      <c r="A5238" s="4">
        <v>45534.35791789352</v>
      </c>
      <c r="B5238" s="5" t="s">
        <v>34</v>
      </c>
      <c r="D5238" s="5" t="s">
        <v>15401</v>
      </c>
      <c r="E5238" s="5" t="s">
        <v>34300</v>
      </c>
      <c r="F5238" s="5" t="s">
        <v>37</v>
      </c>
      <c r="G5238" s="5" t="s">
        <v>34301</v>
      </c>
      <c r="H5238" s="6" t="s">
        <v>34302</v>
      </c>
      <c r="I5238" s="7" t="s">
        <v>34303</v>
      </c>
      <c r="J5238" s="8" t="str">
        <f>HYPERLINK("https://drive.google.com/file/d/1yj84-6v_UwcT2zXh9OiyTer_oaDJd8od/view?usp=drivesdk","I GEDE DARMAWAN PUTRA SERTIFIKAT BerAKHLAK")</f>
        <v>I GEDE DARMAWAN PUTRA SERTIFIKAT BerAKHLAK</v>
      </c>
      <c r="K5238" s="5" t="s">
        <v>34135</v>
      </c>
      <c r="L5238" s="5" t="s">
        <v>34304</v>
      </c>
      <c r="M5238" s="5" t="s">
        <v>34305</v>
      </c>
      <c r="N5238" s="7" t="s">
        <v>34306</v>
      </c>
      <c r="O5238" s="8" t="str">
        <f>HYPERLINK("https://drive.google.com/file/d/1mUWpWHUxkU2e6rORleXQLY_jo06nj6X6/view?usp=drivesdk","5237_I GEDE DARMAWAN PUTRA _ SERTIFIKAT BerAKHLAK")</f>
        <v>5237_I GEDE DARMAWAN PUTRA _ SERTIFIKAT BerAKHLAK</v>
      </c>
      <c r="P5238" s="5" t="s">
        <v>34292</v>
      </c>
    </row>
    <row r="5239">
      <c r="A5239" s="4">
        <v>45534.35792971065</v>
      </c>
      <c r="B5239" s="5" t="s">
        <v>34</v>
      </c>
      <c r="D5239" s="5" t="s">
        <v>9394</v>
      </c>
      <c r="E5239" s="5" t="s">
        <v>34307</v>
      </c>
      <c r="F5239" s="5" t="s">
        <v>108</v>
      </c>
      <c r="G5239" s="5" t="s">
        <v>34308</v>
      </c>
      <c r="H5239" s="6" t="s">
        <v>34309</v>
      </c>
      <c r="K5239" s="5" t="s">
        <v>34310</v>
      </c>
      <c r="M5239" s="5" t="s">
        <v>34311</v>
      </c>
      <c r="N5239" s="7" t="s">
        <v>34312</v>
      </c>
      <c r="O5239" s="8" t="str">
        <f>HYPERLINK("https://drive.google.com/file/d/1kwRUVvmjfQrIMKoIopv7_uW-28nZHLka/view?usp=drivesdk","5238_WARSEH WULANDARI.S.E _ SERTIFIKAT BerAKHLAK")</f>
        <v>5238_WARSEH WULANDARI.S.E _ SERTIFIKAT BerAKHLAK</v>
      </c>
      <c r="P5239" s="5" t="s">
        <v>34292</v>
      </c>
    </row>
    <row r="5240">
      <c r="A5240" s="4">
        <v>45534.35793416666</v>
      </c>
      <c r="B5240" s="5" t="s">
        <v>34</v>
      </c>
      <c r="D5240" s="5" t="s">
        <v>4775</v>
      </c>
      <c r="E5240" s="5" t="s">
        <v>34313</v>
      </c>
      <c r="F5240" s="5" t="s">
        <v>212</v>
      </c>
      <c r="G5240" s="5" t="s">
        <v>34314</v>
      </c>
      <c r="H5240" s="6" t="s">
        <v>34315</v>
      </c>
      <c r="K5240" s="5" t="s">
        <v>34310</v>
      </c>
      <c r="M5240" s="5" t="s">
        <v>34316</v>
      </c>
      <c r="N5240" s="7" t="s">
        <v>34317</v>
      </c>
      <c r="O5240" s="8" t="str">
        <f>HYPERLINK("https://drive.google.com/file/d/1oiE3kmlTUY9eurWE-v-fYrtBzIfeDDB_/view?usp=drivesdk","5239_YUSUFYUSUF _ SERTIFIKAT BerAKHLAK")</f>
        <v>5239_YUSUFYUSUF _ SERTIFIKAT BerAKHLAK</v>
      </c>
      <c r="P5240" s="5" t="s">
        <v>34318</v>
      </c>
    </row>
    <row r="5241">
      <c r="A5241" s="4">
        <v>45534.35795116898</v>
      </c>
      <c r="B5241" s="5" t="s">
        <v>34</v>
      </c>
      <c r="D5241" s="5" t="s">
        <v>15401</v>
      </c>
      <c r="E5241" s="5" t="s">
        <v>34319</v>
      </c>
      <c r="F5241" s="5" t="s">
        <v>715</v>
      </c>
      <c r="G5241" s="5" t="s">
        <v>34320</v>
      </c>
      <c r="H5241" s="6" t="s">
        <v>34321</v>
      </c>
      <c r="I5241" s="7" t="s">
        <v>34322</v>
      </c>
      <c r="J5241" s="8" t="str">
        <f>HYPERLINK("https://drive.google.com/file/d/1bKEgk_qM8nUb3cfJqU7aSqu5miWlO90i/view?usp=drivesdk","NORLIN TERONTJA, S.E SERTIFIKAT BerAKHLAK")</f>
        <v>NORLIN TERONTJA, S.E SERTIFIKAT BerAKHLAK</v>
      </c>
      <c r="K5241" s="5" t="s">
        <v>34135</v>
      </c>
      <c r="L5241" s="5" t="s">
        <v>34323</v>
      </c>
      <c r="M5241" s="5" t="s">
        <v>34324</v>
      </c>
      <c r="N5241" s="7" t="s">
        <v>34325</v>
      </c>
      <c r="O5241" s="8" t="str">
        <f>HYPERLINK("https://drive.google.com/file/d/14suwvulMiwPYyY199TXUekNFOJdOx0Wr/view?usp=drivesdk","5240_NORLIN TERONTJA, S.E _ SERTIFIKAT BerAKHLAK")</f>
        <v>5240_NORLIN TERONTJA, S.E _ SERTIFIKAT BerAKHLAK</v>
      </c>
      <c r="P5241" s="5" t="s">
        <v>34318</v>
      </c>
    </row>
    <row r="5242">
      <c r="A5242" s="4">
        <v>45534.35797898148</v>
      </c>
      <c r="B5242" s="5" t="s">
        <v>34</v>
      </c>
      <c r="D5242" s="5" t="s">
        <v>9020</v>
      </c>
      <c r="E5242" s="5" t="s">
        <v>34326</v>
      </c>
      <c r="F5242" s="5" t="s">
        <v>72</v>
      </c>
      <c r="G5242" s="5" t="s">
        <v>34327</v>
      </c>
      <c r="H5242" s="6" t="s">
        <v>34328</v>
      </c>
      <c r="I5242" s="7" t="s">
        <v>34329</v>
      </c>
      <c r="J5242" s="8" t="str">
        <f>HYPERLINK("https://drive.google.com/file/d/10Rta2lBnZ3FYVoYOZ_CD6FnRXNLZL7_p/view?usp=drivesdk","Junita indrawati Banurea, S.Kep. Ns SERTIFIKAT BerAKHLAK")</f>
        <v>Junita indrawati Banurea, S.Kep. Ns SERTIFIKAT BerAKHLAK</v>
      </c>
      <c r="K5242" s="5" t="s">
        <v>34135</v>
      </c>
      <c r="L5242" s="5" t="s">
        <v>34330</v>
      </c>
      <c r="M5242" s="5" t="s">
        <v>34331</v>
      </c>
      <c r="N5242" s="7" t="s">
        <v>34332</v>
      </c>
      <c r="O5242" s="8" t="str">
        <f>HYPERLINK("https://drive.google.com/file/d/1AjAYsUu6SVNUGjMyten1wUwdUCvoKljV/view?usp=drivesdk","5241_Junita indrawati Banurea, S.Kep. Ns _ SERTIFIKAT BerAKHLAK")</f>
        <v>5241_Junita indrawati Banurea, S.Kep. Ns _ SERTIFIKAT BerAKHLAK</v>
      </c>
      <c r="P5242" s="5" t="s">
        <v>34318</v>
      </c>
    </row>
    <row r="5243">
      <c r="A5243" s="4">
        <v>45534.35798003472</v>
      </c>
      <c r="B5243" s="5" t="s">
        <v>34</v>
      </c>
      <c r="D5243" s="5" t="s">
        <v>267</v>
      </c>
      <c r="E5243" s="5" t="s">
        <v>34333</v>
      </c>
      <c r="F5243" s="5" t="s">
        <v>212</v>
      </c>
      <c r="G5243" s="5" t="s">
        <v>34334</v>
      </c>
      <c r="H5243" s="6" t="s">
        <v>34335</v>
      </c>
      <c r="I5243" s="7" t="s">
        <v>34336</v>
      </c>
      <c r="J5243" s="8" t="str">
        <f>HYPERLINK("https://drive.google.com/file/d/1tZImnWMO6UX4xdlaByFkS44KzbG8Jjuy/view?usp=drivesdk","SUPARTINI SERTIFIKAT BerAKHLAK")</f>
        <v>SUPARTINI SERTIFIKAT BerAKHLAK</v>
      </c>
      <c r="K5243" s="5" t="s">
        <v>34135</v>
      </c>
      <c r="L5243" s="5" t="s">
        <v>34337</v>
      </c>
      <c r="M5243" s="5" t="s">
        <v>34338</v>
      </c>
      <c r="N5243" s="7" t="s">
        <v>34339</v>
      </c>
      <c r="O5243" s="8" t="str">
        <f>HYPERLINK("https://drive.google.com/file/d/1Yl16qQHYOTkdNWaqz8wvhr_rKFDQ2b7X/view?usp=drivesdk","5242_SUPARTINI _ SERTIFIKAT BerAKHLAK")</f>
        <v>5242_SUPARTINI _ SERTIFIKAT BerAKHLAK</v>
      </c>
      <c r="P5243" s="5" t="s">
        <v>34318</v>
      </c>
    </row>
    <row r="5244">
      <c r="A5244" s="4">
        <v>45534.35798052083</v>
      </c>
      <c r="B5244" s="5" t="s">
        <v>34</v>
      </c>
      <c r="D5244" s="5" t="s">
        <v>14424</v>
      </c>
      <c r="E5244" s="5" t="s">
        <v>34340</v>
      </c>
      <c r="F5244" s="5" t="s">
        <v>72</v>
      </c>
      <c r="G5244" s="5" t="s">
        <v>34341</v>
      </c>
      <c r="H5244" s="6" t="s">
        <v>34342</v>
      </c>
      <c r="I5244" s="7" t="s">
        <v>34343</v>
      </c>
      <c r="J5244" s="8" t="str">
        <f>HYPERLINK("https://drive.google.com/file/d/1iW9SDGE7mMXX0IFCgH0RlJyyWzLR1MG2/view?usp=drivesdk","SAMSUL AMBIA SERTIFIKAT BerAKHLAK")</f>
        <v>SAMSUL AMBIA SERTIFIKAT BerAKHLAK</v>
      </c>
      <c r="K5244" s="5" t="s">
        <v>34135</v>
      </c>
      <c r="L5244" s="5" t="s">
        <v>34344</v>
      </c>
      <c r="M5244" s="5" t="s">
        <v>34345</v>
      </c>
      <c r="N5244" s="7" t="s">
        <v>34346</v>
      </c>
      <c r="O5244" s="8" t="str">
        <f>HYPERLINK("https://drive.google.com/file/d/1GeZFh3CWxTXX_T6LNxdRRwI-JIVBM_Pz/view?usp=drivesdk","5243_SAMSUL AMBIA _ SERTIFIKAT BerAKHLAK")</f>
        <v>5243_SAMSUL AMBIA _ SERTIFIKAT BerAKHLAK</v>
      </c>
      <c r="P5244" s="5" t="s">
        <v>34318</v>
      </c>
    </row>
    <row r="5245">
      <c r="A5245" s="4">
        <v>45534.35798111111</v>
      </c>
      <c r="B5245" s="5" t="s">
        <v>34</v>
      </c>
      <c r="D5245" s="5" t="s">
        <v>14424</v>
      </c>
      <c r="E5245" s="5" t="s">
        <v>34347</v>
      </c>
      <c r="F5245" s="5" t="s">
        <v>72</v>
      </c>
      <c r="G5245" s="5" t="s">
        <v>34348</v>
      </c>
      <c r="H5245" s="6" t="s">
        <v>34349</v>
      </c>
      <c r="K5245" s="5" t="s">
        <v>34350</v>
      </c>
      <c r="M5245" s="5" t="s">
        <v>34351</v>
      </c>
      <c r="N5245" s="7" t="s">
        <v>34352</v>
      </c>
      <c r="O5245" s="8" t="str">
        <f>HYPERLINK("https://drive.google.com/file/d/1svSC2tX6Ig1E8vmPznLbLtDaXTiQSGza/view?usp=drivesdk","5244_AGUNG PRIAWAN _ SERTIFIKAT BerAKHLAK")</f>
        <v>5244_AGUNG PRIAWAN _ SERTIFIKAT BerAKHLAK</v>
      </c>
      <c r="P5245" s="5" t="s">
        <v>34353</v>
      </c>
    </row>
    <row r="5246">
      <c r="A5246" s="4">
        <v>45534.35800709491</v>
      </c>
      <c r="B5246" s="5" t="s">
        <v>34</v>
      </c>
      <c r="D5246" s="5" t="s">
        <v>12978</v>
      </c>
      <c r="E5246" s="5" t="s">
        <v>34354</v>
      </c>
      <c r="F5246" s="5" t="s">
        <v>212</v>
      </c>
      <c r="G5246" s="5" t="s">
        <v>34355</v>
      </c>
      <c r="H5246" s="6" t="s">
        <v>34356</v>
      </c>
      <c r="K5246" s="5" t="s">
        <v>34350</v>
      </c>
      <c r="M5246" s="5" t="s">
        <v>34357</v>
      </c>
      <c r="N5246" s="7" t="s">
        <v>34358</v>
      </c>
      <c r="O5246" s="8" t="str">
        <f>HYPERLINK("https://drive.google.com/file/d/1wGpMLtRoyQ2Q3FA3J67KRUHmeOEZi1YA/view?usp=drivesdk","5245_HAYATI _ SERTIFIKAT BerAKHLAK")</f>
        <v>5245_HAYATI _ SERTIFIKAT BerAKHLAK</v>
      </c>
      <c r="P5246" s="5" t="s">
        <v>34353</v>
      </c>
    </row>
    <row r="5247">
      <c r="A5247" s="4">
        <v>45534.358007268514</v>
      </c>
      <c r="B5247" s="5" t="s">
        <v>34</v>
      </c>
      <c r="D5247" s="5" t="s">
        <v>267</v>
      </c>
      <c r="E5247" s="5" t="s">
        <v>34359</v>
      </c>
      <c r="F5247" s="5" t="s">
        <v>212</v>
      </c>
      <c r="G5247" s="5" t="s">
        <v>34360</v>
      </c>
      <c r="H5247" s="6" t="s">
        <v>34361</v>
      </c>
      <c r="K5247" s="5" t="s">
        <v>34350</v>
      </c>
      <c r="M5247" s="5" t="s">
        <v>34362</v>
      </c>
      <c r="N5247" s="7" t="s">
        <v>34363</v>
      </c>
      <c r="O5247" s="8" t="str">
        <f>HYPERLINK("https://drive.google.com/file/d/1XLorout3GP4euajSSwHNlxcPDjPf53Sw/view?usp=drivesdk","5246_SUKARTINI _ SERTIFIKAT BerAKHLAK")</f>
        <v>5246_SUKARTINI _ SERTIFIKAT BerAKHLAK</v>
      </c>
      <c r="P5247" s="5" t="s">
        <v>34353</v>
      </c>
    </row>
    <row r="5248">
      <c r="A5248" s="4">
        <v>45534.35801083333</v>
      </c>
      <c r="B5248" s="5" t="s">
        <v>34</v>
      </c>
      <c r="D5248" s="5" t="s">
        <v>4775</v>
      </c>
      <c r="E5248" s="5" t="s">
        <v>34364</v>
      </c>
      <c r="F5248" s="5" t="s">
        <v>108</v>
      </c>
      <c r="G5248" s="5" t="s">
        <v>34365</v>
      </c>
      <c r="H5248" s="6" t="s">
        <v>34366</v>
      </c>
      <c r="K5248" s="5" t="s">
        <v>34350</v>
      </c>
      <c r="M5248" s="5" t="s">
        <v>34367</v>
      </c>
      <c r="N5248" s="7" t="s">
        <v>34368</v>
      </c>
      <c r="O5248" s="8" t="str">
        <f>HYPERLINK("https://drive.google.com/file/d/1mn-XNMLEzIpckPyXjYfv7u0Z4G6m8YhY/view?usp=drivesdk","5247_ENI RAHAYU _ SERTIFIKAT BerAKHLAK")</f>
        <v>5247_ENI RAHAYU _ SERTIFIKAT BerAKHLAK</v>
      </c>
      <c r="P5248" s="5" t="s">
        <v>34353</v>
      </c>
    </row>
    <row r="5249">
      <c r="A5249" s="4">
        <v>45534.358018865736</v>
      </c>
      <c r="B5249" s="5" t="s">
        <v>34</v>
      </c>
      <c r="D5249" s="5" t="s">
        <v>1558</v>
      </c>
      <c r="E5249" s="5" t="s">
        <v>34369</v>
      </c>
      <c r="F5249" s="5" t="s">
        <v>108</v>
      </c>
      <c r="G5249" s="5" t="s">
        <v>34370</v>
      </c>
      <c r="H5249" s="6" t="s">
        <v>34371</v>
      </c>
      <c r="K5249" s="5" t="s">
        <v>34350</v>
      </c>
      <c r="M5249" s="5" t="s">
        <v>34372</v>
      </c>
      <c r="N5249" s="7" t="s">
        <v>34373</v>
      </c>
      <c r="O5249" s="8" t="str">
        <f>HYPERLINK("https://drive.google.com/file/d/1WO8TS_1ZH4FHMD3iaq28iSRPVgO76mc0/view?usp=drivesdk","5248_Lusiati Hartatik, SE _ SERTIFIKAT BerAKHLAK")</f>
        <v>5248_Lusiati Hartatik, SE _ SERTIFIKAT BerAKHLAK</v>
      </c>
      <c r="P5249" s="5" t="s">
        <v>34353</v>
      </c>
    </row>
    <row r="5250">
      <c r="A5250" s="4">
        <v>45534.35802509259</v>
      </c>
      <c r="B5250" s="5" t="s">
        <v>34</v>
      </c>
      <c r="D5250" s="5" t="s">
        <v>1206</v>
      </c>
      <c r="E5250" s="5" t="s">
        <v>34374</v>
      </c>
      <c r="F5250" s="5" t="s">
        <v>37</v>
      </c>
      <c r="G5250" s="5" t="s">
        <v>34375</v>
      </c>
      <c r="H5250" s="6" t="s">
        <v>34376</v>
      </c>
      <c r="K5250" s="5" t="s">
        <v>34350</v>
      </c>
      <c r="M5250" s="5" t="s">
        <v>34377</v>
      </c>
      <c r="N5250" s="7" t="s">
        <v>34378</v>
      </c>
      <c r="O5250" s="8" t="str">
        <f>HYPERLINK("https://drive.google.com/file/d/1AzfXiF7UFqcCe2H-Bc_qtc2pTtao5E3w/view?usp=drivesdk","5249_ANTOK PRIYO WARDHANI _ SERTIFIKAT BerAKHLAK")</f>
        <v>5249_ANTOK PRIYO WARDHANI _ SERTIFIKAT BerAKHLAK</v>
      </c>
      <c r="P5250" s="5" t="s">
        <v>34353</v>
      </c>
    </row>
    <row r="5251">
      <c r="A5251" s="4">
        <v>45534.35804302084</v>
      </c>
      <c r="B5251" s="5" t="s">
        <v>34</v>
      </c>
      <c r="D5251" s="5" t="s">
        <v>1206</v>
      </c>
      <c r="E5251" s="5" t="s">
        <v>34379</v>
      </c>
      <c r="F5251" s="5" t="s">
        <v>37</v>
      </c>
      <c r="G5251" s="5" t="s">
        <v>34380</v>
      </c>
      <c r="H5251" s="6" t="s">
        <v>34381</v>
      </c>
      <c r="K5251" s="5" t="s">
        <v>34350</v>
      </c>
      <c r="M5251" s="5" t="s">
        <v>34382</v>
      </c>
      <c r="N5251" s="7" t="s">
        <v>34383</v>
      </c>
      <c r="O5251" s="8" t="str">
        <f>HYPERLINK("https://drive.google.com/file/d/1KPGka-VMp7EX8MoESBYp7_6-6IPNUl0M/view?usp=drivesdk","5250_ERIKA SULISTIYO BANDINI _ SERTIFIKAT BerAKHLAK")</f>
        <v>5250_ERIKA SULISTIYO BANDINI _ SERTIFIKAT BerAKHLAK</v>
      </c>
      <c r="P5251" s="5" t="s">
        <v>34384</v>
      </c>
    </row>
    <row r="5252">
      <c r="A5252" s="4">
        <v>45534.358048379625</v>
      </c>
      <c r="B5252" s="5" t="s">
        <v>34</v>
      </c>
      <c r="D5252" s="5" t="s">
        <v>1768</v>
      </c>
      <c r="E5252" s="5" t="s">
        <v>34385</v>
      </c>
      <c r="F5252" s="5" t="s">
        <v>212</v>
      </c>
      <c r="G5252" s="5" t="s">
        <v>34386</v>
      </c>
      <c r="H5252" s="6" t="s">
        <v>34387</v>
      </c>
      <c r="K5252" s="5" t="s">
        <v>34350</v>
      </c>
      <c r="M5252" s="5" t="s">
        <v>34388</v>
      </c>
      <c r="N5252" s="7" t="s">
        <v>34389</v>
      </c>
      <c r="O5252" s="8" t="str">
        <f>HYPERLINK("https://drive.google.com/file/d/1RwfgkhFXWeb83iAK3AkI09PV2gsGZkmq/view?usp=drivesdk","5251_SRI HARIYANTI  _ SERTIFIKAT BerAKHLAK")</f>
        <v>5251_SRI HARIYANTI  _ SERTIFIKAT BerAKHLAK</v>
      </c>
      <c r="P5252" s="5" t="s">
        <v>34384</v>
      </c>
    </row>
    <row r="5253">
      <c r="A5253" s="4">
        <v>45534.35804802083</v>
      </c>
      <c r="B5253" s="5" t="s">
        <v>34</v>
      </c>
      <c r="D5253" s="5" t="s">
        <v>9020</v>
      </c>
      <c r="E5253" s="5" t="s">
        <v>34390</v>
      </c>
      <c r="F5253" s="5" t="s">
        <v>212</v>
      </c>
      <c r="G5253" s="5" t="s">
        <v>34391</v>
      </c>
      <c r="H5253" s="6" t="s">
        <v>34392</v>
      </c>
      <c r="K5253" s="5" t="s">
        <v>34350</v>
      </c>
      <c r="M5253" s="5" t="s">
        <v>34393</v>
      </c>
      <c r="N5253" s="7" t="s">
        <v>34394</v>
      </c>
      <c r="O5253" s="8" t="str">
        <f>HYPERLINK("https://drive.google.com/file/d/1Z65CFaDYH7VZL17mL99fsUwD5txbxOTN/view?usp=drivesdk","5252_YUSMAN HALAWA _ SERTIFIKAT BerAKHLAK")</f>
        <v>5252_YUSMAN HALAWA _ SERTIFIKAT BerAKHLAK</v>
      </c>
      <c r="P5253" s="5" t="s">
        <v>34384</v>
      </c>
    </row>
    <row r="5254">
      <c r="A5254" s="4">
        <v>45534.35805113426</v>
      </c>
      <c r="B5254" s="5" t="s">
        <v>34</v>
      </c>
      <c r="D5254" s="5" t="s">
        <v>1206</v>
      </c>
      <c r="E5254" s="5" t="s">
        <v>34395</v>
      </c>
      <c r="F5254" s="5" t="s">
        <v>524</v>
      </c>
      <c r="G5254" s="5" t="s">
        <v>34396</v>
      </c>
      <c r="H5254" s="6" t="s">
        <v>34397</v>
      </c>
      <c r="K5254" s="5" t="s">
        <v>34350</v>
      </c>
      <c r="M5254" s="5" t="s">
        <v>34398</v>
      </c>
      <c r="N5254" s="7" t="s">
        <v>34399</v>
      </c>
      <c r="O5254" s="8" t="str">
        <f>HYPERLINK("https://drive.google.com/file/d/1gjDP3qSqqDq1erf2CA2yxHvYeU2-Q2-s/view?usp=drivesdk","5253_LUSIANA KRISTIANI  _ SERTIFIKAT BerAKHLAK")</f>
        <v>5253_LUSIANA KRISTIANI  _ SERTIFIKAT BerAKHLAK</v>
      </c>
      <c r="P5254" s="5" t="s">
        <v>34384</v>
      </c>
    </row>
    <row r="5255">
      <c r="A5255" s="4">
        <v>45534.35805148148</v>
      </c>
      <c r="B5255" s="5" t="s">
        <v>34</v>
      </c>
      <c r="D5255" s="5" t="s">
        <v>701</v>
      </c>
      <c r="E5255" s="5" t="s">
        <v>34400</v>
      </c>
      <c r="F5255" s="5" t="s">
        <v>72</v>
      </c>
      <c r="G5255" s="5" t="s">
        <v>34401</v>
      </c>
      <c r="H5255" s="6" t="s">
        <v>34402</v>
      </c>
      <c r="K5255" s="5" t="s">
        <v>34350</v>
      </c>
      <c r="M5255" s="5" t="s">
        <v>34403</v>
      </c>
      <c r="N5255" s="7" t="s">
        <v>34404</v>
      </c>
      <c r="O5255" s="8" t="str">
        <f>HYPERLINK("https://drive.google.com/file/d/1ZIvzn2FaDuXju5HUPE7NabNKlFTjT0Uo/view?usp=drivesdk","5254_HEFNI Z _ SERTIFIKAT BerAKHLAK")</f>
        <v>5254_HEFNI Z _ SERTIFIKAT BerAKHLAK</v>
      </c>
      <c r="P5255" s="5" t="s">
        <v>34384</v>
      </c>
    </row>
    <row r="5256">
      <c r="A5256" s="4">
        <v>45534.35806005787</v>
      </c>
      <c r="B5256" s="5" t="s">
        <v>34</v>
      </c>
      <c r="D5256" s="5" t="s">
        <v>12978</v>
      </c>
      <c r="E5256" s="5" t="s">
        <v>34405</v>
      </c>
      <c r="F5256" s="5" t="s">
        <v>212</v>
      </c>
      <c r="G5256" s="5" t="s">
        <v>34406</v>
      </c>
      <c r="H5256" s="6" t="s">
        <v>34407</v>
      </c>
      <c r="K5256" s="5" t="s">
        <v>34350</v>
      </c>
      <c r="M5256" s="5" t="s">
        <v>34408</v>
      </c>
      <c r="N5256" s="7" t="s">
        <v>34409</v>
      </c>
      <c r="O5256" s="8" t="str">
        <f>HYPERLINK("https://drive.google.com/file/d/13WNAp12olBCkEwMmHOgCCdWUOWWAgFsK/view?usp=drivesdk","5255_BADARIA _ SERTIFIKAT BerAKHLAK")</f>
        <v>5255_BADARIA _ SERTIFIKAT BerAKHLAK</v>
      </c>
      <c r="P5256" s="5" t="s">
        <v>34410</v>
      </c>
    </row>
    <row r="5257" hidden="1">
      <c r="A5257" s="4">
        <v>45534.35806038194</v>
      </c>
      <c r="B5257" s="5" t="s">
        <v>19</v>
      </c>
      <c r="C5257" s="5" t="s">
        <v>315</v>
      </c>
      <c r="E5257" s="5" t="s">
        <v>34411</v>
      </c>
      <c r="F5257" s="5" t="s">
        <v>5566</v>
      </c>
      <c r="G5257" s="5" t="s">
        <v>34412</v>
      </c>
      <c r="H5257" s="6" t="s">
        <v>34413</v>
      </c>
      <c r="K5257" s="5" t="s">
        <v>34350</v>
      </c>
      <c r="M5257" s="5" t="s">
        <v>34414</v>
      </c>
      <c r="N5257" s="7" t="s">
        <v>34415</v>
      </c>
      <c r="O5257" s="8" t="str">
        <f>HYPERLINK("https://drive.google.com/file/d/1LtoY7XAAJg96PHOmJriRl7EaVS01EreP/view?usp=drivesdk","5256_RANGGA ADYATAMA EKA PRASETYA _ SERTIFIKAT BerAKHLAK")</f>
        <v>5256_RANGGA ADYATAMA EKA PRASETYA _ SERTIFIKAT BerAKHLAK</v>
      </c>
      <c r="P5257" s="5" t="s">
        <v>34410</v>
      </c>
    </row>
    <row r="5258">
      <c r="A5258" s="4">
        <v>45534.358071967596</v>
      </c>
      <c r="B5258" s="5" t="s">
        <v>34</v>
      </c>
      <c r="D5258" s="5" t="s">
        <v>1206</v>
      </c>
      <c r="E5258" s="5" t="s">
        <v>34416</v>
      </c>
      <c r="F5258" s="5" t="s">
        <v>120</v>
      </c>
      <c r="G5258" s="5" t="s">
        <v>34417</v>
      </c>
      <c r="H5258" s="6" t="s">
        <v>34418</v>
      </c>
      <c r="K5258" s="5" t="s">
        <v>34350</v>
      </c>
      <c r="M5258" s="5" t="s">
        <v>34419</v>
      </c>
      <c r="N5258" s="7" t="s">
        <v>34420</v>
      </c>
      <c r="O5258" s="8" t="str">
        <f>HYPERLINK("https://drive.google.com/file/d/1YkJyeU6zIjD3eLorE74Vqlihi5iHBDxQ/view?usp=drivesdk","5257_BOEDI SRI UTAMI, S.H.,M.M _ SERTIFIKAT BerAKHLAK")</f>
        <v>5257_BOEDI SRI UTAMI, S.H.,M.M _ SERTIFIKAT BerAKHLAK</v>
      </c>
      <c r="P5258" s="5" t="s">
        <v>34410</v>
      </c>
    </row>
    <row r="5259">
      <c r="A5259" s="4">
        <v>45534.35809065972</v>
      </c>
      <c r="B5259" s="5" t="s">
        <v>34</v>
      </c>
      <c r="D5259" s="5" t="s">
        <v>522</v>
      </c>
      <c r="E5259" s="5" t="s">
        <v>34421</v>
      </c>
      <c r="F5259" s="5" t="s">
        <v>212</v>
      </c>
      <c r="G5259" s="5" t="s">
        <v>34422</v>
      </c>
      <c r="H5259" s="6" t="s">
        <v>34423</v>
      </c>
      <c r="K5259" s="5" t="s">
        <v>34350</v>
      </c>
      <c r="M5259" s="5" t="s">
        <v>34424</v>
      </c>
      <c r="N5259" s="7" t="s">
        <v>34425</v>
      </c>
      <c r="O5259" s="8" t="str">
        <f>HYPERLINK("https://drive.google.com/file/d/1P_Y1OWtgDBHujI_Z0GDbD9UdiJgfCXAv/view?usp=drivesdk","5258_FINTA WAHYUSANI AMD. AN _ SERTIFIKAT BerAKHLAK")</f>
        <v>5258_FINTA WAHYUSANI AMD. AN _ SERTIFIKAT BerAKHLAK</v>
      </c>
      <c r="P5259" s="5" t="s">
        <v>34410</v>
      </c>
    </row>
    <row r="5260">
      <c r="A5260" s="4">
        <v>45534.35809715278</v>
      </c>
      <c r="B5260" s="5" t="s">
        <v>34</v>
      </c>
      <c r="D5260" s="5" t="s">
        <v>701</v>
      </c>
      <c r="E5260" s="5" t="s">
        <v>34426</v>
      </c>
      <c r="F5260" s="5" t="s">
        <v>108</v>
      </c>
      <c r="G5260" s="5" t="s">
        <v>34427</v>
      </c>
      <c r="H5260" s="6" t="s">
        <v>34428</v>
      </c>
      <c r="K5260" s="5" t="s">
        <v>34350</v>
      </c>
      <c r="M5260" s="5" t="s">
        <v>34429</v>
      </c>
      <c r="N5260" s="7" t="s">
        <v>34430</v>
      </c>
      <c r="O5260" s="8" t="str">
        <f>HYPERLINK("https://drive.google.com/file/d/1ObElUEC6ZpCKv-95OI-_AnR_lwsoa5Uj/view?usp=drivesdk","5259_NS.YESSI PUTRIA,S.KEP _ SERTIFIKAT BerAKHLAK")</f>
        <v>5259_NS.YESSI PUTRIA,S.KEP _ SERTIFIKAT BerAKHLAK</v>
      </c>
      <c r="P5260" s="5" t="s">
        <v>34410</v>
      </c>
    </row>
    <row r="5261">
      <c r="A5261" s="4">
        <v>45534.35809758102</v>
      </c>
      <c r="B5261" s="5" t="s">
        <v>34</v>
      </c>
      <c r="D5261" s="5" t="s">
        <v>4775</v>
      </c>
      <c r="E5261" s="5" t="s">
        <v>34431</v>
      </c>
      <c r="F5261" s="5" t="s">
        <v>37</v>
      </c>
      <c r="G5261" s="5" t="s">
        <v>34432</v>
      </c>
      <c r="H5261" s="6" t="s">
        <v>34433</v>
      </c>
      <c r="K5261" s="5" t="s">
        <v>34350</v>
      </c>
      <c r="M5261" s="5" t="s">
        <v>34434</v>
      </c>
      <c r="N5261" s="7" t="s">
        <v>34435</v>
      </c>
      <c r="O5261" s="8" t="str">
        <f>HYPERLINK("https://drive.google.com/file/d/1zAVhHCQbLfX4PI4BSaiUzC5lDoAaGZ_b/view?usp=drivesdk","5260_SUTRISNO WIDODO _ SERTIFIKAT BerAKHLAK")</f>
        <v>5260_SUTRISNO WIDODO _ SERTIFIKAT BerAKHLAK</v>
      </c>
      <c r="P5261" s="5" t="s">
        <v>34436</v>
      </c>
    </row>
    <row r="5262">
      <c r="A5262" s="4">
        <v>45534.35811335648</v>
      </c>
      <c r="B5262" s="5" t="s">
        <v>34</v>
      </c>
      <c r="D5262" s="5" t="s">
        <v>1768</v>
      </c>
      <c r="E5262" s="5" t="s">
        <v>34437</v>
      </c>
      <c r="F5262" s="5" t="s">
        <v>72</v>
      </c>
      <c r="G5262" s="5" t="s">
        <v>34438</v>
      </c>
      <c r="H5262" s="6" t="s">
        <v>34439</v>
      </c>
      <c r="K5262" s="5" t="s">
        <v>34350</v>
      </c>
      <c r="M5262" s="5" t="s">
        <v>34440</v>
      </c>
      <c r="N5262" s="7" t="s">
        <v>34441</v>
      </c>
      <c r="O5262" s="8" t="str">
        <f>HYPERLINK("https://drive.google.com/file/d/1woFNE8A1vVjZu_0eR3IP9r6qcyv80rB1/view?usp=drivesdk","5261_TIRTA SAPUTRA _ SERTIFIKAT BerAKHLAK")</f>
        <v>5261_TIRTA SAPUTRA _ SERTIFIKAT BerAKHLAK</v>
      </c>
      <c r="P5262" s="5" t="s">
        <v>34436</v>
      </c>
    </row>
    <row r="5263">
      <c r="A5263" s="4">
        <v>45534.35812052083</v>
      </c>
      <c r="B5263" s="5" t="s">
        <v>34</v>
      </c>
      <c r="D5263" s="5" t="s">
        <v>4775</v>
      </c>
      <c r="E5263" s="5" t="s">
        <v>34442</v>
      </c>
      <c r="F5263" s="5" t="s">
        <v>72</v>
      </c>
      <c r="G5263" s="5" t="s">
        <v>34443</v>
      </c>
      <c r="H5263" s="6" t="s">
        <v>34444</v>
      </c>
      <c r="K5263" s="5" t="s">
        <v>34350</v>
      </c>
      <c r="M5263" s="5" t="s">
        <v>34445</v>
      </c>
      <c r="N5263" s="7" t="s">
        <v>34446</v>
      </c>
      <c r="O5263" s="8" t="str">
        <f>HYPERLINK("https://drive.google.com/file/d/1rwY2HdRTCIrUlHDoIX_tWOlR-I8xkJ6N/view?usp=drivesdk","5262_TAMLIKAN _ SERTIFIKAT BerAKHLAK")</f>
        <v>5262_TAMLIKAN _ SERTIFIKAT BerAKHLAK</v>
      </c>
      <c r="P5263" s="5" t="s">
        <v>34436</v>
      </c>
    </row>
    <row r="5264">
      <c r="A5264" s="4">
        <v>45534.35812291667</v>
      </c>
      <c r="B5264" s="5" t="s">
        <v>34</v>
      </c>
      <c r="D5264" s="5" t="s">
        <v>1206</v>
      </c>
      <c r="E5264" s="5" t="s">
        <v>34447</v>
      </c>
      <c r="F5264" s="5" t="s">
        <v>212</v>
      </c>
      <c r="G5264" s="5" t="s">
        <v>34448</v>
      </c>
      <c r="H5264" s="6" t="s">
        <v>34449</v>
      </c>
      <c r="K5264" s="5" t="s">
        <v>34350</v>
      </c>
      <c r="M5264" s="5" t="s">
        <v>34450</v>
      </c>
      <c r="N5264" s="7" t="s">
        <v>34451</v>
      </c>
      <c r="O5264" s="8" t="str">
        <f>HYPERLINK("https://drive.google.com/file/d/1r-odt4b8qNpyqcAOSp9lT22B52lVHbea/view?usp=drivesdk","5263_CUK WIDIYANTO _ SERTIFIKAT BerAKHLAK")</f>
        <v>5263_CUK WIDIYANTO _ SERTIFIKAT BerAKHLAK</v>
      </c>
      <c r="P5264" s="5" t="s">
        <v>34436</v>
      </c>
    </row>
    <row r="5265">
      <c r="A5265" s="4">
        <v>45534.3581312037</v>
      </c>
      <c r="B5265" s="5" t="s">
        <v>34</v>
      </c>
      <c r="D5265" s="5" t="s">
        <v>4775</v>
      </c>
      <c r="E5265" s="5" t="s">
        <v>34452</v>
      </c>
      <c r="F5265" s="5" t="s">
        <v>72</v>
      </c>
      <c r="G5265" s="5" t="s">
        <v>34453</v>
      </c>
      <c r="H5265" s="6" t="s">
        <v>34454</v>
      </c>
      <c r="K5265" s="5" t="s">
        <v>34350</v>
      </c>
      <c r="M5265" s="5" t="s">
        <v>34455</v>
      </c>
      <c r="N5265" s="7" t="s">
        <v>34456</v>
      </c>
      <c r="O5265" s="8" t="str">
        <f>HYPERLINK("https://drive.google.com/file/d/1axnJxt6XggsMUhVVG_1Uxo2auuyVk23S/view?usp=drivesdk","5264_LILIS WIMBANINGSIH,SH _ SERTIFIKAT BerAKHLAK")</f>
        <v>5264_LILIS WIMBANINGSIH,SH _ SERTIFIKAT BerAKHLAK</v>
      </c>
      <c r="P5265" s="5" t="s">
        <v>34457</v>
      </c>
    </row>
    <row r="5266">
      <c r="A5266" s="4">
        <v>45534.358137187504</v>
      </c>
      <c r="B5266" s="5" t="s">
        <v>34</v>
      </c>
      <c r="D5266" s="5" t="s">
        <v>7858</v>
      </c>
      <c r="E5266" s="5" t="s">
        <v>34458</v>
      </c>
      <c r="F5266" s="5" t="s">
        <v>524</v>
      </c>
      <c r="G5266" s="5" t="s">
        <v>34459</v>
      </c>
      <c r="H5266" s="6" t="s">
        <v>34460</v>
      </c>
      <c r="K5266" s="5" t="s">
        <v>34350</v>
      </c>
      <c r="M5266" s="5" t="s">
        <v>34461</v>
      </c>
      <c r="N5266" s="7" t="s">
        <v>34462</v>
      </c>
      <c r="O5266" s="8" t="str">
        <f>HYPERLINK("https://drive.google.com/file/d/1lJ-i6ncxCz648B7IwoIIH7ldq36uYtRS/view?usp=drivesdk","5265_KARSIH,S.Kep _ SERTIFIKAT BerAKHLAK")</f>
        <v>5265_KARSIH,S.Kep _ SERTIFIKAT BerAKHLAK</v>
      </c>
      <c r="P5266" s="5" t="s">
        <v>34457</v>
      </c>
    </row>
    <row r="5267">
      <c r="A5267" s="4">
        <v>45534.35816927083</v>
      </c>
      <c r="B5267" s="5" t="s">
        <v>34</v>
      </c>
      <c r="D5267" s="5" t="s">
        <v>267</v>
      </c>
      <c r="E5267" s="5" t="s">
        <v>34463</v>
      </c>
      <c r="F5267" s="5" t="s">
        <v>375</v>
      </c>
      <c r="G5267" s="5" t="s">
        <v>34464</v>
      </c>
      <c r="H5267" s="6" t="s">
        <v>34465</v>
      </c>
      <c r="K5267" s="5" t="s">
        <v>34350</v>
      </c>
      <c r="M5267" s="5" t="s">
        <v>34466</v>
      </c>
      <c r="N5267" s="7" t="s">
        <v>34467</v>
      </c>
      <c r="O5267" s="8" t="str">
        <f>HYPERLINK("https://drive.google.com/file/d/1jy0vW6GMDc8vYss1tvXcwPwhcvcpZ6DH/view?usp=drivesdk","5266_RETNO SUNDARI, S.Pd., M.M. _ SERTIFIKAT BerAKHLAK")</f>
        <v>5266_RETNO SUNDARI, S.Pd., M.M. _ SERTIFIKAT BerAKHLAK</v>
      </c>
      <c r="P5267" s="5" t="s">
        <v>34457</v>
      </c>
    </row>
    <row r="5268">
      <c r="A5268" s="4">
        <v>45534.35816969907</v>
      </c>
      <c r="B5268" s="5" t="s">
        <v>34</v>
      </c>
      <c r="D5268" s="5" t="s">
        <v>6232</v>
      </c>
      <c r="E5268" s="5" t="s">
        <v>34468</v>
      </c>
      <c r="F5268" s="5" t="s">
        <v>37</v>
      </c>
      <c r="G5268" s="5" t="s">
        <v>34469</v>
      </c>
      <c r="H5268" s="6" t="s">
        <v>34470</v>
      </c>
      <c r="I5268" s="7" t="s">
        <v>34471</v>
      </c>
      <c r="J5268" s="8" t="str">
        <f>HYPERLINK("https://drive.google.com/file/d/1e7_DyW3RZTLyRr5ADqLOXwKZc2rImbWf/view?usp=drivesdk","AGUS MAHFUDIN, AM.Kep SERTIFIKAT BerAKHLAK")</f>
        <v>AGUS MAHFUDIN, AM.Kep SERTIFIKAT BerAKHLAK</v>
      </c>
      <c r="K5268" s="5" t="s">
        <v>34135</v>
      </c>
      <c r="L5268" s="5" t="s">
        <v>34472</v>
      </c>
      <c r="M5268" s="5" t="s">
        <v>34473</v>
      </c>
      <c r="N5268" s="7" t="s">
        <v>34474</v>
      </c>
      <c r="O5268" s="8" t="str">
        <f>HYPERLINK("https://drive.google.com/file/d/1xtEiSoBmsN-xIUSb_eT6K5BNIJGvQMkN/view?usp=drivesdk","5267_AGUS MAHFUDIN, AM.Kep _ SERTIFIKAT BerAKHLAK")</f>
        <v>5267_AGUS MAHFUDIN, AM.Kep _ SERTIFIKAT BerAKHLAK</v>
      </c>
      <c r="P5268" s="5" t="s">
        <v>34457</v>
      </c>
    </row>
    <row r="5269">
      <c r="A5269" s="4">
        <v>45534.3581746875</v>
      </c>
      <c r="B5269" s="5" t="s">
        <v>34</v>
      </c>
      <c r="D5269" s="5" t="s">
        <v>1206</v>
      </c>
      <c r="E5269" s="5" t="s">
        <v>34475</v>
      </c>
      <c r="F5269" s="5" t="s">
        <v>199</v>
      </c>
      <c r="G5269" s="5" t="s">
        <v>34476</v>
      </c>
      <c r="H5269" s="6" t="s">
        <v>34477</v>
      </c>
      <c r="I5269" s="7" t="s">
        <v>34478</v>
      </c>
      <c r="J5269" s="8" t="str">
        <f>HYPERLINK("https://drive.google.com/file/d/1-z3YK5fPcP2E4axlNsucGpDBoe-p1tY-/view?usp=drivesdk","EDI SANTOSO SERTIFIKAT BerAKHLAK")</f>
        <v>EDI SANTOSO SERTIFIKAT BerAKHLAK</v>
      </c>
      <c r="K5269" s="5" t="s">
        <v>34135</v>
      </c>
      <c r="L5269" s="5" t="s">
        <v>34479</v>
      </c>
      <c r="M5269" s="5" t="s">
        <v>34480</v>
      </c>
      <c r="N5269" s="7" t="s">
        <v>34481</v>
      </c>
      <c r="O5269" s="8" t="str">
        <f>HYPERLINK("https://drive.google.com/file/d/1-RqXiVweH_L8jfRjVkwP7t2rhWlLa1fX/view?usp=drivesdk","5268_EDI SANTOSO _ SERTIFIKAT BerAKHLAK")</f>
        <v>5268_EDI SANTOSO _ SERTIFIKAT BerAKHLAK</v>
      </c>
      <c r="P5269" s="5" t="s">
        <v>34457</v>
      </c>
    </row>
    <row r="5270">
      <c r="A5270" s="4">
        <v>45534.35817857639</v>
      </c>
      <c r="B5270" s="5" t="s">
        <v>34</v>
      </c>
      <c r="D5270" s="5" t="s">
        <v>14313</v>
      </c>
      <c r="E5270" s="5" t="s">
        <v>34482</v>
      </c>
      <c r="F5270" s="5" t="s">
        <v>72</v>
      </c>
      <c r="G5270" s="5" t="s">
        <v>34483</v>
      </c>
      <c r="H5270" s="6" t="s">
        <v>34484</v>
      </c>
      <c r="K5270" s="5" t="s">
        <v>34485</v>
      </c>
      <c r="M5270" s="5" t="s">
        <v>34486</v>
      </c>
      <c r="N5270" s="7" t="s">
        <v>34487</v>
      </c>
      <c r="O5270" s="8" t="str">
        <f>HYPERLINK("https://drive.google.com/file/d/1GtlfWihito3PgJ74Up7Hac3t1I8QlScs/view?usp=drivesdk","5269_SURIATY.S.SOS _ SERTIFIKAT BerAKHLAK")</f>
        <v>5269_SURIATY.S.SOS _ SERTIFIKAT BerAKHLAK</v>
      </c>
      <c r="P5270" s="5" t="s">
        <v>34488</v>
      </c>
    </row>
    <row r="5271">
      <c r="A5271" s="4">
        <v>45534.35818730324</v>
      </c>
      <c r="B5271" s="5" t="s">
        <v>34</v>
      </c>
      <c r="D5271" s="5" t="s">
        <v>1206</v>
      </c>
      <c r="E5271" s="5" t="s">
        <v>34489</v>
      </c>
      <c r="F5271" s="5" t="s">
        <v>212</v>
      </c>
      <c r="G5271" s="5" t="s">
        <v>34490</v>
      </c>
      <c r="H5271" s="6" t="s">
        <v>34491</v>
      </c>
      <c r="K5271" s="5" t="s">
        <v>34485</v>
      </c>
      <c r="M5271" s="5" t="s">
        <v>34492</v>
      </c>
      <c r="N5271" s="7" t="s">
        <v>34493</v>
      </c>
      <c r="O5271" s="8" t="str">
        <f>HYPERLINK("https://drive.google.com/file/d/1qdLQJEDcS9bt3ZJoVtPWW2WfuBFacTnA/view?usp=drivesdk","5270_MUTMAINAH  _ SERTIFIKAT BerAKHLAK")</f>
        <v>5270_MUTMAINAH  _ SERTIFIKAT BerAKHLAK</v>
      </c>
      <c r="P5271" s="5" t="s">
        <v>34488</v>
      </c>
    </row>
    <row r="5272">
      <c r="A5272" s="4">
        <v>45534.358188240745</v>
      </c>
      <c r="B5272" s="5" t="s">
        <v>34</v>
      </c>
      <c r="D5272" s="5" t="s">
        <v>9394</v>
      </c>
      <c r="E5272" s="5" t="s">
        <v>34494</v>
      </c>
      <c r="F5272" s="5" t="s">
        <v>328</v>
      </c>
      <c r="G5272" s="5" t="s">
        <v>34495</v>
      </c>
      <c r="H5272" s="6" t="s">
        <v>34496</v>
      </c>
      <c r="K5272" s="5" t="s">
        <v>34485</v>
      </c>
      <c r="M5272" s="5" t="s">
        <v>34497</v>
      </c>
      <c r="N5272" s="7" t="s">
        <v>34498</v>
      </c>
      <c r="O5272" s="8" t="str">
        <f>HYPERLINK("https://drive.google.com/file/d/1IsyOpM2-bIDctT9bwM8uWe0sEKSWCAas/view?usp=drivesdk","5271_SAPARDI _ SERTIFIKAT BerAKHLAK")</f>
        <v>5271_SAPARDI _ SERTIFIKAT BerAKHLAK</v>
      </c>
      <c r="P5272" s="5" t="s">
        <v>34488</v>
      </c>
    </row>
    <row r="5273">
      <c r="A5273" s="4">
        <v>45534.3582062037</v>
      </c>
      <c r="B5273" s="5" t="s">
        <v>34</v>
      </c>
      <c r="D5273" s="5" t="s">
        <v>280</v>
      </c>
      <c r="E5273" s="5" t="s">
        <v>34499</v>
      </c>
      <c r="F5273" s="5" t="s">
        <v>375</v>
      </c>
      <c r="G5273" s="5" t="s">
        <v>34500</v>
      </c>
      <c r="H5273" s="6" t="s">
        <v>34501</v>
      </c>
      <c r="I5273" s="7" t="s">
        <v>34502</v>
      </c>
      <c r="J5273" s="8" t="str">
        <f>HYPERLINK("https://drive.google.com/file/d/1vVuY9EJbbvICQY53MMegZqwwgpnnsDxg/view?usp=drivesdk","HENDRIK RAMBAEDY SERTIFIKAT BerAKHLAK")</f>
        <v>HENDRIK RAMBAEDY SERTIFIKAT BerAKHLAK</v>
      </c>
      <c r="K5273" s="5" t="s">
        <v>34135</v>
      </c>
      <c r="L5273" s="5" t="s">
        <v>34503</v>
      </c>
      <c r="M5273" s="5" t="s">
        <v>34504</v>
      </c>
      <c r="N5273" s="7" t="s">
        <v>34505</v>
      </c>
      <c r="O5273" s="8" t="str">
        <f>HYPERLINK("https://drive.google.com/file/d/1v4QML8zUrSCMC7BWsJ3INaPFdRG1GLyd/view?usp=drivesdk","5272_HENDRIK RAMBAEDY _ SERTIFIKAT BerAKHLAK")</f>
        <v>5272_HENDRIK RAMBAEDY _ SERTIFIKAT BerAKHLAK</v>
      </c>
      <c r="P5273" s="5" t="s">
        <v>34488</v>
      </c>
    </row>
    <row r="5274">
      <c r="A5274" s="4">
        <v>45534.35820686343</v>
      </c>
      <c r="B5274" s="5" t="s">
        <v>34</v>
      </c>
      <c r="D5274" s="5" t="s">
        <v>1692</v>
      </c>
      <c r="E5274" s="5" t="s">
        <v>34506</v>
      </c>
      <c r="F5274" s="5" t="s">
        <v>328</v>
      </c>
      <c r="G5274" s="5" t="s">
        <v>34507</v>
      </c>
      <c r="H5274" s="6" t="s">
        <v>34508</v>
      </c>
      <c r="I5274" s="7" t="s">
        <v>34509</v>
      </c>
      <c r="J5274" s="8" t="str">
        <f>HYPERLINK("https://drive.google.com/file/d/1ZaNvsn0gz9NDFsYnBllLvun6Z96XXUaD/view?usp=drivesdk","HERMAN MONATEN SERTIFIKAT BerAKHLAK")</f>
        <v>HERMAN MONATEN SERTIFIKAT BerAKHLAK</v>
      </c>
      <c r="K5274" s="5" t="s">
        <v>34135</v>
      </c>
      <c r="L5274" s="5" t="s">
        <v>34510</v>
      </c>
      <c r="M5274" s="5" t="s">
        <v>34511</v>
      </c>
      <c r="N5274" s="7" t="s">
        <v>34512</v>
      </c>
      <c r="O5274" s="8" t="str">
        <f>HYPERLINK("https://drive.google.com/file/d/1D9bpfwewT6MYvqNvEC4vX-2Pi2MtAugp/view?usp=drivesdk","5273_HERMAN MONATEN _ SERTIFIKAT BerAKHLAK")</f>
        <v>5273_HERMAN MONATEN _ SERTIFIKAT BerAKHLAK</v>
      </c>
      <c r="P5274" s="5" t="s">
        <v>34488</v>
      </c>
    </row>
    <row r="5275">
      <c r="A5275" s="4">
        <v>45534.35822013889</v>
      </c>
      <c r="B5275" s="5" t="s">
        <v>34</v>
      </c>
      <c r="D5275" s="5" t="s">
        <v>4775</v>
      </c>
      <c r="E5275" s="5" t="s">
        <v>34513</v>
      </c>
      <c r="F5275" s="5" t="s">
        <v>108</v>
      </c>
      <c r="G5275" s="5" t="s">
        <v>34514</v>
      </c>
      <c r="H5275" s="6" t="s">
        <v>34515</v>
      </c>
      <c r="I5275" s="7" t="s">
        <v>34516</v>
      </c>
      <c r="J5275" s="8" t="str">
        <f>HYPERLINK("https://drive.google.com/file/d/1uoEpyikIJGxyxaHjtyFZZ6u0I51blzsw/view?usp=drivesdk","DULHADI SERTIFIKAT BerAKHLAK")</f>
        <v>DULHADI SERTIFIKAT BerAKHLAK</v>
      </c>
      <c r="K5275" s="5" t="s">
        <v>34135</v>
      </c>
      <c r="L5275" s="5" t="s">
        <v>34517</v>
      </c>
      <c r="M5275" s="5" t="s">
        <v>34518</v>
      </c>
      <c r="N5275" s="7" t="s">
        <v>34519</v>
      </c>
      <c r="O5275" s="8" t="str">
        <f>HYPERLINK("https://drive.google.com/file/d/19bBJ-GqCgG_Cwlxo6Mm542vz-PfB32am/view?usp=drivesdk","5274_DULHADI _ SERTIFIKAT BerAKHLAK")</f>
        <v>5274_DULHADI _ SERTIFIKAT BerAKHLAK</v>
      </c>
      <c r="P5275" s="5" t="s">
        <v>34488</v>
      </c>
    </row>
    <row r="5276">
      <c r="A5276" s="4">
        <v>45534.358224641204</v>
      </c>
      <c r="B5276" s="5" t="s">
        <v>34</v>
      </c>
      <c r="D5276" s="5" t="s">
        <v>522</v>
      </c>
      <c r="E5276" s="5" t="s">
        <v>34520</v>
      </c>
      <c r="F5276" s="5" t="s">
        <v>212</v>
      </c>
      <c r="G5276" s="5" t="s">
        <v>34521</v>
      </c>
      <c r="H5276" s="6" t="s">
        <v>34522</v>
      </c>
      <c r="I5276" s="7" t="s">
        <v>34523</v>
      </c>
      <c r="J5276" s="8" t="str">
        <f>HYPERLINK("https://drive.google.com/file/d/1zGvMYRjO4PgDJmdcAE2zT-gccoMvW2C7/view?usp=drivesdk","LALU BAYU ARYA SUNTANA, AMD. KEP SERTIFIKAT BerAKHLAK")</f>
        <v>LALU BAYU ARYA SUNTANA, AMD. KEP SERTIFIKAT BerAKHLAK</v>
      </c>
      <c r="K5276" s="5" t="s">
        <v>34135</v>
      </c>
      <c r="L5276" s="5" t="s">
        <v>34524</v>
      </c>
      <c r="M5276" s="5" t="s">
        <v>34525</v>
      </c>
      <c r="N5276" s="7" t="s">
        <v>34526</v>
      </c>
      <c r="O5276" s="8" t="str">
        <f>HYPERLINK("https://drive.google.com/file/d/1C5yda6JGDO056yTNkJTkH1NNU5mxJ3ME/view?usp=drivesdk","5275_LALU BAYU ARYA SUNTANA, AMD. KEP _ SERTIFIKAT BerAKHLAK")</f>
        <v>5275_LALU BAYU ARYA SUNTANA, AMD. KEP _ SERTIFIKAT BerAKHLAK</v>
      </c>
      <c r="P5276" s="5" t="s">
        <v>34527</v>
      </c>
    </row>
    <row r="5277">
      <c r="A5277" s="4">
        <v>45534.35824572916</v>
      </c>
      <c r="B5277" s="5" t="s">
        <v>34</v>
      </c>
      <c r="D5277" s="5" t="s">
        <v>3849</v>
      </c>
      <c r="E5277" s="5" t="s">
        <v>34528</v>
      </c>
      <c r="F5277" s="5" t="s">
        <v>37</v>
      </c>
      <c r="G5277" s="5" t="s">
        <v>34529</v>
      </c>
      <c r="H5277" s="6" t="s">
        <v>34530</v>
      </c>
      <c r="I5277" s="7" t="s">
        <v>34531</v>
      </c>
      <c r="J5277" s="8" t="str">
        <f>HYPERLINK("https://drive.google.com/file/d/1P5-p3o3XHA6QPC_MDSSDAxpCgnRQKtup/view?usp=drivesdk","SUKIJAN SERTIFIKAT BerAKHLAK")</f>
        <v>SUKIJAN SERTIFIKAT BerAKHLAK</v>
      </c>
      <c r="K5277" s="5" t="s">
        <v>34135</v>
      </c>
      <c r="L5277" s="5" t="s">
        <v>34532</v>
      </c>
      <c r="M5277" s="5" t="s">
        <v>34533</v>
      </c>
      <c r="N5277" s="7" t="s">
        <v>34534</v>
      </c>
      <c r="O5277" s="8" t="str">
        <f>HYPERLINK("https://drive.google.com/file/d/1x1bW-8xiHQ7Rc3qCDWUNuqOYK_XMYvs7/view?usp=drivesdk","5276_SUKIJAN _ SERTIFIKAT BerAKHLAK")</f>
        <v>5276_SUKIJAN _ SERTIFIKAT BerAKHLAK</v>
      </c>
      <c r="P5277" s="5" t="s">
        <v>34527</v>
      </c>
    </row>
    <row r="5278">
      <c r="A5278" s="4">
        <v>45534.35824706018</v>
      </c>
      <c r="B5278" s="5" t="s">
        <v>34</v>
      </c>
      <c r="D5278" s="5" t="s">
        <v>12978</v>
      </c>
      <c r="E5278" s="5" t="s">
        <v>34535</v>
      </c>
      <c r="F5278" s="5" t="s">
        <v>37</v>
      </c>
      <c r="G5278" s="5" t="s">
        <v>34536</v>
      </c>
      <c r="H5278" s="6" t="s">
        <v>34537</v>
      </c>
      <c r="I5278" s="7" t="s">
        <v>34538</v>
      </c>
      <c r="J5278" s="8" t="str">
        <f>HYPERLINK("https://drive.google.com/file/d/1FfbOZT63LlYcEPQdXDRzF1Ls-pkFv31G/view?usp=drivesdk","FERIDIYANA SERTIFIKAT BerAKHLAK")</f>
        <v>FERIDIYANA SERTIFIKAT BerAKHLAK</v>
      </c>
      <c r="K5278" s="5" t="s">
        <v>34135</v>
      </c>
      <c r="L5278" s="5" t="s">
        <v>34539</v>
      </c>
      <c r="M5278" s="5" t="s">
        <v>34540</v>
      </c>
      <c r="N5278" s="7" t="s">
        <v>34541</v>
      </c>
      <c r="O5278" s="8" t="str">
        <f>HYPERLINK("https://drive.google.com/file/d/1bxVFS0UHjYpAX-YVZkZkVZ988hmwEt6T/view?usp=drivesdk","5277_FERIDIYANA _ SERTIFIKAT BerAKHLAK")</f>
        <v>5277_FERIDIYANA _ SERTIFIKAT BerAKHLAK</v>
      </c>
      <c r="P5278" s="5" t="s">
        <v>34527</v>
      </c>
    </row>
    <row r="5279">
      <c r="A5279" s="4">
        <v>45534.35825380787</v>
      </c>
      <c r="B5279" s="5" t="s">
        <v>34</v>
      </c>
      <c r="D5279" s="5" t="s">
        <v>14313</v>
      </c>
      <c r="E5279" s="5" t="s">
        <v>34542</v>
      </c>
      <c r="F5279" s="5" t="s">
        <v>212</v>
      </c>
      <c r="G5279" s="5" t="s">
        <v>34543</v>
      </c>
      <c r="H5279" s="6" t="s">
        <v>34544</v>
      </c>
      <c r="K5279" s="5" t="s">
        <v>34545</v>
      </c>
      <c r="M5279" s="5" t="s">
        <v>34546</v>
      </c>
      <c r="N5279" s="7" t="s">
        <v>34547</v>
      </c>
      <c r="O5279" s="8" t="str">
        <f>HYPERLINK("https://drive.google.com/file/d/1Phkuci3vNfHZt62qiXL3N1rFPQ7UtE3p/view?usp=drivesdk","5278_NURALAM _ SERTIFIKAT BerAKHLAK")</f>
        <v>5278_NURALAM _ SERTIFIKAT BerAKHLAK</v>
      </c>
      <c r="P5279" s="5" t="s">
        <v>34527</v>
      </c>
    </row>
    <row r="5280">
      <c r="A5280" s="4">
        <v>45534.358264675924</v>
      </c>
      <c r="B5280" s="5" t="s">
        <v>34</v>
      </c>
      <c r="D5280" s="5" t="s">
        <v>522</v>
      </c>
      <c r="E5280" s="5" t="s">
        <v>34548</v>
      </c>
      <c r="F5280" s="5" t="s">
        <v>212</v>
      </c>
      <c r="G5280" s="5" t="s">
        <v>34549</v>
      </c>
      <c r="H5280" s="6" t="s">
        <v>34550</v>
      </c>
      <c r="I5280" s="7" t="s">
        <v>34551</v>
      </c>
      <c r="J5280" s="8" t="str">
        <f>HYPERLINK("https://drive.google.com/file/d/19iL79xi0D76NSVT3CKZRc2ysqIZRqFyE/view?usp=drivesdk","KEMALA DEWI SERTIFIKAT BerAKHLAK")</f>
        <v>KEMALA DEWI SERTIFIKAT BerAKHLAK</v>
      </c>
      <c r="K5280" s="5" t="s">
        <v>34135</v>
      </c>
      <c r="L5280" s="5" t="s">
        <v>34552</v>
      </c>
      <c r="M5280" s="5" t="s">
        <v>34553</v>
      </c>
      <c r="N5280" s="7" t="s">
        <v>34554</v>
      </c>
      <c r="O5280" s="8" t="str">
        <f>HYPERLINK("https://drive.google.com/file/d/1gRln_AUAVSP4wFAKc1djG3_ke57Nk-bk/view?usp=drivesdk","5279_KEMALA DEWI _ SERTIFIKAT BerAKHLAK")</f>
        <v>5279_KEMALA DEWI _ SERTIFIKAT BerAKHLAK</v>
      </c>
      <c r="P5280" s="5" t="s">
        <v>34527</v>
      </c>
    </row>
    <row r="5281">
      <c r="A5281" s="4">
        <v>45534.358267777774</v>
      </c>
      <c r="B5281" s="5" t="s">
        <v>34</v>
      </c>
      <c r="D5281" s="5" t="s">
        <v>9394</v>
      </c>
      <c r="E5281" s="5" t="s">
        <v>34555</v>
      </c>
      <c r="F5281" s="5" t="s">
        <v>524</v>
      </c>
      <c r="G5281" s="5" t="s">
        <v>34556</v>
      </c>
      <c r="H5281" s="6" t="s">
        <v>34557</v>
      </c>
      <c r="I5281" s="7" t="s">
        <v>34558</v>
      </c>
      <c r="J5281" s="8" t="str">
        <f>HYPERLINK("https://drive.google.com/file/d/11plNrIDwWnA4uD5Bv0wCyQ9vWaO3-Wih/view?usp=drivesdk","MELDA SRI RAHAYU, S.M. SERTIFIKAT BerAKHLAK")</f>
        <v>MELDA SRI RAHAYU, S.M. SERTIFIKAT BerAKHLAK</v>
      </c>
      <c r="K5281" s="5" t="s">
        <v>34135</v>
      </c>
      <c r="L5281" s="5" t="s">
        <v>34559</v>
      </c>
      <c r="M5281" s="5" t="s">
        <v>34560</v>
      </c>
      <c r="N5281" s="7" t="s">
        <v>34561</v>
      </c>
      <c r="O5281" s="8" t="str">
        <f>HYPERLINK("https://drive.google.com/file/d/1z2YIgNjSHEO0VwOzM84hrFPaGKTthhAB/view?usp=drivesdk","5280_MELDA SRI RAHAYU, S.M. _ SERTIFIKAT BerAKHLAK")</f>
        <v>5280_MELDA SRI RAHAYU, S.M. _ SERTIFIKAT BerAKHLAK</v>
      </c>
      <c r="P5281" s="5" t="s">
        <v>34562</v>
      </c>
    </row>
    <row r="5282">
      <c r="A5282" s="4">
        <v>45534.35830327546</v>
      </c>
      <c r="B5282" s="5" t="s">
        <v>34</v>
      </c>
      <c r="D5282" s="5" t="s">
        <v>10444</v>
      </c>
      <c r="E5282" s="5" t="s">
        <v>34563</v>
      </c>
      <c r="F5282" s="5" t="s">
        <v>108</v>
      </c>
      <c r="G5282" s="5" t="s">
        <v>34564</v>
      </c>
      <c r="H5282" s="6" t="s">
        <v>34565</v>
      </c>
      <c r="I5282" s="7" t="s">
        <v>34566</v>
      </c>
      <c r="J5282" s="8" t="str">
        <f>HYPERLINK("https://drive.google.com/file/d/1LR8q5CuBF_J1BlIy3kZkZgbWskFnvYVm/view?usp=drivesdk","ETIE GUSTINI SERTIFIKAT BerAKHLAK")</f>
        <v>ETIE GUSTINI SERTIFIKAT BerAKHLAK</v>
      </c>
      <c r="K5282" s="5" t="s">
        <v>34135</v>
      </c>
      <c r="L5282" s="5" t="s">
        <v>34567</v>
      </c>
      <c r="M5282" s="5" t="s">
        <v>34568</v>
      </c>
      <c r="N5282" s="7" t="s">
        <v>34569</v>
      </c>
      <c r="O5282" s="8" t="str">
        <f>HYPERLINK("https://drive.google.com/file/d/18Zcra6ppZa4gO9_4Jx1-ulWwdC1K6Fkn/view?usp=drivesdk","5281_ETIE GUSTINI _ SERTIFIKAT BerAKHLAK")</f>
        <v>5281_ETIE GUSTINI _ SERTIFIKAT BerAKHLAK</v>
      </c>
      <c r="P5282" s="5" t="s">
        <v>34562</v>
      </c>
    </row>
    <row r="5283">
      <c r="A5283" s="4">
        <v>45534.3583146412</v>
      </c>
      <c r="B5283" s="5" t="s">
        <v>34</v>
      </c>
      <c r="D5283" s="5" t="s">
        <v>1558</v>
      </c>
      <c r="E5283" s="5" t="s">
        <v>34570</v>
      </c>
      <c r="F5283" s="5" t="s">
        <v>199</v>
      </c>
      <c r="G5283" s="5" t="s">
        <v>34571</v>
      </c>
      <c r="H5283" s="6" t="s">
        <v>34572</v>
      </c>
      <c r="I5283" s="7" t="s">
        <v>34573</v>
      </c>
      <c r="J5283" s="8" t="str">
        <f>HYPERLINK("https://drive.google.com/file/d/1R_c5-JAXOlS-qbXud5QVHRNbC9XuAO_0/view?usp=drivesdk","SUDARSONO SERTIFIKAT BerAKHLAK")</f>
        <v>SUDARSONO SERTIFIKAT BerAKHLAK</v>
      </c>
      <c r="K5283" s="5" t="s">
        <v>34135</v>
      </c>
      <c r="L5283" s="5" t="s">
        <v>34574</v>
      </c>
      <c r="M5283" s="5" t="s">
        <v>34575</v>
      </c>
      <c r="N5283" s="7" t="s">
        <v>34576</v>
      </c>
      <c r="O5283" s="8" t="str">
        <f>HYPERLINK("https://drive.google.com/file/d/19_x4UDY7zbe8Ho33OnPTBMgUAujOk0GK/view?usp=drivesdk","5282_SUDARSONO _ SERTIFIKAT BerAKHLAK")</f>
        <v>5282_SUDARSONO _ SERTIFIKAT BerAKHLAK</v>
      </c>
      <c r="P5283" s="5" t="s">
        <v>34562</v>
      </c>
    </row>
    <row r="5284">
      <c r="A5284" s="4">
        <v>45534.35831710648</v>
      </c>
      <c r="B5284" s="5" t="s">
        <v>34</v>
      </c>
      <c r="D5284" s="5" t="s">
        <v>4775</v>
      </c>
      <c r="E5284" s="5" t="s">
        <v>34577</v>
      </c>
      <c r="F5284" s="5" t="s">
        <v>108</v>
      </c>
      <c r="G5284" s="5" t="s">
        <v>34578</v>
      </c>
      <c r="H5284" s="6" t="s">
        <v>34579</v>
      </c>
      <c r="K5284" s="5" t="s">
        <v>34580</v>
      </c>
      <c r="M5284" s="5" t="s">
        <v>34581</v>
      </c>
      <c r="N5284" s="7" t="s">
        <v>34582</v>
      </c>
      <c r="O5284" s="8" t="str">
        <f>HYPERLINK("https://drive.google.com/file/d/1jNnfjE7b3HmKc4wH0gWoIBGPo65PFXQx/view?usp=drivesdk","5283_SURAHMi _ SERTIFIKAT BerAKHLAK")</f>
        <v>5283_SURAHMi _ SERTIFIKAT BerAKHLAK</v>
      </c>
      <c r="P5284" s="5" t="s">
        <v>34562</v>
      </c>
    </row>
    <row r="5285">
      <c r="A5285" s="4">
        <v>45534.35831707176</v>
      </c>
      <c r="B5285" s="5" t="s">
        <v>34</v>
      </c>
      <c r="D5285" s="5" t="s">
        <v>9394</v>
      </c>
      <c r="E5285" s="5" t="s">
        <v>34583</v>
      </c>
      <c r="F5285" s="5" t="s">
        <v>524</v>
      </c>
      <c r="G5285" s="5" t="s">
        <v>34584</v>
      </c>
      <c r="H5285" s="6" t="s">
        <v>34585</v>
      </c>
      <c r="K5285" s="5" t="s">
        <v>34580</v>
      </c>
      <c r="M5285" s="5" t="s">
        <v>34586</v>
      </c>
      <c r="N5285" s="7" t="s">
        <v>34587</v>
      </c>
      <c r="O5285" s="8" t="str">
        <f>HYPERLINK("https://drive.google.com/file/d/1flyqCQkguVcB8DsDeXoWTyLPa5S4t-65/view?usp=drivesdk","5284_Ns. SITI ARTA LASMAROHA. S. Kep _ SERTIFIKAT BerAKHLAK")</f>
        <v>5284_Ns. SITI ARTA LASMAROHA. S. Kep _ SERTIFIKAT BerAKHLAK</v>
      </c>
      <c r="P5285" s="5" t="s">
        <v>34562</v>
      </c>
    </row>
    <row r="5286" hidden="1">
      <c r="A5286" s="4">
        <v>45534.358356296296</v>
      </c>
      <c r="B5286" s="5" t="s">
        <v>19</v>
      </c>
      <c r="C5286" s="5" t="s">
        <v>292</v>
      </c>
      <c r="E5286" s="5" t="s">
        <v>34588</v>
      </c>
      <c r="F5286" s="5" t="s">
        <v>72</v>
      </c>
      <c r="G5286" s="5" t="s">
        <v>34589</v>
      </c>
      <c r="H5286" s="6" t="s">
        <v>34590</v>
      </c>
      <c r="K5286" s="5" t="s">
        <v>34591</v>
      </c>
      <c r="M5286" s="5" t="s">
        <v>34592</v>
      </c>
      <c r="N5286" s="7" t="s">
        <v>34593</v>
      </c>
      <c r="O5286" s="8" t="str">
        <f>HYPERLINK("https://drive.google.com/file/d/1nquKOugk_wY8xHqi-C9-FMFzcHPh-ir4/view?usp=drivesdk","5285_TRI MANTO, S.Kom., M.M. _ SERTIFIKAT BerAKHLAK")</f>
        <v>5285_TRI MANTO, S.Kom., M.M. _ SERTIFIKAT BerAKHLAK</v>
      </c>
      <c r="P5286" s="5" t="s">
        <v>34594</v>
      </c>
    </row>
    <row r="5287">
      <c r="A5287" s="4">
        <v>45534.3583653588</v>
      </c>
      <c r="B5287" s="5" t="s">
        <v>34</v>
      </c>
      <c r="D5287" s="5" t="s">
        <v>11913</v>
      </c>
      <c r="E5287" s="5" t="s">
        <v>34595</v>
      </c>
      <c r="F5287" s="5" t="s">
        <v>72</v>
      </c>
      <c r="G5287" s="5" t="s">
        <v>34596</v>
      </c>
      <c r="H5287" s="6" t="s">
        <v>34597</v>
      </c>
      <c r="K5287" s="5" t="s">
        <v>34598</v>
      </c>
      <c r="M5287" s="5" t="s">
        <v>34599</v>
      </c>
      <c r="N5287" s="7" t="s">
        <v>34600</v>
      </c>
      <c r="O5287" s="8" t="str">
        <f>HYPERLINK("https://drive.google.com/file/d/1gfdzi32joJRsi_7p4Urg3n2T4AiXM1Ia/view?usp=drivesdk","5286_dr. MARIETA STEFANY ELIM  _ SERTIFIKAT BerAKHLAK")</f>
        <v>5286_dr. MARIETA STEFANY ELIM  _ SERTIFIKAT BerAKHLAK</v>
      </c>
      <c r="P5287" s="5" t="s">
        <v>34594</v>
      </c>
    </row>
    <row r="5288">
      <c r="A5288" s="4">
        <v>45534.35836974537</v>
      </c>
      <c r="B5288" s="5" t="s">
        <v>34</v>
      </c>
      <c r="D5288" s="5" t="s">
        <v>1206</v>
      </c>
      <c r="E5288" s="5" t="s">
        <v>34601</v>
      </c>
      <c r="F5288" s="5" t="s">
        <v>524</v>
      </c>
      <c r="G5288" s="5" t="s">
        <v>34602</v>
      </c>
      <c r="H5288" s="6" t="s">
        <v>34603</v>
      </c>
      <c r="K5288" s="5" t="s">
        <v>34598</v>
      </c>
      <c r="M5288" s="5" t="s">
        <v>34604</v>
      </c>
      <c r="N5288" s="7" t="s">
        <v>34605</v>
      </c>
      <c r="O5288" s="8" t="str">
        <f>HYPERLINK("https://drive.google.com/file/d/1_qgafNw3ePZH6ELFxPwvKcfT6dZ6-VE1/view?usp=drivesdk","5287_VIVI RAVIQA ASTANTI _ SERTIFIKAT BerAKHLAK")</f>
        <v>5287_VIVI RAVIQA ASTANTI _ SERTIFIKAT BerAKHLAK</v>
      </c>
      <c r="P5288" s="5" t="s">
        <v>34594</v>
      </c>
    </row>
    <row r="5289">
      <c r="A5289" s="4">
        <v>45534.35837153935</v>
      </c>
      <c r="B5289" s="5" t="s">
        <v>34</v>
      </c>
      <c r="D5289" s="5" t="s">
        <v>1692</v>
      </c>
      <c r="E5289" s="5" t="s">
        <v>34606</v>
      </c>
      <c r="F5289" s="5" t="s">
        <v>212</v>
      </c>
      <c r="G5289" s="5" t="s">
        <v>34607</v>
      </c>
      <c r="H5289" s="6" t="s">
        <v>34608</v>
      </c>
      <c r="K5289" s="5" t="s">
        <v>34598</v>
      </c>
      <c r="M5289" s="5" t="s">
        <v>34609</v>
      </c>
      <c r="N5289" s="7" t="s">
        <v>34610</v>
      </c>
      <c r="O5289" s="8" t="str">
        <f>HYPERLINK("https://drive.google.com/file/d/11ThW5omk2T_dvk2ixPp1QPxI0n7DsYTb/view?usp=drivesdk","5288_SIN SUAILO _ SERTIFIKAT BerAKHLAK")</f>
        <v>5288_SIN SUAILO _ SERTIFIKAT BerAKHLAK</v>
      </c>
      <c r="P5289" s="5" t="s">
        <v>34594</v>
      </c>
    </row>
    <row r="5290">
      <c r="A5290" s="4">
        <v>45534.35839001158</v>
      </c>
      <c r="B5290" s="5" t="s">
        <v>34</v>
      </c>
      <c r="D5290" s="5" t="s">
        <v>1206</v>
      </c>
      <c r="E5290" s="5" t="s">
        <v>34611</v>
      </c>
      <c r="F5290" s="5" t="s">
        <v>375</v>
      </c>
      <c r="G5290" s="5" t="s">
        <v>34612</v>
      </c>
      <c r="H5290" s="6" t="s">
        <v>34613</v>
      </c>
      <c r="K5290" s="5" t="s">
        <v>34598</v>
      </c>
      <c r="M5290" s="5" t="s">
        <v>34614</v>
      </c>
      <c r="N5290" s="7" t="s">
        <v>34615</v>
      </c>
      <c r="O5290" s="8" t="str">
        <f>HYPERLINK("https://drive.google.com/file/d/1KpdnlOybf6zU0nCrXk60Hrc6BjclhY76/view?usp=drivesdk","5289_INDAH WAHYUNINGSIH, S. K. M.  _ SERTIFIKAT BerAKHLAK")</f>
        <v>5289_INDAH WAHYUNINGSIH, S. K. M.  _ SERTIFIKAT BerAKHLAK</v>
      </c>
      <c r="P5290" s="5" t="s">
        <v>34594</v>
      </c>
    </row>
    <row r="5291">
      <c r="A5291" s="4">
        <v>45534.35839177083</v>
      </c>
      <c r="B5291" s="5" t="s">
        <v>34</v>
      </c>
      <c r="D5291" s="5" t="s">
        <v>14424</v>
      </c>
      <c r="E5291" s="5" t="s">
        <v>34616</v>
      </c>
      <c r="F5291" s="5" t="s">
        <v>108</v>
      </c>
      <c r="G5291" s="5" t="s">
        <v>34617</v>
      </c>
      <c r="H5291" s="6" t="s">
        <v>34618</v>
      </c>
      <c r="K5291" s="5" t="s">
        <v>34598</v>
      </c>
      <c r="M5291" s="5" t="s">
        <v>34619</v>
      </c>
      <c r="N5291" s="7" t="s">
        <v>34620</v>
      </c>
      <c r="O5291" s="8" t="str">
        <f>HYPERLINK("https://drive.google.com/file/d/1m3kCLKC_YMxVH585nS_F6dUFue627yil/view?usp=drivesdk","5290_RANTO RANTO _ SERTIFIKAT BerAKHLAK")</f>
        <v>5290_RANTO RANTO _ SERTIFIKAT BerAKHLAK</v>
      </c>
      <c r="P5291" s="5" t="s">
        <v>34621</v>
      </c>
    </row>
    <row r="5292">
      <c r="A5292" s="4">
        <v>45534.35839728009</v>
      </c>
      <c r="B5292" s="5" t="s">
        <v>34</v>
      </c>
      <c r="D5292" s="5" t="s">
        <v>3849</v>
      </c>
      <c r="E5292" s="5" t="s">
        <v>34622</v>
      </c>
      <c r="F5292" s="5" t="s">
        <v>37</v>
      </c>
      <c r="G5292" s="5" t="s">
        <v>34623</v>
      </c>
      <c r="H5292" s="6" t="s">
        <v>34624</v>
      </c>
      <c r="K5292" s="5" t="s">
        <v>34598</v>
      </c>
      <c r="M5292" s="5" t="s">
        <v>34625</v>
      </c>
      <c r="N5292" s="7" t="s">
        <v>34626</v>
      </c>
      <c r="O5292" s="8" t="str">
        <f>HYPERLINK("https://drive.google.com/file/d/1ECjJTm8Y2x9RQ-5Ek31GqAb8gS93Hu9G/view?usp=drivesdk","5291_AZHARI YOGA SAPUTRA, A.Md. _ SERTIFIKAT BerAKHLAK")</f>
        <v>5291_AZHARI YOGA SAPUTRA, A.Md. _ SERTIFIKAT BerAKHLAK</v>
      </c>
      <c r="P5292" s="5" t="s">
        <v>34621</v>
      </c>
    </row>
    <row r="5293">
      <c r="A5293" s="4">
        <v>45534.3584187963</v>
      </c>
      <c r="B5293" s="5" t="s">
        <v>34</v>
      </c>
      <c r="D5293" s="5" t="s">
        <v>14424</v>
      </c>
      <c r="E5293" s="5" t="s">
        <v>34627</v>
      </c>
      <c r="F5293" s="5" t="s">
        <v>212</v>
      </c>
      <c r="G5293" s="5" t="s">
        <v>34628</v>
      </c>
      <c r="H5293" s="6" t="s">
        <v>34629</v>
      </c>
      <c r="K5293" s="5" t="s">
        <v>34598</v>
      </c>
      <c r="M5293" s="5" t="s">
        <v>34630</v>
      </c>
      <c r="N5293" s="7" t="s">
        <v>34631</v>
      </c>
      <c r="O5293" s="8" t="str">
        <f>HYPERLINK("https://drive.google.com/file/d/16R0mezSUQcfueip6R0K21RiIpCW1vLuc/view?usp=drivesdk","5292_ANISAH AMD keb _ SERTIFIKAT BerAKHLAK")</f>
        <v>5292_ANISAH AMD keb _ SERTIFIKAT BerAKHLAK</v>
      </c>
      <c r="P5293" s="5" t="s">
        <v>34621</v>
      </c>
    </row>
    <row r="5294">
      <c r="A5294" s="4">
        <v>45534.35843883102</v>
      </c>
      <c r="B5294" s="5" t="s">
        <v>34</v>
      </c>
      <c r="D5294" s="5" t="s">
        <v>12978</v>
      </c>
      <c r="E5294" s="5" t="s">
        <v>34632</v>
      </c>
      <c r="F5294" s="5" t="s">
        <v>212</v>
      </c>
      <c r="G5294" s="5" t="s">
        <v>34633</v>
      </c>
      <c r="H5294" s="6" t="s">
        <v>34634</v>
      </c>
      <c r="K5294" s="5" t="s">
        <v>34635</v>
      </c>
      <c r="M5294" s="5" t="s">
        <v>34636</v>
      </c>
      <c r="N5294" s="7" t="s">
        <v>34637</v>
      </c>
      <c r="O5294" s="8" t="str">
        <f>HYPERLINK("https://drive.google.com/file/d/1CkWIZfpbQBfM2IGQnJ_tmthTvqCjXmKB/view?usp=drivesdk","5293_RIDHA WAHYUNI, A.Md.Kep _ SERTIFIKAT BerAKHLAK")</f>
        <v>5293_RIDHA WAHYUNI, A.Md.Kep _ SERTIFIKAT BerAKHLAK</v>
      </c>
      <c r="P5294" s="5" t="s">
        <v>34621</v>
      </c>
    </row>
    <row r="5295">
      <c r="A5295" s="4">
        <v>45534.358441585646</v>
      </c>
      <c r="B5295" s="5" t="s">
        <v>34</v>
      </c>
      <c r="D5295" s="5" t="s">
        <v>4775</v>
      </c>
      <c r="E5295" s="5" t="s">
        <v>34638</v>
      </c>
      <c r="F5295" s="5" t="s">
        <v>212</v>
      </c>
      <c r="G5295" s="5" t="s">
        <v>34639</v>
      </c>
      <c r="H5295" s="6" t="s">
        <v>34640</v>
      </c>
      <c r="K5295" s="5" t="s">
        <v>34635</v>
      </c>
      <c r="M5295" s="5" t="s">
        <v>34641</v>
      </c>
      <c r="N5295" s="7" t="s">
        <v>34642</v>
      </c>
      <c r="O5295" s="8" t="str">
        <f>HYPERLINK("https://drive.google.com/file/d/1ePBEDQP_RG__dBBQo7r0lI2zm3G3XRe5/view?usp=drivesdk","5294_TUGIYO _ SERTIFIKAT BerAKHLAK")</f>
        <v>5294_TUGIYO _ SERTIFIKAT BerAKHLAK</v>
      </c>
      <c r="P5295" s="5" t="s">
        <v>34643</v>
      </c>
    </row>
    <row r="5296">
      <c r="A5296" s="4">
        <v>45534.35846263889</v>
      </c>
      <c r="B5296" s="5" t="s">
        <v>34</v>
      </c>
      <c r="D5296" s="5" t="s">
        <v>1206</v>
      </c>
      <c r="E5296" s="5" t="s">
        <v>34644</v>
      </c>
      <c r="F5296" s="5" t="s">
        <v>212</v>
      </c>
      <c r="G5296" s="5" t="s">
        <v>34645</v>
      </c>
      <c r="H5296" s="6" t="s">
        <v>34646</v>
      </c>
      <c r="K5296" s="5" t="s">
        <v>34647</v>
      </c>
      <c r="M5296" s="5" t="s">
        <v>34648</v>
      </c>
      <c r="N5296" s="7" t="s">
        <v>34649</v>
      </c>
      <c r="O5296" s="8" t="str">
        <f>HYPERLINK("https://drive.google.com/file/d/1WtgsdUGjS76JkP0tnSFtpQ4rdmGYcKDZ/view?usp=drivesdk","5295_MENIK SRI RAHAYUNINGSIH _ SERTIFIKAT BerAKHLAK")</f>
        <v>5295_MENIK SRI RAHAYUNINGSIH _ SERTIFIKAT BerAKHLAK</v>
      </c>
      <c r="P5296" s="5" t="s">
        <v>34643</v>
      </c>
    </row>
    <row r="5297">
      <c r="A5297" s="4">
        <v>45534.35846877315</v>
      </c>
      <c r="B5297" s="5" t="s">
        <v>34</v>
      </c>
      <c r="D5297" s="5" t="s">
        <v>1558</v>
      </c>
      <c r="E5297" s="5" t="s">
        <v>34650</v>
      </c>
      <c r="F5297" s="5" t="s">
        <v>375</v>
      </c>
      <c r="G5297" s="5" t="s">
        <v>34651</v>
      </c>
      <c r="H5297" s="6" t="s">
        <v>34652</v>
      </c>
      <c r="K5297" s="5" t="s">
        <v>34647</v>
      </c>
      <c r="M5297" s="5" t="s">
        <v>34653</v>
      </c>
      <c r="N5297" s="7" t="s">
        <v>34654</v>
      </c>
      <c r="O5297" s="8" t="str">
        <f>HYPERLINK("https://drive.google.com/file/d/1487ZXCYQ6Ma98KG1_cSYOAxH6JYAcHih/view?usp=drivesdk","5296_ZULFA MARDIAH, S.E. _ SERTIFIKAT BerAKHLAK")</f>
        <v>5296_ZULFA MARDIAH, S.E. _ SERTIFIKAT BerAKHLAK</v>
      </c>
      <c r="P5297" s="5" t="s">
        <v>34643</v>
      </c>
    </row>
    <row r="5298">
      <c r="A5298" s="4">
        <v>45534.358473472224</v>
      </c>
      <c r="B5298" s="5" t="s">
        <v>34</v>
      </c>
      <c r="D5298" s="5" t="s">
        <v>1206</v>
      </c>
      <c r="E5298" s="5" t="s">
        <v>34655</v>
      </c>
      <c r="F5298" s="5" t="s">
        <v>524</v>
      </c>
      <c r="G5298" s="5" t="s">
        <v>34656</v>
      </c>
      <c r="H5298" s="6" t="s">
        <v>34657</v>
      </c>
      <c r="K5298" s="5" t="s">
        <v>34647</v>
      </c>
      <c r="M5298" s="5" t="s">
        <v>34658</v>
      </c>
      <c r="N5298" s="7" t="s">
        <v>34659</v>
      </c>
      <c r="O5298" s="8" t="str">
        <f>HYPERLINK("https://drive.google.com/file/d/1zF5s09HmnAAM_bcvKeeRlHACEPeLIxXB/view?usp=drivesdk","5297_LILIS WIJAYANTI Skep.Ners _ SERTIFIKAT BerAKHLAK")</f>
        <v>5297_LILIS WIJAYANTI Skep.Ners _ SERTIFIKAT BerAKHLAK</v>
      </c>
      <c r="P5298" s="5" t="s">
        <v>34643</v>
      </c>
    </row>
    <row r="5299">
      <c r="A5299" s="4">
        <v>45534.35848278935</v>
      </c>
      <c r="B5299" s="5" t="s">
        <v>34</v>
      </c>
      <c r="D5299" s="5" t="s">
        <v>14424</v>
      </c>
      <c r="E5299" s="5" t="s">
        <v>34660</v>
      </c>
      <c r="F5299" s="5" t="s">
        <v>524</v>
      </c>
      <c r="G5299" s="5" t="s">
        <v>34661</v>
      </c>
      <c r="H5299" s="6" t="s">
        <v>34662</v>
      </c>
      <c r="K5299" s="5" t="s">
        <v>34647</v>
      </c>
      <c r="M5299" s="5" t="s">
        <v>34663</v>
      </c>
      <c r="N5299" s="7" t="s">
        <v>34664</v>
      </c>
      <c r="O5299" s="8" t="str">
        <f>HYPERLINK("https://drive.google.com/file/d/1qdYotW4NPoSBpRU3fX1Eb7x171rm4QMC/view?usp=drivesdk","5298_LYLA SARI, S.Farm _ SERTIFIKAT BerAKHLAK")</f>
        <v>5298_LYLA SARI, S.Farm _ SERTIFIKAT BerAKHLAK</v>
      </c>
      <c r="P5299" s="5" t="s">
        <v>34643</v>
      </c>
    </row>
    <row r="5300">
      <c r="A5300" s="4">
        <v>45534.35849313658</v>
      </c>
      <c r="B5300" s="5" t="s">
        <v>34</v>
      </c>
      <c r="D5300" s="5" t="s">
        <v>522</v>
      </c>
      <c r="E5300" s="5" t="s">
        <v>34665</v>
      </c>
      <c r="F5300" s="5" t="s">
        <v>212</v>
      </c>
      <c r="G5300" s="5" t="s">
        <v>34666</v>
      </c>
      <c r="H5300" s="6" t="s">
        <v>34667</v>
      </c>
      <c r="K5300" s="5" t="s">
        <v>34647</v>
      </c>
      <c r="M5300" s="5" t="s">
        <v>34668</v>
      </c>
      <c r="N5300" s="7" t="s">
        <v>34669</v>
      </c>
      <c r="O5300" s="8" t="str">
        <f>HYPERLINK("https://drive.google.com/file/d/1d8KcYmIZgdRXIbe5ckbW2gx9q9mqyJa_/view?usp=drivesdk","5299_MASKUR _ SERTIFIKAT BerAKHLAK")</f>
        <v>5299_MASKUR _ SERTIFIKAT BerAKHLAK</v>
      </c>
      <c r="P5300" s="5" t="s">
        <v>34643</v>
      </c>
    </row>
    <row r="5301">
      <c r="A5301" s="4">
        <v>45534.35849268518</v>
      </c>
      <c r="B5301" s="5" t="s">
        <v>34</v>
      </c>
      <c r="D5301" s="5" t="s">
        <v>1558</v>
      </c>
      <c r="E5301" s="5" t="s">
        <v>34670</v>
      </c>
      <c r="F5301" s="5" t="s">
        <v>108</v>
      </c>
      <c r="G5301" s="5" t="s">
        <v>34671</v>
      </c>
      <c r="H5301" s="6" t="s">
        <v>34672</v>
      </c>
      <c r="K5301" s="5" t="s">
        <v>34647</v>
      </c>
      <c r="M5301" s="5" t="s">
        <v>34673</v>
      </c>
      <c r="N5301" s="7" t="s">
        <v>34674</v>
      </c>
      <c r="O5301" s="8" t="str">
        <f>HYPERLINK("https://drive.google.com/file/d/1n1XpXYfiumCcr7QNrNAH05XSSx8ehfrM/view?usp=drivesdk","5300_KARSIMIN _ SERTIFIKAT BerAKHLAK")</f>
        <v>5300_KARSIMIN _ SERTIFIKAT BerAKHLAK</v>
      </c>
      <c r="P5301" s="5" t="s">
        <v>34675</v>
      </c>
    </row>
    <row r="5302">
      <c r="A5302" s="4">
        <v>45534.35850199074</v>
      </c>
      <c r="B5302" s="5" t="s">
        <v>34</v>
      </c>
      <c r="D5302" s="5" t="s">
        <v>4775</v>
      </c>
      <c r="E5302" s="5" t="s">
        <v>34676</v>
      </c>
      <c r="F5302" s="5" t="s">
        <v>37</v>
      </c>
      <c r="G5302" s="5" t="s">
        <v>34677</v>
      </c>
      <c r="H5302" s="6" t="s">
        <v>34678</v>
      </c>
      <c r="K5302" s="5" t="s">
        <v>34647</v>
      </c>
      <c r="M5302" s="5" t="s">
        <v>34679</v>
      </c>
      <c r="N5302" s="7" t="s">
        <v>34680</v>
      </c>
      <c r="O5302" s="8" t="str">
        <f>HYPERLINK("https://drive.google.com/file/d/1VIsbNG6FsleYLhUyJPovF9kFSat1Xw51/view?usp=drivesdk","5301_PRIYO SUGENG RIYADI  _ SERTIFIKAT BerAKHLAK")</f>
        <v>5301_PRIYO SUGENG RIYADI  _ SERTIFIKAT BerAKHLAK</v>
      </c>
      <c r="P5302" s="5" t="s">
        <v>34675</v>
      </c>
    </row>
    <row r="5303">
      <c r="A5303" s="4">
        <v>45534.358502083334</v>
      </c>
      <c r="B5303" s="5" t="s">
        <v>34</v>
      </c>
      <c r="D5303" s="5" t="s">
        <v>7858</v>
      </c>
      <c r="E5303" s="5" t="s">
        <v>34681</v>
      </c>
      <c r="F5303" s="5" t="s">
        <v>72</v>
      </c>
      <c r="G5303" s="5" t="s">
        <v>34682</v>
      </c>
      <c r="H5303" s="6" t="s">
        <v>34683</v>
      </c>
      <c r="K5303" s="5" t="s">
        <v>34647</v>
      </c>
      <c r="M5303" s="5" t="s">
        <v>34684</v>
      </c>
      <c r="N5303" s="7" t="s">
        <v>34685</v>
      </c>
      <c r="O5303" s="8" t="str">
        <f>HYPERLINK("https://drive.google.com/file/d/1twd_3Kagax3qqKDlWbqELnFffOWf6aL9/view?usp=drivesdk","5302_SUKILAN _ SERTIFIKAT BerAKHLAK")</f>
        <v>5302_SUKILAN _ SERTIFIKAT BerAKHLAK</v>
      </c>
      <c r="P5303" s="5" t="s">
        <v>34675</v>
      </c>
    </row>
    <row r="5304">
      <c r="A5304" s="4">
        <v>45534.35850637731</v>
      </c>
      <c r="B5304" s="5" t="s">
        <v>34</v>
      </c>
      <c r="D5304" s="5" t="s">
        <v>9394</v>
      </c>
      <c r="E5304" s="5" t="s">
        <v>34686</v>
      </c>
      <c r="F5304" s="5" t="s">
        <v>72</v>
      </c>
      <c r="G5304" s="5" t="s">
        <v>34687</v>
      </c>
      <c r="H5304" s="6" t="s">
        <v>34688</v>
      </c>
      <c r="K5304" s="5" t="s">
        <v>34647</v>
      </c>
      <c r="M5304" s="5" t="s">
        <v>34689</v>
      </c>
      <c r="N5304" s="7" t="s">
        <v>34690</v>
      </c>
      <c r="O5304" s="8" t="str">
        <f>HYPERLINK("https://drive.google.com/file/d/1yQkktw0u8C86O36QTdEKTDspBP7Q4Viw/view?usp=drivesdk","5303_SUARNI, S.E _ SERTIFIKAT BerAKHLAK")</f>
        <v>5303_SUARNI, S.E _ SERTIFIKAT BerAKHLAK</v>
      </c>
      <c r="P5304" s="5" t="s">
        <v>34675</v>
      </c>
    </row>
    <row r="5305">
      <c r="A5305" s="4">
        <v>45534.35854356481</v>
      </c>
      <c r="B5305" s="5" t="s">
        <v>34</v>
      </c>
      <c r="D5305" s="5" t="s">
        <v>1206</v>
      </c>
      <c r="E5305" s="5" t="s">
        <v>34691</v>
      </c>
      <c r="F5305" s="5" t="s">
        <v>37</v>
      </c>
      <c r="G5305" s="5" t="s">
        <v>34692</v>
      </c>
      <c r="H5305" s="6" t="s">
        <v>34693</v>
      </c>
      <c r="K5305" s="5" t="s">
        <v>34647</v>
      </c>
      <c r="M5305" s="5" t="s">
        <v>34694</v>
      </c>
      <c r="N5305" s="7" t="s">
        <v>34695</v>
      </c>
      <c r="O5305" s="8" t="str">
        <f>HYPERLINK("https://drive.google.com/file/d/1dQnN58_AAXxBs0y3uh-zKIpG4xdaN8T7/view?usp=drivesdk","5304_DIYAH SUPARMININGSIH _ SERTIFIKAT BerAKHLAK")</f>
        <v>5304_DIYAH SUPARMININGSIH _ SERTIFIKAT BerAKHLAK</v>
      </c>
      <c r="P5305" s="5" t="s">
        <v>34675</v>
      </c>
    </row>
    <row r="5306">
      <c r="A5306" s="4">
        <v>45534.358558935186</v>
      </c>
      <c r="B5306" s="5" t="s">
        <v>34</v>
      </c>
      <c r="D5306" s="5" t="s">
        <v>4775</v>
      </c>
      <c r="E5306" s="5" t="s">
        <v>34696</v>
      </c>
      <c r="F5306" s="5" t="s">
        <v>212</v>
      </c>
      <c r="G5306" s="5" t="s">
        <v>34697</v>
      </c>
      <c r="H5306" s="6" t="s">
        <v>34698</v>
      </c>
      <c r="K5306" s="5" t="s">
        <v>34647</v>
      </c>
      <c r="M5306" s="5" t="s">
        <v>34699</v>
      </c>
      <c r="N5306" s="7" t="s">
        <v>34700</v>
      </c>
      <c r="O5306" s="8" t="str">
        <f>HYPERLINK("https://drive.google.com/file/d/1saZu24roTU0g7UKgurj29wymHW9vfv1R/view?usp=drivesdk","5305_DIANA RIA UTAMI _ SERTIFIKAT BerAKHLAK")</f>
        <v>5305_DIANA RIA UTAMI _ SERTIFIKAT BerAKHLAK</v>
      </c>
      <c r="P5306" s="5" t="s">
        <v>34701</v>
      </c>
    </row>
    <row r="5307">
      <c r="A5307" s="4">
        <v>45534.35856366898</v>
      </c>
      <c r="B5307" s="5" t="s">
        <v>34</v>
      </c>
      <c r="D5307" s="5" t="s">
        <v>1558</v>
      </c>
      <c r="E5307" s="5" t="s">
        <v>34702</v>
      </c>
      <c r="F5307" s="5" t="s">
        <v>375</v>
      </c>
      <c r="G5307" s="5" t="s">
        <v>34703</v>
      </c>
      <c r="H5307" s="6" t="s">
        <v>34704</v>
      </c>
      <c r="K5307" s="5" t="s">
        <v>34647</v>
      </c>
      <c r="M5307" s="5" t="s">
        <v>34705</v>
      </c>
      <c r="N5307" s="7" t="s">
        <v>34706</v>
      </c>
      <c r="O5307" s="8" t="str">
        <f>HYPERLINK("https://drive.google.com/file/d/1HNY0g8s6UC-1vNJJKfWOTmyzbVgwZtJ9/view?usp=drivesdk","5306_RETNO SULISTYONINGTYAS WIDYARINI, S. Psi _ SERTIFIKAT BerAKHLAK")</f>
        <v>5306_RETNO SULISTYONINGTYAS WIDYARINI, S. Psi _ SERTIFIKAT BerAKHLAK</v>
      </c>
      <c r="P5307" s="5" t="s">
        <v>34701</v>
      </c>
    </row>
    <row r="5308">
      <c r="A5308" s="4">
        <v>45534.35856918982</v>
      </c>
      <c r="B5308" s="5" t="s">
        <v>34</v>
      </c>
      <c r="D5308" s="5" t="s">
        <v>14424</v>
      </c>
      <c r="E5308" s="5" t="s">
        <v>34707</v>
      </c>
      <c r="F5308" s="5" t="s">
        <v>212</v>
      </c>
      <c r="G5308" s="5" t="s">
        <v>34708</v>
      </c>
      <c r="H5308" s="6" t="s">
        <v>34709</v>
      </c>
      <c r="K5308" s="5" t="s">
        <v>34647</v>
      </c>
      <c r="M5308" s="5" t="s">
        <v>34710</v>
      </c>
      <c r="N5308" s="7" t="s">
        <v>34711</v>
      </c>
      <c r="O5308" s="8" t="str">
        <f>HYPERLINK("https://drive.google.com/file/d/1liYBVa1wXAgKNDUYmyseq8TRktPcwkKY/view?usp=drivesdk","5307_Cut Siti hajar AMD,keb _ SERTIFIKAT BerAKHLAK")</f>
        <v>5307_Cut Siti hajar AMD,keb _ SERTIFIKAT BerAKHLAK</v>
      </c>
      <c r="P5308" s="5" t="s">
        <v>34701</v>
      </c>
    </row>
    <row r="5309" hidden="1">
      <c r="A5309" s="4">
        <v>45534.358572199075</v>
      </c>
      <c r="B5309" s="5" t="s">
        <v>19</v>
      </c>
      <c r="C5309" s="5" t="s">
        <v>3301</v>
      </c>
      <c r="E5309" s="5" t="s">
        <v>34712</v>
      </c>
      <c r="F5309" s="5" t="s">
        <v>72</v>
      </c>
      <c r="G5309" s="5" t="s">
        <v>34713</v>
      </c>
      <c r="H5309" s="6" t="s">
        <v>34714</v>
      </c>
      <c r="K5309" s="5" t="s">
        <v>34715</v>
      </c>
      <c r="M5309" s="5" t="s">
        <v>34716</v>
      </c>
      <c r="N5309" s="7" t="s">
        <v>34717</v>
      </c>
      <c r="O5309" s="8" t="str">
        <f>HYPERLINK("https://drive.google.com/file/d/174Oh29cDQb1ngpIMyOuam6iMXzFbHNAW/view?usp=drivesdk","5308_FRISKA MARTALENA _ SERTIFIKAT BerAKHLAK")</f>
        <v>5308_FRISKA MARTALENA _ SERTIFIKAT BerAKHLAK</v>
      </c>
      <c r="P5309" s="5" t="s">
        <v>34701</v>
      </c>
    </row>
    <row r="5310" hidden="1">
      <c r="A5310" s="4">
        <v>45534.3585734838</v>
      </c>
      <c r="B5310" s="5" t="s">
        <v>19</v>
      </c>
      <c r="C5310" s="5" t="s">
        <v>5058</v>
      </c>
      <c r="E5310" s="5" t="s">
        <v>34718</v>
      </c>
      <c r="F5310" s="5" t="s">
        <v>108</v>
      </c>
      <c r="G5310" s="5" t="s">
        <v>34719</v>
      </c>
      <c r="H5310" s="6" t="s">
        <v>34720</v>
      </c>
      <c r="K5310" s="5" t="s">
        <v>34715</v>
      </c>
      <c r="M5310" s="5" t="s">
        <v>34721</v>
      </c>
      <c r="N5310" s="7" t="s">
        <v>34722</v>
      </c>
      <c r="O5310" s="8" t="str">
        <f>HYPERLINK("https://drive.google.com/file/d/1bWsJ9SHoX84oEUpm_2R3p9kjQ-0BF_nF/view?usp=drivesdk","5309_ANIS ACHDIATI _ SERTIFIKAT BerAKHLAK")</f>
        <v>5309_ANIS ACHDIATI _ SERTIFIKAT BerAKHLAK</v>
      </c>
      <c r="P5310" s="5" t="s">
        <v>34701</v>
      </c>
    </row>
    <row r="5311">
      <c r="A5311" s="4">
        <v>45534.35858259259</v>
      </c>
      <c r="B5311" s="5" t="s">
        <v>34</v>
      </c>
      <c r="D5311" s="5" t="s">
        <v>7858</v>
      </c>
      <c r="E5311" s="7" t="s">
        <v>34723</v>
      </c>
      <c r="F5311" s="5" t="s">
        <v>72</v>
      </c>
      <c r="G5311" s="5" t="s">
        <v>34724</v>
      </c>
      <c r="H5311" s="6" t="s">
        <v>34725</v>
      </c>
      <c r="K5311" s="5" t="s">
        <v>34715</v>
      </c>
      <c r="M5311" s="5" t="s">
        <v>34726</v>
      </c>
      <c r="N5311" s="7" t="s">
        <v>34727</v>
      </c>
      <c r="O5311" s="8" t="str">
        <f>HYPERLINK("https://drive.google.com/file/d/1vKyKpB35CnYWH_yAJuVChHjzB1mRG1Ng/view?usp=drivesdk","5310_NOVITA.S.Si _ SERTIFIKAT BerAKHLAK")</f>
        <v>5310_NOVITA.S.Si _ SERTIFIKAT BerAKHLAK</v>
      </c>
      <c r="P5311" s="5" t="s">
        <v>34701</v>
      </c>
    </row>
    <row r="5312">
      <c r="A5312" s="4">
        <v>45534.358598680556</v>
      </c>
      <c r="B5312" s="5" t="s">
        <v>34</v>
      </c>
      <c r="D5312" s="5" t="s">
        <v>280</v>
      </c>
      <c r="E5312" s="5" t="s">
        <v>34728</v>
      </c>
      <c r="F5312" s="5" t="s">
        <v>37</v>
      </c>
      <c r="G5312" s="5" t="s">
        <v>34729</v>
      </c>
      <c r="H5312" s="6" t="s">
        <v>34730</v>
      </c>
      <c r="K5312" s="5" t="s">
        <v>34715</v>
      </c>
      <c r="M5312" s="5" t="s">
        <v>34731</v>
      </c>
      <c r="N5312" s="7" t="s">
        <v>34732</v>
      </c>
      <c r="O5312" s="8" t="str">
        <f>HYPERLINK("https://drive.google.com/file/d/1ToEq5soXUR04_Iwn5jPozZGIupWa2tKR/view?usp=drivesdk","5311_DEBORA WINA CHRISTIN LIMBONG _ SERTIFIKAT BerAKHLAK")</f>
        <v>5311_DEBORA WINA CHRISTIN LIMBONG _ SERTIFIKAT BerAKHLAK</v>
      </c>
      <c r="P5312" s="5" t="s">
        <v>34733</v>
      </c>
    </row>
    <row r="5313">
      <c r="A5313" s="4">
        <v>45534.3586027662</v>
      </c>
      <c r="B5313" s="5" t="s">
        <v>34</v>
      </c>
      <c r="D5313" s="5" t="s">
        <v>1206</v>
      </c>
      <c r="E5313" s="5" t="s">
        <v>34734</v>
      </c>
      <c r="F5313" s="5" t="s">
        <v>212</v>
      </c>
      <c r="G5313" s="5" t="s">
        <v>34735</v>
      </c>
      <c r="H5313" s="6" t="s">
        <v>34736</v>
      </c>
      <c r="K5313" s="5" t="s">
        <v>34715</v>
      </c>
      <c r="M5313" s="5" t="s">
        <v>34737</v>
      </c>
      <c r="N5313" s="7" t="s">
        <v>34738</v>
      </c>
      <c r="O5313" s="8" t="str">
        <f>HYPERLINK("https://drive.google.com/file/d/1y286l_BFQMgWdeCBBkOBE17j-hWHSreX/view?usp=drivesdk","5312_TEGUH SUDJATMIKO _ SERTIFIKAT BerAKHLAK")</f>
        <v>5312_TEGUH SUDJATMIKO _ SERTIFIKAT BerAKHLAK</v>
      </c>
      <c r="P5313" s="5" t="s">
        <v>34733</v>
      </c>
    </row>
    <row r="5314">
      <c r="A5314" s="4">
        <v>45534.358608738425</v>
      </c>
      <c r="B5314" s="5" t="s">
        <v>34</v>
      </c>
      <c r="D5314" s="5" t="s">
        <v>9020</v>
      </c>
      <c r="E5314" s="5" t="s">
        <v>34739</v>
      </c>
      <c r="F5314" s="5" t="s">
        <v>212</v>
      </c>
      <c r="G5314" s="5" t="s">
        <v>34740</v>
      </c>
      <c r="H5314" s="6" t="s">
        <v>34741</v>
      </c>
      <c r="K5314" s="5" t="s">
        <v>34715</v>
      </c>
      <c r="M5314" s="5" t="s">
        <v>34742</v>
      </c>
      <c r="N5314" s="7" t="s">
        <v>34743</v>
      </c>
      <c r="O5314" s="8" t="str">
        <f>HYPERLINK("https://drive.google.com/file/d/1BLNdxVgwbrIWnveIrNdN2Q6wBJXmqPWJ/view?usp=drivesdk","5313_FITRI JUITA SINAGA _ SERTIFIKAT BerAKHLAK")</f>
        <v>5313_FITRI JUITA SINAGA _ SERTIFIKAT BerAKHLAK</v>
      </c>
      <c r="P5314" s="5" t="s">
        <v>34733</v>
      </c>
    </row>
    <row r="5315">
      <c r="A5315" s="4">
        <v>45534.358613749995</v>
      </c>
      <c r="B5315" s="5" t="s">
        <v>34</v>
      </c>
      <c r="D5315" s="5" t="s">
        <v>4775</v>
      </c>
      <c r="E5315" s="5" t="s">
        <v>34744</v>
      </c>
      <c r="F5315" s="5" t="s">
        <v>72</v>
      </c>
      <c r="G5315" s="5" t="s">
        <v>34745</v>
      </c>
      <c r="H5315" s="6" t="s">
        <v>34746</v>
      </c>
      <c r="K5315" s="5" t="s">
        <v>34715</v>
      </c>
      <c r="M5315" s="5" t="s">
        <v>34747</v>
      </c>
      <c r="N5315" s="7" t="s">
        <v>34748</v>
      </c>
      <c r="O5315" s="8" t="str">
        <f>HYPERLINK("https://drive.google.com/file/d/13s1QX0OGPkUdCgH6Jdos0BE13bPJyMCx/view?usp=drivesdk","5314_SUDARTI _ SERTIFIKAT BerAKHLAK")</f>
        <v>5314_SUDARTI _ SERTIFIKAT BerAKHLAK</v>
      </c>
      <c r="P5315" s="5" t="s">
        <v>34733</v>
      </c>
    </row>
    <row r="5316">
      <c r="A5316" s="4">
        <v>45534.3586349074</v>
      </c>
      <c r="B5316" s="5" t="s">
        <v>34</v>
      </c>
      <c r="D5316" s="5" t="s">
        <v>35</v>
      </c>
      <c r="E5316" s="5" t="s">
        <v>34749</v>
      </c>
      <c r="F5316" s="5" t="s">
        <v>37</v>
      </c>
      <c r="G5316" s="5" t="s">
        <v>34750</v>
      </c>
      <c r="H5316" s="6" t="s">
        <v>34751</v>
      </c>
      <c r="K5316" s="5" t="s">
        <v>34715</v>
      </c>
      <c r="M5316" s="5" t="s">
        <v>34752</v>
      </c>
      <c r="N5316" s="7" t="s">
        <v>34753</v>
      </c>
      <c r="O5316" s="8" t="str">
        <f>HYPERLINK("https://drive.google.com/file/d/1_uvQX3zPwOUtLEYbFDHMxekWT-Y5d-Pv/view?usp=drivesdk","5315_RESTIE ARPIANITA ASTUTI,A.Md.Kep _ SERTIFIKAT BerAKHLAK")</f>
        <v>5315_RESTIE ARPIANITA ASTUTI,A.Md.Kep _ SERTIFIKAT BerAKHLAK</v>
      </c>
      <c r="P5316" s="5" t="s">
        <v>34733</v>
      </c>
    </row>
    <row r="5317">
      <c r="A5317" s="4">
        <v>45534.35864332176</v>
      </c>
      <c r="B5317" s="5" t="s">
        <v>34</v>
      </c>
      <c r="D5317" s="5" t="s">
        <v>14313</v>
      </c>
      <c r="E5317" s="5" t="s">
        <v>34754</v>
      </c>
      <c r="F5317" s="5" t="s">
        <v>212</v>
      </c>
      <c r="G5317" s="5" t="s">
        <v>34755</v>
      </c>
      <c r="H5317" s="6" t="s">
        <v>34756</v>
      </c>
      <c r="K5317" s="5" t="s">
        <v>34715</v>
      </c>
      <c r="M5317" s="5" t="s">
        <v>34757</v>
      </c>
      <c r="N5317" s="7" t="s">
        <v>34758</v>
      </c>
      <c r="O5317" s="8" t="str">
        <f>HYPERLINK("https://drive.google.com/file/d/14nH0CFjif1_lJOb3PMhowEQkUXwC3N9-/view?usp=drivesdk","5316_KASMAWATI  _ SERTIFIKAT BerAKHLAK")</f>
        <v>5316_KASMAWATI  _ SERTIFIKAT BerAKHLAK</v>
      </c>
      <c r="P5317" s="5" t="s">
        <v>34759</v>
      </c>
    </row>
    <row r="5318">
      <c r="A5318" s="4">
        <v>45534.35864484953</v>
      </c>
      <c r="B5318" s="5" t="s">
        <v>34</v>
      </c>
      <c r="D5318" s="5" t="s">
        <v>996</v>
      </c>
      <c r="E5318" s="5" t="s">
        <v>34760</v>
      </c>
      <c r="F5318" s="5" t="s">
        <v>108</v>
      </c>
      <c r="G5318" s="5" t="s">
        <v>34761</v>
      </c>
      <c r="H5318" s="6" t="s">
        <v>34762</v>
      </c>
      <c r="K5318" s="5" t="s">
        <v>34715</v>
      </c>
      <c r="M5318" s="5" t="s">
        <v>34763</v>
      </c>
      <c r="N5318" s="7" t="s">
        <v>34764</v>
      </c>
      <c r="O5318" s="8" t="str">
        <f>HYPERLINK("https://drive.google.com/file/d/1cv5CCZ6VZ05jxa9xEsjSdFZ7x1jmJRyi/view?usp=drivesdk","5317_EKA PURWANTI _ SERTIFIKAT BerAKHLAK")</f>
        <v>5317_EKA PURWANTI _ SERTIFIKAT BerAKHLAK</v>
      </c>
      <c r="P5318" s="5" t="s">
        <v>34759</v>
      </c>
    </row>
    <row r="5319">
      <c r="A5319" s="4">
        <v>45534.358659756945</v>
      </c>
      <c r="B5319" s="5" t="s">
        <v>34</v>
      </c>
      <c r="D5319" s="5" t="s">
        <v>1206</v>
      </c>
      <c r="E5319" s="5" t="s">
        <v>34765</v>
      </c>
      <c r="F5319" s="5" t="s">
        <v>108</v>
      </c>
      <c r="G5319" s="5" t="s">
        <v>34766</v>
      </c>
      <c r="H5319" s="6" t="s">
        <v>34767</v>
      </c>
      <c r="K5319" s="5" t="s">
        <v>34715</v>
      </c>
      <c r="M5319" s="5" t="s">
        <v>34768</v>
      </c>
      <c r="N5319" s="7" t="s">
        <v>34769</v>
      </c>
      <c r="O5319" s="8" t="str">
        <f>HYPERLINK("https://drive.google.com/file/d/1R83sA42S9v_5_Ffw1lH2TKJWYk1oiHYv/view?usp=drivesdk","5318_YUSTIYANI _ SERTIFIKAT BerAKHLAK")</f>
        <v>5318_YUSTIYANI _ SERTIFIKAT BerAKHLAK</v>
      </c>
      <c r="P5319" s="5" t="s">
        <v>34759</v>
      </c>
    </row>
    <row r="5320">
      <c r="A5320" s="4">
        <v>45534.358680219906</v>
      </c>
      <c r="B5320" s="5" t="s">
        <v>34</v>
      </c>
      <c r="D5320" s="5" t="s">
        <v>4775</v>
      </c>
      <c r="E5320" s="5" t="s">
        <v>34770</v>
      </c>
      <c r="F5320" s="5" t="s">
        <v>72</v>
      </c>
      <c r="G5320" s="5" t="s">
        <v>34771</v>
      </c>
      <c r="H5320" s="6" t="s">
        <v>34772</v>
      </c>
      <c r="K5320" s="5" t="s">
        <v>34715</v>
      </c>
      <c r="M5320" s="5" t="s">
        <v>34773</v>
      </c>
      <c r="N5320" s="7" t="s">
        <v>34774</v>
      </c>
      <c r="O5320" s="8" t="str">
        <f>HYPERLINK("https://drive.google.com/file/d/1nPK1dEGVCw9PREQCRBjD8VNcwWluXfuI/view?usp=drivesdk","5319_FERY AGUNG H, A.Md _ SERTIFIKAT BerAKHLAK")</f>
        <v>5319_FERY AGUNG H, A.Md _ SERTIFIKAT BerAKHLAK</v>
      </c>
      <c r="P5320" s="5" t="s">
        <v>34759</v>
      </c>
    </row>
    <row r="5321">
      <c r="A5321" s="4">
        <v>45534.358698275464</v>
      </c>
      <c r="B5321" s="5" t="s">
        <v>34</v>
      </c>
      <c r="D5321" s="5" t="s">
        <v>7858</v>
      </c>
      <c r="E5321" s="5" t="s">
        <v>34775</v>
      </c>
      <c r="F5321" s="5" t="s">
        <v>37</v>
      </c>
      <c r="G5321" s="5" t="s">
        <v>34776</v>
      </c>
      <c r="H5321" s="6" t="s">
        <v>34777</v>
      </c>
      <c r="K5321" s="5" t="s">
        <v>34715</v>
      </c>
      <c r="M5321" s="5" t="s">
        <v>34778</v>
      </c>
      <c r="N5321" s="7" t="s">
        <v>34779</v>
      </c>
      <c r="O5321" s="8" t="str">
        <f>HYPERLINK("https://drive.google.com/file/d/1nmNZF3z4YbRMMNHDwFhhpECPTNcfxTtK/view?usp=drivesdk","5320_NUKE PUSPITASARI, S.Ak. _ SERTIFIKAT BerAKHLAK")</f>
        <v>5320_NUKE PUSPITASARI, S.Ak. _ SERTIFIKAT BerAKHLAK</v>
      </c>
      <c r="P5321" s="5" t="s">
        <v>34780</v>
      </c>
    </row>
    <row r="5322">
      <c r="A5322" s="4">
        <v>45534.35869916667</v>
      </c>
      <c r="B5322" s="5" t="s">
        <v>34</v>
      </c>
      <c r="D5322" s="5" t="s">
        <v>4775</v>
      </c>
      <c r="E5322" s="5" t="s">
        <v>34781</v>
      </c>
      <c r="F5322" s="5" t="s">
        <v>37</v>
      </c>
      <c r="G5322" s="5" t="s">
        <v>34782</v>
      </c>
      <c r="H5322" s="6" t="s">
        <v>34783</v>
      </c>
      <c r="K5322" s="5" t="s">
        <v>34715</v>
      </c>
      <c r="M5322" s="5" t="s">
        <v>34784</v>
      </c>
      <c r="N5322" s="7" t="s">
        <v>34785</v>
      </c>
      <c r="O5322" s="8" t="str">
        <f>HYPERLINK("https://drive.google.com/file/d/1ozFZELD-gzXnUE3g4QA5mx1FJ_rLdexk/view?usp=drivesdk","5321_HENDRO AJI PRABOWO _ SERTIFIKAT BerAKHLAK")</f>
        <v>5321_HENDRO AJI PRABOWO _ SERTIFIKAT BerAKHLAK</v>
      </c>
      <c r="P5322" s="5" t="s">
        <v>34780</v>
      </c>
    </row>
    <row r="5323">
      <c r="A5323" s="4">
        <v>45534.35870899305</v>
      </c>
      <c r="B5323" s="5" t="s">
        <v>34</v>
      </c>
      <c r="D5323" s="5" t="s">
        <v>14313</v>
      </c>
      <c r="E5323" s="5" t="s">
        <v>34786</v>
      </c>
      <c r="F5323" s="5" t="s">
        <v>72</v>
      </c>
      <c r="G5323" s="5" t="s">
        <v>34787</v>
      </c>
      <c r="H5323" s="6" t="s">
        <v>34788</v>
      </c>
      <c r="K5323" s="5" t="s">
        <v>34715</v>
      </c>
      <c r="M5323" s="5" t="s">
        <v>34789</v>
      </c>
      <c r="N5323" s="7" t="s">
        <v>34790</v>
      </c>
      <c r="O5323" s="8" t="str">
        <f>HYPERLINK("https://drive.google.com/file/d/1c9cmPFSevxw2uJ8kM0edwENJTvRWyQsJ/view?usp=drivesdk","5322_ANITA HERLINA HALMAN, AMD _ SERTIFIKAT BerAKHLAK")</f>
        <v>5322_ANITA HERLINA HALMAN, AMD _ SERTIFIKAT BerAKHLAK</v>
      </c>
      <c r="P5323" s="5" t="s">
        <v>34780</v>
      </c>
    </row>
    <row r="5324">
      <c r="A5324" s="4">
        <v>45534.358709479166</v>
      </c>
      <c r="B5324" s="5" t="s">
        <v>34</v>
      </c>
      <c r="D5324" s="5" t="s">
        <v>4775</v>
      </c>
      <c r="E5324" s="5" t="s">
        <v>34791</v>
      </c>
      <c r="F5324" s="5" t="s">
        <v>524</v>
      </c>
      <c r="G5324" s="5" t="s">
        <v>34792</v>
      </c>
      <c r="H5324" s="6" t="s">
        <v>34793</v>
      </c>
      <c r="K5324" s="5" t="s">
        <v>34715</v>
      </c>
      <c r="M5324" s="5" t="s">
        <v>34794</v>
      </c>
      <c r="N5324" s="7" t="s">
        <v>34795</v>
      </c>
      <c r="O5324" s="8" t="str">
        <f>HYPERLINK("https://drive.google.com/file/d/13BGzkFXxhCnjDCbr3rjXOrfhfuzaB1BC/view?usp=drivesdk","5323_ELI SULISTYOWATI, S. Kep _ SERTIFIKAT BerAKHLAK")</f>
        <v>5323_ELI SULISTYOWATI, S. Kep _ SERTIFIKAT BerAKHLAK</v>
      </c>
      <c r="P5324" s="5" t="s">
        <v>34780</v>
      </c>
    </row>
    <row r="5325">
      <c r="A5325" s="4">
        <v>45534.358712824076</v>
      </c>
      <c r="B5325" s="5" t="s">
        <v>34</v>
      </c>
      <c r="D5325" s="5" t="s">
        <v>4775</v>
      </c>
      <c r="E5325" s="5" t="s">
        <v>34796</v>
      </c>
      <c r="F5325" s="5" t="s">
        <v>212</v>
      </c>
      <c r="G5325" s="5" t="s">
        <v>34797</v>
      </c>
      <c r="H5325" s="6" t="s">
        <v>34798</v>
      </c>
      <c r="K5325" s="5" t="s">
        <v>34715</v>
      </c>
      <c r="M5325" s="5" t="s">
        <v>34799</v>
      </c>
      <c r="N5325" s="7" t="s">
        <v>34800</v>
      </c>
      <c r="O5325" s="8" t="str">
        <f>HYPERLINK("https://drive.google.com/file/d/1iza1IExjP_B5G48PdYHLq12jSz8n2lS3/view?usp=drivesdk","5324_SURIA NUR ARLINA _ SERTIFIKAT BerAKHLAK")</f>
        <v>5324_SURIA NUR ARLINA _ SERTIFIKAT BerAKHLAK</v>
      </c>
      <c r="P5325" s="5" t="s">
        <v>34780</v>
      </c>
    </row>
    <row r="5326">
      <c r="A5326" s="4">
        <v>45534.35871591435</v>
      </c>
      <c r="B5326" s="5" t="s">
        <v>34</v>
      </c>
      <c r="D5326" s="5" t="s">
        <v>1206</v>
      </c>
      <c r="E5326" s="5" t="s">
        <v>34801</v>
      </c>
      <c r="F5326" s="5" t="s">
        <v>212</v>
      </c>
      <c r="G5326" s="5" t="s">
        <v>34802</v>
      </c>
      <c r="H5326" s="6" t="s">
        <v>34803</v>
      </c>
      <c r="K5326" s="5" t="s">
        <v>34715</v>
      </c>
      <c r="M5326" s="5" t="s">
        <v>34804</v>
      </c>
      <c r="N5326" s="7" t="s">
        <v>34805</v>
      </c>
      <c r="O5326" s="8" t="str">
        <f>HYPERLINK("https://drive.google.com/file/d/1fxvhB3q2Ts1q9UrrMMtNFjh4cpefRbS3/view?usp=drivesdk","5325_RETNO SRI RAHAYU, SH _ SERTIFIKAT BerAKHLAK")</f>
        <v>5325_RETNO SRI RAHAYU, SH _ SERTIFIKAT BerAKHLAK</v>
      </c>
      <c r="P5326" s="5" t="s">
        <v>34780</v>
      </c>
    </row>
    <row r="5327">
      <c r="A5327" s="4">
        <v>45534.35873050926</v>
      </c>
      <c r="B5327" s="5" t="s">
        <v>34</v>
      </c>
      <c r="D5327" s="5" t="s">
        <v>4775</v>
      </c>
      <c r="E5327" s="5" t="s">
        <v>34806</v>
      </c>
      <c r="F5327" s="5" t="s">
        <v>524</v>
      </c>
      <c r="G5327" s="5" t="s">
        <v>34807</v>
      </c>
      <c r="H5327" s="6" t="s">
        <v>34808</v>
      </c>
      <c r="I5327" s="7" t="s">
        <v>34809</v>
      </c>
      <c r="J5327" s="8" t="str">
        <f>HYPERLINK("https://drive.google.com/file/d/1slJWwUrawhrRUW5DEV_e0ZCyUne_QRXL/view?usp=drivesdk","TRI LESTARI, S.Tr.Kom SERTIFIKAT BerAKHLAK")</f>
        <v>TRI LESTARI, S.Tr.Kom SERTIFIKAT BerAKHLAK</v>
      </c>
      <c r="K5327" s="5" t="s">
        <v>34135</v>
      </c>
      <c r="L5327" s="5" t="s">
        <v>34810</v>
      </c>
      <c r="M5327" s="5" t="s">
        <v>34811</v>
      </c>
      <c r="N5327" s="7" t="s">
        <v>34812</v>
      </c>
      <c r="O5327" s="8" t="str">
        <f>HYPERLINK("https://drive.google.com/file/d/1Wi0B5RFgT2ZmsForsd0mfTBWeUwrfgop/view?usp=drivesdk","5326_TRI LESTARI, S.Tr.Kom _ SERTIFIKAT BerAKHLAK")</f>
        <v>5326_TRI LESTARI, S.Tr.Kom _ SERTIFIKAT BerAKHLAK</v>
      </c>
      <c r="P5327" s="5" t="s">
        <v>34813</v>
      </c>
    </row>
    <row r="5328">
      <c r="A5328" s="4">
        <v>45534.35873703704</v>
      </c>
      <c r="B5328" s="5" t="s">
        <v>34</v>
      </c>
      <c r="D5328" s="5" t="s">
        <v>1206</v>
      </c>
      <c r="E5328" s="5" t="s">
        <v>34814</v>
      </c>
      <c r="F5328" s="5" t="s">
        <v>37</v>
      </c>
      <c r="G5328" s="5" t="s">
        <v>34815</v>
      </c>
      <c r="H5328" s="6" t="s">
        <v>34816</v>
      </c>
      <c r="I5328" s="7" t="s">
        <v>34817</v>
      </c>
      <c r="J5328" s="8" t="str">
        <f>HYPERLINK("https://drive.google.com/file/d/1SL0PbTSBoSTvAl6w-WyGpguB9ZtanyEY/view?usp=drivesdk","ANDIK SETYO UTOMO  SERTIFIKAT BerAKHLAK")</f>
        <v>ANDIK SETYO UTOMO  SERTIFIKAT BerAKHLAK</v>
      </c>
      <c r="K5328" s="5" t="s">
        <v>34818</v>
      </c>
      <c r="L5328" s="5" t="s">
        <v>34819</v>
      </c>
      <c r="M5328" s="5" t="s">
        <v>34820</v>
      </c>
      <c r="N5328" s="7" t="s">
        <v>34821</v>
      </c>
      <c r="O5328" s="8" t="str">
        <f>HYPERLINK("https://drive.google.com/file/d/1HbKyOe43OW0huUVUCztaTmgoT1BCPzwD/view?usp=drivesdk","5327_ANDIK SETYO UTOMO  _ SERTIFIKAT BerAKHLAK")</f>
        <v>5327_ANDIK SETYO UTOMO  _ SERTIFIKAT BerAKHLAK</v>
      </c>
      <c r="P5328" s="5" t="s">
        <v>34813</v>
      </c>
    </row>
    <row r="5329">
      <c r="A5329" s="4">
        <v>45534.35875053241</v>
      </c>
      <c r="B5329" s="5" t="s">
        <v>34</v>
      </c>
      <c r="D5329" s="5" t="s">
        <v>35</v>
      </c>
      <c r="E5329" s="5" t="s">
        <v>34822</v>
      </c>
      <c r="F5329" s="5" t="s">
        <v>72</v>
      </c>
      <c r="G5329" s="5" t="s">
        <v>34823</v>
      </c>
      <c r="H5329" s="6" t="s">
        <v>34824</v>
      </c>
      <c r="I5329" s="7" t="s">
        <v>34825</v>
      </c>
      <c r="J5329" s="8" t="str">
        <f>HYPERLINK("https://drive.google.com/file/d/16BkcIMqo8TJBd_itm-6qjV4b5bnW993j/view?usp=drivesdk","DWI YULI DARWANTO, S.KOM SERTIFIKAT BerAKHLAK")</f>
        <v>DWI YULI DARWANTO, S.KOM SERTIFIKAT BerAKHLAK</v>
      </c>
      <c r="K5329" s="5" t="s">
        <v>34818</v>
      </c>
      <c r="L5329" s="5" t="s">
        <v>34826</v>
      </c>
      <c r="M5329" s="5" t="s">
        <v>34827</v>
      </c>
      <c r="N5329" s="7" t="s">
        <v>34828</v>
      </c>
      <c r="O5329" s="8" t="str">
        <f>HYPERLINK("https://drive.google.com/file/d/19qKOZ9pCm8KdWXDumewlXOOCilBGP0wU/view?usp=drivesdk","5328_DWI YULI DARWANTO, S.KOM _ SERTIFIKAT BerAKHLAK")</f>
        <v>5328_DWI YULI DARWANTO, S.KOM _ SERTIFIKAT BerAKHLAK</v>
      </c>
      <c r="P5329" s="5" t="s">
        <v>34813</v>
      </c>
    </row>
    <row r="5330">
      <c r="A5330" s="4">
        <v>45534.35875162037</v>
      </c>
      <c r="B5330" s="5" t="s">
        <v>34</v>
      </c>
      <c r="D5330" s="5" t="s">
        <v>1206</v>
      </c>
      <c r="E5330" s="5" t="s">
        <v>34829</v>
      </c>
      <c r="F5330" s="5" t="s">
        <v>37</v>
      </c>
      <c r="G5330" s="5" t="s">
        <v>34830</v>
      </c>
      <c r="H5330" s="6" t="s">
        <v>34831</v>
      </c>
      <c r="I5330" s="7" t="s">
        <v>34832</v>
      </c>
      <c r="J5330" s="8" t="str">
        <f>HYPERLINK("https://drive.google.com/file/d/1IQaQaD7N8NdPdChqJWnHYt1giW2ENstl/view?usp=drivesdk","ARIJANI SERTIFIKAT BerAKHLAK")</f>
        <v>ARIJANI SERTIFIKAT BerAKHLAK</v>
      </c>
      <c r="K5330" s="5" t="s">
        <v>34818</v>
      </c>
      <c r="L5330" s="5" t="s">
        <v>34833</v>
      </c>
      <c r="M5330" s="5" t="s">
        <v>34834</v>
      </c>
      <c r="N5330" s="7" t="s">
        <v>34835</v>
      </c>
      <c r="O5330" s="8" t="str">
        <f>HYPERLINK("https://drive.google.com/file/d/1F5Di-CnqDTJ3OmCGQWJfD7tBGqS0CNOr/view?usp=drivesdk","5329_ARIJANI _ SERTIFIKAT BerAKHLAK")</f>
        <v>5329_ARIJANI _ SERTIFIKAT BerAKHLAK</v>
      </c>
      <c r="P5330" s="5" t="s">
        <v>34813</v>
      </c>
    </row>
    <row r="5331">
      <c r="A5331" s="4">
        <v>45534.35875737268</v>
      </c>
      <c r="B5331" s="5" t="s">
        <v>34</v>
      </c>
      <c r="D5331" s="5" t="s">
        <v>3849</v>
      </c>
      <c r="E5331" s="5" t="s">
        <v>34836</v>
      </c>
      <c r="F5331" s="5" t="s">
        <v>212</v>
      </c>
      <c r="G5331" s="5" t="s">
        <v>34837</v>
      </c>
      <c r="H5331" s="6" t="s">
        <v>34838</v>
      </c>
      <c r="K5331" s="5" t="s">
        <v>34839</v>
      </c>
      <c r="M5331" s="5" t="s">
        <v>34840</v>
      </c>
      <c r="N5331" s="7" t="s">
        <v>34841</v>
      </c>
      <c r="O5331" s="8" t="str">
        <f>HYPERLINK("https://drive.google.com/file/d/1w831XEDt4cv_OPYnqGo5EAAlw7v0xd8-/view?usp=drivesdk","5330_YENNIE WALINDA _ SERTIFIKAT BerAKHLAK")</f>
        <v>5330_YENNIE WALINDA _ SERTIFIKAT BerAKHLAK</v>
      </c>
      <c r="P5331" s="5" t="s">
        <v>34813</v>
      </c>
    </row>
    <row r="5332">
      <c r="A5332" s="4">
        <v>45534.35876229167</v>
      </c>
      <c r="B5332" s="5" t="s">
        <v>34</v>
      </c>
      <c r="D5332" s="5" t="s">
        <v>1206</v>
      </c>
      <c r="E5332" s="5" t="s">
        <v>34842</v>
      </c>
      <c r="F5332" s="5" t="s">
        <v>5859</v>
      </c>
      <c r="G5332" s="5" t="s">
        <v>34843</v>
      </c>
      <c r="H5332" s="6" t="s">
        <v>34844</v>
      </c>
      <c r="K5332" s="5" t="s">
        <v>34839</v>
      </c>
      <c r="M5332" s="5" t="s">
        <v>34845</v>
      </c>
      <c r="N5332" s="7" t="s">
        <v>34846</v>
      </c>
      <c r="O5332" s="8" t="str">
        <f>HYPERLINK("https://drive.google.com/file/d/1C3GPknOmahOCT7IWiDEQvp8Vq_onGrsR/view?usp=drivesdk","5331_KALIS PRIYANTO _ SERTIFIKAT BerAKHLAK")</f>
        <v>5331_KALIS PRIYANTO _ SERTIFIKAT BerAKHLAK</v>
      </c>
      <c r="P5332" s="5" t="s">
        <v>34847</v>
      </c>
    </row>
    <row r="5333">
      <c r="A5333" s="4">
        <v>45534.3587846875</v>
      </c>
      <c r="B5333" s="5" t="s">
        <v>34</v>
      </c>
      <c r="D5333" s="5" t="s">
        <v>1206</v>
      </c>
      <c r="E5333" s="5" t="s">
        <v>34848</v>
      </c>
      <c r="F5333" s="5" t="s">
        <v>37</v>
      </c>
      <c r="G5333" s="5" t="s">
        <v>34849</v>
      </c>
      <c r="H5333" s="6" t="s">
        <v>34850</v>
      </c>
      <c r="I5333" s="7" t="s">
        <v>34851</v>
      </c>
      <c r="J5333" s="8" t="str">
        <f>HYPERLINK("https://drive.google.com/file/d/1W6DQXgDhvKRDnueij-fWw9OV3Zv8dZPs/view?usp=drivesdk","FARICH SYAICHULLOH HADI  SERTIFIKAT BerAKHLAK")</f>
        <v>FARICH SYAICHULLOH HADI  SERTIFIKAT BerAKHLAK</v>
      </c>
      <c r="K5333" s="5" t="s">
        <v>34135</v>
      </c>
      <c r="L5333" s="5" t="s">
        <v>34852</v>
      </c>
      <c r="M5333" s="5" t="s">
        <v>34853</v>
      </c>
      <c r="N5333" s="7" t="s">
        <v>34854</v>
      </c>
      <c r="O5333" s="8" t="str">
        <f>HYPERLINK("https://drive.google.com/file/d/1-6B5TsDay7fEfMPnDrHVRsmpYlWnUwBD/view?usp=drivesdk","5332_FARICH SYAICHULLOH HADI  _ SERTIFIKAT BerAKHLAK")</f>
        <v>5332_FARICH SYAICHULLOH HADI  _ SERTIFIKAT BerAKHLAK</v>
      </c>
      <c r="P5333" s="5" t="s">
        <v>34847</v>
      </c>
    </row>
    <row r="5334">
      <c r="A5334" s="4">
        <v>45534.35878733796</v>
      </c>
      <c r="B5334" s="5" t="s">
        <v>34</v>
      </c>
      <c r="D5334" s="5" t="s">
        <v>1206</v>
      </c>
      <c r="E5334" s="5" t="s">
        <v>34855</v>
      </c>
      <c r="F5334" s="5" t="s">
        <v>212</v>
      </c>
      <c r="G5334" s="5" t="s">
        <v>34856</v>
      </c>
      <c r="H5334" s="6" t="s">
        <v>34857</v>
      </c>
      <c r="I5334" s="7" t="s">
        <v>34858</v>
      </c>
      <c r="J5334" s="8" t="str">
        <f>HYPERLINK("https://drive.google.com/file/d/16-PgM7JfV3ebmeburLPY1I057fllquU3/view?usp=drivesdk","RR WAHJU TJAHJANDARI SERTIFIKAT BerAKHLAK")</f>
        <v>RR WAHJU TJAHJANDARI SERTIFIKAT BerAKHLAK</v>
      </c>
      <c r="K5334" s="5" t="s">
        <v>34818</v>
      </c>
      <c r="L5334" s="5" t="s">
        <v>34859</v>
      </c>
      <c r="M5334" s="5" t="s">
        <v>34860</v>
      </c>
      <c r="N5334" s="7" t="s">
        <v>34861</v>
      </c>
      <c r="O5334" s="8" t="str">
        <f>HYPERLINK("https://drive.google.com/file/d/1aviG2FQSCHipyA-bJwUx2lLva6AfpSYh/view?usp=drivesdk","5333_RR WAHJU TJAHJANDARI _ SERTIFIKAT BerAKHLAK")</f>
        <v>5333_RR WAHJU TJAHJANDARI _ SERTIFIKAT BerAKHLAK</v>
      </c>
      <c r="P5334" s="5" t="s">
        <v>34847</v>
      </c>
    </row>
    <row r="5335">
      <c r="A5335" s="4">
        <v>45534.35879063657</v>
      </c>
      <c r="B5335" s="5" t="s">
        <v>34</v>
      </c>
      <c r="D5335" s="5" t="s">
        <v>14313</v>
      </c>
      <c r="E5335" s="5" t="s">
        <v>34862</v>
      </c>
      <c r="F5335" s="5" t="s">
        <v>715</v>
      </c>
      <c r="G5335" s="5" t="s">
        <v>34863</v>
      </c>
      <c r="H5335" s="6" t="s">
        <v>34864</v>
      </c>
      <c r="I5335" s="7" t="s">
        <v>34865</v>
      </c>
      <c r="J5335" s="8" t="str">
        <f>HYPERLINK("https://drive.google.com/file/d/1JQ7L7BA-7SkOQX6XeSdfK37qy_62EyH5/view?usp=drivesdk","MUSDALIFAH HAYONG AMK  SERTIFIKAT BerAKHLAK")</f>
        <v>MUSDALIFAH HAYONG AMK  SERTIFIKAT BerAKHLAK</v>
      </c>
      <c r="K5335" s="5" t="s">
        <v>34818</v>
      </c>
      <c r="L5335" s="5" t="s">
        <v>34866</v>
      </c>
      <c r="M5335" s="5" t="s">
        <v>34867</v>
      </c>
      <c r="N5335" s="7" t="s">
        <v>34868</v>
      </c>
      <c r="O5335" s="8" t="str">
        <f>HYPERLINK("https://drive.google.com/file/d/15G5Z1oS2L4yROtKx9QAOgzI4Oz47_Kmm/view?usp=drivesdk","5334_MUSDALIFAH HAYONG AMK  _ SERTIFIKAT BerAKHLAK")</f>
        <v>5334_MUSDALIFAH HAYONG AMK  _ SERTIFIKAT BerAKHLAK</v>
      </c>
      <c r="P5335" s="5" t="s">
        <v>34847</v>
      </c>
    </row>
    <row r="5336">
      <c r="A5336" s="4">
        <v>45534.358790706014</v>
      </c>
      <c r="B5336" s="5" t="s">
        <v>34</v>
      </c>
      <c r="D5336" s="5" t="s">
        <v>14313</v>
      </c>
      <c r="E5336" s="5" t="s">
        <v>34869</v>
      </c>
      <c r="F5336" s="5" t="s">
        <v>375</v>
      </c>
      <c r="G5336" s="5" t="s">
        <v>34870</v>
      </c>
      <c r="H5336" s="6" t="s">
        <v>34871</v>
      </c>
      <c r="I5336" s="7" t="s">
        <v>34872</v>
      </c>
      <c r="J5336" s="8" t="str">
        <f>HYPERLINK("https://drive.google.com/file/d/1MK7OQyYpjluX6-M_--E5dwLl0A8klsYI/view?usp=drivesdk","Hastuti RA, SE, MM SERTIFIKAT BerAKHLAK")</f>
        <v>Hastuti RA, SE, MM SERTIFIKAT BerAKHLAK</v>
      </c>
      <c r="K5336" s="5" t="s">
        <v>34818</v>
      </c>
      <c r="L5336" s="5" t="s">
        <v>34873</v>
      </c>
      <c r="M5336" s="5" t="s">
        <v>34874</v>
      </c>
      <c r="N5336" s="7" t="s">
        <v>34875</v>
      </c>
      <c r="O5336" s="8" t="str">
        <f>HYPERLINK("https://drive.google.com/file/d/1V7y2TQJgrPDol_zqZCDugGy3k70Q4qIO/view?usp=drivesdk","5335_Hastuti RA, SE, MM _ SERTIFIKAT BerAKHLAK")</f>
        <v>5335_Hastuti RA, SE, MM _ SERTIFIKAT BerAKHLAK</v>
      </c>
      <c r="P5336" s="5" t="s">
        <v>34847</v>
      </c>
    </row>
    <row r="5337">
      <c r="A5337" s="4">
        <v>45534.35881398148</v>
      </c>
      <c r="B5337" s="5" t="s">
        <v>34</v>
      </c>
      <c r="D5337" s="5" t="s">
        <v>1558</v>
      </c>
      <c r="E5337" s="5" t="s">
        <v>34876</v>
      </c>
      <c r="F5337" s="5" t="s">
        <v>212</v>
      </c>
      <c r="G5337" s="5" t="s">
        <v>34877</v>
      </c>
      <c r="H5337" s="6" t="s">
        <v>34878</v>
      </c>
      <c r="I5337" s="7" t="s">
        <v>34879</v>
      </c>
      <c r="J5337" s="8" t="str">
        <f>HYPERLINK("https://drive.google.com/file/d/1FjXdf8c_Sx2cZoNgsttoUEddRYMrNYEy/view?usp=drivesdk","SRI YANTINI SERTIFIKAT BerAKHLAK")</f>
        <v>SRI YANTINI SERTIFIKAT BerAKHLAK</v>
      </c>
      <c r="K5337" s="5" t="s">
        <v>34135</v>
      </c>
      <c r="L5337" s="5" t="s">
        <v>34880</v>
      </c>
      <c r="M5337" s="5" t="s">
        <v>34881</v>
      </c>
      <c r="N5337" s="7" t="s">
        <v>34882</v>
      </c>
      <c r="O5337" s="8" t="str">
        <f>HYPERLINK("https://drive.google.com/file/d/128A75CAybc3a7XzmzcH8SyvKePgB9u3F/view?usp=drivesdk","5336_SRI YANTINI _ SERTIFIKAT BerAKHLAK")</f>
        <v>5336_SRI YANTINI _ SERTIFIKAT BerAKHLAK</v>
      </c>
      <c r="P5337" s="5" t="s">
        <v>34847</v>
      </c>
    </row>
    <row r="5338">
      <c r="A5338" s="4">
        <v>45534.358814374995</v>
      </c>
      <c r="B5338" s="5" t="s">
        <v>34</v>
      </c>
      <c r="D5338" s="5" t="s">
        <v>362</v>
      </c>
      <c r="E5338" s="5" t="s">
        <v>34883</v>
      </c>
      <c r="F5338" s="5" t="s">
        <v>37</v>
      </c>
      <c r="G5338" s="5" t="s">
        <v>34884</v>
      </c>
      <c r="H5338" s="6" t="s">
        <v>34885</v>
      </c>
      <c r="I5338" s="7" t="s">
        <v>34886</v>
      </c>
      <c r="J5338" s="8" t="str">
        <f>HYPERLINK("https://drive.google.com/file/d/1CukwYPB89fPdmyHk6pmP18s3ausvxzOd/view?usp=drivesdk","OKTAVIANI TABANG KALUA  SERTIFIKAT BerAKHLAK")</f>
        <v>OKTAVIANI TABANG KALUA  SERTIFIKAT BerAKHLAK</v>
      </c>
      <c r="K5338" s="5" t="s">
        <v>34818</v>
      </c>
      <c r="L5338" s="5" t="s">
        <v>34887</v>
      </c>
      <c r="M5338" s="5" t="s">
        <v>34888</v>
      </c>
      <c r="N5338" s="7" t="s">
        <v>34889</v>
      </c>
      <c r="O5338" s="8" t="str">
        <f>HYPERLINK("https://drive.google.com/file/d/1AwXtx8UOyH2hYE6185Noq6bOmU1U6dqB/view?usp=drivesdk","5337_OKTAVIANI TABANG KALUA  _ SERTIFIKAT BerAKHLAK")</f>
        <v>5337_OKTAVIANI TABANG KALUA  _ SERTIFIKAT BerAKHLAK</v>
      </c>
      <c r="P5338" s="5" t="s">
        <v>34890</v>
      </c>
    </row>
    <row r="5339">
      <c r="A5339" s="4">
        <v>45534.35882259259</v>
      </c>
      <c r="B5339" s="5" t="s">
        <v>34</v>
      </c>
      <c r="D5339" s="5" t="s">
        <v>4775</v>
      </c>
      <c r="E5339" s="5" t="s">
        <v>34891</v>
      </c>
      <c r="F5339" s="5" t="s">
        <v>212</v>
      </c>
      <c r="G5339" s="5" t="s">
        <v>34892</v>
      </c>
      <c r="H5339" s="6" t="s">
        <v>34893</v>
      </c>
      <c r="I5339" s="7" t="s">
        <v>34894</v>
      </c>
      <c r="J5339" s="8" t="str">
        <f>HYPERLINK("https://drive.google.com/file/d/1eTLe3HT8nCBcQwCPkaT7C5LviPGDWOCE/view?usp=drivesdk","ADI TRI RASTYO SERTIFIKAT BerAKHLAK")</f>
        <v>ADI TRI RASTYO SERTIFIKAT BerAKHLAK</v>
      </c>
      <c r="K5339" s="5" t="s">
        <v>34818</v>
      </c>
      <c r="L5339" s="5" t="s">
        <v>34895</v>
      </c>
      <c r="M5339" s="5" t="s">
        <v>34896</v>
      </c>
      <c r="N5339" s="7" t="s">
        <v>34897</v>
      </c>
      <c r="O5339" s="8" t="str">
        <f>HYPERLINK("https://drive.google.com/file/d/1JfHIq3BCBOfWktWgTuh7cxjAl_L-ayew/view?usp=drivesdk","5338_ADI TRI RASTYO _ SERTIFIKAT BerAKHLAK")</f>
        <v>5338_ADI TRI RASTYO _ SERTIFIKAT BerAKHLAK</v>
      </c>
      <c r="P5339" s="5" t="s">
        <v>34890</v>
      </c>
    </row>
    <row r="5340">
      <c r="A5340" s="4">
        <v>45534.358848159725</v>
      </c>
      <c r="B5340" s="5" t="s">
        <v>34</v>
      </c>
      <c r="D5340" s="5" t="s">
        <v>1206</v>
      </c>
      <c r="E5340" s="5" t="s">
        <v>34898</v>
      </c>
      <c r="F5340" s="5" t="s">
        <v>72</v>
      </c>
      <c r="G5340" s="5" t="s">
        <v>34899</v>
      </c>
      <c r="H5340" s="6" t="s">
        <v>34900</v>
      </c>
      <c r="I5340" s="7" t="s">
        <v>34901</v>
      </c>
      <c r="J5340" s="8" t="str">
        <f>HYPERLINK("https://drive.google.com/file/d/1RLF2FKQANgQ45tpQ9nFUt-SpZXxxDpuQ/view?usp=drivesdk","ARIYANI,AMd. Kep SERTIFIKAT BerAKHLAK")</f>
        <v>ARIYANI,AMd. Kep SERTIFIKAT BerAKHLAK</v>
      </c>
      <c r="K5340" s="5" t="s">
        <v>34818</v>
      </c>
      <c r="L5340" s="5" t="s">
        <v>34902</v>
      </c>
      <c r="M5340" s="5" t="s">
        <v>34903</v>
      </c>
      <c r="N5340" s="7" t="s">
        <v>34904</v>
      </c>
      <c r="O5340" s="8" t="str">
        <f>HYPERLINK("https://drive.google.com/file/d/1DhcMW64D3ZUOsQc0X79ScGVKKa3iarRg/view?usp=drivesdk","5339_ARIYANI,AMd. Kep _ SERTIFIKAT BerAKHLAK")</f>
        <v>5339_ARIYANI,AMd. Kep _ SERTIFIKAT BerAKHLAK</v>
      </c>
      <c r="P5340" s="5" t="s">
        <v>34890</v>
      </c>
    </row>
    <row r="5341">
      <c r="A5341" s="4">
        <v>45534.35885310185</v>
      </c>
      <c r="B5341" s="5" t="s">
        <v>34</v>
      </c>
      <c r="D5341" s="5" t="s">
        <v>4775</v>
      </c>
      <c r="E5341" s="5" t="s">
        <v>34905</v>
      </c>
      <c r="F5341" s="5" t="s">
        <v>72</v>
      </c>
      <c r="G5341" s="5" t="s">
        <v>34906</v>
      </c>
      <c r="H5341" s="6" t="s">
        <v>34907</v>
      </c>
      <c r="I5341" s="7" t="s">
        <v>34908</v>
      </c>
      <c r="J5341" s="8" t="str">
        <f>HYPERLINK("https://drive.google.com/file/d/1Jk7io0MeI0uGHk9KkvtHFRV8oeJVN61H/view?usp=drivesdk","DIANA CHRISTIJANTI HANITA KOEHOE, S. T.  SERTIFIKAT BerAKHLAK")</f>
        <v>DIANA CHRISTIJANTI HANITA KOEHOE, S. T.  SERTIFIKAT BerAKHLAK</v>
      </c>
      <c r="K5341" s="5" t="s">
        <v>34818</v>
      </c>
      <c r="L5341" s="5" t="s">
        <v>34909</v>
      </c>
      <c r="M5341" s="5" t="s">
        <v>34910</v>
      </c>
      <c r="N5341" s="7" t="s">
        <v>34911</v>
      </c>
      <c r="O5341" s="8" t="str">
        <f>HYPERLINK("https://drive.google.com/file/d/1Ql-BtGnO64tV-Cp2_ubESs-2A91Uz1ey/view?usp=drivesdk","5340_DIANA CHRISTIJANTI HANITA KOEHOE, S. T.  _ SERTIFIKAT BerAKHLAK")</f>
        <v>5340_DIANA CHRISTIJANTI HANITA KOEHOE, S. T.  _ SERTIFIKAT BerAKHLAK</v>
      </c>
      <c r="P5341" s="5" t="s">
        <v>34890</v>
      </c>
    </row>
    <row r="5342">
      <c r="A5342" s="4">
        <v>45534.35885640046</v>
      </c>
      <c r="B5342" s="5" t="s">
        <v>34</v>
      </c>
      <c r="D5342" s="5" t="s">
        <v>701</v>
      </c>
      <c r="E5342" s="5" t="s">
        <v>34912</v>
      </c>
      <c r="F5342" s="5" t="s">
        <v>212</v>
      </c>
      <c r="G5342" s="5" t="s">
        <v>34913</v>
      </c>
      <c r="H5342" s="6" t="s">
        <v>34914</v>
      </c>
      <c r="I5342" s="7" t="s">
        <v>34915</v>
      </c>
      <c r="J5342" s="8" t="str">
        <f>HYPERLINK("https://drive.google.com/file/d/13iaFKLCxQoFq3xnoC7iw3od-0bSUEJaQ/view?usp=drivesdk","SRI RAHAYU WINARSIH SERTIFIKAT BerAKHLAK")</f>
        <v>SRI RAHAYU WINARSIH SERTIFIKAT BerAKHLAK</v>
      </c>
      <c r="K5342" s="5" t="s">
        <v>34818</v>
      </c>
      <c r="L5342" s="5" t="s">
        <v>34916</v>
      </c>
      <c r="M5342" s="5" t="s">
        <v>34917</v>
      </c>
      <c r="N5342" s="7" t="s">
        <v>34918</v>
      </c>
      <c r="O5342" s="8" t="str">
        <f>HYPERLINK("https://drive.google.com/file/d/1xvmy5Rxda9qmfDGlvspDTC0vYfT8W8NT/view?usp=drivesdk","5341_SRI RAHAYU WINARSIH _ SERTIFIKAT BerAKHLAK")</f>
        <v>5341_SRI RAHAYU WINARSIH _ SERTIFIKAT BerAKHLAK</v>
      </c>
      <c r="P5342" s="5" t="s">
        <v>34890</v>
      </c>
    </row>
    <row r="5343">
      <c r="A5343" s="4">
        <v>45534.35885630787</v>
      </c>
      <c r="B5343" s="5" t="s">
        <v>34</v>
      </c>
      <c r="D5343" s="5" t="s">
        <v>14424</v>
      </c>
      <c r="E5343" s="5" t="s">
        <v>34919</v>
      </c>
      <c r="F5343" s="5" t="s">
        <v>212</v>
      </c>
      <c r="G5343" s="5" t="s">
        <v>34920</v>
      </c>
      <c r="H5343" s="6" t="s">
        <v>34921</v>
      </c>
      <c r="I5343" s="7" t="s">
        <v>34922</v>
      </c>
      <c r="J5343" s="8" t="str">
        <f>HYPERLINK("https://drive.google.com/file/d/1x7OhideDaIdm-pu8zmu9CWXFOSDG1v8m/view?usp=drivesdk","AFRIDA A.md SERTIFIKAT BerAKHLAK")</f>
        <v>AFRIDA A.md SERTIFIKAT BerAKHLAK</v>
      </c>
      <c r="K5343" s="5" t="s">
        <v>34818</v>
      </c>
      <c r="L5343" s="5" t="s">
        <v>34923</v>
      </c>
      <c r="M5343" s="5" t="s">
        <v>34924</v>
      </c>
      <c r="N5343" s="7" t="s">
        <v>34925</v>
      </c>
      <c r="O5343" s="8" t="str">
        <f>HYPERLINK("https://drive.google.com/file/d/147jBqCNZnKGjPnv1bIr_tqCRfrd7XsJv/view?usp=drivesdk","5342_AFRIDA A.md _ SERTIFIKAT BerAKHLAK")</f>
        <v>5342_AFRIDA A.md _ SERTIFIKAT BerAKHLAK</v>
      </c>
      <c r="P5343" s="5" t="s">
        <v>34926</v>
      </c>
    </row>
    <row r="5344" hidden="1">
      <c r="A5344" s="4">
        <v>45534.358868958334</v>
      </c>
      <c r="B5344" s="5" t="s">
        <v>19</v>
      </c>
      <c r="C5344" s="5" t="s">
        <v>292</v>
      </c>
      <c r="E5344" s="5" t="s">
        <v>34927</v>
      </c>
      <c r="F5344" s="5" t="s">
        <v>212</v>
      </c>
      <c r="G5344" s="5" t="s">
        <v>34928</v>
      </c>
      <c r="H5344" s="6" t="s">
        <v>34929</v>
      </c>
      <c r="I5344" s="7" t="s">
        <v>34930</v>
      </c>
      <c r="J5344" s="8" t="str">
        <f>HYPERLINK("https://drive.google.com/file/d/1DX9UYxPAKQWD6TRP8HHuAYjTysTHkbFz/view?usp=drivesdk","MERI ANDRIANA, A.MD SERTIFIKAT BerAKHLAK")</f>
        <v>MERI ANDRIANA, A.MD SERTIFIKAT BerAKHLAK</v>
      </c>
      <c r="K5344" s="5" t="s">
        <v>34818</v>
      </c>
      <c r="L5344" s="5" t="s">
        <v>34931</v>
      </c>
      <c r="M5344" s="5" t="s">
        <v>34932</v>
      </c>
      <c r="N5344" s="7" t="s">
        <v>34933</v>
      </c>
      <c r="O5344" s="8" t="str">
        <f>HYPERLINK("https://drive.google.com/file/d/1vwvEHZyBctWCJQUEbdciPk63ALIn0mEh/view?usp=drivesdk","5343_MERI ANDRIANA, A.MD _ SERTIFIKAT BerAKHLAK")</f>
        <v>5343_MERI ANDRIANA, A.MD _ SERTIFIKAT BerAKHLAK</v>
      </c>
      <c r="P5344" s="5" t="s">
        <v>34926</v>
      </c>
    </row>
    <row r="5345">
      <c r="A5345" s="4">
        <v>45534.3588749537</v>
      </c>
      <c r="B5345" s="5" t="s">
        <v>34</v>
      </c>
      <c r="D5345" s="5" t="s">
        <v>12978</v>
      </c>
      <c r="E5345" s="5" t="s">
        <v>34934</v>
      </c>
      <c r="F5345" s="5" t="s">
        <v>199</v>
      </c>
      <c r="G5345" s="5" t="s">
        <v>34935</v>
      </c>
      <c r="H5345" s="6" t="s">
        <v>34936</v>
      </c>
      <c r="I5345" s="7" t="s">
        <v>34937</v>
      </c>
      <c r="J5345" s="8" t="str">
        <f>HYPERLINK("https://drive.google.com/file/d/1ogC7bX99_8iVcwmzGcTK1McsVE10AnJT/view?usp=drivesdk","EVA ERTINA.SE SERTIFIKAT BerAKHLAK")</f>
        <v>EVA ERTINA.SE SERTIFIKAT BerAKHLAK</v>
      </c>
      <c r="K5345" s="5" t="s">
        <v>34938</v>
      </c>
      <c r="L5345" s="5" t="s">
        <v>34939</v>
      </c>
      <c r="M5345" s="5" t="s">
        <v>34940</v>
      </c>
      <c r="N5345" s="7" t="s">
        <v>34941</v>
      </c>
      <c r="O5345" s="8" t="str">
        <f>HYPERLINK("https://drive.google.com/file/d/1wWn0NP6oQxkmKVoLEixGiW5lk2eSj8ct/view?usp=drivesdk","5344_EVA ERTINA.SE _ SERTIFIKAT BerAKHLAK")</f>
        <v>5344_EVA ERTINA.SE _ SERTIFIKAT BerAKHLAK</v>
      </c>
      <c r="P5345" s="5" t="s">
        <v>34926</v>
      </c>
    </row>
    <row r="5346">
      <c r="A5346" s="4">
        <v>45534.35888377315</v>
      </c>
      <c r="B5346" s="5" t="s">
        <v>34</v>
      </c>
      <c r="D5346" s="5" t="s">
        <v>1206</v>
      </c>
      <c r="E5346" s="5" t="s">
        <v>34942</v>
      </c>
      <c r="F5346" s="5" t="s">
        <v>72</v>
      </c>
      <c r="G5346" s="5" t="s">
        <v>34943</v>
      </c>
      <c r="H5346" s="6" t="s">
        <v>34944</v>
      </c>
      <c r="I5346" s="7" t="s">
        <v>34945</v>
      </c>
      <c r="J5346" s="8" t="str">
        <f>HYPERLINK("https://drive.google.com/file/d/1jYCUj-JcSW26KV-9ujYL_8uDOeY-ag4d/view?usp=drivesdk","YANTA G SERTIFIKAT BerAKHLAK")</f>
        <v>YANTA G SERTIFIKAT BerAKHLAK</v>
      </c>
      <c r="K5346" s="5" t="s">
        <v>34938</v>
      </c>
      <c r="L5346" s="5" t="s">
        <v>34946</v>
      </c>
      <c r="M5346" s="5" t="s">
        <v>34947</v>
      </c>
      <c r="N5346" s="7" t="s">
        <v>34948</v>
      </c>
      <c r="O5346" s="8" t="str">
        <f>HYPERLINK("https://drive.google.com/file/d/10GfrH1w1nLOHNl4oVw-jIPG6pJQhmuVW/view?usp=drivesdk","5345_YANTA G _ SERTIFIKAT BerAKHLAK")</f>
        <v>5345_YANTA G _ SERTIFIKAT BerAKHLAK</v>
      </c>
      <c r="P5346" s="5" t="s">
        <v>34926</v>
      </c>
    </row>
    <row r="5347">
      <c r="A5347" s="4">
        <v>45534.3588843287</v>
      </c>
      <c r="B5347" s="5" t="s">
        <v>34</v>
      </c>
      <c r="D5347" s="5" t="s">
        <v>1206</v>
      </c>
      <c r="E5347" s="5" t="s">
        <v>34949</v>
      </c>
      <c r="F5347" s="5" t="s">
        <v>328</v>
      </c>
      <c r="G5347" s="5" t="s">
        <v>34950</v>
      </c>
      <c r="H5347" s="6" t="s">
        <v>34951</v>
      </c>
      <c r="I5347" s="7" t="s">
        <v>34952</v>
      </c>
      <c r="J5347" s="8" t="str">
        <f>HYPERLINK("https://drive.google.com/file/d/1onXWdaNBE43jP1lrgOUOHm9DdhCD_lai/view?usp=drivesdk","SUMARNO SERTIFIKAT BerAKHLAK")</f>
        <v>SUMARNO SERTIFIKAT BerAKHLAK</v>
      </c>
      <c r="K5347" s="5" t="s">
        <v>34938</v>
      </c>
      <c r="L5347" s="5" t="s">
        <v>34953</v>
      </c>
      <c r="M5347" s="5" t="s">
        <v>34954</v>
      </c>
      <c r="N5347" s="7" t="s">
        <v>34955</v>
      </c>
      <c r="O5347" s="8" t="str">
        <f>HYPERLINK("https://drive.google.com/file/d/1dgKilGfvJZ5cy6Bh8OmpoOwLYvawFsvH/view?usp=drivesdk","5346_SUMARNO _ SERTIFIKAT BerAKHLAK")</f>
        <v>5346_SUMARNO _ SERTIFIKAT BerAKHLAK</v>
      </c>
      <c r="P5347" s="5" t="s">
        <v>34926</v>
      </c>
    </row>
    <row r="5348">
      <c r="A5348" s="4">
        <v>45534.35891846065</v>
      </c>
      <c r="B5348" s="5" t="s">
        <v>34</v>
      </c>
      <c r="D5348" s="5" t="s">
        <v>1206</v>
      </c>
      <c r="E5348" s="5" t="s">
        <v>34956</v>
      </c>
      <c r="F5348" s="5" t="s">
        <v>524</v>
      </c>
      <c r="G5348" s="5" t="s">
        <v>34957</v>
      </c>
      <c r="H5348" s="6" t="s">
        <v>34958</v>
      </c>
      <c r="I5348" s="7" t="s">
        <v>34959</v>
      </c>
      <c r="J5348" s="8" t="str">
        <f>HYPERLINK("https://drive.google.com/file/d/1hbAQ0wHX2fOYdDVoyZxnHhgT6t-oDzis/view?usp=drivesdk","UMI HIDAYAH,S.KEB.,BDN SERTIFIKAT BerAKHLAK")</f>
        <v>UMI HIDAYAH,S.KEB.,BDN SERTIFIKAT BerAKHLAK</v>
      </c>
      <c r="K5348" s="5" t="s">
        <v>34818</v>
      </c>
      <c r="L5348" s="5" t="s">
        <v>34960</v>
      </c>
      <c r="M5348" s="5" t="s">
        <v>34961</v>
      </c>
      <c r="N5348" s="7" t="s">
        <v>34962</v>
      </c>
      <c r="O5348" s="8" t="str">
        <f>HYPERLINK("https://drive.google.com/file/d/1iAmdqNtP6AWS1siM-y8heMcc8ChP1B32/view?usp=drivesdk","5347_UMI HIDAYAH,S.KEB.,BDN _ SERTIFIKAT BerAKHLAK")</f>
        <v>5347_UMI HIDAYAH,S.KEB.,BDN _ SERTIFIKAT BerAKHLAK</v>
      </c>
      <c r="P5348" s="5" t="s">
        <v>34963</v>
      </c>
    </row>
    <row r="5349">
      <c r="A5349" s="4">
        <v>45534.3589316088</v>
      </c>
      <c r="B5349" s="5" t="s">
        <v>34</v>
      </c>
      <c r="D5349" s="5" t="s">
        <v>14424</v>
      </c>
      <c r="E5349" s="5" t="s">
        <v>34964</v>
      </c>
      <c r="F5349" s="5" t="s">
        <v>108</v>
      </c>
      <c r="G5349" s="5" t="s">
        <v>34965</v>
      </c>
      <c r="H5349" s="6" t="s">
        <v>34966</v>
      </c>
      <c r="I5349" s="7" t="s">
        <v>34967</v>
      </c>
      <c r="J5349" s="8" t="str">
        <f>HYPERLINK("https://drive.google.com/file/d/1JAO44goTMW6HJz7qy1DwkijgmIZKkxvB/view?usp=drivesdk","WERLY DARINTAH, A.Md. SERTIFIKAT BerAKHLAK")</f>
        <v>WERLY DARINTAH, A.Md. SERTIFIKAT BerAKHLAK</v>
      </c>
      <c r="K5349" s="5" t="s">
        <v>34818</v>
      </c>
      <c r="L5349" s="5" t="s">
        <v>34968</v>
      </c>
      <c r="M5349" s="5" t="s">
        <v>34969</v>
      </c>
      <c r="N5349" s="7" t="s">
        <v>34970</v>
      </c>
      <c r="O5349" s="8" t="str">
        <f>HYPERLINK("https://drive.google.com/file/d/1uUMdd-lyzw9zMZAMuZpm51a-S-1KcVbx/view?usp=drivesdk","5348_WERLY DARINTAH, A.Md. _ SERTIFIKAT BerAKHLAK")</f>
        <v>5348_WERLY DARINTAH, A.Md. _ SERTIFIKAT BerAKHLAK</v>
      </c>
      <c r="P5349" s="5" t="s">
        <v>34963</v>
      </c>
    </row>
    <row r="5350">
      <c r="A5350" s="4">
        <v>45534.35893793982</v>
      </c>
      <c r="B5350" s="5" t="s">
        <v>34</v>
      </c>
      <c r="D5350" s="5" t="s">
        <v>3849</v>
      </c>
      <c r="E5350" s="5" t="s">
        <v>34971</v>
      </c>
      <c r="F5350" s="5" t="s">
        <v>72</v>
      </c>
      <c r="G5350" s="5" t="s">
        <v>34972</v>
      </c>
      <c r="H5350" s="6" t="s">
        <v>34973</v>
      </c>
      <c r="I5350" s="7" t="s">
        <v>34974</v>
      </c>
      <c r="J5350" s="8" t="str">
        <f>HYPERLINK("https://drive.google.com/file/d/1Gh2evcnNer-obEb8bUaLil3gXaECEWGb/view?usp=drivesdk","CORRY GERUNG SERTIFIKAT BerAKHLAK")</f>
        <v>CORRY GERUNG SERTIFIKAT BerAKHLAK</v>
      </c>
      <c r="K5350" s="5" t="s">
        <v>34818</v>
      </c>
      <c r="L5350" s="5" t="s">
        <v>34975</v>
      </c>
      <c r="M5350" s="5" t="s">
        <v>34976</v>
      </c>
      <c r="N5350" s="7" t="s">
        <v>34977</v>
      </c>
      <c r="O5350" s="8" t="str">
        <f>HYPERLINK("https://drive.google.com/file/d/1U1qemRQUjZLnBeclN13TsnLylGW0rrOz/view?usp=drivesdk","5349_CORRY GERUNG _ SERTIFIKAT BerAKHLAK")</f>
        <v>5349_CORRY GERUNG _ SERTIFIKAT BerAKHLAK</v>
      </c>
      <c r="P5350" s="5" t="s">
        <v>34963</v>
      </c>
    </row>
    <row r="5351">
      <c r="A5351" s="4">
        <v>45534.35894841435</v>
      </c>
      <c r="B5351" s="5" t="s">
        <v>34</v>
      </c>
      <c r="D5351" s="5" t="s">
        <v>35</v>
      </c>
      <c r="E5351" s="5" t="s">
        <v>34978</v>
      </c>
      <c r="F5351" s="5" t="s">
        <v>375</v>
      </c>
      <c r="G5351" s="5" t="s">
        <v>34979</v>
      </c>
      <c r="H5351" s="6" t="s">
        <v>34980</v>
      </c>
      <c r="I5351" s="7" t="s">
        <v>34981</v>
      </c>
      <c r="J5351" s="8" t="str">
        <f>HYPERLINK("https://drive.google.com/file/d/1UWBpEiwPhrjh55I5hAYUx2uYa6MHJ_aX/view?usp=drivesdk","MOHAMAD IQBAL, S.E. SERTIFIKAT BerAKHLAK")</f>
        <v>MOHAMAD IQBAL, S.E. SERTIFIKAT BerAKHLAK</v>
      </c>
      <c r="K5351" s="5" t="s">
        <v>34818</v>
      </c>
      <c r="L5351" s="5" t="s">
        <v>34982</v>
      </c>
      <c r="M5351" s="5" t="s">
        <v>34983</v>
      </c>
      <c r="N5351" s="7" t="s">
        <v>34984</v>
      </c>
      <c r="O5351" s="8" t="str">
        <f>HYPERLINK("https://drive.google.com/file/d/14l_v2ehd9bT-gYluCFUk860b0vjheCks/view?usp=drivesdk","5350_MOHAMAD IQBAL, S.E. _ SERTIFIKAT BerAKHLAK")</f>
        <v>5350_MOHAMAD IQBAL, S.E. _ SERTIFIKAT BerAKHLAK</v>
      </c>
      <c r="P5351" s="5" t="s">
        <v>34963</v>
      </c>
    </row>
    <row r="5352">
      <c r="A5352" s="4">
        <v>45534.358953310184</v>
      </c>
      <c r="B5352" s="5" t="s">
        <v>34</v>
      </c>
      <c r="D5352" s="5" t="s">
        <v>7858</v>
      </c>
      <c r="E5352" s="5" t="s">
        <v>34985</v>
      </c>
      <c r="F5352" s="5" t="s">
        <v>524</v>
      </c>
      <c r="G5352" s="5" t="s">
        <v>34986</v>
      </c>
      <c r="H5352" s="6" t="s">
        <v>34987</v>
      </c>
      <c r="I5352" s="7" t="s">
        <v>34988</v>
      </c>
      <c r="J5352" s="8" t="str">
        <f>HYPERLINK("https://drive.google.com/file/d/1tzcX5I-xFjKuwBL7ZEJUw-OXEzT5Naw9/view?usp=drivesdk","ROSITA ANGGRAINI P, S.Kep SERTIFIKAT BerAKHLAK")</f>
        <v>ROSITA ANGGRAINI P, S.Kep SERTIFIKAT BerAKHLAK</v>
      </c>
      <c r="K5352" s="5" t="s">
        <v>34818</v>
      </c>
      <c r="L5352" s="5" t="s">
        <v>34989</v>
      </c>
      <c r="M5352" s="5" t="s">
        <v>34990</v>
      </c>
      <c r="N5352" s="7" t="s">
        <v>34991</v>
      </c>
      <c r="O5352" s="8" t="str">
        <f>HYPERLINK("https://drive.google.com/file/d/14cyznhmGquwl6eo5qBMW3Q514EDo7ta2/view?usp=drivesdk","5351_ROSITA ANGGRAINI P, S.Kep _ SERTIFIKAT BerAKHLAK")</f>
        <v>5351_ROSITA ANGGRAINI P, S.Kep _ SERTIFIKAT BerAKHLAK</v>
      </c>
      <c r="P5352" s="5" t="s">
        <v>34992</v>
      </c>
    </row>
    <row r="5353">
      <c r="A5353" s="4">
        <v>45534.35897273148</v>
      </c>
      <c r="B5353" s="5" t="s">
        <v>34</v>
      </c>
      <c r="D5353" s="5" t="s">
        <v>4775</v>
      </c>
      <c r="E5353" s="5" t="s">
        <v>34993</v>
      </c>
      <c r="F5353" s="5" t="s">
        <v>328</v>
      </c>
      <c r="G5353" s="5" t="s">
        <v>34994</v>
      </c>
      <c r="H5353" s="6" t="s">
        <v>34995</v>
      </c>
      <c r="I5353" s="7" t="s">
        <v>34996</v>
      </c>
      <c r="J5353" s="8" t="str">
        <f>HYPERLINK("https://drive.google.com/file/d/125Hqw2qTS93BBiJMg5A_cPvucEKazfjl/view?usp=drivesdk","YUSWANTO  SERTIFIKAT BerAKHLAK")</f>
        <v>YUSWANTO  SERTIFIKAT BerAKHLAK</v>
      </c>
      <c r="K5353" s="5" t="s">
        <v>34818</v>
      </c>
      <c r="L5353" s="5" t="s">
        <v>34997</v>
      </c>
      <c r="M5353" s="5" t="s">
        <v>34998</v>
      </c>
      <c r="N5353" s="7" t="s">
        <v>34999</v>
      </c>
      <c r="O5353" s="8" t="str">
        <f>HYPERLINK("https://drive.google.com/file/d/15n8OKEgEc6XprC6a6OWWe6qE1qvNiYZB/view?usp=drivesdk","5352_YUSWANTO  _ SERTIFIKAT BerAKHLAK")</f>
        <v>5352_YUSWANTO  _ SERTIFIKAT BerAKHLAK</v>
      </c>
      <c r="P5353" s="5" t="s">
        <v>34992</v>
      </c>
    </row>
    <row r="5354" hidden="1">
      <c r="A5354" s="4">
        <v>45534.35898527778</v>
      </c>
      <c r="B5354" s="5" t="s">
        <v>19</v>
      </c>
      <c r="C5354" s="5" t="s">
        <v>292</v>
      </c>
      <c r="E5354" s="5" t="s">
        <v>35000</v>
      </c>
      <c r="F5354" s="5" t="s">
        <v>212</v>
      </c>
      <c r="G5354" s="5" t="s">
        <v>35001</v>
      </c>
      <c r="H5354" s="6" t="s">
        <v>35002</v>
      </c>
      <c r="I5354" s="7" t="s">
        <v>35003</v>
      </c>
      <c r="J5354" s="8" t="str">
        <f>HYPERLINK("https://drive.google.com/file/d/1d-ASStw_h1Nh2RVn_ktu_0XP-HgrAX63/view?usp=drivesdk","MARYANI SERTIFIKAT BerAKHLAK")</f>
        <v>MARYANI SERTIFIKAT BerAKHLAK</v>
      </c>
      <c r="K5354" s="5" t="s">
        <v>34938</v>
      </c>
      <c r="L5354" s="5" t="s">
        <v>35004</v>
      </c>
      <c r="M5354" s="5" t="s">
        <v>35005</v>
      </c>
      <c r="N5354" s="7" t="s">
        <v>35006</v>
      </c>
      <c r="O5354" s="8" t="str">
        <f>HYPERLINK("https://drive.google.com/file/d/1FkDoBPWs6ydMdDll9Yj_E2eb57b0O_qE/view?usp=drivesdk","5353_MARYANI _ SERTIFIKAT BerAKHLAK")</f>
        <v>5353_MARYANI _ SERTIFIKAT BerAKHLAK</v>
      </c>
      <c r="P5354" s="5" t="s">
        <v>34992</v>
      </c>
    </row>
    <row r="5355">
      <c r="A5355" s="4">
        <v>45534.35899432871</v>
      </c>
      <c r="B5355" s="5" t="s">
        <v>34</v>
      </c>
      <c r="D5355" s="5" t="s">
        <v>280</v>
      </c>
      <c r="E5355" s="5" t="s">
        <v>35007</v>
      </c>
      <c r="F5355" s="5" t="s">
        <v>212</v>
      </c>
      <c r="G5355" s="5" t="s">
        <v>35008</v>
      </c>
      <c r="H5355" s="6" t="s">
        <v>35009</v>
      </c>
      <c r="I5355" s="7" t="s">
        <v>35010</v>
      </c>
      <c r="J5355" s="8" t="str">
        <f>HYPERLINK("https://drive.google.com/file/d/12DW45I30fNulS9D2dQXoiURFOFN9M1yy/view?usp=drivesdk","EVY JAPRIJANTI SERTIFIKAT BerAKHLAK")</f>
        <v>EVY JAPRIJANTI SERTIFIKAT BerAKHLAK</v>
      </c>
      <c r="K5355" s="5" t="s">
        <v>34938</v>
      </c>
      <c r="L5355" s="5" t="s">
        <v>35011</v>
      </c>
      <c r="M5355" s="5" t="s">
        <v>35012</v>
      </c>
      <c r="N5355" s="7" t="s">
        <v>35013</v>
      </c>
      <c r="O5355" s="8" t="str">
        <f>HYPERLINK("https://drive.google.com/file/d/17HcxkDjquzVe-R0QTSulPuYqY5cGsZq6/view?usp=drivesdk","5354_EVY JAPRIJANTI _ SERTIFIKAT BerAKHLAK")</f>
        <v>5354_EVY JAPRIJANTI _ SERTIFIKAT BerAKHLAK</v>
      </c>
      <c r="P5355" s="5" t="s">
        <v>34992</v>
      </c>
    </row>
    <row r="5356">
      <c r="A5356" s="4">
        <v>45534.35901368056</v>
      </c>
      <c r="B5356" s="5" t="s">
        <v>34</v>
      </c>
      <c r="D5356" s="5" t="s">
        <v>4775</v>
      </c>
      <c r="E5356" s="5" t="s">
        <v>35014</v>
      </c>
      <c r="F5356" s="5" t="s">
        <v>37</v>
      </c>
      <c r="G5356" s="5" t="s">
        <v>35015</v>
      </c>
      <c r="H5356" s="6" t="s">
        <v>35016</v>
      </c>
      <c r="I5356" s="7" t="s">
        <v>35017</v>
      </c>
      <c r="J5356" s="8" t="str">
        <f>HYPERLINK("https://drive.google.com/file/d/1ucFiDPhSVUnZPct6dCE5-jsrKTCCTsF2/view?usp=drivesdk","SUKIMIN SERTIFIKAT BerAKHLAK")</f>
        <v>SUKIMIN SERTIFIKAT BerAKHLAK</v>
      </c>
      <c r="K5356" s="5" t="s">
        <v>34818</v>
      </c>
      <c r="L5356" s="5" t="s">
        <v>35018</v>
      </c>
      <c r="M5356" s="5" t="s">
        <v>35019</v>
      </c>
      <c r="N5356" s="7" t="s">
        <v>35020</v>
      </c>
      <c r="O5356" s="8" t="str">
        <f>HYPERLINK("https://drive.google.com/file/d/1_oIrHVYZY_qhoWopF2cHFJ-fa9sT-nXw/view?usp=drivesdk","5355_SUKIMIN _ SERTIFIKAT BerAKHLAK")</f>
        <v>5355_SUKIMIN _ SERTIFIKAT BerAKHLAK</v>
      </c>
      <c r="P5356" s="5" t="s">
        <v>34992</v>
      </c>
    </row>
    <row r="5357">
      <c r="A5357" s="4">
        <v>45534.359049583334</v>
      </c>
      <c r="B5357" s="5" t="s">
        <v>34</v>
      </c>
      <c r="D5357" s="5" t="s">
        <v>35</v>
      </c>
      <c r="E5357" s="5" t="s">
        <v>35021</v>
      </c>
      <c r="F5357" s="5" t="s">
        <v>22</v>
      </c>
      <c r="G5357" s="5" t="s">
        <v>35022</v>
      </c>
      <c r="H5357" s="6" t="s">
        <v>35023</v>
      </c>
      <c r="K5357" s="5" t="s">
        <v>35024</v>
      </c>
      <c r="M5357" s="5" t="s">
        <v>35025</v>
      </c>
      <c r="N5357" s="7" t="s">
        <v>35026</v>
      </c>
      <c r="O5357" s="8" t="str">
        <f>HYPERLINK("https://drive.google.com/file/d/1LcN0ecWFDF812hsIVtKIDyJVNKVyWnF2/view?usp=drivesdk","5356_DJATMONO _ SERTIFIKAT BerAKHLAK")</f>
        <v>5356_DJATMONO _ SERTIFIKAT BerAKHLAK</v>
      </c>
      <c r="P5357" s="5" t="s">
        <v>34992</v>
      </c>
    </row>
    <row r="5358">
      <c r="A5358" s="4">
        <v>45534.359052141204</v>
      </c>
      <c r="B5358" s="5" t="s">
        <v>34</v>
      </c>
      <c r="D5358" s="5" t="s">
        <v>1768</v>
      </c>
      <c r="E5358" s="5" t="s">
        <v>35027</v>
      </c>
      <c r="F5358" s="5" t="s">
        <v>524</v>
      </c>
      <c r="G5358" s="5" t="s">
        <v>35028</v>
      </c>
      <c r="H5358" s="6" t="s">
        <v>35029</v>
      </c>
      <c r="K5358" s="5" t="s">
        <v>35024</v>
      </c>
      <c r="M5358" s="5" t="s">
        <v>35030</v>
      </c>
      <c r="N5358" s="7" t="s">
        <v>35031</v>
      </c>
      <c r="O5358" s="8" t="str">
        <f>HYPERLINK("https://drive.google.com/file/d/1Pct8jpFn2qToK0k1PprS90S5WR83VYSC/view?usp=drivesdk","5357_WULANDARI PRAMONO,AMD _ SERTIFIKAT BerAKHLAK")</f>
        <v>5357_WULANDARI PRAMONO,AMD _ SERTIFIKAT BerAKHLAK</v>
      </c>
      <c r="P5358" s="5" t="s">
        <v>35032</v>
      </c>
    </row>
    <row r="5359">
      <c r="A5359" s="4">
        <v>45534.35906120371</v>
      </c>
      <c r="B5359" s="5" t="s">
        <v>34</v>
      </c>
      <c r="D5359" s="5" t="s">
        <v>4775</v>
      </c>
      <c r="E5359" s="5" t="s">
        <v>35033</v>
      </c>
      <c r="F5359" s="5" t="s">
        <v>375</v>
      </c>
      <c r="G5359" s="5" t="s">
        <v>35034</v>
      </c>
      <c r="H5359" s="6" t="s">
        <v>35035</v>
      </c>
      <c r="I5359" s="7" t="s">
        <v>35036</v>
      </c>
      <c r="J5359" s="8" t="str">
        <f>HYPERLINK("https://drive.google.com/file/d/11bL0sxnw87TAGZcmFM52xm-Pkk8CIfje/view?usp=drivesdk","RETNO SUNDARI,S.E SERTIFIKAT BerAKHLAK")</f>
        <v>RETNO SUNDARI,S.E SERTIFIKAT BerAKHLAK</v>
      </c>
      <c r="K5359" s="5" t="s">
        <v>34818</v>
      </c>
      <c r="L5359" s="5" t="s">
        <v>35037</v>
      </c>
      <c r="M5359" s="5" t="s">
        <v>35038</v>
      </c>
      <c r="N5359" s="7" t="s">
        <v>35039</v>
      </c>
      <c r="O5359" s="8" t="str">
        <f>HYPERLINK("https://drive.google.com/file/d/1TNPkbFFvg-i2hL_9t-SNYG-qjV_bJ0Wu/view?usp=drivesdk","5358_RETNO SUNDARI,S.E _ SERTIFIKAT BerAKHLAK")</f>
        <v>5358_RETNO SUNDARI,S.E _ SERTIFIKAT BerAKHLAK</v>
      </c>
      <c r="P5359" s="5" t="s">
        <v>35032</v>
      </c>
    </row>
    <row r="5360">
      <c r="A5360" s="4">
        <v>45534.35906747685</v>
      </c>
      <c r="B5360" s="5" t="s">
        <v>34</v>
      </c>
      <c r="D5360" s="5" t="s">
        <v>12978</v>
      </c>
      <c r="E5360" s="5" t="s">
        <v>35040</v>
      </c>
      <c r="F5360" s="5" t="s">
        <v>108</v>
      </c>
      <c r="G5360" s="5" t="s">
        <v>35041</v>
      </c>
      <c r="H5360" s="6" t="s">
        <v>35042</v>
      </c>
      <c r="K5360" s="5" t="s">
        <v>35043</v>
      </c>
      <c r="M5360" s="5" t="s">
        <v>35044</v>
      </c>
      <c r="N5360" s="7" t="s">
        <v>35045</v>
      </c>
      <c r="O5360" s="8" t="str">
        <f>HYPERLINK("https://drive.google.com/file/d/14gySI9VoKfmNlf9RGv0ONiRsbi8hWmm6/view?usp=drivesdk","5359_HERI SUSANAH  _ SERTIFIKAT BerAKHLAK")</f>
        <v>5359_HERI SUSANAH  _ SERTIFIKAT BerAKHLAK</v>
      </c>
      <c r="P5360" s="5" t="s">
        <v>35032</v>
      </c>
    </row>
    <row r="5361">
      <c r="A5361" s="4">
        <v>45534.35909604166</v>
      </c>
      <c r="B5361" s="5" t="s">
        <v>34</v>
      </c>
      <c r="D5361" s="5" t="s">
        <v>9020</v>
      </c>
      <c r="E5361" s="5" t="s">
        <v>35046</v>
      </c>
      <c r="F5361" s="5" t="s">
        <v>524</v>
      </c>
      <c r="G5361" s="5" t="s">
        <v>35047</v>
      </c>
      <c r="H5361" s="6" t="s">
        <v>35048</v>
      </c>
      <c r="K5361" s="5" t="s">
        <v>35043</v>
      </c>
      <c r="M5361" s="5" t="s">
        <v>35049</v>
      </c>
      <c r="N5361" s="7" t="s">
        <v>35050</v>
      </c>
      <c r="O5361" s="8" t="str">
        <f>HYPERLINK("https://drive.google.com/file/d/1fcD3rBHo2rmBTFow19-mY90lK-o_9tvJ/view?usp=drivesdk","5360_DWI ASTUTI, S.H. _ SERTIFIKAT BerAKHLAK")</f>
        <v>5360_DWI ASTUTI, S.H. _ SERTIFIKAT BerAKHLAK</v>
      </c>
      <c r="P5361" s="5" t="s">
        <v>35032</v>
      </c>
    </row>
    <row r="5362">
      <c r="A5362" s="4">
        <v>45534.359102511575</v>
      </c>
      <c r="B5362" s="5" t="s">
        <v>34</v>
      </c>
      <c r="D5362" s="5" t="s">
        <v>4775</v>
      </c>
      <c r="E5362" s="5" t="s">
        <v>35051</v>
      </c>
      <c r="F5362" s="5" t="s">
        <v>72</v>
      </c>
      <c r="G5362" s="5" t="s">
        <v>35052</v>
      </c>
      <c r="H5362" s="6" t="s">
        <v>35053</v>
      </c>
      <c r="K5362" s="5" t="s">
        <v>35043</v>
      </c>
      <c r="M5362" s="5" t="s">
        <v>35054</v>
      </c>
      <c r="N5362" s="7" t="s">
        <v>35055</v>
      </c>
      <c r="O5362" s="8" t="str">
        <f>HYPERLINK("https://drive.google.com/file/d/17EyJRtpG9MPfHwmPJb3kYlYIQN3U9-DJ/view?usp=drivesdk","5361_AKHMAD ZAENAL ARIFIN, S.Ftr _ SERTIFIKAT BerAKHLAK")</f>
        <v>5361_AKHMAD ZAENAL ARIFIN, S.Ftr _ SERTIFIKAT BerAKHLAK</v>
      </c>
      <c r="P5362" s="5" t="s">
        <v>35056</v>
      </c>
    </row>
    <row r="5363">
      <c r="A5363" s="4">
        <v>45534.35910646991</v>
      </c>
      <c r="B5363" s="5" t="s">
        <v>34</v>
      </c>
      <c r="D5363" s="5" t="s">
        <v>1206</v>
      </c>
      <c r="E5363" s="5" t="s">
        <v>35057</v>
      </c>
      <c r="F5363" s="5" t="s">
        <v>37</v>
      </c>
      <c r="G5363" s="5" t="s">
        <v>35058</v>
      </c>
      <c r="H5363" s="6" t="s">
        <v>35059</v>
      </c>
      <c r="K5363" s="5" t="s">
        <v>35043</v>
      </c>
      <c r="M5363" s="5" t="s">
        <v>35060</v>
      </c>
      <c r="N5363" s="7" t="s">
        <v>35061</v>
      </c>
      <c r="O5363" s="8" t="str">
        <f>HYPERLINK("https://drive.google.com/file/d/1vzO2ylqxa543hdAlrUeCvOTO50r-41WV/view?usp=drivesdk","5362_MINARNI _ SERTIFIKAT BerAKHLAK")</f>
        <v>5362_MINARNI _ SERTIFIKAT BerAKHLAK</v>
      </c>
      <c r="P5363" s="5" t="s">
        <v>35056</v>
      </c>
    </row>
    <row r="5364">
      <c r="A5364" s="4">
        <v>45534.359113819446</v>
      </c>
      <c r="B5364" s="5" t="s">
        <v>34</v>
      </c>
      <c r="D5364" s="5" t="s">
        <v>4775</v>
      </c>
      <c r="E5364" s="5" t="s">
        <v>35062</v>
      </c>
      <c r="F5364" s="5" t="s">
        <v>524</v>
      </c>
      <c r="G5364" s="5" t="s">
        <v>35063</v>
      </c>
      <c r="H5364" s="6" t="s">
        <v>35064</v>
      </c>
      <c r="I5364" s="7" t="s">
        <v>35065</v>
      </c>
      <c r="J5364" s="8" t="str">
        <f>HYPERLINK("https://drive.google.com/file/d/1lQiFIigaabJ3Nc0Bp7W4NnZlcEAH22bz/view?usp=drivesdk","SRI WIDODO  SERTIFIKAT BerAKHLAK")</f>
        <v>SRI WIDODO  SERTIFIKAT BerAKHLAK</v>
      </c>
      <c r="K5364" s="5" t="s">
        <v>34818</v>
      </c>
      <c r="L5364" s="5" t="s">
        <v>35066</v>
      </c>
      <c r="M5364" s="5" t="s">
        <v>35067</v>
      </c>
      <c r="N5364" s="7" t="s">
        <v>35068</v>
      </c>
      <c r="O5364" s="8" t="str">
        <f>HYPERLINK("https://drive.google.com/file/d/1Bs1wRi52Rca9mmyBqtPulfrk1DqrOTZG/view?usp=drivesdk","5363_SRI WIDODO  _ SERTIFIKAT BerAKHLAK")</f>
        <v>5363_SRI WIDODO  _ SERTIFIKAT BerAKHLAK</v>
      </c>
      <c r="P5364" s="5" t="s">
        <v>35056</v>
      </c>
    </row>
    <row r="5365">
      <c r="A5365" s="4">
        <v>45534.359113900464</v>
      </c>
      <c r="B5365" s="5" t="s">
        <v>34</v>
      </c>
      <c r="D5365" s="5" t="s">
        <v>1206</v>
      </c>
      <c r="E5365" s="5" t="s">
        <v>35069</v>
      </c>
      <c r="F5365" s="5" t="s">
        <v>37</v>
      </c>
      <c r="G5365" s="5" t="s">
        <v>35070</v>
      </c>
      <c r="H5365" s="6" t="s">
        <v>35071</v>
      </c>
      <c r="K5365" s="5" t="s">
        <v>35072</v>
      </c>
      <c r="M5365" s="5" t="s">
        <v>35073</v>
      </c>
      <c r="N5365" s="7" t="s">
        <v>35074</v>
      </c>
      <c r="O5365" s="8" t="str">
        <f>HYPERLINK("https://drive.google.com/file/d/1VFj3G7AiH9G3Fd4hcPBD9LS1k0sSC7fa/view?usp=drivesdk","5364_KRUSTI MAJOGJANI _ SERTIFIKAT BerAKHLAK")</f>
        <v>5364_KRUSTI MAJOGJANI _ SERTIFIKAT BerAKHLAK</v>
      </c>
      <c r="P5365" s="5" t="s">
        <v>35056</v>
      </c>
    </row>
    <row r="5366">
      <c r="A5366" s="4">
        <v>45534.359115960644</v>
      </c>
      <c r="B5366" s="5" t="s">
        <v>34</v>
      </c>
      <c r="D5366" s="5" t="s">
        <v>1206</v>
      </c>
      <c r="E5366" s="5" t="s">
        <v>24624</v>
      </c>
      <c r="F5366" s="5" t="s">
        <v>37</v>
      </c>
      <c r="G5366" s="5" t="s">
        <v>35075</v>
      </c>
      <c r="H5366" s="6" t="s">
        <v>35076</v>
      </c>
      <c r="K5366" s="5" t="s">
        <v>35072</v>
      </c>
      <c r="M5366" s="5" t="s">
        <v>35077</v>
      </c>
      <c r="N5366" s="7" t="s">
        <v>35078</v>
      </c>
      <c r="O5366" s="8" t="str">
        <f>HYPERLINK("https://drive.google.com/file/d/1IM9XmFq2OwK9iTNW9kdWhPbKX4lQAZC8/view?usp=drivesdk","5365_SUGIONO _ SERTIFIKAT BerAKHLAK")</f>
        <v>5365_SUGIONO _ SERTIFIKAT BerAKHLAK</v>
      </c>
      <c r="P5366" s="5" t="s">
        <v>35056</v>
      </c>
    </row>
    <row r="5367">
      <c r="A5367" s="4">
        <v>45534.359117581014</v>
      </c>
      <c r="B5367" s="5" t="s">
        <v>34</v>
      </c>
      <c r="D5367" s="5" t="s">
        <v>4775</v>
      </c>
      <c r="E5367" s="5" t="s">
        <v>35079</v>
      </c>
      <c r="F5367" s="5" t="s">
        <v>212</v>
      </c>
      <c r="G5367" s="5" t="s">
        <v>35080</v>
      </c>
      <c r="H5367" s="6" t="s">
        <v>35081</v>
      </c>
      <c r="K5367" s="5" t="s">
        <v>35072</v>
      </c>
      <c r="M5367" s="5" t="s">
        <v>35082</v>
      </c>
      <c r="N5367" s="7" t="s">
        <v>35083</v>
      </c>
      <c r="O5367" s="8" t="str">
        <f>HYPERLINK("https://drive.google.com/file/d/1coXhJpKZqehSFndI_zMMIV6HwxVIrEXh/view?usp=drivesdk","5366_RIBUT TRIYANA _ SERTIFIKAT BerAKHLAK")</f>
        <v>5366_RIBUT TRIYANA _ SERTIFIKAT BerAKHLAK</v>
      </c>
      <c r="P5367" s="5" t="s">
        <v>35056</v>
      </c>
    </row>
    <row r="5368" hidden="1">
      <c r="A5368" s="4">
        <v>45534.35915881944</v>
      </c>
      <c r="B5368" s="5" t="s">
        <v>19</v>
      </c>
      <c r="C5368" s="5" t="s">
        <v>292</v>
      </c>
      <c r="E5368" s="5" t="s">
        <v>31324</v>
      </c>
      <c r="F5368" s="5" t="s">
        <v>72</v>
      </c>
      <c r="G5368" s="5" t="s">
        <v>35084</v>
      </c>
      <c r="H5368" s="6" t="s">
        <v>35085</v>
      </c>
      <c r="K5368" s="5" t="s">
        <v>35072</v>
      </c>
      <c r="M5368" s="5" t="s">
        <v>35086</v>
      </c>
      <c r="N5368" s="7" t="s">
        <v>35087</v>
      </c>
      <c r="O5368" s="8" t="str">
        <f>HYPERLINK("https://drive.google.com/file/d/1cIRUbUAuI2ofkNyvw2tGoryRz5Mel_OY/view?usp=drivesdk","5367_ARIFIN _ SERTIFIKAT BerAKHLAK")</f>
        <v>5367_ARIFIN _ SERTIFIKAT BerAKHLAK</v>
      </c>
      <c r="P5368" s="5" t="s">
        <v>35088</v>
      </c>
    </row>
    <row r="5369">
      <c r="A5369" s="4">
        <v>45534.35918543981</v>
      </c>
      <c r="B5369" s="5" t="s">
        <v>34</v>
      </c>
      <c r="D5369" s="5" t="s">
        <v>14313</v>
      </c>
      <c r="E5369" s="5" t="s">
        <v>35089</v>
      </c>
      <c r="F5369" s="5" t="s">
        <v>212</v>
      </c>
      <c r="G5369" s="5" t="s">
        <v>35090</v>
      </c>
      <c r="H5369" s="6" t="s">
        <v>35091</v>
      </c>
      <c r="K5369" s="5" t="s">
        <v>35072</v>
      </c>
      <c r="M5369" s="5" t="s">
        <v>35092</v>
      </c>
      <c r="N5369" s="7" t="s">
        <v>35093</v>
      </c>
      <c r="O5369" s="8" t="str">
        <f>HYPERLINK("https://drive.google.com/file/d/1hPfX2b5hFEjNUy46XCMnn2XIlH69xpBF/view?usp=drivesdk","5368_SHANTI PERMANASARI _ SERTIFIKAT BerAKHLAK")</f>
        <v>5368_SHANTI PERMANASARI _ SERTIFIKAT BerAKHLAK</v>
      </c>
      <c r="P5369" s="5" t="s">
        <v>35088</v>
      </c>
    </row>
    <row r="5370" hidden="1">
      <c r="A5370" s="4">
        <v>45534.359189675924</v>
      </c>
      <c r="B5370" s="5" t="s">
        <v>19</v>
      </c>
      <c r="C5370" s="5" t="s">
        <v>5058</v>
      </c>
      <c r="E5370" s="5" t="s">
        <v>35094</v>
      </c>
      <c r="F5370" s="5" t="s">
        <v>120</v>
      </c>
      <c r="G5370" s="5" t="s">
        <v>35095</v>
      </c>
      <c r="H5370" s="6" t="s">
        <v>35096</v>
      </c>
      <c r="K5370" s="5" t="s">
        <v>35072</v>
      </c>
      <c r="M5370" s="5" t="s">
        <v>35097</v>
      </c>
      <c r="N5370" s="7" t="s">
        <v>35098</v>
      </c>
      <c r="O5370" s="8" t="str">
        <f>HYPERLINK("https://drive.google.com/file/d/1_cOtXw2zcThO5GNwl0B7iDV9JwGyVNNT/view?usp=drivesdk","5369_SUMINI, SE _ SERTIFIKAT BerAKHLAK")</f>
        <v>5369_SUMINI, SE _ SERTIFIKAT BerAKHLAK</v>
      </c>
      <c r="P5370" s="5" t="s">
        <v>35088</v>
      </c>
    </row>
    <row r="5371">
      <c r="A5371" s="4">
        <v>45534.359194108794</v>
      </c>
      <c r="B5371" s="5" t="s">
        <v>34</v>
      </c>
      <c r="D5371" s="5" t="s">
        <v>3849</v>
      </c>
      <c r="E5371" s="5" t="s">
        <v>35099</v>
      </c>
      <c r="F5371" s="5" t="s">
        <v>375</v>
      </c>
      <c r="G5371" s="5" t="s">
        <v>35100</v>
      </c>
      <c r="H5371" s="6" t="s">
        <v>35101</v>
      </c>
      <c r="K5371" s="5" t="s">
        <v>35072</v>
      </c>
      <c r="M5371" s="5" t="s">
        <v>35102</v>
      </c>
      <c r="N5371" s="7" t="s">
        <v>35103</v>
      </c>
      <c r="O5371" s="8" t="str">
        <f>HYPERLINK("https://drive.google.com/file/d/13Od8Jx3T1CgLcy9m6k81bvqnYj5SfokD/view?usp=drivesdk","5370_LIZA, SKM _ SERTIFIKAT BerAKHLAK")</f>
        <v>5370_LIZA, SKM _ SERTIFIKAT BerAKHLAK</v>
      </c>
      <c r="P5371" s="5" t="s">
        <v>35088</v>
      </c>
    </row>
    <row r="5372">
      <c r="A5372" s="4">
        <v>45534.35921072916</v>
      </c>
      <c r="B5372" s="5" t="s">
        <v>34</v>
      </c>
      <c r="D5372" s="5" t="s">
        <v>701</v>
      </c>
      <c r="E5372" s="5" t="s">
        <v>35104</v>
      </c>
      <c r="F5372" s="5" t="s">
        <v>212</v>
      </c>
      <c r="G5372" s="5" t="s">
        <v>35105</v>
      </c>
      <c r="H5372" s="6" t="s">
        <v>35106</v>
      </c>
      <c r="K5372" s="5" t="s">
        <v>35072</v>
      </c>
      <c r="M5372" s="5" t="s">
        <v>35107</v>
      </c>
      <c r="N5372" s="7" t="s">
        <v>35108</v>
      </c>
      <c r="O5372" s="8" t="str">
        <f>HYPERLINK("https://drive.google.com/file/d/1QA-pCUREbEoGjBSuW7g2X1piSrsN12Tf/view?usp=drivesdk","5371_RADIRSA ZANDRA _ SERTIFIKAT BerAKHLAK")</f>
        <v>5371_RADIRSA ZANDRA _ SERTIFIKAT BerAKHLAK</v>
      </c>
      <c r="P5372" s="5" t="s">
        <v>35088</v>
      </c>
    </row>
    <row r="5373">
      <c r="A5373" s="4">
        <v>45534.359232546296</v>
      </c>
      <c r="B5373" s="5" t="s">
        <v>34</v>
      </c>
      <c r="D5373" s="5" t="s">
        <v>1206</v>
      </c>
      <c r="E5373" s="5" t="s">
        <v>35109</v>
      </c>
      <c r="F5373" s="5" t="s">
        <v>524</v>
      </c>
      <c r="G5373" s="5" t="s">
        <v>35110</v>
      </c>
      <c r="H5373" s="6" t="s">
        <v>35111</v>
      </c>
      <c r="I5373" s="7" t="s">
        <v>35112</v>
      </c>
      <c r="J5373" s="8" t="str">
        <f>HYPERLINK("https://drive.google.com/file/d/11zw7Ltx_ru3JctY_0Cya6QhYPLhSWiKO/view?usp=drivesdk","SALIS ANDARI SERTIFIKAT BerAKHLAK")</f>
        <v>SALIS ANDARI SERTIFIKAT BerAKHLAK</v>
      </c>
      <c r="K5373" s="5" t="s">
        <v>34818</v>
      </c>
      <c r="L5373" s="5" t="s">
        <v>35113</v>
      </c>
      <c r="M5373" s="5" t="s">
        <v>35114</v>
      </c>
      <c r="N5373" s="7" t="s">
        <v>35115</v>
      </c>
      <c r="O5373" s="8" t="str">
        <f>HYPERLINK("https://drive.google.com/file/d/1hVx7-87ZbGDM6FWKAxDl295PUGzvc7iz/view?usp=drivesdk","5372_SALIS ANDARI _ SERTIFIKAT BerAKHLAK")</f>
        <v>5372_SALIS ANDARI _ SERTIFIKAT BerAKHLAK</v>
      </c>
      <c r="P5373" s="5" t="s">
        <v>35116</v>
      </c>
    </row>
    <row r="5374">
      <c r="A5374" s="4">
        <v>45534.359256145835</v>
      </c>
      <c r="B5374" s="5" t="s">
        <v>34</v>
      </c>
      <c r="D5374" s="5" t="s">
        <v>1558</v>
      </c>
      <c r="E5374" s="5" t="s">
        <v>35117</v>
      </c>
      <c r="F5374" s="5" t="s">
        <v>108</v>
      </c>
      <c r="G5374" s="5" t="s">
        <v>35118</v>
      </c>
      <c r="H5374" s="6" t="s">
        <v>35119</v>
      </c>
      <c r="K5374" s="5" t="s">
        <v>35120</v>
      </c>
      <c r="M5374" s="5" t="s">
        <v>35121</v>
      </c>
      <c r="N5374" s="7" t="s">
        <v>35122</v>
      </c>
      <c r="O5374" s="8" t="str">
        <f>HYPERLINK("https://drive.google.com/file/d/1GlVjV5GdTOlcMrXENRWjiCUUlmzuD96T/view?usp=drivesdk","5373_TRI ASTUTI _ SERTIFIKAT BerAKHLAK")</f>
        <v>5373_TRI ASTUTI _ SERTIFIKAT BerAKHLAK</v>
      </c>
      <c r="P5374" s="5" t="s">
        <v>35116</v>
      </c>
    </row>
    <row r="5375">
      <c r="A5375" s="4">
        <v>45534.3592594213</v>
      </c>
      <c r="B5375" s="5" t="s">
        <v>34</v>
      </c>
      <c r="D5375" s="5" t="s">
        <v>1456</v>
      </c>
      <c r="E5375" s="5" t="s">
        <v>35123</v>
      </c>
      <c r="F5375" s="5" t="s">
        <v>375</v>
      </c>
      <c r="G5375" s="5" t="s">
        <v>35124</v>
      </c>
      <c r="H5375" s="6" t="s">
        <v>35125</v>
      </c>
      <c r="K5375" s="5" t="s">
        <v>35120</v>
      </c>
      <c r="M5375" s="5" t="s">
        <v>35126</v>
      </c>
      <c r="N5375" s="7" t="s">
        <v>35127</v>
      </c>
      <c r="O5375" s="8" t="str">
        <f>HYPERLINK("https://drive.google.com/file/d/1qSTddSi2I7Kz1rFoWmbaFzxWqoOS7Q4t/view?usp=drivesdk","5374_PRIHATININGTIAS MURTI. S, S.E.  _ SERTIFIKAT BerAKHLAK")</f>
        <v>5374_PRIHATININGTIAS MURTI. S, S.E.  _ SERTIFIKAT BerAKHLAK</v>
      </c>
      <c r="P5375" s="5" t="s">
        <v>35116</v>
      </c>
    </row>
    <row r="5376">
      <c r="A5376" s="4">
        <v>45534.359275509254</v>
      </c>
      <c r="B5376" s="5" t="s">
        <v>34</v>
      </c>
      <c r="D5376" s="5" t="s">
        <v>4775</v>
      </c>
      <c r="E5376" s="5" t="s">
        <v>35128</v>
      </c>
      <c r="F5376" s="5" t="s">
        <v>37</v>
      </c>
      <c r="G5376" s="5" t="s">
        <v>35129</v>
      </c>
      <c r="H5376" s="6" t="s">
        <v>35130</v>
      </c>
      <c r="I5376" s="7" t="s">
        <v>35131</v>
      </c>
      <c r="J5376" s="8" t="str">
        <f>HYPERLINK("https://drive.google.com/file/d/1hobpGj5cMfjEkPh_DN1M7uKfJgcnVtMl/view?usp=drivesdk","YUNITA DESY RUSMAWATI  SERTIFIKAT BerAKHLAK")</f>
        <v>YUNITA DESY RUSMAWATI  SERTIFIKAT BerAKHLAK</v>
      </c>
      <c r="K5376" s="5" t="s">
        <v>34818</v>
      </c>
      <c r="L5376" s="5" t="s">
        <v>35132</v>
      </c>
      <c r="M5376" s="5" t="s">
        <v>35133</v>
      </c>
      <c r="N5376" s="7" t="s">
        <v>35134</v>
      </c>
      <c r="O5376" s="8" t="str">
        <f>HYPERLINK("https://drive.google.com/file/d/1SXl3GQQNpB6YqMBebWRWrq5IGaG6v9ac/view?usp=drivesdk","5375_YUNITA DESY RUSMAWATI  _ SERTIFIKAT BerAKHLAK")</f>
        <v>5375_YUNITA DESY RUSMAWATI  _ SERTIFIKAT BerAKHLAK</v>
      </c>
      <c r="P5376" s="5" t="s">
        <v>35116</v>
      </c>
    </row>
    <row r="5377">
      <c r="A5377" s="4">
        <v>45534.35929143519</v>
      </c>
      <c r="B5377" s="5" t="s">
        <v>34</v>
      </c>
      <c r="D5377" s="5" t="s">
        <v>1456</v>
      </c>
      <c r="E5377" s="5" t="s">
        <v>35135</v>
      </c>
      <c r="F5377" s="5" t="s">
        <v>37</v>
      </c>
      <c r="G5377" s="5" t="s">
        <v>35136</v>
      </c>
      <c r="H5377" s="6" t="s">
        <v>35137</v>
      </c>
      <c r="I5377" s="7" t="s">
        <v>35138</v>
      </c>
      <c r="J5377" s="8" t="str">
        <f>HYPERLINK("https://drive.google.com/file/d/1h540qfZB13K7Xy0xxXCgZjIDT_ZUzcvv/view?usp=drivesdk","HERU NITI PRAYITNO SERTIFIKAT BerAKHLAK")</f>
        <v>HERU NITI PRAYITNO SERTIFIKAT BerAKHLAK</v>
      </c>
      <c r="K5377" s="5" t="s">
        <v>34818</v>
      </c>
      <c r="L5377" s="5" t="s">
        <v>35139</v>
      </c>
      <c r="M5377" s="5" t="s">
        <v>35140</v>
      </c>
      <c r="N5377" s="7" t="s">
        <v>35141</v>
      </c>
      <c r="O5377" s="8" t="str">
        <f>HYPERLINK("https://drive.google.com/file/d/1wXrXaqxEOFqvGXM8ji2phTXSu59s4cKu/view?usp=drivesdk","5376_HERU NITI PRAYITNO _ SERTIFIKAT BerAKHLAK")</f>
        <v>5376_HERU NITI PRAYITNO _ SERTIFIKAT BerAKHLAK</v>
      </c>
      <c r="P5377" s="5" t="s">
        <v>35142</v>
      </c>
    </row>
    <row r="5378">
      <c r="A5378" s="4">
        <v>45534.35929409722</v>
      </c>
      <c r="B5378" s="5" t="s">
        <v>34</v>
      </c>
      <c r="D5378" s="5" t="s">
        <v>4775</v>
      </c>
      <c r="E5378" s="5" t="s">
        <v>35143</v>
      </c>
      <c r="F5378" s="5" t="s">
        <v>375</v>
      </c>
      <c r="G5378" s="5" t="s">
        <v>35144</v>
      </c>
      <c r="H5378" s="6" t="s">
        <v>35145</v>
      </c>
      <c r="K5378" s="5" t="s">
        <v>35146</v>
      </c>
      <c r="M5378" s="5" t="s">
        <v>35147</v>
      </c>
      <c r="N5378" s="7" t="s">
        <v>35148</v>
      </c>
      <c r="O5378" s="8" t="str">
        <f>HYPERLINK("https://drive.google.com/file/d/1XtPcHlz4vOaL4aU2v0rqLCVWk3HfjjsP/view?usp=drivesdk","5377_FRANSISKA AGUSTINA, S.T.,M.T. _ SERTIFIKAT BerAKHLAK")</f>
        <v>5377_FRANSISKA AGUSTINA, S.T.,M.T. _ SERTIFIKAT BerAKHLAK</v>
      </c>
      <c r="P5378" s="5" t="s">
        <v>35142</v>
      </c>
    </row>
    <row r="5379">
      <c r="A5379" s="4">
        <v>45534.35930398148</v>
      </c>
      <c r="B5379" s="5" t="s">
        <v>34</v>
      </c>
      <c r="D5379" s="5" t="s">
        <v>580</v>
      </c>
      <c r="E5379" s="5" t="s">
        <v>35149</v>
      </c>
      <c r="F5379" s="5" t="s">
        <v>120</v>
      </c>
      <c r="G5379" s="5" t="s">
        <v>35150</v>
      </c>
      <c r="H5379" s="6" t="s">
        <v>35151</v>
      </c>
      <c r="K5379" s="5" t="s">
        <v>35146</v>
      </c>
      <c r="M5379" s="5" t="s">
        <v>35152</v>
      </c>
      <c r="N5379" s="7" t="s">
        <v>35153</v>
      </c>
      <c r="O5379" s="8" t="str">
        <f>HYPERLINK("https://drive.google.com/file/d/1d37LqwvrSP2RB_H3Z21Bib48eN8bP0v6/view?usp=drivesdk","5378_MUHAMMAD SOLIHIN, S.T. _ SERTIFIKAT BerAKHLAK")</f>
        <v>5378_MUHAMMAD SOLIHIN, S.T. _ SERTIFIKAT BerAKHLAK</v>
      </c>
      <c r="P5379" s="5" t="s">
        <v>35142</v>
      </c>
    </row>
    <row r="5380">
      <c r="A5380" s="4">
        <v>45534.359329652776</v>
      </c>
      <c r="B5380" s="5" t="s">
        <v>34</v>
      </c>
      <c r="D5380" s="5" t="s">
        <v>4775</v>
      </c>
      <c r="E5380" s="5" t="s">
        <v>35154</v>
      </c>
      <c r="F5380" s="5" t="s">
        <v>524</v>
      </c>
      <c r="G5380" s="5" t="s">
        <v>35155</v>
      </c>
      <c r="H5380" s="6" t="s">
        <v>35156</v>
      </c>
      <c r="K5380" s="5" t="s">
        <v>35146</v>
      </c>
      <c r="M5380" s="5" t="s">
        <v>35157</v>
      </c>
      <c r="N5380" s="7" t="s">
        <v>35158</v>
      </c>
      <c r="O5380" s="8" t="str">
        <f>HYPERLINK("https://drive.google.com/file/d/11iajMgAQA4AoHmp4SVyjBanFfBnfUeNc/view?usp=drivesdk","5379_MUTMAINAH. S.M. _ SERTIFIKAT BerAKHLAK")</f>
        <v>5379_MUTMAINAH. S.M. _ SERTIFIKAT BerAKHLAK</v>
      </c>
      <c r="P5380" s="5" t="s">
        <v>35142</v>
      </c>
    </row>
    <row r="5381">
      <c r="A5381" s="4">
        <v>45534.35934605324</v>
      </c>
      <c r="B5381" s="5" t="s">
        <v>34</v>
      </c>
      <c r="D5381" s="5" t="s">
        <v>522</v>
      </c>
      <c r="E5381" s="5" t="s">
        <v>35159</v>
      </c>
      <c r="F5381" s="5" t="s">
        <v>715</v>
      </c>
      <c r="G5381" s="5" t="s">
        <v>35160</v>
      </c>
      <c r="H5381" s="6" t="s">
        <v>35161</v>
      </c>
      <c r="K5381" s="5" t="s">
        <v>35162</v>
      </c>
      <c r="M5381" s="5" t="s">
        <v>35163</v>
      </c>
      <c r="N5381" s="7" t="s">
        <v>35164</v>
      </c>
      <c r="O5381" s="8" t="str">
        <f>HYPERLINK("https://drive.google.com/file/d/1to3JFOxiGWk32DQzV2sinTMBkAvSXgxF/view?usp=drivesdk","5380_SYARJAN _ SERTIFIKAT BerAKHLAK")</f>
        <v>5380_SYARJAN _ SERTIFIKAT BerAKHLAK</v>
      </c>
      <c r="P5381" s="5" t="s">
        <v>35142</v>
      </c>
    </row>
    <row r="5382" hidden="1">
      <c r="A5382" s="4">
        <v>45534.35935115741</v>
      </c>
      <c r="B5382" s="5" t="s">
        <v>19</v>
      </c>
      <c r="C5382" s="5" t="s">
        <v>292</v>
      </c>
      <c r="E5382" s="5" t="s">
        <v>35165</v>
      </c>
      <c r="F5382" s="5" t="s">
        <v>37</v>
      </c>
      <c r="G5382" s="5" t="s">
        <v>35166</v>
      </c>
      <c r="H5382" s="6" t="s">
        <v>35167</v>
      </c>
      <c r="K5382" s="5" t="s">
        <v>35162</v>
      </c>
      <c r="M5382" s="5" t="s">
        <v>35168</v>
      </c>
      <c r="N5382" s="7" t="s">
        <v>35169</v>
      </c>
      <c r="O5382" s="8" t="str">
        <f>HYPERLINK("https://drive.google.com/file/d/1RSpVtiAgsd4C9IakNgY4JANB_1tVWGlQ/view?usp=drivesdk","5381_YULITA IRAWANTI,AMD,KEP _ SERTIFIKAT BerAKHLAK")</f>
        <v>5381_YULITA IRAWANTI,AMD,KEP _ SERTIFIKAT BerAKHLAK</v>
      </c>
      <c r="P5382" s="5" t="s">
        <v>35170</v>
      </c>
    </row>
    <row r="5383">
      <c r="A5383" s="4">
        <v>45534.35935295139</v>
      </c>
      <c r="B5383" s="5" t="s">
        <v>34</v>
      </c>
      <c r="D5383" s="5" t="s">
        <v>10444</v>
      </c>
      <c r="E5383" s="5" t="s">
        <v>35171</v>
      </c>
      <c r="F5383" s="5" t="s">
        <v>212</v>
      </c>
      <c r="G5383" s="5" t="s">
        <v>35172</v>
      </c>
      <c r="H5383" s="6" t="s">
        <v>35173</v>
      </c>
      <c r="K5383" s="5" t="s">
        <v>35162</v>
      </c>
      <c r="M5383" s="5" t="s">
        <v>35174</v>
      </c>
      <c r="N5383" s="7" t="s">
        <v>35175</v>
      </c>
      <c r="O5383" s="8" t="str">
        <f>HYPERLINK("https://drive.google.com/file/d/11Q-0rOOCtim5nW_ANbNJLkJdTqfAuYxW/view?usp=drivesdk","5382_bBUDI HERROYADI _ SERTIFIKAT BerAKHLAK")</f>
        <v>5382_bBUDI HERROYADI _ SERTIFIKAT BerAKHLAK</v>
      </c>
      <c r="P5383" s="5" t="s">
        <v>35170</v>
      </c>
    </row>
    <row r="5384">
      <c r="A5384" s="4">
        <v>45534.35936177083</v>
      </c>
      <c r="B5384" s="5" t="s">
        <v>34</v>
      </c>
      <c r="D5384" s="5" t="s">
        <v>1206</v>
      </c>
      <c r="E5384" s="5" t="s">
        <v>35176</v>
      </c>
      <c r="F5384" s="5" t="s">
        <v>212</v>
      </c>
      <c r="G5384" s="5" t="s">
        <v>35177</v>
      </c>
      <c r="H5384" s="6" t="s">
        <v>35178</v>
      </c>
      <c r="K5384" s="5" t="s">
        <v>35162</v>
      </c>
      <c r="M5384" s="5" t="s">
        <v>35179</v>
      </c>
      <c r="N5384" s="7" t="s">
        <v>35180</v>
      </c>
      <c r="O5384" s="8" t="str">
        <f>HYPERLINK("https://drive.google.com/file/d/1uG54-WUizwWr0GuARyZr9WYCw9RIFYW_/view?usp=drivesdk","5383_KRISDIANTO _ SERTIFIKAT BerAKHLAK")</f>
        <v>5383_KRISDIANTO _ SERTIFIKAT BerAKHLAK</v>
      </c>
      <c r="P5384" s="5" t="s">
        <v>35170</v>
      </c>
    </row>
    <row r="5385">
      <c r="A5385" s="4">
        <v>45534.359362442134</v>
      </c>
      <c r="B5385" s="5" t="s">
        <v>34</v>
      </c>
      <c r="D5385" s="5" t="s">
        <v>11527</v>
      </c>
      <c r="E5385" s="5" t="s">
        <v>35181</v>
      </c>
      <c r="F5385" s="5" t="s">
        <v>72</v>
      </c>
      <c r="G5385" s="5" t="s">
        <v>35182</v>
      </c>
      <c r="H5385" s="6" t="s">
        <v>35183</v>
      </c>
      <c r="K5385" s="5" t="s">
        <v>35162</v>
      </c>
      <c r="M5385" s="5" t="s">
        <v>35184</v>
      </c>
      <c r="N5385" s="7" t="s">
        <v>35185</v>
      </c>
      <c r="O5385" s="8" t="str">
        <f>HYPERLINK("https://drive.google.com/file/d/1izXQj57VAKhZCvl466f4lFoq0Mtknic5/view?usp=drivesdk","5384_MAYA NATALIA PINANGKAAN,A.Md.Keb _ SERTIFIKAT BerAKHLAK")</f>
        <v>5384_MAYA NATALIA PINANGKAAN,A.Md.Keb _ SERTIFIKAT BerAKHLAK</v>
      </c>
      <c r="P5385" s="5" t="s">
        <v>35170</v>
      </c>
    </row>
    <row r="5386">
      <c r="A5386" s="4">
        <v>45534.35936724537</v>
      </c>
      <c r="B5386" s="5" t="s">
        <v>34</v>
      </c>
      <c r="D5386" s="5" t="s">
        <v>14424</v>
      </c>
      <c r="E5386" s="5" t="s">
        <v>35186</v>
      </c>
      <c r="F5386" s="5" t="s">
        <v>199</v>
      </c>
      <c r="G5386" s="5" t="s">
        <v>35187</v>
      </c>
      <c r="H5386" s="6" t="s">
        <v>35188</v>
      </c>
      <c r="K5386" s="5" t="s">
        <v>35162</v>
      </c>
      <c r="M5386" s="5" t="s">
        <v>35189</v>
      </c>
      <c r="N5386" s="7" t="s">
        <v>35190</v>
      </c>
      <c r="O5386" s="8" t="str">
        <f>HYPERLINK("https://drive.google.com/file/d/1T5qGLXIJ86Y3rFoGsF7nF2o0sCfqFY5b/view?usp=drivesdk","5385_FARIDA NAIBAHO _ SERTIFIKAT BerAKHLAK")</f>
        <v>5385_FARIDA NAIBAHO _ SERTIFIKAT BerAKHLAK</v>
      </c>
      <c r="P5386" s="5" t="s">
        <v>35170</v>
      </c>
    </row>
    <row r="5387">
      <c r="A5387" s="4">
        <v>45534.35936751157</v>
      </c>
      <c r="B5387" s="5" t="s">
        <v>34</v>
      </c>
      <c r="D5387" s="5" t="s">
        <v>12978</v>
      </c>
      <c r="E5387" s="5" t="s">
        <v>35191</v>
      </c>
      <c r="F5387" s="5" t="s">
        <v>212</v>
      </c>
      <c r="G5387" s="5" t="s">
        <v>35192</v>
      </c>
      <c r="H5387" s="6" t="s">
        <v>35193</v>
      </c>
      <c r="K5387" s="5" t="s">
        <v>35162</v>
      </c>
      <c r="M5387" s="5" t="s">
        <v>35194</v>
      </c>
      <c r="N5387" s="7" t="s">
        <v>35195</v>
      </c>
      <c r="O5387" s="8" t="str">
        <f>HYPERLINK("https://drive.google.com/file/d/1hKZx3qyvvY6sfJRd3IqMqitNxSiHOM99/view?usp=drivesdk","5386_YULI DAMERIA _ SERTIFIKAT BerAKHLAK")</f>
        <v>5386_YULI DAMERIA _ SERTIFIKAT BerAKHLAK</v>
      </c>
      <c r="P5387" s="5" t="s">
        <v>35170</v>
      </c>
    </row>
    <row r="5388">
      <c r="A5388" s="4">
        <v>45534.35936886574</v>
      </c>
      <c r="B5388" s="5" t="s">
        <v>34</v>
      </c>
      <c r="D5388" s="5" t="s">
        <v>1206</v>
      </c>
      <c r="E5388" s="5" t="s">
        <v>35196</v>
      </c>
      <c r="F5388" s="5" t="s">
        <v>37</v>
      </c>
      <c r="G5388" s="5" t="s">
        <v>35197</v>
      </c>
      <c r="H5388" s="6" t="s">
        <v>35198</v>
      </c>
      <c r="K5388" s="5" t="s">
        <v>35162</v>
      </c>
      <c r="M5388" s="5" t="s">
        <v>35199</v>
      </c>
      <c r="N5388" s="7" t="s">
        <v>35200</v>
      </c>
      <c r="O5388" s="8" t="str">
        <f>HYPERLINK("https://drive.google.com/file/d/1PidVYQmQVsV4Xrz6lKAC9JPmNiihls7Q/view?usp=drivesdk","5387_ZAINAL ARIFIN _ SERTIFIKAT BerAKHLAK")</f>
        <v>5387_ZAINAL ARIFIN _ SERTIFIKAT BerAKHLAK</v>
      </c>
      <c r="P5388" s="5" t="s">
        <v>35201</v>
      </c>
    </row>
    <row r="5389">
      <c r="A5389" s="4">
        <v>45534.359400891204</v>
      </c>
      <c r="B5389" s="5" t="s">
        <v>34</v>
      </c>
      <c r="D5389" s="5" t="s">
        <v>1206</v>
      </c>
      <c r="E5389" s="5" t="s">
        <v>35202</v>
      </c>
      <c r="F5389" s="5" t="s">
        <v>108</v>
      </c>
      <c r="G5389" s="5" t="s">
        <v>35203</v>
      </c>
      <c r="H5389" s="6" t="s">
        <v>35204</v>
      </c>
      <c r="K5389" s="5" t="s">
        <v>35205</v>
      </c>
      <c r="M5389" s="5" t="s">
        <v>35206</v>
      </c>
      <c r="N5389" s="7" t="s">
        <v>35207</v>
      </c>
      <c r="O5389" s="8" t="str">
        <f>HYPERLINK("https://drive.google.com/file/d/1ZQ-_tWxhoJ5DrbZF2IUdUIG_AqhFr1Bq/view?usp=drivesdk","5388_IHWANUDIN, S.ST _ SERTIFIKAT BerAKHLAK")</f>
        <v>5388_IHWANUDIN, S.ST _ SERTIFIKAT BerAKHLAK</v>
      </c>
      <c r="P5389" s="5" t="s">
        <v>35201</v>
      </c>
    </row>
    <row r="5390">
      <c r="A5390" s="4">
        <v>45534.35940774306</v>
      </c>
      <c r="B5390" s="5" t="s">
        <v>34</v>
      </c>
      <c r="D5390" s="5" t="s">
        <v>7858</v>
      </c>
      <c r="E5390" s="5" t="s">
        <v>35208</v>
      </c>
      <c r="F5390" s="5" t="s">
        <v>212</v>
      </c>
      <c r="G5390" s="5" t="s">
        <v>35209</v>
      </c>
      <c r="H5390" s="6" t="s">
        <v>35210</v>
      </c>
      <c r="K5390" s="5" t="s">
        <v>35205</v>
      </c>
      <c r="M5390" s="5" t="s">
        <v>35211</v>
      </c>
      <c r="N5390" s="7" t="s">
        <v>35212</v>
      </c>
      <c r="O5390" s="8" t="str">
        <f>HYPERLINK("https://drive.google.com/file/d/1X4ePoP7G70kUhsDH90ypS6cZAFVauVZp/view?usp=drivesdk","5389_ERAH RAKMAH _ SERTIFIKAT BerAKHLAK")</f>
        <v>5389_ERAH RAKMAH _ SERTIFIKAT BerAKHLAK</v>
      </c>
      <c r="P5390" s="5" t="s">
        <v>35201</v>
      </c>
    </row>
    <row r="5391">
      <c r="A5391" s="4">
        <v>45534.359411087964</v>
      </c>
      <c r="B5391" s="5" t="s">
        <v>34</v>
      </c>
      <c r="D5391" s="5" t="s">
        <v>267</v>
      </c>
      <c r="E5391" s="5" t="s">
        <v>35213</v>
      </c>
      <c r="F5391" s="5" t="s">
        <v>524</v>
      </c>
      <c r="G5391" s="5" t="s">
        <v>35214</v>
      </c>
      <c r="H5391" s="6" t="s">
        <v>35215</v>
      </c>
      <c r="K5391" s="5" t="s">
        <v>35205</v>
      </c>
      <c r="M5391" s="5" t="s">
        <v>35216</v>
      </c>
      <c r="N5391" s="7" t="s">
        <v>35217</v>
      </c>
      <c r="O5391" s="8" t="str">
        <f>HYPERLINK("https://drive.google.com/file/d/1pBYhElJE2ua0cETMJvsvV85V3uqwwyYh/view?usp=drivesdk","5390_Berita Estu Widodo, S.Kom. _ SERTIFIKAT BerAKHLAK")</f>
        <v>5390_Berita Estu Widodo, S.Kom. _ SERTIFIKAT BerAKHLAK</v>
      </c>
      <c r="P5391" s="5" t="s">
        <v>35201</v>
      </c>
    </row>
    <row r="5392">
      <c r="A5392" s="4">
        <v>45534.35941740741</v>
      </c>
      <c r="B5392" s="5" t="s">
        <v>34</v>
      </c>
      <c r="D5392" s="5" t="s">
        <v>280</v>
      </c>
      <c r="E5392" s="5" t="s">
        <v>35218</v>
      </c>
      <c r="F5392" s="5" t="s">
        <v>108</v>
      </c>
      <c r="G5392" s="5" t="s">
        <v>35219</v>
      </c>
      <c r="H5392" s="6" t="s">
        <v>35220</v>
      </c>
      <c r="I5392" s="7" t="s">
        <v>35221</v>
      </c>
      <c r="J5392" s="8" t="str">
        <f>HYPERLINK("https://drive.google.com/file/d/1OwnVNzZDeSRKMqLB_I3bTwFe9IqruDAC/view?usp=drivesdk","NIRA RAHMIATI,SE SERTIFIKAT BerAKHLAK")</f>
        <v>NIRA RAHMIATI,SE SERTIFIKAT BerAKHLAK</v>
      </c>
      <c r="K5392" s="5" t="s">
        <v>34818</v>
      </c>
      <c r="L5392" s="5" t="s">
        <v>35222</v>
      </c>
      <c r="M5392" s="5" t="s">
        <v>35223</v>
      </c>
      <c r="N5392" s="7" t="s">
        <v>35224</v>
      </c>
      <c r="O5392" s="8" t="str">
        <f>HYPERLINK("https://drive.google.com/file/d/1NLA6TX_jw-OKyT9uP_z6Pr2g2odd_jPE/view?usp=drivesdk","5391_NIRA RAHMIATI,SE _ SERTIFIKAT BerAKHLAK")</f>
        <v>5391_NIRA RAHMIATI,SE _ SERTIFIKAT BerAKHLAK</v>
      </c>
      <c r="P5392" s="5" t="s">
        <v>35201</v>
      </c>
    </row>
    <row r="5393">
      <c r="A5393" s="4">
        <v>45534.35943133102</v>
      </c>
      <c r="B5393" s="5" t="s">
        <v>34</v>
      </c>
      <c r="D5393" s="5" t="s">
        <v>15401</v>
      </c>
      <c r="E5393" s="5" t="s">
        <v>35225</v>
      </c>
      <c r="F5393" s="5" t="s">
        <v>108</v>
      </c>
      <c r="G5393" s="5" t="s">
        <v>35226</v>
      </c>
      <c r="H5393" s="6" t="s">
        <v>35227</v>
      </c>
      <c r="I5393" s="7" t="s">
        <v>35228</v>
      </c>
      <c r="J5393" s="8" t="str">
        <f>HYPERLINK("https://drive.google.com/file/d/1w8Vzi0INm4JFdHv8ta5tKPCqXOxYxzM2/view?usp=drivesdk","SRIYANTI SERTIFIKAT BerAKHLAK")</f>
        <v>SRIYANTI SERTIFIKAT BerAKHLAK</v>
      </c>
      <c r="K5393" s="5" t="s">
        <v>34938</v>
      </c>
      <c r="L5393" s="5" t="s">
        <v>35229</v>
      </c>
      <c r="M5393" s="5" t="s">
        <v>35230</v>
      </c>
      <c r="N5393" s="7" t="s">
        <v>35231</v>
      </c>
      <c r="O5393" s="8" t="str">
        <f>HYPERLINK("https://drive.google.com/file/d/13Kdt3O6Dwg9NMnWc0wMJt2oLR0_dnMn4/view?usp=drivesdk","5392_SRIYANTI _ SERTIFIKAT BerAKHLAK")</f>
        <v>5392_SRIYANTI _ SERTIFIKAT BerAKHLAK</v>
      </c>
      <c r="P5393" s="5" t="s">
        <v>35232</v>
      </c>
    </row>
    <row r="5394">
      <c r="A5394" s="4">
        <v>45534.359492013886</v>
      </c>
      <c r="B5394" s="5" t="s">
        <v>34</v>
      </c>
      <c r="D5394" s="5" t="s">
        <v>1456</v>
      </c>
      <c r="E5394" s="5" t="s">
        <v>35233</v>
      </c>
      <c r="F5394" s="5" t="s">
        <v>715</v>
      </c>
      <c r="G5394" s="5" t="s">
        <v>35234</v>
      </c>
      <c r="H5394" s="6" t="s">
        <v>35235</v>
      </c>
      <c r="I5394" s="7" t="s">
        <v>35236</v>
      </c>
      <c r="J5394" s="8" t="str">
        <f>HYPERLINK("https://drive.google.com/file/d/13xUlOWearJfSKMC9TOIFeo9DoY5yZ655/view?usp=drivesdk","SEPTIN MARLINA ANGKASAWATI, S.Sos SERTIFIKAT BerAKHLAK")</f>
        <v>SEPTIN MARLINA ANGKASAWATI, S.Sos SERTIFIKAT BerAKHLAK</v>
      </c>
      <c r="K5394" s="5" t="s">
        <v>34818</v>
      </c>
      <c r="L5394" s="5" t="s">
        <v>35237</v>
      </c>
      <c r="M5394" s="5" t="s">
        <v>35238</v>
      </c>
      <c r="N5394" s="7" t="s">
        <v>35239</v>
      </c>
      <c r="O5394" s="8" t="str">
        <f>HYPERLINK("https://drive.google.com/file/d/1DHMVrNBMWwUl2NOG4AzjZRt-vKb9D9ri/view?usp=drivesdk","5393_SEPTIN MARLINA ANGKASAWATI, S.Sos _ SERTIFIKAT BerAKHLAK")</f>
        <v>5393_SEPTIN MARLINA ANGKASAWATI, S.Sos _ SERTIFIKAT BerAKHLAK</v>
      </c>
      <c r="P5394" s="5" t="s">
        <v>35232</v>
      </c>
    </row>
    <row r="5395" hidden="1">
      <c r="A5395" s="4">
        <v>45534.35949570602</v>
      </c>
      <c r="B5395" s="5" t="s">
        <v>19</v>
      </c>
      <c r="C5395" s="5" t="s">
        <v>292</v>
      </c>
      <c r="E5395" s="5" t="s">
        <v>35240</v>
      </c>
      <c r="F5395" s="5" t="s">
        <v>375</v>
      </c>
      <c r="G5395" s="5" t="s">
        <v>35241</v>
      </c>
      <c r="H5395" s="6" t="s">
        <v>35242</v>
      </c>
      <c r="I5395" s="7" t="s">
        <v>35243</v>
      </c>
      <c r="J5395" s="8" t="str">
        <f>HYPERLINK("https://drive.google.com/file/d/1FF5Z8PCQNSDrLytkNk3F2PSq-tH_sJic/view?usp=drivesdk","ELLAN FEDDELIA SERTIFIKAT BerAKHLAK")</f>
        <v>ELLAN FEDDELIA SERTIFIKAT BerAKHLAK</v>
      </c>
      <c r="K5395" s="5" t="s">
        <v>34938</v>
      </c>
      <c r="L5395" s="5" t="s">
        <v>35244</v>
      </c>
      <c r="M5395" s="5" t="s">
        <v>35245</v>
      </c>
      <c r="N5395" s="7" t="s">
        <v>35246</v>
      </c>
      <c r="O5395" s="8" t="str">
        <f>HYPERLINK("https://drive.google.com/file/d/1e3HakraW370kNfYMN_RaiKqJN3D9TVOv/view?usp=drivesdk","5394_ELLAN FEDDELIA _ SERTIFIKAT BerAKHLAK")</f>
        <v>5394_ELLAN FEDDELIA _ SERTIFIKAT BerAKHLAK</v>
      </c>
      <c r="P5395" s="5" t="s">
        <v>35232</v>
      </c>
    </row>
    <row r="5396" hidden="1">
      <c r="A5396" s="4">
        <v>45534.35950085648</v>
      </c>
      <c r="B5396" s="5" t="s">
        <v>19</v>
      </c>
      <c r="C5396" s="5" t="s">
        <v>14000</v>
      </c>
      <c r="E5396" s="5" t="s">
        <v>35247</v>
      </c>
      <c r="F5396" s="5" t="s">
        <v>37</v>
      </c>
      <c r="G5396" s="5" t="s">
        <v>35248</v>
      </c>
      <c r="H5396" s="6" t="s">
        <v>35249</v>
      </c>
      <c r="I5396" s="7" t="s">
        <v>35250</v>
      </c>
      <c r="J5396" s="8" t="str">
        <f>HYPERLINK("https://drive.google.com/file/d/1GaRWCmhCnpL7H7VYAMDN4M8IAdjkzMIt/view?usp=drivesdk","TEGUH SARJANTO SERTIFIKAT BerAKHLAK")</f>
        <v>TEGUH SARJANTO SERTIFIKAT BerAKHLAK</v>
      </c>
      <c r="K5396" s="5" t="s">
        <v>34938</v>
      </c>
      <c r="L5396" s="5" t="s">
        <v>35251</v>
      </c>
      <c r="M5396" s="5" t="s">
        <v>35252</v>
      </c>
      <c r="N5396" s="7" t="s">
        <v>35253</v>
      </c>
      <c r="O5396" s="8" t="str">
        <f>HYPERLINK("https://drive.google.com/file/d/12M415gfvCWl8M2gZvjuqS1DPs6Ta7Kgx/view?usp=drivesdk","5395_TEGUH SARJANTO _ SERTIFIKAT BerAKHLAK")</f>
        <v>5395_TEGUH SARJANTO _ SERTIFIKAT BerAKHLAK</v>
      </c>
      <c r="P5396" s="5" t="s">
        <v>35232</v>
      </c>
    </row>
    <row r="5397">
      <c r="A5397" s="4">
        <v>45534.35950707176</v>
      </c>
      <c r="B5397" s="5" t="s">
        <v>34</v>
      </c>
      <c r="D5397" s="5" t="s">
        <v>10297</v>
      </c>
      <c r="E5397" s="5" t="s">
        <v>35254</v>
      </c>
      <c r="F5397" s="5" t="s">
        <v>37</v>
      </c>
      <c r="G5397" s="5" t="s">
        <v>35255</v>
      </c>
      <c r="H5397" s="6" t="s">
        <v>35256</v>
      </c>
      <c r="I5397" s="7" t="s">
        <v>35257</v>
      </c>
      <c r="J5397" s="8" t="str">
        <f>HYPERLINK("https://drive.google.com/file/d/1T-5GyFPTL-gv8146Mol1bOYzy5zsXLN7/view?usp=drivesdk","SUHERMAN DG SITUJU KASO, A.MD.KOM. SERTIFIKAT BerAKHLAK")</f>
        <v>SUHERMAN DG SITUJU KASO, A.MD.KOM. SERTIFIKAT BerAKHLAK</v>
      </c>
      <c r="K5397" s="5" t="s">
        <v>34938</v>
      </c>
      <c r="L5397" s="5" t="s">
        <v>35258</v>
      </c>
      <c r="M5397" s="5" t="s">
        <v>35259</v>
      </c>
      <c r="N5397" s="7" t="s">
        <v>35260</v>
      </c>
      <c r="O5397" s="8" t="str">
        <f>HYPERLINK("https://drive.google.com/file/d/1Dooj5OiOaahnKuN-GyiTmH3z4Kxz2uAd/view?usp=drivesdk","5396_SUHERMAN DG SITUJU KASO, A.MD.KOM. _ SERTIFIKAT BerAKHLAK")</f>
        <v>5396_SUHERMAN DG SITUJU KASO, A.MD.KOM. _ SERTIFIKAT BerAKHLAK</v>
      </c>
      <c r="P5397" s="5" t="s">
        <v>35232</v>
      </c>
    </row>
    <row r="5398">
      <c r="A5398" s="4">
        <v>45534.35951401621</v>
      </c>
      <c r="B5398" s="5" t="s">
        <v>34</v>
      </c>
      <c r="D5398" s="5" t="s">
        <v>1206</v>
      </c>
      <c r="E5398" s="5" t="s">
        <v>35261</v>
      </c>
      <c r="F5398" s="5" t="s">
        <v>108</v>
      </c>
      <c r="G5398" s="5" t="s">
        <v>35262</v>
      </c>
      <c r="H5398" s="6" t="s">
        <v>35263</v>
      </c>
      <c r="K5398" s="5" t="s">
        <v>35264</v>
      </c>
      <c r="M5398" s="5" t="s">
        <v>35265</v>
      </c>
      <c r="N5398" s="7" t="s">
        <v>35266</v>
      </c>
      <c r="O5398" s="8" t="str">
        <f>HYPERLINK("https://drive.google.com/file/d/13Bv5fP5QHUl1prnVltaz8D6Lt8q5MEt0/view?usp=drivesdk","5397_MUHAMMAD ANHER _ SERTIFIKAT BerAKHLAK")</f>
        <v>5397_MUHAMMAD ANHER _ SERTIFIKAT BerAKHLAK</v>
      </c>
      <c r="P5398" s="5" t="s">
        <v>35267</v>
      </c>
    </row>
    <row r="5399">
      <c r="A5399" s="4">
        <v>45534.35951645834</v>
      </c>
      <c r="B5399" s="5" t="s">
        <v>34</v>
      </c>
      <c r="D5399" s="5" t="s">
        <v>4775</v>
      </c>
      <c r="E5399" s="5" t="s">
        <v>35268</v>
      </c>
      <c r="F5399" s="5" t="s">
        <v>375</v>
      </c>
      <c r="G5399" s="5" t="s">
        <v>35269</v>
      </c>
      <c r="H5399" s="6" t="s">
        <v>35270</v>
      </c>
      <c r="K5399" s="5" t="s">
        <v>35264</v>
      </c>
      <c r="M5399" s="5" t="s">
        <v>35271</v>
      </c>
      <c r="N5399" s="7" t="s">
        <v>35272</v>
      </c>
      <c r="O5399" s="8" t="str">
        <f>HYPERLINK("https://drive.google.com/file/d/1Z8JDQ6BZhJ4_C1p4B2NDhl0om095o36i/view?usp=drivesdk","5398_SUBARI HARTONO, S.E. _ SERTIFIKAT BerAKHLAK")</f>
        <v>5398_SUBARI HARTONO, S.E. _ SERTIFIKAT BerAKHLAK</v>
      </c>
      <c r="P5399" s="5" t="s">
        <v>35267</v>
      </c>
    </row>
    <row r="5400">
      <c r="A5400" s="4">
        <v>45534.359524189815</v>
      </c>
      <c r="B5400" s="5" t="s">
        <v>34</v>
      </c>
      <c r="D5400" s="5" t="s">
        <v>701</v>
      </c>
      <c r="E5400" s="5" t="s">
        <v>35273</v>
      </c>
      <c r="F5400" s="5" t="s">
        <v>715</v>
      </c>
      <c r="G5400" s="5" t="s">
        <v>35274</v>
      </c>
      <c r="H5400" s="6" t="s">
        <v>35275</v>
      </c>
      <c r="I5400" s="7" t="s">
        <v>35276</v>
      </c>
      <c r="J5400" s="8" t="str">
        <f>HYPERLINK("https://drive.google.com/file/d/1HCE1wzWmrTy57_IOG7T2GcpxKCBC5vWd/view?usp=drivesdk","SUSMIATI.,SE SERTIFIKAT BerAKHLAK")</f>
        <v>SUSMIATI.,SE SERTIFIKAT BerAKHLAK</v>
      </c>
      <c r="K5400" s="5" t="s">
        <v>34938</v>
      </c>
      <c r="L5400" s="5" t="s">
        <v>35277</v>
      </c>
      <c r="M5400" s="5" t="s">
        <v>35278</v>
      </c>
      <c r="N5400" s="7" t="s">
        <v>35279</v>
      </c>
      <c r="O5400" s="8" t="str">
        <f>HYPERLINK("https://drive.google.com/file/d/1jZZ5HRtgd49ZFmsIp8M-ca8Xlpbl2SiX/view?usp=drivesdk","5399_SUSMIATI.,SE _ SERTIFIKAT BerAKHLAK")</f>
        <v>5399_SUSMIATI.,SE _ SERTIFIKAT BerAKHLAK</v>
      </c>
      <c r="P5400" s="5" t="s">
        <v>35267</v>
      </c>
    </row>
    <row r="5401">
      <c r="A5401" s="4">
        <v>45534.359529340276</v>
      </c>
      <c r="B5401" s="5" t="s">
        <v>34</v>
      </c>
      <c r="D5401" s="5" t="s">
        <v>1206</v>
      </c>
      <c r="E5401" s="5" t="s">
        <v>35280</v>
      </c>
      <c r="F5401" s="5" t="s">
        <v>37</v>
      </c>
      <c r="G5401" s="5" t="s">
        <v>35281</v>
      </c>
      <c r="H5401" s="6" t="s">
        <v>35282</v>
      </c>
      <c r="I5401" s="7" t="s">
        <v>35283</v>
      </c>
      <c r="J5401" s="8" t="str">
        <f>HYPERLINK("https://drive.google.com/file/d/149akmiz0x0S_-_By7VM8IK30kU8w7RQx/view?usp=drivesdk","SERLI MUFIDDAH SERTIFIKAT BerAKHLAK")</f>
        <v>SERLI MUFIDDAH SERTIFIKAT BerAKHLAK</v>
      </c>
      <c r="K5401" s="5" t="s">
        <v>34938</v>
      </c>
      <c r="L5401" s="5" t="s">
        <v>35284</v>
      </c>
      <c r="M5401" s="5" t="s">
        <v>35285</v>
      </c>
      <c r="N5401" s="7" t="s">
        <v>35286</v>
      </c>
      <c r="O5401" s="8" t="str">
        <f>HYPERLINK("https://drive.google.com/file/d/18gUhZmmfHzs5ReajWZ2aZ-akRG-mLKco/view?usp=drivesdk","5400_SERLI MUFIDDAH _ SERTIFIKAT BerAKHLAK")</f>
        <v>5400_SERLI MUFIDDAH _ SERTIFIKAT BerAKHLAK</v>
      </c>
      <c r="P5401" s="5" t="s">
        <v>35267</v>
      </c>
    </row>
    <row r="5402">
      <c r="A5402" s="4">
        <v>45534.35953375</v>
      </c>
      <c r="B5402" s="5" t="s">
        <v>34</v>
      </c>
      <c r="D5402" s="5" t="s">
        <v>9020</v>
      </c>
      <c r="E5402" s="5" t="s">
        <v>35287</v>
      </c>
      <c r="F5402" s="5" t="s">
        <v>375</v>
      </c>
      <c r="G5402" s="5" t="s">
        <v>35288</v>
      </c>
      <c r="H5402" s="6" t="s">
        <v>35289</v>
      </c>
      <c r="I5402" s="7" t="s">
        <v>35290</v>
      </c>
      <c r="J5402" s="8" t="str">
        <f>HYPERLINK("https://drive.google.com/file/d/1bR82uYlElKH8fJNS4zrcn1VdknWVEbLS/view?usp=drivesdk","Ns SURYANI Skep SERTIFIKAT BerAKHLAK")</f>
        <v>Ns SURYANI Skep SERTIFIKAT BerAKHLAK</v>
      </c>
      <c r="K5402" s="5" t="s">
        <v>34938</v>
      </c>
      <c r="L5402" s="5" t="s">
        <v>35291</v>
      </c>
      <c r="M5402" s="5" t="s">
        <v>35292</v>
      </c>
      <c r="N5402" s="7" t="s">
        <v>35293</v>
      </c>
      <c r="O5402" s="8" t="str">
        <f>HYPERLINK("https://drive.google.com/file/d/14XcZnc_psI2ddLg9z5EH1vtfGpenFAdi/view?usp=drivesdk","5401_Ns SURYANI Skep _ SERTIFIKAT BerAKHLAK")</f>
        <v>5401_Ns SURYANI Skep _ SERTIFIKAT BerAKHLAK</v>
      </c>
      <c r="P5402" s="5" t="s">
        <v>35267</v>
      </c>
    </row>
    <row r="5403">
      <c r="A5403" s="4">
        <v>45534.35953559028</v>
      </c>
      <c r="B5403" s="5" t="s">
        <v>34</v>
      </c>
      <c r="D5403" s="5" t="s">
        <v>7858</v>
      </c>
      <c r="E5403" s="5" t="s">
        <v>35294</v>
      </c>
      <c r="F5403" s="5" t="s">
        <v>72</v>
      </c>
      <c r="G5403" s="5" t="s">
        <v>35295</v>
      </c>
      <c r="H5403" s="6" t="s">
        <v>35296</v>
      </c>
      <c r="I5403" s="7" t="s">
        <v>35297</v>
      </c>
      <c r="J5403" s="8" t="str">
        <f>HYPERLINK("https://drive.google.com/file/d/1C5a79B3nurqmgkMMbOQJyBVRrEBa2LYq/view?usp=drivesdk","IRAWATI GIAN KEMUNING, S.Kom SERTIFIKAT BerAKHLAK")</f>
        <v>IRAWATI GIAN KEMUNING, S.Kom SERTIFIKAT BerAKHLAK</v>
      </c>
      <c r="K5403" s="5" t="s">
        <v>34938</v>
      </c>
      <c r="L5403" s="5" t="s">
        <v>35298</v>
      </c>
      <c r="M5403" s="5" t="s">
        <v>35299</v>
      </c>
      <c r="N5403" s="7" t="s">
        <v>35300</v>
      </c>
      <c r="O5403" s="8" t="str">
        <f>HYPERLINK("https://drive.google.com/file/d/1MYj73MDpyP68-agFMCzCbTwPXMUH_ncW/view?usp=drivesdk","5402_IRAWATI GIAN KEMUNING, S.Kom _ SERTIFIKAT BerAKHLAK")</f>
        <v>5402_IRAWATI GIAN KEMUNING, S.Kom _ SERTIFIKAT BerAKHLAK</v>
      </c>
      <c r="P5403" s="5" t="s">
        <v>35301</v>
      </c>
    </row>
    <row r="5404">
      <c r="A5404" s="4">
        <v>45534.35953821759</v>
      </c>
      <c r="B5404" s="5" t="s">
        <v>34</v>
      </c>
      <c r="D5404" s="5" t="s">
        <v>1206</v>
      </c>
      <c r="E5404" s="5" t="s">
        <v>35302</v>
      </c>
      <c r="F5404" s="5" t="s">
        <v>199</v>
      </c>
      <c r="G5404" s="5" t="s">
        <v>35303</v>
      </c>
      <c r="H5404" s="6" t="s">
        <v>35304</v>
      </c>
      <c r="I5404" s="7" t="s">
        <v>35305</v>
      </c>
      <c r="J5404" s="8" t="str">
        <f>HYPERLINK("https://drive.google.com/file/d/10w8UQqA0Y3w2Mq5uYULzKfPpaJ8EZcdc/view?usp=drivesdk","NURCAHYONO SERTIFIKAT BerAKHLAK")</f>
        <v>NURCAHYONO SERTIFIKAT BerAKHLAK</v>
      </c>
      <c r="K5404" s="5" t="s">
        <v>34938</v>
      </c>
      <c r="L5404" s="5" t="s">
        <v>35306</v>
      </c>
      <c r="M5404" s="5" t="s">
        <v>35307</v>
      </c>
      <c r="N5404" s="7" t="s">
        <v>35308</v>
      </c>
      <c r="O5404" s="8" t="str">
        <f>HYPERLINK("https://drive.google.com/file/d/1e5hBXJzE3Mak2EtubHUgKIGDEJoBtwoG/view?usp=drivesdk","5403_NURCAHYONO _ SERTIFIKAT BerAKHLAK")</f>
        <v>5403_NURCAHYONO _ SERTIFIKAT BerAKHLAK</v>
      </c>
      <c r="P5404" s="5" t="s">
        <v>35301</v>
      </c>
    </row>
    <row r="5405">
      <c r="A5405" s="4">
        <v>45534.35954961806</v>
      </c>
      <c r="B5405" s="5" t="s">
        <v>34</v>
      </c>
      <c r="D5405" s="5" t="s">
        <v>1768</v>
      </c>
      <c r="E5405" s="5" t="s">
        <v>35309</v>
      </c>
      <c r="F5405" s="5" t="s">
        <v>22</v>
      </c>
      <c r="G5405" s="5" t="s">
        <v>35310</v>
      </c>
      <c r="H5405" s="6" t="s">
        <v>35311</v>
      </c>
      <c r="I5405" s="7" t="s">
        <v>35312</v>
      </c>
      <c r="J5405" s="8" t="str">
        <f>HYPERLINK("https://drive.google.com/file/d/1ySpy4KeaHjZ2JV45h-QM6wbANoIWKMrv/view?usp=drivesdk","SUTIKTO, S.H. SERTIFIKAT BerAKHLAK")</f>
        <v>SUTIKTO, S.H. SERTIFIKAT BerAKHLAK</v>
      </c>
      <c r="K5405" s="5" t="s">
        <v>35313</v>
      </c>
      <c r="L5405" s="5" t="s">
        <v>35314</v>
      </c>
      <c r="M5405" s="5" t="s">
        <v>35315</v>
      </c>
      <c r="N5405" s="7" t="s">
        <v>35316</v>
      </c>
      <c r="O5405" s="8" t="str">
        <f>HYPERLINK("https://drive.google.com/file/d/1zaZtrcPhr_493TJULn_n7urW6hPp437T/view?usp=drivesdk","5404_SUTIKTO, S.H. _ SERTIFIKAT BerAKHLAK")</f>
        <v>5404_SUTIKTO, S.H. _ SERTIFIKAT BerAKHLAK</v>
      </c>
      <c r="P5405" s="5" t="s">
        <v>35301</v>
      </c>
    </row>
    <row r="5406">
      <c r="A5406" s="4">
        <v>45534.35955188658</v>
      </c>
      <c r="B5406" s="5" t="s">
        <v>34</v>
      </c>
      <c r="D5406" s="5" t="s">
        <v>1206</v>
      </c>
      <c r="E5406" s="5" t="s">
        <v>35317</v>
      </c>
      <c r="F5406" s="5" t="s">
        <v>212</v>
      </c>
      <c r="G5406" s="5" t="s">
        <v>35318</v>
      </c>
      <c r="H5406" s="6" t="s">
        <v>35319</v>
      </c>
      <c r="I5406" s="7" t="s">
        <v>35320</v>
      </c>
      <c r="J5406" s="8" t="str">
        <f>HYPERLINK("https://drive.google.com/file/d/1CI1-spUDKIHRSbwH7No-uNUsgsXyVpVg/view?usp=drivesdk","ADIK SUKARNO PUTRI SWASTANTI, SPd. SERTIFIKAT BerAKHLAK")</f>
        <v>ADIK SUKARNO PUTRI SWASTANTI, SPd. SERTIFIKAT BerAKHLAK</v>
      </c>
      <c r="K5406" s="5" t="s">
        <v>35313</v>
      </c>
      <c r="L5406" s="5" t="s">
        <v>35321</v>
      </c>
      <c r="M5406" s="5" t="s">
        <v>35322</v>
      </c>
      <c r="N5406" s="7" t="s">
        <v>35323</v>
      </c>
      <c r="O5406" s="8" t="str">
        <f>HYPERLINK("https://drive.google.com/file/d/1jbUNE0SwEMfGT34umJpXy1PFoX_70_KH/view?usp=drivesdk","5405_ADIK SUKARNO PUTRI SWASTANTI, SPd. _ SERTIFIKAT BerAKHLAK")</f>
        <v>5405_ADIK SUKARNO PUTRI SWASTANTI, SPd. _ SERTIFIKAT BerAKHLAK</v>
      </c>
      <c r="P5406" s="5" t="s">
        <v>35301</v>
      </c>
    </row>
    <row r="5407">
      <c r="A5407" s="4">
        <v>45534.35955328704</v>
      </c>
      <c r="B5407" s="5" t="s">
        <v>34</v>
      </c>
      <c r="D5407" s="5" t="s">
        <v>35</v>
      </c>
      <c r="E5407" s="5" t="s">
        <v>35324</v>
      </c>
      <c r="F5407" s="5" t="s">
        <v>212</v>
      </c>
      <c r="G5407" s="5" t="s">
        <v>35325</v>
      </c>
      <c r="H5407" s="6" t="s">
        <v>35326</v>
      </c>
      <c r="I5407" s="7" t="s">
        <v>35327</v>
      </c>
      <c r="J5407" s="8" t="str">
        <f>HYPERLINK("https://drive.google.com/file/d/1XLV-WcJCwV7rnQ8mYYc5hI-oJCZ_XgcH/view?usp=drivesdk","DEWI LESTARI, Amd.Kep SERTIFIKAT BerAKHLAK")</f>
        <v>DEWI LESTARI, Amd.Kep SERTIFIKAT BerAKHLAK</v>
      </c>
      <c r="K5407" s="5" t="s">
        <v>35313</v>
      </c>
      <c r="L5407" s="5" t="s">
        <v>35328</v>
      </c>
      <c r="M5407" s="5" t="s">
        <v>35329</v>
      </c>
      <c r="N5407" s="7" t="s">
        <v>35330</v>
      </c>
      <c r="O5407" s="8" t="str">
        <f>HYPERLINK("https://drive.google.com/file/d/1TIFyCf1Z71aYfWXxJ5P4LDbJeBSZNcqu/view?usp=drivesdk","5406_DEWI LESTARI, Amd.Kep _ SERTIFIKAT BerAKHLAK")</f>
        <v>5406_DEWI LESTARI, Amd.Kep _ SERTIFIKAT BerAKHLAK</v>
      </c>
      <c r="P5407" s="5" t="s">
        <v>35301</v>
      </c>
    </row>
    <row r="5408">
      <c r="A5408" s="4">
        <v>45534.359553842594</v>
      </c>
      <c r="B5408" s="5" t="s">
        <v>34</v>
      </c>
      <c r="D5408" s="5" t="s">
        <v>1206</v>
      </c>
      <c r="E5408" s="5" t="s">
        <v>35331</v>
      </c>
      <c r="F5408" s="5" t="s">
        <v>375</v>
      </c>
      <c r="G5408" s="5" t="s">
        <v>35332</v>
      </c>
      <c r="H5408" s="6" t="s">
        <v>35333</v>
      </c>
      <c r="I5408" s="7" t="s">
        <v>35334</v>
      </c>
      <c r="J5408" s="8" t="str">
        <f>HYPERLINK("https://drive.google.com/file/d/1vMVgP84aCW2Fkid4WjF6y8jDetI17Fx0/view?usp=drivesdk","ARIE ASMAWATI, S.E. SERTIFIKAT BerAKHLAK")</f>
        <v>ARIE ASMAWATI, S.E. SERTIFIKAT BerAKHLAK</v>
      </c>
      <c r="K5408" s="5" t="s">
        <v>35335</v>
      </c>
      <c r="L5408" s="5" t="s">
        <v>35336</v>
      </c>
      <c r="M5408" s="5" t="s">
        <v>35337</v>
      </c>
      <c r="N5408" s="7" t="s">
        <v>35338</v>
      </c>
      <c r="O5408" s="8" t="str">
        <f>HYPERLINK("https://drive.google.com/file/d/1ZM0rArSQYs8w5goH8DZqR9W1yf8gpXM1/view?usp=drivesdk","5407_ARIE ASMAWATI, S.E. _ SERTIFIKAT BerAKHLAK")</f>
        <v>5407_ARIE ASMAWATI, S.E. _ SERTIFIKAT BerAKHLAK</v>
      </c>
      <c r="P5408" s="5" t="s">
        <v>35339</v>
      </c>
    </row>
    <row r="5409">
      <c r="A5409" s="4">
        <v>45534.35957123843</v>
      </c>
      <c r="B5409" s="5" t="s">
        <v>34</v>
      </c>
      <c r="D5409" s="5" t="s">
        <v>15401</v>
      </c>
      <c r="E5409" s="5" t="s">
        <v>35340</v>
      </c>
      <c r="F5409" s="5" t="s">
        <v>375</v>
      </c>
      <c r="G5409" s="5" t="s">
        <v>35341</v>
      </c>
      <c r="H5409" s="6" t="s">
        <v>35342</v>
      </c>
      <c r="I5409" s="7" t="s">
        <v>35343</v>
      </c>
      <c r="J5409" s="8" t="str">
        <f>HYPERLINK("https://drive.google.com/file/d/1ZZ_TcENdTP_CGDd9kH0pOoOkPUnqCwNL/view?usp=drivesdk","RAHMAT, S.H. SERTIFIKAT BerAKHLAK")</f>
        <v>RAHMAT, S.H. SERTIFIKAT BerAKHLAK</v>
      </c>
      <c r="K5409" s="5" t="s">
        <v>35335</v>
      </c>
      <c r="L5409" s="5" t="s">
        <v>35344</v>
      </c>
      <c r="M5409" s="5" t="s">
        <v>35345</v>
      </c>
      <c r="N5409" s="7" t="s">
        <v>35346</v>
      </c>
      <c r="O5409" s="8" t="str">
        <f>HYPERLINK("https://drive.google.com/file/d/1b9AigD3zUqVxfkzudxDm0hKa4TKE-pyB/view?usp=drivesdk","5408_RAHMAT, S.H. _ SERTIFIKAT BerAKHLAK")</f>
        <v>5408_RAHMAT, S.H. _ SERTIFIKAT BerAKHLAK</v>
      </c>
      <c r="P5409" s="5" t="s">
        <v>35339</v>
      </c>
    </row>
    <row r="5410">
      <c r="A5410" s="4">
        <v>45534.359575891205</v>
      </c>
      <c r="B5410" s="5" t="s">
        <v>34</v>
      </c>
      <c r="D5410" s="5" t="s">
        <v>12978</v>
      </c>
      <c r="E5410" s="5" t="s">
        <v>35347</v>
      </c>
      <c r="F5410" s="5" t="s">
        <v>108</v>
      </c>
      <c r="G5410" s="5" t="s">
        <v>35348</v>
      </c>
      <c r="H5410" s="6" t="s">
        <v>35349</v>
      </c>
      <c r="I5410" s="7" t="s">
        <v>35350</v>
      </c>
      <c r="J5410" s="8" t="str">
        <f>HYPERLINK("https://drive.google.com/file/d/1YQ_L2E8VXWdcCeO5I41LOLMG26IytQ_N/view?usp=drivesdk","JUNARSIH SERTIFIKAT BerAKHLAK")</f>
        <v>JUNARSIH SERTIFIKAT BerAKHLAK</v>
      </c>
      <c r="K5410" s="5" t="s">
        <v>35335</v>
      </c>
      <c r="L5410" s="5" t="s">
        <v>35351</v>
      </c>
      <c r="M5410" s="5" t="s">
        <v>35352</v>
      </c>
      <c r="N5410" s="7" t="s">
        <v>35353</v>
      </c>
      <c r="O5410" s="8" t="str">
        <f>HYPERLINK("https://drive.google.com/file/d/11LQG1WBduRbQz78eefm4sj7XXqeYP_IR/view?usp=drivesdk","5409_JUNARSIH _ SERTIFIKAT BerAKHLAK")</f>
        <v>5409_JUNARSIH _ SERTIFIKAT BerAKHLAK</v>
      </c>
      <c r="P5410" s="5" t="s">
        <v>35339</v>
      </c>
    </row>
    <row r="5411">
      <c r="A5411" s="4">
        <v>45534.35957973379</v>
      </c>
      <c r="B5411" s="5" t="s">
        <v>34</v>
      </c>
      <c r="D5411" s="5" t="s">
        <v>9020</v>
      </c>
      <c r="E5411" s="5" t="s">
        <v>21107</v>
      </c>
      <c r="F5411" s="5" t="s">
        <v>108</v>
      </c>
      <c r="G5411" s="5" t="s">
        <v>35354</v>
      </c>
      <c r="H5411" s="6" t="s">
        <v>35355</v>
      </c>
      <c r="I5411" s="7" t="s">
        <v>35356</v>
      </c>
      <c r="J5411" s="8" t="str">
        <f>HYPERLINK("https://drive.google.com/file/d/1fZTwLp0PVJYMedf7wLnjhiTgwzPUldVx/view?usp=drivesdk","ELDINA MANURUNG, SE SERTIFIKAT BerAKHLAK")</f>
        <v>ELDINA MANURUNG, SE SERTIFIKAT BerAKHLAK</v>
      </c>
      <c r="K5411" s="5" t="s">
        <v>35335</v>
      </c>
      <c r="L5411" s="5" t="s">
        <v>35357</v>
      </c>
      <c r="M5411" s="5" t="s">
        <v>35358</v>
      </c>
      <c r="N5411" s="7" t="s">
        <v>35359</v>
      </c>
      <c r="O5411" s="8" t="str">
        <f>HYPERLINK("https://drive.google.com/file/d/1kD4MdRKDtBFRF7qJhUOUAzYyyQZYn9Hg/view?usp=drivesdk","5410_ELDINA MANURUNG, SE _ SERTIFIKAT BerAKHLAK")</f>
        <v>5410_ELDINA MANURUNG, SE _ SERTIFIKAT BerAKHLAK</v>
      </c>
      <c r="P5411" s="5" t="s">
        <v>35339</v>
      </c>
    </row>
    <row r="5412">
      <c r="A5412" s="4">
        <v>45534.35961050926</v>
      </c>
      <c r="B5412" s="5" t="s">
        <v>34</v>
      </c>
      <c r="D5412" s="5" t="s">
        <v>14313</v>
      </c>
      <c r="E5412" s="5" t="s">
        <v>35360</v>
      </c>
      <c r="F5412" s="5" t="s">
        <v>212</v>
      </c>
      <c r="G5412" s="5" t="s">
        <v>35361</v>
      </c>
      <c r="H5412" s="6" t="s">
        <v>35362</v>
      </c>
      <c r="I5412" s="7" t="s">
        <v>35363</v>
      </c>
      <c r="J5412" s="8" t="str">
        <f>HYPERLINK("https://drive.google.com/file/d/1jPdarxhAoAumun1nwFSH-8RD-54F8DiC/view?usp=drivesdk","MAWAR MELATI MUIS SERTIFIKAT BerAKHLAK")</f>
        <v>MAWAR MELATI MUIS SERTIFIKAT BerAKHLAK</v>
      </c>
      <c r="K5412" s="5" t="s">
        <v>34938</v>
      </c>
      <c r="L5412" s="5" t="s">
        <v>35364</v>
      </c>
      <c r="M5412" s="5" t="s">
        <v>35365</v>
      </c>
      <c r="N5412" s="7" t="s">
        <v>35366</v>
      </c>
      <c r="O5412" s="8" t="str">
        <f>HYPERLINK("https://drive.google.com/file/d/1vmgdOzZ9f2NwFFIBZ0Eg1eO6SXMCPT-4/view?usp=drivesdk","5411_MAWAR MELATI MUIS _ SERTIFIKAT BerAKHLAK")</f>
        <v>5411_MAWAR MELATI MUIS _ SERTIFIKAT BerAKHLAK</v>
      </c>
      <c r="P5412" s="5" t="s">
        <v>35367</v>
      </c>
    </row>
    <row r="5413">
      <c r="A5413" s="4">
        <v>45534.359613912035</v>
      </c>
      <c r="B5413" s="5" t="s">
        <v>34</v>
      </c>
      <c r="D5413" s="5" t="s">
        <v>4775</v>
      </c>
      <c r="E5413" s="5" t="s">
        <v>35368</v>
      </c>
      <c r="F5413" s="5" t="s">
        <v>37</v>
      </c>
      <c r="G5413" s="5" t="s">
        <v>35369</v>
      </c>
      <c r="H5413" s="6" t="s">
        <v>35370</v>
      </c>
      <c r="I5413" s="7" t="s">
        <v>35371</v>
      </c>
      <c r="J5413" s="8" t="str">
        <f>HYPERLINK("https://drive.google.com/file/d/1jRnuE8Opia1DnO2Z8I2ERJkghUAu0V61/view?usp=drivesdk","RISKA AMELIA SARI, A.Md.Keb SERTIFIKAT BerAKHLAK")</f>
        <v>RISKA AMELIA SARI, A.Md.Keb SERTIFIKAT BerAKHLAK</v>
      </c>
      <c r="K5413" s="5" t="s">
        <v>34938</v>
      </c>
      <c r="L5413" s="5" t="s">
        <v>35372</v>
      </c>
      <c r="M5413" s="5" t="s">
        <v>35373</v>
      </c>
      <c r="N5413" s="7" t="s">
        <v>35374</v>
      </c>
      <c r="O5413" s="8" t="str">
        <f>HYPERLINK("https://drive.google.com/file/d/18GdovVVj3yUZeVkOaGSsvMZgTCit9UWB/view?usp=drivesdk","5412_RISKA AMELIA SARI, A.Md.Keb _ SERTIFIKAT BerAKHLAK")</f>
        <v>5412_RISKA AMELIA SARI, A.Md.Keb _ SERTIFIKAT BerAKHLAK</v>
      </c>
      <c r="P5413" s="5" t="s">
        <v>35367</v>
      </c>
    </row>
    <row r="5414">
      <c r="A5414" s="4">
        <v>45534.35961704861</v>
      </c>
      <c r="B5414" s="5" t="s">
        <v>34</v>
      </c>
      <c r="D5414" s="5" t="s">
        <v>14424</v>
      </c>
      <c r="E5414" s="5" t="s">
        <v>35375</v>
      </c>
      <c r="F5414" s="5" t="s">
        <v>72</v>
      </c>
      <c r="G5414" s="5" t="s">
        <v>35376</v>
      </c>
      <c r="H5414" s="6" t="s">
        <v>35377</v>
      </c>
      <c r="I5414" s="7" t="s">
        <v>35378</v>
      </c>
      <c r="J5414" s="8" t="str">
        <f>HYPERLINK("https://drive.google.com/file/d/1zjs8MmImVtwMiIoPxYCb_8ON-abca4OR/view?usp=drivesdk","ELLYANI,SKM SERTIFIKAT BerAKHLAK")</f>
        <v>ELLYANI,SKM SERTIFIKAT BerAKHLAK</v>
      </c>
      <c r="K5414" s="5" t="s">
        <v>34938</v>
      </c>
      <c r="L5414" s="5" t="s">
        <v>35379</v>
      </c>
      <c r="M5414" s="5" t="s">
        <v>35380</v>
      </c>
      <c r="N5414" s="7" t="s">
        <v>35381</v>
      </c>
      <c r="O5414" s="8" t="str">
        <f>HYPERLINK("https://drive.google.com/file/d/1RKQzTAQCrwcnJS14eOVJdyDs_KjCndgv/view?usp=drivesdk","5413_ELLYANI,SKM _ SERTIFIKAT BerAKHLAK")</f>
        <v>5413_ELLYANI,SKM _ SERTIFIKAT BerAKHLAK</v>
      </c>
      <c r="P5414" s="5" t="s">
        <v>35367</v>
      </c>
    </row>
    <row r="5415">
      <c r="A5415" s="4">
        <v>45534.35962392361</v>
      </c>
      <c r="B5415" s="5" t="s">
        <v>34</v>
      </c>
      <c r="D5415" s="5" t="s">
        <v>1206</v>
      </c>
      <c r="E5415" s="5" t="s">
        <v>35382</v>
      </c>
      <c r="F5415" s="5" t="s">
        <v>212</v>
      </c>
      <c r="G5415" s="5" t="s">
        <v>35383</v>
      </c>
      <c r="H5415" s="6" t="s">
        <v>35384</v>
      </c>
      <c r="I5415" s="7" t="s">
        <v>35385</v>
      </c>
      <c r="J5415" s="8" t="str">
        <f>HYPERLINK("https://drive.google.com/file/d/1_MovZyhRcLGh2H0MH2B7rnobBX6-7_j-/view?usp=drivesdk","ANI MEI SUSANTI  SERTIFIKAT BerAKHLAK")</f>
        <v>ANI MEI SUSANTI  SERTIFIKAT BerAKHLAK</v>
      </c>
      <c r="K5415" s="5" t="s">
        <v>34938</v>
      </c>
      <c r="L5415" s="5" t="s">
        <v>35386</v>
      </c>
      <c r="M5415" s="5" t="s">
        <v>35387</v>
      </c>
      <c r="N5415" s="7" t="s">
        <v>35388</v>
      </c>
      <c r="O5415" s="8" t="str">
        <f>HYPERLINK("https://drive.google.com/file/d/12SG9g7Q9E29f6hv3kt_qDOdn8vsaN-OD/view?usp=drivesdk","5414_ANI MEI SUSANTI  _ SERTIFIKAT BerAKHLAK")</f>
        <v>5414_ANI MEI SUSANTI  _ SERTIFIKAT BerAKHLAK</v>
      </c>
      <c r="P5415" s="5" t="s">
        <v>35367</v>
      </c>
    </row>
    <row r="5416">
      <c r="A5416" s="4">
        <v>45534.35965266204</v>
      </c>
      <c r="B5416" s="5" t="s">
        <v>34</v>
      </c>
      <c r="D5416" s="5" t="s">
        <v>12978</v>
      </c>
      <c r="E5416" s="5" t="s">
        <v>35389</v>
      </c>
      <c r="F5416" s="5" t="s">
        <v>375</v>
      </c>
      <c r="G5416" s="5" t="s">
        <v>35390</v>
      </c>
      <c r="H5416" s="6" t="s">
        <v>35391</v>
      </c>
      <c r="I5416" s="7" t="s">
        <v>35392</v>
      </c>
      <c r="J5416" s="8" t="str">
        <f>HYPERLINK("https://drive.google.com/file/d/1u6-rlfJwJFbRccjR6_jOnGhduoK-m3sy/view?usp=drivesdk","Asti Fera M, S.H., M.M SERTIFIKAT BerAKHLAK")</f>
        <v>Asti Fera M, S.H., M.M SERTIFIKAT BerAKHLAK</v>
      </c>
      <c r="K5416" s="5" t="s">
        <v>34938</v>
      </c>
      <c r="L5416" s="5" t="s">
        <v>35393</v>
      </c>
      <c r="M5416" s="5" t="s">
        <v>35394</v>
      </c>
      <c r="N5416" s="7" t="s">
        <v>35395</v>
      </c>
      <c r="O5416" s="8" t="str">
        <f>HYPERLINK("https://drive.google.com/file/d/1qETrpbL9FOaO1ujMRw_tYxitIxeGblyP/view?usp=drivesdk","5415_Asti Fera M, S.H., M.M _ SERTIFIKAT BerAKHLAK")</f>
        <v>5415_Asti Fera M, S.H., M.M _ SERTIFIKAT BerAKHLAK</v>
      </c>
      <c r="P5416" s="5" t="s">
        <v>35367</v>
      </c>
    </row>
    <row r="5417">
      <c r="A5417" s="4">
        <v>45534.35965462963</v>
      </c>
      <c r="B5417" s="5" t="s">
        <v>34</v>
      </c>
      <c r="D5417" s="5" t="s">
        <v>4775</v>
      </c>
      <c r="E5417" s="5" t="s">
        <v>35396</v>
      </c>
      <c r="F5417" s="5" t="s">
        <v>524</v>
      </c>
      <c r="G5417" s="5" t="s">
        <v>35397</v>
      </c>
      <c r="H5417" s="6" t="s">
        <v>35398</v>
      </c>
      <c r="I5417" s="7" t="s">
        <v>35399</v>
      </c>
      <c r="J5417" s="8" t="str">
        <f>HYPERLINK("https://drive.google.com/file/d/10iP5Z3tARo1CB2R3NxgaZ85CeNQ4nway/view?usp=drivesdk","YUNITA TRI BUDHI MURDIATI,A.Md.Fam SERTIFIKAT BerAKHLAK")</f>
        <v>YUNITA TRI BUDHI MURDIATI,A.Md.Fam SERTIFIKAT BerAKHLAK</v>
      </c>
      <c r="K5417" s="5" t="s">
        <v>34938</v>
      </c>
      <c r="L5417" s="5" t="s">
        <v>35400</v>
      </c>
      <c r="M5417" s="5" t="s">
        <v>35401</v>
      </c>
      <c r="N5417" s="7" t="s">
        <v>35402</v>
      </c>
      <c r="O5417" s="8" t="str">
        <f>HYPERLINK("https://drive.google.com/file/d/1jxq8923BC4Rxdv1235vfdCINS2Yy6zoH/view?usp=drivesdk","5416_YUNITA TRI BUDHI MURDIATI,A.Md.Fam _ SERTIFIKAT BerAKHLAK")</f>
        <v>5416_YUNITA TRI BUDHI MURDIATI,A.Md.Fam _ SERTIFIKAT BerAKHLAK</v>
      </c>
      <c r="P5417" s="5" t="s">
        <v>35403</v>
      </c>
    </row>
    <row r="5418">
      <c r="A5418" s="4">
        <v>45534.3596611574</v>
      </c>
      <c r="B5418" s="5" t="s">
        <v>34</v>
      </c>
      <c r="D5418" s="5" t="s">
        <v>35</v>
      </c>
      <c r="E5418" s="5" t="s">
        <v>35404</v>
      </c>
      <c r="F5418" s="5" t="s">
        <v>108</v>
      </c>
      <c r="G5418" s="5" t="s">
        <v>35405</v>
      </c>
      <c r="H5418" s="6" t="s">
        <v>35406</v>
      </c>
      <c r="I5418" s="7" t="s">
        <v>35407</v>
      </c>
      <c r="J5418" s="8" t="str">
        <f>HYPERLINK("https://drive.google.com/file/d/1woYbVoaKZ3XDgZs3u1dJK-ZDptqzxsb6/view?usp=drivesdk","DWI INDRYULI, A. MD.  SERTIFIKAT BerAKHLAK")</f>
        <v>DWI INDRYULI, A. MD.  SERTIFIKAT BerAKHLAK</v>
      </c>
      <c r="K5418" s="5" t="s">
        <v>34938</v>
      </c>
      <c r="L5418" s="5" t="s">
        <v>35408</v>
      </c>
      <c r="M5418" s="5" t="s">
        <v>35409</v>
      </c>
      <c r="N5418" s="7" t="s">
        <v>35410</v>
      </c>
      <c r="O5418" s="8" t="str">
        <f>HYPERLINK("https://drive.google.com/file/d/17BjAVPPpLrPCBhXZ6QYRm2cKtmQthAr8/view?usp=drivesdk","5417_DWI INDRYULI, A. MD.  _ SERTIFIKAT BerAKHLAK")</f>
        <v>5417_DWI INDRYULI, A. MD.  _ SERTIFIKAT BerAKHLAK</v>
      </c>
      <c r="P5418" s="5" t="s">
        <v>35403</v>
      </c>
    </row>
    <row r="5419">
      <c r="A5419" s="4">
        <v>45534.35966476852</v>
      </c>
      <c r="B5419" s="5" t="s">
        <v>34</v>
      </c>
      <c r="D5419" s="5" t="s">
        <v>14424</v>
      </c>
      <c r="E5419" s="5" t="s">
        <v>35411</v>
      </c>
      <c r="F5419" s="5" t="s">
        <v>72</v>
      </c>
      <c r="G5419" s="5" t="s">
        <v>35412</v>
      </c>
      <c r="H5419" s="6" t="s">
        <v>35413</v>
      </c>
      <c r="K5419" s="5" t="s">
        <v>35414</v>
      </c>
      <c r="M5419" s="5" t="s">
        <v>35415</v>
      </c>
      <c r="N5419" s="7" t="s">
        <v>35416</v>
      </c>
      <c r="O5419" s="8" t="str">
        <f>HYPERLINK("https://drive.google.com/file/d/1aC4MdgYerhjn157_lNFBR98W3gxQfNKe/view?usp=drivesdk","5418_EKA SATRIANI MUKHSAL, SKM _ SERTIFIKAT BerAKHLAK")</f>
        <v>5418_EKA SATRIANI MUKHSAL, SKM _ SERTIFIKAT BerAKHLAK</v>
      </c>
      <c r="P5419" s="5" t="s">
        <v>35403</v>
      </c>
    </row>
    <row r="5420">
      <c r="A5420" s="4">
        <v>45534.35967578704</v>
      </c>
      <c r="B5420" s="5" t="s">
        <v>34</v>
      </c>
      <c r="D5420" s="5" t="s">
        <v>1206</v>
      </c>
      <c r="E5420" s="5" t="s">
        <v>35417</v>
      </c>
      <c r="F5420" s="5" t="s">
        <v>37</v>
      </c>
      <c r="G5420" s="5" t="s">
        <v>35418</v>
      </c>
      <c r="H5420" s="6" t="s">
        <v>35419</v>
      </c>
      <c r="K5420" s="5" t="s">
        <v>35414</v>
      </c>
      <c r="M5420" s="5" t="s">
        <v>35420</v>
      </c>
      <c r="N5420" s="7" t="s">
        <v>35421</v>
      </c>
      <c r="O5420" s="8" t="str">
        <f>HYPERLINK("https://drive.google.com/file/d/1S96ZyGtZq1KO230IVXnxf6MV375kHsgN/view?usp=drivesdk","5419_MOHAMAD ASNAN _ SERTIFIKAT BerAKHLAK")</f>
        <v>5419_MOHAMAD ASNAN _ SERTIFIKAT BerAKHLAK</v>
      </c>
      <c r="P5420" s="5" t="s">
        <v>35403</v>
      </c>
    </row>
    <row r="5421">
      <c r="A5421" s="4">
        <v>45534.35968488426</v>
      </c>
      <c r="B5421" s="5" t="s">
        <v>34</v>
      </c>
      <c r="D5421" s="5" t="s">
        <v>12978</v>
      </c>
      <c r="E5421" s="5" t="s">
        <v>35422</v>
      </c>
      <c r="F5421" s="5" t="s">
        <v>212</v>
      </c>
      <c r="G5421" s="5" t="s">
        <v>35423</v>
      </c>
      <c r="H5421" s="6" t="s">
        <v>35424</v>
      </c>
      <c r="K5421" s="5" t="s">
        <v>35414</v>
      </c>
      <c r="M5421" s="5" t="s">
        <v>35425</v>
      </c>
      <c r="N5421" s="7" t="s">
        <v>35426</v>
      </c>
      <c r="O5421" s="8" t="str">
        <f>HYPERLINK("https://drive.google.com/file/d/134RAuxUhxcRtx1wF_756hYCRVaSdUFHS/view?usp=drivesdk","5420_HELLITA MARNI _ SERTIFIKAT BerAKHLAK")</f>
        <v>5420_HELLITA MARNI _ SERTIFIKAT BerAKHLAK</v>
      </c>
      <c r="P5421" s="5" t="s">
        <v>35403</v>
      </c>
    </row>
    <row r="5422">
      <c r="A5422" s="4">
        <v>45534.35969877314</v>
      </c>
      <c r="B5422" s="5" t="s">
        <v>34</v>
      </c>
      <c r="D5422" s="5" t="s">
        <v>1206</v>
      </c>
      <c r="E5422" s="5" t="s">
        <v>35427</v>
      </c>
      <c r="F5422" s="5" t="s">
        <v>212</v>
      </c>
      <c r="G5422" s="5" t="s">
        <v>35428</v>
      </c>
      <c r="H5422" s="6" t="s">
        <v>35429</v>
      </c>
      <c r="K5422" s="5" t="s">
        <v>35414</v>
      </c>
      <c r="M5422" s="5" t="s">
        <v>35430</v>
      </c>
      <c r="N5422" s="7" t="s">
        <v>35431</v>
      </c>
      <c r="O5422" s="8" t="str">
        <f>HYPERLINK("https://drive.google.com/file/d/1QxvpcMQwYDSfKVp2YGg4kkPf9P1VJr7x/view?usp=drivesdk","5421_ENDANG SRI HARTATIK _ SERTIFIKAT BerAKHLAK")</f>
        <v>5421_ENDANG SRI HARTATIK _ SERTIFIKAT BerAKHLAK</v>
      </c>
      <c r="P5422" s="5" t="s">
        <v>35432</v>
      </c>
    </row>
    <row r="5423">
      <c r="A5423" s="4">
        <v>45534.35970425926</v>
      </c>
      <c r="B5423" s="5" t="s">
        <v>34</v>
      </c>
      <c r="D5423" s="5" t="s">
        <v>4775</v>
      </c>
      <c r="E5423" s="5" t="s">
        <v>35433</v>
      </c>
      <c r="F5423" s="5" t="s">
        <v>120</v>
      </c>
      <c r="G5423" s="5" t="s">
        <v>35434</v>
      </c>
      <c r="H5423" s="6" t="s">
        <v>35435</v>
      </c>
      <c r="K5423" s="5" t="s">
        <v>35414</v>
      </c>
      <c r="M5423" s="5" t="s">
        <v>35436</v>
      </c>
      <c r="N5423" s="7" t="s">
        <v>35437</v>
      </c>
      <c r="O5423" s="8" t="str">
        <f>HYPERLINK("https://drive.google.com/file/d/1EzcfMl9mvfNh6HJaKiHMOmMibUlasXLT/view?usp=drivesdk","5422_dr. LUHUR AGUS SLAMETA _ SERTIFIKAT BerAKHLAK")</f>
        <v>5422_dr. LUHUR AGUS SLAMETA _ SERTIFIKAT BerAKHLAK</v>
      </c>
      <c r="P5423" s="5" t="s">
        <v>35432</v>
      </c>
    </row>
    <row r="5424">
      <c r="A5424" s="4">
        <v>45534.359723125</v>
      </c>
      <c r="B5424" s="5" t="s">
        <v>34</v>
      </c>
      <c r="D5424" s="5" t="s">
        <v>35</v>
      </c>
      <c r="E5424" s="5" t="s">
        <v>35438</v>
      </c>
      <c r="F5424" s="5" t="s">
        <v>212</v>
      </c>
      <c r="G5424" s="5" t="s">
        <v>35439</v>
      </c>
      <c r="H5424" s="6" t="s">
        <v>35440</v>
      </c>
      <c r="I5424" s="7" t="s">
        <v>35441</v>
      </c>
      <c r="J5424" s="8" t="str">
        <f>HYPERLINK("https://drive.google.com/file/d/1b16B56pG-6zWjwZGsDGE8DWsnLgH3RwU/view?usp=drivesdk","ENTIN SUARSIH SERTIFIKAT BerAKHLAK")</f>
        <v>ENTIN SUARSIH SERTIFIKAT BerAKHLAK</v>
      </c>
      <c r="K5424" s="5" t="s">
        <v>34938</v>
      </c>
      <c r="L5424" s="5" t="s">
        <v>35442</v>
      </c>
      <c r="M5424" s="5" t="s">
        <v>35443</v>
      </c>
      <c r="N5424" s="7" t="s">
        <v>35444</v>
      </c>
      <c r="O5424" s="8" t="str">
        <f>HYPERLINK("https://drive.google.com/file/d/1K2IyylMMMrxO7iQhoEZTSaWchFikXdBs/view?usp=drivesdk","5423_ENTIN SUARSIH _ SERTIFIKAT BerAKHLAK")</f>
        <v>5423_ENTIN SUARSIH _ SERTIFIKAT BerAKHLAK</v>
      </c>
      <c r="P5424" s="5" t="s">
        <v>35432</v>
      </c>
    </row>
    <row r="5425">
      <c r="A5425" s="4">
        <v>45534.35972303241</v>
      </c>
      <c r="B5425" s="5" t="s">
        <v>34</v>
      </c>
      <c r="D5425" s="5" t="s">
        <v>1558</v>
      </c>
      <c r="E5425" s="5" t="s">
        <v>35445</v>
      </c>
      <c r="F5425" s="5" t="s">
        <v>108</v>
      </c>
      <c r="G5425" s="5" t="s">
        <v>35446</v>
      </c>
      <c r="H5425" s="6" t="s">
        <v>35447</v>
      </c>
      <c r="I5425" s="7" t="s">
        <v>35448</v>
      </c>
      <c r="J5425" s="8" t="str">
        <f>HYPERLINK("https://drive.google.com/file/d/1pUpB4MPDYF-_XUrHhldz9Rr4sxetJ4_C/view?usp=drivesdk","SLAMET SUTIKWO  SERTIFIKAT BerAKHLAK")</f>
        <v>SLAMET SUTIKWO  SERTIFIKAT BerAKHLAK</v>
      </c>
      <c r="K5425" s="5" t="s">
        <v>34938</v>
      </c>
      <c r="L5425" s="5" t="s">
        <v>35449</v>
      </c>
      <c r="M5425" s="5" t="s">
        <v>35450</v>
      </c>
      <c r="N5425" s="7" t="s">
        <v>35451</v>
      </c>
      <c r="O5425" s="8" t="str">
        <f>HYPERLINK("https://drive.google.com/file/d/11D3b2jQBqMm0WpbgDCx2H3YVk6yV1Z9G/view?usp=drivesdk","5424_SLAMET SUTIKWO  _ SERTIFIKAT BerAKHLAK")</f>
        <v>5424_SLAMET SUTIKWO  _ SERTIFIKAT BerAKHLAK</v>
      </c>
      <c r="P5425" s="5" t="s">
        <v>35432</v>
      </c>
    </row>
    <row r="5426">
      <c r="A5426" s="4">
        <v>45534.359737962965</v>
      </c>
      <c r="B5426" s="5" t="s">
        <v>34</v>
      </c>
      <c r="D5426" s="5" t="s">
        <v>4775</v>
      </c>
      <c r="E5426" s="5" t="s">
        <v>35452</v>
      </c>
      <c r="F5426" s="5" t="s">
        <v>375</v>
      </c>
      <c r="G5426" s="5" t="s">
        <v>35453</v>
      </c>
      <c r="H5426" s="6" t="s">
        <v>35454</v>
      </c>
      <c r="I5426" s="7" t="s">
        <v>35455</v>
      </c>
      <c r="J5426" s="8" t="str">
        <f>HYPERLINK("https://drive.google.com/file/d/1-bhwjvfh0mYrbMZjROmvckQgoynTlr2t/view?usp=drivesdk","SRI MULYANAH SERTIFIKAT BerAKHLAK")</f>
        <v>SRI MULYANAH SERTIFIKAT BerAKHLAK</v>
      </c>
      <c r="K5426" s="5" t="s">
        <v>34938</v>
      </c>
      <c r="L5426" s="5" t="s">
        <v>35456</v>
      </c>
      <c r="M5426" s="5" t="s">
        <v>35457</v>
      </c>
      <c r="N5426" s="7" t="s">
        <v>35458</v>
      </c>
      <c r="O5426" s="8" t="str">
        <f>HYPERLINK("https://drive.google.com/file/d/1moPJbkPC9WA_vnKFD9_buKTVnO0A-pmz/view?usp=drivesdk","5425_SRI MULYANAH _ SERTIFIKAT BerAKHLAK")</f>
        <v>5425_SRI MULYANAH _ SERTIFIKAT BerAKHLAK</v>
      </c>
      <c r="P5426" s="5" t="s">
        <v>35432</v>
      </c>
    </row>
    <row r="5427">
      <c r="A5427" s="4">
        <v>45534.359738865736</v>
      </c>
      <c r="B5427" s="5" t="s">
        <v>34</v>
      </c>
      <c r="D5427" s="5" t="s">
        <v>701</v>
      </c>
      <c r="E5427" s="5" t="s">
        <v>35459</v>
      </c>
      <c r="F5427" s="5" t="s">
        <v>108</v>
      </c>
      <c r="G5427" s="5" t="s">
        <v>35460</v>
      </c>
      <c r="H5427" s="6" t="s">
        <v>35461</v>
      </c>
      <c r="I5427" s="7" t="s">
        <v>35462</v>
      </c>
      <c r="J5427" s="8" t="str">
        <f>HYPERLINK("https://drive.google.com/file/d/1A65zJFQM-rBr5N3c50ObBbbtzZbAcL1Y/view?usp=drivesdk","IMELDA RUSLI  SERTIFIKAT BerAKHLAK")</f>
        <v>IMELDA RUSLI  SERTIFIKAT BerAKHLAK</v>
      </c>
      <c r="K5427" s="5" t="s">
        <v>34938</v>
      </c>
      <c r="L5427" s="5" t="s">
        <v>35463</v>
      </c>
      <c r="M5427" s="5" t="s">
        <v>35464</v>
      </c>
      <c r="N5427" s="7" t="s">
        <v>35465</v>
      </c>
      <c r="O5427" s="8" t="str">
        <f>HYPERLINK("https://drive.google.com/file/d/1Ip2rX4Me30gbrFn_JBostbYi-A-ew6rJ/view?usp=drivesdk","5426_IMELDA RUSLI  _ SERTIFIKAT BerAKHLAK")</f>
        <v>5426_IMELDA RUSLI  _ SERTIFIKAT BerAKHLAK</v>
      </c>
      <c r="P5427" s="5" t="s">
        <v>35466</v>
      </c>
    </row>
    <row r="5428">
      <c r="A5428" s="4">
        <v>45534.35975037037</v>
      </c>
      <c r="B5428" s="5" t="s">
        <v>34</v>
      </c>
      <c r="D5428" s="5" t="s">
        <v>35</v>
      </c>
      <c r="E5428" s="5" t="s">
        <v>35467</v>
      </c>
      <c r="F5428" s="5" t="s">
        <v>37</v>
      </c>
      <c r="G5428" s="5" t="s">
        <v>35468</v>
      </c>
      <c r="H5428" s="6" t="s">
        <v>35469</v>
      </c>
      <c r="I5428" s="7" t="s">
        <v>35470</v>
      </c>
      <c r="J5428" s="8" t="str">
        <f>HYPERLINK("https://drive.google.com/file/d/1RCdYZ3IqYTNyMC1O5RxggHXpSnMI970o/view?usp=drivesdk","CUHANA SERTIFIKAT BerAKHLAK")</f>
        <v>CUHANA SERTIFIKAT BerAKHLAK</v>
      </c>
      <c r="K5428" s="5" t="s">
        <v>35313</v>
      </c>
      <c r="L5428" s="5" t="s">
        <v>35471</v>
      </c>
      <c r="M5428" s="5" t="s">
        <v>35472</v>
      </c>
      <c r="N5428" s="7" t="s">
        <v>35473</v>
      </c>
      <c r="O5428" s="8" t="str">
        <f>HYPERLINK("https://drive.google.com/file/d/1Lo6PibgLAMiCJdJBPJ-GK-zBcHXw3fKO/view?usp=drivesdk","5427_CUHANA _ SERTIFIKAT BerAKHLAK")</f>
        <v>5427_CUHANA _ SERTIFIKAT BerAKHLAK</v>
      </c>
      <c r="P5428" s="5" t="s">
        <v>35466</v>
      </c>
    </row>
    <row r="5429">
      <c r="A5429" s="4">
        <v>45534.35974991898</v>
      </c>
      <c r="B5429" s="5" t="s">
        <v>34</v>
      </c>
      <c r="D5429" s="5" t="s">
        <v>9020</v>
      </c>
      <c r="E5429" s="5" t="s">
        <v>35474</v>
      </c>
      <c r="F5429" s="5" t="s">
        <v>22</v>
      </c>
      <c r="G5429" s="5" t="s">
        <v>35475</v>
      </c>
      <c r="H5429" s="6" t="s">
        <v>35476</v>
      </c>
      <c r="K5429" s="5" t="s">
        <v>35477</v>
      </c>
      <c r="M5429" s="5" t="s">
        <v>35478</v>
      </c>
      <c r="N5429" s="7" t="s">
        <v>35479</v>
      </c>
      <c r="O5429" s="8" t="str">
        <f>HYPERLINK("https://drive.google.com/file/d/1ZAGrnLRsHEP1YKkV9q6qv0PoTwRnZHZ7/view?usp=drivesdk","5428_Dr. AHMAD RUDY SIHALOHO, M.A. _ SERTIFIKAT BerAKHLAK")</f>
        <v>5428_Dr. AHMAD RUDY SIHALOHO, M.A. _ SERTIFIKAT BerAKHLAK</v>
      </c>
      <c r="P5429" s="5" t="s">
        <v>35466</v>
      </c>
    </row>
    <row r="5430">
      <c r="A5430" s="4">
        <v>45534.35975908565</v>
      </c>
      <c r="B5430" s="5" t="s">
        <v>34</v>
      </c>
      <c r="D5430" s="5" t="s">
        <v>1206</v>
      </c>
      <c r="E5430" s="5" t="s">
        <v>35480</v>
      </c>
      <c r="F5430" s="5" t="s">
        <v>37</v>
      </c>
      <c r="G5430" s="5" t="s">
        <v>35481</v>
      </c>
      <c r="H5430" s="6" t="s">
        <v>35482</v>
      </c>
      <c r="K5430" s="5" t="s">
        <v>35477</v>
      </c>
      <c r="M5430" s="5" t="s">
        <v>35483</v>
      </c>
      <c r="N5430" s="7" t="s">
        <v>35484</v>
      </c>
      <c r="O5430" s="8" t="str">
        <f>HYPERLINK("https://drive.google.com/file/d/1CG1JcYlGb3HASGZRVYZDig0lYY_GUGlM/view?usp=drivesdk","5429_TANTY  RAHAYU  _ SERTIFIKAT BerAKHLAK")</f>
        <v>5429_TANTY  RAHAYU  _ SERTIFIKAT BerAKHLAK</v>
      </c>
      <c r="P5430" s="5" t="s">
        <v>35466</v>
      </c>
    </row>
    <row r="5431">
      <c r="A5431" s="4">
        <v>45534.35976033565</v>
      </c>
      <c r="B5431" s="5" t="s">
        <v>34</v>
      </c>
      <c r="D5431" s="5" t="s">
        <v>15401</v>
      </c>
      <c r="E5431" s="5" t="s">
        <v>35485</v>
      </c>
      <c r="F5431" s="5" t="s">
        <v>212</v>
      </c>
      <c r="G5431" s="5" t="s">
        <v>35486</v>
      </c>
      <c r="H5431" s="6" t="s">
        <v>35487</v>
      </c>
      <c r="I5431" s="7" t="s">
        <v>35488</v>
      </c>
      <c r="J5431" s="8" t="str">
        <f>HYPERLINK("https://drive.google.com/file/d/1vP0bVgj2altdXaa_CXYI0KIJ74C3SeM6/view?usp=drivesdk","SULFIAH SERTIFIKAT BerAKHLAK")</f>
        <v>SULFIAH SERTIFIKAT BerAKHLAK</v>
      </c>
      <c r="K5431" s="5" t="s">
        <v>34938</v>
      </c>
      <c r="L5431" s="5" t="s">
        <v>35489</v>
      </c>
      <c r="M5431" s="5" t="s">
        <v>35490</v>
      </c>
      <c r="N5431" s="7" t="s">
        <v>35491</v>
      </c>
      <c r="O5431" s="8" t="str">
        <f>HYPERLINK("https://drive.google.com/file/d/1poYB9dukLmQnO76nZ9-OTdGUIgVLpAAa/view?usp=drivesdk","5430_SULFIAH _ SERTIFIKAT BerAKHLAK")</f>
        <v>5430_SULFIAH _ SERTIFIKAT BerAKHLAK</v>
      </c>
      <c r="P5431" s="5" t="s">
        <v>35492</v>
      </c>
    </row>
    <row r="5432">
      <c r="A5432" s="4">
        <v>45534.359760555555</v>
      </c>
      <c r="B5432" s="5" t="s">
        <v>34</v>
      </c>
      <c r="D5432" s="5" t="s">
        <v>996</v>
      </c>
      <c r="E5432" s="5" t="s">
        <v>21305</v>
      </c>
      <c r="F5432" s="5" t="s">
        <v>212</v>
      </c>
      <c r="G5432" s="5" t="s">
        <v>35493</v>
      </c>
      <c r="H5432" s="6" t="s">
        <v>35494</v>
      </c>
      <c r="I5432" s="7" t="s">
        <v>35495</v>
      </c>
      <c r="J5432" s="8" t="str">
        <f>HYPERLINK("https://drive.google.com/file/d/1BJLlFvUiHNyh3bkWFrQqzLiy7JyX1e8G/view?usp=drivesdk","FITRIANI SERTIFIKAT BerAKHLAK")</f>
        <v>FITRIANI SERTIFIKAT BerAKHLAK</v>
      </c>
      <c r="K5432" s="5" t="s">
        <v>34938</v>
      </c>
      <c r="L5432" s="5" t="s">
        <v>35496</v>
      </c>
      <c r="M5432" s="5" t="s">
        <v>35497</v>
      </c>
      <c r="N5432" s="7" t="s">
        <v>35498</v>
      </c>
      <c r="O5432" s="8" t="str">
        <f>HYPERLINK("https://drive.google.com/file/d/1z52OtpU8JH1qKYb333CnSx__2PL_g68S/view?usp=drivesdk","5431_FITRIANI _ SERTIFIKAT BerAKHLAK")</f>
        <v>5431_FITRIANI _ SERTIFIKAT BerAKHLAK</v>
      </c>
      <c r="P5432" s="5" t="s">
        <v>35492</v>
      </c>
    </row>
    <row r="5433">
      <c r="A5433" s="4">
        <v>45534.35976832176</v>
      </c>
      <c r="B5433" s="5" t="s">
        <v>34</v>
      </c>
      <c r="D5433" s="5" t="s">
        <v>1206</v>
      </c>
      <c r="E5433" s="5" t="s">
        <v>35499</v>
      </c>
      <c r="F5433" s="5" t="s">
        <v>524</v>
      </c>
      <c r="G5433" s="5" t="s">
        <v>35500</v>
      </c>
      <c r="H5433" s="6" t="s">
        <v>35501</v>
      </c>
      <c r="I5433" s="7" t="s">
        <v>35502</v>
      </c>
      <c r="J5433" s="8" t="str">
        <f>HYPERLINK("https://drive.google.com/file/d/1Vmp8rIkc6VB1J3XpNDaBtzLRXsiglKR9/view?usp=drivesdk","NANANG RAHMAWANTO, S.E SERTIFIKAT BerAKHLAK")</f>
        <v>NANANG RAHMAWANTO, S.E SERTIFIKAT BerAKHLAK</v>
      </c>
      <c r="K5433" s="5" t="s">
        <v>34938</v>
      </c>
      <c r="L5433" s="5" t="s">
        <v>35503</v>
      </c>
      <c r="M5433" s="5" t="s">
        <v>35504</v>
      </c>
      <c r="N5433" s="7" t="s">
        <v>35505</v>
      </c>
      <c r="O5433" s="8" t="str">
        <f>HYPERLINK("https://drive.google.com/file/d/1Pd85swJP7EaMk4bY647pBJIkgG3PrKjo/view?usp=drivesdk","5432_NANANG RAHMAWANTO, S.E _ SERTIFIKAT BerAKHLAK")</f>
        <v>5432_NANANG RAHMAWANTO, S.E _ SERTIFIKAT BerAKHLAK</v>
      </c>
      <c r="P5433" s="5" t="s">
        <v>35492</v>
      </c>
    </row>
    <row r="5434">
      <c r="A5434" s="4">
        <v>45534.35979408565</v>
      </c>
      <c r="B5434" s="5" t="s">
        <v>34</v>
      </c>
      <c r="D5434" s="5" t="s">
        <v>522</v>
      </c>
      <c r="E5434" s="5" t="s">
        <v>35506</v>
      </c>
      <c r="F5434" s="5" t="s">
        <v>375</v>
      </c>
      <c r="G5434" s="5" t="s">
        <v>35507</v>
      </c>
      <c r="H5434" s="6" t="s">
        <v>35508</v>
      </c>
      <c r="I5434" s="7" t="s">
        <v>35509</v>
      </c>
      <c r="J5434" s="8" t="str">
        <f>HYPERLINK("https://drive.google.com/file/d/1bqrdk7cwgc3NTwEzhoTbhkjRiD_jlo2u/view?usp=drivesdk","I WAYAN GATOT MADIYASA, S.H. SERTIFIKAT BerAKHLAK")</f>
        <v>I WAYAN GATOT MADIYASA, S.H. SERTIFIKAT BerAKHLAK</v>
      </c>
      <c r="K5434" s="5" t="s">
        <v>35313</v>
      </c>
      <c r="L5434" s="5" t="s">
        <v>35510</v>
      </c>
      <c r="M5434" s="5" t="s">
        <v>35511</v>
      </c>
      <c r="N5434" s="7" t="s">
        <v>35512</v>
      </c>
      <c r="O5434" s="8" t="str">
        <f>HYPERLINK("https://drive.google.com/file/d/1Q_G17xfWO-7HvvjeuApMi8z06mfH6AQ0/view?usp=drivesdk","5433_I WAYAN GATOT MADIYASA, S.H. _ SERTIFIKAT BerAKHLAK")</f>
        <v>5433_I WAYAN GATOT MADIYASA, S.H. _ SERTIFIKAT BerAKHLAK</v>
      </c>
      <c r="P5434" s="5" t="s">
        <v>35492</v>
      </c>
    </row>
    <row r="5435">
      <c r="A5435" s="4">
        <v>45534.35980482639</v>
      </c>
      <c r="B5435" s="5" t="s">
        <v>34</v>
      </c>
      <c r="D5435" s="5" t="s">
        <v>1206</v>
      </c>
      <c r="E5435" s="5" t="s">
        <v>35513</v>
      </c>
      <c r="F5435" s="5" t="s">
        <v>37</v>
      </c>
      <c r="G5435" s="5" t="s">
        <v>35514</v>
      </c>
      <c r="H5435" s="6" t="s">
        <v>35515</v>
      </c>
      <c r="I5435" s="7" t="s">
        <v>35516</v>
      </c>
      <c r="J5435" s="8" t="str">
        <f>HYPERLINK("https://drive.google.com/file/d/14Y_97c61qWc97KMQOcB-SFoiPR9L-Q7e/view?usp=drivesdk","RIBUT EKA WINARSIH SERTIFIKAT BerAKHLAK")</f>
        <v>RIBUT EKA WINARSIH SERTIFIKAT BerAKHLAK</v>
      </c>
      <c r="K5435" s="5" t="s">
        <v>35313</v>
      </c>
      <c r="L5435" s="5" t="s">
        <v>35517</v>
      </c>
      <c r="M5435" s="5" t="s">
        <v>35518</v>
      </c>
      <c r="N5435" s="7" t="s">
        <v>35519</v>
      </c>
      <c r="O5435" s="8" t="str">
        <f>HYPERLINK("https://drive.google.com/file/d/1qUueb21Enhy-RzZjm_RXqjzZobqOrYBH/view?usp=drivesdk","5434_RIBUT EKA WINARSIH _ SERTIFIKAT BerAKHLAK")</f>
        <v>5434_RIBUT EKA WINARSIH _ SERTIFIKAT BerAKHLAK</v>
      </c>
      <c r="P5435" s="5" t="s">
        <v>35492</v>
      </c>
    </row>
    <row r="5436">
      <c r="A5436" s="4">
        <v>45534.35980583333</v>
      </c>
      <c r="B5436" s="5" t="s">
        <v>34</v>
      </c>
      <c r="D5436" s="5" t="s">
        <v>4775</v>
      </c>
      <c r="E5436" s="5" t="s">
        <v>35520</v>
      </c>
      <c r="F5436" s="5" t="s">
        <v>375</v>
      </c>
      <c r="G5436" s="5" t="s">
        <v>35521</v>
      </c>
      <c r="H5436" s="6" t="s">
        <v>35522</v>
      </c>
      <c r="I5436" s="7" t="s">
        <v>35523</v>
      </c>
      <c r="J5436" s="8" t="str">
        <f>HYPERLINK("https://drive.google.com/file/d/15pRiXIXbwUxyd1d4HiDyVAXFpq3WeJKI/view?usp=drivesdk","MARFUAH,S.Kep SERTIFIKAT BerAKHLAK")</f>
        <v>MARFUAH,S.Kep SERTIFIKAT BerAKHLAK</v>
      </c>
      <c r="K5436" s="5" t="s">
        <v>35313</v>
      </c>
      <c r="L5436" s="5" t="s">
        <v>35524</v>
      </c>
      <c r="M5436" s="5" t="s">
        <v>35525</v>
      </c>
      <c r="N5436" s="7" t="s">
        <v>35526</v>
      </c>
      <c r="O5436" s="8" t="str">
        <f>HYPERLINK("https://drive.google.com/file/d/1oFuPeo3dqKiwLIgGElneyL2sWxGwML5P/view?usp=drivesdk","5435_MARFUAH,S.Kep _ SERTIFIKAT BerAKHLAK")</f>
        <v>5435_MARFUAH,S.Kep _ SERTIFIKAT BerAKHLAK</v>
      </c>
      <c r="P5436" s="5" t="s">
        <v>35527</v>
      </c>
    </row>
    <row r="5437">
      <c r="A5437" s="4">
        <v>45534.359817372686</v>
      </c>
      <c r="B5437" s="5" t="s">
        <v>34</v>
      </c>
      <c r="D5437" s="5" t="s">
        <v>701</v>
      </c>
      <c r="E5437" s="5" t="s">
        <v>35528</v>
      </c>
      <c r="F5437" s="5" t="s">
        <v>212</v>
      </c>
      <c r="G5437" s="5" t="s">
        <v>35529</v>
      </c>
      <c r="H5437" s="6" t="s">
        <v>35530</v>
      </c>
      <c r="I5437" s="7" t="s">
        <v>35531</v>
      </c>
      <c r="J5437" s="8" t="str">
        <f>HYPERLINK("https://drive.google.com/file/d/1edp-4b7UREqgw_9t5SHloQLdGvHWDz_G/view?usp=drivesdk","DESMAWATI SERTIFIKAT BerAKHLAK")</f>
        <v>DESMAWATI SERTIFIKAT BerAKHLAK</v>
      </c>
      <c r="K5437" s="5" t="s">
        <v>35313</v>
      </c>
      <c r="L5437" s="5" t="s">
        <v>35532</v>
      </c>
      <c r="M5437" s="5" t="s">
        <v>35533</v>
      </c>
      <c r="N5437" s="7" t="s">
        <v>35534</v>
      </c>
      <c r="O5437" s="8" t="str">
        <f>HYPERLINK("https://drive.google.com/file/d/15jkm4l7geS32kCumsie-QfkZwtRCNgXX/view?usp=drivesdk","5436_DESMAWATI _ SERTIFIKAT BerAKHLAK")</f>
        <v>5436_DESMAWATI _ SERTIFIKAT BerAKHLAK</v>
      </c>
      <c r="P5437" s="5" t="s">
        <v>35527</v>
      </c>
    </row>
    <row r="5438">
      <c r="A5438" s="4">
        <v>45534.35982333333</v>
      </c>
      <c r="B5438" s="5" t="s">
        <v>34</v>
      </c>
      <c r="D5438" s="5" t="s">
        <v>14424</v>
      </c>
      <c r="E5438" s="5" t="s">
        <v>35535</v>
      </c>
      <c r="F5438" s="5" t="s">
        <v>72</v>
      </c>
      <c r="G5438" s="5" t="s">
        <v>35536</v>
      </c>
      <c r="H5438" s="6" t="s">
        <v>35537</v>
      </c>
      <c r="I5438" s="7" t="s">
        <v>35538</v>
      </c>
      <c r="J5438" s="8" t="str">
        <f>HYPERLINK("https://drive.google.com/file/d/1alofqc6dndcc-B9rV-g1VuWJAMMICHi3/view?usp=drivesdk","DEWI RATNAWATI SERTIFIKAT BerAKHLAK")</f>
        <v>DEWI RATNAWATI SERTIFIKAT BerAKHLAK</v>
      </c>
      <c r="K5438" s="5" t="s">
        <v>35313</v>
      </c>
      <c r="L5438" s="5" t="s">
        <v>35539</v>
      </c>
      <c r="M5438" s="5" t="s">
        <v>35540</v>
      </c>
      <c r="N5438" s="7" t="s">
        <v>35541</v>
      </c>
      <c r="O5438" s="8" t="str">
        <f>HYPERLINK("https://drive.google.com/file/d/1awRCIWn_o6d1rirIi10BaPQ-OPkrC9Ma/view?usp=drivesdk","5437_DEWI RATNAWATI _ SERTIFIKAT BerAKHLAK")</f>
        <v>5437_DEWI RATNAWATI _ SERTIFIKAT BerAKHLAK</v>
      </c>
      <c r="P5438" s="5" t="s">
        <v>35527</v>
      </c>
    </row>
    <row r="5439" hidden="1">
      <c r="A5439" s="4">
        <v>45534.35983081019</v>
      </c>
      <c r="B5439" s="5" t="s">
        <v>19</v>
      </c>
      <c r="C5439" s="5" t="s">
        <v>442</v>
      </c>
      <c r="E5439" s="5" t="s">
        <v>35542</v>
      </c>
      <c r="F5439" s="5" t="s">
        <v>72</v>
      </c>
      <c r="G5439" s="5" t="s">
        <v>35543</v>
      </c>
      <c r="H5439" s="6" t="s">
        <v>35544</v>
      </c>
      <c r="I5439" s="7" t="s">
        <v>35545</v>
      </c>
      <c r="J5439" s="8" t="str">
        <f>HYPERLINK("https://drive.google.com/file/d/1L9PKlBVYWXGcHX8cWJqtJlDhBxaSmGVP/view?usp=drivesdk","HERYANI. S.H.  SERTIFIKAT BerAKHLAK")</f>
        <v>HERYANI. S.H.  SERTIFIKAT BerAKHLAK</v>
      </c>
      <c r="K5439" s="5" t="s">
        <v>35335</v>
      </c>
      <c r="L5439" s="5" t="s">
        <v>35546</v>
      </c>
      <c r="M5439" s="5" t="s">
        <v>35547</v>
      </c>
      <c r="N5439" s="7" t="s">
        <v>35548</v>
      </c>
      <c r="O5439" s="8" t="str">
        <f>HYPERLINK("https://drive.google.com/file/d/1nJA8XBoHmtPhbRQjVd1ADB0eaTXoVUNM/view?usp=drivesdk","5438_HERYANI. S.H.  _ SERTIFIKAT BerAKHLAK")</f>
        <v>5438_HERYANI. S.H.  _ SERTIFIKAT BerAKHLAK</v>
      </c>
      <c r="P5439" s="5" t="s">
        <v>35527</v>
      </c>
    </row>
    <row r="5440">
      <c r="A5440" s="4">
        <v>45534.359830416666</v>
      </c>
      <c r="B5440" s="5" t="s">
        <v>34</v>
      </c>
      <c r="D5440" s="5" t="s">
        <v>14313</v>
      </c>
      <c r="E5440" s="5" t="s">
        <v>35549</v>
      </c>
      <c r="F5440" s="5" t="s">
        <v>199</v>
      </c>
      <c r="G5440" s="5" t="s">
        <v>35550</v>
      </c>
      <c r="H5440" s="6" t="s">
        <v>35551</v>
      </c>
      <c r="K5440" s="5" t="s">
        <v>35552</v>
      </c>
      <c r="M5440" s="5" t="s">
        <v>35553</v>
      </c>
      <c r="N5440" s="7" t="s">
        <v>35554</v>
      </c>
      <c r="O5440" s="8" t="str">
        <f>HYPERLINK("https://drive.google.com/file/d/1vDdtyJpiuDdK_mEey1FXDpzVSuGIY4G-/view?usp=drivesdk","5439_FAJAR ADHA _ SERTIFIKAT BerAKHLAK")</f>
        <v>5439_FAJAR ADHA _ SERTIFIKAT BerAKHLAK</v>
      </c>
      <c r="P5440" s="5" t="s">
        <v>35555</v>
      </c>
    </row>
    <row r="5441">
      <c r="A5441" s="4">
        <v>45534.35983901621</v>
      </c>
      <c r="B5441" s="5" t="s">
        <v>34</v>
      </c>
      <c r="D5441" s="5" t="s">
        <v>1206</v>
      </c>
      <c r="E5441" s="5" t="s">
        <v>35556</v>
      </c>
      <c r="F5441" s="5" t="s">
        <v>22</v>
      </c>
      <c r="G5441" s="5" t="s">
        <v>35557</v>
      </c>
      <c r="H5441" s="6" t="s">
        <v>35558</v>
      </c>
      <c r="I5441" s="7" t="s">
        <v>35559</v>
      </c>
      <c r="J5441" s="8" t="str">
        <f>HYPERLINK("https://drive.google.com/file/d/1mjTj7B4BWXEbZDmUMCV3DfGI6EH53PoQ/view?usp=drivesdk","dr FITRI MUSDALIFA SERTIFIKAT BerAKHLAK")</f>
        <v>dr FITRI MUSDALIFA SERTIFIKAT BerAKHLAK</v>
      </c>
      <c r="K5441" s="5" t="s">
        <v>34938</v>
      </c>
      <c r="L5441" s="5" t="s">
        <v>35560</v>
      </c>
      <c r="M5441" s="5" t="s">
        <v>35561</v>
      </c>
      <c r="N5441" s="7" t="s">
        <v>35562</v>
      </c>
      <c r="O5441" s="8" t="str">
        <f>HYPERLINK("https://drive.google.com/file/d/1VCnFLuMTkrFuwVMK-9LhC5GxOD5yEz6k/view?usp=drivesdk","5440_dr FITRI MUSDALIFA _ SERTIFIKAT BerAKHLAK")</f>
        <v>5440_dr FITRI MUSDALIFA _ SERTIFIKAT BerAKHLAK</v>
      </c>
      <c r="P5441" s="5" t="s">
        <v>35555</v>
      </c>
    </row>
    <row r="5442">
      <c r="A5442" s="4">
        <v>45534.35984888889</v>
      </c>
      <c r="B5442" s="5" t="s">
        <v>34</v>
      </c>
      <c r="D5442" s="5" t="s">
        <v>522</v>
      </c>
      <c r="E5442" s="5" t="s">
        <v>35563</v>
      </c>
      <c r="F5442" s="5" t="s">
        <v>328</v>
      </c>
      <c r="G5442" s="5" t="s">
        <v>35564</v>
      </c>
      <c r="H5442" s="6" t="s">
        <v>35565</v>
      </c>
      <c r="I5442" s="7" t="s">
        <v>35566</v>
      </c>
      <c r="J5442" s="8" t="str">
        <f>HYPERLINK("https://drive.google.com/file/d/1YTP9lkWbVNEt3sJYqg4M6wwDNPAz3ABt/view?usp=drivesdk","LELY TAPIANA S SERTIFIKAT BerAKHLAK")</f>
        <v>LELY TAPIANA S SERTIFIKAT BerAKHLAK</v>
      </c>
      <c r="K5442" s="5" t="s">
        <v>34938</v>
      </c>
      <c r="L5442" s="5" t="s">
        <v>35567</v>
      </c>
      <c r="M5442" s="5" t="s">
        <v>35568</v>
      </c>
      <c r="N5442" s="7" t="s">
        <v>35569</v>
      </c>
      <c r="O5442" s="8" t="str">
        <f>HYPERLINK("https://drive.google.com/file/d/1NTqp_6aoNUNR_OHGNYQwp6s9EedWegP1/view?usp=drivesdk","5441_LELY TAPIANA S _ SERTIFIKAT BerAKHLAK")</f>
        <v>5441_LELY TAPIANA S _ SERTIFIKAT BerAKHLAK</v>
      </c>
      <c r="P5442" s="5" t="s">
        <v>35555</v>
      </c>
    </row>
    <row r="5443">
      <c r="A5443" s="4">
        <v>45534.359856192124</v>
      </c>
      <c r="B5443" s="5" t="s">
        <v>34</v>
      </c>
      <c r="D5443" s="5" t="s">
        <v>12010</v>
      </c>
      <c r="E5443" s="5" t="s">
        <v>35570</v>
      </c>
      <c r="F5443" s="5" t="s">
        <v>375</v>
      </c>
      <c r="G5443" s="5" t="s">
        <v>35571</v>
      </c>
      <c r="H5443" s="6" t="s">
        <v>35572</v>
      </c>
      <c r="K5443" s="5" t="s">
        <v>35573</v>
      </c>
      <c r="M5443" s="5" t="s">
        <v>35574</v>
      </c>
      <c r="N5443" s="7" t="s">
        <v>35575</v>
      </c>
      <c r="O5443" s="8" t="str">
        <f>HYPERLINK("https://drive.google.com/file/d/1ckVnX0Ubnt_NQUUE4c42x2PQXWuDXOrC/view?usp=drivesdk","5442_drg. DESLY A.C. LUHULIMA, M.K.M _ SERTIFIKAT BerAKHLAK")</f>
        <v>5442_drg. DESLY A.C. LUHULIMA, M.K.M _ SERTIFIKAT BerAKHLAK</v>
      </c>
      <c r="P5443" s="5" t="s">
        <v>35555</v>
      </c>
    </row>
    <row r="5444">
      <c r="A5444" s="4">
        <v>45534.35988375</v>
      </c>
      <c r="B5444" s="5" t="s">
        <v>34</v>
      </c>
      <c r="D5444" s="5" t="s">
        <v>4775</v>
      </c>
      <c r="E5444" s="5" t="s">
        <v>35576</v>
      </c>
      <c r="F5444" s="5" t="s">
        <v>72</v>
      </c>
      <c r="G5444" s="5" t="s">
        <v>35577</v>
      </c>
      <c r="H5444" s="6" t="s">
        <v>35578</v>
      </c>
      <c r="K5444" s="5" t="s">
        <v>35573</v>
      </c>
      <c r="M5444" s="5" t="s">
        <v>35579</v>
      </c>
      <c r="N5444" s="7" t="s">
        <v>35580</v>
      </c>
      <c r="O5444" s="8" t="str">
        <f>HYPERLINK("https://drive.google.com/file/d/1fW75bTvXq-JQlGW8POKrbkzBR40QfbA_/view?usp=drivesdk","5443_SRI BUDI RAHAYU AMD KEB _ SERTIFIKAT BerAKHLAK")</f>
        <v>5443_SRI BUDI RAHAYU AMD KEB _ SERTIFIKAT BerAKHLAK</v>
      </c>
      <c r="P5444" s="5" t="s">
        <v>35555</v>
      </c>
    </row>
    <row r="5445">
      <c r="A5445" s="4">
        <v>45534.359891817134</v>
      </c>
      <c r="B5445" s="5" t="s">
        <v>34</v>
      </c>
      <c r="D5445" s="5" t="s">
        <v>4775</v>
      </c>
      <c r="E5445" s="5" t="s">
        <v>35581</v>
      </c>
      <c r="F5445" s="5" t="s">
        <v>212</v>
      </c>
      <c r="G5445" s="5" t="s">
        <v>35582</v>
      </c>
      <c r="H5445" s="6" t="s">
        <v>35583</v>
      </c>
      <c r="K5445" s="5" t="s">
        <v>35573</v>
      </c>
      <c r="M5445" s="5" t="s">
        <v>35584</v>
      </c>
      <c r="N5445" s="7" t="s">
        <v>35585</v>
      </c>
      <c r="O5445" s="8" t="str">
        <f>HYPERLINK("https://drive.google.com/file/d/1qB6skwr4IHNkFJcgwpEYzA984lUfhR97/view?usp=drivesdk","5444_NUR ALIYAH SH _ SERTIFIKAT BerAKHLAK")</f>
        <v>5444_NUR ALIYAH SH _ SERTIFIKAT BerAKHLAK</v>
      </c>
      <c r="P5445" s="5" t="s">
        <v>35586</v>
      </c>
    </row>
    <row r="5446" hidden="1">
      <c r="A5446" s="4">
        <v>45534.35989403936</v>
      </c>
      <c r="B5446" s="5" t="s">
        <v>19</v>
      </c>
      <c r="C5446" s="5" t="s">
        <v>30588</v>
      </c>
      <c r="E5446" s="5" t="s">
        <v>35587</v>
      </c>
      <c r="F5446" s="5" t="s">
        <v>524</v>
      </c>
      <c r="G5446" s="5" t="s">
        <v>35588</v>
      </c>
      <c r="H5446" s="6" t="s">
        <v>35589</v>
      </c>
      <c r="K5446" s="5" t="s">
        <v>35573</v>
      </c>
      <c r="M5446" s="5" t="s">
        <v>35590</v>
      </c>
      <c r="N5446" s="7" t="s">
        <v>35591</v>
      </c>
      <c r="O5446" s="8" t="str">
        <f>HYPERLINK("https://drive.google.com/file/d/1ojv5N7u5xHmxhTjvQ7kmgc4zg-Dl69AT/view?usp=drivesdk","5445_MUHAMAD ICHLASSUL AMAL, S.Kom _ SERTIFIKAT BerAKHLAK")</f>
        <v>5445_MUHAMAD ICHLASSUL AMAL, S.Kom _ SERTIFIKAT BerAKHLAK</v>
      </c>
      <c r="P5446" s="5" t="s">
        <v>35586</v>
      </c>
    </row>
    <row r="5447" hidden="1">
      <c r="A5447" s="4">
        <v>45534.35992097222</v>
      </c>
      <c r="B5447" s="5" t="s">
        <v>19</v>
      </c>
      <c r="C5447" s="5" t="s">
        <v>24076</v>
      </c>
      <c r="E5447" s="5" t="s">
        <v>35592</v>
      </c>
      <c r="F5447" s="5" t="s">
        <v>199</v>
      </c>
      <c r="G5447" s="5" t="s">
        <v>35593</v>
      </c>
      <c r="H5447" s="6" t="s">
        <v>35594</v>
      </c>
      <c r="I5447" s="7" t="s">
        <v>35595</v>
      </c>
      <c r="J5447" s="8" t="str">
        <f>HYPERLINK("https://drive.google.com/file/d/1k-ur6kf6HlNYxqqVVx7uKsw-ULdjqWgA/view?usp=drivesdk","SRI SUSANTI SERTIFIKAT BerAKHLAK")</f>
        <v>SRI SUSANTI SERTIFIKAT BerAKHLAK</v>
      </c>
      <c r="K5447" s="5" t="s">
        <v>34938</v>
      </c>
      <c r="L5447" s="5" t="s">
        <v>35596</v>
      </c>
      <c r="M5447" s="5" t="s">
        <v>35597</v>
      </c>
      <c r="N5447" s="7" t="s">
        <v>35598</v>
      </c>
      <c r="O5447" s="8" t="str">
        <f>HYPERLINK("https://drive.google.com/file/d/1t9c5GYH_SLl-a_EqNMjpLBjnGw_Xo4qJ/view?usp=drivesdk","5446_SRI SUSANTI _ SERTIFIKAT BerAKHLAK")</f>
        <v>5446_SRI SUSANTI _ SERTIFIKAT BerAKHLAK</v>
      </c>
      <c r="P5447" s="5" t="s">
        <v>35586</v>
      </c>
    </row>
    <row r="5448">
      <c r="A5448" s="4">
        <v>45534.359921192125</v>
      </c>
      <c r="B5448" s="5" t="s">
        <v>34</v>
      </c>
      <c r="D5448" s="5" t="s">
        <v>35</v>
      </c>
      <c r="E5448" s="5" t="s">
        <v>35599</v>
      </c>
      <c r="F5448" s="5" t="s">
        <v>37</v>
      </c>
      <c r="G5448" s="5" t="s">
        <v>35600</v>
      </c>
      <c r="H5448" s="6" t="s">
        <v>35601</v>
      </c>
      <c r="K5448" s="5" t="s">
        <v>35602</v>
      </c>
      <c r="M5448" s="5" t="s">
        <v>35603</v>
      </c>
      <c r="N5448" s="7" t="s">
        <v>35604</v>
      </c>
      <c r="O5448" s="8" t="str">
        <f>HYPERLINK("https://drive.google.com/file/d/1Usl-MwiPgxbBvHosSfWgMfh_MlyNbNRO/view?usp=drivesdk","5447_SUSI SUSILAWATI  _ SERTIFIKAT BerAKHLAK")</f>
        <v>5447_SUSI SUSILAWATI  _ SERTIFIKAT BerAKHLAK</v>
      </c>
      <c r="P5448" s="5" t="s">
        <v>35586</v>
      </c>
    </row>
    <row r="5449">
      <c r="A5449" s="4">
        <v>45534.35992850694</v>
      </c>
      <c r="B5449" s="5" t="s">
        <v>34</v>
      </c>
      <c r="D5449" s="5" t="s">
        <v>4775</v>
      </c>
      <c r="E5449" s="5" t="s">
        <v>35605</v>
      </c>
      <c r="F5449" s="5" t="s">
        <v>37</v>
      </c>
      <c r="G5449" s="5" t="s">
        <v>35606</v>
      </c>
      <c r="H5449" s="6" t="s">
        <v>35607</v>
      </c>
      <c r="K5449" s="5" t="s">
        <v>35602</v>
      </c>
      <c r="M5449" s="5" t="s">
        <v>35608</v>
      </c>
      <c r="N5449" s="7" t="s">
        <v>35609</v>
      </c>
      <c r="O5449" s="8" t="str">
        <f>HYPERLINK("https://drive.google.com/file/d/1Lb--S46g2mfDE4KB1Oa7dwcHzz2OPRyb/view?usp=drivesdk","5448_JUHROH  _ SERTIFIKAT BerAKHLAK")</f>
        <v>5448_JUHROH  _ SERTIFIKAT BerAKHLAK</v>
      </c>
      <c r="P5449" s="5" t="s">
        <v>35586</v>
      </c>
    </row>
    <row r="5450">
      <c r="A5450" s="4">
        <v>45534.35992870371</v>
      </c>
      <c r="B5450" s="5" t="s">
        <v>34</v>
      </c>
      <c r="D5450" s="5" t="s">
        <v>35</v>
      </c>
      <c r="E5450" s="5" t="s">
        <v>35610</v>
      </c>
      <c r="F5450" s="5" t="s">
        <v>212</v>
      </c>
      <c r="G5450" s="5" t="s">
        <v>35611</v>
      </c>
      <c r="H5450" s="6" t="s">
        <v>35612</v>
      </c>
      <c r="K5450" s="5" t="s">
        <v>35602</v>
      </c>
      <c r="M5450" s="5" t="s">
        <v>35613</v>
      </c>
      <c r="N5450" s="7" t="s">
        <v>35614</v>
      </c>
      <c r="O5450" s="8" t="str">
        <f>HYPERLINK("https://drive.google.com/file/d/1mcNkwsSgL3RxVvOj3H81w5QLbF0mzv_F/view?usp=drivesdk","5449_DADANG HENDRA LESMANA _ SERTIFIKAT BerAKHLAK")</f>
        <v>5449_DADANG HENDRA LESMANA _ SERTIFIKAT BerAKHLAK</v>
      </c>
      <c r="P5450" s="5" t="s">
        <v>35615</v>
      </c>
    </row>
    <row r="5451">
      <c r="A5451" s="4">
        <v>45534.35994201389</v>
      </c>
      <c r="B5451" s="5" t="s">
        <v>34</v>
      </c>
      <c r="D5451" s="5" t="s">
        <v>15401</v>
      </c>
      <c r="E5451" s="5" t="s">
        <v>35616</v>
      </c>
      <c r="F5451" s="5" t="s">
        <v>37</v>
      </c>
      <c r="G5451" s="5" t="s">
        <v>35617</v>
      </c>
      <c r="H5451" s="6" t="s">
        <v>35618</v>
      </c>
      <c r="K5451" s="5" t="s">
        <v>35602</v>
      </c>
      <c r="M5451" s="5" t="s">
        <v>35619</v>
      </c>
      <c r="N5451" s="7" t="s">
        <v>35620</v>
      </c>
      <c r="O5451" s="8" t="str">
        <f>HYPERLINK("https://drive.google.com/file/d/1qvTTqmFuVGwe80Ca3KchKuANbf_o-4i0/view?usp=drivesdk","5450_IMELDA S.SI _ SERTIFIKAT BerAKHLAK")</f>
        <v>5450_IMELDA S.SI _ SERTIFIKAT BerAKHLAK</v>
      </c>
      <c r="P5451" s="5" t="s">
        <v>35615</v>
      </c>
    </row>
    <row r="5452">
      <c r="A5452" s="4">
        <v>45534.35994340278</v>
      </c>
      <c r="B5452" s="5" t="s">
        <v>34</v>
      </c>
      <c r="D5452" s="5" t="s">
        <v>267</v>
      </c>
      <c r="E5452" s="5" t="s">
        <v>35621</v>
      </c>
      <c r="F5452" s="5" t="s">
        <v>524</v>
      </c>
      <c r="G5452" s="5" t="s">
        <v>35622</v>
      </c>
      <c r="H5452" s="6" t="s">
        <v>35623</v>
      </c>
      <c r="K5452" s="5" t="s">
        <v>35602</v>
      </c>
      <c r="M5452" s="5" t="s">
        <v>35624</v>
      </c>
      <c r="N5452" s="7" t="s">
        <v>35625</v>
      </c>
      <c r="O5452" s="8" t="str">
        <f>HYPERLINK("https://drive.google.com/file/d/1U0YuGtZw9m79KPPCpAmxANDaCASrk32U/view?usp=drivesdk","5451_CICI SETIYAWATI, S.M. _ SERTIFIKAT BerAKHLAK")</f>
        <v>5451_CICI SETIYAWATI, S.M. _ SERTIFIKAT BerAKHLAK</v>
      </c>
      <c r="P5452" s="5" t="s">
        <v>35615</v>
      </c>
    </row>
    <row r="5453">
      <c r="A5453" s="4">
        <v>45534.359944745374</v>
      </c>
      <c r="B5453" s="5" t="s">
        <v>34</v>
      </c>
      <c r="D5453" s="5" t="s">
        <v>12978</v>
      </c>
      <c r="E5453" s="5" t="s">
        <v>35626</v>
      </c>
      <c r="F5453" s="5" t="s">
        <v>212</v>
      </c>
      <c r="G5453" s="5" t="s">
        <v>35627</v>
      </c>
      <c r="H5453" s="6" t="s">
        <v>35628</v>
      </c>
      <c r="K5453" s="5" t="s">
        <v>35602</v>
      </c>
      <c r="M5453" s="5" t="s">
        <v>35629</v>
      </c>
      <c r="N5453" s="7" t="s">
        <v>35630</v>
      </c>
      <c r="O5453" s="8" t="str">
        <f>HYPERLINK("https://drive.google.com/file/d/1qTDQG5WbHaXECS26lkYNV_g22fq77jJW/view?usp=drivesdk","5452_LANDRI SAPUTRA, A.MD.KEP _ SERTIFIKAT BerAKHLAK")</f>
        <v>5452_LANDRI SAPUTRA, A.MD.KEP _ SERTIFIKAT BerAKHLAK</v>
      </c>
      <c r="P5453" s="5" t="s">
        <v>35615</v>
      </c>
    </row>
    <row r="5454">
      <c r="A5454" s="4">
        <v>45534.359958333334</v>
      </c>
      <c r="B5454" s="5" t="s">
        <v>34</v>
      </c>
      <c r="D5454" s="5" t="s">
        <v>996</v>
      </c>
      <c r="E5454" s="5" t="s">
        <v>35631</v>
      </c>
      <c r="F5454" s="5" t="s">
        <v>37</v>
      </c>
      <c r="G5454" s="5" t="s">
        <v>35632</v>
      </c>
      <c r="H5454" s="6" t="s">
        <v>35633</v>
      </c>
      <c r="K5454" s="5" t="s">
        <v>35634</v>
      </c>
      <c r="M5454" s="5" t="s">
        <v>35635</v>
      </c>
      <c r="N5454" s="7" t="s">
        <v>35636</v>
      </c>
      <c r="O5454" s="8" t="str">
        <f>HYPERLINK("https://drive.google.com/file/d/1r_exsAxbzd_PzoRJ-1KFAdHNPHdGzZ32/view?usp=drivesdk","5453_MIRA WYDIA _ SERTIFIKAT BerAKHLAK")</f>
        <v>5453_MIRA WYDIA _ SERTIFIKAT BerAKHLAK</v>
      </c>
      <c r="P5454" s="5" t="s">
        <v>35637</v>
      </c>
    </row>
    <row r="5455">
      <c r="A5455" s="4">
        <v>45534.35998180555</v>
      </c>
      <c r="B5455" s="5" t="s">
        <v>34</v>
      </c>
      <c r="D5455" s="5" t="s">
        <v>14313</v>
      </c>
      <c r="E5455" s="5" t="s">
        <v>35638</v>
      </c>
      <c r="F5455" s="5" t="s">
        <v>212</v>
      </c>
      <c r="G5455" s="5" t="s">
        <v>35639</v>
      </c>
      <c r="H5455" s="6" t="s">
        <v>35640</v>
      </c>
      <c r="K5455" s="5" t="s">
        <v>35634</v>
      </c>
      <c r="M5455" s="5" t="s">
        <v>35641</v>
      </c>
      <c r="N5455" s="7" t="s">
        <v>35642</v>
      </c>
      <c r="O5455" s="8" t="str">
        <f>HYPERLINK("https://drive.google.com/file/d/1EyfSKum5FtBjeL78gQBzoDn5Cq5EMbjt/view?usp=drivesdk","5454_ANDI MURNI _ SERTIFIKAT BerAKHLAK")</f>
        <v>5454_ANDI MURNI _ SERTIFIKAT BerAKHLAK</v>
      </c>
      <c r="P5455" s="5" t="s">
        <v>35637</v>
      </c>
    </row>
    <row r="5456">
      <c r="A5456" s="4">
        <v>45534.35998407408</v>
      </c>
      <c r="B5456" s="5" t="s">
        <v>34</v>
      </c>
      <c r="D5456" s="5" t="s">
        <v>9020</v>
      </c>
      <c r="E5456" s="5" t="s">
        <v>35643</v>
      </c>
      <c r="F5456" s="5" t="s">
        <v>72</v>
      </c>
      <c r="G5456" s="5" t="s">
        <v>35644</v>
      </c>
      <c r="H5456" s="6" t="s">
        <v>35645</v>
      </c>
      <c r="K5456" s="5" t="s">
        <v>35634</v>
      </c>
      <c r="M5456" s="5" t="s">
        <v>35646</v>
      </c>
      <c r="N5456" s="7" t="s">
        <v>35647</v>
      </c>
      <c r="O5456" s="8" t="str">
        <f>HYPERLINK("https://drive.google.com/file/d/1h07wMB5mDNy8hdPDUp_IgpUHXqhH8erM/view?usp=drivesdk","5455_Dian Sri Ulina Tambunan _ SERTIFIKAT BerAKHLAK")</f>
        <v>5455_Dian Sri Ulina Tambunan _ SERTIFIKAT BerAKHLAK</v>
      </c>
      <c r="P5456" s="5" t="s">
        <v>35637</v>
      </c>
    </row>
    <row r="5457">
      <c r="A5457" s="4">
        <v>45534.35998606481</v>
      </c>
      <c r="B5457" s="5" t="s">
        <v>34</v>
      </c>
      <c r="D5457" s="5" t="s">
        <v>996</v>
      </c>
      <c r="E5457" s="5" t="s">
        <v>35648</v>
      </c>
      <c r="F5457" s="5" t="s">
        <v>37</v>
      </c>
      <c r="G5457" s="5" t="s">
        <v>35649</v>
      </c>
      <c r="H5457" s="6" t="s">
        <v>35650</v>
      </c>
      <c r="K5457" s="5" t="s">
        <v>35634</v>
      </c>
      <c r="M5457" s="5" t="s">
        <v>35651</v>
      </c>
      <c r="N5457" s="7" t="s">
        <v>35652</v>
      </c>
      <c r="O5457" s="8" t="str">
        <f>HYPERLINK("https://drive.google.com/file/d/1Lf-w3izHhMkUsiVvmJWAysEYTdB2OqlC/view?usp=drivesdk","5456_WAHYU ARIANTO _ SERTIFIKAT BerAKHLAK")</f>
        <v>5456_WAHYU ARIANTO _ SERTIFIKAT BerAKHLAK</v>
      </c>
      <c r="P5457" s="5" t="s">
        <v>35637</v>
      </c>
    </row>
    <row r="5458">
      <c r="A5458" s="4">
        <v>45534.3599878588</v>
      </c>
      <c r="B5458" s="5" t="s">
        <v>34</v>
      </c>
      <c r="D5458" s="5" t="s">
        <v>1456</v>
      </c>
      <c r="E5458" s="5" t="s">
        <v>35653</v>
      </c>
      <c r="F5458" s="5" t="s">
        <v>328</v>
      </c>
      <c r="G5458" s="5" t="s">
        <v>35654</v>
      </c>
      <c r="H5458" s="6" t="s">
        <v>35655</v>
      </c>
      <c r="K5458" s="5" t="s">
        <v>35634</v>
      </c>
      <c r="M5458" s="5" t="s">
        <v>35656</v>
      </c>
      <c r="N5458" s="7" t="s">
        <v>35657</v>
      </c>
      <c r="O5458" s="8" t="str">
        <f>HYPERLINK("https://drive.google.com/file/d/1VuHb9GaCbZjleVdhToERAD3kWncagoWl/view?usp=drivesdk","5457_JONI APRIADI _ SERTIFIKAT BerAKHLAK")</f>
        <v>5457_JONI APRIADI _ SERTIFIKAT BerAKHLAK</v>
      </c>
      <c r="P5458" s="5" t="s">
        <v>35637</v>
      </c>
    </row>
    <row r="5459" hidden="1">
      <c r="A5459" s="4">
        <v>45534.360003298614</v>
      </c>
      <c r="B5459" s="5" t="s">
        <v>19</v>
      </c>
      <c r="C5459" s="5" t="s">
        <v>1606</v>
      </c>
      <c r="E5459" s="5" t="s">
        <v>35658</v>
      </c>
      <c r="F5459" s="5" t="s">
        <v>524</v>
      </c>
      <c r="G5459" s="5" t="s">
        <v>35659</v>
      </c>
      <c r="H5459" s="6" t="s">
        <v>35660</v>
      </c>
      <c r="K5459" s="5" t="s">
        <v>35661</v>
      </c>
      <c r="M5459" s="5" t="s">
        <v>35662</v>
      </c>
      <c r="N5459" s="7" t="s">
        <v>35663</v>
      </c>
      <c r="O5459" s="8" t="str">
        <f>HYPERLINK("https://drive.google.com/file/d/1K_AGHVdKDhQTwjtvggAvQKxha8UJiQpc/view?usp=drivesdk","5458_RAUFIL HUDA, S.E. _ SERTIFIKAT BerAKHLAK")</f>
        <v>5458_RAUFIL HUDA, S.E. _ SERTIFIKAT BerAKHLAK</v>
      </c>
      <c r="P5459" s="5" t="s">
        <v>35664</v>
      </c>
    </row>
    <row r="5460">
      <c r="A5460" s="4">
        <v>45534.36001716435</v>
      </c>
      <c r="B5460" s="5" t="s">
        <v>34</v>
      </c>
      <c r="D5460" s="5" t="s">
        <v>1206</v>
      </c>
      <c r="E5460" s="5" t="s">
        <v>32887</v>
      </c>
      <c r="F5460" s="5" t="s">
        <v>212</v>
      </c>
      <c r="G5460" s="5" t="s">
        <v>32888</v>
      </c>
      <c r="H5460" s="6" t="s">
        <v>35665</v>
      </c>
      <c r="K5460" s="5" t="s">
        <v>35661</v>
      </c>
      <c r="M5460" s="5" t="s">
        <v>35666</v>
      </c>
      <c r="N5460" s="7" t="s">
        <v>35667</v>
      </c>
      <c r="O5460" s="8" t="str">
        <f>HYPERLINK("https://drive.google.com/file/d/1HL6WnTgCy-x8FaJTcYm9QaoCvAOyU8QX/view?usp=drivesdk","5459_MUJIASIH _ SERTIFIKAT BerAKHLAK")</f>
        <v>5459_MUJIASIH _ SERTIFIKAT BerAKHLAK</v>
      </c>
      <c r="P5460" s="5" t="s">
        <v>35664</v>
      </c>
    </row>
    <row r="5461">
      <c r="A5461" s="4">
        <v>45534.3600316088</v>
      </c>
      <c r="B5461" s="5" t="s">
        <v>34</v>
      </c>
      <c r="D5461" s="5" t="s">
        <v>9020</v>
      </c>
      <c r="E5461" s="5" t="s">
        <v>35668</v>
      </c>
      <c r="F5461" s="5" t="s">
        <v>37</v>
      </c>
      <c r="G5461" s="5" t="s">
        <v>35669</v>
      </c>
      <c r="H5461" s="6" t="s">
        <v>35670</v>
      </c>
      <c r="K5461" s="5" t="s">
        <v>35661</v>
      </c>
      <c r="M5461" s="5" t="s">
        <v>35671</v>
      </c>
      <c r="N5461" s="7" t="s">
        <v>35672</v>
      </c>
      <c r="O5461" s="8" t="str">
        <f>HYPERLINK("https://drive.google.com/file/d/1Z1lHMFQ2fiCu2EIsHL32LjBqca-1BXT0/view?usp=drivesdk","5460_POLA ROMAULI BR MANULLANG _ SERTIFIKAT BerAKHLAK")</f>
        <v>5460_POLA ROMAULI BR MANULLANG _ SERTIFIKAT BerAKHLAK</v>
      </c>
      <c r="P5461" s="5" t="s">
        <v>35664</v>
      </c>
    </row>
    <row r="5462">
      <c r="A5462" s="4">
        <v>45534.36003863426</v>
      </c>
      <c r="B5462" s="5" t="s">
        <v>34</v>
      </c>
      <c r="D5462" s="5" t="s">
        <v>9020</v>
      </c>
      <c r="E5462" s="5" t="s">
        <v>35673</v>
      </c>
      <c r="F5462" s="5" t="s">
        <v>212</v>
      </c>
      <c r="G5462" s="5" t="s">
        <v>35674</v>
      </c>
      <c r="H5462" s="6" t="s">
        <v>35675</v>
      </c>
      <c r="K5462" s="5" t="s">
        <v>35661</v>
      </c>
      <c r="M5462" s="5" t="s">
        <v>35676</v>
      </c>
      <c r="N5462" s="7" t="s">
        <v>35677</v>
      </c>
      <c r="O5462" s="8" t="str">
        <f>HYPERLINK("https://drive.google.com/file/d/12kLMznMAJC95dsUFIJAfmP1wOB0HAIGE/view?usp=drivesdk","5461_JENNY SIAHAAN _ SERTIFIKAT BerAKHLAK")</f>
        <v>5461_JENNY SIAHAAN _ SERTIFIKAT BerAKHLAK</v>
      </c>
      <c r="P5462" s="5" t="s">
        <v>35664</v>
      </c>
    </row>
    <row r="5463">
      <c r="A5463" s="4">
        <v>45534.36006024305</v>
      </c>
      <c r="B5463" s="5" t="s">
        <v>34</v>
      </c>
      <c r="D5463" s="5" t="s">
        <v>12978</v>
      </c>
      <c r="E5463" s="5" t="s">
        <v>21976</v>
      </c>
      <c r="F5463" s="5" t="s">
        <v>108</v>
      </c>
      <c r="G5463" s="5" t="s">
        <v>35678</v>
      </c>
      <c r="H5463" s="6" t="s">
        <v>35679</v>
      </c>
      <c r="K5463" s="5" t="s">
        <v>35680</v>
      </c>
      <c r="M5463" s="5" t="s">
        <v>35681</v>
      </c>
      <c r="N5463" s="7" t="s">
        <v>35682</v>
      </c>
      <c r="O5463" s="8" t="str">
        <f>HYPERLINK("https://drive.google.com/file/d/1HMmeZ-oYGZ4EyboGQbHCzWYr7aarBpW0/view?usp=drivesdk","5462_NURLELA _ SERTIFIKAT BerAKHLAK")</f>
        <v>5462_NURLELA _ SERTIFIKAT BerAKHLAK</v>
      </c>
      <c r="P5463" s="5" t="s">
        <v>35683</v>
      </c>
    </row>
    <row r="5464">
      <c r="A5464" s="4">
        <v>45534.36009212963</v>
      </c>
      <c r="B5464" s="5" t="s">
        <v>34</v>
      </c>
      <c r="D5464" s="5" t="s">
        <v>701</v>
      </c>
      <c r="E5464" s="5" t="s">
        <v>35684</v>
      </c>
      <c r="F5464" s="5" t="s">
        <v>375</v>
      </c>
      <c r="G5464" s="5" t="s">
        <v>35685</v>
      </c>
      <c r="H5464" s="6" t="s">
        <v>35686</v>
      </c>
      <c r="K5464" s="5" t="s">
        <v>35680</v>
      </c>
      <c r="M5464" s="5" t="s">
        <v>35687</v>
      </c>
      <c r="N5464" s="7" t="s">
        <v>35688</v>
      </c>
      <c r="O5464" s="8" t="str">
        <f>HYPERLINK("https://drive.google.com/file/d/1C2dPU60j29ehSFZv0wR22rDveYIfqfvT/view?usp=drivesdk","5463_NS.RINI ANGGRAINI,S.KEP _ SERTIFIKAT BerAKHLAK")</f>
        <v>5463_NS.RINI ANGGRAINI,S.KEP _ SERTIFIKAT BerAKHLAK</v>
      </c>
      <c r="P5464" s="5" t="s">
        <v>35683</v>
      </c>
    </row>
    <row r="5465">
      <c r="A5465" s="4">
        <v>45534.3601058912</v>
      </c>
      <c r="B5465" s="5" t="s">
        <v>34</v>
      </c>
      <c r="D5465" s="5" t="s">
        <v>701</v>
      </c>
      <c r="E5465" s="5" t="s">
        <v>29755</v>
      </c>
      <c r="F5465" s="5" t="s">
        <v>212</v>
      </c>
      <c r="G5465" s="5" t="s">
        <v>35689</v>
      </c>
      <c r="H5465" s="6" t="s">
        <v>35690</v>
      </c>
      <c r="K5465" s="5" t="s">
        <v>35691</v>
      </c>
      <c r="M5465" s="5" t="s">
        <v>35692</v>
      </c>
      <c r="N5465" s="7" t="s">
        <v>35693</v>
      </c>
      <c r="O5465" s="8" t="str">
        <f>HYPERLINK("https://drive.google.com/file/d/1zcLQfYFEj_b3Ictez9WK2wyE6JlmFuBP/view?usp=drivesdk","5464_AGUS SALIM _ SERTIFIKAT BerAKHLAK")</f>
        <v>5464_AGUS SALIM _ SERTIFIKAT BerAKHLAK</v>
      </c>
      <c r="P5465" s="5" t="s">
        <v>35683</v>
      </c>
    </row>
    <row r="5466">
      <c r="A5466" s="4">
        <v>45534.36010655093</v>
      </c>
      <c r="B5466" s="5" t="s">
        <v>34</v>
      </c>
      <c r="D5466" s="5" t="s">
        <v>14424</v>
      </c>
      <c r="E5466" s="5" t="s">
        <v>35694</v>
      </c>
      <c r="F5466" s="5" t="s">
        <v>524</v>
      </c>
      <c r="G5466" s="5" t="s">
        <v>35695</v>
      </c>
      <c r="H5466" s="6" t="s">
        <v>35696</v>
      </c>
      <c r="K5466" s="5" t="s">
        <v>35691</v>
      </c>
      <c r="M5466" s="5" t="s">
        <v>35697</v>
      </c>
      <c r="N5466" s="7" t="s">
        <v>35698</v>
      </c>
      <c r="O5466" s="8" t="str">
        <f>HYPERLINK("https://drive.google.com/file/d/1qOLJc5bkdy311YmAmyixM9uKo5oHnw6A/view?usp=drivesdk","5465_DARMANSYAH  _ SERTIFIKAT BerAKHLAK")</f>
        <v>5465_DARMANSYAH  _ SERTIFIKAT BerAKHLAK</v>
      </c>
      <c r="P5466" s="5" t="s">
        <v>35683</v>
      </c>
    </row>
    <row r="5467">
      <c r="A5467" s="4">
        <v>45534.36012005787</v>
      </c>
      <c r="B5467" s="5" t="s">
        <v>34</v>
      </c>
      <c r="D5467" s="5" t="s">
        <v>1206</v>
      </c>
      <c r="E5467" s="5" t="s">
        <v>35699</v>
      </c>
      <c r="F5467" s="5" t="s">
        <v>212</v>
      </c>
      <c r="G5467" s="5" t="s">
        <v>35700</v>
      </c>
      <c r="H5467" s="6" t="s">
        <v>35701</v>
      </c>
      <c r="K5467" s="5" t="s">
        <v>35691</v>
      </c>
      <c r="M5467" s="5" t="s">
        <v>35702</v>
      </c>
      <c r="N5467" s="7" t="s">
        <v>35703</v>
      </c>
      <c r="O5467" s="8" t="str">
        <f>HYPERLINK("https://drive.google.com/file/d/1vJYSv-P60gpSHX0Q7qCSAX7t4T1Z0fX5/view?usp=drivesdk","5466_MUDOFIR _ SERTIFIKAT BerAKHLAK")</f>
        <v>5466_MUDOFIR _ SERTIFIKAT BerAKHLAK</v>
      </c>
      <c r="P5467" s="5" t="s">
        <v>35683</v>
      </c>
    </row>
    <row r="5468" hidden="1">
      <c r="A5468" s="4">
        <v>45534.3601334375</v>
      </c>
      <c r="B5468" s="5" t="s">
        <v>19</v>
      </c>
      <c r="C5468" s="5" t="s">
        <v>292</v>
      </c>
      <c r="E5468" s="5" t="s">
        <v>35704</v>
      </c>
      <c r="F5468" s="5" t="s">
        <v>6776</v>
      </c>
      <c r="G5468" s="5" t="s">
        <v>35705</v>
      </c>
      <c r="H5468" s="6" t="s">
        <v>35706</v>
      </c>
      <c r="K5468" s="5" t="s">
        <v>35707</v>
      </c>
      <c r="M5468" s="5" t="s">
        <v>35708</v>
      </c>
      <c r="N5468" s="7" t="s">
        <v>35709</v>
      </c>
      <c r="O5468" s="8" t="str">
        <f>HYPERLINK("https://drive.google.com/file/d/1ceTH8FLykA6iirDcFEmznlLlNJ8fYvYq/view?usp=drivesdk","5467_ROCHMAN _ SERTIFIKAT BerAKHLAK")</f>
        <v>5467_ROCHMAN _ SERTIFIKAT BerAKHLAK</v>
      </c>
      <c r="P5468" s="5" t="s">
        <v>35710</v>
      </c>
    </row>
    <row r="5469" hidden="1">
      <c r="A5469" s="4">
        <v>45534.3601366088</v>
      </c>
      <c r="B5469" s="5" t="s">
        <v>19</v>
      </c>
      <c r="C5469" s="5" t="s">
        <v>292</v>
      </c>
      <c r="E5469" s="5" t="s">
        <v>35711</v>
      </c>
      <c r="F5469" s="5" t="s">
        <v>212</v>
      </c>
      <c r="G5469" s="5" t="s">
        <v>35712</v>
      </c>
      <c r="H5469" s="6" t="s">
        <v>35713</v>
      </c>
      <c r="K5469" s="5" t="s">
        <v>35707</v>
      </c>
      <c r="M5469" s="5" t="s">
        <v>35714</v>
      </c>
      <c r="N5469" s="7" t="s">
        <v>35715</v>
      </c>
      <c r="O5469" s="8" t="str">
        <f>HYPERLINK("https://drive.google.com/file/d/12_dNAjh1H0wPANCu6Men8uv7n8QM4VZG/view?usp=drivesdk","5468_SINUNG SETIADI  _ SERTIFIKAT BerAKHLAK")</f>
        <v>5468_SINUNG SETIADI  _ SERTIFIKAT BerAKHLAK</v>
      </c>
      <c r="P5469" s="5" t="s">
        <v>35710</v>
      </c>
    </row>
    <row r="5470">
      <c r="A5470" s="4">
        <v>45534.36016621528</v>
      </c>
      <c r="B5470" s="5" t="s">
        <v>34</v>
      </c>
      <c r="D5470" s="5" t="s">
        <v>1206</v>
      </c>
      <c r="E5470" s="5" t="s">
        <v>35716</v>
      </c>
      <c r="F5470" s="5" t="s">
        <v>212</v>
      </c>
      <c r="G5470" s="5" t="s">
        <v>35717</v>
      </c>
      <c r="H5470" s="6" t="s">
        <v>35718</v>
      </c>
      <c r="K5470" s="5" t="s">
        <v>35719</v>
      </c>
      <c r="M5470" s="5" t="s">
        <v>35720</v>
      </c>
      <c r="N5470" s="7" t="s">
        <v>35721</v>
      </c>
      <c r="O5470" s="8" t="str">
        <f>HYPERLINK("https://drive.google.com/file/d/1g8AglO5PJlwMe_UNjQnKLGnQ8jww4EIF/view?usp=drivesdk","5469_TASMIAJI, A. MD.  _ SERTIFIKAT BerAKHLAK")</f>
        <v>5469_TASMIAJI, A. MD.  _ SERTIFIKAT BerAKHLAK</v>
      </c>
      <c r="P5470" s="5" t="s">
        <v>35710</v>
      </c>
    </row>
    <row r="5471">
      <c r="A5471" s="4">
        <v>45534.3601784375</v>
      </c>
      <c r="B5471" s="5" t="s">
        <v>34</v>
      </c>
      <c r="D5471" s="5" t="s">
        <v>2903</v>
      </c>
      <c r="E5471" s="5" t="s">
        <v>35722</v>
      </c>
      <c r="F5471" s="5" t="s">
        <v>22</v>
      </c>
      <c r="G5471" s="5" t="s">
        <v>35723</v>
      </c>
      <c r="H5471" s="6" t="s">
        <v>35724</v>
      </c>
      <c r="K5471" s="5" t="s">
        <v>35719</v>
      </c>
      <c r="M5471" s="5" t="s">
        <v>35725</v>
      </c>
      <c r="N5471" s="7" t="s">
        <v>35726</v>
      </c>
      <c r="O5471" s="8" t="str">
        <f>HYPERLINK("https://drive.google.com/file/d/1q8L-9z9zySNASl1p3SOUn2jB5AiTkVgc/view?usp=drivesdk","5470_MISNAINI , SE _ SERTIFIKAT BerAKHLAK")</f>
        <v>5470_MISNAINI , SE _ SERTIFIKAT BerAKHLAK</v>
      </c>
      <c r="P5471" s="5" t="s">
        <v>35710</v>
      </c>
    </row>
    <row r="5472">
      <c r="A5472" s="4">
        <v>45534.360212430554</v>
      </c>
      <c r="B5472" s="5" t="s">
        <v>34</v>
      </c>
      <c r="D5472" s="5" t="s">
        <v>9020</v>
      </c>
      <c r="E5472" s="5" t="s">
        <v>35727</v>
      </c>
      <c r="F5472" s="5" t="s">
        <v>715</v>
      </c>
      <c r="G5472" s="5" t="s">
        <v>35728</v>
      </c>
      <c r="H5472" s="6" t="s">
        <v>35729</v>
      </c>
      <c r="I5472" s="7" t="s">
        <v>35730</v>
      </c>
      <c r="J5472" s="8" t="str">
        <f>HYPERLINK("https://drive.google.com/file/d/1xuAd03lAUrWkqM59CbtWSr-Eq5oAfem9/view?usp=drivesdk","TRISNI KURNIATI, S.H SERTIFIKAT BerAKHLAK")</f>
        <v>TRISNI KURNIATI, S.H SERTIFIKAT BerAKHLAK</v>
      </c>
      <c r="K5472" s="5" t="s">
        <v>35313</v>
      </c>
      <c r="L5472" s="5" t="s">
        <v>35731</v>
      </c>
      <c r="M5472" s="5" t="s">
        <v>35732</v>
      </c>
      <c r="N5472" s="7" t="s">
        <v>35733</v>
      </c>
      <c r="O5472" s="8" t="str">
        <f>HYPERLINK("https://drive.google.com/file/d/1DNLKcdnNBjhf_WdP1jdrAbwwijvlQF8C/view?usp=drivesdk","5471_TRISNI KURNIATI, S.H _ SERTIFIKAT BerAKHLAK")</f>
        <v>5471_TRISNI KURNIATI, S.H _ SERTIFIKAT BerAKHLAK</v>
      </c>
      <c r="P5472" s="5" t="s">
        <v>35710</v>
      </c>
    </row>
    <row r="5473">
      <c r="A5473" s="4">
        <v>45534.3602196875</v>
      </c>
      <c r="B5473" s="5" t="s">
        <v>34</v>
      </c>
      <c r="D5473" s="5" t="s">
        <v>1206</v>
      </c>
      <c r="E5473" s="5" t="s">
        <v>35734</v>
      </c>
      <c r="F5473" s="5" t="s">
        <v>108</v>
      </c>
      <c r="G5473" s="5" t="s">
        <v>35735</v>
      </c>
      <c r="H5473" s="6" t="s">
        <v>35736</v>
      </c>
      <c r="I5473" s="7" t="s">
        <v>35737</v>
      </c>
      <c r="J5473" s="8" t="str">
        <f>HYPERLINK("https://drive.google.com/file/d/1IYtuuvg5tXpMJr6fCFPzxy-iZvq8Q5kB/view?usp=drivesdk","DWI ASTUTI SERTIFIKAT BerAKHLAK")</f>
        <v>DWI ASTUTI SERTIFIKAT BerAKHLAK</v>
      </c>
      <c r="K5473" s="5" t="s">
        <v>35313</v>
      </c>
      <c r="L5473" s="5" t="s">
        <v>35738</v>
      </c>
      <c r="M5473" s="5" t="s">
        <v>35739</v>
      </c>
      <c r="N5473" s="7" t="s">
        <v>35740</v>
      </c>
      <c r="O5473" s="8" t="str">
        <f>HYPERLINK("https://drive.google.com/file/d/1GO_fFucDNHWn7pQtnuRWBbNoaOjfXXMR/view?usp=drivesdk","5472_DWI ASTUTI _ SERTIFIKAT BerAKHLAK")</f>
        <v>5472_DWI ASTUTI _ SERTIFIKAT BerAKHLAK</v>
      </c>
      <c r="P5473" s="5" t="s">
        <v>35741</v>
      </c>
    </row>
    <row r="5474">
      <c r="A5474" s="4">
        <v>45534.360221145835</v>
      </c>
      <c r="B5474" s="5" t="s">
        <v>34</v>
      </c>
      <c r="D5474" s="5" t="s">
        <v>6232</v>
      </c>
      <c r="E5474" s="5" t="s">
        <v>35742</v>
      </c>
      <c r="F5474" s="5" t="s">
        <v>37</v>
      </c>
      <c r="G5474" s="5" t="s">
        <v>35743</v>
      </c>
      <c r="H5474" s="6" t="s">
        <v>35744</v>
      </c>
      <c r="I5474" s="7" t="s">
        <v>35745</v>
      </c>
      <c r="J5474" s="8" t="str">
        <f>HYPERLINK("https://drive.google.com/file/d/1CQ-oa46yU2bNj4NWGaztf6drin2OyuG-/view?usp=drivesdk","SELVIA MADONNA Am. Kep SERTIFIKAT BerAKHLAK")</f>
        <v>SELVIA MADONNA Am. Kep SERTIFIKAT BerAKHLAK</v>
      </c>
      <c r="K5474" s="5" t="s">
        <v>35313</v>
      </c>
      <c r="L5474" s="5" t="s">
        <v>35746</v>
      </c>
      <c r="M5474" s="5" t="s">
        <v>35747</v>
      </c>
      <c r="N5474" s="7" t="s">
        <v>35748</v>
      </c>
      <c r="O5474" s="8" t="str">
        <f>HYPERLINK("https://drive.google.com/file/d/1Ayz1CyKkd45EnNISe3yFTR0hN7PUajW1/view?usp=drivesdk","5473_SELVIA MADONNA Am. Kep _ SERTIFIKAT BerAKHLAK")</f>
        <v>5473_SELVIA MADONNA Am. Kep _ SERTIFIKAT BerAKHLAK</v>
      </c>
      <c r="P5474" s="5" t="s">
        <v>35741</v>
      </c>
    </row>
    <row r="5475">
      <c r="A5475" s="4">
        <v>45534.360237037035</v>
      </c>
      <c r="B5475" s="5" t="s">
        <v>34</v>
      </c>
      <c r="D5475" s="5" t="s">
        <v>12978</v>
      </c>
      <c r="E5475" s="5" t="s">
        <v>35749</v>
      </c>
      <c r="F5475" s="5" t="s">
        <v>212</v>
      </c>
      <c r="G5475" s="5" t="s">
        <v>35750</v>
      </c>
      <c r="H5475" s="6" t="s">
        <v>35751</v>
      </c>
      <c r="I5475" s="7" t="s">
        <v>35752</v>
      </c>
      <c r="J5475" s="8" t="str">
        <f>HYPERLINK("https://drive.google.com/file/d/1u61vLX1WDgamTsWB8BbdWVWvUqmgdzrz/view?usp=drivesdk","MUHAMMAD NURDIN SERTIFIKAT BerAKHLAK")</f>
        <v>MUHAMMAD NURDIN SERTIFIKAT BerAKHLAK</v>
      </c>
      <c r="K5475" s="5" t="s">
        <v>35313</v>
      </c>
      <c r="L5475" s="5" t="s">
        <v>35753</v>
      </c>
      <c r="M5475" s="5" t="s">
        <v>35754</v>
      </c>
      <c r="N5475" s="7" t="s">
        <v>35755</v>
      </c>
      <c r="O5475" s="8" t="str">
        <f>HYPERLINK("https://drive.google.com/file/d/1QR4CzHOeXth5RY3a6Xwav_COLW970sKv/view?usp=drivesdk","5474_MUHAMMAD NURDIN _ SERTIFIKAT BerAKHLAK")</f>
        <v>5474_MUHAMMAD NURDIN _ SERTIFIKAT BerAKHLAK</v>
      </c>
      <c r="P5475" s="5" t="s">
        <v>35741</v>
      </c>
    </row>
    <row r="5476">
      <c r="A5476" s="4">
        <v>45534.36024034722</v>
      </c>
      <c r="B5476" s="5" t="s">
        <v>34</v>
      </c>
      <c r="D5476" s="5" t="s">
        <v>12978</v>
      </c>
      <c r="E5476" s="5" t="s">
        <v>35756</v>
      </c>
      <c r="F5476" s="5" t="s">
        <v>212</v>
      </c>
      <c r="G5476" s="5" t="s">
        <v>35757</v>
      </c>
      <c r="H5476" s="6" t="s">
        <v>35758</v>
      </c>
      <c r="K5476" s="5" t="s">
        <v>35759</v>
      </c>
      <c r="M5476" s="5" t="s">
        <v>35760</v>
      </c>
      <c r="N5476" s="7" t="s">
        <v>35761</v>
      </c>
      <c r="O5476" s="8" t="str">
        <f>HYPERLINK("https://drive.google.com/file/d/11wdjr-ahzI92vxpIrj38Fpmiuge0uL3Z/view?usp=drivesdk","5475_ENDANG ASTUTI _ SERTIFIKAT BerAKHLAK")</f>
        <v>5475_ENDANG ASTUTI _ SERTIFIKAT BerAKHLAK</v>
      </c>
      <c r="P5476" s="5" t="s">
        <v>35741</v>
      </c>
    </row>
    <row r="5477">
      <c r="A5477" s="4">
        <v>45534.36025748843</v>
      </c>
      <c r="B5477" s="5" t="s">
        <v>34</v>
      </c>
      <c r="D5477" s="5" t="s">
        <v>9020</v>
      </c>
      <c r="E5477" s="5" t="s">
        <v>35762</v>
      </c>
      <c r="F5477" s="5" t="s">
        <v>375</v>
      </c>
      <c r="G5477" s="5" t="s">
        <v>35763</v>
      </c>
      <c r="H5477" s="6" t="s">
        <v>35764</v>
      </c>
      <c r="K5477" s="5" t="s">
        <v>35759</v>
      </c>
      <c r="M5477" s="5" t="s">
        <v>35765</v>
      </c>
      <c r="N5477" s="7" t="s">
        <v>35766</v>
      </c>
      <c r="O5477" s="8" t="str">
        <f>HYPERLINK("https://drive.google.com/file/d/1BC02CH68BmGICnVAgYg48OQgaGn7JYWS/view?usp=drivesdk","5476_MEISDY TUAHTA SINURAYA, SE _ SERTIFIKAT BerAKHLAK")</f>
        <v>5476_MEISDY TUAHTA SINURAYA, SE _ SERTIFIKAT BerAKHLAK</v>
      </c>
      <c r="P5477" s="5" t="s">
        <v>35741</v>
      </c>
    </row>
    <row r="5478">
      <c r="A5478" s="4">
        <v>45534.36026361111</v>
      </c>
      <c r="B5478" s="5" t="s">
        <v>34</v>
      </c>
      <c r="D5478" s="5" t="s">
        <v>7858</v>
      </c>
      <c r="E5478" s="5" t="s">
        <v>35767</v>
      </c>
      <c r="F5478" s="5" t="s">
        <v>37</v>
      </c>
      <c r="G5478" s="5" t="s">
        <v>35768</v>
      </c>
      <c r="H5478" s="6" t="s">
        <v>35769</v>
      </c>
      <c r="I5478" s="7" t="s">
        <v>35770</v>
      </c>
      <c r="J5478" s="8" t="str">
        <f>HYPERLINK("https://drive.google.com/file/d/1EIzW_xdXZaosHvmjtalWrEf6zDL46cmi/view?usp=drivesdk","EVI TAJWIDI, S. SOS.  SERTIFIKAT BerAKHLAK")</f>
        <v>EVI TAJWIDI, S. SOS.  SERTIFIKAT BerAKHLAK</v>
      </c>
      <c r="K5478" s="5" t="s">
        <v>35313</v>
      </c>
      <c r="L5478" s="5" t="s">
        <v>35771</v>
      </c>
      <c r="M5478" s="5" t="s">
        <v>35772</v>
      </c>
      <c r="N5478" s="7" t="s">
        <v>35773</v>
      </c>
      <c r="O5478" s="8" t="str">
        <f>HYPERLINK("https://drive.google.com/file/d/1dC7rIKTd3JYlZ-oXPxthNo1NA-OM-kdQ/view?usp=drivesdk","5477_EVI TAJWIDI, S. SOS.  _ SERTIFIKAT BerAKHLAK")</f>
        <v>5477_EVI TAJWIDI, S. SOS.  _ SERTIFIKAT BerAKHLAK</v>
      </c>
      <c r="P5478" s="5" t="s">
        <v>35774</v>
      </c>
    </row>
    <row r="5479">
      <c r="A5479" s="4">
        <v>45534.36027315972</v>
      </c>
      <c r="B5479" s="5" t="s">
        <v>34</v>
      </c>
      <c r="D5479" s="5" t="s">
        <v>701</v>
      </c>
      <c r="E5479" s="5" t="s">
        <v>35775</v>
      </c>
      <c r="F5479" s="5" t="s">
        <v>212</v>
      </c>
      <c r="G5479" s="5" t="s">
        <v>35776</v>
      </c>
      <c r="H5479" s="6" t="s">
        <v>35777</v>
      </c>
      <c r="I5479" s="7" t="s">
        <v>35778</v>
      </c>
      <c r="J5479" s="8" t="str">
        <f>HYPERLINK("https://drive.google.com/file/d/1_md3U7igo7HmlwYPNlxjMWAMO0BAfjuJ/view?usp=drivesdk","OLINA YETRI SERTIFIKAT BerAKHLAK")</f>
        <v>OLINA YETRI SERTIFIKAT BerAKHLAK</v>
      </c>
      <c r="K5479" s="5" t="s">
        <v>35313</v>
      </c>
      <c r="L5479" s="5" t="s">
        <v>35779</v>
      </c>
      <c r="M5479" s="5" t="s">
        <v>35780</v>
      </c>
      <c r="N5479" s="7" t="s">
        <v>35781</v>
      </c>
      <c r="O5479" s="8" t="str">
        <f>HYPERLINK("https://drive.google.com/file/d/1N0xGfO02E9Xor_Omp-wZvHNswQ_l3LY2/view?usp=drivesdk","5478_OLINA YETRI _ SERTIFIKAT BerAKHLAK")</f>
        <v>5478_OLINA YETRI _ SERTIFIKAT BerAKHLAK</v>
      </c>
      <c r="P5479" s="5" t="s">
        <v>35774</v>
      </c>
    </row>
    <row r="5480">
      <c r="A5480" s="4">
        <v>45534.360274375</v>
      </c>
      <c r="B5480" s="5" t="s">
        <v>34</v>
      </c>
      <c r="D5480" s="5" t="s">
        <v>14424</v>
      </c>
      <c r="E5480" s="5" t="s">
        <v>35782</v>
      </c>
      <c r="F5480" s="5" t="s">
        <v>37</v>
      </c>
      <c r="G5480" s="5" t="s">
        <v>35783</v>
      </c>
      <c r="H5480" s="6" t="s">
        <v>35784</v>
      </c>
      <c r="I5480" s="7" t="s">
        <v>35785</v>
      </c>
      <c r="J5480" s="8" t="str">
        <f>HYPERLINK("https://drive.google.com/file/d/1aeg1vhhz6Yeke9WpijCxxapEFbP1QDXM/view?usp=drivesdk","RIA LESTARI,AMd.Kep SERTIFIKAT BerAKHLAK")</f>
        <v>RIA LESTARI,AMd.Kep SERTIFIKAT BerAKHLAK</v>
      </c>
      <c r="K5480" s="5" t="s">
        <v>35313</v>
      </c>
      <c r="L5480" s="5" t="s">
        <v>35786</v>
      </c>
      <c r="M5480" s="5" t="s">
        <v>35787</v>
      </c>
      <c r="N5480" s="7" t="s">
        <v>35788</v>
      </c>
      <c r="O5480" s="8" t="str">
        <f>HYPERLINK("https://drive.google.com/file/d/1CRMXuY4-BpEJgAyMiYGsGk5onyO-hRxh/view?usp=drivesdk","5479_RIA LESTARI,AMd.Kep _ SERTIFIKAT BerAKHLAK")</f>
        <v>5479_RIA LESTARI,AMd.Kep _ SERTIFIKAT BerAKHLAK</v>
      </c>
      <c r="P5480" s="5" t="s">
        <v>35774</v>
      </c>
    </row>
    <row r="5481">
      <c r="A5481" s="4">
        <v>45534.3602953588</v>
      </c>
      <c r="B5481" s="5" t="s">
        <v>34</v>
      </c>
      <c r="D5481" s="5" t="s">
        <v>701</v>
      </c>
      <c r="E5481" s="5" t="s">
        <v>35789</v>
      </c>
      <c r="F5481" s="5" t="s">
        <v>108</v>
      </c>
      <c r="G5481" s="5" t="s">
        <v>35790</v>
      </c>
      <c r="H5481" s="6" t="s">
        <v>35791</v>
      </c>
      <c r="I5481" s="7" t="s">
        <v>35792</v>
      </c>
      <c r="J5481" s="8" t="str">
        <f>HYPERLINK("https://drive.google.com/file/d/1Tg0Nhjcqv48wM1kpFR_jKdaMI17mmAGd/view?usp=drivesdk","Ns AFNI MARLINA, S.Kep SERTIFIKAT BerAKHLAK")</f>
        <v>Ns AFNI MARLINA, S.Kep SERTIFIKAT BerAKHLAK</v>
      </c>
      <c r="K5481" s="5" t="s">
        <v>35313</v>
      </c>
      <c r="L5481" s="5" t="s">
        <v>35793</v>
      </c>
      <c r="M5481" s="5" t="s">
        <v>35794</v>
      </c>
      <c r="N5481" s="7" t="s">
        <v>35795</v>
      </c>
      <c r="O5481" s="8" t="str">
        <f>HYPERLINK("https://drive.google.com/file/d/1BhlggkGvEyE9EPVAmFGcrWymx4Fu_PlC/view?usp=drivesdk","5480_Ns AFNI MARLINA, S.Kep _ SERTIFIKAT BerAKHLAK")</f>
        <v>5480_Ns AFNI MARLINA, S.Kep _ SERTIFIKAT BerAKHLAK</v>
      </c>
      <c r="P5481" s="5" t="s">
        <v>35774</v>
      </c>
    </row>
    <row r="5482">
      <c r="A5482" s="4">
        <v>45534.360304664355</v>
      </c>
      <c r="B5482" s="5" t="s">
        <v>34</v>
      </c>
      <c r="D5482" s="5" t="s">
        <v>6232</v>
      </c>
      <c r="E5482" s="5" t="s">
        <v>35796</v>
      </c>
      <c r="F5482" s="5" t="s">
        <v>37</v>
      </c>
      <c r="G5482" s="5" t="s">
        <v>35797</v>
      </c>
      <c r="H5482" s="6" t="s">
        <v>35798</v>
      </c>
      <c r="I5482" s="7" t="s">
        <v>35799</v>
      </c>
      <c r="J5482" s="8" t="str">
        <f>HYPERLINK("https://drive.google.com/file/d/1qEX8kAY5YgYcMUMP_moNN74kOfFR2k-b/view?usp=drivesdk","AMALIA PUTRI SERTIFIKAT BerAKHLAK")</f>
        <v>AMALIA PUTRI SERTIFIKAT BerAKHLAK</v>
      </c>
      <c r="K5482" s="5" t="s">
        <v>35313</v>
      </c>
      <c r="L5482" s="5" t="s">
        <v>35800</v>
      </c>
      <c r="M5482" s="5" t="s">
        <v>35801</v>
      </c>
      <c r="N5482" s="7" t="s">
        <v>35802</v>
      </c>
      <c r="O5482" s="8" t="str">
        <f>HYPERLINK("https://drive.google.com/file/d/158FusSjJ4O4WpKtfovYwsFBxfzVzVh0L/view?usp=drivesdk","5481_AMALIA PUTRI _ SERTIFIKAT BerAKHLAK")</f>
        <v>5481_AMALIA PUTRI _ SERTIFIKAT BerAKHLAK</v>
      </c>
      <c r="P5482" s="5" t="s">
        <v>35803</v>
      </c>
    </row>
    <row r="5483" hidden="1">
      <c r="A5483" s="4">
        <v>45534.36032018518</v>
      </c>
      <c r="B5483" s="5" t="s">
        <v>19</v>
      </c>
      <c r="C5483" s="5" t="s">
        <v>292</v>
      </c>
      <c r="E5483" s="5" t="s">
        <v>35804</v>
      </c>
      <c r="F5483" s="5" t="s">
        <v>212</v>
      </c>
      <c r="G5483" s="5" t="s">
        <v>35805</v>
      </c>
      <c r="H5483" s="6" t="s">
        <v>35806</v>
      </c>
      <c r="I5483" s="7" t="s">
        <v>35807</v>
      </c>
      <c r="J5483" s="8" t="str">
        <f>HYPERLINK("https://drive.google.com/file/d/1HkGrDuorUAdhh9uWlUmySBUuFZoJL6v7/view?usp=drivesdk","HENDRA WIGUNA SERTIFIKAT BerAKHLAK")</f>
        <v>HENDRA WIGUNA SERTIFIKAT BerAKHLAK</v>
      </c>
      <c r="K5483" s="5" t="s">
        <v>35313</v>
      </c>
      <c r="L5483" s="5" t="s">
        <v>35808</v>
      </c>
      <c r="M5483" s="5" t="s">
        <v>35809</v>
      </c>
      <c r="N5483" s="7" t="s">
        <v>35810</v>
      </c>
      <c r="O5483" s="8" t="str">
        <f>HYPERLINK("https://drive.google.com/file/d/1Yqt1wxa0e56PxwvBSNzLNiQSQdT8kXAR/view?usp=drivesdk","5482_HENDRA WIGUNA _ SERTIFIKAT BerAKHLAK")</f>
        <v>5482_HENDRA WIGUNA _ SERTIFIKAT BerAKHLAK</v>
      </c>
      <c r="P5483" s="5" t="s">
        <v>35803</v>
      </c>
    </row>
    <row r="5484">
      <c r="A5484" s="4">
        <v>45534.36032695602</v>
      </c>
      <c r="B5484" s="5" t="s">
        <v>34</v>
      </c>
      <c r="D5484" s="5" t="s">
        <v>14313</v>
      </c>
      <c r="E5484" s="5" t="s">
        <v>35811</v>
      </c>
      <c r="F5484" s="5" t="s">
        <v>72</v>
      </c>
      <c r="G5484" s="5" t="s">
        <v>35812</v>
      </c>
      <c r="H5484" s="6" t="s">
        <v>35813</v>
      </c>
      <c r="I5484" s="7" t="s">
        <v>35814</v>
      </c>
      <c r="J5484" s="8" t="str">
        <f>HYPERLINK("https://drive.google.com/file/d/1hYqaqxFPA4Sh0PHU0KDaOlVvJn5kD7jt/view?usp=drivesdk","ADOLPINA SARIANNA, SE SERTIFIKAT BerAKHLAK")</f>
        <v>ADOLPINA SARIANNA, SE SERTIFIKAT BerAKHLAK</v>
      </c>
      <c r="K5484" s="5" t="s">
        <v>35313</v>
      </c>
      <c r="L5484" s="5" t="s">
        <v>35815</v>
      </c>
      <c r="M5484" s="5" t="s">
        <v>35816</v>
      </c>
      <c r="N5484" s="7" t="s">
        <v>35817</v>
      </c>
      <c r="O5484" s="8" t="str">
        <f>HYPERLINK("https://drive.google.com/file/d/1TKnQTa3mXcd9yYIh3AEffu9zLTuO3hfb/view?usp=drivesdk","5483_ADOLPINA SARIANNA, SE _ SERTIFIKAT BerAKHLAK")</f>
        <v>5483_ADOLPINA SARIANNA, SE _ SERTIFIKAT BerAKHLAK</v>
      </c>
      <c r="P5484" s="5" t="s">
        <v>35818</v>
      </c>
    </row>
    <row r="5485">
      <c r="A5485" s="4">
        <v>45534.360328553244</v>
      </c>
      <c r="B5485" s="5" t="s">
        <v>34</v>
      </c>
      <c r="D5485" s="5" t="s">
        <v>701</v>
      </c>
      <c r="E5485" s="5" t="s">
        <v>35819</v>
      </c>
      <c r="F5485" s="5" t="s">
        <v>108</v>
      </c>
      <c r="G5485" s="5" t="s">
        <v>35820</v>
      </c>
      <c r="H5485" s="6" t="s">
        <v>35821</v>
      </c>
      <c r="I5485" s="7" t="s">
        <v>35822</v>
      </c>
      <c r="J5485" s="8" t="str">
        <f>HYPERLINK("https://drive.google.com/file/d/1WDPmKM530iUYpUTN8IbxLEarR8fkTjrJ/view?usp=drivesdk","PASMI JELITA SERTIFIKAT BerAKHLAK")</f>
        <v>PASMI JELITA SERTIFIKAT BerAKHLAK</v>
      </c>
      <c r="K5485" s="5" t="s">
        <v>35313</v>
      </c>
      <c r="L5485" s="5" t="s">
        <v>35823</v>
      </c>
      <c r="M5485" s="5" t="s">
        <v>35824</v>
      </c>
      <c r="N5485" s="7" t="s">
        <v>35825</v>
      </c>
      <c r="O5485" s="8" t="str">
        <f>HYPERLINK("https://drive.google.com/file/d/1UE3Ps8IfovGcLEea0jt2z9GevQm06M5G/view?usp=drivesdk","5484_PASMI JELITA _ SERTIFIKAT BerAKHLAK")</f>
        <v>5484_PASMI JELITA _ SERTIFIKAT BerAKHLAK</v>
      </c>
      <c r="P5485" s="5" t="s">
        <v>35826</v>
      </c>
    </row>
    <row r="5486">
      <c r="A5486" s="4">
        <v>45534.360331620366</v>
      </c>
      <c r="B5486" s="5" t="s">
        <v>34</v>
      </c>
      <c r="D5486" s="5" t="s">
        <v>9020</v>
      </c>
      <c r="E5486" s="5" t="s">
        <v>35827</v>
      </c>
      <c r="F5486" s="5" t="s">
        <v>375</v>
      </c>
      <c r="G5486" s="5" t="s">
        <v>35828</v>
      </c>
      <c r="H5486" s="6" t="s">
        <v>35829</v>
      </c>
      <c r="I5486" s="7" t="s">
        <v>35830</v>
      </c>
      <c r="J5486" s="8" t="str">
        <f>HYPERLINK("https://drive.google.com/file/d/1Qip0Yuum7XVsNPDPJ1uVRRbEvnseLB6p/view?usp=drivesdk","SURYA DARMA PURBA SE SERTIFIKAT BerAKHLAK")</f>
        <v>SURYA DARMA PURBA SE SERTIFIKAT BerAKHLAK</v>
      </c>
      <c r="K5486" s="5" t="s">
        <v>35313</v>
      </c>
      <c r="L5486" s="5" t="s">
        <v>35831</v>
      </c>
      <c r="M5486" s="5" t="s">
        <v>35832</v>
      </c>
      <c r="N5486" s="7" t="s">
        <v>35833</v>
      </c>
      <c r="O5486" s="8" t="str">
        <f>HYPERLINK("https://drive.google.com/file/d/1Xh8NSJ8q2_UpSiiVmplufmqReQDpi5HI/view?usp=drivesdk","5485_SURYA DARMA PURBA SE _ SERTIFIKAT BerAKHLAK")</f>
        <v>5485_SURYA DARMA PURBA SE _ SERTIFIKAT BerAKHLAK</v>
      </c>
      <c r="P5486" s="5" t="s">
        <v>35834</v>
      </c>
    </row>
    <row r="5487">
      <c r="A5487" s="4">
        <v>45534.36033541667</v>
      </c>
      <c r="B5487" s="5" t="s">
        <v>34</v>
      </c>
      <c r="D5487" s="5" t="s">
        <v>1206</v>
      </c>
      <c r="E5487" s="5" t="s">
        <v>32500</v>
      </c>
      <c r="F5487" s="5" t="s">
        <v>212</v>
      </c>
      <c r="G5487" s="5" t="s">
        <v>35835</v>
      </c>
      <c r="H5487" s="6" t="s">
        <v>35836</v>
      </c>
      <c r="K5487" s="5" t="s">
        <v>35837</v>
      </c>
      <c r="M5487" s="5" t="s">
        <v>35838</v>
      </c>
      <c r="N5487" s="7" t="s">
        <v>35839</v>
      </c>
      <c r="O5487" s="8" t="str">
        <f>HYPERLINK("https://drive.google.com/file/d/1lgmygyAW5aOqIIxCC4XgC_tMJZstthId/view?usp=drivesdk","5486_SUPRIANTO _ SERTIFIKAT BerAKHLAK")</f>
        <v>5486_SUPRIANTO _ SERTIFIKAT BerAKHLAK</v>
      </c>
      <c r="P5487" s="5" t="s">
        <v>35840</v>
      </c>
    </row>
    <row r="5488">
      <c r="A5488" s="4">
        <v>45534.36034277778</v>
      </c>
      <c r="B5488" s="5" t="s">
        <v>34</v>
      </c>
      <c r="D5488" s="5" t="s">
        <v>1456</v>
      </c>
      <c r="E5488" s="5" t="s">
        <v>35841</v>
      </c>
      <c r="F5488" s="5" t="s">
        <v>212</v>
      </c>
      <c r="G5488" s="5" t="s">
        <v>35842</v>
      </c>
      <c r="H5488" s="6" t="s">
        <v>35843</v>
      </c>
      <c r="K5488" s="5" t="s">
        <v>35837</v>
      </c>
      <c r="M5488" s="5" t="s">
        <v>35844</v>
      </c>
      <c r="N5488" s="7" t="s">
        <v>35845</v>
      </c>
      <c r="O5488" s="8" t="str">
        <f>HYPERLINK("https://drive.google.com/file/d/1skvxrbds-ax9ni8sx5-I0dguSmYE3h9L/view?usp=drivesdk","5487_YENNI SUSLITA,S.H. _ SERTIFIKAT BerAKHLAK")</f>
        <v>5487_YENNI SUSLITA,S.H. _ SERTIFIKAT BerAKHLAK</v>
      </c>
      <c r="P5488" s="5" t="s">
        <v>35846</v>
      </c>
    </row>
    <row r="5489">
      <c r="A5489" s="4">
        <v>45534.360357604164</v>
      </c>
      <c r="B5489" s="5" t="s">
        <v>34</v>
      </c>
      <c r="D5489" s="5" t="s">
        <v>362</v>
      </c>
      <c r="E5489" s="5" t="s">
        <v>35847</v>
      </c>
      <c r="F5489" s="5" t="s">
        <v>524</v>
      </c>
      <c r="G5489" s="5" t="s">
        <v>35848</v>
      </c>
      <c r="H5489" s="6" t="s">
        <v>35849</v>
      </c>
      <c r="K5489" s="5" t="s">
        <v>35837</v>
      </c>
      <c r="M5489" s="5" t="s">
        <v>35850</v>
      </c>
      <c r="N5489" s="7" t="s">
        <v>35851</v>
      </c>
      <c r="O5489" s="8" t="str">
        <f>HYPERLINK("https://drive.google.com/file/d/15GjnCtnoUauf27igTbRLsPAkZtzSPMfW/view?usp=drivesdk","5488_ANDRIA SANTI. S. MnP _ SERTIFIKAT BerAKHLAK")</f>
        <v>5488_ANDRIA SANTI. S. MnP _ SERTIFIKAT BerAKHLAK</v>
      </c>
      <c r="P5489" s="5" t="s">
        <v>35852</v>
      </c>
    </row>
    <row r="5490">
      <c r="A5490" s="4">
        <v>45534.36036136574</v>
      </c>
      <c r="B5490" s="5" t="s">
        <v>34</v>
      </c>
      <c r="D5490" s="5" t="s">
        <v>1558</v>
      </c>
      <c r="E5490" s="5" t="s">
        <v>35853</v>
      </c>
      <c r="F5490" s="5" t="s">
        <v>524</v>
      </c>
      <c r="G5490" s="5" t="s">
        <v>35854</v>
      </c>
      <c r="H5490" s="6" t="s">
        <v>35855</v>
      </c>
      <c r="K5490" s="5" t="s">
        <v>35837</v>
      </c>
      <c r="M5490" s="5" t="s">
        <v>35856</v>
      </c>
      <c r="N5490" s="7" t="s">
        <v>35857</v>
      </c>
      <c r="O5490" s="8" t="str">
        <f>HYPERLINK("https://drive.google.com/file/d/1uAhrjhj5fsplzdZOV0888iu3n2DAOBH0/view?usp=drivesdk","5489_SITI SRI REJEKI,A.Md. _ SERTIFIKAT BerAKHLAK")</f>
        <v>5489_SITI SRI REJEKI,A.Md. _ SERTIFIKAT BerAKHLAK</v>
      </c>
      <c r="P5490" s="5" t="s">
        <v>35858</v>
      </c>
    </row>
    <row r="5491" hidden="1">
      <c r="A5491" s="4">
        <v>45534.36037003472</v>
      </c>
      <c r="B5491" s="5" t="s">
        <v>19</v>
      </c>
      <c r="C5491" s="5" t="s">
        <v>1606</v>
      </c>
      <c r="E5491" s="5" t="s">
        <v>35859</v>
      </c>
      <c r="F5491" s="5" t="s">
        <v>108</v>
      </c>
      <c r="G5491" s="5" t="s">
        <v>35860</v>
      </c>
      <c r="H5491" s="6" t="s">
        <v>35861</v>
      </c>
      <c r="I5491" s="7" t="s">
        <v>35862</v>
      </c>
      <c r="J5491" s="8" t="str">
        <f>HYPERLINK("https://drive.google.com/file/d/1IZ-Rc3E35E75fNj-1sQ739Sw9WxeChFk/view?usp=drivesdk","SODIYAH SERTIFIKAT BerAKHLAK")</f>
        <v>SODIYAH SERTIFIKAT BerAKHLAK</v>
      </c>
      <c r="K5491" s="5" t="s">
        <v>35313</v>
      </c>
      <c r="L5491" s="5" t="s">
        <v>35863</v>
      </c>
      <c r="M5491" s="5" t="s">
        <v>35864</v>
      </c>
      <c r="N5491" s="7" t="s">
        <v>35865</v>
      </c>
      <c r="O5491" s="8" t="str">
        <f>HYPERLINK("https://drive.google.com/file/d/1qUDRa3r9XsvMYxs5twDoUDv45L618BPc/view?usp=drivesdk","5490_SODIYAH _ SERTIFIKAT BerAKHLAK")</f>
        <v>5490_SODIYAH _ SERTIFIKAT BerAKHLAK</v>
      </c>
      <c r="P5491" s="5" t="s">
        <v>35866</v>
      </c>
    </row>
    <row r="5492">
      <c r="A5492" s="4">
        <v>45534.36039652777</v>
      </c>
      <c r="B5492" s="5" t="s">
        <v>34</v>
      </c>
      <c r="D5492" s="5" t="s">
        <v>267</v>
      </c>
      <c r="E5492" s="5" t="s">
        <v>35867</v>
      </c>
      <c r="F5492" s="5" t="s">
        <v>212</v>
      </c>
      <c r="G5492" s="5" t="s">
        <v>35868</v>
      </c>
      <c r="H5492" s="6" t="s">
        <v>35869</v>
      </c>
      <c r="I5492" s="7" t="s">
        <v>35870</v>
      </c>
      <c r="J5492" s="8" t="str">
        <f>HYPERLINK("https://drive.google.com/file/d/1zi9umAc_XlH3yr0XduiVvDQyJg4D0W-K/view?usp=drivesdk","RACHMAD HARI SANTOSO SERTIFIKAT BerAKHLAK")</f>
        <v>RACHMAD HARI SANTOSO SERTIFIKAT BerAKHLAK</v>
      </c>
      <c r="K5492" s="5" t="s">
        <v>35313</v>
      </c>
      <c r="L5492" s="5" t="s">
        <v>35871</v>
      </c>
      <c r="M5492" s="5" t="s">
        <v>35872</v>
      </c>
      <c r="N5492" s="7" t="s">
        <v>35873</v>
      </c>
      <c r="O5492" s="8" t="str">
        <f>HYPERLINK("https://drive.google.com/file/d/1gZydSrSkH1LJXOEd5USZq9sSeqaQk5zr/view?usp=drivesdk","5491_RACHMAD HARI SANTOSO _ SERTIFIKAT BerAKHLAK")</f>
        <v>5491_RACHMAD HARI SANTOSO _ SERTIFIKAT BerAKHLAK</v>
      </c>
      <c r="P5492" s="5" t="s">
        <v>35874</v>
      </c>
    </row>
    <row r="5493">
      <c r="A5493" s="4">
        <v>45534.36039724537</v>
      </c>
      <c r="B5493" s="5" t="s">
        <v>34</v>
      </c>
      <c r="D5493" s="5" t="s">
        <v>9394</v>
      </c>
      <c r="E5493" s="5" t="s">
        <v>34555</v>
      </c>
      <c r="F5493" s="5" t="s">
        <v>524</v>
      </c>
      <c r="G5493" s="5" t="s">
        <v>35875</v>
      </c>
      <c r="H5493" s="6" t="s">
        <v>35876</v>
      </c>
      <c r="I5493" s="7" t="s">
        <v>35877</v>
      </c>
      <c r="J5493" s="8" t="str">
        <f>HYPERLINK("https://drive.google.com/file/d/1nJn3EmhLAOrnpTRH7MNirhVDQzf6gV6p/view?usp=drivesdk","MELDA SRI RAHAYU, S.M. SERTIFIKAT BerAKHLAK")</f>
        <v>MELDA SRI RAHAYU, S.M. SERTIFIKAT BerAKHLAK</v>
      </c>
      <c r="K5493" s="5" t="s">
        <v>35313</v>
      </c>
      <c r="L5493" s="5" t="s">
        <v>35878</v>
      </c>
      <c r="M5493" s="5" t="s">
        <v>35879</v>
      </c>
      <c r="N5493" s="7" t="s">
        <v>35880</v>
      </c>
      <c r="O5493" s="8" t="str">
        <f>HYPERLINK("https://drive.google.com/file/d/1-GXoIWXiSSB_93kD_hwV-kOBYBff0GOq/view?usp=drivesdk","5492_MELDA SRI RAHAYU, S.M. _ SERTIFIKAT BerAKHLAK")</f>
        <v>5492_MELDA SRI RAHAYU, S.M. _ SERTIFIKAT BerAKHLAK</v>
      </c>
      <c r="P5493" s="5" t="s">
        <v>35881</v>
      </c>
    </row>
    <row r="5494">
      <c r="A5494" s="4">
        <v>45534.360399074074</v>
      </c>
      <c r="B5494" s="5" t="s">
        <v>34</v>
      </c>
      <c r="D5494" s="5" t="s">
        <v>4775</v>
      </c>
      <c r="E5494" s="5" t="s">
        <v>35882</v>
      </c>
      <c r="F5494" s="5" t="s">
        <v>108</v>
      </c>
      <c r="G5494" s="5" t="s">
        <v>35883</v>
      </c>
      <c r="H5494" s="6" t="s">
        <v>35884</v>
      </c>
      <c r="I5494" s="7" t="s">
        <v>35885</v>
      </c>
      <c r="J5494" s="8" t="str">
        <f>HYPERLINK("https://drive.google.com/file/d/1jmhFKvOTU5TayVr69vibLVzUA_oBJuh6/view?usp=drivesdk","DWI FEBRIANI, S.M. SERTIFIKAT BerAKHLAK")</f>
        <v>DWI FEBRIANI, S.M. SERTIFIKAT BerAKHLAK</v>
      </c>
      <c r="K5494" s="5" t="s">
        <v>35335</v>
      </c>
      <c r="L5494" s="5" t="s">
        <v>35886</v>
      </c>
      <c r="M5494" s="5" t="s">
        <v>35887</v>
      </c>
      <c r="N5494" s="7" t="s">
        <v>35888</v>
      </c>
      <c r="O5494" s="8" t="str">
        <f>HYPERLINK("https://drive.google.com/file/d/1qHMv1dYoeuJq4qLdevMaGT93vCvK_m4_/view?usp=drivesdk","5493_DWI FEBRIANI, S.M. _ SERTIFIKAT BerAKHLAK")</f>
        <v>5493_DWI FEBRIANI, S.M. _ SERTIFIKAT BerAKHLAK</v>
      </c>
      <c r="P5494" s="5" t="s">
        <v>35889</v>
      </c>
    </row>
    <row r="5495">
      <c r="A5495" s="4">
        <v>45534.360400219906</v>
      </c>
      <c r="B5495" s="5" t="s">
        <v>34</v>
      </c>
      <c r="D5495" s="5" t="s">
        <v>1206</v>
      </c>
      <c r="E5495" s="5" t="s">
        <v>35890</v>
      </c>
      <c r="F5495" s="5" t="s">
        <v>108</v>
      </c>
      <c r="G5495" s="5" t="s">
        <v>35891</v>
      </c>
      <c r="H5495" s="6" t="s">
        <v>35892</v>
      </c>
      <c r="I5495" s="7" t="s">
        <v>35893</v>
      </c>
      <c r="J5495" s="8" t="str">
        <f>HYPERLINK("https://drive.google.com/file/d/1BlhnVv5J4mwHO59h2KGHqb3dkRh1vSZ5/view?usp=drivesdk","ENIK RENIATI SERTIFIKAT BerAKHLAK")</f>
        <v>ENIK RENIATI SERTIFIKAT BerAKHLAK</v>
      </c>
      <c r="K5495" s="5" t="s">
        <v>35335</v>
      </c>
      <c r="L5495" s="5" t="s">
        <v>35894</v>
      </c>
      <c r="M5495" s="5" t="s">
        <v>35895</v>
      </c>
      <c r="N5495" s="7" t="s">
        <v>35896</v>
      </c>
      <c r="O5495" s="8" t="str">
        <f>HYPERLINK("https://drive.google.com/file/d/1ESR9aG-XdqtunU-b6ihWEzC5XNBslGdv/view?usp=drivesdk","5494_ENIK RENIATI _ SERTIFIKAT BerAKHLAK")</f>
        <v>5494_ENIK RENIATI _ SERTIFIKAT BerAKHLAK</v>
      </c>
      <c r="P5495" s="5" t="s">
        <v>35897</v>
      </c>
    </row>
    <row r="5496">
      <c r="A5496" s="4">
        <v>45534.36040847222</v>
      </c>
      <c r="B5496" s="5" t="s">
        <v>34</v>
      </c>
      <c r="D5496" s="5" t="s">
        <v>1206</v>
      </c>
      <c r="E5496" s="5" t="s">
        <v>35898</v>
      </c>
      <c r="F5496" s="5" t="s">
        <v>37</v>
      </c>
      <c r="G5496" s="5" t="s">
        <v>35899</v>
      </c>
      <c r="H5496" s="6" t="s">
        <v>35900</v>
      </c>
      <c r="I5496" s="7" t="s">
        <v>35901</v>
      </c>
      <c r="J5496" s="8" t="str">
        <f>HYPERLINK("https://drive.google.com/file/d/1xz51qLGqOcYTf-cYPEZfcs33JhZPHTj0/view?usp=drivesdk","RENNY AGUSTINENGTYAS SERTIFIKAT BerAKHLAK")</f>
        <v>RENNY AGUSTINENGTYAS SERTIFIKAT BerAKHLAK</v>
      </c>
      <c r="K5496" s="5" t="s">
        <v>35335</v>
      </c>
      <c r="L5496" s="5" t="s">
        <v>35902</v>
      </c>
      <c r="M5496" s="5" t="s">
        <v>35903</v>
      </c>
      <c r="N5496" s="7" t="s">
        <v>35904</v>
      </c>
      <c r="O5496" s="8" t="str">
        <f>HYPERLINK("https://drive.google.com/file/d/15FPMrxL73-dll8C0HvZITcnIkdFUXANI/view?usp=drivesdk","5495_RENNY AGUSTINENGTYAS _ SERTIFIKAT BerAKHLAK")</f>
        <v>5495_RENNY AGUSTINENGTYAS _ SERTIFIKAT BerAKHLAK</v>
      </c>
      <c r="P5496" s="5" t="s">
        <v>35905</v>
      </c>
    </row>
    <row r="5497">
      <c r="A5497" s="4">
        <v>45534.360448182866</v>
      </c>
      <c r="B5497" s="5" t="s">
        <v>34</v>
      </c>
      <c r="D5497" s="5" t="s">
        <v>1206</v>
      </c>
      <c r="E5497" s="5" t="s">
        <v>35906</v>
      </c>
      <c r="F5497" s="5" t="s">
        <v>37</v>
      </c>
      <c r="G5497" s="5" t="s">
        <v>35907</v>
      </c>
      <c r="H5497" s="6" t="s">
        <v>35908</v>
      </c>
      <c r="I5497" s="7" t="s">
        <v>35909</v>
      </c>
      <c r="J5497" s="8" t="str">
        <f>HYPERLINK("https://drive.google.com/file/d/15PRLkzVcp6oebRxvnIcsJXSBXLYijqtG/view?usp=drivesdk","SULIYAH SERTIFIKAT BerAKHLAK")</f>
        <v>SULIYAH SERTIFIKAT BerAKHLAK</v>
      </c>
      <c r="K5497" s="5" t="s">
        <v>35313</v>
      </c>
      <c r="L5497" s="5" t="s">
        <v>35910</v>
      </c>
      <c r="M5497" s="5" t="s">
        <v>35911</v>
      </c>
      <c r="N5497" s="7" t="s">
        <v>35912</v>
      </c>
      <c r="O5497" s="8" t="str">
        <f>HYPERLINK("https://drive.google.com/file/d/1_jxTGI3Z9gOCD-gXuKT8iGa6O_X2WPAl/view?usp=drivesdk","5496_SULIYAH _ SERTIFIKAT BerAKHLAK")</f>
        <v>5496_SULIYAH _ SERTIFIKAT BerAKHLAK</v>
      </c>
      <c r="P5497" s="5" t="s">
        <v>35913</v>
      </c>
    </row>
    <row r="5498">
      <c r="A5498" s="4">
        <v>45534.36045541667</v>
      </c>
      <c r="B5498" s="5" t="s">
        <v>34</v>
      </c>
      <c r="D5498" s="5" t="s">
        <v>267</v>
      </c>
      <c r="E5498" s="5" t="s">
        <v>35914</v>
      </c>
      <c r="F5498" s="5" t="s">
        <v>120</v>
      </c>
      <c r="G5498" s="5" t="s">
        <v>3520</v>
      </c>
      <c r="H5498" s="6" t="s">
        <v>35915</v>
      </c>
      <c r="I5498" s="7" t="s">
        <v>35916</v>
      </c>
      <c r="J5498" s="8" t="str">
        <f>HYPERLINK("https://drive.google.com/file/d/1b9V-x_Bxfs84ZA_jjdPyNif9K7XQ5-ma/view?usp=drivesdk","NUR SUPRIYANTI, S.T., M.M.  SERTIFIKAT BerAKHLAK")</f>
        <v>NUR SUPRIYANTI, S.T., M.M.  SERTIFIKAT BerAKHLAK</v>
      </c>
      <c r="K5498" s="5" t="s">
        <v>35313</v>
      </c>
      <c r="L5498" s="5" t="s">
        <v>35917</v>
      </c>
      <c r="M5498" s="5" t="s">
        <v>35918</v>
      </c>
      <c r="N5498" s="7" t="s">
        <v>35919</v>
      </c>
      <c r="O5498" s="8" t="str">
        <f>HYPERLINK("https://drive.google.com/file/d/1Rn4-NaZgpQmfJUpl7gD_nsXW6GmUJeqD/view?usp=drivesdk","5497_NUR SUPRIYANTI, S.T., M.M.  _ SERTIFIKAT BerAKHLAK")</f>
        <v>5497_NUR SUPRIYANTI, S.T., M.M.  _ SERTIFIKAT BerAKHLAK</v>
      </c>
      <c r="P5498" s="5" t="s">
        <v>35920</v>
      </c>
    </row>
    <row r="5499" hidden="1">
      <c r="A5499" s="4">
        <v>45534.36045814815</v>
      </c>
      <c r="B5499" s="5" t="s">
        <v>19</v>
      </c>
      <c r="C5499" s="5" t="s">
        <v>5564</v>
      </c>
      <c r="E5499" s="5" t="s">
        <v>35921</v>
      </c>
      <c r="F5499" s="5" t="s">
        <v>524</v>
      </c>
      <c r="G5499" s="5" t="s">
        <v>35922</v>
      </c>
      <c r="H5499" s="6" t="s">
        <v>35923</v>
      </c>
      <c r="I5499" s="7" t="s">
        <v>35924</v>
      </c>
      <c r="J5499" s="8" t="str">
        <f>HYPERLINK("https://drive.google.com/file/d/1T36QKsMc0fhqZkzAQ64Ydm0TQdNAfDct/view?usp=drivesdk","ARDIAN KAHARUDIN  SERTIFIKAT BerAKHLAK")</f>
        <v>ARDIAN KAHARUDIN  SERTIFIKAT BerAKHLAK</v>
      </c>
      <c r="K5499" s="5" t="s">
        <v>35313</v>
      </c>
      <c r="L5499" s="5" t="s">
        <v>35925</v>
      </c>
      <c r="M5499" s="5" t="s">
        <v>35926</v>
      </c>
      <c r="N5499" s="7" t="s">
        <v>35927</v>
      </c>
      <c r="O5499" s="8" t="str">
        <f>HYPERLINK("https://drive.google.com/file/d/1HGNZPr9_GKouZ_FHuHho_m3BJ56Qetji/view?usp=drivesdk","5498_ARDIAN KAHARUDIN  _ SERTIFIKAT BerAKHLAK")</f>
        <v>5498_ARDIAN KAHARUDIN  _ SERTIFIKAT BerAKHLAK</v>
      </c>
      <c r="P5499" s="5" t="s">
        <v>35928</v>
      </c>
    </row>
    <row r="5500">
      <c r="A5500" s="4">
        <v>45534.36046635416</v>
      </c>
      <c r="B5500" s="5" t="s">
        <v>34</v>
      </c>
      <c r="D5500" s="5" t="s">
        <v>362</v>
      </c>
      <c r="E5500" s="5" t="s">
        <v>35929</v>
      </c>
      <c r="F5500" s="5" t="s">
        <v>212</v>
      </c>
      <c r="G5500" s="5" t="s">
        <v>35930</v>
      </c>
      <c r="H5500" s="6" t="s">
        <v>35931</v>
      </c>
      <c r="K5500" s="5" t="s">
        <v>35932</v>
      </c>
      <c r="M5500" s="5" t="s">
        <v>35933</v>
      </c>
      <c r="N5500" s="7" t="s">
        <v>35934</v>
      </c>
      <c r="O5500" s="8" t="str">
        <f>HYPERLINK("https://drive.google.com/file/d/1S1NCzqMfKSrNzHYJG2Zhh2W5P7pFQXMl/view?usp=drivesdk","5499_Khiky Reski Putri _ SERTIFIKAT BerAKHLAK")</f>
        <v>5499_Khiky Reski Putri _ SERTIFIKAT BerAKHLAK</v>
      </c>
      <c r="P5500" s="5" t="s">
        <v>35935</v>
      </c>
    </row>
    <row r="5501">
      <c r="A5501" s="4">
        <v>45534.36047385416</v>
      </c>
      <c r="B5501" s="5" t="s">
        <v>34</v>
      </c>
      <c r="D5501" s="5" t="s">
        <v>1206</v>
      </c>
      <c r="E5501" s="5" t="s">
        <v>35936</v>
      </c>
      <c r="F5501" s="5" t="s">
        <v>37</v>
      </c>
      <c r="G5501" s="5" t="s">
        <v>35937</v>
      </c>
      <c r="H5501" s="6" t="s">
        <v>35938</v>
      </c>
      <c r="K5501" s="5" t="s">
        <v>35932</v>
      </c>
      <c r="M5501" s="5" t="s">
        <v>35939</v>
      </c>
      <c r="N5501" s="7" t="s">
        <v>35940</v>
      </c>
      <c r="O5501" s="8" t="str">
        <f>HYPERLINK("https://drive.google.com/file/d/1_sCYzpi4iBFxex7tp948M_G380Kgk_Sk/view?usp=drivesdk","5500_KUSFANUL ULUM _ SERTIFIKAT BerAKHLAK")</f>
        <v>5500_KUSFANUL ULUM _ SERTIFIKAT BerAKHLAK</v>
      </c>
      <c r="P5501" s="5" t="s">
        <v>35941</v>
      </c>
    </row>
    <row r="5502">
      <c r="A5502" s="4">
        <v>45534.360477291666</v>
      </c>
      <c r="B5502" s="5" t="s">
        <v>34</v>
      </c>
      <c r="D5502" s="5" t="s">
        <v>9020</v>
      </c>
      <c r="E5502" s="5" t="s">
        <v>35942</v>
      </c>
      <c r="F5502" s="5" t="s">
        <v>715</v>
      </c>
      <c r="G5502" s="5" t="s">
        <v>35943</v>
      </c>
      <c r="H5502" s="6" t="s">
        <v>35944</v>
      </c>
      <c r="K5502" s="5" t="s">
        <v>35932</v>
      </c>
      <c r="M5502" s="5" t="s">
        <v>35945</v>
      </c>
      <c r="N5502" s="7" t="s">
        <v>35946</v>
      </c>
      <c r="O5502" s="8" t="str">
        <f>HYPERLINK("https://drive.google.com/file/d/1g5nr89gkONrbC-QytDRqSdgpbeSgl4oM/view?usp=drivesdk","5501_SWASTIKA _ SERTIFIKAT BerAKHLAK")</f>
        <v>5501_SWASTIKA _ SERTIFIKAT BerAKHLAK</v>
      </c>
      <c r="P5502" s="5" t="s">
        <v>35947</v>
      </c>
    </row>
    <row r="5503">
      <c r="A5503" s="4">
        <v>45534.3604816088</v>
      </c>
      <c r="B5503" s="5" t="s">
        <v>34</v>
      </c>
      <c r="D5503" s="5" t="s">
        <v>15401</v>
      </c>
      <c r="E5503" s="5" t="s">
        <v>35948</v>
      </c>
      <c r="F5503" s="5" t="s">
        <v>375</v>
      </c>
      <c r="G5503" s="5" t="s">
        <v>35949</v>
      </c>
      <c r="H5503" s="6" t="s">
        <v>35950</v>
      </c>
      <c r="K5503" s="5" t="s">
        <v>35932</v>
      </c>
      <c r="M5503" s="5" t="s">
        <v>35951</v>
      </c>
      <c r="N5503" s="7" t="s">
        <v>35952</v>
      </c>
      <c r="O5503" s="8" t="str">
        <f>HYPERLINK("https://drive.google.com/file/d/1GD8GON9pJQ0Ju510100oYJ2yLrVDL-UB/view?usp=drivesdk","5502_NI NENGAH WINARTI, Amd.Kep, SKM _ SERTIFIKAT BerAKHLAK")</f>
        <v>5502_NI NENGAH WINARTI, Amd.Kep, SKM _ SERTIFIKAT BerAKHLAK</v>
      </c>
      <c r="P5503" s="5" t="s">
        <v>35953</v>
      </c>
    </row>
    <row r="5504">
      <c r="A5504" s="4">
        <v>45534.36048773148</v>
      </c>
      <c r="B5504" s="5" t="s">
        <v>34</v>
      </c>
      <c r="D5504" s="5" t="s">
        <v>9020</v>
      </c>
      <c r="E5504" s="5" t="s">
        <v>35954</v>
      </c>
      <c r="F5504" s="5" t="s">
        <v>37</v>
      </c>
      <c r="G5504" s="5" t="s">
        <v>35955</v>
      </c>
      <c r="H5504" s="6" t="s">
        <v>35956</v>
      </c>
      <c r="K5504" s="5" t="s">
        <v>35932</v>
      </c>
      <c r="M5504" s="5" t="s">
        <v>35957</v>
      </c>
      <c r="N5504" s="7" t="s">
        <v>35958</v>
      </c>
      <c r="O5504" s="8" t="str">
        <f>HYPERLINK("https://drive.google.com/file/d/1YTX1eG_KDnH6gsh9qGvUA28vhssrY0wv/view?usp=drivesdk","5503_SABRINA SEMBIRING _ SERTIFIKAT BerAKHLAK")</f>
        <v>5503_SABRINA SEMBIRING _ SERTIFIKAT BerAKHLAK</v>
      </c>
      <c r="P5504" s="5" t="s">
        <v>35959</v>
      </c>
    </row>
    <row r="5505">
      <c r="A5505" s="4">
        <v>45534.36049559028</v>
      </c>
      <c r="B5505" s="5" t="s">
        <v>34</v>
      </c>
      <c r="D5505" s="5" t="s">
        <v>1206</v>
      </c>
      <c r="E5505" s="5" t="s">
        <v>28497</v>
      </c>
      <c r="F5505" s="5" t="s">
        <v>212</v>
      </c>
      <c r="G5505" s="5" t="s">
        <v>35960</v>
      </c>
      <c r="H5505" s="6" t="s">
        <v>35961</v>
      </c>
      <c r="K5505" s="5" t="s">
        <v>35932</v>
      </c>
      <c r="M5505" s="5" t="s">
        <v>35962</v>
      </c>
      <c r="N5505" s="7" t="s">
        <v>35963</v>
      </c>
      <c r="O5505" s="8" t="str">
        <f>HYPERLINK("https://drive.google.com/file/d/1XuL9iqDsD414sdGLczxBDu4Tg_2kfVeR/view?usp=drivesdk","5504_SITI ROHANA _ SERTIFIKAT BerAKHLAK")</f>
        <v>5504_SITI ROHANA _ SERTIFIKAT BerAKHLAK</v>
      </c>
      <c r="P5505" s="5" t="s">
        <v>35964</v>
      </c>
    </row>
    <row r="5506">
      <c r="A5506" s="4">
        <v>45534.36049748842</v>
      </c>
      <c r="B5506" s="5" t="s">
        <v>34</v>
      </c>
      <c r="D5506" s="5" t="s">
        <v>15401</v>
      </c>
      <c r="E5506" s="5" t="s">
        <v>35965</v>
      </c>
      <c r="F5506" s="5" t="s">
        <v>524</v>
      </c>
      <c r="G5506" s="5" t="s">
        <v>35966</v>
      </c>
      <c r="H5506" s="6" t="s">
        <v>35967</v>
      </c>
      <c r="I5506" s="7" t="s">
        <v>35968</v>
      </c>
      <c r="J5506" s="8" t="str">
        <f>HYPERLINK("https://drive.google.com/file/d/1TBrw03lRNutPB9Q6v11UEVLgJw6rnu-P/view?usp=drivesdk","NI LUH MURYANTI, S.Kom. SERTIFIKAT BerAKHLAK")</f>
        <v>NI LUH MURYANTI, S.Kom. SERTIFIKAT BerAKHLAK</v>
      </c>
      <c r="K5506" s="5" t="s">
        <v>35313</v>
      </c>
      <c r="L5506" s="5" t="s">
        <v>35969</v>
      </c>
      <c r="M5506" s="5" t="s">
        <v>35970</v>
      </c>
      <c r="N5506" s="7" t="s">
        <v>35971</v>
      </c>
      <c r="O5506" s="8" t="str">
        <f>HYPERLINK("https://drive.google.com/file/d/1SGqeFW5dKdJEe3w2mZJY6D1jNS5-WMmX/view?usp=drivesdk","5505_NI LUH MURYANTI, S.Kom. _ SERTIFIKAT BerAKHLAK")</f>
        <v>5505_NI LUH MURYANTI, S.Kom. _ SERTIFIKAT BerAKHLAK</v>
      </c>
      <c r="P5506" s="5" t="s">
        <v>35972</v>
      </c>
    </row>
    <row r="5507">
      <c r="A5507" s="4">
        <v>45534.360540231486</v>
      </c>
      <c r="B5507" s="5" t="s">
        <v>34</v>
      </c>
      <c r="D5507" s="5" t="s">
        <v>4775</v>
      </c>
      <c r="E5507" s="5" t="s">
        <v>35973</v>
      </c>
      <c r="F5507" s="5" t="s">
        <v>212</v>
      </c>
      <c r="G5507" s="5" t="s">
        <v>35974</v>
      </c>
      <c r="H5507" s="6" t="s">
        <v>35975</v>
      </c>
      <c r="I5507" s="7" t="s">
        <v>35976</v>
      </c>
      <c r="J5507" s="8" t="str">
        <f>HYPERLINK("https://drive.google.com/file/d/1Y7ns62slGhb0RC5-2yrboa7j6rFRF9Jd/view?usp=drivesdk","PODHO HARJANTO SERTIFIKAT BerAKHLAK")</f>
        <v>PODHO HARJANTO SERTIFIKAT BerAKHLAK</v>
      </c>
      <c r="K5507" s="5" t="s">
        <v>35313</v>
      </c>
      <c r="L5507" s="5" t="s">
        <v>35977</v>
      </c>
      <c r="M5507" s="5" t="s">
        <v>35978</v>
      </c>
      <c r="N5507" s="7" t="s">
        <v>35979</v>
      </c>
      <c r="O5507" s="8" t="str">
        <f>HYPERLINK("https://drive.google.com/file/d/1weckMJGyy8TTGgenTQvxHu41jzb72bDP/view?usp=drivesdk","5506_PODHO HARJANTO _ SERTIFIKAT BerAKHLAK")</f>
        <v>5506_PODHO HARJANTO _ SERTIFIKAT BerAKHLAK</v>
      </c>
      <c r="P5507" s="5" t="s">
        <v>35980</v>
      </c>
    </row>
    <row r="5508" hidden="1">
      <c r="A5508" s="4">
        <v>45534.360544525465</v>
      </c>
      <c r="B5508" s="5" t="s">
        <v>19</v>
      </c>
      <c r="C5508" s="5" t="s">
        <v>442</v>
      </c>
      <c r="E5508" s="5" t="s">
        <v>35981</v>
      </c>
      <c r="F5508" s="5" t="s">
        <v>72</v>
      </c>
      <c r="G5508" s="5" t="s">
        <v>35982</v>
      </c>
      <c r="H5508" s="6" t="s">
        <v>35983</v>
      </c>
      <c r="I5508" s="7" t="s">
        <v>35984</v>
      </c>
      <c r="J5508" s="8" t="str">
        <f>HYPERLINK("https://drive.google.com/file/d/1O1zpSEuP56-s64sXLM4m2j3sV0-SrP2-/view?usp=drivesdk","SUMARTINI,SH SERTIFIKAT BerAKHLAK")</f>
        <v>SUMARTINI,SH SERTIFIKAT BerAKHLAK</v>
      </c>
      <c r="K5508" s="5" t="s">
        <v>35313</v>
      </c>
      <c r="L5508" s="5" t="s">
        <v>35985</v>
      </c>
      <c r="M5508" s="5" t="s">
        <v>35986</v>
      </c>
      <c r="N5508" s="7" t="s">
        <v>35987</v>
      </c>
      <c r="O5508" s="8" t="str">
        <f>HYPERLINK("https://drive.google.com/file/d/1OHxhodmzlwaHT4ZxwtDRicCHxBKW9M0e/view?usp=drivesdk","5507_SUMARTINI,SH _ SERTIFIKAT BerAKHLAK")</f>
        <v>5507_SUMARTINI,SH _ SERTIFIKAT BerAKHLAK</v>
      </c>
      <c r="P5508" s="5" t="s">
        <v>35988</v>
      </c>
    </row>
    <row r="5509">
      <c r="A5509" s="4">
        <v>45534.36055104167</v>
      </c>
      <c r="B5509" s="5" t="s">
        <v>34</v>
      </c>
      <c r="D5509" s="5" t="s">
        <v>1206</v>
      </c>
      <c r="E5509" s="5" t="s">
        <v>35989</v>
      </c>
      <c r="F5509" s="5" t="s">
        <v>212</v>
      </c>
      <c r="G5509" s="5" t="s">
        <v>35990</v>
      </c>
      <c r="H5509" s="6" t="s">
        <v>35991</v>
      </c>
      <c r="K5509" s="5" t="s">
        <v>35992</v>
      </c>
      <c r="M5509" s="5" t="s">
        <v>35993</v>
      </c>
      <c r="N5509" s="7" t="s">
        <v>35994</v>
      </c>
      <c r="O5509" s="8" t="str">
        <f>HYPERLINK("https://drive.google.com/file/d/1ruLrP-Xt5QVk2UjAcXVDzoaQbpYFWwsf/view?usp=drivesdk","5508_SRI JAYANTI PRASETIYANINGSIH _ SERTIFIKAT BerAKHLAK")</f>
        <v>5508_SRI JAYANTI PRASETIYANINGSIH _ SERTIFIKAT BerAKHLAK</v>
      </c>
      <c r="P5509" s="5" t="s">
        <v>35995</v>
      </c>
    </row>
    <row r="5510">
      <c r="A5510" s="4">
        <v>45534.3605583912</v>
      </c>
      <c r="B5510" s="5" t="s">
        <v>34</v>
      </c>
      <c r="D5510" s="5" t="s">
        <v>11527</v>
      </c>
      <c r="E5510" s="5" t="s">
        <v>35996</v>
      </c>
      <c r="F5510" s="5" t="s">
        <v>715</v>
      </c>
      <c r="G5510" s="5" t="s">
        <v>35997</v>
      </c>
      <c r="H5510" s="6" t="s">
        <v>35998</v>
      </c>
      <c r="K5510" s="5" t="s">
        <v>35992</v>
      </c>
      <c r="M5510" s="5" t="s">
        <v>35999</v>
      </c>
      <c r="N5510" s="7" t="s">
        <v>36000</v>
      </c>
      <c r="O5510" s="8" t="str">
        <f>HYPERLINK("https://drive.google.com/file/d/15ONc6emzfZOaEBERWtU9-1GHcc7yQpsP/view?usp=drivesdk","5509_AFKE DEISY SIMBAWA _ SERTIFIKAT BerAKHLAK")</f>
        <v>5509_AFKE DEISY SIMBAWA _ SERTIFIKAT BerAKHLAK</v>
      </c>
      <c r="P5510" s="5" t="s">
        <v>36001</v>
      </c>
    </row>
    <row r="5511">
      <c r="A5511" s="4">
        <v>45534.36056461805</v>
      </c>
      <c r="B5511" s="5" t="s">
        <v>34</v>
      </c>
      <c r="D5511" s="5" t="s">
        <v>1206</v>
      </c>
      <c r="E5511" s="5" t="s">
        <v>36002</v>
      </c>
      <c r="F5511" s="5" t="s">
        <v>37</v>
      </c>
      <c r="G5511" s="5" t="s">
        <v>36003</v>
      </c>
      <c r="H5511" s="6" t="s">
        <v>36004</v>
      </c>
      <c r="K5511" s="5" t="s">
        <v>35992</v>
      </c>
      <c r="M5511" s="5" t="s">
        <v>36005</v>
      </c>
      <c r="N5511" s="7" t="s">
        <v>36006</v>
      </c>
      <c r="O5511" s="8" t="str">
        <f>HYPERLINK("https://drive.google.com/file/d/1OIBpU806OVohx4O1vQ7UXy9_1EdqgWCC/view?usp=drivesdk","5510_AMONG SAPUTRA _ SERTIFIKAT BerAKHLAK")</f>
        <v>5510_AMONG SAPUTRA _ SERTIFIKAT BerAKHLAK</v>
      </c>
      <c r="P5511" s="5" t="s">
        <v>36007</v>
      </c>
    </row>
    <row r="5512">
      <c r="A5512" s="4">
        <v>45534.36056945602</v>
      </c>
      <c r="B5512" s="5" t="s">
        <v>34</v>
      </c>
      <c r="D5512" s="5" t="s">
        <v>14313</v>
      </c>
      <c r="E5512" s="5" t="s">
        <v>36008</v>
      </c>
      <c r="F5512" s="5" t="s">
        <v>72</v>
      </c>
      <c r="G5512" s="5" t="s">
        <v>36009</v>
      </c>
      <c r="H5512" s="6" t="s">
        <v>36010</v>
      </c>
      <c r="K5512" s="5" t="s">
        <v>35992</v>
      </c>
      <c r="M5512" s="5" t="s">
        <v>36011</v>
      </c>
      <c r="N5512" s="7" t="s">
        <v>36012</v>
      </c>
      <c r="O5512" s="8" t="str">
        <f>HYPERLINK("https://drive.google.com/file/d/1Qh5VqYHlNrmsSa-eXRzYbcX8e57DXnq5/view?usp=drivesdk","5511_NILAWATI, B _ SERTIFIKAT BerAKHLAK")</f>
        <v>5511_NILAWATI, B _ SERTIFIKAT BerAKHLAK</v>
      </c>
      <c r="P5512" s="5" t="s">
        <v>36013</v>
      </c>
    </row>
    <row r="5513">
      <c r="A5513" s="4">
        <v>45534.3605775</v>
      </c>
      <c r="B5513" s="5" t="s">
        <v>34</v>
      </c>
      <c r="D5513" s="5" t="s">
        <v>4775</v>
      </c>
      <c r="E5513" s="5" t="s">
        <v>36014</v>
      </c>
      <c r="F5513" s="5" t="s">
        <v>108</v>
      </c>
      <c r="G5513" s="5" t="s">
        <v>36015</v>
      </c>
      <c r="H5513" s="6" t="s">
        <v>36016</v>
      </c>
      <c r="I5513" s="7" t="s">
        <v>36017</v>
      </c>
      <c r="J5513" s="8" t="str">
        <f>HYPERLINK("https://drive.google.com/file/d/1WwkRuHgh_FElBD0rpMPpRsmU4dIxvB9c/view?usp=drivesdk","RATNA PUSPA JATI, S.Pt SERTIFIKAT BerAKHLAK")</f>
        <v>RATNA PUSPA JATI, S.Pt SERTIFIKAT BerAKHLAK</v>
      </c>
      <c r="K5513" s="5" t="s">
        <v>35313</v>
      </c>
      <c r="L5513" s="5" t="s">
        <v>36018</v>
      </c>
      <c r="M5513" s="5" t="s">
        <v>36019</v>
      </c>
      <c r="N5513" s="7" t="s">
        <v>36020</v>
      </c>
      <c r="O5513" s="8" t="str">
        <f>HYPERLINK("https://drive.google.com/file/d/1rryvt02AZIkJKtOdoGd3awyUB5BiHPDV/view?usp=drivesdk","5512_RATNA PUSPA JATI, S.Pt _ SERTIFIKAT BerAKHLAK")</f>
        <v>5512_RATNA PUSPA JATI, S.Pt _ SERTIFIKAT BerAKHLAK</v>
      </c>
      <c r="P5513" s="5" t="s">
        <v>36021</v>
      </c>
    </row>
    <row r="5514">
      <c r="A5514" s="4">
        <v>45534.360582071764</v>
      </c>
      <c r="B5514" s="5" t="s">
        <v>34</v>
      </c>
      <c r="D5514" s="5" t="s">
        <v>14424</v>
      </c>
      <c r="E5514" s="5" t="s">
        <v>36022</v>
      </c>
      <c r="F5514" s="5" t="s">
        <v>375</v>
      </c>
      <c r="G5514" s="5" t="s">
        <v>36023</v>
      </c>
      <c r="H5514" s="6" t="s">
        <v>36024</v>
      </c>
      <c r="I5514" s="7" t="s">
        <v>36025</v>
      </c>
      <c r="J5514" s="8" t="str">
        <f>HYPERLINK("https://drive.google.com/file/d/1vlcC-hdNdnGnqXhyAZboG1kafgEFhUC0/view?usp=drivesdk","IDA HUSNAINI. S.Gz SERTIFIKAT BerAKHLAK")</f>
        <v>IDA HUSNAINI. S.Gz SERTIFIKAT BerAKHLAK</v>
      </c>
      <c r="K5514" s="5" t="s">
        <v>35313</v>
      </c>
      <c r="L5514" s="5" t="s">
        <v>36026</v>
      </c>
      <c r="M5514" s="5" t="s">
        <v>36027</v>
      </c>
      <c r="N5514" s="7" t="s">
        <v>36028</v>
      </c>
      <c r="O5514" s="8" t="str">
        <f>HYPERLINK("https://drive.google.com/file/d/1ksRmWcRSXw3DXd2p-Z433WfvSV8ndq7W/view?usp=drivesdk","5513_IDA HUSNAINI. S.Gz _ SERTIFIKAT BerAKHLAK")</f>
        <v>5513_IDA HUSNAINI. S.Gz _ SERTIFIKAT BerAKHLAK</v>
      </c>
      <c r="P5514" s="5" t="s">
        <v>36029</v>
      </c>
    </row>
    <row r="5515">
      <c r="A5515" s="4">
        <v>45534.36058489583</v>
      </c>
      <c r="B5515" s="5" t="s">
        <v>34</v>
      </c>
      <c r="D5515" s="5" t="s">
        <v>9394</v>
      </c>
      <c r="E5515" s="5" t="s">
        <v>36030</v>
      </c>
      <c r="F5515" s="5" t="s">
        <v>524</v>
      </c>
      <c r="G5515" s="5" t="s">
        <v>36031</v>
      </c>
      <c r="H5515" s="6" t="s">
        <v>36032</v>
      </c>
      <c r="I5515" s="7" t="s">
        <v>36033</v>
      </c>
      <c r="J5515" s="8" t="str">
        <f>HYPERLINK("https://drive.google.com/file/d/1IfRYjpx9sD-SJnuQ4QSNP82ZqOXUJ6Jh/view?usp=drivesdk","ELVIRA ROSA, S.Ak SERTIFIKAT BerAKHLAK")</f>
        <v>ELVIRA ROSA, S.Ak SERTIFIKAT BerAKHLAK</v>
      </c>
      <c r="K5515" s="5" t="s">
        <v>35313</v>
      </c>
      <c r="L5515" s="5" t="s">
        <v>36034</v>
      </c>
      <c r="M5515" s="5" t="s">
        <v>36035</v>
      </c>
      <c r="N5515" s="7" t="s">
        <v>36036</v>
      </c>
      <c r="O5515" s="8" t="str">
        <f>HYPERLINK("https://drive.google.com/file/d/1GZ0uIhWVxKRjJhbPpZyftIS4GlgsFjPX/view?usp=drivesdk","5514_ELVIRA ROSA, S.Ak _ SERTIFIKAT BerAKHLAK")</f>
        <v>5514_ELVIRA ROSA, S.Ak _ SERTIFIKAT BerAKHLAK</v>
      </c>
      <c r="P5515" s="5" t="s">
        <v>36037</v>
      </c>
    </row>
    <row r="5516">
      <c r="A5516" s="4">
        <v>45534.36059996528</v>
      </c>
      <c r="B5516" s="5" t="s">
        <v>34</v>
      </c>
      <c r="D5516" s="5" t="s">
        <v>996</v>
      </c>
      <c r="E5516" s="5" t="s">
        <v>36038</v>
      </c>
      <c r="F5516" s="5" t="s">
        <v>108</v>
      </c>
      <c r="G5516" s="5" t="s">
        <v>36039</v>
      </c>
      <c r="H5516" s="6" t="s">
        <v>36040</v>
      </c>
      <c r="I5516" s="7" t="s">
        <v>36041</v>
      </c>
      <c r="J5516" s="8" t="str">
        <f>HYPERLINK("https://drive.google.com/file/d/1tpwfFW9WHH36Wz8I73CpoTV01OYoKm0E/view?usp=drivesdk","INDRIAWATI,SE SERTIFIKAT BerAKHLAK")</f>
        <v>INDRIAWATI,SE SERTIFIKAT BerAKHLAK</v>
      </c>
      <c r="K5516" s="5" t="s">
        <v>35335</v>
      </c>
      <c r="L5516" s="5" t="s">
        <v>36042</v>
      </c>
      <c r="M5516" s="5" t="s">
        <v>36043</v>
      </c>
      <c r="N5516" s="7" t="s">
        <v>36044</v>
      </c>
      <c r="O5516" s="8" t="str">
        <f>HYPERLINK("https://drive.google.com/file/d/1kQfrGc6cvwz3WoPCBkb6iZnEIX0hGU7B/view?usp=drivesdk","5515_INDRIAWATI,SE _ SERTIFIKAT BerAKHLAK")</f>
        <v>5515_INDRIAWATI,SE _ SERTIFIKAT BerAKHLAK</v>
      </c>
      <c r="P5516" s="5" t="s">
        <v>36045</v>
      </c>
    </row>
    <row r="5517">
      <c r="A5517" s="4">
        <v>45534.360613310186</v>
      </c>
      <c r="B5517" s="5" t="s">
        <v>34</v>
      </c>
      <c r="D5517" s="5" t="s">
        <v>1768</v>
      </c>
      <c r="E5517" s="5" t="s">
        <v>36046</v>
      </c>
      <c r="F5517" s="5" t="s">
        <v>108</v>
      </c>
      <c r="G5517" s="5" t="s">
        <v>36047</v>
      </c>
      <c r="H5517" s="6" t="s">
        <v>36048</v>
      </c>
      <c r="I5517" s="7" t="s">
        <v>36049</v>
      </c>
      <c r="J5517" s="8" t="str">
        <f>HYPERLINK("https://drive.google.com/file/d/1QtJpsuqgWxVTjsSTDVxql8epGC2WzqBm/view?usp=drivesdk","YULIANA SARI SERTIFIKAT BerAKHLAK")</f>
        <v>YULIANA SARI SERTIFIKAT BerAKHLAK</v>
      </c>
      <c r="K5517" s="5" t="s">
        <v>35335</v>
      </c>
      <c r="L5517" s="5" t="s">
        <v>36050</v>
      </c>
      <c r="M5517" s="5" t="s">
        <v>36051</v>
      </c>
      <c r="N5517" s="7" t="s">
        <v>36052</v>
      </c>
      <c r="O5517" s="8" t="str">
        <f>HYPERLINK("https://drive.google.com/file/d/1i7ua8QjF2h-bh-__PW2iWDrQ_Cg15CHB/view?usp=drivesdk","5516_YULIANA SARI _ SERTIFIKAT BerAKHLAK")</f>
        <v>5516_YULIANA SARI _ SERTIFIKAT BerAKHLAK</v>
      </c>
      <c r="P5517" s="5" t="s">
        <v>36053</v>
      </c>
    </row>
    <row r="5518" hidden="1">
      <c r="A5518" s="4">
        <v>45534.36063135417</v>
      </c>
      <c r="B5518" s="5" t="s">
        <v>19</v>
      </c>
      <c r="C5518" s="5" t="s">
        <v>315</v>
      </c>
      <c r="E5518" s="5" t="s">
        <v>36054</v>
      </c>
      <c r="F5518" s="5" t="s">
        <v>375</v>
      </c>
      <c r="G5518" s="5" t="s">
        <v>36055</v>
      </c>
      <c r="H5518" s="6" t="s">
        <v>36056</v>
      </c>
      <c r="I5518" s="7" t="s">
        <v>36057</v>
      </c>
      <c r="J5518" s="8" t="str">
        <f>HYPERLINK("https://drive.google.com/file/d/1Fl_KZtYX-7m3o6scvoIZEUJ34QX18IXf/view?usp=drivesdk","ADITYA KUSUMAWAN, S.S. SERTIFIKAT BerAKHLAK")</f>
        <v>ADITYA KUSUMAWAN, S.S. SERTIFIKAT BerAKHLAK</v>
      </c>
      <c r="K5518" s="5" t="s">
        <v>35313</v>
      </c>
      <c r="L5518" s="5" t="s">
        <v>36058</v>
      </c>
      <c r="M5518" s="5" t="s">
        <v>36059</v>
      </c>
      <c r="N5518" s="7" t="s">
        <v>36060</v>
      </c>
      <c r="O5518" s="8" t="str">
        <f>HYPERLINK("https://drive.google.com/file/d/1zrEtOZeJVibyiiy-ctjteAB43fwhgqFA/view?usp=drivesdk","5517_ADITYA KUSUMAWAN, S.S. _ SERTIFIKAT BerAKHLAK")</f>
        <v>5517_ADITYA KUSUMAWAN, S.S. _ SERTIFIKAT BerAKHLAK</v>
      </c>
      <c r="P5518" s="5" t="s">
        <v>36061</v>
      </c>
    </row>
    <row r="5519">
      <c r="A5519" s="4">
        <v>45534.360635219906</v>
      </c>
      <c r="B5519" s="5" t="s">
        <v>34</v>
      </c>
      <c r="D5519" s="5" t="s">
        <v>6232</v>
      </c>
      <c r="E5519" s="5" t="s">
        <v>36062</v>
      </c>
      <c r="F5519" s="5" t="s">
        <v>108</v>
      </c>
      <c r="G5519" s="5" t="s">
        <v>36063</v>
      </c>
      <c r="H5519" s="6" t="s">
        <v>36064</v>
      </c>
      <c r="I5519" s="7" t="s">
        <v>36065</v>
      </c>
      <c r="J5519" s="8" t="str">
        <f>HYPERLINK("https://drive.google.com/file/d/1bTrOI6mcSjF5MNHegHVYAfAH2e1zOFgE/view?usp=drivesdk","apt. SANTY YULIARTHA, S.Farm SERTIFIKAT BerAKHLAK")</f>
        <v>apt. SANTY YULIARTHA, S.Farm SERTIFIKAT BerAKHLAK</v>
      </c>
      <c r="K5519" s="5" t="s">
        <v>35313</v>
      </c>
      <c r="L5519" s="5" t="s">
        <v>36066</v>
      </c>
      <c r="M5519" s="5" t="s">
        <v>36067</v>
      </c>
      <c r="N5519" s="7" t="s">
        <v>36068</v>
      </c>
      <c r="O5519" s="8" t="str">
        <f>HYPERLINK("https://drive.google.com/file/d/1fLWewmAPfm0gXc1CxQKqprWKFXtJGE7g/view?usp=drivesdk","5518_apt. SANTY YULIARTHA, S.Farm _ SERTIFIKAT BerAKHLAK")</f>
        <v>5518_apt. SANTY YULIARTHA, S.Farm _ SERTIFIKAT BerAKHLAK</v>
      </c>
      <c r="P5519" s="5" t="s">
        <v>36069</v>
      </c>
    </row>
    <row r="5520">
      <c r="A5520" s="4">
        <v>45534.360672650466</v>
      </c>
      <c r="B5520" s="5" t="s">
        <v>34</v>
      </c>
      <c r="D5520" s="5" t="s">
        <v>4775</v>
      </c>
      <c r="E5520" s="5" t="s">
        <v>36070</v>
      </c>
      <c r="F5520" s="5" t="s">
        <v>375</v>
      </c>
      <c r="G5520" s="5" t="s">
        <v>36071</v>
      </c>
      <c r="H5520" s="6" t="s">
        <v>36072</v>
      </c>
      <c r="I5520" s="7" t="s">
        <v>36073</v>
      </c>
      <c r="J5520" s="8" t="str">
        <f>HYPERLINK("https://drive.google.com/file/d/10D586iKo_tcX7Fcx-T3TMh1uDwiCqmrS/view?usp=drivesdk","SRI IKA HANDAYANI,S.Sos SERTIFIKAT BerAKHLAK")</f>
        <v>SRI IKA HANDAYANI,S.Sos SERTIFIKAT BerAKHLAK</v>
      </c>
      <c r="K5520" s="5" t="s">
        <v>35313</v>
      </c>
      <c r="L5520" s="5" t="s">
        <v>36074</v>
      </c>
      <c r="M5520" s="5" t="s">
        <v>36075</v>
      </c>
      <c r="N5520" s="7" t="s">
        <v>36076</v>
      </c>
      <c r="O5520" s="8" t="str">
        <f>HYPERLINK("https://drive.google.com/file/d/1S2HVqC4AWwlm6kfSeLv0qn8N8lfl9RPq/view?usp=drivesdk","5519_SRI IKA HANDAYANI,S.Sos _ SERTIFIKAT BerAKHLAK")</f>
        <v>5519_SRI IKA HANDAYANI,S.Sos _ SERTIFIKAT BerAKHLAK</v>
      </c>
      <c r="P5520" s="5" t="s">
        <v>36077</v>
      </c>
    </row>
    <row r="5521">
      <c r="A5521" s="4">
        <v>45534.3606941551</v>
      </c>
      <c r="B5521" s="5" t="s">
        <v>34</v>
      </c>
      <c r="D5521" s="5" t="s">
        <v>975</v>
      </c>
      <c r="E5521" s="5" t="s">
        <v>36078</v>
      </c>
      <c r="F5521" s="5" t="s">
        <v>108</v>
      </c>
      <c r="G5521" s="5" t="s">
        <v>36079</v>
      </c>
      <c r="H5521" s="6" t="s">
        <v>36080</v>
      </c>
      <c r="K5521" s="5" t="s">
        <v>36081</v>
      </c>
      <c r="M5521" s="5" t="s">
        <v>36082</v>
      </c>
      <c r="N5521" s="7" t="s">
        <v>36083</v>
      </c>
      <c r="O5521" s="8" t="str">
        <f>HYPERLINK("https://drive.google.com/file/d/1gqbAGBRA59j6bdZ69tYBPnePHFnOq42Z/view?usp=drivesdk","5520_DR FANYTHA LIBRA KARMILA _ SERTIFIKAT BerAKHLAK")</f>
        <v>5520_DR FANYTHA LIBRA KARMILA _ SERTIFIKAT BerAKHLAK</v>
      </c>
      <c r="P5521" s="5" t="s">
        <v>36084</v>
      </c>
    </row>
    <row r="5522">
      <c r="A5522" s="4">
        <v>45534.36069511574</v>
      </c>
      <c r="B5522" s="5" t="s">
        <v>34</v>
      </c>
      <c r="D5522" s="5" t="s">
        <v>14313</v>
      </c>
      <c r="E5522" s="5" t="s">
        <v>36085</v>
      </c>
      <c r="F5522" s="5" t="s">
        <v>37</v>
      </c>
      <c r="G5522" s="5" t="s">
        <v>36086</v>
      </c>
      <c r="H5522" s="6" t="s">
        <v>36087</v>
      </c>
      <c r="K5522" s="5" t="s">
        <v>36081</v>
      </c>
      <c r="M5522" s="5" t="s">
        <v>36088</v>
      </c>
      <c r="N5522" s="7" t="s">
        <v>36089</v>
      </c>
      <c r="O5522" s="8" t="str">
        <f>HYPERLINK("https://drive.google.com/file/d/1bBhzE0UrvBCGCrvjznVx1k_BW6phsZkm/view?usp=drivesdk","5521_MANSURIYAH  _ SERTIFIKAT BerAKHLAK")</f>
        <v>5521_MANSURIYAH  _ SERTIFIKAT BerAKHLAK</v>
      </c>
      <c r="P5522" s="5" t="s">
        <v>36090</v>
      </c>
    </row>
    <row r="5523">
      <c r="A5523" s="4">
        <v>45534.36070179398</v>
      </c>
      <c r="B5523" s="5" t="s">
        <v>34</v>
      </c>
      <c r="D5523" s="5" t="s">
        <v>4775</v>
      </c>
      <c r="E5523" s="5" t="s">
        <v>36091</v>
      </c>
      <c r="F5523" s="5" t="s">
        <v>72</v>
      </c>
      <c r="G5523" s="5" t="s">
        <v>36092</v>
      </c>
      <c r="H5523" s="6" t="s">
        <v>36093</v>
      </c>
      <c r="K5523" s="5" t="s">
        <v>36081</v>
      </c>
      <c r="M5523" s="5" t="s">
        <v>36094</v>
      </c>
      <c r="N5523" s="7" t="s">
        <v>36095</v>
      </c>
      <c r="O5523" s="8" t="str">
        <f>HYPERLINK("https://drive.google.com/file/d/1MONXFYVUwwGm11UBn2J2-DqQztY49sOH/view?usp=drivesdk","5522_RINA ANDESPA DEWI _ SERTIFIKAT BerAKHLAK")</f>
        <v>5522_RINA ANDESPA DEWI _ SERTIFIKAT BerAKHLAK</v>
      </c>
      <c r="P5523" s="5" t="s">
        <v>36096</v>
      </c>
    </row>
    <row r="5524">
      <c r="A5524" s="4">
        <v>45534.36070464121</v>
      </c>
      <c r="B5524" s="5" t="s">
        <v>34</v>
      </c>
      <c r="D5524" s="5" t="s">
        <v>7858</v>
      </c>
      <c r="E5524" s="5" t="s">
        <v>36097</v>
      </c>
      <c r="F5524" s="5" t="s">
        <v>524</v>
      </c>
      <c r="G5524" s="5" t="s">
        <v>36098</v>
      </c>
      <c r="H5524" s="6" t="s">
        <v>36099</v>
      </c>
      <c r="K5524" s="5" t="s">
        <v>36081</v>
      </c>
      <c r="M5524" s="5" t="s">
        <v>36100</v>
      </c>
      <c r="N5524" s="7" t="s">
        <v>36101</v>
      </c>
      <c r="O5524" s="8" t="str">
        <f>HYPERLINK("https://drive.google.com/file/d/1uc0QlUqNYzTowL6RNOqgAFcPkGhpfPJD/view?usp=drivesdk","5523_EMA MULYANI _ SERTIFIKAT BerAKHLAK")</f>
        <v>5523_EMA MULYANI _ SERTIFIKAT BerAKHLAK</v>
      </c>
      <c r="P5524" s="5" t="s">
        <v>36102</v>
      </c>
    </row>
    <row r="5525">
      <c r="A5525" s="4">
        <v>45534.36071010417</v>
      </c>
      <c r="B5525" s="5" t="s">
        <v>34</v>
      </c>
      <c r="D5525" s="5" t="s">
        <v>4775</v>
      </c>
      <c r="E5525" s="5" t="s">
        <v>36103</v>
      </c>
      <c r="F5525" s="5" t="s">
        <v>37</v>
      </c>
      <c r="G5525" s="5" t="s">
        <v>36104</v>
      </c>
      <c r="H5525" s="6" t="s">
        <v>36105</v>
      </c>
      <c r="K5525" s="5" t="s">
        <v>36081</v>
      </c>
      <c r="M5525" s="5" t="s">
        <v>36106</v>
      </c>
      <c r="N5525" s="7" t="s">
        <v>36107</v>
      </c>
      <c r="O5525" s="8" t="str">
        <f>HYPERLINK("https://drive.google.com/file/d/1hSs5iGl3y_1UZy-Zk-hFFQcgbGAcdYIF/view?usp=drivesdk","5524_HERNO PURWANTO SH _ SERTIFIKAT BerAKHLAK")</f>
        <v>5524_HERNO PURWANTO SH _ SERTIFIKAT BerAKHLAK</v>
      </c>
      <c r="P5525" s="5" t="s">
        <v>36108</v>
      </c>
    </row>
    <row r="5526">
      <c r="A5526" s="4">
        <v>45534.360715462964</v>
      </c>
      <c r="B5526" s="5" t="s">
        <v>34</v>
      </c>
      <c r="D5526" s="5" t="s">
        <v>975</v>
      </c>
      <c r="E5526" s="5" t="s">
        <v>36109</v>
      </c>
      <c r="F5526" s="5" t="s">
        <v>37</v>
      </c>
      <c r="G5526" s="5" t="s">
        <v>36110</v>
      </c>
      <c r="H5526" s="6" t="s">
        <v>36111</v>
      </c>
      <c r="K5526" s="5" t="s">
        <v>36081</v>
      </c>
      <c r="M5526" s="5" t="s">
        <v>36112</v>
      </c>
      <c r="N5526" s="7" t="s">
        <v>36113</v>
      </c>
      <c r="O5526" s="8" t="str">
        <f>HYPERLINK("https://drive.google.com/file/d/1z33KYCvEgvwuGqcDSnVWL7Cp_WhqEczI/view?usp=drivesdk","5525_NUR ERHYTA TERTY ANTINA _ SERTIFIKAT BerAKHLAK")</f>
        <v>5525_NUR ERHYTA TERTY ANTINA _ SERTIFIKAT BerAKHLAK</v>
      </c>
      <c r="P5526" s="5" t="s">
        <v>36114</v>
      </c>
    </row>
    <row r="5527">
      <c r="A5527" s="4">
        <v>45534.36072679398</v>
      </c>
      <c r="B5527" s="5" t="s">
        <v>34</v>
      </c>
      <c r="D5527" s="5" t="s">
        <v>1206</v>
      </c>
      <c r="E5527" s="5" t="s">
        <v>36115</v>
      </c>
      <c r="F5527" s="5" t="s">
        <v>375</v>
      </c>
      <c r="G5527" s="5" t="s">
        <v>36116</v>
      </c>
      <c r="H5527" s="6" t="s">
        <v>36117</v>
      </c>
      <c r="K5527" s="5" t="s">
        <v>36081</v>
      </c>
      <c r="M5527" s="5" t="s">
        <v>36118</v>
      </c>
      <c r="N5527" s="7" t="s">
        <v>36119</v>
      </c>
      <c r="O5527" s="8" t="str">
        <f>HYPERLINK("https://drive.google.com/file/d/1Rn72ZDd56lja7fp68YvQnxm_EeUpVyTf/view?usp=drivesdk","5526_ERNA PURDAWATI, S.Sos _ SERTIFIKAT BerAKHLAK")</f>
        <v>5526_ERNA PURDAWATI, S.Sos _ SERTIFIKAT BerAKHLAK</v>
      </c>
      <c r="P5527" s="5" t="s">
        <v>36120</v>
      </c>
    </row>
    <row r="5528">
      <c r="A5528" s="4">
        <v>45534.36072684028</v>
      </c>
      <c r="B5528" s="5" t="s">
        <v>34</v>
      </c>
      <c r="D5528" s="5" t="s">
        <v>4775</v>
      </c>
      <c r="E5528" s="5" t="s">
        <v>25786</v>
      </c>
      <c r="F5528" s="5" t="s">
        <v>212</v>
      </c>
      <c r="G5528" s="5" t="s">
        <v>36121</v>
      </c>
      <c r="H5528" s="6" t="s">
        <v>36122</v>
      </c>
      <c r="K5528" s="5" t="s">
        <v>36081</v>
      </c>
      <c r="M5528" s="5" t="s">
        <v>36123</v>
      </c>
      <c r="N5528" s="7" t="s">
        <v>36124</v>
      </c>
      <c r="O5528" s="8" t="str">
        <f>HYPERLINK("https://drive.google.com/file/d/1yK6aFfGg7RolIXBZxAavOF1FD30QBo-r/view?usp=drivesdk","5527_SULASTRI _ SERTIFIKAT BerAKHLAK")</f>
        <v>5527_SULASTRI _ SERTIFIKAT BerAKHLAK</v>
      </c>
      <c r="P5528" s="5" t="s">
        <v>36125</v>
      </c>
    </row>
    <row r="5529" hidden="1">
      <c r="A5529" s="4">
        <v>45534.360765868056</v>
      </c>
      <c r="B5529" s="5" t="s">
        <v>19</v>
      </c>
      <c r="C5529" s="5" t="s">
        <v>3301</v>
      </c>
      <c r="E5529" s="5" t="s">
        <v>36126</v>
      </c>
      <c r="F5529" s="5" t="s">
        <v>524</v>
      </c>
      <c r="G5529" s="5" t="s">
        <v>36127</v>
      </c>
      <c r="H5529" s="6" t="s">
        <v>36128</v>
      </c>
      <c r="K5529" s="5" t="s">
        <v>36129</v>
      </c>
      <c r="M5529" s="5" t="s">
        <v>36130</v>
      </c>
      <c r="N5529" s="7" t="s">
        <v>36131</v>
      </c>
      <c r="O5529" s="8" t="str">
        <f>HYPERLINK("https://drive.google.com/file/d/1glejdznkta62cTE2doBh-r_JeqzOS8xY/view?usp=drivesdk","5528_JULIANA SIBARANI _ SERTIFIKAT BerAKHLAK")</f>
        <v>5528_JULIANA SIBARANI _ SERTIFIKAT BerAKHLAK</v>
      </c>
      <c r="P5529" s="5" t="s">
        <v>36132</v>
      </c>
    </row>
    <row r="5530">
      <c r="A5530" s="4">
        <v>45534.36077792824</v>
      </c>
      <c r="B5530" s="5" t="s">
        <v>34</v>
      </c>
      <c r="D5530" s="5" t="s">
        <v>9394</v>
      </c>
      <c r="E5530" s="5" t="s">
        <v>36133</v>
      </c>
      <c r="F5530" s="5" t="s">
        <v>108</v>
      </c>
      <c r="G5530" s="5" t="s">
        <v>36134</v>
      </c>
      <c r="H5530" s="6" t="s">
        <v>36135</v>
      </c>
      <c r="K5530" s="5" t="s">
        <v>36129</v>
      </c>
      <c r="M5530" s="5" t="s">
        <v>36136</v>
      </c>
      <c r="N5530" s="7" t="s">
        <v>36137</v>
      </c>
      <c r="O5530" s="8" t="str">
        <f>HYPERLINK("https://drive.google.com/file/d/1LLFskY-_fSyQRfGh9QKw-ijHY33l7TCN/view?usp=drivesdk","5529_ERNA DELI _ SERTIFIKAT BerAKHLAK")</f>
        <v>5529_ERNA DELI _ SERTIFIKAT BerAKHLAK</v>
      </c>
      <c r="P5530" s="5" t="s">
        <v>36138</v>
      </c>
    </row>
    <row r="5531">
      <c r="A5531" s="4">
        <v>45534.36080545139</v>
      </c>
      <c r="B5531" s="5" t="s">
        <v>34</v>
      </c>
      <c r="D5531" s="5" t="s">
        <v>35</v>
      </c>
      <c r="E5531" s="5" t="s">
        <v>36139</v>
      </c>
      <c r="F5531" s="5" t="s">
        <v>108</v>
      </c>
      <c r="G5531" s="5" t="s">
        <v>36140</v>
      </c>
      <c r="H5531" s="6" t="s">
        <v>36141</v>
      </c>
      <c r="K5531" s="5" t="s">
        <v>36129</v>
      </c>
      <c r="M5531" s="5" t="s">
        <v>36142</v>
      </c>
      <c r="N5531" s="7" t="s">
        <v>36143</v>
      </c>
      <c r="O5531" s="8" t="str">
        <f>HYPERLINK("https://drive.google.com/file/d/1K8C-swHhr9k2DHALh1p4DHYiPqfTsbML/view?usp=drivesdk","5530_IMAS ROSMIATI _ SERTIFIKAT BerAKHLAK")</f>
        <v>5530_IMAS ROSMIATI _ SERTIFIKAT BerAKHLAK</v>
      </c>
      <c r="P5531" s="5" t="s">
        <v>36144</v>
      </c>
    </row>
    <row r="5532">
      <c r="A5532" s="4">
        <v>45534.36082082176</v>
      </c>
      <c r="B5532" s="5" t="s">
        <v>34</v>
      </c>
      <c r="D5532" s="5" t="s">
        <v>1206</v>
      </c>
      <c r="E5532" s="5" t="s">
        <v>36145</v>
      </c>
      <c r="F5532" s="5" t="s">
        <v>212</v>
      </c>
      <c r="G5532" s="5" t="s">
        <v>36146</v>
      </c>
      <c r="H5532" s="6" t="s">
        <v>36147</v>
      </c>
      <c r="K5532" s="5" t="s">
        <v>36129</v>
      </c>
      <c r="M5532" s="5" t="s">
        <v>36148</v>
      </c>
      <c r="N5532" s="7" t="s">
        <v>36149</v>
      </c>
      <c r="O5532" s="8" t="str">
        <f>HYPERLINK("https://drive.google.com/file/d/13ZX2omjNIME_08C_PRjEgecybA55NW3d/view?usp=drivesdk","5531_NUR HASANAH _ SERTIFIKAT BerAKHLAK")</f>
        <v>5531_NUR HASANAH _ SERTIFIKAT BerAKHLAK</v>
      </c>
      <c r="P5532" s="5" t="s">
        <v>36150</v>
      </c>
    </row>
    <row r="5533">
      <c r="A5533" s="4">
        <v>45534.36082618056</v>
      </c>
      <c r="B5533" s="5" t="s">
        <v>34</v>
      </c>
      <c r="D5533" s="5" t="s">
        <v>1206</v>
      </c>
      <c r="E5533" s="5" t="s">
        <v>36151</v>
      </c>
      <c r="F5533" s="5" t="s">
        <v>37</v>
      </c>
      <c r="G5533" s="5" t="s">
        <v>36152</v>
      </c>
      <c r="H5533" s="6" t="s">
        <v>36153</v>
      </c>
      <c r="K5533" s="5" t="s">
        <v>36129</v>
      </c>
      <c r="M5533" s="5" t="s">
        <v>36154</v>
      </c>
      <c r="N5533" s="7" t="s">
        <v>36155</v>
      </c>
      <c r="O5533" s="8" t="str">
        <f>HYPERLINK("https://drive.google.com/file/d/1FKcxObxUPisyO5IhzFvp2GN0YSVgvh0j/view?usp=drivesdk","5532_FARUQ MUDHIRAINI  _ SERTIFIKAT BerAKHLAK")</f>
        <v>5532_FARUQ MUDHIRAINI  _ SERTIFIKAT BerAKHLAK</v>
      </c>
      <c r="P5533" s="5" t="s">
        <v>36156</v>
      </c>
    </row>
    <row r="5534">
      <c r="A5534" s="4">
        <v>45534.36083101852</v>
      </c>
      <c r="B5534" s="5" t="s">
        <v>34</v>
      </c>
      <c r="D5534" s="5" t="s">
        <v>1206</v>
      </c>
      <c r="E5534" s="5" t="s">
        <v>36157</v>
      </c>
      <c r="F5534" s="5" t="s">
        <v>212</v>
      </c>
      <c r="G5534" s="5" t="s">
        <v>36158</v>
      </c>
      <c r="H5534" s="6" t="s">
        <v>36159</v>
      </c>
      <c r="K5534" s="5" t="s">
        <v>36129</v>
      </c>
      <c r="M5534" s="5" t="s">
        <v>36160</v>
      </c>
      <c r="N5534" s="7" t="s">
        <v>36161</v>
      </c>
      <c r="O5534" s="8" t="str">
        <f>HYPERLINK("https://drive.google.com/file/d/1iv1KofNbRPVqwNZbfoInvOSczwPOEeGx/view?usp=drivesdk","5533_BUYAMIN _ SERTIFIKAT BerAKHLAK")</f>
        <v>5533_BUYAMIN _ SERTIFIKAT BerAKHLAK</v>
      </c>
      <c r="P5534" s="5" t="s">
        <v>36162</v>
      </c>
    </row>
    <row r="5535">
      <c r="A5535" s="4">
        <v>45534.36085337963</v>
      </c>
      <c r="B5535" s="5" t="s">
        <v>34</v>
      </c>
      <c r="D5535" s="5" t="s">
        <v>12978</v>
      </c>
      <c r="E5535" s="5" t="s">
        <v>36163</v>
      </c>
      <c r="F5535" s="5" t="s">
        <v>37</v>
      </c>
      <c r="G5535" s="5" t="s">
        <v>36164</v>
      </c>
      <c r="H5535" s="6" t="s">
        <v>36165</v>
      </c>
      <c r="I5535" s="7" t="s">
        <v>36166</v>
      </c>
      <c r="J5535" s="8" t="str">
        <f>HYPERLINK("https://drive.google.com/file/d/1tVFmZwPNe2Q0pE0Mrw-hGBO0QTDpkn0z/view?usp=drivesdk","EVA USMAN  SERTIFIKAT BerAKHLAK")</f>
        <v>EVA USMAN  SERTIFIKAT BerAKHLAK</v>
      </c>
      <c r="K5535" s="5" t="s">
        <v>35335</v>
      </c>
      <c r="L5535" s="5" t="s">
        <v>36167</v>
      </c>
      <c r="M5535" s="5" t="s">
        <v>36168</v>
      </c>
      <c r="N5535" s="7" t="s">
        <v>36169</v>
      </c>
      <c r="O5535" s="8" t="str">
        <f>HYPERLINK("https://drive.google.com/file/d/1FhtTSHsk_4eypTTSPaHNjFuTFKESaoYg/view?usp=drivesdk","5534_EVA USMAN  _ SERTIFIKAT BerAKHLAK")</f>
        <v>5534_EVA USMAN  _ SERTIFIKAT BerAKHLAK</v>
      </c>
      <c r="P5535" s="5" t="s">
        <v>36170</v>
      </c>
    </row>
    <row r="5536">
      <c r="A5536" s="4">
        <v>45534.36085453704</v>
      </c>
      <c r="B5536" s="5" t="s">
        <v>34</v>
      </c>
      <c r="D5536" s="5" t="s">
        <v>6232</v>
      </c>
      <c r="E5536" s="5" t="s">
        <v>36171</v>
      </c>
      <c r="F5536" s="5" t="s">
        <v>108</v>
      </c>
      <c r="G5536" s="5" t="s">
        <v>36172</v>
      </c>
      <c r="H5536" s="6" t="s">
        <v>36173</v>
      </c>
      <c r="I5536" s="7" t="s">
        <v>36174</v>
      </c>
      <c r="J5536" s="8" t="str">
        <f>HYPERLINK("https://drive.google.com/file/d/1RfHT9taEyG1U-VbLz1gozUZKX_rP-St2/view?usp=drivesdk","RENNY INDRAWATI RITONGA SERTIFIKAT BerAKHLAK")</f>
        <v>RENNY INDRAWATI RITONGA SERTIFIKAT BerAKHLAK</v>
      </c>
      <c r="K5536" s="5" t="s">
        <v>35335</v>
      </c>
      <c r="L5536" s="5" t="s">
        <v>36175</v>
      </c>
      <c r="M5536" s="5" t="s">
        <v>36176</v>
      </c>
      <c r="N5536" s="7" t="s">
        <v>36177</v>
      </c>
      <c r="O5536" s="8" t="str">
        <f>HYPERLINK("https://drive.google.com/file/d/1wslFe9OK8OE6NbH2pc_I0YTSgmrf8PpO/view?usp=drivesdk","5535_RENNY INDRAWATI RITONGA _ SERTIFIKAT BerAKHLAK")</f>
        <v>5535_RENNY INDRAWATI RITONGA _ SERTIFIKAT BerAKHLAK</v>
      </c>
      <c r="P5536" s="5" t="s">
        <v>36178</v>
      </c>
    </row>
    <row r="5537">
      <c r="A5537" s="4">
        <v>45534.36086690972</v>
      </c>
      <c r="B5537" s="5" t="s">
        <v>34</v>
      </c>
      <c r="D5537" s="5" t="s">
        <v>1206</v>
      </c>
      <c r="E5537" s="5" t="s">
        <v>36179</v>
      </c>
      <c r="F5537" s="5" t="s">
        <v>328</v>
      </c>
      <c r="G5537" s="5" t="s">
        <v>36180</v>
      </c>
      <c r="H5537" s="6" t="s">
        <v>36181</v>
      </c>
      <c r="I5537" s="7" t="s">
        <v>36182</v>
      </c>
      <c r="J5537" s="8" t="str">
        <f>HYPERLINK("https://drive.google.com/file/d/1LcmxaSuRmDHWew-e4p1BxcDE3TXOoDNG/view?usp=drivesdk","HARDIE SERTIFIKAT BerAKHLAK")</f>
        <v>HARDIE SERTIFIKAT BerAKHLAK</v>
      </c>
      <c r="K5537" s="5" t="s">
        <v>36183</v>
      </c>
      <c r="L5537" s="5" t="s">
        <v>36184</v>
      </c>
      <c r="M5537" s="5" t="s">
        <v>36185</v>
      </c>
      <c r="N5537" s="7" t="s">
        <v>36186</v>
      </c>
      <c r="O5537" s="8" t="str">
        <f>HYPERLINK("https://drive.google.com/file/d/1SFxHKTd-hiEb-Qf3DOTtReavDuj_lj7Z/view?usp=drivesdk","5536_HARDIE _ SERTIFIKAT BerAKHLAK")</f>
        <v>5536_HARDIE _ SERTIFIKAT BerAKHLAK</v>
      </c>
      <c r="P5537" s="5" t="s">
        <v>36187</v>
      </c>
    </row>
    <row r="5538">
      <c r="A5538" s="4">
        <v>45534.36087064815</v>
      </c>
      <c r="B5538" s="5" t="s">
        <v>34</v>
      </c>
      <c r="D5538" s="5" t="s">
        <v>9020</v>
      </c>
      <c r="E5538" s="5" t="s">
        <v>36188</v>
      </c>
      <c r="F5538" s="5" t="s">
        <v>212</v>
      </c>
      <c r="G5538" s="5" t="s">
        <v>36189</v>
      </c>
      <c r="H5538" s="6" t="s">
        <v>36190</v>
      </c>
      <c r="I5538" s="7" t="s">
        <v>36191</v>
      </c>
      <c r="J5538" s="8" t="str">
        <f>HYPERLINK("https://drive.google.com/file/d/1CgxAosg97ZNyzKotLGTsY0t2MaxK9wht/view?usp=drivesdk","HADI SUBOWO SERTIFIKAT BerAKHLAK")</f>
        <v>HADI SUBOWO SERTIFIKAT BerAKHLAK</v>
      </c>
      <c r="K5538" s="5" t="s">
        <v>36183</v>
      </c>
      <c r="L5538" s="5" t="s">
        <v>36192</v>
      </c>
      <c r="M5538" s="5" t="s">
        <v>36193</v>
      </c>
      <c r="N5538" s="7" t="s">
        <v>36194</v>
      </c>
      <c r="O5538" s="8" t="str">
        <f>HYPERLINK("https://drive.google.com/file/d/1Hl16iNcuyQOllBFX47YW366WHU7Nm3kl/view?usp=drivesdk","5537_HADI SUBOWO _ SERTIFIKAT BerAKHLAK")</f>
        <v>5537_HADI SUBOWO _ SERTIFIKAT BerAKHLAK</v>
      </c>
      <c r="P5538" s="5" t="s">
        <v>36195</v>
      </c>
    </row>
    <row r="5539">
      <c r="A5539" s="4">
        <v>45534.36087233796</v>
      </c>
      <c r="B5539" s="5" t="s">
        <v>34</v>
      </c>
      <c r="D5539" s="5" t="s">
        <v>9020</v>
      </c>
      <c r="E5539" s="5" t="s">
        <v>16572</v>
      </c>
      <c r="F5539" s="5" t="s">
        <v>108</v>
      </c>
      <c r="G5539" s="5" t="s">
        <v>36196</v>
      </c>
      <c r="H5539" s="6" t="s">
        <v>36197</v>
      </c>
      <c r="K5539" s="5" t="s">
        <v>36198</v>
      </c>
      <c r="M5539" s="5" t="s">
        <v>36199</v>
      </c>
      <c r="N5539" s="7" t="s">
        <v>36200</v>
      </c>
      <c r="O5539" s="8" t="str">
        <f>HYPERLINK("https://drive.google.com/file/d/1b-cXOtw1e_V8XIcOhkpDt-qqQV51zYoo/view?usp=drivesdk","5538_RAHMAWATI _ SERTIFIKAT BerAKHLAK")</f>
        <v>5538_RAHMAWATI _ SERTIFIKAT BerAKHLAK</v>
      </c>
      <c r="P5539" s="5" t="s">
        <v>36201</v>
      </c>
    </row>
    <row r="5540">
      <c r="A5540" s="4">
        <v>45534.360882824076</v>
      </c>
      <c r="B5540" s="5" t="s">
        <v>34</v>
      </c>
      <c r="D5540" s="5" t="s">
        <v>1206</v>
      </c>
      <c r="E5540" s="5" t="s">
        <v>36202</v>
      </c>
      <c r="F5540" s="5" t="s">
        <v>212</v>
      </c>
      <c r="G5540" s="5" t="s">
        <v>36203</v>
      </c>
      <c r="H5540" s="6" t="s">
        <v>36204</v>
      </c>
      <c r="K5540" s="5" t="s">
        <v>36198</v>
      </c>
      <c r="M5540" s="5" t="s">
        <v>36205</v>
      </c>
      <c r="N5540" s="7" t="s">
        <v>36206</v>
      </c>
      <c r="O5540" s="8" t="str">
        <f>HYPERLINK("https://drive.google.com/file/d/17p6Yu5LRsmIyHGAXUBmw5h7GPDjlUL-n/view?usp=drivesdk","5539_SHERLY SUSANA _ SERTIFIKAT BerAKHLAK")</f>
        <v>5539_SHERLY SUSANA _ SERTIFIKAT BerAKHLAK</v>
      </c>
      <c r="P5540" s="5" t="s">
        <v>36207</v>
      </c>
    </row>
    <row r="5541">
      <c r="A5541" s="4">
        <v>45534.360878101856</v>
      </c>
      <c r="B5541" s="5" t="s">
        <v>34</v>
      </c>
      <c r="D5541" s="5" t="s">
        <v>701</v>
      </c>
      <c r="E5541" s="5" t="s">
        <v>36208</v>
      </c>
      <c r="F5541" s="5" t="s">
        <v>375</v>
      </c>
      <c r="G5541" s="5" t="s">
        <v>36209</v>
      </c>
      <c r="H5541" s="6" t="s">
        <v>36210</v>
      </c>
      <c r="K5541" s="5" t="s">
        <v>36198</v>
      </c>
      <c r="M5541" s="5" t="s">
        <v>36211</v>
      </c>
      <c r="N5541" s="7" t="s">
        <v>36212</v>
      </c>
      <c r="O5541" s="8" t="str">
        <f>HYPERLINK("https://drive.google.com/file/d/1cXPDm_wzRve8U0uycF1HUoLNAmYS63Nr/view?usp=drivesdk","5540_VENOFRIDA _ SERTIFIKAT BerAKHLAK")</f>
        <v>5540_VENOFRIDA _ SERTIFIKAT BerAKHLAK</v>
      </c>
      <c r="P5541" s="5" t="s">
        <v>36213</v>
      </c>
    </row>
    <row r="5542">
      <c r="A5542" s="4">
        <v>45534.360891539356</v>
      </c>
      <c r="B5542" s="5" t="s">
        <v>34</v>
      </c>
      <c r="D5542" s="5" t="s">
        <v>1206</v>
      </c>
      <c r="E5542" s="5" t="s">
        <v>36214</v>
      </c>
      <c r="F5542" s="5" t="s">
        <v>37</v>
      </c>
      <c r="G5542" s="5" t="s">
        <v>36215</v>
      </c>
      <c r="H5542" s="6" t="s">
        <v>36216</v>
      </c>
      <c r="K5542" s="5" t="s">
        <v>36198</v>
      </c>
      <c r="M5542" s="5" t="s">
        <v>36217</v>
      </c>
      <c r="N5542" s="7" t="s">
        <v>36218</v>
      </c>
      <c r="O5542" s="8" t="str">
        <f>HYPERLINK("https://drive.google.com/file/d/1BEPivM9ZWovoclg3kAScNBu90pDuJ3-2/view?usp=drivesdk","5541_SUCI AGUS PRASETYANINGRUM _ SERTIFIKAT BerAKHLAK")</f>
        <v>5541_SUCI AGUS PRASETYANINGRUM _ SERTIFIKAT BerAKHLAK</v>
      </c>
      <c r="P5542" s="5" t="s">
        <v>36219</v>
      </c>
    </row>
    <row r="5543">
      <c r="A5543" s="4">
        <v>45534.36089739583</v>
      </c>
      <c r="B5543" s="5" t="s">
        <v>34</v>
      </c>
      <c r="D5543" s="5" t="s">
        <v>9020</v>
      </c>
      <c r="E5543" s="5" t="s">
        <v>36220</v>
      </c>
      <c r="F5543" s="5" t="s">
        <v>120</v>
      </c>
      <c r="G5543" s="5" t="s">
        <v>36221</v>
      </c>
      <c r="H5543" s="6" t="s">
        <v>36222</v>
      </c>
      <c r="I5543" s="7" t="s">
        <v>36223</v>
      </c>
      <c r="J5543" s="8" t="str">
        <f>HYPERLINK("https://drive.google.com/file/d/1n9kUeyA_UqvWUOEF6IGw9vfc9lBKyLFC/view?usp=drivesdk","SITI MARYAM LUBIS, S.P. SERTIFIKAT BerAKHLAK")</f>
        <v>SITI MARYAM LUBIS, S.P. SERTIFIKAT BerAKHLAK</v>
      </c>
      <c r="K5543" s="5" t="s">
        <v>35335</v>
      </c>
      <c r="L5543" s="5" t="s">
        <v>36224</v>
      </c>
      <c r="M5543" s="5" t="s">
        <v>36225</v>
      </c>
      <c r="N5543" s="7" t="s">
        <v>36226</v>
      </c>
      <c r="O5543" s="8" t="str">
        <f>HYPERLINK("https://drive.google.com/file/d/13oW2sWU77sMl2uQSZMk_SXJnfoF0lxzJ/view?usp=drivesdk","5542_SITI MARYAM LUBIS, S.P. _ SERTIFIKAT BerAKHLAK")</f>
        <v>5542_SITI MARYAM LUBIS, S.P. _ SERTIFIKAT BerAKHLAK</v>
      </c>
      <c r="P5543" s="5" t="s">
        <v>36227</v>
      </c>
    </row>
    <row r="5544">
      <c r="A5544" s="4">
        <v>45534.36091689815</v>
      </c>
      <c r="B5544" s="5" t="s">
        <v>34</v>
      </c>
      <c r="D5544" s="5" t="s">
        <v>280</v>
      </c>
      <c r="E5544" s="5" t="s">
        <v>36228</v>
      </c>
      <c r="F5544" s="5" t="s">
        <v>72</v>
      </c>
      <c r="G5544" s="5" t="s">
        <v>36229</v>
      </c>
      <c r="H5544" s="6" t="s">
        <v>36230</v>
      </c>
      <c r="I5544" s="7" t="s">
        <v>36231</v>
      </c>
      <c r="J5544" s="8" t="str">
        <f>HYPERLINK("https://drive.google.com/file/d/10alkqrV2_zF773ka4aUhdiiuvpKEjlrH/view?usp=drivesdk","ENI YUSDANELI, A.MD SERTIFIKAT BerAKHLAK")</f>
        <v>ENI YUSDANELI, A.MD SERTIFIKAT BerAKHLAK</v>
      </c>
      <c r="K5544" s="5" t="s">
        <v>35335</v>
      </c>
      <c r="L5544" s="5" t="s">
        <v>36232</v>
      </c>
      <c r="M5544" s="5" t="s">
        <v>36233</v>
      </c>
      <c r="N5544" s="7" t="s">
        <v>36234</v>
      </c>
      <c r="O5544" s="8" t="str">
        <f>HYPERLINK("https://drive.google.com/file/d/1bMZ_PEODcE3fUR-6pn0Yb8FJlOZwAQzT/view?usp=drivesdk","5543_ENI YUSDANELI, A.MD _ SERTIFIKAT BerAKHLAK")</f>
        <v>5543_ENI YUSDANELI, A.MD _ SERTIFIKAT BerAKHLAK</v>
      </c>
      <c r="P5544" s="5" t="s">
        <v>36235</v>
      </c>
    </row>
    <row r="5545">
      <c r="A5545" s="4">
        <v>45534.36091815973</v>
      </c>
      <c r="B5545" s="5" t="s">
        <v>34</v>
      </c>
      <c r="D5545" s="5" t="s">
        <v>4775</v>
      </c>
      <c r="E5545" s="5" t="s">
        <v>36236</v>
      </c>
      <c r="F5545" s="5" t="s">
        <v>212</v>
      </c>
      <c r="G5545" s="5" t="s">
        <v>36237</v>
      </c>
      <c r="H5545" s="6" t="s">
        <v>36238</v>
      </c>
      <c r="I5545" s="7" t="s">
        <v>36239</v>
      </c>
      <c r="J5545" s="8" t="str">
        <f>HYPERLINK("https://drive.google.com/file/d/1nr0eqrerw8Gv7VCL21UOU715LSRHuYoD/view?usp=drivesdk","SULMIARTI, A. Md. SERTIFIKAT BerAKHLAK")</f>
        <v>SULMIARTI, A. Md. SERTIFIKAT BerAKHLAK</v>
      </c>
      <c r="K5545" s="5" t="s">
        <v>35335</v>
      </c>
      <c r="L5545" s="5" t="s">
        <v>36240</v>
      </c>
      <c r="M5545" s="5" t="s">
        <v>36241</v>
      </c>
      <c r="N5545" s="7" t="s">
        <v>36242</v>
      </c>
      <c r="O5545" s="8" t="str">
        <f>HYPERLINK("https://drive.google.com/file/d/1N7mdD-86V0GOrLBCfTrVyPeQV6tYiSlo/view?usp=drivesdk","5544_SULMIARTI, A. Md. _ SERTIFIKAT BerAKHLAK")</f>
        <v>5544_SULMIARTI, A. Md. _ SERTIFIKAT BerAKHLAK</v>
      </c>
      <c r="P5545" s="5" t="s">
        <v>36243</v>
      </c>
    </row>
    <row r="5546">
      <c r="A5546" s="4">
        <v>45534.36094126158</v>
      </c>
      <c r="B5546" s="5" t="s">
        <v>34</v>
      </c>
      <c r="D5546" s="5" t="s">
        <v>1206</v>
      </c>
      <c r="E5546" s="5" t="s">
        <v>36244</v>
      </c>
      <c r="F5546" s="5" t="s">
        <v>212</v>
      </c>
      <c r="G5546" s="5" t="s">
        <v>36245</v>
      </c>
      <c r="H5546" s="6" t="s">
        <v>36246</v>
      </c>
      <c r="I5546" s="7" t="s">
        <v>36247</v>
      </c>
      <c r="J5546" s="8" t="str">
        <f>HYPERLINK("https://drive.google.com/file/d/1wxIhvdFTe7QFJIBeUMzG0q38JwNvidmZ/view?usp=drivesdk","LUHUR PRIHANDONO  SERTIFIKAT BerAKHLAK")</f>
        <v>LUHUR PRIHANDONO  SERTIFIKAT BerAKHLAK</v>
      </c>
      <c r="K5546" s="5" t="s">
        <v>35335</v>
      </c>
      <c r="L5546" s="5" t="s">
        <v>36248</v>
      </c>
      <c r="M5546" s="5" t="s">
        <v>36249</v>
      </c>
      <c r="N5546" s="7" t="s">
        <v>36250</v>
      </c>
      <c r="O5546" s="8" t="str">
        <f>HYPERLINK("https://drive.google.com/file/d/1Scbz2LOQZpLrvSxLNxNvyOGMRMcGNkrm/view?usp=drivesdk","5545_LUHUR PRIHANDONO  _ SERTIFIKAT BerAKHLAK")</f>
        <v>5545_LUHUR PRIHANDONO  _ SERTIFIKAT BerAKHLAK</v>
      </c>
      <c r="P5546" s="5" t="s">
        <v>36251</v>
      </c>
    </row>
    <row r="5547">
      <c r="A5547" s="4">
        <v>45534.36094557871</v>
      </c>
      <c r="B5547" s="5" t="s">
        <v>34</v>
      </c>
      <c r="D5547" s="5" t="s">
        <v>1206</v>
      </c>
      <c r="E5547" s="5" t="s">
        <v>36252</v>
      </c>
      <c r="F5547" s="5" t="s">
        <v>212</v>
      </c>
      <c r="G5547" s="5" t="s">
        <v>36253</v>
      </c>
      <c r="H5547" s="6" t="s">
        <v>36254</v>
      </c>
      <c r="I5547" s="7" t="s">
        <v>36255</v>
      </c>
      <c r="J5547" s="8" t="str">
        <f>HYPERLINK("https://drive.google.com/file/d/16ItPh7YMozpxuHcDvmdDba2-T_BEwFzb/view?usp=drivesdk","MUNIEF ARDIANTO SERTIFIKAT BerAKHLAK")</f>
        <v>MUNIEF ARDIANTO SERTIFIKAT BerAKHLAK</v>
      </c>
      <c r="K5547" s="5" t="s">
        <v>35335</v>
      </c>
      <c r="L5547" s="5" t="s">
        <v>36256</v>
      </c>
      <c r="M5547" s="5" t="s">
        <v>36257</v>
      </c>
      <c r="N5547" s="7" t="s">
        <v>36258</v>
      </c>
      <c r="O5547" s="8" t="str">
        <f>HYPERLINK("https://drive.google.com/file/d/1MImT5y0XukiVoP7b43ntx-9xIDdyPzMm/view?usp=drivesdk","5546_MUNIEF ARDIANTO _ SERTIFIKAT BerAKHLAK")</f>
        <v>5546_MUNIEF ARDIANTO _ SERTIFIKAT BerAKHLAK</v>
      </c>
      <c r="P5547" s="5" t="s">
        <v>36259</v>
      </c>
    </row>
    <row r="5548">
      <c r="A5548" s="4">
        <v>45534.36094591435</v>
      </c>
      <c r="B5548" s="5" t="s">
        <v>34</v>
      </c>
      <c r="D5548" s="5" t="s">
        <v>15401</v>
      </c>
      <c r="E5548" s="5" t="s">
        <v>36260</v>
      </c>
      <c r="F5548" s="5" t="s">
        <v>72</v>
      </c>
      <c r="G5548" s="5" t="s">
        <v>36261</v>
      </c>
      <c r="H5548" s="6" t="s">
        <v>36262</v>
      </c>
      <c r="I5548" s="7" t="s">
        <v>36263</v>
      </c>
      <c r="J5548" s="8" t="str">
        <f>HYPERLINK("https://drive.google.com/file/d/1V1XxpN6314Cinu52rX1QcQWReUYowbcD/view?usp=drivesdk","DINA MARIYANTI  SERTIFIKAT BerAKHLAK")</f>
        <v>DINA MARIYANTI  SERTIFIKAT BerAKHLAK</v>
      </c>
      <c r="K5548" s="5" t="s">
        <v>35335</v>
      </c>
      <c r="L5548" s="5" t="s">
        <v>36264</v>
      </c>
      <c r="M5548" s="5" t="s">
        <v>36265</v>
      </c>
      <c r="N5548" s="7" t="s">
        <v>36266</v>
      </c>
      <c r="O5548" s="8" t="str">
        <f>HYPERLINK("https://drive.google.com/file/d/1j6YfZwNV7Wpg7nCMxloTMTVWCVLNm7B9/view?usp=drivesdk","5547_DINA MARIYANTI  _ SERTIFIKAT BerAKHLAK")</f>
        <v>5547_DINA MARIYANTI  _ SERTIFIKAT BerAKHLAK</v>
      </c>
      <c r="P5548" s="5" t="s">
        <v>36267</v>
      </c>
    </row>
    <row r="5549">
      <c r="A5549" s="4">
        <v>45534.36095003472</v>
      </c>
      <c r="B5549" s="5" t="s">
        <v>34</v>
      </c>
      <c r="D5549" s="5" t="s">
        <v>701</v>
      </c>
      <c r="E5549" s="5" t="s">
        <v>36268</v>
      </c>
      <c r="F5549" s="5" t="s">
        <v>524</v>
      </c>
      <c r="G5549" s="5" t="s">
        <v>36269</v>
      </c>
      <c r="H5549" s="6" t="s">
        <v>36270</v>
      </c>
      <c r="I5549" s="7" t="s">
        <v>36271</v>
      </c>
      <c r="J5549" s="8" t="str">
        <f>HYPERLINK("https://drive.google.com/file/d/1YuU_sF3qu0qHYPdjWKYXRqh7YUIHpdvK/view?usp=drivesdk","ROSMALINAR, S. H SERTIFIKAT BerAKHLAK")</f>
        <v>ROSMALINAR, S. H SERTIFIKAT BerAKHLAK</v>
      </c>
      <c r="K5549" s="5" t="s">
        <v>35335</v>
      </c>
      <c r="L5549" s="5" t="s">
        <v>36272</v>
      </c>
      <c r="M5549" s="5" t="s">
        <v>36273</v>
      </c>
      <c r="N5549" s="7" t="s">
        <v>36274</v>
      </c>
      <c r="O5549" s="8" t="str">
        <f>HYPERLINK("https://drive.google.com/file/d/1gPaBskqHGlx55tmwys0fRU2iCuX5VXjM/view?usp=drivesdk","5548_ROSMALINAR, S. H _ SERTIFIKAT BerAKHLAK")</f>
        <v>5548_ROSMALINAR, S. H _ SERTIFIKAT BerAKHLAK</v>
      </c>
      <c r="P5549" s="5" t="s">
        <v>36275</v>
      </c>
    </row>
    <row r="5550" hidden="1">
      <c r="A5550" s="4">
        <v>45534.360976412034</v>
      </c>
      <c r="B5550" s="5" t="s">
        <v>19</v>
      </c>
      <c r="C5550" s="5" t="s">
        <v>20</v>
      </c>
      <c r="E5550" s="5" t="s">
        <v>20970</v>
      </c>
      <c r="F5550" s="5" t="s">
        <v>72</v>
      </c>
      <c r="G5550" s="5" t="s">
        <v>36276</v>
      </c>
      <c r="H5550" s="6" t="s">
        <v>36277</v>
      </c>
      <c r="I5550" s="7" t="s">
        <v>36278</v>
      </c>
      <c r="J5550" s="8" t="str">
        <f>HYPERLINK("https://drive.google.com/file/d/1_Vj9DqnlT51OpjCD9kDIeBSV1f4tCEWH/view?usp=drivesdk","INDRIANI SERTIFIKAT BerAKHLAK")</f>
        <v>INDRIANI SERTIFIKAT BerAKHLAK</v>
      </c>
      <c r="K5550" s="5" t="s">
        <v>35335</v>
      </c>
      <c r="L5550" s="5" t="s">
        <v>36279</v>
      </c>
      <c r="M5550" s="5" t="s">
        <v>36280</v>
      </c>
      <c r="N5550" s="7" t="s">
        <v>36281</v>
      </c>
      <c r="O5550" s="8" t="str">
        <f>HYPERLINK("https://drive.google.com/file/d/1IcBd_1q6GVdgduZ5oACaELkYCn8-zeiO/view?usp=drivesdk","5549_INDRIANI _ SERTIFIKAT BerAKHLAK")</f>
        <v>5549_INDRIANI _ SERTIFIKAT BerAKHLAK</v>
      </c>
      <c r="P5550" s="5" t="s">
        <v>36282</v>
      </c>
    </row>
    <row r="5551">
      <c r="A5551" s="4">
        <v>45534.360993877315</v>
      </c>
      <c r="B5551" s="5" t="s">
        <v>34</v>
      </c>
      <c r="D5551" s="5" t="s">
        <v>1456</v>
      </c>
      <c r="E5551" s="5" t="s">
        <v>36283</v>
      </c>
      <c r="F5551" s="5" t="s">
        <v>524</v>
      </c>
      <c r="G5551" s="5" t="s">
        <v>36284</v>
      </c>
      <c r="H5551" s="6" t="s">
        <v>36285</v>
      </c>
      <c r="I5551" s="7" t="s">
        <v>36286</v>
      </c>
      <c r="J5551" s="8" t="str">
        <f>HYPERLINK("https://drive.google.com/file/d/1nVJvzy-IwQIXpQRQs2U7EcNs762zQfru/view?usp=drivesdk","ANDRI HIDAYAT, S.E. SERTIFIKAT BerAKHLAK")</f>
        <v>ANDRI HIDAYAT, S.E. SERTIFIKAT BerAKHLAK</v>
      </c>
      <c r="K5551" s="5" t="s">
        <v>35335</v>
      </c>
      <c r="L5551" s="5" t="s">
        <v>36287</v>
      </c>
      <c r="M5551" s="5" t="s">
        <v>36288</v>
      </c>
      <c r="N5551" s="7" t="s">
        <v>36289</v>
      </c>
      <c r="O5551" s="8" t="str">
        <f>HYPERLINK("https://drive.google.com/file/d/1iUvqQbjmpvvuo8WLQZGKDzB9ixAPDyZH/view?usp=drivesdk","5550_ANDRI HIDAYAT, S.E. _ SERTIFIKAT BerAKHLAK")</f>
        <v>5550_ANDRI HIDAYAT, S.E. _ SERTIFIKAT BerAKHLAK</v>
      </c>
      <c r="P5551" s="5" t="s">
        <v>36290</v>
      </c>
    </row>
    <row r="5552">
      <c r="A5552" s="4">
        <v>45534.36099434028</v>
      </c>
      <c r="B5552" s="5" t="s">
        <v>34</v>
      </c>
      <c r="D5552" s="5" t="s">
        <v>14313</v>
      </c>
      <c r="E5552" s="5" t="s">
        <v>36291</v>
      </c>
      <c r="F5552" s="5" t="s">
        <v>524</v>
      </c>
      <c r="G5552" s="5" t="s">
        <v>36292</v>
      </c>
      <c r="H5552" s="6" t="s">
        <v>36293</v>
      </c>
      <c r="I5552" s="7" t="s">
        <v>36294</v>
      </c>
      <c r="J5552" s="8" t="str">
        <f>HYPERLINK("https://drive.google.com/file/d/1x39wbIzIZnBWZbvj1tl4CVS6vijzS9n5/view?usp=drivesdk","INDRIATY, S.E.  SERTIFIKAT BerAKHLAK")</f>
        <v>INDRIATY, S.E.  SERTIFIKAT BerAKHLAK</v>
      </c>
      <c r="K5552" s="5" t="s">
        <v>35335</v>
      </c>
      <c r="L5552" s="5" t="s">
        <v>36295</v>
      </c>
      <c r="M5552" s="5" t="s">
        <v>36296</v>
      </c>
      <c r="N5552" s="7" t="s">
        <v>36297</v>
      </c>
      <c r="O5552" s="8" t="str">
        <f>HYPERLINK("https://drive.google.com/file/d/1UxJAUt-Uj8nCJJnRjAthVorOmPymAgM5/view?usp=drivesdk","5551_INDRIATY, S.E.  _ SERTIFIKAT BerAKHLAK")</f>
        <v>5551_INDRIATY, S.E.  _ SERTIFIKAT BerAKHLAK</v>
      </c>
      <c r="P5552" s="5" t="s">
        <v>36298</v>
      </c>
    </row>
    <row r="5553">
      <c r="A5553" s="4">
        <v>45534.360996469906</v>
      </c>
      <c r="B5553" s="5" t="s">
        <v>34</v>
      </c>
      <c r="D5553" s="5" t="s">
        <v>10297</v>
      </c>
      <c r="E5553" s="5" t="s">
        <v>36299</v>
      </c>
      <c r="F5553" s="5" t="s">
        <v>212</v>
      </c>
      <c r="G5553" s="5" t="s">
        <v>36300</v>
      </c>
      <c r="H5553" s="6" t="s">
        <v>36301</v>
      </c>
      <c r="I5553" s="7" t="s">
        <v>36302</v>
      </c>
      <c r="J5553" s="8" t="str">
        <f>HYPERLINK("https://drive.google.com/file/d/1WZjxuUzuReWC9DPvt5UVozqZAiMehHbC/view?usp=drivesdk","MAGDALENA YANTI SERTIFIKAT BerAKHLAK")</f>
        <v>MAGDALENA YANTI SERTIFIKAT BerAKHLAK</v>
      </c>
      <c r="K5553" s="5" t="s">
        <v>35335</v>
      </c>
      <c r="L5553" s="5" t="s">
        <v>36303</v>
      </c>
      <c r="M5553" s="5" t="s">
        <v>36304</v>
      </c>
      <c r="N5553" s="7" t="s">
        <v>36305</v>
      </c>
      <c r="O5553" s="8" t="str">
        <f>HYPERLINK("https://drive.google.com/file/d/1V8CAwCUQBfflNbDuHQqYASHDQfUd_R4K/view?usp=drivesdk","5552_MAGDALENA YANTI _ SERTIFIKAT BerAKHLAK")</f>
        <v>5552_MAGDALENA YANTI _ SERTIFIKAT BerAKHLAK</v>
      </c>
      <c r="P5553" s="5" t="s">
        <v>36306</v>
      </c>
    </row>
    <row r="5554">
      <c r="A5554" s="4">
        <v>45534.36101920139</v>
      </c>
      <c r="B5554" s="5" t="s">
        <v>34</v>
      </c>
      <c r="D5554" s="5" t="s">
        <v>14424</v>
      </c>
      <c r="E5554" s="5" t="s">
        <v>36307</v>
      </c>
      <c r="F5554" s="5" t="s">
        <v>120</v>
      </c>
      <c r="G5554" s="5" t="s">
        <v>36308</v>
      </c>
      <c r="H5554" s="6" t="s">
        <v>36309</v>
      </c>
      <c r="I5554" s="7" t="s">
        <v>36310</v>
      </c>
      <c r="J5554" s="8" t="str">
        <f>HYPERLINK("https://drive.google.com/file/d/178RWIJ2cnegx8du5RjdkQQeQxeAV3OZg/view?usp=drivesdk","MAULITA, S.K.M.,M.Si. SERTIFIKAT BerAKHLAK")</f>
        <v>MAULITA, S.K.M.,M.Si. SERTIFIKAT BerAKHLAK</v>
      </c>
      <c r="K5554" s="5" t="s">
        <v>35335</v>
      </c>
      <c r="L5554" s="5" t="s">
        <v>36311</v>
      </c>
      <c r="M5554" s="5" t="s">
        <v>36312</v>
      </c>
      <c r="N5554" s="7" t="s">
        <v>36313</v>
      </c>
      <c r="O5554" s="8" t="str">
        <f>HYPERLINK("https://drive.google.com/file/d/1TCQQi9j5iSa9jxIk3y_tWwfrHXrgNfQo/view?usp=drivesdk","5553_MAULITA, S.K.M.,M.Si. _ SERTIFIKAT BerAKHLAK")</f>
        <v>5553_MAULITA, S.K.M.,M.Si. _ SERTIFIKAT BerAKHLAK</v>
      </c>
      <c r="P5554" s="5" t="s">
        <v>36314</v>
      </c>
    </row>
    <row r="5555">
      <c r="A5555" s="4">
        <v>45534.361024224534</v>
      </c>
      <c r="B5555" s="5" t="s">
        <v>34</v>
      </c>
      <c r="D5555" s="5" t="s">
        <v>4775</v>
      </c>
      <c r="E5555" s="5" t="s">
        <v>36315</v>
      </c>
      <c r="F5555" s="5" t="s">
        <v>37</v>
      </c>
      <c r="G5555" s="5" t="s">
        <v>36316</v>
      </c>
      <c r="H5555" s="6" t="s">
        <v>36317</v>
      </c>
      <c r="I5555" s="7" t="s">
        <v>36318</v>
      </c>
      <c r="J5555" s="8" t="str">
        <f>HYPERLINK("https://drive.google.com/file/d/17UdHoUcoW_McYyMpMlByV3QtAXFUhTBb/view?usp=drivesdk","ROHANI SERTIFIKAT BerAKHLAK")</f>
        <v>ROHANI SERTIFIKAT BerAKHLAK</v>
      </c>
      <c r="K5555" s="5" t="s">
        <v>35335</v>
      </c>
      <c r="L5555" s="5" t="s">
        <v>36319</v>
      </c>
      <c r="M5555" s="5" t="s">
        <v>36320</v>
      </c>
      <c r="N5555" s="7" t="s">
        <v>36321</v>
      </c>
      <c r="O5555" s="8" t="str">
        <f>HYPERLINK("https://drive.google.com/file/d/173C5yI0vx8M0aCfpncN8A2_QSwf9NrKE/view?usp=drivesdk","5554_ROHANI _ SERTIFIKAT BerAKHLAK")</f>
        <v>5554_ROHANI _ SERTIFIKAT BerAKHLAK</v>
      </c>
      <c r="P5555" s="5" t="s">
        <v>36322</v>
      </c>
    </row>
    <row r="5556">
      <c r="A5556" s="4">
        <v>45534.36103884259</v>
      </c>
      <c r="B5556" s="5" t="s">
        <v>34</v>
      </c>
      <c r="D5556" s="5" t="s">
        <v>1206</v>
      </c>
      <c r="E5556" s="5" t="s">
        <v>36323</v>
      </c>
      <c r="F5556" s="5" t="s">
        <v>524</v>
      </c>
      <c r="G5556" s="5" t="s">
        <v>36324</v>
      </c>
      <c r="H5556" s="6" t="s">
        <v>36325</v>
      </c>
      <c r="I5556" s="7" t="s">
        <v>36326</v>
      </c>
      <c r="J5556" s="8" t="str">
        <f>HYPERLINK("https://drive.google.com/file/d/1prvUbgTqoKQji7TUv9LhpltjkFbV9n7a/view?usp=drivesdk","AGUS PRIBADI SERTIFIKAT BerAKHLAK")</f>
        <v>AGUS PRIBADI SERTIFIKAT BerAKHLAK</v>
      </c>
      <c r="K5556" s="5" t="s">
        <v>35335</v>
      </c>
      <c r="L5556" s="5" t="s">
        <v>36327</v>
      </c>
      <c r="M5556" s="5" t="s">
        <v>36328</v>
      </c>
      <c r="N5556" s="7" t="s">
        <v>36329</v>
      </c>
      <c r="O5556" s="8" t="str">
        <f>HYPERLINK("https://drive.google.com/file/d/1ZM4tZ-B5mHoM_BNZEqa-bZCPLfvno1zS/view?usp=drivesdk","5555_AGUS PRIBADI _ SERTIFIKAT BerAKHLAK")</f>
        <v>5555_AGUS PRIBADI _ SERTIFIKAT BerAKHLAK</v>
      </c>
      <c r="P5556" s="5" t="s">
        <v>36330</v>
      </c>
    </row>
    <row r="5557">
      <c r="A5557" s="4">
        <v>45534.36104447917</v>
      </c>
      <c r="B5557" s="5" t="s">
        <v>34</v>
      </c>
      <c r="D5557" s="5" t="s">
        <v>4775</v>
      </c>
      <c r="E5557" s="5" t="s">
        <v>36331</v>
      </c>
      <c r="F5557" s="5" t="s">
        <v>37</v>
      </c>
      <c r="G5557" s="5" t="s">
        <v>36332</v>
      </c>
      <c r="H5557" s="6" t="s">
        <v>36333</v>
      </c>
      <c r="I5557" s="7" t="s">
        <v>36334</v>
      </c>
      <c r="J5557" s="8" t="str">
        <f>HYPERLINK("https://drive.google.com/file/d/1jTStf-Dqt7zO16fcvM6ToHNElZV-gTie/view?usp=drivesdk","Nurul Eny Kusrini SERTIFIKAT BerAKHLAK")</f>
        <v>Nurul Eny Kusrini SERTIFIKAT BerAKHLAK</v>
      </c>
      <c r="K5557" s="5" t="s">
        <v>35335</v>
      </c>
      <c r="L5557" s="5" t="s">
        <v>36335</v>
      </c>
      <c r="M5557" s="5" t="s">
        <v>36336</v>
      </c>
      <c r="N5557" s="7" t="s">
        <v>36337</v>
      </c>
      <c r="O5557" s="8" t="str">
        <f>HYPERLINK("https://drive.google.com/file/d/131NEeDY979FV6UdQApzaHMrMh0LCmD9X/view?usp=drivesdk","5556_Nurul Eny Kusrini _ SERTIFIKAT BerAKHLAK")</f>
        <v>5556_Nurul Eny Kusrini _ SERTIFIKAT BerAKHLAK</v>
      </c>
      <c r="P5557" s="5" t="s">
        <v>36338</v>
      </c>
    </row>
    <row r="5558">
      <c r="A5558" s="4">
        <v>45534.36105497685</v>
      </c>
      <c r="B5558" s="5" t="s">
        <v>34</v>
      </c>
      <c r="D5558" s="5" t="s">
        <v>1206</v>
      </c>
      <c r="E5558" s="5" t="s">
        <v>36339</v>
      </c>
      <c r="F5558" s="5" t="s">
        <v>199</v>
      </c>
      <c r="G5558" s="5" t="s">
        <v>36340</v>
      </c>
      <c r="H5558" s="6" t="s">
        <v>36341</v>
      </c>
      <c r="I5558" s="7" t="s">
        <v>36342</v>
      </c>
      <c r="J5558" s="8" t="str">
        <f>HYPERLINK("https://drive.google.com/file/d/15mJQSBcI8BfBUB5JPa5rne2-8p1I5hVm/view?usp=drivesdk","YENI OKTAVIYANTI  SERTIFIKAT BerAKHLAK")</f>
        <v>YENI OKTAVIYANTI  SERTIFIKAT BerAKHLAK</v>
      </c>
      <c r="K5558" s="5" t="s">
        <v>35335</v>
      </c>
      <c r="L5558" s="5" t="s">
        <v>36343</v>
      </c>
      <c r="M5558" s="5" t="s">
        <v>36344</v>
      </c>
      <c r="N5558" s="7" t="s">
        <v>36345</v>
      </c>
      <c r="O5558" s="8" t="str">
        <f>HYPERLINK("https://drive.google.com/file/d/1DcVKh_8t8XL_CSyG1QbnpgZQkCMCchIx/view?usp=drivesdk","5557_YENI OKTAVIYANTI  _ SERTIFIKAT BerAKHLAK")</f>
        <v>5557_YENI OKTAVIYANTI  _ SERTIFIKAT BerAKHLAK</v>
      </c>
      <c r="P5558" s="5" t="s">
        <v>36346</v>
      </c>
    </row>
    <row r="5559">
      <c r="A5559" s="4">
        <v>45534.361058599534</v>
      </c>
      <c r="B5559" s="5" t="s">
        <v>34</v>
      </c>
      <c r="D5559" s="5" t="s">
        <v>14424</v>
      </c>
      <c r="E5559" s="5" t="s">
        <v>36347</v>
      </c>
      <c r="F5559" s="5" t="s">
        <v>375</v>
      </c>
      <c r="G5559" s="5" t="s">
        <v>36348</v>
      </c>
      <c r="H5559" s="6" t="s">
        <v>36349</v>
      </c>
      <c r="I5559" s="7" t="s">
        <v>36350</v>
      </c>
      <c r="J5559" s="8" t="str">
        <f>HYPERLINK("https://drive.google.com/file/d/1FUaJh289Vx5BtjXvxrLUnATikYoSDS2Y/view?usp=drivesdk","MAULIDAYANI SERTIFIKAT BerAKHLAK")</f>
        <v>MAULIDAYANI SERTIFIKAT BerAKHLAK</v>
      </c>
      <c r="K5559" s="5" t="s">
        <v>35335</v>
      </c>
      <c r="L5559" s="5" t="s">
        <v>36351</v>
      </c>
      <c r="M5559" s="5" t="s">
        <v>36352</v>
      </c>
      <c r="N5559" s="7" t="s">
        <v>36353</v>
      </c>
      <c r="O5559" s="8" t="str">
        <f>HYPERLINK("https://drive.google.com/file/d/1cILbfew1jjU_-P6iIGPBocgSzl5pTqsx/view?usp=drivesdk","5558_MAULIDAYANI _ SERTIFIKAT BerAKHLAK")</f>
        <v>5558_MAULIDAYANI _ SERTIFIKAT BerAKHLAK</v>
      </c>
      <c r="P5559" s="5" t="s">
        <v>36354</v>
      </c>
    </row>
    <row r="5560">
      <c r="A5560" s="4">
        <v>45534.36106758102</v>
      </c>
      <c r="B5560" s="5" t="s">
        <v>34</v>
      </c>
      <c r="D5560" s="5" t="s">
        <v>14313</v>
      </c>
      <c r="E5560" s="5" t="s">
        <v>36355</v>
      </c>
      <c r="F5560" s="5" t="s">
        <v>212</v>
      </c>
      <c r="G5560" s="5" t="s">
        <v>36356</v>
      </c>
      <c r="H5560" s="6" t="s">
        <v>36357</v>
      </c>
      <c r="I5560" s="7" t="s">
        <v>36358</v>
      </c>
      <c r="J5560" s="8" t="str">
        <f>HYPERLINK("https://drive.google.com/file/d/1B_tkNS7jZLt8BFG2i_vkbMvWaS2LY1Mi/view?usp=drivesdk","AGUS SETIONO SERTIFIKAT BerAKHLAK")</f>
        <v>AGUS SETIONO SERTIFIKAT BerAKHLAK</v>
      </c>
      <c r="K5560" s="5" t="s">
        <v>35335</v>
      </c>
      <c r="L5560" s="5" t="s">
        <v>36359</v>
      </c>
      <c r="M5560" s="5" t="s">
        <v>36360</v>
      </c>
      <c r="N5560" s="7" t="s">
        <v>36361</v>
      </c>
      <c r="O5560" s="8" t="str">
        <f>HYPERLINK("https://drive.google.com/file/d/12p22WlpJtut6QyxEwUrzZC3APKq-Fmid/view?usp=drivesdk","5559_AGUS SETIONO _ SERTIFIKAT BerAKHLAK")</f>
        <v>5559_AGUS SETIONO _ SERTIFIKAT BerAKHLAK</v>
      </c>
      <c r="P5560" s="5" t="s">
        <v>36362</v>
      </c>
    </row>
    <row r="5561">
      <c r="A5561" s="4">
        <v>45534.361073946755</v>
      </c>
      <c r="B5561" s="5" t="s">
        <v>34</v>
      </c>
      <c r="D5561" s="5" t="s">
        <v>14424</v>
      </c>
      <c r="E5561" s="5" t="s">
        <v>36363</v>
      </c>
      <c r="F5561" s="5" t="s">
        <v>108</v>
      </c>
      <c r="G5561" s="5" t="s">
        <v>36364</v>
      </c>
      <c r="H5561" s="6" t="s">
        <v>36365</v>
      </c>
      <c r="I5561" s="7" t="s">
        <v>36366</v>
      </c>
      <c r="J5561" s="8" t="str">
        <f>HYPERLINK("https://drive.google.com/file/d/1BXoCuT7YNxJO3GU20VKK3cr-TB-vh8U9/view?usp=drivesdk","SITI HAZIZAH SERTIFIKAT BerAKHLAK")</f>
        <v>SITI HAZIZAH SERTIFIKAT BerAKHLAK</v>
      </c>
      <c r="K5561" s="5" t="s">
        <v>36183</v>
      </c>
      <c r="L5561" s="5" t="s">
        <v>36367</v>
      </c>
      <c r="M5561" s="5" t="s">
        <v>36368</v>
      </c>
      <c r="N5561" s="7" t="s">
        <v>36369</v>
      </c>
      <c r="O5561" s="8" t="str">
        <f>HYPERLINK("https://drive.google.com/file/d/1J5L8SKoLIySB9bCJ-XozxxKvQaxMgwmA/view?usp=drivesdk","5560_SITI HAZIZAH _ SERTIFIKAT BerAKHLAK")</f>
        <v>5560_SITI HAZIZAH _ SERTIFIKAT BerAKHLAK</v>
      </c>
      <c r="P5561" s="5" t="s">
        <v>36370</v>
      </c>
    </row>
    <row r="5562">
      <c r="A5562" s="4">
        <v>45534.361098113426</v>
      </c>
      <c r="B5562" s="5" t="s">
        <v>34</v>
      </c>
      <c r="D5562" s="5" t="s">
        <v>4775</v>
      </c>
      <c r="E5562" s="5" t="s">
        <v>36371</v>
      </c>
      <c r="F5562" s="5" t="s">
        <v>212</v>
      </c>
      <c r="G5562" s="5" t="s">
        <v>36372</v>
      </c>
      <c r="H5562" s="6" t="s">
        <v>36373</v>
      </c>
      <c r="I5562" s="7" t="s">
        <v>36374</v>
      </c>
      <c r="J5562" s="8" t="str">
        <f>HYPERLINK("https://drive.google.com/file/d/1k8rGoDsmJkYSpNobcLiPk6zDjgFlzPCB/view?usp=drivesdk","WIJI ASTUTI  SERTIFIKAT BerAKHLAK")</f>
        <v>WIJI ASTUTI  SERTIFIKAT BerAKHLAK</v>
      </c>
      <c r="K5562" s="5" t="s">
        <v>35335</v>
      </c>
      <c r="L5562" s="5" t="s">
        <v>36375</v>
      </c>
      <c r="M5562" s="5" t="s">
        <v>36376</v>
      </c>
      <c r="N5562" s="7" t="s">
        <v>36377</v>
      </c>
      <c r="O5562" s="8" t="str">
        <f>HYPERLINK("https://drive.google.com/file/d/1G0Bk6X2YH2d3aTGDepKewMtzYHOZaVZF/view?usp=drivesdk","5561_WIJI ASTUTI  _ SERTIFIKAT BerAKHLAK")</f>
        <v>5561_WIJI ASTUTI  _ SERTIFIKAT BerAKHLAK</v>
      </c>
      <c r="P5562" s="5" t="s">
        <v>36378</v>
      </c>
    </row>
    <row r="5563">
      <c r="A5563" s="4">
        <v>45534.361099131944</v>
      </c>
      <c r="B5563" s="5" t="s">
        <v>34</v>
      </c>
      <c r="D5563" s="5" t="s">
        <v>6232</v>
      </c>
      <c r="E5563" s="5" t="s">
        <v>36379</v>
      </c>
      <c r="F5563" s="5" t="s">
        <v>524</v>
      </c>
      <c r="G5563" s="5" t="s">
        <v>36380</v>
      </c>
      <c r="H5563" s="6" t="s">
        <v>36381</v>
      </c>
      <c r="I5563" s="7" t="s">
        <v>36382</v>
      </c>
      <c r="J5563" s="8" t="str">
        <f>HYPERLINK("https://drive.google.com/file/d/1C8j-61pA5xvE0l6lz7uTbM6jbeCCl_5r/view?usp=drivesdk","ISUS SUSANTI, S.AP SERTIFIKAT BerAKHLAK")</f>
        <v>ISUS SUSANTI, S.AP SERTIFIKAT BerAKHLAK</v>
      </c>
      <c r="K5563" s="5" t="s">
        <v>35335</v>
      </c>
      <c r="L5563" s="5" t="s">
        <v>36383</v>
      </c>
      <c r="M5563" s="5" t="s">
        <v>36384</v>
      </c>
      <c r="N5563" s="7" t="s">
        <v>36385</v>
      </c>
      <c r="O5563" s="8" t="str">
        <f>HYPERLINK("https://drive.google.com/file/d/17PCYDzDDKS8ntBx0LGZTRO6IU3ITIrP5/view?usp=drivesdk","5562_ISUS SUSANTI, S.AP _ SERTIFIKAT BerAKHLAK")</f>
        <v>5562_ISUS SUSANTI, S.AP _ SERTIFIKAT BerAKHLAK</v>
      </c>
      <c r="P5563" s="5" t="s">
        <v>36386</v>
      </c>
    </row>
    <row r="5564">
      <c r="A5564" s="4">
        <v>45534.36110314815</v>
      </c>
      <c r="B5564" s="5" t="s">
        <v>34</v>
      </c>
      <c r="D5564" s="5" t="s">
        <v>4775</v>
      </c>
      <c r="E5564" s="5" t="s">
        <v>36387</v>
      </c>
      <c r="F5564" s="5" t="s">
        <v>22</v>
      </c>
      <c r="G5564" s="5" t="s">
        <v>36388</v>
      </c>
      <c r="H5564" s="6" t="s">
        <v>36389</v>
      </c>
      <c r="I5564" s="7" t="s">
        <v>36390</v>
      </c>
      <c r="J5564" s="8" t="str">
        <f>HYPERLINK("https://drive.google.com/file/d/1jQPtpyrZjlFLNsj-SE52qz_vf9XD8ybn/view?usp=drivesdk","NANI YULIA SERTIFIKAT BerAKHLAK")</f>
        <v>NANI YULIA SERTIFIKAT BerAKHLAK</v>
      </c>
      <c r="K5564" s="5" t="s">
        <v>35335</v>
      </c>
      <c r="L5564" s="5" t="s">
        <v>36391</v>
      </c>
      <c r="M5564" s="5" t="s">
        <v>36392</v>
      </c>
      <c r="N5564" s="7" t="s">
        <v>36393</v>
      </c>
      <c r="O5564" s="8" t="str">
        <f>HYPERLINK("https://drive.google.com/file/d/183HwPJQrCwcoGc4csEjMH9CviyyAQQLG/view?usp=drivesdk","5563_NANI YULIA _ SERTIFIKAT BerAKHLAK")</f>
        <v>5563_NANI YULIA _ SERTIFIKAT BerAKHLAK</v>
      </c>
      <c r="P5564" s="5" t="s">
        <v>36394</v>
      </c>
    </row>
    <row r="5565">
      <c r="A5565" s="4">
        <v>45534.36110976852</v>
      </c>
      <c r="B5565" s="5" t="s">
        <v>34</v>
      </c>
      <c r="D5565" s="5" t="s">
        <v>3849</v>
      </c>
      <c r="E5565" s="5" t="s">
        <v>36395</v>
      </c>
      <c r="F5565" s="5" t="s">
        <v>37</v>
      </c>
      <c r="G5565" s="5" t="s">
        <v>36396</v>
      </c>
      <c r="H5565" s="6" t="s">
        <v>36397</v>
      </c>
      <c r="I5565" s="7" t="s">
        <v>36398</v>
      </c>
      <c r="J5565" s="8" t="str">
        <f>HYPERLINK("https://drive.google.com/file/d/1fH2pQ1ZNabsPne7VJhL2rZiWpCBzdHGb/view?usp=drivesdk","RACHMAT SERTIFIKAT BerAKHLAK")</f>
        <v>RACHMAT SERTIFIKAT BerAKHLAK</v>
      </c>
      <c r="K5565" s="5" t="s">
        <v>35335</v>
      </c>
      <c r="L5565" s="5" t="s">
        <v>36399</v>
      </c>
      <c r="M5565" s="5" t="s">
        <v>36400</v>
      </c>
      <c r="N5565" s="7" t="s">
        <v>36401</v>
      </c>
      <c r="O5565" s="8" t="str">
        <f>HYPERLINK("https://drive.google.com/file/d/1M2ts_AhGM_ue19gDUi7T4wXk1n1fROyF/view?usp=drivesdk","5564_RACHMAT _ SERTIFIKAT BerAKHLAK")</f>
        <v>5564_RACHMAT _ SERTIFIKAT BerAKHLAK</v>
      </c>
      <c r="P5565" s="5" t="s">
        <v>36402</v>
      </c>
    </row>
    <row r="5566">
      <c r="A5566" s="4">
        <v>45534.36111616898</v>
      </c>
      <c r="B5566" s="5" t="s">
        <v>34</v>
      </c>
      <c r="D5566" s="5" t="s">
        <v>280</v>
      </c>
      <c r="E5566" s="5" t="s">
        <v>36403</v>
      </c>
      <c r="F5566" s="5" t="s">
        <v>72</v>
      </c>
      <c r="G5566" s="5" t="s">
        <v>36404</v>
      </c>
      <c r="H5566" s="6" t="s">
        <v>36405</v>
      </c>
      <c r="I5566" s="7" t="s">
        <v>36406</v>
      </c>
      <c r="J5566" s="8" t="str">
        <f>HYPERLINK("https://drive.google.com/file/d/187wAO2mbph87wsl99mImyL8Wol96LBsQ/view?usp=drivesdk","MUHAMMAD ALWI, A. Md SERTIFIKAT BerAKHLAK")</f>
        <v>MUHAMMAD ALWI, A. Md SERTIFIKAT BerAKHLAK</v>
      </c>
      <c r="K5566" s="5" t="s">
        <v>35335</v>
      </c>
      <c r="L5566" s="5" t="s">
        <v>36407</v>
      </c>
      <c r="M5566" s="5" t="s">
        <v>36408</v>
      </c>
      <c r="N5566" s="7" t="s">
        <v>36409</v>
      </c>
      <c r="O5566" s="8" t="str">
        <f>HYPERLINK("https://drive.google.com/file/d/1WASDzFvIIV57N2Jyp4mOciwAK7xWzeMG/view?usp=drivesdk","5565_MUHAMMAD ALWI, A. Md _ SERTIFIKAT BerAKHLAK")</f>
        <v>5565_MUHAMMAD ALWI, A. Md _ SERTIFIKAT BerAKHLAK</v>
      </c>
      <c r="P5566" s="5" t="s">
        <v>36410</v>
      </c>
    </row>
    <row r="5567">
      <c r="A5567" s="4">
        <v>45534.36112702546</v>
      </c>
      <c r="B5567" s="5" t="s">
        <v>34</v>
      </c>
      <c r="D5567" s="5" t="s">
        <v>4775</v>
      </c>
      <c r="E5567" s="5" t="s">
        <v>36411</v>
      </c>
      <c r="F5567" s="5" t="s">
        <v>72</v>
      </c>
      <c r="G5567" s="5" t="s">
        <v>36412</v>
      </c>
      <c r="H5567" s="6" t="s">
        <v>36413</v>
      </c>
      <c r="I5567" s="7" t="s">
        <v>36414</v>
      </c>
      <c r="J5567" s="8" t="str">
        <f>HYPERLINK("https://drive.google.com/file/d/1iVlEQHXzRRCuLal0Szm1emEc9ZN4_Ky3/view?usp=drivesdk","NANI SUHARNI SERTIFIKAT BerAKHLAK")</f>
        <v>NANI SUHARNI SERTIFIKAT BerAKHLAK</v>
      </c>
      <c r="K5567" s="5" t="s">
        <v>36183</v>
      </c>
      <c r="L5567" s="5" t="s">
        <v>36415</v>
      </c>
      <c r="M5567" s="5" t="s">
        <v>36416</v>
      </c>
      <c r="N5567" s="7" t="s">
        <v>36417</v>
      </c>
      <c r="O5567" s="8" t="str">
        <f>HYPERLINK("https://drive.google.com/file/d/16HRCdJHtGE8shQXr2k1GBWNOVKEH1g5l/view?usp=drivesdk","5566_NANI SUHARNI _ SERTIFIKAT BerAKHLAK")</f>
        <v>5566_NANI SUHARNI _ SERTIFIKAT BerAKHLAK</v>
      </c>
      <c r="P5567" s="5" t="s">
        <v>36418</v>
      </c>
    </row>
    <row r="5568">
      <c r="A5568" s="4">
        <v>45534.36113579861</v>
      </c>
      <c r="B5568" s="5" t="s">
        <v>34</v>
      </c>
      <c r="D5568" s="5" t="s">
        <v>1206</v>
      </c>
      <c r="E5568" s="5" t="s">
        <v>36419</v>
      </c>
      <c r="F5568" s="5" t="s">
        <v>375</v>
      </c>
      <c r="G5568" s="5" t="s">
        <v>36420</v>
      </c>
      <c r="H5568" s="6" t="s">
        <v>36421</v>
      </c>
      <c r="I5568" s="7" t="s">
        <v>36422</v>
      </c>
      <c r="J5568" s="8" t="str">
        <f>HYPERLINK("https://drive.google.com/file/d/1hvWSzXjyAUDpv6B_ftrXj2drYCn5V4T3/view?usp=drivesdk","NURHAYATI  SERTIFIKAT BerAKHLAK")</f>
        <v>NURHAYATI  SERTIFIKAT BerAKHLAK</v>
      </c>
      <c r="K5568" s="5" t="s">
        <v>36183</v>
      </c>
      <c r="L5568" s="5" t="s">
        <v>36423</v>
      </c>
      <c r="M5568" s="5" t="s">
        <v>36424</v>
      </c>
      <c r="N5568" s="7" t="s">
        <v>36425</v>
      </c>
      <c r="O5568" s="8" t="str">
        <f>HYPERLINK("https://drive.google.com/file/d/1oWzkpYACayT8kIzv1YyXSrbY9G6bSfg4/view?usp=drivesdk","5567_NURHAYATI  _ SERTIFIKAT BerAKHLAK")</f>
        <v>5567_NURHAYATI  _ SERTIFIKAT BerAKHLAK</v>
      </c>
      <c r="P5568" s="5" t="s">
        <v>36426</v>
      </c>
    </row>
    <row r="5569">
      <c r="A5569" s="4">
        <v>45534.36115409722</v>
      </c>
      <c r="B5569" s="5" t="s">
        <v>34</v>
      </c>
      <c r="D5569" s="5" t="s">
        <v>1206</v>
      </c>
      <c r="E5569" s="5" t="s">
        <v>36427</v>
      </c>
      <c r="F5569" s="5" t="s">
        <v>212</v>
      </c>
      <c r="G5569" s="5" t="s">
        <v>36428</v>
      </c>
      <c r="H5569" s="6" t="s">
        <v>36429</v>
      </c>
      <c r="I5569" s="7" t="s">
        <v>36430</v>
      </c>
      <c r="J5569" s="8" t="str">
        <f>HYPERLINK("https://drive.google.com/file/d/12tRTeE0AgxXzuCdrzQTuJTS2izeklWwq/view?usp=drivesdk","NUR QOIRI, S.IP. SERTIFIKAT BerAKHLAK")</f>
        <v>NUR QOIRI, S.IP. SERTIFIKAT BerAKHLAK</v>
      </c>
      <c r="K5569" s="5" t="s">
        <v>35335</v>
      </c>
      <c r="L5569" s="5" t="s">
        <v>36431</v>
      </c>
      <c r="M5569" s="5" t="s">
        <v>36432</v>
      </c>
      <c r="N5569" s="7" t="s">
        <v>36433</v>
      </c>
      <c r="O5569" s="8" t="str">
        <f>HYPERLINK("https://drive.google.com/file/d/1k6tKEkzUmRnuEarBngj1W8lQDhYqJwOx/view?usp=drivesdk","5568_NUR QOIRI, S.IP. _ SERTIFIKAT BerAKHLAK")</f>
        <v>5568_NUR QOIRI, S.IP. _ SERTIFIKAT BerAKHLAK</v>
      </c>
      <c r="P5569" s="5" t="s">
        <v>36434</v>
      </c>
    </row>
    <row r="5570">
      <c r="A5570" s="4">
        <v>45534.36115636574</v>
      </c>
      <c r="B5570" s="5" t="s">
        <v>34</v>
      </c>
      <c r="D5570" s="5" t="s">
        <v>522</v>
      </c>
      <c r="E5570" s="5" t="s">
        <v>36435</v>
      </c>
      <c r="F5570" s="5" t="s">
        <v>375</v>
      </c>
      <c r="G5570" s="5" t="s">
        <v>36436</v>
      </c>
      <c r="H5570" s="6" t="s">
        <v>36437</v>
      </c>
      <c r="I5570" s="7" t="s">
        <v>36438</v>
      </c>
      <c r="J5570" s="8" t="str">
        <f>HYPERLINK("https://drive.google.com/file/d/1dgEpWD6tAzxtdGd5Y0iTAmw9lGfObOz_/view?usp=drivesdk","SAIFUL RAHMAN, SE SERTIFIKAT BerAKHLAK")</f>
        <v>SAIFUL RAHMAN, SE SERTIFIKAT BerAKHLAK</v>
      </c>
      <c r="K5570" s="5" t="s">
        <v>35335</v>
      </c>
      <c r="L5570" s="5" t="s">
        <v>36439</v>
      </c>
      <c r="M5570" s="5" t="s">
        <v>36440</v>
      </c>
      <c r="N5570" s="7" t="s">
        <v>36441</v>
      </c>
      <c r="O5570" s="8" t="str">
        <f>HYPERLINK("https://drive.google.com/file/d/1fBkHgLldY5XOXasKqfK6fVghggiEy1gd/view?usp=drivesdk","5569_SAIFUL RAHMAN, SE _ SERTIFIKAT BerAKHLAK")</f>
        <v>5569_SAIFUL RAHMAN, SE _ SERTIFIKAT BerAKHLAK</v>
      </c>
      <c r="P5570" s="5" t="s">
        <v>36442</v>
      </c>
    </row>
    <row r="5571">
      <c r="A5571" s="4">
        <v>45534.36115950231</v>
      </c>
      <c r="B5571" s="5" t="s">
        <v>34</v>
      </c>
      <c r="D5571" s="5" t="s">
        <v>12978</v>
      </c>
      <c r="E5571" s="5" t="s">
        <v>36443</v>
      </c>
      <c r="F5571" s="5" t="s">
        <v>72</v>
      </c>
      <c r="G5571" s="5" t="s">
        <v>36444</v>
      </c>
      <c r="H5571" s="6" t="s">
        <v>36445</v>
      </c>
      <c r="I5571" s="7" t="s">
        <v>36446</v>
      </c>
      <c r="J5571" s="8" t="str">
        <f>HYPERLINK("https://drive.google.com/file/d/1tgqyDkn-2wIF3NVFp07S39XjEICs5S2C/view?usp=drivesdk","RENNY ROSALINA, AMKp SERTIFIKAT BerAKHLAK")</f>
        <v>RENNY ROSALINA, AMKp SERTIFIKAT BerAKHLAK</v>
      </c>
      <c r="K5571" s="5" t="s">
        <v>35335</v>
      </c>
      <c r="L5571" s="5" t="s">
        <v>36447</v>
      </c>
      <c r="M5571" s="5" t="s">
        <v>36448</v>
      </c>
      <c r="N5571" s="7" t="s">
        <v>36449</v>
      </c>
      <c r="O5571" s="8" t="str">
        <f>HYPERLINK("https://drive.google.com/file/d/1NxMqUtft145bvJYVx5wFlHek1Q6UBxOc/view?usp=drivesdk","5570_RENNY ROSALINA, AMKp _ SERTIFIKAT BerAKHLAK")</f>
        <v>5570_RENNY ROSALINA, AMKp _ SERTIFIKAT BerAKHLAK</v>
      </c>
      <c r="P5571" s="5" t="s">
        <v>36450</v>
      </c>
    </row>
    <row r="5572">
      <c r="A5572" s="4">
        <v>45534.36116446759</v>
      </c>
      <c r="B5572" s="5" t="s">
        <v>34</v>
      </c>
      <c r="D5572" s="5" t="s">
        <v>14424</v>
      </c>
      <c r="E5572" s="5" t="s">
        <v>19366</v>
      </c>
      <c r="F5572" s="5" t="s">
        <v>212</v>
      </c>
      <c r="G5572" s="5" t="s">
        <v>36451</v>
      </c>
      <c r="H5572" s="6" t="s">
        <v>36452</v>
      </c>
      <c r="I5572" s="7" t="s">
        <v>36453</v>
      </c>
      <c r="J5572" s="8" t="str">
        <f>HYPERLINK("https://drive.google.com/file/d/1g3j54965mTK4gUEXue57MFFOuznBPDnJ/view?usp=drivesdk","RATNA JUWITA SERTIFIKAT BerAKHLAK")</f>
        <v>RATNA JUWITA SERTIFIKAT BerAKHLAK</v>
      </c>
      <c r="K5572" s="5" t="s">
        <v>36183</v>
      </c>
      <c r="L5572" s="5" t="s">
        <v>36454</v>
      </c>
      <c r="M5572" s="5" t="s">
        <v>36455</v>
      </c>
      <c r="N5572" s="7" t="s">
        <v>36456</v>
      </c>
      <c r="O5572" s="8" t="str">
        <f>HYPERLINK("https://drive.google.com/file/d/1XGVKgjZweWrjRSNDvA_nEwJXLhQzD9rC/view?usp=drivesdk","5571_RATNA JUWITA _ SERTIFIKAT BerAKHLAK")</f>
        <v>5571_RATNA JUWITA _ SERTIFIKAT BerAKHLAK</v>
      </c>
      <c r="P5572" s="5" t="s">
        <v>36457</v>
      </c>
    </row>
    <row r="5573" hidden="1">
      <c r="A5573" s="4">
        <v>45534.361181678236</v>
      </c>
      <c r="B5573" s="5" t="s">
        <v>19</v>
      </c>
      <c r="C5573" s="5" t="s">
        <v>442</v>
      </c>
      <c r="E5573" s="5" t="s">
        <v>36458</v>
      </c>
      <c r="F5573" s="5" t="s">
        <v>120</v>
      </c>
      <c r="G5573" s="5" t="s">
        <v>36459</v>
      </c>
      <c r="H5573" s="6" t="s">
        <v>36460</v>
      </c>
      <c r="I5573" s="7" t="s">
        <v>36461</v>
      </c>
      <c r="J5573" s="8" t="str">
        <f>HYPERLINK("https://drive.google.com/file/d/1x5n1QekyiaRlmmUPGTqXtBA--jhSFM8l/view?usp=drivesdk","IBNU AROJAK, S.KOM., M.AP. SERTIFIKAT BerAKHLAK")</f>
        <v>IBNU AROJAK, S.KOM., M.AP. SERTIFIKAT BerAKHLAK</v>
      </c>
      <c r="K5573" s="5" t="s">
        <v>36183</v>
      </c>
      <c r="L5573" s="5" t="s">
        <v>36462</v>
      </c>
      <c r="M5573" s="5" t="s">
        <v>36463</v>
      </c>
      <c r="N5573" s="7" t="s">
        <v>36464</v>
      </c>
      <c r="O5573" s="8" t="str">
        <f>HYPERLINK("https://drive.google.com/file/d/1vykKDgmP9L1EY_Yq-v1UrHJK4dRce8Bn/view?usp=drivesdk","5572_IBNU AROJAK, S.KOM., M.AP. _ SERTIFIKAT BerAKHLAK")</f>
        <v>5572_IBNU AROJAK, S.KOM., M.AP. _ SERTIFIKAT BerAKHLAK</v>
      </c>
      <c r="P5573" s="5" t="s">
        <v>36465</v>
      </c>
    </row>
    <row r="5574">
      <c r="A5574" s="4">
        <v>45534.36118209491</v>
      </c>
      <c r="B5574" s="5" t="s">
        <v>34</v>
      </c>
      <c r="D5574" s="5" t="s">
        <v>14424</v>
      </c>
      <c r="E5574" s="5" t="s">
        <v>36466</v>
      </c>
      <c r="F5574" s="5" t="s">
        <v>375</v>
      </c>
      <c r="G5574" s="5" t="s">
        <v>36467</v>
      </c>
      <c r="H5574" s="6" t="s">
        <v>36468</v>
      </c>
      <c r="I5574" s="7" t="s">
        <v>36469</v>
      </c>
      <c r="J5574" s="8" t="str">
        <f>HYPERLINK("https://drive.google.com/file/d/1Ys89XJXCKnlWRKipHmZWozw8_UWOftm-/view?usp=drivesdk","HASTUTI.S.Farm SERTIFIKAT BerAKHLAK")</f>
        <v>HASTUTI.S.Farm SERTIFIKAT BerAKHLAK</v>
      </c>
      <c r="K5574" s="5" t="s">
        <v>36183</v>
      </c>
      <c r="L5574" s="5" t="s">
        <v>36470</v>
      </c>
      <c r="M5574" s="5" t="s">
        <v>36471</v>
      </c>
      <c r="N5574" s="7" t="s">
        <v>36472</v>
      </c>
      <c r="O5574" s="8" t="str">
        <f>HYPERLINK("https://drive.google.com/file/d/1YFa3YNNsOV8grsi67TdH3K_YR0PRAozz/view?usp=drivesdk","5573_HASTUTI.S.Farm _ SERTIFIKAT BerAKHLAK")</f>
        <v>5573_HASTUTI.S.Farm _ SERTIFIKAT BerAKHLAK</v>
      </c>
      <c r="P5574" s="5" t="s">
        <v>36473</v>
      </c>
    </row>
    <row r="5575">
      <c r="A5575" s="4">
        <v>45534.36119960649</v>
      </c>
      <c r="B5575" s="5" t="s">
        <v>34</v>
      </c>
      <c r="D5575" s="5" t="s">
        <v>1206</v>
      </c>
      <c r="E5575" s="5" t="s">
        <v>36474</v>
      </c>
      <c r="F5575" s="5" t="s">
        <v>212</v>
      </c>
      <c r="G5575" s="5" t="s">
        <v>36475</v>
      </c>
      <c r="H5575" s="6" t="s">
        <v>36476</v>
      </c>
      <c r="K5575" s="5" t="s">
        <v>36477</v>
      </c>
      <c r="M5575" s="5" t="s">
        <v>36478</v>
      </c>
      <c r="N5575" s="7" t="s">
        <v>36479</v>
      </c>
      <c r="O5575" s="8" t="str">
        <f>HYPERLINK("https://drive.google.com/file/d/1ZNgpdtJdEhNz5ZQ23ZzJsegGEWn86toC/view?usp=drivesdk","5574_ZULAIHAH  _ SERTIFIKAT BerAKHLAK")</f>
        <v>5574_ZULAIHAH  _ SERTIFIKAT BerAKHLAK</v>
      </c>
      <c r="P5575" s="5" t="s">
        <v>36480</v>
      </c>
    </row>
    <row r="5576">
      <c r="A5576" s="4">
        <v>45534.361201238426</v>
      </c>
      <c r="B5576" s="5" t="s">
        <v>34</v>
      </c>
      <c r="D5576" s="5" t="s">
        <v>580</v>
      </c>
      <c r="E5576" s="5" t="s">
        <v>36481</v>
      </c>
      <c r="F5576" s="5" t="s">
        <v>375</v>
      </c>
      <c r="G5576" s="5" t="s">
        <v>36482</v>
      </c>
      <c r="H5576" s="6" t="s">
        <v>36483</v>
      </c>
      <c r="K5576" s="5" t="s">
        <v>36477</v>
      </c>
      <c r="M5576" s="5" t="s">
        <v>36484</v>
      </c>
      <c r="N5576" s="7" t="s">
        <v>36485</v>
      </c>
      <c r="O5576" s="8" t="str">
        <f>HYPERLINK("https://drive.google.com/file/d/14ChI1ksChlRatmac7ct1l-I0Sl776P3M/view?usp=drivesdk","5575_GUSTI AYU PUTU ERNAWATI, S.E. _ SERTIFIKAT BerAKHLAK")</f>
        <v>5575_GUSTI AYU PUTU ERNAWATI, S.E. _ SERTIFIKAT BerAKHLAK</v>
      </c>
      <c r="P5576" s="5" t="s">
        <v>36486</v>
      </c>
    </row>
    <row r="5577">
      <c r="A5577" s="4">
        <v>45534.361208807866</v>
      </c>
      <c r="B5577" s="5" t="s">
        <v>34</v>
      </c>
      <c r="D5577" s="5" t="s">
        <v>15401</v>
      </c>
      <c r="E5577" s="5" t="s">
        <v>36487</v>
      </c>
      <c r="F5577" s="5" t="s">
        <v>108</v>
      </c>
      <c r="G5577" s="5" t="s">
        <v>36488</v>
      </c>
      <c r="H5577" s="6" t="s">
        <v>36489</v>
      </c>
      <c r="K5577" s="5" t="s">
        <v>36477</v>
      </c>
      <c r="M5577" s="5" t="s">
        <v>36490</v>
      </c>
      <c r="N5577" s="7" t="s">
        <v>36491</v>
      </c>
      <c r="O5577" s="8" t="str">
        <f>HYPERLINK("https://drive.google.com/file/d/1Q_wBSIZo16GBO0NjNhr-FfOq34cDYIvZ/view?usp=drivesdk","5576_Syamsuriyani. A, Md, Kep _ SERTIFIKAT BerAKHLAK")</f>
        <v>5576_Syamsuriyani. A, Md, Kep _ SERTIFIKAT BerAKHLAK</v>
      </c>
      <c r="P5577" s="5" t="s">
        <v>36492</v>
      </c>
    </row>
    <row r="5578">
      <c r="A5578" s="4">
        <v>45534.361217812504</v>
      </c>
      <c r="B5578" s="5" t="s">
        <v>34</v>
      </c>
      <c r="D5578" s="5" t="s">
        <v>3432</v>
      </c>
      <c r="E5578" s="5" t="s">
        <v>36493</v>
      </c>
      <c r="F5578" s="5" t="s">
        <v>524</v>
      </c>
      <c r="G5578" s="5" t="s">
        <v>36494</v>
      </c>
      <c r="H5578" s="6" t="s">
        <v>36495</v>
      </c>
      <c r="K5578" s="5" t="s">
        <v>36477</v>
      </c>
      <c r="M5578" s="5" t="s">
        <v>36496</v>
      </c>
      <c r="N5578" s="7" t="s">
        <v>36497</v>
      </c>
      <c r="O5578" s="8" t="str">
        <f>HYPERLINK("https://drive.google.com/file/d/1wkUBqZAdrjxdDC3W6bztzh4xqnbpBJz4/view?usp=drivesdk","5577_NUR SUMARDI _ SERTIFIKAT BerAKHLAK")</f>
        <v>5577_NUR SUMARDI _ SERTIFIKAT BerAKHLAK</v>
      </c>
      <c r="P5578" s="5" t="s">
        <v>36498</v>
      </c>
    </row>
    <row r="5579">
      <c r="A5579" s="4">
        <v>45534.36124324074</v>
      </c>
      <c r="B5579" s="5" t="s">
        <v>34</v>
      </c>
      <c r="D5579" s="5" t="s">
        <v>12978</v>
      </c>
      <c r="E5579" s="5" t="s">
        <v>36499</v>
      </c>
      <c r="F5579" s="5" t="s">
        <v>212</v>
      </c>
      <c r="G5579" s="5" t="s">
        <v>36500</v>
      </c>
      <c r="H5579" s="6" t="s">
        <v>36501</v>
      </c>
      <c r="K5579" s="5" t="s">
        <v>36477</v>
      </c>
      <c r="M5579" s="5" t="s">
        <v>36502</v>
      </c>
      <c r="N5579" s="7" t="s">
        <v>36503</v>
      </c>
      <c r="O5579" s="8" t="str">
        <f>HYPERLINK("https://drive.google.com/file/d/1k3cSVrW2AKepWRkH70gSCFO-Ao-WJzaM/view?usp=drivesdk","5578_AMININ _ SERTIFIKAT BerAKHLAK")</f>
        <v>5578_AMININ _ SERTIFIKAT BerAKHLAK</v>
      </c>
      <c r="P5579" s="5" t="s">
        <v>36504</v>
      </c>
    </row>
    <row r="5580">
      <c r="A5580" s="4">
        <v>45534.36124425926</v>
      </c>
      <c r="B5580" s="5" t="s">
        <v>34</v>
      </c>
      <c r="D5580" s="5" t="s">
        <v>4775</v>
      </c>
      <c r="E5580" s="5" t="s">
        <v>36505</v>
      </c>
      <c r="F5580" s="5" t="s">
        <v>212</v>
      </c>
      <c r="G5580" s="5" t="s">
        <v>36506</v>
      </c>
      <c r="H5580" s="6" t="s">
        <v>36507</v>
      </c>
      <c r="K5580" s="5" t="s">
        <v>36477</v>
      </c>
      <c r="M5580" s="5" t="s">
        <v>36508</v>
      </c>
      <c r="N5580" s="7" t="s">
        <v>36509</v>
      </c>
      <c r="O5580" s="8" t="str">
        <f>HYPERLINK("https://drive.google.com/file/d/1KOh7lUa5ZroDaXFn8vsyoAQCmPHg8icr/view?usp=drivesdk","5579_EFENDI WAHYU WIJAYA _ SERTIFIKAT BerAKHLAK")</f>
        <v>5579_EFENDI WAHYU WIJAYA _ SERTIFIKAT BerAKHLAK</v>
      </c>
      <c r="P5580" s="5" t="s">
        <v>36510</v>
      </c>
    </row>
    <row r="5581">
      <c r="A5581" s="4">
        <v>45534.36124903936</v>
      </c>
      <c r="B5581" s="5" t="s">
        <v>34</v>
      </c>
      <c r="D5581" s="5" t="s">
        <v>14424</v>
      </c>
      <c r="E5581" s="5" t="s">
        <v>36511</v>
      </c>
      <c r="F5581" s="5" t="s">
        <v>375</v>
      </c>
      <c r="G5581" s="5" t="s">
        <v>36512</v>
      </c>
      <c r="H5581" s="6" t="s">
        <v>36513</v>
      </c>
      <c r="K5581" s="5" t="s">
        <v>36477</v>
      </c>
      <c r="M5581" s="5" t="s">
        <v>36514</v>
      </c>
      <c r="N5581" s="7" t="s">
        <v>36515</v>
      </c>
      <c r="O5581" s="8" t="str">
        <f>HYPERLINK("https://drive.google.com/file/d/1O1rRfeA0-dTqHgmaSmFXnDO7BWYoX0xV/view?usp=drivesdk","5580_ROSSY YULIANA _ SERTIFIKAT BerAKHLAK")</f>
        <v>5580_ROSSY YULIANA _ SERTIFIKAT BerAKHLAK</v>
      </c>
      <c r="P5581" s="5" t="s">
        <v>36516</v>
      </c>
    </row>
    <row r="5582">
      <c r="A5582" s="4">
        <v>45534.36126988426</v>
      </c>
      <c r="B5582" s="5" t="s">
        <v>34</v>
      </c>
      <c r="D5582" s="5" t="s">
        <v>9020</v>
      </c>
      <c r="E5582" s="5" t="s">
        <v>36517</v>
      </c>
      <c r="F5582" s="5" t="s">
        <v>37</v>
      </c>
      <c r="G5582" s="5" t="s">
        <v>36518</v>
      </c>
      <c r="H5582" s="6" t="s">
        <v>36519</v>
      </c>
      <c r="I5582" s="7" t="s">
        <v>36520</v>
      </c>
      <c r="J5582" s="8" t="str">
        <f>HYPERLINK("https://drive.google.com/file/d/1KQHpxVi3IBKiw4sHBBTjD1nmlPUTLL-g/view?usp=drivesdk","SRI AGUSTINA SERTIFIKAT BerAKHLAK")</f>
        <v>SRI AGUSTINA SERTIFIKAT BerAKHLAK</v>
      </c>
      <c r="K5582" s="5" t="s">
        <v>35335</v>
      </c>
      <c r="L5582" s="5" t="s">
        <v>36521</v>
      </c>
      <c r="M5582" s="5" t="s">
        <v>36522</v>
      </c>
      <c r="N5582" s="7" t="s">
        <v>36523</v>
      </c>
      <c r="O5582" s="8" t="str">
        <f>HYPERLINK("https://drive.google.com/file/d/1kW2wg2TIs8uC0pz3Yt5gmEkybdAbR-gB/view?usp=drivesdk","5581_SRI AGUSTINA _ SERTIFIKAT BerAKHLAK")</f>
        <v>5581_SRI AGUSTINA _ SERTIFIKAT BerAKHLAK</v>
      </c>
      <c r="P5582" s="5" t="s">
        <v>36524</v>
      </c>
    </row>
    <row r="5583">
      <c r="A5583" s="4">
        <v>45534.36127944445</v>
      </c>
      <c r="B5583" s="5" t="s">
        <v>34</v>
      </c>
      <c r="D5583" s="5" t="s">
        <v>12978</v>
      </c>
      <c r="E5583" s="5" t="s">
        <v>36525</v>
      </c>
      <c r="F5583" s="5" t="s">
        <v>524</v>
      </c>
      <c r="G5583" s="5" t="s">
        <v>36526</v>
      </c>
      <c r="H5583" s="6" t="s">
        <v>36527</v>
      </c>
      <c r="I5583" s="7" t="s">
        <v>36528</v>
      </c>
      <c r="J5583" s="8" t="str">
        <f>HYPERLINK("https://drive.google.com/file/d/12y8v03met3E3utU7iWjtGdjJe3nA3b-c/view?usp=drivesdk","YUSRON SERTIFIKAT BerAKHLAK")</f>
        <v>YUSRON SERTIFIKAT BerAKHLAK</v>
      </c>
      <c r="K5583" s="5" t="s">
        <v>35335</v>
      </c>
      <c r="L5583" s="5" t="s">
        <v>36529</v>
      </c>
      <c r="M5583" s="5" t="s">
        <v>36530</v>
      </c>
      <c r="N5583" s="7" t="s">
        <v>36531</v>
      </c>
      <c r="O5583" s="8" t="str">
        <f>HYPERLINK("https://drive.google.com/file/d/14m2NE4KK1J6Sz8LbHhvbiQNQz1qn3WYm/view?usp=drivesdk","5582_YUSRON _ SERTIFIKAT BerAKHLAK")</f>
        <v>5582_YUSRON _ SERTIFIKAT BerAKHLAK</v>
      </c>
      <c r="P5583" s="5" t="s">
        <v>36532</v>
      </c>
    </row>
    <row r="5584">
      <c r="A5584" s="4">
        <v>45534.36128059028</v>
      </c>
      <c r="B5584" s="5" t="s">
        <v>34</v>
      </c>
      <c r="D5584" s="5" t="s">
        <v>4775</v>
      </c>
      <c r="E5584" s="5" t="s">
        <v>36533</v>
      </c>
      <c r="F5584" s="5" t="s">
        <v>524</v>
      </c>
      <c r="G5584" s="5" t="s">
        <v>36534</v>
      </c>
      <c r="H5584" s="6" t="s">
        <v>36535</v>
      </c>
      <c r="K5584" s="5" t="s">
        <v>36536</v>
      </c>
      <c r="M5584" s="5" t="s">
        <v>36537</v>
      </c>
      <c r="N5584" s="7" t="s">
        <v>36538</v>
      </c>
      <c r="O5584" s="8" t="str">
        <f>HYPERLINK("https://drive.google.com/file/d/1aH-DSaogZ4PLZMl10Yde343KBeKsS4W-/view?usp=drivesdk","5583_DWI HASTUTIK,Skep,Ns _ SERTIFIKAT BerAKHLAK")</f>
        <v>5583_DWI HASTUTIK,Skep,Ns _ SERTIFIKAT BerAKHLAK</v>
      </c>
      <c r="P5584" s="5" t="s">
        <v>36539</v>
      </c>
    </row>
    <row r="5585">
      <c r="A5585" s="4">
        <v>45534.36130925926</v>
      </c>
      <c r="B5585" s="5" t="s">
        <v>34</v>
      </c>
      <c r="D5585" s="5" t="s">
        <v>522</v>
      </c>
      <c r="E5585" s="5" t="s">
        <v>36540</v>
      </c>
      <c r="F5585" s="5" t="s">
        <v>212</v>
      </c>
      <c r="G5585" s="5" t="s">
        <v>36541</v>
      </c>
      <c r="H5585" s="6" t="s">
        <v>36542</v>
      </c>
      <c r="I5585" s="7" t="s">
        <v>36543</v>
      </c>
      <c r="J5585" s="8" t="str">
        <f>HYPERLINK("https://drive.google.com/file/d/1l_3Sv3AbH6WBHMSOGUYUMSEo2n5zqTfK/view?usp=drivesdk","SUPRIYANTO SERTIFIKAT BerAKHLAK")</f>
        <v>SUPRIYANTO SERTIFIKAT BerAKHLAK</v>
      </c>
      <c r="K5585" s="5" t="s">
        <v>35335</v>
      </c>
      <c r="L5585" s="5" t="s">
        <v>36544</v>
      </c>
      <c r="M5585" s="5" t="s">
        <v>36545</v>
      </c>
      <c r="N5585" s="7" t="s">
        <v>36546</v>
      </c>
      <c r="O5585" s="8" t="str">
        <f>HYPERLINK("https://drive.google.com/file/d/1Vc8AKxZ_xoWtS5qP9riaRy3yZslllI91/view?usp=drivesdk","5584_SUPRIYANTO _ SERTIFIKAT BerAKHLAK")</f>
        <v>5584_SUPRIYANTO _ SERTIFIKAT BerAKHLAK</v>
      </c>
      <c r="P5585" s="5" t="s">
        <v>36547</v>
      </c>
    </row>
    <row r="5586">
      <c r="A5586" s="4">
        <v>45534.36132490741</v>
      </c>
      <c r="B5586" s="5" t="s">
        <v>34</v>
      </c>
      <c r="D5586" s="5" t="s">
        <v>12978</v>
      </c>
      <c r="E5586" s="5" t="s">
        <v>36548</v>
      </c>
      <c r="F5586" s="5" t="s">
        <v>212</v>
      </c>
      <c r="G5586" s="5" t="s">
        <v>36549</v>
      </c>
      <c r="H5586" s="6" t="s">
        <v>36550</v>
      </c>
      <c r="I5586" s="7" t="s">
        <v>36551</v>
      </c>
      <c r="J5586" s="8" t="str">
        <f>HYPERLINK("https://drive.google.com/file/d/1450t8N9SQjiOfnliGrpGaQZYQJ0hUzgc/view?usp=drivesdk","FITRIYANTI SERTIFIKAT BerAKHLAK")</f>
        <v>FITRIYANTI SERTIFIKAT BerAKHLAK</v>
      </c>
      <c r="K5586" s="5" t="s">
        <v>36183</v>
      </c>
      <c r="L5586" s="5" t="s">
        <v>36552</v>
      </c>
      <c r="M5586" s="5" t="s">
        <v>36553</v>
      </c>
      <c r="N5586" s="7" t="s">
        <v>36554</v>
      </c>
      <c r="O5586" s="8" t="str">
        <f>HYPERLINK("https://drive.google.com/file/d/1np4LTGWCYgsOFWZnNDWdiBgj2EOZJ4Ln/view?usp=drivesdk","5585_FITRIYANTI _ SERTIFIKAT BerAKHLAK")</f>
        <v>5585_FITRIYANTI _ SERTIFIKAT BerAKHLAK</v>
      </c>
      <c r="P5586" s="5" t="s">
        <v>36555</v>
      </c>
    </row>
    <row r="5587">
      <c r="A5587" s="4">
        <v>45534.361329224535</v>
      </c>
      <c r="B5587" s="5" t="s">
        <v>34</v>
      </c>
      <c r="D5587" s="5" t="s">
        <v>4775</v>
      </c>
      <c r="E5587" s="5" t="s">
        <v>36556</v>
      </c>
      <c r="F5587" s="5" t="s">
        <v>108</v>
      </c>
      <c r="G5587" s="5" t="s">
        <v>36557</v>
      </c>
      <c r="H5587" s="6" t="s">
        <v>36558</v>
      </c>
      <c r="I5587" s="7" t="s">
        <v>36559</v>
      </c>
      <c r="J5587" s="8" t="str">
        <f>HYPERLINK("https://drive.google.com/file/d/1o4rcPZbAAJbZ2MA489QneTxnlS7WFxoM/view?usp=drivesdk","HENI KRISTANTI SERTIFIKAT BerAKHLAK")</f>
        <v>HENI KRISTANTI SERTIFIKAT BerAKHLAK</v>
      </c>
      <c r="K5587" s="5" t="s">
        <v>36183</v>
      </c>
      <c r="L5587" s="5" t="s">
        <v>36560</v>
      </c>
      <c r="M5587" s="5" t="s">
        <v>36561</v>
      </c>
      <c r="N5587" s="7" t="s">
        <v>36562</v>
      </c>
      <c r="O5587" s="8" t="str">
        <f>HYPERLINK("https://drive.google.com/file/d/14M-YhS373jlp7-vonEYNODQAslUA2r3r/view?usp=drivesdk","5586_HENI KRISTANTI _ SERTIFIKAT BerAKHLAK")</f>
        <v>5586_HENI KRISTANTI _ SERTIFIKAT BerAKHLAK</v>
      </c>
      <c r="P5587" s="5" t="s">
        <v>36555</v>
      </c>
    </row>
    <row r="5588">
      <c r="A5588" s="4">
        <v>45534.36133262732</v>
      </c>
      <c r="B5588" s="5" t="s">
        <v>34</v>
      </c>
      <c r="D5588" s="5" t="s">
        <v>996</v>
      </c>
      <c r="E5588" s="5" t="s">
        <v>36563</v>
      </c>
      <c r="F5588" s="5" t="s">
        <v>37</v>
      </c>
      <c r="G5588" s="5" t="s">
        <v>36564</v>
      </c>
      <c r="H5588" s="6" t="s">
        <v>36565</v>
      </c>
      <c r="I5588" s="7" t="s">
        <v>36566</v>
      </c>
      <c r="J5588" s="8" t="str">
        <f>HYPERLINK("https://drive.google.com/file/d/1uOB0rqp6bjbN7UD5-89VGTVkh_RtAnKV/view?usp=drivesdk","ROSIDA FAUL LINA  SERTIFIKAT BerAKHLAK")</f>
        <v>ROSIDA FAUL LINA  SERTIFIKAT BerAKHLAK</v>
      </c>
      <c r="K5588" s="5" t="s">
        <v>36183</v>
      </c>
      <c r="L5588" s="5" t="s">
        <v>36567</v>
      </c>
      <c r="M5588" s="5" t="s">
        <v>36568</v>
      </c>
      <c r="N5588" s="7" t="s">
        <v>36569</v>
      </c>
      <c r="O5588" s="8" t="str">
        <f>HYPERLINK("https://drive.google.com/file/d/1KDxIHkH7IQtNOXEu6KgSh9FmHnQBM8TT/view?usp=drivesdk","5587_ROSIDA FAUL LINA  _ SERTIFIKAT BerAKHLAK")</f>
        <v>5587_ROSIDA FAUL LINA  _ SERTIFIKAT BerAKHLAK</v>
      </c>
      <c r="P5588" s="5" t="s">
        <v>36555</v>
      </c>
    </row>
    <row r="5589">
      <c r="A5589" s="4">
        <v>45534.3613353125</v>
      </c>
      <c r="B5589" s="5" t="s">
        <v>34</v>
      </c>
      <c r="D5589" s="5" t="s">
        <v>9394</v>
      </c>
      <c r="E5589" s="5" t="s">
        <v>36570</v>
      </c>
      <c r="F5589" s="5" t="s">
        <v>524</v>
      </c>
      <c r="G5589" s="5" t="s">
        <v>36571</v>
      </c>
      <c r="H5589" s="6" t="s">
        <v>36572</v>
      </c>
      <c r="I5589" s="7" t="s">
        <v>36573</v>
      </c>
      <c r="J5589" s="8" t="str">
        <f>HYPERLINK("https://drive.google.com/file/d/1vsuB_ocRX-XAsnyPlyGwRiE5kvaYZV1p/view?usp=drivesdk","JOKO SANTOSO SERTIFIKAT BerAKHLAK")</f>
        <v>JOKO SANTOSO SERTIFIKAT BerAKHLAK</v>
      </c>
      <c r="K5589" s="5" t="s">
        <v>36183</v>
      </c>
      <c r="L5589" s="5" t="s">
        <v>36574</v>
      </c>
      <c r="M5589" s="5" t="s">
        <v>36575</v>
      </c>
      <c r="N5589" s="7" t="s">
        <v>36576</v>
      </c>
      <c r="O5589" s="8" t="str">
        <f>HYPERLINK("https://drive.google.com/file/d/1FyIK1VnR-Af1ZDdKhYFOCDN5p1JUP2Vl/view?usp=drivesdk","5588_JOKO SANTOSO _ SERTIFIKAT BerAKHLAK")</f>
        <v>5588_JOKO SANTOSO _ SERTIFIKAT BerAKHLAK</v>
      </c>
      <c r="P5589" s="5" t="s">
        <v>36555</v>
      </c>
    </row>
    <row r="5590">
      <c r="A5590" s="4">
        <v>45534.36133704861</v>
      </c>
      <c r="B5590" s="5" t="s">
        <v>34</v>
      </c>
      <c r="D5590" s="5" t="s">
        <v>10444</v>
      </c>
      <c r="E5590" s="5" t="s">
        <v>36577</v>
      </c>
      <c r="F5590" s="5" t="s">
        <v>212</v>
      </c>
      <c r="G5590" s="5" t="s">
        <v>36578</v>
      </c>
      <c r="H5590" s="6" t="s">
        <v>36579</v>
      </c>
      <c r="I5590" s="7" t="s">
        <v>36580</v>
      </c>
      <c r="J5590" s="8" t="str">
        <f>HYPERLINK("https://drive.google.com/file/d/1ZPIFsemyj7BEE9nueSLXzjbIQtiCl0Mf/view?usp=drivesdk","MUJIANTI CAHYA NINGSIH SERTIFIKAT BerAKHLAK")</f>
        <v>MUJIANTI CAHYA NINGSIH SERTIFIKAT BerAKHLAK</v>
      </c>
      <c r="K5590" s="5" t="s">
        <v>36183</v>
      </c>
      <c r="L5590" s="5" t="s">
        <v>36581</v>
      </c>
      <c r="M5590" s="5" t="s">
        <v>36582</v>
      </c>
      <c r="N5590" s="7" t="s">
        <v>36583</v>
      </c>
      <c r="O5590" s="8" t="str">
        <f>HYPERLINK("https://drive.google.com/file/d/1NAJHrdecC2taOBzLE6yz08XAYn68bT6u/view?usp=drivesdk","5589_MUJIANTI CAHYA NINGSIH _ SERTIFIKAT BerAKHLAK")</f>
        <v>5589_MUJIANTI CAHYA NINGSIH _ SERTIFIKAT BerAKHLAK</v>
      </c>
      <c r="P5590" s="5" t="s">
        <v>36555</v>
      </c>
    </row>
    <row r="5591">
      <c r="A5591" s="4">
        <v>45534.361353506945</v>
      </c>
      <c r="B5591" s="5" t="s">
        <v>34</v>
      </c>
      <c r="D5591" s="5" t="s">
        <v>1206</v>
      </c>
      <c r="E5591" s="5" t="s">
        <v>28201</v>
      </c>
      <c r="F5591" s="5" t="s">
        <v>212</v>
      </c>
      <c r="G5591" s="5" t="s">
        <v>36584</v>
      </c>
      <c r="H5591" s="6" t="s">
        <v>36585</v>
      </c>
      <c r="I5591" s="7" t="s">
        <v>36586</v>
      </c>
      <c r="J5591" s="8" t="str">
        <f>HYPERLINK("https://drive.google.com/file/d/1bc2nVW6sdgnsqmhBNZb-WlfIYcVtkOoZ/view?usp=drivesdk","RAHMAT SERTIFIKAT BerAKHLAK")</f>
        <v>RAHMAT SERTIFIKAT BerAKHLAK</v>
      </c>
      <c r="K5591" s="5" t="s">
        <v>36587</v>
      </c>
      <c r="L5591" s="5" t="s">
        <v>36588</v>
      </c>
      <c r="M5591" s="5" t="s">
        <v>36589</v>
      </c>
      <c r="N5591" s="7" t="s">
        <v>36590</v>
      </c>
      <c r="O5591" s="8" t="str">
        <f>HYPERLINK("https://drive.google.com/file/d/1S7NHaop6yluoTjEPIkXYqYxOyNZyzh9u/view?usp=drivesdk","5590_RAHMAT _ SERTIFIKAT BerAKHLAK")</f>
        <v>5590_RAHMAT _ SERTIFIKAT BerAKHLAK</v>
      </c>
      <c r="P5591" s="5" t="s">
        <v>36591</v>
      </c>
    </row>
    <row r="5592">
      <c r="A5592" s="4">
        <v>45534.36137052083</v>
      </c>
      <c r="B5592" s="5" t="s">
        <v>34</v>
      </c>
      <c r="D5592" s="5" t="s">
        <v>35</v>
      </c>
      <c r="E5592" s="5" t="s">
        <v>36592</v>
      </c>
      <c r="F5592" s="5" t="s">
        <v>72</v>
      </c>
      <c r="G5592" s="5" t="s">
        <v>36593</v>
      </c>
      <c r="H5592" s="6" t="s">
        <v>36594</v>
      </c>
      <c r="K5592" s="5" t="s">
        <v>36595</v>
      </c>
      <c r="M5592" s="5" t="s">
        <v>36596</v>
      </c>
      <c r="N5592" s="7" t="s">
        <v>36597</v>
      </c>
      <c r="O5592" s="8" t="str">
        <f>HYPERLINK("https://drive.google.com/file/d/1j1AqJn-bLNd2TlA5YtuEV6_rJYSk3sDv/view?usp=drivesdk","5591_EVA DARLIAH, SE,MSI _ SERTIFIKAT BerAKHLAK")</f>
        <v>5591_EVA DARLIAH, SE,MSI _ SERTIFIKAT BerAKHLAK</v>
      </c>
      <c r="P5592" s="5" t="s">
        <v>36591</v>
      </c>
    </row>
    <row r="5593">
      <c r="A5593" s="4">
        <v>45534.36137180556</v>
      </c>
      <c r="B5593" s="5" t="s">
        <v>34</v>
      </c>
      <c r="D5593" s="5" t="s">
        <v>4775</v>
      </c>
      <c r="E5593" s="5" t="s">
        <v>36598</v>
      </c>
      <c r="F5593" s="5" t="s">
        <v>37</v>
      </c>
      <c r="G5593" s="5" t="s">
        <v>36599</v>
      </c>
      <c r="H5593" s="6" t="s">
        <v>36600</v>
      </c>
      <c r="K5593" s="5" t="s">
        <v>36595</v>
      </c>
      <c r="M5593" s="5" t="s">
        <v>36601</v>
      </c>
      <c r="N5593" s="7" t="s">
        <v>36602</v>
      </c>
      <c r="O5593" s="8" t="str">
        <f>HYPERLINK("https://drive.google.com/file/d/1uzLg2NCiptoyL6Wg84EHpMiHl65XOUKk/view?usp=drivesdk","5592_SRI EKOWATI  _ SERTIFIKAT BerAKHLAK")</f>
        <v>5592_SRI EKOWATI  _ SERTIFIKAT BerAKHLAK</v>
      </c>
      <c r="P5593" s="5" t="s">
        <v>36591</v>
      </c>
    </row>
    <row r="5594">
      <c r="A5594" s="4">
        <v>45534.36139839121</v>
      </c>
      <c r="B5594" s="5" t="s">
        <v>34</v>
      </c>
      <c r="D5594" s="5" t="s">
        <v>1206</v>
      </c>
      <c r="E5594" s="5" t="s">
        <v>36603</v>
      </c>
      <c r="F5594" s="5" t="s">
        <v>37</v>
      </c>
      <c r="G5594" s="5" t="s">
        <v>36604</v>
      </c>
      <c r="H5594" s="6" t="s">
        <v>36605</v>
      </c>
      <c r="I5594" s="7" t="s">
        <v>36606</v>
      </c>
      <c r="J5594" s="8" t="str">
        <f>HYPERLINK("https://drive.google.com/file/d/1Rfk_XpQUkdjwsLHzyzkYjXlguT17AYvV/view?usp=drivesdk","DIDIK TRIHARYADI SERTIFIKAT BerAKHLAK")</f>
        <v>DIDIK TRIHARYADI SERTIFIKAT BerAKHLAK</v>
      </c>
      <c r="K5594" s="5" t="s">
        <v>35335</v>
      </c>
      <c r="L5594" s="5" t="s">
        <v>36607</v>
      </c>
      <c r="M5594" s="5" t="s">
        <v>36608</v>
      </c>
      <c r="N5594" s="7" t="s">
        <v>36609</v>
      </c>
      <c r="O5594" s="8" t="str">
        <f>HYPERLINK("https://drive.google.com/file/d/1MJkJEJX6iIVlbmwmjySTH7D4OdE-01GE/view?usp=drivesdk","5593_DIDIK TRIHARYADI _ SERTIFIKAT BerAKHLAK")</f>
        <v>5593_DIDIK TRIHARYADI _ SERTIFIKAT BerAKHLAK</v>
      </c>
      <c r="P5594" s="5" t="s">
        <v>36591</v>
      </c>
    </row>
    <row r="5595">
      <c r="A5595" s="4">
        <v>45534.36140353009</v>
      </c>
      <c r="B5595" s="5" t="s">
        <v>34</v>
      </c>
      <c r="D5595" s="5" t="s">
        <v>1206</v>
      </c>
      <c r="E5595" s="5" t="s">
        <v>36610</v>
      </c>
      <c r="F5595" s="5" t="s">
        <v>37</v>
      </c>
      <c r="G5595" s="5" t="s">
        <v>36611</v>
      </c>
      <c r="H5595" s="6" t="s">
        <v>36612</v>
      </c>
      <c r="K5595" s="5" t="s">
        <v>36613</v>
      </c>
      <c r="M5595" s="5" t="s">
        <v>36614</v>
      </c>
      <c r="N5595" s="7" t="s">
        <v>36615</v>
      </c>
      <c r="O5595" s="8" t="str">
        <f>HYPERLINK("https://drive.google.com/file/d/1mhHRJ3QsRBVSb9ZhkYeBaTyv7XTHJ1i0/view?usp=drivesdk","5594_DAFID RIYADI _ SERTIFIKAT BerAKHLAK")</f>
        <v>5594_DAFID RIYADI _ SERTIFIKAT BerAKHLAK</v>
      </c>
      <c r="P5595" s="5" t="s">
        <v>36591</v>
      </c>
    </row>
    <row r="5596">
      <c r="A5596" s="4">
        <v>45534.36141400463</v>
      </c>
      <c r="B5596" s="5" t="s">
        <v>34</v>
      </c>
      <c r="D5596" s="5" t="s">
        <v>1206</v>
      </c>
      <c r="E5596" s="5" t="s">
        <v>36616</v>
      </c>
      <c r="F5596" s="5" t="s">
        <v>375</v>
      </c>
      <c r="G5596" s="5" t="s">
        <v>36617</v>
      </c>
      <c r="H5596" s="6" t="s">
        <v>36618</v>
      </c>
      <c r="K5596" s="5" t="s">
        <v>36613</v>
      </c>
      <c r="M5596" s="5" t="s">
        <v>36619</v>
      </c>
      <c r="N5596" s="7" t="s">
        <v>36620</v>
      </c>
      <c r="O5596" s="8" t="str">
        <f>HYPERLINK("https://drive.google.com/file/d/165kZLzBrj1nbf8lKG-3SVEMIw2naET2H/view?usp=drivesdk","5595_SAIFUDDIN ZUHRI _ SERTIFIKAT BerAKHLAK")</f>
        <v>5595_SAIFUDDIN ZUHRI _ SERTIFIKAT BerAKHLAK</v>
      </c>
      <c r="P5596" s="5" t="s">
        <v>36621</v>
      </c>
    </row>
    <row r="5597">
      <c r="A5597" s="4">
        <v>45534.36141657407</v>
      </c>
      <c r="B5597" s="5" t="s">
        <v>34</v>
      </c>
      <c r="D5597" s="5" t="s">
        <v>4775</v>
      </c>
      <c r="E5597" s="5" t="s">
        <v>36622</v>
      </c>
      <c r="F5597" s="5" t="s">
        <v>37</v>
      </c>
      <c r="G5597" s="5" t="s">
        <v>36623</v>
      </c>
      <c r="H5597" s="6" t="s">
        <v>36624</v>
      </c>
      <c r="K5597" s="5" t="s">
        <v>36613</v>
      </c>
      <c r="M5597" s="5" t="s">
        <v>36625</v>
      </c>
      <c r="N5597" s="7" t="s">
        <v>36626</v>
      </c>
      <c r="O5597" s="8" t="str">
        <f>HYPERLINK("https://drive.google.com/file/d/1veDLnqBr7e9EGEEmsRja-99vBLrVBs01/view?usp=drivesdk","5596_KUSRINAH _ SERTIFIKAT BerAKHLAK")</f>
        <v>5596_KUSRINAH _ SERTIFIKAT BerAKHLAK</v>
      </c>
      <c r="P5597" s="5" t="s">
        <v>36621</v>
      </c>
    </row>
    <row r="5598">
      <c r="A5598" s="4">
        <v>45534.36147304398</v>
      </c>
      <c r="B5598" s="5" t="s">
        <v>34</v>
      </c>
      <c r="D5598" s="5" t="s">
        <v>1206</v>
      </c>
      <c r="E5598" s="5" t="s">
        <v>36627</v>
      </c>
      <c r="F5598" s="5" t="s">
        <v>72</v>
      </c>
      <c r="G5598" s="5" t="s">
        <v>36628</v>
      </c>
      <c r="H5598" s="6" t="s">
        <v>36629</v>
      </c>
      <c r="K5598" s="5" t="s">
        <v>36613</v>
      </c>
      <c r="M5598" s="5" t="s">
        <v>36630</v>
      </c>
      <c r="N5598" s="7" t="s">
        <v>36631</v>
      </c>
      <c r="O5598" s="8" t="str">
        <f>HYPERLINK("https://drive.google.com/file/d/1vFEEUmho6qZ5A1j06pkh-WQk1dIFw4_A/view?usp=drivesdk","5597_YULIASTUTI PUSPITA NINGRUM _ SERTIFIKAT BerAKHLAK")</f>
        <v>5597_YULIASTUTI PUSPITA NINGRUM _ SERTIFIKAT BerAKHLAK</v>
      </c>
      <c r="P5598" s="5" t="s">
        <v>36621</v>
      </c>
    </row>
    <row r="5599">
      <c r="A5599" s="4">
        <v>45534.36147684028</v>
      </c>
      <c r="B5599" s="5" t="s">
        <v>34</v>
      </c>
      <c r="D5599" s="5" t="s">
        <v>2903</v>
      </c>
      <c r="E5599" s="5" t="s">
        <v>36632</v>
      </c>
      <c r="F5599" s="5" t="s">
        <v>524</v>
      </c>
      <c r="G5599" s="5" t="s">
        <v>36633</v>
      </c>
      <c r="H5599" s="6" t="s">
        <v>36634</v>
      </c>
      <c r="I5599" s="7" t="s">
        <v>36635</v>
      </c>
      <c r="J5599" s="8" t="str">
        <f>HYPERLINK("https://drive.google.com/file/d/14Jvl9FsC9xGlQMWcfnaE5b54aEgo6H8G/view?usp=drivesdk","BOANG ARIANGGA, S.KEP SERTIFIKAT BerAKHLAK")</f>
        <v>BOANG ARIANGGA, S.KEP SERTIFIKAT BerAKHLAK</v>
      </c>
      <c r="K5599" s="5" t="s">
        <v>36183</v>
      </c>
      <c r="L5599" s="5" t="s">
        <v>36636</v>
      </c>
      <c r="M5599" s="5" t="s">
        <v>36637</v>
      </c>
      <c r="N5599" s="7" t="s">
        <v>36638</v>
      </c>
      <c r="O5599" s="8" t="str">
        <f>HYPERLINK("https://drive.google.com/file/d/1bdJs-v__oNZY53ZJvmP9NHQkSZBNTv1c/view?usp=drivesdk","5598_BOANG ARIANGGA, S.KEP _ SERTIFIKAT BerAKHLAK")</f>
        <v>5598_BOANG ARIANGGA, S.KEP _ SERTIFIKAT BerAKHLAK</v>
      </c>
      <c r="P5599" s="5" t="s">
        <v>36621</v>
      </c>
    </row>
    <row r="5600">
      <c r="A5600" s="4">
        <v>45534.36148365741</v>
      </c>
      <c r="B5600" s="5" t="s">
        <v>34</v>
      </c>
      <c r="D5600" s="5" t="s">
        <v>12978</v>
      </c>
      <c r="E5600" s="5" t="s">
        <v>17159</v>
      </c>
      <c r="F5600" s="5" t="s">
        <v>108</v>
      </c>
      <c r="G5600" s="5" t="s">
        <v>36639</v>
      </c>
      <c r="H5600" s="6" t="s">
        <v>36640</v>
      </c>
      <c r="I5600" s="7" t="s">
        <v>36641</v>
      </c>
      <c r="J5600" s="8" t="str">
        <f>HYPERLINK("https://drive.google.com/file/d/1nlDAI3HW9WiuA5PcCdIjoRZtFqChO3pE/view?usp=drivesdk","SUHERMAN SERTIFIKAT BerAKHLAK")</f>
        <v>SUHERMAN SERTIFIKAT BerAKHLAK</v>
      </c>
      <c r="K5600" s="5" t="s">
        <v>36183</v>
      </c>
      <c r="L5600" s="5" t="s">
        <v>36642</v>
      </c>
      <c r="M5600" s="5" t="s">
        <v>36643</v>
      </c>
      <c r="N5600" s="7" t="s">
        <v>36644</v>
      </c>
      <c r="O5600" s="8" t="str">
        <f>HYPERLINK("https://drive.google.com/file/d/1AtoVstDiqJOxLZj0BLHfBLJEnXZwt5l1/view?usp=drivesdk","5599_SUHERMAN _ SERTIFIKAT BerAKHLAK")</f>
        <v>5599_SUHERMAN _ SERTIFIKAT BerAKHLAK</v>
      </c>
      <c r="P5600" s="5" t="s">
        <v>36621</v>
      </c>
    </row>
    <row r="5601">
      <c r="A5601" s="4">
        <v>45534.36148987268</v>
      </c>
      <c r="B5601" s="5" t="s">
        <v>34</v>
      </c>
      <c r="D5601" s="5" t="s">
        <v>1206</v>
      </c>
      <c r="E5601" s="5" t="s">
        <v>36645</v>
      </c>
      <c r="F5601" s="5" t="s">
        <v>212</v>
      </c>
      <c r="G5601" s="5" t="s">
        <v>36646</v>
      </c>
      <c r="H5601" s="6" t="s">
        <v>36647</v>
      </c>
      <c r="I5601" s="7" t="s">
        <v>36648</v>
      </c>
      <c r="J5601" s="8" t="str">
        <f>HYPERLINK("https://drive.google.com/file/d/142WDcW2_eSgodMRogdrKueiiDa39461_/view?usp=drivesdk","IRIANTO SERTIFIKAT BerAKHLAK")</f>
        <v>IRIANTO SERTIFIKAT BerAKHLAK</v>
      </c>
      <c r="K5601" s="5" t="s">
        <v>35335</v>
      </c>
      <c r="L5601" s="5" t="s">
        <v>36649</v>
      </c>
      <c r="M5601" s="5" t="s">
        <v>36650</v>
      </c>
      <c r="N5601" s="7" t="s">
        <v>36651</v>
      </c>
      <c r="O5601" s="8" t="str">
        <f>HYPERLINK("https://drive.google.com/file/d/1al73x6Ho0xJzgNbeFk5BVRUaqmBKk_rz/view?usp=drivesdk","5600_IRIANTO _ SERTIFIKAT BerAKHLAK")</f>
        <v>5600_IRIANTO _ SERTIFIKAT BerAKHLAK</v>
      </c>
      <c r="P5601" s="5" t="s">
        <v>36652</v>
      </c>
    </row>
    <row r="5602" hidden="1">
      <c r="A5602" s="4">
        <v>45534.36149576389</v>
      </c>
      <c r="B5602" s="5" t="s">
        <v>19</v>
      </c>
      <c r="C5602" s="5" t="s">
        <v>292</v>
      </c>
      <c r="E5602" s="5" t="s">
        <v>36653</v>
      </c>
      <c r="F5602" s="5" t="s">
        <v>120</v>
      </c>
      <c r="G5602" s="5" t="s">
        <v>36654</v>
      </c>
      <c r="H5602" s="6" t="s">
        <v>36655</v>
      </c>
      <c r="I5602" s="7" t="s">
        <v>36656</v>
      </c>
      <c r="J5602" s="8" t="str">
        <f>HYPERLINK("https://drive.google.com/file/d/19U2S985Kic410qcl0JCwRjo7PNSszTRi/view?usp=drivesdk","DEDAH RATNASARI S.IP., M.Si SERTIFIKAT BerAKHLAK")</f>
        <v>DEDAH RATNASARI S.IP., M.Si SERTIFIKAT BerAKHLAK</v>
      </c>
      <c r="K5602" s="5" t="s">
        <v>36183</v>
      </c>
      <c r="L5602" s="5" t="s">
        <v>36657</v>
      </c>
      <c r="M5602" s="5" t="s">
        <v>36658</v>
      </c>
      <c r="N5602" s="7" t="s">
        <v>36659</v>
      </c>
      <c r="O5602" s="8" t="str">
        <f>HYPERLINK("https://drive.google.com/file/d/1vL_C6G4_cwclH6x2h3DSslMhYl6L-lZA/view?usp=drivesdk","5601_DEDAH RATNASARI S.IP., M.Si _ SERTIFIKAT BerAKHLAK")</f>
        <v>5601_DEDAH RATNASARI S.IP., M.Si _ SERTIFIKAT BerAKHLAK</v>
      </c>
      <c r="P5602" s="5" t="s">
        <v>36652</v>
      </c>
    </row>
    <row r="5603">
      <c r="A5603" s="4">
        <v>45534.36151891203</v>
      </c>
      <c r="B5603" s="5" t="s">
        <v>34</v>
      </c>
      <c r="D5603" s="5" t="s">
        <v>1206</v>
      </c>
      <c r="E5603" s="5" t="s">
        <v>36660</v>
      </c>
      <c r="F5603" s="5" t="s">
        <v>524</v>
      </c>
      <c r="G5603" s="5" t="s">
        <v>36661</v>
      </c>
      <c r="H5603" s="6" t="s">
        <v>36662</v>
      </c>
      <c r="I5603" s="7" t="s">
        <v>36663</v>
      </c>
      <c r="J5603" s="8" t="str">
        <f>HYPERLINK("https://drive.google.com/file/d/1IZWuGH4xKAK6JXPQ9oH_AX-X2cPZ8XNE/view?usp=drivesdk","WIWIK SUGIHARTINI, S.IP. SERTIFIKAT BerAKHLAK")</f>
        <v>WIWIK SUGIHARTINI, S.IP. SERTIFIKAT BerAKHLAK</v>
      </c>
      <c r="K5603" s="5" t="s">
        <v>36183</v>
      </c>
      <c r="L5603" s="5" t="s">
        <v>36664</v>
      </c>
      <c r="M5603" s="5" t="s">
        <v>36665</v>
      </c>
      <c r="N5603" s="7" t="s">
        <v>36666</v>
      </c>
      <c r="O5603" s="8" t="str">
        <f>HYPERLINK("https://drive.google.com/file/d/1f1XUL9HQY-HPi1UPqPtv7YeaL3Bfk-MV/view?usp=drivesdk","5602_WIWIK SUGIHARTINI, S.IP. _ SERTIFIKAT BerAKHLAK")</f>
        <v>5602_WIWIK SUGIHARTINI, S.IP. _ SERTIFIKAT BerAKHLAK</v>
      </c>
      <c r="P5603" s="5" t="s">
        <v>36652</v>
      </c>
    </row>
    <row r="5604">
      <c r="A5604" s="4">
        <v>45534.36152082176</v>
      </c>
      <c r="B5604" s="5" t="s">
        <v>34</v>
      </c>
      <c r="D5604" s="5" t="s">
        <v>1692</v>
      </c>
      <c r="E5604" s="5" t="s">
        <v>36667</v>
      </c>
      <c r="F5604" s="5" t="s">
        <v>108</v>
      </c>
      <c r="G5604" s="5" t="s">
        <v>36668</v>
      </c>
      <c r="H5604" s="6" t="s">
        <v>36669</v>
      </c>
      <c r="I5604" s="7" t="s">
        <v>36670</v>
      </c>
      <c r="J5604" s="8" t="str">
        <f>HYPERLINK("https://drive.google.com/file/d/1YXNKJv9G3N31n_ih2zd7S5i3o0nlFPYt/view?usp=drivesdk","LILLY SOFIAN SERTIFIKAT BerAKHLAK")</f>
        <v>LILLY SOFIAN SERTIFIKAT BerAKHLAK</v>
      </c>
      <c r="K5604" s="5" t="s">
        <v>36183</v>
      </c>
      <c r="L5604" s="5" t="s">
        <v>36671</v>
      </c>
      <c r="M5604" s="5" t="s">
        <v>36672</v>
      </c>
      <c r="N5604" s="7" t="s">
        <v>36673</v>
      </c>
      <c r="O5604" s="8" t="str">
        <f>HYPERLINK("https://drive.google.com/file/d/19Qn39jD6bsVh9FdkQ1WYym5IpiHmgBzR/view?usp=drivesdk","5603_LILLY SOFIAN _ SERTIFIKAT BerAKHLAK")</f>
        <v>5603_LILLY SOFIAN _ SERTIFIKAT BerAKHLAK</v>
      </c>
      <c r="P5604" s="5" t="s">
        <v>36652</v>
      </c>
    </row>
    <row r="5605">
      <c r="A5605" s="4">
        <v>45534.361554953706</v>
      </c>
      <c r="B5605" s="5" t="s">
        <v>34</v>
      </c>
      <c r="D5605" s="5" t="s">
        <v>7858</v>
      </c>
      <c r="E5605" s="5" t="s">
        <v>36674</v>
      </c>
      <c r="F5605" s="5" t="s">
        <v>108</v>
      </c>
      <c r="G5605" s="5" t="s">
        <v>36675</v>
      </c>
      <c r="H5605" s="6" t="s">
        <v>36676</v>
      </c>
      <c r="I5605" s="7" t="s">
        <v>36677</v>
      </c>
      <c r="J5605" s="8" t="str">
        <f>HYPERLINK("https://drive.google.com/file/d/1fDRF15zwUR8dgQ-3Sl6Wo5ShedyPEKri/view?usp=drivesdk","THOMI, S.A.P. SERTIFIKAT BerAKHLAK")</f>
        <v>THOMI, S.A.P. SERTIFIKAT BerAKHLAK</v>
      </c>
      <c r="K5605" s="5" t="s">
        <v>36183</v>
      </c>
      <c r="L5605" s="5" t="s">
        <v>36678</v>
      </c>
      <c r="M5605" s="5" t="s">
        <v>36679</v>
      </c>
      <c r="N5605" s="7" t="s">
        <v>36680</v>
      </c>
      <c r="O5605" s="8" t="str">
        <f>HYPERLINK("https://drive.google.com/file/d/1J1l96zMBCBRu3dEWy1bWBdxwzAMwK4X8/view?usp=drivesdk","5604_THOMI, S.A.P. _ SERTIFIKAT BerAKHLAK")</f>
        <v>5604_THOMI, S.A.P. _ SERTIFIKAT BerAKHLAK</v>
      </c>
      <c r="P5605" s="5" t="s">
        <v>36652</v>
      </c>
    </row>
    <row r="5606">
      <c r="A5606" s="4">
        <v>45534.36156217592</v>
      </c>
      <c r="B5606" s="5" t="s">
        <v>34</v>
      </c>
      <c r="D5606" s="5" t="s">
        <v>3849</v>
      </c>
      <c r="E5606" s="5" t="s">
        <v>36681</v>
      </c>
      <c r="F5606" s="5" t="s">
        <v>37</v>
      </c>
      <c r="G5606" s="5" t="s">
        <v>36682</v>
      </c>
      <c r="H5606" s="6" t="s">
        <v>36683</v>
      </c>
      <c r="I5606" s="7" t="s">
        <v>36684</v>
      </c>
      <c r="J5606" s="8" t="str">
        <f>HYPERLINK("https://drive.google.com/file/d/1RHP1AbMDNf-WhGGGWz1yCxLBQz1ENk-T/view?usp=drivesdk","RIZKAH ULMI SERTIFIKAT BerAKHLAK")</f>
        <v>RIZKAH ULMI SERTIFIKAT BerAKHLAK</v>
      </c>
      <c r="K5606" s="5" t="s">
        <v>36183</v>
      </c>
      <c r="L5606" s="5" t="s">
        <v>36685</v>
      </c>
      <c r="M5606" s="5" t="s">
        <v>36686</v>
      </c>
      <c r="N5606" s="7" t="s">
        <v>36687</v>
      </c>
      <c r="O5606" s="8" t="str">
        <f>HYPERLINK("https://drive.google.com/file/d/1huyqwl9GGFCSdh9tV_Is9A_v11emaCF1/view?usp=drivesdk","5605_RIZKAH ULMI _ SERTIFIKAT BerAKHLAK")</f>
        <v>5605_RIZKAH ULMI _ SERTIFIKAT BerAKHLAK</v>
      </c>
      <c r="P5606" s="5" t="s">
        <v>36688</v>
      </c>
    </row>
    <row r="5607">
      <c r="A5607" s="4">
        <v>45534.36156348379</v>
      </c>
      <c r="B5607" s="5" t="s">
        <v>34</v>
      </c>
      <c r="D5607" s="5" t="s">
        <v>12978</v>
      </c>
      <c r="E5607" s="5" t="s">
        <v>36689</v>
      </c>
      <c r="F5607" s="5" t="s">
        <v>375</v>
      </c>
      <c r="G5607" s="5" t="s">
        <v>36690</v>
      </c>
      <c r="H5607" s="6" t="s">
        <v>36691</v>
      </c>
      <c r="I5607" s="7" t="s">
        <v>36692</v>
      </c>
      <c r="J5607" s="8" t="str">
        <f>HYPERLINK("https://drive.google.com/file/d/1jhuxLkBr4eOZx0XSV0JUvOXLXGZ22kxp/view?usp=drivesdk","LILI MARYANI, S.E SERTIFIKAT BerAKHLAK")</f>
        <v>LILI MARYANI, S.E SERTIFIKAT BerAKHLAK</v>
      </c>
      <c r="K5607" s="5" t="s">
        <v>36183</v>
      </c>
      <c r="L5607" s="5" t="s">
        <v>36693</v>
      </c>
      <c r="M5607" s="5" t="s">
        <v>36694</v>
      </c>
      <c r="N5607" s="7" t="s">
        <v>36695</v>
      </c>
      <c r="O5607" s="8" t="str">
        <f>HYPERLINK("https://drive.google.com/file/d/1Ie3_rSv7xu-nj8ZtD7Y1rerUz7vE741S/view?usp=drivesdk","5606_LILI MARYANI, S.E _ SERTIFIKAT BerAKHLAK")</f>
        <v>5606_LILI MARYANI, S.E _ SERTIFIKAT BerAKHLAK</v>
      </c>
      <c r="P5607" s="5" t="s">
        <v>36688</v>
      </c>
    </row>
    <row r="5608">
      <c r="A5608" s="4">
        <v>45534.36156420139</v>
      </c>
      <c r="B5608" s="5" t="s">
        <v>34</v>
      </c>
      <c r="D5608" s="5" t="s">
        <v>1206</v>
      </c>
      <c r="E5608" s="5" t="s">
        <v>17242</v>
      </c>
      <c r="F5608" s="5" t="s">
        <v>212</v>
      </c>
      <c r="G5608" s="5" t="s">
        <v>36696</v>
      </c>
      <c r="H5608" s="6" t="s">
        <v>36697</v>
      </c>
      <c r="I5608" s="7" t="s">
        <v>36698</v>
      </c>
      <c r="J5608" s="8" t="str">
        <f>HYPERLINK("https://drive.google.com/file/d/1ibGLP7fZLfrguh7XpQ49-YJPJ0Tx5hB0/view?usp=drivesdk","SUYITNO SERTIFIKAT BerAKHLAK")</f>
        <v>SUYITNO SERTIFIKAT BerAKHLAK</v>
      </c>
      <c r="K5608" s="5" t="s">
        <v>36183</v>
      </c>
      <c r="L5608" s="5" t="s">
        <v>36699</v>
      </c>
      <c r="M5608" s="5" t="s">
        <v>36700</v>
      </c>
      <c r="N5608" s="7" t="s">
        <v>36701</v>
      </c>
      <c r="O5608" s="8" t="str">
        <f>HYPERLINK("https://drive.google.com/file/d/1v6PQJD3-pZCndZLXJZpsC31d_bHhs86x/view?usp=drivesdk","5607_SUYITNO _ SERTIFIKAT BerAKHLAK")</f>
        <v>5607_SUYITNO _ SERTIFIKAT BerAKHLAK</v>
      </c>
      <c r="P5608" s="5" t="s">
        <v>36688</v>
      </c>
    </row>
    <row r="5609">
      <c r="A5609" s="4">
        <v>45534.36158979167</v>
      </c>
      <c r="B5609" s="5" t="s">
        <v>34</v>
      </c>
      <c r="D5609" s="5" t="s">
        <v>7858</v>
      </c>
      <c r="E5609" s="5" t="s">
        <v>36702</v>
      </c>
      <c r="F5609" s="5" t="s">
        <v>72</v>
      </c>
      <c r="G5609" s="5" t="s">
        <v>36703</v>
      </c>
      <c r="H5609" s="6" t="s">
        <v>36704</v>
      </c>
      <c r="I5609" s="7" t="s">
        <v>36705</v>
      </c>
      <c r="J5609" s="8" t="str">
        <f>HYPERLINK("https://drive.google.com/file/d/1hZMr263S5_kyfs0APT517RaKMI5e2zT3/view?usp=drivesdk","AGUSTINA HANA, S.KEP SERTIFIKAT BerAKHLAK")</f>
        <v>AGUSTINA HANA, S.KEP SERTIFIKAT BerAKHLAK</v>
      </c>
      <c r="K5609" s="5" t="s">
        <v>36587</v>
      </c>
      <c r="L5609" s="5" t="s">
        <v>36706</v>
      </c>
      <c r="M5609" s="5" t="s">
        <v>36707</v>
      </c>
      <c r="N5609" s="7" t="s">
        <v>36708</v>
      </c>
      <c r="O5609" s="8" t="str">
        <f>HYPERLINK("https://drive.google.com/file/d/10J3co-B1sBNp3sdf8qroyBIhn7k64eNK/view?usp=drivesdk","5608_AGUSTINA HANA, S.KEP _ SERTIFIKAT BerAKHLAK")</f>
        <v>5608_AGUSTINA HANA, S.KEP _ SERTIFIKAT BerAKHLAK</v>
      </c>
      <c r="P5609" s="5" t="s">
        <v>36688</v>
      </c>
    </row>
    <row r="5610">
      <c r="A5610" s="4">
        <v>45534.36160109953</v>
      </c>
      <c r="B5610" s="5" t="s">
        <v>34</v>
      </c>
      <c r="D5610" s="5" t="s">
        <v>1206</v>
      </c>
      <c r="E5610" s="5" t="s">
        <v>36709</v>
      </c>
      <c r="F5610" s="5" t="s">
        <v>212</v>
      </c>
      <c r="G5610" s="5" t="s">
        <v>36710</v>
      </c>
      <c r="H5610" s="6" t="s">
        <v>36711</v>
      </c>
      <c r="I5610" s="7" t="s">
        <v>36712</v>
      </c>
      <c r="J5610" s="8" t="str">
        <f>HYPERLINK("https://drive.google.com/file/d/1YC5BJGZ4Wqj6eK9ZA_Cz9_TXsC_WyDv-/view?usp=drivesdk","MOHAMAD MUSTAJIB SERTIFIKAT BerAKHLAK")</f>
        <v>MOHAMAD MUSTAJIB SERTIFIKAT BerAKHLAK</v>
      </c>
      <c r="K5610" s="5" t="s">
        <v>36587</v>
      </c>
      <c r="L5610" s="5" t="s">
        <v>36713</v>
      </c>
      <c r="M5610" s="5" t="s">
        <v>36714</v>
      </c>
      <c r="N5610" s="7" t="s">
        <v>36715</v>
      </c>
      <c r="O5610" s="8" t="str">
        <f>HYPERLINK("https://drive.google.com/file/d/1CQpE9a6fM8Q76ysnfuXU5o9mzNMGBx0a/view?usp=drivesdk","5609_MOHAMAD MUSTAJIB _ SERTIFIKAT BerAKHLAK")</f>
        <v>5609_MOHAMAD MUSTAJIB _ SERTIFIKAT BerAKHLAK</v>
      </c>
      <c r="P5610" s="5" t="s">
        <v>36716</v>
      </c>
    </row>
    <row r="5611">
      <c r="A5611" s="4">
        <v>45534.36160375</v>
      </c>
      <c r="B5611" s="5" t="s">
        <v>34</v>
      </c>
      <c r="D5611" s="5" t="s">
        <v>1206</v>
      </c>
      <c r="E5611" s="5" t="s">
        <v>36717</v>
      </c>
      <c r="F5611" s="5" t="s">
        <v>212</v>
      </c>
      <c r="G5611" s="5" t="s">
        <v>36718</v>
      </c>
      <c r="H5611" s="6" t="s">
        <v>36719</v>
      </c>
      <c r="I5611" s="7" t="s">
        <v>36720</v>
      </c>
      <c r="J5611" s="8" t="str">
        <f>HYPERLINK("https://drive.google.com/file/d/1yWPVbiKvPpIAUrtUp9HhpzBT5_R_KCXg/view?usp=drivesdk","AHMAD CHOJIT SERTIFIKAT BerAKHLAK")</f>
        <v>AHMAD CHOJIT SERTIFIKAT BerAKHLAK</v>
      </c>
      <c r="K5611" s="5" t="s">
        <v>36587</v>
      </c>
      <c r="L5611" s="5" t="s">
        <v>36721</v>
      </c>
      <c r="M5611" s="5" t="s">
        <v>36722</v>
      </c>
      <c r="N5611" s="7" t="s">
        <v>36723</v>
      </c>
      <c r="O5611" s="8" t="str">
        <f>HYPERLINK("https://drive.google.com/file/d/1XVexDjZ8blDFii6a7ur71vDoweDmy0hr/view?usp=drivesdk","5610_AHMAD CHOJIT _ SERTIFIKAT BerAKHLAK")</f>
        <v>5610_AHMAD CHOJIT _ SERTIFIKAT BerAKHLAK</v>
      </c>
      <c r="P5611" s="5" t="s">
        <v>36716</v>
      </c>
    </row>
    <row r="5612">
      <c r="A5612" s="4">
        <v>45534.361604895836</v>
      </c>
      <c r="B5612" s="5" t="s">
        <v>34</v>
      </c>
      <c r="D5612" s="5" t="s">
        <v>9020</v>
      </c>
      <c r="E5612" s="5" t="s">
        <v>36724</v>
      </c>
      <c r="F5612" s="5" t="s">
        <v>108</v>
      </c>
      <c r="G5612" s="5" t="s">
        <v>36725</v>
      </c>
      <c r="H5612" s="6" t="s">
        <v>36726</v>
      </c>
      <c r="I5612" s="7" t="s">
        <v>36727</v>
      </c>
      <c r="J5612" s="8" t="str">
        <f>HYPERLINK("https://drive.google.com/file/d/1nq50Erwh6ipIs8afIouk3V09-Z0sdCha/view?usp=drivesdk","LILIF JUM SA'ADAH SERTIFIKAT BerAKHLAK")</f>
        <v>LILIF JUM SA'ADAH SERTIFIKAT BerAKHLAK</v>
      </c>
      <c r="K5612" s="5" t="s">
        <v>36587</v>
      </c>
      <c r="L5612" s="5" t="s">
        <v>36728</v>
      </c>
      <c r="M5612" s="5" t="s">
        <v>36729</v>
      </c>
      <c r="N5612" s="7" t="s">
        <v>36730</v>
      </c>
      <c r="O5612" s="8" t="str">
        <f>HYPERLINK("https://drive.google.com/file/d/1m7rnnd4xAAgmT2RN7DitpQ7W7kbiZvja/view?usp=drivesdk","5611_LILIF JUM SA'ADAH _ SERTIFIKAT BerAKHLAK")</f>
        <v>5611_LILIF JUM SA'ADAH _ SERTIFIKAT BerAKHLAK</v>
      </c>
      <c r="P5612" s="5" t="s">
        <v>36716</v>
      </c>
    </row>
    <row r="5613">
      <c r="A5613" s="4">
        <v>45534.36160633102</v>
      </c>
      <c r="B5613" s="5" t="s">
        <v>34</v>
      </c>
      <c r="D5613" s="5" t="s">
        <v>1206</v>
      </c>
      <c r="E5613" s="5" t="s">
        <v>36731</v>
      </c>
      <c r="F5613" s="5" t="s">
        <v>212</v>
      </c>
      <c r="G5613" s="5" t="s">
        <v>36732</v>
      </c>
      <c r="H5613" s="6" t="s">
        <v>36733</v>
      </c>
      <c r="K5613" s="5" t="s">
        <v>36734</v>
      </c>
      <c r="M5613" s="5" t="s">
        <v>36735</v>
      </c>
      <c r="N5613" s="7" t="s">
        <v>36736</v>
      </c>
      <c r="O5613" s="8" t="str">
        <f>HYPERLINK("https://drive.google.com/file/d/1DH8NjoDIKeFSPeQN6KTC3sXN0XGktxj-/view?usp=drivesdk","5612_PARMAN SETIYAWAN  _ SERTIFIKAT BerAKHLAK")</f>
        <v>5612_PARMAN SETIYAWAN  _ SERTIFIKAT BerAKHLAK</v>
      </c>
      <c r="P5613" s="5" t="s">
        <v>36716</v>
      </c>
    </row>
    <row r="5614" hidden="1">
      <c r="A5614" s="4">
        <v>45534.36161954861</v>
      </c>
      <c r="B5614" s="5" t="s">
        <v>19</v>
      </c>
      <c r="C5614" s="5" t="s">
        <v>14000</v>
      </c>
      <c r="E5614" s="5" t="s">
        <v>36737</v>
      </c>
      <c r="F5614" s="5" t="s">
        <v>375</v>
      </c>
      <c r="G5614" s="5" t="s">
        <v>36738</v>
      </c>
      <c r="H5614" s="6" t="s">
        <v>36739</v>
      </c>
      <c r="K5614" s="5" t="s">
        <v>36734</v>
      </c>
      <c r="M5614" s="5" t="s">
        <v>36740</v>
      </c>
      <c r="N5614" s="7" t="s">
        <v>36741</v>
      </c>
      <c r="O5614" s="8" t="str">
        <f>HYPERLINK("https://drive.google.com/file/d/1XFawnxldavY4YmuXbu_EDgt-uGT2HEFl/view?usp=drivesdk","5613_KRISTINA RESMIYATI _ SERTIFIKAT BerAKHLAK")</f>
        <v>5613_KRISTINA RESMIYATI _ SERTIFIKAT BerAKHLAK</v>
      </c>
      <c r="P5614" s="5" t="s">
        <v>36716</v>
      </c>
    </row>
    <row r="5615" hidden="1">
      <c r="A5615" s="4">
        <v>45534.361631631946</v>
      </c>
      <c r="B5615" s="5" t="s">
        <v>19</v>
      </c>
      <c r="C5615" s="5" t="s">
        <v>292</v>
      </c>
      <c r="E5615" s="5" t="s">
        <v>36742</v>
      </c>
      <c r="F5615" s="5" t="s">
        <v>199</v>
      </c>
      <c r="G5615" s="5" t="s">
        <v>36743</v>
      </c>
      <c r="H5615" s="6" t="s">
        <v>36744</v>
      </c>
      <c r="K5615" s="5" t="s">
        <v>36734</v>
      </c>
      <c r="M5615" s="5" t="s">
        <v>36745</v>
      </c>
      <c r="N5615" s="7" t="s">
        <v>36746</v>
      </c>
      <c r="O5615" s="8" t="str">
        <f>HYPERLINK("https://drive.google.com/file/d/1LNneN1fjsBGvuhfHASWVsDBVtArayE8D/view?usp=drivesdk","5614_NUR WIDAYATI _ SERTIFIKAT BerAKHLAK")</f>
        <v>5614_NUR WIDAYATI _ SERTIFIKAT BerAKHLAK</v>
      </c>
      <c r="P5615" s="5" t="s">
        <v>36747</v>
      </c>
    </row>
    <row r="5616">
      <c r="A5616" s="4">
        <v>45534.36163373843</v>
      </c>
      <c r="B5616" s="5" t="s">
        <v>34</v>
      </c>
      <c r="D5616" s="5" t="s">
        <v>9394</v>
      </c>
      <c r="E5616" s="5" t="s">
        <v>36748</v>
      </c>
      <c r="F5616" s="5" t="s">
        <v>37</v>
      </c>
      <c r="G5616" s="5" t="s">
        <v>36749</v>
      </c>
      <c r="H5616" s="6" t="s">
        <v>36750</v>
      </c>
      <c r="K5616" s="5" t="s">
        <v>36734</v>
      </c>
      <c r="M5616" s="5" t="s">
        <v>36751</v>
      </c>
      <c r="N5616" s="7" t="s">
        <v>36752</v>
      </c>
      <c r="O5616" s="8" t="str">
        <f>HYPERLINK("https://drive.google.com/file/d/1iC-eRTFWKn8x5Op510Nye-sVw2_2NW-Y/view?usp=drivesdk","5615_RIRIN MARINTA, S.E. _ SERTIFIKAT BerAKHLAK")</f>
        <v>5615_RIRIN MARINTA, S.E. _ SERTIFIKAT BerAKHLAK</v>
      </c>
      <c r="P5616" s="5" t="s">
        <v>36747</v>
      </c>
    </row>
    <row r="5617">
      <c r="A5617" s="4">
        <v>45534.361639814815</v>
      </c>
      <c r="B5617" s="5" t="s">
        <v>34</v>
      </c>
      <c r="D5617" s="5" t="s">
        <v>1206</v>
      </c>
      <c r="E5617" s="5" t="s">
        <v>36753</v>
      </c>
      <c r="F5617" s="5" t="s">
        <v>212</v>
      </c>
      <c r="G5617" s="5" t="s">
        <v>36754</v>
      </c>
      <c r="H5617" s="6" t="s">
        <v>36755</v>
      </c>
      <c r="K5617" s="5" t="s">
        <v>36734</v>
      </c>
      <c r="M5617" s="5" t="s">
        <v>36756</v>
      </c>
      <c r="N5617" s="7" t="s">
        <v>36757</v>
      </c>
      <c r="O5617" s="8" t="str">
        <f>HYPERLINK("https://drive.google.com/file/d/1ifKcjqlNsk_2wQl0H0fnktHYsmZhCMIP/view?usp=drivesdk","5616_SRI AMAH _ SERTIFIKAT BerAKHLAK")</f>
        <v>5616_SRI AMAH _ SERTIFIKAT BerAKHLAK</v>
      </c>
      <c r="P5617" s="5" t="s">
        <v>36747</v>
      </c>
    </row>
    <row r="5618">
      <c r="A5618" s="4">
        <v>45534.36164369213</v>
      </c>
      <c r="B5618" s="5" t="s">
        <v>34</v>
      </c>
      <c r="D5618" s="5" t="s">
        <v>580</v>
      </c>
      <c r="E5618" s="5" t="s">
        <v>36758</v>
      </c>
      <c r="F5618" s="5" t="s">
        <v>108</v>
      </c>
      <c r="G5618" s="5" t="s">
        <v>36759</v>
      </c>
      <c r="H5618" s="6" t="s">
        <v>36760</v>
      </c>
      <c r="K5618" s="5" t="s">
        <v>36734</v>
      </c>
      <c r="M5618" s="5" t="s">
        <v>36761</v>
      </c>
      <c r="N5618" s="7" t="s">
        <v>36762</v>
      </c>
      <c r="O5618" s="8" t="str">
        <f>HYPERLINK("https://drive.google.com/file/d/1Jdpcn4fvehu5V5n-bqwQdDtW3ssFhdKg/view?usp=drivesdk","5617_I NYOMAN SUKARYA _ SERTIFIKAT BerAKHLAK")</f>
        <v>5617_I NYOMAN SUKARYA _ SERTIFIKAT BerAKHLAK</v>
      </c>
      <c r="P5618" s="5" t="s">
        <v>36747</v>
      </c>
    </row>
    <row r="5619">
      <c r="A5619" s="4">
        <v>45534.36165005787</v>
      </c>
      <c r="B5619" s="5" t="s">
        <v>34</v>
      </c>
      <c r="D5619" s="5" t="s">
        <v>1692</v>
      </c>
      <c r="E5619" s="5" t="s">
        <v>36763</v>
      </c>
      <c r="F5619" s="5" t="s">
        <v>37</v>
      </c>
      <c r="G5619" s="5" t="s">
        <v>36764</v>
      </c>
      <c r="H5619" s="6" t="s">
        <v>36765</v>
      </c>
      <c r="I5619" s="7" t="s">
        <v>36766</v>
      </c>
      <c r="J5619" s="8" t="str">
        <f>HYPERLINK("https://drive.google.com/file/d/1cRwtAcdTCfDn-I_su7i-dVaTlzI6A8Xm/view?usp=drivesdk","PHILIPUS PAYUNG LANGI,A.MD SERTIFIKAT BerAKHLAK")</f>
        <v>PHILIPUS PAYUNG LANGI,A.MD SERTIFIKAT BerAKHLAK</v>
      </c>
      <c r="K5619" s="5" t="s">
        <v>36183</v>
      </c>
      <c r="L5619" s="5" t="s">
        <v>36767</v>
      </c>
      <c r="M5619" s="5" t="s">
        <v>36768</v>
      </c>
      <c r="N5619" s="7" t="s">
        <v>36769</v>
      </c>
      <c r="O5619" s="8" t="str">
        <f>HYPERLINK("https://drive.google.com/file/d/15UVRplJFMJTRQDEarSrD9M5CwU8iuj1o/view?usp=drivesdk","5618_PHILIPUS PAYUNG LANGI,A.MD _ SERTIFIKAT BerAKHLAK")</f>
        <v>5618_PHILIPUS PAYUNG LANGI,A.MD _ SERTIFIKAT BerAKHLAK</v>
      </c>
      <c r="P5619" s="5" t="s">
        <v>36747</v>
      </c>
    </row>
    <row r="5620">
      <c r="A5620" s="4">
        <v>45534.36165011574</v>
      </c>
      <c r="B5620" s="5" t="s">
        <v>34</v>
      </c>
      <c r="D5620" s="5" t="s">
        <v>4775</v>
      </c>
      <c r="E5620" s="5" t="s">
        <v>36770</v>
      </c>
      <c r="F5620" s="5" t="s">
        <v>72</v>
      </c>
      <c r="G5620" s="5" t="s">
        <v>36771</v>
      </c>
      <c r="H5620" s="6" t="s">
        <v>36772</v>
      </c>
      <c r="I5620" s="7" t="s">
        <v>36773</v>
      </c>
      <c r="J5620" s="8" t="str">
        <f>HYPERLINK("https://drive.google.com/file/d/1eFsZ_BktM9eR0xZTCbrY4Qw7ZawDNfpa/view?usp=drivesdk","MASKURI, S.Kep. SERTIFIKAT BerAKHLAK")</f>
        <v>MASKURI, S.Kep. SERTIFIKAT BerAKHLAK</v>
      </c>
      <c r="K5620" s="5" t="s">
        <v>36183</v>
      </c>
      <c r="L5620" s="5" t="s">
        <v>36774</v>
      </c>
      <c r="M5620" s="5" t="s">
        <v>36775</v>
      </c>
      <c r="N5620" s="7" t="s">
        <v>36776</v>
      </c>
      <c r="O5620" s="8" t="str">
        <f>HYPERLINK("https://drive.google.com/file/d/1mm5qBTjLaJUgL9ulXADPBhhEZ-jpUerb/view?usp=drivesdk","5619_MASKURI, S.Kep. _ SERTIFIKAT BerAKHLAK")</f>
        <v>5619_MASKURI, S.Kep. _ SERTIFIKAT BerAKHLAK</v>
      </c>
      <c r="P5620" s="5" t="s">
        <v>36747</v>
      </c>
    </row>
    <row r="5621">
      <c r="A5621" s="4">
        <v>45534.361683483796</v>
      </c>
      <c r="B5621" s="5" t="s">
        <v>34</v>
      </c>
      <c r="D5621" s="5" t="s">
        <v>11527</v>
      </c>
      <c r="E5621" s="5" t="s">
        <v>36777</v>
      </c>
      <c r="F5621" s="5" t="s">
        <v>37</v>
      </c>
      <c r="G5621" s="5" t="s">
        <v>36778</v>
      </c>
      <c r="H5621" s="6" t="s">
        <v>36779</v>
      </c>
      <c r="I5621" s="7" t="s">
        <v>36780</v>
      </c>
      <c r="J5621" s="8" t="str">
        <f>HYPERLINK("https://drive.google.com/file/d/1mT5d9gu2vFrUxg9gMxdIRwA_mWJMmgYX/view?usp=drivesdk","AMSYE MULDER SERTIFIKAT BerAKHLAK")</f>
        <v>AMSYE MULDER SERTIFIKAT BerAKHLAK</v>
      </c>
      <c r="K5621" s="5" t="s">
        <v>36183</v>
      </c>
      <c r="L5621" s="5" t="s">
        <v>36781</v>
      </c>
      <c r="M5621" s="5" t="s">
        <v>36782</v>
      </c>
      <c r="N5621" s="7" t="s">
        <v>36783</v>
      </c>
      <c r="O5621" s="8" t="str">
        <f>HYPERLINK("https://drive.google.com/file/d/1nAzKD-gUQnBUskW5JvPZKiaQ-IN-Zz4P/view?usp=drivesdk","5620_AMSYE MULDER _ SERTIFIKAT BerAKHLAK")</f>
        <v>5620_AMSYE MULDER _ SERTIFIKAT BerAKHLAK</v>
      </c>
      <c r="P5621" s="5" t="s">
        <v>36784</v>
      </c>
    </row>
    <row r="5622">
      <c r="A5622" s="4">
        <v>45534.36168454861</v>
      </c>
      <c r="B5622" s="5" t="s">
        <v>34</v>
      </c>
      <c r="D5622" s="5" t="s">
        <v>4775</v>
      </c>
      <c r="E5622" s="5" t="s">
        <v>36785</v>
      </c>
      <c r="F5622" s="5" t="s">
        <v>328</v>
      </c>
      <c r="G5622" s="5" t="s">
        <v>36786</v>
      </c>
      <c r="H5622" s="6" t="s">
        <v>36787</v>
      </c>
      <c r="K5622" s="5" t="s">
        <v>36788</v>
      </c>
      <c r="M5622" s="5" t="s">
        <v>36789</v>
      </c>
      <c r="N5622" s="7" t="s">
        <v>36790</v>
      </c>
      <c r="O5622" s="8" t="str">
        <f>HYPERLINK("https://drive.google.com/file/d/1a0EfmFq2cxqIrPazHVjcZTJzT-s7IaHG/view?usp=drivesdk","5621_TURIJO _ SERTIFIKAT BerAKHLAK")</f>
        <v>5621_TURIJO _ SERTIFIKAT BerAKHLAK</v>
      </c>
      <c r="P5622" s="5" t="s">
        <v>36784</v>
      </c>
    </row>
    <row r="5623">
      <c r="A5623" s="4">
        <v>45534.36169160879</v>
      </c>
      <c r="B5623" s="5" t="s">
        <v>34</v>
      </c>
      <c r="D5623" s="5" t="s">
        <v>4775</v>
      </c>
      <c r="E5623" s="5" t="s">
        <v>36791</v>
      </c>
      <c r="F5623" s="5" t="s">
        <v>715</v>
      </c>
      <c r="G5623" s="5" t="s">
        <v>36792</v>
      </c>
      <c r="H5623" s="6" t="s">
        <v>36793</v>
      </c>
      <c r="K5623" s="5" t="s">
        <v>36788</v>
      </c>
      <c r="M5623" s="5" t="s">
        <v>36794</v>
      </c>
      <c r="N5623" s="7" t="s">
        <v>36795</v>
      </c>
      <c r="O5623" s="8" t="str">
        <f>HYPERLINK("https://drive.google.com/file/d/1Lj1l8nipP63hO9xxZno-5PlcgAUZXCoE/view?usp=drivesdk","5622_PRATOMO ADY SAPUTRO, AMK _ SERTIFIKAT BerAKHLAK")</f>
        <v>5622_PRATOMO ADY SAPUTRO, AMK _ SERTIFIKAT BerAKHLAK</v>
      </c>
      <c r="P5623" s="5" t="s">
        <v>36784</v>
      </c>
    </row>
    <row r="5624">
      <c r="A5624" s="4">
        <v>45534.36171091435</v>
      </c>
      <c r="B5624" s="5" t="s">
        <v>34</v>
      </c>
      <c r="D5624" s="5" t="s">
        <v>2903</v>
      </c>
      <c r="E5624" s="5" t="s">
        <v>36796</v>
      </c>
      <c r="F5624" s="5" t="s">
        <v>524</v>
      </c>
      <c r="G5624" s="5" t="s">
        <v>36797</v>
      </c>
      <c r="H5624" s="6" t="s">
        <v>36798</v>
      </c>
      <c r="K5624" s="5" t="s">
        <v>36788</v>
      </c>
      <c r="M5624" s="5" t="s">
        <v>36799</v>
      </c>
      <c r="N5624" s="7" t="s">
        <v>36800</v>
      </c>
      <c r="O5624" s="8" t="str">
        <f>HYPERLINK("https://drive.google.com/file/d/1wjNW1XTN6RkvQTsEKHWAtDOCai773BYJ/view?usp=drivesdk","5623_Rika Tridw Astuti S.Kep _ SERTIFIKAT BerAKHLAK")</f>
        <v>5623_Rika Tridw Astuti S.Kep _ SERTIFIKAT BerAKHLAK</v>
      </c>
      <c r="P5624" s="5" t="s">
        <v>36784</v>
      </c>
    </row>
    <row r="5625">
      <c r="A5625" s="4">
        <v>45534.36173204861</v>
      </c>
      <c r="B5625" s="5" t="s">
        <v>34</v>
      </c>
      <c r="D5625" s="5" t="s">
        <v>1206</v>
      </c>
      <c r="E5625" s="5" t="s">
        <v>36801</v>
      </c>
      <c r="F5625" s="5" t="s">
        <v>375</v>
      </c>
      <c r="G5625" s="5" t="s">
        <v>36802</v>
      </c>
      <c r="H5625" s="6" t="s">
        <v>36803</v>
      </c>
      <c r="K5625" s="5" t="s">
        <v>36788</v>
      </c>
      <c r="M5625" s="5" t="s">
        <v>36804</v>
      </c>
      <c r="N5625" s="7" t="s">
        <v>36805</v>
      </c>
      <c r="O5625" s="8" t="str">
        <f>HYPERLINK("https://drive.google.com/file/d/1yT5hokQmSZWRp42HSZjdhAPs0JT0jJnd/view?usp=drivesdk","5624_ANY ERMAWATI, S. S.  _ SERTIFIKAT BerAKHLAK")</f>
        <v>5624_ANY ERMAWATI, S. S.  _ SERTIFIKAT BerAKHLAK</v>
      </c>
      <c r="P5625" s="5" t="s">
        <v>36784</v>
      </c>
    </row>
    <row r="5626">
      <c r="A5626" s="4">
        <v>45534.36175001157</v>
      </c>
      <c r="B5626" s="5" t="s">
        <v>34</v>
      </c>
      <c r="D5626" s="5" t="s">
        <v>14313</v>
      </c>
      <c r="E5626" s="5" t="s">
        <v>36806</v>
      </c>
      <c r="F5626" s="5" t="s">
        <v>108</v>
      </c>
      <c r="G5626" s="5" t="s">
        <v>36807</v>
      </c>
      <c r="H5626" s="6" t="s">
        <v>36808</v>
      </c>
      <c r="I5626" s="7" t="s">
        <v>36809</v>
      </c>
      <c r="J5626" s="8" t="str">
        <f>HYPERLINK("https://drive.google.com/file/d/1LZY4raZrybi9CLTpg9THhJIuNhfQn00H/view?usp=drivesdk","NURLIYAH SERTIFIKAT BerAKHLAK")</f>
        <v>NURLIYAH SERTIFIKAT BerAKHLAK</v>
      </c>
      <c r="K5626" s="5" t="s">
        <v>36183</v>
      </c>
      <c r="L5626" s="5" t="s">
        <v>36810</v>
      </c>
      <c r="M5626" s="5" t="s">
        <v>36811</v>
      </c>
      <c r="N5626" s="7" t="s">
        <v>36812</v>
      </c>
      <c r="O5626" s="8" t="str">
        <f>HYPERLINK("https://drive.google.com/file/d/1diT8Bn4k1q34hpd2v25fer3Ndn1TkjBI/view?usp=drivesdk","5625_NURLIYAH _ SERTIFIKAT BerAKHLAK")</f>
        <v>5625_NURLIYAH _ SERTIFIKAT BerAKHLAK</v>
      </c>
      <c r="P5626" s="5" t="s">
        <v>36813</v>
      </c>
    </row>
    <row r="5627">
      <c r="A5627" s="4">
        <v>45534.36176836806</v>
      </c>
      <c r="B5627" s="5" t="s">
        <v>34</v>
      </c>
      <c r="D5627" s="5" t="s">
        <v>1206</v>
      </c>
      <c r="E5627" s="5" t="s">
        <v>36814</v>
      </c>
      <c r="F5627" s="5" t="s">
        <v>524</v>
      </c>
      <c r="G5627" s="5" t="s">
        <v>36815</v>
      </c>
      <c r="H5627" s="6" t="s">
        <v>36816</v>
      </c>
      <c r="I5627" s="7" t="s">
        <v>36817</v>
      </c>
      <c r="J5627" s="8" t="str">
        <f>HYPERLINK("https://drive.google.com/file/d/1T3z-JjTu6P0QjSNedrahp0Xz3dvSSb3E/view?usp=drivesdk","PUJI RAHAYU SERTIFIKAT BerAKHLAK")</f>
        <v>PUJI RAHAYU SERTIFIKAT BerAKHLAK</v>
      </c>
      <c r="K5627" s="5" t="s">
        <v>36183</v>
      </c>
      <c r="L5627" s="5" t="s">
        <v>36818</v>
      </c>
      <c r="M5627" s="5" t="s">
        <v>36819</v>
      </c>
      <c r="N5627" s="7" t="s">
        <v>36820</v>
      </c>
      <c r="O5627" s="8" t="str">
        <f>HYPERLINK("https://drive.google.com/file/d/1p_PVznJ0f2FvViIwpqTWolGO1jtT1Q6q/view?usp=drivesdk","5626_PUJI RAHAYU _ SERTIFIKAT BerAKHLAK")</f>
        <v>5626_PUJI RAHAYU _ SERTIFIKAT BerAKHLAK</v>
      </c>
      <c r="P5627" s="5" t="s">
        <v>36813</v>
      </c>
    </row>
    <row r="5628">
      <c r="A5628" s="4">
        <v>45534.361777453705</v>
      </c>
      <c r="B5628" s="5" t="s">
        <v>34</v>
      </c>
      <c r="D5628" s="5" t="s">
        <v>14313</v>
      </c>
      <c r="E5628" s="5" t="s">
        <v>36821</v>
      </c>
      <c r="F5628" s="5" t="s">
        <v>212</v>
      </c>
      <c r="G5628" s="5" t="s">
        <v>36822</v>
      </c>
      <c r="H5628" s="6" t="s">
        <v>36823</v>
      </c>
      <c r="I5628" s="7" t="s">
        <v>36824</v>
      </c>
      <c r="J5628" s="8" t="str">
        <f>HYPERLINK("https://drive.google.com/file/d/1_Sfiv3xB9jAcqczfAE-bRUatSrQ_CzVx/view?usp=drivesdk","YANWAR KARNADI SERTIFIKAT BerAKHLAK")</f>
        <v>YANWAR KARNADI SERTIFIKAT BerAKHLAK</v>
      </c>
      <c r="K5628" s="5" t="s">
        <v>36183</v>
      </c>
      <c r="L5628" s="5" t="s">
        <v>36825</v>
      </c>
      <c r="M5628" s="5" t="s">
        <v>36826</v>
      </c>
      <c r="N5628" s="7" t="s">
        <v>36827</v>
      </c>
      <c r="O5628" s="8" t="str">
        <f>HYPERLINK("https://drive.google.com/file/d/1h4Llecbr98ahE6XZvWMGrFFzcSBY9o_i/view?usp=drivesdk","5627_YANWAR KARNADI _ SERTIFIKAT BerAKHLAK")</f>
        <v>5627_YANWAR KARNADI _ SERTIFIKAT BerAKHLAK</v>
      </c>
      <c r="P5628" s="5" t="s">
        <v>36813</v>
      </c>
    </row>
    <row r="5629">
      <c r="A5629" s="4">
        <v>45534.36178422454</v>
      </c>
      <c r="B5629" s="5" t="s">
        <v>34</v>
      </c>
      <c r="D5629" s="5" t="s">
        <v>522</v>
      </c>
      <c r="E5629" s="5" t="s">
        <v>36828</v>
      </c>
      <c r="F5629" s="5" t="s">
        <v>108</v>
      </c>
      <c r="G5629" s="5" t="s">
        <v>36829</v>
      </c>
      <c r="H5629" s="6" t="s">
        <v>36830</v>
      </c>
      <c r="I5629" s="7" t="s">
        <v>36831</v>
      </c>
      <c r="J5629" s="8" t="str">
        <f>HYPERLINK("https://drive.google.com/file/d/1aAVigmtA5x-69nzRGZkjluOihjsDggiK/view?usp=drivesdk","WIS SAYEKTI SERTIFIKAT BerAKHLAK")</f>
        <v>WIS SAYEKTI SERTIFIKAT BerAKHLAK</v>
      </c>
      <c r="K5629" s="5" t="s">
        <v>36183</v>
      </c>
      <c r="L5629" s="5" t="s">
        <v>36832</v>
      </c>
      <c r="M5629" s="5" t="s">
        <v>36833</v>
      </c>
      <c r="N5629" s="7" t="s">
        <v>36834</v>
      </c>
      <c r="O5629" s="8" t="str">
        <f>HYPERLINK("https://drive.google.com/file/d/1jRBb9rmIwEnsavsSqwqBDmX8IeLKM4tM/view?usp=drivesdk","5628_WIS SAYEKTI _ SERTIFIKAT BerAKHLAK")</f>
        <v>5628_WIS SAYEKTI _ SERTIFIKAT BerAKHLAK</v>
      </c>
      <c r="P5629" s="5" t="s">
        <v>36813</v>
      </c>
    </row>
    <row r="5630">
      <c r="A5630" s="4">
        <v>45534.36178559028</v>
      </c>
      <c r="B5630" s="5" t="s">
        <v>34</v>
      </c>
      <c r="D5630" s="5" t="s">
        <v>1768</v>
      </c>
      <c r="E5630" s="5" t="s">
        <v>36835</v>
      </c>
      <c r="F5630" s="5" t="s">
        <v>212</v>
      </c>
      <c r="G5630" s="5" t="s">
        <v>36836</v>
      </c>
      <c r="H5630" s="6" t="s">
        <v>36837</v>
      </c>
      <c r="I5630" s="7" t="s">
        <v>36838</v>
      </c>
      <c r="J5630" s="8" t="str">
        <f>HYPERLINK("https://drive.google.com/file/d/1Tec-v4piq70CsEzTG3vdt792uEJIsr65/view?usp=drivesdk","DWI MAURINI  SERTIFIKAT BerAKHLAK")</f>
        <v>DWI MAURINI  SERTIFIKAT BerAKHLAK</v>
      </c>
      <c r="K5630" s="5" t="s">
        <v>36183</v>
      </c>
      <c r="L5630" s="5" t="s">
        <v>36839</v>
      </c>
      <c r="M5630" s="5" t="s">
        <v>36840</v>
      </c>
      <c r="N5630" s="7" t="s">
        <v>36841</v>
      </c>
      <c r="O5630" s="8" t="str">
        <f>HYPERLINK("https://drive.google.com/file/d/1QVWgZm3fXEVnaBfs5FeW9wEVYDtd8PUR/view?usp=drivesdk","5629_DWI MAURINI  _ SERTIFIKAT BerAKHLAK")</f>
        <v>5629_DWI MAURINI  _ SERTIFIKAT BerAKHLAK</v>
      </c>
      <c r="P5630" s="5" t="s">
        <v>36842</v>
      </c>
    </row>
    <row r="5631">
      <c r="A5631" s="4">
        <v>45534.36180780093</v>
      </c>
      <c r="B5631" s="5" t="s">
        <v>34</v>
      </c>
      <c r="D5631" s="5" t="s">
        <v>9020</v>
      </c>
      <c r="E5631" s="5" t="s">
        <v>36843</v>
      </c>
      <c r="F5631" s="5" t="s">
        <v>524</v>
      </c>
      <c r="G5631" s="5" t="s">
        <v>36844</v>
      </c>
      <c r="H5631" s="6" t="s">
        <v>36845</v>
      </c>
      <c r="I5631" s="7" t="s">
        <v>36846</v>
      </c>
      <c r="J5631" s="8" t="str">
        <f>HYPERLINK("https://drive.google.com/file/d/15rFKNXrw1lW2-es0vHUfa_Qq3r2PVhMw/view?usp=drivesdk","MARIA, S.M. SERTIFIKAT BerAKHLAK")</f>
        <v>MARIA, S.M. SERTIFIKAT BerAKHLAK</v>
      </c>
      <c r="K5631" s="5" t="s">
        <v>36183</v>
      </c>
      <c r="L5631" s="5" t="s">
        <v>36847</v>
      </c>
      <c r="M5631" s="5" t="s">
        <v>36848</v>
      </c>
      <c r="N5631" s="7" t="s">
        <v>36849</v>
      </c>
      <c r="O5631" s="8" t="str">
        <f>HYPERLINK("https://drive.google.com/file/d/1pDdzCy9rojtnNUyKvghTyrD6CDqXst0J/view?usp=drivesdk","5630_MARIA, S.M. _ SERTIFIKAT BerAKHLAK")</f>
        <v>5630_MARIA, S.M. _ SERTIFIKAT BerAKHLAK</v>
      </c>
      <c r="P5631" s="5" t="s">
        <v>36842</v>
      </c>
    </row>
    <row r="5632">
      <c r="A5632" s="4">
        <v>45534.361808761576</v>
      </c>
      <c r="B5632" s="5" t="s">
        <v>34</v>
      </c>
      <c r="D5632" s="5" t="s">
        <v>4775</v>
      </c>
      <c r="E5632" s="5" t="s">
        <v>36850</v>
      </c>
      <c r="F5632" s="5" t="s">
        <v>37</v>
      </c>
      <c r="G5632" s="5" t="s">
        <v>36851</v>
      </c>
      <c r="H5632" s="6" t="s">
        <v>36852</v>
      </c>
      <c r="I5632" s="7" t="s">
        <v>36853</v>
      </c>
      <c r="J5632" s="8" t="str">
        <f>HYPERLINK("https://drive.google.com/file/d/1qqDnp9KLfO6RZlpc-S9SxZptHuv9BHgt/view?usp=drivesdk","ABDUR ROUF  SERTIFIKAT BerAKHLAK")</f>
        <v>ABDUR ROUF  SERTIFIKAT BerAKHLAK</v>
      </c>
      <c r="K5632" s="5" t="s">
        <v>36183</v>
      </c>
      <c r="L5632" s="5" t="s">
        <v>36854</v>
      </c>
      <c r="M5632" s="5" t="s">
        <v>36855</v>
      </c>
      <c r="N5632" s="7" t="s">
        <v>36856</v>
      </c>
      <c r="O5632" s="8" t="str">
        <f>HYPERLINK("https://drive.google.com/file/d/1DvneeyFN-h45v2j4dG21nCbR64p4ftdn/view?usp=drivesdk","5631_ABDUR ROUF  _ SERTIFIKAT BerAKHLAK")</f>
        <v>5631_ABDUR ROUF  _ SERTIFIKAT BerAKHLAK</v>
      </c>
      <c r="P5632" s="5" t="s">
        <v>36842</v>
      </c>
    </row>
    <row r="5633">
      <c r="A5633" s="4">
        <v>45534.36181666667</v>
      </c>
      <c r="B5633" s="5" t="s">
        <v>34</v>
      </c>
      <c r="D5633" s="5" t="s">
        <v>14313</v>
      </c>
      <c r="E5633" s="5" t="s">
        <v>36857</v>
      </c>
      <c r="F5633" s="5" t="s">
        <v>524</v>
      </c>
      <c r="G5633" s="5" t="s">
        <v>36858</v>
      </c>
      <c r="H5633" s="6" t="s">
        <v>36859</v>
      </c>
      <c r="K5633" s="5" t="s">
        <v>36860</v>
      </c>
      <c r="M5633" s="5" t="s">
        <v>36861</v>
      </c>
      <c r="N5633" s="7" t="s">
        <v>36862</v>
      </c>
      <c r="O5633" s="8" t="str">
        <f>HYPERLINK("https://drive.google.com/file/d/1qO4BCdSYzcigJlXPIy1EcxK5Hvx_8ri4/view?usp=drivesdk","5632_ELSYA KURNIATI _ SERTIFIKAT BerAKHLAK")</f>
        <v>5632_ELSYA KURNIATI _ SERTIFIKAT BerAKHLAK</v>
      </c>
      <c r="P5633" s="5" t="s">
        <v>36842</v>
      </c>
    </row>
    <row r="5634">
      <c r="A5634" s="4">
        <v>45534.36182394676</v>
      </c>
      <c r="B5634" s="5" t="s">
        <v>34</v>
      </c>
      <c r="D5634" s="5" t="s">
        <v>35</v>
      </c>
      <c r="E5634" s="5" t="s">
        <v>36863</v>
      </c>
      <c r="F5634" s="5" t="s">
        <v>524</v>
      </c>
      <c r="G5634" s="5" t="s">
        <v>36864</v>
      </c>
      <c r="H5634" s="6" t="s">
        <v>36865</v>
      </c>
      <c r="K5634" s="5" t="s">
        <v>36860</v>
      </c>
      <c r="M5634" s="5" t="s">
        <v>36866</v>
      </c>
      <c r="N5634" s="7" t="s">
        <v>36867</v>
      </c>
      <c r="O5634" s="8" t="str">
        <f>HYPERLINK("https://drive.google.com/file/d/1CmRPliAt1PgYXZ-Q9YID0jNEmYTCWZUj/view?usp=drivesdk","5633_SITI MARFUAH, S. E.  _ SERTIFIKAT BerAKHLAK")</f>
        <v>5633_SITI MARFUAH, S. E.  _ SERTIFIKAT BerAKHLAK</v>
      </c>
      <c r="P5634" s="5" t="s">
        <v>36868</v>
      </c>
    </row>
    <row r="5635">
      <c r="A5635" s="4">
        <v>45534.36182572917</v>
      </c>
      <c r="B5635" s="5" t="s">
        <v>34</v>
      </c>
      <c r="D5635" s="5" t="s">
        <v>362</v>
      </c>
      <c r="E5635" s="5" t="s">
        <v>36869</v>
      </c>
      <c r="F5635" s="5" t="s">
        <v>108</v>
      </c>
      <c r="G5635" s="5" t="s">
        <v>36870</v>
      </c>
      <c r="H5635" s="6" t="s">
        <v>36871</v>
      </c>
      <c r="K5635" s="5" t="s">
        <v>36860</v>
      </c>
      <c r="M5635" s="5" t="s">
        <v>36872</v>
      </c>
      <c r="N5635" s="7" t="s">
        <v>36873</v>
      </c>
      <c r="O5635" s="8" t="str">
        <f>HYPERLINK("https://drive.google.com/file/d/1be0PBED2t_Gfr-SL2tTIaQHv8xvgmUhT/view?usp=drivesdk","5634_MARHANI, S.E _ SERTIFIKAT BerAKHLAK")</f>
        <v>5634_MARHANI, S.E _ SERTIFIKAT BerAKHLAK</v>
      </c>
      <c r="P5635" s="5" t="s">
        <v>36868</v>
      </c>
    </row>
    <row r="5636">
      <c r="A5636" s="4">
        <v>45534.36183163195</v>
      </c>
      <c r="B5636" s="5" t="s">
        <v>34</v>
      </c>
      <c r="D5636" s="5" t="s">
        <v>10444</v>
      </c>
      <c r="E5636" s="5" t="s">
        <v>36874</v>
      </c>
      <c r="F5636" s="5" t="s">
        <v>524</v>
      </c>
      <c r="G5636" s="5" t="s">
        <v>36875</v>
      </c>
      <c r="H5636" s="6" t="s">
        <v>36876</v>
      </c>
      <c r="K5636" s="5" t="s">
        <v>36860</v>
      </c>
      <c r="M5636" s="5" t="s">
        <v>36877</v>
      </c>
      <c r="N5636" s="7" t="s">
        <v>36878</v>
      </c>
      <c r="O5636" s="8" t="str">
        <f>HYPERLINK("https://drive.google.com/file/d/14MNHGsJErI6zrkICRs8eYGvSmUB6UT57/view?usp=drivesdk","5635_INDAH AZHARI PUTRI , S.H _ SERTIFIKAT BerAKHLAK")</f>
        <v>5635_INDAH AZHARI PUTRI , S.H _ SERTIFIKAT BerAKHLAK</v>
      </c>
      <c r="P5636" s="5" t="s">
        <v>36868</v>
      </c>
    </row>
    <row r="5637">
      <c r="A5637" s="4">
        <v>45534.36183164352</v>
      </c>
      <c r="B5637" s="5" t="s">
        <v>34</v>
      </c>
      <c r="D5637" s="5" t="s">
        <v>14313</v>
      </c>
      <c r="E5637" s="5" t="s">
        <v>36879</v>
      </c>
      <c r="F5637" s="5" t="s">
        <v>375</v>
      </c>
      <c r="G5637" s="5" t="s">
        <v>36880</v>
      </c>
      <c r="H5637" s="6" t="s">
        <v>36881</v>
      </c>
      <c r="I5637" s="7" t="s">
        <v>36882</v>
      </c>
      <c r="J5637" s="8" t="str">
        <f>HYPERLINK("https://drive.google.com/file/d/1BPzaPrLE9G8Enwdi1KDUySwLluKXOkaI/view?usp=drivesdk","MUHAMMAD SYARIF, SE SERTIFIKAT BerAKHLAK")</f>
        <v>MUHAMMAD SYARIF, SE SERTIFIKAT BerAKHLAK</v>
      </c>
      <c r="K5637" s="5" t="s">
        <v>36183</v>
      </c>
      <c r="L5637" s="5" t="s">
        <v>36883</v>
      </c>
      <c r="M5637" s="5" t="s">
        <v>36884</v>
      </c>
      <c r="N5637" s="7" t="s">
        <v>36885</v>
      </c>
      <c r="O5637" s="8" t="str">
        <f>HYPERLINK("https://drive.google.com/file/d/1V1RFj93XQoDFGuFiU5mRDrPKrd_xVG0q/view?usp=drivesdk","5636_MUHAMMAD SYARIF, SE _ SERTIFIKAT BerAKHLAK")</f>
        <v>5636_MUHAMMAD SYARIF, SE _ SERTIFIKAT BerAKHLAK</v>
      </c>
      <c r="P5637" s="5" t="s">
        <v>36868</v>
      </c>
    </row>
    <row r="5638">
      <c r="A5638" s="4">
        <v>45534.36184171296</v>
      </c>
      <c r="B5638" s="5" t="s">
        <v>34</v>
      </c>
      <c r="D5638" s="5" t="s">
        <v>1206</v>
      </c>
      <c r="E5638" s="5" t="s">
        <v>36886</v>
      </c>
      <c r="F5638" s="5" t="s">
        <v>375</v>
      </c>
      <c r="G5638" s="5" t="s">
        <v>36887</v>
      </c>
      <c r="H5638" s="6" t="s">
        <v>36888</v>
      </c>
      <c r="I5638" s="7" t="s">
        <v>36889</v>
      </c>
      <c r="J5638" s="8" t="str">
        <f>HYPERLINK("https://drive.google.com/file/d/1NOsDG63xIeLu_CzDLIBJPIXesMXH0Sjy/view?usp=drivesdk","ENDAH SRI B SERTIFIKAT BerAKHLAK")</f>
        <v>ENDAH SRI B SERTIFIKAT BerAKHLAK</v>
      </c>
      <c r="K5638" s="5" t="s">
        <v>36183</v>
      </c>
      <c r="L5638" s="5" t="s">
        <v>36890</v>
      </c>
      <c r="M5638" s="5" t="s">
        <v>36891</v>
      </c>
      <c r="N5638" s="7" t="s">
        <v>36892</v>
      </c>
      <c r="O5638" s="8" t="str">
        <f>HYPERLINK("https://drive.google.com/file/d/1Bbo-Pba9uLZmV_GxkpB1hu_3LpkC2mTx/view?usp=drivesdk","5637_ENDAH SRI B _ SERTIFIKAT BerAKHLAK")</f>
        <v>5637_ENDAH SRI B _ SERTIFIKAT BerAKHLAK</v>
      </c>
      <c r="P5638" s="5" t="s">
        <v>36868</v>
      </c>
    </row>
    <row r="5639">
      <c r="A5639" s="4">
        <v>45534.36185730324</v>
      </c>
      <c r="B5639" s="5" t="s">
        <v>34</v>
      </c>
      <c r="D5639" s="5" t="s">
        <v>14313</v>
      </c>
      <c r="E5639" s="5" t="s">
        <v>36893</v>
      </c>
      <c r="F5639" s="5" t="s">
        <v>212</v>
      </c>
      <c r="G5639" s="5" t="s">
        <v>36894</v>
      </c>
      <c r="H5639" s="6" t="s">
        <v>36895</v>
      </c>
      <c r="I5639" s="7" t="s">
        <v>36896</v>
      </c>
      <c r="J5639" s="8" t="str">
        <f>HYPERLINK("https://drive.google.com/file/d/1HWF5lWqO-PS5wGlD3xBftlIBtuWtF6Pp/view?usp=drivesdk","NIRMAWATI, S.A.P SERTIFIKAT BerAKHLAK")</f>
        <v>NIRMAWATI, S.A.P SERTIFIKAT BerAKHLAK</v>
      </c>
      <c r="K5639" s="5" t="s">
        <v>36183</v>
      </c>
      <c r="L5639" s="5" t="s">
        <v>36897</v>
      </c>
      <c r="M5639" s="5" t="s">
        <v>36898</v>
      </c>
      <c r="N5639" s="7" t="s">
        <v>36899</v>
      </c>
      <c r="O5639" s="8" t="str">
        <f>HYPERLINK("https://drive.google.com/file/d/1vmEkHrqLLeum8362CfgMrJqT8PprCFfw/view?usp=drivesdk","5638_NIRMAWATI, S.A.P _ SERTIFIKAT BerAKHLAK")</f>
        <v>5638_NIRMAWATI, S.A.P _ SERTIFIKAT BerAKHLAK</v>
      </c>
      <c r="P5639" s="5" t="s">
        <v>36900</v>
      </c>
    </row>
    <row r="5640">
      <c r="A5640" s="4">
        <v>45534.36186315972</v>
      </c>
      <c r="B5640" s="5" t="s">
        <v>34</v>
      </c>
      <c r="D5640" s="5" t="s">
        <v>14313</v>
      </c>
      <c r="E5640" s="5" t="s">
        <v>36901</v>
      </c>
      <c r="F5640" s="5" t="s">
        <v>524</v>
      </c>
      <c r="G5640" s="5" t="s">
        <v>36902</v>
      </c>
      <c r="H5640" s="6" t="s">
        <v>36903</v>
      </c>
      <c r="I5640" s="7" t="s">
        <v>36904</v>
      </c>
      <c r="J5640" s="8" t="str">
        <f>HYPERLINK("https://drive.google.com/file/d/1hEy9jBye_ggPjlNYN5_8VtXb43BOp6n7/view?usp=drivesdk","NURBAYA. SE SERTIFIKAT BerAKHLAK")</f>
        <v>NURBAYA. SE SERTIFIKAT BerAKHLAK</v>
      </c>
      <c r="K5640" s="5" t="s">
        <v>36587</v>
      </c>
      <c r="L5640" s="5" t="s">
        <v>36905</v>
      </c>
      <c r="M5640" s="5" t="s">
        <v>36906</v>
      </c>
      <c r="N5640" s="7" t="s">
        <v>36907</v>
      </c>
      <c r="O5640" s="8" t="str">
        <f>HYPERLINK("https://drive.google.com/file/d/1-WXovUkFRKkCFy-jArqiaIdSLuK9pXxr/view?usp=drivesdk","5639_NURBAYA. SE _ SERTIFIKAT BerAKHLAK")</f>
        <v>5639_NURBAYA. SE _ SERTIFIKAT BerAKHLAK</v>
      </c>
      <c r="P5640" s="5" t="s">
        <v>36900</v>
      </c>
    </row>
    <row r="5641">
      <c r="A5641" s="4">
        <v>45534.36186934028</v>
      </c>
      <c r="B5641" s="5" t="s">
        <v>34</v>
      </c>
      <c r="D5641" s="5" t="s">
        <v>1206</v>
      </c>
      <c r="E5641" s="5" t="s">
        <v>36908</v>
      </c>
      <c r="F5641" s="5" t="s">
        <v>715</v>
      </c>
      <c r="G5641" s="5" t="s">
        <v>36909</v>
      </c>
      <c r="H5641" s="6" t="s">
        <v>36910</v>
      </c>
      <c r="K5641" s="5" t="s">
        <v>36911</v>
      </c>
      <c r="M5641" s="5" t="s">
        <v>36912</v>
      </c>
      <c r="N5641" s="7" t="s">
        <v>36913</v>
      </c>
      <c r="O5641" s="8" t="str">
        <f>HYPERLINK("https://drive.google.com/file/d/1rexHgGPRpVOArIFJxp3Lhhb9X2Xtf2JQ/view?usp=drivesdk","5640_DEVI TRIAWAN ,A.md.Kep  _ SERTIFIKAT BerAKHLAK")</f>
        <v>5640_DEVI TRIAWAN ,A.md.Kep  _ SERTIFIKAT BerAKHLAK</v>
      </c>
      <c r="P5641" s="5" t="s">
        <v>36900</v>
      </c>
    </row>
    <row r="5642">
      <c r="A5642" s="4">
        <v>45534.361873773145</v>
      </c>
      <c r="B5642" s="5" t="s">
        <v>34</v>
      </c>
      <c r="D5642" s="5" t="s">
        <v>9394</v>
      </c>
      <c r="E5642" s="5" t="s">
        <v>36914</v>
      </c>
      <c r="F5642" s="5" t="s">
        <v>72</v>
      </c>
      <c r="G5642" s="5" t="s">
        <v>36915</v>
      </c>
      <c r="H5642" s="6" t="s">
        <v>36916</v>
      </c>
      <c r="K5642" s="5" t="s">
        <v>36911</v>
      </c>
      <c r="M5642" s="5" t="s">
        <v>36917</v>
      </c>
      <c r="N5642" s="7" t="s">
        <v>36918</v>
      </c>
      <c r="O5642" s="8" t="str">
        <f>HYPERLINK("https://drive.google.com/file/d/1_9lEmxK1UVvPFW9vsh-v_08dbssi3-5q/view?usp=drivesdk","5641_DESI MULIYANA. S.Pi _ SERTIFIKAT BerAKHLAK")</f>
        <v>5641_DESI MULIYANA. S.Pi _ SERTIFIKAT BerAKHLAK</v>
      </c>
      <c r="P5642" s="5" t="s">
        <v>36900</v>
      </c>
    </row>
    <row r="5643">
      <c r="A5643" s="4">
        <v>45534.361876944444</v>
      </c>
      <c r="B5643" s="5" t="s">
        <v>34</v>
      </c>
      <c r="D5643" s="5" t="s">
        <v>1206</v>
      </c>
      <c r="E5643" s="5" t="s">
        <v>24314</v>
      </c>
      <c r="F5643" s="5" t="s">
        <v>328</v>
      </c>
      <c r="G5643" s="5" t="s">
        <v>36919</v>
      </c>
      <c r="H5643" s="6" t="s">
        <v>36920</v>
      </c>
      <c r="K5643" s="5" t="s">
        <v>36911</v>
      </c>
      <c r="M5643" s="5" t="s">
        <v>36921</v>
      </c>
      <c r="N5643" s="7" t="s">
        <v>36922</v>
      </c>
      <c r="O5643" s="8" t="str">
        <f>HYPERLINK("https://drive.google.com/file/d/17x375CReAmEFn43WCbZjWCrXFvXT42Vs/view?usp=drivesdk","5642_SUBANDI _ SERTIFIKAT BerAKHLAK")</f>
        <v>5642_SUBANDI _ SERTIFIKAT BerAKHLAK</v>
      </c>
      <c r="P5643" s="5" t="s">
        <v>36900</v>
      </c>
    </row>
    <row r="5644">
      <c r="A5644" s="4">
        <v>45534.3618796875</v>
      </c>
      <c r="B5644" s="5" t="s">
        <v>34</v>
      </c>
      <c r="D5644" s="5" t="s">
        <v>1206</v>
      </c>
      <c r="E5644" s="5" t="s">
        <v>36923</v>
      </c>
      <c r="F5644" s="5" t="s">
        <v>37</v>
      </c>
      <c r="G5644" s="5" t="s">
        <v>36924</v>
      </c>
      <c r="H5644" s="6" t="s">
        <v>36925</v>
      </c>
      <c r="K5644" s="5" t="s">
        <v>36911</v>
      </c>
      <c r="M5644" s="5" t="s">
        <v>36926</v>
      </c>
      <c r="N5644" s="7" t="s">
        <v>36927</v>
      </c>
      <c r="O5644" s="8" t="str">
        <f>HYPERLINK("https://drive.google.com/file/d/1YR3gLZReaMZrZeHYHikVTm-txDMGQPl7/view?usp=drivesdk","5643_DJUMIATI _ SERTIFIKAT BerAKHLAK")</f>
        <v>5643_DJUMIATI _ SERTIFIKAT BerAKHLAK</v>
      </c>
      <c r="P5644" s="5" t="s">
        <v>36928</v>
      </c>
    </row>
    <row r="5645">
      <c r="A5645" s="4">
        <v>45534.361892870365</v>
      </c>
      <c r="B5645" s="5" t="s">
        <v>34</v>
      </c>
      <c r="D5645" s="5" t="s">
        <v>1206</v>
      </c>
      <c r="E5645" s="5" t="s">
        <v>31324</v>
      </c>
      <c r="F5645" s="5" t="s">
        <v>212</v>
      </c>
      <c r="G5645" s="5" t="s">
        <v>36929</v>
      </c>
      <c r="H5645" s="6" t="s">
        <v>36930</v>
      </c>
      <c r="I5645" s="7" t="s">
        <v>36931</v>
      </c>
      <c r="J5645" s="8" t="str">
        <f>HYPERLINK("https://drive.google.com/file/d/18aom2I2sXjC0SVLyklJg3F6wIf8dlViP/view?usp=drivesdk","ARIFIN SERTIFIKAT BerAKHLAK")</f>
        <v>ARIFIN SERTIFIKAT BerAKHLAK</v>
      </c>
      <c r="K5645" s="5" t="s">
        <v>36183</v>
      </c>
      <c r="L5645" s="5" t="s">
        <v>36932</v>
      </c>
      <c r="M5645" s="5" t="s">
        <v>36933</v>
      </c>
      <c r="N5645" s="7" t="s">
        <v>36934</v>
      </c>
      <c r="O5645" s="8" t="str">
        <f>HYPERLINK("https://drive.google.com/file/d/16VsftwAk0_rZrWeGFrLWqbo_Cn7JnqNO/view?usp=drivesdk","5644_ARIFIN _ SERTIFIKAT BerAKHLAK")</f>
        <v>5644_ARIFIN _ SERTIFIKAT BerAKHLAK</v>
      </c>
      <c r="P5645" s="5" t="s">
        <v>36928</v>
      </c>
    </row>
    <row r="5646">
      <c r="A5646" s="4">
        <v>45534.36189571759</v>
      </c>
      <c r="B5646" s="5" t="s">
        <v>34</v>
      </c>
      <c r="D5646" s="5" t="s">
        <v>10444</v>
      </c>
      <c r="E5646" s="5" t="s">
        <v>36935</v>
      </c>
      <c r="F5646" s="5" t="s">
        <v>72</v>
      </c>
      <c r="G5646" s="5" t="s">
        <v>36936</v>
      </c>
      <c r="H5646" s="6" t="s">
        <v>36937</v>
      </c>
      <c r="K5646" s="5" t="s">
        <v>36938</v>
      </c>
      <c r="M5646" s="5" t="s">
        <v>36939</v>
      </c>
      <c r="N5646" s="7" t="s">
        <v>36940</v>
      </c>
      <c r="O5646" s="8" t="str">
        <f>HYPERLINK("https://drive.google.com/file/d/1VW0kVLn3X5PAJPKt4ow2BxkCF2GE8OvB/view?usp=drivesdk","5645_TRI WIBOWO _ SERTIFIKAT BerAKHLAK")</f>
        <v>5645_TRI WIBOWO _ SERTIFIKAT BerAKHLAK</v>
      </c>
      <c r="P5646" s="5" t="s">
        <v>36928</v>
      </c>
    </row>
    <row r="5647">
      <c r="A5647" s="4">
        <v>45534.36189825232</v>
      </c>
      <c r="B5647" s="5" t="s">
        <v>34</v>
      </c>
      <c r="D5647" s="5" t="s">
        <v>14424</v>
      </c>
      <c r="E5647" s="5" t="s">
        <v>36941</v>
      </c>
      <c r="F5647" s="5" t="s">
        <v>375</v>
      </c>
      <c r="G5647" s="5" t="s">
        <v>36942</v>
      </c>
      <c r="H5647" s="6" t="s">
        <v>36943</v>
      </c>
      <c r="K5647" s="5" t="s">
        <v>36938</v>
      </c>
      <c r="M5647" s="5" t="s">
        <v>36944</v>
      </c>
      <c r="N5647" s="7" t="s">
        <v>36945</v>
      </c>
      <c r="O5647" s="8" t="str">
        <f>HYPERLINK("https://drive.google.com/file/d/1u698RGsv_TQRhEKyrR5vI4Nxyg0vhCDk/view?usp=drivesdk","5646_ETI YUSNITA, SKM _ SERTIFIKAT BerAKHLAK")</f>
        <v>5646_ETI YUSNITA, SKM _ SERTIFIKAT BerAKHLAK</v>
      </c>
      <c r="P5647" s="5" t="s">
        <v>36928</v>
      </c>
    </row>
    <row r="5648">
      <c r="A5648" s="4">
        <v>45534.3619008449</v>
      </c>
      <c r="B5648" s="5" t="s">
        <v>34</v>
      </c>
      <c r="D5648" s="5" t="s">
        <v>1558</v>
      </c>
      <c r="E5648" s="5" t="s">
        <v>36946</v>
      </c>
      <c r="F5648" s="5" t="s">
        <v>108</v>
      </c>
      <c r="G5648" s="5" t="s">
        <v>36947</v>
      </c>
      <c r="H5648" s="6" t="s">
        <v>36948</v>
      </c>
      <c r="K5648" s="5" t="s">
        <v>36938</v>
      </c>
      <c r="M5648" s="5" t="s">
        <v>36949</v>
      </c>
      <c r="N5648" s="7" t="s">
        <v>36950</v>
      </c>
      <c r="O5648" s="8" t="str">
        <f>HYPERLINK("https://drive.google.com/file/d/1e40i0HYwzdTfBXRs_Wutkjh_sqms1s0-/view?usp=drivesdk","5647_NANDANG ISMAIL _ SERTIFIKAT BerAKHLAK")</f>
        <v>5647_NANDANG ISMAIL _ SERTIFIKAT BerAKHLAK</v>
      </c>
      <c r="P5648" s="5" t="s">
        <v>36928</v>
      </c>
    </row>
    <row r="5649">
      <c r="A5649" s="4">
        <v>45534.36190164352</v>
      </c>
      <c r="B5649" s="5" t="s">
        <v>34</v>
      </c>
      <c r="D5649" s="5" t="s">
        <v>15401</v>
      </c>
      <c r="E5649" s="5" t="s">
        <v>36951</v>
      </c>
      <c r="F5649" s="5" t="s">
        <v>212</v>
      </c>
      <c r="G5649" s="5" t="s">
        <v>36952</v>
      </c>
      <c r="H5649" s="6" t="s">
        <v>36953</v>
      </c>
      <c r="K5649" s="5" t="s">
        <v>36938</v>
      </c>
      <c r="M5649" s="5" t="s">
        <v>36954</v>
      </c>
      <c r="N5649" s="7" t="s">
        <v>36955</v>
      </c>
      <c r="O5649" s="8" t="str">
        <f>HYPERLINK("https://drive.google.com/file/d/1oP29yg3qylZRrDZt9vIFoZPHNl-etAQ0/view?usp=drivesdk","5648_ANDI YULITHA RASYID _ SERTIFIKAT BerAKHLAK")</f>
        <v>5648_ANDI YULITHA RASYID _ SERTIFIKAT BerAKHLAK</v>
      </c>
      <c r="P5649" s="5" t="s">
        <v>36956</v>
      </c>
    </row>
    <row r="5650">
      <c r="A5650" s="4">
        <v>45534.36191122685</v>
      </c>
      <c r="B5650" s="5" t="s">
        <v>34</v>
      </c>
      <c r="D5650" s="5" t="s">
        <v>1206</v>
      </c>
      <c r="E5650" s="5" t="s">
        <v>36957</v>
      </c>
      <c r="F5650" s="5" t="s">
        <v>212</v>
      </c>
      <c r="G5650" s="5" t="s">
        <v>36958</v>
      </c>
      <c r="H5650" s="6" t="s">
        <v>36959</v>
      </c>
      <c r="K5650" s="5" t="s">
        <v>36938</v>
      </c>
      <c r="M5650" s="5" t="s">
        <v>36960</v>
      </c>
      <c r="N5650" s="7" t="s">
        <v>36961</v>
      </c>
      <c r="O5650" s="8" t="str">
        <f>HYPERLINK("https://drive.google.com/file/d/1fCB92IzjXjYkUhMDqgOVJ2eNCunam23G/view?usp=drivesdk","5649_TITIN SUPAIROH  _ SERTIFIKAT BerAKHLAK")</f>
        <v>5649_TITIN SUPAIROH  _ SERTIFIKAT BerAKHLAK</v>
      </c>
      <c r="P5650" s="5" t="s">
        <v>36956</v>
      </c>
    </row>
    <row r="5651">
      <c r="A5651" s="4">
        <v>45534.36191245371</v>
      </c>
      <c r="B5651" s="5" t="s">
        <v>34</v>
      </c>
      <c r="D5651" s="5" t="s">
        <v>4775</v>
      </c>
      <c r="E5651" s="5" t="s">
        <v>16453</v>
      </c>
      <c r="F5651" s="5" t="s">
        <v>37</v>
      </c>
      <c r="G5651" s="5" t="s">
        <v>36962</v>
      </c>
      <c r="H5651" s="6" t="s">
        <v>36963</v>
      </c>
      <c r="K5651" s="5" t="s">
        <v>36938</v>
      </c>
      <c r="M5651" s="5" t="s">
        <v>36964</v>
      </c>
      <c r="N5651" s="7" t="s">
        <v>36965</v>
      </c>
      <c r="O5651" s="8" t="str">
        <f>HYPERLINK("https://drive.google.com/file/d/1jpntLUXuPvHUBzVFBGUrabkVo_9Za4eW/view?usp=drivesdk","5650_SRI RAHAYU _ SERTIFIKAT BerAKHLAK")</f>
        <v>5650_SRI RAHAYU _ SERTIFIKAT BerAKHLAK</v>
      </c>
      <c r="P5651" s="5" t="s">
        <v>36956</v>
      </c>
    </row>
    <row r="5652">
      <c r="A5652" s="4">
        <v>45534.36191515047</v>
      </c>
      <c r="B5652" s="5" t="s">
        <v>34</v>
      </c>
      <c r="D5652" s="5" t="s">
        <v>15401</v>
      </c>
      <c r="E5652" s="5" t="s">
        <v>36966</v>
      </c>
      <c r="F5652" s="5" t="s">
        <v>108</v>
      </c>
      <c r="G5652" s="5" t="s">
        <v>36967</v>
      </c>
      <c r="H5652" s="6" t="s">
        <v>36968</v>
      </c>
      <c r="K5652" s="5" t="s">
        <v>36938</v>
      </c>
      <c r="M5652" s="5" t="s">
        <v>36969</v>
      </c>
      <c r="N5652" s="7" t="s">
        <v>36970</v>
      </c>
      <c r="O5652" s="8" t="str">
        <f>HYPERLINK("https://drive.google.com/file/d/19I8T-vtNFM1ex2fIeVJRfV1GuwUtbuza/view?usp=drivesdk","5651_MARIA DATUAN SALINDING _ SERTIFIKAT BerAKHLAK")</f>
        <v>5651_MARIA DATUAN SALINDING _ SERTIFIKAT BerAKHLAK</v>
      </c>
      <c r="P5652" s="5" t="s">
        <v>36971</v>
      </c>
    </row>
    <row r="5653">
      <c r="A5653" s="4">
        <v>45534.36191797454</v>
      </c>
      <c r="B5653" s="5" t="s">
        <v>34</v>
      </c>
      <c r="D5653" s="5" t="s">
        <v>14313</v>
      </c>
      <c r="E5653" s="5" t="s">
        <v>36972</v>
      </c>
      <c r="F5653" s="5" t="s">
        <v>37</v>
      </c>
      <c r="G5653" s="5" t="s">
        <v>36973</v>
      </c>
      <c r="H5653" s="6" t="s">
        <v>36974</v>
      </c>
      <c r="K5653" s="5" t="s">
        <v>36938</v>
      </c>
      <c r="M5653" s="5" t="s">
        <v>36975</v>
      </c>
      <c r="N5653" s="7" t="s">
        <v>36976</v>
      </c>
      <c r="O5653" s="8" t="str">
        <f>HYPERLINK("https://drive.google.com/file/d/1c5c1kewqdgFBlUCAgm4t4CbJuh26rFpV/view?usp=drivesdk","5652_RUSTANBUSTAN _ SERTIFIKAT BerAKHLAK")</f>
        <v>5652_RUSTANBUSTAN _ SERTIFIKAT BerAKHLAK</v>
      </c>
      <c r="P5653" s="5" t="s">
        <v>36971</v>
      </c>
    </row>
    <row r="5654">
      <c r="A5654" s="4">
        <v>45534.36192070602</v>
      </c>
      <c r="B5654" s="5" t="s">
        <v>34</v>
      </c>
      <c r="D5654" s="5" t="s">
        <v>4775</v>
      </c>
      <c r="E5654" s="5" t="s">
        <v>36977</v>
      </c>
      <c r="F5654" s="5" t="s">
        <v>37</v>
      </c>
      <c r="G5654" s="5" t="s">
        <v>36978</v>
      </c>
      <c r="H5654" s="6" t="s">
        <v>36979</v>
      </c>
      <c r="K5654" s="5" t="s">
        <v>36980</v>
      </c>
      <c r="M5654" s="5" t="s">
        <v>36981</v>
      </c>
      <c r="N5654" s="7" t="s">
        <v>36982</v>
      </c>
      <c r="O5654" s="8" t="str">
        <f>HYPERLINK("https://drive.google.com/file/d/1wipabYmve2pc3rHQyKxa11VdC5Og4Jpb/view?usp=drivesdk","5653_BUDININGSIH _ SERTIFIKAT BerAKHLAK")</f>
        <v>5653_BUDININGSIH _ SERTIFIKAT BerAKHLAK</v>
      </c>
      <c r="P5654" s="5" t="s">
        <v>36971</v>
      </c>
    </row>
    <row r="5655">
      <c r="A5655" s="4">
        <v>45534.36192934027</v>
      </c>
      <c r="B5655" s="5" t="s">
        <v>34</v>
      </c>
      <c r="D5655" s="5" t="s">
        <v>1206</v>
      </c>
      <c r="E5655" s="5" t="s">
        <v>36983</v>
      </c>
      <c r="F5655" s="5" t="s">
        <v>37</v>
      </c>
      <c r="G5655" s="5" t="s">
        <v>36984</v>
      </c>
      <c r="H5655" s="6" t="s">
        <v>36985</v>
      </c>
      <c r="K5655" s="5" t="s">
        <v>36980</v>
      </c>
      <c r="M5655" s="5" t="s">
        <v>36986</v>
      </c>
      <c r="N5655" s="7" t="s">
        <v>36987</v>
      </c>
      <c r="O5655" s="8" t="str">
        <f>HYPERLINK("https://drive.google.com/file/d/1TI4hfHJv3a0ilRUVsAAft4DAH1aSPeVD/view?usp=drivesdk","5654_AGUS MULYONO _ SERTIFIKAT BerAKHLAK")</f>
        <v>5654_AGUS MULYONO _ SERTIFIKAT BerAKHLAK</v>
      </c>
      <c r="P5655" s="5" t="s">
        <v>36971</v>
      </c>
    </row>
    <row r="5656">
      <c r="A5656" s="4">
        <v>45534.36194105324</v>
      </c>
      <c r="B5656" s="5" t="s">
        <v>34</v>
      </c>
      <c r="D5656" s="5" t="s">
        <v>35</v>
      </c>
      <c r="E5656" s="5" t="s">
        <v>36988</v>
      </c>
      <c r="F5656" s="5" t="s">
        <v>37</v>
      </c>
      <c r="G5656" s="5" t="s">
        <v>36989</v>
      </c>
      <c r="H5656" s="6" t="s">
        <v>36990</v>
      </c>
      <c r="K5656" s="5" t="s">
        <v>36980</v>
      </c>
      <c r="M5656" s="5" t="s">
        <v>36991</v>
      </c>
      <c r="N5656" s="7" t="s">
        <v>36992</v>
      </c>
      <c r="O5656" s="8" t="str">
        <f>HYPERLINK("https://drive.google.com/file/d/17HWmk1d4dYwOZzfqomae1lLJsf78XTJm/view?usp=drivesdk","5655_TRI AYU OKTAVIANY, A.Md.Gz _ SERTIFIKAT BerAKHLAK")</f>
        <v>5655_TRI AYU OKTAVIANY, A.Md.Gz _ SERTIFIKAT BerAKHLAK</v>
      </c>
      <c r="P5656" s="5" t="s">
        <v>36993</v>
      </c>
    </row>
    <row r="5657">
      <c r="A5657" s="4">
        <v>45534.361950624996</v>
      </c>
      <c r="B5657" s="5" t="s">
        <v>34</v>
      </c>
      <c r="D5657" s="5" t="s">
        <v>35</v>
      </c>
      <c r="E5657" s="5" t="s">
        <v>36994</v>
      </c>
      <c r="F5657" s="5" t="s">
        <v>524</v>
      </c>
      <c r="G5657" s="5" t="s">
        <v>36995</v>
      </c>
      <c r="H5657" s="6" t="s">
        <v>36996</v>
      </c>
      <c r="K5657" s="5" t="s">
        <v>36980</v>
      </c>
      <c r="M5657" s="5" t="s">
        <v>36997</v>
      </c>
      <c r="N5657" s="7" t="s">
        <v>36998</v>
      </c>
      <c r="O5657" s="8" t="str">
        <f>HYPERLINK("https://drive.google.com/file/d/1yN2xNrTrovB7175cNK-DlMKhxnYkRNkR/view?usp=drivesdk","5656_DWI NATALIA ANGGRAINI, S.K.M _ SERTIFIKAT BerAKHLAK")</f>
        <v>5656_DWI NATALIA ANGGRAINI, S.K.M _ SERTIFIKAT BerAKHLAK</v>
      </c>
      <c r="P5657" s="5" t="s">
        <v>36993</v>
      </c>
    </row>
    <row r="5658">
      <c r="A5658" s="4">
        <v>45534.36195358796</v>
      </c>
      <c r="B5658" s="5" t="s">
        <v>34</v>
      </c>
      <c r="D5658" s="5" t="s">
        <v>2903</v>
      </c>
      <c r="E5658" s="5" t="s">
        <v>36999</v>
      </c>
      <c r="F5658" s="5" t="s">
        <v>524</v>
      </c>
      <c r="G5658" s="5" t="s">
        <v>37000</v>
      </c>
      <c r="H5658" s="6" t="s">
        <v>37001</v>
      </c>
      <c r="K5658" s="5" t="s">
        <v>36980</v>
      </c>
      <c r="M5658" s="5" t="s">
        <v>37002</v>
      </c>
      <c r="N5658" s="7" t="s">
        <v>37003</v>
      </c>
      <c r="O5658" s="8" t="str">
        <f>HYPERLINK("https://drive.google.com/file/d/14pnhpYRlSCfOkqEZJV_jtn73woOfbWQF/view?usp=drivesdk","5657_EPA SUSANTI, S.I.kom _ SERTIFIKAT BerAKHLAK")</f>
        <v>5657_EPA SUSANTI, S.I.kom _ SERTIFIKAT BerAKHLAK</v>
      </c>
      <c r="P5658" s="5" t="s">
        <v>36993</v>
      </c>
    </row>
    <row r="5659">
      <c r="A5659" s="4">
        <v>45534.36195983796</v>
      </c>
      <c r="B5659" s="5" t="s">
        <v>34</v>
      </c>
      <c r="D5659" s="5" t="s">
        <v>35</v>
      </c>
      <c r="E5659" s="5" t="s">
        <v>37004</v>
      </c>
      <c r="F5659" s="5" t="s">
        <v>37</v>
      </c>
      <c r="G5659" s="5" t="s">
        <v>37005</v>
      </c>
      <c r="H5659" s="6" t="s">
        <v>37006</v>
      </c>
      <c r="K5659" s="5" t="s">
        <v>36980</v>
      </c>
      <c r="M5659" s="5" t="s">
        <v>37007</v>
      </c>
      <c r="N5659" s="7" t="s">
        <v>37008</v>
      </c>
      <c r="O5659" s="8" t="str">
        <f>HYPERLINK("https://drive.google.com/file/d/17DDtfYkmyM0Ng3ps8RdXFOowbvr0Qv25/view?usp=drivesdk","5658_AZIZ ABDUL JABBAR, A.Md.Kep _ SERTIFIKAT BerAKHLAK")</f>
        <v>5658_AZIZ ABDUL JABBAR, A.Md.Kep _ SERTIFIKAT BerAKHLAK</v>
      </c>
      <c r="P5659" s="5" t="s">
        <v>36993</v>
      </c>
    </row>
    <row r="5660">
      <c r="A5660" s="4">
        <v>45534.36196171296</v>
      </c>
      <c r="B5660" s="5" t="s">
        <v>34</v>
      </c>
      <c r="D5660" s="5" t="s">
        <v>1558</v>
      </c>
      <c r="E5660" s="5" t="s">
        <v>37009</v>
      </c>
      <c r="F5660" s="5" t="s">
        <v>524</v>
      </c>
      <c r="G5660" s="5" t="s">
        <v>37010</v>
      </c>
      <c r="H5660" s="6" t="s">
        <v>37011</v>
      </c>
      <c r="K5660" s="5" t="s">
        <v>36980</v>
      </c>
      <c r="M5660" s="5" t="s">
        <v>37012</v>
      </c>
      <c r="N5660" s="7" t="s">
        <v>37013</v>
      </c>
      <c r="O5660" s="8" t="str">
        <f>HYPERLINK("https://drive.google.com/file/d/1HhELgj5dh5fHLCJC7vq1TzZ_kG-BQb4e/view?usp=drivesdk","5659_ASIM. SE _ SERTIFIKAT BerAKHLAK")</f>
        <v>5659_ASIM. SE _ SERTIFIKAT BerAKHLAK</v>
      </c>
      <c r="P5660" s="5" t="s">
        <v>36993</v>
      </c>
    </row>
    <row r="5661">
      <c r="A5661" s="4">
        <v>45534.36196458334</v>
      </c>
      <c r="B5661" s="5" t="s">
        <v>34</v>
      </c>
      <c r="D5661" s="5" t="s">
        <v>6232</v>
      </c>
      <c r="E5661" s="5" t="s">
        <v>17930</v>
      </c>
      <c r="F5661" s="5" t="s">
        <v>108</v>
      </c>
      <c r="G5661" s="5" t="s">
        <v>17931</v>
      </c>
      <c r="H5661" s="6" t="s">
        <v>37014</v>
      </c>
      <c r="K5661" s="5" t="s">
        <v>36980</v>
      </c>
      <c r="M5661" s="5" t="s">
        <v>37015</v>
      </c>
      <c r="N5661" s="7" t="s">
        <v>37016</v>
      </c>
      <c r="O5661" s="8" t="str">
        <f>HYPERLINK("https://drive.google.com/file/d/16olzGT4lFx-PVY8scoN-a0Q1_Q2RKys-/view?usp=drivesdk","5660_ROY EFFENDY, A.MD _ SERTIFIKAT BerAKHLAK")</f>
        <v>5660_ROY EFFENDY, A.MD _ SERTIFIKAT BerAKHLAK</v>
      </c>
      <c r="P5661" s="5" t="s">
        <v>37017</v>
      </c>
    </row>
    <row r="5662">
      <c r="A5662" s="4">
        <v>45534.36197738426</v>
      </c>
      <c r="B5662" s="5" t="s">
        <v>34</v>
      </c>
      <c r="D5662" s="5" t="s">
        <v>1206</v>
      </c>
      <c r="E5662" s="5" t="s">
        <v>37018</v>
      </c>
      <c r="F5662" s="5" t="s">
        <v>524</v>
      </c>
      <c r="G5662" s="5" t="s">
        <v>37019</v>
      </c>
      <c r="H5662" s="6" t="s">
        <v>37020</v>
      </c>
      <c r="K5662" s="5" t="s">
        <v>36980</v>
      </c>
      <c r="M5662" s="5" t="s">
        <v>37021</v>
      </c>
      <c r="N5662" s="7" t="s">
        <v>37022</v>
      </c>
      <c r="O5662" s="8" t="str">
        <f>HYPERLINK("https://drive.google.com/file/d/1ys2XNa-tbb7JbCcTFBBEw6evM3EplO70/view?usp=drivesdk","5661_EPY DWI MEIRIKASARI _ SERTIFIKAT BerAKHLAK")</f>
        <v>5661_EPY DWI MEIRIKASARI _ SERTIFIKAT BerAKHLAK</v>
      </c>
      <c r="P5662" s="5" t="s">
        <v>37017</v>
      </c>
    </row>
    <row r="5663">
      <c r="A5663" s="4">
        <v>45534.36198300926</v>
      </c>
      <c r="B5663" s="5" t="s">
        <v>34</v>
      </c>
      <c r="D5663" s="5" t="s">
        <v>14313</v>
      </c>
      <c r="E5663" s="5" t="s">
        <v>37023</v>
      </c>
      <c r="F5663" s="5" t="s">
        <v>212</v>
      </c>
      <c r="G5663" s="5" t="s">
        <v>37024</v>
      </c>
      <c r="H5663" s="6" t="s">
        <v>37025</v>
      </c>
      <c r="K5663" s="5" t="s">
        <v>36980</v>
      </c>
      <c r="M5663" s="5" t="s">
        <v>37026</v>
      </c>
      <c r="N5663" s="7" t="s">
        <v>37027</v>
      </c>
      <c r="O5663" s="8" t="str">
        <f>HYPERLINK("https://drive.google.com/file/d/1JjoGmZPc6NZrMzwMbtFD-Kuyhs0lO92B/view?usp=drivesdk","5662_SYAMSUDDIN.S _ SERTIFIKAT BerAKHLAK")</f>
        <v>5662_SYAMSUDDIN.S _ SERTIFIKAT BerAKHLAK</v>
      </c>
      <c r="P5663" s="5" t="s">
        <v>37017</v>
      </c>
    </row>
    <row r="5664">
      <c r="A5664" s="4">
        <v>45534.36198607639</v>
      </c>
      <c r="B5664" s="5" t="s">
        <v>34</v>
      </c>
      <c r="D5664" s="5" t="s">
        <v>4775</v>
      </c>
      <c r="E5664" s="5" t="s">
        <v>37028</v>
      </c>
      <c r="F5664" s="5" t="s">
        <v>375</v>
      </c>
      <c r="G5664" s="5" t="s">
        <v>37029</v>
      </c>
      <c r="H5664" s="6" t="s">
        <v>37030</v>
      </c>
      <c r="K5664" s="5" t="s">
        <v>36980</v>
      </c>
      <c r="M5664" s="5" t="s">
        <v>37031</v>
      </c>
      <c r="N5664" s="7" t="s">
        <v>37032</v>
      </c>
      <c r="O5664" s="8" t="str">
        <f>HYPERLINK("https://drive.google.com/file/d/1En_hS8J77aCBZVv4GnIWfXJm8kgPtVpG/view?usp=drivesdk","5663_dr.KARTIKA KUSUMA DEWI MH _ SERTIFIKAT BerAKHLAK")</f>
        <v>5663_dr.KARTIKA KUSUMA DEWI MH _ SERTIFIKAT BerAKHLAK</v>
      </c>
      <c r="P5664" s="5" t="s">
        <v>37017</v>
      </c>
    </row>
    <row r="5665">
      <c r="A5665" s="4">
        <v>45534.36198971065</v>
      </c>
      <c r="B5665" s="5" t="s">
        <v>34</v>
      </c>
      <c r="D5665" s="5" t="s">
        <v>12978</v>
      </c>
      <c r="E5665" s="5" t="s">
        <v>37033</v>
      </c>
      <c r="F5665" s="5" t="s">
        <v>37</v>
      </c>
      <c r="G5665" s="5" t="s">
        <v>37034</v>
      </c>
      <c r="H5665" s="6" t="s">
        <v>37035</v>
      </c>
      <c r="K5665" s="5" t="s">
        <v>36980</v>
      </c>
      <c r="M5665" s="5" t="s">
        <v>37036</v>
      </c>
      <c r="N5665" s="7" t="s">
        <v>37037</v>
      </c>
      <c r="O5665" s="8" t="str">
        <f>HYPERLINK("https://drive.google.com/file/d/189q6RmeuBdos-6gWpHdDUbhsKaflD3NR/view?usp=drivesdk","5664_YULIANA, S.E. _ SERTIFIKAT BerAKHLAK")</f>
        <v>5664_YULIANA, S.E. _ SERTIFIKAT BerAKHLAK</v>
      </c>
      <c r="P5665" s="5" t="s">
        <v>37038</v>
      </c>
    </row>
    <row r="5666">
      <c r="A5666" s="4">
        <v>45534.361990000005</v>
      </c>
      <c r="B5666" s="5" t="s">
        <v>34</v>
      </c>
      <c r="D5666" s="5" t="s">
        <v>1206</v>
      </c>
      <c r="E5666" s="5" t="s">
        <v>37039</v>
      </c>
      <c r="F5666" s="5" t="s">
        <v>72</v>
      </c>
      <c r="G5666" s="5" t="s">
        <v>37040</v>
      </c>
      <c r="H5666" s="6" t="s">
        <v>37041</v>
      </c>
      <c r="K5666" s="5" t="s">
        <v>36980</v>
      </c>
      <c r="M5666" s="5" t="s">
        <v>37042</v>
      </c>
      <c r="N5666" s="7" t="s">
        <v>37043</v>
      </c>
      <c r="O5666" s="8" t="str">
        <f>HYPERLINK("https://drive.google.com/file/d/1wE9HeD5VzAp2uErkPye5dLk7xDXtgwgu/view?usp=drivesdk","5665_DEDEH KENYO EKA PRATIWI, S. E.  _ SERTIFIKAT BerAKHLAK")</f>
        <v>5665_DEDEH KENYO EKA PRATIWI, S. E.  _ SERTIFIKAT BerAKHLAK</v>
      </c>
      <c r="P5666" s="5" t="s">
        <v>37038</v>
      </c>
    </row>
    <row r="5667">
      <c r="A5667" s="4">
        <v>45534.36199701389</v>
      </c>
      <c r="B5667" s="5" t="s">
        <v>34</v>
      </c>
      <c r="D5667" s="5" t="s">
        <v>1206</v>
      </c>
      <c r="E5667" s="5" t="s">
        <v>37044</v>
      </c>
      <c r="F5667" s="5" t="s">
        <v>524</v>
      </c>
      <c r="G5667" s="5" t="s">
        <v>37045</v>
      </c>
      <c r="H5667" s="6" t="s">
        <v>37046</v>
      </c>
      <c r="K5667" s="5" t="s">
        <v>36980</v>
      </c>
      <c r="M5667" s="5" t="s">
        <v>37047</v>
      </c>
      <c r="N5667" s="7" t="s">
        <v>37048</v>
      </c>
      <c r="O5667" s="8" t="str">
        <f>HYPERLINK("https://drive.google.com/file/d/1x1rIq1CxNvbUPHc4kmrbfNwFTWDRccqp/view?usp=drivesdk","5666_RIRIN KUSMIATI, SKep.Ns., _ SERTIFIKAT BerAKHLAK")</f>
        <v>5666_RIRIN KUSMIATI, SKep.Ns., _ SERTIFIKAT BerAKHLAK</v>
      </c>
      <c r="P5667" s="5" t="s">
        <v>37038</v>
      </c>
    </row>
    <row r="5668">
      <c r="A5668" s="4">
        <v>45534.361997685184</v>
      </c>
      <c r="B5668" s="5" t="s">
        <v>34</v>
      </c>
      <c r="D5668" s="5" t="s">
        <v>1206</v>
      </c>
      <c r="E5668" s="5" t="s">
        <v>37049</v>
      </c>
      <c r="F5668" s="5" t="s">
        <v>212</v>
      </c>
      <c r="G5668" s="5" t="s">
        <v>37050</v>
      </c>
      <c r="H5668" s="6" t="s">
        <v>37051</v>
      </c>
      <c r="K5668" s="5" t="s">
        <v>36980</v>
      </c>
      <c r="M5668" s="5" t="s">
        <v>37052</v>
      </c>
      <c r="N5668" s="7" t="s">
        <v>37053</v>
      </c>
      <c r="O5668" s="8" t="str">
        <f>HYPERLINK("https://drive.google.com/file/d/1XmUKhv93McRlE_n4LPsqhILAEE3TvVg-/view?usp=drivesdk","5667_HERI SUSANTO _ SERTIFIKAT BerAKHLAK")</f>
        <v>5667_HERI SUSANTO _ SERTIFIKAT BerAKHLAK</v>
      </c>
      <c r="P5668" s="5" t="s">
        <v>37038</v>
      </c>
    </row>
    <row r="5669">
      <c r="A5669" s="4">
        <v>45534.362001608795</v>
      </c>
      <c r="B5669" s="5" t="s">
        <v>34</v>
      </c>
      <c r="D5669" s="5" t="s">
        <v>1206</v>
      </c>
      <c r="E5669" s="5" t="s">
        <v>37054</v>
      </c>
      <c r="F5669" s="5" t="s">
        <v>199</v>
      </c>
      <c r="G5669" s="5" t="s">
        <v>37055</v>
      </c>
      <c r="H5669" s="6" t="s">
        <v>37056</v>
      </c>
      <c r="K5669" s="5" t="s">
        <v>36980</v>
      </c>
      <c r="M5669" s="5" t="s">
        <v>37057</v>
      </c>
      <c r="N5669" s="7" t="s">
        <v>37058</v>
      </c>
      <c r="O5669" s="8" t="str">
        <f>HYPERLINK("https://drive.google.com/file/d/1Gc3Wkwa967aB8_HFTbbXHyQg6C76ZiI0/view?usp=drivesdk","5668_ENNY KUSUMAWATI _ SERTIFIKAT BerAKHLAK")</f>
        <v>5668_ENNY KUSUMAWATI _ SERTIFIKAT BerAKHLAK</v>
      </c>
      <c r="P5669" s="5" t="s">
        <v>37038</v>
      </c>
    </row>
    <row r="5670">
      <c r="A5670" s="4">
        <v>45534.36201070602</v>
      </c>
      <c r="B5670" s="5" t="s">
        <v>34</v>
      </c>
      <c r="D5670" s="5" t="s">
        <v>1558</v>
      </c>
      <c r="E5670" s="5" t="s">
        <v>37059</v>
      </c>
      <c r="F5670" s="5" t="s">
        <v>212</v>
      </c>
      <c r="G5670" s="5" t="s">
        <v>37060</v>
      </c>
      <c r="H5670" s="6" t="s">
        <v>37061</v>
      </c>
      <c r="K5670" s="5" t="s">
        <v>36980</v>
      </c>
      <c r="M5670" s="5" t="s">
        <v>37062</v>
      </c>
      <c r="N5670" s="7" t="s">
        <v>37063</v>
      </c>
      <c r="O5670" s="8" t="str">
        <f>HYPERLINK("https://drive.google.com/file/d/1gCD133Nsb9-5YK6GvlP2tkpKnYopZ6tl/view?usp=drivesdk","5669_SUBIYANTORO _ SERTIFIKAT BerAKHLAK")</f>
        <v>5669_SUBIYANTORO _ SERTIFIKAT BerAKHLAK</v>
      </c>
      <c r="P5670" s="5" t="s">
        <v>37038</v>
      </c>
    </row>
    <row r="5671">
      <c r="A5671" s="4">
        <v>45534.36201384259</v>
      </c>
      <c r="B5671" s="5" t="s">
        <v>34</v>
      </c>
      <c r="D5671" s="5" t="s">
        <v>35</v>
      </c>
      <c r="E5671" s="5" t="s">
        <v>37064</v>
      </c>
      <c r="F5671" s="5" t="s">
        <v>212</v>
      </c>
      <c r="G5671" s="5" t="s">
        <v>37065</v>
      </c>
      <c r="H5671" s="6" t="s">
        <v>37066</v>
      </c>
      <c r="K5671" s="5" t="s">
        <v>36980</v>
      </c>
      <c r="M5671" s="5" t="s">
        <v>37067</v>
      </c>
      <c r="N5671" s="7" t="s">
        <v>37068</v>
      </c>
      <c r="O5671" s="8" t="str">
        <f>HYPERLINK("https://drive.google.com/file/d/1s70-2br9pHIpZBQbK66wzFRYxD8UGkLn/view?usp=drivesdk","5670_YENi KARTININGSIH _ SERTIFIKAT BerAKHLAK")</f>
        <v>5670_YENi KARTININGSIH _ SERTIFIKAT BerAKHLAK</v>
      </c>
      <c r="P5671" s="5" t="s">
        <v>37069</v>
      </c>
    </row>
    <row r="5672">
      <c r="A5672" s="4">
        <v>45534.362030000004</v>
      </c>
      <c r="B5672" s="5" t="s">
        <v>34</v>
      </c>
      <c r="D5672" s="5" t="s">
        <v>9020</v>
      </c>
      <c r="E5672" s="5" t="s">
        <v>37070</v>
      </c>
      <c r="F5672" s="5" t="s">
        <v>72</v>
      </c>
      <c r="G5672" s="5" t="s">
        <v>37071</v>
      </c>
      <c r="H5672" s="6" t="s">
        <v>37072</v>
      </c>
      <c r="K5672" s="5" t="s">
        <v>37073</v>
      </c>
      <c r="M5672" s="5" t="s">
        <v>37074</v>
      </c>
      <c r="N5672" s="7" t="s">
        <v>37075</v>
      </c>
      <c r="O5672" s="8" t="str">
        <f>HYPERLINK("https://drive.google.com/file/d/1g0RTdlnufimX4lpGx3upBqLedyAf9aVt/view?usp=drivesdk","5671_SISMADI _ SERTIFIKAT BerAKHLAK")</f>
        <v>5671_SISMADI _ SERTIFIKAT BerAKHLAK</v>
      </c>
      <c r="P5672" s="5" t="s">
        <v>37069</v>
      </c>
    </row>
    <row r="5673">
      <c r="A5673" s="4">
        <v>45534.36204770833</v>
      </c>
      <c r="B5673" s="5" t="s">
        <v>34</v>
      </c>
      <c r="D5673" s="5" t="s">
        <v>604</v>
      </c>
      <c r="E5673" s="5" t="s">
        <v>37076</v>
      </c>
      <c r="F5673" s="5" t="s">
        <v>108</v>
      </c>
      <c r="G5673" s="5" t="s">
        <v>37077</v>
      </c>
      <c r="H5673" s="6" t="s">
        <v>37078</v>
      </c>
      <c r="K5673" s="5" t="s">
        <v>37073</v>
      </c>
      <c r="M5673" s="5" t="s">
        <v>37079</v>
      </c>
      <c r="N5673" s="7" t="s">
        <v>37080</v>
      </c>
      <c r="O5673" s="8" t="str">
        <f>HYPERLINK("https://drive.google.com/file/d/1gHEh74z327AG-cO77B3rE1oA_e7f6qRw/view?usp=drivesdk","5672_SUNARTI BASRI _ SERTIFIKAT BerAKHLAK")</f>
        <v>5672_SUNARTI BASRI _ SERTIFIKAT BerAKHLAK</v>
      </c>
      <c r="P5673" s="5" t="s">
        <v>37069</v>
      </c>
    </row>
    <row r="5674">
      <c r="A5674" s="4">
        <v>45534.36205282407</v>
      </c>
      <c r="B5674" s="5" t="s">
        <v>34</v>
      </c>
      <c r="D5674" s="5" t="s">
        <v>14424</v>
      </c>
      <c r="E5674" s="5" t="s">
        <v>37081</v>
      </c>
      <c r="F5674" s="5" t="s">
        <v>72</v>
      </c>
      <c r="G5674" s="5" t="s">
        <v>37082</v>
      </c>
      <c r="H5674" s="6" t="s">
        <v>37083</v>
      </c>
      <c r="K5674" s="5" t="s">
        <v>37073</v>
      </c>
      <c r="M5674" s="5" t="s">
        <v>37084</v>
      </c>
      <c r="N5674" s="7" t="s">
        <v>37085</v>
      </c>
      <c r="O5674" s="8" t="str">
        <f>HYPERLINK("https://drive.google.com/file/d/1f9XqW31yplvIfN-UP-b1HKlBRtBOYUb3/view?usp=drivesdk","5673_NURSITA.SKM _ SERTIFIKAT BerAKHLAK")</f>
        <v>5673_NURSITA.SKM _ SERTIFIKAT BerAKHLAK</v>
      </c>
      <c r="P5674" s="5" t="s">
        <v>37069</v>
      </c>
    </row>
    <row r="5675">
      <c r="A5675" s="4">
        <v>45534.362084733795</v>
      </c>
      <c r="B5675" s="5" t="s">
        <v>34</v>
      </c>
      <c r="D5675" s="5" t="s">
        <v>14424</v>
      </c>
      <c r="E5675" s="5" t="s">
        <v>37086</v>
      </c>
      <c r="F5675" s="5" t="s">
        <v>715</v>
      </c>
      <c r="G5675" s="5" t="s">
        <v>37087</v>
      </c>
      <c r="H5675" s="6" t="s">
        <v>37088</v>
      </c>
      <c r="K5675" s="5" t="s">
        <v>37089</v>
      </c>
      <c r="M5675" s="5" t="s">
        <v>37090</v>
      </c>
      <c r="N5675" s="7" t="s">
        <v>37091</v>
      </c>
      <c r="O5675" s="8" t="str">
        <f>HYPERLINK("https://drive.google.com/file/d/1uPdtMX1mGgIjOXuvMDdhzEKpe4gDy_E_/view?usp=drivesdk","5674_ZAHARA, AMK _ SERTIFIKAT BerAKHLAK")</f>
        <v>5674_ZAHARA, AMK _ SERTIFIKAT BerAKHLAK</v>
      </c>
      <c r="P5675" s="5" t="s">
        <v>37092</v>
      </c>
    </row>
    <row r="5676">
      <c r="A5676" s="4">
        <v>45534.362104513886</v>
      </c>
      <c r="B5676" s="5" t="s">
        <v>34</v>
      </c>
      <c r="D5676" s="5" t="s">
        <v>996</v>
      </c>
      <c r="E5676" s="5" t="s">
        <v>37093</v>
      </c>
      <c r="F5676" s="5" t="s">
        <v>72</v>
      </c>
      <c r="G5676" s="5" t="s">
        <v>37094</v>
      </c>
      <c r="H5676" s="6" t="s">
        <v>37095</v>
      </c>
      <c r="K5676" s="5" t="s">
        <v>37089</v>
      </c>
      <c r="M5676" s="5" t="s">
        <v>37096</v>
      </c>
      <c r="N5676" s="7" t="s">
        <v>37097</v>
      </c>
      <c r="O5676" s="8" t="str">
        <f>HYPERLINK("https://drive.google.com/file/d/1Ff8vLAQm9oitKHO_egBpLkbWHi5TheNt/view?usp=drivesdk","5675_NORHANI _ SERTIFIKAT BerAKHLAK")</f>
        <v>5675_NORHANI _ SERTIFIKAT BerAKHLAK</v>
      </c>
      <c r="P5676" s="5" t="s">
        <v>37092</v>
      </c>
    </row>
    <row r="5677">
      <c r="A5677" s="4">
        <v>45534.362118680554</v>
      </c>
      <c r="B5677" s="5" t="s">
        <v>34</v>
      </c>
      <c r="D5677" s="5" t="s">
        <v>14313</v>
      </c>
      <c r="E5677" s="5" t="s">
        <v>37098</v>
      </c>
      <c r="F5677" s="5" t="s">
        <v>37</v>
      </c>
      <c r="G5677" s="5" t="s">
        <v>37099</v>
      </c>
      <c r="H5677" s="6" t="s">
        <v>37100</v>
      </c>
      <c r="K5677" s="5" t="s">
        <v>37089</v>
      </c>
      <c r="M5677" s="5" t="s">
        <v>37101</v>
      </c>
      <c r="N5677" s="7" t="s">
        <v>37102</v>
      </c>
      <c r="O5677" s="8" t="str">
        <f>HYPERLINK("https://drive.google.com/file/d/1q6LbUqrHpL9Wg_ybTe7wvuMBI4LKXQTs/view?usp=drivesdk","5676_AZWAR SH _ SERTIFIKAT BerAKHLAK")</f>
        <v>5676_AZWAR SH _ SERTIFIKAT BerAKHLAK</v>
      </c>
      <c r="P5677" s="5" t="s">
        <v>37092</v>
      </c>
    </row>
    <row r="5678">
      <c r="A5678" s="4">
        <v>45534.36212337963</v>
      </c>
      <c r="B5678" s="5" t="s">
        <v>34</v>
      </c>
      <c r="D5678" s="5" t="s">
        <v>14313</v>
      </c>
      <c r="E5678" s="5" t="s">
        <v>37103</v>
      </c>
      <c r="F5678" s="5" t="s">
        <v>375</v>
      </c>
      <c r="G5678" s="5" t="s">
        <v>37104</v>
      </c>
      <c r="H5678" s="6" t="s">
        <v>37105</v>
      </c>
      <c r="K5678" s="5" t="s">
        <v>37089</v>
      </c>
      <c r="M5678" s="5" t="s">
        <v>37106</v>
      </c>
      <c r="N5678" s="7" t="s">
        <v>37107</v>
      </c>
      <c r="O5678" s="8" t="str">
        <f>HYPERLINK("https://drive.google.com/file/d/1if7OK0vbmBzgaJ0D3e7ZRzojjljoo_hB/view?usp=drivesdk","5677_FARIDA HAJAR _ SERTIFIKAT BerAKHLAK")</f>
        <v>5677_FARIDA HAJAR _ SERTIFIKAT BerAKHLAK</v>
      </c>
      <c r="P5678" s="5" t="s">
        <v>37092</v>
      </c>
    </row>
    <row r="5679">
      <c r="A5679" s="4">
        <v>45534.36212931713</v>
      </c>
      <c r="B5679" s="5" t="s">
        <v>34</v>
      </c>
      <c r="D5679" s="5" t="s">
        <v>1768</v>
      </c>
      <c r="E5679" s="5" t="s">
        <v>37108</v>
      </c>
      <c r="F5679" s="5" t="s">
        <v>108</v>
      </c>
      <c r="G5679" s="5" t="s">
        <v>37109</v>
      </c>
      <c r="H5679" s="6" t="s">
        <v>37110</v>
      </c>
      <c r="K5679" s="5" t="s">
        <v>37089</v>
      </c>
      <c r="M5679" s="5" t="s">
        <v>37111</v>
      </c>
      <c r="N5679" s="7" t="s">
        <v>37112</v>
      </c>
      <c r="O5679" s="8" t="str">
        <f>HYPERLINK("https://drive.google.com/file/d/1D0jEN2oA3hkyUA4zhtejEVNhgvV6NqK6/view?usp=drivesdk","5678_ERA TRI FEBRIARINI  _ SERTIFIKAT BerAKHLAK")</f>
        <v>5678_ERA TRI FEBRIARINI  _ SERTIFIKAT BerAKHLAK</v>
      </c>
      <c r="P5679" s="5" t="s">
        <v>37092</v>
      </c>
    </row>
    <row r="5680">
      <c r="A5680" s="4">
        <v>45534.36217283565</v>
      </c>
      <c r="B5680" s="5" t="s">
        <v>34</v>
      </c>
      <c r="D5680" s="5" t="s">
        <v>1206</v>
      </c>
      <c r="E5680" s="5" t="s">
        <v>37113</v>
      </c>
      <c r="F5680" s="5" t="s">
        <v>375</v>
      </c>
      <c r="G5680" s="5" t="s">
        <v>37114</v>
      </c>
      <c r="H5680" s="6" t="s">
        <v>37115</v>
      </c>
      <c r="K5680" s="5" t="s">
        <v>37089</v>
      </c>
      <c r="M5680" s="5" t="s">
        <v>37116</v>
      </c>
      <c r="N5680" s="7" t="s">
        <v>37117</v>
      </c>
      <c r="O5680" s="8" t="str">
        <f>HYPERLINK("https://drive.google.com/file/d/1njQBgRKi95CnGk7GIuYPjww_r4fZr6xK/view?usp=drivesdk","5679_DINA TRI HANDAYANI  _ SERTIFIKAT BerAKHLAK")</f>
        <v>5679_DINA TRI HANDAYANI  _ SERTIFIKAT BerAKHLAK</v>
      </c>
      <c r="P5680" s="5" t="s">
        <v>37118</v>
      </c>
    </row>
    <row r="5681">
      <c r="A5681" s="4">
        <v>45534.362177187504</v>
      </c>
      <c r="B5681" s="5" t="s">
        <v>34</v>
      </c>
      <c r="D5681" s="5" t="s">
        <v>1206</v>
      </c>
      <c r="E5681" s="5" t="s">
        <v>37119</v>
      </c>
      <c r="F5681" s="5" t="s">
        <v>72</v>
      </c>
      <c r="G5681" s="5" t="s">
        <v>37120</v>
      </c>
      <c r="H5681" s="6" t="s">
        <v>37121</v>
      </c>
      <c r="K5681" s="5" t="s">
        <v>37089</v>
      </c>
      <c r="M5681" s="5" t="s">
        <v>37122</v>
      </c>
      <c r="N5681" s="7" t="s">
        <v>37123</v>
      </c>
      <c r="O5681" s="8" t="str">
        <f>HYPERLINK("https://drive.google.com/file/d/1C10fQ0G7q4iBd8yjd1jGPV8gyyWwwbvG/view?usp=drivesdk","5680_ENDANG RUSTIANI  _ SERTIFIKAT BerAKHLAK")</f>
        <v>5680_ENDANG RUSTIANI  _ SERTIFIKAT BerAKHLAK</v>
      </c>
      <c r="P5681" s="5" t="s">
        <v>37118</v>
      </c>
    </row>
    <row r="5682">
      <c r="A5682" s="4">
        <v>45534.36218642361</v>
      </c>
      <c r="B5682" s="5" t="s">
        <v>34</v>
      </c>
      <c r="D5682" s="5" t="s">
        <v>9394</v>
      </c>
      <c r="E5682" s="5" t="s">
        <v>37124</v>
      </c>
      <c r="F5682" s="5" t="s">
        <v>37</v>
      </c>
      <c r="G5682" s="5" t="s">
        <v>37125</v>
      </c>
      <c r="H5682" s="6" t="s">
        <v>37126</v>
      </c>
      <c r="I5682" s="7" t="s">
        <v>37127</v>
      </c>
      <c r="J5682" s="8" t="str">
        <f>HYPERLINK("https://drive.google.com/file/d/1sv8B5Sd04BUnElz5lylVrYez5YVse_F1/view?usp=drivesdk","PONCO ADHI MARMONO SERTIFIKAT BerAKHLAK")</f>
        <v>PONCO ADHI MARMONO SERTIFIKAT BerAKHLAK</v>
      </c>
      <c r="K5682" s="5" t="s">
        <v>36587</v>
      </c>
      <c r="L5682" s="5" t="s">
        <v>37128</v>
      </c>
      <c r="M5682" s="5" t="s">
        <v>37129</v>
      </c>
      <c r="N5682" s="7" t="s">
        <v>37130</v>
      </c>
      <c r="O5682" s="8" t="str">
        <f>HYPERLINK("https://drive.google.com/file/d/1KGB4lrVwguhhdwlq70BjKUf3Qnm2t9E8/view?usp=drivesdk","5681_PONCO ADHI MARMONO _ SERTIFIKAT BerAKHLAK")</f>
        <v>5681_PONCO ADHI MARMONO _ SERTIFIKAT BerAKHLAK</v>
      </c>
      <c r="P5682" s="5" t="s">
        <v>37118</v>
      </c>
    </row>
    <row r="5683">
      <c r="A5683" s="4">
        <v>45534.362198738425</v>
      </c>
      <c r="B5683" s="5" t="s">
        <v>34</v>
      </c>
      <c r="D5683" s="5" t="s">
        <v>6232</v>
      </c>
      <c r="E5683" s="5" t="s">
        <v>37131</v>
      </c>
      <c r="F5683" s="5" t="s">
        <v>37</v>
      </c>
      <c r="G5683" s="5" t="s">
        <v>37132</v>
      </c>
      <c r="H5683" s="6" t="s">
        <v>37133</v>
      </c>
      <c r="I5683" s="7" t="s">
        <v>37134</v>
      </c>
      <c r="J5683" s="8" t="str">
        <f>HYPERLINK("https://drive.google.com/file/d/1-aGpUdoA11ePlSbJE70Wm1zhPFbCFGbb/view?usp=drivesdk","YESI DWI RIZKI, A.Md.Kes SERTIFIKAT BerAKHLAK")</f>
        <v>YESI DWI RIZKI, A.Md.Kes SERTIFIKAT BerAKHLAK</v>
      </c>
      <c r="K5683" s="5" t="s">
        <v>36587</v>
      </c>
      <c r="L5683" s="5" t="s">
        <v>37135</v>
      </c>
      <c r="M5683" s="5" t="s">
        <v>37136</v>
      </c>
      <c r="N5683" s="7" t="s">
        <v>37137</v>
      </c>
      <c r="O5683" s="8" t="str">
        <f>HYPERLINK("https://drive.google.com/file/d/1SQfXCSp7S1VGeflVyd_4_Bf6BQwtPter/view?usp=drivesdk","5682_YESI DWI RIZKI, A.Md.Kes _ SERTIFIKAT BerAKHLAK")</f>
        <v>5682_YESI DWI RIZKI, A.Md.Kes _ SERTIFIKAT BerAKHLAK</v>
      </c>
      <c r="P5683" s="5" t="s">
        <v>37118</v>
      </c>
    </row>
    <row r="5684">
      <c r="A5684" s="4">
        <v>45534.362209768515</v>
      </c>
      <c r="B5684" s="5" t="s">
        <v>34</v>
      </c>
      <c r="D5684" s="5" t="s">
        <v>4775</v>
      </c>
      <c r="E5684" s="5" t="s">
        <v>37138</v>
      </c>
      <c r="F5684" s="5" t="s">
        <v>108</v>
      </c>
      <c r="G5684" s="5" t="s">
        <v>37139</v>
      </c>
      <c r="H5684" s="6" t="s">
        <v>37140</v>
      </c>
      <c r="I5684" s="7" t="s">
        <v>37141</v>
      </c>
      <c r="J5684" s="8" t="str">
        <f>HYPERLINK("https://drive.google.com/file/d/10PxCftUivtjGDxtCY3cZkHSwXXKjfo6P/view?usp=drivesdk","BUDI RIYANTO  SERTIFIKAT BerAKHLAK")</f>
        <v>BUDI RIYANTO  SERTIFIKAT BerAKHLAK</v>
      </c>
      <c r="K5684" s="5" t="s">
        <v>36183</v>
      </c>
      <c r="L5684" s="5" t="s">
        <v>37142</v>
      </c>
      <c r="M5684" s="5" t="s">
        <v>37143</v>
      </c>
      <c r="N5684" s="7" t="s">
        <v>37144</v>
      </c>
      <c r="O5684" s="8" t="str">
        <f>HYPERLINK("https://drive.google.com/file/d/1uFbe29q5m68lMAuKwfVWdDMFTPa6uX-g/view?usp=drivesdk","5683_BUDI RIYANTO  _ SERTIFIKAT BerAKHLAK")</f>
        <v>5683_BUDI RIYANTO  _ SERTIFIKAT BerAKHLAK</v>
      </c>
      <c r="P5684" s="5" t="s">
        <v>37145</v>
      </c>
    </row>
    <row r="5685">
      <c r="A5685" s="4">
        <v>45534.36221375</v>
      </c>
      <c r="B5685" s="5" t="s">
        <v>34</v>
      </c>
      <c r="D5685" s="5" t="s">
        <v>9020</v>
      </c>
      <c r="E5685" s="5" t="s">
        <v>37146</v>
      </c>
      <c r="F5685" s="5" t="s">
        <v>212</v>
      </c>
      <c r="G5685" s="5" t="s">
        <v>37147</v>
      </c>
      <c r="H5685" s="6" t="s">
        <v>37148</v>
      </c>
      <c r="I5685" s="7" t="s">
        <v>37149</v>
      </c>
      <c r="J5685" s="8" t="str">
        <f>HYPERLINK("https://drive.google.com/file/d/1bEvO_0RrHPHXRzw_Zvwbo392B0uM0TuC/view?usp=drivesdk","SUPRIYANI SERTIFIKAT BerAKHLAK")</f>
        <v>SUPRIYANI SERTIFIKAT BerAKHLAK</v>
      </c>
      <c r="K5685" s="5" t="s">
        <v>36587</v>
      </c>
      <c r="L5685" s="5" t="s">
        <v>37150</v>
      </c>
      <c r="M5685" s="5" t="s">
        <v>37151</v>
      </c>
      <c r="N5685" s="7" t="s">
        <v>37152</v>
      </c>
      <c r="O5685" s="8" t="str">
        <f>HYPERLINK("https://drive.google.com/file/d/1XjM7Ycc3YsRtxeD0VaIm4WDpXDrvKG1M/view?usp=drivesdk","5684_SUPRIYANI _ SERTIFIKAT BerAKHLAK")</f>
        <v>5684_SUPRIYANI _ SERTIFIKAT BerAKHLAK</v>
      </c>
      <c r="P5685" s="5" t="s">
        <v>37145</v>
      </c>
    </row>
    <row r="5686">
      <c r="A5686" s="4">
        <v>45534.362223379634</v>
      </c>
      <c r="B5686" s="5" t="s">
        <v>34</v>
      </c>
      <c r="D5686" s="5" t="s">
        <v>9394</v>
      </c>
      <c r="E5686" s="5" t="s">
        <v>37153</v>
      </c>
      <c r="F5686" s="5" t="s">
        <v>37</v>
      </c>
      <c r="G5686" s="5" t="s">
        <v>37154</v>
      </c>
      <c r="H5686" s="6" t="s">
        <v>37155</v>
      </c>
      <c r="I5686" s="7" t="s">
        <v>37156</v>
      </c>
      <c r="J5686" s="8" t="str">
        <f>HYPERLINK("https://drive.google.com/file/d/1pR05O1Q692V-XGSjZ0cHNM63VeXk6xvA/view?usp=drivesdk","SONYA SOVANI SERTIFIKAT BerAKHLAK")</f>
        <v>SONYA SOVANI SERTIFIKAT BerAKHLAK</v>
      </c>
      <c r="K5686" s="5" t="s">
        <v>36587</v>
      </c>
      <c r="L5686" s="5" t="s">
        <v>37157</v>
      </c>
      <c r="M5686" s="5" t="s">
        <v>37158</v>
      </c>
      <c r="N5686" s="7" t="s">
        <v>37159</v>
      </c>
      <c r="O5686" s="8" t="str">
        <f>HYPERLINK("https://drive.google.com/file/d/1ZEwjb1u-zK4cjv7a7qNXoxQwCNfwxPyz/view?usp=drivesdk","5685_SONYA SOVANI _ SERTIFIKAT BerAKHLAK")</f>
        <v>5685_SONYA SOVANI _ SERTIFIKAT BerAKHLAK</v>
      </c>
      <c r="P5686" s="5" t="s">
        <v>37145</v>
      </c>
    </row>
    <row r="5687">
      <c r="A5687" s="4">
        <v>45534.36223699074</v>
      </c>
      <c r="B5687" s="5" t="s">
        <v>34</v>
      </c>
      <c r="D5687" s="5" t="s">
        <v>1206</v>
      </c>
      <c r="E5687" s="5" t="s">
        <v>18791</v>
      </c>
      <c r="F5687" s="5" t="s">
        <v>212</v>
      </c>
      <c r="G5687" s="5" t="s">
        <v>37160</v>
      </c>
      <c r="H5687" s="6" t="s">
        <v>37161</v>
      </c>
      <c r="K5687" s="5" t="s">
        <v>37162</v>
      </c>
      <c r="M5687" s="5" t="s">
        <v>37163</v>
      </c>
      <c r="N5687" s="7" t="s">
        <v>37164</v>
      </c>
      <c r="O5687" s="8" t="str">
        <f>HYPERLINK("https://drive.google.com/file/d/1POmnm3NNyrmNzP0ibvXZCfXA7BMZpTPc/view?usp=drivesdk","5686_WIJI WIJI _ SERTIFIKAT BerAKHLAK")</f>
        <v>5686_WIJI WIJI _ SERTIFIKAT BerAKHLAK</v>
      </c>
      <c r="P5687" s="5" t="s">
        <v>37145</v>
      </c>
    </row>
    <row r="5688">
      <c r="A5688" s="4">
        <v>45534.362237939815</v>
      </c>
      <c r="B5688" s="5" t="s">
        <v>34</v>
      </c>
      <c r="D5688" s="5" t="s">
        <v>35</v>
      </c>
      <c r="E5688" s="5" t="s">
        <v>37165</v>
      </c>
      <c r="F5688" s="5" t="s">
        <v>37</v>
      </c>
      <c r="G5688" s="5" t="s">
        <v>37166</v>
      </c>
      <c r="H5688" s="6" t="s">
        <v>37167</v>
      </c>
      <c r="K5688" s="5" t="s">
        <v>37162</v>
      </c>
      <c r="M5688" s="5" t="s">
        <v>37168</v>
      </c>
      <c r="N5688" s="7" t="s">
        <v>37169</v>
      </c>
      <c r="O5688" s="8" t="str">
        <f>HYPERLINK("https://drive.google.com/file/d/1yZ3Ib20rEfbHM1bWojBEqZJYTq2AJ4XP/view?usp=drivesdk","5687_FAIZAL NASSER _ SERTIFIKAT BerAKHLAK")</f>
        <v>5687_FAIZAL NASSER _ SERTIFIKAT BerAKHLAK</v>
      </c>
      <c r="P5688" s="5" t="s">
        <v>37145</v>
      </c>
    </row>
    <row r="5689">
      <c r="A5689" s="4">
        <v>45534.36224</v>
      </c>
      <c r="B5689" s="5" t="s">
        <v>34</v>
      </c>
      <c r="D5689" s="5" t="s">
        <v>1558</v>
      </c>
      <c r="E5689" s="5" t="s">
        <v>37170</v>
      </c>
      <c r="F5689" s="5" t="s">
        <v>375</v>
      </c>
      <c r="G5689" s="5" t="s">
        <v>37171</v>
      </c>
      <c r="H5689" s="6" t="s">
        <v>37172</v>
      </c>
      <c r="K5689" s="5" t="s">
        <v>37162</v>
      </c>
      <c r="M5689" s="5" t="s">
        <v>37173</v>
      </c>
      <c r="N5689" s="7" t="s">
        <v>37174</v>
      </c>
      <c r="O5689" s="8" t="str">
        <f>HYPERLINK("https://drive.google.com/file/d/14N6ZEnsVcAdiyfgXz5X7ULZTWKuqfZqn/view?usp=drivesdk","5688_MARSUDI WIDAGDO, S.E. _ SERTIFIKAT BerAKHLAK")</f>
        <v>5688_MARSUDI WIDAGDO, S.E. _ SERTIFIKAT BerAKHLAK</v>
      </c>
      <c r="P5689" s="5" t="s">
        <v>37175</v>
      </c>
    </row>
    <row r="5690">
      <c r="A5690" s="4">
        <v>45534.36227012731</v>
      </c>
      <c r="B5690" s="5" t="s">
        <v>34</v>
      </c>
      <c r="D5690" s="5" t="s">
        <v>12978</v>
      </c>
      <c r="E5690" s="5" t="s">
        <v>37176</v>
      </c>
      <c r="F5690" s="5" t="s">
        <v>199</v>
      </c>
      <c r="G5690" s="5" t="s">
        <v>37177</v>
      </c>
      <c r="H5690" s="6" t="s">
        <v>37178</v>
      </c>
      <c r="K5690" s="5" t="s">
        <v>37162</v>
      </c>
      <c r="M5690" s="5" t="s">
        <v>37179</v>
      </c>
      <c r="N5690" s="7" t="s">
        <v>37180</v>
      </c>
      <c r="O5690" s="8" t="str">
        <f>HYPERLINK("https://drive.google.com/file/d/1HNrvlW_U99-9omEdFHZp6dC0JuQg9hsO/view?usp=drivesdk","5689_RIDUAN _ SERTIFIKAT BerAKHLAK")</f>
        <v>5689_RIDUAN _ SERTIFIKAT BerAKHLAK</v>
      </c>
      <c r="P5690" s="5" t="s">
        <v>37175</v>
      </c>
    </row>
    <row r="5691">
      <c r="A5691" s="4">
        <v>45534.36228159722</v>
      </c>
      <c r="B5691" s="5" t="s">
        <v>34</v>
      </c>
      <c r="D5691" s="5" t="s">
        <v>14313</v>
      </c>
      <c r="E5691" s="5" t="s">
        <v>37181</v>
      </c>
      <c r="F5691" s="5" t="s">
        <v>212</v>
      </c>
      <c r="G5691" s="5" t="s">
        <v>37182</v>
      </c>
      <c r="H5691" s="6" t="s">
        <v>37183</v>
      </c>
      <c r="K5691" s="5" t="s">
        <v>37162</v>
      </c>
      <c r="M5691" s="5" t="s">
        <v>37184</v>
      </c>
      <c r="N5691" s="7" t="s">
        <v>37185</v>
      </c>
      <c r="O5691" s="8" t="str">
        <f>HYPERLINK("https://drive.google.com/file/d/1ODvCMA62EZPYMQQJE6fkXyr3x_b8KSqA/view?usp=drivesdk","5690_LILY HARYANI. S _ SERTIFIKAT BerAKHLAK")</f>
        <v>5690_LILY HARYANI. S _ SERTIFIKAT BerAKHLAK</v>
      </c>
      <c r="P5691" s="5" t="s">
        <v>37175</v>
      </c>
    </row>
    <row r="5692">
      <c r="A5692" s="4">
        <v>45534.36229715278</v>
      </c>
      <c r="B5692" s="5" t="s">
        <v>34</v>
      </c>
      <c r="D5692" s="5" t="s">
        <v>9020</v>
      </c>
      <c r="E5692" s="5" t="s">
        <v>37186</v>
      </c>
      <c r="F5692" s="5" t="s">
        <v>108</v>
      </c>
      <c r="G5692" s="5" t="s">
        <v>37187</v>
      </c>
      <c r="H5692" s="6" t="s">
        <v>37188</v>
      </c>
      <c r="I5692" s="7" t="s">
        <v>37189</v>
      </c>
      <c r="J5692" s="8" t="str">
        <f>HYPERLINK("https://drive.google.com/file/d/1qw6ltLGxVhn0tbEdtgyIDYKda__dwjzu/view?usp=drivesdk","DEWI DAMAYANTI HSB SKEP NS SERTIFIKAT BerAKHLAK")</f>
        <v>DEWI DAMAYANTI HSB SKEP NS SERTIFIKAT BerAKHLAK</v>
      </c>
      <c r="K5692" s="5" t="s">
        <v>36587</v>
      </c>
      <c r="L5692" s="5" t="s">
        <v>37190</v>
      </c>
      <c r="M5692" s="5" t="s">
        <v>37191</v>
      </c>
      <c r="N5692" s="7" t="s">
        <v>37192</v>
      </c>
      <c r="O5692" s="8" t="str">
        <f>HYPERLINK("https://drive.google.com/file/d/13VoFD_gzPs6yjlrfwvtmQWKK4EhB2Wo8/view?usp=drivesdk","5691_DEWI DAMAYANTI HSB SKEP NS _ SERTIFIKAT BerAKHLAK")</f>
        <v>5691_DEWI DAMAYANTI HSB SKEP NS _ SERTIFIKAT BerAKHLAK</v>
      </c>
      <c r="P5692" s="5" t="s">
        <v>37175</v>
      </c>
    </row>
    <row r="5693">
      <c r="A5693" s="4">
        <v>45534.36232222222</v>
      </c>
      <c r="B5693" s="5" t="s">
        <v>34</v>
      </c>
      <c r="D5693" s="5" t="s">
        <v>1206</v>
      </c>
      <c r="E5693" s="5" t="s">
        <v>37193</v>
      </c>
      <c r="F5693" s="5" t="s">
        <v>524</v>
      </c>
      <c r="G5693" s="5" t="s">
        <v>37194</v>
      </c>
      <c r="H5693" s="6" t="s">
        <v>37195</v>
      </c>
      <c r="I5693" s="7" t="s">
        <v>37196</v>
      </c>
      <c r="J5693" s="8" t="str">
        <f>HYPERLINK("https://drive.google.com/file/d/1sy-OrsWsiiybmdciXveSNn3xanjXO9m4/view?usp=drivesdk","EVI ARIANI, A.Md.Kep SERTIFIKAT BerAKHLAK")</f>
        <v>EVI ARIANI, A.Md.Kep SERTIFIKAT BerAKHLAK</v>
      </c>
      <c r="K5693" s="5" t="s">
        <v>36587</v>
      </c>
      <c r="L5693" s="5" t="s">
        <v>37197</v>
      </c>
      <c r="M5693" s="5" t="s">
        <v>37198</v>
      </c>
      <c r="N5693" s="7" t="s">
        <v>37199</v>
      </c>
      <c r="O5693" s="8" t="str">
        <f>HYPERLINK("https://drive.google.com/file/d/1iUaaY67_khb1M3R8cXAE2lBvAqhL2apN/view?usp=drivesdk","5692_EVI ARIANI, A.Md.Kep _ SERTIFIKAT BerAKHLAK")</f>
        <v>5692_EVI ARIANI, A.Md.Kep _ SERTIFIKAT BerAKHLAK</v>
      </c>
      <c r="P5693" s="5" t="s">
        <v>37175</v>
      </c>
    </row>
    <row r="5694">
      <c r="A5694" s="4">
        <v>45534.36232597222</v>
      </c>
      <c r="B5694" s="5" t="s">
        <v>34</v>
      </c>
      <c r="D5694" s="5" t="s">
        <v>4775</v>
      </c>
      <c r="E5694" s="5" t="s">
        <v>37200</v>
      </c>
      <c r="F5694" s="5" t="s">
        <v>375</v>
      </c>
      <c r="G5694" s="5" t="s">
        <v>37201</v>
      </c>
      <c r="H5694" s="6" t="s">
        <v>37202</v>
      </c>
      <c r="I5694" s="7" t="s">
        <v>37203</v>
      </c>
      <c r="J5694" s="8" t="str">
        <f>HYPERLINK("https://drive.google.com/file/d/1d0n-D1-1YaxqLCflUHBoEaK0ATV5SsT6/view?usp=drivesdk","ELY SUMARNI.S.Kep. SERTIFIKAT BerAKHLAK")</f>
        <v>ELY SUMARNI.S.Kep. SERTIFIKAT BerAKHLAK</v>
      </c>
      <c r="K5694" s="5" t="s">
        <v>36587</v>
      </c>
      <c r="L5694" s="5" t="s">
        <v>37204</v>
      </c>
      <c r="M5694" s="5" t="s">
        <v>37205</v>
      </c>
      <c r="N5694" s="7" t="s">
        <v>37206</v>
      </c>
      <c r="O5694" s="8" t="str">
        <f>HYPERLINK("https://drive.google.com/file/d/1fdzwBS96XeOR1inHtkq_d3LtDwc_yurn/view?usp=drivesdk","5693_ELY SUMARNI.S.Kep. _ SERTIFIKAT BerAKHLAK")</f>
        <v>5693_ELY SUMARNI.S.Kep. _ SERTIFIKAT BerAKHLAK</v>
      </c>
      <c r="P5694" s="5" t="s">
        <v>37207</v>
      </c>
    </row>
    <row r="5695">
      <c r="A5695" s="4">
        <v>45534.36235393518</v>
      </c>
      <c r="B5695" s="5" t="s">
        <v>34</v>
      </c>
      <c r="D5695" s="5" t="s">
        <v>10444</v>
      </c>
      <c r="E5695" s="5" t="s">
        <v>37208</v>
      </c>
      <c r="F5695" s="5" t="s">
        <v>72</v>
      </c>
      <c r="G5695" s="5" t="s">
        <v>37209</v>
      </c>
      <c r="H5695" s="6" t="s">
        <v>37210</v>
      </c>
      <c r="K5695" s="5" t="s">
        <v>37211</v>
      </c>
      <c r="M5695" s="5" t="s">
        <v>37212</v>
      </c>
      <c r="N5695" s="7" t="s">
        <v>37213</v>
      </c>
      <c r="O5695" s="8" t="str">
        <f>HYPERLINK("https://drive.google.com/file/d/1jRNo_jlDr9VFn1BZ0xCl7G8Cgs_3suAw/view?usp=drivesdk","5694_JOKO SUGIHARNO, S.H.  _ SERTIFIKAT BerAKHLAK")</f>
        <v>5694_JOKO SUGIHARNO, S.H.  _ SERTIFIKAT BerAKHLAK</v>
      </c>
      <c r="P5695" s="5" t="s">
        <v>37207</v>
      </c>
    </row>
    <row r="5696">
      <c r="A5696" s="4">
        <v>45534.3623590625</v>
      </c>
      <c r="B5696" s="5" t="s">
        <v>34</v>
      </c>
      <c r="D5696" s="5" t="s">
        <v>4775</v>
      </c>
      <c r="E5696" s="5" t="s">
        <v>37214</v>
      </c>
      <c r="F5696" s="5" t="s">
        <v>212</v>
      </c>
      <c r="G5696" s="5" t="s">
        <v>37215</v>
      </c>
      <c r="H5696" s="6" t="s">
        <v>37216</v>
      </c>
      <c r="I5696" s="7" t="s">
        <v>37217</v>
      </c>
      <c r="J5696" s="8" t="str">
        <f>HYPERLINK("https://drive.google.com/file/d/1YLfHo-c3ZHy7yrnnfRvUbU1BO7_d-0KO/view?usp=drivesdk","SRI ENDANG GUMIASIH SERTIFIKAT BerAKHLAK")</f>
        <v>SRI ENDANG GUMIASIH SERTIFIKAT BerAKHLAK</v>
      </c>
      <c r="K5696" s="5" t="s">
        <v>36587</v>
      </c>
      <c r="L5696" s="5" t="s">
        <v>37218</v>
      </c>
      <c r="M5696" s="5" t="s">
        <v>37219</v>
      </c>
      <c r="N5696" s="7" t="s">
        <v>37220</v>
      </c>
      <c r="O5696" s="8" t="str">
        <f>HYPERLINK("https://drive.google.com/file/d/1z-TUnyT634VCcPhgDNflrbSH8z5AeQgc/view?usp=drivesdk","5695_SRI ENDANG GUMIASIH _ SERTIFIKAT BerAKHLAK")</f>
        <v>5695_SRI ENDANG GUMIASIH _ SERTIFIKAT BerAKHLAK</v>
      </c>
      <c r="P5696" s="5" t="s">
        <v>37207</v>
      </c>
    </row>
    <row r="5697">
      <c r="A5697" s="4">
        <v>45534.362374375</v>
      </c>
      <c r="B5697" s="5" t="s">
        <v>34</v>
      </c>
      <c r="D5697" s="5" t="s">
        <v>9020</v>
      </c>
      <c r="E5697" s="5" t="s">
        <v>37221</v>
      </c>
      <c r="F5697" s="5" t="s">
        <v>212</v>
      </c>
      <c r="G5697" s="5" t="s">
        <v>37222</v>
      </c>
      <c r="H5697" s="6" t="s">
        <v>37223</v>
      </c>
      <c r="I5697" s="7" t="s">
        <v>37224</v>
      </c>
      <c r="J5697" s="8" t="str">
        <f>HYPERLINK("https://drive.google.com/file/d/1vMfsoFYyEqhmLiYRT3BIRbhDtYhkni3O/view?usp=drivesdk","DOKMA ELY SARAGIH SERTIFIKAT BerAKHLAK")</f>
        <v>DOKMA ELY SARAGIH SERTIFIKAT BerAKHLAK</v>
      </c>
      <c r="K5697" s="5" t="s">
        <v>36587</v>
      </c>
      <c r="L5697" s="5" t="s">
        <v>37225</v>
      </c>
      <c r="M5697" s="5" t="s">
        <v>37226</v>
      </c>
      <c r="N5697" s="7" t="s">
        <v>37227</v>
      </c>
      <c r="O5697" s="8" t="str">
        <f>HYPERLINK("https://drive.google.com/file/d/1DZpEtoEO3MiKeEeQYfadJSIjoYIlA17A/view?usp=drivesdk","5696_DOKMA ELY SARAGIH _ SERTIFIKAT BerAKHLAK")</f>
        <v>5696_DOKMA ELY SARAGIH _ SERTIFIKAT BerAKHLAK</v>
      </c>
      <c r="P5697" s="5" t="s">
        <v>37207</v>
      </c>
    </row>
    <row r="5698">
      <c r="A5698" s="4">
        <v>45534.36237894676</v>
      </c>
      <c r="B5698" s="5" t="s">
        <v>34</v>
      </c>
      <c r="D5698" s="5" t="s">
        <v>1456</v>
      </c>
      <c r="E5698" s="5" t="s">
        <v>37228</v>
      </c>
      <c r="F5698" s="5" t="s">
        <v>212</v>
      </c>
      <c r="G5698" s="5" t="s">
        <v>37229</v>
      </c>
      <c r="H5698" s="6" t="s">
        <v>37230</v>
      </c>
      <c r="I5698" s="7" t="s">
        <v>37231</v>
      </c>
      <c r="J5698" s="8" t="str">
        <f>HYPERLINK("https://drive.google.com/file/d/18UZie4haHSBiPYbTJ-HJA-n5cq7kW4bi/view?usp=drivesdk","ANITA PUTRI GUMAI SERTIFIKAT BerAKHLAK")</f>
        <v>ANITA PUTRI GUMAI SERTIFIKAT BerAKHLAK</v>
      </c>
      <c r="K5698" s="5" t="s">
        <v>36587</v>
      </c>
      <c r="L5698" s="5" t="s">
        <v>37232</v>
      </c>
      <c r="M5698" s="5" t="s">
        <v>37233</v>
      </c>
      <c r="N5698" s="7" t="s">
        <v>37234</v>
      </c>
      <c r="O5698" s="8" t="str">
        <f>HYPERLINK("https://drive.google.com/file/d/1nffl_dgOYhZiGxN69GVzdpFQEHxBHAkw/view?usp=drivesdk","5697_ANITA PUTRI GUMAI _ SERTIFIKAT BerAKHLAK")</f>
        <v>5697_ANITA PUTRI GUMAI _ SERTIFIKAT BerAKHLAK</v>
      </c>
      <c r="P5698" s="5" t="s">
        <v>37235</v>
      </c>
    </row>
    <row r="5699">
      <c r="A5699" s="4">
        <v>45534.36240978009</v>
      </c>
      <c r="B5699" s="5" t="s">
        <v>34</v>
      </c>
      <c r="D5699" s="5" t="s">
        <v>4775</v>
      </c>
      <c r="E5699" s="5" t="s">
        <v>37236</v>
      </c>
      <c r="F5699" s="5" t="s">
        <v>212</v>
      </c>
      <c r="G5699" s="5" t="s">
        <v>37237</v>
      </c>
      <c r="H5699" s="6" t="s">
        <v>37238</v>
      </c>
      <c r="I5699" s="7" t="s">
        <v>37239</v>
      </c>
      <c r="J5699" s="8" t="str">
        <f>HYPERLINK("https://drive.google.com/file/d/1_RRcpv3wa2BForj5cP4mWxF2yGt1-vWB/view?usp=drivesdk","Teguh Widjonarko A. Md SERTIFIKAT BerAKHLAK")</f>
        <v>Teguh Widjonarko A. Md SERTIFIKAT BerAKHLAK</v>
      </c>
      <c r="K5699" s="5" t="s">
        <v>36587</v>
      </c>
      <c r="L5699" s="5" t="s">
        <v>37240</v>
      </c>
      <c r="M5699" s="5" t="s">
        <v>37241</v>
      </c>
      <c r="N5699" s="7" t="s">
        <v>37242</v>
      </c>
      <c r="O5699" s="8" t="str">
        <f>HYPERLINK("https://drive.google.com/file/d/18TwAxn27oOyGkQdsBfMYw0pBqfRMIans/view?usp=drivesdk","5698_Teguh Widjonarko A. Md _ SERTIFIKAT BerAKHLAK")</f>
        <v>5698_Teguh Widjonarko A. Md _ SERTIFIKAT BerAKHLAK</v>
      </c>
      <c r="P5699" s="5" t="s">
        <v>37235</v>
      </c>
    </row>
    <row r="5700">
      <c r="A5700" s="4">
        <v>45534.362409849535</v>
      </c>
      <c r="B5700" s="5" t="s">
        <v>34</v>
      </c>
      <c r="D5700" s="5" t="s">
        <v>4775</v>
      </c>
      <c r="E5700" s="5" t="s">
        <v>37243</v>
      </c>
      <c r="F5700" s="5" t="s">
        <v>37</v>
      </c>
      <c r="G5700" s="5" t="s">
        <v>37244</v>
      </c>
      <c r="H5700" s="6" t="s">
        <v>37245</v>
      </c>
      <c r="I5700" s="7" t="s">
        <v>37246</v>
      </c>
      <c r="J5700" s="8" t="str">
        <f>HYPERLINK("https://drive.google.com/file/d/15mUDeLbj5kEgvCGK2PDRlgwMlRs_1G5Z/view?usp=drivesdk","HARSONO SERTIFIKAT BerAKHLAK")</f>
        <v>HARSONO SERTIFIKAT BerAKHLAK</v>
      </c>
      <c r="K5700" s="5" t="s">
        <v>36587</v>
      </c>
      <c r="L5700" s="5" t="s">
        <v>37247</v>
      </c>
      <c r="M5700" s="5" t="s">
        <v>37248</v>
      </c>
      <c r="N5700" s="7" t="s">
        <v>37249</v>
      </c>
      <c r="O5700" s="8" t="str">
        <f>HYPERLINK("https://drive.google.com/file/d/1rhvXXW19Laqpy8Xqs3xXbd94ao1b2saW/view?usp=drivesdk","5699_HARSONO _ SERTIFIKAT BerAKHLAK")</f>
        <v>5699_HARSONO _ SERTIFIKAT BerAKHLAK</v>
      </c>
      <c r="P5700" s="5" t="s">
        <v>37235</v>
      </c>
    </row>
    <row r="5701">
      <c r="A5701" s="4">
        <v>45534.36241564815</v>
      </c>
      <c r="B5701" s="5" t="s">
        <v>34</v>
      </c>
      <c r="D5701" s="5" t="s">
        <v>6232</v>
      </c>
      <c r="E5701" s="5" t="s">
        <v>37250</v>
      </c>
      <c r="F5701" s="5" t="s">
        <v>37</v>
      </c>
      <c r="G5701" s="5" t="s">
        <v>37251</v>
      </c>
      <c r="H5701" s="6" t="s">
        <v>37252</v>
      </c>
      <c r="K5701" s="5" t="s">
        <v>37253</v>
      </c>
      <c r="M5701" s="5" t="s">
        <v>37254</v>
      </c>
      <c r="N5701" s="7" t="s">
        <v>37255</v>
      </c>
      <c r="O5701" s="8" t="str">
        <f>HYPERLINK("https://drive.google.com/file/d/12uPG6sejOOZNmCXv4OpNIc0YoanGRKSf/view?usp=drivesdk","5700_EKA AGUSTINA, A.Md.Far _ SERTIFIKAT BerAKHLAK")</f>
        <v>5700_EKA AGUSTINA, A.Md.Far _ SERTIFIKAT BerAKHLAK</v>
      </c>
      <c r="P5701" s="5" t="s">
        <v>37235</v>
      </c>
    </row>
    <row r="5702">
      <c r="A5702" s="4">
        <v>45534.36243173611</v>
      </c>
      <c r="B5702" s="5" t="s">
        <v>34</v>
      </c>
      <c r="D5702" s="5" t="s">
        <v>996</v>
      </c>
      <c r="E5702" s="5" t="s">
        <v>37256</v>
      </c>
      <c r="F5702" s="5" t="s">
        <v>524</v>
      </c>
      <c r="G5702" s="5" t="s">
        <v>37257</v>
      </c>
      <c r="H5702" s="6" t="s">
        <v>37258</v>
      </c>
      <c r="I5702" s="7" t="s">
        <v>37259</v>
      </c>
      <c r="J5702" s="8" t="str">
        <f>HYPERLINK("https://drive.google.com/file/d/11cSafSG0NZYOmx7YJ1EilPCGmwciHmmf/view?usp=drivesdk","YUDHI PERMANA, S.AP SERTIFIKAT BerAKHLAK")</f>
        <v>YUDHI PERMANA, S.AP SERTIFIKAT BerAKHLAK</v>
      </c>
      <c r="K5702" s="5" t="s">
        <v>36587</v>
      </c>
      <c r="L5702" s="5" t="s">
        <v>37260</v>
      </c>
      <c r="M5702" s="5" t="s">
        <v>37261</v>
      </c>
      <c r="N5702" s="7" t="s">
        <v>37262</v>
      </c>
      <c r="O5702" s="8" t="str">
        <f>HYPERLINK("https://drive.google.com/file/d/1VLBWuHPDxI683X5rkJBHDJQOKiXex7Rr/view?usp=drivesdk","5701_YUDHI PERMANA, S.AP _ SERTIFIKAT BerAKHLAK")</f>
        <v>5701_YUDHI PERMANA, S.AP _ SERTIFIKAT BerAKHLAK</v>
      </c>
      <c r="P5702" s="5" t="s">
        <v>37263</v>
      </c>
    </row>
    <row r="5703">
      <c r="A5703" s="4">
        <v>45534.36245173611</v>
      </c>
      <c r="B5703" s="5" t="s">
        <v>34</v>
      </c>
      <c r="D5703" s="5" t="s">
        <v>12978</v>
      </c>
      <c r="E5703" s="5" t="s">
        <v>37264</v>
      </c>
      <c r="F5703" s="5" t="s">
        <v>72</v>
      </c>
      <c r="G5703" s="5" t="s">
        <v>37265</v>
      </c>
      <c r="H5703" s="6" t="s">
        <v>37266</v>
      </c>
      <c r="I5703" s="7" t="s">
        <v>37267</v>
      </c>
      <c r="J5703" s="8" t="str">
        <f>HYPERLINK("https://drive.google.com/file/d/1Gv9g4hL9GCbcMNojMNXD1tjgylzvK0o1/view?usp=drivesdk","dr. MOHD.RIZKI DESMADIA  SERTIFIKAT BerAKHLAK")</f>
        <v>dr. MOHD.RIZKI DESMADIA  SERTIFIKAT BerAKHLAK</v>
      </c>
      <c r="K5703" s="5" t="s">
        <v>36587</v>
      </c>
      <c r="L5703" s="5" t="s">
        <v>37268</v>
      </c>
      <c r="M5703" s="5" t="s">
        <v>37269</v>
      </c>
      <c r="N5703" s="7" t="s">
        <v>37270</v>
      </c>
      <c r="O5703" s="8" t="str">
        <f>HYPERLINK("https://drive.google.com/file/d/1KxB7dRBAYbe85q0VFFsbRJfXpcTfvYpE/view?usp=drivesdk","5702_dr. MOHD.RIZKI DESMADIA  _ SERTIFIKAT BerAKHLAK")</f>
        <v>5702_dr. MOHD.RIZKI DESMADIA  _ SERTIFIKAT BerAKHLAK</v>
      </c>
      <c r="P5703" s="5" t="s">
        <v>37263</v>
      </c>
    </row>
    <row r="5704">
      <c r="A5704" s="4">
        <v>45534.36246091435</v>
      </c>
      <c r="B5704" s="5" t="s">
        <v>34</v>
      </c>
      <c r="D5704" s="5" t="s">
        <v>267</v>
      </c>
      <c r="E5704" s="5" t="s">
        <v>37271</v>
      </c>
      <c r="F5704" s="5" t="s">
        <v>199</v>
      </c>
      <c r="G5704" s="5" t="s">
        <v>37272</v>
      </c>
      <c r="H5704" s="6" t="s">
        <v>37273</v>
      </c>
      <c r="I5704" s="7" t="s">
        <v>37274</v>
      </c>
      <c r="J5704" s="8" t="str">
        <f>HYPERLINK("https://drive.google.com/file/d/1XIEDY9I1JkGtTOyyjCdGcYdfFLP_x-HO/view?usp=drivesdk","BUDI SANTOSO, M.I.KOM. SERTIFIKAT BerAKHLAK")</f>
        <v>BUDI SANTOSO, M.I.KOM. SERTIFIKAT BerAKHLAK</v>
      </c>
      <c r="K5704" s="5" t="s">
        <v>36587</v>
      </c>
      <c r="L5704" s="5" t="s">
        <v>37275</v>
      </c>
      <c r="M5704" s="5" t="s">
        <v>37276</v>
      </c>
      <c r="N5704" s="7" t="s">
        <v>37277</v>
      </c>
      <c r="O5704" s="8" t="str">
        <f>HYPERLINK("https://drive.google.com/file/d/1v0VNAmo_i5gInfQEeZ-SNInJC54STX7K/view?usp=drivesdk","5703_BUDI SANTOSO, M.I.KOM. _ SERTIFIKAT BerAKHLAK")</f>
        <v>5703_BUDI SANTOSO, M.I.KOM. _ SERTIFIKAT BerAKHLAK</v>
      </c>
      <c r="P5704" s="5" t="s">
        <v>37263</v>
      </c>
    </row>
    <row r="5705" hidden="1">
      <c r="A5705" s="4">
        <v>45534.36246202546</v>
      </c>
      <c r="B5705" s="5" t="s">
        <v>19</v>
      </c>
      <c r="C5705" s="5" t="s">
        <v>32901</v>
      </c>
      <c r="E5705" s="5" t="s">
        <v>37278</v>
      </c>
      <c r="F5705" s="5" t="s">
        <v>524</v>
      </c>
      <c r="G5705" s="5" t="s">
        <v>37279</v>
      </c>
      <c r="H5705" s="6" t="s">
        <v>37280</v>
      </c>
      <c r="I5705" s="7" t="s">
        <v>37281</v>
      </c>
      <c r="J5705" s="8" t="str">
        <f>HYPERLINK("https://drive.google.com/file/d/1BYJAGBiTn36r2JsnaDMauC385Mq7zCRh/view?usp=drivesdk","EVI VERIYANTI SERTIFIKAT BerAKHLAK")</f>
        <v>EVI VERIYANTI SERTIFIKAT BerAKHLAK</v>
      </c>
      <c r="K5705" s="5" t="s">
        <v>36587</v>
      </c>
      <c r="L5705" s="5" t="s">
        <v>37282</v>
      </c>
      <c r="M5705" s="5" t="s">
        <v>37283</v>
      </c>
      <c r="N5705" s="7" t="s">
        <v>37284</v>
      </c>
      <c r="O5705" s="8" t="str">
        <f>HYPERLINK("https://drive.google.com/file/d/1MCcA8Fe2HxfnLsApvPTzyoWnpv9o6xN-/view?usp=drivesdk","5704_EVI VERIYANTI _ SERTIFIKAT BerAKHLAK")</f>
        <v>5704_EVI VERIYANTI _ SERTIFIKAT BerAKHLAK</v>
      </c>
      <c r="P5705" s="5" t="s">
        <v>37263</v>
      </c>
    </row>
    <row r="5706">
      <c r="A5706" s="4">
        <v>45534.362465196755</v>
      </c>
      <c r="B5706" s="5" t="s">
        <v>34</v>
      </c>
      <c r="D5706" s="5" t="s">
        <v>4775</v>
      </c>
      <c r="E5706" s="5" t="s">
        <v>37285</v>
      </c>
      <c r="F5706" s="5" t="s">
        <v>212</v>
      </c>
      <c r="G5706" s="5" t="s">
        <v>37286</v>
      </c>
      <c r="H5706" s="6" t="s">
        <v>37287</v>
      </c>
      <c r="K5706" s="5" t="s">
        <v>37288</v>
      </c>
      <c r="M5706" s="5" t="s">
        <v>37289</v>
      </c>
      <c r="N5706" s="7" t="s">
        <v>37290</v>
      </c>
      <c r="O5706" s="8" t="str">
        <f>HYPERLINK("https://drive.google.com/file/d/1jZBiib1CjPH-3k8N-8M-5SbVdKtdiHw2/view?usp=drivesdk","5705_WIWIT SURYANI, AMK  _ SERTIFIKAT BerAKHLAK")</f>
        <v>5705_WIWIT SURYANI, AMK  _ SERTIFIKAT BerAKHLAK</v>
      </c>
      <c r="P5706" s="5" t="s">
        <v>37291</v>
      </c>
    </row>
    <row r="5707">
      <c r="A5707" s="4">
        <v>45534.36246761574</v>
      </c>
      <c r="B5707" s="5" t="s">
        <v>34</v>
      </c>
      <c r="D5707" s="5" t="s">
        <v>15401</v>
      </c>
      <c r="E5707" s="5" t="s">
        <v>37292</v>
      </c>
      <c r="F5707" s="5" t="s">
        <v>375</v>
      </c>
      <c r="G5707" s="5" t="s">
        <v>37293</v>
      </c>
      <c r="H5707" s="6" t="s">
        <v>37294</v>
      </c>
      <c r="K5707" s="5" t="s">
        <v>37288</v>
      </c>
      <c r="M5707" s="5" t="s">
        <v>37295</v>
      </c>
      <c r="N5707" s="7" t="s">
        <v>37296</v>
      </c>
      <c r="O5707" s="8" t="str">
        <f>HYPERLINK("https://drive.google.com/file/d/1gaDFWKGqyhoE1QinQbXXQ06-cyaGnNC6/view?usp=drivesdk","5706_PUPUT WIDHIASTUTI, A.MD., S.E. _ SERTIFIKAT BerAKHLAK")</f>
        <v>5706_PUPUT WIDHIASTUTI, A.MD., S.E. _ SERTIFIKAT BerAKHLAK</v>
      </c>
      <c r="P5707" s="5" t="s">
        <v>37291</v>
      </c>
    </row>
    <row r="5708">
      <c r="A5708" s="4">
        <v>45534.362467893516</v>
      </c>
      <c r="B5708" s="5" t="s">
        <v>34</v>
      </c>
      <c r="D5708" s="5" t="s">
        <v>14424</v>
      </c>
      <c r="E5708" s="5" t="s">
        <v>37297</v>
      </c>
      <c r="F5708" s="5" t="s">
        <v>375</v>
      </c>
      <c r="G5708" s="5" t="s">
        <v>37298</v>
      </c>
      <c r="H5708" s="6" t="s">
        <v>37299</v>
      </c>
      <c r="K5708" s="5" t="s">
        <v>37288</v>
      </c>
      <c r="M5708" s="5" t="s">
        <v>37300</v>
      </c>
      <c r="N5708" s="7" t="s">
        <v>37301</v>
      </c>
      <c r="O5708" s="8" t="str">
        <f>HYPERLINK("https://drive.google.com/file/d/1cwP7BcdRooGCT9Aj6YH6iYGsvoo0QjR1/view?usp=drivesdk","5707_HENDRIZAL, S.T. _ SERTIFIKAT BerAKHLAK")</f>
        <v>5707_HENDRIZAL, S.T. _ SERTIFIKAT BerAKHLAK</v>
      </c>
      <c r="P5708" s="5" t="s">
        <v>37291</v>
      </c>
    </row>
    <row r="5709">
      <c r="A5709" s="4">
        <v>45534.36248489583</v>
      </c>
      <c r="B5709" s="5" t="s">
        <v>34</v>
      </c>
      <c r="D5709" s="5" t="s">
        <v>11527</v>
      </c>
      <c r="E5709" s="5" t="s">
        <v>37302</v>
      </c>
      <c r="F5709" s="5" t="s">
        <v>524</v>
      </c>
      <c r="G5709" s="5" t="s">
        <v>37303</v>
      </c>
      <c r="H5709" s="6" t="s">
        <v>37304</v>
      </c>
      <c r="I5709" s="7" t="s">
        <v>37305</v>
      </c>
      <c r="J5709" s="8" t="str">
        <f>HYPERLINK("https://drive.google.com/file/d/1JsUNa4eyGURnu4fY7GyWY25Z_iDu4g_g/view?usp=drivesdk","Ns.Lissa Carolina Jacobus,S.Kep SERTIFIKAT BerAKHLAK")</f>
        <v>Ns.Lissa Carolina Jacobus,S.Kep SERTIFIKAT BerAKHLAK</v>
      </c>
      <c r="K5709" s="5" t="s">
        <v>37306</v>
      </c>
      <c r="L5709" s="5" t="s">
        <v>37307</v>
      </c>
      <c r="M5709" s="5" t="s">
        <v>37308</v>
      </c>
      <c r="N5709" s="7" t="s">
        <v>37309</v>
      </c>
      <c r="O5709" s="8" t="str">
        <f>HYPERLINK("https://drive.google.com/file/d/1zaKT5Cgz4S5OSrfotkx7V10sFuNrd8Wu/view?usp=drivesdk","5708_Ns.Lissa Carolina Jacobus,S.Kep _ SERTIFIKAT BerAKHLAK")</f>
        <v>5708_Ns.Lissa Carolina Jacobus,S.Kep _ SERTIFIKAT BerAKHLAK</v>
      </c>
      <c r="P5709" s="5" t="s">
        <v>37291</v>
      </c>
    </row>
    <row r="5710">
      <c r="A5710" s="4">
        <v>45534.36248869213</v>
      </c>
      <c r="B5710" s="5" t="s">
        <v>34</v>
      </c>
      <c r="D5710" s="5" t="s">
        <v>267</v>
      </c>
      <c r="E5710" s="5" t="s">
        <v>37310</v>
      </c>
      <c r="F5710" s="5" t="s">
        <v>72</v>
      </c>
      <c r="G5710" s="5" t="s">
        <v>37311</v>
      </c>
      <c r="H5710" s="6" t="s">
        <v>37312</v>
      </c>
      <c r="I5710" s="7" t="s">
        <v>37313</v>
      </c>
      <c r="J5710" s="8" t="str">
        <f>HYPERLINK("https://drive.google.com/file/d/1B8Zrjwc8jYqlwHOVlJXHiA2fe2pobpfz/view?usp=drivesdk","FAJAR ARIF WIBOWO, ST. SERTIFIKAT BerAKHLAK")</f>
        <v>FAJAR ARIF WIBOWO, ST. SERTIFIKAT BerAKHLAK</v>
      </c>
      <c r="K5710" s="5" t="s">
        <v>37306</v>
      </c>
      <c r="L5710" s="5" t="s">
        <v>37314</v>
      </c>
      <c r="M5710" s="5" t="s">
        <v>37315</v>
      </c>
      <c r="N5710" s="7" t="s">
        <v>37316</v>
      </c>
      <c r="O5710" s="8" t="str">
        <f>HYPERLINK("https://drive.google.com/file/d/1Hp7VSn1PTlASf3HcY4X4_cHBOhpYa8n2/view?usp=drivesdk","5709_FAJAR ARIF WIBOWO, ST. _ SERTIFIKAT BerAKHLAK")</f>
        <v>5709_FAJAR ARIF WIBOWO, ST. _ SERTIFIKAT BerAKHLAK</v>
      </c>
      <c r="P5710" s="5" t="s">
        <v>37291</v>
      </c>
    </row>
    <row r="5711">
      <c r="A5711" s="4">
        <v>45534.36249835648</v>
      </c>
      <c r="B5711" s="5" t="s">
        <v>34</v>
      </c>
      <c r="D5711" s="5" t="s">
        <v>9020</v>
      </c>
      <c r="E5711" s="5" t="s">
        <v>37317</v>
      </c>
      <c r="F5711" s="5" t="s">
        <v>72</v>
      </c>
      <c r="G5711" s="5" t="s">
        <v>37318</v>
      </c>
      <c r="H5711" s="6" t="s">
        <v>37319</v>
      </c>
      <c r="K5711" s="5" t="s">
        <v>37320</v>
      </c>
      <c r="M5711" s="5" t="s">
        <v>37321</v>
      </c>
      <c r="N5711" s="7" t="s">
        <v>37322</v>
      </c>
      <c r="O5711" s="8" t="str">
        <f>HYPERLINK("https://drive.google.com/file/d/1B8ZR-yfh1WWWhvpveFweLgQoEQBIDDI7/view?usp=drivesdk","5710_TETTY CHOLIJAH SINAGA. SE _ SERTIFIKAT BerAKHLAK")</f>
        <v>5710_TETTY CHOLIJAH SINAGA. SE _ SERTIFIKAT BerAKHLAK</v>
      </c>
      <c r="P5711" s="5" t="s">
        <v>37323</v>
      </c>
    </row>
    <row r="5712">
      <c r="A5712" s="4">
        <v>45534.36251097222</v>
      </c>
      <c r="B5712" s="5" t="s">
        <v>34</v>
      </c>
      <c r="D5712" s="5" t="s">
        <v>4775</v>
      </c>
      <c r="E5712" s="5" t="s">
        <v>37324</v>
      </c>
      <c r="F5712" s="5" t="s">
        <v>37</v>
      </c>
      <c r="G5712" s="5" t="s">
        <v>37325</v>
      </c>
      <c r="H5712" s="6" t="s">
        <v>37326</v>
      </c>
      <c r="K5712" s="5" t="s">
        <v>37320</v>
      </c>
      <c r="M5712" s="5" t="s">
        <v>37327</v>
      </c>
      <c r="N5712" s="7" t="s">
        <v>37328</v>
      </c>
      <c r="O5712" s="8" t="str">
        <f>HYPERLINK("https://drive.google.com/file/d/1g6YpLyyzXn2tTGbLiqIPW2c_bVTJofDQ/view?usp=drivesdk","5711_DIDI AGUS PRAMONO _ SERTIFIKAT BerAKHLAK")</f>
        <v>5711_DIDI AGUS PRAMONO _ SERTIFIKAT BerAKHLAK</v>
      </c>
      <c r="P5712" s="5" t="s">
        <v>37323</v>
      </c>
    </row>
    <row r="5713">
      <c r="A5713" s="4">
        <v>45534.362513796295</v>
      </c>
      <c r="B5713" s="5" t="s">
        <v>34</v>
      </c>
      <c r="D5713" s="5" t="s">
        <v>4775</v>
      </c>
      <c r="E5713" s="5" t="s">
        <v>37329</v>
      </c>
      <c r="F5713" s="5" t="s">
        <v>5859</v>
      </c>
      <c r="G5713" s="5" t="s">
        <v>37330</v>
      </c>
      <c r="H5713" s="6" t="s">
        <v>37331</v>
      </c>
      <c r="K5713" s="5" t="s">
        <v>37320</v>
      </c>
      <c r="M5713" s="5" t="s">
        <v>37332</v>
      </c>
      <c r="N5713" s="7" t="s">
        <v>37333</v>
      </c>
      <c r="O5713" s="8" t="str">
        <f>HYPERLINK("https://drive.google.com/file/d/18V7uaoDwrQjUj_5SqI3SGLIutnH_TwtN/view?usp=drivesdk","5712_SOLICHIN _ SERTIFIKAT BerAKHLAK")</f>
        <v>5712_SOLICHIN _ SERTIFIKAT BerAKHLAK</v>
      </c>
      <c r="P5713" s="5" t="s">
        <v>37323</v>
      </c>
    </row>
    <row r="5714">
      <c r="A5714" s="4">
        <v>45534.36252241898</v>
      </c>
      <c r="B5714" s="5" t="s">
        <v>34</v>
      </c>
      <c r="D5714" s="5" t="s">
        <v>580</v>
      </c>
      <c r="E5714" s="5" t="s">
        <v>37334</v>
      </c>
      <c r="F5714" s="5" t="s">
        <v>72</v>
      </c>
      <c r="G5714" s="5" t="s">
        <v>37335</v>
      </c>
      <c r="H5714" s="6" t="s">
        <v>37336</v>
      </c>
      <c r="I5714" s="7" t="s">
        <v>37337</v>
      </c>
      <c r="J5714" s="8" t="str">
        <f>HYPERLINK("https://drive.google.com/file/d/1zAzDWxHE8DSUdB6RzWVVF9w42hAnVfmy/view?usp=drivesdk","NI PUTU EKA SUPRIATI,A.Md SERTIFIKAT BerAKHLAK")</f>
        <v>NI PUTU EKA SUPRIATI,A.Md SERTIFIKAT BerAKHLAK</v>
      </c>
      <c r="K5714" s="5" t="s">
        <v>36587</v>
      </c>
      <c r="L5714" s="5" t="s">
        <v>37338</v>
      </c>
      <c r="M5714" s="5" t="s">
        <v>37339</v>
      </c>
      <c r="N5714" s="7" t="s">
        <v>37340</v>
      </c>
      <c r="O5714" s="8" t="str">
        <f>HYPERLINK("https://drive.google.com/file/d/1VNaG2a_eLmvwtkw49a_imZv8b9eQJAQE/view?usp=drivesdk","5713_NI PUTU EKA SUPRIATI,A.Md _ SERTIFIKAT BerAKHLAK")</f>
        <v>5713_NI PUTU EKA SUPRIATI,A.Md _ SERTIFIKAT BerAKHLAK</v>
      </c>
      <c r="P5714" s="5" t="s">
        <v>37341</v>
      </c>
    </row>
    <row r="5715">
      <c r="A5715" s="4">
        <v>45534.36252753472</v>
      </c>
      <c r="B5715" s="5" t="s">
        <v>34</v>
      </c>
      <c r="D5715" s="5" t="s">
        <v>1558</v>
      </c>
      <c r="E5715" s="5" t="s">
        <v>37342</v>
      </c>
      <c r="F5715" s="5" t="s">
        <v>524</v>
      </c>
      <c r="G5715" s="5" t="s">
        <v>37343</v>
      </c>
      <c r="H5715" s="6" t="s">
        <v>37344</v>
      </c>
      <c r="I5715" s="7" t="s">
        <v>37345</v>
      </c>
      <c r="J5715" s="8" t="str">
        <f>HYPERLINK("https://drive.google.com/file/d/1eo56Vmh-Y-EWvWoyx9uEkDCHk70oPhne/view?usp=drivesdk","AGUS SUPRIYA SERTIFIKAT BerAKHLAK")</f>
        <v>AGUS SUPRIYA SERTIFIKAT BerAKHLAK</v>
      </c>
      <c r="K5715" s="5" t="s">
        <v>36587</v>
      </c>
      <c r="L5715" s="5" t="s">
        <v>37346</v>
      </c>
      <c r="M5715" s="5" t="s">
        <v>37347</v>
      </c>
      <c r="N5715" s="7" t="s">
        <v>37348</v>
      </c>
      <c r="O5715" s="8" t="str">
        <f>HYPERLINK("https://drive.google.com/file/d/1uHcj2pE1rqnufVMfhCMyJTheR23TNVin/view?usp=drivesdk","5714_AGUS SUPRIYA _ SERTIFIKAT BerAKHLAK")</f>
        <v>5714_AGUS SUPRIYA _ SERTIFIKAT BerAKHLAK</v>
      </c>
      <c r="P5715" s="5" t="s">
        <v>37341</v>
      </c>
    </row>
    <row r="5716">
      <c r="A5716" s="4">
        <v>45534.36257439815</v>
      </c>
      <c r="B5716" s="5" t="s">
        <v>34</v>
      </c>
      <c r="D5716" s="5" t="s">
        <v>9020</v>
      </c>
      <c r="E5716" s="5" t="s">
        <v>37349</v>
      </c>
      <c r="F5716" s="5" t="s">
        <v>72</v>
      </c>
      <c r="G5716" s="5" t="s">
        <v>37350</v>
      </c>
      <c r="H5716" s="6" t="s">
        <v>37351</v>
      </c>
      <c r="K5716" s="5" t="s">
        <v>37352</v>
      </c>
      <c r="M5716" s="5" t="s">
        <v>37353</v>
      </c>
      <c r="N5716" s="7" t="s">
        <v>37354</v>
      </c>
      <c r="O5716" s="8" t="str">
        <f>HYPERLINK("https://drive.google.com/file/d/1cm67fDw8wJ3HHPi0e-LTkpvhS9Bt8MVo/view?usp=drivesdk","5715_ULI SIANTURI SE, MM  _ SERTIFIKAT BerAKHLAK")</f>
        <v>5715_ULI SIANTURI SE, MM  _ SERTIFIKAT BerAKHLAK</v>
      </c>
      <c r="P5716" s="5" t="s">
        <v>37341</v>
      </c>
    </row>
    <row r="5717">
      <c r="A5717" s="4">
        <v>45534.36257518519</v>
      </c>
      <c r="B5717" s="5" t="s">
        <v>34</v>
      </c>
      <c r="D5717" s="5" t="s">
        <v>4775</v>
      </c>
      <c r="E5717" s="5" t="s">
        <v>37355</v>
      </c>
      <c r="F5717" s="5" t="s">
        <v>212</v>
      </c>
      <c r="G5717" s="5" t="s">
        <v>37356</v>
      </c>
      <c r="H5717" s="6" t="s">
        <v>37357</v>
      </c>
      <c r="K5717" s="5" t="s">
        <v>37352</v>
      </c>
      <c r="M5717" s="5" t="s">
        <v>37358</v>
      </c>
      <c r="N5717" s="7" t="s">
        <v>37359</v>
      </c>
      <c r="O5717" s="8" t="str">
        <f>HYPERLINK("https://drive.google.com/file/d/1U_Jl-h1UvuzB3pW8Ks7gq_ixF7diMS_j/view?usp=drivesdk","5716_EVI IMAWATI _ SERTIFIKAT BerAKHLAK")</f>
        <v>5716_EVI IMAWATI _ SERTIFIKAT BerAKHLAK</v>
      </c>
      <c r="P5717" s="5" t="s">
        <v>37360</v>
      </c>
    </row>
    <row r="5718">
      <c r="A5718" s="4">
        <v>45534.36258518518</v>
      </c>
      <c r="B5718" s="5" t="s">
        <v>34</v>
      </c>
      <c r="D5718" s="5" t="s">
        <v>4775</v>
      </c>
      <c r="E5718" s="5" t="s">
        <v>37361</v>
      </c>
      <c r="F5718" s="5" t="s">
        <v>108</v>
      </c>
      <c r="G5718" s="5" t="s">
        <v>37362</v>
      </c>
      <c r="H5718" s="6" t="s">
        <v>37363</v>
      </c>
      <c r="K5718" s="5" t="s">
        <v>37352</v>
      </c>
      <c r="M5718" s="5" t="s">
        <v>37364</v>
      </c>
      <c r="N5718" s="7" t="s">
        <v>37365</v>
      </c>
      <c r="O5718" s="8" t="str">
        <f>HYPERLINK("https://drive.google.com/file/d/1LHFo3y3NEkCwrcb2cdrbYgGaAi9rdFU2/view?usp=drivesdk","5717_MEYLASARI  _ SERTIFIKAT BerAKHLAK")</f>
        <v>5717_MEYLASARI  _ SERTIFIKAT BerAKHLAK</v>
      </c>
      <c r="P5718" s="5" t="s">
        <v>37360</v>
      </c>
    </row>
    <row r="5719">
      <c r="A5719" s="4">
        <v>45534.362587766205</v>
      </c>
      <c r="B5719" s="5" t="s">
        <v>34</v>
      </c>
      <c r="D5719" s="5" t="s">
        <v>1206</v>
      </c>
      <c r="E5719" s="5" t="s">
        <v>37366</v>
      </c>
      <c r="F5719" s="5" t="s">
        <v>37</v>
      </c>
      <c r="G5719" s="5" t="s">
        <v>37367</v>
      </c>
      <c r="H5719" s="6" t="s">
        <v>37368</v>
      </c>
      <c r="K5719" s="5" t="s">
        <v>37352</v>
      </c>
      <c r="M5719" s="5" t="s">
        <v>37369</v>
      </c>
      <c r="N5719" s="7" t="s">
        <v>37370</v>
      </c>
      <c r="O5719" s="8" t="str">
        <f>HYPERLINK("https://drive.google.com/file/d/1P78rbEU5aMMq-DSSjT7YQ62Dkx6H6okm/view?usp=drivesdk","5718_NURIJADI _ SERTIFIKAT BerAKHLAK")</f>
        <v>5718_NURIJADI _ SERTIFIKAT BerAKHLAK</v>
      </c>
      <c r="P5719" s="5" t="s">
        <v>37360</v>
      </c>
    </row>
    <row r="5720">
      <c r="A5720" s="4">
        <v>45534.36258842592</v>
      </c>
      <c r="B5720" s="5" t="s">
        <v>34</v>
      </c>
      <c r="D5720" s="5" t="s">
        <v>9394</v>
      </c>
      <c r="E5720" s="5" t="s">
        <v>37371</v>
      </c>
      <c r="F5720" s="5" t="s">
        <v>37</v>
      </c>
      <c r="G5720" s="5" t="s">
        <v>37372</v>
      </c>
      <c r="H5720" s="6" t="s">
        <v>37373</v>
      </c>
      <c r="K5720" s="5" t="s">
        <v>37352</v>
      </c>
      <c r="M5720" s="5" t="s">
        <v>37374</v>
      </c>
      <c r="N5720" s="7" t="s">
        <v>37375</v>
      </c>
      <c r="O5720" s="8" t="str">
        <f>HYPERLINK("https://drive.google.com/file/d/1pbmjKtvFOb-ZonvQ39e7-90GbepMxga9/view?usp=drivesdk","5719_YULIA SUSANTI _ SERTIFIKAT BerAKHLAK")</f>
        <v>5719_YULIA SUSANTI _ SERTIFIKAT BerAKHLAK</v>
      </c>
      <c r="P5720" s="5" t="s">
        <v>37360</v>
      </c>
    </row>
    <row r="5721">
      <c r="A5721" s="4">
        <v>45534.36260037037</v>
      </c>
      <c r="B5721" s="5" t="s">
        <v>34</v>
      </c>
      <c r="D5721" s="5" t="s">
        <v>6232</v>
      </c>
      <c r="E5721" s="5" t="s">
        <v>37376</v>
      </c>
      <c r="F5721" s="5" t="s">
        <v>212</v>
      </c>
      <c r="G5721" s="5" t="s">
        <v>37377</v>
      </c>
      <c r="H5721" s="6" t="s">
        <v>37378</v>
      </c>
      <c r="K5721" s="5" t="s">
        <v>37352</v>
      </c>
      <c r="M5721" s="5" t="s">
        <v>37379</v>
      </c>
      <c r="N5721" s="7" t="s">
        <v>37380</v>
      </c>
      <c r="O5721" s="8" t="str">
        <f>HYPERLINK("https://drive.google.com/file/d/1FchyXdp07XMiqG4GTrPU8dyxHFbS1sml/view?usp=drivesdk","5720_HERINAWATI _ SERTIFIKAT BerAKHLAK")</f>
        <v>5720_HERINAWATI _ SERTIFIKAT BerAKHLAK</v>
      </c>
      <c r="P5721" s="5" t="s">
        <v>37381</v>
      </c>
    </row>
    <row r="5722">
      <c r="A5722" s="4">
        <v>45534.36260420139</v>
      </c>
      <c r="B5722" s="5" t="s">
        <v>34</v>
      </c>
      <c r="D5722" s="5" t="s">
        <v>1206</v>
      </c>
      <c r="E5722" s="5" t="s">
        <v>37382</v>
      </c>
      <c r="F5722" s="5" t="s">
        <v>212</v>
      </c>
      <c r="G5722" s="5" t="s">
        <v>37383</v>
      </c>
      <c r="H5722" s="6" t="s">
        <v>37384</v>
      </c>
      <c r="K5722" s="5" t="s">
        <v>37352</v>
      </c>
      <c r="M5722" s="5" t="s">
        <v>37385</v>
      </c>
      <c r="N5722" s="7" t="s">
        <v>37386</v>
      </c>
      <c r="O5722" s="8" t="str">
        <f>HYPERLINK("https://drive.google.com/file/d/1NA7WgqlgLiA2xP1c5XRi3c5sIpOyJ-ja/view?usp=drivesdk","5721_JAMALIA RUMUAR _ SERTIFIKAT BerAKHLAK")</f>
        <v>5721_JAMALIA RUMUAR _ SERTIFIKAT BerAKHLAK</v>
      </c>
      <c r="P5722" s="5" t="s">
        <v>37381</v>
      </c>
    </row>
    <row r="5723" hidden="1">
      <c r="A5723" s="4">
        <v>45534.36260756945</v>
      </c>
      <c r="B5723" s="5" t="s">
        <v>19</v>
      </c>
      <c r="C5723" s="5" t="s">
        <v>14000</v>
      </c>
      <c r="E5723" s="5" t="s">
        <v>23729</v>
      </c>
      <c r="F5723" s="5" t="s">
        <v>72</v>
      </c>
      <c r="G5723" s="5" t="s">
        <v>37387</v>
      </c>
      <c r="H5723" s="6" t="s">
        <v>37388</v>
      </c>
      <c r="K5723" s="5" t="s">
        <v>37352</v>
      </c>
      <c r="M5723" s="5" t="s">
        <v>37389</v>
      </c>
      <c r="N5723" s="7" t="s">
        <v>37390</v>
      </c>
      <c r="O5723" s="8" t="str">
        <f>HYPERLINK("https://drive.google.com/file/d/1EGhExuSMw-0nuoorIybhfNb2-IFWiCB8/view?usp=drivesdk","5722_WIGNYO SUROYO.,S.E _ SERTIFIKAT BerAKHLAK")</f>
        <v>5722_WIGNYO SUROYO.,S.E _ SERTIFIKAT BerAKHLAK</v>
      </c>
      <c r="P5723" s="5" t="s">
        <v>37381</v>
      </c>
    </row>
    <row r="5724">
      <c r="A5724" s="4">
        <v>45534.36260767361</v>
      </c>
      <c r="B5724" s="5" t="s">
        <v>34</v>
      </c>
      <c r="D5724" s="5" t="s">
        <v>701</v>
      </c>
      <c r="E5724" s="5" t="s">
        <v>37391</v>
      </c>
      <c r="F5724" s="5" t="s">
        <v>120</v>
      </c>
      <c r="G5724" s="5" t="s">
        <v>37392</v>
      </c>
      <c r="H5724" s="6" t="s">
        <v>37393</v>
      </c>
      <c r="K5724" s="5" t="s">
        <v>36595</v>
      </c>
      <c r="M5724" s="5" t="s">
        <v>37394</v>
      </c>
      <c r="N5724" s="7" t="s">
        <v>37395</v>
      </c>
      <c r="O5724" s="8" t="str">
        <f>HYPERLINK("https://drive.google.com/file/d/1ytqwbrWYZxfd59NqgA8cv0OdTe8iuDpW/view?usp=drivesdk","5723_DESWITA _ SERTIFIKAT BerAKHLAK")</f>
        <v>5723_DESWITA _ SERTIFIKAT BerAKHLAK</v>
      </c>
      <c r="P5724" s="5" t="s">
        <v>37381</v>
      </c>
    </row>
    <row r="5725">
      <c r="A5725" s="4">
        <v>45534.36262104167</v>
      </c>
      <c r="B5725" s="5" t="s">
        <v>34</v>
      </c>
      <c r="D5725" s="5" t="s">
        <v>280</v>
      </c>
      <c r="E5725" s="5" t="s">
        <v>37396</v>
      </c>
      <c r="F5725" s="5" t="s">
        <v>72</v>
      </c>
      <c r="G5725" s="5" t="s">
        <v>37397</v>
      </c>
      <c r="H5725" s="6" t="s">
        <v>37398</v>
      </c>
      <c r="K5725" s="5" t="s">
        <v>36595</v>
      </c>
      <c r="M5725" s="5" t="s">
        <v>37399</v>
      </c>
      <c r="N5725" s="7" t="s">
        <v>37400</v>
      </c>
      <c r="O5725" s="8" t="str">
        <f>HYPERLINK("https://drive.google.com/file/d/1cgbaddL27kxbIJ4Zwr6vTptyhHXSqly1/view?usp=drivesdk","5724_PENATA ROSMALINI _ SERTIFIKAT BerAKHLAK")</f>
        <v>5724_PENATA ROSMALINI _ SERTIFIKAT BerAKHLAK</v>
      </c>
      <c r="P5725" s="5" t="s">
        <v>37401</v>
      </c>
    </row>
    <row r="5726">
      <c r="A5726" s="4">
        <v>45534.36261534722</v>
      </c>
      <c r="B5726" s="5" t="s">
        <v>34</v>
      </c>
      <c r="D5726" s="5" t="s">
        <v>1206</v>
      </c>
      <c r="E5726" s="5" t="s">
        <v>37402</v>
      </c>
      <c r="F5726" s="5" t="s">
        <v>212</v>
      </c>
      <c r="G5726" s="5" t="s">
        <v>37403</v>
      </c>
      <c r="H5726" s="6" t="s">
        <v>37404</v>
      </c>
      <c r="K5726" s="5" t="s">
        <v>36595</v>
      </c>
      <c r="M5726" s="5" t="s">
        <v>37405</v>
      </c>
      <c r="N5726" s="7" t="s">
        <v>37406</v>
      </c>
      <c r="O5726" s="8" t="str">
        <f>HYPERLINK("https://drive.google.com/file/d/1kX-6PnQ0OTcZIS_0M_NfQfkXH235l5pA/view?usp=drivesdk","5725_NINIK MUJI RAHAYU _ SERTIFIKAT BerAKHLAK")</f>
        <v>5725_NINIK MUJI RAHAYU _ SERTIFIKAT BerAKHLAK</v>
      </c>
      <c r="P5726" s="5" t="s">
        <v>37401</v>
      </c>
    </row>
    <row r="5727">
      <c r="A5727" s="4">
        <v>45534.36262457176</v>
      </c>
      <c r="B5727" s="5" t="s">
        <v>34</v>
      </c>
      <c r="D5727" s="5" t="s">
        <v>1206</v>
      </c>
      <c r="E5727" s="5" t="s">
        <v>37407</v>
      </c>
      <c r="F5727" s="5" t="s">
        <v>108</v>
      </c>
      <c r="G5727" s="5" t="s">
        <v>37408</v>
      </c>
      <c r="H5727" s="6" t="s">
        <v>37409</v>
      </c>
      <c r="K5727" s="5" t="s">
        <v>36595</v>
      </c>
      <c r="M5727" s="5" t="s">
        <v>37410</v>
      </c>
      <c r="N5727" s="7" t="s">
        <v>37411</v>
      </c>
      <c r="O5727" s="8" t="str">
        <f>HYPERLINK("https://drive.google.com/file/d/1wmIqh0uIYLgh-XSzXvrgNm3u0Dg6-PCe/view?usp=drivesdk","5726_RIONO RIONO _ SERTIFIKAT BerAKHLAK")</f>
        <v>5726_RIONO RIONO _ SERTIFIKAT BerAKHLAK</v>
      </c>
      <c r="P5727" s="5" t="s">
        <v>37401</v>
      </c>
    </row>
    <row r="5728">
      <c r="A5728" s="4">
        <v>45534.36262479167</v>
      </c>
      <c r="B5728" s="5" t="s">
        <v>34</v>
      </c>
      <c r="D5728" s="5" t="s">
        <v>2903</v>
      </c>
      <c r="E5728" s="5" t="s">
        <v>37412</v>
      </c>
      <c r="F5728" s="5" t="s">
        <v>212</v>
      </c>
      <c r="G5728" s="5" t="s">
        <v>37413</v>
      </c>
      <c r="H5728" s="6" t="s">
        <v>37414</v>
      </c>
      <c r="K5728" s="5" t="s">
        <v>36595</v>
      </c>
      <c r="M5728" s="5" t="s">
        <v>37415</v>
      </c>
      <c r="N5728" s="7" t="s">
        <v>37416</v>
      </c>
      <c r="O5728" s="8" t="str">
        <f>HYPERLINK("https://drive.google.com/file/d/1jmw_T3BakwWmnp-O1rB5BikMPYQrL12T/view?usp=drivesdk","5727_NOVI TRANIKA SARI. S.Kep _ SERTIFIKAT BerAKHLAK")</f>
        <v>5727_NOVI TRANIKA SARI. S.Kep _ SERTIFIKAT BerAKHLAK</v>
      </c>
      <c r="P5728" s="5" t="s">
        <v>37401</v>
      </c>
    </row>
    <row r="5729">
      <c r="A5729" s="4">
        <v>45534.36262630787</v>
      </c>
      <c r="B5729" s="5" t="s">
        <v>34</v>
      </c>
      <c r="D5729" s="5" t="s">
        <v>35</v>
      </c>
      <c r="E5729" s="5" t="s">
        <v>37417</v>
      </c>
      <c r="F5729" s="5" t="s">
        <v>375</v>
      </c>
      <c r="G5729" s="5" t="s">
        <v>37418</v>
      </c>
      <c r="H5729" s="6" t="s">
        <v>37419</v>
      </c>
      <c r="K5729" s="5" t="s">
        <v>36595</v>
      </c>
      <c r="M5729" s="5" t="s">
        <v>37420</v>
      </c>
      <c r="N5729" s="7" t="s">
        <v>37421</v>
      </c>
      <c r="O5729" s="8" t="str">
        <f>HYPERLINK("https://drive.google.com/file/d/1kIsdXUtkCQlZNiBkrIB1KtFCDZy2xK1h/view?usp=drivesdk","5728_RATNENGSIH, S.E _ SERTIFIKAT BerAKHLAK")</f>
        <v>5728_RATNENGSIH, S.E _ SERTIFIKAT BerAKHLAK</v>
      </c>
      <c r="P5729" s="5" t="s">
        <v>37422</v>
      </c>
    </row>
    <row r="5730">
      <c r="A5730" s="4">
        <v>45534.362637199076</v>
      </c>
      <c r="B5730" s="5" t="s">
        <v>34</v>
      </c>
      <c r="D5730" s="5" t="s">
        <v>14313</v>
      </c>
      <c r="E5730" s="5" t="s">
        <v>37423</v>
      </c>
      <c r="F5730" s="5" t="s">
        <v>72</v>
      </c>
      <c r="G5730" s="5" t="s">
        <v>37424</v>
      </c>
      <c r="H5730" s="6" t="s">
        <v>37425</v>
      </c>
      <c r="K5730" s="5" t="s">
        <v>36595</v>
      </c>
      <c r="M5730" s="5" t="s">
        <v>37426</v>
      </c>
      <c r="N5730" s="7" t="s">
        <v>37427</v>
      </c>
      <c r="O5730" s="8" t="str">
        <f>HYPERLINK("https://drive.google.com/file/d/1ZSJlPjJy_bsKHbMXX5ijKT1hj5wEBdjm/view?usp=drivesdk","5729_NURHAYANI.R _ SERTIFIKAT BerAKHLAK")</f>
        <v>5729_NURHAYANI.R _ SERTIFIKAT BerAKHLAK</v>
      </c>
      <c r="P5730" s="5" t="s">
        <v>37422</v>
      </c>
    </row>
    <row r="5731">
      <c r="A5731" s="4">
        <v>45534.36264288194</v>
      </c>
      <c r="B5731" s="5" t="s">
        <v>34</v>
      </c>
      <c r="D5731" s="5" t="s">
        <v>35</v>
      </c>
      <c r="E5731" s="5" t="s">
        <v>37428</v>
      </c>
      <c r="F5731" s="5" t="s">
        <v>212</v>
      </c>
      <c r="G5731" s="5" t="s">
        <v>37429</v>
      </c>
      <c r="H5731" s="6" t="s">
        <v>37430</v>
      </c>
      <c r="K5731" s="5" t="s">
        <v>36595</v>
      </c>
      <c r="M5731" s="5" t="s">
        <v>37431</v>
      </c>
      <c r="N5731" s="7" t="s">
        <v>37432</v>
      </c>
      <c r="O5731" s="8" t="str">
        <f>HYPERLINK("https://drive.google.com/file/d/1YtBHD9iiTsSVEfRt4O5RbXx7vkaCBWg2/view?usp=drivesdk","5730_HANI WARDANI _ SERTIFIKAT BerAKHLAK")</f>
        <v>5730_HANI WARDANI _ SERTIFIKAT BerAKHLAK</v>
      </c>
      <c r="P5731" s="5" t="s">
        <v>37422</v>
      </c>
    </row>
    <row r="5732">
      <c r="A5732" s="4">
        <v>45534.362650428244</v>
      </c>
      <c r="B5732" s="5" t="s">
        <v>34</v>
      </c>
      <c r="D5732" s="5" t="s">
        <v>1206</v>
      </c>
      <c r="E5732" s="5" t="s">
        <v>37433</v>
      </c>
      <c r="F5732" s="5" t="s">
        <v>37</v>
      </c>
      <c r="G5732" s="5" t="s">
        <v>37434</v>
      </c>
      <c r="H5732" s="6" t="s">
        <v>37435</v>
      </c>
      <c r="K5732" s="5" t="s">
        <v>36595</v>
      </c>
      <c r="M5732" s="5" t="s">
        <v>37436</v>
      </c>
      <c r="N5732" s="7" t="s">
        <v>37437</v>
      </c>
      <c r="O5732" s="8" t="str">
        <f>HYPERLINK("https://drive.google.com/file/d/1DhEQHSVCQIORFzYaibMiivakW8ASSwnE/view?usp=drivesdk","5731_ISMAIL _ SERTIFIKAT BerAKHLAK")</f>
        <v>5731_ISMAIL _ SERTIFIKAT BerAKHLAK</v>
      </c>
      <c r="P5732" s="5" t="s">
        <v>37422</v>
      </c>
    </row>
    <row r="5733">
      <c r="A5733" s="4">
        <v>45534.36266461806</v>
      </c>
      <c r="B5733" s="5" t="s">
        <v>34</v>
      </c>
      <c r="D5733" s="5" t="s">
        <v>14313</v>
      </c>
      <c r="E5733" s="5" t="s">
        <v>37438</v>
      </c>
      <c r="F5733" s="5" t="s">
        <v>120</v>
      </c>
      <c r="G5733" s="5" t="s">
        <v>37439</v>
      </c>
      <c r="H5733" s="6" t="s">
        <v>37440</v>
      </c>
      <c r="K5733" s="5" t="s">
        <v>36595</v>
      </c>
      <c r="M5733" s="5" t="s">
        <v>37441</v>
      </c>
      <c r="N5733" s="7" t="s">
        <v>37442</v>
      </c>
      <c r="O5733" s="8" t="str">
        <f>HYPERLINK("https://drive.google.com/file/d/1vYG7uUClzjM9ph4xx3Cxx1IGMd3qH1Va/view?usp=drivesdk","5732_dr. RIA HAERANI HARUNA, M.Kes _ SERTIFIKAT BerAKHLAK")</f>
        <v>5732_dr. RIA HAERANI HARUNA, M.Kes _ SERTIFIKAT BerAKHLAK</v>
      </c>
      <c r="P5733" s="5" t="s">
        <v>37422</v>
      </c>
    </row>
    <row r="5734">
      <c r="A5734" s="4">
        <v>45534.36267870371</v>
      </c>
      <c r="B5734" s="5" t="s">
        <v>34</v>
      </c>
      <c r="D5734" s="5" t="s">
        <v>267</v>
      </c>
      <c r="E5734" s="5" t="s">
        <v>37443</v>
      </c>
      <c r="F5734" s="5" t="s">
        <v>37</v>
      </c>
      <c r="G5734" s="5" t="s">
        <v>37444</v>
      </c>
      <c r="H5734" s="6" t="s">
        <v>37445</v>
      </c>
      <c r="K5734" s="5" t="s">
        <v>37446</v>
      </c>
      <c r="M5734" s="5" t="s">
        <v>37447</v>
      </c>
      <c r="N5734" s="7" t="s">
        <v>37448</v>
      </c>
      <c r="O5734" s="8" t="str">
        <f>HYPERLINK("https://drive.google.com/file/d/1zVsmKK7ePCqdQFBfCeDlgmkVSKZ0kWgZ/view?usp=drivesdk","5733_TITIK MEIZAROH, A.Md _ SERTIFIKAT BerAKHLAK")</f>
        <v>5733_TITIK MEIZAROH, A.Md _ SERTIFIKAT BerAKHLAK</v>
      </c>
      <c r="P5734" s="5" t="s">
        <v>37449</v>
      </c>
    </row>
    <row r="5735">
      <c r="A5735" s="4">
        <v>45534.362690567126</v>
      </c>
      <c r="B5735" s="5" t="s">
        <v>34</v>
      </c>
      <c r="D5735" s="5" t="s">
        <v>14313</v>
      </c>
      <c r="E5735" s="5" t="s">
        <v>37450</v>
      </c>
      <c r="F5735" s="5" t="s">
        <v>199</v>
      </c>
      <c r="G5735" s="5" t="s">
        <v>37451</v>
      </c>
      <c r="H5735" s="6" t="s">
        <v>37452</v>
      </c>
      <c r="K5735" s="5" t="s">
        <v>37446</v>
      </c>
      <c r="M5735" s="5" t="s">
        <v>37453</v>
      </c>
      <c r="N5735" s="7" t="s">
        <v>37454</v>
      </c>
      <c r="O5735" s="8" t="str">
        <f>HYPERLINK("https://drive.google.com/file/d/1NXiCMuBDzxa1VutJCYrtU1NkuowDT3Nu/view?usp=drivesdk","5734_HAMZAH SEMMAUNA _ SERTIFIKAT BerAKHLAK")</f>
        <v>5734_HAMZAH SEMMAUNA _ SERTIFIKAT BerAKHLAK</v>
      </c>
      <c r="P5735" s="5" t="s">
        <v>37449</v>
      </c>
    </row>
    <row r="5736">
      <c r="A5736" s="4">
        <v>45534.36269101852</v>
      </c>
      <c r="B5736" s="5" t="s">
        <v>34</v>
      </c>
      <c r="D5736" s="5" t="s">
        <v>996</v>
      </c>
      <c r="E5736" s="5" t="s">
        <v>37455</v>
      </c>
      <c r="F5736" s="5" t="s">
        <v>524</v>
      </c>
      <c r="G5736" s="5" t="s">
        <v>37456</v>
      </c>
      <c r="H5736" s="6" t="s">
        <v>37457</v>
      </c>
      <c r="K5736" s="5" t="s">
        <v>37446</v>
      </c>
      <c r="M5736" s="5" t="s">
        <v>37458</v>
      </c>
      <c r="N5736" s="7" t="s">
        <v>37459</v>
      </c>
      <c r="O5736" s="8" t="str">
        <f>HYPERLINK("https://drive.google.com/file/d/1Mf5eyGTqLTFZbBPjBWaKv9cQKl8mPQrQ/view?usp=drivesdk","5735_SITI ROMLAH, S.Sos _ SERTIFIKAT BerAKHLAK")</f>
        <v>5735_SITI ROMLAH, S.Sos _ SERTIFIKAT BerAKHLAK</v>
      </c>
      <c r="P5736" s="5" t="s">
        <v>37449</v>
      </c>
    </row>
    <row r="5737">
      <c r="A5737" s="4">
        <v>45534.36270761574</v>
      </c>
      <c r="B5737" s="5" t="s">
        <v>34</v>
      </c>
      <c r="D5737" s="5" t="s">
        <v>15401</v>
      </c>
      <c r="E5737" s="5" t="s">
        <v>37460</v>
      </c>
      <c r="F5737" s="5" t="s">
        <v>524</v>
      </c>
      <c r="G5737" s="5" t="s">
        <v>37461</v>
      </c>
      <c r="H5737" s="6" t="s">
        <v>37462</v>
      </c>
      <c r="K5737" s="5" t="s">
        <v>37463</v>
      </c>
      <c r="M5737" s="5" t="s">
        <v>37464</v>
      </c>
      <c r="N5737" s="7" t="s">
        <v>37465</v>
      </c>
      <c r="O5737" s="8" t="str">
        <f>HYPERLINK("https://drive.google.com/file/d/1w_C4Lu85TBsUfaxWcIRI18WsLHZgErkG/view?usp=drivesdk","5736_NURYATI ROSANG _ SERTIFIKAT BerAKHLAK")</f>
        <v>5736_NURYATI ROSANG _ SERTIFIKAT BerAKHLAK</v>
      </c>
      <c r="P5737" s="5" t="s">
        <v>37449</v>
      </c>
    </row>
    <row r="5738">
      <c r="A5738" s="4">
        <v>45534.3627053588</v>
      </c>
      <c r="B5738" s="5" t="s">
        <v>34</v>
      </c>
      <c r="D5738" s="5" t="s">
        <v>9020</v>
      </c>
      <c r="E5738" s="5" t="s">
        <v>37466</v>
      </c>
      <c r="F5738" s="5" t="s">
        <v>212</v>
      </c>
      <c r="G5738" s="5" t="s">
        <v>37467</v>
      </c>
      <c r="H5738" s="6" t="s">
        <v>37468</v>
      </c>
      <c r="K5738" s="5" t="s">
        <v>37463</v>
      </c>
      <c r="M5738" s="5" t="s">
        <v>37469</v>
      </c>
      <c r="N5738" s="7" t="s">
        <v>37470</v>
      </c>
      <c r="O5738" s="8" t="str">
        <f>HYPERLINK("https://drive.google.com/file/d/1bJyaYtPMaD0r22P8tt_WoEG_9KSge_T7/view?usp=drivesdk","5737_LATIFA HANUM HARAHAP _ SERTIFIKAT BerAKHLAK")</f>
        <v>5737_LATIFA HANUM HARAHAP _ SERTIFIKAT BerAKHLAK</v>
      </c>
      <c r="P5738" s="5" t="s">
        <v>37449</v>
      </c>
    </row>
    <row r="5739">
      <c r="A5739" s="4">
        <v>45534.36271940972</v>
      </c>
      <c r="B5739" s="5" t="s">
        <v>34</v>
      </c>
      <c r="D5739" s="5" t="s">
        <v>9020</v>
      </c>
      <c r="E5739" s="5" t="s">
        <v>37471</v>
      </c>
      <c r="F5739" s="5" t="s">
        <v>212</v>
      </c>
      <c r="G5739" s="5" t="s">
        <v>37472</v>
      </c>
      <c r="H5739" s="6" t="s">
        <v>37473</v>
      </c>
      <c r="K5739" s="5" t="s">
        <v>37474</v>
      </c>
      <c r="M5739" s="5" t="s">
        <v>37475</v>
      </c>
      <c r="N5739" s="7" t="s">
        <v>37476</v>
      </c>
      <c r="O5739" s="8" t="str">
        <f>HYPERLINK("https://drive.google.com/file/d/1BTP6-rRMbJGal_3SEisClmN6P7JKhUeV/view?usp=drivesdk","5738_ERNY HARAHAP  _ SERTIFIKAT BerAKHLAK")</f>
        <v>5738_ERNY HARAHAP  _ SERTIFIKAT BerAKHLAK</v>
      </c>
      <c r="P5739" s="5" t="s">
        <v>37477</v>
      </c>
    </row>
    <row r="5740">
      <c r="A5740" s="4">
        <v>45534.36276399306</v>
      </c>
      <c r="B5740" s="5" t="s">
        <v>34</v>
      </c>
      <c r="D5740" s="5" t="s">
        <v>12978</v>
      </c>
      <c r="E5740" s="5" t="s">
        <v>37478</v>
      </c>
      <c r="F5740" s="5" t="s">
        <v>72</v>
      </c>
      <c r="G5740" s="5" t="s">
        <v>37479</v>
      </c>
      <c r="H5740" s="6" t="s">
        <v>37480</v>
      </c>
      <c r="K5740" s="5" t="s">
        <v>37481</v>
      </c>
      <c r="M5740" s="5" t="s">
        <v>37482</v>
      </c>
      <c r="N5740" s="7" t="s">
        <v>37483</v>
      </c>
      <c r="O5740" s="8" t="str">
        <f>HYPERLINK("https://drive.google.com/file/d/1otuIdRDGUgsENPUPSiWoOiZGvKh7eUfE/view?usp=drivesdk","5739_IKE LIASARI ROHIDIN _ SERTIFIKAT BerAKHLAK")</f>
        <v>5739_IKE LIASARI ROHIDIN _ SERTIFIKAT BerAKHLAK</v>
      </c>
      <c r="P5740" s="5" t="s">
        <v>37477</v>
      </c>
    </row>
    <row r="5741">
      <c r="A5741" s="4">
        <v>45534.362770949076</v>
      </c>
      <c r="B5741" s="5" t="s">
        <v>34</v>
      </c>
      <c r="D5741" s="5" t="s">
        <v>4775</v>
      </c>
      <c r="E5741" s="5" t="s">
        <v>37484</v>
      </c>
      <c r="F5741" s="5" t="s">
        <v>212</v>
      </c>
      <c r="G5741" s="5" t="s">
        <v>37485</v>
      </c>
      <c r="H5741" s="6" t="s">
        <v>37486</v>
      </c>
      <c r="K5741" s="5" t="s">
        <v>37481</v>
      </c>
      <c r="M5741" s="5" t="s">
        <v>37487</v>
      </c>
      <c r="N5741" s="7" t="s">
        <v>37488</v>
      </c>
      <c r="O5741" s="8" t="str">
        <f>HYPERLINK("https://drive.google.com/file/d/1ZzKIKgO5dnOUhLJOSC9wKbRGqskcak6E/view?usp=drivesdk","5740_FAKHRUDIN  _ SERTIFIKAT BerAKHLAK")</f>
        <v>5740_FAKHRUDIN  _ SERTIFIKAT BerAKHLAK</v>
      </c>
      <c r="P5741" s="5" t="s">
        <v>37477</v>
      </c>
    </row>
    <row r="5742">
      <c r="A5742" s="4">
        <v>45534.36281114584</v>
      </c>
      <c r="B5742" s="5" t="s">
        <v>34</v>
      </c>
      <c r="D5742" s="5" t="s">
        <v>9020</v>
      </c>
      <c r="E5742" s="5" t="s">
        <v>37489</v>
      </c>
      <c r="F5742" s="5" t="s">
        <v>212</v>
      </c>
      <c r="G5742" s="5" t="s">
        <v>37490</v>
      </c>
      <c r="H5742" s="6" t="s">
        <v>37491</v>
      </c>
      <c r="K5742" s="5" t="s">
        <v>36734</v>
      </c>
      <c r="M5742" s="5" t="s">
        <v>37492</v>
      </c>
      <c r="N5742" s="7" t="s">
        <v>37493</v>
      </c>
      <c r="O5742" s="8" t="str">
        <f>HYPERLINK("https://drive.google.com/file/d/11K8bhTz-vJOYbMXcvjD0oHc5UcbVQLra/view?usp=drivesdk","5741_FIRMAWATI PARDEDE, S.E. _ SERTIFIKAT BerAKHLAK")</f>
        <v>5741_FIRMAWATI PARDEDE, S.E. _ SERTIFIKAT BerAKHLAK</v>
      </c>
      <c r="P5742" s="5" t="s">
        <v>37477</v>
      </c>
    </row>
    <row r="5743">
      <c r="A5743" s="4">
        <v>45534.36281519676</v>
      </c>
      <c r="B5743" s="5" t="s">
        <v>34</v>
      </c>
      <c r="D5743" s="5" t="s">
        <v>1206</v>
      </c>
      <c r="E5743" s="5" t="s">
        <v>37494</v>
      </c>
      <c r="F5743" s="5" t="s">
        <v>524</v>
      </c>
      <c r="G5743" s="5" t="s">
        <v>37495</v>
      </c>
      <c r="H5743" s="6" t="s">
        <v>37496</v>
      </c>
      <c r="K5743" s="5" t="s">
        <v>36734</v>
      </c>
      <c r="M5743" s="5" t="s">
        <v>37497</v>
      </c>
      <c r="N5743" s="7" t="s">
        <v>37498</v>
      </c>
      <c r="O5743" s="8" t="str">
        <f>HYPERLINK("https://drive.google.com/file/d/1GKFU8LpIFz1-WMDhIBHr-FYzt_mJV9GR/view?usp=drivesdk","5742_JUMALI _ SERTIFIKAT BerAKHLAK")</f>
        <v>5742_JUMALI _ SERTIFIKAT BerAKHLAK</v>
      </c>
      <c r="P5743" s="5" t="s">
        <v>37477</v>
      </c>
    </row>
    <row r="5744">
      <c r="A5744" s="4">
        <v>45534.362819918984</v>
      </c>
      <c r="B5744" s="5" t="s">
        <v>34</v>
      </c>
      <c r="D5744" s="5" t="s">
        <v>12978</v>
      </c>
      <c r="E5744" s="5" t="s">
        <v>37499</v>
      </c>
      <c r="F5744" s="5" t="s">
        <v>524</v>
      </c>
      <c r="G5744" s="5" t="s">
        <v>37500</v>
      </c>
      <c r="H5744" s="6" t="s">
        <v>37501</v>
      </c>
      <c r="K5744" s="5" t="s">
        <v>36734</v>
      </c>
      <c r="M5744" s="5" t="s">
        <v>37502</v>
      </c>
      <c r="N5744" s="7" t="s">
        <v>37503</v>
      </c>
      <c r="O5744" s="8" t="str">
        <f>HYPERLINK("https://drive.google.com/file/d/1-U8j74Z3L-KX_ATSPHuDRDhBsbHC2WwW/view?usp=drivesdk","5743_MUJIYANTO  _ SERTIFIKAT BerAKHLAK")</f>
        <v>5743_MUJIYANTO  _ SERTIFIKAT BerAKHLAK</v>
      </c>
      <c r="P5744" s="5" t="s">
        <v>37504</v>
      </c>
    </row>
    <row r="5745" hidden="1">
      <c r="A5745" s="4">
        <v>45534.36282335648</v>
      </c>
      <c r="B5745" s="5" t="s">
        <v>19</v>
      </c>
      <c r="C5745" s="5" t="s">
        <v>3301</v>
      </c>
      <c r="E5745" s="5" t="s">
        <v>37505</v>
      </c>
      <c r="F5745" s="5" t="s">
        <v>212</v>
      </c>
      <c r="G5745" s="5" t="s">
        <v>37506</v>
      </c>
      <c r="H5745" s="6" t="s">
        <v>37507</v>
      </c>
      <c r="K5745" s="5" t="s">
        <v>36734</v>
      </c>
      <c r="M5745" s="5" t="s">
        <v>37508</v>
      </c>
      <c r="N5745" s="7" t="s">
        <v>37509</v>
      </c>
      <c r="O5745" s="8" t="str">
        <f>HYPERLINK("https://drive.google.com/file/d/1CxF4eJyBjnKtU7cTaLTIwValkYPOvUsu/view?usp=drivesdk","5744_SUPANDI _ SERTIFIKAT BerAKHLAK")</f>
        <v>5744_SUPANDI _ SERTIFIKAT BerAKHLAK</v>
      </c>
      <c r="P5745" s="5" t="s">
        <v>37504</v>
      </c>
    </row>
    <row r="5746">
      <c r="A5746" s="4">
        <v>45534.36282649306</v>
      </c>
      <c r="B5746" s="5" t="s">
        <v>34</v>
      </c>
      <c r="D5746" s="5" t="s">
        <v>4775</v>
      </c>
      <c r="E5746" s="5" t="s">
        <v>37510</v>
      </c>
      <c r="F5746" s="5" t="s">
        <v>375</v>
      </c>
      <c r="G5746" s="5" t="s">
        <v>37511</v>
      </c>
      <c r="H5746" s="6" t="s">
        <v>37512</v>
      </c>
      <c r="K5746" s="5" t="s">
        <v>36734</v>
      </c>
      <c r="M5746" s="5" t="s">
        <v>37513</v>
      </c>
      <c r="N5746" s="7" t="s">
        <v>37514</v>
      </c>
      <c r="O5746" s="8" t="str">
        <f>HYPERLINK("https://drive.google.com/file/d/1zcqn0PO9-rkWwiCfYo1v9Sg-pwCBnOQt/view?usp=drivesdk","5745_THERESIA DOY WINDARI _ SERTIFIKAT BerAKHLAK")</f>
        <v>5745_THERESIA DOY WINDARI _ SERTIFIKAT BerAKHLAK</v>
      </c>
      <c r="P5746" s="5" t="s">
        <v>37504</v>
      </c>
    </row>
    <row r="5747">
      <c r="A5747" s="4">
        <v>45534.362827060184</v>
      </c>
      <c r="B5747" s="5" t="s">
        <v>34</v>
      </c>
      <c r="D5747" s="5" t="s">
        <v>12978</v>
      </c>
      <c r="E5747" s="5" t="s">
        <v>37515</v>
      </c>
      <c r="F5747" s="5" t="s">
        <v>120</v>
      </c>
      <c r="G5747" s="5" t="s">
        <v>37516</v>
      </c>
      <c r="H5747" s="6" t="s">
        <v>37517</v>
      </c>
      <c r="K5747" s="5" t="s">
        <v>36734</v>
      </c>
      <c r="M5747" s="5" t="s">
        <v>37518</v>
      </c>
      <c r="N5747" s="7" t="s">
        <v>37519</v>
      </c>
      <c r="O5747" s="8" t="str">
        <f>HYPERLINK("https://drive.google.com/file/d/1Ph2E-dZiHDzwpByXnqaVTstefjVW8_Cs/view?usp=drivesdk","5746_DR TRIANA HARYANI _ SERTIFIKAT BerAKHLAK")</f>
        <v>5746_DR TRIANA HARYANI _ SERTIFIKAT BerAKHLAK</v>
      </c>
      <c r="P5747" s="5" t="s">
        <v>37504</v>
      </c>
    </row>
    <row r="5748">
      <c r="A5748" s="4">
        <v>45534.362828391204</v>
      </c>
      <c r="B5748" s="5" t="s">
        <v>34</v>
      </c>
      <c r="D5748" s="5" t="s">
        <v>4775</v>
      </c>
      <c r="E5748" s="5" t="s">
        <v>37520</v>
      </c>
      <c r="F5748" s="5" t="s">
        <v>524</v>
      </c>
      <c r="G5748" s="5" t="s">
        <v>37521</v>
      </c>
      <c r="H5748" s="6" t="s">
        <v>37522</v>
      </c>
      <c r="K5748" s="5" t="s">
        <v>36734</v>
      </c>
      <c r="M5748" s="5" t="s">
        <v>37523</v>
      </c>
      <c r="N5748" s="7" t="s">
        <v>37524</v>
      </c>
      <c r="O5748" s="8" t="str">
        <f>HYPERLINK("https://drive.google.com/file/d/1v2pnvGwmoDJx_DrzjsOwaB45GvQ61NxP/view?usp=drivesdk","5747_Debby Silvia Dewi  _ SERTIFIKAT BerAKHLAK")</f>
        <v>5747_Debby Silvia Dewi  _ SERTIFIKAT BerAKHLAK</v>
      </c>
      <c r="P5748" s="5" t="s">
        <v>37504</v>
      </c>
    </row>
    <row r="5749">
      <c r="A5749" s="4">
        <v>45534.36283033565</v>
      </c>
      <c r="B5749" s="5" t="s">
        <v>34</v>
      </c>
      <c r="D5749" s="5" t="s">
        <v>701</v>
      </c>
      <c r="E5749" s="5" t="s">
        <v>37525</v>
      </c>
      <c r="F5749" s="5" t="s">
        <v>212</v>
      </c>
      <c r="G5749" s="5" t="s">
        <v>37526</v>
      </c>
      <c r="H5749" s="6" t="s">
        <v>37527</v>
      </c>
      <c r="K5749" s="5" t="s">
        <v>36734</v>
      </c>
      <c r="M5749" s="5" t="s">
        <v>37528</v>
      </c>
      <c r="N5749" s="7" t="s">
        <v>37529</v>
      </c>
      <c r="O5749" s="8" t="str">
        <f>HYPERLINK("https://drive.google.com/file/d/1AcJCnv35FUer8M4nwUbU-NH-5ZHc2cHo/view?usp=drivesdk","5748_DESIATRI _ SERTIFIKAT BerAKHLAK")</f>
        <v>5748_DESIATRI _ SERTIFIKAT BerAKHLAK</v>
      </c>
      <c r="P5749" s="5" t="s">
        <v>37530</v>
      </c>
    </row>
    <row r="5750">
      <c r="A5750" s="4">
        <v>45534.3628353588</v>
      </c>
      <c r="B5750" s="5" t="s">
        <v>34</v>
      </c>
      <c r="D5750" s="5" t="s">
        <v>9020</v>
      </c>
      <c r="E5750" s="5" t="s">
        <v>37531</v>
      </c>
      <c r="F5750" s="5" t="s">
        <v>37</v>
      </c>
      <c r="G5750" s="5" t="s">
        <v>37532</v>
      </c>
      <c r="H5750" s="6" t="s">
        <v>37533</v>
      </c>
      <c r="K5750" s="5" t="s">
        <v>36734</v>
      </c>
      <c r="M5750" s="5" t="s">
        <v>37534</v>
      </c>
      <c r="N5750" s="7" t="s">
        <v>37535</v>
      </c>
      <c r="O5750" s="8" t="str">
        <f>HYPERLINK("https://drive.google.com/file/d/1C9Az-_9HAcAgkSwoQKUmg_gvSgzgBIWl/view?usp=drivesdk","5749_DORA MAHDALINA _ SERTIFIKAT BerAKHLAK")</f>
        <v>5749_DORA MAHDALINA _ SERTIFIKAT BerAKHLAK</v>
      </c>
      <c r="P5750" s="5" t="s">
        <v>37530</v>
      </c>
    </row>
    <row r="5751">
      <c r="A5751" s="4">
        <v>45534.362848171295</v>
      </c>
      <c r="B5751" s="5" t="s">
        <v>34</v>
      </c>
      <c r="D5751" s="5" t="s">
        <v>1558</v>
      </c>
      <c r="E5751" s="5" t="s">
        <v>37536</v>
      </c>
      <c r="F5751" s="5" t="s">
        <v>212</v>
      </c>
      <c r="G5751" s="5" t="s">
        <v>37537</v>
      </c>
      <c r="H5751" s="6" t="s">
        <v>37538</v>
      </c>
      <c r="K5751" s="5" t="s">
        <v>36734</v>
      </c>
      <c r="M5751" s="5" t="s">
        <v>37539</v>
      </c>
      <c r="N5751" s="7" t="s">
        <v>37540</v>
      </c>
      <c r="O5751" s="8" t="str">
        <f>HYPERLINK("https://drive.google.com/file/d/1U3fOpIaI7r5jK6hZZ1MbSYZJRPjCeOh7/view?usp=drivesdk","5750_Anif Nur Fawzi _ SERTIFIKAT BerAKHLAK")</f>
        <v>5750_Anif Nur Fawzi _ SERTIFIKAT BerAKHLAK</v>
      </c>
      <c r="P5751" s="5" t="s">
        <v>37541</v>
      </c>
    </row>
    <row r="5752">
      <c r="A5752" s="4">
        <v>45534.36285268518</v>
      </c>
      <c r="B5752" s="5" t="s">
        <v>34</v>
      </c>
      <c r="D5752" s="5" t="s">
        <v>9020</v>
      </c>
      <c r="E5752" s="5" t="s">
        <v>37542</v>
      </c>
      <c r="F5752" s="5" t="s">
        <v>108</v>
      </c>
      <c r="G5752" s="5" t="s">
        <v>37543</v>
      </c>
      <c r="H5752" s="6" t="s">
        <v>37544</v>
      </c>
      <c r="K5752" s="5" t="s">
        <v>36734</v>
      </c>
      <c r="M5752" s="5" t="s">
        <v>37545</v>
      </c>
      <c r="N5752" s="7" t="s">
        <v>37546</v>
      </c>
      <c r="O5752" s="8" t="str">
        <f>HYPERLINK("https://drive.google.com/file/d/1buZb_v8aQkVKRQRBioX22remHWhHtFTn/view?usp=drivesdk","5751_RONNIDA NABABAN, SKM _ SERTIFIKAT BerAKHLAK")</f>
        <v>5751_RONNIDA NABABAN, SKM _ SERTIFIKAT BerAKHLAK</v>
      </c>
      <c r="P5752" s="5" t="s">
        <v>37547</v>
      </c>
    </row>
    <row r="5753">
      <c r="A5753" s="4">
        <v>45534.36285478009</v>
      </c>
      <c r="B5753" s="5" t="s">
        <v>34</v>
      </c>
      <c r="D5753" s="5" t="s">
        <v>1206</v>
      </c>
      <c r="E5753" s="5" t="s">
        <v>27097</v>
      </c>
      <c r="F5753" s="5" t="s">
        <v>212</v>
      </c>
      <c r="G5753" s="5" t="s">
        <v>37548</v>
      </c>
      <c r="H5753" s="6" t="s">
        <v>37549</v>
      </c>
      <c r="K5753" s="5" t="s">
        <v>36734</v>
      </c>
      <c r="M5753" s="5" t="s">
        <v>37550</v>
      </c>
      <c r="N5753" s="7" t="s">
        <v>37551</v>
      </c>
      <c r="O5753" s="8" t="str">
        <f>HYPERLINK("https://drive.google.com/file/d/1VZBVTrZJV21p4nhAm8urQIXbyovx-2cm/view?usp=drivesdk","5752_JUMIRAH _ SERTIFIKAT BerAKHLAK")</f>
        <v>5752_JUMIRAH _ SERTIFIKAT BerAKHLAK</v>
      </c>
      <c r="P5753" s="5" t="s">
        <v>37547</v>
      </c>
    </row>
    <row r="5754">
      <c r="A5754" s="4">
        <v>45534.36285780092</v>
      </c>
      <c r="B5754" s="5" t="s">
        <v>34</v>
      </c>
      <c r="D5754" s="5" t="s">
        <v>4775</v>
      </c>
      <c r="E5754" s="5" t="s">
        <v>37552</v>
      </c>
      <c r="F5754" s="5" t="s">
        <v>524</v>
      </c>
      <c r="G5754" s="5" t="s">
        <v>37553</v>
      </c>
      <c r="H5754" s="6" t="s">
        <v>37554</v>
      </c>
      <c r="K5754" s="5" t="s">
        <v>36734</v>
      </c>
      <c r="M5754" s="5" t="s">
        <v>37555</v>
      </c>
      <c r="N5754" s="7" t="s">
        <v>37556</v>
      </c>
      <c r="O5754" s="8" t="str">
        <f>HYPERLINK("https://drive.google.com/file/d/10Qm1wLSmkp4rj_qWm3gKQYdwmTdjHaMU/view?usp=drivesdk","5753_RACHMA HARWINIA, AMD.RAD _ SERTIFIKAT BerAKHLAK")</f>
        <v>5753_RACHMA HARWINIA, AMD.RAD _ SERTIFIKAT BerAKHLAK</v>
      </c>
      <c r="P5754" s="5" t="s">
        <v>37547</v>
      </c>
    </row>
    <row r="5755">
      <c r="A5755" s="4">
        <v>45534.36286123843</v>
      </c>
      <c r="B5755" s="5" t="s">
        <v>34</v>
      </c>
      <c r="D5755" s="5" t="s">
        <v>4775</v>
      </c>
      <c r="E5755" s="5" t="s">
        <v>37557</v>
      </c>
      <c r="F5755" s="5" t="s">
        <v>524</v>
      </c>
      <c r="G5755" s="5" t="s">
        <v>37558</v>
      </c>
      <c r="H5755" s="6" t="s">
        <v>37559</v>
      </c>
      <c r="K5755" s="5" t="s">
        <v>36734</v>
      </c>
      <c r="M5755" s="5" t="s">
        <v>37560</v>
      </c>
      <c r="N5755" s="7" t="s">
        <v>37561</v>
      </c>
      <c r="O5755" s="8" t="str">
        <f>HYPERLINK("https://drive.google.com/file/d/1ImcbNWWKd53oMIK0fr5Y60s7qKyMV0Hw/view?usp=drivesdk","5754_TRI WIDAYANTI, S.Kep _ SERTIFIKAT BerAKHLAK")</f>
        <v>5754_TRI WIDAYANTI, S.Kep _ SERTIFIKAT BerAKHLAK</v>
      </c>
      <c r="P5755" s="5" t="s">
        <v>37547</v>
      </c>
    </row>
    <row r="5756">
      <c r="A5756" s="4">
        <v>45534.36286248843</v>
      </c>
      <c r="B5756" s="5" t="s">
        <v>34</v>
      </c>
      <c r="D5756" s="5" t="s">
        <v>14313</v>
      </c>
      <c r="E5756" s="5" t="s">
        <v>37562</v>
      </c>
      <c r="F5756" s="5" t="s">
        <v>212</v>
      </c>
      <c r="G5756" s="5" t="s">
        <v>37563</v>
      </c>
      <c r="H5756" s="6" t="s">
        <v>37564</v>
      </c>
      <c r="K5756" s="5" t="s">
        <v>36734</v>
      </c>
      <c r="M5756" s="5" t="s">
        <v>37565</v>
      </c>
      <c r="N5756" s="7" t="s">
        <v>37566</v>
      </c>
      <c r="O5756" s="8" t="str">
        <f>HYPERLINK("https://drive.google.com/file/d/1odKVe53DD7Cyc6e2PRp2gNt-Boq4a28M/view?usp=drivesdk","5755_GUSTINA BAHRI,S.H _ SERTIFIKAT BerAKHLAK")</f>
        <v>5755_GUSTINA BAHRI,S.H _ SERTIFIKAT BerAKHLAK</v>
      </c>
      <c r="P5756" s="5" t="s">
        <v>37547</v>
      </c>
    </row>
    <row r="5757">
      <c r="A5757" s="4">
        <v>45534.36286465278</v>
      </c>
      <c r="B5757" s="5" t="s">
        <v>34</v>
      </c>
      <c r="D5757" s="5" t="s">
        <v>10444</v>
      </c>
      <c r="E5757" s="5" t="s">
        <v>37567</v>
      </c>
      <c r="F5757" s="5" t="s">
        <v>212</v>
      </c>
      <c r="G5757" s="5" t="s">
        <v>37568</v>
      </c>
      <c r="H5757" s="6" t="s">
        <v>37569</v>
      </c>
      <c r="K5757" s="5" t="s">
        <v>36734</v>
      </c>
      <c r="M5757" s="5" t="s">
        <v>37570</v>
      </c>
      <c r="N5757" s="7" t="s">
        <v>37571</v>
      </c>
      <c r="O5757" s="8" t="str">
        <f>HYPERLINK("https://drive.google.com/file/d/1PAZ_eobyAxcOGjIiqBsbwufkDTRkMrYL/view?usp=drivesdk","5756_MUTHMAINNAH AMD. KEP _ SERTIFIKAT BerAKHLAK")</f>
        <v>5756_MUTHMAINNAH AMD. KEP _ SERTIFIKAT BerAKHLAK</v>
      </c>
      <c r="P5757" s="5" t="s">
        <v>37572</v>
      </c>
    </row>
    <row r="5758">
      <c r="A5758" s="4">
        <v>45534.362868055556</v>
      </c>
      <c r="B5758" s="5" t="s">
        <v>34</v>
      </c>
      <c r="D5758" s="5" t="s">
        <v>4775</v>
      </c>
      <c r="E5758" s="5" t="s">
        <v>37573</v>
      </c>
      <c r="F5758" s="5" t="s">
        <v>37</v>
      </c>
      <c r="G5758" s="5" t="s">
        <v>37574</v>
      </c>
      <c r="H5758" s="6" t="s">
        <v>37575</v>
      </c>
      <c r="K5758" s="5" t="s">
        <v>36734</v>
      </c>
      <c r="M5758" s="5" t="s">
        <v>37576</v>
      </c>
      <c r="N5758" s="7" t="s">
        <v>37577</v>
      </c>
      <c r="O5758" s="8" t="str">
        <f>HYPERLINK("https://drive.google.com/file/d/1IXPMaKcJoh0GqjkPf-OfVjPPYCkhnC66/view?usp=drivesdk","5757_SUHARTO _ SERTIFIKAT BerAKHLAK")</f>
        <v>5757_SUHARTO _ SERTIFIKAT BerAKHLAK</v>
      </c>
      <c r="P5758" s="5" t="s">
        <v>37572</v>
      </c>
    </row>
    <row r="5759">
      <c r="A5759" s="4">
        <v>45534.36287303241</v>
      </c>
      <c r="B5759" s="5" t="s">
        <v>34</v>
      </c>
      <c r="D5759" s="5" t="s">
        <v>2903</v>
      </c>
      <c r="E5759" s="5" t="s">
        <v>37578</v>
      </c>
      <c r="F5759" s="5" t="s">
        <v>212</v>
      </c>
      <c r="G5759" s="5" t="s">
        <v>37579</v>
      </c>
      <c r="H5759" s="6" t="s">
        <v>37580</v>
      </c>
      <c r="K5759" s="5" t="s">
        <v>37581</v>
      </c>
      <c r="M5759" s="5" t="s">
        <v>37582</v>
      </c>
      <c r="N5759" s="7" t="s">
        <v>37583</v>
      </c>
      <c r="O5759" s="8" t="str">
        <f>HYPERLINK("https://drive.google.com/file/d/1WReOn8xrVlpS-cz3E9usEHN-KmFQZqnV/view?usp=drivesdk","5758_ROSA NELIYANTI _ SERTIFIKAT BerAKHLAK")</f>
        <v>5758_ROSA NELIYANTI _ SERTIFIKAT BerAKHLAK</v>
      </c>
      <c r="P5759" s="5" t="s">
        <v>37584</v>
      </c>
    </row>
    <row r="5760">
      <c r="A5760" s="4">
        <v>45534.362876597224</v>
      </c>
      <c r="B5760" s="5" t="s">
        <v>34</v>
      </c>
      <c r="D5760" s="5" t="s">
        <v>1558</v>
      </c>
      <c r="E5760" s="5" t="s">
        <v>37585</v>
      </c>
      <c r="F5760" s="5" t="s">
        <v>212</v>
      </c>
      <c r="G5760" s="5" t="s">
        <v>37586</v>
      </c>
      <c r="H5760" s="6" t="s">
        <v>37587</v>
      </c>
      <c r="K5760" s="5" t="s">
        <v>37581</v>
      </c>
      <c r="M5760" s="5" t="s">
        <v>37588</v>
      </c>
      <c r="N5760" s="7" t="s">
        <v>37589</v>
      </c>
      <c r="O5760" s="8" t="str">
        <f>HYPERLINK("https://drive.google.com/file/d/16npSqUT1CpJcD5GBjnxRQ0tCzwc-X8q7/view?usp=drivesdk","5759_ENDANG IRAWATI _ SERTIFIKAT BerAKHLAK")</f>
        <v>5759_ENDANG IRAWATI _ SERTIFIKAT BerAKHLAK</v>
      </c>
      <c r="P5760" s="5" t="s">
        <v>37584</v>
      </c>
    </row>
    <row r="5761">
      <c r="A5761" s="4">
        <v>45534.362876851854</v>
      </c>
      <c r="B5761" s="5" t="s">
        <v>34</v>
      </c>
      <c r="D5761" s="5" t="s">
        <v>9394</v>
      </c>
      <c r="E5761" s="5" t="s">
        <v>16275</v>
      </c>
      <c r="F5761" s="5" t="s">
        <v>212</v>
      </c>
      <c r="G5761" s="5" t="s">
        <v>37590</v>
      </c>
      <c r="H5761" s="6" t="s">
        <v>37591</v>
      </c>
      <c r="K5761" s="5" t="s">
        <v>37581</v>
      </c>
      <c r="M5761" s="5" t="s">
        <v>37592</v>
      </c>
      <c r="N5761" s="7" t="s">
        <v>37593</v>
      </c>
      <c r="O5761" s="8" t="str">
        <f>HYPERLINK("https://drive.google.com/file/d/1o03JtLgFKvmt1BxKIWY6vl0mTyd5LiSN/view?usp=drivesdk","5760_SYAFRUDDIN _ SERTIFIKAT BerAKHLAK")</f>
        <v>5760_SYAFRUDDIN _ SERTIFIKAT BerAKHLAK</v>
      </c>
      <c r="P5761" s="5" t="s">
        <v>37584</v>
      </c>
    </row>
    <row r="5762">
      <c r="A5762" s="4">
        <v>45534.36287824074</v>
      </c>
      <c r="B5762" s="5" t="s">
        <v>34</v>
      </c>
      <c r="D5762" s="5" t="s">
        <v>2903</v>
      </c>
      <c r="E5762" s="5" t="s">
        <v>37594</v>
      </c>
      <c r="F5762" s="5" t="s">
        <v>212</v>
      </c>
      <c r="G5762" s="5" t="s">
        <v>37595</v>
      </c>
      <c r="H5762" s="6" t="s">
        <v>37596</v>
      </c>
      <c r="K5762" s="5" t="s">
        <v>37581</v>
      </c>
      <c r="M5762" s="5" t="s">
        <v>37597</v>
      </c>
      <c r="N5762" s="7" t="s">
        <v>37598</v>
      </c>
      <c r="O5762" s="8" t="str">
        <f>HYPERLINK("https://drive.google.com/file/d/1pJwx_iYPQqJimkWAuYKG9x8kUiwVXkdJ/view?usp=drivesdk","5761_ERLINA KARYATI _ SERTIFIKAT BerAKHLAK")</f>
        <v>5761_ERLINA KARYATI _ SERTIFIKAT BerAKHLAK</v>
      </c>
      <c r="P5762" s="5" t="s">
        <v>37584</v>
      </c>
    </row>
    <row r="5763">
      <c r="A5763" s="4">
        <v>45534.36289072917</v>
      </c>
      <c r="B5763" s="5" t="s">
        <v>34</v>
      </c>
      <c r="D5763" s="5" t="s">
        <v>267</v>
      </c>
      <c r="E5763" s="5" t="s">
        <v>37599</v>
      </c>
      <c r="F5763" s="5" t="s">
        <v>72</v>
      </c>
      <c r="G5763" s="5" t="s">
        <v>37600</v>
      </c>
      <c r="H5763" s="6" t="s">
        <v>37601</v>
      </c>
      <c r="K5763" s="5" t="s">
        <v>37581</v>
      </c>
      <c r="M5763" s="5" t="s">
        <v>37602</v>
      </c>
      <c r="N5763" s="7" t="s">
        <v>37603</v>
      </c>
      <c r="O5763" s="8" t="str">
        <f>HYPERLINK("https://drive.google.com/file/d/1MTxbz3iGB9veFCeWQ-KzuIx26_xht8Wa/view?usp=drivesdk","5762_ANANG WASKITO ADI, S.E. _ SERTIFIKAT BerAKHLAK")</f>
        <v>5762_ANANG WASKITO ADI, S.E. _ SERTIFIKAT BerAKHLAK</v>
      </c>
      <c r="P5763" s="5" t="s">
        <v>37604</v>
      </c>
    </row>
    <row r="5764">
      <c r="A5764" s="4">
        <v>45534.362906967595</v>
      </c>
      <c r="B5764" s="5" t="s">
        <v>34</v>
      </c>
      <c r="D5764" s="5" t="s">
        <v>1206</v>
      </c>
      <c r="E5764" s="5" t="s">
        <v>37605</v>
      </c>
      <c r="F5764" s="5" t="s">
        <v>212</v>
      </c>
      <c r="G5764" s="5" t="s">
        <v>37606</v>
      </c>
      <c r="H5764" s="6" t="s">
        <v>37607</v>
      </c>
      <c r="K5764" s="5" t="s">
        <v>37581</v>
      </c>
      <c r="M5764" s="5" t="s">
        <v>37608</v>
      </c>
      <c r="N5764" s="7" t="s">
        <v>37609</v>
      </c>
      <c r="O5764" s="8" t="str">
        <f>HYPERLINK("https://drive.google.com/file/d/1R5tToYyOL8O6NTxTLVX29OsjOzHOR9Is/view?usp=drivesdk","5763_SUKARYANTO _ SERTIFIKAT BerAKHLAK")</f>
        <v>5763_SUKARYANTO _ SERTIFIKAT BerAKHLAK</v>
      </c>
      <c r="P5764" s="5" t="s">
        <v>37604</v>
      </c>
    </row>
    <row r="5765" hidden="1">
      <c r="A5765" s="4">
        <v>45534.36290796296</v>
      </c>
      <c r="B5765" s="5" t="s">
        <v>19</v>
      </c>
      <c r="C5765" s="5" t="s">
        <v>14000</v>
      </c>
      <c r="E5765" s="5" t="s">
        <v>37610</v>
      </c>
      <c r="F5765" s="5" t="s">
        <v>72</v>
      </c>
      <c r="G5765" s="5" t="s">
        <v>37611</v>
      </c>
      <c r="H5765" s="6" t="s">
        <v>37612</v>
      </c>
      <c r="K5765" s="5" t="s">
        <v>37581</v>
      </c>
      <c r="M5765" s="5" t="s">
        <v>37613</v>
      </c>
      <c r="N5765" s="7" t="s">
        <v>37614</v>
      </c>
      <c r="O5765" s="8" t="str">
        <f>HYPERLINK("https://drive.google.com/file/d/1cmKtMfshwSMilYepWuBnpWZs7y-YSkNW/view?usp=drivesdk","5764_AGUS STIYAWATI  _ SERTIFIKAT BerAKHLAK")</f>
        <v>5764_AGUS STIYAWATI  _ SERTIFIKAT BerAKHLAK</v>
      </c>
      <c r="P5765" s="5" t="s">
        <v>37604</v>
      </c>
    </row>
    <row r="5766">
      <c r="A5766" s="4">
        <v>45534.36291280093</v>
      </c>
      <c r="B5766" s="5" t="s">
        <v>34</v>
      </c>
      <c r="D5766" s="5" t="s">
        <v>1206</v>
      </c>
      <c r="E5766" s="5" t="s">
        <v>37615</v>
      </c>
      <c r="F5766" s="5" t="s">
        <v>212</v>
      </c>
      <c r="G5766" s="5" t="s">
        <v>37616</v>
      </c>
      <c r="H5766" s="6" t="s">
        <v>37617</v>
      </c>
      <c r="K5766" s="5" t="s">
        <v>37581</v>
      </c>
      <c r="M5766" s="5" t="s">
        <v>37618</v>
      </c>
      <c r="N5766" s="7" t="s">
        <v>37619</v>
      </c>
      <c r="O5766" s="8" t="str">
        <f>HYPERLINK("https://drive.google.com/file/d/1NVT8aSrutsGf5CSKB9JMnfU2a4CK3Gfo/view?usp=drivesdk","5765_SRi SUYATI _ SERTIFIKAT BerAKHLAK")</f>
        <v>5765_SRi SUYATI _ SERTIFIKAT BerAKHLAK</v>
      </c>
      <c r="P5766" s="5" t="s">
        <v>37620</v>
      </c>
    </row>
    <row r="5767">
      <c r="A5767" s="4">
        <v>45534.36291755787</v>
      </c>
      <c r="B5767" s="5" t="s">
        <v>34</v>
      </c>
      <c r="D5767" s="5" t="s">
        <v>9020</v>
      </c>
      <c r="E5767" s="5" t="s">
        <v>37621</v>
      </c>
      <c r="F5767" s="5" t="s">
        <v>108</v>
      </c>
      <c r="G5767" s="5" t="s">
        <v>37622</v>
      </c>
      <c r="H5767" s="6" t="s">
        <v>37623</v>
      </c>
      <c r="K5767" s="5" t="s">
        <v>37581</v>
      </c>
      <c r="M5767" s="5" t="s">
        <v>37624</v>
      </c>
      <c r="N5767" s="7" t="s">
        <v>37625</v>
      </c>
      <c r="O5767" s="8" t="str">
        <f>HYPERLINK("https://drive.google.com/file/d/1xpPn9vIEWNBVSUi0VTPSsMDzcdROG_AD/view?usp=drivesdk","5766_BERLIANA CHRISTINE MORINA SITORUS _ SERTIFIKAT BerAKHLAK")</f>
        <v>5766_BERLIANA CHRISTINE MORINA SITORUS _ SERTIFIKAT BerAKHLAK</v>
      </c>
      <c r="P5767" s="5" t="s">
        <v>37620</v>
      </c>
    </row>
    <row r="5768">
      <c r="A5768" s="4">
        <v>45534.36293668981</v>
      </c>
      <c r="B5768" s="5" t="s">
        <v>34</v>
      </c>
      <c r="D5768" s="5" t="s">
        <v>1558</v>
      </c>
      <c r="E5768" s="5" t="s">
        <v>37626</v>
      </c>
      <c r="F5768" s="5" t="s">
        <v>375</v>
      </c>
      <c r="G5768" s="5" t="s">
        <v>37627</v>
      </c>
      <c r="H5768" s="6" t="s">
        <v>37628</v>
      </c>
      <c r="K5768" s="5" t="s">
        <v>37581</v>
      </c>
      <c r="M5768" s="5" t="s">
        <v>37629</v>
      </c>
      <c r="N5768" s="7" t="s">
        <v>37630</v>
      </c>
      <c r="O5768" s="8" t="str">
        <f>HYPERLINK("https://drive.google.com/file/d/1Jmr4_D-JSrqltqRs6baZDYIH8FXp3vm0/view?usp=drivesdk","5767_MUNADI, S.Kom. _ SERTIFIKAT BerAKHLAK")</f>
        <v>5767_MUNADI, S.Kom. _ SERTIFIKAT BerAKHLAK</v>
      </c>
      <c r="P5768" s="5" t="s">
        <v>37620</v>
      </c>
    </row>
    <row r="5769">
      <c r="A5769" s="4">
        <v>45534.362946099536</v>
      </c>
      <c r="B5769" s="5" t="s">
        <v>34</v>
      </c>
      <c r="D5769" s="5" t="s">
        <v>267</v>
      </c>
      <c r="E5769" s="5" t="s">
        <v>37631</v>
      </c>
      <c r="F5769" s="5" t="s">
        <v>108</v>
      </c>
      <c r="G5769" s="5" t="s">
        <v>37632</v>
      </c>
      <c r="H5769" s="6" t="s">
        <v>37633</v>
      </c>
      <c r="I5769" s="7" t="s">
        <v>37634</v>
      </c>
      <c r="J5769" s="8" t="str">
        <f>HYPERLINK("https://drive.google.com/file/d/1a3xdL2B4x9U7A31LAeSNOfFgGwqYLsyp/view?usp=drivesdk","ROBIUM, S. H SERTIFIKAT BerAKHLAK")</f>
        <v>ROBIUM, S. H SERTIFIKAT BerAKHLAK</v>
      </c>
      <c r="K5769" s="5" t="s">
        <v>36587</v>
      </c>
      <c r="L5769" s="5" t="s">
        <v>37635</v>
      </c>
      <c r="M5769" s="5" t="s">
        <v>37636</v>
      </c>
      <c r="N5769" s="7" t="s">
        <v>37637</v>
      </c>
      <c r="O5769" s="8" t="str">
        <f>HYPERLINK("https://drive.google.com/file/d/1m16cbS_T4_5MeBlgnRZtb2KIosAsqdVU/view?usp=drivesdk","5768_ROBIUM, S. H _ SERTIFIKAT BerAKHLAK")</f>
        <v>5768_ROBIUM, S. H _ SERTIFIKAT BerAKHLAK</v>
      </c>
      <c r="P5769" s="5" t="s">
        <v>37620</v>
      </c>
    </row>
    <row r="5770">
      <c r="A5770" s="4">
        <v>45534.36294832176</v>
      </c>
      <c r="B5770" s="5" t="s">
        <v>34</v>
      </c>
      <c r="D5770" s="5" t="s">
        <v>1206</v>
      </c>
      <c r="E5770" s="5" t="s">
        <v>37638</v>
      </c>
      <c r="F5770" s="5" t="s">
        <v>212</v>
      </c>
      <c r="G5770" s="5" t="s">
        <v>37639</v>
      </c>
      <c r="H5770" s="6" t="s">
        <v>37640</v>
      </c>
      <c r="I5770" s="7" t="s">
        <v>37641</v>
      </c>
      <c r="J5770" s="8" t="str">
        <f>HYPERLINK("https://drive.google.com/file/d/1IK_ymfo_j0UZo7BeAmLuC2oJ1K23Eksw/view?usp=drivesdk","ROCHMAWATI SERTIFIKAT BerAKHLAK")</f>
        <v>ROCHMAWATI SERTIFIKAT BerAKHLAK</v>
      </c>
      <c r="K5770" s="5" t="s">
        <v>37306</v>
      </c>
      <c r="L5770" s="5" t="s">
        <v>37642</v>
      </c>
      <c r="M5770" s="5" t="s">
        <v>37643</v>
      </c>
      <c r="N5770" s="7" t="s">
        <v>37644</v>
      </c>
      <c r="O5770" s="8" t="str">
        <f>HYPERLINK("https://drive.google.com/file/d/19mw13Uii74cSpJ5guwuZfMhEFOt9WN6-/view?usp=drivesdk","5769_ROCHMAWATI _ SERTIFIKAT BerAKHLAK")</f>
        <v>5769_ROCHMAWATI _ SERTIFIKAT BerAKHLAK</v>
      </c>
      <c r="P5770" s="5" t="s">
        <v>37645</v>
      </c>
    </row>
    <row r="5771">
      <c r="A5771" s="4">
        <v>45534.362959351856</v>
      </c>
      <c r="B5771" s="5" t="s">
        <v>34</v>
      </c>
      <c r="D5771" s="5" t="s">
        <v>35</v>
      </c>
      <c r="E5771" s="5" t="s">
        <v>37646</v>
      </c>
      <c r="F5771" s="5" t="s">
        <v>72</v>
      </c>
      <c r="G5771" s="5" t="s">
        <v>37647</v>
      </c>
      <c r="H5771" s="6" t="s">
        <v>37648</v>
      </c>
      <c r="K5771" s="5" t="s">
        <v>37649</v>
      </c>
      <c r="M5771" s="5" t="s">
        <v>37650</v>
      </c>
      <c r="N5771" s="7" t="s">
        <v>37651</v>
      </c>
      <c r="O5771" s="8" t="str">
        <f>HYPERLINK("https://drive.google.com/file/d/1sa_pg4MHxx0FqRuJfAqgizyKOiC_6_vY/view?usp=drivesdk","5770_DEWI SRI WAHYUNI _ SERTIFIKAT BerAKHLAK")</f>
        <v>5770_DEWI SRI WAHYUNI _ SERTIFIKAT BerAKHLAK</v>
      </c>
      <c r="P5771" s="5" t="s">
        <v>37645</v>
      </c>
    </row>
    <row r="5772">
      <c r="A5772" s="4">
        <v>45534.3629603125</v>
      </c>
      <c r="B5772" s="5" t="s">
        <v>34</v>
      </c>
      <c r="D5772" s="5" t="s">
        <v>4775</v>
      </c>
      <c r="E5772" s="5" t="s">
        <v>37652</v>
      </c>
      <c r="F5772" s="5" t="s">
        <v>108</v>
      </c>
      <c r="G5772" s="5" t="s">
        <v>37653</v>
      </c>
      <c r="H5772" s="6" t="s">
        <v>37654</v>
      </c>
      <c r="I5772" s="7" t="s">
        <v>37655</v>
      </c>
      <c r="J5772" s="8" t="str">
        <f>HYPERLINK("https://drive.google.com/file/d/1mFM4ITt5xURJW-YJxyRM3JLK3lrgKbti/view?usp=drivesdk","TETY DIAN LESTARI SERTIFIKAT BerAKHLAK")</f>
        <v>TETY DIAN LESTARI SERTIFIKAT BerAKHLAK</v>
      </c>
      <c r="K5772" s="5" t="s">
        <v>36587</v>
      </c>
      <c r="L5772" s="5" t="s">
        <v>37656</v>
      </c>
      <c r="M5772" s="5" t="s">
        <v>37657</v>
      </c>
      <c r="N5772" s="7" t="s">
        <v>37658</v>
      </c>
      <c r="O5772" s="8" t="str">
        <f>HYPERLINK("https://drive.google.com/file/d/1Pssx5De_2LifIfq3FGv6x7M2SZsWERUg/view?usp=drivesdk","5771_TETY DIAN LESTARI _ SERTIFIKAT BerAKHLAK")</f>
        <v>5771_TETY DIAN LESTARI _ SERTIFIKAT BerAKHLAK</v>
      </c>
      <c r="P5772" s="5" t="s">
        <v>37645</v>
      </c>
    </row>
    <row r="5773">
      <c r="A5773" s="4">
        <v>45534.36296380787</v>
      </c>
      <c r="B5773" s="5" t="s">
        <v>34</v>
      </c>
      <c r="D5773" s="5" t="s">
        <v>4775</v>
      </c>
      <c r="E5773" s="5" t="s">
        <v>37659</v>
      </c>
      <c r="F5773" s="5" t="s">
        <v>212</v>
      </c>
      <c r="G5773" s="5" t="s">
        <v>37660</v>
      </c>
      <c r="H5773" s="6" t="s">
        <v>37661</v>
      </c>
      <c r="I5773" s="7" t="s">
        <v>37662</v>
      </c>
      <c r="J5773" s="8" t="str">
        <f>HYPERLINK("https://drive.google.com/file/d/1uGkptFIADzd95i_1z6zF34646e9xsl2x/view?usp=drivesdk","JAENAL ABIDIN ALI SERTIFIKAT BerAKHLAK")</f>
        <v>JAENAL ABIDIN ALI SERTIFIKAT BerAKHLAK</v>
      </c>
      <c r="K5773" s="5" t="s">
        <v>37306</v>
      </c>
      <c r="L5773" s="5" t="s">
        <v>37663</v>
      </c>
      <c r="M5773" s="5" t="s">
        <v>37664</v>
      </c>
      <c r="N5773" s="7" t="s">
        <v>37665</v>
      </c>
      <c r="O5773" s="8" t="str">
        <f>HYPERLINK("https://drive.google.com/file/d/1fvwty57sBouo7F3yc4K2EoTDlCpMayyL/view?usp=drivesdk","5772_JAENAL ABIDIN ALI _ SERTIFIKAT BerAKHLAK")</f>
        <v>5772_JAENAL ABIDIN ALI _ SERTIFIKAT BerAKHLAK</v>
      </c>
      <c r="P5773" s="5" t="s">
        <v>37645</v>
      </c>
    </row>
    <row r="5774">
      <c r="A5774" s="4">
        <v>45534.3629767824</v>
      </c>
      <c r="B5774" s="5" t="s">
        <v>34</v>
      </c>
      <c r="D5774" s="5" t="s">
        <v>4775</v>
      </c>
      <c r="E5774" s="5" t="s">
        <v>37666</v>
      </c>
      <c r="F5774" s="5" t="s">
        <v>72</v>
      </c>
      <c r="G5774" s="5" t="s">
        <v>37667</v>
      </c>
      <c r="H5774" s="6" t="s">
        <v>37668</v>
      </c>
      <c r="I5774" s="7" t="s">
        <v>37669</v>
      </c>
      <c r="J5774" s="8" t="str">
        <f>HYPERLINK("https://drive.google.com/file/d/1swGcajmuAk2dPxjlIjLW4ue5aRSq4v5w/view?usp=drivesdk","SRI BUDI RAHAYU, Amd.Keb. SERTIFIKAT BerAKHLAK")</f>
        <v>SRI BUDI RAHAYU, Amd.Keb. SERTIFIKAT BerAKHLAK</v>
      </c>
      <c r="K5774" s="5" t="s">
        <v>36587</v>
      </c>
      <c r="L5774" s="5" t="s">
        <v>37670</v>
      </c>
      <c r="M5774" s="5" t="s">
        <v>37671</v>
      </c>
      <c r="N5774" s="7" t="s">
        <v>37672</v>
      </c>
      <c r="O5774" s="8" t="str">
        <f>HYPERLINK("https://drive.google.com/file/d/1hS-4UUcGL9uNtZ0caw0nPtHwTtibjdbT/view?usp=drivesdk","5773_SRI BUDI RAHAYU, Amd.Keb. _ SERTIFIKAT BerAKHLAK")</f>
        <v>5773_SRI BUDI RAHAYU, Amd.Keb. _ SERTIFIKAT BerAKHLAK</v>
      </c>
      <c r="P5774" s="5" t="s">
        <v>37673</v>
      </c>
    </row>
    <row r="5775">
      <c r="A5775" s="4">
        <v>45534.36298107639</v>
      </c>
      <c r="B5775" s="5" t="s">
        <v>34</v>
      </c>
      <c r="D5775" s="5" t="s">
        <v>9020</v>
      </c>
      <c r="E5775" s="5" t="s">
        <v>37674</v>
      </c>
      <c r="F5775" s="5" t="s">
        <v>37</v>
      </c>
      <c r="G5775" s="5" t="s">
        <v>37675</v>
      </c>
      <c r="H5775" s="6" t="s">
        <v>37676</v>
      </c>
      <c r="I5775" s="7" t="s">
        <v>37677</v>
      </c>
      <c r="J5775" s="8" t="str">
        <f>HYPERLINK("https://drive.google.com/file/d/1sKuuG-gqsTjT53-UtThLP9V176ivSDEJ/view?usp=drivesdk","ISMAiNI SERTIFIKAT BerAKHLAK")</f>
        <v>ISMAiNI SERTIFIKAT BerAKHLAK</v>
      </c>
      <c r="K5775" s="5" t="s">
        <v>37306</v>
      </c>
      <c r="L5775" s="5" t="s">
        <v>37678</v>
      </c>
      <c r="M5775" s="5" t="s">
        <v>37679</v>
      </c>
      <c r="N5775" s="7" t="s">
        <v>37680</v>
      </c>
      <c r="O5775" s="8" t="str">
        <f>HYPERLINK("https://drive.google.com/file/d/1x-k0-kACEVh1p6ht9CrbvLWypa2fFeoi/view?usp=drivesdk","5774_ISMAiNI _ SERTIFIKAT BerAKHLAK")</f>
        <v>5774_ISMAiNI _ SERTIFIKAT BerAKHLAK</v>
      </c>
      <c r="P5775" s="5" t="s">
        <v>37673</v>
      </c>
    </row>
    <row r="5776">
      <c r="A5776" s="4">
        <v>45534.362983680556</v>
      </c>
      <c r="B5776" s="5" t="s">
        <v>34</v>
      </c>
      <c r="D5776" s="5" t="s">
        <v>35</v>
      </c>
      <c r="E5776" s="5" t="s">
        <v>37681</v>
      </c>
      <c r="F5776" s="5" t="s">
        <v>108</v>
      </c>
      <c r="G5776" s="5" t="s">
        <v>37682</v>
      </c>
      <c r="H5776" s="6" t="s">
        <v>37683</v>
      </c>
      <c r="I5776" s="7" t="s">
        <v>37684</v>
      </c>
      <c r="J5776" s="8" t="str">
        <f>HYPERLINK("https://drive.google.com/file/d/1BQWlY_DWfo4IRR_xAK5jayQMMBDw5Vxm/view?usp=drivesdk","YUDI YUDIANTO  SERTIFIKAT BerAKHLAK")</f>
        <v>YUDI YUDIANTO  SERTIFIKAT BerAKHLAK</v>
      </c>
      <c r="K5776" s="5" t="s">
        <v>37306</v>
      </c>
      <c r="L5776" s="5" t="s">
        <v>37685</v>
      </c>
      <c r="M5776" s="5" t="s">
        <v>37686</v>
      </c>
      <c r="N5776" s="7" t="s">
        <v>37687</v>
      </c>
      <c r="O5776" s="8" t="str">
        <f>HYPERLINK("https://drive.google.com/file/d/1SiCczz_sglHkJZ4uq7qDcE5Ch2Ewyehj/view?usp=drivesdk","5775_YUDI YUDIANTO  _ SERTIFIKAT BerAKHLAK")</f>
        <v>5775_YUDI YUDIANTO  _ SERTIFIKAT BerAKHLAK</v>
      </c>
      <c r="P5776" s="5" t="s">
        <v>37673</v>
      </c>
    </row>
    <row r="5777">
      <c r="A5777" s="4">
        <v>45534.36299537037</v>
      </c>
      <c r="B5777" s="5" t="s">
        <v>34</v>
      </c>
      <c r="D5777" s="5" t="s">
        <v>14424</v>
      </c>
      <c r="E5777" s="5" t="s">
        <v>37688</v>
      </c>
      <c r="F5777" s="5" t="s">
        <v>37</v>
      </c>
      <c r="G5777" s="5" t="s">
        <v>37689</v>
      </c>
      <c r="H5777" s="6" t="s">
        <v>37690</v>
      </c>
      <c r="I5777" s="7" t="s">
        <v>37691</v>
      </c>
      <c r="J5777" s="8" t="str">
        <f>HYPERLINK("https://drive.google.com/file/d/1vKE7mOOpQyDuOUmVjUFOtoea1PWwxY_e/view?usp=drivesdk","NURUL AULIA SAFITRI, A. Md. Kep SERTIFIKAT BerAKHLAK")</f>
        <v>NURUL AULIA SAFITRI, A. Md. Kep SERTIFIKAT BerAKHLAK</v>
      </c>
      <c r="K5777" s="5" t="s">
        <v>37306</v>
      </c>
      <c r="L5777" s="5" t="s">
        <v>37692</v>
      </c>
      <c r="M5777" s="5" t="s">
        <v>37693</v>
      </c>
      <c r="N5777" s="7" t="s">
        <v>37694</v>
      </c>
      <c r="O5777" s="8" t="str">
        <f>HYPERLINK("https://drive.google.com/file/d/1u-fJYLJlytdK1gKpqIFFhmFa1sHZLYOT/view?usp=drivesdk","5776_NURUL AULIA SAFITRI, A. Md. Kep _ SERTIFIKAT BerAKHLAK")</f>
        <v>5776_NURUL AULIA SAFITRI, A. Md. Kep _ SERTIFIKAT BerAKHLAK</v>
      </c>
      <c r="P5777" s="5" t="s">
        <v>37673</v>
      </c>
    </row>
    <row r="5778">
      <c r="A5778" s="4">
        <v>45534.3630053588</v>
      </c>
      <c r="B5778" s="5" t="s">
        <v>34</v>
      </c>
      <c r="D5778" s="5" t="s">
        <v>1206</v>
      </c>
      <c r="E5778" s="5" t="s">
        <v>37695</v>
      </c>
      <c r="F5778" s="5" t="s">
        <v>37</v>
      </c>
      <c r="G5778" s="5" t="s">
        <v>37696</v>
      </c>
      <c r="H5778" s="6" t="s">
        <v>37697</v>
      </c>
      <c r="I5778" s="7" t="s">
        <v>37698</v>
      </c>
      <c r="J5778" s="8" t="str">
        <f>HYPERLINK("https://drive.google.com/file/d/1ym_kgM1PsWOoVhDDMvR9YokNrfoT_0s_/view?usp=drivesdk","ELY MABRUROH SERTIFIKAT BerAKHLAK")</f>
        <v>ELY MABRUROH SERTIFIKAT BerAKHLAK</v>
      </c>
      <c r="K5778" s="5" t="s">
        <v>37306</v>
      </c>
      <c r="L5778" s="5" t="s">
        <v>37699</v>
      </c>
      <c r="M5778" s="5" t="s">
        <v>37700</v>
      </c>
      <c r="N5778" s="7" t="s">
        <v>37701</v>
      </c>
      <c r="O5778" s="8" t="str">
        <f>HYPERLINK("https://drive.google.com/file/d/1pT0OBkBVlBuvZUaXf5nzMpfhD6Gnw47x/view?usp=drivesdk","5777_ELY MABRUROH _ SERTIFIKAT BerAKHLAK")</f>
        <v>5777_ELY MABRUROH _ SERTIFIKAT BerAKHLAK</v>
      </c>
      <c r="P5778" s="5" t="s">
        <v>37702</v>
      </c>
    </row>
    <row r="5779">
      <c r="A5779" s="4">
        <v>45534.3630059375</v>
      </c>
      <c r="B5779" s="5" t="s">
        <v>34</v>
      </c>
      <c r="D5779" s="5" t="s">
        <v>14424</v>
      </c>
      <c r="E5779" s="5" t="s">
        <v>37703</v>
      </c>
      <c r="F5779" s="5" t="s">
        <v>212</v>
      </c>
      <c r="G5779" s="5" t="s">
        <v>37704</v>
      </c>
      <c r="H5779" s="6" t="s">
        <v>37705</v>
      </c>
      <c r="I5779" s="7" t="s">
        <v>37706</v>
      </c>
      <c r="J5779" s="8" t="str">
        <f>HYPERLINK("https://drive.google.com/file/d/1gbzV5biq3ywA0OXeBlzOi7qnqdgTIWs0/view?usp=drivesdk","Ns. Bambang Suriandi  SERTIFIKAT BerAKHLAK")</f>
        <v>Ns. Bambang Suriandi  SERTIFIKAT BerAKHLAK</v>
      </c>
      <c r="K5779" s="5" t="s">
        <v>36587</v>
      </c>
      <c r="L5779" s="5" t="s">
        <v>37707</v>
      </c>
      <c r="M5779" s="5" t="s">
        <v>37708</v>
      </c>
      <c r="N5779" s="7" t="s">
        <v>37709</v>
      </c>
      <c r="O5779" s="8" t="str">
        <f>HYPERLINK("https://drive.google.com/file/d/1-LVgR5u1m1WvksD3C5QYpQ5mppj84Ro_/view?usp=drivesdk","5778_Ns. Bambang Suriandi  _ SERTIFIKAT BerAKHLAK")</f>
        <v>5778_Ns. Bambang Suriandi  _ SERTIFIKAT BerAKHLAK</v>
      </c>
      <c r="P5779" s="5" t="s">
        <v>37702</v>
      </c>
    </row>
    <row r="5780">
      <c r="A5780" s="4">
        <v>45534.36302498843</v>
      </c>
      <c r="B5780" s="5" t="s">
        <v>34</v>
      </c>
      <c r="D5780" s="5" t="s">
        <v>580</v>
      </c>
      <c r="E5780" s="5" t="s">
        <v>37710</v>
      </c>
      <c r="F5780" s="5" t="s">
        <v>212</v>
      </c>
      <c r="G5780" s="5" t="s">
        <v>37711</v>
      </c>
      <c r="H5780" s="6" t="s">
        <v>37712</v>
      </c>
      <c r="I5780" s="7" t="s">
        <v>37713</v>
      </c>
      <c r="J5780" s="8" t="str">
        <f>HYPERLINK("https://drive.google.com/file/d/1mBYyxf4V_xeHYUHMSUVh3Zj-6Z4QAS8l/view?usp=drivesdk","NI MADE SUJANI  SERTIFIKAT BerAKHLAK")</f>
        <v>NI MADE SUJANI  SERTIFIKAT BerAKHLAK</v>
      </c>
      <c r="K5780" s="5" t="s">
        <v>37306</v>
      </c>
      <c r="L5780" s="5" t="s">
        <v>37714</v>
      </c>
      <c r="M5780" s="5" t="s">
        <v>37715</v>
      </c>
      <c r="N5780" s="7" t="s">
        <v>37716</v>
      </c>
      <c r="O5780" s="8" t="str">
        <f>HYPERLINK("https://drive.google.com/file/d/1PE6ZdmhxJBJYohaNdXs0AM3NlkGfWb6i/view?usp=drivesdk","5779_NI MADE SUJANI  _ SERTIFIKAT BerAKHLAK")</f>
        <v>5779_NI MADE SUJANI  _ SERTIFIKAT BerAKHLAK</v>
      </c>
      <c r="P5780" s="5" t="s">
        <v>37702</v>
      </c>
    </row>
    <row r="5781">
      <c r="A5781" s="4">
        <v>45534.36302907407</v>
      </c>
      <c r="B5781" s="5" t="s">
        <v>34</v>
      </c>
      <c r="D5781" s="5" t="s">
        <v>14424</v>
      </c>
      <c r="E5781" s="5" t="s">
        <v>37717</v>
      </c>
      <c r="F5781" s="5" t="s">
        <v>120</v>
      </c>
      <c r="G5781" s="5" t="s">
        <v>37718</v>
      </c>
      <c r="H5781" s="6" t="s">
        <v>37719</v>
      </c>
      <c r="I5781" s="7" t="s">
        <v>37720</v>
      </c>
      <c r="J5781" s="8" t="str">
        <f>HYPERLINK("https://drive.google.com/file/d/1cyduJAZasZeJxrjtiGWbg9yrlaBLhR_l/view?usp=drivesdk","Dr. NORMA YUNITA, SKM, MM SERTIFIKAT BerAKHLAK")</f>
        <v>Dr. NORMA YUNITA, SKM, MM SERTIFIKAT BerAKHLAK</v>
      </c>
      <c r="K5781" s="5" t="s">
        <v>37306</v>
      </c>
      <c r="L5781" s="5" t="s">
        <v>37721</v>
      </c>
      <c r="M5781" s="5" t="s">
        <v>37722</v>
      </c>
      <c r="N5781" s="7" t="s">
        <v>37723</v>
      </c>
      <c r="O5781" s="8" t="str">
        <f>HYPERLINK("https://drive.google.com/file/d/186G5O12pVQD-AFTtVyJ18L_tSTkJ5Vi8/view?usp=drivesdk","5780_Dr. NORMA YUNITA, SKM, MM _ SERTIFIKAT BerAKHLAK")</f>
        <v>5780_Dr. NORMA YUNITA, SKM, MM _ SERTIFIKAT BerAKHLAK</v>
      </c>
      <c r="P5781" s="5" t="s">
        <v>37702</v>
      </c>
    </row>
    <row r="5782">
      <c r="A5782" s="4">
        <v>45534.36302896991</v>
      </c>
      <c r="B5782" s="5" t="s">
        <v>34</v>
      </c>
      <c r="D5782" s="5" t="s">
        <v>15401</v>
      </c>
      <c r="E5782" s="5" t="s">
        <v>37724</v>
      </c>
      <c r="F5782" s="5" t="s">
        <v>524</v>
      </c>
      <c r="G5782" s="5" t="s">
        <v>37725</v>
      </c>
      <c r="H5782" s="6" t="s">
        <v>37726</v>
      </c>
      <c r="I5782" s="7" t="s">
        <v>37727</v>
      </c>
      <c r="J5782" s="8" t="str">
        <f>HYPERLINK("https://drive.google.com/file/d/1dIs2HFjwEAKY1WflvzGQp4VOpSJVFQJz/view?usp=drivesdk","RACHMAWATI DJALALI,A.Md.Kep SERTIFIKAT BerAKHLAK")</f>
        <v>RACHMAWATI DJALALI,A.Md.Kep SERTIFIKAT BerAKHLAK</v>
      </c>
      <c r="K5782" s="5" t="s">
        <v>37306</v>
      </c>
      <c r="L5782" s="5" t="s">
        <v>37728</v>
      </c>
      <c r="M5782" s="5" t="s">
        <v>37729</v>
      </c>
      <c r="N5782" s="7" t="s">
        <v>37730</v>
      </c>
      <c r="O5782" s="8" t="str">
        <f>HYPERLINK("https://drive.google.com/file/d/1gso19t4OYV5CsYOsPIUt6KoKMNqV0RBm/view?usp=drivesdk","5781_RACHMAWATI DJALALI,A.Md.Kep _ SERTIFIKAT BerAKHLAK")</f>
        <v>5781_RACHMAWATI DJALALI,A.Md.Kep _ SERTIFIKAT BerAKHLAK</v>
      </c>
      <c r="P5782" s="5" t="s">
        <v>37702</v>
      </c>
    </row>
    <row r="5783">
      <c r="A5783" s="4">
        <v>45534.36303927083</v>
      </c>
      <c r="B5783" s="5" t="s">
        <v>34</v>
      </c>
      <c r="D5783" s="5" t="s">
        <v>9020</v>
      </c>
      <c r="E5783" s="5" t="s">
        <v>37731</v>
      </c>
      <c r="F5783" s="5" t="s">
        <v>212</v>
      </c>
      <c r="G5783" s="5" t="s">
        <v>37732</v>
      </c>
      <c r="H5783" s="6" t="s">
        <v>37733</v>
      </c>
      <c r="I5783" s="7" t="s">
        <v>37734</v>
      </c>
      <c r="J5783" s="8" t="str">
        <f>HYPERLINK("https://drive.google.com/file/d/1GB-OSU1umuG_u4zYS1Xvo7Zc0YUE0FxT/view?usp=drivesdk","UUMI KALSUM, AMD. KEP SERTIFIKAT BerAKHLAK")</f>
        <v>UUMI KALSUM, AMD. KEP SERTIFIKAT BerAKHLAK</v>
      </c>
      <c r="K5783" s="5" t="s">
        <v>37306</v>
      </c>
      <c r="L5783" s="5" t="s">
        <v>37735</v>
      </c>
      <c r="M5783" s="5" t="s">
        <v>37736</v>
      </c>
      <c r="N5783" s="7" t="s">
        <v>37737</v>
      </c>
      <c r="O5783" s="8" t="str">
        <f>HYPERLINK("https://drive.google.com/file/d/1pcT5Xcu9C29a6yT_cHX9cRR7m26PBj8L/view?usp=drivesdk","5782_UUMI KALSUM, AMD. KEP _ SERTIFIKAT BerAKHLAK")</f>
        <v>5782_UUMI KALSUM, AMD. KEP _ SERTIFIKAT BerAKHLAK</v>
      </c>
      <c r="P5783" s="5" t="s">
        <v>37738</v>
      </c>
    </row>
    <row r="5784">
      <c r="A5784" s="4">
        <v>45534.36303789352</v>
      </c>
      <c r="B5784" s="5" t="s">
        <v>34</v>
      </c>
      <c r="D5784" s="5" t="s">
        <v>35</v>
      </c>
      <c r="E5784" s="5" t="s">
        <v>37739</v>
      </c>
      <c r="F5784" s="5" t="s">
        <v>37</v>
      </c>
      <c r="G5784" s="5" t="s">
        <v>37740</v>
      </c>
      <c r="H5784" s="6" t="s">
        <v>37741</v>
      </c>
      <c r="I5784" s="7" t="s">
        <v>37742</v>
      </c>
      <c r="J5784" s="8" t="str">
        <f>HYPERLINK("https://drive.google.com/file/d/16yPWtonjLlnTn2vMpzzHOG5_zXryFhz2/view?usp=drivesdk","SITI NURJANAH, A.MD.TRO SERTIFIKAT BerAKHLAK")</f>
        <v>SITI NURJANAH, A.MD.TRO SERTIFIKAT BerAKHLAK</v>
      </c>
      <c r="K5784" s="5" t="s">
        <v>37306</v>
      </c>
      <c r="L5784" s="5" t="s">
        <v>37743</v>
      </c>
      <c r="M5784" s="5" t="s">
        <v>37744</v>
      </c>
      <c r="N5784" s="7" t="s">
        <v>37745</v>
      </c>
      <c r="O5784" s="8" t="str">
        <f>HYPERLINK("https://drive.google.com/file/d/1KsgA9CFraAAyGef9C3mwOuiRwUq0P7rJ/view?usp=drivesdk","5783_SITI NURJANAH, A.MD.TRO _ SERTIFIKAT BerAKHLAK")</f>
        <v>5783_SITI NURJANAH, A.MD.TRO _ SERTIFIKAT BerAKHLAK</v>
      </c>
      <c r="P5784" s="5" t="s">
        <v>37738</v>
      </c>
    </row>
    <row r="5785">
      <c r="A5785" s="4">
        <v>45534.36304568287</v>
      </c>
      <c r="B5785" s="5" t="s">
        <v>34</v>
      </c>
      <c r="D5785" s="5" t="s">
        <v>996</v>
      </c>
      <c r="E5785" s="5" t="s">
        <v>37746</v>
      </c>
      <c r="F5785" s="5" t="s">
        <v>524</v>
      </c>
      <c r="G5785" s="5" t="s">
        <v>37747</v>
      </c>
      <c r="H5785" s="6" t="s">
        <v>37748</v>
      </c>
      <c r="I5785" s="7" t="s">
        <v>37749</v>
      </c>
      <c r="J5785" s="8" t="str">
        <f>HYPERLINK("https://drive.google.com/file/d/1o2u7D1oyv-uo3oGIYJiE69HKnwfpzTU0/view?usp=drivesdk","TRI WAHYUNI, S.K.M. SERTIFIKAT BerAKHLAK")</f>
        <v>TRI WAHYUNI, S.K.M. SERTIFIKAT BerAKHLAK</v>
      </c>
      <c r="K5785" s="5" t="s">
        <v>37306</v>
      </c>
      <c r="L5785" s="5" t="s">
        <v>37750</v>
      </c>
      <c r="M5785" s="5" t="s">
        <v>37751</v>
      </c>
      <c r="N5785" s="7" t="s">
        <v>37752</v>
      </c>
      <c r="O5785" s="8" t="str">
        <f>HYPERLINK("https://drive.google.com/file/d/1wYznocVB9uxWyJyndgBUSLVDb7ND5V3K/view?usp=drivesdk","5784_TRI WAHYUNI, S.K.M. _ SERTIFIKAT BerAKHLAK")</f>
        <v>5784_TRI WAHYUNI, S.K.M. _ SERTIFIKAT BerAKHLAK</v>
      </c>
      <c r="P5785" s="5" t="s">
        <v>37738</v>
      </c>
    </row>
    <row r="5786">
      <c r="A5786" s="4">
        <v>45534.36305726852</v>
      </c>
      <c r="B5786" s="5" t="s">
        <v>34</v>
      </c>
      <c r="D5786" s="5" t="s">
        <v>1206</v>
      </c>
      <c r="E5786" s="5" t="s">
        <v>37753</v>
      </c>
      <c r="F5786" s="5" t="s">
        <v>212</v>
      </c>
      <c r="G5786" s="5" t="s">
        <v>37754</v>
      </c>
      <c r="H5786" s="6" t="s">
        <v>37755</v>
      </c>
      <c r="K5786" s="5" t="s">
        <v>37756</v>
      </c>
      <c r="M5786" s="5" t="s">
        <v>37757</v>
      </c>
      <c r="N5786" s="7" t="s">
        <v>37758</v>
      </c>
      <c r="O5786" s="8" t="str">
        <f>HYPERLINK("https://drive.google.com/file/d/1UXX0RtFKalHHg_XCFGaoPRfCUUeFLhAh/view?usp=drivesdk","5785_FITRIA PUSPITASARI _ SERTIFIKAT BerAKHLAK")</f>
        <v>5785_FITRIA PUSPITASARI _ SERTIFIKAT BerAKHLAK</v>
      </c>
      <c r="P5786" s="5" t="s">
        <v>37738</v>
      </c>
    </row>
    <row r="5787">
      <c r="A5787" s="4">
        <v>45534.36307082176</v>
      </c>
      <c r="B5787" s="5" t="s">
        <v>34</v>
      </c>
      <c r="D5787" s="5" t="s">
        <v>14424</v>
      </c>
      <c r="E5787" s="5" t="s">
        <v>37759</v>
      </c>
      <c r="F5787" s="5" t="s">
        <v>212</v>
      </c>
      <c r="G5787" s="5" t="s">
        <v>37760</v>
      </c>
      <c r="H5787" s="6" t="s">
        <v>37761</v>
      </c>
      <c r="K5787" s="5" t="s">
        <v>37756</v>
      </c>
      <c r="M5787" s="5" t="s">
        <v>37762</v>
      </c>
      <c r="N5787" s="7" t="s">
        <v>37763</v>
      </c>
      <c r="O5787" s="8" t="str">
        <f>HYPERLINK("https://drive.google.com/file/d/1qmSVo5B--IOVJ6jdWEhl0CMw3XjpAeHV/view?usp=drivesdk","5786_PENGATUR T.K I RUSNI _ SERTIFIKAT BerAKHLAK")</f>
        <v>5786_PENGATUR T.K I RUSNI _ SERTIFIKAT BerAKHLAK</v>
      </c>
      <c r="P5787" s="5" t="s">
        <v>37738</v>
      </c>
    </row>
    <row r="5788" hidden="1">
      <c r="A5788" s="4">
        <v>45534.36312090278</v>
      </c>
      <c r="B5788" s="5" t="s">
        <v>19</v>
      </c>
      <c r="C5788" s="5" t="s">
        <v>20</v>
      </c>
      <c r="E5788" s="5" t="s">
        <v>37764</v>
      </c>
      <c r="F5788" s="5" t="s">
        <v>22</v>
      </c>
      <c r="G5788" s="5" t="s">
        <v>37765</v>
      </c>
      <c r="H5788" s="6" t="s">
        <v>37766</v>
      </c>
      <c r="I5788" s="7" t="s">
        <v>37767</v>
      </c>
      <c r="J5788" s="8" t="str">
        <f>HYPERLINK("https://drive.google.com/file/d/13pCgeOZlKqUqJcYAYGk1Qhic2JKEd_FP/view?usp=drivesdk","Qorry Widianty, S. Ag. SERTIFIKAT BerAKHLAK")</f>
        <v>Qorry Widianty, S. Ag. SERTIFIKAT BerAKHLAK</v>
      </c>
      <c r="K5788" s="5" t="s">
        <v>37306</v>
      </c>
      <c r="L5788" s="5" t="s">
        <v>37768</v>
      </c>
      <c r="M5788" s="5" t="s">
        <v>37769</v>
      </c>
      <c r="N5788" s="7" t="s">
        <v>37770</v>
      </c>
      <c r="O5788" s="8" t="str">
        <f>HYPERLINK("https://drive.google.com/file/d/1qphonOK4a6B219Gpl0VXxlR1Jxqy7vvV/view?usp=drivesdk","5787_Qorry Widianty, S. Ag. _ SERTIFIKAT BerAKHLAK")</f>
        <v>5787_Qorry Widianty, S. Ag. _ SERTIFIKAT BerAKHLAK</v>
      </c>
      <c r="P5788" s="5" t="s">
        <v>37771</v>
      </c>
    </row>
    <row r="5789">
      <c r="A5789" s="4">
        <v>45534.36312068287</v>
      </c>
      <c r="B5789" s="5" t="s">
        <v>34</v>
      </c>
      <c r="D5789" s="5" t="s">
        <v>1206</v>
      </c>
      <c r="E5789" s="5" t="s">
        <v>31130</v>
      </c>
      <c r="F5789" s="5" t="s">
        <v>212</v>
      </c>
      <c r="G5789" s="5" t="s">
        <v>37772</v>
      </c>
      <c r="H5789" s="6" t="s">
        <v>37773</v>
      </c>
      <c r="I5789" s="7" t="s">
        <v>37774</v>
      </c>
      <c r="J5789" s="8" t="str">
        <f>HYPERLINK("https://drive.google.com/file/d/191kh8soGuYlx7efyJxnB2LUiB0rngHnH/view?usp=drivesdk","SUNARSIH SERTIFIKAT BerAKHLAK")</f>
        <v>SUNARSIH SERTIFIKAT BerAKHLAK</v>
      </c>
      <c r="K5789" s="5" t="s">
        <v>37306</v>
      </c>
      <c r="L5789" s="5" t="s">
        <v>37775</v>
      </c>
      <c r="M5789" s="5" t="s">
        <v>37776</v>
      </c>
      <c r="N5789" s="7" t="s">
        <v>37777</v>
      </c>
      <c r="O5789" s="8" t="str">
        <f>HYPERLINK("https://drive.google.com/file/d/11PZ5RvtIWDLsZd5iWczR-8WIGs6bOIAI/view?usp=drivesdk","5788_SUNARSIH _ SERTIFIKAT BerAKHLAK")</f>
        <v>5788_SUNARSIH _ SERTIFIKAT BerAKHLAK</v>
      </c>
      <c r="P5789" s="5" t="s">
        <v>37771</v>
      </c>
    </row>
    <row r="5790">
      <c r="A5790" s="4">
        <v>45534.36312126157</v>
      </c>
      <c r="B5790" s="5" t="s">
        <v>34</v>
      </c>
      <c r="D5790" s="5" t="s">
        <v>522</v>
      </c>
      <c r="E5790" s="5" t="s">
        <v>37778</v>
      </c>
      <c r="F5790" s="5" t="s">
        <v>212</v>
      </c>
      <c r="G5790" s="5" t="s">
        <v>37779</v>
      </c>
      <c r="H5790" s="6" t="s">
        <v>37780</v>
      </c>
      <c r="I5790" s="7" t="s">
        <v>37781</v>
      </c>
      <c r="J5790" s="8" t="str">
        <f>HYPERLINK("https://drive.google.com/file/d/1n7ZOffUVwJ0vKa8cxy8TUf8dV8i4sqSa/view?usp=drivesdk","RAFIDAH SERTIFIKAT BerAKHLAK")</f>
        <v>RAFIDAH SERTIFIKAT BerAKHLAK</v>
      </c>
      <c r="K5790" s="5" t="s">
        <v>37306</v>
      </c>
      <c r="L5790" s="5" t="s">
        <v>37782</v>
      </c>
      <c r="M5790" s="5" t="s">
        <v>37783</v>
      </c>
      <c r="N5790" s="7" t="s">
        <v>37784</v>
      </c>
      <c r="O5790" s="8" t="str">
        <f>HYPERLINK("https://drive.google.com/file/d/1Fxyq_p9v5lxxZyHIP0RXd5CeuMRnm_gl/view?usp=drivesdk","5789_RAFIDAH _ SERTIFIKAT BerAKHLAK")</f>
        <v>5789_RAFIDAH _ SERTIFIKAT BerAKHLAK</v>
      </c>
      <c r="P5790" s="5" t="s">
        <v>37771</v>
      </c>
    </row>
    <row r="5791">
      <c r="A5791" s="4">
        <v>45534.36316069444</v>
      </c>
      <c r="B5791" s="5" t="s">
        <v>34</v>
      </c>
      <c r="D5791" s="5" t="s">
        <v>4775</v>
      </c>
      <c r="E5791" s="5" t="s">
        <v>37785</v>
      </c>
      <c r="F5791" s="5" t="s">
        <v>212</v>
      </c>
      <c r="G5791" s="5" t="s">
        <v>37786</v>
      </c>
      <c r="H5791" s="6" t="s">
        <v>37787</v>
      </c>
      <c r="I5791" s="7" t="s">
        <v>37788</v>
      </c>
      <c r="J5791" s="8" t="str">
        <f>HYPERLINK("https://drive.google.com/file/d/1AxBp9hXc4JqBBAmrBtqdgI00-wj4_aZN/view?usp=drivesdk","PARJILAH,AMKG SERTIFIKAT BerAKHLAK")</f>
        <v>PARJILAH,AMKG SERTIFIKAT BerAKHLAK</v>
      </c>
      <c r="K5791" s="5" t="s">
        <v>37306</v>
      </c>
      <c r="L5791" s="5" t="s">
        <v>37789</v>
      </c>
      <c r="M5791" s="5" t="s">
        <v>37790</v>
      </c>
      <c r="N5791" s="7" t="s">
        <v>37791</v>
      </c>
      <c r="O5791" s="8" t="str">
        <f>HYPERLINK("https://drive.google.com/file/d/1fL1dizDqXBE-TW3KToRqVzSvF6WKOvb2/view?usp=drivesdk","5790_PARJILAH,AMKG _ SERTIFIKAT BerAKHLAK")</f>
        <v>5790_PARJILAH,AMKG _ SERTIFIKAT BerAKHLAK</v>
      </c>
      <c r="P5791" s="5" t="s">
        <v>37792</v>
      </c>
    </row>
    <row r="5792">
      <c r="A5792" s="4">
        <v>45534.36317458333</v>
      </c>
      <c r="B5792" s="5" t="s">
        <v>34</v>
      </c>
      <c r="D5792" s="5" t="s">
        <v>9020</v>
      </c>
      <c r="E5792" s="5" t="s">
        <v>37793</v>
      </c>
      <c r="F5792" s="5" t="s">
        <v>212</v>
      </c>
      <c r="G5792" s="5" t="s">
        <v>37794</v>
      </c>
      <c r="H5792" s="6" t="s">
        <v>37795</v>
      </c>
      <c r="I5792" s="7" t="s">
        <v>37796</v>
      </c>
      <c r="J5792" s="8" t="str">
        <f>HYPERLINK("https://drive.google.com/file/d/1tpWmkAfXI8djjTlogZXrtZKBV7KMy5Xc/view?usp=drivesdk","MANONGGOR PANJAITAN  SERTIFIKAT BerAKHLAK")</f>
        <v>MANONGGOR PANJAITAN  SERTIFIKAT BerAKHLAK</v>
      </c>
      <c r="K5792" s="5" t="s">
        <v>37306</v>
      </c>
      <c r="L5792" s="5" t="s">
        <v>37797</v>
      </c>
      <c r="M5792" s="5" t="s">
        <v>37798</v>
      </c>
      <c r="N5792" s="7" t="s">
        <v>37799</v>
      </c>
      <c r="O5792" s="8" t="str">
        <f>HYPERLINK("https://drive.google.com/file/d/1B8ZDCwGmHnk0qoSTen1U2ER0-8jCcDNt/view?usp=drivesdk","5791_MANONGGOR PANJAITAN  _ SERTIFIKAT BerAKHLAK")</f>
        <v>5791_MANONGGOR PANJAITAN  _ SERTIFIKAT BerAKHLAK</v>
      </c>
      <c r="P5792" s="5" t="s">
        <v>37792</v>
      </c>
    </row>
    <row r="5793">
      <c r="A5793" s="4">
        <v>45534.36318056713</v>
      </c>
      <c r="B5793" s="5" t="s">
        <v>34</v>
      </c>
      <c r="D5793" s="5" t="s">
        <v>2903</v>
      </c>
      <c r="E5793" s="5" t="s">
        <v>37800</v>
      </c>
      <c r="F5793" s="5" t="s">
        <v>524</v>
      </c>
      <c r="G5793" s="5" t="s">
        <v>37801</v>
      </c>
      <c r="H5793" s="6" t="s">
        <v>37802</v>
      </c>
      <c r="I5793" s="7" t="s">
        <v>37803</v>
      </c>
      <c r="J5793" s="8" t="str">
        <f>HYPERLINK("https://drive.google.com/file/d/13X89HJqbZ37eX8L5cF7pUc3rdsFon6Xu/view?usp=drivesdk","WINDARSIH SERTIFIKAT BerAKHLAK")</f>
        <v>WINDARSIH SERTIFIKAT BerAKHLAK</v>
      </c>
      <c r="K5793" s="5" t="s">
        <v>37306</v>
      </c>
      <c r="L5793" s="5" t="s">
        <v>37804</v>
      </c>
      <c r="M5793" s="5" t="s">
        <v>37805</v>
      </c>
      <c r="N5793" s="7" t="s">
        <v>37806</v>
      </c>
      <c r="O5793" s="8" t="str">
        <f>HYPERLINK("https://drive.google.com/file/d/15agjNx-xzwPjVJ5cAyA29TDnxJHps3jY/view?usp=drivesdk","5792_WINDARSIH _ SERTIFIKAT BerAKHLAK")</f>
        <v>5792_WINDARSIH _ SERTIFIKAT BerAKHLAK</v>
      </c>
      <c r="P5793" s="5" t="s">
        <v>37807</v>
      </c>
    </row>
    <row r="5794">
      <c r="A5794" s="4">
        <v>45534.363187546296</v>
      </c>
      <c r="B5794" s="5" t="s">
        <v>34</v>
      </c>
      <c r="D5794" s="5" t="s">
        <v>1206</v>
      </c>
      <c r="E5794" s="5" t="s">
        <v>37808</v>
      </c>
      <c r="F5794" s="5" t="s">
        <v>524</v>
      </c>
      <c r="G5794" s="5" t="s">
        <v>37809</v>
      </c>
      <c r="H5794" s="6" t="s">
        <v>37810</v>
      </c>
      <c r="I5794" s="7" t="s">
        <v>37811</v>
      </c>
      <c r="J5794" s="8" t="str">
        <f>HYPERLINK("https://drive.google.com/file/d/1PTgpjue_cHZWyCBT6OtRsr4EBLBuivzR/view?usp=drivesdk","IMROM ROSYADI SERTIFIKAT BerAKHLAK")</f>
        <v>IMROM ROSYADI SERTIFIKAT BerAKHLAK</v>
      </c>
      <c r="K5794" s="5" t="s">
        <v>37306</v>
      </c>
      <c r="L5794" s="5" t="s">
        <v>37812</v>
      </c>
      <c r="M5794" s="5" t="s">
        <v>37813</v>
      </c>
      <c r="N5794" s="7" t="s">
        <v>37814</v>
      </c>
      <c r="O5794" s="8" t="str">
        <f>HYPERLINK("https://drive.google.com/file/d/1Dy9RNaBy8pO1MMmfx7prUsj3Shzw6t_3/view?usp=drivesdk","5793_IMROM ROSYADI _ SERTIFIKAT BerAKHLAK")</f>
        <v>5793_IMROM ROSYADI _ SERTIFIKAT BerAKHLAK</v>
      </c>
      <c r="P5794" s="5" t="s">
        <v>37815</v>
      </c>
    </row>
    <row r="5795">
      <c r="A5795" s="4">
        <v>45534.363199363426</v>
      </c>
      <c r="B5795" s="5" t="s">
        <v>34</v>
      </c>
      <c r="D5795" s="5" t="s">
        <v>15401</v>
      </c>
      <c r="E5795" s="5" t="s">
        <v>37816</v>
      </c>
      <c r="F5795" s="5" t="s">
        <v>212</v>
      </c>
      <c r="G5795" s="5" t="s">
        <v>37817</v>
      </c>
      <c r="H5795" s="6" t="s">
        <v>37818</v>
      </c>
      <c r="I5795" s="7" t="s">
        <v>37819</v>
      </c>
      <c r="J5795" s="8" t="str">
        <f>HYPERLINK("https://drive.google.com/file/d/11Jg0t83hCCe48ka79dGEWWsvxSc2xMAY/view?usp=drivesdk","MOH. RUSLAN AGAMA SERTIFIKAT BerAKHLAK")</f>
        <v>MOH. RUSLAN AGAMA SERTIFIKAT BerAKHLAK</v>
      </c>
      <c r="K5795" s="5" t="s">
        <v>37306</v>
      </c>
      <c r="L5795" s="5" t="s">
        <v>37820</v>
      </c>
      <c r="M5795" s="5" t="s">
        <v>37821</v>
      </c>
      <c r="N5795" s="7" t="s">
        <v>37822</v>
      </c>
      <c r="O5795" s="8" t="str">
        <f>HYPERLINK("https://drive.google.com/file/d/1p1vRSOSMGvLPTqSIvkmy1zFxDybWRzSJ/view?usp=drivesdk","5794_MOH. RUSLAN AGAMA _ SERTIFIKAT BerAKHLAK")</f>
        <v>5794_MOH. RUSLAN AGAMA _ SERTIFIKAT BerAKHLAK</v>
      </c>
      <c r="P5795" s="5" t="s">
        <v>37815</v>
      </c>
    </row>
    <row r="5796">
      <c r="A5796" s="4">
        <v>45534.36319986111</v>
      </c>
      <c r="B5796" s="5" t="s">
        <v>34</v>
      </c>
      <c r="D5796" s="5" t="s">
        <v>10297</v>
      </c>
      <c r="E5796" s="5" t="s">
        <v>37823</v>
      </c>
      <c r="F5796" s="5" t="s">
        <v>524</v>
      </c>
      <c r="G5796" s="5" t="s">
        <v>37824</v>
      </c>
      <c r="H5796" s="6" t="s">
        <v>37825</v>
      </c>
      <c r="I5796" s="7" t="s">
        <v>37826</v>
      </c>
      <c r="J5796" s="8" t="str">
        <f>HYPERLINK("https://drive.google.com/file/d/11Dq1MKjxa-oebWmeC-2QH0WjvZ9yiD3N/view?usp=drivesdk","SAFIRUN SERTIFIKAT BerAKHLAK")</f>
        <v>SAFIRUN SERTIFIKAT BerAKHLAK</v>
      </c>
      <c r="K5796" s="5" t="s">
        <v>37306</v>
      </c>
      <c r="L5796" s="5" t="s">
        <v>37827</v>
      </c>
      <c r="M5796" s="5" t="s">
        <v>37828</v>
      </c>
      <c r="N5796" s="7" t="s">
        <v>37829</v>
      </c>
      <c r="O5796" s="8" t="str">
        <f>HYPERLINK("https://drive.google.com/file/d/17d3BxrJkDAhfAP_A4Q93WVuhG3nVWPT4/view?usp=drivesdk","5795_SAFIRUN _ SERTIFIKAT BerAKHLAK")</f>
        <v>5795_SAFIRUN _ SERTIFIKAT BerAKHLAK</v>
      </c>
      <c r="P5796" s="5" t="s">
        <v>37815</v>
      </c>
    </row>
    <row r="5797">
      <c r="A5797" s="4">
        <v>45534.36320761574</v>
      </c>
      <c r="B5797" s="5" t="s">
        <v>34</v>
      </c>
      <c r="D5797" s="5" t="s">
        <v>1206</v>
      </c>
      <c r="E5797" s="5" t="s">
        <v>37830</v>
      </c>
      <c r="F5797" s="5" t="s">
        <v>37</v>
      </c>
      <c r="G5797" s="5" t="s">
        <v>37831</v>
      </c>
      <c r="H5797" s="6" t="s">
        <v>37832</v>
      </c>
      <c r="I5797" s="7" t="s">
        <v>37833</v>
      </c>
      <c r="J5797" s="8" t="str">
        <f>HYPERLINK("https://drive.google.com/file/d/1ElCh7aki_N1whSdbjt3EW3Cj9M-ZDUS4/view?usp=drivesdk","NURIL FAHIM SERTIFIKAT BerAKHLAK")</f>
        <v>NURIL FAHIM SERTIFIKAT BerAKHLAK</v>
      </c>
      <c r="K5797" s="5" t="s">
        <v>37306</v>
      </c>
      <c r="L5797" s="5" t="s">
        <v>37834</v>
      </c>
      <c r="M5797" s="5" t="s">
        <v>37835</v>
      </c>
      <c r="N5797" s="7" t="s">
        <v>37836</v>
      </c>
      <c r="O5797" s="8" t="str">
        <f>HYPERLINK("https://drive.google.com/file/d/1Xnsb-0HdBYtmFShiMUh4LyO125R35r3x/view?usp=drivesdk","5796_NURIL FAHIM _ SERTIFIKAT BerAKHLAK")</f>
        <v>5796_NURIL FAHIM _ SERTIFIKAT BerAKHLAK</v>
      </c>
      <c r="P5797" s="5" t="s">
        <v>37815</v>
      </c>
    </row>
    <row r="5798">
      <c r="A5798" s="4">
        <v>45534.3632259375</v>
      </c>
      <c r="B5798" s="5" t="s">
        <v>34</v>
      </c>
      <c r="D5798" s="5" t="s">
        <v>9020</v>
      </c>
      <c r="E5798" s="5" t="s">
        <v>37837</v>
      </c>
      <c r="F5798" s="5" t="s">
        <v>37</v>
      </c>
      <c r="G5798" s="5" t="s">
        <v>37838</v>
      </c>
      <c r="H5798" s="6" t="s">
        <v>37839</v>
      </c>
      <c r="I5798" s="7" t="s">
        <v>37840</v>
      </c>
      <c r="J5798" s="8" t="str">
        <f>HYPERLINK("https://drive.google.com/file/d/1L5vYvVdT4X9gMb5ABaVKNp5hKIKKGLWJ/view?usp=drivesdk","LIA PURWANTI SERTIFIKAT BerAKHLAK")</f>
        <v>LIA PURWANTI SERTIFIKAT BerAKHLAK</v>
      </c>
      <c r="K5798" s="5" t="s">
        <v>37841</v>
      </c>
      <c r="L5798" s="5" t="s">
        <v>37842</v>
      </c>
      <c r="M5798" s="5" t="s">
        <v>37843</v>
      </c>
      <c r="N5798" s="7" t="s">
        <v>37844</v>
      </c>
      <c r="O5798" s="8" t="str">
        <f>HYPERLINK("https://drive.google.com/file/d/18EmVr0W0C68sfD2uBlO_e5_50Oe7QVri/view?usp=drivesdk","5797_LIA PURWANTI _ SERTIFIKAT BerAKHLAK")</f>
        <v>5797_LIA PURWANTI _ SERTIFIKAT BerAKHLAK</v>
      </c>
      <c r="P5798" s="5" t="s">
        <v>37815</v>
      </c>
    </row>
    <row r="5799">
      <c r="A5799" s="4">
        <v>45534.363235868055</v>
      </c>
      <c r="B5799" s="5" t="s">
        <v>34</v>
      </c>
      <c r="D5799" s="5" t="s">
        <v>2903</v>
      </c>
      <c r="E5799" s="5" t="s">
        <v>37845</v>
      </c>
      <c r="F5799" s="5" t="s">
        <v>212</v>
      </c>
      <c r="G5799" s="5" t="s">
        <v>37846</v>
      </c>
      <c r="H5799" s="6" t="s">
        <v>37847</v>
      </c>
      <c r="I5799" s="7" t="s">
        <v>37848</v>
      </c>
      <c r="J5799" s="8" t="str">
        <f>HYPERLINK("https://drive.google.com/file/d/1XVteSAoNjKRrskmQ8LLKr7DTEnlHL2Oe/view?usp=drivesdk","RAMIDI SERTIFIKAT BerAKHLAK")</f>
        <v>RAMIDI SERTIFIKAT BerAKHLAK</v>
      </c>
      <c r="K5799" s="5" t="s">
        <v>37306</v>
      </c>
      <c r="L5799" s="5" t="s">
        <v>37849</v>
      </c>
      <c r="M5799" s="5" t="s">
        <v>37850</v>
      </c>
      <c r="N5799" s="7" t="s">
        <v>37851</v>
      </c>
      <c r="O5799" s="8" t="str">
        <f>HYPERLINK("https://drive.google.com/file/d/1jG9gfS8Cp5YsnxjTV94oBuGm3Qdu8fSM/view?usp=drivesdk","5798_RAMIDI _ SERTIFIKAT BerAKHLAK")</f>
        <v>5798_RAMIDI _ SERTIFIKAT BerAKHLAK</v>
      </c>
      <c r="P5799" s="5" t="s">
        <v>37852</v>
      </c>
    </row>
    <row r="5800">
      <c r="A5800" s="4">
        <v>45534.363257916666</v>
      </c>
      <c r="B5800" s="5" t="s">
        <v>34</v>
      </c>
      <c r="D5800" s="5" t="s">
        <v>9020</v>
      </c>
      <c r="E5800" s="5" t="s">
        <v>37853</v>
      </c>
      <c r="F5800" s="5" t="s">
        <v>212</v>
      </c>
      <c r="G5800" s="5" t="s">
        <v>37854</v>
      </c>
      <c r="H5800" s="6" t="s">
        <v>37855</v>
      </c>
      <c r="K5800" s="5" t="s">
        <v>37856</v>
      </c>
      <c r="M5800" s="5" t="s">
        <v>37857</v>
      </c>
      <c r="N5800" s="7" t="s">
        <v>37858</v>
      </c>
      <c r="O5800" s="8" t="str">
        <f>HYPERLINK("https://drive.google.com/file/d/1clk8exy9hIhQTam3ob0xqLKj52MVa7o-/view?usp=drivesdk","5799_SUCIATI NINGSIH _ SERTIFIKAT BerAKHLAK")</f>
        <v>5799_SUCIATI NINGSIH _ SERTIFIKAT BerAKHLAK</v>
      </c>
      <c r="P5800" s="5" t="s">
        <v>37852</v>
      </c>
    </row>
    <row r="5801">
      <c r="A5801" s="4">
        <v>45534.363285370375</v>
      </c>
      <c r="B5801" s="5" t="s">
        <v>34</v>
      </c>
      <c r="D5801" s="5" t="s">
        <v>10297</v>
      </c>
      <c r="E5801" s="5" t="s">
        <v>37859</v>
      </c>
      <c r="F5801" s="5" t="s">
        <v>37</v>
      </c>
      <c r="G5801" s="5" t="s">
        <v>37860</v>
      </c>
      <c r="H5801" s="6" t="s">
        <v>37861</v>
      </c>
      <c r="I5801" s="7" t="s">
        <v>37862</v>
      </c>
      <c r="J5801" s="8" t="str">
        <f>HYPERLINK("https://drive.google.com/file/d/1xanLiyvMUV3uFMMqM8eyl2UcYLROIFr9/view?usp=drivesdk","JASMAN SERTIFIKAT BerAKHLAK")</f>
        <v>JASMAN SERTIFIKAT BerAKHLAK</v>
      </c>
      <c r="K5801" s="5" t="s">
        <v>37306</v>
      </c>
      <c r="L5801" s="5" t="s">
        <v>37863</v>
      </c>
      <c r="M5801" s="5" t="s">
        <v>37864</v>
      </c>
      <c r="N5801" s="7" t="s">
        <v>37865</v>
      </c>
      <c r="O5801" s="8" t="str">
        <f>HYPERLINK("https://drive.google.com/file/d/14APYGS6Yfojv4UsundJd3YL4wqUoab5F/view?usp=drivesdk","5800_JASMAN _ SERTIFIKAT BerAKHLAK")</f>
        <v>5800_JASMAN _ SERTIFIKAT BerAKHLAK</v>
      </c>
      <c r="P5801" s="5" t="s">
        <v>37852</v>
      </c>
    </row>
    <row r="5802">
      <c r="A5802" s="4">
        <v>45534.36329673611</v>
      </c>
      <c r="B5802" s="5" t="s">
        <v>34</v>
      </c>
      <c r="D5802" s="5" t="s">
        <v>15401</v>
      </c>
      <c r="E5802" s="5" t="s">
        <v>37866</v>
      </c>
      <c r="F5802" s="5" t="s">
        <v>120</v>
      </c>
      <c r="G5802" s="5" t="s">
        <v>37867</v>
      </c>
      <c r="H5802" s="6" t="s">
        <v>37868</v>
      </c>
      <c r="I5802" s="7" t="s">
        <v>37869</v>
      </c>
      <c r="J5802" s="8" t="str">
        <f>HYPERLINK("https://drive.google.com/file/d/1nj120piaP6-97pewYc8PzHaa5f3YEg7J/view?usp=drivesdk","YULIATIN,S.H. SERTIFIKAT BerAKHLAK")</f>
        <v>YULIATIN,S.H. SERTIFIKAT BerAKHLAK</v>
      </c>
      <c r="K5802" s="5" t="s">
        <v>37306</v>
      </c>
      <c r="L5802" s="5" t="s">
        <v>37870</v>
      </c>
      <c r="M5802" s="5" t="s">
        <v>37871</v>
      </c>
      <c r="N5802" s="7" t="s">
        <v>37872</v>
      </c>
      <c r="O5802" s="8" t="str">
        <f>HYPERLINK("https://drive.google.com/file/d/1kc_iL5nmU14e4j0rhYAlZ7kzzVhVnVlX/view?usp=drivesdk","5801_YULIATIN,S.H. _ SERTIFIKAT BerAKHLAK")</f>
        <v>5801_YULIATIN,S.H. _ SERTIFIKAT BerAKHLAK</v>
      </c>
      <c r="P5802" s="5" t="s">
        <v>37852</v>
      </c>
    </row>
    <row r="5803">
      <c r="A5803" s="4">
        <v>45534.36329976852</v>
      </c>
      <c r="B5803" s="5" t="s">
        <v>34</v>
      </c>
      <c r="D5803" s="5" t="s">
        <v>580</v>
      </c>
      <c r="E5803" s="5" t="s">
        <v>37873</v>
      </c>
      <c r="F5803" s="5" t="s">
        <v>37</v>
      </c>
      <c r="G5803" s="5" t="s">
        <v>37874</v>
      </c>
      <c r="H5803" s="6" t="s">
        <v>37875</v>
      </c>
      <c r="I5803" s="7" t="s">
        <v>37876</v>
      </c>
      <c r="J5803" s="8" t="str">
        <f>HYPERLINK("https://drive.google.com/file/d/1iC-0hQX3g6oNjByiBqLxq929eezl0PlR/view?usp=drivesdk","GEDE MERTAYASA SERTIFIKAT BerAKHLAK")</f>
        <v>GEDE MERTAYASA SERTIFIKAT BerAKHLAK</v>
      </c>
      <c r="K5803" s="5" t="s">
        <v>37306</v>
      </c>
      <c r="L5803" s="5" t="s">
        <v>37877</v>
      </c>
      <c r="M5803" s="5" t="s">
        <v>37878</v>
      </c>
      <c r="N5803" s="7" t="s">
        <v>37879</v>
      </c>
      <c r="O5803" s="8" t="str">
        <f>HYPERLINK("https://drive.google.com/file/d/1xM8InAe8uzDYswHOuhEuDkP5xNZiVcOa/view?usp=drivesdk","5802_GEDE MERTAYASA _ SERTIFIKAT BerAKHLAK")</f>
        <v>5802_GEDE MERTAYASA _ SERTIFIKAT BerAKHLAK</v>
      </c>
      <c r="P5803" s="5" t="s">
        <v>37852</v>
      </c>
    </row>
    <row r="5804">
      <c r="A5804" s="4">
        <v>45534.363300625</v>
      </c>
      <c r="B5804" s="5" t="s">
        <v>34</v>
      </c>
      <c r="D5804" s="5" t="s">
        <v>1206</v>
      </c>
      <c r="E5804" s="5" t="s">
        <v>37880</v>
      </c>
      <c r="F5804" s="5" t="s">
        <v>212</v>
      </c>
      <c r="G5804" s="5" t="s">
        <v>37881</v>
      </c>
      <c r="H5804" s="6" t="s">
        <v>37882</v>
      </c>
      <c r="I5804" s="7" t="s">
        <v>37883</v>
      </c>
      <c r="J5804" s="8" t="str">
        <f>HYPERLINK("https://drive.google.com/file/d/19TXfJathrGISk-OuKeBQYCb8FPkZ83EW/view?usp=drivesdk","PRANOTO, S. Kep. Ns SERTIFIKAT BerAKHLAK")</f>
        <v>PRANOTO, S. Kep. Ns SERTIFIKAT BerAKHLAK</v>
      </c>
      <c r="K5804" s="5" t="s">
        <v>37306</v>
      </c>
      <c r="L5804" s="5" t="s">
        <v>37884</v>
      </c>
      <c r="M5804" s="5" t="s">
        <v>37885</v>
      </c>
      <c r="N5804" s="7" t="s">
        <v>37886</v>
      </c>
      <c r="O5804" s="8" t="str">
        <f>HYPERLINK("https://drive.google.com/file/d/1CnJZT96Woa7sovzDPlPZ9WQRiEq8BH7Q/view?usp=drivesdk","5803_PRANOTO, S. Kep. Ns _ SERTIFIKAT BerAKHLAK")</f>
        <v>5803_PRANOTO, S. Kep. Ns _ SERTIFIKAT BerAKHLAK</v>
      </c>
      <c r="P5804" s="5" t="s">
        <v>37887</v>
      </c>
    </row>
    <row r="5805">
      <c r="A5805" s="4">
        <v>45534.36330452547</v>
      </c>
      <c r="B5805" s="5" t="s">
        <v>34</v>
      </c>
      <c r="D5805" s="5" t="s">
        <v>701</v>
      </c>
      <c r="E5805" s="5" t="s">
        <v>37888</v>
      </c>
      <c r="F5805" s="5" t="s">
        <v>212</v>
      </c>
      <c r="G5805" s="5" t="s">
        <v>37889</v>
      </c>
      <c r="H5805" s="6" t="s">
        <v>37890</v>
      </c>
      <c r="I5805" s="7" t="s">
        <v>37891</v>
      </c>
      <c r="J5805" s="8" t="str">
        <f>HYPERLINK("https://drive.google.com/file/d/1uKWLeZoKmOdMqcIXkrsWGBa_xJ92BU06/view?usp=drivesdk","RENI ANGRAINI,A.MD.KEP SERTIFIKAT BerAKHLAK")</f>
        <v>RENI ANGRAINI,A.MD.KEP SERTIFIKAT BerAKHLAK</v>
      </c>
      <c r="K5805" s="5" t="s">
        <v>37306</v>
      </c>
      <c r="L5805" s="5" t="s">
        <v>37892</v>
      </c>
      <c r="M5805" s="5" t="s">
        <v>37893</v>
      </c>
      <c r="N5805" s="7" t="s">
        <v>37894</v>
      </c>
      <c r="O5805" s="8" t="str">
        <f>HYPERLINK("https://drive.google.com/file/d/1RzGTPgSczD4ChJYUdcWtwKBMuB8N2K0O/view?usp=drivesdk","5804_RENI ANGRAINI,A.MD.KEP _ SERTIFIKAT BerAKHLAK")</f>
        <v>5804_RENI ANGRAINI,A.MD.KEP _ SERTIFIKAT BerAKHLAK</v>
      </c>
      <c r="P5805" s="5" t="s">
        <v>37887</v>
      </c>
    </row>
    <row r="5806">
      <c r="A5806" s="4">
        <v>45534.36332613426</v>
      </c>
      <c r="B5806" s="5" t="s">
        <v>34</v>
      </c>
      <c r="D5806" s="5" t="s">
        <v>1206</v>
      </c>
      <c r="E5806" s="5" t="s">
        <v>37895</v>
      </c>
      <c r="F5806" s="5" t="s">
        <v>72</v>
      </c>
      <c r="G5806" s="5" t="s">
        <v>37896</v>
      </c>
      <c r="H5806" s="6" t="s">
        <v>37897</v>
      </c>
      <c r="I5806" s="7" t="s">
        <v>37898</v>
      </c>
      <c r="J5806" s="8" t="str">
        <f>HYPERLINK("https://drive.google.com/file/d/1bdHwU0gsPlMKz9nNJT48QnucWI206Jqt/view?usp=drivesdk","SUSANTO, S.Kom. SERTIFIKAT BerAKHLAK")</f>
        <v>SUSANTO, S.Kom. SERTIFIKAT BerAKHLAK</v>
      </c>
      <c r="K5806" s="5" t="s">
        <v>37306</v>
      </c>
      <c r="L5806" s="5" t="s">
        <v>37899</v>
      </c>
      <c r="M5806" s="5" t="s">
        <v>37900</v>
      </c>
      <c r="N5806" s="7" t="s">
        <v>37901</v>
      </c>
      <c r="O5806" s="8" t="str">
        <f>HYPERLINK("https://drive.google.com/file/d/1IHZEe50My0h-q5zrNeIeE26icLwqqgyC/view?usp=drivesdk","5805_SUSANTO, S.Kom. _ SERTIFIKAT BerAKHLAK")</f>
        <v>5805_SUSANTO, S.Kom. _ SERTIFIKAT BerAKHLAK</v>
      </c>
      <c r="P5806" s="5" t="s">
        <v>37887</v>
      </c>
    </row>
    <row r="5807">
      <c r="A5807" s="4">
        <v>45534.36333939814</v>
      </c>
      <c r="B5807" s="5" t="s">
        <v>34</v>
      </c>
      <c r="D5807" s="5" t="s">
        <v>14313</v>
      </c>
      <c r="E5807" s="5" t="s">
        <v>37902</v>
      </c>
      <c r="F5807" s="5" t="s">
        <v>524</v>
      </c>
      <c r="G5807" s="5" t="s">
        <v>37903</v>
      </c>
      <c r="H5807" s="6" t="s">
        <v>37904</v>
      </c>
      <c r="I5807" s="7" t="s">
        <v>37905</v>
      </c>
      <c r="J5807" s="8" t="str">
        <f>HYPERLINK("https://drive.google.com/file/d/1_GlufRZ-yh2hcLQRzugpIswh_UFYgZRj/view?usp=drivesdk","ISMAYANTI IDRIS SERTIFIKAT BerAKHLAK")</f>
        <v>ISMAYANTI IDRIS SERTIFIKAT BerAKHLAK</v>
      </c>
      <c r="K5807" s="5" t="s">
        <v>37306</v>
      </c>
      <c r="L5807" s="5" t="s">
        <v>37906</v>
      </c>
      <c r="M5807" s="5" t="s">
        <v>37907</v>
      </c>
      <c r="N5807" s="7" t="s">
        <v>37908</v>
      </c>
      <c r="O5807" s="8" t="str">
        <f>HYPERLINK("https://drive.google.com/file/d/1VqbGuy4IFKrzFndtTG39UzLCcvMeHR3n/view?usp=drivesdk","5806_ISMAYANTI IDRIS _ SERTIFIKAT BerAKHLAK")</f>
        <v>5806_ISMAYANTI IDRIS _ SERTIFIKAT BerAKHLAK</v>
      </c>
      <c r="P5807" s="5" t="s">
        <v>37887</v>
      </c>
    </row>
    <row r="5808">
      <c r="A5808" s="4">
        <v>45534.36334173611</v>
      </c>
      <c r="B5808" s="5" t="s">
        <v>34</v>
      </c>
      <c r="D5808" s="5" t="s">
        <v>1206</v>
      </c>
      <c r="E5808" s="5" t="s">
        <v>37909</v>
      </c>
      <c r="F5808" s="5" t="s">
        <v>199</v>
      </c>
      <c r="G5808" s="5" t="s">
        <v>37910</v>
      </c>
      <c r="H5808" s="6" t="s">
        <v>37911</v>
      </c>
      <c r="I5808" s="7" t="s">
        <v>37912</v>
      </c>
      <c r="J5808" s="8" t="str">
        <f>HYPERLINK("https://drive.google.com/file/d/1Qe1s4ysoBK7JQUCGHd5an6HUyi3R3Quj/view?usp=drivesdk","FITRIYAH SERTIFIKAT BerAKHLAK")</f>
        <v>FITRIYAH SERTIFIKAT BerAKHLAK</v>
      </c>
      <c r="K5808" s="5" t="s">
        <v>37306</v>
      </c>
      <c r="L5808" s="5" t="s">
        <v>37913</v>
      </c>
      <c r="M5808" s="5" t="s">
        <v>37914</v>
      </c>
      <c r="N5808" s="7" t="s">
        <v>37915</v>
      </c>
      <c r="O5808" s="8" t="str">
        <f>HYPERLINK("https://drive.google.com/file/d/1v1DWqRH6KyPhvIJ4l9-psv9oKv1XA4do/view?usp=drivesdk","5807_FITRIYAH _ SERTIFIKAT BerAKHLAK")</f>
        <v>5807_FITRIYAH _ SERTIFIKAT BerAKHLAK</v>
      </c>
      <c r="P5808" s="5" t="s">
        <v>37916</v>
      </c>
    </row>
    <row r="5809">
      <c r="A5809" s="4">
        <v>45534.36334181713</v>
      </c>
      <c r="B5809" s="5" t="s">
        <v>34</v>
      </c>
      <c r="D5809" s="5" t="s">
        <v>701</v>
      </c>
      <c r="E5809" s="5" t="s">
        <v>37917</v>
      </c>
      <c r="F5809" s="5" t="s">
        <v>37</v>
      </c>
      <c r="G5809" s="5" t="s">
        <v>37918</v>
      </c>
      <c r="H5809" s="6" t="s">
        <v>37919</v>
      </c>
      <c r="I5809" s="7" t="s">
        <v>37920</v>
      </c>
      <c r="J5809" s="8" t="str">
        <f>HYPERLINK("https://drive.google.com/file/d/1bBHuSI0AzB4CrPGE5SUMgpLxlh41TZ_A/view?usp=drivesdk","APRIDAWESTI SERTIFIKAT BerAKHLAK")</f>
        <v>APRIDAWESTI SERTIFIKAT BerAKHLAK</v>
      </c>
      <c r="K5809" s="5" t="s">
        <v>37306</v>
      </c>
      <c r="L5809" s="5" t="s">
        <v>37921</v>
      </c>
      <c r="M5809" s="5" t="s">
        <v>37922</v>
      </c>
      <c r="N5809" s="7" t="s">
        <v>37923</v>
      </c>
      <c r="O5809" s="8" t="str">
        <f>HYPERLINK("https://drive.google.com/file/d/119Pc6Q7dgYdzsTZydUJKiNKmjaA6gpVE/view?usp=drivesdk","5808_APRIDAWESTI _ SERTIFIKAT BerAKHLAK")</f>
        <v>5808_APRIDAWESTI _ SERTIFIKAT BerAKHLAK</v>
      </c>
      <c r="P5809" s="5" t="s">
        <v>37916</v>
      </c>
    </row>
    <row r="5810">
      <c r="A5810" s="4">
        <v>45534.363357361115</v>
      </c>
      <c r="B5810" s="5" t="s">
        <v>34</v>
      </c>
      <c r="D5810" s="5" t="s">
        <v>522</v>
      </c>
      <c r="E5810" s="5" t="s">
        <v>37924</v>
      </c>
      <c r="F5810" s="5" t="s">
        <v>199</v>
      </c>
      <c r="G5810" s="5" t="s">
        <v>37925</v>
      </c>
      <c r="H5810" s="6" t="s">
        <v>37926</v>
      </c>
      <c r="I5810" s="7" t="s">
        <v>37927</v>
      </c>
      <c r="J5810" s="8" t="str">
        <f>HYPERLINK("https://drive.google.com/file/d/168i5OgXsUYh7ONLHMM5Cz8OXYtTWfIHY/view?usp=drivesdk","FITRIANA SERTIFIKAT BerAKHLAK")</f>
        <v>FITRIANA SERTIFIKAT BerAKHLAK</v>
      </c>
      <c r="K5810" s="5" t="s">
        <v>37841</v>
      </c>
      <c r="L5810" s="5" t="s">
        <v>37928</v>
      </c>
      <c r="M5810" s="5" t="s">
        <v>37929</v>
      </c>
      <c r="N5810" s="7" t="s">
        <v>37930</v>
      </c>
      <c r="O5810" s="8" t="str">
        <f>HYPERLINK("https://drive.google.com/file/d/1H3o0JecFyqD5oRN-JnaosU69LyyKeuDj/view?usp=drivesdk","5809_FITRIANA _ SERTIFIKAT BerAKHLAK")</f>
        <v>5809_FITRIANA _ SERTIFIKAT BerAKHLAK</v>
      </c>
      <c r="P5810" s="5" t="s">
        <v>37916</v>
      </c>
    </row>
    <row r="5811">
      <c r="A5811" s="4">
        <v>45534.363370335646</v>
      </c>
      <c r="B5811" s="5" t="s">
        <v>34</v>
      </c>
      <c r="D5811" s="5" t="s">
        <v>280</v>
      </c>
      <c r="E5811" s="5" t="s">
        <v>22920</v>
      </c>
      <c r="F5811" s="5" t="s">
        <v>212</v>
      </c>
      <c r="G5811" s="5" t="s">
        <v>37931</v>
      </c>
      <c r="H5811" s="6" t="s">
        <v>37932</v>
      </c>
      <c r="I5811" s="7" t="s">
        <v>37933</v>
      </c>
      <c r="J5811" s="8" t="str">
        <f>HYPERLINK("https://drive.google.com/file/d/170Pndw54M5emcKVJzIYQbMA2K-EcHT80/view?usp=drivesdk","INDRA DESMEN SERTIFIKAT BerAKHLAK")</f>
        <v>INDRA DESMEN SERTIFIKAT BerAKHLAK</v>
      </c>
      <c r="K5811" s="5" t="s">
        <v>37841</v>
      </c>
      <c r="L5811" s="5" t="s">
        <v>37934</v>
      </c>
      <c r="M5811" s="5" t="s">
        <v>37935</v>
      </c>
      <c r="N5811" s="7" t="s">
        <v>37936</v>
      </c>
      <c r="O5811" s="8" t="str">
        <f>HYPERLINK("https://drive.google.com/file/d/1VzZQ7bRpVdFZ_l1B8WjN81acCouoJFXe/view?usp=drivesdk","5810_INDRA DESMEN _ SERTIFIKAT BerAKHLAK")</f>
        <v>5810_INDRA DESMEN _ SERTIFIKAT BerAKHLAK</v>
      </c>
      <c r="P5811" s="5" t="s">
        <v>37916</v>
      </c>
    </row>
    <row r="5812">
      <c r="A5812" s="4">
        <v>45534.36337597222</v>
      </c>
      <c r="B5812" s="5" t="s">
        <v>34</v>
      </c>
      <c r="D5812" s="5" t="s">
        <v>4775</v>
      </c>
      <c r="E5812" s="5" t="s">
        <v>37937</v>
      </c>
      <c r="F5812" s="5" t="s">
        <v>72</v>
      </c>
      <c r="G5812" s="5" t="s">
        <v>37938</v>
      </c>
      <c r="H5812" s="6" t="s">
        <v>37939</v>
      </c>
      <c r="I5812" s="7" t="s">
        <v>37940</v>
      </c>
      <c r="J5812" s="8" t="str">
        <f>HYPERLINK("https://drive.google.com/file/d/1helbPJownnonadhytWefUjluOCRNlPWW/view?usp=drivesdk","EKAWATI PURNAMASARI,SKEP SERTIFIKAT BerAKHLAK")</f>
        <v>EKAWATI PURNAMASARI,SKEP SERTIFIKAT BerAKHLAK</v>
      </c>
      <c r="K5812" s="5" t="s">
        <v>37841</v>
      </c>
      <c r="L5812" s="5" t="s">
        <v>37941</v>
      </c>
      <c r="M5812" s="5" t="s">
        <v>37942</v>
      </c>
      <c r="N5812" s="7" t="s">
        <v>37943</v>
      </c>
      <c r="O5812" s="8" t="str">
        <f>HYPERLINK("https://drive.google.com/file/d/1e7iBl7xsQ-uKcChdGkL57khKhL2qlBph/view?usp=drivesdk","5811_EKAWATI PURNAMASARI,SKEP _ SERTIFIKAT BerAKHLAK")</f>
        <v>5811_EKAWATI PURNAMASARI,SKEP _ SERTIFIKAT BerAKHLAK</v>
      </c>
      <c r="P5812" s="5" t="s">
        <v>37916</v>
      </c>
    </row>
    <row r="5813">
      <c r="A5813" s="4">
        <v>45534.363380243056</v>
      </c>
      <c r="B5813" s="5" t="s">
        <v>34</v>
      </c>
      <c r="D5813" s="5" t="s">
        <v>4775</v>
      </c>
      <c r="E5813" s="5" t="s">
        <v>37944</v>
      </c>
      <c r="F5813" s="5" t="s">
        <v>37</v>
      </c>
      <c r="G5813" s="5" t="s">
        <v>37945</v>
      </c>
      <c r="H5813" s="6" t="s">
        <v>37946</v>
      </c>
      <c r="K5813" s="5" t="s">
        <v>37947</v>
      </c>
      <c r="M5813" s="5" t="s">
        <v>37948</v>
      </c>
      <c r="N5813" s="7" t="s">
        <v>37949</v>
      </c>
      <c r="O5813" s="8" t="str">
        <f>HYPERLINK("https://drive.google.com/file/d/1jNrBZaP875AnP-aL7OkKAjB5AOGMpHkj/view?usp=drivesdk","5812_ROHMA OVICHA SURYANA _ SERTIFIKAT BerAKHLAK")</f>
        <v>5812_ROHMA OVICHA SURYANA _ SERTIFIKAT BerAKHLAK</v>
      </c>
      <c r="P5813" s="5" t="s">
        <v>37950</v>
      </c>
    </row>
    <row r="5814">
      <c r="A5814" s="4">
        <v>45534.363383275464</v>
      </c>
      <c r="B5814" s="5" t="s">
        <v>34</v>
      </c>
      <c r="D5814" s="5" t="s">
        <v>1206</v>
      </c>
      <c r="E5814" s="5" t="s">
        <v>37951</v>
      </c>
      <c r="F5814" s="5" t="s">
        <v>72</v>
      </c>
      <c r="G5814" s="5" t="s">
        <v>37952</v>
      </c>
      <c r="H5814" s="6" t="s">
        <v>37953</v>
      </c>
      <c r="K5814" s="5" t="s">
        <v>37947</v>
      </c>
      <c r="M5814" s="5" t="s">
        <v>37954</v>
      </c>
      <c r="N5814" s="7" t="s">
        <v>37955</v>
      </c>
      <c r="O5814" s="8" t="str">
        <f>HYPERLINK("https://drive.google.com/file/d/1dX5htFUKYBznsb6FtvDVk7JLboSOM58J/view?usp=drivesdk","5813_dr. WIWIT SETYA RINI _ SERTIFIKAT BerAKHLAK")</f>
        <v>5813_dr. WIWIT SETYA RINI _ SERTIFIKAT BerAKHLAK</v>
      </c>
      <c r="P5814" s="5" t="s">
        <v>37950</v>
      </c>
    </row>
    <row r="5815">
      <c r="A5815" s="4">
        <v>45534.36338563658</v>
      </c>
      <c r="B5815" s="5" t="s">
        <v>34</v>
      </c>
      <c r="D5815" s="5" t="s">
        <v>1206</v>
      </c>
      <c r="E5815" s="5" t="s">
        <v>37956</v>
      </c>
      <c r="F5815" s="5" t="s">
        <v>375</v>
      </c>
      <c r="G5815" s="5" t="s">
        <v>37957</v>
      </c>
      <c r="H5815" s="6" t="s">
        <v>37958</v>
      </c>
      <c r="K5815" s="5" t="s">
        <v>37947</v>
      </c>
      <c r="M5815" s="5" t="s">
        <v>37959</v>
      </c>
      <c r="N5815" s="7" t="s">
        <v>37960</v>
      </c>
      <c r="O5815" s="8" t="str">
        <f>HYPERLINK("https://drive.google.com/file/d/1WGTioy5KA4s8uSETsACIJSW1-f4zdcu2/view?usp=drivesdk","5814_FAJAR KHOIRUL HIDAYAT, S.E. _ SERTIFIKAT BerAKHLAK")</f>
        <v>5814_FAJAR KHOIRUL HIDAYAT, S.E. _ SERTIFIKAT BerAKHLAK</v>
      </c>
      <c r="P5815" s="5" t="s">
        <v>37950</v>
      </c>
    </row>
    <row r="5816">
      <c r="A5816" s="4">
        <v>45534.3633978125</v>
      </c>
      <c r="B5816" s="5" t="s">
        <v>34</v>
      </c>
      <c r="D5816" s="5" t="s">
        <v>4775</v>
      </c>
      <c r="E5816" s="5" t="s">
        <v>37961</v>
      </c>
      <c r="F5816" s="5" t="s">
        <v>37</v>
      </c>
      <c r="G5816" s="5" t="s">
        <v>37962</v>
      </c>
      <c r="H5816" s="6" t="s">
        <v>37963</v>
      </c>
      <c r="I5816" s="7" t="s">
        <v>37964</v>
      </c>
      <c r="J5816" s="8" t="str">
        <f>HYPERLINK("https://drive.google.com/file/d/1AohEdQpCXpviWvzKHtv8q4QVYxv44-T-/view?usp=drivesdk","PRATIWI ANGGRAENI SERTIFIKAT BerAKHLAK")</f>
        <v>PRATIWI ANGGRAENI SERTIFIKAT BerAKHLAK</v>
      </c>
      <c r="K5816" s="5" t="s">
        <v>37306</v>
      </c>
      <c r="L5816" s="5" t="s">
        <v>37965</v>
      </c>
      <c r="M5816" s="5" t="s">
        <v>37966</v>
      </c>
      <c r="N5816" s="7" t="s">
        <v>37967</v>
      </c>
      <c r="O5816" s="8" t="str">
        <f>HYPERLINK("https://drive.google.com/file/d/1VlZzub6tzNpKYPI1t2qfdw96-toJ6Th-/view?usp=drivesdk","5815_PRATIWI ANGGRAENI _ SERTIFIKAT BerAKHLAK")</f>
        <v>5815_PRATIWI ANGGRAENI _ SERTIFIKAT BerAKHLAK</v>
      </c>
      <c r="P5816" s="5" t="s">
        <v>37950</v>
      </c>
    </row>
    <row r="5817">
      <c r="A5817" s="4">
        <v>45534.36340109954</v>
      </c>
      <c r="B5817" s="5" t="s">
        <v>34</v>
      </c>
      <c r="D5817" s="5" t="s">
        <v>1206</v>
      </c>
      <c r="E5817" s="5" t="s">
        <v>37968</v>
      </c>
      <c r="F5817" s="5" t="s">
        <v>212</v>
      </c>
      <c r="G5817" s="5" t="s">
        <v>37969</v>
      </c>
      <c r="H5817" s="6" t="s">
        <v>37970</v>
      </c>
      <c r="I5817" s="7" t="s">
        <v>37971</v>
      </c>
      <c r="J5817" s="8" t="str">
        <f>HYPERLINK("https://drive.google.com/file/d/1mlqGF1p4ImOBD0tf_tWOkenj70iWZN_K/view?usp=drivesdk","MARSINI SERTIFIKAT BerAKHLAK")</f>
        <v>MARSINI SERTIFIKAT BerAKHLAK</v>
      </c>
      <c r="K5817" s="5" t="s">
        <v>37306</v>
      </c>
      <c r="L5817" s="5" t="s">
        <v>37972</v>
      </c>
      <c r="M5817" s="5" t="s">
        <v>37973</v>
      </c>
      <c r="N5817" s="7" t="s">
        <v>37974</v>
      </c>
      <c r="O5817" s="8" t="str">
        <f>HYPERLINK("https://drive.google.com/file/d/1_wqM6DpcZFbViQLI8PrZ_SkdMYzoJ1jJ/view?usp=drivesdk","5816_MARSINI _ SERTIFIKAT BerAKHLAK")</f>
        <v>5816_MARSINI _ SERTIFIKAT BerAKHLAK</v>
      </c>
      <c r="P5817" s="5" t="s">
        <v>37975</v>
      </c>
    </row>
    <row r="5818">
      <c r="A5818" s="4">
        <v>45534.36342878472</v>
      </c>
      <c r="B5818" s="5" t="s">
        <v>34</v>
      </c>
      <c r="D5818" s="5" t="s">
        <v>2903</v>
      </c>
      <c r="E5818" s="5" t="s">
        <v>37976</v>
      </c>
      <c r="F5818" s="5" t="s">
        <v>524</v>
      </c>
      <c r="G5818" s="5" t="s">
        <v>37977</v>
      </c>
      <c r="H5818" s="6" t="s">
        <v>37978</v>
      </c>
      <c r="I5818" s="7" t="s">
        <v>37979</v>
      </c>
      <c r="J5818" s="8" t="str">
        <f>HYPERLINK("https://drive.google.com/file/d/1CHL5PQw7HnqsUFP9XLeP8tExa6eNCU8X/view?usp=drivesdk","GITA WAHYUNINGSIH PUTRI, S.Ak SERTIFIKAT BerAKHLAK")</f>
        <v>GITA WAHYUNINGSIH PUTRI, S.Ak SERTIFIKAT BerAKHLAK</v>
      </c>
      <c r="K5818" s="5" t="s">
        <v>37841</v>
      </c>
      <c r="L5818" s="5" t="s">
        <v>37980</v>
      </c>
      <c r="M5818" s="5" t="s">
        <v>37981</v>
      </c>
      <c r="N5818" s="7" t="s">
        <v>37982</v>
      </c>
      <c r="O5818" s="8" t="str">
        <f>HYPERLINK("https://drive.google.com/file/d/1vCeHgPsu3o09L01mZVGUGuMTeNVsaogF/view?usp=drivesdk","5817_GITA WAHYUNINGSIH PUTRI, S.Ak _ SERTIFIKAT BerAKHLAK")</f>
        <v>5817_GITA WAHYUNINGSIH PUTRI, S.Ak _ SERTIFIKAT BerAKHLAK</v>
      </c>
      <c r="P5818" s="5" t="s">
        <v>37975</v>
      </c>
    </row>
    <row r="5819">
      <c r="A5819" s="4">
        <v>45534.36343150463</v>
      </c>
      <c r="B5819" s="5" t="s">
        <v>34</v>
      </c>
      <c r="D5819" s="5" t="s">
        <v>701</v>
      </c>
      <c r="E5819" s="5" t="s">
        <v>37983</v>
      </c>
      <c r="F5819" s="5" t="s">
        <v>120</v>
      </c>
      <c r="G5819" s="5" t="s">
        <v>37984</v>
      </c>
      <c r="H5819" s="6" t="s">
        <v>37985</v>
      </c>
      <c r="I5819" s="7" t="s">
        <v>37986</v>
      </c>
      <c r="J5819" s="8" t="str">
        <f>HYPERLINK("https://drive.google.com/file/d/1sW67j7QdS0zQ7HdWjjNikqn8FuoXyHYN/view?usp=drivesdk","SURI KARMILA, S.Sos.M.M SERTIFIKAT BerAKHLAK")</f>
        <v>SURI KARMILA, S.Sos.M.M SERTIFIKAT BerAKHLAK</v>
      </c>
      <c r="K5819" s="5" t="s">
        <v>37841</v>
      </c>
      <c r="L5819" s="5" t="s">
        <v>37987</v>
      </c>
      <c r="M5819" s="5" t="s">
        <v>37988</v>
      </c>
      <c r="N5819" s="7" t="s">
        <v>37989</v>
      </c>
      <c r="O5819" s="8" t="str">
        <f>HYPERLINK("https://drive.google.com/file/d/1h-r6yXP0zwSeeFHNLGG8HDcN7GTd-CTt/view?usp=drivesdk","5818_SURI KARMILA, S.Sos.M.M _ SERTIFIKAT BerAKHLAK")</f>
        <v>5818_SURI KARMILA, S.Sos.M.M _ SERTIFIKAT BerAKHLAK</v>
      </c>
      <c r="P5819" s="5" t="s">
        <v>37975</v>
      </c>
    </row>
    <row r="5820">
      <c r="A5820" s="4">
        <v>45534.36343510417</v>
      </c>
      <c r="B5820" s="5" t="s">
        <v>34</v>
      </c>
      <c r="D5820" s="5" t="s">
        <v>6232</v>
      </c>
      <c r="E5820" s="5" t="s">
        <v>37990</v>
      </c>
      <c r="F5820" s="5" t="s">
        <v>37</v>
      </c>
      <c r="G5820" s="5" t="s">
        <v>37991</v>
      </c>
      <c r="H5820" s="6" t="s">
        <v>37992</v>
      </c>
      <c r="K5820" s="5" t="s">
        <v>37993</v>
      </c>
      <c r="M5820" s="5" t="s">
        <v>37994</v>
      </c>
      <c r="N5820" s="7" t="s">
        <v>37995</v>
      </c>
      <c r="O5820" s="8" t="str">
        <f>HYPERLINK("https://drive.google.com/file/d/124F7umxImjgno3vNpt5KYOSbuDslHEMt/view?usp=drivesdk","5819_SAFRIJAL ARDIANTO _ SERTIFIKAT BerAKHLAK")</f>
        <v>5819_SAFRIJAL ARDIANTO _ SERTIFIKAT BerAKHLAK</v>
      </c>
      <c r="P5820" s="5" t="s">
        <v>37975</v>
      </c>
    </row>
    <row r="5821">
      <c r="A5821" s="4">
        <v>45534.36343543982</v>
      </c>
      <c r="B5821" s="5" t="s">
        <v>34</v>
      </c>
      <c r="D5821" s="5" t="s">
        <v>4775</v>
      </c>
      <c r="E5821" s="5" t="s">
        <v>37996</v>
      </c>
      <c r="F5821" s="5" t="s">
        <v>524</v>
      </c>
      <c r="G5821" s="5" t="s">
        <v>37997</v>
      </c>
      <c r="H5821" s="6" t="s">
        <v>37998</v>
      </c>
      <c r="K5821" s="5" t="s">
        <v>37993</v>
      </c>
      <c r="M5821" s="5" t="s">
        <v>37999</v>
      </c>
      <c r="N5821" s="7" t="s">
        <v>38000</v>
      </c>
      <c r="O5821" s="8" t="str">
        <f>HYPERLINK("https://drive.google.com/file/d/18qAl-ex5d3wnu25w3MYFBUG1M6dke2zu/view?usp=drivesdk","5820_NURJATI PANGESTUTI, S.Kep _ SERTIFIKAT BerAKHLAK")</f>
        <v>5820_NURJATI PANGESTUTI, S.Kep _ SERTIFIKAT BerAKHLAK</v>
      </c>
      <c r="P5821" s="5" t="s">
        <v>38001</v>
      </c>
    </row>
    <row r="5822">
      <c r="A5822" s="4">
        <v>45534.363447916665</v>
      </c>
      <c r="B5822" s="5" t="s">
        <v>34</v>
      </c>
      <c r="D5822" s="5" t="s">
        <v>267</v>
      </c>
      <c r="E5822" s="5" t="s">
        <v>38002</v>
      </c>
      <c r="F5822" s="5" t="s">
        <v>72</v>
      </c>
      <c r="G5822" s="5" t="s">
        <v>38003</v>
      </c>
      <c r="H5822" s="6" t="s">
        <v>38004</v>
      </c>
      <c r="K5822" s="5" t="s">
        <v>37993</v>
      </c>
      <c r="M5822" s="5" t="s">
        <v>38005</v>
      </c>
      <c r="N5822" s="7" t="s">
        <v>38006</v>
      </c>
      <c r="O5822" s="8" t="str">
        <f>HYPERLINK("https://drive.google.com/file/d/14upiHYMAbkn4Mo6mraEXhnSnZKdcWTvU/view?usp=drivesdk","5821_NURYWNTI _ SERTIFIKAT BerAKHLAK")</f>
        <v>5821_NURYWNTI _ SERTIFIKAT BerAKHLAK</v>
      </c>
      <c r="P5822" s="5" t="s">
        <v>38001</v>
      </c>
    </row>
    <row r="5823">
      <c r="A5823" s="4">
        <v>45534.36345974537</v>
      </c>
      <c r="B5823" s="5" t="s">
        <v>34</v>
      </c>
      <c r="D5823" s="5" t="s">
        <v>9020</v>
      </c>
      <c r="E5823" s="5" t="s">
        <v>38007</v>
      </c>
      <c r="F5823" s="5" t="s">
        <v>37</v>
      </c>
      <c r="G5823" s="5" t="s">
        <v>38008</v>
      </c>
      <c r="H5823" s="6" t="s">
        <v>38009</v>
      </c>
      <c r="I5823" s="7" t="s">
        <v>38010</v>
      </c>
      <c r="J5823" s="8" t="str">
        <f>HYPERLINK("https://drive.google.com/file/d/1d_5AWAvHC1YOT_Gy87wcyJW-BxC6oS8J/view?usp=drivesdk","RAMLAN SARAGIH  SERTIFIKAT BerAKHLAK")</f>
        <v>RAMLAN SARAGIH  SERTIFIKAT BerAKHLAK</v>
      </c>
      <c r="K5823" s="5" t="s">
        <v>37306</v>
      </c>
      <c r="L5823" s="5" t="s">
        <v>38011</v>
      </c>
      <c r="M5823" s="5" t="s">
        <v>38012</v>
      </c>
      <c r="N5823" s="7" t="s">
        <v>38013</v>
      </c>
      <c r="O5823" s="8" t="str">
        <f>HYPERLINK("https://drive.google.com/file/d/1ueItfC6t3pInDdV0q5us03yiSyBTC3WK/view?usp=drivesdk","5822_RAMLAN SARAGIH  _ SERTIFIKAT BerAKHLAK")</f>
        <v>5822_RAMLAN SARAGIH  _ SERTIFIKAT BerAKHLAK</v>
      </c>
      <c r="P5823" s="5" t="s">
        <v>38001</v>
      </c>
    </row>
    <row r="5824">
      <c r="A5824" s="4">
        <v>45534.36346127315</v>
      </c>
      <c r="B5824" s="5" t="s">
        <v>34</v>
      </c>
      <c r="D5824" s="5" t="s">
        <v>1206</v>
      </c>
      <c r="E5824" s="5" t="s">
        <v>38014</v>
      </c>
      <c r="F5824" s="5" t="s">
        <v>212</v>
      </c>
      <c r="G5824" s="5" t="s">
        <v>38015</v>
      </c>
      <c r="H5824" s="6" t="s">
        <v>38016</v>
      </c>
      <c r="I5824" s="7" t="s">
        <v>38017</v>
      </c>
      <c r="J5824" s="8" t="str">
        <f>HYPERLINK("https://drive.google.com/file/d/1ZREKl2Bh823NFZXR2gnLLCZL3g4lK8iI/view?usp=drivesdk","Titik Sri Handayani  SERTIFIKAT BerAKHLAK")</f>
        <v>Titik Sri Handayani  SERTIFIKAT BerAKHLAK</v>
      </c>
      <c r="K5824" s="5" t="s">
        <v>37841</v>
      </c>
      <c r="L5824" s="5" t="s">
        <v>38018</v>
      </c>
      <c r="M5824" s="5" t="s">
        <v>38019</v>
      </c>
      <c r="N5824" s="7" t="s">
        <v>38020</v>
      </c>
      <c r="O5824" s="8" t="str">
        <f>HYPERLINK("https://drive.google.com/file/d/18uWM_XhFyrfe9Vhu2MtLtPCmDW4tzRSl/view?usp=drivesdk","5823_Titik Sri Handayani  _ SERTIFIKAT BerAKHLAK")</f>
        <v>5823_Titik Sri Handayani  _ SERTIFIKAT BerAKHLAK</v>
      </c>
      <c r="P5824" s="5" t="s">
        <v>38001</v>
      </c>
    </row>
    <row r="5825">
      <c r="A5825" s="4">
        <v>45534.36347150463</v>
      </c>
      <c r="B5825" s="5" t="s">
        <v>34</v>
      </c>
      <c r="D5825" s="5" t="s">
        <v>701</v>
      </c>
      <c r="E5825" s="5" t="s">
        <v>38021</v>
      </c>
      <c r="F5825" s="5" t="s">
        <v>212</v>
      </c>
      <c r="G5825" s="5" t="s">
        <v>38022</v>
      </c>
      <c r="H5825" s="6" t="s">
        <v>38023</v>
      </c>
      <c r="I5825" s="7" t="s">
        <v>38024</v>
      </c>
      <c r="J5825" s="8" t="str">
        <f>HYPERLINK("https://drive.google.com/file/d/1QDECDgRmI0yYGySfuOYFb1oTyPAmLeQu/view?usp=drivesdk","DEVI YUNITA ASTUTI Amd.Kep SERTIFIKAT BerAKHLAK")</f>
        <v>DEVI YUNITA ASTUTI Amd.Kep SERTIFIKAT BerAKHLAK</v>
      </c>
      <c r="K5825" s="5" t="s">
        <v>37841</v>
      </c>
      <c r="L5825" s="5" t="s">
        <v>38025</v>
      </c>
      <c r="M5825" s="5" t="s">
        <v>38026</v>
      </c>
      <c r="N5825" s="7" t="s">
        <v>38027</v>
      </c>
      <c r="O5825" s="8" t="str">
        <f>HYPERLINK("https://drive.google.com/file/d/1-bsppkRLV2Qk1_2qYenX8FTAWo_7TGcO/view?usp=drivesdk","5824_DEVI YUNITA ASTUTI Amd.Kep _ SERTIFIKAT BerAKHLAK")</f>
        <v>5824_DEVI YUNITA ASTUTI Amd.Kep _ SERTIFIKAT BerAKHLAK</v>
      </c>
      <c r="P5825" s="5" t="s">
        <v>38028</v>
      </c>
    </row>
    <row r="5826">
      <c r="A5826" s="4">
        <v>45534.36347170139</v>
      </c>
      <c r="B5826" s="5" t="s">
        <v>34</v>
      </c>
      <c r="D5826" s="5" t="s">
        <v>4775</v>
      </c>
      <c r="E5826" s="5" t="s">
        <v>38029</v>
      </c>
      <c r="F5826" s="5" t="s">
        <v>120</v>
      </c>
      <c r="G5826" s="5" t="s">
        <v>38030</v>
      </c>
      <c r="H5826" s="6" t="s">
        <v>38031</v>
      </c>
      <c r="I5826" s="7" t="s">
        <v>38032</v>
      </c>
      <c r="J5826" s="8" t="str">
        <f>HYPERLINK("https://drive.google.com/file/d/1fqRddJfl6mEwHe-ms7mP0E6sSGVCiKue/view?usp=drivesdk","SRI RUKIYATI, S.E., M.M. SERTIFIKAT BerAKHLAK")</f>
        <v>SRI RUKIYATI, S.E., M.M. SERTIFIKAT BerAKHLAK</v>
      </c>
      <c r="K5826" s="5" t="s">
        <v>37841</v>
      </c>
      <c r="L5826" s="5" t="s">
        <v>38033</v>
      </c>
      <c r="M5826" s="5" t="s">
        <v>38034</v>
      </c>
      <c r="N5826" s="7" t="s">
        <v>38035</v>
      </c>
      <c r="O5826" s="8" t="str">
        <f>HYPERLINK("https://drive.google.com/file/d/1_bEyjgagNtybwG8rLoWa7DeCak94Y4xI/view?usp=drivesdk","5825_SRI RUKIYATI, S.E., M.M. _ SERTIFIKAT BerAKHLAK")</f>
        <v>5825_SRI RUKIYATI, S.E., M.M. _ SERTIFIKAT BerAKHLAK</v>
      </c>
      <c r="P5826" s="5" t="s">
        <v>38036</v>
      </c>
    </row>
    <row r="5827">
      <c r="A5827" s="4">
        <v>45534.3634855787</v>
      </c>
      <c r="B5827" s="5" t="s">
        <v>34</v>
      </c>
      <c r="D5827" s="5" t="s">
        <v>6232</v>
      </c>
      <c r="E5827" s="5" t="s">
        <v>38037</v>
      </c>
      <c r="F5827" s="5" t="s">
        <v>108</v>
      </c>
      <c r="G5827" s="5" t="s">
        <v>38038</v>
      </c>
      <c r="H5827" s="6" t="s">
        <v>38039</v>
      </c>
      <c r="I5827" s="7" t="s">
        <v>38040</v>
      </c>
      <c r="J5827" s="8" t="str">
        <f>HYPERLINK("https://drive.google.com/file/d/11eC2B3fKk5oZPro9O3deC54rbJAbPdpd/view?usp=drivesdk","NS. YUNITA SAFITRI.S.KEP SERTIFIKAT BerAKHLAK")</f>
        <v>NS. YUNITA SAFITRI.S.KEP SERTIFIKAT BerAKHLAK</v>
      </c>
      <c r="K5827" s="5" t="s">
        <v>37841</v>
      </c>
      <c r="L5827" s="5" t="s">
        <v>38041</v>
      </c>
      <c r="M5827" s="5" t="s">
        <v>38042</v>
      </c>
      <c r="N5827" s="7" t="s">
        <v>38043</v>
      </c>
      <c r="O5827" s="8" t="str">
        <f>HYPERLINK("https://drive.google.com/file/d/1tJ7I-Eis3kOYUbxDnoJ0N_7toJh2Ec_F/view?usp=drivesdk","5826_NS. YUNITA SAFITRI.S.KEP _ SERTIFIKAT BerAKHLAK")</f>
        <v>5826_NS. YUNITA SAFITRI.S.KEP _ SERTIFIKAT BerAKHLAK</v>
      </c>
      <c r="P5827" s="5" t="s">
        <v>38036</v>
      </c>
    </row>
    <row r="5828">
      <c r="A5828" s="4">
        <v>45534.36349150463</v>
      </c>
      <c r="B5828" s="5" t="s">
        <v>34</v>
      </c>
      <c r="D5828" s="5" t="s">
        <v>280</v>
      </c>
      <c r="E5828" s="5" t="s">
        <v>38044</v>
      </c>
      <c r="F5828" s="5" t="s">
        <v>72</v>
      </c>
      <c r="G5828" s="5" t="s">
        <v>38045</v>
      </c>
      <c r="H5828" s="6" t="s">
        <v>38046</v>
      </c>
      <c r="I5828" s="7" t="s">
        <v>38047</v>
      </c>
      <c r="J5828" s="8" t="str">
        <f>HYPERLINK("https://drive.google.com/file/d/1uR8sdFGtpeR-HNUabwFV8AlhLj8iEH-y/view?usp=drivesdk","LAILY SOFIA, S. Kep SERTIFIKAT BerAKHLAK")</f>
        <v>LAILY SOFIA, S. Kep SERTIFIKAT BerAKHLAK</v>
      </c>
      <c r="K5828" s="5" t="s">
        <v>37841</v>
      </c>
      <c r="L5828" s="5" t="s">
        <v>38048</v>
      </c>
      <c r="M5828" s="5" t="s">
        <v>38049</v>
      </c>
      <c r="N5828" s="7" t="s">
        <v>38050</v>
      </c>
      <c r="O5828" s="8" t="str">
        <f>HYPERLINK("https://drive.google.com/file/d/1rXn2l4zqPPp9FmQmBO9BQyIA9mXsEvRr/view?usp=drivesdk","5827_LAILY SOFIA, S. Kep _ SERTIFIKAT BerAKHLAK")</f>
        <v>5827_LAILY SOFIA, S. Kep _ SERTIFIKAT BerAKHLAK</v>
      </c>
      <c r="P5828" s="5" t="s">
        <v>38036</v>
      </c>
    </row>
    <row r="5829">
      <c r="A5829" s="4">
        <v>45534.36349560185</v>
      </c>
      <c r="B5829" s="5" t="s">
        <v>34</v>
      </c>
      <c r="D5829" s="5" t="s">
        <v>701</v>
      </c>
      <c r="E5829" s="5" t="s">
        <v>38051</v>
      </c>
      <c r="F5829" s="5" t="s">
        <v>120</v>
      </c>
      <c r="G5829" s="5" t="s">
        <v>38052</v>
      </c>
      <c r="H5829" s="6" t="s">
        <v>38053</v>
      </c>
      <c r="K5829" s="5" t="s">
        <v>38054</v>
      </c>
      <c r="M5829" s="5" t="s">
        <v>38055</v>
      </c>
      <c r="N5829" s="7" t="s">
        <v>38056</v>
      </c>
      <c r="O5829" s="8" t="str">
        <f>HYPERLINK("https://drive.google.com/file/d/1Slv-hWaFTJzTD3GYBFMc7oLe1zl93XAO/view?usp=drivesdk","5828_MARDI NURMAL, S.E., M.M. _ SERTIFIKAT BerAKHLAK")</f>
        <v>5828_MARDI NURMAL, S.E., M.M. _ SERTIFIKAT BerAKHLAK</v>
      </c>
      <c r="P5829" s="5" t="s">
        <v>38057</v>
      </c>
    </row>
    <row r="5830">
      <c r="A5830" s="4">
        <v>45534.36349614583</v>
      </c>
      <c r="B5830" s="5" t="s">
        <v>34</v>
      </c>
      <c r="D5830" s="5" t="s">
        <v>1206</v>
      </c>
      <c r="E5830" s="5" t="s">
        <v>38058</v>
      </c>
      <c r="F5830" s="5" t="s">
        <v>212</v>
      </c>
      <c r="G5830" s="5" t="s">
        <v>38059</v>
      </c>
      <c r="H5830" s="6" t="s">
        <v>38060</v>
      </c>
      <c r="K5830" s="5" t="s">
        <v>38054</v>
      </c>
      <c r="M5830" s="5" t="s">
        <v>38061</v>
      </c>
      <c r="N5830" s="7" t="s">
        <v>38062</v>
      </c>
      <c r="O5830" s="8" t="str">
        <f>HYPERLINK("https://drive.google.com/file/d/1IDYEEIh08BPJvdY8467t9Yn9Zj5h8Kr8/view?usp=drivesdk","5829_NINIK HERIN KUSTANTI _ SERTIFIKAT BerAKHLAK")</f>
        <v>5829_NINIK HERIN KUSTANTI _ SERTIFIKAT BerAKHLAK</v>
      </c>
      <c r="P5830" s="5" t="s">
        <v>38057</v>
      </c>
    </row>
    <row r="5831" hidden="1">
      <c r="A5831" s="4">
        <v>45534.36351403935</v>
      </c>
      <c r="B5831" s="5" t="s">
        <v>19</v>
      </c>
      <c r="C5831" s="5" t="s">
        <v>292</v>
      </c>
      <c r="E5831" s="5" t="s">
        <v>38063</v>
      </c>
      <c r="F5831" s="5" t="s">
        <v>37</v>
      </c>
      <c r="G5831" s="5" t="s">
        <v>38064</v>
      </c>
      <c r="H5831" s="6" t="s">
        <v>38065</v>
      </c>
      <c r="I5831" s="7" t="s">
        <v>38066</v>
      </c>
      <c r="J5831" s="8" t="str">
        <f>HYPERLINK("https://drive.google.com/file/d/19fJBby0IbS_A102pCLU2mxmez_wZa5yP/view?usp=drivesdk","SARAH RIZKI NURHANIFA, A.Md.Gz SERTIFIKAT BerAKHLAK")</f>
        <v>SARAH RIZKI NURHANIFA, A.Md.Gz SERTIFIKAT BerAKHLAK</v>
      </c>
      <c r="K5831" s="5" t="s">
        <v>37306</v>
      </c>
      <c r="L5831" s="5" t="s">
        <v>38067</v>
      </c>
      <c r="M5831" s="5" t="s">
        <v>38068</v>
      </c>
      <c r="N5831" s="7" t="s">
        <v>38069</v>
      </c>
      <c r="O5831" s="8" t="str">
        <f>HYPERLINK("https://drive.google.com/file/d/1fg7aDJxsqd7E_pTIzDNnSvh-0ehcEEzi/view?usp=drivesdk","5830_SARAH RIZKI NURHANIFA, A.Md.Gz _ SERTIFIKAT BerAKHLAK")</f>
        <v>5830_SARAH RIZKI NURHANIFA, A.Md.Gz _ SERTIFIKAT BerAKHLAK</v>
      </c>
      <c r="P5831" s="5" t="s">
        <v>38057</v>
      </c>
    </row>
    <row r="5832">
      <c r="A5832" s="4">
        <v>45534.363520914354</v>
      </c>
      <c r="B5832" s="5" t="s">
        <v>34</v>
      </c>
      <c r="D5832" s="5" t="s">
        <v>14424</v>
      </c>
      <c r="E5832" s="5" t="s">
        <v>38070</v>
      </c>
      <c r="F5832" s="5" t="s">
        <v>108</v>
      </c>
      <c r="G5832" s="5" t="s">
        <v>38071</v>
      </c>
      <c r="H5832" s="6" t="s">
        <v>38072</v>
      </c>
      <c r="I5832" s="7" t="s">
        <v>38073</v>
      </c>
      <c r="J5832" s="8" t="str">
        <f>HYPERLINK("https://drive.google.com/file/d/1kwC0n1vQ3Xf5QIKs-8psxy5SL9ER2c-m/view?usp=drivesdk","ERNIZAR SINAGA AMK SERTIFIKAT BerAKHLAK")</f>
        <v>ERNIZAR SINAGA AMK SERTIFIKAT BerAKHLAK</v>
      </c>
      <c r="K5832" s="5" t="s">
        <v>37306</v>
      </c>
      <c r="L5832" s="5" t="s">
        <v>38074</v>
      </c>
      <c r="M5832" s="5" t="s">
        <v>38075</v>
      </c>
      <c r="N5832" s="7" t="s">
        <v>38076</v>
      </c>
      <c r="O5832" s="8" t="str">
        <f>HYPERLINK("https://drive.google.com/file/d/1TOR-jL3YD7m2aizwTaTxh5iYJOSr_QAT/view?usp=drivesdk","5831_ERNIZAR SINAGA AMK _ SERTIFIKAT BerAKHLAK")</f>
        <v>5831_ERNIZAR SINAGA AMK _ SERTIFIKAT BerAKHLAK</v>
      </c>
      <c r="P5832" s="5" t="s">
        <v>38057</v>
      </c>
    </row>
    <row r="5833">
      <c r="A5833" s="4">
        <v>45534.36352753472</v>
      </c>
      <c r="B5833" s="5" t="s">
        <v>34</v>
      </c>
      <c r="D5833" s="5" t="s">
        <v>3849</v>
      </c>
      <c r="E5833" s="5" t="s">
        <v>38077</v>
      </c>
      <c r="F5833" s="5" t="s">
        <v>72</v>
      </c>
      <c r="G5833" s="5" t="s">
        <v>38078</v>
      </c>
      <c r="H5833" s="6" t="s">
        <v>38079</v>
      </c>
      <c r="I5833" s="7" t="s">
        <v>38080</v>
      </c>
      <c r="J5833" s="8" t="str">
        <f>HYPERLINK("https://drive.google.com/file/d/1uwtyn5oEp9WWX2-7rMa5QYBSguZxrN8j/view?usp=drivesdk","Diny Argesti.Amk SERTIFIKAT BerAKHLAK")</f>
        <v>Diny Argesti.Amk SERTIFIKAT BerAKHLAK</v>
      </c>
      <c r="K5833" s="5" t="s">
        <v>37841</v>
      </c>
      <c r="L5833" s="5" t="s">
        <v>38081</v>
      </c>
      <c r="M5833" s="5" t="s">
        <v>38082</v>
      </c>
      <c r="N5833" s="7" t="s">
        <v>38083</v>
      </c>
      <c r="O5833" s="8" t="str">
        <f>HYPERLINK("https://drive.google.com/file/d/1VMOSKwH2iQwbJ5tbw_hI1MvGIr4ew1WN/view?usp=drivesdk","5832_Diny Argesti.Amk _ SERTIFIKAT BerAKHLAK")</f>
        <v>5832_Diny Argesti.Amk _ SERTIFIKAT BerAKHLAK</v>
      </c>
      <c r="P5833" s="5" t="s">
        <v>38057</v>
      </c>
    </row>
    <row r="5834">
      <c r="A5834" s="4">
        <v>45534.363552152776</v>
      </c>
      <c r="B5834" s="5" t="s">
        <v>34</v>
      </c>
      <c r="D5834" s="5" t="s">
        <v>10444</v>
      </c>
      <c r="E5834" s="5" t="s">
        <v>17400</v>
      </c>
      <c r="F5834" s="5" t="s">
        <v>37</v>
      </c>
      <c r="G5834" s="5" t="s">
        <v>38084</v>
      </c>
      <c r="H5834" s="6" t="s">
        <v>38085</v>
      </c>
      <c r="I5834" s="7" t="s">
        <v>38086</v>
      </c>
      <c r="J5834" s="8" t="str">
        <f>HYPERLINK("https://drive.google.com/file/d/1yrgKXtjgxHchFVbvLNVPaKNYY2p3RTV9/view?usp=drivesdk","RIDUANSYAH SERTIFIKAT BerAKHLAK")</f>
        <v>RIDUANSYAH SERTIFIKAT BerAKHLAK</v>
      </c>
      <c r="K5834" s="5" t="s">
        <v>37841</v>
      </c>
      <c r="L5834" s="5" t="s">
        <v>38087</v>
      </c>
      <c r="M5834" s="5" t="s">
        <v>38088</v>
      </c>
      <c r="N5834" s="7" t="s">
        <v>38089</v>
      </c>
      <c r="O5834" s="8" t="str">
        <f>HYPERLINK("https://drive.google.com/file/d/1MF5bNkBHlxmDJz3zjBbxhrb2_V7KfM6Y/view?usp=drivesdk","5833_RIDUANSYAH _ SERTIFIKAT BerAKHLAK")</f>
        <v>5833_RIDUANSYAH _ SERTIFIKAT BerAKHLAK</v>
      </c>
      <c r="P5834" s="5" t="s">
        <v>38090</v>
      </c>
    </row>
    <row r="5835">
      <c r="A5835" s="4">
        <v>45534.36356082176</v>
      </c>
      <c r="B5835" s="5" t="s">
        <v>34</v>
      </c>
      <c r="D5835" s="5" t="s">
        <v>15401</v>
      </c>
      <c r="E5835" s="5" t="s">
        <v>38091</v>
      </c>
      <c r="F5835" s="5" t="s">
        <v>375</v>
      </c>
      <c r="G5835" s="5" t="s">
        <v>38092</v>
      </c>
      <c r="H5835" s="6" t="s">
        <v>38093</v>
      </c>
      <c r="K5835" s="5" t="s">
        <v>38094</v>
      </c>
      <c r="M5835" s="5" t="s">
        <v>38095</v>
      </c>
      <c r="N5835" s="7" t="s">
        <v>38096</v>
      </c>
      <c r="O5835" s="8" t="str">
        <f>HYPERLINK("https://drive.google.com/file/d/1Zw4husHQfPgRBlKIfmd5pI2uyO1LbiUR/view?usp=drivesdk","5834_Mariana Muslimin SE _ SERTIFIKAT BerAKHLAK")</f>
        <v>5834_Mariana Muslimin SE _ SERTIFIKAT BerAKHLAK</v>
      </c>
      <c r="P5835" s="5" t="s">
        <v>38090</v>
      </c>
    </row>
    <row r="5836">
      <c r="A5836" s="4">
        <v>45534.363561666665</v>
      </c>
      <c r="B5836" s="5" t="s">
        <v>34</v>
      </c>
      <c r="D5836" s="5" t="s">
        <v>9020</v>
      </c>
      <c r="E5836" s="5" t="s">
        <v>38097</v>
      </c>
      <c r="F5836" s="5" t="s">
        <v>375</v>
      </c>
      <c r="G5836" s="5" t="s">
        <v>38098</v>
      </c>
      <c r="H5836" s="6" t="s">
        <v>38099</v>
      </c>
      <c r="K5836" s="5" t="s">
        <v>38094</v>
      </c>
      <c r="M5836" s="5" t="s">
        <v>38100</v>
      </c>
      <c r="N5836" s="7" t="s">
        <v>38101</v>
      </c>
      <c r="O5836" s="8" t="str">
        <f>HYPERLINK("https://drive.google.com/file/d/1tdNErXjQGc1nFFOCGgnTNX71HLNf6K8h/view?usp=drivesdk","5835_MARDIAH, S.E. _ SERTIFIKAT BerAKHLAK")</f>
        <v>5835_MARDIAH, S.E. _ SERTIFIKAT BerAKHLAK</v>
      </c>
      <c r="P5836" s="5" t="s">
        <v>38090</v>
      </c>
    </row>
    <row r="5837">
      <c r="A5837" s="4">
        <v>45534.363564583335</v>
      </c>
      <c r="B5837" s="5" t="s">
        <v>34</v>
      </c>
      <c r="D5837" s="5" t="s">
        <v>12010</v>
      </c>
      <c r="E5837" s="5" t="s">
        <v>38102</v>
      </c>
      <c r="F5837" s="5" t="s">
        <v>37</v>
      </c>
      <c r="G5837" s="5" t="s">
        <v>38103</v>
      </c>
      <c r="H5837" s="6" t="s">
        <v>38104</v>
      </c>
      <c r="I5837" s="7" t="s">
        <v>38105</v>
      </c>
      <c r="J5837" s="8" t="str">
        <f>HYPERLINK("https://drive.google.com/file/d/1myGCJ5PhRdYX5MYmeNeO1ZwmA4LWpdft/view?usp=drivesdk","FANI SUMANTA SERTIFIKAT BerAKHLAK")</f>
        <v>FANI SUMANTA SERTIFIKAT BerAKHLAK</v>
      </c>
      <c r="K5837" s="5" t="s">
        <v>37306</v>
      </c>
      <c r="L5837" s="5" t="s">
        <v>38106</v>
      </c>
      <c r="M5837" s="5" t="s">
        <v>38107</v>
      </c>
      <c r="N5837" s="7" t="s">
        <v>38108</v>
      </c>
      <c r="O5837" s="8" t="str">
        <f>HYPERLINK("https://drive.google.com/file/d/1wW_ipfHBEkp66O80nB3SfDWeSRMmn_Bj/view?usp=drivesdk","5836_FANI SUMANTA _ SERTIFIKAT BerAKHLAK")</f>
        <v>5836_FANI SUMANTA _ SERTIFIKAT BerAKHLAK</v>
      </c>
      <c r="P5837" s="5" t="s">
        <v>38090</v>
      </c>
    </row>
    <row r="5838">
      <c r="A5838" s="4">
        <v>45534.36356604166</v>
      </c>
      <c r="B5838" s="5" t="s">
        <v>34</v>
      </c>
      <c r="D5838" s="5" t="s">
        <v>14313</v>
      </c>
      <c r="E5838" s="5" t="s">
        <v>16572</v>
      </c>
      <c r="F5838" s="5" t="s">
        <v>37</v>
      </c>
      <c r="G5838" s="5" t="s">
        <v>38109</v>
      </c>
      <c r="H5838" s="6" t="s">
        <v>38110</v>
      </c>
      <c r="I5838" s="7" t="s">
        <v>38111</v>
      </c>
      <c r="J5838" s="8" t="str">
        <f>HYPERLINK("https://drive.google.com/file/d/1DTrXIFS7Z5Ahhe0HIJcLXlHaF9Vuo9aM/view?usp=drivesdk","RAHMAWATI SERTIFIKAT BerAKHLAK")</f>
        <v>RAHMAWATI SERTIFIKAT BerAKHLAK</v>
      </c>
      <c r="K5838" s="5" t="s">
        <v>37841</v>
      </c>
      <c r="L5838" s="5" t="s">
        <v>38112</v>
      </c>
      <c r="M5838" s="5" t="s">
        <v>38113</v>
      </c>
      <c r="N5838" s="7" t="s">
        <v>38114</v>
      </c>
      <c r="O5838" s="8" t="str">
        <f>HYPERLINK("https://drive.google.com/file/d/1vmDYrVo1oh-fjyiiDjfgVLecrD128Tml/view?usp=drivesdk","5837_RAHMAWATI _ SERTIFIKAT BerAKHLAK")</f>
        <v>5837_RAHMAWATI _ SERTIFIKAT BerAKHLAK</v>
      </c>
      <c r="P5838" s="5" t="s">
        <v>38115</v>
      </c>
    </row>
    <row r="5839">
      <c r="A5839" s="4">
        <v>45534.36357204861</v>
      </c>
      <c r="B5839" s="5" t="s">
        <v>34</v>
      </c>
      <c r="D5839" s="5" t="s">
        <v>4775</v>
      </c>
      <c r="E5839" s="5" t="s">
        <v>38116</v>
      </c>
      <c r="F5839" s="5" t="s">
        <v>375</v>
      </c>
      <c r="G5839" s="5" t="s">
        <v>38117</v>
      </c>
      <c r="H5839" s="6" t="s">
        <v>38118</v>
      </c>
      <c r="I5839" s="7" t="s">
        <v>38119</v>
      </c>
      <c r="J5839" s="8" t="str">
        <f>HYPERLINK("https://drive.google.com/file/d/1ozy7Lv7AQW7AbfhP_riN9rtHVmIn_S1f/view?usp=drivesdk","RR TITIK ISMURWANI SERTIFIKAT BerAKHLAK")</f>
        <v>RR TITIK ISMURWANI SERTIFIKAT BerAKHLAK</v>
      </c>
      <c r="K5839" s="5" t="s">
        <v>37841</v>
      </c>
      <c r="L5839" s="5" t="s">
        <v>38120</v>
      </c>
      <c r="M5839" s="5" t="s">
        <v>38121</v>
      </c>
      <c r="N5839" s="7" t="s">
        <v>38122</v>
      </c>
      <c r="O5839" s="8" t="str">
        <f>HYPERLINK("https://drive.google.com/file/d/112HI8B834ELX1IC7JXFmshy_LwtKWdQr/view?usp=drivesdk","5838_RR TITIK ISMURWANI _ SERTIFIKAT BerAKHLAK")</f>
        <v>5838_RR TITIK ISMURWANI _ SERTIFIKAT BerAKHLAK</v>
      </c>
      <c r="P5839" s="5" t="s">
        <v>38115</v>
      </c>
    </row>
    <row r="5840">
      <c r="A5840" s="4">
        <v>45534.3635728588</v>
      </c>
      <c r="B5840" s="5" t="s">
        <v>34</v>
      </c>
      <c r="D5840" s="5" t="s">
        <v>2903</v>
      </c>
      <c r="E5840" s="5" t="s">
        <v>38123</v>
      </c>
      <c r="F5840" s="5" t="s">
        <v>108</v>
      </c>
      <c r="G5840" s="5" t="s">
        <v>38124</v>
      </c>
      <c r="H5840" s="6" t="s">
        <v>38125</v>
      </c>
      <c r="I5840" s="7" t="s">
        <v>38126</v>
      </c>
      <c r="J5840" s="8" t="str">
        <f>HYPERLINK("https://drive.google.com/file/d/1gPnzFaAo3zqz54YNzNo5Zqj5Kk8oFKOQ/view?usp=drivesdk","ANDRIANSYAH, A.Md Kom SERTIFIKAT BerAKHLAK")</f>
        <v>ANDRIANSYAH, A.Md Kom SERTIFIKAT BerAKHLAK</v>
      </c>
      <c r="K5840" s="5" t="s">
        <v>37841</v>
      </c>
      <c r="L5840" s="5" t="s">
        <v>38127</v>
      </c>
      <c r="M5840" s="5" t="s">
        <v>38128</v>
      </c>
      <c r="N5840" s="7" t="s">
        <v>38129</v>
      </c>
      <c r="O5840" s="8" t="str">
        <f>HYPERLINK("https://drive.google.com/file/d/11d-xuYYJ5iuEFaBVwEQ8e_DkXP3fg8As/view?usp=drivesdk","5839_ANDRIANSYAH, A.Md Kom _ SERTIFIKAT BerAKHLAK")</f>
        <v>5839_ANDRIANSYAH, A.Md Kom _ SERTIFIKAT BerAKHLAK</v>
      </c>
      <c r="P5840" s="5" t="s">
        <v>38130</v>
      </c>
    </row>
    <row r="5841">
      <c r="A5841" s="4">
        <v>45534.36357579861</v>
      </c>
      <c r="B5841" s="5" t="s">
        <v>34</v>
      </c>
      <c r="D5841" s="5" t="s">
        <v>10444</v>
      </c>
      <c r="E5841" s="5" t="s">
        <v>38131</v>
      </c>
      <c r="F5841" s="5" t="s">
        <v>108</v>
      </c>
      <c r="G5841" s="5" t="s">
        <v>38132</v>
      </c>
      <c r="H5841" s="6" t="s">
        <v>38133</v>
      </c>
      <c r="K5841" s="5" t="s">
        <v>38134</v>
      </c>
      <c r="M5841" s="5" t="s">
        <v>38135</v>
      </c>
      <c r="N5841" s="7" t="s">
        <v>38136</v>
      </c>
      <c r="O5841" s="8" t="str">
        <f>HYPERLINK("https://drive.google.com/file/d/1KvoSTcS3LrmAKYg7c4kyU5NqQ15ujYn1/view?usp=drivesdk","5840_SUCI JAMIAH _ SERTIFIKAT BerAKHLAK")</f>
        <v>5840_SUCI JAMIAH _ SERTIFIKAT BerAKHLAK</v>
      </c>
      <c r="P5841" s="5" t="s">
        <v>38130</v>
      </c>
    </row>
    <row r="5842">
      <c r="A5842" s="4">
        <v>45534.36357886574</v>
      </c>
      <c r="B5842" s="5" t="s">
        <v>34</v>
      </c>
      <c r="D5842" s="5" t="s">
        <v>10297</v>
      </c>
      <c r="E5842" s="5" t="s">
        <v>38137</v>
      </c>
      <c r="F5842" s="5" t="s">
        <v>212</v>
      </c>
      <c r="G5842" s="5" t="s">
        <v>38138</v>
      </c>
      <c r="H5842" s="6" t="s">
        <v>38139</v>
      </c>
      <c r="K5842" s="5" t="s">
        <v>38134</v>
      </c>
      <c r="M5842" s="5" t="s">
        <v>38140</v>
      </c>
      <c r="N5842" s="7" t="s">
        <v>38141</v>
      </c>
      <c r="O5842" s="8" t="str">
        <f>HYPERLINK("https://drive.google.com/file/d/1eVStPR0y20-jj4u9tyzQFl7KSD37RqGw/view?usp=drivesdk","5841_SAYIDIMAN MESMAN, A.Md.,S.Kom _ SERTIFIKAT BerAKHLAK")</f>
        <v>5841_SAYIDIMAN MESMAN, A.Md.,S.Kom _ SERTIFIKAT BerAKHLAK</v>
      </c>
      <c r="P5842" s="5" t="s">
        <v>38130</v>
      </c>
    </row>
    <row r="5843">
      <c r="A5843" s="4">
        <v>45534.3635881713</v>
      </c>
      <c r="B5843" s="5" t="s">
        <v>34</v>
      </c>
      <c r="D5843" s="5" t="s">
        <v>701</v>
      </c>
      <c r="E5843" s="5" t="s">
        <v>38142</v>
      </c>
      <c r="F5843" s="5" t="s">
        <v>72</v>
      </c>
      <c r="G5843" s="5" t="s">
        <v>38143</v>
      </c>
      <c r="H5843" s="6" t="s">
        <v>38144</v>
      </c>
      <c r="K5843" s="5" t="s">
        <v>38134</v>
      </c>
      <c r="M5843" s="5" t="s">
        <v>38145</v>
      </c>
      <c r="N5843" s="7" t="s">
        <v>38146</v>
      </c>
      <c r="O5843" s="8" t="str">
        <f>HYPERLINK("https://drive.google.com/file/d/1yXtSRN7wKcDr4X3Yyw1_GqQjLXNMar0-/view?usp=drivesdk","5842_Ns Irmayulis Skep  _ SERTIFIKAT BerAKHLAK")</f>
        <v>5842_Ns Irmayulis Skep  _ SERTIFIKAT BerAKHLAK</v>
      </c>
      <c r="P5843" s="5" t="s">
        <v>38130</v>
      </c>
    </row>
    <row r="5844">
      <c r="A5844" s="4">
        <v>45534.36362726852</v>
      </c>
      <c r="B5844" s="5" t="s">
        <v>34</v>
      </c>
      <c r="D5844" s="5" t="s">
        <v>4775</v>
      </c>
      <c r="E5844" s="5" t="s">
        <v>38147</v>
      </c>
      <c r="F5844" s="5" t="s">
        <v>524</v>
      </c>
      <c r="G5844" s="5" t="s">
        <v>38148</v>
      </c>
      <c r="H5844" s="6" t="s">
        <v>38149</v>
      </c>
      <c r="K5844" s="5" t="s">
        <v>38134</v>
      </c>
      <c r="M5844" s="5" t="s">
        <v>38150</v>
      </c>
      <c r="N5844" s="7" t="s">
        <v>38151</v>
      </c>
      <c r="O5844" s="8" t="str">
        <f>HYPERLINK("https://drive.google.com/file/d/1JmoUKfcIxgjjfbRZleBWuFUIcMz3Nfwr/view?usp=drivesdk","5843_YANUAR RISTANTI, S.H. _ SERTIFIKAT BerAKHLAK")</f>
        <v>5843_YANUAR RISTANTI, S.H. _ SERTIFIKAT BerAKHLAK</v>
      </c>
      <c r="P5844" s="5" t="s">
        <v>38130</v>
      </c>
    </row>
    <row r="5845">
      <c r="A5845" s="4">
        <v>45534.36362950232</v>
      </c>
      <c r="B5845" s="5" t="s">
        <v>34</v>
      </c>
      <c r="D5845" s="5" t="s">
        <v>12978</v>
      </c>
      <c r="E5845" s="5" t="s">
        <v>38152</v>
      </c>
      <c r="F5845" s="5" t="s">
        <v>212</v>
      </c>
      <c r="G5845" s="5" t="s">
        <v>38153</v>
      </c>
      <c r="H5845" s="6" t="s">
        <v>38154</v>
      </c>
      <c r="K5845" s="5" t="s">
        <v>38134</v>
      </c>
      <c r="M5845" s="5" t="s">
        <v>38155</v>
      </c>
      <c r="N5845" s="7" t="s">
        <v>38156</v>
      </c>
      <c r="O5845" s="8" t="str">
        <f>HYPERLINK("https://drive.google.com/file/d/1AKHh3gKyUOdSp4Dt0PbR_mPPdt6XOjRi/view?usp=drivesdk","5844_HARSANA _ SERTIFIKAT BerAKHLAK")</f>
        <v>5844_HARSANA _ SERTIFIKAT BerAKHLAK</v>
      </c>
      <c r="P5845" s="5" t="s">
        <v>38157</v>
      </c>
    </row>
    <row r="5846">
      <c r="A5846" s="4">
        <v>45534.36363599537</v>
      </c>
      <c r="B5846" s="5" t="s">
        <v>34</v>
      </c>
      <c r="D5846" s="5" t="s">
        <v>996</v>
      </c>
      <c r="E5846" s="5" t="s">
        <v>38158</v>
      </c>
      <c r="F5846" s="5" t="s">
        <v>108</v>
      </c>
      <c r="G5846" s="5" t="s">
        <v>38159</v>
      </c>
      <c r="H5846" s="6" t="s">
        <v>38160</v>
      </c>
      <c r="K5846" s="5" t="s">
        <v>38134</v>
      </c>
      <c r="M5846" s="5" t="s">
        <v>38161</v>
      </c>
      <c r="N5846" s="7" t="s">
        <v>38162</v>
      </c>
      <c r="O5846" s="8" t="str">
        <f>HYPERLINK("https://drive.google.com/file/d/1GMU5LFp2n4JgtQGBxMKbbKeoqqDqe5Cp/view?usp=drivesdk","5845_REZKY FITRIANNOOR,SE _ SERTIFIKAT BerAKHLAK")</f>
        <v>5845_REZKY FITRIANNOOR,SE _ SERTIFIKAT BerAKHLAK</v>
      </c>
      <c r="P5846" s="5" t="s">
        <v>38028</v>
      </c>
    </row>
    <row r="5847">
      <c r="A5847" s="4">
        <v>45534.363672569445</v>
      </c>
      <c r="B5847" s="5" t="s">
        <v>34</v>
      </c>
      <c r="D5847" s="5" t="s">
        <v>701</v>
      </c>
      <c r="E5847" s="5" t="s">
        <v>38163</v>
      </c>
      <c r="F5847" s="5" t="s">
        <v>120</v>
      </c>
      <c r="G5847" s="5" t="s">
        <v>38164</v>
      </c>
      <c r="H5847" s="6" t="s">
        <v>38165</v>
      </c>
      <c r="K5847" s="5" t="s">
        <v>38166</v>
      </c>
      <c r="M5847" s="5" t="s">
        <v>38167</v>
      </c>
      <c r="N5847" s="7" t="s">
        <v>38168</v>
      </c>
      <c r="O5847" s="8" t="str">
        <f>HYPERLINK("https://drive.google.com/file/d/1xZtiGj87Y0GC2mCVLXy1Km-Dujf6bHZr/view?usp=drivesdk","5846_SAMPE TUA SIRAIT, S.E. _ SERTIFIKAT BerAKHLAK")</f>
        <v>5846_SAMPE TUA SIRAIT, S.E. _ SERTIFIKAT BerAKHLAK</v>
      </c>
      <c r="P5847" s="5" t="s">
        <v>38028</v>
      </c>
    </row>
    <row r="5848">
      <c r="A5848" s="4">
        <v>45534.36367337963</v>
      </c>
      <c r="B5848" s="5" t="s">
        <v>34</v>
      </c>
      <c r="D5848" s="5" t="s">
        <v>4775</v>
      </c>
      <c r="E5848" s="5" t="s">
        <v>38169</v>
      </c>
      <c r="F5848" s="5" t="s">
        <v>375</v>
      </c>
      <c r="G5848" s="5" t="s">
        <v>38170</v>
      </c>
      <c r="H5848" s="6" t="s">
        <v>38171</v>
      </c>
      <c r="K5848" s="5" t="s">
        <v>38166</v>
      </c>
      <c r="M5848" s="5" t="s">
        <v>38172</v>
      </c>
      <c r="N5848" s="7" t="s">
        <v>38173</v>
      </c>
      <c r="O5848" s="8" t="str">
        <f>HYPERLINK("https://drive.google.com/file/d/1_EyQb50yKhRCB7LGnkU_l9NlAauJwbU3/view?usp=drivesdk","5847_SRI PURWANTI, S.Pd. _ SERTIFIKAT BerAKHLAK")</f>
        <v>5847_SRI PURWANTI, S.Pd. _ SERTIFIKAT BerAKHLAK</v>
      </c>
      <c r="P5848" s="5" t="s">
        <v>38028</v>
      </c>
    </row>
    <row r="5849">
      <c r="A5849" s="4">
        <v>45534.36369815972</v>
      </c>
      <c r="B5849" s="5" t="s">
        <v>34</v>
      </c>
      <c r="D5849" s="5" t="s">
        <v>280</v>
      </c>
      <c r="E5849" s="5" t="s">
        <v>38174</v>
      </c>
      <c r="F5849" s="5" t="s">
        <v>108</v>
      </c>
      <c r="G5849" s="5" t="s">
        <v>38175</v>
      </c>
      <c r="H5849" s="6" t="s">
        <v>38176</v>
      </c>
      <c r="I5849" s="7" t="s">
        <v>38177</v>
      </c>
      <c r="J5849" s="8" t="str">
        <f>HYPERLINK("https://drive.google.com/file/d/1kV_xW55vLaw2T_kRO_H_hpSluQrIcxFx/view?usp=drivesdk","RIAWATI SERTIFIKAT BerAKHLAK")</f>
        <v>RIAWATI SERTIFIKAT BerAKHLAK</v>
      </c>
      <c r="K5849" s="5" t="s">
        <v>37841</v>
      </c>
      <c r="L5849" s="5" t="s">
        <v>38178</v>
      </c>
      <c r="M5849" s="5" t="s">
        <v>38179</v>
      </c>
      <c r="N5849" s="7" t="s">
        <v>38180</v>
      </c>
      <c r="O5849" s="8" t="str">
        <f>HYPERLINK("https://drive.google.com/file/d/1y5ISQ3ZhWAdL2pbUMF1pO9DrT--GpRnS/view?usp=drivesdk","5848_RIAWATI _ SERTIFIKAT BerAKHLAK")</f>
        <v>5848_RIAWATI _ SERTIFIKAT BerAKHLAK</v>
      </c>
      <c r="P5849" s="5" t="s">
        <v>38181</v>
      </c>
    </row>
    <row r="5850">
      <c r="A5850" s="4">
        <v>45534.36373199074</v>
      </c>
      <c r="B5850" s="5" t="s">
        <v>34</v>
      </c>
      <c r="D5850" s="5" t="s">
        <v>10297</v>
      </c>
      <c r="E5850" s="5" t="s">
        <v>38182</v>
      </c>
      <c r="F5850" s="5" t="s">
        <v>212</v>
      </c>
      <c r="G5850" s="5" t="s">
        <v>38183</v>
      </c>
      <c r="H5850" s="6" t="s">
        <v>38184</v>
      </c>
      <c r="I5850" s="7" t="s">
        <v>38185</v>
      </c>
      <c r="J5850" s="8" t="str">
        <f>HYPERLINK("https://drive.google.com/file/d/1Ln304Rm6KdqSVuPsPVziBazQ-HTeZeN3/view?usp=drivesdk","NURMI, Amd SERTIFIKAT BerAKHLAK")</f>
        <v>NURMI, Amd SERTIFIKAT BerAKHLAK</v>
      </c>
      <c r="K5850" s="5" t="s">
        <v>37841</v>
      </c>
      <c r="L5850" s="5" t="s">
        <v>38186</v>
      </c>
      <c r="M5850" s="5" t="s">
        <v>38187</v>
      </c>
      <c r="N5850" s="7" t="s">
        <v>38188</v>
      </c>
      <c r="O5850" s="8" t="str">
        <f>HYPERLINK("https://drive.google.com/file/d/15v9qcHw5ud-MNZgn_TIaTRBA40_GUMgs/view?usp=drivesdk","5849_NURMI, Amd _ SERTIFIKAT BerAKHLAK")</f>
        <v>5849_NURMI, Amd _ SERTIFIKAT BerAKHLAK</v>
      </c>
      <c r="P5850" s="5" t="s">
        <v>38181</v>
      </c>
    </row>
    <row r="5851" hidden="1">
      <c r="A5851" s="4">
        <v>45534.3637329051</v>
      </c>
      <c r="B5851" s="5" t="s">
        <v>19</v>
      </c>
      <c r="C5851" s="5" t="s">
        <v>3301</v>
      </c>
      <c r="E5851" s="5" t="s">
        <v>38189</v>
      </c>
      <c r="F5851" s="5" t="s">
        <v>72</v>
      </c>
      <c r="G5851" s="5" t="s">
        <v>38190</v>
      </c>
      <c r="H5851" s="6" t="s">
        <v>38191</v>
      </c>
      <c r="I5851" s="7" t="s">
        <v>38192</v>
      </c>
      <c r="J5851" s="8" t="str">
        <f>HYPERLINK("https://drive.google.com/file/d/1er0JAKLiPbnSX4dp7BcbTN6nPcPNzcSO/view?usp=drivesdk","RAHAYU KURNIAWATI  SERTIFIKAT BerAKHLAK")</f>
        <v>RAHAYU KURNIAWATI  SERTIFIKAT BerAKHLAK</v>
      </c>
      <c r="K5851" s="5" t="s">
        <v>37841</v>
      </c>
      <c r="L5851" s="5" t="s">
        <v>38193</v>
      </c>
      <c r="M5851" s="5" t="s">
        <v>38194</v>
      </c>
      <c r="N5851" s="7" t="s">
        <v>38195</v>
      </c>
      <c r="O5851" s="8" t="str">
        <f>HYPERLINK("https://drive.google.com/file/d/1sn6HXGljN9lsQTtSVurEJ6hXKCUbc0MW/view?usp=drivesdk","5850_RAHAYU KURNIAWATI  _ SERTIFIKAT BerAKHLAK")</f>
        <v>5850_RAHAYU KURNIAWATI  _ SERTIFIKAT BerAKHLAK</v>
      </c>
      <c r="P5851" s="5" t="s">
        <v>38181</v>
      </c>
    </row>
    <row r="5852">
      <c r="A5852" s="4">
        <v>45534.36373405093</v>
      </c>
      <c r="B5852" s="5" t="s">
        <v>34</v>
      </c>
      <c r="D5852" s="5" t="s">
        <v>14313</v>
      </c>
      <c r="E5852" s="5" t="s">
        <v>38196</v>
      </c>
      <c r="F5852" s="5" t="s">
        <v>212</v>
      </c>
      <c r="G5852" s="5" t="s">
        <v>38197</v>
      </c>
      <c r="H5852" s="6" t="s">
        <v>38198</v>
      </c>
      <c r="I5852" s="7" t="s">
        <v>38199</v>
      </c>
      <c r="J5852" s="8" t="str">
        <f>HYPERLINK("https://drive.google.com/file/d/1CKOZer7wexvNY_br-H2ceDK_n4Gdbikc/view?usp=drivesdk","KASMAN SERTIFIKAT BerAKHLAK")</f>
        <v>KASMAN SERTIFIKAT BerAKHLAK</v>
      </c>
      <c r="K5852" s="5" t="s">
        <v>37841</v>
      </c>
      <c r="L5852" s="5" t="s">
        <v>38200</v>
      </c>
      <c r="M5852" s="5" t="s">
        <v>38201</v>
      </c>
      <c r="N5852" s="7" t="s">
        <v>38202</v>
      </c>
      <c r="O5852" s="8" t="str">
        <f>HYPERLINK("https://drive.google.com/file/d/1JMQz-nwqsrTV0W6EIvvQ-pIXN164PTB6/view?usp=drivesdk","5851_KASMAN _ SERTIFIKAT BerAKHLAK")</f>
        <v>5851_KASMAN _ SERTIFIKAT BerAKHLAK</v>
      </c>
      <c r="P5852" s="5" t="s">
        <v>38181</v>
      </c>
    </row>
    <row r="5853">
      <c r="A5853" s="4">
        <v>45534.363749317126</v>
      </c>
      <c r="B5853" s="5" t="s">
        <v>34</v>
      </c>
      <c r="D5853" s="5" t="s">
        <v>10297</v>
      </c>
      <c r="E5853" s="5" t="s">
        <v>38203</v>
      </c>
      <c r="F5853" s="5" t="s">
        <v>108</v>
      </c>
      <c r="G5853" s="5" t="s">
        <v>38204</v>
      </c>
      <c r="H5853" s="6" t="s">
        <v>38205</v>
      </c>
      <c r="K5853" s="5" t="s">
        <v>38206</v>
      </c>
      <c r="M5853" s="5" t="s">
        <v>38207</v>
      </c>
      <c r="N5853" s="7" t="s">
        <v>38208</v>
      </c>
      <c r="O5853" s="8" t="str">
        <f>HYPERLINK("https://drive.google.com/file/d/1E6juvEkYwCcKYWvLySgWfmBKWaBm6cwd/view?usp=drivesdk","5852_MALA FATMAWATI, S.Kep.,Ns. _ SERTIFIKAT BerAKHLAK")</f>
        <v>5852_MALA FATMAWATI, S.Kep.,Ns. _ SERTIFIKAT BerAKHLAK</v>
      </c>
      <c r="P5853" s="5" t="s">
        <v>38209</v>
      </c>
    </row>
    <row r="5854">
      <c r="A5854" s="4">
        <v>45534.36374918981</v>
      </c>
      <c r="B5854" s="5" t="s">
        <v>34</v>
      </c>
      <c r="D5854" s="5" t="s">
        <v>1206</v>
      </c>
      <c r="E5854" s="5" t="s">
        <v>38210</v>
      </c>
      <c r="F5854" s="5" t="s">
        <v>37</v>
      </c>
      <c r="G5854" s="5" t="s">
        <v>38211</v>
      </c>
      <c r="H5854" s="6" t="s">
        <v>38212</v>
      </c>
      <c r="K5854" s="5" t="s">
        <v>38206</v>
      </c>
      <c r="M5854" s="5" t="s">
        <v>38213</v>
      </c>
      <c r="N5854" s="7" t="s">
        <v>38214</v>
      </c>
      <c r="O5854" s="8" t="str">
        <f>HYPERLINK("https://drive.google.com/file/d/19F9ylx0BP6mufm8c17AuyMnqhT6R48fW/view?usp=drivesdk","5853_AGUK SUGIARTO _ SERTIFIKAT BerAKHLAK")</f>
        <v>5853_AGUK SUGIARTO _ SERTIFIKAT BerAKHLAK</v>
      </c>
      <c r="P5854" s="5" t="s">
        <v>38209</v>
      </c>
    </row>
    <row r="5855">
      <c r="A5855" s="4">
        <v>45534.363754363425</v>
      </c>
      <c r="B5855" s="5" t="s">
        <v>34</v>
      </c>
      <c r="D5855" s="5" t="s">
        <v>1206</v>
      </c>
      <c r="E5855" s="5" t="s">
        <v>38215</v>
      </c>
      <c r="F5855" s="5" t="s">
        <v>108</v>
      </c>
      <c r="G5855" s="5" t="s">
        <v>38216</v>
      </c>
      <c r="H5855" s="6" t="s">
        <v>38217</v>
      </c>
      <c r="K5855" s="5" t="s">
        <v>38206</v>
      </c>
      <c r="M5855" s="5" t="s">
        <v>38218</v>
      </c>
      <c r="N5855" s="7" t="s">
        <v>38219</v>
      </c>
      <c r="O5855" s="8" t="str">
        <f>HYPERLINK("https://drive.google.com/file/d/1R6SBrI0fUPoG9HRHasEGaY-IstLTK0xA/view?usp=drivesdk","5854_MARIA LUTFIANA, A.MD, S.M. _ SERTIFIKAT BerAKHLAK")</f>
        <v>5854_MARIA LUTFIANA, A.MD, S.M. _ SERTIFIKAT BerAKHLAK</v>
      </c>
      <c r="P5855" s="5" t="s">
        <v>38209</v>
      </c>
    </row>
    <row r="5856">
      <c r="A5856" s="4">
        <v>45534.36376755787</v>
      </c>
      <c r="B5856" s="5" t="s">
        <v>34</v>
      </c>
      <c r="D5856" s="5" t="s">
        <v>4775</v>
      </c>
      <c r="E5856" s="5" t="s">
        <v>38220</v>
      </c>
      <c r="F5856" s="5" t="s">
        <v>524</v>
      </c>
      <c r="G5856" s="5" t="s">
        <v>38221</v>
      </c>
      <c r="H5856" s="6" t="s">
        <v>38222</v>
      </c>
      <c r="I5856" s="7" t="s">
        <v>38223</v>
      </c>
      <c r="J5856" s="8" t="str">
        <f>HYPERLINK("https://drive.google.com/file/d/1dqIEK__9VRlJ-4axYbuaj15EBNoN5Vd9/view?usp=drivesdk","DANI ARMAYATI  SERTIFIKAT BerAKHLAK")</f>
        <v>DANI ARMAYATI  SERTIFIKAT BerAKHLAK</v>
      </c>
      <c r="K5856" s="5" t="s">
        <v>37841</v>
      </c>
      <c r="L5856" s="5" t="s">
        <v>38224</v>
      </c>
      <c r="M5856" s="5" t="s">
        <v>38225</v>
      </c>
      <c r="N5856" s="7" t="s">
        <v>38226</v>
      </c>
      <c r="O5856" s="8" t="str">
        <f>HYPERLINK("https://drive.google.com/file/d/1_bDFYTjzP5UVDDDE2p3FNFbKgn1ogmwE/view?usp=drivesdk","5855_DANI ARMAYATI  _ SERTIFIKAT BerAKHLAK")</f>
        <v>5855_DANI ARMAYATI  _ SERTIFIKAT BerAKHLAK</v>
      </c>
      <c r="P5856" s="5" t="s">
        <v>38209</v>
      </c>
    </row>
    <row r="5857">
      <c r="A5857" s="4">
        <v>45534.36377790509</v>
      </c>
      <c r="B5857" s="5" t="s">
        <v>34</v>
      </c>
      <c r="D5857" s="5" t="s">
        <v>9020</v>
      </c>
      <c r="E5857" s="5" t="s">
        <v>38227</v>
      </c>
      <c r="F5857" s="5" t="s">
        <v>212</v>
      </c>
      <c r="G5857" s="5" t="s">
        <v>38228</v>
      </c>
      <c r="H5857" s="6" t="s">
        <v>38229</v>
      </c>
      <c r="I5857" s="7" t="s">
        <v>38230</v>
      </c>
      <c r="J5857" s="8" t="str">
        <f>HYPERLINK("https://drive.google.com/file/d/17blwnEOpf5Z_xhFb5RjIsuM1b_mHLkbS/view?usp=drivesdk","NURAIDA SERTIFIKAT BerAKHLAK")</f>
        <v>NURAIDA SERTIFIKAT BerAKHLAK</v>
      </c>
      <c r="K5857" s="5" t="s">
        <v>37841</v>
      </c>
      <c r="L5857" s="5" t="s">
        <v>38231</v>
      </c>
      <c r="M5857" s="5" t="s">
        <v>38232</v>
      </c>
      <c r="N5857" s="7" t="s">
        <v>38233</v>
      </c>
      <c r="O5857" s="8" t="str">
        <f>HYPERLINK("https://drive.google.com/file/d/1XSIN0w2WHHoRoUgbynTm-2ON_fIoK5Fm/view?usp=drivesdk","5856_NURAIDA _ SERTIFIKAT BerAKHLAK")</f>
        <v>5856_NURAIDA _ SERTIFIKAT BerAKHLAK</v>
      </c>
      <c r="P5857" s="5" t="s">
        <v>38234</v>
      </c>
    </row>
    <row r="5858">
      <c r="A5858" s="4">
        <v>45534.36377871528</v>
      </c>
      <c r="B5858" s="5" t="s">
        <v>34</v>
      </c>
      <c r="D5858" s="5" t="s">
        <v>267</v>
      </c>
      <c r="E5858" s="5" t="s">
        <v>38235</v>
      </c>
      <c r="F5858" s="5" t="s">
        <v>72</v>
      </c>
      <c r="G5858" s="5" t="s">
        <v>38236</v>
      </c>
      <c r="H5858" s="6" t="s">
        <v>38237</v>
      </c>
      <c r="I5858" s="7" t="s">
        <v>38238</v>
      </c>
      <c r="J5858" s="8" t="str">
        <f>HYPERLINK("https://drive.google.com/file/d/19nVPUMwFnAJpGT6EluD7fubP_YN4PBWb/view?usp=drivesdk","SURATIN SERTIFIKAT BerAKHLAK")</f>
        <v>SURATIN SERTIFIKAT BerAKHLAK</v>
      </c>
      <c r="K5858" s="5" t="s">
        <v>37841</v>
      </c>
      <c r="L5858" s="5" t="s">
        <v>38239</v>
      </c>
      <c r="M5858" s="5" t="s">
        <v>38240</v>
      </c>
      <c r="N5858" s="7" t="s">
        <v>38241</v>
      </c>
      <c r="O5858" s="8" t="str">
        <f>HYPERLINK("https://drive.google.com/file/d/1gEMrAcoNQcYteuxj3Qx_bDc-3OKWfbjs/view?usp=drivesdk","5857_SURATIN _ SERTIFIKAT BerAKHLAK")</f>
        <v>5857_SURATIN _ SERTIFIKAT BerAKHLAK</v>
      </c>
      <c r="P5858" s="5" t="s">
        <v>38234</v>
      </c>
    </row>
    <row r="5859">
      <c r="A5859" s="4">
        <v>45534.36380178241</v>
      </c>
      <c r="B5859" s="5" t="s">
        <v>34</v>
      </c>
      <c r="D5859" s="5" t="s">
        <v>7858</v>
      </c>
      <c r="E5859" s="5" t="s">
        <v>38242</v>
      </c>
      <c r="F5859" s="5" t="s">
        <v>212</v>
      </c>
      <c r="G5859" s="5" t="s">
        <v>38243</v>
      </c>
      <c r="H5859" s="6" t="s">
        <v>38244</v>
      </c>
      <c r="K5859" s="5" t="s">
        <v>38245</v>
      </c>
      <c r="M5859" s="5" t="s">
        <v>38246</v>
      </c>
      <c r="N5859" s="7" t="s">
        <v>38247</v>
      </c>
      <c r="O5859" s="8" t="str">
        <f>HYPERLINK("https://drive.google.com/file/d/1WeS403UddgSJCBdzLkOJDv638NLEtmhm/view?usp=drivesdk","5858_SITI SUKESI  _ SERTIFIKAT BerAKHLAK")</f>
        <v>5858_SITI SUKESI  _ SERTIFIKAT BerAKHLAK</v>
      </c>
      <c r="P5859" s="5" t="s">
        <v>38234</v>
      </c>
    </row>
    <row r="5860">
      <c r="A5860" s="4">
        <v>45534.36380494213</v>
      </c>
      <c r="B5860" s="5" t="s">
        <v>34</v>
      </c>
      <c r="D5860" s="5" t="s">
        <v>7858</v>
      </c>
      <c r="E5860" s="5" t="s">
        <v>38248</v>
      </c>
      <c r="F5860" s="5" t="s">
        <v>72</v>
      </c>
      <c r="G5860" s="5" t="s">
        <v>38249</v>
      </c>
      <c r="H5860" s="6" t="s">
        <v>38250</v>
      </c>
      <c r="I5860" s="7" t="s">
        <v>38251</v>
      </c>
      <c r="J5860" s="8" t="str">
        <f>HYPERLINK("https://drive.google.com/file/d/1golkJkuVgx4woV9lWB0sYXZ1NqlFOn0i/view?usp=drivesdk","NANI MULYATI SERTIFIKAT BerAKHLAK")</f>
        <v>NANI MULYATI SERTIFIKAT BerAKHLAK</v>
      </c>
      <c r="K5860" s="5" t="s">
        <v>37841</v>
      </c>
      <c r="L5860" s="5" t="s">
        <v>38252</v>
      </c>
      <c r="M5860" s="5" t="s">
        <v>38253</v>
      </c>
      <c r="N5860" s="7" t="s">
        <v>38254</v>
      </c>
      <c r="O5860" s="8" t="str">
        <f>HYPERLINK("https://drive.google.com/file/d/1yNF7GPWkoANv3SkVFgWSYc92InP5PCSs/view?usp=drivesdk","5859_NANI MULYATI _ SERTIFIKAT BerAKHLAK")</f>
        <v>5859_NANI MULYATI _ SERTIFIKAT BerAKHLAK</v>
      </c>
      <c r="P5860" s="5" t="s">
        <v>38234</v>
      </c>
    </row>
    <row r="5861">
      <c r="A5861" s="4">
        <v>45534.3638159375</v>
      </c>
      <c r="B5861" s="5" t="s">
        <v>34</v>
      </c>
      <c r="D5861" s="5" t="s">
        <v>701</v>
      </c>
      <c r="E5861" s="5" t="s">
        <v>38255</v>
      </c>
      <c r="F5861" s="5" t="s">
        <v>524</v>
      </c>
      <c r="G5861" s="5" t="s">
        <v>38256</v>
      </c>
      <c r="H5861" s="6" t="s">
        <v>38257</v>
      </c>
      <c r="I5861" s="7" t="s">
        <v>38258</v>
      </c>
      <c r="J5861" s="8" t="str">
        <f>HYPERLINK("https://drive.google.com/file/d/1vWIzzCuRWxMSIOZL2SEwC88R6ZfPDh3w/view?usp=drivesdk","Inney Silda Latifah SERTIFIKAT BerAKHLAK")</f>
        <v>Inney Silda Latifah SERTIFIKAT BerAKHLAK</v>
      </c>
      <c r="K5861" s="5" t="s">
        <v>37841</v>
      </c>
      <c r="L5861" s="5" t="s">
        <v>38259</v>
      </c>
      <c r="M5861" s="5" t="s">
        <v>38260</v>
      </c>
      <c r="N5861" s="7" t="s">
        <v>38261</v>
      </c>
      <c r="O5861" s="8" t="str">
        <f>HYPERLINK("https://drive.google.com/file/d/1cqV93YiZoysH5qeKr7_iZCKLx18qRiOL/view?usp=drivesdk","5860_Inney Silda Latifah _ SERTIFIKAT BerAKHLAK")</f>
        <v>5860_Inney Silda Latifah _ SERTIFIKAT BerAKHLAK</v>
      </c>
      <c r="P5861" s="5" t="s">
        <v>38262</v>
      </c>
    </row>
    <row r="5862">
      <c r="A5862" s="4">
        <v>45534.36383002315</v>
      </c>
      <c r="B5862" s="5" t="s">
        <v>34</v>
      </c>
      <c r="D5862" s="5" t="s">
        <v>1206</v>
      </c>
      <c r="E5862" s="5" t="s">
        <v>38263</v>
      </c>
      <c r="F5862" s="5" t="s">
        <v>72</v>
      </c>
      <c r="G5862" s="5" t="s">
        <v>38264</v>
      </c>
      <c r="H5862" s="6" t="s">
        <v>38265</v>
      </c>
      <c r="K5862" s="5" t="s">
        <v>38266</v>
      </c>
      <c r="M5862" s="5" t="s">
        <v>38267</v>
      </c>
      <c r="N5862" s="7" t="s">
        <v>38268</v>
      </c>
      <c r="O5862" s="8" t="str">
        <f>HYPERLINK("https://drive.google.com/file/d/131FR3flbfBY_xIvJHTzIJHNQ3nrr0M6X/view?usp=drivesdk","5861_Ni Made Parwati,S.KM _ SERTIFIKAT BerAKHLAK")</f>
        <v>5861_Ni Made Parwati,S.KM _ SERTIFIKAT BerAKHLAK</v>
      </c>
      <c r="P5862" s="5" t="s">
        <v>38262</v>
      </c>
    </row>
    <row r="5863">
      <c r="A5863" s="4">
        <v>45534.36385076389</v>
      </c>
      <c r="B5863" s="5" t="s">
        <v>34</v>
      </c>
      <c r="D5863" s="5" t="s">
        <v>9394</v>
      </c>
      <c r="E5863" s="5" t="s">
        <v>38269</v>
      </c>
      <c r="F5863" s="5" t="s">
        <v>715</v>
      </c>
      <c r="G5863" s="5" t="s">
        <v>38270</v>
      </c>
      <c r="H5863" s="6" t="s">
        <v>38271</v>
      </c>
      <c r="I5863" s="7" t="s">
        <v>38272</v>
      </c>
      <c r="J5863" s="8" t="str">
        <f>HYPERLINK("https://drive.google.com/file/d/188rf0x_Gvd6yX-YVJynm_cVMM52jfb4t/view?usp=drivesdk","IRAWATI,A.Md. SERTIFIKAT BerAKHLAK")</f>
        <v>IRAWATI,A.Md. SERTIFIKAT BerAKHLAK</v>
      </c>
      <c r="K5863" s="5" t="s">
        <v>37841</v>
      </c>
      <c r="L5863" s="5" t="s">
        <v>38273</v>
      </c>
      <c r="M5863" s="5" t="s">
        <v>38274</v>
      </c>
      <c r="N5863" s="7" t="s">
        <v>38275</v>
      </c>
      <c r="O5863" s="8" t="str">
        <f>HYPERLINK("https://drive.google.com/file/d/1FBzj6pN1tUB0xW4UYbcZHzLtNdR5vKxl/view?usp=drivesdk","5862_IRAWATI,A.Md. _ SERTIFIKAT BerAKHLAK")</f>
        <v>5862_IRAWATI,A.Md. _ SERTIFIKAT BerAKHLAK</v>
      </c>
      <c r="P5863" s="5" t="s">
        <v>38262</v>
      </c>
    </row>
    <row r="5864">
      <c r="A5864" s="4">
        <v>45534.36385108797</v>
      </c>
      <c r="B5864" s="5" t="s">
        <v>34</v>
      </c>
      <c r="D5864" s="5" t="s">
        <v>1206</v>
      </c>
      <c r="E5864" s="5" t="s">
        <v>38276</v>
      </c>
      <c r="F5864" s="5" t="s">
        <v>108</v>
      </c>
      <c r="G5864" s="5" t="s">
        <v>38277</v>
      </c>
      <c r="H5864" s="6" t="s">
        <v>38278</v>
      </c>
      <c r="I5864" s="7" t="s">
        <v>38279</v>
      </c>
      <c r="J5864" s="8" t="str">
        <f>HYPERLINK("https://drive.google.com/file/d/1AXr9mufaEmbcmGeNGq0ShHUqK1R6u4my/view?usp=drivesdk","EDY SUJAKA SERTIFIKAT BerAKHLAK")</f>
        <v>EDY SUJAKA SERTIFIKAT BerAKHLAK</v>
      </c>
      <c r="K5864" s="5" t="s">
        <v>37841</v>
      </c>
      <c r="L5864" s="5" t="s">
        <v>38280</v>
      </c>
      <c r="M5864" s="5" t="s">
        <v>38281</v>
      </c>
      <c r="N5864" s="7" t="s">
        <v>38282</v>
      </c>
      <c r="O5864" s="8" t="str">
        <f>HYPERLINK("https://drive.google.com/file/d/1wnB2mg4LNJLEKEiHhoBUJZJc_MFKNqp6/view?usp=drivesdk","5863_EDY SUJAKA _ SERTIFIKAT BerAKHLAK")</f>
        <v>5863_EDY SUJAKA _ SERTIFIKAT BerAKHLAK</v>
      </c>
      <c r="P5864" s="5" t="s">
        <v>38262</v>
      </c>
    </row>
    <row r="5865">
      <c r="A5865" s="4">
        <v>45534.36385224537</v>
      </c>
      <c r="B5865" s="5" t="s">
        <v>34</v>
      </c>
      <c r="D5865" s="5" t="s">
        <v>35</v>
      </c>
      <c r="E5865" s="5" t="s">
        <v>38283</v>
      </c>
      <c r="F5865" s="5" t="s">
        <v>108</v>
      </c>
      <c r="G5865" s="5" t="s">
        <v>38284</v>
      </c>
      <c r="H5865" s="6" t="s">
        <v>38285</v>
      </c>
      <c r="K5865" s="5" t="s">
        <v>38286</v>
      </c>
      <c r="M5865" s="5" t="s">
        <v>38287</v>
      </c>
      <c r="N5865" s="7" t="s">
        <v>38288</v>
      </c>
      <c r="O5865" s="8" t="str">
        <f>HYPERLINK("https://drive.google.com/file/d/1Iy8WGhlEbqA3cBDPTajwAZ8tpmMgJd0d/view?usp=drivesdk","5864_RINI IRYANI SUHAERI, A.Md _ SERTIFIKAT BerAKHLAK")</f>
        <v>5864_RINI IRYANI SUHAERI, A.Md _ SERTIFIKAT BerAKHLAK</v>
      </c>
      <c r="P5865" s="5" t="s">
        <v>38262</v>
      </c>
    </row>
    <row r="5866">
      <c r="A5866" s="4">
        <v>45534.3638525</v>
      </c>
      <c r="B5866" s="5" t="s">
        <v>34</v>
      </c>
      <c r="D5866" s="5" t="s">
        <v>12978</v>
      </c>
      <c r="E5866" s="5" t="s">
        <v>38289</v>
      </c>
      <c r="F5866" s="5" t="s">
        <v>72</v>
      </c>
      <c r="G5866" s="5" t="s">
        <v>38290</v>
      </c>
      <c r="H5866" s="6" t="s">
        <v>38291</v>
      </c>
      <c r="K5866" s="5" t="s">
        <v>38286</v>
      </c>
      <c r="M5866" s="5" t="s">
        <v>38292</v>
      </c>
      <c r="N5866" s="7" t="s">
        <v>38293</v>
      </c>
      <c r="O5866" s="8" t="str">
        <f>HYPERLINK("https://drive.google.com/file/d/1MNYDsoPAoxWUH6uRt6BRHAc6jz2LgalP/view?usp=drivesdk","5865_KASIMAN _ SERTIFIKAT BerAKHLAK")</f>
        <v>5865_KASIMAN _ SERTIFIKAT BerAKHLAK</v>
      </c>
      <c r="P5866" s="5" t="s">
        <v>38294</v>
      </c>
    </row>
    <row r="5867">
      <c r="A5867" s="4">
        <v>45534.36385274306</v>
      </c>
      <c r="B5867" s="5" t="s">
        <v>34</v>
      </c>
      <c r="D5867" s="5" t="s">
        <v>12978</v>
      </c>
      <c r="E5867" s="5" t="s">
        <v>23090</v>
      </c>
      <c r="F5867" s="5" t="s">
        <v>212</v>
      </c>
      <c r="G5867" s="5" t="s">
        <v>38295</v>
      </c>
      <c r="H5867" s="6" t="s">
        <v>38296</v>
      </c>
      <c r="K5867" s="5" t="s">
        <v>38286</v>
      </c>
      <c r="M5867" s="5" t="s">
        <v>38297</v>
      </c>
      <c r="N5867" s="7" t="s">
        <v>38298</v>
      </c>
      <c r="O5867" s="8" t="str">
        <f>HYPERLINK("https://drive.google.com/file/d/1p2976WUnBEjKsvYPaW0UvDDK2MKQoYfD/view?usp=drivesdk","5866_SUNARTI _ SERTIFIKAT BerAKHLAK")</f>
        <v>5866_SUNARTI _ SERTIFIKAT BerAKHLAK</v>
      </c>
      <c r="P5867" s="5" t="s">
        <v>38294</v>
      </c>
    </row>
    <row r="5868">
      <c r="A5868" s="4">
        <v>45534.36385554398</v>
      </c>
      <c r="B5868" s="5" t="s">
        <v>34</v>
      </c>
      <c r="D5868" s="5" t="s">
        <v>1206</v>
      </c>
      <c r="E5868" s="5" t="s">
        <v>38299</v>
      </c>
      <c r="F5868" s="5" t="s">
        <v>715</v>
      </c>
      <c r="G5868" s="5" t="s">
        <v>38300</v>
      </c>
      <c r="H5868" s="6" t="s">
        <v>38301</v>
      </c>
      <c r="K5868" s="5" t="s">
        <v>38286</v>
      </c>
      <c r="M5868" s="5" t="s">
        <v>38302</v>
      </c>
      <c r="N5868" s="7" t="s">
        <v>38303</v>
      </c>
      <c r="O5868" s="8" t="str">
        <f>HYPERLINK("https://drive.google.com/file/d/12XaHwk_UPJR0Y0pUTuCFvAazDvgk0JfS/view?usp=drivesdk","5867_ERVINA TRI ARI WIDYAWATI,SE _ SERTIFIKAT BerAKHLAK")</f>
        <v>5867_ERVINA TRI ARI WIDYAWATI,SE _ SERTIFIKAT BerAKHLAK</v>
      </c>
      <c r="P5868" s="5" t="s">
        <v>38294</v>
      </c>
    </row>
    <row r="5869">
      <c r="A5869" s="4">
        <v>45534.36385570602</v>
      </c>
      <c r="B5869" s="5" t="s">
        <v>34</v>
      </c>
      <c r="D5869" s="5" t="s">
        <v>7858</v>
      </c>
      <c r="E5869" s="5" t="s">
        <v>38304</v>
      </c>
      <c r="F5869" s="5" t="s">
        <v>715</v>
      </c>
      <c r="G5869" s="5" t="s">
        <v>38305</v>
      </c>
      <c r="H5869" s="6" t="s">
        <v>38306</v>
      </c>
      <c r="K5869" s="5" t="s">
        <v>38286</v>
      </c>
      <c r="M5869" s="5" t="s">
        <v>38307</v>
      </c>
      <c r="N5869" s="7" t="s">
        <v>38308</v>
      </c>
      <c r="O5869" s="8" t="str">
        <f>HYPERLINK("https://drive.google.com/file/d/16QBLa7rITAVRbMxIqBlIM3ztHY1TvjZK/view?usp=drivesdk","5868_Widya Fitri, Amd.Kep _ SERTIFIKAT BerAKHLAK")</f>
        <v>5868_Widya Fitri, Amd.Kep _ SERTIFIKAT BerAKHLAK</v>
      </c>
      <c r="P5869" s="5" t="s">
        <v>38294</v>
      </c>
    </row>
    <row r="5870">
      <c r="A5870" s="4">
        <v>45534.36386660879</v>
      </c>
      <c r="B5870" s="5" t="s">
        <v>34</v>
      </c>
      <c r="D5870" s="5" t="s">
        <v>35</v>
      </c>
      <c r="E5870" s="5" t="s">
        <v>38309</v>
      </c>
      <c r="F5870" s="5" t="s">
        <v>37</v>
      </c>
      <c r="G5870" s="5" t="s">
        <v>38310</v>
      </c>
      <c r="H5870" s="6" t="s">
        <v>38311</v>
      </c>
      <c r="K5870" s="5" t="s">
        <v>38286</v>
      </c>
      <c r="M5870" s="5" t="s">
        <v>38312</v>
      </c>
      <c r="N5870" s="7" t="s">
        <v>38313</v>
      </c>
      <c r="O5870" s="8" t="str">
        <f>HYPERLINK("https://drive.google.com/file/d/1_yW754yY1Y72nzHIphCnpirlekQsZek9/view?usp=drivesdk","5869_GITA RINA AGUSTINA, A.Md. Kes _ SERTIFIKAT BerAKHLAK")</f>
        <v>5869_GITA RINA AGUSTINA, A.Md. Kes _ SERTIFIKAT BerAKHLAK</v>
      </c>
      <c r="P5870" s="5" t="s">
        <v>38294</v>
      </c>
    </row>
    <row r="5871">
      <c r="A5871" s="4">
        <v>45534.36388034723</v>
      </c>
      <c r="B5871" s="5" t="s">
        <v>34</v>
      </c>
      <c r="D5871" s="5" t="s">
        <v>10444</v>
      </c>
      <c r="E5871" s="5" t="s">
        <v>38314</v>
      </c>
      <c r="F5871" s="5" t="s">
        <v>120</v>
      </c>
      <c r="G5871" s="5" t="s">
        <v>38315</v>
      </c>
      <c r="H5871" s="6" t="s">
        <v>38316</v>
      </c>
      <c r="I5871" s="7" t="s">
        <v>38317</v>
      </c>
      <c r="J5871" s="8" t="str">
        <f>HYPERLINK("https://drive.google.com/file/d/1rGW9MAb0KAyDNy1sLCKAqmk45AXH8XKt/view?usp=drivesdk","RAZIMIN S.SI M.M APT SERTIFIKAT BerAKHLAK")</f>
        <v>RAZIMIN S.SI M.M APT SERTIFIKAT BerAKHLAK</v>
      </c>
      <c r="K5871" s="5" t="s">
        <v>37841</v>
      </c>
      <c r="L5871" s="5" t="s">
        <v>38318</v>
      </c>
      <c r="M5871" s="5" t="s">
        <v>38319</v>
      </c>
      <c r="N5871" s="7" t="s">
        <v>38320</v>
      </c>
      <c r="O5871" s="8" t="str">
        <f>HYPERLINK("https://drive.google.com/file/d/1cSbbbqN-8cDS_w3fdqn6lIKYUSvAH-Rv/view?usp=drivesdk","5870_RAZIMIN S.SI M.M APT _ SERTIFIKAT BerAKHLAK")</f>
        <v>5870_RAZIMIN S.SI M.M APT _ SERTIFIKAT BerAKHLAK</v>
      </c>
      <c r="P5871" s="5" t="s">
        <v>38321</v>
      </c>
    </row>
    <row r="5872">
      <c r="A5872" s="4">
        <v>45534.363882233796</v>
      </c>
      <c r="B5872" s="5" t="s">
        <v>34</v>
      </c>
      <c r="D5872" s="5" t="s">
        <v>6232</v>
      </c>
      <c r="E5872" s="5" t="s">
        <v>38322</v>
      </c>
      <c r="F5872" s="5" t="s">
        <v>524</v>
      </c>
      <c r="G5872" s="5" t="s">
        <v>38323</v>
      </c>
      <c r="H5872" s="6" t="s">
        <v>38324</v>
      </c>
      <c r="I5872" s="7" t="s">
        <v>38325</v>
      </c>
      <c r="J5872" s="8" t="str">
        <f>HYPERLINK("https://drive.google.com/file/d/1Ik8M8xM_VfnPVT_1cEVu9bY5bKlBhjZ5/view?usp=drivesdk","UNTUNG. S. E SERTIFIKAT BerAKHLAK")</f>
        <v>UNTUNG. S. E SERTIFIKAT BerAKHLAK</v>
      </c>
      <c r="K5872" s="5" t="s">
        <v>37841</v>
      </c>
      <c r="L5872" s="5" t="s">
        <v>38326</v>
      </c>
      <c r="M5872" s="5" t="s">
        <v>38327</v>
      </c>
      <c r="N5872" s="7" t="s">
        <v>38328</v>
      </c>
      <c r="O5872" s="8" t="str">
        <f>HYPERLINK("https://drive.google.com/file/d/1LXzwpfm6rt44TouKec4s9W1wlX97p_z1/view?usp=drivesdk","5871_UNTUNG. S. E _ SERTIFIKAT BerAKHLAK")</f>
        <v>5871_UNTUNG. S. E _ SERTIFIKAT BerAKHLAK</v>
      </c>
      <c r="P5872" s="5" t="s">
        <v>38321</v>
      </c>
    </row>
    <row r="5873">
      <c r="A5873" s="4">
        <v>45534.3639002662</v>
      </c>
      <c r="B5873" s="5" t="s">
        <v>34</v>
      </c>
      <c r="D5873" s="5" t="s">
        <v>4775</v>
      </c>
      <c r="E5873" s="5" t="s">
        <v>38329</v>
      </c>
      <c r="F5873" s="5" t="s">
        <v>212</v>
      </c>
      <c r="G5873" s="5" t="s">
        <v>38330</v>
      </c>
      <c r="H5873" s="6" t="s">
        <v>38331</v>
      </c>
      <c r="I5873" s="7" t="s">
        <v>38332</v>
      </c>
      <c r="J5873" s="8" t="str">
        <f>HYPERLINK("https://drive.google.com/file/d/1-Ip0iuDo7JierJuNfEumFsJ7B_x0bfYz/view?usp=drivesdk","GUMILAR HENDRAWAN TAUFIQ SERTIFIKAT BerAKHLAK")</f>
        <v>GUMILAR HENDRAWAN TAUFIQ SERTIFIKAT BerAKHLAK</v>
      </c>
      <c r="K5873" s="5" t="s">
        <v>37841</v>
      </c>
      <c r="L5873" s="5" t="s">
        <v>38333</v>
      </c>
      <c r="M5873" s="5" t="s">
        <v>38334</v>
      </c>
      <c r="N5873" s="7" t="s">
        <v>38335</v>
      </c>
      <c r="O5873" s="8" t="str">
        <f>HYPERLINK("https://drive.google.com/file/d/1yIvIT9oRredGaIVB0aRm-OQHz6OneEV7/view?usp=drivesdk","5872_GUMILAR HENDRAWAN TAUFIQ _ SERTIFIKAT BerAKHLAK")</f>
        <v>5872_GUMILAR HENDRAWAN TAUFIQ _ SERTIFIKAT BerAKHLAK</v>
      </c>
      <c r="P5873" s="5" t="s">
        <v>38321</v>
      </c>
    </row>
    <row r="5874">
      <c r="A5874" s="4">
        <v>45534.36391435185</v>
      </c>
      <c r="B5874" s="5" t="s">
        <v>34</v>
      </c>
      <c r="D5874" s="5" t="s">
        <v>6232</v>
      </c>
      <c r="E5874" s="5" t="s">
        <v>38336</v>
      </c>
      <c r="F5874" s="5" t="s">
        <v>37</v>
      </c>
      <c r="G5874" s="5" t="s">
        <v>38337</v>
      </c>
      <c r="H5874" s="6" t="s">
        <v>38338</v>
      </c>
      <c r="I5874" s="7" t="s">
        <v>38339</v>
      </c>
      <c r="J5874" s="8" t="str">
        <f>HYPERLINK("https://drive.google.com/file/d/1u4xuwMO7g4Wlwt2NAZF7a6iBommJO0_P/view?usp=drivesdk","NOPRIWATY PRETTY SIHOTANG, A.Md.Keb. SERTIFIKAT BerAKHLAK")</f>
        <v>NOPRIWATY PRETTY SIHOTANG, A.Md.Keb. SERTIFIKAT BerAKHLAK</v>
      </c>
      <c r="K5874" s="5" t="s">
        <v>37841</v>
      </c>
      <c r="L5874" s="5" t="s">
        <v>38340</v>
      </c>
      <c r="M5874" s="5" t="s">
        <v>38341</v>
      </c>
      <c r="N5874" s="7" t="s">
        <v>38342</v>
      </c>
      <c r="O5874" s="8" t="str">
        <f>HYPERLINK("https://drive.google.com/file/d/1L9HkZ2NReLq5HpMLbpvM1BdV_al0JfjV/view?usp=drivesdk","5873_NOPRIWATY PRETTY SIHOTANG, A.Md.Keb. _ SERTIFIKAT BerAKHLAK")</f>
        <v>5873_NOPRIWATY PRETTY SIHOTANG, A.Md.Keb. _ SERTIFIKAT BerAKHLAK</v>
      </c>
      <c r="P5874" s="5" t="s">
        <v>38321</v>
      </c>
    </row>
    <row r="5875" hidden="1">
      <c r="A5875" s="4">
        <v>45534.363936435184</v>
      </c>
      <c r="B5875" s="5" t="s">
        <v>19</v>
      </c>
      <c r="C5875" s="5" t="s">
        <v>38343</v>
      </c>
      <c r="E5875" s="5" t="s">
        <v>38344</v>
      </c>
      <c r="F5875" s="5" t="s">
        <v>212</v>
      </c>
      <c r="G5875" s="5" t="s">
        <v>38345</v>
      </c>
      <c r="H5875" s="6" t="s">
        <v>38346</v>
      </c>
      <c r="K5875" s="5" t="s">
        <v>38347</v>
      </c>
      <c r="M5875" s="5" t="s">
        <v>38348</v>
      </c>
      <c r="N5875" s="7" t="s">
        <v>38349</v>
      </c>
      <c r="O5875" s="8" t="str">
        <f>HYPERLINK("https://drive.google.com/file/d/1kXCDEogR6SLFW28bzO-c5IbztJcHTNvW/view?usp=drivesdk","5874_WAHESTI RINA SARI _ SERTIFIKAT BerAKHLAK")</f>
        <v>5874_WAHESTI RINA SARI _ SERTIFIKAT BerAKHLAK</v>
      </c>
      <c r="P5875" s="5" t="s">
        <v>38321</v>
      </c>
    </row>
    <row r="5876">
      <c r="A5876" s="4">
        <v>45534.363938738425</v>
      </c>
      <c r="B5876" s="5" t="s">
        <v>34</v>
      </c>
      <c r="D5876" s="5" t="s">
        <v>9020</v>
      </c>
      <c r="E5876" s="5" t="s">
        <v>38350</v>
      </c>
      <c r="F5876" s="5" t="s">
        <v>72</v>
      </c>
      <c r="G5876" s="5" t="s">
        <v>38351</v>
      </c>
      <c r="H5876" s="6" t="s">
        <v>38352</v>
      </c>
      <c r="K5876" s="5" t="s">
        <v>38347</v>
      </c>
      <c r="M5876" s="5" t="s">
        <v>38353</v>
      </c>
      <c r="N5876" s="7" t="s">
        <v>38354</v>
      </c>
      <c r="O5876" s="8" t="str">
        <f>HYPERLINK("https://drive.google.com/file/d/1JhcOr_beWxta3MHkJWiOdWnhmpLjv0rl/view?usp=drivesdk","5875_HENNY TAMBUNAN, A.Md _ SERTIFIKAT BerAKHLAK")</f>
        <v>5875_HENNY TAMBUNAN, A.Md _ SERTIFIKAT BerAKHLAK</v>
      </c>
      <c r="P5876" s="5" t="s">
        <v>38355</v>
      </c>
    </row>
    <row r="5877">
      <c r="A5877" s="4">
        <v>45534.36394289352</v>
      </c>
      <c r="B5877" s="5" t="s">
        <v>34</v>
      </c>
      <c r="D5877" s="5" t="s">
        <v>701</v>
      </c>
      <c r="E5877" s="5" t="s">
        <v>38356</v>
      </c>
      <c r="F5877" s="5" t="s">
        <v>72</v>
      </c>
      <c r="G5877" s="5" t="s">
        <v>38357</v>
      </c>
      <c r="H5877" s="6" t="s">
        <v>38358</v>
      </c>
      <c r="K5877" s="5" t="s">
        <v>38347</v>
      </c>
      <c r="M5877" s="5" t="s">
        <v>38359</v>
      </c>
      <c r="N5877" s="7" t="s">
        <v>38360</v>
      </c>
      <c r="O5877" s="8" t="str">
        <f>HYPERLINK("https://drive.google.com/file/d/1a52hlMxKbpEuJBufZ00Ws48YAZRvdkSg/view?usp=drivesdk","5876_Dr.Selvia Emilya _ SERTIFIKAT BerAKHLAK")</f>
        <v>5876_Dr.Selvia Emilya _ SERTIFIKAT BerAKHLAK</v>
      </c>
      <c r="P5877" s="5" t="s">
        <v>38355</v>
      </c>
    </row>
    <row r="5878">
      <c r="A5878" s="4">
        <v>45534.3639578125</v>
      </c>
      <c r="B5878" s="5" t="s">
        <v>34</v>
      </c>
      <c r="D5878" s="5" t="s">
        <v>9020</v>
      </c>
      <c r="E5878" s="5" t="s">
        <v>38361</v>
      </c>
      <c r="F5878" s="5" t="s">
        <v>37</v>
      </c>
      <c r="G5878" s="5" t="s">
        <v>38362</v>
      </c>
      <c r="H5878" s="6" t="s">
        <v>38363</v>
      </c>
      <c r="K5878" s="5" t="s">
        <v>38347</v>
      </c>
      <c r="M5878" s="5" t="s">
        <v>38364</v>
      </c>
      <c r="N5878" s="7" t="s">
        <v>38365</v>
      </c>
      <c r="O5878" s="8" t="str">
        <f>HYPERLINK("https://drive.google.com/file/d/1XjIYHZOMMKYL9kR3HI83n0DuDnPv_EsG/view?usp=drivesdk","5877_SRI DANALIA NASUTION _ SERTIFIKAT BerAKHLAK")</f>
        <v>5877_SRI DANALIA NASUTION _ SERTIFIKAT BerAKHLAK</v>
      </c>
      <c r="P5878" s="5" t="s">
        <v>38355</v>
      </c>
    </row>
    <row r="5879">
      <c r="A5879" s="4">
        <v>45534.36396498843</v>
      </c>
      <c r="B5879" s="5" t="s">
        <v>34</v>
      </c>
      <c r="D5879" s="5" t="s">
        <v>6232</v>
      </c>
      <c r="E5879" s="5" t="s">
        <v>38366</v>
      </c>
      <c r="F5879" s="5" t="s">
        <v>37</v>
      </c>
      <c r="G5879" s="5" t="s">
        <v>38367</v>
      </c>
      <c r="H5879" s="6" t="s">
        <v>38368</v>
      </c>
      <c r="K5879" s="5" t="s">
        <v>38347</v>
      </c>
      <c r="M5879" s="5" t="s">
        <v>38369</v>
      </c>
      <c r="N5879" s="7" t="s">
        <v>38370</v>
      </c>
      <c r="O5879" s="8" t="str">
        <f>HYPERLINK("https://drive.google.com/file/d/15-WdRKVEsguYlhkZnJ10ul8CN718T0Tv/view?usp=drivesdk","5878_SAFIRA APRIYANI, A.Md.Kes. _ SERTIFIKAT BerAKHLAK")</f>
        <v>5878_SAFIRA APRIYANI, A.Md.Kes. _ SERTIFIKAT BerAKHLAK</v>
      </c>
      <c r="P5879" s="5" t="s">
        <v>38355</v>
      </c>
    </row>
    <row r="5880">
      <c r="A5880" s="4">
        <v>45534.36397929398</v>
      </c>
      <c r="B5880" s="5" t="s">
        <v>34</v>
      </c>
      <c r="D5880" s="5" t="s">
        <v>10297</v>
      </c>
      <c r="E5880" s="5" t="s">
        <v>38371</v>
      </c>
      <c r="F5880" s="5" t="s">
        <v>212</v>
      </c>
      <c r="G5880" s="5" t="s">
        <v>38372</v>
      </c>
      <c r="H5880" s="6" t="s">
        <v>38373</v>
      </c>
      <c r="K5880" s="5" t="s">
        <v>38347</v>
      </c>
      <c r="M5880" s="5" t="s">
        <v>38374</v>
      </c>
      <c r="N5880" s="7" t="s">
        <v>38375</v>
      </c>
      <c r="O5880" s="8" t="str">
        <f>HYPERLINK("https://drive.google.com/file/d/18a2KaXA183o8csEqWol2My-x10xF1Bx-/view?usp=drivesdk","5879_NI KADE SASIH ARINI _ SERTIFIKAT BerAKHLAK")</f>
        <v>5879_NI KADE SASIH ARINI _ SERTIFIKAT BerAKHLAK</v>
      </c>
      <c r="P5880" s="5" t="s">
        <v>38355</v>
      </c>
    </row>
    <row r="5881" hidden="1">
      <c r="A5881" s="4">
        <v>45534.36398920139</v>
      </c>
      <c r="B5881" s="5" t="s">
        <v>19</v>
      </c>
      <c r="C5881" s="5" t="s">
        <v>292</v>
      </c>
      <c r="E5881" s="5" t="s">
        <v>38376</v>
      </c>
      <c r="F5881" s="5" t="s">
        <v>524</v>
      </c>
      <c r="G5881" s="5" t="s">
        <v>38377</v>
      </c>
      <c r="H5881" s="6" t="s">
        <v>38378</v>
      </c>
      <c r="I5881" s="7" t="s">
        <v>38379</v>
      </c>
      <c r="J5881" s="8" t="str">
        <f>HYPERLINK("https://drive.google.com/file/d/1ng7ekn_BE3h3tyHCI3QjdZoKtwn8b2c2/view?usp=drivesdk","YETI KOMALASARI SERTIFIKAT BerAKHLAK")</f>
        <v>YETI KOMALASARI SERTIFIKAT BerAKHLAK</v>
      </c>
      <c r="K5881" s="5" t="s">
        <v>37841</v>
      </c>
      <c r="L5881" s="5" t="s">
        <v>38380</v>
      </c>
      <c r="M5881" s="5" t="s">
        <v>38381</v>
      </c>
      <c r="N5881" s="7" t="s">
        <v>38382</v>
      </c>
      <c r="O5881" s="8" t="str">
        <f>HYPERLINK("https://drive.google.com/file/d/1oWG7cvgJfeNKQAsj8Xkc8x9D6W7hb4p9/view?usp=drivesdk","5880_YETI KOMALASARI _ SERTIFIKAT BerAKHLAK")</f>
        <v>5880_YETI KOMALASARI _ SERTIFIKAT BerAKHLAK</v>
      </c>
      <c r="P5881" s="5" t="s">
        <v>38383</v>
      </c>
    </row>
    <row r="5882" hidden="1">
      <c r="A5882" s="4">
        <v>45534.363992604165</v>
      </c>
      <c r="B5882" s="5" t="s">
        <v>19</v>
      </c>
      <c r="C5882" s="5" t="s">
        <v>3471</v>
      </c>
      <c r="E5882" s="5" t="s">
        <v>38384</v>
      </c>
      <c r="F5882" s="5" t="s">
        <v>375</v>
      </c>
      <c r="G5882" s="5" t="s">
        <v>38385</v>
      </c>
      <c r="H5882" s="6" t="s">
        <v>38386</v>
      </c>
      <c r="K5882" s="5" t="s">
        <v>38387</v>
      </c>
      <c r="M5882" s="5" t="s">
        <v>38388</v>
      </c>
      <c r="N5882" s="7" t="s">
        <v>38389</v>
      </c>
      <c r="O5882" s="8" t="str">
        <f>HYPERLINK("https://drive.google.com/file/d/1btTcw1cdF__GptqE8XY--3X83H9Vemg6/view?usp=drivesdk","5881_NUR HIDAYATI _ SERTIFIKAT BerAKHLAK")</f>
        <v>5881_NUR HIDAYATI _ SERTIFIKAT BerAKHLAK</v>
      </c>
      <c r="P5882" s="5" t="s">
        <v>38383</v>
      </c>
    </row>
    <row r="5883">
      <c r="A5883" s="4">
        <v>45534.36402479166</v>
      </c>
      <c r="B5883" s="5" t="s">
        <v>34</v>
      </c>
      <c r="D5883" s="5" t="s">
        <v>9394</v>
      </c>
      <c r="E5883" s="5" t="s">
        <v>38390</v>
      </c>
      <c r="F5883" s="5" t="s">
        <v>715</v>
      </c>
      <c r="G5883" s="5" t="s">
        <v>38391</v>
      </c>
      <c r="H5883" s="6" t="s">
        <v>38392</v>
      </c>
      <c r="K5883" s="5" t="s">
        <v>38393</v>
      </c>
      <c r="M5883" s="5" t="s">
        <v>38394</v>
      </c>
      <c r="N5883" s="7" t="s">
        <v>38395</v>
      </c>
      <c r="O5883" s="8" t="str">
        <f>HYPERLINK("https://drive.google.com/file/d/1WYCyp7b4greGe9FqwYOWc17UFZDSs8lP/view?usp=drivesdk","5882_SEPTI RAHMADANI., A.MD., AKUN _ SERTIFIKAT BerAKHLAK")</f>
        <v>5882_SEPTI RAHMADANI., A.MD., AKUN _ SERTIFIKAT BerAKHLAK</v>
      </c>
      <c r="P5883" s="5" t="s">
        <v>38383</v>
      </c>
    </row>
    <row r="5884">
      <c r="A5884" s="4">
        <v>45534.36404284722</v>
      </c>
      <c r="B5884" s="5" t="s">
        <v>34</v>
      </c>
      <c r="D5884" s="5" t="s">
        <v>10297</v>
      </c>
      <c r="E5884" s="5" t="s">
        <v>38396</v>
      </c>
      <c r="F5884" s="5" t="s">
        <v>37</v>
      </c>
      <c r="G5884" s="5" t="s">
        <v>38397</v>
      </c>
      <c r="H5884" s="6" t="s">
        <v>38398</v>
      </c>
      <c r="K5884" s="5" t="s">
        <v>38393</v>
      </c>
      <c r="M5884" s="5" t="s">
        <v>38399</v>
      </c>
      <c r="N5884" s="7" t="s">
        <v>38400</v>
      </c>
      <c r="O5884" s="8" t="str">
        <f>HYPERLINK("https://drive.google.com/file/d/1I38_OFdMYMPLbTdYyVFkMgnMKcpsX1jS/view?usp=drivesdk","5883_AGUS WAHYUDI PRASETYO, S.SI _ SERTIFIKAT BerAKHLAK")</f>
        <v>5883_AGUS WAHYUDI PRASETYO, S.SI _ SERTIFIKAT BerAKHLAK</v>
      </c>
      <c r="P5884" s="5" t="s">
        <v>38401</v>
      </c>
    </row>
    <row r="5885">
      <c r="A5885" s="4">
        <v>45534.36404652778</v>
      </c>
      <c r="B5885" s="5" t="s">
        <v>34</v>
      </c>
      <c r="D5885" s="5" t="s">
        <v>10444</v>
      </c>
      <c r="E5885" s="5" t="s">
        <v>38402</v>
      </c>
      <c r="F5885" s="5" t="s">
        <v>37</v>
      </c>
      <c r="G5885" s="5" t="s">
        <v>38403</v>
      </c>
      <c r="H5885" s="6" t="s">
        <v>38404</v>
      </c>
      <c r="K5885" s="5" t="s">
        <v>38393</v>
      </c>
      <c r="M5885" s="5" t="s">
        <v>38405</v>
      </c>
      <c r="N5885" s="7" t="s">
        <v>38406</v>
      </c>
      <c r="O5885" s="8" t="str">
        <f>HYPERLINK("https://drive.google.com/file/d/1OZL0mnf1mqvEg3vKcA70AdaRPMPkUFDE/view?usp=drivesdk","5884_MUHAMMAD BUDAIRI  _ SERTIFIKAT BerAKHLAK")</f>
        <v>5884_MUHAMMAD BUDAIRI  _ SERTIFIKAT BerAKHLAK</v>
      </c>
      <c r="P5885" s="5" t="s">
        <v>38401</v>
      </c>
    </row>
    <row r="5886" hidden="1">
      <c r="A5886" s="4">
        <v>45534.36404789352</v>
      </c>
      <c r="B5886" s="5" t="s">
        <v>19</v>
      </c>
      <c r="C5886" s="5" t="s">
        <v>38343</v>
      </c>
      <c r="E5886" s="5" t="s">
        <v>38407</v>
      </c>
      <c r="F5886" s="5" t="s">
        <v>120</v>
      </c>
      <c r="G5886" s="5" t="s">
        <v>38408</v>
      </c>
      <c r="H5886" s="6" t="s">
        <v>38409</v>
      </c>
      <c r="K5886" s="5" t="s">
        <v>38393</v>
      </c>
      <c r="M5886" s="5" t="s">
        <v>38410</v>
      </c>
      <c r="N5886" s="7" t="s">
        <v>38411</v>
      </c>
      <c r="O5886" s="8" t="str">
        <f>HYPERLINK("https://drive.google.com/file/d/1XnE6EcTP1cg1Ipt2KLtyRotoi1JofaIV/view?usp=drivesdk","5885_PRIYO SUDARSONO, S.Kom _ SERTIFIKAT BerAKHLAK")</f>
        <v>5885_PRIYO SUDARSONO, S.Kom _ SERTIFIKAT BerAKHLAK</v>
      </c>
      <c r="P5886" s="5" t="s">
        <v>38401</v>
      </c>
    </row>
    <row r="5887">
      <c r="A5887" s="4">
        <v>45534.36405804398</v>
      </c>
      <c r="B5887" s="5" t="s">
        <v>34</v>
      </c>
      <c r="D5887" s="5" t="s">
        <v>1206</v>
      </c>
      <c r="E5887" s="5" t="s">
        <v>38412</v>
      </c>
      <c r="F5887" s="5" t="s">
        <v>72</v>
      </c>
      <c r="G5887" s="5" t="s">
        <v>38413</v>
      </c>
      <c r="H5887" s="6" t="s">
        <v>38414</v>
      </c>
      <c r="K5887" s="5" t="s">
        <v>38393</v>
      </c>
      <c r="M5887" s="5" t="s">
        <v>38415</v>
      </c>
      <c r="N5887" s="7" t="s">
        <v>38416</v>
      </c>
      <c r="O5887" s="8" t="str">
        <f>HYPERLINK("https://drive.google.com/file/d/1cvPp7fJhTKZYIvkVAHYV1t0EZtBKwTMI/view?usp=drivesdk","5886_IDA ROCHANI _ SERTIFIKAT BerAKHLAK")</f>
        <v>5886_IDA ROCHANI _ SERTIFIKAT BerAKHLAK</v>
      </c>
      <c r="P5887" s="5" t="s">
        <v>38401</v>
      </c>
    </row>
    <row r="5888" hidden="1">
      <c r="A5888" s="4">
        <v>45534.36406013889</v>
      </c>
      <c r="B5888" s="5" t="s">
        <v>19</v>
      </c>
      <c r="C5888" s="5" t="s">
        <v>292</v>
      </c>
      <c r="E5888" s="5" t="s">
        <v>38417</v>
      </c>
      <c r="F5888" s="5" t="s">
        <v>212</v>
      </c>
      <c r="G5888" s="5" t="s">
        <v>38418</v>
      </c>
      <c r="H5888" s="6" t="s">
        <v>38419</v>
      </c>
      <c r="K5888" s="5" t="s">
        <v>38393</v>
      </c>
      <c r="M5888" s="5" t="s">
        <v>38420</v>
      </c>
      <c r="N5888" s="7" t="s">
        <v>38421</v>
      </c>
      <c r="O5888" s="8" t="str">
        <f>HYPERLINK("https://drive.google.com/file/d/1l4XwS9NqrzPuMDIKaK_rqk0YZDF3xyud/view?usp=drivesdk","5887_ROHMAD _ SERTIFIKAT BerAKHLAK")</f>
        <v>5887_ROHMAD _ SERTIFIKAT BerAKHLAK</v>
      </c>
      <c r="P5888" s="5" t="s">
        <v>38422</v>
      </c>
    </row>
    <row r="5889">
      <c r="A5889" s="4">
        <v>45534.36406228009</v>
      </c>
      <c r="B5889" s="5" t="s">
        <v>34</v>
      </c>
      <c r="D5889" s="5" t="s">
        <v>2903</v>
      </c>
      <c r="E5889" s="5" t="s">
        <v>38423</v>
      </c>
      <c r="F5889" s="5" t="s">
        <v>524</v>
      </c>
      <c r="G5889" s="5" t="s">
        <v>38424</v>
      </c>
      <c r="H5889" s="6" t="s">
        <v>38425</v>
      </c>
      <c r="K5889" s="5" t="s">
        <v>38393</v>
      </c>
      <c r="M5889" s="5" t="s">
        <v>38426</v>
      </c>
      <c r="N5889" s="7" t="s">
        <v>38427</v>
      </c>
      <c r="O5889" s="8" t="str">
        <f>HYPERLINK("https://drive.google.com/file/d/11Z_g4zuJcBlTBMY-XuDW77Zrefsqx_D5/view?usp=drivesdk","5888_ADI SUMAWAN  _ SERTIFIKAT BerAKHLAK")</f>
        <v>5888_ADI SUMAWAN  _ SERTIFIKAT BerAKHLAK</v>
      </c>
      <c r="P5889" s="5" t="s">
        <v>38422</v>
      </c>
    </row>
    <row r="5890">
      <c r="A5890" s="4">
        <v>45534.364064733796</v>
      </c>
      <c r="B5890" s="5" t="s">
        <v>34</v>
      </c>
      <c r="D5890" s="5" t="s">
        <v>6232</v>
      </c>
      <c r="E5890" s="5" t="s">
        <v>38428</v>
      </c>
      <c r="F5890" s="5" t="s">
        <v>108</v>
      </c>
      <c r="G5890" s="5" t="s">
        <v>38429</v>
      </c>
      <c r="H5890" s="6" t="s">
        <v>38430</v>
      </c>
      <c r="K5890" s="5" t="s">
        <v>38393</v>
      </c>
      <c r="M5890" s="5" t="s">
        <v>38431</v>
      </c>
      <c r="N5890" s="7" t="s">
        <v>38432</v>
      </c>
      <c r="O5890" s="8" t="str">
        <f>HYPERLINK("https://drive.google.com/file/d/1z8Y-RkwCCFSLVK3CeO-r14YBCMJ0sXnw/view?usp=drivesdk","5889_SANTI, S.E. _ SERTIFIKAT BerAKHLAK")</f>
        <v>5889_SANTI, S.E. _ SERTIFIKAT BerAKHLAK</v>
      </c>
      <c r="P5890" s="5" t="s">
        <v>38422</v>
      </c>
    </row>
    <row r="5891">
      <c r="A5891" s="4">
        <v>45534.36406857639</v>
      </c>
      <c r="B5891" s="5" t="s">
        <v>34</v>
      </c>
      <c r="D5891" s="5" t="s">
        <v>10297</v>
      </c>
      <c r="E5891" s="5" t="s">
        <v>38433</v>
      </c>
      <c r="F5891" s="5" t="s">
        <v>524</v>
      </c>
      <c r="G5891" s="5" t="s">
        <v>38434</v>
      </c>
      <c r="H5891" s="6" t="s">
        <v>38435</v>
      </c>
      <c r="K5891" s="5" t="s">
        <v>38393</v>
      </c>
      <c r="M5891" s="5" t="s">
        <v>38436</v>
      </c>
      <c r="N5891" s="7" t="s">
        <v>38437</v>
      </c>
      <c r="O5891" s="8" t="str">
        <f>HYPERLINK("https://drive.google.com/file/d/1nemvsIc-Nx22ds9-XZZCRVPdz-IS-V-7/view?usp=drivesdk","5890_I KETUT SUDIARTA  _ SERTIFIKAT BerAKHLAK")</f>
        <v>5890_I KETUT SUDIARTA  _ SERTIFIKAT BerAKHLAK</v>
      </c>
      <c r="P5891" s="5" t="s">
        <v>38422</v>
      </c>
    </row>
    <row r="5892">
      <c r="A5892" s="4">
        <v>45534.36407635416</v>
      </c>
      <c r="B5892" s="5" t="s">
        <v>34</v>
      </c>
      <c r="D5892" s="5" t="s">
        <v>1206</v>
      </c>
      <c r="E5892" s="5" t="s">
        <v>38438</v>
      </c>
      <c r="F5892" s="5" t="s">
        <v>212</v>
      </c>
      <c r="G5892" s="5" t="s">
        <v>38439</v>
      </c>
      <c r="H5892" s="6" t="s">
        <v>38440</v>
      </c>
      <c r="K5892" s="5" t="s">
        <v>38393</v>
      </c>
      <c r="M5892" s="5" t="s">
        <v>38441</v>
      </c>
      <c r="N5892" s="7" t="s">
        <v>38442</v>
      </c>
      <c r="O5892" s="8" t="str">
        <f>HYPERLINK("https://drive.google.com/file/d/1f_VvKVGs6sHmOVATfKg5Ts9SFH034cGB/view?usp=drivesdk","5891_SRI ENDANG LASTARI  _ SERTIFIKAT BerAKHLAK")</f>
        <v>5891_SRI ENDANG LASTARI  _ SERTIFIKAT BerAKHLAK</v>
      </c>
      <c r="P5892" s="5" t="s">
        <v>38422</v>
      </c>
    </row>
    <row r="5893">
      <c r="A5893" s="4">
        <v>45534.364080011575</v>
      </c>
      <c r="B5893" s="5" t="s">
        <v>34</v>
      </c>
      <c r="D5893" s="5" t="s">
        <v>701</v>
      </c>
      <c r="E5893" s="5" t="s">
        <v>38443</v>
      </c>
      <c r="F5893" s="5" t="s">
        <v>524</v>
      </c>
      <c r="G5893" s="5" t="s">
        <v>38444</v>
      </c>
      <c r="H5893" s="6" t="s">
        <v>38445</v>
      </c>
      <c r="K5893" s="5" t="s">
        <v>38393</v>
      </c>
      <c r="M5893" s="5" t="s">
        <v>38446</v>
      </c>
      <c r="N5893" s="7" t="s">
        <v>38447</v>
      </c>
      <c r="O5893" s="8" t="str">
        <f>HYPERLINK("https://drive.google.com/file/d/1T4A7h1_CeycBX2X9Ei82RqT_7THz2SXg/view?usp=drivesdk","5892_ANDI BENBELLA SE _ SERTIFIKAT BerAKHLAK")</f>
        <v>5892_ANDI BENBELLA SE _ SERTIFIKAT BerAKHLAK</v>
      </c>
      <c r="P5893" s="5" t="s">
        <v>38448</v>
      </c>
    </row>
    <row r="5894">
      <c r="A5894" s="4">
        <v>45534.36408449074</v>
      </c>
      <c r="B5894" s="5" t="s">
        <v>34</v>
      </c>
      <c r="D5894" s="5" t="s">
        <v>6232</v>
      </c>
      <c r="E5894" s="5" t="s">
        <v>38449</v>
      </c>
      <c r="F5894" s="5" t="s">
        <v>108</v>
      </c>
      <c r="G5894" s="5" t="s">
        <v>38450</v>
      </c>
      <c r="H5894" s="6" t="s">
        <v>38451</v>
      </c>
      <c r="K5894" s="5" t="s">
        <v>38393</v>
      </c>
      <c r="M5894" s="5" t="s">
        <v>38452</v>
      </c>
      <c r="N5894" s="7" t="s">
        <v>38453</v>
      </c>
      <c r="O5894" s="8" t="str">
        <f>HYPERLINK("https://drive.google.com/file/d/1PKdGJTss1EkTnqVI6Pd9UGXlENG9cxWx/view?usp=drivesdk","5893_Ns.SARJAN BADAWI,S.Kep _ SERTIFIKAT BerAKHLAK")</f>
        <v>5893_Ns.SARJAN BADAWI,S.Kep _ SERTIFIKAT BerAKHLAK</v>
      </c>
      <c r="P5894" s="5" t="s">
        <v>38448</v>
      </c>
    </row>
    <row r="5895">
      <c r="A5895" s="4">
        <v>45534.36409722222</v>
      </c>
      <c r="B5895" s="5" t="s">
        <v>34</v>
      </c>
      <c r="D5895" s="5" t="s">
        <v>6232</v>
      </c>
      <c r="E5895" s="5" t="s">
        <v>38454</v>
      </c>
      <c r="F5895" s="5" t="s">
        <v>524</v>
      </c>
      <c r="G5895" s="5" t="s">
        <v>38455</v>
      </c>
      <c r="H5895" s="6" t="s">
        <v>38456</v>
      </c>
      <c r="K5895" s="5" t="s">
        <v>38457</v>
      </c>
      <c r="M5895" s="5" t="s">
        <v>38458</v>
      </c>
      <c r="N5895" s="7" t="s">
        <v>38459</v>
      </c>
      <c r="O5895" s="8" t="str">
        <f>HYPERLINK("https://drive.google.com/file/d/1uLKEH2wAVdExLsCnSWLjVJOEUrDhPywP/view?usp=drivesdk","5894_CINDY NATAYA PUTRI, S.TR.AK _ SERTIFIKAT BerAKHLAK")</f>
        <v>5894_CINDY NATAYA PUTRI, S.TR.AK _ SERTIFIKAT BerAKHLAK</v>
      </c>
      <c r="P5895" s="5" t="s">
        <v>38448</v>
      </c>
    </row>
    <row r="5896">
      <c r="A5896" s="4">
        <v>45534.364097708334</v>
      </c>
      <c r="B5896" s="5" t="s">
        <v>34</v>
      </c>
      <c r="D5896" s="5" t="s">
        <v>6232</v>
      </c>
      <c r="E5896" s="5" t="s">
        <v>38460</v>
      </c>
      <c r="F5896" s="5" t="s">
        <v>715</v>
      </c>
      <c r="G5896" s="5" t="s">
        <v>38461</v>
      </c>
      <c r="H5896" s="6" t="s">
        <v>38462</v>
      </c>
      <c r="K5896" s="5" t="s">
        <v>38457</v>
      </c>
      <c r="M5896" s="5" t="s">
        <v>38463</v>
      </c>
      <c r="N5896" s="7" t="s">
        <v>38464</v>
      </c>
      <c r="O5896" s="8" t="str">
        <f>HYPERLINK("https://drive.google.com/file/d/1HwYbeeAHoItWLePmlCVfkAvi--_C78kz/view?usp=drivesdk","5895_SEFRIYANTI SINTAULI SIAGIAN, A.Md _ SERTIFIKAT BerAKHLAK")</f>
        <v>5895_SEFRIYANTI SINTAULI SIAGIAN, A.Md _ SERTIFIKAT BerAKHLAK</v>
      </c>
      <c r="P5896" s="5" t="s">
        <v>38448</v>
      </c>
    </row>
    <row r="5897">
      <c r="A5897" s="4">
        <v>45534.36410107639</v>
      </c>
      <c r="B5897" s="5" t="s">
        <v>34</v>
      </c>
      <c r="D5897" s="5" t="s">
        <v>9020</v>
      </c>
      <c r="E5897" s="5" t="s">
        <v>38465</v>
      </c>
      <c r="F5897" s="5" t="s">
        <v>72</v>
      </c>
      <c r="G5897" s="5" t="s">
        <v>38466</v>
      </c>
      <c r="H5897" s="6" t="s">
        <v>38467</v>
      </c>
      <c r="K5897" s="5" t="s">
        <v>38457</v>
      </c>
      <c r="M5897" s="5" t="s">
        <v>38468</v>
      </c>
      <c r="N5897" s="7" t="s">
        <v>38469</v>
      </c>
      <c r="O5897" s="8" t="str">
        <f>HYPERLINK("https://drive.google.com/file/d/1lI3MBd7W-PZEDWY-uI9V3NfDoXaJWyxR/view?usp=drivesdk","5896_ELVIDA,S.Kep.,Ns _ SERTIFIKAT BerAKHLAK")</f>
        <v>5896_ELVIDA,S.Kep.,Ns _ SERTIFIKAT BerAKHLAK</v>
      </c>
      <c r="P5897" s="5" t="s">
        <v>38448</v>
      </c>
    </row>
    <row r="5898">
      <c r="A5898" s="4">
        <v>45534.364114282405</v>
      </c>
      <c r="B5898" s="5" t="s">
        <v>34</v>
      </c>
      <c r="D5898" s="5" t="s">
        <v>4775</v>
      </c>
      <c r="E5898" s="5" t="s">
        <v>38470</v>
      </c>
      <c r="F5898" s="5" t="s">
        <v>72</v>
      </c>
      <c r="G5898" s="5" t="s">
        <v>38471</v>
      </c>
      <c r="H5898" s="6" t="s">
        <v>38472</v>
      </c>
      <c r="K5898" s="5" t="s">
        <v>38457</v>
      </c>
      <c r="M5898" s="5" t="s">
        <v>38473</v>
      </c>
      <c r="N5898" s="7" t="s">
        <v>38474</v>
      </c>
      <c r="O5898" s="8" t="str">
        <f>HYPERLINK("https://drive.google.com/file/d/18LABJgKa2Ne7L9vjejD14gkX2cVeyksS/view?usp=drivesdk","5897_SUROSO,SE _ SERTIFIKAT BerAKHLAK")</f>
        <v>5897_SUROSO,SE _ SERTIFIKAT BerAKHLAK</v>
      </c>
      <c r="P5898" s="5" t="s">
        <v>38475</v>
      </c>
    </row>
    <row r="5899">
      <c r="A5899" s="4">
        <v>45534.36413119213</v>
      </c>
      <c r="B5899" s="5" t="s">
        <v>34</v>
      </c>
      <c r="D5899" s="5" t="s">
        <v>9020</v>
      </c>
      <c r="E5899" s="5" t="s">
        <v>38476</v>
      </c>
      <c r="F5899" s="5" t="s">
        <v>37</v>
      </c>
      <c r="G5899" s="5" t="s">
        <v>38477</v>
      </c>
      <c r="H5899" s="6" t="s">
        <v>38478</v>
      </c>
      <c r="K5899" s="5" t="s">
        <v>38479</v>
      </c>
      <c r="M5899" s="5" t="s">
        <v>38480</v>
      </c>
      <c r="N5899" s="7" t="s">
        <v>38481</v>
      </c>
      <c r="O5899" s="8" t="str">
        <f>HYPERLINK("https://drive.google.com/file/d/13kHcaeqCh56JwzokBTmKek5MFpGPipWz/view?usp=drivesdk","5898_DIAN FIRNANDA _ SERTIFIKAT BerAKHLAK")</f>
        <v>5898_DIAN FIRNANDA _ SERTIFIKAT BerAKHLAK</v>
      </c>
      <c r="P5899" s="5" t="s">
        <v>38475</v>
      </c>
    </row>
    <row r="5900">
      <c r="A5900" s="4">
        <v>45534.364131967595</v>
      </c>
      <c r="B5900" s="5" t="s">
        <v>34</v>
      </c>
      <c r="D5900" s="5" t="s">
        <v>1206</v>
      </c>
      <c r="E5900" s="5" t="s">
        <v>38482</v>
      </c>
      <c r="F5900" s="5" t="s">
        <v>212</v>
      </c>
      <c r="G5900" s="5" t="s">
        <v>38483</v>
      </c>
      <c r="H5900" s="6" t="s">
        <v>38484</v>
      </c>
      <c r="K5900" s="5" t="s">
        <v>38479</v>
      </c>
      <c r="M5900" s="5" t="s">
        <v>38485</v>
      </c>
      <c r="N5900" s="7" t="s">
        <v>38486</v>
      </c>
      <c r="O5900" s="8" t="str">
        <f>HYPERLINK("https://drive.google.com/file/d/1inQ2B-uttn0kuqtBu7Q5wiXZjsdjQF5I/view?usp=drivesdk","5899_LIS AMALIA _ SERTIFIKAT BerAKHLAK")</f>
        <v>5899_LIS AMALIA _ SERTIFIKAT BerAKHLAK</v>
      </c>
      <c r="P5900" s="5" t="s">
        <v>38475</v>
      </c>
    </row>
    <row r="5901">
      <c r="A5901" s="4">
        <v>45534.36415858797</v>
      </c>
      <c r="B5901" s="5" t="s">
        <v>34</v>
      </c>
      <c r="D5901" s="5" t="s">
        <v>12978</v>
      </c>
      <c r="E5901" s="5" t="s">
        <v>38487</v>
      </c>
      <c r="F5901" s="5" t="s">
        <v>375</v>
      </c>
      <c r="G5901" s="5" t="s">
        <v>38488</v>
      </c>
      <c r="H5901" s="6" t="s">
        <v>38489</v>
      </c>
      <c r="K5901" s="5" t="s">
        <v>38490</v>
      </c>
      <c r="M5901" s="5" t="s">
        <v>38491</v>
      </c>
      <c r="N5901" s="7" t="s">
        <v>38492</v>
      </c>
      <c r="O5901" s="8" t="str">
        <f>HYPERLINK("https://drive.google.com/file/d/1fTeMN662kwaACrE4gudoaiXWSlVCy5B-/view?usp=drivesdk","5900_ROSMALENI,S.E. _ SERTIFIKAT BerAKHLAK")</f>
        <v>5900_ROSMALENI,S.E. _ SERTIFIKAT BerAKHLAK</v>
      </c>
      <c r="P5901" s="5" t="s">
        <v>38475</v>
      </c>
    </row>
    <row r="5902">
      <c r="A5902" s="4">
        <v>45534.36415869213</v>
      </c>
      <c r="B5902" s="5" t="s">
        <v>34</v>
      </c>
      <c r="D5902" s="5" t="s">
        <v>4775</v>
      </c>
      <c r="E5902" s="5" t="s">
        <v>34744</v>
      </c>
      <c r="F5902" s="5" t="s">
        <v>108</v>
      </c>
      <c r="G5902" s="5" t="s">
        <v>38493</v>
      </c>
      <c r="H5902" s="6" t="s">
        <v>38494</v>
      </c>
      <c r="K5902" s="5" t="s">
        <v>38490</v>
      </c>
      <c r="M5902" s="5" t="s">
        <v>38495</v>
      </c>
      <c r="N5902" s="7" t="s">
        <v>38496</v>
      </c>
      <c r="O5902" s="8" t="str">
        <f>HYPERLINK("https://drive.google.com/file/d/1K-T_1bzhppJwK896mspMbkZuZ5QSXWVI/view?usp=drivesdk","5901_SUDARTI _ SERTIFIKAT BerAKHLAK")</f>
        <v>5901_SUDARTI _ SERTIFIKAT BerAKHLAK</v>
      </c>
      <c r="P5902" s="5" t="s">
        <v>38497</v>
      </c>
    </row>
    <row r="5903">
      <c r="A5903" s="4">
        <v>45534.36416055556</v>
      </c>
      <c r="B5903" s="5" t="s">
        <v>34</v>
      </c>
      <c r="D5903" s="5" t="s">
        <v>1206</v>
      </c>
      <c r="E5903" s="5" t="s">
        <v>38498</v>
      </c>
      <c r="F5903" s="5" t="s">
        <v>212</v>
      </c>
      <c r="G5903" s="5" t="s">
        <v>38499</v>
      </c>
      <c r="H5903" s="6" t="s">
        <v>38500</v>
      </c>
      <c r="K5903" s="5" t="s">
        <v>38490</v>
      </c>
      <c r="M5903" s="5" t="s">
        <v>38501</v>
      </c>
      <c r="N5903" s="7" t="s">
        <v>38502</v>
      </c>
      <c r="O5903" s="8" t="str">
        <f>HYPERLINK("https://drive.google.com/file/d/1rVsJZOe6kBPc8Le4XU-lkd89mxaRSwjw/view?usp=drivesdk","5902_SUSIATI  _ SERTIFIKAT BerAKHLAK")</f>
        <v>5902_SUSIATI  _ SERTIFIKAT BerAKHLAK</v>
      </c>
      <c r="P5903" s="5" t="s">
        <v>38497</v>
      </c>
    </row>
    <row r="5904">
      <c r="A5904" s="4">
        <v>45534.36416332176</v>
      </c>
      <c r="B5904" s="5" t="s">
        <v>34</v>
      </c>
      <c r="D5904" s="5" t="s">
        <v>4775</v>
      </c>
      <c r="E5904" s="5" t="s">
        <v>38503</v>
      </c>
      <c r="F5904" s="5" t="s">
        <v>37</v>
      </c>
      <c r="G5904" s="5" t="s">
        <v>38504</v>
      </c>
      <c r="H5904" s="6" t="s">
        <v>38505</v>
      </c>
      <c r="K5904" s="5" t="s">
        <v>38490</v>
      </c>
      <c r="M5904" s="5" t="s">
        <v>38506</v>
      </c>
      <c r="N5904" s="7" t="s">
        <v>38507</v>
      </c>
      <c r="O5904" s="8" t="str">
        <f>HYPERLINK("https://drive.google.com/file/d/1DAUgqOcQnOFaXEQYWzJsOy6m7Y1jkOfG/view?usp=drivesdk","5903_WIDIYASTUTIK _ SERTIFIKAT BerAKHLAK")</f>
        <v>5903_WIDIYASTUTIK _ SERTIFIKAT BerAKHLAK</v>
      </c>
      <c r="P5904" s="5" t="s">
        <v>38497</v>
      </c>
    </row>
    <row r="5905">
      <c r="A5905" s="4">
        <v>45534.36417423611</v>
      </c>
      <c r="B5905" s="5" t="s">
        <v>34</v>
      </c>
      <c r="D5905" s="5" t="s">
        <v>267</v>
      </c>
      <c r="E5905" s="5" t="s">
        <v>38508</v>
      </c>
      <c r="F5905" s="5" t="s">
        <v>212</v>
      </c>
      <c r="G5905" s="5" t="s">
        <v>38509</v>
      </c>
      <c r="H5905" s="6" t="s">
        <v>38510</v>
      </c>
      <c r="K5905" s="5" t="s">
        <v>38490</v>
      </c>
      <c r="M5905" s="5" t="s">
        <v>38511</v>
      </c>
      <c r="N5905" s="7" t="s">
        <v>38512</v>
      </c>
      <c r="O5905" s="8" t="str">
        <f>HYPERLINK("https://drive.google.com/file/d/1hVw-kfAOr_xTKUE2_9zO2nrh5ChSAp-X/view?usp=drivesdk","5904_DAlIMUN _ SERTIFIKAT BerAKHLAK")</f>
        <v>5904_DAlIMUN _ SERTIFIKAT BerAKHLAK</v>
      </c>
      <c r="P5905" s="5" t="s">
        <v>38497</v>
      </c>
    </row>
    <row r="5906" hidden="1">
      <c r="A5906" s="4">
        <v>45534.36417832176</v>
      </c>
      <c r="B5906" s="5" t="s">
        <v>19</v>
      </c>
      <c r="C5906" s="5" t="s">
        <v>442</v>
      </c>
      <c r="E5906" s="5" t="s">
        <v>38513</v>
      </c>
      <c r="F5906" s="5" t="s">
        <v>72</v>
      </c>
      <c r="G5906" s="5" t="s">
        <v>38514</v>
      </c>
      <c r="H5906" s="6" t="s">
        <v>38515</v>
      </c>
      <c r="K5906" s="5" t="s">
        <v>38516</v>
      </c>
      <c r="M5906" s="5" t="s">
        <v>38517</v>
      </c>
      <c r="N5906" s="7" t="s">
        <v>38518</v>
      </c>
      <c r="O5906" s="8" t="str">
        <f>HYPERLINK("https://drive.google.com/file/d/1jngORW0T2ATXQ79vmccPqeLO7E8mMHd_/view?usp=drivesdk","5905_MARSILAH _ SERTIFIKAT BerAKHLAK")</f>
        <v>5905_MARSILAH _ SERTIFIKAT BerAKHLAK</v>
      </c>
      <c r="P5906" s="5" t="s">
        <v>38497</v>
      </c>
    </row>
    <row r="5907">
      <c r="A5907" s="4">
        <v>45534.364181006946</v>
      </c>
      <c r="B5907" s="5" t="s">
        <v>34</v>
      </c>
      <c r="D5907" s="5" t="s">
        <v>280</v>
      </c>
      <c r="E5907" s="5" t="s">
        <v>38519</v>
      </c>
      <c r="F5907" s="5" t="s">
        <v>37</v>
      </c>
      <c r="G5907" s="5" t="s">
        <v>38520</v>
      </c>
      <c r="H5907" s="6" t="s">
        <v>38521</v>
      </c>
      <c r="K5907" s="5" t="s">
        <v>38516</v>
      </c>
      <c r="M5907" s="5" t="s">
        <v>38522</v>
      </c>
      <c r="N5907" s="7" t="s">
        <v>38523</v>
      </c>
      <c r="O5907" s="8" t="str">
        <f>HYPERLINK("https://drive.google.com/file/d/1cvJ6p5BVwG1sW5uA_HphyDL2n6GWx8ww/view?usp=drivesdk","5906_NOVI ARDI  _ SERTIFIKAT BerAKHLAK")</f>
        <v>5906_NOVI ARDI  _ SERTIFIKAT BerAKHLAK</v>
      </c>
      <c r="P5907" s="5" t="s">
        <v>38524</v>
      </c>
    </row>
    <row r="5908">
      <c r="A5908" s="4">
        <v>45534.36419512732</v>
      </c>
      <c r="B5908" s="5" t="s">
        <v>34</v>
      </c>
      <c r="D5908" s="5" t="s">
        <v>10297</v>
      </c>
      <c r="E5908" s="5" t="s">
        <v>38525</v>
      </c>
      <c r="F5908" s="5" t="s">
        <v>120</v>
      </c>
      <c r="G5908" s="5" t="s">
        <v>38526</v>
      </c>
      <c r="H5908" s="6" t="s">
        <v>38527</v>
      </c>
      <c r="K5908" s="5" t="s">
        <v>38516</v>
      </c>
      <c r="M5908" s="5" t="s">
        <v>38528</v>
      </c>
      <c r="N5908" s="7" t="s">
        <v>38529</v>
      </c>
      <c r="O5908" s="8" t="str">
        <f>HYPERLINK("https://drive.google.com/file/d/1N59C86yRoYjzTlPEmT29ZZIqtLfM3xUN/view?usp=drivesdk","5907_YETTY WULANSARI, S.E. _ SERTIFIKAT BerAKHLAK")</f>
        <v>5907_YETTY WULANSARI, S.E. _ SERTIFIKAT BerAKHLAK</v>
      </c>
      <c r="P5908" s="5" t="s">
        <v>38524</v>
      </c>
    </row>
    <row r="5909">
      <c r="A5909" s="4">
        <v>45534.36420413194</v>
      </c>
      <c r="B5909" s="5" t="s">
        <v>34</v>
      </c>
      <c r="D5909" s="5" t="s">
        <v>2903</v>
      </c>
      <c r="E5909" s="5" t="s">
        <v>38530</v>
      </c>
      <c r="F5909" s="5" t="s">
        <v>37</v>
      </c>
      <c r="G5909" s="5" t="s">
        <v>38531</v>
      </c>
      <c r="H5909" s="6" t="s">
        <v>38532</v>
      </c>
      <c r="K5909" s="5" t="s">
        <v>38516</v>
      </c>
      <c r="M5909" s="5" t="s">
        <v>38533</v>
      </c>
      <c r="N5909" s="7" t="s">
        <v>38534</v>
      </c>
      <c r="O5909" s="8" t="str">
        <f>HYPERLINK("https://drive.google.com/file/d/15kmg8mrEoNAkn-TV_K01-NfBPSP9Xyy6/view?usp=drivesdk","5908_SAHIRMANTO, S.H. _ SERTIFIKAT BerAKHLAK")</f>
        <v>5908_SAHIRMANTO, S.H. _ SERTIFIKAT BerAKHLAK</v>
      </c>
      <c r="P5909" s="5" t="s">
        <v>38524</v>
      </c>
    </row>
    <row r="5910">
      <c r="A5910" s="4">
        <v>45534.364216898146</v>
      </c>
      <c r="B5910" s="5" t="s">
        <v>34</v>
      </c>
      <c r="D5910" s="5" t="s">
        <v>701</v>
      </c>
      <c r="E5910" s="5" t="s">
        <v>38535</v>
      </c>
      <c r="F5910" s="5" t="s">
        <v>37</v>
      </c>
      <c r="G5910" s="5" t="s">
        <v>38536</v>
      </c>
      <c r="H5910" s="6" t="s">
        <v>38537</v>
      </c>
      <c r="K5910" s="5" t="s">
        <v>38516</v>
      </c>
      <c r="M5910" s="5" t="s">
        <v>38538</v>
      </c>
      <c r="N5910" s="7" t="s">
        <v>38539</v>
      </c>
      <c r="O5910" s="8" t="str">
        <f>HYPERLINK("https://drive.google.com/file/d/1j16f-BULYqVBi34ANgbUwPxD3hcFiatI/view?usp=drivesdk","5909_RUDI SAPUTRA, S.H. _ SERTIFIKAT BerAKHLAK")</f>
        <v>5909_RUDI SAPUTRA, S.H. _ SERTIFIKAT BerAKHLAK</v>
      </c>
      <c r="P5910" s="5" t="s">
        <v>38524</v>
      </c>
    </row>
    <row r="5911">
      <c r="A5911" s="4">
        <v>45534.3642170949</v>
      </c>
      <c r="B5911" s="5" t="s">
        <v>34</v>
      </c>
      <c r="D5911" s="5" t="s">
        <v>35</v>
      </c>
      <c r="E5911" s="5" t="s">
        <v>24609</v>
      </c>
      <c r="F5911" s="5" t="s">
        <v>37</v>
      </c>
      <c r="G5911" s="5" t="s">
        <v>24610</v>
      </c>
      <c r="H5911" s="6" t="s">
        <v>38540</v>
      </c>
      <c r="K5911" s="5" t="s">
        <v>38516</v>
      </c>
      <c r="M5911" s="5" t="s">
        <v>38541</v>
      </c>
      <c r="N5911" s="7" t="s">
        <v>38542</v>
      </c>
      <c r="O5911" s="8" t="str">
        <f>HYPERLINK("https://drive.google.com/file/d/16reVXS2tBUdsP4ND56-geA8jpjFfpqoF/view?usp=drivesdk","5910_SOFYAN HARIS _ SERTIFIKAT BerAKHLAK")</f>
        <v>5910_SOFYAN HARIS _ SERTIFIKAT BerAKHLAK</v>
      </c>
      <c r="P5911" s="5" t="s">
        <v>38543</v>
      </c>
    </row>
    <row r="5912">
      <c r="A5912" s="4">
        <v>45534.36422071759</v>
      </c>
      <c r="B5912" s="5" t="s">
        <v>34</v>
      </c>
      <c r="D5912" s="5" t="s">
        <v>14424</v>
      </c>
      <c r="E5912" s="5" t="s">
        <v>38544</v>
      </c>
      <c r="F5912" s="5" t="s">
        <v>375</v>
      </c>
      <c r="G5912" s="5" t="s">
        <v>38545</v>
      </c>
      <c r="H5912" s="6" t="s">
        <v>38546</v>
      </c>
      <c r="K5912" s="5" t="s">
        <v>38516</v>
      </c>
      <c r="M5912" s="5" t="s">
        <v>38547</v>
      </c>
      <c r="N5912" s="7" t="s">
        <v>38548</v>
      </c>
      <c r="O5912" s="8" t="str">
        <f>HYPERLINK("https://drive.google.com/file/d/12TixvCevLFh61yFGl4nCtMbg-ig-qVEW/view?usp=drivesdk","5911_MARDIANA _ SERTIFIKAT BerAKHLAK")</f>
        <v>5911_MARDIANA _ SERTIFIKAT BerAKHLAK</v>
      </c>
      <c r="P5912" s="5" t="s">
        <v>38543</v>
      </c>
    </row>
    <row r="5913">
      <c r="A5913" s="4">
        <v>45534.36422283565</v>
      </c>
      <c r="B5913" s="5" t="s">
        <v>34</v>
      </c>
      <c r="D5913" s="5" t="s">
        <v>1206</v>
      </c>
      <c r="E5913" s="5" t="s">
        <v>38549</v>
      </c>
      <c r="F5913" s="5" t="s">
        <v>72</v>
      </c>
      <c r="G5913" s="5" t="s">
        <v>38550</v>
      </c>
      <c r="H5913" s="6" t="s">
        <v>38551</v>
      </c>
      <c r="K5913" s="5" t="s">
        <v>38516</v>
      </c>
      <c r="M5913" s="5" t="s">
        <v>38552</v>
      </c>
      <c r="N5913" s="7" t="s">
        <v>38553</v>
      </c>
      <c r="O5913" s="8" t="str">
        <f>HYPERLINK("https://drive.google.com/file/d/1ieubctekPEo72iRi8GqmYeBN2Bxiux8C/view?usp=drivesdk","5912_SITI MUHAYYANA _ SERTIFIKAT BerAKHLAK")</f>
        <v>5912_SITI MUHAYYANA _ SERTIFIKAT BerAKHLAK</v>
      </c>
      <c r="P5913" s="5" t="s">
        <v>38543</v>
      </c>
    </row>
    <row r="5914">
      <c r="A5914" s="4">
        <v>45534.3642262963</v>
      </c>
      <c r="B5914" s="5" t="s">
        <v>34</v>
      </c>
      <c r="D5914" s="5" t="s">
        <v>4775</v>
      </c>
      <c r="E5914" s="5" t="s">
        <v>38554</v>
      </c>
      <c r="F5914" s="5" t="s">
        <v>212</v>
      </c>
      <c r="G5914" s="5" t="s">
        <v>38555</v>
      </c>
      <c r="H5914" s="6" t="s">
        <v>38556</v>
      </c>
      <c r="K5914" s="5" t="s">
        <v>38516</v>
      </c>
      <c r="M5914" s="5" t="s">
        <v>38557</v>
      </c>
      <c r="N5914" s="7" t="s">
        <v>38558</v>
      </c>
      <c r="O5914" s="8" t="str">
        <f>HYPERLINK("https://drive.google.com/file/d/1UKUS7Z-ujVBGUHORIRFVXy55O4lU4lHX/view?usp=drivesdk","5913_SUTARMIN _ SERTIFIKAT BerAKHLAK")</f>
        <v>5913_SUTARMIN _ SERTIFIKAT BerAKHLAK</v>
      </c>
      <c r="P5914" s="5" t="s">
        <v>38543</v>
      </c>
    </row>
    <row r="5915">
      <c r="A5915" s="4">
        <v>45534.36423821759</v>
      </c>
      <c r="B5915" s="5" t="s">
        <v>34</v>
      </c>
      <c r="D5915" s="5" t="s">
        <v>4775</v>
      </c>
      <c r="E5915" s="5" t="s">
        <v>38559</v>
      </c>
      <c r="F5915" s="5" t="s">
        <v>72</v>
      </c>
      <c r="G5915" s="5" t="s">
        <v>38560</v>
      </c>
      <c r="H5915" s="6" t="s">
        <v>38561</v>
      </c>
      <c r="K5915" s="5" t="s">
        <v>38516</v>
      </c>
      <c r="M5915" s="5" t="s">
        <v>38562</v>
      </c>
      <c r="N5915" s="7" t="s">
        <v>38563</v>
      </c>
      <c r="O5915" s="8" t="str">
        <f>HYPERLINK("https://drive.google.com/file/d/1-BVejvauybY0yYvyqxDsETL1HuDsUH25/view?usp=drivesdk","5914_ALIN YULIASARI. S. Kom _ SERTIFIKAT BerAKHLAK")</f>
        <v>5914_ALIN YULIASARI. S. Kom _ SERTIFIKAT BerAKHLAK</v>
      </c>
      <c r="P5915" s="5" t="s">
        <v>38564</v>
      </c>
    </row>
    <row r="5916">
      <c r="A5916" s="4">
        <v>45534.364238263894</v>
      </c>
      <c r="B5916" s="5" t="s">
        <v>34</v>
      </c>
      <c r="D5916" s="5" t="s">
        <v>12978</v>
      </c>
      <c r="E5916" s="5" t="s">
        <v>38565</v>
      </c>
      <c r="F5916" s="5" t="s">
        <v>524</v>
      </c>
      <c r="G5916" s="5" t="s">
        <v>38566</v>
      </c>
      <c r="H5916" s="6" t="s">
        <v>38567</v>
      </c>
      <c r="K5916" s="5" t="s">
        <v>38516</v>
      </c>
      <c r="M5916" s="5" t="s">
        <v>38568</v>
      </c>
      <c r="N5916" s="7" t="s">
        <v>38569</v>
      </c>
      <c r="O5916" s="8" t="str">
        <f>HYPERLINK("https://drive.google.com/file/d/19PzYgtwsaqiHrZ8OXHipWGmCvezDzoiZ/view?usp=drivesdk","5915_SRI KORPRIYANI.SH _ SERTIFIKAT BerAKHLAK")</f>
        <v>5915_SRI KORPRIYANI.SH _ SERTIFIKAT BerAKHLAK</v>
      </c>
      <c r="P5916" s="5" t="s">
        <v>38564</v>
      </c>
    </row>
    <row r="5917">
      <c r="A5917" s="4">
        <v>45534.36423924769</v>
      </c>
      <c r="B5917" s="5" t="s">
        <v>34</v>
      </c>
      <c r="D5917" s="5" t="s">
        <v>9020</v>
      </c>
      <c r="E5917" s="5" t="s">
        <v>38570</v>
      </c>
      <c r="F5917" s="5" t="s">
        <v>37</v>
      </c>
      <c r="G5917" s="5" t="s">
        <v>38571</v>
      </c>
      <c r="H5917" s="6" t="s">
        <v>38572</v>
      </c>
      <c r="K5917" s="5" t="s">
        <v>38573</v>
      </c>
      <c r="M5917" s="5" t="s">
        <v>38574</v>
      </c>
      <c r="N5917" s="7" t="s">
        <v>38575</v>
      </c>
      <c r="O5917" s="8" t="str">
        <f>HYPERLINK("https://drive.google.com/file/d/1cUc8nTcPR82mNv1LyWySi5eEy1PQ24v_/view?usp=drivesdk","5916_BISMAR TOGATOROP  _ SERTIFIKAT BerAKHLAK")</f>
        <v>5916_BISMAR TOGATOROP  _ SERTIFIKAT BerAKHLAK</v>
      </c>
      <c r="P5917" s="5" t="s">
        <v>38564</v>
      </c>
    </row>
    <row r="5918" hidden="1">
      <c r="A5918" s="4">
        <v>45534.364246446756</v>
      </c>
      <c r="B5918" s="5" t="s">
        <v>19</v>
      </c>
      <c r="C5918" s="5" t="s">
        <v>24076</v>
      </c>
      <c r="E5918" s="5" t="s">
        <v>38576</v>
      </c>
      <c r="F5918" s="5" t="s">
        <v>199</v>
      </c>
      <c r="G5918" s="5" t="s">
        <v>38577</v>
      </c>
      <c r="H5918" s="6" t="s">
        <v>38578</v>
      </c>
      <c r="K5918" s="5" t="s">
        <v>38573</v>
      </c>
      <c r="M5918" s="5" t="s">
        <v>38579</v>
      </c>
      <c r="N5918" s="7" t="s">
        <v>38580</v>
      </c>
      <c r="O5918" s="8" t="str">
        <f>HYPERLINK("https://drive.google.com/file/d/1WuGojS1twTO49XOIq4cKCj0iLcnwN6qd/view?usp=drivesdk","5917_DWI NURHANDINI _ SERTIFIKAT BerAKHLAK")</f>
        <v>5917_DWI NURHANDINI _ SERTIFIKAT BerAKHLAK</v>
      </c>
      <c r="P5918" s="5" t="s">
        <v>38564</v>
      </c>
    </row>
    <row r="5919">
      <c r="A5919" s="4">
        <v>45534.364261875</v>
      </c>
      <c r="B5919" s="5" t="s">
        <v>34</v>
      </c>
      <c r="D5919" s="5" t="s">
        <v>10297</v>
      </c>
      <c r="E5919" s="5" t="s">
        <v>38581</v>
      </c>
      <c r="F5919" s="5" t="s">
        <v>524</v>
      </c>
      <c r="G5919" s="5" t="s">
        <v>38582</v>
      </c>
      <c r="H5919" s="6" t="s">
        <v>38583</v>
      </c>
      <c r="K5919" s="5" t="s">
        <v>38573</v>
      </c>
      <c r="M5919" s="5" t="s">
        <v>38584</v>
      </c>
      <c r="N5919" s="7" t="s">
        <v>38585</v>
      </c>
      <c r="O5919" s="8" t="str">
        <f>HYPERLINK("https://drive.google.com/file/d/11fjm1uRxboJCWFzvBihkAqr4Z70NhrIN/view?usp=drivesdk","5918_BUSMAWATI _ SERTIFIKAT BerAKHLAK")</f>
        <v>5918_BUSMAWATI _ SERTIFIKAT BerAKHLAK</v>
      </c>
      <c r="P5919" s="5" t="s">
        <v>38586</v>
      </c>
    </row>
    <row r="5920">
      <c r="A5920" s="4">
        <v>45534.36426391204</v>
      </c>
      <c r="B5920" s="5" t="s">
        <v>34</v>
      </c>
      <c r="D5920" s="5" t="s">
        <v>996</v>
      </c>
      <c r="E5920" s="5" t="s">
        <v>38587</v>
      </c>
      <c r="F5920" s="5" t="s">
        <v>212</v>
      </c>
      <c r="G5920" s="5" t="s">
        <v>38588</v>
      </c>
      <c r="H5920" s="6" t="s">
        <v>38589</v>
      </c>
      <c r="K5920" s="5" t="s">
        <v>38573</v>
      </c>
      <c r="M5920" s="5" t="s">
        <v>38590</v>
      </c>
      <c r="N5920" s="7" t="s">
        <v>38591</v>
      </c>
      <c r="O5920" s="8" t="str">
        <f>HYPERLINK("https://drive.google.com/file/d/1QfoEfGDDL6LbN3scAE7fgD1-36qb810g/view?usp=drivesdk","5919_LIA DAHLIYANI _ SERTIFIKAT BerAKHLAK")</f>
        <v>5919_LIA DAHLIYANI _ SERTIFIKAT BerAKHLAK</v>
      </c>
      <c r="P5920" s="5" t="s">
        <v>38586</v>
      </c>
    </row>
    <row r="5921">
      <c r="A5921" s="4">
        <v>45534.36426598379</v>
      </c>
      <c r="B5921" s="5" t="s">
        <v>34</v>
      </c>
      <c r="D5921" s="5" t="s">
        <v>6232</v>
      </c>
      <c r="E5921" s="5" t="s">
        <v>38592</v>
      </c>
      <c r="F5921" s="5" t="s">
        <v>212</v>
      </c>
      <c r="G5921" s="5" t="s">
        <v>38593</v>
      </c>
      <c r="H5921" s="6" t="s">
        <v>38594</v>
      </c>
      <c r="K5921" s="5" t="s">
        <v>38573</v>
      </c>
      <c r="M5921" s="5" t="s">
        <v>38595</v>
      </c>
      <c r="N5921" s="7" t="s">
        <v>38596</v>
      </c>
      <c r="O5921" s="8" t="str">
        <f>HYPERLINK("https://drive.google.com/file/d/1-f1g2vzCXn_Fhb7mHIhI-WlayrY2uwp3/view?usp=drivesdk","5920_ARRFNI _ SERTIFIKAT BerAKHLAK")</f>
        <v>5920_ARRFNI _ SERTIFIKAT BerAKHLAK</v>
      </c>
      <c r="P5921" s="5" t="s">
        <v>38586</v>
      </c>
    </row>
    <row r="5922">
      <c r="A5922" s="4">
        <v>45534.36430475695</v>
      </c>
      <c r="B5922" s="5" t="s">
        <v>34</v>
      </c>
      <c r="D5922" s="5" t="s">
        <v>4775</v>
      </c>
      <c r="E5922" s="5" t="s">
        <v>38597</v>
      </c>
      <c r="F5922" s="5" t="s">
        <v>37</v>
      </c>
      <c r="G5922" s="5" t="s">
        <v>38598</v>
      </c>
      <c r="H5922" s="6" t="s">
        <v>38599</v>
      </c>
      <c r="K5922" s="5" t="s">
        <v>38600</v>
      </c>
      <c r="M5922" s="5" t="s">
        <v>38601</v>
      </c>
      <c r="N5922" s="7" t="s">
        <v>38602</v>
      </c>
      <c r="O5922" s="8" t="str">
        <f>HYPERLINK("https://drive.google.com/file/d/1lNpIEykFISRb4SZJZpIOs0akbUUuWfS8/view?usp=drivesdk","5921_JOKO TRIYONO _ SERTIFIKAT BerAKHLAK")</f>
        <v>5921_JOKO TRIYONO _ SERTIFIKAT BerAKHLAK</v>
      </c>
      <c r="P5922" s="5" t="s">
        <v>38586</v>
      </c>
    </row>
    <row r="5923">
      <c r="A5923" s="4">
        <v>45534.364309236116</v>
      </c>
      <c r="B5923" s="5" t="s">
        <v>34</v>
      </c>
      <c r="D5923" s="5" t="s">
        <v>1206</v>
      </c>
      <c r="E5923" s="5" t="s">
        <v>38603</v>
      </c>
      <c r="F5923" s="5" t="s">
        <v>212</v>
      </c>
      <c r="G5923" s="5" t="s">
        <v>38604</v>
      </c>
      <c r="H5923" s="6" t="s">
        <v>38605</v>
      </c>
      <c r="K5923" s="5" t="s">
        <v>38600</v>
      </c>
      <c r="M5923" s="5" t="s">
        <v>38606</v>
      </c>
      <c r="N5923" s="7" t="s">
        <v>38607</v>
      </c>
      <c r="O5923" s="8" t="str">
        <f>HYPERLINK("https://drive.google.com/file/d/1eNgRDcfegOfhPwmDvxgPCUpMAT1nH2Lq/view?usp=drivesdk","5922_EKA AGUSTINA _ SERTIFIKAT BerAKHLAK")</f>
        <v>5922_EKA AGUSTINA _ SERTIFIKAT BerAKHLAK</v>
      </c>
      <c r="P5923" s="5" t="s">
        <v>38586</v>
      </c>
    </row>
    <row r="5924">
      <c r="A5924" s="4">
        <v>45534.364325937495</v>
      </c>
      <c r="B5924" s="5" t="s">
        <v>34</v>
      </c>
      <c r="D5924" s="5" t="s">
        <v>4775</v>
      </c>
      <c r="E5924" s="5" t="s">
        <v>38608</v>
      </c>
      <c r="F5924" s="5" t="s">
        <v>375</v>
      </c>
      <c r="G5924" s="5" t="s">
        <v>38609</v>
      </c>
      <c r="H5924" s="6" t="s">
        <v>38610</v>
      </c>
      <c r="I5924" s="7" t="s">
        <v>38611</v>
      </c>
      <c r="J5924" s="8" t="str">
        <f>HYPERLINK("https://drive.google.com/file/d/13Nb8iWiJh5wsOltVe2RAWV5_qOWg93AJ/view?usp=drivesdk","ANDI PUJI HARTO ,S.I.Kom SERTIFIKAT BerAKHLAK")</f>
        <v>ANDI PUJI HARTO ,S.I.Kom SERTIFIKAT BerAKHLAK</v>
      </c>
      <c r="K5924" s="5" t="s">
        <v>37841</v>
      </c>
      <c r="L5924" s="5" t="s">
        <v>38612</v>
      </c>
      <c r="M5924" s="5" t="s">
        <v>38613</v>
      </c>
      <c r="N5924" s="7" t="s">
        <v>38614</v>
      </c>
      <c r="O5924" s="8" t="str">
        <f>HYPERLINK("https://drive.google.com/file/d/1HMdw7LipPs0ACNwAkACNl14_gzIuQusJ/view?usp=drivesdk","5923_ANDI PUJI HARTO ,S.I.Kom _ SERTIFIKAT BerAKHLAK")</f>
        <v>5923_ANDI PUJI HARTO ,S.I.Kom _ SERTIFIKAT BerAKHLAK</v>
      </c>
      <c r="P5924" s="5" t="s">
        <v>38586</v>
      </c>
    </row>
    <row r="5925">
      <c r="A5925" s="4">
        <v>45534.36433380787</v>
      </c>
      <c r="B5925" s="5" t="s">
        <v>34</v>
      </c>
      <c r="D5925" s="5" t="s">
        <v>9020</v>
      </c>
      <c r="E5925" s="5" t="s">
        <v>38615</v>
      </c>
      <c r="F5925" s="5" t="s">
        <v>37</v>
      </c>
      <c r="G5925" s="5" t="s">
        <v>38616</v>
      </c>
      <c r="H5925" s="6" t="s">
        <v>38617</v>
      </c>
      <c r="I5925" s="7" t="s">
        <v>38618</v>
      </c>
      <c r="J5925" s="8" t="str">
        <f>HYPERLINK("https://drive.google.com/file/d/1LQo2ttJqYJ7_ynXKAX0TwK6wiWNxlHhD/view?usp=drivesdk","BARIYAH SERTIFIKAT BerAKHLAK")</f>
        <v>BARIYAH SERTIFIKAT BerAKHLAK</v>
      </c>
      <c r="K5925" s="5" t="s">
        <v>37841</v>
      </c>
      <c r="L5925" s="5" t="s">
        <v>38619</v>
      </c>
      <c r="M5925" s="5" t="s">
        <v>38620</v>
      </c>
      <c r="N5925" s="7" t="s">
        <v>38621</v>
      </c>
      <c r="O5925" s="8" t="str">
        <f>HYPERLINK("https://drive.google.com/file/d/1zYMNFJoC3sxew23TvyMHxBQ0y598xece/view?usp=drivesdk","5924_BARIYAH _ SERTIFIKAT BerAKHLAK")</f>
        <v>5924_BARIYAH _ SERTIFIKAT BerAKHLAK</v>
      </c>
      <c r="P5925" s="5" t="s">
        <v>38622</v>
      </c>
    </row>
    <row r="5926">
      <c r="A5926" s="4">
        <v>45534.36434076389</v>
      </c>
      <c r="B5926" s="5" t="s">
        <v>34</v>
      </c>
      <c r="D5926" s="5" t="s">
        <v>2903</v>
      </c>
      <c r="E5926" s="5" t="s">
        <v>38623</v>
      </c>
      <c r="F5926" s="5" t="s">
        <v>37</v>
      </c>
      <c r="G5926" s="5" t="s">
        <v>38624</v>
      </c>
      <c r="H5926" s="6" t="s">
        <v>38625</v>
      </c>
      <c r="I5926" s="7" t="s">
        <v>38626</v>
      </c>
      <c r="J5926" s="8" t="str">
        <f>HYPERLINK("https://drive.google.com/file/d/1l6aNkHaUo7s8U5OYpggobdVhXsM4s18h/view?usp=drivesdk","RIKA HARTATI SERTIFIKAT BerAKHLAK")</f>
        <v>RIKA HARTATI SERTIFIKAT BerAKHLAK</v>
      </c>
      <c r="K5926" s="5" t="s">
        <v>38627</v>
      </c>
      <c r="L5926" s="5" t="s">
        <v>38628</v>
      </c>
      <c r="M5926" s="5" t="s">
        <v>38629</v>
      </c>
      <c r="N5926" s="7" t="s">
        <v>38630</v>
      </c>
      <c r="O5926" s="8" t="str">
        <f>HYPERLINK("https://drive.google.com/file/d/1KluJgiJJ-Abvqdz8cbMgFcnuPwq08bRo/view?usp=drivesdk","5925_RIKA HARTATI _ SERTIFIKAT BerAKHLAK")</f>
        <v>5925_RIKA HARTATI _ SERTIFIKAT BerAKHLAK</v>
      </c>
      <c r="P5926" s="5" t="s">
        <v>38622</v>
      </c>
    </row>
    <row r="5927" hidden="1">
      <c r="A5927" s="4">
        <v>45534.36435611111</v>
      </c>
      <c r="B5927" s="5" t="s">
        <v>19</v>
      </c>
      <c r="C5927" s="5" t="s">
        <v>38343</v>
      </c>
      <c r="E5927" s="5" t="s">
        <v>38631</v>
      </c>
      <c r="F5927" s="5" t="s">
        <v>72</v>
      </c>
      <c r="G5927" s="5" t="s">
        <v>38632</v>
      </c>
      <c r="H5927" s="6" t="s">
        <v>38633</v>
      </c>
      <c r="I5927" s="7" t="s">
        <v>38634</v>
      </c>
      <c r="J5927" s="8" t="str">
        <f>HYPERLINK("https://drive.google.com/file/d/1AkbecOk6QQNJSYs4mGZfeaSFQHOmk9_o/view?usp=drivesdk","UGAN FADLI SERTIFIKAT BerAKHLAK")</f>
        <v>UGAN FADLI SERTIFIKAT BerAKHLAK</v>
      </c>
      <c r="K5927" s="5" t="s">
        <v>37841</v>
      </c>
      <c r="L5927" s="5" t="s">
        <v>38635</v>
      </c>
      <c r="M5927" s="5" t="s">
        <v>38636</v>
      </c>
      <c r="N5927" s="7" t="s">
        <v>38637</v>
      </c>
      <c r="O5927" s="8" t="str">
        <f>HYPERLINK("https://drive.google.com/file/d/1utBDV1aN0fGX1hsvFzHJKk4KLyQXIBwj/view?usp=drivesdk","5926_UGAN FADLI _ SERTIFIKAT BerAKHLAK")</f>
        <v>5926_UGAN FADLI _ SERTIFIKAT BerAKHLAK</v>
      </c>
      <c r="P5927" s="5" t="s">
        <v>38622</v>
      </c>
    </row>
    <row r="5928">
      <c r="A5928" s="4">
        <v>45534.36436335648</v>
      </c>
      <c r="B5928" s="5" t="s">
        <v>34</v>
      </c>
      <c r="D5928" s="5" t="s">
        <v>6232</v>
      </c>
      <c r="E5928" s="5" t="s">
        <v>38638</v>
      </c>
      <c r="F5928" s="5" t="s">
        <v>524</v>
      </c>
      <c r="G5928" s="5" t="s">
        <v>38639</v>
      </c>
      <c r="H5928" s="6" t="s">
        <v>38640</v>
      </c>
      <c r="I5928" s="7" t="s">
        <v>38641</v>
      </c>
      <c r="J5928" s="8" t="str">
        <f>HYPERLINK("https://drive.google.com/file/d/1ICXm2PZjWLSU4VgKLru9d9ivFH_vBoOS/view?usp=drivesdk","Akhdiad Rizki Setiawan  SERTIFIKAT BerAKHLAK")</f>
        <v>Akhdiad Rizki Setiawan  SERTIFIKAT BerAKHLAK</v>
      </c>
      <c r="K5928" s="5" t="s">
        <v>38627</v>
      </c>
      <c r="L5928" s="5" t="s">
        <v>38642</v>
      </c>
      <c r="M5928" s="5" t="s">
        <v>38643</v>
      </c>
      <c r="N5928" s="7" t="s">
        <v>38644</v>
      </c>
      <c r="O5928" s="8" t="str">
        <f>HYPERLINK("https://drive.google.com/file/d/1NbfZPWMiwtipcu3H0SwIbHmNzqw5zhiA/view?usp=drivesdk","5927_Akhdiad Rizki Setiawan  _ SERTIFIKAT BerAKHLAK")</f>
        <v>5927_Akhdiad Rizki Setiawan  _ SERTIFIKAT BerAKHLAK</v>
      </c>
      <c r="P5928" s="5" t="s">
        <v>38622</v>
      </c>
    </row>
    <row r="5929">
      <c r="A5929" s="4">
        <v>45534.36438585648</v>
      </c>
      <c r="B5929" s="5" t="s">
        <v>34</v>
      </c>
      <c r="D5929" s="5" t="s">
        <v>9020</v>
      </c>
      <c r="E5929" s="5" t="s">
        <v>38645</v>
      </c>
      <c r="F5929" s="5" t="s">
        <v>72</v>
      </c>
      <c r="G5929" s="5" t="s">
        <v>38646</v>
      </c>
      <c r="H5929" s="6" t="s">
        <v>38647</v>
      </c>
      <c r="I5929" s="7" t="s">
        <v>38648</v>
      </c>
      <c r="J5929" s="8" t="str">
        <f>HYPERLINK("https://drive.google.com/file/d/1MRPsa2QODEwp1d10-u56eBOlPo2Xl8_-/view?usp=drivesdk","PARIDA EVA NOERMINCE NAINGGOLAN, S.PD SERTIFIKAT BerAKHLAK")</f>
        <v>PARIDA EVA NOERMINCE NAINGGOLAN, S.PD SERTIFIKAT BerAKHLAK</v>
      </c>
      <c r="K5929" s="5" t="s">
        <v>38627</v>
      </c>
      <c r="L5929" s="5" t="s">
        <v>38649</v>
      </c>
      <c r="M5929" s="5" t="s">
        <v>38650</v>
      </c>
      <c r="N5929" s="7" t="s">
        <v>38651</v>
      </c>
      <c r="O5929" s="8" t="str">
        <f>HYPERLINK("https://drive.google.com/file/d/1ZNaC6TyY1fu4ahMymZUFxs29CDnobDVv/view?usp=drivesdk","5928_PARIDA EVA NOERMINCE NAINGGOLAN, S.PD _ SERTIFIKAT BerAKHLAK")</f>
        <v>5928_PARIDA EVA NOERMINCE NAINGGOLAN, S.PD _ SERTIFIKAT BerAKHLAK</v>
      </c>
      <c r="P5929" s="5" t="s">
        <v>38652</v>
      </c>
    </row>
    <row r="5930" hidden="1">
      <c r="A5930" s="4">
        <v>45534.364386597226</v>
      </c>
      <c r="B5930" s="5" t="s">
        <v>19</v>
      </c>
      <c r="C5930" s="5" t="s">
        <v>466</v>
      </c>
      <c r="E5930" s="5" t="s">
        <v>38653</v>
      </c>
      <c r="F5930" s="5" t="s">
        <v>72</v>
      </c>
      <c r="G5930" s="5" t="s">
        <v>38654</v>
      </c>
      <c r="H5930" s="6" t="s">
        <v>38655</v>
      </c>
      <c r="I5930" s="7" t="s">
        <v>38656</v>
      </c>
      <c r="J5930" s="8" t="str">
        <f>HYPERLINK("https://drive.google.com/file/d/1aLOMLvoWUTP1DI26e3sInUjqyvDJBVDQ/view?usp=drivesdk","AGUS SUHARYADI, A.md SERTIFIKAT BerAKHLAK")</f>
        <v>AGUS SUHARYADI, A.md SERTIFIKAT BerAKHLAK</v>
      </c>
      <c r="K5930" s="5" t="s">
        <v>38627</v>
      </c>
      <c r="L5930" s="5" t="s">
        <v>38657</v>
      </c>
      <c r="M5930" s="5" t="s">
        <v>38658</v>
      </c>
      <c r="N5930" s="7" t="s">
        <v>38659</v>
      </c>
      <c r="O5930" s="8" t="str">
        <f>HYPERLINK("https://drive.google.com/file/d/1p4FUucYpSRwq8hgGbJKAau8x6IJQ1FZn/view?usp=drivesdk","5929_AGUS SUHARYADI, A.md _ SERTIFIKAT BerAKHLAK")</f>
        <v>5929_AGUS SUHARYADI, A.md _ SERTIFIKAT BerAKHLAK</v>
      </c>
      <c r="P5930" s="5" t="s">
        <v>38652</v>
      </c>
    </row>
    <row r="5931">
      <c r="A5931" s="4">
        <v>45534.364390208335</v>
      </c>
      <c r="B5931" s="5" t="s">
        <v>34</v>
      </c>
      <c r="D5931" s="5" t="s">
        <v>701</v>
      </c>
      <c r="E5931" s="5" t="s">
        <v>38660</v>
      </c>
      <c r="F5931" s="5" t="s">
        <v>212</v>
      </c>
      <c r="G5931" s="5" t="s">
        <v>38661</v>
      </c>
      <c r="H5931" s="6" t="s">
        <v>38662</v>
      </c>
      <c r="I5931" s="7" t="s">
        <v>38663</v>
      </c>
      <c r="J5931" s="8" t="str">
        <f>HYPERLINK("https://drive.google.com/file/d/1cQ0lcyjAzYg7ZtfGNvyEcxCOcG5-jUdo/view?usp=drivesdk","ENDAH AULIA NOVITA, A.Md.Kep SERTIFIKAT BerAKHLAK")</f>
        <v>ENDAH AULIA NOVITA, A.Md.Kep SERTIFIKAT BerAKHLAK</v>
      </c>
      <c r="K5931" s="5" t="s">
        <v>38627</v>
      </c>
      <c r="L5931" s="5" t="s">
        <v>38664</v>
      </c>
      <c r="M5931" s="5" t="s">
        <v>38665</v>
      </c>
      <c r="N5931" s="7" t="s">
        <v>38666</v>
      </c>
      <c r="O5931" s="8" t="str">
        <f>HYPERLINK("https://drive.google.com/file/d/1jOO6wVY7Rd95usePAK0QIc_cexi5oYok/view?usp=drivesdk","5930_ENDAH AULIA NOVITA, A.Md.Kep _ SERTIFIKAT BerAKHLAK")</f>
        <v>5930_ENDAH AULIA NOVITA, A.Md.Kep _ SERTIFIKAT BerAKHLAK</v>
      </c>
      <c r="P5931" s="5" t="s">
        <v>38652</v>
      </c>
    </row>
    <row r="5932">
      <c r="A5932" s="4">
        <v>45534.36439452546</v>
      </c>
      <c r="B5932" s="5" t="s">
        <v>34</v>
      </c>
      <c r="D5932" s="5" t="s">
        <v>4775</v>
      </c>
      <c r="E5932" s="5" t="s">
        <v>38667</v>
      </c>
      <c r="F5932" s="5" t="s">
        <v>212</v>
      </c>
      <c r="G5932" s="5" t="s">
        <v>38668</v>
      </c>
      <c r="H5932" s="6" t="s">
        <v>38669</v>
      </c>
      <c r="K5932" s="5" t="s">
        <v>38670</v>
      </c>
      <c r="M5932" s="5" t="s">
        <v>38671</v>
      </c>
      <c r="N5932" s="7" t="s">
        <v>38672</v>
      </c>
      <c r="O5932" s="8" t="str">
        <f>HYPERLINK("https://drive.google.com/file/d/1jKRqjYr51KIPleOjhXAUkztzZeJr1bh2/view?usp=drivesdk","5931_NANIEK SETYANINGRUM _ SERTIFIKAT BerAKHLAK")</f>
        <v>5931_NANIEK SETYANINGRUM _ SERTIFIKAT BerAKHLAK</v>
      </c>
      <c r="P5932" s="5" t="s">
        <v>38652</v>
      </c>
    </row>
    <row r="5933">
      <c r="A5933" s="4">
        <v>45534.36440747685</v>
      </c>
      <c r="B5933" s="5" t="s">
        <v>34</v>
      </c>
      <c r="D5933" s="5" t="s">
        <v>4775</v>
      </c>
      <c r="E5933" s="5" t="s">
        <v>38673</v>
      </c>
      <c r="F5933" s="5" t="s">
        <v>212</v>
      </c>
      <c r="G5933" s="5" t="s">
        <v>38674</v>
      </c>
      <c r="H5933" s="6" t="s">
        <v>38675</v>
      </c>
      <c r="K5933" s="5" t="s">
        <v>38670</v>
      </c>
      <c r="M5933" s="5" t="s">
        <v>38676</v>
      </c>
      <c r="N5933" s="7" t="s">
        <v>38677</v>
      </c>
      <c r="O5933" s="8" t="str">
        <f>HYPERLINK("https://drive.google.com/file/d/14kNUVnDtOMvgFs9jXEiTujOcLtVbKhTu/view?usp=drivesdk","5932_NUR AFNIASIH _ SERTIFIKAT BerAKHLAK")</f>
        <v>5932_NUR AFNIASIH _ SERTIFIKAT BerAKHLAK</v>
      </c>
      <c r="P5933" s="5" t="s">
        <v>38678</v>
      </c>
    </row>
    <row r="5934">
      <c r="A5934" s="4">
        <v>45534.36441152778</v>
      </c>
      <c r="B5934" s="5" t="s">
        <v>34</v>
      </c>
      <c r="D5934" s="5" t="s">
        <v>1456</v>
      </c>
      <c r="E5934" s="5" t="s">
        <v>23614</v>
      </c>
      <c r="F5934" s="5" t="s">
        <v>108</v>
      </c>
      <c r="G5934" s="5" t="s">
        <v>38679</v>
      </c>
      <c r="H5934" s="6" t="s">
        <v>38680</v>
      </c>
      <c r="I5934" s="7" t="s">
        <v>38681</v>
      </c>
      <c r="J5934" s="8" t="str">
        <f>HYPERLINK("https://drive.google.com/file/d/1UMPzB_QWrQZVoSyCdWYOZ1tgQT4xqvcc/view?usp=drivesdk","YUNITA SERTIFIKAT BerAKHLAK")</f>
        <v>YUNITA SERTIFIKAT BerAKHLAK</v>
      </c>
      <c r="K5934" s="5" t="s">
        <v>38627</v>
      </c>
      <c r="L5934" s="5" t="s">
        <v>38682</v>
      </c>
      <c r="M5934" s="5" t="s">
        <v>38683</v>
      </c>
      <c r="N5934" s="7" t="s">
        <v>38684</v>
      </c>
      <c r="O5934" s="8" t="str">
        <f>HYPERLINK("https://drive.google.com/file/d/1-f10tc99_17o1XseVIvnnWUP_ysM-5_H/view?usp=drivesdk","5933_YUNITA _ SERTIFIKAT BerAKHLAK")</f>
        <v>5933_YUNITA _ SERTIFIKAT BerAKHLAK</v>
      </c>
      <c r="P5934" s="5" t="s">
        <v>38678</v>
      </c>
    </row>
    <row r="5935">
      <c r="A5935" s="4">
        <v>45534.36442590278</v>
      </c>
      <c r="B5935" s="5" t="s">
        <v>34</v>
      </c>
      <c r="D5935" s="5" t="s">
        <v>1206</v>
      </c>
      <c r="E5935" s="5" t="s">
        <v>38685</v>
      </c>
      <c r="F5935" s="5" t="s">
        <v>375</v>
      </c>
      <c r="G5935" s="5" t="s">
        <v>38686</v>
      </c>
      <c r="H5935" s="6" t="s">
        <v>38687</v>
      </c>
      <c r="I5935" s="7" t="s">
        <v>38688</v>
      </c>
      <c r="J5935" s="8" t="str">
        <f>HYPERLINK("https://drive.google.com/file/d/1FU4MVbbyrEItVnVdcW3G_HTFQUDGijEy/view?usp=drivesdk","SUHARLIN, S.E. SERTIFIKAT BerAKHLAK")</f>
        <v>SUHARLIN, S.E. SERTIFIKAT BerAKHLAK</v>
      </c>
      <c r="K5935" s="5" t="s">
        <v>38627</v>
      </c>
      <c r="L5935" s="5" t="s">
        <v>38689</v>
      </c>
      <c r="M5935" s="5" t="s">
        <v>38690</v>
      </c>
      <c r="N5935" s="7" t="s">
        <v>38691</v>
      </c>
      <c r="O5935" s="8" t="str">
        <f>HYPERLINK("https://drive.google.com/file/d/1SY5rT0JADNEGBeouFFzziYTUUNx1rgvq/view?usp=drivesdk","5934_SUHARLIN, S.E. _ SERTIFIKAT BerAKHLAK")</f>
        <v>5934_SUHARLIN, S.E. _ SERTIFIKAT BerAKHLAK</v>
      </c>
      <c r="P5935" s="5" t="s">
        <v>38678</v>
      </c>
    </row>
    <row r="5936">
      <c r="A5936" s="4">
        <v>45534.36442288195</v>
      </c>
      <c r="B5936" s="5" t="s">
        <v>34</v>
      </c>
      <c r="D5936" s="5" t="s">
        <v>1206</v>
      </c>
      <c r="E5936" s="5" t="s">
        <v>38692</v>
      </c>
      <c r="F5936" s="5" t="s">
        <v>212</v>
      </c>
      <c r="G5936" s="5" t="s">
        <v>38693</v>
      </c>
      <c r="H5936" s="6" t="s">
        <v>38694</v>
      </c>
      <c r="I5936" s="7" t="s">
        <v>38695</v>
      </c>
      <c r="J5936" s="8" t="str">
        <f>HYPERLINK("https://drive.google.com/file/d/14rTdWGf4IK537z5rmLl4W1VMO5qGmT1w/view?usp=drivesdk","BALOK MUSIONO SERTIFIKAT BerAKHLAK")</f>
        <v>BALOK MUSIONO SERTIFIKAT BerAKHLAK</v>
      </c>
      <c r="K5936" s="5" t="s">
        <v>38627</v>
      </c>
      <c r="L5936" s="5" t="s">
        <v>38696</v>
      </c>
      <c r="M5936" s="5" t="s">
        <v>38697</v>
      </c>
      <c r="N5936" s="7" t="s">
        <v>38698</v>
      </c>
      <c r="O5936" s="8" t="str">
        <f>HYPERLINK("https://drive.google.com/file/d/1eOzItbweKBR3PS01i5qSvED_q0phb3Y_/view?usp=drivesdk","5935_BALOK MUSIONO _ SERTIFIKAT BerAKHLAK")</f>
        <v>5935_BALOK MUSIONO _ SERTIFIKAT BerAKHLAK</v>
      </c>
      <c r="P5936" s="5" t="s">
        <v>38678</v>
      </c>
    </row>
    <row r="5937">
      <c r="A5937" s="4">
        <v>45534.364433043986</v>
      </c>
      <c r="B5937" s="5" t="s">
        <v>34</v>
      </c>
      <c r="D5937" s="5" t="s">
        <v>9020</v>
      </c>
      <c r="E5937" s="5" t="s">
        <v>38699</v>
      </c>
      <c r="F5937" s="5" t="s">
        <v>37</v>
      </c>
      <c r="G5937" s="5" t="s">
        <v>38700</v>
      </c>
      <c r="H5937" s="6" t="s">
        <v>38701</v>
      </c>
      <c r="K5937" s="5" t="s">
        <v>38702</v>
      </c>
      <c r="M5937" s="5" t="s">
        <v>38703</v>
      </c>
      <c r="N5937" s="7" t="s">
        <v>38704</v>
      </c>
      <c r="O5937" s="8" t="str">
        <f>HYPERLINK("https://drive.google.com/file/d/1sVZ7nIynT7Kmr5X-VcpTeT0Il2jGT1fU/view?usp=drivesdk","5936_M IDRIS _ SERTIFIKAT BerAKHLAK")</f>
        <v>5936_M IDRIS _ SERTIFIKAT BerAKHLAK</v>
      </c>
      <c r="P5937" s="5" t="s">
        <v>38678</v>
      </c>
    </row>
    <row r="5938">
      <c r="A5938" s="4">
        <v>45534.36443315972</v>
      </c>
      <c r="B5938" s="5" t="s">
        <v>34</v>
      </c>
      <c r="D5938" s="5" t="s">
        <v>12978</v>
      </c>
      <c r="E5938" s="5" t="s">
        <v>38705</v>
      </c>
      <c r="F5938" s="5" t="s">
        <v>108</v>
      </c>
      <c r="G5938" s="5" t="s">
        <v>38706</v>
      </c>
      <c r="H5938" s="6" t="s">
        <v>38707</v>
      </c>
      <c r="K5938" s="5" t="s">
        <v>38702</v>
      </c>
      <c r="M5938" s="5" t="s">
        <v>38708</v>
      </c>
      <c r="N5938" s="7" t="s">
        <v>38709</v>
      </c>
      <c r="O5938" s="8" t="str">
        <f>HYPERLINK("https://drive.google.com/file/d/1BiOfXOeBjzVHjDVLC0EyH4Upj5V-ygp8/view?usp=drivesdk","5937_SITILESTARI _ SERTIFIKAT BerAKHLAK")</f>
        <v>5937_SITILESTARI _ SERTIFIKAT BerAKHLAK</v>
      </c>
      <c r="P5938" s="5" t="s">
        <v>38710</v>
      </c>
    </row>
    <row r="5939">
      <c r="A5939" s="4">
        <v>45534.36443741898</v>
      </c>
      <c r="B5939" s="5" t="s">
        <v>34</v>
      </c>
      <c r="D5939" s="5" t="s">
        <v>12026</v>
      </c>
      <c r="E5939" s="5" t="s">
        <v>38711</v>
      </c>
      <c r="F5939" s="5" t="s">
        <v>37</v>
      </c>
      <c r="G5939" s="5" t="s">
        <v>38712</v>
      </c>
      <c r="H5939" s="6" t="s">
        <v>38713</v>
      </c>
      <c r="K5939" s="5" t="s">
        <v>38702</v>
      </c>
      <c r="M5939" s="5" t="s">
        <v>38714</v>
      </c>
      <c r="N5939" s="7" t="s">
        <v>38715</v>
      </c>
      <c r="O5939" s="8" t="str">
        <f>HYPERLINK("https://drive.google.com/file/d/1ClKaL4kGjaxgaTPPinYyJfLBRU5--1bw/view?usp=drivesdk","5938_Andoko Suryo Cahyono,A.Md.Kep. _ SERTIFIKAT BerAKHLAK")</f>
        <v>5938_Andoko Suryo Cahyono,A.Md.Kep. _ SERTIFIKAT BerAKHLAK</v>
      </c>
      <c r="P5939" s="5" t="s">
        <v>38710</v>
      </c>
    </row>
    <row r="5940">
      <c r="A5940" s="4">
        <v>45534.36443914352</v>
      </c>
      <c r="B5940" s="5" t="s">
        <v>34</v>
      </c>
      <c r="D5940" s="5" t="s">
        <v>267</v>
      </c>
      <c r="E5940" s="5" t="s">
        <v>38716</v>
      </c>
      <c r="F5940" s="5" t="s">
        <v>375</v>
      </c>
      <c r="G5940" s="5" t="s">
        <v>38717</v>
      </c>
      <c r="H5940" s="6" t="s">
        <v>38718</v>
      </c>
      <c r="K5940" s="5" t="s">
        <v>38702</v>
      </c>
      <c r="M5940" s="5" t="s">
        <v>38719</v>
      </c>
      <c r="N5940" s="7" t="s">
        <v>38720</v>
      </c>
      <c r="O5940" s="8" t="str">
        <f>HYPERLINK("https://drive.google.com/file/d/1K_1QAphjYpguw1pKtgflzizT4-tSlUpu/view?usp=drivesdk","5939_Elizabet Rini Purnamawati _ SERTIFIKAT BerAKHLAK")</f>
        <v>5939_Elizabet Rini Purnamawati _ SERTIFIKAT BerAKHLAK</v>
      </c>
      <c r="P5940" s="5" t="s">
        <v>38710</v>
      </c>
    </row>
    <row r="5941">
      <c r="A5941" s="4">
        <v>45534.36443935185</v>
      </c>
      <c r="B5941" s="5" t="s">
        <v>34</v>
      </c>
      <c r="D5941" s="5" t="s">
        <v>4775</v>
      </c>
      <c r="E5941" s="5" t="s">
        <v>38721</v>
      </c>
      <c r="F5941" s="5" t="s">
        <v>212</v>
      </c>
      <c r="G5941" s="5" t="s">
        <v>38722</v>
      </c>
      <c r="H5941" s="6" t="s">
        <v>38723</v>
      </c>
      <c r="K5941" s="5" t="s">
        <v>38702</v>
      </c>
      <c r="M5941" s="5" t="s">
        <v>38724</v>
      </c>
      <c r="N5941" s="7" t="s">
        <v>38725</v>
      </c>
      <c r="O5941" s="8" t="str">
        <f>HYPERLINK("https://drive.google.com/file/d/1zkKE_T7AEu0tPDJDRUynvPrVp1CjL38I/view?usp=drivesdk","5940_TRI NUR KHASANAH _ SERTIFIKAT BerAKHLAK")</f>
        <v>5940_TRI NUR KHASANAH _ SERTIFIKAT BerAKHLAK</v>
      </c>
      <c r="P5941" s="5" t="s">
        <v>38710</v>
      </c>
    </row>
    <row r="5942">
      <c r="A5942" s="4">
        <v>45534.364469872686</v>
      </c>
      <c r="B5942" s="5" t="s">
        <v>34</v>
      </c>
      <c r="D5942" s="5" t="s">
        <v>14424</v>
      </c>
      <c r="E5942" s="5" t="s">
        <v>38726</v>
      </c>
      <c r="F5942" s="5" t="s">
        <v>72</v>
      </c>
      <c r="G5942" s="5" t="s">
        <v>38727</v>
      </c>
      <c r="H5942" s="6" t="s">
        <v>38728</v>
      </c>
      <c r="I5942" s="7" t="s">
        <v>38729</v>
      </c>
      <c r="J5942" s="8" t="str">
        <f>HYPERLINK("https://drive.google.com/file/d/1HZjvzg9x4umS4kuqBbPB1UgB4rPPs840/view?usp=drivesdk","MARZIAH SERTIFIKAT BerAKHLAK")</f>
        <v>MARZIAH SERTIFIKAT BerAKHLAK</v>
      </c>
      <c r="K5942" s="5" t="s">
        <v>38627</v>
      </c>
      <c r="L5942" s="5" t="s">
        <v>38730</v>
      </c>
      <c r="M5942" s="5" t="s">
        <v>38731</v>
      </c>
      <c r="N5942" s="7" t="s">
        <v>38732</v>
      </c>
      <c r="O5942" s="8" t="str">
        <f>HYPERLINK("https://drive.google.com/file/d/1j79iVTUnAb2uA0rx4Uh5LP_ahRLnIhRR/view?usp=drivesdk","5941_MARZIAH _ SERTIFIKAT BerAKHLAK")</f>
        <v>5941_MARZIAH _ SERTIFIKAT BerAKHLAK</v>
      </c>
      <c r="P5942" s="5" t="s">
        <v>38733</v>
      </c>
    </row>
    <row r="5943">
      <c r="A5943" s="4">
        <v>45534.3644750463</v>
      </c>
      <c r="B5943" s="5" t="s">
        <v>34</v>
      </c>
      <c r="D5943" s="5" t="s">
        <v>35</v>
      </c>
      <c r="E5943" s="5" t="s">
        <v>38734</v>
      </c>
      <c r="F5943" s="5" t="s">
        <v>37</v>
      </c>
      <c r="G5943" s="5" t="s">
        <v>38735</v>
      </c>
      <c r="H5943" s="6" t="s">
        <v>38736</v>
      </c>
      <c r="I5943" s="7" t="s">
        <v>38737</v>
      </c>
      <c r="J5943" s="8" t="str">
        <f>HYPERLINK("https://drive.google.com/file/d/1FUkBcGbJGf_OgS7zU8ceApKNVsvoyCgv/view?usp=drivesdk","RATUM, SE SERTIFIKAT BerAKHLAK")</f>
        <v>RATUM, SE SERTIFIKAT BerAKHLAK</v>
      </c>
      <c r="K5943" s="5" t="s">
        <v>38627</v>
      </c>
      <c r="L5943" s="5" t="s">
        <v>38738</v>
      </c>
      <c r="M5943" s="5" t="s">
        <v>38739</v>
      </c>
      <c r="N5943" s="7" t="s">
        <v>38740</v>
      </c>
      <c r="O5943" s="8" t="str">
        <f>HYPERLINK("https://drive.google.com/file/d/1f9yli-vxP8YoZaeezmcO4kzBh-Jwu9mw/view?usp=drivesdk","5942_RATUM, SE _ SERTIFIKAT BerAKHLAK")</f>
        <v>5942_RATUM, SE _ SERTIFIKAT BerAKHLAK</v>
      </c>
      <c r="P5943" s="5" t="s">
        <v>38733</v>
      </c>
    </row>
    <row r="5944">
      <c r="A5944" s="4">
        <v>45534.364493796296</v>
      </c>
      <c r="B5944" s="5" t="s">
        <v>34</v>
      </c>
      <c r="D5944" s="5" t="s">
        <v>701</v>
      </c>
      <c r="E5944" s="5" t="s">
        <v>38741</v>
      </c>
      <c r="F5944" s="5" t="s">
        <v>72</v>
      </c>
      <c r="G5944" s="5" t="s">
        <v>38742</v>
      </c>
      <c r="H5944" s="6" t="s">
        <v>38743</v>
      </c>
      <c r="I5944" s="7" t="s">
        <v>38744</v>
      </c>
      <c r="J5944" s="8" t="str">
        <f>HYPERLINK("https://drive.google.com/file/d/1DxhX9h5yib8XrDJhEr0xVzcwwDtu29sK/view?usp=drivesdk","FERINA, S.E SERTIFIKAT BerAKHLAK")</f>
        <v>FERINA, S.E SERTIFIKAT BerAKHLAK</v>
      </c>
      <c r="K5944" s="5" t="s">
        <v>38627</v>
      </c>
      <c r="L5944" s="5" t="s">
        <v>38745</v>
      </c>
      <c r="M5944" s="5" t="s">
        <v>38746</v>
      </c>
      <c r="N5944" s="7" t="s">
        <v>38747</v>
      </c>
      <c r="O5944" s="8" t="str">
        <f>HYPERLINK("https://drive.google.com/file/d/1HVGawcBEtm_xBdVJbFKqFUjzblsg1Jp1/view?usp=drivesdk","5943_FERINA, S.E _ SERTIFIKAT BerAKHLAK")</f>
        <v>5943_FERINA, S.E _ SERTIFIKAT BerAKHLAK</v>
      </c>
      <c r="P5944" s="5" t="s">
        <v>38733</v>
      </c>
    </row>
    <row r="5945">
      <c r="A5945" s="4">
        <v>45534.364498055555</v>
      </c>
      <c r="B5945" s="5" t="s">
        <v>34</v>
      </c>
      <c r="D5945" s="5" t="s">
        <v>9020</v>
      </c>
      <c r="E5945" s="5" t="s">
        <v>38748</v>
      </c>
      <c r="F5945" s="5" t="s">
        <v>375</v>
      </c>
      <c r="G5945" s="5" t="s">
        <v>38749</v>
      </c>
      <c r="H5945" s="6" t="s">
        <v>38750</v>
      </c>
      <c r="I5945" s="7" t="s">
        <v>38751</v>
      </c>
      <c r="J5945" s="8" t="str">
        <f>HYPERLINK("https://drive.google.com/file/d/1Jp6uIWf8tRxj2SULX9aRisObZTV7I2ID/view?usp=drivesdk","MARIATI SERTIFIKAT BerAKHLAK")</f>
        <v>MARIATI SERTIFIKAT BerAKHLAK</v>
      </c>
      <c r="K5945" s="5" t="s">
        <v>38627</v>
      </c>
      <c r="L5945" s="5" t="s">
        <v>38752</v>
      </c>
      <c r="M5945" s="5" t="s">
        <v>38753</v>
      </c>
      <c r="N5945" s="7" t="s">
        <v>38754</v>
      </c>
      <c r="O5945" s="8" t="str">
        <f>HYPERLINK("https://drive.google.com/file/d/1kHusqef-wIiDiOAI2dUzg-XdsTTV423T/view?usp=drivesdk","5944_MARIATI _ SERTIFIKAT BerAKHLAK")</f>
        <v>5944_MARIATI _ SERTIFIKAT BerAKHLAK</v>
      </c>
      <c r="P5945" s="5" t="s">
        <v>38733</v>
      </c>
    </row>
    <row r="5946">
      <c r="A5946" s="4">
        <v>45534.364503125005</v>
      </c>
      <c r="B5946" s="5" t="s">
        <v>34</v>
      </c>
      <c r="D5946" s="5" t="s">
        <v>35</v>
      </c>
      <c r="E5946" s="5" t="s">
        <v>38755</v>
      </c>
      <c r="F5946" s="5" t="s">
        <v>72</v>
      </c>
      <c r="G5946" s="5" t="s">
        <v>38756</v>
      </c>
      <c r="H5946" s="6" t="s">
        <v>38757</v>
      </c>
      <c r="I5946" s="7" t="s">
        <v>38758</v>
      </c>
      <c r="J5946" s="8" t="str">
        <f>HYPERLINK("https://drive.google.com/file/d/1aOc_H8yflvLlIfJiG0fkBeeM5H_7mYvH/view?usp=drivesdk","SANTI SUSANTI, S.Kep.Ners, MKM SERTIFIKAT BerAKHLAK")</f>
        <v>SANTI SUSANTI, S.Kep.Ners, MKM SERTIFIKAT BerAKHLAK</v>
      </c>
      <c r="K5946" s="5" t="s">
        <v>38627</v>
      </c>
      <c r="L5946" s="5" t="s">
        <v>38759</v>
      </c>
      <c r="M5946" s="5" t="s">
        <v>38760</v>
      </c>
      <c r="N5946" s="7" t="s">
        <v>38761</v>
      </c>
      <c r="O5946" s="8" t="str">
        <f>HYPERLINK("https://drive.google.com/file/d/1yOZ6WFIyiLbVSfBaXjocy24hMg5mRf_0/view?usp=drivesdk","5945_SANTI SUSANTI, S.Kep.Ners, MKM _ SERTIFIKAT BerAKHLAK")</f>
        <v>5945_SANTI SUSANTI, S.Kep.Ners, MKM _ SERTIFIKAT BerAKHLAK</v>
      </c>
      <c r="P5946" s="5" t="s">
        <v>38733</v>
      </c>
    </row>
    <row r="5947">
      <c r="A5947" s="4">
        <v>45534.36450693287</v>
      </c>
      <c r="B5947" s="5" t="s">
        <v>34</v>
      </c>
      <c r="D5947" s="5" t="s">
        <v>267</v>
      </c>
      <c r="E5947" s="5" t="s">
        <v>22258</v>
      </c>
      <c r="F5947" s="5" t="s">
        <v>524</v>
      </c>
      <c r="G5947" s="5" t="s">
        <v>38762</v>
      </c>
      <c r="H5947" s="6" t="s">
        <v>38763</v>
      </c>
      <c r="I5947" s="7" t="s">
        <v>38764</v>
      </c>
      <c r="J5947" s="8" t="str">
        <f>HYPERLINK("https://drive.google.com/file/d/16HGkpWAlYkkpVSSbGmdyxHKkeENfygMT/view?usp=drivesdk","SUHARYANTI SERTIFIKAT BerAKHLAK")</f>
        <v>SUHARYANTI SERTIFIKAT BerAKHLAK</v>
      </c>
      <c r="K5947" s="5" t="s">
        <v>38627</v>
      </c>
      <c r="L5947" s="5" t="s">
        <v>38765</v>
      </c>
      <c r="M5947" s="5" t="s">
        <v>38766</v>
      </c>
      <c r="N5947" s="7" t="s">
        <v>38767</v>
      </c>
      <c r="O5947" s="8" t="str">
        <f>HYPERLINK("https://drive.google.com/file/d/1DMb4orgY6-jusroIpRX5EZtdGLyeEKoi/view?usp=drivesdk","5946_SUHARYANTI _ SERTIFIKAT BerAKHLAK")</f>
        <v>5946_SUHARYANTI _ SERTIFIKAT BerAKHLAK</v>
      </c>
      <c r="P5947" s="5" t="s">
        <v>38768</v>
      </c>
    </row>
    <row r="5948">
      <c r="A5948" s="4">
        <v>45534.36451475695</v>
      </c>
      <c r="B5948" s="5" t="s">
        <v>34</v>
      </c>
      <c r="D5948" s="5" t="s">
        <v>9020</v>
      </c>
      <c r="E5948" s="5" t="s">
        <v>38769</v>
      </c>
      <c r="F5948" s="5" t="s">
        <v>524</v>
      </c>
      <c r="G5948" s="5" t="s">
        <v>38770</v>
      </c>
      <c r="H5948" s="6" t="s">
        <v>38771</v>
      </c>
      <c r="I5948" s="7" t="s">
        <v>38772</v>
      </c>
      <c r="J5948" s="8" t="str">
        <f>HYPERLINK("https://drive.google.com/file/d/1ISU_Omawv19Q6z6PNBfatPn2aZdH2I2j/view?usp=drivesdk","RAHMI,S.FARM SERTIFIKAT BerAKHLAK")</f>
        <v>RAHMI,S.FARM SERTIFIKAT BerAKHLAK</v>
      </c>
      <c r="K5948" s="5" t="s">
        <v>38627</v>
      </c>
      <c r="L5948" s="5" t="s">
        <v>38773</v>
      </c>
      <c r="M5948" s="5" t="s">
        <v>38774</v>
      </c>
      <c r="N5948" s="7" t="s">
        <v>38775</v>
      </c>
      <c r="O5948" s="8" t="str">
        <f>HYPERLINK("https://drive.google.com/file/d/1R1wMTrEnnpwUYEZlcC847cHRxrYCRDe-/view?usp=drivesdk","5947_RAHMI,S.FARM _ SERTIFIKAT BerAKHLAK")</f>
        <v>5947_RAHMI,S.FARM _ SERTIFIKAT BerAKHLAK</v>
      </c>
      <c r="P5948" s="5" t="s">
        <v>38768</v>
      </c>
    </row>
    <row r="5949">
      <c r="A5949" s="4">
        <v>45534.364518773145</v>
      </c>
      <c r="B5949" s="5" t="s">
        <v>34</v>
      </c>
      <c r="D5949" s="5" t="s">
        <v>9020</v>
      </c>
      <c r="E5949" s="5" t="s">
        <v>38776</v>
      </c>
      <c r="F5949" s="5" t="s">
        <v>212</v>
      </c>
      <c r="G5949" s="5" t="s">
        <v>38777</v>
      </c>
      <c r="H5949" s="6" t="s">
        <v>38778</v>
      </c>
      <c r="I5949" s="7" t="s">
        <v>38779</v>
      </c>
      <c r="J5949" s="8" t="str">
        <f>HYPERLINK("https://drive.google.com/file/d/1grlMC94KFiQ0JGp_uim3pMAEMX-MwRpg/view?usp=drivesdk","DELIMA MAHOMBAR SERTIFIKAT BerAKHLAK")</f>
        <v>DELIMA MAHOMBAR SERTIFIKAT BerAKHLAK</v>
      </c>
      <c r="K5949" s="5" t="s">
        <v>38627</v>
      </c>
      <c r="L5949" s="5" t="s">
        <v>38780</v>
      </c>
      <c r="M5949" s="5" t="s">
        <v>38781</v>
      </c>
      <c r="N5949" s="7" t="s">
        <v>38782</v>
      </c>
      <c r="O5949" s="8" t="str">
        <f>HYPERLINK("https://drive.google.com/file/d/1-tLmCPKUOs5smd8IgtxwhC_byrWfC_cu/view?usp=drivesdk","5948_DELIMA MAHOMBAR _ SERTIFIKAT BerAKHLAK")</f>
        <v>5948_DELIMA MAHOMBAR _ SERTIFIKAT BerAKHLAK</v>
      </c>
      <c r="P5949" s="5" t="s">
        <v>38768</v>
      </c>
    </row>
    <row r="5950">
      <c r="A5950" s="4">
        <v>45534.364519062496</v>
      </c>
      <c r="B5950" s="5" t="s">
        <v>34</v>
      </c>
      <c r="D5950" s="5" t="s">
        <v>4775</v>
      </c>
      <c r="E5950" s="5" t="s">
        <v>38783</v>
      </c>
      <c r="F5950" s="5" t="s">
        <v>72</v>
      </c>
      <c r="G5950" s="5" t="s">
        <v>38784</v>
      </c>
      <c r="H5950" s="6" t="s">
        <v>38785</v>
      </c>
      <c r="I5950" s="7" t="s">
        <v>38786</v>
      </c>
      <c r="J5950" s="8" t="str">
        <f>HYPERLINK("https://drive.google.com/file/d/1tyDzE74gzeVF2fAqIjPj9zIt0RmrdHXk/view?usp=drivesdk","HENDI APRIANTO, Skep SERTIFIKAT BerAKHLAK")</f>
        <v>HENDI APRIANTO, Skep SERTIFIKAT BerAKHLAK</v>
      </c>
      <c r="K5950" s="5" t="s">
        <v>38627</v>
      </c>
      <c r="L5950" s="5" t="s">
        <v>38787</v>
      </c>
      <c r="M5950" s="5" t="s">
        <v>38788</v>
      </c>
      <c r="N5950" s="7" t="s">
        <v>38789</v>
      </c>
      <c r="O5950" s="8" t="str">
        <f>HYPERLINK("https://drive.google.com/file/d/1c9LkXsvbwLBh_-qgr3S4APLeuHo10gSS/view?usp=drivesdk","5949_HENDI APRIANTO, Skep _ SERTIFIKAT BerAKHLAK")</f>
        <v>5949_HENDI APRIANTO, Skep _ SERTIFIKAT BerAKHLAK</v>
      </c>
      <c r="P5950" s="5" t="s">
        <v>38768</v>
      </c>
    </row>
    <row r="5951" hidden="1">
      <c r="A5951" s="4">
        <v>45534.36452141203</v>
      </c>
      <c r="B5951" s="5" t="s">
        <v>19</v>
      </c>
      <c r="C5951" s="5" t="s">
        <v>3301</v>
      </c>
      <c r="E5951" s="5" t="s">
        <v>38790</v>
      </c>
      <c r="F5951" s="5" t="s">
        <v>37</v>
      </c>
      <c r="G5951" s="5" t="s">
        <v>38791</v>
      </c>
      <c r="H5951" s="6" t="s">
        <v>38792</v>
      </c>
      <c r="K5951" s="5" t="s">
        <v>38793</v>
      </c>
      <c r="M5951" s="5" t="s">
        <v>38794</v>
      </c>
      <c r="N5951" s="7" t="s">
        <v>38795</v>
      </c>
      <c r="O5951" s="8" t="str">
        <f>HYPERLINK("https://drive.google.com/file/d/1X4ZfcHyF4U_BlwpAWVfmj7zpeD8Fz6wT/view?usp=drivesdk","5950_SELVIYANI, A.Md.Kep _ SERTIFIKAT BerAKHLAK")</f>
        <v>5950_SELVIYANI, A.Md.Kep _ SERTIFIKAT BerAKHLAK</v>
      </c>
      <c r="P5951" s="5" t="s">
        <v>38768</v>
      </c>
    </row>
    <row r="5952">
      <c r="A5952" s="4">
        <v>45534.364539814815</v>
      </c>
      <c r="B5952" s="5" t="s">
        <v>34</v>
      </c>
      <c r="D5952" s="5" t="s">
        <v>1206</v>
      </c>
      <c r="E5952" s="5" t="s">
        <v>38796</v>
      </c>
      <c r="F5952" s="5" t="s">
        <v>37</v>
      </c>
      <c r="G5952" s="5" t="s">
        <v>38797</v>
      </c>
      <c r="H5952" s="6" t="s">
        <v>38798</v>
      </c>
      <c r="K5952" s="5" t="s">
        <v>38793</v>
      </c>
      <c r="M5952" s="5" t="s">
        <v>38799</v>
      </c>
      <c r="N5952" s="7" t="s">
        <v>38800</v>
      </c>
      <c r="O5952" s="8" t="str">
        <f>HYPERLINK("https://drive.google.com/file/d/1BQbVO5lfAW8eIuKV4QHOqoZH1XLOb1uW/view?usp=drivesdk","5951_SUNARNO _ SERTIFIKAT BerAKHLAK")</f>
        <v>5951_SUNARNO _ SERTIFIKAT BerAKHLAK</v>
      </c>
      <c r="P5952" s="5" t="s">
        <v>38768</v>
      </c>
    </row>
    <row r="5953">
      <c r="A5953" s="4">
        <v>45534.36455946759</v>
      </c>
      <c r="B5953" s="5" t="s">
        <v>34</v>
      </c>
      <c r="D5953" s="5" t="s">
        <v>1206</v>
      </c>
      <c r="E5953" s="5" t="s">
        <v>38801</v>
      </c>
      <c r="F5953" s="5" t="s">
        <v>199</v>
      </c>
      <c r="G5953" s="5" t="s">
        <v>38802</v>
      </c>
      <c r="H5953" s="6" t="s">
        <v>38803</v>
      </c>
      <c r="K5953" s="5" t="s">
        <v>38793</v>
      </c>
      <c r="M5953" s="5" t="s">
        <v>38804</v>
      </c>
      <c r="N5953" s="7" t="s">
        <v>38805</v>
      </c>
      <c r="O5953" s="8" t="str">
        <f>HYPERLINK("https://drive.google.com/file/d/1qQwfmuy3xFzj1-OtLNJNL8L3KB2XX4K3/view?usp=drivesdk","5952_SUYATNO  _ SERTIFIKAT BerAKHLAK")</f>
        <v>5952_SUYATNO  _ SERTIFIKAT BerAKHLAK</v>
      </c>
      <c r="P5953" s="5" t="s">
        <v>38806</v>
      </c>
    </row>
    <row r="5954">
      <c r="A5954" s="4">
        <v>45534.364567349534</v>
      </c>
      <c r="B5954" s="5" t="s">
        <v>34</v>
      </c>
      <c r="D5954" s="5" t="s">
        <v>4775</v>
      </c>
      <c r="E5954" s="5" t="s">
        <v>38807</v>
      </c>
      <c r="F5954" s="5" t="s">
        <v>212</v>
      </c>
      <c r="G5954" s="5" t="s">
        <v>38808</v>
      </c>
      <c r="H5954" s="6" t="s">
        <v>38809</v>
      </c>
      <c r="K5954" s="5" t="s">
        <v>38793</v>
      </c>
      <c r="M5954" s="5" t="s">
        <v>38810</v>
      </c>
      <c r="N5954" s="7" t="s">
        <v>38811</v>
      </c>
      <c r="O5954" s="8" t="str">
        <f>HYPERLINK("https://drive.google.com/file/d/1QiTvdOVLrxlupP2lsO7X7lLRDHkATCnX/view?usp=drivesdk","5953_SALBIYA _ SERTIFIKAT BerAKHLAK")</f>
        <v>5953_SALBIYA _ SERTIFIKAT BerAKHLAK</v>
      </c>
      <c r="P5954" s="5" t="s">
        <v>38806</v>
      </c>
    </row>
    <row r="5955">
      <c r="A5955" s="4">
        <v>45534.36457101852</v>
      </c>
      <c r="B5955" s="5" t="s">
        <v>34</v>
      </c>
      <c r="D5955" s="5" t="s">
        <v>15401</v>
      </c>
      <c r="E5955" s="5" t="s">
        <v>38812</v>
      </c>
      <c r="F5955" s="5" t="s">
        <v>375</v>
      </c>
      <c r="G5955" s="5" t="s">
        <v>38813</v>
      </c>
      <c r="H5955" s="6" t="s">
        <v>38814</v>
      </c>
      <c r="I5955" s="7" t="s">
        <v>38815</v>
      </c>
      <c r="J5955" s="8" t="str">
        <f>HYPERLINK("https://drive.google.com/file/d/1YeCMp3CphW-K1gocEisjOLMoYWo8v02v/view?usp=drivesdk","ZEKIASTI MOKODOMPIS  SERTIFIKAT BerAKHLAK")</f>
        <v>ZEKIASTI MOKODOMPIS  SERTIFIKAT BerAKHLAK</v>
      </c>
      <c r="K5955" s="5" t="s">
        <v>38627</v>
      </c>
      <c r="L5955" s="5" t="s">
        <v>38816</v>
      </c>
      <c r="M5955" s="5" t="s">
        <v>38817</v>
      </c>
      <c r="N5955" s="7" t="s">
        <v>38818</v>
      </c>
      <c r="O5955" s="8" t="str">
        <f>HYPERLINK("https://drive.google.com/file/d/1EBqMmFL-42Q3HRf1FbWKvf8EfgBfKn6F/view?usp=drivesdk","5954_ZEKIASTI MOKODOMPIS  _ SERTIFIKAT BerAKHLAK")</f>
        <v>5954_ZEKIASTI MOKODOMPIS  _ SERTIFIKAT BerAKHLAK</v>
      </c>
      <c r="P5955" s="5" t="s">
        <v>38806</v>
      </c>
    </row>
    <row r="5956">
      <c r="A5956" s="4">
        <v>45534.364572060185</v>
      </c>
      <c r="B5956" s="5" t="s">
        <v>34</v>
      </c>
      <c r="D5956" s="5" t="s">
        <v>701</v>
      </c>
      <c r="E5956" s="5" t="s">
        <v>38819</v>
      </c>
      <c r="F5956" s="5" t="s">
        <v>212</v>
      </c>
      <c r="G5956" s="5" t="s">
        <v>38820</v>
      </c>
      <c r="H5956" s="6" t="s">
        <v>38821</v>
      </c>
      <c r="I5956" s="7" t="s">
        <v>38822</v>
      </c>
      <c r="J5956" s="8" t="str">
        <f>HYPERLINK("https://drive.google.com/file/d/1ePB1oeSBOG7FioN3eebogdbnWvZX_Dku/view?usp=drivesdk","DIAN APRILLIA SERTIFIKAT BerAKHLAK")</f>
        <v>DIAN APRILLIA SERTIFIKAT BerAKHLAK</v>
      </c>
      <c r="K5956" s="5" t="s">
        <v>38627</v>
      </c>
      <c r="L5956" s="5" t="s">
        <v>38823</v>
      </c>
      <c r="M5956" s="5" t="s">
        <v>38824</v>
      </c>
      <c r="N5956" s="7" t="s">
        <v>38825</v>
      </c>
      <c r="O5956" s="8" t="str">
        <f>HYPERLINK("https://drive.google.com/file/d/1XH_yQK8eWn3vESr6SECFdKpyieUuS02d/view?usp=drivesdk","5955_DIAN APRILLIA _ SERTIFIKAT BerAKHLAK")</f>
        <v>5955_DIAN APRILLIA _ SERTIFIKAT BerAKHLAK</v>
      </c>
      <c r="P5956" s="5" t="s">
        <v>38806</v>
      </c>
    </row>
    <row r="5957">
      <c r="A5957" s="4">
        <v>45534.36457837963</v>
      </c>
      <c r="B5957" s="5" t="s">
        <v>34</v>
      </c>
      <c r="D5957" s="5" t="s">
        <v>4775</v>
      </c>
      <c r="E5957" s="5" t="s">
        <v>38826</v>
      </c>
      <c r="F5957" s="5" t="s">
        <v>524</v>
      </c>
      <c r="G5957" s="5" t="s">
        <v>38827</v>
      </c>
      <c r="H5957" s="6" t="s">
        <v>38828</v>
      </c>
      <c r="K5957" s="5" t="s">
        <v>38829</v>
      </c>
      <c r="M5957" s="5" t="s">
        <v>38830</v>
      </c>
      <c r="N5957" s="7" t="s">
        <v>38831</v>
      </c>
      <c r="O5957" s="8" t="str">
        <f>HYPERLINK("https://drive.google.com/file/d/1NSlwRBQt8J9pXolELF82NOcAaOK5EQAd/view?usp=drivesdk","5956_Ns. ADIB HUDA MUJTABA, S.Kep. _ SERTIFIKAT BerAKHLAK")</f>
        <v>5956_Ns. ADIB HUDA MUJTABA, S.Kep. _ SERTIFIKAT BerAKHLAK</v>
      </c>
      <c r="P5957" s="5" t="s">
        <v>38832</v>
      </c>
    </row>
    <row r="5958">
      <c r="A5958" s="4">
        <v>45534.364581076385</v>
      </c>
      <c r="B5958" s="5" t="s">
        <v>34</v>
      </c>
      <c r="D5958" s="5" t="s">
        <v>4775</v>
      </c>
      <c r="E5958" s="5" t="s">
        <v>38833</v>
      </c>
      <c r="F5958" s="5" t="s">
        <v>37</v>
      </c>
      <c r="G5958" s="5" t="s">
        <v>38834</v>
      </c>
      <c r="H5958" s="6" t="s">
        <v>38835</v>
      </c>
      <c r="K5958" s="5" t="s">
        <v>38829</v>
      </c>
      <c r="M5958" s="5" t="s">
        <v>38836</v>
      </c>
      <c r="N5958" s="7" t="s">
        <v>38837</v>
      </c>
      <c r="O5958" s="8" t="str">
        <f>HYPERLINK("https://drive.google.com/file/d/1HMt7mSJTopS-ymY0sNWbd2VkyOp-f83Q/view?usp=drivesdk","5957_AMEILIA AYUNING KUNTYASSARI, S.Psi., M.H. _ SERTIFIKAT BerAKHLAK")</f>
        <v>5957_AMEILIA AYUNING KUNTYASSARI, S.Psi., M.H. _ SERTIFIKAT BerAKHLAK</v>
      </c>
      <c r="P5958" s="5" t="s">
        <v>38832</v>
      </c>
    </row>
    <row r="5959">
      <c r="A5959" s="4">
        <v>45534.36458163195</v>
      </c>
      <c r="B5959" s="5" t="s">
        <v>34</v>
      </c>
      <c r="D5959" s="5" t="s">
        <v>14424</v>
      </c>
      <c r="E5959" s="5" t="s">
        <v>38838</v>
      </c>
      <c r="F5959" s="5" t="s">
        <v>524</v>
      </c>
      <c r="G5959" s="5" t="s">
        <v>38839</v>
      </c>
      <c r="H5959" s="6" t="s">
        <v>38840</v>
      </c>
      <c r="K5959" s="5" t="s">
        <v>38829</v>
      </c>
      <c r="M5959" s="5" t="s">
        <v>38841</v>
      </c>
      <c r="N5959" s="7" t="s">
        <v>38842</v>
      </c>
      <c r="O5959" s="8" t="str">
        <f>HYPERLINK("https://drive.google.com/file/d/1plaHUewJOw7V41LFNKk1cOS8_rIeBXfC/view?usp=drivesdk","5958_ABUBAKAR, S.P.  _ SERTIFIKAT BerAKHLAK")</f>
        <v>5958_ABUBAKAR, S.P.  _ SERTIFIKAT BerAKHLAK</v>
      </c>
      <c r="P5959" s="5" t="s">
        <v>38832</v>
      </c>
    </row>
    <row r="5960" hidden="1">
      <c r="A5960" s="4">
        <v>45534.364592893515</v>
      </c>
      <c r="B5960" s="5" t="s">
        <v>19</v>
      </c>
      <c r="C5960" s="5" t="s">
        <v>3301</v>
      </c>
      <c r="E5960" s="5" t="s">
        <v>38843</v>
      </c>
      <c r="F5960" s="5" t="s">
        <v>375</v>
      </c>
      <c r="G5960" s="5" t="s">
        <v>38844</v>
      </c>
      <c r="H5960" s="6" t="s">
        <v>38845</v>
      </c>
      <c r="K5960" s="5" t="s">
        <v>38829</v>
      </c>
      <c r="M5960" s="5" t="s">
        <v>38846</v>
      </c>
      <c r="N5960" s="7" t="s">
        <v>38847</v>
      </c>
      <c r="O5960" s="8" t="str">
        <f>HYPERLINK("https://drive.google.com/file/d/1Zobj_jHFaQNfZRVghWOtUDEAyVt8sMdW/view?usp=drivesdk","5959_INDRI CAHYANI, SE  _ SERTIFIKAT BerAKHLAK")</f>
        <v>5959_INDRI CAHYANI, SE  _ SERTIFIKAT BerAKHLAK</v>
      </c>
      <c r="P5960" s="5" t="s">
        <v>38832</v>
      </c>
    </row>
    <row r="5961">
      <c r="A5961" s="4">
        <v>45534.36461348379</v>
      </c>
      <c r="B5961" s="5" t="s">
        <v>34</v>
      </c>
      <c r="D5961" s="5" t="s">
        <v>1206</v>
      </c>
      <c r="E5961" s="5" t="s">
        <v>38848</v>
      </c>
      <c r="F5961" s="5" t="s">
        <v>212</v>
      </c>
      <c r="G5961" s="5" t="s">
        <v>38849</v>
      </c>
      <c r="H5961" s="6" t="s">
        <v>38850</v>
      </c>
      <c r="I5961" s="7" t="s">
        <v>38851</v>
      </c>
      <c r="J5961" s="8" t="str">
        <f>HYPERLINK("https://drive.google.com/file/d/1vk_hCgyDnkvK0llPYGJrPkaWt0FCbO86/view?usp=drivesdk","ANI PRASETYOWATI SERTIFIKAT BerAKHLAK")</f>
        <v>ANI PRASETYOWATI SERTIFIKAT BerAKHLAK</v>
      </c>
      <c r="K5961" s="5" t="s">
        <v>38627</v>
      </c>
      <c r="L5961" s="5" t="s">
        <v>38852</v>
      </c>
      <c r="M5961" s="5" t="s">
        <v>38853</v>
      </c>
      <c r="N5961" s="7" t="s">
        <v>38854</v>
      </c>
      <c r="O5961" s="8" t="str">
        <f>HYPERLINK("https://drive.google.com/file/d/1BCk-CWyuS-QO157Rz-K7XzemDBHsMgqx/view?usp=drivesdk","5960_ANI PRASETYOWATI _ SERTIFIKAT BerAKHLAK")</f>
        <v>5960_ANI PRASETYOWATI _ SERTIFIKAT BerAKHLAK</v>
      </c>
      <c r="P5961" s="5" t="s">
        <v>38855</v>
      </c>
    </row>
    <row r="5962">
      <c r="A5962" s="4">
        <v>45534.364621493056</v>
      </c>
      <c r="B5962" s="5" t="s">
        <v>34</v>
      </c>
      <c r="D5962" s="5" t="s">
        <v>35</v>
      </c>
      <c r="E5962" s="5" t="s">
        <v>38856</v>
      </c>
      <c r="F5962" s="5" t="s">
        <v>524</v>
      </c>
      <c r="G5962" s="5" t="s">
        <v>38857</v>
      </c>
      <c r="H5962" s="6" t="s">
        <v>38858</v>
      </c>
      <c r="I5962" s="7" t="s">
        <v>38859</v>
      </c>
      <c r="J5962" s="8" t="str">
        <f>HYPERLINK("https://drive.google.com/file/d/1q_qu54TmLeT-7fJEikDgVxyt_ryMXDQD/view?usp=drivesdk","MAYA KURNIA,S.KEP.,NERS SERTIFIKAT BerAKHLAK")</f>
        <v>MAYA KURNIA,S.KEP.,NERS SERTIFIKAT BerAKHLAK</v>
      </c>
      <c r="K5962" s="5" t="s">
        <v>38627</v>
      </c>
      <c r="L5962" s="5" t="s">
        <v>38860</v>
      </c>
      <c r="M5962" s="5" t="s">
        <v>38861</v>
      </c>
      <c r="N5962" s="7" t="s">
        <v>38862</v>
      </c>
      <c r="O5962" s="8" t="str">
        <f>HYPERLINK("https://drive.google.com/file/d/1ZQDgb_rjljKbghFRhpHv2S7rJRd1yC0Q/view?usp=drivesdk","5961_MAYA KURNIA,S.KEP.,NERS _ SERTIFIKAT BerAKHLAK")</f>
        <v>5961_MAYA KURNIA,S.KEP.,NERS _ SERTIFIKAT BerAKHLAK</v>
      </c>
      <c r="P5962" s="5" t="s">
        <v>38855</v>
      </c>
    </row>
    <row r="5963">
      <c r="A5963" s="4">
        <v>45534.364622696754</v>
      </c>
      <c r="B5963" s="5" t="s">
        <v>34</v>
      </c>
      <c r="D5963" s="5" t="s">
        <v>10444</v>
      </c>
      <c r="E5963" s="5" t="s">
        <v>38863</v>
      </c>
      <c r="F5963" s="5" t="s">
        <v>72</v>
      </c>
      <c r="G5963" s="5" t="s">
        <v>38864</v>
      </c>
      <c r="H5963" s="6" t="s">
        <v>38865</v>
      </c>
      <c r="K5963" s="5" t="s">
        <v>38866</v>
      </c>
      <c r="M5963" s="5" t="s">
        <v>38867</v>
      </c>
      <c r="N5963" s="7" t="s">
        <v>38868</v>
      </c>
      <c r="O5963" s="8" t="str">
        <f>HYPERLINK("https://drive.google.com/file/d/142mlkvbbkSsTmcQoCwbkcW7qFN1TAbSF/view?usp=drivesdk","5962_URAI RATNA KEMALA _ SERTIFIKAT BerAKHLAK")</f>
        <v>5962_URAI RATNA KEMALA _ SERTIFIKAT BerAKHLAK</v>
      </c>
      <c r="P5963" s="5" t="s">
        <v>38855</v>
      </c>
    </row>
    <row r="5964">
      <c r="A5964" s="4">
        <v>45534.36462806713</v>
      </c>
      <c r="B5964" s="5" t="s">
        <v>34</v>
      </c>
      <c r="D5964" s="5" t="s">
        <v>267</v>
      </c>
      <c r="E5964" s="5" t="s">
        <v>38869</v>
      </c>
      <c r="F5964" s="5" t="s">
        <v>524</v>
      </c>
      <c r="G5964" s="5" t="s">
        <v>38870</v>
      </c>
      <c r="H5964" s="6" t="s">
        <v>38871</v>
      </c>
      <c r="K5964" s="5" t="s">
        <v>38866</v>
      </c>
      <c r="M5964" s="5" t="s">
        <v>38872</v>
      </c>
      <c r="N5964" s="7" t="s">
        <v>38873</v>
      </c>
      <c r="O5964" s="8" t="str">
        <f>HYPERLINK("https://drive.google.com/file/d/11vq2299CFe9_xXxUJg6gWnDtX4Xjl5_X/view?usp=drivesdk","5963_RIZKI SETYA NINGSIH, S.E. _ SERTIFIKAT BerAKHLAK")</f>
        <v>5963_RIZKI SETYA NINGSIH, S.E. _ SERTIFIKAT BerAKHLAK</v>
      </c>
      <c r="P5964" s="5" t="s">
        <v>38855</v>
      </c>
    </row>
    <row r="5965">
      <c r="A5965" s="4">
        <v>45534.36463287037</v>
      </c>
      <c r="B5965" s="5" t="s">
        <v>34</v>
      </c>
      <c r="D5965" s="5" t="s">
        <v>1206</v>
      </c>
      <c r="E5965" s="5" t="s">
        <v>38874</v>
      </c>
      <c r="F5965" s="5" t="s">
        <v>37</v>
      </c>
      <c r="G5965" s="5" t="s">
        <v>38875</v>
      </c>
      <c r="H5965" s="6" t="s">
        <v>38876</v>
      </c>
      <c r="K5965" s="5" t="s">
        <v>38866</v>
      </c>
      <c r="M5965" s="5" t="s">
        <v>38877</v>
      </c>
      <c r="N5965" s="7" t="s">
        <v>38878</v>
      </c>
      <c r="O5965" s="8" t="str">
        <f>HYPERLINK("https://drive.google.com/file/d/19au3yDWtYRE9H36-vgxQd7lDT7ruLFfI/view?usp=drivesdk","5964_SRI HARIATI _ SERTIFIKAT BerAKHLAK")</f>
        <v>5964_SRI HARIATI _ SERTIFIKAT BerAKHLAK</v>
      </c>
      <c r="P5965" s="5" t="s">
        <v>38855</v>
      </c>
    </row>
    <row r="5966">
      <c r="A5966" s="4">
        <v>45534.364639259264</v>
      </c>
      <c r="B5966" s="5" t="s">
        <v>34</v>
      </c>
      <c r="D5966" s="5" t="s">
        <v>1206</v>
      </c>
      <c r="E5966" s="5" t="s">
        <v>17285</v>
      </c>
      <c r="F5966" s="5" t="s">
        <v>212</v>
      </c>
      <c r="G5966" s="5" t="s">
        <v>38879</v>
      </c>
      <c r="H5966" s="6" t="s">
        <v>38880</v>
      </c>
      <c r="I5966" s="7" t="s">
        <v>38881</v>
      </c>
      <c r="J5966" s="8" t="str">
        <f>HYPERLINK("https://drive.google.com/file/d/1xEXRXalxaGe0dnIYgDFnwFJGfR0NJSwu/view?usp=drivesdk","MULYADI SERTIFIKAT BerAKHLAK")</f>
        <v>MULYADI SERTIFIKAT BerAKHLAK</v>
      </c>
      <c r="K5966" s="5" t="s">
        <v>38627</v>
      </c>
      <c r="L5966" s="5" t="s">
        <v>38882</v>
      </c>
      <c r="M5966" s="5" t="s">
        <v>38883</v>
      </c>
      <c r="N5966" s="7" t="s">
        <v>38884</v>
      </c>
      <c r="O5966" s="8" t="str">
        <f>HYPERLINK("https://drive.google.com/file/d/1LqMToYeFPL7ZVyKiOwEyJ_Q3Mw7HHPxw/view?usp=drivesdk","5965_MULYADI _ SERTIFIKAT BerAKHLAK")</f>
        <v>5965_MULYADI _ SERTIFIKAT BerAKHLAK</v>
      </c>
      <c r="P5966" s="5" t="s">
        <v>38885</v>
      </c>
    </row>
    <row r="5967">
      <c r="A5967" s="4">
        <v>45534.364642141205</v>
      </c>
      <c r="B5967" s="5" t="s">
        <v>34</v>
      </c>
      <c r="D5967" s="5" t="s">
        <v>12978</v>
      </c>
      <c r="E5967" s="5" t="s">
        <v>38886</v>
      </c>
      <c r="F5967" s="5" t="s">
        <v>375</v>
      </c>
      <c r="G5967" s="5" t="s">
        <v>38887</v>
      </c>
      <c r="H5967" s="6" t="s">
        <v>38888</v>
      </c>
      <c r="I5967" s="7" t="s">
        <v>38889</v>
      </c>
      <c r="J5967" s="8" t="str">
        <f>HYPERLINK("https://drive.google.com/file/d/1dWpIrcTXKa3BW8lUTIy8njGFmvtUskl6/view?usp=drivesdk","YUSMIATI SERTIFIKAT BerAKHLAK")</f>
        <v>YUSMIATI SERTIFIKAT BerAKHLAK</v>
      </c>
      <c r="K5967" s="5" t="s">
        <v>38627</v>
      </c>
      <c r="L5967" s="5" t="s">
        <v>38890</v>
      </c>
      <c r="M5967" s="5" t="s">
        <v>38891</v>
      </c>
      <c r="N5967" s="7" t="s">
        <v>38892</v>
      </c>
      <c r="O5967" s="8" t="str">
        <f>HYPERLINK("https://drive.google.com/file/d/124urw0MrVOd98rNnVu5pRKZUuKwMbTir/view?usp=drivesdk","5966_YUSMIATI _ SERTIFIKAT BerAKHLAK")</f>
        <v>5966_YUSMIATI _ SERTIFIKAT BerAKHLAK</v>
      </c>
      <c r="P5967" s="5" t="s">
        <v>38885</v>
      </c>
    </row>
    <row r="5968">
      <c r="A5968" s="4">
        <v>45534.364642280096</v>
      </c>
      <c r="B5968" s="5" t="s">
        <v>34</v>
      </c>
      <c r="D5968" s="5" t="s">
        <v>580</v>
      </c>
      <c r="E5968" s="5" t="s">
        <v>38893</v>
      </c>
      <c r="F5968" s="5" t="s">
        <v>37</v>
      </c>
      <c r="G5968" s="5" t="s">
        <v>38894</v>
      </c>
      <c r="H5968" s="6" t="s">
        <v>38895</v>
      </c>
      <c r="I5968" s="7" t="s">
        <v>38896</v>
      </c>
      <c r="J5968" s="8" t="str">
        <f>HYPERLINK("https://drive.google.com/file/d/13Ib7ppkEvw34DPFynwoNoYxUUeyVoBfr/view?usp=drivesdk","I GUSTI NGURAH ARTA KUSUMA SERTIFIKAT BerAKHLAK")</f>
        <v>I GUSTI NGURAH ARTA KUSUMA SERTIFIKAT BerAKHLAK</v>
      </c>
      <c r="K5968" s="5" t="s">
        <v>38627</v>
      </c>
      <c r="L5968" s="5" t="s">
        <v>38897</v>
      </c>
      <c r="M5968" s="5" t="s">
        <v>38898</v>
      </c>
      <c r="N5968" s="7" t="s">
        <v>38899</v>
      </c>
      <c r="O5968" s="8" t="str">
        <f>HYPERLINK("https://drive.google.com/file/d/1_ZzKS0IgE1ETOyxsu1k4asclOAjOLBhg/view?usp=drivesdk","5967_I GUSTI NGURAH ARTA KUSUMA _ SERTIFIKAT BerAKHLAK")</f>
        <v>5967_I GUSTI NGURAH ARTA KUSUMA _ SERTIFIKAT BerAKHLAK</v>
      </c>
      <c r="P5968" s="5" t="s">
        <v>38885</v>
      </c>
    </row>
    <row r="5969">
      <c r="A5969" s="4">
        <v>45534.364659328705</v>
      </c>
      <c r="B5969" s="5" t="s">
        <v>34</v>
      </c>
      <c r="D5969" s="5" t="s">
        <v>9020</v>
      </c>
      <c r="E5969" s="5" t="s">
        <v>38900</v>
      </c>
      <c r="F5969" s="5" t="s">
        <v>72</v>
      </c>
      <c r="G5969" s="5" t="s">
        <v>38901</v>
      </c>
      <c r="H5969" s="6" t="s">
        <v>38902</v>
      </c>
      <c r="K5969" s="5" t="s">
        <v>38903</v>
      </c>
      <c r="M5969" s="5" t="s">
        <v>38904</v>
      </c>
      <c r="N5969" s="7" t="s">
        <v>38905</v>
      </c>
      <c r="O5969" s="8" t="str">
        <f>HYPERLINK("https://drive.google.com/file/d/1l0MfcCLqRrIuJ7u2mMHCqSuJRLGjVzNm/view?usp=drivesdk","5968_dr. IRENE PERMATA ULI LINGGA _ SERTIFIKAT BerAKHLAK")</f>
        <v>5968_dr. IRENE PERMATA ULI LINGGA _ SERTIFIKAT BerAKHLAK</v>
      </c>
      <c r="P5969" s="5" t="s">
        <v>38885</v>
      </c>
    </row>
    <row r="5970">
      <c r="A5970" s="4">
        <v>45534.36466859953</v>
      </c>
      <c r="B5970" s="5" t="s">
        <v>34</v>
      </c>
      <c r="D5970" s="5" t="s">
        <v>580</v>
      </c>
      <c r="E5970" s="5" t="s">
        <v>38906</v>
      </c>
      <c r="F5970" s="5" t="s">
        <v>524</v>
      </c>
      <c r="G5970" s="5" t="s">
        <v>38907</v>
      </c>
      <c r="H5970" s="6" t="s">
        <v>38908</v>
      </c>
      <c r="K5970" s="5" t="s">
        <v>38903</v>
      </c>
      <c r="M5970" s="5" t="s">
        <v>38909</v>
      </c>
      <c r="N5970" s="7" t="s">
        <v>38910</v>
      </c>
      <c r="O5970" s="8" t="str">
        <f>HYPERLINK("https://drive.google.com/file/d/1MTr5b9AtSOW8zPOc8F-z_MR9jFqZPOui/view?usp=drivesdk","5969_DEWA AYU CANDRA DEWI _ SERTIFIKAT BerAKHLAK")</f>
        <v>5969_DEWA AYU CANDRA DEWI _ SERTIFIKAT BerAKHLAK</v>
      </c>
      <c r="P5970" s="5" t="s">
        <v>38885</v>
      </c>
    </row>
    <row r="5971">
      <c r="A5971" s="4">
        <v>45534.36467311342</v>
      </c>
      <c r="B5971" s="5" t="s">
        <v>34</v>
      </c>
      <c r="D5971" s="5" t="s">
        <v>1558</v>
      </c>
      <c r="E5971" s="5" t="s">
        <v>38911</v>
      </c>
      <c r="F5971" s="5" t="s">
        <v>375</v>
      </c>
      <c r="G5971" s="5" t="s">
        <v>38912</v>
      </c>
      <c r="H5971" s="6" t="s">
        <v>38913</v>
      </c>
      <c r="K5971" s="5" t="s">
        <v>38903</v>
      </c>
      <c r="M5971" s="5" t="s">
        <v>38914</v>
      </c>
      <c r="N5971" s="7" t="s">
        <v>38915</v>
      </c>
      <c r="O5971" s="8" t="str">
        <f>HYPERLINK("https://drive.google.com/file/d/1MD_2TdtqwRu6jdmuPy38dl4qW6yJ8i-m/view?usp=drivesdk","5970_DIAN PAHALA SARI, S.E. _ SERTIFIKAT BerAKHLAK")</f>
        <v>5970_DIAN PAHALA SARI, S.E. _ SERTIFIKAT BerAKHLAK</v>
      </c>
      <c r="P5971" s="5" t="s">
        <v>38916</v>
      </c>
    </row>
    <row r="5972">
      <c r="A5972" s="4">
        <v>45534.364673599535</v>
      </c>
      <c r="B5972" s="5" t="s">
        <v>34</v>
      </c>
      <c r="D5972" s="5" t="s">
        <v>1206</v>
      </c>
      <c r="E5972" s="5" t="s">
        <v>38917</v>
      </c>
      <c r="F5972" s="5" t="s">
        <v>37</v>
      </c>
      <c r="G5972" s="5" t="s">
        <v>38918</v>
      </c>
      <c r="H5972" s="6" t="s">
        <v>38919</v>
      </c>
      <c r="K5972" s="5" t="s">
        <v>38903</v>
      </c>
      <c r="M5972" s="5" t="s">
        <v>38920</v>
      </c>
      <c r="N5972" s="7" t="s">
        <v>38921</v>
      </c>
      <c r="O5972" s="8" t="str">
        <f>HYPERLINK("https://drive.google.com/file/d/1G-pADcUpp2lM29B5pIdQOZsPC1rVwIbi/view?usp=drivesdk","5971_SZAVIERRA CHERIA KHOLIFAH, S.KEP _ SERTIFIKAT BerAKHLAK")</f>
        <v>5971_SZAVIERRA CHERIA KHOLIFAH, S.KEP _ SERTIFIKAT BerAKHLAK</v>
      </c>
      <c r="P5972" s="5" t="s">
        <v>38916</v>
      </c>
    </row>
    <row r="5973">
      <c r="A5973" s="4">
        <v>45534.364686712965</v>
      </c>
      <c r="B5973" s="5" t="s">
        <v>34</v>
      </c>
      <c r="D5973" s="5" t="s">
        <v>1206</v>
      </c>
      <c r="E5973" s="5" t="s">
        <v>38922</v>
      </c>
      <c r="F5973" s="5" t="s">
        <v>37</v>
      </c>
      <c r="G5973" s="5" t="s">
        <v>38923</v>
      </c>
      <c r="H5973" s="6" t="s">
        <v>38924</v>
      </c>
      <c r="I5973" s="7" t="s">
        <v>38925</v>
      </c>
      <c r="J5973" s="8" t="str">
        <f>HYPERLINK("https://drive.google.com/file/d/1k4vN2xuYL1Em22VYyU9qAdDj7XmczgBn/view?usp=drivesdk","DWI HADI SAPUTRO SERTIFIKAT BerAKHLAK")</f>
        <v>DWI HADI SAPUTRO SERTIFIKAT BerAKHLAK</v>
      </c>
      <c r="K5973" s="5" t="s">
        <v>38627</v>
      </c>
      <c r="L5973" s="5" t="s">
        <v>38926</v>
      </c>
      <c r="M5973" s="5" t="s">
        <v>38927</v>
      </c>
      <c r="N5973" s="7" t="s">
        <v>38928</v>
      </c>
      <c r="O5973" s="8" t="str">
        <f>HYPERLINK("https://drive.google.com/file/d/1Y1isgSYkS2bQ0U7llvLyu3ftJcutQGxk/view?usp=drivesdk","5972_DWI HADI SAPUTRO _ SERTIFIKAT BerAKHLAK")</f>
        <v>5972_DWI HADI SAPUTRO _ SERTIFIKAT BerAKHLAK</v>
      </c>
      <c r="P5973" s="5" t="s">
        <v>38916</v>
      </c>
    </row>
    <row r="5974">
      <c r="A5974" s="4">
        <v>45534.364693842595</v>
      </c>
      <c r="B5974" s="5" t="s">
        <v>34</v>
      </c>
      <c r="D5974" s="5" t="s">
        <v>4775</v>
      </c>
      <c r="E5974" s="5" t="s">
        <v>38929</v>
      </c>
      <c r="F5974" s="5" t="s">
        <v>120</v>
      </c>
      <c r="G5974" s="5" t="s">
        <v>38930</v>
      </c>
      <c r="H5974" s="6" t="s">
        <v>38931</v>
      </c>
      <c r="K5974" s="5" t="s">
        <v>38932</v>
      </c>
      <c r="M5974" s="5" t="s">
        <v>38933</v>
      </c>
      <c r="N5974" s="7" t="s">
        <v>38934</v>
      </c>
      <c r="O5974" s="8" t="str">
        <f>HYPERLINK("https://drive.google.com/file/d/1Fwr8N2kNsGdLTu7Afty9EwBbdwctzXFn/view?usp=drivesdk","5973_ANDYANTARI FITHRYANA, S.E. _ SERTIFIKAT BerAKHLAK")</f>
        <v>5973_ANDYANTARI FITHRYANA, S.E. _ SERTIFIKAT BerAKHLAK</v>
      </c>
      <c r="P5974" s="5" t="s">
        <v>38916</v>
      </c>
    </row>
    <row r="5975">
      <c r="A5975" s="4">
        <v>45534.36470457176</v>
      </c>
      <c r="B5975" s="5" t="s">
        <v>34</v>
      </c>
      <c r="D5975" s="5" t="s">
        <v>1206</v>
      </c>
      <c r="E5975" s="5" t="s">
        <v>38935</v>
      </c>
      <c r="F5975" s="5" t="s">
        <v>37</v>
      </c>
      <c r="G5975" s="5" t="s">
        <v>38936</v>
      </c>
      <c r="H5975" s="6" t="s">
        <v>38937</v>
      </c>
      <c r="K5975" s="5" t="s">
        <v>38932</v>
      </c>
      <c r="M5975" s="5" t="s">
        <v>38938</v>
      </c>
      <c r="N5975" s="7" t="s">
        <v>38939</v>
      </c>
      <c r="O5975" s="8" t="str">
        <f>HYPERLINK("https://drive.google.com/file/d/1Tp0ETOeKNhR_r9Pne8v4T7xpjWHPAjwf/view?usp=drivesdk","5974_AGUS SUSANTO _ SERTIFIKAT BerAKHLAK")</f>
        <v>5974_AGUS SUSANTO _ SERTIFIKAT BerAKHLAK</v>
      </c>
      <c r="P5975" s="5" t="s">
        <v>38940</v>
      </c>
    </row>
    <row r="5976">
      <c r="A5976" s="4">
        <v>45534.36470484953</v>
      </c>
      <c r="B5976" s="5" t="s">
        <v>34</v>
      </c>
      <c r="D5976" s="5" t="s">
        <v>1206</v>
      </c>
      <c r="E5976" s="5" t="s">
        <v>38941</v>
      </c>
      <c r="F5976" s="5" t="s">
        <v>524</v>
      </c>
      <c r="G5976" s="5" t="s">
        <v>38942</v>
      </c>
      <c r="H5976" s="6" t="s">
        <v>38943</v>
      </c>
      <c r="I5976" s="7" t="s">
        <v>38944</v>
      </c>
      <c r="J5976" s="8" t="str">
        <f>HYPERLINK("https://drive.google.com/file/d/1bJ9eE5H6tOUZ9sgG0ER_qwhaUQhpapnZ/view?usp=drivesdk","SUHERMAN  SERTIFIKAT BerAKHLAK")</f>
        <v>SUHERMAN  SERTIFIKAT BerAKHLAK</v>
      </c>
      <c r="K5976" s="5" t="s">
        <v>38627</v>
      </c>
      <c r="L5976" s="5" t="s">
        <v>38945</v>
      </c>
      <c r="M5976" s="5" t="s">
        <v>38946</v>
      </c>
      <c r="N5976" s="7" t="s">
        <v>38947</v>
      </c>
      <c r="O5976" s="8" t="str">
        <f>HYPERLINK("https://drive.google.com/file/d/14iXdmEPru1cGq_m-nPf3jYWMkkgmarC9/view?usp=drivesdk","5975_SUHERMAN  _ SERTIFIKAT BerAKHLAK")</f>
        <v>5975_SUHERMAN  _ SERTIFIKAT BerAKHLAK</v>
      </c>
      <c r="P5976" s="5" t="s">
        <v>38940</v>
      </c>
    </row>
    <row r="5977">
      <c r="A5977" s="4">
        <v>45534.364707175926</v>
      </c>
      <c r="B5977" s="5" t="s">
        <v>34</v>
      </c>
      <c r="D5977" s="5" t="s">
        <v>4775</v>
      </c>
      <c r="E5977" s="5" t="s">
        <v>38948</v>
      </c>
      <c r="F5977" s="5" t="s">
        <v>108</v>
      </c>
      <c r="G5977" s="5" t="s">
        <v>38949</v>
      </c>
      <c r="H5977" s="6" t="s">
        <v>38950</v>
      </c>
      <c r="K5977" s="5" t="s">
        <v>38951</v>
      </c>
      <c r="M5977" s="5" t="s">
        <v>38952</v>
      </c>
      <c r="N5977" s="7" t="s">
        <v>38953</v>
      </c>
      <c r="O5977" s="8" t="str">
        <f>HYPERLINK("https://drive.google.com/file/d/1QxJZcPcZNk9C0iPIfZUX6PXqKtmDZQoW/view?usp=drivesdk","5976_SARI HIKMAWATY, S.Kep _ SERTIFIKAT BerAKHLAK")</f>
        <v>5976_SARI HIKMAWATY, S.Kep _ SERTIFIKAT BerAKHLAK</v>
      </c>
      <c r="P5977" s="5" t="s">
        <v>38940</v>
      </c>
    </row>
    <row r="5978">
      <c r="A5978" s="4">
        <v>45534.3647081713</v>
      </c>
      <c r="B5978" s="5" t="s">
        <v>34</v>
      </c>
      <c r="D5978" s="5" t="s">
        <v>35</v>
      </c>
      <c r="E5978" s="5" t="s">
        <v>38954</v>
      </c>
      <c r="F5978" s="5" t="s">
        <v>108</v>
      </c>
      <c r="G5978" s="5" t="s">
        <v>38955</v>
      </c>
      <c r="H5978" s="6" t="s">
        <v>38956</v>
      </c>
      <c r="K5978" s="5" t="s">
        <v>38951</v>
      </c>
      <c r="M5978" s="5" t="s">
        <v>38957</v>
      </c>
      <c r="N5978" s="7" t="s">
        <v>38958</v>
      </c>
      <c r="O5978" s="8" t="str">
        <f>HYPERLINK("https://drive.google.com/file/d/1cdg5q17B5g1_D5qxaCqk6JLuF65C1V7d/view?usp=drivesdk","5977_Eka leatarianti,Amd.Kep _ SERTIFIKAT BerAKHLAK")</f>
        <v>5977_Eka leatarianti,Amd.Kep _ SERTIFIKAT BerAKHLAK</v>
      </c>
      <c r="P5978" s="5" t="s">
        <v>38940</v>
      </c>
    </row>
    <row r="5979">
      <c r="A5979" s="4">
        <v>45534.36472185185</v>
      </c>
      <c r="B5979" s="5" t="s">
        <v>34</v>
      </c>
      <c r="D5979" s="5" t="s">
        <v>4775</v>
      </c>
      <c r="E5979" s="5" t="s">
        <v>38959</v>
      </c>
      <c r="F5979" s="5" t="s">
        <v>72</v>
      </c>
      <c r="G5979" s="5" t="s">
        <v>38960</v>
      </c>
      <c r="H5979" s="6" t="s">
        <v>38961</v>
      </c>
      <c r="K5979" s="5" t="s">
        <v>38951</v>
      </c>
      <c r="M5979" s="5" t="s">
        <v>38962</v>
      </c>
      <c r="N5979" s="7" t="s">
        <v>38963</v>
      </c>
      <c r="O5979" s="8" t="str">
        <f>HYPERLINK("https://drive.google.com/file/d/1gZgjq_1H48zcew4kN0nr9r4isdQfJQZC/view?usp=drivesdk","5978_ROHMANI,S.Kep _ SERTIFIKAT BerAKHLAK")</f>
        <v>5978_ROHMANI,S.Kep _ SERTIFIKAT BerAKHLAK</v>
      </c>
      <c r="P5979" s="5" t="s">
        <v>38940</v>
      </c>
    </row>
    <row r="5980">
      <c r="A5980" s="4">
        <v>45534.36473743056</v>
      </c>
      <c r="B5980" s="5" t="s">
        <v>34</v>
      </c>
      <c r="D5980" s="5" t="s">
        <v>14424</v>
      </c>
      <c r="E5980" s="5" t="s">
        <v>38964</v>
      </c>
      <c r="F5980" s="5" t="s">
        <v>37</v>
      </c>
      <c r="G5980" s="5" t="s">
        <v>38965</v>
      </c>
      <c r="H5980" s="6" t="s">
        <v>38966</v>
      </c>
      <c r="K5980" s="5" t="s">
        <v>38951</v>
      </c>
      <c r="M5980" s="5" t="s">
        <v>38967</v>
      </c>
      <c r="N5980" s="7" t="s">
        <v>38968</v>
      </c>
      <c r="O5980" s="8" t="str">
        <f>HYPERLINK("https://drive.google.com/file/d/1Pu1HLnNEYNKHuLAoIUp-8WOoku6L5tO_/view?usp=drivesdk","5979_MUCHTAR _ SERTIFIKAT BerAKHLAK")</f>
        <v>5979_MUCHTAR _ SERTIFIKAT BerAKHLAK</v>
      </c>
      <c r="P5980" s="5" t="s">
        <v>38969</v>
      </c>
    </row>
    <row r="5981">
      <c r="A5981" s="4">
        <v>45534.364757731484</v>
      </c>
      <c r="B5981" s="5" t="s">
        <v>34</v>
      </c>
      <c r="D5981" s="5" t="s">
        <v>9394</v>
      </c>
      <c r="E5981" s="5" t="s">
        <v>29335</v>
      </c>
      <c r="F5981" s="5" t="s">
        <v>524</v>
      </c>
      <c r="G5981" s="5" t="s">
        <v>38970</v>
      </c>
      <c r="H5981" s="6" t="s">
        <v>38971</v>
      </c>
      <c r="K5981" s="5" t="s">
        <v>38972</v>
      </c>
      <c r="M5981" s="5" t="s">
        <v>38973</v>
      </c>
      <c r="N5981" s="7" t="s">
        <v>38974</v>
      </c>
      <c r="O5981" s="8" t="str">
        <f>HYPERLINK("https://drive.google.com/file/d/1x1IKByCakZHOet2PbasHSdaOV2HD-x6t/view?usp=drivesdk","5980_ARMIATI _ SERTIFIKAT BerAKHLAK")</f>
        <v>5980_ARMIATI _ SERTIFIKAT BerAKHLAK</v>
      </c>
      <c r="P5981" s="5" t="s">
        <v>38969</v>
      </c>
    </row>
    <row r="5982">
      <c r="A5982" s="4">
        <v>45534.36476070602</v>
      </c>
      <c r="B5982" s="5" t="s">
        <v>34</v>
      </c>
      <c r="D5982" s="5" t="s">
        <v>9020</v>
      </c>
      <c r="E5982" s="5" t="s">
        <v>38975</v>
      </c>
      <c r="F5982" s="5" t="s">
        <v>72</v>
      </c>
      <c r="G5982" s="5" t="s">
        <v>38976</v>
      </c>
      <c r="H5982" s="6" t="s">
        <v>38977</v>
      </c>
      <c r="K5982" s="5" t="s">
        <v>38972</v>
      </c>
      <c r="M5982" s="5" t="s">
        <v>38978</v>
      </c>
      <c r="N5982" s="7" t="s">
        <v>38979</v>
      </c>
      <c r="O5982" s="8" t="str">
        <f>HYPERLINK("https://drive.google.com/file/d/1O4IzYpigbld43Tr6S1pfLVWbHLotQadF/view?usp=drivesdk","5981_dr. Dede Yusuf Fahma Razi  _ SERTIFIKAT BerAKHLAK")</f>
        <v>5981_dr. Dede Yusuf Fahma Razi  _ SERTIFIKAT BerAKHLAK</v>
      </c>
      <c r="P5982" s="5" t="s">
        <v>38980</v>
      </c>
    </row>
    <row r="5983">
      <c r="A5983" s="4">
        <v>45534.364761770834</v>
      </c>
      <c r="B5983" s="5" t="s">
        <v>34</v>
      </c>
      <c r="D5983" s="5" t="s">
        <v>1206</v>
      </c>
      <c r="E5983" s="5" t="s">
        <v>38981</v>
      </c>
      <c r="F5983" s="5" t="s">
        <v>375</v>
      </c>
      <c r="G5983" s="5" t="s">
        <v>38982</v>
      </c>
      <c r="H5983" s="6" t="s">
        <v>38983</v>
      </c>
      <c r="K5983" s="5" t="s">
        <v>38972</v>
      </c>
      <c r="M5983" s="5" t="s">
        <v>38984</v>
      </c>
      <c r="N5983" s="7" t="s">
        <v>38985</v>
      </c>
      <c r="O5983" s="8" t="str">
        <f>HYPERLINK("https://drive.google.com/file/d/1BpdFXwZSC_j0cCEbI1W979sFipvzLcv2/view?usp=drivesdk","5982_SITI AMANAH _ SERTIFIKAT BerAKHLAK")</f>
        <v>5982_SITI AMANAH _ SERTIFIKAT BerAKHLAK</v>
      </c>
      <c r="P5983" s="5" t="s">
        <v>38980</v>
      </c>
    </row>
    <row r="5984">
      <c r="A5984" s="4">
        <v>45534.36478173611</v>
      </c>
      <c r="B5984" s="5" t="s">
        <v>34</v>
      </c>
      <c r="D5984" s="5" t="s">
        <v>701</v>
      </c>
      <c r="E5984" s="5" t="s">
        <v>38986</v>
      </c>
      <c r="F5984" s="5" t="s">
        <v>37</v>
      </c>
      <c r="G5984" s="5" t="s">
        <v>38987</v>
      </c>
      <c r="H5984" s="6" t="s">
        <v>38988</v>
      </c>
      <c r="K5984" s="5" t="s">
        <v>38972</v>
      </c>
      <c r="M5984" s="5" t="s">
        <v>38989</v>
      </c>
      <c r="N5984" s="7" t="s">
        <v>38990</v>
      </c>
      <c r="O5984" s="8" t="str">
        <f>HYPERLINK("https://drive.google.com/file/d/1lgbpP6bhG8GJvto0V7nblaPLmN4e42fi/view?usp=drivesdk","5983_RIDHA FADILA, A.Md.Kep _ SERTIFIKAT BerAKHLAK")</f>
        <v>5983_RIDHA FADILA, A.Md.Kep _ SERTIFIKAT BerAKHLAK</v>
      </c>
      <c r="P5984" s="5" t="s">
        <v>38980</v>
      </c>
    </row>
    <row r="5985">
      <c r="A5985" s="4">
        <v>45534.364789363426</v>
      </c>
      <c r="B5985" s="5" t="s">
        <v>34</v>
      </c>
      <c r="D5985" s="5" t="s">
        <v>15401</v>
      </c>
      <c r="E5985" s="5" t="s">
        <v>38991</v>
      </c>
      <c r="F5985" s="5" t="s">
        <v>37</v>
      </c>
      <c r="G5985" s="5" t="s">
        <v>38992</v>
      </c>
      <c r="H5985" s="6" t="s">
        <v>38993</v>
      </c>
      <c r="K5985" s="5" t="s">
        <v>38994</v>
      </c>
      <c r="M5985" s="5" t="s">
        <v>38995</v>
      </c>
      <c r="N5985" s="7" t="s">
        <v>38996</v>
      </c>
      <c r="O5985" s="8" t="str">
        <f>HYPERLINK("https://drive.google.com/file/d/1Wds9W5OaH_NXxCNz17ldK1jLbtvNqxKG/view?usp=drivesdk","5984_Warda Sory Hamid SE  _ SERTIFIKAT BerAKHLAK")</f>
        <v>5984_Warda Sory Hamid SE  _ SERTIFIKAT BerAKHLAK</v>
      </c>
      <c r="P5985" s="5" t="s">
        <v>38980</v>
      </c>
    </row>
    <row r="5986">
      <c r="A5986" s="4">
        <v>45534.36479432871</v>
      </c>
      <c r="B5986" s="5" t="s">
        <v>34</v>
      </c>
      <c r="D5986" s="5" t="s">
        <v>9020</v>
      </c>
      <c r="E5986" s="5" t="s">
        <v>38997</v>
      </c>
      <c r="F5986" s="5" t="s">
        <v>212</v>
      </c>
      <c r="G5986" s="5" t="s">
        <v>38998</v>
      </c>
      <c r="H5986" s="6" t="s">
        <v>38999</v>
      </c>
      <c r="K5986" s="5" t="s">
        <v>38994</v>
      </c>
      <c r="M5986" s="5" t="s">
        <v>39000</v>
      </c>
      <c r="N5986" s="7" t="s">
        <v>39001</v>
      </c>
      <c r="O5986" s="8" t="str">
        <f>HYPERLINK("https://drive.google.com/file/d/1j6-40KsHq6wk-J1y-Wyxj9H8Ngb1y3In/view?usp=drivesdk","5985_MASRIANA LUMBANRAJA _ SERTIFIKAT BerAKHLAK")</f>
        <v>5985_MASRIANA LUMBANRAJA _ SERTIFIKAT BerAKHLAK</v>
      </c>
      <c r="P5986" s="5" t="s">
        <v>38980</v>
      </c>
    </row>
    <row r="5987">
      <c r="A5987" s="4">
        <v>45534.364800104166</v>
      </c>
      <c r="B5987" s="5" t="s">
        <v>34</v>
      </c>
      <c r="D5987" s="5" t="s">
        <v>6232</v>
      </c>
      <c r="E5987" s="5" t="s">
        <v>39002</v>
      </c>
      <c r="F5987" s="5" t="s">
        <v>37</v>
      </c>
      <c r="G5987" s="5" t="s">
        <v>39003</v>
      </c>
      <c r="H5987" s="6" t="s">
        <v>39004</v>
      </c>
      <c r="K5987" s="5" t="s">
        <v>38994</v>
      </c>
      <c r="M5987" s="5" t="s">
        <v>39005</v>
      </c>
      <c r="N5987" s="7" t="s">
        <v>39006</v>
      </c>
      <c r="O5987" s="8" t="str">
        <f>HYPERLINK("https://drive.google.com/file/d/1K-N9YM4A8QjtcJ8Vl54_h74-Ze9lSYBh/view?usp=drivesdk","5986_KURNIA BERMA ANGGITA, A.Md.Gz _ SERTIFIKAT BerAKHLAK")</f>
        <v>5986_KURNIA BERMA ANGGITA, A.Md.Gz _ SERTIFIKAT BerAKHLAK</v>
      </c>
      <c r="P5987" s="5" t="s">
        <v>39007</v>
      </c>
    </row>
    <row r="5988">
      <c r="A5988" s="4">
        <v>45534.36480736111</v>
      </c>
      <c r="B5988" s="5" t="s">
        <v>34</v>
      </c>
      <c r="D5988" s="5" t="s">
        <v>1206</v>
      </c>
      <c r="E5988" s="5" t="s">
        <v>39008</v>
      </c>
      <c r="F5988" s="5" t="s">
        <v>37</v>
      </c>
      <c r="G5988" s="5" t="s">
        <v>39009</v>
      </c>
      <c r="H5988" s="6" t="s">
        <v>39010</v>
      </c>
      <c r="K5988" s="5" t="s">
        <v>38994</v>
      </c>
      <c r="M5988" s="5" t="s">
        <v>39011</v>
      </c>
      <c r="N5988" s="7" t="s">
        <v>39012</v>
      </c>
      <c r="O5988" s="8" t="str">
        <f>HYPERLINK("https://drive.google.com/file/d/1kdXQGBfNNYp26gL-nOMgYdN8ICmWATvA/view?usp=drivesdk","5987_RAFSANJANI GUSTAVE YUDANTO _ SERTIFIKAT BerAKHLAK")</f>
        <v>5987_RAFSANJANI GUSTAVE YUDANTO _ SERTIFIKAT BerAKHLAK</v>
      </c>
      <c r="P5988" s="5" t="s">
        <v>39007</v>
      </c>
    </row>
    <row r="5989">
      <c r="A5989" s="4">
        <v>45534.364818229165</v>
      </c>
      <c r="B5989" s="5" t="s">
        <v>34</v>
      </c>
      <c r="D5989" s="5" t="s">
        <v>6232</v>
      </c>
      <c r="E5989" s="5" t="s">
        <v>39013</v>
      </c>
      <c r="F5989" s="5" t="s">
        <v>524</v>
      </c>
      <c r="G5989" s="5" t="s">
        <v>39014</v>
      </c>
      <c r="H5989" s="6" t="s">
        <v>39015</v>
      </c>
      <c r="K5989" s="5" t="s">
        <v>39016</v>
      </c>
      <c r="M5989" s="5" t="s">
        <v>39017</v>
      </c>
      <c r="N5989" s="7" t="s">
        <v>39018</v>
      </c>
      <c r="O5989" s="8" t="str">
        <f>HYPERLINK("https://drive.google.com/file/d/1zzCeHfTqCeQnuxNAMSZ6OZmrc6T9bpgr/view?usp=drivesdk","5988_Ruwaidah, Am.Keb _ SERTIFIKAT BerAKHLAK")</f>
        <v>5988_Ruwaidah, Am.Keb _ SERTIFIKAT BerAKHLAK</v>
      </c>
      <c r="P5989" s="5" t="s">
        <v>39007</v>
      </c>
    </row>
    <row r="5990">
      <c r="A5990" s="4">
        <v>45534.364822268515</v>
      </c>
      <c r="B5990" s="5" t="s">
        <v>34</v>
      </c>
      <c r="D5990" s="5" t="s">
        <v>1206</v>
      </c>
      <c r="E5990" s="5" t="s">
        <v>39019</v>
      </c>
      <c r="F5990" s="5" t="s">
        <v>212</v>
      </c>
      <c r="G5990" s="5" t="s">
        <v>39020</v>
      </c>
      <c r="H5990" s="6" t="s">
        <v>39021</v>
      </c>
      <c r="K5990" s="5" t="s">
        <v>39016</v>
      </c>
      <c r="M5990" s="5" t="s">
        <v>39022</v>
      </c>
      <c r="N5990" s="7" t="s">
        <v>39023</v>
      </c>
      <c r="O5990" s="8" t="str">
        <f>HYPERLINK("https://drive.google.com/file/d/1-zcgk5vNtif6MoT72-6uhfacAaHTyEH0/view?usp=drivesdk","5989_ISWAHYUDI _ SERTIFIKAT BerAKHLAK")</f>
        <v>5989_ISWAHYUDI _ SERTIFIKAT BerAKHLAK</v>
      </c>
      <c r="P5990" s="5" t="s">
        <v>39007</v>
      </c>
    </row>
    <row r="5991">
      <c r="A5991" s="4">
        <v>45534.36482787037</v>
      </c>
      <c r="B5991" s="5" t="s">
        <v>34</v>
      </c>
      <c r="D5991" s="5" t="s">
        <v>10444</v>
      </c>
      <c r="E5991" s="5" t="s">
        <v>39024</v>
      </c>
      <c r="F5991" s="5" t="s">
        <v>375</v>
      </c>
      <c r="G5991" s="5" t="s">
        <v>39025</v>
      </c>
      <c r="H5991" s="6" t="s">
        <v>39026</v>
      </c>
      <c r="K5991" s="5" t="s">
        <v>39016</v>
      </c>
      <c r="M5991" s="5" t="s">
        <v>39027</v>
      </c>
      <c r="N5991" s="7" t="s">
        <v>39028</v>
      </c>
      <c r="O5991" s="8" t="str">
        <f>HYPERLINK("https://drive.google.com/file/d/1YAKQbsNfmnDKegkNOVqgaEUkA9TCrofB/view?usp=drivesdk","5990_TRISYA UTAMI, S.E. _ SERTIFIKAT BerAKHLAK")</f>
        <v>5990_TRISYA UTAMI, S.E. _ SERTIFIKAT BerAKHLAK</v>
      </c>
      <c r="P5991" s="5" t="s">
        <v>39007</v>
      </c>
    </row>
    <row r="5992">
      <c r="A5992" s="4">
        <v>45534.36486724537</v>
      </c>
      <c r="B5992" s="5" t="s">
        <v>34</v>
      </c>
      <c r="D5992" s="5" t="s">
        <v>12978</v>
      </c>
      <c r="E5992" s="5" t="s">
        <v>39029</v>
      </c>
      <c r="F5992" s="5" t="s">
        <v>199</v>
      </c>
      <c r="G5992" s="5" t="s">
        <v>39030</v>
      </c>
      <c r="H5992" s="6" t="s">
        <v>39031</v>
      </c>
      <c r="K5992" s="5" t="s">
        <v>39032</v>
      </c>
      <c r="M5992" s="5" t="s">
        <v>39033</v>
      </c>
      <c r="N5992" s="7" t="s">
        <v>39034</v>
      </c>
      <c r="O5992" s="8" t="str">
        <f>HYPERLINK("https://drive.google.com/file/d/1smjO5Whu16uY3_la9eVFJpKMobSNNwpk/view?usp=drivesdk","5991_SUDIATNO _ SERTIFIKAT BerAKHLAK")</f>
        <v>5991_SUDIATNO _ SERTIFIKAT BerAKHLAK</v>
      </c>
      <c r="P5992" s="5" t="s">
        <v>39035</v>
      </c>
    </row>
    <row r="5993">
      <c r="A5993" s="4">
        <v>45534.3648899074</v>
      </c>
      <c r="B5993" s="5" t="s">
        <v>34</v>
      </c>
      <c r="D5993" s="5" t="s">
        <v>1456</v>
      </c>
      <c r="E5993" s="5" t="s">
        <v>39036</v>
      </c>
      <c r="F5993" s="5" t="s">
        <v>212</v>
      </c>
      <c r="G5993" s="5" t="s">
        <v>39037</v>
      </c>
      <c r="H5993" s="6" t="s">
        <v>39038</v>
      </c>
      <c r="K5993" s="5" t="s">
        <v>39032</v>
      </c>
      <c r="M5993" s="5" t="s">
        <v>39039</v>
      </c>
      <c r="N5993" s="7" t="s">
        <v>39040</v>
      </c>
      <c r="O5993" s="8" t="str">
        <f>HYPERLINK("https://drive.google.com/file/d/191q9wi2mLxRJdg59d07lord80BdWM3bJ/view?usp=drivesdk","5992_LENI DAHLAN _ SERTIFIKAT BerAKHLAK")</f>
        <v>5992_LENI DAHLAN _ SERTIFIKAT BerAKHLAK</v>
      </c>
      <c r="P5993" s="5" t="s">
        <v>39035</v>
      </c>
    </row>
    <row r="5994">
      <c r="A5994" s="4">
        <v>45534.36490803241</v>
      </c>
      <c r="B5994" s="5" t="s">
        <v>34</v>
      </c>
      <c r="D5994" s="5" t="s">
        <v>6232</v>
      </c>
      <c r="E5994" s="5" t="s">
        <v>39041</v>
      </c>
      <c r="F5994" s="5" t="s">
        <v>108</v>
      </c>
      <c r="G5994" s="5" t="s">
        <v>39042</v>
      </c>
      <c r="H5994" s="6" t="s">
        <v>39043</v>
      </c>
      <c r="K5994" s="5" t="s">
        <v>39032</v>
      </c>
      <c r="M5994" s="5" t="s">
        <v>39044</v>
      </c>
      <c r="N5994" s="7" t="s">
        <v>39045</v>
      </c>
      <c r="O5994" s="8" t="str">
        <f>HYPERLINK("https://drive.google.com/file/d/1G0y-0twB97N63QOZ0k76FpFr-5w6C8m0/view?usp=drivesdk","5993_dr. HENNI MAIHARDIYANTI _ SERTIFIKAT BerAKHLAK")</f>
        <v>5993_dr. HENNI MAIHARDIYANTI _ SERTIFIKAT BerAKHLAK</v>
      </c>
      <c r="P5994" s="5" t="s">
        <v>39035</v>
      </c>
    </row>
    <row r="5995">
      <c r="A5995" s="4">
        <v>45534.36492341435</v>
      </c>
      <c r="B5995" s="5" t="s">
        <v>34</v>
      </c>
      <c r="D5995" s="5" t="s">
        <v>1206</v>
      </c>
      <c r="E5995" s="5" t="s">
        <v>11906</v>
      </c>
      <c r="F5995" s="5" t="s">
        <v>212</v>
      </c>
      <c r="G5995" s="5" t="s">
        <v>39046</v>
      </c>
      <c r="H5995" s="6" t="s">
        <v>39047</v>
      </c>
      <c r="K5995" s="5" t="s">
        <v>39032</v>
      </c>
      <c r="M5995" s="5" t="s">
        <v>39048</v>
      </c>
      <c r="N5995" s="7" t="s">
        <v>39049</v>
      </c>
      <c r="O5995" s="8" t="str">
        <f>HYPERLINK("https://drive.google.com/file/d/1se1Jcf6RJpJv-nJVjlByzKQNU9Jt_0YZ/view?usp=drivesdk","5994_RINI SULISTIYOWATI _ SERTIFIKAT BerAKHLAK")</f>
        <v>5994_RINI SULISTIYOWATI _ SERTIFIKAT BerAKHLAK</v>
      </c>
      <c r="P5995" s="5" t="s">
        <v>39050</v>
      </c>
    </row>
    <row r="5996">
      <c r="A5996" s="4">
        <v>45534.364925752314</v>
      </c>
      <c r="B5996" s="5" t="s">
        <v>34</v>
      </c>
      <c r="D5996" s="5" t="s">
        <v>2903</v>
      </c>
      <c r="E5996" s="5" t="s">
        <v>39051</v>
      </c>
      <c r="F5996" s="5" t="s">
        <v>375</v>
      </c>
      <c r="G5996" s="5" t="s">
        <v>39052</v>
      </c>
      <c r="H5996" s="6" t="s">
        <v>39053</v>
      </c>
      <c r="K5996" s="5" t="s">
        <v>39032</v>
      </c>
      <c r="M5996" s="5" t="s">
        <v>39054</v>
      </c>
      <c r="N5996" s="7" t="s">
        <v>39055</v>
      </c>
      <c r="O5996" s="8" t="str">
        <f>HYPERLINK("https://drive.google.com/file/d/1rqMYh3MnjB2p1dFLA6dCWS21X3CYsb_h/view?usp=drivesdk","5995_Ni Ketut Linda Agustini SE _ SERTIFIKAT BerAKHLAK")</f>
        <v>5995_Ni Ketut Linda Agustini SE _ SERTIFIKAT BerAKHLAK</v>
      </c>
      <c r="P5996" s="5" t="s">
        <v>39050</v>
      </c>
    </row>
    <row r="5997">
      <c r="A5997" s="4">
        <v>45534.36492576389</v>
      </c>
      <c r="B5997" s="5" t="s">
        <v>34</v>
      </c>
      <c r="D5997" s="5" t="s">
        <v>14313</v>
      </c>
      <c r="E5997" s="5" t="s">
        <v>39056</v>
      </c>
      <c r="F5997" s="5" t="s">
        <v>524</v>
      </c>
      <c r="G5997" s="5" t="s">
        <v>39057</v>
      </c>
      <c r="H5997" s="6" t="s">
        <v>39058</v>
      </c>
      <c r="K5997" s="5" t="s">
        <v>39032</v>
      </c>
      <c r="M5997" s="5" t="s">
        <v>39059</v>
      </c>
      <c r="N5997" s="7" t="s">
        <v>39060</v>
      </c>
      <c r="O5997" s="8" t="str">
        <f>HYPERLINK("https://drive.google.com/file/d/19GDsFwvpA4WVnQXHi6tMKBNms4uDotBB/view?usp=drivesdk","5996_FAHIRAH ARIEF,S.SOS _ SERTIFIKAT BerAKHLAK")</f>
        <v>5996_FAHIRAH ARIEF,S.SOS _ SERTIFIKAT BerAKHLAK</v>
      </c>
      <c r="P5997" s="5" t="s">
        <v>39050</v>
      </c>
    </row>
    <row r="5998">
      <c r="A5998" s="4">
        <v>45534.364934375</v>
      </c>
      <c r="B5998" s="5" t="s">
        <v>34</v>
      </c>
      <c r="D5998" s="5" t="s">
        <v>12978</v>
      </c>
      <c r="E5998" s="5" t="s">
        <v>39061</v>
      </c>
      <c r="F5998" s="5" t="s">
        <v>37</v>
      </c>
      <c r="G5998" s="5" t="s">
        <v>39062</v>
      </c>
      <c r="H5998" s="6" t="s">
        <v>39063</v>
      </c>
      <c r="K5998" s="5" t="s">
        <v>39032</v>
      </c>
      <c r="M5998" s="5" t="s">
        <v>39064</v>
      </c>
      <c r="N5998" s="7" t="s">
        <v>39065</v>
      </c>
      <c r="O5998" s="8" t="str">
        <f>HYPERLINK("https://drive.google.com/file/d/1TXeMZRjKKs4FCd7g7pRClFZ_y0h8YFzX/view?usp=drivesdk","5997_KURNIA INDAH SARI,A.Md.,Ak. _ SERTIFIKAT BerAKHLAK")</f>
        <v>5997_KURNIA INDAH SARI,A.Md.,Ak. _ SERTIFIKAT BerAKHLAK</v>
      </c>
      <c r="P5998" s="5" t="s">
        <v>39050</v>
      </c>
    </row>
    <row r="5999">
      <c r="A5999" s="4">
        <v>45534.3649414699</v>
      </c>
      <c r="B5999" s="5" t="s">
        <v>34</v>
      </c>
      <c r="D5999" s="5" t="s">
        <v>10444</v>
      </c>
      <c r="E5999" s="5" t="s">
        <v>39066</v>
      </c>
      <c r="F5999" s="5" t="s">
        <v>72</v>
      </c>
      <c r="G5999" s="5" t="s">
        <v>39067</v>
      </c>
      <c r="H5999" s="6" t="s">
        <v>39068</v>
      </c>
      <c r="K5999" s="5" t="s">
        <v>39032</v>
      </c>
      <c r="M5999" s="5" t="s">
        <v>39069</v>
      </c>
      <c r="N5999" s="7" t="s">
        <v>39070</v>
      </c>
      <c r="O5999" s="8" t="str">
        <f>HYPERLINK("https://drive.google.com/file/d/1XW4uIIHasi0IY6FbBZgE5uWP8zzPg_I2/view?usp=drivesdk","5998_SUHAIRI _ SERTIFIKAT BerAKHLAK")</f>
        <v>5998_SUHAIRI _ SERTIFIKAT BerAKHLAK</v>
      </c>
      <c r="P5999" s="5" t="s">
        <v>39050</v>
      </c>
    </row>
    <row r="6000">
      <c r="A6000" s="4">
        <v>45534.36494371528</v>
      </c>
      <c r="B6000" s="5" t="s">
        <v>34</v>
      </c>
      <c r="D6000" s="5" t="s">
        <v>9394</v>
      </c>
      <c r="E6000" s="5" t="s">
        <v>39071</v>
      </c>
      <c r="F6000" s="5" t="s">
        <v>108</v>
      </c>
      <c r="G6000" s="5" t="s">
        <v>39072</v>
      </c>
      <c r="H6000" s="6" t="s">
        <v>39073</v>
      </c>
      <c r="K6000" s="5" t="s">
        <v>39032</v>
      </c>
      <c r="M6000" s="5" t="s">
        <v>39074</v>
      </c>
      <c r="N6000" s="7" t="s">
        <v>39075</v>
      </c>
      <c r="O6000" s="8" t="str">
        <f>HYPERLINK("https://drive.google.com/file/d/1AOnm4wk-XJ98DEaYFi08GGywvDzlGvUc/view?usp=drivesdk","5999_ROSELIMA _ SERTIFIKAT BerAKHLAK")</f>
        <v>5999_ROSELIMA _ SERTIFIKAT BerAKHLAK</v>
      </c>
      <c r="P6000" s="5" t="s">
        <v>39076</v>
      </c>
    </row>
    <row r="6001" hidden="1">
      <c r="A6001" s="4">
        <v>45534.36495747685</v>
      </c>
      <c r="B6001" s="5" t="s">
        <v>19</v>
      </c>
      <c r="C6001" s="5" t="s">
        <v>442</v>
      </c>
      <c r="E6001" s="5" t="s">
        <v>39077</v>
      </c>
      <c r="F6001" s="5" t="s">
        <v>108</v>
      </c>
      <c r="G6001" s="5" t="s">
        <v>39078</v>
      </c>
      <c r="H6001" s="6" t="s">
        <v>39079</v>
      </c>
      <c r="K6001" s="5" t="s">
        <v>39080</v>
      </c>
      <c r="M6001" s="5" t="s">
        <v>39081</v>
      </c>
      <c r="N6001" s="7" t="s">
        <v>39082</v>
      </c>
      <c r="O6001" s="8" t="str">
        <f>HYPERLINK("https://drive.google.com/file/d/1LceY5FmD-Dbqg-DEcNEompL910Tzg6Br/view?usp=drivesdk","6000_AGUNG RUSDIANA, S.Kom., M.Tr.A.P _ SERTIFIKAT BerAKHLAK")</f>
        <v>6000_AGUNG RUSDIANA, S.Kom., M.Tr.A.P _ SERTIFIKAT BerAKHLAK</v>
      </c>
      <c r="P6001" s="5" t="s">
        <v>39076</v>
      </c>
    </row>
    <row r="6002">
      <c r="A6002" s="4">
        <v>45534.36495883102</v>
      </c>
      <c r="B6002" s="5" t="s">
        <v>34</v>
      </c>
      <c r="D6002" s="5" t="s">
        <v>1206</v>
      </c>
      <c r="E6002" s="5" t="s">
        <v>39083</v>
      </c>
      <c r="F6002" s="5" t="s">
        <v>37</v>
      </c>
      <c r="G6002" s="5" t="s">
        <v>39084</v>
      </c>
      <c r="H6002" s="6" t="s">
        <v>39085</v>
      </c>
      <c r="K6002" s="5" t="s">
        <v>39080</v>
      </c>
      <c r="M6002" s="5" t="s">
        <v>39086</v>
      </c>
      <c r="N6002" s="7" t="s">
        <v>39087</v>
      </c>
      <c r="O6002" s="8" t="str">
        <f>HYPERLINK("https://drive.google.com/file/d/1NWNof2GYLKng7Ytv32vtUbqD477qEYmR/view?usp=drivesdk","6001_KATMIADI _ SERTIFIKAT BerAKHLAK")</f>
        <v>6001_KATMIADI _ SERTIFIKAT BerAKHLAK</v>
      </c>
      <c r="P6002" s="5" t="s">
        <v>39076</v>
      </c>
    </row>
    <row r="6003">
      <c r="A6003" s="4">
        <v>45534.36495989583</v>
      </c>
      <c r="B6003" s="5" t="s">
        <v>34</v>
      </c>
      <c r="D6003" s="5" t="s">
        <v>701</v>
      </c>
      <c r="E6003" s="5" t="s">
        <v>39088</v>
      </c>
      <c r="F6003" s="5" t="s">
        <v>524</v>
      </c>
      <c r="G6003" s="5" t="s">
        <v>39089</v>
      </c>
      <c r="H6003" s="6" t="s">
        <v>39090</v>
      </c>
      <c r="K6003" s="5" t="s">
        <v>39080</v>
      </c>
      <c r="M6003" s="5" t="s">
        <v>39091</v>
      </c>
      <c r="N6003" s="7" t="s">
        <v>39092</v>
      </c>
      <c r="O6003" s="8" t="str">
        <f>HYPERLINK("https://drive.google.com/file/d/1fzH6IDYXqjQvC2H_T0ZK7ItWAQrSAEt4/view?usp=drivesdk","6002_DEWI PRAGMATA _ SERTIFIKAT BerAKHLAK")</f>
        <v>6002_DEWI PRAGMATA _ SERTIFIKAT BerAKHLAK</v>
      </c>
      <c r="P6003" s="5" t="s">
        <v>39076</v>
      </c>
    </row>
    <row r="6004">
      <c r="A6004" s="4">
        <v>45534.364968865746</v>
      </c>
      <c r="B6004" s="5" t="s">
        <v>34</v>
      </c>
      <c r="D6004" s="5" t="s">
        <v>35</v>
      </c>
      <c r="E6004" s="5" t="s">
        <v>39093</v>
      </c>
      <c r="F6004" s="5" t="s">
        <v>37</v>
      </c>
      <c r="G6004" s="5" t="s">
        <v>39094</v>
      </c>
      <c r="H6004" s="6" t="s">
        <v>39095</v>
      </c>
      <c r="K6004" s="5" t="s">
        <v>39096</v>
      </c>
      <c r="M6004" s="5" t="s">
        <v>39097</v>
      </c>
      <c r="N6004" s="7" t="s">
        <v>39098</v>
      </c>
      <c r="O6004" s="8" t="str">
        <f>HYPERLINK("https://drive.google.com/file/d/17D2XB4b60VWoxkD2ncbYoQsrJ7TXOSCZ/view?usp=drivesdk","6003_SITI MASROH, A.MD.KEP _ SERTIFIKAT BerAKHLAK")</f>
        <v>6003_SITI MASROH, A.MD.KEP _ SERTIFIKAT BerAKHLAK</v>
      </c>
      <c r="P6004" s="5" t="s">
        <v>39099</v>
      </c>
    </row>
    <row r="6005">
      <c r="A6005" s="4">
        <v>45534.364973275464</v>
      </c>
      <c r="B6005" s="5" t="s">
        <v>34</v>
      </c>
      <c r="D6005" s="5" t="s">
        <v>4775</v>
      </c>
      <c r="E6005" s="5" t="s">
        <v>39100</v>
      </c>
      <c r="F6005" s="5" t="s">
        <v>108</v>
      </c>
      <c r="G6005" s="5" t="s">
        <v>39101</v>
      </c>
      <c r="H6005" s="6" t="s">
        <v>39102</v>
      </c>
      <c r="K6005" s="5" t="s">
        <v>39096</v>
      </c>
      <c r="M6005" s="5" t="s">
        <v>39103</v>
      </c>
      <c r="N6005" s="7" t="s">
        <v>39104</v>
      </c>
      <c r="O6005" s="8" t="str">
        <f>HYPERLINK("https://drive.google.com/file/d/1aGd5WzFcM65jekftrlP139ghKlFjALP1/view?usp=drivesdk","6004_ANY ASTUTI, Amd, S.E. _ SERTIFIKAT BerAKHLAK")</f>
        <v>6004_ANY ASTUTI, Amd, S.E. _ SERTIFIKAT BerAKHLAK</v>
      </c>
      <c r="P6005" s="5" t="s">
        <v>39099</v>
      </c>
    </row>
    <row r="6006">
      <c r="A6006" s="4">
        <v>45534.36498153935</v>
      </c>
      <c r="B6006" s="5" t="s">
        <v>34</v>
      </c>
      <c r="D6006" s="5" t="s">
        <v>12978</v>
      </c>
      <c r="E6006" s="5" t="s">
        <v>39105</v>
      </c>
      <c r="F6006" s="5" t="s">
        <v>524</v>
      </c>
      <c r="G6006" s="5" t="s">
        <v>39106</v>
      </c>
      <c r="H6006" s="6" t="s">
        <v>39107</v>
      </c>
      <c r="K6006" s="5" t="s">
        <v>39096</v>
      </c>
      <c r="M6006" s="5" t="s">
        <v>39108</v>
      </c>
      <c r="N6006" s="7" t="s">
        <v>39109</v>
      </c>
      <c r="O6006" s="8" t="str">
        <f>HYPERLINK("https://drive.google.com/file/d/1HoVxUbOt0FImox-TJBteUh4ksg7a2nRE/view?usp=drivesdk","6005_GUSTRIANI  _ SERTIFIKAT BerAKHLAK")</f>
        <v>6005_GUSTRIANI  _ SERTIFIKAT BerAKHLAK</v>
      </c>
      <c r="P6006" s="5" t="s">
        <v>39099</v>
      </c>
    </row>
    <row r="6007">
      <c r="A6007" s="4">
        <v>45534.365002499995</v>
      </c>
      <c r="B6007" s="5" t="s">
        <v>34</v>
      </c>
      <c r="D6007" s="5" t="s">
        <v>1206</v>
      </c>
      <c r="E6007" s="5" t="s">
        <v>39110</v>
      </c>
      <c r="F6007" s="5" t="s">
        <v>212</v>
      </c>
      <c r="G6007" s="5" t="s">
        <v>39111</v>
      </c>
      <c r="H6007" s="6" t="s">
        <v>39112</v>
      </c>
      <c r="K6007" s="5" t="s">
        <v>39113</v>
      </c>
      <c r="M6007" s="5" t="s">
        <v>39114</v>
      </c>
      <c r="N6007" s="7" t="s">
        <v>39115</v>
      </c>
      <c r="O6007" s="8" t="str">
        <f>HYPERLINK("https://drive.google.com/file/d/1c-qbIl9u1Cjy8Du-ftnB2eYmOFJMYnxA/view?usp=drivesdk","6006_TRI TARMINI _ SERTIFIKAT BerAKHLAK")</f>
        <v>6006_TRI TARMINI _ SERTIFIKAT BerAKHLAK</v>
      </c>
      <c r="P6007" s="5" t="s">
        <v>39116</v>
      </c>
    </row>
    <row r="6008">
      <c r="A6008" s="4">
        <v>45534.36501631944</v>
      </c>
      <c r="B6008" s="5" t="s">
        <v>34</v>
      </c>
      <c r="D6008" s="5" t="s">
        <v>267</v>
      </c>
      <c r="E6008" s="5" t="s">
        <v>39117</v>
      </c>
      <c r="F6008" s="5" t="s">
        <v>72</v>
      </c>
      <c r="G6008" s="5" t="s">
        <v>39118</v>
      </c>
      <c r="H6008" s="6" t="s">
        <v>39119</v>
      </c>
      <c r="K6008" s="5" t="s">
        <v>39113</v>
      </c>
      <c r="M6008" s="5" t="s">
        <v>39120</v>
      </c>
      <c r="N6008" s="7" t="s">
        <v>39121</v>
      </c>
      <c r="O6008" s="8" t="str">
        <f>HYPERLINK("https://drive.google.com/file/d/1IFsSrlXC1eqG_K6vKgxQfyobTvBzyzee/view?usp=drivesdk","6007_RAHAYU RESTIANINGSIH S.Si. _ SERTIFIKAT BerAKHLAK")</f>
        <v>6007_RAHAYU RESTIANINGSIH S.Si. _ SERTIFIKAT BerAKHLAK</v>
      </c>
      <c r="P6008" s="5" t="s">
        <v>39116</v>
      </c>
    </row>
    <row r="6009">
      <c r="A6009" s="4">
        <v>45534.36501706019</v>
      </c>
      <c r="B6009" s="5" t="s">
        <v>34</v>
      </c>
      <c r="D6009" s="5" t="s">
        <v>14424</v>
      </c>
      <c r="E6009" s="5" t="s">
        <v>39122</v>
      </c>
      <c r="F6009" s="5" t="s">
        <v>22</v>
      </c>
      <c r="G6009" s="5" t="s">
        <v>39123</v>
      </c>
      <c r="H6009" s="6" t="s">
        <v>39124</v>
      </c>
      <c r="I6009" s="7" t="s">
        <v>39125</v>
      </c>
      <c r="J6009" s="8" t="str">
        <f>HYPERLINK("https://drive.google.com/file/d/1nrFo7yFr4upW5p8A3K3-TI2DsCZKh9xt/view?usp=drivesdk","dr. YENNI MURVANTI SERTIFIKAT BerAKHLAK")</f>
        <v>dr. YENNI MURVANTI SERTIFIKAT BerAKHLAK</v>
      </c>
      <c r="K6009" s="5" t="s">
        <v>38627</v>
      </c>
      <c r="L6009" s="5" t="s">
        <v>39126</v>
      </c>
      <c r="M6009" s="5" t="s">
        <v>39127</v>
      </c>
      <c r="N6009" s="7" t="s">
        <v>39128</v>
      </c>
      <c r="O6009" s="8" t="str">
        <f>HYPERLINK("https://drive.google.com/file/d/13S8NYGu9d3ZRnd8oFbDfS_BL76R-0Jrb/view?usp=drivesdk","6008_dr. YENNI MURVANTI _ SERTIFIKAT BerAKHLAK")</f>
        <v>6008_dr. YENNI MURVANTI _ SERTIFIKAT BerAKHLAK</v>
      </c>
      <c r="P6009" s="5" t="s">
        <v>39116</v>
      </c>
    </row>
    <row r="6010">
      <c r="A6010" s="4">
        <v>45534.3650200463</v>
      </c>
      <c r="B6010" s="5" t="s">
        <v>34</v>
      </c>
      <c r="D6010" s="5" t="s">
        <v>9394</v>
      </c>
      <c r="E6010" s="5" t="s">
        <v>39129</v>
      </c>
      <c r="F6010" s="5" t="s">
        <v>715</v>
      </c>
      <c r="G6010" s="5" t="s">
        <v>39130</v>
      </c>
      <c r="H6010" s="6" t="s">
        <v>39131</v>
      </c>
      <c r="I6010" s="7" t="s">
        <v>39132</v>
      </c>
      <c r="J6010" s="8" t="str">
        <f>HYPERLINK("https://drive.google.com/file/d/1rcrWIpkXaXIIFf8-7wjcG9tOEbA485gx/view?usp=drivesdk","NOVIANI. A.Md. SERTIFIKAT BerAKHLAK")</f>
        <v>NOVIANI. A.Md. SERTIFIKAT BerAKHLAK</v>
      </c>
      <c r="K6010" s="5" t="s">
        <v>39133</v>
      </c>
      <c r="L6010" s="5" t="s">
        <v>39134</v>
      </c>
      <c r="M6010" s="5" t="s">
        <v>39135</v>
      </c>
      <c r="N6010" s="7" t="s">
        <v>39136</v>
      </c>
      <c r="O6010" s="8" t="str">
        <f>HYPERLINK("https://drive.google.com/file/d/1e8FNPuvT46dCMCQatNJ61R0hAJi1AVLY/view?usp=drivesdk","6009_NOVIANI. A.Md. _ SERTIFIKAT BerAKHLAK")</f>
        <v>6009_NOVIANI. A.Md. _ SERTIFIKAT BerAKHLAK</v>
      </c>
      <c r="P6010" s="5" t="s">
        <v>39116</v>
      </c>
    </row>
    <row r="6011">
      <c r="A6011" s="4">
        <v>45534.365020196754</v>
      </c>
      <c r="B6011" s="5" t="s">
        <v>34</v>
      </c>
      <c r="D6011" s="5" t="s">
        <v>1206</v>
      </c>
      <c r="E6011" s="5" t="s">
        <v>39137</v>
      </c>
      <c r="F6011" s="5" t="s">
        <v>212</v>
      </c>
      <c r="G6011" s="5" t="s">
        <v>39138</v>
      </c>
      <c r="H6011" s="6" t="s">
        <v>39139</v>
      </c>
      <c r="I6011" s="7" t="s">
        <v>39140</v>
      </c>
      <c r="J6011" s="8" t="str">
        <f>HYPERLINK("https://drive.google.com/file/d/1bendlbWedrkVldOb0-U1R58vCiAulw4a/view?usp=drivesdk","JENI USODOWATI SERTIFIKAT BerAKHLAK")</f>
        <v>JENI USODOWATI SERTIFIKAT BerAKHLAK</v>
      </c>
      <c r="K6011" s="5" t="s">
        <v>39133</v>
      </c>
      <c r="L6011" s="5" t="s">
        <v>39141</v>
      </c>
      <c r="M6011" s="5" t="s">
        <v>39142</v>
      </c>
      <c r="N6011" s="7" t="s">
        <v>39143</v>
      </c>
      <c r="O6011" s="8" t="str">
        <f>HYPERLINK("https://drive.google.com/file/d/1r4V2tMAk3wrrqdg00inJ-pIZjC-j9__e/view?usp=drivesdk","6010_JENI USODOWATI _ SERTIFIKAT BerAKHLAK")</f>
        <v>6010_JENI USODOWATI _ SERTIFIKAT BerAKHLAK</v>
      </c>
      <c r="P6011" s="5" t="s">
        <v>39144</v>
      </c>
    </row>
    <row r="6012">
      <c r="A6012" s="4">
        <v>45534.365024513885</v>
      </c>
      <c r="B6012" s="5" t="s">
        <v>34</v>
      </c>
      <c r="D6012" s="5" t="s">
        <v>280</v>
      </c>
      <c r="E6012" s="5" t="s">
        <v>39145</v>
      </c>
      <c r="F6012" s="5" t="s">
        <v>5585</v>
      </c>
      <c r="G6012" s="5" t="s">
        <v>39146</v>
      </c>
      <c r="H6012" s="6" t="s">
        <v>39147</v>
      </c>
      <c r="I6012" s="7" t="s">
        <v>39148</v>
      </c>
      <c r="J6012" s="8" t="str">
        <f>HYPERLINK("https://drive.google.com/file/d/1ZFfRQB-L4zsrPg_rehjDj28qKu0m_AYz/view?usp=drivesdk","NYI TULUSI  SERTIFIKAT BerAKHLAK")</f>
        <v>NYI TULUSI  SERTIFIKAT BerAKHLAK</v>
      </c>
      <c r="K6012" s="5" t="s">
        <v>39133</v>
      </c>
      <c r="L6012" s="5" t="s">
        <v>39149</v>
      </c>
      <c r="M6012" s="5" t="s">
        <v>39150</v>
      </c>
      <c r="N6012" s="7" t="s">
        <v>39151</v>
      </c>
      <c r="O6012" s="8" t="str">
        <f>HYPERLINK("https://drive.google.com/file/d/1VZpBZDL_X9utVxY_AOJVK1jIQ6TZN6w8/view?usp=drivesdk","6011_NYI TULUSI  _ SERTIFIKAT BerAKHLAK")</f>
        <v>6011_NYI TULUSI  _ SERTIFIKAT BerAKHLAK</v>
      </c>
      <c r="P6012" s="5" t="s">
        <v>39144</v>
      </c>
    </row>
    <row r="6013">
      <c r="A6013" s="4">
        <v>45534.36502834491</v>
      </c>
      <c r="B6013" s="5" t="s">
        <v>34</v>
      </c>
      <c r="D6013" s="5" t="s">
        <v>1206</v>
      </c>
      <c r="E6013" s="5" t="s">
        <v>39152</v>
      </c>
      <c r="F6013" s="5" t="s">
        <v>328</v>
      </c>
      <c r="G6013" s="5" t="s">
        <v>39153</v>
      </c>
      <c r="H6013" s="6" t="s">
        <v>39154</v>
      </c>
      <c r="I6013" s="7" t="s">
        <v>39155</v>
      </c>
      <c r="J6013" s="8" t="str">
        <f>HYPERLINK("https://drive.google.com/file/d/1T_qV3vR2BGaIUlMsiJwWE92sP6op67TY/view?usp=drivesdk","RUSWANTO SERTIFIKAT BerAKHLAK")</f>
        <v>RUSWANTO SERTIFIKAT BerAKHLAK</v>
      </c>
      <c r="K6013" s="5" t="s">
        <v>39133</v>
      </c>
      <c r="L6013" s="5" t="s">
        <v>39156</v>
      </c>
      <c r="M6013" s="5" t="s">
        <v>39157</v>
      </c>
      <c r="N6013" s="7" t="s">
        <v>39158</v>
      </c>
      <c r="O6013" s="8" t="str">
        <f>HYPERLINK("https://drive.google.com/file/d/1dCvOjfpKUg3GYXAZMDlpxjO-ldZJDwvA/view?usp=drivesdk","6012_RUSWANTO _ SERTIFIKAT BerAKHLAK")</f>
        <v>6012_RUSWANTO _ SERTIFIKAT BerAKHLAK</v>
      </c>
      <c r="P6013" s="5" t="s">
        <v>39144</v>
      </c>
    </row>
    <row r="6014">
      <c r="A6014" s="4">
        <v>45534.3650925</v>
      </c>
      <c r="B6014" s="5" t="s">
        <v>34</v>
      </c>
      <c r="D6014" s="5" t="s">
        <v>1206</v>
      </c>
      <c r="E6014" s="5" t="s">
        <v>39159</v>
      </c>
      <c r="F6014" s="5" t="s">
        <v>328</v>
      </c>
      <c r="G6014" s="5" t="s">
        <v>39160</v>
      </c>
      <c r="H6014" s="6" t="s">
        <v>39161</v>
      </c>
      <c r="I6014" s="7" t="s">
        <v>39162</v>
      </c>
      <c r="J6014" s="8" t="str">
        <f>HYPERLINK("https://drive.google.com/file/d/1zzgmNCYLo-m8CY_BJubrXOJhSI6vu6C4/view?usp=drivesdk","PENGDA RASUP SERTIFIKAT BerAKHLAK")</f>
        <v>PENGDA RASUP SERTIFIKAT BerAKHLAK</v>
      </c>
      <c r="K6014" s="5" t="s">
        <v>38627</v>
      </c>
      <c r="L6014" s="5" t="s">
        <v>39163</v>
      </c>
      <c r="M6014" s="5" t="s">
        <v>39164</v>
      </c>
      <c r="N6014" s="7" t="s">
        <v>39165</v>
      </c>
      <c r="O6014" s="8" t="str">
        <f>HYPERLINK("https://drive.google.com/file/d/12jgTGnYySJI0o1NK6UIOmc4s8wsSjj6M/view?usp=drivesdk","6013_PENGDA RASUP _ SERTIFIKAT BerAKHLAK")</f>
        <v>6013_PENGDA RASUP _ SERTIFIKAT BerAKHLAK</v>
      </c>
      <c r="P6014" s="5" t="s">
        <v>39144</v>
      </c>
    </row>
    <row r="6015">
      <c r="A6015" s="4">
        <v>45534.36509359954</v>
      </c>
      <c r="B6015" s="5" t="s">
        <v>34</v>
      </c>
      <c r="D6015" s="5" t="s">
        <v>1206</v>
      </c>
      <c r="E6015" s="5" t="s">
        <v>39166</v>
      </c>
      <c r="F6015" s="5" t="s">
        <v>120</v>
      </c>
      <c r="G6015" s="5" t="s">
        <v>39167</v>
      </c>
      <c r="H6015" s="6" t="s">
        <v>39168</v>
      </c>
      <c r="I6015" s="7" t="s">
        <v>39169</v>
      </c>
      <c r="J6015" s="8" t="str">
        <f>HYPERLINK("https://drive.google.com/file/d/1RFvPemIpoKsR3c2Of3E4lwcVJrq9vo_e/view?usp=drivesdk","PEMBINA KURNIAWATI, S. SI., M.SI SERTIFIKAT BerAKHLAK")</f>
        <v>PEMBINA KURNIAWATI, S. SI., M.SI SERTIFIKAT BerAKHLAK</v>
      </c>
      <c r="K6015" s="5" t="s">
        <v>39133</v>
      </c>
      <c r="L6015" s="5" t="s">
        <v>39170</v>
      </c>
      <c r="M6015" s="5" t="s">
        <v>39171</v>
      </c>
      <c r="N6015" s="7" t="s">
        <v>39172</v>
      </c>
      <c r="O6015" s="8" t="str">
        <f>HYPERLINK("https://drive.google.com/file/d/1SRXcdYuXk8E_12yZZcll7hNz74e913IP/view?usp=drivesdk","6014_PEMBINA KURNIAWATI, S. SI., M.SI _ SERTIFIKAT BerAKHLAK")</f>
        <v>6014_PEMBINA KURNIAWATI, S. SI., M.SI _ SERTIFIKAT BerAKHLAK</v>
      </c>
      <c r="P6015" s="5" t="s">
        <v>39144</v>
      </c>
    </row>
    <row r="6016" hidden="1">
      <c r="A6016" s="4">
        <v>45534.365098599534</v>
      </c>
      <c r="B6016" s="5" t="s">
        <v>19</v>
      </c>
      <c r="C6016" s="5" t="s">
        <v>292</v>
      </c>
      <c r="E6016" s="5" t="s">
        <v>39173</v>
      </c>
      <c r="F6016" s="5" t="s">
        <v>375</v>
      </c>
      <c r="G6016" s="5" t="s">
        <v>39174</v>
      </c>
      <c r="H6016" s="6" t="s">
        <v>39175</v>
      </c>
      <c r="I6016" s="7" t="s">
        <v>39176</v>
      </c>
      <c r="J6016" s="8" t="str">
        <f>HYPERLINK("https://drive.google.com/file/d/1uckcfhB0FiS9vobG2pVuUhdkPDwH2Gs8/view?usp=drivesdk","IDA YUNIASTUTI, SE SERTIFIKAT BerAKHLAK")</f>
        <v>IDA YUNIASTUTI, SE SERTIFIKAT BerAKHLAK</v>
      </c>
      <c r="K6016" s="5" t="s">
        <v>39133</v>
      </c>
      <c r="L6016" s="5" t="s">
        <v>39177</v>
      </c>
      <c r="M6016" s="5" t="s">
        <v>39178</v>
      </c>
      <c r="N6016" s="7" t="s">
        <v>39179</v>
      </c>
      <c r="O6016" s="8" t="str">
        <f>HYPERLINK("https://drive.google.com/file/d/1tHFXUu0iFXZVoPoYO2n5udMwEKrogSYm/view?usp=drivesdk","6015_IDA YUNIASTUTI, SE _ SERTIFIKAT BerAKHLAK")</f>
        <v>6015_IDA YUNIASTUTI, SE _ SERTIFIKAT BerAKHLAK</v>
      </c>
      <c r="P6016" s="5" t="s">
        <v>39180</v>
      </c>
    </row>
    <row r="6017">
      <c r="A6017" s="4">
        <v>45534.36510819444</v>
      </c>
      <c r="B6017" s="5" t="s">
        <v>34</v>
      </c>
      <c r="D6017" s="5" t="s">
        <v>4775</v>
      </c>
      <c r="E6017" s="5" t="s">
        <v>39181</v>
      </c>
      <c r="F6017" s="5" t="s">
        <v>375</v>
      </c>
      <c r="G6017" s="5" t="s">
        <v>39182</v>
      </c>
      <c r="H6017" s="6" t="s">
        <v>39183</v>
      </c>
      <c r="I6017" s="7" t="s">
        <v>39184</v>
      </c>
      <c r="J6017" s="8" t="str">
        <f>HYPERLINK("https://drive.google.com/file/d/1tWqVF3Yq9hsBEbRE6PZyBMIoTqxt7uUf/view?usp=drivesdk","LINA YANUANTARI SERTIFIKAT BerAKHLAK")</f>
        <v>LINA YANUANTARI SERTIFIKAT BerAKHLAK</v>
      </c>
      <c r="K6017" s="5" t="s">
        <v>39133</v>
      </c>
      <c r="L6017" s="5" t="s">
        <v>39185</v>
      </c>
      <c r="M6017" s="5" t="s">
        <v>39186</v>
      </c>
      <c r="N6017" s="7" t="s">
        <v>39187</v>
      </c>
      <c r="O6017" s="8" t="str">
        <f>HYPERLINK("https://drive.google.com/file/d/1WtkRegQ7TkRIf-X0SskZiNk1xDTwXx3y/view?usp=drivesdk","6016_LINA YANUANTARI _ SERTIFIKAT BerAKHLAK")</f>
        <v>6016_LINA YANUANTARI _ SERTIFIKAT BerAKHLAK</v>
      </c>
      <c r="P6017" s="5" t="s">
        <v>39180</v>
      </c>
    </row>
    <row r="6018">
      <c r="A6018" s="4">
        <v>45534.365132673614</v>
      </c>
      <c r="B6018" s="5" t="s">
        <v>34</v>
      </c>
      <c r="D6018" s="5" t="s">
        <v>12010</v>
      </c>
      <c r="E6018" s="5" t="s">
        <v>39188</v>
      </c>
      <c r="F6018" s="5" t="s">
        <v>37</v>
      </c>
      <c r="G6018" s="5" t="s">
        <v>39189</v>
      </c>
      <c r="H6018" s="6" t="s">
        <v>39190</v>
      </c>
      <c r="I6018" s="7" t="s">
        <v>39191</v>
      </c>
      <c r="J6018" s="8" t="str">
        <f>HYPERLINK("https://drive.google.com/file/d/1GU3JOilIbXYVZzgcUN4QB0ktxv2u0RzV/view?usp=drivesdk","MARIAM HAJI ALI  SERTIFIKAT BerAKHLAK")</f>
        <v>MARIAM HAJI ALI  SERTIFIKAT BerAKHLAK</v>
      </c>
      <c r="K6018" s="5" t="s">
        <v>39133</v>
      </c>
      <c r="L6018" s="5" t="s">
        <v>39192</v>
      </c>
      <c r="M6018" s="5" t="s">
        <v>39193</v>
      </c>
      <c r="N6018" s="7" t="s">
        <v>39194</v>
      </c>
      <c r="O6018" s="8" t="str">
        <f>HYPERLINK("https://drive.google.com/file/d/1VHxsw-iYPRRvjjf4lxXYEHgeaRqxPHpA/view?usp=drivesdk","6017_MARIAM HAJI ALI  _ SERTIFIKAT BerAKHLAK")</f>
        <v>6017_MARIAM HAJI ALI  _ SERTIFIKAT BerAKHLAK</v>
      </c>
      <c r="P6018" s="5" t="s">
        <v>39180</v>
      </c>
    </row>
    <row r="6019">
      <c r="A6019" s="4">
        <v>45534.36515427083</v>
      </c>
      <c r="B6019" s="5" t="s">
        <v>34</v>
      </c>
      <c r="D6019" s="5" t="s">
        <v>35</v>
      </c>
      <c r="E6019" s="5" t="s">
        <v>39195</v>
      </c>
      <c r="F6019" s="5" t="s">
        <v>37</v>
      </c>
      <c r="G6019" s="5" t="s">
        <v>39196</v>
      </c>
      <c r="H6019" s="6" t="s">
        <v>39197</v>
      </c>
      <c r="I6019" s="7" t="s">
        <v>39198</v>
      </c>
      <c r="J6019" s="8" t="str">
        <f>HYPERLINK("https://drive.google.com/file/d/1e2pAqXppjnnhJPhGiQAKpgmF-XMCKn-o/view?usp=drivesdk","ENAH RATNAWATI  SERTIFIKAT BerAKHLAK")</f>
        <v>ENAH RATNAWATI  SERTIFIKAT BerAKHLAK</v>
      </c>
      <c r="K6019" s="5" t="s">
        <v>39133</v>
      </c>
      <c r="L6019" s="5" t="s">
        <v>39199</v>
      </c>
      <c r="M6019" s="5" t="s">
        <v>39200</v>
      </c>
      <c r="N6019" s="7" t="s">
        <v>39201</v>
      </c>
      <c r="O6019" s="8" t="str">
        <f>HYPERLINK("https://drive.google.com/file/d/1oaf8hYGPN_zKYSdpD355OF8CQXWHykyx/view?usp=drivesdk","6018_ENAH RATNAWATI  _ SERTIFIKAT BerAKHLAK")</f>
        <v>6018_ENAH RATNAWATI  _ SERTIFIKAT BerAKHLAK</v>
      </c>
      <c r="P6019" s="5" t="s">
        <v>39180</v>
      </c>
    </row>
    <row r="6020">
      <c r="A6020" s="4">
        <v>45534.36516681713</v>
      </c>
      <c r="B6020" s="5" t="s">
        <v>34</v>
      </c>
      <c r="D6020" s="5" t="s">
        <v>701</v>
      </c>
      <c r="E6020" s="5" t="s">
        <v>39202</v>
      </c>
      <c r="F6020" s="5" t="s">
        <v>108</v>
      </c>
      <c r="G6020" s="5" t="s">
        <v>39203</v>
      </c>
      <c r="H6020" s="6" t="s">
        <v>39204</v>
      </c>
      <c r="I6020" s="7" t="s">
        <v>39205</v>
      </c>
      <c r="J6020" s="8" t="str">
        <f>HYPERLINK("https://drive.google.com/file/d/1MCjgCjXf1iRvDD0dg8KPCfI3wSXGv6rI/view?usp=drivesdk","Ns. Syafrita Marlina Skep SERTIFIKAT BerAKHLAK")</f>
        <v>Ns. Syafrita Marlina Skep SERTIFIKAT BerAKHLAK</v>
      </c>
      <c r="K6020" s="5" t="s">
        <v>39133</v>
      </c>
      <c r="L6020" s="5" t="s">
        <v>39206</v>
      </c>
      <c r="M6020" s="5" t="s">
        <v>39207</v>
      </c>
      <c r="N6020" s="7" t="s">
        <v>39208</v>
      </c>
      <c r="O6020" s="8" t="str">
        <f>HYPERLINK("https://drive.google.com/file/d/1ZLbKX-enwqguiu-x9-Yz8oIDyJriDdqX/view?usp=drivesdk","6019_Ns. Syafrita Marlina Skep _ SERTIFIKAT BerAKHLAK")</f>
        <v>6019_Ns. Syafrita Marlina Skep _ SERTIFIKAT BerAKHLAK</v>
      </c>
      <c r="P6020" s="5" t="s">
        <v>39180</v>
      </c>
    </row>
    <row r="6021" hidden="1">
      <c r="A6021" s="4">
        <v>45534.36516980324</v>
      </c>
      <c r="B6021" s="5" t="s">
        <v>19</v>
      </c>
      <c r="C6021" s="5" t="s">
        <v>14000</v>
      </c>
      <c r="E6021" s="5" t="s">
        <v>39209</v>
      </c>
      <c r="F6021" s="5" t="s">
        <v>37</v>
      </c>
      <c r="G6021" s="5" t="s">
        <v>39210</v>
      </c>
      <c r="H6021" s="6" t="s">
        <v>39211</v>
      </c>
      <c r="I6021" s="7" t="s">
        <v>39212</v>
      </c>
      <c r="J6021" s="8" t="str">
        <f>HYPERLINK("https://drive.google.com/file/d/1K91s2W7om1ZV41iTfvH3PEMXj5H-NLtt/view?usp=drivesdk","SENO SUWONDO SERTIFIKAT BerAKHLAK")</f>
        <v>SENO SUWONDO SERTIFIKAT BerAKHLAK</v>
      </c>
      <c r="K6021" s="5" t="s">
        <v>39133</v>
      </c>
      <c r="L6021" s="5" t="s">
        <v>39213</v>
      </c>
      <c r="M6021" s="5" t="s">
        <v>39214</v>
      </c>
      <c r="N6021" s="7" t="s">
        <v>39215</v>
      </c>
      <c r="O6021" s="8" t="str">
        <f>HYPERLINK("https://drive.google.com/file/d/1KVfLNVrJHO1sk3xN-ZHqtMkEj8Q2_1FS/view?usp=drivesdk","6020_SENO SUWONDO _ SERTIFIKAT BerAKHLAK")</f>
        <v>6020_SENO SUWONDO _ SERTIFIKAT BerAKHLAK</v>
      </c>
      <c r="P6021" s="5" t="s">
        <v>39180</v>
      </c>
    </row>
    <row r="6022">
      <c r="A6022" s="4">
        <v>45534.36522461806</v>
      </c>
      <c r="B6022" s="5" t="s">
        <v>34</v>
      </c>
      <c r="D6022" s="5" t="s">
        <v>6232</v>
      </c>
      <c r="E6022" s="5" t="s">
        <v>39216</v>
      </c>
      <c r="F6022" s="5" t="s">
        <v>37</v>
      </c>
      <c r="G6022" s="5" t="s">
        <v>39217</v>
      </c>
      <c r="H6022" s="6" t="s">
        <v>39218</v>
      </c>
      <c r="I6022" s="7" t="s">
        <v>39219</v>
      </c>
      <c r="J6022" s="8" t="str">
        <f>HYPERLINK("https://drive.google.com/file/d/1x6RepOoiB6_WT0eVa5WS6lL-t-keBip5/view?usp=drivesdk","HERDISON,AM.Kep SERTIFIKAT BerAKHLAK")</f>
        <v>HERDISON,AM.Kep SERTIFIKAT BerAKHLAK</v>
      </c>
      <c r="K6022" s="5" t="s">
        <v>39133</v>
      </c>
      <c r="L6022" s="5" t="s">
        <v>39220</v>
      </c>
      <c r="M6022" s="5" t="s">
        <v>39221</v>
      </c>
      <c r="N6022" s="7" t="s">
        <v>39222</v>
      </c>
      <c r="O6022" s="8" t="str">
        <f>HYPERLINK("https://drive.google.com/file/d/1CFlrUR_7_dP57za7RvrHBCWFiZsgZl9g/view?usp=drivesdk","6021_HERDISON,AM.Kep _ SERTIFIKAT BerAKHLAK")</f>
        <v>6021_HERDISON,AM.Kep _ SERTIFIKAT BerAKHLAK</v>
      </c>
      <c r="P6022" s="5" t="s">
        <v>39223</v>
      </c>
    </row>
    <row r="6023">
      <c r="A6023" s="4">
        <v>45534.36524575231</v>
      </c>
      <c r="B6023" s="5" t="s">
        <v>34</v>
      </c>
      <c r="D6023" s="5" t="s">
        <v>1558</v>
      </c>
      <c r="E6023" s="5" t="s">
        <v>39224</v>
      </c>
      <c r="F6023" s="5" t="s">
        <v>212</v>
      </c>
      <c r="G6023" s="5" t="s">
        <v>39225</v>
      </c>
      <c r="H6023" s="6" t="s">
        <v>39226</v>
      </c>
      <c r="I6023" s="7" t="s">
        <v>39227</v>
      </c>
      <c r="J6023" s="8" t="str">
        <f>HYPERLINK("https://drive.google.com/file/d/1i6UyY6YdijElJpHk69M3ReLE6GSJa2RH/view?usp=drivesdk","USIATUN HURUSTIATI SERTIFIKAT BerAKHLAK")</f>
        <v>USIATUN HURUSTIATI SERTIFIKAT BerAKHLAK</v>
      </c>
      <c r="K6023" s="5" t="s">
        <v>39133</v>
      </c>
      <c r="L6023" s="5" t="s">
        <v>39228</v>
      </c>
      <c r="M6023" s="5" t="s">
        <v>39229</v>
      </c>
      <c r="N6023" s="7" t="s">
        <v>39230</v>
      </c>
      <c r="O6023" s="8" t="str">
        <f>HYPERLINK("https://drive.google.com/file/d/1cqwkwe4Sr_uVWwQbZ9fvOSWbSXyzz91_/view?usp=drivesdk","6022_USIATUN HURUSTIATI _ SERTIFIKAT BerAKHLAK")</f>
        <v>6022_USIATUN HURUSTIATI _ SERTIFIKAT BerAKHLAK</v>
      </c>
      <c r="P6023" s="5" t="s">
        <v>39223</v>
      </c>
    </row>
    <row r="6024">
      <c r="A6024" s="4">
        <v>45534.3652690625</v>
      </c>
      <c r="B6024" s="5" t="s">
        <v>34</v>
      </c>
      <c r="D6024" s="5" t="s">
        <v>14313</v>
      </c>
      <c r="E6024" s="5" t="s">
        <v>18938</v>
      </c>
      <c r="F6024" s="5" t="s">
        <v>37</v>
      </c>
      <c r="G6024" s="5" t="s">
        <v>39231</v>
      </c>
      <c r="H6024" s="6" t="s">
        <v>39232</v>
      </c>
      <c r="I6024" s="7" t="s">
        <v>39233</v>
      </c>
      <c r="J6024" s="8" t="str">
        <f>HYPERLINK("https://drive.google.com/file/d/1Seu4jGGNVtscZnDSoG19Sct6iV1orkgk/view?usp=drivesdk","FATMAWATI SERTIFIKAT BerAKHLAK")</f>
        <v>FATMAWATI SERTIFIKAT BerAKHLAK</v>
      </c>
      <c r="K6024" s="5" t="s">
        <v>39133</v>
      </c>
      <c r="L6024" s="5" t="s">
        <v>39234</v>
      </c>
      <c r="M6024" s="5" t="s">
        <v>39235</v>
      </c>
      <c r="N6024" s="7" t="s">
        <v>39236</v>
      </c>
      <c r="O6024" s="8" t="str">
        <f>HYPERLINK("https://drive.google.com/file/d/1nrVTBwHRAeOz-S7pxWQNsxAhf1FReXXY/view?usp=drivesdk","6023_FATMAWATI _ SERTIFIKAT BerAKHLAK")</f>
        <v>6023_FATMAWATI _ SERTIFIKAT BerAKHLAK</v>
      </c>
      <c r="P6024" s="5" t="s">
        <v>39223</v>
      </c>
    </row>
    <row r="6025">
      <c r="A6025" s="4">
        <v>45534.365270381946</v>
      </c>
      <c r="B6025" s="5" t="s">
        <v>34</v>
      </c>
      <c r="D6025" s="5" t="s">
        <v>4775</v>
      </c>
      <c r="E6025" s="5" t="s">
        <v>39237</v>
      </c>
      <c r="F6025" s="5" t="s">
        <v>72</v>
      </c>
      <c r="G6025" s="5" t="s">
        <v>39238</v>
      </c>
      <c r="H6025" s="6" t="s">
        <v>39239</v>
      </c>
      <c r="I6025" s="7" t="s">
        <v>39240</v>
      </c>
      <c r="J6025" s="8" t="str">
        <f>HYPERLINK("https://drive.google.com/file/d/1u7ph0Zj1FSWQWN5BX4WczBpVmSo8ADGD/view?usp=drivesdk","SRI PERTIWI AGUSTININGRUM, SH SERTIFIKAT BerAKHLAK")</f>
        <v>SRI PERTIWI AGUSTININGRUM, SH SERTIFIKAT BerAKHLAK</v>
      </c>
      <c r="K6025" s="5" t="s">
        <v>39133</v>
      </c>
      <c r="L6025" s="5" t="s">
        <v>39241</v>
      </c>
      <c r="M6025" s="5" t="s">
        <v>39242</v>
      </c>
      <c r="N6025" s="7" t="s">
        <v>39243</v>
      </c>
      <c r="O6025" s="8" t="str">
        <f>HYPERLINK("https://drive.google.com/file/d/1YlCUgEcA3Lgigm8UPBJHfc9c2AeQOozB/view?usp=drivesdk","6024_SRI PERTIWI AGUSTININGRUM, SH _ SERTIFIKAT BerAKHLAK")</f>
        <v>6024_SRI PERTIWI AGUSTININGRUM, SH _ SERTIFIKAT BerAKHLAK</v>
      </c>
      <c r="P6025" s="5" t="s">
        <v>39223</v>
      </c>
    </row>
    <row r="6026">
      <c r="A6026" s="4">
        <v>45534.36528196759</v>
      </c>
      <c r="B6026" s="5" t="s">
        <v>34</v>
      </c>
      <c r="D6026" s="5" t="s">
        <v>1206</v>
      </c>
      <c r="E6026" s="5" t="s">
        <v>39244</v>
      </c>
      <c r="F6026" s="5" t="s">
        <v>37</v>
      </c>
      <c r="G6026" s="5" t="s">
        <v>39245</v>
      </c>
      <c r="H6026" s="6" t="s">
        <v>39246</v>
      </c>
      <c r="I6026" s="7" t="s">
        <v>39247</v>
      </c>
      <c r="J6026" s="8" t="str">
        <f>HYPERLINK("https://drive.google.com/file/d/1uypfLjYj1V384e9TmqIFEdIjoTM0RGHI/view?usp=drivesdk","GENIO CAHYA DWI BAKTI SERTIFIKAT BerAKHLAK")</f>
        <v>GENIO CAHYA DWI BAKTI SERTIFIKAT BerAKHLAK</v>
      </c>
      <c r="K6026" s="5" t="s">
        <v>39133</v>
      </c>
      <c r="L6026" s="5" t="s">
        <v>39248</v>
      </c>
      <c r="M6026" s="5" t="s">
        <v>39249</v>
      </c>
      <c r="N6026" s="7" t="s">
        <v>39250</v>
      </c>
      <c r="O6026" s="8" t="str">
        <f>HYPERLINK("https://drive.google.com/file/d/1D8OW7UqBqnmwe3hgxNY_aQ_LF7OKFnaE/view?usp=drivesdk","6025_GENIO CAHYA DWI BAKTI _ SERTIFIKAT BerAKHLAK")</f>
        <v>6025_GENIO CAHYA DWI BAKTI _ SERTIFIKAT BerAKHLAK</v>
      </c>
      <c r="P6026" s="5" t="s">
        <v>39251</v>
      </c>
    </row>
    <row r="6027">
      <c r="A6027" s="4">
        <v>45534.3652825</v>
      </c>
      <c r="B6027" s="5" t="s">
        <v>34</v>
      </c>
      <c r="D6027" s="5" t="s">
        <v>9020</v>
      </c>
      <c r="E6027" s="5" t="s">
        <v>39252</v>
      </c>
      <c r="F6027" s="5" t="s">
        <v>212</v>
      </c>
      <c r="G6027" s="5" t="s">
        <v>39253</v>
      </c>
      <c r="H6027" s="6" t="s">
        <v>39254</v>
      </c>
      <c r="I6027" s="7" t="s">
        <v>39255</v>
      </c>
      <c r="J6027" s="8" t="str">
        <f>HYPERLINK("https://drive.google.com/file/d/1irUYV92lzQmZs_KuiibBe2lVQvWEDtqD/view?usp=drivesdk","DARMASUPRAYATNA SERTIFIKAT BerAKHLAK")</f>
        <v>DARMASUPRAYATNA SERTIFIKAT BerAKHLAK</v>
      </c>
      <c r="K6027" s="5" t="s">
        <v>39133</v>
      </c>
      <c r="L6027" s="5" t="s">
        <v>39256</v>
      </c>
      <c r="M6027" s="5" t="s">
        <v>39257</v>
      </c>
      <c r="N6027" s="7" t="s">
        <v>39258</v>
      </c>
      <c r="O6027" s="8" t="str">
        <f>HYPERLINK("https://drive.google.com/file/d/1ixYMbv-ERdoBgJ0HjUCsDsIaElt6gAYs/view?usp=drivesdk","6026_DARMASUPRAYATNA _ SERTIFIKAT BerAKHLAK")</f>
        <v>6026_DARMASUPRAYATNA _ SERTIFIKAT BerAKHLAK</v>
      </c>
      <c r="P6027" s="5" t="s">
        <v>39251</v>
      </c>
    </row>
    <row r="6028">
      <c r="A6028" s="4">
        <v>45534.36528541667</v>
      </c>
      <c r="B6028" s="5" t="s">
        <v>34</v>
      </c>
      <c r="D6028" s="5" t="s">
        <v>10297</v>
      </c>
      <c r="E6028" s="5" t="s">
        <v>39259</v>
      </c>
      <c r="F6028" s="5" t="s">
        <v>108</v>
      </c>
      <c r="G6028" s="5" t="s">
        <v>39260</v>
      </c>
      <c r="H6028" s="6" t="s">
        <v>39261</v>
      </c>
      <c r="I6028" s="7" t="s">
        <v>39262</v>
      </c>
      <c r="J6028" s="8" t="str">
        <f>HYPERLINK("https://drive.google.com/file/d/1xnwH3sy87UJmBjMX49Ch3_7IRuDEvXTI/view?usp=drivesdk","HASRIYANI JASAPE  SERTIFIKAT BerAKHLAK")</f>
        <v>HASRIYANI JASAPE  SERTIFIKAT BerAKHLAK</v>
      </c>
      <c r="K6028" s="5" t="s">
        <v>39133</v>
      </c>
      <c r="L6028" s="5" t="s">
        <v>39263</v>
      </c>
      <c r="M6028" s="5" t="s">
        <v>39264</v>
      </c>
      <c r="N6028" s="7" t="s">
        <v>39265</v>
      </c>
      <c r="O6028" s="8" t="str">
        <f>HYPERLINK("https://drive.google.com/file/d/1a0uU3lCZhg20o6NO3QNKuxx50_PEBQvE/view?usp=drivesdk","6027_HASRIYANI JASAPE  _ SERTIFIKAT BerAKHLAK")</f>
        <v>6027_HASRIYANI JASAPE  _ SERTIFIKAT BerAKHLAK</v>
      </c>
      <c r="P6028" s="5" t="s">
        <v>39251</v>
      </c>
    </row>
    <row r="6029">
      <c r="A6029" s="4">
        <v>45534.36531371527</v>
      </c>
      <c r="B6029" s="5" t="s">
        <v>34</v>
      </c>
      <c r="D6029" s="5" t="s">
        <v>4775</v>
      </c>
      <c r="E6029" s="5" t="s">
        <v>39266</v>
      </c>
      <c r="F6029" s="5" t="s">
        <v>72</v>
      </c>
      <c r="G6029" s="5" t="s">
        <v>39267</v>
      </c>
      <c r="H6029" s="6" t="s">
        <v>39268</v>
      </c>
      <c r="I6029" s="7" t="s">
        <v>39269</v>
      </c>
      <c r="J6029" s="8" t="str">
        <f>HYPERLINK("https://drive.google.com/file/d/1sNSS4nb0ozVbjdxNT0d9cWLzK8ocZsco/view?usp=drivesdk","NANDAR HANDOKO, S.KEP SERTIFIKAT BerAKHLAK")</f>
        <v>NANDAR HANDOKO, S.KEP SERTIFIKAT BerAKHLAK</v>
      </c>
      <c r="K6029" s="5" t="s">
        <v>39133</v>
      </c>
      <c r="L6029" s="5" t="s">
        <v>39270</v>
      </c>
      <c r="M6029" s="5" t="s">
        <v>39271</v>
      </c>
      <c r="N6029" s="7" t="s">
        <v>39272</v>
      </c>
      <c r="O6029" s="8" t="str">
        <f>HYPERLINK("https://drive.google.com/file/d/1xbeKqht-tLPaPx9MrJkpwlqWAtIAMIAr/view?usp=drivesdk","6028_NANDAR HANDOKO, S.KEP _ SERTIFIKAT BerAKHLAK")</f>
        <v>6028_NANDAR HANDOKO, S.KEP _ SERTIFIKAT BerAKHLAK</v>
      </c>
      <c r="P6029" s="5" t="s">
        <v>39251</v>
      </c>
    </row>
    <row r="6030">
      <c r="A6030" s="4">
        <v>45534.365338275464</v>
      </c>
      <c r="B6030" s="5" t="s">
        <v>34</v>
      </c>
      <c r="D6030" s="5" t="s">
        <v>12010</v>
      </c>
      <c r="E6030" s="5" t="s">
        <v>39273</v>
      </c>
      <c r="F6030" s="5" t="s">
        <v>715</v>
      </c>
      <c r="G6030" s="5" t="s">
        <v>39274</v>
      </c>
      <c r="H6030" s="6" t="s">
        <v>39275</v>
      </c>
      <c r="I6030" s="7" t="s">
        <v>39276</v>
      </c>
      <c r="J6030" s="8" t="str">
        <f>HYPERLINK("https://drive.google.com/file/d/1p6CZa4Yuise8k0KcIZisTfrfaOXSzXj0/view?usp=drivesdk","MIRNAWATY ILONU SERTIFIKAT BerAKHLAK")</f>
        <v>MIRNAWATY ILONU SERTIFIKAT BerAKHLAK</v>
      </c>
      <c r="K6030" s="5" t="s">
        <v>39133</v>
      </c>
      <c r="L6030" s="5" t="s">
        <v>39277</v>
      </c>
      <c r="M6030" s="5" t="s">
        <v>39278</v>
      </c>
      <c r="N6030" s="7" t="s">
        <v>39279</v>
      </c>
      <c r="O6030" s="8" t="str">
        <f>HYPERLINK("https://drive.google.com/file/d/13i3JFoiCzXY23j_aw5i_sbCRCEPjBc3S/view?usp=drivesdk","6029_MIRNAWATY ILONU _ SERTIFIKAT BerAKHLAK")</f>
        <v>6029_MIRNAWATY ILONU _ SERTIFIKAT BerAKHLAK</v>
      </c>
      <c r="P6030" s="5" t="s">
        <v>39251</v>
      </c>
    </row>
    <row r="6031">
      <c r="A6031" s="4">
        <v>45534.365347025465</v>
      </c>
      <c r="B6031" s="5" t="s">
        <v>34</v>
      </c>
      <c r="D6031" s="5" t="s">
        <v>15401</v>
      </c>
      <c r="E6031" s="5" t="s">
        <v>39280</v>
      </c>
      <c r="F6031" s="5" t="s">
        <v>212</v>
      </c>
      <c r="G6031" s="5" t="s">
        <v>39281</v>
      </c>
      <c r="H6031" s="6" t="s">
        <v>39282</v>
      </c>
      <c r="I6031" s="7" t="s">
        <v>39283</v>
      </c>
      <c r="J6031" s="8" t="str">
        <f>HYPERLINK("https://drive.google.com/file/d/15sz-g0pEb0JCdMtLSIbrCKreksrMBIpA/view?usp=drivesdk","NI KETUT WINASTRI A.Md.KG SERTIFIKAT BerAKHLAK")</f>
        <v>NI KETUT WINASTRI A.Md.KG SERTIFIKAT BerAKHLAK</v>
      </c>
      <c r="K6031" s="5" t="s">
        <v>39133</v>
      </c>
      <c r="L6031" s="5" t="s">
        <v>39284</v>
      </c>
      <c r="M6031" s="5" t="s">
        <v>39285</v>
      </c>
      <c r="N6031" s="7" t="s">
        <v>39286</v>
      </c>
      <c r="O6031" s="8" t="str">
        <f>HYPERLINK("https://drive.google.com/file/d/1lGhDl5-lwsviMGiC6-S5QfqMzoHrEs7H/view?usp=drivesdk","6030_NI KETUT WINASTRI A.Md.KG _ SERTIFIKAT BerAKHLAK")</f>
        <v>6030_NI KETUT WINASTRI A.Md.KG _ SERTIFIKAT BerAKHLAK</v>
      </c>
      <c r="P6031" s="5" t="s">
        <v>39287</v>
      </c>
    </row>
    <row r="6032">
      <c r="A6032" s="4">
        <v>45534.36536585648</v>
      </c>
      <c r="B6032" s="5" t="s">
        <v>34</v>
      </c>
      <c r="D6032" s="5" t="s">
        <v>9020</v>
      </c>
      <c r="E6032" s="5" t="s">
        <v>39288</v>
      </c>
      <c r="F6032" s="5" t="s">
        <v>212</v>
      </c>
      <c r="G6032" s="5" t="s">
        <v>39289</v>
      </c>
      <c r="H6032" s="6" t="s">
        <v>39290</v>
      </c>
      <c r="I6032" s="7" t="s">
        <v>39291</v>
      </c>
      <c r="J6032" s="8" t="str">
        <f>HYPERLINK("https://drive.google.com/file/d/1XNyax1XeuY1cpIWhImGOIj1r7xb1JUUC/view?usp=drivesdk","Helga Andrieny Sinaga  SERTIFIKAT BerAKHLAK")</f>
        <v>Helga Andrieny Sinaga  SERTIFIKAT BerAKHLAK</v>
      </c>
      <c r="K6032" s="5" t="s">
        <v>39133</v>
      </c>
      <c r="L6032" s="5" t="s">
        <v>39292</v>
      </c>
      <c r="M6032" s="5" t="s">
        <v>39293</v>
      </c>
      <c r="N6032" s="7" t="s">
        <v>39294</v>
      </c>
      <c r="O6032" s="8" t="str">
        <f>HYPERLINK("https://drive.google.com/file/d/18tNCENA0SDdC3HJxGy5Lx5qL1AWQY8Fe/view?usp=drivesdk","6031_Helga Andrieny Sinaga  _ SERTIFIKAT BerAKHLAK")</f>
        <v>6031_Helga Andrieny Sinaga  _ SERTIFIKAT BerAKHLAK</v>
      </c>
      <c r="P6032" s="5" t="s">
        <v>39287</v>
      </c>
    </row>
    <row r="6033">
      <c r="A6033" s="4">
        <v>45534.365374201385</v>
      </c>
      <c r="B6033" s="5" t="s">
        <v>34</v>
      </c>
      <c r="D6033" s="5" t="s">
        <v>1456</v>
      </c>
      <c r="E6033" s="5" t="s">
        <v>39295</v>
      </c>
      <c r="F6033" s="5" t="s">
        <v>524</v>
      </c>
      <c r="G6033" s="5" t="s">
        <v>39296</v>
      </c>
      <c r="H6033" s="6" t="s">
        <v>39297</v>
      </c>
      <c r="I6033" s="7" t="s">
        <v>39298</v>
      </c>
      <c r="J6033" s="8" t="str">
        <f>HYPERLINK("https://drive.google.com/file/d/164lYZsbs68s5-9bdA_52ccQIBqBe_USS/view?usp=drivesdk","FARIDA SARI PUSVITA DEWI, S.E SERTIFIKAT BerAKHLAK")</f>
        <v>FARIDA SARI PUSVITA DEWI, S.E SERTIFIKAT BerAKHLAK</v>
      </c>
      <c r="K6033" s="5" t="s">
        <v>39133</v>
      </c>
      <c r="L6033" s="5" t="s">
        <v>39299</v>
      </c>
      <c r="M6033" s="5" t="s">
        <v>39300</v>
      </c>
      <c r="N6033" s="7" t="s">
        <v>39301</v>
      </c>
      <c r="O6033" s="8" t="str">
        <f>HYPERLINK("https://drive.google.com/file/d/1BBaG3w4r0DcR06KrEigU_ZCmCsCZJiPl/view?usp=drivesdk","6032_FARIDA SARI PUSVITA DEWI, S.E _ SERTIFIKAT BerAKHLAK")</f>
        <v>6032_FARIDA SARI PUSVITA DEWI, S.E _ SERTIFIKAT BerAKHLAK</v>
      </c>
      <c r="P6033" s="5" t="s">
        <v>39287</v>
      </c>
    </row>
    <row r="6034">
      <c r="A6034" s="4">
        <v>45534.365395879635</v>
      </c>
      <c r="B6034" s="5" t="s">
        <v>34</v>
      </c>
      <c r="D6034" s="5" t="s">
        <v>1206</v>
      </c>
      <c r="E6034" s="5" t="s">
        <v>39302</v>
      </c>
      <c r="F6034" s="5" t="s">
        <v>524</v>
      </c>
      <c r="G6034" s="5" t="s">
        <v>39303</v>
      </c>
      <c r="H6034" s="6" t="s">
        <v>39304</v>
      </c>
      <c r="I6034" s="7" t="s">
        <v>39305</v>
      </c>
      <c r="J6034" s="8" t="str">
        <f>HYPERLINK("https://drive.google.com/file/d/1iprFffjhhwq9kmIt8Hy1air9GBpi12bf/view?usp=drivesdk","MAHDA HARIS SEPTYADI, S.Tr.Kep. SERTIFIKAT BerAKHLAK")</f>
        <v>MAHDA HARIS SEPTYADI, S.Tr.Kep. SERTIFIKAT BerAKHLAK</v>
      </c>
      <c r="K6034" s="5" t="s">
        <v>39133</v>
      </c>
      <c r="L6034" s="5" t="s">
        <v>39306</v>
      </c>
      <c r="M6034" s="5" t="s">
        <v>39307</v>
      </c>
      <c r="N6034" s="7" t="s">
        <v>39308</v>
      </c>
      <c r="O6034" s="8" t="str">
        <f>HYPERLINK("https://drive.google.com/file/d/1nVypUdssbqkKbyFfkRCKnP8L_VwAqYRy/view?usp=drivesdk","6033_MAHDA HARIS SEPTYADI, S.Tr.Kep. _ SERTIFIKAT BerAKHLAK")</f>
        <v>6033_MAHDA HARIS SEPTYADI, S.Tr.Kep. _ SERTIFIKAT BerAKHLAK</v>
      </c>
      <c r="P6034" s="5" t="s">
        <v>39287</v>
      </c>
    </row>
    <row r="6035">
      <c r="A6035" s="4">
        <v>45534.3654033912</v>
      </c>
      <c r="B6035" s="5" t="s">
        <v>34</v>
      </c>
      <c r="D6035" s="5" t="s">
        <v>996</v>
      </c>
      <c r="E6035" s="5" t="s">
        <v>39309</v>
      </c>
      <c r="F6035" s="5" t="s">
        <v>524</v>
      </c>
      <c r="G6035" s="5" t="s">
        <v>39310</v>
      </c>
      <c r="H6035" s="6" t="s">
        <v>39311</v>
      </c>
      <c r="I6035" s="7" t="s">
        <v>39312</v>
      </c>
      <c r="J6035" s="8" t="str">
        <f>HYPERLINK("https://drive.google.com/file/d/1V6xe28hGVBJkFNE7yLKAG-7yJLzhoWVD/view?usp=drivesdk","PATHUL JENAH, S.E. SERTIFIKAT BerAKHLAK")</f>
        <v>PATHUL JENAH, S.E. SERTIFIKAT BerAKHLAK</v>
      </c>
      <c r="K6035" s="5" t="s">
        <v>39133</v>
      </c>
      <c r="L6035" s="5" t="s">
        <v>39313</v>
      </c>
      <c r="M6035" s="5" t="s">
        <v>39314</v>
      </c>
      <c r="N6035" s="7" t="s">
        <v>39315</v>
      </c>
      <c r="O6035" s="8" t="str">
        <f>HYPERLINK("https://drive.google.com/file/d/1NJMSwrn7F-R2GDXkjaoJar6ROS8FJISp/view?usp=drivesdk","6034_PATHUL JENAH, S.E. _ SERTIFIKAT BerAKHLAK")</f>
        <v>6034_PATHUL JENAH, S.E. _ SERTIFIKAT BerAKHLAK</v>
      </c>
      <c r="P6035" s="5" t="s">
        <v>39316</v>
      </c>
    </row>
    <row r="6036">
      <c r="A6036" s="4">
        <v>45534.36540649306</v>
      </c>
      <c r="B6036" s="5" t="s">
        <v>34</v>
      </c>
      <c r="D6036" s="5" t="s">
        <v>701</v>
      </c>
      <c r="E6036" s="5" t="s">
        <v>39317</v>
      </c>
      <c r="F6036" s="5" t="s">
        <v>37</v>
      </c>
      <c r="G6036" s="5" t="s">
        <v>39318</v>
      </c>
      <c r="H6036" s="6" t="s">
        <v>39319</v>
      </c>
      <c r="K6036" s="5" t="s">
        <v>39320</v>
      </c>
      <c r="M6036" s="5" t="s">
        <v>39321</v>
      </c>
      <c r="N6036" s="7" t="s">
        <v>39322</v>
      </c>
      <c r="O6036" s="8" t="str">
        <f>HYPERLINK("https://drive.google.com/file/d/18YBVUamio9qEBhgwAYFt29tBVobkYwCe/view?usp=drivesdk","6035_INDRA DAHYANA EKA PUTRA _ SERTIFIKAT BerAKHLAK")</f>
        <v>6035_INDRA DAHYANA EKA PUTRA _ SERTIFIKAT BerAKHLAK</v>
      </c>
      <c r="P6036" s="5" t="s">
        <v>39316</v>
      </c>
    </row>
    <row r="6037" hidden="1">
      <c r="A6037" s="4">
        <v>45534.365409375</v>
      </c>
      <c r="B6037" s="5" t="s">
        <v>19</v>
      </c>
      <c r="C6037" s="5" t="s">
        <v>11593</v>
      </c>
      <c r="E6037" s="5" t="s">
        <v>39323</v>
      </c>
      <c r="F6037" s="5" t="s">
        <v>375</v>
      </c>
      <c r="G6037" s="5" t="s">
        <v>39324</v>
      </c>
      <c r="H6037" s="6" t="s">
        <v>39325</v>
      </c>
      <c r="K6037" s="5" t="s">
        <v>39320</v>
      </c>
      <c r="M6037" s="5" t="s">
        <v>39326</v>
      </c>
      <c r="N6037" s="7" t="s">
        <v>39327</v>
      </c>
      <c r="O6037" s="8" t="str">
        <f>HYPERLINK("https://drive.google.com/file/d/1u28Q1Jtrg3Yg1F1A18PMw7NOebO7inYS/view?usp=drivesdk","6036_ELSIYANA RULIANTY _ SERTIFIKAT BerAKHLAK")</f>
        <v>6036_ELSIYANA RULIANTY _ SERTIFIKAT BerAKHLAK</v>
      </c>
      <c r="P6037" s="5" t="s">
        <v>39316</v>
      </c>
    </row>
    <row r="6038">
      <c r="A6038" s="4">
        <v>45534.365430081016</v>
      </c>
      <c r="B6038" s="5" t="s">
        <v>34</v>
      </c>
      <c r="D6038" s="5" t="s">
        <v>10444</v>
      </c>
      <c r="E6038" s="5" t="s">
        <v>18938</v>
      </c>
      <c r="F6038" s="5" t="s">
        <v>524</v>
      </c>
      <c r="G6038" s="5" t="s">
        <v>39328</v>
      </c>
      <c r="H6038" s="6" t="s">
        <v>39329</v>
      </c>
      <c r="K6038" s="5" t="s">
        <v>39320</v>
      </c>
      <c r="M6038" s="5" t="s">
        <v>39330</v>
      </c>
      <c r="N6038" s="7" t="s">
        <v>39331</v>
      </c>
      <c r="O6038" s="8" t="str">
        <f>HYPERLINK("https://drive.google.com/file/d/1GUK6UrEpA-9nsJ_wS6xciBf8xDU4GV24/view?usp=drivesdk","6037_FATMAWATI _ SERTIFIKAT BerAKHLAK")</f>
        <v>6037_FATMAWATI _ SERTIFIKAT BerAKHLAK</v>
      </c>
      <c r="P6038" s="5" t="s">
        <v>39316</v>
      </c>
    </row>
    <row r="6039">
      <c r="A6039" s="4">
        <v>45534.36543171296</v>
      </c>
      <c r="B6039" s="5" t="s">
        <v>34</v>
      </c>
      <c r="D6039" s="5" t="s">
        <v>12978</v>
      </c>
      <c r="E6039" s="7" t="s">
        <v>39332</v>
      </c>
      <c r="F6039" s="5" t="s">
        <v>212</v>
      </c>
      <c r="G6039" s="5" t="s">
        <v>39333</v>
      </c>
      <c r="H6039" s="6" t="s">
        <v>39334</v>
      </c>
      <c r="I6039" s="7" t="s">
        <v>39335</v>
      </c>
      <c r="J6039" s="8" t="str">
        <f>HYPERLINK("https://drive.google.com/file/d/1fqnWXa5SiSKuC3YvjzP3V3l-gyQqLunv/view?usp=drivesdk","HAFIS.S.SI SERTIFIKAT BerAKHLAK")</f>
        <v>HAFIS.S.SI SERTIFIKAT BerAKHLAK</v>
      </c>
      <c r="K6039" s="5" t="s">
        <v>39133</v>
      </c>
      <c r="L6039" s="5" t="s">
        <v>39336</v>
      </c>
      <c r="M6039" s="5" t="s">
        <v>39337</v>
      </c>
      <c r="N6039" s="7" t="s">
        <v>39338</v>
      </c>
      <c r="O6039" s="8" t="str">
        <f>HYPERLINK("https://drive.google.com/file/d/1fovVTD64U9N9ZmIJ9OR4QuT_NcBF_EEV/view?usp=drivesdk","6038_HAFIS.S.SI _ SERTIFIKAT BerAKHLAK")</f>
        <v>6038_HAFIS.S.SI _ SERTIFIKAT BerAKHLAK</v>
      </c>
      <c r="P6039" s="5" t="s">
        <v>39316</v>
      </c>
    </row>
    <row r="6040">
      <c r="A6040" s="4">
        <v>45534.365442118054</v>
      </c>
      <c r="B6040" s="5" t="s">
        <v>34</v>
      </c>
      <c r="D6040" s="5" t="s">
        <v>4775</v>
      </c>
      <c r="E6040" s="5" t="s">
        <v>33750</v>
      </c>
      <c r="F6040" s="5" t="s">
        <v>212</v>
      </c>
      <c r="G6040" s="5" t="s">
        <v>39339</v>
      </c>
      <c r="H6040" s="6" t="s">
        <v>39340</v>
      </c>
      <c r="I6040" s="7" t="s">
        <v>39341</v>
      </c>
      <c r="J6040" s="8" t="str">
        <f>HYPERLINK("https://drive.google.com/file/d/1T68H7uI2hCHd22jy19uffY6MQ58ozk3m/view?usp=drivesdk","SUPARNO SERTIFIKAT BerAKHLAK")</f>
        <v>SUPARNO SERTIFIKAT BerAKHLAK</v>
      </c>
      <c r="K6040" s="5" t="s">
        <v>39133</v>
      </c>
      <c r="L6040" s="5" t="s">
        <v>39342</v>
      </c>
      <c r="M6040" s="5" t="s">
        <v>39343</v>
      </c>
      <c r="N6040" s="7" t="s">
        <v>39344</v>
      </c>
      <c r="O6040" s="8" t="str">
        <f>HYPERLINK("https://drive.google.com/file/d/17BHMSZjA2RjOwg5iUFxdvxeX5v6vqLcB/view?usp=drivesdk","6039_SUPARNO _ SERTIFIKAT BerAKHLAK")</f>
        <v>6039_SUPARNO _ SERTIFIKAT BerAKHLAK</v>
      </c>
      <c r="P6040" s="5" t="s">
        <v>39345</v>
      </c>
    </row>
    <row r="6041">
      <c r="A6041" s="4">
        <v>45534.36545153935</v>
      </c>
      <c r="B6041" s="5" t="s">
        <v>34</v>
      </c>
      <c r="D6041" s="5" t="s">
        <v>35</v>
      </c>
      <c r="E6041" s="5" t="s">
        <v>39346</v>
      </c>
      <c r="F6041" s="5" t="s">
        <v>37</v>
      </c>
      <c r="G6041" s="5" t="s">
        <v>39347</v>
      </c>
      <c r="H6041" s="6" t="s">
        <v>39348</v>
      </c>
      <c r="I6041" s="7" t="s">
        <v>39349</v>
      </c>
      <c r="J6041" s="8" t="str">
        <f>HYPERLINK("https://drive.google.com/file/d/1ElVHxj9GtW4oKspYa-mMJTBDphzgG4JY/view?usp=drivesdk","MUHAMAD ISMAIL SALEH  SERTIFIKAT BerAKHLAK")</f>
        <v>MUHAMAD ISMAIL SALEH  SERTIFIKAT BerAKHLAK</v>
      </c>
      <c r="K6041" s="5" t="s">
        <v>39133</v>
      </c>
      <c r="L6041" s="5" t="s">
        <v>39350</v>
      </c>
      <c r="M6041" s="5" t="s">
        <v>39351</v>
      </c>
      <c r="N6041" s="7" t="s">
        <v>39352</v>
      </c>
      <c r="O6041" s="8" t="str">
        <f>HYPERLINK("https://drive.google.com/file/d/1SryLlCjSUxPk7SUDuZPMcdkM0gbFaWs2/view?usp=drivesdk","6040_MUHAMAD ISMAIL SALEH  _ SERTIFIKAT BerAKHLAK")</f>
        <v>6040_MUHAMAD ISMAIL SALEH  _ SERTIFIKAT BerAKHLAK</v>
      </c>
      <c r="P6041" s="5" t="s">
        <v>39345</v>
      </c>
    </row>
    <row r="6042">
      <c r="A6042" s="4">
        <v>45534.36545395834</v>
      </c>
      <c r="B6042" s="5" t="s">
        <v>34</v>
      </c>
      <c r="D6042" s="5" t="s">
        <v>35</v>
      </c>
      <c r="E6042" s="5" t="s">
        <v>39353</v>
      </c>
      <c r="F6042" s="5" t="s">
        <v>72</v>
      </c>
      <c r="G6042" s="5" t="s">
        <v>39354</v>
      </c>
      <c r="H6042" s="6" t="s">
        <v>39355</v>
      </c>
      <c r="I6042" s="7" t="s">
        <v>39356</v>
      </c>
      <c r="J6042" s="8" t="str">
        <f>HYPERLINK("https://drive.google.com/file/d/1TY_2oXE9VSmVU8Wm6QtXTcFcGsoKMQ8R/view?usp=drivesdk","TITOH KUSTIAH  SERTIFIKAT BerAKHLAK")</f>
        <v>TITOH KUSTIAH  SERTIFIKAT BerAKHLAK</v>
      </c>
      <c r="K6042" s="5" t="s">
        <v>39133</v>
      </c>
      <c r="L6042" s="5" t="s">
        <v>39357</v>
      </c>
      <c r="M6042" s="5" t="s">
        <v>39358</v>
      </c>
      <c r="N6042" s="7" t="s">
        <v>39359</v>
      </c>
      <c r="O6042" s="8" t="str">
        <f>HYPERLINK("https://drive.google.com/file/d/11SJgVnq3pdFtUGiygszgV4Ou6f6W2AIT/view?usp=drivesdk","6041_TITOH KUSTIAH  _ SERTIFIKAT BerAKHLAK")</f>
        <v>6041_TITOH KUSTIAH  _ SERTIFIKAT BerAKHLAK</v>
      </c>
      <c r="P6042" s="5" t="s">
        <v>39345</v>
      </c>
    </row>
    <row r="6043" hidden="1">
      <c r="A6043" s="4">
        <v>45534.365472060184</v>
      </c>
      <c r="B6043" s="5" t="s">
        <v>19</v>
      </c>
      <c r="C6043" s="5" t="s">
        <v>292</v>
      </c>
      <c r="E6043" s="5" t="s">
        <v>39360</v>
      </c>
      <c r="F6043" s="5" t="s">
        <v>524</v>
      </c>
      <c r="G6043" s="5" t="s">
        <v>39361</v>
      </c>
      <c r="H6043" s="6" t="s">
        <v>39362</v>
      </c>
      <c r="I6043" s="7" t="s">
        <v>39363</v>
      </c>
      <c r="J6043" s="8" t="str">
        <f>HYPERLINK("https://drive.google.com/file/d/1WE8gUtaQXBigzEs6RUiBCu5kulitN63D/view?usp=drivesdk","PAINI BINSIS SERTIFIKAT BerAKHLAK")</f>
        <v>PAINI BINSIS SERTIFIKAT BerAKHLAK</v>
      </c>
      <c r="K6043" s="5" t="s">
        <v>39133</v>
      </c>
      <c r="L6043" s="5" t="s">
        <v>39364</v>
      </c>
      <c r="M6043" s="5" t="s">
        <v>39365</v>
      </c>
      <c r="N6043" s="7" t="s">
        <v>39366</v>
      </c>
      <c r="O6043" s="8" t="str">
        <f>HYPERLINK("https://drive.google.com/file/d/1846WIV11KHro7jE-3GkkzsrKzKbJQ7dF/view?usp=drivesdk","6042_PAINI BINSIS _ SERTIFIKAT BerAKHLAK")</f>
        <v>6042_PAINI BINSIS _ SERTIFIKAT BerAKHLAK</v>
      </c>
      <c r="P6043" s="5" t="s">
        <v>39345</v>
      </c>
    </row>
    <row r="6044">
      <c r="A6044" s="4">
        <v>45534.365487013885</v>
      </c>
      <c r="B6044" s="5" t="s">
        <v>34</v>
      </c>
      <c r="D6044" s="5" t="s">
        <v>14313</v>
      </c>
      <c r="E6044" s="5" t="s">
        <v>39367</v>
      </c>
      <c r="F6044" s="5" t="s">
        <v>212</v>
      </c>
      <c r="G6044" s="5" t="s">
        <v>39368</v>
      </c>
      <c r="H6044" s="6" t="s">
        <v>39369</v>
      </c>
      <c r="I6044" s="7" t="s">
        <v>39370</v>
      </c>
      <c r="J6044" s="8" t="str">
        <f>HYPERLINK("https://drive.google.com/file/d/1mMVvtkP0n_VFRgDwwBemrk8GGI2OJ2rT/view?usp=drivesdk","ROSLANI Amd Kep SERTIFIKAT BerAKHLAK")</f>
        <v>ROSLANI Amd Kep SERTIFIKAT BerAKHLAK</v>
      </c>
      <c r="K6044" s="5" t="s">
        <v>39133</v>
      </c>
      <c r="L6044" s="5" t="s">
        <v>39371</v>
      </c>
      <c r="M6044" s="5" t="s">
        <v>39372</v>
      </c>
      <c r="N6044" s="7" t="s">
        <v>39373</v>
      </c>
      <c r="O6044" s="8" t="str">
        <f>HYPERLINK("https://drive.google.com/file/d/13Ks72UECFK5kB1DjapTBz5Z0PiUXvf7E/view?usp=drivesdk","6043_ROSLANI Amd Kep _ SERTIFIKAT BerAKHLAK")</f>
        <v>6043_ROSLANI Amd Kep _ SERTIFIKAT BerAKHLAK</v>
      </c>
      <c r="P6044" s="5" t="s">
        <v>39345</v>
      </c>
    </row>
    <row r="6045">
      <c r="A6045" s="4">
        <v>45534.365512118056</v>
      </c>
      <c r="B6045" s="5" t="s">
        <v>34</v>
      </c>
      <c r="D6045" s="5" t="s">
        <v>1206</v>
      </c>
      <c r="E6045" s="5" t="s">
        <v>39374</v>
      </c>
      <c r="F6045" s="5" t="s">
        <v>108</v>
      </c>
      <c r="G6045" s="5" t="s">
        <v>39375</v>
      </c>
      <c r="H6045" s="6" t="s">
        <v>39376</v>
      </c>
      <c r="I6045" s="7" t="s">
        <v>39377</v>
      </c>
      <c r="J6045" s="8" t="str">
        <f>HYPERLINK("https://drive.google.com/file/d/1zVZRHKbjYkGLSVxuEPYnvs_AHg0GkRQD/view?usp=drivesdk","KARTIKA PUTRI KURNIAWATI, Amd.Keb. SERTIFIKAT BerAKHLAK")</f>
        <v>KARTIKA PUTRI KURNIAWATI, Amd.Keb. SERTIFIKAT BerAKHLAK</v>
      </c>
      <c r="K6045" s="5" t="s">
        <v>39133</v>
      </c>
      <c r="L6045" s="5" t="s">
        <v>39378</v>
      </c>
      <c r="M6045" s="5" t="s">
        <v>39379</v>
      </c>
      <c r="N6045" s="7" t="s">
        <v>39380</v>
      </c>
      <c r="O6045" s="8" t="str">
        <f>HYPERLINK("https://drive.google.com/file/d/1CwD17vXGQN9ayxQD1zEfsL0GqcuMf8iy/view?usp=drivesdk","6044_KARTIKA PUTRI KURNIAWATI, Amd.Keb. _ SERTIFIKAT BerAKHLAK")</f>
        <v>6044_KARTIKA PUTRI KURNIAWATI, Amd.Keb. _ SERTIFIKAT BerAKHLAK</v>
      </c>
      <c r="P6045" s="5" t="s">
        <v>39381</v>
      </c>
    </row>
    <row r="6046">
      <c r="A6046" s="4">
        <v>45534.36552532407</v>
      </c>
      <c r="B6046" s="5" t="s">
        <v>34</v>
      </c>
      <c r="D6046" s="5" t="s">
        <v>14313</v>
      </c>
      <c r="E6046" s="5" t="s">
        <v>39382</v>
      </c>
      <c r="F6046" s="5" t="s">
        <v>72</v>
      </c>
      <c r="G6046" s="5" t="s">
        <v>39383</v>
      </c>
      <c r="H6046" s="6" t="s">
        <v>39384</v>
      </c>
      <c r="I6046" s="7" t="s">
        <v>39385</v>
      </c>
      <c r="J6046" s="8" t="str">
        <f>HYPERLINK("https://drive.google.com/file/d/1HU7KU2TmD-spg9UHtEdZPwgFew9kI5nJ/view?usp=drivesdk","MUHAMMAD SARMAN SERTIFIKAT BerAKHLAK")</f>
        <v>MUHAMMAD SARMAN SERTIFIKAT BerAKHLAK</v>
      </c>
      <c r="K6046" s="5" t="s">
        <v>39386</v>
      </c>
      <c r="L6046" s="5" t="s">
        <v>39387</v>
      </c>
      <c r="M6046" s="5" t="s">
        <v>39388</v>
      </c>
      <c r="N6046" s="7" t="s">
        <v>39389</v>
      </c>
      <c r="O6046" s="8" t="str">
        <f>HYPERLINK("https://drive.google.com/file/d/1jK-A6xArYqLZSSwsNqTGXonF9lHfsnAp/view?usp=drivesdk","6045_MUHAMMAD SARMAN _ SERTIFIKAT BerAKHLAK")</f>
        <v>6045_MUHAMMAD SARMAN _ SERTIFIKAT BerAKHLAK</v>
      </c>
      <c r="P6046" s="5" t="s">
        <v>39381</v>
      </c>
    </row>
    <row r="6047">
      <c r="A6047" s="4">
        <v>45534.36552583333</v>
      </c>
      <c r="B6047" s="5" t="s">
        <v>34</v>
      </c>
      <c r="D6047" s="5" t="s">
        <v>4775</v>
      </c>
      <c r="E6047" s="5" t="s">
        <v>39390</v>
      </c>
      <c r="F6047" s="5" t="s">
        <v>212</v>
      </c>
      <c r="G6047" s="5" t="s">
        <v>39391</v>
      </c>
      <c r="H6047" s="6" t="s">
        <v>39392</v>
      </c>
      <c r="I6047" s="7" t="s">
        <v>39393</v>
      </c>
      <c r="J6047" s="8" t="str">
        <f>HYPERLINK("https://drive.google.com/file/d/19ZEycfaNCigUxXMdIhmVhTT9eYCq-Qv8/view?usp=drivesdk","SUKRAWATI PUSPITANINGRUM SERTIFIKAT BerAKHLAK")</f>
        <v>SUKRAWATI PUSPITANINGRUM SERTIFIKAT BerAKHLAK</v>
      </c>
      <c r="K6047" s="5" t="s">
        <v>39386</v>
      </c>
      <c r="L6047" s="5" t="s">
        <v>39394</v>
      </c>
      <c r="M6047" s="5" t="s">
        <v>39395</v>
      </c>
      <c r="N6047" s="7" t="s">
        <v>39396</v>
      </c>
      <c r="O6047" s="8" t="str">
        <f>HYPERLINK("https://drive.google.com/file/d/16sXarZOllnnV7oT-XrcY51tfmF9B1FZ-/view?usp=drivesdk","6046_SUKRAWATI PUSPITANINGRUM _ SERTIFIKAT BerAKHLAK")</f>
        <v>6046_SUKRAWATI PUSPITANINGRUM _ SERTIFIKAT BerAKHLAK</v>
      </c>
      <c r="P6047" s="5" t="s">
        <v>39381</v>
      </c>
    </row>
    <row r="6048">
      <c r="A6048" s="4">
        <v>45534.36552792824</v>
      </c>
      <c r="B6048" s="5" t="s">
        <v>34</v>
      </c>
      <c r="D6048" s="5" t="s">
        <v>3849</v>
      </c>
      <c r="E6048" s="5" t="s">
        <v>19050</v>
      </c>
      <c r="F6048" s="5" t="s">
        <v>212</v>
      </c>
      <c r="G6048" s="5" t="s">
        <v>39397</v>
      </c>
      <c r="H6048" s="6" t="s">
        <v>39398</v>
      </c>
      <c r="I6048" s="7" t="s">
        <v>39399</v>
      </c>
      <c r="J6048" s="8" t="str">
        <f>HYPERLINK("https://drive.google.com/file/d/1_CmOnAW5S3YXKBb0ea_6_EIVRzvrNWs-/view?usp=drivesdk","MUNANDAR SERTIFIKAT BerAKHLAK")</f>
        <v>MUNANDAR SERTIFIKAT BerAKHLAK</v>
      </c>
      <c r="K6048" s="5" t="s">
        <v>39386</v>
      </c>
      <c r="L6048" s="5" t="s">
        <v>39400</v>
      </c>
      <c r="M6048" s="5" t="s">
        <v>39401</v>
      </c>
      <c r="N6048" s="7" t="s">
        <v>39402</v>
      </c>
      <c r="O6048" s="8" t="str">
        <f>HYPERLINK("https://drive.google.com/file/d/1KmWALkjdfllTFzEETS2Oo8H28pVMvQ8A/view?usp=drivesdk","6047_MUNANDAR _ SERTIFIKAT BerAKHLAK")</f>
        <v>6047_MUNANDAR _ SERTIFIKAT BerAKHLAK</v>
      </c>
      <c r="P6048" s="5" t="s">
        <v>39381</v>
      </c>
    </row>
    <row r="6049">
      <c r="A6049" s="4">
        <v>45534.36553231481</v>
      </c>
      <c r="B6049" s="5" t="s">
        <v>34</v>
      </c>
      <c r="D6049" s="5" t="s">
        <v>701</v>
      </c>
      <c r="E6049" s="5" t="s">
        <v>39403</v>
      </c>
      <c r="F6049" s="5" t="s">
        <v>120</v>
      </c>
      <c r="G6049" s="5" t="s">
        <v>39404</v>
      </c>
      <c r="H6049" s="6" t="s">
        <v>39405</v>
      </c>
      <c r="I6049" s="7" t="s">
        <v>39406</v>
      </c>
      <c r="J6049" s="8" t="str">
        <f>HYPERLINK("https://drive.google.com/file/d/1rinlricsgGDbSolvVV9JegJQ7WcrjV4k/view?usp=drivesdk","NOVITA SARLI. S.KOM SERTIFIKAT BerAKHLAK")</f>
        <v>NOVITA SARLI. S.KOM SERTIFIKAT BerAKHLAK</v>
      </c>
      <c r="K6049" s="5" t="s">
        <v>39386</v>
      </c>
      <c r="L6049" s="5" t="s">
        <v>39407</v>
      </c>
      <c r="M6049" s="5" t="s">
        <v>39408</v>
      </c>
      <c r="N6049" s="7" t="s">
        <v>39409</v>
      </c>
      <c r="O6049" s="8" t="str">
        <f>HYPERLINK("https://drive.google.com/file/d/1LZxzJtTxIZo8TYTPLq96XfEXY5gZxsQe/view?usp=drivesdk","6048_NOVITA SARLI. S.KOM _ SERTIFIKAT BerAKHLAK")</f>
        <v>6048_NOVITA SARLI. S.KOM _ SERTIFIKAT BerAKHLAK</v>
      </c>
      <c r="P6049" s="5" t="s">
        <v>39381</v>
      </c>
    </row>
    <row r="6050" hidden="1">
      <c r="A6050" s="4">
        <v>45534.3655494213</v>
      </c>
      <c r="B6050" s="5" t="s">
        <v>19</v>
      </c>
      <c r="C6050" s="5" t="s">
        <v>292</v>
      </c>
      <c r="E6050" s="5" t="s">
        <v>39410</v>
      </c>
      <c r="F6050" s="5" t="s">
        <v>72</v>
      </c>
      <c r="G6050" s="5" t="s">
        <v>39411</v>
      </c>
      <c r="H6050" s="6" t="s">
        <v>39412</v>
      </c>
      <c r="K6050" s="5" t="s">
        <v>39413</v>
      </c>
      <c r="M6050" s="5" t="s">
        <v>39414</v>
      </c>
      <c r="N6050" s="7" t="s">
        <v>39415</v>
      </c>
      <c r="O6050" s="8" t="str">
        <f>HYPERLINK("https://drive.google.com/file/d/1R8E0hQZhS7KpgUbqtgAcQT9mBiwyyScj/view?usp=drivesdk","6049_ENDAH PURWANTI _ SERTIFIKAT BerAKHLAK")</f>
        <v>6049_ENDAH PURWANTI _ SERTIFIKAT BerAKHLAK</v>
      </c>
      <c r="P6050" s="5" t="s">
        <v>39416</v>
      </c>
    </row>
    <row r="6051">
      <c r="A6051" s="4">
        <v>45534.36556146991</v>
      </c>
      <c r="B6051" s="5" t="s">
        <v>34</v>
      </c>
      <c r="D6051" s="5" t="s">
        <v>1206</v>
      </c>
      <c r="E6051" s="5" t="s">
        <v>39417</v>
      </c>
      <c r="F6051" s="5" t="s">
        <v>212</v>
      </c>
      <c r="G6051" s="5" t="s">
        <v>39418</v>
      </c>
      <c r="H6051" s="6" t="s">
        <v>39419</v>
      </c>
      <c r="K6051" s="5" t="s">
        <v>39413</v>
      </c>
      <c r="M6051" s="5" t="s">
        <v>39420</v>
      </c>
      <c r="N6051" s="7" t="s">
        <v>39421</v>
      </c>
      <c r="O6051" s="8" t="str">
        <f>HYPERLINK("https://drive.google.com/file/d/1azQq6iE2prlkVeWPUSfCwpGxSOSL3AV_/view?usp=drivesdk","6050_SUJIATI _ SERTIFIKAT BerAKHLAK")</f>
        <v>6050_SUJIATI _ SERTIFIKAT BerAKHLAK</v>
      </c>
      <c r="P6051" s="5" t="s">
        <v>39416</v>
      </c>
    </row>
    <row r="6052" hidden="1">
      <c r="A6052" s="4">
        <v>45534.3655653125</v>
      </c>
      <c r="B6052" s="5" t="s">
        <v>19</v>
      </c>
      <c r="C6052" s="5" t="s">
        <v>11593</v>
      </c>
      <c r="E6052" s="5" t="s">
        <v>39422</v>
      </c>
      <c r="F6052" s="5" t="s">
        <v>524</v>
      </c>
      <c r="G6052" s="5" t="s">
        <v>39423</v>
      </c>
      <c r="H6052" s="6" t="s">
        <v>39424</v>
      </c>
      <c r="I6052" s="7" t="s">
        <v>39425</v>
      </c>
      <c r="J6052" s="8" t="str">
        <f>HYPERLINK("https://drive.google.com/file/d/18cwn3Y54LXQkc9WqOMJW7XrR4K6ovpW3/view?usp=drivesdk","IMELDA SISILYA CAROLINA GASPERSZ., S.ST., Bdn SERTIFIKAT BerAKHLAK")</f>
        <v>IMELDA SISILYA CAROLINA GASPERSZ., S.ST., Bdn SERTIFIKAT BerAKHLAK</v>
      </c>
      <c r="K6052" s="5" t="s">
        <v>39133</v>
      </c>
      <c r="L6052" s="5" t="s">
        <v>39426</v>
      </c>
      <c r="M6052" s="5" t="s">
        <v>39427</v>
      </c>
      <c r="N6052" s="7" t="s">
        <v>39428</v>
      </c>
      <c r="O6052" s="8" t="str">
        <f>HYPERLINK("https://drive.google.com/file/d/1TW0iOoANJez45aIdFxzpchDho8W32std/view?usp=drivesdk","6051_IMELDA SISILYA CAROLINA GASPERSZ., S.ST., Bdn _ SERTIFIKAT BerAKHLAK")</f>
        <v>6051_IMELDA SISILYA CAROLINA GASPERSZ., S.ST., Bdn _ SERTIFIKAT BerAKHLAK</v>
      </c>
      <c r="P6052" s="5" t="s">
        <v>39416</v>
      </c>
    </row>
    <row r="6053" hidden="1">
      <c r="A6053" s="4">
        <v>45534.36557631944</v>
      </c>
      <c r="B6053" s="5" t="s">
        <v>19</v>
      </c>
      <c r="C6053" s="5" t="s">
        <v>38343</v>
      </c>
      <c r="E6053" s="5" t="s">
        <v>39429</v>
      </c>
      <c r="F6053" s="5" t="s">
        <v>120</v>
      </c>
      <c r="G6053" s="5" t="s">
        <v>39430</v>
      </c>
      <c r="H6053" s="6" t="s">
        <v>39431</v>
      </c>
      <c r="I6053" s="7" t="s">
        <v>39432</v>
      </c>
      <c r="J6053" s="8" t="str">
        <f>HYPERLINK("https://drive.google.com/file/d/17zJ1t0zIjkpbb7vOwz3_1fMiUU-WubZU/view?usp=drivesdk","NUNIK KUN INDYASTUTI, SH SERTIFIKAT BerAKHLAK")</f>
        <v>NUNIK KUN INDYASTUTI, SH SERTIFIKAT BerAKHLAK</v>
      </c>
      <c r="K6053" s="5" t="s">
        <v>39133</v>
      </c>
      <c r="L6053" s="5" t="s">
        <v>39433</v>
      </c>
      <c r="M6053" s="5" t="s">
        <v>39434</v>
      </c>
      <c r="N6053" s="7" t="s">
        <v>39435</v>
      </c>
      <c r="O6053" s="8" t="str">
        <f>HYPERLINK("https://drive.google.com/file/d/1gpLk1rYAjj-uUhTr9n-bqFhCPpfT7mmT/view?usp=drivesdk","6052_NUNIK KUN INDYASTUTI, SH _ SERTIFIKAT BerAKHLAK")</f>
        <v>6052_NUNIK KUN INDYASTUTI, SH _ SERTIFIKAT BerAKHLAK</v>
      </c>
      <c r="P6053" s="5" t="s">
        <v>39416</v>
      </c>
    </row>
    <row r="6054">
      <c r="A6054" s="4">
        <v>45534.36558856482</v>
      </c>
      <c r="B6054" s="5" t="s">
        <v>34</v>
      </c>
      <c r="D6054" s="5" t="s">
        <v>1206</v>
      </c>
      <c r="E6054" s="5" t="s">
        <v>39436</v>
      </c>
      <c r="F6054" s="5" t="s">
        <v>212</v>
      </c>
      <c r="G6054" s="5" t="s">
        <v>39437</v>
      </c>
      <c r="H6054" s="6" t="s">
        <v>39438</v>
      </c>
      <c r="K6054" s="5" t="s">
        <v>39439</v>
      </c>
      <c r="M6054" s="5" t="s">
        <v>39440</v>
      </c>
      <c r="N6054" s="7" t="s">
        <v>39441</v>
      </c>
      <c r="O6054" s="8" t="str">
        <f>HYPERLINK("https://drive.google.com/file/d/14KhL_hGWR9wmg5Jwav81q4luA5gheczm/view?usp=drivesdk","6053_WAHID SRIHARINI, S. E. _ SERTIFIKAT BerAKHLAK")</f>
        <v>6053_WAHID SRIHARINI, S. E. _ SERTIFIKAT BerAKHLAK</v>
      </c>
      <c r="P6054" s="5" t="s">
        <v>39442</v>
      </c>
    </row>
    <row r="6055">
      <c r="A6055" s="4">
        <v>45534.36558974537</v>
      </c>
      <c r="B6055" s="5" t="s">
        <v>34</v>
      </c>
      <c r="D6055" s="5" t="s">
        <v>10297</v>
      </c>
      <c r="E6055" s="5" t="s">
        <v>39443</v>
      </c>
      <c r="F6055" s="5" t="s">
        <v>524</v>
      </c>
      <c r="G6055" s="5" t="s">
        <v>39444</v>
      </c>
      <c r="H6055" s="6" t="s">
        <v>39445</v>
      </c>
      <c r="K6055" s="5" t="s">
        <v>39439</v>
      </c>
      <c r="M6055" s="5" t="s">
        <v>39446</v>
      </c>
      <c r="N6055" s="7" t="s">
        <v>39447</v>
      </c>
      <c r="O6055" s="8" t="str">
        <f>HYPERLINK("https://drive.google.com/file/d/1uOVoqBB6l03pNelLwxK_3zIGbA0x1b1f/view?usp=drivesdk","6054_ICE, SKM _ SERTIFIKAT BerAKHLAK")</f>
        <v>6054_ICE, SKM _ SERTIFIKAT BerAKHLAK</v>
      </c>
      <c r="P6055" s="5" t="s">
        <v>39442</v>
      </c>
    </row>
    <row r="6056">
      <c r="A6056" s="4">
        <v>45534.365603287035</v>
      </c>
      <c r="B6056" s="5" t="s">
        <v>34</v>
      </c>
      <c r="D6056" s="5" t="s">
        <v>1206</v>
      </c>
      <c r="E6056" s="5" t="s">
        <v>39448</v>
      </c>
      <c r="F6056" s="5" t="s">
        <v>37</v>
      </c>
      <c r="G6056" s="5" t="s">
        <v>39449</v>
      </c>
      <c r="H6056" s="6" t="s">
        <v>39450</v>
      </c>
      <c r="K6056" s="5" t="s">
        <v>39439</v>
      </c>
      <c r="M6056" s="5" t="s">
        <v>39451</v>
      </c>
      <c r="N6056" s="7" t="s">
        <v>39452</v>
      </c>
      <c r="O6056" s="8" t="str">
        <f>HYPERLINK("https://drive.google.com/file/d/1aPQfQZHulAw5VUsLpkaJCDC2YNJuBNwB/view?usp=drivesdk","6055_RATNA IRMA HAPSARI _ SERTIFIKAT BerAKHLAK")</f>
        <v>6055_RATNA IRMA HAPSARI _ SERTIFIKAT BerAKHLAK</v>
      </c>
      <c r="P6056" s="5" t="s">
        <v>39442</v>
      </c>
    </row>
    <row r="6057">
      <c r="A6057" s="4">
        <v>45534.36560333333</v>
      </c>
      <c r="B6057" s="5" t="s">
        <v>34</v>
      </c>
      <c r="D6057" s="5" t="s">
        <v>15401</v>
      </c>
      <c r="E6057" s="5" t="s">
        <v>39453</v>
      </c>
      <c r="F6057" s="5" t="s">
        <v>375</v>
      </c>
      <c r="G6057" s="5" t="s">
        <v>39454</v>
      </c>
      <c r="H6057" s="6" t="s">
        <v>39455</v>
      </c>
      <c r="K6057" s="5" t="s">
        <v>39439</v>
      </c>
      <c r="M6057" s="5" t="s">
        <v>39456</v>
      </c>
      <c r="N6057" s="7" t="s">
        <v>39457</v>
      </c>
      <c r="O6057" s="8" t="str">
        <f>HYPERLINK("https://drive.google.com/file/d/1Ugbc05mADf3TydzOgR19ad0q7XY4lkct/view?usp=drivesdk","6056_ASMA,SE _ SERTIFIKAT BerAKHLAK")</f>
        <v>6056_ASMA,SE _ SERTIFIKAT BerAKHLAK</v>
      </c>
      <c r="P6057" s="5" t="s">
        <v>39442</v>
      </c>
    </row>
    <row r="6058">
      <c r="A6058" s="4">
        <v>45534.36560497685</v>
      </c>
      <c r="B6058" s="5" t="s">
        <v>34</v>
      </c>
      <c r="D6058" s="5" t="s">
        <v>12978</v>
      </c>
      <c r="E6058" s="5" t="s">
        <v>34223</v>
      </c>
      <c r="F6058" s="5" t="s">
        <v>212</v>
      </c>
      <c r="G6058" s="5" t="s">
        <v>39458</v>
      </c>
      <c r="H6058" s="6" t="s">
        <v>39459</v>
      </c>
      <c r="K6058" s="5" t="s">
        <v>39439</v>
      </c>
      <c r="M6058" s="5" t="s">
        <v>39460</v>
      </c>
      <c r="N6058" s="7" t="s">
        <v>39461</v>
      </c>
      <c r="O6058" s="8" t="str">
        <f>HYPERLINK("https://drive.google.com/file/d/1uLNElQXyK2Dd8EnD5mzR6dPtGbPZ31ov/view?usp=drivesdk","6057_AGUSTINA _ SERTIFIKAT BerAKHLAK")</f>
        <v>6057_AGUSTINA _ SERTIFIKAT BerAKHLAK</v>
      </c>
      <c r="P6058" s="5" t="s">
        <v>39462</v>
      </c>
    </row>
    <row r="6059">
      <c r="A6059" s="4">
        <v>45534.36560630787</v>
      </c>
      <c r="B6059" s="5" t="s">
        <v>34</v>
      </c>
      <c r="D6059" s="5" t="s">
        <v>9020</v>
      </c>
      <c r="E6059" s="5" t="s">
        <v>39463</v>
      </c>
      <c r="F6059" s="5" t="s">
        <v>524</v>
      </c>
      <c r="G6059" s="5" t="s">
        <v>39464</v>
      </c>
      <c r="H6059" s="6" t="s">
        <v>39465</v>
      </c>
      <c r="K6059" s="5" t="s">
        <v>39439</v>
      </c>
      <c r="M6059" s="5" t="s">
        <v>39466</v>
      </c>
      <c r="N6059" s="7" t="s">
        <v>39467</v>
      </c>
      <c r="O6059" s="8" t="str">
        <f>HYPERLINK("https://drive.google.com/file/d/1bjTZdiWor4AJQ_Vhv4wvCZtKOuWPb4ps/view?usp=drivesdk","6058_Lena Sintauli Napitupulu _ SERTIFIKAT BerAKHLAK")</f>
        <v>6058_Lena Sintauli Napitupulu _ SERTIFIKAT BerAKHLAK</v>
      </c>
      <c r="P6059" s="5" t="s">
        <v>39462</v>
      </c>
    </row>
    <row r="6060">
      <c r="A6060" s="4">
        <v>45534.365624722224</v>
      </c>
      <c r="B6060" s="5" t="s">
        <v>34</v>
      </c>
      <c r="D6060" s="5" t="s">
        <v>1692</v>
      </c>
      <c r="E6060" s="5" t="s">
        <v>39468</v>
      </c>
      <c r="F6060" s="5" t="s">
        <v>120</v>
      </c>
      <c r="G6060" s="5" t="s">
        <v>39469</v>
      </c>
      <c r="H6060" s="6" t="s">
        <v>39470</v>
      </c>
      <c r="K6060" s="5" t="s">
        <v>39439</v>
      </c>
      <c r="M6060" s="5" t="s">
        <v>39471</v>
      </c>
      <c r="N6060" s="7" t="s">
        <v>39472</v>
      </c>
      <c r="O6060" s="8" t="str">
        <f>HYPERLINK("https://drive.google.com/file/d/1LTA3r5IFIEXlqtrZwmNfmt4N0mH_O96v/view?usp=drivesdk","6059_Anythe Margaretha Lumimbus,S.Si,Apt _ SERTIFIKAT BerAKHLAK")</f>
        <v>6059_Anythe Margaretha Lumimbus,S.Si,Apt _ SERTIFIKAT BerAKHLAK</v>
      </c>
      <c r="P6060" s="5" t="s">
        <v>39462</v>
      </c>
    </row>
    <row r="6061">
      <c r="A6061" s="4">
        <v>45534.36563797454</v>
      </c>
      <c r="B6061" s="5" t="s">
        <v>34</v>
      </c>
      <c r="D6061" s="5" t="s">
        <v>10297</v>
      </c>
      <c r="E6061" s="5" t="s">
        <v>39473</v>
      </c>
      <c r="F6061" s="5" t="s">
        <v>524</v>
      </c>
      <c r="G6061" s="5" t="s">
        <v>39474</v>
      </c>
      <c r="H6061" s="6" t="s">
        <v>39475</v>
      </c>
      <c r="K6061" s="5" t="s">
        <v>39439</v>
      </c>
      <c r="M6061" s="5" t="s">
        <v>39476</v>
      </c>
      <c r="N6061" s="7" t="s">
        <v>39477</v>
      </c>
      <c r="O6061" s="8" t="str">
        <f>HYPERLINK("https://drive.google.com/file/d/1eVafVvcIf2zkmV561buZ-ozujmg0gx5s/view?usp=drivesdk","6060_MASYITAH, A.MD _ SERTIFIKAT BerAKHLAK")</f>
        <v>6060_MASYITAH, A.MD _ SERTIFIKAT BerAKHLAK</v>
      </c>
      <c r="P6061" s="5" t="s">
        <v>39462</v>
      </c>
    </row>
    <row r="6062">
      <c r="A6062" s="4">
        <v>45534.365638483796</v>
      </c>
      <c r="B6062" s="5" t="s">
        <v>34</v>
      </c>
      <c r="D6062" s="5" t="s">
        <v>1768</v>
      </c>
      <c r="E6062" s="5" t="s">
        <v>39478</v>
      </c>
      <c r="F6062" s="5" t="s">
        <v>199</v>
      </c>
      <c r="G6062" s="5" t="s">
        <v>39479</v>
      </c>
      <c r="H6062" s="6" t="s">
        <v>39480</v>
      </c>
      <c r="K6062" s="5" t="s">
        <v>39439</v>
      </c>
      <c r="M6062" s="5" t="s">
        <v>39481</v>
      </c>
      <c r="N6062" s="7" t="s">
        <v>39482</v>
      </c>
      <c r="O6062" s="8" t="str">
        <f>HYPERLINK("https://drive.google.com/file/d/1ORe4UFpss27srMG86OR3fmL5zwIAagsQ/view?usp=drivesdk","6061_NITA BONITA AGUSTINA _ SERTIFIKAT BerAKHLAK")</f>
        <v>6061_NITA BONITA AGUSTINA _ SERTIFIKAT BerAKHLAK</v>
      </c>
      <c r="P6062" s="5" t="s">
        <v>39462</v>
      </c>
    </row>
    <row r="6063">
      <c r="A6063" s="4">
        <v>45534.36566953704</v>
      </c>
      <c r="B6063" s="5" t="s">
        <v>34</v>
      </c>
      <c r="D6063" s="5" t="s">
        <v>522</v>
      </c>
      <c r="E6063" s="5" t="s">
        <v>39483</v>
      </c>
      <c r="F6063" s="5" t="s">
        <v>37</v>
      </c>
      <c r="G6063" s="5" t="s">
        <v>39484</v>
      </c>
      <c r="H6063" s="6" t="s">
        <v>39485</v>
      </c>
      <c r="K6063" s="5" t="s">
        <v>39486</v>
      </c>
      <c r="M6063" s="5" t="s">
        <v>39487</v>
      </c>
      <c r="N6063" s="7" t="s">
        <v>39488</v>
      </c>
      <c r="O6063" s="8" t="str">
        <f>HYPERLINK("https://drive.google.com/file/d/1pGWKSyEm8QyEDrGYQ4fsUT98R_TwOT7Q/view?usp=drivesdk","6062_ABDUL RAHIM,A.MD.KEP. _ SERTIFIKAT BerAKHLAK")</f>
        <v>6062_ABDUL RAHIM,A.MD.KEP. _ SERTIFIKAT BerAKHLAK</v>
      </c>
      <c r="P6063" s="5" t="s">
        <v>39489</v>
      </c>
    </row>
    <row r="6064">
      <c r="A6064" s="4">
        <v>45534.365672106476</v>
      </c>
      <c r="B6064" s="5" t="s">
        <v>34</v>
      </c>
      <c r="D6064" s="5" t="s">
        <v>9020</v>
      </c>
      <c r="E6064" s="5" t="s">
        <v>39490</v>
      </c>
      <c r="F6064" s="5" t="s">
        <v>524</v>
      </c>
      <c r="G6064" s="5" t="s">
        <v>39491</v>
      </c>
      <c r="H6064" s="6" t="s">
        <v>39492</v>
      </c>
      <c r="K6064" s="5" t="s">
        <v>39486</v>
      </c>
      <c r="M6064" s="5" t="s">
        <v>39493</v>
      </c>
      <c r="N6064" s="7" t="s">
        <v>39494</v>
      </c>
      <c r="O6064" s="8" t="str">
        <f>HYPERLINK("https://drive.google.com/file/d/15ssW0o_YM5WD9g5dXeTY0iqzcShnn0ct/view?usp=drivesdk","6063_IMELDA PESTARIA PARDEDE  _ SERTIFIKAT BerAKHLAK")</f>
        <v>6063_IMELDA PESTARIA PARDEDE  _ SERTIFIKAT BerAKHLAK</v>
      </c>
      <c r="P6064" s="5" t="s">
        <v>39489</v>
      </c>
    </row>
    <row r="6065">
      <c r="A6065" s="4">
        <v>45534.36567461806</v>
      </c>
      <c r="B6065" s="5" t="s">
        <v>34</v>
      </c>
      <c r="D6065" s="5" t="s">
        <v>14313</v>
      </c>
      <c r="E6065" s="5" t="s">
        <v>39495</v>
      </c>
      <c r="F6065" s="5" t="s">
        <v>37</v>
      </c>
      <c r="G6065" s="5" t="s">
        <v>39496</v>
      </c>
      <c r="H6065" s="6" t="s">
        <v>39497</v>
      </c>
      <c r="K6065" s="5" t="s">
        <v>39486</v>
      </c>
      <c r="M6065" s="5" t="s">
        <v>39498</v>
      </c>
      <c r="N6065" s="7" t="s">
        <v>39499</v>
      </c>
      <c r="O6065" s="8" t="str">
        <f>HYPERLINK("https://drive.google.com/file/d/1xCmNWtyrHFSomJK32yOQZNpLSWPrbVbB/view?usp=drivesdk","6064_BURHANALWI _ SERTIFIKAT BerAKHLAK")</f>
        <v>6064_BURHANALWI _ SERTIFIKAT BerAKHLAK</v>
      </c>
      <c r="P6065" s="5" t="s">
        <v>39489</v>
      </c>
    </row>
    <row r="6066">
      <c r="A6066" s="4">
        <v>45534.3656954051</v>
      </c>
      <c r="B6066" s="5" t="s">
        <v>34</v>
      </c>
      <c r="D6066" s="5" t="s">
        <v>14424</v>
      </c>
      <c r="E6066" s="5" t="s">
        <v>39500</v>
      </c>
      <c r="F6066" s="5" t="s">
        <v>199</v>
      </c>
      <c r="G6066" s="5" t="s">
        <v>39501</v>
      </c>
      <c r="H6066" s="6" t="s">
        <v>39502</v>
      </c>
      <c r="K6066" s="5" t="s">
        <v>39486</v>
      </c>
      <c r="M6066" s="5" t="s">
        <v>39503</v>
      </c>
      <c r="N6066" s="7" t="s">
        <v>39504</v>
      </c>
      <c r="O6066" s="8" t="str">
        <f>HYPERLINK("https://drive.google.com/file/d/1768H5SppZ5hJRlt-kiDZ-QRiDGC2z5EO/view?usp=drivesdk","6065_KHAIRUL  _ SERTIFIKAT BerAKHLAK")</f>
        <v>6065_KHAIRUL  _ SERTIFIKAT BerAKHLAK</v>
      </c>
      <c r="P6066" s="5" t="s">
        <v>39489</v>
      </c>
    </row>
    <row r="6067" hidden="1">
      <c r="A6067" s="4">
        <v>45534.365701793984</v>
      </c>
      <c r="B6067" s="5" t="s">
        <v>19</v>
      </c>
      <c r="C6067" s="5" t="s">
        <v>292</v>
      </c>
      <c r="E6067" s="5" t="s">
        <v>39505</v>
      </c>
      <c r="F6067" s="5" t="s">
        <v>524</v>
      </c>
      <c r="G6067" s="5" t="s">
        <v>39506</v>
      </c>
      <c r="H6067" s="6" t="s">
        <v>39507</v>
      </c>
      <c r="I6067" s="7" t="s">
        <v>39508</v>
      </c>
      <c r="J6067" s="8" t="str">
        <f>HYPERLINK("https://drive.google.com/file/d/1jcL-wWSZirrzYIFRxzvnJ1k4sBlkv2Rb/view?usp=drivesdk","DWI ARI AMBARSASI, SE SERTIFIKAT BerAKHLAK")</f>
        <v>DWI ARI AMBARSASI, SE SERTIFIKAT BerAKHLAK</v>
      </c>
      <c r="K6067" s="5" t="s">
        <v>39386</v>
      </c>
      <c r="L6067" s="5" t="s">
        <v>39509</v>
      </c>
      <c r="M6067" s="5" t="s">
        <v>39510</v>
      </c>
      <c r="N6067" s="7" t="s">
        <v>39511</v>
      </c>
      <c r="O6067" s="8" t="str">
        <f>HYPERLINK("https://drive.google.com/file/d/1iWYP91fd54-5nlx5xO_s8rLEd0arsOCS/view?usp=drivesdk","6066_DWI ARI AMBARSASI, SE _ SERTIFIKAT BerAKHLAK")</f>
        <v>6066_DWI ARI AMBARSASI, SE _ SERTIFIKAT BerAKHLAK</v>
      </c>
      <c r="P6067" s="5" t="s">
        <v>39489</v>
      </c>
    </row>
    <row r="6068">
      <c r="A6068" s="4">
        <v>45534.36573924769</v>
      </c>
      <c r="B6068" s="5" t="s">
        <v>34</v>
      </c>
      <c r="D6068" s="5" t="s">
        <v>1206</v>
      </c>
      <c r="E6068" s="5" t="s">
        <v>39512</v>
      </c>
      <c r="F6068" s="5" t="s">
        <v>72</v>
      </c>
      <c r="G6068" s="5" t="s">
        <v>39513</v>
      </c>
      <c r="H6068" s="6" t="s">
        <v>39514</v>
      </c>
      <c r="I6068" s="7" t="s">
        <v>39515</v>
      </c>
      <c r="J6068" s="8" t="str">
        <f>HYPERLINK("https://drive.google.com/file/d/1OOWuKJArQZ_6kl9Epj_qY-XJCbHJTH2_/view?usp=drivesdk","NANIK CAHYANINGTYAS SERTIFIKAT BerAKHLAK")</f>
        <v>NANIK CAHYANINGTYAS SERTIFIKAT BerAKHLAK</v>
      </c>
      <c r="K6068" s="5" t="s">
        <v>39386</v>
      </c>
      <c r="L6068" s="5" t="s">
        <v>39516</v>
      </c>
      <c r="M6068" s="5" t="s">
        <v>39517</v>
      </c>
      <c r="N6068" s="7" t="s">
        <v>39518</v>
      </c>
      <c r="O6068" s="8" t="str">
        <f>HYPERLINK("https://drive.google.com/file/d/1qJX6sz7Nw7KBWPJflFVP-PIzgiawajiy/view?usp=drivesdk","6067_NANIK CAHYANINGTYAS _ SERTIFIKAT BerAKHLAK")</f>
        <v>6067_NANIK CAHYANINGTYAS _ SERTIFIKAT BerAKHLAK</v>
      </c>
      <c r="P6068" s="5" t="s">
        <v>39519</v>
      </c>
    </row>
    <row r="6069">
      <c r="A6069" s="4">
        <v>45534.36575297454</v>
      </c>
      <c r="B6069" s="5" t="s">
        <v>34</v>
      </c>
      <c r="D6069" s="5" t="s">
        <v>6232</v>
      </c>
      <c r="E6069" s="5" t="s">
        <v>39520</v>
      </c>
      <c r="F6069" s="5" t="s">
        <v>120</v>
      </c>
      <c r="G6069" s="5" t="s">
        <v>39521</v>
      </c>
      <c r="H6069" s="6" t="s">
        <v>39522</v>
      </c>
      <c r="I6069" s="7" t="s">
        <v>39523</v>
      </c>
      <c r="J6069" s="8" t="str">
        <f>HYPERLINK("https://drive.google.com/file/d/1kFB_pfdSBrwsulLZp8KhbrX8N08t4ffz/view?usp=drivesdk","RIZKI YANTO, S.H. SERTIFIKAT BerAKHLAK")</f>
        <v>RIZKI YANTO, S.H. SERTIFIKAT BerAKHLAK</v>
      </c>
      <c r="K6069" s="5" t="s">
        <v>39386</v>
      </c>
      <c r="L6069" s="5" t="s">
        <v>39524</v>
      </c>
      <c r="M6069" s="5" t="s">
        <v>39525</v>
      </c>
      <c r="N6069" s="7" t="s">
        <v>39526</v>
      </c>
      <c r="O6069" s="8" t="str">
        <f>HYPERLINK("https://drive.google.com/file/d/1OX1vCEhIZfaJLJpUdgdEfz0s5nl2tHY5/view?usp=drivesdk","6068_RIZKI YANTO, S.H. _ SERTIFIKAT BerAKHLAK")</f>
        <v>6068_RIZKI YANTO, S.H. _ SERTIFIKAT BerAKHLAK</v>
      </c>
      <c r="P6069" s="5" t="s">
        <v>39519</v>
      </c>
    </row>
    <row r="6070" hidden="1">
      <c r="A6070" s="4">
        <v>45534.365763483795</v>
      </c>
      <c r="B6070" s="5" t="s">
        <v>19</v>
      </c>
      <c r="C6070" s="5" t="s">
        <v>5564</v>
      </c>
      <c r="E6070" s="5" t="s">
        <v>39527</v>
      </c>
      <c r="F6070" s="5" t="s">
        <v>212</v>
      </c>
      <c r="G6070" s="5" t="s">
        <v>39528</v>
      </c>
      <c r="H6070" s="6" t="s">
        <v>39529</v>
      </c>
      <c r="K6070" s="5" t="s">
        <v>39530</v>
      </c>
      <c r="M6070" s="5" t="s">
        <v>39531</v>
      </c>
      <c r="N6070" s="7" t="s">
        <v>39532</v>
      </c>
      <c r="O6070" s="8" t="str">
        <f>HYPERLINK("https://drive.google.com/file/d/1wi58FJYU-46AKwnOQGKDHHpKh7GoaLht/view?usp=drivesdk","6069_AMINTAS SITORUS _ SERTIFIKAT BerAKHLAK")</f>
        <v>6069_AMINTAS SITORUS _ SERTIFIKAT BerAKHLAK</v>
      </c>
      <c r="P6070" s="5" t="s">
        <v>39519</v>
      </c>
    </row>
    <row r="6071">
      <c r="A6071" s="4">
        <v>45534.36576789352</v>
      </c>
      <c r="B6071" s="5" t="s">
        <v>34</v>
      </c>
      <c r="D6071" s="5" t="s">
        <v>1558</v>
      </c>
      <c r="E6071" s="5" t="s">
        <v>39533</v>
      </c>
      <c r="F6071" s="5" t="s">
        <v>108</v>
      </c>
      <c r="G6071" s="5" t="s">
        <v>39534</v>
      </c>
      <c r="H6071" s="6" t="s">
        <v>39535</v>
      </c>
      <c r="I6071" s="7" t="s">
        <v>39536</v>
      </c>
      <c r="J6071" s="8" t="str">
        <f>HYPERLINK("https://drive.google.com/file/d/1NF8xNHjy3cBOAHnVz5i-We3jjwra3dbO/view?usp=drivesdk","BASTIAN KARTIKANINGTYAS SERTIFIKAT BerAKHLAK")</f>
        <v>BASTIAN KARTIKANINGTYAS SERTIFIKAT BerAKHLAK</v>
      </c>
      <c r="K6071" s="5" t="s">
        <v>39386</v>
      </c>
      <c r="L6071" s="5" t="s">
        <v>39537</v>
      </c>
      <c r="M6071" s="5" t="s">
        <v>39538</v>
      </c>
      <c r="N6071" s="7" t="s">
        <v>39539</v>
      </c>
      <c r="O6071" s="8" t="str">
        <f>HYPERLINK("https://drive.google.com/file/d/1hcQBP6EYfUA-dnqm4wqjEcWkMkAVf_pB/view?usp=drivesdk","6070_BASTIAN KARTIKANINGTYAS _ SERTIFIKAT BerAKHLAK")</f>
        <v>6070_BASTIAN KARTIKANINGTYAS _ SERTIFIKAT BerAKHLAK</v>
      </c>
      <c r="P6071" s="5" t="s">
        <v>39519</v>
      </c>
    </row>
    <row r="6072">
      <c r="A6072" s="4">
        <v>45534.36577509259</v>
      </c>
      <c r="B6072" s="5" t="s">
        <v>34</v>
      </c>
      <c r="D6072" s="5" t="s">
        <v>12978</v>
      </c>
      <c r="E6072" s="5" t="s">
        <v>39540</v>
      </c>
      <c r="F6072" s="5" t="s">
        <v>212</v>
      </c>
      <c r="G6072" s="5" t="s">
        <v>39541</v>
      </c>
      <c r="H6072" s="6" t="s">
        <v>39542</v>
      </c>
      <c r="I6072" s="7" t="s">
        <v>39543</v>
      </c>
      <c r="J6072" s="8" t="str">
        <f>HYPERLINK("https://drive.google.com/file/d/1eLldW5c33nPZ5THsOv17Wknmp1YYoLTy/view?usp=drivesdk","ELPIANA SERTIFIKAT BerAKHLAK")</f>
        <v>ELPIANA SERTIFIKAT BerAKHLAK</v>
      </c>
      <c r="K6072" s="5" t="s">
        <v>39386</v>
      </c>
      <c r="L6072" s="5" t="s">
        <v>39544</v>
      </c>
      <c r="M6072" s="5" t="s">
        <v>39545</v>
      </c>
      <c r="N6072" s="7" t="s">
        <v>39546</v>
      </c>
      <c r="O6072" s="8" t="str">
        <f>HYPERLINK("https://drive.google.com/file/d/14euAyYUHwLxJu3Q5pnQij01i82JsXRpm/view?usp=drivesdk","6071_ELPIANA _ SERTIFIKAT BerAKHLAK")</f>
        <v>6071_ELPIANA _ SERTIFIKAT BerAKHLAK</v>
      </c>
      <c r="P6072" s="5" t="s">
        <v>39519</v>
      </c>
    </row>
    <row r="6073">
      <c r="A6073" s="4">
        <v>45534.36577959491</v>
      </c>
      <c r="B6073" s="5" t="s">
        <v>34</v>
      </c>
      <c r="D6073" s="5" t="s">
        <v>3849</v>
      </c>
      <c r="E6073" s="5" t="s">
        <v>39547</v>
      </c>
      <c r="F6073" s="5" t="s">
        <v>72</v>
      </c>
      <c r="G6073" s="5" t="s">
        <v>39548</v>
      </c>
      <c r="H6073" s="6" t="s">
        <v>39549</v>
      </c>
      <c r="I6073" s="7" t="s">
        <v>39550</v>
      </c>
      <c r="J6073" s="8" t="str">
        <f>HYPERLINK("https://drive.google.com/file/d/1ahzYLIy4XU3bH9m-swr-OzxSdmbTKb2C/view?usp=drivesdk","RACHMAT DWIPUTRANTO SERTIFIKAT BerAKHLAK")</f>
        <v>RACHMAT DWIPUTRANTO SERTIFIKAT BerAKHLAK</v>
      </c>
      <c r="K6073" s="5" t="s">
        <v>39386</v>
      </c>
      <c r="L6073" s="5" t="s">
        <v>39551</v>
      </c>
      <c r="M6073" s="5" t="s">
        <v>39552</v>
      </c>
      <c r="N6073" s="7" t="s">
        <v>39553</v>
      </c>
      <c r="O6073" s="8" t="str">
        <f>HYPERLINK("https://drive.google.com/file/d/1ngdgFKPQztjuqIi38oAZ9ssAEdc5pXtW/view?usp=drivesdk","6072_RACHMAT DWIPUTRANTO _ SERTIFIKAT BerAKHLAK")</f>
        <v>6072_RACHMAT DWIPUTRANTO _ SERTIFIKAT BerAKHLAK</v>
      </c>
      <c r="P6073" s="5" t="s">
        <v>39554</v>
      </c>
    </row>
    <row r="6074">
      <c r="A6074" s="4">
        <v>45534.36578064815</v>
      </c>
      <c r="B6074" s="5" t="s">
        <v>34</v>
      </c>
      <c r="D6074" s="5" t="s">
        <v>701</v>
      </c>
      <c r="E6074" s="5" t="s">
        <v>39555</v>
      </c>
      <c r="F6074" s="5" t="s">
        <v>524</v>
      </c>
      <c r="G6074" s="5" t="s">
        <v>39556</v>
      </c>
      <c r="H6074" s="6" t="s">
        <v>39557</v>
      </c>
      <c r="I6074" s="7" t="s">
        <v>39558</v>
      </c>
      <c r="J6074" s="8" t="str">
        <f>HYPERLINK("https://drive.google.com/file/d/1fH12N8ikbjf9kA6bYE0jRngJg0DhSUHC/view?usp=drivesdk","YULIARNI, S.H. SERTIFIKAT BerAKHLAK")</f>
        <v>YULIARNI, S.H. SERTIFIKAT BerAKHLAK</v>
      </c>
      <c r="K6074" s="5" t="s">
        <v>39386</v>
      </c>
      <c r="L6074" s="5" t="s">
        <v>39559</v>
      </c>
      <c r="M6074" s="5" t="s">
        <v>39560</v>
      </c>
      <c r="N6074" s="7" t="s">
        <v>39561</v>
      </c>
      <c r="O6074" s="8" t="str">
        <f>HYPERLINK("https://drive.google.com/file/d/1gnP2YOtnVmnF5FWydQ0eJmkzItNpT919/view?usp=drivesdk","6073_YULIARNI, S.H. _ SERTIFIKAT BerAKHLAK")</f>
        <v>6073_YULIARNI, S.H. _ SERTIFIKAT BerAKHLAK</v>
      </c>
      <c r="P6074" s="5" t="s">
        <v>39554</v>
      </c>
    </row>
    <row r="6075">
      <c r="A6075" s="4">
        <v>45534.365783587964</v>
      </c>
      <c r="B6075" s="5" t="s">
        <v>34</v>
      </c>
      <c r="D6075" s="5" t="s">
        <v>35</v>
      </c>
      <c r="E6075" s="5" t="s">
        <v>39562</v>
      </c>
      <c r="F6075" s="5" t="s">
        <v>72</v>
      </c>
      <c r="G6075" s="5" t="s">
        <v>39563</v>
      </c>
      <c r="H6075" s="6" t="s">
        <v>39564</v>
      </c>
      <c r="I6075" s="7" t="s">
        <v>39565</v>
      </c>
      <c r="J6075" s="8" t="str">
        <f>HYPERLINK("https://drive.google.com/file/d/1uGU0Rx8J2axhssjFAMR2Ng4qT8-wlfhO/view?usp=drivesdk","DEDI KOSASIH SERTIFIKAT BerAKHLAK")</f>
        <v>DEDI KOSASIH SERTIFIKAT BerAKHLAK</v>
      </c>
      <c r="K6075" s="5" t="s">
        <v>39386</v>
      </c>
      <c r="L6075" s="5" t="s">
        <v>39566</v>
      </c>
      <c r="M6075" s="5" t="s">
        <v>39567</v>
      </c>
      <c r="N6075" s="7" t="s">
        <v>39568</v>
      </c>
      <c r="O6075" s="8" t="str">
        <f>HYPERLINK("https://drive.google.com/file/d/13YT93QQuykrxd8yxCW27YVh-rzPI6rOk/view?usp=drivesdk","6074_DEDI KOSASIH _ SERTIFIKAT BerAKHLAK")</f>
        <v>6074_DEDI KOSASIH _ SERTIFIKAT BerAKHLAK</v>
      </c>
      <c r="P6075" s="5" t="s">
        <v>39554</v>
      </c>
    </row>
    <row r="6076">
      <c r="A6076" s="4">
        <v>45534.36578644676</v>
      </c>
      <c r="B6076" s="5" t="s">
        <v>34</v>
      </c>
      <c r="D6076" s="5" t="s">
        <v>4775</v>
      </c>
      <c r="E6076" s="5" t="s">
        <v>39569</v>
      </c>
      <c r="F6076" s="5" t="s">
        <v>375</v>
      </c>
      <c r="G6076" s="5" t="s">
        <v>39570</v>
      </c>
      <c r="H6076" s="6" t="s">
        <v>39571</v>
      </c>
      <c r="I6076" s="7" t="s">
        <v>39572</v>
      </c>
      <c r="J6076" s="8" t="str">
        <f>HYPERLINK("https://drive.google.com/file/d/10WuEBEASu2LPjKzoM5RG8N9m1oF4_Tm9/view?usp=drivesdk","AZIZ MUSLIM.S.E. SERTIFIKAT BerAKHLAK")</f>
        <v>AZIZ MUSLIM.S.E. SERTIFIKAT BerAKHLAK</v>
      </c>
      <c r="K6076" s="5" t="s">
        <v>39386</v>
      </c>
      <c r="L6076" s="5" t="s">
        <v>39573</v>
      </c>
      <c r="M6076" s="5" t="s">
        <v>39574</v>
      </c>
      <c r="N6076" s="7" t="s">
        <v>39575</v>
      </c>
      <c r="O6076" s="8" t="str">
        <f>HYPERLINK("https://drive.google.com/file/d/1I0qfJOVW9Yo5o1IZv_1eFls6W_hugxRn/view?usp=drivesdk","6075_AZIZ MUSLIM.S.E. _ SERTIFIKAT BerAKHLAK")</f>
        <v>6075_AZIZ MUSLIM.S.E. _ SERTIFIKAT BerAKHLAK</v>
      </c>
      <c r="P6076" s="5" t="s">
        <v>39554</v>
      </c>
    </row>
    <row r="6077">
      <c r="A6077" s="4">
        <v>45534.36578692129</v>
      </c>
      <c r="B6077" s="5" t="s">
        <v>34</v>
      </c>
      <c r="D6077" s="5" t="s">
        <v>1206</v>
      </c>
      <c r="E6077" s="5" t="s">
        <v>39576</v>
      </c>
      <c r="F6077" s="5" t="s">
        <v>199</v>
      </c>
      <c r="G6077" s="5" t="s">
        <v>39577</v>
      </c>
      <c r="H6077" s="6" t="s">
        <v>39578</v>
      </c>
      <c r="K6077" s="5" t="s">
        <v>39579</v>
      </c>
      <c r="M6077" s="5" t="s">
        <v>39580</v>
      </c>
      <c r="N6077" s="7" t="s">
        <v>39581</v>
      </c>
      <c r="O6077" s="8" t="str">
        <f>HYPERLINK("https://drive.google.com/file/d/1MGZhl7SwQaPFq5yr1XjNzZ_xvUtY4-v9/view?usp=drivesdk","6076_SULIMAN _ SERTIFIKAT BerAKHLAK")</f>
        <v>6076_SULIMAN _ SERTIFIKAT BerAKHLAK</v>
      </c>
      <c r="P6077" s="5" t="s">
        <v>39582</v>
      </c>
    </row>
    <row r="6078" hidden="1">
      <c r="A6078" s="4">
        <v>45534.365795694444</v>
      </c>
      <c r="B6078" s="5" t="s">
        <v>19</v>
      </c>
      <c r="C6078" s="5" t="s">
        <v>20</v>
      </c>
      <c r="E6078" s="5" t="s">
        <v>39583</v>
      </c>
      <c r="F6078" s="5" t="s">
        <v>375</v>
      </c>
      <c r="G6078" s="5" t="s">
        <v>39584</v>
      </c>
      <c r="H6078" s="6" t="s">
        <v>39585</v>
      </c>
      <c r="K6078" s="5" t="s">
        <v>39579</v>
      </c>
      <c r="M6078" s="5" t="s">
        <v>39586</v>
      </c>
      <c r="N6078" s="7" t="s">
        <v>39587</v>
      </c>
      <c r="O6078" s="8" t="str">
        <f>HYPERLINK("https://drive.google.com/file/d/1K26zbcemufBirOy_H97EY-pyaJ5R6738/view?usp=drivesdk","6077_Sri YuliYanti  _ SERTIFIKAT BerAKHLAK")</f>
        <v>6077_Sri YuliYanti  _ SERTIFIKAT BerAKHLAK</v>
      </c>
      <c r="P6078" s="5" t="s">
        <v>39582</v>
      </c>
    </row>
    <row r="6079">
      <c r="A6079" s="4">
        <v>45534.36579829861</v>
      </c>
      <c r="B6079" s="5" t="s">
        <v>34</v>
      </c>
      <c r="D6079" s="5" t="s">
        <v>4775</v>
      </c>
      <c r="E6079" s="5" t="s">
        <v>39588</v>
      </c>
      <c r="F6079" s="5" t="s">
        <v>524</v>
      </c>
      <c r="G6079" s="5" t="s">
        <v>39589</v>
      </c>
      <c r="H6079" s="6" t="s">
        <v>39590</v>
      </c>
      <c r="K6079" s="5" t="s">
        <v>39579</v>
      </c>
      <c r="M6079" s="5" t="s">
        <v>39591</v>
      </c>
      <c r="N6079" s="7" t="s">
        <v>39592</v>
      </c>
      <c r="O6079" s="8" t="str">
        <f>HYPERLINK("https://drive.google.com/file/d/1QSLiOZvprYGd7b1fI0ANdXV5JOQG3ILV/view?usp=drivesdk","6078_EVI SAFITRI SULISTYORINI,S.Kep.,Ns _ SERTIFIKAT BerAKHLAK")</f>
        <v>6078_EVI SAFITRI SULISTYORINI,S.Kep.,Ns _ SERTIFIKAT BerAKHLAK</v>
      </c>
      <c r="P6079" s="5" t="s">
        <v>39582</v>
      </c>
    </row>
    <row r="6080">
      <c r="A6080" s="4">
        <v>45534.36580072917</v>
      </c>
      <c r="B6080" s="5" t="s">
        <v>34</v>
      </c>
      <c r="D6080" s="5" t="s">
        <v>10297</v>
      </c>
      <c r="E6080" s="5" t="s">
        <v>39593</v>
      </c>
      <c r="F6080" s="5" t="s">
        <v>72</v>
      </c>
      <c r="G6080" s="5" t="s">
        <v>39594</v>
      </c>
      <c r="H6080" s="6" t="s">
        <v>39595</v>
      </c>
      <c r="I6080" s="7" t="s">
        <v>39596</v>
      </c>
      <c r="J6080" s="8" t="str">
        <f>HYPERLINK("https://drive.google.com/file/d/19gxF5_vLoYik0Eu-SPzeJlgtJEyZIlOI/view?usp=drivesdk","HARTINI DOMPI, S.P., M.M. SERTIFIKAT BerAKHLAK")</f>
        <v>HARTINI DOMPI, S.P., M.M. SERTIFIKAT BerAKHLAK</v>
      </c>
      <c r="K6080" s="5" t="s">
        <v>39386</v>
      </c>
      <c r="L6080" s="5" t="s">
        <v>39597</v>
      </c>
      <c r="M6080" s="5" t="s">
        <v>39598</v>
      </c>
      <c r="N6080" s="7" t="s">
        <v>39599</v>
      </c>
      <c r="O6080" s="8" t="str">
        <f>HYPERLINK("https://drive.google.com/file/d/1-z1Jc6FlipR24oDiRuwPpR38X7ViLLd9/view?usp=drivesdk","6079_HARTINI DOMPI, S.P., M.M. _ SERTIFIKAT BerAKHLAK")</f>
        <v>6079_HARTINI DOMPI, S.P., M.M. _ SERTIFIKAT BerAKHLAK</v>
      </c>
      <c r="P6080" s="5" t="s">
        <v>39600</v>
      </c>
    </row>
    <row r="6081">
      <c r="A6081" s="4">
        <v>45534.36581045139</v>
      </c>
      <c r="B6081" s="5" t="s">
        <v>34</v>
      </c>
      <c r="D6081" s="5" t="s">
        <v>14313</v>
      </c>
      <c r="E6081" s="5" t="s">
        <v>39601</v>
      </c>
      <c r="F6081" s="5" t="s">
        <v>375</v>
      </c>
      <c r="G6081" s="5" t="s">
        <v>39602</v>
      </c>
      <c r="H6081" s="6" t="s">
        <v>39603</v>
      </c>
      <c r="I6081" s="7" t="s">
        <v>39604</v>
      </c>
      <c r="J6081" s="8" t="str">
        <f>HYPERLINK("https://drive.google.com/file/d/1qLhDlRaoF34WNsUS_u1nW8QnHwdd6Bw-/view?usp=drivesdk","NAJMAH. M SERTIFIKAT BerAKHLAK")</f>
        <v>NAJMAH. M SERTIFIKAT BerAKHLAK</v>
      </c>
      <c r="K6081" s="5" t="s">
        <v>39386</v>
      </c>
      <c r="L6081" s="5" t="s">
        <v>39605</v>
      </c>
      <c r="M6081" s="5" t="s">
        <v>39606</v>
      </c>
      <c r="N6081" s="7" t="s">
        <v>39607</v>
      </c>
      <c r="O6081" s="8" t="str">
        <f>HYPERLINK("https://drive.google.com/file/d/1bbBniNKLcUrotdBBcbuMqy-YPfBlJxUl/view?usp=drivesdk","6080_NAJMAH. M _ SERTIFIKAT BerAKHLAK")</f>
        <v>6080_NAJMAH. M _ SERTIFIKAT BerAKHLAK</v>
      </c>
      <c r="P6081" s="5" t="s">
        <v>39600</v>
      </c>
    </row>
    <row r="6082" hidden="1">
      <c r="A6082" s="4">
        <v>45534.36581412037</v>
      </c>
      <c r="B6082" s="5" t="s">
        <v>19</v>
      </c>
      <c r="C6082" s="5" t="s">
        <v>14000</v>
      </c>
      <c r="E6082" s="5" t="s">
        <v>39608</v>
      </c>
      <c r="F6082" s="5" t="s">
        <v>212</v>
      </c>
      <c r="G6082" s="5" t="s">
        <v>39609</v>
      </c>
      <c r="H6082" s="6" t="s">
        <v>39610</v>
      </c>
      <c r="I6082" s="7" t="s">
        <v>39611</v>
      </c>
      <c r="J6082" s="8" t="str">
        <f>HYPERLINK("https://drive.google.com/file/d/1G8AHQtCm6jo0d_aU0o7dR8lSTxZbVXfi/view?usp=drivesdk","GRACIA BUANA SAKTI SERTIFIKAT BerAKHLAK")</f>
        <v>GRACIA BUANA SAKTI SERTIFIKAT BerAKHLAK</v>
      </c>
      <c r="K6082" s="5" t="s">
        <v>39386</v>
      </c>
      <c r="L6082" s="5" t="s">
        <v>39612</v>
      </c>
      <c r="M6082" s="5" t="s">
        <v>39613</v>
      </c>
      <c r="N6082" s="7" t="s">
        <v>39614</v>
      </c>
      <c r="O6082" s="8" t="str">
        <f>HYPERLINK("https://drive.google.com/file/d/1QRRUm2NeuxYCFScRMmQEB1gAopj9DDw5/view?usp=drivesdk","6081_GRACIA BUANA SAKTI _ SERTIFIKAT BerAKHLAK")</f>
        <v>6081_GRACIA BUANA SAKTI _ SERTIFIKAT BerAKHLAK</v>
      </c>
      <c r="P6082" s="5" t="s">
        <v>39600</v>
      </c>
    </row>
    <row r="6083">
      <c r="A6083" s="4">
        <v>45534.36581857639</v>
      </c>
      <c r="B6083" s="5" t="s">
        <v>34</v>
      </c>
      <c r="D6083" s="5" t="s">
        <v>9020</v>
      </c>
      <c r="E6083" s="5" t="s">
        <v>39615</v>
      </c>
      <c r="F6083" s="5" t="s">
        <v>328</v>
      </c>
      <c r="G6083" s="5" t="s">
        <v>39616</v>
      </c>
      <c r="H6083" s="6" t="s">
        <v>39617</v>
      </c>
      <c r="K6083" s="5" t="s">
        <v>39618</v>
      </c>
      <c r="M6083" s="5" t="s">
        <v>39619</v>
      </c>
      <c r="N6083" s="7" t="s">
        <v>39620</v>
      </c>
      <c r="O6083" s="8" t="str">
        <f>HYPERLINK("https://drive.google.com/file/d/1wlCU05eFQWCMzsJGYogmMWKwziMilQd9/view?usp=drivesdk","6082_ABDUR RAZAK NST _ SERTIFIKAT BerAKHLAK")</f>
        <v>6082_ABDUR RAZAK NST _ SERTIFIKAT BerAKHLAK</v>
      </c>
      <c r="P6083" s="5" t="s">
        <v>39600</v>
      </c>
    </row>
    <row r="6084">
      <c r="A6084" s="4">
        <v>45534.365831041665</v>
      </c>
      <c r="B6084" s="5" t="s">
        <v>34</v>
      </c>
      <c r="D6084" s="5" t="s">
        <v>1206</v>
      </c>
      <c r="E6084" s="5" t="s">
        <v>39621</v>
      </c>
      <c r="F6084" s="5" t="s">
        <v>212</v>
      </c>
      <c r="G6084" s="5" t="s">
        <v>39622</v>
      </c>
      <c r="H6084" s="6" t="s">
        <v>39623</v>
      </c>
      <c r="I6084" s="7" t="s">
        <v>39624</v>
      </c>
      <c r="J6084" s="8" t="str">
        <f>HYPERLINK("https://drive.google.com/file/d/18wDVE6O4guoHN4EcEJO-7ClYpg1dYrhk/view?usp=drivesdk","SOEKARTINI SERTIFIKAT BerAKHLAK")</f>
        <v>SOEKARTINI SERTIFIKAT BerAKHLAK</v>
      </c>
      <c r="K6084" s="5" t="s">
        <v>39386</v>
      </c>
      <c r="L6084" s="5" t="s">
        <v>39625</v>
      </c>
      <c r="M6084" s="5" t="s">
        <v>39626</v>
      </c>
      <c r="N6084" s="7" t="s">
        <v>39627</v>
      </c>
      <c r="O6084" s="8" t="str">
        <f>HYPERLINK("https://drive.google.com/file/d/1OucHm6rgQs17D4bdhUdK4KWmheKuoRLs/view?usp=drivesdk","6083_SOEKARTINI _ SERTIFIKAT BerAKHLAK")</f>
        <v>6083_SOEKARTINI _ SERTIFIKAT BerAKHLAK</v>
      </c>
      <c r="P6084" s="5" t="s">
        <v>39628</v>
      </c>
    </row>
    <row r="6085">
      <c r="A6085" s="4">
        <v>45534.36583534723</v>
      </c>
      <c r="B6085" s="5" t="s">
        <v>34</v>
      </c>
      <c r="D6085" s="5" t="s">
        <v>1206</v>
      </c>
      <c r="E6085" s="5" t="s">
        <v>39629</v>
      </c>
      <c r="F6085" s="5" t="s">
        <v>212</v>
      </c>
      <c r="G6085" s="5" t="s">
        <v>39630</v>
      </c>
      <c r="H6085" s="6" t="s">
        <v>39631</v>
      </c>
      <c r="I6085" s="7" t="s">
        <v>39632</v>
      </c>
      <c r="J6085" s="8" t="str">
        <f>HYPERLINK("https://drive.google.com/file/d/1mfxxGlmkBHKiUK4rh9XR509CwxchPJzf/view?usp=drivesdk","PALUPI RAHENDRANINGSIH SERTIFIKAT BerAKHLAK")</f>
        <v>PALUPI RAHENDRANINGSIH SERTIFIKAT BerAKHLAK</v>
      </c>
      <c r="K6085" s="5" t="s">
        <v>39386</v>
      </c>
      <c r="L6085" s="5" t="s">
        <v>39633</v>
      </c>
      <c r="M6085" s="5" t="s">
        <v>39634</v>
      </c>
      <c r="N6085" s="7" t="s">
        <v>39635</v>
      </c>
      <c r="O6085" s="8" t="str">
        <f>HYPERLINK("https://drive.google.com/file/d/1Ab7okNx7wpPH-9L5mw8AdilP6DECqluC/view?usp=drivesdk","6084_PALUPI RAHENDRANINGSIH _ SERTIFIKAT BerAKHLAK")</f>
        <v>6084_PALUPI RAHENDRANINGSIH _ SERTIFIKAT BerAKHLAK</v>
      </c>
      <c r="P6085" s="5" t="s">
        <v>39628</v>
      </c>
    </row>
    <row r="6086">
      <c r="A6086" s="4">
        <v>45534.365843067135</v>
      </c>
      <c r="B6086" s="5" t="s">
        <v>34</v>
      </c>
      <c r="D6086" s="5" t="s">
        <v>6232</v>
      </c>
      <c r="E6086" s="5" t="s">
        <v>39636</v>
      </c>
      <c r="F6086" s="5" t="s">
        <v>524</v>
      </c>
      <c r="G6086" s="5" t="s">
        <v>39637</v>
      </c>
      <c r="H6086" s="6" t="s">
        <v>39638</v>
      </c>
      <c r="K6086" s="5" t="s">
        <v>39639</v>
      </c>
      <c r="M6086" s="5" t="s">
        <v>39640</v>
      </c>
      <c r="N6086" s="7" t="s">
        <v>39641</v>
      </c>
      <c r="O6086" s="8" t="str">
        <f>HYPERLINK("https://drive.google.com/file/d/1R0pwBaM5kqcwo7rjRGOAP43cYCCH1TGf/view?usp=drivesdk","6085_ABD.ZAKIR _ SERTIFIKAT BerAKHLAK")</f>
        <v>6085_ABD.ZAKIR _ SERTIFIKAT BerAKHLAK</v>
      </c>
      <c r="P6086" s="5" t="s">
        <v>39628</v>
      </c>
    </row>
    <row r="6087">
      <c r="A6087" s="4">
        <v>45534.36584856482</v>
      </c>
      <c r="B6087" s="5" t="s">
        <v>34</v>
      </c>
      <c r="D6087" s="5" t="s">
        <v>4775</v>
      </c>
      <c r="E6087" s="5" t="s">
        <v>39642</v>
      </c>
      <c r="F6087" s="5" t="s">
        <v>212</v>
      </c>
      <c r="G6087" s="5" t="s">
        <v>39643</v>
      </c>
      <c r="H6087" s="6" t="s">
        <v>39644</v>
      </c>
      <c r="K6087" s="5" t="s">
        <v>39639</v>
      </c>
      <c r="M6087" s="5" t="s">
        <v>39645</v>
      </c>
      <c r="N6087" s="7" t="s">
        <v>39646</v>
      </c>
      <c r="O6087" s="8" t="str">
        <f>HYPERLINK("https://drive.google.com/file/d/1Lx1uao1VWnXgnoZIwqVBHBjO489wyG3-/view?usp=drivesdk","6086_RESTYANINGSIH SUKMAN HANDAYANI _ SERTIFIKAT BerAKHLAK")</f>
        <v>6086_RESTYANINGSIH SUKMAN HANDAYANI _ SERTIFIKAT BerAKHLAK</v>
      </c>
      <c r="P6087" s="5" t="s">
        <v>39628</v>
      </c>
    </row>
    <row r="6088">
      <c r="A6088" s="4">
        <v>45534.36585458333</v>
      </c>
      <c r="B6088" s="5" t="s">
        <v>34</v>
      </c>
      <c r="D6088" s="5" t="s">
        <v>4775</v>
      </c>
      <c r="E6088" s="5" t="s">
        <v>39647</v>
      </c>
      <c r="F6088" s="5" t="s">
        <v>375</v>
      </c>
      <c r="G6088" s="5" t="s">
        <v>39648</v>
      </c>
      <c r="H6088" s="6" t="s">
        <v>39649</v>
      </c>
      <c r="K6088" s="5" t="s">
        <v>39639</v>
      </c>
      <c r="M6088" s="5" t="s">
        <v>39650</v>
      </c>
      <c r="N6088" s="7" t="s">
        <v>39651</v>
      </c>
      <c r="O6088" s="8" t="str">
        <f>HYPERLINK("https://drive.google.com/file/d/19jonJVly_jvJGscuk1OMpJQr_IdiajTV/view?usp=drivesdk","6087_DR RENTY FRISKA M PANGARIBUAN _ SERTIFIKAT BerAKHLAK")</f>
        <v>6087_DR RENTY FRISKA M PANGARIBUAN _ SERTIFIKAT BerAKHLAK</v>
      </c>
      <c r="P6088" s="5" t="s">
        <v>39652</v>
      </c>
    </row>
    <row r="6089" hidden="1">
      <c r="A6089" s="4">
        <v>45534.36585798611</v>
      </c>
      <c r="B6089" s="5" t="s">
        <v>19</v>
      </c>
      <c r="C6089" s="5" t="s">
        <v>466</v>
      </c>
      <c r="E6089" s="5" t="s">
        <v>39653</v>
      </c>
      <c r="F6089" s="5" t="s">
        <v>120</v>
      </c>
      <c r="G6089" s="5" t="s">
        <v>39654</v>
      </c>
      <c r="H6089" s="6" t="s">
        <v>39655</v>
      </c>
      <c r="K6089" s="5" t="s">
        <v>39639</v>
      </c>
      <c r="M6089" s="5" t="s">
        <v>39656</v>
      </c>
      <c r="N6089" s="7" t="s">
        <v>39657</v>
      </c>
      <c r="O6089" s="8" t="str">
        <f>HYPERLINK("https://drive.google.com/file/d/1plBOPXncCyx0G3I6MP1edsKsGuTluN35/view?usp=drivesdk","6088_WISNU AMBARWATI _ SERTIFIKAT BerAKHLAK")</f>
        <v>6088_WISNU AMBARWATI _ SERTIFIKAT BerAKHLAK</v>
      </c>
      <c r="P6089" s="5" t="s">
        <v>39652</v>
      </c>
    </row>
    <row r="6090">
      <c r="A6090" s="4">
        <v>45534.36586708333</v>
      </c>
      <c r="B6090" s="5" t="s">
        <v>34</v>
      </c>
      <c r="D6090" s="5" t="s">
        <v>10297</v>
      </c>
      <c r="E6090" s="5" t="s">
        <v>39658</v>
      </c>
      <c r="F6090" s="5" t="s">
        <v>524</v>
      </c>
      <c r="G6090" s="5" t="s">
        <v>39659</v>
      </c>
      <c r="H6090" s="6" t="s">
        <v>39660</v>
      </c>
      <c r="K6090" s="5" t="s">
        <v>39639</v>
      </c>
      <c r="M6090" s="5" t="s">
        <v>39661</v>
      </c>
      <c r="N6090" s="7" t="s">
        <v>39662</v>
      </c>
      <c r="O6090" s="8" t="str">
        <f>HYPERLINK("https://drive.google.com/file/d/1wcozoM3B1QRx1iDw58pIcakllcsmSNCW/view?usp=drivesdk","6089_ESTHER KENDEK ROST, S.Kep.Ns _ SERTIFIKAT BerAKHLAK")</f>
        <v>6089_ESTHER KENDEK ROST, S.Kep.Ns _ SERTIFIKAT BerAKHLAK</v>
      </c>
      <c r="P6090" s="5" t="s">
        <v>39652</v>
      </c>
    </row>
    <row r="6091">
      <c r="A6091" s="4">
        <v>45534.3658830787</v>
      </c>
      <c r="B6091" s="5" t="s">
        <v>34</v>
      </c>
      <c r="D6091" s="5" t="s">
        <v>1558</v>
      </c>
      <c r="E6091" s="5" t="s">
        <v>39663</v>
      </c>
      <c r="F6091" s="5" t="s">
        <v>37</v>
      </c>
      <c r="G6091" s="5" t="s">
        <v>39664</v>
      </c>
      <c r="H6091" s="6" t="s">
        <v>39665</v>
      </c>
      <c r="K6091" s="5" t="s">
        <v>39639</v>
      </c>
      <c r="M6091" s="5" t="s">
        <v>39666</v>
      </c>
      <c r="N6091" s="7" t="s">
        <v>39667</v>
      </c>
      <c r="O6091" s="8" t="str">
        <f>HYPERLINK("https://drive.google.com/file/d/1mA9mEvzZ0mnOIljwMx7BAkWRqcnHZlUv/view?usp=drivesdk","6090_MAISIRUL HARIM  _ SERTIFIKAT BerAKHLAK")</f>
        <v>6090_MAISIRUL HARIM  _ SERTIFIKAT BerAKHLAK</v>
      </c>
      <c r="P6091" s="5" t="s">
        <v>39652</v>
      </c>
    </row>
    <row r="6092">
      <c r="A6092" s="4">
        <v>45534.36589559028</v>
      </c>
      <c r="B6092" s="5" t="s">
        <v>34</v>
      </c>
      <c r="D6092" s="5" t="s">
        <v>267</v>
      </c>
      <c r="E6092" s="5" t="s">
        <v>39668</v>
      </c>
      <c r="F6092" s="5" t="s">
        <v>375</v>
      </c>
      <c r="G6092" s="5" t="s">
        <v>39669</v>
      </c>
      <c r="H6092" s="6" t="s">
        <v>39670</v>
      </c>
      <c r="K6092" s="5" t="s">
        <v>39639</v>
      </c>
      <c r="M6092" s="5" t="s">
        <v>39671</v>
      </c>
      <c r="N6092" s="7" t="s">
        <v>39672</v>
      </c>
      <c r="O6092" s="8" t="str">
        <f>HYPERLINK("https://drive.google.com/file/d/1wqFpw2BiDnaBxgNV9K1OXxwB759lDhOI/view?usp=drivesdk","6091_JOKO SANTOSO, Amd.Gz _ SERTIFIKAT BerAKHLAK")</f>
        <v>6091_JOKO SANTOSO, Amd.Gz _ SERTIFIKAT BerAKHLAK</v>
      </c>
      <c r="P6092" s="5" t="s">
        <v>39673</v>
      </c>
    </row>
    <row r="6093" hidden="1">
      <c r="A6093" s="4">
        <v>45534.365896550924</v>
      </c>
      <c r="B6093" s="5" t="s">
        <v>19</v>
      </c>
      <c r="C6093" s="5" t="s">
        <v>292</v>
      </c>
      <c r="E6093" s="5" t="s">
        <v>39674</v>
      </c>
      <c r="F6093" s="5" t="s">
        <v>120</v>
      </c>
      <c r="G6093" s="5" t="s">
        <v>39675</v>
      </c>
      <c r="H6093" s="6" t="s">
        <v>39676</v>
      </c>
      <c r="K6093" s="5" t="s">
        <v>39639</v>
      </c>
      <c r="M6093" s="5" t="s">
        <v>39677</v>
      </c>
      <c r="N6093" s="7" t="s">
        <v>39678</v>
      </c>
      <c r="O6093" s="8" t="str">
        <f>HYPERLINK("https://drive.google.com/file/d/1rR_s81vQpfVebyEz6GhO9clqo3g_N-aM/view?usp=drivesdk","6092_SUNDARI, S.E. _ SERTIFIKAT BerAKHLAK")</f>
        <v>6092_SUNDARI, S.E. _ SERTIFIKAT BerAKHLAK</v>
      </c>
      <c r="P6093" s="5" t="s">
        <v>39673</v>
      </c>
    </row>
    <row r="6094">
      <c r="A6094" s="4">
        <v>45534.3659144213</v>
      </c>
      <c r="B6094" s="5" t="s">
        <v>34</v>
      </c>
      <c r="D6094" s="5" t="s">
        <v>3849</v>
      </c>
      <c r="E6094" s="5" t="s">
        <v>39679</v>
      </c>
      <c r="F6094" s="5" t="s">
        <v>37</v>
      </c>
      <c r="G6094" s="5" t="s">
        <v>39680</v>
      </c>
      <c r="H6094" s="6" t="s">
        <v>39681</v>
      </c>
      <c r="K6094" s="5" t="s">
        <v>39639</v>
      </c>
      <c r="M6094" s="5" t="s">
        <v>39682</v>
      </c>
      <c r="N6094" s="7" t="s">
        <v>39683</v>
      </c>
      <c r="O6094" s="8" t="str">
        <f>HYPERLINK("https://drive.google.com/file/d/1C-wzQ86_t_EeRry-IigWryEpWxz8a57r/view?usp=drivesdk","6093_RIKA RUSANTI _ SERTIFIKAT BerAKHLAK")</f>
        <v>6093_RIKA RUSANTI _ SERTIFIKAT BerAKHLAK</v>
      </c>
      <c r="P6094" s="5" t="s">
        <v>39673</v>
      </c>
    </row>
    <row r="6095">
      <c r="A6095" s="4">
        <v>45534.365928240746</v>
      </c>
      <c r="B6095" s="5" t="s">
        <v>34</v>
      </c>
      <c r="D6095" s="5" t="s">
        <v>9020</v>
      </c>
      <c r="E6095" s="5" t="s">
        <v>39684</v>
      </c>
      <c r="F6095" s="5" t="s">
        <v>108</v>
      </c>
      <c r="G6095" s="5" t="s">
        <v>39685</v>
      </c>
      <c r="H6095" s="6" t="s">
        <v>39686</v>
      </c>
      <c r="I6095" s="7" t="s">
        <v>39687</v>
      </c>
      <c r="J6095" s="8" t="str">
        <f>HYPERLINK("https://drive.google.com/file/d/1Qr28dptddU3TH47_LaHFtmoWzDmmeKza/view?usp=drivesdk","Elmina Sihombing, SE  SERTIFIKAT BerAKHLAK")</f>
        <v>Elmina Sihombing, SE  SERTIFIKAT BerAKHLAK</v>
      </c>
      <c r="K6095" s="5" t="s">
        <v>39386</v>
      </c>
      <c r="L6095" s="5" t="s">
        <v>39688</v>
      </c>
      <c r="M6095" s="5" t="s">
        <v>39689</v>
      </c>
      <c r="N6095" s="7" t="s">
        <v>39690</v>
      </c>
      <c r="O6095" s="8" t="str">
        <f>HYPERLINK("https://drive.google.com/file/d/1yQN9N1aQy_X2iy0rH4OGfq6Z-XPBgSpA/view?usp=drivesdk","6094_Elmina Sihombing, SE  _ SERTIFIKAT BerAKHLAK")</f>
        <v>6094_Elmina Sihombing, SE  _ SERTIFIKAT BerAKHLAK</v>
      </c>
      <c r="P6095" s="5" t="s">
        <v>39673</v>
      </c>
    </row>
    <row r="6096">
      <c r="A6096" s="4">
        <v>45534.36596064815</v>
      </c>
      <c r="B6096" s="5" t="s">
        <v>34</v>
      </c>
      <c r="D6096" s="5" t="s">
        <v>1206</v>
      </c>
      <c r="E6096" s="5" t="s">
        <v>39691</v>
      </c>
      <c r="F6096" s="5" t="s">
        <v>212</v>
      </c>
      <c r="G6096" s="5" t="s">
        <v>39692</v>
      </c>
      <c r="H6096" s="6" t="s">
        <v>39693</v>
      </c>
      <c r="I6096" s="7" t="s">
        <v>39694</v>
      </c>
      <c r="J6096" s="8" t="str">
        <f>HYPERLINK("https://drive.google.com/file/d/13XXKgkxEdBzVqJYoz0uWcFURCksO0rcM/view?usp=drivesdk","SULISTIYORINI SERTIFIKAT BerAKHLAK")</f>
        <v>SULISTIYORINI SERTIFIKAT BerAKHLAK</v>
      </c>
      <c r="K6096" s="5" t="s">
        <v>39386</v>
      </c>
      <c r="L6096" s="5" t="s">
        <v>39695</v>
      </c>
      <c r="M6096" s="5" t="s">
        <v>39696</v>
      </c>
      <c r="N6096" s="7" t="s">
        <v>39697</v>
      </c>
      <c r="O6096" s="8" t="str">
        <f>HYPERLINK("https://drive.google.com/file/d/1rwBY0lu2VDGQ4xRoAuUec479v7fhRH16/view?usp=drivesdk","6095_SULISTIYORINI _ SERTIFIKAT BerAKHLAK")</f>
        <v>6095_SULISTIYORINI _ SERTIFIKAT BerAKHLAK</v>
      </c>
      <c r="P6096" s="5" t="s">
        <v>39698</v>
      </c>
    </row>
    <row r="6097">
      <c r="A6097" s="4">
        <v>45534.36596074074</v>
      </c>
      <c r="B6097" s="5" t="s">
        <v>34</v>
      </c>
      <c r="D6097" s="5" t="s">
        <v>1206</v>
      </c>
      <c r="E6097" s="5" t="s">
        <v>39699</v>
      </c>
      <c r="F6097" s="5" t="s">
        <v>199</v>
      </c>
      <c r="G6097" s="5" t="s">
        <v>39700</v>
      </c>
      <c r="H6097" s="6" t="s">
        <v>39701</v>
      </c>
      <c r="I6097" s="7" t="s">
        <v>39702</v>
      </c>
      <c r="J6097" s="8" t="str">
        <f>HYPERLINK("https://drive.google.com/file/d/18EdJXrSVkCMhvPeFNq2cGM0eEatt5jnM/view?usp=drivesdk","NUNGKI KRISDIANTI SERTIFIKAT BerAKHLAK")</f>
        <v>NUNGKI KRISDIANTI SERTIFIKAT BerAKHLAK</v>
      </c>
      <c r="K6097" s="5" t="s">
        <v>39386</v>
      </c>
      <c r="L6097" s="5" t="s">
        <v>39703</v>
      </c>
      <c r="M6097" s="5" t="s">
        <v>39704</v>
      </c>
      <c r="N6097" s="7" t="s">
        <v>39705</v>
      </c>
      <c r="O6097" s="8" t="str">
        <f>HYPERLINK("https://drive.google.com/file/d/1IEros0QLQVBdDNgGW9R0aRtCjM31fS_s/view?usp=drivesdk","6096_NUNGKI KRISDIANTI _ SERTIFIKAT BerAKHLAK")</f>
        <v>6096_NUNGKI KRISDIANTI _ SERTIFIKAT BerAKHLAK</v>
      </c>
      <c r="P6097" s="5" t="s">
        <v>39698</v>
      </c>
    </row>
    <row r="6098">
      <c r="A6098" s="4">
        <v>45534.36597116898</v>
      </c>
      <c r="B6098" s="5" t="s">
        <v>34</v>
      </c>
      <c r="D6098" s="5" t="s">
        <v>4775</v>
      </c>
      <c r="E6098" s="5" t="s">
        <v>39706</v>
      </c>
      <c r="F6098" s="5" t="s">
        <v>524</v>
      </c>
      <c r="G6098" s="5" t="s">
        <v>39707</v>
      </c>
      <c r="H6098" s="6" t="s">
        <v>39708</v>
      </c>
      <c r="I6098" s="7" t="s">
        <v>39709</v>
      </c>
      <c r="J6098" s="8" t="str">
        <f>HYPERLINK("https://drive.google.com/file/d/1BaJDBezrsXH7oDbqme2ez4epNxiz387x/view?usp=drivesdk","ENDANG JATI WILIS, A.Md. SERTIFIKAT BerAKHLAK")</f>
        <v>ENDANG JATI WILIS, A.Md. SERTIFIKAT BerAKHLAK</v>
      </c>
      <c r="K6098" s="5" t="s">
        <v>39386</v>
      </c>
      <c r="L6098" s="5" t="s">
        <v>39710</v>
      </c>
      <c r="M6098" s="5" t="s">
        <v>39711</v>
      </c>
      <c r="N6098" s="7" t="s">
        <v>39712</v>
      </c>
      <c r="O6098" s="8" t="str">
        <f>HYPERLINK("https://drive.google.com/file/d/1ADmHpGVA3vtBBUU9gRVuUt9YH1AFBlCp/view?usp=drivesdk","6097_ENDANG JATI WILIS, A.Md. _ SERTIFIKAT BerAKHLAK")</f>
        <v>6097_ENDANG JATI WILIS, A.Md. _ SERTIFIKAT BerAKHLAK</v>
      </c>
      <c r="P6098" s="5" t="s">
        <v>39698</v>
      </c>
    </row>
    <row r="6099">
      <c r="A6099" s="4">
        <v>45534.36600061343</v>
      </c>
      <c r="B6099" s="5" t="s">
        <v>34</v>
      </c>
      <c r="D6099" s="5" t="s">
        <v>4775</v>
      </c>
      <c r="E6099" s="5" t="s">
        <v>39713</v>
      </c>
      <c r="F6099" s="5" t="s">
        <v>72</v>
      </c>
      <c r="G6099" s="5" t="s">
        <v>39714</v>
      </c>
      <c r="H6099" s="6" t="s">
        <v>39715</v>
      </c>
      <c r="I6099" s="7" t="s">
        <v>39716</v>
      </c>
      <c r="J6099" s="8" t="str">
        <f>HYPERLINK("https://drive.google.com/file/d/1eWeYVSUHBUncoSJO-sgUqTXfatonTt24/view?usp=drivesdk","MEVI ASTARI, S.E., M.M. SERTIFIKAT BerAKHLAK")</f>
        <v>MEVI ASTARI, S.E., M.M. SERTIFIKAT BerAKHLAK</v>
      </c>
      <c r="K6099" s="5" t="s">
        <v>39386</v>
      </c>
      <c r="L6099" s="5" t="s">
        <v>39717</v>
      </c>
      <c r="M6099" s="5" t="s">
        <v>39718</v>
      </c>
      <c r="N6099" s="7" t="s">
        <v>39719</v>
      </c>
      <c r="O6099" s="8" t="str">
        <f>HYPERLINK("https://drive.google.com/file/d/1PaocYwIaJuQ-rfXlHkLaXE7ZRsDsQIOc/view?usp=drivesdk","6098_MEVI ASTARI, S.E., M.M. _ SERTIFIKAT BerAKHLAK")</f>
        <v>6098_MEVI ASTARI, S.E., M.M. _ SERTIFIKAT BerAKHLAK</v>
      </c>
      <c r="P6099" s="5" t="s">
        <v>39720</v>
      </c>
    </row>
    <row r="6100">
      <c r="A6100" s="4">
        <v>45534.36600756945</v>
      </c>
      <c r="B6100" s="5" t="s">
        <v>34</v>
      </c>
      <c r="D6100" s="5" t="s">
        <v>1206</v>
      </c>
      <c r="E6100" s="5" t="s">
        <v>39721</v>
      </c>
      <c r="F6100" s="5" t="s">
        <v>37</v>
      </c>
      <c r="G6100" s="5" t="s">
        <v>39722</v>
      </c>
      <c r="H6100" s="6" t="s">
        <v>39723</v>
      </c>
      <c r="I6100" s="7" t="s">
        <v>39724</v>
      </c>
      <c r="J6100" s="8" t="str">
        <f>HYPERLINK("https://drive.google.com/file/d/1ZxI0EYETrs9VP3-6Jz6bAhX86e3H43jN/view?usp=drivesdk","HARIYANTO SERTIFIKAT BerAKHLAK")</f>
        <v>HARIYANTO SERTIFIKAT BerAKHLAK</v>
      </c>
      <c r="K6100" s="5" t="s">
        <v>39386</v>
      </c>
      <c r="L6100" s="5" t="s">
        <v>39725</v>
      </c>
      <c r="M6100" s="5" t="s">
        <v>39726</v>
      </c>
      <c r="N6100" s="7" t="s">
        <v>39727</v>
      </c>
      <c r="O6100" s="8" t="str">
        <f>HYPERLINK("https://drive.google.com/file/d/1OHvQTkxkLmNfbQBPfAHyigB_RX1nqMgR/view?usp=drivesdk","6099_HARIYANTO _ SERTIFIKAT BerAKHLAK")</f>
        <v>6099_HARIYANTO _ SERTIFIKAT BerAKHLAK</v>
      </c>
      <c r="P6100" s="5" t="s">
        <v>39720</v>
      </c>
    </row>
    <row r="6101">
      <c r="A6101" s="4">
        <v>45534.366010439815</v>
      </c>
      <c r="B6101" s="5" t="s">
        <v>34</v>
      </c>
      <c r="D6101" s="5" t="s">
        <v>12978</v>
      </c>
      <c r="E6101" s="5" t="s">
        <v>39728</v>
      </c>
      <c r="F6101" s="5" t="s">
        <v>108</v>
      </c>
      <c r="G6101" s="5" t="s">
        <v>39729</v>
      </c>
      <c r="H6101" s="6" t="s">
        <v>39730</v>
      </c>
      <c r="K6101" s="5" t="s">
        <v>39731</v>
      </c>
      <c r="M6101" s="5" t="s">
        <v>39732</v>
      </c>
      <c r="N6101" s="7" t="s">
        <v>39733</v>
      </c>
      <c r="O6101" s="8" t="str">
        <f>HYPERLINK("https://drive.google.com/file/d/1lQaK3Q5mE0I1-V-5pj20NdNSkhGMoC-h/view?usp=drivesdk","6100_EVI LISNAINI _ SERTIFIKAT BerAKHLAK")</f>
        <v>6100_EVI LISNAINI _ SERTIFIKAT BerAKHLAK</v>
      </c>
      <c r="P6101" s="5" t="s">
        <v>39720</v>
      </c>
    </row>
    <row r="6102">
      <c r="A6102" s="4">
        <v>45534.36600928241</v>
      </c>
      <c r="B6102" s="5" t="s">
        <v>34</v>
      </c>
      <c r="D6102" s="5" t="s">
        <v>1206</v>
      </c>
      <c r="E6102" s="5" t="s">
        <v>39734</v>
      </c>
      <c r="F6102" s="5" t="s">
        <v>212</v>
      </c>
      <c r="G6102" s="5" t="s">
        <v>39735</v>
      </c>
      <c r="H6102" s="6" t="s">
        <v>39736</v>
      </c>
      <c r="K6102" s="5" t="s">
        <v>39731</v>
      </c>
      <c r="M6102" s="5" t="s">
        <v>39737</v>
      </c>
      <c r="N6102" s="7" t="s">
        <v>39738</v>
      </c>
      <c r="O6102" s="8" t="str">
        <f>HYPERLINK("https://drive.google.com/file/d/1fY8MizK-RO9KcADqC74Fh2drcfLWKCHD/view?usp=drivesdk","6101_HARI ASTUTI _ SERTIFIKAT BerAKHLAK")</f>
        <v>6101_HARI ASTUTI _ SERTIFIKAT BerAKHLAK</v>
      </c>
      <c r="P6102" s="5" t="s">
        <v>39720</v>
      </c>
    </row>
    <row r="6103">
      <c r="A6103" s="4">
        <v>45534.366012592596</v>
      </c>
      <c r="B6103" s="5" t="s">
        <v>34</v>
      </c>
      <c r="D6103" s="5" t="s">
        <v>6232</v>
      </c>
      <c r="E6103" s="5" t="s">
        <v>39739</v>
      </c>
      <c r="F6103" s="5" t="s">
        <v>37</v>
      </c>
      <c r="G6103" s="5" t="s">
        <v>39740</v>
      </c>
      <c r="H6103" s="6" t="s">
        <v>39741</v>
      </c>
      <c r="K6103" s="5" t="s">
        <v>39731</v>
      </c>
      <c r="M6103" s="5" t="s">
        <v>39742</v>
      </c>
      <c r="N6103" s="7" t="s">
        <v>39743</v>
      </c>
      <c r="O6103" s="8" t="str">
        <f>HYPERLINK("https://drive.google.com/file/d/1ah7Y40ubgbsgNE_5X6aFJxHCav63Tnd9/view?usp=drivesdk","6102_KHAIRUNNISA, AMF _ SERTIFIKAT BerAKHLAK")</f>
        <v>6102_KHAIRUNNISA, AMF _ SERTIFIKAT BerAKHLAK</v>
      </c>
      <c r="P6103" s="5" t="s">
        <v>39744</v>
      </c>
    </row>
    <row r="6104">
      <c r="A6104" s="4">
        <v>45534.36602209491</v>
      </c>
      <c r="B6104" s="5" t="s">
        <v>34</v>
      </c>
      <c r="D6104" s="5" t="s">
        <v>1206</v>
      </c>
      <c r="E6104" s="5" t="s">
        <v>33750</v>
      </c>
      <c r="F6104" s="5" t="s">
        <v>5859</v>
      </c>
      <c r="G6104" s="5" t="s">
        <v>39745</v>
      </c>
      <c r="H6104" s="6" t="s">
        <v>39746</v>
      </c>
      <c r="K6104" s="5" t="s">
        <v>39731</v>
      </c>
      <c r="M6104" s="5" t="s">
        <v>39747</v>
      </c>
      <c r="N6104" s="7" t="s">
        <v>39748</v>
      </c>
      <c r="O6104" s="8" t="str">
        <f>HYPERLINK("https://drive.google.com/file/d/1GcnUOjrnUkaOaVvvIHScwzJbQQVrbuYm/view?usp=drivesdk","6103_SUPARNO _ SERTIFIKAT BerAKHLAK")</f>
        <v>6103_SUPARNO _ SERTIFIKAT BerAKHLAK</v>
      </c>
      <c r="P6104" s="5" t="s">
        <v>39744</v>
      </c>
    </row>
    <row r="6105">
      <c r="A6105" s="4">
        <v>45534.366028055556</v>
      </c>
      <c r="B6105" s="5" t="s">
        <v>34</v>
      </c>
      <c r="D6105" s="5" t="s">
        <v>14313</v>
      </c>
      <c r="E6105" s="5" t="s">
        <v>39749</v>
      </c>
      <c r="F6105" s="5" t="s">
        <v>524</v>
      </c>
      <c r="G6105" s="5" t="s">
        <v>39750</v>
      </c>
      <c r="H6105" s="6" t="s">
        <v>39751</v>
      </c>
      <c r="K6105" s="5" t="s">
        <v>39731</v>
      </c>
      <c r="M6105" s="5" t="s">
        <v>39752</v>
      </c>
      <c r="N6105" s="7" t="s">
        <v>39753</v>
      </c>
      <c r="O6105" s="8" t="str">
        <f>HYPERLINK("https://drive.google.com/file/d/1NXuJ2peenKRk2GZ7PYXBRGoh4qt7DeN-/view?usp=drivesdk","6104_A. SULKARNA ACHMAD, S.E  _ SERTIFIKAT BerAKHLAK")</f>
        <v>6104_A. SULKARNA ACHMAD, S.E  _ SERTIFIKAT BerAKHLAK</v>
      </c>
      <c r="P6105" s="5" t="s">
        <v>39744</v>
      </c>
    </row>
    <row r="6106">
      <c r="A6106" s="4">
        <v>45534.366034583334</v>
      </c>
      <c r="B6106" s="5" t="s">
        <v>34</v>
      </c>
      <c r="D6106" s="5" t="s">
        <v>35</v>
      </c>
      <c r="E6106" s="5" t="s">
        <v>39754</v>
      </c>
      <c r="F6106" s="5" t="s">
        <v>5859</v>
      </c>
      <c r="G6106" s="5" t="s">
        <v>39755</v>
      </c>
      <c r="H6106" s="6" t="s">
        <v>39756</v>
      </c>
      <c r="K6106" s="5" t="s">
        <v>39731</v>
      </c>
      <c r="M6106" s="5" t="s">
        <v>39757</v>
      </c>
      <c r="N6106" s="7" t="s">
        <v>39758</v>
      </c>
      <c r="O6106" s="8" t="str">
        <f>HYPERLINK("https://drive.google.com/file/d/1Od1uwzpxESYydChHH5fTY-LeePluzso0/view?usp=drivesdk","6105_DIRMANTO  _ SERTIFIKAT BerAKHLAK")</f>
        <v>6105_DIRMANTO  _ SERTIFIKAT BerAKHLAK</v>
      </c>
      <c r="P6106" s="5" t="s">
        <v>39744</v>
      </c>
    </row>
    <row r="6107">
      <c r="A6107" s="4">
        <v>45534.36604620371</v>
      </c>
      <c r="B6107" s="5" t="s">
        <v>34</v>
      </c>
      <c r="D6107" s="5" t="s">
        <v>12978</v>
      </c>
      <c r="E6107" s="5" t="s">
        <v>39759</v>
      </c>
      <c r="F6107" s="5" t="s">
        <v>108</v>
      </c>
      <c r="G6107" s="5" t="s">
        <v>39760</v>
      </c>
      <c r="H6107" s="6" t="s">
        <v>39761</v>
      </c>
      <c r="K6107" s="5" t="s">
        <v>39731</v>
      </c>
      <c r="M6107" s="5" t="s">
        <v>39762</v>
      </c>
      <c r="N6107" s="7" t="s">
        <v>39763</v>
      </c>
      <c r="O6107" s="8" t="str">
        <f>HYPERLINK("https://drive.google.com/file/d/1Y7jOQ4PKMKP8oSJfuv6WL5MougRqRoje/view?usp=drivesdk","6106_SUYENI  _ SERTIFIKAT BerAKHLAK")</f>
        <v>6106_SUYENI  _ SERTIFIKAT BerAKHLAK</v>
      </c>
      <c r="P6107" s="5" t="s">
        <v>39764</v>
      </c>
    </row>
    <row r="6108">
      <c r="A6108" s="4">
        <v>45534.366072523146</v>
      </c>
      <c r="B6108" s="5" t="s">
        <v>34</v>
      </c>
      <c r="D6108" s="5" t="s">
        <v>10297</v>
      </c>
      <c r="E6108" s="5" t="s">
        <v>39765</v>
      </c>
      <c r="F6108" s="5" t="s">
        <v>375</v>
      </c>
      <c r="G6108" s="5" t="s">
        <v>39766</v>
      </c>
      <c r="H6108" s="6" t="s">
        <v>39767</v>
      </c>
      <c r="I6108" s="7" t="s">
        <v>39768</v>
      </c>
      <c r="J6108" s="8" t="str">
        <f>HYPERLINK("https://drive.google.com/file/d/1wT9fT3DZ8qaEi33ssAN75tZ-YupUzpCk/view?usp=drivesdk","DR. SYARIFAH MUSYRIFAH, S.E.,M.M. SERTIFIKAT BerAKHLAK")</f>
        <v>DR. SYARIFAH MUSYRIFAH, S.E.,M.M. SERTIFIKAT BerAKHLAK</v>
      </c>
      <c r="K6108" s="5" t="s">
        <v>39386</v>
      </c>
      <c r="L6108" s="5" t="s">
        <v>39769</v>
      </c>
      <c r="M6108" s="5" t="s">
        <v>39770</v>
      </c>
      <c r="N6108" s="7" t="s">
        <v>39771</v>
      </c>
      <c r="O6108" s="8" t="str">
        <f>HYPERLINK("https://drive.google.com/file/d/1ljeFdmfw6Z7G4GPLzK7NjdIPfw_NgljW/view?usp=drivesdk","6107_DR. SYARIFAH MUSYRIFAH, S.E.,M.M. _ SERTIFIKAT BerAKHLAK")</f>
        <v>6107_DR. SYARIFAH MUSYRIFAH, S.E.,M.M. _ SERTIFIKAT BerAKHLAK</v>
      </c>
      <c r="P6108" s="5" t="s">
        <v>39764</v>
      </c>
    </row>
    <row r="6109">
      <c r="A6109" s="4">
        <v>45534.366105023146</v>
      </c>
      <c r="B6109" s="5" t="s">
        <v>34</v>
      </c>
      <c r="D6109" s="5" t="s">
        <v>6232</v>
      </c>
      <c r="E6109" s="5" t="s">
        <v>39772</v>
      </c>
      <c r="F6109" s="5" t="s">
        <v>37</v>
      </c>
      <c r="G6109" s="5" t="s">
        <v>39773</v>
      </c>
      <c r="H6109" s="6" t="s">
        <v>39774</v>
      </c>
      <c r="I6109" s="7" t="s">
        <v>39775</v>
      </c>
      <c r="J6109" s="8" t="str">
        <f>HYPERLINK("https://drive.google.com/file/d/1NxmxaR35W-AEh7BL5QvouBARGgUoUWRA/view?usp=drivesdk","Razidan Alwan, A.Md. Kes SERTIFIKAT BerAKHLAK")</f>
        <v>Razidan Alwan, A.Md. Kes SERTIFIKAT BerAKHLAK</v>
      </c>
      <c r="K6109" s="5" t="s">
        <v>39386</v>
      </c>
      <c r="L6109" s="5" t="s">
        <v>39776</v>
      </c>
      <c r="M6109" s="5" t="s">
        <v>39777</v>
      </c>
      <c r="N6109" s="7" t="s">
        <v>39778</v>
      </c>
      <c r="O6109" s="8" t="str">
        <f>HYPERLINK("https://drive.google.com/file/d/1B8hjTU0qIFL5whv2Hw23t2dhhNNRSR8i/view?usp=drivesdk","6108_Razidan Alwan, A.Md. Kes _ SERTIFIKAT BerAKHLAK")</f>
        <v>6108_Razidan Alwan, A.Md. Kes _ SERTIFIKAT BerAKHLAK</v>
      </c>
      <c r="P6109" s="5" t="s">
        <v>39764</v>
      </c>
    </row>
    <row r="6110">
      <c r="A6110" s="4">
        <v>45534.366111145835</v>
      </c>
      <c r="B6110" s="5" t="s">
        <v>34</v>
      </c>
      <c r="D6110" s="5" t="s">
        <v>1206</v>
      </c>
      <c r="E6110" s="5" t="s">
        <v>39779</v>
      </c>
      <c r="F6110" s="5" t="s">
        <v>212</v>
      </c>
      <c r="G6110" s="5" t="s">
        <v>39780</v>
      </c>
      <c r="H6110" s="6" t="s">
        <v>39781</v>
      </c>
      <c r="K6110" s="5" t="s">
        <v>39782</v>
      </c>
      <c r="M6110" s="5" t="s">
        <v>39783</v>
      </c>
      <c r="N6110" s="7" t="s">
        <v>39784</v>
      </c>
      <c r="O6110" s="8" t="str">
        <f>HYPERLINK("https://drive.google.com/file/d/103Qwkh6gUoB-g9ZNR7Z0tIrTQl-KNrFf/view?usp=drivesdk","6109_YUNANIK _ SERTIFIKAT BerAKHLAK")</f>
        <v>6109_YUNANIK _ SERTIFIKAT BerAKHLAK</v>
      </c>
      <c r="P6110" s="5" t="s">
        <v>39764</v>
      </c>
    </row>
    <row r="6111">
      <c r="A6111" s="4">
        <v>45534.36611741898</v>
      </c>
      <c r="B6111" s="5" t="s">
        <v>34</v>
      </c>
      <c r="D6111" s="5" t="s">
        <v>9020</v>
      </c>
      <c r="E6111" s="5" t="s">
        <v>39785</v>
      </c>
      <c r="F6111" s="5" t="s">
        <v>120</v>
      </c>
      <c r="G6111" s="5" t="s">
        <v>39786</v>
      </c>
      <c r="H6111" s="6" t="s">
        <v>39787</v>
      </c>
      <c r="K6111" s="5" t="s">
        <v>39782</v>
      </c>
      <c r="M6111" s="5" t="s">
        <v>39788</v>
      </c>
      <c r="N6111" s="7" t="s">
        <v>39789</v>
      </c>
      <c r="O6111" s="8" t="str">
        <f>HYPERLINK("https://drive.google.com/file/d/12i4pZqwGJ8GNT43rd1rJdpByFBXE-FOS/view?usp=drivesdk","6110_dr.SUPERIDA BR GINTING SUKA.M.Ked,SpKJ _ SERTIFIKAT BerAKHLAK")</f>
        <v>6110_dr.SUPERIDA BR GINTING SUKA.M.Ked,SpKJ _ SERTIFIKAT BerAKHLAK</v>
      </c>
      <c r="P6111" s="5" t="s">
        <v>39764</v>
      </c>
    </row>
    <row r="6112">
      <c r="A6112" s="4">
        <v>45534.36612560185</v>
      </c>
      <c r="B6112" s="5" t="s">
        <v>34</v>
      </c>
      <c r="D6112" s="5" t="s">
        <v>1206</v>
      </c>
      <c r="E6112" s="5" t="s">
        <v>39790</v>
      </c>
      <c r="F6112" s="5" t="s">
        <v>37</v>
      </c>
      <c r="G6112" s="5" t="s">
        <v>39791</v>
      </c>
      <c r="H6112" s="6" t="s">
        <v>39792</v>
      </c>
      <c r="K6112" s="5" t="s">
        <v>39782</v>
      </c>
      <c r="M6112" s="5" t="s">
        <v>39793</v>
      </c>
      <c r="N6112" s="7" t="s">
        <v>39794</v>
      </c>
      <c r="O6112" s="8" t="str">
        <f>HYPERLINK("https://drive.google.com/file/d/1kIoU4h1HsZ5UQwM5H4z1X1kOTXa22XMj/view?usp=drivesdk","6111_DHADANG WIDODO _ SERTIFIKAT BerAKHLAK")</f>
        <v>6111_DHADANG WIDODO _ SERTIFIKAT BerAKHLAK</v>
      </c>
      <c r="P6112" s="5" t="s">
        <v>39795</v>
      </c>
    </row>
    <row r="6113">
      <c r="A6113" s="4">
        <v>45534.36613069444</v>
      </c>
      <c r="B6113" s="5" t="s">
        <v>34</v>
      </c>
      <c r="D6113" s="5" t="s">
        <v>9020</v>
      </c>
      <c r="E6113" s="5" t="s">
        <v>39796</v>
      </c>
      <c r="F6113" s="5" t="s">
        <v>212</v>
      </c>
      <c r="G6113" s="5" t="s">
        <v>39797</v>
      </c>
      <c r="H6113" s="6" t="s">
        <v>39798</v>
      </c>
      <c r="K6113" s="5" t="s">
        <v>39782</v>
      </c>
      <c r="M6113" s="5" t="s">
        <v>39799</v>
      </c>
      <c r="N6113" s="7" t="s">
        <v>39800</v>
      </c>
      <c r="O6113" s="8" t="str">
        <f>HYPERLINK("https://drive.google.com/file/d/15_B2Wt89K4G_8AJxqETnRWBmK5QQlAOc/view?usp=drivesdk","6112_RATNA LAMSIHAR SIAHAAN _ SERTIFIKAT BerAKHLAK")</f>
        <v>6112_RATNA LAMSIHAR SIAHAAN _ SERTIFIKAT BerAKHLAK</v>
      </c>
      <c r="P6113" s="5" t="s">
        <v>39795</v>
      </c>
    </row>
    <row r="6114">
      <c r="A6114" s="4">
        <v>45534.36617627315</v>
      </c>
      <c r="B6114" s="5" t="s">
        <v>34</v>
      </c>
      <c r="D6114" s="5" t="s">
        <v>1206</v>
      </c>
      <c r="E6114" s="5" t="s">
        <v>39801</v>
      </c>
      <c r="F6114" s="5" t="s">
        <v>37</v>
      </c>
      <c r="G6114" s="5" t="s">
        <v>39802</v>
      </c>
      <c r="H6114" s="6" t="s">
        <v>39803</v>
      </c>
      <c r="K6114" s="5" t="s">
        <v>39782</v>
      </c>
      <c r="M6114" s="5" t="s">
        <v>39804</v>
      </c>
      <c r="N6114" s="7" t="s">
        <v>39805</v>
      </c>
      <c r="O6114" s="8" t="str">
        <f>HYPERLINK("https://drive.google.com/file/d/1j0KnylCMUCl4qJz7g66FGIVNmsBdnUkS/view?usp=drivesdk","6113_RIADI PENGATUR _ SERTIFIKAT BerAKHLAK")</f>
        <v>6113_RIADI PENGATUR _ SERTIFIKAT BerAKHLAK</v>
      </c>
      <c r="P6114" s="5" t="s">
        <v>39795</v>
      </c>
    </row>
    <row r="6115">
      <c r="A6115" s="4">
        <v>45534.36617883102</v>
      </c>
      <c r="B6115" s="5" t="s">
        <v>34</v>
      </c>
      <c r="D6115" s="5" t="s">
        <v>1558</v>
      </c>
      <c r="E6115" s="5" t="s">
        <v>39806</v>
      </c>
      <c r="F6115" s="5" t="s">
        <v>375</v>
      </c>
      <c r="G6115" s="5" t="s">
        <v>39807</v>
      </c>
      <c r="H6115" s="6" t="s">
        <v>39808</v>
      </c>
      <c r="K6115" s="5" t="s">
        <v>39782</v>
      </c>
      <c r="M6115" s="5" t="s">
        <v>39809</v>
      </c>
      <c r="N6115" s="7" t="s">
        <v>39810</v>
      </c>
      <c r="O6115" s="8" t="str">
        <f>HYPERLINK("https://drive.google.com/file/d/1sLHJtHC9JvvsLasJfpnJtPRWcbtI8Idg/view?usp=drivesdk","6114_ESTI RENDA, S.E. _ SERTIFIKAT BerAKHLAK")</f>
        <v>6114_ESTI RENDA, S.E. _ SERTIFIKAT BerAKHLAK</v>
      </c>
      <c r="P6115" s="5" t="s">
        <v>39795</v>
      </c>
    </row>
    <row r="6116">
      <c r="A6116" s="4">
        <v>45534.36620052083</v>
      </c>
      <c r="B6116" s="5" t="s">
        <v>34</v>
      </c>
      <c r="D6116" s="5" t="s">
        <v>1206</v>
      </c>
      <c r="E6116" s="5" t="s">
        <v>39811</v>
      </c>
      <c r="F6116" s="5" t="s">
        <v>212</v>
      </c>
      <c r="G6116" s="5" t="s">
        <v>39812</v>
      </c>
      <c r="H6116" s="6" t="s">
        <v>39813</v>
      </c>
      <c r="K6116" s="5" t="s">
        <v>39782</v>
      </c>
      <c r="M6116" s="5" t="s">
        <v>39814</v>
      </c>
      <c r="N6116" s="7" t="s">
        <v>39815</v>
      </c>
      <c r="O6116" s="8" t="str">
        <f>HYPERLINK("https://drive.google.com/file/d/1A1MbX9ZH5vWeY3t5omV_V9LzUGiICWIM/view?usp=drivesdk","6115_KUSUMAWATI _ SERTIFIKAT BerAKHLAK")</f>
        <v>6115_KUSUMAWATI _ SERTIFIKAT BerAKHLAK</v>
      </c>
      <c r="P6116" s="5" t="s">
        <v>39795</v>
      </c>
    </row>
    <row r="6117">
      <c r="A6117" s="4">
        <v>45534.36620931713</v>
      </c>
      <c r="B6117" s="5" t="s">
        <v>34</v>
      </c>
      <c r="D6117" s="5" t="s">
        <v>1206</v>
      </c>
      <c r="E6117" s="5" t="s">
        <v>39816</v>
      </c>
      <c r="F6117" s="5" t="s">
        <v>524</v>
      </c>
      <c r="G6117" s="5" t="s">
        <v>39817</v>
      </c>
      <c r="H6117" s="6" t="s">
        <v>39818</v>
      </c>
      <c r="I6117" s="7" t="s">
        <v>39819</v>
      </c>
      <c r="J6117" s="8" t="str">
        <f>HYPERLINK("https://drive.google.com/file/d/1uxe61wwUjitvBL6yOA1lPEymOLZdZ8rM/view?usp=drivesdk","MUKHOFI YUSUF, S.M SERTIFIKAT BerAKHLAK")</f>
        <v>MUKHOFI YUSUF, S.M SERTIFIKAT BerAKHLAK</v>
      </c>
      <c r="K6117" s="5" t="s">
        <v>39386</v>
      </c>
      <c r="L6117" s="5" t="s">
        <v>39820</v>
      </c>
      <c r="M6117" s="5" t="s">
        <v>39821</v>
      </c>
      <c r="N6117" s="7" t="s">
        <v>39822</v>
      </c>
      <c r="O6117" s="8" t="str">
        <f>HYPERLINK("https://drive.google.com/file/d/1x9SJJMZWaMFmoawmzw61ma-zzEqPbZJj/view?usp=drivesdk","6116_MUKHOFI YUSUF, S.M _ SERTIFIKAT BerAKHLAK")</f>
        <v>6116_MUKHOFI YUSUF, S.M _ SERTIFIKAT BerAKHLAK</v>
      </c>
      <c r="P6117" s="5" t="s">
        <v>39823</v>
      </c>
    </row>
    <row r="6118">
      <c r="A6118" s="4">
        <v>45534.36622001157</v>
      </c>
      <c r="B6118" s="5" t="s">
        <v>34</v>
      </c>
      <c r="D6118" s="5" t="s">
        <v>1206</v>
      </c>
      <c r="E6118" s="5" t="s">
        <v>39824</v>
      </c>
      <c r="F6118" s="5" t="s">
        <v>72</v>
      </c>
      <c r="G6118" s="5" t="s">
        <v>39825</v>
      </c>
      <c r="H6118" s="6" t="s">
        <v>39826</v>
      </c>
      <c r="K6118" s="5" t="s">
        <v>39827</v>
      </c>
      <c r="M6118" s="5" t="s">
        <v>39828</v>
      </c>
      <c r="N6118" s="7" t="s">
        <v>39829</v>
      </c>
      <c r="O6118" s="8" t="str">
        <f>HYPERLINK("https://drive.google.com/file/d/1uBaL93sQJa5a_MdpXRjlBhmWqyT2tEoR/view?usp=drivesdk","6117_DEWI ANDRIANA,S.E _ SERTIFIKAT BerAKHLAK")</f>
        <v>6117_DEWI ANDRIANA,S.E _ SERTIFIKAT BerAKHLAK</v>
      </c>
      <c r="P6118" s="5" t="s">
        <v>39823</v>
      </c>
    </row>
    <row r="6119">
      <c r="A6119" s="4">
        <v>45534.36622457176</v>
      </c>
      <c r="B6119" s="5" t="s">
        <v>34</v>
      </c>
      <c r="D6119" s="5" t="s">
        <v>4775</v>
      </c>
      <c r="E6119" s="5" t="s">
        <v>39830</v>
      </c>
      <c r="F6119" s="5" t="s">
        <v>212</v>
      </c>
      <c r="G6119" s="5" t="s">
        <v>39831</v>
      </c>
      <c r="H6119" s="6" t="s">
        <v>39832</v>
      </c>
      <c r="K6119" s="5" t="s">
        <v>39827</v>
      </c>
      <c r="M6119" s="5" t="s">
        <v>39833</v>
      </c>
      <c r="N6119" s="7" t="s">
        <v>39834</v>
      </c>
      <c r="O6119" s="8" t="str">
        <f>HYPERLINK("https://drive.google.com/file/d/1LvzCWLDKVRicQTKC5JuRCS04nhtC7pIu/view?usp=drivesdk","6118_SUGIYO  _ SERTIFIKAT BerAKHLAK")</f>
        <v>6118_SUGIYO  _ SERTIFIKAT BerAKHLAK</v>
      </c>
      <c r="P6119" s="5" t="s">
        <v>39823</v>
      </c>
    </row>
    <row r="6120">
      <c r="A6120" s="4">
        <v>45534.366235775466</v>
      </c>
      <c r="B6120" s="5" t="s">
        <v>34</v>
      </c>
      <c r="D6120" s="5" t="s">
        <v>35</v>
      </c>
      <c r="E6120" s="5" t="s">
        <v>39835</v>
      </c>
      <c r="F6120" s="5" t="s">
        <v>72</v>
      </c>
      <c r="G6120" s="5" t="s">
        <v>39836</v>
      </c>
      <c r="H6120" s="6" t="s">
        <v>39837</v>
      </c>
      <c r="K6120" s="5" t="s">
        <v>39827</v>
      </c>
      <c r="M6120" s="5" t="s">
        <v>39838</v>
      </c>
      <c r="N6120" s="7" t="s">
        <v>39839</v>
      </c>
      <c r="O6120" s="8" t="str">
        <f>HYPERLINK("https://drive.google.com/file/d/14gRii7uOzB1Lr0kU5QAU_MBTH8nIMGvG/view?usp=drivesdk","6119_IIS YULI SITI SOFIAH AMd Kep  _ SERTIFIKAT BerAKHLAK")</f>
        <v>6119_IIS YULI SITI SOFIAH AMd Kep  _ SERTIFIKAT BerAKHLAK</v>
      </c>
      <c r="P6120" s="5" t="s">
        <v>39823</v>
      </c>
    </row>
    <row r="6121">
      <c r="A6121" s="4">
        <v>45534.36623774306</v>
      </c>
      <c r="B6121" s="5" t="s">
        <v>34</v>
      </c>
      <c r="D6121" s="5" t="s">
        <v>4775</v>
      </c>
      <c r="E6121" s="5" t="s">
        <v>39840</v>
      </c>
      <c r="F6121" s="5" t="s">
        <v>375</v>
      </c>
      <c r="G6121" s="5" t="s">
        <v>39841</v>
      </c>
      <c r="H6121" s="6" t="s">
        <v>39842</v>
      </c>
      <c r="K6121" s="5" t="s">
        <v>39827</v>
      </c>
      <c r="M6121" s="5" t="s">
        <v>39843</v>
      </c>
      <c r="N6121" s="7" t="s">
        <v>39844</v>
      </c>
      <c r="O6121" s="8" t="str">
        <f>HYPERLINK("https://drive.google.com/file/d/1OpMGAoVuPQaBJChC_5X5VG7979jGmMdq/view?usp=drivesdk","6120_VERA SANDRIANA TIYASTUTI, S.KOM., M.M. _ SERTIFIKAT BerAKHLAK")</f>
        <v>6120_VERA SANDRIANA TIYASTUTI, S.KOM., M.M. _ SERTIFIKAT BerAKHLAK</v>
      </c>
      <c r="P6121" s="5" t="s">
        <v>39823</v>
      </c>
    </row>
    <row r="6122">
      <c r="A6122" s="4">
        <v>45534.366237766204</v>
      </c>
      <c r="B6122" s="5" t="s">
        <v>34</v>
      </c>
      <c r="D6122" s="5" t="s">
        <v>1206</v>
      </c>
      <c r="E6122" s="5" t="s">
        <v>39845</v>
      </c>
      <c r="F6122" s="5" t="s">
        <v>37</v>
      </c>
      <c r="G6122" s="5" t="s">
        <v>39846</v>
      </c>
      <c r="H6122" s="6" t="s">
        <v>39847</v>
      </c>
      <c r="I6122" s="7" t="s">
        <v>39848</v>
      </c>
      <c r="J6122" s="8" t="str">
        <f>HYPERLINK("https://drive.google.com/file/d/12-Tnm6d5XeriW2wWme0KMPPyw5UpVtNB/view?usp=drivesdk","AGUS NURCAHYONO SERTIFIKAT BerAKHLAK")</f>
        <v>AGUS NURCAHYONO SERTIFIKAT BerAKHLAK</v>
      </c>
      <c r="K6122" s="5" t="s">
        <v>39386</v>
      </c>
      <c r="L6122" s="5" t="s">
        <v>39849</v>
      </c>
      <c r="M6122" s="5" t="s">
        <v>39850</v>
      </c>
      <c r="N6122" s="7" t="s">
        <v>39851</v>
      </c>
      <c r="O6122" s="8" t="str">
        <f>HYPERLINK("https://drive.google.com/file/d/1mUGUycKYITBQS-9jDRiUnLqBFNz9lLjT/view?usp=drivesdk","6121_AGUS NURCAHYONO _ SERTIFIKAT BerAKHLAK")</f>
        <v>6121_AGUS NURCAHYONO _ SERTIFIKAT BerAKHLAK</v>
      </c>
      <c r="P6122" s="5" t="s">
        <v>39852</v>
      </c>
    </row>
    <row r="6123">
      <c r="A6123" s="4">
        <v>45534.36624556713</v>
      </c>
      <c r="B6123" s="5" t="s">
        <v>34</v>
      </c>
      <c r="D6123" s="5" t="s">
        <v>9020</v>
      </c>
      <c r="E6123" s="5" t="s">
        <v>39853</v>
      </c>
      <c r="F6123" s="5" t="s">
        <v>72</v>
      </c>
      <c r="G6123" s="5" t="s">
        <v>39854</v>
      </c>
      <c r="H6123" s="6" t="s">
        <v>39855</v>
      </c>
      <c r="K6123" s="5" t="s">
        <v>39856</v>
      </c>
      <c r="M6123" s="5" t="s">
        <v>39857</v>
      </c>
      <c r="N6123" s="7" t="s">
        <v>39858</v>
      </c>
      <c r="O6123" s="8" t="str">
        <f>HYPERLINK("https://drive.google.com/file/d/17ZFOz8AHrjkNYUFEB2JteClAIX2AXDWs/view?usp=drivesdk","6122_dr. Venny Ria Pratiwi _ SERTIFIKAT BerAKHLAK")</f>
        <v>6122_dr. Venny Ria Pratiwi _ SERTIFIKAT BerAKHLAK</v>
      </c>
      <c r="P6123" s="5" t="s">
        <v>39852</v>
      </c>
    </row>
    <row r="6124">
      <c r="A6124" s="4">
        <v>45534.36625715278</v>
      </c>
      <c r="B6124" s="5" t="s">
        <v>34</v>
      </c>
      <c r="D6124" s="5" t="s">
        <v>1206</v>
      </c>
      <c r="E6124" s="5" t="s">
        <v>39859</v>
      </c>
      <c r="F6124" s="5" t="s">
        <v>199</v>
      </c>
      <c r="G6124" s="5" t="s">
        <v>39860</v>
      </c>
      <c r="H6124" s="6" t="s">
        <v>39861</v>
      </c>
      <c r="K6124" s="5" t="s">
        <v>39856</v>
      </c>
      <c r="M6124" s="5" t="s">
        <v>39862</v>
      </c>
      <c r="N6124" s="7" t="s">
        <v>39863</v>
      </c>
      <c r="O6124" s="8" t="str">
        <f>HYPERLINK("https://drive.google.com/file/d/1bfIFZxv455hgWQDw6cWCXB0deBNkUrVD/view?usp=drivesdk","6123_SANTI MAHARANI _ SERTIFIKAT BerAKHLAK")</f>
        <v>6123_SANTI MAHARANI _ SERTIFIKAT BerAKHLAK</v>
      </c>
      <c r="P6124" s="5" t="s">
        <v>39852</v>
      </c>
    </row>
    <row r="6125">
      <c r="A6125" s="4">
        <v>45534.36625759259</v>
      </c>
      <c r="B6125" s="5" t="s">
        <v>34</v>
      </c>
      <c r="D6125" s="5" t="s">
        <v>4775</v>
      </c>
      <c r="E6125" s="5" t="s">
        <v>39864</v>
      </c>
      <c r="F6125" s="5" t="s">
        <v>199</v>
      </c>
      <c r="G6125" s="5" t="s">
        <v>39865</v>
      </c>
      <c r="H6125" s="6" t="s">
        <v>39866</v>
      </c>
      <c r="K6125" s="5" t="s">
        <v>39867</v>
      </c>
      <c r="M6125" s="5" t="s">
        <v>39868</v>
      </c>
      <c r="N6125" s="7" t="s">
        <v>39869</v>
      </c>
      <c r="O6125" s="8" t="str">
        <f>HYPERLINK("https://drive.google.com/file/d/1Ov4YJHNAVxGsIdCgoCqGdhn0S4LcuaMX/view?usp=drivesdk","6124_WIWIEK SUPRIHATIN _ SERTIFIKAT BerAKHLAK")</f>
        <v>6124_WIWIEK SUPRIHATIN _ SERTIFIKAT BerAKHLAK</v>
      </c>
      <c r="P6125" s="5" t="s">
        <v>39852</v>
      </c>
    </row>
    <row r="6126">
      <c r="A6126" s="4">
        <v>45534.366274722226</v>
      </c>
      <c r="B6126" s="5" t="s">
        <v>34</v>
      </c>
      <c r="D6126" s="5" t="s">
        <v>14313</v>
      </c>
      <c r="E6126" s="5" t="s">
        <v>39870</v>
      </c>
      <c r="F6126" s="5" t="s">
        <v>72</v>
      </c>
      <c r="G6126" s="5" t="s">
        <v>39871</v>
      </c>
      <c r="H6126" s="6" t="s">
        <v>39872</v>
      </c>
      <c r="K6126" s="5" t="s">
        <v>39867</v>
      </c>
      <c r="M6126" s="5" t="s">
        <v>39873</v>
      </c>
      <c r="N6126" s="7" t="s">
        <v>39874</v>
      </c>
      <c r="O6126" s="8" t="str">
        <f>HYPERLINK("https://drive.google.com/file/d/1CCubYudSlhkUWlXI2XLjhoXehAU2VtPb/view?usp=drivesdk","6125_NUR MILA _ SERTIFIKAT BerAKHLAK")</f>
        <v>6125_NUR MILA _ SERTIFIKAT BerAKHLAK</v>
      </c>
      <c r="P6126" s="5" t="s">
        <v>39875</v>
      </c>
    </row>
    <row r="6127">
      <c r="A6127" s="4">
        <v>45534.366276388886</v>
      </c>
      <c r="B6127" s="5" t="s">
        <v>34</v>
      </c>
      <c r="D6127" s="5" t="s">
        <v>4775</v>
      </c>
      <c r="E6127" s="5" t="s">
        <v>39876</v>
      </c>
      <c r="F6127" s="5" t="s">
        <v>72</v>
      </c>
      <c r="G6127" s="5" t="s">
        <v>39877</v>
      </c>
      <c r="H6127" s="6" t="s">
        <v>39878</v>
      </c>
      <c r="K6127" s="5" t="s">
        <v>39867</v>
      </c>
      <c r="M6127" s="5" t="s">
        <v>39879</v>
      </c>
      <c r="N6127" s="7" t="s">
        <v>39880</v>
      </c>
      <c r="O6127" s="8" t="str">
        <f>HYPERLINK("https://drive.google.com/file/d/13yO49tGtpsG2P4cMf6P3qNfyI7f_lxhe/view?usp=drivesdk","6126_dr NURUL HIKMAWATI _ SERTIFIKAT BerAKHLAK")</f>
        <v>6126_dr NURUL HIKMAWATI _ SERTIFIKAT BerAKHLAK</v>
      </c>
      <c r="P6127" s="5" t="s">
        <v>39875</v>
      </c>
    </row>
    <row r="6128">
      <c r="A6128" s="4">
        <v>45534.36628920139</v>
      </c>
      <c r="B6128" s="5" t="s">
        <v>34</v>
      </c>
      <c r="D6128" s="5" t="s">
        <v>522</v>
      </c>
      <c r="E6128" s="5" t="s">
        <v>39881</v>
      </c>
      <c r="F6128" s="5" t="s">
        <v>212</v>
      </c>
      <c r="G6128" s="5" t="s">
        <v>39882</v>
      </c>
      <c r="H6128" s="6" t="s">
        <v>39883</v>
      </c>
      <c r="K6128" s="5" t="s">
        <v>39884</v>
      </c>
      <c r="M6128" s="5" t="s">
        <v>39885</v>
      </c>
      <c r="N6128" s="7" t="s">
        <v>39886</v>
      </c>
      <c r="O6128" s="8" t="str">
        <f>HYPERLINK("https://drive.google.com/file/d/1x3wAhq4YGsVwy4IiMjsSPNa-gD_QMvGK/view?usp=drivesdk","6127_RETNO MAULIDEWI Amd.AK _ SERTIFIKAT BerAKHLAK")</f>
        <v>6127_RETNO MAULIDEWI Amd.AK _ SERTIFIKAT BerAKHLAK</v>
      </c>
      <c r="P6128" s="5" t="s">
        <v>39875</v>
      </c>
    </row>
    <row r="6129" hidden="1">
      <c r="A6129" s="4">
        <v>45534.36629550926</v>
      </c>
      <c r="B6129" s="5" t="s">
        <v>19</v>
      </c>
      <c r="C6129" s="5" t="s">
        <v>5564</v>
      </c>
      <c r="E6129" s="5" t="s">
        <v>39887</v>
      </c>
      <c r="F6129" s="5" t="s">
        <v>72</v>
      </c>
      <c r="G6129" s="5" t="s">
        <v>39888</v>
      </c>
      <c r="H6129" s="6" t="s">
        <v>39889</v>
      </c>
      <c r="K6129" s="5" t="s">
        <v>39884</v>
      </c>
      <c r="M6129" s="5" t="s">
        <v>39890</v>
      </c>
      <c r="N6129" s="7" t="s">
        <v>39891</v>
      </c>
      <c r="O6129" s="8" t="str">
        <f>HYPERLINK("https://drive.google.com/file/d/1TUZp021lOsNDuqFEzHJ2lxawo8cBT9T-/view?usp=drivesdk","6128_ROJI FAHRUDIN  _ SERTIFIKAT BerAKHLAK")</f>
        <v>6128_ROJI FAHRUDIN  _ SERTIFIKAT BerAKHLAK</v>
      </c>
      <c r="P6129" s="5" t="s">
        <v>39875</v>
      </c>
    </row>
    <row r="6130">
      <c r="A6130" s="4">
        <v>45534.366299490735</v>
      </c>
      <c r="B6130" s="5" t="s">
        <v>34</v>
      </c>
      <c r="D6130" s="5" t="s">
        <v>9020</v>
      </c>
      <c r="E6130" s="5" t="s">
        <v>39892</v>
      </c>
      <c r="F6130" s="5" t="s">
        <v>524</v>
      </c>
      <c r="G6130" s="5" t="s">
        <v>39893</v>
      </c>
      <c r="H6130" s="6" t="s">
        <v>39894</v>
      </c>
      <c r="K6130" s="5" t="s">
        <v>39884</v>
      </c>
      <c r="M6130" s="5" t="s">
        <v>39895</v>
      </c>
      <c r="N6130" s="7" t="s">
        <v>39896</v>
      </c>
      <c r="O6130" s="8" t="str">
        <f>HYPERLINK("https://drive.google.com/file/d/1Mou0XpxOYP6crNXpSJmlEg0zSTtJf__o/view?usp=drivesdk","6129_AGUS WAHYU EDI _ SERTIFIKAT BerAKHLAK")</f>
        <v>6129_AGUS WAHYU EDI _ SERTIFIKAT BerAKHLAK</v>
      </c>
      <c r="P6130" s="5" t="s">
        <v>39897</v>
      </c>
    </row>
    <row r="6131">
      <c r="A6131" s="4">
        <v>45534.36630436343</v>
      </c>
      <c r="B6131" s="5" t="s">
        <v>34</v>
      </c>
      <c r="D6131" s="5" t="s">
        <v>1206</v>
      </c>
      <c r="E6131" s="5" t="s">
        <v>39898</v>
      </c>
      <c r="F6131" s="5" t="s">
        <v>212</v>
      </c>
      <c r="G6131" s="5" t="s">
        <v>39899</v>
      </c>
      <c r="H6131" s="6" t="s">
        <v>39900</v>
      </c>
      <c r="K6131" s="5" t="s">
        <v>39884</v>
      </c>
      <c r="M6131" s="5" t="s">
        <v>39901</v>
      </c>
      <c r="N6131" s="7" t="s">
        <v>39902</v>
      </c>
      <c r="O6131" s="8" t="str">
        <f>HYPERLINK("https://drive.google.com/file/d/1XAShT_Bs9F4bULaHjfgSdS2gp2Gwu1aD/view?usp=drivesdk","6130_AGUS SUBEKTI _ SERTIFIKAT BerAKHLAK")</f>
        <v>6130_AGUS SUBEKTI _ SERTIFIKAT BerAKHLAK</v>
      </c>
      <c r="P6131" s="5" t="s">
        <v>39897</v>
      </c>
    </row>
    <row r="6132">
      <c r="A6132" s="4">
        <v>45534.366310613426</v>
      </c>
      <c r="B6132" s="5" t="s">
        <v>34</v>
      </c>
      <c r="D6132" s="5" t="s">
        <v>9394</v>
      </c>
      <c r="E6132" s="5" t="s">
        <v>39903</v>
      </c>
      <c r="F6132" s="5" t="s">
        <v>108</v>
      </c>
      <c r="G6132" s="5" t="s">
        <v>39904</v>
      </c>
      <c r="H6132" s="6" t="s">
        <v>39905</v>
      </c>
      <c r="K6132" s="5" t="s">
        <v>39884</v>
      </c>
      <c r="M6132" s="5" t="s">
        <v>39906</v>
      </c>
      <c r="N6132" s="7" t="s">
        <v>39907</v>
      </c>
      <c r="O6132" s="8" t="str">
        <f>HYPERLINK("https://drive.google.com/file/d/15pgvffSIBU3TS4TX1fnkdcIo7_VwBPzw/view?usp=drivesdk","6131_DR. MIRA TANIA ANDRIANA _ SERTIFIKAT BerAKHLAK")</f>
        <v>6131_DR. MIRA TANIA ANDRIANA _ SERTIFIKAT BerAKHLAK</v>
      </c>
      <c r="P6132" s="5" t="s">
        <v>39897</v>
      </c>
    </row>
    <row r="6133">
      <c r="A6133" s="4">
        <v>45534.36631293982</v>
      </c>
      <c r="B6133" s="5" t="s">
        <v>34</v>
      </c>
      <c r="D6133" s="5" t="s">
        <v>35</v>
      </c>
      <c r="E6133" s="5" t="s">
        <v>39908</v>
      </c>
      <c r="F6133" s="5" t="s">
        <v>524</v>
      </c>
      <c r="G6133" s="5" t="s">
        <v>39909</v>
      </c>
      <c r="H6133" s="6" t="s">
        <v>39910</v>
      </c>
      <c r="K6133" s="5" t="s">
        <v>39884</v>
      </c>
      <c r="M6133" s="5" t="s">
        <v>39911</v>
      </c>
      <c r="N6133" s="7" t="s">
        <v>39912</v>
      </c>
      <c r="O6133" s="8" t="str">
        <f>HYPERLINK("https://drive.google.com/file/d/1125aZ8VqtPNch_zhBKqdv8u_9pGQRyYp/view?usp=drivesdk","6132_SISTHA PRATISTHA , A.MD , SE _ SERTIFIKAT BerAKHLAK")</f>
        <v>6132_SISTHA PRATISTHA , A.MD , SE _ SERTIFIKAT BerAKHLAK</v>
      </c>
      <c r="P6133" s="5" t="s">
        <v>39897</v>
      </c>
    </row>
    <row r="6134">
      <c r="A6134" s="4">
        <v>45534.366319374996</v>
      </c>
      <c r="B6134" s="5" t="s">
        <v>34</v>
      </c>
      <c r="D6134" s="5" t="s">
        <v>522</v>
      </c>
      <c r="E6134" s="5" t="s">
        <v>39913</v>
      </c>
      <c r="F6134" s="5" t="s">
        <v>212</v>
      </c>
      <c r="G6134" s="5" t="s">
        <v>39914</v>
      </c>
      <c r="H6134" s="6" t="s">
        <v>39915</v>
      </c>
      <c r="K6134" s="5" t="s">
        <v>39916</v>
      </c>
      <c r="M6134" s="5" t="s">
        <v>39917</v>
      </c>
      <c r="N6134" s="7" t="s">
        <v>39918</v>
      </c>
      <c r="O6134" s="8" t="str">
        <f>HYPERLINK("https://drive.google.com/file/d/147G_y-IQD98q2CFNe3knkULn3Qobcue5/view?usp=drivesdk","6133_SITTI RUGAYAH _ SERTIFIKAT BerAKHLAK")</f>
        <v>6133_SITTI RUGAYAH _ SERTIFIKAT BerAKHLAK</v>
      </c>
      <c r="P6134" s="5" t="s">
        <v>39897</v>
      </c>
    </row>
    <row r="6135">
      <c r="A6135" s="4">
        <v>45534.36634141204</v>
      </c>
      <c r="B6135" s="5" t="s">
        <v>34</v>
      </c>
      <c r="D6135" s="5" t="s">
        <v>1206</v>
      </c>
      <c r="E6135" s="5" t="s">
        <v>39919</v>
      </c>
      <c r="F6135" s="5" t="s">
        <v>37</v>
      </c>
      <c r="G6135" s="5" t="s">
        <v>39920</v>
      </c>
      <c r="H6135" s="6" t="s">
        <v>39921</v>
      </c>
      <c r="K6135" s="5" t="s">
        <v>39916</v>
      </c>
      <c r="M6135" s="5" t="s">
        <v>39922</v>
      </c>
      <c r="N6135" s="7" t="s">
        <v>39923</v>
      </c>
      <c r="O6135" s="8" t="str">
        <f>HYPERLINK("https://drive.google.com/file/d/1Y85g_KOanJqQC5k_g6H-O5_BAEHC1Sp4/view?usp=drivesdk","6134_SUWONDO _ SERTIFIKAT BerAKHLAK")</f>
        <v>6134_SUWONDO _ SERTIFIKAT BerAKHLAK</v>
      </c>
      <c r="P6135" s="5" t="s">
        <v>39924</v>
      </c>
    </row>
    <row r="6136">
      <c r="A6136" s="4">
        <v>45534.366359444444</v>
      </c>
      <c r="B6136" s="5" t="s">
        <v>34</v>
      </c>
      <c r="D6136" s="5" t="s">
        <v>1206</v>
      </c>
      <c r="E6136" s="5" t="s">
        <v>39925</v>
      </c>
      <c r="F6136" s="5" t="s">
        <v>37</v>
      </c>
      <c r="G6136" s="5" t="s">
        <v>39926</v>
      </c>
      <c r="H6136" s="6" t="s">
        <v>39927</v>
      </c>
      <c r="K6136" s="5" t="s">
        <v>39916</v>
      </c>
      <c r="M6136" s="5" t="s">
        <v>39928</v>
      </c>
      <c r="N6136" s="7" t="s">
        <v>39929</v>
      </c>
      <c r="O6136" s="8" t="str">
        <f>HYPERLINK("https://drive.google.com/file/d/15zX51MpqEsz6QCkjHHaKTNqzbduCeiQz/view?usp=drivesdk","6135_DIDIK BOEDI SANTOSO  _ SERTIFIKAT BerAKHLAK")</f>
        <v>6135_DIDIK BOEDI SANTOSO  _ SERTIFIKAT BerAKHLAK</v>
      </c>
      <c r="P6136" s="5" t="s">
        <v>39924</v>
      </c>
    </row>
    <row r="6137">
      <c r="A6137" s="4">
        <v>45534.36636342593</v>
      </c>
      <c r="B6137" s="5" t="s">
        <v>34</v>
      </c>
      <c r="D6137" s="5" t="s">
        <v>267</v>
      </c>
      <c r="E6137" s="5" t="s">
        <v>39930</v>
      </c>
      <c r="F6137" s="5" t="s">
        <v>108</v>
      </c>
      <c r="G6137" s="5" t="s">
        <v>39931</v>
      </c>
      <c r="H6137" s="6" t="s">
        <v>39932</v>
      </c>
      <c r="K6137" s="5" t="s">
        <v>39916</v>
      </c>
      <c r="M6137" s="5" t="s">
        <v>39933</v>
      </c>
      <c r="N6137" s="7" t="s">
        <v>39934</v>
      </c>
      <c r="O6137" s="8" t="str">
        <f>HYPERLINK("https://drive.google.com/file/d/15ALx4tE0TOMf2zTogt4clhhpSotKtOZn/view?usp=drivesdk","6136_BUDI SANTOSO, S.KOM., M.I.KOM _ SERTIFIKAT BerAKHLAK")</f>
        <v>6136_BUDI SANTOSO, S.KOM., M.I.KOM _ SERTIFIKAT BerAKHLAK</v>
      </c>
      <c r="P6137" s="5" t="s">
        <v>39924</v>
      </c>
    </row>
    <row r="6138">
      <c r="A6138" s="4">
        <v>45534.366410347226</v>
      </c>
      <c r="B6138" s="5" t="s">
        <v>34</v>
      </c>
      <c r="D6138" s="5" t="s">
        <v>35</v>
      </c>
      <c r="E6138" s="5" t="s">
        <v>39935</v>
      </c>
      <c r="F6138" s="5" t="s">
        <v>212</v>
      </c>
      <c r="G6138" s="5" t="s">
        <v>39936</v>
      </c>
      <c r="H6138" s="6" t="s">
        <v>39937</v>
      </c>
      <c r="I6138" s="7" t="s">
        <v>39938</v>
      </c>
      <c r="J6138" s="8" t="str">
        <f>HYPERLINK("https://drive.google.com/file/d/1u1Ll6qUYZ12OlYjD7MzzEq-EmNkul15C/view?usp=drivesdk","MURTONO SERTIFIKAT BerAKHLAK")</f>
        <v>MURTONO SERTIFIKAT BerAKHLAK</v>
      </c>
      <c r="K6138" s="5" t="s">
        <v>39386</v>
      </c>
      <c r="L6138" s="5" t="s">
        <v>39939</v>
      </c>
      <c r="M6138" s="5" t="s">
        <v>39940</v>
      </c>
      <c r="N6138" s="7" t="s">
        <v>39941</v>
      </c>
      <c r="O6138" s="8" t="str">
        <f>HYPERLINK("https://drive.google.com/file/d/1JE5nzsPBPRhITLwuKLzfyS0JMmvLZvXa/view?usp=drivesdk","6137_MURTONO _ SERTIFIKAT BerAKHLAK")</f>
        <v>6137_MURTONO _ SERTIFIKAT BerAKHLAK</v>
      </c>
      <c r="P6138" s="5" t="s">
        <v>39924</v>
      </c>
    </row>
    <row r="6139">
      <c r="A6139" s="4">
        <v>45534.366413634256</v>
      </c>
      <c r="B6139" s="5" t="s">
        <v>34</v>
      </c>
      <c r="D6139" s="5" t="s">
        <v>9020</v>
      </c>
      <c r="E6139" s="5" t="s">
        <v>39942</v>
      </c>
      <c r="F6139" s="5" t="s">
        <v>108</v>
      </c>
      <c r="G6139" s="5" t="s">
        <v>39943</v>
      </c>
      <c r="H6139" s="6" t="s">
        <v>39944</v>
      </c>
      <c r="I6139" s="7" t="s">
        <v>39945</v>
      </c>
      <c r="J6139" s="8" t="str">
        <f>HYPERLINK("https://drive.google.com/file/d/1O3Aon-JO2K_aGrwy8x2wOIBFuAuSmcDp/view?usp=drivesdk","RIDA YANI SERTIFIKAT BerAKHLAK")</f>
        <v>RIDA YANI SERTIFIKAT BerAKHLAK</v>
      </c>
      <c r="K6139" s="5" t="s">
        <v>39946</v>
      </c>
      <c r="L6139" s="5" t="s">
        <v>39947</v>
      </c>
      <c r="M6139" s="5" t="s">
        <v>39948</v>
      </c>
      <c r="N6139" s="7" t="s">
        <v>39949</v>
      </c>
      <c r="O6139" s="8" t="str">
        <f>HYPERLINK("https://drive.google.com/file/d/1eBHRBJVwZCPsyQ6_dJde7zUtJ6A5hal_/view?usp=drivesdk","6138_RIDA YANI _ SERTIFIKAT BerAKHLAK")</f>
        <v>6138_RIDA YANI _ SERTIFIKAT BerAKHLAK</v>
      </c>
      <c r="P6139" s="5" t="s">
        <v>39924</v>
      </c>
    </row>
    <row r="6140">
      <c r="A6140" s="4">
        <v>45534.36642346065</v>
      </c>
      <c r="B6140" s="5" t="s">
        <v>34</v>
      </c>
      <c r="D6140" s="5" t="s">
        <v>1206</v>
      </c>
      <c r="E6140" s="5" t="s">
        <v>39950</v>
      </c>
      <c r="F6140" s="5" t="s">
        <v>37</v>
      </c>
      <c r="G6140" s="5" t="s">
        <v>39951</v>
      </c>
      <c r="H6140" s="6" t="s">
        <v>39952</v>
      </c>
      <c r="I6140" s="7" t="s">
        <v>39953</v>
      </c>
      <c r="J6140" s="8" t="str">
        <f>HYPERLINK("https://drive.google.com/file/d/1lvW22-OjrdUlFLUN7F4FSk_OxqbAc3vi/view?usp=drivesdk","SUHARTITIS SERTIFIKAT BerAKHLAK")</f>
        <v>SUHARTITIS SERTIFIKAT BerAKHLAK</v>
      </c>
      <c r="K6140" s="5" t="s">
        <v>39946</v>
      </c>
      <c r="L6140" s="5" t="s">
        <v>39954</v>
      </c>
      <c r="M6140" s="5" t="s">
        <v>39955</v>
      </c>
      <c r="N6140" s="7" t="s">
        <v>39956</v>
      </c>
      <c r="O6140" s="8" t="str">
        <f>HYPERLINK("https://drive.google.com/file/d/1QUAmD6izIRmmFSpQKRn5Jp5luDZYs9OZ/view?usp=drivesdk","6139_SUHARTITIS _ SERTIFIKAT BerAKHLAK")</f>
        <v>6139_SUHARTITIS _ SERTIFIKAT BerAKHLAK</v>
      </c>
      <c r="P6140" s="5" t="s">
        <v>39957</v>
      </c>
    </row>
    <row r="6141">
      <c r="A6141" s="4">
        <v>45534.366446053245</v>
      </c>
      <c r="B6141" s="5" t="s">
        <v>34</v>
      </c>
      <c r="D6141" s="5" t="s">
        <v>1206</v>
      </c>
      <c r="E6141" s="5" t="s">
        <v>39958</v>
      </c>
      <c r="F6141" s="5" t="s">
        <v>37</v>
      </c>
      <c r="G6141" s="5" t="s">
        <v>39959</v>
      </c>
      <c r="H6141" s="6" t="s">
        <v>39960</v>
      </c>
      <c r="I6141" s="7" t="s">
        <v>39961</v>
      </c>
      <c r="J6141" s="8" t="str">
        <f>HYPERLINK("https://drive.google.com/file/d/1VCdDtkCO87CKX_XX5kKiBmmDZdHQyLhH/view?usp=drivesdk","AGUS FAJAR RAHMAT  SERTIFIKAT BerAKHLAK")</f>
        <v>AGUS FAJAR RAHMAT  SERTIFIKAT BerAKHLAK</v>
      </c>
      <c r="K6141" s="5" t="s">
        <v>39386</v>
      </c>
      <c r="L6141" s="5" t="s">
        <v>39962</v>
      </c>
      <c r="M6141" s="5" t="s">
        <v>39963</v>
      </c>
      <c r="N6141" s="7" t="s">
        <v>39964</v>
      </c>
      <c r="O6141" s="8" t="str">
        <f>HYPERLINK("https://drive.google.com/file/d/1gdUK_7HhuaeN97QbeOz80U17qkhEKTYJ/view?usp=drivesdk","6140_AGUS FAJAR RAHMAT  _ SERTIFIKAT BerAKHLAK")</f>
        <v>6140_AGUS FAJAR RAHMAT  _ SERTIFIKAT BerAKHLAK</v>
      </c>
      <c r="P6141" s="5" t="s">
        <v>39957</v>
      </c>
    </row>
    <row r="6142" hidden="1">
      <c r="A6142" s="4">
        <v>45534.36646456018</v>
      </c>
      <c r="B6142" s="5" t="s">
        <v>19</v>
      </c>
      <c r="C6142" s="5" t="s">
        <v>292</v>
      </c>
      <c r="E6142" s="5" t="s">
        <v>39965</v>
      </c>
      <c r="F6142" s="5" t="s">
        <v>120</v>
      </c>
      <c r="G6142" s="5" t="s">
        <v>39966</v>
      </c>
      <c r="H6142" s="6" t="s">
        <v>39967</v>
      </c>
      <c r="I6142" s="7" t="s">
        <v>39968</v>
      </c>
      <c r="J6142" s="8" t="str">
        <f>HYPERLINK("https://drive.google.com/file/d/10GLJB53WySVHnpiGP07g0Ee2g7tcCDqS/view?usp=drivesdk","ATIA, SE SERTIFIKAT BerAKHLAK")</f>
        <v>ATIA, SE SERTIFIKAT BerAKHLAK</v>
      </c>
      <c r="K6142" s="5" t="s">
        <v>39946</v>
      </c>
      <c r="L6142" s="5" t="s">
        <v>39969</v>
      </c>
      <c r="M6142" s="5" t="s">
        <v>39970</v>
      </c>
      <c r="N6142" s="7" t="s">
        <v>39971</v>
      </c>
      <c r="O6142" s="8" t="str">
        <f>HYPERLINK("https://drive.google.com/file/d/1E7jaKF2m6z5s4uezdM8kK395rxBLjq9x/view?usp=drivesdk","6141_ATIA, SE _ SERTIFIKAT BerAKHLAK")</f>
        <v>6141_ATIA, SE _ SERTIFIKAT BerAKHLAK</v>
      </c>
      <c r="P6142" s="5" t="s">
        <v>39957</v>
      </c>
    </row>
    <row r="6143">
      <c r="A6143" s="4">
        <v>45534.36647005787</v>
      </c>
      <c r="B6143" s="5" t="s">
        <v>34</v>
      </c>
      <c r="D6143" s="5" t="s">
        <v>12978</v>
      </c>
      <c r="E6143" s="5" t="s">
        <v>39972</v>
      </c>
      <c r="F6143" s="5" t="s">
        <v>212</v>
      </c>
      <c r="G6143" s="5" t="s">
        <v>39973</v>
      </c>
      <c r="H6143" s="6" t="s">
        <v>39974</v>
      </c>
      <c r="I6143" s="7" t="s">
        <v>39975</v>
      </c>
      <c r="J6143" s="8" t="str">
        <f>HYPERLINK("https://drive.google.com/file/d/1jMyntn8uSvlbZRCidvDtG5_tj4NlIFob/view?usp=drivesdk","RUBIYAH SERTIFIKAT BerAKHLAK")</f>
        <v>RUBIYAH SERTIFIKAT BerAKHLAK</v>
      </c>
      <c r="K6143" s="5" t="s">
        <v>39946</v>
      </c>
      <c r="L6143" s="5" t="s">
        <v>39976</v>
      </c>
      <c r="M6143" s="5" t="s">
        <v>39977</v>
      </c>
      <c r="N6143" s="7" t="s">
        <v>39978</v>
      </c>
      <c r="O6143" s="8" t="str">
        <f>HYPERLINK("https://drive.google.com/file/d/1MSuWIcYGjGA7KRLlOIqiZAuyik5rRVTE/view?usp=drivesdk","6142_RUBIYAH _ SERTIFIKAT BerAKHLAK")</f>
        <v>6142_RUBIYAH _ SERTIFIKAT BerAKHLAK</v>
      </c>
      <c r="P6143" s="5" t="s">
        <v>39957</v>
      </c>
    </row>
    <row r="6144">
      <c r="A6144" s="4">
        <v>45534.3664827662</v>
      </c>
      <c r="B6144" s="5" t="s">
        <v>34</v>
      </c>
      <c r="D6144" s="5" t="s">
        <v>4775</v>
      </c>
      <c r="E6144" s="5" t="s">
        <v>39979</v>
      </c>
      <c r="F6144" s="5" t="s">
        <v>108</v>
      </c>
      <c r="G6144" s="5" t="s">
        <v>39980</v>
      </c>
      <c r="H6144" s="6" t="s">
        <v>39981</v>
      </c>
      <c r="K6144" s="5" t="s">
        <v>39982</v>
      </c>
      <c r="M6144" s="5" t="s">
        <v>39983</v>
      </c>
      <c r="N6144" s="7" t="s">
        <v>39984</v>
      </c>
      <c r="O6144" s="8" t="str">
        <f>HYPERLINK("https://drive.google.com/file/d/171IGNdpFbW78EFHJ2tDjrz3g3Yiw1oFH/view?usp=drivesdk","6143_ARUS KUSTYAWATI, S.E. _ SERTIFIKAT BerAKHLAK")</f>
        <v>6143_ARUS KUSTYAWATI, S.E. _ SERTIFIKAT BerAKHLAK</v>
      </c>
      <c r="P6144" s="5" t="s">
        <v>39957</v>
      </c>
    </row>
    <row r="6145">
      <c r="A6145" s="4">
        <v>45534.366486643514</v>
      </c>
      <c r="B6145" s="5" t="s">
        <v>34</v>
      </c>
      <c r="D6145" s="5" t="s">
        <v>10444</v>
      </c>
      <c r="E6145" s="5" t="s">
        <v>39985</v>
      </c>
      <c r="F6145" s="5" t="s">
        <v>37</v>
      </c>
      <c r="G6145" s="5" t="s">
        <v>39986</v>
      </c>
      <c r="H6145" s="6" t="s">
        <v>39987</v>
      </c>
      <c r="K6145" s="5" t="s">
        <v>39982</v>
      </c>
      <c r="M6145" s="5" t="s">
        <v>39988</v>
      </c>
      <c r="N6145" s="7" t="s">
        <v>39989</v>
      </c>
      <c r="O6145" s="8" t="str">
        <f>HYPERLINK("https://drive.google.com/file/d/1xHJ76XO3OnbpqgOS9OfTzZOSfaLIdoyr/view?usp=drivesdk","6144_UNTUNG WAGIANTO _ SERTIFIKAT BerAKHLAK")</f>
        <v>6144_UNTUNG WAGIANTO _ SERTIFIKAT BerAKHLAK</v>
      </c>
      <c r="P6145" s="5" t="s">
        <v>39990</v>
      </c>
    </row>
    <row r="6146">
      <c r="A6146" s="4">
        <v>45534.366492789355</v>
      </c>
      <c r="B6146" s="5" t="s">
        <v>34</v>
      </c>
      <c r="D6146" s="5" t="s">
        <v>12978</v>
      </c>
      <c r="E6146" s="5" t="s">
        <v>39991</v>
      </c>
      <c r="F6146" s="5" t="s">
        <v>212</v>
      </c>
      <c r="G6146" s="5" t="s">
        <v>39992</v>
      </c>
      <c r="H6146" s="6" t="s">
        <v>39993</v>
      </c>
      <c r="I6146" s="7" t="s">
        <v>39994</v>
      </c>
      <c r="J6146" s="8" t="str">
        <f>HYPERLINK("https://drive.google.com/file/d/1rB1RNrNu8XRQOGWs0oQXwK7Ai8dM6Xgr/view?usp=drivesdk","WINARNI SERTIFIKAT BerAKHLAK")</f>
        <v>WINARNI SERTIFIKAT BerAKHLAK</v>
      </c>
      <c r="K6146" s="5" t="s">
        <v>39946</v>
      </c>
      <c r="L6146" s="5" t="s">
        <v>39995</v>
      </c>
      <c r="M6146" s="5" t="s">
        <v>39996</v>
      </c>
      <c r="N6146" s="7" t="s">
        <v>39997</v>
      </c>
      <c r="O6146" s="8" t="str">
        <f>HYPERLINK("https://drive.google.com/file/d/1NL13GEAv-7PZ9RGFazJmmzpUpfNF6qdB/view?usp=drivesdk","6145_WINARNI _ SERTIFIKAT BerAKHLAK")</f>
        <v>6145_WINARNI _ SERTIFIKAT BerAKHLAK</v>
      </c>
      <c r="P6146" s="5" t="s">
        <v>39990</v>
      </c>
    </row>
    <row r="6147">
      <c r="A6147" s="4">
        <v>45534.3664984375</v>
      </c>
      <c r="B6147" s="5" t="s">
        <v>34</v>
      </c>
      <c r="D6147" s="5" t="s">
        <v>4775</v>
      </c>
      <c r="E6147" s="5" t="s">
        <v>39998</v>
      </c>
      <c r="F6147" s="5" t="s">
        <v>375</v>
      </c>
      <c r="G6147" s="5" t="s">
        <v>39999</v>
      </c>
      <c r="H6147" s="6" t="s">
        <v>40000</v>
      </c>
      <c r="K6147" s="5" t="s">
        <v>40001</v>
      </c>
      <c r="M6147" s="5" t="s">
        <v>40002</v>
      </c>
      <c r="N6147" s="7" t="s">
        <v>40003</v>
      </c>
      <c r="O6147" s="8" t="str">
        <f>HYPERLINK("https://drive.google.com/file/d/1Dhc5-78JX1-W9QkNX0s1fNphubLn8PQR/view?usp=drivesdk","6146_TRI UTAMI  _ SERTIFIKAT BerAKHLAK")</f>
        <v>6146_TRI UTAMI  _ SERTIFIKAT BerAKHLAK</v>
      </c>
      <c r="P6147" s="5" t="s">
        <v>39990</v>
      </c>
    </row>
    <row r="6148">
      <c r="A6148" s="4">
        <v>45534.36652645833</v>
      </c>
      <c r="B6148" s="5" t="s">
        <v>34</v>
      </c>
      <c r="D6148" s="5" t="s">
        <v>1206</v>
      </c>
      <c r="E6148" s="5" t="s">
        <v>40004</v>
      </c>
      <c r="F6148" s="5" t="s">
        <v>37</v>
      </c>
      <c r="G6148" s="5" t="s">
        <v>40005</v>
      </c>
      <c r="H6148" s="6" t="s">
        <v>40006</v>
      </c>
      <c r="I6148" s="7" t="s">
        <v>40007</v>
      </c>
      <c r="J6148" s="8" t="str">
        <f>HYPERLINK("https://drive.google.com/file/d/1Cb4GipSTsttXr_bBPmIRX9fc8igwF3E9/view?usp=drivesdk","MUDJI KARTONO  SERTIFIKAT BerAKHLAK")</f>
        <v>MUDJI KARTONO  SERTIFIKAT BerAKHLAK</v>
      </c>
      <c r="K6148" s="5" t="s">
        <v>40008</v>
      </c>
      <c r="L6148" s="5" t="s">
        <v>40009</v>
      </c>
      <c r="M6148" s="5" t="s">
        <v>40010</v>
      </c>
      <c r="N6148" s="7" t="s">
        <v>40011</v>
      </c>
      <c r="O6148" s="8" t="str">
        <f>HYPERLINK("https://drive.google.com/file/d/1meERhYf8rhjEAej1tGHh4q_TCq2m_3jf/view?usp=drivesdk","6147_MUDJI KARTONO  _ SERTIFIKAT BerAKHLAK")</f>
        <v>6147_MUDJI KARTONO  _ SERTIFIKAT BerAKHLAK</v>
      </c>
      <c r="P6148" s="5" t="s">
        <v>39990</v>
      </c>
    </row>
    <row r="6149">
      <c r="A6149" s="4">
        <v>45534.36659006945</v>
      </c>
      <c r="B6149" s="5" t="s">
        <v>34</v>
      </c>
      <c r="D6149" s="5" t="s">
        <v>1558</v>
      </c>
      <c r="E6149" s="5" t="s">
        <v>40012</v>
      </c>
      <c r="F6149" s="5" t="s">
        <v>212</v>
      </c>
      <c r="G6149" s="5" t="s">
        <v>40013</v>
      </c>
      <c r="H6149" s="6" t="s">
        <v>40014</v>
      </c>
      <c r="I6149" s="7" t="s">
        <v>40015</v>
      </c>
      <c r="J6149" s="8" t="str">
        <f>HYPERLINK("https://drive.google.com/file/d/1MRDPgqj6hSjCL2Kf0GoTVhTERu34D_HY/view?usp=drivesdk","DESSY NATALIA, SE SERTIFIKAT BerAKHLAK")</f>
        <v>DESSY NATALIA, SE SERTIFIKAT BerAKHLAK</v>
      </c>
      <c r="K6149" s="5" t="s">
        <v>39946</v>
      </c>
      <c r="L6149" s="5" t="s">
        <v>40016</v>
      </c>
      <c r="M6149" s="5" t="s">
        <v>40017</v>
      </c>
      <c r="N6149" s="7" t="s">
        <v>40018</v>
      </c>
      <c r="O6149" s="8" t="str">
        <f>HYPERLINK("https://drive.google.com/file/d/1kJfxj0NwFEaHtVUHVUpFafgzBBSk-Ts-/view?usp=drivesdk","6148_DESSY NATALIA, SE _ SERTIFIKAT BerAKHLAK")</f>
        <v>6148_DESSY NATALIA, SE _ SERTIFIKAT BerAKHLAK</v>
      </c>
      <c r="P6149" s="5" t="s">
        <v>40019</v>
      </c>
    </row>
    <row r="6150">
      <c r="A6150" s="4">
        <v>45534.36660231481</v>
      </c>
      <c r="B6150" s="5" t="s">
        <v>34</v>
      </c>
      <c r="D6150" s="5" t="s">
        <v>1692</v>
      </c>
      <c r="E6150" s="5" t="s">
        <v>40020</v>
      </c>
      <c r="F6150" s="5" t="s">
        <v>72</v>
      </c>
      <c r="G6150" s="5" t="s">
        <v>40021</v>
      </c>
      <c r="H6150" s="6" t="s">
        <v>40022</v>
      </c>
      <c r="I6150" s="7" t="s">
        <v>40023</v>
      </c>
      <c r="J6150" s="8" t="str">
        <f>HYPERLINK("https://drive.google.com/file/d/1PT-Ep83DUVMcHwgT2_owA88Uz1mT4FUy/view?usp=drivesdk","FITRIANI, S.H SERTIFIKAT BerAKHLAK")</f>
        <v>FITRIANI, S.H SERTIFIKAT BerAKHLAK</v>
      </c>
      <c r="K6150" s="5" t="s">
        <v>39946</v>
      </c>
      <c r="L6150" s="5" t="s">
        <v>40024</v>
      </c>
      <c r="M6150" s="5" t="s">
        <v>40025</v>
      </c>
      <c r="N6150" s="7" t="s">
        <v>40026</v>
      </c>
      <c r="O6150" s="8" t="str">
        <f>HYPERLINK("https://drive.google.com/file/d/1TatrUX2PS2klZLtLG5rY__2V9dMFmLya/view?usp=drivesdk","6149_FITRIANI, S.H _ SERTIFIKAT BerAKHLAK")</f>
        <v>6149_FITRIANI, S.H _ SERTIFIKAT BerAKHLAK</v>
      </c>
      <c r="P6150" s="5" t="s">
        <v>40019</v>
      </c>
    </row>
    <row r="6151">
      <c r="A6151" s="4">
        <v>45534.366605324074</v>
      </c>
      <c r="B6151" s="5" t="s">
        <v>34</v>
      </c>
      <c r="D6151" s="5" t="s">
        <v>9394</v>
      </c>
      <c r="E6151" s="5" t="s">
        <v>40027</v>
      </c>
      <c r="F6151" s="5" t="s">
        <v>375</v>
      </c>
      <c r="G6151" s="5" t="s">
        <v>40028</v>
      </c>
      <c r="H6151" s="6" t="s">
        <v>40029</v>
      </c>
      <c r="I6151" s="7" t="s">
        <v>40030</v>
      </c>
      <c r="J6151" s="8" t="str">
        <f>HYPERLINK("https://drive.google.com/file/d/1gRTA6Pkxh82W3cAi8kpxjcnDjrnGeW56/view?usp=drivesdk","MASNONA SERTIFIKAT BerAKHLAK")</f>
        <v>MASNONA SERTIFIKAT BerAKHLAK</v>
      </c>
      <c r="K6151" s="5" t="s">
        <v>39946</v>
      </c>
      <c r="L6151" s="5" t="s">
        <v>40031</v>
      </c>
      <c r="M6151" s="5" t="s">
        <v>40032</v>
      </c>
      <c r="N6151" s="7" t="s">
        <v>40033</v>
      </c>
      <c r="O6151" s="8" t="str">
        <f>HYPERLINK("https://drive.google.com/file/d/1R502NknMXbh3tHF4jMoA_oNuK1J1tyFY/view?usp=drivesdk","6150_MASNONA _ SERTIFIKAT BerAKHLAK")</f>
        <v>6150_MASNONA _ SERTIFIKAT BerAKHLAK</v>
      </c>
      <c r="P6151" s="5" t="s">
        <v>40019</v>
      </c>
    </row>
    <row r="6152">
      <c r="A6152" s="4">
        <v>45534.36660533564</v>
      </c>
      <c r="B6152" s="5" t="s">
        <v>34</v>
      </c>
      <c r="D6152" s="5" t="s">
        <v>3432</v>
      </c>
      <c r="E6152" s="5" t="s">
        <v>40034</v>
      </c>
      <c r="F6152" s="5" t="s">
        <v>108</v>
      </c>
      <c r="G6152" s="5" t="s">
        <v>40035</v>
      </c>
      <c r="H6152" s="6" t="s">
        <v>40036</v>
      </c>
      <c r="K6152" s="5" t="s">
        <v>40037</v>
      </c>
      <c r="M6152" s="5" t="s">
        <v>40038</v>
      </c>
      <c r="N6152" s="7" t="s">
        <v>40039</v>
      </c>
      <c r="O6152" s="8" t="str">
        <f>HYPERLINK("https://drive.google.com/file/d/1TncbS-9-5vrvoDNRUNpsiSTvv_1s199w/view?usp=drivesdk","6151_APT. TRISNO SAPUTRA, S.FARM. _ SERTIFIKAT BerAKHLAK")</f>
        <v>6151_APT. TRISNO SAPUTRA, S.FARM. _ SERTIFIKAT BerAKHLAK</v>
      </c>
      <c r="P6152" s="5" t="s">
        <v>40019</v>
      </c>
    </row>
    <row r="6153">
      <c r="A6153" s="4">
        <v>45534.366612962964</v>
      </c>
      <c r="B6153" s="5" t="s">
        <v>34</v>
      </c>
      <c r="D6153" s="5" t="s">
        <v>1206</v>
      </c>
      <c r="E6153" s="5" t="s">
        <v>40040</v>
      </c>
      <c r="F6153" s="5" t="s">
        <v>212</v>
      </c>
      <c r="G6153" s="5" t="s">
        <v>40041</v>
      </c>
      <c r="H6153" s="6" t="s">
        <v>40042</v>
      </c>
      <c r="K6153" s="5" t="s">
        <v>40037</v>
      </c>
      <c r="M6153" s="5" t="s">
        <v>40043</v>
      </c>
      <c r="N6153" s="7" t="s">
        <v>40044</v>
      </c>
      <c r="O6153" s="8" t="str">
        <f>HYPERLINK("https://drive.google.com/file/d/1aSPNOWZzuwclCLedLTvH8pd8MqGVhWtc/view?usp=drivesdk","6152_PURWATI  _ SERTIFIKAT BerAKHLAK")</f>
        <v>6152_PURWATI  _ SERTIFIKAT BerAKHLAK</v>
      </c>
      <c r="P6153" s="5" t="s">
        <v>40045</v>
      </c>
    </row>
    <row r="6154">
      <c r="A6154" s="4">
        <v>45534.36662707176</v>
      </c>
      <c r="B6154" s="5" t="s">
        <v>34</v>
      </c>
      <c r="D6154" s="5" t="s">
        <v>6232</v>
      </c>
      <c r="E6154" s="5" t="s">
        <v>40046</v>
      </c>
      <c r="F6154" s="5" t="s">
        <v>375</v>
      </c>
      <c r="G6154" s="5" t="s">
        <v>40047</v>
      </c>
      <c r="H6154" s="6" t="s">
        <v>40048</v>
      </c>
      <c r="K6154" s="5" t="s">
        <v>40037</v>
      </c>
      <c r="M6154" s="5" t="s">
        <v>40049</v>
      </c>
      <c r="N6154" s="7" t="s">
        <v>40050</v>
      </c>
      <c r="O6154" s="8" t="str">
        <f>HYPERLINK("https://drive.google.com/file/d/10o8rAp4S7nHmkt0h2kpej_kjsIChEH-4/view?usp=drivesdk","6153_Eliyah,S,Ag,MH _ SERTIFIKAT BerAKHLAK")</f>
        <v>6153_Eliyah,S,Ag,MH _ SERTIFIKAT BerAKHLAK</v>
      </c>
      <c r="P6154" s="5" t="s">
        <v>40045</v>
      </c>
    </row>
    <row r="6155">
      <c r="A6155" s="4">
        <v>45534.366666851856</v>
      </c>
      <c r="B6155" s="5" t="s">
        <v>34</v>
      </c>
      <c r="D6155" s="5" t="s">
        <v>10297</v>
      </c>
      <c r="E6155" s="5" t="s">
        <v>40051</v>
      </c>
      <c r="F6155" s="5" t="s">
        <v>524</v>
      </c>
      <c r="G6155" s="5" t="s">
        <v>40052</v>
      </c>
      <c r="H6155" s="6" t="s">
        <v>40053</v>
      </c>
      <c r="I6155" s="7" t="s">
        <v>40054</v>
      </c>
      <c r="J6155" s="8" t="str">
        <f>HYPERLINK("https://drive.google.com/file/d/1BQc6dcoLnNhaaZXp510ga18VgRY3Dspz/view?usp=drivesdk","NOVI DERMA SYAWAL, S.E. SERTIFIKAT BerAKHLAK")</f>
        <v>NOVI DERMA SYAWAL, S.E. SERTIFIKAT BerAKHLAK</v>
      </c>
      <c r="K6155" s="5" t="s">
        <v>39946</v>
      </c>
      <c r="L6155" s="5" t="s">
        <v>40055</v>
      </c>
      <c r="M6155" s="5" t="s">
        <v>40056</v>
      </c>
      <c r="N6155" s="7" t="s">
        <v>40057</v>
      </c>
      <c r="O6155" s="8" t="str">
        <f>HYPERLINK("https://drive.google.com/file/d/13_oAn5WAgro_bMLv21XsmqQlWD7CQTDG/view?usp=drivesdk","6154_NOVI DERMA SYAWAL, S.E. _ SERTIFIKAT BerAKHLAK")</f>
        <v>6154_NOVI DERMA SYAWAL, S.E. _ SERTIFIKAT BerAKHLAK</v>
      </c>
      <c r="P6155" s="5" t="s">
        <v>40045</v>
      </c>
    </row>
    <row r="6156">
      <c r="A6156" s="4">
        <v>45534.36668349537</v>
      </c>
      <c r="B6156" s="5" t="s">
        <v>34</v>
      </c>
      <c r="D6156" s="5" t="s">
        <v>1206</v>
      </c>
      <c r="E6156" s="5" t="s">
        <v>40058</v>
      </c>
      <c r="F6156" s="5" t="s">
        <v>37</v>
      </c>
      <c r="G6156" s="5" t="s">
        <v>40059</v>
      </c>
      <c r="H6156" s="6" t="s">
        <v>40060</v>
      </c>
      <c r="I6156" s="7" t="s">
        <v>40061</v>
      </c>
      <c r="J6156" s="8" t="str">
        <f>HYPERLINK("https://drive.google.com/file/d/1DVWLm9ciWCXIG6LR7ho1_dFkEsRzeygu/view?usp=drivesdk","SISWANTO., SE SERTIFIKAT BerAKHLAK")</f>
        <v>SISWANTO., SE SERTIFIKAT BerAKHLAK</v>
      </c>
      <c r="K6156" s="5" t="s">
        <v>39946</v>
      </c>
      <c r="L6156" s="5" t="s">
        <v>40062</v>
      </c>
      <c r="M6156" s="5" t="s">
        <v>40063</v>
      </c>
      <c r="N6156" s="7" t="s">
        <v>40064</v>
      </c>
      <c r="O6156" s="8" t="str">
        <f>HYPERLINK("https://drive.google.com/file/d/11zqTcFHyM2rqWkTC3fxRTnmsEe0ccRHD/view?usp=drivesdk","6155_SISWANTO., SE _ SERTIFIKAT BerAKHLAK")</f>
        <v>6155_SISWANTO., SE _ SERTIFIKAT BerAKHLAK</v>
      </c>
      <c r="P6156" s="5" t="s">
        <v>40065</v>
      </c>
    </row>
    <row r="6157">
      <c r="A6157" s="4">
        <v>45534.366697314814</v>
      </c>
      <c r="B6157" s="5" t="s">
        <v>34</v>
      </c>
      <c r="D6157" s="5" t="s">
        <v>9394</v>
      </c>
      <c r="E6157" s="5" t="s">
        <v>40066</v>
      </c>
      <c r="F6157" s="5" t="s">
        <v>72</v>
      </c>
      <c r="G6157" s="5" t="s">
        <v>40067</v>
      </c>
      <c r="H6157" s="6" t="s">
        <v>40068</v>
      </c>
      <c r="I6157" s="7" t="s">
        <v>40069</v>
      </c>
      <c r="J6157" s="8" t="str">
        <f>HYPERLINK("https://drive.google.com/file/d/1fM2N8-ehh3F3480xvvbDYQYoXfX-EpL7/view?usp=drivesdk","dr MAGDALENA HARAHAP  SERTIFIKAT BerAKHLAK")</f>
        <v>dr MAGDALENA HARAHAP  SERTIFIKAT BerAKHLAK</v>
      </c>
      <c r="K6157" s="5" t="s">
        <v>39946</v>
      </c>
      <c r="L6157" s="5" t="s">
        <v>40070</v>
      </c>
      <c r="M6157" s="5" t="s">
        <v>40071</v>
      </c>
      <c r="N6157" s="7" t="s">
        <v>40072</v>
      </c>
      <c r="O6157" s="8" t="str">
        <f>HYPERLINK("https://drive.google.com/file/d/1d8ygs7o_liCirmr5Kfi4q-3q5xlyqFd2/view?usp=drivesdk","6156_dr MAGDALENA HARAHAP  _ SERTIFIKAT BerAKHLAK")</f>
        <v>6156_dr MAGDALENA HARAHAP  _ SERTIFIKAT BerAKHLAK</v>
      </c>
      <c r="P6157" s="5" t="s">
        <v>40065</v>
      </c>
    </row>
    <row r="6158">
      <c r="A6158" s="4">
        <v>45534.36670252315</v>
      </c>
      <c r="B6158" s="5" t="s">
        <v>34</v>
      </c>
      <c r="D6158" s="5" t="s">
        <v>1692</v>
      </c>
      <c r="E6158" s="5" t="s">
        <v>40073</v>
      </c>
      <c r="F6158" s="5" t="s">
        <v>524</v>
      </c>
      <c r="G6158" s="5" t="s">
        <v>40074</v>
      </c>
      <c r="H6158" s="6" t="s">
        <v>40075</v>
      </c>
      <c r="I6158" s="7" t="s">
        <v>40076</v>
      </c>
      <c r="J6158" s="8" t="str">
        <f>HYPERLINK("https://drive.google.com/file/d/1a8KBa-oCwJBPTOvsGIaByS0ht3ynGOpD/view?usp=drivesdk","DEASY KAYA SERTIFIKAT BerAKHLAK")</f>
        <v>DEASY KAYA SERTIFIKAT BerAKHLAK</v>
      </c>
      <c r="K6158" s="5" t="s">
        <v>40077</v>
      </c>
      <c r="L6158" s="5" t="s">
        <v>40078</v>
      </c>
      <c r="M6158" s="5" t="s">
        <v>40079</v>
      </c>
      <c r="N6158" s="7" t="s">
        <v>40080</v>
      </c>
      <c r="O6158" s="8" t="str">
        <f>HYPERLINK("https://drive.google.com/file/d/1QfdQOhuPCve0NldycKaOF_fq3paHHUQq/view?usp=drivesdk","6157_DEASY KAYA _ SERTIFIKAT BerAKHLAK")</f>
        <v>6157_DEASY KAYA _ SERTIFIKAT BerAKHLAK</v>
      </c>
      <c r="P6158" s="5" t="s">
        <v>40065</v>
      </c>
    </row>
    <row r="6159">
      <c r="A6159" s="4">
        <v>45534.366718460646</v>
      </c>
      <c r="B6159" s="5" t="s">
        <v>34</v>
      </c>
      <c r="D6159" s="5" t="s">
        <v>4775</v>
      </c>
      <c r="E6159" s="5" t="s">
        <v>40081</v>
      </c>
      <c r="F6159" s="5" t="s">
        <v>212</v>
      </c>
      <c r="G6159" s="5" t="s">
        <v>40082</v>
      </c>
      <c r="H6159" s="6" t="s">
        <v>40083</v>
      </c>
      <c r="I6159" s="7" t="s">
        <v>40084</v>
      </c>
      <c r="J6159" s="8" t="str">
        <f>HYPERLINK("https://drive.google.com/file/d/1lLDHPi_mvANliJKlZ0HXwAg7lUi68-NW/view?usp=drivesdk","SUPARDI  SERTIFIKAT BerAKHLAK")</f>
        <v>SUPARDI  SERTIFIKAT BerAKHLAK</v>
      </c>
      <c r="K6159" s="5" t="s">
        <v>39946</v>
      </c>
      <c r="L6159" s="5" t="s">
        <v>40085</v>
      </c>
      <c r="M6159" s="5" t="s">
        <v>40086</v>
      </c>
      <c r="N6159" s="7" t="s">
        <v>40087</v>
      </c>
      <c r="O6159" s="8" t="str">
        <f>HYPERLINK("https://drive.google.com/file/d/1hDAZbzYlaFUY-T1J9Q-PT4kyWWCzXpap/view?usp=drivesdk","6158_SUPARDI  _ SERTIFIKAT BerAKHLAK")</f>
        <v>6158_SUPARDI  _ SERTIFIKAT BerAKHLAK</v>
      </c>
      <c r="P6159" s="5" t="s">
        <v>40065</v>
      </c>
    </row>
    <row r="6160">
      <c r="A6160" s="4">
        <v>45534.36671912037</v>
      </c>
      <c r="B6160" s="5" t="s">
        <v>34</v>
      </c>
      <c r="D6160" s="5" t="s">
        <v>1206</v>
      </c>
      <c r="E6160" s="5" t="s">
        <v>40088</v>
      </c>
      <c r="F6160" s="5" t="s">
        <v>72</v>
      </c>
      <c r="G6160" s="5" t="s">
        <v>40089</v>
      </c>
      <c r="H6160" s="6" t="s">
        <v>40090</v>
      </c>
      <c r="I6160" s="7" t="s">
        <v>40091</v>
      </c>
      <c r="J6160" s="8" t="str">
        <f>HYPERLINK("https://drive.google.com/file/d/11WRmiJEKEKbdnRg97ySCEnpSlfqLCROP/view?usp=drivesdk","HERY DWI LAKSONO SERTIFIKAT BerAKHLAK")</f>
        <v>HERY DWI LAKSONO SERTIFIKAT BerAKHLAK</v>
      </c>
      <c r="K6160" s="5" t="s">
        <v>39946</v>
      </c>
      <c r="L6160" s="5" t="s">
        <v>40092</v>
      </c>
      <c r="M6160" s="5" t="s">
        <v>40093</v>
      </c>
      <c r="N6160" s="7" t="s">
        <v>40094</v>
      </c>
      <c r="O6160" s="8" t="str">
        <f>HYPERLINK("https://drive.google.com/file/d/1tuDxP1a8347W5W5XOeEd1uiZsvS0nLbg/view?usp=drivesdk","6159_HERY DWI LAKSONO _ SERTIFIKAT BerAKHLAK")</f>
        <v>6159_HERY DWI LAKSONO _ SERTIFIKAT BerAKHLAK</v>
      </c>
      <c r="P6160" s="5" t="s">
        <v>40095</v>
      </c>
    </row>
    <row r="6161">
      <c r="A6161" s="4">
        <v>45534.36672074074</v>
      </c>
      <c r="B6161" s="5" t="s">
        <v>34</v>
      </c>
      <c r="D6161" s="5" t="s">
        <v>1206</v>
      </c>
      <c r="E6161" s="5" t="s">
        <v>40096</v>
      </c>
      <c r="F6161" s="5" t="s">
        <v>212</v>
      </c>
      <c r="G6161" s="5" t="s">
        <v>40097</v>
      </c>
      <c r="H6161" s="6" t="s">
        <v>40098</v>
      </c>
      <c r="K6161" s="5" t="s">
        <v>40099</v>
      </c>
      <c r="M6161" s="5" t="s">
        <v>40100</v>
      </c>
      <c r="N6161" s="7" t="s">
        <v>40101</v>
      </c>
      <c r="O6161" s="8" t="str">
        <f>HYPERLINK("https://drive.google.com/file/d/1XDZMKO1pD3y-z-0gzGUo8XLnlS0mvgWY/view?usp=drivesdk","6160_YUNI ASTUTIK _ SERTIFIKAT BerAKHLAK")</f>
        <v>6160_YUNI ASTUTIK _ SERTIFIKAT BerAKHLAK</v>
      </c>
      <c r="P6161" s="5" t="s">
        <v>40095</v>
      </c>
    </row>
    <row r="6162">
      <c r="A6162" s="4">
        <v>45534.36672326388</v>
      </c>
      <c r="B6162" s="5" t="s">
        <v>34</v>
      </c>
      <c r="D6162" s="5" t="s">
        <v>267</v>
      </c>
      <c r="E6162" s="5" t="s">
        <v>40102</v>
      </c>
      <c r="F6162" s="5" t="s">
        <v>375</v>
      </c>
      <c r="G6162" s="5" t="s">
        <v>40103</v>
      </c>
      <c r="H6162" s="6" t="s">
        <v>40104</v>
      </c>
      <c r="K6162" s="5" t="s">
        <v>40099</v>
      </c>
      <c r="M6162" s="5" t="s">
        <v>40105</v>
      </c>
      <c r="N6162" s="7" t="s">
        <v>40106</v>
      </c>
      <c r="O6162" s="8" t="str">
        <f>HYPERLINK("https://drive.google.com/file/d/1gFIp1iT0Yd5QYE91IvvPSkeGBTiQ4jxQ/view?usp=drivesdk","6161_YUPITRA KUSUMA, S.Kom _ SERTIFIKAT BerAKHLAK")</f>
        <v>6161_YUPITRA KUSUMA, S.Kom _ SERTIFIKAT BerAKHLAK</v>
      </c>
      <c r="P6162" s="5" t="s">
        <v>40095</v>
      </c>
    </row>
    <row r="6163" hidden="1">
      <c r="A6163" s="4">
        <v>45534.366729560184</v>
      </c>
      <c r="B6163" s="5" t="s">
        <v>19</v>
      </c>
      <c r="C6163" s="5" t="s">
        <v>442</v>
      </c>
      <c r="E6163" s="5" t="s">
        <v>40107</v>
      </c>
      <c r="F6163" s="5" t="s">
        <v>375</v>
      </c>
      <c r="G6163" s="5" t="s">
        <v>40108</v>
      </c>
      <c r="H6163" s="6" t="s">
        <v>40109</v>
      </c>
      <c r="K6163" s="5" t="s">
        <v>40099</v>
      </c>
      <c r="M6163" s="5" t="s">
        <v>40110</v>
      </c>
      <c r="N6163" s="7" t="s">
        <v>40111</v>
      </c>
      <c r="O6163" s="8" t="str">
        <f>HYPERLINK("https://drive.google.com/file/d/14cQlPX-8G75BOtbFONGKuCn8kQDnyGfn/view?usp=drivesdk","6162_GIYONO, S.AP _ SERTIFIKAT BerAKHLAK")</f>
        <v>6162_GIYONO, S.AP _ SERTIFIKAT BerAKHLAK</v>
      </c>
      <c r="P6163" s="5" t="s">
        <v>40095</v>
      </c>
    </row>
    <row r="6164">
      <c r="A6164" s="4">
        <v>45534.36673010417</v>
      </c>
      <c r="B6164" s="5" t="s">
        <v>34</v>
      </c>
      <c r="D6164" s="5" t="s">
        <v>701</v>
      </c>
      <c r="E6164" s="5" t="s">
        <v>40112</v>
      </c>
      <c r="F6164" s="5" t="s">
        <v>524</v>
      </c>
      <c r="G6164" s="5" t="s">
        <v>40113</v>
      </c>
      <c r="H6164" s="6" t="s">
        <v>40114</v>
      </c>
      <c r="K6164" s="5" t="s">
        <v>40099</v>
      </c>
      <c r="M6164" s="5" t="s">
        <v>40115</v>
      </c>
      <c r="N6164" s="7" t="s">
        <v>40116</v>
      </c>
      <c r="O6164" s="8" t="str">
        <f>HYPERLINK("https://drive.google.com/file/d/1zMdDDWcPimJaOHbXiEDl5MwgZ7vobigr/view?usp=drivesdk","6163_DESI YUNIARTI, S.Sos _ SERTIFIKAT BerAKHLAK")</f>
        <v>6163_DESI YUNIARTI, S.Sos _ SERTIFIKAT BerAKHLAK</v>
      </c>
      <c r="P6164" s="5" t="s">
        <v>40095</v>
      </c>
    </row>
    <row r="6165">
      <c r="A6165" s="4">
        <v>45534.36675207176</v>
      </c>
      <c r="B6165" s="5" t="s">
        <v>34</v>
      </c>
      <c r="D6165" s="5" t="s">
        <v>10297</v>
      </c>
      <c r="E6165" s="5" t="s">
        <v>40117</v>
      </c>
      <c r="F6165" s="5" t="s">
        <v>212</v>
      </c>
      <c r="G6165" s="5" t="s">
        <v>40118</v>
      </c>
      <c r="H6165" s="6" t="s">
        <v>40119</v>
      </c>
      <c r="I6165" s="7" t="s">
        <v>40120</v>
      </c>
      <c r="J6165" s="8" t="str">
        <f>HYPERLINK("https://drive.google.com/file/d/1IVq18pfXXYzOQ9IXEcdjNA6gV6lzCRf9/view?usp=drivesdk","ERFINA  SERTIFIKAT BerAKHLAK")</f>
        <v>ERFINA  SERTIFIKAT BerAKHLAK</v>
      </c>
      <c r="K6165" s="5" t="s">
        <v>39946</v>
      </c>
      <c r="L6165" s="5" t="s">
        <v>40121</v>
      </c>
      <c r="M6165" s="5" t="s">
        <v>40122</v>
      </c>
      <c r="N6165" s="7" t="s">
        <v>40123</v>
      </c>
      <c r="O6165" s="8" t="str">
        <f>HYPERLINK("https://drive.google.com/file/d/1xvgSvx9noErrF83XdgGpVyIjIu1Drj5j/view?usp=drivesdk","6164_ERFINA  _ SERTIFIKAT BerAKHLAK")</f>
        <v>6164_ERFINA  _ SERTIFIKAT BerAKHLAK</v>
      </c>
      <c r="P6165" s="5" t="s">
        <v>40124</v>
      </c>
    </row>
    <row r="6166">
      <c r="A6166" s="4">
        <v>45534.366781296296</v>
      </c>
      <c r="B6166" s="5" t="s">
        <v>34</v>
      </c>
      <c r="D6166" s="5" t="s">
        <v>4775</v>
      </c>
      <c r="E6166" s="5" t="s">
        <v>40125</v>
      </c>
      <c r="F6166" s="5" t="s">
        <v>72</v>
      </c>
      <c r="G6166" s="5" t="s">
        <v>40126</v>
      </c>
      <c r="H6166" s="6" t="s">
        <v>40127</v>
      </c>
      <c r="I6166" s="7" t="s">
        <v>40128</v>
      </c>
      <c r="J6166" s="8" t="str">
        <f>HYPERLINK("https://drive.google.com/file/d/1Oo6I_-XfWVQdZ0twyP2hrw9Kp37CHLAD/view?usp=drivesdk","RENI YULIASTUTI, AMK SERTIFIKAT BerAKHLAK")</f>
        <v>RENI YULIASTUTI, AMK SERTIFIKAT BerAKHLAK</v>
      </c>
      <c r="K6166" s="5" t="s">
        <v>39946</v>
      </c>
      <c r="L6166" s="5" t="s">
        <v>40129</v>
      </c>
      <c r="M6166" s="5" t="s">
        <v>40130</v>
      </c>
      <c r="N6166" s="7" t="s">
        <v>40131</v>
      </c>
      <c r="O6166" s="8" t="str">
        <f>HYPERLINK("https://drive.google.com/file/d/1p58-DRByk9B-WQqq_sRJEVtqzWC5rKqz/view?usp=drivesdk","6165_RENI YULIASTUTI, AMK _ SERTIFIKAT BerAKHLAK")</f>
        <v>6165_RENI YULIASTUTI, AMK _ SERTIFIKAT BerAKHLAK</v>
      </c>
      <c r="P6166" s="5" t="s">
        <v>40124</v>
      </c>
    </row>
    <row r="6167">
      <c r="A6167" s="4">
        <v>45534.36683783565</v>
      </c>
      <c r="B6167" s="5" t="s">
        <v>34</v>
      </c>
      <c r="D6167" s="5" t="s">
        <v>14313</v>
      </c>
      <c r="E6167" s="5" t="s">
        <v>40132</v>
      </c>
      <c r="F6167" s="5" t="s">
        <v>212</v>
      </c>
      <c r="G6167" s="5" t="s">
        <v>40133</v>
      </c>
      <c r="H6167" s="6" t="s">
        <v>40134</v>
      </c>
      <c r="K6167" s="5" t="s">
        <v>40135</v>
      </c>
      <c r="M6167" s="5" t="s">
        <v>40136</v>
      </c>
      <c r="N6167" s="7" t="s">
        <v>40137</v>
      </c>
      <c r="O6167" s="8" t="str">
        <f>HYPERLINK("https://drive.google.com/file/d/1w5i4zX0b4ysX9NeYD5aQbFfzxHYPWJKt/view?usp=drivesdk","6166_ANDI ISMAIL _ SERTIFIKAT BerAKHLAK")</f>
        <v>6166_ANDI ISMAIL _ SERTIFIKAT BerAKHLAK</v>
      </c>
      <c r="P6167" s="5" t="s">
        <v>40138</v>
      </c>
    </row>
    <row r="6168" hidden="1">
      <c r="A6168" s="4">
        <v>45534.36684430555</v>
      </c>
      <c r="B6168" s="5" t="s">
        <v>19</v>
      </c>
      <c r="C6168" s="5" t="s">
        <v>30588</v>
      </c>
      <c r="E6168" s="5" t="s">
        <v>40139</v>
      </c>
      <c r="F6168" s="5" t="s">
        <v>72</v>
      </c>
      <c r="G6168" s="5" t="s">
        <v>40140</v>
      </c>
      <c r="H6168" s="6" t="s">
        <v>40141</v>
      </c>
      <c r="K6168" s="5" t="s">
        <v>40135</v>
      </c>
      <c r="M6168" s="5" t="s">
        <v>40142</v>
      </c>
      <c r="N6168" s="7" t="s">
        <v>40143</v>
      </c>
      <c r="O6168" s="8" t="str">
        <f>HYPERLINK("https://drive.google.com/file/d/1zr8JuT0STzD6z3Hwr06gcpWzb_eg-N9B/view?usp=drivesdk","6167_LUCKY SETYO ARYBOWO, S.H., M.H. _ SERTIFIKAT BerAKHLAK")</f>
        <v>6167_LUCKY SETYO ARYBOWO, S.H., M.H. _ SERTIFIKAT BerAKHLAK</v>
      </c>
      <c r="P6168" s="5" t="s">
        <v>40138</v>
      </c>
    </row>
    <row r="6169">
      <c r="A6169" s="4">
        <v>45534.36685479167</v>
      </c>
      <c r="B6169" s="5" t="s">
        <v>34</v>
      </c>
      <c r="D6169" s="5" t="s">
        <v>6232</v>
      </c>
      <c r="E6169" s="5" t="s">
        <v>40144</v>
      </c>
      <c r="F6169" s="5" t="s">
        <v>37</v>
      </c>
      <c r="G6169" s="5" t="s">
        <v>40145</v>
      </c>
      <c r="H6169" s="6" t="s">
        <v>40146</v>
      </c>
      <c r="K6169" s="5" t="s">
        <v>40135</v>
      </c>
      <c r="M6169" s="5" t="s">
        <v>40147</v>
      </c>
      <c r="N6169" s="7" t="s">
        <v>40148</v>
      </c>
      <c r="O6169" s="8" t="str">
        <f>HYPERLINK("https://drive.google.com/file/d/1fuCF8vgfEVr3i7If31z5E3iBl648bjwt/view?usp=drivesdk","6168_HAIRUN NISA S _ SERTIFIKAT BerAKHLAK")</f>
        <v>6168_HAIRUN NISA S _ SERTIFIKAT BerAKHLAK</v>
      </c>
      <c r="P6169" s="5" t="s">
        <v>40138</v>
      </c>
    </row>
    <row r="6170">
      <c r="A6170" s="4">
        <v>45534.36686159723</v>
      </c>
      <c r="B6170" s="5" t="s">
        <v>34</v>
      </c>
      <c r="D6170" s="5" t="s">
        <v>1206</v>
      </c>
      <c r="E6170" s="5" t="s">
        <v>40149</v>
      </c>
      <c r="F6170" s="5" t="s">
        <v>37</v>
      </c>
      <c r="G6170" s="5" t="s">
        <v>40150</v>
      </c>
      <c r="H6170" s="6" t="s">
        <v>40151</v>
      </c>
      <c r="K6170" s="5" t="s">
        <v>40135</v>
      </c>
      <c r="M6170" s="5" t="s">
        <v>40152</v>
      </c>
      <c r="N6170" s="7" t="s">
        <v>40153</v>
      </c>
      <c r="O6170" s="8" t="str">
        <f>HYPERLINK("https://drive.google.com/file/d/1IWDYAuCzWyntkn4gbcrN04gLLq_foN9e/view?usp=drivesdk","6169_ETTY SUNDAJANTI  _ SERTIFIKAT BerAKHLAK")</f>
        <v>6169_ETTY SUNDAJANTI  _ SERTIFIKAT BerAKHLAK</v>
      </c>
      <c r="P6170" s="5" t="s">
        <v>40154</v>
      </c>
    </row>
    <row r="6171">
      <c r="A6171" s="4">
        <v>45534.36687013889</v>
      </c>
      <c r="B6171" s="5" t="s">
        <v>34</v>
      </c>
      <c r="D6171" s="5" t="s">
        <v>4775</v>
      </c>
      <c r="E6171" s="5" t="s">
        <v>40155</v>
      </c>
      <c r="F6171" s="5" t="s">
        <v>72</v>
      </c>
      <c r="G6171" s="5" t="s">
        <v>40156</v>
      </c>
      <c r="H6171" s="6" t="s">
        <v>40157</v>
      </c>
      <c r="I6171" s="7" t="s">
        <v>40158</v>
      </c>
      <c r="J6171" s="8" t="str">
        <f>HYPERLINK("https://drive.google.com/file/d/1Acb0mqKG_IFeF8FkQ6TjVRgBmemuJzX2/view?usp=drivesdk","dr.CHANIF LUTFIYATI MUYASAROH, M.Si SERTIFIKAT BerAKHLAK")</f>
        <v>dr.CHANIF LUTFIYATI MUYASAROH, M.Si SERTIFIKAT BerAKHLAK</v>
      </c>
      <c r="K6171" s="5" t="s">
        <v>39946</v>
      </c>
      <c r="L6171" s="5" t="s">
        <v>40159</v>
      </c>
      <c r="M6171" s="5" t="s">
        <v>40160</v>
      </c>
      <c r="N6171" s="7" t="s">
        <v>40161</v>
      </c>
      <c r="O6171" s="8" t="str">
        <f>HYPERLINK("https://drive.google.com/file/d/17nPOMQ7Z694mBwWffsJTJHY5GtZm4lXo/view?usp=drivesdk","6170_dr.CHANIF LUTFIYATI MUYASAROH, M.Si _ SERTIFIKAT BerAKHLAK")</f>
        <v>6170_dr.CHANIF LUTFIYATI MUYASAROH, M.Si _ SERTIFIKAT BerAKHLAK</v>
      </c>
      <c r="P6171" s="5" t="s">
        <v>40154</v>
      </c>
    </row>
    <row r="6172">
      <c r="A6172" s="4">
        <v>45534.366876319444</v>
      </c>
      <c r="B6172" s="5" t="s">
        <v>34</v>
      </c>
      <c r="D6172" s="5" t="s">
        <v>1206</v>
      </c>
      <c r="E6172" s="5" t="s">
        <v>40162</v>
      </c>
      <c r="F6172" s="5" t="s">
        <v>37</v>
      </c>
      <c r="G6172" s="5" t="s">
        <v>40163</v>
      </c>
      <c r="H6172" s="6" t="s">
        <v>40164</v>
      </c>
      <c r="I6172" s="7" t="s">
        <v>40165</v>
      </c>
      <c r="J6172" s="8" t="str">
        <f>HYPERLINK("https://drive.google.com/file/d/1cY74p8NtE7uLKz8REfTxWmeqNu-wwdSV/view?usp=drivesdk","INTAN AGUSTINA, A.Md. SERTIFIKAT BerAKHLAK")</f>
        <v>INTAN AGUSTINA, A.Md. SERTIFIKAT BerAKHLAK</v>
      </c>
      <c r="K6172" s="5" t="s">
        <v>40166</v>
      </c>
      <c r="L6172" s="5" t="s">
        <v>40167</v>
      </c>
      <c r="M6172" s="5" t="s">
        <v>40168</v>
      </c>
      <c r="N6172" s="7" t="s">
        <v>40169</v>
      </c>
      <c r="O6172" s="8" t="str">
        <f>HYPERLINK("https://drive.google.com/file/d/1VXBzbzrxPn0e7j08fKrV4SSsaxwldsqk/view?usp=drivesdk","6171_INTAN AGUSTINA, A.Md. _ SERTIFIKAT BerAKHLAK")</f>
        <v>6171_INTAN AGUSTINA, A.Md. _ SERTIFIKAT BerAKHLAK</v>
      </c>
      <c r="P6172" s="5" t="s">
        <v>40045</v>
      </c>
    </row>
    <row r="6173">
      <c r="A6173" s="4">
        <v>45534.366888969904</v>
      </c>
      <c r="B6173" s="5" t="s">
        <v>34</v>
      </c>
      <c r="D6173" s="5" t="s">
        <v>9394</v>
      </c>
      <c r="E6173" s="5" t="s">
        <v>40170</v>
      </c>
      <c r="F6173" s="5" t="s">
        <v>37</v>
      </c>
      <c r="G6173" s="5" t="s">
        <v>40171</v>
      </c>
      <c r="H6173" s="6" t="s">
        <v>40172</v>
      </c>
      <c r="I6173" s="7" t="s">
        <v>40173</v>
      </c>
      <c r="J6173" s="8" t="str">
        <f>HYPERLINK("https://drive.google.com/file/d/1Rg776lBOjxJZD9Wy6YL8pGvcAiqyI8El/view?usp=drivesdk","NURFITADANI,S.Pd SERTIFIKAT BerAKHLAK")</f>
        <v>NURFITADANI,S.Pd SERTIFIKAT BerAKHLAK</v>
      </c>
      <c r="K6173" s="5" t="s">
        <v>40166</v>
      </c>
      <c r="L6173" s="5" t="s">
        <v>40174</v>
      </c>
      <c r="M6173" s="5" t="s">
        <v>40175</v>
      </c>
      <c r="N6173" s="7" t="s">
        <v>40176</v>
      </c>
      <c r="O6173" s="8" t="str">
        <f>HYPERLINK("https://drive.google.com/file/d/1imxT2XgtD7NNLPSg2wGlHYGLckDc1QSM/view?usp=drivesdk","6172_NURFITADANI,S.Pd _ SERTIFIKAT BerAKHLAK")</f>
        <v>6172_NURFITADANI,S.Pd _ SERTIFIKAT BerAKHLAK</v>
      </c>
      <c r="P6173" s="5" t="s">
        <v>40045</v>
      </c>
    </row>
    <row r="6174">
      <c r="A6174" s="4">
        <v>45534.366892199076</v>
      </c>
      <c r="B6174" s="5" t="s">
        <v>34</v>
      </c>
      <c r="D6174" s="5" t="s">
        <v>1206</v>
      </c>
      <c r="E6174" s="5" t="s">
        <v>40177</v>
      </c>
      <c r="F6174" s="5" t="s">
        <v>212</v>
      </c>
      <c r="G6174" s="5" t="s">
        <v>40178</v>
      </c>
      <c r="H6174" s="6" t="s">
        <v>40179</v>
      </c>
      <c r="I6174" s="7" t="s">
        <v>40180</v>
      </c>
      <c r="J6174" s="8" t="str">
        <f>HYPERLINK("https://drive.google.com/file/d/1qZtdqP5bakjxlBP9Tbg0oPBM-s9s3GOH/view?usp=drivesdk","SUPRIYADI, S. KEP. NERS.  SERTIFIKAT BerAKHLAK")</f>
        <v>SUPRIYADI, S. KEP. NERS.  SERTIFIKAT BerAKHLAK</v>
      </c>
      <c r="K6174" s="5" t="s">
        <v>40166</v>
      </c>
      <c r="L6174" s="5" t="s">
        <v>40181</v>
      </c>
      <c r="M6174" s="5" t="s">
        <v>40182</v>
      </c>
      <c r="N6174" s="7" t="s">
        <v>40183</v>
      </c>
      <c r="O6174" s="8" t="str">
        <f>HYPERLINK("https://drive.google.com/file/d/1fbYEkeAZeID7y-b5sJH6qXqCcl7ugwsU/view?usp=drivesdk","6173_SUPRIYADI, S. KEP. NERS.  _ SERTIFIKAT BerAKHLAK")</f>
        <v>6173_SUPRIYADI, S. KEP. NERS.  _ SERTIFIKAT BerAKHLAK</v>
      </c>
      <c r="P6174" s="5" t="s">
        <v>40184</v>
      </c>
    </row>
    <row r="6175">
      <c r="A6175" s="4">
        <v>45534.36689600695</v>
      </c>
      <c r="B6175" s="5" t="s">
        <v>34</v>
      </c>
      <c r="D6175" s="5" t="s">
        <v>1558</v>
      </c>
      <c r="E6175" s="5" t="s">
        <v>40185</v>
      </c>
      <c r="F6175" s="5" t="s">
        <v>108</v>
      </c>
      <c r="G6175" s="5" t="s">
        <v>40186</v>
      </c>
      <c r="H6175" s="6" t="s">
        <v>40187</v>
      </c>
      <c r="I6175" s="7" t="s">
        <v>40188</v>
      </c>
      <c r="J6175" s="8" t="str">
        <f>HYPERLINK("https://drive.google.com/file/d/1piwlfmiWe9SlTu5DPQI7QgSI8-bAPEYY/view?usp=drivesdk","Ns. RISDALINA., S.ST., S. Kep SERTIFIKAT BerAKHLAK")</f>
        <v>Ns. RISDALINA., S.ST., S. Kep SERTIFIKAT BerAKHLAK</v>
      </c>
      <c r="K6175" s="5" t="s">
        <v>40166</v>
      </c>
      <c r="L6175" s="5" t="s">
        <v>40189</v>
      </c>
      <c r="M6175" s="5" t="s">
        <v>40190</v>
      </c>
      <c r="N6175" s="7" t="s">
        <v>40191</v>
      </c>
      <c r="O6175" s="8" t="str">
        <f>HYPERLINK("https://drive.google.com/file/d/1lqbr_9dFTC50mH9G3Oyw7YiT4ch_HhVf/view?usp=drivesdk","6174_Ns. RISDALINA., S.ST., S. Kep _ SERTIFIKAT BerAKHLAK")</f>
        <v>6174_Ns. RISDALINA., S.ST., S. Kep _ SERTIFIKAT BerAKHLAK</v>
      </c>
      <c r="P6175" s="5" t="s">
        <v>40184</v>
      </c>
    </row>
    <row r="6176" hidden="1">
      <c r="A6176" s="4">
        <v>45534.366926400464</v>
      </c>
      <c r="B6176" s="5" t="s">
        <v>19</v>
      </c>
      <c r="C6176" s="5" t="s">
        <v>14000</v>
      </c>
      <c r="E6176" s="5" t="s">
        <v>40192</v>
      </c>
      <c r="F6176" s="5" t="s">
        <v>524</v>
      </c>
      <c r="G6176" s="5" t="s">
        <v>40193</v>
      </c>
      <c r="H6176" s="6" t="s">
        <v>40194</v>
      </c>
      <c r="I6176" s="7" t="s">
        <v>40195</v>
      </c>
      <c r="J6176" s="8" t="str">
        <f>HYPERLINK("https://drive.google.com/file/d/1xPhjoHkcYZOt_4KgshQ6ddsAnVVV73Wf/view?usp=drivesdk","MUTOFIK SUTRISNO SERTIFIKAT BerAKHLAK")</f>
        <v>MUTOFIK SUTRISNO SERTIFIKAT BerAKHLAK</v>
      </c>
      <c r="K6176" s="5" t="s">
        <v>39946</v>
      </c>
      <c r="L6176" s="5" t="s">
        <v>40196</v>
      </c>
      <c r="M6176" s="5" t="s">
        <v>40197</v>
      </c>
      <c r="N6176" s="7" t="s">
        <v>40198</v>
      </c>
      <c r="O6176" s="8" t="str">
        <f>HYPERLINK("https://drive.google.com/file/d/1CxmCzd7_JjrIBRnf6MKQnFNjixds8nol/view?usp=drivesdk","6175_MUTOFIK SUTRISNO _ SERTIFIKAT BerAKHLAK")</f>
        <v>6175_MUTOFIK SUTRISNO _ SERTIFIKAT BerAKHLAK</v>
      </c>
      <c r="P6176" s="5" t="s">
        <v>40184</v>
      </c>
    </row>
    <row r="6177">
      <c r="A6177" s="4">
        <v>45534.36693712963</v>
      </c>
      <c r="B6177" s="5" t="s">
        <v>34</v>
      </c>
      <c r="D6177" s="5" t="s">
        <v>4775</v>
      </c>
      <c r="E6177" s="5" t="s">
        <v>40199</v>
      </c>
      <c r="F6177" s="5" t="s">
        <v>37</v>
      </c>
      <c r="G6177" s="5" t="s">
        <v>40200</v>
      </c>
      <c r="H6177" s="6" t="s">
        <v>40201</v>
      </c>
      <c r="I6177" s="7" t="s">
        <v>40202</v>
      </c>
      <c r="J6177" s="8" t="str">
        <f>HYPERLINK("https://drive.google.com/file/d/1LrStdvXaCAVk-4zAU40SPxZUJDUdPK3a/view?usp=drivesdk","ANIKE ANDRIANI,SPd SERTIFIKAT BerAKHLAK")</f>
        <v>ANIKE ANDRIANI,SPd SERTIFIKAT BerAKHLAK</v>
      </c>
      <c r="K6177" s="5" t="s">
        <v>39946</v>
      </c>
      <c r="L6177" s="5" t="s">
        <v>40203</v>
      </c>
      <c r="M6177" s="5" t="s">
        <v>40204</v>
      </c>
      <c r="N6177" s="7" t="s">
        <v>40205</v>
      </c>
      <c r="O6177" s="8" t="str">
        <f>HYPERLINK("https://drive.google.com/file/d/1vdnwyWcL_NBg157vNdp_AZZOVJyMxShD/view?usp=drivesdk","6176_ANIKE ANDRIANI,SPd _ SERTIFIKAT BerAKHLAK")</f>
        <v>6176_ANIKE ANDRIANI,SPd _ SERTIFIKAT BerAKHLAK</v>
      </c>
      <c r="P6177" s="5" t="s">
        <v>40184</v>
      </c>
    </row>
    <row r="6178">
      <c r="A6178" s="4">
        <v>45534.36695412037</v>
      </c>
      <c r="B6178" s="5" t="s">
        <v>34</v>
      </c>
      <c r="D6178" s="5" t="s">
        <v>1206</v>
      </c>
      <c r="E6178" s="5" t="s">
        <v>40206</v>
      </c>
      <c r="F6178" s="5" t="s">
        <v>375</v>
      </c>
      <c r="G6178" s="5" t="s">
        <v>40207</v>
      </c>
      <c r="H6178" s="6" t="s">
        <v>40208</v>
      </c>
      <c r="K6178" s="5" t="s">
        <v>40209</v>
      </c>
      <c r="M6178" s="5" t="s">
        <v>40210</v>
      </c>
      <c r="N6178" s="7" t="s">
        <v>40211</v>
      </c>
      <c r="O6178" s="8" t="str">
        <f>HYPERLINK("https://drive.google.com/file/d/1YBtIFkvkP6SnHB7xLzzhmuqZl-dIX_Z1/view?usp=drivesdk","6177_ISTIKOMAH _ SERTIFIKAT BerAKHLAK")</f>
        <v>6177_ISTIKOMAH _ SERTIFIKAT BerAKHLAK</v>
      </c>
      <c r="P6178" s="5" t="s">
        <v>40184</v>
      </c>
    </row>
    <row r="6179">
      <c r="A6179" s="4">
        <v>45534.36695755787</v>
      </c>
      <c r="B6179" s="5" t="s">
        <v>34</v>
      </c>
      <c r="D6179" s="5" t="s">
        <v>1206</v>
      </c>
      <c r="E6179" s="5" t="s">
        <v>40212</v>
      </c>
      <c r="F6179" s="5" t="s">
        <v>212</v>
      </c>
      <c r="G6179" s="5" t="s">
        <v>40213</v>
      </c>
      <c r="H6179" s="6" t="s">
        <v>40214</v>
      </c>
      <c r="K6179" s="5" t="s">
        <v>40215</v>
      </c>
      <c r="M6179" s="5" t="s">
        <v>40216</v>
      </c>
      <c r="N6179" s="7" t="s">
        <v>40217</v>
      </c>
      <c r="O6179" s="8" t="str">
        <f>HYPERLINK("https://drive.google.com/file/d/1uTKcglXWKMawdtnQCOmjKDJ4FkBM73Mb/view?usp=drivesdk","6178_DWI AGUSTINA WINDARYANTI _ SERTIFIKAT BerAKHLAK")</f>
        <v>6178_DWI AGUSTINA WINDARYANTI _ SERTIFIKAT BerAKHLAK</v>
      </c>
      <c r="P6179" s="5" t="s">
        <v>40184</v>
      </c>
    </row>
    <row r="6180">
      <c r="A6180" s="4">
        <v>45534.366971678246</v>
      </c>
      <c r="B6180" s="5" t="s">
        <v>34</v>
      </c>
      <c r="D6180" s="5" t="s">
        <v>10297</v>
      </c>
      <c r="E6180" s="5" t="s">
        <v>40218</v>
      </c>
      <c r="F6180" s="5" t="s">
        <v>524</v>
      </c>
      <c r="G6180" s="5" t="s">
        <v>40219</v>
      </c>
      <c r="H6180" s="6" t="s">
        <v>40220</v>
      </c>
      <c r="K6180" s="5" t="s">
        <v>40221</v>
      </c>
      <c r="M6180" s="5" t="s">
        <v>40222</v>
      </c>
      <c r="N6180" s="7" t="s">
        <v>40223</v>
      </c>
      <c r="O6180" s="8" t="str">
        <f>HYPERLINK("https://drive.google.com/file/d/1aU7qQHeMmxHPQA1L2Cq0UhTMVWPv24AQ/view?usp=drivesdk","6179_I KOMANG PURANA _ SERTIFIKAT BerAKHLAK")</f>
        <v>6179_I KOMANG PURANA _ SERTIFIKAT BerAKHLAK</v>
      </c>
      <c r="P6180" s="5" t="s">
        <v>40224</v>
      </c>
    </row>
    <row r="6181" hidden="1">
      <c r="A6181" s="4">
        <v>45534.366974756944</v>
      </c>
      <c r="B6181" s="5" t="s">
        <v>19</v>
      </c>
      <c r="C6181" s="5" t="s">
        <v>442</v>
      </c>
      <c r="E6181" s="5" t="s">
        <v>40225</v>
      </c>
      <c r="F6181" s="5" t="s">
        <v>120</v>
      </c>
      <c r="G6181" s="5" t="s">
        <v>40226</v>
      </c>
      <c r="H6181" s="6" t="s">
        <v>40227</v>
      </c>
      <c r="K6181" s="5" t="s">
        <v>40221</v>
      </c>
      <c r="M6181" s="5" t="s">
        <v>40228</v>
      </c>
      <c r="N6181" s="7" t="s">
        <v>40229</v>
      </c>
      <c r="O6181" s="8" t="str">
        <f>HYPERLINK("https://drive.google.com/file/d/1X0HVYhCKu-k_xZVC8lfOxGGT2-2FFevn/view?usp=drivesdk","6180_ARNOLD DAMANIK, S.Kom., M.M. _ SERTIFIKAT BerAKHLAK")</f>
        <v>6180_ARNOLD DAMANIK, S.Kom., M.M. _ SERTIFIKAT BerAKHLAK</v>
      </c>
      <c r="P6181" s="5" t="s">
        <v>40224</v>
      </c>
    </row>
    <row r="6182" hidden="1">
      <c r="A6182" s="4">
        <v>45534.36698104166</v>
      </c>
      <c r="B6182" s="5" t="s">
        <v>19</v>
      </c>
      <c r="C6182" s="5" t="s">
        <v>40230</v>
      </c>
      <c r="E6182" s="5" t="s">
        <v>40231</v>
      </c>
      <c r="F6182" s="5" t="s">
        <v>72</v>
      </c>
      <c r="G6182" s="5" t="s">
        <v>40232</v>
      </c>
      <c r="H6182" s="6" t="s">
        <v>40233</v>
      </c>
      <c r="K6182" s="5" t="s">
        <v>40234</v>
      </c>
      <c r="M6182" s="5" t="s">
        <v>40235</v>
      </c>
      <c r="N6182" s="7" t="s">
        <v>40236</v>
      </c>
      <c r="O6182" s="8" t="str">
        <f>HYPERLINK("https://drive.google.com/file/d/1FLAXjS6rMAK5zH_vAKtCOfnjut4PCLWn/view?usp=drivesdk","6181_ENDAH PRATIWI, A.Md. _ SERTIFIKAT BerAKHLAK")</f>
        <v>6181_ENDAH PRATIWI, A.Md. _ SERTIFIKAT BerAKHLAK</v>
      </c>
      <c r="P6182" s="5" t="s">
        <v>40224</v>
      </c>
    </row>
    <row r="6183">
      <c r="A6183" s="4">
        <v>45534.366988344904</v>
      </c>
      <c r="B6183" s="5" t="s">
        <v>34</v>
      </c>
      <c r="D6183" s="5" t="s">
        <v>1456</v>
      </c>
      <c r="E6183" s="5" t="s">
        <v>40237</v>
      </c>
      <c r="F6183" s="5" t="s">
        <v>524</v>
      </c>
      <c r="G6183" s="5" t="s">
        <v>40238</v>
      </c>
      <c r="H6183" s="6" t="s">
        <v>40239</v>
      </c>
      <c r="K6183" s="5" t="s">
        <v>40240</v>
      </c>
      <c r="M6183" s="5" t="s">
        <v>40241</v>
      </c>
      <c r="N6183" s="7" t="s">
        <v>40242</v>
      </c>
      <c r="O6183" s="8" t="str">
        <f>HYPERLINK("https://drive.google.com/file/d/1bTixDunF2b4kUo5jWPjxNmccSiiWA3RA/view?usp=drivesdk","6182_AJI PERMANA FADILLAH _ SERTIFIKAT BerAKHLAK")</f>
        <v>6182_AJI PERMANA FADILLAH _ SERTIFIKAT BerAKHLAK</v>
      </c>
      <c r="P6183" s="5" t="s">
        <v>40224</v>
      </c>
    </row>
    <row r="6184">
      <c r="A6184" s="4">
        <v>45534.36699086806</v>
      </c>
      <c r="B6184" s="5" t="s">
        <v>34</v>
      </c>
      <c r="D6184" s="5" t="s">
        <v>1206</v>
      </c>
      <c r="E6184" s="5" t="s">
        <v>40243</v>
      </c>
      <c r="F6184" s="5" t="s">
        <v>212</v>
      </c>
      <c r="G6184" s="5" t="s">
        <v>40244</v>
      </c>
      <c r="H6184" s="6" t="s">
        <v>40245</v>
      </c>
      <c r="K6184" s="5" t="s">
        <v>40240</v>
      </c>
      <c r="M6184" s="5" t="s">
        <v>40246</v>
      </c>
      <c r="N6184" s="7" t="s">
        <v>40247</v>
      </c>
      <c r="O6184" s="8" t="str">
        <f>HYPERLINK("https://drive.google.com/file/d/1qU4Gh-zaJmUJFB0S15eaHIDDUawkOWhV/view?usp=drivesdk","6183_KARTIKA DEWI _ SERTIFIKAT BerAKHLAK")</f>
        <v>6183_KARTIKA DEWI _ SERTIFIKAT BerAKHLAK</v>
      </c>
      <c r="P6184" s="5" t="s">
        <v>40224</v>
      </c>
    </row>
    <row r="6185">
      <c r="A6185" s="4">
        <v>45534.36700650463</v>
      </c>
      <c r="B6185" s="5" t="s">
        <v>34</v>
      </c>
      <c r="D6185" s="5" t="s">
        <v>1206</v>
      </c>
      <c r="E6185" s="5" t="s">
        <v>40248</v>
      </c>
      <c r="F6185" s="5" t="s">
        <v>72</v>
      </c>
      <c r="G6185" s="5" t="s">
        <v>40249</v>
      </c>
      <c r="H6185" s="6" t="s">
        <v>40250</v>
      </c>
      <c r="K6185" s="5" t="s">
        <v>40240</v>
      </c>
      <c r="M6185" s="5" t="s">
        <v>40251</v>
      </c>
      <c r="N6185" s="7" t="s">
        <v>40252</v>
      </c>
      <c r="O6185" s="8" t="str">
        <f>HYPERLINK("https://drive.google.com/file/d/1l2k_IdIS9awjyLFMfa-uUuC4HoJ80jql/view?usp=drivesdk","6184_Beny Catur Widodo _ SERTIFIKAT BerAKHLAK")</f>
        <v>6184_Beny Catur Widodo _ SERTIFIKAT BerAKHLAK</v>
      </c>
      <c r="P6185" s="5" t="s">
        <v>40253</v>
      </c>
    </row>
    <row r="6186">
      <c r="A6186" s="4">
        <v>45534.367014351854</v>
      </c>
      <c r="B6186" s="5" t="s">
        <v>34</v>
      </c>
      <c r="D6186" s="5" t="s">
        <v>14424</v>
      </c>
      <c r="E6186" s="5" t="s">
        <v>40254</v>
      </c>
      <c r="F6186" s="5" t="s">
        <v>375</v>
      </c>
      <c r="G6186" s="5" t="s">
        <v>40255</v>
      </c>
      <c r="H6186" s="6" t="s">
        <v>40256</v>
      </c>
      <c r="K6186" s="5" t="s">
        <v>40257</v>
      </c>
      <c r="M6186" s="5" t="s">
        <v>40258</v>
      </c>
      <c r="N6186" s="7" t="s">
        <v>40259</v>
      </c>
      <c r="O6186" s="8" t="str">
        <f>HYPERLINK("https://drive.google.com/file/d/1QJhFqP3lxikUxD5e4z_LZVqT_qco5leK/view?usp=drivesdk","6185_ROSNIATI, S.H. _ SERTIFIKAT BerAKHLAK")</f>
        <v>6185_ROSNIATI, S.H. _ SERTIFIKAT BerAKHLAK</v>
      </c>
      <c r="P6186" s="5" t="s">
        <v>40253</v>
      </c>
    </row>
    <row r="6187">
      <c r="A6187" s="4">
        <v>45534.367015138894</v>
      </c>
      <c r="B6187" s="5" t="s">
        <v>34</v>
      </c>
      <c r="D6187" s="5" t="s">
        <v>9020</v>
      </c>
      <c r="E6187" s="5" t="s">
        <v>40260</v>
      </c>
      <c r="F6187" s="5" t="s">
        <v>108</v>
      </c>
      <c r="G6187" s="5" t="s">
        <v>40261</v>
      </c>
      <c r="H6187" s="6" t="s">
        <v>40262</v>
      </c>
      <c r="K6187" s="5" t="s">
        <v>40257</v>
      </c>
      <c r="M6187" s="5" t="s">
        <v>40263</v>
      </c>
      <c r="N6187" s="7" t="s">
        <v>40264</v>
      </c>
      <c r="O6187" s="8" t="str">
        <f>HYPERLINK("https://drive.google.com/file/d/1L8ebYa7mrg04bkO31yes78SZtOgaPLYB/view?usp=drivesdk","6186_RAHMANIDAR _ SERTIFIKAT BerAKHLAK")</f>
        <v>6186_RAHMANIDAR _ SERTIFIKAT BerAKHLAK</v>
      </c>
      <c r="P6187" s="5" t="s">
        <v>40253</v>
      </c>
    </row>
    <row r="6188">
      <c r="A6188" s="4">
        <v>45534.36702612268</v>
      </c>
      <c r="B6188" s="5" t="s">
        <v>34</v>
      </c>
      <c r="D6188" s="5" t="s">
        <v>12978</v>
      </c>
      <c r="E6188" s="5" t="s">
        <v>40265</v>
      </c>
      <c r="F6188" s="5" t="s">
        <v>120</v>
      </c>
      <c r="G6188" s="5" t="s">
        <v>40266</v>
      </c>
      <c r="H6188" s="6" t="s">
        <v>40267</v>
      </c>
      <c r="K6188" s="5" t="s">
        <v>40257</v>
      </c>
      <c r="M6188" s="5" t="s">
        <v>40268</v>
      </c>
      <c r="N6188" s="7" t="s">
        <v>40269</v>
      </c>
      <c r="O6188" s="8" t="str">
        <f>HYPERLINK("https://drive.google.com/file/d/1id2eysW1KehhQ_HhIQNj3TN4pB4aJi5X/view?usp=drivesdk","6187_RM. BAMBANG SURYANTO B.  _ SERTIFIKAT BerAKHLAK")</f>
        <v>6187_RM. BAMBANG SURYANTO B.  _ SERTIFIKAT BerAKHLAK</v>
      </c>
      <c r="P6188" s="5" t="s">
        <v>40253</v>
      </c>
    </row>
    <row r="6189">
      <c r="A6189" s="4">
        <v>45534.36702634259</v>
      </c>
      <c r="B6189" s="5" t="s">
        <v>34</v>
      </c>
      <c r="D6189" s="5" t="s">
        <v>14424</v>
      </c>
      <c r="E6189" s="5" t="s">
        <v>40270</v>
      </c>
      <c r="F6189" s="5" t="s">
        <v>375</v>
      </c>
      <c r="G6189" s="5" t="s">
        <v>40271</v>
      </c>
      <c r="H6189" s="6" t="s">
        <v>40272</v>
      </c>
      <c r="K6189" s="5" t="s">
        <v>40257</v>
      </c>
      <c r="M6189" s="5" t="s">
        <v>40273</v>
      </c>
      <c r="N6189" s="7" t="s">
        <v>40274</v>
      </c>
      <c r="O6189" s="8" t="str">
        <f>HYPERLINK("https://drive.google.com/file/d/1N1cxd59ptKhmbIMKse5MViNiM47kCTcG/view?usp=drivesdk","6188_SUKMA ELVIYA, SKM _ SERTIFIKAT BerAKHLAK")</f>
        <v>6188_SUKMA ELVIYA, SKM _ SERTIFIKAT BerAKHLAK</v>
      </c>
      <c r="P6189" s="5" t="s">
        <v>40275</v>
      </c>
    </row>
    <row r="6190" hidden="1">
      <c r="A6190" s="4">
        <v>45534.36704670139</v>
      </c>
      <c r="B6190" s="5" t="s">
        <v>19</v>
      </c>
      <c r="C6190" s="5" t="s">
        <v>292</v>
      </c>
      <c r="E6190" s="5" t="s">
        <v>40276</v>
      </c>
      <c r="F6190" s="5" t="s">
        <v>375</v>
      </c>
      <c r="G6190" s="5" t="s">
        <v>40277</v>
      </c>
      <c r="H6190" s="6" t="s">
        <v>40278</v>
      </c>
      <c r="K6190" s="5" t="s">
        <v>40279</v>
      </c>
      <c r="M6190" s="5" t="s">
        <v>40280</v>
      </c>
      <c r="N6190" s="7" t="s">
        <v>40281</v>
      </c>
      <c r="O6190" s="8" t="str">
        <f>HYPERLINK("https://drive.google.com/file/d/1WiRpKiVEvWKArq1QF5fiK_AUmYTX75By/view?usp=drivesdk","6189_Muhamad Sigit Raharjo, SE _ SERTIFIKAT BerAKHLAK")</f>
        <v>6189_Muhamad Sigit Raharjo, SE _ SERTIFIKAT BerAKHLAK</v>
      </c>
      <c r="P6190" s="5" t="s">
        <v>40275</v>
      </c>
    </row>
    <row r="6191">
      <c r="A6191" s="4">
        <v>45534.36706387732</v>
      </c>
      <c r="B6191" s="5" t="s">
        <v>34</v>
      </c>
      <c r="D6191" s="5" t="s">
        <v>4775</v>
      </c>
      <c r="E6191" s="5" t="s">
        <v>40282</v>
      </c>
      <c r="F6191" s="5" t="s">
        <v>199</v>
      </c>
      <c r="G6191" s="5" t="s">
        <v>40283</v>
      </c>
      <c r="H6191" s="6" t="s">
        <v>40284</v>
      </c>
      <c r="K6191" s="5" t="s">
        <v>40279</v>
      </c>
      <c r="M6191" s="5" t="s">
        <v>40285</v>
      </c>
      <c r="N6191" s="7" t="s">
        <v>40286</v>
      </c>
      <c r="O6191" s="8" t="str">
        <f>HYPERLINK("https://drive.google.com/file/d/1mKQilpPWlpKDWuypDfC_g2lpTmnMupEs/view?usp=drivesdk","6190_MOCH. SOLEH _ SERTIFIKAT BerAKHLAK")</f>
        <v>6190_MOCH. SOLEH _ SERTIFIKAT BerAKHLAK</v>
      </c>
      <c r="P6191" s="5" t="s">
        <v>40275</v>
      </c>
    </row>
    <row r="6192">
      <c r="A6192" s="4">
        <v>45534.36707076389</v>
      </c>
      <c r="B6192" s="5" t="s">
        <v>34</v>
      </c>
      <c r="D6192" s="5" t="s">
        <v>4775</v>
      </c>
      <c r="E6192" s="5" t="s">
        <v>40287</v>
      </c>
      <c r="F6192" s="5" t="s">
        <v>212</v>
      </c>
      <c r="G6192" s="5" t="s">
        <v>40288</v>
      </c>
      <c r="H6192" s="6" t="s">
        <v>40289</v>
      </c>
      <c r="K6192" s="5" t="s">
        <v>40279</v>
      </c>
      <c r="M6192" s="5" t="s">
        <v>40290</v>
      </c>
      <c r="N6192" s="7" t="s">
        <v>40291</v>
      </c>
      <c r="O6192" s="8" t="str">
        <f>HYPERLINK("https://drive.google.com/file/d/1ANER_DhiowruWSlMpDsZ47FUNFje1nVG/view?usp=drivesdk","6191_SITI SUDARINI _ SERTIFIKAT BerAKHLAK")</f>
        <v>6191_SITI SUDARINI _ SERTIFIKAT BerAKHLAK</v>
      </c>
      <c r="P6192" s="5" t="s">
        <v>40275</v>
      </c>
    </row>
    <row r="6193">
      <c r="A6193" s="4">
        <v>45534.36709381944</v>
      </c>
      <c r="B6193" s="5" t="s">
        <v>34</v>
      </c>
      <c r="D6193" s="5" t="s">
        <v>9394</v>
      </c>
      <c r="E6193" s="5" t="s">
        <v>40292</v>
      </c>
      <c r="F6193" s="5" t="s">
        <v>375</v>
      </c>
      <c r="G6193" s="5" t="s">
        <v>40293</v>
      </c>
      <c r="H6193" s="6" t="s">
        <v>40294</v>
      </c>
      <c r="K6193" s="5" t="s">
        <v>40295</v>
      </c>
      <c r="M6193" s="5" t="s">
        <v>40296</v>
      </c>
      <c r="N6193" s="7" t="s">
        <v>40297</v>
      </c>
      <c r="O6193" s="8" t="str">
        <f>HYPERLINK("https://drive.google.com/file/d/1k9VEb9HLktWWQD9Mictn9b0_uvWMmRbP/view?usp=drivesdk","6192_dr. ADE MILDA AGUSTRIYANI, Sp KKLP _ SERTIFIKAT BerAKHLAK")</f>
        <v>6192_dr. ADE MILDA AGUSTRIYANI, Sp KKLP _ SERTIFIKAT BerAKHLAK</v>
      </c>
      <c r="P6193" s="5" t="s">
        <v>40298</v>
      </c>
    </row>
    <row r="6194" hidden="1">
      <c r="A6194" s="4">
        <v>45534.36709410879</v>
      </c>
      <c r="B6194" s="5" t="s">
        <v>19</v>
      </c>
      <c r="C6194" s="5" t="s">
        <v>315</v>
      </c>
      <c r="E6194" s="5" t="s">
        <v>40299</v>
      </c>
      <c r="F6194" s="5" t="s">
        <v>524</v>
      </c>
      <c r="G6194" s="5" t="s">
        <v>40300</v>
      </c>
      <c r="H6194" s="6" t="s">
        <v>40301</v>
      </c>
      <c r="K6194" s="5" t="s">
        <v>40295</v>
      </c>
      <c r="M6194" s="5" t="s">
        <v>40302</v>
      </c>
      <c r="N6194" s="7" t="s">
        <v>40303</v>
      </c>
      <c r="O6194" s="8" t="str">
        <f>HYPERLINK("https://drive.google.com/file/d/1TRWh1Z6I8DGk_XnwFd53_r_7eCZ7lXXQ/view?usp=drivesdk","6193_ANTON WIBOWO _ SERTIFIKAT BerAKHLAK")</f>
        <v>6193_ANTON WIBOWO _ SERTIFIKAT BerAKHLAK</v>
      </c>
      <c r="P6194" s="5" t="s">
        <v>40298</v>
      </c>
    </row>
    <row r="6195">
      <c r="A6195" s="4">
        <v>45534.3670946412</v>
      </c>
      <c r="B6195" s="5" t="s">
        <v>34</v>
      </c>
      <c r="D6195" s="5" t="s">
        <v>1206</v>
      </c>
      <c r="E6195" s="5" t="s">
        <v>40304</v>
      </c>
      <c r="F6195" s="5" t="s">
        <v>212</v>
      </c>
      <c r="G6195" s="5" t="s">
        <v>40305</v>
      </c>
      <c r="H6195" s="6" t="s">
        <v>40306</v>
      </c>
      <c r="K6195" s="5" t="s">
        <v>40295</v>
      </c>
      <c r="M6195" s="5" t="s">
        <v>40307</v>
      </c>
      <c r="N6195" s="7" t="s">
        <v>40308</v>
      </c>
      <c r="O6195" s="8" t="str">
        <f>HYPERLINK("https://drive.google.com/file/d/10jbKII5JRAbnFbNh-Aek1MKCrJzdSTF9/view?usp=drivesdk","6194_WIDI SURYANINGRUM, A.Md. Kep _ SERTIFIKAT BerAKHLAK")</f>
        <v>6194_WIDI SURYANINGRUM, A.Md. Kep _ SERTIFIKAT BerAKHLAK</v>
      </c>
      <c r="P6195" s="5" t="s">
        <v>40298</v>
      </c>
    </row>
    <row r="6196">
      <c r="A6196" s="4">
        <v>45534.36712362268</v>
      </c>
      <c r="B6196" s="5" t="s">
        <v>34</v>
      </c>
      <c r="D6196" s="5" t="s">
        <v>15401</v>
      </c>
      <c r="E6196" s="5" t="s">
        <v>40309</v>
      </c>
      <c r="F6196" s="5" t="s">
        <v>72</v>
      </c>
      <c r="G6196" s="5" t="s">
        <v>40310</v>
      </c>
      <c r="H6196" s="6" t="s">
        <v>40311</v>
      </c>
      <c r="K6196" s="5" t="s">
        <v>40312</v>
      </c>
      <c r="M6196" s="5" t="s">
        <v>40313</v>
      </c>
      <c r="N6196" s="7" t="s">
        <v>40314</v>
      </c>
      <c r="O6196" s="8" t="str">
        <f>HYPERLINK("https://drive.google.com/file/d/11ypr9pK-vanls3EN1pqR5A81qhUWUlE0/view?usp=drivesdk","6195_DAE SARI HUSEN, S.Sos. _ SERTIFIKAT BerAKHLAK")</f>
        <v>6195_DAE SARI HUSEN, S.Sos. _ SERTIFIKAT BerAKHLAK</v>
      </c>
      <c r="P6196" s="5" t="s">
        <v>40298</v>
      </c>
    </row>
    <row r="6197">
      <c r="A6197" s="4">
        <v>45534.367127060184</v>
      </c>
      <c r="B6197" s="5" t="s">
        <v>34</v>
      </c>
      <c r="D6197" s="5" t="s">
        <v>1206</v>
      </c>
      <c r="E6197" s="5" t="s">
        <v>40315</v>
      </c>
      <c r="F6197" s="5" t="s">
        <v>72</v>
      </c>
      <c r="G6197" s="5" t="s">
        <v>40316</v>
      </c>
      <c r="H6197" s="6" t="s">
        <v>40317</v>
      </c>
      <c r="K6197" s="5" t="s">
        <v>40312</v>
      </c>
      <c r="M6197" s="5" t="s">
        <v>40318</v>
      </c>
      <c r="N6197" s="7" t="s">
        <v>40319</v>
      </c>
      <c r="O6197" s="8" t="str">
        <f>HYPERLINK("https://drive.google.com/file/d/1GwYL3XP4V9DP88wJqXMXpfNmWD8oQfHY/view?usp=drivesdk","6196_HARISUSILO _ SERTIFIKAT BerAKHLAK")</f>
        <v>6196_HARISUSILO _ SERTIFIKAT BerAKHLAK</v>
      </c>
      <c r="P6197" s="5" t="s">
        <v>40298</v>
      </c>
    </row>
    <row r="6198">
      <c r="A6198" s="4">
        <v>45534.36713006944</v>
      </c>
      <c r="B6198" s="5" t="s">
        <v>34</v>
      </c>
      <c r="D6198" s="5" t="s">
        <v>1206</v>
      </c>
      <c r="E6198" s="5" t="s">
        <v>40320</v>
      </c>
      <c r="F6198" s="5" t="s">
        <v>375</v>
      </c>
      <c r="G6198" s="5" t="s">
        <v>40321</v>
      </c>
      <c r="H6198" s="6" t="s">
        <v>40322</v>
      </c>
      <c r="K6198" s="5" t="s">
        <v>40312</v>
      </c>
      <c r="M6198" s="5" t="s">
        <v>40323</v>
      </c>
      <c r="N6198" s="7" t="s">
        <v>40324</v>
      </c>
      <c r="O6198" s="8" t="str">
        <f>HYPERLINK("https://drive.google.com/file/d/1jjN86rmgVJ9TgmsBQlFDY7Uni7OGrb9L/view?usp=drivesdk","6197_YUNI RAHMAWATI, S.E., M.M. _ SERTIFIKAT BerAKHLAK")</f>
        <v>6197_YUNI RAHMAWATI, S.E., M.M. _ SERTIFIKAT BerAKHLAK</v>
      </c>
      <c r="P6198" s="5" t="s">
        <v>40325</v>
      </c>
    </row>
    <row r="6199">
      <c r="A6199" s="4">
        <v>45534.36714446759</v>
      </c>
      <c r="B6199" s="5" t="s">
        <v>34</v>
      </c>
      <c r="D6199" s="5" t="s">
        <v>6232</v>
      </c>
      <c r="E6199" s="5" t="s">
        <v>40326</v>
      </c>
      <c r="F6199" s="5" t="s">
        <v>212</v>
      </c>
      <c r="G6199" s="5" t="s">
        <v>40327</v>
      </c>
      <c r="H6199" s="6" t="s">
        <v>40328</v>
      </c>
      <c r="K6199" s="5" t="s">
        <v>40329</v>
      </c>
      <c r="M6199" s="5" t="s">
        <v>40330</v>
      </c>
      <c r="N6199" s="7" t="s">
        <v>40331</v>
      </c>
      <c r="O6199" s="8" t="str">
        <f>HYPERLINK("https://drive.google.com/file/d/1fYXP6HIJN-WO9ulau-3FV7yHWMDpy-ha/view?usp=drivesdk","6198_ELISBET AGUSTIARNIDA _ SERTIFIKAT BerAKHLAK")</f>
        <v>6198_ELISBET AGUSTIARNIDA _ SERTIFIKAT BerAKHLAK</v>
      </c>
      <c r="P6199" s="5" t="s">
        <v>40325</v>
      </c>
    </row>
    <row r="6200" hidden="1">
      <c r="A6200" s="4">
        <v>45534.36714814814</v>
      </c>
      <c r="B6200" s="5" t="s">
        <v>19</v>
      </c>
      <c r="C6200" s="5" t="s">
        <v>40230</v>
      </c>
      <c r="E6200" s="5" t="s">
        <v>40332</v>
      </c>
      <c r="F6200" s="5" t="s">
        <v>524</v>
      </c>
      <c r="G6200" s="5" t="s">
        <v>40333</v>
      </c>
      <c r="H6200" s="6" t="s">
        <v>40334</v>
      </c>
      <c r="K6200" s="5" t="s">
        <v>40329</v>
      </c>
      <c r="M6200" s="5" t="s">
        <v>40335</v>
      </c>
      <c r="N6200" s="7" t="s">
        <v>40336</v>
      </c>
      <c r="O6200" s="8" t="str">
        <f>HYPERLINK("https://drive.google.com/file/d/1322OOQcjz75djGnsfjNlQ1ITzy0YOCos/view?usp=drivesdk","6199_UTUN SAMSIAH, S.H. _ SERTIFIKAT BerAKHLAK")</f>
        <v>6199_UTUN SAMSIAH, S.H. _ SERTIFIKAT BerAKHLAK</v>
      </c>
      <c r="P6200" s="5" t="s">
        <v>40325</v>
      </c>
    </row>
    <row r="6201" hidden="1">
      <c r="A6201" s="4">
        <v>45534.367148125</v>
      </c>
      <c r="B6201" s="5" t="s">
        <v>19</v>
      </c>
      <c r="C6201" s="5" t="s">
        <v>292</v>
      </c>
      <c r="E6201" s="5" t="s">
        <v>40337</v>
      </c>
      <c r="F6201" s="5" t="s">
        <v>212</v>
      </c>
      <c r="G6201" s="5" t="s">
        <v>40338</v>
      </c>
      <c r="H6201" s="6" t="s">
        <v>40339</v>
      </c>
      <c r="K6201" s="5" t="s">
        <v>40329</v>
      </c>
      <c r="M6201" s="5" t="s">
        <v>40340</v>
      </c>
      <c r="N6201" s="7" t="s">
        <v>40341</v>
      </c>
      <c r="O6201" s="8" t="str">
        <f>HYPERLINK("https://drive.google.com/file/d/17JxnvBYeIUjpt51w9A6daLN7iohKc57t/view?usp=drivesdk","6200_YUDI PUTRA PRATAMA _ SERTIFIKAT BerAKHLAK")</f>
        <v>6200_YUDI PUTRA PRATAMA _ SERTIFIKAT BerAKHLAK</v>
      </c>
      <c r="P6201" s="5" t="s">
        <v>40325</v>
      </c>
    </row>
    <row r="6202">
      <c r="A6202" s="4">
        <v>45534.3671641088</v>
      </c>
      <c r="B6202" s="5" t="s">
        <v>34</v>
      </c>
      <c r="D6202" s="5" t="s">
        <v>14424</v>
      </c>
      <c r="E6202" s="5" t="s">
        <v>40342</v>
      </c>
      <c r="F6202" s="5" t="s">
        <v>375</v>
      </c>
      <c r="G6202" s="5" t="s">
        <v>40343</v>
      </c>
      <c r="H6202" s="6" t="s">
        <v>40344</v>
      </c>
      <c r="K6202" s="5" t="s">
        <v>40345</v>
      </c>
      <c r="M6202" s="5" t="s">
        <v>40346</v>
      </c>
      <c r="N6202" s="7" t="s">
        <v>40347</v>
      </c>
      <c r="O6202" s="8" t="str">
        <f>HYPERLINK("https://drive.google.com/file/d/1YaG1QBBQ1sXpSfR3NdG574W1hiwS2WUJ/view?usp=drivesdk","6201_HARTATI. SE _ SERTIFIKAT BerAKHLAK")</f>
        <v>6201_HARTATI. SE _ SERTIFIKAT BerAKHLAK</v>
      </c>
      <c r="P6202" s="5" t="s">
        <v>40325</v>
      </c>
    </row>
    <row r="6203">
      <c r="A6203" s="4">
        <v>45534.36717006944</v>
      </c>
      <c r="B6203" s="5" t="s">
        <v>34</v>
      </c>
      <c r="D6203" s="5" t="s">
        <v>9394</v>
      </c>
      <c r="E6203" s="5" t="s">
        <v>40348</v>
      </c>
      <c r="F6203" s="5" t="s">
        <v>212</v>
      </c>
      <c r="G6203" s="5" t="s">
        <v>40349</v>
      </c>
      <c r="H6203" s="6" t="s">
        <v>40350</v>
      </c>
      <c r="K6203" s="5" t="s">
        <v>40345</v>
      </c>
      <c r="M6203" s="5" t="s">
        <v>40351</v>
      </c>
      <c r="N6203" s="7" t="s">
        <v>40352</v>
      </c>
      <c r="O6203" s="8" t="str">
        <f>HYPERLINK("https://drive.google.com/file/d/1-CAOXc30me2dOVUB8W2wSjd1s7Hc1QGR/view?usp=drivesdk","6202_ROBERT PARDOSI _ SERTIFIKAT BerAKHLAK")</f>
        <v>6202_ROBERT PARDOSI _ SERTIFIKAT BerAKHLAK</v>
      </c>
      <c r="P6203" s="5" t="s">
        <v>40353</v>
      </c>
    </row>
    <row r="6204">
      <c r="A6204" s="4">
        <v>45534.367173287035</v>
      </c>
      <c r="B6204" s="5" t="s">
        <v>34</v>
      </c>
      <c r="D6204" s="5" t="s">
        <v>9394</v>
      </c>
      <c r="E6204" s="5" t="s">
        <v>40354</v>
      </c>
      <c r="F6204" s="5" t="s">
        <v>524</v>
      </c>
      <c r="G6204" s="5" t="s">
        <v>40355</v>
      </c>
      <c r="H6204" s="6" t="s">
        <v>40356</v>
      </c>
      <c r="K6204" s="5" t="s">
        <v>40345</v>
      </c>
      <c r="M6204" s="5" t="s">
        <v>40357</v>
      </c>
      <c r="N6204" s="7" t="s">
        <v>40358</v>
      </c>
      <c r="O6204" s="8" t="str">
        <f>HYPERLINK("https://drive.google.com/file/d/1AdVXtF_8ypttQlPXW7ban1H59Ce1ngfG/view?usp=drivesdk","6203_Lidia Romauli Panjaitan, A.Md.Kep., SE _ SERTIFIKAT BerAKHLAK")</f>
        <v>6203_Lidia Romauli Panjaitan, A.Md.Kep., SE _ SERTIFIKAT BerAKHLAK</v>
      </c>
      <c r="P6204" s="5" t="s">
        <v>40353</v>
      </c>
    </row>
    <row r="6205">
      <c r="A6205" s="4">
        <v>45534.36718755787</v>
      </c>
      <c r="B6205" s="5" t="s">
        <v>34</v>
      </c>
      <c r="D6205" s="5" t="s">
        <v>14313</v>
      </c>
      <c r="E6205" s="5" t="s">
        <v>40359</v>
      </c>
      <c r="F6205" s="5" t="s">
        <v>524</v>
      </c>
      <c r="G6205" s="5" t="s">
        <v>40360</v>
      </c>
      <c r="H6205" s="6" t="s">
        <v>40361</v>
      </c>
      <c r="K6205" s="5" t="s">
        <v>40345</v>
      </c>
      <c r="M6205" s="5" t="s">
        <v>40362</v>
      </c>
      <c r="N6205" s="7" t="s">
        <v>40363</v>
      </c>
      <c r="O6205" s="8" t="str">
        <f>HYPERLINK("https://drive.google.com/file/d/1Mptzxr90zQ9SXTkO3EX9AZ1w7f-1eFPq/view?usp=drivesdk","6204_SITTI FATIMAH, A.Md. _ SERTIFIKAT BerAKHLAK")</f>
        <v>6204_SITTI FATIMAH, A.Md. _ SERTIFIKAT BerAKHLAK</v>
      </c>
      <c r="P6205" s="5" t="s">
        <v>40353</v>
      </c>
    </row>
    <row r="6206">
      <c r="A6206" s="4">
        <v>45534.36722856481</v>
      </c>
      <c r="B6206" s="5" t="s">
        <v>34</v>
      </c>
      <c r="D6206" s="5" t="s">
        <v>14313</v>
      </c>
      <c r="E6206" s="5" t="s">
        <v>40364</v>
      </c>
      <c r="F6206" s="5" t="s">
        <v>212</v>
      </c>
      <c r="G6206" s="5" t="s">
        <v>40365</v>
      </c>
      <c r="H6206" s="6" t="s">
        <v>40366</v>
      </c>
      <c r="I6206" s="7" t="s">
        <v>40367</v>
      </c>
      <c r="J6206" s="8" t="str">
        <f>HYPERLINK("https://drive.google.com/file/d/1iXvs8HnvEOMLYGoLtsQPhghj-WA1xAD_/view?usp=drivesdk","A. MARWANA SERTIFIKAT BerAKHLAK")</f>
        <v>A. MARWANA SERTIFIKAT BerAKHLAK</v>
      </c>
      <c r="K6206" s="5" t="s">
        <v>40077</v>
      </c>
      <c r="L6206" s="5" t="s">
        <v>40368</v>
      </c>
      <c r="M6206" s="5" t="s">
        <v>40369</v>
      </c>
      <c r="N6206" s="7" t="s">
        <v>40370</v>
      </c>
      <c r="O6206" s="8" t="str">
        <f>HYPERLINK("https://drive.google.com/file/d/19hev1D96hktNbWz9jeb9h22DJ3jCUJPH/view?usp=drivesdk","6205_A. MARWANA _ SERTIFIKAT BerAKHLAK")</f>
        <v>6205_A. MARWANA _ SERTIFIKAT BerAKHLAK</v>
      </c>
      <c r="P6206" s="5" t="s">
        <v>40353</v>
      </c>
    </row>
    <row r="6207" hidden="1">
      <c r="A6207" s="4">
        <v>45534.36723238426</v>
      </c>
      <c r="B6207" s="5" t="s">
        <v>19</v>
      </c>
      <c r="C6207" s="5" t="s">
        <v>10418</v>
      </c>
      <c r="E6207" s="5" t="s">
        <v>40371</v>
      </c>
      <c r="F6207" s="5" t="s">
        <v>524</v>
      </c>
      <c r="G6207" s="5" t="s">
        <v>40372</v>
      </c>
      <c r="H6207" s="6" t="s">
        <v>40373</v>
      </c>
      <c r="I6207" s="7" t="s">
        <v>40374</v>
      </c>
      <c r="J6207" s="8" t="str">
        <f>HYPERLINK("https://drive.google.com/file/d/1M354TLME3DrfrvlqCyFZpmsOsJfKuECb/view?usp=drivesdk","SUWIKNO SERTIFIKAT BerAKHLAK")</f>
        <v>SUWIKNO SERTIFIKAT BerAKHLAK</v>
      </c>
      <c r="K6207" s="5" t="s">
        <v>40077</v>
      </c>
      <c r="L6207" s="5" t="s">
        <v>40375</v>
      </c>
      <c r="M6207" s="5" t="s">
        <v>40376</v>
      </c>
      <c r="N6207" s="7" t="s">
        <v>40377</v>
      </c>
      <c r="O6207" s="8" t="str">
        <f>HYPERLINK("https://drive.google.com/file/d/1oivmb0dHRiX08rOdTl2zWzf93AsUZeOG/view?usp=drivesdk","6206_SUWIKNO _ SERTIFIKAT BerAKHLAK")</f>
        <v>6206_SUWIKNO _ SERTIFIKAT BerAKHLAK</v>
      </c>
      <c r="P6207" s="5" t="s">
        <v>40353</v>
      </c>
    </row>
    <row r="6208">
      <c r="A6208" s="4">
        <v>45534.36723746528</v>
      </c>
      <c r="B6208" s="5" t="s">
        <v>34</v>
      </c>
      <c r="D6208" s="5" t="s">
        <v>4775</v>
      </c>
      <c r="E6208" s="5" t="s">
        <v>40378</v>
      </c>
      <c r="F6208" s="5" t="s">
        <v>328</v>
      </c>
      <c r="G6208" s="5" t="s">
        <v>40379</v>
      </c>
      <c r="H6208" s="6" t="s">
        <v>40380</v>
      </c>
      <c r="K6208" s="5" t="s">
        <v>40381</v>
      </c>
      <c r="M6208" s="5" t="s">
        <v>40382</v>
      </c>
      <c r="N6208" s="7" t="s">
        <v>40383</v>
      </c>
      <c r="O6208" s="8" t="str">
        <f>HYPERLINK("https://drive.google.com/file/d/1vG7Il64L7jqvxmEo6cQKoOR63UAplRg6/view?usp=drivesdk","6207_HERU MARSUDI _ SERTIFIKAT BerAKHLAK")</f>
        <v>6207_HERU MARSUDI _ SERTIFIKAT BerAKHLAK</v>
      </c>
      <c r="P6208" s="5" t="s">
        <v>40384</v>
      </c>
    </row>
    <row r="6209">
      <c r="A6209" s="4">
        <v>45534.36725369213</v>
      </c>
      <c r="B6209" s="5" t="s">
        <v>34</v>
      </c>
      <c r="D6209" s="5" t="s">
        <v>11527</v>
      </c>
      <c r="E6209" s="5" t="s">
        <v>40385</v>
      </c>
      <c r="F6209" s="5" t="s">
        <v>72</v>
      </c>
      <c r="G6209" s="5" t="s">
        <v>40386</v>
      </c>
      <c r="H6209" s="6" t="s">
        <v>40387</v>
      </c>
      <c r="K6209" s="5" t="s">
        <v>40381</v>
      </c>
      <c r="M6209" s="5" t="s">
        <v>40388</v>
      </c>
      <c r="N6209" s="7" t="s">
        <v>40389</v>
      </c>
      <c r="O6209" s="8" t="str">
        <f>HYPERLINK("https://drive.google.com/file/d/1v3sVQNkYIvSzIsLBXN2I-wroTjhOhe_1/view?usp=drivesdk","6208_PINGKAN PAULINA MULLER, S. KOM _ SERTIFIKAT BerAKHLAK")</f>
        <v>6208_PINGKAN PAULINA MULLER, S. KOM _ SERTIFIKAT BerAKHLAK</v>
      </c>
      <c r="P6209" s="5" t="s">
        <v>40384</v>
      </c>
    </row>
    <row r="6210">
      <c r="A6210" s="4">
        <v>45534.36726611111</v>
      </c>
      <c r="B6210" s="5" t="s">
        <v>34</v>
      </c>
      <c r="D6210" s="5" t="s">
        <v>6232</v>
      </c>
      <c r="E6210" s="5" t="s">
        <v>40390</v>
      </c>
      <c r="F6210" s="5" t="s">
        <v>72</v>
      </c>
      <c r="G6210" s="5" t="s">
        <v>40391</v>
      </c>
      <c r="H6210" s="6" t="s">
        <v>40392</v>
      </c>
      <c r="I6210" s="7" t="s">
        <v>40393</v>
      </c>
      <c r="J6210" s="8" t="str">
        <f>HYPERLINK("https://drive.google.com/file/d/1y-25-rtvsyv3_3_YnpBXKg_mNF7c044o/view?usp=drivesdk","SRI WAHYUNI, A.MD.,S.M SERTIFIKAT BerAKHLAK")</f>
        <v>SRI WAHYUNI, A.MD.,S.M SERTIFIKAT BerAKHLAK</v>
      </c>
      <c r="K6210" s="5" t="s">
        <v>40077</v>
      </c>
      <c r="L6210" s="5" t="s">
        <v>40394</v>
      </c>
      <c r="M6210" s="5" t="s">
        <v>40395</v>
      </c>
      <c r="N6210" s="7" t="s">
        <v>40396</v>
      </c>
      <c r="O6210" s="8" t="str">
        <f>HYPERLINK("https://drive.google.com/file/d/12z74YdGUOq8DEo97LzUtaDG64JnbqZjt/view?usp=drivesdk","6209_SRI WAHYUNI, A.MD.,S.M _ SERTIFIKAT BerAKHLAK")</f>
        <v>6209_SRI WAHYUNI, A.MD.,S.M _ SERTIFIKAT BerAKHLAK</v>
      </c>
      <c r="P6210" s="5" t="s">
        <v>40384</v>
      </c>
    </row>
    <row r="6211">
      <c r="A6211" s="4">
        <v>45534.36728180556</v>
      </c>
      <c r="B6211" s="5" t="s">
        <v>34</v>
      </c>
      <c r="D6211" s="5" t="s">
        <v>1558</v>
      </c>
      <c r="E6211" s="5" t="s">
        <v>40397</v>
      </c>
      <c r="F6211" s="5" t="s">
        <v>375</v>
      </c>
      <c r="G6211" s="5" t="s">
        <v>40398</v>
      </c>
      <c r="H6211" s="6" t="s">
        <v>40399</v>
      </c>
      <c r="K6211" s="5" t="s">
        <v>40400</v>
      </c>
      <c r="M6211" s="5" t="s">
        <v>40401</v>
      </c>
      <c r="N6211" s="7" t="s">
        <v>40402</v>
      </c>
      <c r="O6211" s="8" t="str">
        <f>HYPERLINK("https://drive.google.com/file/d/14YkHed-BfCN3qEgqJYwpntTuSjQPsLV1/view?usp=drivesdk","6210_DYAH NOVITASARI, S.E. _ SERTIFIKAT BerAKHLAK")</f>
        <v>6210_DYAH NOVITASARI, S.E. _ SERTIFIKAT BerAKHLAK</v>
      </c>
      <c r="P6211" s="5" t="s">
        <v>40384</v>
      </c>
    </row>
    <row r="6212">
      <c r="A6212" s="4">
        <v>45534.367284803244</v>
      </c>
      <c r="B6212" s="5" t="s">
        <v>34</v>
      </c>
      <c r="D6212" s="5" t="s">
        <v>1206</v>
      </c>
      <c r="E6212" s="5" t="s">
        <v>36570</v>
      </c>
      <c r="F6212" s="5" t="s">
        <v>37</v>
      </c>
      <c r="G6212" s="5" t="s">
        <v>40403</v>
      </c>
      <c r="H6212" s="6" t="s">
        <v>40404</v>
      </c>
      <c r="K6212" s="5" t="s">
        <v>40400</v>
      </c>
      <c r="M6212" s="5" t="s">
        <v>40405</v>
      </c>
      <c r="N6212" s="7" t="s">
        <v>40406</v>
      </c>
      <c r="O6212" s="8" t="str">
        <f>HYPERLINK("https://drive.google.com/file/d/1F4GhbxMnywXOeJZ2srxRILNiA6xGblan/view?usp=drivesdk","6211_JOKO SANTOSO _ SERTIFIKAT BerAKHLAK")</f>
        <v>6211_JOKO SANTOSO _ SERTIFIKAT BerAKHLAK</v>
      </c>
      <c r="P6212" s="5" t="s">
        <v>40407</v>
      </c>
    </row>
    <row r="6213">
      <c r="A6213" s="4">
        <v>45534.36728707176</v>
      </c>
      <c r="B6213" s="5" t="s">
        <v>34</v>
      </c>
      <c r="D6213" s="5" t="s">
        <v>9020</v>
      </c>
      <c r="E6213" s="5" t="s">
        <v>40408</v>
      </c>
      <c r="F6213" s="5" t="s">
        <v>120</v>
      </c>
      <c r="G6213" s="5" t="s">
        <v>40409</v>
      </c>
      <c r="H6213" s="6" t="s">
        <v>40410</v>
      </c>
      <c r="I6213" s="7" t="s">
        <v>40411</v>
      </c>
      <c r="J6213" s="8" t="str">
        <f>HYPERLINK("https://drive.google.com/file/d/1SPUGrXyCOUl8VbPuHl5WQ-Uv2gte8a8M/view?usp=drivesdk","DR EVA HARIANI MKED DV SPDVE SERTIFIKAT BerAKHLAK")</f>
        <v>DR EVA HARIANI MKED DV SPDVE SERTIFIKAT BerAKHLAK</v>
      </c>
      <c r="K6213" s="5" t="s">
        <v>40077</v>
      </c>
      <c r="L6213" s="5" t="s">
        <v>40412</v>
      </c>
      <c r="M6213" s="5" t="s">
        <v>40413</v>
      </c>
      <c r="N6213" s="7" t="s">
        <v>40414</v>
      </c>
      <c r="O6213" s="8" t="str">
        <f>HYPERLINK("https://drive.google.com/file/d/1lUMDXy6FXnomMpvQ7_rsts-gL7A86xic/view?usp=drivesdk","6212_DR EVA HARIANI MKED DV SPDVE _ SERTIFIKAT BerAKHLAK")</f>
        <v>6212_DR EVA HARIANI MKED DV SPDVE _ SERTIFIKAT BerAKHLAK</v>
      </c>
      <c r="P6213" s="5" t="s">
        <v>40407</v>
      </c>
    </row>
    <row r="6214">
      <c r="A6214" s="4">
        <v>45534.367305277774</v>
      </c>
      <c r="B6214" s="5" t="s">
        <v>34</v>
      </c>
      <c r="D6214" s="5" t="s">
        <v>35</v>
      </c>
      <c r="E6214" s="5" t="s">
        <v>40415</v>
      </c>
      <c r="F6214" s="5" t="s">
        <v>5859</v>
      </c>
      <c r="G6214" s="5" t="s">
        <v>40416</v>
      </c>
      <c r="H6214" s="6" t="s">
        <v>40417</v>
      </c>
      <c r="I6214" s="7" t="s">
        <v>40418</v>
      </c>
      <c r="J6214" s="8" t="str">
        <f>HYPERLINK("https://drive.google.com/file/d/1ocVYAef5s_LeH-oHMG2Mh-uMX5ZLWZcz/view?usp=drivesdk","CACA WAS,'AN SERTIFIKAT BerAKHLAK")</f>
        <v>CACA WAS,'AN SERTIFIKAT BerAKHLAK</v>
      </c>
      <c r="K6214" s="5" t="s">
        <v>40077</v>
      </c>
      <c r="L6214" s="5" t="s">
        <v>40419</v>
      </c>
      <c r="M6214" s="5" t="s">
        <v>40420</v>
      </c>
      <c r="N6214" s="7" t="s">
        <v>40421</v>
      </c>
      <c r="O6214" s="8" t="str">
        <f>HYPERLINK("https://drive.google.com/file/d/1kGVLtw8cT-G1ZN4h4e_k63KbNVwskMV0/view?usp=drivesdk","6213_CACA WAS,'AN _ SERTIFIKAT BerAKHLAK")</f>
        <v>6213_CACA WAS,'AN _ SERTIFIKAT BerAKHLAK</v>
      </c>
      <c r="P6214" s="5" t="s">
        <v>40407</v>
      </c>
    </row>
    <row r="6215">
      <c r="A6215" s="4">
        <v>45534.36730628472</v>
      </c>
      <c r="B6215" s="5" t="s">
        <v>34</v>
      </c>
      <c r="D6215" s="5" t="s">
        <v>1206</v>
      </c>
      <c r="E6215" s="5" t="s">
        <v>40422</v>
      </c>
      <c r="F6215" s="5" t="s">
        <v>212</v>
      </c>
      <c r="G6215" s="5" t="s">
        <v>40423</v>
      </c>
      <c r="H6215" s="6" t="s">
        <v>40424</v>
      </c>
      <c r="K6215" s="5" t="s">
        <v>40425</v>
      </c>
      <c r="M6215" s="5" t="s">
        <v>40426</v>
      </c>
      <c r="N6215" s="7" t="s">
        <v>40427</v>
      </c>
      <c r="O6215" s="8" t="str">
        <f>HYPERLINK("https://drive.google.com/file/d/1iyB8RlJwkALvu90yrsd2d0NmkjqMfyYf/view?usp=drivesdk","6214_SIDIYANTO _ SERTIFIKAT BerAKHLAK")</f>
        <v>6214_SIDIYANTO _ SERTIFIKAT BerAKHLAK</v>
      </c>
      <c r="P6215" s="5" t="s">
        <v>40407</v>
      </c>
    </row>
    <row r="6216">
      <c r="A6216" s="4">
        <v>45534.36731417824</v>
      </c>
      <c r="B6216" s="5" t="s">
        <v>34</v>
      </c>
      <c r="D6216" s="5" t="s">
        <v>6232</v>
      </c>
      <c r="E6216" s="5" t="s">
        <v>40428</v>
      </c>
      <c r="F6216" s="5" t="s">
        <v>72</v>
      </c>
      <c r="G6216" s="5" t="s">
        <v>40429</v>
      </c>
      <c r="H6216" s="6" t="s">
        <v>40430</v>
      </c>
      <c r="K6216" s="5" t="s">
        <v>40425</v>
      </c>
      <c r="M6216" s="5" t="s">
        <v>40431</v>
      </c>
      <c r="N6216" s="7" t="s">
        <v>40432</v>
      </c>
      <c r="O6216" s="8" t="str">
        <f>HYPERLINK("https://drive.google.com/file/d/1_fPWdWmyBfJFPouIGVaVCDIcV1BR5xS1/view?usp=drivesdk","6215_IRNANAKA SIMA DEWI, S.H _ SERTIFIKAT BerAKHLAK")</f>
        <v>6215_IRNANAKA SIMA DEWI, S.H _ SERTIFIKAT BerAKHLAK</v>
      </c>
      <c r="P6216" s="5" t="s">
        <v>40407</v>
      </c>
    </row>
    <row r="6217">
      <c r="A6217" s="4">
        <v>45534.367321770835</v>
      </c>
      <c r="B6217" s="5" t="s">
        <v>34</v>
      </c>
      <c r="D6217" s="5" t="s">
        <v>701</v>
      </c>
      <c r="E6217" s="5" t="s">
        <v>40433</v>
      </c>
      <c r="F6217" s="5" t="s">
        <v>212</v>
      </c>
      <c r="G6217" s="5" t="s">
        <v>40434</v>
      </c>
      <c r="H6217" s="6" t="s">
        <v>40435</v>
      </c>
      <c r="I6217" s="7" t="s">
        <v>40436</v>
      </c>
      <c r="J6217" s="8" t="str">
        <f>HYPERLINK("https://drive.google.com/file/d/1ArY8ZWL8y5m4lXCaqPTm0YzGXlUim01t/view?usp=drivesdk","DEWI KARTIKA SERTIFIKAT BerAKHLAK")</f>
        <v>DEWI KARTIKA SERTIFIKAT BerAKHLAK</v>
      </c>
      <c r="K6217" s="5" t="s">
        <v>40077</v>
      </c>
      <c r="L6217" s="5" t="s">
        <v>40437</v>
      </c>
      <c r="M6217" s="5" t="s">
        <v>40438</v>
      </c>
      <c r="N6217" s="7" t="s">
        <v>40439</v>
      </c>
      <c r="O6217" s="8" t="str">
        <f>HYPERLINK("https://drive.google.com/file/d/1HIoq9mefusUt2Bf5C1_FMhIMmQPx4OpE/view?usp=drivesdk","6216_DEWI KARTIKA _ SERTIFIKAT BerAKHLAK")</f>
        <v>6216_DEWI KARTIKA _ SERTIFIKAT BerAKHLAK</v>
      </c>
      <c r="P6217" s="5" t="s">
        <v>40440</v>
      </c>
    </row>
    <row r="6218">
      <c r="A6218" s="4">
        <v>45534.367336932875</v>
      </c>
      <c r="B6218" s="5" t="s">
        <v>34</v>
      </c>
      <c r="D6218" s="5" t="s">
        <v>9020</v>
      </c>
      <c r="E6218" s="5" t="s">
        <v>40441</v>
      </c>
      <c r="F6218" s="5" t="s">
        <v>212</v>
      </c>
      <c r="G6218" s="5" t="s">
        <v>40442</v>
      </c>
      <c r="H6218" s="6" t="s">
        <v>40443</v>
      </c>
      <c r="I6218" s="7" t="s">
        <v>40444</v>
      </c>
      <c r="J6218" s="8" t="str">
        <f>HYPERLINK("https://drive.google.com/file/d/1jHD_qXRMOdo9ZdOVVcS8ABAnnQIj3FMV/view?usp=drivesdk","SITIROMA HARAHAP SERTIFIKAT BerAKHLAK")</f>
        <v>SITIROMA HARAHAP SERTIFIKAT BerAKHLAK</v>
      </c>
      <c r="K6218" s="5" t="s">
        <v>40077</v>
      </c>
      <c r="L6218" s="5" t="s">
        <v>40445</v>
      </c>
      <c r="M6218" s="5" t="s">
        <v>40446</v>
      </c>
      <c r="N6218" s="7" t="s">
        <v>40447</v>
      </c>
      <c r="O6218" s="8" t="str">
        <f>HYPERLINK("https://drive.google.com/file/d/1r9V8V6oiIv8riBO9ZPA8gDsi1jue5LxX/view?usp=drivesdk","6217_SITIROMA HARAHAP _ SERTIFIKAT BerAKHLAK")</f>
        <v>6217_SITIROMA HARAHAP _ SERTIFIKAT BerAKHLAK</v>
      </c>
      <c r="P6218" s="5" t="s">
        <v>40440</v>
      </c>
    </row>
    <row r="6219">
      <c r="A6219" s="4">
        <v>45534.36735738426</v>
      </c>
      <c r="B6219" s="5" t="s">
        <v>34</v>
      </c>
      <c r="D6219" s="5" t="s">
        <v>2903</v>
      </c>
      <c r="E6219" s="5" t="s">
        <v>40448</v>
      </c>
      <c r="F6219" s="5" t="s">
        <v>72</v>
      </c>
      <c r="G6219" s="5" t="s">
        <v>40449</v>
      </c>
      <c r="H6219" s="6" t="s">
        <v>40450</v>
      </c>
      <c r="I6219" s="7" t="s">
        <v>40451</v>
      </c>
      <c r="J6219" s="8" t="str">
        <f>HYPERLINK("https://drive.google.com/file/d/1f2X4XHcXFSp7iFaAAIh4JgesydBpEIz3/view?usp=drivesdk","HENNY ERWIN SKM  SERTIFIKAT BerAKHLAK")</f>
        <v>HENNY ERWIN SKM  SERTIFIKAT BerAKHLAK</v>
      </c>
      <c r="K6219" s="5" t="s">
        <v>40077</v>
      </c>
      <c r="L6219" s="5" t="s">
        <v>40452</v>
      </c>
      <c r="M6219" s="5" t="s">
        <v>40453</v>
      </c>
      <c r="N6219" s="7" t="s">
        <v>40454</v>
      </c>
      <c r="O6219" s="8" t="str">
        <f>HYPERLINK("https://drive.google.com/file/d/1W_Snm_EYFfgdsp2y7b4kpHgk9AZCcV8W/view?usp=drivesdk","6218_HENNY ERWIN SKM  _ SERTIFIKAT BerAKHLAK")</f>
        <v>6218_HENNY ERWIN SKM  _ SERTIFIKAT BerAKHLAK</v>
      </c>
      <c r="P6219" s="5" t="s">
        <v>40440</v>
      </c>
    </row>
    <row r="6220">
      <c r="A6220" s="4">
        <v>45534.36739321759</v>
      </c>
      <c r="B6220" s="5" t="s">
        <v>34</v>
      </c>
      <c r="D6220" s="5" t="s">
        <v>14313</v>
      </c>
      <c r="E6220" s="5" t="s">
        <v>40455</v>
      </c>
      <c r="F6220" s="5" t="s">
        <v>375</v>
      </c>
      <c r="G6220" s="5" t="s">
        <v>40456</v>
      </c>
      <c r="H6220" s="6" t="s">
        <v>40457</v>
      </c>
      <c r="I6220" s="7" t="s">
        <v>40458</v>
      </c>
      <c r="J6220" s="8" t="str">
        <f>HYPERLINK("https://drive.google.com/file/d/1So3TB-GyDSJY9lYnMzPPSQwu4ZwMNF_n/view?usp=drivesdk","Drs. NASRUL SERTIFIKAT BerAKHLAK")</f>
        <v>Drs. NASRUL SERTIFIKAT BerAKHLAK</v>
      </c>
      <c r="K6220" s="5" t="s">
        <v>40077</v>
      </c>
      <c r="L6220" s="5" t="s">
        <v>40459</v>
      </c>
      <c r="M6220" s="5" t="s">
        <v>40460</v>
      </c>
      <c r="N6220" s="7" t="s">
        <v>40461</v>
      </c>
      <c r="O6220" s="8" t="str">
        <f>HYPERLINK("https://drive.google.com/file/d/1667XS_5D3PDv1CUNcrAZibkcmBfSQQBi/view?usp=drivesdk","6219_Drs. NASRUL _ SERTIFIKAT BerAKHLAK")</f>
        <v>6219_Drs. NASRUL _ SERTIFIKAT BerAKHLAK</v>
      </c>
      <c r="P6220" s="5" t="s">
        <v>40440</v>
      </c>
    </row>
    <row r="6221">
      <c r="A6221" s="4">
        <v>45534.367411631945</v>
      </c>
      <c r="B6221" s="5" t="s">
        <v>34</v>
      </c>
      <c r="D6221" s="5" t="s">
        <v>2903</v>
      </c>
      <c r="E6221" s="5" t="s">
        <v>40462</v>
      </c>
      <c r="F6221" s="5" t="s">
        <v>37</v>
      </c>
      <c r="G6221" s="5" t="s">
        <v>40463</v>
      </c>
      <c r="H6221" s="6" t="s">
        <v>40464</v>
      </c>
      <c r="K6221" s="5" t="s">
        <v>40465</v>
      </c>
      <c r="M6221" s="5" t="s">
        <v>40466</v>
      </c>
      <c r="N6221" s="7" t="s">
        <v>40467</v>
      </c>
      <c r="O6221" s="8" t="str">
        <f>HYPERLINK("https://drive.google.com/file/d/1rkwTm9HyD3uPKC17phTWGcZtUKmCDy2Z/view?usp=drivesdk","6220_IKE MANDA HUTARI, A.MD. KEB _ SERTIFIKAT BerAKHLAK")</f>
        <v>6220_IKE MANDA HUTARI, A.MD. KEB _ SERTIFIKAT BerAKHLAK</v>
      </c>
      <c r="P6221" s="5" t="s">
        <v>40440</v>
      </c>
    </row>
    <row r="6222">
      <c r="A6222" s="4">
        <v>45534.367422129624</v>
      </c>
      <c r="B6222" s="5" t="s">
        <v>34</v>
      </c>
      <c r="D6222" s="5" t="s">
        <v>1206</v>
      </c>
      <c r="E6222" s="5" t="s">
        <v>30653</v>
      </c>
      <c r="F6222" s="5" t="s">
        <v>199</v>
      </c>
      <c r="G6222" s="5" t="s">
        <v>40468</v>
      </c>
      <c r="H6222" s="6" t="s">
        <v>40469</v>
      </c>
      <c r="I6222" s="7" t="s">
        <v>40470</v>
      </c>
      <c r="J6222" s="8" t="str">
        <f>HYPERLINK("https://drive.google.com/file/d/1fptEq7HYE4BjdPA6TxNQ3i4eRxyMDAmw/view?usp=drivesdk","SUGENG RIYADI SERTIFIKAT BerAKHLAK")</f>
        <v>SUGENG RIYADI SERTIFIKAT BerAKHLAK</v>
      </c>
      <c r="K6222" s="5" t="s">
        <v>40077</v>
      </c>
      <c r="L6222" s="5" t="s">
        <v>40471</v>
      </c>
      <c r="M6222" s="5" t="s">
        <v>40472</v>
      </c>
      <c r="N6222" s="7" t="s">
        <v>40473</v>
      </c>
      <c r="O6222" s="8" t="str">
        <f>HYPERLINK("https://drive.google.com/file/d/1MtwInkDc1HWRuJGyQ-81ylCC93sdrBzX/view?usp=drivesdk","6221_SUGENG RIYADI _ SERTIFIKAT BerAKHLAK")</f>
        <v>6221_SUGENG RIYADI _ SERTIFIKAT BerAKHLAK</v>
      </c>
      <c r="P6222" s="5" t="s">
        <v>40474</v>
      </c>
    </row>
    <row r="6223">
      <c r="A6223" s="4">
        <v>45534.367430694445</v>
      </c>
      <c r="B6223" s="5" t="s">
        <v>34</v>
      </c>
      <c r="D6223" s="5" t="s">
        <v>2903</v>
      </c>
      <c r="E6223" s="5" t="s">
        <v>40475</v>
      </c>
      <c r="F6223" s="5" t="s">
        <v>375</v>
      </c>
      <c r="G6223" s="5" t="s">
        <v>40476</v>
      </c>
      <c r="H6223" s="6" t="s">
        <v>40477</v>
      </c>
      <c r="I6223" s="7" t="s">
        <v>40478</v>
      </c>
      <c r="J6223" s="8" t="str">
        <f>HYPERLINK("https://drive.google.com/file/d/17qtHCgTFZqU_Cnu10ehS0T8df87uLDq_/view?usp=drivesdk","RACHMAD SAPUTRA, AMD, S.Pd.I, M.Pd SERTIFIKAT BerAKHLAK")</f>
        <v>RACHMAD SAPUTRA, AMD, S.Pd.I, M.Pd SERTIFIKAT BerAKHLAK</v>
      </c>
      <c r="K6223" s="5" t="s">
        <v>40077</v>
      </c>
      <c r="L6223" s="5" t="s">
        <v>40479</v>
      </c>
      <c r="M6223" s="5" t="s">
        <v>40480</v>
      </c>
      <c r="N6223" s="7" t="s">
        <v>40481</v>
      </c>
      <c r="O6223" s="8" t="str">
        <f>HYPERLINK("https://drive.google.com/file/d/1ry8xn65aCDbL5dE0WALXXxQvb2woi0N9/view?usp=drivesdk","6222_RACHMAD SAPUTRA, AMD, S.Pd.I, M.Pd _ SERTIFIKAT BerAKHLAK")</f>
        <v>6222_RACHMAD SAPUTRA, AMD, S.Pd.I, M.Pd _ SERTIFIKAT BerAKHLAK</v>
      </c>
      <c r="P6223" s="5" t="s">
        <v>40474</v>
      </c>
    </row>
    <row r="6224">
      <c r="A6224" s="4">
        <v>45534.36743549768</v>
      </c>
      <c r="B6224" s="5" t="s">
        <v>34</v>
      </c>
      <c r="D6224" s="5" t="s">
        <v>15401</v>
      </c>
      <c r="E6224" s="5" t="s">
        <v>40482</v>
      </c>
      <c r="F6224" s="5" t="s">
        <v>212</v>
      </c>
      <c r="G6224" s="5" t="s">
        <v>40483</v>
      </c>
      <c r="H6224" s="6" t="s">
        <v>40484</v>
      </c>
      <c r="K6224" s="5" t="s">
        <v>40485</v>
      </c>
      <c r="M6224" s="5" t="s">
        <v>40486</v>
      </c>
      <c r="N6224" s="7" t="s">
        <v>40487</v>
      </c>
      <c r="O6224" s="8" t="str">
        <f>HYPERLINK("https://drive.google.com/file/d/1klaHwadDaemRWadNItggmNtZoSnpDPoQ/view?usp=drivesdk","6223_MARTIN U.HUSAIN, S.I.KOM _ SERTIFIKAT BerAKHLAK")</f>
        <v>6223_MARTIN U.HUSAIN, S.I.KOM _ SERTIFIKAT BerAKHLAK</v>
      </c>
      <c r="P6224" s="5" t="s">
        <v>40474</v>
      </c>
    </row>
    <row r="6225">
      <c r="A6225" s="4">
        <v>45534.36744077546</v>
      </c>
      <c r="B6225" s="5" t="s">
        <v>34</v>
      </c>
      <c r="D6225" s="5" t="s">
        <v>12978</v>
      </c>
      <c r="E6225" s="5" t="s">
        <v>40488</v>
      </c>
      <c r="F6225" s="5" t="s">
        <v>108</v>
      </c>
      <c r="G6225" s="5" t="s">
        <v>40489</v>
      </c>
      <c r="H6225" s="6" t="s">
        <v>40490</v>
      </c>
      <c r="K6225" s="5" t="s">
        <v>40485</v>
      </c>
      <c r="M6225" s="5" t="s">
        <v>40491</v>
      </c>
      <c r="N6225" s="7" t="s">
        <v>40492</v>
      </c>
      <c r="O6225" s="8" t="str">
        <f>HYPERLINK("https://drive.google.com/file/d/1KgoZw-GKVn46U6y3sXzpNnd_rcGDrSJk/view?usp=drivesdk","6224_AHMAD BASTARI _ SERTIFIKAT BerAKHLAK")</f>
        <v>6224_AHMAD BASTARI _ SERTIFIKAT BerAKHLAK</v>
      </c>
      <c r="P6225" s="5" t="s">
        <v>40474</v>
      </c>
    </row>
    <row r="6226">
      <c r="A6226" s="4">
        <v>45534.367447233795</v>
      </c>
      <c r="B6226" s="5" t="s">
        <v>34</v>
      </c>
      <c r="D6226" s="5" t="s">
        <v>1206</v>
      </c>
      <c r="E6226" s="5" t="s">
        <v>40493</v>
      </c>
      <c r="F6226" s="5" t="s">
        <v>375</v>
      </c>
      <c r="G6226" s="5" t="s">
        <v>40494</v>
      </c>
      <c r="H6226" s="6" t="s">
        <v>40495</v>
      </c>
      <c r="K6226" s="5" t="s">
        <v>40496</v>
      </c>
      <c r="M6226" s="5" t="s">
        <v>40497</v>
      </c>
      <c r="N6226" s="7" t="s">
        <v>40498</v>
      </c>
      <c r="O6226" s="8" t="str">
        <f>HYPERLINK("https://drive.google.com/file/d/1IwCsuJqGWSuMq2Vc8nEMgE1KR-uNbFl7/view?usp=drivesdk","6225_RINI SETYAWATI, S.E _ SERTIFIKAT BerAKHLAK")</f>
        <v>6225_RINI SETYAWATI, S.E _ SERTIFIKAT BerAKHLAK</v>
      </c>
      <c r="P6226" s="5" t="s">
        <v>40474</v>
      </c>
    </row>
    <row r="6227">
      <c r="A6227" s="4">
        <v>45534.367448854166</v>
      </c>
      <c r="B6227" s="5" t="s">
        <v>34</v>
      </c>
      <c r="D6227" s="5" t="s">
        <v>1206</v>
      </c>
      <c r="E6227" s="5" t="s">
        <v>40499</v>
      </c>
      <c r="F6227" s="5" t="s">
        <v>37</v>
      </c>
      <c r="G6227" s="5" t="s">
        <v>40500</v>
      </c>
      <c r="H6227" s="6" t="s">
        <v>40501</v>
      </c>
      <c r="K6227" s="5" t="s">
        <v>40496</v>
      </c>
      <c r="M6227" s="5" t="s">
        <v>40502</v>
      </c>
      <c r="N6227" s="7" t="s">
        <v>40503</v>
      </c>
      <c r="O6227" s="8" t="str">
        <f>HYPERLINK("https://drive.google.com/file/d/17SCcJLLymeLYt-M_vhXGn2iiufjgKjQo/view?usp=drivesdk","6226_YAYUK NUR KUMALA _ SERTIFIKAT BerAKHLAK")</f>
        <v>6226_YAYUK NUR KUMALA _ SERTIFIKAT BerAKHLAK</v>
      </c>
      <c r="P6227" s="5" t="s">
        <v>40474</v>
      </c>
    </row>
    <row r="6228" hidden="1">
      <c r="A6228" s="4">
        <v>45534.36746892361</v>
      </c>
      <c r="B6228" s="5" t="s">
        <v>19</v>
      </c>
      <c r="C6228" s="5" t="s">
        <v>292</v>
      </c>
      <c r="E6228" s="5" t="s">
        <v>40504</v>
      </c>
      <c r="F6228" s="5" t="s">
        <v>212</v>
      </c>
      <c r="G6228" s="5" t="s">
        <v>40505</v>
      </c>
      <c r="H6228" s="6" t="s">
        <v>40506</v>
      </c>
      <c r="K6228" s="5" t="s">
        <v>40496</v>
      </c>
      <c r="M6228" s="5" t="s">
        <v>40507</v>
      </c>
      <c r="N6228" s="7" t="s">
        <v>40508</v>
      </c>
      <c r="O6228" s="8" t="str">
        <f>HYPERLINK("https://drive.google.com/file/d/1NLt0MJq_4rdAtiT0YrkVsE3bals-ZmHj/view?usp=drivesdk","6227_DODIK SANTOSO _ SERTIFIKAT BerAKHLAK")</f>
        <v>6227_DODIK SANTOSO _ SERTIFIKAT BerAKHLAK</v>
      </c>
      <c r="P6228" s="5" t="s">
        <v>40509</v>
      </c>
    </row>
    <row r="6229">
      <c r="A6229" s="4">
        <v>45534.36747844907</v>
      </c>
      <c r="B6229" s="5" t="s">
        <v>34</v>
      </c>
      <c r="D6229" s="5" t="s">
        <v>10444</v>
      </c>
      <c r="E6229" s="5" t="s">
        <v>40510</v>
      </c>
      <c r="F6229" s="5" t="s">
        <v>524</v>
      </c>
      <c r="G6229" s="5" t="s">
        <v>40511</v>
      </c>
      <c r="H6229" s="6" t="s">
        <v>40512</v>
      </c>
      <c r="I6229" s="7" t="s">
        <v>40513</v>
      </c>
      <c r="J6229" s="8" t="str">
        <f>HYPERLINK("https://drive.google.com/file/d/1SgOeDwtsmvUf2l4mi3vEYHIO2yYen94x/view?usp=drivesdk","SYAMSUL RIZAL SERTIFIKAT BerAKHLAK")</f>
        <v>SYAMSUL RIZAL SERTIFIKAT BerAKHLAK</v>
      </c>
      <c r="K6229" s="5" t="s">
        <v>40077</v>
      </c>
      <c r="L6229" s="5" t="s">
        <v>40514</v>
      </c>
      <c r="M6229" s="5" t="s">
        <v>40515</v>
      </c>
      <c r="N6229" s="7" t="s">
        <v>40516</v>
      </c>
      <c r="O6229" s="8" t="str">
        <f>HYPERLINK("https://drive.google.com/file/d/1hRCXwp8WmWV2vm643ZvODwpumbK01enU/view?usp=drivesdk","6228_SYAMSUL RIZAL _ SERTIFIKAT BerAKHLAK")</f>
        <v>6228_SYAMSUL RIZAL _ SERTIFIKAT BerAKHLAK</v>
      </c>
      <c r="P6229" s="5" t="s">
        <v>40509</v>
      </c>
    </row>
    <row r="6230">
      <c r="A6230" s="4">
        <v>45534.367504699076</v>
      </c>
      <c r="B6230" s="5" t="s">
        <v>34</v>
      </c>
      <c r="D6230" s="5" t="s">
        <v>4775</v>
      </c>
      <c r="E6230" s="5" t="s">
        <v>40517</v>
      </c>
      <c r="F6230" s="5" t="s">
        <v>108</v>
      </c>
      <c r="G6230" s="5" t="s">
        <v>40518</v>
      </c>
      <c r="H6230" s="6" t="s">
        <v>40519</v>
      </c>
      <c r="K6230" s="5" t="s">
        <v>40520</v>
      </c>
      <c r="M6230" s="5" t="s">
        <v>40521</v>
      </c>
      <c r="N6230" s="7" t="s">
        <v>40522</v>
      </c>
      <c r="O6230" s="8" t="str">
        <f>HYPERLINK("https://drive.google.com/file/d/1HRFIV9W_uaYBkvU1ea6uqsIsOagrG0tX/view?usp=drivesdk","6229_PURWANTI _ SERTIFIKAT BerAKHLAK")</f>
        <v>6229_PURWANTI _ SERTIFIKAT BerAKHLAK</v>
      </c>
      <c r="P6230" s="5" t="s">
        <v>40509</v>
      </c>
    </row>
    <row r="6231">
      <c r="A6231" s="4">
        <v>45534.36753916666</v>
      </c>
      <c r="B6231" s="5" t="s">
        <v>34</v>
      </c>
      <c r="D6231" s="5" t="s">
        <v>1206</v>
      </c>
      <c r="E6231" s="5" t="s">
        <v>40523</v>
      </c>
      <c r="F6231" s="5" t="s">
        <v>212</v>
      </c>
      <c r="G6231" s="5" t="s">
        <v>40524</v>
      </c>
      <c r="H6231" s="6" t="s">
        <v>40525</v>
      </c>
      <c r="I6231" s="7" t="s">
        <v>40526</v>
      </c>
      <c r="J6231" s="8" t="str">
        <f>HYPERLINK("https://drive.google.com/file/d/1_2LX1E5GcA387CQE9gWd_nmfubV9na0S/view?usp=drivesdk","NANING RAHAYU SERTIFIKAT BerAKHLAK")</f>
        <v>NANING RAHAYU SERTIFIKAT BerAKHLAK</v>
      </c>
      <c r="K6231" s="5" t="s">
        <v>40077</v>
      </c>
      <c r="L6231" s="5" t="s">
        <v>40527</v>
      </c>
      <c r="M6231" s="5" t="s">
        <v>40528</v>
      </c>
      <c r="N6231" s="7" t="s">
        <v>40529</v>
      </c>
      <c r="O6231" s="8" t="str">
        <f>HYPERLINK("https://drive.google.com/file/d/1OYPBxRc3VkDbewaCqtYy3VnLOTPRZDk6/view?usp=drivesdk","6230_NANING RAHAYU _ SERTIFIKAT BerAKHLAK")</f>
        <v>6230_NANING RAHAYU _ SERTIFIKAT BerAKHLAK</v>
      </c>
      <c r="P6231" s="5" t="s">
        <v>40509</v>
      </c>
    </row>
    <row r="6232">
      <c r="A6232" s="4">
        <v>45534.36754583333</v>
      </c>
      <c r="B6232" s="5" t="s">
        <v>34</v>
      </c>
      <c r="D6232" s="5" t="s">
        <v>3432</v>
      </c>
      <c r="E6232" s="5" t="s">
        <v>40530</v>
      </c>
      <c r="F6232" s="5" t="s">
        <v>524</v>
      </c>
      <c r="G6232" s="5" t="s">
        <v>40531</v>
      </c>
      <c r="H6232" s="6" t="s">
        <v>40532</v>
      </c>
      <c r="I6232" s="7" t="s">
        <v>40533</v>
      </c>
      <c r="J6232" s="8" t="str">
        <f>HYPERLINK("https://drive.google.com/file/d/1kOSExmOv88RkTYcdCC4pu_i4tEuSBZh3/view?usp=drivesdk","Novaline Yulce Titahena SERTIFIKAT BerAKHLAK")</f>
        <v>Novaline Yulce Titahena SERTIFIKAT BerAKHLAK</v>
      </c>
      <c r="K6232" s="5" t="s">
        <v>40077</v>
      </c>
      <c r="L6232" s="5" t="s">
        <v>40534</v>
      </c>
      <c r="M6232" s="5" t="s">
        <v>40535</v>
      </c>
      <c r="N6232" s="7" t="s">
        <v>40536</v>
      </c>
      <c r="O6232" s="8" t="str">
        <f>HYPERLINK("https://drive.google.com/file/d/1ogSxZHVLgFtiKqqq3We3zjKG33CbC357/view?usp=drivesdk","6231_Novaline Yulce Titahena _ SERTIFIKAT BerAKHLAK")</f>
        <v>6231_Novaline Yulce Titahena _ SERTIFIKAT BerAKHLAK</v>
      </c>
      <c r="P6232" s="5" t="s">
        <v>40509</v>
      </c>
    </row>
    <row r="6233">
      <c r="A6233" s="4">
        <v>45534.36755722223</v>
      </c>
      <c r="B6233" s="5" t="s">
        <v>34</v>
      </c>
      <c r="D6233" s="5" t="s">
        <v>267</v>
      </c>
      <c r="E6233" s="5" t="s">
        <v>40537</v>
      </c>
      <c r="F6233" s="5" t="s">
        <v>108</v>
      </c>
      <c r="G6233" s="5" t="s">
        <v>40538</v>
      </c>
      <c r="H6233" s="6" t="s">
        <v>40539</v>
      </c>
      <c r="K6233" s="5" t="s">
        <v>40540</v>
      </c>
      <c r="M6233" s="5" t="s">
        <v>40541</v>
      </c>
      <c r="N6233" s="7" t="s">
        <v>40542</v>
      </c>
      <c r="O6233" s="8" t="str">
        <f>HYPERLINK("https://drive.google.com/file/d/1Q-BAH58h04SFWP0GtzuDLHZAoD0Vm-Ry/view?usp=drivesdk","6232_ELOK MALIANA ZAIN, S.Psi. _ SERTIFIKAT BerAKHLAK")</f>
        <v>6232_ELOK MALIANA ZAIN, S.Psi. _ SERTIFIKAT BerAKHLAK</v>
      </c>
      <c r="P6233" s="5" t="s">
        <v>40543</v>
      </c>
    </row>
    <row r="6234" hidden="1">
      <c r="A6234" s="4">
        <v>45534.36756263889</v>
      </c>
      <c r="B6234" s="5" t="s">
        <v>19</v>
      </c>
      <c r="C6234" s="5" t="s">
        <v>3471</v>
      </c>
      <c r="E6234" s="5" t="s">
        <v>40544</v>
      </c>
      <c r="F6234" s="5" t="s">
        <v>375</v>
      </c>
      <c r="G6234" s="5" t="s">
        <v>40545</v>
      </c>
      <c r="H6234" s="6" t="s">
        <v>40546</v>
      </c>
      <c r="K6234" s="5" t="s">
        <v>40540</v>
      </c>
      <c r="M6234" s="5" t="s">
        <v>40547</v>
      </c>
      <c r="N6234" s="7" t="s">
        <v>40548</v>
      </c>
      <c r="O6234" s="8" t="str">
        <f>HYPERLINK("https://drive.google.com/file/d/1Bt4uJotcA-Jr6NH6BjhxWIufCrZSqDbE/view?usp=drivesdk","6233_JONATHAN FERDINAL, S.Kom., M.M _ SERTIFIKAT BerAKHLAK")</f>
        <v>6233_JONATHAN FERDINAL, S.Kom., M.M _ SERTIFIKAT BerAKHLAK</v>
      </c>
      <c r="P6234" s="5" t="s">
        <v>40543</v>
      </c>
    </row>
    <row r="6235">
      <c r="A6235" s="4">
        <v>45534.36756831019</v>
      </c>
      <c r="B6235" s="5" t="s">
        <v>34</v>
      </c>
      <c r="D6235" s="5" t="s">
        <v>1206</v>
      </c>
      <c r="E6235" s="5" t="s">
        <v>31523</v>
      </c>
      <c r="F6235" s="5" t="s">
        <v>37</v>
      </c>
      <c r="G6235" s="5" t="s">
        <v>40549</v>
      </c>
      <c r="H6235" s="6" t="s">
        <v>40550</v>
      </c>
      <c r="K6235" s="5" t="s">
        <v>40540</v>
      </c>
      <c r="M6235" s="5" t="s">
        <v>40551</v>
      </c>
      <c r="N6235" s="7" t="s">
        <v>40552</v>
      </c>
      <c r="O6235" s="8" t="str">
        <f>HYPERLINK("https://drive.google.com/file/d/1chmSzmRsBopo_xYVmCQ3aR3tDitT1_mN/view?usp=drivesdk","6234_SUGIANTO _ SERTIFIKAT BerAKHLAK")</f>
        <v>6234_SUGIANTO _ SERTIFIKAT BerAKHLAK</v>
      </c>
      <c r="P6235" s="5" t="s">
        <v>40543</v>
      </c>
    </row>
    <row r="6236">
      <c r="A6236" s="4">
        <v>45534.36757258102</v>
      </c>
      <c r="B6236" s="5" t="s">
        <v>34</v>
      </c>
      <c r="D6236" s="5" t="s">
        <v>1206</v>
      </c>
      <c r="E6236" s="5" t="s">
        <v>29877</v>
      </c>
      <c r="F6236" s="5" t="s">
        <v>37</v>
      </c>
      <c r="G6236" s="5" t="s">
        <v>40553</v>
      </c>
      <c r="H6236" s="6" t="s">
        <v>40554</v>
      </c>
      <c r="K6236" s="5" t="s">
        <v>40540</v>
      </c>
      <c r="M6236" s="5" t="s">
        <v>40555</v>
      </c>
      <c r="N6236" s="7" t="s">
        <v>40556</v>
      </c>
      <c r="O6236" s="8" t="str">
        <f>HYPERLINK("https://drive.google.com/file/d/1P2PZ2Q8w-tURDWqzz-ap4IEj7rB8rvyQ/view?usp=drivesdk","6235_SUMARTONO _ SERTIFIKAT BerAKHLAK")</f>
        <v>6235_SUMARTONO _ SERTIFIKAT BerAKHLAK</v>
      </c>
      <c r="P6236" s="5" t="s">
        <v>40543</v>
      </c>
    </row>
    <row r="6237">
      <c r="A6237" s="4">
        <v>45534.36757596065</v>
      </c>
      <c r="B6237" s="5" t="s">
        <v>34</v>
      </c>
      <c r="D6237" s="5" t="s">
        <v>1206</v>
      </c>
      <c r="E6237" s="5" t="s">
        <v>40557</v>
      </c>
      <c r="F6237" s="5" t="s">
        <v>375</v>
      </c>
      <c r="G6237" s="5" t="s">
        <v>40558</v>
      </c>
      <c r="H6237" s="6" t="s">
        <v>40559</v>
      </c>
      <c r="K6237" s="5" t="s">
        <v>40540</v>
      </c>
      <c r="M6237" s="5" t="s">
        <v>40560</v>
      </c>
      <c r="N6237" s="7" t="s">
        <v>40561</v>
      </c>
      <c r="O6237" s="8" t="str">
        <f>HYPERLINK("https://drive.google.com/file/d/1MNBrRXWFbQm2gKLElvUjy6_DARVLNIic/view?usp=drivesdk","6236_YUNI MULYATI  S.Pd. _ SERTIFIKAT BerAKHLAK")</f>
        <v>6236_YUNI MULYATI  S.Pd. _ SERTIFIKAT BerAKHLAK</v>
      </c>
      <c r="P6237" s="5" t="s">
        <v>40543</v>
      </c>
    </row>
    <row r="6238">
      <c r="A6238" s="4">
        <v>45534.367586249995</v>
      </c>
      <c r="B6238" s="5" t="s">
        <v>34</v>
      </c>
      <c r="D6238" s="5" t="s">
        <v>4775</v>
      </c>
      <c r="E6238" s="5" t="s">
        <v>40562</v>
      </c>
      <c r="F6238" s="5" t="s">
        <v>524</v>
      </c>
      <c r="G6238" s="5" t="s">
        <v>40563</v>
      </c>
      <c r="H6238" s="6" t="s">
        <v>40564</v>
      </c>
      <c r="K6238" s="5" t="s">
        <v>40565</v>
      </c>
      <c r="M6238" s="5" t="s">
        <v>40566</v>
      </c>
      <c r="N6238" s="7" t="s">
        <v>40567</v>
      </c>
      <c r="O6238" s="8" t="str">
        <f>HYPERLINK("https://drive.google.com/file/d/1RXhxjuHgOS78rkph63s9_ZnbUzUrDpp2/view?usp=drivesdk","6237_HERI KURNIANI, A.Md. _ SERTIFIKAT BerAKHLAK")</f>
        <v>6237_HERI KURNIANI, A.Md. _ SERTIFIKAT BerAKHLAK</v>
      </c>
      <c r="P6238" s="5" t="s">
        <v>40568</v>
      </c>
    </row>
    <row r="6239">
      <c r="A6239" s="4">
        <v>45534.36760212963</v>
      </c>
      <c r="B6239" s="5" t="s">
        <v>34</v>
      </c>
      <c r="D6239" s="5" t="s">
        <v>9020</v>
      </c>
      <c r="E6239" s="5" t="s">
        <v>40569</v>
      </c>
      <c r="F6239" s="5" t="s">
        <v>524</v>
      </c>
      <c r="G6239" s="5" t="s">
        <v>40570</v>
      </c>
      <c r="H6239" s="6" t="s">
        <v>40571</v>
      </c>
      <c r="K6239" s="5" t="s">
        <v>40572</v>
      </c>
      <c r="M6239" s="5" t="s">
        <v>40573</v>
      </c>
      <c r="N6239" s="7" t="s">
        <v>40574</v>
      </c>
      <c r="O6239" s="8" t="str">
        <f>HYPERLINK("https://drive.google.com/file/d/1FTDjhGJ8ZzIhoqtdb9_Dj-2aVh6aILhi/view?usp=drivesdk","6238_Esra Dewi Sartika Pasaribu _ SERTIFIKAT BerAKHLAK")</f>
        <v>6238_Esra Dewi Sartika Pasaribu _ SERTIFIKAT BerAKHLAK</v>
      </c>
      <c r="P6239" s="5" t="s">
        <v>40568</v>
      </c>
    </row>
    <row r="6240">
      <c r="A6240" s="4">
        <v>45534.36761408565</v>
      </c>
      <c r="B6240" s="5" t="s">
        <v>34</v>
      </c>
      <c r="D6240" s="5" t="s">
        <v>12978</v>
      </c>
      <c r="E6240" s="5" t="s">
        <v>40575</v>
      </c>
      <c r="F6240" s="5" t="s">
        <v>212</v>
      </c>
      <c r="G6240" s="5" t="s">
        <v>40576</v>
      </c>
      <c r="H6240" s="6" t="s">
        <v>40577</v>
      </c>
      <c r="K6240" s="5" t="s">
        <v>40578</v>
      </c>
      <c r="M6240" s="5" t="s">
        <v>40579</v>
      </c>
      <c r="N6240" s="7" t="s">
        <v>40580</v>
      </c>
      <c r="O6240" s="8" t="str">
        <f>HYPERLINK("https://drive.google.com/file/d/1bzHhBFpqASUEeSsy2gir6PUU2Exxj_T8/view?usp=drivesdk","6239_MURYANI _ SERTIFIKAT BerAKHLAK")</f>
        <v>6239_MURYANI _ SERTIFIKAT BerAKHLAK</v>
      </c>
      <c r="P6240" s="5" t="s">
        <v>40568</v>
      </c>
    </row>
    <row r="6241">
      <c r="A6241" s="4">
        <v>45534.36761638889</v>
      </c>
      <c r="B6241" s="5" t="s">
        <v>34</v>
      </c>
      <c r="D6241" s="5" t="s">
        <v>12978</v>
      </c>
      <c r="E6241" s="5" t="s">
        <v>40581</v>
      </c>
      <c r="F6241" s="5" t="s">
        <v>72</v>
      </c>
      <c r="G6241" s="5" t="s">
        <v>40582</v>
      </c>
      <c r="H6241" s="6" t="s">
        <v>40583</v>
      </c>
      <c r="K6241" s="5" t="s">
        <v>40578</v>
      </c>
      <c r="M6241" s="5" t="s">
        <v>40584</v>
      </c>
      <c r="N6241" s="7" t="s">
        <v>40585</v>
      </c>
      <c r="O6241" s="8" t="str">
        <f>HYPERLINK("https://drive.google.com/file/d/1fCd-jghopThOBMK2Ci1NPV-gmNXTeCm9/view?usp=drivesdk","6240_ROMMY,S.E. _ SERTIFIKAT BerAKHLAK")</f>
        <v>6240_ROMMY,S.E. _ SERTIFIKAT BerAKHLAK</v>
      </c>
      <c r="P6241" s="5" t="s">
        <v>40568</v>
      </c>
    </row>
    <row r="6242">
      <c r="A6242" s="4">
        <v>45534.367629976856</v>
      </c>
      <c r="B6242" s="5" t="s">
        <v>34</v>
      </c>
      <c r="D6242" s="5" t="s">
        <v>1206</v>
      </c>
      <c r="E6242" s="5" t="s">
        <v>40586</v>
      </c>
      <c r="F6242" s="5" t="s">
        <v>37</v>
      </c>
      <c r="G6242" s="5" t="s">
        <v>40587</v>
      </c>
      <c r="H6242" s="6" t="s">
        <v>40588</v>
      </c>
      <c r="K6242" s="5" t="s">
        <v>40578</v>
      </c>
      <c r="M6242" s="5" t="s">
        <v>40589</v>
      </c>
      <c r="N6242" s="7" t="s">
        <v>40590</v>
      </c>
      <c r="O6242" s="8" t="str">
        <f>HYPERLINK("https://drive.google.com/file/d/1TS8-zLhSbvZR-cknXKrLMDBDJRoHXGeD/view?usp=drivesdk","6241_SRI UTAMI _ SERTIFIKAT BerAKHLAK")</f>
        <v>6241_SRI UTAMI _ SERTIFIKAT BerAKHLAK</v>
      </c>
      <c r="P6242" s="5" t="s">
        <v>40591</v>
      </c>
    </row>
    <row r="6243">
      <c r="A6243" s="4">
        <v>45534.36763896991</v>
      </c>
      <c r="B6243" s="5" t="s">
        <v>34</v>
      </c>
      <c r="D6243" s="5" t="s">
        <v>1206</v>
      </c>
      <c r="E6243" s="5" t="s">
        <v>40592</v>
      </c>
      <c r="F6243" s="5" t="s">
        <v>212</v>
      </c>
      <c r="G6243" s="5" t="s">
        <v>40593</v>
      </c>
      <c r="H6243" s="6" t="s">
        <v>40594</v>
      </c>
      <c r="K6243" s="5" t="s">
        <v>40578</v>
      </c>
      <c r="M6243" s="5" t="s">
        <v>40595</v>
      </c>
      <c r="N6243" s="7" t="s">
        <v>40596</v>
      </c>
      <c r="O6243" s="8" t="str">
        <f>HYPERLINK("https://drive.google.com/file/d/1XQ9u5PISfHyIqXdBGK05OGgW2wC0l3k2/view?usp=drivesdk","6242_Elisa Maria Delta Alves Da Cruz. Amd. Kep _ SERTIFIKAT BerAKHLAK")</f>
        <v>6242_Elisa Maria Delta Alves Da Cruz. Amd. Kep _ SERTIFIKAT BerAKHLAK</v>
      </c>
      <c r="P6243" s="5" t="s">
        <v>40591</v>
      </c>
    </row>
    <row r="6244">
      <c r="A6244" s="4">
        <v>45534.36765134259</v>
      </c>
      <c r="B6244" s="5" t="s">
        <v>34</v>
      </c>
      <c r="D6244" s="5" t="s">
        <v>4775</v>
      </c>
      <c r="E6244" s="5" t="s">
        <v>40597</v>
      </c>
      <c r="F6244" s="5" t="s">
        <v>375</v>
      </c>
      <c r="G6244" s="5" t="s">
        <v>40598</v>
      </c>
      <c r="H6244" s="6" t="s">
        <v>40599</v>
      </c>
      <c r="K6244" s="5" t="s">
        <v>40578</v>
      </c>
      <c r="M6244" s="5" t="s">
        <v>40600</v>
      </c>
      <c r="N6244" s="7" t="s">
        <v>40601</v>
      </c>
      <c r="O6244" s="8" t="str">
        <f>HYPERLINK("https://drive.google.com/file/d/1iHfN_0VfxHdvo6pVh63K5CE7wo52ProT/view?usp=drivesdk","6243_BAMBANG DWIWIBOWO,SH _ SERTIFIKAT BerAKHLAK")</f>
        <v>6243_BAMBANG DWIWIBOWO,SH _ SERTIFIKAT BerAKHLAK</v>
      </c>
      <c r="P6244" s="5" t="s">
        <v>40591</v>
      </c>
    </row>
    <row r="6245">
      <c r="A6245" s="4">
        <v>45534.367662199074</v>
      </c>
      <c r="B6245" s="5" t="s">
        <v>34</v>
      </c>
      <c r="D6245" s="5" t="s">
        <v>1206</v>
      </c>
      <c r="E6245" s="5" t="s">
        <v>40602</v>
      </c>
      <c r="F6245" s="5" t="s">
        <v>15386</v>
      </c>
      <c r="G6245" s="5" t="s">
        <v>40603</v>
      </c>
      <c r="H6245" s="6" t="s">
        <v>40604</v>
      </c>
      <c r="K6245" s="5" t="s">
        <v>40578</v>
      </c>
      <c r="M6245" s="5" t="s">
        <v>40605</v>
      </c>
      <c r="N6245" s="7" t="s">
        <v>40606</v>
      </c>
      <c r="O6245" s="8" t="str">
        <f>HYPERLINK("https://drive.google.com/file/d/1yuBCXSsu8D7wPHsaQF-7yfYDM19viwGe/view?usp=drivesdk","6244_MATRAWI _ SERTIFIKAT BerAKHLAK")</f>
        <v>6244_MATRAWI _ SERTIFIKAT BerAKHLAK</v>
      </c>
      <c r="P6245" s="5" t="s">
        <v>40591</v>
      </c>
    </row>
    <row r="6246" hidden="1">
      <c r="A6246" s="4">
        <v>45534.36766729166</v>
      </c>
      <c r="B6246" s="5" t="s">
        <v>19</v>
      </c>
      <c r="C6246" s="5" t="s">
        <v>20</v>
      </c>
      <c r="E6246" s="5" t="s">
        <v>40607</v>
      </c>
      <c r="F6246" s="5" t="s">
        <v>524</v>
      </c>
      <c r="G6246" s="5" t="s">
        <v>40608</v>
      </c>
      <c r="H6246" s="6" t="s">
        <v>40609</v>
      </c>
      <c r="K6246" s="5" t="s">
        <v>40578</v>
      </c>
      <c r="M6246" s="5" t="s">
        <v>40610</v>
      </c>
      <c r="N6246" s="7" t="s">
        <v>40611</v>
      </c>
      <c r="O6246" s="8" t="str">
        <f>HYPERLINK("https://drive.google.com/file/d/1ZLeslnaHBzVLWidrpOyxrt4kyPnw5N93/view?usp=drivesdk","6245_MOHAMMAD NOVIAN  _ SERTIFIKAT BerAKHLAK")</f>
        <v>6245_MOHAMMAD NOVIAN  _ SERTIFIKAT BerAKHLAK</v>
      </c>
      <c r="P6246" s="5" t="s">
        <v>40591</v>
      </c>
    </row>
    <row r="6247">
      <c r="A6247" s="4">
        <v>45534.367694201384</v>
      </c>
      <c r="B6247" s="5" t="s">
        <v>34</v>
      </c>
      <c r="D6247" s="5" t="s">
        <v>1206</v>
      </c>
      <c r="E6247" s="5" t="s">
        <v>40612</v>
      </c>
      <c r="F6247" s="5" t="s">
        <v>108</v>
      </c>
      <c r="G6247" s="5" t="s">
        <v>40613</v>
      </c>
      <c r="H6247" s="6" t="s">
        <v>40614</v>
      </c>
      <c r="K6247" s="5" t="s">
        <v>40615</v>
      </c>
      <c r="M6247" s="5" t="s">
        <v>40616</v>
      </c>
      <c r="N6247" s="7" t="s">
        <v>40617</v>
      </c>
      <c r="O6247" s="8" t="str">
        <f>HYPERLINK("https://drive.google.com/file/d/15xvZQZQ4w1SNBzW-ud5Dv6-UkMcXCE9c/view?usp=drivesdk","6246_SAPARUDDIN  _ SERTIFIKAT BerAKHLAK")</f>
        <v>6246_SAPARUDDIN  _ SERTIFIKAT BerAKHLAK</v>
      </c>
      <c r="P6247" s="5" t="s">
        <v>40618</v>
      </c>
    </row>
    <row r="6248">
      <c r="A6248" s="4">
        <v>45534.36769554398</v>
      </c>
      <c r="B6248" s="5" t="s">
        <v>34</v>
      </c>
      <c r="D6248" s="5" t="s">
        <v>10297</v>
      </c>
      <c r="E6248" s="5" t="s">
        <v>40619</v>
      </c>
      <c r="F6248" s="5" t="s">
        <v>212</v>
      </c>
      <c r="G6248" s="5" t="s">
        <v>40620</v>
      </c>
      <c r="H6248" s="6" t="s">
        <v>40621</v>
      </c>
      <c r="K6248" s="5" t="s">
        <v>40615</v>
      </c>
      <c r="M6248" s="5" t="s">
        <v>40622</v>
      </c>
      <c r="N6248" s="7" t="s">
        <v>40623</v>
      </c>
      <c r="O6248" s="8" t="str">
        <f>HYPERLINK("https://drive.google.com/file/d/1Ye8NlI03NacEkSGoqNlQm_h9uDeCj5dA/view?usp=drivesdk","6247_RUKISMAWATI _ SERTIFIKAT BerAKHLAK")</f>
        <v>6247_RUKISMAWATI _ SERTIFIKAT BerAKHLAK</v>
      </c>
      <c r="P6248" s="5" t="s">
        <v>40618</v>
      </c>
    </row>
    <row r="6249">
      <c r="A6249" s="4">
        <v>45534.36769759259</v>
      </c>
      <c r="B6249" s="5" t="s">
        <v>34</v>
      </c>
      <c r="D6249" s="5" t="s">
        <v>35</v>
      </c>
      <c r="E6249" s="5" t="s">
        <v>40624</v>
      </c>
      <c r="F6249" s="5" t="s">
        <v>524</v>
      </c>
      <c r="G6249" s="5" t="s">
        <v>40625</v>
      </c>
      <c r="H6249" s="6" t="s">
        <v>40626</v>
      </c>
      <c r="K6249" s="5" t="s">
        <v>40615</v>
      </c>
      <c r="M6249" s="5" t="s">
        <v>40627</v>
      </c>
      <c r="N6249" s="7" t="s">
        <v>40628</v>
      </c>
      <c r="O6249" s="8" t="str">
        <f>HYPERLINK("https://drive.google.com/file/d/15SnsH6hwVeDBxpSCbcZHY4-CpYjSI3Xt/view?usp=drivesdk","6248_ACHYANTO _ SERTIFIKAT BerAKHLAK")</f>
        <v>6248_ACHYANTO _ SERTIFIKAT BerAKHLAK</v>
      </c>
      <c r="P6249" s="5" t="s">
        <v>40618</v>
      </c>
    </row>
    <row r="6250">
      <c r="A6250" s="4">
        <v>45534.3677071412</v>
      </c>
      <c r="B6250" s="5" t="s">
        <v>34</v>
      </c>
      <c r="D6250" s="5" t="s">
        <v>14424</v>
      </c>
      <c r="E6250" s="5" t="s">
        <v>40629</v>
      </c>
      <c r="F6250" s="5" t="s">
        <v>72</v>
      </c>
      <c r="G6250" s="5" t="s">
        <v>40630</v>
      </c>
      <c r="H6250" s="6" t="s">
        <v>40631</v>
      </c>
      <c r="K6250" s="5" t="s">
        <v>40615</v>
      </c>
      <c r="M6250" s="5" t="s">
        <v>40632</v>
      </c>
      <c r="N6250" s="7" t="s">
        <v>40633</v>
      </c>
      <c r="O6250" s="8" t="str">
        <f>HYPERLINK("https://drive.google.com/file/d/1rEUGkyrbnb2eUQd9CiP3-wiRZhlYy1MX/view?usp=drivesdk","6249_dr FIKI NURVIANA _ SERTIFIKAT BerAKHLAK")</f>
        <v>6249_dr FIKI NURVIANA _ SERTIFIKAT BerAKHLAK</v>
      </c>
      <c r="P6250" s="5" t="s">
        <v>40618</v>
      </c>
    </row>
    <row r="6251" hidden="1">
      <c r="A6251" s="4">
        <v>45534.367711377316</v>
      </c>
      <c r="B6251" s="5" t="s">
        <v>19</v>
      </c>
      <c r="C6251" s="5" t="s">
        <v>3471</v>
      </c>
      <c r="E6251" s="5" t="s">
        <v>40634</v>
      </c>
      <c r="F6251" s="5" t="s">
        <v>212</v>
      </c>
      <c r="G6251" s="5" t="s">
        <v>40635</v>
      </c>
      <c r="H6251" s="6" t="s">
        <v>40636</v>
      </c>
      <c r="K6251" s="5" t="s">
        <v>40615</v>
      </c>
      <c r="M6251" s="5" t="s">
        <v>40637</v>
      </c>
      <c r="N6251" s="7" t="s">
        <v>40638</v>
      </c>
      <c r="O6251" s="8" t="str">
        <f>HYPERLINK("https://drive.google.com/file/d/1RLxkKOV9VLQxozFYgnP7a8E_I_RSSkqZ/view?usp=drivesdk","6250_IMAM SANTOSA, S.H. _ SERTIFIKAT BerAKHLAK")</f>
        <v>6250_IMAM SANTOSA, S.H. _ SERTIFIKAT BerAKHLAK</v>
      </c>
      <c r="P6251" s="5" t="s">
        <v>40618</v>
      </c>
    </row>
    <row r="6252">
      <c r="A6252" s="4">
        <v>45534.36772738426</v>
      </c>
      <c r="B6252" s="5" t="s">
        <v>34</v>
      </c>
      <c r="D6252" s="5" t="s">
        <v>1692</v>
      </c>
      <c r="E6252" s="5" t="s">
        <v>40639</v>
      </c>
      <c r="F6252" s="5" t="s">
        <v>108</v>
      </c>
      <c r="G6252" s="5" t="s">
        <v>40640</v>
      </c>
      <c r="H6252" s="6" t="s">
        <v>40641</v>
      </c>
      <c r="K6252" s="5" t="s">
        <v>40642</v>
      </c>
      <c r="M6252" s="5" t="s">
        <v>40643</v>
      </c>
      <c r="N6252" s="7" t="s">
        <v>40644</v>
      </c>
      <c r="O6252" s="8" t="str">
        <f>HYPERLINK("https://drive.google.com/file/d/1FHT3gi7AaEhpuRKA2NSInEiYgq8w8bs-/view?usp=drivesdk","6251_MAGDALENA FERDINANDUS _ SERTIFIKAT BerAKHLAK")</f>
        <v>6251_MAGDALENA FERDINANDUS _ SERTIFIKAT BerAKHLAK</v>
      </c>
      <c r="P6252" s="5" t="s">
        <v>40645</v>
      </c>
    </row>
    <row r="6253">
      <c r="A6253" s="4">
        <v>45534.36774890046</v>
      </c>
      <c r="B6253" s="5" t="s">
        <v>34</v>
      </c>
      <c r="D6253" s="5" t="s">
        <v>1206</v>
      </c>
      <c r="E6253" s="5" t="s">
        <v>40646</v>
      </c>
      <c r="F6253" s="5" t="s">
        <v>22</v>
      </c>
      <c r="G6253" s="5" t="s">
        <v>40647</v>
      </c>
      <c r="H6253" s="6" t="s">
        <v>40648</v>
      </c>
      <c r="K6253" s="5" t="s">
        <v>40649</v>
      </c>
      <c r="M6253" s="5" t="s">
        <v>40650</v>
      </c>
      <c r="N6253" s="7" t="s">
        <v>40651</v>
      </c>
      <c r="O6253" s="8" t="str">
        <f>HYPERLINK("https://drive.google.com/file/d/1YHqC7i-li3NDVph6sNnaabxwlgLg1BlU/view?usp=drivesdk","6252_drg. YURIKA ARTANTI.,M.H _ SERTIFIKAT BerAKHLAK")</f>
        <v>6252_drg. YURIKA ARTANTI.,M.H _ SERTIFIKAT BerAKHLAK</v>
      </c>
      <c r="P6253" s="5" t="s">
        <v>40645</v>
      </c>
    </row>
    <row r="6254">
      <c r="A6254" s="4">
        <v>45534.36775694444</v>
      </c>
      <c r="B6254" s="5" t="s">
        <v>34</v>
      </c>
      <c r="D6254" s="5" t="s">
        <v>1206</v>
      </c>
      <c r="E6254" s="5" t="s">
        <v>40652</v>
      </c>
      <c r="F6254" s="5" t="s">
        <v>212</v>
      </c>
      <c r="G6254" s="5" t="s">
        <v>40653</v>
      </c>
      <c r="H6254" s="6" t="s">
        <v>40654</v>
      </c>
      <c r="K6254" s="5" t="s">
        <v>40649</v>
      </c>
      <c r="M6254" s="5" t="s">
        <v>40655</v>
      </c>
      <c r="N6254" s="7" t="s">
        <v>40656</v>
      </c>
      <c r="O6254" s="8" t="str">
        <f>HYPERLINK("https://drive.google.com/file/d/1ja8OJnZbhAQX42iipIkxrdftMAybiLDK/view?usp=drivesdk","6253_HERI SANTOSO  _ SERTIFIKAT BerAKHLAK")</f>
        <v>6253_HERI SANTOSO  _ SERTIFIKAT BerAKHLAK</v>
      </c>
      <c r="P6254" s="5" t="s">
        <v>40645</v>
      </c>
    </row>
    <row r="6255">
      <c r="A6255" s="4">
        <v>45534.36777167824</v>
      </c>
      <c r="B6255" s="5" t="s">
        <v>34</v>
      </c>
      <c r="D6255" s="5" t="s">
        <v>996</v>
      </c>
      <c r="E6255" s="5" t="s">
        <v>40657</v>
      </c>
      <c r="F6255" s="5" t="s">
        <v>375</v>
      </c>
      <c r="G6255" s="5" t="s">
        <v>40658</v>
      </c>
      <c r="H6255" s="6" t="s">
        <v>40659</v>
      </c>
      <c r="K6255" s="5" t="s">
        <v>40649</v>
      </c>
      <c r="M6255" s="5" t="s">
        <v>40660</v>
      </c>
      <c r="N6255" s="7" t="s">
        <v>40661</v>
      </c>
      <c r="O6255" s="8" t="str">
        <f>HYPERLINK("https://drive.google.com/file/d/1ya1997ctmflUHoM1BMRSpaW_4-a_6nYv/view?usp=drivesdk","6254_DWI WAHYU UTOMO _ SERTIFIKAT BerAKHLAK")</f>
        <v>6254_DWI WAHYU UTOMO _ SERTIFIKAT BerAKHLAK</v>
      </c>
      <c r="P6255" s="5" t="s">
        <v>40645</v>
      </c>
    </row>
    <row r="6256">
      <c r="A6256" s="4">
        <v>45534.36777631944</v>
      </c>
      <c r="B6256" s="5" t="s">
        <v>34</v>
      </c>
      <c r="D6256" s="5" t="s">
        <v>267</v>
      </c>
      <c r="E6256" s="5" t="s">
        <v>40662</v>
      </c>
      <c r="F6256" s="5" t="s">
        <v>37</v>
      </c>
      <c r="G6256" s="5" t="s">
        <v>40663</v>
      </c>
      <c r="H6256" s="6" t="s">
        <v>40664</v>
      </c>
      <c r="K6256" s="5" t="s">
        <v>40649</v>
      </c>
      <c r="M6256" s="5" t="s">
        <v>40665</v>
      </c>
      <c r="N6256" s="7" t="s">
        <v>40666</v>
      </c>
      <c r="O6256" s="8" t="str">
        <f>HYPERLINK("https://drive.google.com/file/d/1E6flrbxzCKyTnv1W9dUf7Zf90fPxPZIJ/view?usp=drivesdk","6255_RISKA HELENA KUSHERAWATI, A.Md. Farm. _ SERTIFIKAT BerAKHLAK")</f>
        <v>6255_RISKA HELENA KUSHERAWATI, A.Md. Farm. _ SERTIFIKAT BerAKHLAK</v>
      </c>
      <c r="P6256" s="5" t="s">
        <v>40645</v>
      </c>
    </row>
    <row r="6257">
      <c r="A6257" s="4">
        <v>45534.36778202547</v>
      </c>
      <c r="B6257" s="5" t="s">
        <v>34</v>
      </c>
      <c r="D6257" s="5" t="s">
        <v>1206</v>
      </c>
      <c r="E6257" s="5" t="s">
        <v>40667</v>
      </c>
      <c r="F6257" s="5" t="s">
        <v>328</v>
      </c>
      <c r="G6257" s="5" t="s">
        <v>40668</v>
      </c>
      <c r="H6257" s="6" t="s">
        <v>40669</v>
      </c>
      <c r="K6257" s="5" t="s">
        <v>40649</v>
      </c>
      <c r="M6257" s="5" t="s">
        <v>40670</v>
      </c>
      <c r="N6257" s="7" t="s">
        <v>40671</v>
      </c>
      <c r="O6257" s="8" t="str">
        <f>HYPERLINK("https://drive.google.com/file/d/1hwFGzUWAnWvD-WPwLjDKoJxYDN90qGnY/view?usp=drivesdk","6256_ANANG SHOLIHAN  _ SERTIFIKAT BerAKHLAK")</f>
        <v>6256_ANANG SHOLIHAN  _ SERTIFIKAT BerAKHLAK</v>
      </c>
      <c r="P6257" s="5" t="s">
        <v>40672</v>
      </c>
    </row>
    <row r="6258">
      <c r="A6258" s="4">
        <v>45534.36778571759</v>
      </c>
      <c r="B6258" s="5" t="s">
        <v>34</v>
      </c>
      <c r="D6258" s="5" t="s">
        <v>4775</v>
      </c>
      <c r="E6258" s="5" t="s">
        <v>40673</v>
      </c>
      <c r="F6258" s="5" t="s">
        <v>212</v>
      </c>
      <c r="G6258" s="5" t="s">
        <v>40674</v>
      </c>
      <c r="H6258" s="6" t="s">
        <v>40675</v>
      </c>
      <c r="K6258" s="5" t="s">
        <v>40676</v>
      </c>
      <c r="M6258" s="5" t="s">
        <v>40677</v>
      </c>
      <c r="N6258" s="7" t="s">
        <v>40678</v>
      </c>
      <c r="O6258" s="8" t="str">
        <f>HYPERLINK("https://drive.google.com/file/d/1A3Cx7FbBsBJxxj-8QiHxsJTnMuHSl1tK/view?usp=drivesdk","6257_BUSIYAH _ SERTIFIKAT BerAKHLAK")</f>
        <v>6257_BUSIYAH _ SERTIFIKAT BerAKHLAK</v>
      </c>
      <c r="P6258" s="5" t="s">
        <v>40672</v>
      </c>
    </row>
    <row r="6259">
      <c r="A6259" s="4">
        <v>45534.367813599536</v>
      </c>
      <c r="B6259" s="5" t="s">
        <v>34</v>
      </c>
      <c r="D6259" s="5" t="s">
        <v>701</v>
      </c>
      <c r="E6259" s="5" t="s">
        <v>40679</v>
      </c>
      <c r="F6259" s="5" t="s">
        <v>328</v>
      </c>
      <c r="G6259" s="5" t="s">
        <v>40680</v>
      </c>
      <c r="H6259" s="6" t="s">
        <v>40681</v>
      </c>
      <c r="K6259" s="5" t="s">
        <v>40676</v>
      </c>
      <c r="M6259" s="5" t="s">
        <v>40682</v>
      </c>
      <c r="N6259" s="7" t="s">
        <v>40683</v>
      </c>
      <c r="O6259" s="8" t="str">
        <f>HYPERLINK("https://drive.google.com/file/d/1MtnXhPcnKdUp1fh19qrt_jDZfpezdNPp/view?usp=drivesdk","6258_LUCY YUNIZA _ SERTIFIKAT BerAKHLAK")</f>
        <v>6258_LUCY YUNIZA _ SERTIFIKAT BerAKHLAK</v>
      </c>
      <c r="P6259" s="5" t="s">
        <v>40672</v>
      </c>
    </row>
    <row r="6260">
      <c r="A6260" s="4">
        <v>45534.367831157404</v>
      </c>
      <c r="B6260" s="5" t="s">
        <v>34</v>
      </c>
      <c r="D6260" s="5" t="s">
        <v>1558</v>
      </c>
      <c r="E6260" s="5" t="s">
        <v>40684</v>
      </c>
      <c r="F6260" s="5" t="s">
        <v>120</v>
      </c>
      <c r="G6260" s="5" t="s">
        <v>40685</v>
      </c>
      <c r="H6260" s="6" t="s">
        <v>40686</v>
      </c>
      <c r="K6260" s="5" t="s">
        <v>40687</v>
      </c>
      <c r="M6260" s="5" t="s">
        <v>40688</v>
      </c>
      <c r="N6260" s="7" t="s">
        <v>40689</v>
      </c>
      <c r="O6260" s="8" t="str">
        <f>HYPERLINK("https://drive.google.com/file/d/1B3B-KacdsTs5foKxmpkOoWIqa_sg72Eo/view?usp=drivesdk","6259_AFRIYANTI.,S.AP.,M.AP _ SERTIFIKAT BerAKHLAK")</f>
        <v>6259_AFRIYANTI.,S.AP.,M.AP _ SERTIFIKAT BerAKHLAK</v>
      </c>
      <c r="P6260" s="5" t="s">
        <v>40672</v>
      </c>
    </row>
    <row r="6261">
      <c r="A6261" s="4">
        <v>45534.36784561342</v>
      </c>
      <c r="B6261" s="5" t="s">
        <v>34</v>
      </c>
      <c r="D6261" s="5" t="s">
        <v>15401</v>
      </c>
      <c r="E6261" s="5" t="s">
        <v>40690</v>
      </c>
      <c r="F6261" s="5" t="s">
        <v>108</v>
      </c>
      <c r="G6261" s="5" t="s">
        <v>40691</v>
      </c>
      <c r="H6261" s="6" t="s">
        <v>40692</v>
      </c>
      <c r="I6261" s="7" t="s">
        <v>40693</v>
      </c>
      <c r="J6261" s="8" t="str">
        <f>HYPERLINK("https://drive.google.com/file/d/1HU9BwVKOguKDxQ95QGX0rgBaCsW2mmyd/view?usp=drivesdk","FEMMY SOMPOTAN  SERTIFIKAT BerAKHLAK")</f>
        <v>FEMMY SOMPOTAN  SERTIFIKAT BerAKHLAK</v>
      </c>
      <c r="K6261" s="5" t="s">
        <v>40077</v>
      </c>
      <c r="L6261" s="5" t="s">
        <v>40694</v>
      </c>
      <c r="M6261" s="5" t="s">
        <v>40695</v>
      </c>
      <c r="N6261" s="7" t="s">
        <v>40696</v>
      </c>
      <c r="O6261" s="8" t="str">
        <f>HYPERLINK("https://drive.google.com/file/d/1OWZ9lOozqmP1_ijDvEIVNwH-TJrupAxc/view?usp=drivesdk","6260_FEMMY SOMPOTAN  _ SERTIFIKAT BerAKHLAK")</f>
        <v>6260_FEMMY SOMPOTAN  _ SERTIFIKAT BerAKHLAK</v>
      </c>
      <c r="P6261" s="5" t="s">
        <v>40697</v>
      </c>
    </row>
    <row r="6262">
      <c r="A6262" s="4">
        <v>45534.367857210644</v>
      </c>
      <c r="B6262" s="5" t="s">
        <v>34</v>
      </c>
      <c r="D6262" s="5" t="s">
        <v>1558</v>
      </c>
      <c r="E6262" s="5" t="s">
        <v>40698</v>
      </c>
      <c r="F6262" s="5" t="s">
        <v>212</v>
      </c>
      <c r="G6262" s="5" t="s">
        <v>40699</v>
      </c>
      <c r="H6262" s="6" t="s">
        <v>40700</v>
      </c>
      <c r="I6262" s="7" t="s">
        <v>40701</v>
      </c>
      <c r="J6262" s="8" t="str">
        <f>HYPERLINK("https://drive.google.com/file/d/1CA87W4D8FE6L2lxLPsi1ibZWqVxUfD3F/view?usp=drivesdk","HARRY HARTAWAN SERTIFIKAT BerAKHLAK")</f>
        <v>HARRY HARTAWAN SERTIFIKAT BerAKHLAK</v>
      </c>
      <c r="K6262" s="5" t="s">
        <v>40008</v>
      </c>
      <c r="L6262" s="5" t="s">
        <v>40702</v>
      </c>
      <c r="M6262" s="5" t="s">
        <v>40703</v>
      </c>
      <c r="N6262" s="7" t="s">
        <v>40704</v>
      </c>
      <c r="O6262" s="8" t="str">
        <f>HYPERLINK("https://drive.google.com/file/d/120EF93upnEhYxEbyvCfrBsNKA4Jo2NTw/view?usp=drivesdk","6261_HARRY HARTAWAN _ SERTIFIKAT BerAKHLAK")</f>
        <v>6261_HARRY HARTAWAN _ SERTIFIKAT BerAKHLAK</v>
      </c>
      <c r="P6262" s="5" t="s">
        <v>40697</v>
      </c>
    </row>
    <row r="6263">
      <c r="A6263" s="4">
        <v>45534.36789460648</v>
      </c>
      <c r="B6263" s="5" t="s">
        <v>34</v>
      </c>
      <c r="D6263" s="5" t="s">
        <v>4775</v>
      </c>
      <c r="E6263" s="5" t="s">
        <v>40705</v>
      </c>
      <c r="F6263" s="5" t="s">
        <v>108</v>
      </c>
      <c r="G6263" s="5" t="s">
        <v>40706</v>
      </c>
      <c r="H6263" s="6" t="s">
        <v>40707</v>
      </c>
      <c r="K6263" s="5" t="s">
        <v>40708</v>
      </c>
      <c r="M6263" s="5" t="s">
        <v>40709</v>
      </c>
      <c r="N6263" s="7" t="s">
        <v>40710</v>
      </c>
      <c r="O6263" s="8" t="str">
        <f>HYPERLINK("https://drive.google.com/file/d/1uCAoU4z9BIELUrUOsgt1xy8nhR0EJK-l/view?usp=drivesdk","6262_RIYANTI SARI DEWI _ SERTIFIKAT BerAKHLAK")</f>
        <v>6262_RIYANTI SARI DEWI _ SERTIFIKAT BerAKHLAK</v>
      </c>
      <c r="P6263" s="5" t="s">
        <v>40697</v>
      </c>
    </row>
    <row r="6264">
      <c r="A6264" s="4">
        <v>45534.367895902775</v>
      </c>
      <c r="B6264" s="5" t="s">
        <v>34</v>
      </c>
      <c r="D6264" s="5" t="s">
        <v>1206</v>
      </c>
      <c r="E6264" s="5" t="s">
        <v>40711</v>
      </c>
      <c r="F6264" s="5" t="s">
        <v>212</v>
      </c>
      <c r="G6264" s="5" t="s">
        <v>40712</v>
      </c>
      <c r="H6264" s="6" t="s">
        <v>40713</v>
      </c>
      <c r="K6264" s="5" t="s">
        <v>40708</v>
      </c>
      <c r="M6264" s="5" t="s">
        <v>40714</v>
      </c>
      <c r="N6264" s="7" t="s">
        <v>40715</v>
      </c>
      <c r="O6264" s="8" t="str">
        <f>HYPERLINK("https://drive.google.com/file/d/1FJySEpuWzsiuweVWiAutsHsA6vchOAM5/view?usp=drivesdk","6263_Miso,A.Md.Kep _ SERTIFIKAT BerAKHLAK")</f>
        <v>6263_Miso,A.Md.Kep _ SERTIFIKAT BerAKHLAK</v>
      </c>
      <c r="P6264" s="5" t="s">
        <v>40697</v>
      </c>
    </row>
    <row r="6265">
      <c r="A6265" s="4">
        <v>45534.367898530094</v>
      </c>
      <c r="B6265" s="5" t="s">
        <v>34</v>
      </c>
      <c r="D6265" s="5" t="s">
        <v>1456</v>
      </c>
      <c r="E6265" s="5" t="s">
        <v>40716</v>
      </c>
      <c r="F6265" s="5" t="s">
        <v>524</v>
      </c>
      <c r="G6265" s="5" t="s">
        <v>40717</v>
      </c>
      <c r="H6265" s="6" t="s">
        <v>40718</v>
      </c>
      <c r="K6265" s="5" t="s">
        <v>40708</v>
      </c>
      <c r="M6265" s="5" t="s">
        <v>40719</v>
      </c>
      <c r="N6265" s="7" t="s">
        <v>40720</v>
      </c>
      <c r="O6265" s="8" t="str">
        <f>HYPERLINK("https://drive.google.com/file/d/1fbyqoSgw1UZmVsut4ponU0-Gh1_iP1-q/view?usp=drivesdk","6264_NURRACHMI SEPTA RIANA _ SERTIFIKAT BerAKHLAK")</f>
        <v>6264_NURRACHMI SEPTA RIANA _ SERTIFIKAT BerAKHLAK</v>
      </c>
      <c r="P6265" s="5" t="s">
        <v>40697</v>
      </c>
    </row>
    <row r="6266" hidden="1">
      <c r="A6266" s="4">
        <v>45534.36790415509</v>
      </c>
      <c r="B6266" s="5" t="s">
        <v>19</v>
      </c>
      <c r="C6266" s="5" t="s">
        <v>3471</v>
      </c>
      <c r="E6266" s="5" t="s">
        <v>40721</v>
      </c>
      <c r="F6266" s="5" t="s">
        <v>212</v>
      </c>
      <c r="G6266" s="5" t="s">
        <v>40722</v>
      </c>
      <c r="H6266" s="6" t="s">
        <v>40723</v>
      </c>
      <c r="K6266" s="5" t="s">
        <v>40708</v>
      </c>
      <c r="M6266" s="5" t="s">
        <v>40724</v>
      </c>
      <c r="N6266" s="7" t="s">
        <v>40725</v>
      </c>
      <c r="O6266" s="8" t="str">
        <f>HYPERLINK("https://drive.google.com/file/d/1KtriNJnWNn003POooRLFg8BJ__xH6QGI/view?usp=drivesdk","6265_SUCIPTO _ SERTIFIKAT BerAKHLAK")</f>
        <v>6265_SUCIPTO _ SERTIFIKAT BerAKHLAK</v>
      </c>
      <c r="P6266" s="5" t="s">
        <v>40726</v>
      </c>
    </row>
    <row r="6267">
      <c r="A6267" s="4">
        <v>45534.36791429398</v>
      </c>
      <c r="B6267" s="5" t="s">
        <v>34</v>
      </c>
      <c r="D6267" s="5" t="s">
        <v>4775</v>
      </c>
      <c r="E6267" s="5" t="s">
        <v>40727</v>
      </c>
      <c r="F6267" s="5" t="s">
        <v>524</v>
      </c>
      <c r="G6267" s="5" t="s">
        <v>40728</v>
      </c>
      <c r="H6267" s="6" t="s">
        <v>40729</v>
      </c>
      <c r="K6267" s="5" t="s">
        <v>40708</v>
      </c>
      <c r="M6267" s="5" t="s">
        <v>40730</v>
      </c>
      <c r="N6267" s="7" t="s">
        <v>40731</v>
      </c>
      <c r="O6267" s="8" t="str">
        <f>HYPERLINK("https://drive.google.com/file/d/1z6QxKvmKhdrBVJH5VghEM-NI56B75r1m/view?usp=drivesdk","6266_SUMARMI WIJIYANTI S.Kep _ SERTIFIKAT BerAKHLAK")</f>
        <v>6266_SUMARMI WIJIYANTI S.Kep _ SERTIFIKAT BerAKHLAK</v>
      </c>
      <c r="P6267" s="5" t="s">
        <v>40726</v>
      </c>
    </row>
    <row r="6268">
      <c r="A6268" s="4">
        <v>45534.36791821759</v>
      </c>
      <c r="B6268" s="5" t="s">
        <v>34</v>
      </c>
      <c r="D6268" s="5" t="s">
        <v>9020</v>
      </c>
      <c r="E6268" s="5" t="s">
        <v>40732</v>
      </c>
      <c r="F6268" s="5" t="s">
        <v>120</v>
      </c>
      <c r="G6268" s="5" t="s">
        <v>40733</v>
      </c>
      <c r="H6268" s="6" t="s">
        <v>40734</v>
      </c>
      <c r="K6268" s="5" t="s">
        <v>40735</v>
      </c>
      <c r="M6268" s="5" t="s">
        <v>40736</v>
      </c>
      <c r="N6268" s="7" t="s">
        <v>40737</v>
      </c>
      <c r="O6268" s="8" t="str">
        <f>HYPERLINK("https://drive.google.com/file/d/1TowAeqKEfocGp257EoeB4EehAvgoDtKO/view?usp=drivesdk","6267_RISDA SIHOMBING, S.Sos, MSP _ SERTIFIKAT BerAKHLAK")</f>
        <v>6267_RISDA SIHOMBING, S.Sos, MSP _ SERTIFIKAT BerAKHLAK</v>
      </c>
      <c r="P6268" s="5" t="s">
        <v>40726</v>
      </c>
    </row>
    <row r="6269">
      <c r="A6269" s="4">
        <v>45534.367930821754</v>
      </c>
      <c r="B6269" s="5" t="s">
        <v>34</v>
      </c>
      <c r="D6269" s="5" t="s">
        <v>4775</v>
      </c>
      <c r="E6269" s="5" t="s">
        <v>40738</v>
      </c>
      <c r="F6269" s="5" t="s">
        <v>5859</v>
      </c>
      <c r="G6269" s="5" t="s">
        <v>40739</v>
      </c>
      <c r="H6269" s="6" t="s">
        <v>40740</v>
      </c>
      <c r="K6269" s="5" t="s">
        <v>40735</v>
      </c>
      <c r="M6269" s="5" t="s">
        <v>40741</v>
      </c>
      <c r="N6269" s="7" t="s">
        <v>40742</v>
      </c>
      <c r="O6269" s="8" t="str">
        <f>HYPERLINK("https://drive.google.com/file/d/1B_eZRp6V6hjO8ra2ihOFjz9cVIF7nMZB/view?usp=drivesdk","6268_PARYANA _ SERTIFIKAT BerAKHLAK")</f>
        <v>6268_PARYANA _ SERTIFIKAT BerAKHLAK</v>
      </c>
      <c r="P6269" s="5" t="s">
        <v>40726</v>
      </c>
    </row>
    <row r="6270">
      <c r="A6270" s="4">
        <v>45534.36795909722</v>
      </c>
      <c r="B6270" s="5" t="s">
        <v>34</v>
      </c>
      <c r="D6270" s="5" t="s">
        <v>10444</v>
      </c>
      <c r="E6270" s="5" t="s">
        <v>40743</v>
      </c>
      <c r="F6270" s="5" t="s">
        <v>37</v>
      </c>
      <c r="G6270" s="5" t="s">
        <v>40744</v>
      </c>
      <c r="H6270" s="6" t="s">
        <v>40745</v>
      </c>
      <c r="K6270" s="5" t="s">
        <v>40746</v>
      </c>
      <c r="M6270" s="5" t="s">
        <v>40747</v>
      </c>
      <c r="N6270" s="7" t="s">
        <v>40748</v>
      </c>
      <c r="O6270" s="8" t="str">
        <f>HYPERLINK("https://drive.google.com/file/d/1ULejt2_7EOgKW9MemtbWBoLgbFkH_iRo/view?usp=drivesdk","6269_ROCHMIATUN _ SERTIFIKAT BerAKHLAK")</f>
        <v>6269_ROCHMIATUN _ SERTIFIKAT BerAKHLAK</v>
      </c>
      <c r="P6270" s="5" t="s">
        <v>40749</v>
      </c>
    </row>
    <row r="6271">
      <c r="A6271" s="4">
        <v>45534.36799608797</v>
      </c>
      <c r="B6271" s="5" t="s">
        <v>34</v>
      </c>
      <c r="D6271" s="5" t="s">
        <v>1206</v>
      </c>
      <c r="E6271" s="5" t="s">
        <v>40750</v>
      </c>
      <c r="F6271" s="5" t="s">
        <v>212</v>
      </c>
      <c r="G6271" s="5" t="s">
        <v>40751</v>
      </c>
      <c r="H6271" s="6" t="s">
        <v>40752</v>
      </c>
      <c r="I6271" s="7" t="s">
        <v>40753</v>
      </c>
      <c r="J6271" s="8" t="str">
        <f>HYPERLINK("https://drive.google.com/file/d/1J2DNnrO6B3_w-azGW9QbpOd3utrv4VEp/view?usp=drivesdk","EFFI HARIJATI  SERTIFIKAT BerAKHLAK")</f>
        <v>EFFI HARIJATI  SERTIFIKAT BerAKHLAK</v>
      </c>
      <c r="K6271" s="5" t="s">
        <v>40008</v>
      </c>
      <c r="L6271" s="5" t="s">
        <v>40754</v>
      </c>
      <c r="M6271" s="5" t="s">
        <v>40755</v>
      </c>
      <c r="N6271" s="7" t="s">
        <v>40756</v>
      </c>
      <c r="O6271" s="8" t="str">
        <f>HYPERLINK("https://drive.google.com/file/d/1ajXuua9tCqfwpHUxdfGeKgbtPkpxl3i9/view?usp=drivesdk","6270_EFFI HARIJATI  _ SERTIFIKAT BerAKHLAK")</f>
        <v>6270_EFFI HARIJATI  _ SERTIFIKAT BerAKHLAK</v>
      </c>
      <c r="P6271" s="5" t="s">
        <v>40749</v>
      </c>
    </row>
    <row r="6272">
      <c r="A6272" s="4">
        <v>45534.36800268518</v>
      </c>
      <c r="B6272" s="5" t="s">
        <v>34</v>
      </c>
      <c r="D6272" s="5" t="s">
        <v>9020</v>
      </c>
      <c r="E6272" s="5" t="s">
        <v>40757</v>
      </c>
      <c r="F6272" s="5" t="s">
        <v>212</v>
      </c>
      <c r="G6272" s="5" t="s">
        <v>40758</v>
      </c>
      <c r="H6272" s="6" t="s">
        <v>40759</v>
      </c>
      <c r="I6272" s="7" t="s">
        <v>40760</v>
      </c>
      <c r="J6272" s="8" t="str">
        <f>HYPERLINK("https://drive.google.com/file/d/1PjRgqJn6y4s8aJ9zSbcZ4lPMSQeU33yO/view?usp=drivesdk","ELFRIDA RIANA PANJAITAN  SERTIFIKAT BerAKHLAK")</f>
        <v>ELFRIDA RIANA PANJAITAN  SERTIFIKAT BerAKHLAK</v>
      </c>
      <c r="K6272" s="5" t="s">
        <v>40008</v>
      </c>
      <c r="L6272" s="5" t="s">
        <v>40761</v>
      </c>
      <c r="M6272" s="5" t="s">
        <v>40762</v>
      </c>
      <c r="N6272" s="7" t="s">
        <v>40763</v>
      </c>
      <c r="O6272" s="8" t="str">
        <f>HYPERLINK("https://drive.google.com/file/d/1uVOe5u7pzLy6hB1X2TbjZfUkiBhSSq44/view?usp=drivesdk","6271_ELFRIDA RIANA PANJAITAN  _ SERTIFIKAT BerAKHLAK")</f>
        <v>6271_ELFRIDA RIANA PANJAITAN  _ SERTIFIKAT BerAKHLAK</v>
      </c>
      <c r="P6272" s="5" t="s">
        <v>40749</v>
      </c>
    </row>
    <row r="6273">
      <c r="A6273" s="4">
        <v>45534.36800278936</v>
      </c>
      <c r="B6273" s="5" t="s">
        <v>34</v>
      </c>
      <c r="D6273" s="5" t="s">
        <v>4775</v>
      </c>
      <c r="E6273" s="5" t="s">
        <v>40764</v>
      </c>
      <c r="F6273" s="5" t="s">
        <v>212</v>
      </c>
      <c r="G6273" s="5" t="s">
        <v>40765</v>
      </c>
      <c r="H6273" s="6" t="s">
        <v>40766</v>
      </c>
      <c r="I6273" s="7" t="s">
        <v>40767</v>
      </c>
      <c r="J6273" s="8" t="str">
        <f>HYPERLINK("https://drive.google.com/file/d/1op3MEEjRsSGM8HaU7EjqVrmqliCes2bT/view?usp=drivesdk","IDA ROCHANI ESTI BUDYANINGSIH SERTIFIKAT BerAKHLAK")</f>
        <v>IDA ROCHANI ESTI BUDYANINGSIH SERTIFIKAT BerAKHLAK</v>
      </c>
      <c r="K6273" s="5" t="s">
        <v>40008</v>
      </c>
      <c r="L6273" s="5" t="s">
        <v>40768</v>
      </c>
      <c r="M6273" s="5" t="s">
        <v>40769</v>
      </c>
      <c r="N6273" s="7" t="s">
        <v>40770</v>
      </c>
      <c r="O6273" s="8" t="str">
        <f>HYPERLINK("https://drive.google.com/file/d/1g6yFpkfz0d_iKMCk2s9r-UHWmoEt2b6K/view?usp=drivesdk","6272_IDA ROCHANI ESTI BUDYANINGSIH _ SERTIFIKAT BerAKHLAK")</f>
        <v>6272_IDA ROCHANI ESTI BUDYANINGSIH _ SERTIFIKAT BerAKHLAK</v>
      </c>
      <c r="P6273" s="5" t="s">
        <v>40749</v>
      </c>
    </row>
    <row r="6274">
      <c r="A6274" s="4">
        <v>45534.36800436342</v>
      </c>
      <c r="B6274" s="5" t="s">
        <v>34</v>
      </c>
      <c r="D6274" s="5" t="s">
        <v>9394</v>
      </c>
      <c r="E6274" s="5" t="s">
        <v>40771</v>
      </c>
      <c r="F6274" s="5" t="s">
        <v>72</v>
      </c>
      <c r="G6274" s="5" t="s">
        <v>40772</v>
      </c>
      <c r="H6274" s="6" t="s">
        <v>40773</v>
      </c>
      <c r="K6274" s="5" t="s">
        <v>40774</v>
      </c>
      <c r="M6274" s="5" t="s">
        <v>40775</v>
      </c>
      <c r="N6274" s="7" t="s">
        <v>40776</v>
      </c>
      <c r="O6274" s="8" t="str">
        <f>HYPERLINK("https://drive.google.com/file/d/1UyQm3YOQFIiR1u0ueWd-9iSyjeDZlP2y/view?usp=drivesdk","6273_NARTI,S.Sos _ SERTIFIKAT BerAKHLAK")</f>
        <v>6273_NARTI,S.Sos _ SERTIFIKAT BerAKHLAK</v>
      </c>
      <c r="P6274" s="5" t="s">
        <v>40749</v>
      </c>
    </row>
    <row r="6275">
      <c r="A6275" s="4">
        <v>45534.368007384255</v>
      </c>
      <c r="B6275" s="5" t="s">
        <v>34</v>
      </c>
      <c r="D6275" s="5" t="s">
        <v>9020</v>
      </c>
      <c r="E6275" s="5" t="s">
        <v>40777</v>
      </c>
      <c r="F6275" s="5" t="s">
        <v>72</v>
      </c>
      <c r="G6275" s="5" t="s">
        <v>40778</v>
      </c>
      <c r="H6275" s="6" t="s">
        <v>40779</v>
      </c>
      <c r="K6275" s="5" t="s">
        <v>40774</v>
      </c>
      <c r="M6275" s="5" t="s">
        <v>40780</v>
      </c>
      <c r="N6275" s="7" t="s">
        <v>40781</v>
      </c>
      <c r="O6275" s="8" t="str">
        <f>HYPERLINK("https://drive.google.com/file/d/1tPZEH7uklInvaBtYXyCeAJYihirR_MAH/view?usp=drivesdk","6274_FRIDA SIMANJUNTAK _ SERTIFIKAT BerAKHLAK")</f>
        <v>6274_FRIDA SIMANJUNTAK _ SERTIFIKAT BerAKHLAK</v>
      </c>
      <c r="P6275" s="5" t="s">
        <v>40782</v>
      </c>
    </row>
    <row r="6276">
      <c r="A6276" s="4">
        <v>45534.36800989583</v>
      </c>
      <c r="B6276" s="5" t="s">
        <v>34</v>
      </c>
      <c r="D6276" s="5" t="s">
        <v>1558</v>
      </c>
      <c r="E6276" s="5" t="s">
        <v>40783</v>
      </c>
      <c r="F6276" s="5" t="s">
        <v>72</v>
      </c>
      <c r="G6276" s="5" t="s">
        <v>40784</v>
      </c>
      <c r="H6276" s="6" t="s">
        <v>40785</v>
      </c>
      <c r="K6276" s="5" t="s">
        <v>40774</v>
      </c>
      <c r="M6276" s="5" t="s">
        <v>40786</v>
      </c>
      <c r="N6276" s="7" t="s">
        <v>40787</v>
      </c>
      <c r="O6276" s="8" t="str">
        <f>HYPERLINK("https://drive.google.com/file/d/1UOVhRkA2BWABIIqyOo57-YeyF9uHgE9e/view?usp=drivesdk","6275_HENNY HANIFAH _ SERTIFIKAT BerAKHLAK")</f>
        <v>6275_HENNY HANIFAH _ SERTIFIKAT BerAKHLAK</v>
      </c>
      <c r="P6276" s="5" t="s">
        <v>40782</v>
      </c>
    </row>
    <row r="6277">
      <c r="A6277" s="4">
        <v>45534.368014699074</v>
      </c>
      <c r="B6277" s="5" t="s">
        <v>34</v>
      </c>
      <c r="D6277" s="5" t="s">
        <v>15401</v>
      </c>
      <c r="E6277" s="5" t="s">
        <v>40788</v>
      </c>
      <c r="F6277" s="5" t="s">
        <v>108</v>
      </c>
      <c r="G6277" s="5" t="s">
        <v>40789</v>
      </c>
      <c r="H6277" s="6" t="s">
        <v>40790</v>
      </c>
      <c r="K6277" s="5" t="s">
        <v>40774</v>
      </c>
      <c r="M6277" s="5" t="s">
        <v>40791</v>
      </c>
      <c r="N6277" s="7" t="s">
        <v>40792</v>
      </c>
      <c r="O6277" s="8" t="str">
        <f>HYPERLINK("https://drive.google.com/file/d/1MyKgyzz9tNlI_hj3DH5LMSXtPE-GGWVH/view?usp=drivesdk","6276_ANDI HERNIWATY _ SERTIFIKAT BerAKHLAK")</f>
        <v>6276_ANDI HERNIWATY _ SERTIFIKAT BerAKHLAK</v>
      </c>
      <c r="P6277" s="5" t="s">
        <v>40782</v>
      </c>
    </row>
    <row r="6278">
      <c r="A6278" s="4">
        <v>45534.36801569445</v>
      </c>
      <c r="B6278" s="5" t="s">
        <v>34</v>
      </c>
      <c r="D6278" s="5" t="s">
        <v>9394</v>
      </c>
      <c r="E6278" s="5" t="s">
        <v>40793</v>
      </c>
      <c r="F6278" s="5" t="s">
        <v>37</v>
      </c>
      <c r="G6278" s="5" t="s">
        <v>40794</v>
      </c>
      <c r="H6278" s="6" t="s">
        <v>40795</v>
      </c>
      <c r="K6278" s="5" t="s">
        <v>40774</v>
      </c>
      <c r="M6278" s="5" t="s">
        <v>40796</v>
      </c>
      <c r="N6278" s="7" t="s">
        <v>40797</v>
      </c>
      <c r="O6278" s="8" t="str">
        <f>HYPERLINK("https://drive.google.com/file/d/1Z_l1g6-7QNtlDZ6hk9hCLxQiibcLGECj/view?usp=drivesdk","6277_ANTONI OKTORINO _ SERTIFIKAT BerAKHLAK")</f>
        <v>6277_ANTONI OKTORINO _ SERTIFIKAT BerAKHLAK</v>
      </c>
      <c r="P6278" s="5" t="s">
        <v>40782</v>
      </c>
    </row>
    <row r="6279">
      <c r="A6279" s="4">
        <v>45534.3680287037</v>
      </c>
      <c r="B6279" s="5" t="s">
        <v>34</v>
      </c>
      <c r="D6279" s="5" t="s">
        <v>996</v>
      </c>
      <c r="E6279" s="5" t="s">
        <v>40798</v>
      </c>
      <c r="F6279" s="5" t="s">
        <v>108</v>
      </c>
      <c r="G6279" s="5" t="s">
        <v>40799</v>
      </c>
      <c r="H6279" s="6" t="s">
        <v>40800</v>
      </c>
      <c r="K6279" s="5" t="s">
        <v>40774</v>
      </c>
      <c r="M6279" s="5" t="s">
        <v>40801</v>
      </c>
      <c r="N6279" s="7" t="s">
        <v>40802</v>
      </c>
      <c r="O6279" s="8" t="str">
        <f>HYPERLINK("https://drive.google.com/file/d/1VuGdJnDuUxVrN-Fi0hArQVu4piRxkpLc/view?usp=drivesdk","6278_SUPARMI _ SERTIFIKAT BerAKHLAK")</f>
        <v>6278_SUPARMI _ SERTIFIKAT BerAKHLAK</v>
      </c>
      <c r="P6279" s="5" t="s">
        <v>40782</v>
      </c>
    </row>
    <row r="6280">
      <c r="A6280" s="4">
        <v>45534.368032314815</v>
      </c>
      <c r="B6280" s="5" t="s">
        <v>34</v>
      </c>
      <c r="D6280" s="5" t="s">
        <v>1558</v>
      </c>
      <c r="E6280" s="5" t="s">
        <v>40803</v>
      </c>
      <c r="F6280" s="5" t="s">
        <v>212</v>
      </c>
      <c r="G6280" s="5" t="s">
        <v>40804</v>
      </c>
      <c r="H6280" s="6" t="s">
        <v>40805</v>
      </c>
      <c r="K6280" s="5" t="s">
        <v>40774</v>
      </c>
      <c r="M6280" s="5" t="s">
        <v>40806</v>
      </c>
      <c r="N6280" s="7" t="s">
        <v>40807</v>
      </c>
      <c r="O6280" s="8" t="str">
        <f>HYPERLINK("https://drive.google.com/file/d/1j8FpfIQdJg-MZJq6KMzqIxHnsLwlv_jD/view?usp=drivesdk","6279_ADE SUDRAJAT _ SERTIFIKAT BerAKHLAK")</f>
        <v>6279_ADE SUDRAJAT _ SERTIFIKAT BerAKHLAK</v>
      </c>
      <c r="P6280" s="5" t="s">
        <v>40782</v>
      </c>
    </row>
    <row r="6281">
      <c r="A6281" s="4">
        <v>45534.3680415625</v>
      </c>
      <c r="B6281" s="5" t="s">
        <v>34</v>
      </c>
      <c r="D6281" s="5" t="s">
        <v>1206</v>
      </c>
      <c r="E6281" s="5" t="s">
        <v>40808</v>
      </c>
      <c r="F6281" s="5" t="s">
        <v>328</v>
      </c>
      <c r="G6281" s="5" t="s">
        <v>40809</v>
      </c>
      <c r="H6281" s="6" t="s">
        <v>40810</v>
      </c>
      <c r="K6281" s="5" t="s">
        <v>40774</v>
      </c>
      <c r="M6281" s="5" t="s">
        <v>40811</v>
      </c>
      <c r="N6281" s="7" t="s">
        <v>40812</v>
      </c>
      <c r="O6281" s="8" t="str">
        <f>HYPERLINK("https://drive.google.com/file/d/10CoHCWMkJItXJNTlXdiHpkxbpUvlr5pv/view?usp=drivesdk","6280_ABDUL SALAM _ SERTIFIKAT BerAKHLAK")</f>
        <v>6280_ABDUL SALAM _ SERTIFIKAT BerAKHLAK</v>
      </c>
      <c r="P6281" s="5" t="s">
        <v>40813</v>
      </c>
    </row>
    <row r="6282" hidden="1">
      <c r="A6282" s="4">
        <v>45534.36804383102</v>
      </c>
      <c r="B6282" s="5" t="s">
        <v>19</v>
      </c>
      <c r="C6282" s="5" t="s">
        <v>292</v>
      </c>
      <c r="E6282" s="5" t="s">
        <v>40814</v>
      </c>
      <c r="F6282" s="5" t="s">
        <v>524</v>
      </c>
      <c r="G6282" s="5" t="s">
        <v>40815</v>
      </c>
      <c r="H6282" s="6" t="s">
        <v>40816</v>
      </c>
      <c r="K6282" s="5" t="s">
        <v>40817</v>
      </c>
      <c r="M6282" s="5" t="s">
        <v>40818</v>
      </c>
      <c r="N6282" s="7" t="s">
        <v>40819</v>
      </c>
      <c r="O6282" s="8" t="str">
        <f>HYPERLINK("https://drive.google.com/file/d/1haQeNa6vkQxN9deSEmMQsi546DCMpIBG/view?usp=drivesdk","6281_TATI ROHAYATI _ SERTIFIKAT BerAKHLAK")</f>
        <v>6281_TATI ROHAYATI _ SERTIFIKAT BerAKHLAK</v>
      </c>
      <c r="P6282" s="5" t="s">
        <v>40813</v>
      </c>
    </row>
    <row r="6283">
      <c r="A6283" s="4">
        <v>45534.36806748842</v>
      </c>
      <c r="B6283" s="5" t="s">
        <v>34</v>
      </c>
      <c r="D6283" s="5" t="s">
        <v>9394</v>
      </c>
      <c r="E6283" s="5" t="s">
        <v>40820</v>
      </c>
      <c r="F6283" s="5" t="s">
        <v>37</v>
      </c>
      <c r="G6283" s="5" t="s">
        <v>40821</v>
      </c>
      <c r="H6283" s="6" t="s">
        <v>40822</v>
      </c>
      <c r="I6283" s="7" t="s">
        <v>40823</v>
      </c>
      <c r="J6283" s="8" t="str">
        <f>HYPERLINK("https://drive.google.com/file/d/19F48SAv0kqv6cZnyt4HvprsaPh2huLE9/view?usp=drivesdk","SUWANDI  SERTIFIKAT BerAKHLAK")</f>
        <v>SUWANDI  SERTIFIKAT BerAKHLAK</v>
      </c>
      <c r="K6283" s="5" t="s">
        <v>40008</v>
      </c>
      <c r="L6283" s="5" t="s">
        <v>40824</v>
      </c>
      <c r="M6283" s="5" t="s">
        <v>40825</v>
      </c>
      <c r="N6283" s="7" t="s">
        <v>40826</v>
      </c>
      <c r="O6283" s="8" t="str">
        <f>HYPERLINK("https://drive.google.com/file/d/1suGusRjkaUgSy0xcaF6yRFbervlWO0jc/view?usp=drivesdk","6282_SUWANDI  _ SERTIFIKAT BerAKHLAK")</f>
        <v>6282_SUWANDI  _ SERTIFIKAT BerAKHLAK</v>
      </c>
      <c r="P6283" s="5" t="s">
        <v>40813</v>
      </c>
    </row>
    <row r="6284">
      <c r="A6284" s="4">
        <v>45534.368113819444</v>
      </c>
      <c r="B6284" s="5" t="s">
        <v>34</v>
      </c>
      <c r="D6284" s="5" t="s">
        <v>35</v>
      </c>
      <c r="E6284" s="5" t="s">
        <v>40827</v>
      </c>
      <c r="F6284" s="5" t="s">
        <v>37</v>
      </c>
      <c r="G6284" s="5" t="s">
        <v>40828</v>
      </c>
      <c r="H6284" s="6" t="s">
        <v>40829</v>
      </c>
      <c r="K6284" s="5" t="s">
        <v>40830</v>
      </c>
      <c r="M6284" s="5" t="s">
        <v>40831</v>
      </c>
      <c r="N6284" s="7" t="s">
        <v>40832</v>
      </c>
      <c r="O6284" s="8" t="str">
        <f>HYPERLINK("https://drive.google.com/file/d/1FWunpIxRvX6oqFsFPOkENkH5RJdwsNVK/view?usp=drivesdk","6283_DEDE RACHMAN _ SERTIFIKAT BerAKHLAK")</f>
        <v>6283_DEDE RACHMAN _ SERTIFIKAT BerAKHLAK</v>
      </c>
      <c r="P6284" s="5" t="s">
        <v>40813</v>
      </c>
    </row>
    <row r="6285">
      <c r="A6285" s="4">
        <v>45534.36811391204</v>
      </c>
      <c r="B6285" s="5" t="s">
        <v>34</v>
      </c>
      <c r="D6285" s="5" t="s">
        <v>35</v>
      </c>
      <c r="E6285" s="5" t="s">
        <v>40833</v>
      </c>
      <c r="F6285" s="5" t="s">
        <v>108</v>
      </c>
      <c r="G6285" s="5" t="s">
        <v>40834</v>
      </c>
      <c r="H6285" s="6" t="s">
        <v>40835</v>
      </c>
      <c r="K6285" s="5" t="s">
        <v>40830</v>
      </c>
      <c r="M6285" s="5" t="s">
        <v>40836</v>
      </c>
      <c r="N6285" s="7" t="s">
        <v>40837</v>
      </c>
      <c r="O6285" s="8" t="str">
        <f>HYPERLINK("https://drive.google.com/file/d/1nRKeWi-VusEgfYL0oDqUfazQ-cuDJ2gG/view?usp=drivesdk","6284_GUNGUN HENDARA _ SERTIFIKAT BerAKHLAK")</f>
        <v>6284_GUNGUN HENDARA _ SERTIFIKAT BerAKHLAK</v>
      </c>
      <c r="P6285" s="5" t="s">
        <v>40813</v>
      </c>
    </row>
    <row r="6286">
      <c r="A6286" s="4">
        <v>45534.36811506945</v>
      </c>
      <c r="B6286" s="5" t="s">
        <v>34</v>
      </c>
      <c r="D6286" s="5" t="s">
        <v>14313</v>
      </c>
      <c r="E6286" s="5" t="s">
        <v>40838</v>
      </c>
      <c r="F6286" s="5" t="s">
        <v>72</v>
      </c>
      <c r="G6286" s="5" t="s">
        <v>40839</v>
      </c>
      <c r="H6286" s="6" t="s">
        <v>40840</v>
      </c>
      <c r="K6286" s="5" t="s">
        <v>40830</v>
      </c>
      <c r="M6286" s="5" t="s">
        <v>40841</v>
      </c>
      <c r="N6286" s="7" t="s">
        <v>40842</v>
      </c>
      <c r="O6286" s="8" t="str">
        <f>HYPERLINK("https://drive.google.com/file/d/19YWIUvGOtnDXWYKCjJt6tr565buxr79L/view?usp=drivesdk","6285_HJ. HAFIAH BAHARUDDIN _ SERTIFIKAT BerAKHLAK")</f>
        <v>6285_HJ. HAFIAH BAHARUDDIN _ SERTIFIKAT BerAKHLAK</v>
      </c>
      <c r="P6286" s="5" t="s">
        <v>40843</v>
      </c>
    </row>
    <row r="6287">
      <c r="A6287" s="4">
        <v>45534.36812099537</v>
      </c>
      <c r="B6287" s="5" t="s">
        <v>34</v>
      </c>
      <c r="D6287" s="5" t="s">
        <v>580</v>
      </c>
      <c r="E6287" s="5" t="s">
        <v>40844</v>
      </c>
      <c r="F6287" s="5" t="s">
        <v>37</v>
      </c>
      <c r="G6287" s="5" t="s">
        <v>40845</v>
      </c>
      <c r="H6287" s="6" t="s">
        <v>40846</v>
      </c>
      <c r="K6287" s="5" t="s">
        <v>40830</v>
      </c>
      <c r="M6287" s="5" t="s">
        <v>40847</v>
      </c>
      <c r="N6287" s="7" t="s">
        <v>40848</v>
      </c>
      <c r="O6287" s="8" t="str">
        <f>HYPERLINK("https://drive.google.com/file/d/1rCBsNWiFhxseCfBB9MH25SqaHYB11J0S/view?usp=drivesdk","6286_Anak Agung Eka Ariestini _ SERTIFIKAT BerAKHLAK")</f>
        <v>6286_Anak Agung Eka Ariestini _ SERTIFIKAT BerAKHLAK</v>
      </c>
      <c r="P6287" s="5" t="s">
        <v>40843</v>
      </c>
    </row>
    <row r="6288">
      <c r="A6288" s="4">
        <v>45534.368123368055</v>
      </c>
      <c r="B6288" s="5" t="s">
        <v>34</v>
      </c>
      <c r="D6288" s="5" t="s">
        <v>1206</v>
      </c>
      <c r="E6288" s="5" t="s">
        <v>40849</v>
      </c>
      <c r="F6288" s="5" t="s">
        <v>5859</v>
      </c>
      <c r="G6288" s="5" t="s">
        <v>40850</v>
      </c>
      <c r="H6288" s="6" t="s">
        <v>40851</v>
      </c>
      <c r="K6288" s="5" t="s">
        <v>40830</v>
      </c>
      <c r="M6288" s="5" t="s">
        <v>40852</v>
      </c>
      <c r="N6288" s="7" t="s">
        <v>40853</v>
      </c>
      <c r="O6288" s="8" t="str">
        <f>HYPERLINK("https://drive.google.com/file/d/18CjMRvtaxW_DLPIXm_b_Qre21Hiqtb8h/view?usp=drivesdk","6287_MARDHIYAH _ SERTIFIKAT BerAKHLAK")</f>
        <v>6287_MARDHIYAH _ SERTIFIKAT BerAKHLAK</v>
      </c>
      <c r="P6288" s="5" t="s">
        <v>40843</v>
      </c>
    </row>
    <row r="6289">
      <c r="A6289" s="4">
        <v>45534.36811940972</v>
      </c>
      <c r="B6289" s="5" t="s">
        <v>34</v>
      </c>
      <c r="D6289" s="5" t="s">
        <v>1692</v>
      </c>
      <c r="E6289" s="5" t="s">
        <v>40854</v>
      </c>
      <c r="F6289" s="5" t="s">
        <v>72</v>
      </c>
      <c r="G6289" s="5" t="s">
        <v>40855</v>
      </c>
      <c r="H6289" s="6" t="s">
        <v>40856</v>
      </c>
      <c r="K6289" s="5" t="s">
        <v>40830</v>
      </c>
      <c r="M6289" s="5" t="s">
        <v>40857</v>
      </c>
      <c r="N6289" s="7" t="s">
        <v>40858</v>
      </c>
      <c r="O6289" s="8" t="str">
        <f>HYPERLINK("https://drive.google.com/file/d/16p1wbpZqvEdBgJ0Tz3kJ0F6urrxbYVAz/view?usp=drivesdk","6288_POPIE HANDEL _ SERTIFIKAT BerAKHLAK")</f>
        <v>6288_POPIE HANDEL _ SERTIFIKAT BerAKHLAK</v>
      </c>
      <c r="P6289" s="5" t="s">
        <v>40843</v>
      </c>
    </row>
    <row r="6290">
      <c r="A6290" s="4">
        <v>45534.368134687495</v>
      </c>
      <c r="B6290" s="5" t="s">
        <v>34</v>
      </c>
      <c r="D6290" s="5" t="s">
        <v>35</v>
      </c>
      <c r="E6290" s="5" t="s">
        <v>40859</v>
      </c>
      <c r="F6290" s="5" t="s">
        <v>328</v>
      </c>
      <c r="G6290" s="5" t="s">
        <v>40860</v>
      </c>
      <c r="H6290" s="6" t="s">
        <v>40861</v>
      </c>
      <c r="K6290" s="5" t="s">
        <v>40830</v>
      </c>
      <c r="M6290" s="5" t="s">
        <v>40862</v>
      </c>
      <c r="N6290" s="7" t="s">
        <v>40863</v>
      </c>
      <c r="O6290" s="8" t="str">
        <f>HYPERLINK("https://drive.google.com/file/d/1cNrnmsB-4gzwDpkx5DJJIyhTJIDsnfI-/view?usp=drivesdk","6289_ANDRI SETIAWAN.,S.P.D.I.,CPHR.,CHRA. _ SERTIFIKAT BerAKHLAK")</f>
        <v>6289_ANDRI SETIAWAN.,S.P.D.I.,CPHR.,CHRA. _ SERTIFIKAT BerAKHLAK</v>
      </c>
      <c r="P6290" s="5" t="s">
        <v>40864</v>
      </c>
    </row>
    <row r="6291" hidden="1">
      <c r="A6291" s="4">
        <v>45534.36814262731</v>
      </c>
      <c r="B6291" s="5" t="s">
        <v>19</v>
      </c>
      <c r="C6291" s="5" t="s">
        <v>40230</v>
      </c>
      <c r="E6291" s="5" t="s">
        <v>40865</v>
      </c>
      <c r="F6291" s="5" t="s">
        <v>375</v>
      </c>
      <c r="G6291" s="5" t="s">
        <v>40866</v>
      </c>
      <c r="H6291" s="6" t="s">
        <v>40867</v>
      </c>
      <c r="K6291" s="5" t="s">
        <v>40830</v>
      </c>
      <c r="M6291" s="5" t="s">
        <v>40868</v>
      </c>
      <c r="N6291" s="7" t="s">
        <v>40869</v>
      </c>
      <c r="O6291" s="8" t="str">
        <f>HYPERLINK("https://drive.google.com/file/d/1ltIGdlFC3XeKI51U3pUq94xPOZXyxkxL/view?usp=drivesdk","6290_INDRA PURNAMA ALAM _ SERTIFIKAT BerAKHLAK")</f>
        <v>6290_INDRA PURNAMA ALAM _ SERTIFIKAT BerAKHLAK</v>
      </c>
      <c r="P6291" s="5" t="s">
        <v>40864</v>
      </c>
    </row>
    <row r="6292">
      <c r="A6292" s="4">
        <v>45534.368155324075</v>
      </c>
      <c r="B6292" s="5" t="s">
        <v>34</v>
      </c>
      <c r="D6292" s="5" t="s">
        <v>10297</v>
      </c>
      <c r="E6292" s="5" t="s">
        <v>40870</v>
      </c>
      <c r="F6292" s="5" t="s">
        <v>212</v>
      </c>
      <c r="G6292" s="5" t="s">
        <v>40871</v>
      </c>
      <c r="H6292" s="6" t="s">
        <v>40872</v>
      </c>
      <c r="K6292" s="5" t="s">
        <v>40830</v>
      </c>
      <c r="M6292" s="5" t="s">
        <v>40873</v>
      </c>
      <c r="N6292" s="7" t="s">
        <v>40874</v>
      </c>
      <c r="O6292" s="8" t="str">
        <f>HYPERLINK("https://drive.google.com/file/d/1gP_0ns8oZXkBeOBq1XdTHthQ5ArofSja/view?usp=drivesdk","6291_NINGSIH _ SERTIFIKAT BerAKHLAK")</f>
        <v>6291_NINGSIH _ SERTIFIKAT BerAKHLAK</v>
      </c>
      <c r="P6292" s="5" t="s">
        <v>40864</v>
      </c>
    </row>
    <row r="6293">
      <c r="A6293" s="4">
        <v>45534.36815616898</v>
      </c>
      <c r="B6293" s="5" t="s">
        <v>34</v>
      </c>
      <c r="D6293" s="5" t="s">
        <v>10444</v>
      </c>
      <c r="E6293" s="5" t="s">
        <v>40875</v>
      </c>
      <c r="F6293" s="5" t="s">
        <v>212</v>
      </c>
      <c r="G6293" s="5" t="s">
        <v>40876</v>
      </c>
      <c r="H6293" s="6" t="s">
        <v>40877</v>
      </c>
      <c r="K6293" s="5" t="s">
        <v>40830</v>
      </c>
      <c r="M6293" s="5" t="s">
        <v>40878</v>
      </c>
      <c r="N6293" s="7" t="s">
        <v>40879</v>
      </c>
      <c r="O6293" s="8" t="str">
        <f>HYPERLINK("https://drive.google.com/file/d/1ZNaU-LA-xHkW5ha51_fGmpldIv1LLZoz/view?usp=drivesdk","6292_HESTYANA SAMOSIR _ SERTIFIKAT BerAKHLAK")</f>
        <v>6292_HESTYANA SAMOSIR _ SERTIFIKAT BerAKHLAK</v>
      </c>
      <c r="P6293" s="5" t="s">
        <v>40864</v>
      </c>
    </row>
    <row r="6294">
      <c r="A6294" s="4">
        <v>45534.36816182871</v>
      </c>
      <c r="B6294" s="5" t="s">
        <v>34</v>
      </c>
      <c r="D6294" s="5" t="s">
        <v>701</v>
      </c>
      <c r="E6294" s="5" t="s">
        <v>40880</v>
      </c>
      <c r="F6294" s="5" t="s">
        <v>72</v>
      </c>
      <c r="G6294" s="5" t="s">
        <v>40881</v>
      </c>
      <c r="H6294" s="6" t="s">
        <v>40882</v>
      </c>
      <c r="K6294" s="5" t="s">
        <v>40883</v>
      </c>
      <c r="M6294" s="5" t="s">
        <v>40884</v>
      </c>
      <c r="N6294" s="7" t="s">
        <v>40885</v>
      </c>
      <c r="O6294" s="8" t="str">
        <f>HYPERLINK("https://drive.google.com/file/d/1mrfIF6F_S9YYQZLKkA16MLO4PYdVxUhT/view?usp=drivesdk","6293_NOVALIA _ SERTIFIKAT BerAKHLAK")</f>
        <v>6293_NOVALIA _ SERTIFIKAT BerAKHLAK</v>
      </c>
      <c r="P6294" s="5" t="s">
        <v>40886</v>
      </c>
    </row>
    <row r="6295">
      <c r="A6295" s="4">
        <v>45534.368165416665</v>
      </c>
      <c r="B6295" s="5" t="s">
        <v>34</v>
      </c>
      <c r="D6295" s="5" t="s">
        <v>3849</v>
      </c>
      <c r="E6295" s="5" t="s">
        <v>40887</v>
      </c>
      <c r="F6295" s="5" t="s">
        <v>715</v>
      </c>
      <c r="G6295" s="5" t="s">
        <v>40888</v>
      </c>
      <c r="H6295" s="6" t="s">
        <v>40889</v>
      </c>
      <c r="K6295" s="5" t="s">
        <v>40883</v>
      </c>
      <c r="M6295" s="5" t="s">
        <v>40890</v>
      </c>
      <c r="N6295" s="7" t="s">
        <v>40891</v>
      </c>
      <c r="O6295" s="8" t="str">
        <f>HYPERLINK("https://drive.google.com/file/d/1PElyns1rcyX1bGWs8xrCcQRgZ7bdj1XK/view?usp=drivesdk","6294_PIRDI, S.Sos _ SERTIFIKAT BerAKHLAK")</f>
        <v>6294_PIRDI, S.Sos _ SERTIFIKAT BerAKHLAK</v>
      </c>
      <c r="P6295" s="5" t="s">
        <v>40886</v>
      </c>
    </row>
    <row r="6296">
      <c r="A6296" s="4">
        <v>45534.36817553241</v>
      </c>
      <c r="B6296" s="5" t="s">
        <v>34</v>
      </c>
      <c r="D6296" s="5" t="s">
        <v>4775</v>
      </c>
      <c r="E6296" s="5" t="s">
        <v>40892</v>
      </c>
      <c r="F6296" s="5" t="s">
        <v>72</v>
      </c>
      <c r="G6296" s="5" t="s">
        <v>40893</v>
      </c>
      <c r="H6296" s="6" t="s">
        <v>40894</v>
      </c>
      <c r="K6296" s="5" t="s">
        <v>40883</v>
      </c>
      <c r="M6296" s="5" t="s">
        <v>40895</v>
      </c>
      <c r="N6296" s="7" t="s">
        <v>40896</v>
      </c>
      <c r="O6296" s="8" t="str">
        <f>HYPERLINK("https://drive.google.com/file/d/147blIdBZZ2qqmV_KoQDM1d1u46kNwm-L/view?usp=drivesdk","6295_Yulifah,S.Kep.,Ns _ SERTIFIKAT BerAKHLAK")</f>
        <v>6295_Yulifah,S.Kep.,Ns _ SERTIFIKAT BerAKHLAK</v>
      </c>
      <c r="P6296" s="5" t="s">
        <v>40886</v>
      </c>
    </row>
    <row r="6297">
      <c r="A6297" s="4">
        <v>45534.36818668981</v>
      </c>
      <c r="B6297" s="5" t="s">
        <v>34</v>
      </c>
      <c r="D6297" s="5" t="s">
        <v>6232</v>
      </c>
      <c r="E6297" s="5" t="s">
        <v>40897</v>
      </c>
      <c r="F6297" s="5" t="s">
        <v>72</v>
      </c>
      <c r="G6297" s="5" t="s">
        <v>40898</v>
      </c>
      <c r="H6297" s="6" t="s">
        <v>40899</v>
      </c>
      <c r="K6297" s="5" t="s">
        <v>40883</v>
      </c>
      <c r="M6297" s="5" t="s">
        <v>40900</v>
      </c>
      <c r="N6297" s="7" t="s">
        <v>40901</v>
      </c>
      <c r="O6297" s="8" t="str">
        <f>HYPERLINK("https://drive.google.com/file/d/1Nu5PtAOoamMSxhgxiswV_ag5QtMDi38d/view?usp=drivesdk","6296_SUPRATMAN S S Kep _ SERTIFIKAT BerAKHLAK")</f>
        <v>6296_SUPRATMAN S S Kep _ SERTIFIKAT BerAKHLAK</v>
      </c>
      <c r="P6297" s="5" t="s">
        <v>40902</v>
      </c>
    </row>
    <row r="6298">
      <c r="A6298" s="4">
        <v>45534.368190127316</v>
      </c>
      <c r="B6298" s="5" t="s">
        <v>34</v>
      </c>
      <c r="D6298" s="5" t="s">
        <v>9020</v>
      </c>
      <c r="E6298" s="5" t="s">
        <v>40903</v>
      </c>
      <c r="F6298" s="5" t="s">
        <v>72</v>
      </c>
      <c r="G6298" s="5" t="s">
        <v>40904</v>
      </c>
      <c r="H6298" s="6" t="s">
        <v>40905</v>
      </c>
      <c r="K6298" s="5" t="s">
        <v>40906</v>
      </c>
      <c r="M6298" s="5" t="s">
        <v>40907</v>
      </c>
      <c r="N6298" s="7" t="s">
        <v>40908</v>
      </c>
      <c r="O6298" s="8" t="str">
        <f>HYPERLINK("https://drive.google.com/file/d/19gszoRJnWRGKUCKsbYGvhuJpvEx7WpCW/view?usp=drivesdk","6297_SINTA MANALU, S.E. _ SERTIFIKAT BerAKHLAK")</f>
        <v>6297_SINTA MANALU, S.E. _ SERTIFIKAT BerAKHLAK</v>
      </c>
      <c r="P6298" s="5" t="s">
        <v>40902</v>
      </c>
    </row>
    <row r="6299">
      <c r="A6299" s="4">
        <v>45534.3682105787</v>
      </c>
      <c r="B6299" s="5" t="s">
        <v>34</v>
      </c>
      <c r="D6299" s="5" t="s">
        <v>14424</v>
      </c>
      <c r="E6299" s="5" t="s">
        <v>40909</v>
      </c>
      <c r="F6299" s="5" t="s">
        <v>108</v>
      </c>
      <c r="G6299" s="5" t="s">
        <v>40910</v>
      </c>
      <c r="H6299" s="6" t="s">
        <v>40911</v>
      </c>
      <c r="K6299" s="5" t="s">
        <v>40906</v>
      </c>
      <c r="M6299" s="5" t="s">
        <v>40912</v>
      </c>
      <c r="N6299" s="7" t="s">
        <v>40913</v>
      </c>
      <c r="O6299" s="8" t="str">
        <f>HYPERLINK("https://drive.google.com/file/d/17RdIjWSYWy0HYukgvwlHcVPbY7lHS2UU/view?usp=drivesdk","6298_ARMIA, A _ SERTIFIKAT BerAKHLAK")</f>
        <v>6298_ARMIA, A _ SERTIFIKAT BerAKHLAK</v>
      </c>
      <c r="P6299" s="5" t="s">
        <v>40902</v>
      </c>
    </row>
    <row r="6300">
      <c r="A6300" s="4">
        <v>45534.36821211806</v>
      </c>
      <c r="B6300" s="5" t="s">
        <v>34</v>
      </c>
      <c r="D6300" s="5" t="s">
        <v>12978</v>
      </c>
      <c r="E6300" s="5" t="s">
        <v>40914</v>
      </c>
      <c r="F6300" s="5" t="s">
        <v>375</v>
      </c>
      <c r="G6300" s="5" t="s">
        <v>40915</v>
      </c>
      <c r="H6300" s="6" t="s">
        <v>40916</v>
      </c>
      <c r="K6300" s="5" t="s">
        <v>40906</v>
      </c>
      <c r="M6300" s="5" t="s">
        <v>40917</v>
      </c>
      <c r="N6300" s="7" t="s">
        <v>40918</v>
      </c>
      <c r="O6300" s="8" t="str">
        <f>HYPERLINK("https://drive.google.com/file/d/1ap1TqijSakwBYuJyJXU4LJQw4Fp7GA1A/view?usp=drivesdk","6299_MEGA IDAWATI _ SERTIFIKAT BerAKHLAK")</f>
        <v>6299_MEGA IDAWATI _ SERTIFIKAT BerAKHLAK</v>
      </c>
      <c r="P6300" s="5" t="s">
        <v>40902</v>
      </c>
    </row>
    <row r="6301">
      <c r="A6301" s="4">
        <v>45534.3682238426</v>
      </c>
      <c r="B6301" s="5" t="s">
        <v>34</v>
      </c>
      <c r="D6301" s="5" t="s">
        <v>267</v>
      </c>
      <c r="E6301" s="5" t="s">
        <v>40919</v>
      </c>
      <c r="F6301" s="5" t="s">
        <v>108</v>
      </c>
      <c r="G6301" s="5" t="s">
        <v>40920</v>
      </c>
      <c r="H6301" s="6" t="s">
        <v>40921</v>
      </c>
      <c r="K6301" s="5" t="s">
        <v>40922</v>
      </c>
      <c r="M6301" s="5" t="s">
        <v>40923</v>
      </c>
      <c r="N6301" s="7" t="s">
        <v>40924</v>
      </c>
      <c r="O6301" s="8" t="str">
        <f>HYPERLINK("https://drive.google.com/file/d/13fxLvJZYMHuobYQGshCcVK2we2eGs9Ik/view?usp=drivesdk","6300_WIDIAWATI, AM.Keb _ SERTIFIKAT BerAKHLAK")</f>
        <v>6300_WIDIAWATI, AM.Keb _ SERTIFIKAT BerAKHLAK</v>
      </c>
      <c r="P6301" s="5" t="s">
        <v>40925</v>
      </c>
    </row>
    <row r="6302">
      <c r="A6302" s="4">
        <v>45534.36822787037</v>
      </c>
      <c r="B6302" s="5" t="s">
        <v>34</v>
      </c>
      <c r="D6302" s="5" t="s">
        <v>1206</v>
      </c>
      <c r="E6302" s="5" t="s">
        <v>40926</v>
      </c>
      <c r="F6302" s="5" t="s">
        <v>37</v>
      </c>
      <c r="G6302" s="5" t="s">
        <v>40927</v>
      </c>
      <c r="H6302" s="6" t="s">
        <v>40928</v>
      </c>
      <c r="K6302" s="5" t="s">
        <v>40922</v>
      </c>
      <c r="M6302" s="5" t="s">
        <v>40929</v>
      </c>
      <c r="N6302" s="7" t="s">
        <v>40930</v>
      </c>
      <c r="O6302" s="8" t="str">
        <f>HYPERLINK("https://drive.google.com/file/d/1NUAM9ZLJsyADYKhvieclBGtRkg9xjcnB/view?usp=drivesdk","6301_ERIK SUSANTO _ SERTIFIKAT BerAKHLAK")</f>
        <v>6301_ERIK SUSANTO _ SERTIFIKAT BerAKHLAK</v>
      </c>
      <c r="P6302" s="5" t="s">
        <v>40925</v>
      </c>
    </row>
    <row r="6303">
      <c r="A6303" s="4">
        <v>45534.3682429051</v>
      </c>
      <c r="B6303" s="5" t="s">
        <v>34</v>
      </c>
      <c r="D6303" s="5" t="s">
        <v>9394</v>
      </c>
      <c r="E6303" s="5" t="s">
        <v>40931</v>
      </c>
      <c r="F6303" s="5" t="s">
        <v>524</v>
      </c>
      <c r="G6303" s="5" t="s">
        <v>40932</v>
      </c>
      <c r="H6303" s="6" t="s">
        <v>40933</v>
      </c>
      <c r="K6303" s="5" t="s">
        <v>40922</v>
      </c>
      <c r="M6303" s="5" t="s">
        <v>40934</v>
      </c>
      <c r="N6303" s="7" t="s">
        <v>40935</v>
      </c>
      <c r="O6303" s="8" t="str">
        <f>HYPERLINK("https://drive.google.com/file/d/1Q27rQ1IqwFWCOkCneG4Uu1k3JyVxoWnn/view?usp=drivesdk","6302_NS ARTATI JULIANA VICLONAR SKEP _ SERTIFIKAT BerAKHLAK")</f>
        <v>6302_NS ARTATI JULIANA VICLONAR SKEP _ SERTIFIKAT BerAKHLAK</v>
      </c>
      <c r="P6303" s="5" t="s">
        <v>40925</v>
      </c>
    </row>
    <row r="6304">
      <c r="A6304" s="4">
        <v>45534.368278842594</v>
      </c>
      <c r="B6304" s="5" t="s">
        <v>34</v>
      </c>
      <c r="D6304" s="5" t="s">
        <v>1206</v>
      </c>
      <c r="E6304" s="5" t="s">
        <v>40936</v>
      </c>
      <c r="F6304" s="5" t="s">
        <v>212</v>
      </c>
      <c r="G6304" s="5" t="s">
        <v>40937</v>
      </c>
      <c r="H6304" s="6" t="s">
        <v>40938</v>
      </c>
      <c r="K6304" s="5" t="s">
        <v>40939</v>
      </c>
      <c r="M6304" s="5" t="s">
        <v>40940</v>
      </c>
      <c r="N6304" s="7" t="s">
        <v>40941</v>
      </c>
      <c r="O6304" s="8" t="str">
        <f>HYPERLINK("https://drive.google.com/file/d/1ZrYjlTzsZnQbB4d4PVZrc-b3-yp6ENPM/view?usp=drivesdk","6303_WARTININGSIH _ SERTIFIKAT BerAKHLAK")</f>
        <v>6303_WARTININGSIH _ SERTIFIKAT BerAKHLAK</v>
      </c>
      <c r="P6304" s="5" t="s">
        <v>40925</v>
      </c>
    </row>
    <row r="6305">
      <c r="A6305" s="4">
        <v>45534.368288275466</v>
      </c>
      <c r="B6305" s="5" t="s">
        <v>34</v>
      </c>
      <c r="D6305" s="5" t="s">
        <v>604</v>
      </c>
      <c r="E6305" s="5" t="s">
        <v>40942</v>
      </c>
      <c r="F6305" s="5" t="s">
        <v>120</v>
      </c>
      <c r="G6305" s="5" t="s">
        <v>40943</v>
      </c>
      <c r="H6305" s="6" t="s">
        <v>40944</v>
      </c>
      <c r="K6305" s="5" t="s">
        <v>40939</v>
      </c>
      <c r="M6305" s="5" t="s">
        <v>40945</v>
      </c>
      <c r="N6305" s="7" t="s">
        <v>40946</v>
      </c>
      <c r="O6305" s="8" t="str">
        <f>HYPERLINK("https://drive.google.com/file/d/1bnZ4E6Q8X1MxF5yJaz7Rg89rLN5UAMl4/view?usp=drivesdk","6304_EFRAHIM URBANUS TURLEL.,S.S _ SERTIFIKAT BerAKHLAK")</f>
        <v>6304_EFRAHIM URBANUS TURLEL.,S.S _ SERTIFIKAT BerAKHLAK</v>
      </c>
      <c r="P6305" s="5" t="s">
        <v>40925</v>
      </c>
    </row>
    <row r="6306">
      <c r="A6306" s="4">
        <v>45534.36829452546</v>
      </c>
      <c r="B6306" s="5" t="s">
        <v>34</v>
      </c>
      <c r="D6306" s="5" t="s">
        <v>1768</v>
      </c>
      <c r="E6306" s="5" t="s">
        <v>40947</v>
      </c>
      <c r="F6306" s="5" t="s">
        <v>375</v>
      </c>
      <c r="G6306" s="5" t="s">
        <v>40948</v>
      </c>
      <c r="H6306" s="6" t="s">
        <v>40949</v>
      </c>
      <c r="K6306" s="5" t="s">
        <v>40939</v>
      </c>
      <c r="M6306" s="5" t="s">
        <v>40950</v>
      </c>
      <c r="N6306" s="7" t="s">
        <v>40951</v>
      </c>
      <c r="O6306" s="8" t="str">
        <f>HYPERLINK("https://drive.google.com/file/d/14sX4FlEvh4OyDCeCkaJoHlC8xt56uJ4A/view?usp=drivesdk","6305_NELLY NOVIYANTI, S.Kep., Ns., MARS., FISQua _ SERTIFIKAT BerAKHLAK")</f>
        <v>6305_NELLY NOVIYANTI, S.Kep., Ns., MARS., FISQua _ SERTIFIKAT BerAKHLAK</v>
      </c>
      <c r="P6306" s="5" t="s">
        <v>40952</v>
      </c>
    </row>
    <row r="6307">
      <c r="A6307" s="4">
        <v>45534.36829804398</v>
      </c>
      <c r="B6307" s="5" t="s">
        <v>34</v>
      </c>
      <c r="D6307" s="5" t="s">
        <v>9020</v>
      </c>
      <c r="E6307" s="5" t="s">
        <v>40953</v>
      </c>
      <c r="F6307" s="5" t="s">
        <v>524</v>
      </c>
      <c r="G6307" s="5" t="s">
        <v>40954</v>
      </c>
      <c r="H6307" s="6" t="s">
        <v>40955</v>
      </c>
      <c r="K6307" s="5" t="s">
        <v>40939</v>
      </c>
      <c r="M6307" s="5" t="s">
        <v>40956</v>
      </c>
      <c r="N6307" s="7" t="s">
        <v>40957</v>
      </c>
      <c r="O6307" s="8" t="str">
        <f>HYPERLINK("https://drive.google.com/file/d/1gZudMHDkBlU6S9sQGcFQ5FsVxOBwozf7/view?usp=drivesdk","6306_IRMA HASIBUAN _ SERTIFIKAT BerAKHLAK")</f>
        <v>6306_IRMA HASIBUAN _ SERTIFIKAT BerAKHLAK</v>
      </c>
      <c r="P6307" s="5" t="s">
        <v>40952</v>
      </c>
    </row>
    <row r="6308">
      <c r="A6308" s="4">
        <v>45534.36830164352</v>
      </c>
      <c r="B6308" s="5" t="s">
        <v>34</v>
      </c>
      <c r="D6308" s="5" t="s">
        <v>7858</v>
      </c>
      <c r="E6308" s="5" t="s">
        <v>40958</v>
      </c>
      <c r="F6308" s="5" t="s">
        <v>375</v>
      </c>
      <c r="G6308" s="5" t="s">
        <v>40959</v>
      </c>
      <c r="H6308" s="6" t="s">
        <v>40960</v>
      </c>
      <c r="K6308" s="5" t="s">
        <v>40939</v>
      </c>
      <c r="M6308" s="5" t="s">
        <v>40961</v>
      </c>
      <c r="N6308" s="7" t="s">
        <v>40962</v>
      </c>
      <c r="O6308" s="8" t="str">
        <f>HYPERLINK("https://drive.google.com/file/d/1ABVQkXAgD80sk8vyKaTGr7tdL18x4bew/view?usp=drivesdk","6307_KRISNA HEPARYANA _ SERTIFIKAT BerAKHLAK")</f>
        <v>6307_KRISNA HEPARYANA _ SERTIFIKAT BerAKHLAK</v>
      </c>
      <c r="P6308" s="5" t="s">
        <v>40952</v>
      </c>
    </row>
    <row r="6309" hidden="1">
      <c r="A6309" s="4">
        <v>45534.368303564814</v>
      </c>
      <c r="B6309" s="5" t="s">
        <v>19</v>
      </c>
      <c r="C6309" s="5" t="s">
        <v>14000</v>
      </c>
      <c r="E6309" s="5" t="s">
        <v>40963</v>
      </c>
      <c r="F6309" s="5" t="s">
        <v>37</v>
      </c>
      <c r="G6309" s="5" t="s">
        <v>40964</v>
      </c>
      <c r="H6309" s="6" t="s">
        <v>40965</v>
      </c>
      <c r="K6309" s="5" t="s">
        <v>40939</v>
      </c>
      <c r="M6309" s="5" t="s">
        <v>40966</v>
      </c>
      <c r="N6309" s="7" t="s">
        <v>40967</v>
      </c>
      <c r="O6309" s="8" t="str">
        <f>HYPERLINK("https://drive.google.com/file/d/1ABMz7a6TXOOIE2r_rMf5KhkaUeJQCspu/view?usp=drivesdk","6308_GALEH ANGGORO PUTRO _ SERTIFIKAT BerAKHLAK")</f>
        <v>6308_GALEH ANGGORO PUTRO _ SERTIFIKAT BerAKHLAK</v>
      </c>
      <c r="P6309" s="5" t="s">
        <v>40952</v>
      </c>
    </row>
    <row r="6310">
      <c r="A6310" s="4">
        <v>45534.36830792824</v>
      </c>
      <c r="B6310" s="5" t="s">
        <v>34</v>
      </c>
      <c r="D6310" s="5" t="s">
        <v>9020</v>
      </c>
      <c r="E6310" s="5" t="s">
        <v>40968</v>
      </c>
      <c r="F6310" s="5" t="s">
        <v>37</v>
      </c>
      <c r="G6310" s="5" t="s">
        <v>40969</v>
      </c>
      <c r="H6310" s="6" t="s">
        <v>40970</v>
      </c>
      <c r="K6310" s="5" t="s">
        <v>40939</v>
      </c>
      <c r="M6310" s="5" t="s">
        <v>40971</v>
      </c>
      <c r="N6310" s="7" t="s">
        <v>40972</v>
      </c>
      <c r="O6310" s="8" t="str">
        <f>HYPERLINK("https://drive.google.com/file/d/1J4b1fxSLJ4C1sL2j_DpeTNaQPXd5-yvG/view?usp=drivesdk","6309_SAIDA TUNISA _ SERTIFIKAT BerAKHLAK")</f>
        <v>6309_SAIDA TUNISA _ SERTIFIKAT BerAKHLAK</v>
      </c>
      <c r="P6310" s="5" t="s">
        <v>40952</v>
      </c>
    </row>
    <row r="6311">
      <c r="A6311" s="4">
        <v>45534.36830967593</v>
      </c>
      <c r="B6311" s="5" t="s">
        <v>34</v>
      </c>
      <c r="D6311" s="5" t="s">
        <v>4775</v>
      </c>
      <c r="E6311" s="5" t="s">
        <v>40973</v>
      </c>
      <c r="F6311" s="5" t="s">
        <v>524</v>
      </c>
      <c r="G6311" s="5" t="s">
        <v>40974</v>
      </c>
      <c r="H6311" s="6" t="s">
        <v>40975</v>
      </c>
      <c r="K6311" s="5" t="s">
        <v>40939</v>
      </c>
      <c r="M6311" s="5" t="s">
        <v>40976</v>
      </c>
      <c r="N6311" s="7" t="s">
        <v>40977</v>
      </c>
      <c r="O6311" s="8" t="str">
        <f>HYPERLINK("https://drive.google.com/file/d/12ELsioCTIZbZJUxeftV900mkSgOpUoHs/view?usp=drivesdk","6310_ERMA ARIEFIANI  _ SERTIFIKAT BerAKHLAK")</f>
        <v>6310_ERMA ARIEFIANI  _ SERTIFIKAT BerAKHLAK</v>
      </c>
      <c r="P6311" s="5" t="s">
        <v>40978</v>
      </c>
    </row>
    <row r="6312">
      <c r="A6312" s="4">
        <v>45534.36831149306</v>
      </c>
      <c r="B6312" s="5" t="s">
        <v>34</v>
      </c>
      <c r="D6312" s="5" t="s">
        <v>3849</v>
      </c>
      <c r="E6312" s="5" t="s">
        <v>40979</v>
      </c>
      <c r="F6312" s="5" t="s">
        <v>72</v>
      </c>
      <c r="G6312" s="5" t="s">
        <v>40980</v>
      </c>
      <c r="H6312" s="6" t="s">
        <v>40981</v>
      </c>
      <c r="K6312" s="5" t="s">
        <v>40939</v>
      </c>
      <c r="M6312" s="5" t="s">
        <v>40982</v>
      </c>
      <c r="N6312" s="7" t="s">
        <v>40983</v>
      </c>
      <c r="O6312" s="8" t="str">
        <f>HYPERLINK("https://drive.google.com/file/d/1ykNdC7CTDfWP3_C5lAAg-Rf8hjJ_Uat6/view?usp=drivesdk","6311_MARULI IRWAN,A.Md _ SERTIFIKAT BerAKHLAK")</f>
        <v>6311_MARULI IRWAN,A.Md _ SERTIFIKAT BerAKHLAK</v>
      </c>
      <c r="P6312" s="5" t="s">
        <v>40978</v>
      </c>
    </row>
    <row r="6313">
      <c r="A6313" s="4">
        <v>45534.368330983794</v>
      </c>
      <c r="B6313" s="5" t="s">
        <v>34</v>
      </c>
      <c r="D6313" s="5" t="s">
        <v>35</v>
      </c>
      <c r="E6313" s="5" t="s">
        <v>40984</v>
      </c>
      <c r="F6313" s="5" t="s">
        <v>120</v>
      </c>
      <c r="G6313" s="5" t="s">
        <v>40985</v>
      </c>
      <c r="H6313" s="6" t="s">
        <v>40986</v>
      </c>
      <c r="K6313" s="5" t="s">
        <v>40939</v>
      </c>
      <c r="M6313" s="5" t="s">
        <v>40987</v>
      </c>
      <c r="N6313" s="7" t="s">
        <v>40988</v>
      </c>
      <c r="O6313" s="8" t="str">
        <f>HYPERLINK("https://drive.google.com/file/d/1F6SyDv98bjjBi2AFJRcVCHfa54s2gpZq/view?usp=drivesdk","6312_NADIR HOLIK _ SERTIFIKAT BerAKHLAK")</f>
        <v>6312_NADIR HOLIK _ SERTIFIKAT BerAKHLAK</v>
      </c>
      <c r="P6313" s="5" t="s">
        <v>40978</v>
      </c>
    </row>
    <row r="6314">
      <c r="A6314" s="4">
        <v>45534.3683365162</v>
      </c>
      <c r="B6314" s="5" t="s">
        <v>34</v>
      </c>
      <c r="D6314" s="5" t="s">
        <v>7858</v>
      </c>
      <c r="E6314" s="5" t="s">
        <v>40989</v>
      </c>
      <c r="F6314" s="5" t="s">
        <v>375</v>
      </c>
      <c r="G6314" s="5" t="s">
        <v>40990</v>
      </c>
      <c r="H6314" s="6" t="s">
        <v>40991</v>
      </c>
      <c r="K6314" s="5" t="s">
        <v>40939</v>
      </c>
      <c r="M6314" s="5" t="s">
        <v>40992</v>
      </c>
      <c r="N6314" s="7" t="s">
        <v>40993</v>
      </c>
      <c r="O6314" s="8" t="str">
        <f>HYPERLINK("https://drive.google.com/file/d/1tJWhjURM-9CGNEqjoXeFjsPTpVdTxgND/view?usp=drivesdk","6313_DANNY ASMANTO, S.T. _ SERTIFIKAT BerAKHLAK")</f>
        <v>6313_DANNY ASMANTO, S.T. _ SERTIFIKAT BerAKHLAK</v>
      </c>
      <c r="P6314" s="5" t="s">
        <v>40978</v>
      </c>
    </row>
    <row r="6315">
      <c r="A6315" s="4">
        <v>45534.368340393514</v>
      </c>
      <c r="B6315" s="5" t="s">
        <v>34</v>
      </c>
      <c r="D6315" s="5" t="s">
        <v>1558</v>
      </c>
      <c r="E6315" s="5" t="s">
        <v>40994</v>
      </c>
      <c r="F6315" s="5" t="s">
        <v>37</v>
      </c>
      <c r="G6315" s="5" t="s">
        <v>40995</v>
      </c>
      <c r="H6315" s="6" t="s">
        <v>40996</v>
      </c>
      <c r="K6315" s="5" t="s">
        <v>40939</v>
      </c>
      <c r="M6315" s="5" t="s">
        <v>40997</v>
      </c>
      <c r="N6315" s="7" t="s">
        <v>40998</v>
      </c>
      <c r="O6315" s="8" t="str">
        <f>HYPERLINK("https://drive.google.com/file/d/1vH5Db0xKSsApEynmjeKUI_h1BOoyLa7K/view?usp=drivesdk","6314_DADAN RUHENDA _ SERTIFIKAT BerAKHLAK")</f>
        <v>6314_DADAN RUHENDA _ SERTIFIKAT BerAKHLAK</v>
      </c>
      <c r="P6315" s="5" t="s">
        <v>40999</v>
      </c>
    </row>
    <row r="6316">
      <c r="A6316" s="4">
        <v>45534.368357581014</v>
      </c>
      <c r="B6316" s="5" t="s">
        <v>34</v>
      </c>
      <c r="D6316" s="5" t="s">
        <v>4775</v>
      </c>
      <c r="E6316" s="5" t="s">
        <v>41000</v>
      </c>
      <c r="F6316" s="5" t="s">
        <v>37</v>
      </c>
      <c r="G6316" s="5" t="s">
        <v>41001</v>
      </c>
      <c r="H6316" s="6" t="s">
        <v>41002</v>
      </c>
      <c r="K6316" s="5" t="s">
        <v>40939</v>
      </c>
      <c r="M6316" s="5" t="s">
        <v>41003</v>
      </c>
      <c r="N6316" s="7" t="s">
        <v>41004</v>
      </c>
      <c r="O6316" s="8" t="str">
        <f>HYPERLINK("https://drive.google.com/file/d/1zszeL5f2Pho-T_StUM8tRatK1RYDt0BB/view?usp=drivesdk","6315_SITI LESTARI, A.Md.Keb. _ SERTIFIKAT BerAKHLAK")</f>
        <v>6315_SITI LESTARI, A.Md.Keb. _ SERTIFIKAT BerAKHLAK</v>
      </c>
      <c r="P6316" s="5" t="s">
        <v>40999</v>
      </c>
    </row>
    <row r="6317">
      <c r="A6317" s="4">
        <v>45534.36836759259</v>
      </c>
      <c r="B6317" s="5" t="s">
        <v>34</v>
      </c>
      <c r="D6317" s="5" t="s">
        <v>2903</v>
      </c>
      <c r="E6317" s="5" t="s">
        <v>41005</v>
      </c>
      <c r="F6317" s="5" t="s">
        <v>37</v>
      </c>
      <c r="G6317" s="5" t="s">
        <v>41006</v>
      </c>
      <c r="H6317" s="6" t="s">
        <v>41007</v>
      </c>
      <c r="K6317" s="5" t="s">
        <v>40939</v>
      </c>
      <c r="M6317" s="5" t="s">
        <v>41008</v>
      </c>
      <c r="N6317" s="7" t="s">
        <v>41009</v>
      </c>
      <c r="O6317" s="8" t="str">
        <f>HYPERLINK("https://drive.google.com/file/d/1MfuxctEl7bPHGTqgs3RkV6JCoidQTD5G/view?usp=drivesdk","6316_NIKKI SULASTRY _ SERTIFIKAT BerAKHLAK")</f>
        <v>6316_NIKKI SULASTRY _ SERTIFIKAT BerAKHLAK</v>
      </c>
      <c r="P6317" s="5" t="s">
        <v>40999</v>
      </c>
    </row>
    <row r="6318">
      <c r="A6318" s="4">
        <v>45534.36836796296</v>
      </c>
      <c r="B6318" s="5" t="s">
        <v>34</v>
      </c>
      <c r="D6318" s="5" t="s">
        <v>12010</v>
      </c>
      <c r="E6318" s="5" t="s">
        <v>41010</v>
      </c>
      <c r="F6318" s="5" t="s">
        <v>715</v>
      </c>
      <c r="G6318" s="5" t="s">
        <v>41011</v>
      </c>
      <c r="H6318" s="6" t="s">
        <v>41012</v>
      </c>
      <c r="K6318" s="5" t="s">
        <v>40939</v>
      </c>
      <c r="M6318" s="5" t="s">
        <v>41013</v>
      </c>
      <c r="N6318" s="7" t="s">
        <v>41014</v>
      </c>
      <c r="O6318" s="8" t="str">
        <f>HYPERLINK("https://drive.google.com/file/d/1a0j2muowzaSCvrMsfzeKivMFIQNT5CS2/view?usp=drivesdk","6317_Ns.DWISANDI ABDILLAH,S.Kep _ SERTIFIKAT BerAKHLAK")</f>
        <v>6317_Ns.DWISANDI ABDILLAH,S.Kep _ SERTIFIKAT BerAKHLAK</v>
      </c>
      <c r="P6318" s="5" t="s">
        <v>40999</v>
      </c>
    </row>
    <row r="6319">
      <c r="A6319" s="4">
        <v>45534.368398182865</v>
      </c>
      <c r="B6319" s="5" t="s">
        <v>34</v>
      </c>
      <c r="D6319" s="5" t="s">
        <v>4775</v>
      </c>
      <c r="E6319" s="5" t="s">
        <v>41015</v>
      </c>
      <c r="F6319" s="5" t="s">
        <v>375</v>
      </c>
      <c r="G6319" s="5" t="s">
        <v>41016</v>
      </c>
      <c r="H6319" s="6" t="s">
        <v>41017</v>
      </c>
      <c r="K6319" s="5" t="s">
        <v>40939</v>
      </c>
      <c r="M6319" s="5" t="s">
        <v>41018</v>
      </c>
      <c r="N6319" s="7" t="s">
        <v>41019</v>
      </c>
      <c r="O6319" s="8" t="str">
        <f>HYPERLINK("https://drive.google.com/file/d/1KboPoxNu6YTjP3Xhoy5V06w8jr_akThp/view?usp=drivesdk","6318_ERVIANA WIDJAYANTI  _ SERTIFIKAT BerAKHLAK")</f>
        <v>6318_ERVIANA WIDJAYANTI  _ SERTIFIKAT BerAKHLAK</v>
      </c>
      <c r="P6319" s="5" t="s">
        <v>41020</v>
      </c>
    </row>
    <row r="6320">
      <c r="A6320" s="4">
        <v>45534.36840390046</v>
      </c>
      <c r="B6320" s="5" t="s">
        <v>34</v>
      </c>
      <c r="D6320" s="5" t="s">
        <v>12010</v>
      </c>
      <c r="E6320" s="5" t="s">
        <v>41021</v>
      </c>
      <c r="F6320" s="5" t="s">
        <v>37</v>
      </c>
      <c r="G6320" s="5" t="s">
        <v>41022</v>
      </c>
      <c r="H6320" s="6" t="s">
        <v>41023</v>
      </c>
      <c r="K6320" s="5" t="s">
        <v>40939</v>
      </c>
      <c r="M6320" s="5" t="s">
        <v>41024</v>
      </c>
      <c r="N6320" s="7" t="s">
        <v>41025</v>
      </c>
      <c r="O6320" s="8" t="str">
        <f>HYPERLINK("https://drive.google.com/file/d/1JP9Fdee4X3Hfl1leHSP4bqKWnsbtInzm/view?usp=drivesdk","6319_ULFA PANTO, S.Ap _ SERTIFIKAT BerAKHLAK")</f>
        <v>6319_ULFA PANTO, S.Ap _ SERTIFIKAT BerAKHLAK</v>
      </c>
      <c r="P6320" s="5" t="s">
        <v>41020</v>
      </c>
    </row>
    <row r="6321">
      <c r="A6321" s="4">
        <v>45534.36840435185</v>
      </c>
      <c r="B6321" s="5" t="s">
        <v>34</v>
      </c>
      <c r="D6321" s="5" t="s">
        <v>4775</v>
      </c>
      <c r="E6321" s="5" t="s">
        <v>41026</v>
      </c>
      <c r="F6321" s="5" t="s">
        <v>120</v>
      </c>
      <c r="G6321" s="5" t="s">
        <v>41027</v>
      </c>
      <c r="H6321" s="6" t="s">
        <v>41028</v>
      </c>
      <c r="K6321" s="5" t="s">
        <v>40939</v>
      </c>
      <c r="M6321" s="5" t="s">
        <v>41029</v>
      </c>
      <c r="N6321" s="7" t="s">
        <v>41030</v>
      </c>
      <c r="O6321" s="8" t="str">
        <f>HYPERLINK("https://drive.google.com/file/d/1t_c88d9HJtmYTiJUK-bgKMPOsjaCjBVR/view?usp=drivesdk","6320_HANI HIDAYANI _ SERTIFIKAT BerAKHLAK")</f>
        <v>6320_HANI HIDAYANI _ SERTIFIKAT BerAKHLAK</v>
      </c>
      <c r="P6321" s="5" t="s">
        <v>41020</v>
      </c>
    </row>
    <row r="6322">
      <c r="A6322" s="4">
        <v>45534.36841604167</v>
      </c>
      <c r="B6322" s="5" t="s">
        <v>34</v>
      </c>
      <c r="D6322" s="5" t="s">
        <v>1456</v>
      </c>
      <c r="E6322" s="5" t="s">
        <v>41031</v>
      </c>
      <c r="F6322" s="5" t="s">
        <v>37</v>
      </c>
      <c r="G6322" s="5" t="s">
        <v>41032</v>
      </c>
      <c r="H6322" s="6" t="s">
        <v>41033</v>
      </c>
      <c r="K6322" s="5" t="s">
        <v>40939</v>
      </c>
      <c r="M6322" s="5" t="s">
        <v>41034</v>
      </c>
      <c r="N6322" s="7" t="s">
        <v>41035</v>
      </c>
      <c r="O6322" s="8" t="str">
        <f>HYPERLINK("https://drive.google.com/file/d/12NmIokzXJWTU8sH5TXOp0Y7U02mPL-L-/view?usp=drivesdk","6321_MOHAMAD FADLI _ SERTIFIKAT BerAKHLAK")</f>
        <v>6321_MOHAMAD FADLI _ SERTIFIKAT BerAKHLAK</v>
      </c>
      <c r="P6322" s="5" t="s">
        <v>41020</v>
      </c>
    </row>
    <row r="6323">
      <c r="A6323" s="4">
        <v>45534.36842002315</v>
      </c>
      <c r="B6323" s="5" t="s">
        <v>34</v>
      </c>
      <c r="D6323" s="5" t="s">
        <v>996</v>
      </c>
      <c r="E6323" s="5" t="s">
        <v>41036</v>
      </c>
      <c r="F6323" s="5" t="s">
        <v>72</v>
      </c>
      <c r="G6323" s="5" t="s">
        <v>41037</v>
      </c>
      <c r="H6323" s="6" t="s">
        <v>41038</v>
      </c>
      <c r="K6323" s="5" t="s">
        <v>40939</v>
      </c>
      <c r="M6323" s="5" t="s">
        <v>41039</v>
      </c>
      <c r="N6323" s="7" t="s">
        <v>41040</v>
      </c>
      <c r="O6323" s="8" t="str">
        <f>HYPERLINK("https://drive.google.com/file/d/16fIsZsU65pVzBzxCwfMYuSwGdut8XHAX/view?usp=drivesdk","6322_BAKHRUDDIN  _ SERTIFIKAT BerAKHLAK")</f>
        <v>6322_BAKHRUDDIN  _ SERTIFIKAT BerAKHLAK</v>
      </c>
      <c r="P6323" s="5" t="s">
        <v>41020</v>
      </c>
    </row>
    <row r="6324">
      <c r="A6324" s="4">
        <v>45534.36842384259</v>
      </c>
      <c r="B6324" s="5" t="s">
        <v>34</v>
      </c>
      <c r="D6324" s="5" t="s">
        <v>701</v>
      </c>
      <c r="E6324" s="5" t="s">
        <v>41041</v>
      </c>
      <c r="F6324" s="5" t="s">
        <v>108</v>
      </c>
      <c r="G6324" s="5" t="s">
        <v>41042</v>
      </c>
      <c r="H6324" s="6" t="s">
        <v>41043</v>
      </c>
      <c r="K6324" s="5" t="s">
        <v>40939</v>
      </c>
      <c r="M6324" s="5" t="s">
        <v>41044</v>
      </c>
      <c r="N6324" s="7" t="s">
        <v>41045</v>
      </c>
      <c r="O6324" s="8" t="str">
        <f>HYPERLINK("https://drive.google.com/file/d/17mZz9qn7vx1GN4Ce5NSLVPdSuq9XDk5V/view?usp=drivesdk","6323_Ns. FERIDISTIRA, S.Kep _ SERTIFIKAT BerAKHLAK")</f>
        <v>6323_Ns. FERIDISTIRA, S.Kep _ SERTIFIKAT BerAKHLAK</v>
      </c>
      <c r="P6324" s="5" t="s">
        <v>41046</v>
      </c>
    </row>
    <row r="6325">
      <c r="A6325" s="4">
        <v>45534.36843494213</v>
      </c>
      <c r="B6325" s="5" t="s">
        <v>34</v>
      </c>
      <c r="D6325" s="5" t="s">
        <v>1206</v>
      </c>
      <c r="E6325" s="5" t="s">
        <v>41047</v>
      </c>
      <c r="F6325" s="5" t="s">
        <v>212</v>
      </c>
      <c r="G6325" s="5" t="s">
        <v>41048</v>
      </c>
      <c r="H6325" s="6" t="s">
        <v>41049</v>
      </c>
      <c r="K6325" s="5" t="s">
        <v>40939</v>
      </c>
      <c r="M6325" s="5" t="s">
        <v>41050</v>
      </c>
      <c r="N6325" s="7" t="s">
        <v>41051</v>
      </c>
      <c r="O6325" s="8" t="str">
        <f>HYPERLINK("https://drive.google.com/file/d/10oudFQC67CyvfSBD5j-kCMMVxRRxfkEm/view?usp=drivesdk","6324_WIDIYA HARINI _ SERTIFIKAT BerAKHLAK")</f>
        <v>6324_WIDIYA HARINI _ SERTIFIKAT BerAKHLAK</v>
      </c>
      <c r="P6325" s="5" t="s">
        <v>41046</v>
      </c>
    </row>
    <row r="6326">
      <c r="A6326" s="4">
        <v>45534.36843560185</v>
      </c>
      <c r="B6326" s="5" t="s">
        <v>34</v>
      </c>
      <c r="D6326" s="5" t="s">
        <v>10297</v>
      </c>
      <c r="E6326" s="5" t="s">
        <v>41052</v>
      </c>
      <c r="F6326" s="5" t="s">
        <v>212</v>
      </c>
      <c r="G6326" s="5" t="s">
        <v>38138</v>
      </c>
      <c r="H6326" s="6" t="s">
        <v>41053</v>
      </c>
      <c r="K6326" s="5" t="s">
        <v>40939</v>
      </c>
      <c r="M6326" s="5" t="s">
        <v>41054</v>
      </c>
      <c r="N6326" s="7" t="s">
        <v>41055</v>
      </c>
      <c r="O6326" s="8" t="str">
        <f>HYPERLINK("https://drive.google.com/file/d/1iODW-yKKwGUeHxVImme4v89MhgyObiGI/view?usp=drivesdk","6325_SAYIDIMAN MESMAN, AMd., S.Kom _ SERTIFIKAT BerAKHLAK")</f>
        <v>6325_SAYIDIMAN MESMAN, AMd., S.Kom _ SERTIFIKAT BerAKHLAK</v>
      </c>
      <c r="P6326" s="5" t="s">
        <v>41046</v>
      </c>
    </row>
    <row r="6327">
      <c r="A6327" s="4">
        <v>45534.36843902778</v>
      </c>
      <c r="B6327" s="5" t="s">
        <v>34</v>
      </c>
      <c r="D6327" s="5" t="s">
        <v>1206</v>
      </c>
      <c r="E6327" s="5" t="s">
        <v>41056</v>
      </c>
      <c r="F6327" s="5" t="s">
        <v>108</v>
      </c>
      <c r="G6327" s="5" t="s">
        <v>41057</v>
      </c>
      <c r="H6327" s="6" t="s">
        <v>41058</v>
      </c>
      <c r="K6327" s="5" t="s">
        <v>40939</v>
      </c>
      <c r="M6327" s="5" t="s">
        <v>41059</v>
      </c>
      <c r="N6327" s="7" t="s">
        <v>41060</v>
      </c>
      <c r="O6327" s="8" t="str">
        <f>HYPERLINK("https://drive.google.com/file/d/14LmVOwvvq3EBXquaIQ-MIjkeXoWWSN2B/view?usp=drivesdk","6326_LUSI HARIYANI _ SERTIFIKAT BerAKHLAK")</f>
        <v>6326_LUSI HARIYANI _ SERTIFIKAT BerAKHLAK</v>
      </c>
      <c r="P6327" s="5" t="s">
        <v>41046</v>
      </c>
    </row>
    <row r="6328" hidden="1">
      <c r="A6328" s="4">
        <v>45534.36844827546</v>
      </c>
      <c r="B6328" s="5" t="s">
        <v>19</v>
      </c>
      <c r="C6328" s="5" t="s">
        <v>292</v>
      </c>
      <c r="E6328" s="5" t="s">
        <v>41061</v>
      </c>
      <c r="F6328" s="5" t="s">
        <v>37</v>
      </c>
      <c r="G6328" s="5" t="s">
        <v>41062</v>
      </c>
      <c r="H6328" s="6" t="s">
        <v>41063</v>
      </c>
      <c r="K6328" s="5" t="s">
        <v>40939</v>
      </c>
      <c r="M6328" s="5" t="s">
        <v>41064</v>
      </c>
      <c r="N6328" s="7" t="s">
        <v>41065</v>
      </c>
      <c r="O6328" s="8" t="str">
        <f>HYPERLINK("https://drive.google.com/file/d/1mdT9G5Q21re_w5aZGO9cq_32h0nMZN18/view?usp=drivesdk","6327_LIA YULIANTI _ SERTIFIKAT BerAKHLAK")</f>
        <v>6327_LIA YULIANTI _ SERTIFIKAT BerAKHLAK</v>
      </c>
      <c r="P6328" s="5" t="s">
        <v>41066</v>
      </c>
    </row>
    <row r="6329">
      <c r="A6329" s="4">
        <v>45534.36845891204</v>
      </c>
      <c r="B6329" s="5" t="s">
        <v>34</v>
      </c>
      <c r="D6329" s="5" t="s">
        <v>1206</v>
      </c>
      <c r="E6329" s="5" t="s">
        <v>41067</v>
      </c>
      <c r="F6329" s="5" t="s">
        <v>199</v>
      </c>
      <c r="G6329" s="5" t="s">
        <v>41068</v>
      </c>
      <c r="H6329" s="6" t="s">
        <v>41069</v>
      </c>
      <c r="K6329" s="5" t="s">
        <v>40939</v>
      </c>
      <c r="M6329" s="5" t="s">
        <v>41070</v>
      </c>
      <c r="N6329" s="7" t="s">
        <v>41071</v>
      </c>
      <c r="O6329" s="8" t="str">
        <f>HYPERLINK("https://drive.google.com/file/d/1yxdAPcaO61XPheTF-BPegUqMFAzlhULS/view?usp=drivesdk","6328_RUSTINI _ SERTIFIKAT BerAKHLAK")</f>
        <v>6328_RUSTINI _ SERTIFIKAT BerAKHLAK</v>
      </c>
      <c r="P6329" s="5" t="s">
        <v>41066</v>
      </c>
    </row>
    <row r="6330" hidden="1">
      <c r="A6330" s="4">
        <v>45534.36846439815</v>
      </c>
      <c r="B6330" s="5" t="s">
        <v>19</v>
      </c>
      <c r="C6330" s="5" t="s">
        <v>3301</v>
      </c>
      <c r="E6330" s="5" t="s">
        <v>41072</v>
      </c>
      <c r="F6330" s="5" t="s">
        <v>37</v>
      </c>
      <c r="G6330" s="5" t="s">
        <v>41073</v>
      </c>
      <c r="H6330" s="6" t="s">
        <v>41074</v>
      </c>
      <c r="K6330" s="5" t="s">
        <v>40939</v>
      </c>
      <c r="M6330" s="5" t="s">
        <v>41075</v>
      </c>
      <c r="N6330" s="7" t="s">
        <v>41076</v>
      </c>
      <c r="O6330" s="8" t="str">
        <f>HYPERLINK("https://drive.google.com/file/d/14APNk1QtzdCAGhp09EFGbM5XDh7j1CVv/view?usp=drivesdk","6329_SRI SUGI HANDAYANI _ SERTIFIKAT BerAKHLAK")</f>
        <v>6329_SRI SUGI HANDAYANI _ SERTIFIKAT BerAKHLAK</v>
      </c>
      <c r="P6330" s="5" t="s">
        <v>41066</v>
      </c>
    </row>
    <row r="6331">
      <c r="A6331" s="4">
        <v>45534.36847541667</v>
      </c>
      <c r="B6331" s="5" t="s">
        <v>34</v>
      </c>
      <c r="D6331" s="5" t="s">
        <v>15401</v>
      </c>
      <c r="E6331" s="5" t="s">
        <v>41077</v>
      </c>
      <c r="F6331" s="5" t="s">
        <v>37</v>
      </c>
      <c r="G6331" s="5" t="s">
        <v>41078</v>
      </c>
      <c r="H6331" s="6" t="s">
        <v>41079</v>
      </c>
      <c r="K6331" s="5" t="s">
        <v>40939</v>
      </c>
      <c r="M6331" s="5" t="s">
        <v>41080</v>
      </c>
      <c r="N6331" s="7" t="s">
        <v>41081</v>
      </c>
      <c r="O6331" s="8" t="str">
        <f>HYPERLINK("https://drive.google.com/file/d/1EboaJ03vNgBA68jMHXiG-f9WoYeA3HhO/view?usp=drivesdk","6330_ASMA AMIRI _ SERTIFIKAT BerAKHLAK")</f>
        <v>6330_ASMA AMIRI _ SERTIFIKAT BerAKHLAK</v>
      </c>
      <c r="P6331" s="5" t="s">
        <v>41066</v>
      </c>
    </row>
    <row r="6332">
      <c r="A6332" s="4">
        <v>45534.36847234954</v>
      </c>
      <c r="B6332" s="5" t="s">
        <v>34</v>
      </c>
      <c r="D6332" s="5" t="s">
        <v>1206</v>
      </c>
      <c r="E6332" s="5" t="s">
        <v>41082</v>
      </c>
      <c r="F6332" s="5" t="s">
        <v>212</v>
      </c>
      <c r="G6332" s="5" t="s">
        <v>41083</v>
      </c>
      <c r="H6332" s="6" t="s">
        <v>41084</v>
      </c>
      <c r="K6332" s="5" t="s">
        <v>40939</v>
      </c>
      <c r="M6332" s="5" t="s">
        <v>41085</v>
      </c>
      <c r="N6332" s="7" t="s">
        <v>41086</v>
      </c>
      <c r="O6332" s="8" t="str">
        <f>HYPERLINK("https://drive.google.com/file/d/1GkHBGD7G7cnAnmt-H74MYk9wzGL2QYZ_/view?usp=drivesdk","6331_RIDA CHOIRYAH _ SERTIFIKAT BerAKHLAK")</f>
        <v>6331_RIDA CHOIRYAH _ SERTIFIKAT BerAKHLAK</v>
      </c>
      <c r="P6332" s="5" t="s">
        <v>41066</v>
      </c>
    </row>
    <row r="6333">
      <c r="A6333" s="4">
        <v>45534.36848657407</v>
      </c>
      <c r="B6333" s="5" t="s">
        <v>34</v>
      </c>
      <c r="D6333" s="5" t="s">
        <v>9020</v>
      </c>
      <c r="E6333" s="5" t="s">
        <v>41087</v>
      </c>
      <c r="F6333" s="5" t="s">
        <v>108</v>
      </c>
      <c r="G6333" s="5" t="s">
        <v>41088</v>
      </c>
      <c r="H6333" s="6" t="s">
        <v>41089</v>
      </c>
      <c r="K6333" s="5" t="s">
        <v>40939</v>
      </c>
      <c r="M6333" s="5" t="s">
        <v>41090</v>
      </c>
      <c r="N6333" s="7" t="s">
        <v>41091</v>
      </c>
      <c r="O6333" s="8" t="str">
        <f>HYPERLINK("https://drive.google.com/file/d/1rNjTQgGDjxbMox4U8X7HVhNvWAbIcngz/view?usp=drivesdk","6332_MAROJAHAN SITANGGANG, S.E. _ SERTIFIKAT BerAKHLAK")</f>
        <v>6332_MAROJAHAN SITANGGANG, S.E. _ SERTIFIKAT BerAKHLAK</v>
      </c>
      <c r="P6333" s="5" t="s">
        <v>41092</v>
      </c>
    </row>
    <row r="6334">
      <c r="A6334" s="4">
        <v>45534.36850188657</v>
      </c>
      <c r="B6334" s="5" t="s">
        <v>34</v>
      </c>
      <c r="D6334" s="5" t="s">
        <v>1206</v>
      </c>
      <c r="E6334" s="5" t="s">
        <v>41093</v>
      </c>
      <c r="F6334" s="5" t="s">
        <v>715</v>
      </c>
      <c r="G6334" s="5" t="s">
        <v>41094</v>
      </c>
      <c r="H6334" s="6" t="s">
        <v>41095</v>
      </c>
      <c r="K6334" s="5" t="s">
        <v>40939</v>
      </c>
      <c r="M6334" s="5" t="s">
        <v>41096</v>
      </c>
      <c r="N6334" s="7" t="s">
        <v>41097</v>
      </c>
      <c r="O6334" s="8" t="str">
        <f>HYPERLINK("https://drive.google.com/file/d/1hxMxbDwEISCKY5_iJg7Avro_TDZ-rIPU/view?usp=drivesdk","6333_EVY JULAIKAH _ SERTIFIKAT BerAKHLAK")</f>
        <v>6333_EVY JULAIKAH _ SERTIFIKAT BerAKHLAK</v>
      </c>
      <c r="P6334" s="5" t="s">
        <v>41092</v>
      </c>
    </row>
    <row r="6335">
      <c r="A6335" s="4">
        <v>45534.36850353009</v>
      </c>
      <c r="B6335" s="5" t="s">
        <v>34</v>
      </c>
      <c r="D6335" s="5" t="s">
        <v>9394</v>
      </c>
      <c r="E6335" s="5" t="s">
        <v>41098</v>
      </c>
      <c r="F6335" s="5" t="s">
        <v>212</v>
      </c>
      <c r="G6335" s="5" t="s">
        <v>41099</v>
      </c>
      <c r="H6335" s="6" t="s">
        <v>41100</v>
      </c>
      <c r="K6335" s="5" t="s">
        <v>40939</v>
      </c>
      <c r="M6335" s="5" t="s">
        <v>41101</v>
      </c>
      <c r="N6335" s="7" t="s">
        <v>41102</v>
      </c>
      <c r="O6335" s="8" t="str">
        <f>HYPERLINK("https://drive.google.com/file/d/13cXDZiBPaAaFHR7PQ0I_uBKva7UVvTg8/view?usp=drivesdk","6334_YAYUNADI _ SERTIFIKAT BerAKHLAK")</f>
        <v>6334_YAYUNADI _ SERTIFIKAT BerAKHLAK</v>
      </c>
      <c r="P6335" s="5" t="s">
        <v>41092</v>
      </c>
    </row>
    <row r="6336">
      <c r="A6336" s="4">
        <v>45534.36851114583</v>
      </c>
      <c r="B6336" s="5" t="s">
        <v>34</v>
      </c>
      <c r="D6336" s="5" t="s">
        <v>975</v>
      </c>
      <c r="E6336" s="5" t="s">
        <v>41103</v>
      </c>
      <c r="F6336" s="5" t="s">
        <v>715</v>
      </c>
      <c r="G6336" s="5" t="s">
        <v>41104</v>
      </c>
      <c r="H6336" s="6" t="s">
        <v>41105</v>
      </c>
      <c r="K6336" s="5" t="s">
        <v>40939</v>
      </c>
      <c r="M6336" s="5" t="s">
        <v>41106</v>
      </c>
      <c r="N6336" s="7" t="s">
        <v>41107</v>
      </c>
      <c r="O6336" s="8" t="str">
        <f>HYPERLINK("https://drive.google.com/file/d/1keR2VjsKiG6cozzDtH_ZsuhBokIzAoTW/view?usp=drivesdk","6335_RINA, A.MD.KEP _ SERTIFIKAT BerAKHLAK")</f>
        <v>6335_RINA, A.MD.KEP _ SERTIFIKAT BerAKHLAK</v>
      </c>
      <c r="P6336" s="5" t="s">
        <v>41092</v>
      </c>
    </row>
    <row r="6337">
      <c r="A6337" s="4">
        <v>45534.36852016204</v>
      </c>
      <c r="B6337" s="5" t="s">
        <v>34</v>
      </c>
      <c r="D6337" s="5" t="s">
        <v>10297</v>
      </c>
      <c r="E6337" s="5" t="s">
        <v>41108</v>
      </c>
      <c r="F6337" s="5" t="s">
        <v>72</v>
      </c>
      <c r="G6337" s="5" t="s">
        <v>41109</v>
      </c>
      <c r="H6337" s="6" t="s">
        <v>41110</v>
      </c>
      <c r="K6337" s="5" t="s">
        <v>40939</v>
      </c>
      <c r="M6337" s="5" t="s">
        <v>41111</v>
      </c>
      <c r="N6337" s="7" t="s">
        <v>41112</v>
      </c>
      <c r="O6337" s="8" t="str">
        <f>HYPERLINK("https://drive.google.com/file/d/1nNwfEQ_jQEwLoN7CU__9NSOC5Oj4mFkZ/view?usp=drivesdk","6336_AIDAWATI.S.E _ SERTIFIKAT BerAKHLAK")</f>
        <v>6336_AIDAWATI.S.E _ SERTIFIKAT BerAKHLAK</v>
      </c>
      <c r="P6337" s="5" t="s">
        <v>41092</v>
      </c>
    </row>
    <row r="6338">
      <c r="A6338" s="4">
        <v>45534.36852270833</v>
      </c>
      <c r="B6338" s="5" t="s">
        <v>34</v>
      </c>
      <c r="D6338" s="5" t="s">
        <v>9394</v>
      </c>
      <c r="E6338" s="5" t="s">
        <v>41113</v>
      </c>
      <c r="F6338" s="5" t="s">
        <v>37</v>
      </c>
      <c r="G6338" s="5" t="s">
        <v>41114</v>
      </c>
      <c r="H6338" s="6" t="s">
        <v>41115</v>
      </c>
      <c r="K6338" s="5" t="s">
        <v>40939</v>
      </c>
      <c r="M6338" s="5" t="s">
        <v>41116</v>
      </c>
      <c r="N6338" s="7" t="s">
        <v>41117</v>
      </c>
      <c r="O6338" s="8" t="str">
        <f>HYPERLINK("https://drive.google.com/file/d/1V4_VrcKg8PvQugDIh6MzOpBBA4xy-nOD/view?usp=drivesdk","6337_SRI INDRAYANI _ SERTIFIKAT BerAKHLAK")</f>
        <v>6337_SRI INDRAYANI _ SERTIFIKAT BerAKHLAK</v>
      </c>
      <c r="P6338" s="5" t="s">
        <v>41118</v>
      </c>
    </row>
    <row r="6339">
      <c r="A6339" s="4">
        <v>45534.368536145834</v>
      </c>
      <c r="B6339" s="5" t="s">
        <v>34</v>
      </c>
      <c r="D6339" s="5" t="s">
        <v>4775</v>
      </c>
      <c r="E6339" s="5" t="s">
        <v>41119</v>
      </c>
      <c r="F6339" s="5" t="s">
        <v>212</v>
      </c>
      <c r="G6339" s="5" t="s">
        <v>41120</v>
      </c>
      <c r="H6339" s="6" t="s">
        <v>41121</v>
      </c>
      <c r="K6339" s="5" t="s">
        <v>40166</v>
      </c>
      <c r="M6339" s="5" t="s">
        <v>41122</v>
      </c>
      <c r="N6339" s="7" t="s">
        <v>41123</v>
      </c>
      <c r="O6339" s="8" t="str">
        <f>HYPERLINK("https://drive.google.com/file/d/1mKFL9xpHENc2mfva8RDPWCp1Lvn4TwYi/view?usp=drivesdk","6338_PANCA NUGRAHA, A.md. _ SERTIFIKAT BerAKHLAK")</f>
        <v>6338_PANCA NUGRAHA, A.md. _ SERTIFIKAT BerAKHLAK</v>
      </c>
      <c r="P6339" s="5" t="s">
        <v>41118</v>
      </c>
    </row>
    <row r="6340">
      <c r="A6340" s="4">
        <v>45534.3685437963</v>
      </c>
      <c r="B6340" s="5" t="s">
        <v>34</v>
      </c>
      <c r="D6340" s="5" t="s">
        <v>996</v>
      </c>
      <c r="E6340" s="5" t="s">
        <v>41124</v>
      </c>
      <c r="F6340" s="5" t="s">
        <v>72</v>
      </c>
      <c r="G6340" s="5" t="s">
        <v>41125</v>
      </c>
      <c r="H6340" s="6" t="s">
        <v>41126</v>
      </c>
      <c r="K6340" s="5" t="s">
        <v>40166</v>
      </c>
      <c r="M6340" s="5" t="s">
        <v>41127</v>
      </c>
      <c r="N6340" s="7" t="s">
        <v>41128</v>
      </c>
      <c r="O6340" s="8" t="str">
        <f>HYPERLINK("https://drive.google.com/file/d/17Oe8MfUdRjKcdmvqjQrAA9pe3Wf4Pbxr/view?usp=drivesdk","6339_ABDUL MALIK _ SERTIFIKAT BerAKHLAK")</f>
        <v>6339_ABDUL MALIK _ SERTIFIKAT BerAKHLAK</v>
      </c>
      <c r="P6340" s="5" t="s">
        <v>41118</v>
      </c>
    </row>
    <row r="6341">
      <c r="A6341" s="4">
        <v>45534.368544895835</v>
      </c>
      <c r="B6341" s="5" t="s">
        <v>34</v>
      </c>
      <c r="D6341" s="5" t="s">
        <v>4775</v>
      </c>
      <c r="E6341" s="5" t="s">
        <v>41129</v>
      </c>
      <c r="F6341" s="5" t="s">
        <v>37</v>
      </c>
      <c r="G6341" s="5" t="s">
        <v>41130</v>
      </c>
      <c r="H6341" s="6" t="s">
        <v>41131</v>
      </c>
      <c r="K6341" s="5" t="s">
        <v>40166</v>
      </c>
      <c r="M6341" s="5" t="s">
        <v>41132</v>
      </c>
      <c r="N6341" s="7" t="s">
        <v>41133</v>
      </c>
      <c r="O6341" s="8" t="str">
        <f>HYPERLINK("https://drive.google.com/file/d/1_IkeqnH_DiScOWMMd6-mnMBGxvNjaW6m/view?usp=drivesdk","6340_MOCH SOBIRIN _ SERTIFIKAT BerAKHLAK")</f>
        <v>6340_MOCH SOBIRIN _ SERTIFIKAT BerAKHLAK</v>
      </c>
      <c r="P6341" s="5" t="s">
        <v>41134</v>
      </c>
    </row>
    <row r="6342">
      <c r="A6342" s="4">
        <v>45534.36855167824</v>
      </c>
      <c r="B6342" s="5" t="s">
        <v>34</v>
      </c>
      <c r="D6342" s="5" t="s">
        <v>1692</v>
      </c>
      <c r="E6342" s="5" t="s">
        <v>41135</v>
      </c>
      <c r="F6342" s="5" t="s">
        <v>72</v>
      </c>
      <c r="G6342" s="5" t="s">
        <v>41136</v>
      </c>
      <c r="H6342" s="6" t="s">
        <v>41137</v>
      </c>
      <c r="K6342" s="5" t="s">
        <v>40166</v>
      </c>
      <c r="M6342" s="5" t="s">
        <v>41138</v>
      </c>
      <c r="N6342" s="7" t="s">
        <v>41139</v>
      </c>
      <c r="O6342" s="8" t="str">
        <f>HYPERLINK("https://drive.google.com/file/d/1vU_tO2nVa3-rrkK-on94FNzeUQuBMuiD/view?usp=drivesdk","6341_YOLANDA STELA LEKHENILA, S.Pi _ SERTIFIKAT BerAKHLAK")</f>
        <v>6341_YOLANDA STELA LEKHENILA, S.Pi _ SERTIFIKAT BerAKHLAK</v>
      </c>
      <c r="P6342" s="5" t="s">
        <v>41134</v>
      </c>
    </row>
    <row r="6343">
      <c r="A6343" s="4">
        <v>45534.36856292824</v>
      </c>
      <c r="B6343" s="5" t="s">
        <v>34</v>
      </c>
      <c r="D6343" s="5" t="s">
        <v>1206</v>
      </c>
      <c r="E6343" s="5" t="s">
        <v>41140</v>
      </c>
      <c r="F6343" s="5" t="s">
        <v>37</v>
      </c>
      <c r="G6343" s="5" t="s">
        <v>41141</v>
      </c>
      <c r="H6343" s="6" t="s">
        <v>41142</v>
      </c>
      <c r="K6343" s="5" t="s">
        <v>40166</v>
      </c>
      <c r="M6343" s="5" t="s">
        <v>41143</v>
      </c>
      <c r="N6343" s="7" t="s">
        <v>41144</v>
      </c>
      <c r="O6343" s="8" t="str">
        <f>HYPERLINK("https://drive.google.com/file/d/1TfnHlpTAt2N-QWNZ-BeGrQ4LRRxrC0ny/view?usp=drivesdk","6342_HADI PRAYITNO  _ SERTIFIKAT BerAKHLAK")</f>
        <v>6342_HADI PRAYITNO  _ SERTIFIKAT BerAKHLAK</v>
      </c>
      <c r="P6343" s="5" t="s">
        <v>41134</v>
      </c>
    </row>
    <row r="6344">
      <c r="A6344" s="4">
        <v>45534.368564097225</v>
      </c>
      <c r="B6344" s="5" t="s">
        <v>34</v>
      </c>
      <c r="D6344" s="5" t="s">
        <v>1206</v>
      </c>
      <c r="E6344" s="5" t="s">
        <v>41145</v>
      </c>
      <c r="F6344" s="5" t="s">
        <v>524</v>
      </c>
      <c r="G6344" s="5" t="s">
        <v>41146</v>
      </c>
      <c r="H6344" s="6" t="s">
        <v>41147</v>
      </c>
      <c r="K6344" s="5" t="s">
        <v>40166</v>
      </c>
      <c r="M6344" s="5" t="s">
        <v>41148</v>
      </c>
      <c r="N6344" s="7" t="s">
        <v>41149</v>
      </c>
      <c r="O6344" s="8" t="str">
        <f>HYPERLINK("https://drive.google.com/file/d/1sKHnUyynW_u39wiqeZ43pI6JxebvU6_0/view?usp=drivesdk","6343_SUTIA, S.E. _ SERTIFIKAT BerAKHLAK")</f>
        <v>6343_SUTIA, S.E. _ SERTIFIKAT BerAKHLAK</v>
      </c>
      <c r="P6344" s="5" t="s">
        <v>41134</v>
      </c>
    </row>
    <row r="6345">
      <c r="A6345" s="4">
        <v>45534.36857420139</v>
      </c>
      <c r="B6345" s="5" t="s">
        <v>34</v>
      </c>
      <c r="D6345" s="5" t="s">
        <v>35</v>
      </c>
      <c r="E6345" s="5" t="s">
        <v>30498</v>
      </c>
      <c r="F6345" s="5" t="s">
        <v>524</v>
      </c>
      <c r="G6345" s="5" t="s">
        <v>41150</v>
      </c>
      <c r="H6345" s="6" t="s">
        <v>41151</v>
      </c>
      <c r="K6345" s="5" t="s">
        <v>40166</v>
      </c>
      <c r="M6345" s="5" t="s">
        <v>41152</v>
      </c>
      <c r="N6345" s="7" t="s">
        <v>41153</v>
      </c>
      <c r="O6345" s="8" t="str">
        <f>HYPERLINK("https://drive.google.com/file/d/1mwo7GI1sQEKGT-HK5Ni-5Z9l9_IttzLb/view?usp=drivesdk","6344_PURWANTO _ SERTIFIKAT BerAKHLAK")</f>
        <v>6344_PURWANTO _ SERTIFIKAT BerAKHLAK</v>
      </c>
      <c r="P6345" s="5" t="s">
        <v>41154</v>
      </c>
    </row>
    <row r="6346">
      <c r="A6346" s="4">
        <v>45534.36857712963</v>
      </c>
      <c r="B6346" s="5" t="s">
        <v>34</v>
      </c>
      <c r="D6346" s="5" t="s">
        <v>35</v>
      </c>
      <c r="E6346" s="5" t="s">
        <v>41155</v>
      </c>
      <c r="F6346" s="5" t="s">
        <v>120</v>
      </c>
      <c r="G6346" s="5" t="s">
        <v>41156</v>
      </c>
      <c r="H6346" s="6" t="s">
        <v>41157</v>
      </c>
      <c r="K6346" s="5" t="s">
        <v>40166</v>
      </c>
      <c r="M6346" s="5" t="s">
        <v>41158</v>
      </c>
      <c r="N6346" s="7" t="s">
        <v>41159</v>
      </c>
      <c r="O6346" s="8" t="str">
        <f>HYPERLINK("https://drive.google.com/file/d/1nG7FhwE2gU7jHN2CT0g6HzGTdkOlV7q0/view?usp=drivesdk","6345_SYAID RAKHMAN, SE, M.Ak _ SERTIFIKAT BerAKHLAK")</f>
        <v>6345_SYAID RAKHMAN, SE, M.Ak _ SERTIFIKAT BerAKHLAK</v>
      </c>
      <c r="P6346" s="5" t="s">
        <v>41154</v>
      </c>
    </row>
    <row r="6347">
      <c r="A6347" s="4">
        <v>45534.3685824537</v>
      </c>
      <c r="B6347" s="5" t="s">
        <v>34</v>
      </c>
      <c r="D6347" s="5" t="s">
        <v>35</v>
      </c>
      <c r="E6347" s="5" t="s">
        <v>41160</v>
      </c>
      <c r="F6347" s="5" t="s">
        <v>37</v>
      </c>
      <c r="G6347" s="5" t="s">
        <v>41161</v>
      </c>
      <c r="H6347" s="6" t="s">
        <v>41162</v>
      </c>
      <c r="K6347" s="5" t="s">
        <v>40166</v>
      </c>
      <c r="M6347" s="5" t="s">
        <v>41163</v>
      </c>
      <c r="N6347" s="7" t="s">
        <v>41164</v>
      </c>
      <c r="O6347" s="8" t="str">
        <f>HYPERLINK("https://drive.google.com/file/d/1GOb5J65dZPXR2HqqJMX8MHcjLfBY9HMO/view?usp=drivesdk","6346_ADE ERISA _ SERTIFIKAT BerAKHLAK")</f>
        <v>6346_ADE ERISA _ SERTIFIKAT BerAKHLAK</v>
      </c>
      <c r="P6347" s="5" t="s">
        <v>41154</v>
      </c>
    </row>
    <row r="6348">
      <c r="A6348" s="4">
        <v>45534.368615520834</v>
      </c>
      <c r="B6348" s="5" t="s">
        <v>34</v>
      </c>
      <c r="D6348" s="5" t="s">
        <v>35</v>
      </c>
      <c r="E6348" s="5" t="s">
        <v>41165</v>
      </c>
      <c r="F6348" s="5" t="s">
        <v>37</v>
      </c>
      <c r="G6348" s="5" t="s">
        <v>41166</v>
      </c>
      <c r="H6348" s="6" t="s">
        <v>41167</v>
      </c>
      <c r="K6348" s="5" t="s">
        <v>41168</v>
      </c>
      <c r="M6348" s="5" t="s">
        <v>41169</v>
      </c>
      <c r="N6348" s="7" t="s">
        <v>41170</v>
      </c>
      <c r="O6348" s="8" t="str">
        <f>HYPERLINK("https://drive.google.com/file/d/1kljsz6WQkhiJQ0-4CjUAhzwu_FqXkz-y/view?usp=drivesdk","6347_DUDUNG _ SERTIFIKAT BerAKHLAK")</f>
        <v>6347_DUDUNG _ SERTIFIKAT BerAKHLAK</v>
      </c>
      <c r="P6348" s="5" t="s">
        <v>41154</v>
      </c>
    </row>
    <row r="6349" hidden="1">
      <c r="A6349" s="4">
        <v>45534.36863394676</v>
      </c>
      <c r="B6349" s="5" t="s">
        <v>19</v>
      </c>
      <c r="C6349" s="5" t="s">
        <v>38343</v>
      </c>
      <c r="E6349" s="5" t="s">
        <v>41171</v>
      </c>
      <c r="F6349" s="5" t="s">
        <v>108</v>
      </c>
      <c r="G6349" s="5" t="s">
        <v>41172</v>
      </c>
      <c r="H6349" s="6" t="s">
        <v>41173</v>
      </c>
      <c r="K6349" s="5" t="s">
        <v>41168</v>
      </c>
      <c r="M6349" s="5" t="s">
        <v>41174</v>
      </c>
      <c r="N6349" s="7" t="s">
        <v>41175</v>
      </c>
      <c r="O6349" s="8" t="str">
        <f>HYPERLINK("https://drive.google.com/file/d/10aAz70jx7kho_EZCU3HCf-vWfA5xHkQp/view?usp=drivesdk","6348_KHISNIANA SRI MA'FIA _ SERTIFIKAT BerAKHLAK")</f>
        <v>6348_KHISNIANA SRI MA'FIA _ SERTIFIKAT BerAKHLAK</v>
      </c>
      <c r="P6349" s="5" t="s">
        <v>41176</v>
      </c>
    </row>
    <row r="6350">
      <c r="A6350" s="4">
        <v>45534.36863636574</v>
      </c>
      <c r="B6350" s="5" t="s">
        <v>34</v>
      </c>
      <c r="D6350" s="5" t="s">
        <v>701</v>
      </c>
      <c r="E6350" s="5" t="s">
        <v>41177</v>
      </c>
      <c r="F6350" s="5" t="s">
        <v>212</v>
      </c>
      <c r="G6350" s="5" t="s">
        <v>41178</v>
      </c>
      <c r="H6350" s="6" t="s">
        <v>41179</v>
      </c>
      <c r="K6350" s="5" t="s">
        <v>41168</v>
      </c>
      <c r="M6350" s="5" t="s">
        <v>41180</v>
      </c>
      <c r="N6350" s="7" t="s">
        <v>41181</v>
      </c>
      <c r="O6350" s="8" t="str">
        <f>HYPERLINK("https://drive.google.com/file/d/1fPa4l3vxGq-zhDACBUcsdtmcBKEFDs9b/view?usp=drivesdk","6349_RUSMANIAR _ SERTIFIKAT BerAKHLAK")</f>
        <v>6349_RUSMANIAR _ SERTIFIKAT BerAKHLAK</v>
      </c>
      <c r="P6350" s="5" t="s">
        <v>41176</v>
      </c>
    </row>
    <row r="6351">
      <c r="A6351" s="4">
        <v>45534.36863658565</v>
      </c>
      <c r="B6351" s="5" t="s">
        <v>34</v>
      </c>
      <c r="D6351" s="5" t="s">
        <v>1456</v>
      </c>
      <c r="E6351" s="5" t="s">
        <v>26591</v>
      </c>
      <c r="F6351" s="5" t="s">
        <v>375</v>
      </c>
      <c r="G6351" s="5" t="s">
        <v>41182</v>
      </c>
      <c r="H6351" s="6" t="s">
        <v>41183</v>
      </c>
      <c r="K6351" s="5" t="s">
        <v>41168</v>
      </c>
      <c r="M6351" s="5" t="s">
        <v>41184</v>
      </c>
      <c r="N6351" s="7" t="s">
        <v>41185</v>
      </c>
      <c r="O6351" s="8" t="str">
        <f>HYPERLINK("https://drive.google.com/file/d/1QwYpWo4yYoMES4D18Jpkeq4P3wevAv8F/view?usp=drivesdk","6350_BUDI UTOMO _ SERTIFIKAT BerAKHLAK")</f>
        <v>6350_BUDI UTOMO _ SERTIFIKAT BerAKHLAK</v>
      </c>
      <c r="P6351" s="5" t="s">
        <v>41176</v>
      </c>
    </row>
    <row r="6352">
      <c r="A6352" s="4">
        <v>45534.368640671295</v>
      </c>
      <c r="B6352" s="5" t="s">
        <v>34</v>
      </c>
      <c r="D6352" s="5" t="s">
        <v>1206</v>
      </c>
      <c r="E6352" s="5" t="s">
        <v>41186</v>
      </c>
      <c r="F6352" s="5" t="s">
        <v>37</v>
      </c>
      <c r="G6352" s="5" t="s">
        <v>41187</v>
      </c>
      <c r="H6352" s="6" t="s">
        <v>41188</v>
      </c>
      <c r="K6352" s="5" t="s">
        <v>41168</v>
      </c>
      <c r="M6352" s="5" t="s">
        <v>41189</v>
      </c>
      <c r="N6352" s="7" t="s">
        <v>41190</v>
      </c>
      <c r="O6352" s="8" t="str">
        <f>HYPERLINK("https://drive.google.com/file/d/1oDOTlT3MpGiuW6KLOp0OGUxh-fLGMNsY/view?usp=drivesdk","6351_PUTRI ARUM SARI _ SERTIFIKAT BerAKHLAK")</f>
        <v>6351_PUTRI ARUM SARI _ SERTIFIKAT BerAKHLAK</v>
      </c>
      <c r="P6352" s="5" t="s">
        <v>41176</v>
      </c>
    </row>
    <row r="6353">
      <c r="A6353" s="4">
        <v>45534.36865635417</v>
      </c>
      <c r="B6353" s="5" t="s">
        <v>34</v>
      </c>
      <c r="D6353" s="5" t="s">
        <v>9394</v>
      </c>
      <c r="E6353" s="5" t="s">
        <v>41191</v>
      </c>
      <c r="F6353" s="5" t="s">
        <v>212</v>
      </c>
      <c r="G6353" s="5" t="s">
        <v>41192</v>
      </c>
      <c r="H6353" s="6" t="s">
        <v>41193</v>
      </c>
      <c r="K6353" s="5" t="s">
        <v>41168</v>
      </c>
      <c r="M6353" s="5" t="s">
        <v>41194</v>
      </c>
      <c r="N6353" s="7" t="s">
        <v>41195</v>
      </c>
      <c r="O6353" s="8" t="str">
        <f>HYPERLINK("https://drive.google.com/file/d/1ByemP7LqJSZJUtAe1JlY7BR5pD2XjTs9/view?usp=drivesdk","6352_PENGATUR TK.I HEFARUSPITA, S.H. _ SERTIFIKAT BerAKHLAK")</f>
        <v>6352_PENGATUR TK.I HEFARUSPITA, S.H. _ SERTIFIKAT BerAKHLAK</v>
      </c>
      <c r="P6353" s="5" t="s">
        <v>41176</v>
      </c>
    </row>
    <row r="6354">
      <c r="A6354" s="4">
        <v>45534.36866015046</v>
      </c>
      <c r="B6354" s="5" t="s">
        <v>34</v>
      </c>
      <c r="D6354" s="5" t="s">
        <v>1206</v>
      </c>
      <c r="E6354" s="5" t="s">
        <v>41196</v>
      </c>
      <c r="F6354" s="5" t="s">
        <v>37</v>
      </c>
      <c r="G6354" s="5" t="s">
        <v>41197</v>
      </c>
      <c r="H6354" s="6" t="s">
        <v>41198</v>
      </c>
      <c r="K6354" s="5" t="s">
        <v>41168</v>
      </c>
      <c r="M6354" s="5" t="s">
        <v>41199</v>
      </c>
      <c r="N6354" s="7" t="s">
        <v>41200</v>
      </c>
      <c r="O6354" s="8" t="str">
        <f>HYPERLINK("https://drive.google.com/file/d/1YbNrvlWNy1vU87-iSTHcw661NFXqYK0N/view?usp=drivesdk","6353_RENI SETIYO INDRAWATI _ SERTIFIKAT BerAKHLAK")</f>
        <v>6353_RENI SETIYO INDRAWATI _ SERTIFIKAT BerAKHLAK</v>
      </c>
      <c r="P6354" s="5" t="s">
        <v>41176</v>
      </c>
    </row>
    <row r="6355">
      <c r="A6355" s="4">
        <v>45534.36866989583</v>
      </c>
      <c r="B6355" s="5" t="s">
        <v>34</v>
      </c>
      <c r="D6355" s="5" t="s">
        <v>1206</v>
      </c>
      <c r="E6355" s="5" t="s">
        <v>41201</v>
      </c>
      <c r="F6355" s="5" t="s">
        <v>120</v>
      </c>
      <c r="G6355" s="5" t="s">
        <v>41202</v>
      </c>
      <c r="H6355" s="6" t="s">
        <v>41203</v>
      </c>
      <c r="K6355" s="5" t="s">
        <v>41168</v>
      </c>
      <c r="M6355" s="5" t="s">
        <v>41204</v>
      </c>
      <c r="N6355" s="7" t="s">
        <v>41205</v>
      </c>
      <c r="O6355" s="8" t="str">
        <f>HYPERLINK("https://drive.google.com/file/d/1MIG2P8acOjN4udxVukWdjXkml5KGOihE/view?usp=drivesdk","6354_EDI PRASETIO ADI, S.E., M.Si. _ SERTIFIKAT BerAKHLAK")</f>
        <v>6354_EDI PRASETIO ADI, S.E., M.Si. _ SERTIFIKAT BerAKHLAK</v>
      </c>
      <c r="P6355" s="5" t="s">
        <v>41206</v>
      </c>
    </row>
    <row r="6356">
      <c r="A6356" s="4">
        <v>45534.3686725</v>
      </c>
      <c r="B6356" s="5" t="s">
        <v>34</v>
      </c>
      <c r="D6356" s="5" t="s">
        <v>4775</v>
      </c>
      <c r="E6356" s="5" t="s">
        <v>41207</v>
      </c>
      <c r="F6356" s="5" t="s">
        <v>375</v>
      </c>
      <c r="G6356" s="5" t="s">
        <v>41208</v>
      </c>
      <c r="H6356" s="6" t="s">
        <v>41209</v>
      </c>
      <c r="K6356" s="5" t="s">
        <v>41168</v>
      </c>
      <c r="M6356" s="5" t="s">
        <v>41210</v>
      </c>
      <c r="N6356" s="7" t="s">
        <v>41211</v>
      </c>
      <c r="O6356" s="8" t="str">
        <f>HYPERLINK("https://drive.google.com/file/d/1t9-QYoLGVTpPLBf2bZVoySfRILRBFts7/view?usp=drivesdk","6355_DIAH PITALOKA _ SERTIFIKAT BerAKHLAK")</f>
        <v>6355_DIAH PITALOKA _ SERTIFIKAT BerAKHLAK</v>
      </c>
      <c r="P6356" s="5" t="s">
        <v>41206</v>
      </c>
    </row>
    <row r="6357">
      <c r="A6357" s="4">
        <v>45534.368676377315</v>
      </c>
      <c r="B6357" s="5" t="s">
        <v>34</v>
      </c>
      <c r="D6357" s="5" t="s">
        <v>14424</v>
      </c>
      <c r="E6357" s="5" t="s">
        <v>41212</v>
      </c>
      <c r="F6357" s="5" t="s">
        <v>37</v>
      </c>
      <c r="G6357" s="5" t="s">
        <v>41213</v>
      </c>
      <c r="H6357" s="6" t="s">
        <v>41214</v>
      </c>
      <c r="K6357" s="5" t="s">
        <v>41168</v>
      </c>
      <c r="M6357" s="5" t="s">
        <v>41215</v>
      </c>
      <c r="N6357" s="7" t="s">
        <v>41216</v>
      </c>
      <c r="O6357" s="8" t="str">
        <f>HYPERLINK("https://drive.google.com/file/d/1iE7mG1bQHa7tXMozxZnoWAQFbDMeYx8z/view?usp=drivesdk","6356_EKA FATMA DORA, A.Md.Kep _ SERTIFIKAT BerAKHLAK")</f>
        <v>6356_EKA FATMA DORA, A.Md.Kep _ SERTIFIKAT BerAKHLAK</v>
      </c>
      <c r="P6357" s="5" t="s">
        <v>41206</v>
      </c>
    </row>
    <row r="6358">
      <c r="A6358" s="4">
        <v>45534.36867833333</v>
      </c>
      <c r="B6358" s="5" t="s">
        <v>34</v>
      </c>
      <c r="D6358" s="5" t="s">
        <v>996</v>
      </c>
      <c r="E6358" s="5" t="s">
        <v>41217</v>
      </c>
      <c r="F6358" s="5" t="s">
        <v>37</v>
      </c>
      <c r="G6358" s="5" t="s">
        <v>41218</v>
      </c>
      <c r="H6358" s="6" t="s">
        <v>41219</v>
      </c>
      <c r="K6358" s="5" t="s">
        <v>41168</v>
      </c>
      <c r="M6358" s="5" t="s">
        <v>41220</v>
      </c>
      <c r="N6358" s="7" t="s">
        <v>41221</v>
      </c>
      <c r="O6358" s="8" t="str">
        <f>HYPERLINK("https://drive.google.com/file/d/1LLEfVPqCYBaIhjRNQMJHEfqnHvkLlPdT/view?usp=drivesdk","6357_EVAN SUHADI _ SERTIFIKAT BerAKHLAK")</f>
        <v>6357_EVAN SUHADI _ SERTIFIKAT BerAKHLAK</v>
      </c>
      <c r="P6358" s="5" t="s">
        <v>41206</v>
      </c>
    </row>
    <row r="6359">
      <c r="A6359" s="4">
        <v>45534.368681817126</v>
      </c>
      <c r="B6359" s="5" t="s">
        <v>34</v>
      </c>
      <c r="D6359" s="5" t="s">
        <v>14424</v>
      </c>
      <c r="E6359" s="5" t="s">
        <v>33464</v>
      </c>
      <c r="F6359" s="5" t="s">
        <v>37</v>
      </c>
      <c r="G6359" s="5" t="s">
        <v>41222</v>
      </c>
      <c r="H6359" s="6" t="s">
        <v>41223</v>
      </c>
      <c r="K6359" s="5" t="s">
        <v>41168</v>
      </c>
      <c r="M6359" s="5" t="s">
        <v>41224</v>
      </c>
      <c r="N6359" s="7" t="s">
        <v>41225</v>
      </c>
      <c r="O6359" s="8" t="str">
        <f>HYPERLINK("https://drive.google.com/file/d/1JMMTti6f4aSpayR0WPvXikU942Ae90PQ/view?usp=drivesdk","6358_RATNAWATI _ SERTIFIKAT BerAKHLAK")</f>
        <v>6358_RATNAWATI _ SERTIFIKAT BerAKHLAK</v>
      </c>
      <c r="P6359" s="5" t="s">
        <v>41226</v>
      </c>
    </row>
    <row r="6360">
      <c r="A6360" s="4">
        <v>45534.36868892361</v>
      </c>
      <c r="B6360" s="5" t="s">
        <v>34</v>
      </c>
      <c r="D6360" s="5" t="s">
        <v>14313</v>
      </c>
      <c r="E6360" s="5" t="s">
        <v>41227</v>
      </c>
      <c r="F6360" s="5" t="s">
        <v>212</v>
      </c>
      <c r="G6360" s="5" t="s">
        <v>41228</v>
      </c>
      <c r="H6360" s="6" t="s">
        <v>41229</v>
      </c>
      <c r="K6360" s="5" t="s">
        <v>41168</v>
      </c>
      <c r="M6360" s="5" t="s">
        <v>41230</v>
      </c>
      <c r="N6360" s="7" t="s">
        <v>41231</v>
      </c>
      <c r="O6360" s="8" t="str">
        <f>HYPERLINK("https://drive.google.com/file/d/1AxowUgfzpUN6gndn6-55gyPa4r6mEmRt/view?usp=drivesdk","6359_NURDIANAH, SE _ SERTIFIKAT BerAKHLAK")</f>
        <v>6359_NURDIANAH, SE _ SERTIFIKAT BerAKHLAK</v>
      </c>
      <c r="P6360" s="5" t="s">
        <v>41226</v>
      </c>
    </row>
    <row r="6361">
      <c r="A6361" s="4">
        <v>45534.36869392361</v>
      </c>
      <c r="B6361" s="5" t="s">
        <v>34</v>
      </c>
      <c r="D6361" s="5" t="s">
        <v>4775</v>
      </c>
      <c r="E6361" s="5" t="s">
        <v>41232</v>
      </c>
      <c r="F6361" s="5" t="s">
        <v>72</v>
      </c>
      <c r="G6361" s="5" t="s">
        <v>41233</v>
      </c>
      <c r="H6361" s="6" t="s">
        <v>41234</v>
      </c>
      <c r="K6361" s="5" t="s">
        <v>41235</v>
      </c>
      <c r="M6361" s="5" t="s">
        <v>41236</v>
      </c>
      <c r="N6361" s="7" t="s">
        <v>41237</v>
      </c>
      <c r="O6361" s="8" t="str">
        <f>HYPERLINK("https://drive.google.com/file/d/1-cPiyaQmB6LPSvdhEvl5rZGq1Pi_caw7/view?usp=drivesdk","6360_JOHAN ANTO _ SERTIFIKAT BerAKHLAK")</f>
        <v>6360_JOHAN ANTO _ SERTIFIKAT BerAKHLAK</v>
      </c>
      <c r="P6361" s="5" t="s">
        <v>41226</v>
      </c>
    </row>
    <row r="6362">
      <c r="A6362" s="4">
        <v>45534.36870160879</v>
      </c>
      <c r="B6362" s="5" t="s">
        <v>34</v>
      </c>
      <c r="D6362" s="5" t="s">
        <v>35</v>
      </c>
      <c r="E6362" s="5" t="s">
        <v>41238</v>
      </c>
      <c r="F6362" s="5" t="s">
        <v>72</v>
      </c>
      <c r="G6362" s="5" t="s">
        <v>41239</v>
      </c>
      <c r="H6362" s="6" t="s">
        <v>41240</v>
      </c>
      <c r="K6362" s="5" t="s">
        <v>41235</v>
      </c>
      <c r="M6362" s="5" t="s">
        <v>41241</v>
      </c>
      <c r="N6362" s="7" t="s">
        <v>41242</v>
      </c>
      <c r="O6362" s="8" t="str">
        <f>HYPERLINK("https://drive.google.com/file/d/1bwSJMqt6dvmxGItmnH-ux34ZcYAWubpN/view?usp=drivesdk","6361_DASEP SOLEHUDIN AL AYUBI _ SERTIFIKAT BerAKHLAK")</f>
        <v>6361_DASEP SOLEHUDIN AL AYUBI _ SERTIFIKAT BerAKHLAK</v>
      </c>
      <c r="P6362" s="5" t="s">
        <v>41226</v>
      </c>
    </row>
    <row r="6363">
      <c r="A6363" s="4">
        <v>45534.368709421295</v>
      </c>
      <c r="B6363" s="5" t="s">
        <v>34</v>
      </c>
      <c r="D6363" s="5" t="s">
        <v>267</v>
      </c>
      <c r="E6363" s="5" t="s">
        <v>41243</v>
      </c>
      <c r="F6363" s="5" t="s">
        <v>375</v>
      </c>
      <c r="G6363" s="5" t="s">
        <v>41244</v>
      </c>
      <c r="H6363" s="6" t="s">
        <v>41245</v>
      </c>
      <c r="K6363" s="5" t="s">
        <v>41235</v>
      </c>
      <c r="M6363" s="5" t="s">
        <v>41246</v>
      </c>
      <c r="N6363" s="7" t="s">
        <v>41247</v>
      </c>
      <c r="O6363" s="8" t="str">
        <f>HYPERLINK("https://drive.google.com/file/d/1-RLak_pLH8_bYZuuDe8KjmborBxMmG2-/view?usp=drivesdk","6362_MUHAMMAD FAJAR, S.I.P. _ SERTIFIKAT BerAKHLAK")</f>
        <v>6362_MUHAMMAD FAJAR, S.I.P. _ SERTIFIKAT BerAKHLAK</v>
      </c>
      <c r="P6363" s="5" t="s">
        <v>41226</v>
      </c>
    </row>
    <row r="6364">
      <c r="A6364" s="4">
        <v>45534.3687324537</v>
      </c>
      <c r="B6364" s="5" t="s">
        <v>34</v>
      </c>
      <c r="D6364" s="5" t="s">
        <v>10444</v>
      </c>
      <c r="E6364" s="5" t="s">
        <v>41248</v>
      </c>
      <c r="F6364" s="5" t="s">
        <v>72</v>
      </c>
      <c r="G6364" s="5" t="s">
        <v>41249</v>
      </c>
      <c r="H6364" s="6" t="s">
        <v>41250</v>
      </c>
      <c r="K6364" s="5" t="s">
        <v>41235</v>
      </c>
      <c r="M6364" s="5" t="s">
        <v>41251</v>
      </c>
      <c r="N6364" s="7" t="s">
        <v>41252</v>
      </c>
      <c r="O6364" s="8" t="str">
        <f>HYPERLINK("https://drive.google.com/file/d/1iLzATLV7vTG5YFhjoZz_cbE0Zl7koOgY/view?usp=drivesdk","6363_RINI JULIANTI _ SERTIFIKAT BerAKHLAK")</f>
        <v>6363_RINI JULIANTI _ SERTIFIKAT BerAKHLAK</v>
      </c>
      <c r="P6364" s="5" t="s">
        <v>41253</v>
      </c>
    </row>
    <row r="6365">
      <c r="A6365" s="4">
        <v>45534.36873652777</v>
      </c>
      <c r="B6365" s="5" t="s">
        <v>34</v>
      </c>
      <c r="D6365" s="5" t="s">
        <v>1456</v>
      </c>
      <c r="E6365" s="5" t="s">
        <v>41254</v>
      </c>
      <c r="F6365" s="5" t="s">
        <v>524</v>
      </c>
      <c r="G6365" s="5" t="s">
        <v>41255</v>
      </c>
      <c r="H6365" s="6" t="s">
        <v>41256</v>
      </c>
      <c r="K6365" s="5" t="s">
        <v>41235</v>
      </c>
      <c r="M6365" s="5" t="s">
        <v>41257</v>
      </c>
      <c r="N6365" s="7" t="s">
        <v>41258</v>
      </c>
      <c r="O6365" s="8" t="str">
        <f>HYPERLINK("https://drive.google.com/file/d/1WveYshn4tDWS4mjUos9QN5BfK00WnUX2/view?usp=drivesdk","6364_ZAINAL ARIFIN LUBIS _ SERTIFIKAT BerAKHLAK")</f>
        <v>6364_ZAINAL ARIFIN LUBIS _ SERTIFIKAT BerAKHLAK</v>
      </c>
      <c r="P6365" s="5" t="s">
        <v>41253</v>
      </c>
    </row>
    <row r="6366">
      <c r="A6366" s="4">
        <v>45534.3687528125</v>
      </c>
      <c r="B6366" s="5" t="s">
        <v>34</v>
      </c>
      <c r="D6366" s="5" t="s">
        <v>14424</v>
      </c>
      <c r="E6366" s="5" t="s">
        <v>41259</v>
      </c>
      <c r="F6366" s="5" t="s">
        <v>108</v>
      </c>
      <c r="G6366" s="5" t="s">
        <v>41260</v>
      </c>
      <c r="H6366" s="6" t="s">
        <v>41261</v>
      </c>
      <c r="K6366" s="5" t="s">
        <v>41235</v>
      </c>
      <c r="M6366" s="5" t="s">
        <v>41262</v>
      </c>
      <c r="N6366" s="7" t="s">
        <v>41263</v>
      </c>
      <c r="O6366" s="8" t="str">
        <f>HYPERLINK("https://drive.google.com/file/d/1Wawc4yxrdu75KK5aCZXDeU0rFFmfJbv5/view?usp=drivesdk","6365_DR. YESSI HANDINI _ SERTIFIKAT BerAKHLAK")</f>
        <v>6365_DR. YESSI HANDINI _ SERTIFIKAT BerAKHLAK</v>
      </c>
      <c r="P6366" s="5" t="s">
        <v>41253</v>
      </c>
    </row>
    <row r="6367">
      <c r="A6367" s="4">
        <v>45534.368735324075</v>
      </c>
      <c r="B6367" s="5" t="s">
        <v>34</v>
      </c>
      <c r="D6367" s="5" t="s">
        <v>1206</v>
      </c>
      <c r="E6367" s="5" t="s">
        <v>41264</v>
      </c>
      <c r="F6367" s="5" t="s">
        <v>108</v>
      </c>
      <c r="G6367" s="5" t="s">
        <v>41265</v>
      </c>
      <c r="H6367" s="6" t="s">
        <v>41266</v>
      </c>
      <c r="K6367" s="5" t="s">
        <v>41235</v>
      </c>
      <c r="M6367" s="5" t="s">
        <v>41267</v>
      </c>
      <c r="N6367" s="7" t="s">
        <v>41268</v>
      </c>
      <c r="O6367" s="8" t="str">
        <f>HYPERLINK("https://drive.google.com/file/d/1GxqWaqdPn67bEGbK5reWyCtXA-_hM9rj/view?usp=drivesdk","6366_SITI ARNANIK _ SERTIFIKAT BerAKHLAK")</f>
        <v>6366_SITI ARNANIK _ SERTIFIKAT BerAKHLAK</v>
      </c>
      <c r="P6367" s="5" t="s">
        <v>41253</v>
      </c>
    </row>
    <row r="6368" hidden="1">
      <c r="A6368" s="4">
        <v>45534.36876533565</v>
      </c>
      <c r="B6368" s="5" t="s">
        <v>19</v>
      </c>
      <c r="C6368" s="5" t="s">
        <v>3301</v>
      </c>
      <c r="E6368" s="5" t="s">
        <v>41269</v>
      </c>
      <c r="F6368" s="5" t="s">
        <v>72</v>
      </c>
      <c r="G6368" s="5" t="s">
        <v>41270</v>
      </c>
      <c r="H6368" s="6" t="s">
        <v>41271</v>
      </c>
      <c r="K6368" s="5" t="s">
        <v>41272</v>
      </c>
      <c r="M6368" s="5" t="s">
        <v>41273</v>
      </c>
      <c r="N6368" s="7" t="s">
        <v>41274</v>
      </c>
      <c r="O6368" s="8" t="str">
        <f>HYPERLINK("https://drive.google.com/file/d/1UWFS4RG_bHBwmLyp_72hr23Ea5O4-JTg/view?usp=drivesdk","6367_Niniek Rahayu,SE _ SERTIFIKAT BerAKHLAK")</f>
        <v>6367_Niniek Rahayu,SE _ SERTIFIKAT BerAKHLAK</v>
      </c>
      <c r="P6368" s="5" t="s">
        <v>41275</v>
      </c>
    </row>
    <row r="6369">
      <c r="A6369" s="4">
        <v>45534.368769837965</v>
      </c>
      <c r="B6369" s="5" t="s">
        <v>34</v>
      </c>
      <c r="D6369" s="5" t="s">
        <v>1768</v>
      </c>
      <c r="E6369" s="5" t="s">
        <v>41276</v>
      </c>
      <c r="F6369" s="5" t="s">
        <v>212</v>
      </c>
      <c r="G6369" s="5" t="s">
        <v>41277</v>
      </c>
      <c r="H6369" s="6" t="s">
        <v>41278</v>
      </c>
      <c r="K6369" s="5" t="s">
        <v>41272</v>
      </c>
      <c r="M6369" s="5" t="s">
        <v>41279</v>
      </c>
      <c r="N6369" s="7" t="s">
        <v>41280</v>
      </c>
      <c r="O6369" s="8" t="str">
        <f>HYPERLINK("https://drive.google.com/file/d/1v1i8GW5cVBEG99zMw7_twLlZZH5vAuVu/view?usp=drivesdk","6368_ENI DWI ASWANTI _ SERTIFIKAT BerAKHLAK")</f>
        <v>6368_ENI DWI ASWANTI _ SERTIFIKAT BerAKHLAK</v>
      </c>
      <c r="P6369" s="5" t="s">
        <v>41275</v>
      </c>
    </row>
    <row r="6370">
      <c r="A6370" s="4">
        <v>45534.36877427083</v>
      </c>
      <c r="B6370" s="5" t="s">
        <v>34</v>
      </c>
      <c r="D6370" s="5" t="s">
        <v>4775</v>
      </c>
      <c r="E6370" s="5" t="s">
        <v>41281</v>
      </c>
      <c r="F6370" s="5" t="s">
        <v>120</v>
      </c>
      <c r="G6370" s="5" t="s">
        <v>41282</v>
      </c>
      <c r="H6370" s="6" t="s">
        <v>41283</v>
      </c>
      <c r="K6370" s="5" t="s">
        <v>41272</v>
      </c>
      <c r="M6370" s="5" t="s">
        <v>41284</v>
      </c>
      <c r="N6370" s="7" t="s">
        <v>41285</v>
      </c>
      <c r="O6370" s="8" t="str">
        <f>HYPERLINK("https://drive.google.com/file/d/1jUJXs7kmcg2tNAkaQT6ze-pBy727c7wY/view?usp=drivesdk","6369_Apt. DWI HASTUTININGSIH, S. Farm _ SERTIFIKAT BerAKHLAK")</f>
        <v>6369_Apt. DWI HASTUTININGSIH, S. Farm _ SERTIFIKAT BerAKHLAK</v>
      </c>
      <c r="P6370" s="5" t="s">
        <v>41275</v>
      </c>
    </row>
    <row r="6371">
      <c r="A6371" s="4">
        <v>45534.36877509259</v>
      </c>
      <c r="B6371" s="5" t="s">
        <v>34</v>
      </c>
      <c r="D6371" s="5" t="s">
        <v>267</v>
      </c>
      <c r="E6371" s="5" t="s">
        <v>41286</v>
      </c>
      <c r="F6371" s="5" t="s">
        <v>120</v>
      </c>
      <c r="G6371" s="5" t="s">
        <v>41287</v>
      </c>
      <c r="H6371" s="6" t="s">
        <v>41288</v>
      </c>
      <c r="K6371" s="5" t="s">
        <v>41289</v>
      </c>
      <c r="M6371" s="5" t="s">
        <v>41290</v>
      </c>
      <c r="N6371" s="7" t="s">
        <v>41291</v>
      </c>
      <c r="O6371" s="8" t="str">
        <f>HYPERLINK("https://drive.google.com/file/d/1n2aK25hSFFR49St2ee7oDFgI8A_66U5R/view?usp=drivesdk","6370_ARI DJINDAR MA'RUF, S.H. _ SERTIFIKAT BerAKHLAK")</f>
        <v>6370_ARI DJINDAR MA'RUF, S.H. _ SERTIFIKAT BerAKHLAK</v>
      </c>
      <c r="P6371" s="5" t="s">
        <v>41275</v>
      </c>
    </row>
    <row r="6372">
      <c r="A6372" s="4">
        <v>45534.36879905092</v>
      </c>
      <c r="B6372" s="5" t="s">
        <v>34</v>
      </c>
      <c r="D6372" s="5" t="s">
        <v>4775</v>
      </c>
      <c r="E6372" s="5" t="s">
        <v>41292</v>
      </c>
      <c r="F6372" s="5" t="s">
        <v>72</v>
      </c>
      <c r="G6372" s="5" t="s">
        <v>41293</v>
      </c>
      <c r="H6372" s="6" t="s">
        <v>41294</v>
      </c>
      <c r="K6372" s="5" t="s">
        <v>41289</v>
      </c>
      <c r="M6372" s="5" t="s">
        <v>41295</v>
      </c>
      <c r="N6372" s="7" t="s">
        <v>41296</v>
      </c>
      <c r="O6372" s="8" t="str">
        <f>HYPERLINK("https://drive.google.com/file/d/1VqeDxTQ5FQuaXpHaLfiARMSiXZ6C1DbU/view?usp=drivesdk","6371_Candra Fery Meiningrum, S.KM., M.M. _ SERTIFIKAT BerAKHLAK")</f>
        <v>6371_Candra Fery Meiningrum, S.KM., M.M. _ SERTIFIKAT BerAKHLAK</v>
      </c>
      <c r="P6372" s="5" t="s">
        <v>41275</v>
      </c>
    </row>
    <row r="6373">
      <c r="A6373" s="4">
        <v>45534.36882267361</v>
      </c>
      <c r="B6373" s="5" t="s">
        <v>34</v>
      </c>
      <c r="D6373" s="5" t="s">
        <v>9020</v>
      </c>
      <c r="E6373" s="5" t="s">
        <v>41297</v>
      </c>
      <c r="F6373" s="5" t="s">
        <v>22</v>
      </c>
      <c r="G6373" s="5" t="s">
        <v>41298</v>
      </c>
      <c r="H6373" s="6" t="s">
        <v>41299</v>
      </c>
      <c r="K6373" s="5" t="s">
        <v>41300</v>
      </c>
      <c r="M6373" s="5" t="s">
        <v>41301</v>
      </c>
      <c r="N6373" s="7" t="s">
        <v>41302</v>
      </c>
      <c r="O6373" s="8" t="str">
        <f>HYPERLINK("https://drive.google.com/file/d/11qhcbK3n1PQD2NN4fU1wkt6JKfjN1Qwy/view?usp=drivesdk","6372_Drg Titik Wahyu W _ SERTIFIKAT BerAKHLAK")</f>
        <v>6372_Drg Titik Wahyu W _ SERTIFIKAT BerAKHLAK</v>
      </c>
      <c r="P6373" s="5" t="s">
        <v>41275</v>
      </c>
    </row>
    <row r="6374">
      <c r="A6374" s="4">
        <v>45534.36882625</v>
      </c>
      <c r="B6374" s="5" t="s">
        <v>34</v>
      </c>
      <c r="D6374" s="5" t="s">
        <v>1206</v>
      </c>
      <c r="E6374" s="5" t="s">
        <v>41303</v>
      </c>
      <c r="F6374" s="5" t="s">
        <v>37</v>
      </c>
      <c r="G6374" s="5" t="s">
        <v>41304</v>
      </c>
      <c r="H6374" s="6" t="s">
        <v>41305</v>
      </c>
      <c r="K6374" s="5" t="s">
        <v>41300</v>
      </c>
      <c r="M6374" s="5" t="s">
        <v>41306</v>
      </c>
      <c r="N6374" s="7" t="s">
        <v>41307</v>
      </c>
      <c r="O6374" s="8" t="str">
        <f>HYPERLINK("https://drive.google.com/file/d/1mV0bNOKCpIXdmS6pnNrTr-c2FlaMJU-I/view?usp=drivesdk","6373_RYO DEWANTORO  _ SERTIFIKAT BerAKHLAK")</f>
        <v>6373_RYO DEWANTORO  _ SERTIFIKAT BerAKHLAK</v>
      </c>
      <c r="P6374" s="5" t="s">
        <v>41308</v>
      </c>
    </row>
    <row r="6375">
      <c r="A6375" s="4">
        <v>45534.368826481485</v>
      </c>
      <c r="B6375" s="5" t="s">
        <v>34</v>
      </c>
      <c r="D6375" s="5" t="s">
        <v>1206</v>
      </c>
      <c r="E6375" s="5" t="s">
        <v>41309</v>
      </c>
      <c r="F6375" s="5" t="s">
        <v>212</v>
      </c>
      <c r="G6375" s="5" t="s">
        <v>41310</v>
      </c>
      <c r="H6375" s="6" t="s">
        <v>41311</v>
      </c>
      <c r="K6375" s="5" t="s">
        <v>41300</v>
      </c>
      <c r="M6375" s="5" t="s">
        <v>41312</v>
      </c>
      <c r="N6375" s="7" t="s">
        <v>41313</v>
      </c>
      <c r="O6375" s="8" t="str">
        <f>HYPERLINK("https://drive.google.com/file/d/1_4ajx4xYoHsrCLlaZrPn7wyY0OTFOKeC/view?usp=drivesdk","6374_SELAMET HARIYANTO _ SERTIFIKAT BerAKHLAK")</f>
        <v>6374_SELAMET HARIYANTO _ SERTIFIKAT BerAKHLAK</v>
      </c>
      <c r="P6375" s="5" t="s">
        <v>41308</v>
      </c>
    </row>
    <row r="6376" hidden="1">
      <c r="A6376" s="4">
        <v>45534.3688272338</v>
      </c>
      <c r="B6376" s="5" t="s">
        <v>19</v>
      </c>
      <c r="C6376" s="5" t="s">
        <v>38343</v>
      </c>
      <c r="E6376" s="5" t="s">
        <v>41314</v>
      </c>
      <c r="F6376" s="5" t="s">
        <v>108</v>
      </c>
      <c r="G6376" s="5" t="s">
        <v>41315</v>
      </c>
      <c r="H6376" s="6" t="s">
        <v>41316</v>
      </c>
      <c r="K6376" s="5" t="s">
        <v>41300</v>
      </c>
      <c r="M6376" s="5" t="s">
        <v>41317</v>
      </c>
      <c r="N6376" s="7" t="s">
        <v>41318</v>
      </c>
      <c r="O6376" s="8" t="str">
        <f>HYPERLINK("https://drive.google.com/file/d/1THanlgYh87H1igXfwdJupiQkvhXLXh4-/view?usp=drivesdk","6375_SUGIHARTI _ SERTIFIKAT BerAKHLAK")</f>
        <v>6375_SUGIHARTI _ SERTIFIKAT BerAKHLAK</v>
      </c>
      <c r="P6376" s="5" t="s">
        <v>41308</v>
      </c>
    </row>
    <row r="6377">
      <c r="A6377" s="4">
        <v>45534.36883313657</v>
      </c>
      <c r="B6377" s="5" t="s">
        <v>34</v>
      </c>
      <c r="D6377" s="5" t="s">
        <v>3849</v>
      </c>
      <c r="E6377" s="5" t="s">
        <v>41319</v>
      </c>
      <c r="F6377" s="5" t="s">
        <v>72</v>
      </c>
      <c r="G6377" s="5" t="s">
        <v>41320</v>
      </c>
      <c r="H6377" s="6" t="s">
        <v>41321</v>
      </c>
      <c r="K6377" s="5" t="s">
        <v>41300</v>
      </c>
      <c r="M6377" s="5" t="s">
        <v>41322</v>
      </c>
      <c r="N6377" s="7" t="s">
        <v>41323</v>
      </c>
      <c r="O6377" s="8" t="str">
        <f>HYPERLINK("https://drive.google.com/file/d/1FpQikbYTL3lxvhvyIHFS0rWrVjSb1v5q/view?usp=drivesdk","6376_SRI DESNIAWATI _ SERTIFIKAT BerAKHLAK")</f>
        <v>6376_SRI DESNIAWATI _ SERTIFIKAT BerAKHLAK</v>
      </c>
      <c r="P6377" s="5" t="s">
        <v>41308</v>
      </c>
    </row>
    <row r="6378">
      <c r="A6378" s="4">
        <v>45534.368845613426</v>
      </c>
      <c r="B6378" s="5" t="s">
        <v>34</v>
      </c>
      <c r="D6378" s="5" t="s">
        <v>35</v>
      </c>
      <c r="E6378" s="5" t="s">
        <v>41324</v>
      </c>
      <c r="F6378" s="5" t="s">
        <v>72</v>
      </c>
      <c r="G6378" s="5" t="s">
        <v>41325</v>
      </c>
      <c r="H6378" s="6" t="s">
        <v>41326</v>
      </c>
      <c r="K6378" s="5" t="s">
        <v>41300</v>
      </c>
      <c r="M6378" s="5" t="s">
        <v>41327</v>
      </c>
      <c r="N6378" s="7" t="s">
        <v>41328</v>
      </c>
      <c r="O6378" s="8" t="str">
        <f>HYPERLINK("https://drive.google.com/file/d/18ybQS8IcfcV6Hln5vD61umso11N7TfJF/view?usp=drivesdk","6377_ASIAH NARDIYA, SE _ SERTIFIKAT BerAKHLAK")</f>
        <v>6377_ASIAH NARDIYA, SE _ SERTIFIKAT BerAKHLAK</v>
      </c>
      <c r="P6378" s="5" t="s">
        <v>41308</v>
      </c>
    </row>
    <row r="6379">
      <c r="A6379" s="4">
        <v>45534.3688514699</v>
      </c>
      <c r="B6379" s="5" t="s">
        <v>34</v>
      </c>
      <c r="D6379" s="5" t="s">
        <v>4775</v>
      </c>
      <c r="E6379" s="5" t="s">
        <v>41329</v>
      </c>
      <c r="F6379" s="5" t="s">
        <v>108</v>
      </c>
      <c r="G6379" s="5" t="s">
        <v>41330</v>
      </c>
      <c r="H6379" s="6" t="s">
        <v>41331</v>
      </c>
      <c r="K6379" s="5" t="s">
        <v>41300</v>
      </c>
      <c r="M6379" s="5" t="s">
        <v>41332</v>
      </c>
      <c r="N6379" s="7" t="s">
        <v>41333</v>
      </c>
      <c r="O6379" s="8" t="str">
        <f>HYPERLINK("https://drive.google.com/file/d/1waUyFiBGdxeoZc-GhW4QxKzm1OVa-Pi4/view?usp=drivesdk","6378_DESTYANA DYAH UTAMI, S.I.Kom _ SERTIFIKAT BerAKHLAK")</f>
        <v>6378_DESTYANA DYAH UTAMI, S.I.Kom _ SERTIFIKAT BerAKHLAK</v>
      </c>
      <c r="P6379" s="5" t="s">
        <v>41334</v>
      </c>
    </row>
    <row r="6380">
      <c r="A6380" s="4">
        <v>45534.3688587037</v>
      </c>
      <c r="B6380" s="5" t="s">
        <v>34</v>
      </c>
      <c r="D6380" s="5" t="s">
        <v>12978</v>
      </c>
      <c r="E6380" s="5" t="s">
        <v>41335</v>
      </c>
      <c r="F6380" s="5" t="s">
        <v>328</v>
      </c>
      <c r="G6380" s="5" t="s">
        <v>41336</v>
      </c>
      <c r="H6380" s="6" t="s">
        <v>41337</v>
      </c>
      <c r="K6380" s="5" t="s">
        <v>41300</v>
      </c>
      <c r="M6380" s="5" t="s">
        <v>41338</v>
      </c>
      <c r="N6380" s="7" t="s">
        <v>41339</v>
      </c>
      <c r="O6380" s="8" t="str">
        <f>HYPERLINK("https://drive.google.com/file/d/1o0Hc6PF2-JyvjcrlMtwaPnexhGeipShN/view?usp=drivesdk","6379_EKO SUDIHARTO _ SERTIFIKAT BerAKHLAK")</f>
        <v>6379_EKO SUDIHARTO _ SERTIFIKAT BerAKHLAK</v>
      </c>
      <c r="P6380" s="5" t="s">
        <v>41334</v>
      </c>
    </row>
    <row r="6381">
      <c r="A6381" s="4">
        <v>45534.36889020834</v>
      </c>
      <c r="B6381" s="5" t="s">
        <v>34</v>
      </c>
      <c r="D6381" s="5" t="s">
        <v>267</v>
      </c>
      <c r="E6381" s="7" t="s">
        <v>41340</v>
      </c>
      <c r="F6381" s="5" t="s">
        <v>37</v>
      </c>
      <c r="G6381" s="5" t="s">
        <v>41341</v>
      </c>
      <c r="H6381" s="6" t="s">
        <v>41342</v>
      </c>
      <c r="K6381" s="5" t="s">
        <v>41300</v>
      </c>
      <c r="M6381" s="5" t="s">
        <v>41343</v>
      </c>
      <c r="N6381" s="7" t="s">
        <v>41344</v>
      </c>
      <c r="O6381" s="8" t="str">
        <f>HYPERLINK("https://drive.google.com/file/d/12r5X3TUCLqzueyvYMYQMGJhnZ_FWgAte/view?usp=drivesdk","6380_HERIYANTO.SM _ SERTIFIKAT BerAKHLAK")</f>
        <v>6380_HERIYANTO.SM _ SERTIFIKAT BerAKHLAK</v>
      </c>
      <c r="P6381" s="5" t="s">
        <v>41334</v>
      </c>
    </row>
    <row r="6382">
      <c r="A6382" s="4">
        <v>45534.368890474536</v>
      </c>
      <c r="B6382" s="5" t="s">
        <v>34</v>
      </c>
      <c r="D6382" s="5" t="s">
        <v>1206</v>
      </c>
      <c r="E6382" s="5" t="s">
        <v>41345</v>
      </c>
      <c r="F6382" s="5" t="s">
        <v>375</v>
      </c>
      <c r="G6382" s="5" t="s">
        <v>41346</v>
      </c>
      <c r="H6382" s="6" t="s">
        <v>41347</v>
      </c>
      <c r="K6382" s="5" t="s">
        <v>41300</v>
      </c>
      <c r="M6382" s="5" t="s">
        <v>41348</v>
      </c>
      <c r="N6382" s="7" t="s">
        <v>41349</v>
      </c>
      <c r="O6382" s="8" t="str">
        <f>HYPERLINK("https://drive.google.com/file/d/1uT_JlLbtlyc9fv_bEdX3UV9v7tv7T2pN/view?usp=drivesdk","6381_dr LULUK NOORWULAN  _ SERTIFIKAT BerAKHLAK")</f>
        <v>6381_dr LULUK NOORWULAN  _ SERTIFIKAT BerAKHLAK</v>
      </c>
      <c r="P6382" s="5" t="s">
        <v>41334</v>
      </c>
    </row>
    <row r="6383">
      <c r="A6383" s="4">
        <v>45534.36889048611</v>
      </c>
      <c r="B6383" s="5" t="s">
        <v>34</v>
      </c>
      <c r="D6383" s="5" t="s">
        <v>522</v>
      </c>
      <c r="E6383" s="5" t="s">
        <v>41350</v>
      </c>
      <c r="F6383" s="5" t="s">
        <v>715</v>
      </c>
      <c r="G6383" s="5" t="s">
        <v>41351</v>
      </c>
      <c r="H6383" s="6" t="s">
        <v>41352</v>
      </c>
      <c r="K6383" s="5" t="s">
        <v>41300</v>
      </c>
      <c r="M6383" s="5" t="s">
        <v>41353</v>
      </c>
      <c r="N6383" s="7" t="s">
        <v>41354</v>
      </c>
      <c r="O6383" s="8" t="str">
        <f>HYPERLINK("https://drive.google.com/file/d/1shHcWGil0X_4uU_IyM6eiMTd-jbxuzBH/view?usp=drivesdk","6382_LALU BUSTANUL ATHFAL,S.H _ SERTIFIKAT BerAKHLAK")</f>
        <v>6382_LALU BUSTANUL ATHFAL,S.H _ SERTIFIKAT BerAKHLAK</v>
      </c>
      <c r="P6383" s="5" t="s">
        <v>41334</v>
      </c>
    </row>
    <row r="6384">
      <c r="A6384" s="4">
        <v>45534.368891377315</v>
      </c>
      <c r="B6384" s="5" t="s">
        <v>34</v>
      </c>
      <c r="D6384" s="5" t="s">
        <v>35</v>
      </c>
      <c r="E6384" s="5" t="s">
        <v>41355</v>
      </c>
      <c r="F6384" s="5" t="s">
        <v>375</v>
      </c>
      <c r="G6384" s="5" t="s">
        <v>41356</v>
      </c>
      <c r="H6384" s="6" t="s">
        <v>41357</v>
      </c>
      <c r="K6384" s="5" t="s">
        <v>41300</v>
      </c>
      <c r="M6384" s="5" t="s">
        <v>41358</v>
      </c>
      <c r="N6384" s="7" t="s">
        <v>41359</v>
      </c>
      <c r="O6384" s="8" t="str">
        <f>HYPERLINK("https://drive.google.com/file/d/19MXGa7c46-RiRT8ttnXddEEOtA6-_tka/view?usp=drivesdk","6383_ARI WIDIASTUTI, S.H. _ SERTIFIKAT BerAKHLAK")</f>
        <v>6383_ARI WIDIASTUTI, S.H. _ SERTIFIKAT BerAKHLAK</v>
      </c>
      <c r="P6384" s="5" t="s">
        <v>41360</v>
      </c>
    </row>
    <row r="6385" hidden="1">
      <c r="A6385" s="4">
        <v>45534.368933645834</v>
      </c>
      <c r="B6385" s="5" t="s">
        <v>19</v>
      </c>
      <c r="C6385" s="5" t="s">
        <v>38343</v>
      </c>
      <c r="E6385" s="5" t="s">
        <v>41361</v>
      </c>
      <c r="F6385" s="5" t="s">
        <v>22</v>
      </c>
      <c r="G6385" s="5" t="s">
        <v>41362</v>
      </c>
      <c r="H6385" s="6" t="s">
        <v>41363</v>
      </c>
      <c r="K6385" s="5" t="s">
        <v>41364</v>
      </c>
      <c r="M6385" s="5" t="s">
        <v>41365</v>
      </c>
      <c r="N6385" s="7" t="s">
        <v>41366</v>
      </c>
      <c r="O6385" s="8" t="str">
        <f>HYPERLINK("https://drive.google.com/file/d/1Qxi0dr4z54u7M0Wu63RQZwCZgXpkpcuK/view?usp=drivesdk","6384_YESI ARIVIANTI SE _ SERTIFIKAT BerAKHLAK")</f>
        <v>6384_YESI ARIVIANTI SE _ SERTIFIKAT BerAKHLAK</v>
      </c>
      <c r="P6385" s="5" t="s">
        <v>41360</v>
      </c>
    </row>
    <row r="6386">
      <c r="A6386" s="4">
        <v>45534.368935</v>
      </c>
      <c r="B6386" s="5" t="s">
        <v>34</v>
      </c>
      <c r="D6386" s="5" t="s">
        <v>4775</v>
      </c>
      <c r="E6386" s="5" t="s">
        <v>41367</v>
      </c>
      <c r="F6386" s="5" t="s">
        <v>108</v>
      </c>
      <c r="G6386" s="5" t="s">
        <v>41368</v>
      </c>
      <c r="H6386" s="6" t="s">
        <v>41369</v>
      </c>
      <c r="K6386" s="5" t="s">
        <v>41364</v>
      </c>
      <c r="M6386" s="5" t="s">
        <v>41370</v>
      </c>
      <c r="N6386" s="7" t="s">
        <v>41371</v>
      </c>
      <c r="O6386" s="8" t="str">
        <f>HYPERLINK("https://drive.google.com/file/d/1u7_bG_nCj2v4c8sVLQd96Z-rwXBVmdKU/view?usp=drivesdk","6385_UMIE PUSPITASARI, S.E., M.M. _ SERTIFIKAT BerAKHLAK")</f>
        <v>6385_UMIE PUSPITASARI, S.E., M.M. _ SERTIFIKAT BerAKHLAK</v>
      </c>
      <c r="P6386" s="5" t="s">
        <v>41360</v>
      </c>
    </row>
    <row r="6387">
      <c r="A6387" s="4">
        <v>45534.36898378472</v>
      </c>
      <c r="B6387" s="5" t="s">
        <v>34</v>
      </c>
      <c r="D6387" s="5" t="s">
        <v>701</v>
      </c>
      <c r="E6387" s="5" t="s">
        <v>41372</v>
      </c>
      <c r="F6387" s="5" t="s">
        <v>524</v>
      </c>
      <c r="G6387" s="5" t="s">
        <v>41373</v>
      </c>
      <c r="H6387" s="6" t="s">
        <v>41374</v>
      </c>
      <c r="K6387" s="5" t="s">
        <v>41364</v>
      </c>
      <c r="M6387" s="5" t="s">
        <v>41375</v>
      </c>
      <c r="N6387" s="7" t="s">
        <v>41376</v>
      </c>
      <c r="O6387" s="8" t="str">
        <f>HYPERLINK("https://drive.google.com/file/d/1QXMGv-XI1u7gbQ5FISWxmnbY-VHPqkdW/view?usp=drivesdk","6386_ELIZARTINA S.Sos _ SERTIFIKAT BerAKHLAK")</f>
        <v>6386_ELIZARTINA S.Sos _ SERTIFIKAT BerAKHLAK</v>
      </c>
      <c r="P6387" s="5" t="s">
        <v>41360</v>
      </c>
    </row>
    <row r="6388">
      <c r="A6388" s="4">
        <v>45534.36898875</v>
      </c>
      <c r="B6388" s="5" t="s">
        <v>34</v>
      </c>
      <c r="D6388" s="5" t="s">
        <v>1206</v>
      </c>
      <c r="E6388" s="5" t="s">
        <v>41377</v>
      </c>
      <c r="F6388" s="5" t="s">
        <v>37</v>
      </c>
      <c r="G6388" s="5" t="s">
        <v>41378</v>
      </c>
      <c r="H6388" s="6" t="s">
        <v>41379</v>
      </c>
      <c r="K6388" s="5" t="s">
        <v>41364</v>
      </c>
      <c r="M6388" s="5" t="s">
        <v>41380</v>
      </c>
      <c r="N6388" s="7" t="s">
        <v>41381</v>
      </c>
      <c r="O6388" s="8" t="str">
        <f>HYPERLINK("https://drive.google.com/file/d/17CGYe_Vc5OILdHYQol0GdYqFeM8X7nqm/view?usp=drivesdk","6387_SARWO EDI _ SERTIFIKAT BerAKHLAK")</f>
        <v>6387_SARWO EDI _ SERTIFIKAT BerAKHLAK</v>
      </c>
      <c r="P6388" s="5" t="s">
        <v>41382</v>
      </c>
    </row>
    <row r="6389">
      <c r="A6389" s="4">
        <v>45534.3690096875</v>
      </c>
      <c r="B6389" s="5" t="s">
        <v>34</v>
      </c>
      <c r="D6389" s="5" t="s">
        <v>1206</v>
      </c>
      <c r="E6389" s="5" t="s">
        <v>41383</v>
      </c>
      <c r="F6389" s="5" t="s">
        <v>212</v>
      </c>
      <c r="G6389" s="5" t="s">
        <v>41384</v>
      </c>
      <c r="H6389" s="6" t="s">
        <v>41385</v>
      </c>
      <c r="K6389" s="5" t="s">
        <v>41386</v>
      </c>
      <c r="M6389" s="5" t="s">
        <v>41387</v>
      </c>
      <c r="N6389" s="7" t="s">
        <v>41388</v>
      </c>
      <c r="O6389" s="8" t="str">
        <f>HYPERLINK("https://drive.google.com/file/d/1Bofe5IXKerVI-15Wla2a8zLrblg13Tmb/view?usp=drivesdk","6388_ARIPAH JAYA _ SERTIFIKAT BerAKHLAK")</f>
        <v>6388_ARIPAH JAYA _ SERTIFIKAT BerAKHLAK</v>
      </c>
      <c r="P6389" s="5" t="s">
        <v>41382</v>
      </c>
    </row>
    <row r="6390">
      <c r="A6390" s="4">
        <v>45534.36901171296</v>
      </c>
      <c r="B6390" s="5" t="s">
        <v>34</v>
      </c>
      <c r="D6390" s="5" t="s">
        <v>14313</v>
      </c>
      <c r="E6390" s="5" t="s">
        <v>41389</v>
      </c>
      <c r="F6390" s="5" t="s">
        <v>108</v>
      </c>
      <c r="G6390" s="5" t="s">
        <v>41390</v>
      </c>
      <c r="H6390" s="6" t="s">
        <v>41391</v>
      </c>
      <c r="K6390" s="5" t="s">
        <v>41386</v>
      </c>
      <c r="M6390" s="5" t="s">
        <v>41392</v>
      </c>
      <c r="N6390" s="7" t="s">
        <v>41393</v>
      </c>
      <c r="O6390" s="8" t="str">
        <f>HYPERLINK("https://drive.google.com/file/d/1PZSxcLY-G55x4wmI7W3_t5vFjVcHgajh/view?usp=drivesdk","6389_ASTINI, SH _ SERTIFIKAT BerAKHLAK")</f>
        <v>6389_ASTINI, SH _ SERTIFIKAT BerAKHLAK</v>
      </c>
      <c r="P6390" s="5" t="s">
        <v>41382</v>
      </c>
    </row>
    <row r="6391" hidden="1">
      <c r="A6391" s="4">
        <v>45534.36902076389</v>
      </c>
      <c r="B6391" s="5" t="s">
        <v>19</v>
      </c>
      <c r="C6391" s="5" t="s">
        <v>1606</v>
      </c>
      <c r="E6391" s="5" t="s">
        <v>41394</v>
      </c>
      <c r="F6391" s="5" t="s">
        <v>108</v>
      </c>
      <c r="G6391" s="5" t="s">
        <v>41395</v>
      </c>
      <c r="H6391" s="6" t="s">
        <v>41396</v>
      </c>
      <c r="K6391" s="5" t="s">
        <v>41386</v>
      </c>
      <c r="M6391" s="5" t="s">
        <v>41397</v>
      </c>
      <c r="N6391" s="7" t="s">
        <v>41398</v>
      </c>
      <c r="O6391" s="8" t="str">
        <f>HYPERLINK("https://drive.google.com/file/d/1_9aBb986shnRfdupdFTcfE8s6FOLuC1T/view?usp=drivesdk","6390_WANDA FITRA HERAWAN, S.KOM _ SERTIFIKAT BerAKHLAK")</f>
        <v>6390_WANDA FITRA HERAWAN, S.KOM _ SERTIFIKAT BerAKHLAK</v>
      </c>
      <c r="P6391" s="5" t="s">
        <v>41382</v>
      </c>
    </row>
    <row r="6392">
      <c r="A6392" s="4">
        <v>45534.369032511575</v>
      </c>
      <c r="B6392" s="5" t="s">
        <v>34</v>
      </c>
      <c r="D6392" s="5" t="s">
        <v>1206</v>
      </c>
      <c r="E6392" s="5" t="s">
        <v>41399</v>
      </c>
      <c r="F6392" s="5" t="s">
        <v>37</v>
      </c>
      <c r="G6392" s="5" t="s">
        <v>41400</v>
      </c>
      <c r="H6392" s="6" t="s">
        <v>41401</v>
      </c>
      <c r="K6392" s="5" t="s">
        <v>41386</v>
      </c>
      <c r="M6392" s="5" t="s">
        <v>41402</v>
      </c>
      <c r="N6392" s="7" t="s">
        <v>41403</v>
      </c>
      <c r="O6392" s="8" t="str">
        <f>HYPERLINK("https://drive.google.com/file/d/13hRocJwAKOmU4RHnwmVJkTix8bg0-59q/view?usp=drivesdk","6391_ROFI'I _ SERTIFIKAT BerAKHLAK")</f>
        <v>6391_ROFI'I _ SERTIFIKAT BerAKHLAK</v>
      </c>
      <c r="P6392" s="5" t="s">
        <v>41404</v>
      </c>
    </row>
    <row r="6393">
      <c r="A6393" s="4">
        <v>45534.369058854165</v>
      </c>
      <c r="B6393" s="5" t="s">
        <v>34</v>
      </c>
      <c r="D6393" s="5" t="s">
        <v>1206</v>
      </c>
      <c r="E6393" s="5" t="s">
        <v>41405</v>
      </c>
      <c r="F6393" s="5" t="s">
        <v>524</v>
      </c>
      <c r="G6393" s="5" t="s">
        <v>41406</v>
      </c>
      <c r="H6393" s="6" t="s">
        <v>41407</v>
      </c>
      <c r="K6393" s="5" t="s">
        <v>41386</v>
      </c>
      <c r="M6393" s="5" t="s">
        <v>41408</v>
      </c>
      <c r="N6393" s="7" t="s">
        <v>41409</v>
      </c>
      <c r="O6393" s="8" t="str">
        <f>HYPERLINK("https://drive.google.com/file/d/1liAFyHaLsD8WEkwjee5UZ77Tzy78KklE/view?usp=drivesdk","6392_SRI MEI NINGSIH _ SERTIFIKAT BerAKHLAK")</f>
        <v>6392_SRI MEI NINGSIH _ SERTIFIKAT BerAKHLAK</v>
      </c>
      <c r="P6393" s="5" t="s">
        <v>41404</v>
      </c>
    </row>
    <row r="6394" hidden="1">
      <c r="A6394" s="4">
        <v>45534.36907105324</v>
      </c>
      <c r="B6394" s="5" t="s">
        <v>19</v>
      </c>
      <c r="C6394" s="5" t="s">
        <v>3301</v>
      </c>
      <c r="E6394" s="5" t="s">
        <v>41410</v>
      </c>
      <c r="F6394" s="5" t="s">
        <v>37</v>
      </c>
      <c r="G6394" s="5" t="s">
        <v>41411</v>
      </c>
      <c r="H6394" s="6" t="s">
        <v>41412</v>
      </c>
      <c r="K6394" s="5" t="s">
        <v>41386</v>
      </c>
      <c r="M6394" s="5" t="s">
        <v>41413</v>
      </c>
      <c r="N6394" s="7" t="s">
        <v>41414</v>
      </c>
      <c r="O6394" s="8" t="str">
        <f>HYPERLINK("https://drive.google.com/file/d/1dYC7OZ6d2384kcESm5Bn8GZW4K930wJ-/view?usp=drivesdk","6393_JESSICA DWI ANDHIKA, A.MD. _ SERTIFIKAT BerAKHLAK")</f>
        <v>6393_JESSICA DWI ANDHIKA, A.MD. _ SERTIFIKAT BerAKHLAK</v>
      </c>
      <c r="P6394" s="5" t="s">
        <v>41404</v>
      </c>
    </row>
    <row r="6395">
      <c r="A6395" s="4">
        <v>45534.3690980324</v>
      </c>
      <c r="B6395" s="5" t="s">
        <v>34</v>
      </c>
      <c r="D6395" s="5" t="s">
        <v>9394</v>
      </c>
      <c r="E6395" s="5" t="s">
        <v>40820</v>
      </c>
      <c r="F6395" s="5" t="s">
        <v>37</v>
      </c>
      <c r="G6395" s="5" t="s">
        <v>41415</v>
      </c>
      <c r="H6395" s="6" t="s">
        <v>41416</v>
      </c>
      <c r="K6395" s="5" t="s">
        <v>41386</v>
      </c>
      <c r="M6395" s="5" t="s">
        <v>41417</v>
      </c>
      <c r="N6395" s="7" t="s">
        <v>41418</v>
      </c>
      <c r="O6395" s="8" t="str">
        <f>HYPERLINK("https://drive.google.com/file/d/1bNXFxKXioWy-qSLtKCPrydnHd67sZinh/view?usp=drivesdk","6394_SUWANDI  _ SERTIFIKAT BerAKHLAK")</f>
        <v>6394_SUWANDI  _ SERTIFIKAT BerAKHLAK</v>
      </c>
      <c r="P6395" s="5" t="s">
        <v>41404</v>
      </c>
    </row>
    <row r="6396">
      <c r="A6396" s="4">
        <v>45534.369099062504</v>
      </c>
      <c r="B6396" s="5" t="s">
        <v>34</v>
      </c>
      <c r="D6396" s="5" t="s">
        <v>1206</v>
      </c>
      <c r="E6396" s="5" t="s">
        <v>2260</v>
      </c>
      <c r="F6396" s="5" t="s">
        <v>72</v>
      </c>
      <c r="G6396" s="5" t="s">
        <v>41419</v>
      </c>
      <c r="H6396" s="6" t="s">
        <v>41420</v>
      </c>
      <c r="K6396" s="5" t="s">
        <v>41386</v>
      </c>
      <c r="M6396" s="5" t="s">
        <v>41421</v>
      </c>
      <c r="N6396" s="7" t="s">
        <v>41422</v>
      </c>
      <c r="O6396" s="8" t="str">
        <f>HYPERLINK("https://drive.google.com/file/d/1A4YBwx_jmEQT5Kr89aH1e9dHYWtcbf6V/view?usp=drivesdk","6395_SRI HANDAYANI  _ SERTIFIKAT BerAKHLAK")</f>
        <v>6395_SRI HANDAYANI  _ SERTIFIKAT BerAKHLAK</v>
      </c>
      <c r="P6396" s="5" t="s">
        <v>41404</v>
      </c>
    </row>
    <row r="6397">
      <c r="A6397" s="4">
        <v>45534.36910630787</v>
      </c>
      <c r="B6397" s="5" t="s">
        <v>34</v>
      </c>
      <c r="D6397" s="5" t="s">
        <v>1206</v>
      </c>
      <c r="E6397" s="5" t="s">
        <v>41423</v>
      </c>
      <c r="F6397" s="5" t="s">
        <v>72</v>
      </c>
      <c r="G6397" s="5" t="s">
        <v>41424</v>
      </c>
      <c r="H6397" s="6" t="s">
        <v>41425</v>
      </c>
      <c r="K6397" s="5" t="s">
        <v>41386</v>
      </c>
      <c r="M6397" s="5" t="s">
        <v>41426</v>
      </c>
      <c r="N6397" s="7" t="s">
        <v>41427</v>
      </c>
      <c r="O6397" s="8" t="str">
        <f>HYPERLINK("https://drive.google.com/file/d/1-2EYyGsK9MMRer63JFDKWVHFTUa_-XX9/view?usp=drivesdk","6396_YENI SETIOWATI  _ SERTIFIKAT BerAKHLAK")</f>
        <v>6396_YENI SETIOWATI  _ SERTIFIKAT BerAKHLAK</v>
      </c>
      <c r="P6397" s="5" t="s">
        <v>41428</v>
      </c>
    </row>
    <row r="6398">
      <c r="A6398" s="4">
        <v>45534.36911886574</v>
      </c>
      <c r="B6398" s="5" t="s">
        <v>34</v>
      </c>
      <c r="D6398" s="5" t="s">
        <v>6232</v>
      </c>
      <c r="E6398" s="5" t="s">
        <v>41429</v>
      </c>
      <c r="F6398" s="5" t="s">
        <v>37</v>
      </c>
      <c r="G6398" s="5" t="s">
        <v>41430</v>
      </c>
      <c r="H6398" s="6" t="s">
        <v>41431</v>
      </c>
      <c r="K6398" s="5" t="s">
        <v>41386</v>
      </c>
      <c r="M6398" s="5" t="s">
        <v>41432</v>
      </c>
      <c r="N6398" s="7" t="s">
        <v>41433</v>
      </c>
      <c r="O6398" s="8" t="str">
        <f>HYPERLINK("https://drive.google.com/file/d/1YR8CtmUTHKzGRkG-56IE0qtO5n-zFSdH/view?usp=drivesdk","6397_ANNISA AMELIA KHAIRANI HARAHAP, A. MD. KES _ SERTIFIKAT BerAKHLAK")</f>
        <v>6397_ANNISA AMELIA KHAIRANI HARAHAP, A. MD. KES _ SERTIFIKAT BerAKHLAK</v>
      </c>
      <c r="P6398" s="5" t="s">
        <v>41428</v>
      </c>
    </row>
    <row r="6399">
      <c r="A6399" s="4">
        <v>45534.36912931713</v>
      </c>
      <c r="B6399" s="5" t="s">
        <v>34</v>
      </c>
      <c r="D6399" s="5" t="s">
        <v>10444</v>
      </c>
      <c r="E6399" s="5" t="s">
        <v>41434</v>
      </c>
      <c r="F6399" s="5" t="s">
        <v>37</v>
      </c>
      <c r="G6399" s="5" t="s">
        <v>41435</v>
      </c>
      <c r="H6399" s="6" t="s">
        <v>41436</v>
      </c>
      <c r="K6399" s="5" t="s">
        <v>41386</v>
      </c>
      <c r="M6399" s="5" t="s">
        <v>41437</v>
      </c>
      <c r="N6399" s="7" t="s">
        <v>41438</v>
      </c>
      <c r="O6399" s="8" t="str">
        <f>HYPERLINK("https://drive.google.com/file/d/1L_P7_y7mEKdcXd8ZDYnOiXFSabkeXx9h/view?usp=drivesdk","6398_DEWI KARYATI,S.I.Kom _ SERTIFIKAT BerAKHLAK")</f>
        <v>6398_DEWI KARYATI,S.I.Kom _ SERTIFIKAT BerAKHLAK</v>
      </c>
      <c r="P6399" s="5" t="s">
        <v>41428</v>
      </c>
    </row>
    <row r="6400">
      <c r="A6400" s="4">
        <v>45534.36913814815</v>
      </c>
      <c r="B6400" s="5" t="s">
        <v>34</v>
      </c>
      <c r="D6400" s="5" t="s">
        <v>1206</v>
      </c>
      <c r="E6400" s="5" t="s">
        <v>41439</v>
      </c>
      <c r="F6400" s="5" t="s">
        <v>524</v>
      </c>
      <c r="G6400" s="5" t="s">
        <v>41440</v>
      </c>
      <c r="H6400" s="6" t="s">
        <v>41441</v>
      </c>
      <c r="K6400" s="5" t="s">
        <v>41386</v>
      </c>
      <c r="M6400" s="5" t="s">
        <v>41442</v>
      </c>
      <c r="N6400" s="7" t="s">
        <v>41443</v>
      </c>
      <c r="O6400" s="8" t="str">
        <f>HYPERLINK("https://drive.google.com/file/d/1_IqQD2NFLpFE4Z5ASEVqypl2Ak0_G24y/view?usp=drivesdk","6399_NINIK SUHARTINI _ SERTIFIKAT BerAKHLAK")</f>
        <v>6399_NINIK SUHARTINI _ SERTIFIKAT BerAKHLAK</v>
      </c>
      <c r="P6400" s="5" t="s">
        <v>41428</v>
      </c>
    </row>
    <row r="6401">
      <c r="A6401" s="4">
        <v>45534.36918116898</v>
      </c>
      <c r="B6401" s="5" t="s">
        <v>34</v>
      </c>
      <c r="D6401" s="5" t="s">
        <v>4775</v>
      </c>
      <c r="E6401" s="5" t="s">
        <v>41444</v>
      </c>
      <c r="F6401" s="5" t="s">
        <v>37</v>
      </c>
      <c r="G6401" s="5" t="s">
        <v>41445</v>
      </c>
      <c r="H6401" s="6" t="s">
        <v>41446</v>
      </c>
      <c r="K6401" s="5" t="s">
        <v>41386</v>
      </c>
      <c r="M6401" s="5" t="s">
        <v>41447</v>
      </c>
      <c r="N6401" s="7" t="s">
        <v>41448</v>
      </c>
      <c r="O6401" s="8" t="str">
        <f>HYPERLINK("https://drive.google.com/file/d/1JbhllONlk8ujkMfO4CVG36yM6ErDFG0_/view?usp=drivesdk","6400_FERY ENDRO VIRDALIANTO _ SERTIFIKAT BerAKHLAK")</f>
        <v>6400_FERY ENDRO VIRDALIANTO _ SERTIFIKAT BerAKHLAK</v>
      </c>
      <c r="P6401" s="5" t="s">
        <v>41428</v>
      </c>
    </row>
    <row r="6402" hidden="1">
      <c r="A6402" s="4">
        <v>45534.3691884375</v>
      </c>
      <c r="B6402" s="5" t="s">
        <v>19</v>
      </c>
      <c r="C6402" s="5" t="s">
        <v>292</v>
      </c>
      <c r="E6402" s="5" t="s">
        <v>41449</v>
      </c>
      <c r="F6402" s="5" t="s">
        <v>524</v>
      </c>
      <c r="G6402" s="5" t="s">
        <v>41450</v>
      </c>
      <c r="H6402" s="6" t="s">
        <v>41451</v>
      </c>
      <c r="K6402" s="5" t="s">
        <v>41386</v>
      </c>
      <c r="M6402" s="5" t="s">
        <v>41452</v>
      </c>
      <c r="N6402" s="7" t="s">
        <v>41453</v>
      </c>
      <c r="O6402" s="8" t="str">
        <f>HYPERLINK("https://drive.google.com/file/d/17Xx-iypm4cZJWrYnVPxViATgesQs11d6/view?usp=drivesdk","6401_EKO WAHYU ARIFIN, S.Kep. _ SERTIFIKAT BerAKHLAK")</f>
        <v>6401_EKO WAHYU ARIFIN, S.Kep. _ SERTIFIKAT BerAKHLAK</v>
      </c>
      <c r="P6402" s="5" t="s">
        <v>41454</v>
      </c>
    </row>
    <row r="6403">
      <c r="A6403" s="4">
        <v>45534.369190868056</v>
      </c>
      <c r="B6403" s="5" t="s">
        <v>34</v>
      </c>
      <c r="D6403" s="5" t="s">
        <v>9394</v>
      </c>
      <c r="E6403" s="5" t="s">
        <v>41455</v>
      </c>
      <c r="F6403" s="5" t="s">
        <v>524</v>
      </c>
      <c r="G6403" s="5" t="s">
        <v>41456</v>
      </c>
      <c r="H6403" s="6" t="s">
        <v>41457</v>
      </c>
      <c r="K6403" s="5" t="s">
        <v>41386</v>
      </c>
      <c r="M6403" s="5" t="s">
        <v>41458</v>
      </c>
      <c r="N6403" s="7" t="s">
        <v>41459</v>
      </c>
      <c r="O6403" s="8" t="str">
        <f>HYPERLINK("https://drive.google.com/file/d/1GIpDxZ5Q_-dDvpv2558igumpWtTcax4Q/view?usp=drivesdk","6402_SELVI SATRIANI, S.M _ SERTIFIKAT BerAKHLAK")</f>
        <v>6402_SELVI SATRIANI, S.M _ SERTIFIKAT BerAKHLAK</v>
      </c>
      <c r="P6403" s="5" t="s">
        <v>41454</v>
      </c>
    </row>
    <row r="6404">
      <c r="A6404" s="4">
        <v>45534.36919138889</v>
      </c>
      <c r="B6404" s="5" t="s">
        <v>34</v>
      </c>
      <c r="D6404" s="5" t="s">
        <v>35</v>
      </c>
      <c r="E6404" s="5" t="s">
        <v>41460</v>
      </c>
      <c r="F6404" s="5" t="s">
        <v>524</v>
      </c>
      <c r="G6404" s="5" t="s">
        <v>41461</v>
      </c>
      <c r="H6404" s="6" t="s">
        <v>41462</v>
      </c>
      <c r="K6404" s="5" t="s">
        <v>41386</v>
      </c>
      <c r="M6404" s="5" t="s">
        <v>41463</v>
      </c>
      <c r="N6404" s="7" t="s">
        <v>41464</v>
      </c>
      <c r="O6404" s="8" t="str">
        <f>HYPERLINK("https://drive.google.com/file/d/1pjlxla615Jmp3PBNooMPo3CESgxhMdSP/view?usp=drivesdk","6403_TATI ROSILAWATI _ SERTIFIKAT BerAKHLAK")</f>
        <v>6403_TATI ROSILAWATI _ SERTIFIKAT BerAKHLAK</v>
      </c>
      <c r="P6404" s="5" t="s">
        <v>41454</v>
      </c>
    </row>
    <row r="6405" hidden="1">
      <c r="A6405" s="4">
        <v>45534.36921456018</v>
      </c>
      <c r="B6405" s="5" t="s">
        <v>19</v>
      </c>
      <c r="C6405" s="5" t="s">
        <v>442</v>
      </c>
      <c r="E6405" s="5" t="s">
        <v>41465</v>
      </c>
      <c r="F6405" s="5" t="s">
        <v>72</v>
      </c>
      <c r="G6405" s="5" t="s">
        <v>41466</v>
      </c>
      <c r="H6405" s="6" t="s">
        <v>41467</v>
      </c>
      <c r="K6405" s="5" t="s">
        <v>41468</v>
      </c>
      <c r="M6405" s="5" t="s">
        <v>41469</v>
      </c>
      <c r="N6405" s="7" t="s">
        <v>41470</v>
      </c>
      <c r="O6405" s="8" t="str">
        <f>HYPERLINK("https://drive.google.com/file/d/1EGu0SYSsFdIl1rf8q8dN_xkjtxGEBX6V/view?usp=drivesdk","6404_WIRANTI SUSILOWATI, A.Md _ SERTIFIKAT BerAKHLAK")</f>
        <v>6404_WIRANTI SUSILOWATI, A.Md _ SERTIFIKAT BerAKHLAK</v>
      </c>
      <c r="P6405" s="5" t="s">
        <v>41454</v>
      </c>
    </row>
    <row r="6406">
      <c r="A6406" s="4">
        <v>45534.36921829861</v>
      </c>
      <c r="B6406" s="5" t="s">
        <v>34</v>
      </c>
      <c r="D6406" s="5" t="s">
        <v>4775</v>
      </c>
      <c r="E6406" s="5" t="s">
        <v>41471</v>
      </c>
      <c r="F6406" s="5" t="s">
        <v>212</v>
      </c>
      <c r="G6406" s="5" t="s">
        <v>41472</v>
      </c>
      <c r="H6406" s="6" t="s">
        <v>41473</v>
      </c>
      <c r="K6406" s="5" t="s">
        <v>41468</v>
      </c>
      <c r="M6406" s="5" t="s">
        <v>41474</v>
      </c>
      <c r="N6406" s="7" t="s">
        <v>41475</v>
      </c>
      <c r="O6406" s="8" t="str">
        <f>HYPERLINK("https://drive.google.com/file/d/13wTrtlDjMINwsy3hRrJ6hIfcJBisQjDM/view?usp=drivesdk","6405_SRI HENI PURWONINGSIH _ SERTIFIKAT BerAKHLAK")</f>
        <v>6405_SRI HENI PURWONINGSIH _ SERTIFIKAT BerAKHLAK</v>
      </c>
      <c r="P6406" s="5" t="s">
        <v>41454</v>
      </c>
    </row>
    <row r="6407">
      <c r="A6407" s="4">
        <v>45534.3692543287</v>
      </c>
      <c r="B6407" s="5" t="s">
        <v>34</v>
      </c>
      <c r="D6407" s="5" t="s">
        <v>280</v>
      </c>
      <c r="E6407" s="5" t="s">
        <v>41476</v>
      </c>
      <c r="F6407" s="5" t="s">
        <v>524</v>
      </c>
      <c r="G6407" s="5" t="s">
        <v>41477</v>
      </c>
      <c r="H6407" s="6" t="s">
        <v>41478</v>
      </c>
      <c r="K6407" s="5" t="s">
        <v>41479</v>
      </c>
      <c r="M6407" s="5" t="s">
        <v>41480</v>
      </c>
      <c r="N6407" s="7" t="s">
        <v>41481</v>
      </c>
      <c r="O6407" s="8" t="str">
        <f>HYPERLINK("https://drive.google.com/file/d/1s-LyIwbwEryWPnodG9enAotbaxtv2N2j/view?usp=drivesdk","6406_SURANTO, SH _ SERTIFIKAT BerAKHLAK")</f>
        <v>6406_SURANTO, SH _ SERTIFIKAT BerAKHLAK</v>
      </c>
      <c r="P6407" s="5" t="s">
        <v>41482</v>
      </c>
    </row>
    <row r="6408">
      <c r="A6408" s="4">
        <v>45534.369261608794</v>
      </c>
      <c r="B6408" s="5" t="s">
        <v>34</v>
      </c>
      <c r="D6408" s="5" t="s">
        <v>1456</v>
      </c>
      <c r="E6408" s="5" t="s">
        <v>41483</v>
      </c>
      <c r="F6408" s="5" t="s">
        <v>328</v>
      </c>
      <c r="G6408" s="5" t="s">
        <v>41484</v>
      </c>
      <c r="H6408" s="6" t="s">
        <v>41485</v>
      </c>
      <c r="K6408" s="5" t="s">
        <v>41479</v>
      </c>
      <c r="M6408" s="5" t="s">
        <v>41486</v>
      </c>
      <c r="N6408" s="7" t="s">
        <v>41487</v>
      </c>
      <c r="O6408" s="8" t="str">
        <f>HYPERLINK("https://drive.google.com/file/d/1RUjwqO9gURJSYH1gMhlNWsvRDfF59vzY/view?usp=drivesdk","6407_ANDI KOPASANDA, S.A.P. _ SERTIFIKAT BerAKHLAK")</f>
        <v>6407_ANDI KOPASANDA, S.A.P. _ SERTIFIKAT BerAKHLAK</v>
      </c>
      <c r="P6408" s="5" t="s">
        <v>41482</v>
      </c>
    </row>
    <row r="6409">
      <c r="A6409" s="4">
        <v>45534.3692627662</v>
      </c>
      <c r="B6409" s="5" t="s">
        <v>34</v>
      </c>
      <c r="D6409" s="5" t="s">
        <v>7858</v>
      </c>
      <c r="E6409" s="5" t="s">
        <v>41488</v>
      </c>
      <c r="F6409" s="5" t="s">
        <v>524</v>
      </c>
      <c r="G6409" s="5" t="s">
        <v>41489</v>
      </c>
      <c r="H6409" s="6" t="s">
        <v>41490</v>
      </c>
      <c r="K6409" s="5" t="s">
        <v>41479</v>
      </c>
      <c r="M6409" s="5" t="s">
        <v>41491</v>
      </c>
      <c r="N6409" s="7" t="s">
        <v>41492</v>
      </c>
      <c r="O6409" s="8" t="str">
        <f>HYPERLINK("https://drive.google.com/file/d/1rb44Ejjt8KwvGovTVaIBB8uoNYzGcnXk/view?usp=drivesdk","6408_DEUIS SURYANI SH _ SERTIFIKAT BerAKHLAK")</f>
        <v>6408_DEUIS SURYANI SH _ SERTIFIKAT BerAKHLAK</v>
      </c>
      <c r="P6409" s="5" t="s">
        <v>41482</v>
      </c>
    </row>
    <row r="6410">
      <c r="A6410" s="4">
        <v>45534.369271504635</v>
      </c>
      <c r="B6410" s="5" t="s">
        <v>34</v>
      </c>
      <c r="D6410" s="5" t="s">
        <v>9394</v>
      </c>
      <c r="E6410" s="5" t="s">
        <v>41493</v>
      </c>
      <c r="F6410" s="5" t="s">
        <v>37</v>
      </c>
      <c r="G6410" s="5" t="s">
        <v>41494</v>
      </c>
      <c r="H6410" s="6" t="s">
        <v>41495</v>
      </c>
      <c r="K6410" s="5" t="s">
        <v>41479</v>
      </c>
      <c r="M6410" s="5" t="s">
        <v>41496</v>
      </c>
      <c r="N6410" s="7" t="s">
        <v>41497</v>
      </c>
      <c r="O6410" s="8" t="str">
        <f>HYPERLINK("https://drive.google.com/file/d/1g_1UB0xvzfEaUVgUCjgipHkNorhUAdw1/view?usp=drivesdk","6409_BERNADET _ SERTIFIKAT BerAKHLAK")</f>
        <v>6409_BERNADET _ SERTIFIKAT BerAKHLAK</v>
      </c>
      <c r="P6410" s="5" t="s">
        <v>41482</v>
      </c>
    </row>
    <row r="6411">
      <c r="A6411" s="4">
        <v>45534.36927510417</v>
      </c>
      <c r="B6411" s="5" t="s">
        <v>34</v>
      </c>
      <c r="D6411" s="5" t="s">
        <v>7858</v>
      </c>
      <c r="E6411" s="5" t="s">
        <v>41498</v>
      </c>
      <c r="F6411" s="5" t="s">
        <v>375</v>
      </c>
      <c r="G6411" s="5" t="s">
        <v>41499</v>
      </c>
      <c r="H6411" s="6" t="s">
        <v>41500</v>
      </c>
      <c r="K6411" s="5" t="s">
        <v>41479</v>
      </c>
      <c r="M6411" s="5" t="s">
        <v>41501</v>
      </c>
      <c r="N6411" s="7" t="s">
        <v>41502</v>
      </c>
      <c r="O6411" s="8" t="str">
        <f>HYPERLINK("https://drive.google.com/file/d/1eMyzU01GsLE2lp5hqR7FjPy1CYMlMdxH/view?usp=drivesdk","6410_DIEN SUSANDIENA W _ SERTIFIKAT BerAKHLAK")</f>
        <v>6410_DIEN SUSANDIENA W _ SERTIFIKAT BerAKHLAK</v>
      </c>
      <c r="P6411" s="5" t="s">
        <v>41503</v>
      </c>
    </row>
    <row r="6412">
      <c r="A6412" s="4">
        <v>45534.369284016204</v>
      </c>
      <c r="B6412" s="5" t="s">
        <v>34</v>
      </c>
      <c r="D6412" s="5" t="s">
        <v>1558</v>
      </c>
      <c r="E6412" s="5" t="s">
        <v>41504</v>
      </c>
      <c r="F6412" s="5" t="s">
        <v>37</v>
      </c>
      <c r="G6412" s="5" t="s">
        <v>41505</v>
      </c>
      <c r="H6412" s="6" t="s">
        <v>41506</v>
      </c>
      <c r="K6412" s="5" t="s">
        <v>41479</v>
      </c>
      <c r="M6412" s="5" t="s">
        <v>41507</v>
      </c>
      <c r="N6412" s="7" t="s">
        <v>41508</v>
      </c>
      <c r="O6412" s="8" t="str">
        <f>HYPERLINK("https://drive.google.com/file/d/1wL82eiiRrtfTovOdH2NiEllUo1N5cf1d/view?usp=drivesdk","6411_AULIYA HIKMAH KAMAL, A.Md. Kep. _ SERTIFIKAT BerAKHLAK")</f>
        <v>6411_AULIYA HIKMAH KAMAL, A.Md. Kep. _ SERTIFIKAT BerAKHLAK</v>
      </c>
      <c r="P6412" s="5" t="s">
        <v>41503</v>
      </c>
    </row>
    <row r="6413">
      <c r="A6413" s="4">
        <v>45534.369290613424</v>
      </c>
      <c r="B6413" s="5" t="s">
        <v>34</v>
      </c>
      <c r="D6413" s="5" t="s">
        <v>9020</v>
      </c>
      <c r="E6413" s="5" t="s">
        <v>41509</v>
      </c>
      <c r="F6413" s="5" t="s">
        <v>212</v>
      </c>
      <c r="G6413" s="5" t="s">
        <v>41510</v>
      </c>
      <c r="H6413" s="6" t="s">
        <v>41511</v>
      </c>
      <c r="K6413" s="5" t="s">
        <v>41479</v>
      </c>
      <c r="M6413" s="5" t="s">
        <v>41512</v>
      </c>
      <c r="N6413" s="7" t="s">
        <v>41513</v>
      </c>
      <c r="O6413" s="8" t="str">
        <f>HYPERLINK("https://drive.google.com/file/d/1C4G5kz9KhJxzBgA4tzZc83Xey2txXTHw/view?usp=drivesdk","6412_SRI SUSILAWATI _ SERTIFIKAT BerAKHLAK")</f>
        <v>6412_SRI SUSILAWATI _ SERTIFIKAT BerAKHLAK</v>
      </c>
      <c r="P6413" s="5" t="s">
        <v>41503</v>
      </c>
    </row>
    <row r="6414">
      <c r="A6414" s="4">
        <v>45534.369291192124</v>
      </c>
      <c r="B6414" s="5" t="s">
        <v>34</v>
      </c>
      <c r="D6414" s="5" t="s">
        <v>6232</v>
      </c>
      <c r="E6414" s="5" t="s">
        <v>41514</v>
      </c>
      <c r="F6414" s="5" t="s">
        <v>212</v>
      </c>
      <c r="G6414" s="5" t="s">
        <v>41515</v>
      </c>
      <c r="H6414" s="6" t="s">
        <v>41516</v>
      </c>
      <c r="K6414" s="5" t="s">
        <v>41479</v>
      </c>
      <c r="M6414" s="5" t="s">
        <v>41517</v>
      </c>
      <c r="N6414" s="7" t="s">
        <v>41518</v>
      </c>
      <c r="O6414" s="8" t="str">
        <f>HYPERLINK("https://drive.google.com/file/d/10KvDAY9z3ZspbuO8mYffkIigEarnPACA/view?usp=drivesdk","6413_FUJI LESTARI, A. Md. Kep _ SERTIFIKAT BerAKHLAK")</f>
        <v>6413_FUJI LESTARI, A. Md. Kep _ SERTIFIKAT BerAKHLAK</v>
      </c>
      <c r="P6414" s="5" t="s">
        <v>41503</v>
      </c>
    </row>
    <row r="6415">
      <c r="A6415" s="4">
        <v>45534.36931126157</v>
      </c>
      <c r="B6415" s="5" t="s">
        <v>34</v>
      </c>
      <c r="D6415" s="5" t="s">
        <v>1206</v>
      </c>
      <c r="E6415" s="5" t="s">
        <v>41519</v>
      </c>
      <c r="F6415" s="5" t="s">
        <v>37</v>
      </c>
      <c r="G6415" s="5" t="s">
        <v>41520</v>
      </c>
      <c r="H6415" s="6" t="s">
        <v>41521</v>
      </c>
      <c r="K6415" s="5" t="s">
        <v>41479</v>
      </c>
      <c r="M6415" s="5" t="s">
        <v>41522</v>
      </c>
      <c r="N6415" s="7" t="s">
        <v>41523</v>
      </c>
      <c r="O6415" s="8" t="str">
        <f>HYPERLINK("https://drive.google.com/file/d/1pXpxOeTwX7DJoy4ahyVOZstZKBBJuVic/view?usp=drivesdk","6414_ANISA GHASSANI KRISNAWATI _ SERTIFIKAT BerAKHLAK")</f>
        <v>6414_ANISA GHASSANI KRISNAWATI _ SERTIFIKAT BerAKHLAK</v>
      </c>
      <c r="P6415" s="5" t="s">
        <v>41503</v>
      </c>
    </row>
    <row r="6416">
      <c r="A6416" s="4">
        <v>45534.36931825231</v>
      </c>
      <c r="B6416" s="5" t="s">
        <v>34</v>
      </c>
      <c r="D6416" s="5" t="s">
        <v>4775</v>
      </c>
      <c r="E6416" s="5" t="s">
        <v>41524</v>
      </c>
      <c r="F6416" s="5" t="s">
        <v>375</v>
      </c>
      <c r="G6416" s="5" t="s">
        <v>41525</v>
      </c>
      <c r="H6416" s="6" t="s">
        <v>41526</v>
      </c>
      <c r="K6416" s="5" t="s">
        <v>41527</v>
      </c>
      <c r="M6416" s="5" t="s">
        <v>41528</v>
      </c>
      <c r="N6416" s="7" t="s">
        <v>41529</v>
      </c>
      <c r="O6416" s="8" t="str">
        <f>HYPERLINK("https://drive.google.com/file/d/1L7c2NUG4FMtXoRlUNyELfGl_8YKbbZyN/view?usp=drivesdk","6415_WIWIN HENDARTO _ SERTIFIKAT BerAKHLAK")</f>
        <v>6415_WIWIN HENDARTO _ SERTIFIKAT BerAKHLAK</v>
      </c>
      <c r="P6416" s="5" t="s">
        <v>41530</v>
      </c>
    </row>
    <row r="6417" hidden="1">
      <c r="A6417" s="4">
        <v>45534.36931995371</v>
      </c>
      <c r="B6417" s="5" t="s">
        <v>19</v>
      </c>
      <c r="C6417" s="5" t="s">
        <v>1606</v>
      </c>
      <c r="E6417" s="5" t="s">
        <v>41531</v>
      </c>
      <c r="F6417" s="5" t="s">
        <v>108</v>
      </c>
      <c r="G6417" s="5" t="s">
        <v>41532</v>
      </c>
      <c r="H6417" s="6" t="s">
        <v>41533</v>
      </c>
      <c r="K6417" s="5" t="s">
        <v>41527</v>
      </c>
      <c r="M6417" s="5" t="s">
        <v>41534</v>
      </c>
      <c r="N6417" s="7" t="s">
        <v>41535</v>
      </c>
      <c r="O6417" s="8" t="str">
        <f>HYPERLINK("https://drive.google.com/file/d/1JTIFJHc6vQsUHB0FP8mX39w7Ma9w4SIG/view?usp=drivesdk","6416_Lina Sari Ningsih  _ SERTIFIKAT BerAKHLAK")</f>
        <v>6416_Lina Sari Ningsih  _ SERTIFIKAT BerAKHLAK</v>
      </c>
      <c r="P6417" s="5" t="s">
        <v>41530</v>
      </c>
    </row>
    <row r="6418">
      <c r="A6418" s="4">
        <v>45534.369326932865</v>
      </c>
      <c r="B6418" s="5" t="s">
        <v>34</v>
      </c>
      <c r="D6418" s="5" t="s">
        <v>4775</v>
      </c>
      <c r="E6418" s="5" t="s">
        <v>41536</v>
      </c>
      <c r="F6418" s="5" t="s">
        <v>212</v>
      </c>
      <c r="G6418" s="5" t="s">
        <v>41537</v>
      </c>
      <c r="H6418" s="6" t="s">
        <v>41538</v>
      </c>
      <c r="K6418" s="5" t="s">
        <v>41527</v>
      </c>
      <c r="M6418" s="5" t="s">
        <v>41539</v>
      </c>
      <c r="N6418" s="7" t="s">
        <v>41540</v>
      </c>
      <c r="O6418" s="8" t="str">
        <f>HYPERLINK("https://drive.google.com/file/d/1GMLyrsVXEVrhy0g0pKrZkGeoczDNzcQE/view?usp=drivesdk","6417_ZULIA AMBARWATI,AMD.KEB _ SERTIFIKAT BerAKHLAK")</f>
        <v>6417_ZULIA AMBARWATI,AMD.KEB _ SERTIFIKAT BerAKHLAK</v>
      </c>
      <c r="P6418" s="5" t="s">
        <v>41530</v>
      </c>
    </row>
    <row r="6419">
      <c r="A6419" s="4">
        <v>45534.369331469905</v>
      </c>
      <c r="B6419" s="5" t="s">
        <v>34</v>
      </c>
      <c r="D6419" s="5" t="s">
        <v>1206</v>
      </c>
      <c r="E6419" s="5" t="s">
        <v>41541</v>
      </c>
      <c r="F6419" s="5" t="s">
        <v>375</v>
      </c>
      <c r="G6419" s="5" t="s">
        <v>41542</v>
      </c>
      <c r="H6419" s="6" t="s">
        <v>41543</v>
      </c>
      <c r="K6419" s="5" t="s">
        <v>41544</v>
      </c>
      <c r="M6419" s="5" t="s">
        <v>41545</v>
      </c>
      <c r="N6419" s="7" t="s">
        <v>41546</v>
      </c>
      <c r="O6419" s="8" t="str">
        <f>HYPERLINK("https://drive.google.com/file/d/1T1lbqnF9nvLFFVi3vQ5jL6RjJv827O20/view?usp=drivesdk","6418_HERNAWATI _ SERTIFIKAT BerAKHLAK")</f>
        <v>6418_HERNAWATI _ SERTIFIKAT BerAKHLAK</v>
      </c>
      <c r="P6419" s="5" t="s">
        <v>41530</v>
      </c>
    </row>
    <row r="6420">
      <c r="A6420" s="4">
        <v>45534.36933940972</v>
      </c>
      <c r="B6420" s="5" t="s">
        <v>34</v>
      </c>
      <c r="D6420" s="5" t="s">
        <v>1206</v>
      </c>
      <c r="E6420" s="5" t="s">
        <v>41547</v>
      </c>
      <c r="F6420" s="5" t="s">
        <v>22</v>
      </c>
      <c r="G6420" s="5" t="s">
        <v>41548</v>
      </c>
      <c r="H6420" s="6" t="s">
        <v>41549</v>
      </c>
      <c r="K6420" s="5" t="s">
        <v>41544</v>
      </c>
      <c r="M6420" s="5" t="s">
        <v>41550</v>
      </c>
      <c r="N6420" s="7" t="s">
        <v>41551</v>
      </c>
      <c r="O6420" s="8" t="str">
        <f>HYPERLINK("https://drive.google.com/file/d/1KLdyD1YW8SN9COIg7ElxJNQbVQD847WX/view?usp=drivesdk","6419_UMARIYAH  _ SERTIFIKAT BerAKHLAK")</f>
        <v>6419_UMARIYAH  _ SERTIFIKAT BerAKHLAK</v>
      </c>
      <c r="P6420" s="5" t="s">
        <v>41530</v>
      </c>
    </row>
    <row r="6421">
      <c r="A6421" s="4">
        <v>45534.36934125</v>
      </c>
      <c r="B6421" s="5" t="s">
        <v>34</v>
      </c>
      <c r="D6421" s="5" t="s">
        <v>1206</v>
      </c>
      <c r="E6421" s="5" t="s">
        <v>41552</v>
      </c>
      <c r="F6421" s="5" t="s">
        <v>108</v>
      </c>
      <c r="G6421" s="5" t="s">
        <v>41553</v>
      </c>
      <c r="H6421" s="6" t="s">
        <v>41554</v>
      </c>
      <c r="K6421" s="5" t="s">
        <v>41544</v>
      </c>
      <c r="M6421" s="5" t="s">
        <v>41555</v>
      </c>
      <c r="N6421" s="7" t="s">
        <v>41556</v>
      </c>
      <c r="O6421" s="8" t="str">
        <f>HYPERLINK("https://drive.google.com/file/d/1VN5Z5lbZHp8NQMmdPzXk476TDr3F3E3Y/view?usp=drivesdk","6420_Lella Hargiyati.,S.Pd _ SERTIFIKAT BerAKHLAK")</f>
        <v>6420_Lella Hargiyati.,S.Pd _ SERTIFIKAT BerAKHLAK</v>
      </c>
      <c r="P6421" s="5" t="s">
        <v>41557</v>
      </c>
    </row>
    <row r="6422">
      <c r="A6422" s="4">
        <v>45534.36934853009</v>
      </c>
      <c r="B6422" s="5" t="s">
        <v>34</v>
      </c>
      <c r="D6422" s="5" t="s">
        <v>9020</v>
      </c>
      <c r="E6422" s="5" t="s">
        <v>41558</v>
      </c>
      <c r="F6422" s="5" t="s">
        <v>37</v>
      </c>
      <c r="G6422" s="5" t="s">
        <v>41559</v>
      </c>
      <c r="H6422" s="6" t="s">
        <v>41560</v>
      </c>
      <c r="K6422" s="5" t="s">
        <v>41544</v>
      </c>
      <c r="M6422" s="5" t="s">
        <v>41561</v>
      </c>
      <c r="N6422" s="7" t="s">
        <v>41562</v>
      </c>
      <c r="O6422" s="8" t="str">
        <f>HYPERLINK("https://drive.google.com/file/d/1MCpUEFhy9picvFjULE10AFve-U5ovk1h/view?usp=drivesdk","6421_ELMINA SIHOMBING _ SERTIFIKAT BerAKHLAK")</f>
        <v>6421_ELMINA SIHOMBING _ SERTIFIKAT BerAKHLAK</v>
      </c>
      <c r="P6422" s="5" t="s">
        <v>41557</v>
      </c>
    </row>
    <row r="6423">
      <c r="A6423" s="4">
        <v>45534.36935199074</v>
      </c>
      <c r="B6423" s="5" t="s">
        <v>34</v>
      </c>
      <c r="D6423" s="5" t="s">
        <v>4775</v>
      </c>
      <c r="E6423" s="5" t="s">
        <v>41563</v>
      </c>
      <c r="F6423" s="5" t="s">
        <v>212</v>
      </c>
      <c r="G6423" s="5" t="s">
        <v>41564</v>
      </c>
      <c r="H6423" s="6" t="s">
        <v>41565</v>
      </c>
      <c r="K6423" s="5" t="s">
        <v>41544</v>
      </c>
      <c r="M6423" s="5" t="s">
        <v>41566</v>
      </c>
      <c r="N6423" s="7" t="s">
        <v>41567</v>
      </c>
      <c r="O6423" s="8" t="str">
        <f>HYPERLINK("https://drive.google.com/file/d/12puzQBQsF03w-MWyVDNpm0bzV3VakpzO/view?usp=drivesdk","6422_TATI PRAMITANINGSIH _ SERTIFIKAT BerAKHLAK")</f>
        <v>6422_TATI PRAMITANINGSIH _ SERTIFIKAT BerAKHLAK</v>
      </c>
      <c r="P6423" s="5" t="s">
        <v>41557</v>
      </c>
    </row>
    <row r="6424">
      <c r="A6424" s="4">
        <v>45534.369352071764</v>
      </c>
      <c r="B6424" s="5" t="s">
        <v>34</v>
      </c>
      <c r="D6424" s="5" t="s">
        <v>2903</v>
      </c>
      <c r="E6424" s="5" t="s">
        <v>41568</v>
      </c>
      <c r="F6424" s="5" t="s">
        <v>715</v>
      </c>
      <c r="G6424" s="5" t="s">
        <v>41569</v>
      </c>
      <c r="H6424" s="6" t="s">
        <v>41570</v>
      </c>
      <c r="K6424" s="5" t="s">
        <v>41571</v>
      </c>
      <c r="M6424" s="5" t="s">
        <v>41572</v>
      </c>
      <c r="N6424" s="7" t="s">
        <v>41573</v>
      </c>
      <c r="O6424" s="8" t="str">
        <f>HYPERLINK("https://drive.google.com/file/d/1I7UoOnoFnw8LKSj17XvJr_lRorilfBpG/view?usp=drivesdk","6423_SUSANTI.S.KOM _ SERTIFIKAT BerAKHLAK")</f>
        <v>6423_SUSANTI.S.KOM _ SERTIFIKAT BerAKHLAK</v>
      </c>
      <c r="P6424" s="5" t="s">
        <v>41557</v>
      </c>
    </row>
    <row r="6425">
      <c r="A6425" s="4">
        <v>45534.36935283565</v>
      </c>
      <c r="B6425" s="5" t="s">
        <v>34</v>
      </c>
      <c r="D6425" s="5" t="s">
        <v>9394</v>
      </c>
      <c r="E6425" s="5" t="s">
        <v>41574</v>
      </c>
      <c r="F6425" s="5" t="s">
        <v>375</v>
      </c>
      <c r="G6425" s="5" t="s">
        <v>41575</v>
      </c>
      <c r="H6425" s="6" t="s">
        <v>41576</v>
      </c>
      <c r="K6425" s="5" t="s">
        <v>41571</v>
      </c>
      <c r="M6425" s="5" t="s">
        <v>41577</v>
      </c>
      <c r="N6425" s="7" t="s">
        <v>41578</v>
      </c>
      <c r="O6425" s="8" t="str">
        <f>HYPERLINK("https://drive.google.com/file/d/18gB3kHZ98Cams7T-7uPU7l1sg1t7YskB/view?usp=drivesdk","6424_Ns. ZARNIATI, S.Kep _ SERTIFIKAT BerAKHLAK")</f>
        <v>6424_Ns. ZARNIATI, S.Kep _ SERTIFIKAT BerAKHLAK</v>
      </c>
      <c r="P6425" s="5" t="s">
        <v>41557</v>
      </c>
    </row>
    <row r="6426">
      <c r="A6426" s="4">
        <v>45534.36936353009</v>
      </c>
      <c r="B6426" s="5" t="s">
        <v>34</v>
      </c>
      <c r="D6426" s="5" t="s">
        <v>701</v>
      </c>
      <c r="E6426" s="5" t="s">
        <v>41579</v>
      </c>
      <c r="F6426" s="5" t="s">
        <v>37</v>
      </c>
      <c r="G6426" s="5" t="s">
        <v>41580</v>
      </c>
      <c r="H6426" s="6" t="s">
        <v>41581</v>
      </c>
      <c r="K6426" s="5" t="s">
        <v>41571</v>
      </c>
      <c r="M6426" s="5" t="s">
        <v>41582</v>
      </c>
      <c r="N6426" s="7" t="s">
        <v>41583</v>
      </c>
      <c r="O6426" s="8" t="str">
        <f>HYPERLINK("https://drive.google.com/file/d/1l1SXmAmTGaxYbVeJce9arf8gdM20fjNw/view?usp=drivesdk","6425_PRIHATININGSIH _ SERTIFIKAT BerAKHLAK")</f>
        <v>6425_PRIHATININGSIH _ SERTIFIKAT BerAKHLAK</v>
      </c>
      <c r="P6426" s="5" t="s">
        <v>41557</v>
      </c>
    </row>
    <row r="6427">
      <c r="A6427" s="4">
        <v>45534.36937082176</v>
      </c>
      <c r="B6427" s="5" t="s">
        <v>34</v>
      </c>
      <c r="D6427" s="5" t="s">
        <v>2903</v>
      </c>
      <c r="E6427" s="5" t="s">
        <v>41584</v>
      </c>
      <c r="F6427" s="5" t="s">
        <v>375</v>
      </c>
      <c r="G6427" s="5" t="s">
        <v>41585</v>
      </c>
      <c r="H6427" s="6" t="s">
        <v>41586</v>
      </c>
      <c r="K6427" s="5" t="s">
        <v>41571</v>
      </c>
      <c r="M6427" s="5" t="s">
        <v>41587</v>
      </c>
      <c r="N6427" s="7" t="s">
        <v>41588</v>
      </c>
      <c r="O6427" s="8" t="str">
        <f>HYPERLINK("https://drive.google.com/file/d/1DXGrCKBQ311ikDHYuoqp_B2f84DKRc34/view?usp=drivesdk","6426_MELKY RAMLIS, ST _ SERTIFIKAT BerAKHLAK")</f>
        <v>6426_MELKY RAMLIS, ST _ SERTIFIKAT BerAKHLAK</v>
      </c>
      <c r="P6427" s="5" t="s">
        <v>41589</v>
      </c>
    </row>
    <row r="6428">
      <c r="A6428" s="4">
        <v>45534.36937209491</v>
      </c>
      <c r="B6428" s="5" t="s">
        <v>34</v>
      </c>
      <c r="D6428" s="5" t="s">
        <v>2903</v>
      </c>
      <c r="E6428" s="5" t="s">
        <v>41590</v>
      </c>
      <c r="F6428" s="5" t="s">
        <v>524</v>
      </c>
      <c r="G6428" s="5" t="s">
        <v>41591</v>
      </c>
      <c r="H6428" s="6" t="s">
        <v>41592</v>
      </c>
      <c r="K6428" s="5" t="s">
        <v>41571</v>
      </c>
      <c r="M6428" s="5" t="s">
        <v>41593</v>
      </c>
      <c r="N6428" s="7" t="s">
        <v>41594</v>
      </c>
      <c r="O6428" s="8" t="str">
        <f>HYPERLINK("https://drive.google.com/file/d/15mu8dIIGzjI620HbPguD9qWfq87j7Xgv/view?usp=drivesdk","6427_YETTI HARNILI _ SERTIFIKAT BerAKHLAK")</f>
        <v>6427_YETTI HARNILI _ SERTIFIKAT BerAKHLAK</v>
      </c>
      <c r="P6428" s="5" t="s">
        <v>41589</v>
      </c>
    </row>
    <row r="6429">
      <c r="A6429" s="4">
        <v>45534.36939274306</v>
      </c>
      <c r="B6429" s="5" t="s">
        <v>34</v>
      </c>
      <c r="D6429" s="5" t="s">
        <v>1206</v>
      </c>
      <c r="E6429" s="5" t="s">
        <v>41595</v>
      </c>
      <c r="F6429" s="5" t="s">
        <v>72</v>
      </c>
      <c r="G6429" s="5" t="s">
        <v>41596</v>
      </c>
      <c r="H6429" s="6" t="s">
        <v>41597</v>
      </c>
      <c r="K6429" s="5" t="s">
        <v>41598</v>
      </c>
      <c r="M6429" s="5" t="s">
        <v>41599</v>
      </c>
      <c r="N6429" s="7" t="s">
        <v>41600</v>
      </c>
      <c r="O6429" s="8" t="str">
        <f>HYPERLINK("https://drive.google.com/file/d/1ZUl6kf8Q3qgAG0-Hr4pARHpNEp3dTRX3/view?usp=drivesdk","6428_DEWI HAMIDA AG, S.E. _ SERTIFIKAT BerAKHLAK")</f>
        <v>6428_DEWI HAMIDA AG, S.E. _ SERTIFIKAT BerAKHLAK</v>
      </c>
      <c r="P6429" s="5" t="s">
        <v>41589</v>
      </c>
    </row>
    <row r="6430" hidden="1">
      <c r="A6430" s="4">
        <v>45534.36941436343</v>
      </c>
      <c r="B6430" s="5" t="s">
        <v>19</v>
      </c>
      <c r="C6430" s="5" t="s">
        <v>292</v>
      </c>
      <c r="E6430" s="5" t="s">
        <v>41601</v>
      </c>
      <c r="F6430" s="5" t="s">
        <v>120</v>
      </c>
      <c r="G6430" s="5" t="s">
        <v>41602</v>
      </c>
      <c r="H6430" s="6" t="s">
        <v>41603</v>
      </c>
      <c r="K6430" s="5" t="s">
        <v>41598</v>
      </c>
      <c r="M6430" s="5" t="s">
        <v>41604</v>
      </c>
      <c r="N6430" s="7" t="s">
        <v>41605</v>
      </c>
      <c r="O6430" s="8" t="str">
        <f>HYPERLINK("https://drive.google.com/file/d/1r8pp0uosORg8qR6vO5oNfYPd2gMBLsKL/view?usp=drivesdk","6429_OMRI MARTAHAN _ SERTIFIKAT BerAKHLAK")</f>
        <v>6429_OMRI MARTAHAN _ SERTIFIKAT BerAKHLAK</v>
      </c>
      <c r="P6430" s="5" t="s">
        <v>41589</v>
      </c>
    </row>
    <row r="6431">
      <c r="A6431" s="4">
        <v>45534.36946746528</v>
      </c>
      <c r="B6431" s="5" t="s">
        <v>34</v>
      </c>
      <c r="D6431" s="5" t="s">
        <v>1206</v>
      </c>
      <c r="E6431" s="5" t="s">
        <v>41606</v>
      </c>
      <c r="F6431" s="5" t="s">
        <v>22</v>
      </c>
      <c r="G6431" s="5" t="s">
        <v>41607</v>
      </c>
      <c r="H6431" s="6" t="s">
        <v>41608</v>
      </c>
      <c r="K6431" s="5" t="s">
        <v>41609</v>
      </c>
      <c r="M6431" s="5" t="s">
        <v>41610</v>
      </c>
      <c r="N6431" s="7" t="s">
        <v>41611</v>
      </c>
      <c r="O6431" s="8" t="str">
        <f>HYPERLINK("https://drive.google.com/file/d/1wW9ggCDwrBp2A2xFqpXEFaSjae9iO6FF/view?usp=drivesdk","6430_DR THERESIA FIFI JUDIKRISTIANI,SP.PA _ SERTIFIKAT BerAKHLAK")</f>
        <v>6430_DR THERESIA FIFI JUDIKRISTIANI,SP.PA _ SERTIFIKAT BerAKHLAK</v>
      </c>
      <c r="P6431" s="5" t="s">
        <v>41589</v>
      </c>
    </row>
    <row r="6432">
      <c r="A6432" s="4">
        <v>45534.369474074076</v>
      </c>
      <c r="B6432" s="5" t="s">
        <v>34</v>
      </c>
      <c r="D6432" s="5" t="s">
        <v>996</v>
      </c>
      <c r="E6432" s="5" t="s">
        <v>41612</v>
      </c>
      <c r="F6432" s="5" t="s">
        <v>212</v>
      </c>
      <c r="G6432" s="5" t="s">
        <v>41613</v>
      </c>
      <c r="H6432" s="6" t="s">
        <v>41614</v>
      </c>
      <c r="K6432" s="5" t="s">
        <v>41609</v>
      </c>
      <c r="M6432" s="5" t="s">
        <v>41615</v>
      </c>
      <c r="N6432" s="7" t="s">
        <v>41616</v>
      </c>
      <c r="O6432" s="8" t="str">
        <f>HYPERLINK("https://drive.google.com/file/d/1cNDI9T9v5Dyhr-3IvplSQoxMjXeDj-48/view?usp=drivesdk","6431_Ade Herlena Rahman _ SERTIFIKAT BerAKHLAK")</f>
        <v>6431_Ade Herlena Rahman _ SERTIFIKAT BerAKHLAK</v>
      </c>
      <c r="P6432" s="5" t="s">
        <v>41617</v>
      </c>
    </row>
    <row r="6433">
      <c r="A6433" s="4">
        <v>45534.369479120374</v>
      </c>
      <c r="B6433" s="5" t="s">
        <v>34</v>
      </c>
      <c r="D6433" s="5" t="s">
        <v>1558</v>
      </c>
      <c r="E6433" s="5" t="s">
        <v>41618</v>
      </c>
      <c r="F6433" s="5" t="s">
        <v>375</v>
      </c>
      <c r="G6433" s="5" t="s">
        <v>41619</v>
      </c>
      <c r="H6433" s="6" t="s">
        <v>41620</v>
      </c>
      <c r="K6433" s="5" t="s">
        <v>41609</v>
      </c>
      <c r="M6433" s="5" t="s">
        <v>41621</v>
      </c>
      <c r="N6433" s="7" t="s">
        <v>41622</v>
      </c>
      <c r="O6433" s="8" t="str">
        <f>HYPERLINK("https://drive.google.com/file/d/1wkZBvqNEAfO8Im6YdEUSXTU5efrEqfia/view?usp=drivesdk","6432_HELSARIYANTI _ SERTIFIKAT BerAKHLAK")</f>
        <v>6432_HELSARIYANTI _ SERTIFIKAT BerAKHLAK</v>
      </c>
      <c r="P6433" s="5" t="s">
        <v>41617</v>
      </c>
    </row>
    <row r="6434">
      <c r="A6434" s="4">
        <v>45534.36947503472</v>
      </c>
      <c r="B6434" s="5" t="s">
        <v>34</v>
      </c>
      <c r="D6434" s="5" t="s">
        <v>1206</v>
      </c>
      <c r="E6434" s="5" t="s">
        <v>41623</v>
      </c>
      <c r="F6434" s="5" t="s">
        <v>37</v>
      </c>
      <c r="G6434" s="5" t="s">
        <v>41624</v>
      </c>
      <c r="H6434" s="6" t="s">
        <v>41625</v>
      </c>
      <c r="K6434" s="5" t="s">
        <v>41609</v>
      </c>
      <c r="M6434" s="5" t="s">
        <v>41626</v>
      </c>
      <c r="N6434" s="7" t="s">
        <v>41627</v>
      </c>
      <c r="O6434" s="8" t="str">
        <f>HYPERLINK("https://drive.google.com/file/d/10ZNoQ53hC90okg146JqvZfROqA8LUNiX/view?usp=drivesdk","6433_KRISTANTO  _ SERTIFIKAT BerAKHLAK")</f>
        <v>6433_KRISTANTO  _ SERTIFIKAT BerAKHLAK</v>
      </c>
      <c r="P6434" s="5" t="s">
        <v>41617</v>
      </c>
    </row>
    <row r="6435">
      <c r="A6435" s="4">
        <v>45534.369497141204</v>
      </c>
      <c r="B6435" s="5" t="s">
        <v>34</v>
      </c>
      <c r="D6435" s="5" t="s">
        <v>1558</v>
      </c>
      <c r="E6435" s="5" t="s">
        <v>41628</v>
      </c>
      <c r="F6435" s="5" t="s">
        <v>108</v>
      </c>
      <c r="G6435" s="5" t="s">
        <v>41629</v>
      </c>
      <c r="H6435" s="6" t="s">
        <v>41630</v>
      </c>
      <c r="K6435" s="5" t="s">
        <v>41609</v>
      </c>
      <c r="M6435" s="5" t="s">
        <v>41631</v>
      </c>
      <c r="N6435" s="7" t="s">
        <v>41632</v>
      </c>
      <c r="O6435" s="8" t="str">
        <f>HYPERLINK("https://drive.google.com/file/d/1bHDKqfi7hkGOHEcuFUMOJXYEdcwI3tFW/view?usp=drivesdk","6434_SURATNO _ SERTIFIKAT BerAKHLAK")</f>
        <v>6434_SURATNO _ SERTIFIKAT BerAKHLAK</v>
      </c>
      <c r="P6435" s="5" t="s">
        <v>41617</v>
      </c>
    </row>
    <row r="6436">
      <c r="A6436" s="4">
        <v>45534.36950366898</v>
      </c>
      <c r="B6436" s="5" t="s">
        <v>34</v>
      </c>
      <c r="D6436" s="5" t="s">
        <v>1206</v>
      </c>
      <c r="E6436" s="5" t="s">
        <v>41633</v>
      </c>
      <c r="F6436" s="5" t="s">
        <v>72</v>
      </c>
      <c r="G6436" s="5" t="s">
        <v>41634</v>
      </c>
      <c r="H6436" s="6" t="s">
        <v>41635</v>
      </c>
      <c r="K6436" s="5" t="s">
        <v>41609</v>
      </c>
      <c r="M6436" s="5" t="s">
        <v>41636</v>
      </c>
      <c r="N6436" s="7" t="s">
        <v>41637</v>
      </c>
      <c r="O6436" s="8" t="str">
        <f>HYPERLINK("https://drive.google.com/file/d/1OugdeyMvfIay8YOqeQQjk4C7v-RNKUr-/view?usp=drivesdk","6435_DESHI ANALIA , S.Kep.Ns _ SERTIFIKAT BerAKHLAK")</f>
        <v>6435_DESHI ANALIA , S.Kep.Ns _ SERTIFIKAT BerAKHLAK</v>
      </c>
      <c r="P6436" s="5" t="s">
        <v>41638</v>
      </c>
    </row>
    <row r="6437">
      <c r="A6437" s="4">
        <v>45534.36951640046</v>
      </c>
      <c r="B6437" s="5" t="s">
        <v>34</v>
      </c>
      <c r="D6437" s="5" t="s">
        <v>1206</v>
      </c>
      <c r="E6437" s="5" t="s">
        <v>41639</v>
      </c>
      <c r="F6437" s="5" t="s">
        <v>41640</v>
      </c>
      <c r="G6437" s="5" t="s">
        <v>41641</v>
      </c>
      <c r="H6437" s="6" t="s">
        <v>41642</v>
      </c>
      <c r="K6437" s="5" t="s">
        <v>41609</v>
      </c>
      <c r="M6437" s="5" t="s">
        <v>41643</v>
      </c>
      <c r="N6437" s="7" t="s">
        <v>41644</v>
      </c>
      <c r="O6437" s="8" t="str">
        <f>HYPERLINK("https://drive.google.com/file/d/1Zweb7POekzQROjINaTz7dTmwYZEVSgYj/view?usp=drivesdk","6436_HARMINI _ SERTIFIKAT BerAKHLAK")</f>
        <v>6436_HARMINI _ SERTIFIKAT BerAKHLAK</v>
      </c>
      <c r="P6437" s="5" t="s">
        <v>41645</v>
      </c>
    </row>
    <row r="6438">
      <c r="A6438" s="4">
        <v>45534.369518506945</v>
      </c>
      <c r="B6438" s="5" t="s">
        <v>34</v>
      </c>
      <c r="D6438" s="5" t="s">
        <v>12978</v>
      </c>
      <c r="E6438" s="5" t="s">
        <v>41646</v>
      </c>
      <c r="F6438" s="5" t="s">
        <v>375</v>
      </c>
      <c r="G6438" s="5" t="s">
        <v>41647</v>
      </c>
      <c r="H6438" s="6" t="s">
        <v>41648</v>
      </c>
      <c r="K6438" s="5" t="s">
        <v>41609</v>
      </c>
      <c r="M6438" s="5" t="s">
        <v>41649</v>
      </c>
      <c r="N6438" s="7" t="s">
        <v>41650</v>
      </c>
      <c r="O6438" s="8" t="str">
        <f>HYPERLINK("https://drive.google.com/file/d/17AitsHsvbB3aTOB15kySWtZmBMNz9Eeo/view?usp=drivesdk","6437_TRI YANTI, S.H. _ SERTIFIKAT BerAKHLAK")</f>
        <v>6437_TRI YANTI, S.H. _ SERTIFIKAT BerAKHLAK</v>
      </c>
      <c r="P6438" s="5" t="s">
        <v>41651</v>
      </c>
    </row>
    <row r="6439">
      <c r="A6439" s="4">
        <v>45534.36951984954</v>
      </c>
      <c r="B6439" s="5" t="s">
        <v>34</v>
      </c>
      <c r="D6439" s="5" t="s">
        <v>1206</v>
      </c>
      <c r="E6439" s="5" t="s">
        <v>41652</v>
      </c>
      <c r="F6439" s="5" t="s">
        <v>108</v>
      </c>
      <c r="G6439" s="5" t="s">
        <v>41653</v>
      </c>
      <c r="H6439" s="6" t="s">
        <v>41654</v>
      </c>
      <c r="K6439" s="5" t="s">
        <v>41609</v>
      </c>
      <c r="M6439" s="5" t="s">
        <v>41655</v>
      </c>
      <c r="N6439" s="7" t="s">
        <v>41656</v>
      </c>
      <c r="O6439" s="8" t="str">
        <f>HYPERLINK("https://drive.google.com/file/d/1YpD85gNqz2flNl4HuRadUHKt6GVb4w3G/view?usp=drivesdk","6438_YOSEPH TRI PUJIWAHYONO, S.Kep.Ns _ SERTIFIKAT BerAKHLAK")</f>
        <v>6438_YOSEPH TRI PUJIWAHYONO, S.Kep.Ns _ SERTIFIKAT BerAKHLAK</v>
      </c>
      <c r="P6439" s="5" t="s">
        <v>41651</v>
      </c>
    </row>
    <row r="6440">
      <c r="A6440" s="4">
        <v>45534.36952479166</v>
      </c>
      <c r="B6440" s="5" t="s">
        <v>34</v>
      </c>
      <c r="D6440" s="5" t="s">
        <v>14424</v>
      </c>
      <c r="E6440" s="7" t="s">
        <v>41657</v>
      </c>
      <c r="F6440" s="5" t="s">
        <v>524</v>
      </c>
      <c r="G6440" s="5" t="s">
        <v>41658</v>
      </c>
      <c r="H6440" s="6" t="s">
        <v>41659</v>
      </c>
      <c r="K6440" s="5" t="s">
        <v>41660</v>
      </c>
      <c r="M6440" s="5" t="s">
        <v>41661</v>
      </c>
      <c r="N6440" s="7" t="s">
        <v>41662</v>
      </c>
      <c r="O6440" s="8" t="str">
        <f>HYPERLINK("https://drive.google.com/file/d/18WbEnJrP4UuBrXhc81uDXhGdZB51gcyt/view?usp=drivesdk","6439_ZULMANIAR.SM _ SERTIFIKAT BerAKHLAK")</f>
        <v>6439_ZULMANIAR.SM _ SERTIFIKAT BerAKHLAK</v>
      </c>
      <c r="P6440" s="5" t="s">
        <v>41651</v>
      </c>
    </row>
    <row r="6441">
      <c r="A6441" s="4">
        <v>45534.36952608796</v>
      </c>
      <c r="B6441" s="5" t="s">
        <v>34</v>
      </c>
      <c r="D6441" s="5" t="s">
        <v>7858</v>
      </c>
      <c r="E6441" s="5" t="s">
        <v>41663</v>
      </c>
      <c r="F6441" s="5" t="s">
        <v>524</v>
      </c>
      <c r="G6441" s="5" t="s">
        <v>41664</v>
      </c>
      <c r="H6441" s="6" t="s">
        <v>41665</v>
      </c>
      <c r="K6441" s="5" t="s">
        <v>41660</v>
      </c>
      <c r="M6441" s="5" t="s">
        <v>41666</v>
      </c>
      <c r="N6441" s="7" t="s">
        <v>41667</v>
      </c>
      <c r="O6441" s="8" t="str">
        <f>HYPERLINK("https://drive.google.com/file/d/1llckqj8nmhZe5YDmJ6ajb8dQbXTl0X5X/view?usp=drivesdk","6440_ASEP HIDAYAT _ SERTIFIKAT BerAKHLAK")</f>
        <v>6440_ASEP HIDAYAT _ SERTIFIKAT BerAKHLAK</v>
      </c>
      <c r="P6441" s="5" t="s">
        <v>41668</v>
      </c>
    </row>
    <row r="6442">
      <c r="A6442" s="4">
        <v>45534.3695280324</v>
      </c>
      <c r="B6442" s="5" t="s">
        <v>34</v>
      </c>
      <c r="D6442" s="5" t="s">
        <v>10444</v>
      </c>
      <c r="E6442" s="5" t="s">
        <v>41669</v>
      </c>
      <c r="F6442" s="5" t="s">
        <v>524</v>
      </c>
      <c r="G6442" s="5" t="s">
        <v>41670</v>
      </c>
      <c r="H6442" s="6" t="s">
        <v>41671</v>
      </c>
      <c r="K6442" s="5" t="s">
        <v>41660</v>
      </c>
      <c r="M6442" s="5" t="s">
        <v>41672</v>
      </c>
      <c r="N6442" s="7" t="s">
        <v>41673</v>
      </c>
      <c r="O6442" s="8" t="str">
        <f>HYPERLINK("https://drive.google.com/file/d/18mTslgEUKK4sLEjCUBXoc2xZetiUvgUm/view?usp=drivesdk","6441_INDRYANA RAHMADANI _ SERTIFIKAT BerAKHLAK")</f>
        <v>6441_INDRYANA RAHMADANI _ SERTIFIKAT BerAKHLAK</v>
      </c>
      <c r="P6442" s="5" t="s">
        <v>41668</v>
      </c>
    </row>
    <row r="6443">
      <c r="A6443" s="4">
        <v>45534.36956438658</v>
      </c>
      <c r="B6443" s="5" t="s">
        <v>34</v>
      </c>
      <c r="D6443" s="5" t="s">
        <v>1206</v>
      </c>
      <c r="E6443" s="5" t="s">
        <v>41674</v>
      </c>
      <c r="F6443" s="5" t="s">
        <v>37</v>
      </c>
      <c r="G6443" s="5" t="s">
        <v>41675</v>
      </c>
      <c r="H6443" s="6" t="s">
        <v>41676</v>
      </c>
      <c r="K6443" s="5" t="s">
        <v>41677</v>
      </c>
      <c r="M6443" s="5" t="s">
        <v>41678</v>
      </c>
      <c r="N6443" s="7" t="s">
        <v>41679</v>
      </c>
      <c r="O6443" s="8" t="str">
        <f>HYPERLINK("https://drive.google.com/file/d/1hRPZKMGxzDFqXvSan2UVZ4L9-BLMgFf4/view?usp=drivesdk","6442_MUJi indayani, S. AP _ SERTIFIKAT BerAKHLAK")</f>
        <v>6442_MUJi indayani, S. AP _ SERTIFIKAT BerAKHLAK</v>
      </c>
      <c r="P6443" s="5" t="s">
        <v>41668</v>
      </c>
    </row>
    <row r="6444">
      <c r="A6444" s="4">
        <v>45534.369566354166</v>
      </c>
      <c r="B6444" s="5" t="s">
        <v>34</v>
      </c>
      <c r="D6444" s="5" t="s">
        <v>12978</v>
      </c>
      <c r="E6444" s="5" t="s">
        <v>41680</v>
      </c>
      <c r="F6444" s="5" t="s">
        <v>72</v>
      </c>
      <c r="G6444" s="5" t="s">
        <v>41681</v>
      </c>
      <c r="H6444" s="6" t="s">
        <v>41682</v>
      </c>
      <c r="K6444" s="5" t="s">
        <v>41677</v>
      </c>
      <c r="M6444" s="5" t="s">
        <v>41683</v>
      </c>
      <c r="N6444" s="7" t="s">
        <v>41684</v>
      </c>
      <c r="O6444" s="8" t="str">
        <f>HYPERLINK("https://drive.google.com/file/d/1lsctiEQjuu64-DvPRz0AAqy4WHK8ymHN/view?usp=drivesdk","6443_ALPI MUHARAM, S.E. _ SERTIFIKAT BerAKHLAK")</f>
        <v>6443_ALPI MUHARAM, S.E. _ SERTIFIKAT BerAKHLAK</v>
      </c>
      <c r="P6444" s="5" t="s">
        <v>41668</v>
      </c>
    </row>
    <row r="6445">
      <c r="A6445" s="4">
        <v>45534.36956944445</v>
      </c>
      <c r="B6445" s="5" t="s">
        <v>34</v>
      </c>
      <c r="D6445" s="5" t="s">
        <v>9394</v>
      </c>
      <c r="E6445" s="5" t="s">
        <v>41685</v>
      </c>
      <c r="F6445" s="5" t="s">
        <v>524</v>
      </c>
      <c r="G6445" s="5" t="s">
        <v>41686</v>
      </c>
      <c r="H6445" s="6" t="s">
        <v>41687</v>
      </c>
      <c r="K6445" s="5" t="s">
        <v>41677</v>
      </c>
      <c r="M6445" s="5" t="s">
        <v>41688</v>
      </c>
      <c r="N6445" s="7" t="s">
        <v>41689</v>
      </c>
      <c r="O6445" s="8" t="str">
        <f>HYPERLINK("https://drive.google.com/file/d/1aOL1aRcQ9-3ODPnO6apXTjK7auZiIsTe/view?usp=drivesdk","6444_Ns. H. JAMHUR, S.Kep _ SERTIFIKAT BerAKHLAK")</f>
        <v>6444_Ns. H. JAMHUR, S.Kep _ SERTIFIKAT BerAKHLAK</v>
      </c>
      <c r="P6445" s="5" t="s">
        <v>41690</v>
      </c>
    </row>
    <row r="6446">
      <c r="A6446" s="4">
        <v>45534.369592233794</v>
      </c>
      <c r="B6446" s="5" t="s">
        <v>34</v>
      </c>
      <c r="D6446" s="5" t="s">
        <v>996</v>
      </c>
      <c r="E6446" s="5" t="s">
        <v>41691</v>
      </c>
      <c r="F6446" s="5" t="s">
        <v>212</v>
      </c>
      <c r="G6446" s="5" t="s">
        <v>41692</v>
      </c>
      <c r="H6446" s="6" t="s">
        <v>41693</v>
      </c>
      <c r="K6446" s="5" t="s">
        <v>41677</v>
      </c>
      <c r="M6446" s="5" t="s">
        <v>41694</v>
      </c>
      <c r="N6446" s="7" t="s">
        <v>41695</v>
      </c>
      <c r="O6446" s="8" t="str">
        <f>HYPERLINK("https://drive.google.com/file/d/1yeNrjlN6IpHf1lkkUESdqnva-JUE1xRv/view?usp=drivesdk","6445_ADI HIDAYAT _ SERTIFIKAT BerAKHLAK")</f>
        <v>6445_ADI HIDAYAT _ SERTIFIKAT BerAKHLAK</v>
      </c>
      <c r="P6446" s="5" t="s">
        <v>41690</v>
      </c>
    </row>
    <row r="6447">
      <c r="A6447" s="4">
        <v>45534.36959333334</v>
      </c>
      <c r="B6447" s="5" t="s">
        <v>34</v>
      </c>
      <c r="D6447" s="5" t="s">
        <v>1558</v>
      </c>
      <c r="E6447" s="5" t="s">
        <v>41696</v>
      </c>
      <c r="F6447" s="5" t="s">
        <v>120</v>
      </c>
      <c r="G6447" s="5" t="s">
        <v>41697</v>
      </c>
      <c r="H6447" s="6" t="s">
        <v>41698</v>
      </c>
      <c r="K6447" s="5" t="s">
        <v>41677</v>
      </c>
      <c r="M6447" s="5" t="s">
        <v>41699</v>
      </c>
      <c r="N6447" s="7" t="s">
        <v>41700</v>
      </c>
      <c r="O6447" s="8" t="str">
        <f>HYPERLINK("https://drive.google.com/file/d/17HZzSwvK0eC0Tt4HtEhR7cMs_B25u43g/view?usp=drivesdk","6446_dr.Frinda Theresia Barus, MARS _ SERTIFIKAT BerAKHLAK")</f>
        <v>6446_dr.Frinda Theresia Barus, MARS _ SERTIFIKAT BerAKHLAK</v>
      </c>
      <c r="P6447" s="5" t="s">
        <v>41690</v>
      </c>
    </row>
    <row r="6448">
      <c r="A6448" s="4">
        <v>45534.369609444446</v>
      </c>
      <c r="B6448" s="5" t="s">
        <v>34</v>
      </c>
      <c r="D6448" s="5" t="s">
        <v>9020</v>
      </c>
      <c r="E6448" s="5" t="s">
        <v>41701</v>
      </c>
      <c r="F6448" s="5" t="s">
        <v>212</v>
      </c>
      <c r="G6448" s="5" t="s">
        <v>41702</v>
      </c>
      <c r="H6448" s="6" t="s">
        <v>41703</v>
      </c>
      <c r="I6448" s="7" t="s">
        <v>41704</v>
      </c>
      <c r="J6448" s="8" t="str">
        <f>HYPERLINK("https://drive.google.com/file/d/1kz1w0iFmDB4kjmH_xNCM13I1cTovJO8S/view?usp=drivesdk","ELIANA SERTIFIKAT BerAKHLAK")</f>
        <v>ELIANA SERTIFIKAT BerAKHLAK</v>
      </c>
      <c r="K6448" s="5" t="s">
        <v>41705</v>
      </c>
      <c r="L6448" s="5" t="s">
        <v>41706</v>
      </c>
      <c r="M6448" s="5" t="s">
        <v>41707</v>
      </c>
      <c r="N6448" s="7" t="s">
        <v>41708</v>
      </c>
      <c r="O6448" s="8" t="str">
        <f>HYPERLINK("https://drive.google.com/file/d/1SgHUKBNl5luUylPYC07LmLjnnl_lhX94/view?usp=drivesdk","6447_ELIANA _ SERTIFIKAT BerAKHLAK")</f>
        <v>6447_ELIANA _ SERTIFIKAT BerAKHLAK</v>
      </c>
      <c r="P6448" s="5" t="s">
        <v>41709</v>
      </c>
    </row>
    <row r="6449">
      <c r="A6449" s="4">
        <v>45534.36962065972</v>
      </c>
      <c r="B6449" s="5" t="s">
        <v>34</v>
      </c>
      <c r="D6449" s="5" t="s">
        <v>1206</v>
      </c>
      <c r="E6449" s="5" t="s">
        <v>41710</v>
      </c>
      <c r="F6449" s="5" t="s">
        <v>37</v>
      </c>
      <c r="G6449" s="5" t="s">
        <v>41711</v>
      </c>
      <c r="H6449" s="6" t="s">
        <v>41712</v>
      </c>
      <c r="K6449" s="5" t="s">
        <v>41713</v>
      </c>
      <c r="M6449" s="5" t="s">
        <v>41714</v>
      </c>
      <c r="N6449" s="7" t="s">
        <v>41715</v>
      </c>
      <c r="O6449" s="8" t="str">
        <f>HYPERLINK("https://drive.google.com/file/d/1RT6go4vrnS6Fp1X-8x-rK_kNhtyQuDNl/view?usp=drivesdk","6448_NOOR RIDWAN _ SERTIFIKAT BerAKHLAK")</f>
        <v>6448_NOOR RIDWAN _ SERTIFIKAT BerAKHLAK</v>
      </c>
      <c r="P6449" s="5" t="s">
        <v>41709</v>
      </c>
    </row>
    <row r="6450">
      <c r="A6450" s="4">
        <v>45534.36962424769</v>
      </c>
      <c r="B6450" s="5" t="s">
        <v>34</v>
      </c>
      <c r="D6450" s="5" t="s">
        <v>4775</v>
      </c>
      <c r="E6450" s="5" t="s">
        <v>41716</v>
      </c>
      <c r="F6450" s="5" t="s">
        <v>375</v>
      </c>
      <c r="G6450" s="5" t="s">
        <v>41717</v>
      </c>
      <c r="H6450" s="6" t="s">
        <v>41718</v>
      </c>
      <c r="K6450" s="5" t="s">
        <v>41713</v>
      </c>
      <c r="M6450" s="5" t="s">
        <v>41719</v>
      </c>
      <c r="N6450" s="7" t="s">
        <v>41720</v>
      </c>
      <c r="O6450" s="8" t="str">
        <f>HYPERLINK("https://drive.google.com/file/d/1QAeiPMGIBv45hpz4pAan-5gDP-Ci7USe/view?usp=drivesdk","6449_FERIYANINGSIH, S.E. _ SERTIFIKAT BerAKHLAK")</f>
        <v>6449_FERIYANINGSIH, S.E. _ SERTIFIKAT BerAKHLAK</v>
      </c>
      <c r="P6450" s="5" t="s">
        <v>41709</v>
      </c>
    </row>
    <row r="6451">
      <c r="A6451" s="4">
        <v>45534.36963103009</v>
      </c>
      <c r="B6451" s="5" t="s">
        <v>34</v>
      </c>
      <c r="D6451" s="5" t="s">
        <v>10444</v>
      </c>
      <c r="E6451" s="5" t="s">
        <v>41721</v>
      </c>
      <c r="F6451" s="5" t="s">
        <v>108</v>
      </c>
      <c r="G6451" s="5" t="s">
        <v>41722</v>
      </c>
      <c r="H6451" s="6" t="s">
        <v>41723</v>
      </c>
      <c r="K6451" s="5" t="s">
        <v>41713</v>
      </c>
      <c r="M6451" s="5" t="s">
        <v>41724</v>
      </c>
      <c r="N6451" s="7" t="s">
        <v>41725</v>
      </c>
      <c r="O6451" s="8" t="str">
        <f>HYPERLINK("https://drive.google.com/file/d/1MwIdENHSaozby8XXizorpYncLZp9bQOG/view?usp=drivesdk","6450_YAYAH HOLIYAH _ SERTIFIKAT BerAKHLAK")</f>
        <v>6450_YAYAH HOLIYAH _ SERTIFIKAT BerAKHLAK</v>
      </c>
      <c r="P6451" s="5" t="s">
        <v>41726</v>
      </c>
    </row>
    <row r="6452">
      <c r="A6452" s="4">
        <v>45534.36964133102</v>
      </c>
      <c r="B6452" s="5" t="s">
        <v>34</v>
      </c>
      <c r="D6452" s="5" t="s">
        <v>267</v>
      </c>
      <c r="E6452" s="5" t="s">
        <v>41727</v>
      </c>
      <c r="F6452" s="5" t="s">
        <v>108</v>
      </c>
      <c r="G6452" s="5" t="s">
        <v>41728</v>
      </c>
      <c r="H6452" s="6" t="s">
        <v>41729</v>
      </c>
      <c r="K6452" s="5" t="s">
        <v>41730</v>
      </c>
      <c r="M6452" s="5" t="s">
        <v>41731</v>
      </c>
      <c r="N6452" s="7" t="s">
        <v>41732</v>
      </c>
      <c r="O6452" s="8" t="str">
        <f>HYPERLINK("https://drive.google.com/file/d/1P25j0RqpzMep7gKerPldLBdjI1aE_h05/view?usp=drivesdk","6451_DAROHMAN _ SERTIFIKAT BerAKHLAK")</f>
        <v>6451_DAROHMAN _ SERTIFIKAT BerAKHLAK</v>
      </c>
      <c r="P6452" s="5" t="s">
        <v>41726</v>
      </c>
    </row>
    <row r="6453">
      <c r="A6453" s="4">
        <v>45534.36966662037</v>
      </c>
      <c r="B6453" s="5" t="s">
        <v>34</v>
      </c>
      <c r="D6453" s="5" t="s">
        <v>14313</v>
      </c>
      <c r="E6453" s="5" t="s">
        <v>41733</v>
      </c>
      <c r="F6453" s="5" t="s">
        <v>212</v>
      </c>
      <c r="G6453" s="5" t="s">
        <v>41734</v>
      </c>
      <c r="H6453" s="6" t="s">
        <v>41735</v>
      </c>
      <c r="K6453" s="5" t="s">
        <v>41730</v>
      </c>
      <c r="M6453" s="5" t="s">
        <v>41736</v>
      </c>
      <c r="N6453" s="7" t="s">
        <v>41737</v>
      </c>
      <c r="O6453" s="8" t="str">
        <f>HYPERLINK("https://drive.google.com/file/d/1O-QkBWt_uf5FcgZXEy0VM6-CAnxf4BZz/view?usp=drivesdk","6452_WAHIDAH _ SERTIFIKAT BerAKHLAK")</f>
        <v>6452_WAHIDAH _ SERTIFIKAT BerAKHLAK</v>
      </c>
      <c r="P6453" s="5" t="s">
        <v>41726</v>
      </c>
    </row>
    <row r="6454">
      <c r="A6454" s="4">
        <v>45534.36966672454</v>
      </c>
      <c r="B6454" s="5" t="s">
        <v>34</v>
      </c>
      <c r="D6454" s="5" t="s">
        <v>6232</v>
      </c>
      <c r="E6454" s="5" t="s">
        <v>41738</v>
      </c>
      <c r="F6454" s="5" t="s">
        <v>524</v>
      </c>
      <c r="G6454" s="5" t="s">
        <v>41739</v>
      </c>
      <c r="H6454" s="6" t="s">
        <v>41740</v>
      </c>
      <c r="K6454" s="5" t="s">
        <v>41730</v>
      </c>
      <c r="M6454" s="5" t="s">
        <v>41741</v>
      </c>
      <c r="N6454" s="7" t="s">
        <v>41742</v>
      </c>
      <c r="O6454" s="8" t="str">
        <f>HYPERLINK("https://drive.google.com/file/d/15oEdNoCqZkEtHKNBjg6MWmO5JNyTod74/view?usp=drivesdk","6453_LILIS PANJAITAN _ SERTIFIKAT BerAKHLAK")</f>
        <v>6453_LILIS PANJAITAN _ SERTIFIKAT BerAKHLAK</v>
      </c>
      <c r="P6454" s="5" t="s">
        <v>41726</v>
      </c>
    </row>
    <row r="6455">
      <c r="A6455" s="4">
        <v>45534.36970072916</v>
      </c>
      <c r="B6455" s="5" t="s">
        <v>34</v>
      </c>
      <c r="D6455" s="5" t="s">
        <v>4775</v>
      </c>
      <c r="E6455" s="5" t="s">
        <v>41743</v>
      </c>
      <c r="F6455" s="5" t="s">
        <v>212</v>
      </c>
      <c r="G6455" s="5" t="s">
        <v>41744</v>
      </c>
      <c r="H6455" s="6" t="s">
        <v>41745</v>
      </c>
      <c r="K6455" s="5" t="s">
        <v>41746</v>
      </c>
      <c r="M6455" s="5" t="s">
        <v>41747</v>
      </c>
      <c r="N6455" s="7" t="s">
        <v>41748</v>
      </c>
      <c r="O6455" s="8" t="str">
        <f>HYPERLINK("https://drive.google.com/file/d/1BCUoPVg6b1Vn4pZ32R_mJLeGzocJTGSa/view?usp=drivesdk","6454_RETNO YUSILOWATI _ SERTIFIKAT BerAKHLAK")</f>
        <v>6454_RETNO YUSILOWATI _ SERTIFIKAT BerAKHLAK</v>
      </c>
      <c r="P6455" s="5" t="s">
        <v>41749</v>
      </c>
    </row>
    <row r="6456">
      <c r="A6456" s="4">
        <v>45534.36971684028</v>
      </c>
      <c r="B6456" s="5" t="s">
        <v>34</v>
      </c>
      <c r="D6456" s="5" t="s">
        <v>4775</v>
      </c>
      <c r="E6456" s="5" t="s">
        <v>41750</v>
      </c>
      <c r="F6456" s="5" t="s">
        <v>375</v>
      </c>
      <c r="G6456" s="5" t="s">
        <v>41751</v>
      </c>
      <c r="H6456" s="6" t="s">
        <v>41752</v>
      </c>
      <c r="K6456" s="5" t="s">
        <v>41746</v>
      </c>
      <c r="M6456" s="5" t="s">
        <v>41753</v>
      </c>
      <c r="N6456" s="7" t="s">
        <v>41754</v>
      </c>
      <c r="O6456" s="8" t="str">
        <f>HYPERLINK("https://drive.google.com/file/d/10SJqvzODDQDEiSaBRBnHY2NvjHKVdO3N/view?usp=drivesdk","6455_AGUS SETIAWAN, S.E. _ SERTIFIKAT BerAKHLAK")</f>
        <v>6455_AGUS SETIAWAN, S.E. _ SERTIFIKAT BerAKHLAK</v>
      </c>
      <c r="P6456" s="5" t="s">
        <v>41749</v>
      </c>
    </row>
    <row r="6457">
      <c r="A6457" s="4">
        <v>45534.36972086805</v>
      </c>
      <c r="B6457" s="5" t="s">
        <v>34</v>
      </c>
      <c r="D6457" s="5" t="s">
        <v>4775</v>
      </c>
      <c r="E6457" s="5" t="s">
        <v>41755</v>
      </c>
      <c r="F6457" s="5" t="s">
        <v>212</v>
      </c>
      <c r="G6457" s="5" t="s">
        <v>41756</v>
      </c>
      <c r="H6457" s="6" t="s">
        <v>41757</v>
      </c>
      <c r="I6457" s="7" t="s">
        <v>41758</v>
      </c>
      <c r="J6457" s="8" t="str">
        <f>HYPERLINK("https://drive.google.com/file/d/1Nzv0szgp4gO8PylZdNaC3QaZ0ggWPxGT/view?usp=drivesdk","JEHEZKIEL DWINANTO KANA SERTIFIKAT BerAKHLAK")</f>
        <v>JEHEZKIEL DWINANTO KANA SERTIFIKAT BerAKHLAK</v>
      </c>
      <c r="K6457" s="5" t="s">
        <v>41705</v>
      </c>
      <c r="L6457" s="5" t="s">
        <v>41759</v>
      </c>
      <c r="M6457" s="5" t="s">
        <v>41760</v>
      </c>
      <c r="N6457" s="7" t="s">
        <v>41761</v>
      </c>
      <c r="O6457" s="8" t="str">
        <f>HYPERLINK("https://drive.google.com/file/d/1WNc_Jb89Re15g2ZjrQiXPe3dNaOPziiw/view?usp=drivesdk","6456_JEHEZKIEL DWINANTO KANA _ SERTIFIKAT BerAKHLAK")</f>
        <v>6456_JEHEZKIEL DWINANTO KANA _ SERTIFIKAT BerAKHLAK</v>
      </c>
      <c r="P6457" s="5" t="s">
        <v>41749</v>
      </c>
    </row>
    <row r="6458">
      <c r="A6458" s="4">
        <v>45534.369727048615</v>
      </c>
      <c r="B6458" s="5" t="s">
        <v>34</v>
      </c>
      <c r="D6458" s="5" t="s">
        <v>1206</v>
      </c>
      <c r="E6458" s="5" t="s">
        <v>41762</v>
      </c>
      <c r="F6458" s="5" t="s">
        <v>375</v>
      </c>
      <c r="G6458" s="5" t="s">
        <v>41763</v>
      </c>
      <c r="H6458" s="6" t="s">
        <v>41764</v>
      </c>
      <c r="K6458" s="5" t="s">
        <v>41765</v>
      </c>
      <c r="M6458" s="5" t="s">
        <v>41766</v>
      </c>
      <c r="N6458" s="7" t="s">
        <v>41767</v>
      </c>
      <c r="O6458" s="8" t="str">
        <f>HYPERLINK("https://drive.google.com/file/d/1dPSE62ditPRjdjDFqSh7Z5pSwNirW9WO/view?usp=drivesdk","6457_DRA.ANIEK HARIYATI _ SERTIFIKAT BerAKHLAK")</f>
        <v>6457_DRA.ANIEK HARIYATI _ SERTIFIKAT BerAKHLAK</v>
      </c>
      <c r="P6458" s="5" t="s">
        <v>41749</v>
      </c>
    </row>
    <row r="6459">
      <c r="A6459" s="4">
        <v>45534.36973667824</v>
      </c>
      <c r="B6459" s="5" t="s">
        <v>34</v>
      </c>
      <c r="D6459" s="5" t="s">
        <v>9020</v>
      </c>
      <c r="E6459" s="5" t="s">
        <v>41768</v>
      </c>
      <c r="F6459" s="5" t="s">
        <v>212</v>
      </c>
      <c r="G6459" s="5" t="s">
        <v>41769</v>
      </c>
      <c r="H6459" s="6" t="s">
        <v>41770</v>
      </c>
      <c r="K6459" s="5" t="s">
        <v>41765</v>
      </c>
      <c r="M6459" s="5" t="s">
        <v>41771</v>
      </c>
      <c r="N6459" s="7" t="s">
        <v>41772</v>
      </c>
      <c r="O6459" s="8" t="str">
        <f>HYPERLINK("https://drive.google.com/file/d/1fESzFf0sueCCTdXxptfPeIixpd1vjsE0/view?usp=drivesdk","6458_EDI SAMSURIAL SARAGIH _ SERTIFIKAT BerAKHLAK")</f>
        <v>6458_EDI SAMSURIAL SARAGIH _ SERTIFIKAT BerAKHLAK</v>
      </c>
      <c r="P6459" s="5" t="s">
        <v>41749</v>
      </c>
    </row>
    <row r="6460">
      <c r="A6460" s="4">
        <v>45534.36975002315</v>
      </c>
      <c r="B6460" s="5" t="s">
        <v>34</v>
      </c>
      <c r="D6460" s="5" t="s">
        <v>12010</v>
      </c>
      <c r="E6460" s="5" t="s">
        <v>41773</v>
      </c>
      <c r="F6460" s="5" t="s">
        <v>524</v>
      </c>
      <c r="G6460" s="5" t="s">
        <v>41774</v>
      </c>
      <c r="H6460" s="6" t="s">
        <v>41775</v>
      </c>
      <c r="K6460" s="5" t="s">
        <v>41765</v>
      </c>
      <c r="M6460" s="5" t="s">
        <v>41776</v>
      </c>
      <c r="N6460" s="7" t="s">
        <v>41777</v>
      </c>
      <c r="O6460" s="8" t="str">
        <f>HYPERLINK("https://drive.google.com/file/d/1dViRanV44_dnNW1ygJCFl04HTn7DKWxr/view?usp=drivesdk","6459_RAHMATIA INDAH SANGO, S. KEP _ SERTIFIKAT BerAKHLAK")</f>
        <v>6459_RAHMATIA INDAH SANGO, S. KEP _ SERTIFIKAT BerAKHLAK</v>
      </c>
      <c r="P6460" s="5" t="s">
        <v>41778</v>
      </c>
    </row>
    <row r="6461">
      <c r="A6461" s="4">
        <v>45534.369753935185</v>
      </c>
      <c r="B6461" s="5" t="s">
        <v>34</v>
      </c>
      <c r="D6461" s="5" t="s">
        <v>1456</v>
      </c>
      <c r="E6461" s="5" t="s">
        <v>41779</v>
      </c>
      <c r="F6461" s="5" t="s">
        <v>37</v>
      </c>
      <c r="G6461" s="5" t="s">
        <v>41780</v>
      </c>
      <c r="H6461" s="6" t="s">
        <v>41781</v>
      </c>
      <c r="K6461" s="5" t="s">
        <v>41782</v>
      </c>
      <c r="M6461" s="5" t="s">
        <v>41783</v>
      </c>
      <c r="N6461" s="7" t="s">
        <v>41784</v>
      </c>
      <c r="O6461" s="8" t="str">
        <f>HYPERLINK("https://drive.google.com/file/d/1nZ5c3WaJnhazehIoeJemGYtCRHiwzbFw/view?usp=drivesdk","6460_SUGIYONO, S.A.P. _ SERTIFIKAT BerAKHLAK")</f>
        <v>6460_SUGIYONO, S.A.P. _ SERTIFIKAT BerAKHLAK</v>
      </c>
      <c r="P6461" s="5" t="s">
        <v>41785</v>
      </c>
    </row>
    <row r="6462">
      <c r="A6462" s="4">
        <v>45534.36976046296</v>
      </c>
      <c r="B6462" s="5" t="s">
        <v>34</v>
      </c>
      <c r="D6462" s="5" t="s">
        <v>4775</v>
      </c>
      <c r="E6462" s="5" t="s">
        <v>41786</v>
      </c>
      <c r="F6462" s="5" t="s">
        <v>212</v>
      </c>
      <c r="G6462" s="5" t="s">
        <v>41787</v>
      </c>
      <c r="H6462" s="6" t="s">
        <v>41788</v>
      </c>
      <c r="K6462" s="5" t="s">
        <v>41782</v>
      </c>
      <c r="M6462" s="5" t="s">
        <v>41789</v>
      </c>
      <c r="N6462" s="7" t="s">
        <v>41790</v>
      </c>
      <c r="O6462" s="8" t="str">
        <f>HYPERLINK("https://drive.google.com/file/d/1NeDuQd9Tx-QqMs6wUGUCvqT2IDa6ZNtT/view?usp=drivesdk","6461_RUSMININGSIH _ SERTIFIKAT BerAKHLAK")</f>
        <v>6461_RUSMININGSIH _ SERTIFIKAT BerAKHLAK</v>
      </c>
      <c r="P6462" s="5" t="s">
        <v>41785</v>
      </c>
    </row>
    <row r="6463">
      <c r="A6463" s="4">
        <v>45534.369778912034</v>
      </c>
      <c r="B6463" s="5" t="s">
        <v>34</v>
      </c>
      <c r="D6463" s="5" t="s">
        <v>1456</v>
      </c>
      <c r="E6463" s="5" t="s">
        <v>41791</v>
      </c>
      <c r="F6463" s="5" t="s">
        <v>212</v>
      </c>
      <c r="G6463" s="5" t="s">
        <v>41792</v>
      </c>
      <c r="H6463" s="6" t="s">
        <v>41793</v>
      </c>
      <c r="K6463" s="5" t="s">
        <v>41794</v>
      </c>
      <c r="M6463" s="5" t="s">
        <v>41795</v>
      </c>
      <c r="N6463" s="7" t="s">
        <v>41796</v>
      </c>
      <c r="O6463" s="8" t="str">
        <f>HYPERLINK("https://drive.google.com/file/d/1IVkbsF6yhfbSc01rRj4tOBEpfPTUse0P/view?usp=drivesdk","6462_KURNIAWAN _ SERTIFIKAT BerAKHLAK")</f>
        <v>6462_KURNIAWAN _ SERTIFIKAT BerAKHLAK</v>
      </c>
      <c r="P6463" s="5" t="s">
        <v>41785</v>
      </c>
    </row>
    <row r="6464">
      <c r="A6464" s="4">
        <v>45534.36982910879</v>
      </c>
      <c r="B6464" s="5" t="s">
        <v>34</v>
      </c>
      <c r="D6464" s="5" t="s">
        <v>14424</v>
      </c>
      <c r="E6464" s="5" t="s">
        <v>41797</v>
      </c>
      <c r="F6464" s="5" t="s">
        <v>37</v>
      </c>
      <c r="G6464" s="5" t="s">
        <v>41798</v>
      </c>
      <c r="H6464" s="6" t="s">
        <v>41799</v>
      </c>
      <c r="K6464" s="5" t="s">
        <v>41800</v>
      </c>
      <c r="M6464" s="5" t="s">
        <v>41801</v>
      </c>
      <c r="N6464" s="7" t="s">
        <v>41802</v>
      </c>
      <c r="O6464" s="8" t="str">
        <f>HYPERLINK("https://drive.google.com/file/d/1l3gHJrZnBfwcOL__i9Dwxo6xW5mW77at/view?usp=drivesdk","6463_CUT PUTRI NABILA, A.Md. _ SERTIFIKAT BerAKHLAK")</f>
        <v>6463_CUT PUTRI NABILA, A.Md. _ SERTIFIKAT BerAKHLAK</v>
      </c>
      <c r="P6464" s="5" t="s">
        <v>41785</v>
      </c>
    </row>
    <row r="6465">
      <c r="A6465" s="4">
        <v>45534.369833969904</v>
      </c>
      <c r="B6465" s="5" t="s">
        <v>34</v>
      </c>
      <c r="D6465" s="5" t="s">
        <v>1206</v>
      </c>
      <c r="E6465" s="5" t="s">
        <v>41803</v>
      </c>
      <c r="F6465" s="5" t="s">
        <v>72</v>
      </c>
      <c r="G6465" s="5" t="s">
        <v>41804</v>
      </c>
      <c r="H6465" s="6" t="s">
        <v>41805</v>
      </c>
      <c r="K6465" s="5" t="s">
        <v>41800</v>
      </c>
      <c r="M6465" s="5" t="s">
        <v>41806</v>
      </c>
      <c r="N6465" s="7" t="s">
        <v>41807</v>
      </c>
      <c r="O6465" s="8" t="str">
        <f>HYPERLINK("https://drive.google.com/file/d/1Ke68d6Ovz8PJ4BqfV6lb2hkNeVCqls_i/view?usp=drivesdk","6464_EKO SUSANTO S.Kep.,Ns _ SERTIFIKAT BerAKHLAK")</f>
        <v>6464_EKO SUSANTO S.Kep.,Ns _ SERTIFIKAT BerAKHLAK</v>
      </c>
      <c r="P6465" s="5" t="s">
        <v>41808</v>
      </c>
    </row>
    <row r="6466">
      <c r="A6466" s="4">
        <v>45534.36985319444</v>
      </c>
      <c r="B6466" s="5" t="s">
        <v>34</v>
      </c>
      <c r="D6466" s="5" t="s">
        <v>1206</v>
      </c>
      <c r="E6466" s="5" t="s">
        <v>41809</v>
      </c>
      <c r="F6466" s="5" t="s">
        <v>524</v>
      </c>
      <c r="G6466" s="5" t="s">
        <v>41810</v>
      </c>
      <c r="H6466" s="6" t="s">
        <v>41811</v>
      </c>
      <c r="K6466" s="5" t="s">
        <v>41800</v>
      </c>
      <c r="M6466" s="5" t="s">
        <v>41812</v>
      </c>
      <c r="N6466" s="7" t="s">
        <v>41813</v>
      </c>
      <c r="O6466" s="8" t="str">
        <f>HYPERLINK("https://drive.google.com/file/d/1dknAIaSmQOgXvdRMwiuxGYhZk5XqDDKR/view?usp=drivesdk","6465_EDY SUPRAPTO _ SERTIFIKAT BerAKHLAK")</f>
        <v>6465_EDY SUPRAPTO _ SERTIFIKAT BerAKHLAK</v>
      </c>
      <c r="P6466" s="5" t="s">
        <v>41808</v>
      </c>
    </row>
    <row r="6467">
      <c r="A6467" s="4">
        <v>45534.369863182874</v>
      </c>
      <c r="B6467" s="5" t="s">
        <v>34</v>
      </c>
      <c r="D6467" s="5" t="s">
        <v>1206</v>
      </c>
      <c r="E6467" s="5" t="s">
        <v>33515</v>
      </c>
      <c r="F6467" s="5" t="s">
        <v>108</v>
      </c>
      <c r="G6467" s="5" t="s">
        <v>41814</v>
      </c>
      <c r="H6467" s="6" t="s">
        <v>41815</v>
      </c>
      <c r="K6467" s="5" t="s">
        <v>41816</v>
      </c>
      <c r="M6467" s="5" t="s">
        <v>41817</v>
      </c>
      <c r="N6467" s="7" t="s">
        <v>41818</v>
      </c>
      <c r="O6467" s="8" t="str">
        <f>HYPERLINK("https://drive.google.com/file/d/1Lr5hNq3qC23DPRbNPGu6Lu58n_lFNiN8/view?usp=drivesdk","6466_HARIYADI _ SERTIFIKAT BerAKHLAK")</f>
        <v>6466_HARIYADI _ SERTIFIKAT BerAKHLAK</v>
      </c>
      <c r="P6467" s="5" t="s">
        <v>41808</v>
      </c>
    </row>
    <row r="6468">
      <c r="A6468" s="4">
        <v>45534.3698902662</v>
      </c>
      <c r="B6468" s="5" t="s">
        <v>34</v>
      </c>
      <c r="D6468" s="5" t="s">
        <v>12978</v>
      </c>
      <c r="E6468" s="5" t="s">
        <v>41819</v>
      </c>
      <c r="F6468" s="5" t="s">
        <v>108</v>
      </c>
      <c r="G6468" s="5" t="s">
        <v>41820</v>
      </c>
      <c r="H6468" s="6" t="s">
        <v>41821</v>
      </c>
      <c r="K6468" s="5" t="s">
        <v>41822</v>
      </c>
      <c r="M6468" s="5" t="s">
        <v>41823</v>
      </c>
      <c r="N6468" s="7" t="s">
        <v>41824</v>
      </c>
      <c r="O6468" s="8" t="str">
        <f>HYPERLINK("https://drive.google.com/file/d/1oYh-mi5LtFUNSkilVASr5rfXZEXOJwGw/view?usp=drivesdk","6467_SURIP, SE _ SERTIFIKAT BerAKHLAK")</f>
        <v>6467_SURIP, SE _ SERTIFIKAT BerAKHLAK</v>
      </c>
      <c r="P6468" s="5" t="s">
        <v>41808</v>
      </c>
    </row>
    <row r="6469">
      <c r="A6469" s="4">
        <v>45534.36989515046</v>
      </c>
      <c r="B6469" s="5" t="s">
        <v>34</v>
      </c>
      <c r="D6469" s="5" t="s">
        <v>975</v>
      </c>
      <c r="E6469" s="5" t="s">
        <v>41825</v>
      </c>
      <c r="F6469" s="5" t="s">
        <v>37</v>
      </c>
      <c r="G6469" s="5" t="s">
        <v>41826</v>
      </c>
      <c r="H6469" s="6" t="s">
        <v>41827</v>
      </c>
      <c r="K6469" s="5" t="s">
        <v>41822</v>
      </c>
      <c r="M6469" s="5" t="s">
        <v>41828</v>
      </c>
      <c r="N6469" s="7" t="s">
        <v>41829</v>
      </c>
      <c r="O6469" s="8" t="str">
        <f>HYPERLINK("https://drive.google.com/file/d/1Ynn4MZ-aNZPho9vVQg3Xwar-kOfJkHHT/view?usp=drivesdk","6468_GUN MENDAN, A.Md.Kep. _ SERTIFIKAT BerAKHLAK")</f>
        <v>6468_GUN MENDAN, A.Md.Kep. _ SERTIFIKAT BerAKHLAK</v>
      </c>
      <c r="P6469" s="5" t="s">
        <v>41830</v>
      </c>
    </row>
    <row r="6470">
      <c r="A6470" s="4">
        <v>45534.36991620371</v>
      </c>
      <c r="B6470" s="5" t="s">
        <v>34</v>
      </c>
      <c r="D6470" s="5" t="s">
        <v>522</v>
      </c>
      <c r="E6470" s="5" t="s">
        <v>41831</v>
      </c>
      <c r="F6470" s="5" t="s">
        <v>524</v>
      </c>
      <c r="G6470" s="5" t="s">
        <v>41832</v>
      </c>
      <c r="H6470" s="6" t="s">
        <v>41833</v>
      </c>
      <c r="K6470" s="5" t="s">
        <v>41834</v>
      </c>
      <c r="M6470" s="5" t="s">
        <v>41835</v>
      </c>
      <c r="N6470" s="7" t="s">
        <v>41836</v>
      </c>
      <c r="O6470" s="8" t="str">
        <f>HYPERLINK("https://drive.google.com/file/d/1o9NS9ZgQrpdgcvdroO24COXlBpxt0IoT/view?usp=drivesdk","6469_Siti Hajar Amd.Kep _ SERTIFIKAT BerAKHLAK")</f>
        <v>6469_Siti Hajar Amd.Kep _ SERTIFIKAT BerAKHLAK</v>
      </c>
      <c r="P6470" s="5" t="s">
        <v>41830</v>
      </c>
    </row>
    <row r="6471">
      <c r="A6471" s="4">
        <v>45534.36991699074</v>
      </c>
      <c r="B6471" s="5" t="s">
        <v>34</v>
      </c>
      <c r="D6471" s="5" t="s">
        <v>6232</v>
      </c>
      <c r="E6471" s="5" t="s">
        <v>41837</v>
      </c>
      <c r="F6471" s="5" t="s">
        <v>524</v>
      </c>
      <c r="G6471" s="5" t="s">
        <v>41838</v>
      </c>
      <c r="H6471" s="6" t="s">
        <v>41839</v>
      </c>
      <c r="K6471" s="5" t="s">
        <v>41834</v>
      </c>
      <c r="M6471" s="5" t="s">
        <v>41840</v>
      </c>
      <c r="N6471" s="7" t="s">
        <v>41841</v>
      </c>
      <c r="O6471" s="8" t="str">
        <f>HYPERLINK("https://drive.google.com/file/d/1fDASqMl4KrE6TQbQB7_d00OcW0kNTiM0/view?usp=drivesdk","6470_ERWIN SUSANTI,A.Md.Kes _ SERTIFIKAT BerAKHLAK")</f>
        <v>6470_ERWIN SUSANTI,A.Md.Kes _ SERTIFIKAT BerAKHLAK</v>
      </c>
      <c r="P6471" s="5" t="s">
        <v>41830</v>
      </c>
    </row>
    <row r="6472">
      <c r="A6472" s="4">
        <v>45534.36992020834</v>
      </c>
      <c r="B6472" s="5" t="s">
        <v>34</v>
      </c>
      <c r="D6472" s="5" t="s">
        <v>9394</v>
      </c>
      <c r="E6472" s="5" t="s">
        <v>41842</v>
      </c>
      <c r="F6472" s="5" t="s">
        <v>524</v>
      </c>
      <c r="G6472" s="5" t="s">
        <v>41843</v>
      </c>
      <c r="H6472" s="6" t="s">
        <v>41844</v>
      </c>
      <c r="K6472" s="5" t="s">
        <v>41834</v>
      </c>
      <c r="M6472" s="5" t="s">
        <v>41845</v>
      </c>
      <c r="N6472" s="7" t="s">
        <v>41846</v>
      </c>
      <c r="O6472" s="8" t="str">
        <f>HYPERLINK("https://drive.google.com/file/d/1ipThUL4aq6fx5qKhCsEPKzHVNTVfllpB/view?usp=drivesdk","6471_Sari Mustika Dewi.SKM _ SERTIFIKAT BerAKHLAK")</f>
        <v>6471_Sari Mustika Dewi.SKM _ SERTIFIKAT BerAKHLAK</v>
      </c>
      <c r="P6472" s="5" t="s">
        <v>41830</v>
      </c>
    </row>
    <row r="6473">
      <c r="A6473" s="4">
        <v>45534.3699240162</v>
      </c>
      <c r="B6473" s="5" t="s">
        <v>34</v>
      </c>
      <c r="D6473" s="5" t="s">
        <v>1206</v>
      </c>
      <c r="E6473" s="5" t="s">
        <v>41847</v>
      </c>
      <c r="F6473" s="5" t="s">
        <v>212</v>
      </c>
      <c r="G6473" s="5" t="s">
        <v>41848</v>
      </c>
      <c r="H6473" s="6" t="s">
        <v>41849</v>
      </c>
      <c r="K6473" s="5" t="s">
        <v>41834</v>
      </c>
      <c r="M6473" s="5" t="s">
        <v>41850</v>
      </c>
      <c r="N6473" s="7" t="s">
        <v>41851</v>
      </c>
      <c r="O6473" s="8" t="str">
        <f>HYPERLINK("https://drive.google.com/file/d/1lyIVb88AVtfa4w-wRkZgpdrlkkQhIBou/view?usp=drivesdk","6472_Endah Sri Mumpuni _ SERTIFIKAT BerAKHLAK")</f>
        <v>6472_Endah Sri Mumpuni _ SERTIFIKAT BerAKHLAK</v>
      </c>
      <c r="P6473" s="5" t="s">
        <v>41852</v>
      </c>
    </row>
    <row r="6474">
      <c r="A6474" s="4">
        <v>45534.36992935185</v>
      </c>
      <c r="B6474" s="5" t="s">
        <v>34</v>
      </c>
      <c r="D6474" s="5" t="s">
        <v>9020</v>
      </c>
      <c r="E6474" s="5" t="s">
        <v>41853</v>
      </c>
      <c r="F6474" s="5" t="s">
        <v>375</v>
      </c>
      <c r="G6474" s="5" t="s">
        <v>41854</v>
      </c>
      <c r="H6474" s="6" t="s">
        <v>41855</v>
      </c>
      <c r="K6474" s="5" t="s">
        <v>41834</v>
      </c>
      <c r="M6474" s="5" t="s">
        <v>41856</v>
      </c>
      <c r="N6474" s="7" t="s">
        <v>41857</v>
      </c>
      <c r="O6474" s="8" t="str">
        <f>HYPERLINK("https://drive.google.com/file/d/1g-nRZGdMhn0aXBimtGjW4uTt2Wa5tDSb/view?usp=drivesdk","6473_SERIANNA BR BARUS, S.KOM., M.M _ SERTIFIKAT BerAKHLAK")</f>
        <v>6473_SERIANNA BR BARUS, S.KOM., M.M _ SERTIFIKAT BerAKHLAK</v>
      </c>
      <c r="P6474" s="5" t="s">
        <v>41852</v>
      </c>
    </row>
    <row r="6475">
      <c r="A6475" s="4">
        <v>45534.36994549769</v>
      </c>
      <c r="B6475" s="5" t="s">
        <v>34</v>
      </c>
      <c r="D6475" s="5" t="s">
        <v>1206</v>
      </c>
      <c r="E6475" s="5" t="s">
        <v>41858</v>
      </c>
      <c r="F6475" s="5" t="s">
        <v>72</v>
      </c>
      <c r="G6475" s="5" t="s">
        <v>41859</v>
      </c>
      <c r="H6475" s="6" t="s">
        <v>41860</v>
      </c>
      <c r="K6475" s="5" t="s">
        <v>41861</v>
      </c>
      <c r="M6475" s="5" t="s">
        <v>41862</v>
      </c>
      <c r="N6475" s="7" t="s">
        <v>41863</v>
      </c>
      <c r="O6475" s="8" t="str">
        <f>HYPERLINK("https://drive.google.com/file/d/1GghfKplqFFjxSdUBYvxnLrKBH0xfQT2A/view?usp=drivesdk","6474_DIDIK PURWANTO, S.Kep.,Ns _ SERTIFIKAT BerAKHLAK")</f>
        <v>6474_DIDIK PURWANTO, S.Kep.,Ns _ SERTIFIKAT BerAKHLAK</v>
      </c>
      <c r="P6475" s="5" t="s">
        <v>41864</v>
      </c>
    </row>
    <row r="6476" hidden="1">
      <c r="A6476" s="4">
        <v>45534.369951053246</v>
      </c>
      <c r="B6476" s="5" t="s">
        <v>19</v>
      </c>
      <c r="C6476" s="5" t="s">
        <v>315</v>
      </c>
      <c r="E6476" s="5" t="s">
        <v>41865</v>
      </c>
      <c r="F6476" s="5" t="s">
        <v>72</v>
      </c>
      <c r="G6476" s="5" t="s">
        <v>41866</v>
      </c>
      <c r="H6476" s="6" t="s">
        <v>41867</v>
      </c>
      <c r="K6476" s="5" t="s">
        <v>41861</v>
      </c>
      <c r="M6476" s="5" t="s">
        <v>41868</v>
      </c>
      <c r="N6476" s="7" t="s">
        <v>41869</v>
      </c>
      <c r="O6476" s="8" t="str">
        <f>HYPERLINK("https://drive.google.com/file/d/1Ig5vB7XNt_nXIV_4QldBz7VZenawX0WE/view?usp=drivesdk","6475_IJAH MARLINA _ SERTIFIKAT BerAKHLAK")</f>
        <v>6475_IJAH MARLINA _ SERTIFIKAT BerAKHLAK</v>
      </c>
      <c r="P6476" s="5" t="s">
        <v>41864</v>
      </c>
    </row>
    <row r="6477">
      <c r="A6477" s="4">
        <v>45534.36997936343</v>
      </c>
      <c r="B6477" s="5" t="s">
        <v>34</v>
      </c>
      <c r="D6477" s="5" t="s">
        <v>1558</v>
      </c>
      <c r="E6477" s="5" t="s">
        <v>41870</v>
      </c>
      <c r="F6477" s="5" t="s">
        <v>212</v>
      </c>
      <c r="G6477" s="5" t="s">
        <v>41871</v>
      </c>
      <c r="H6477" s="6" t="s">
        <v>41872</v>
      </c>
      <c r="K6477" s="5" t="s">
        <v>41873</v>
      </c>
      <c r="M6477" s="5" t="s">
        <v>41874</v>
      </c>
      <c r="N6477" s="7" t="s">
        <v>41875</v>
      </c>
      <c r="O6477" s="8" t="str">
        <f>HYPERLINK("https://drive.google.com/file/d/1vymSP-PWwRNyCdgLUShiads3FHP3khNK/view?usp=drivesdk","6476_IIN PRIHATIN _ SERTIFIKAT BerAKHLAK")</f>
        <v>6476_IIN PRIHATIN _ SERTIFIKAT BerAKHLAK</v>
      </c>
      <c r="P6477" s="5" t="s">
        <v>41864</v>
      </c>
    </row>
    <row r="6478">
      <c r="A6478" s="4">
        <v>45534.36998516203</v>
      </c>
      <c r="B6478" s="5" t="s">
        <v>34</v>
      </c>
      <c r="D6478" s="5" t="s">
        <v>267</v>
      </c>
      <c r="E6478" s="5" t="s">
        <v>41876</v>
      </c>
      <c r="F6478" s="5" t="s">
        <v>328</v>
      </c>
      <c r="G6478" s="5" t="s">
        <v>41877</v>
      </c>
      <c r="H6478" s="6" t="s">
        <v>41878</v>
      </c>
      <c r="K6478" s="5" t="s">
        <v>41873</v>
      </c>
      <c r="M6478" s="5" t="s">
        <v>41879</v>
      </c>
      <c r="N6478" s="7" t="s">
        <v>41880</v>
      </c>
      <c r="O6478" s="8" t="str">
        <f>HYPERLINK("https://drive.google.com/file/d/1re_4Lv3RIKaIu1UNkChcojRPJe-jF8TX/view?usp=drivesdk","6477_SUGIANTO SISWA MIHARJO _ SERTIFIKAT BerAKHLAK")</f>
        <v>6477_SUGIANTO SISWA MIHARJO _ SERTIFIKAT BerAKHLAK</v>
      </c>
      <c r="P6478" s="5" t="s">
        <v>41864</v>
      </c>
    </row>
    <row r="6479">
      <c r="A6479" s="4">
        <v>45534.370035879634</v>
      </c>
      <c r="B6479" s="5" t="s">
        <v>34</v>
      </c>
      <c r="D6479" s="5" t="s">
        <v>1206</v>
      </c>
      <c r="E6479" s="5" t="s">
        <v>41881</v>
      </c>
      <c r="F6479" s="5" t="s">
        <v>212</v>
      </c>
      <c r="G6479" s="5" t="s">
        <v>41882</v>
      </c>
      <c r="H6479" s="6" t="s">
        <v>41883</v>
      </c>
      <c r="K6479" s="5" t="s">
        <v>41884</v>
      </c>
      <c r="M6479" s="5" t="s">
        <v>41885</v>
      </c>
      <c r="N6479" s="7" t="s">
        <v>41886</v>
      </c>
      <c r="O6479" s="8" t="str">
        <f>HYPERLINK("https://drive.google.com/file/d/1l6NjdPFUhFprOzuKpGhpBeblxh7l3r9F/view?usp=drivesdk","6478_Edy Purwanto,SH _ SERTIFIKAT BerAKHLAK")</f>
        <v>6478_Edy Purwanto,SH _ SERTIFIKAT BerAKHLAK</v>
      </c>
      <c r="P6479" s="5" t="s">
        <v>41887</v>
      </c>
    </row>
    <row r="6480">
      <c r="A6480" s="4">
        <v>45534.370037037035</v>
      </c>
      <c r="B6480" s="5" t="s">
        <v>34</v>
      </c>
      <c r="D6480" s="5" t="s">
        <v>1558</v>
      </c>
      <c r="E6480" s="5" t="s">
        <v>41888</v>
      </c>
      <c r="F6480" s="5" t="s">
        <v>212</v>
      </c>
      <c r="G6480" s="5" t="s">
        <v>41889</v>
      </c>
      <c r="H6480" s="6" t="s">
        <v>41890</v>
      </c>
      <c r="K6480" s="5" t="s">
        <v>41884</v>
      </c>
      <c r="M6480" s="5" t="s">
        <v>41891</v>
      </c>
      <c r="N6480" s="7" t="s">
        <v>41892</v>
      </c>
      <c r="O6480" s="8" t="str">
        <f>HYPERLINK("https://drive.google.com/file/d/1puhFdrT3nFGd7VshCdygL-yF5fsCTgBN/view?usp=drivesdk","6479_MARDIANIS.R _ SERTIFIKAT BerAKHLAK")</f>
        <v>6479_MARDIANIS.R _ SERTIFIKAT BerAKHLAK</v>
      </c>
      <c r="P6480" s="5" t="s">
        <v>41887</v>
      </c>
    </row>
    <row r="6481">
      <c r="A6481" s="4">
        <v>45534.3700381713</v>
      </c>
      <c r="B6481" s="5" t="s">
        <v>34</v>
      </c>
      <c r="D6481" s="5" t="s">
        <v>1206</v>
      </c>
      <c r="E6481" s="5" t="s">
        <v>41893</v>
      </c>
      <c r="F6481" s="5" t="s">
        <v>328</v>
      </c>
      <c r="G6481" s="5" t="s">
        <v>41894</v>
      </c>
      <c r="H6481" s="6" t="s">
        <v>41895</v>
      </c>
      <c r="K6481" s="5" t="s">
        <v>41884</v>
      </c>
      <c r="M6481" s="5" t="s">
        <v>41896</v>
      </c>
      <c r="N6481" s="7" t="s">
        <v>41897</v>
      </c>
      <c r="O6481" s="8" t="str">
        <f>HYPERLINK("https://drive.google.com/file/d/1JVKCAZXwkkNfiv6yUeKIbXL-QGDwStQF/view?usp=drivesdk","6480_SAJIDI _ SERTIFIKAT BerAKHLAK")</f>
        <v>6480_SAJIDI _ SERTIFIKAT BerAKHLAK</v>
      </c>
      <c r="P6481" s="5" t="s">
        <v>41887</v>
      </c>
    </row>
    <row r="6482">
      <c r="A6482" s="4">
        <v>45534.370051192134</v>
      </c>
      <c r="B6482" s="5" t="s">
        <v>34</v>
      </c>
      <c r="D6482" s="5" t="s">
        <v>1206</v>
      </c>
      <c r="E6482" s="5" t="s">
        <v>41898</v>
      </c>
      <c r="F6482" s="5" t="s">
        <v>524</v>
      </c>
      <c r="G6482" s="5" t="s">
        <v>41899</v>
      </c>
      <c r="H6482" s="6" t="s">
        <v>41900</v>
      </c>
      <c r="K6482" s="5" t="s">
        <v>41884</v>
      </c>
      <c r="M6482" s="5" t="s">
        <v>41901</v>
      </c>
      <c r="N6482" s="7" t="s">
        <v>41902</v>
      </c>
      <c r="O6482" s="8" t="str">
        <f>HYPERLINK("https://drive.google.com/file/d/19vmuALqskIhpRkT_78DD9KVV0Ilb4sen/view?usp=drivesdk","6481_ANASTASIA WULANDARI,Amd K G _ SERTIFIKAT BerAKHLAK")</f>
        <v>6481_ANASTASIA WULANDARI,Amd K G _ SERTIFIKAT BerAKHLAK</v>
      </c>
      <c r="P6482" s="5" t="s">
        <v>41887</v>
      </c>
    </row>
    <row r="6483">
      <c r="A6483" s="4">
        <v>45534.370061678244</v>
      </c>
      <c r="B6483" s="5" t="s">
        <v>34</v>
      </c>
      <c r="D6483" s="5" t="s">
        <v>14313</v>
      </c>
      <c r="E6483" s="5" t="s">
        <v>41903</v>
      </c>
      <c r="F6483" s="5" t="s">
        <v>212</v>
      </c>
      <c r="G6483" s="5" t="s">
        <v>41904</v>
      </c>
      <c r="H6483" s="6" t="s">
        <v>41905</v>
      </c>
      <c r="K6483" s="5" t="s">
        <v>41906</v>
      </c>
      <c r="M6483" s="5" t="s">
        <v>41907</v>
      </c>
      <c r="N6483" s="7" t="s">
        <v>41908</v>
      </c>
      <c r="O6483" s="8" t="str">
        <f>HYPERLINK("https://drive.google.com/file/d/1AKQ3UTcw0zKgQb4X0ZfqbfFqHDB7VM1Z/view?usp=drivesdk","6482_HERMAN _ SERTIFIKAT BerAKHLAK")</f>
        <v>6482_HERMAN _ SERTIFIKAT BerAKHLAK</v>
      </c>
      <c r="P6483" s="5" t="s">
        <v>41909</v>
      </c>
    </row>
    <row r="6484" hidden="1">
      <c r="A6484" s="4">
        <v>45534.37006829861</v>
      </c>
      <c r="B6484" s="5" t="s">
        <v>19</v>
      </c>
      <c r="C6484" s="5" t="s">
        <v>38343</v>
      </c>
      <c r="E6484" s="5" t="s">
        <v>41910</v>
      </c>
      <c r="F6484" s="5" t="s">
        <v>328</v>
      </c>
      <c r="G6484" s="5" t="s">
        <v>41911</v>
      </c>
      <c r="H6484" s="6" t="s">
        <v>41912</v>
      </c>
      <c r="K6484" s="5" t="s">
        <v>41906</v>
      </c>
      <c r="M6484" s="5" t="s">
        <v>41913</v>
      </c>
      <c r="N6484" s="7" t="s">
        <v>41914</v>
      </c>
      <c r="O6484" s="8" t="str">
        <f>HYPERLINK("https://drive.google.com/file/d/17ZuBoXlSI3XRREbVK12TtOCZCqDUPBsQ/view?usp=drivesdk","6483_SUPARJO  _ SERTIFIKAT BerAKHLAK")</f>
        <v>6483_SUPARJO  _ SERTIFIKAT BerAKHLAK</v>
      </c>
      <c r="P6484" s="5" t="s">
        <v>41909</v>
      </c>
    </row>
    <row r="6485" hidden="1">
      <c r="A6485" s="4">
        <v>45534.37007685185</v>
      </c>
      <c r="B6485" s="5" t="s">
        <v>19</v>
      </c>
      <c r="C6485" s="5" t="s">
        <v>292</v>
      </c>
      <c r="E6485" s="5" t="s">
        <v>41915</v>
      </c>
      <c r="F6485" s="5" t="s">
        <v>72</v>
      </c>
      <c r="G6485" s="5" t="s">
        <v>41916</v>
      </c>
      <c r="H6485" s="6" t="s">
        <v>41917</v>
      </c>
      <c r="K6485" s="5" t="s">
        <v>41906</v>
      </c>
      <c r="M6485" s="5" t="s">
        <v>41918</v>
      </c>
      <c r="N6485" s="7" t="s">
        <v>41919</v>
      </c>
      <c r="O6485" s="8" t="str">
        <f>HYPERLINK("https://drive.google.com/file/d/1OOhNCCOEM3LtPFFZPDxCWWhOgrZnZzzj/view?usp=drivesdk","6484_ROSMIYATI, S.M. _ SERTIFIKAT BerAKHLAK")</f>
        <v>6484_ROSMIYATI, S.M. _ SERTIFIKAT BerAKHLAK</v>
      </c>
      <c r="P6485" s="5" t="s">
        <v>41909</v>
      </c>
    </row>
    <row r="6486">
      <c r="A6486" s="4">
        <v>45534.3700775926</v>
      </c>
      <c r="B6486" s="5" t="s">
        <v>34</v>
      </c>
      <c r="D6486" s="5" t="s">
        <v>9394</v>
      </c>
      <c r="E6486" s="5" t="s">
        <v>41920</v>
      </c>
      <c r="F6486" s="5" t="s">
        <v>524</v>
      </c>
      <c r="G6486" s="5" t="s">
        <v>41921</v>
      </c>
      <c r="H6486" s="6" t="s">
        <v>41922</v>
      </c>
      <c r="K6486" s="5" t="s">
        <v>41906</v>
      </c>
      <c r="M6486" s="5" t="s">
        <v>41923</v>
      </c>
      <c r="N6486" s="7" t="s">
        <v>41924</v>
      </c>
      <c r="O6486" s="8" t="str">
        <f>HYPERLINK("https://drive.google.com/file/d/1--wh-d24rQZ_W9Z058VuQssbV0X5myVU/view?usp=drivesdk","6485_BETTY DUMAULI SIAGIAN _ SERTIFIKAT BerAKHLAK")</f>
        <v>6485_BETTY DUMAULI SIAGIAN _ SERTIFIKAT BerAKHLAK</v>
      </c>
      <c r="P6486" s="5" t="s">
        <v>41925</v>
      </c>
    </row>
    <row r="6487">
      <c r="A6487" s="4">
        <v>45534.37008474537</v>
      </c>
      <c r="B6487" s="5" t="s">
        <v>34</v>
      </c>
      <c r="D6487" s="5" t="s">
        <v>14424</v>
      </c>
      <c r="E6487" s="5" t="s">
        <v>41926</v>
      </c>
      <c r="F6487" s="5" t="s">
        <v>199</v>
      </c>
      <c r="G6487" s="5" t="s">
        <v>41927</v>
      </c>
      <c r="H6487" s="6" t="s">
        <v>41928</v>
      </c>
      <c r="K6487" s="5" t="s">
        <v>41906</v>
      </c>
      <c r="M6487" s="5" t="s">
        <v>41929</v>
      </c>
      <c r="N6487" s="7" t="s">
        <v>41930</v>
      </c>
      <c r="O6487" s="8" t="str">
        <f>HYPERLINK("https://drive.google.com/file/d/1aLm6_4EMgALDeeJr7Bxw11V-d4LcLiz6/view?usp=drivesdk","6486_BASRI HASAN _ SERTIFIKAT BerAKHLAK")</f>
        <v>6486_BASRI HASAN _ SERTIFIKAT BerAKHLAK</v>
      </c>
      <c r="P6487" s="5" t="s">
        <v>41925</v>
      </c>
    </row>
    <row r="6488">
      <c r="A6488" s="4">
        <v>45534.370086469906</v>
      </c>
      <c r="B6488" s="5" t="s">
        <v>34</v>
      </c>
      <c r="D6488" s="5" t="s">
        <v>2903</v>
      </c>
      <c r="E6488" s="5" t="s">
        <v>41931</v>
      </c>
      <c r="F6488" s="5" t="s">
        <v>212</v>
      </c>
      <c r="G6488" s="5" t="s">
        <v>41932</v>
      </c>
      <c r="H6488" s="6" t="s">
        <v>41933</v>
      </c>
      <c r="K6488" s="5" t="s">
        <v>41934</v>
      </c>
      <c r="M6488" s="5" t="s">
        <v>41935</v>
      </c>
      <c r="N6488" s="7" t="s">
        <v>41936</v>
      </c>
      <c r="O6488" s="8" t="str">
        <f>HYPERLINK("https://drive.google.com/file/d/1OrEVcoX-4yBItzYKBE3d4QOxncBdcEoY/view?usp=drivesdk","6487_RATNA DEWI _ SERTIFIKAT BerAKHLAK")</f>
        <v>6487_RATNA DEWI _ SERTIFIKAT BerAKHLAK</v>
      </c>
      <c r="P6488" s="5" t="s">
        <v>41925</v>
      </c>
    </row>
    <row r="6489">
      <c r="A6489" s="4">
        <v>45534.37008784722</v>
      </c>
      <c r="B6489" s="5" t="s">
        <v>34</v>
      </c>
      <c r="D6489" s="5" t="s">
        <v>996</v>
      </c>
      <c r="E6489" s="5" t="s">
        <v>41937</v>
      </c>
      <c r="F6489" s="5" t="s">
        <v>212</v>
      </c>
      <c r="G6489" s="5" t="s">
        <v>41938</v>
      </c>
      <c r="H6489" s="6" t="s">
        <v>41939</v>
      </c>
      <c r="K6489" s="5" t="s">
        <v>41934</v>
      </c>
      <c r="M6489" s="5" t="s">
        <v>41940</v>
      </c>
      <c r="N6489" s="7" t="s">
        <v>41941</v>
      </c>
      <c r="O6489" s="8" t="str">
        <f>HYPERLINK("https://drive.google.com/file/d/1Kl6h7sWgSqqREMujfsh-b5AWUVjIHvZD/view?usp=drivesdk","6488_NOOR HAMIDAH _ SERTIFIKAT BerAKHLAK")</f>
        <v>6488_NOOR HAMIDAH _ SERTIFIKAT BerAKHLAK</v>
      </c>
      <c r="P6489" s="5" t="s">
        <v>41925</v>
      </c>
    </row>
    <row r="6490" hidden="1">
      <c r="A6490" s="4">
        <v>45534.37009784722</v>
      </c>
      <c r="B6490" s="5" t="s">
        <v>19</v>
      </c>
      <c r="C6490" s="5" t="s">
        <v>3301</v>
      </c>
      <c r="E6490" s="5" t="s">
        <v>41942</v>
      </c>
      <c r="F6490" s="5" t="s">
        <v>37</v>
      </c>
      <c r="G6490" s="5" t="s">
        <v>41943</v>
      </c>
      <c r="H6490" s="6" t="s">
        <v>41944</v>
      </c>
      <c r="K6490" s="5" t="s">
        <v>41934</v>
      </c>
      <c r="M6490" s="5" t="s">
        <v>41945</v>
      </c>
      <c r="N6490" s="7" t="s">
        <v>41946</v>
      </c>
      <c r="O6490" s="8" t="str">
        <f>HYPERLINK("https://drive.google.com/file/d/1Dsk2g1F8vtyU8Bd1wIuLBvdiZKWheVTv/view?usp=drivesdk","6489_Mia Eva Enjelina _ SERTIFIKAT BerAKHLAK")</f>
        <v>6489_Mia Eva Enjelina _ SERTIFIKAT BerAKHLAK</v>
      </c>
      <c r="P6490" s="5" t="s">
        <v>41947</v>
      </c>
    </row>
    <row r="6491">
      <c r="A6491" s="4">
        <v>45534.37011171297</v>
      </c>
      <c r="B6491" s="5" t="s">
        <v>34</v>
      </c>
      <c r="D6491" s="5" t="s">
        <v>9020</v>
      </c>
      <c r="E6491" s="5" t="s">
        <v>41948</v>
      </c>
      <c r="F6491" s="5" t="s">
        <v>524</v>
      </c>
      <c r="G6491" s="5" t="s">
        <v>41949</v>
      </c>
      <c r="H6491" s="6" t="s">
        <v>41950</v>
      </c>
      <c r="K6491" s="5" t="s">
        <v>41934</v>
      </c>
      <c r="M6491" s="5" t="s">
        <v>41951</v>
      </c>
      <c r="N6491" s="7" t="s">
        <v>41952</v>
      </c>
      <c r="O6491" s="8" t="str">
        <f>HYPERLINK("https://drive.google.com/file/d/11RDVcM1BDjFk5ZnpY4NKv7sGPBMUTRTa/view?usp=drivesdk","6490_EVILINA MUNTHE  _ SERTIFIKAT BerAKHLAK")</f>
        <v>6490_EVILINA MUNTHE  _ SERTIFIKAT BerAKHLAK</v>
      </c>
      <c r="P6491" s="5" t="s">
        <v>41947</v>
      </c>
    </row>
    <row r="6492">
      <c r="A6492" s="4">
        <v>45534.37011344907</v>
      </c>
      <c r="B6492" s="5" t="s">
        <v>34</v>
      </c>
      <c r="D6492" s="5" t="s">
        <v>2903</v>
      </c>
      <c r="E6492" s="5" t="s">
        <v>41953</v>
      </c>
      <c r="F6492" s="5" t="s">
        <v>524</v>
      </c>
      <c r="G6492" s="5" t="s">
        <v>41954</v>
      </c>
      <c r="H6492" s="6" t="s">
        <v>41955</v>
      </c>
      <c r="K6492" s="5" t="s">
        <v>41934</v>
      </c>
      <c r="M6492" s="5" t="s">
        <v>41956</v>
      </c>
      <c r="N6492" s="7" t="s">
        <v>41957</v>
      </c>
      <c r="O6492" s="8" t="str">
        <f>HYPERLINK("https://drive.google.com/file/d/15XUwqYzkUkLmTzA1qs2vwk4KgCQrMi8a/view?usp=drivesdk","6491_Yeni Sriwati,Amd.AK _ SERTIFIKAT BerAKHLAK")</f>
        <v>6491_Yeni Sriwati,Amd.AK _ SERTIFIKAT BerAKHLAK</v>
      </c>
      <c r="P6492" s="5" t="s">
        <v>41947</v>
      </c>
    </row>
    <row r="6493">
      <c r="A6493" s="4">
        <v>45534.37012910879</v>
      </c>
      <c r="B6493" s="5" t="s">
        <v>34</v>
      </c>
      <c r="D6493" s="5" t="s">
        <v>1768</v>
      </c>
      <c r="E6493" s="5" t="s">
        <v>41958</v>
      </c>
      <c r="F6493" s="5" t="s">
        <v>120</v>
      </c>
      <c r="G6493" s="5" t="s">
        <v>41959</v>
      </c>
      <c r="H6493" s="6" t="s">
        <v>41960</v>
      </c>
      <c r="K6493" s="5" t="s">
        <v>41961</v>
      </c>
      <c r="M6493" s="5" t="s">
        <v>41962</v>
      </c>
      <c r="N6493" s="7" t="s">
        <v>41963</v>
      </c>
      <c r="O6493" s="8" t="str">
        <f>HYPERLINK("https://drive.google.com/file/d/1wNgxDMD41XuNx9wXTuHVYVUycIdYM_6h/view?usp=drivesdk","6492_EKA HASTUTININGSIH SH _ SERTIFIKAT BerAKHLAK")</f>
        <v>6492_EKA HASTUTININGSIH SH _ SERTIFIKAT BerAKHLAK</v>
      </c>
      <c r="P6493" s="5" t="s">
        <v>41964</v>
      </c>
    </row>
    <row r="6494">
      <c r="A6494" s="4">
        <v>45534.37014854167</v>
      </c>
      <c r="B6494" s="5" t="s">
        <v>34</v>
      </c>
      <c r="D6494" s="5" t="s">
        <v>7858</v>
      </c>
      <c r="E6494" s="5" t="s">
        <v>29416</v>
      </c>
      <c r="F6494" s="5" t="s">
        <v>212</v>
      </c>
      <c r="G6494" s="5" t="s">
        <v>29417</v>
      </c>
      <c r="H6494" s="6" t="s">
        <v>41965</v>
      </c>
      <c r="K6494" s="5" t="s">
        <v>41961</v>
      </c>
      <c r="M6494" s="5" t="s">
        <v>41966</v>
      </c>
      <c r="N6494" s="7" t="s">
        <v>41967</v>
      </c>
      <c r="O6494" s="8" t="str">
        <f>HYPERLINK("https://drive.google.com/file/d/1C2Bj7UclvSFn0Er7UHFsD0G97YJwA3V2/view?usp=drivesdk","6493_AKHMAD SAEPUDIN _ SERTIFIKAT BerAKHLAK")</f>
        <v>6493_AKHMAD SAEPUDIN _ SERTIFIKAT BerAKHLAK</v>
      </c>
      <c r="P6494" s="5" t="s">
        <v>41964</v>
      </c>
    </row>
    <row r="6495">
      <c r="A6495" s="4">
        <v>45534.37015091435</v>
      </c>
      <c r="B6495" s="5" t="s">
        <v>34</v>
      </c>
      <c r="D6495" s="5" t="s">
        <v>996</v>
      </c>
      <c r="E6495" s="5" t="s">
        <v>41968</v>
      </c>
      <c r="F6495" s="5" t="s">
        <v>375</v>
      </c>
      <c r="G6495" s="5" t="s">
        <v>41969</v>
      </c>
      <c r="H6495" s="6" t="s">
        <v>41970</v>
      </c>
      <c r="K6495" s="5" t="s">
        <v>41961</v>
      </c>
      <c r="M6495" s="5" t="s">
        <v>41971</v>
      </c>
      <c r="N6495" s="7" t="s">
        <v>41972</v>
      </c>
      <c r="O6495" s="8" t="str">
        <f>HYPERLINK("https://drive.google.com/file/d/1rOPwhwNOgctIHYqr5cOCNGK3HZcSEezN/view?usp=drivesdk","6494_IRA MAHKAMAH, S.T. _ SERTIFIKAT BerAKHLAK")</f>
        <v>6494_IRA MAHKAMAH, S.T. _ SERTIFIKAT BerAKHLAK</v>
      </c>
      <c r="P6495" s="5" t="s">
        <v>41964</v>
      </c>
    </row>
    <row r="6496">
      <c r="A6496" s="4">
        <v>45534.370151574076</v>
      </c>
      <c r="B6496" s="5" t="s">
        <v>34</v>
      </c>
      <c r="D6496" s="5" t="s">
        <v>12978</v>
      </c>
      <c r="E6496" s="5" t="s">
        <v>41973</v>
      </c>
      <c r="F6496" s="5" t="s">
        <v>72</v>
      </c>
      <c r="G6496" s="5" t="s">
        <v>41974</v>
      </c>
      <c r="H6496" s="6" t="s">
        <v>41975</v>
      </c>
      <c r="K6496" s="5" t="s">
        <v>41976</v>
      </c>
      <c r="M6496" s="5" t="s">
        <v>41977</v>
      </c>
      <c r="N6496" s="7" t="s">
        <v>41978</v>
      </c>
      <c r="O6496" s="8" t="str">
        <f>HYPERLINK("https://drive.google.com/file/d/1axvditX6TUHLw3NVfPTV191dSxT_7Bj9/view?usp=drivesdk","6495_YUDI ARDIANSYAH, AMKep _ SERTIFIKAT BerAKHLAK")</f>
        <v>6495_YUDI ARDIANSYAH, AMKep _ SERTIFIKAT BerAKHLAK</v>
      </c>
      <c r="P6496" s="5" t="s">
        <v>41979</v>
      </c>
    </row>
    <row r="6497">
      <c r="A6497" s="4">
        <v>45534.37015872685</v>
      </c>
      <c r="B6497" s="5" t="s">
        <v>34</v>
      </c>
      <c r="D6497" s="5" t="s">
        <v>604</v>
      </c>
      <c r="E6497" s="5" t="s">
        <v>41980</v>
      </c>
      <c r="F6497" s="5" t="s">
        <v>120</v>
      </c>
      <c r="G6497" s="5" t="s">
        <v>41981</v>
      </c>
      <c r="H6497" s="6" t="s">
        <v>41982</v>
      </c>
      <c r="K6497" s="5" t="s">
        <v>41976</v>
      </c>
      <c r="M6497" s="5" t="s">
        <v>41983</v>
      </c>
      <c r="N6497" s="7" t="s">
        <v>41984</v>
      </c>
      <c r="O6497" s="8" t="str">
        <f>HYPERLINK("https://drive.google.com/file/d/1dK3KDnfNgI4IrVyyIr1WbK63tg8kGR0x/view?usp=drivesdk","6496_SETIYA MARYANA, S.S, M.Si _ SERTIFIKAT BerAKHLAK")</f>
        <v>6496_SETIYA MARYANA, S.S, M.Si _ SERTIFIKAT BerAKHLAK</v>
      </c>
      <c r="P6497" s="5" t="s">
        <v>41979</v>
      </c>
    </row>
    <row r="6498">
      <c r="A6498" s="4">
        <v>45534.37016832176</v>
      </c>
      <c r="B6498" s="5" t="s">
        <v>34</v>
      </c>
      <c r="D6498" s="5" t="s">
        <v>9020</v>
      </c>
      <c r="E6498" s="5" t="s">
        <v>41985</v>
      </c>
      <c r="F6498" s="5" t="s">
        <v>120</v>
      </c>
      <c r="G6498" s="5" t="s">
        <v>41986</v>
      </c>
      <c r="H6498" s="6" t="s">
        <v>41987</v>
      </c>
      <c r="K6498" s="5" t="s">
        <v>41976</v>
      </c>
      <c r="M6498" s="5" t="s">
        <v>41988</v>
      </c>
      <c r="N6498" s="7" t="s">
        <v>41989</v>
      </c>
      <c r="O6498" s="8" t="str">
        <f>HYPERLINK("https://drive.google.com/file/d/18_8vxtSO6lU1gxl6Yyu0XrS0eSK3VXWC/view?usp=drivesdk","6497_dr LAILATUSY SYIFA S Mkes MM _ SERTIFIKAT BerAKHLAK")</f>
        <v>6497_dr LAILATUSY SYIFA S Mkes MM _ SERTIFIKAT BerAKHLAK</v>
      </c>
      <c r="P6498" s="5" t="s">
        <v>41979</v>
      </c>
    </row>
    <row r="6499">
      <c r="A6499" s="4">
        <v>45534.37017616898</v>
      </c>
      <c r="B6499" s="5" t="s">
        <v>34</v>
      </c>
      <c r="D6499" s="5" t="s">
        <v>9394</v>
      </c>
      <c r="E6499" s="5" t="s">
        <v>41990</v>
      </c>
      <c r="F6499" s="5" t="s">
        <v>72</v>
      </c>
      <c r="G6499" s="5" t="s">
        <v>41991</v>
      </c>
      <c r="H6499" s="6" t="s">
        <v>41992</v>
      </c>
      <c r="K6499" s="5" t="s">
        <v>41976</v>
      </c>
      <c r="M6499" s="5" t="s">
        <v>41993</v>
      </c>
      <c r="N6499" s="7" t="s">
        <v>41994</v>
      </c>
      <c r="O6499" s="8" t="str">
        <f>HYPERLINK("https://drive.google.com/file/d/1bD7pqqxnao9K1dXveWDz3kKog06k_XbW/view?usp=drivesdk","6498_SATRINA ELFRIDA _ SERTIFIKAT BerAKHLAK")</f>
        <v>6498_SATRINA ELFRIDA _ SERTIFIKAT BerAKHLAK</v>
      </c>
      <c r="P6499" s="5" t="s">
        <v>41979</v>
      </c>
    </row>
    <row r="6500">
      <c r="A6500" s="4">
        <v>45534.37019015047</v>
      </c>
      <c r="B6500" s="5" t="s">
        <v>34</v>
      </c>
      <c r="D6500" s="5" t="s">
        <v>2903</v>
      </c>
      <c r="E6500" s="5" t="s">
        <v>41995</v>
      </c>
      <c r="F6500" s="5" t="s">
        <v>715</v>
      </c>
      <c r="G6500" s="5" t="s">
        <v>41996</v>
      </c>
      <c r="H6500" s="6" t="s">
        <v>41997</v>
      </c>
      <c r="K6500" s="5" t="s">
        <v>41976</v>
      </c>
      <c r="M6500" s="5" t="s">
        <v>41998</v>
      </c>
      <c r="N6500" s="7" t="s">
        <v>41999</v>
      </c>
      <c r="O6500" s="8" t="str">
        <f>HYPERLINK("https://drive.google.com/file/d/1vWX8q73iZno3o2znC8eS7f0WkdsqSQaB/view?usp=drivesdk","6499_RESLANETI, S.KM _ SERTIFIKAT BerAKHLAK")</f>
        <v>6499_RESLANETI, S.KM _ SERTIFIKAT BerAKHLAK</v>
      </c>
      <c r="P6500" s="5" t="s">
        <v>41979</v>
      </c>
    </row>
    <row r="6501">
      <c r="A6501" s="4">
        <v>45534.37022586806</v>
      </c>
      <c r="B6501" s="5" t="s">
        <v>34</v>
      </c>
      <c r="D6501" s="5" t="s">
        <v>1206</v>
      </c>
      <c r="E6501" s="5" t="s">
        <v>16878</v>
      </c>
      <c r="F6501" s="5" t="s">
        <v>328</v>
      </c>
      <c r="G6501" s="5" t="s">
        <v>42000</v>
      </c>
      <c r="H6501" s="6" t="s">
        <v>42001</v>
      </c>
      <c r="K6501" s="5" t="s">
        <v>42002</v>
      </c>
      <c r="M6501" s="5" t="s">
        <v>42003</v>
      </c>
      <c r="N6501" s="7" t="s">
        <v>42004</v>
      </c>
      <c r="O6501" s="8" t="str">
        <f>HYPERLINK("https://drive.google.com/file/d/1Lmr9_oxVGeTA4uvjvE58A3MWeOiAF8x2/view?usp=drivesdk","6500_SLAMET _ SERTIFIKAT BerAKHLAK")</f>
        <v>6500_SLAMET _ SERTIFIKAT BerAKHLAK</v>
      </c>
      <c r="P6501" s="5" t="s">
        <v>42005</v>
      </c>
    </row>
    <row r="6502">
      <c r="A6502" s="4">
        <v>45534.37022711805</v>
      </c>
      <c r="B6502" s="5" t="s">
        <v>34</v>
      </c>
      <c r="D6502" s="5" t="s">
        <v>12978</v>
      </c>
      <c r="E6502" s="5" t="s">
        <v>42006</v>
      </c>
      <c r="F6502" s="5" t="s">
        <v>212</v>
      </c>
      <c r="G6502" s="5" t="s">
        <v>42007</v>
      </c>
      <c r="H6502" s="6" t="s">
        <v>42008</v>
      </c>
      <c r="K6502" s="5" t="s">
        <v>42002</v>
      </c>
      <c r="M6502" s="5" t="s">
        <v>42009</v>
      </c>
      <c r="N6502" s="7" t="s">
        <v>42010</v>
      </c>
      <c r="O6502" s="8" t="str">
        <f>HYPERLINK("https://drive.google.com/file/d/1brxyssEjDG7S4lkHGBAeN2TVUoB50E_l/view?usp=drivesdk","6501_RINA CATERINA  _ SERTIFIKAT BerAKHLAK")</f>
        <v>6501_RINA CATERINA  _ SERTIFIKAT BerAKHLAK</v>
      </c>
      <c r="P6502" s="5" t="s">
        <v>42005</v>
      </c>
    </row>
    <row r="6503">
      <c r="A6503" s="4">
        <v>45534.37022762731</v>
      </c>
      <c r="B6503" s="5" t="s">
        <v>34</v>
      </c>
      <c r="D6503" s="5" t="s">
        <v>2903</v>
      </c>
      <c r="E6503" s="5" t="s">
        <v>42011</v>
      </c>
      <c r="F6503" s="5" t="s">
        <v>375</v>
      </c>
      <c r="G6503" s="5" t="s">
        <v>42012</v>
      </c>
      <c r="H6503" s="6" t="s">
        <v>42013</v>
      </c>
      <c r="K6503" s="5" t="s">
        <v>42014</v>
      </c>
      <c r="M6503" s="5" t="s">
        <v>42015</v>
      </c>
      <c r="N6503" s="7" t="s">
        <v>42016</v>
      </c>
      <c r="O6503" s="8" t="str">
        <f>HYPERLINK("https://drive.google.com/file/d/1bVMVec6AFKmxh3AwCJFogJreIDfJuqLE/view?usp=drivesdk","6502_ISMAIL, ST _ SERTIFIKAT BerAKHLAK")</f>
        <v>6502_ISMAIL, ST _ SERTIFIKAT BerAKHLAK</v>
      </c>
      <c r="P6503" s="5" t="s">
        <v>42005</v>
      </c>
    </row>
    <row r="6504">
      <c r="A6504" s="4">
        <v>45534.37023130787</v>
      </c>
      <c r="B6504" s="5" t="s">
        <v>34</v>
      </c>
      <c r="D6504" s="5" t="s">
        <v>10444</v>
      </c>
      <c r="E6504" s="5" t="s">
        <v>42017</v>
      </c>
      <c r="F6504" s="5" t="s">
        <v>37</v>
      </c>
      <c r="G6504" s="5" t="s">
        <v>42018</v>
      </c>
      <c r="H6504" s="6" t="s">
        <v>42019</v>
      </c>
      <c r="K6504" s="5" t="s">
        <v>42014</v>
      </c>
      <c r="M6504" s="5" t="s">
        <v>42020</v>
      </c>
      <c r="N6504" s="7" t="s">
        <v>42021</v>
      </c>
      <c r="O6504" s="8" t="str">
        <f>HYPERLINK("https://drive.google.com/file/d/1g-UwRyg3Mu4rVLwFSwV_SNQUx7c_uxnp/view?usp=drivesdk","6503_FITRI FIRDAYANTI, A.Md.Keb _ SERTIFIKAT BerAKHLAK")</f>
        <v>6503_FITRI FIRDAYANTI, A.Md.Keb _ SERTIFIKAT BerAKHLAK</v>
      </c>
      <c r="P6504" s="5" t="s">
        <v>42005</v>
      </c>
    </row>
    <row r="6505">
      <c r="A6505" s="4">
        <v>45534.37023980324</v>
      </c>
      <c r="B6505" s="5" t="s">
        <v>34</v>
      </c>
      <c r="D6505" s="5" t="s">
        <v>1206</v>
      </c>
      <c r="E6505" s="5" t="s">
        <v>42022</v>
      </c>
      <c r="F6505" s="5" t="s">
        <v>212</v>
      </c>
      <c r="G6505" s="5" t="s">
        <v>42023</v>
      </c>
      <c r="H6505" s="6" t="s">
        <v>42024</v>
      </c>
      <c r="K6505" s="5" t="s">
        <v>42025</v>
      </c>
      <c r="M6505" s="5" t="s">
        <v>42026</v>
      </c>
      <c r="N6505" s="7" t="s">
        <v>42027</v>
      </c>
      <c r="O6505" s="8" t="str">
        <f>HYPERLINK("https://drive.google.com/file/d/1RRxbC03I9EQhzr8OglecGh9OysabcE8C/view?usp=drivesdk","6504_NURFATMA WIDIYANTI _ SERTIFIKAT BerAKHLAK")</f>
        <v>6504_NURFATMA WIDIYANTI _ SERTIFIKAT BerAKHLAK</v>
      </c>
      <c r="P6505" s="5" t="s">
        <v>42028</v>
      </c>
    </row>
    <row r="6506">
      <c r="A6506" s="4">
        <v>45534.37024024306</v>
      </c>
      <c r="B6506" s="5" t="s">
        <v>34</v>
      </c>
      <c r="D6506" s="5" t="s">
        <v>1206</v>
      </c>
      <c r="E6506" s="5" t="s">
        <v>42029</v>
      </c>
      <c r="F6506" s="5" t="s">
        <v>37</v>
      </c>
      <c r="G6506" s="5" t="s">
        <v>42030</v>
      </c>
      <c r="H6506" s="6" t="s">
        <v>42031</v>
      </c>
      <c r="K6506" s="5" t="s">
        <v>42025</v>
      </c>
      <c r="M6506" s="5" t="s">
        <v>42032</v>
      </c>
      <c r="N6506" s="7" t="s">
        <v>42033</v>
      </c>
      <c r="O6506" s="8" t="str">
        <f>HYPERLINK("https://drive.google.com/file/d/1QGcXKrhI7MFvJl2oepVEDRXCpvPjwTR-/view?usp=drivesdk","6505_EVA YULIANA  _ SERTIFIKAT BerAKHLAK")</f>
        <v>6505_EVA YULIANA  _ SERTIFIKAT BerAKHLAK</v>
      </c>
      <c r="P6506" s="5" t="s">
        <v>42028</v>
      </c>
    </row>
    <row r="6507">
      <c r="A6507" s="4">
        <v>45534.370249155094</v>
      </c>
      <c r="B6507" s="5" t="s">
        <v>34</v>
      </c>
      <c r="D6507" s="5" t="s">
        <v>2903</v>
      </c>
      <c r="E6507" s="5" t="s">
        <v>42034</v>
      </c>
      <c r="F6507" s="5" t="s">
        <v>108</v>
      </c>
      <c r="G6507" s="5" t="s">
        <v>42035</v>
      </c>
      <c r="H6507" s="6" t="s">
        <v>42036</v>
      </c>
      <c r="K6507" s="5" t="s">
        <v>42025</v>
      </c>
      <c r="M6507" s="5" t="s">
        <v>42037</v>
      </c>
      <c r="N6507" s="7" t="s">
        <v>42038</v>
      </c>
      <c r="O6507" s="8" t="str">
        <f>HYPERLINK("https://drive.google.com/file/d/1SMo6FR2bWn0qzssJFxqt_Vyp0u1MY7ZM/view?usp=drivesdk","6506_dr. Hj. Novtiara Dwita Putri, S.Ked _ SERTIFIKAT BerAKHLAK")</f>
        <v>6506_dr. Hj. Novtiara Dwita Putri, S.Ked _ SERTIFIKAT BerAKHLAK</v>
      </c>
      <c r="P6507" s="5" t="s">
        <v>42028</v>
      </c>
    </row>
    <row r="6508">
      <c r="A6508" s="4">
        <v>45534.370258483796</v>
      </c>
      <c r="B6508" s="5" t="s">
        <v>34</v>
      </c>
      <c r="D6508" s="5" t="s">
        <v>1206</v>
      </c>
      <c r="E6508" s="5" t="s">
        <v>30508</v>
      </c>
      <c r="F6508" s="5" t="s">
        <v>5859</v>
      </c>
      <c r="G6508" s="5" t="s">
        <v>30509</v>
      </c>
      <c r="H6508" s="6" t="s">
        <v>42039</v>
      </c>
      <c r="K6508" s="5" t="s">
        <v>42025</v>
      </c>
      <c r="M6508" s="5" t="s">
        <v>42040</v>
      </c>
      <c r="N6508" s="7" t="s">
        <v>42041</v>
      </c>
      <c r="O6508" s="8" t="str">
        <f>HYPERLINK("https://drive.google.com/file/d/1vxGYxKcmKOUzsGYmPFF_RNUnKH7UyN0D/view?usp=drivesdk","6507_NUR IHSAN _ SERTIFIKAT BerAKHLAK")</f>
        <v>6507_NUR IHSAN _ SERTIFIKAT BerAKHLAK</v>
      </c>
      <c r="P6508" s="5" t="s">
        <v>42042</v>
      </c>
    </row>
    <row r="6509">
      <c r="A6509" s="4">
        <v>45534.37028091435</v>
      </c>
      <c r="B6509" s="5" t="s">
        <v>34</v>
      </c>
      <c r="D6509" s="5" t="s">
        <v>1206</v>
      </c>
      <c r="E6509" s="5" t="s">
        <v>42043</v>
      </c>
      <c r="F6509" s="5" t="s">
        <v>37</v>
      </c>
      <c r="G6509" s="5" t="s">
        <v>42044</v>
      </c>
      <c r="H6509" s="6" t="s">
        <v>42045</v>
      </c>
      <c r="K6509" s="5" t="s">
        <v>42046</v>
      </c>
      <c r="M6509" s="5" t="s">
        <v>42047</v>
      </c>
      <c r="N6509" s="7" t="s">
        <v>42048</v>
      </c>
      <c r="O6509" s="8" t="str">
        <f>HYPERLINK("https://drive.google.com/file/d/1Zwrm_jJdXTk5NSlDfW7qh7NoxFLXE0QS/view?usp=drivesdk","6508_ANITA AGUNG SETIANTO _ SERTIFIKAT BerAKHLAK")</f>
        <v>6508_ANITA AGUNG SETIANTO _ SERTIFIKAT BerAKHLAK</v>
      </c>
      <c r="P6509" s="5" t="s">
        <v>42042</v>
      </c>
    </row>
    <row r="6510">
      <c r="A6510" s="4">
        <v>45534.370294224536</v>
      </c>
      <c r="B6510" s="5" t="s">
        <v>34</v>
      </c>
      <c r="D6510" s="5" t="s">
        <v>1206</v>
      </c>
      <c r="E6510" s="5" t="s">
        <v>42049</v>
      </c>
      <c r="F6510" s="5" t="s">
        <v>37</v>
      </c>
      <c r="G6510" s="5" t="s">
        <v>42050</v>
      </c>
      <c r="H6510" s="6" t="s">
        <v>42051</v>
      </c>
      <c r="K6510" s="5" t="s">
        <v>42046</v>
      </c>
      <c r="M6510" s="5" t="s">
        <v>42052</v>
      </c>
      <c r="N6510" s="7" t="s">
        <v>42053</v>
      </c>
      <c r="O6510" s="8" t="str">
        <f>HYPERLINK("https://drive.google.com/file/d/1hH56qeot9gNLV6EY0hoavoC6sw3kAzmx/view?usp=drivesdk","6509_Devita Aries Sandy _ SERTIFIKAT BerAKHLAK")</f>
        <v>6509_Devita Aries Sandy _ SERTIFIKAT BerAKHLAK</v>
      </c>
      <c r="P6510" s="5" t="s">
        <v>42042</v>
      </c>
    </row>
    <row r="6511">
      <c r="A6511" s="4">
        <v>45534.37029517361</v>
      </c>
      <c r="B6511" s="5" t="s">
        <v>34</v>
      </c>
      <c r="D6511" s="5" t="s">
        <v>1206</v>
      </c>
      <c r="E6511" s="5" t="s">
        <v>42054</v>
      </c>
      <c r="F6511" s="5" t="s">
        <v>212</v>
      </c>
      <c r="G6511" s="5" t="s">
        <v>42055</v>
      </c>
      <c r="H6511" s="6" t="s">
        <v>42056</v>
      </c>
      <c r="K6511" s="5" t="s">
        <v>42046</v>
      </c>
      <c r="M6511" s="5" t="s">
        <v>42057</v>
      </c>
      <c r="N6511" s="7" t="s">
        <v>42058</v>
      </c>
      <c r="O6511" s="8" t="str">
        <f>HYPERLINK("https://drive.google.com/file/d/1DPjbRVAa5heIoHYfSKRllrDWEiHxpLEQ/view?usp=drivesdk","6510_RUPIYATI _ SERTIFIKAT BerAKHLAK")</f>
        <v>6510_RUPIYATI _ SERTIFIKAT BerAKHLAK</v>
      </c>
      <c r="P6511" s="5" t="s">
        <v>42059</v>
      </c>
    </row>
    <row r="6512">
      <c r="A6512" s="4">
        <v>45534.37030270833</v>
      </c>
      <c r="B6512" s="5" t="s">
        <v>34</v>
      </c>
      <c r="D6512" s="5" t="s">
        <v>1558</v>
      </c>
      <c r="E6512" s="5" t="s">
        <v>42060</v>
      </c>
      <c r="F6512" s="5" t="s">
        <v>212</v>
      </c>
      <c r="G6512" s="5" t="s">
        <v>42061</v>
      </c>
      <c r="H6512" s="6" t="s">
        <v>42062</v>
      </c>
      <c r="K6512" s="5" t="s">
        <v>42046</v>
      </c>
      <c r="M6512" s="5" t="s">
        <v>42063</v>
      </c>
      <c r="N6512" s="7" t="s">
        <v>42064</v>
      </c>
      <c r="O6512" s="8" t="str">
        <f>HYPERLINK("https://drive.google.com/file/d/1OLNdyMetPFt3eaosPLuEs-52bbAzBalb/view?usp=drivesdk","6511_NURUL FADILAH _ SERTIFIKAT BerAKHLAK")</f>
        <v>6511_NURUL FADILAH _ SERTIFIKAT BerAKHLAK</v>
      </c>
      <c r="P6512" s="5" t="s">
        <v>42059</v>
      </c>
    </row>
    <row r="6513">
      <c r="A6513" s="4">
        <v>45534.37031254629</v>
      </c>
      <c r="B6513" s="5" t="s">
        <v>34</v>
      </c>
      <c r="D6513" s="5" t="s">
        <v>9394</v>
      </c>
      <c r="E6513" s="5" t="s">
        <v>42065</v>
      </c>
      <c r="F6513" s="5" t="s">
        <v>72</v>
      </c>
      <c r="G6513" s="5" t="s">
        <v>42066</v>
      </c>
      <c r="H6513" s="6" t="s">
        <v>42067</v>
      </c>
      <c r="K6513" s="5" t="s">
        <v>42046</v>
      </c>
      <c r="M6513" s="5" t="s">
        <v>42068</v>
      </c>
      <c r="N6513" s="7" t="s">
        <v>42069</v>
      </c>
      <c r="O6513" s="8" t="str">
        <f>HYPERLINK("https://drive.google.com/file/d/1WcjIC2hF0SFyVa193PJVWRWWSJWc01Gm/view?usp=drivesdk","6512_DESMALA DEWI _ SERTIFIKAT BerAKHLAK")</f>
        <v>6512_DESMALA DEWI _ SERTIFIKAT BerAKHLAK</v>
      </c>
      <c r="P6513" s="5" t="s">
        <v>42059</v>
      </c>
    </row>
    <row r="6514">
      <c r="A6514" s="4">
        <v>45534.370328136574</v>
      </c>
      <c r="B6514" s="5" t="s">
        <v>34</v>
      </c>
      <c r="D6514" s="5" t="s">
        <v>996</v>
      </c>
      <c r="E6514" s="5" t="s">
        <v>42070</v>
      </c>
      <c r="F6514" s="5" t="s">
        <v>524</v>
      </c>
      <c r="G6514" s="5" t="s">
        <v>42071</v>
      </c>
      <c r="H6514" s="6" t="s">
        <v>42072</v>
      </c>
      <c r="K6514" s="5" t="s">
        <v>42046</v>
      </c>
      <c r="M6514" s="5" t="s">
        <v>42073</v>
      </c>
      <c r="N6514" s="7" t="s">
        <v>42074</v>
      </c>
      <c r="O6514" s="8" t="str">
        <f>HYPERLINK("https://drive.google.com/file/d/1JS-lU263gNlyUVfjv1niY9NgzX9m5DYT/view?usp=drivesdk","6513_FATMI RUSMIATI _ SERTIFIKAT BerAKHLAK")</f>
        <v>6513_FATMI RUSMIATI _ SERTIFIKAT BerAKHLAK</v>
      </c>
      <c r="P6514" s="5" t="s">
        <v>42059</v>
      </c>
    </row>
    <row r="6515" hidden="1">
      <c r="A6515" s="4">
        <v>45534.37033334491</v>
      </c>
      <c r="B6515" s="5" t="s">
        <v>19</v>
      </c>
      <c r="C6515" s="5" t="s">
        <v>38343</v>
      </c>
      <c r="E6515" s="5" t="s">
        <v>42075</v>
      </c>
      <c r="F6515" s="5" t="s">
        <v>212</v>
      </c>
      <c r="G6515" s="5" t="s">
        <v>42076</v>
      </c>
      <c r="H6515" s="6" t="s">
        <v>42077</v>
      </c>
      <c r="K6515" s="5" t="s">
        <v>42046</v>
      </c>
      <c r="M6515" s="5" t="s">
        <v>42078</v>
      </c>
      <c r="N6515" s="7" t="s">
        <v>42079</v>
      </c>
      <c r="O6515" s="8" t="str">
        <f>HYPERLINK("https://drive.google.com/file/d/1HQKIUq6btgOetWDqj5rm0gqXNlkjTYhX/view?usp=drivesdk","6514_ANIK WIDIATI _ SERTIFIKAT BerAKHLAK")</f>
        <v>6514_ANIK WIDIATI _ SERTIFIKAT BerAKHLAK</v>
      </c>
      <c r="P6515" s="5" t="s">
        <v>42059</v>
      </c>
    </row>
    <row r="6516" hidden="1">
      <c r="A6516" s="4">
        <v>45534.370335844906</v>
      </c>
      <c r="B6516" s="5" t="s">
        <v>19</v>
      </c>
      <c r="C6516" s="5" t="s">
        <v>292</v>
      </c>
      <c r="E6516" s="5" t="s">
        <v>42080</v>
      </c>
      <c r="F6516" s="5" t="s">
        <v>37</v>
      </c>
      <c r="G6516" s="5" t="s">
        <v>42081</v>
      </c>
      <c r="H6516" s="6" t="s">
        <v>42082</v>
      </c>
      <c r="K6516" s="5" t="s">
        <v>42083</v>
      </c>
      <c r="M6516" s="5" t="s">
        <v>42084</v>
      </c>
      <c r="N6516" s="7" t="s">
        <v>42085</v>
      </c>
      <c r="O6516" s="8" t="str">
        <f>HYPERLINK("https://drive.google.com/file/d/1te7eZ3QPA-iHHrBo5YxqCOD7emCcmNMV/view?usp=drivesdk","6515_ARIYANTO SARYONO, S.IP _ SERTIFIKAT BerAKHLAK")</f>
        <v>6515_ARIYANTO SARYONO, S.IP _ SERTIFIKAT BerAKHLAK</v>
      </c>
      <c r="P6516" s="5" t="s">
        <v>42086</v>
      </c>
    </row>
    <row r="6517">
      <c r="A6517" s="4">
        <v>45534.3703409375</v>
      </c>
      <c r="B6517" s="5" t="s">
        <v>34</v>
      </c>
      <c r="D6517" s="5" t="s">
        <v>14424</v>
      </c>
      <c r="E6517" s="5" t="s">
        <v>42087</v>
      </c>
      <c r="F6517" s="5" t="s">
        <v>212</v>
      </c>
      <c r="G6517" s="5" t="s">
        <v>42088</v>
      </c>
      <c r="H6517" s="6" t="s">
        <v>42089</v>
      </c>
      <c r="K6517" s="5" t="s">
        <v>42083</v>
      </c>
      <c r="M6517" s="5" t="s">
        <v>42090</v>
      </c>
      <c r="N6517" s="7" t="s">
        <v>42091</v>
      </c>
      <c r="O6517" s="8" t="str">
        <f>HYPERLINK("https://drive.google.com/file/d/1JGkhr2we1OBcUzMB_-Y7vR47OhA8PEcc/view?usp=drivesdk","6516_AFIRA ZUMMAN POLRES ACEH SELATAN POLDA ACEH _ SERTIFIKAT BerAKHLAK")</f>
        <v>6516_AFIRA ZUMMAN POLRES ACEH SELATAN POLDA ACEH _ SERTIFIKAT BerAKHLAK</v>
      </c>
      <c r="P6517" s="5" t="s">
        <v>42086</v>
      </c>
    </row>
    <row r="6518">
      <c r="A6518" s="4">
        <v>45534.37035123842</v>
      </c>
      <c r="B6518" s="5" t="s">
        <v>34</v>
      </c>
      <c r="D6518" s="5" t="s">
        <v>1206</v>
      </c>
      <c r="E6518" s="5" t="s">
        <v>42092</v>
      </c>
      <c r="F6518" s="5" t="s">
        <v>72</v>
      </c>
      <c r="G6518" s="5" t="s">
        <v>42093</v>
      </c>
      <c r="H6518" s="6" t="s">
        <v>42094</v>
      </c>
      <c r="K6518" s="5" t="s">
        <v>42083</v>
      </c>
      <c r="M6518" s="5" t="s">
        <v>42095</v>
      </c>
      <c r="N6518" s="7" t="s">
        <v>42096</v>
      </c>
      <c r="O6518" s="8" t="str">
        <f>HYPERLINK("https://drive.google.com/file/d/1r1nYEiAxtdHNv22RH6gj1ykcZoQtQN0P/view?usp=drivesdk","6517_DEWI PUSPASARI S.,Kep.Ners _ SERTIFIKAT BerAKHLAK")</f>
        <v>6517_DEWI PUSPASARI S.,Kep.Ners _ SERTIFIKAT BerAKHLAK</v>
      </c>
      <c r="P6518" s="5" t="s">
        <v>42086</v>
      </c>
    </row>
    <row r="6519">
      <c r="A6519" s="4">
        <v>45534.370370000004</v>
      </c>
      <c r="B6519" s="5" t="s">
        <v>34</v>
      </c>
      <c r="D6519" s="5" t="s">
        <v>4775</v>
      </c>
      <c r="E6519" s="5" t="s">
        <v>42097</v>
      </c>
      <c r="F6519" s="5" t="s">
        <v>37</v>
      </c>
      <c r="G6519" s="5" t="s">
        <v>42098</v>
      </c>
      <c r="H6519" s="6" t="s">
        <v>42099</v>
      </c>
      <c r="K6519" s="5" t="s">
        <v>42083</v>
      </c>
      <c r="M6519" s="5" t="s">
        <v>42100</v>
      </c>
      <c r="N6519" s="7" t="s">
        <v>42101</v>
      </c>
      <c r="O6519" s="8" t="str">
        <f>HYPERLINK("https://drive.google.com/file/d/1i17ymQ70ZUxD2a3aBszpqz8UbjWO1Odp/view?usp=drivesdk","6518_ASA MAULANA DEWI, A.Md.Kep _ SERTIFIKAT BerAKHLAK")</f>
        <v>6518_ASA MAULANA DEWI, A.Md.Kep _ SERTIFIKAT BerAKHLAK</v>
      </c>
      <c r="P6519" s="5" t="s">
        <v>42086</v>
      </c>
    </row>
    <row r="6520">
      <c r="A6520" s="4">
        <v>45534.37037585648</v>
      </c>
      <c r="B6520" s="5" t="s">
        <v>34</v>
      </c>
      <c r="D6520" s="5" t="s">
        <v>4775</v>
      </c>
      <c r="E6520" s="5" t="s">
        <v>19846</v>
      </c>
      <c r="F6520" s="5" t="s">
        <v>212</v>
      </c>
      <c r="G6520" s="5" t="s">
        <v>42102</v>
      </c>
      <c r="H6520" s="6" t="s">
        <v>42103</v>
      </c>
      <c r="K6520" s="5" t="s">
        <v>42104</v>
      </c>
      <c r="M6520" s="5" t="s">
        <v>42105</v>
      </c>
      <c r="N6520" s="7" t="s">
        <v>42106</v>
      </c>
      <c r="O6520" s="8" t="str">
        <f>HYPERLINK("https://drive.google.com/file/d/1UBZXCH8S9qu8fICkuaIHkj9J579az4KK/view?usp=drivesdk","6519_SUSILO _ SERTIFIKAT BerAKHLAK")</f>
        <v>6519_SUSILO _ SERTIFIKAT BerAKHLAK</v>
      </c>
      <c r="P6520" s="5" t="s">
        <v>42086</v>
      </c>
    </row>
    <row r="6521">
      <c r="A6521" s="4">
        <v>45534.370387303235</v>
      </c>
      <c r="B6521" s="5" t="s">
        <v>34</v>
      </c>
      <c r="D6521" s="5" t="s">
        <v>522</v>
      </c>
      <c r="E6521" s="5" t="s">
        <v>42107</v>
      </c>
      <c r="F6521" s="5" t="s">
        <v>37</v>
      </c>
      <c r="G6521" s="5" t="s">
        <v>42108</v>
      </c>
      <c r="H6521" s="6" t="s">
        <v>42109</v>
      </c>
      <c r="K6521" s="5" t="s">
        <v>42104</v>
      </c>
      <c r="M6521" s="5" t="s">
        <v>42110</v>
      </c>
      <c r="N6521" s="7" t="s">
        <v>42111</v>
      </c>
      <c r="O6521" s="8" t="str">
        <f>HYPERLINK("https://drive.google.com/file/d/1nAfMtoqpUKKlVwTtkAaFZpF_ZGt-uWid/view?usp=drivesdk","6520_NITA AMELINA _ SERTIFIKAT BerAKHLAK")</f>
        <v>6520_NITA AMELINA _ SERTIFIKAT BerAKHLAK</v>
      </c>
      <c r="P6521" s="5" t="s">
        <v>42112</v>
      </c>
    </row>
    <row r="6522">
      <c r="A6522" s="4">
        <v>45534.37039383102</v>
      </c>
      <c r="B6522" s="5" t="s">
        <v>34</v>
      </c>
      <c r="D6522" s="5" t="s">
        <v>4775</v>
      </c>
      <c r="E6522" s="5" t="s">
        <v>42113</v>
      </c>
      <c r="F6522" s="5" t="s">
        <v>524</v>
      </c>
      <c r="G6522" s="5" t="s">
        <v>42114</v>
      </c>
      <c r="H6522" s="6" t="s">
        <v>42115</v>
      </c>
      <c r="K6522" s="5" t="s">
        <v>42104</v>
      </c>
      <c r="M6522" s="5" t="s">
        <v>42116</v>
      </c>
      <c r="N6522" s="7" t="s">
        <v>42117</v>
      </c>
      <c r="O6522" s="8" t="str">
        <f>HYPERLINK("https://drive.google.com/file/d/1OCVeM10NowhK_iSMOfY_Vriwgx3n5rHL/view?usp=drivesdk","6521_INDAH SUSANTI _ SERTIFIKAT BerAKHLAK")</f>
        <v>6521_INDAH SUSANTI _ SERTIFIKAT BerAKHLAK</v>
      </c>
      <c r="P6522" s="5" t="s">
        <v>42112</v>
      </c>
    </row>
    <row r="6523">
      <c r="A6523" s="4">
        <v>45534.37040883102</v>
      </c>
      <c r="B6523" s="5" t="s">
        <v>34</v>
      </c>
      <c r="D6523" s="5" t="s">
        <v>7858</v>
      </c>
      <c r="E6523" s="5" t="s">
        <v>42118</v>
      </c>
      <c r="F6523" s="5" t="s">
        <v>108</v>
      </c>
      <c r="G6523" s="5" t="s">
        <v>42119</v>
      </c>
      <c r="H6523" s="6" t="s">
        <v>42120</v>
      </c>
      <c r="K6523" s="5" t="s">
        <v>42104</v>
      </c>
      <c r="M6523" s="5" t="s">
        <v>42121</v>
      </c>
      <c r="N6523" s="7" t="s">
        <v>42122</v>
      </c>
      <c r="O6523" s="8" t="str">
        <f>HYPERLINK("https://drive.google.com/file/d/1xOrqEYUbl9ra3f5t7FHwEoGWZ0xlaM9h/view?usp=drivesdk","6522_FITRIA YULIASTUTI  _ SERTIFIKAT BerAKHLAK")</f>
        <v>6522_FITRIA YULIASTUTI  _ SERTIFIKAT BerAKHLAK</v>
      </c>
      <c r="P6523" s="5" t="s">
        <v>42112</v>
      </c>
    </row>
    <row r="6524">
      <c r="A6524" s="4">
        <v>45534.37042266203</v>
      </c>
      <c r="B6524" s="5" t="s">
        <v>34</v>
      </c>
      <c r="D6524" s="5" t="s">
        <v>1206</v>
      </c>
      <c r="E6524" s="5" t="s">
        <v>42123</v>
      </c>
      <c r="F6524" s="5" t="s">
        <v>72</v>
      </c>
      <c r="G6524" s="5" t="s">
        <v>42124</v>
      </c>
      <c r="H6524" s="6" t="s">
        <v>42125</v>
      </c>
      <c r="K6524" s="5" t="s">
        <v>42104</v>
      </c>
      <c r="M6524" s="5" t="s">
        <v>42126</v>
      </c>
      <c r="N6524" s="7" t="s">
        <v>42127</v>
      </c>
      <c r="O6524" s="8" t="str">
        <f>HYPERLINK("https://drive.google.com/file/d/10TLqZ0K05x5jHtcl4YUyVUQ7Olo_eHSO/view?usp=drivesdk","6523_ULIN NUHA, S. Kep. Ns _ SERTIFIKAT BerAKHLAK")</f>
        <v>6523_ULIN NUHA, S. Kep. Ns _ SERTIFIKAT BerAKHLAK</v>
      </c>
      <c r="P6524" s="5" t="s">
        <v>42112</v>
      </c>
    </row>
    <row r="6525" hidden="1">
      <c r="A6525" s="4">
        <v>45534.37044737268</v>
      </c>
      <c r="B6525" s="5" t="s">
        <v>19</v>
      </c>
      <c r="C6525" s="5" t="s">
        <v>3301</v>
      </c>
      <c r="E6525" s="5" t="s">
        <v>42128</v>
      </c>
      <c r="F6525" s="5" t="s">
        <v>212</v>
      </c>
      <c r="G6525" s="5" t="s">
        <v>42129</v>
      </c>
      <c r="H6525" s="6" t="s">
        <v>42130</v>
      </c>
      <c r="K6525" s="5" t="s">
        <v>42131</v>
      </c>
      <c r="M6525" s="5" t="s">
        <v>42132</v>
      </c>
      <c r="N6525" s="7" t="s">
        <v>42133</v>
      </c>
      <c r="O6525" s="8" t="str">
        <f>HYPERLINK("https://drive.google.com/file/d/1coOml6PyHqgIY1IEU5Wp20nJ_ptjsABn/view?usp=drivesdk","6524_MARYANAH _ SERTIFIKAT BerAKHLAK")</f>
        <v>6524_MARYANAH _ SERTIFIKAT BerAKHLAK</v>
      </c>
      <c r="P6525" s="5" t="s">
        <v>42112</v>
      </c>
    </row>
    <row r="6526">
      <c r="A6526" s="4">
        <v>45534.37045956019</v>
      </c>
      <c r="B6526" s="5" t="s">
        <v>34</v>
      </c>
      <c r="D6526" s="5" t="s">
        <v>1206</v>
      </c>
      <c r="E6526" s="5" t="s">
        <v>42134</v>
      </c>
      <c r="F6526" s="5" t="s">
        <v>212</v>
      </c>
      <c r="G6526" s="5" t="s">
        <v>42135</v>
      </c>
      <c r="H6526" s="6" t="s">
        <v>42136</v>
      </c>
      <c r="K6526" s="5" t="s">
        <v>42131</v>
      </c>
      <c r="M6526" s="5" t="s">
        <v>42137</v>
      </c>
      <c r="N6526" s="7" t="s">
        <v>42138</v>
      </c>
      <c r="O6526" s="8" t="str">
        <f>HYPERLINK("https://drive.google.com/file/d/1S5_Vyg2BHuPNMcIxS_B6hDScRPqI4gqL/view?usp=drivesdk","6525_Aniek Hartitik, S.Sos. _ SERTIFIKAT BerAKHLAK")</f>
        <v>6525_Aniek Hartitik, S.Sos. _ SERTIFIKAT BerAKHLAK</v>
      </c>
      <c r="P6526" s="5" t="s">
        <v>42112</v>
      </c>
    </row>
    <row r="6527">
      <c r="A6527" s="4">
        <v>45534.3704653125</v>
      </c>
      <c r="B6527" s="5" t="s">
        <v>34</v>
      </c>
      <c r="D6527" s="5" t="s">
        <v>10444</v>
      </c>
      <c r="E6527" s="5" t="s">
        <v>42139</v>
      </c>
      <c r="F6527" s="5" t="s">
        <v>37</v>
      </c>
      <c r="G6527" s="5" t="s">
        <v>42140</v>
      </c>
      <c r="H6527" s="6" t="s">
        <v>42141</v>
      </c>
      <c r="K6527" s="5" t="s">
        <v>42131</v>
      </c>
      <c r="M6527" s="5" t="s">
        <v>42142</v>
      </c>
      <c r="N6527" s="7" t="s">
        <v>42143</v>
      </c>
      <c r="O6527" s="8" t="str">
        <f>HYPERLINK("https://drive.google.com/file/d/1RLcmJ5TgagrdCXZNpunXW51xvLrBtR5t/view?usp=drivesdk","6526_LANGGENG SETYO NUGROHO, A.Md.KG _ SERTIFIKAT BerAKHLAK")</f>
        <v>6526_LANGGENG SETYO NUGROHO, A.Md.KG _ SERTIFIKAT BerAKHLAK</v>
      </c>
      <c r="P6527" s="5" t="s">
        <v>42144</v>
      </c>
    </row>
    <row r="6528">
      <c r="A6528" s="4">
        <v>45534.370482604165</v>
      </c>
      <c r="B6528" s="5" t="s">
        <v>34</v>
      </c>
      <c r="D6528" s="5" t="s">
        <v>9020</v>
      </c>
      <c r="E6528" s="5" t="s">
        <v>42145</v>
      </c>
      <c r="F6528" s="5" t="s">
        <v>212</v>
      </c>
      <c r="G6528" s="5" t="s">
        <v>42146</v>
      </c>
      <c r="H6528" s="6" t="s">
        <v>42147</v>
      </c>
      <c r="K6528" s="5" t="s">
        <v>42148</v>
      </c>
      <c r="M6528" s="5" t="s">
        <v>42149</v>
      </c>
      <c r="N6528" s="7" t="s">
        <v>42150</v>
      </c>
      <c r="O6528" s="8" t="str">
        <f>HYPERLINK("https://drive.google.com/file/d/1JLHQv7AZKajzE4CMu3963TX6XK8mPnve/view?usp=drivesdk","6527_DISURNI SIANIPAR _ SERTIFIKAT BerAKHLAK")</f>
        <v>6527_DISURNI SIANIPAR _ SERTIFIKAT BerAKHLAK</v>
      </c>
      <c r="P6528" s="5" t="s">
        <v>42144</v>
      </c>
    </row>
    <row r="6529">
      <c r="A6529" s="4">
        <v>45534.37049592593</v>
      </c>
      <c r="B6529" s="5" t="s">
        <v>34</v>
      </c>
      <c r="D6529" s="5" t="s">
        <v>4775</v>
      </c>
      <c r="E6529" s="5" t="s">
        <v>42151</v>
      </c>
      <c r="F6529" s="5" t="s">
        <v>524</v>
      </c>
      <c r="G6529" s="5" t="s">
        <v>42152</v>
      </c>
      <c r="H6529" s="6" t="s">
        <v>42153</v>
      </c>
      <c r="K6529" s="5" t="s">
        <v>42148</v>
      </c>
      <c r="M6529" s="5" t="s">
        <v>42154</v>
      </c>
      <c r="N6529" s="7" t="s">
        <v>42155</v>
      </c>
      <c r="O6529" s="8" t="str">
        <f>HYPERLINK("https://drive.google.com/file/d/1pt1nqjoUBFmJl-krP85yaBbQzCD1XoNE/view?usp=drivesdk","6528_AJIE ANGGORO PUTRO Amk _ SERTIFIKAT BerAKHLAK")</f>
        <v>6528_AJIE ANGGORO PUTRO Amk _ SERTIFIKAT BerAKHLAK</v>
      </c>
      <c r="P6529" s="5" t="s">
        <v>42144</v>
      </c>
    </row>
    <row r="6530">
      <c r="A6530" s="4">
        <v>45534.370500046294</v>
      </c>
      <c r="B6530" s="5" t="s">
        <v>34</v>
      </c>
      <c r="D6530" s="5" t="s">
        <v>10444</v>
      </c>
      <c r="E6530" s="5" t="s">
        <v>42156</v>
      </c>
      <c r="F6530" s="5" t="s">
        <v>524</v>
      </c>
      <c r="G6530" s="5" t="s">
        <v>42157</v>
      </c>
      <c r="H6530" s="6" t="s">
        <v>42158</v>
      </c>
      <c r="K6530" s="5" t="s">
        <v>42148</v>
      </c>
      <c r="M6530" s="5" t="s">
        <v>42159</v>
      </c>
      <c r="N6530" s="7" t="s">
        <v>42160</v>
      </c>
      <c r="O6530" s="8" t="str">
        <f>HYPERLINK("https://drive.google.com/file/d/1kuvKddCE-ktQepJYZ9x6f7p8zxS5yj_l/view?usp=drivesdk","6529_IRWANSYAH _ SERTIFIKAT BerAKHLAK")</f>
        <v>6529_IRWANSYAH _ SERTIFIKAT BerAKHLAK</v>
      </c>
      <c r="P6530" s="5" t="s">
        <v>42144</v>
      </c>
    </row>
    <row r="6531">
      <c r="A6531" s="4">
        <v>45534.37051678241</v>
      </c>
      <c r="B6531" s="5" t="s">
        <v>34</v>
      </c>
      <c r="D6531" s="5" t="s">
        <v>4775</v>
      </c>
      <c r="E6531" s="5" t="s">
        <v>42161</v>
      </c>
      <c r="F6531" s="5" t="s">
        <v>212</v>
      </c>
      <c r="G6531" s="5" t="s">
        <v>42162</v>
      </c>
      <c r="H6531" s="6" t="s">
        <v>42163</v>
      </c>
      <c r="K6531" s="5" t="s">
        <v>42148</v>
      </c>
      <c r="M6531" s="5" t="s">
        <v>42164</v>
      </c>
      <c r="N6531" s="7" t="s">
        <v>42165</v>
      </c>
      <c r="O6531" s="8" t="str">
        <f>HYPERLINK("https://drive.google.com/file/d/16dev_XFDAFVNUjSBveR3ZsOLukYBVLI2/view?usp=drivesdk","6530_TRI SANTOSO _ SERTIFIKAT BerAKHLAK")</f>
        <v>6530_TRI SANTOSO _ SERTIFIKAT BerAKHLAK</v>
      </c>
      <c r="P6531" s="5" t="s">
        <v>42144</v>
      </c>
    </row>
    <row r="6532">
      <c r="A6532" s="4">
        <v>45534.37052438657</v>
      </c>
      <c r="B6532" s="5" t="s">
        <v>34</v>
      </c>
      <c r="D6532" s="5" t="s">
        <v>12978</v>
      </c>
      <c r="E6532" s="5" t="s">
        <v>42166</v>
      </c>
      <c r="F6532" s="5" t="s">
        <v>9044</v>
      </c>
      <c r="G6532" s="5" t="s">
        <v>42167</v>
      </c>
      <c r="H6532" s="6" t="s">
        <v>42168</v>
      </c>
      <c r="K6532" s="5" t="s">
        <v>42148</v>
      </c>
      <c r="M6532" s="5" t="s">
        <v>42169</v>
      </c>
      <c r="N6532" s="7" t="s">
        <v>42170</v>
      </c>
      <c r="O6532" s="8" t="str">
        <f>HYPERLINK("https://drive.google.com/file/d/1i1EyiceC0UTZ2e4UjTcSs4wjBEHQOFZi/view?usp=drivesdk","6531_AGUS FIRNANDA, S.H. _ SERTIFIKAT BerAKHLAK")</f>
        <v>6531_AGUS FIRNANDA, S.H. _ SERTIFIKAT BerAKHLAK</v>
      </c>
      <c r="P6532" s="5" t="s">
        <v>42171</v>
      </c>
    </row>
    <row r="6533">
      <c r="A6533" s="4">
        <v>45534.37052863426</v>
      </c>
      <c r="B6533" s="5" t="s">
        <v>34</v>
      </c>
      <c r="D6533" s="5" t="s">
        <v>4775</v>
      </c>
      <c r="E6533" s="5" t="s">
        <v>42172</v>
      </c>
      <c r="F6533" s="5" t="s">
        <v>108</v>
      </c>
      <c r="G6533" s="5" t="s">
        <v>42173</v>
      </c>
      <c r="H6533" s="6" t="s">
        <v>42174</v>
      </c>
      <c r="K6533" s="5" t="s">
        <v>42148</v>
      </c>
      <c r="M6533" s="5" t="s">
        <v>42175</v>
      </c>
      <c r="N6533" s="7" t="s">
        <v>42176</v>
      </c>
      <c r="O6533" s="8" t="str">
        <f>HYPERLINK("https://drive.google.com/file/d/1RyB3BURzV19oCOpdnN_23N2uPYdSiwjT/view?usp=drivesdk","6532_dr. Annisa Falihati Salsabila _ SERTIFIKAT BerAKHLAK")</f>
        <v>6532_dr. Annisa Falihati Salsabila _ SERTIFIKAT BerAKHLAK</v>
      </c>
      <c r="P6533" s="5" t="s">
        <v>42171</v>
      </c>
    </row>
    <row r="6534">
      <c r="A6534" s="4">
        <v>45534.370530127315</v>
      </c>
      <c r="B6534" s="5" t="s">
        <v>34</v>
      </c>
      <c r="D6534" s="5" t="s">
        <v>996</v>
      </c>
      <c r="E6534" s="5" t="s">
        <v>42177</v>
      </c>
      <c r="F6534" s="5" t="s">
        <v>37</v>
      </c>
      <c r="G6534" s="5" t="s">
        <v>42178</v>
      </c>
      <c r="H6534" s="6" t="s">
        <v>42179</v>
      </c>
      <c r="K6534" s="5" t="s">
        <v>42148</v>
      </c>
      <c r="M6534" s="5" t="s">
        <v>42180</v>
      </c>
      <c r="N6534" s="7" t="s">
        <v>42181</v>
      </c>
      <c r="O6534" s="8" t="str">
        <f>HYPERLINK("https://drive.google.com/file/d/1WAwuR4GMJODaqxqfJU55Z_4K6Wvp_UlH/view?usp=drivesdk","6533_ENDANG SERSANTI.SE _ SERTIFIKAT BerAKHLAK")</f>
        <v>6533_ENDANG SERSANTI.SE _ SERTIFIKAT BerAKHLAK</v>
      </c>
      <c r="P6534" s="5" t="s">
        <v>42171</v>
      </c>
    </row>
    <row r="6535">
      <c r="A6535" s="4">
        <v>45534.37053008102</v>
      </c>
      <c r="B6535" s="5" t="s">
        <v>34</v>
      </c>
      <c r="D6535" s="5" t="s">
        <v>11527</v>
      </c>
      <c r="E6535" s="5" t="s">
        <v>42182</v>
      </c>
      <c r="F6535" s="5" t="s">
        <v>524</v>
      </c>
      <c r="G6535" s="5" t="s">
        <v>42183</v>
      </c>
      <c r="H6535" s="6" t="s">
        <v>42184</v>
      </c>
      <c r="K6535" s="5" t="s">
        <v>42185</v>
      </c>
      <c r="M6535" s="5" t="s">
        <v>42186</v>
      </c>
      <c r="N6535" s="7" t="s">
        <v>42187</v>
      </c>
      <c r="O6535" s="8" t="str">
        <f>HYPERLINK("https://drive.google.com/file/d/1psQzVS5Ik2d_JHKlTx7nAmVTrJAdISzB/view?usp=drivesdk","6534_GLADIES KUMAUNANG, S.E. _ SERTIFIKAT BerAKHLAK")</f>
        <v>6534_GLADIES KUMAUNANG, S.E. _ SERTIFIKAT BerAKHLAK</v>
      </c>
      <c r="P6535" s="5" t="s">
        <v>42171</v>
      </c>
    </row>
    <row r="6536" hidden="1">
      <c r="A6536" s="4">
        <v>45534.370536828705</v>
      </c>
      <c r="B6536" s="5" t="s">
        <v>19</v>
      </c>
      <c r="C6536" s="5" t="s">
        <v>14000</v>
      </c>
      <c r="E6536" s="5" t="s">
        <v>42188</v>
      </c>
      <c r="F6536" s="5" t="s">
        <v>328</v>
      </c>
      <c r="G6536" s="5" t="s">
        <v>42189</v>
      </c>
      <c r="H6536" s="6" t="s">
        <v>42190</v>
      </c>
      <c r="K6536" s="5" t="s">
        <v>42185</v>
      </c>
      <c r="M6536" s="5" t="s">
        <v>42191</v>
      </c>
      <c r="N6536" s="7" t="s">
        <v>42192</v>
      </c>
      <c r="O6536" s="8" t="str">
        <f>HYPERLINK("https://drive.google.com/file/d/1cS72Gmrv1CebuLrBqeyyN7joABa04vUD/view?usp=drivesdk","6535_ANITA BAHARI  _ SERTIFIKAT BerAKHLAK")</f>
        <v>6535_ANITA BAHARI  _ SERTIFIKAT BerAKHLAK</v>
      </c>
      <c r="P6536" s="5" t="s">
        <v>42171</v>
      </c>
    </row>
    <row r="6537">
      <c r="A6537" s="4">
        <v>45534.37053835648</v>
      </c>
      <c r="B6537" s="5" t="s">
        <v>34</v>
      </c>
      <c r="D6537" s="5" t="s">
        <v>267</v>
      </c>
      <c r="E6537" s="5" t="s">
        <v>42193</v>
      </c>
      <c r="F6537" s="5" t="s">
        <v>37</v>
      </c>
      <c r="G6537" s="5" t="s">
        <v>42194</v>
      </c>
      <c r="H6537" s="6" t="s">
        <v>42195</v>
      </c>
      <c r="K6537" s="5" t="s">
        <v>42185</v>
      </c>
      <c r="M6537" s="5" t="s">
        <v>42196</v>
      </c>
      <c r="N6537" s="7" t="s">
        <v>42197</v>
      </c>
      <c r="O6537" s="8" t="str">
        <f>HYPERLINK("https://drive.google.com/file/d/1WxesvkveM6KZMNEkxGkd2XvqL5IpjelH/view?usp=drivesdk","6536_OKI ADI PRANATA, A.Md. _ SERTIFIKAT BerAKHLAK")</f>
        <v>6536_OKI ADI PRANATA, A.Md. _ SERTIFIKAT BerAKHLAK</v>
      </c>
      <c r="P6537" s="5" t="s">
        <v>42198</v>
      </c>
    </row>
    <row r="6538">
      <c r="A6538" s="4">
        <v>45534.37054056713</v>
      </c>
      <c r="B6538" s="5" t="s">
        <v>34</v>
      </c>
      <c r="D6538" s="5" t="s">
        <v>1206</v>
      </c>
      <c r="E6538" s="5" t="s">
        <v>42199</v>
      </c>
      <c r="F6538" s="5" t="s">
        <v>120</v>
      </c>
      <c r="G6538" s="5" t="s">
        <v>42200</v>
      </c>
      <c r="H6538" s="6" t="s">
        <v>42201</v>
      </c>
      <c r="K6538" s="5" t="s">
        <v>42185</v>
      </c>
      <c r="M6538" s="5" t="s">
        <v>42202</v>
      </c>
      <c r="N6538" s="7" t="s">
        <v>42203</v>
      </c>
      <c r="O6538" s="8" t="str">
        <f>HYPERLINK("https://drive.google.com/file/d/1qaIzhObA03-CW-pTt98dE-yTfY5re2Qs/view?usp=drivesdk","6537_HARIYANTO SE MAP _ SERTIFIKAT BerAKHLAK")</f>
        <v>6537_HARIYANTO SE MAP _ SERTIFIKAT BerAKHLAK</v>
      </c>
      <c r="P6538" s="5" t="s">
        <v>42204</v>
      </c>
    </row>
    <row r="6539" hidden="1">
      <c r="A6539" s="4">
        <v>45534.370551388885</v>
      </c>
      <c r="B6539" s="5" t="s">
        <v>19</v>
      </c>
      <c r="C6539" s="5" t="s">
        <v>38343</v>
      </c>
      <c r="E6539" s="5" t="s">
        <v>42205</v>
      </c>
      <c r="F6539" s="5" t="s">
        <v>120</v>
      </c>
      <c r="G6539" s="5" t="s">
        <v>42206</v>
      </c>
      <c r="H6539" s="6" t="s">
        <v>42207</v>
      </c>
      <c r="K6539" s="5" t="s">
        <v>42185</v>
      </c>
      <c r="M6539" s="5" t="s">
        <v>42208</v>
      </c>
      <c r="N6539" s="7" t="s">
        <v>42209</v>
      </c>
      <c r="O6539" s="8" t="str">
        <f>HYPERLINK("https://drive.google.com/file/d/1EFOKcmsXA_gQECUpzuu-q2npGAdfFQi5/view?usp=drivesdk","6538_UMI NUR SHOLIKHAH, S.H. _ SERTIFIKAT BerAKHLAK")</f>
        <v>6538_UMI NUR SHOLIKHAH, S.H. _ SERTIFIKAT BerAKHLAK</v>
      </c>
      <c r="P6539" s="5" t="s">
        <v>42204</v>
      </c>
    </row>
    <row r="6540">
      <c r="A6540" s="4">
        <v>45534.37056059028</v>
      </c>
      <c r="B6540" s="5" t="s">
        <v>34</v>
      </c>
      <c r="D6540" s="5" t="s">
        <v>12978</v>
      </c>
      <c r="E6540" s="5" t="s">
        <v>42210</v>
      </c>
      <c r="F6540" s="5" t="s">
        <v>524</v>
      </c>
      <c r="G6540" s="5" t="s">
        <v>42211</v>
      </c>
      <c r="H6540" s="6" t="s">
        <v>42212</v>
      </c>
      <c r="K6540" s="5" t="s">
        <v>42185</v>
      </c>
      <c r="M6540" s="5" t="s">
        <v>42213</v>
      </c>
      <c r="N6540" s="7" t="s">
        <v>42214</v>
      </c>
      <c r="O6540" s="8" t="str">
        <f>HYPERLINK("https://drive.google.com/file/d/1CYILjUjqK81lxAh3QmMRfRxprxDZdcMY/view?usp=drivesdk","6539_RAKIAN SENTOSO,A.Md _ SERTIFIKAT BerAKHLAK")</f>
        <v>6539_RAKIAN SENTOSO,A.Md _ SERTIFIKAT BerAKHLAK</v>
      </c>
      <c r="P6540" s="5" t="s">
        <v>42204</v>
      </c>
    </row>
    <row r="6541">
      <c r="A6541" s="4">
        <v>45534.37056234953</v>
      </c>
      <c r="B6541" s="5" t="s">
        <v>34</v>
      </c>
      <c r="D6541" s="5" t="s">
        <v>1206</v>
      </c>
      <c r="E6541" s="5" t="s">
        <v>25246</v>
      </c>
      <c r="F6541" s="5" t="s">
        <v>212</v>
      </c>
      <c r="G6541" s="5" t="s">
        <v>42215</v>
      </c>
      <c r="H6541" s="6" t="s">
        <v>42216</v>
      </c>
      <c r="K6541" s="5" t="s">
        <v>42185</v>
      </c>
      <c r="M6541" s="5" t="s">
        <v>42217</v>
      </c>
      <c r="N6541" s="7" t="s">
        <v>42218</v>
      </c>
      <c r="O6541" s="8" t="str">
        <f>HYPERLINK("https://drive.google.com/file/d/1LZ5EEWjzrm8CG--IJgr559esBw-fqm5S/view?usp=drivesdk","6540_SITI MUNAWAROH _ SERTIFIKAT BerAKHLAK")</f>
        <v>6540_SITI MUNAWAROH _ SERTIFIKAT BerAKHLAK</v>
      </c>
      <c r="P6541" s="5" t="s">
        <v>42204</v>
      </c>
    </row>
    <row r="6542">
      <c r="A6542" s="4">
        <v>45534.37057533565</v>
      </c>
      <c r="B6542" s="5" t="s">
        <v>34</v>
      </c>
      <c r="D6542" s="5" t="s">
        <v>1206</v>
      </c>
      <c r="E6542" s="5" t="s">
        <v>42219</v>
      </c>
      <c r="F6542" s="5" t="s">
        <v>212</v>
      </c>
      <c r="G6542" s="5" t="s">
        <v>42220</v>
      </c>
      <c r="H6542" s="6" t="s">
        <v>42221</v>
      </c>
      <c r="K6542" s="5" t="s">
        <v>42185</v>
      </c>
      <c r="M6542" s="5" t="s">
        <v>42222</v>
      </c>
      <c r="N6542" s="7" t="s">
        <v>42223</v>
      </c>
      <c r="O6542" s="8" t="str">
        <f>HYPERLINK("https://drive.google.com/file/d/18RcutYarrVY4UXj5H-ag3zk3RH8Hw3_y/view?usp=drivesdk","6541_EVI SUSANTI _ SERTIFIKAT BerAKHLAK")</f>
        <v>6541_EVI SUSANTI _ SERTIFIKAT BerAKHLAK</v>
      </c>
      <c r="P6542" s="5" t="s">
        <v>42204</v>
      </c>
    </row>
    <row r="6543">
      <c r="A6543" s="4">
        <v>45534.37058038195</v>
      </c>
      <c r="B6543" s="5" t="s">
        <v>34</v>
      </c>
      <c r="D6543" s="5" t="s">
        <v>9020</v>
      </c>
      <c r="E6543" s="5" t="s">
        <v>42224</v>
      </c>
      <c r="F6543" s="5" t="s">
        <v>375</v>
      </c>
      <c r="G6543" s="5" t="s">
        <v>42225</v>
      </c>
      <c r="H6543" s="6" t="s">
        <v>42226</v>
      </c>
      <c r="K6543" s="5" t="s">
        <v>42185</v>
      </c>
      <c r="M6543" s="5" t="s">
        <v>42227</v>
      </c>
      <c r="N6543" s="7" t="s">
        <v>42228</v>
      </c>
      <c r="O6543" s="8" t="str">
        <f>HYPERLINK("https://drive.google.com/file/d/1u0jFweUfEIQpLoTtyYkSjxqmdmm12uBk/view?usp=drivesdk","6542_ROSMANIAR _ SERTIFIKAT BerAKHLAK")</f>
        <v>6542_ROSMANIAR _ SERTIFIKAT BerAKHLAK</v>
      </c>
      <c r="P6543" s="5" t="s">
        <v>42204</v>
      </c>
    </row>
    <row r="6544">
      <c r="A6544" s="4">
        <v>45534.37060877315</v>
      </c>
      <c r="B6544" s="5" t="s">
        <v>34</v>
      </c>
      <c r="D6544" s="5" t="s">
        <v>4775</v>
      </c>
      <c r="E6544" s="5" t="s">
        <v>42229</v>
      </c>
      <c r="F6544" s="5" t="s">
        <v>212</v>
      </c>
      <c r="G6544" s="5" t="s">
        <v>42230</v>
      </c>
      <c r="H6544" s="6" t="s">
        <v>42231</v>
      </c>
      <c r="K6544" s="5" t="s">
        <v>42232</v>
      </c>
      <c r="M6544" s="5" t="s">
        <v>42233</v>
      </c>
      <c r="N6544" s="7" t="s">
        <v>42234</v>
      </c>
      <c r="O6544" s="8" t="str">
        <f>HYPERLINK("https://drive.google.com/file/d/1-IGjF1fqOls4MCEZ_-OTV9u63EEpgcNo/view?usp=drivesdk","6543_YULI LATRIYANI _ SERTIFIKAT BerAKHLAK")</f>
        <v>6543_YULI LATRIYANI _ SERTIFIKAT BerAKHLAK</v>
      </c>
      <c r="P6544" s="5" t="s">
        <v>42235</v>
      </c>
    </row>
    <row r="6545">
      <c r="A6545" s="4">
        <v>45534.37061331018</v>
      </c>
      <c r="B6545" s="5" t="s">
        <v>34</v>
      </c>
      <c r="D6545" s="5" t="s">
        <v>1206</v>
      </c>
      <c r="E6545" s="5" t="s">
        <v>42236</v>
      </c>
      <c r="F6545" s="5" t="s">
        <v>37</v>
      </c>
      <c r="G6545" s="5" t="s">
        <v>42237</v>
      </c>
      <c r="H6545" s="6" t="s">
        <v>42238</v>
      </c>
      <c r="K6545" s="5" t="s">
        <v>42232</v>
      </c>
      <c r="M6545" s="5" t="s">
        <v>42239</v>
      </c>
      <c r="N6545" s="7" t="s">
        <v>42240</v>
      </c>
      <c r="O6545" s="8" t="str">
        <f>HYPERLINK("https://drive.google.com/file/d/1FK6kfoO204Z_zYfM_oMQuKrJkE6OuBTD/view?usp=drivesdk","6544_LULUK SUCIATI  _ SERTIFIKAT BerAKHLAK")</f>
        <v>6544_LULUK SUCIATI  _ SERTIFIKAT BerAKHLAK</v>
      </c>
      <c r="P6545" s="5" t="s">
        <v>42235</v>
      </c>
    </row>
    <row r="6546">
      <c r="A6546" s="4">
        <v>45534.370650150464</v>
      </c>
      <c r="B6546" s="5" t="s">
        <v>34</v>
      </c>
      <c r="D6546" s="5" t="s">
        <v>6232</v>
      </c>
      <c r="E6546" s="5" t="s">
        <v>42241</v>
      </c>
      <c r="F6546" s="5" t="s">
        <v>212</v>
      </c>
      <c r="G6546" s="5" t="s">
        <v>42242</v>
      </c>
      <c r="H6546" s="6" t="s">
        <v>42243</v>
      </c>
      <c r="K6546" s="5" t="s">
        <v>42244</v>
      </c>
      <c r="M6546" s="5" t="s">
        <v>42245</v>
      </c>
      <c r="N6546" s="7" t="s">
        <v>42246</v>
      </c>
      <c r="O6546" s="8" t="str">
        <f>HYPERLINK("https://drive.google.com/file/d/1GqJ_0KCXi93mHVusX2cTNQGaTXV7pdes/view?usp=drivesdk","6545_LELY HASTUTI _ SERTIFIKAT BerAKHLAK")</f>
        <v>6545_LELY HASTUTI _ SERTIFIKAT BerAKHLAK</v>
      </c>
      <c r="P6546" s="5" t="s">
        <v>42235</v>
      </c>
    </row>
    <row r="6547">
      <c r="A6547" s="4">
        <v>45534.370651793986</v>
      </c>
      <c r="B6547" s="5" t="s">
        <v>34</v>
      </c>
      <c r="D6547" s="5" t="s">
        <v>4775</v>
      </c>
      <c r="E6547" s="5" t="s">
        <v>42247</v>
      </c>
      <c r="F6547" s="5" t="s">
        <v>524</v>
      </c>
      <c r="G6547" s="5" t="s">
        <v>42248</v>
      </c>
      <c r="H6547" s="6" t="s">
        <v>42249</v>
      </c>
      <c r="K6547" s="5" t="s">
        <v>42244</v>
      </c>
      <c r="M6547" s="5" t="s">
        <v>42250</v>
      </c>
      <c r="N6547" s="7" t="s">
        <v>42251</v>
      </c>
      <c r="O6547" s="8" t="str">
        <f>HYPERLINK("https://drive.google.com/file/d/1JOCRrPHIQg-tOxSHjWupPmTbZSDvNxls/view?usp=drivesdk","6546_HARLINA D.S.Kom _ SERTIFIKAT BerAKHLAK")</f>
        <v>6546_HARLINA D.S.Kom _ SERTIFIKAT BerAKHLAK</v>
      </c>
      <c r="P6547" s="5" t="s">
        <v>42235</v>
      </c>
    </row>
    <row r="6548">
      <c r="A6548" s="4">
        <v>45534.370652314814</v>
      </c>
      <c r="B6548" s="5" t="s">
        <v>34</v>
      </c>
      <c r="D6548" s="5" t="s">
        <v>267</v>
      </c>
      <c r="E6548" s="5" t="s">
        <v>42252</v>
      </c>
      <c r="F6548" s="5" t="s">
        <v>108</v>
      </c>
      <c r="G6548" s="5" t="s">
        <v>42253</v>
      </c>
      <c r="H6548" s="6" t="s">
        <v>42254</v>
      </c>
      <c r="K6548" s="5" t="s">
        <v>42244</v>
      </c>
      <c r="M6548" s="5" t="s">
        <v>42255</v>
      </c>
      <c r="N6548" s="7" t="s">
        <v>42256</v>
      </c>
      <c r="O6548" s="8" t="str">
        <f>HYPERLINK("https://drive.google.com/file/d/1pHeBEe804h-TN5Qe0VYvbuhLhV6iho4P/view?usp=drivesdk","6547_PRIYO HANDOKO, A.Md. _ SERTIFIKAT BerAKHLAK")</f>
        <v>6547_PRIYO HANDOKO, A.Md. _ SERTIFIKAT BerAKHLAK</v>
      </c>
      <c r="P6548" s="5" t="s">
        <v>42235</v>
      </c>
    </row>
    <row r="6549" hidden="1">
      <c r="A6549" s="4">
        <v>45534.37065907408</v>
      </c>
      <c r="B6549" s="5" t="s">
        <v>19</v>
      </c>
      <c r="C6549" s="5" t="s">
        <v>292</v>
      </c>
      <c r="E6549" s="5" t="s">
        <v>42257</v>
      </c>
      <c r="F6549" s="5" t="s">
        <v>212</v>
      </c>
      <c r="G6549" s="5" t="s">
        <v>42258</v>
      </c>
      <c r="H6549" s="6" t="s">
        <v>42259</v>
      </c>
      <c r="K6549" s="5" t="s">
        <v>42244</v>
      </c>
      <c r="M6549" s="5" t="s">
        <v>42260</v>
      </c>
      <c r="N6549" s="7" t="s">
        <v>42261</v>
      </c>
      <c r="O6549" s="8" t="str">
        <f>HYPERLINK("https://drive.google.com/file/d/1NkpMENA96v_AcCO1fqtEv989HeqUIi6R/view?usp=drivesdk","6548_WAHYU INDRA BUDI, S.PD _ SERTIFIKAT BerAKHLAK")</f>
        <v>6548_WAHYU INDRA BUDI, S.PD _ SERTIFIKAT BerAKHLAK</v>
      </c>
      <c r="P6549" s="5" t="s">
        <v>42235</v>
      </c>
    </row>
    <row r="6550">
      <c r="A6550" s="4">
        <v>45534.37066158565</v>
      </c>
      <c r="B6550" s="5" t="s">
        <v>34</v>
      </c>
      <c r="D6550" s="5" t="s">
        <v>6232</v>
      </c>
      <c r="E6550" s="5" t="s">
        <v>42262</v>
      </c>
      <c r="F6550" s="5" t="s">
        <v>72</v>
      </c>
      <c r="G6550" s="5" t="s">
        <v>42263</v>
      </c>
      <c r="H6550" s="6" t="s">
        <v>42264</v>
      </c>
      <c r="K6550" s="5" t="s">
        <v>42244</v>
      </c>
      <c r="M6550" s="5" t="s">
        <v>42265</v>
      </c>
      <c r="N6550" s="7" t="s">
        <v>42266</v>
      </c>
      <c r="O6550" s="8" t="str">
        <f>HYPERLINK("https://drive.google.com/file/d/10xYIsQ0IfGy2ekhdR6KgDyi4FjyKdKjl/view?usp=drivesdk","6549_WIWIK WARSILOWATY _ SERTIFIKAT BerAKHLAK")</f>
        <v>6549_WIWIK WARSILOWATY _ SERTIFIKAT BerAKHLAK</v>
      </c>
      <c r="P6550" s="5" t="s">
        <v>42235</v>
      </c>
    </row>
    <row r="6551">
      <c r="A6551" s="4">
        <v>45534.370663344904</v>
      </c>
      <c r="B6551" s="5" t="s">
        <v>34</v>
      </c>
      <c r="D6551" s="5" t="s">
        <v>1558</v>
      </c>
      <c r="E6551" s="5" t="s">
        <v>42267</v>
      </c>
      <c r="F6551" s="5" t="s">
        <v>108</v>
      </c>
      <c r="G6551" s="5" t="s">
        <v>42268</v>
      </c>
      <c r="H6551" s="6" t="s">
        <v>42269</v>
      </c>
      <c r="K6551" s="5" t="s">
        <v>42244</v>
      </c>
      <c r="M6551" s="5" t="s">
        <v>42270</v>
      </c>
      <c r="N6551" s="7" t="s">
        <v>42271</v>
      </c>
      <c r="O6551" s="8" t="str">
        <f>HYPERLINK("https://drive.google.com/file/d/1pb0LX9QiRvaPszbVHJFogp5XhDqlcH5x/view?usp=drivesdk","6550_HJ. SITI YULIAH _ SERTIFIKAT BerAKHLAK")</f>
        <v>6550_HJ. SITI YULIAH _ SERTIFIKAT BerAKHLAK</v>
      </c>
      <c r="P6551" s="5" t="s">
        <v>42272</v>
      </c>
    </row>
    <row r="6552">
      <c r="A6552" s="4">
        <v>45534.37066729167</v>
      </c>
      <c r="B6552" s="5" t="s">
        <v>34</v>
      </c>
      <c r="D6552" s="5" t="s">
        <v>9020</v>
      </c>
      <c r="E6552" s="5" t="s">
        <v>42273</v>
      </c>
      <c r="F6552" s="5" t="s">
        <v>108</v>
      </c>
      <c r="G6552" s="5" t="s">
        <v>42274</v>
      </c>
      <c r="H6552" s="6" t="s">
        <v>42275</v>
      </c>
      <c r="K6552" s="5" t="s">
        <v>42276</v>
      </c>
      <c r="M6552" s="5" t="s">
        <v>42277</v>
      </c>
      <c r="N6552" s="7" t="s">
        <v>42278</v>
      </c>
      <c r="O6552" s="8" t="str">
        <f>HYPERLINK("https://drive.google.com/file/d/1JpJagDbl-FtNXJvrCkICuu9WeiElj4xU/view?usp=drivesdk","6551_HANIJAH _ SERTIFIKAT BerAKHLAK")</f>
        <v>6551_HANIJAH _ SERTIFIKAT BerAKHLAK</v>
      </c>
      <c r="P6552" s="5" t="s">
        <v>42272</v>
      </c>
    </row>
    <row r="6553">
      <c r="A6553" s="4">
        <v>45534.37067020833</v>
      </c>
      <c r="B6553" s="5" t="s">
        <v>34</v>
      </c>
      <c r="D6553" s="5" t="s">
        <v>1206</v>
      </c>
      <c r="E6553" s="5" t="s">
        <v>42279</v>
      </c>
      <c r="F6553" s="5" t="s">
        <v>375</v>
      </c>
      <c r="G6553" s="5" t="s">
        <v>42280</v>
      </c>
      <c r="H6553" s="6" t="s">
        <v>42281</v>
      </c>
      <c r="K6553" s="5" t="s">
        <v>42276</v>
      </c>
      <c r="M6553" s="5" t="s">
        <v>42282</v>
      </c>
      <c r="N6553" s="9" t="s">
        <v>42283</v>
      </c>
      <c r="O6553" s="8" t="str">
        <f>HYPERLINK("https://drive.google.com/file/d/158veLVEREEZA5A0zPw2431TL9SHXFqVX/view?usp=drivesdk","6552_NETTY SUSIYANAH, Amd. S.KM _ SERTIFIKAT BerAKHLAK")</f>
        <v>6552_NETTY SUSIYANAH, Amd. S.KM _ SERTIFIKAT BerAKHLAK</v>
      </c>
      <c r="P6553" s="5" t="s">
        <v>42272</v>
      </c>
    </row>
    <row r="6554">
      <c r="A6554" s="4">
        <v>45534.37067846065</v>
      </c>
      <c r="B6554" s="5" t="s">
        <v>34</v>
      </c>
      <c r="D6554" s="5" t="s">
        <v>4775</v>
      </c>
      <c r="E6554" s="5" t="s">
        <v>42284</v>
      </c>
      <c r="F6554" s="5" t="s">
        <v>328</v>
      </c>
      <c r="G6554" s="5" t="s">
        <v>42285</v>
      </c>
      <c r="H6554" s="6" t="s">
        <v>42286</v>
      </c>
      <c r="K6554" s="5" t="s">
        <v>42276</v>
      </c>
      <c r="M6554" s="5" t="s">
        <v>42287</v>
      </c>
      <c r="N6554" s="7" t="s">
        <v>42288</v>
      </c>
      <c r="O6554" s="8" t="str">
        <f>HYPERLINK("https://drive.google.com/file/d/1kDSTjBJMT9CmGkGIWwRJTh85_QejiGm4/view?usp=drivesdk","6553_ASMUNI _ SERTIFIKAT BerAKHLAK")</f>
        <v>6553_ASMUNI _ SERTIFIKAT BerAKHLAK</v>
      </c>
      <c r="P6554" s="5" t="s">
        <v>42272</v>
      </c>
    </row>
    <row r="6555">
      <c r="A6555" s="4">
        <v>45534.370688379626</v>
      </c>
      <c r="B6555" s="5" t="s">
        <v>34</v>
      </c>
      <c r="D6555" s="5" t="s">
        <v>9020</v>
      </c>
      <c r="E6555" s="5" t="s">
        <v>42289</v>
      </c>
      <c r="F6555" s="5" t="s">
        <v>212</v>
      </c>
      <c r="G6555" s="5" t="s">
        <v>42290</v>
      </c>
      <c r="H6555" s="6" t="s">
        <v>42291</v>
      </c>
      <c r="K6555" s="5" t="s">
        <v>42292</v>
      </c>
      <c r="M6555" s="5" t="s">
        <v>42293</v>
      </c>
      <c r="N6555" s="7" t="s">
        <v>42294</v>
      </c>
      <c r="O6555" s="8" t="str">
        <f>HYPERLINK("https://drive.google.com/file/d/1ck7atN9dKIYcpdqMNFNhgOGfaCk1FIsR/view?usp=drivesdk","6554_TRI MURNI JUNIARTI SIREGAR _ SERTIFIKAT BerAKHLAK")</f>
        <v>6554_TRI MURNI JUNIARTI SIREGAR _ SERTIFIKAT BerAKHLAK</v>
      </c>
      <c r="P6555" s="5" t="s">
        <v>42272</v>
      </c>
    </row>
    <row r="6556">
      <c r="A6556" s="4">
        <v>45534.37069077547</v>
      </c>
      <c r="B6556" s="5" t="s">
        <v>34</v>
      </c>
      <c r="D6556" s="5" t="s">
        <v>1206</v>
      </c>
      <c r="E6556" s="5" t="s">
        <v>42295</v>
      </c>
      <c r="F6556" s="5" t="s">
        <v>375</v>
      </c>
      <c r="G6556" s="5" t="s">
        <v>42296</v>
      </c>
      <c r="H6556" s="6" t="s">
        <v>42297</v>
      </c>
      <c r="K6556" s="5" t="s">
        <v>42292</v>
      </c>
      <c r="M6556" s="5" t="s">
        <v>42298</v>
      </c>
      <c r="N6556" s="7" t="s">
        <v>42299</v>
      </c>
      <c r="O6556" s="8" t="str">
        <f>HYPERLINK("https://drive.google.com/file/d/1JzzKGYC5Zzx5Wi6S_bOhHfAqhLpvwY4f/view?usp=drivesdk","6555_SUSANA DWI ASTUTI, S.Kep.,Ners _ SERTIFIKAT BerAKHLAK")</f>
        <v>6555_SUSANA DWI ASTUTI, S.Kep.,Ners _ SERTIFIKAT BerAKHLAK</v>
      </c>
      <c r="P6556" s="5" t="s">
        <v>42272</v>
      </c>
    </row>
    <row r="6557">
      <c r="A6557" s="4">
        <v>45534.37069302083</v>
      </c>
      <c r="B6557" s="5" t="s">
        <v>34</v>
      </c>
      <c r="D6557" s="5" t="s">
        <v>6232</v>
      </c>
      <c r="E6557" s="5" t="s">
        <v>42300</v>
      </c>
      <c r="F6557" s="5" t="s">
        <v>37</v>
      </c>
      <c r="G6557" s="5" t="s">
        <v>42301</v>
      </c>
      <c r="H6557" s="6" t="s">
        <v>42302</v>
      </c>
      <c r="K6557" s="5" t="s">
        <v>42292</v>
      </c>
      <c r="M6557" s="5" t="s">
        <v>42303</v>
      </c>
      <c r="N6557" s="7" t="s">
        <v>42304</v>
      </c>
      <c r="O6557" s="8" t="str">
        <f>HYPERLINK("https://drive.google.com/file/d/1nrsziCE2NgK521tMTASuP4tYq031gM6R/view?usp=drivesdk","6556_RITA MIARSIH, AMd. RM _ SERTIFIKAT BerAKHLAK")</f>
        <v>6556_RITA MIARSIH, AMd. RM _ SERTIFIKAT BerAKHLAK</v>
      </c>
      <c r="P6557" s="5" t="s">
        <v>42305</v>
      </c>
    </row>
    <row r="6558">
      <c r="A6558" s="4">
        <v>45534.370698391205</v>
      </c>
      <c r="B6558" s="5" t="s">
        <v>34</v>
      </c>
      <c r="D6558" s="5" t="s">
        <v>1206</v>
      </c>
      <c r="E6558" s="5" t="s">
        <v>42306</v>
      </c>
      <c r="F6558" s="5" t="s">
        <v>37</v>
      </c>
      <c r="G6558" s="5" t="s">
        <v>42307</v>
      </c>
      <c r="H6558" s="6" t="s">
        <v>42308</v>
      </c>
      <c r="K6558" s="5" t="s">
        <v>42292</v>
      </c>
      <c r="M6558" s="5" t="s">
        <v>42309</v>
      </c>
      <c r="N6558" s="7" t="s">
        <v>42310</v>
      </c>
      <c r="O6558" s="8" t="str">
        <f>HYPERLINK("https://drive.google.com/file/d/17nApRzBIXUCQeGjJjdp0Zl4U78JJZurQ/view?usp=drivesdk","6557_MAS UD EFENDI _ SERTIFIKAT BerAKHLAK")</f>
        <v>6557_MAS UD EFENDI _ SERTIFIKAT BerAKHLAK</v>
      </c>
      <c r="P6558" s="5" t="s">
        <v>42305</v>
      </c>
    </row>
    <row r="6559">
      <c r="A6559" s="4">
        <v>45534.37070969907</v>
      </c>
      <c r="B6559" s="5" t="s">
        <v>34</v>
      </c>
      <c r="D6559" s="5" t="s">
        <v>1206</v>
      </c>
      <c r="E6559" s="5" t="s">
        <v>42311</v>
      </c>
      <c r="F6559" s="5" t="s">
        <v>375</v>
      </c>
      <c r="G6559" s="5" t="s">
        <v>42312</v>
      </c>
      <c r="H6559" s="6" t="s">
        <v>42313</v>
      </c>
      <c r="K6559" s="5" t="s">
        <v>42292</v>
      </c>
      <c r="M6559" s="5" t="s">
        <v>42314</v>
      </c>
      <c r="N6559" s="7" t="s">
        <v>42315</v>
      </c>
      <c r="O6559" s="8" t="str">
        <f>HYPERLINK("https://drive.google.com/file/d/1ARJxLE7fLzBBidNMdwBE3F7S9rp25qbf/view?usp=drivesdk","6558_PRISTIHENI _ SERTIFIKAT BerAKHLAK")</f>
        <v>6558_PRISTIHENI _ SERTIFIKAT BerAKHLAK</v>
      </c>
      <c r="P6559" s="5" t="s">
        <v>42305</v>
      </c>
    </row>
    <row r="6560">
      <c r="A6560" s="4">
        <v>45534.37072791667</v>
      </c>
      <c r="B6560" s="5" t="s">
        <v>34</v>
      </c>
      <c r="D6560" s="5" t="s">
        <v>1558</v>
      </c>
      <c r="E6560" s="5" t="s">
        <v>15596</v>
      </c>
      <c r="F6560" s="5" t="s">
        <v>375</v>
      </c>
      <c r="G6560" s="5" t="s">
        <v>42316</v>
      </c>
      <c r="H6560" s="6" t="s">
        <v>42317</v>
      </c>
      <c r="K6560" s="5" t="s">
        <v>42318</v>
      </c>
      <c r="M6560" s="5" t="s">
        <v>42319</v>
      </c>
      <c r="N6560" s="7" t="s">
        <v>42320</v>
      </c>
      <c r="O6560" s="8" t="str">
        <f>HYPERLINK("https://drive.google.com/file/d/1gM6Mp9rRshkJ6wmkcfShfkxsosTSq_j2/view?usp=drivesdk","6559_MELLYANA, S. E., M. Tr. A. P _ SERTIFIKAT BerAKHLAK")</f>
        <v>6559_MELLYANA, S. E., M. Tr. A. P _ SERTIFIKAT BerAKHLAK</v>
      </c>
      <c r="P6560" s="5" t="s">
        <v>42305</v>
      </c>
    </row>
    <row r="6561">
      <c r="A6561" s="4">
        <v>45534.37072905093</v>
      </c>
      <c r="B6561" s="5" t="s">
        <v>34</v>
      </c>
      <c r="D6561" s="5" t="s">
        <v>9020</v>
      </c>
      <c r="E6561" s="5" t="s">
        <v>21150</v>
      </c>
      <c r="F6561" s="5" t="s">
        <v>212</v>
      </c>
      <c r="G6561" s="5" t="s">
        <v>42321</v>
      </c>
      <c r="H6561" s="6" t="s">
        <v>42322</v>
      </c>
      <c r="K6561" s="5" t="s">
        <v>42318</v>
      </c>
      <c r="M6561" s="5" t="s">
        <v>42323</v>
      </c>
      <c r="N6561" s="7" t="s">
        <v>42324</v>
      </c>
      <c r="O6561" s="8" t="str">
        <f>HYPERLINK("https://drive.google.com/file/d/1q9tOVhxZaF-j9z18aSV9vTZAXOOo_ELm/view?usp=drivesdk","6560_MURTINI _ SERTIFIKAT BerAKHLAK")</f>
        <v>6560_MURTINI _ SERTIFIKAT BerAKHLAK</v>
      </c>
      <c r="P6561" s="5" t="s">
        <v>42305</v>
      </c>
    </row>
    <row r="6562">
      <c r="A6562" s="4">
        <v>45534.37072896991</v>
      </c>
      <c r="B6562" s="5" t="s">
        <v>34</v>
      </c>
      <c r="D6562" s="5" t="s">
        <v>1206</v>
      </c>
      <c r="E6562" s="5" t="s">
        <v>42325</v>
      </c>
      <c r="F6562" s="5" t="s">
        <v>72</v>
      </c>
      <c r="G6562" s="5" t="s">
        <v>42326</v>
      </c>
      <c r="H6562" s="6" t="s">
        <v>42327</v>
      </c>
      <c r="K6562" s="5" t="s">
        <v>42318</v>
      </c>
      <c r="M6562" s="5" t="s">
        <v>42328</v>
      </c>
      <c r="N6562" s="7" t="s">
        <v>42329</v>
      </c>
      <c r="O6562" s="8" t="str">
        <f>HYPERLINK("https://drive.google.com/file/d/1-UMxjpo1IwDrHrN9cps4svdQkDrsY6I7/view?usp=drivesdk","6561_SUBAKAT, S.Kep. Ns. _ SERTIFIKAT BerAKHLAK")</f>
        <v>6561_SUBAKAT, S.Kep. Ns. _ SERTIFIKAT BerAKHLAK</v>
      </c>
      <c r="P6562" s="5" t="s">
        <v>42305</v>
      </c>
    </row>
    <row r="6563">
      <c r="A6563" s="4">
        <v>45534.370748981484</v>
      </c>
      <c r="B6563" s="5" t="s">
        <v>34</v>
      </c>
      <c r="D6563" s="5" t="s">
        <v>12978</v>
      </c>
      <c r="E6563" s="5" t="s">
        <v>42330</v>
      </c>
      <c r="F6563" s="5" t="s">
        <v>212</v>
      </c>
      <c r="G6563" s="5" t="s">
        <v>42331</v>
      </c>
      <c r="H6563" s="6" t="s">
        <v>42332</v>
      </c>
      <c r="K6563" s="5" t="s">
        <v>42318</v>
      </c>
      <c r="M6563" s="5" t="s">
        <v>42333</v>
      </c>
      <c r="N6563" s="7" t="s">
        <v>42334</v>
      </c>
      <c r="O6563" s="8" t="str">
        <f>HYPERLINK("https://drive.google.com/file/d/1kw5cgCcmDd_RG5m6zbgXDES6Noz4JpVz/view?usp=drivesdk","6562_SITI AUSA _ SERTIFIKAT BerAKHLAK")</f>
        <v>6562_SITI AUSA _ SERTIFIKAT BerAKHLAK</v>
      </c>
      <c r="P6563" s="5" t="s">
        <v>42335</v>
      </c>
    </row>
    <row r="6564">
      <c r="A6564" s="4">
        <v>45534.37077609954</v>
      </c>
      <c r="B6564" s="5" t="s">
        <v>34</v>
      </c>
      <c r="D6564" s="5" t="s">
        <v>12010</v>
      </c>
      <c r="E6564" s="5" t="s">
        <v>42336</v>
      </c>
      <c r="F6564" s="5" t="s">
        <v>37</v>
      </c>
      <c r="G6564" s="5" t="s">
        <v>42337</v>
      </c>
      <c r="H6564" s="6" t="s">
        <v>42338</v>
      </c>
      <c r="K6564" s="5" t="s">
        <v>42318</v>
      </c>
      <c r="M6564" s="5" t="s">
        <v>42339</v>
      </c>
      <c r="N6564" s="7" t="s">
        <v>42340</v>
      </c>
      <c r="O6564" s="8" t="str">
        <f>HYPERLINK("https://drive.google.com/file/d/1e6b54ZciDGmTjp7M9CRZQgW99Vrl-sJM/view?usp=drivesdk","6563_SOFYAN OLANDJU _ SERTIFIKAT BerAKHLAK")</f>
        <v>6563_SOFYAN OLANDJU _ SERTIFIKAT BerAKHLAK</v>
      </c>
      <c r="P6564" s="5" t="s">
        <v>42335</v>
      </c>
    </row>
    <row r="6565">
      <c r="A6565" s="4">
        <v>45534.37078351852</v>
      </c>
      <c r="B6565" s="5" t="s">
        <v>34</v>
      </c>
      <c r="D6565" s="5" t="s">
        <v>10297</v>
      </c>
      <c r="E6565" s="5" t="s">
        <v>42341</v>
      </c>
      <c r="F6565" s="5" t="s">
        <v>37</v>
      </c>
      <c r="G6565" s="5" t="s">
        <v>42342</v>
      </c>
      <c r="H6565" s="6" t="s">
        <v>42343</v>
      </c>
      <c r="K6565" s="5" t="s">
        <v>42318</v>
      </c>
      <c r="M6565" s="5" t="s">
        <v>42344</v>
      </c>
      <c r="N6565" s="7" t="s">
        <v>42345</v>
      </c>
      <c r="O6565" s="8" t="str">
        <f>HYPERLINK("https://drive.google.com/file/d/1QlOTB7UKUOqa99w6bwFtXL87LW1QWYFQ/view?usp=drivesdk","6564_MONICA _ SERTIFIKAT BerAKHLAK")</f>
        <v>6564_MONICA _ SERTIFIKAT BerAKHLAK</v>
      </c>
      <c r="P6565" s="5" t="s">
        <v>42335</v>
      </c>
    </row>
    <row r="6566">
      <c r="A6566" s="4">
        <v>45534.37082119213</v>
      </c>
      <c r="B6566" s="5" t="s">
        <v>34</v>
      </c>
      <c r="D6566" s="5" t="s">
        <v>9020</v>
      </c>
      <c r="E6566" s="5" t="s">
        <v>42346</v>
      </c>
      <c r="F6566" s="5" t="s">
        <v>22</v>
      </c>
      <c r="G6566" s="5" t="s">
        <v>35475</v>
      </c>
      <c r="H6566" s="6" t="s">
        <v>42347</v>
      </c>
      <c r="K6566" s="5" t="s">
        <v>42318</v>
      </c>
      <c r="M6566" s="5" t="s">
        <v>42348</v>
      </c>
      <c r="N6566" s="7" t="s">
        <v>42349</v>
      </c>
      <c r="O6566" s="8" t="str">
        <f>HYPERLINK("https://drive.google.com/file/d/1PFrP0p0vHxYBQF4Qf_SVkiRGOFKbfCgJ/view?usp=drivesdk","6565_Ahmad Rudy Sihaloho, MA _ SERTIFIKAT BerAKHLAK")</f>
        <v>6565_Ahmad Rudy Sihaloho, MA _ SERTIFIKAT BerAKHLAK</v>
      </c>
      <c r="P6566" s="5" t="s">
        <v>42335</v>
      </c>
    </row>
    <row r="6567">
      <c r="A6567" s="4">
        <v>45534.37083612269</v>
      </c>
      <c r="B6567" s="5" t="s">
        <v>34</v>
      </c>
      <c r="D6567" s="5" t="s">
        <v>1206</v>
      </c>
      <c r="E6567" s="5" t="s">
        <v>42350</v>
      </c>
      <c r="F6567" s="5" t="s">
        <v>37</v>
      </c>
      <c r="G6567" s="5" t="s">
        <v>42351</v>
      </c>
      <c r="H6567" s="6" t="s">
        <v>42352</v>
      </c>
      <c r="K6567" s="5" t="s">
        <v>42318</v>
      </c>
      <c r="M6567" s="5" t="s">
        <v>42353</v>
      </c>
      <c r="N6567" s="7" t="s">
        <v>42354</v>
      </c>
      <c r="O6567" s="8" t="str">
        <f>HYPERLINK("https://drive.google.com/file/d/1sAMBsiVz_qiwfx9jwjFMgSYLdd81L_VQ/view?usp=drivesdk","6566_FUAD TAUFIK _ SERTIFIKAT BerAKHLAK")</f>
        <v>6566_FUAD TAUFIK _ SERTIFIKAT BerAKHLAK</v>
      </c>
      <c r="P6567" s="5" t="s">
        <v>42335</v>
      </c>
    </row>
    <row r="6568">
      <c r="A6568" s="4">
        <v>45534.37084800926</v>
      </c>
      <c r="B6568" s="5" t="s">
        <v>34</v>
      </c>
      <c r="D6568" s="5" t="s">
        <v>1206</v>
      </c>
      <c r="E6568" s="5" t="s">
        <v>42355</v>
      </c>
      <c r="F6568" s="5" t="s">
        <v>72</v>
      </c>
      <c r="G6568" s="5" t="s">
        <v>42356</v>
      </c>
      <c r="H6568" s="6" t="s">
        <v>42357</v>
      </c>
      <c r="K6568" s="5" t="s">
        <v>42318</v>
      </c>
      <c r="M6568" s="5" t="s">
        <v>42358</v>
      </c>
      <c r="N6568" s="7" t="s">
        <v>42359</v>
      </c>
      <c r="O6568" s="8" t="str">
        <f>HYPERLINK("https://drive.google.com/file/d/1V2wJVFxtSUWe9JvBiyVikh6B4boj254c/view?usp=drivesdk","6567_CANDRA DWIANA DEWI,S.Kep.,Ns _ SERTIFIKAT BerAKHLAK")</f>
        <v>6567_CANDRA DWIANA DEWI,S.Kep.,Ns _ SERTIFIKAT BerAKHLAK</v>
      </c>
      <c r="P6568" s="5" t="s">
        <v>42335</v>
      </c>
    </row>
    <row r="6569">
      <c r="A6569" s="4">
        <v>45534.37085947917</v>
      </c>
      <c r="B6569" s="5" t="s">
        <v>34</v>
      </c>
      <c r="D6569" s="5" t="s">
        <v>604</v>
      </c>
      <c r="E6569" s="5" t="s">
        <v>42360</v>
      </c>
      <c r="F6569" s="5" t="s">
        <v>375</v>
      </c>
      <c r="G6569" s="5" t="s">
        <v>42361</v>
      </c>
      <c r="H6569" s="6" t="s">
        <v>42362</v>
      </c>
      <c r="K6569" s="5" t="s">
        <v>42318</v>
      </c>
      <c r="M6569" s="5" t="s">
        <v>42363</v>
      </c>
      <c r="N6569" s="7" t="s">
        <v>42364</v>
      </c>
      <c r="O6569" s="8" t="str">
        <f>HYPERLINK("https://drive.google.com/file/d/1PZKfmkbkqST6qX8KxZCL0GCdoytFZDi4/view?usp=drivesdk","6568_ELLY SUSILOWATI SUHARTO _ SERTIFIKAT BerAKHLAK")</f>
        <v>6568_ELLY SUSILOWATI SUHARTO _ SERTIFIKAT BerAKHLAK</v>
      </c>
      <c r="P6569" s="5" t="s">
        <v>42365</v>
      </c>
    </row>
    <row r="6570">
      <c r="A6570" s="4">
        <v>45534.37086833333</v>
      </c>
      <c r="B6570" s="5" t="s">
        <v>34</v>
      </c>
      <c r="D6570" s="5" t="s">
        <v>6232</v>
      </c>
      <c r="E6570" s="5" t="s">
        <v>42366</v>
      </c>
      <c r="F6570" s="5" t="s">
        <v>108</v>
      </c>
      <c r="G6570" s="5" t="s">
        <v>42367</v>
      </c>
      <c r="H6570" s="6" t="s">
        <v>42368</v>
      </c>
      <c r="K6570" s="5" t="s">
        <v>42318</v>
      </c>
      <c r="M6570" s="5" t="s">
        <v>42369</v>
      </c>
      <c r="N6570" s="7" t="s">
        <v>42370</v>
      </c>
      <c r="O6570" s="8" t="str">
        <f>HYPERLINK("https://drive.google.com/file/d/1ra5rEMACujkyydIDf_RaU6IFp_9e2dbt/view?usp=drivesdk","6569_TIONILDA.S _ SERTIFIKAT BerAKHLAK")</f>
        <v>6569_TIONILDA.S _ SERTIFIKAT BerAKHLAK</v>
      </c>
      <c r="P6570" s="5" t="s">
        <v>42365</v>
      </c>
    </row>
    <row r="6571">
      <c r="A6571" s="4">
        <v>45534.370902696755</v>
      </c>
      <c r="B6571" s="5" t="s">
        <v>34</v>
      </c>
      <c r="D6571" s="5" t="s">
        <v>1206</v>
      </c>
      <c r="E6571" s="5" t="s">
        <v>42371</v>
      </c>
      <c r="F6571" s="5" t="s">
        <v>524</v>
      </c>
      <c r="G6571" s="5" t="s">
        <v>42372</v>
      </c>
      <c r="H6571" s="6" t="s">
        <v>42373</v>
      </c>
      <c r="K6571" s="5" t="s">
        <v>42318</v>
      </c>
      <c r="M6571" s="5" t="s">
        <v>42374</v>
      </c>
      <c r="N6571" s="7" t="s">
        <v>42375</v>
      </c>
      <c r="O6571" s="8" t="str">
        <f>HYPERLINK("https://drive.google.com/file/d/1VVsw_-K6K3HOO3UGCM5LFwcbwQo3rJ9F/view?usp=drivesdk","6570_YETIK APRILINA, S. Kep., Ners  _ SERTIFIKAT BerAKHLAK")</f>
        <v>6570_YETIK APRILINA, S. Kep., Ners  _ SERTIFIKAT BerAKHLAK</v>
      </c>
      <c r="P6571" s="5" t="s">
        <v>42365</v>
      </c>
    </row>
    <row r="6572">
      <c r="A6572" s="4">
        <v>45534.37091197917</v>
      </c>
      <c r="B6572" s="5" t="s">
        <v>34</v>
      </c>
      <c r="D6572" s="5" t="s">
        <v>1206</v>
      </c>
      <c r="E6572" s="5" t="s">
        <v>42376</v>
      </c>
      <c r="F6572" s="5" t="s">
        <v>72</v>
      </c>
      <c r="G6572" s="5" t="s">
        <v>42377</v>
      </c>
      <c r="H6572" s="6" t="s">
        <v>42378</v>
      </c>
      <c r="K6572" s="5" t="s">
        <v>42318</v>
      </c>
      <c r="M6572" s="5" t="s">
        <v>42379</v>
      </c>
      <c r="N6572" s="7" t="s">
        <v>42380</v>
      </c>
      <c r="O6572" s="8" t="str">
        <f>HYPERLINK("https://drive.google.com/file/d/1buKnogP9pRXtmCjOpO81-trJs7lP9EdO/view?usp=drivesdk","6571_YUNIK CHRISTIYANINGSIH _ SERTIFIKAT BerAKHLAK")</f>
        <v>6571_YUNIK CHRISTIYANINGSIH _ SERTIFIKAT BerAKHLAK</v>
      </c>
      <c r="P6572" s="5" t="s">
        <v>42381</v>
      </c>
    </row>
    <row r="6573">
      <c r="A6573" s="4">
        <v>45534.370912604165</v>
      </c>
      <c r="B6573" s="5" t="s">
        <v>34</v>
      </c>
      <c r="D6573" s="5" t="s">
        <v>701</v>
      </c>
      <c r="E6573" s="5" t="s">
        <v>42382</v>
      </c>
      <c r="F6573" s="5" t="s">
        <v>212</v>
      </c>
      <c r="G6573" s="5" t="s">
        <v>42383</v>
      </c>
      <c r="H6573" s="6" t="s">
        <v>42384</v>
      </c>
      <c r="K6573" s="5" t="s">
        <v>42318</v>
      </c>
      <c r="M6573" s="5" t="s">
        <v>42385</v>
      </c>
      <c r="N6573" s="7" t="s">
        <v>42386</v>
      </c>
      <c r="O6573" s="8" t="str">
        <f>HYPERLINK("https://drive.google.com/file/d/1Qj4oVCl1TfpBuv3Q4weUvTSBH0X-YRRj/view?usp=drivesdk","6572_REFFI SURIANY  _ SERTIFIKAT BerAKHLAK")</f>
        <v>6572_REFFI SURIANY  _ SERTIFIKAT BerAKHLAK</v>
      </c>
      <c r="P6573" s="5" t="s">
        <v>42381</v>
      </c>
    </row>
    <row r="6574">
      <c r="A6574" s="4">
        <v>45534.37092726852</v>
      </c>
      <c r="B6574" s="5" t="s">
        <v>34</v>
      </c>
      <c r="D6574" s="5" t="s">
        <v>15401</v>
      </c>
      <c r="E6574" s="5" t="s">
        <v>42387</v>
      </c>
      <c r="F6574" s="5" t="s">
        <v>375</v>
      </c>
      <c r="G6574" s="5" t="s">
        <v>42388</v>
      </c>
      <c r="H6574" s="6" t="s">
        <v>42389</v>
      </c>
      <c r="K6574" s="5" t="s">
        <v>42318</v>
      </c>
      <c r="M6574" s="5" t="s">
        <v>42390</v>
      </c>
      <c r="N6574" s="7" t="s">
        <v>42391</v>
      </c>
      <c r="O6574" s="8" t="str">
        <f>HYPERLINK("https://drive.google.com/file/d/1GTTTThIPy3SK4t6oLsiNhfKKcg4567qd/view?usp=drivesdk","6573_MUHAMMAD ARIPIN _ SERTIFIKAT BerAKHLAK")</f>
        <v>6573_MUHAMMAD ARIPIN _ SERTIFIKAT BerAKHLAK</v>
      </c>
      <c r="P6574" s="5" t="s">
        <v>42381</v>
      </c>
    </row>
    <row r="6575">
      <c r="A6575" s="4">
        <v>45534.37094407408</v>
      </c>
      <c r="B6575" s="5" t="s">
        <v>34</v>
      </c>
      <c r="D6575" s="5" t="s">
        <v>9020</v>
      </c>
      <c r="E6575" s="5" t="s">
        <v>42392</v>
      </c>
      <c r="F6575" s="5" t="s">
        <v>212</v>
      </c>
      <c r="G6575" s="5" t="s">
        <v>42393</v>
      </c>
      <c r="H6575" s="6" t="s">
        <v>42394</v>
      </c>
      <c r="K6575" s="5" t="s">
        <v>42318</v>
      </c>
      <c r="M6575" s="5" t="s">
        <v>42395</v>
      </c>
      <c r="N6575" s="7" t="s">
        <v>42396</v>
      </c>
      <c r="O6575" s="8" t="str">
        <f>HYPERLINK("https://drive.google.com/file/d/17nVA6H3wIGneY2k9BAH9XoLHPjso5H-Z/view?usp=drivesdk","6574_ELSA SEPTIURMA SITOMPUL _ SERTIFIKAT BerAKHLAK")</f>
        <v>6574_ELSA SEPTIURMA SITOMPUL _ SERTIFIKAT BerAKHLAK</v>
      </c>
      <c r="P6575" s="5" t="s">
        <v>42381</v>
      </c>
    </row>
    <row r="6576">
      <c r="A6576" s="4">
        <v>45534.37097590278</v>
      </c>
      <c r="B6576" s="5" t="s">
        <v>34</v>
      </c>
      <c r="D6576" s="5" t="s">
        <v>11527</v>
      </c>
      <c r="E6576" s="5" t="s">
        <v>42397</v>
      </c>
      <c r="F6576" s="5" t="s">
        <v>120</v>
      </c>
      <c r="G6576" s="5" t="s">
        <v>42398</v>
      </c>
      <c r="H6576" s="6" t="s">
        <v>42399</v>
      </c>
      <c r="K6576" s="5" t="s">
        <v>42318</v>
      </c>
      <c r="M6576" s="5" t="s">
        <v>42400</v>
      </c>
      <c r="N6576" s="7" t="s">
        <v>42401</v>
      </c>
      <c r="O6576" s="8" t="str">
        <f>HYPERLINK("https://drive.google.com/file/d/1RYrNarBGLv-3ima7a6F3255Npef9Z8Wl/view?usp=drivesdk","6575_NORTJE MONINGKA, S.E _ SERTIFIKAT BerAKHLAK")</f>
        <v>6575_NORTJE MONINGKA, S.E _ SERTIFIKAT BerAKHLAK</v>
      </c>
      <c r="P6576" s="5" t="s">
        <v>42402</v>
      </c>
    </row>
    <row r="6577" hidden="1">
      <c r="A6577" s="4">
        <v>45534.37098504629</v>
      </c>
      <c r="B6577" s="5" t="s">
        <v>19</v>
      </c>
      <c r="C6577" s="5" t="s">
        <v>466</v>
      </c>
      <c r="E6577" s="5" t="s">
        <v>42403</v>
      </c>
      <c r="F6577" s="5" t="s">
        <v>72</v>
      </c>
      <c r="G6577" s="5" t="s">
        <v>42404</v>
      </c>
      <c r="H6577" s="6" t="s">
        <v>42405</v>
      </c>
      <c r="K6577" s="5" t="s">
        <v>42318</v>
      </c>
      <c r="M6577" s="5" t="s">
        <v>42406</v>
      </c>
      <c r="N6577" s="7" t="s">
        <v>42407</v>
      </c>
      <c r="O6577" s="8" t="str">
        <f>HYPERLINK("https://drive.google.com/file/d/1aahugIkkseLMCUmVgAf-4nYHiPbq01Na/view?usp=drivesdk","6576_TRI RATNO FEBRI HERAWANTO _ SERTIFIKAT BerAKHLAK")</f>
        <v>6576_TRI RATNO FEBRI HERAWANTO _ SERTIFIKAT BerAKHLAK</v>
      </c>
      <c r="P6577" s="5" t="s">
        <v>42402</v>
      </c>
    </row>
    <row r="6578">
      <c r="A6578" s="4">
        <v>45534.37100319444</v>
      </c>
      <c r="B6578" s="5" t="s">
        <v>34</v>
      </c>
      <c r="D6578" s="5" t="s">
        <v>280</v>
      </c>
      <c r="E6578" s="5" t="s">
        <v>42408</v>
      </c>
      <c r="F6578" s="5" t="s">
        <v>37</v>
      </c>
      <c r="G6578" s="5" t="s">
        <v>42409</v>
      </c>
      <c r="H6578" s="6" t="s">
        <v>42410</v>
      </c>
      <c r="K6578" s="5" t="s">
        <v>42318</v>
      </c>
      <c r="M6578" s="5" t="s">
        <v>42411</v>
      </c>
      <c r="N6578" s="7" t="s">
        <v>42412</v>
      </c>
      <c r="O6578" s="8" t="str">
        <f>HYPERLINK("https://drive.google.com/file/d/1NSsOf5fsnhJB55wS7XWS8AJhVstcID_K/view?usp=drivesdk","6577_HELIK PUJO SANTOSO. S. SI _ SERTIFIKAT BerAKHLAK")</f>
        <v>6577_HELIK PUJO SANTOSO. S. SI _ SERTIFIKAT BerAKHLAK</v>
      </c>
      <c r="P6578" s="5" t="s">
        <v>42402</v>
      </c>
    </row>
    <row r="6579">
      <c r="A6579" s="4">
        <v>45534.371008773145</v>
      </c>
      <c r="B6579" s="5" t="s">
        <v>34</v>
      </c>
      <c r="D6579" s="5" t="s">
        <v>9394</v>
      </c>
      <c r="E6579" s="5" t="s">
        <v>42413</v>
      </c>
      <c r="F6579" s="5" t="s">
        <v>199</v>
      </c>
      <c r="G6579" s="5" t="s">
        <v>42414</v>
      </c>
      <c r="H6579" s="6" t="s">
        <v>42415</v>
      </c>
      <c r="K6579" s="5" t="s">
        <v>42318</v>
      </c>
      <c r="M6579" s="5" t="s">
        <v>42416</v>
      </c>
      <c r="N6579" s="7" t="s">
        <v>42417</v>
      </c>
      <c r="O6579" s="8" t="str">
        <f>HYPERLINK("https://drive.google.com/file/d/1QfJ6a2RC8_rTCVRqjLgUbmBE-rG1qqq_/view?usp=drivesdk","6578_ZULFANDI _ SERTIFIKAT BerAKHLAK")</f>
        <v>6578_ZULFANDI _ SERTIFIKAT BerAKHLAK</v>
      </c>
      <c r="P6579" s="5" t="s">
        <v>42402</v>
      </c>
    </row>
    <row r="6580">
      <c r="A6580" s="4">
        <v>45534.37101292824</v>
      </c>
      <c r="B6580" s="5" t="s">
        <v>34</v>
      </c>
      <c r="D6580" s="5" t="s">
        <v>1206</v>
      </c>
      <c r="E6580" s="5" t="s">
        <v>42418</v>
      </c>
      <c r="F6580" s="5" t="s">
        <v>72</v>
      </c>
      <c r="G6580" s="5" t="s">
        <v>42419</v>
      </c>
      <c r="H6580" s="6" t="s">
        <v>42420</v>
      </c>
      <c r="K6580" s="5" t="s">
        <v>42318</v>
      </c>
      <c r="M6580" s="5" t="s">
        <v>42421</v>
      </c>
      <c r="N6580" s="7" t="s">
        <v>42422</v>
      </c>
      <c r="O6580" s="8" t="str">
        <f>HYPERLINK("https://drive.google.com/file/d/1alq1SXlz83E-XMNmsrN8q3VVVlNaQaA3/view?usp=drivesdk","6579_PRAMONO WASKITO, S.Kep.Ners _ SERTIFIKAT BerAKHLAK")</f>
        <v>6579_PRAMONO WASKITO, S.Kep.Ners _ SERTIFIKAT BerAKHLAK</v>
      </c>
      <c r="P6580" s="5" t="s">
        <v>42402</v>
      </c>
    </row>
    <row r="6581" hidden="1">
      <c r="A6581" s="4">
        <v>45534.371025381944</v>
      </c>
      <c r="B6581" s="5" t="s">
        <v>19</v>
      </c>
      <c r="C6581" s="5" t="s">
        <v>5564</v>
      </c>
      <c r="E6581" s="5" t="s">
        <v>42423</v>
      </c>
      <c r="F6581" s="5" t="s">
        <v>212</v>
      </c>
      <c r="G6581" s="5" t="s">
        <v>42424</v>
      </c>
      <c r="H6581" s="6" t="s">
        <v>42425</v>
      </c>
      <c r="K6581" s="5" t="s">
        <v>42318</v>
      </c>
      <c r="M6581" s="5" t="s">
        <v>42426</v>
      </c>
      <c r="N6581" s="7" t="s">
        <v>42427</v>
      </c>
      <c r="O6581" s="8" t="str">
        <f>HYPERLINK("https://drive.google.com/file/d/1_VFk8UFaQMJHym0IDm71GYqFL7IuLYlZ/view?usp=drivesdk","6580_MARLYDIANAH _ SERTIFIKAT BerAKHLAK")</f>
        <v>6580_MARLYDIANAH _ SERTIFIKAT BerAKHLAK</v>
      </c>
      <c r="P6581" s="5" t="s">
        <v>42402</v>
      </c>
    </row>
    <row r="6582">
      <c r="A6582" s="4">
        <v>45534.37103159723</v>
      </c>
      <c r="B6582" s="5" t="s">
        <v>34</v>
      </c>
      <c r="D6582" s="5" t="s">
        <v>12978</v>
      </c>
      <c r="E6582" s="5" t="s">
        <v>42428</v>
      </c>
      <c r="F6582" s="5" t="s">
        <v>212</v>
      </c>
      <c r="G6582" s="5" t="s">
        <v>42429</v>
      </c>
      <c r="H6582" s="6" t="s">
        <v>42430</v>
      </c>
      <c r="K6582" s="5" t="s">
        <v>42318</v>
      </c>
      <c r="M6582" s="5" t="s">
        <v>42431</v>
      </c>
      <c r="N6582" s="7" t="s">
        <v>42432</v>
      </c>
      <c r="O6582" s="8" t="str">
        <f>HYPERLINK("https://drive.google.com/file/d/1-o-cYaimWm7CvMmEHHo4zd4Lw5jE6QUm/view?usp=drivesdk","6581_LILIK SUGIARTONO _ SERTIFIKAT BerAKHLAK")</f>
        <v>6581_LILIK SUGIARTONO _ SERTIFIKAT BerAKHLAK</v>
      </c>
      <c r="P6582" s="5" t="s">
        <v>42433</v>
      </c>
    </row>
    <row r="6583" hidden="1">
      <c r="A6583" s="4">
        <v>45534.37106900463</v>
      </c>
      <c r="B6583" s="5" t="s">
        <v>19</v>
      </c>
      <c r="C6583" s="5" t="s">
        <v>14000</v>
      </c>
      <c r="E6583" s="5" t="s">
        <v>42434</v>
      </c>
      <c r="F6583" s="5" t="s">
        <v>108</v>
      </c>
      <c r="G6583" s="5" t="s">
        <v>42435</v>
      </c>
      <c r="H6583" s="6" t="s">
        <v>42436</v>
      </c>
      <c r="K6583" s="5" t="s">
        <v>42318</v>
      </c>
      <c r="M6583" s="5" t="s">
        <v>42437</v>
      </c>
      <c r="N6583" s="7" t="s">
        <v>42438</v>
      </c>
      <c r="O6583" s="8" t="str">
        <f>HYPERLINK("https://drive.google.com/file/d/1-YRtud0jYk3raJNBKwPH7tmMKEr6Txsl/view?usp=drivesdk","6582_WIDI KUMORO, A.Md _ SERTIFIKAT BerAKHLAK")</f>
        <v>6582_WIDI KUMORO, A.Md _ SERTIFIKAT BerAKHLAK</v>
      </c>
      <c r="P6583" s="5" t="s">
        <v>42433</v>
      </c>
    </row>
    <row r="6584">
      <c r="A6584" s="4">
        <v>45534.37110068287</v>
      </c>
      <c r="B6584" s="5" t="s">
        <v>34</v>
      </c>
      <c r="D6584" s="5" t="s">
        <v>1206</v>
      </c>
      <c r="E6584" s="5" t="s">
        <v>42439</v>
      </c>
      <c r="F6584" s="5" t="s">
        <v>37</v>
      </c>
      <c r="G6584" s="5" t="s">
        <v>42440</v>
      </c>
      <c r="H6584" s="6" t="s">
        <v>42441</v>
      </c>
      <c r="K6584" s="5" t="s">
        <v>42318</v>
      </c>
      <c r="M6584" s="5" t="s">
        <v>42442</v>
      </c>
      <c r="N6584" s="7" t="s">
        <v>42443</v>
      </c>
      <c r="O6584" s="8" t="str">
        <f>HYPERLINK("https://drive.google.com/file/d/1hPd8O7oqYyM3fIuIP0HNiLas9j3NBMf4/view?usp=drivesdk","6583_SUMIYATI,AMD.KEP _ SERTIFIKAT BerAKHLAK")</f>
        <v>6583_SUMIYATI,AMD.KEP _ SERTIFIKAT BerAKHLAK</v>
      </c>
      <c r="P6584" s="5" t="s">
        <v>42433</v>
      </c>
    </row>
    <row r="6585">
      <c r="A6585" s="4">
        <v>45534.37112422453</v>
      </c>
      <c r="B6585" s="5" t="s">
        <v>34</v>
      </c>
      <c r="D6585" s="5" t="s">
        <v>14424</v>
      </c>
      <c r="E6585" s="5" t="s">
        <v>42444</v>
      </c>
      <c r="F6585" s="5" t="s">
        <v>212</v>
      </c>
      <c r="G6585" s="5" t="s">
        <v>42445</v>
      </c>
      <c r="H6585" s="6" t="s">
        <v>42446</v>
      </c>
      <c r="K6585" s="5" t="s">
        <v>42318</v>
      </c>
      <c r="M6585" s="5" t="s">
        <v>42447</v>
      </c>
      <c r="N6585" s="7" t="s">
        <v>42448</v>
      </c>
      <c r="O6585" s="8" t="str">
        <f>HYPERLINK("https://drive.google.com/file/d/1mNJ9bU--9nQvPgjVwiVfqyUb_-naajGW/view?usp=drivesdk","6584_TRIMO SANTOSA _ SERTIFIKAT BerAKHLAK")</f>
        <v>6584_TRIMO SANTOSA _ SERTIFIKAT BerAKHLAK</v>
      </c>
      <c r="P6585" s="5" t="s">
        <v>42433</v>
      </c>
    </row>
    <row r="6586">
      <c r="A6586" s="4">
        <v>45534.371133761575</v>
      </c>
      <c r="B6586" s="5" t="s">
        <v>34</v>
      </c>
      <c r="D6586" s="5" t="s">
        <v>35</v>
      </c>
      <c r="E6586" s="5" t="s">
        <v>42449</v>
      </c>
      <c r="F6586" s="5" t="s">
        <v>37</v>
      </c>
      <c r="G6586" s="5" t="s">
        <v>42450</v>
      </c>
      <c r="H6586" s="6" t="s">
        <v>42451</v>
      </c>
      <c r="K6586" s="5" t="s">
        <v>42318</v>
      </c>
      <c r="M6586" s="5" t="s">
        <v>42452</v>
      </c>
      <c r="N6586" s="7" t="s">
        <v>42453</v>
      </c>
      <c r="O6586" s="8" t="str">
        <f>HYPERLINK("https://drive.google.com/file/d/1xjxsQYzUagA3lAcHj77gy9AWZ8Y2MPAS/view?usp=drivesdk","6585_TRI JAYANTI _ SERTIFIKAT BerAKHLAK")</f>
        <v>6585_TRI JAYANTI _ SERTIFIKAT BerAKHLAK</v>
      </c>
      <c r="P6586" s="5" t="s">
        <v>42454</v>
      </c>
    </row>
    <row r="6587">
      <c r="A6587" s="4">
        <v>45534.37115572917</v>
      </c>
      <c r="B6587" s="5" t="s">
        <v>34</v>
      </c>
      <c r="D6587" s="5" t="s">
        <v>4775</v>
      </c>
      <c r="E6587" s="5" t="s">
        <v>42455</v>
      </c>
      <c r="F6587" s="5" t="s">
        <v>212</v>
      </c>
      <c r="G6587" s="5" t="s">
        <v>42456</v>
      </c>
      <c r="H6587" s="6" t="s">
        <v>42457</v>
      </c>
      <c r="K6587" s="5" t="s">
        <v>42318</v>
      </c>
      <c r="M6587" s="5" t="s">
        <v>42458</v>
      </c>
      <c r="N6587" s="7" t="s">
        <v>42459</v>
      </c>
      <c r="O6587" s="8" t="str">
        <f>HYPERLINK("https://drive.google.com/file/d/1gZpA4pxbtHHE73HY-sjU4JsyjwtGqdD_/view?usp=drivesdk","6586_ANDIS TRIYANTO  _ SERTIFIKAT BerAKHLAK")</f>
        <v>6586_ANDIS TRIYANTO  _ SERTIFIKAT BerAKHLAK</v>
      </c>
      <c r="P6587" s="5" t="s">
        <v>42454</v>
      </c>
    </row>
    <row r="6588">
      <c r="A6588" s="4">
        <v>45534.37115820602</v>
      </c>
      <c r="B6588" s="5" t="s">
        <v>34</v>
      </c>
      <c r="D6588" s="5" t="s">
        <v>1206</v>
      </c>
      <c r="E6588" s="5" t="s">
        <v>42460</v>
      </c>
      <c r="F6588" s="5" t="s">
        <v>37</v>
      </c>
      <c r="G6588" s="5" t="s">
        <v>42461</v>
      </c>
      <c r="H6588" s="6" t="s">
        <v>42462</v>
      </c>
      <c r="K6588" s="5" t="s">
        <v>42318</v>
      </c>
      <c r="M6588" s="5" t="s">
        <v>42463</v>
      </c>
      <c r="N6588" s="7" t="s">
        <v>42464</v>
      </c>
      <c r="O6588" s="8" t="str">
        <f>HYPERLINK("https://drive.google.com/file/d/19yuwwJ9MOPBLgwTT9IYssB1yaOntO7iD/view?usp=drivesdk","6587_SRI PARTI NURHAYATI, AMD. KEB. _ SERTIFIKAT BerAKHLAK")</f>
        <v>6587_SRI PARTI NURHAYATI, AMD. KEB. _ SERTIFIKAT BerAKHLAK</v>
      </c>
      <c r="P6588" s="5" t="s">
        <v>42454</v>
      </c>
    </row>
    <row r="6589">
      <c r="A6589" s="4">
        <v>45534.37118210648</v>
      </c>
      <c r="B6589" s="5" t="s">
        <v>34</v>
      </c>
      <c r="D6589" s="5" t="s">
        <v>1206</v>
      </c>
      <c r="E6589" s="5" t="s">
        <v>42465</v>
      </c>
      <c r="F6589" s="5" t="s">
        <v>212</v>
      </c>
      <c r="G6589" s="5" t="s">
        <v>42466</v>
      </c>
      <c r="H6589" s="6" t="s">
        <v>42467</v>
      </c>
      <c r="K6589" s="5" t="s">
        <v>42318</v>
      </c>
      <c r="M6589" s="5" t="s">
        <v>42468</v>
      </c>
      <c r="N6589" s="7" t="s">
        <v>42469</v>
      </c>
      <c r="O6589" s="8" t="str">
        <f>HYPERLINK("https://drive.google.com/file/d/1GsTdt2Gz8yd1ce8VaqaxVvUYrMg05fFW/view?usp=drivesdk","6588_ASIYAH _ SERTIFIKAT BerAKHLAK")</f>
        <v>6588_ASIYAH _ SERTIFIKAT BerAKHLAK</v>
      </c>
      <c r="P6589" s="5" t="s">
        <v>42454</v>
      </c>
    </row>
    <row r="6590">
      <c r="A6590" s="4">
        <v>45534.371215046296</v>
      </c>
      <c r="B6590" s="5" t="s">
        <v>34</v>
      </c>
      <c r="D6590" s="5" t="s">
        <v>1558</v>
      </c>
      <c r="E6590" s="5" t="s">
        <v>42470</v>
      </c>
      <c r="F6590" s="5" t="s">
        <v>212</v>
      </c>
      <c r="G6590" s="5" t="s">
        <v>42471</v>
      </c>
      <c r="H6590" s="6" t="s">
        <v>42472</v>
      </c>
      <c r="K6590" s="5" t="s">
        <v>42318</v>
      </c>
      <c r="M6590" s="5" t="s">
        <v>42473</v>
      </c>
      <c r="N6590" s="7" t="s">
        <v>42474</v>
      </c>
      <c r="O6590" s="8" t="str">
        <f>HYPERLINK("https://drive.google.com/file/d/1xya0v_0HSNLvv4zK2lEPHi_zL1PG7S5f/view?usp=drivesdk","6589_NOERDIN HARAHAP, AM.D _ SERTIFIKAT BerAKHLAK")</f>
        <v>6589_NOERDIN HARAHAP, AM.D _ SERTIFIKAT BerAKHLAK</v>
      </c>
      <c r="P6590" s="5" t="s">
        <v>42475</v>
      </c>
    </row>
    <row r="6591">
      <c r="A6591" s="4">
        <v>45534.37122184028</v>
      </c>
      <c r="B6591" s="5" t="s">
        <v>34</v>
      </c>
      <c r="D6591" s="5" t="s">
        <v>10444</v>
      </c>
      <c r="E6591" s="5" t="s">
        <v>42476</v>
      </c>
      <c r="F6591" s="5" t="s">
        <v>37</v>
      </c>
      <c r="G6591" s="5" t="s">
        <v>42477</v>
      </c>
      <c r="H6591" s="6" t="s">
        <v>42478</v>
      </c>
      <c r="K6591" s="5" t="s">
        <v>42318</v>
      </c>
      <c r="M6591" s="5" t="s">
        <v>42479</v>
      </c>
      <c r="N6591" s="7" t="s">
        <v>42480</v>
      </c>
      <c r="O6591" s="8" t="str">
        <f>HYPERLINK("https://drive.google.com/file/d/1ov_e1-7vGF-Dw8XqDv8S8XlJmVRJX3Fa/view?usp=drivesdk","6590_FATIN ESTRIKA EKA PUTRI, A.Md. Farm _ SERTIFIKAT BerAKHLAK")</f>
        <v>6590_FATIN ESTRIKA EKA PUTRI, A.Md. Farm _ SERTIFIKAT BerAKHLAK</v>
      </c>
      <c r="P6591" s="5" t="s">
        <v>42481</v>
      </c>
    </row>
    <row r="6592">
      <c r="A6592" s="4">
        <v>45534.3712265162</v>
      </c>
      <c r="B6592" s="5" t="s">
        <v>34</v>
      </c>
      <c r="D6592" s="5" t="s">
        <v>1206</v>
      </c>
      <c r="E6592" s="5" t="s">
        <v>42482</v>
      </c>
      <c r="F6592" s="5" t="s">
        <v>108</v>
      </c>
      <c r="G6592" s="5" t="s">
        <v>42483</v>
      </c>
      <c r="H6592" s="6" t="s">
        <v>42484</v>
      </c>
      <c r="K6592" s="5" t="s">
        <v>42318</v>
      </c>
      <c r="M6592" s="5" t="s">
        <v>42485</v>
      </c>
      <c r="N6592" s="7" t="s">
        <v>42486</v>
      </c>
      <c r="O6592" s="8" t="str">
        <f>HYPERLINK("https://drive.google.com/file/d/1g6fu9QLJnW5xr11wqIIy475Mx5MfNjxU/view?usp=drivesdk","6591_PUJI RAHAYU  _ SERTIFIKAT BerAKHLAK")</f>
        <v>6591_PUJI RAHAYU  _ SERTIFIKAT BerAKHLAK</v>
      </c>
      <c r="P6592" s="5" t="s">
        <v>42481</v>
      </c>
    </row>
    <row r="6593">
      <c r="A6593" s="4">
        <v>45534.37125326389</v>
      </c>
      <c r="B6593" s="5" t="s">
        <v>34</v>
      </c>
      <c r="D6593" s="5" t="s">
        <v>1206</v>
      </c>
      <c r="E6593" s="5" t="s">
        <v>42487</v>
      </c>
      <c r="F6593" s="5" t="s">
        <v>37</v>
      </c>
      <c r="G6593" s="5" t="s">
        <v>42488</v>
      </c>
      <c r="H6593" s="6" t="s">
        <v>42489</v>
      </c>
      <c r="K6593" s="5" t="s">
        <v>42318</v>
      </c>
      <c r="M6593" s="5" t="s">
        <v>42490</v>
      </c>
      <c r="N6593" s="7" t="s">
        <v>42491</v>
      </c>
      <c r="O6593" s="8" t="str">
        <f>HYPERLINK("https://drive.google.com/file/d/1LpDqE_OT7Wn9RVYUSvZHZyV4kJh7tqJh/view?usp=drivesdk","6592_SITI ROKHMAH _ SERTIFIKAT BerAKHLAK")</f>
        <v>6592_SITI ROKHMAH _ SERTIFIKAT BerAKHLAK</v>
      </c>
      <c r="P6593" s="5" t="s">
        <v>42481</v>
      </c>
    </row>
    <row r="6594">
      <c r="A6594" s="4">
        <v>45534.3712878588</v>
      </c>
      <c r="B6594" s="5" t="s">
        <v>34</v>
      </c>
      <c r="D6594" s="5" t="s">
        <v>1206</v>
      </c>
      <c r="E6594" s="5" t="s">
        <v>42492</v>
      </c>
      <c r="F6594" s="5" t="s">
        <v>37</v>
      </c>
      <c r="G6594" s="5" t="s">
        <v>42493</v>
      </c>
      <c r="H6594" s="6" t="s">
        <v>42494</v>
      </c>
      <c r="K6594" s="5" t="s">
        <v>42318</v>
      </c>
      <c r="M6594" s="5" t="s">
        <v>42495</v>
      </c>
      <c r="N6594" s="7" t="s">
        <v>42496</v>
      </c>
      <c r="O6594" s="8" t="str">
        <f>HYPERLINK("https://drive.google.com/file/d/1F_r1B_rffrtaVnv74v-9VGkl96Fe8loz/view?usp=drivesdk","6593_ADE FIAN GALIH IMANDANI, A.Md. _ SERTIFIKAT BerAKHLAK")</f>
        <v>6593_ADE FIAN GALIH IMANDANI, A.Md. _ SERTIFIKAT BerAKHLAK</v>
      </c>
      <c r="P6594" s="5" t="s">
        <v>42481</v>
      </c>
    </row>
    <row r="6595">
      <c r="A6595" s="4">
        <v>45534.37129111111</v>
      </c>
      <c r="B6595" s="5" t="s">
        <v>34</v>
      </c>
      <c r="D6595" s="5" t="s">
        <v>1206</v>
      </c>
      <c r="E6595" s="5" t="s">
        <v>42497</v>
      </c>
      <c r="F6595" s="5" t="s">
        <v>37</v>
      </c>
      <c r="G6595" s="5" t="s">
        <v>42498</v>
      </c>
      <c r="H6595" s="6" t="s">
        <v>42499</v>
      </c>
      <c r="K6595" s="5" t="s">
        <v>42318</v>
      </c>
      <c r="M6595" s="5" t="s">
        <v>42500</v>
      </c>
      <c r="N6595" s="7" t="s">
        <v>42501</v>
      </c>
      <c r="O6595" s="8" t="str">
        <f>HYPERLINK("https://drive.google.com/file/d/1Q3SnphIdv7F0pXvy9t4muAU3aCbxiJUJ/view?usp=drivesdk","6594_LANGGENG TRI ASMORO  _ SERTIFIKAT BerAKHLAK")</f>
        <v>6594_LANGGENG TRI ASMORO  _ SERTIFIKAT BerAKHLAK</v>
      </c>
      <c r="P6595" s="5" t="s">
        <v>42502</v>
      </c>
    </row>
    <row r="6596">
      <c r="A6596" s="4">
        <v>45534.37130097223</v>
      </c>
      <c r="B6596" s="5" t="s">
        <v>34</v>
      </c>
      <c r="D6596" s="5" t="s">
        <v>12978</v>
      </c>
      <c r="E6596" s="5" t="s">
        <v>42503</v>
      </c>
      <c r="F6596" s="5" t="s">
        <v>108</v>
      </c>
      <c r="G6596" s="5" t="s">
        <v>42504</v>
      </c>
      <c r="H6596" s="6" t="s">
        <v>42505</v>
      </c>
      <c r="K6596" s="5" t="s">
        <v>42318</v>
      </c>
      <c r="M6596" s="5" t="s">
        <v>42506</v>
      </c>
      <c r="N6596" s="7" t="s">
        <v>42507</v>
      </c>
      <c r="O6596" s="8" t="str">
        <f>HYPERLINK("https://drive.google.com/file/d/1-RHn_opfVvsNLOTmEiEy4ATTupSk0gYF/view?usp=drivesdk","6595_DESTA MISDALIFA _ SERTIFIKAT BerAKHLAK")</f>
        <v>6595_DESTA MISDALIFA _ SERTIFIKAT BerAKHLAK</v>
      </c>
      <c r="P6596" s="5" t="s">
        <v>42502</v>
      </c>
    </row>
    <row r="6597">
      <c r="A6597" s="4">
        <v>45534.371302025465</v>
      </c>
      <c r="B6597" s="5" t="s">
        <v>34</v>
      </c>
      <c r="D6597" s="5" t="s">
        <v>9020</v>
      </c>
      <c r="E6597" s="5" t="s">
        <v>42508</v>
      </c>
      <c r="F6597" s="5" t="s">
        <v>108</v>
      </c>
      <c r="G6597" s="5" t="s">
        <v>42509</v>
      </c>
      <c r="H6597" s="6" t="s">
        <v>42510</v>
      </c>
      <c r="K6597" s="5" t="s">
        <v>42318</v>
      </c>
      <c r="M6597" s="5" t="s">
        <v>42511</v>
      </c>
      <c r="N6597" s="7" t="s">
        <v>42512</v>
      </c>
      <c r="O6597" s="8" t="str">
        <f>HYPERLINK("https://drive.google.com/file/d/1cHNWQo4sBEJUim3jBwDO9gA3brZQ0Wzs/view?usp=drivesdk","6596_TRIWIL OCTAVIANUS PANJAITAN, SKM., MKM.  _ SERTIFIKAT BerAKHLAK")</f>
        <v>6596_TRIWIL OCTAVIANUS PANJAITAN, SKM., MKM.  _ SERTIFIKAT BerAKHLAK</v>
      </c>
      <c r="P6597" s="5" t="s">
        <v>42502</v>
      </c>
    </row>
    <row r="6598">
      <c r="A6598" s="4">
        <v>45534.371313703705</v>
      </c>
      <c r="B6598" s="5" t="s">
        <v>34</v>
      </c>
      <c r="D6598" s="5" t="s">
        <v>1456</v>
      </c>
      <c r="E6598" s="5" t="s">
        <v>42513</v>
      </c>
      <c r="F6598" s="5" t="s">
        <v>375</v>
      </c>
      <c r="G6598" s="5" t="s">
        <v>42514</v>
      </c>
      <c r="H6598" s="6" t="s">
        <v>42515</v>
      </c>
      <c r="K6598" s="5" t="s">
        <v>42318</v>
      </c>
      <c r="M6598" s="5" t="s">
        <v>42516</v>
      </c>
      <c r="N6598" s="7" t="s">
        <v>42517</v>
      </c>
      <c r="O6598" s="8" t="str">
        <f>HYPERLINK("https://drive.google.com/file/d/1QXZJPKe_tn_t8CfSh-nrc2jrHo0Uqfsd/view?usp=drivesdk","6597_LASMAWATI SIMARMATA,S.KEP _ SERTIFIKAT BerAKHLAK")</f>
        <v>6597_LASMAWATI SIMARMATA,S.KEP _ SERTIFIKAT BerAKHLAK</v>
      </c>
      <c r="P6598" s="5" t="s">
        <v>42502</v>
      </c>
    </row>
    <row r="6599">
      <c r="A6599" s="4">
        <v>45534.37133243056</v>
      </c>
      <c r="B6599" s="5" t="s">
        <v>34</v>
      </c>
      <c r="D6599" s="5" t="s">
        <v>1558</v>
      </c>
      <c r="E6599" s="5" t="s">
        <v>42518</v>
      </c>
      <c r="F6599" s="5" t="s">
        <v>72</v>
      </c>
      <c r="G6599" s="5" t="s">
        <v>42519</v>
      </c>
      <c r="H6599" s="6" t="s">
        <v>42520</v>
      </c>
      <c r="K6599" s="5" t="s">
        <v>42318</v>
      </c>
      <c r="M6599" s="5" t="s">
        <v>42521</v>
      </c>
      <c r="N6599" s="7" t="s">
        <v>42522</v>
      </c>
      <c r="O6599" s="8" t="str">
        <f>HYPERLINK("https://drive.google.com/file/d/1JK-vd9G69Wq5BscEx8e-HjxxLG7Z7TtC/view?usp=drivesdk","6598_RUSLI LUMBANSIANTAR _ SERTIFIKAT BerAKHLAK")</f>
        <v>6598_RUSLI LUMBANSIANTAR _ SERTIFIKAT BerAKHLAK</v>
      </c>
      <c r="P6599" s="5" t="s">
        <v>42502</v>
      </c>
    </row>
    <row r="6600">
      <c r="A6600" s="4">
        <v>45534.37134923611</v>
      </c>
      <c r="B6600" s="5" t="s">
        <v>34</v>
      </c>
      <c r="D6600" s="5" t="s">
        <v>4775</v>
      </c>
      <c r="E6600" s="5" t="s">
        <v>42523</v>
      </c>
      <c r="F6600" s="5" t="s">
        <v>212</v>
      </c>
      <c r="G6600" s="5" t="s">
        <v>42524</v>
      </c>
      <c r="H6600" s="6" t="s">
        <v>42525</v>
      </c>
      <c r="K6600" s="5" t="s">
        <v>42318</v>
      </c>
      <c r="M6600" s="5" t="s">
        <v>42526</v>
      </c>
      <c r="N6600" s="7" t="s">
        <v>42527</v>
      </c>
      <c r="O6600" s="8" t="str">
        <f>HYPERLINK("https://drive.google.com/file/d/1qMe5gvgc5kFD44q3tD__P0d8wv6SH-lX/view?usp=drivesdk","6599_NUR HIDAYAH, AMG _ SERTIFIKAT BerAKHLAK")</f>
        <v>6599_NUR HIDAYAH, AMG _ SERTIFIKAT BerAKHLAK</v>
      </c>
      <c r="P6600" s="5" t="s">
        <v>42528</v>
      </c>
    </row>
    <row r="6601">
      <c r="A6601" s="4">
        <v>45534.37135430556</v>
      </c>
      <c r="B6601" s="5" t="s">
        <v>34</v>
      </c>
      <c r="D6601" s="5" t="s">
        <v>9020</v>
      </c>
      <c r="E6601" s="5" t="s">
        <v>42529</v>
      </c>
      <c r="F6601" s="5" t="s">
        <v>212</v>
      </c>
      <c r="G6601" s="5" t="s">
        <v>42530</v>
      </c>
      <c r="H6601" s="6" t="s">
        <v>42531</v>
      </c>
      <c r="K6601" s="5" t="s">
        <v>42318</v>
      </c>
      <c r="M6601" s="5" t="s">
        <v>42532</v>
      </c>
      <c r="N6601" s="7" t="s">
        <v>42533</v>
      </c>
      <c r="O6601" s="8" t="str">
        <f>HYPERLINK("https://drive.google.com/file/d/1hzQcC4nGrV3Uv3Y6qAW6I-LNRAPN-swc/view?usp=drivesdk","6600_ERAWATI _ SERTIFIKAT BerAKHLAK")</f>
        <v>6600_ERAWATI _ SERTIFIKAT BerAKHLAK</v>
      </c>
      <c r="P6601" s="5" t="s">
        <v>42528</v>
      </c>
    </row>
    <row r="6602">
      <c r="A6602" s="4">
        <v>45534.37137333333</v>
      </c>
      <c r="B6602" s="5" t="s">
        <v>34</v>
      </c>
      <c r="D6602" s="5" t="s">
        <v>1206</v>
      </c>
      <c r="E6602" s="5" t="s">
        <v>20883</v>
      </c>
      <c r="F6602" s="5" t="s">
        <v>5859</v>
      </c>
      <c r="G6602" s="5" t="s">
        <v>42534</v>
      </c>
      <c r="H6602" s="6" t="s">
        <v>42535</v>
      </c>
      <c r="K6602" s="5" t="s">
        <v>42318</v>
      </c>
      <c r="M6602" s="5" t="s">
        <v>42536</v>
      </c>
      <c r="N6602" s="7" t="s">
        <v>42537</v>
      </c>
      <c r="O6602" s="8" t="str">
        <f>HYPERLINK("https://drive.google.com/file/d/1BsG7W_fIj6FfsJWka0Dv4PlOxHqx8BJY/view?usp=drivesdk","6601_SUNARYO _ SERTIFIKAT BerAKHLAK")</f>
        <v>6601_SUNARYO _ SERTIFIKAT BerAKHLAK</v>
      </c>
      <c r="P6602" s="5" t="s">
        <v>42528</v>
      </c>
    </row>
    <row r="6603" hidden="1">
      <c r="A6603" s="4">
        <v>45534.37138515046</v>
      </c>
      <c r="B6603" s="5" t="s">
        <v>19</v>
      </c>
      <c r="C6603" s="5" t="s">
        <v>1606</v>
      </c>
      <c r="E6603" s="5" t="s">
        <v>42538</v>
      </c>
      <c r="F6603" s="5" t="s">
        <v>524</v>
      </c>
      <c r="G6603" s="5" t="s">
        <v>42539</v>
      </c>
      <c r="H6603" s="6" t="s">
        <v>42540</v>
      </c>
      <c r="K6603" s="5" t="s">
        <v>42318</v>
      </c>
      <c r="M6603" s="5" t="s">
        <v>42541</v>
      </c>
      <c r="N6603" s="7" t="s">
        <v>42542</v>
      </c>
      <c r="O6603" s="8" t="str">
        <f>HYPERLINK("https://drive.google.com/file/d/1vgiIsM0Wb83lO-qs0iENX_Fet5DKkj1R/view?usp=drivesdk","6602_TRI RATNANINGSIH _ SERTIFIKAT BerAKHLAK")</f>
        <v>6602_TRI RATNANINGSIH _ SERTIFIKAT BerAKHLAK</v>
      </c>
      <c r="P6603" s="5" t="s">
        <v>42528</v>
      </c>
    </row>
    <row r="6604">
      <c r="A6604" s="4">
        <v>45534.37139273148</v>
      </c>
      <c r="B6604" s="5" t="s">
        <v>34</v>
      </c>
      <c r="D6604" s="5" t="s">
        <v>1206</v>
      </c>
      <c r="E6604" s="5" t="s">
        <v>16410</v>
      </c>
      <c r="F6604" s="5" t="s">
        <v>212</v>
      </c>
      <c r="G6604" s="5" t="s">
        <v>42543</v>
      </c>
      <c r="H6604" s="6" t="s">
        <v>42544</v>
      </c>
      <c r="K6604" s="5" t="s">
        <v>42318</v>
      </c>
      <c r="M6604" s="5" t="s">
        <v>42545</v>
      </c>
      <c r="N6604" s="7" t="s">
        <v>42546</v>
      </c>
      <c r="O6604" s="8" t="str">
        <f>HYPERLINK("https://drive.google.com/file/d/1d75muSkNAOkZ_aH3-VrTMefIW382uvFz/view?usp=drivesdk","6603_SUTIKNO _ SERTIFIKAT BerAKHLAK")</f>
        <v>6603_SUTIKNO _ SERTIFIKAT BerAKHLAK</v>
      </c>
      <c r="P6604" s="5" t="s">
        <v>42528</v>
      </c>
    </row>
    <row r="6605">
      <c r="A6605" s="4">
        <v>45534.371405694445</v>
      </c>
      <c r="B6605" s="5" t="s">
        <v>34</v>
      </c>
      <c r="D6605" s="5" t="s">
        <v>267</v>
      </c>
      <c r="E6605" s="5" t="s">
        <v>42547</v>
      </c>
      <c r="F6605" s="5" t="s">
        <v>524</v>
      </c>
      <c r="G6605" s="5" t="s">
        <v>42548</v>
      </c>
      <c r="H6605" s="6" t="s">
        <v>42549</v>
      </c>
      <c r="K6605" s="5" t="s">
        <v>42318</v>
      </c>
      <c r="M6605" s="5" t="s">
        <v>42550</v>
      </c>
      <c r="N6605" s="7" t="s">
        <v>42551</v>
      </c>
      <c r="O6605" s="8" t="str">
        <f>HYPERLINK("https://drive.google.com/file/d/1at-UTfTPahk09_9Ysag4GeDIgLFpxaHg/view?usp=drivesdk","6604_ARI BUDI HARTO _ SERTIFIKAT BerAKHLAK")</f>
        <v>6604_ARI BUDI HARTO _ SERTIFIKAT BerAKHLAK</v>
      </c>
      <c r="P6605" s="5" t="s">
        <v>42528</v>
      </c>
    </row>
    <row r="6606" hidden="1">
      <c r="A6606" s="4">
        <v>45534.371407638886</v>
      </c>
      <c r="B6606" s="5" t="s">
        <v>19</v>
      </c>
      <c r="C6606" s="5" t="s">
        <v>3301</v>
      </c>
      <c r="E6606" s="5" t="s">
        <v>42552</v>
      </c>
      <c r="F6606" s="5" t="s">
        <v>524</v>
      </c>
      <c r="G6606" s="5" t="s">
        <v>42553</v>
      </c>
      <c r="H6606" s="6" t="s">
        <v>42554</v>
      </c>
      <c r="K6606" s="5" t="s">
        <v>42318</v>
      </c>
      <c r="M6606" s="5" t="s">
        <v>42555</v>
      </c>
      <c r="N6606" s="7" t="s">
        <v>42556</v>
      </c>
      <c r="O6606" s="8" t="str">
        <f>HYPERLINK("https://drive.google.com/file/d/1VHoMM_ogfs8e82mEoymeITtxMoSrjEML/view?usp=drivesdk","6605_INDAH ROITO MANURUNG, S.Tr. Kes _ SERTIFIKAT BerAKHLAK")</f>
        <v>6605_INDAH ROITO MANURUNG, S.Tr. Kes _ SERTIFIKAT BerAKHLAK</v>
      </c>
      <c r="P6606" s="5" t="s">
        <v>42557</v>
      </c>
    </row>
    <row r="6607">
      <c r="A6607" s="4">
        <v>45534.37142898148</v>
      </c>
      <c r="B6607" s="5" t="s">
        <v>34</v>
      </c>
      <c r="D6607" s="5" t="s">
        <v>1206</v>
      </c>
      <c r="E6607" s="5" t="s">
        <v>42558</v>
      </c>
      <c r="F6607" s="5" t="s">
        <v>72</v>
      </c>
      <c r="G6607" s="5" t="s">
        <v>42559</v>
      </c>
      <c r="H6607" s="6" t="s">
        <v>42560</v>
      </c>
      <c r="K6607" s="5" t="s">
        <v>42318</v>
      </c>
      <c r="M6607" s="5" t="s">
        <v>42561</v>
      </c>
      <c r="N6607" s="7" t="s">
        <v>42562</v>
      </c>
      <c r="O6607" s="8" t="str">
        <f>HYPERLINK("https://drive.google.com/file/d/10XUGYiPOGaLTluoiGL2kAwsnSX6pU2bm/view?usp=drivesdk","6606_PARYANA. SE _ SERTIFIKAT BerAKHLAK")</f>
        <v>6606_PARYANA. SE _ SERTIFIKAT BerAKHLAK</v>
      </c>
      <c r="P6607" s="5" t="s">
        <v>42557</v>
      </c>
    </row>
    <row r="6608">
      <c r="A6608" s="4">
        <v>45534.371436574074</v>
      </c>
      <c r="B6608" s="5" t="s">
        <v>34</v>
      </c>
      <c r="D6608" s="5" t="s">
        <v>14313</v>
      </c>
      <c r="E6608" s="5" t="s">
        <v>42563</v>
      </c>
      <c r="F6608" s="5" t="s">
        <v>72</v>
      </c>
      <c r="G6608" s="5" t="s">
        <v>42564</v>
      </c>
      <c r="H6608" s="6" t="s">
        <v>42565</v>
      </c>
      <c r="K6608" s="5" t="s">
        <v>42318</v>
      </c>
      <c r="M6608" s="5" t="s">
        <v>42566</v>
      </c>
      <c r="N6608" s="7" t="s">
        <v>42567</v>
      </c>
      <c r="O6608" s="8" t="str">
        <f>HYPERLINK("https://drive.google.com/file/d/1NbIXLFnjG9plFI1jvduzH5aORVlhR2Zj/view?usp=drivesdk","6607_HADIDJAH  _ SERTIFIKAT BerAKHLAK")</f>
        <v>6607_HADIDJAH  _ SERTIFIKAT BerAKHLAK</v>
      </c>
      <c r="P6608" s="5" t="s">
        <v>42557</v>
      </c>
    </row>
    <row r="6609">
      <c r="A6609" s="4">
        <v>45534.37144023148</v>
      </c>
      <c r="B6609" s="5" t="s">
        <v>34</v>
      </c>
      <c r="D6609" s="5" t="s">
        <v>580</v>
      </c>
      <c r="E6609" s="5" t="s">
        <v>42568</v>
      </c>
      <c r="F6609" s="5" t="s">
        <v>37</v>
      </c>
      <c r="G6609" s="5" t="s">
        <v>42569</v>
      </c>
      <c r="H6609" s="6" t="s">
        <v>42570</v>
      </c>
      <c r="K6609" s="5" t="s">
        <v>42318</v>
      </c>
      <c r="M6609" s="5" t="s">
        <v>42571</v>
      </c>
      <c r="N6609" s="7" t="s">
        <v>42572</v>
      </c>
      <c r="O6609" s="8" t="str">
        <f>HYPERLINK("https://drive.google.com/file/d/1aY-6u2yAeubpfR_fq58989-btV7GcZry/view?usp=drivesdk","6608_PUTU DEWIK MURDIATHI, A.MD.KEB _ SERTIFIKAT BerAKHLAK")</f>
        <v>6608_PUTU DEWIK MURDIATHI, A.MD.KEB _ SERTIFIKAT BerAKHLAK</v>
      </c>
      <c r="P6609" s="5" t="s">
        <v>42557</v>
      </c>
    </row>
    <row r="6610">
      <c r="A6610" s="4">
        <v>45534.37145681713</v>
      </c>
      <c r="B6610" s="5" t="s">
        <v>34</v>
      </c>
      <c r="D6610" s="5" t="s">
        <v>1206</v>
      </c>
      <c r="E6610" s="5" t="s">
        <v>42573</v>
      </c>
      <c r="F6610" s="5" t="s">
        <v>212</v>
      </c>
      <c r="G6610" s="5" t="s">
        <v>42574</v>
      </c>
      <c r="H6610" s="6" t="s">
        <v>42575</v>
      </c>
      <c r="K6610" s="5" t="s">
        <v>42318</v>
      </c>
      <c r="M6610" s="5" t="s">
        <v>42576</v>
      </c>
      <c r="N6610" s="7" t="s">
        <v>42577</v>
      </c>
      <c r="O6610" s="8" t="str">
        <f>HYPERLINK("https://drive.google.com/file/d/1RtR5fRuH2aoBPcilqh3FLPnlCOaJYCC0/view?usp=drivesdk","6609_AKHMAD KHARIRI  _ SERTIFIKAT BerAKHLAK")</f>
        <v>6609_AKHMAD KHARIRI  _ SERTIFIKAT BerAKHLAK</v>
      </c>
      <c r="P6610" s="5" t="s">
        <v>42557</v>
      </c>
    </row>
    <row r="6611">
      <c r="A6611" s="4">
        <v>45534.37145707176</v>
      </c>
      <c r="B6611" s="5" t="s">
        <v>34</v>
      </c>
      <c r="D6611" s="5" t="s">
        <v>14424</v>
      </c>
      <c r="E6611" s="5" t="s">
        <v>42578</v>
      </c>
      <c r="F6611" s="5" t="s">
        <v>37</v>
      </c>
      <c r="G6611" s="5" t="s">
        <v>42579</v>
      </c>
      <c r="H6611" s="6" t="s">
        <v>42580</v>
      </c>
      <c r="K6611" s="5" t="s">
        <v>42318</v>
      </c>
      <c r="M6611" s="5" t="s">
        <v>42581</v>
      </c>
      <c r="N6611" s="7" t="s">
        <v>42582</v>
      </c>
      <c r="O6611" s="8" t="str">
        <f>HYPERLINK("https://drive.google.com/file/d/16L-43-tKIoPwF5FgF7j8rajEaR8AMEUe/view?usp=drivesdk","6610_ERNA ANDRIANI _ SERTIFIKAT BerAKHLAK")</f>
        <v>6610_ERNA ANDRIANI _ SERTIFIKAT BerAKHLAK</v>
      </c>
      <c r="P6611" s="5" t="s">
        <v>42583</v>
      </c>
    </row>
    <row r="6612">
      <c r="A6612" s="4">
        <v>45534.37147290509</v>
      </c>
      <c r="B6612" s="5" t="s">
        <v>34</v>
      </c>
      <c r="D6612" s="5" t="s">
        <v>580</v>
      </c>
      <c r="E6612" s="5" t="s">
        <v>42584</v>
      </c>
      <c r="F6612" s="5" t="s">
        <v>37</v>
      </c>
      <c r="G6612" s="5" t="s">
        <v>42585</v>
      </c>
      <c r="H6612" s="6" t="s">
        <v>42586</v>
      </c>
      <c r="K6612" s="5" t="s">
        <v>42318</v>
      </c>
      <c r="M6612" s="5" t="s">
        <v>42587</v>
      </c>
      <c r="N6612" s="7" t="s">
        <v>42588</v>
      </c>
      <c r="O6612" s="8" t="str">
        <f>HYPERLINK("https://drive.google.com/file/d/1-PhkSKp9m_rdh3XU494rHRa1gehzc8Fh/view?usp=drivesdk","6611_Ns. NI KADEK AYU ITA ASMARIANI, S.Kep _ SERTIFIKAT BerAKHLAK")</f>
        <v>6611_Ns. NI KADEK AYU ITA ASMARIANI, S.Kep _ SERTIFIKAT BerAKHLAK</v>
      </c>
      <c r="P6612" s="5" t="s">
        <v>42583</v>
      </c>
    </row>
    <row r="6613">
      <c r="A6613" s="4">
        <v>45534.37148356481</v>
      </c>
      <c r="B6613" s="5" t="s">
        <v>34</v>
      </c>
      <c r="D6613" s="5" t="s">
        <v>12978</v>
      </c>
      <c r="E6613" s="5" t="s">
        <v>15460</v>
      </c>
      <c r="F6613" s="5" t="s">
        <v>37</v>
      </c>
      <c r="G6613" s="5" t="s">
        <v>42589</v>
      </c>
      <c r="H6613" s="6" t="s">
        <v>42590</v>
      </c>
      <c r="K6613" s="5" t="s">
        <v>42318</v>
      </c>
      <c r="M6613" s="5" t="s">
        <v>42591</v>
      </c>
      <c r="N6613" s="7" t="s">
        <v>42592</v>
      </c>
      <c r="O6613" s="8" t="str">
        <f>HYPERLINK("https://drive.google.com/file/d/1V1eool5fcGpfwDXpTrJuhZolG_H2XCi2/view?usp=drivesdk","6612_MIKO HARDIAN, A.MD., S.KOM. _ SERTIFIKAT BerAKHLAK")</f>
        <v>6612_MIKO HARDIAN, A.MD., S.KOM. _ SERTIFIKAT BerAKHLAK</v>
      </c>
      <c r="P6613" s="5" t="s">
        <v>42583</v>
      </c>
    </row>
    <row r="6614">
      <c r="A6614" s="4">
        <v>45534.37148585648</v>
      </c>
      <c r="B6614" s="5" t="s">
        <v>34</v>
      </c>
      <c r="D6614" s="5" t="s">
        <v>1456</v>
      </c>
      <c r="E6614" s="5" t="s">
        <v>42593</v>
      </c>
      <c r="F6614" s="5" t="s">
        <v>37</v>
      </c>
      <c r="G6614" s="5" t="s">
        <v>42594</v>
      </c>
      <c r="H6614" s="6" t="s">
        <v>42595</v>
      </c>
      <c r="K6614" s="5" t="s">
        <v>42318</v>
      </c>
      <c r="M6614" s="5" t="s">
        <v>42596</v>
      </c>
      <c r="N6614" s="7" t="s">
        <v>42597</v>
      </c>
      <c r="O6614" s="8" t="str">
        <f>HYPERLINK("https://drive.google.com/file/d/1jfHOg463_pBp8B3FYRWGf2m_S7xI0FsR/view?usp=drivesdk","6613_IKA NIDA LIANA _ SERTIFIKAT BerAKHLAK")</f>
        <v>6613_IKA NIDA LIANA _ SERTIFIKAT BerAKHLAK</v>
      </c>
      <c r="P6614" s="5" t="s">
        <v>42583</v>
      </c>
    </row>
    <row r="6615">
      <c r="A6615" s="4">
        <v>45534.37148645833</v>
      </c>
      <c r="B6615" s="5" t="s">
        <v>34</v>
      </c>
      <c r="D6615" s="5" t="s">
        <v>9394</v>
      </c>
      <c r="E6615" s="5" t="s">
        <v>42598</v>
      </c>
      <c r="F6615" s="5" t="s">
        <v>37</v>
      </c>
      <c r="G6615" s="5" t="s">
        <v>42599</v>
      </c>
      <c r="H6615" s="6" t="s">
        <v>42600</v>
      </c>
      <c r="K6615" s="5" t="s">
        <v>42318</v>
      </c>
      <c r="M6615" s="5" t="s">
        <v>42601</v>
      </c>
      <c r="N6615" s="7" t="s">
        <v>42602</v>
      </c>
      <c r="O6615" s="8" t="str">
        <f>HYPERLINK("https://drive.google.com/file/d/19rySIVXMTEcwFAyWwnSsbzeWAa-xLRSA/view?usp=drivesdk","6614_RATONO _ SERTIFIKAT BerAKHLAK")</f>
        <v>6614_RATONO _ SERTIFIKAT BerAKHLAK</v>
      </c>
      <c r="P6615" s="5" t="s">
        <v>42603</v>
      </c>
    </row>
    <row r="6616">
      <c r="A6616" s="4">
        <v>45534.371490405094</v>
      </c>
      <c r="B6616" s="5" t="s">
        <v>34</v>
      </c>
      <c r="D6616" s="5" t="s">
        <v>1206</v>
      </c>
      <c r="E6616" s="5" t="s">
        <v>42604</v>
      </c>
      <c r="F6616" s="5" t="s">
        <v>120</v>
      </c>
      <c r="G6616" s="5" t="s">
        <v>42605</v>
      </c>
      <c r="H6616" s="6" t="s">
        <v>42606</v>
      </c>
      <c r="K6616" s="5" t="s">
        <v>42318</v>
      </c>
      <c r="M6616" s="5" t="s">
        <v>42607</v>
      </c>
      <c r="N6616" s="7" t="s">
        <v>42608</v>
      </c>
      <c r="O6616" s="8" t="str">
        <f>HYPERLINK("https://drive.google.com/file/d/1oqBOHZYYUVXhsbHkqG5kXGVRvfYJ661i/view?usp=drivesdk","6615_ERYAN PRAMONO _ SERTIFIKAT BerAKHLAK")</f>
        <v>6615_ERYAN PRAMONO _ SERTIFIKAT BerAKHLAK</v>
      </c>
      <c r="P6616" s="5" t="s">
        <v>42603</v>
      </c>
    </row>
    <row r="6617">
      <c r="A6617" s="4">
        <v>45534.37149525463</v>
      </c>
      <c r="B6617" s="5" t="s">
        <v>34</v>
      </c>
      <c r="D6617" s="5" t="s">
        <v>4775</v>
      </c>
      <c r="E6617" s="5" t="s">
        <v>42609</v>
      </c>
      <c r="F6617" s="5" t="s">
        <v>37</v>
      </c>
      <c r="G6617" s="5" t="s">
        <v>42610</v>
      </c>
      <c r="H6617" s="6" t="s">
        <v>42611</v>
      </c>
      <c r="K6617" s="5" t="s">
        <v>42318</v>
      </c>
      <c r="M6617" s="5" t="s">
        <v>42612</v>
      </c>
      <c r="N6617" s="7" t="s">
        <v>42613</v>
      </c>
      <c r="O6617" s="8" t="str">
        <f>HYPERLINK("https://drive.google.com/file/d/1qpzZ4JtUEknTo2cQpLZj4EPE9JOTEEfj/view?usp=drivesdk","6616_IMAN SUJARWO _ SERTIFIKAT BerAKHLAK")</f>
        <v>6616_IMAN SUJARWO _ SERTIFIKAT BerAKHLAK</v>
      </c>
      <c r="P6617" s="5" t="s">
        <v>42603</v>
      </c>
    </row>
    <row r="6618" hidden="1">
      <c r="A6618" s="4">
        <v>45534.371501076384</v>
      </c>
      <c r="B6618" s="5" t="s">
        <v>19</v>
      </c>
      <c r="C6618" s="5" t="s">
        <v>442</v>
      </c>
      <c r="E6618" s="5" t="s">
        <v>42614</v>
      </c>
      <c r="F6618" s="5" t="s">
        <v>108</v>
      </c>
      <c r="G6618" s="5" t="s">
        <v>42615</v>
      </c>
      <c r="H6618" s="6" t="s">
        <v>42616</v>
      </c>
      <c r="K6618" s="5" t="s">
        <v>42318</v>
      </c>
      <c r="M6618" s="5" t="s">
        <v>42617</v>
      </c>
      <c r="N6618" s="7" t="s">
        <v>42618</v>
      </c>
      <c r="O6618" s="8" t="str">
        <f>HYPERLINK("https://drive.google.com/file/d/1LGKc0-jopG54aT3-XN92iEPSaVmP6C0c/view?usp=drivesdk","6617_ETTY WACHYUNI, S.E. _ SERTIFIKAT BerAKHLAK")</f>
        <v>6617_ETTY WACHYUNI, S.E. _ SERTIFIKAT BerAKHLAK</v>
      </c>
      <c r="P6618" s="5" t="s">
        <v>42603</v>
      </c>
    </row>
    <row r="6619">
      <c r="A6619" s="4">
        <v>45534.3715202662</v>
      </c>
      <c r="B6619" s="5" t="s">
        <v>34</v>
      </c>
      <c r="D6619" s="5" t="s">
        <v>4775</v>
      </c>
      <c r="E6619" s="5" t="s">
        <v>42619</v>
      </c>
      <c r="F6619" s="5" t="s">
        <v>199</v>
      </c>
      <c r="G6619" s="5" t="s">
        <v>42620</v>
      </c>
      <c r="H6619" s="6" t="s">
        <v>42621</v>
      </c>
      <c r="K6619" s="5" t="s">
        <v>42318</v>
      </c>
      <c r="M6619" s="5" t="s">
        <v>42622</v>
      </c>
      <c r="N6619" s="7" t="s">
        <v>42623</v>
      </c>
      <c r="O6619" s="8" t="str">
        <f>HYPERLINK("https://drive.google.com/file/d/1En66rPp35h2En-AxWHFYtsstFkdoBPgX/view?usp=drivesdk","6618_SUTRISNO  _ SERTIFIKAT BerAKHLAK")</f>
        <v>6618_SUTRISNO  _ SERTIFIKAT BerAKHLAK</v>
      </c>
      <c r="P6619" s="5" t="s">
        <v>42603</v>
      </c>
    </row>
    <row r="6620">
      <c r="A6620" s="4">
        <v>45534.371522291665</v>
      </c>
      <c r="B6620" s="5" t="s">
        <v>34</v>
      </c>
      <c r="D6620" s="5" t="s">
        <v>1558</v>
      </c>
      <c r="E6620" s="5" t="s">
        <v>42624</v>
      </c>
      <c r="F6620" s="5" t="s">
        <v>120</v>
      </c>
      <c r="G6620" s="5" t="s">
        <v>42625</v>
      </c>
      <c r="H6620" s="6" t="s">
        <v>42626</v>
      </c>
      <c r="K6620" s="5" t="s">
        <v>42318</v>
      </c>
      <c r="M6620" s="5" t="s">
        <v>42627</v>
      </c>
      <c r="N6620" s="7" t="s">
        <v>42628</v>
      </c>
      <c r="O6620" s="8" t="str">
        <f>HYPERLINK("https://drive.google.com/file/d/1Azxe2uyaZVP3pTBBkmo-qhZde9Mjgsz-/view?usp=drivesdk","6619_MAMAN SOEMANTRI _ SERTIFIKAT BerAKHLAK")</f>
        <v>6619_MAMAN SOEMANTRI _ SERTIFIKAT BerAKHLAK</v>
      </c>
      <c r="P6620" s="5" t="s">
        <v>42629</v>
      </c>
    </row>
    <row r="6621">
      <c r="A6621" s="4">
        <v>45534.371536527775</v>
      </c>
      <c r="B6621" s="5" t="s">
        <v>34</v>
      </c>
      <c r="D6621" s="5" t="s">
        <v>1692</v>
      </c>
      <c r="E6621" s="5" t="s">
        <v>42630</v>
      </c>
      <c r="F6621" s="5" t="s">
        <v>22</v>
      </c>
      <c r="G6621" s="5" t="s">
        <v>42631</v>
      </c>
      <c r="H6621" s="6" t="s">
        <v>42632</v>
      </c>
      <c r="K6621" s="5" t="s">
        <v>42318</v>
      </c>
      <c r="M6621" s="5" t="s">
        <v>42633</v>
      </c>
      <c r="N6621" s="7" t="s">
        <v>42634</v>
      </c>
      <c r="O6621" s="8" t="str">
        <f>HYPERLINK("https://drive.google.com/file/d/1GPvOUbV2Ga4fNTej8l9QfPafS_wrhrL_/view?usp=drivesdk","6620_ALEX MATULATUWA,S.SOS _ SERTIFIKAT BerAKHLAK")</f>
        <v>6620_ALEX MATULATUWA,S.SOS _ SERTIFIKAT BerAKHLAK</v>
      </c>
      <c r="P6621" s="5" t="s">
        <v>42629</v>
      </c>
    </row>
    <row r="6622">
      <c r="A6622" s="4">
        <v>45534.37154828703</v>
      </c>
      <c r="B6622" s="5" t="s">
        <v>34</v>
      </c>
      <c r="D6622" s="5" t="s">
        <v>9394</v>
      </c>
      <c r="E6622" s="5" t="s">
        <v>42635</v>
      </c>
      <c r="F6622" s="5" t="s">
        <v>524</v>
      </c>
      <c r="G6622" s="5" t="s">
        <v>42636</v>
      </c>
      <c r="H6622" s="6" t="s">
        <v>42637</v>
      </c>
      <c r="K6622" s="5" t="s">
        <v>42318</v>
      </c>
      <c r="M6622" s="5" t="s">
        <v>42638</v>
      </c>
      <c r="N6622" s="7" t="s">
        <v>42639</v>
      </c>
      <c r="O6622" s="8" t="str">
        <f>HYPERLINK("https://drive.google.com/file/d/1HiqndNqxoCpLilnzJPmQu1BzJrCWIkdl/view?usp=drivesdk","6621_IRMA AFRI YANI, S.E. _ SERTIFIKAT BerAKHLAK")</f>
        <v>6621_IRMA AFRI YANI, S.E. _ SERTIFIKAT BerAKHLAK</v>
      </c>
      <c r="P6622" s="5" t="s">
        <v>42629</v>
      </c>
    </row>
    <row r="6623">
      <c r="A6623" s="4">
        <v>45534.37157971065</v>
      </c>
      <c r="B6623" s="5" t="s">
        <v>34</v>
      </c>
      <c r="D6623" s="5" t="s">
        <v>10297</v>
      </c>
      <c r="E6623" s="5" t="s">
        <v>42640</v>
      </c>
      <c r="F6623" s="5" t="s">
        <v>37</v>
      </c>
      <c r="G6623" s="5" t="s">
        <v>42641</v>
      </c>
      <c r="H6623" s="6" t="s">
        <v>42642</v>
      </c>
      <c r="K6623" s="5" t="s">
        <v>42318</v>
      </c>
      <c r="M6623" s="5" t="s">
        <v>42643</v>
      </c>
      <c r="N6623" s="7" t="s">
        <v>42644</v>
      </c>
      <c r="O6623" s="8" t="str">
        <f>HYPERLINK("https://drive.google.com/file/d/14X4t8rfL9Z3c8kHxJwRIGu9qzVL4r8e5/view?usp=drivesdk","6622_NULIANA, A.MD. _ SERTIFIKAT BerAKHLAK")</f>
        <v>6622_NULIANA, A.MD. _ SERTIFIKAT BerAKHLAK</v>
      </c>
      <c r="P6623" s="5" t="s">
        <v>42629</v>
      </c>
    </row>
    <row r="6624">
      <c r="A6624" s="4">
        <v>45534.37158158565</v>
      </c>
      <c r="B6624" s="5" t="s">
        <v>34</v>
      </c>
      <c r="D6624" s="5" t="s">
        <v>35</v>
      </c>
      <c r="E6624" s="5" t="s">
        <v>42645</v>
      </c>
      <c r="F6624" s="5" t="s">
        <v>72</v>
      </c>
      <c r="G6624" s="5" t="s">
        <v>42646</v>
      </c>
      <c r="H6624" s="6" t="s">
        <v>42647</v>
      </c>
      <c r="K6624" s="5" t="s">
        <v>42318</v>
      </c>
      <c r="M6624" s="5" t="s">
        <v>42648</v>
      </c>
      <c r="N6624" s="7" t="s">
        <v>42649</v>
      </c>
      <c r="O6624" s="8" t="str">
        <f>HYPERLINK("https://drive.google.com/file/d/1UrxE5GF6IrlPtW4INDFahnVw3ic97QJH/view?usp=drivesdk","6623_RENTY FEBRIANTY NURMALA,SKOM _ SERTIFIKAT BerAKHLAK")</f>
        <v>6623_RENTY FEBRIANTY NURMALA,SKOM _ SERTIFIKAT BerAKHLAK</v>
      </c>
      <c r="P6624" s="5" t="s">
        <v>42629</v>
      </c>
    </row>
    <row r="6625">
      <c r="A6625" s="4">
        <v>45534.37158865741</v>
      </c>
      <c r="B6625" s="5" t="s">
        <v>34</v>
      </c>
      <c r="D6625" s="5" t="s">
        <v>9020</v>
      </c>
      <c r="E6625" s="5" t="s">
        <v>42650</v>
      </c>
      <c r="F6625" s="5" t="s">
        <v>212</v>
      </c>
      <c r="G6625" s="5" t="s">
        <v>42651</v>
      </c>
      <c r="H6625" s="6" t="s">
        <v>42652</v>
      </c>
      <c r="K6625" s="5" t="s">
        <v>42318</v>
      </c>
      <c r="M6625" s="5" t="s">
        <v>42653</v>
      </c>
      <c r="N6625" s="7" t="s">
        <v>42654</v>
      </c>
      <c r="O6625" s="8" t="str">
        <f>HYPERLINK("https://drive.google.com/file/d/1C9Ar9lCnrn8S5HSniN8A6WKDIL6vTnfr/view?usp=drivesdk","6624_ERWIN SYAHRIZAL _ SERTIFIKAT BerAKHLAK")</f>
        <v>6624_ERWIN SYAHRIZAL _ SERTIFIKAT BerAKHLAK</v>
      </c>
      <c r="P6625" s="5" t="s">
        <v>42655</v>
      </c>
    </row>
    <row r="6626" hidden="1">
      <c r="A6626" s="4">
        <v>45534.37160362268</v>
      </c>
      <c r="B6626" s="5" t="s">
        <v>19</v>
      </c>
      <c r="C6626" s="5" t="s">
        <v>466</v>
      </c>
      <c r="E6626" s="5" t="s">
        <v>11768</v>
      </c>
      <c r="F6626" s="5" t="s">
        <v>108</v>
      </c>
      <c r="G6626" s="5" t="s">
        <v>42656</v>
      </c>
      <c r="H6626" s="6" t="s">
        <v>42657</v>
      </c>
      <c r="K6626" s="5" t="s">
        <v>42318</v>
      </c>
      <c r="M6626" s="5" t="s">
        <v>42658</v>
      </c>
      <c r="N6626" s="7" t="s">
        <v>42659</v>
      </c>
      <c r="O6626" s="8" t="str">
        <f>HYPERLINK("https://drive.google.com/file/d/1tgLR1RbzBxllyUsWHj07ZgRGchOhiO4a/view?usp=drivesdk","6625_SRI HANDAYANI _ SERTIFIKAT BerAKHLAK")</f>
        <v>6625_SRI HANDAYANI _ SERTIFIKAT BerAKHLAK</v>
      </c>
      <c r="P6626" s="5" t="s">
        <v>42655</v>
      </c>
    </row>
    <row r="6627">
      <c r="A6627" s="4">
        <v>45534.37161259259</v>
      </c>
      <c r="B6627" s="5" t="s">
        <v>34</v>
      </c>
      <c r="D6627" s="5" t="s">
        <v>1558</v>
      </c>
      <c r="E6627" s="5" t="s">
        <v>42660</v>
      </c>
      <c r="F6627" s="5" t="s">
        <v>524</v>
      </c>
      <c r="G6627" s="5" t="s">
        <v>42661</v>
      </c>
      <c r="H6627" s="6" t="s">
        <v>42662</v>
      </c>
      <c r="K6627" s="5" t="s">
        <v>42318</v>
      </c>
      <c r="M6627" s="5" t="s">
        <v>42663</v>
      </c>
      <c r="N6627" s="7" t="s">
        <v>42664</v>
      </c>
      <c r="O6627" s="8" t="str">
        <f>HYPERLINK("https://drive.google.com/file/d/1q45-glOF0c9-oy8O1vXY4HVq0lzLNDfQ/view?usp=drivesdk","6626_SUMIATI KUSMIRAN, S.H. M.H. _ SERTIFIKAT BerAKHLAK")</f>
        <v>6626_SUMIATI KUSMIRAN, S.H. M.H. _ SERTIFIKAT BerAKHLAK</v>
      </c>
      <c r="P6627" s="5" t="s">
        <v>42655</v>
      </c>
    </row>
    <row r="6628">
      <c r="A6628" s="4">
        <v>45534.37161325231</v>
      </c>
      <c r="B6628" s="5" t="s">
        <v>34</v>
      </c>
      <c r="D6628" s="5" t="s">
        <v>9020</v>
      </c>
      <c r="E6628" s="5" t="s">
        <v>42665</v>
      </c>
      <c r="F6628" s="5" t="s">
        <v>212</v>
      </c>
      <c r="G6628" s="5" t="s">
        <v>42666</v>
      </c>
      <c r="H6628" s="6" t="s">
        <v>42667</v>
      </c>
      <c r="K6628" s="5" t="s">
        <v>42318</v>
      </c>
      <c r="M6628" s="5" t="s">
        <v>42668</v>
      </c>
      <c r="N6628" s="7" t="s">
        <v>42669</v>
      </c>
      <c r="O6628" s="8" t="str">
        <f>HYPERLINK("https://drive.google.com/file/d/1cHrm0bvTS_rjwbanP8ryKVRxWzvdNIMx/view?usp=drivesdk","6627_RUKIANI MARPAUNG _ SERTIFIKAT BerAKHLAK")</f>
        <v>6627_RUKIANI MARPAUNG _ SERTIFIKAT BerAKHLAK</v>
      </c>
      <c r="P6628" s="5" t="s">
        <v>42655</v>
      </c>
    </row>
    <row r="6629">
      <c r="A6629" s="4">
        <v>45534.37162445602</v>
      </c>
      <c r="B6629" s="5" t="s">
        <v>34</v>
      </c>
      <c r="D6629" s="5" t="s">
        <v>14313</v>
      </c>
      <c r="E6629" s="5" t="s">
        <v>42670</v>
      </c>
      <c r="F6629" s="5" t="s">
        <v>72</v>
      </c>
      <c r="G6629" s="5" t="s">
        <v>42671</v>
      </c>
      <c r="H6629" s="6" t="s">
        <v>42672</v>
      </c>
      <c r="K6629" s="5" t="s">
        <v>42318</v>
      </c>
      <c r="M6629" s="5" t="s">
        <v>42673</v>
      </c>
      <c r="N6629" s="7" t="s">
        <v>42674</v>
      </c>
      <c r="O6629" s="8" t="str">
        <f>HYPERLINK("https://drive.google.com/file/d/1Gak2n8kqZh5h45kn_6Ja6q47QluG-VJJ/view?usp=drivesdk","6628_SURAHMAYATY S.KEP _ SERTIFIKAT BerAKHLAK")</f>
        <v>6628_SURAHMAYATY S.KEP _ SERTIFIKAT BerAKHLAK</v>
      </c>
      <c r="P6629" s="5" t="s">
        <v>42655</v>
      </c>
    </row>
    <row r="6630">
      <c r="A6630" s="4">
        <v>45534.37162553241</v>
      </c>
      <c r="B6630" s="5" t="s">
        <v>34</v>
      </c>
      <c r="D6630" s="5" t="s">
        <v>14313</v>
      </c>
      <c r="E6630" s="5" t="s">
        <v>42675</v>
      </c>
      <c r="F6630" s="5" t="s">
        <v>524</v>
      </c>
      <c r="G6630" s="5" t="s">
        <v>42676</v>
      </c>
      <c r="H6630" s="6" t="s">
        <v>42677</v>
      </c>
      <c r="K6630" s="5" t="s">
        <v>42318</v>
      </c>
      <c r="M6630" s="5" t="s">
        <v>42678</v>
      </c>
      <c r="N6630" s="7" t="s">
        <v>42679</v>
      </c>
      <c r="O6630" s="8" t="str">
        <f>HYPERLINK("https://drive.google.com/file/d/1TMIpUitQznNGf-K9NVsd8frnd2lslAhS/view?usp=drivesdk","6629_NUR ALAM, S.KEP, NS _ SERTIFIKAT BerAKHLAK")</f>
        <v>6629_NUR ALAM, S.KEP, NS _ SERTIFIKAT BerAKHLAK</v>
      </c>
      <c r="P6630" s="5" t="s">
        <v>42680</v>
      </c>
    </row>
    <row r="6631" hidden="1">
      <c r="A6631" s="4">
        <v>45534.371639467594</v>
      </c>
      <c r="B6631" s="5" t="s">
        <v>19</v>
      </c>
      <c r="C6631" s="5" t="s">
        <v>292</v>
      </c>
      <c r="E6631" s="5" t="s">
        <v>42681</v>
      </c>
      <c r="F6631" s="5" t="s">
        <v>108</v>
      </c>
      <c r="G6631" s="5" t="s">
        <v>42682</v>
      </c>
      <c r="H6631" s="6" t="s">
        <v>42683</v>
      </c>
      <c r="K6631" s="5" t="s">
        <v>42318</v>
      </c>
      <c r="M6631" s="5" t="s">
        <v>42684</v>
      </c>
      <c r="N6631" s="7" t="s">
        <v>42685</v>
      </c>
      <c r="O6631" s="8" t="str">
        <f>HYPERLINK("https://drive.google.com/file/d/16XC66w1g9TfOFktR8kDUbVDtW7KfCxzO/view?usp=drivesdk","6630_POPI SOFIAWATI _ SERTIFIKAT BerAKHLAK")</f>
        <v>6630_POPI SOFIAWATI _ SERTIFIKAT BerAKHLAK</v>
      </c>
      <c r="P6631" s="5" t="s">
        <v>42680</v>
      </c>
    </row>
    <row r="6632">
      <c r="A6632" s="4">
        <v>45534.37164351852</v>
      </c>
      <c r="B6632" s="5" t="s">
        <v>34</v>
      </c>
      <c r="D6632" s="5" t="s">
        <v>10444</v>
      </c>
      <c r="E6632" s="5" t="s">
        <v>42686</v>
      </c>
      <c r="F6632" s="5" t="s">
        <v>375</v>
      </c>
      <c r="G6632" s="5" t="s">
        <v>42687</v>
      </c>
      <c r="H6632" s="6" t="s">
        <v>42688</v>
      </c>
      <c r="K6632" s="5" t="s">
        <v>42318</v>
      </c>
      <c r="M6632" s="5" t="s">
        <v>42689</v>
      </c>
      <c r="N6632" s="7" t="s">
        <v>42690</v>
      </c>
      <c r="O6632" s="8" t="str">
        <f>HYPERLINK("https://drive.google.com/file/d/10azCXVa7Z9NjfcWiB0yFXROHU3Qx5f-x/view?usp=drivesdk","6631_ERNA NATALIA, S.E. _ SERTIFIKAT BerAKHLAK")</f>
        <v>6631_ERNA NATALIA, S.E. _ SERTIFIKAT BerAKHLAK</v>
      </c>
      <c r="P6632" s="5" t="s">
        <v>42680</v>
      </c>
    </row>
    <row r="6633">
      <c r="A6633" s="4">
        <v>45534.37165163194</v>
      </c>
      <c r="B6633" s="5" t="s">
        <v>34</v>
      </c>
      <c r="D6633" s="5" t="s">
        <v>4775</v>
      </c>
      <c r="E6633" s="5" t="s">
        <v>42691</v>
      </c>
      <c r="F6633" s="5" t="s">
        <v>108</v>
      </c>
      <c r="G6633" s="5" t="s">
        <v>42692</v>
      </c>
      <c r="H6633" s="6" t="s">
        <v>42693</v>
      </c>
      <c r="K6633" s="5" t="s">
        <v>42318</v>
      </c>
      <c r="M6633" s="5" t="s">
        <v>42694</v>
      </c>
      <c r="N6633" s="7" t="s">
        <v>42695</v>
      </c>
      <c r="O6633" s="8" t="str">
        <f>HYPERLINK("https://drive.google.com/file/d/1F2gR84_1__NdE4BUYiIzaFeg441JLUXz/view?usp=drivesdk","6632_SULASTRI, S.E. _ SERTIFIKAT BerAKHLAK")</f>
        <v>6632_SULASTRI, S.E. _ SERTIFIKAT BerAKHLAK</v>
      </c>
      <c r="P6633" s="5" t="s">
        <v>42680</v>
      </c>
    </row>
    <row r="6634">
      <c r="A6634" s="4">
        <v>45534.371673692134</v>
      </c>
      <c r="B6634" s="5" t="s">
        <v>34</v>
      </c>
      <c r="D6634" s="5" t="s">
        <v>2903</v>
      </c>
      <c r="E6634" s="5" t="s">
        <v>42696</v>
      </c>
      <c r="F6634" s="5" t="s">
        <v>212</v>
      </c>
      <c r="G6634" s="5" t="s">
        <v>42697</v>
      </c>
      <c r="H6634" s="6" t="s">
        <v>42698</v>
      </c>
      <c r="K6634" s="5" t="s">
        <v>42318</v>
      </c>
      <c r="M6634" s="5" t="s">
        <v>42699</v>
      </c>
      <c r="N6634" s="7" t="s">
        <v>42700</v>
      </c>
      <c r="O6634" s="8" t="str">
        <f>HYPERLINK("https://drive.google.com/file/d/1fURFN_vFteYegLJCFD-iVtbQlf0_APQZ/view?usp=drivesdk","6633_ARI ASHARI _ SERTIFIKAT BerAKHLAK")</f>
        <v>6633_ARI ASHARI _ SERTIFIKAT BerAKHLAK</v>
      </c>
      <c r="P6634" s="5" t="s">
        <v>42680</v>
      </c>
    </row>
    <row r="6635">
      <c r="A6635" s="4">
        <v>45534.37167449074</v>
      </c>
      <c r="B6635" s="5" t="s">
        <v>34</v>
      </c>
      <c r="D6635" s="5" t="s">
        <v>12978</v>
      </c>
      <c r="E6635" s="5" t="s">
        <v>42701</v>
      </c>
      <c r="F6635" s="5" t="s">
        <v>524</v>
      </c>
      <c r="G6635" s="5" t="s">
        <v>42702</v>
      </c>
      <c r="H6635" s="6" t="s">
        <v>42703</v>
      </c>
      <c r="K6635" s="5" t="s">
        <v>42318</v>
      </c>
      <c r="M6635" s="5" t="s">
        <v>42704</v>
      </c>
      <c r="N6635" s="7" t="s">
        <v>42705</v>
      </c>
      <c r="O6635" s="8" t="str">
        <f>HYPERLINK("https://drive.google.com/file/d/1Y_bz4cvznj7fvqAFMSceobMLD3ZqLNzF/view?usp=drivesdk","6634_R A NURQURAISINFRI _ SERTIFIKAT BerAKHLAK")</f>
        <v>6634_R A NURQURAISINFRI _ SERTIFIKAT BerAKHLAK</v>
      </c>
      <c r="P6635" s="5" t="s">
        <v>42706</v>
      </c>
    </row>
    <row r="6636" hidden="1">
      <c r="A6636" s="4">
        <v>45534.37168171296</v>
      </c>
      <c r="B6636" s="5" t="s">
        <v>19</v>
      </c>
      <c r="C6636" s="5" t="s">
        <v>30588</v>
      </c>
      <c r="E6636" s="5" t="s">
        <v>42707</v>
      </c>
      <c r="F6636" s="5" t="s">
        <v>375</v>
      </c>
      <c r="G6636" s="5" t="s">
        <v>42708</v>
      </c>
      <c r="H6636" s="6" t="s">
        <v>42709</v>
      </c>
      <c r="K6636" s="5" t="s">
        <v>42318</v>
      </c>
      <c r="M6636" s="5" t="s">
        <v>42710</v>
      </c>
      <c r="N6636" s="7" t="s">
        <v>42711</v>
      </c>
      <c r="O6636" s="8" t="str">
        <f>HYPERLINK("https://drive.google.com/file/d/1JdgOHa6rWr4vT5Goa-uD2E6Oz0-A23Mu/view?usp=drivesdk","6635_WORO SASMITANINGTYAS _ SERTIFIKAT BerAKHLAK")</f>
        <v>6635_WORO SASMITANINGTYAS _ SERTIFIKAT BerAKHLAK</v>
      </c>
      <c r="P6636" s="5" t="s">
        <v>42042</v>
      </c>
    </row>
    <row r="6637">
      <c r="A6637" s="4">
        <v>45534.371687453706</v>
      </c>
      <c r="B6637" s="5" t="s">
        <v>34</v>
      </c>
      <c r="D6637" s="5" t="s">
        <v>4775</v>
      </c>
      <c r="E6637" s="5" t="s">
        <v>42712</v>
      </c>
      <c r="F6637" s="5" t="s">
        <v>37</v>
      </c>
      <c r="G6637" s="5" t="s">
        <v>42713</v>
      </c>
      <c r="H6637" s="6" t="s">
        <v>42714</v>
      </c>
      <c r="K6637" s="5" t="s">
        <v>42318</v>
      </c>
      <c r="M6637" s="5" t="s">
        <v>42715</v>
      </c>
      <c r="N6637" s="7" t="s">
        <v>42716</v>
      </c>
      <c r="O6637" s="8" t="str">
        <f>HYPERLINK("https://drive.google.com/file/d/1FDbSQi7rMqgh53xL2GzDE6CTWxBxzYVm/view?usp=drivesdk","6636_TEGUH NUGROHO _ SERTIFIKAT BerAKHLAK")</f>
        <v>6636_TEGUH NUGROHO _ SERTIFIKAT BerAKHLAK</v>
      </c>
      <c r="P6637" s="5" t="s">
        <v>42042</v>
      </c>
    </row>
    <row r="6638">
      <c r="A6638" s="4">
        <v>45534.37169226852</v>
      </c>
      <c r="B6638" s="5" t="s">
        <v>34</v>
      </c>
      <c r="D6638" s="5" t="s">
        <v>1206</v>
      </c>
      <c r="E6638" s="5" t="s">
        <v>42717</v>
      </c>
      <c r="F6638" s="5" t="s">
        <v>37</v>
      </c>
      <c r="G6638" s="5" t="s">
        <v>42718</v>
      </c>
      <c r="H6638" s="6" t="s">
        <v>42719</v>
      </c>
      <c r="K6638" s="5" t="s">
        <v>42318</v>
      </c>
      <c r="M6638" s="5" t="s">
        <v>42720</v>
      </c>
      <c r="N6638" s="7" t="s">
        <v>42721</v>
      </c>
      <c r="O6638" s="8" t="str">
        <f>HYPERLINK("https://drive.google.com/file/d/1BJKD3oeqRUvUkrYkg6QfzLtduOAiW0kI/view?usp=drivesdk","6637_SADIKUN DJAYA PURNO _ SERTIFIKAT BerAKHLAK")</f>
        <v>6637_SADIKUN DJAYA PURNO _ SERTIFIKAT BerAKHLAK</v>
      </c>
      <c r="P6638" s="5" t="s">
        <v>42722</v>
      </c>
    </row>
    <row r="6639">
      <c r="A6639" s="4">
        <v>45534.371706805556</v>
      </c>
      <c r="B6639" s="5" t="s">
        <v>34</v>
      </c>
      <c r="D6639" s="5" t="s">
        <v>1558</v>
      </c>
      <c r="E6639" s="5" t="s">
        <v>42723</v>
      </c>
      <c r="F6639" s="5" t="s">
        <v>37</v>
      </c>
      <c r="G6639" s="5" t="s">
        <v>42724</v>
      </c>
      <c r="H6639" s="6" t="s">
        <v>42725</v>
      </c>
      <c r="K6639" s="5" t="s">
        <v>42318</v>
      </c>
      <c r="M6639" s="5" t="s">
        <v>42726</v>
      </c>
      <c r="N6639" s="7" t="s">
        <v>42727</v>
      </c>
      <c r="O6639" s="8" t="str">
        <f>HYPERLINK("https://drive.google.com/file/d/12UfCkUXG_BPmWv5W1TXSeoDjMw02WUwV/view?usp=drivesdk","6638_DIAH RAHAYU UTAMI  _ SERTIFIKAT BerAKHLAK")</f>
        <v>6638_DIAH RAHAYU UTAMI  _ SERTIFIKAT BerAKHLAK</v>
      </c>
      <c r="P6639" s="5" t="s">
        <v>42722</v>
      </c>
    </row>
    <row r="6640">
      <c r="A6640" s="4">
        <v>45534.37171553241</v>
      </c>
      <c r="B6640" s="5" t="s">
        <v>34</v>
      </c>
      <c r="D6640" s="5" t="s">
        <v>1558</v>
      </c>
      <c r="E6640" s="5" t="s">
        <v>42728</v>
      </c>
      <c r="F6640" s="5" t="s">
        <v>72</v>
      </c>
      <c r="G6640" s="5" t="s">
        <v>42729</v>
      </c>
      <c r="H6640" s="6" t="s">
        <v>42730</v>
      </c>
      <c r="K6640" s="5" t="s">
        <v>42318</v>
      </c>
      <c r="M6640" s="5" t="s">
        <v>42731</v>
      </c>
      <c r="N6640" s="7" t="s">
        <v>42732</v>
      </c>
      <c r="O6640" s="8" t="str">
        <f>HYPERLINK("https://drive.google.com/file/d/1tFNziUXsE0eo52LTFXAxekzlBiPYs4Sy/view?usp=drivesdk","6639_NURASIYAH _ SERTIFIKAT BerAKHLAK")</f>
        <v>6639_NURASIYAH _ SERTIFIKAT BerAKHLAK</v>
      </c>
      <c r="P6640" s="5" t="s">
        <v>42722</v>
      </c>
    </row>
    <row r="6641" hidden="1">
      <c r="A6641" s="4">
        <v>45534.371738449074</v>
      </c>
      <c r="B6641" s="5" t="s">
        <v>19</v>
      </c>
      <c r="C6641" s="5" t="s">
        <v>24076</v>
      </c>
      <c r="E6641" s="5" t="s">
        <v>42733</v>
      </c>
      <c r="F6641" s="5" t="s">
        <v>212</v>
      </c>
      <c r="G6641" s="5" t="s">
        <v>42734</v>
      </c>
      <c r="H6641" s="6" t="s">
        <v>42735</v>
      </c>
      <c r="K6641" s="5" t="s">
        <v>42318</v>
      </c>
      <c r="M6641" s="5" t="s">
        <v>42736</v>
      </c>
      <c r="N6641" s="7" t="s">
        <v>42737</v>
      </c>
      <c r="O6641" s="8" t="str">
        <f>HYPERLINK("https://drive.google.com/file/d/1YeC2iFnN9edjVyJqORDeUCroy9NtLWVZ/view?usp=drivesdk","6640_JASTUTI NINGSIH _ SERTIFIKAT BerAKHLAK")</f>
        <v>6640_JASTUTI NINGSIH _ SERTIFIKAT BerAKHLAK</v>
      </c>
      <c r="P6641" s="5" t="s">
        <v>42722</v>
      </c>
    </row>
    <row r="6642">
      <c r="A6642" s="4">
        <v>45534.371740648145</v>
      </c>
      <c r="B6642" s="5" t="s">
        <v>34</v>
      </c>
      <c r="D6642" s="5" t="s">
        <v>1558</v>
      </c>
      <c r="E6642" s="5" t="s">
        <v>42738</v>
      </c>
      <c r="F6642" s="5" t="s">
        <v>375</v>
      </c>
      <c r="G6642" s="5" t="s">
        <v>42739</v>
      </c>
      <c r="H6642" s="6" t="s">
        <v>42740</v>
      </c>
      <c r="K6642" s="5" t="s">
        <v>42318</v>
      </c>
      <c r="M6642" s="5" t="s">
        <v>42741</v>
      </c>
      <c r="N6642" s="7" t="s">
        <v>42742</v>
      </c>
      <c r="O6642" s="8" t="str">
        <f>HYPERLINK("https://drive.google.com/file/d/1qJtbmNFAqnGBPu7Rr4NNbEHzkVD6Hc6n/view?usp=drivesdk","6641_RAHAYU FITRIASIH _ SERTIFIKAT BerAKHLAK")</f>
        <v>6641_RAHAYU FITRIASIH _ SERTIFIKAT BerAKHLAK</v>
      </c>
      <c r="P6642" s="5" t="s">
        <v>42743</v>
      </c>
    </row>
    <row r="6643">
      <c r="A6643" s="4">
        <v>45534.37174570602</v>
      </c>
      <c r="B6643" s="5" t="s">
        <v>34</v>
      </c>
      <c r="D6643" s="5" t="s">
        <v>9020</v>
      </c>
      <c r="E6643" s="5" t="s">
        <v>42744</v>
      </c>
      <c r="F6643" s="5" t="s">
        <v>212</v>
      </c>
      <c r="G6643" s="5" t="s">
        <v>42745</v>
      </c>
      <c r="H6643" s="6" t="s">
        <v>42746</v>
      </c>
      <c r="K6643" s="5" t="s">
        <v>42318</v>
      </c>
      <c r="M6643" s="5" t="s">
        <v>42747</v>
      </c>
      <c r="N6643" s="7" t="s">
        <v>42748</v>
      </c>
      <c r="O6643" s="8" t="str">
        <f>HYPERLINK("https://drive.google.com/file/d/1HgOLeav0OakyTKqCdUW35pdJIOQ95kw4/view?usp=drivesdk","6642_Putri Elyzabeth Matondang _ SERTIFIKAT BerAKHLAK")</f>
        <v>6642_Putri Elyzabeth Matondang _ SERTIFIKAT BerAKHLAK</v>
      </c>
      <c r="P6643" s="5" t="s">
        <v>42743</v>
      </c>
    </row>
    <row r="6644" hidden="1">
      <c r="A6644" s="4">
        <v>45534.371764525466</v>
      </c>
      <c r="B6644" s="5" t="s">
        <v>19</v>
      </c>
      <c r="C6644" s="5" t="s">
        <v>5564</v>
      </c>
      <c r="E6644" s="5" t="s">
        <v>42749</v>
      </c>
      <c r="F6644" s="5" t="s">
        <v>212</v>
      </c>
      <c r="G6644" s="5" t="s">
        <v>42750</v>
      </c>
      <c r="H6644" s="6" t="s">
        <v>42751</v>
      </c>
      <c r="K6644" s="5" t="s">
        <v>42318</v>
      </c>
      <c r="M6644" s="5" t="s">
        <v>42752</v>
      </c>
      <c r="N6644" s="7" t="s">
        <v>42753</v>
      </c>
      <c r="O6644" s="8" t="str">
        <f>HYPERLINK("https://drive.google.com/file/d/1SM-he2Z7JBV4RBthd3BT_nk0-95e5oRb/view?usp=drivesdk","6643_EMI YUNIATI  _ SERTIFIKAT BerAKHLAK")</f>
        <v>6643_EMI YUNIATI  _ SERTIFIKAT BerAKHLAK</v>
      </c>
      <c r="P6644" s="5" t="s">
        <v>42743</v>
      </c>
    </row>
    <row r="6645">
      <c r="A6645" s="4">
        <v>45534.371770868056</v>
      </c>
      <c r="B6645" s="5" t="s">
        <v>34</v>
      </c>
      <c r="D6645" s="5" t="s">
        <v>1558</v>
      </c>
      <c r="E6645" s="5" t="s">
        <v>42754</v>
      </c>
      <c r="F6645" s="5" t="s">
        <v>212</v>
      </c>
      <c r="G6645" s="5" t="s">
        <v>42755</v>
      </c>
      <c r="H6645" s="6" t="s">
        <v>42756</v>
      </c>
      <c r="K6645" s="5" t="s">
        <v>42318</v>
      </c>
      <c r="M6645" s="5" t="s">
        <v>42757</v>
      </c>
      <c r="N6645" s="7" t="s">
        <v>42758</v>
      </c>
      <c r="O6645" s="8" t="str">
        <f>HYPERLINK("https://drive.google.com/file/d/1mtqjTErMqThT9QU1cidmnGZkLF-cuC-_/view?usp=drivesdk","6644_ERNAWATI NAPITUPULU.A.Md. _ SERTIFIKAT BerAKHLAK")</f>
        <v>6644_ERNAWATI NAPITUPULU.A.Md. _ SERTIFIKAT BerAKHLAK</v>
      </c>
      <c r="P6645" s="5" t="s">
        <v>42743</v>
      </c>
    </row>
    <row r="6646" hidden="1">
      <c r="A6646" s="4">
        <v>45534.37178460648</v>
      </c>
      <c r="B6646" s="5" t="s">
        <v>19</v>
      </c>
      <c r="C6646" s="5" t="s">
        <v>5564</v>
      </c>
      <c r="E6646" s="5" t="s">
        <v>42759</v>
      </c>
      <c r="F6646" s="5" t="s">
        <v>72</v>
      </c>
      <c r="G6646" s="5" t="s">
        <v>42760</v>
      </c>
      <c r="H6646" s="6" t="s">
        <v>42761</v>
      </c>
      <c r="K6646" s="5" t="s">
        <v>42318</v>
      </c>
      <c r="M6646" s="5" t="s">
        <v>42762</v>
      </c>
      <c r="N6646" s="7" t="s">
        <v>42763</v>
      </c>
      <c r="O6646" s="8" t="str">
        <f>HYPERLINK("https://drive.google.com/file/d/1wwfhAXWnT2yTS3FtcsQO8S7d9U_xAqji/view?usp=drivesdk","6645_DARWIN, S.M. _ SERTIFIKAT BerAKHLAK")</f>
        <v>6645_DARWIN, S.M. _ SERTIFIKAT BerAKHLAK</v>
      </c>
      <c r="P6646" s="5" t="s">
        <v>42743</v>
      </c>
    </row>
    <row r="6647">
      <c r="A6647" s="4">
        <v>45534.371793819446</v>
      </c>
      <c r="B6647" s="5" t="s">
        <v>34</v>
      </c>
      <c r="D6647" s="5" t="s">
        <v>1206</v>
      </c>
      <c r="E6647" s="5" t="s">
        <v>42764</v>
      </c>
      <c r="F6647" s="5" t="s">
        <v>212</v>
      </c>
      <c r="G6647" s="5" t="s">
        <v>42765</v>
      </c>
      <c r="H6647" s="6" t="s">
        <v>42766</v>
      </c>
      <c r="K6647" s="5" t="s">
        <v>42318</v>
      </c>
      <c r="M6647" s="5" t="s">
        <v>42767</v>
      </c>
      <c r="N6647" s="7" t="s">
        <v>42768</v>
      </c>
      <c r="O6647" s="8" t="str">
        <f>HYPERLINK("https://drive.google.com/file/d/11zF6PvBBYym9aRLyaRpPgH1uGnBzpsDD/view?usp=drivesdk","6646_FERA DWI AGUSTINA _ SERTIFIKAT BerAKHLAK")</f>
        <v>6646_FERA DWI AGUSTINA _ SERTIFIKAT BerAKHLAK</v>
      </c>
      <c r="P6647" s="5" t="s">
        <v>42769</v>
      </c>
    </row>
    <row r="6648">
      <c r="A6648" s="4">
        <v>45534.371802326394</v>
      </c>
      <c r="B6648" s="5" t="s">
        <v>34</v>
      </c>
      <c r="D6648" s="5" t="s">
        <v>9394</v>
      </c>
      <c r="E6648" s="5" t="s">
        <v>42770</v>
      </c>
      <c r="F6648" s="5" t="s">
        <v>37</v>
      </c>
      <c r="G6648" s="5" t="s">
        <v>42771</v>
      </c>
      <c r="H6648" s="6" t="s">
        <v>42772</v>
      </c>
      <c r="K6648" s="5" t="s">
        <v>42318</v>
      </c>
      <c r="M6648" s="5" t="s">
        <v>42773</v>
      </c>
      <c r="N6648" s="7" t="s">
        <v>42774</v>
      </c>
      <c r="O6648" s="8" t="str">
        <f>HYPERLINK("https://drive.google.com/file/d/1SgxIyUzN0-sp4OqrZzHrNCZK_OloXoCf/view?usp=drivesdk","6647_NETI SALAWATI S.M _ SERTIFIKAT BerAKHLAK")</f>
        <v>6647_NETI SALAWATI S.M _ SERTIFIKAT BerAKHLAK</v>
      </c>
      <c r="P6648" s="5" t="s">
        <v>42769</v>
      </c>
    </row>
    <row r="6649">
      <c r="A6649" s="4">
        <v>45534.37183128472</v>
      </c>
      <c r="B6649" s="5" t="s">
        <v>34</v>
      </c>
      <c r="D6649" s="5" t="s">
        <v>1206</v>
      </c>
      <c r="E6649" s="5" t="s">
        <v>17149</v>
      </c>
      <c r="F6649" s="5" t="s">
        <v>37</v>
      </c>
      <c r="G6649" s="5" t="s">
        <v>42775</v>
      </c>
      <c r="H6649" s="6" t="s">
        <v>42776</v>
      </c>
      <c r="K6649" s="5" t="s">
        <v>42318</v>
      </c>
      <c r="M6649" s="5" t="s">
        <v>42777</v>
      </c>
      <c r="N6649" s="7" t="s">
        <v>42778</v>
      </c>
      <c r="O6649" s="8" t="str">
        <f>HYPERLINK("https://drive.google.com/file/d/1yBFbw3m1l8kYjXOtnnLSpoTMLz7gXfjs/view?usp=drivesdk","6648_SRI LESTARI _ SERTIFIKAT BerAKHLAK")</f>
        <v>6648_SRI LESTARI _ SERTIFIKAT BerAKHLAK</v>
      </c>
      <c r="P6649" s="5" t="s">
        <v>42769</v>
      </c>
    </row>
    <row r="6650">
      <c r="A6650" s="4">
        <v>45534.3718337037</v>
      </c>
      <c r="B6650" s="5" t="s">
        <v>34</v>
      </c>
      <c r="D6650" s="5" t="s">
        <v>4775</v>
      </c>
      <c r="E6650" s="5" t="s">
        <v>42779</v>
      </c>
      <c r="F6650" s="5" t="s">
        <v>375</v>
      </c>
      <c r="G6650" s="5" t="s">
        <v>42780</v>
      </c>
      <c r="H6650" s="6" t="s">
        <v>42781</v>
      </c>
      <c r="K6650" s="5" t="s">
        <v>42318</v>
      </c>
      <c r="M6650" s="5" t="s">
        <v>42782</v>
      </c>
      <c r="N6650" s="7" t="s">
        <v>42783</v>
      </c>
      <c r="O6650" s="8" t="str">
        <f>HYPERLINK("https://drive.google.com/file/d/12TftOjhTBMStFqhwj3ylVDAiBqb2drPU/view?usp=drivesdk","6649_ANDI ARTO, S.S. _ SERTIFIKAT BerAKHLAK")</f>
        <v>6649_ANDI ARTO, S.S. _ SERTIFIKAT BerAKHLAK</v>
      </c>
      <c r="P6650" s="5" t="s">
        <v>42769</v>
      </c>
    </row>
    <row r="6651">
      <c r="A6651" s="4">
        <v>45534.37183978009</v>
      </c>
      <c r="B6651" s="5" t="s">
        <v>34</v>
      </c>
      <c r="D6651" s="5" t="s">
        <v>1456</v>
      </c>
      <c r="E6651" s="5" t="s">
        <v>42784</v>
      </c>
      <c r="F6651" s="5" t="s">
        <v>524</v>
      </c>
      <c r="G6651" s="5" t="s">
        <v>42785</v>
      </c>
      <c r="H6651" s="6" t="s">
        <v>42786</v>
      </c>
      <c r="K6651" s="5" t="s">
        <v>42318</v>
      </c>
      <c r="M6651" s="5" t="s">
        <v>42787</v>
      </c>
      <c r="N6651" s="7" t="s">
        <v>42788</v>
      </c>
      <c r="O6651" s="8" t="str">
        <f>HYPERLINK("https://drive.google.com/file/d/1S92XUnncXIXiikEX-CcnCvpufh_6WZf3/view?usp=drivesdk","6650_INET ELIA, SE. _ SERTIFIKAT BerAKHLAK")</f>
        <v>6650_INET ELIA, SE. _ SERTIFIKAT BerAKHLAK</v>
      </c>
      <c r="P6651" s="5" t="s">
        <v>42769</v>
      </c>
    </row>
    <row r="6652">
      <c r="A6652" s="4">
        <v>45534.37184024305</v>
      </c>
      <c r="B6652" s="5" t="s">
        <v>34</v>
      </c>
      <c r="D6652" s="5" t="s">
        <v>10444</v>
      </c>
      <c r="E6652" s="5" t="s">
        <v>42789</v>
      </c>
      <c r="F6652" s="5" t="s">
        <v>524</v>
      </c>
      <c r="G6652" s="5" t="s">
        <v>42790</v>
      </c>
      <c r="H6652" s="6" t="s">
        <v>42791</v>
      </c>
      <c r="K6652" s="5" t="s">
        <v>42318</v>
      </c>
      <c r="M6652" s="5" t="s">
        <v>42792</v>
      </c>
      <c r="N6652" s="7" t="s">
        <v>42793</v>
      </c>
      <c r="O6652" s="8" t="str">
        <f>HYPERLINK("https://drive.google.com/file/d/1IvC0A3N86ADXiV0LT8rMFDCc8U5RIz9b/view?usp=drivesdk","6651_MUSYRIFAH _ SERTIFIKAT BerAKHLAK")</f>
        <v>6651_MUSYRIFAH _ SERTIFIKAT BerAKHLAK</v>
      </c>
      <c r="P6652" s="5" t="s">
        <v>42794</v>
      </c>
    </row>
    <row r="6653">
      <c r="A6653" s="4">
        <v>45534.371842395834</v>
      </c>
      <c r="B6653" s="5" t="s">
        <v>34</v>
      </c>
      <c r="D6653" s="5" t="s">
        <v>10297</v>
      </c>
      <c r="E6653" s="5" t="s">
        <v>42795</v>
      </c>
      <c r="F6653" s="5" t="s">
        <v>715</v>
      </c>
      <c r="G6653" s="5" t="s">
        <v>42796</v>
      </c>
      <c r="H6653" s="6" t="s">
        <v>42797</v>
      </c>
      <c r="K6653" s="5" t="s">
        <v>42318</v>
      </c>
      <c r="M6653" s="5" t="s">
        <v>42798</v>
      </c>
      <c r="N6653" s="7" t="s">
        <v>42799</v>
      </c>
      <c r="O6653" s="8" t="str">
        <f>HYPERLINK("https://drive.google.com/file/d/1LjOqwYaz5bOPu-_g48KgMaZeJGwCAUkM/view?usp=drivesdk","6652_LA ODE DARMIN, S.E _ SERTIFIKAT BerAKHLAK")</f>
        <v>6652_LA ODE DARMIN, S.E _ SERTIFIKAT BerAKHLAK</v>
      </c>
      <c r="P6653" s="5" t="s">
        <v>42794</v>
      </c>
    </row>
    <row r="6654">
      <c r="A6654" s="4">
        <v>45534.371848333336</v>
      </c>
      <c r="B6654" s="5" t="s">
        <v>34</v>
      </c>
      <c r="D6654" s="5" t="s">
        <v>4775</v>
      </c>
      <c r="E6654" s="5" t="s">
        <v>42800</v>
      </c>
      <c r="F6654" s="5" t="s">
        <v>212</v>
      </c>
      <c r="G6654" s="5" t="s">
        <v>42801</v>
      </c>
      <c r="H6654" s="6" t="s">
        <v>42802</v>
      </c>
      <c r="K6654" s="5" t="s">
        <v>42318</v>
      </c>
      <c r="M6654" s="5" t="s">
        <v>42803</v>
      </c>
      <c r="N6654" s="7" t="s">
        <v>42804</v>
      </c>
      <c r="O6654" s="8" t="str">
        <f>HYPERLINK("https://drive.google.com/file/d/1JnV-V165WPKZUq7C-rvviIsU9qWQk-KP/view?usp=drivesdk","6653_IKA RETNANING HASTUTI _ SERTIFIKAT BerAKHLAK")</f>
        <v>6653_IKA RETNANING HASTUTI _ SERTIFIKAT BerAKHLAK</v>
      </c>
      <c r="P6654" s="5" t="s">
        <v>42794</v>
      </c>
    </row>
    <row r="6655">
      <c r="A6655" s="4">
        <v>45534.371852488424</v>
      </c>
      <c r="B6655" s="5" t="s">
        <v>34</v>
      </c>
      <c r="D6655" s="5" t="s">
        <v>701</v>
      </c>
      <c r="E6655" s="5" t="s">
        <v>42805</v>
      </c>
      <c r="F6655" s="5" t="s">
        <v>72</v>
      </c>
      <c r="G6655" s="5" t="s">
        <v>42806</v>
      </c>
      <c r="H6655" s="6" t="s">
        <v>42807</v>
      </c>
      <c r="K6655" s="5" t="s">
        <v>42318</v>
      </c>
      <c r="M6655" s="5" t="s">
        <v>42808</v>
      </c>
      <c r="N6655" s="7" t="s">
        <v>42809</v>
      </c>
      <c r="O6655" s="8" t="str">
        <f>HYPERLINK("https://drive.google.com/file/d/1RkM_TVOB2BlISPOApn57aQ9A8onqHXqb/view?usp=drivesdk","6654_SULMAYETI, S.E. _ SERTIFIKAT BerAKHLAK")</f>
        <v>6654_SULMAYETI, S.E. _ SERTIFIKAT BerAKHLAK</v>
      </c>
      <c r="P6655" s="5" t="s">
        <v>42794</v>
      </c>
    </row>
    <row r="6656" hidden="1">
      <c r="A6656" s="4">
        <v>45534.371876793986</v>
      </c>
      <c r="B6656" s="5" t="s">
        <v>19</v>
      </c>
      <c r="C6656" s="5" t="s">
        <v>26187</v>
      </c>
      <c r="E6656" s="5" t="s">
        <v>42810</v>
      </c>
      <c r="F6656" s="5" t="s">
        <v>524</v>
      </c>
      <c r="G6656" s="5" t="s">
        <v>42811</v>
      </c>
      <c r="H6656" s="6" t="s">
        <v>42812</v>
      </c>
      <c r="K6656" s="5" t="s">
        <v>42813</v>
      </c>
      <c r="M6656" s="5" t="s">
        <v>42814</v>
      </c>
      <c r="N6656" s="7" t="s">
        <v>42815</v>
      </c>
      <c r="O6656" s="8" t="str">
        <f>HYPERLINK("https://drive.google.com/file/d/1-jQabvM6DP0PHstfmfvKS1tDLie_2IR2/view?usp=drivesdk","6655_M GALANG SAHTIYANZA ROMAIN _ SERTIFIKAT BerAKHLAK")</f>
        <v>6655_M GALANG SAHTIYANZA ROMAIN _ SERTIFIKAT BerAKHLAK</v>
      </c>
      <c r="P6656" s="5" t="s">
        <v>42816</v>
      </c>
    </row>
    <row r="6657">
      <c r="A6657" s="4">
        <v>45534.371896111115</v>
      </c>
      <c r="B6657" s="5" t="s">
        <v>34</v>
      </c>
      <c r="D6657" s="5" t="s">
        <v>996</v>
      </c>
      <c r="E6657" s="5" t="s">
        <v>42817</v>
      </c>
      <c r="F6657" s="5" t="s">
        <v>328</v>
      </c>
      <c r="G6657" s="5" t="s">
        <v>42818</v>
      </c>
      <c r="H6657" s="6" t="s">
        <v>42819</v>
      </c>
      <c r="K6657" s="5" t="s">
        <v>42820</v>
      </c>
      <c r="M6657" s="5" t="s">
        <v>42821</v>
      </c>
      <c r="N6657" s="7" t="s">
        <v>42822</v>
      </c>
      <c r="O6657" s="8" t="str">
        <f>HYPERLINK("https://drive.google.com/file/d/136fCeAncOvysPUgySJ9JnKMCKNhnDUWz/view?usp=drivesdk","6656_GT.DELIANA TUTI GARNASIH,S.Sos _ SERTIFIKAT BerAKHLAK")</f>
        <v>6656_GT.DELIANA TUTI GARNASIH,S.Sos _ SERTIFIKAT BerAKHLAK</v>
      </c>
      <c r="P6657" s="5" t="s">
        <v>42816</v>
      </c>
    </row>
    <row r="6658">
      <c r="A6658" s="4">
        <v>45534.37190982639</v>
      </c>
      <c r="B6658" s="5" t="s">
        <v>34</v>
      </c>
      <c r="D6658" s="5" t="s">
        <v>1206</v>
      </c>
      <c r="E6658" s="5" t="s">
        <v>42823</v>
      </c>
      <c r="F6658" s="5" t="s">
        <v>524</v>
      </c>
      <c r="G6658" s="5" t="s">
        <v>42824</v>
      </c>
      <c r="H6658" s="6" t="s">
        <v>42825</v>
      </c>
      <c r="K6658" s="5" t="s">
        <v>42820</v>
      </c>
      <c r="M6658" s="5" t="s">
        <v>42826</v>
      </c>
      <c r="N6658" s="7" t="s">
        <v>42827</v>
      </c>
      <c r="O6658" s="8" t="str">
        <f>HYPERLINK("https://drive.google.com/file/d/1dp5hRtKI00lyAwAoaQPE2-2olOn8MvvV/view?usp=drivesdk","6657_ARIF SETIYOBUDI _ SERTIFIKAT BerAKHLAK")</f>
        <v>6657_ARIF SETIYOBUDI _ SERTIFIKAT BerAKHLAK</v>
      </c>
      <c r="P6658" s="5" t="s">
        <v>42816</v>
      </c>
    </row>
    <row r="6659" hidden="1">
      <c r="A6659" s="4">
        <v>45534.37191494213</v>
      </c>
      <c r="B6659" s="5" t="s">
        <v>19</v>
      </c>
      <c r="C6659" s="5" t="s">
        <v>5564</v>
      </c>
      <c r="E6659" s="5" t="s">
        <v>42828</v>
      </c>
      <c r="F6659" s="5" t="s">
        <v>120</v>
      </c>
      <c r="G6659" s="5" t="s">
        <v>42829</v>
      </c>
      <c r="H6659" s="6" t="s">
        <v>42830</v>
      </c>
      <c r="K6659" s="5" t="s">
        <v>42820</v>
      </c>
      <c r="M6659" s="5" t="s">
        <v>42831</v>
      </c>
      <c r="N6659" s="7" t="s">
        <v>42832</v>
      </c>
      <c r="O6659" s="8" t="str">
        <f>HYPERLINK("https://drive.google.com/file/d/1VKHNPsV0nVIdeAnn-F1Mm0ECVcpsWimx/view?usp=drivesdk","6658_ANDY MULYADI, S.E. _ SERTIFIKAT BerAKHLAK")</f>
        <v>6658_ANDY MULYADI, S.E. _ SERTIFIKAT BerAKHLAK</v>
      </c>
      <c r="P6659" s="5" t="s">
        <v>42833</v>
      </c>
    </row>
    <row r="6660">
      <c r="A6660" s="4">
        <v>45534.371922488426</v>
      </c>
      <c r="B6660" s="5" t="s">
        <v>34</v>
      </c>
      <c r="D6660" s="5" t="s">
        <v>12978</v>
      </c>
      <c r="E6660" s="5" t="s">
        <v>42834</v>
      </c>
      <c r="F6660" s="5" t="s">
        <v>524</v>
      </c>
      <c r="G6660" s="5" t="s">
        <v>42835</v>
      </c>
      <c r="H6660" s="6" t="s">
        <v>42836</v>
      </c>
      <c r="K6660" s="5" t="s">
        <v>42820</v>
      </c>
      <c r="M6660" s="5" t="s">
        <v>42837</v>
      </c>
      <c r="N6660" s="7" t="s">
        <v>42838</v>
      </c>
      <c r="O6660" s="8" t="str">
        <f>HYPERLINK("https://drive.google.com/file/d/1_2sGhxFbjbsjL4kVs-01_0jnbtXtj2C6/view?usp=drivesdk","6659_OCI ISNIYANTI _ SERTIFIKAT BerAKHLAK")</f>
        <v>6659_OCI ISNIYANTI _ SERTIFIKAT BerAKHLAK</v>
      </c>
      <c r="P6660" s="5" t="s">
        <v>42833</v>
      </c>
    </row>
    <row r="6661">
      <c r="A6661" s="4">
        <v>45534.37194096065</v>
      </c>
      <c r="B6661" s="5" t="s">
        <v>34</v>
      </c>
      <c r="D6661" s="5" t="s">
        <v>1206</v>
      </c>
      <c r="E6661" s="5" t="s">
        <v>42839</v>
      </c>
      <c r="F6661" s="5" t="s">
        <v>72</v>
      </c>
      <c r="G6661" s="5" t="s">
        <v>42840</v>
      </c>
      <c r="H6661" s="6" t="s">
        <v>42841</v>
      </c>
      <c r="K6661" s="5" t="s">
        <v>42842</v>
      </c>
      <c r="M6661" s="5" t="s">
        <v>42843</v>
      </c>
      <c r="N6661" s="7" t="s">
        <v>42844</v>
      </c>
      <c r="O6661" s="8" t="str">
        <f>HYPERLINK("https://drive.google.com/file/d/13OiC-91f18cTK4YxlrKnWu3WzWXa4QEq/view?usp=drivesdk","6660_SITI CHOTIJAH _ SERTIFIKAT BerAKHLAK")</f>
        <v>6660_SITI CHOTIJAH _ SERTIFIKAT BerAKHLAK</v>
      </c>
      <c r="P6661" s="5" t="s">
        <v>42833</v>
      </c>
    </row>
    <row r="6662" hidden="1">
      <c r="A6662" s="4">
        <v>45534.371968321764</v>
      </c>
      <c r="B6662" s="5" t="s">
        <v>19</v>
      </c>
      <c r="C6662" s="5" t="s">
        <v>5564</v>
      </c>
      <c r="E6662" s="5" t="s">
        <v>42845</v>
      </c>
      <c r="F6662" s="5" t="s">
        <v>212</v>
      </c>
      <c r="G6662" s="5" t="s">
        <v>42846</v>
      </c>
      <c r="H6662" s="6" t="s">
        <v>42847</v>
      </c>
      <c r="K6662" s="5" t="s">
        <v>42848</v>
      </c>
      <c r="M6662" s="5" t="s">
        <v>42849</v>
      </c>
      <c r="N6662" s="7" t="s">
        <v>42850</v>
      </c>
      <c r="O6662" s="8" t="str">
        <f>HYPERLINK("https://drive.google.com/file/d/1CFe-ZWrGNNSoGGNFTqfQifY1Q2ySqSVY/view?usp=drivesdk","6661_DWI HENDRAYANTI _ SERTIFIKAT BerAKHLAK")</f>
        <v>6661_DWI HENDRAYANTI _ SERTIFIKAT BerAKHLAK</v>
      </c>
      <c r="P6662" s="5" t="s">
        <v>42833</v>
      </c>
    </row>
    <row r="6663">
      <c r="A6663" s="4">
        <v>45534.371978483796</v>
      </c>
      <c r="B6663" s="5" t="s">
        <v>34</v>
      </c>
      <c r="D6663" s="5" t="s">
        <v>267</v>
      </c>
      <c r="E6663" s="5" t="s">
        <v>42851</v>
      </c>
      <c r="F6663" s="5" t="s">
        <v>72</v>
      </c>
      <c r="G6663" s="5" t="s">
        <v>42852</v>
      </c>
      <c r="H6663" s="6" t="s">
        <v>42853</v>
      </c>
      <c r="K6663" s="5" t="s">
        <v>42848</v>
      </c>
      <c r="M6663" s="5" t="s">
        <v>42854</v>
      </c>
      <c r="N6663" s="7" t="s">
        <v>42855</v>
      </c>
      <c r="O6663" s="8" t="str">
        <f>HYPERLINK("https://drive.google.com/file/d/184JlxDD2wmL7S9Ip2VPj4aEj3M9aUi28/view?usp=drivesdk","6662_R. HADWI PRIHATANTO, S. KOM. _ SERTIFIKAT BerAKHLAK")</f>
        <v>6662_R. HADWI PRIHATANTO, S. KOM. _ SERTIFIKAT BerAKHLAK</v>
      </c>
      <c r="P6663" s="5" t="s">
        <v>42856</v>
      </c>
    </row>
    <row r="6664">
      <c r="A6664" s="4">
        <v>45534.371981793985</v>
      </c>
      <c r="B6664" s="5" t="s">
        <v>34</v>
      </c>
      <c r="D6664" s="5" t="s">
        <v>1206</v>
      </c>
      <c r="E6664" s="5" t="s">
        <v>42857</v>
      </c>
      <c r="F6664" s="5" t="s">
        <v>199</v>
      </c>
      <c r="G6664" s="5" t="s">
        <v>42858</v>
      </c>
      <c r="H6664" s="6" t="s">
        <v>42859</v>
      </c>
      <c r="K6664" s="5" t="s">
        <v>42848</v>
      </c>
      <c r="M6664" s="5" t="s">
        <v>42860</v>
      </c>
      <c r="N6664" s="7" t="s">
        <v>42861</v>
      </c>
      <c r="O6664" s="8" t="str">
        <f>HYPERLINK("https://drive.google.com/file/d/1HmNKzOLh6m0nEoVJ-SpWVOgMyZubK1YB/view?usp=drivesdk","6663_SUKADI, S.Sos _ SERTIFIKAT BerAKHLAK")</f>
        <v>6663_SUKADI, S.Sos _ SERTIFIKAT BerAKHLAK</v>
      </c>
      <c r="P6664" s="5" t="s">
        <v>42856</v>
      </c>
    </row>
    <row r="6665">
      <c r="A6665" s="4">
        <v>45534.37200585648</v>
      </c>
      <c r="B6665" s="5" t="s">
        <v>34</v>
      </c>
      <c r="D6665" s="5" t="s">
        <v>10297</v>
      </c>
      <c r="E6665" s="5" t="s">
        <v>31241</v>
      </c>
      <c r="F6665" s="5" t="s">
        <v>37</v>
      </c>
      <c r="G6665" s="5" t="s">
        <v>42862</v>
      </c>
      <c r="H6665" s="6" t="s">
        <v>42863</v>
      </c>
      <c r="K6665" s="5" t="s">
        <v>42864</v>
      </c>
      <c r="M6665" s="5" t="s">
        <v>42865</v>
      </c>
      <c r="N6665" s="7" t="s">
        <v>42866</v>
      </c>
      <c r="O6665" s="8" t="str">
        <f>HYPERLINK("https://drive.google.com/file/d/17ntuT5mEr69TSJvr5Va0_n4gEGL052yJ/view?usp=drivesdk","6664_SURIANI _ SERTIFIKAT BerAKHLAK")</f>
        <v>6664_SURIANI _ SERTIFIKAT BerAKHLAK</v>
      </c>
      <c r="P6665" s="5" t="s">
        <v>42856</v>
      </c>
    </row>
    <row r="6666">
      <c r="A6666" s="4">
        <v>45534.37201465278</v>
      </c>
      <c r="B6666" s="5" t="s">
        <v>34</v>
      </c>
      <c r="D6666" s="5" t="s">
        <v>1456</v>
      </c>
      <c r="E6666" s="5" t="s">
        <v>42867</v>
      </c>
      <c r="F6666" s="5" t="s">
        <v>212</v>
      </c>
      <c r="G6666" s="5" t="s">
        <v>42868</v>
      </c>
      <c r="H6666" s="6" t="s">
        <v>42869</v>
      </c>
      <c r="K6666" s="5" t="s">
        <v>42864</v>
      </c>
      <c r="M6666" s="5" t="s">
        <v>42870</v>
      </c>
      <c r="N6666" s="7" t="s">
        <v>42871</v>
      </c>
      <c r="O6666" s="8" t="str">
        <f>HYPERLINK("https://drive.google.com/file/d/1WkQ3yUhlCH6cUXejZNswUqCsupLEB4fw/view?usp=drivesdk","6665_RITA YULIANA, S. H _ SERTIFIKAT BerAKHLAK")</f>
        <v>6665_RITA YULIANA, S. H _ SERTIFIKAT BerAKHLAK</v>
      </c>
      <c r="P6666" s="5" t="s">
        <v>42856</v>
      </c>
    </row>
    <row r="6667">
      <c r="A6667" s="4">
        <v>45534.372021041665</v>
      </c>
      <c r="B6667" s="5" t="s">
        <v>34</v>
      </c>
      <c r="D6667" s="5" t="s">
        <v>1206</v>
      </c>
      <c r="E6667" s="5" t="s">
        <v>42872</v>
      </c>
      <c r="F6667" s="5" t="s">
        <v>328</v>
      </c>
      <c r="G6667" s="5" t="s">
        <v>42873</v>
      </c>
      <c r="H6667" s="6" t="s">
        <v>42874</v>
      </c>
      <c r="K6667" s="5" t="s">
        <v>42864</v>
      </c>
      <c r="M6667" s="5" t="s">
        <v>42875</v>
      </c>
      <c r="N6667" s="7" t="s">
        <v>42876</v>
      </c>
      <c r="O6667" s="8" t="str">
        <f>HYPERLINK("https://drive.google.com/file/d/1u8OVdunTnxXld75iHcJCF7viArEL9YmL/view?usp=drivesdk","6666_MUSTARI  _ SERTIFIKAT BerAKHLAK")</f>
        <v>6666_MUSTARI  _ SERTIFIKAT BerAKHLAK</v>
      </c>
      <c r="P6667" s="5" t="s">
        <v>42877</v>
      </c>
    </row>
    <row r="6668">
      <c r="A6668" s="4">
        <v>45534.3720397338</v>
      </c>
      <c r="B6668" s="5" t="s">
        <v>34</v>
      </c>
      <c r="D6668" s="5" t="s">
        <v>4775</v>
      </c>
      <c r="E6668" s="5" t="s">
        <v>42878</v>
      </c>
      <c r="F6668" s="5" t="s">
        <v>212</v>
      </c>
      <c r="G6668" s="5" t="s">
        <v>42879</v>
      </c>
      <c r="H6668" s="6" t="s">
        <v>42880</v>
      </c>
      <c r="K6668" s="5" t="s">
        <v>42881</v>
      </c>
      <c r="M6668" s="5" t="s">
        <v>42882</v>
      </c>
      <c r="N6668" s="7" t="s">
        <v>42883</v>
      </c>
      <c r="O6668" s="8" t="str">
        <f>HYPERLINK("https://drive.google.com/file/d/1ZpW7FiOlpeA0YXaI4OZXO9cA2C7gkJTO/view?usp=drivesdk","6667_PURWATI, A.Md.Kep _ SERTIFIKAT BerAKHLAK")</f>
        <v>6667_PURWATI, A.Md.Kep _ SERTIFIKAT BerAKHLAK</v>
      </c>
      <c r="P6668" s="5" t="s">
        <v>42877</v>
      </c>
    </row>
    <row r="6669">
      <c r="A6669" s="4">
        <v>45534.37205708333</v>
      </c>
      <c r="B6669" s="5" t="s">
        <v>34</v>
      </c>
      <c r="D6669" s="5" t="s">
        <v>35</v>
      </c>
      <c r="E6669" s="5" t="s">
        <v>42884</v>
      </c>
      <c r="F6669" s="5" t="s">
        <v>120</v>
      </c>
      <c r="G6669" s="5" t="s">
        <v>42885</v>
      </c>
      <c r="H6669" s="6" t="s">
        <v>42886</v>
      </c>
      <c r="K6669" s="5" t="s">
        <v>42881</v>
      </c>
      <c r="M6669" s="5" t="s">
        <v>42887</v>
      </c>
      <c r="N6669" s="7" t="s">
        <v>42888</v>
      </c>
      <c r="O6669" s="8" t="str">
        <f>HYPERLINK("https://drive.google.com/file/d/1-GtSYN-ynSYS2FNxHeTDsagHLOyAvVOc/view?usp=drivesdk","6668_DADAN RAMDANI, S.AG., M.PD _ SERTIFIKAT BerAKHLAK")</f>
        <v>6668_DADAN RAMDANI, S.AG., M.PD _ SERTIFIKAT BerAKHLAK</v>
      </c>
      <c r="P6669" s="5" t="s">
        <v>42877</v>
      </c>
    </row>
    <row r="6670">
      <c r="A6670" s="4">
        <v>45534.37205770833</v>
      </c>
      <c r="B6670" s="5" t="s">
        <v>34</v>
      </c>
      <c r="D6670" s="5" t="s">
        <v>1206</v>
      </c>
      <c r="E6670" s="5" t="s">
        <v>42889</v>
      </c>
      <c r="F6670" s="5" t="s">
        <v>72</v>
      </c>
      <c r="G6670" s="5" t="s">
        <v>42890</v>
      </c>
      <c r="H6670" s="6" t="s">
        <v>42891</v>
      </c>
      <c r="K6670" s="5" t="s">
        <v>42881</v>
      </c>
      <c r="M6670" s="5" t="s">
        <v>42892</v>
      </c>
      <c r="N6670" s="7" t="s">
        <v>42893</v>
      </c>
      <c r="O6670" s="8" t="str">
        <f>HYPERLINK("https://drive.google.com/file/d/16QuB-IPcw6GDy1v6tRAh8I-17ZDs0mQU/view?usp=drivesdk","6669_SITI NURKOLIDAH _ SERTIFIKAT BerAKHLAK")</f>
        <v>6669_SITI NURKOLIDAH _ SERTIFIKAT BerAKHLAK</v>
      </c>
      <c r="P6670" s="5" t="s">
        <v>42877</v>
      </c>
    </row>
    <row r="6671">
      <c r="A6671" s="4">
        <v>45534.37208407407</v>
      </c>
      <c r="B6671" s="5" t="s">
        <v>34</v>
      </c>
      <c r="D6671" s="5" t="s">
        <v>12010</v>
      </c>
      <c r="E6671" s="5" t="s">
        <v>42894</v>
      </c>
      <c r="F6671" s="5" t="s">
        <v>37</v>
      </c>
      <c r="G6671" s="5" t="s">
        <v>42895</v>
      </c>
      <c r="H6671" s="6" t="s">
        <v>42896</v>
      </c>
      <c r="K6671" s="5" t="s">
        <v>42897</v>
      </c>
      <c r="M6671" s="5" t="s">
        <v>42898</v>
      </c>
      <c r="N6671" s="7" t="s">
        <v>42899</v>
      </c>
      <c r="O6671" s="8" t="str">
        <f>HYPERLINK("https://drive.google.com/file/d/11OG03NsoResNVfNR2HIfnSvRm6q_Fapz/view?usp=drivesdk","6670_DESI A YUSUF A.Md.Kom _ SERTIFIKAT BerAKHLAK")</f>
        <v>6670_DESI A YUSUF A.Md.Kom _ SERTIFIKAT BerAKHLAK</v>
      </c>
      <c r="P6671" s="5" t="s">
        <v>42900</v>
      </c>
    </row>
    <row r="6672">
      <c r="A6672" s="4">
        <v>45534.37208598379</v>
      </c>
      <c r="B6672" s="5" t="s">
        <v>34</v>
      </c>
      <c r="D6672" s="5" t="s">
        <v>4775</v>
      </c>
      <c r="E6672" s="5" t="s">
        <v>42901</v>
      </c>
      <c r="F6672" s="5" t="s">
        <v>212</v>
      </c>
      <c r="G6672" s="5" t="s">
        <v>42902</v>
      </c>
      <c r="H6672" s="6" t="s">
        <v>42903</v>
      </c>
      <c r="K6672" s="5" t="s">
        <v>42897</v>
      </c>
      <c r="M6672" s="5" t="s">
        <v>42904</v>
      </c>
      <c r="N6672" s="7" t="s">
        <v>42905</v>
      </c>
      <c r="O6672" s="8" t="str">
        <f>HYPERLINK("https://drive.google.com/file/d/1dRumq3b5u5Zczu1dKNj0AL_PXTaQ7SY0/view?usp=drivesdk","6671_TITIK PRASETYAWATI, S.H. _ SERTIFIKAT BerAKHLAK")</f>
        <v>6671_TITIK PRASETYAWATI, S.H. _ SERTIFIKAT BerAKHLAK</v>
      </c>
      <c r="P6672" s="5" t="s">
        <v>42900</v>
      </c>
    </row>
    <row r="6673">
      <c r="A6673" s="4">
        <v>45534.37211435185</v>
      </c>
      <c r="B6673" s="5" t="s">
        <v>34</v>
      </c>
      <c r="D6673" s="5" t="s">
        <v>1692</v>
      </c>
      <c r="E6673" s="5" t="s">
        <v>42906</v>
      </c>
      <c r="F6673" s="5" t="s">
        <v>37</v>
      </c>
      <c r="G6673" s="5" t="s">
        <v>42907</v>
      </c>
      <c r="H6673" s="6" t="s">
        <v>42908</v>
      </c>
      <c r="K6673" s="5" t="s">
        <v>42897</v>
      </c>
      <c r="M6673" s="5" t="s">
        <v>42909</v>
      </c>
      <c r="N6673" s="7" t="s">
        <v>42910</v>
      </c>
      <c r="O6673" s="8" t="str">
        <f>HYPERLINK("https://drive.google.com/file/d/1u-wPHyfjXlV5l2siZsocjAy8nBBKKYNN/view?usp=drivesdk","6672_THERESIA EUNIKE ISKANDAR, A.Md.Ak _ SERTIFIKAT BerAKHLAK")</f>
        <v>6672_THERESIA EUNIKE ISKANDAR, A.Md.Ak _ SERTIFIKAT BerAKHLAK</v>
      </c>
      <c r="P6673" s="5" t="s">
        <v>42900</v>
      </c>
    </row>
    <row r="6674" hidden="1">
      <c r="A6674" s="4">
        <v>45534.3721400463</v>
      </c>
      <c r="B6674" s="5" t="s">
        <v>19</v>
      </c>
      <c r="C6674" s="5" t="s">
        <v>26187</v>
      </c>
      <c r="E6674" s="5" t="s">
        <v>42911</v>
      </c>
      <c r="F6674" s="5" t="s">
        <v>212</v>
      </c>
      <c r="G6674" s="5" t="s">
        <v>42912</v>
      </c>
      <c r="H6674" s="6" t="s">
        <v>42913</v>
      </c>
      <c r="K6674" s="5" t="s">
        <v>42914</v>
      </c>
      <c r="M6674" s="5" t="s">
        <v>42915</v>
      </c>
      <c r="N6674" s="7" t="s">
        <v>42916</v>
      </c>
      <c r="O6674" s="8" t="str">
        <f>HYPERLINK("https://drive.google.com/file/d/1glbhQrEOvUq4dQ5oLqgUW_bX2E0-NttC/view?usp=drivesdk","6673_EMPI SURYATINI _ SERTIFIKAT BerAKHLAK")</f>
        <v>6673_EMPI SURYATINI _ SERTIFIKAT BerAKHLAK</v>
      </c>
      <c r="P6674" s="5" t="s">
        <v>42917</v>
      </c>
    </row>
    <row r="6675">
      <c r="A6675" s="4">
        <v>45534.372140983796</v>
      </c>
      <c r="B6675" s="5" t="s">
        <v>34</v>
      </c>
      <c r="D6675" s="5" t="s">
        <v>701</v>
      </c>
      <c r="E6675" s="5" t="s">
        <v>42918</v>
      </c>
      <c r="F6675" s="5" t="s">
        <v>120</v>
      </c>
      <c r="G6675" s="5" t="s">
        <v>42919</v>
      </c>
      <c r="H6675" s="6" t="s">
        <v>42920</v>
      </c>
      <c r="K6675" s="5" t="s">
        <v>42914</v>
      </c>
      <c r="M6675" s="5" t="s">
        <v>42921</v>
      </c>
      <c r="N6675" s="7" t="s">
        <v>42922</v>
      </c>
      <c r="O6675" s="8" t="str">
        <f>HYPERLINK("https://drive.google.com/file/d/1k6jKgaMzVfaXsoAi_s28GXhl7JGx_DGc/view?usp=drivesdk","6674_Apt. ROSVITA,S.Farm _ SERTIFIKAT BerAKHLAK")</f>
        <v>6674_Apt. ROSVITA,S.Farm _ SERTIFIKAT BerAKHLAK</v>
      </c>
      <c r="P6675" s="5" t="s">
        <v>42917</v>
      </c>
    </row>
    <row r="6676">
      <c r="A6676" s="4">
        <v>45534.37215805556</v>
      </c>
      <c r="B6676" s="5" t="s">
        <v>34</v>
      </c>
      <c r="D6676" s="5" t="s">
        <v>1206</v>
      </c>
      <c r="E6676" s="5" t="s">
        <v>42923</v>
      </c>
      <c r="F6676" s="5" t="s">
        <v>72</v>
      </c>
      <c r="G6676" s="5" t="s">
        <v>42924</v>
      </c>
      <c r="H6676" s="6" t="s">
        <v>42925</v>
      </c>
      <c r="K6676" s="5" t="s">
        <v>42926</v>
      </c>
      <c r="M6676" s="5" t="s">
        <v>42927</v>
      </c>
      <c r="N6676" s="7" t="s">
        <v>42928</v>
      </c>
      <c r="O6676" s="8" t="str">
        <f>HYPERLINK("https://drive.google.com/file/d/1eplMFUiEmTDCvuRQ0gqRpz5Nw2eZrBQW/view?usp=drivesdk","6675_SARDONO  _ SERTIFIKAT BerAKHLAK")</f>
        <v>6675_SARDONO  _ SERTIFIKAT BerAKHLAK</v>
      </c>
      <c r="P6676" s="5" t="s">
        <v>42917</v>
      </c>
    </row>
    <row r="6677">
      <c r="A6677" s="4">
        <v>45534.37216905093</v>
      </c>
      <c r="B6677" s="5" t="s">
        <v>34</v>
      </c>
      <c r="D6677" s="5" t="s">
        <v>701</v>
      </c>
      <c r="E6677" s="5" t="s">
        <v>42929</v>
      </c>
      <c r="F6677" s="5" t="s">
        <v>375</v>
      </c>
      <c r="G6677" s="5" t="s">
        <v>42930</v>
      </c>
      <c r="H6677" s="6" t="s">
        <v>42931</v>
      </c>
      <c r="K6677" s="5" t="s">
        <v>42926</v>
      </c>
      <c r="M6677" s="5" t="s">
        <v>42932</v>
      </c>
      <c r="N6677" s="7" t="s">
        <v>42933</v>
      </c>
      <c r="O6677" s="8" t="str">
        <f>HYPERLINK("https://drive.google.com/file/d/1ZI1kHsl0xi2TgBQu1vzgkRLEY2F0_9vk/view?usp=drivesdk","6676_DENI TRISANDI, S.E. _ SERTIFIKAT BerAKHLAK")</f>
        <v>6676_DENI TRISANDI, S.E. _ SERTIFIKAT BerAKHLAK</v>
      </c>
      <c r="P6677" s="5" t="s">
        <v>42917</v>
      </c>
    </row>
    <row r="6678" hidden="1">
      <c r="A6678" s="4">
        <v>45534.372177627316</v>
      </c>
      <c r="B6678" s="5" t="s">
        <v>19</v>
      </c>
      <c r="C6678" s="5" t="s">
        <v>292</v>
      </c>
      <c r="E6678" s="5" t="s">
        <v>42934</v>
      </c>
      <c r="F6678" s="5" t="s">
        <v>212</v>
      </c>
      <c r="G6678" s="5" t="s">
        <v>42935</v>
      </c>
      <c r="H6678" s="6" t="s">
        <v>42936</v>
      </c>
      <c r="K6678" s="5" t="s">
        <v>42926</v>
      </c>
      <c r="M6678" s="5" t="s">
        <v>42937</v>
      </c>
      <c r="N6678" s="7" t="s">
        <v>42938</v>
      </c>
      <c r="O6678" s="8" t="str">
        <f>HYPERLINK("https://drive.google.com/file/d/1tuMki4Qcua9GSUpqqRAFvejLWSiK8e81/view?usp=drivesdk","6677_ROBERTUS JARWADI _ SERTIFIKAT BerAKHLAK")</f>
        <v>6677_ROBERTUS JARWADI _ SERTIFIKAT BerAKHLAK</v>
      </c>
      <c r="P6678" s="5" t="s">
        <v>42939</v>
      </c>
    </row>
    <row r="6679">
      <c r="A6679" s="4">
        <v>45534.37217747685</v>
      </c>
      <c r="B6679" s="5" t="s">
        <v>34</v>
      </c>
      <c r="D6679" s="5" t="s">
        <v>701</v>
      </c>
      <c r="E6679" s="5" t="s">
        <v>42940</v>
      </c>
      <c r="F6679" s="5" t="s">
        <v>37</v>
      </c>
      <c r="G6679" s="5" t="s">
        <v>42941</v>
      </c>
      <c r="H6679" s="6" t="s">
        <v>42942</v>
      </c>
      <c r="K6679" s="5" t="s">
        <v>42926</v>
      </c>
      <c r="M6679" s="5" t="s">
        <v>42943</v>
      </c>
      <c r="N6679" s="7" t="s">
        <v>42944</v>
      </c>
      <c r="O6679" s="8" t="str">
        <f>HYPERLINK("https://drive.google.com/file/d/1DxyDCFAhcWKdMkDLqVMR9p10kfUf5oV-/view?usp=drivesdk","6678_YULFITA _ SERTIFIKAT BerAKHLAK")</f>
        <v>6678_YULFITA _ SERTIFIKAT BerAKHLAK</v>
      </c>
      <c r="P6679" s="5" t="s">
        <v>42939</v>
      </c>
    </row>
    <row r="6680" hidden="1">
      <c r="A6680" s="4">
        <v>45534.37218396991</v>
      </c>
      <c r="B6680" s="5" t="s">
        <v>19</v>
      </c>
      <c r="C6680" s="5" t="s">
        <v>292</v>
      </c>
      <c r="E6680" s="5" t="s">
        <v>42945</v>
      </c>
      <c r="F6680" s="5" t="s">
        <v>108</v>
      </c>
      <c r="G6680" s="5" t="s">
        <v>42946</v>
      </c>
      <c r="H6680" s="6" t="s">
        <v>42947</v>
      </c>
      <c r="K6680" s="5" t="s">
        <v>42926</v>
      </c>
      <c r="M6680" s="5" t="s">
        <v>42948</v>
      </c>
      <c r="N6680" s="7" t="s">
        <v>42949</v>
      </c>
      <c r="O6680" s="8" t="str">
        <f>HYPERLINK("https://drive.google.com/file/d/1hpLjrnQHwcHsN9hGDkBSRZKveGx0Y3ev/view?usp=drivesdk","6679_PURBAWONO.S.A.B _ SERTIFIKAT BerAKHLAK")</f>
        <v>6679_PURBAWONO.S.A.B _ SERTIFIKAT BerAKHLAK</v>
      </c>
      <c r="P6680" s="5" t="s">
        <v>42939</v>
      </c>
    </row>
    <row r="6681">
      <c r="A6681" s="4">
        <v>45534.37218520833</v>
      </c>
      <c r="B6681" s="5" t="s">
        <v>34</v>
      </c>
      <c r="D6681" s="5" t="s">
        <v>1558</v>
      </c>
      <c r="E6681" s="5" t="s">
        <v>42950</v>
      </c>
      <c r="F6681" s="5" t="s">
        <v>37</v>
      </c>
      <c r="G6681" s="5" t="s">
        <v>42951</v>
      </c>
      <c r="H6681" s="6" t="s">
        <v>42952</v>
      </c>
      <c r="K6681" s="5" t="s">
        <v>42926</v>
      </c>
      <c r="M6681" s="5" t="s">
        <v>42953</v>
      </c>
      <c r="N6681" s="7" t="s">
        <v>42954</v>
      </c>
      <c r="O6681" s="8" t="str">
        <f>HYPERLINK("https://drive.google.com/file/d/14BRcohfI7ucubXaiMEPvT0hrU-oIODcr/view?usp=drivesdk","6680_DEDI TARMUDI _ SERTIFIKAT BerAKHLAK")</f>
        <v>6680_DEDI TARMUDI _ SERTIFIKAT BerAKHLAK</v>
      </c>
      <c r="P6681" s="5" t="s">
        <v>42955</v>
      </c>
    </row>
    <row r="6682">
      <c r="A6682" s="4">
        <v>45534.37219472222</v>
      </c>
      <c r="B6682" s="5" t="s">
        <v>34</v>
      </c>
      <c r="D6682" s="5" t="s">
        <v>1206</v>
      </c>
      <c r="E6682" s="5" t="s">
        <v>42956</v>
      </c>
      <c r="F6682" s="5" t="s">
        <v>524</v>
      </c>
      <c r="G6682" s="5" t="s">
        <v>42957</v>
      </c>
      <c r="H6682" s="6" t="s">
        <v>42958</v>
      </c>
      <c r="K6682" s="5" t="s">
        <v>42926</v>
      </c>
      <c r="M6682" s="5" t="s">
        <v>42959</v>
      </c>
      <c r="N6682" s="7" t="s">
        <v>42960</v>
      </c>
      <c r="O6682" s="8" t="str">
        <f>HYPERLINK("https://drive.google.com/file/d/1dKvU0ff_E6vVFur0q2z23PTFBEZ48svf/view?usp=drivesdk","6681_ISA ROSANAH _ SERTIFIKAT BerAKHLAK")</f>
        <v>6681_ISA ROSANAH _ SERTIFIKAT BerAKHLAK</v>
      </c>
      <c r="P6682" s="5" t="s">
        <v>42955</v>
      </c>
    </row>
    <row r="6683">
      <c r="A6683" s="4">
        <v>45534.372245879626</v>
      </c>
      <c r="B6683" s="5" t="s">
        <v>34</v>
      </c>
      <c r="D6683" s="5" t="s">
        <v>1558</v>
      </c>
      <c r="E6683" s="5" t="s">
        <v>42961</v>
      </c>
      <c r="F6683" s="5" t="s">
        <v>37</v>
      </c>
      <c r="G6683" s="5" t="s">
        <v>42962</v>
      </c>
      <c r="H6683" s="6" t="s">
        <v>42963</v>
      </c>
      <c r="K6683" s="5" t="s">
        <v>42964</v>
      </c>
      <c r="M6683" s="5" t="s">
        <v>42965</v>
      </c>
      <c r="N6683" s="7" t="s">
        <v>42966</v>
      </c>
      <c r="O6683" s="8" t="str">
        <f>HYPERLINK("https://drive.google.com/file/d/1-HqHIO4FcdY3LK9CzOWgtZl6Ak3oykqG/view?usp=drivesdk","6682_WIJI RUSMIYATI _ SERTIFIKAT BerAKHLAK")</f>
        <v>6682_WIJI RUSMIYATI _ SERTIFIKAT BerAKHLAK</v>
      </c>
      <c r="P6683" s="5" t="s">
        <v>42955</v>
      </c>
    </row>
    <row r="6684">
      <c r="A6684" s="4">
        <v>45534.37224822916</v>
      </c>
      <c r="B6684" s="5" t="s">
        <v>34</v>
      </c>
      <c r="D6684" s="5" t="s">
        <v>1206</v>
      </c>
      <c r="E6684" s="5" t="s">
        <v>42967</v>
      </c>
      <c r="F6684" s="5" t="s">
        <v>37</v>
      </c>
      <c r="G6684" s="5" t="s">
        <v>42968</v>
      </c>
      <c r="H6684" s="6" t="s">
        <v>42969</v>
      </c>
      <c r="K6684" s="5" t="s">
        <v>42964</v>
      </c>
      <c r="M6684" s="5" t="s">
        <v>42970</v>
      </c>
      <c r="N6684" s="7" t="s">
        <v>42971</v>
      </c>
      <c r="O6684" s="8" t="str">
        <f>HYPERLINK("https://drive.google.com/file/d/1xB488UM_HCTbGVC_nTmZIVv4CuwJrnP0/view?usp=drivesdk","6683_JAINI SAMSUL HIDAYATULLAH _ SERTIFIKAT BerAKHLAK")</f>
        <v>6683_JAINI SAMSUL HIDAYATULLAH _ SERTIFIKAT BerAKHLAK</v>
      </c>
      <c r="P6684" s="5" t="s">
        <v>42955</v>
      </c>
    </row>
    <row r="6685">
      <c r="A6685" s="4">
        <v>45534.37226071759</v>
      </c>
      <c r="B6685" s="5" t="s">
        <v>34</v>
      </c>
      <c r="D6685" s="5" t="s">
        <v>4775</v>
      </c>
      <c r="E6685" s="5" t="s">
        <v>42972</v>
      </c>
      <c r="F6685" s="5" t="s">
        <v>524</v>
      </c>
      <c r="G6685" s="5" t="s">
        <v>42973</v>
      </c>
      <c r="H6685" s="6" t="s">
        <v>42974</v>
      </c>
      <c r="K6685" s="5" t="s">
        <v>42975</v>
      </c>
      <c r="M6685" s="5" t="s">
        <v>42976</v>
      </c>
      <c r="N6685" s="7" t="s">
        <v>42977</v>
      </c>
      <c r="O6685" s="8" t="str">
        <f>HYPERLINK("https://drive.google.com/file/d/1OpdUFM7L9k9K8ypj8tP61u7ItquG09iQ/view?usp=drivesdk","6684_ANIS ROZIKIN,S.Kep _ SERTIFIKAT BerAKHLAK")</f>
        <v>6684_ANIS ROZIKIN,S.Kep _ SERTIFIKAT BerAKHLAK</v>
      </c>
      <c r="P6685" s="5" t="s">
        <v>42978</v>
      </c>
    </row>
    <row r="6686">
      <c r="A6686" s="4">
        <v>45534.37226076389</v>
      </c>
      <c r="B6686" s="5" t="s">
        <v>34</v>
      </c>
      <c r="D6686" s="5" t="s">
        <v>4775</v>
      </c>
      <c r="E6686" s="5" t="s">
        <v>42979</v>
      </c>
      <c r="F6686" s="5" t="s">
        <v>212</v>
      </c>
      <c r="G6686" s="5" t="s">
        <v>42980</v>
      </c>
      <c r="H6686" s="6" t="s">
        <v>42981</v>
      </c>
      <c r="K6686" s="5" t="s">
        <v>42975</v>
      </c>
      <c r="M6686" s="5" t="s">
        <v>42982</v>
      </c>
      <c r="N6686" s="7" t="s">
        <v>42983</v>
      </c>
      <c r="O6686" s="8" t="str">
        <f>HYPERLINK("https://drive.google.com/file/d/1gB9XO7wM2yUJpwWmY5Bh6fe5nSwxSdGy/view?usp=drivesdk","6685_RESTIYOWATI _ SERTIFIKAT BerAKHLAK")</f>
        <v>6685_RESTIYOWATI _ SERTIFIKAT BerAKHLAK</v>
      </c>
      <c r="P6686" s="5" t="s">
        <v>42978</v>
      </c>
    </row>
    <row r="6687">
      <c r="A6687" s="4">
        <v>45534.372271319444</v>
      </c>
      <c r="B6687" s="5" t="s">
        <v>34</v>
      </c>
      <c r="D6687" s="5" t="s">
        <v>1558</v>
      </c>
      <c r="E6687" s="5" t="s">
        <v>17285</v>
      </c>
      <c r="F6687" s="5" t="s">
        <v>212</v>
      </c>
      <c r="G6687" s="5" t="s">
        <v>42984</v>
      </c>
      <c r="H6687" s="6" t="s">
        <v>42985</v>
      </c>
      <c r="K6687" s="5" t="s">
        <v>42975</v>
      </c>
      <c r="M6687" s="5" t="s">
        <v>42986</v>
      </c>
      <c r="N6687" s="7" t="s">
        <v>42987</v>
      </c>
      <c r="O6687" s="8" t="str">
        <f>HYPERLINK("https://drive.google.com/file/d/1cg-A8si01v24hZKFSnS_iqgRWBttqMJx/view?usp=drivesdk","6686_MULYADI _ SERTIFIKAT BerAKHLAK")</f>
        <v>6686_MULYADI _ SERTIFIKAT BerAKHLAK</v>
      </c>
      <c r="P6687" s="5" t="s">
        <v>42978</v>
      </c>
    </row>
    <row r="6688">
      <c r="A6688" s="4">
        <v>45534.37227424768</v>
      </c>
      <c r="B6688" s="5" t="s">
        <v>34</v>
      </c>
      <c r="D6688" s="5" t="s">
        <v>12978</v>
      </c>
      <c r="E6688" s="5" t="s">
        <v>42988</v>
      </c>
      <c r="F6688" s="5" t="s">
        <v>375</v>
      </c>
      <c r="G6688" s="5" t="s">
        <v>42989</v>
      </c>
      <c r="H6688" s="6" t="s">
        <v>42990</v>
      </c>
      <c r="K6688" s="5" t="s">
        <v>42975</v>
      </c>
      <c r="M6688" s="5" t="s">
        <v>42991</v>
      </c>
      <c r="N6688" s="7" t="s">
        <v>42992</v>
      </c>
      <c r="O6688" s="8" t="str">
        <f>HYPERLINK("https://drive.google.com/file/d/12u7Nt-3Ffy25L3THtEGeqanRM07-fxnE/view?usp=drivesdk","6687_Apt. Romlan., S. Farm _ SERTIFIKAT BerAKHLAK")</f>
        <v>6687_Apt. Romlan., S. Farm _ SERTIFIKAT BerAKHLAK</v>
      </c>
      <c r="P6688" s="5" t="s">
        <v>42993</v>
      </c>
    </row>
    <row r="6689">
      <c r="A6689" s="4">
        <v>45534.37227466435</v>
      </c>
      <c r="B6689" s="5" t="s">
        <v>34</v>
      </c>
      <c r="D6689" s="5" t="s">
        <v>1558</v>
      </c>
      <c r="E6689" s="5" t="s">
        <v>42994</v>
      </c>
      <c r="F6689" s="5" t="s">
        <v>37</v>
      </c>
      <c r="G6689" s="5" t="s">
        <v>42995</v>
      </c>
      <c r="H6689" s="6" t="s">
        <v>42996</v>
      </c>
      <c r="K6689" s="5" t="s">
        <v>42975</v>
      </c>
      <c r="M6689" s="5" t="s">
        <v>42997</v>
      </c>
      <c r="N6689" s="7" t="s">
        <v>42998</v>
      </c>
      <c r="O6689" s="8" t="str">
        <f>HYPERLINK("https://drive.google.com/file/d/1GuwV0SgB-KnCLVtRxt_Jv9aMoH7PgYDs/view?usp=drivesdk","6688_ENDAH HASTUTININGSIH  _ SERTIFIKAT BerAKHLAK")</f>
        <v>6688_ENDAH HASTUTININGSIH  _ SERTIFIKAT BerAKHLAK</v>
      </c>
      <c r="P6689" s="5" t="s">
        <v>42993</v>
      </c>
    </row>
    <row r="6690">
      <c r="A6690" s="4">
        <v>45534.37230944444</v>
      </c>
      <c r="B6690" s="5" t="s">
        <v>34</v>
      </c>
      <c r="D6690" s="5" t="s">
        <v>1206</v>
      </c>
      <c r="E6690" s="5" t="s">
        <v>42999</v>
      </c>
      <c r="F6690" s="5" t="s">
        <v>199</v>
      </c>
      <c r="G6690" s="5" t="s">
        <v>43000</v>
      </c>
      <c r="H6690" s="6" t="s">
        <v>43001</v>
      </c>
      <c r="K6690" s="5" t="s">
        <v>42975</v>
      </c>
      <c r="M6690" s="5" t="s">
        <v>43002</v>
      </c>
      <c r="N6690" s="7" t="s">
        <v>43003</v>
      </c>
      <c r="O6690" s="8" t="str">
        <f>HYPERLINK("https://drive.google.com/file/d/1H9pCGfAoxBoM0w3BZ6OSF0R22YLheeT6/view?usp=drivesdk","6689_MASHUDI _ SERTIFIKAT BerAKHLAK")</f>
        <v>6689_MASHUDI _ SERTIFIKAT BerAKHLAK</v>
      </c>
      <c r="P6690" s="5" t="s">
        <v>42993</v>
      </c>
    </row>
    <row r="6691" hidden="1">
      <c r="A6691" s="4">
        <v>45534.372323275464</v>
      </c>
      <c r="B6691" s="5" t="s">
        <v>19</v>
      </c>
      <c r="C6691" s="5" t="s">
        <v>3301</v>
      </c>
      <c r="E6691" s="5" t="s">
        <v>43004</v>
      </c>
      <c r="F6691" s="5" t="s">
        <v>524</v>
      </c>
      <c r="G6691" s="5" t="s">
        <v>43005</v>
      </c>
      <c r="H6691" s="6" t="s">
        <v>43006</v>
      </c>
      <c r="K6691" s="5" t="s">
        <v>42975</v>
      </c>
      <c r="M6691" s="5" t="s">
        <v>43007</v>
      </c>
      <c r="N6691" s="7" t="s">
        <v>43008</v>
      </c>
      <c r="O6691" s="8" t="str">
        <f>HYPERLINK("https://drive.google.com/file/d/1Ze8WraioRqH0q9ue9rYmKoTW4IFZ9KFI/view?usp=drivesdk","6690_Rachmat Purwo Wibowo _ SERTIFIKAT BerAKHLAK")</f>
        <v>6690_Rachmat Purwo Wibowo _ SERTIFIKAT BerAKHLAK</v>
      </c>
      <c r="P6691" s="5" t="s">
        <v>42993</v>
      </c>
    </row>
    <row r="6692">
      <c r="A6692" s="4">
        <v>45534.37232733796</v>
      </c>
      <c r="B6692" s="5" t="s">
        <v>34</v>
      </c>
      <c r="D6692" s="5" t="s">
        <v>35</v>
      </c>
      <c r="E6692" s="5" t="s">
        <v>43009</v>
      </c>
      <c r="F6692" s="5" t="s">
        <v>108</v>
      </c>
      <c r="G6692" s="5" t="s">
        <v>43010</v>
      </c>
      <c r="H6692" s="6" t="s">
        <v>43011</v>
      </c>
      <c r="K6692" s="5" t="s">
        <v>42975</v>
      </c>
      <c r="M6692" s="5" t="s">
        <v>43012</v>
      </c>
      <c r="N6692" s="7" t="s">
        <v>43013</v>
      </c>
      <c r="O6692" s="8" t="str">
        <f>HYPERLINK("https://drive.google.com/file/d/132H0chjeI7jtFASZ6CGnlJqHAHwSbwKa/view?usp=drivesdk","6691_dr. Andreis Kia Tolok, SpPD _ SERTIFIKAT BerAKHLAK")</f>
        <v>6691_dr. Andreis Kia Tolok, SpPD _ SERTIFIKAT BerAKHLAK</v>
      </c>
      <c r="P6692" s="5" t="s">
        <v>42993</v>
      </c>
    </row>
    <row r="6693" hidden="1">
      <c r="A6693" s="4">
        <v>45534.372334224536</v>
      </c>
      <c r="B6693" s="5" t="s">
        <v>19</v>
      </c>
      <c r="C6693" s="5" t="s">
        <v>292</v>
      </c>
      <c r="E6693" s="5" t="s">
        <v>43014</v>
      </c>
      <c r="F6693" s="5" t="s">
        <v>37</v>
      </c>
      <c r="G6693" s="5" t="s">
        <v>43015</v>
      </c>
      <c r="H6693" s="6" t="s">
        <v>43016</v>
      </c>
      <c r="K6693" s="5" t="s">
        <v>42975</v>
      </c>
      <c r="M6693" s="5" t="s">
        <v>43017</v>
      </c>
      <c r="N6693" s="7" t="s">
        <v>43018</v>
      </c>
      <c r="O6693" s="8" t="str">
        <f>HYPERLINK("https://drive.google.com/file/d/1G13X9ReiOKys2V6D_nwiF1m8BCy6i8hl/view?usp=drivesdk","6692_JUMARIAH _ SERTIFIKAT BerAKHLAK")</f>
        <v>6692_JUMARIAH _ SERTIFIKAT BerAKHLAK</v>
      </c>
      <c r="P6693" s="5" t="s">
        <v>43019</v>
      </c>
    </row>
    <row r="6694">
      <c r="A6694" s="4">
        <v>45534.37233857639</v>
      </c>
      <c r="B6694" s="5" t="s">
        <v>34</v>
      </c>
      <c r="D6694" s="5" t="s">
        <v>1558</v>
      </c>
      <c r="E6694" s="5" t="s">
        <v>43020</v>
      </c>
      <c r="F6694" s="5" t="s">
        <v>108</v>
      </c>
      <c r="G6694" s="5" t="s">
        <v>43021</v>
      </c>
      <c r="H6694" s="6" t="s">
        <v>43022</v>
      </c>
      <c r="K6694" s="5" t="s">
        <v>43023</v>
      </c>
      <c r="M6694" s="5" t="s">
        <v>43024</v>
      </c>
      <c r="N6694" s="7" t="s">
        <v>43025</v>
      </c>
      <c r="O6694" s="8" t="str">
        <f>HYPERLINK("https://drive.google.com/file/d/1j5RMdYtGQRtgH7_u3Mm3S2F-BTDHvjbr/view?usp=drivesdk","6693_SULSTRI _ SERTIFIKAT BerAKHLAK")</f>
        <v>6693_SULSTRI _ SERTIFIKAT BerAKHLAK</v>
      </c>
      <c r="P6694" s="5" t="s">
        <v>43019</v>
      </c>
    </row>
    <row r="6695">
      <c r="A6695" s="4">
        <v>45534.37234234954</v>
      </c>
      <c r="B6695" s="5" t="s">
        <v>34</v>
      </c>
      <c r="D6695" s="5" t="s">
        <v>1206</v>
      </c>
      <c r="E6695" s="5" t="s">
        <v>43026</v>
      </c>
      <c r="F6695" s="5" t="s">
        <v>72</v>
      </c>
      <c r="G6695" s="5" t="s">
        <v>43027</v>
      </c>
      <c r="H6695" s="6" t="s">
        <v>43028</v>
      </c>
      <c r="K6695" s="5" t="s">
        <v>43023</v>
      </c>
      <c r="M6695" s="5" t="s">
        <v>43029</v>
      </c>
      <c r="N6695" s="7" t="s">
        <v>43030</v>
      </c>
      <c r="O6695" s="8" t="str">
        <f>HYPERLINK("https://drive.google.com/file/d/1siDoMBVDLo7A9vCk8k8I_-GwQKFJDBdM/view?usp=drivesdk","6694_KADARIANTO,S.Kep.Ners _ SERTIFIKAT BerAKHLAK")</f>
        <v>6694_KADARIANTO,S.Kep.Ners _ SERTIFIKAT BerAKHLAK</v>
      </c>
      <c r="P6695" s="5" t="s">
        <v>43019</v>
      </c>
    </row>
    <row r="6696">
      <c r="A6696" s="4">
        <v>45534.37234386574</v>
      </c>
      <c r="B6696" s="5" t="s">
        <v>34</v>
      </c>
      <c r="D6696" s="5" t="s">
        <v>35</v>
      </c>
      <c r="E6696" s="5" t="s">
        <v>43031</v>
      </c>
      <c r="F6696" s="5" t="s">
        <v>375</v>
      </c>
      <c r="G6696" s="5" t="s">
        <v>43032</v>
      </c>
      <c r="H6696" s="6" t="s">
        <v>43033</v>
      </c>
      <c r="K6696" s="5" t="s">
        <v>43023</v>
      </c>
      <c r="M6696" s="5" t="s">
        <v>43034</v>
      </c>
      <c r="N6696" s="7" t="s">
        <v>43035</v>
      </c>
      <c r="O6696" s="8" t="str">
        <f>HYPERLINK("https://drive.google.com/file/d/13DCwPuD5Gkitiz3p1lQMaS_RihdR8BRL/view?usp=drivesdk","6695_WULAN SUCI, S.KOM _ SERTIFIKAT BerAKHLAK")</f>
        <v>6695_WULAN SUCI, S.KOM _ SERTIFIKAT BerAKHLAK</v>
      </c>
      <c r="P6696" s="5" t="s">
        <v>43019</v>
      </c>
    </row>
    <row r="6697">
      <c r="A6697" s="4">
        <v>45534.37234802083</v>
      </c>
      <c r="B6697" s="5" t="s">
        <v>34</v>
      </c>
      <c r="D6697" s="5" t="s">
        <v>1558</v>
      </c>
      <c r="E6697" s="5" t="s">
        <v>43036</v>
      </c>
      <c r="F6697" s="5" t="s">
        <v>212</v>
      </c>
      <c r="G6697" s="5" t="s">
        <v>43037</v>
      </c>
      <c r="H6697" s="6" t="s">
        <v>43038</v>
      </c>
      <c r="K6697" s="5" t="s">
        <v>43023</v>
      </c>
      <c r="M6697" s="5" t="s">
        <v>43039</v>
      </c>
      <c r="N6697" s="7" t="s">
        <v>43040</v>
      </c>
      <c r="O6697" s="8" t="str">
        <f>HYPERLINK("https://drive.google.com/file/d/1yG_8tjR2pxvbtcchDTEcL52-dyfnJuiB/view?usp=drivesdk","6696_SULARMAN _ SERTIFIKAT BerAKHLAK")</f>
        <v>6696_SULARMAN _ SERTIFIKAT BerAKHLAK</v>
      </c>
      <c r="P6697" s="5" t="s">
        <v>43019</v>
      </c>
    </row>
    <row r="6698">
      <c r="A6698" s="4">
        <v>45534.372361331014</v>
      </c>
      <c r="B6698" s="5" t="s">
        <v>34</v>
      </c>
      <c r="D6698" s="5" t="s">
        <v>4775</v>
      </c>
      <c r="E6698" s="5" t="s">
        <v>43041</v>
      </c>
      <c r="F6698" s="5" t="s">
        <v>37</v>
      </c>
      <c r="G6698" s="5" t="s">
        <v>43042</v>
      </c>
      <c r="H6698" s="6" t="s">
        <v>43043</v>
      </c>
      <c r="K6698" s="5" t="s">
        <v>43023</v>
      </c>
      <c r="M6698" s="5" t="s">
        <v>43044</v>
      </c>
      <c r="N6698" s="7" t="s">
        <v>43045</v>
      </c>
      <c r="O6698" s="8" t="str">
        <f>HYPERLINK("https://drive.google.com/file/d/1BBpY7-dfTHo09NKI3JZhb33dQv-mZAgR/view?usp=drivesdk","6697_SHOLIHIN  _ SERTIFIKAT BerAKHLAK")</f>
        <v>6697_SHOLIHIN  _ SERTIFIKAT BerAKHLAK</v>
      </c>
      <c r="P6698" s="5" t="s">
        <v>43046</v>
      </c>
    </row>
    <row r="6699">
      <c r="A6699" s="4">
        <v>45534.37236422454</v>
      </c>
      <c r="B6699" s="5" t="s">
        <v>34</v>
      </c>
      <c r="D6699" s="5" t="s">
        <v>1206</v>
      </c>
      <c r="E6699" s="5" t="s">
        <v>43047</v>
      </c>
      <c r="F6699" s="5" t="s">
        <v>37</v>
      </c>
      <c r="G6699" s="5" t="s">
        <v>43048</v>
      </c>
      <c r="H6699" s="6" t="s">
        <v>43049</v>
      </c>
      <c r="K6699" s="5" t="s">
        <v>43023</v>
      </c>
      <c r="M6699" s="5" t="s">
        <v>43050</v>
      </c>
      <c r="N6699" s="7" t="s">
        <v>43051</v>
      </c>
      <c r="O6699" s="8" t="str">
        <f>HYPERLINK("https://drive.google.com/file/d/1-MZKO_kEY1TiIVC_2cy0FwCXs7sVp1Ph/view?usp=drivesdk","6698_GANDA MILYASARI, S.Pd. _ SERTIFIKAT BerAKHLAK")</f>
        <v>6698_GANDA MILYASARI, S.Pd. _ SERTIFIKAT BerAKHLAK</v>
      </c>
      <c r="P6699" s="5" t="s">
        <v>43046</v>
      </c>
    </row>
    <row r="6700">
      <c r="A6700" s="4">
        <v>45534.372374212966</v>
      </c>
      <c r="B6700" s="5" t="s">
        <v>34</v>
      </c>
      <c r="D6700" s="5" t="s">
        <v>1558</v>
      </c>
      <c r="E6700" s="5" t="s">
        <v>43052</v>
      </c>
      <c r="F6700" s="5" t="s">
        <v>212</v>
      </c>
      <c r="G6700" s="5" t="s">
        <v>43053</v>
      </c>
      <c r="H6700" s="6" t="s">
        <v>43054</v>
      </c>
      <c r="K6700" s="5" t="s">
        <v>43023</v>
      </c>
      <c r="M6700" s="5" t="s">
        <v>43055</v>
      </c>
      <c r="N6700" s="7" t="s">
        <v>43056</v>
      </c>
      <c r="O6700" s="8" t="str">
        <f>HYPERLINK("https://drive.google.com/file/d/1EoAEHfhm4HJlStZ_S4q30zc78pvbpYtl/view?usp=drivesdk","6699_HENA SUHERNA _ SERTIFIKAT BerAKHLAK")</f>
        <v>6699_HENA SUHERNA _ SERTIFIKAT BerAKHLAK</v>
      </c>
      <c r="P6700" s="5" t="s">
        <v>43046</v>
      </c>
    </row>
    <row r="6701" hidden="1">
      <c r="A6701" s="4">
        <v>45534.372385254625</v>
      </c>
      <c r="B6701" s="5" t="s">
        <v>19</v>
      </c>
      <c r="C6701" s="5" t="s">
        <v>3301</v>
      </c>
      <c r="E6701" s="5" t="s">
        <v>43057</v>
      </c>
      <c r="F6701" s="5" t="s">
        <v>37</v>
      </c>
      <c r="G6701" s="5" t="s">
        <v>43058</v>
      </c>
      <c r="H6701" s="6" t="s">
        <v>43059</v>
      </c>
      <c r="K6701" s="5" t="s">
        <v>43023</v>
      </c>
      <c r="M6701" s="5" t="s">
        <v>43060</v>
      </c>
      <c r="N6701" s="7" t="s">
        <v>43061</v>
      </c>
      <c r="O6701" s="8" t="str">
        <f>HYPERLINK("https://drive.google.com/file/d/1GVf0cy_D7meqB3KaYDvOetMWbcRvGkv9/view?usp=drivesdk","6700_ANITA PERMATASARI, AMKG _ SERTIFIKAT BerAKHLAK")</f>
        <v>6700_ANITA PERMATASARI, AMKG _ SERTIFIKAT BerAKHLAK</v>
      </c>
      <c r="P6701" s="5" t="s">
        <v>43046</v>
      </c>
    </row>
    <row r="6702">
      <c r="A6702" s="4">
        <v>45534.37238631945</v>
      </c>
      <c r="B6702" s="5" t="s">
        <v>34</v>
      </c>
      <c r="D6702" s="5" t="s">
        <v>15401</v>
      </c>
      <c r="E6702" s="5" t="s">
        <v>43062</v>
      </c>
      <c r="F6702" s="5" t="s">
        <v>108</v>
      </c>
      <c r="G6702" s="5" t="s">
        <v>43063</v>
      </c>
      <c r="H6702" s="6" t="s">
        <v>43064</v>
      </c>
      <c r="K6702" s="5" t="s">
        <v>43023</v>
      </c>
      <c r="M6702" s="5" t="s">
        <v>43065</v>
      </c>
      <c r="N6702" s="7" t="s">
        <v>43066</v>
      </c>
      <c r="O6702" s="8" t="str">
        <f>HYPERLINK("https://drive.google.com/file/d/1j5upB_X3pJQDkrHUYxE22wDU_xCohe6Y/view?usp=drivesdk","6701_Ni Ketut Ernawati  _ SERTIFIKAT BerAKHLAK")</f>
        <v>6701_Ni Ketut Ernawati  _ SERTIFIKAT BerAKHLAK</v>
      </c>
      <c r="P6702" s="5" t="s">
        <v>43067</v>
      </c>
    </row>
    <row r="6703">
      <c r="A6703" s="4">
        <v>45534.372415798614</v>
      </c>
      <c r="B6703" s="5" t="s">
        <v>34</v>
      </c>
      <c r="D6703" s="5" t="s">
        <v>14313</v>
      </c>
      <c r="E6703" s="5" t="s">
        <v>43068</v>
      </c>
      <c r="F6703" s="5" t="s">
        <v>715</v>
      </c>
      <c r="G6703" s="5" t="s">
        <v>43069</v>
      </c>
      <c r="H6703" s="6" t="s">
        <v>43070</v>
      </c>
      <c r="K6703" s="5" t="s">
        <v>43023</v>
      </c>
      <c r="M6703" s="5" t="s">
        <v>43071</v>
      </c>
      <c r="N6703" s="7" t="s">
        <v>43072</v>
      </c>
      <c r="O6703" s="8" t="str">
        <f>HYPERLINK("https://drive.google.com/file/d/1359M1LoITRqBjCtRS-zQiZCl0LmvACcA/view?usp=drivesdk","6702_ASRIANI, SE _ SERTIFIKAT BerAKHLAK")</f>
        <v>6702_ASRIANI, SE _ SERTIFIKAT BerAKHLAK</v>
      </c>
      <c r="P6703" s="5" t="s">
        <v>43067</v>
      </c>
    </row>
    <row r="6704">
      <c r="A6704" s="4">
        <v>45534.372421319444</v>
      </c>
      <c r="B6704" s="5" t="s">
        <v>34</v>
      </c>
      <c r="D6704" s="5" t="s">
        <v>1206</v>
      </c>
      <c r="E6704" s="5" t="s">
        <v>43073</v>
      </c>
      <c r="F6704" s="5" t="s">
        <v>37</v>
      </c>
      <c r="G6704" s="5" t="s">
        <v>43074</v>
      </c>
      <c r="H6704" s="6" t="s">
        <v>43075</v>
      </c>
      <c r="K6704" s="5" t="s">
        <v>43023</v>
      </c>
      <c r="M6704" s="5" t="s">
        <v>43076</v>
      </c>
      <c r="N6704" s="7" t="s">
        <v>43077</v>
      </c>
      <c r="O6704" s="8" t="str">
        <f>HYPERLINK("https://drive.google.com/file/d/1Zfi-OmhT7FO-sUxrFJS-q0ACyA0jKh-9/view?usp=drivesdk","6703_WIWIT ARI SETIYOWATI., A.Ma _ SERTIFIKAT BerAKHLAK")</f>
        <v>6703_WIWIT ARI SETIYOWATI., A.Ma _ SERTIFIKAT BerAKHLAK</v>
      </c>
      <c r="P6704" s="5" t="s">
        <v>43067</v>
      </c>
    </row>
    <row r="6705">
      <c r="A6705" s="4">
        <v>45534.37243325231</v>
      </c>
      <c r="B6705" s="5" t="s">
        <v>34</v>
      </c>
      <c r="D6705" s="5" t="s">
        <v>1206</v>
      </c>
      <c r="E6705" s="5" t="s">
        <v>43078</v>
      </c>
      <c r="F6705" s="5" t="s">
        <v>212</v>
      </c>
      <c r="G6705" s="5" t="s">
        <v>43079</v>
      </c>
      <c r="H6705" s="6" t="s">
        <v>43080</v>
      </c>
      <c r="K6705" s="5" t="s">
        <v>43081</v>
      </c>
      <c r="M6705" s="5" t="s">
        <v>43082</v>
      </c>
      <c r="N6705" s="7" t="s">
        <v>43083</v>
      </c>
      <c r="O6705" s="8" t="str">
        <f>HYPERLINK("https://drive.google.com/file/d/1QvUAe9N1c5Op4e_OOjRC_FpGOckEpNxT/view?usp=drivesdk","6704_ZAINAL ARIFIN  _ SERTIFIKAT BerAKHLAK")</f>
        <v>6704_ZAINAL ARIFIN  _ SERTIFIKAT BerAKHLAK</v>
      </c>
      <c r="P6705" s="5" t="s">
        <v>43084</v>
      </c>
    </row>
    <row r="6706">
      <c r="A6706" s="4">
        <v>45534.372459375</v>
      </c>
      <c r="B6706" s="5" t="s">
        <v>34</v>
      </c>
      <c r="D6706" s="5" t="s">
        <v>12010</v>
      </c>
      <c r="E6706" s="5" t="s">
        <v>43085</v>
      </c>
      <c r="F6706" s="5" t="s">
        <v>524</v>
      </c>
      <c r="G6706" s="5" t="s">
        <v>43086</v>
      </c>
      <c r="H6706" s="6" t="s">
        <v>43087</v>
      </c>
      <c r="K6706" s="5" t="s">
        <v>43088</v>
      </c>
      <c r="M6706" s="5" t="s">
        <v>43089</v>
      </c>
      <c r="N6706" s="7" t="s">
        <v>43090</v>
      </c>
      <c r="O6706" s="8" t="str">
        <f>HYPERLINK("https://drive.google.com/file/d/1ItG3P7e6Zu-MFPHXkP_5GtOv0eCDD3y8/view?usp=drivesdk","6705_RIANROCHADI ISMAIL S.E. _ SERTIFIKAT BerAKHLAK")</f>
        <v>6705_RIANROCHADI ISMAIL S.E. _ SERTIFIKAT BerAKHLAK</v>
      </c>
      <c r="P6706" s="5" t="s">
        <v>43084</v>
      </c>
    </row>
    <row r="6707">
      <c r="A6707" s="4">
        <v>45534.372460196755</v>
      </c>
      <c r="B6707" s="5" t="s">
        <v>34</v>
      </c>
      <c r="D6707" s="5" t="s">
        <v>11913</v>
      </c>
      <c r="E6707" s="5" t="s">
        <v>43091</v>
      </c>
      <c r="F6707" s="5" t="s">
        <v>715</v>
      </c>
      <c r="G6707" s="5" t="s">
        <v>43092</v>
      </c>
      <c r="H6707" s="6" t="s">
        <v>43093</v>
      </c>
      <c r="K6707" s="5" t="s">
        <v>43088</v>
      </c>
      <c r="M6707" s="5" t="s">
        <v>43094</v>
      </c>
      <c r="N6707" s="7" t="s">
        <v>43095</v>
      </c>
      <c r="O6707" s="8" t="str">
        <f>HYPERLINK("https://drive.google.com/file/d/19iMSZEgFgRFtxSe_OOd3OXkRiD2CmnWF/view?usp=drivesdk","6706_AGNES FALENTINA REPA SEDA,AMD.Kep _ SERTIFIKAT BerAKHLAK")</f>
        <v>6706_AGNES FALENTINA REPA SEDA,AMD.Kep _ SERTIFIKAT BerAKHLAK</v>
      </c>
      <c r="P6707" s="5" t="s">
        <v>43084</v>
      </c>
    </row>
    <row r="6708">
      <c r="A6708" s="4">
        <v>45534.37250618056</v>
      </c>
      <c r="B6708" s="5" t="s">
        <v>34</v>
      </c>
      <c r="D6708" s="5" t="s">
        <v>35</v>
      </c>
      <c r="E6708" s="5" t="s">
        <v>43096</v>
      </c>
      <c r="F6708" s="5" t="s">
        <v>524</v>
      </c>
      <c r="G6708" s="5" t="s">
        <v>43097</v>
      </c>
      <c r="H6708" s="6" t="s">
        <v>43098</v>
      </c>
      <c r="K6708" s="5" t="s">
        <v>43088</v>
      </c>
      <c r="M6708" s="5" t="s">
        <v>43099</v>
      </c>
      <c r="N6708" s="7" t="s">
        <v>43100</v>
      </c>
      <c r="O6708" s="8" t="str">
        <f>HYPERLINK("https://drive.google.com/file/d/1uvOZ1_ZKO9ZYyhEeMVp4at5a9YYVFmDf/view?usp=drivesdk","6707_YANTI HERA SUSANTI _ SERTIFIKAT BerAKHLAK")</f>
        <v>6707_YANTI HERA SUSANTI _ SERTIFIKAT BerAKHLAK</v>
      </c>
      <c r="P6708" s="5" t="s">
        <v>43084</v>
      </c>
    </row>
    <row r="6709">
      <c r="A6709" s="4">
        <v>45534.37252929398</v>
      </c>
      <c r="B6709" s="5" t="s">
        <v>34</v>
      </c>
      <c r="D6709" s="5" t="s">
        <v>10297</v>
      </c>
      <c r="E6709" s="5" t="s">
        <v>43101</v>
      </c>
      <c r="F6709" s="5" t="s">
        <v>37</v>
      </c>
      <c r="G6709" s="5" t="s">
        <v>43102</v>
      </c>
      <c r="H6709" s="6" t="s">
        <v>43103</v>
      </c>
      <c r="K6709" s="5" t="s">
        <v>43104</v>
      </c>
      <c r="M6709" s="5" t="s">
        <v>43105</v>
      </c>
      <c r="N6709" s="7" t="s">
        <v>43106</v>
      </c>
      <c r="O6709" s="8" t="str">
        <f>HYPERLINK("https://drive.google.com/file/d/1eon2ffx4LRswY-A0MQAXc90fQSNhKbai/view?usp=drivesdk","6708_OKTAFIANUS, A.Md _ SERTIFIKAT BerAKHLAK")</f>
        <v>6708_OKTAFIANUS, A.Md _ SERTIFIKAT BerAKHLAK</v>
      </c>
      <c r="P6709" s="5" t="s">
        <v>43107</v>
      </c>
    </row>
    <row r="6710">
      <c r="A6710" s="4">
        <v>45534.372535902774</v>
      </c>
      <c r="B6710" s="5" t="s">
        <v>34</v>
      </c>
      <c r="D6710" s="5" t="s">
        <v>1558</v>
      </c>
      <c r="E6710" s="5" t="s">
        <v>43108</v>
      </c>
      <c r="F6710" s="5" t="s">
        <v>212</v>
      </c>
      <c r="G6710" s="5" t="s">
        <v>43109</v>
      </c>
      <c r="H6710" s="6" t="s">
        <v>43110</v>
      </c>
      <c r="K6710" s="5" t="s">
        <v>43104</v>
      </c>
      <c r="M6710" s="5" t="s">
        <v>43111</v>
      </c>
      <c r="N6710" s="7" t="s">
        <v>43112</v>
      </c>
      <c r="O6710" s="8" t="str">
        <f>HYPERLINK("https://drive.google.com/file/d/1qhO6IKVSWXNE5OEOmP8ZaM3nfMirMfH3/view?usp=drivesdk","6709_ARFAN MUNDIAR _ SERTIFIKAT BerAKHLAK")</f>
        <v>6709_ARFAN MUNDIAR _ SERTIFIKAT BerAKHLAK</v>
      </c>
      <c r="P6710" s="5" t="s">
        <v>43107</v>
      </c>
    </row>
    <row r="6711">
      <c r="A6711" s="4">
        <v>45534.37254336805</v>
      </c>
      <c r="B6711" s="5" t="s">
        <v>34</v>
      </c>
      <c r="D6711" s="5" t="s">
        <v>4775</v>
      </c>
      <c r="E6711" s="5" t="s">
        <v>43113</v>
      </c>
      <c r="F6711" s="5" t="s">
        <v>108</v>
      </c>
      <c r="G6711" s="5" t="s">
        <v>43114</v>
      </c>
      <c r="H6711" s="6" t="s">
        <v>43115</v>
      </c>
      <c r="K6711" s="5" t="s">
        <v>43116</v>
      </c>
      <c r="M6711" s="5" t="s">
        <v>43117</v>
      </c>
      <c r="N6711" s="7" t="s">
        <v>43118</v>
      </c>
      <c r="O6711" s="8" t="str">
        <f>HYPERLINK("https://drive.google.com/file/d/1e0hTIEngtICbuVqGxBma-qQsIyMRuoyv/view?usp=drivesdk","6710_BEKTI JANUWINARTO _ SERTIFIKAT BerAKHLAK")</f>
        <v>6710_BEKTI JANUWINARTO _ SERTIFIKAT BerAKHLAK</v>
      </c>
      <c r="P6711" s="5" t="s">
        <v>43119</v>
      </c>
    </row>
    <row r="6712">
      <c r="A6712" s="4">
        <v>45534.37254975694</v>
      </c>
      <c r="B6712" s="5" t="s">
        <v>34</v>
      </c>
      <c r="D6712" s="5" t="s">
        <v>4775</v>
      </c>
      <c r="E6712" s="5" t="s">
        <v>43120</v>
      </c>
      <c r="F6712" s="5" t="s">
        <v>375</v>
      </c>
      <c r="G6712" s="5" t="s">
        <v>43121</v>
      </c>
      <c r="H6712" s="6" t="s">
        <v>43122</v>
      </c>
      <c r="K6712" s="5" t="s">
        <v>43116</v>
      </c>
      <c r="M6712" s="5" t="s">
        <v>43123</v>
      </c>
      <c r="N6712" s="7" t="s">
        <v>43124</v>
      </c>
      <c r="O6712" s="8" t="str">
        <f>HYPERLINK("https://drive.google.com/file/d/1qgo2wpN-vGnpGW4FBLEyhiBetmNNw9jZ/view?usp=drivesdk","6711_SUPRIHATININGSIH, S.H. _ SERTIFIKAT BerAKHLAK")</f>
        <v>6711_SUPRIHATININGSIH, S.H. _ SERTIFIKAT BerAKHLAK</v>
      </c>
      <c r="P6712" s="5" t="s">
        <v>43119</v>
      </c>
    </row>
    <row r="6713">
      <c r="A6713" s="4">
        <v>45534.37255418982</v>
      </c>
      <c r="B6713" s="5" t="s">
        <v>34</v>
      </c>
      <c r="D6713" s="5" t="s">
        <v>4775</v>
      </c>
      <c r="E6713" s="5" t="s">
        <v>43125</v>
      </c>
      <c r="F6713" s="5" t="s">
        <v>108</v>
      </c>
      <c r="G6713" s="5" t="s">
        <v>43126</v>
      </c>
      <c r="H6713" s="6" t="s">
        <v>43127</v>
      </c>
      <c r="K6713" s="5" t="s">
        <v>43116</v>
      </c>
      <c r="M6713" s="5" t="s">
        <v>43128</v>
      </c>
      <c r="N6713" s="7" t="s">
        <v>43129</v>
      </c>
      <c r="O6713" s="8" t="str">
        <f>HYPERLINK("https://drive.google.com/file/d/1rQDGObhbos7VTerVqsveWZ-IM_iVn-0o/view?usp=drivesdk","6712_JOKO RIYANTO, S.E. _ SERTIFIKAT BerAKHLAK")</f>
        <v>6712_JOKO RIYANTO, S.E. _ SERTIFIKAT BerAKHLAK</v>
      </c>
      <c r="P6713" s="5" t="s">
        <v>43119</v>
      </c>
    </row>
    <row r="6714">
      <c r="A6714" s="4">
        <v>45534.372569652776</v>
      </c>
      <c r="B6714" s="5" t="s">
        <v>34</v>
      </c>
      <c r="D6714" s="5" t="s">
        <v>9020</v>
      </c>
      <c r="E6714" s="5" t="s">
        <v>43130</v>
      </c>
      <c r="F6714" s="5" t="s">
        <v>524</v>
      </c>
      <c r="G6714" s="5" t="s">
        <v>43131</v>
      </c>
      <c r="H6714" s="6" t="s">
        <v>43132</v>
      </c>
      <c r="K6714" s="5" t="s">
        <v>43133</v>
      </c>
      <c r="M6714" s="5" t="s">
        <v>43134</v>
      </c>
      <c r="N6714" s="7" t="s">
        <v>43135</v>
      </c>
      <c r="O6714" s="8" t="str">
        <f>HYPERLINK("https://drive.google.com/file/d/1VX1xnpVVt2b2t1FRba8IRZdVXV5V_uMy/view?usp=drivesdk","6713_Junita Everida Silalahi _ SERTIFIKAT BerAKHLAK")</f>
        <v>6713_Junita Everida Silalahi _ SERTIFIKAT BerAKHLAK</v>
      </c>
      <c r="P6714" s="5" t="s">
        <v>43119</v>
      </c>
    </row>
    <row r="6715">
      <c r="A6715" s="4">
        <v>45534.37257417824</v>
      </c>
      <c r="B6715" s="5" t="s">
        <v>34</v>
      </c>
      <c r="D6715" s="5" t="s">
        <v>1206</v>
      </c>
      <c r="E6715" s="5" t="s">
        <v>43136</v>
      </c>
      <c r="F6715" s="5" t="s">
        <v>37</v>
      </c>
      <c r="G6715" s="5" t="s">
        <v>43137</v>
      </c>
      <c r="H6715" s="6" t="s">
        <v>43138</v>
      </c>
      <c r="K6715" s="5" t="s">
        <v>43139</v>
      </c>
      <c r="M6715" s="5" t="s">
        <v>43140</v>
      </c>
      <c r="N6715" s="7" t="s">
        <v>43141</v>
      </c>
      <c r="O6715" s="8" t="str">
        <f>HYPERLINK("https://drive.google.com/file/d/1_OuZTIFZ8I6-OzeBGyhJwD-mFWcRDHrw/view?usp=drivesdk","6714_TIMAN,S.H. _ SERTIFIKAT BerAKHLAK")</f>
        <v>6714_TIMAN,S.H. _ SERTIFIKAT BerAKHLAK</v>
      </c>
      <c r="P6715" s="5" t="s">
        <v>43142</v>
      </c>
    </row>
    <row r="6716">
      <c r="A6716" s="4">
        <v>45534.372585868055</v>
      </c>
      <c r="B6716" s="5" t="s">
        <v>34</v>
      </c>
      <c r="D6716" s="5" t="s">
        <v>2903</v>
      </c>
      <c r="E6716" s="5" t="s">
        <v>43143</v>
      </c>
      <c r="F6716" s="5" t="s">
        <v>72</v>
      </c>
      <c r="G6716" s="5" t="s">
        <v>43144</v>
      </c>
      <c r="H6716" s="6" t="s">
        <v>43145</v>
      </c>
      <c r="K6716" s="5" t="s">
        <v>43139</v>
      </c>
      <c r="M6716" s="5" t="s">
        <v>43146</v>
      </c>
      <c r="N6716" s="7" t="s">
        <v>43147</v>
      </c>
      <c r="O6716" s="8" t="str">
        <f>HYPERLINK("https://drive.google.com/file/d/1-KTUJPG9dWjfQoYCjj58837fhIJTZTag/view?usp=drivesdk","6715_PRASETIYAWATI _ SERTIFIKAT BerAKHLAK")</f>
        <v>6715_PRASETIYAWATI _ SERTIFIKAT BerAKHLAK</v>
      </c>
      <c r="P6716" s="5" t="s">
        <v>43148</v>
      </c>
    </row>
    <row r="6717">
      <c r="A6717" s="4">
        <v>45534.37259645833</v>
      </c>
      <c r="B6717" s="5" t="s">
        <v>34</v>
      </c>
      <c r="D6717" s="5" t="s">
        <v>267</v>
      </c>
      <c r="E6717" s="5" t="s">
        <v>43149</v>
      </c>
      <c r="F6717" s="5" t="s">
        <v>108</v>
      </c>
      <c r="G6717" s="5" t="s">
        <v>43150</v>
      </c>
      <c r="H6717" s="6" t="s">
        <v>43151</v>
      </c>
      <c r="K6717" s="5" t="s">
        <v>43139</v>
      </c>
      <c r="M6717" s="5" t="s">
        <v>43152</v>
      </c>
      <c r="N6717" s="7" t="s">
        <v>43153</v>
      </c>
      <c r="O6717" s="8" t="str">
        <f>HYPERLINK("https://drive.google.com/file/d/1oAO1o160nk5Oyz7oDOhYCXka7IHTkFLZ/view?usp=drivesdk","6716_Cahya Lingga Purnamasari, S.Farm., Apt. _ SERTIFIKAT BerAKHLAK")</f>
        <v>6716_Cahya Lingga Purnamasari, S.Farm., Apt. _ SERTIFIKAT BerAKHLAK</v>
      </c>
      <c r="P6717" s="5" t="s">
        <v>43148</v>
      </c>
    </row>
    <row r="6718">
      <c r="A6718" s="4">
        <v>45534.3726109375</v>
      </c>
      <c r="B6718" s="5" t="s">
        <v>34</v>
      </c>
      <c r="D6718" s="5" t="s">
        <v>1558</v>
      </c>
      <c r="E6718" s="5" t="s">
        <v>43154</v>
      </c>
      <c r="F6718" s="5" t="s">
        <v>375</v>
      </c>
      <c r="G6718" s="5" t="s">
        <v>43155</v>
      </c>
      <c r="H6718" s="6" t="s">
        <v>43156</v>
      </c>
      <c r="K6718" s="5" t="s">
        <v>43157</v>
      </c>
      <c r="M6718" s="5" t="s">
        <v>43158</v>
      </c>
      <c r="N6718" s="7" t="s">
        <v>43159</v>
      </c>
      <c r="O6718" s="8" t="str">
        <f>HYPERLINK("https://drive.google.com/file/d/1cLWCN_74Y0R5Ggk3WYEcH0Ld2Nv7AIrj/view?usp=drivesdk","6717_ISKANDAR ZULKARNAEN, S.E. _ SERTIFIKAT BerAKHLAK")</f>
        <v>6717_ISKANDAR ZULKARNAEN, S.E. _ SERTIFIKAT BerAKHLAK</v>
      </c>
      <c r="P6718" s="5" t="s">
        <v>43148</v>
      </c>
    </row>
    <row r="6719">
      <c r="A6719" s="4">
        <v>45534.372616215274</v>
      </c>
      <c r="B6719" s="5" t="s">
        <v>34</v>
      </c>
      <c r="D6719" s="5" t="s">
        <v>4775</v>
      </c>
      <c r="E6719" s="5" t="s">
        <v>43160</v>
      </c>
      <c r="F6719" s="5" t="s">
        <v>524</v>
      </c>
      <c r="G6719" s="5" t="s">
        <v>6151</v>
      </c>
      <c r="H6719" s="6" t="s">
        <v>43161</v>
      </c>
      <c r="K6719" s="5" t="s">
        <v>43157</v>
      </c>
      <c r="M6719" s="5" t="s">
        <v>43162</v>
      </c>
      <c r="N6719" s="7" t="s">
        <v>43163</v>
      </c>
      <c r="O6719" s="8" t="str">
        <f>HYPERLINK("https://drive.google.com/file/d/1ti9Np2AC_nrMSSQT6eeQxM3WVmvYMUbz/view?usp=drivesdk","6718_AGUSTIN SRI SUYAMTI _ SERTIFIKAT BerAKHLAK")</f>
        <v>6718_AGUSTIN SRI SUYAMTI _ SERTIFIKAT BerAKHLAK</v>
      </c>
      <c r="P6719" s="5" t="s">
        <v>43164</v>
      </c>
    </row>
    <row r="6720">
      <c r="A6720" s="4">
        <v>45534.37261741898</v>
      </c>
      <c r="B6720" s="5" t="s">
        <v>34</v>
      </c>
      <c r="D6720" s="5" t="s">
        <v>1206</v>
      </c>
      <c r="E6720" s="5" t="s">
        <v>43165</v>
      </c>
      <c r="F6720" s="5" t="s">
        <v>375</v>
      </c>
      <c r="G6720" s="5" t="s">
        <v>43166</v>
      </c>
      <c r="H6720" s="6" t="s">
        <v>43167</v>
      </c>
      <c r="K6720" s="5" t="s">
        <v>43157</v>
      </c>
      <c r="M6720" s="5" t="s">
        <v>43168</v>
      </c>
      <c r="N6720" s="7" t="s">
        <v>43169</v>
      </c>
      <c r="O6720" s="8" t="str">
        <f>HYPERLINK("https://drive.google.com/file/d/1SWymkQGYCz-A37tO0UJG0S2j_vGqgv3X/view?usp=drivesdk","6719_ANDIN NURZENCINA _ SERTIFIKAT BerAKHLAK")</f>
        <v>6719_ANDIN NURZENCINA _ SERTIFIKAT BerAKHLAK</v>
      </c>
      <c r="P6720" s="5" t="s">
        <v>43164</v>
      </c>
    </row>
    <row r="6721">
      <c r="A6721" s="4">
        <v>45534.37263219907</v>
      </c>
      <c r="B6721" s="5" t="s">
        <v>34</v>
      </c>
      <c r="D6721" s="5" t="s">
        <v>701</v>
      </c>
      <c r="E6721" s="5" t="s">
        <v>43170</v>
      </c>
      <c r="F6721" s="5" t="s">
        <v>72</v>
      </c>
      <c r="G6721" s="5" t="s">
        <v>43171</v>
      </c>
      <c r="H6721" s="6" t="s">
        <v>43172</v>
      </c>
      <c r="K6721" s="5" t="s">
        <v>43157</v>
      </c>
      <c r="M6721" s="5" t="s">
        <v>43173</v>
      </c>
      <c r="N6721" s="7" t="s">
        <v>43174</v>
      </c>
      <c r="O6721" s="8" t="str">
        <f>HYPERLINK("https://drive.google.com/file/d/1m9pb0_JJ9JpZMaFxRowi3njL3Y5mC03t/view?usp=drivesdk","6720_EVA RISWNTI _ SERTIFIKAT BerAKHLAK")</f>
        <v>6720_EVA RISWNTI _ SERTIFIKAT BerAKHLAK</v>
      </c>
      <c r="P6721" s="5" t="s">
        <v>43164</v>
      </c>
    </row>
    <row r="6722" hidden="1">
      <c r="A6722" s="4">
        <v>45534.37263761574</v>
      </c>
      <c r="B6722" s="5" t="s">
        <v>19</v>
      </c>
      <c r="C6722" s="5" t="s">
        <v>3471</v>
      </c>
      <c r="E6722" s="5" t="s">
        <v>43175</v>
      </c>
      <c r="F6722" s="5" t="s">
        <v>375</v>
      </c>
      <c r="G6722" s="5" t="s">
        <v>43176</v>
      </c>
      <c r="H6722" s="6" t="s">
        <v>43177</v>
      </c>
      <c r="K6722" s="5" t="s">
        <v>43157</v>
      </c>
      <c r="M6722" s="5" t="s">
        <v>43178</v>
      </c>
      <c r="N6722" s="7" t="s">
        <v>43179</v>
      </c>
      <c r="O6722" s="8" t="str">
        <f>HYPERLINK("https://drive.google.com/file/d/1y5px5h6q1AktWWVgyR0mUU5Snqcam-yi/view?usp=drivesdk","6721_PUGUH SAPARIHARJA _ SERTIFIKAT BerAKHLAK")</f>
        <v>6721_PUGUH SAPARIHARJA _ SERTIFIKAT BerAKHLAK</v>
      </c>
      <c r="P6722" s="5" t="s">
        <v>43164</v>
      </c>
    </row>
    <row r="6723">
      <c r="A6723" s="4">
        <v>45534.37264372685</v>
      </c>
      <c r="B6723" s="5" t="s">
        <v>34</v>
      </c>
      <c r="D6723" s="5" t="s">
        <v>1558</v>
      </c>
      <c r="E6723" s="5" t="s">
        <v>43180</v>
      </c>
      <c r="F6723" s="5" t="s">
        <v>37</v>
      </c>
      <c r="G6723" s="5" t="s">
        <v>43181</v>
      </c>
      <c r="H6723" s="6" t="s">
        <v>43182</v>
      </c>
      <c r="K6723" s="5" t="s">
        <v>43157</v>
      </c>
      <c r="M6723" s="5" t="s">
        <v>43183</v>
      </c>
      <c r="N6723" s="7" t="s">
        <v>43184</v>
      </c>
      <c r="O6723" s="8" t="str">
        <f>HYPERLINK("https://drive.google.com/file/d/1saXDGt0csR-Yj2PPa8SJg8ate9uhzQVI/view?usp=drivesdk","6722_SUHAENAH,A.Md _ SERTIFIKAT BerAKHLAK")</f>
        <v>6722_SUHAENAH,A.Md _ SERTIFIKAT BerAKHLAK</v>
      </c>
      <c r="P6723" s="5" t="s">
        <v>43164</v>
      </c>
    </row>
    <row r="6724">
      <c r="A6724" s="4">
        <v>45534.372670462966</v>
      </c>
      <c r="B6724" s="5" t="s">
        <v>34</v>
      </c>
      <c r="D6724" s="5" t="s">
        <v>996</v>
      </c>
      <c r="E6724" s="5" t="s">
        <v>43185</v>
      </c>
      <c r="F6724" s="5" t="s">
        <v>524</v>
      </c>
      <c r="G6724" s="5" t="s">
        <v>43186</v>
      </c>
      <c r="H6724" s="6" t="s">
        <v>43187</v>
      </c>
      <c r="K6724" s="5" t="s">
        <v>43188</v>
      </c>
      <c r="M6724" s="5" t="s">
        <v>43189</v>
      </c>
      <c r="N6724" s="7" t="s">
        <v>43190</v>
      </c>
      <c r="O6724" s="8" t="str">
        <f>HYPERLINK("https://drive.google.com/file/d/1Y90Oi1plLSbBhu72PDx5PqkLn6Ctq1QB/view?usp=drivesdk","6723_WiDIAWATI, SE _ SERTIFIKAT BerAKHLAK")</f>
        <v>6723_WiDIAWATI, SE _ SERTIFIKAT BerAKHLAK</v>
      </c>
      <c r="P6724" s="5" t="s">
        <v>43191</v>
      </c>
    </row>
    <row r="6725" hidden="1">
      <c r="A6725" s="4">
        <v>45534.37267538194</v>
      </c>
      <c r="B6725" s="5" t="s">
        <v>19</v>
      </c>
      <c r="C6725" s="5" t="s">
        <v>5564</v>
      </c>
      <c r="E6725" s="5" t="s">
        <v>43192</v>
      </c>
      <c r="F6725" s="5" t="s">
        <v>120</v>
      </c>
      <c r="G6725" s="5" t="s">
        <v>43193</v>
      </c>
      <c r="H6725" s="6" t="s">
        <v>43194</v>
      </c>
      <c r="K6725" s="5" t="s">
        <v>43195</v>
      </c>
      <c r="M6725" s="5" t="s">
        <v>43196</v>
      </c>
      <c r="N6725" s="7" t="s">
        <v>43197</v>
      </c>
      <c r="O6725" s="8" t="str">
        <f>HYPERLINK("https://drive.google.com/file/d/1GHYrngJHT0dlEyWL8ShRdtjxJ1YIrBZQ/view?usp=drivesdk","6724_DENI SJAIPUR _ SERTIFIKAT BerAKHLAK")</f>
        <v>6724_DENI SJAIPUR _ SERTIFIKAT BerAKHLAK</v>
      </c>
      <c r="P6725" s="5" t="s">
        <v>43191</v>
      </c>
    </row>
    <row r="6726">
      <c r="A6726" s="4">
        <v>45534.37268936343</v>
      </c>
      <c r="B6726" s="5" t="s">
        <v>34</v>
      </c>
      <c r="D6726" s="5" t="s">
        <v>701</v>
      </c>
      <c r="E6726" s="5" t="s">
        <v>43198</v>
      </c>
      <c r="F6726" s="5" t="s">
        <v>212</v>
      </c>
      <c r="G6726" s="5" t="s">
        <v>43199</v>
      </c>
      <c r="H6726" s="6" t="s">
        <v>43200</v>
      </c>
      <c r="K6726" s="5" t="s">
        <v>43195</v>
      </c>
      <c r="M6726" s="5" t="s">
        <v>43201</v>
      </c>
      <c r="N6726" s="7" t="s">
        <v>43202</v>
      </c>
      <c r="O6726" s="8" t="str">
        <f>HYPERLINK("https://drive.google.com/file/d/1z6V_7iLzE8j1_3WedduAPYibCrQPxpRi/view?usp=drivesdk","6725_RATNA YENTI _ SERTIFIKAT BerAKHLAK")</f>
        <v>6725_RATNA YENTI _ SERTIFIKAT BerAKHLAK</v>
      </c>
      <c r="P6726" s="5" t="s">
        <v>43191</v>
      </c>
    </row>
    <row r="6727">
      <c r="A6727" s="4">
        <v>45534.37271730324</v>
      </c>
      <c r="B6727" s="5" t="s">
        <v>34</v>
      </c>
      <c r="D6727" s="5" t="s">
        <v>35</v>
      </c>
      <c r="E6727" s="5" t="s">
        <v>43203</v>
      </c>
      <c r="F6727" s="5" t="s">
        <v>72</v>
      </c>
      <c r="G6727" s="5" t="s">
        <v>43204</v>
      </c>
      <c r="H6727" s="6" t="s">
        <v>43205</v>
      </c>
      <c r="K6727" s="5" t="s">
        <v>43206</v>
      </c>
      <c r="M6727" s="5" t="s">
        <v>43207</v>
      </c>
      <c r="N6727" s="7" t="s">
        <v>43208</v>
      </c>
      <c r="O6727" s="8" t="str">
        <f>HYPERLINK("https://drive.google.com/file/d/1goNQ_FVT15BR3RQB5XHCru3GdDTqHhjM/view?usp=drivesdk","6726_APT NOYA NURLINA SSI _ SERTIFIKAT BerAKHLAK")</f>
        <v>6726_APT NOYA NURLINA SSI _ SERTIFIKAT BerAKHLAK</v>
      </c>
      <c r="P6727" s="5" t="s">
        <v>43191</v>
      </c>
    </row>
    <row r="6728">
      <c r="A6728" s="4">
        <v>45534.37271957176</v>
      </c>
      <c r="B6728" s="5" t="s">
        <v>34</v>
      </c>
      <c r="D6728" s="5" t="s">
        <v>1558</v>
      </c>
      <c r="E6728" s="5" t="s">
        <v>43209</v>
      </c>
      <c r="F6728" s="5" t="s">
        <v>108</v>
      </c>
      <c r="G6728" s="5" t="s">
        <v>43210</v>
      </c>
      <c r="H6728" s="6" t="s">
        <v>43211</v>
      </c>
      <c r="K6728" s="5" t="s">
        <v>43206</v>
      </c>
      <c r="M6728" s="5" t="s">
        <v>43212</v>
      </c>
      <c r="N6728" s="7" t="s">
        <v>43213</v>
      </c>
      <c r="O6728" s="8" t="str">
        <f>HYPERLINK("https://drive.google.com/file/d/1vq-SbfDCKcYHi38qsnLCZot76hO3NiTG/view?usp=drivesdk","6727_NARNO, SE _ SERTIFIKAT BerAKHLAK")</f>
        <v>6727_NARNO, SE _ SERTIFIKAT BerAKHLAK</v>
      </c>
      <c r="P6728" s="5" t="s">
        <v>43214</v>
      </c>
    </row>
    <row r="6729">
      <c r="A6729" s="4">
        <v>45534.372724988425</v>
      </c>
      <c r="B6729" s="5" t="s">
        <v>34</v>
      </c>
      <c r="D6729" s="5" t="s">
        <v>996</v>
      </c>
      <c r="E6729" s="5" t="s">
        <v>43215</v>
      </c>
      <c r="F6729" s="5" t="s">
        <v>212</v>
      </c>
      <c r="G6729" s="5" t="s">
        <v>43216</v>
      </c>
      <c r="H6729" s="6" t="s">
        <v>43217</v>
      </c>
      <c r="K6729" s="5" t="s">
        <v>43206</v>
      </c>
      <c r="M6729" s="5" t="s">
        <v>43218</v>
      </c>
      <c r="N6729" s="7" t="s">
        <v>43219</v>
      </c>
      <c r="O6729" s="8" t="str">
        <f>HYPERLINK("https://drive.google.com/file/d/1BUfn8PyRTz8MjJSI7rMcThXqBTGJGAca/view?usp=drivesdk","6728_RUDIANSYAH  _ SERTIFIKAT BerAKHLAK")</f>
        <v>6728_RUDIANSYAH  _ SERTIFIKAT BerAKHLAK</v>
      </c>
      <c r="P6729" s="5" t="s">
        <v>43214</v>
      </c>
    </row>
    <row r="6730">
      <c r="A6730" s="4">
        <v>45534.37272800926</v>
      </c>
      <c r="B6730" s="5" t="s">
        <v>34</v>
      </c>
      <c r="D6730" s="5" t="s">
        <v>35</v>
      </c>
      <c r="E6730" s="5" t="s">
        <v>43220</v>
      </c>
      <c r="F6730" s="5" t="s">
        <v>37</v>
      </c>
      <c r="G6730" s="5" t="s">
        <v>43221</v>
      </c>
      <c r="H6730" s="6" t="s">
        <v>43222</v>
      </c>
      <c r="K6730" s="5" t="s">
        <v>43206</v>
      </c>
      <c r="M6730" s="5" t="s">
        <v>43223</v>
      </c>
      <c r="N6730" s="7" t="s">
        <v>43224</v>
      </c>
      <c r="O6730" s="8" t="str">
        <f>HYPERLINK("https://drive.google.com/file/d/1aaaClY7s5p5Uj-8Xb22OZ-vJMPdXdiY3/view?usp=drivesdk","6729_LAILATUL MAFTUKHA, A. Md. Kep _ SERTIFIKAT BerAKHLAK")</f>
        <v>6729_LAILATUL MAFTUKHA, A. Md. Kep _ SERTIFIKAT BerAKHLAK</v>
      </c>
      <c r="P6730" s="5" t="s">
        <v>43214</v>
      </c>
    </row>
    <row r="6731" hidden="1">
      <c r="A6731" s="4">
        <v>45534.372753159725</v>
      </c>
      <c r="B6731" s="5" t="s">
        <v>19</v>
      </c>
      <c r="C6731" s="5" t="s">
        <v>3301</v>
      </c>
      <c r="E6731" s="5" t="s">
        <v>43225</v>
      </c>
      <c r="F6731" s="5" t="s">
        <v>108</v>
      </c>
      <c r="G6731" s="5" t="s">
        <v>43226</v>
      </c>
      <c r="H6731" s="6" t="s">
        <v>43227</v>
      </c>
      <c r="K6731" s="5" t="s">
        <v>43228</v>
      </c>
      <c r="M6731" s="5" t="s">
        <v>43229</v>
      </c>
      <c r="N6731" s="7" t="s">
        <v>43230</v>
      </c>
      <c r="O6731" s="8" t="str">
        <f>HYPERLINK("https://drive.google.com/file/d/1u66lTH2jVjAAKwp5A-kA2SfGWQxrCdnq/view?usp=drivesdk","6730_RARAS DWI OKTARIA _ SERTIFIKAT BerAKHLAK")</f>
        <v>6730_RARAS DWI OKTARIA _ SERTIFIKAT BerAKHLAK</v>
      </c>
      <c r="P6731" s="5" t="s">
        <v>43214</v>
      </c>
    </row>
    <row r="6732">
      <c r="A6732" s="4">
        <v>45534.37277004629</v>
      </c>
      <c r="B6732" s="5" t="s">
        <v>34</v>
      </c>
      <c r="D6732" s="5" t="s">
        <v>4775</v>
      </c>
      <c r="E6732" s="5" t="s">
        <v>43231</v>
      </c>
      <c r="F6732" s="5" t="s">
        <v>212</v>
      </c>
      <c r="G6732" s="5" t="s">
        <v>43232</v>
      </c>
      <c r="H6732" s="6" t="s">
        <v>43233</v>
      </c>
      <c r="K6732" s="5" t="s">
        <v>43228</v>
      </c>
      <c r="M6732" s="5" t="s">
        <v>43234</v>
      </c>
      <c r="N6732" s="7" t="s">
        <v>43235</v>
      </c>
      <c r="O6732" s="8" t="str">
        <f>HYPERLINK("https://drive.google.com/file/d/10nEeyH-HiPr-s_6GM1Ycy4OvhBk3NpFW/view?usp=drivesdk","6731_SUTRISNO WIAHARJO ,Amd. Kep _ SERTIFIKAT BerAKHLAK")</f>
        <v>6731_SUTRISNO WIAHARJO ,Amd. Kep _ SERTIFIKAT BerAKHLAK</v>
      </c>
      <c r="P6732" s="5" t="s">
        <v>43236</v>
      </c>
    </row>
    <row r="6733">
      <c r="A6733" s="4">
        <v>45534.37278142361</v>
      </c>
      <c r="B6733" s="5" t="s">
        <v>34</v>
      </c>
      <c r="D6733" s="5" t="s">
        <v>4775</v>
      </c>
      <c r="E6733" s="5" t="s">
        <v>43237</v>
      </c>
      <c r="F6733" s="5" t="s">
        <v>108</v>
      </c>
      <c r="G6733" s="5" t="s">
        <v>43238</v>
      </c>
      <c r="H6733" s="6" t="s">
        <v>43239</v>
      </c>
      <c r="K6733" s="5" t="s">
        <v>43240</v>
      </c>
      <c r="M6733" s="5" t="s">
        <v>43241</v>
      </c>
      <c r="N6733" s="7" t="s">
        <v>43242</v>
      </c>
      <c r="O6733" s="8" t="str">
        <f>HYPERLINK("https://drive.google.com/file/d/17knh7s2HOlWbfg4hfOvYM2AL0__EeNxB/view?usp=drivesdk","6732_JOKO WAHYONO _ SERTIFIKAT BerAKHLAK")</f>
        <v>6732_JOKO WAHYONO _ SERTIFIKAT BerAKHLAK</v>
      </c>
      <c r="P6733" s="5" t="s">
        <v>43236</v>
      </c>
    </row>
    <row r="6734">
      <c r="A6734" s="4">
        <v>45534.37280701389</v>
      </c>
      <c r="B6734" s="5" t="s">
        <v>34</v>
      </c>
      <c r="D6734" s="5" t="s">
        <v>9394</v>
      </c>
      <c r="E6734" s="5" t="s">
        <v>43243</v>
      </c>
      <c r="F6734" s="5" t="s">
        <v>524</v>
      </c>
      <c r="G6734" s="5" t="s">
        <v>43244</v>
      </c>
      <c r="H6734" s="6" t="s">
        <v>43245</v>
      </c>
      <c r="K6734" s="5" t="s">
        <v>43240</v>
      </c>
      <c r="M6734" s="5" t="s">
        <v>43246</v>
      </c>
      <c r="N6734" s="7" t="s">
        <v>43247</v>
      </c>
      <c r="O6734" s="8" t="str">
        <f>HYPERLINK("https://drive.google.com/file/d/1STkqn8AyTgdM_yvNZEAgRcsqtjx3I-fk/view?usp=drivesdk","6733_MARDIATUL LATIFA,A.Md _ SERTIFIKAT BerAKHLAK")</f>
        <v>6733_MARDIATUL LATIFA,A.Md _ SERTIFIKAT BerAKHLAK</v>
      </c>
      <c r="P6734" s="5" t="s">
        <v>43248</v>
      </c>
    </row>
    <row r="6735">
      <c r="A6735" s="4">
        <v>45534.372820289354</v>
      </c>
      <c r="B6735" s="5" t="s">
        <v>34</v>
      </c>
      <c r="D6735" s="5" t="s">
        <v>604</v>
      </c>
      <c r="E6735" s="5" t="s">
        <v>43249</v>
      </c>
      <c r="F6735" s="5" t="s">
        <v>212</v>
      </c>
      <c r="G6735" s="5" t="s">
        <v>43250</v>
      </c>
      <c r="H6735" s="6" t="s">
        <v>43251</v>
      </c>
      <c r="K6735" s="5" t="s">
        <v>43240</v>
      </c>
      <c r="M6735" s="5" t="s">
        <v>43252</v>
      </c>
      <c r="N6735" s="7" t="s">
        <v>43253</v>
      </c>
      <c r="O6735" s="8" t="str">
        <f>HYPERLINK("https://drive.google.com/file/d/1nCAjz-Uk2Y5FJ4LVIaWtkZrNXR_K5NUM/view?usp=drivesdk","6734_BUDI PRIYONO _ SERTIFIKAT BerAKHLAK")</f>
        <v>6734_BUDI PRIYONO _ SERTIFIKAT BerAKHLAK</v>
      </c>
      <c r="P6735" s="5" t="s">
        <v>43254</v>
      </c>
    </row>
    <row r="6736">
      <c r="A6736" s="4">
        <v>45534.37284232639</v>
      </c>
      <c r="B6736" s="5" t="s">
        <v>34</v>
      </c>
      <c r="D6736" s="5" t="s">
        <v>1206</v>
      </c>
      <c r="E6736" s="5" t="s">
        <v>43255</v>
      </c>
      <c r="F6736" s="5" t="s">
        <v>524</v>
      </c>
      <c r="G6736" s="5" t="s">
        <v>43256</v>
      </c>
      <c r="H6736" s="6" t="s">
        <v>43257</v>
      </c>
      <c r="K6736" s="5" t="s">
        <v>43258</v>
      </c>
      <c r="M6736" s="5" t="s">
        <v>43259</v>
      </c>
      <c r="N6736" s="7" t="s">
        <v>43260</v>
      </c>
      <c r="O6736" s="8" t="str">
        <f>HYPERLINK("https://drive.google.com/file/d/1Be8nCiDLaEFI5KpKPtD6Pw5ImBB_afb8/view?usp=drivesdk","6735_LUPI'AH _ SERTIFIKAT BerAKHLAK")</f>
        <v>6735_LUPI'AH _ SERTIFIKAT BerAKHLAK</v>
      </c>
      <c r="P6736" s="5" t="s">
        <v>43254</v>
      </c>
    </row>
    <row r="6737" hidden="1">
      <c r="A6737" s="4">
        <v>45534.37284659722</v>
      </c>
      <c r="B6737" s="5" t="s">
        <v>19</v>
      </c>
      <c r="C6737" s="5" t="s">
        <v>292</v>
      </c>
      <c r="E6737" s="5" t="s">
        <v>43261</v>
      </c>
      <c r="F6737" s="5" t="s">
        <v>524</v>
      </c>
      <c r="G6737" s="5" t="s">
        <v>43262</v>
      </c>
      <c r="H6737" s="6" t="s">
        <v>43263</v>
      </c>
      <c r="K6737" s="5" t="s">
        <v>43264</v>
      </c>
      <c r="M6737" s="5" t="s">
        <v>43265</v>
      </c>
      <c r="N6737" s="7" t="s">
        <v>43266</v>
      </c>
      <c r="O6737" s="8" t="str">
        <f>HYPERLINK("https://drive.google.com/file/d/1U3xOPi1abEpcNwetTO1mO30KSfrFVDCJ/view?usp=drivesdk","6736_ASEP KURNAMA, S.Pd _ SERTIFIKAT BerAKHLAK")</f>
        <v>6736_ASEP KURNAMA, S.Pd _ SERTIFIKAT BerAKHLAK</v>
      </c>
      <c r="P6737" s="5" t="s">
        <v>43254</v>
      </c>
    </row>
    <row r="6738">
      <c r="A6738" s="4">
        <v>45534.37285085648</v>
      </c>
      <c r="B6738" s="5" t="s">
        <v>34</v>
      </c>
      <c r="D6738" s="5" t="s">
        <v>14313</v>
      </c>
      <c r="E6738" s="5" t="s">
        <v>43267</v>
      </c>
      <c r="F6738" s="5" t="s">
        <v>212</v>
      </c>
      <c r="G6738" s="5" t="s">
        <v>43268</v>
      </c>
      <c r="H6738" s="6" t="s">
        <v>43269</v>
      </c>
      <c r="K6738" s="5" t="s">
        <v>43264</v>
      </c>
      <c r="M6738" s="5" t="s">
        <v>43270</v>
      </c>
      <c r="N6738" s="7" t="s">
        <v>43271</v>
      </c>
      <c r="O6738" s="8" t="str">
        <f>HYPERLINK("https://drive.google.com/file/d/14UbhupyKM_HGSZlVkRlb_HOfkzv84NJL/view?usp=drivesdk","6737_MUSTAFA, S.H. _ SERTIFIKAT BerAKHLAK")</f>
        <v>6737_MUSTAFA, S.H. _ SERTIFIKAT BerAKHLAK</v>
      </c>
      <c r="P6738" s="5" t="s">
        <v>43254</v>
      </c>
    </row>
    <row r="6739" hidden="1">
      <c r="A6739" s="4">
        <v>45534.37286109954</v>
      </c>
      <c r="B6739" s="5" t="s">
        <v>19</v>
      </c>
      <c r="C6739" s="5" t="s">
        <v>3301</v>
      </c>
      <c r="E6739" s="5" t="s">
        <v>43272</v>
      </c>
      <c r="F6739" s="5" t="s">
        <v>108</v>
      </c>
      <c r="G6739" s="5" t="s">
        <v>43273</v>
      </c>
      <c r="H6739" s="6" t="s">
        <v>43274</v>
      </c>
      <c r="K6739" s="5" t="s">
        <v>43264</v>
      </c>
      <c r="M6739" s="5" t="s">
        <v>43275</v>
      </c>
      <c r="N6739" s="7" t="s">
        <v>43276</v>
      </c>
      <c r="O6739" s="8" t="str">
        <f>HYPERLINK("https://drive.google.com/file/d/1luNUW388Pozr1DPG-MnlA2uKk-ur74qG/view?usp=drivesdk","6738_apt. ALMIRA DWI RIZKY REGITA, S.Farm _ SERTIFIKAT BerAKHLAK")</f>
        <v>6738_apt. ALMIRA DWI RIZKY REGITA, S.Farm _ SERTIFIKAT BerAKHLAK</v>
      </c>
      <c r="P6739" s="5" t="s">
        <v>43254</v>
      </c>
    </row>
    <row r="6740" hidden="1">
      <c r="A6740" s="4">
        <v>45534.372883738426</v>
      </c>
      <c r="B6740" s="5" t="s">
        <v>19</v>
      </c>
      <c r="C6740" s="5" t="s">
        <v>5564</v>
      </c>
      <c r="E6740" s="5" t="s">
        <v>43277</v>
      </c>
      <c r="F6740" s="5" t="s">
        <v>120</v>
      </c>
      <c r="G6740" s="5" t="s">
        <v>43278</v>
      </c>
      <c r="H6740" s="6" t="s">
        <v>43279</v>
      </c>
      <c r="K6740" s="5" t="s">
        <v>43280</v>
      </c>
      <c r="M6740" s="5" t="s">
        <v>43281</v>
      </c>
      <c r="N6740" s="7" t="s">
        <v>43282</v>
      </c>
      <c r="O6740" s="8" t="str">
        <f>HYPERLINK("https://drive.google.com/file/d/1nVRwN6uo74WvKKdEadDMBll93XPNFz1I/view?usp=drivesdk","6739_SANTI ULI VERA, SS.MM _ SERTIFIKAT BerAKHLAK")</f>
        <v>6739_SANTI ULI VERA, SS.MM _ SERTIFIKAT BerAKHLAK</v>
      </c>
      <c r="P6740" s="5" t="s">
        <v>43254</v>
      </c>
    </row>
    <row r="6741" hidden="1">
      <c r="A6741" s="4">
        <v>45534.37288761574</v>
      </c>
      <c r="B6741" s="5" t="s">
        <v>19</v>
      </c>
      <c r="C6741" s="5" t="s">
        <v>32901</v>
      </c>
      <c r="E6741" s="5" t="s">
        <v>43283</v>
      </c>
      <c r="F6741" s="5" t="s">
        <v>375</v>
      </c>
      <c r="G6741" s="5" t="s">
        <v>43284</v>
      </c>
      <c r="H6741" s="6" t="s">
        <v>43285</v>
      </c>
      <c r="K6741" s="5" t="s">
        <v>43280</v>
      </c>
      <c r="M6741" s="5" t="s">
        <v>43286</v>
      </c>
      <c r="N6741" s="7" t="s">
        <v>43287</v>
      </c>
      <c r="O6741" s="8" t="str">
        <f>HYPERLINK("https://drive.google.com/file/d/15aWtFT_tVe8-BmO77J1QFhfRiq420eDO/view?usp=drivesdk","6740_HARWOKO PUJI PRIHANTO, ST _ SERTIFIKAT BerAKHLAK")</f>
        <v>6740_HARWOKO PUJI PRIHANTO, ST _ SERTIFIKAT BerAKHLAK</v>
      </c>
      <c r="P6741" s="5" t="s">
        <v>43254</v>
      </c>
    </row>
    <row r="6742">
      <c r="A6742" s="4">
        <v>45534.37289496528</v>
      </c>
      <c r="B6742" s="5" t="s">
        <v>34</v>
      </c>
      <c r="D6742" s="5" t="s">
        <v>35</v>
      </c>
      <c r="E6742" s="5" t="s">
        <v>43288</v>
      </c>
      <c r="F6742" s="5" t="s">
        <v>108</v>
      </c>
      <c r="G6742" s="5" t="s">
        <v>43289</v>
      </c>
      <c r="H6742" s="6" t="s">
        <v>43290</v>
      </c>
      <c r="K6742" s="5" t="s">
        <v>43280</v>
      </c>
      <c r="M6742" s="5" t="s">
        <v>43291</v>
      </c>
      <c r="N6742" s="7" t="s">
        <v>43292</v>
      </c>
      <c r="O6742" s="8" t="str">
        <f>HYPERLINK("https://drive.google.com/file/d/1VGqEVyZ3zCzTjMdTbh2u81KRvfF1oqII/view?usp=drivesdk","6741_RINA MURNIATI _ SERTIFIKAT BerAKHLAK")</f>
        <v>6741_RINA MURNIATI _ SERTIFIKAT BerAKHLAK</v>
      </c>
      <c r="P6742" s="5" t="s">
        <v>43293</v>
      </c>
    </row>
    <row r="6743">
      <c r="A6743" s="4">
        <v>45534.3729246875</v>
      </c>
      <c r="B6743" s="5" t="s">
        <v>34</v>
      </c>
      <c r="D6743" s="5" t="s">
        <v>12978</v>
      </c>
      <c r="E6743" s="5" t="s">
        <v>43294</v>
      </c>
      <c r="F6743" s="5" t="s">
        <v>375</v>
      </c>
      <c r="G6743" s="5" t="s">
        <v>43295</v>
      </c>
      <c r="H6743" s="6" t="s">
        <v>43296</v>
      </c>
      <c r="K6743" s="5" t="s">
        <v>43297</v>
      </c>
      <c r="M6743" s="5" t="s">
        <v>43298</v>
      </c>
      <c r="N6743" s="7" t="s">
        <v>43299</v>
      </c>
      <c r="O6743" s="8" t="str">
        <f>HYPERLINK("https://drive.google.com/file/d/1cGOfmteuENqUA2pIymb6y4IU1Rwxyqt4/view?usp=drivesdk","6742_HENDRI YOLANDA,SE.,M.Si _ SERTIFIKAT BerAKHLAK")</f>
        <v>6742_HENDRI YOLANDA,SE.,M.Si _ SERTIFIKAT BerAKHLAK</v>
      </c>
      <c r="P6743" s="5" t="s">
        <v>43293</v>
      </c>
    </row>
    <row r="6744">
      <c r="A6744" s="4">
        <v>45534.372933402774</v>
      </c>
      <c r="B6744" s="5" t="s">
        <v>34</v>
      </c>
      <c r="D6744" s="5" t="s">
        <v>4775</v>
      </c>
      <c r="E6744" s="5" t="s">
        <v>43300</v>
      </c>
      <c r="F6744" s="5" t="s">
        <v>108</v>
      </c>
      <c r="G6744" s="5" t="s">
        <v>43301</v>
      </c>
      <c r="H6744" s="6" t="s">
        <v>43302</v>
      </c>
      <c r="K6744" s="5" t="s">
        <v>43297</v>
      </c>
      <c r="M6744" s="5" t="s">
        <v>43303</v>
      </c>
      <c r="N6744" s="7" t="s">
        <v>43304</v>
      </c>
      <c r="O6744" s="8" t="str">
        <f>HYPERLINK("https://drive.google.com/file/d/19RPSHNbkZd-AMRjNZqaaAD2XSZ33pl9b/view?usp=drivesdk","6743_WIDYA AYU NINGTYAS., A. Md _ SERTIFIKAT BerAKHLAK")</f>
        <v>6743_WIDYA AYU NINGTYAS., A. Md _ SERTIFIKAT BerAKHLAK</v>
      </c>
      <c r="P6744" s="5" t="s">
        <v>43293</v>
      </c>
    </row>
    <row r="6745">
      <c r="A6745" s="4">
        <v>45534.37294055556</v>
      </c>
      <c r="B6745" s="5" t="s">
        <v>34</v>
      </c>
      <c r="D6745" s="5" t="s">
        <v>1206</v>
      </c>
      <c r="E6745" s="5" t="s">
        <v>43305</v>
      </c>
      <c r="F6745" s="5" t="s">
        <v>524</v>
      </c>
      <c r="G6745" s="5" t="s">
        <v>43306</v>
      </c>
      <c r="H6745" s="6" t="s">
        <v>43307</v>
      </c>
      <c r="K6745" s="5" t="s">
        <v>43308</v>
      </c>
      <c r="M6745" s="5" t="s">
        <v>43309</v>
      </c>
      <c r="N6745" s="7" t="s">
        <v>43310</v>
      </c>
      <c r="O6745" s="8" t="str">
        <f>HYPERLINK("https://drive.google.com/file/d/1f7diuG1phAANdJc0yysessMVhg40YlRY/view?usp=drivesdk","6744_HENGKI SUSWANTO _ SERTIFIKAT BerAKHLAK")</f>
        <v>6744_HENGKI SUSWANTO _ SERTIFIKAT BerAKHLAK</v>
      </c>
      <c r="P6745" s="5" t="s">
        <v>43293</v>
      </c>
    </row>
    <row r="6746">
      <c r="A6746" s="4">
        <v>45534.372943229166</v>
      </c>
      <c r="B6746" s="5" t="s">
        <v>34</v>
      </c>
      <c r="D6746" s="5" t="s">
        <v>1206</v>
      </c>
      <c r="E6746" s="5" t="s">
        <v>43311</v>
      </c>
      <c r="F6746" s="5" t="s">
        <v>212</v>
      </c>
      <c r="G6746" s="5" t="s">
        <v>43312</v>
      </c>
      <c r="H6746" s="6" t="s">
        <v>43313</v>
      </c>
      <c r="K6746" s="5" t="s">
        <v>43308</v>
      </c>
      <c r="M6746" s="5" t="s">
        <v>43314</v>
      </c>
      <c r="N6746" s="7" t="s">
        <v>43315</v>
      </c>
      <c r="O6746" s="8" t="str">
        <f>HYPERLINK("https://drive.google.com/file/d/11HpC3fc4_GPZtlgIUGNCCGZxQ_swmukp/view?usp=drivesdk","6745_MUJIATI  _ SERTIFIKAT BerAKHLAK")</f>
        <v>6745_MUJIATI  _ SERTIFIKAT BerAKHLAK</v>
      </c>
      <c r="P6746" s="5" t="s">
        <v>43293</v>
      </c>
    </row>
    <row r="6747">
      <c r="A6747" s="4">
        <v>45534.372943877315</v>
      </c>
      <c r="B6747" s="5" t="s">
        <v>34</v>
      </c>
      <c r="D6747" s="5" t="s">
        <v>1206</v>
      </c>
      <c r="E6747" s="5" t="s">
        <v>43316</v>
      </c>
      <c r="F6747" s="5" t="s">
        <v>212</v>
      </c>
      <c r="G6747" s="5" t="s">
        <v>43317</v>
      </c>
      <c r="H6747" s="6" t="s">
        <v>43318</v>
      </c>
      <c r="K6747" s="5" t="s">
        <v>43308</v>
      </c>
      <c r="M6747" s="5" t="s">
        <v>43319</v>
      </c>
      <c r="N6747" s="7" t="s">
        <v>43320</v>
      </c>
      <c r="O6747" s="8" t="str">
        <f>HYPERLINK("https://drive.google.com/file/d/173ggnoH1Tm1w4LNKq-TiSg8qBRtjSOoH/view?usp=drivesdk","6746_EKO SUSANTO _ SERTIFIKAT BerAKHLAK")</f>
        <v>6746_EKO SUSANTO _ SERTIFIKAT BerAKHLAK</v>
      </c>
      <c r="P6747" s="5" t="s">
        <v>43293</v>
      </c>
    </row>
    <row r="6748" hidden="1">
      <c r="A6748" s="4">
        <v>45534.37294893518</v>
      </c>
      <c r="B6748" s="5" t="s">
        <v>19</v>
      </c>
      <c r="C6748" s="5" t="s">
        <v>3301</v>
      </c>
      <c r="E6748" s="5" t="s">
        <v>43321</v>
      </c>
      <c r="F6748" s="5" t="s">
        <v>37</v>
      </c>
      <c r="G6748" s="5" t="s">
        <v>43322</v>
      </c>
      <c r="H6748" s="6" t="s">
        <v>43323</v>
      </c>
      <c r="K6748" s="5" t="s">
        <v>43308</v>
      </c>
      <c r="M6748" s="5" t="s">
        <v>43324</v>
      </c>
      <c r="N6748" s="7" t="s">
        <v>43325</v>
      </c>
      <c r="O6748" s="8" t="str">
        <f>HYPERLINK("https://drive.google.com/file/d/1YMhCUfH_6zgIO239jL7j7zApLjchjpMz/view?usp=drivesdk","6747_NINING NURWAHIDAH, A.Md.Kes _ SERTIFIKAT BerAKHLAK")</f>
        <v>6747_NINING NURWAHIDAH, A.Md.Kes _ SERTIFIKAT BerAKHLAK</v>
      </c>
      <c r="P6748" s="5" t="s">
        <v>43293</v>
      </c>
    </row>
    <row r="6749">
      <c r="A6749" s="4">
        <v>45534.372951840276</v>
      </c>
      <c r="B6749" s="5" t="s">
        <v>34</v>
      </c>
      <c r="D6749" s="5" t="s">
        <v>604</v>
      </c>
      <c r="E6749" s="5" t="s">
        <v>43326</v>
      </c>
      <c r="F6749" s="5" t="s">
        <v>72</v>
      </c>
      <c r="G6749" s="5" t="s">
        <v>43327</v>
      </c>
      <c r="H6749" s="6" t="s">
        <v>43328</v>
      </c>
      <c r="K6749" s="5" t="s">
        <v>43308</v>
      </c>
      <c r="M6749" s="5" t="s">
        <v>43329</v>
      </c>
      <c r="N6749" s="7" t="s">
        <v>43330</v>
      </c>
      <c r="O6749" s="8" t="str">
        <f>HYPERLINK("https://drive.google.com/file/d/1tT-i7pI2vUM76KEjfCGkBqhfUmuJQBZA/view?usp=drivesdk","6748_MUHAMMAD IHWAN _ SERTIFIKAT BerAKHLAK")</f>
        <v>6748_MUHAMMAD IHWAN _ SERTIFIKAT BerAKHLAK</v>
      </c>
      <c r="P6749" s="5" t="s">
        <v>43331</v>
      </c>
    </row>
    <row r="6750">
      <c r="A6750" s="4">
        <v>45534.372956782405</v>
      </c>
      <c r="B6750" s="5" t="s">
        <v>34</v>
      </c>
      <c r="D6750" s="5" t="s">
        <v>1206</v>
      </c>
      <c r="E6750" s="5" t="s">
        <v>43332</v>
      </c>
      <c r="F6750" s="5" t="s">
        <v>212</v>
      </c>
      <c r="G6750" s="5" t="s">
        <v>43333</v>
      </c>
      <c r="H6750" s="6" t="s">
        <v>43334</v>
      </c>
      <c r="K6750" s="5" t="s">
        <v>43308</v>
      </c>
      <c r="M6750" s="5" t="s">
        <v>43335</v>
      </c>
      <c r="N6750" s="7" t="s">
        <v>43336</v>
      </c>
      <c r="O6750" s="8" t="str">
        <f>HYPERLINK("https://drive.google.com/file/d/1bm8p7TtdJeXPTA9IgbkhWLmc-p-_k9FM/view?usp=drivesdk","6749_WIWIK LUJENG RAHAYU _ SERTIFIKAT BerAKHLAK")</f>
        <v>6749_WIWIK LUJENG RAHAYU _ SERTIFIKAT BerAKHLAK</v>
      </c>
      <c r="P6750" s="5" t="s">
        <v>43331</v>
      </c>
    </row>
    <row r="6751">
      <c r="A6751" s="4">
        <v>45534.372957037034</v>
      </c>
      <c r="B6751" s="5" t="s">
        <v>34</v>
      </c>
      <c r="D6751" s="5" t="s">
        <v>1558</v>
      </c>
      <c r="E6751" s="5" t="s">
        <v>43337</v>
      </c>
      <c r="F6751" s="5" t="s">
        <v>212</v>
      </c>
      <c r="G6751" s="5" t="s">
        <v>43338</v>
      </c>
      <c r="H6751" s="6" t="s">
        <v>43339</v>
      </c>
      <c r="K6751" s="5" t="s">
        <v>43308</v>
      </c>
      <c r="M6751" s="5" t="s">
        <v>43340</v>
      </c>
      <c r="N6751" s="7" t="s">
        <v>43341</v>
      </c>
      <c r="O6751" s="8" t="str">
        <f>HYPERLINK("https://drive.google.com/file/d/1pUx0syi1b_SlT96ZywUJTLJblB6NvCmj/view?usp=drivesdk","6750_FALINTINAH ELLY SABET  _ SERTIFIKAT BerAKHLAK")</f>
        <v>6750_FALINTINAH ELLY SABET  _ SERTIFIKAT BerAKHLAK</v>
      </c>
      <c r="P6751" s="5" t="s">
        <v>43331</v>
      </c>
    </row>
    <row r="6752">
      <c r="A6752" s="4">
        <v>45534.3729612037</v>
      </c>
      <c r="B6752" s="5" t="s">
        <v>34</v>
      </c>
      <c r="D6752" s="5" t="s">
        <v>9020</v>
      </c>
      <c r="E6752" s="5" t="s">
        <v>43342</v>
      </c>
      <c r="F6752" s="5" t="s">
        <v>524</v>
      </c>
      <c r="G6752" s="5" t="s">
        <v>43343</v>
      </c>
      <c r="H6752" s="6" t="s">
        <v>43344</v>
      </c>
      <c r="K6752" s="5" t="s">
        <v>43308</v>
      </c>
      <c r="M6752" s="5" t="s">
        <v>43345</v>
      </c>
      <c r="N6752" s="7" t="s">
        <v>43346</v>
      </c>
      <c r="O6752" s="8" t="str">
        <f>HYPERLINK("https://drive.google.com/file/d/1-CwdBB1xanOUzKYHARjcRC8u7JX9bT4v/view?usp=drivesdk","6751_TETY APRILTA BR SEMBIRING,S.Kep.,Ns _ SERTIFIKAT BerAKHLAK")</f>
        <v>6751_TETY APRILTA BR SEMBIRING,S.Kep.,Ns _ SERTIFIKAT BerAKHLAK</v>
      </c>
      <c r="P6752" s="5" t="s">
        <v>43331</v>
      </c>
    </row>
    <row r="6753" hidden="1">
      <c r="A6753" s="4">
        <v>45534.372970358796</v>
      </c>
      <c r="B6753" s="5" t="s">
        <v>19</v>
      </c>
      <c r="C6753" s="5" t="s">
        <v>20</v>
      </c>
      <c r="E6753" s="5" t="s">
        <v>43347</v>
      </c>
      <c r="F6753" s="5" t="s">
        <v>120</v>
      </c>
      <c r="G6753" s="5" t="s">
        <v>43348</v>
      </c>
      <c r="H6753" s="6" t="s">
        <v>43349</v>
      </c>
      <c r="K6753" s="5" t="s">
        <v>43308</v>
      </c>
      <c r="M6753" s="5" t="s">
        <v>43350</v>
      </c>
      <c r="N6753" s="7" t="s">
        <v>43351</v>
      </c>
      <c r="O6753" s="8" t="str">
        <f>HYPERLINK("https://drive.google.com/file/d/182JRQb1gcu0sxBU4P0U9XsBr2BN4B5q8/view?usp=drivesdk","6752_SITI ROMYATI, S.HI. _ SERTIFIKAT BerAKHLAK")</f>
        <v>6752_SITI ROMYATI, S.HI. _ SERTIFIKAT BerAKHLAK</v>
      </c>
      <c r="P6753" s="5" t="s">
        <v>43331</v>
      </c>
    </row>
    <row r="6754">
      <c r="A6754" s="4">
        <v>45534.37298800926</v>
      </c>
      <c r="B6754" s="5" t="s">
        <v>34</v>
      </c>
      <c r="D6754" s="5" t="s">
        <v>4775</v>
      </c>
      <c r="E6754" s="5" t="s">
        <v>43352</v>
      </c>
      <c r="F6754" s="5" t="s">
        <v>120</v>
      </c>
      <c r="G6754" s="5" t="s">
        <v>43353</v>
      </c>
      <c r="H6754" s="6" t="s">
        <v>43354</v>
      </c>
      <c r="K6754" s="5" t="s">
        <v>43355</v>
      </c>
      <c r="M6754" s="5" t="s">
        <v>43356</v>
      </c>
      <c r="N6754" s="7" t="s">
        <v>43357</v>
      </c>
      <c r="O6754" s="8" t="str">
        <f>HYPERLINK("https://drive.google.com/file/d/1IS4_9IEy3tVrfohwxwLA_-fuFbL4q6TI/view?usp=drivesdk","6753_DWI SULISTIYONO, S.T., M.T. _ SERTIFIKAT BerAKHLAK")</f>
        <v>6753_DWI SULISTIYONO, S.T., M.T. _ SERTIFIKAT BerAKHLAK</v>
      </c>
      <c r="P6754" s="5" t="s">
        <v>43331</v>
      </c>
    </row>
    <row r="6755">
      <c r="A6755" s="4">
        <v>45534.3729943287</v>
      </c>
      <c r="B6755" s="5" t="s">
        <v>34</v>
      </c>
      <c r="D6755" s="5" t="s">
        <v>2903</v>
      </c>
      <c r="E6755" s="5" t="s">
        <v>43358</v>
      </c>
      <c r="F6755" s="5" t="s">
        <v>375</v>
      </c>
      <c r="G6755" s="5" t="s">
        <v>43359</v>
      </c>
      <c r="H6755" s="6" t="s">
        <v>43360</v>
      </c>
      <c r="K6755" s="5" t="s">
        <v>43355</v>
      </c>
      <c r="M6755" s="5" t="s">
        <v>43361</v>
      </c>
      <c r="N6755" s="7" t="s">
        <v>43362</v>
      </c>
      <c r="O6755" s="8" t="str">
        <f>HYPERLINK("https://drive.google.com/file/d/1J55ii_SknZpSqPZ62iT87jNG3dbr_5Wr/view?usp=drivesdk","6754_PENTI DWI PUSPITA _ SERTIFIKAT BerAKHLAK")</f>
        <v>6754_PENTI DWI PUSPITA _ SERTIFIKAT BerAKHLAK</v>
      </c>
      <c r="P6755" s="5" t="s">
        <v>43363</v>
      </c>
    </row>
    <row r="6756">
      <c r="A6756" s="4">
        <v>45534.37302439815</v>
      </c>
      <c r="B6756" s="5" t="s">
        <v>34</v>
      </c>
      <c r="D6756" s="5" t="s">
        <v>12978</v>
      </c>
      <c r="E6756" s="5" t="s">
        <v>43364</v>
      </c>
      <c r="F6756" s="5" t="s">
        <v>212</v>
      </c>
      <c r="G6756" s="5" t="s">
        <v>43365</v>
      </c>
      <c r="H6756" s="6" t="s">
        <v>43366</v>
      </c>
      <c r="K6756" s="5" t="s">
        <v>43367</v>
      </c>
      <c r="M6756" s="5" t="s">
        <v>43368</v>
      </c>
      <c r="N6756" s="7" t="s">
        <v>43369</v>
      </c>
      <c r="O6756" s="8" t="str">
        <f>HYPERLINK("https://drive.google.com/file/d/1WIBB7Ge4UCBTzsgdevOdZO0qb8Fw68Gg/view?usp=drivesdk","6755_SUTANTO _ SERTIFIKAT BerAKHLAK")</f>
        <v>6755_SUTANTO _ SERTIFIKAT BerAKHLAK</v>
      </c>
      <c r="P6756" s="5" t="s">
        <v>43363</v>
      </c>
    </row>
    <row r="6757">
      <c r="A6757" s="4">
        <v>45534.37302752315</v>
      </c>
      <c r="B6757" s="5" t="s">
        <v>34</v>
      </c>
      <c r="D6757" s="5" t="s">
        <v>6232</v>
      </c>
      <c r="E6757" s="5" t="s">
        <v>43370</v>
      </c>
      <c r="F6757" s="5" t="s">
        <v>375</v>
      </c>
      <c r="G6757" s="5" t="s">
        <v>43371</v>
      </c>
      <c r="H6757" s="6" t="s">
        <v>43372</v>
      </c>
      <c r="K6757" s="5" t="s">
        <v>43367</v>
      </c>
      <c r="M6757" s="5" t="s">
        <v>43373</v>
      </c>
      <c r="N6757" s="7" t="s">
        <v>43374</v>
      </c>
      <c r="O6757" s="8" t="str">
        <f>HYPERLINK("https://drive.google.com/file/d/1TOjln0zCLl2UK74O6gLyVUORRoyF3ik1/view?usp=drivesdk","6756_IKHSAN. S.IP _ SERTIFIKAT BerAKHLAK")</f>
        <v>6756_IKHSAN. S.IP _ SERTIFIKAT BerAKHLAK</v>
      </c>
      <c r="P6757" s="5" t="s">
        <v>43363</v>
      </c>
    </row>
    <row r="6758">
      <c r="A6758" s="4">
        <v>45534.37304219908</v>
      </c>
      <c r="B6758" s="5" t="s">
        <v>34</v>
      </c>
      <c r="D6758" s="5" t="s">
        <v>15401</v>
      </c>
      <c r="E6758" s="5" t="s">
        <v>43375</v>
      </c>
      <c r="F6758" s="5" t="s">
        <v>798</v>
      </c>
      <c r="G6758" s="5" t="s">
        <v>43376</v>
      </c>
      <c r="H6758" s="6" t="s">
        <v>43377</v>
      </c>
      <c r="K6758" s="5" t="s">
        <v>43367</v>
      </c>
      <c r="M6758" s="5" t="s">
        <v>43378</v>
      </c>
      <c r="N6758" s="7" t="s">
        <v>43379</v>
      </c>
      <c r="O6758" s="8" t="str">
        <f>HYPERLINK("https://drive.google.com/file/d/127v8nilI4LQioxTQhouwG_toEdGnEHnj/view?usp=drivesdk","6757_MOH. ARYO _ SERTIFIKAT BerAKHLAK")</f>
        <v>6757_MOH. ARYO _ SERTIFIKAT BerAKHLAK</v>
      </c>
      <c r="P6758" s="5" t="s">
        <v>43363</v>
      </c>
    </row>
    <row r="6759">
      <c r="A6759" s="4">
        <v>45534.37304305556</v>
      </c>
      <c r="B6759" s="5" t="s">
        <v>34</v>
      </c>
      <c r="D6759" s="5" t="s">
        <v>4775</v>
      </c>
      <c r="E6759" s="5" t="s">
        <v>43380</v>
      </c>
      <c r="F6759" s="5" t="s">
        <v>715</v>
      </c>
      <c r="G6759" s="5" t="s">
        <v>43381</v>
      </c>
      <c r="H6759" s="6" t="s">
        <v>43382</v>
      </c>
      <c r="K6759" s="5" t="s">
        <v>43367</v>
      </c>
      <c r="M6759" s="5" t="s">
        <v>43383</v>
      </c>
      <c r="N6759" s="7" t="s">
        <v>43384</v>
      </c>
      <c r="O6759" s="8" t="str">
        <f>HYPERLINK("https://drive.google.com/file/d/152IH-Xr3znYhQphDOR-1WuT2GnJ_MIaW/view?usp=drivesdk","6758_SUCI PENI,SH _ SERTIFIKAT BerAKHLAK")</f>
        <v>6758_SUCI PENI,SH _ SERTIFIKAT BerAKHLAK</v>
      </c>
      <c r="P6759" s="5" t="s">
        <v>43363</v>
      </c>
    </row>
    <row r="6760">
      <c r="A6760" s="4">
        <v>45534.373057268516</v>
      </c>
      <c r="B6760" s="5" t="s">
        <v>34</v>
      </c>
      <c r="D6760" s="5" t="s">
        <v>9020</v>
      </c>
      <c r="E6760" s="5" t="s">
        <v>43385</v>
      </c>
      <c r="F6760" s="5" t="s">
        <v>212</v>
      </c>
      <c r="G6760" s="5" t="s">
        <v>43386</v>
      </c>
      <c r="H6760" s="6" t="s">
        <v>43387</v>
      </c>
      <c r="K6760" s="5" t="s">
        <v>43388</v>
      </c>
      <c r="M6760" s="5" t="s">
        <v>43389</v>
      </c>
      <c r="N6760" s="7" t="s">
        <v>43390</v>
      </c>
      <c r="O6760" s="8" t="str">
        <f>HYPERLINK("https://drive.google.com/file/d/1fRcb6KUhUAYAp_T7qwnUomw8O4e-Fnwz/view?usp=drivesdk","6759_HERDIANA _ SERTIFIKAT BerAKHLAK")</f>
        <v>6759_HERDIANA _ SERTIFIKAT BerAKHLAK</v>
      </c>
      <c r="P6760" s="5" t="s">
        <v>43363</v>
      </c>
    </row>
    <row r="6761">
      <c r="A6761" s="4">
        <v>45534.37305938658</v>
      </c>
      <c r="B6761" s="5" t="s">
        <v>34</v>
      </c>
      <c r="D6761" s="5" t="s">
        <v>1206</v>
      </c>
      <c r="E6761" s="5" t="s">
        <v>43391</v>
      </c>
      <c r="F6761" s="5" t="s">
        <v>72</v>
      </c>
      <c r="G6761" s="5" t="s">
        <v>43392</v>
      </c>
      <c r="H6761" s="6" t="s">
        <v>43393</v>
      </c>
      <c r="K6761" s="5" t="s">
        <v>43388</v>
      </c>
      <c r="M6761" s="5" t="s">
        <v>43394</v>
      </c>
      <c r="N6761" s="7" t="s">
        <v>43395</v>
      </c>
      <c r="O6761" s="8" t="str">
        <f>HYPERLINK("https://drive.google.com/file/d/1b2CsPJfxsDYSjz1ofEVTGsnSufg0kXYm/view?usp=drivesdk","6760_CHOIRUL ANNGAM  _ SERTIFIKAT BerAKHLAK")</f>
        <v>6760_CHOIRUL ANNGAM  _ SERTIFIKAT BerAKHLAK</v>
      </c>
      <c r="P6761" s="5" t="s">
        <v>43396</v>
      </c>
    </row>
    <row r="6762">
      <c r="A6762" s="4">
        <v>45534.373140104166</v>
      </c>
      <c r="B6762" s="5" t="s">
        <v>34</v>
      </c>
      <c r="D6762" s="5" t="s">
        <v>701</v>
      </c>
      <c r="E6762" s="5" t="s">
        <v>43397</v>
      </c>
      <c r="F6762" s="5" t="s">
        <v>375</v>
      </c>
      <c r="G6762" s="5" t="s">
        <v>43398</v>
      </c>
      <c r="H6762" s="6" t="s">
        <v>43399</v>
      </c>
      <c r="K6762" s="5" t="s">
        <v>43400</v>
      </c>
      <c r="M6762" s="5" t="s">
        <v>43401</v>
      </c>
      <c r="N6762" s="7" t="s">
        <v>43402</v>
      </c>
      <c r="O6762" s="8" t="str">
        <f>HYPERLINK("https://drive.google.com/file/d/1RM6WjeJ0x7XgQHF73q-0qXkpUksBtM75/view?usp=drivesdk","6761_NS.SILVIA AGUSTIN,S.KEP,M.M _ SERTIFIKAT BerAKHLAK")</f>
        <v>6761_NS.SILVIA AGUSTIN,S.KEP,M.M _ SERTIFIKAT BerAKHLAK</v>
      </c>
      <c r="P6762" s="5" t="s">
        <v>43396</v>
      </c>
    </row>
    <row r="6763">
      <c r="A6763" s="4">
        <v>45534.37314855324</v>
      </c>
      <c r="B6763" s="5" t="s">
        <v>34</v>
      </c>
      <c r="D6763" s="5" t="s">
        <v>9020</v>
      </c>
      <c r="E6763" s="5" t="s">
        <v>43403</v>
      </c>
      <c r="F6763" s="5" t="s">
        <v>524</v>
      </c>
      <c r="G6763" s="5" t="s">
        <v>43404</v>
      </c>
      <c r="H6763" s="6" t="s">
        <v>43405</v>
      </c>
      <c r="K6763" s="5" t="s">
        <v>43406</v>
      </c>
      <c r="M6763" s="5" t="s">
        <v>43407</v>
      </c>
      <c r="N6763" s="7" t="s">
        <v>43408</v>
      </c>
      <c r="O6763" s="8" t="str">
        <f>HYPERLINK("https://drive.google.com/file/d/195oingHiYZpicCmAHVhzQ-obG7BiJhJm/view?usp=drivesdk","6762_RITA NESIA NASUTION _ SERTIFIKAT BerAKHLAK")</f>
        <v>6762_RITA NESIA NASUTION _ SERTIFIKAT BerAKHLAK</v>
      </c>
      <c r="P6763" s="5" t="s">
        <v>43396</v>
      </c>
    </row>
    <row r="6764">
      <c r="A6764" s="4">
        <v>45534.37315219907</v>
      </c>
      <c r="B6764" s="5" t="s">
        <v>34</v>
      </c>
      <c r="D6764" s="5" t="s">
        <v>701</v>
      </c>
      <c r="E6764" s="5" t="s">
        <v>43409</v>
      </c>
      <c r="F6764" s="5" t="s">
        <v>72</v>
      </c>
      <c r="G6764" s="5" t="s">
        <v>43410</v>
      </c>
      <c r="H6764" s="6" t="s">
        <v>43411</v>
      </c>
      <c r="K6764" s="5" t="s">
        <v>43406</v>
      </c>
      <c r="M6764" s="5" t="s">
        <v>43412</v>
      </c>
      <c r="N6764" s="7" t="s">
        <v>43413</v>
      </c>
      <c r="O6764" s="8" t="str">
        <f>HYPERLINK("https://drive.google.com/file/d/1IZEtucHwkFV391VyNcXxSd88v_7xCB4-/view?usp=drivesdk","6763_TATI ARIANI _ SERTIFIKAT BerAKHLAK")</f>
        <v>6763_TATI ARIANI _ SERTIFIKAT BerAKHLAK</v>
      </c>
      <c r="P6764" s="5" t="s">
        <v>43396</v>
      </c>
    </row>
    <row r="6765">
      <c r="A6765" s="4">
        <v>45534.373194942134</v>
      </c>
      <c r="B6765" s="5" t="s">
        <v>34</v>
      </c>
      <c r="D6765" s="5" t="s">
        <v>1206</v>
      </c>
      <c r="E6765" s="5" t="s">
        <v>43414</v>
      </c>
      <c r="F6765" s="5" t="s">
        <v>212</v>
      </c>
      <c r="G6765" s="5" t="s">
        <v>43415</v>
      </c>
      <c r="H6765" s="6" t="s">
        <v>43416</v>
      </c>
      <c r="K6765" s="5" t="s">
        <v>43417</v>
      </c>
      <c r="M6765" s="5" t="s">
        <v>43418</v>
      </c>
      <c r="N6765" s="7" t="s">
        <v>43419</v>
      </c>
      <c r="O6765" s="8" t="str">
        <f>HYPERLINK("https://drive.google.com/file/d/1Dj3S6SPp_rLBxe4SBT7q6o7F4irhstzp/view?usp=drivesdk","6764_NYUNARTI _ SERTIFIKAT BerAKHLAK")</f>
        <v>6764_NYUNARTI _ SERTIFIKAT BerAKHLAK</v>
      </c>
      <c r="P6765" s="5" t="s">
        <v>43396</v>
      </c>
    </row>
    <row r="6766" hidden="1">
      <c r="A6766" s="4">
        <v>45534.373215300926</v>
      </c>
      <c r="B6766" s="5" t="s">
        <v>19</v>
      </c>
      <c r="C6766" s="5" t="s">
        <v>292</v>
      </c>
      <c r="E6766" s="5" t="s">
        <v>43420</v>
      </c>
      <c r="F6766" s="5" t="s">
        <v>212</v>
      </c>
      <c r="G6766" s="5" t="s">
        <v>43421</v>
      </c>
      <c r="H6766" s="6" t="s">
        <v>43422</v>
      </c>
      <c r="K6766" s="5" t="s">
        <v>43423</v>
      </c>
      <c r="M6766" s="5" t="s">
        <v>43424</v>
      </c>
      <c r="N6766" s="7" t="s">
        <v>43425</v>
      </c>
      <c r="O6766" s="8" t="str">
        <f>HYPERLINK("https://drive.google.com/file/d/1l4f5bKwdEgLPQx5wBcU4zf-DE7asmVF6/view?usp=drivesdk","6765_CITRA ANGGRIANIS KUSUMA DEWU _ SERTIFIKAT BerAKHLAK")</f>
        <v>6765_CITRA ANGGRIANIS KUSUMA DEWU _ SERTIFIKAT BerAKHLAK</v>
      </c>
      <c r="P6766" s="5" t="s">
        <v>43426</v>
      </c>
    </row>
    <row r="6767" hidden="1">
      <c r="A6767" s="4">
        <v>45534.37321438658</v>
      </c>
      <c r="B6767" s="5" t="s">
        <v>19</v>
      </c>
      <c r="C6767" s="5" t="s">
        <v>5564</v>
      </c>
      <c r="E6767" s="5" t="s">
        <v>17159</v>
      </c>
      <c r="F6767" s="5" t="s">
        <v>524</v>
      </c>
      <c r="G6767" s="5" t="s">
        <v>43427</v>
      </c>
      <c r="H6767" s="6" t="s">
        <v>43428</v>
      </c>
      <c r="K6767" s="5" t="s">
        <v>43423</v>
      </c>
      <c r="M6767" s="5" t="s">
        <v>43429</v>
      </c>
      <c r="N6767" s="7" t="s">
        <v>43430</v>
      </c>
      <c r="O6767" s="8" t="str">
        <f>HYPERLINK("https://drive.google.com/file/d/1yEqAvvNdOev_GSU572EZoiPgQRNar_Nz/view?usp=drivesdk","6766_SUHERMAN _ SERTIFIKAT BerAKHLAK")</f>
        <v>6766_SUHERMAN _ SERTIFIKAT BerAKHLAK</v>
      </c>
      <c r="P6767" s="5" t="s">
        <v>43426</v>
      </c>
    </row>
    <row r="6768">
      <c r="A6768" s="4">
        <v>45534.373218252316</v>
      </c>
      <c r="B6768" s="5" t="s">
        <v>34</v>
      </c>
      <c r="D6768" s="5" t="s">
        <v>701</v>
      </c>
      <c r="E6768" s="5" t="s">
        <v>43431</v>
      </c>
      <c r="F6768" s="5" t="s">
        <v>37</v>
      </c>
      <c r="G6768" s="5" t="s">
        <v>43432</v>
      </c>
      <c r="H6768" s="6" t="s">
        <v>43433</v>
      </c>
      <c r="K6768" s="5" t="s">
        <v>43423</v>
      </c>
      <c r="M6768" s="5" t="s">
        <v>43434</v>
      </c>
      <c r="N6768" s="7" t="s">
        <v>43435</v>
      </c>
      <c r="O6768" s="8" t="str">
        <f>HYPERLINK("https://drive.google.com/file/d/1ICleNpyR8ZDLqgcVN8an8yzKvqz88JmL/view?usp=drivesdk","6767_SAFRUDDIN _ SERTIFIKAT BerAKHLAK")</f>
        <v>6767_SAFRUDDIN _ SERTIFIKAT BerAKHLAK</v>
      </c>
      <c r="P6768" s="5" t="s">
        <v>43436</v>
      </c>
    </row>
    <row r="6769">
      <c r="A6769" s="4">
        <v>45534.37324421296</v>
      </c>
      <c r="B6769" s="5" t="s">
        <v>34</v>
      </c>
      <c r="D6769" s="5" t="s">
        <v>4775</v>
      </c>
      <c r="E6769" s="5" t="s">
        <v>43437</v>
      </c>
      <c r="F6769" s="5" t="s">
        <v>212</v>
      </c>
      <c r="G6769" s="5" t="s">
        <v>43438</v>
      </c>
      <c r="H6769" s="6" t="s">
        <v>43439</v>
      </c>
      <c r="K6769" s="5" t="s">
        <v>43423</v>
      </c>
      <c r="M6769" s="5" t="s">
        <v>43440</v>
      </c>
      <c r="N6769" s="7" t="s">
        <v>43441</v>
      </c>
      <c r="O6769" s="8" t="str">
        <f>HYPERLINK("https://drive.google.com/file/d/1We_B62yq48nexu6Q_ya4bDcmphBWt103/view?usp=drivesdk","6768_WIWIK WIDAYATI  _ SERTIFIKAT BerAKHLAK")</f>
        <v>6768_WIWIK WIDAYATI  _ SERTIFIKAT BerAKHLAK</v>
      </c>
      <c r="P6769" s="5" t="s">
        <v>43436</v>
      </c>
    </row>
    <row r="6770">
      <c r="A6770" s="4">
        <v>45534.373258402775</v>
      </c>
      <c r="B6770" s="5" t="s">
        <v>34</v>
      </c>
      <c r="D6770" s="5" t="s">
        <v>1206</v>
      </c>
      <c r="E6770" s="5" t="s">
        <v>31362</v>
      </c>
      <c r="F6770" s="5" t="s">
        <v>212</v>
      </c>
      <c r="G6770" s="5" t="s">
        <v>43442</v>
      </c>
      <c r="H6770" s="6" t="s">
        <v>43443</v>
      </c>
      <c r="K6770" s="5" t="s">
        <v>43423</v>
      </c>
      <c r="M6770" s="5" t="s">
        <v>43444</v>
      </c>
      <c r="N6770" s="7" t="s">
        <v>43445</v>
      </c>
      <c r="O6770" s="8" t="str">
        <f>HYPERLINK("https://drive.google.com/file/d/1SdE3kvA4pOOqaYebf0D7_9UEkMW09wV-/view?usp=drivesdk","6769_MUJIONO _ SERTIFIKAT BerAKHLAK")</f>
        <v>6769_MUJIONO _ SERTIFIKAT BerAKHLAK</v>
      </c>
      <c r="P6770" s="5" t="s">
        <v>43436</v>
      </c>
    </row>
    <row r="6771">
      <c r="A6771" s="4">
        <v>45534.37328248842</v>
      </c>
      <c r="B6771" s="5" t="s">
        <v>34</v>
      </c>
      <c r="D6771" s="5" t="s">
        <v>1456</v>
      </c>
      <c r="E6771" s="5" t="s">
        <v>43446</v>
      </c>
      <c r="F6771" s="5" t="s">
        <v>37</v>
      </c>
      <c r="G6771" s="5" t="s">
        <v>43447</v>
      </c>
      <c r="H6771" s="6" t="s">
        <v>43448</v>
      </c>
      <c r="K6771" s="5" t="s">
        <v>43449</v>
      </c>
      <c r="M6771" s="5" t="s">
        <v>43450</v>
      </c>
      <c r="N6771" s="7" t="s">
        <v>43451</v>
      </c>
      <c r="O6771" s="8" t="str">
        <f>HYPERLINK("https://drive.google.com/file/d/1gPTIpjClu0ZJ_57q_r5mFOwi8HGCrXQA/view?usp=drivesdk","6770_SRI WINATUN _ SERTIFIKAT BerAKHLAK")</f>
        <v>6770_SRI WINATUN _ SERTIFIKAT BerAKHLAK</v>
      </c>
      <c r="P6771" s="5" t="s">
        <v>43436</v>
      </c>
    </row>
    <row r="6772">
      <c r="A6772" s="4">
        <v>45534.37328864583</v>
      </c>
      <c r="B6772" s="5" t="s">
        <v>34</v>
      </c>
      <c r="D6772" s="5" t="s">
        <v>1558</v>
      </c>
      <c r="E6772" s="5" t="s">
        <v>43452</v>
      </c>
      <c r="F6772" s="5" t="s">
        <v>108</v>
      </c>
      <c r="G6772" s="5" t="s">
        <v>43453</v>
      </c>
      <c r="H6772" s="6" t="s">
        <v>43454</v>
      </c>
      <c r="K6772" s="5" t="s">
        <v>43449</v>
      </c>
      <c r="M6772" s="5" t="s">
        <v>43455</v>
      </c>
      <c r="N6772" s="7" t="s">
        <v>43456</v>
      </c>
      <c r="O6772" s="8" t="str">
        <f>HYPERLINK("https://drive.google.com/file/d/1Rn-AOeft0lEA4HLnOpcRzlcPHkoVObKy/view?usp=drivesdk","6771_ASIH LESTARI _ SERTIFIKAT BerAKHLAK")</f>
        <v>6771_ASIH LESTARI _ SERTIFIKAT BerAKHLAK</v>
      </c>
      <c r="P6772" s="5" t="s">
        <v>43457</v>
      </c>
    </row>
    <row r="6773">
      <c r="A6773" s="4">
        <v>45534.3732897338</v>
      </c>
      <c r="B6773" s="5" t="s">
        <v>34</v>
      </c>
      <c r="D6773" s="5" t="s">
        <v>9394</v>
      </c>
      <c r="E6773" s="5" t="s">
        <v>43458</v>
      </c>
      <c r="F6773" s="5" t="s">
        <v>37</v>
      </c>
      <c r="G6773" s="5" t="s">
        <v>43459</v>
      </c>
      <c r="H6773" s="6" t="s">
        <v>43460</v>
      </c>
      <c r="K6773" s="5" t="s">
        <v>43449</v>
      </c>
      <c r="M6773" s="5" t="s">
        <v>43461</v>
      </c>
      <c r="N6773" s="7" t="s">
        <v>43462</v>
      </c>
      <c r="O6773" s="8" t="str">
        <f>HYPERLINK("https://drive.google.com/file/d/15D809kqRwT1PWgY3XRTVgN_obT2kF0qQ/view?usp=drivesdk","6772_LINDA HARIANI, SE _ SERTIFIKAT BerAKHLAK")</f>
        <v>6772_LINDA HARIANI, SE _ SERTIFIKAT BerAKHLAK</v>
      </c>
      <c r="P6773" s="5" t="s">
        <v>43457</v>
      </c>
    </row>
    <row r="6774">
      <c r="A6774" s="4">
        <v>45534.37330425926</v>
      </c>
      <c r="B6774" s="5" t="s">
        <v>34</v>
      </c>
      <c r="D6774" s="5" t="s">
        <v>1456</v>
      </c>
      <c r="E6774" s="5" t="s">
        <v>43463</v>
      </c>
      <c r="F6774" s="5" t="s">
        <v>72</v>
      </c>
      <c r="G6774" s="5" t="s">
        <v>43464</v>
      </c>
      <c r="H6774" s="6" t="s">
        <v>43465</v>
      </c>
      <c r="K6774" s="5" t="s">
        <v>43449</v>
      </c>
      <c r="M6774" s="5" t="s">
        <v>43466</v>
      </c>
      <c r="N6774" s="7" t="s">
        <v>43467</v>
      </c>
      <c r="O6774" s="8" t="str">
        <f>HYPERLINK("https://drive.google.com/file/d/1vhb3zJJlSeM-V9oWFOSLMkrD66Ojd2PN/view?usp=drivesdk","6773_DESY LENNY HO _ SERTIFIKAT BerAKHLAK")</f>
        <v>6773_DESY LENNY HO _ SERTIFIKAT BerAKHLAK</v>
      </c>
      <c r="P6774" s="5" t="s">
        <v>43457</v>
      </c>
    </row>
    <row r="6775">
      <c r="A6775" s="4">
        <v>45534.37332746528</v>
      </c>
      <c r="B6775" s="5" t="s">
        <v>34</v>
      </c>
      <c r="D6775" s="5" t="s">
        <v>2903</v>
      </c>
      <c r="E6775" s="5" t="s">
        <v>43468</v>
      </c>
      <c r="F6775" s="5" t="s">
        <v>108</v>
      </c>
      <c r="G6775" s="5" t="s">
        <v>43469</v>
      </c>
      <c r="H6775" s="6" t="s">
        <v>43470</v>
      </c>
      <c r="K6775" s="5" t="s">
        <v>43471</v>
      </c>
      <c r="M6775" s="5" t="s">
        <v>43472</v>
      </c>
      <c r="N6775" s="7" t="s">
        <v>43473</v>
      </c>
      <c r="O6775" s="8" t="str">
        <f>HYPERLINK("https://drive.google.com/file/d/14tLnN7HHef601-z3M47P0AyyZouGwy8E/view?usp=drivesdk","6774_YULI YENTI, S.Mn _ SERTIFIKAT BerAKHLAK")</f>
        <v>6774_YULI YENTI, S.Mn _ SERTIFIKAT BerAKHLAK</v>
      </c>
      <c r="P6775" s="5" t="s">
        <v>43474</v>
      </c>
    </row>
    <row r="6776">
      <c r="A6776" s="4">
        <v>45534.37333170139</v>
      </c>
      <c r="B6776" s="5" t="s">
        <v>34</v>
      </c>
      <c r="D6776" s="5" t="s">
        <v>522</v>
      </c>
      <c r="E6776" s="5" t="s">
        <v>43475</v>
      </c>
      <c r="F6776" s="5" t="s">
        <v>37</v>
      </c>
      <c r="G6776" s="5" t="s">
        <v>43476</v>
      </c>
      <c r="H6776" s="6" t="s">
        <v>43477</v>
      </c>
      <c r="K6776" s="5" t="s">
        <v>43471</v>
      </c>
      <c r="M6776" s="5" t="s">
        <v>43478</v>
      </c>
      <c r="N6776" s="7" t="s">
        <v>43479</v>
      </c>
      <c r="O6776" s="8" t="str">
        <f>HYPERLINK("https://drive.google.com/file/d/1H1wQTewWd_OqLipTAZrlHlD-mD6tZXKv/view?usp=drivesdk","6775_Sari Ratna Agustiani  _ SERTIFIKAT BerAKHLAK")</f>
        <v>6775_Sari Ratna Agustiani  _ SERTIFIKAT BerAKHLAK</v>
      </c>
      <c r="P6776" s="5" t="s">
        <v>43474</v>
      </c>
    </row>
    <row r="6777">
      <c r="A6777" s="4">
        <v>45534.37333246528</v>
      </c>
      <c r="B6777" s="5" t="s">
        <v>34</v>
      </c>
      <c r="D6777" s="5" t="s">
        <v>4775</v>
      </c>
      <c r="E6777" s="5" t="s">
        <v>43480</v>
      </c>
      <c r="F6777" s="5" t="s">
        <v>212</v>
      </c>
      <c r="G6777" s="5" t="s">
        <v>43481</v>
      </c>
      <c r="H6777" s="6" t="s">
        <v>43482</v>
      </c>
      <c r="K6777" s="5" t="s">
        <v>43471</v>
      </c>
      <c r="M6777" s="5" t="s">
        <v>43483</v>
      </c>
      <c r="N6777" s="7" t="s">
        <v>43484</v>
      </c>
      <c r="O6777" s="8" t="str">
        <f>HYPERLINK("https://drive.google.com/file/d/1juaOxSKlMecLZ6QrQBQDBwfLqklne6sJ/view?usp=drivesdk","6776_SUNANDAR _ SERTIFIKAT BerAKHLAK")</f>
        <v>6776_SUNANDAR _ SERTIFIKAT BerAKHLAK</v>
      </c>
      <c r="P6777" s="5" t="s">
        <v>43474</v>
      </c>
    </row>
    <row r="6778" hidden="1">
      <c r="A6778" s="4">
        <v>45534.37333746528</v>
      </c>
      <c r="B6778" s="5" t="s">
        <v>19</v>
      </c>
      <c r="C6778" s="5" t="s">
        <v>3301</v>
      </c>
      <c r="E6778" s="5" t="s">
        <v>43485</v>
      </c>
      <c r="F6778" s="5" t="s">
        <v>37</v>
      </c>
      <c r="G6778" s="5" t="s">
        <v>43486</v>
      </c>
      <c r="H6778" s="6" t="s">
        <v>43487</v>
      </c>
      <c r="K6778" s="5" t="s">
        <v>43471</v>
      </c>
      <c r="M6778" s="5" t="s">
        <v>43488</v>
      </c>
      <c r="N6778" s="7" t="s">
        <v>43489</v>
      </c>
      <c r="O6778" s="8" t="str">
        <f>HYPERLINK("https://drive.google.com/file/d/1P_9FqS3iIT40CNRkoiruJO9SXQXwSjuT/view?usp=drivesdk","6777_EMMY FITRIANINGSIH, S.KEP. _ SERTIFIKAT BerAKHLAK")</f>
        <v>6777_EMMY FITRIANINGSIH, S.KEP. _ SERTIFIKAT BerAKHLAK</v>
      </c>
      <c r="P6778" s="5" t="s">
        <v>43490</v>
      </c>
    </row>
    <row r="6779">
      <c r="A6779" s="4">
        <v>45534.37333782407</v>
      </c>
      <c r="B6779" s="5" t="s">
        <v>34</v>
      </c>
      <c r="D6779" s="5" t="s">
        <v>1206</v>
      </c>
      <c r="E6779" s="5" t="s">
        <v>43491</v>
      </c>
      <c r="F6779" s="5" t="s">
        <v>524</v>
      </c>
      <c r="G6779" s="5" t="s">
        <v>43492</v>
      </c>
      <c r="H6779" s="6" t="s">
        <v>43493</v>
      </c>
      <c r="K6779" s="5" t="s">
        <v>43471</v>
      </c>
      <c r="M6779" s="5" t="s">
        <v>43494</v>
      </c>
      <c r="N6779" s="7" t="s">
        <v>43495</v>
      </c>
      <c r="O6779" s="8" t="str">
        <f>HYPERLINK("https://drive.google.com/file/d/1XPvtnd4IWi8bTD9m4PorXyYSDfbHsMMa/view?usp=drivesdk","6778_SETIYONO.S.Sos _ SERTIFIKAT BerAKHLAK")</f>
        <v>6778_SETIYONO.S.Sos _ SERTIFIKAT BerAKHLAK</v>
      </c>
      <c r="P6779" s="5" t="s">
        <v>43490</v>
      </c>
    </row>
    <row r="6780">
      <c r="A6780" s="4">
        <v>45534.37335127315</v>
      </c>
      <c r="B6780" s="5" t="s">
        <v>34</v>
      </c>
      <c r="D6780" s="5" t="s">
        <v>267</v>
      </c>
      <c r="E6780" s="5" t="s">
        <v>43496</v>
      </c>
      <c r="F6780" s="5" t="s">
        <v>72</v>
      </c>
      <c r="G6780" s="5" t="s">
        <v>43497</v>
      </c>
      <c r="H6780" s="6" t="s">
        <v>43498</v>
      </c>
      <c r="K6780" s="5" t="s">
        <v>43471</v>
      </c>
      <c r="M6780" s="5" t="s">
        <v>43499</v>
      </c>
      <c r="N6780" s="7" t="s">
        <v>43500</v>
      </c>
      <c r="O6780" s="8" t="str">
        <f>HYPERLINK("https://drive.google.com/file/d/18QXtJUxuY7Q8iFcIStAEDjJD9UdTkxqe/view?usp=drivesdk","6779_EKO WIDODO, S.Kom _ SERTIFIKAT BerAKHLAK")</f>
        <v>6779_EKO WIDODO, S.Kom _ SERTIFIKAT BerAKHLAK</v>
      </c>
      <c r="P6780" s="5" t="s">
        <v>43490</v>
      </c>
    </row>
    <row r="6781">
      <c r="A6781" s="4">
        <v>45534.37335230324</v>
      </c>
      <c r="B6781" s="5" t="s">
        <v>34</v>
      </c>
      <c r="D6781" s="5" t="s">
        <v>35</v>
      </c>
      <c r="E6781" s="5" t="s">
        <v>43501</v>
      </c>
      <c r="F6781" s="5" t="s">
        <v>108</v>
      </c>
      <c r="G6781" s="5" t="s">
        <v>43502</v>
      </c>
      <c r="H6781" s="6" t="s">
        <v>43503</v>
      </c>
      <c r="K6781" s="5" t="s">
        <v>43471</v>
      </c>
      <c r="M6781" s="5" t="s">
        <v>43504</v>
      </c>
      <c r="N6781" s="7" t="s">
        <v>43505</v>
      </c>
      <c r="O6781" s="8" t="str">
        <f>HYPERLINK("https://drive.google.com/file/d/11UIicGbMS6NTxeRxNfmVECaZhM2PisyZ/view?usp=drivesdk","6780_SUWITO _ SERTIFIKAT BerAKHLAK")</f>
        <v>6780_SUWITO _ SERTIFIKAT BerAKHLAK</v>
      </c>
      <c r="P6781" s="5" t="s">
        <v>41645</v>
      </c>
    </row>
    <row r="6782">
      <c r="A6782" s="4">
        <v>45534.373387291664</v>
      </c>
      <c r="B6782" s="5" t="s">
        <v>34</v>
      </c>
      <c r="D6782" s="5" t="s">
        <v>14313</v>
      </c>
      <c r="E6782" s="5" t="s">
        <v>43506</v>
      </c>
      <c r="F6782" s="5" t="s">
        <v>212</v>
      </c>
      <c r="G6782" s="5" t="s">
        <v>43507</v>
      </c>
      <c r="H6782" s="6" t="s">
        <v>43508</v>
      </c>
      <c r="K6782" s="5" t="s">
        <v>43509</v>
      </c>
      <c r="M6782" s="5" t="s">
        <v>43510</v>
      </c>
      <c r="N6782" s="7" t="s">
        <v>43511</v>
      </c>
      <c r="O6782" s="8" t="str">
        <f>HYPERLINK("https://drive.google.com/file/d/1Hvgan2rHJlQDiF2GkcJ-wSkHMkXpjnAG/view?usp=drivesdk","6781_JUMIATI ARSYAD  _ SERTIFIKAT BerAKHLAK")</f>
        <v>6781_JUMIATI ARSYAD  _ SERTIFIKAT BerAKHLAK</v>
      </c>
      <c r="P6782" s="5" t="s">
        <v>43107</v>
      </c>
    </row>
    <row r="6783">
      <c r="A6783" s="4">
        <v>45534.3733909838</v>
      </c>
      <c r="B6783" s="5" t="s">
        <v>34</v>
      </c>
      <c r="D6783" s="5" t="s">
        <v>1206</v>
      </c>
      <c r="E6783" s="5" t="s">
        <v>43512</v>
      </c>
      <c r="F6783" s="5" t="s">
        <v>212</v>
      </c>
      <c r="G6783" s="5" t="s">
        <v>43513</v>
      </c>
      <c r="H6783" s="6" t="s">
        <v>43514</v>
      </c>
      <c r="K6783" s="5" t="s">
        <v>43509</v>
      </c>
      <c r="M6783" s="5" t="s">
        <v>43515</v>
      </c>
      <c r="N6783" s="7" t="s">
        <v>43516</v>
      </c>
      <c r="O6783" s="8" t="str">
        <f>HYPERLINK("https://drive.google.com/file/d/1Flh3MCEeENRfDNmA09q-pWidRq8JUS78/view?usp=drivesdk","6782_LULUT HERIYANI _ SERTIFIKAT BerAKHLAK")</f>
        <v>6782_LULUT HERIYANI _ SERTIFIKAT BerAKHLAK</v>
      </c>
      <c r="P6783" s="5" t="s">
        <v>43107</v>
      </c>
    </row>
    <row r="6784" hidden="1">
      <c r="A6784" s="4">
        <v>45534.37339710648</v>
      </c>
      <c r="B6784" s="5" t="s">
        <v>19</v>
      </c>
      <c r="C6784" s="5" t="s">
        <v>5564</v>
      </c>
      <c r="E6784" s="5" t="s">
        <v>43517</v>
      </c>
      <c r="F6784" s="5" t="s">
        <v>120</v>
      </c>
      <c r="G6784" s="5" t="s">
        <v>43518</v>
      </c>
      <c r="H6784" s="6" t="s">
        <v>43519</v>
      </c>
      <c r="K6784" s="5" t="s">
        <v>43509</v>
      </c>
      <c r="M6784" s="5" t="s">
        <v>43520</v>
      </c>
      <c r="N6784" s="7" t="s">
        <v>43521</v>
      </c>
      <c r="O6784" s="8" t="str">
        <f>HYPERLINK("https://drive.google.com/file/d/1ma4-nUX9_qpsoelk5HAdfXM3Pl1dQlh9/view?usp=drivesdk","6783_MAHFUD FAHRUR ROZI, SE _ SERTIFIKAT BerAKHLAK")</f>
        <v>6783_MAHFUD FAHRUR ROZI, SE _ SERTIFIKAT BerAKHLAK</v>
      </c>
      <c r="P6784" s="5" t="s">
        <v>43522</v>
      </c>
    </row>
    <row r="6785">
      <c r="A6785" s="4">
        <v>45534.37340244213</v>
      </c>
      <c r="B6785" s="5" t="s">
        <v>34</v>
      </c>
      <c r="D6785" s="5" t="s">
        <v>1558</v>
      </c>
      <c r="E6785" s="5" t="s">
        <v>43523</v>
      </c>
      <c r="F6785" s="5" t="s">
        <v>199</v>
      </c>
      <c r="G6785" s="5" t="s">
        <v>43524</v>
      </c>
      <c r="H6785" s="6" t="s">
        <v>43525</v>
      </c>
      <c r="K6785" s="5" t="s">
        <v>43509</v>
      </c>
      <c r="M6785" s="5" t="s">
        <v>43526</v>
      </c>
      <c r="N6785" s="7" t="s">
        <v>43527</v>
      </c>
      <c r="O6785" s="8" t="str">
        <f>HYPERLINK("https://drive.google.com/file/d/1ZUkS_x8hB2l8ZJ7RtpfeZ4_CaPOKkXqH/view?usp=drivesdk","6784_AZI SAEPULLOH _ SERTIFIKAT BerAKHLAK")</f>
        <v>6784_AZI SAEPULLOH _ SERTIFIKAT BerAKHLAK</v>
      </c>
      <c r="P6785" s="5" t="s">
        <v>43522</v>
      </c>
    </row>
    <row r="6786">
      <c r="A6786" s="4">
        <v>45534.37340513889</v>
      </c>
      <c r="B6786" s="5" t="s">
        <v>34</v>
      </c>
      <c r="D6786" s="5" t="s">
        <v>267</v>
      </c>
      <c r="E6786" s="5" t="s">
        <v>43528</v>
      </c>
      <c r="F6786" s="5" t="s">
        <v>108</v>
      </c>
      <c r="G6786" s="5" t="s">
        <v>43529</v>
      </c>
      <c r="H6786" s="6" t="s">
        <v>43530</v>
      </c>
      <c r="K6786" s="5" t="s">
        <v>43509</v>
      </c>
      <c r="M6786" s="5" t="s">
        <v>43531</v>
      </c>
      <c r="N6786" s="7" t="s">
        <v>43532</v>
      </c>
      <c r="O6786" s="8" t="str">
        <f>HYPERLINK("https://drive.google.com/file/d/11TB85syLWOJfIybA30_3irB4i0hzOXG2/view?usp=drivesdk","6785_KARTIKA MADYARATRI, S.Kom., M.M. _ SERTIFIKAT BerAKHLAK")</f>
        <v>6785_KARTIKA MADYARATRI, S.Kom., M.M. _ SERTIFIKAT BerAKHLAK</v>
      </c>
      <c r="P6786" s="5" t="s">
        <v>43522</v>
      </c>
    </row>
    <row r="6787">
      <c r="A6787" s="4">
        <v>45534.373413078705</v>
      </c>
      <c r="B6787" s="5" t="s">
        <v>34</v>
      </c>
      <c r="D6787" s="5" t="s">
        <v>35</v>
      </c>
      <c r="E6787" s="5" t="s">
        <v>43533</v>
      </c>
      <c r="F6787" s="5" t="s">
        <v>212</v>
      </c>
      <c r="G6787" s="5" t="s">
        <v>43534</v>
      </c>
      <c r="H6787" s="6" t="s">
        <v>43535</v>
      </c>
      <c r="K6787" s="5" t="s">
        <v>43509</v>
      </c>
      <c r="M6787" s="5" t="s">
        <v>43536</v>
      </c>
      <c r="N6787" s="7" t="s">
        <v>43537</v>
      </c>
      <c r="O6787" s="8" t="str">
        <f>HYPERLINK("https://drive.google.com/file/d/1ivmw5AF_N-aAENwJ6NFJ76WkchxEUbNK/view?usp=drivesdk","6786_JUMIYA _ SERTIFIKAT BerAKHLAK")</f>
        <v>6786_JUMIYA _ SERTIFIKAT BerAKHLAK</v>
      </c>
      <c r="P6787" s="5" t="s">
        <v>43538</v>
      </c>
    </row>
    <row r="6788">
      <c r="A6788" s="4">
        <v>45534.37343684028</v>
      </c>
      <c r="B6788" s="5" t="s">
        <v>34</v>
      </c>
      <c r="D6788" s="5" t="s">
        <v>9394</v>
      </c>
      <c r="E6788" s="5" t="s">
        <v>43539</v>
      </c>
      <c r="F6788" s="5" t="s">
        <v>108</v>
      </c>
      <c r="G6788" s="5" t="s">
        <v>43540</v>
      </c>
      <c r="H6788" s="6" t="s">
        <v>43541</v>
      </c>
      <c r="K6788" s="5" t="s">
        <v>43542</v>
      </c>
      <c r="M6788" s="5" t="s">
        <v>43543</v>
      </c>
      <c r="N6788" s="7" t="s">
        <v>43544</v>
      </c>
      <c r="O6788" s="8" t="str">
        <f>HYPERLINK("https://drive.google.com/file/d/1AqNjU6W_yDz1SgReYTz55yC-mpzr2WsJ/view?usp=drivesdk","6787_NURISAH _ SERTIFIKAT BerAKHLAK")</f>
        <v>6787_NURISAH _ SERTIFIKAT BerAKHLAK</v>
      </c>
      <c r="P6788" s="5" t="s">
        <v>43538</v>
      </c>
    </row>
    <row r="6789">
      <c r="A6789" s="4">
        <v>45534.37343648148</v>
      </c>
      <c r="B6789" s="5" t="s">
        <v>34</v>
      </c>
      <c r="D6789" s="5" t="s">
        <v>14424</v>
      </c>
      <c r="E6789" s="5" t="s">
        <v>43545</v>
      </c>
      <c r="F6789" s="5" t="s">
        <v>212</v>
      </c>
      <c r="G6789" s="5" t="s">
        <v>43546</v>
      </c>
      <c r="H6789" s="6" t="s">
        <v>43547</v>
      </c>
      <c r="K6789" s="5" t="s">
        <v>43542</v>
      </c>
      <c r="M6789" s="5" t="s">
        <v>43548</v>
      </c>
      <c r="N6789" s="7" t="s">
        <v>43549</v>
      </c>
      <c r="O6789" s="8" t="str">
        <f>HYPERLINK("https://drive.google.com/file/d/1aF_uzRdVJXDZgB0OfdAvx0cSCAp4Zyzn/view?usp=drivesdk","6788_DARMA PUTRA  _ SERTIFIKAT BerAKHLAK")</f>
        <v>6788_DARMA PUTRA  _ SERTIFIKAT BerAKHLAK</v>
      </c>
      <c r="P6789" s="5" t="s">
        <v>43538</v>
      </c>
    </row>
    <row r="6790">
      <c r="A6790" s="4">
        <v>45534.373440763884</v>
      </c>
      <c r="B6790" s="5" t="s">
        <v>34</v>
      </c>
      <c r="D6790" s="5" t="s">
        <v>1206</v>
      </c>
      <c r="E6790" s="5" t="s">
        <v>43550</v>
      </c>
      <c r="F6790" s="5" t="s">
        <v>524</v>
      </c>
      <c r="G6790" s="5" t="s">
        <v>43551</v>
      </c>
      <c r="H6790" s="6" t="s">
        <v>43552</v>
      </c>
      <c r="K6790" s="5" t="s">
        <v>43542</v>
      </c>
      <c r="M6790" s="5" t="s">
        <v>43553</v>
      </c>
      <c r="N6790" s="7" t="s">
        <v>43554</v>
      </c>
      <c r="O6790" s="8" t="str">
        <f>HYPERLINK("https://drive.google.com/file/d/1KC-Fh_nk_FYbbTmnc034TYpcMPIXKEo1/view?usp=drivesdk","6789_DANUK PURWANINGTYAS  _ SERTIFIKAT BerAKHLAK")</f>
        <v>6789_DANUK PURWANINGTYAS  _ SERTIFIKAT BerAKHLAK</v>
      </c>
      <c r="P6790" s="5" t="s">
        <v>43538</v>
      </c>
    </row>
    <row r="6791">
      <c r="A6791" s="4">
        <v>45534.37344773149</v>
      </c>
      <c r="B6791" s="5" t="s">
        <v>34</v>
      </c>
      <c r="D6791" s="5" t="s">
        <v>1206</v>
      </c>
      <c r="E6791" s="5" t="s">
        <v>43555</v>
      </c>
      <c r="F6791" s="5" t="s">
        <v>212</v>
      </c>
      <c r="G6791" s="5" t="s">
        <v>43556</v>
      </c>
      <c r="H6791" s="6" t="s">
        <v>43557</v>
      </c>
      <c r="K6791" s="5" t="s">
        <v>43542</v>
      </c>
      <c r="M6791" s="5" t="s">
        <v>43558</v>
      </c>
      <c r="N6791" s="7" t="s">
        <v>43559</v>
      </c>
      <c r="O6791" s="8" t="str">
        <f>HYPERLINK("https://drive.google.com/file/d/1zhARwBZlbsaeGlpxMwJSSnkqLQACl4ih/view?usp=drivesdk","6790_CUK HERU SETIAWAN _ SERTIFIKAT BerAKHLAK")</f>
        <v>6790_CUK HERU SETIAWAN _ SERTIFIKAT BerAKHLAK</v>
      </c>
      <c r="P6791" s="5" t="s">
        <v>43538</v>
      </c>
    </row>
    <row r="6792">
      <c r="A6792" s="4">
        <v>45534.373460925926</v>
      </c>
      <c r="B6792" s="5" t="s">
        <v>34</v>
      </c>
      <c r="D6792" s="5" t="s">
        <v>1206</v>
      </c>
      <c r="E6792" s="5" t="s">
        <v>43560</v>
      </c>
      <c r="F6792" s="5" t="s">
        <v>212</v>
      </c>
      <c r="G6792" s="5" t="s">
        <v>43561</v>
      </c>
      <c r="H6792" s="6" t="s">
        <v>43562</v>
      </c>
      <c r="K6792" s="5" t="s">
        <v>43542</v>
      </c>
      <c r="M6792" s="5" t="s">
        <v>43563</v>
      </c>
      <c r="N6792" s="7" t="s">
        <v>43564</v>
      </c>
      <c r="O6792" s="8" t="str">
        <f>HYPERLINK("https://drive.google.com/file/d/1jpQxOoptGClcWXhjPEQIy0QJvn0PEU2I/view?usp=drivesdk","6791_JATMIKO _ SERTIFIKAT BerAKHLAK")</f>
        <v>6791_JATMIKO _ SERTIFIKAT BerAKHLAK</v>
      </c>
      <c r="P6792" s="5" t="s">
        <v>43565</v>
      </c>
    </row>
    <row r="6793" hidden="1">
      <c r="A6793" s="4">
        <v>45534.37346121528</v>
      </c>
      <c r="B6793" s="5" t="s">
        <v>19</v>
      </c>
      <c r="C6793" s="5" t="s">
        <v>292</v>
      </c>
      <c r="E6793" s="5" t="s">
        <v>43566</v>
      </c>
      <c r="F6793" s="5" t="s">
        <v>524</v>
      </c>
      <c r="G6793" s="5" t="s">
        <v>43567</v>
      </c>
      <c r="H6793" s="6" t="s">
        <v>43568</v>
      </c>
      <c r="K6793" s="5" t="s">
        <v>43542</v>
      </c>
      <c r="M6793" s="5" t="s">
        <v>43569</v>
      </c>
      <c r="N6793" s="7" t="s">
        <v>43570</v>
      </c>
      <c r="O6793" s="8" t="str">
        <f>HYPERLINK("https://drive.google.com/file/d/1Joy55HV0NU1sw71JQlNA_uiqCA1I73FK/view?usp=drivesdk","6792_FERRY HARDANI, S.Kom. _ SERTIFIKAT BerAKHLAK")</f>
        <v>6792_FERRY HARDANI, S.Kom. _ SERTIFIKAT BerAKHLAK</v>
      </c>
      <c r="P6793" s="5" t="s">
        <v>43565</v>
      </c>
    </row>
    <row r="6794">
      <c r="A6794" s="4">
        <v>45534.37347799768</v>
      </c>
      <c r="B6794" s="5" t="s">
        <v>34</v>
      </c>
      <c r="D6794" s="5" t="s">
        <v>996</v>
      </c>
      <c r="E6794" s="5" t="s">
        <v>43571</v>
      </c>
      <c r="F6794" s="5" t="s">
        <v>375</v>
      </c>
      <c r="G6794" s="5" t="s">
        <v>43572</v>
      </c>
      <c r="H6794" s="6" t="s">
        <v>43573</v>
      </c>
      <c r="K6794" s="5" t="s">
        <v>43542</v>
      </c>
      <c r="M6794" s="5" t="s">
        <v>43574</v>
      </c>
      <c r="N6794" s="7" t="s">
        <v>43575</v>
      </c>
      <c r="O6794" s="8" t="str">
        <f>HYPERLINK("https://drive.google.com/file/d/1nwDAw1lOL9uijPu2Xog-QDnYHRDAfwUD/view?usp=drivesdk","6793_MARIA NIDA ELVIA, S.Sos _ SERTIFIKAT BerAKHLAK")</f>
        <v>6793_MARIA NIDA ELVIA, S.Sos _ SERTIFIKAT BerAKHLAK</v>
      </c>
      <c r="P6794" s="5" t="s">
        <v>43565</v>
      </c>
    </row>
    <row r="6795" hidden="1">
      <c r="A6795" s="4">
        <v>45534.37348645834</v>
      </c>
      <c r="B6795" s="5" t="s">
        <v>19</v>
      </c>
      <c r="C6795" s="5" t="s">
        <v>24076</v>
      </c>
      <c r="E6795" s="5" t="s">
        <v>43576</v>
      </c>
      <c r="F6795" s="5" t="s">
        <v>212</v>
      </c>
      <c r="G6795" s="5" t="s">
        <v>43577</v>
      </c>
      <c r="H6795" s="6" t="s">
        <v>43578</v>
      </c>
      <c r="K6795" s="5" t="s">
        <v>43542</v>
      </c>
      <c r="M6795" s="5" t="s">
        <v>43579</v>
      </c>
      <c r="N6795" s="7" t="s">
        <v>43580</v>
      </c>
      <c r="O6795" s="8" t="str">
        <f>HYPERLINK("https://drive.google.com/file/d/1ifLsKWoVjdfrUAlBa0VVQ2iqDZMnSNlr/view?usp=drivesdk","6794_RISNAWATI SIREGAR _ SERTIFIKAT BerAKHLAK")</f>
        <v>6794_RISNAWATI SIREGAR _ SERTIFIKAT BerAKHLAK</v>
      </c>
      <c r="P6795" s="5" t="s">
        <v>43581</v>
      </c>
    </row>
    <row r="6796">
      <c r="A6796" s="4">
        <v>45534.373502256945</v>
      </c>
      <c r="B6796" s="5" t="s">
        <v>34</v>
      </c>
      <c r="D6796" s="5" t="s">
        <v>1456</v>
      </c>
      <c r="E6796" s="5" t="s">
        <v>43582</v>
      </c>
      <c r="F6796" s="5" t="s">
        <v>37</v>
      </c>
      <c r="G6796" s="5" t="s">
        <v>43583</v>
      </c>
      <c r="H6796" s="6" t="s">
        <v>43584</v>
      </c>
      <c r="K6796" s="5" t="s">
        <v>43585</v>
      </c>
      <c r="M6796" s="5" t="s">
        <v>43586</v>
      </c>
      <c r="N6796" s="7" t="s">
        <v>43587</v>
      </c>
      <c r="O6796" s="8" t="str">
        <f>HYPERLINK("https://drive.google.com/file/d/1A2TiLTVI4NPRusHGt5OIv6pPEV5jDp6Z/view?usp=drivesdk","6795_EKO ARIS YULIANTO _ SERTIFIKAT BerAKHLAK")</f>
        <v>6795_EKO ARIS YULIANTO _ SERTIFIKAT BerAKHLAK</v>
      </c>
      <c r="P6796" s="5" t="s">
        <v>43581</v>
      </c>
    </row>
    <row r="6797">
      <c r="A6797" s="4">
        <v>45534.37350778935</v>
      </c>
      <c r="B6797" s="5" t="s">
        <v>34</v>
      </c>
      <c r="D6797" s="5" t="s">
        <v>1206</v>
      </c>
      <c r="E6797" s="5" t="s">
        <v>43588</v>
      </c>
      <c r="F6797" s="5" t="s">
        <v>72</v>
      </c>
      <c r="G6797" s="5" t="s">
        <v>43589</v>
      </c>
      <c r="H6797" s="6" t="s">
        <v>43590</v>
      </c>
      <c r="K6797" s="5" t="s">
        <v>43591</v>
      </c>
      <c r="M6797" s="5" t="s">
        <v>43592</v>
      </c>
      <c r="N6797" s="7" t="s">
        <v>43593</v>
      </c>
      <c r="O6797" s="8" t="str">
        <f>HYPERLINK("https://drive.google.com/file/d/1jAUFkY6PLSXbPHPQSoM4S_KQsss6IcGP/view?usp=drivesdk","6796_MOHAMMAD AHRIZAL DESTIAN, A.Md. _ SERTIFIKAT BerAKHLAK")</f>
        <v>6796_MOHAMMAD AHRIZAL DESTIAN, A.Md. _ SERTIFIKAT BerAKHLAK</v>
      </c>
      <c r="P6797" s="5" t="s">
        <v>43581</v>
      </c>
    </row>
    <row r="6798">
      <c r="A6798" s="4">
        <v>45534.37351428241</v>
      </c>
      <c r="B6798" s="5" t="s">
        <v>34</v>
      </c>
      <c r="D6798" s="5" t="s">
        <v>1206</v>
      </c>
      <c r="E6798" s="5" t="s">
        <v>43594</v>
      </c>
      <c r="F6798" s="5" t="s">
        <v>212</v>
      </c>
      <c r="G6798" s="5" t="s">
        <v>43595</v>
      </c>
      <c r="H6798" s="6" t="s">
        <v>43596</v>
      </c>
      <c r="K6798" s="5" t="s">
        <v>43591</v>
      </c>
      <c r="M6798" s="5" t="s">
        <v>43597</v>
      </c>
      <c r="N6798" s="7" t="s">
        <v>43598</v>
      </c>
      <c r="O6798" s="8" t="str">
        <f>HYPERLINK("https://drive.google.com/file/d/1Qf0aDZjvaZq-dti3d_t1OOk4RIW6ddkw/view?usp=drivesdk","6797_GIANTONO _ SERTIFIKAT BerAKHLAK")</f>
        <v>6797_GIANTONO _ SERTIFIKAT BerAKHLAK</v>
      </c>
      <c r="P6798" s="5" t="s">
        <v>43581</v>
      </c>
    </row>
    <row r="6799">
      <c r="A6799" s="4">
        <v>45534.37352690972</v>
      </c>
      <c r="B6799" s="5" t="s">
        <v>34</v>
      </c>
      <c r="D6799" s="5" t="s">
        <v>12978</v>
      </c>
      <c r="E6799" s="5" t="s">
        <v>43599</v>
      </c>
      <c r="F6799" s="5" t="s">
        <v>72</v>
      </c>
      <c r="G6799" s="5" t="s">
        <v>43600</v>
      </c>
      <c r="H6799" s="6" t="s">
        <v>43601</v>
      </c>
      <c r="K6799" s="5" t="s">
        <v>43591</v>
      </c>
      <c r="M6799" s="5" t="s">
        <v>43602</v>
      </c>
      <c r="N6799" s="7" t="s">
        <v>43603</v>
      </c>
      <c r="O6799" s="8" t="str">
        <f>HYPERLINK("https://drive.google.com/file/d/11Q6KqQz4gwZYRdmv1lObfIUWjW4n8gKN/view?usp=drivesdk","6798_MARTINI, S.H _ SERTIFIKAT BerAKHLAK")</f>
        <v>6798_MARTINI, S.H _ SERTIFIKAT BerAKHLAK</v>
      </c>
      <c r="P6799" s="5" t="s">
        <v>43604</v>
      </c>
    </row>
    <row r="6800">
      <c r="A6800" s="4">
        <v>45534.373529687495</v>
      </c>
      <c r="B6800" s="5" t="s">
        <v>34</v>
      </c>
      <c r="D6800" s="5" t="s">
        <v>1206</v>
      </c>
      <c r="E6800" s="5" t="s">
        <v>43605</v>
      </c>
      <c r="F6800" s="5" t="s">
        <v>524</v>
      </c>
      <c r="G6800" s="5" t="s">
        <v>43606</v>
      </c>
      <c r="H6800" s="6" t="s">
        <v>43607</v>
      </c>
      <c r="K6800" s="5" t="s">
        <v>43591</v>
      </c>
      <c r="M6800" s="5" t="s">
        <v>43608</v>
      </c>
      <c r="N6800" s="7" t="s">
        <v>43609</v>
      </c>
      <c r="O6800" s="8" t="str">
        <f>HYPERLINK("https://drive.google.com/file/d/1uJJNXvhb4wMBcNYbVSkiVS2MLfe5q5-1/view?usp=drivesdk","6799_SILVIA CAKRAWATI, S. Sos _ SERTIFIKAT BerAKHLAK")</f>
        <v>6799_SILVIA CAKRAWATI, S. Sos _ SERTIFIKAT BerAKHLAK</v>
      </c>
      <c r="P6800" s="5" t="s">
        <v>43604</v>
      </c>
    </row>
    <row r="6801">
      <c r="A6801" s="4">
        <v>45534.37354732639</v>
      </c>
      <c r="B6801" s="5" t="s">
        <v>34</v>
      </c>
      <c r="D6801" s="5" t="s">
        <v>267</v>
      </c>
      <c r="E6801" s="5" t="s">
        <v>43610</v>
      </c>
      <c r="F6801" s="5" t="s">
        <v>72</v>
      </c>
      <c r="G6801" s="5" t="s">
        <v>43611</v>
      </c>
      <c r="H6801" s="6" t="s">
        <v>43612</v>
      </c>
      <c r="K6801" s="5" t="s">
        <v>43613</v>
      </c>
      <c r="M6801" s="5" t="s">
        <v>43614</v>
      </c>
      <c r="N6801" s="7" t="s">
        <v>43615</v>
      </c>
      <c r="O6801" s="8" t="str">
        <f>HYPERLINK("https://drive.google.com/file/d/1mSEI35TpeNm4vPw5FOengko-5a2o5Jge/view?usp=drivesdk","6800_DWI JEVY SUJI RAHAYU, S.E., M.M. _ SERTIFIKAT BerAKHLAK")</f>
        <v>6800_DWI JEVY SUJI RAHAYU, S.E., M.M. _ SERTIFIKAT BerAKHLAK</v>
      </c>
      <c r="P6801" s="5" t="s">
        <v>43604</v>
      </c>
    </row>
    <row r="6802">
      <c r="A6802" s="4">
        <v>45534.373565671296</v>
      </c>
      <c r="B6802" s="5" t="s">
        <v>34</v>
      </c>
      <c r="D6802" s="5" t="s">
        <v>1558</v>
      </c>
      <c r="E6802" s="5" t="s">
        <v>43616</v>
      </c>
      <c r="F6802" s="5" t="s">
        <v>212</v>
      </c>
      <c r="G6802" s="5" t="s">
        <v>43617</v>
      </c>
      <c r="H6802" s="6" t="s">
        <v>43618</v>
      </c>
      <c r="K6802" s="5" t="s">
        <v>43613</v>
      </c>
      <c r="M6802" s="5" t="s">
        <v>43619</v>
      </c>
      <c r="N6802" s="7" t="s">
        <v>43620</v>
      </c>
      <c r="O6802" s="8" t="str">
        <f>HYPERLINK("https://drive.google.com/file/d/1-lflXrVNe0AdNSDZYlLRg1wJ_opDqOpn/view?usp=drivesdk","6801_JIMMY FERNANDO _ SERTIFIKAT BerAKHLAK")</f>
        <v>6801_JIMMY FERNANDO _ SERTIFIKAT BerAKHLAK</v>
      </c>
      <c r="P6802" s="5" t="s">
        <v>43604</v>
      </c>
    </row>
    <row r="6803">
      <c r="A6803" s="4">
        <v>45534.37356836806</v>
      </c>
      <c r="B6803" s="5" t="s">
        <v>34</v>
      </c>
      <c r="D6803" s="5" t="s">
        <v>1206</v>
      </c>
      <c r="E6803" s="5" t="s">
        <v>43621</v>
      </c>
      <c r="F6803" s="5" t="s">
        <v>37</v>
      </c>
      <c r="G6803" s="5" t="s">
        <v>43622</v>
      </c>
      <c r="H6803" s="6" t="s">
        <v>43623</v>
      </c>
      <c r="K6803" s="5" t="s">
        <v>43613</v>
      </c>
      <c r="M6803" s="5" t="s">
        <v>43624</v>
      </c>
      <c r="N6803" s="7" t="s">
        <v>43625</v>
      </c>
      <c r="O6803" s="8" t="str">
        <f>HYPERLINK("https://drive.google.com/file/d/144m8fyg4sJYGMNzbVuM_JafrGnnNVPa7/view?usp=drivesdk","6802_RINA SUHESTI _ SERTIFIKAT BerAKHLAK")</f>
        <v>6802_RINA SUHESTI _ SERTIFIKAT BerAKHLAK</v>
      </c>
      <c r="P6803" s="5" t="s">
        <v>43626</v>
      </c>
    </row>
    <row r="6804">
      <c r="A6804" s="4">
        <v>45534.37356923611</v>
      </c>
      <c r="B6804" s="5" t="s">
        <v>34</v>
      </c>
      <c r="D6804" s="5" t="s">
        <v>1206</v>
      </c>
      <c r="E6804" s="5" t="s">
        <v>39721</v>
      </c>
      <c r="F6804" s="5" t="s">
        <v>199</v>
      </c>
      <c r="G6804" s="5" t="s">
        <v>43627</v>
      </c>
      <c r="H6804" s="6" t="s">
        <v>43628</v>
      </c>
      <c r="K6804" s="5" t="s">
        <v>43613</v>
      </c>
      <c r="M6804" s="5" t="s">
        <v>43629</v>
      </c>
      <c r="N6804" s="7" t="s">
        <v>43630</v>
      </c>
      <c r="O6804" s="8" t="str">
        <f>HYPERLINK("https://drive.google.com/file/d/17pFRqWrxBv0oT33VRDMbCA4OQuNA--68/view?usp=drivesdk","6803_HARIYANTO _ SERTIFIKAT BerAKHLAK")</f>
        <v>6803_HARIYANTO _ SERTIFIKAT BerAKHLAK</v>
      </c>
      <c r="P6804" s="5" t="s">
        <v>43626</v>
      </c>
    </row>
    <row r="6805">
      <c r="A6805" s="4">
        <v>45534.37358716435</v>
      </c>
      <c r="B6805" s="5" t="s">
        <v>34</v>
      </c>
      <c r="D6805" s="5" t="s">
        <v>4775</v>
      </c>
      <c r="E6805" s="5" t="s">
        <v>43631</v>
      </c>
      <c r="F6805" s="5" t="s">
        <v>72</v>
      </c>
      <c r="G6805" s="5" t="s">
        <v>43632</v>
      </c>
      <c r="H6805" s="6" t="s">
        <v>43633</v>
      </c>
      <c r="K6805" s="5" t="s">
        <v>43634</v>
      </c>
      <c r="M6805" s="5" t="s">
        <v>43635</v>
      </c>
      <c r="N6805" s="7" t="s">
        <v>43636</v>
      </c>
      <c r="O6805" s="8" t="str">
        <f>HYPERLINK("https://drive.google.com/file/d/1o7RYNwwpHpKTQiCi2pchKRIIEqUj286Y/view?usp=drivesdk","6804_SETIYONO, S.Si., M.M. _ SERTIFIKAT BerAKHLAK")</f>
        <v>6804_SETIYONO, S.Si., M.M. _ SERTIFIKAT BerAKHLAK</v>
      </c>
      <c r="P6805" s="5" t="s">
        <v>43626</v>
      </c>
    </row>
    <row r="6806">
      <c r="A6806" s="4">
        <v>45534.37359877315</v>
      </c>
      <c r="B6806" s="5" t="s">
        <v>34</v>
      </c>
      <c r="D6806" s="5" t="s">
        <v>10297</v>
      </c>
      <c r="E6806" s="5" t="s">
        <v>43637</v>
      </c>
      <c r="F6806" s="5" t="s">
        <v>212</v>
      </c>
      <c r="G6806" s="5" t="s">
        <v>43638</v>
      </c>
      <c r="H6806" s="6" t="s">
        <v>43639</v>
      </c>
      <c r="K6806" s="5" t="s">
        <v>43634</v>
      </c>
      <c r="M6806" s="5" t="s">
        <v>43640</v>
      </c>
      <c r="N6806" s="7" t="s">
        <v>43641</v>
      </c>
      <c r="O6806" s="8" t="str">
        <f>HYPERLINK("https://drive.google.com/file/d/1e7JqCPJWG6-2nv95jAaWOVXLTSjpdPNB/view?usp=drivesdk","6805_I WAYAN WINAWAN _ SERTIFIKAT BerAKHLAK")</f>
        <v>6805_I WAYAN WINAWAN _ SERTIFIKAT BerAKHLAK</v>
      </c>
      <c r="P6806" s="5" t="s">
        <v>43626</v>
      </c>
    </row>
    <row r="6807">
      <c r="A6807" s="4">
        <v>45534.37360407408</v>
      </c>
      <c r="B6807" s="5" t="s">
        <v>34</v>
      </c>
      <c r="D6807" s="5" t="s">
        <v>1558</v>
      </c>
      <c r="E6807" s="5" t="s">
        <v>43642</v>
      </c>
      <c r="F6807" s="5" t="s">
        <v>212</v>
      </c>
      <c r="G6807" s="5" t="s">
        <v>43643</v>
      </c>
      <c r="H6807" s="6" t="s">
        <v>43644</v>
      </c>
      <c r="K6807" s="5" t="s">
        <v>43634</v>
      </c>
      <c r="M6807" s="5" t="s">
        <v>43645</v>
      </c>
      <c r="N6807" s="7" t="s">
        <v>43646</v>
      </c>
      <c r="O6807" s="8" t="str">
        <f>HYPERLINK("https://drive.google.com/file/d/14F6BwzjgMCeUEAdzPEnuw8GBIzk2q-L2/view?usp=drivesdk","6806_CITRA RESA FEBRIYANTI _ SERTIFIKAT BerAKHLAK")</f>
        <v>6806_CITRA RESA FEBRIYANTI _ SERTIFIKAT BerAKHLAK</v>
      </c>
      <c r="P6807" s="5" t="s">
        <v>43647</v>
      </c>
    </row>
    <row r="6808">
      <c r="A6808" s="4">
        <v>45534.373635208336</v>
      </c>
      <c r="B6808" s="5" t="s">
        <v>34</v>
      </c>
      <c r="D6808" s="5" t="s">
        <v>1692</v>
      </c>
      <c r="E6808" s="5" t="s">
        <v>43648</v>
      </c>
      <c r="F6808" s="5" t="s">
        <v>524</v>
      </c>
      <c r="G6808" s="5" t="s">
        <v>43649</v>
      </c>
      <c r="H6808" s="6" t="s">
        <v>43650</v>
      </c>
      <c r="K6808" s="5" t="s">
        <v>43651</v>
      </c>
      <c r="M6808" s="5" t="s">
        <v>43652</v>
      </c>
      <c r="N6808" s="7" t="s">
        <v>43653</v>
      </c>
      <c r="O6808" s="8" t="str">
        <f>HYPERLINK("https://drive.google.com/file/d/1Kn-cQCDezwGWagsNGA24hi9qI9NVQHW1/view?usp=drivesdk","6807_JOKBET PENTURY Amd.Kep _ SERTIFIKAT BerAKHLAK")</f>
        <v>6807_JOKBET PENTURY Amd.Kep _ SERTIFIKAT BerAKHLAK</v>
      </c>
      <c r="P6808" s="5" t="s">
        <v>43647</v>
      </c>
    </row>
    <row r="6809">
      <c r="A6809" s="4">
        <v>45534.37364505787</v>
      </c>
      <c r="B6809" s="5" t="s">
        <v>34</v>
      </c>
      <c r="D6809" s="5" t="s">
        <v>12978</v>
      </c>
      <c r="E6809" s="5" t="s">
        <v>43654</v>
      </c>
      <c r="F6809" s="5" t="s">
        <v>37</v>
      </c>
      <c r="G6809" s="5" t="s">
        <v>43655</v>
      </c>
      <c r="H6809" s="6" t="s">
        <v>43656</v>
      </c>
      <c r="K6809" s="5" t="s">
        <v>43651</v>
      </c>
      <c r="M6809" s="5" t="s">
        <v>43657</v>
      </c>
      <c r="N6809" s="7" t="s">
        <v>43658</v>
      </c>
      <c r="O6809" s="8" t="str">
        <f>HYPERLINK("https://drive.google.com/file/d/10rvkPJL_KwCdixI0dLUsgvAnDg0sCcsy/view?usp=drivesdk","6808_TIKA SEPTIANA _ SERTIFIKAT BerAKHLAK")</f>
        <v>6808_TIKA SEPTIANA _ SERTIFIKAT BerAKHLAK</v>
      </c>
      <c r="P6809" s="5" t="s">
        <v>43647</v>
      </c>
    </row>
    <row r="6810">
      <c r="A6810" s="4">
        <v>45534.37370989584</v>
      </c>
      <c r="B6810" s="5" t="s">
        <v>34</v>
      </c>
      <c r="D6810" s="5" t="s">
        <v>4775</v>
      </c>
      <c r="E6810" s="5" t="s">
        <v>43659</v>
      </c>
      <c r="F6810" s="5" t="s">
        <v>108</v>
      </c>
      <c r="G6810" s="5" t="s">
        <v>43660</v>
      </c>
      <c r="H6810" s="6" t="s">
        <v>43661</v>
      </c>
      <c r="K6810" s="5" t="s">
        <v>43662</v>
      </c>
      <c r="M6810" s="5" t="s">
        <v>43663</v>
      </c>
      <c r="N6810" s="7" t="s">
        <v>43664</v>
      </c>
      <c r="O6810" s="8" t="str">
        <f>HYPERLINK("https://drive.google.com/file/d/1zA28YIWCEjIaCzjEUzPyqxb4Te2kKK68/view?usp=drivesdk","6809_TRI YULIANA _ SERTIFIKAT BerAKHLAK")</f>
        <v>6809_TRI YULIANA _ SERTIFIKAT BerAKHLAK</v>
      </c>
      <c r="P6810" s="5" t="s">
        <v>43647</v>
      </c>
    </row>
    <row r="6811">
      <c r="A6811" s="4">
        <v>45534.37372081018</v>
      </c>
      <c r="B6811" s="5" t="s">
        <v>34</v>
      </c>
      <c r="D6811" s="5" t="s">
        <v>3432</v>
      </c>
      <c r="E6811" s="5" t="s">
        <v>16234</v>
      </c>
      <c r="F6811" s="5" t="s">
        <v>212</v>
      </c>
      <c r="G6811" s="5" t="s">
        <v>43665</v>
      </c>
      <c r="H6811" s="6" t="s">
        <v>43666</v>
      </c>
      <c r="K6811" s="5" t="s">
        <v>43662</v>
      </c>
      <c r="M6811" s="5" t="s">
        <v>43667</v>
      </c>
      <c r="N6811" s="7" t="s">
        <v>43668</v>
      </c>
      <c r="O6811" s="8" t="str">
        <f>HYPERLINK("https://drive.google.com/file/d/1HRu9jUng4dvQVLRicyccxVfTXm-2Nsx5/view?usp=drivesdk","6810_YULIANA _ SERTIFIKAT BerAKHLAK")</f>
        <v>6810_YULIANA _ SERTIFIKAT BerAKHLAK</v>
      </c>
      <c r="P6811" s="5" t="s">
        <v>43669</v>
      </c>
    </row>
    <row r="6812">
      <c r="A6812" s="4">
        <v>45534.37372267361</v>
      </c>
      <c r="B6812" s="5" t="s">
        <v>34</v>
      </c>
      <c r="D6812" s="5" t="s">
        <v>12978</v>
      </c>
      <c r="E6812" s="5" t="s">
        <v>43670</v>
      </c>
      <c r="F6812" s="5" t="s">
        <v>212</v>
      </c>
      <c r="G6812" s="5" t="s">
        <v>43671</v>
      </c>
      <c r="H6812" s="6" t="s">
        <v>43672</v>
      </c>
      <c r="K6812" s="5" t="s">
        <v>43662</v>
      </c>
      <c r="M6812" s="5" t="s">
        <v>43673</v>
      </c>
      <c r="N6812" s="7" t="s">
        <v>43674</v>
      </c>
      <c r="O6812" s="8" t="str">
        <f>HYPERLINK("https://drive.google.com/file/d/1F0IpxkAamLipnOjGrPjZrm-LzOTBl9p-/view?usp=drivesdk","6811_SUWARNI  _ SERTIFIKAT BerAKHLAK")</f>
        <v>6811_SUWARNI  _ SERTIFIKAT BerAKHLAK</v>
      </c>
      <c r="P6812" s="5" t="s">
        <v>43669</v>
      </c>
    </row>
    <row r="6813">
      <c r="A6813" s="4">
        <v>45534.37373194445</v>
      </c>
      <c r="B6813" s="5" t="s">
        <v>34</v>
      </c>
      <c r="D6813" s="5" t="s">
        <v>3432</v>
      </c>
      <c r="E6813" s="5" t="s">
        <v>43675</v>
      </c>
      <c r="F6813" s="5" t="s">
        <v>212</v>
      </c>
      <c r="G6813" s="5" t="s">
        <v>43676</v>
      </c>
      <c r="H6813" s="6" t="s">
        <v>43677</v>
      </c>
      <c r="K6813" s="5" t="s">
        <v>43662</v>
      </c>
      <c r="M6813" s="5" t="s">
        <v>43678</v>
      </c>
      <c r="N6813" s="7" t="s">
        <v>43679</v>
      </c>
      <c r="O6813" s="8" t="str">
        <f>HYPERLINK("https://drive.google.com/file/d/19_I6rc3CPZWl9uTzZP4sU9v7aUE2hIPS/view?usp=drivesdk","6812_RAMADINI MARNIATY _ SERTIFIKAT BerAKHLAK")</f>
        <v>6812_RAMADINI MARNIATY _ SERTIFIKAT BerAKHLAK</v>
      </c>
      <c r="P6813" s="5" t="s">
        <v>43680</v>
      </c>
    </row>
    <row r="6814">
      <c r="A6814" s="4">
        <v>45534.37375315972</v>
      </c>
      <c r="B6814" s="5" t="s">
        <v>34</v>
      </c>
      <c r="D6814" s="5" t="s">
        <v>10444</v>
      </c>
      <c r="E6814" s="5" t="s">
        <v>43681</v>
      </c>
      <c r="F6814" s="5" t="s">
        <v>37</v>
      </c>
      <c r="G6814" s="5" t="s">
        <v>43682</v>
      </c>
      <c r="H6814" s="6" t="s">
        <v>43683</v>
      </c>
      <c r="K6814" s="5" t="s">
        <v>43684</v>
      </c>
      <c r="M6814" s="5" t="s">
        <v>43685</v>
      </c>
      <c r="N6814" s="7" t="s">
        <v>43686</v>
      </c>
      <c r="O6814" s="8" t="str">
        <f>HYPERLINK("https://drive.google.com/file/d/1gNM4e5r9Xlx1z51zu6IxGSQGHaRzUHvb/view?usp=drivesdk","6813_Rati nurulia, A.Md. Far _ SERTIFIKAT BerAKHLAK")</f>
        <v>6813_Rati nurulia, A.Md. Far _ SERTIFIKAT BerAKHLAK</v>
      </c>
      <c r="P6814" s="5" t="s">
        <v>43680</v>
      </c>
    </row>
    <row r="6815">
      <c r="A6815" s="4">
        <v>45534.373762152776</v>
      </c>
      <c r="B6815" s="5" t="s">
        <v>34</v>
      </c>
      <c r="D6815" s="5" t="s">
        <v>1456</v>
      </c>
      <c r="E6815" s="5" t="s">
        <v>43687</v>
      </c>
      <c r="F6815" s="5" t="s">
        <v>37</v>
      </c>
      <c r="G6815" s="5" t="s">
        <v>43688</v>
      </c>
      <c r="H6815" s="6" t="s">
        <v>43689</v>
      </c>
      <c r="K6815" s="5" t="s">
        <v>43690</v>
      </c>
      <c r="M6815" s="5" t="s">
        <v>43691</v>
      </c>
      <c r="N6815" s="7" t="s">
        <v>43692</v>
      </c>
      <c r="O6815" s="8" t="str">
        <f>HYPERLINK("https://drive.google.com/file/d/1WX-Pyzxw5ujHPU1Wh-j5V9NKDwErfG4W/view?usp=drivesdk","6814_HENDRIYANTO _ SERTIFIKAT BerAKHLAK")</f>
        <v>6814_HENDRIYANTO _ SERTIFIKAT BerAKHLAK</v>
      </c>
      <c r="P6815" s="5" t="s">
        <v>43680</v>
      </c>
    </row>
    <row r="6816">
      <c r="A6816" s="4">
        <v>45534.37376512731</v>
      </c>
      <c r="B6816" s="5" t="s">
        <v>34</v>
      </c>
      <c r="D6816" s="5" t="s">
        <v>12978</v>
      </c>
      <c r="E6816" s="5" t="s">
        <v>43693</v>
      </c>
      <c r="F6816" s="5" t="s">
        <v>212</v>
      </c>
      <c r="G6816" s="5" t="s">
        <v>43694</v>
      </c>
      <c r="H6816" s="6" t="s">
        <v>43695</v>
      </c>
      <c r="K6816" s="5" t="s">
        <v>43690</v>
      </c>
      <c r="M6816" s="5" t="s">
        <v>43696</v>
      </c>
      <c r="N6816" s="7" t="s">
        <v>43697</v>
      </c>
      <c r="O6816" s="8" t="str">
        <f>HYPERLINK("https://drive.google.com/file/d/12OXwaxYAShYAsy9C9sOgcS1J-CnvqUWU/view?usp=drivesdk","6815_DELVI, AMD _ SERTIFIKAT BerAKHLAK")</f>
        <v>6815_DELVI, AMD _ SERTIFIKAT BerAKHLAK</v>
      </c>
      <c r="P6816" s="5" t="s">
        <v>43680</v>
      </c>
    </row>
    <row r="6817">
      <c r="A6817" s="4">
        <v>45534.373794652776</v>
      </c>
      <c r="B6817" s="5" t="s">
        <v>34</v>
      </c>
      <c r="D6817" s="5" t="s">
        <v>4775</v>
      </c>
      <c r="E6817" s="5" t="s">
        <v>43698</v>
      </c>
      <c r="F6817" s="5" t="s">
        <v>375</v>
      </c>
      <c r="G6817" s="5" t="s">
        <v>43699</v>
      </c>
      <c r="H6817" s="6" t="s">
        <v>43700</v>
      </c>
      <c r="K6817" s="5" t="s">
        <v>43690</v>
      </c>
      <c r="M6817" s="5" t="s">
        <v>43701</v>
      </c>
      <c r="N6817" s="7" t="s">
        <v>43702</v>
      </c>
      <c r="O6817" s="8" t="str">
        <f>HYPERLINK("https://drive.google.com/file/d/19zNKq8zKqtB21j9KAjgUhq1NhECUA19B/view?usp=drivesdk","6816_DARYADI, S.Kom. _ SERTIFIKAT BerAKHLAK")</f>
        <v>6816_DARYADI, S.Kom. _ SERTIFIKAT BerAKHLAK</v>
      </c>
      <c r="P6817" s="5" t="s">
        <v>43703</v>
      </c>
    </row>
    <row r="6818" hidden="1">
      <c r="A6818" s="4">
        <v>45534.37381064815</v>
      </c>
      <c r="B6818" s="5" t="s">
        <v>19</v>
      </c>
      <c r="C6818" s="5" t="s">
        <v>442</v>
      </c>
      <c r="E6818" s="5" t="s">
        <v>43704</v>
      </c>
      <c r="F6818" s="5" t="s">
        <v>22</v>
      </c>
      <c r="G6818" s="5" t="s">
        <v>43705</v>
      </c>
      <c r="H6818" s="6" t="s">
        <v>43706</v>
      </c>
      <c r="K6818" s="5" t="s">
        <v>43707</v>
      </c>
      <c r="M6818" s="5" t="s">
        <v>43708</v>
      </c>
      <c r="N6818" s="7" t="s">
        <v>43709</v>
      </c>
      <c r="O6818" s="8" t="str">
        <f>HYPERLINK("https://drive.google.com/file/d/1flYvercmYB3nR4GPnGTyQZkJ17s7dE5v/view?usp=drivesdk","6817_WIHELMAN MASA _ SERTIFIKAT BerAKHLAK")</f>
        <v>6817_WIHELMAN MASA _ SERTIFIKAT BerAKHLAK</v>
      </c>
      <c r="P6818" s="5" t="s">
        <v>43703</v>
      </c>
    </row>
    <row r="6819">
      <c r="A6819" s="4">
        <v>45534.373827118055</v>
      </c>
      <c r="B6819" s="5" t="s">
        <v>34</v>
      </c>
      <c r="D6819" s="5" t="s">
        <v>4775</v>
      </c>
      <c r="E6819" s="5" t="s">
        <v>43710</v>
      </c>
      <c r="F6819" s="5" t="s">
        <v>212</v>
      </c>
      <c r="G6819" s="5" t="s">
        <v>43711</v>
      </c>
      <c r="H6819" s="6" t="s">
        <v>43712</v>
      </c>
      <c r="K6819" s="5" t="s">
        <v>43707</v>
      </c>
      <c r="M6819" s="5" t="s">
        <v>43713</v>
      </c>
      <c r="N6819" s="7" t="s">
        <v>43714</v>
      </c>
      <c r="O6819" s="8" t="str">
        <f>HYPERLINK("https://drive.google.com/file/d/1X-Wrwd47HgIiy5_AjtT4RlxTE-5IW_vE/view?usp=drivesdk","6818_Ina Winarlina,AMKg _ SERTIFIKAT BerAKHLAK")</f>
        <v>6818_Ina Winarlina,AMKg _ SERTIFIKAT BerAKHLAK</v>
      </c>
      <c r="P6819" s="5" t="s">
        <v>43703</v>
      </c>
    </row>
    <row r="6820">
      <c r="A6820" s="4">
        <v>45534.373831377314</v>
      </c>
      <c r="B6820" s="5" t="s">
        <v>34</v>
      </c>
      <c r="D6820" s="5" t="s">
        <v>10444</v>
      </c>
      <c r="E6820" s="5" t="s">
        <v>43715</v>
      </c>
      <c r="F6820" s="5" t="s">
        <v>212</v>
      </c>
      <c r="G6820" s="5" t="s">
        <v>43716</v>
      </c>
      <c r="H6820" s="6" t="s">
        <v>43717</v>
      </c>
      <c r="K6820" s="5" t="s">
        <v>43707</v>
      </c>
      <c r="M6820" s="5" t="s">
        <v>43718</v>
      </c>
      <c r="N6820" s="7" t="s">
        <v>43719</v>
      </c>
      <c r="O6820" s="8" t="str">
        <f>HYPERLINK("https://drive.google.com/file/d/1wLFC2lnD1tPq1gC09rNdDSa2Rv4SOMUf/view?usp=drivesdk","6819_WINARNI NINGSIH _ SERTIFIKAT BerAKHLAK")</f>
        <v>6819_WINARNI NINGSIH _ SERTIFIKAT BerAKHLAK</v>
      </c>
      <c r="P6820" s="5" t="s">
        <v>43703</v>
      </c>
    </row>
    <row r="6821" hidden="1">
      <c r="A6821" s="4">
        <v>45534.373831805555</v>
      </c>
      <c r="B6821" s="5" t="s">
        <v>19</v>
      </c>
      <c r="C6821" s="5" t="s">
        <v>292</v>
      </c>
      <c r="E6821" s="5" t="s">
        <v>43720</v>
      </c>
      <c r="F6821" s="5" t="s">
        <v>212</v>
      </c>
      <c r="G6821" s="5" t="s">
        <v>43721</v>
      </c>
      <c r="H6821" s="6" t="s">
        <v>43722</v>
      </c>
      <c r="K6821" s="5" t="s">
        <v>43707</v>
      </c>
      <c r="M6821" s="5" t="s">
        <v>43723</v>
      </c>
      <c r="N6821" s="7" t="s">
        <v>43724</v>
      </c>
      <c r="O6821" s="8" t="str">
        <f>HYPERLINK("https://drive.google.com/file/d/1GxpiOJHuuzBrHR-p8wpUmBaUKHm3G_gq/view?usp=drivesdk","6820_YAHUDI _ SERTIFIKAT BerAKHLAK")</f>
        <v>6820_YAHUDI _ SERTIFIKAT BerAKHLAK</v>
      </c>
      <c r="P6821" s="5" t="s">
        <v>43725</v>
      </c>
    </row>
    <row r="6822">
      <c r="A6822" s="4">
        <v>45534.37384056713</v>
      </c>
      <c r="B6822" s="5" t="s">
        <v>34</v>
      </c>
      <c r="D6822" s="5" t="s">
        <v>4775</v>
      </c>
      <c r="E6822" s="5" t="s">
        <v>43726</v>
      </c>
      <c r="F6822" s="5" t="s">
        <v>199</v>
      </c>
      <c r="G6822" s="5" t="s">
        <v>43727</v>
      </c>
      <c r="H6822" s="6" t="s">
        <v>43728</v>
      </c>
      <c r="K6822" s="5" t="s">
        <v>43729</v>
      </c>
      <c r="M6822" s="5" t="s">
        <v>43730</v>
      </c>
      <c r="N6822" s="7" t="s">
        <v>43731</v>
      </c>
      <c r="O6822" s="8" t="str">
        <f>HYPERLINK("https://drive.google.com/file/d/1GCdHW-oIVd-4JGVZ4C0J49WRBJoQvfYE/view?usp=drivesdk","6821_BASUKI _ SERTIFIKAT BerAKHLAK")</f>
        <v>6821_BASUKI _ SERTIFIKAT BerAKHLAK</v>
      </c>
      <c r="P6822" s="5" t="s">
        <v>43725</v>
      </c>
    </row>
    <row r="6823" hidden="1">
      <c r="A6823" s="4">
        <v>45534.37384664352</v>
      </c>
      <c r="B6823" s="5" t="s">
        <v>19</v>
      </c>
      <c r="C6823" s="5" t="s">
        <v>3301</v>
      </c>
      <c r="E6823" s="5" t="s">
        <v>43732</v>
      </c>
      <c r="F6823" s="5" t="s">
        <v>37</v>
      </c>
      <c r="G6823" s="5" t="s">
        <v>43733</v>
      </c>
      <c r="H6823" s="6" t="s">
        <v>43734</v>
      </c>
      <c r="K6823" s="5" t="s">
        <v>43729</v>
      </c>
      <c r="M6823" s="5" t="s">
        <v>43735</v>
      </c>
      <c r="N6823" s="7" t="s">
        <v>43736</v>
      </c>
      <c r="O6823" s="8" t="str">
        <f>HYPERLINK("https://drive.google.com/file/d/1E_snopsMsEMNumZaeqCoHcAsiZKDO85S/view?usp=drivesdk","6822_ALI KHUMAEDI _ SERTIFIKAT BerAKHLAK")</f>
        <v>6822_ALI KHUMAEDI _ SERTIFIKAT BerAKHLAK</v>
      </c>
      <c r="P6823" s="5" t="s">
        <v>43725</v>
      </c>
    </row>
    <row r="6824">
      <c r="A6824" s="4">
        <v>45534.37385685185</v>
      </c>
      <c r="B6824" s="5" t="s">
        <v>34</v>
      </c>
      <c r="D6824" s="5" t="s">
        <v>580</v>
      </c>
      <c r="E6824" s="5" t="s">
        <v>43737</v>
      </c>
      <c r="F6824" s="5" t="s">
        <v>212</v>
      </c>
      <c r="G6824" s="5" t="s">
        <v>43738</v>
      </c>
      <c r="H6824" s="6" t="s">
        <v>43739</v>
      </c>
      <c r="K6824" s="5" t="s">
        <v>43729</v>
      </c>
      <c r="M6824" s="5" t="s">
        <v>43740</v>
      </c>
      <c r="N6824" s="7" t="s">
        <v>43741</v>
      </c>
      <c r="O6824" s="8" t="str">
        <f>HYPERLINK("https://drive.google.com/file/d/15mkVj3o9ypYjvBs2fosKphlwLsmGojBM/view?usp=drivesdk","6823_I GUSTI AYU NYOMAN MUDAARI _ SERTIFIKAT BerAKHLAK")</f>
        <v>6823_I GUSTI AYU NYOMAN MUDAARI _ SERTIFIKAT BerAKHLAK</v>
      </c>
      <c r="P6824" s="5" t="s">
        <v>43742</v>
      </c>
    </row>
    <row r="6825">
      <c r="A6825" s="4">
        <v>45534.37387876157</v>
      </c>
      <c r="B6825" s="5" t="s">
        <v>34</v>
      </c>
      <c r="D6825" s="5" t="s">
        <v>9394</v>
      </c>
      <c r="E6825" s="5" t="s">
        <v>43743</v>
      </c>
      <c r="F6825" s="5" t="s">
        <v>375</v>
      </c>
      <c r="G6825" s="5" t="s">
        <v>43744</v>
      </c>
      <c r="H6825" s="6" t="s">
        <v>43745</v>
      </c>
      <c r="K6825" s="5" t="s">
        <v>43746</v>
      </c>
      <c r="M6825" s="5" t="s">
        <v>43747</v>
      </c>
      <c r="N6825" s="7" t="s">
        <v>43748</v>
      </c>
      <c r="O6825" s="8" t="str">
        <f>HYPERLINK("https://drive.google.com/file/d/1-y6tdvTB8QB0sh9U6aieAZGeh3b11xwS/view?usp=drivesdk","6824_RAJA RIMA AFRIYENTI, S.E., M.Si _ SERTIFIKAT BerAKHLAK")</f>
        <v>6824_RAJA RIMA AFRIYENTI, S.E., M.Si _ SERTIFIKAT BerAKHLAK</v>
      </c>
      <c r="P6825" s="5" t="s">
        <v>43742</v>
      </c>
    </row>
    <row r="6826">
      <c r="A6826" s="4">
        <v>45534.37389234954</v>
      </c>
      <c r="B6826" s="5" t="s">
        <v>34</v>
      </c>
      <c r="D6826" s="5" t="s">
        <v>4775</v>
      </c>
      <c r="E6826" s="5" t="s">
        <v>43749</v>
      </c>
      <c r="F6826" s="5" t="s">
        <v>212</v>
      </c>
      <c r="G6826" s="5" t="s">
        <v>43750</v>
      </c>
      <c r="H6826" s="6" t="s">
        <v>43751</v>
      </c>
      <c r="K6826" s="5" t="s">
        <v>43746</v>
      </c>
      <c r="M6826" s="5" t="s">
        <v>43752</v>
      </c>
      <c r="N6826" s="7" t="s">
        <v>43753</v>
      </c>
      <c r="O6826" s="8" t="str">
        <f>HYPERLINK("https://drive.google.com/file/d/1AiyPy-xUSojzM4Uol2AFfl2b-ps5DIB6/view?usp=drivesdk","6825_MUH FAUZAN _ SERTIFIKAT BerAKHLAK")</f>
        <v>6825_MUH FAUZAN _ SERTIFIKAT BerAKHLAK</v>
      </c>
      <c r="P6826" s="5" t="s">
        <v>43742</v>
      </c>
    </row>
    <row r="6827">
      <c r="A6827" s="4">
        <v>45534.37389619213</v>
      </c>
      <c r="B6827" s="5" t="s">
        <v>34</v>
      </c>
      <c r="D6827" s="5" t="s">
        <v>2903</v>
      </c>
      <c r="E6827" s="5" t="s">
        <v>43754</v>
      </c>
      <c r="F6827" s="5" t="s">
        <v>108</v>
      </c>
      <c r="G6827" s="5" t="s">
        <v>43755</v>
      </c>
      <c r="H6827" s="6" t="s">
        <v>43756</v>
      </c>
      <c r="K6827" s="5" t="s">
        <v>43746</v>
      </c>
      <c r="M6827" s="5" t="s">
        <v>43757</v>
      </c>
      <c r="N6827" s="7" t="s">
        <v>43758</v>
      </c>
      <c r="O6827" s="8" t="str">
        <f>HYPERLINK("https://drive.google.com/file/d/1n3DozH3brsGLvpbHVM2toOAldjRcgWPf/view?usp=drivesdk","6826_ZULKURNAIN, S.I.P. _ SERTIFIKAT BerAKHLAK")</f>
        <v>6826_ZULKURNAIN, S.I.P. _ SERTIFIKAT BerAKHLAK</v>
      </c>
      <c r="P6827" s="5" t="s">
        <v>43742</v>
      </c>
    </row>
    <row r="6828" hidden="1">
      <c r="A6828" s="4">
        <v>45534.37392359954</v>
      </c>
      <c r="B6828" s="5" t="s">
        <v>19</v>
      </c>
      <c r="C6828" s="5" t="s">
        <v>14000</v>
      </c>
      <c r="E6828" s="5" t="s">
        <v>43759</v>
      </c>
      <c r="F6828" s="5" t="s">
        <v>37</v>
      </c>
      <c r="G6828" s="5" t="s">
        <v>43760</v>
      </c>
      <c r="H6828" s="6" t="s">
        <v>43761</v>
      </c>
      <c r="K6828" s="5" t="s">
        <v>43762</v>
      </c>
      <c r="M6828" s="5" t="s">
        <v>43763</v>
      </c>
      <c r="N6828" s="7" t="s">
        <v>43764</v>
      </c>
      <c r="O6828" s="8" t="str">
        <f>HYPERLINK("https://drive.google.com/file/d/1Yg4-iCFmq3-KXbVy26dOe6LgrFj_EtSl/view?usp=drivesdk","6827_Andika Ferira, A.Md., S.M _ SERTIFIKAT BerAKHLAK")</f>
        <v>6827_Andika Ferira, A.Md., S.M _ SERTIFIKAT BerAKHLAK</v>
      </c>
      <c r="P6828" s="5" t="s">
        <v>43765</v>
      </c>
    </row>
    <row r="6829" hidden="1">
      <c r="A6829" s="4">
        <v>45534.373930173606</v>
      </c>
      <c r="B6829" s="5" t="s">
        <v>19</v>
      </c>
      <c r="C6829" s="5" t="s">
        <v>292</v>
      </c>
      <c r="E6829" s="5" t="s">
        <v>43766</v>
      </c>
      <c r="F6829" s="5" t="s">
        <v>375</v>
      </c>
      <c r="G6829" s="5" t="s">
        <v>43767</v>
      </c>
      <c r="H6829" s="6" t="s">
        <v>43768</v>
      </c>
      <c r="K6829" s="5" t="s">
        <v>43762</v>
      </c>
      <c r="M6829" s="5" t="s">
        <v>43769</v>
      </c>
      <c r="N6829" s="7" t="s">
        <v>43770</v>
      </c>
      <c r="O6829" s="8" t="str">
        <f>HYPERLINK("https://drive.google.com/file/d/1TwHrqNKdwEuRd7Ijr7Duqdq6pKJ30A7Z/view?usp=drivesdk","6828_DIAH KARTIKA SARI, S. E., M. M.  _ SERTIFIKAT BerAKHLAK")</f>
        <v>6828_DIAH KARTIKA SARI, S. E., M. M.  _ SERTIFIKAT BerAKHLAK</v>
      </c>
      <c r="P6829" s="5" t="s">
        <v>43765</v>
      </c>
    </row>
    <row r="6830">
      <c r="A6830" s="4">
        <v>45534.37394042824</v>
      </c>
      <c r="B6830" s="5" t="s">
        <v>34</v>
      </c>
      <c r="D6830" s="5" t="s">
        <v>12978</v>
      </c>
      <c r="E6830" s="5" t="s">
        <v>43771</v>
      </c>
      <c r="F6830" s="5" t="s">
        <v>375</v>
      </c>
      <c r="G6830" s="5" t="s">
        <v>43772</v>
      </c>
      <c r="H6830" s="6" t="s">
        <v>43773</v>
      </c>
      <c r="K6830" s="5" t="s">
        <v>43774</v>
      </c>
      <c r="M6830" s="5" t="s">
        <v>43775</v>
      </c>
      <c r="N6830" s="7" t="s">
        <v>43776</v>
      </c>
      <c r="O6830" s="8" t="str">
        <f>HYPERLINK("https://drive.google.com/file/d/1scT8ueAdz9INCbaH54uBhqzkICe0tuEL/view?usp=drivesdk","6829_SYAIPUL ANWAR, S.SOS  _ SERTIFIKAT BerAKHLAK")</f>
        <v>6829_SYAIPUL ANWAR, S.SOS  _ SERTIFIKAT BerAKHLAK</v>
      </c>
      <c r="P6830" s="5" t="s">
        <v>43777</v>
      </c>
    </row>
    <row r="6831">
      <c r="A6831" s="4">
        <v>45534.37394625</v>
      </c>
      <c r="B6831" s="5" t="s">
        <v>34</v>
      </c>
      <c r="D6831" s="5" t="s">
        <v>1206</v>
      </c>
      <c r="E6831" s="5" t="s">
        <v>43778</v>
      </c>
      <c r="F6831" s="5" t="s">
        <v>212</v>
      </c>
      <c r="G6831" s="5" t="s">
        <v>43779</v>
      </c>
      <c r="H6831" s="6" t="s">
        <v>43780</v>
      </c>
      <c r="K6831" s="5" t="s">
        <v>43774</v>
      </c>
      <c r="M6831" s="5" t="s">
        <v>43781</v>
      </c>
      <c r="N6831" s="7" t="s">
        <v>43782</v>
      </c>
      <c r="O6831" s="8" t="str">
        <f>HYPERLINK("https://drive.google.com/file/d/1m_B5oSi1JIxPJgTWthsRUb8CE4ITlMVC/view?usp=drivesdk","6830_TRI SUPATMI _ SERTIFIKAT BerAKHLAK")</f>
        <v>6830_TRI SUPATMI _ SERTIFIKAT BerAKHLAK</v>
      </c>
      <c r="P6831" s="5" t="s">
        <v>43777</v>
      </c>
    </row>
    <row r="6832">
      <c r="A6832" s="4">
        <v>45534.37396582176</v>
      </c>
      <c r="B6832" s="5" t="s">
        <v>34</v>
      </c>
      <c r="D6832" s="5" t="s">
        <v>10444</v>
      </c>
      <c r="E6832" s="5" t="s">
        <v>43783</v>
      </c>
      <c r="F6832" s="5" t="s">
        <v>120</v>
      </c>
      <c r="G6832" s="5" t="s">
        <v>43784</v>
      </c>
      <c r="H6832" s="6" t="s">
        <v>43785</v>
      </c>
      <c r="K6832" s="5" t="s">
        <v>43774</v>
      </c>
      <c r="M6832" s="5" t="s">
        <v>43786</v>
      </c>
      <c r="N6832" s="7" t="s">
        <v>43787</v>
      </c>
      <c r="O6832" s="8" t="str">
        <f>HYPERLINK("https://drive.google.com/file/d/1-Wu00aDSsB13anqrz3hUngWJ9azjQWVx/view?usp=drivesdk","6831_DR FUJIANTO _ SERTIFIKAT BerAKHLAK")</f>
        <v>6831_DR FUJIANTO _ SERTIFIKAT BerAKHLAK</v>
      </c>
      <c r="P6832" s="5" t="s">
        <v>43777</v>
      </c>
    </row>
    <row r="6833">
      <c r="A6833" s="4">
        <v>45534.37397059028</v>
      </c>
      <c r="B6833" s="5" t="s">
        <v>34</v>
      </c>
      <c r="D6833" s="5" t="s">
        <v>6232</v>
      </c>
      <c r="E6833" s="5" t="s">
        <v>43788</v>
      </c>
      <c r="F6833" s="5" t="s">
        <v>524</v>
      </c>
      <c r="G6833" s="5" t="s">
        <v>43789</v>
      </c>
      <c r="H6833" s="6" t="s">
        <v>43790</v>
      </c>
      <c r="K6833" s="5" t="s">
        <v>43774</v>
      </c>
      <c r="M6833" s="5" t="s">
        <v>43791</v>
      </c>
      <c r="N6833" s="7" t="s">
        <v>43792</v>
      </c>
      <c r="O6833" s="8" t="str">
        <f>HYPERLINK("https://drive.google.com/file/d/1MeFcd7Vvvj-SASbF8whzJomyc-nnCy01/view?usp=drivesdk","6832_AGUS RUSDI _ SERTIFIKAT BerAKHLAK")</f>
        <v>6832_AGUS RUSDI _ SERTIFIKAT BerAKHLAK</v>
      </c>
      <c r="P6833" s="5" t="s">
        <v>43793</v>
      </c>
    </row>
    <row r="6834">
      <c r="A6834" s="4">
        <v>45534.37399420139</v>
      </c>
      <c r="B6834" s="5" t="s">
        <v>34</v>
      </c>
      <c r="D6834" s="5" t="s">
        <v>580</v>
      </c>
      <c r="E6834" s="5" t="s">
        <v>43794</v>
      </c>
      <c r="F6834" s="5" t="s">
        <v>120</v>
      </c>
      <c r="G6834" s="5" t="s">
        <v>43795</v>
      </c>
      <c r="H6834" s="6" t="s">
        <v>43796</v>
      </c>
      <c r="K6834" s="5" t="s">
        <v>43797</v>
      </c>
      <c r="M6834" s="5" t="s">
        <v>43798</v>
      </c>
      <c r="N6834" s="7" t="s">
        <v>43799</v>
      </c>
      <c r="O6834" s="8" t="str">
        <f>HYPERLINK("https://drive.google.com/file/d/1OSLdhQ9wEo6gkDN2NTXvHi8ISgrpMNal/view?usp=drivesdk","6833_dr NI MADE GITA INDRA YANTHI  _ SERTIFIKAT BerAKHLAK")</f>
        <v>6833_dr NI MADE GITA INDRA YANTHI  _ SERTIFIKAT BerAKHLAK</v>
      </c>
      <c r="P6834" s="5" t="s">
        <v>43793</v>
      </c>
    </row>
    <row r="6835">
      <c r="A6835" s="4">
        <v>45534.374001979166</v>
      </c>
      <c r="B6835" s="5" t="s">
        <v>34</v>
      </c>
      <c r="D6835" s="5" t="s">
        <v>1558</v>
      </c>
      <c r="E6835" s="5" t="s">
        <v>43800</v>
      </c>
      <c r="F6835" s="5" t="s">
        <v>212</v>
      </c>
      <c r="G6835" s="5" t="s">
        <v>43801</v>
      </c>
      <c r="H6835" s="6" t="s">
        <v>43802</v>
      </c>
      <c r="K6835" s="5" t="s">
        <v>43797</v>
      </c>
      <c r="M6835" s="5" t="s">
        <v>43803</v>
      </c>
      <c r="N6835" s="7" t="s">
        <v>43804</v>
      </c>
      <c r="O6835" s="8" t="str">
        <f>HYPERLINK("https://drive.google.com/file/d/1wHoZnmhB_ECzsSEfv464zXXzD0Kmw_Li/view?usp=drivesdk","6834_ELSELINNA _ SERTIFIKAT BerAKHLAK")</f>
        <v>6834_ELSELINNA _ SERTIFIKAT BerAKHLAK</v>
      </c>
      <c r="P6835" s="5" t="s">
        <v>43793</v>
      </c>
    </row>
    <row r="6836">
      <c r="A6836" s="4">
        <v>45534.37400930555</v>
      </c>
      <c r="B6836" s="5" t="s">
        <v>34</v>
      </c>
      <c r="D6836" s="5" t="s">
        <v>9020</v>
      </c>
      <c r="E6836" s="5" t="s">
        <v>43805</v>
      </c>
      <c r="F6836" s="5" t="s">
        <v>524</v>
      </c>
      <c r="G6836" s="5" t="s">
        <v>43806</v>
      </c>
      <c r="H6836" s="6" t="s">
        <v>43807</v>
      </c>
      <c r="K6836" s="5" t="s">
        <v>43797</v>
      </c>
      <c r="M6836" s="5" t="s">
        <v>43808</v>
      </c>
      <c r="N6836" s="7" t="s">
        <v>43809</v>
      </c>
      <c r="O6836" s="8" t="str">
        <f>HYPERLINK("https://drive.google.com/file/d/14eo7XvvAR0BJHBSWqefUiJ9P4iYISs6v/view?usp=drivesdk","6835_RINA TAMBA, A. Md _ SERTIFIKAT BerAKHLAK")</f>
        <v>6835_RINA TAMBA, A. Md _ SERTIFIKAT BerAKHLAK</v>
      </c>
      <c r="P6836" s="5" t="s">
        <v>43793</v>
      </c>
    </row>
    <row r="6837">
      <c r="A6837" s="4">
        <v>45534.37401329861</v>
      </c>
      <c r="B6837" s="5" t="s">
        <v>34</v>
      </c>
      <c r="D6837" s="5" t="s">
        <v>280</v>
      </c>
      <c r="E6837" s="5" t="s">
        <v>43810</v>
      </c>
      <c r="F6837" s="5" t="s">
        <v>212</v>
      </c>
      <c r="G6837" s="5" t="s">
        <v>43811</v>
      </c>
      <c r="H6837" s="6" t="s">
        <v>43812</v>
      </c>
      <c r="K6837" s="5" t="s">
        <v>43797</v>
      </c>
      <c r="M6837" s="5" t="s">
        <v>43813</v>
      </c>
      <c r="N6837" s="7" t="s">
        <v>43814</v>
      </c>
      <c r="O6837" s="8" t="str">
        <f>HYPERLINK("https://drive.google.com/file/d/1r3RHjXJKg77rmowQbRI3OjWXvUZWaFdg/view?usp=drivesdk","6836_JAMJURI _ SERTIFIKAT BerAKHLAK")</f>
        <v>6836_JAMJURI _ SERTIFIKAT BerAKHLAK</v>
      </c>
      <c r="P6837" s="5" t="s">
        <v>43815</v>
      </c>
    </row>
    <row r="6838">
      <c r="A6838" s="4">
        <v>45534.374015671296</v>
      </c>
      <c r="B6838" s="5" t="s">
        <v>34</v>
      </c>
      <c r="D6838" s="5" t="s">
        <v>9394</v>
      </c>
      <c r="E6838" s="5" t="s">
        <v>43816</v>
      </c>
      <c r="F6838" s="5" t="s">
        <v>524</v>
      </c>
      <c r="G6838" s="5" t="s">
        <v>43817</v>
      </c>
      <c r="H6838" s="6" t="s">
        <v>43818</v>
      </c>
      <c r="K6838" s="5" t="s">
        <v>43797</v>
      </c>
      <c r="M6838" s="5" t="s">
        <v>43819</v>
      </c>
      <c r="N6838" s="7" t="s">
        <v>43820</v>
      </c>
      <c r="O6838" s="8" t="str">
        <f>HYPERLINK("https://drive.google.com/file/d/1rChQ16ndsq2czDV2MUB9fCsPIRlK5-nO/view?usp=drivesdk","6837_ETIKA, SE _ SERTIFIKAT BerAKHLAK")</f>
        <v>6837_ETIKA, SE _ SERTIFIKAT BerAKHLAK</v>
      </c>
      <c r="P6838" s="5" t="s">
        <v>43815</v>
      </c>
    </row>
    <row r="6839">
      <c r="A6839" s="4">
        <v>45534.374037256945</v>
      </c>
      <c r="B6839" s="5" t="s">
        <v>34</v>
      </c>
      <c r="D6839" s="5" t="s">
        <v>7858</v>
      </c>
      <c r="E6839" s="5" t="s">
        <v>43821</v>
      </c>
      <c r="F6839" s="5" t="s">
        <v>37</v>
      </c>
      <c r="G6839" s="5" t="s">
        <v>43822</v>
      </c>
      <c r="H6839" s="6" t="s">
        <v>43823</v>
      </c>
      <c r="K6839" s="5" t="s">
        <v>43824</v>
      </c>
      <c r="M6839" s="5" t="s">
        <v>43825</v>
      </c>
      <c r="N6839" s="7" t="s">
        <v>43826</v>
      </c>
      <c r="O6839" s="8" t="str">
        <f>HYPERLINK("https://drive.google.com/file/d/1Suqc2pNRd89xdSizSOABiyQO2SQ4QSEQ/view?usp=drivesdk","6838_M FITRI _ SERTIFIKAT BerAKHLAK")</f>
        <v>6838_M FITRI _ SERTIFIKAT BerAKHLAK</v>
      </c>
      <c r="P6839" s="5" t="s">
        <v>43815</v>
      </c>
    </row>
    <row r="6840">
      <c r="A6840" s="4">
        <v>45534.37404530092</v>
      </c>
      <c r="B6840" s="5" t="s">
        <v>34</v>
      </c>
      <c r="D6840" s="5" t="s">
        <v>1206</v>
      </c>
      <c r="E6840" s="5" t="s">
        <v>43827</v>
      </c>
      <c r="F6840" s="5" t="s">
        <v>199</v>
      </c>
      <c r="G6840" s="5" t="s">
        <v>43828</v>
      </c>
      <c r="H6840" s="6" t="s">
        <v>43829</v>
      </c>
      <c r="K6840" s="5" t="s">
        <v>43824</v>
      </c>
      <c r="M6840" s="5" t="s">
        <v>43830</v>
      </c>
      <c r="N6840" s="7" t="s">
        <v>43831</v>
      </c>
      <c r="O6840" s="8" t="str">
        <f>HYPERLINK("https://drive.google.com/file/d/1spyCg6nPb8rVuw5LGyVsEuB7TXs1ahk2/view?usp=drivesdk","6839_AGUS BUDIARTO _ SERTIFIKAT BerAKHLAK")</f>
        <v>6839_AGUS BUDIARTO _ SERTIFIKAT BerAKHLAK</v>
      </c>
      <c r="P6840" s="5" t="s">
        <v>43815</v>
      </c>
    </row>
    <row r="6841">
      <c r="A6841" s="4">
        <v>45534.37404865741</v>
      </c>
      <c r="B6841" s="5" t="s">
        <v>34</v>
      </c>
      <c r="D6841" s="5" t="s">
        <v>1206</v>
      </c>
      <c r="E6841" s="5" t="s">
        <v>43832</v>
      </c>
      <c r="F6841" s="5" t="s">
        <v>37</v>
      </c>
      <c r="G6841" s="5" t="s">
        <v>43833</v>
      </c>
      <c r="H6841" s="6" t="s">
        <v>43834</v>
      </c>
      <c r="K6841" s="5" t="s">
        <v>43824</v>
      </c>
      <c r="M6841" s="5" t="s">
        <v>43835</v>
      </c>
      <c r="N6841" s="7" t="s">
        <v>43836</v>
      </c>
      <c r="O6841" s="8" t="str">
        <f>HYPERLINK("https://drive.google.com/file/d/1ypJgmvU0Saq8co1O8izjkH5D3l6XJthS/view?usp=drivesdk","6840_YULIANINGSIH _ SERTIFIKAT BerAKHLAK")</f>
        <v>6840_YULIANINGSIH _ SERTIFIKAT BerAKHLAK</v>
      </c>
      <c r="P6841" s="5" t="s">
        <v>43815</v>
      </c>
    </row>
    <row r="6842">
      <c r="A6842" s="4">
        <v>45534.37406173611</v>
      </c>
      <c r="B6842" s="5" t="s">
        <v>34</v>
      </c>
      <c r="D6842" s="5" t="s">
        <v>1558</v>
      </c>
      <c r="E6842" s="5" t="s">
        <v>43837</v>
      </c>
      <c r="F6842" s="5" t="s">
        <v>212</v>
      </c>
      <c r="G6842" s="5" t="s">
        <v>43838</v>
      </c>
      <c r="H6842" s="6" t="s">
        <v>43839</v>
      </c>
      <c r="K6842" s="5" t="s">
        <v>43824</v>
      </c>
      <c r="M6842" s="5" t="s">
        <v>43840</v>
      </c>
      <c r="N6842" s="7" t="s">
        <v>43841</v>
      </c>
      <c r="O6842" s="8" t="str">
        <f>HYPERLINK("https://drive.google.com/file/d/1Ns8P3A4CzHBS73LN-71AvMMq834tTehf/view?usp=drivesdk","6841_YATI OKTANTI _ SERTIFIKAT BerAKHLAK")</f>
        <v>6841_YATI OKTANTI _ SERTIFIKAT BerAKHLAK</v>
      </c>
      <c r="P6842" s="5" t="s">
        <v>43842</v>
      </c>
    </row>
    <row r="6843">
      <c r="A6843" s="4">
        <v>45534.37408528935</v>
      </c>
      <c r="B6843" s="5" t="s">
        <v>34</v>
      </c>
      <c r="D6843" s="5" t="s">
        <v>1206</v>
      </c>
      <c r="E6843" s="5" t="s">
        <v>43843</v>
      </c>
      <c r="F6843" s="5" t="s">
        <v>212</v>
      </c>
      <c r="G6843" s="5" t="s">
        <v>43844</v>
      </c>
      <c r="H6843" s="6" t="s">
        <v>43845</v>
      </c>
      <c r="K6843" s="5" t="s">
        <v>43846</v>
      </c>
      <c r="M6843" s="5" t="s">
        <v>43847</v>
      </c>
      <c r="N6843" s="7" t="s">
        <v>43848</v>
      </c>
      <c r="O6843" s="8" t="str">
        <f>HYPERLINK("https://drive.google.com/file/d/1vzBE-aJVaTJKQvJ6MhOCw5NtQTy9k8_X/view?usp=drivesdk","6842_AIZIN LAILA ILWI  _ SERTIFIKAT BerAKHLAK")</f>
        <v>6842_AIZIN LAILA ILWI  _ SERTIFIKAT BerAKHLAK</v>
      </c>
      <c r="P6843" s="5" t="s">
        <v>43842</v>
      </c>
    </row>
    <row r="6844">
      <c r="A6844" s="4">
        <v>45534.374082581024</v>
      </c>
      <c r="B6844" s="5" t="s">
        <v>34</v>
      </c>
      <c r="D6844" s="5" t="s">
        <v>35</v>
      </c>
      <c r="E6844" s="5" t="s">
        <v>43849</v>
      </c>
      <c r="F6844" s="5" t="s">
        <v>37</v>
      </c>
      <c r="G6844" s="5" t="s">
        <v>43850</v>
      </c>
      <c r="H6844" s="6" t="s">
        <v>43851</v>
      </c>
      <c r="K6844" s="5" t="s">
        <v>43846</v>
      </c>
      <c r="M6844" s="5" t="s">
        <v>43852</v>
      </c>
      <c r="N6844" s="7" t="s">
        <v>43853</v>
      </c>
      <c r="O6844" s="8" t="str">
        <f>HYPERLINK("https://drive.google.com/file/d/1rmmgs9rXBlOtu1OW6A3tM63zDftFidTQ/view?usp=drivesdk","6843_JAJA PERMANA _ SERTIFIKAT BerAKHLAK")</f>
        <v>6843_JAJA PERMANA _ SERTIFIKAT BerAKHLAK</v>
      </c>
      <c r="P6844" s="5" t="s">
        <v>43842</v>
      </c>
    </row>
    <row r="6845" hidden="1">
      <c r="A6845" s="4">
        <v>45534.37410730324</v>
      </c>
      <c r="B6845" s="5" t="s">
        <v>19</v>
      </c>
      <c r="C6845" s="5" t="s">
        <v>5058</v>
      </c>
      <c r="E6845" s="5" t="s">
        <v>43854</v>
      </c>
      <c r="F6845" s="5" t="s">
        <v>37</v>
      </c>
      <c r="G6845" s="5" t="s">
        <v>43855</v>
      </c>
      <c r="H6845" s="6" t="s">
        <v>43856</v>
      </c>
      <c r="K6845" s="5" t="s">
        <v>43846</v>
      </c>
      <c r="M6845" s="5" t="s">
        <v>43857</v>
      </c>
      <c r="N6845" s="7" t="s">
        <v>43858</v>
      </c>
      <c r="O6845" s="8" t="str">
        <f>HYPERLINK("https://drive.google.com/file/d/1uUaYjA4ttlVhVW1yn6xGT3J3QuzsXLlS/view?usp=drivesdk","6844_SUKRON MA'MUN _ SERTIFIKAT BerAKHLAK")</f>
        <v>6844_SUKRON MA'MUN _ SERTIFIKAT BerAKHLAK</v>
      </c>
      <c r="P6845" s="5" t="s">
        <v>43842</v>
      </c>
    </row>
    <row r="6846">
      <c r="A6846" s="4">
        <v>45534.37413030093</v>
      </c>
      <c r="B6846" s="5" t="s">
        <v>34</v>
      </c>
      <c r="D6846" s="5" t="s">
        <v>10444</v>
      </c>
      <c r="E6846" s="5" t="s">
        <v>43859</v>
      </c>
      <c r="F6846" s="5" t="s">
        <v>37</v>
      </c>
      <c r="G6846" s="5" t="s">
        <v>43860</v>
      </c>
      <c r="H6846" s="6" t="s">
        <v>43861</v>
      </c>
      <c r="K6846" s="5" t="s">
        <v>43862</v>
      </c>
      <c r="M6846" s="5" t="s">
        <v>43863</v>
      </c>
      <c r="N6846" s="7" t="s">
        <v>43864</v>
      </c>
      <c r="O6846" s="8" t="str">
        <f>HYPERLINK("https://drive.google.com/file/d/13KUc5HLY9OgKvs13vC59Dme-ICQ7HuI0/view?usp=drivesdk","6845_ARIE CHANDRA, A.MD.KEP _ SERTIFIKAT BerAKHLAK")</f>
        <v>6845_ARIE CHANDRA, A.MD.KEP _ SERTIFIKAT BerAKHLAK</v>
      </c>
      <c r="P6846" s="5" t="s">
        <v>43865</v>
      </c>
    </row>
    <row r="6847">
      <c r="A6847" s="4">
        <v>45534.37415265046</v>
      </c>
      <c r="B6847" s="5" t="s">
        <v>34</v>
      </c>
      <c r="D6847" s="5" t="s">
        <v>2903</v>
      </c>
      <c r="E6847" s="5" t="s">
        <v>16702</v>
      </c>
      <c r="F6847" s="5" t="s">
        <v>524</v>
      </c>
      <c r="G6847" s="5" t="s">
        <v>43866</v>
      </c>
      <c r="H6847" s="6" t="s">
        <v>43867</v>
      </c>
      <c r="K6847" s="5" t="s">
        <v>43868</v>
      </c>
      <c r="M6847" s="5" t="s">
        <v>43869</v>
      </c>
      <c r="N6847" s="7" t="s">
        <v>43870</v>
      </c>
      <c r="O6847" s="8" t="str">
        <f>HYPERLINK("https://drive.google.com/file/d/1SXLgBh4ZZBbZbBWWXBVH0QUn_lfQbMKS/view?usp=drivesdk","6846_SUYANTI  _ SERTIFIKAT BerAKHLAK")</f>
        <v>6846_SUYANTI  _ SERTIFIKAT BerAKHLAK</v>
      </c>
      <c r="P6847" s="5" t="s">
        <v>43865</v>
      </c>
    </row>
    <row r="6848">
      <c r="A6848" s="4">
        <v>45534.37415956019</v>
      </c>
      <c r="B6848" s="5" t="s">
        <v>34</v>
      </c>
      <c r="D6848" s="5" t="s">
        <v>9020</v>
      </c>
      <c r="E6848" s="5" t="s">
        <v>43871</v>
      </c>
      <c r="F6848" s="5" t="s">
        <v>37</v>
      </c>
      <c r="G6848" s="5" t="s">
        <v>43872</v>
      </c>
      <c r="H6848" s="6" t="s">
        <v>43873</v>
      </c>
      <c r="K6848" s="5" t="s">
        <v>43868</v>
      </c>
      <c r="M6848" s="5" t="s">
        <v>43874</v>
      </c>
      <c r="N6848" s="7" t="s">
        <v>43875</v>
      </c>
      <c r="O6848" s="8" t="str">
        <f>HYPERLINK("https://drive.google.com/file/d/1xbtgtGtqO8o_bdKYWaIPjUlRP9FCV5wd/view?usp=drivesdk","6847_PARIYONO _ SERTIFIKAT BerAKHLAK")</f>
        <v>6847_PARIYONO _ SERTIFIKAT BerAKHLAK</v>
      </c>
      <c r="P6848" s="5" t="s">
        <v>43865</v>
      </c>
    </row>
    <row r="6849">
      <c r="A6849" s="4">
        <v>45534.37418690972</v>
      </c>
      <c r="B6849" s="5" t="s">
        <v>34</v>
      </c>
      <c r="D6849" s="5" t="s">
        <v>2903</v>
      </c>
      <c r="E6849" s="5" t="s">
        <v>43876</v>
      </c>
      <c r="F6849" s="5" t="s">
        <v>375</v>
      </c>
      <c r="G6849" s="5" t="s">
        <v>43877</v>
      </c>
      <c r="H6849" s="6" t="s">
        <v>43878</v>
      </c>
      <c r="K6849" s="5" t="s">
        <v>43879</v>
      </c>
      <c r="M6849" s="5" t="s">
        <v>43880</v>
      </c>
      <c r="N6849" s="7" t="s">
        <v>43881</v>
      </c>
      <c r="O6849" s="8" t="str">
        <f>HYPERLINK("https://drive.google.com/file/d/1b39-CYZub4XpYVKDn6UNu6VAWZaEK-QY/view?usp=drivesdk","6848_YOGA ARIANI MEILINA _ SERTIFIKAT BerAKHLAK")</f>
        <v>6848_YOGA ARIANI MEILINA _ SERTIFIKAT BerAKHLAK</v>
      </c>
      <c r="P6849" s="5" t="s">
        <v>43865</v>
      </c>
    </row>
    <row r="6850">
      <c r="A6850" s="4">
        <v>45534.374186608795</v>
      </c>
      <c r="B6850" s="5" t="s">
        <v>34</v>
      </c>
      <c r="D6850" s="5" t="s">
        <v>9020</v>
      </c>
      <c r="E6850" s="5" t="s">
        <v>43882</v>
      </c>
      <c r="F6850" s="5" t="s">
        <v>375</v>
      </c>
      <c r="G6850" s="5" t="s">
        <v>43883</v>
      </c>
      <c r="H6850" s="6" t="s">
        <v>43884</v>
      </c>
      <c r="K6850" s="5" t="s">
        <v>43885</v>
      </c>
      <c r="M6850" s="5" t="s">
        <v>43886</v>
      </c>
      <c r="N6850" s="7" t="s">
        <v>43887</v>
      </c>
      <c r="O6850" s="8" t="str">
        <f>HYPERLINK("https://drive.google.com/file/d/1lxaR6H6p-PVA4E5R3lWAHLNr2NN7585a/view?usp=drivesdk","6849_BONARIA DAMANIK,S.Kep _ SERTIFIKAT BerAKHLAK")</f>
        <v>6849_BONARIA DAMANIK,S.Kep _ SERTIFIKAT BerAKHLAK</v>
      </c>
      <c r="P6850" s="5" t="s">
        <v>43865</v>
      </c>
    </row>
    <row r="6851">
      <c r="A6851" s="4">
        <v>45534.374193298616</v>
      </c>
      <c r="B6851" s="5" t="s">
        <v>34</v>
      </c>
      <c r="D6851" s="5" t="s">
        <v>9020</v>
      </c>
      <c r="E6851" s="5" t="s">
        <v>43888</v>
      </c>
      <c r="F6851" s="5" t="s">
        <v>524</v>
      </c>
      <c r="G6851" s="5" t="s">
        <v>43889</v>
      </c>
      <c r="H6851" s="6" t="s">
        <v>43890</v>
      </c>
      <c r="K6851" s="5" t="s">
        <v>43885</v>
      </c>
      <c r="M6851" s="5" t="s">
        <v>43891</v>
      </c>
      <c r="N6851" s="7" t="s">
        <v>43892</v>
      </c>
      <c r="O6851" s="8" t="str">
        <f>HYPERLINK("https://drive.google.com/file/d/1uvOas0moXHcBcdEnZC8dK1x7bjXN0j5P/view?usp=drivesdk","6850_SRI WATI S.H _ SERTIFIKAT BerAKHLAK")</f>
        <v>6850_SRI WATI S.H _ SERTIFIKAT BerAKHLAK</v>
      </c>
      <c r="P6851" s="5" t="s">
        <v>43893</v>
      </c>
    </row>
    <row r="6852" hidden="1">
      <c r="A6852" s="4">
        <v>45534.37419737269</v>
      </c>
      <c r="B6852" s="5" t="s">
        <v>19</v>
      </c>
      <c r="C6852" s="5" t="s">
        <v>292</v>
      </c>
      <c r="E6852" s="5" t="s">
        <v>43894</v>
      </c>
      <c r="F6852" s="5" t="s">
        <v>72</v>
      </c>
      <c r="G6852" s="5" t="s">
        <v>43895</v>
      </c>
      <c r="H6852" s="6" t="s">
        <v>43896</v>
      </c>
      <c r="K6852" s="5" t="s">
        <v>43885</v>
      </c>
      <c r="M6852" s="5" t="s">
        <v>43897</v>
      </c>
      <c r="N6852" s="7" t="s">
        <v>43898</v>
      </c>
      <c r="O6852" s="8" t="str">
        <f>HYPERLINK("https://drive.google.com/file/d/1Dxa0yOymILrzCRVzN8JrXrUVmK4QnQv0/view?usp=drivesdk","6851_TUTIK INDRIATI _ SERTIFIKAT BerAKHLAK")</f>
        <v>6851_TUTIK INDRIATI _ SERTIFIKAT BerAKHLAK</v>
      </c>
      <c r="P6852" s="5" t="s">
        <v>43893</v>
      </c>
    </row>
    <row r="6853" hidden="1">
      <c r="A6853" s="4">
        <v>45534.37423858796</v>
      </c>
      <c r="B6853" s="5" t="s">
        <v>19</v>
      </c>
      <c r="C6853" s="5" t="s">
        <v>292</v>
      </c>
      <c r="E6853" s="5" t="s">
        <v>43899</v>
      </c>
      <c r="F6853" s="5" t="s">
        <v>37</v>
      </c>
      <c r="G6853" s="5" t="s">
        <v>43900</v>
      </c>
      <c r="H6853" s="6" t="s">
        <v>43901</v>
      </c>
      <c r="K6853" s="5" t="s">
        <v>43902</v>
      </c>
      <c r="M6853" s="5" t="s">
        <v>43903</v>
      </c>
      <c r="N6853" s="7" t="s">
        <v>43904</v>
      </c>
      <c r="O6853" s="8" t="str">
        <f>HYPERLINK("https://drive.google.com/file/d/1fb5f8sY0YnjyOReE7vEoMnmCEyW7jH_-/view?usp=drivesdk","6852_URIP SUGIARTO _ SERTIFIKAT BerAKHLAK")</f>
        <v>6852_URIP SUGIARTO _ SERTIFIKAT BerAKHLAK</v>
      </c>
      <c r="P6853" s="5" t="s">
        <v>43893</v>
      </c>
    </row>
    <row r="6854" hidden="1">
      <c r="A6854" s="4">
        <v>45534.374247685184</v>
      </c>
      <c r="B6854" s="5" t="s">
        <v>19</v>
      </c>
      <c r="C6854" s="5" t="s">
        <v>40230</v>
      </c>
      <c r="E6854" s="5" t="s">
        <v>43905</v>
      </c>
      <c r="F6854" s="5" t="s">
        <v>375</v>
      </c>
      <c r="G6854" s="5" t="s">
        <v>43906</v>
      </c>
      <c r="H6854" s="6" t="s">
        <v>43907</v>
      </c>
      <c r="K6854" s="5" t="s">
        <v>43902</v>
      </c>
      <c r="M6854" s="5" t="s">
        <v>43908</v>
      </c>
      <c r="N6854" s="7" t="s">
        <v>43909</v>
      </c>
      <c r="O6854" s="8" t="str">
        <f>HYPERLINK("https://drive.google.com/file/d/1LPdy36qi_Mmsg52d-5i_tft_CC8ojZJj/view?usp=drivesdk","6853_Sufiah El Adawea, S.Pd. _ SERTIFIKAT BerAKHLAK")</f>
        <v>6853_Sufiah El Adawea, S.Pd. _ SERTIFIKAT BerAKHLAK</v>
      </c>
      <c r="P6854" s="5" t="s">
        <v>43910</v>
      </c>
    </row>
    <row r="6855">
      <c r="A6855" s="4">
        <v>45534.37425418981</v>
      </c>
      <c r="B6855" s="5" t="s">
        <v>34</v>
      </c>
      <c r="D6855" s="5" t="s">
        <v>1206</v>
      </c>
      <c r="E6855" s="5" t="s">
        <v>43911</v>
      </c>
      <c r="F6855" s="5" t="s">
        <v>37</v>
      </c>
      <c r="G6855" s="5" t="s">
        <v>43912</v>
      </c>
      <c r="H6855" s="6" t="s">
        <v>43913</v>
      </c>
      <c r="K6855" s="5" t="s">
        <v>43902</v>
      </c>
      <c r="M6855" s="5" t="s">
        <v>43914</v>
      </c>
      <c r="N6855" s="7" t="s">
        <v>43915</v>
      </c>
      <c r="O6855" s="8" t="str">
        <f>HYPERLINK("https://drive.google.com/file/d/1It5-5TkmkiL_XSd_WgaqU65KYBgU_CDK/view?usp=drivesdk","6854_GENDUT SANTOSO _ SERTIFIKAT BerAKHLAK")</f>
        <v>6854_GENDUT SANTOSO _ SERTIFIKAT BerAKHLAK</v>
      </c>
      <c r="P6855" s="5" t="s">
        <v>43910</v>
      </c>
    </row>
    <row r="6856" hidden="1">
      <c r="A6856" s="4">
        <v>45534.37425710648</v>
      </c>
      <c r="B6856" s="5" t="s">
        <v>19</v>
      </c>
      <c r="C6856" s="5" t="s">
        <v>26187</v>
      </c>
      <c r="E6856" s="5" t="s">
        <v>36540</v>
      </c>
      <c r="F6856" s="5" t="s">
        <v>37</v>
      </c>
      <c r="G6856" s="5" t="s">
        <v>43916</v>
      </c>
      <c r="H6856" s="6" t="s">
        <v>43917</v>
      </c>
      <c r="K6856" s="5" t="s">
        <v>43902</v>
      </c>
      <c r="M6856" s="5" t="s">
        <v>43918</v>
      </c>
      <c r="N6856" s="7" t="s">
        <v>43919</v>
      </c>
      <c r="O6856" s="8" t="str">
        <f>HYPERLINK("https://drive.google.com/file/d/14eL3aNkzCcUqlkIeT8VWAvuHqdPHnLgF/view?usp=drivesdk","6855_SUPRIYANTO _ SERTIFIKAT BerAKHLAK")</f>
        <v>6855_SUPRIYANTO _ SERTIFIKAT BerAKHLAK</v>
      </c>
      <c r="P6856" s="5" t="s">
        <v>43910</v>
      </c>
    </row>
    <row r="6857">
      <c r="A6857" s="4">
        <v>45534.374259131946</v>
      </c>
      <c r="B6857" s="5" t="s">
        <v>34</v>
      </c>
      <c r="D6857" s="5" t="s">
        <v>1206</v>
      </c>
      <c r="E6857" s="5" t="s">
        <v>43920</v>
      </c>
      <c r="F6857" s="5" t="s">
        <v>212</v>
      </c>
      <c r="G6857" s="5" t="s">
        <v>43921</v>
      </c>
      <c r="H6857" s="6" t="s">
        <v>43922</v>
      </c>
      <c r="K6857" s="5" t="s">
        <v>43902</v>
      </c>
      <c r="M6857" s="5" t="s">
        <v>43923</v>
      </c>
      <c r="N6857" s="7" t="s">
        <v>43924</v>
      </c>
      <c r="O6857" s="8" t="str">
        <f>HYPERLINK("https://drive.google.com/file/d/17ifpaxRpkwLKhX8_6vOEcoDbFDiNJ5gU/view?usp=drivesdk","6856_IMAM MARDI SANTOSO  _ SERTIFIKAT BerAKHLAK")</f>
        <v>6856_IMAM MARDI SANTOSO  _ SERTIFIKAT BerAKHLAK</v>
      </c>
      <c r="P6857" s="5" t="s">
        <v>43910</v>
      </c>
    </row>
    <row r="6858">
      <c r="A6858" s="4">
        <v>45534.37427219907</v>
      </c>
      <c r="B6858" s="5" t="s">
        <v>34</v>
      </c>
      <c r="D6858" s="5" t="s">
        <v>1206</v>
      </c>
      <c r="E6858" s="5" t="s">
        <v>43925</v>
      </c>
      <c r="F6858" s="5" t="s">
        <v>212</v>
      </c>
      <c r="G6858" s="5" t="s">
        <v>43926</v>
      </c>
      <c r="H6858" s="6" t="s">
        <v>43927</v>
      </c>
      <c r="K6858" s="5" t="s">
        <v>43928</v>
      </c>
      <c r="M6858" s="5" t="s">
        <v>43929</v>
      </c>
      <c r="N6858" s="7" t="s">
        <v>43930</v>
      </c>
      <c r="O6858" s="8" t="str">
        <f>HYPERLINK("https://drive.google.com/file/d/12jrmvTcp68Z4WMToKX8bkJovMt6n_xTg/view?usp=drivesdk","6857_ARI MURNINGTYAS  _ SERTIFIKAT BerAKHLAK")</f>
        <v>6857_ARI MURNINGTYAS  _ SERTIFIKAT BerAKHLAK</v>
      </c>
      <c r="P6858" s="5" t="s">
        <v>43931</v>
      </c>
    </row>
    <row r="6859">
      <c r="A6859" s="4">
        <v>45534.37427539352</v>
      </c>
      <c r="B6859" s="5" t="s">
        <v>34</v>
      </c>
      <c r="D6859" s="5" t="s">
        <v>1692</v>
      </c>
      <c r="E6859" s="5" t="s">
        <v>43932</v>
      </c>
      <c r="F6859" s="5" t="s">
        <v>72</v>
      </c>
      <c r="G6859" s="5" t="s">
        <v>43933</v>
      </c>
      <c r="H6859" s="6" t="s">
        <v>43934</v>
      </c>
      <c r="K6859" s="5" t="s">
        <v>43928</v>
      </c>
      <c r="M6859" s="5" t="s">
        <v>43935</v>
      </c>
      <c r="N6859" s="7" t="s">
        <v>43936</v>
      </c>
      <c r="O6859" s="8" t="str">
        <f>HYPERLINK("https://drive.google.com/file/d/1eiSusy5EEsWWOZoyG6gPM5OOL-ekRg-M/view?usp=drivesdk","6858_RIZAL TANDILAYUK, S.Th _ SERTIFIKAT BerAKHLAK")</f>
        <v>6858_RIZAL TANDILAYUK, S.Th _ SERTIFIKAT BerAKHLAK</v>
      </c>
      <c r="P6859" s="5" t="s">
        <v>43931</v>
      </c>
    </row>
    <row r="6860">
      <c r="A6860" s="4">
        <v>45534.37427746528</v>
      </c>
      <c r="B6860" s="5" t="s">
        <v>34</v>
      </c>
      <c r="D6860" s="5" t="s">
        <v>522</v>
      </c>
      <c r="E6860" s="5" t="s">
        <v>43937</v>
      </c>
      <c r="F6860" s="5" t="s">
        <v>212</v>
      </c>
      <c r="G6860" s="5" t="s">
        <v>43938</v>
      </c>
      <c r="H6860" s="6" t="s">
        <v>43939</v>
      </c>
      <c r="K6860" s="5" t="s">
        <v>43928</v>
      </c>
      <c r="M6860" s="5" t="s">
        <v>43940</v>
      </c>
      <c r="N6860" s="7" t="s">
        <v>43941</v>
      </c>
      <c r="O6860" s="8" t="str">
        <f>HYPERLINK("https://drive.google.com/file/d/1FuTapVsGk79M2Mo5gWHbQD_icDhSpZsU/view?usp=drivesdk","6859_TANWIR HAMZAH _ SERTIFIKAT BerAKHLAK")</f>
        <v>6859_TANWIR HAMZAH _ SERTIFIKAT BerAKHLAK</v>
      </c>
      <c r="P6860" s="5" t="s">
        <v>43931</v>
      </c>
    </row>
    <row r="6861">
      <c r="A6861" s="4">
        <v>45534.374284537036</v>
      </c>
      <c r="B6861" s="5" t="s">
        <v>34</v>
      </c>
      <c r="D6861" s="5" t="s">
        <v>12978</v>
      </c>
      <c r="E6861" s="5" t="s">
        <v>43942</v>
      </c>
      <c r="F6861" s="5" t="s">
        <v>212</v>
      </c>
      <c r="G6861" s="5" t="s">
        <v>43943</v>
      </c>
      <c r="H6861" s="6" t="s">
        <v>43944</v>
      </c>
      <c r="K6861" s="5" t="s">
        <v>43928</v>
      </c>
      <c r="M6861" s="5" t="s">
        <v>43945</v>
      </c>
      <c r="N6861" s="7" t="s">
        <v>43946</v>
      </c>
      <c r="O6861" s="8" t="str">
        <f>HYPERLINK("https://drive.google.com/file/d/1JcQnc9Tr4W0BAW-RmFH-M9bBgE8H3JI2/view?usp=drivesdk","6860_OTELIATI _ SERTIFIKAT BerAKHLAK")</f>
        <v>6860_OTELIATI _ SERTIFIKAT BerAKHLAK</v>
      </c>
      <c r="P6861" s="5" t="s">
        <v>43931</v>
      </c>
    </row>
    <row r="6862">
      <c r="A6862" s="4">
        <v>45534.37431787037</v>
      </c>
      <c r="B6862" s="5" t="s">
        <v>34</v>
      </c>
      <c r="D6862" s="5" t="s">
        <v>9020</v>
      </c>
      <c r="E6862" s="5" t="s">
        <v>43947</v>
      </c>
      <c r="F6862" s="5" t="s">
        <v>212</v>
      </c>
      <c r="G6862" s="5" t="s">
        <v>43948</v>
      </c>
      <c r="H6862" s="6" t="s">
        <v>43949</v>
      </c>
      <c r="K6862" s="5" t="s">
        <v>43950</v>
      </c>
      <c r="M6862" s="5" t="s">
        <v>43951</v>
      </c>
      <c r="N6862" s="7" t="s">
        <v>43952</v>
      </c>
      <c r="O6862" s="8" t="str">
        <f>HYPERLINK("https://drive.google.com/file/d/13UhAHDcjKQp_aai1k_1a5PmgPxkED-R1/view?usp=drivesdk","6861_GEMBIRA BR GINTING _ SERTIFIKAT BerAKHLAK")</f>
        <v>6861_GEMBIRA BR GINTING _ SERTIFIKAT BerAKHLAK</v>
      </c>
      <c r="P6862" s="5" t="s">
        <v>43953</v>
      </c>
    </row>
    <row r="6863">
      <c r="A6863" s="4">
        <v>45534.37432824074</v>
      </c>
      <c r="B6863" s="5" t="s">
        <v>34</v>
      </c>
      <c r="D6863" s="5" t="s">
        <v>6232</v>
      </c>
      <c r="E6863" s="5" t="s">
        <v>43954</v>
      </c>
      <c r="F6863" s="5" t="s">
        <v>37</v>
      </c>
      <c r="G6863" s="5" t="s">
        <v>43955</v>
      </c>
      <c r="H6863" s="6" t="s">
        <v>43956</v>
      </c>
      <c r="K6863" s="5" t="s">
        <v>43957</v>
      </c>
      <c r="M6863" s="5" t="s">
        <v>43958</v>
      </c>
      <c r="N6863" s="7" t="s">
        <v>43959</v>
      </c>
      <c r="O6863" s="8" t="str">
        <f>HYPERLINK("https://drive.google.com/file/d/1aa9oaHLREjLP5i0E2a8xGu53ecyCrycb/view?usp=drivesdk","6862_DEWI ARNI, Am.Kep _ SERTIFIKAT BerAKHLAK")</f>
        <v>6862_DEWI ARNI, Am.Kep _ SERTIFIKAT BerAKHLAK</v>
      </c>
      <c r="P6863" s="5" t="s">
        <v>43953</v>
      </c>
    </row>
    <row r="6864">
      <c r="A6864" s="4">
        <v>45534.374342372685</v>
      </c>
      <c r="B6864" s="5" t="s">
        <v>34</v>
      </c>
      <c r="D6864" s="5" t="s">
        <v>701</v>
      </c>
      <c r="E6864" s="5" t="s">
        <v>43960</v>
      </c>
      <c r="F6864" s="5" t="s">
        <v>524</v>
      </c>
      <c r="G6864" s="5" t="s">
        <v>43961</v>
      </c>
      <c r="H6864" s="6" t="s">
        <v>43962</v>
      </c>
      <c r="K6864" s="5" t="s">
        <v>43957</v>
      </c>
      <c r="M6864" s="5" t="s">
        <v>43963</v>
      </c>
      <c r="N6864" s="7" t="s">
        <v>43964</v>
      </c>
      <c r="O6864" s="8" t="str">
        <f>HYPERLINK("https://drive.google.com/file/d/1IJu2XUfAGTnaAFgcz7LKmhI5XZqPjNuI/view?usp=drivesdk","6863_AGUSMETI, S.E. _ SERTIFIKAT BerAKHLAK")</f>
        <v>6863_AGUSMETI, S.E. _ SERTIFIKAT BerAKHLAK</v>
      </c>
      <c r="P6864" s="5" t="s">
        <v>43953</v>
      </c>
    </row>
    <row r="6865">
      <c r="A6865" s="4">
        <v>45534.37435236111</v>
      </c>
      <c r="B6865" s="5" t="s">
        <v>34</v>
      </c>
      <c r="D6865" s="5" t="s">
        <v>1558</v>
      </c>
      <c r="E6865" s="5" t="s">
        <v>43965</v>
      </c>
      <c r="F6865" s="5" t="s">
        <v>37</v>
      </c>
      <c r="G6865" s="5" t="s">
        <v>43966</v>
      </c>
      <c r="H6865" s="6" t="s">
        <v>43967</v>
      </c>
      <c r="K6865" s="5" t="s">
        <v>43968</v>
      </c>
      <c r="M6865" s="5" t="s">
        <v>43969</v>
      </c>
      <c r="N6865" s="7" t="s">
        <v>43970</v>
      </c>
      <c r="O6865" s="8" t="str">
        <f>HYPERLINK("https://drive.google.com/file/d/1tWApyJVvsEOoNjaE5-dfRWvgQK2Ny-E3/view?usp=drivesdk","6864_MOHAMAD MULYADI _ SERTIFIKAT BerAKHLAK")</f>
        <v>6864_MOHAMAD MULYADI _ SERTIFIKAT BerAKHLAK</v>
      </c>
      <c r="P6865" s="5" t="s">
        <v>43953</v>
      </c>
    </row>
    <row r="6866">
      <c r="A6866" s="4">
        <v>45534.37435559028</v>
      </c>
      <c r="B6866" s="5" t="s">
        <v>34</v>
      </c>
      <c r="D6866" s="5" t="s">
        <v>1206</v>
      </c>
      <c r="E6866" s="5" t="s">
        <v>43971</v>
      </c>
      <c r="F6866" s="5" t="s">
        <v>37</v>
      </c>
      <c r="G6866" s="5" t="s">
        <v>43972</v>
      </c>
      <c r="H6866" s="6" t="s">
        <v>43973</v>
      </c>
      <c r="K6866" s="5" t="s">
        <v>43968</v>
      </c>
      <c r="M6866" s="5" t="s">
        <v>43974</v>
      </c>
      <c r="N6866" s="7" t="s">
        <v>43975</v>
      </c>
      <c r="O6866" s="8" t="str">
        <f>HYPERLINK("https://drive.google.com/file/d/1lRckifYeJiNbbJ-1icZT1_PBfTpfretc/view?usp=drivesdk","6865_CHOIRUL HUDA _ SERTIFIKAT BerAKHLAK")</f>
        <v>6865_CHOIRUL HUDA _ SERTIFIKAT BerAKHLAK</v>
      </c>
      <c r="P6866" s="5" t="s">
        <v>43976</v>
      </c>
    </row>
    <row r="6867" hidden="1">
      <c r="A6867" s="4">
        <v>45534.374369467594</v>
      </c>
      <c r="B6867" s="5" t="s">
        <v>19</v>
      </c>
      <c r="C6867" s="5" t="s">
        <v>3301</v>
      </c>
      <c r="E6867" s="5" t="s">
        <v>43977</v>
      </c>
      <c r="F6867" s="5" t="s">
        <v>108</v>
      </c>
      <c r="G6867" s="5" t="s">
        <v>43978</v>
      </c>
      <c r="H6867" s="6" t="s">
        <v>43979</v>
      </c>
      <c r="K6867" s="5" t="s">
        <v>43968</v>
      </c>
      <c r="M6867" s="5" t="s">
        <v>43980</v>
      </c>
      <c r="N6867" s="7" t="s">
        <v>43981</v>
      </c>
      <c r="O6867" s="8" t="str">
        <f>HYPERLINK("https://drive.google.com/file/d/1qVsUAFlkwDLV1oTu_4_Laxkf2xIwbRVE/view?usp=drivesdk","6866_dr. ANDRIYANTI KUSUMADEWI _ SERTIFIKAT BerAKHLAK")</f>
        <v>6866_dr. ANDRIYANTI KUSUMADEWI _ SERTIFIKAT BerAKHLAK</v>
      </c>
      <c r="P6867" s="5" t="s">
        <v>43976</v>
      </c>
    </row>
    <row r="6868">
      <c r="A6868" s="4">
        <v>45534.3743953588</v>
      </c>
      <c r="B6868" s="5" t="s">
        <v>34</v>
      </c>
      <c r="D6868" s="5" t="s">
        <v>1206</v>
      </c>
      <c r="E6868" s="5" t="s">
        <v>43982</v>
      </c>
      <c r="F6868" s="5" t="s">
        <v>212</v>
      </c>
      <c r="G6868" s="5" t="s">
        <v>43983</v>
      </c>
      <c r="H6868" s="6" t="s">
        <v>43984</v>
      </c>
      <c r="K6868" s="5" t="s">
        <v>43985</v>
      </c>
      <c r="M6868" s="5" t="s">
        <v>43986</v>
      </c>
      <c r="N6868" s="7" t="s">
        <v>43987</v>
      </c>
      <c r="O6868" s="8" t="str">
        <f>HYPERLINK("https://drive.google.com/file/d/1Rc_nPvd017-ZfEsB1f4Db6JaNm-DWCP3/view?usp=drivesdk","6867_SITI SOLIKATUN HANIK,S.Pd _ SERTIFIKAT BerAKHLAK")</f>
        <v>6867_SITI SOLIKATUN HANIK,S.Pd _ SERTIFIKAT BerAKHLAK</v>
      </c>
      <c r="P6868" s="5" t="s">
        <v>43976</v>
      </c>
    </row>
    <row r="6869">
      <c r="A6869" s="4">
        <v>45534.37439546296</v>
      </c>
      <c r="B6869" s="5" t="s">
        <v>34</v>
      </c>
      <c r="D6869" s="5" t="s">
        <v>1206</v>
      </c>
      <c r="E6869" s="5" t="s">
        <v>43988</v>
      </c>
      <c r="F6869" s="5" t="s">
        <v>212</v>
      </c>
      <c r="G6869" s="5" t="s">
        <v>43989</v>
      </c>
      <c r="H6869" s="6" t="s">
        <v>43990</v>
      </c>
      <c r="K6869" s="5" t="s">
        <v>43985</v>
      </c>
      <c r="M6869" s="5" t="s">
        <v>43991</v>
      </c>
      <c r="N6869" s="7" t="s">
        <v>43992</v>
      </c>
      <c r="O6869" s="8" t="str">
        <f>HYPERLINK("https://drive.google.com/file/d/14HYgwFP9DC-j-81O21sBZ-sTjejxSwuC/view?usp=drivesdk","6868_BUDI EKO SAPUTRO _ SERTIFIKAT BerAKHLAK")</f>
        <v>6868_BUDI EKO SAPUTRO _ SERTIFIKAT BerAKHLAK</v>
      </c>
      <c r="P6869" s="5" t="s">
        <v>43976</v>
      </c>
    </row>
    <row r="6870">
      <c r="A6870" s="4">
        <v>45534.37440155093</v>
      </c>
      <c r="B6870" s="5" t="s">
        <v>34</v>
      </c>
      <c r="D6870" s="5" t="s">
        <v>2903</v>
      </c>
      <c r="E6870" s="5" t="s">
        <v>43993</v>
      </c>
      <c r="F6870" s="5" t="s">
        <v>72</v>
      </c>
      <c r="G6870" s="5" t="s">
        <v>43994</v>
      </c>
      <c r="H6870" s="6" t="s">
        <v>43995</v>
      </c>
      <c r="K6870" s="5" t="s">
        <v>43985</v>
      </c>
      <c r="M6870" s="5" t="s">
        <v>43996</v>
      </c>
      <c r="N6870" s="7" t="s">
        <v>43997</v>
      </c>
      <c r="O6870" s="8" t="str">
        <f>HYPERLINK("https://drive.google.com/file/d/12z2btrqQj409PyWciUBMyqGijRHQsVsF/view?usp=drivesdk","6869_Mildasari Amd.AK _ SERTIFIKAT BerAKHLAK")</f>
        <v>6869_Mildasari Amd.AK _ SERTIFIKAT BerAKHLAK</v>
      </c>
      <c r="P6870" s="5" t="s">
        <v>43998</v>
      </c>
    </row>
    <row r="6871">
      <c r="A6871" s="4">
        <v>45534.37441858796</v>
      </c>
      <c r="B6871" s="5" t="s">
        <v>34</v>
      </c>
      <c r="D6871" s="5" t="s">
        <v>35</v>
      </c>
      <c r="E6871" s="5" t="s">
        <v>43999</v>
      </c>
      <c r="F6871" s="5" t="s">
        <v>108</v>
      </c>
      <c r="G6871" s="5" t="s">
        <v>44000</v>
      </c>
      <c r="H6871" s="6" t="s">
        <v>44001</v>
      </c>
      <c r="K6871" s="5" t="s">
        <v>44002</v>
      </c>
      <c r="M6871" s="5" t="s">
        <v>44003</v>
      </c>
      <c r="N6871" s="7" t="s">
        <v>44004</v>
      </c>
      <c r="O6871" s="8" t="str">
        <f>HYPERLINK("https://drive.google.com/file/d/1vnbHI1SfHRIUVlm_5eRdpgcLEE4iqvvc/view?usp=drivesdk","6870_DAIS RISNAWATI, S.T. _ SERTIFIKAT BerAKHLAK")</f>
        <v>6870_DAIS RISNAWATI, S.T. _ SERTIFIKAT BerAKHLAK</v>
      </c>
      <c r="P6871" s="5" t="s">
        <v>44005</v>
      </c>
    </row>
    <row r="6872">
      <c r="A6872" s="4">
        <v>45534.37442425926</v>
      </c>
      <c r="B6872" s="5" t="s">
        <v>34</v>
      </c>
      <c r="D6872" s="5" t="s">
        <v>9020</v>
      </c>
      <c r="E6872" s="5" t="s">
        <v>44006</v>
      </c>
      <c r="F6872" s="5" t="s">
        <v>375</v>
      </c>
      <c r="G6872" s="5" t="s">
        <v>44007</v>
      </c>
      <c r="H6872" s="6" t="s">
        <v>44008</v>
      </c>
      <c r="K6872" s="5" t="s">
        <v>44002</v>
      </c>
      <c r="M6872" s="5" t="s">
        <v>44009</v>
      </c>
      <c r="N6872" s="7" t="s">
        <v>44010</v>
      </c>
      <c r="O6872" s="8" t="str">
        <f>HYPERLINK("https://drive.google.com/file/d/1e0osGVZP1vTQdRHq47m1PYMgNh7SBNmy/view?usp=drivesdk","6871_FLORA ELPRITA HUTABARAT, S.E. _ SERTIFIKAT BerAKHLAK")</f>
        <v>6871_FLORA ELPRITA HUTABARAT, S.E. _ SERTIFIKAT BerAKHLAK</v>
      </c>
      <c r="P6872" s="5" t="s">
        <v>43998</v>
      </c>
    </row>
    <row r="6873">
      <c r="A6873" s="4">
        <v>45534.37444994213</v>
      </c>
      <c r="B6873" s="5" t="s">
        <v>34</v>
      </c>
      <c r="D6873" s="5" t="s">
        <v>15401</v>
      </c>
      <c r="E6873" s="5" t="s">
        <v>44011</v>
      </c>
      <c r="F6873" s="5" t="s">
        <v>212</v>
      </c>
      <c r="G6873" s="5" t="s">
        <v>44012</v>
      </c>
      <c r="H6873" s="6" t="s">
        <v>44013</v>
      </c>
      <c r="K6873" s="5" t="s">
        <v>44002</v>
      </c>
      <c r="M6873" s="5" t="s">
        <v>44014</v>
      </c>
      <c r="N6873" s="7" t="s">
        <v>44015</v>
      </c>
      <c r="O6873" s="8" t="str">
        <f>HYPERLINK("https://drive.google.com/file/d/1fwuAs9TgkKEaxKCzFEuzKNgO28SWIU4B/view?usp=drivesdk","6872_FATIH KHALIDAZIA _ SERTIFIKAT BerAKHLAK")</f>
        <v>6872_FATIH KHALIDAZIA _ SERTIFIKAT BerAKHLAK</v>
      </c>
      <c r="P6873" s="5" t="s">
        <v>43998</v>
      </c>
    </row>
    <row r="6874">
      <c r="A6874" s="4">
        <v>45534.374455439814</v>
      </c>
      <c r="B6874" s="5" t="s">
        <v>34</v>
      </c>
      <c r="D6874" s="5" t="s">
        <v>701</v>
      </c>
      <c r="E6874" s="5" t="s">
        <v>44016</v>
      </c>
      <c r="F6874" s="5" t="s">
        <v>199</v>
      </c>
      <c r="G6874" s="5" t="s">
        <v>44017</v>
      </c>
      <c r="H6874" s="6" t="s">
        <v>44018</v>
      </c>
      <c r="K6874" s="5" t="s">
        <v>44019</v>
      </c>
      <c r="M6874" s="5" t="s">
        <v>44020</v>
      </c>
      <c r="N6874" s="7" t="s">
        <v>44021</v>
      </c>
      <c r="O6874" s="8" t="str">
        <f>HYPERLINK("https://drive.google.com/file/d/1TPR4huWJQ1PlTPp8cKBxSyQGPtSuE5U-/view?usp=drivesdk","6873_GUSRIKO  _ SERTIFIKAT BerAKHLAK")</f>
        <v>6873_GUSRIKO  _ SERTIFIKAT BerAKHLAK</v>
      </c>
      <c r="P6874" s="5" t="s">
        <v>43998</v>
      </c>
    </row>
    <row r="6875">
      <c r="A6875" s="4">
        <v>45534.37446298611</v>
      </c>
      <c r="B6875" s="5" t="s">
        <v>34</v>
      </c>
      <c r="D6875" s="5" t="s">
        <v>7858</v>
      </c>
      <c r="E6875" s="5" t="s">
        <v>44022</v>
      </c>
      <c r="F6875" s="5" t="s">
        <v>212</v>
      </c>
      <c r="G6875" s="5" t="s">
        <v>44023</v>
      </c>
      <c r="H6875" s="6" t="s">
        <v>44024</v>
      </c>
      <c r="K6875" s="5" t="s">
        <v>44019</v>
      </c>
      <c r="M6875" s="5" t="s">
        <v>44025</v>
      </c>
      <c r="N6875" s="7" t="s">
        <v>44026</v>
      </c>
      <c r="O6875" s="8" t="str">
        <f>HYPERLINK("https://drive.google.com/file/d/1Vy-YLwKPW0kFO176cKhc18VzRf7vyTLu/view?usp=drivesdk","6874_TATIINDRAWATI _ SERTIFIKAT BerAKHLAK")</f>
        <v>6874_TATIINDRAWATI _ SERTIFIKAT BerAKHLAK</v>
      </c>
      <c r="P6875" s="5" t="s">
        <v>44027</v>
      </c>
    </row>
    <row r="6876">
      <c r="A6876" s="4">
        <v>45534.37447313657</v>
      </c>
      <c r="B6876" s="5" t="s">
        <v>34</v>
      </c>
      <c r="D6876" s="5" t="s">
        <v>2903</v>
      </c>
      <c r="E6876" s="5" t="s">
        <v>44028</v>
      </c>
      <c r="F6876" s="5" t="s">
        <v>375</v>
      </c>
      <c r="G6876" s="5" t="s">
        <v>44029</v>
      </c>
      <c r="H6876" s="6" t="s">
        <v>44030</v>
      </c>
      <c r="K6876" s="5" t="s">
        <v>44019</v>
      </c>
      <c r="M6876" s="5" t="s">
        <v>44031</v>
      </c>
      <c r="N6876" s="7" t="s">
        <v>44032</v>
      </c>
      <c r="O6876" s="8" t="str">
        <f>HYPERLINK("https://drive.google.com/file/d/1oNArFhFbaJudKTNWzt9BtCpRvDPGsnrO/view?usp=drivesdk","6875_DULI ASNARDI SE _ SERTIFIKAT BerAKHLAK")</f>
        <v>6875_DULI ASNARDI SE _ SERTIFIKAT BerAKHLAK</v>
      </c>
      <c r="P6876" s="5" t="s">
        <v>44027</v>
      </c>
    </row>
    <row r="6877">
      <c r="A6877" s="4">
        <v>45534.37448304398</v>
      </c>
      <c r="B6877" s="5" t="s">
        <v>34</v>
      </c>
      <c r="D6877" s="5" t="s">
        <v>1206</v>
      </c>
      <c r="E6877" s="5" t="s">
        <v>44033</v>
      </c>
      <c r="F6877" s="5" t="s">
        <v>212</v>
      </c>
      <c r="G6877" s="5" t="s">
        <v>44034</v>
      </c>
      <c r="H6877" s="6" t="s">
        <v>44035</v>
      </c>
      <c r="K6877" s="5" t="s">
        <v>44036</v>
      </c>
      <c r="M6877" s="5" t="s">
        <v>44037</v>
      </c>
      <c r="N6877" s="7" t="s">
        <v>44038</v>
      </c>
      <c r="O6877" s="8" t="str">
        <f>HYPERLINK("https://drive.google.com/file/d/1bPfFPcJQACoLPKkbQ4M3TnLnWle9g4fA/view?usp=drivesdk","6876_DWI KARJANI,SE _ SERTIFIKAT BerAKHLAK")</f>
        <v>6876_DWI KARJANI,SE _ SERTIFIKAT BerAKHLAK</v>
      </c>
      <c r="P6877" s="5" t="s">
        <v>44027</v>
      </c>
    </row>
    <row r="6878">
      <c r="A6878" s="4">
        <v>45534.37449434028</v>
      </c>
      <c r="B6878" s="5" t="s">
        <v>34</v>
      </c>
      <c r="D6878" s="5" t="s">
        <v>701</v>
      </c>
      <c r="E6878" s="5" t="s">
        <v>44039</v>
      </c>
      <c r="F6878" s="5" t="s">
        <v>212</v>
      </c>
      <c r="G6878" s="5" t="s">
        <v>44040</v>
      </c>
      <c r="H6878" s="6" t="s">
        <v>44041</v>
      </c>
      <c r="K6878" s="5" t="s">
        <v>44042</v>
      </c>
      <c r="M6878" s="5" t="s">
        <v>44043</v>
      </c>
      <c r="N6878" s="7" t="s">
        <v>44044</v>
      </c>
      <c r="O6878" s="8" t="str">
        <f>HYPERLINK("https://drive.google.com/file/d/174u2R1pu_Eej4JID_IV4NvAzFw5rYCZG/view?usp=drivesdk","6877_EKA ADE PUTRA _ SERTIFIKAT BerAKHLAK")</f>
        <v>6877_EKA ADE PUTRA _ SERTIFIKAT BerAKHLAK</v>
      </c>
      <c r="P6878" s="5" t="s">
        <v>44027</v>
      </c>
    </row>
    <row r="6879">
      <c r="A6879" s="4">
        <v>45534.37449699074</v>
      </c>
      <c r="B6879" s="5" t="s">
        <v>34</v>
      </c>
      <c r="D6879" s="5" t="s">
        <v>267</v>
      </c>
      <c r="E6879" s="5" t="s">
        <v>44045</v>
      </c>
      <c r="F6879" s="5" t="s">
        <v>212</v>
      </c>
      <c r="G6879" s="5" t="s">
        <v>44046</v>
      </c>
      <c r="H6879" s="6" t="s">
        <v>44047</v>
      </c>
      <c r="K6879" s="5" t="s">
        <v>44042</v>
      </c>
      <c r="M6879" s="5" t="s">
        <v>44048</v>
      </c>
      <c r="N6879" s="7" t="s">
        <v>44049</v>
      </c>
      <c r="O6879" s="8" t="str">
        <f>HYPERLINK("https://drive.google.com/file/d/1Ev6ITbk39aXYf3av--kCa__cBQ7knE0f/view?usp=drivesdk","6878_ERMAWATI _ SERTIFIKAT BerAKHLAK")</f>
        <v>6878_ERMAWATI _ SERTIFIKAT BerAKHLAK</v>
      </c>
      <c r="P6879" s="5" t="s">
        <v>44050</v>
      </c>
    </row>
    <row r="6880">
      <c r="A6880" s="4">
        <v>45534.37452385417</v>
      </c>
      <c r="B6880" s="5" t="s">
        <v>34</v>
      </c>
      <c r="D6880" s="5" t="s">
        <v>9020</v>
      </c>
      <c r="E6880" s="5" t="s">
        <v>44051</v>
      </c>
      <c r="F6880" s="5" t="s">
        <v>212</v>
      </c>
      <c r="G6880" s="5" t="s">
        <v>44052</v>
      </c>
      <c r="H6880" s="6" t="s">
        <v>44053</v>
      </c>
      <c r="K6880" s="5" t="s">
        <v>44054</v>
      </c>
      <c r="M6880" s="5" t="s">
        <v>44055</v>
      </c>
      <c r="N6880" s="7" t="s">
        <v>44056</v>
      </c>
      <c r="O6880" s="8" t="str">
        <f>HYPERLINK("https://drive.google.com/file/d/1XZig4h3cYQk4mMf3AZqAYj40K6gtju40/view?usp=drivesdk","6879_Evi Maria Magdalena Tambunan, A.Md _ SERTIFIKAT BerAKHLAK")</f>
        <v>6879_Evi Maria Magdalena Tambunan, A.Md _ SERTIFIKAT BerAKHLAK</v>
      </c>
      <c r="P6880" s="5" t="s">
        <v>44050</v>
      </c>
    </row>
    <row r="6881">
      <c r="A6881" s="4">
        <v>45534.37455471065</v>
      </c>
      <c r="B6881" s="5" t="s">
        <v>34</v>
      </c>
      <c r="D6881" s="5" t="s">
        <v>12978</v>
      </c>
      <c r="E6881" s="5" t="s">
        <v>41623</v>
      </c>
      <c r="F6881" s="5" t="s">
        <v>37</v>
      </c>
      <c r="G6881" s="5" t="s">
        <v>44057</v>
      </c>
      <c r="H6881" s="6" t="s">
        <v>44058</v>
      </c>
      <c r="K6881" s="5" t="s">
        <v>44054</v>
      </c>
      <c r="M6881" s="5" t="s">
        <v>44059</v>
      </c>
      <c r="N6881" s="7" t="s">
        <v>44060</v>
      </c>
      <c r="O6881" s="8" t="str">
        <f>HYPERLINK("https://drive.google.com/file/d/12l9nNe8VN6ji1tslEjc4ujzAdioDzAUj/view?usp=drivesdk","6880_KRISTANTO  _ SERTIFIKAT BerAKHLAK")</f>
        <v>6880_KRISTANTO  _ SERTIFIKAT BerAKHLAK</v>
      </c>
      <c r="P6881" s="5" t="s">
        <v>44050</v>
      </c>
    </row>
    <row r="6882">
      <c r="A6882" s="4">
        <v>45534.37455487269</v>
      </c>
      <c r="B6882" s="5" t="s">
        <v>34</v>
      </c>
      <c r="D6882" s="5" t="s">
        <v>1558</v>
      </c>
      <c r="E6882" s="5" t="s">
        <v>44061</v>
      </c>
      <c r="F6882" s="5" t="s">
        <v>72</v>
      </c>
      <c r="G6882" s="5" t="s">
        <v>44062</v>
      </c>
      <c r="H6882" s="6" t="s">
        <v>44063</v>
      </c>
      <c r="K6882" s="5" t="s">
        <v>44054</v>
      </c>
      <c r="M6882" s="5" t="s">
        <v>44064</v>
      </c>
      <c r="N6882" s="7" t="s">
        <v>44065</v>
      </c>
      <c r="O6882" s="8" t="str">
        <f>HYPERLINK("https://drive.google.com/file/d/1NKV4MyfBtu_034b35paaFLQ-qzFhz56r/view?usp=drivesdk","6881_MIDIYAWATI _ SERTIFIKAT BerAKHLAK")</f>
        <v>6881_MIDIYAWATI _ SERTIFIKAT BerAKHLAK</v>
      </c>
      <c r="P6882" s="5" t="s">
        <v>44050</v>
      </c>
    </row>
    <row r="6883">
      <c r="A6883" s="4">
        <v>45534.374576030095</v>
      </c>
      <c r="B6883" s="5" t="s">
        <v>34</v>
      </c>
      <c r="D6883" s="5" t="s">
        <v>9020</v>
      </c>
      <c r="E6883" s="5" t="s">
        <v>44066</v>
      </c>
      <c r="F6883" s="5" t="s">
        <v>212</v>
      </c>
      <c r="G6883" s="5" t="s">
        <v>44067</v>
      </c>
      <c r="H6883" s="6" t="s">
        <v>44068</v>
      </c>
      <c r="K6883" s="5" t="s">
        <v>44069</v>
      </c>
      <c r="M6883" s="5" t="s">
        <v>44070</v>
      </c>
      <c r="N6883" s="7" t="s">
        <v>44071</v>
      </c>
      <c r="O6883" s="8" t="str">
        <f>HYPERLINK("https://drive.google.com/file/d/1WibVzbdbaNNONzKgo7n6RlT-U1DUPax8/view?usp=drivesdk","6882_FITRI WAHYUNI  _ SERTIFIKAT BerAKHLAK")</f>
        <v>6882_FITRI WAHYUNI  _ SERTIFIKAT BerAKHLAK</v>
      </c>
      <c r="P6883" s="5" t="s">
        <v>44072</v>
      </c>
    </row>
    <row r="6884">
      <c r="A6884" s="4">
        <v>45534.37458819445</v>
      </c>
      <c r="B6884" s="5" t="s">
        <v>34</v>
      </c>
      <c r="D6884" s="5" t="s">
        <v>267</v>
      </c>
      <c r="E6884" s="5" t="s">
        <v>44073</v>
      </c>
      <c r="F6884" s="5" t="s">
        <v>108</v>
      </c>
      <c r="G6884" s="5" t="s">
        <v>44074</v>
      </c>
      <c r="H6884" s="6" t="s">
        <v>44075</v>
      </c>
      <c r="K6884" s="5" t="s">
        <v>44069</v>
      </c>
      <c r="M6884" s="5" t="s">
        <v>44076</v>
      </c>
      <c r="N6884" s="7" t="s">
        <v>44077</v>
      </c>
      <c r="O6884" s="8" t="str">
        <f>HYPERLINK("https://drive.google.com/file/d/1lVbblXTrgt5FYUAXRp7wMn0DmlOnZSrD/view?usp=drivesdk","6883_M.MISHBAKHUL ATQIYA,S.Kom _ SERTIFIKAT BerAKHLAK")</f>
        <v>6883_M.MISHBAKHUL ATQIYA,S.Kom _ SERTIFIKAT BerAKHLAK</v>
      </c>
      <c r="P6884" s="5" t="s">
        <v>44072</v>
      </c>
    </row>
    <row r="6885">
      <c r="A6885" s="4">
        <v>45534.37459224537</v>
      </c>
      <c r="B6885" s="5" t="s">
        <v>34</v>
      </c>
      <c r="D6885" s="5" t="s">
        <v>35</v>
      </c>
      <c r="E6885" s="5" t="s">
        <v>44078</v>
      </c>
      <c r="F6885" s="5" t="s">
        <v>120</v>
      </c>
      <c r="G6885" s="5" t="s">
        <v>44079</v>
      </c>
      <c r="H6885" s="6" t="s">
        <v>44080</v>
      </c>
      <c r="K6885" s="5" t="s">
        <v>44069</v>
      </c>
      <c r="M6885" s="5" t="s">
        <v>44081</v>
      </c>
      <c r="N6885" s="7" t="s">
        <v>44082</v>
      </c>
      <c r="O6885" s="8" t="str">
        <f>HYPERLINK("https://drive.google.com/file/d/1Wie4pb1BLnpeGwzYz6VFIoXvGjIYLlDi/view?usp=drivesdk","6884_NENNI TRUANA SH _ SERTIFIKAT BerAKHLAK")</f>
        <v>6884_NENNI TRUANA SH _ SERTIFIKAT BerAKHLAK</v>
      </c>
      <c r="P6885" s="5" t="s">
        <v>44072</v>
      </c>
    </row>
    <row r="6886">
      <c r="A6886" s="4">
        <v>45534.3745974537</v>
      </c>
      <c r="B6886" s="5" t="s">
        <v>34</v>
      </c>
      <c r="D6886" s="5" t="s">
        <v>1206</v>
      </c>
      <c r="E6886" s="5" t="s">
        <v>44083</v>
      </c>
      <c r="F6886" s="5" t="s">
        <v>328</v>
      </c>
      <c r="G6886" s="5" t="s">
        <v>44084</v>
      </c>
      <c r="H6886" s="6" t="s">
        <v>44085</v>
      </c>
      <c r="K6886" s="5" t="s">
        <v>44069</v>
      </c>
      <c r="M6886" s="5" t="s">
        <v>44086</v>
      </c>
      <c r="N6886" s="7" t="s">
        <v>44087</v>
      </c>
      <c r="O6886" s="8" t="str">
        <f>HYPERLINK("https://drive.google.com/file/d/1uP9NF9ShzfVXmHxvMuLTkJ654AzEZSBW/view?usp=drivesdk","6885_HAMAM ASNAWI  _ SERTIFIKAT BerAKHLAK")</f>
        <v>6885_HAMAM ASNAWI  _ SERTIFIKAT BerAKHLAK</v>
      </c>
      <c r="P6886" s="5" t="s">
        <v>44072</v>
      </c>
    </row>
    <row r="6887">
      <c r="A6887" s="4">
        <v>45534.37460658565</v>
      </c>
      <c r="B6887" s="5" t="s">
        <v>34</v>
      </c>
      <c r="D6887" s="5" t="s">
        <v>15401</v>
      </c>
      <c r="E6887" s="5" t="s">
        <v>44088</v>
      </c>
      <c r="F6887" s="5" t="s">
        <v>37</v>
      </c>
      <c r="G6887" s="5" t="s">
        <v>44089</v>
      </c>
      <c r="H6887" s="6" t="s">
        <v>44090</v>
      </c>
      <c r="K6887" s="5" t="s">
        <v>44069</v>
      </c>
      <c r="M6887" s="5" t="s">
        <v>44091</v>
      </c>
      <c r="N6887" s="7" t="s">
        <v>44092</v>
      </c>
      <c r="O6887" s="8" t="str">
        <f>HYPERLINK("https://drive.google.com/file/d/18P0ACX0QZeplpV14bAS3qrC54RG5d5kL/view?usp=drivesdk","6886_RISNAWATI L KULA _ SERTIFIKAT BerAKHLAK")</f>
        <v>6886_RISNAWATI L KULA _ SERTIFIKAT BerAKHLAK</v>
      </c>
      <c r="P6887" s="5" t="s">
        <v>44005</v>
      </c>
    </row>
    <row r="6888">
      <c r="A6888" s="4">
        <v>45534.37461344908</v>
      </c>
      <c r="B6888" s="5" t="s">
        <v>34</v>
      </c>
      <c r="D6888" s="5" t="s">
        <v>2903</v>
      </c>
      <c r="E6888" s="5" t="s">
        <v>44093</v>
      </c>
      <c r="F6888" s="5" t="s">
        <v>524</v>
      </c>
      <c r="G6888" s="5" t="s">
        <v>44094</v>
      </c>
      <c r="H6888" s="6" t="s">
        <v>44095</v>
      </c>
      <c r="K6888" s="5" t="s">
        <v>44096</v>
      </c>
      <c r="M6888" s="5" t="s">
        <v>44097</v>
      </c>
      <c r="N6888" s="7" t="s">
        <v>44098</v>
      </c>
      <c r="O6888" s="8" t="str">
        <f>HYPERLINK("https://drive.google.com/file/d/1g2i5Zgir-AKOknGNuIiJ-YSGFvmtiTPc/view?usp=drivesdk","6887_RENI MARLINA,A.Md,Farm _ SERTIFIKAT BerAKHLAK")</f>
        <v>6887_RENI MARLINA,A.Md,Farm _ SERTIFIKAT BerAKHLAK</v>
      </c>
      <c r="P6888" s="5" t="s">
        <v>44005</v>
      </c>
    </row>
    <row r="6889">
      <c r="A6889" s="4">
        <v>45534.374619421294</v>
      </c>
      <c r="B6889" s="5" t="s">
        <v>34</v>
      </c>
      <c r="D6889" s="5" t="s">
        <v>701</v>
      </c>
      <c r="E6889" s="5" t="s">
        <v>44099</v>
      </c>
      <c r="F6889" s="5" t="s">
        <v>524</v>
      </c>
      <c r="G6889" s="5" t="s">
        <v>44100</v>
      </c>
      <c r="H6889" s="6" t="s">
        <v>44101</v>
      </c>
      <c r="K6889" s="5" t="s">
        <v>44096</v>
      </c>
      <c r="M6889" s="5" t="s">
        <v>44102</v>
      </c>
      <c r="N6889" s="7" t="s">
        <v>44103</v>
      </c>
      <c r="O6889" s="8" t="str">
        <f>HYPERLINK("https://drive.google.com/file/d/10BDlnOpq_EMGNkingQq0T0GMW1PX-bME/view?usp=drivesdk","6888_SARI PRIYANTI.AMD.KEB.SKM _ SERTIFIKAT BerAKHLAK")</f>
        <v>6888_SARI PRIYANTI.AMD.KEB.SKM _ SERTIFIKAT BerAKHLAK</v>
      </c>
      <c r="P6889" s="5" t="s">
        <v>44005</v>
      </c>
    </row>
    <row r="6890">
      <c r="A6890" s="4">
        <v>45534.3746249074</v>
      </c>
      <c r="B6890" s="5" t="s">
        <v>34</v>
      </c>
      <c r="D6890" s="5" t="s">
        <v>14313</v>
      </c>
      <c r="E6890" s="5" t="s">
        <v>44104</v>
      </c>
      <c r="F6890" s="5" t="s">
        <v>72</v>
      </c>
      <c r="G6890" s="5" t="s">
        <v>44105</v>
      </c>
      <c r="H6890" s="6" t="s">
        <v>44106</v>
      </c>
      <c r="K6890" s="5" t="s">
        <v>44096</v>
      </c>
      <c r="M6890" s="5" t="s">
        <v>44107</v>
      </c>
      <c r="N6890" s="7" t="s">
        <v>44108</v>
      </c>
      <c r="O6890" s="8" t="str">
        <f>HYPERLINK("https://drive.google.com/file/d/11jZYokdRJJuO5pBac9deAjef28S-OERb/view?usp=drivesdk","6889_Hj Andi Bungawati  _ SERTIFIKAT BerAKHLAK")</f>
        <v>6889_Hj Andi Bungawati  _ SERTIFIKAT BerAKHLAK</v>
      </c>
      <c r="P6890" s="5" t="s">
        <v>44005</v>
      </c>
    </row>
    <row r="6891">
      <c r="A6891" s="4">
        <v>45534.374628680554</v>
      </c>
      <c r="B6891" s="5" t="s">
        <v>34</v>
      </c>
      <c r="D6891" s="5" t="s">
        <v>4775</v>
      </c>
      <c r="E6891" s="5" t="s">
        <v>44109</v>
      </c>
      <c r="F6891" s="5" t="s">
        <v>37</v>
      </c>
      <c r="G6891" s="5" t="s">
        <v>44110</v>
      </c>
      <c r="H6891" s="6" t="s">
        <v>44111</v>
      </c>
      <c r="K6891" s="5" t="s">
        <v>44096</v>
      </c>
      <c r="M6891" s="5" t="s">
        <v>44112</v>
      </c>
      <c r="N6891" s="7" t="s">
        <v>44113</v>
      </c>
      <c r="O6891" s="8" t="str">
        <f>HYPERLINK("https://drive.google.com/file/d/18OXQudrJH1EzobF3uksLKOU7tga0f7lD/view?usp=drivesdk","6890_ANGKASIH WAJARINI _ SERTIFIKAT BerAKHLAK")</f>
        <v>6890_ANGKASIH WAJARINI _ SERTIFIKAT BerAKHLAK</v>
      </c>
      <c r="P6891" s="5" t="s">
        <v>44114</v>
      </c>
    </row>
    <row r="6892">
      <c r="A6892" s="4">
        <v>45534.37463815972</v>
      </c>
      <c r="B6892" s="5" t="s">
        <v>34</v>
      </c>
      <c r="D6892" s="5" t="s">
        <v>9020</v>
      </c>
      <c r="E6892" s="5" t="s">
        <v>44115</v>
      </c>
      <c r="F6892" s="5" t="s">
        <v>715</v>
      </c>
      <c r="G6892" s="5" t="s">
        <v>44116</v>
      </c>
      <c r="H6892" s="6" t="s">
        <v>44117</v>
      </c>
      <c r="K6892" s="5" t="s">
        <v>44118</v>
      </c>
      <c r="M6892" s="5" t="s">
        <v>44119</v>
      </c>
      <c r="N6892" s="7" t="s">
        <v>44120</v>
      </c>
      <c r="O6892" s="8" t="str">
        <f>HYPERLINK("https://drive.google.com/file/d/1PDH0vT-Rc_wmLbIAr_FMAM2yzKgKuTdN/view?usp=drivesdk","6891_OVERSI NAINGGOLAN, S.Psi _ SERTIFIKAT BerAKHLAK")</f>
        <v>6891_OVERSI NAINGGOLAN, S.Psi _ SERTIFIKAT BerAKHLAK</v>
      </c>
      <c r="P6892" s="5" t="s">
        <v>44114</v>
      </c>
    </row>
    <row r="6893">
      <c r="A6893" s="4">
        <v>45534.374648171295</v>
      </c>
      <c r="B6893" s="5" t="s">
        <v>34</v>
      </c>
      <c r="D6893" s="5" t="s">
        <v>1558</v>
      </c>
      <c r="E6893" s="5" t="s">
        <v>44121</v>
      </c>
      <c r="F6893" s="5" t="s">
        <v>108</v>
      </c>
      <c r="G6893" s="5" t="s">
        <v>44122</v>
      </c>
      <c r="H6893" s="6" t="s">
        <v>44123</v>
      </c>
      <c r="K6893" s="5" t="s">
        <v>44118</v>
      </c>
      <c r="M6893" s="5" t="s">
        <v>44124</v>
      </c>
      <c r="N6893" s="7" t="s">
        <v>44125</v>
      </c>
      <c r="O6893" s="8" t="str">
        <f>HYPERLINK("https://drive.google.com/file/d/1PK5crFtjROOWNGdzs9k6TbtlAtPL3XXw/view?usp=drivesdk","6892_RADEN SRI HANGGARI MURNI _ SERTIFIKAT BerAKHLAK")</f>
        <v>6892_RADEN SRI HANGGARI MURNI _ SERTIFIKAT BerAKHLAK</v>
      </c>
      <c r="P6893" s="5" t="s">
        <v>44114</v>
      </c>
    </row>
    <row r="6894">
      <c r="A6894" s="4">
        <v>45534.37465017361</v>
      </c>
      <c r="B6894" s="5" t="s">
        <v>34</v>
      </c>
      <c r="D6894" s="5" t="s">
        <v>9394</v>
      </c>
      <c r="E6894" s="7" t="s">
        <v>44126</v>
      </c>
      <c r="F6894" s="5" t="s">
        <v>715</v>
      </c>
      <c r="G6894" s="5" t="s">
        <v>44127</v>
      </c>
      <c r="H6894" s="6" t="s">
        <v>44128</v>
      </c>
      <c r="K6894" s="5" t="s">
        <v>44118</v>
      </c>
      <c r="M6894" s="5" t="s">
        <v>44129</v>
      </c>
      <c r="N6894" s="7" t="s">
        <v>44130</v>
      </c>
      <c r="O6894" s="8" t="str">
        <f>HYPERLINK("https://drive.google.com/file/d/1dVozA-F63Zl-6RnXik1EKqsRnCuBbDsM/view?usp=drivesdk","6893_ERVINA.SE _ SERTIFIKAT BerAKHLAK")</f>
        <v>6893_ERVINA.SE _ SERTIFIKAT BerAKHLAK</v>
      </c>
      <c r="P6894" s="5" t="s">
        <v>44114</v>
      </c>
    </row>
    <row r="6895">
      <c r="A6895" s="4">
        <v>45534.374689097225</v>
      </c>
      <c r="B6895" s="5" t="s">
        <v>34</v>
      </c>
      <c r="D6895" s="5" t="s">
        <v>1558</v>
      </c>
      <c r="E6895" s="5" t="s">
        <v>44131</v>
      </c>
      <c r="F6895" s="5" t="s">
        <v>37</v>
      </c>
      <c r="G6895" s="5" t="s">
        <v>44132</v>
      </c>
      <c r="H6895" s="6" t="s">
        <v>44133</v>
      </c>
      <c r="K6895" s="5" t="s">
        <v>44134</v>
      </c>
      <c r="M6895" s="5" t="s">
        <v>44135</v>
      </c>
      <c r="N6895" s="7" t="s">
        <v>44136</v>
      </c>
      <c r="O6895" s="8" t="str">
        <f>HYPERLINK("https://drive.google.com/file/d/1eIDCFrRexuUzkSxFYjO7UCFqBpLUSCw7/view?usp=drivesdk","6894_DIKA AGUNG PRASETYO  _ SERTIFIKAT BerAKHLAK")</f>
        <v>6894_DIKA AGUNG PRASETYO  _ SERTIFIKAT BerAKHLAK</v>
      </c>
      <c r="P6895" s="5" t="s">
        <v>44114</v>
      </c>
    </row>
    <row r="6896">
      <c r="A6896" s="4">
        <v>45534.37469038194</v>
      </c>
      <c r="B6896" s="5" t="s">
        <v>34</v>
      </c>
      <c r="D6896" s="5" t="s">
        <v>4775</v>
      </c>
      <c r="E6896" s="5" t="s">
        <v>44137</v>
      </c>
      <c r="F6896" s="5" t="s">
        <v>212</v>
      </c>
      <c r="G6896" s="5" t="s">
        <v>44138</v>
      </c>
      <c r="H6896" s="6" t="s">
        <v>44139</v>
      </c>
      <c r="K6896" s="5" t="s">
        <v>44134</v>
      </c>
      <c r="M6896" s="5" t="s">
        <v>44140</v>
      </c>
      <c r="N6896" s="7" t="s">
        <v>44141</v>
      </c>
      <c r="O6896" s="8" t="str">
        <f>HYPERLINK("https://drive.google.com/file/d/1lEEAmalGkLZzcWXBNgqg0NT3OngfiTm6/view?usp=drivesdk","6895_ALWAN EVENDHI _ SERTIFIKAT BerAKHLAK")</f>
        <v>6895_ALWAN EVENDHI _ SERTIFIKAT BerAKHLAK</v>
      </c>
      <c r="P6896" s="5" t="s">
        <v>44142</v>
      </c>
    </row>
    <row r="6897">
      <c r="A6897" s="4">
        <v>45534.374691770834</v>
      </c>
      <c r="B6897" s="5" t="s">
        <v>34</v>
      </c>
      <c r="D6897" s="5" t="s">
        <v>267</v>
      </c>
      <c r="E6897" s="5" t="s">
        <v>44143</v>
      </c>
      <c r="F6897" s="5" t="s">
        <v>72</v>
      </c>
      <c r="G6897" s="5" t="s">
        <v>44144</v>
      </c>
      <c r="H6897" s="6" t="s">
        <v>44145</v>
      </c>
      <c r="K6897" s="5" t="s">
        <v>44134</v>
      </c>
      <c r="M6897" s="5" t="s">
        <v>44146</v>
      </c>
      <c r="N6897" s="7" t="s">
        <v>44147</v>
      </c>
      <c r="O6897" s="8" t="str">
        <f>HYPERLINK("https://drive.google.com/file/d/1wsCcxoNjsowdYItW81eH5sOXrE9qdWkA/view?usp=drivesdk","6896_RADEN WISNU PRIYAMBADA _ SERTIFIKAT BerAKHLAK")</f>
        <v>6896_RADEN WISNU PRIYAMBADA _ SERTIFIKAT BerAKHLAK</v>
      </c>
      <c r="P6897" s="5" t="s">
        <v>44142</v>
      </c>
    </row>
    <row r="6898">
      <c r="A6898" s="4">
        <v>45534.374692418976</v>
      </c>
      <c r="B6898" s="5" t="s">
        <v>34</v>
      </c>
      <c r="D6898" s="5" t="s">
        <v>1206</v>
      </c>
      <c r="E6898" s="5" t="s">
        <v>44148</v>
      </c>
      <c r="F6898" s="5" t="s">
        <v>212</v>
      </c>
      <c r="G6898" s="5" t="s">
        <v>44149</v>
      </c>
      <c r="H6898" s="6" t="s">
        <v>44150</v>
      </c>
      <c r="K6898" s="5" t="s">
        <v>44134</v>
      </c>
      <c r="M6898" s="5" t="s">
        <v>44151</v>
      </c>
      <c r="N6898" s="7" t="s">
        <v>44152</v>
      </c>
      <c r="O6898" s="8" t="str">
        <f>HYPERLINK("https://drive.google.com/file/d/1Z3XL0ZwCMjtjeIlSiYM0sbxlm7OnQmpM/view?usp=drivesdk","6897_HAIRUL SALEH  _ SERTIFIKAT BerAKHLAK")</f>
        <v>6897_HAIRUL SALEH  _ SERTIFIKAT BerAKHLAK</v>
      </c>
      <c r="P6898" s="5" t="s">
        <v>44153</v>
      </c>
    </row>
    <row r="6899">
      <c r="A6899" s="4">
        <v>45534.374697175925</v>
      </c>
      <c r="B6899" s="5" t="s">
        <v>34</v>
      </c>
      <c r="D6899" s="5" t="s">
        <v>15401</v>
      </c>
      <c r="E6899" s="5" t="s">
        <v>44154</v>
      </c>
      <c r="F6899" s="5" t="s">
        <v>37</v>
      </c>
      <c r="G6899" s="5" t="s">
        <v>44155</v>
      </c>
      <c r="H6899" s="6" t="s">
        <v>44156</v>
      </c>
      <c r="K6899" s="5" t="s">
        <v>44134</v>
      </c>
      <c r="M6899" s="5" t="s">
        <v>44157</v>
      </c>
      <c r="N6899" s="7" t="s">
        <v>44158</v>
      </c>
      <c r="O6899" s="8" t="str">
        <f>HYPERLINK("https://drive.google.com/file/d/1alxV313QVW-gI78vqjAwaJMcsVCBUzOj/view?usp=drivesdk","6898_IMAM SAFI'I _ SERTIFIKAT BerAKHLAK")</f>
        <v>6898_IMAM SAFI'I _ SERTIFIKAT BerAKHLAK</v>
      </c>
      <c r="P6899" s="5" t="s">
        <v>44153</v>
      </c>
    </row>
    <row r="6900">
      <c r="A6900" s="4">
        <v>45534.37473016204</v>
      </c>
      <c r="B6900" s="5" t="s">
        <v>34</v>
      </c>
      <c r="D6900" s="5" t="s">
        <v>1558</v>
      </c>
      <c r="E6900" s="5" t="s">
        <v>44159</v>
      </c>
      <c r="F6900" s="5" t="s">
        <v>212</v>
      </c>
      <c r="G6900" s="5" t="s">
        <v>44160</v>
      </c>
      <c r="H6900" s="6" t="s">
        <v>44161</v>
      </c>
      <c r="K6900" s="5" t="s">
        <v>44162</v>
      </c>
      <c r="M6900" s="5" t="s">
        <v>44163</v>
      </c>
      <c r="N6900" s="7" t="s">
        <v>44164</v>
      </c>
      <c r="O6900" s="8" t="str">
        <f>HYPERLINK("https://drive.google.com/file/d/14XPnTgOcym4sdD_TYA1KcVEJP7STVNfr/view?usp=drivesdk","6899_SURINI _ SERTIFIKAT BerAKHLAK")</f>
        <v>6899_SURINI _ SERTIFIKAT BerAKHLAK</v>
      </c>
      <c r="P6900" s="5" t="s">
        <v>44153</v>
      </c>
    </row>
    <row r="6901">
      <c r="A6901" s="4">
        <v>45534.37475425926</v>
      </c>
      <c r="B6901" s="5" t="s">
        <v>34</v>
      </c>
      <c r="D6901" s="5" t="s">
        <v>12978</v>
      </c>
      <c r="E6901" s="5" t="s">
        <v>44165</v>
      </c>
      <c r="F6901" s="5" t="s">
        <v>375</v>
      </c>
      <c r="G6901" s="5" t="s">
        <v>44166</v>
      </c>
      <c r="H6901" s="6" t="s">
        <v>44167</v>
      </c>
      <c r="K6901" s="5" t="s">
        <v>44168</v>
      </c>
      <c r="M6901" s="5" t="s">
        <v>44169</v>
      </c>
      <c r="N6901" s="7" t="s">
        <v>44170</v>
      </c>
      <c r="O6901" s="8" t="str">
        <f>HYPERLINK("https://drive.google.com/file/d/1Da9WCDGrvC0CBro2nNkoM0M8lcoqO2YH/view?usp=drivesdk","6900_SUDIRMAN _ SERTIFIKAT BerAKHLAK")</f>
        <v>6900_SUDIRMAN _ SERTIFIKAT BerAKHLAK</v>
      </c>
      <c r="P6901" s="5" t="s">
        <v>44153</v>
      </c>
    </row>
    <row r="6902">
      <c r="A6902" s="4">
        <v>45534.374786388886</v>
      </c>
      <c r="B6902" s="5" t="s">
        <v>34</v>
      </c>
      <c r="D6902" s="5" t="s">
        <v>4775</v>
      </c>
      <c r="E6902" s="5" t="s">
        <v>17186</v>
      </c>
      <c r="F6902" s="5" t="s">
        <v>375</v>
      </c>
      <c r="G6902" s="5" t="s">
        <v>44171</v>
      </c>
      <c r="H6902" s="6" t="s">
        <v>44172</v>
      </c>
      <c r="K6902" s="5" t="s">
        <v>44173</v>
      </c>
      <c r="M6902" s="5" t="s">
        <v>44174</v>
      </c>
      <c r="N6902" s="7" t="s">
        <v>44175</v>
      </c>
      <c r="O6902" s="8" t="str">
        <f>HYPERLINK("https://drive.google.com/file/d/1q4YFr6iuM9utZY95TdXdqnHTf3pMnYFV/view?usp=drivesdk","6901_SUPARDI _ SERTIFIKAT BerAKHLAK")</f>
        <v>6901_SUPARDI _ SERTIFIKAT BerAKHLAK</v>
      </c>
      <c r="P6902" s="5" t="s">
        <v>44153</v>
      </c>
    </row>
    <row r="6903">
      <c r="A6903" s="4">
        <v>45534.37478774306</v>
      </c>
      <c r="B6903" s="5" t="s">
        <v>34</v>
      </c>
      <c r="D6903" s="5" t="s">
        <v>14313</v>
      </c>
      <c r="E6903" s="5" t="s">
        <v>44176</v>
      </c>
      <c r="F6903" s="5" t="s">
        <v>72</v>
      </c>
      <c r="G6903" s="5" t="s">
        <v>44177</v>
      </c>
      <c r="H6903" s="6" t="s">
        <v>44178</v>
      </c>
      <c r="K6903" s="5" t="s">
        <v>44173</v>
      </c>
      <c r="M6903" s="5" t="s">
        <v>44179</v>
      </c>
      <c r="N6903" s="7" t="s">
        <v>44180</v>
      </c>
      <c r="O6903" s="8" t="str">
        <f>HYPERLINK("https://drive.google.com/file/d/11iiwt0quvxO0alDKtAgrGfIV7j4m9bqe/view?usp=drivesdk","6902_ETY SUARNI _ SERTIFIKAT BerAKHLAK")</f>
        <v>6902_ETY SUARNI _ SERTIFIKAT BerAKHLAK</v>
      </c>
      <c r="P6903" s="5" t="s">
        <v>44181</v>
      </c>
    </row>
    <row r="6904">
      <c r="A6904" s="4">
        <v>45534.37479417824</v>
      </c>
      <c r="B6904" s="5" t="s">
        <v>34</v>
      </c>
      <c r="D6904" s="5" t="s">
        <v>1206</v>
      </c>
      <c r="E6904" s="5" t="s">
        <v>44182</v>
      </c>
      <c r="F6904" s="5" t="s">
        <v>37</v>
      </c>
      <c r="G6904" s="5" t="s">
        <v>44183</v>
      </c>
      <c r="H6904" s="6" t="s">
        <v>44184</v>
      </c>
      <c r="K6904" s="5" t="s">
        <v>44173</v>
      </c>
      <c r="M6904" s="5" t="s">
        <v>44185</v>
      </c>
      <c r="N6904" s="7" t="s">
        <v>44186</v>
      </c>
      <c r="O6904" s="8" t="str">
        <f>HYPERLINK("https://drive.google.com/file/d/1zNEsxU5d6xBxEAG_AdbopvwYDunA6bMB/view?usp=drivesdk","6903_WINDI MEISA ROSELLINI _ SERTIFIKAT BerAKHLAK")</f>
        <v>6903_WINDI MEISA ROSELLINI _ SERTIFIKAT BerAKHLAK</v>
      </c>
      <c r="P6904" s="5" t="s">
        <v>44181</v>
      </c>
    </row>
    <row r="6905">
      <c r="A6905" s="4">
        <v>45534.37480422454</v>
      </c>
      <c r="B6905" s="5" t="s">
        <v>34</v>
      </c>
      <c r="D6905" s="5" t="s">
        <v>4775</v>
      </c>
      <c r="E6905" s="5" t="s">
        <v>44187</v>
      </c>
      <c r="F6905" s="5" t="s">
        <v>212</v>
      </c>
      <c r="G6905" s="5" t="s">
        <v>44188</v>
      </c>
      <c r="H6905" s="6" t="s">
        <v>44189</v>
      </c>
      <c r="K6905" s="5" t="s">
        <v>44173</v>
      </c>
      <c r="M6905" s="5" t="s">
        <v>44190</v>
      </c>
      <c r="N6905" s="7" t="s">
        <v>44191</v>
      </c>
      <c r="O6905" s="8" t="str">
        <f>HYPERLINK("https://drive.google.com/file/d/1Wf8FyTwpEaSfI-xrhji4dWGvXeOH_993/view?usp=drivesdk","6904_DINI RAHAYU SEPTIYANI, S.Kep. _ SERTIFIKAT BerAKHLAK")</f>
        <v>6904_DINI RAHAYU SEPTIYANI, S.Kep. _ SERTIFIKAT BerAKHLAK</v>
      </c>
      <c r="P6905" s="5" t="s">
        <v>44181</v>
      </c>
    </row>
    <row r="6906">
      <c r="A6906" s="4">
        <v>45534.37481601852</v>
      </c>
      <c r="B6906" s="5" t="s">
        <v>34</v>
      </c>
      <c r="D6906" s="5" t="s">
        <v>1558</v>
      </c>
      <c r="E6906" s="5" t="s">
        <v>44192</v>
      </c>
      <c r="F6906" s="5" t="s">
        <v>72</v>
      </c>
      <c r="G6906" s="5" t="s">
        <v>44193</v>
      </c>
      <c r="H6906" s="6" t="s">
        <v>44194</v>
      </c>
      <c r="K6906" s="5" t="s">
        <v>44173</v>
      </c>
      <c r="M6906" s="5" t="s">
        <v>44195</v>
      </c>
      <c r="N6906" s="7" t="s">
        <v>44196</v>
      </c>
      <c r="O6906" s="8" t="str">
        <f>HYPERLINK("https://drive.google.com/file/d/1hBSVK810vUmdPgm22db6KTCNEiSDt4sf/view?usp=drivesdk","6905_DWI SUJARWANTO _ SERTIFIKAT BerAKHLAK")</f>
        <v>6905_DWI SUJARWANTO _ SERTIFIKAT BerAKHLAK</v>
      </c>
      <c r="P6906" s="5" t="s">
        <v>44181</v>
      </c>
    </row>
    <row r="6907">
      <c r="A6907" s="4">
        <v>45534.37481841435</v>
      </c>
      <c r="B6907" s="5" t="s">
        <v>34</v>
      </c>
      <c r="D6907" s="5" t="s">
        <v>4775</v>
      </c>
      <c r="E6907" s="5" t="s">
        <v>44197</v>
      </c>
      <c r="F6907" s="5" t="s">
        <v>212</v>
      </c>
      <c r="G6907" s="5" t="s">
        <v>44198</v>
      </c>
      <c r="H6907" s="6" t="s">
        <v>44199</v>
      </c>
      <c r="K6907" s="5" t="s">
        <v>44200</v>
      </c>
      <c r="M6907" s="5" t="s">
        <v>44201</v>
      </c>
      <c r="N6907" s="7" t="s">
        <v>44202</v>
      </c>
      <c r="O6907" s="8" t="str">
        <f>HYPERLINK("https://drive.google.com/file/d/1kyhIiLDOr4WsW_2OPH3daGRrGlZEX63-/view?usp=drivesdk","6906_EKO PRASETYO _ SERTIFIKAT BerAKHLAK")</f>
        <v>6906_EKO PRASETYO _ SERTIFIKAT BerAKHLAK</v>
      </c>
      <c r="P6907" s="5" t="s">
        <v>44203</v>
      </c>
    </row>
    <row r="6908">
      <c r="A6908" s="4">
        <v>45534.374835497685</v>
      </c>
      <c r="B6908" s="5" t="s">
        <v>34</v>
      </c>
      <c r="D6908" s="5" t="s">
        <v>4775</v>
      </c>
      <c r="E6908" s="5" t="s">
        <v>44204</v>
      </c>
      <c r="F6908" s="5" t="s">
        <v>37</v>
      </c>
      <c r="G6908" s="5" t="s">
        <v>44205</v>
      </c>
      <c r="H6908" s="6" t="s">
        <v>44206</v>
      </c>
      <c r="K6908" s="5" t="s">
        <v>44200</v>
      </c>
      <c r="M6908" s="5" t="s">
        <v>44207</v>
      </c>
      <c r="N6908" s="7" t="s">
        <v>44208</v>
      </c>
      <c r="O6908" s="8" t="str">
        <f>HYPERLINK("https://drive.google.com/file/d/1T_2AiqGMpwTfDcyaPUXqQExf6bbJvPvP/view?usp=drivesdk","6907_MUSTARICHA _ SERTIFIKAT BerAKHLAK")</f>
        <v>6907_MUSTARICHA _ SERTIFIKAT BerAKHLAK</v>
      </c>
      <c r="P6908" s="5" t="s">
        <v>44203</v>
      </c>
    </row>
    <row r="6909">
      <c r="A6909" s="4">
        <v>45534.374841122684</v>
      </c>
      <c r="B6909" s="5" t="s">
        <v>34</v>
      </c>
      <c r="D6909" s="5" t="s">
        <v>1558</v>
      </c>
      <c r="E6909" s="5" t="s">
        <v>44209</v>
      </c>
      <c r="F6909" s="5" t="s">
        <v>120</v>
      </c>
      <c r="G6909" s="5" t="s">
        <v>44210</v>
      </c>
      <c r="H6909" s="6" t="s">
        <v>44211</v>
      </c>
      <c r="K6909" s="5" t="s">
        <v>44200</v>
      </c>
      <c r="M6909" s="5" t="s">
        <v>44212</v>
      </c>
      <c r="N6909" s="7" t="s">
        <v>44213</v>
      </c>
      <c r="O6909" s="8" t="str">
        <f>HYPERLINK("https://drive.google.com/file/d/1tXXbuL6Vl-VjWSCDXQeuvqHpimzUIslf/view?usp=drivesdk","6908_Khayat, S.Pd.I., M.Tr.A.P. _ SERTIFIKAT BerAKHLAK")</f>
        <v>6908_Khayat, S.Pd.I., M.Tr.A.P. _ SERTIFIKAT BerAKHLAK</v>
      </c>
      <c r="P6909" s="5" t="s">
        <v>44203</v>
      </c>
    </row>
    <row r="6910">
      <c r="A6910" s="4">
        <v>45534.37486982639</v>
      </c>
      <c r="B6910" s="5" t="s">
        <v>34</v>
      </c>
      <c r="D6910" s="5" t="s">
        <v>4775</v>
      </c>
      <c r="E6910" s="5" t="s">
        <v>14925</v>
      </c>
      <c r="F6910" s="5" t="s">
        <v>375</v>
      </c>
      <c r="G6910" s="5" t="s">
        <v>44214</v>
      </c>
      <c r="H6910" s="6" t="s">
        <v>44215</v>
      </c>
      <c r="K6910" s="5" t="s">
        <v>44216</v>
      </c>
      <c r="M6910" s="5" t="s">
        <v>44217</v>
      </c>
      <c r="N6910" s="7" t="s">
        <v>44218</v>
      </c>
      <c r="O6910" s="8" t="str">
        <f>HYPERLINK("https://drive.google.com/file/d/1wdFom_5bVlvXSbJ9dOqinwJ69VRQZNIq/view?usp=drivesdk","6909_SARNO, S.E. _ SERTIFIKAT BerAKHLAK")</f>
        <v>6909_SARNO, S.E. _ SERTIFIKAT BerAKHLAK</v>
      </c>
      <c r="P6910" s="5" t="s">
        <v>44203</v>
      </c>
    </row>
    <row r="6911">
      <c r="A6911" s="4">
        <v>45534.37487377315</v>
      </c>
      <c r="B6911" s="5" t="s">
        <v>34</v>
      </c>
      <c r="D6911" s="5" t="s">
        <v>6232</v>
      </c>
      <c r="E6911" s="5" t="s">
        <v>44219</v>
      </c>
      <c r="F6911" s="5" t="s">
        <v>212</v>
      </c>
      <c r="G6911" s="5" t="s">
        <v>44220</v>
      </c>
      <c r="H6911" s="6" t="s">
        <v>44221</v>
      </c>
      <c r="K6911" s="5" t="s">
        <v>44222</v>
      </c>
      <c r="M6911" s="5" t="s">
        <v>44223</v>
      </c>
      <c r="N6911" s="7" t="s">
        <v>44224</v>
      </c>
      <c r="O6911" s="8" t="str">
        <f>HYPERLINK("https://drive.google.com/file/d/1q8swVNjzKOPHNHuPTL5d3QWW5idebGmh/view?usp=drivesdk","6910_HENDRZON _ SERTIFIKAT BerAKHLAK")</f>
        <v>6910_HENDRZON _ SERTIFIKAT BerAKHLAK</v>
      </c>
      <c r="P6911" s="5" t="s">
        <v>44203</v>
      </c>
    </row>
    <row r="6912">
      <c r="A6912" s="4">
        <v>45534.37487591435</v>
      </c>
      <c r="B6912" s="5" t="s">
        <v>34</v>
      </c>
      <c r="D6912" s="5" t="s">
        <v>7858</v>
      </c>
      <c r="E6912" s="5" t="s">
        <v>44225</v>
      </c>
      <c r="F6912" s="5" t="s">
        <v>108</v>
      </c>
      <c r="G6912" s="5" t="s">
        <v>44226</v>
      </c>
      <c r="H6912" s="6" t="s">
        <v>44227</v>
      </c>
      <c r="K6912" s="5" t="s">
        <v>44222</v>
      </c>
      <c r="M6912" s="5" t="s">
        <v>44228</v>
      </c>
      <c r="N6912" s="7" t="s">
        <v>44229</v>
      </c>
      <c r="O6912" s="8" t="str">
        <f>HYPERLINK("https://drive.google.com/file/d/1c-wRjCReRBuHdNqqPdVZkHdHgBGoHpHK/view?usp=drivesdk","6911_DEWI MARLIANA _ SERTIFIKAT BerAKHLAK")</f>
        <v>6911_DEWI MARLIANA _ SERTIFIKAT BerAKHLAK</v>
      </c>
      <c r="P6912" s="5" t="s">
        <v>44230</v>
      </c>
    </row>
    <row r="6913">
      <c r="A6913" s="4">
        <v>45534.374887569444</v>
      </c>
      <c r="B6913" s="5" t="s">
        <v>34</v>
      </c>
      <c r="D6913" s="5" t="s">
        <v>267</v>
      </c>
      <c r="E6913" s="5" t="s">
        <v>44231</v>
      </c>
      <c r="F6913" s="5" t="s">
        <v>375</v>
      </c>
      <c r="G6913" s="5" t="s">
        <v>44232</v>
      </c>
      <c r="H6913" s="6" t="s">
        <v>44233</v>
      </c>
      <c r="K6913" s="5" t="s">
        <v>44234</v>
      </c>
      <c r="M6913" s="5" t="s">
        <v>44235</v>
      </c>
      <c r="N6913" s="7" t="s">
        <v>44236</v>
      </c>
      <c r="O6913" s="8" t="str">
        <f>HYPERLINK("https://drive.google.com/file/d/19LMjfx1Tg8gCask3X7ALEbTEGiDhN96B/view?usp=drivesdk","6912_NUR EDI. S.E.,M.M _ SERTIFIKAT BerAKHLAK")</f>
        <v>6912_NUR EDI. S.E.,M.M _ SERTIFIKAT BerAKHLAK</v>
      </c>
      <c r="P6913" s="5" t="s">
        <v>44230</v>
      </c>
    </row>
    <row r="6914">
      <c r="A6914" s="4">
        <v>45534.37490776621</v>
      </c>
      <c r="B6914" s="5" t="s">
        <v>34</v>
      </c>
      <c r="D6914" s="5" t="s">
        <v>12978</v>
      </c>
      <c r="E6914" s="5" t="s">
        <v>15217</v>
      </c>
      <c r="F6914" s="5" t="s">
        <v>108</v>
      </c>
      <c r="G6914" s="5" t="s">
        <v>44237</v>
      </c>
      <c r="H6914" s="6" t="s">
        <v>44238</v>
      </c>
      <c r="K6914" s="5" t="s">
        <v>44234</v>
      </c>
      <c r="M6914" s="5" t="s">
        <v>44239</v>
      </c>
      <c r="N6914" s="7" t="s">
        <v>44240</v>
      </c>
      <c r="O6914" s="8" t="str">
        <f>HYPERLINK("https://drive.google.com/file/d/18KLa2GoqMQsxc_kfYIWmn3PiNkZhfer_/view?usp=drivesdk","6913_SRI HARTATI _ SERTIFIKAT BerAKHLAK")</f>
        <v>6913_SRI HARTATI _ SERTIFIKAT BerAKHLAK</v>
      </c>
      <c r="P6914" s="5" t="s">
        <v>44230</v>
      </c>
    </row>
    <row r="6915">
      <c r="A6915" s="4">
        <v>45534.374911747684</v>
      </c>
      <c r="B6915" s="5" t="s">
        <v>34</v>
      </c>
      <c r="D6915" s="5" t="s">
        <v>4775</v>
      </c>
      <c r="E6915" s="5" t="s">
        <v>16878</v>
      </c>
      <c r="F6915" s="5" t="s">
        <v>37</v>
      </c>
      <c r="G6915" s="5" t="s">
        <v>44241</v>
      </c>
      <c r="H6915" s="6" t="s">
        <v>44242</v>
      </c>
      <c r="K6915" s="5" t="s">
        <v>44234</v>
      </c>
      <c r="M6915" s="5" t="s">
        <v>44243</v>
      </c>
      <c r="N6915" s="7" t="s">
        <v>44244</v>
      </c>
      <c r="O6915" s="8" t="str">
        <f>HYPERLINK("https://drive.google.com/file/d/1FUnnJDe-Lkvx_llz2VmXRjnpQ0d7XZHJ/view?usp=drivesdk","6914_SLAMET _ SERTIFIKAT BerAKHLAK")</f>
        <v>6914_SLAMET _ SERTIFIKAT BerAKHLAK</v>
      </c>
      <c r="P6915" s="5" t="s">
        <v>44230</v>
      </c>
    </row>
    <row r="6916">
      <c r="A6916" s="4">
        <v>45534.37492008102</v>
      </c>
      <c r="B6916" s="5" t="s">
        <v>34</v>
      </c>
      <c r="D6916" s="5" t="s">
        <v>1206</v>
      </c>
      <c r="E6916" s="5" t="s">
        <v>44245</v>
      </c>
      <c r="F6916" s="5" t="s">
        <v>375</v>
      </c>
      <c r="G6916" s="5" t="s">
        <v>44246</v>
      </c>
      <c r="H6916" s="6" t="s">
        <v>44247</v>
      </c>
      <c r="K6916" s="5" t="s">
        <v>44248</v>
      </c>
      <c r="M6916" s="5" t="s">
        <v>44249</v>
      </c>
      <c r="N6916" s="7" t="s">
        <v>44250</v>
      </c>
      <c r="O6916" s="8" t="str">
        <f>HYPERLINK("https://drive.google.com/file/d/1D4wUPM_Ey_WeqCWJHw_lamjzsLrdS3mU/view?usp=drivesdk","6915_FAIZAH CHASANA, S.Kep.Ns _ SERTIFIKAT BerAKHLAK")</f>
        <v>6915_FAIZAH CHASANA, S.Kep.Ns _ SERTIFIKAT BerAKHLAK</v>
      </c>
      <c r="P6916" s="5" t="s">
        <v>44251</v>
      </c>
    </row>
    <row r="6917">
      <c r="A6917" s="4">
        <v>45534.37492350694</v>
      </c>
      <c r="B6917" s="5" t="s">
        <v>34</v>
      </c>
      <c r="D6917" s="5" t="s">
        <v>1206</v>
      </c>
      <c r="E6917" s="5" t="s">
        <v>44252</v>
      </c>
      <c r="F6917" s="5" t="s">
        <v>37</v>
      </c>
      <c r="G6917" s="5" t="s">
        <v>44253</v>
      </c>
      <c r="H6917" s="6" t="s">
        <v>44254</v>
      </c>
      <c r="K6917" s="5" t="s">
        <v>44248</v>
      </c>
      <c r="M6917" s="5" t="s">
        <v>44255</v>
      </c>
      <c r="N6917" s="7" t="s">
        <v>44256</v>
      </c>
      <c r="O6917" s="8" t="str">
        <f>HYPERLINK("https://drive.google.com/file/d/1G-Ivyy3jU9aSHqMzPDhr_nwuohGLFH_Q/view?usp=drivesdk","6916_TASMIDJAN _ SERTIFIKAT BerAKHLAK")</f>
        <v>6916_TASMIDJAN _ SERTIFIKAT BerAKHLAK</v>
      </c>
      <c r="P6917" s="5" t="s">
        <v>44251</v>
      </c>
    </row>
    <row r="6918" hidden="1">
      <c r="A6918" s="4">
        <v>45534.374950185185</v>
      </c>
      <c r="B6918" s="5" t="s">
        <v>19</v>
      </c>
      <c r="C6918" s="5" t="s">
        <v>5564</v>
      </c>
      <c r="E6918" s="5" t="s">
        <v>44257</v>
      </c>
      <c r="F6918" s="5" t="s">
        <v>72</v>
      </c>
      <c r="G6918" s="5" t="s">
        <v>44258</v>
      </c>
      <c r="H6918" s="6" t="s">
        <v>44259</v>
      </c>
      <c r="K6918" s="5" t="s">
        <v>44248</v>
      </c>
      <c r="M6918" s="5" t="s">
        <v>44260</v>
      </c>
      <c r="N6918" s="7" t="s">
        <v>44261</v>
      </c>
      <c r="O6918" s="8" t="str">
        <f>HYPERLINK("https://drive.google.com/file/d/1EUfsvHWFXuuRobp3W9poHwi75bgDZBJx/view?usp=drivesdk","6917_SUKRO SUGIATMOKO _ SERTIFIKAT BerAKHLAK")</f>
        <v>6917_SUKRO SUGIATMOKO _ SERTIFIKAT BerAKHLAK</v>
      </c>
      <c r="P6918" s="5" t="s">
        <v>44251</v>
      </c>
    </row>
    <row r="6919">
      <c r="A6919" s="4">
        <v>45534.37495135417</v>
      </c>
      <c r="B6919" s="5" t="s">
        <v>34</v>
      </c>
      <c r="D6919" s="5" t="s">
        <v>1206</v>
      </c>
      <c r="E6919" s="5" t="s">
        <v>44262</v>
      </c>
      <c r="F6919" s="5" t="s">
        <v>120</v>
      </c>
      <c r="G6919" s="5" t="s">
        <v>44263</v>
      </c>
      <c r="H6919" s="6" t="s">
        <v>44264</v>
      </c>
      <c r="K6919" s="5" t="s">
        <v>44248</v>
      </c>
      <c r="M6919" s="5" t="s">
        <v>44265</v>
      </c>
      <c r="N6919" s="7" t="s">
        <v>44266</v>
      </c>
      <c r="O6919" s="8" t="str">
        <f>HYPERLINK("https://drive.google.com/file/d/1HHDCPIkEM_jK5_Co_qZrnWIvP-GZQHu_/view?usp=drivesdk","6918_SUTRISNO, S.Sos., M.M. _ SERTIFIKAT BerAKHLAK")</f>
        <v>6918_SUTRISNO, S.Sos., M.M. _ SERTIFIKAT BerAKHLAK</v>
      </c>
      <c r="P6919" s="5" t="s">
        <v>44267</v>
      </c>
    </row>
    <row r="6920">
      <c r="A6920" s="4">
        <v>45534.3749521412</v>
      </c>
      <c r="B6920" s="5" t="s">
        <v>34</v>
      </c>
      <c r="D6920" s="5" t="s">
        <v>701</v>
      </c>
      <c r="E6920" s="5" t="s">
        <v>44268</v>
      </c>
      <c r="F6920" s="5" t="s">
        <v>524</v>
      </c>
      <c r="G6920" s="5" t="s">
        <v>44269</v>
      </c>
      <c r="H6920" s="6" t="s">
        <v>44270</v>
      </c>
      <c r="K6920" s="5" t="s">
        <v>44248</v>
      </c>
      <c r="M6920" s="5" t="s">
        <v>44271</v>
      </c>
      <c r="N6920" s="7" t="s">
        <v>44272</v>
      </c>
      <c r="O6920" s="8" t="str">
        <f>HYPERLINK("https://drive.google.com/file/d/1G-yl5wAzoutEkZiUr4ytFby3QPZQdSel/view?usp=drivesdk","6919_LIZA FAUZIAH _ SERTIFIKAT BerAKHLAK")</f>
        <v>6919_LIZA FAUZIAH _ SERTIFIKAT BerAKHLAK</v>
      </c>
      <c r="P6920" s="5" t="s">
        <v>44267</v>
      </c>
    </row>
    <row r="6921">
      <c r="A6921" s="4">
        <v>45534.37495612269</v>
      </c>
      <c r="B6921" s="5" t="s">
        <v>34</v>
      </c>
      <c r="D6921" s="5" t="s">
        <v>267</v>
      </c>
      <c r="E6921" s="5" t="s">
        <v>38289</v>
      </c>
      <c r="F6921" s="5" t="s">
        <v>37</v>
      </c>
      <c r="G6921" s="5" t="s">
        <v>44273</v>
      </c>
      <c r="H6921" s="6" t="s">
        <v>44274</v>
      </c>
      <c r="K6921" s="5" t="s">
        <v>44248</v>
      </c>
      <c r="M6921" s="5" t="s">
        <v>44275</v>
      </c>
      <c r="N6921" s="7" t="s">
        <v>44276</v>
      </c>
      <c r="O6921" s="8" t="str">
        <f>HYPERLINK("https://drive.google.com/file/d/1oWzqO2HlLd2vkVruh3o6uREy9aCVaVSC/view?usp=drivesdk","6920_KASIMAN _ SERTIFIKAT BerAKHLAK")</f>
        <v>6920_KASIMAN _ SERTIFIKAT BerAKHLAK</v>
      </c>
      <c r="P6921" s="5" t="s">
        <v>44267</v>
      </c>
    </row>
    <row r="6922">
      <c r="A6922" s="4">
        <v>45534.37496631945</v>
      </c>
      <c r="B6922" s="5" t="s">
        <v>34</v>
      </c>
      <c r="D6922" s="5" t="s">
        <v>12010</v>
      </c>
      <c r="E6922" s="5" t="s">
        <v>44277</v>
      </c>
      <c r="F6922" s="5" t="s">
        <v>524</v>
      </c>
      <c r="G6922" s="5" t="s">
        <v>44278</v>
      </c>
      <c r="H6922" s="6" t="s">
        <v>44279</v>
      </c>
      <c r="K6922" s="5" t="s">
        <v>44280</v>
      </c>
      <c r="M6922" s="5" t="s">
        <v>44281</v>
      </c>
      <c r="N6922" s="7" t="s">
        <v>44282</v>
      </c>
      <c r="O6922" s="8" t="str">
        <f>HYPERLINK("https://drive.google.com/file/d/1i9GCiY7uuU1y48D8c-HJA0e4yK8adSGJ/view?usp=drivesdk","6921_YULCE UMBOH _ SERTIFIKAT BerAKHLAK")</f>
        <v>6921_YULCE UMBOH _ SERTIFIKAT BerAKHLAK</v>
      </c>
      <c r="P6922" s="5" t="s">
        <v>44267</v>
      </c>
    </row>
    <row r="6923">
      <c r="A6923" s="4">
        <v>45534.374973680555</v>
      </c>
      <c r="B6923" s="5" t="s">
        <v>34</v>
      </c>
      <c r="D6923" s="5" t="s">
        <v>267</v>
      </c>
      <c r="E6923" s="5" t="s">
        <v>44283</v>
      </c>
      <c r="F6923" s="5" t="s">
        <v>375</v>
      </c>
      <c r="G6923" s="5" t="s">
        <v>44284</v>
      </c>
      <c r="H6923" s="6" t="s">
        <v>44285</v>
      </c>
      <c r="K6923" s="5" t="s">
        <v>44280</v>
      </c>
      <c r="M6923" s="5" t="s">
        <v>44286</v>
      </c>
      <c r="N6923" s="7" t="s">
        <v>44287</v>
      </c>
      <c r="O6923" s="8" t="str">
        <f>HYPERLINK("https://drive.google.com/file/d/1-ZcMMueP9gx7hwGiljJZd6d3yYgTDKVt/view?usp=drivesdk","6922_SAPTA RINI,S.Ikom. _ SERTIFIKAT BerAKHLAK")</f>
        <v>6922_SAPTA RINI,S.Ikom. _ SERTIFIKAT BerAKHLAK</v>
      </c>
      <c r="P6923" s="5" t="s">
        <v>44288</v>
      </c>
    </row>
    <row r="6924">
      <c r="A6924" s="4">
        <v>45534.374976736115</v>
      </c>
      <c r="B6924" s="5" t="s">
        <v>34</v>
      </c>
      <c r="D6924" s="5" t="s">
        <v>1206</v>
      </c>
      <c r="E6924" s="5" t="s">
        <v>44289</v>
      </c>
      <c r="F6924" s="5" t="s">
        <v>375</v>
      </c>
      <c r="G6924" s="5" t="s">
        <v>44290</v>
      </c>
      <c r="H6924" s="6" t="s">
        <v>44291</v>
      </c>
      <c r="K6924" s="5" t="s">
        <v>44280</v>
      </c>
      <c r="M6924" s="5" t="s">
        <v>44292</v>
      </c>
      <c r="N6924" s="7" t="s">
        <v>44293</v>
      </c>
      <c r="O6924" s="8" t="str">
        <f>HYPERLINK("https://drive.google.com/file/d/1tfLUnMcMUa87SPDxxbTJSaRF6WYZElL9/view?usp=drivesdk","6923_HARIANTO, S.E. _ SERTIFIKAT BerAKHLAK")</f>
        <v>6923_HARIANTO, S.E. _ SERTIFIKAT BerAKHLAK</v>
      </c>
      <c r="P6924" s="5" t="s">
        <v>44288</v>
      </c>
    </row>
    <row r="6925">
      <c r="A6925" s="4">
        <v>45534.37498462963</v>
      </c>
      <c r="B6925" s="5" t="s">
        <v>34</v>
      </c>
      <c r="D6925" s="5" t="s">
        <v>1206</v>
      </c>
      <c r="E6925" s="5" t="s">
        <v>44294</v>
      </c>
      <c r="F6925" s="5" t="s">
        <v>37</v>
      </c>
      <c r="G6925" s="5" t="s">
        <v>44295</v>
      </c>
      <c r="H6925" s="6" t="s">
        <v>44296</v>
      </c>
      <c r="K6925" s="5" t="s">
        <v>44280</v>
      </c>
      <c r="M6925" s="5" t="s">
        <v>44297</v>
      </c>
      <c r="N6925" s="7" t="s">
        <v>44298</v>
      </c>
      <c r="O6925" s="8" t="str">
        <f>HYPERLINK("https://drive.google.com/file/d/1b8UM0EO4m5ylM844m_khTKVdUZRxNW6B/view?usp=drivesdk","6924_ARI PUSPITASARI _ SERTIFIKAT BerAKHLAK")</f>
        <v>6924_ARI PUSPITASARI _ SERTIFIKAT BerAKHLAK</v>
      </c>
      <c r="P6925" s="5" t="s">
        <v>44288</v>
      </c>
    </row>
    <row r="6926">
      <c r="A6926" s="4">
        <v>45534.37498576389</v>
      </c>
      <c r="B6926" s="5" t="s">
        <v>34</v>
      </c>
      <c r="D6926" s="5" t="s">
        <v>1206</v>
      </c>
      <c r="E6926" s="5" t="s">
        <v>44299</v>
      </c>
      <c r="F6926" s="5" t="s">
        <v>524</v>
      </c>
      <c r="G6926" s="5" t="s">
        <v>44300</v>
      </c>
      <c r="H6926" s="6" t="s">
        <v>44301</v>
      </c>
      <c r="K6926" s="5" t="s">
        <v>44280</v>
      </c>
      <c r="M6926" s="5" t="s">
        <v>44302</v>
      </c>
      <c r="N6926" s="7" t="s">
        <v>44303</v>
      </c>
      <c r="O6926" s="8" t="str">
        <f>HYPERLINK("https://drive.google.com/file/d/10qqHXdxcjxNwZeQgLvo7ECsuFJ9o7SRM/view?usp=drivesdk","6925_SUMITRO _ SERTIFIKAT BerAKHLAK")</f>
        <v>6925_SUMITRO _ SERTIFIKAT BerAKHLAK</v>
      </c>
      <c r="P6926" s="5" t="s">
        <v>44304</v>
      </c>
    </row>
    <row r="6927">
      <c r="A6927" s="4">
        <v>45534.37498961805</v>
      </c>
      <c r="B6927" s="5" t="s">
        <v>34</v>
      </c>
      <c r="D6927" s="5" t="s">
        <v>996</v>
      </c>
      <c r="E6927" s="5" t="s">
        <v>44305</v>
      </c>
      <c r="F6927" s="5" t="s">
        <v>108</v>
      </c>
      <c r="G6927" s="5" t="s">
        <v>44306</v>
      </c>
      <c r="H6927" s="6" t="s">
        <v>44307</v>
      </c>
      <c r="K6927" s="5" t="s">
        <v>44308</v>
      </c>
      <c r="M6927" s="5" t="s">
        <v>44309</v>
      </c>
      <c r="N6927" s="7" t="s">
        <v>44310</v>
      </c>
      <c r="O6927" s="8" t="str">
        <f>HYPERLINK("https://drive.google.com/file/d/1FNBMf7UpaFAA0qk24jbwuSJwbXzTyFgj/view?usp=drivesdk","6926_ENNY SUDRIANINGTIAS _ SERTIFIKAT BerAKHLAK")</f>
        <v>6926_ENNY SUDRIANINGTIAS _ SERTIFIKAT BerAKHLAK</v>
      </c>
      <c r="P6927" s="5" t="s">
        <v>44304</v>
      </c>
    </row>
    <row r="6928">
      <c r="A6928" s="4">
        <v>45534.37501903935</v>
      </c>
      <c r="B6928" s="5" t="s">
        <v>34</v>
      </c>
      <c r="D6928" s="5" t="s">
        <v>15401</v>
      </c>
      <c r="E6928" s="5" t="s">
        <v>44311</v>
      </c>
      <c r="F6928" s="5" t="s">
        <v>72</v>
      </c>
      <c r="G6928" s="5" t="s">
        <v>44312</v>
      </c>
      <c r="H6928" s="6" t="s">
        <v>44313</v>
      </c>
      <c r="K6928" s="5" t="s">
        <v>44314</v>
      </c>
      <c r="M6928" s="5" t="s">
        <v>44315</v>
      </c>
      <c r="N6928" s="7" t="s">
        <v>44316</v>
      </c>
      <c r="O6928" s="8" t="str">
        <f>HYPERLINK("https://drive.google.com/file/d/173G1oD9e8jwuL1uibkNJDb3bCOuW9TMX/view?usp=drivesdk","6927_ALI RIDWAN  _ SERTIFIKAT BerAKHLAK")</f>
        <v>6927_ALI RIDWAN  _ SERTIFIKAT BerAKHLAK</v>
      </c>
      <c r="P6928" s="5" t="s">
        <v>44304</v>
      </c>
    </row>
    <row r="6929">
      <c r="A6929" s="4">
        <v>45534.37502607639</v>
      </c>
      <c r="B6929" s="5" t="s">
        <v>34</v>
      </c>
      <c r="D6929" s="5" t="s">
        <v>580</v>
      </c>
      <c r="E6929" s="5" t="s">
        <v>44317</v>
      </c>
      <c r="F6929" s="5" t="s">
        <v>108</v>
      </c>
      <c r="G6929" s="5" t="s">
        <v>44318</v>
      </c>
      <c r="H6929" s="6" t="s">
        <v>44319</v>
      </c>
      <c r="K6929" s="5" t="s">
        <v>44314</v>
      </c>
      <c r="M6929" s="5" t="s">
        <v>44320</v>
      </c>
      <c r="N6929" s="7" t="s">
        <v>44321</v>
      </c>
      <c r="O6929" s="8" t="str">
        <f>HYPERLINK("https://drive.google.com/file/d/1LshZFjdcB6DUnnvaM2zM1Kv2hU5EWUY8/view?usp=drivesdk","6928_AYU RINI ARIANI, A.Md.Keb.,S.K.M _ SERTIFIKAT BerAKHLAK")</f>
        <v>6928_AYU RINI ARIANI, A.Md.Keb.,S.K.M _ SERTIFIKAT BerAKHLAK</v>
      </c>
      <c r="P6929" s="5" t="s">
        <v>44322</v>
      </c>
    </row>
    <row r="6930" hidden="1">
      <c r="A6930" s="4">
        <v>45534.37503715278</v>
      </c>
      <c r="B6930" s="5" t="s">
        <v>19</v>
      </c>
      <c r="C6930" s="5" t="s">
        <v>292</v>
      </c>
      <c r="E6930" s="5" t="s">
        <v>44323</v>
      </c>
      <c r="F6930" s="5" t="s">
        <v>72</v>
      </c>
      <c r="G6930" s="5" t="s">
        <v>44324</v>
      </c>
      <c r="H6930" s="6" t="s">
        <v>44325</v>
      </c>
      <c r="K6930" s="5" t="s">
        <v>44326</v>
      </c>
      <c r="M6930" s="5" t="s">
        <v>44327</v>
      </c>
      <c r="N6930" s="7" t="s">
        <v>44328</v>
      </c>
      <c r="O6930" s="8" t="str">
        <f>HYPERLINK("https://drive.google.com/file/d/109nHV09B4_ZH4JUmmVHU9B7gbI0OwZjm/view?usp=drivesdk","6929_ARI CAHYADI, S.E. _ SERTIFIKAT BerAKHLAK")</f>
        <v>6929_ARI CAHYADI, S.E. _ SERTIFIKAT BerAKHLAK</v>
      </c>
      <c r="P6930" s="5" t="s">
        <v>44322</v>
      </c>
    </row>
    <row r="6931">
      <c r="A6931" s="4">
        <v>45534.375041631945</v>
      </c>
      <c r="B6931" s="5" t="s">
        <v>34</v>
      </c>
      <c r="D6931" s="5" t="s">
        <v>1558</v>
      </c>
      <c r="E6931" s="5" t="s">
        <v>44329</v>
      </c>
      <c r="F6931" s="5" t="s">
        <v>715</v>
      </c>
      <c r="G6931" s="5" t="s">
        <v>44330</v>
      </c>
      <c r="H6931" s="6" t="s">
        <v>44331</v>
      </c>
      <c r="K6931" s="5" t="s">
        <v>44326</v>
      </c>
      <c r="M6931" s="5" t="s">
        <v>44332</v>
      </c>
      <c r="N6931" s="7" t="s">
        <v>44333</v>
      </c>
      <c r="O6931" s="8" t="str">
        <f>HYPERLINK("https://drive.google.com/file/d/1wCJvwT9AQnOQV0Nflih-Bc_aw2oWuZDI/view?usp=drivesdk","6930_DEViA ERMON SE _ SERTIFIKAT BerAKHLAK")</f>
        <v>6930_DEViA ERMON SE _ SERTIFIKAT BerAKHLAK</v>
      </c>
      <c r="P6931" s="5" t="s">
        <v>44322</v>
      </c>
    </row>
    <row r="6932">
      <c r="A6932" s="4">
        <v>45534.37506252315</v>
      </c>
      <c r="B6932" s="5" t="s">
        <v>34</v>
      </c>
      <c r="D6932" s="5" t="s">
        <v>12978</v>
      </c>
      <c r="E6932" s="5" t="s">
        <v>44334</v>
      </c>
      <c r="F6932" s="5" t="s">
        <v>212</v>
      </c>
      <c r="G6932" s="5" t="s">
        <v>44335</v>
      </c>
      <c r="H6932" s="6" t="s">
        <v>44336</v>
      </c>
      <c r="K6932" s="5" t="s">
        <v>44326</v>
      </c>
      <c r="M6932" s="5" t="s">
        <v>44337</v>
      </c>
      <c r="N6932" s="7" t="s">
        <v>44338</v>
      </c>
      <c r="O6932" s="8" t="str">
        <f>HYPERLINK("https://drive.google.com/file/d/1zF4m-5Blu_IunjOIWtN4FRT5BSk53wdr/view?usp=drivesdk","6931_TUTI ASNANI _ SERTIFIKAT BerAKHLAK")</f>
        <v>6931_TUTI ASNANI _ SERTIFIKAT BerAKHLAK</v>
      </c>
      <c r="P6932" s="5" t="s">
        <v>44322</v>
      </c>
    </row>
    <row r="6933">
      <c r="A6933" s="4">
        <v>45534.37507559027</v>
      </c>
      <c r="B6933" s="5" t="s">
        <v>34</v>
      </c>
      <c r="D6933" s="5" t="s">
        <v>1206</v>
      </c>
      <c r="E6933" s="5" t="s">
        <v>44339</v>
      </c>
      <c r="F6933" s="5" t="s">
        <v>524</v>
      </c>
      <c r="G6933" s="5" t="s">
        <v>44340</v>
      </c>
      <c r="H6933" s="6" t="s">
        <v>44341</v>
      </c>
      <c r="K6933" s="5" t="s">
        <v>44326</v>
      </c>
      <c r="M6933" s="5" t="s">
        <v>44342</v>
      </c>
      <c r="N6933" s="7" t="s">
        <v>44343</v>
      </c>
      <c r="O6933" s="8" t="str">
        <f>HYPERLINK("https://drive.google.com/file/d/1IOQrD0zbaAA1AxawMj3VlFWVG3Psg8nS/view?usp=drivesdk","6932_NANIK SRININGSIH _ SERTIFIKAT BerAKHLAK")</f>
        <v>6932_NANIK SRININGSIH _ SERTIFIKAT BerAKHLAK</v>
      </c>
      <c r="P6933" s="5" t="s">
        <v>44344</v>
      </c>
    </row>
    <row r="6934">
      <c r="A6934" s="4">
        <v>45534.37509163194</v>
      </c>
      <c r="B6934" s="5" t="s">
        <v>34</v>
      </c>
      <c r="D6934" s="5" t="s">
        <v>9020</v>
      </c>
      <c r="E6934" s="5" t="s">
        <v>44345</v>
      </c>
      <c r="F6934" s="5" t="s">
        <v>5859</v>
      </c>
      <c r="G6934" s="5" t="s">
        <v>44346</v>
      </c>
      <c r="H6934" s="6" t="s">
        <v>44347</v>
      </c>
      <c r="K6934" s="5" t="s">
        <v>44326</v>
      </c>
      <c r="M6934" s="5" t="s">
        <v>44348</v>
      </c>
      <c r="N6934" s="7" t="s">
        <v>44349</v>
      </c>
      <c r="O6934" s="8" t="str">
        <f>HYPERLINK("https://drive.google.com/file/d/1zAwnmJwOFaT88tk_yt_M-wn_Y_Q-FbXG/view?usp=drivesdk","6933_MISNAN _ SERTIFIKAT BerAKHLAK")</f>
        <v>6933_MISNAN _ SERTIFIKAT BerAKHLAK</v>
      </c>
      <c r="P6934" s="5" t="s">
        <v>44344</v>
      </c>
    </row>
    <row r="6935">
      <c r="A6935" s="4">
        <v>45534.37510780092</v>
      </c>
      <c r="B6935" s="5" t="s">
        <v>34</v>
      </c>
      <c r="D6935" s="5" t="s">
        <v>701</v>
      </c>
      <c r="E6935" s="5" t="s">
        <v>44350</v>
      </c>
      <c r="F6935" s="5" t="s">
        <v>524</v>
      </c>
      <c r="G6935" s="5" t="s">
        <v>44351</v>
      </c>
      <c r="H6935" s="6" t="s">
        <v>44352</v>
      </c>
      <c r="K6935" s="5" t="s">
        <v>44353</v>
      </c>
      <c r="M6935" s="5" t="s">
        <v>44354</v>
      </c>
      <c r="N6935" s="7" t="s">
        <v>44355</v>
      </c>
      <c r="O6935" s="8" t="str">
        <f>HYPERLINK("https://drive.google.com/file/d/1qg_t5mngp55Ca4GJ8Quo5N15vwn09oLL/view?usp=drivesdk","6934_YOLA DIANA,S.E. _ SERTIFIKAT BerAKHLAK")</f>
        <v>6934_YOLA DIANA,S.E. _ SERTIFIKAT BerAKHLAK</v>
      </c>
      <c r="P6935" s="5" t="s">
        <v>44344</v>
      </c>
    </row>
    <row r="6936">
      <c r="A6936" s="4">
        <v>45534.375111180554</v>
      </c>
      <c r="B6936" s="5" t="s">
        <v>34</v>
      </c>
      <c r="D6936" s="5" t="s">
        <v>9020</v>
      </c>
      <c r="E6936" s="5" t="s">
        <v>44356</v>
      </c>
      <c r="F6936" s="5" t="s">
        <v>108</v>
      </c>
      <c r="G6936" s="5" t="s">
        <v>44357</v>
      </c>
      <c r="H6936" s="6" t="s">
        <v>44358</v>
      </c>
      <c r="K6936" s="5" t="s">
        <v>44353</v>
      </c>
      <c r="M6936" s="5" t="s">
        <v>44359</v>
      </c>
      <c r="N6936" s="7" t="s">
        <v>44360</v>
      </c>
      <c r="O6936" s="8" t="str">
        <f>HYPERLINK("https://drive.google.com/file/d/1_Jil5h7nc4uw7lrUGgvVTJvIKPDEc2s8/view?usp=drivesdk","6935_Maslan Nikson Nainggolan  _ SERTIFIKAT BerAKHLAK")</f>
        <v>6935_Maslan Nikson Nainggolan  _ SERTIFIKAT BerAKHLAK</v>
      </c>
      <c r="P6936" s="5" t="s">
        <v>44361</v>
      </c>
    </row>
    <row r="6937">
      <c r="A6937" s="4">
        <v>45534.37512525463</v>
      </c>
      <c r="B6937" s="5" t="s">
        <v>34</v>
      </c>
      <c r="D6937" s="5" t="s">
        <v>2903</v>
      </c>
      <c r="E6937" s="5" t="s">
        <v>44362</v>
      </c>
      <c r="F6937" s="5" t="s">
        <v>212</v>
      </c>
      <c r="G6937" s="5" t="s">
        <v>44363</v>
      </c>
      <c r="H6937" s="6" t="s">
        <v>44364</v>
      </c>
      <c r="K6937" s="5" t="s">
        <v>44353</v>
      </c>
      <c r="M6937" s="5" t="s">
        <v>44365</v>
      </c>
      <c r="N6937" s="7" t="s">
        <v>44366</v>
      </c>
      <c r="O6937" s="8" t="str">
        <f>HYPERLINK("https://drive.google.com/file/d/1RRwMSozSCO-YAY-qwg9jg3qUXCGolOwg/view?usp=drivesdk","6936_ERMA SARFAH _ SERTIFIKAT BerAKHLAK")</f>
        <v>6936_ERMA SARFAH _ SERTIFIKAT BerAKHLAK</v>
      </c>
      <c r="P6937" s="5" t="s">
        <v>44361</v>
      </c>
    </row>
    <row r="6938">
      <c r="A6938" s="4">
        <v>45534.37512693287</v>
      </c>
      <c r="B6938" s="5" t="s">
        <v>34</v>
      </c>
      <c r="D6938" s="5" t="s">
        <v>35</v>
      </c>
      <c r="E6938" s="5" t="s">
        <v>44367</v>
      </c>
      <c r="F6938" s="5" t="s">
        <v>72</v>
      </c>
      <c r="G6938" s="5" t="s">
        <v>44368</v>
      </c>
      <c r="H6938" s="6" t="s">
        <v>44369</v>
      </c>
      <c r="K6938" s="5" t="s">
        <v>44353</v>
      </c>
      <c r="M6938" s="5" t="s">
        <v>44370</v>
      </c>
      <c r="N6938" s="7" t="s">
        <v>44371</v>
      </c>
      <c r="O6938" s="8" t="str">
        <f>HYPERLINK("https://drive.google.com/file/d/1wwPeAkT6Npoj3v34eG83vkX_2IG1_zgJ/view?usp=drivesdk","6937_SURYATI NURLELA,AMD _ SERTIFIKAT BerAKHLAK")</f>
        <v>6937_SURYATI NURLELA,AMD _ SERTIFIKAT BerAKHLAK</v>
      </c>
      <c r="P6938" s="5" t="s">
        <v>44361</v>
      </c>
    </row>
    <row r="6939">
      <c r="A6939" s="4">
        <v>45534.37515020833</v>
      </c>
      <c r="B6939" s="5" t="s">
        <v>34</v>
      </c>
      <c r="D6939" s="5" t="s">
        <v>12978</v>
      </c>
      <c r="E6939" s="5" t="s">
        <v>44372</v>
      </c>
      <c r="F6939" s="5" t="s">
        <v>715</v>
      </c>
      <c r="G6939" s="5" t="s">
        <v>44373</v>
      </c>
      <c r="H6939" s="6" t="s">
        <v>44374</v>
      </c>
      <c r="K6939" s="5" t="s">
        <v>44375</v>
      </c>
      <c r="M6939" s="5" t="s">
        <v>44376</v>
      </c>
      <c r="N6939" s="7" t="s">
        <v>44377</v>
      </c>
      <c r="O6939" s="8" t="str">
        <f>HYPERLINK("https://drive.google.com/file/d/1NwUgCqNUtCvkawqjZT-yrXzYrzRfXGm9/view?usp=drivesdk","6938_DUWI AGUSTINA, S.E _ SERTIFIKAT BerAKHLAK")</f>
        <v>6938_DUWI AGUSTINA, S.E _ SERTIFIKAT BerAKHLAK</v>
      </c>
      <c r="P6939" s="5" t="s">
        <v>44361</v>
      </c>
    </row>
    <row r="6940">
      <c r="A6940" s="4">
        <v>45534.37515208333</v>
      </c>
      <c r="B6940" s="5" t="s">
        <v>34</v>
      </c>
      <c r="D6940" s="5" t="s">
        <v>10297</v>
      </c>
      <c r="E6940" s="5" t="s">
        <v>44378</v>
      </c>
      <c r="F6940" s="5" t="s">
        <v>212</v>
      </c>
      <c r="G6940" s="5" t="s">
        <v>44379</v>
      </c>
      <c r="H6940" s="6" t="s">
        <v>44380</v>
      </c>
      <c r="K6940" s="5" t="s">
        <v>44375</v>
      </c>
      <c r="M6940" s="5" t="s">
        <v>44381</v>
      </c>
      <c r="N6940" s="7" t="s">
        <v>44382</v>
      </c>
      <c r="O6940" s="8" t="str">
        <f>HYPERLINK("https://drive.google.com/file/d/1BpZNwFiMxa7MQXk3Io971qL3gYetvkIM/view?usp=drivesdk","6939_ERNAWATI, S.Kep _ SERTIFIKAT BerAKHLAK")</f>
        <v>6939_ERNAWATI, S.Kep _ SERTIFIKAT BerAKHLAK</v>
      </c>
      <c r="P6940" s="5" t="s">
        <v>44383</v>
      </c>
    </row>
    <row r="6941">
      <c r="A6941" s="4">
        <v>45534.375162118056</v>
      </c>
      <c r="B6941" s="5" t="s">
        <v>34</v>
      </c>
      <c r="D6941" s="5" t="s">
        <v>1206</v>
      </c>
      <c r="E6941" s="5" t="s">
        <v>44384</v>
      </c>
      <c r="F6941" s="5" t="s">
        <v>375</v>
      </c>
      <c r="G6941" s="5" t="s">
        <v>44385</v>
      </c>
      <c r="H6941" s="6" t="s">
        <v>44386</v>
      </c>
      <c r="K6941" s="5" t="s">
        <v>44375</v>
      </c>
      <c r="M6941" s="5" t="s">
        <v>44387</v>
      </c>
      <c r="N6941" s="7" t="s">
        <v>44388</v>
      </c>
      <c r="O6941" s="8" t="str">
        <f>HYPERLINK("https://drive.google.com/file/d/1hqmwZs8wf3srUV3gJ3JAoN_fdOnJZyH3/view?usp=drivesdk","6940_SULMIATIN, S.Pd _ SERTIFIKAT BerAKHLAK")</f>
        <v>6940_SULMIATIN, S.Pd _ SERTIFIKAT BerAKHLAK</v>
      </c>
      <c r="P6941" s="5" t="s">
        <v>44383</v>
      </c>
    </row>
    <row r="6942">
      <c r="A6942" s="4">
        <v>45534.37517613426</v>
      </c>
      <c r="B6942" s="5" t="s">
        <v>34</v>
      </c>
      <c r="D6942" s="5" t="s">
        <v>701</v>
      </c>
      <c r="E6942" s="5" t="s">
        <v>44389</v>
      </c>
      <c r="F6942" s="5" t="s">
        <v>108</v>
      </c>
      <c r="G6942" s="5" t="s">
        <v>44390</v>
      </c>
      <c r="H6942" s="6" t="s">
        <v>44391</v>
      </c>
      <c r="K6942" s="5" t="s">
        <v>44392</v>
      </c>
      <c r="M6942" s="5" t="s">
        <v>44393</v>
      </c>
      <c r="N6942" s="7" t="s">
        <v>44394</v>
      </c>
      <c r="O6942" s="8" t="str">
        <f>HYPERLINK("https://drive.google.com/file/d/1Kc7PZTj8ghfiIWEYTDYxH-N8H0ODGW0z/view?usp=drivesdk","6941_ASNIDA,S.E _ SERTIFIKAT BerAKHLAK")</f>
        <v>6941_ASNIDA,S.E _ SERTIFIKAT BerAKHLAK</v>
      </c>
      <c r="P6942" s="5" t="s">
        <v>44383</v>
      </c>
    </row>
    <row r="6943">
      <c r="A6943" s="4">
        <v>45534.375176828704</v>
      </c>
      <c r="B6943" s="5" t="s">
        <v>34</v>
      </c>
      <c r="D6943" s="5" t="s">
        <v>6232</v>
      </c>
      <c r="E6943" s="5" t="s">
        <v>44395</v>
      </c>
      <c r="F6943" s="5" t="s">
        <v>72</v>
      </c>
      <c r="G6943" s="5" t="s">
        <v>44396</v>
      </c>
      <c r="H6943" s="6" t="s">
        <v>44397</v>
      </c>
      <c r="K6943" s="5" t="s">
        <v>44392</v>
      </c>
      <c r="M6943" s="5" t="s">
        <v>44398</v>
      </c>
      <c r="N6943" s="7" t="s">
        <v>44399</v>
      </c>
      <c r="O6943" s="8" t="str">
        <f>HYPERLINK("https://drive.google.com/file/d/1YZoEJclzszJ7e4P_clAUikhy8794RiVf/view?usp=drivesdk","6942_PAINAH _ SERTIFIKAT BerAKHLAK")</f>
        <v>6942_PAINAH _ SERTIFIKAT BerAKHLAK</v>
      </c>
      <c r="P6943" s="5" t="s">
        <v>44383</v>
      </c>
    </row>
    <row r="6944">
      <c r="A6944" s="4">
        <v>45534.375177187496</v>
      </c>
      <c r="B6944" s="5" t="s">
        <v>34</v>
      </c>
      <c r="D6944" s="5" t="s">
        <v>1692</v>
      </c>
      <c r="E6944" s="5" t="s">
        <v>44400</v>
      </c>
      <c r="F6944" s="5" t="s">
        <v>37</v>
      </c>
      <c r="G6944" s="5" t="s">
        <v>44401</v>
      </c>
      <c r="H6944" s="6" t="s">
        <v>44402</v>
      </c>
      <c r="K6944" s="5" t="s">
        <v>44392</v>
      </c>
      <c r="M6944" s="5" t="s">
        <v>44403</v>
      </c>
      <c r="N6944" s="7" t="s">
        <v>44404</v>
      </c>
      <c r="O6944" s="8" t="str">
        <f>HYPERLINK("https://drive.google.com/file/d/1IZ5K92ysC5mvbFIbuXgusd7jFMDcE7F3/view?usp=drivesdk","6943_MANSJE TAPILOUW _ SERTIFIKAT BerAKHLAK")</f>
        <v>6943_MANSJE TAPILOUW _ SERTIFIKAT BerAKHLAK</v>
      </c>
      <c r="P6944" s="5" t="s">
        <v>44405</v>
      </c>
    </row>
    <row r="6945">
      <c r="A6945" s="4">
        <v>45534.37518121528</v>
      </c>
      <c r="B6945" s="5" t="s">
        <v>34</v>
      </c>
      <c r="D6945" s="5" t="s">
        <v>14424</v>
      </c>
      <c r="E6945" s="5" t="s">
        <v>44406</v>
      </c>
      <c r="F6945" s="5" t="s">
        <v>72</v>
      </c>
      <c r="G6945" s="5" t="s">
        <v>44407</v>
      </c>
      <c r="H6945" s="6" t="s">
        <v>44408</v>
      </c>
      <c r="K6945" s="5" t="s">
        <v>44392</v>
      </c>
      <c r="M6945" s="5" t="s">
        <v>44409</v>
      </c>
      <c r="N6945" s="7" t="s">
        <v>44410</v>
      </c>
      <c r="O6945" s="8" t="str">
        <f>HYPERLINK("https://drive.google.com/file/d/1a2pnQ9JNrNjfd7svxqR6SxhqAI2cuai7/view?usp=drivesdk","6944_NISWATI, Amk _ SERTIFIKAT BerAKHLAK")</f>
        <v>6944_NISWATI, Amk _ SERTIFIKAT BerAKHLAK</v>
      </c>
      <c r="P6945" s="5" t="s">
        <v>44405</v>
      </c>
    </row>
    <row r="6946">
      <c r="A6946" s="4">
        <v>45534.375189293976</v>
      </c>
      <c r="B6946" s="5" t="s">
        <v>34</v>
      </c>
      <c r="D6946" s="5" t="s">
        <v>35</v>
      </c>
      <c r="E6946" s="5" t="s">
        <v>44411</v>
      </c>
      <c r="F6946" s="5" t="s">
        <v>199</v>
      </c>
      <c r="G6946" s="5" t="s">
        <v>44412</v>
      </c>
      <c r="H6946" s="6" t="s">
        <v>44413</v>
      </c>
      <c r="K6946" s="5" t="s">
        <v>44392</v>
      </c>
      <c r="M6946" s="5" t="s">
        <v>44414</v>
      </c>
      <c r="N6946" s="7" t="s">
        <v>44415</v>
      </c>
      <c r="O6946" s="8" t="str">
        <f>HYPERLINK("https://drive.google.com/file/d/1XrzCC8CUAYSMpD0-vux9LVpeDCupstB1/view?usp=drivesdk","6945_YANUAR SELOWATI _ SERTIFIKAT BerAKHLAK")</f>
        <v>6945_YANUAR SELOWATI _ SERTIFIKAT BerAKHLAK</v>
      </c>
      <c r="P6946" s="5" t="s">
        <v>44405</v>
      </c>
    </row>
    <row r="6947" hidden="1">
      <c r="A6947" s="4">
        <v>45534.37519525463</v>
      </c>
      <c r="B6947" s="5" t="s">
        <v>19</v>
      </c>
      <c r="C6947" s="5" t="s">
        <v>292</v>
      </c>
      <c r="E6947" s="5" t="s">
        <v>44416</v>
      </c>
      <c r="F6947" s="5" t="s">
        <v>6776</v>
      </c>
      <c r="G6947" s="5" t="s">
        <v>44417</v>
      </c>
      <c r="H6947" s="6" t="s">
        <v>44418</v>
      </c>
      <c r="K6947" s="5" t="s">
        <v>44392</v>
      </c>
      <c r="M6947" s="5" t="s">
        <v>44419</v>
      </c>
      <c r="N6947" s="7" t="s">
        <v>44420</v>
      </c>
      <c r="O6947" s="8" t="str">
        <f>HYPERLINK("https://drive.google.com/file/d/1XfQ3UwIJt4CeYBeUUrc1d67hScN9W3QN/view?usp=drivesdk","6946_SUKISNO  _ SERTIFIKAT BerAKHLAK")</f>
        <v>6946_SUKISNO  _ SERTIFIKAT BerAKHLAK</v>
      </c>
      <c r="P6947" s="5" t="s">
        <v>44405</v>
      </c>
    </row>
    <row r="6948">
      <c r="A6948" s="4">
        <v>45534.37520263889</v>
      </c>
      <c r="B6948" s="5" t="s">
        <v>34</v>
      </c>
      <c r="D6948" s="5" t="s">
        <v>996</v>
      </c>
      <c r="E6948" s="5" t="s">
        <v>44421</v>
      </c>
      <c r="F6948" s="5" t="s">
        <v>212</v>
      </c>
      <c r="G6948" s="5" t="s">
        <v>44422</v>
      </c>
      <c r="H6948" s="6" t="s">
        <v>44423</v>
      </c>
      <c r="K6948" s="5" t="s">
        <v>44424</v>
      </c>
      <c r="M6948" s="5" t="s">
        <v>44425</v>
      </c>
      <c r="N6948" s="7" t="s">
        <v>44426</v>
      </c>
      <c r="O6948" s="8" t="str">
        <f>HYPERLINK("https://drive.google.com/file/d/1NGr2Yp-KPMHbAG1X2iXGiCSNqMjX4kcJ/view?usp=drivesdk","6947_SITI MARIANAH _ SERTIFIKAT BerAKHLAK")</f>
        <v>6947_SITI MARIANAH _ SERTIFIKAT BerAKHLAK</v>
      </c>
      <c r="P6948" s="5" t="s">
        <v>44405</v>
      </c>
    </row>
    <row r="6949">
      <c r="A6949" s="4">
        <v>45534.375204930555</v>
      </c>
      <c r="B6949" s="5" t="s">
        <v>34</v>
      </c>
      <c r="D6949" s="5" t="s">
        <v>1558</v>
      </c>
      <c r="E6949" s="5" t="s">
        <v>44427</v>
      </c>
      <c r="F6949" s="5" t="s">
        <v>108</v>
      </c>
      <c r="G6949" s="5" t="s">
        <v>44428</v>
      </c>
      <c r="H6949" s="6" t="s">
        <v>44429</v>
      </c>
      <c r="K6949" s="5" t="s">
        <v>44424</v>
      </c>
      <c r="M6949" s="5" t="s">
        <v>44430</v>
      </c>
      <c r="N6949" s="7" t="s">
        <v>44431</v>
      </c>
      <c r="O6949" s="8" t="str">
        <f>HYPERLINK("https://drive.google.com/file/d/1qm7dh4A2-8958A8ClDuEo5-FBkLxtSit/view?usp=drivesdk","6948_ANIK WIDAYATI _ SERTIFIKAT BerAKHLAK")</f>
        <v>6948_ANIK WIDAYATI _ SERTIFIKAT BerAKHLAK</v>
      </c>
      <c r="P6949" s="5" t="s">
        <v>44432</v>
      </c>
    </row>
    <row r="6950">
      <c r="A6950" s="4">
        <v>45534.37521006944</v>
      </c>
      <c r="B6950" s="5" t="s">
        <v>34</v>
      </c>
      <c r="D6950" s="5" t="s">
        <v>7858</v>
      </c>
      <c r="E6950" s="5" t="s">
        <v>44433</v>
      </c>
      <c r="F6950" s="5" t="s">
        <v>375</v>
      </c>
      <c r="G6950" s="5" t="s">
        <v>44434</v>
      </c>
      <c r="H6950" s="6" t="s">
        <v>44435</v>
      </c>
      <c r="K6950" s="5" t="s">
        <v>44424</v>
      </c>
      <c r="M6950" s="5" t="s">
        <v>44436</v>
      </c>
      <c r="N6950" s="7" t="s">
        <v>44437</v>
      </c>
      <c r="O6950" s="8" t="str">
        <f>HYPERLINK("https://drive.google.com/file/d/1-cgkiJSzPjSn8Wd_nXF7UXL_dRHrpQck/view?usp=drivesdk","6949_KANIA DEWIYANTI. SE _ SERTIFIKAT BerAKHLAK")</f>
        <v>6949_KANIA DEWIYANTI. SE _ SERTIFIKAT BerAKHLAK</v>
      </c>
      <c r="P6950" s="5" t="s">
        <v>44432</v>
      </c>
    </row>
    <row r="6951">
      <c r="A6951" s="4">
        <v>45534.37521125</v>
      </c>
      <c r="B6951" s="5" t="s">
        <v>34</v>
      </c>
      <c r="D6951" s="5" t="s">
        <v>1206</v>
      </c>
      <c r="E6951" s="5" t="s">
        <v>44438</v>
      </c>
      <c r="F6951" s="5" t="s">
        <v>199</v>
      </c>
      <c r="G6951" s="5" t="s">
        <v>44439</v>
      </c>
      <c r="H6951" s="6" t="s">
        <v>44440</v>
      </c>
      <c r="K6951" s="5" t="s">
        <v>44424</v>
      </c>
      <c r="M6951" s="5" t="s">
        <v>44441</v>
      </c>
      <c r="N6951" s="7" t="s">
        <v>44442</v>
      </c>
      <c r="O6951" s="8" t="str">
        <f>HYPERLINK("https://drive.google.com/file/d/1Rlbd-HkCqDyeIPileTzv4P2pvUgcWQiu/view?usp=drivesdk","6950_YANTI SRI PUSI'AH _ SERTIFIKAT BerAKHLAK")</f>
        <v>6950_YANTI SRI PUSI'AH _ SERTIFIKAT BerAKHLAK</v>
      </c>
      <c r="P6951" s="5" t="s">
        <v>44432</v>
      </c>
    </row>
    <row r="6952">
      <c r="A6952" s="4">
        <v>45534.37521414352</v>
      </c>
      <c r="B6952" s="5" t="s">
        <v>34</v>
      </c>
      <c r="D6952" s="5" t="s">
        <v>9020</v>
      </c>
      <c r="E6952" s="5" t="s">
        <v>44443</v>
      </c>
      <c r="F6952" s="5" t="s">
        <v>72</v>
      </c>
      <c r="G6952" s="5" t="s">
        <v>44444</v>
      </c>
      <c r="H6952" s="6" t="s">
        <v>44445</v>
      </c>
      <c r="K6952" s="5" t="s">
        <v>44424</v>
      </c>
      <c r="M6952" s="5" t="s">
        <v>44446</v>
      </c>
      <c r="N6952" s="7" t="s">
        <v>44447</v>
      </c>
      <c r="O6952" s="8" t="str">
        <f>HYPERLINK("https://drive.google.com/file/d/1BOCSUPTMwSVDAtGp7H_jojXn4ab-GbMQ/view?usp=drivesdk","6951_Elida Hanum, SH _ SERTIFIKAT BerAKHLAK")</f>
        <v>6951_Elida Hanum, SH _ SERTIFIKAT BerAKHLAK</v>
      </c>
      <c r="P6952" s="5" t="s">
        <v>44322</v>
      </c>
    </row>
    <row r="6953">
      <c r="A6953" s="4">
        <v>45534.3752378125</v>
      </c>
      <c r="B6953" s="5" t="s">
        <v>34</v>
      </c>
      <c r="D6953" s="5" t="s">
        <v>9394</v>
      </c>
      <c r="E6953" s="5" t="s">
        <v>44448</v>
      </c>
      <c r="F6953" s="5" t="s">
        <v>212</v>
      </c>
      <c r="G6953" s="5" t="s">
        <v>44449</v>
      </c>
      <c r="H6953" s="6" t="s">
        <v>44450</v>
      </c>
      <c r="K6953" s="5" t="s">
        <v>44424</v>
      </c>
      <c r="M6953" s="5" t="s">
        <v>44451</v>
      </c>
      <c r="N6953" s="7" t="s">
        <v>44452</v>
      </c>
      <c r="O6953" s="8" t="str">
        <f>HYPERLINK("https://drive.google.com/file/d/1vBZNA8tDTok4lE8DYOXICsaSS2DKDc1X/view?usp=drivesdk","6952_ASRIZAL _ SERTIFIKAT BerAKHLAK")</f>
        <v>6952_ASRIZAL _ SERTIFIKAT BerAKHLAK</v>
      </c>
      <c r="P6953" s="5" t="s">
        <v>44453</v>
      </c>
    </row>
    <row r="6954">
      <c r="A6954" s="4">
        <v>45534.37524451389</v>
      </c>
      <c r="B6954" s="5" t="s">
        <v>34</v>
      </c>
      <c r="D6954" s="5" t="s">
        <v>35</v>
      </c>
      <c r="E6954" s="5" t="s">
        <v>44454</v>
      </c>
      <c r="F6954" s="5" t="s">
        <v>108</v>
      </c>
      <c r="G6954" s="5" t="s">
        <v>44455</v>
      </c>
      <c r="H6954" s="6" t="s">
        <v>44456</v>
      </c>
      <c r="K6954" s="5" t="s">
        <v>44424</v>
      </c>
      <c r="M6954" s="5" t="s">
        <v>44457</v>
      </c>
      <c r="N6954" s="7" t="s">
        <v>44458</v>
      </c>
      <c r="O6954" s="8" t="str">
        <f>HYPERLINK("https://drive.google.com/file/d/1yphYVJHuSbD5-4L1c7zizi11bxic883K/view?usp=drivesdk","6953_TYAS SENJANI P, A.Md _ SERTIFIKAT BerAKHLAK")</f>
        <v>6953_TYAS SENJANI P, A.Md _ SERTIFIKAT BerAKHLAK</v>
      </c>
      <c r="P6954" s="5" t="s">
        <v>44453</v>
      </c>
    </row>
    <row r="6955">
      <c r="A6955" s="4">
        <v>45534.37524616898</v>
      </c>
      <c r="B6955" s="5" t="s">
        <v>34</v>
      </c>
      <c r="D6955" s="5" t="s">
        <v>9394</v>
      </c>
      <c r="E6955" s="5" t="s">
        <v>44459</v>
      </c>
      <c r="F6955" s="5" t="s">
        <v>72</v>
      </c>
      <c r="G6955" s="5" t="s">
        <v>44460</v>
      </c>
      <c r="H6955" s="6" t="s">
        <v>44461</v>
      </c>
      <c r="K6955" s="5" t="s">
        <v>44424</v>
      </c>
      <c r="M6955" s="5" t="s">
        <v>44462</v>
      </c>
      <c r="N6955" s="7" t="s">
        <v>44463</v>
      </c>
      <c r="O6955" s="8" t="str">
        <f>HYPERLINK("https://drive.google.com/file/d/1_sT1DvN0Iv-fE6llhfWWxlOsZWD_j6tH/view?usp=drivesdk","6954_ARDIANSYAH, AMD _ SERTIFIKAT BerAKHLAK")</f>
        <v>6954_ARDIANSYAH, AMD _ SERTIFIKAT BerAKHLAK</v>
      </c>
      <c r="P6955" s="5" t="s">
        <v>44453</v>
      </c>
    </row>
    <row r="6956">
      <c r="A6956" s="4">
        <v>45534.3752529051</v>
      </c>
      <c r="B6956" s="5" t="s">
        <v>34</v>
      </c>
      <c r="D6956" s="5" t="s">
        <v>701</v>
      </c>
      <c r="E6956" s="5" t="s">
        <v>44464</v>
      </c>
      <c r="F6956" s="5" t="s">
        <v>37</v>
      </c>
      <c r="G6956" s="5" t="s">
        <v>44465</v>
      </c>
      <c r="H6956" s="6" t="s">
        <v>44466</v>
      </c>
      <c r="K6956" s="5" t="s">
        <v>44424</v>
      </c>
      <c r="M6956" s="5" t="s">
        <v>44467</v>
      </c>
      <c r="N6956" s="7" t="s">
        <v>44468</v>
      </c>
      <c r="O6956" s="8" t="str">
        <f>HYPERLINK("https://drive.google.com/file/d/14YfAn9kmroXG0x6LxJx92jqQXVY0CQUy/view?usp=drivesdk","6955_FRANSISCA ROSADI _ SERTIFIKAT BerAKHLAK")</f>
        <v>6955_FRANSISCA ROSADI _ SERTIFIKAT BerAKHLAK</v>
      </c>
      <c r="P6956" s="5" t="s">
        <v>44453</v>
      </c>
    </row>
    <row r="6957" hidden="1">
      <c r="A6957" s="4">
        <v>45534.37525711805</v>
      </c>
      <c r="B6957" s="5" t="s">
        <v>19</v>
      </c>
      <c r="C6957" s="5" t="s">
        <v>292</v>
      </c>
      <c r="E6957" s="5" t="s">
        <v>44469</v>
      </c>
      <c r="F6957" s="5" t="s">
        <v>199</v>
      </c>
      <c r="G6957" s="5" t="s">
        <v>44470</v>
      </c>
      <c r="H6957" s="6" t="s">
        <v>44471</v>
      </c>
      <c r="K6957" s="5" t="s">
        <v>44472</v>
      </c>
      <c r="M6957" s="5" t="s">
        <v>44473</v>
      </c>
      <c r="N6957" s="7" t="s">
        <v>44474</v>
      </c>
      <c r="O6957" s="8" t="str">
        <f>HYPERLINK("https://drive.google.com/file/d/11SG_bb0mrqa-LQ8FqSLw_-eWuOIqj8yv/view?usp=drivesdk","6956_SULASMI _ SERTIFIKAT BerAKHLAK")</f>
        <v>6956_SULASMI _ SERTIFIKAT BerAKHLAK</v>
      </c>
      <c r="P6957" s="5" t="s">
        <v>44475</v>
      </c>
    </row>
    <row r="6958" hidden="1">
      <c r="A6958" s="4">
        <v>45534.37527719907</v>
      </c>
      <c r="B6958" s="5" t="s">
        <v>19</v>
      </c>
      <c r="C6958" s="5" t="s">
        <v>24076</v>
      </c>
      <c r="E6958" s="5" t="s">
        <v>44476</v>
      </c>
      <c r="F6958" s="5" t="s">
        <v>120</v>
      </c>
      <c r="G6958" s="5" t="s">
        <v>44477</v>
      </c>
      <c r="H6958" s="6" t="s">
        <v>44478</v>
      </c>
      <c r="K6958" s="5" t="s">
        <v>44472</v>
      </c>
      <c r="M6958" s="5" t="s">
        <v>44479</v>
      </c>
      <c r="N6958" s="7" t="s">
        <v>44480</v>
      </c>
      <c r="O6958" s="8" t="str">
        <f>HYPERLINK("https://drive.google.com/file/d/14aEiarG6PZLFIVjRjfp5YzJJdY7S7aTj/view?usp=drivesdk","6957_BONAWARDHANI _ SERTIFIKAT BerAKHLAK")</f>
        <v>6957_BONAWARDHANI _ SERTIFIKAT BerAKHLAK</v>
      </c>
      <c r="P6958" s="5" t="s">
        <v>44475</v>
      </c>
    </row>
    <row r="6959">
      <c r="A6959" s="4">
        <v>45534.37528960648</v>
      </c>
      <c r="B6959" s="5" t="s">
        <v>34</v>
      </c>
      <c r="D6959" s="5" t="s">
        <v>1558</v>
      </c>
      <c r="E6959" s="5" t="s">
        <v>44481</v>
      </c>
      <c r="F6959" s="5" t="s">
        <v>212</v>
      </c>
      <c r="G6959" s="5" t="s">
        <v>44482</v>
      </c>
      <c r="H6959" s="6" t="s">
        <v>44483</v>
      </c>
      <c r="K6959" s="5" t="s">
        <v>44472</v>
      </c>
      <c r="M6959" s="5" t="s">
        <v>44484</v>
      </c>
      <c r="N6959" s="7" t="s">
        <v>44485</v>
      </c>
      <c r="O6959" s="8" t="str">
        <f>HYPERLINK("https://drive.google.com/file/d/15VQeMp2IVR1mLhj8fiVfyQaaHq79Bcl4/view?usp=drivesdk","6958_HERI LESTARI _ SERTIFIKAT BerAKHLAK")</f>
        <v>6958_HERI LESTARI _ SERTIFIKAT BerAKHLAK</v>
      </c>
      <c r="P6959" s="5" t="s">
        <v>44475</v>
      </c>
    </row>
    <row r="6960">
      <c r="A6960" s="4">
        <v>45534.37534803241</v>
      </c>
      <c r="B6960" s="5" t="s">
        <v>34</v>
      </c>
      <c r="D6960" s="5" t="s">
        <v>14313</v>
      </c>
      <c r="E6960" s="5" t="s">
        <v>44486</v>
      </c>
      <c r="F6960" s="5" t="s">
        <v>212</v>
      </c>
      <c r="G6960" s="5" t="s">
        <v>44487</v>
      </c>
      <c r="H6960" s="6" t="s">
        <v>44488</v>
      </c>
      <c r="K6960" s="5" t="s">
        <v>44489</v>
      </c>
      <c r="M6960" s="5" t="s">
        <v>44490</v>
      </c>
      <c r="N6960" s="7" t="s">
        <v>44491</v>
      </c>
      <c r="O6960" s="8" t="str">
        <f>HYPERLINK("https://drive.google.com/file/d/19vWSZJMEGGgYcDkbbVKbkRd6EqIYHaov/view?usp=drivesdk","6959_MIHRA SH _ SERTIFIKAT BerAKHLAK")</f>
        <v>6959_MIHRA SH _ SERTIFIKAT BerAKHLAK</v>
      </c>
      <c r="P6960" s="5" t="s">
        <v>44475</v>
      </c>
    </row>
    <row r="6961">
      <c r="A6961" s="4">
        <v>45534.375349560185</v>
      </c>
      <c r="B6961" s="5" t="s">
        <v>34</v>
      </c>
      <c r="D6961" s="5" t="s">
        <v>2903</v>
      </c>
      <c r="E6961" s="5" t="s">
        <v>44492</v>
      </c>
      <c r="F6961" s="5" t="s">
        <v>72</v>
      </c>
      <c r="G6961" s="5" t="s">
        <v>44493</v>
      </c>
      <c r="H6961" s="6" t="s">
        <v>44494</v>
      </c>
      <c r="K6961" s="5" t="s">
        <v>44489</v>
      </c>
      <c r="M6961" s="5" t="s">
        <v>44495</v>
      </c>
      <c r="N6961" s="7" t="s">
        <v>44496</v>
      </c>
      <c r="O6961" s="8" t="str">
        <f>HYPERLINK("https://drive.google.com/file/d/18s7TfTSRKni47aHE6XBT1qdrSQ_tWziE/view?usp=drivesdk","6960_ELFITA SUSILAWATI, S.I.Kom _ SERTIFIKAT BerAKHLAK")</f>
        <v>6960_ELFITA SUSILAWATI, S.I.Kom _ SERTIFIKAT BerAKHLAK</v>
      </c>
      <c r="P6961" s="5" t="s">
        <v>44497</v>
      </c>
    </row>
    <row r="6962">
      <c r="A6962" s="4">
        <v>45534.37538320602</v>
      </c>
      <c r="B6962" s="5" t="s">
        <v>34</v>
      </c>
      <c r="D6962" s="5" t="s">
        <v>1692</v>
      </c>
      <c r="E6962" s="5" t="s">
        <v>44498</v>
      </c>
      <c r="F6962" s="5" t="s">
        <v>375</v>
      </c>
      <c r="G6962" s="5" t="s">
        <v>44499</v>
      </c>
      <c r="H6962" s="6" t="s">
        <v>44500</v>
      </c>
      <c r="K6962" s="5" t="s">
        <v>44489</v>
      </c>
      <c r="M6962" s="5" t="s">
        <v>44501</v>
      </c>
      <c r="N6962" s="7" t="s">
        <v>44502</v>
      </c>
      <c r="O6962" s="8" t="str">
        <f>HYPERLINK("https://drive.google.com/file/d/1f6ZLc0uyPBSJ0FxRvTqE1Ur9Pk27seP2/view?usp=drivesdk","6961_SAUR BOB VICKEN PARDAMEAN, SE. _ SERTIFIKAT BerAKHLAK")</f>
        <v>6961_SAUR BOB VICKEN PARDAMEAN, SE. _ SERTIFIKAT BerAKHLAK</v>
      </c>
      <c r="P6962" s="5" t="s">
        <v>44497</v>
      </c>
    </row>
    <row r="6963">
      <c r="A6963" s="4">
        <v>45534.375399375</v>
      </c>
      <c r="B6963" s="5" t="s">
        <v>34</v>
      </c>
      <c r="D6963" s="5" t="s">
        <v>4775</v>
      </c>
      <c r="E6963" s="5" t="s">
        <v>44503</v>
      </c>
      <c r="F6963" s="5" t="s">
        <v>212</v>
      </c>
      <c r="G6963" s="5" t="s">
        <v>44504</v>
      </c>
      <c r="H6963" s="6" t="s">
        <v>44505</v>
      </c>
      <c r="K6963" s="5" t="s">
        <v>44506</v>
      </c>
      <c r="M6963" s="5" t="s">
        <v>44507</v>
      </c>
      <c r="N6963" s="7" t="s">
        <v>44508</v>
      </c>
      <c r="O6963" s="8" t="str">
        <f>HYPERLINK("https://drive.google.com/file/d/1975ZLpOU-VkB3rCkNAFQIjf49MhtKf7K/view?usp=drivesdk","6962_ANANG DWINANTO _ SERTIFIKAT BerAKHLAK")</f>
        <v>6962_ANANG DWINANTO _ SERTIFIKAT BerAKHLAK</v>
      </c>
      <c r="P6963" s="5" t="s">
        <v>44497</v>
      </c>
    </row>
    <row r="6964">
      <c r="A6964" s="4">
        <v>45534.37540087963</v>
      </c>
      <c r="B6964" s="5" t="s">
        <v>34</v>
      </c>
      <c r="D6964" s="5" t="s">
        <v>1206</v>
      </c>
      <c r="E6964" s="5" t="s">
        <v>44509</v>
      </c>
      <c r="F6964" s="5" t="s">
        <v>212</v>
      </c>
      <c r="G6964" s="5" t="s">
        <v>44510</v>
      </c>
      <c r="H6964" s="6" t="s">
        <v>44511</v>
      </c>
      <c r="K6964" s="5" t="s">
        <v>44506</v>
      </c>
      <c r="M6964" s="5" t="s">
        <v>44512</v>
      </c>
      <c r="N6964" s="7" t="s">
        <v>44513</v>
      </c>
      <c r="O6964" s="8" t="str">
        <f>HYPERLINK("https://drive.google.com/file/d/1hk79Q8k-6Aqj87xZ0Ivl0cGb4Xm3WuSW/view?usp=drivesdk","6963_SUMIANTO _ SERTIFIKAT BerAKHLAK")</f>
        <v>6963_SUMIANTO _ SERTIFIKAT BerAKHLAK</v>
      </c>
      <c r="P6964" s="5" t="s">
        <v>44497</v>
      </c>
    </row>
    <row r="6965">
      <c r="A6965" s="4">
        <v>45534.375401770834</v>
      </c>
      <c r="B6965" s="5" t="s">
        <v>34</v>
      </c>
      <c r="D6965" s="5" t="s">
        <v>580</v>
      </c>
      <c r="E6965" s="5" t="s">
        <v>44514</v>
      </c>
      <c r="F6965" s="5" t="s">
        <v>72</v>
      </c>
      <c r="G6965" s="5" t="s">
        <v>44515</v>
      </c>
      <c r="H6965" s="6" t="s">
        <v>44516</v>
      </c>
      <c r="K6965" s="5" t="s">
        <v>44506</v>
      </c>
      <c r="M6965" s="5" t="s">
        <v>44517</v>
      </c>
      <c r="N6965" s="7" t="s">
        <v>44518</v>
      </c>
      <c r="O6965" s="8" t="str">
        <f>HYPERLINK("https://drive.google.com/file/d/12XDFp9N5VkeCygvMS3qu-GfVAB6b9K9v/view?usp=drivesdk","6964_ANAK AGUNG DEWI KARTINI, Amd.Kep _ SERTIFIKAT BerAKHLAK")</f>
        <v>6964_ANAK AGUNG DEWI KARTINI, Amd.Kep _ SERTIFIKAT BerAKHLAK</v>
      </c>
      <c r="P6965" s="5" t="s">
        <v>44519</v>
      </c>
    </row>
    <row r="6966">
      <c r="A6966" s="4">
        <v>45534.37540644676</v>
      </c>
      <c r="B6966" s="5" t="s">
        <v>34</v>
      </c>
      <c r="D6966" s="5" t="s">
        <v>701</v>
      </c>
      <c r="E6966" s="5" t="s">
        <v>44520</v>
      </c>
      <c r="F6966" s="5" t="s">
        <v>108</v>
      </c>
      <c r="G6966" s="5" t="s">
        <v>44521</v>
      </c>
      <c r="H6966" s="6" t="s">
        <v>44522</v>
      </c>
      <c r="K6966" s="5" t="s">
        <v>44523</v>
      </c>
      <c r="M6966" s="5" t="s">
        <v>44524</v>
      </c>
      <c r="N6966" s="7" t="s">
        <v>44525</v>
      </c>
      <c r="O6966" s="8" t="str">
        <f>HYPERLINK("https://drive.google.com/file/d/1fKCaIRoWGAgSKL5eNEkxA-MpSlM-pxz4/view?usp=drivesdk","6965_ERLYZAWATI,S.Kep _ SERTIFIKAT BerAKHLAK")</f>
        <v>6965_ERLYZAWATI,S.Kep _ SERTIFIKAT BerAKHLAK</v>
      </c>
      <c r="P6966" s="5" t="s">
        <v>44519</v>
      </c>
    </row>
    <row r="6967">
      <c r="A6967" s="4">
        <v>45534.37540887731</v>
      </c>
      <c r="B6967" s="5" t="s">
        <v>34</v>
      </c>
      <c r="D6967" s="5" t="s">
        <v>1206</v>
      </c>
      <c r="E6967" s="5" t="s">
        <v>44526</v>
      </c>
      <c r="F6967" s="5" t="s">
        <v>37</v>
      </c>
      <c r="G6967" s="5" t="s">
        <v>44527</v>
      </c>
      <c r="H6967" s="6" t="s">
        <v>44528</v>
      </c>
      <c r="K6967" s="5" t="s">
        <v>44523</v>
      </c>
      <c r="M6967" s="5" t="s">
        <v>44529</v>
      </c>
      <c r="N6967" s="7" t="s">
        <v>44530</v>
      </c>
      <c r="O6967" s="8" t="str">
        <f>HYPERLINK("https://drive.google.com/file/d/1IqwQTUEkxXdlVdgB6qItr6N27fQyZLc2/view?usp=drivesdk","6966_PRABANCONO  _ SERTIFIKAT BerAKHLAK")</f>
        <v>6966_PRABANCONO  _ SERTIFIKAT BerAKHLAK</v>
      </c>
      <c r="P6967" s="5" t="s">
        <v>44519</v>
      </c>
    </row>
    <row r="6968">
      <c r="A6968" s="4">
        <v>45534.375440752316</v>
      </c>
      <c r="B6968" s="5" t="s">
        <v>34</v>
      </c>
      <c r="D6968" s="5" t="s">
        <v>1768</v>
      </c>
      <c r="E6968" s="5" t="s">
        <v>44531</v>
      </c>
      <c r="F6968" s="5" t="s">
        <v>108</v>
      </c>
      <c r="G6968" s="5" t="s">
        <v>44532</v>
      </c>
      <c r="H6968" s="6" t="s">
        <v>44533</v>
      </c>
      <c r="K6968" s="5" t="s">
        <v>44534</v>
      </c>
      <c r="M6968" s="5" t="s">
        <v>44535</v>
      </c>
      <c r="N6968" s="7" t="s">
        <v>44536</v>
      </c>
      <c r="O6968" s="8" t="str">
        <f>HYPERLINK("https://drive.google.com/file/d/1HMayOhCPM6vBvLkYsqbcQJXye7WLKGpD/view?usp=drivesdk","6967_KAROMAH _ SERTIFIKAT BerAKHLAK")</f>
        <v>6967_KAROMAH _ SERTIFIKAT BerAKHLAK</v>
      </c>
      <c r="P6968" s="5" t="s">
        <v>44519</v>
      </c>
    </row>
    <row r="6969" hidden="1">
      <c r="A6969" s="4">
        <v>45534.37546106482</v>
      </c>
      <c r="B6969" s="5" t="s">
        <v>19</v>
      </c>
      <c r="C6969" s="5" t="s">
        <v>14000</v>
      </c>
      <c r="E6969" s="5" t="s">
        <v>44537</v>
      </c>
      <c r="F6969" s="5" t="s">
        <v>37</v>
      </c>
      <c r="G6969" s="5" t="s">
        <v>44538</v>
      </c>
      <c r="H6969" s="6" t="s">
        <v>44539</v>
      </c>
      <c r="K6969" s="5" t="s">
        <v>44540</v>
      </c>
      <c r="M6969" s="5" t="s">
        <v>44541</v>
      </c>
      <c r="N6969" s="7" t="s">
        <v>44542</v>
      </c>
      <c r="O6969" s="8" t="str">
        <f>HYPERLINK("https://drive.google.com/file/d/1bYpfF8khB-ajsPgNLA6CMZXgRL4yHpg4/view?usp=drivesdk","6968_SRI ANJAYANI _ SERTIFIKAT BerAKHLAK")</f>
        <v>6968_SRI ANJAYANI _ SERTIFIKAT BerAKHLAK</v>
      </c>
      <c r="P6969" s="5" t="s">
        <v>44543</v>
      </c>
    </row>
    <row r="6970">
      <c r="A6970" s="4">
        <v>45534.375497905094</v>
      </c>
      <c r="B6970" s="5" t="s">
        <v>34</v>
      </c>
      <c r="D6970" s="5" t="s">
        <v>1558</v>
      </c>
      <c r="E6970" s="5" t="s">
        <v>44544</v>
      </c>
      <c r="F6970" s="5" t="s">
        <v>37</v>
      </c>
      <c r="G6970" s="5" t="s">
        <v>44545</v>
      </c>
      <c r="H6970" s="6" t="s">
        <v>44546</v>
      </c>
      <c r="K6970" s="5" t="s">
        <v>44547</v>
      </c>
      <c r="M6970" s="5" t="s">
        <v>44548</v>
      </c>
      <c r="N6970" s="7" t="s">
        <v>44549</v>
      </c>
      <c r="O6970" s="8" t="str">
        <f>HYPERLINK("https://drive.google.com/file/d/1WyAwFLQ6YcgP8WIdTfvonz2-d2DLTiDW/view?usp=drivesdk","6969_ANTIKAH YUNISAH, A.Md.Kep _ SERTIFIKAT BerAKHLAK")</f>
        <v>6969_ANTIKAH YUNISAH, A.Md.Kep _ SERTIFIKAT BerAKHLAK</v>
      </c>
      <c r="P6970" s="5" t="s">
        <v>44543</v>
      </c>
    </row>
    <row r="6971">
      <c r="A6971" s="4">
        <v>45534.375504247684</v>
      </c>
      <c r="B6971" s="5" t="s">
        <v>34</v>
      </c>
      <c r="D6971" s="5" t="s">
        <v>6232</v>
      </c>
      <c r="E6971" s="5" t="s">
        <v>44550</v>
      </c>
      <c r="F6971" s="5" t="s">
        <v>37</v>
      </c>
      <c r="G6971" s="5" t="s">
        <v>44551</v>
      </c>
      <c r="H6971" s="6" t="s">
        <v>44552</v>
      </c>
      <c r="K6971" s="5" t="s">
        <v>44547</v>
      </c>
      <c r="M6971" s="5" t="s">
        <v>44553</v>
      </c>
      <c r="N6971" s="7" t="s">
        <v>44554</v>
      </c>
      <c r="O6971" s="8" t="str">
        <f>HYPERLINK("https://drive.google.com/file/d/1AKt1MtwS_ah7I9VTQmHJchAi1-udfcYm/view?usp=drivesdk","6970_DWI ALIKKA, A.MD.KEP _ SERTIFIKAT BerAKHLAK")</f>
        <v>6970_DWI ALIKKA, A.MD.KEP _ SERTIFIKAT BerAKHLAK</v>
      </c>
      <c r="P6971" s="5" t="s">
        <v>44543</v>
      </c>
    </row>
    <row r="6972">
      <c r="A6972" s="4">
        <v>45534.37553267361</v>
      </c>
      <c r="B6972" s="5" t="s">
        <v>34</v>
      </c>
      <c r="D6972" s="5" t="s">
        <v>4775</v>
      </c>
      <c r="E6972" s="5" t="s">
        <v>44555</v>
      </c>
      <c r="F6972" s="5" t="s">
        <v>524</v>
      </c>
      <c r="G6972" s="5" t="s">
        <v>44556</v>
      </c>
      <c r="H6972" s="6" t="s">
        <v>44557</v>
      </c>
      <c r="K6972" s="5" t="s">
        <v>44558</v>
      </c>
      <c r="M6972" s="5" t="s">
        <v>44559</v>
      </c>
      <c r="N6972" s="7" t="s">
        <v>44560</v>
      </c>
      <c r="O6972" s="8" t="str">
        <f>HYPERLINK("https://drive.google.com/file/d/1ESJzzyJdSwIQuHBx4vz7AhoLh87IXU65/view?usp=drivesdk","6971_JUNI ARTHAMAIDA.S.E. _ SERTIFIKAT BerAKHLAK")</f>
        <v>6971_JUNI ARTHAMAIDA.S.E. _ SERTIFIKAT BerAKHLAK</v>
      </c>
      <c r="P6972" s="5" t="s">
        <v>44543</v>
      </c>
    </row>
    <row r="6973">
      <c r="A6973" s="4">
        <v>45534.37554980324</v>
      </c>
      <c r="B6973" s="5" t="s">
        <v>34</v>
      </c>
      <c r="D6973" s="5" t="s">
        <v>7858</v>
      </c>
      <c r="E6973" s="5" t="s">
        <v>44561</v>
      </c>
      <c r="F6973" s="5" t="s">
        <v>120</v>
      </c>
      <c r="G6973" s="5" t="s">
        <v>44562</v>
      </c>
      <c r="H6973" s="6" t="s">
        <v>44563</v>
      </c>
      <c r="K6973" s="5" t="s">
        <v>44558</v>
      </c>
      <c r="M6973" s="5" t="s">
        <v>44564</v>
      </c>
      <c r="N6973" s="7" t="s">
        <v>44565</v>
      </c>
      <c r="O6973" s="8" t="str">
        <f>HYPERLINK("https://drive.google.com/file/d/1ITnwqQAI3v2FECKOFZvKHZuln7Y4Lkv3/view?usp=drivesdk","6972_Merry Styanti, S.Sos. _ SERTIFIKAT BerAKHLAK")</f>
        <v>6972_Merry Styanti, S.Sos. _ SERTIFIKAT BerAKHLAK</v>
      </c>
      <c r="P6973" s="5" t="s">
        <v>44566</v>
      </c>
    </row>
    <row r="6974">
      <c r="A6974" s="4">
        <v>45534.37556560185</v>
      </c>
      <c r="B6974" s="5" t="s">
        <v>34</v>
      </c>
      <c r="D6974" s="5" t="s">
        <v>701</v>
      </c>
      <c r="E6974" s="5" t="s">
        <v>44567</v>
      </c>
      <c r="F6974" s="5" t="s">
        <v>375</v>
      </c>
      <c r="G6974" s="5" t="s">
        <v>44568</v>
      </c>
      <c r="H6974" s="6" t="s">
        <v>44569</v>
      </c>
      <c r="K6974" s="5" t="s">
        <v>44570</v>
      </c>
      <c r="M6974" s="5" t="s">
        <v>44571</v>
      </c>
      <c r="N6974" s="7" t="s">
        <v>44572</v>
      </c>
      <c r="O6974" s="8" t="str">
        <f>HYPERLINK("https://drive.google.com/file/d/1ZuF-MJ_Z4L5pTseIA5rjoWAhHuFg21Ev/view?usp=drivesdk","6973_WALIDAH HUSNA SYARIFUDDIN,S.E.,M.M. _ SERTIFIKAT BerAKHLAK")</f>
        <v>6973_WALIDAH HUSNA SYARIFUDDIN,S.E.,M.M. _ SERTIFIKAT BerAKHLAK</v>
      </c>
      <c r="P6974" s="5" t="s">
        <v>44566</v>
      </c>
    </row>
    <row r="6975">
      <c r="A6975" s="4">
        <v>45534.37558989583</v>
      </c>
      <c r="B6975" s="5" t="s">
        <v>34</v>
      </c>
      <c r="D6975" s="5" t="s">
        <v>9394</v>
      </c>
      <c r="E6975" s="5" t="s">
        <v>21358</v>
      </c>
      <c r="F6975" s="5" t="s">
        <v>120</v>
      </c>
      <c r="G6975" s="5" t="s">
        <v>44573</v>
      </c>
      <c r="H6975" s="6" t="s">
        <v>44574</v>
      </c>
      <c r="K6975" s="5" t="s">
        <v>44570</v>
      </c>
      <c r="M6975" s="5" t="s">
        <v>44575</v>
      </c>
      <c r="N6975" s="7" t="s">
        <v>44576</v>
      </c>
      <c r="O6975" s="8" t="str">
        <f>HYPERLINK("https://drive.google.com/file/d/175SNJyamtv6J7svou3UZahFFfbpQRNKu/view?usp=drivesdk","6974_SUSIATI _ SERTIFIKAT BerAKHLAK")</f>
        <v>6974_SUSIATI _ SERTIFIKAT BerAKHLAK</v>
      </c>
      <c r="P6975" s="5" t="s">
        <v>44566</v>
      </c>
    </row>
    <row r="6976" hidden="1">
      <c r="A6976" s="4">
        <v>45534.37562510416</v>
      </c>
      <c r="B6976" s="5" t="s">
        <v>19</v>
      </c>
      <c r="C6976" s="5" t="s">
        <v>1606</v>
      </c>
      <c r="E6976" s="5" t="s">
        <v>44577</v>
      </c>
      <c r="F6976" s="5" t="s">
        <v>72</v>
      </c>
      <c r="G6976" s="5" t="s">
        <v>44578</v>
      </c>
      <c r="H6976" s="6" t="s">
        <v>44579</v>
      </c>
      <c r="K6976" s="5" t="s">
        <v>44580</v>
      </c>
      <c r="M6976" s="5" t="s">
        <v>44581</v>
      </c>
      <c r="N6976" s="7" t="s">
        <v>44582</v>
      </c>
      <c r="O6976" s="8" t="str">
        <f>HYPERLINK("https://drive.google.com/file/d/1OxKkUO5ayVQ49FhlkJfporDPHNerzKzx/view?usp=drivesdk","6975_MATNUR _ SERTIFIKAT BerAKHLAK")</f>
        <v>6975_MATNUR _ SERTIFIKAT BerAKHLAK</v>
      </c>
      <c r="P6976" s="5" t="s">
        <v>44566</v>
      </c>
    </row>
    <row r="6977">
      <c r="A6977" s="4">
        <v>45534.37565833333</v>
      </c>
      <c r="B6977" s="5" t="s">
        <v>34</v>
      </c>
      <c r="D6977" s="5" t="s">
        <v>522</v>
      </c>
      <c r="E6977" s="5" t="s">
        <v>44583</v>
      </c>
      <c r="F6977" s="5" t="s">
        <v>72</v>
      </c>
      <c r="G6977" s="5" t="s">
        <v>44584</v>
      </c>
      <c r="H6977" s="6" t="s">
        <v>44585</v>
      </c>
      <c r="K6977" s="5" t="s">
        <v>44586</v>
      </c>
      <c r="M6977" s="5" t="s">
        <v>44587</v>
      </c>
      <c r="N6977" s="7" t="s">
        <v>44588</v>
      </c>
      <c r="O6977" s="8" t="str">
        <f>HYPERLINK("https://drive.google.com/file/d/1v_ypaArTk_NgesdKV5e9DPTRKPpDC3ud/view?usp=drivesdk","6976_YAN HERMAWAN PRASETYO, A.Md _ SERTIFIKAT BerAKHLAK")</f>
        <v>6976_YAN HERMAWAN PRASETYO, A.Md _ SERTIFIKAT BerAKHLAK</v>
      </c>
      <c r="P6977" s="5" t="s">
        <v>44566</v>
      </c>
    </row>
    <row r="6978">
      <c r="A6978" s="4">
        <v>45534.37566696759</v>
      </c>
      <c r="B6978" s="5" t="s">
        <v>34</v>
      </c>
      <c r="D6978" s="5" t="s">
        <v>12978</v>
      </c>
      <c r="E6978" s="5" t="s">
        <v>44589</v>
      </c>
      <c r="F6978" s="5" t="s">
        <v>212</v>
      </c>
      <c r="G6978" s="5" t="s">
        <v>44590</v>
      </c>
      <c r="H6978" s="6" t="s">
        <v>44591</v>
      </c>
      <c r="K6978" s="5" t="s">
        <v>44586</v>
      </c>
      <c r="M6978" s="5" t="s">
        <v>44592</v>
      </c>
      <c r="N6978" s="7" t="s">
        <v>44593</v>
      </c>
      <c r="O6978" s="8" t="str">
        <f>HYPERLINK("https://drive.google.com/file/d/1MfS9-NSATrdj4XxucR6mhkOAk73ZoZpc/view?usp=drivesdk","6977_DARWINA _ SERTIFIKAT BerAKHLAK")</f>
        <v>6977_DARWINA _ SERTIFIKAT BerAKHLAK</v>
      </c>
      <c r="P6978" s="5" t="s">
        <v>44594</v>
      </c>
    </row>
    <row r="6979">
      <c r="A6979" s="4">
        <v>45534.37567371527</v>
      </c>
      <c r="B6979" s="5" t="s">
        <v>34</v>
      </c>
      <c r="D6979" s="5" t="s">
        <v>580</v>
      </c>
      <c r="E6979" s="5" t="s">
        <v>44595</v>
      </c>
      <c r="F6979" s="5" t="s">
        <v>37</v>
      </c>
      <c r="G6979" s="5" t="s">
        <v>44596</v>
      </c>
      <c r="H6979" s="6" t="s">
        <v>44597</v>
      </c>
      <c r="K6979" s="5" t="s">
        <v>44586</v>
      </c>
      <c r="M6979" s="5" t="s">
        <v>44598</v>
      </c>
      <c r="N6979" s="7" t="s">
        <v>44599</v>
      </c>
      <c r="O6979" s="8" t="str">
        <f>HYPERLINK("https://drive.google.com/file/d/1tLcGey7Ub1-sYF9TsLVGDieCniruKKkS/view?usp=drivesdk","6978_NI WAYAN NIA ARDITYA SARI _ SERTIFIKAT BerAKHLAK")</f>
        <v>6978_NI WAYAN NIA ARDITYA SARI _ SERTIFIKAT BerAKHLAK</v>
      </c>
      <c r="P6979" s="5" t="s">
        <v>44594</v>
      </c>
    </row>
    <row r="6980">
      <c r="A6980" s="4">
        <v>45534.37568503473</v>
      </c>
      <c r="B6980" s="5" t="s">
        <v>34</v>
      </c>
      <c r="D6980" s="5" t="s">
        <v>267</v>
      </c>
      <c r="E6980" s="5" t="s">
        <v>44600</v>
      </c>
      <c r="F6980" s="5" t="s">
        <v>212</v>
      </c>
      <c r="G6980" s="5" t="s">
        <v>44601</v>
      </c>
      <c r="H6980" s="6" t="s">
        <v>44602</v>
      </c>
      <c r="K6980" s="5" t="s">
        <v>44586</v>
      </c>
      <c r="M6980" s="5" t="s">
        <v>44603</v>
      </c>
      <c r="N6980" s="7" t="s">
        <v>44604</v>
      </c>
      <c r="O6980" s="8" t="str">
        <f>HYPERLINK("https://drive.google.com/file/d/1AVED9sx9jtMlo8-Sn2DOI46GZANLi-lO/view?usp=drivesdk","6979_DWI JALBANI _ SERTIFIKAT BerAKHLAK")</f>
        <v>6979_DWI JALBANI _ SERTIFIKAT BerAKHLAK</v>
      </c>
      <c r="P6980" s="5" t="s">
        <v>44594</v>
      </c>
    </row>
    <row r="6981">
      <c r="A6981" s="4">
        <v>45534.37570978009</v>
      </c>
      <c r="B6981" s="5" t="s">
        <v>34</v>
      </c>
      <c r="D6981" s="5" t="s">
        <v>9020</v>
      </c>
      <c r="E6981" s="5" t="s">
        <v>44605</v>
      </c>
      <c r="F6981" s="5" t="s">
        <v>375</v>
      </c>
      <c r="G6981" s="5" t="s">
        <v>44606</v>
      </c>
      <c r="H6981" s="6" t="s">
        <v>44607</v>
      </c>
      <c r="K6981" s="5" t="s">
        <v>44608</v>
      </c>
      <c r="M6981" s="5" t="s">
        <v>44609</v>
      </c>
      <c r="N6981" s="7" t="s">
        <v>44610</v>
      </c>
      <c r="O6981" s="8" t="str">
        <f>HYPERLINK("https://drive.google.com/file/d/1u17ScySokMuiy3C-W3R9K8KKfYOAiLDw/view?usp=drivesdk","6980_SADA UKUR _ SERTIFIKAT BerAKHLAK")</f>
        <v>6980_SADA UKUR _ SERTIFIKAT BerAKHLAK</v>
      </c>
      <c r="P6981" s="5" t="s">
        <v>44611</v>
      </c>
    </row>
    <row r="6982">
      <c r="A6982" s="4">
        <v>45534.37571533565</v>
      </c>
      <c r="B6982" s="5" t="s">
        <v>34</v>
      </c>
      <c r="D6982" s="5" t="s">
        <v>9020</v>
      </c>
      <c r="E6982" s="5" t="s">
        <v>44612</v>
      </c>
      <c r="F6982" s="5" t="s">
        <v>212</v>
      </c>
      <c r="G6982" s="5" t="s">
        <v>44613</v>
      </c>
      <c r="H6982" s="6" t="s">
        <v>44614</v>
      </c>
      <c r="K6982" s="5" t="s">
        <v>44608</v>
      </c>
      <c r="M6982" s="5" t="s">
        <v>44615</v>
      </c>
      <c r="N6982" s="7" t="s">
        <v>44616</v>
      </c>
      <c r="O6982" s="8" t="str">
        <f>HYPERLINK("https://drive.google.com/file/d/1diRIzH5HSxyj7x_8XEzulyl5maNYR1hj/view?usp=drivesdk","6981_ALBERT LUMBANOBING _ SERTIFIKAT BerAKHLAK")</f>
        <v>6981_ALBERT LUMBANOBING _ SERTIFIKAT BerAKHLAK</v>
      </c>
      <c r="P6982" s="5" t="s">
        <v>44611</v>
      </c>
    </row>
    <row r="6983">
      <c r="A6983" s="4">
        <v>45534.37572443287</v>
      </c>
      <c r="B6983" s="5" t="s">
        <v>34</v>
      </c>
      <c r="D6983" s="5" t="s">
        <v>280</v>
      </c>
      <c r="E6983" s="5" t="s">
        <v>44617</v>
      </c>
      <c r="F6983" s="5" t="s">
        <v>120</v>
      </c>
      <c r="G6983" s="5" t="s">
        <v>44618</v>
      </c>
      <c r="H6983" s="6" t="s">
        <v>44619</v>
      </c>
      <c r="K6983" s="5" t="s">
        <v>44608</v>
      </c>
      <c r="M6983" s="5" t="s">
        <v>44620</v>
      </c>
      <c r="N6983" s="7" t="s">
        <v>44621</v>
      </c>
      <c r="O6983" s="8" t="str">
        <f>HYPERLINK("https://drive.google.com/file/d/13idXUbiKur-7unmAz8yVlMS-IQHABMUe/view?usp=drivesdk","6982_WENNY SARI, S.H. _ SERTIFIKAT BerAKHLAK")</f>
        <v>6982_WENNY SARI, S.H. _ SERTIFIKAT BerAKHLAK</v>
      </c>
      <c r="P6983" s="5" t="s">
        <v>44611</v>
      </c>
    </row>
    <row r="6984">
      <c r="A6984" s="4">
        <v>45534.375744178236</v>
      </c>
      <c r="B6984" s="5" t="s">
        <v>34</v>
      </c>
      <c r="D6984" s="5" t="s">
        <v>701</v>
      </c>
      <c r="E6984" s="5" t="s">
        <v>44622</v>
      </c>
      <c r="F6984" s="5" t="s">
        <v>212</v>
      </c>
      <c r="G6984" s="5" t="s">
        <v>44623</v>
      </c>
      <c r="H6984" s="6" t="s">
        <v>44624</v>
      </c>
      <c r="K6984" s="5" t="s">
        <v>44608</v>
      </c>
      <c r="M6984" s="5" t="s">
        <v>44625</v>
      </c>
      <c r="N6984" s="7" t="s">
        <v>44626</v>
      </c>
      <c r="O6984" s="8" t="str">
        <f>HYPERLINK("https://drive.google.com/file/d/1VGdIZFV98L9T1zFeL1bYt94DAbjbzxWv/view?usp=drivesdk","6983_MAIFO PUTRI _ SERTIFIKAT BerAKHLAK")</f>
        <v>6983_MAIFO PUTRI _ SERTIFIKAT BerAKHLAK</v>
      </c>
      <c r="P6984" s="5" t="s">
        <v>44611</v>
      </c>
    </row>
    <row r="6985">
      <c r="A6985" s="4">
        <v>45534.37575119213</v>
      </c>
      <c r="B6985" s="5" t="s">
        <v>34</v>
      </c>
      <c r="D6985" s="5" t="s">
        <v>1206</v>
      </c>
      <c r="E6985" s="5" t="s">
        <v>44627</v>
      </c>
      <c r="F6985" s="5" t="s">
        <v>212</v>
      </c>
      <c r="G6985" s="5" t="s">
        <v>44628</v>
      </c>
      <c r="H6985" s="6" t="s">
        <v>44629</v>
      </c>
      <c r="K6985" s="5" t="s">
        <v>44608</v>
      </c>
      <c r="M6985" s="5" t="s">
        <v>44630</v>
      </c>
      <c r="N6985" s="7" t="s">
        <v>44631</v>
      </c>
      <c r="O6985" s="8" t="str">
        <f>HYPERLINK("https://drive.google.com/file/d/1Vpmxh5xc5CHrXtHrBuDlFPudBxwZTSq8/view?usp=drivesdk","6984_NURYANTI _ SERTIFIKAT BerAKHLAK")</f>
        <v>6984_NURYANTI _ SERTIFIKAT BerAKHLAK</v>
      </c>
      <c r="P6985" s="5" t="s">
        <v>44632</v>
      </c>
    </row>
    <row r="6986">
      <c r="A6986" s="4">
        <v>45534.3757515162</v>
      </c>
      <c r="B6986" s="5" t="s">
        <v>34</v>
      </c>
      <c r="D6986" s="5" t="s">
        <v>4775</v>
      </c>
      <c r="E6986" s="5" t="s">
        <v>44633</v>
      </c>
      <c r="F6986" s="5" t="s">
        <v>212</v>
      </c>
      <c r="G6986" s="5" t="s">
        <v>44634</v>
      </c>
      <c r="H6986" s="6" t="s">
        <v>44635</v>
      </c>
      <c r="K6986" s="5" t="s">
        <v>44608</v>
      </c>
      <c r="M6986" s="5" t="s">
        <v>44636</v>
      </c>
      <c r="N6986" s="7" t="s">
        <v>44637</v>
      </c>
      <c r="O6986" s="8" t="str">
        <f>HYPERLINK("https://drive.google.com/file/d/1k2va0Uh0KeRMoH5kQqLwIYUHUhBfmk5f/view?usp=drivesdk","6985_ISDWI PURWOKO  _ SERTIFIKAT BerAKHLAK")</f>
        <v>6985_ISDWI PURWOKO  _ SERTIFIKAT BerAKHLAK</v>
      </c>
      <c r="P6986" s="5" t="s">
        <v>44632</v>
      </c>
    </row>
    <row r="6987">
      <c r="A6987" s="4">
        <v>45534.375754340275</v>
      </c>
      <c r="B6987" s="5" t="s">
        <v>34</v>
      </c>
      <c r="D6987" s="5" t="s">
        <v>1206</v>
      </c>
      <c r="E6987" s="5" t="s">
        <v>44638</v>
      </c>
      <c r="F6987" s="5" t="s">
        <v>72</v>
      </c>
      <c r="G6987" s="5" t="s">
        <v>44639</v>
      </c>
      <c r="H6987" s="6" t="s">
        <v>44640</v>
      </c>
      <c r="K6987" s="5" t="s">
        <v>44608</v>
      </c>
      <c r="M6987" s="5" t="s">
        <v>44641</v>
      </c>
      <c r="N6987" s="7" t="s">
        <v>44642</v>
      </c>
      <c r="O6987" s="8" t="str">
        <f>HYPERLINK("https://drive.google.com/file/d/1148qALzR8ptfSdU2E9e55f4O9EogPpKG/view?usp=drivesdk","6986_TRISNO YUWONO, S.Kep. Ns _ SERTIFIKAT BerAKHLAK")</f>
        <v>6986_TRISNO YUWONO, S.Kep. Ns _ SERTIFIKAT BerAKHLAK</v>
      </c>
      <c r="P6987" s="5" t="s">
        <v>44632</v>
      </c>
    </row>
    <row r="6988">
      <c r="A6988" s="4">
        <v>45534.375763819444</v>
      </c>
      <c r="B6988" s="5" t="s">
        <v>34</v>
      </c>
      <c r="D6988" s="5" t="s">
        <v>1558</v>
      </c>
      <c r="E6988" s="5" t="s">
        <v>30762</v>
      </c>
      <c r="F6988" s="5" t="s">
        <v>212</v>
      </c>
      <c r="G6988" s="5" t="s">
        <v>44643</v>
      </c>
      <c r="H6988" s="6" t="s">
        <v>44644</v>
      </c>
      <c r="K6988" s="5" t="s">
        <v>44645</v>
      </c>
      <c r="M6988" s="5" t="s">
        <v>44646</v>
      </c>
      <c r="N6988" s="7" t="s">
        <v>44647</v>
      </c>
      <c r="O6988" s="8" t="str">
        <f>HYPERLINK("https://drive.google.com/file/d/1YBCDhNimWo1_MJHvGdDWRGpM1vY5pBjO/view?usp=drivesdk","6987_BASUKI  _ SERTIFIKAT BerAKHLAK")</f>
        <v>6987_BASUKI  _ SERTIFIKAT BerAKHLAK</v>
      </c>
      <c r="P6988" s="5" t="s">
        <v>44632</v>
      </c>
    </row>
    <row r="6989">
      <c r="A6989" s="4">
        <v>45534.37578908565</v>
      </c>
      <c r="B6989" s="5" t="s">
        <v>34</v>
      </c>
      <c r="D6989" s="5" t="s">
        <v>4775</v>
      </c>
      <c r="E6989" s="5" t="s">
        <v>44648</v>
      </c>
      <c r="F6989" s="5" t="s">
        <v>212</v>
      </c>
      <c r="G6989" s="5" t="s">
        <v>44649</v>
      </c>
      <c r="H6989" s="6" t="s">
        <v>44650</v>
      </c>
      <c r="K6989" s="5" t="s">
        <v>44651</v>
      </c>
      <c r="M6989" s="5" t="s">
        <v>44652</v>
      </c>
      <c r="N6989" s="7" t="s">
        <v>44653</v>
      </c>
      <c r="O6989" s="8" t="str">
        <f>HYPERLINK("https://drive.google.com/file/d/1rlT_sbaRQzSuKAcfucRUbp7n-7uTtzph/view?usp=drivesdk","6988_KRISNI BENHARTI _ SERTIFIKAT BerAKHLAK")</f>
        <v>6988_KRISNI BENHARTI _ SERTIFIKAT BerAKHLAK</v>
      </c>
      <c r="P6989" s="5" t="s">
        <v>44632</v>
      </c>
    </row>
    <row r="6990">
      <c r="A6990" s="4">
        <v>45534.375799340276</v>
      </c>
      <c r="B6990" s="5" t="s">
        <v>34</v>
      </c>
      <c r="D6990" s="5" t="s">
        <v>12978</v>
      </c>
      <c r="E6990" s="5" t="s">
        <v>44654</v>
      </c>
      <c r="F6990" s="5" t="s">
        <v>212</v>
      </c>
      <c r="G6990" s="5" t="s">
        <v>44655</v>
      </c>
      <c r="H6990" s="6" t="s">
        <v>44656</v>
      </c>
      <c r="K6990" s="5" t="s">
        <v>44657</v>
      </c>
      <c r="M6990" s="5" t="s">
        <v>44658</v>
      </c>
      <c r="N6990" s="7" t="s">
        <v>44659</v>
      </c>
      <c r="O6990" s="8" t="str">
        <f>HYPERLINK("https://drive.google.com/file/d/1gAxc2hObb3jilKAotbRLsmrzDqPZp2b9/view?usp=drivesdk","6989_Endang Sri Rahayu _ SERTIFIKAT BerAKHLAK")</f>
        <v>6989_Endang Sri Rahayu _ SERTIFIKAT BerAKHLAK</v>
      </c>
      <c r="P6990" s="5" t="s">
        <v>44660</v>
      </c>
    </row>
    <row r="6991">
      <c r="A6991" s="4">
        <v>45534.37580760417</v>
      </c>
      <c r="B6991" s="5" t="s">
        <v>34</v>
      </c>
      <c r="D6991" s="5" t="s">
        <v>1206</v>
      </c>
      <c r="E6991" s="5" t="s">
        <v>44661</v>
      </c>
      <c r="F6991" s="5" t="s">
        <v>199</v>
      </c>
      <c r="G6991" s="5" t="s">
        <v>44662</v>
      </c>
      <c r="H6991" s="6" t="s">
        <v>44663</v>
      </c>
      <c r="K6991" s="5" t="s">
        <v>44657</v>
      </c>
      <c r="M6991" s="5" t="s">
        <v>44664</v>
      </c>
      <c r="N6991" s="7" t="s">
        <v>44665</v>
      </c>
      <c r="O6991" s="8" t="str">
        <f>HYPERLINK("https://drive.google.com/file/d/1ljq7AmcD4_cX8ERGphkEe6K681ZW3AZE/view?usp=drivesdk","6990_LILIK NUR KHOLIDAH, Amd.Farm _ SERTIFIKAT BerAKHLAK")</f>
        <v>6990_LILIK NUR KHOLIDAH, Amd.Farm _ SERTIFIKAT BerAKHLAK</v>
      </c>
      <c r="P6991" s="5" t="s">
        <v>44660</v>
      </c>
    </row>
    <row r="6992">
      <c r="A6992" s="4">
        <v>45534.375808425924</v>
      </c>
      <c r="B6992" s="5" t="s">
        <v>34</v>
      </c>
      <c r="D6992" s="5" t="s">
        <v>2903</v>
      </c>
      <c r="E6992" s="5" t="s">
        <v>44666</v>
      </c>
      <c r="F6992" s="5" t="s">
        <v>212</v>
      </c>
      <c r="G6992" s="5" t="s">
        <v>44667</v>
      </c>
      <c r="H6992" s="6" t="s">
        <v>44668</v>
      </c>
      <c r="K6992" s="5" t="s">
        <v>44657</v>
      </c>
      <c r="M6992" s="5" t="s">
        <v>44669</v>
      </c>
      <c r="N6992" s="7" t="s">
        <v>44670</v>
      </c>
      <c r="O6992" s="8" t="str">
        <f>HYPERLINK("https://drive.google.com/file/d/1BYFWhmpu3lruOPP_kZdRlHL-LH4IgDBW/view?usp=drivesdk","6991_SAMSI.SIP _ SERTIFIKAT BerAKHLAK")</f>
        <v>6991_SAMSI.SIP _ SERTIFIKAT BerAKHLAK</v>
      </c>
      <c r="P6992" s="5" t="s">
        <v>44660</v>
      </c>
    </row>
    <row r="6993">
      <c r="A6993" s="4">
        <v>45534.37581172454</v>
      </c>
      <c r="B6993" s="5" t="s">
        <v>34</v>
      </c>
      <c r="D6993" s="5" t="s">
        <v>1206</v>
      </c>
      <c r="E6993" s="5" t="s">
        <v>44671</v>
      </c>
      <c r="F6993" s="5" t="s">
        <v>524</v>
      </c>
      <c r="G6993" s="5" t="s">
        <v>44672</v>
      </c>
      <c r="H6993" s="6" t="s">
        <v>44673</v>
      </c>
      <c r="K6993" s="5" t="s">
        <v>44674</v>
      </c>
      <c r="M6993" s="5" t="s">
        <v>44675</v>
      </c>
      <c r="N6993" s="7" t="s">
        <v>44676</v>
      </c>
      <c r="O6993" s="8" t="str">
        <f>HYPERLINK("https://drive.google.com/file/d/1BuP5yXwugcy1ZcZkl86JJwVQupPqYNlg/view?usp=drivesdk","6992_EMILDA SIH WIDY E _ SERTIFIKAT BerAKHLAK")</f>
        <v>6992_EMILDA SIH WIDY E _ SERTIFIKAT BerAKHLAK</v>
      </c>
      <c r="P6993" s="5" t="s">
        <v>44660</v>
      </c>
    </row>
    <row r="6994">
      <c r="A6994" s="4">
        <v>45534.37584432871</v>
      </c>
      <c r="B6994" s="5" t="s">
        <v>34</v>
      </c>
      <c r="D6994" s="5" t="s">
        <v>9020</v>
      </c>
      <c r="E6994" s="5" t="s">
        <v>44677</v>
      </c>
      <c r="F6994" s="5" t="s">
        <v>199</v>
      </c>
      <c r="G6994" s="5" t="s">
        <v>44678</v>
      </c>
      <c r="H6994" s="6" t="s">
        <v>44679</v>
      </c>
      <c r="K6994" s="5" t="s">
        <v>44680</v>
      </c>
      <c r="M6994" s="5" t="s">
        <v>44681</v>
      </c>
      <c r="N6994" s="7" t="s">
        <v>44682</v>
      </c>
      <c r="O6994" s="8" t="str">
        <f>HYPERLINK("https://drive.google.com/file/d/1qw3ghag_L0nH3y3qLUUhIwOEvGlYyT9o/view?usp=drivesdk","6993_MUHAMMAD SAFII _ SERTIFIKAT BerAKHLAK")</f>
        <v>6993_MUHAMMAD SAFII _ SERTIFIKAT BerAKHLAK</v>
      </c>
      <c r="P6994" s="5" t="s">
        <v>44660</v>
      </c>
    </row>
    <row r="6995">
      <c r="A6995" s="4">
        <v>45534.375853171296</v>
      </c>
      <c r="B6995" s="5" t="s">
        <v>34</v>
      </c>
      <c r="D6995" s="5" t="s">
        <v>1206</v>
      </c>
      <c r="E6995" s="5" t="s">
        <v>44683</v>
      </c>
      <c r="F6995" s="5" t="s">
        <v>120</v>
      </c>
      <c r="G6995" s="5" t="s">
        <v>44684</v>
      </c>
      <c r="H6995" s="6" t="s">
        <v>44685</v>
      </c>
      <c r="K6995" s="5" t="s">
        <v>44680</v>
      </c>
      <c r="M6995" s="5" t="s">
        <v>44686</v>
      </c>
      <c r="N6995" s="7" t="s">
        <v>44687</v>
      </c>
      <c r="O6995" s="8" t="str">
        <f>HYPERLINK("https://drive.google.com/file/d/1ahQdlB73G9xNFEdYXBv4A7Pn8ssdnINJ/view?usp=drivesdk","6994_dr. WIWIN INDRIANI, MMRS., FISQua _ SERTIFIKAT BerAKHLAK")</f>
        <v>6994_dr. WIWIN INDRIANI, MMRS., FISQua _ SERTIFIKAT BerAKHLAK</v>
      </c>
      <c r="P6995" s="5" t="s">
        <v>44688</v>
      </c>
    </row>
    <row r="6996">
      <c r="A6996" s="4">
        <v>45534.37587875</v>
      </c>
      <c r="B6996" s="5" t="s">
        <v>34</v>
      </c>
      <c r="D6996" s="5" t="s">
        <v>14313</v>
      </c>
      <c r="E6996" s="5" t="s">
        <v>44689</v>
      </c>
      <c r="F6996" s="5" t="s">
        <v>212</v>
      </c>
      <c r="G6996" s="5" t="s">
        <v>44690</v>
      </c>
      <c r="H6996" s="6" t="s">
        <v>44691</v>
      </c>
      <c r="K6996" s="5" t="s">
        <v>44692</v>
      </c>
      <c r="M6996" s="5" t="s">
        <v>44693</v>
      </c>
      <c r="N6996" s="7" t="s">
        <v>44694</v>
      </c>
      <c r="O6996" s="8" t="str">
        <f>HYPERLINK("https://drive.google.com/file/d/1eGQrtoDLYBVpHoTAMoUXV8rvX3Aa85Nd/view?usp=drivesdk","6995_JAMALUDDIN _ SERTIFIKAT BerAKHLAK")</f>
        <v>6995_JAMALUDDIN _ SERTIFIKAT BerAKHLAK</v>
      </c>
      <c r="P6996" s="5" t="s">
        <v>44688</v>
      </c>
    </row>
    <row r="6997" hidden="1">
      <c r="A6997" s="4">
        <v>45534.37588303241</v>
      </c>
      <c r="B6997" s="5" t="s">
        <v>19</v>
      </c>
      <c r="C6997" s="5" t="s">
        <v>26187</v>
      </c>
      <c r="E6997" s="5" t="s">
        <v>44695</v>
      </c>
      <c r="F6997" s="5" t="s">
        <v>37</v>
      </c>
      <c r="G6997" s="5" t="s">
        <v>44696</v>
      </c>
      <c r="H6997" s="6" t="s">
        <v>44697</v>
      </c>
      <c r="K6997" s="5" t="s">
        <v>44692</v>
      </c>
      <c r="M6997" s="5" t="s">
        <v>44698</v>
      </c>
      <c r="N6997" s="7" t="s">
        <v>44699</v>
      </c>
      <c r="O6997" s="8" t="str">
        <f>HYPERLINK("https://drive.google.com/file/d/14aeNB8ktXpyJr6cafqojzgd1IzsKGq_0/view?usp=drivesdk","6996_SITI GUSMA NEZA _ SERTIFIKAT BerAKHLAK")</f>
        <v>6996_SITI GUSMA NEZA _ SERTIFIKAT BerAKHLAK</v>
      </c>
      <c r="P6997" s="5" t="s">
        <v>44688</v>
      </c>
    </row>
    <row r="6998">
      <c r="A6998" s="4">
        <v>45534.37588535879</v>
      </c>
      <c r="B6998" s="5" t="s">
        <v>34</v>
      </c>
      <c r="D6998" s="5" t="s">
        <v>1558</v>
      </c>
      <c r="E6998" s="5" t="s">
        <v>44700</v>
      </c>
      <c r="F6998" s="5" t="s">
        <v>37</v>
      </c>
      <c r="G6998" s="5" t="s">
        <v>44701</v>
      </c>
      <c r="H6998" s="6" t="s">
        <v>44702</v>
      </c>
      <c r="K6998" s="5" t="s">
        <v>44692</v>
      </c>
      <c r="M6998" s="5" t="s">
        <v>44703</v>
      </c>
      <c r="N6998" s="7" t="s">
        <v>44704</v>
      </c>
      <c r="O6998" s="8" t="str">
        <f>HYPERLINK("https://drive.google.com/file/d/1HWNIUqaNzaP2b2pgFTq0-6g86OplcI9w/view?usp=drivesdk","6997_JARWADI _ SERTIFIKAT BerAKHLAK")</f>
        <v>6997_JARWADI _ SERTIFIKAT BerAKHLAK</v>
      </c>
      <c r="P6998" s="5" t="s">
        <v>44688</v>
      </c>
    </row>
    <row r="6999">
      <c r="A6999" s="4">
        <v>45534.37589491898</v>
      </c>
      <c r="B6999" s="5" t="s">
        <v>34</v>
      </c>
      <c r="D6999" s="5" t="s">
        <v>580</v>
      </c>
      <c r="E6999" s="5" t="s">
        <v>44705</v>
      </c>
      <c r="F6999" s="5" t="s">
        <v>212</v>
      </c>
      <c r="G6999" s="5" t="s">
        <v>44706</v>
      </c>
      <c r="H6999" s="6" t="s">
        <v>44707</v>
      </c>
      <c r="K6999" s="5" t="s">
        <v>44692</v>
      </c>
      <c r="M6999" s="5" t="s">
        <v>44708</v>
      </c>
      <c r="N6999" s="7" t="s">
        <v>44709</v>
      </c>
      <c r="O6999" s="8" t="str">
        <f>HYPERLINK("https://drive.google.com/file/d/1K5knDEeAPiotJI6A6Rzejo8FlcsT6an1/view?usp=drivesdk","6998_WAYAN WARTINI _ SERTIFIKAT BerAKHLAK")</f>
        <v>6998_WAYAN WARTINI _ SERTIFIKAT BerAKHLAK</v>
      </c>
      <c r="P6999" s="5" t="s">
        <v>44710</v>
      </c>
    </row>
    <row r="7000">
      <c r="A7000" s="4">
        <v>45534.37590162037</v>
      </c>
      <c r="B7000" s="5" t="s">
        <v>34</v>
      </c>
      <c r="D7000" s="5" t="s">
        <v>10444</v>
      </c>
      <c r="E7000" s="5" t="s">
        <v>44711</v>
      </c>
      <c r="F7000" s="5" t="s">
        <v>108</v>
      </c>
      <c r="G7000" s="5" t="s">
        <v>44712</v>
      </c>
      <c r="H7000" s="6" t="s">
        <v>44713</v>
      </c>
      <c r="K7000" s="5" t="s">
        <v>44692</v>
      </c>
      <c r="M7000" s="5" t="s">
        <v>44714</v>
      </c>
      <c r="N7000" s="7" t="s">
        <v>44715</v>
      </c>
      <c r="O7000" s="8" t="str">
        <f>HYPERLINK("https://drive.google.com/file/d/16RR50F-OEUh1Xug_88ABEdYZVDyAotHI/view?usp=drivesdk","6999_ROUDHATINI _ SERTIFIKAT BerAKHLAK")</f>
        <v>6999_ROUDHATINI _ SERTIFIKAT BerAKHLAK</v>
      </c>
      <c r="P7000" s="5" t="s">
        <v>44710</v>
      </c>
    </row>
    <row r="7001">
      <c r="A7001" s="4">
        <v>45534.375915324075</v>
      </c>
      <c r="B7001" s="5" t="s">
        <v>34</v>
      </c>
      <c r="D7001" s="5" t="s">
        <v>1206</v>
      </c>
      <c r="E7001" s="5" t="s">
        <v>44716</v>
      </c>
      <c r="F7001" s="5" t="s">
        <v>37</v>
      </c>
      <c r="G7001" s="5" t="s">
        <v>44717</v>
      </c>
      <c r="H7001" s="6" t="s">
        <v>44718</v>
      </c>
      <c r="K7001" s="5" t="s">
        <v>44719</v>
      </c>
      <c r="M7001" s="5" t="s">
        <v>44720</v>
      </c>
      <c r="N7001" s="7" t="s">
        <v>44721</v>
      </c>
      <c r="O7001" s="8" t="str">
        <f>HYPERLINK("https://drive.google.com/file/d/1RC8LaLPuF-Nxthubx6Hf-B5rX8uLu4vO/view?usp=drivesdk","7000_ARIES RECOLASTA _ SERTIFIKAT BerAKHLAK")</f>
        <v>7000_ARIES RECOLASTA _ SERTIFIKAT BerAKHLAK</v>
      </c>
      <c r="P7001" s="5" t="s">
        <v>44710</v>
      </c>
    </row>
    <row r="7002" hidden="1">
      <c r="A7002" s="4">
        <v>45534.37591513889</v>
      </c>
      <c r="B7002" s="5" t="s">
        <v>19</v>
      </c>
      <c r="C7002" s="5" t="s">
        <v>3471</v>
      </c>
      <c r="E7002" s="5" t="s">
        <v>44722</v>
      </c>
      <c r="F7002" s="5" t="s">
        <v>375</v>
      </c>
      <c r="G7002" s="5" t="s">
        <v>44723</v>
      </c>
      <c r="H7002" s="6" t="s">
        <v>44724</v>
      </c>
      <c r="K7002" s="5" t="s">
        <v>44719</v>
      </c>
      <c r="M7002" s="5" t="s">
        <v>44725</v>
      </c>
      <c r="N7002" s="7" t="s">
        <v>44726</v>
      </c>
      <c r="O7002" s="8" t="str">
        <f>HYPERLINK("https://drive.google.com/file/d/1Oun7JLT07wAwFmb97rjXI576udg8x1qq/view?usp=drivesdk","7001_DODY KRISDWIYANTO, S.E. _ SERTIFIKAT BerAKHLAK")</f>
        <v>7001_DODY KRISDWIYANTO, S.E. _ SERTIFIKAT BerAKHLAK</v>
      </c>
      <c r="P7002" s="5" t="s">
        <v>44727</v>
      </c>
    </row>
    <row r="7003">
      <c r="A7003" s="4">
        <v>45534.375920879625</v>
      </c>
      <c r="B7003" s="5" t="s">
        <v>34</v>
      </c>
      <c r="D7003" s="5" t="s">
        <v>9020</v>
      </c>
      <c r="E7003" s="5" t="s">
        <v>44728</v>
      </c>
      <c r="F7003" s="5" t="s">
        <v>37</v>
      </c>
      <c r="G7003" s="5" t="s">
        <v>44729</v>
      </c>
      <c r="H7003" s="6" t="s">
        <v>44730</v>
      </c>
      <c r="K7003" s="5" t="s">
        <v>44719</v>
      </c>
      <c r="M7003" s="5" t="s">
        <v>44731</v>
      </c>
      <c r="N7003" s="7" t="s">
        <v>44732</v>
      </c>
      <c r="O7003" s="8" t="str">
        <f>HYPERLINK("https://drive.google.com/file/d/1rEthBlbdZ5yjzEPUTQfN1yuAmW212GUj/view?usp=drivesdk","7002_HERIANTO _ SERTIFIKAT BerAKHLAK")</f>
        <v>7002_HERIANTO _ SERTIFIKAT BerAKHLAK</v>
      </c>
      <c r="P7003" s="5" t="s">
        <v>44727</v>
      </c>
    </row>
    <row r="7004" hidden="1">
      <c r="A7004" s="4">
        <v>45534.37592493056</v>
      </c>
      <c r="B7004" s="5" t="s">
        <v>19</v>
      </c>
      <c r="C7004" s="5" t="s">
        <v>32901</v>
      </c>
      <c r="E7004" s="5" t="s">
        <v>44733</v>
      </c>
      <c r="F7004" s="5" t="s">
        <v>108</v>
      </c>
      <c r="G7004" s="5" t="s">
        <v>44734</v>
      </c>
      <c r="H7004" s="6" t="s">
        <v>44735</v>
      </c>
      <c r="K7004" s="5" t="s">
        <v>44719</v>
      </c>
      <c r="M7004" s="5" t="s">
        <v>44736</v>
      </c>
      <c r="N7004" s="7" t="s">
        <v>44737</v>
      </c>
      <c r="O7004" s="8" t="str">
        <f>HYPERLINK("https://drive.google.com/file/d/1JKBWRvYDuy2Qo1sHtBh6dcrAPkjZEfai/view?usp=drivesdk","7003_Nyoman Prayudhi, Am.D _ SERTIFIKAT BerAKHLAK")</f>
        <v>7003_Nyoman Prayudhi, Am.D _ SERTIFIKAT BerAKHLAK</v>
      </c>
      <c r="P7004" s="5" t="s">
        <v>44727</v>
      </c>
    </row>
    <row r="7005">
      <c r="A7005" s="4">
        <v>45534.37594052083</v>
      </c>
      <c r="B7005" s="5" t="s">
        <v>34</v>
      </c>
      <c r="D7005" s="5" t="s">
        <v>6232</v>
      </c>
      <c r="E7005" s="5" t="s">
        <v>44738</v>
      </c>
      <c r="F7005" s="5" t="s">
        <v>72</v>
      </c>
      <c r="G7005" s="5" t="s">
        <v>44739</v>
      </c>
      <c r="H7005" s="6" t="s">
        <v>44740</v>
      </c>
      <c r="K7005" s="5" t="s">
        <v>44741</v>
      </c>
      <c r="M7005" s="5" t="s">
        <v>44742</v>
      </c>
      <c r="N7005" s="7" t="s">
        <v>44743</v>
      </c>
      <c r="O7005" s="8" t="str">
        <f>HYPERLINK("https://drive.google.com/file/d/1M_PlbXR5T5rRUODuKj7ObSJwKMuGC7ot/view?usp=drivesdk","7004_dr.WITHA BUDIARTINA _ SERTIFIKAT BerAKHLAK")</f>
        <v>7004_dr.WITHA BUDIARTINA _ SERTIFIKAT BerAKHLAK</v>
      </c>
      <c r="P7005" s="5" t="s">
        <v>44727</v>
      </c>
    </row>
    <row r="7006">
      <c r="A7006" s="4">
        <v>45534.375942025465</v>
      </c>
      <c r="B7006" s="5" t="s">
        <v>34</v>
      </c>
      <c r="D7006" s="5" t="s">
        <v>9020</v>
      </c>
      <c r="E7006" s="5" t="s">
        <v>17217</v>
      </c>
      <c r="F7006" s="5" t="s">
        <v>212</v>
      </c>
      <c r="G7006" s="5" t="s">
        <v>44744</v>
      </c>
      <c r="H7006" s="6" t="s">
        <v>44745</v>
      </c>
      <c r="K7006" s="5" t="s">
        <v>44741</v>
      </c>
      <c r="M7006" s="5" t="s">
        <v>44746</v>
      </c>
      <c r="N7006" s="7" t="s">
        <v>44747</v>
      </c>
      <c r="O7006" s="8" t="str">
        <f>HYPERLINK("https://drive.google.com/file/d/13CO6jWb77LgG4u6MM7OP7fTxTs-b8kPN/view?usp=drivesdk","7005_SRI YANTI _ SERTIFIKAT BerAKHLAK")</f>
        <v>7005_SRI YANTI _ SERTIFIKAT BerAKHLAK</v>
      </c>
      <c r="P7006" s="5" t="s">
        <v>44748</v>
      </c>
    </row>
    <row r="7007">
      <c r="A7007" s="4">
        <v>45534.37595028935</v>
      </c>
      <c r="B7007" s="5" t="s">
        <v>34</v>
      </c>
      <c r="D7007" s="5" t="s">
        <v>35</v>
      </c>
      <c r="E7007" s="5" t="s">
        <v>44749</v>
      </c>
      <c r="F7007" s="5" t="s">
        <v>108</v>
      </c>
      <c r="G7007" s="5" t="s">
        <v>44750</v>
      </c>
      <c r="H7007" s="6" t="s">
        <v>44751</v>
      </c>
      <c r="K7007" s="5" t="s">
        <v>44741</v>
      </c>
      <c r="M7007" s="5" t="s">
        <v>44752</v>
      </c>
      <c r="N7007" s="7" t="s">
        <v>44753</v>
      </c>
      <c r="O7007" s="8" t="str">
        <f>HYPERLINK("https://drive.google.com/file/d/115Ca1IJcxZa47QIfcs889cRsboj3aSC0/view?usp=drivesdk","7006_NANI ROHAENI  _ SERTIFIKAT BerAKHLAK")</f>
        <v>7006_NANI ROHAENI  _ SERTIFIKAT BerAKHLAK</v>
      </c>
      <c r="P7007" s="5" t="s">
        <v>44748</v>
      </c>
    </row>
    <row r="7008">
      <c r="A7008" s="4">
        <v>45534.375958414355</v>
      </c>
      <c r="B7008" s="5" t="s">
        <v>34</v>
      </c>
      <c r="D7008" s="5" t="s">
        <v>15401</v>
      </c>
      <c r="E7008" s="5" t="s">
        <v>44754</v>
      </c>
      <c r="F7008" s="5" t="s">
        <v>375</v>
      </c>
      <c r="G7008" s="5" t="s">
        <v>44755</v>
      </c>
      <c r="H7008" s="6" t="s">
        <v>44756</v>
      </c>
      <c r="K7008" s="5" t="s">
        <v>44741</v>
      </c>
      <c r="M7008" s="5" t="s">
        <v>44757</v>
      </c>
      <c r="N7008" s="7" t="s">
        <v>44758</v>
      </c>
      <c r="O7008" s="8" t="str">
        <f>HYPERLINK("https://drive.google.com/file/d/1AdA6VQnnvnX0B0crR-kAX9xqRu0XcSg4/view?usp=drivesdk","7007_HILDA IRMAWATI RACHMAN _ SERTIFIKAT BerAKHLAK")</f>
        <v>7007_HILDA IRMAWATI RACHMAN _ SERTIFIKAT BerAKHLAK</v>
      </c>
      <c r="P7008" s="5" t="s">
        <v>44748</v>
      </c>
    </row>
    <row r="7009" hidden="1">
      <c r="A7009" s="4">
        <v>45534.37595931713</v>
      </c>
      <c r="B7009" s="5" t="s">
        <v>19</v>
      </c>
      <c r="C7009" s="5" t="s">
        <v>5058</v>
      </c>
      <c r="E7009" s="5" t="s">
        <v>44759</v>
      </c>
      <c r="F7009" s="5" t="s">
        <v>212</v>
      </c>
      <c r="G7009" s="5" t="s">
        <v>44760</v>
      </c>
      <c r="H7009" s="6" t="s">
        <v>44761</v>
      </c>
      <c r="K7009" s="5" t="s">
        <v>44741</v>
      </c>
      <c r="M7009" s="5" t="s">
        <v>44762</v>
      </c>
      <c r="N7009" s="7" t="s">
        <v>44763</v>
      </c>
      <c r="O7009" s="8" t="str">
        <f>HYPERLINK("https://drive.google.com/file/d/1S0L8hfyO_CjcCmCZ38JLk8310kWb3MD5/view?usp=drivesdk","7008_MAYENI _ SERTIFIKAT BerAKHLAK")</f>
        <v>7008_MAYENI _ SERTIFIKAT BerAKHLAK</v>
      </c>
      <c r="P7009" s="5" t="s">
        <v>44748</v>
      </c>
    </row>
    <row r="7010">
      <c r="A7010" s="4">
        <v>45534.37596491898</v>
      </c>
      <c r="B7010" s="5" t="s">
        <v>34</v>
      </c>
      <c r="D7010" s="5" t="s">
        <v>10444</v>
      </c>
      <c r="E7010" s="5" t="s">
        <v>44764</v>
      </c>
      <c r="F7010" s="5" t="s">
        <v>212</v>
      </c>
      <c r="G7010" s="5" t="s">
        <v>44765</v>
      </c>
      <c r="H7010" s="6" t="s">
        <v>44766</v>
      </c>
      <c r="K7010" s="5" t="s">
        <v>44767</v>
      </c>
      <c r="M7010" s="5" t="s">
        <v>44768</v>
      </c>
      <c r="N7010" s="7" t="s">
        <v>44769</v>
      </c>
      <c r="O7010" s="8" t="str">
        <f>HYPERLINK("https://drive.google.com/file/d/1JKT_Gz4KCC_U9dCzzutZkZ1Q7McnGW-r/view?usp=drivesdk","7009_SUYAMTI _ SERTIFIKAT BerAKHLAK")</f>
        <v>7009_SUYAMTI _ SERTIFIKAT BerAKHLAK</v>
      </c>
      <c r="P7010" s="5" t="s">
        <v>44748</v>
      </c>
    </row>
    <row r="7011">
      <c r="A7011" s="4">
        <v>45534.37596877315</v>
      </c>
      <c r="B7011" s="5" t="s">
        <v>34</v>
      </c>
      <c r="D7011" s="5" t="s">
        <v>4775</v>
      </c>
      <c r="E7011" s="5" t="s">
        <v>44770</v>
      </c>
      <c r="F7011" s="5" t="s">
        <v>212</v>
      </c>
      <c r="G7011" s="5" t="s">
        <v>44771</v>
      </c>
      <c r="H7011" s="6" t="s">
        <v>44772</v>
      </c>
      <c r="K7011" s="5" t="s">
        <v>44767</v>
      </c>
      <c r="M7011" s="5" t="s">
        <v>44773</v>
      </c>
      <c r="N7011" s="7" t="s">
        <v>44774</v>
      </c>
      <c r="O7011" s="8" t="str">
        <f>HYPERLINK("https://drive.google.com/file/d/1aIS6Tj6CM3g8bpi35dInGlFadMKhgPbM/view?usp=drivesdk","7010_FAJARWATI _ SERTIFIKAT BerAKHLAK")</f>
        <v>7010_FAJARWATI _ SERTIFIKAT BerAKHLAK</v>
      </c>
      <c r="P7011" s="5" t="s">
        <v>44775</v>
      </c>
    </row>
    <row r="7012">
      <c r="A7012" s="4">
        <v>45534.375987164356</v>
      </c>
      <c r="B7012" s="5" t="s">
        <v>34</v>
      </c>
      <c r="D7012" s="5" t="s">
        <v>1206</v>
      </c>
      <c r="E7012" s="5" t="s">
        <v>44776</v>
      </c>
      <c r="F7012" s="5" t="s">
        <v>212</v>
      </c>
      <c r="G7012" s="5" t="s">
        <v>44777</v>
      </c>
      <c r="H7012" s="6" t="s">
        <v>44778</v>
      </c>
      <c r="K7012" s="5" t="s">
        <v>44767</v>
      </c>
      <c r="M7012" s="5" t="s">
        <v>44779</v>
      </c>
      <c r="N7012" s="7" t="s">
        <v>44780</v>
      </c>
      <c r="O7012" s="8" t="str">
        <f>HYPERLINK("https://drive.google.com/file/d/1Z3tiWP8UdzUavIQ7EgMGVq2qRX4EgEp3/view?usp=drivesdk","7011_ISTIFADAH _ SERTIFIKAT BerAKHLAK")</f>
        <v>7011_ISTIFADAH _ SERTIFIKAT BerAKHLAK</v>
      </c>
      <c r="P7012" s="5" t="s">
        <v>44775</v>
      </c>
    </row>
    <row r="7013">
      <c r="A7013" s="4">
        <v>45534.37599438657</v>
      </c>
      <c r="B7013" s="5" t="s">
        <v>34</v>
      </c>
      <c r="D7013" s="5" t="s">
        <v>267</v>
      </c>
      <c r="E7013" s="5" t="s">
        <v>44781</v>
      </c>
      <c r="F7013" s="5" t="s">
        <v>108</v>
      </c>
      <c r="G7013" s="5" t="s">
        <v>44782</v>
      </c>
      <c r="H7013" s="6" t="s">
        <v>44783</v>
      </c>
      <c r="K7013" s="5" t="s">
        <v>44767</v>
      </c>
      <c r="M7013" s="5" t="s">
        <v>44784</v>
      </c>
      <c r="N7013" s="7" t="s">
        <v>44785</v>
      </c>
      <c r="O7013" s="8" t="str">
        <f>HYPERLINK("https://drive.google.com/file/d/1iRu7415sDBW2r63KNDqoFCISw8ZQxcDC/view?usp=drivesdk","7012_AMALIA DWI JAYANTI  _ SERTIFIKAT BerAKHLAK")</f>
        <v>7012_AMALIA DWI JAYANTI  _ SERTIFIKAT BerAKHLAK</v>
      </c>
      <c r="P7013" s="5" t="s">
        <v>44775</v>
      </c>
    </row>
    <row r="7014">
      <c r="A7014" s="4">
        <v>45534.37600940972</v>
      </c>
      <c r="B7014" s="5" t="s">
        <v>34</v>
      </c>
      <c r="D7014" s="5" t="s">
        <v>35</v>
      </c>
      <c r="E7014" s="5" t="s">
        <v>44786</v>
      </c>
      <c r="F7014" s="5" t="s">
        <v>72</v>
      </c>
      <c r="G7014" s="5" t="s">
        <v>44787</v>
      </c>
      <c r="H7014" s="6" t="s">
        <v>44788</v>
      </c>
      <c r="K7014" s="5" t="s">
        <v>44789</v>
      </c>
      <c r="M7014" s="5" t="s">
        <v>44790</v>
      </c>
      <c r="N7014" s="7" t="s">
        <v>44791</v>
      </c>
      <c r="O7014" s="8" t="str">
        <f>HYPERLINK("https://drive.google.com/file/d/1NPFwJ46tR3xyziNpGkD12gEEiqN7wfes/view?usp=drivesdk","7013_SRI RAHAYU, AMD _ SERTIFIKAT BerAKHLAK")</f>
        <v>7013_SRI RAHAYU, AMD _ SERTIFIKAT BerAKHLAK</v>
      </c>
      <c r="P7014" s="5" t="s">
        <v>44775</v>
      </c>
    </row>
    <row r="7015">
      <c r="A7015" s="4">
        <v>45534.37601028935</v>
      </c>
      <c r="B7015" s="5" t="s">
        <v>34</v>
      </c>
      <c r="D7015" s="5" t="s">
        <v>701</v>
      </c>
      <c r="E7015" s="5" t="s">
        <v>44792</v>
      </c>
      <c r="F7015" s="5" t="s">
        <v>37</v>
      </c>
      <c r="G7015" s="5" t="s">
        <v>44793</v>
      </c>
      <c r="H7015" s="6" t="s">
        <v>44794</v>
      </c>
      <c r="K7015" s="5" t="s">
        <v>44789</v>
      </c>
      <c r="M7015" s="5" t="s">
        <v>44795</v>
      </c>
      <c r="N7015" s="7" t="s">
        <v>44796</v>
      </c>
      <c r="O7015" s="8" t="str">
        <f>HYPERLINK("https://drive.google.com/file/d/1jTWj97tVPT7uicChxKdWWqmt0HvySzCR/view?usp=drivesdk","7014_MUHAMMAD KHALID _ SERTIFIKAT BerAKHLAK")</f>
        <v>7014_MUHAMMAD KHALID _ SERTIFIKAT BerAKHLAK</v>
      </c>
      <c r="P7015" s="5" t="s">
        <v>44775</v>
      </c>
    </row>
    <row r="7016">
      <c r="A7016" s="4">
        <v>45534.376016724535</v>
      </c>
      <c r="B7016" s="5" t="s">
        <v>34</v>
      </c>
      <c r="D7016" s="5" t="s">
        <v>1558</v>
      </c>
      <c r="E7016" s="5" t="s">
        <v>44797</v>
      </c>
      <c r="F7016" s="5" t="s">
        <v>72</v>
      </c>
      <c r="G7016" s="5" t="s">
        <v>44798</v>
      </c>
      <c r="H7016" s="6" t="s">
        <v>44799</v>
      </c>
      <c r="K7016" s="5" t="s">
        <v>44789</v>
      </c>
      <c r="M7016" s="5" t="s">
        <v>44800</v>
      </c>
      <c r="N7016" s="7" t="s">
        <v>44801</v>
      </c>
      <c r="O7016" s="8" t="str">
        <f>HYPERLINK("https://drive.google.com/file/d/1QEyqmHM55OPUZyRUK3ypN8Pfo26CRDGD/view?usp=drivesdk","7015_ARI YUNIAWAN, S. H.,  _ SERTIFIKAT BerAKHLAK")</f>
        <v>7015_ARI YUNIAWAN, S. H.,  _ SERTIFIKAT BerAKHLAK</v>
      </c>
      <c r="P7016" s="5" t="s">
        <v>44802</v>
      </c>
    </row>
    <row r="7017">
      <c r="A7017" s="4">
        <v>45534.3760180324</v>
      </c>
      <c r="B7017" s="5" t="s">
        <v>34</v>
      </c>
      <c r="D7017" s="5" t="s">
        <v>1206</v>
      </c>
      <c r="E7017" s="5" t="s">
        <v>44803</v>
      </c>
      <c r="F7017" s="5" t="s">
        <v>199</v>
      </c>
      <c r="G7017" s="5" t="s">
        <v>44804</v>
      </c>
      <c r="H7017" s="6" t="s">
        <v>44805</v>
      </c>
      <c r="K7017" s="5" t="s">
        <v>44789</v>
      </c>
      <c r="M7017" s="5" t="s">
        <v>44806</v>
      </c>
      <c r="N7017" s="7" t="s">
        <v>44807</v>
      </c>
      <c r="O7017" s="8" t="str">
        <f>HYPERLINK("https://drive.google.com/file/d/1_54z7401jZtebEn8qw3R1aJWR_G5xnxR/view?usp=drivesdk","7016_GUNAWAN _ SERTIFIKAT BerAKHLAK")</f>
        <v>7016_GUNAWAN _ SERTIFIKAT BerAKHLAK</v>
      </c>
      <c r="P7017" s="5" t="s">
        <v>44802</v>
      </c>
    </row>
    <row r="7018">
      <c r="A7018" s="4">
        <v>45534.3760324537</v>
      </c>
      <c r="B7018" s="5" t="s">
        <v>34</v>
      </c>
      <c r="D7018" s="5" t="s">
        <v>1558</v>
      </c>
      <c r="E7018" s="5" t="s">
        <v>44808</v>
      </c>
      <c r="F7018" s="5" t="s">
        <v>212</v>
      </c>
      <c r="G7018" s="5" t="s">
        <v>44809</v>
      </c>
      <c r="H7018" s="6" t="s">
        <v>44810</v>
      </c>
      <c r="K7018" s="5" t="s">
        <v>44789</v>
      </c>
      <c r="M7018" s="5" t="s">
        <v>44811</v>
      </c>
      <c r="N7018" s="7" t="s">
        <v>44812</v>
      </c>
      <c r="O7018" s="8" t="str">
        <f>HYPERLINK("https://drive.google.com/file/d/1T2uz9wlbqGNtloHjK_5-HlqNId9XsSq2/view?usp=drivesdk","7017_A. HANAFI _ SERTIFIKAT BerAKHLAK")</f>
        <v>7017_A. HANAFI _ SERTIFIKAT BerAKHLAK</v>
      </c>
      <c r="P7018" s="5" t="s">
        <v>44802</v>
      </c>
    </row>
    <row r="7019">
      <c r="A7019" s="4">
        <v>45534.37604574074</v>
      </c>
      <c r="B7019" s="5" t="s">
        <v>34</v>
      </c>
      <c r="D7019" s="5" t="s">
        <v>1558</v>
      </c>
      <c r="E7019" s="5" t="s">
        <v>26494</v>
      </c>
      <c r="F7019" s="5" t="s">
        <v>108</v>
      </c>
      <c r="G7019" s="5" t="s">
        <v>44813</v>
      </c>
      <c r="H7019" s="6" t="s">
        <v>44814</v>
      </c>
      <c r="K7019" s="5" t="s">
        <v>44815</v>
      </c>
      <c r="M7019" s="5" t="s">
        <v>44816</v>
      </c>
      <c r="N7019" s="7" t="s">
        <v>44817</v>
      </c>
      <c r="O7019" s="8" t="str">
        <f>HYPERLINK("https://drive.google.com/file/d/1dX4Pmp8Cuegwjgak9YaeN-dlo1s0nMcI/view?usp=drivesdk","7018_SULISTIOWATI _ SERTIFIKAT BerAKHLAK")</f>
        <v>7018_SULISTIOWATI _ SERTIFIKAT BerAKHLAK</v>
      </c>
      <c r="P7019" s="5" t="s">
        <v>44802</v>
      </c>
    </row>
    <row r="7020">
      <c r="A7020" s="4">
        <v>45534.3760546875</v>
      </c>
      <c r="B7020" s="5" t="s">
        <v>34</v>
      </c>
      <c r="D7020" s="5" t="s">
        <v>9020</v>
      </c>
      <c r="E7020" s="5" t="s">
        <v>44818</v>
      </c>
      <c r="F7020" s="5" t="s">
        <v>524</v>
      </c>
      <c r="G7020" s="5" t="s">
        <v>44819</v>
      </c>
      <c r="H7020" s="6" t="s">
        <v>44820</v>
      </c>
      <c r="K7020" s="5" t="s">
        <v>44815</v>
      </c>
      <c r="M7020" s="5" t="s">
        <v>44821</v>
      </c>
      <c r="N7020" s="7" t="s">
        <v>44822</v>
      </c>
      <c r="O7020" s="8" t="str">
        <f>HYPERLINK("https://drive.google.com/file/d/1QcFjkdGBt9RDfJDX6A0kwn1xbBMPYKh-/view?usp=drivesdk","7019_SAMSUDDIN LUBIS _ SERTIFIKAT BerAKHLAK")</f>
        <v>7019_SAMSUDDIN LUBIS _ SERTIFIKAT BerAKHLAK</v>
      </c>
      <c r="P7020" s="5" t="s">
        <v>44802</v>
      </c>
    </row>
    <row r="7021">
      <c r="A7021" s="4">
        <v>45534.37608818287</v>
      </c>
      <c r="B7021" s="5" t="s">
        <v>34</v>
      </c>
      <c r="D7021" s="5" t="s">
        <v>12010</v>
      </c>
      <c r="E7021" s="5" t="s">
        <v>44823</v>
      </c>
      <c r="F7021" s="5" t="s">
        <v>375</v>
      </c>
      <c r="G7021" s="5" t="s">
        <v>44824</v>
      </c>
      <c r="H7021" s="6" t="s">
        <v>44825</v>
      </c>
      <c r="K7021" s="5" t="s">
        <v>44826</v>
      </c>
      <c r="M7021" s="5" t="s">
        <v>44827</v>
      </c>
      <c r="N7021" s="7" t="s">
        <v>44828</v>
      </c>
      <c r="O7021" s="8" t="str">
        <f>HYPERLINK("https://drive.google.com/file/d/1KTlBV9ZVB6DMOuluOXHHfkxeb1gODHVY/view?usp=drivesdk","7020_RATNA DJUBA, S. Kep _ SERTIFIKAT BerAKHLAK")</f>
        <v>7020_RATNA DJUBA, S. Kep _ SERTIFIKAT BerAKHLAK</v>
      </c>
      <c r="P7021" s="5" t="s">
        <v>44829</v>
      </c>
    </row>
    <row r="7022">
      <c r="A7022" s="4">
        <v>45534.37617599537</v>
      </c>
      <c r="B7022" s="5" t="s">
        <v>34</v>
      </c>
      <c r="D7022" s="5" t="s">
        <v>15401</v>
      </c>
      <c r="E7022" s="5" t="s">
        <v>44830</v>
      </c>
      <c r="F7022" s="5" t="s">
        <v>108</v>
      </c>
      <c r="G7022" s="5" t="s">
        <v>44831</v>
      </c>
      <c r="H7022" s="6" t="s">
        <v>44832</v>
      </c>
      <c r="K7022" s="5" t="s">
        <v>44833</v>
      </c>
      <c r="M7022" s="5" t="s">
        <v>44834</v>
      </c>
      <c r="N7022" s="7" t="s">
        <v>44835</v>
      </c>
      <c r="O7022" s="8" t="str">
        <f>HYPERLINK("https://drive.google.com/file/d/1T-RfZlNwO-of9bHveVvHtHLSShMTp8hJ/view?usp=drivesdk","7021_MEITY BAKARY _ SERTIFIKAT BerAKHLAK")</f>
        <v>7021_MEITY BAKARY _ SERTIFIKAT BerAKHLAK</v>
      </c>
      <c r="P7022" s="5" t="s">
        <v>44829</v>
      </c>
    </row>
    <row r="7023">
      <c r="A7023" s="4">
        <v>45534.376212083334</v>
      </c>
      <c r="B7023" s="5" t="s">
        <v>34</v>
      </c>
      <c r="D7023" s="5" t="s">
        <v>9020</v>
      </c>
      <c r="E7023" s="5" t="s">
        <v>44836</v>
      </c>
      <c r="F7023" s="5" t="s">
        <v>212</v>
      </c>
      <c r="G7023" s="5" t="s">
        <v>44837</v>
      </c>
      <c r="H7023" s="6" t="s">
        <v>44838</v>
      </c>
      <c r="K7023" s="5" t="s">
        <v>44839</v>
      </c>
      <c r="M7023" s="5" t="s">
        <v>44840</v>
      </c>
      <c r="N7023" s="7" t="s">
        <v>44841</v>
      </c>
      <c r="O7023" s="8" t="str">
        <f>HYPERLINK("https://drive.google.com/file/d/1UQUNk6kZ7QTglw6o-99237zGJNiVgCyn/view?usp=drivesdk","7022_RUSNI PENGATUR TK _ SERTIFIKAT BerAKHLAK")</f>
        <v>7022_RUSNI PENGATUR TK _ SERTIFIKAT BerAKHLAK</v>
      </c>
      <c r="P7023" s="5" t="s">
        <v>44829</v>
      </c>
    </row>
    <row r="7024">
      <c r="A7024" s="4">
        <v>45534.376227500004</v>
      </c>
      <c r="B7024" s="5" t="s">
        <v>34</v>
      </c>
      <c r="D7024" s="5" t="s">
        <v>3432</v>
      </c>
      <c r="E7024" s="5" t="s">
        <v>44842</v>
      </c>
      <c r="F7024" s="5" t="s">
        <v>72</v>
      </c>
      <c r="G7024" s="5" t="s">
        <v>44843</v>
      </c>
      <c r="H7024" s="6" t="s">
        <v>44844</v>
      </c>
      <c r="K7024" s="5" t="s">
        <v>44839</v>
      </c>
      <c r="M7024" s="5" t="s">
        <v>44845</v>
      </c>
      <c r="N7024" s="7" t="s">
        <v>44846</v>
      </c>
      <c r="O7024" s="8" t="str">
        <f>HYPERLINK("https://drive.google.com/file/d/1ybJR4yn5AJKCmh7rVw7QB7ORwrH6N4EN/view?usp=drivesdk","7023_RUSNI. ABDUL SALAM _ SERTIFIKAT BerAKHLAK")</f>
        <v>7023_RUSNI. ABDUL SALAM _ SERTIFIKAT BerAKHLAK</v>
      </c>
      <c r="P7024" s="5" t="s">
        <v>44829</v>
      </c>
    </row>
    <row r="7025">
      <c r="A7025" s="4">
        <v>45534.37625763888</v>
      </c>
      <c r="B7025" s="5" t="s">
        <v>34</v>
      </c>
      <c r="D7025" s="5" t="s">
        <v>12978</v>
      </c>
      <c r="E7025" s="5" t="s">
        <v>44847</v>
      </c>
      <c r="F7025" s="5" t="s">
        <v>212</v>
      </c>
      <c r="G7025" s="5" t="s">
        <v>44848</v>
      </c>
      <c r="H7025" s="6" t="s">
        <v>44849</v>
      </c>
      <c r="K7025" s="5" t="s">
        <v>44850</v>
      </c>
      <c r="M7025" s="5" t="s">
        <v>44851</v>
      </c>
      <c r="N7025" s="7" t="s">
        <v>44852</v>
      </c>
      <c r="O7025" s="8" t="str">
        <f>HYPERLINK("https://drive.google.com/file/d/1shqhHz72vPnI_UdflZsYEDn-1TUT5E96/view?usp=drivesdk","7024_KARTINI _ SERTIFIKAT BerAKHLAK")</f>
        <v>7024_KARTINI _ SERTIFIKAT BerAKHLAK</v>
      </c>
      <c r="P7025" s="5" t="s">
        <v>44853</v>
      </c>
    </row>
    <row r="7026">
      <c r="A7026" s="4">
        <v>45534.37626797454</v>
      </c>
      <c r="B7026" s="5" t="s">
        <v>34</v>
      </c>
      <c r="D7026" s="5" t="s">
        <v>12978</v>
      </c>
      <c r="E7026" s="5" t="s">
        <v>44854</v>
      </c>
      <c r="F7026" s="5" t="s">
        <v>108</v>
      </c>
      <c r="G7026" s="5" t="s">
        <v>44855</v>
      </c>
      <c r="H7026" s="6" t="s">
        <v>44856</v>
      </c>
      <c r="K7026" s="5" t="s">
        <v>44850</v>
      </c>
      <c r="M7026" s="5" t="s">
        <v>44857</v>
      </c>
      <c r="N7026" s="7" t="s">
        <v>44858</v>
      </c>
      <c r="O7026" s="8" t="str">
        <f>HYPERLINK("https://drive.google.com/file/d/1ycPodahfeubFLCUhIfkypktb1i1pRLQc/view?usp=drivesdk","7025_RETNO PURNAMA SARI, S.sos _ SERTIFIKAT BerAKHLAK")</f>
        <v>7025_RETNO PURNAMA SARI, S.sos _ SERTIFIKAT BerAKHLAK</v>
      </c>
      <c r="P7026" s="5" t="s">
        <v>44853</v>
      </c>
    </row>
    <row r="7027">
      <c r="A7027" s="4">
        <v>45534.37627605324</v>
      </c>
      <c r="B7027" s="5" t="s">
        <v>34</v>
      </c>
      <c r="D7027" s="5" t="s">
        <v>9020</v>
      </c>
      <c r="E7027" s="5" t="s">
        <v>44859</v>
      </c>
      <c r="F7027" s="5" t="s">
        <v>524</v>
      </c>
      <c r="G7027" s="5" t="s">
        <v>44860</v>
      </c>
      <c r="H7027" s="6" t="s">
        <v>44861</v>
      </c>
      <c r="K7027" s="5" t="s">
        <v>44850</v>
      </c>
      <c r="M7027" s="5" t="s">
        <v>44862</v>
      </c>
      <c r="N7027" s="7" t="s">
        <v>44863</v>
      </c>
      <c r="O7027" s="8" t="str">
        <f>HYPERLINK("https://drive.google.com/file/d/1NLKPgdv54Y29n13kCFkrCm2qD2P2dKz2/view?usp=drivesdk","7026_Apt Munazar S.Farm.M.Farm _ SERTIFIKAT BerAKHLAK")</f>
        <v>7026_Apt Munazar S.Farm.M.Farm _ SERTIFIKAT BerAKHLAK</v>
      </c>
      <c r="P7027" s="5" t="s">
        <v>44853</v>
      </c>
    </row>
    <row r="7028">
      <c r="A7028" s="4">
        <v>45534.376277152776</v>
      </c>
      <c r="B7028" s="5" t="s">
        <v>34</v>
      </c>
      <c r="D7028" s="5" t="s">
        <v>1206</v>
      </c>
      <c r="E7028" s="5" t="s">
        <v>44864</v>
      </c>
      <c r="F7028" s="5" t="s">
        <v>120</v>
      </c>
      <c r="G7028" s="5" t="s">
        <v>44865</v>
      </c>
      <c r="H7028" s="6" t="s">
        <v>44866</v>
      </c>
      <c r="K7028" s="5" t="s">
        <v>44850</v>
      </c>
      <c r="M7028" s="5" t="s">
        <v>44867</v>
      </c>
      <c r="N7028" s="7" t="s">
        <v>44868</v>
      </c>
      <c r="O7028" s="8" t="str">
        <f>HYPERLINK("https://drive.google.com/file/d/1w7D3d0vpPaH26w0yIbHS1UnGq45ulMfk/view?usp=drivesdk","7027_IZZA ARDIANI, S.Ag.M.M.  _ SERTIFIKAT BerAKHLAK")</f>
        <v>7027_IZZA ARDIANI, S.Ag.M.M.  _ SERTIFIKAT BerAKHLAK</v>
      </c>
      <c r="P7028" s="5" t="s">
        <v>44869</v>
      </c>
    </row>
    <row r="7029">
      <c r="A7029" s="4">
        <v>45534.3763178125</v>
      </c>
      <c r="B7029" s="5" t="s">
        <v>34</v>
      </c>
      <c r="D7029" s="5" t="s">
        <v>701</v>
      </c>
      <c r="E7029" s="5" t="s">
        <v>44870</v>
      </c>
      <c r="F7029" s="5" t="s">
        <v>212</v>
      </c>
      <c r="G7029" s="5" t="s">
        <v>44871</v>
      </c>
      <c r="H7029" s="6" t="s">
        <v>44872</v>
      </c>
      <c r="K7029" s="5" t="s">
        <v>44873</v>
      </c>
      <c r="M7029" s="5" t="s">
        <v>44874</v>
      </c>
      <c r="N7029" s="7" t="s">
        <v>44875</v>
      </c>
      <c r="O7029" s="8" t="str">
        <f>HYPERLINK("https://drive.google.com/file/d/1YMv9ZgeE-PKTqRi9MzYspSDllOTBEB6H/view?usp=drivesdk","7028_RIZA ROSITA _ SERTIFIKAT BerAKHLAK")</f>
        <v>7028_RIZA ROSITA _ SERTIFIKAT BerAKHLAK</v>
      </c>
      <c r="P7029" s="5" t="s">
        <v>44869</v>
      </c>
    </row>
    <row r="7030">
      <c r="A7030" s="4">
        <v>45534.376341192125</v>
      </c>
      <c r="B7030" s="5" t="s">
        <v>34</v>
      </c>
      <c r="D7030" s="5" t="s">
        <v>9020</v>
      </c>
      <c r="E7030" s="5" t="s">
        <v>44876</v>
      </c>
      <c r="F7030" s="5" t="s">
        <v>212</v>
      </c>
      <c r="G7030" s="5" t="s">
        <v>44877</v>
      </c>
      <c r="H7030" s="6" t="s">
        <v>44878</v>
      </c>
      <c r="K7030" s="5" t="s">
        <v>44873</v>
      </c>
      <c r="M7030" s="5" t="s">
        <v>44879</v>
      </c>
      <c r="N7030" s="7" t="s">
        <v>44880</v>
      </c>
      <c r="O7030" s="8" t="str">
        <f>HYPERLINK("https://drive.google.com/file/d/11u_0GEbRzg0Zv3zIlJDdFUEs86t9dd-H/view?usp=drivesdk","7029_SARI ROSMALA DEWi _ SERTIFIKAT BerAKHLAK")</f>
        <v>7029_SARI ROSMALA DEWi _ SERTIFIKAT BerAKHLAK</v>
      </c>
      <c r="P7030" s="5" t="s">
        <v>44869</v>
      </c>
    </row>
    <row r="7031">
      <c r="A7031" s="4">
        <v>45534.376342118056</v>
      </c>
      <c r="B7031" s="5" t="s">
        <v>34</v>
      </c>
      <c r="D7031" s="5" t="s">
        <v>1206</v>
      </c>
      <c r="E7031" s="5" t="s">
        <v>44881</v>
      </c>
      <c r="F7031" s="5" t="s">
        <v>37</v>
      </c>
      <c r="G7031" s="5" t="s">
        <v>44882</v>
      </c>
      <c r="H7031" s="6" t="s">
        <v>44883</v>
      </c>
      <c r="K7031" s="5" t="s">
        <v>44884</v>
      </c>
      <c r="M7031" s="5" t="s">
        <v>44885</v>
      </c>
      <c r="N7031" s="7" t="s">
        <v>44886</v>
      </c>
      <c r="O7031" s="8" t="str">
        <f>HYPERLINK("https://drive.google.com/file/d/12TO-ZvtHIK7qQaAxlW-cCzk9QOYbixF2/view?usp=drivesdk","7030_ERi MAFIDAH _ SERTIFIKAT BerAKHLAK")</f>
        <v>7030_ERi MAFIDAH _ SERTIFIKAT BerAKHLAK</v>
      </c>
      <c r="P7031" s="5" t="s">
        <v>44869</v>
      </c>
    </row>
    <row r="7032">
      <c r="A7032" s="4">
        <v>45534.376348680555</v>
      </c>
      <c r="B7032" s="5" t="s">
        <v>34</v>
      </c>
      <c r="D7032" s="5" t="s">
        <v>10444</v>
      </c>
      <c r="E7032" s="5" t="s">
        <v>44887</v>
      </c>
      <c r="F7032" s="5" t="s">
        <v>212</v>
      </c>
      <c r="G7032" s="5" t="s">
        <v>44888</v>
      </c>
      <c r="H7032" s="6" t="s">
        <v>44889</v>
      </c>
      <c r="K7032" s="5" t="s">
        <v>44884</v>
      </c>
      <c r="M7032" s="5" t="s">
        <v>44890</v>
      </c>
      <c r="N7032" s="7" t="s">
        <v>44891</v>
      </c>
      <c r="O7032" s="8" t="str">
        <f>HYPERLINK("https://drive.google.com/file/d/1tVJ2uzsdnrHn363wTqE1GvUruVV_w5Vp/view?usp=drivesdk","7031_DEWI KUSMIYATI _ SERTIFIKAT BerAKHLAK")</f>
        <v>7031_DEWI KUSMIYATI _ SERTIFIKAT BerAKHLAK</v>
      </c>
      <c r="P7032" s="5" t="s">
        <v>44869</v>
      </c>
    </row>
    <row r="7033">
      <c r="A7033" s="4">
        <v>45534.37637405093</v>
      </c>
      <c r="B7033" s="5" t="s">
        <v>34</v>
      </c>
      <c r="D7033" s="5" t="s">
        <v>701</v>
      </c>
      <c r="E7033" s="5" t="s">
        <v>44892</v>
      </c>
      <c r="F7033" s="5" t="s">
        <v>212</v>
      </c>
      <c r="G7033" s="5" t="s">
        <v>44893</v>
      </c>
      <c r="H7033" s="6" t="s">
        <v>44894</v>
      </c>
      <c r="K7033" s="5" t="s">
        <v>44895</v>
      </c>
      <c r="M7033" s="5" t="s">
        <v>44896</v>
      </c>
      <c r="N7033" s="7" t="s">
        <v>44897</v>
      </c>
      <c r="O7033" s="8" t="str">
        <f>HYPERLINK("https://drive.google.com/file/d/1h1pjDrFKQFn0-BDHS5lOJU0QWxJ3c2C_/view?usp=drivesdk","7032_APRINI YULIAN SARI. A. Md. Kep _ SERTIFIKAT BerAKHLAK")</f>
        <v>7032_APRINI YULIAN SARI. A. Md. Kep _ SERTIFIKAT BerAKHLAK</v>
      </c>
      <c r="P7033" s="5" t="s">
        <v>44898</v>
      </c>
    </row>
    <row r="7034">
      <c r="A7034" s="4">
        <v>45534.37639322916</v>
      </c>
      <c r="B7034" s="5" t="s">
        <v>34</v>
      </c>
      <c r="D7034" s="5" t="s">
        <v>9020</v>
      </c>
      <c r="E7034" s="5" t="s">
        <v>44899</v>
      </c>
      <c r="F7034" s="5" t="s">
        <v>212</v>
      </c>
      <c r="G7034" s="5" t="s">
        <v>44900</v>
      </c>
      <c r="H7034" s="6" t="s">
        <v>44901</v>
      </c>
      <c r="K7034" s="5" t="s">
        <v>44895</v>
      </c>
      <c r="M7034" s="5" t="s">
        <v>44902</v>
      </c>
      <c r="N7034" s="7" t="s">
        <v>44903</v>
      </c>
      <c r="O7034" s="8" t="str">
        <f>HYPERLINK("https://drive.google.com/file/d/1r5Dsxu1K-U_1ZRQjRAsgHQ2_xtTwRKt8/view?usp=drivesdk","7033_ENI MARLINA _ SERTIFIKAT BerAKHLAK")</f>
        <v>7033_ENI MARLINA _ SERTIFIKAT BerAKHLAK</v>
      </c>
      <c r="P7034" s="5" t="s">
        <v>44898</v>
      </c>
    </row>
    <row r="7035">
      <c r="A7035" s="4">
        <v>45534.37640479166</v>
      </c>
      <c r="B7035" s="5" t="s">
        <v>34</v>
      </c>
      <c r="D7035" s="5" t="s">
        <v>12010</v>
      </c>
      <c r="E7035" s="5" t="s">
        <v>44904</v>
      </c>
      <c r="F7035" s="5" t="s">
        <v>37</v>
      </c>
      <c r="G7035" s="5" t="s">
        <v>44905</v>
      </c>
      <c r="H7035" s="6" t="s">
        <v>44906</v>
      </c>
      <c r="K7035" s="5" t="s">
        <v>44895</v>
      </c>
      <c r="M7035" s="5" t="s">
        <v>44907</v>
      </c>
      <c r="N7035" s="7" t="s">
        <v>44908</v>
      </c>
      <c r="O7035" s="8" t="str">
        <f>HYPERLINK("https://drive.google.com/file/d/1n9xrClG6R1FqcbGVH5RNecE2DlrXcLEG/view?usp=drivesdk","7034_NURHAYATI DAUD _ SERTIFIKAT BerAKHLAK")</f>
        <v>7034_NURHAYATI DAUD _ SERTIFIKAT BerAKHLAK</v>
      </c>
      <c r="P7035" s="5" t="s">
        <v>44898</v>
      </c>
    </row>
    <row r="7036">
      <c r="A7036" s="4">
        <v>45534.37640663194</v>
      </c>
      <c r="B7036" s="5" t="s">
        <v>34</v>
      </c>
      <c r="D7036" s="5" t="s">
        <v>12978</v>
      </c>
      <c r="E7036" s="5" t="s">
        <v>44909</v>
      </c>
      <c r="F7036" s="5" t="s">
        <v>108</v>
      </c>
      <c r="G7036" s="5" t="s">
        <v>44910</v>
      </c>
      <c r="H7036" s="6" t="s">
        <v>44911</v>
      </c>
      <c r="K7036" s="5" t="s">
        <v>44895</v>
      </c>
      <c r="M7036" s="5" t="s">
        <v>44912</v>
      </c>
      <c r="N7036" s="7" t="s">
        <v>44913</v>
      </c>
      <c r="O7036" s="8" t="str">
        <f>HYPERLINK("https://drive.google.com/file/d/1_iuSwZuV-WFE0y3o5PrZ7oQjwBH5OoLo/view?usp=drivesdk","7035_ELMINA  _ SERTIFIKAT BerAKHLAK")</f>
        <v>7035_ELMINA  _ SERTIFIKAT BerAKHLAK</v>
      </c>
      <c r="P7036" s="5" t="s">
        <v>44898</v>
      </c>
    </row>
    <row r="7037">
      <c r="A7037" s="4">
        <v>45534.37645170139</v>
      </c>
      <c r="B7037" s="5" t="s">
        <v>34</v>
      </c>
      <c r="D7037" s="5" t="s">
        <v>701</v>
      </c>
      <c r="E7037" s="5" t="s">
        <v>44914</v>
      </c>
      <c r="F7037" s="5" t="s">
        <v>524</v>
      </c>
      <c r="G7037" s="5" t="s">
        <v>44915</v>
      </c>
      <c r="H7037" s="6" t="s">
        <v>44916</v>
      </c>
      <c r="K7037" s="5" t="s">
        <v>44917</v>
      </c>
      <c r="M7037" s="5" t="s">
        <v>44918</v>
      </c>
      <c r="N7037" s="7" t="s">
        <v>44919</v>
      </c>
      <c r="O7037" s="8" t="str">
        <f>HYPERLINK("https://drive.google.com/file/d/1sBFiTVtiinoO_kAcqOkEBKthhne6zNv9/view?usp=drivesdk","7036_MEIVI ULFA ATSILAH, S.Ak. _ SERTIFIKAT BerAKHLAK")</f>
        <v>7036_MEIVI ULFA ATSILAH, S.Ak. _ SERTIFIKAT BerAKHLAK</v>
      </c>
      <c r="P7037" s="5" t="s">
        <v>44898</v>
      </c>
    </row>
    <row r="7038">
      <c r="A7038" s="4">
        <v>45534.37645256944</v>
      </c>
      <c r="B7038" s="5" t="s">
        <v>34</v>
      </c>
      <c r="D7038" s="5" t="s">
        <v>9020</v>
      </c>
      <c r="E7038" s="5" t="s">
        <v>44920</v>
      </c>
      <c r="F7038" s="5" t="s">
        <v>72</v>
      </c>
      <c r="G7038" s="5" t="s">
        <v>44921</v>
      </c>
      <c r="H7038" s="6" t="s">
        <v>44922</v>
      </c>
      <c r="K7038" s="5" t="s">
        <v>44917</v>
      </c>
      <c r="M7038" s="5" t="s">
        <v>44923</v>
      </c>
      <c r="N7038" s="7" t="s">
        <v>44924</v>
      </c>
      <c r="O7038" s="8" t="str">
        <f>HYPERLINK("https://drive.google.com/file/d/177SOxIbLEifKZLH0Do8FykZZnf-89g-w/view?usp=drivesdk","7037_Saurma Parulian Simarmata.S.K.M _ SERTIFIKAT BerAKHLAK")</f>
        <v>7037_Saurma Parulian Simarmata.S.K.M _ SERTIFIKAT BerAKHLAK</v>
      </c>
      <c r="P7038" s="5" t="s">
        <v>44925</v>
      </c>
    </row>
    <row r="7039">
      <c r="A7039" s="4">
        <v>45534.376458865736</v>
      </c>
      <c r="B7039" s="5" t="s">
        <v>34</v>
      </c>
      <c r="D7039" s="5" t="s">
        <v>10444</v>
      </c>
      <c r="E7039" s="5" t="s">
        <v>44926</v>
      </c>
      <c r="F7039" s="5" t="s">
        <v>37</v>
      </c>
      <c r="G7039" s="5" t="s">
        <v>44927</v>
      </c>
      <c r="H7039" s="6" t="s">
        <v>44928</v>
      </c>
      <c r="K7039" s="5" t="s">
        <v>44917</v>
      </c>
      <c r="M7039" s="5" t="s">
        <v>44929</v>
      </c>
      <c r="N7039" s="7" t="s">
        <v>44930</v>
      </c>
      <c r="O7039" s="8" t="str">
        <f>HYPERLINK("https://drive.google.com/file/d/1TSo63D40e52xgC-AvHd1Smfo7ye4DtWp/view?usp=drivesdk","7038_SAMITA FITRIANINGSI A.Md.Keb _ SERTIFIKAT BerAKHLAK")</f>
        <v>7038_SAMITA FITRIANINGSI A.Md.Keb _ SERTIFIKAT BerAKHLAK</v>
      </c>
      <c r="P7039" s="5" t="s">
        <v>44925</v>
      </c>
    </row>
    <row r="7040">
      <c r="A7040" s="4">
        <v>45534.37646344907</v>
      </c>
      <c r="B7040" s="5" t="s">
        <v>34</v>
      </c>
      <c r="D7040" s="5" t="s">
        <v>9020</v>
      </c>
      <c r="E7040" s="5" t="s">
        <v>44931</v>
      </c>
      <c r="F7040" s="5" t="s">
        <v>212</v>
      </c>
      <c r="G7040" s="5" t="s">
        <v>44932</v>
      </c>
      <c r="H7040" s="6" t="s">
        <v>44933</v>
      </c>
      <c r="K7040" s="5" t="s">
        <v>44917</v>
      </c>
      <c r="M7040" s="5" t="s">
        <v>44934</v>
      </c>
      <c r="N7040" s="7" t="s">
        <v>44935</v>
      </c>
      <c r="O7040" s="8" t="str">
        <f>HYPERLINK("https://drive.google.com/file/d/1QHqGm53vv55sbgGGIaVGdDt7Sf6CI_UP/view?usp=drivesdk","7039_Erlis Debora Lubis _ SERTIFIKAT BerAKHLAK")</f>
        <v>7039_Erlis Debora Lubis _ SERTIFIKAT BerAKHLAK</v>
      </c>
      <c r="P7040" s="5" t="s">
        <v>44925</v>
      </c>
    </row>
    <row r="7041">
      <c r="A7041" s="4">
        <v>45534.376479074075</v>
      </c>
      <c r="B7041" s="5" t="s">
        <v>34</v>
      </c>
      <c r="D7041" s="5" t="s">
        <v>4775</v>
      </c>
      <c r="E7041" s="5" t="s">
        <v>44936</v>
      </c>
      <c r="F7041" s="5" t="s">
        <v>524</v>
      </c>
      <c r="G7041" s="5" t="s">
        <v>44937</v>
      </c>
      <c r="H7041" s="6" t="s">
        <v>44938</v>
      </c>
      <c r="K7041" s="5" t="s">
        <v>44917</v>
      </c>
      <c r="M7041" s="5" t="s">
        <v>44939</v>
      </c>
      <c r="N7041" s="7" t="s">
        <v>44940</v>
      </c>
      <c r="O7041" s="8" t="str">
        <f>HYPERLINK("https://drive.google.com/file/d/1zuXHkQG4tclJruYqEnmdrf8L1Ylb29Da/view?usp=drivesdk","7040_WILIS PAMINGIT POETRI PATITIS, S. Kep _ SERTIFIKAT BerAKHLAK")</f>
        <v>7040_WILIS PAMINGIT POETRI PATITIS, S. Kep _ SERTIFIKAT BerAKHLAK</v>
      </c>
      <c r="P7041" s="5" t="s">
        <v>44941</v>
      </c>
    </row>
    <row r="7042">
      <c r="A7042" s="4">
        <v>45534.3764842824</v>
      </c>
      <c r="B7042" s="5" t="s">
        <v>34</v>
      </c>
      <c r="D7042" s="5" t="s">
        <v>522</v>
      </c>
      <c r="E7042" s="5" t="s">
        <v>44942</v>
      </c>
      <c r="F7042" s="5" t="s">
        <v>524</v>
      </c>
      <c r="G7042" s="5" t="s">
        <v>44943</v>
      </c>
      <c r="H7042" s="6" t="s">
        <v>44944</v>
      </c>
      <c r="K7042" s="5" t="s">
        <v>44917</v>
      </c>
      <c r="M7042" s="5" t="s">
        <v>44945</v>
      </c>
      <c r="N7042" s="7" t="s">
        <v>44946</v>
      </c>
      <c r="O7042" s="8" t="str">
        <f>HYPERLINK("https://drive.google.com/file/d/1CsayqE4hn15ZvBh23FeY4kAia_U5TrEx/view?usp=drivesdk","7041_SUHARMAN, S.Sos _ SERTIFIKAT BerAKHLAK")</f>
        <v>7041_SUHARMAN, S.Sos _ SERTIFIKAT BerAKHLAK</v>
      </c>
      <c r="P7042" s="5" t="s">
        <v>44941</v>
      </c>
    </row>
    <row r="7043">
      <c r="A7043" s="4">
        <v>45534.37649446759</v>
      </c>
      <c r="B7043" s="5" t="s">
        <v>34</v>
      </c>
      <c r="D7043" s="5" t="s">
        <v>1558</v>
      </c>
      <c r="E7043" s="5" t="s">
        <v>44947</v>
      </c>
      <c r="F7043" s="5" t="s">
        <v>37</v>
      </c>
      <c r="G7043" s="5" t="s">
        <v>44948</v>
      </c>
      <c r="H7043" s="6" t="s">
        <v>44949</v>
      </c>
      <c r="K7043" s="5" t="s">
        <v>44950</v>
      </c>
      <c r="M7043" s="5" t="s">
        <v>44951</v>
      </c>
      <c r="N7043" s="7" t="s">
        <v>44952</v>
      </c>
      <c r="O7043" s="8" t="str">
        <f>HYPERLINK("https://drive.google.com/file/d/1-HA8dskAxqNCc-Jk38LvnIbMm_NamVnI/view?usp=drivesdk","7042_AGUS HENDRANAWAN _ SERTIFIKAT BerAKHLAK")</f>
        <v>7042_AGUS HENDRANAWAN _ SERTIFIKAT BerAKHLAK</v>
      </c>
      <c r="P7043" s="5" t="s">
        <v>44941</v>
      </c>
    </row>
    <row r="7044" hidden="1">
      <c r="A7044" s="4">
        <v>45534.376509016205</v>
      </c>
      <c r="B7044" s="5" t="s">
        <v>19</v>
      </c>
      <c r="C7044" s="5" t="s">
        <v>292</v>
      </c>
      <c r="E7044" s="5" t="s">
        <v>44953</v>
      </c>
      <c r="F7044" s="5" t="s">
        <v>524</v>
      </c>
      <c r="G7044" s="5" t="s">
        <v>44954</v>
      </c>
      <c r="H7044" s="6" t="s">
        <v>44955</v>
      </c>
      <c r="K7044" s="5" t="s">
        <v>44950</v>
      </c>
      <c r="M7044" s="5" t="s">
        <v>44956</v>
      </c>
      <c r="N7044" s="7" t="s">
        <v>44957</v>
      </c>
      <c r="O7044" s="8" t="str">
        <f>HYPERLINK("https://drive.google.com/file/d/1lG8r91Nmz7ifs8Qhy5SaW1yHU3rv7HgY/view?usp=drivesdk","7043_INTAN PUTRI SARTIKA _ SERTIFIKAT BerAKHLAK")</f>
        <v>7043_INTAN PUTRI SARTIKA _ SERTIFIKAT BerAKHLAK</v>
      </c>
      <c r="P7044" s="5" t="s">
        <v>44941</v>
      </c>
    </row>
    <row r="7045">
      <c r="A7045" s="4">
        <v>45534.3765196875</v>
      </c>
      <c r="B7045" s="5" t="s">
        <v>34</v>
      </c>
      <c r="D7045" s="5" t="s">
        <v>1206</v>
      </c>
      <c r="E7045" s="5" t="s">
        <v>44958</v>
      </c>
      <c r="F7045" s="5" t="s">
        <v>524</v>
      </c>
      <c r="G7045" s="5" t="s">
        <v>44959</v>
      </c>
      <c r="H7045" s="6" t="s">
        <v>44960</v>
      </c>
      <c r="K7045" s="5" t="s">
        <v>44950</v>
      </c>
      <c r="M7045" s="5" t="s">
        <v>44961</v>
      </c>
      <c r="N7045" s="7" t="s">
        <v>44962</v>
      </c>
      <c r="O7045" s="8" t="str">
        <f>HYPERLINK("https://drive.google.com/file/d/10mXYA7WheKhjtvICqgua74DDiZqArxWl/view?usp=drivesdk","7044_ZATI NURINDYAH  _ SERTIFIKAT BerAKHLAK")</f>
        <v>7044_ZATI NURINDYAH  _ SERTIFIKAT BerAKHLAK</v>
      </c>
      <c r="P7045" s="5" t="s">
        <v>44941</v>
      </c>
    </row>
    <row r="7046">
      <c r="A7046" s="4">
        <v>45534.37654799769</v>
      </c>
      <c r="B7046" s="5" t="s">
        <v>34</v>
      </c>
      <c r="D7046" s="5" t="s">
        <v>10444</v>
      </c>
      <c r="E7046" s="5" t="s">
        <v>44963</v>
      </c>
      <c r="F7046" s="5" t="s">
        <v>212</v>
      </c>
      <c r="G7046" s="5" t="s">
        <v>44964</v>
      </c>
      <c r="H7046" s="6" t="s">
        <v>44965</v>
      </c>
      <c r="K7046" s="5" t="s">
        <v>44950</v>
      </c>
      <c r="M7046" s="5" t="s">
        <v>44966</v>
      </c>
      <c r="N7046" s="7" t="s">
        <v>44967</v>
      </c>
      <c r="O7046" s="8" t="str">
        <f>HYPERLINK("https://drive.google.com/file/d/18ZO3FK3JrLu3g2zsXWICvsGD98aRChOd/view?usp=drivesdk","7045_RUDI SUPRIANTO  _ SERTIFIKAT BerAKHLAK")</f>
        <v>7045_RUDI SUPRIANTO  _ SERTIFIKAT BerAKHLAK</v>
      </c>
      <c r="P7046" s="5" t="s">
        <v>44968</v>
      </c>
    </row>
    <row r="7047">
      <c r="A7047" s="4">
        <v>45534.37655184028</v>
      </c>
      <c r="B7047" s="5" t="s">
        <v>34</v>
      </c>
      <c r="D7047" s="5" t="s">
        <v>4775</v>
      </c>
      <c r="E7047" s="5" t="s">
        <v>44969</v>
      </c>
      <c r="F7047" s="5" t="s">
        <v>524</v>
      </c>
      <c r="G7047" s="5" t="s">
        <v>44970</v>
      </c>
      <c r="H7047" s="6" t="s">
        <v>44971</v>
      </c>
      <c r="K7047" s="5" t="s">
        <v>44950</v>
      </c>
      <c r="M7047" s="5" t="s">
        <v>44972</v>
      </c>
      <c r="N7047" s="7" t="s">
        <v>44973</v>
      </c>
      <c r="O7047" s="8" t="str">
        <f>HYPERLINK("https://drive.google.com/file/d/1jKMoRdgY4W-ENcc35Uj5_FP3a0amy8W7/view?usp=drivesdk","7046_DARSONO _ SERTIFIKAT BerAKHLAK")</f>
        <v>7046_DARSONO _ SERTIFIKAT BerAKHLAK</v>
      </c>
      <c r="P7047" s="5" t="s">
        <v>44968</v>
      </c>
    </row>
    <row r="7048">
      <c r="A7048" s="4">
        <v>45534.376565949075</v>
      </c>
      <c r="B7048" s="5" t="s">
        <v>34</v>
      </c>
      <c r="D7048" s="5" t="s">
        <v>4775</v>
      </c>
      <c r="E7048" s="5" t="s">
        <v>44974</v>
      </c>
      <c r="F7048" s="5" t="s">
        <v>375</v>
      </c>
      <c r="G7048" s="5" t="s">
        <v>44975</v>
      </c>
      <c r="H7048" s="6" t="s">
        <v>44976</v>
      </c>
      <c r="K7048" s="5" t="s">
        <v>44950</v>
      </c>
      <c r="M7048" s="5" t="s">
        <v>44977</v>
      </c>
      <c r="N7048" s="7" t="s">
        <v>44978</v>
      </c>
      <c r="O7048" s="8" t="str">
        <f>HYPERLINK("https://drive.google.com/file/d/142CMAUEdnxFqByL_PsHgvtBnJ9f78V3F/view?usp=drivesdk","7047_YOGI ARIAWAN WIDYANTORO SH _ SERTIFIKAT BerAKHLAK")</f>
        <v>7047_YOGI ARIAWAN WIDYANTORO SH _ SERTIFIKAT BerAKHLAK</v>
      </c>
      <c r="P7048" s="5" t="s">
        <v>44968</v>
      </c>
    </row>
    <row r="7049" hidden="1">
      <c r="A7049" s="4">
        <v>45534.3765690625</v>
      </c>
      <c r="B7049" s="5" t="s">
        <v>19</v>
      </c>
      <c r="C7049" s="5" t="s">
        <v>292</v>
      </c>
      <c r="E7049" s="5" t="s">
        <v>44979</v>
      </c>
      <c r="F7049" s="5" t="s">
        <v>108</v>
      </c>
      <c r="G7049" s="5" t="s">
        <v>44980</v>
      </c>
      <c r="H7049" s="6" t="s">
        <v>44981</v>
      </c>
      <c r="K7049" s="5" t="s">
        <v>44950</v>
      </c>
      <c r="M7049" s="5" t="s">
        <v>44982</v>
      </c>
      <c r="N7049" s="7" t="s">
        <v>44983</v>
      </c>
      <c r="O7049" s="8" t="str">
        <f>HYPERLINK("https://drive.google.com/file/d/1uAIb-qrwbtuIooj9d_pDRgw7X5JZHbOC/view?usp=drivesdk","7048_SITI UMAROH, S.Psi. _ SERTIFIKAT BerAKHLAK")</f>
        <v>7048_SITI UMAROH, S.Psi. _ SERTIFIKAT BerAKHLAK</v>
      </c>
      <c r="P7049" s="5" t="s">
        <v>44968</v>
      </c>
    </row>
    <row r="7050">
      <c r="A7050" s="4">
        <v>45534.37657597222</v>
      </c>
      <c r="B7050" s="5" t="s">
        <v>34</v>
      </c>
      <c r="D7050" s="5" t="s">
        <v>1206</v>
      </c>
      <c r="E7050" s="5" t="s">
        <v>44984</v>
      </c>
      <c r="F7050" s="5" t="s">
        <v>37</v>
      </c>
      <c r="G7050" s="5" t="s">
        <v>44985</v>
      </c>
      <c r="H7050" s="6" t="s">
        <v>44986</v>
      </c>
      <c r="K7050" s="5" t="s">
        <v>44950</v>
      </c>
      <c r="M7050" s="5" t="s">
        <v>44987</v>
      </c>
      <c r="N7050" s="7" t="s">
        <v>44988</v>
      </c>
      <c r="O7050" s="8" t="str">
        <f>HYPERLINK("https://drive.google.com/file/d/1WFlcqL47tFTNooid4Our3QPbuB0g-lSO/view?usp=drivesdk","7049_MUJI RAHAYU _ SERTIFIKAT BerAKHLAK")</f>
        <v>7049_MUJI RAHAYU _ SERTIFIKAT BerAKHLAK</v>
      </c>
      <c r="P7050" s="5" t="s">
        <v>44989</v>
      </c>
    </row>
    <row r="7051">
      <c r="A7051" s="4">
        <v>45534.37658521991</v>
      </c>
      <c r="B7051" s="5" t="s">
        <v>34</v>
      </c>
      <c r="D7051" s="5" t="s">
        <v>1206</v>
      </c>
      <c r="E7051" s="5" t="s">
        <v>44990</v>
      </c>
      <c r="F7051" s="5" t="s">
        <v>524</v>
      </c>
      <c r="G7051" s="5" t="s">
        <v>44991</v>
      </c>
      <c r="H7051" s="6" t="s">
        <v>44992</v>
      </c>
      <c r="K7051" s="5" t="s">
        <v>44950</v>
      </c>
      <c r="M7051" s="5" t="s">
        <v>44993</v>
      </c>
      <c r="N7051" s="7" t="s">
        <v>44994</v>
      </c>
      <c r="O7051" s="8" t="str">
        <f>HYPERLINK("https://drive.google.com/file/d/1ACI7ize7GumQ3p9h5jMJWHsV7xcy6IpW/view?usp=drivesdk","7050_SRI WAHYUNI, A.Md Kep  _ SERTIFIKAT BerAKHLAK")</f>
        <v>7050_SRI WAHYUNI, A.Md Kep  _ SERTIFIKAT BerAKHLAK</v>
      </c>
      <c r="P7051" s="5" t="s">
        <v>44989</v>
      </c>
    </row>
    <row r="7052">
      <c r="A7052" s="4">
        <v>45534.3766090625</v>
      </c>
      <c r="B7052" s="5" t="s">
        <v>34</v>
      </c>
      <c r="D7052" s="5" t="s">
        <v>1206</v>
      </c>
      <c r="E7052" s="5" t="s">
        <v>44995</v>
      </c>
      <c r="F7052" s="5" t="s">
        <v>37</v>
      </c>
      <c r="G7052" s="5" t="s">
        <v>44996</v>
      </c>
      <c r="H7052" s="6" t="s">
        <v>44997</v>
      </c>
      <c r="K7052" s="5" t="s">
        <v>44950</v>
      </c>
      <c r="M7052" s="5" t="s">
        <v>44998</v>
      </c>
      <c r="N7052" s="7" t="s">
        <v>44999</v>
      </c>
      <c r="O7052" s="8" t="str">
        <f>HYPERLINK("https://drive.google.com/file/d/1wIKA_Fj2BdivYHlcU4dpaq7vG3b76GcP/view?usp=drivesdk","7051_MOHAMMAD KHOIRUL, S.H _ SERTIFIKAT BerAKHLAK")</f>
        <v>7051_MOHAMMAD KHOIRUL, S.H _ SERTIFIKAT BerAKHLAK</v>
      </c>
      <c r="P7052" s="5" t="s">
        <v>44989</v>
      </c>
    </row>
    <row r="7053">
      <c r="A7053" s="4">
        <v>45534.37664682871</v>
      </c>
      <c r="B7053" s="5" t="s">
        <v>34</v>
      </c>
      <c r="D7053" s="5" t="s">
        <v>35</v>
      </c>
      <c r="E7053" s="5" t="s">
        <v>45000</v>
      </c>
      <c r="F7053" s="5" t="s">
        <v>212</v>
      </c>
      <c r="G7053" s="5" t="s">
        <v>45001</v>
      </c>
      <c r="H7053" s="6" t="s">
        <v>45002</v>
      </c>
      <c r="K7053" s="5" t="s">
        <v>45003</v>
      </c>
      <c r="M7053" s="5" t="s">
        <v>45004</v>
      </c>
      <c r="N7053" s="7" t="s">
        <v>45005</v>
      </c>
      <c r="O7053" s="8" t="str">
        <f>HYPERLINK("https://drive.google.com/file/d/1aHvsgBnugm-efvUizelMu2WBGFPu1gPe/view?usp=drivesdk","7052_AGUS AMAL, AMD. KEP.  _ SERTIFIKAT BerAKHLAK")</f>
        <v>7052_AGUS AMAL, AMD. KEP.  _ SERTIFIKAT BerAKHLAK</v>
      </c>
      <c r="P7053" s="5" t="s">
        <v>45006</v>
      </c>
    </row>
    <row r="7054">
      <c r="A7054" s="4">
        <v>45534.37665329861</v>
      </c>
      <c r="B7054" s="5" t="s">
        <v>34</v>
      </c>
      <c r="D7054" s="5" t="s">
        <v>4775</v>
      </c>
      <c r="E7054" s="5" t="s">
        <v>45007</v>
      </c>
      <c r="F7054" s="5" t="s">
        <v>375</v>
      </c>
      <c r="G7054" s="5" t="s">
        <v>45008</v>
      </c>
      <c r="H7054" s="6" t="s">
        <v>45009</v>
      </c>
      <c r="K7054" s="5" t="s">
        <v>45003</v>
      </c>
      <c r="M7054" s="5" t="s">
        <v>45010</v>
      </c>
      <c r="N7054" s="7" t="s">
        <v>45011</v>
      </c>
      <c r="O7054" s="8" t="str">
        <f>HYPERLINK("https://drive.google.com/file/d/1lC2Np7B9-pSjokPhZEm6EopUXFdMtOuq/view?usp=drivesdk","7053_AGUS RACHMAD BUDI HERWANTO _ SERTIFIKAT BerAKHLAK")</f>
        <v>7053_AGUS RACHMAD BUDI HERWANTO _ SERTIFIKAT BerAKHLAK</v>
      </c>
      <c r="P7054" s="5" t="s">
        <v>45006</v>
      </c>
    </row>
    <row r="7055">
      <c r="A7055" s="4">
        <v>45534.376671817125</v>
      </c>
      <c r="B7055" s="5" t="s">
        <v>34</v>
      </c>
      <c r="D7055" s="5" t="s">
        <v>4775</v>
      </c>
      <c r="E7055" s="5" t="s">
        <v>45012</v>
      </c>
      <c r="F7055" s="5" t="s">
        <v>72</v>
      </c>
      <c r="G7055" s="5" t="s">
        <v>45013</v>
      </c>
      <c r="H7055" s="6" t="s">
        <v>45014</v>
      </c>
      <c r="K7055" s="5" t="s">
        <v>45003</v>
      </c>
      <c r="M7055" s="5" t="s">
        <v>45015</v>
      </c>
      <c r="N7055" s="7" t="s">
        <v>45016</v>
      </c>
      <c r="O7055" s="8" t="str">
        <f>HYPERLINK("https://drive.google.com/file/d/1PHUkYP5L79aBmxO7L5nhOhMA06CSJFwQ/view?usp=drivesdk","7054_LINDA, S.K.M _ SERTIFIKAT BerAKHLAK")</f>
        <v>7054_LINDA, S.K.M _ SERTIFIKAT BerAKHLAK</v>
      </c>
      <c r="P7055" s="5" t="s">
        <v>45006</v>
      </c>
    </row>
    <row r="7056">
      <c r="A7056" s="4">
        <v>45534.376695949075</v>
      </c>
      <c r="B7056" s="5" t="s">
        <v>34</v>
      </c>
      <c r="D7056" s="5" t="s">
        <v>1206</v>
      </c>
      <c r="E7056" s="5" t="s">
        <v>45017</v>
      </c>
      <c r="F7056" s="5" t="s">
        <v>212</v>
      </c>
      <c r="G7056" s="5" t="s">
        <v>45018</v>
      </c>
      <c r="H7056" s="6" t="s">
        <v>45019</v>
      </c>
      <c r="K7056" s="5" t="s">
        <v>45020</v>
      </c>
      <c r="M7056" s="5" t="s">
        <v>45021</v>
      </c>
      <c r="N7056" s="7" t="s">
        <v>45022</v>
      </c>
      <c r="O7056" s="8" t="str">
        <f>HYPERLINK("https://drive.google.com/file/d/1lxTCa-15aZCZpwr6TZojSEG6-FB1v6Mo/view?usp=drivesdk","7055_BUNASRI _ SERTIFIKAT BerAKHLAK")</f>
        <v>7055_BUNASRI _ SERTIFIKAT BerAKHLAK</v>
      </c>
      <c r="P7056" s="5" t="s">
        <v>45006</v>
      </c>
    </row>
    <row r="7057">
      <c r="A7057" s="4">
        <v>45534.37669902778</v>
      </c>
      <c r="B7057" s="5" t="s">
        <v>34</v>
      </c>
      <c r="D7057" s="5" t="s">
        <v>2903</v>
      </c>
      <c r="E7057" s="5" t="s">
        <v>45023</v>
      </c>
      <c r="F7057" s="5" t="s">
        <v>108</v>
      </c>
      <c r="G7057" s="5" t="s">
        <v>45024</v>
      </c>
      <c r="H7057" s="6" t="s">
        <v>45025</v>
      </c>
      <c r="K7057" s="5" t="s">
        <v>45020</v>
      </c>
      <c r="M7057" s="5" t="s">
        <v>45026</v>
      </c>
      <c r="N7057" s="7" t="s">
        <v>45027</v>
      </c>
      <c r="O7057" s="8" t="str">
        <f>HYPERLINK("https://drive.google.com/file/d/1X2OuIZKieA7Hm-rAYKPudyVIEzg_VK1H/view?usp=drivesdk","7056_HERLAINI _ SERTIFIKAT BerAKHLAK")</f>
        <v>7056_HERLAINI _ SERTIFIKAT BerAKHLAK</v>
      </c>
      <c r="P7057" s="5" t="s">
        <v>45028</v>
      </c>
    </row>
    <row r="7058">
      <c r="A7058" s="4">
        <v>45534.376700381945</v>
      </c>
      <c r="B7058" s="5" t="s">
        <v>34</v>
      </c>
      <c r="D7058" s="5" t="s">
        <v>701</v>
      </c>
      <c r="E7058" s="5" t="s">
        <v>45029</v>
      </c>
      <c r="F7058" s="5" t="s">
        <v>375</v>
      </c>
      <c r="G7058" s="5" t="s">
        <v>45030</v>
      </c>
      <c r="H7058" s="6" t="s">
        <v>45031</v>
      </c>
      <c r="K7058" s="5" t="s">
        <v>45020</v>
      </c>
      <c r="M7058" s="5" t="s">
        <v>45032</v>
      </c>
      <c r="N7058" s="7" t="s">
        <v>45033</v>
      </c>
      <c r="O7058" s="8" t="str">
        <f>HYPERLINK("https://drive.google.com/file/d/1tereHp-FpX4GZlU1DKp_Kh1IpcxIhmzj/view?usp=drivesdk","7057_YUNARNI _ SERTIFIKAT BerAKHLAK")</f>
        <v>7057_YUNARNI _ SERTIFIKAT BerAKHLAK</v>
      </c>
      <c r="P7058" s="5" t="s">
        <v>45034</v>
      </c>
    </row>
    <row r="7059">
      <c r="A7059" s="4">
        <v>45534.37670145833</v>
      </c>
      <c r="B7059" s="5" t="s">
        <v>34</v>
      </c>
      <c r="D7059" s="5" t="s">
        <v>14313</v>
      </c>
      <c r="E7059" s="5" t="s">
        <v>45035</v>
      </c>
      <c r="F7059" s="5" t="s">
        <v>120</v>
      </c>
      <c r="G7059" s="5" t="s">
        <v>45036</v>
      </c>
      <c r="H7059" s="6" t="s">
        <v>45037</v>
      </c>
      <c r="K7059" s="5" t="s">
        <v>45020</v>
      </c>
      <c r="M7059" s="5" t="s">
        <v>45038</v>
      </c>
      <c r="N7059" s="7" t="s">
        <v>45039</v>
      </c>
      <c r="O7059" s="8" t="str">
        <f>HYPERLINK("https://drive.google.com/file/d/17wwO5zSrl1but6_KW6QPxAyRTwbKMBx2/view?usp=drivesdk","7058_AMIRUDDIN. FARTI, S. SOS _ SERTIFIKAT BerAKHLAK")</f>
        <v>7058_AMIRUDDIN. FARTI, S. SOS _ SERTIFIKAT BerAKHLAK</v>
      </c>
      <c r="P7059" s="5" t="s">
        <v>45034</v>
      </c>
    </row>
    <row r="7060">
      <c r="A7060" s="4">
        <v>45534.37673319444</v>
      </c>
      <c r="B7060" s="5" t="s">
        <v>34</v>
      </c>
      <c r="D7060" s="5" t="s">
        <v>1206</v>
      </c>
      <c r="E7060" s="5" t="s">
        <v>45040</v>
      </c>
      <c r="F7060" s="5" t="s">
        <v>212</v>
      </c>
      <c r="G7060" s="5" t="s">
        <v>45041</v>
      </c>
      <c r="H7060" s="6" t="s">
        <v>45042</v>
      </c>
      <c r="K7060" s="5" t="s">
        <v>45020</v>
      </c>
      <c r="M7060" s="5" t="s">
        <v>45043</v>
      </c>
      <c r="N7060" s="7" t="s">
        <v>45044</v>
      </c>
      <c r="O7060" s="8" t="str">
        <f>HYPERLINK("https://drive.google.com/file/d/1h9q1PlIRBVKnrP1RmnJ_awDtVtejh6Me/view?usp=drivesdk","7059_MUALIMIN _ SERTIFIKAT BerAKHLAK")</f>
        <v>7059_MUALIMIN _ SERTIFIKAT BerAKHLAK</v>
      </c>
      <c r="P7060" s="5" t="s">
        <v>45034</v>
      </c>
    </row>
    <row r="7061">
      <c r="A7061" s="4">
        <v>45534.37676099537</v>
      </c>
      <c r="B7061" s="5" t="s">
        <v>34</v>
      </c>
      <c r="D7061" s="5" t="s">
        <v>1206</v>
      </c>
      <c r="E7061" s="5" t="s">
        <v>45045</v>
      </c>
      <c r="F7061" s="5" t="s">
        <v>212</v>
      </c>
      <c r="G7061" s="5" t="s">
        <v>45046</v>
      </c>
      <c r="H7061" s="6" t="s">
        <v>45047</v>
      </c>
      <c r="K7061" s="5" t="s">
        <v>45020</v>
      </c>
      <c r="M7061" s="5" t="s">
        <v>45048</v>
      </c>
      <c r="N7061" s="7" t="s">
        <v>45049</v>
      </c>
      <c r="O7061" s="8" t="str">
        <f>HYPERLINK("https://drive.google.com/file/d/1iNdEBFykQ-AkZE0jNGqdqsChKeYCqim4/view?usp=drivesdk","7060_ISMINIAMI _ SERTIFIKAT BerAKHLAK")</f>
        <v>7060_ISMINIAMI _ SERTIFIKAT BerAKHLAK</v>
      </c>
      <c r="P7061" s="5" t="s">
        <v>45050</v>
      </c>
    </row>
    <row r="7062">
      <c r="A7062" s="4">
        <v>45534.37676275463</v>
      </c>
      <c r="B7062" s="5" t="s">
        <v>34</v>
      </c>
      <c r="D7062" s="5" t="s">
        <v>1206</v>
      </c>
      <c r="E7062" s="5" t="s">
        <v>45051</v>
      </c>
      <c r="F7062" s="5" t="s">
        <v>375</v>
      </c>
      <c r="G7062" s="5" t="s">
        <v>45052</v>
      </c>
      <c r="H7062" s="6" t="s">
        <v>45053</v>
      </c>
      <c r="K7062" s="5" t="s">
        <v>45020</v>
      </c>
      <c r="M7062" s="5" t="s">
        <v>45054</v>
      </c>
      <c r="N7062" s="7" t="s">
        <v>45055</v>
      </c>
      <c r="O7062" s="8" t="str">
        <f>HYPERLINK("https://drive.google.com/file/d/1pf5jdt-czPBqACjw_dnlWuzzYEilnmGW/view?usp=drivesdk","7061_SOEDJONO, SE _ SERTIFIKAT BerAKHLAK")</f>
        <v>7061_SOEDJONO, SE _ SERTIFIKAT BerAKHLAK</v>
      </c>
      <c r="P7062" s="5" t="s">
        <v>45050</v>
      </c>
    </row>
    <row r="7063">
      <c r="A7063" s="4">
        <v>45534.37679472222</v>
      </c>
      <c r="B7063" s="5" t="s">
        <v>34</v>
      </c>
      <c r="D7063" s="5" t="s">
        <v>1206</v>
      </c>
      <c r="E7063" s="5" t="s">
        <v>45056</v>
      </c>
      <c r="F7063" s="5" t="s">
        <v>37</v>
      </c>
      <c r="G7063" s="5" t="s">
        <v>45057</v>
      </c>
      <c r="H7063" s="6" t="s">
        <v>45058</v>
      </c>
      <c r="K7063" s="5" t="s">
        <v>45059</v>
      </c>
      <c r="M7063" s="5" t="s">
        <v>45060</v>
      </c>
      <c r="N7063" s="7" t="s">
        <v>45061</v>
      </c>
      <c r="O7063" s="8" t="str">
        <f>HYPERLINK("https://drive.google.com/file/d/1zC8JogGgvGMb-uL3grvkPFlBDF0HQ-za/view?usp=drivesdk","7062_RUSDARWATI  _ SERTIFIKAT BerAKHLAK")</f>
        <v>7062_RUSDARWATI  _ SERTIFIKAT BerAKHLAK</v>
      </c>
      <c r="P7063" s="5" t="s">
        <v>45050</v>
      </c>
    </row>
    <row r="7064">
      <c r="A7064" s="4">
        <v>45534.3767958449</v>
      </c>
      <c r="B7064" s="5" t="s">
        <v>34</v>
      </c>
      <c r="D7064" s="5" t="s">
        <v>4775</v>
      </c>
      <c r="E7064" s="5" t="s">
        <v>45062</v>
      </c>
      <c r="F7064" s="5" t="s">
        <v>37</v>
      </c>
      <c r="G7064" s="5" t="s">
        <v>45063</v>
      </c>
      <c r="H7064" s="6" t="s">
        <v>45064</v>
      </c>
      <c r="K7064" s="5" t="s">
        <v>45059</v>
      </c>
      <c r="M7064" s="5" t="s">
        <v>45065</v>
      </c>
      <c r="N7064" s="7" t="s">
        <v>45066</v>
      </c>
      <c r="O7064" s="8" t="str">
        <f>HYPERLINK("https://drive.google.com/file/d/1IRf65ttMwnL1mOKCcSZCWKklV7F-zWaN/view?usp=drivesdk","7063_EKO PRASETYO  _ SERTIFIKAT BerAKHLAK")</f>
        <v>7063_EKO PRASETYO  _ SERTIFIKAT BerAKHLAK</v>
      </c>
      <c r="P7064" s="5" t="s">
        <v>45050</v>
      </c>
    </row>
    <row r="7065">
      <c r="A7065" s="4">
        <v>45534.376803935185</v>
      </c>
      <c r="B7065" s="5" t="s">
        <v>34</v>
      </c>
      <c r="D7065" s="5" t="s">
        <v>10444</v>
      </c>
      <c r="E7065" s="5" t="s">
        <v>45067</v>
      </c>
      <c r="F7065" s="5" t="s">
        <v>37</v>
      </c>
      <c r="G7065" s="5" t="s">
        <v>45068</v>
      </c>
      <c r="H7065" s="6" t="s">
        <v>45069</v>
      </c>
      <c r="K7065" s="5" t="s">
        <v>45059</v>
      </c>
      <c r="M7065" s="5" t="s">
        <v>45070</v>
      </c>
      <c r="N7065" s="7" t="s">
        <v>45071</v>
      </c>
      <c r="O7065" s="8" t="str">
        <f>HYPERLINK("https://drive.google.com/file/d/17MlIyrDe7IQhljglCEaEfpFpSSRLMrIv/view?usp=drivesdk","7064_PRATIWI, A.Md. K.G _ SERTIFIKAT BerAKHLAK")</f>
        <v>7064_PRATIWI, A.Md. K.G _ SERTIFIKAT BerAKHLAK</v>
      </c>
      <c r="P7065" s="5" t="s">
        <v>45072</v>
      </c>
    </row>
    <row r="7066">
      <c r="A7066" s="4">
        <v>45534.376817094904</v>
      </c>
      <c r="B7066" s="5" t="s">
        <v>34</v>
      </c>
      <c r="D7066" s="5" t="s">
        <v>1558</v>
      </c>
      <c r="E7066" s="5" t="s">
        <v>45073</v>
      </c>
      <c r="F7066" s="5" t="s">
        <v>524</v>
      </c>
      <c r="G7066" s="5" t="s">
        <v>45074</v>
      </c>
      <c r="H7066" s="6" t="s">
        <v>45075</v>
      </c>
      <c r="K7066" s="5" t="s">
        <v>45059</v>
      </c>
      <c r="M7066" s="5" t="s">
        <v>45076</v>
      </c>
      <c r="N7066" s="7" t="s">
        <v>45077</v>
      </c>
      <c r="O7066" s="8" t="str">
        <f>HYPERLINK("https://drive.google.com/file/d/1SVKyVZR9nhJB7YUrAeU2exriCPqumSFL/view?usp=drivesdk","7065_TITIK SUMARTI, S.H. _ SERTIFIKAT BerAKHLAK")</f>
        <v>7065_TITIK SUMARTI, S.H. _ SERTIFIKAT BerAKHLAK</v>
      </c>
      <c r="P7066" s="5" t="s">
        <v>45072</v>
      </c>
    </row>
    <row r="7067" hidden="1">
      <c r="A7067" s="4">
        <v>45534.37681803241</v>
      </c>
      <c r="B7067" s="5" t="s">
        <v>19</v>
      </c>
      <c r="C7067" s="5" t="s">
        <v>292</v>
      </c>
      <c r="E7067" s="5" t="s">
        <v>45078</v>
      </c>
      <c r="F7067" s="5" t="s">
        <v>108</v>
      </c>
      <c r="G7067" s="5" t="s">
        <v>45079</v>
      </c>
      <c r="H7067" s="6" t="s">
        <v>45080</v>
      </c>
      <c r="K7067" s="5" t="s">
        <v>45059</v>
      </c>
      <c r="M7067" s="5" t="s">
        <v>45081</v>
      </c>
      <c r="N7067" s="7" t="s">
        <v>45082</v>
      </c>
      <c r="O7067" s="8" t="str">
        <f>HYPERLINK("https://drive.google.com/file/d/115fn-3IfzJ5-j14yYxhM3vV39sLdKIas/view?usp=drivesdk","7066_FINA DWIMARTIA SARI, S.E _ SERTIFIKAT BerAKHLAK")</f>
        <v>7066_FINA DWIMARTIA SARI, S.E _ SERTIFIKAT BerAKHLAK</v>
      </c>
      <c r="P7067" s="5" t="s">
        <v>45072</v>
      </c>
    </row>
    <row r="7068">
      <c r="A7068" s="4">
        <v>45534.37682938657</v>
      </c>
      <c r="B7068" s="5" t="s">
        <v>34</v>
      </c>
      <c r="D7068" s="5" t="s">
        <v>1692</v>
      </c>
      <c r="E7068" s="5" t="s">
        <v>45083</v>
      </c>
      <c r="F7068" s="5" t="s">
        <v>37</v>
      </c>
      <c r="G7068" s="5" t="s">
        <v>45084</v>
      </c>
      <c r="H7068" s="6" t="s">
        <v>45085</v>
      </c>
      <c r="K7068" s="5" t="s">
        <v>45059</v>
      </c>
      <c r="M7068" s="5" t="s">
        <v>45086</v>
      </c>
      <c r="N7068" s="7" t="s">
        <v>45087</v>
      </c>
      <c r="O7068" s="8" t="str">
        <f>HYPERLINK("https://drive.google.com/file/d/1EC-bffimTnwbdIUnp4tluMXJNri9o6Jk/view?usp=drivesdk","7067_SOVIA MAISEKA _ SERTIFIKAT BerAKHLAK")</f>
        <v>7067_SOVIA MAISEKA _ SERTIFIKAT BerAKHLAK</v>
      </c>
      <c r="P7068" s="5" t="s">
        <v>45072</v>
      </c>
    </row>
    <row r="7069">
      <c r="A7069" s="4">
        <v>45534.37686765046</v>
      </c>
      <c r="B7069" s="5" t="s">
        <v>34</v>
      </c>
      <c r="D7069" s="5" t="s">
        <v>1206</v>
      </c>
      <c r="E7069" s="5" t="s">
        <v>45088</v>
      </c>
      <c r="F7069" s="5" t="s">
        <v>120</v>
      </c>
      <c r="G7069" s="5" t="s">
        <v>45089</v>
      </c>
      <c r="H7069" s="6" t="s">
        <v>45090</v>
      </c>
      <c r="K7069" s="5" t="s">
        <v>45059</v>
      </c>
      <c r="M7069" s="5" t="s">
        <v>45091</v>
      </c>
      <c r="N7069" s="7" t="s">
        <v>45092</v>
      </c>
      <c r="O7069" s="8" t="str">
        <f>HYPERLINK("https://drive.google.com/file/d/1BtBVMJktUQ1btuLEQjKLSZ0tDuHasfxO/view?usp=drivesdk","7068_DR.YEKTI SULISTYOWATI, SP.RAD  _ SERTIFIKAT BerAKHLAK")</f>
        <v>7068_DR.YEKTI SULISTYOWATI, SP.RAD  _ SERTIFIKAT BerAKHLAK</v>
      </c>
      <c r="P7069" s="5" t="s">
        <v>45072</v>
      </c>
    </row>
    <row r="7070">
      <c r="A7070" s="4">
        <v>45534.37687206018</v>
      </c>
      <c r="B7070" s="5" t="s">
        <v>34</v>
      </c>
      <c r="D7070" s="5" t="s">
        <v>9020</v>
      </c>
      <c r="E7070" s="5" t="s">
        <v>45093</v>
      </c>
      <c r="F7070" s="5" t="s">
        <v>37</v>
      </c>
      <c r="G7070" s="5" t="s">
        <v>45094</v>
      </c>
      <c r="H7070" s="6" t="s">
        <v>45095</v>
      </c>
      <c r="K7070" s="5" t="s">
        <v>45059</v>
      </c>
      <c r="M7070" s="5" t="s">
        <v>45096</v>
      </c>
      <c r="N7070" s="7" t="s">
        <v>45097</v>
      </c>
      <c r="O7070" s="8" t="str">
        <f>HYPERLINK("https://drive.google.com/file/d/1D7VKES1_naucHteVgFrgL8xqHYuB1esr/view?usp=drivesdk","7069_JALIDAR SIAGIAN  _ SERTIFIKAT BerAKHLAK")</f>
        <v>7069_JALIDAR SIAGIAN  _ SERTIFIKAT BerAKHLAK</v>
      </c>
      <c r="P7070" s="5" t="s">
        <v>45098</v>
      </c>
    </row>
    <row r="7071">
      <c r="A7071" s="4">
        <v>45534.376883958335</v>
      </c>
      <c r="B7071" s="5" t="s">
        <v>34</v>
      </c>
      <c r="D7071" s="5" t="s">
        <v>1558</v>
      </c>
      <c r="E7071" s="5" t="s">
        <v>45099</v>
      </c>
      <c r="F7071" s="5" t="s">
        <v>199</v>
      </c>
      <c r="G7071" s="5" t="s">
        <v>45100</v>
      </c>
      <c r="H7071" s="6" t="s">
        <v>45101</v>
      </c>
      <c r="K7071" s="5" t="s">
        <v>45059</v>
      </c>
      <c r="M7071" s="5" t="s">
        <v>45102</v>
      </c>
      <c r="N7071" s="7" t="s">
        <v>45103</v>
      </c>
      <c r="O7071" s="8" t="str">
        <f>HYPERLINK("https://drive.google.com/file/d/1E8EvR2GVha3WYarbYSbkfXHk6JJ8xZdk/view?usp=drivesdk","7070_SRI DEWI SARASWATI _ SERTIFIKAT BerAKHLAK")</f>
        <v>7070_SRI DEWI SARASWATI _ SERTIFIKAT BerAKHLAK</v>
      </c>
      <c r="P7071" s="5" t="s">
        <v>45098</v>
      </c>
    </row>
    <row r="7072">
      <c r="A7072" s="4">
        <v>45534.376887453705</v>
      </c>
      <c r="B7072" s="5" t="s">
        <v>34</v>
      </c>
      <c r="D7072" s="5" t="s">
        <v>9394</v>
      </c>
      <c r="E7072" s="5" t="s">
        <v>45104</v>
      </c>
      <c r="F7072" s="5" t="s">
        <v>72</v>
      </c>
      <c r="G7072" s="5" t="s">
        <v>45105</v>
      </c>
      <c r="H7072" s="6" t="s">
        <v>45106</v>
      </c>
      <c r="K7072" s="5" t="s">
        <v>45059</v>
      </c>
      <c r="M7072" s="5" t="s">
        <v>45107</v>
      </c>
      <c r="N7072" s="7" t="s">
        <v>45108</v>
      </c>
      <c r="O7072" s="8" t="str">
        <f>HYPERLINK("https://drive.google.com/file/d/1UgiPJOa0PVF6d-XoFWp3OxKC5puY-v2Z/view?usp=drivesdk","7071_dr.RICKY KURNIAWAN _ SERTIFIKAT BerAKHLAK")</f>
        <v>7071_dr.RICKY KURNIAWAN _ SERTIFIKAT BerAKHLAK</v>
      </c>
      <c r="P7072" s="5" t="s">
        <v>45098</v>
      </c>
    </row>
    <row r="7073">
      <c r="A7073" s="4">
        <v>45534.376896319445</v>
      </c>
      <c r="B7073" s="5" t="s">
        <v>34</v>
      </c>
      <c r="D7073" s="5" t="s">
        <v>1206</v>
      </c>
      <c r="E7073" s="5" t="s">
        <v>45109</v>
      </c>
      <c r="F7073" s="5" t="s">
        <v>524</v>
      </c>
      <c r="G7073" s="5" t="s">
        <v>45110</v>
      </c>
      <c r="H7073" s="6" t="s">
        <v>45111</v>
      </c>
      <c r="K7073" s="5" t="s">
        <v>45059</v>
      </c>
      <c r="M7073" s="5" t="s">
        <v>45112</v>
      </c>
      <c r="N7073" s="7" t="s">
        <v>45113</v>
      </c>
      <c r="O7073" s="8" t="str">
        <f>HYPERLINK("https://drive.google.com/file/d/1Orh58lF2-zOgnUzNVJeFkK7PdC_IALpe/view?usp=drivesdk","7072_ENDANG YUNI RAHAYU,S.Kep.,Ns _ SERTIFIKAT BerAKHLAK")</f>
        <v>7072_ENDANG YUNI RAHAYU,S.Kep.,Ns _ SERTIFIKAT BerAKHLAK</v>
      </c>
      <c r="P7073" s="5" t="s">
        <v>45098</v>
      </c>
    </row>
    <row r="7074">
      <c r="A7074" s="4">
        <v>45534.376906875</v>
      </c>
      <c r="B7074" s="5" t="s">
        <v>34</v>
      </c>
      <c r="D7074" s="5" t="s">
        <v>4775</v>
      </c>
      <c r="E7074" s="5" t="s">
        <v>45114</v>
      </c>
      <c r="F7074" s="5" t="s">
        <v>37</v>
      </c>
      <c r="G7074" s="5" t="s">
        <v>45115</v>
      </c>
      <c r="H7074" s="6" t="s">
        <v>45116</v>
      </c>
      <c r="K7074" s="5" t="s">
        <v>45059</v>
      </c>
      <c r="M7074" s="5" t="s">
        <v>45117</v>
      </c>
      <c r="N7074" s="7" t="s">
        <v>45118</v>
      </c>
      <c r="O7074" s="8" t="str">
        <f>HYPERLINK("https://drive.google.com/file/d/1wWD9jEnuV9doWzeD0tkWksV7Acas0p3v/view?usp=drivesdk","7073_ROSININ _ SERTIFIKAT BerAKHLAK")</f>
        <v>7073_ROSININ _ SERTIFIKAT BerAKHLAK</v>
      </c>
      <c r="P7074" s="5" t="s">
        <v>45119</v>
      </c>
    </row>
    <row r="7075">
      <c r="A7075" s="4">
        <v>45534.37690743056</v>
      </c>
      <c r="B7075" s="5" t="s">
        <v>34</v>
      </c>
      <c r="D7075" s="5" t="s">
        <v>1558</v>
      </c>
      <c r="E7075" s="5" t="s">
        <v>45120</v>
      </c>
      <c r="F7075" s="5" t="s">
        <v>37</v>
      </c>
      <c r="G7075" s="5" t="s">
        <v>45121</v>
      </c>
      <c r="H7075" s="6" t="s">
        <v>45122</v>
      </c>
      <c r="K7075" s="5" t="s">
        <v>45059</v>
      </c>
      <c r="M7075" s="5" t="s">
        <v>45123</v>
      </c>
      <c r="N7075" s="7" t="s">
        <v>45124</v>
      </c>
      <c r="O7075" s="8" t="str">
        <f>HYPERLINK("https://drive.google.com/file/d/1GdDjiFMtB2rbAEcg8rE7EQ0m-ZjDiMKh/view?usp=drivesdk","7074_AGUNG PRIAMBADA _ SERTIFIKAT BerAKHLAK")</f>
        <v>7074_AGUNG PRIAMBADA _ SERTIFIKAT BerAKHLAK</v>
      </c>
      <c r="P7075" s="5" t="s">
        <v>45119</v>
      </c>
    </row>
    <row r="7076" hidden="1">
      <c r="A7076" s="4">
        <v>45534.376934479165</v>
      </c>
      <c r="B7076" s="5" t="s">
        <v>19</v>
      </c>
      <c r="C7076" s="5" t="s">
        <v>5564</v>
      </c>
      <c r="E7076" s="5" t="s">
        <v>45125</v>
      </c>
      <c r="F7076" s="5" t="s">
        <v>72</v>
      </c>
      <c r="G7076" s="5" t="s">
        <v>45126</v>
      </c>
      <c r="H7076" s="6" t="s">
        <v>45127</v>
      </c>
      <c r="K7076" s="5" t="s">
        <v>45128</v>
      </c>
      <c r="M7076" s="5" t="s">
        <v>45129</v>
      </c>
      <c r="N7076" s="7" t="s">
        <v>45130</v>
      </c>
      <c r="O7076" s="8" t="str">
        <f>HYPERLINK("https://drive.google.com/file/d/1-vmJPFvSmQhojTpu_YB82biJVVOFBErr/view?usp=drivesdk","7075_ELLY FAJRIYAH, S.E., M.M. _ SERTIFIKAT BerAKHLAK")</f>
        <v>7075_ELLY FAJRIYAH, S.E., M.M. _ SERTIFIKAT BerAKHLAK</v>
      </c>
      <c r="P7076" s="5" t="s">
        <v>45131</v>
      </c>
    </row>
    <row r="7077">
      <c r="A7077" s="4">
        <v>45534.37694396991</v>
      </c>
      <c r="B7077" s="5" t="s">
        <v>34</v>
      </c>
      <c r="D7077" s="5" t="s">
        <v>3849</v>
      </c>
      <c r="E7077" s="5" t="s">
        <v>16572</v>
      </c>
      <c r="F7077" s="5" t="s">
        <v>37</v>
      </c>
      <c r="G7077" s="5" t="s">
        <v>45132</v>
      </c>
      <c r="H7077" s="6" t="s">
        <v>45133</v>
      </c>
      <c r="K7077" s="5" t="s">
        <v>45128</v>
      </c>
      <c r="M7077" s="5" t="s">
        <v>45134</v>
      </c>
      <c r="N7077" s="7" t="s">
        <v>45135</v>
      </c>
      <c r="O7077" s="8" t="str">
        <f>HYPERLINK("https://drive.google.com/file/d/1h1uDYJr6uxvbl70sGnQBre7P-0OjN6Ox/view?usp=drivesdk","7076_RAHMAWATI _ SERTIFIKAT BerAKHLAK")</f>
        <v>7076_RAHMAWATI _ SERTIFIKAT BerAKHLAK</v>
      </c>
      <c r="P7077" s="5" t="s">
        <v>45131</v>
      </c>
    </row>
    <row r="7078">
      <c r="A7078" s="4">
        <v>45534.37694434028</v>
      </c>
      <c r="B7078" s="5" t="s">
        <v>34</v>
      </c>
      <c r="D7078" s="5" t="s">
        <v>4775</v>
      </c>
      <c r="E7078" s="5" t="s">
        <v>45136</v>
      </c>
      <c r="F7078" s="5" t="s">
        <v>328</v>
      </c>
      <c r="G7078" s="5" t="s">
        <v>45137</v>
      </c>
      <c r="H7078" s="6" t="s">
        <v>45138</v>
      </c>
      <c r="K7078" s="5" t="s">
        <v>45128</v>
      </c>
      <c r="M7078" s="5" t="s">
        <v>45139</v>
      </c>
      <c r="N7078" s="7" t="s">
        <v>45140</v>
      </c>
      <c r="O7078" s="8" t="str">
        <f>HYPERLINK("https://drive.google.com/file/d/1E_RFIH7v4INq5yTASvmSs2QboDzJTvpo/view?usp=drivesdk","7077_MAHALI _ SERTIFIKAT BerAKHLAK")</f>
        <v>7077_MAHALI _ SERTIFIKAT BerAKHLAK</v>
      </c>
      <c r="P7078" s="5" t="s">
        <v>45141</v>
      </c>
    </row>
    <row r="7079">
      <c r="A7079" s="4">
        <v>45534.37695311343</v>
      </c>
      <c r="B7079" s="5" t="s">
        <v>34</v>
      </c>
      <c r="D7079" s="5" t="s">
        <v>12978</v>
      </c>
      <c r="E7079" s="5" t="s">
        <v>45142</v>
      </c>
      <c r="F7079" s="5" t="s">
        <v>108</v>
      </c>
      <c r="G7079" s="5" t="s">
        <v>45143</v>
      </c>
      <c r="H7079" s="6" t="s">
        <v>45144</v>
      </c>
      <c r="K7079" s="5" t="s">
        <v>45145</v>
      </c>
      <c r="M7079" s="5" t="s">
        <v>45146</v>
      </c>
      <c r="N7079" s="7" t="s">
        <v>45147</v>
      </c>
      <c r="O7079" s="8" t="str">
        <f>HYPERLINK("https://drive.google.com/file/d/1xbhB8vIX17WC_u5BRzYFqCEhI5VbsuF6/view?usp=drivesdk","7078_SUNANI _ SERTIFIKAT BerAKHLAK")</f>
        <v>7078_SUNANI _ SERTIFIKAT BerAKHLAK</v>
      </c>
      <c r="P7079" s="5" t="s">
        <v>45141</v>
      </c>
    </row>
    <row r="7080">
      <c r="A7080" s="4">
        <v>45534.376982013884</v>
      </c>
      <c r="B7080" s="5" t="s">
        <v>34</v>
      </c>
      <c r="D7080" s="5" t="s">
        <v>14424</v>
      </c>
      <c r="E7080" s="5" t="s">
        <v>45148</v>
      </c>
      <c r="F7080" s="5" t="s">
        <v>212</v>
      </c>
      <c r="G7080" s="5" t="s">
        <v>45149</v>
      </c>
      <c r="H7080" s="6" t="s">
        <v>45150</v>
      </c>
      <c r="K7080" s="5" t="s">
        <v>45151</v>
      </c>
      <c r="M7080" s="5" t="s">
        <v>45152</v>
      </c>
      <c r="N7080" s="7" t="s">
        <v>45153</v>
      </c>
      <c r="O7080" s="8" t="str">
        <f>HYPERLINK("https://drive.google.com/file/d/1BoE7w_Y1Eok1RNqQvedZ8kenh_-4lBgt/view?usp=drivesdk","7079_SAWARINA _ SERTIFIKAT BerAKHLAK")</f>
        <v>7079_SAWARINA _ SERTIFIKAT BerAKHLAK</v>
      </c>
      <c r="P7080" s="5" t="s">
        <v>45141</v>
      </c>
    </row>
    <row r="7081" hidden="1">
      <c r="A7081" s="4">
        <v>45534.37699873843</v>
      </c>
      <c r="B7081" s="5" t="s">
        <v>19</v>
      </c>
      <c r="C7081" s="5" t="s">
        <v>26187</v>
      </c>
      <c r="E7081" s="5" t="s">
        <v>45154</v>
      </c>
      <c r="F7081" s="5" t="s">
        <v>37</v>
      </c>
      <c r="G7081" s="5" t="s">
        <v>45155</v>
      </c>
      <c r="H7081" s="6" t="s">
        <v>45156</v>
      </c>
      <c r="K7081" s="5" t="s">
        <v>45157</v>
      </c>
      <c r="M7081" s="5" t="s">
        <v>45158</v>
      </c>
      <c r="N7081" s="7" t="s">
        <v>45159</v>
      </c>
      <c r="O7081" s="8" t="str">
        <f>HYPERLINK("https://drive.google.com/file/d/1D6Htg3s0ZFdxutDcZ7t3ad87a1N5Ldz4/view?usp=drivesdk","7080_TIMAN,SE. _ SERTIFIKAT BerAKHLAK")</f>
        <v>7080_TIMAN,SE. _ SERTIFIKAT BerAKHLAK</v>
      </c>
      <c r="P7081" s="5" t="s">
        <v>45160</v>
      </c>
    </row>
    <row r="7082">
      <c r="A7082" s="4">
        <v>45534.37701758102</v>
      </c>
      <c r="B7082" s="5" t="s">
        <v>34</v>
      </c>
      <c r="D7082" s="5" t="s">
        <v>2903</v>
      </c>
      <c r="E7082" s="5" t="s">
        <v>45161</v>
      </c>
      <c r="F7082" s="5" t="s">
        <v>37</v>
      </c>
      <c r="G7082" s="5" t="s">
        <v>45162</v>
      </c>
      <c r="H7082" s="6" t="s">
        <v>45163</v>
      </c>
      <c r="K7082" s="5" t="s">
        <v>45157</v>
      </c>
      <c r="M7082" s="5" t="s">
        <v>45164</v>
      </c>
      <c r="N7082" s="7" t="s">
        <v>45165</v>
      </c>
      <c r="O7082" s="8" t="str">
        <f>HYPERLINK("https://drive.google.com/file/d/1auMmOblQvJI8PBIHaSgyWRfkQk2BMqdl/view?usp=drivesdk","7081_Rindayu Astri Utami, S.Kep _ SERTIFIKAT BerAKHLAK")</f>
        <v>7081_Rindayu Astri Utami, S.Kep _ SERTIFIKAT BerAKHLAK</v>
      </c>
      <c r="P7082" s="5" t="s">
        <v>45160</v>
      </c>
    </row>
    <row r="7083">
      <c r="A7083" s="4">
        <v>45534.37702325232</v>
      </c>
      <c r="B7083" s="5" t="s">
        <v>34</v>
      </c>
      <c r="D7083" s="5" t="s">
        <v>1558</v>
      </c>
      <c r="E7083" s="5" t="s">
        <v>45166</v>
      </c>
      <c r="F7083" s="5" t="s">
        <v>212</v>
      </c>
      <c r="G7083" s="5" t="s">
        <v>45167</v>
      </c>
      <c r="H7083" s="6" t="s">
        <v>45168</v>
      </c>
      <c r="K7083" s="5" t="s">
        <v>45157</v>
      </c>
      <c r="M7083" s="5" t="s">
        <v>45169</v>
      </c>
      <c r="N7083" s="7" t="s">
        <v>45170</v>
      </c>
      <c r="O7083" s="8" t="str">
        <f>HYPERLINK("https://drive.google.com/file/d/1aoLV-RL-qChoefIDYZp5n_OmPhWJJ8od/view?usp=drivesdk","7082_I KETUT KAMARDANA _ SERTIFIKAT BerAKHLAK")</f>
        <v>7082_I KETUT KAMARDANA _ SERTIFIKAT BerAKHLAK</v>
      </c>
      <c r="P7083" s="5" t="s">
        <v>45160</v>
      </c>
    </row>
    <row r="7084">
      <c r="A7084" s="4">
        <v>45534.377044699075</v>
      </c>
      <c r="B7084" s="5" t="s">
        <v>34</v>
      </c>
      <c r="D7084" s="5" t="s">
        <v>12978</v>
      </c>
      <c r="E7084" s="5" t="s">
        <v>45171</v>
      </c>
      <c r="F7084" s="5" t="s">
        <v>715</v>
      </c>
      <c r="G7084" s="5" t="s">
        <v>45172</v>
      </c>
      <c r="H7084" s="6" t="s">
        <v>45173</v>
      </c>
      <c r="K7084" s="5" t="s">
        <v>45174</v>
      </c>
      <c r="M7084" s="5" t="s">
        <v>45175</v>
      </c>
      <c r="N7084" s="7" t="s">
        <v>45176</v>
      </c>
      <c r="O7084" s="8" t="str">
        <f>HYPERLINK("https://drive.google.com/file/d/1QtgSg0kBVOHUOWz1-SjtxWARKPuXOh0x/view?usp=drivesdk","7083_IIN PARLINA _ SERTIFIKAT BerAKHLAK")</f>
        <v>7083_IIN PARLINA _ SERTIFIKAT BerAKHLAK</v>
      </c>
      <c r="P7084" s="5" t="s">
        <v>45160</v>
      </c>
    </row>
    <row r="7085">
      <c r="A7085" s="4">
        <v>45534.37704853009</v>
      </c>
      <c r="B7085" s="5" t="s">
        <v>34</v>
      </c>
      <c r="D7085" s="5" t="s">
        <v>4775</v>
      </c>
      <c r="E7085" s="5" t="s">
        <v>45177</v>
      </c>
      <c r="F7085" s="5" t="s">
        <v>37</v>
      </c>
      <c r="G7085" s="5" t="s">
        <v>45178</v>
      </c>
      <c r="H7085" s="6" t="s">
        <v>45179</v>
      </c>
      <c r="K7085" s="5" t="s">
        <v>45174</v>
      </c>
      <c r="M7085" s="5" t="s">
        <v>45180</v>
      </c>
      <c r="N7085" s="7" t="s">
        <v>45181</v>
      </c>
      <c r="O7085" s="8" t="str">
        <f>HYPERLINK("https://drive.google.com/file/d/1K6nKzKgnxOwLBiQe1c-CYOiGr_yGVL6T/view?usp=drivesdk","7084_RINA KADARIS MAWARTI, A.Md.Keb _ SERTIFIKAT BerAKHLAK")</f>
        <v>7084_RINA KADARIS MAWARTI, A.Md.Keb _ SERTIFIKAT BerAKHLAK</v>
      </c>
      <c r="P7085" s="5" t="s">
        <v>45182</v>
      </c>
    </row>
    <row r="7086" hidden="1">
      <c r="A7086" s="4">
        <v>45534.377070613424</v>
      </c>
      <c r="B7086" s="5" t="s">
        <v>19</v>
      </c>
      <c r="C7086" s="5" t="s">
        <v>292</v>
      </c>
      <c r="E7086" s="5" t="s">
        <v>45183</v>
      </c>
      <c r="F7086" s="5" t="s">
        <v>108</v>
      </c>
      <c r="G7086" s="5" t="s">
        <v>45184</v>
      </c>
      <c r="H7086" s="6" t="s">
        <v>45185</v>
      </c>
      <c r="K7086" s="5" t="s">
        <v>45174</v>
      </c>
      <c r="M7086" s="5" t="s">
        <v>45186</v>
      </c>
      <c r="N7086" s="7" t="s">
        <v>45187</v>
      </c>
      <c r="O7086" s="8" t="str">
        <f>HYPERLINK("https://drive.google.com/file/d/1HlsIKzxNWGGnYHhBhZQ5VS-a_CwsEbZH/view?usp=drivesdk","7085_SUPARNI _ SERTIFIKAT BerAKHLAK")</f>
        <v>7085_SUPARNI _ SERTIFIKAT BerAKHLAK</v>
      </c>
      <c r="P7086" s="5" t="s">
        <v>45182</v>
      </c>
    </row>
    <row r="7087">
      <c r="A7087" s="4">
        <v>45534.3771244213</v>
      </c>
      <c r="B7087" s="5" t="s">
        <v>34</v>
      </c>
      <c r="D7087" s="5" t="s">
        <v>580</v>
      </c>
      <c r="E7087" s="5" t="s">
        <v>45188</v>
      </c>
      <c r="F7087" s="5" t="s">
        <v>37</v>
      </c>
      <c r="G7087" s="5" t="s">
        <v>45189</v>
      </c>
      <c r="H7087" s="6" t="s">
        <v>45190</v>
      </c>
      <c r="K7087" s="5" t="s">
        <v>45191</v>
      </c>
      <c r="M7087" s="5" t="s">
        <v>45192</v>
      </c>
      <c r="N7087" s="7" t="s">
        <v>45193</v>
      </c>
      <c r="O7087" s="8" t="str">
        <f>HYPERLINK("https://drive.google.com/file/d/1xvK9AOwZ8ln1Kb35_YlDhIBQoKYJPc1m/view?usp=drivesdk","7086_LUH SRI RAHYUNI _ SERTIFIKAT BerAKHLAK")</f>
        <v>7086_LUH SRI RAHYUNI _ SERTIFIKAT BerAKHLAK</v>
      </c>
      <c r="P7087" s="5" t="s">
        <v>45182</v>
      </c>
    </row>
    <row r="7088">
      <c r="A7088" s="4">
        <v>45534.377137083335</v>
      </c>
      <c r="B7088" s="5" t="s">
        <v>34</v>
      </c>
      <c r="D7088" s="5" t="s">
        <v>2903</v>
      </c>
      <c r="E7088" s="5" t="s">
        <v>45194</v>
      </c>
      <c r="F7088" s="5" t="s">
        <v>375</v>
      </c>
      <c r="G7088" s="5" t="s">
        <v>45195</v>
      </c>
      <c r="H7088" s="6" t="s">
        <v>45196</v>
      </c>
      <c r="K7088" s="5" t="s">
        <v>45197</v>
      </c>
      <c r="M7088" s="5" t="s">
        <v>45198</v>
      </c>
      <c r="N7088" s="7" t="s">
        <v>45199</v>
      </c>
      <c r="O7088" s="8" t="str">
        <f>HYPERLINK("https://drive.google.com/file/d/1-uwe_utkvEmNDrx_uWsdndRWI7zEFsVg/view?usp=drivesdk","7087_SUHARNISA _ SERTIFIKAT BerAKHLAK")</f>
        <v>7087_SUHARNISA _ SERTIFIKAT BerAKHLAK</v>
      </c>
      <c r="P7088" s="5" t="s">
        <v>45182</v>
      </c>
    </row>
    <row r="7089">
      <c r="A7089" s="4">
        <v>45534.377146342595</v>
      </c>
      <c r="B7089" s="5" t="s">
        <v>34</v>
      </c>
      <c r="D7089" s="5" t="s">
        <v>2903</v>
      </c>
      <c r="E7089" s="5" t="s">
        <v>45200</v>
      </c>
      <c r="F7089" s="5" t="s">
        <v>108</v>
      </c>
      <c r="G7089" s="5" t="s">
        <v>45201</v>
      </c>
      <c r="H7089" s="6" t="s">
        <v>45202</v>
      </c>
      <c r="K7089" s="5" t="s">
        <v>45197</v>
      </c>
      <c r="M7089" s="5" t="s">
        <v>45203</v>
      </c>
      <c r="N7089" s="7" t="s">
        <v>45204</v>
      </c>
      <c r="O7089" s="8" t="str">
        <f>HYPERLINK("https://drive.google.com/file/d/1Mrg6Ehn8g_g6d7WWQgKNFAGKlmKP6rt0/view?usp=drivesdk","7088_DWI ERRY SETIAWAN _ SERTIFIKAT BerAKHLAK")</f>
        <v>7088_DWI ERRY SETIAWAN _ SERTIFIKAT BerAKHLAK</v>
      </c>
      <c r="P7089" s="5" t="s">
        <v>45205</v>
      </c>
    </row>
    <row r="7090">
      <c r="A7090" s="4">
        <v>45534.37714677083</v>
      </c>
      <c r="B7090" s="5" t="s">
        <v>34</v>
      </c>
      <c r="D7090" s="5" t="s">
        <v>1456</v>
      </c>
      <c r="E7090" s="5" t="s">
        <v>45206</v>
      </c>
      <c r="F7090" s="5" t="s">
        <v>37</v>
      </c>
      <c r="G7090" s="5" t="s">
        <v>45207</v>
      </c>
      <c r="H7090" s="6" t="s">
        <v>45208</v>
      </c>
      <c r="K7090" s="5" t="s">
        <v>45197</v>
      </c>
      <c r="M7090" s="5" t="s">
        <v>45209</v>
      </c>
      <c r="N7090" s="7" t="s">
        <v>45210</v>
      </c>
      <c r="O7090" s="8" t="str">
        <f>HYPERLINK("https://drive.google.com/file/d/1nR_P3ETm2nWz9zRB0miMi1Bnan83KaOU/view?usp=drivesdk","7089_ROHMAH _ SERTIFIKAT BerAKHLAK")</f>
        <v>7089_ROHMAH _ SERTIFIKAT BerAKHLAK</v>
      </c>
      <c r="P7090" s="5" t="s">
        <v>45205</v>
      </c>
    </row>
    <row r="7091">
      <c r="A7091" s="4">
        <v>45534.37716292824</v>
      </c>
      <c r="B7091" s="5" t="s">
        <v>34</v>
      </c>
      <c r="D7091" s="5" t="s">
        <v>701</v>
      </c>
      <c r="E7091" s="5" t="s">
        <v>45211</v>
      </c>
      <c r="F7091" s="5" t="s">
        <v>37</v>
      </c>
      <c r="G7091" s="5" t="s">
        <v>45212</v>
      </c>
      <c r="H7091" s="6" t="s">
        <v>45213</v>
      </c>
      <c r="K7091" s="5" t="s">
        <v>45197</v>
      </c>
      <c r="M7091" s="5" t="s">
        <v>45214</v>
      </c>
      <c r="N7091" s="7" t="s">
        <v>45215</v>
      </c>
      <c r="O7091" s="8" t="str">
        <f>HYPERLINK("https://drive.google.com/file/d/17mwUfC7BwDHnAd-joChnc2G8NwPXYzdt/view?usp=drivesdk","7090_YELNI GUSTI _ SERTIFIKAT BerAKHLAK")</f>
        <v>7090_YELNI GUSTI _ SERTIFIKAT BerAKHLAK</v>
      </c>
      <c r="P7091" s="5" t="s">
        <v>45205</v>
      </c>
    </row>
    <row r="7092">
      <c r="A7092" s="4">
        <v>45534.37716740741</v>
      </c>
      <c r="B7092" s="5" t="s">
        <v>34</v>
      </c>
      <c r="D7092" s="5" t="s">
        <v>1558</v>
      </c>
      <c r="E7092" s="5" t="s">
        <v>45216</v>
      </c>
      <c r="F7092" s="5" t="s">
        <v>375</v>
      </c>
      <c r="G7092" s="5" t="s">
        <v>45217</v>
      </c>
      <c r="H7092" s="6" t="s">
        <v>45218</v>
      </c>
      <c r="K7092" s="5" t="s">
        <v>45197</v>
      </c>
      <c r="M7092" s="5" t="s">
        <v>45219</v>
      </c>
      <c r="N7092" s="7" t="s">
        <v>45220</v>
      </c>
      <c r="O7092" s="8" t="str">
        <f>HYPERLINK("https://drive.google.com/file/d/1YeQXoisFe24QfX09h3vRlgplkIZY3H3U/view?usp=drivesdk","7091_AMENAH _ SERTIFIKAT BerAKHLAK")</f>
        <v>7091_AMENAH _ SERTIFIKAT BerAKHLAK</v>
      </c>
      <c r="P7092" s="5" t="s">
        <v>45205</v>
      </c>
    </row>
    <row r="7093">
      <c r="A7093" s="4">
        <v>45534.37717222222</v>
      </c>
      <c r="B7093" s="5" t="s">
        <v>34</v>
      </c>
      <c r="D7093" s="5" t="s">
        <v>4775</v>
      </c>
      <c r="E7093" s="5" t="s">
        <v>45221</v>
      </c>
      <c r="F7093" s="5" t="s">
        <v>212</v>
      </c>
      <c r="G7093" s="5" t="s">
        <v>45222</v>
      </c>
      <c r="H7093" s="6" t="s">
        <v>45223</v>
      </c>
      <c r="K7093" s="5" t="s">
        <v>45197</v>
      </c>
      <c r="M7093" s="5" t="s">
        <v>45224</v>
      </c>
      <c r="N7093" s="7" t="s">
        <v>45225</v>
      </c>
      <c r="O7093" s="8" t="str">
        <f>HYPERLINK("https://drive.google.com/file/d/12OoDHvj_Fp9Jbq0oAo32iulVrlbdc4r4/view?usp=drivesdk","7092_AKHMAD NUROKHIM _ SERTIFIKAT BerAKHLAK")</f>
        <v>7092_AKHMAD NUROKHIM _ SERTIFIKAT BerAKHLAK</v>
      </c>
      <c r="P7093" s="5" t="s">
        <v>45226</v>
      </c>
    </row>
    <row r="7094">
      <c r="A7094" s="4">
        <v>45534.37721854167</v>
      </c>
      <c r="B7094" s="5" t="s">
        <v>34</v>
      </c>
      <c r="D7094" s="5" t="s">
        <v>9020</v>
      </c>
      <c r="E7094" s="5" t="s">
        <v>45227</v>
      </c>
      <c r="F7094" s="5" t="s">
        <v>120</v>
      </c>
      <c r="G7094" s="5" t="s">
        <v>45228</v>
      </c>
      <c r="H7094" s="6" t="s">
        <v>45229</v>
      </c>
      <c r="K7094" s="5" t="s">
        <v>45230</v>
      </c>
      <c r="M7094" s="5" t="s">
        <v>45231</v>
      </c>
      <c r="N7094" s="7" t="s">
        <v>45232</v>
      </c>
      <c r="O7094" s="8" t="str">
        <f>HYPERLINK("https://drive.google.com/file/d/1cLeh6kq_jklsKSf0mrptmkpyZyMsTb44/view?usp=drivesdk","7093_SUPIYANI _ SERTIFIKAT BerAKHLAK")</f>
        <v>7093_SUPIYANI _ SERTIFIKAT BerAKHLAK</v>
      </c>
      <c r="P7094" s="5" t="s">
        <v>45226</v>
      </c>
    </row>
    <row r="7095" hidden="1">
      <c r="A7095" s="4">
        <v>45534.37724447917</v>
      </c>
      <c r="B7095" s="5" t="s">
        <v>19</v>
      </c>
      <c r="C7095" s="5" t="s">
        <v>5564</v>
      </c>
      <c r="E7095" s="5" t="s">
        <v>45233</v>
      </c>
      <c r="F7095" s="5" t="s">
        <v>120</v>
      </c>
      <c r="G7095" s="5" t="s">
        <v>45234</v>
      </c>
      <c r="H7095" s="6" t="s">
        <v>45235</v>
      </c>
      <c r="K7095" s="5" t="s">
        <v>45230</v>
      </c>
      <c r="M7095" s="5" t="s">
        <v>45236</v>
      </c>
      <c r="N7095" s="7" t="s">
        <v>45237</v>
      </c>
      <c r="O7095" s="8" t="str">
        <f>HYPERLINK("https://drive.google.com/file/d/1RWYH7KgnJXKqvkoTGghW0xgjP158IWNu/view?usp=drivesdk","7094_dr. MARTHIN SURANTHA _ SERTIFIKAT BerAKHLAK")</f>
        <v>7094_dr. MARTHIN SURANTHA _ SERTIFIKAT BerAKHLAK</v>
      </c>
      <c r="P7095" s="5" t="s">
        <v>45226</v>
      </c>
    </row>
    <row r="7096">
      <c r="A7096" s="4">
        <v>45534.377253240746</v>
      </c>
      <c r="B7096" s="5" t="s">
        <v>34</v>
      </c>
      <c r="D7096" s="5" t="s">
        <v>975</v>
      </c>
      <c r="E7096" s="5" t="s">
        <v>45238</v>
      </c>
      <c r="F7096" s="5" t="s">
        <v>108</v>
      </c>
      <c r="G7096" s="5" t="s">
        <v>45239</v>
      </c>
      <c r="H7096" s="6" t="s">
        <v>45240</v>
      </c>
      <c r="K7096" s="5" t="s">
        <v>45241</v>
      </c>
      <c r="M7096" s="5" t="s">
        <v>45242</v>
      </c>
      <c r="N7096" s="7" t="s">
        <v>45243</v>
      </c>
      <c r="O7096" s="8" t="str">
        <f>HYPERLINK("https://drive.google.com/file/d/1_IC-PrYfYmv4GuuhWDm-6cVnSkAUL9LK/view?usp=drivesdk","7095_ISNAINI ZAKIYYAH AROFA  _ SERTIFIKAT BerAKHLAK")</f>
        <v>7095_ISNAINI ZAKIYYAH AROFA  _ SERTIFIKAT BerAKHLAK</v>
      </c>
      <c r="P7096" s="5" t="s">
        <v>45226</v>
      </c>
    </row>
    <row r="7097">
      <c r="A7097" s="4">
        <v>45534.37727424769</v>
      </c>
      <c r="B7097" s="5" t="s">
        <v>34</v>
      </c>
      <c r="D7097" s="5" t="s">
        <v>522</v>
      </c>
      <c r="E7097" s="5" t="s">
        <v>45244</v>
      </c>
      <c r="F7097" s="5" t="s">
        <v>120</v>
      </c>
      <c r="G7097" s="5" t="s">
        <v>45245</v>
      </c>
      <c r="H7097" s="6" t="s">
        <v>45246</v>
      </c>
      <c r="K7097" s="5" t="s">
        <v>45241</v>
      </c>
      <c r="M7097" s="5" t="s">
        <v>45247</v>
      </c>
      <c r="N7097" s="7" t="s">
        <v>45248</v>
      </c>
      <c r="O7097" s="8" t="str">
        <f>HYPERLINK("https://drive.google.com/file/d/1EAdQ_mpM1gA266k0FrHfyCe0rRia7-ie/view?usp=drivesdk","7096_H. MARZUKI, S.Sos _ SERTIFIKAT BerAKHLAK")</f>
        <v>7096_H. MARZUKI, S.Sos _ SERTIFIKAT BerAKHLAK</v>
      </c>
      <c r="P7097" s="5" t="s">
        <v>45226</v>
      </c>
    </row>
    <row r="7098">
      <c r="A7098" s="4">
        <v>45534.3772785301</v>
      </c>
      <c r="B7098" s="5" t="s">
        <v>34</v>
      </c>
      <c r="D7098" s="5" t="s">
        <v>9394</v>
      </c>
      <c r="E7098" s="5" t="s">
        <v>45249</v>
      </c>
      <c r="F7098" s="5" t="s">
        <v>108</v>
      </c>
      <c r="G7098" s="5" t="s">
        <v>45250</v>
      </c>
      <c r="H7098" s="6" t="s">
        <v>45251</v>
      </c>
      <c r="K7098" s="5" t="s">
        <v>45241</v>
      </c>
      <c r="M7098" s="5" t="s">
        <v>45252</v>
      </c>
      <c r="N7098" s="7" t="s">
        <v>45253</v>
      </c>
      <c r="O7098" s="8" t="str">
        <f>HYPERLINK("https://drive.google.com/file/d/1e6UJ5ksfVzEks_GPUS1o_DEvRSXQNL6R/view?usp=drivesdk","7097_YUSRAN _ SERTIFIKAT BerAKHLAK")</f>
        <v>7097_YUSRAN _ SERTIFIKAT BerAKHLAK</v>
      </c>
      <c r="P7098" s="5" t="s">
        <v>45254</v>
      </c>
    </row>
    <row r="7099">
      <c r="A7099" s="4">
        <v>45534.377336122685</v>
      </c>
      <c r="B7099" s="5" t="s">
        <v>34</v>
      </c>
      <c r="D7099" s="5" t="s">
        <v>4775</v>
      </c>
      <c r="E7099" s="5" t="s">
        <v>45255</v>
      </c>
      <c r="F7099" s="5" t="s">
        <v>5859</v>
      </c>
      <c r="G7099" s="5" t="s">
        <v>45256</v>
      </c>
      <c r="H7099" s="6" t="s">
        <v>45257</v>
      </c>
      <c r="K7099" s="5" t="s">
        <v>45258</v>
      </c>
      <c r="M7099" s="5" t="s">
        <v>45259</v>
      </c>
      <c r="N7099" s="7" t="s">
        <v>45260</v>
      </c>
      <c r="O7099" s="8" t="str">
        <f>HYPERLINK("https://drive.google.com/file/d/1rN7SvpgONBCwVt8KhRniUJ5qg9uIrOSd/view?usp=drivesdk","7098_DJUNIATI _ SERTIFIKAT BerAKHLAK")</f>
        <v>7098_DJUNIATI _ SERTIFIKAT BerAKHLAK</v>
      </c>
      <c r="P7099" s="5" t="s">
        <v>45254</v>
      </c>
    </row>
    <row r="7100" hidden="1">
      <c r="A7100" s="4">
        <v>45534.37734601852</v>
      </c>
      <c r="B7100" s="5" t="s">
        <v>19</v>
      </c>
      <c r="C7100" s="5" t="s">
        <v>11593</v>
      </c>
      <c r="E7100" s="5" t="s">
        <v>45261</v>
      </c>
      <c r="F7100" s="5" t="s">
        <v>524</v>
      </c>
      <c r="G7100" s="5" t="s">
        <v>45262</v>
      </c>
      <c r="H7100" s="6" t="s">
        <v>45263</v>
      </c>
      <c r="K7100" s="5" t="s">
        <v>45264</v>
      </c>
      <c r="M7100" s="5" t="s">
        <v>45265</v>
      </c>
      <c r="N7100" s="7" t="s">
        <v>45266</v>
      </c>
      <c r="O7100" s="8" t="str">
        <f>HYPERLINK("https://drive.google.com/file/d/1QUC3EXe6bUGEnIqrsZAqP6dcGUYaOmbo/view?usp=drivesdk","7099_DIDI RUSTANDI _ SERTIFIKAT BerAKHLAK")</f>
        <v>7099_DIDI RUSTANDI _ SERTIFIKAT BerAKHLAK</v>
      </c>
      <c r="P7100" s="5" t="s">
        <v>45254</v>
      </c>
    </row>
    <row r="7101">
      <c r="A7101" s="4">
        <v>45534.377370462964</v>
      </c>
      <c r="B7101" s="5" t="s">
        <v>34</v>
      </c>
      <c r="D7101" s="5" t="s">
        <v>9020</v>
      </c>
      <c r="E7101" s="5" t="s">
        <v>45267</v>
      </c>
      <c r="F7101" s="5" t="s">
        <v>37</v>
      </c>
      <c r="G7101" s="5" t="s">
        <v>45268</v>
      </c>
      <c r="H7101" s="6" t="s">
        <v>45269</v>
      </c>
      <c r="K7101" s="5" t="s">
        <v>45270</v>
      </c>
      <c r="M7101" s="5" t="s">
        <v>45271</v>
      </c>
      <c r="N7101" s="7" t="s">
        <v>45272</v>
      </c>
      <c r="O7101" s="8" t="str">
        <f>HYPERLINK("https://drive.google.com/file/d/1HPqFDBaf5Ys-4jv6gvyPzY7kKlN0k3-o/view?usp=drivesdk","7100_SUHENDRA _ SERTIFIKAT BerAKHLAK")</f>
        <v>7100_SUHENDRA _ SERTIFIKAT BerAKHLAK</v>
      </c>
      <c r="P7101" s="5" t="s">
        <v>45254</v>
      </c>
    </row>
    <row r="7102">
      <c r="A7102" s="4">
        <v>45534.37737416667</v>
      </c>
      <c r="B7102" s="5" t="s">
        <v>34</v>
      </c>
      <c r="D7102" s="5" t="s">
        <v>9020</v>
      </c>
      <c r="E7102" s="5" t="s">
        <v>45273</v>
      </c>
      <c r="F7102" s="5" t="s">
        <v>375</v>
      </c>
      <c r="G7102" s="5" t="s">
        <v>45274</v>
      </c>
      <c r="H7102" s="6" t="s">
        <v>45275</v>
      </c>
      <c r="K7102" s="5" t="s">
        <v>45270</v>
      </c>
      <c r="M7102" s="5" t="s">
        <v>45276</v>
      </c>
      <c r="N7102" s="7" t="s">
        <v>45277</v>
      </c>
      <c r="O7102" s="8" t="str">
        <f>HYPERLINK("https://drive.google.com/file/d/1mtpyNfh6eURfPnsce055G78GPTmSh4k1/view?usp=drivesdk","7101_Misnawati Pardede SKM _ SERTIFIKAT BerAKHLAK")</f>
        <v>7101_Misnawati Pardede SKM _ SERTIFIKAT BerAKHLAK</v>
      </c>
      <c r="P7102" s="5" t="s">
        <v>45278</v>
      </c>
    </row>
    <row r="7103">
      <c r="A7103" s="4">
        <v>45534.3774384375</v>
      </c>
      <c r="B7103" s="5" t="s">
        <v>34</v>
      </c>
      <c r="D7103" s="5" t="s">
        <v>1558</v>
      </c>
      <c r="E7103" s="5" t="s">
        <v>45279</v>
      </c>
      <c r="F7103" s="5" t="s">
        <v>108</v>
      </c>
      <c r="G7103" s="5" t="s">
        <v>45280</v>
      </c>
      <c r="H7103" s="6" t="s">
        <v>45281</v>
      </c>
      <c r="K7103" s="5" t="s">
        <v>45282</v>
      </c>
      <c r="M7103" s="5" t="s">
        <v>45283</v>
      </c>
      <c r="N7103" s="7" t="s">
        <v>45284</v>
      </c>
      <c r="O7103" s="8" t="str">
        <f>HYPERLINK("https://drive.google.com/file/d/1j8vDGNO5taP9mfDSIiG75MpHx32Dbfql/view?usp=drivesdk","7102_dr. Dewi Lydia Arianna Manullang _ SERTIFIKAT BerAKHLAK")</f>
        <v>7102_dr. Dewi Lydia Arianna Manullang _ SERTIFIKAT BerAKHLAK</v>
      </c>
      <c r="P7103" s="5" t="s">
        <v>45278</v>
      </c>
    </row>
    <row r="7104">
      <c r="A7104" s="4">
        <v>45534.377465717596</v>
      </c>
      <c r="B7104" s="5" t="s">
        <v>34</v>
      </c>
      <c r="D7104" s="5" t="s">
        <v>9394</v>
      </c>
      <c r="E7104" s="5" t="s">
        <v>45285</v>
      </c>
      <c r="F7104" s="5" t="s">
        <v>212</v>
      </c>
      <c r="G7104" s="5" t="s">
        <v>45286</v>
      </c>
      <c r="H7104" s="6" t="s">
        <v>45287</v>
      </c>
      <c r="K7104" s="5" t="s">
        <v>45282</v>
      </c>
      <c r="M7104" s="5" t="s">
        <v>45288</v>
      </c>
      <c r="N7104" s="7" t="s">
        <v>45289</v>
      </c>
      <c r="O7104" s="8" t="str">
        <f>HYPERLINK("https://drive.google.com/file/d/16GVJ9qaBLIQAHtXfxy2QcJRmYJFqrhey/view?usp=drivesdk","7103_HERI MASTUTI _ SERTIFIKAT BerAKHLAK")</f>
        <v>7103_HERI MASTUTI _ SERTIFIKAT BerAKHLAK</v>
      </c>
      <c r="P7104" s="5" t="s">
        <v>45278</v>
      </c>
    </row>
    <row r="7105">
      <c r="A7105" s="4">
        <v>45534.377474768524</v>
      </c>
      <c r="B7105" s="5" t="s">
        <v>34</v>
      </c>
      <c r="D7105" s="5" t="s">
        <v>9020</v>
      </c>
      <c r="E7105" s="5" t="s">
        <v>34739</v>
      </c>
      <c r="F7105" s="5" t="s">
        <v>212</v>
      </c>
      <c r="G7105" s="5" t="s">
        <v>45290</v>
      </c>
      <c r="H7105" s="6" t="s">
        <v>45291</v>
      </c>
      <c r="K7105" s="5" t="s">
        <v>45292</v>
      </c>
      <c r="M7105" s="5" t="s">
        <v>45293</v>
      </c>
      <c r="N7105" s="7" t="s">
        <v>45294</v>
      </c>
      <c r="O7105" s="8" t="str">
        <f>HYPERLINK("https://drive.google.com/file/d/149I-hXi9OdwdzCr-rGHlVmgoeQPOwTC8/view?usp=drivesdk","7104_FITRI JUITA SINAGA _ SERTIFIKAT BerAKHLAK")</f>
        <v>7104_FITRI JUITA SINAGA _ SERTIFIKAT BerAKHLAK</v>
      </c>
      <c r="P7105" s="5" t="s">
        <v>45278</v>
      </c>
    </row>
    <row r="7106">
      <c r="A7106" s="4">
        <v>45534.37749063657</v>
      </c>
      <c r="B7106" s="5" t="s">
        <v>34</v>
      </c>
      <c r="D7106" s="5" t="s">
        <v>9020</v>
      </c>
      <c r="E7106" s="5" t="s">
        <v>45295</v>
      </c>
      <c r="F7106" s="5" t="s">
        <v>72</v>
      </c>
      <c r="G7106" s="5" t="s">
        <v>45296</v>
      </c>
      <c r="H7106" s="6" t="s">
        <v>45297</v>
      </c>
      <c r="K7106" s="5" t="s">
        <v>45292</v>
      </c>
      <c r="M7106" s="5" t="s">
        <v>45298</v>
      </c>
      <c r="N7106" s="7" t="s">
        <v>45299</v>
      </c>
      <c r="O7106" s="8" t="str">
        <f>HYPERLINK("https://drive.google.com/file/d/1XQ_DKtCD_g0cX0Z0qodh3xuSjBeoQC-I/view?usp=drivesdk","7105_PENATA SAIMAN, S.E. _ SERTIFIKAT BerAKHLAK")</f>
        <v>7105_PENATA SAIMAN, S.E. _ SERTIFIKAT BerAKHLAK</v>
      </c>
      <c r="P7106" s="5" t="s">
        <v>45300</v>
      </c>
    </row>
    <row r="7107">
      <c r="A7107" s="4">
        <v>45534.37751997686</v>
      </c>
      <c r="B7107" s="5" t="s">
        <v>34</v>
      </c>
      <c r="D7107" s="5" t="s">
        <v>9020</v>
      </c>
      <c r="E7107" s="5" t="s">
        <v>45301</v>
      </c>
      <c r="F7107" s="5" t="s">
        <v>72</v>
      </c>
      <c r="G7107" s="5" t="s">
        <v>45302</v>
      </c>
      <c r="H7107" s="6" t="s">
        <v>45303</v>
      </c>
      <c r="K7107" s="5" t="s">
        <v>45292</v>
      </c>
      <c r="M7107" s="5" t="s">
        <v>45304</v>
      </c>
      <c r="N7107" s="7" t="s">
        <v>45305</v>
      </c>
      <c r="O7107" s="8" t="str">
        <f>HYPERLINK("https://drive.google.com/file/d/15tzLyWsMzhPo3D_SvGLbj0Z3EOklYv-H/view?usp=drivesdk","7106_FRISKA RATNAWATY _ SERTIFIKAT BerAKHLAK")</f>
        <v>7106_FRISKA RATNAWATY _ SERTIFIKAT BerAKHLAK</v>
      </c>
      <c r="P7107" s="5" t="s">
        <v>45300</v>
      </c>
    </row>
    <row r="7108">
      <c r="A7108" s="4">
        <v>45534.37753712963</v>
      </c>
      <c r="B7108" s="5" t="s">
        <v>34</v>
      </c>
      <c r="D7108" s="5" t="s">
        <v>15401</v>
      </c>
      <c r="E7108" s="5" t="s">
        <v>45306</v>
      </c>
      <c r="F7108" s="5" t="s">
        <v>120</v>
      </c>
      <c r="G7108" s="5" t="s">
        <v>45307</v>
      </c>
      <c r="H7108" s="6" t="s">
        <v>45308</v>
      </c>
      <c r="K7108" s="5" t="s">
        <v>45309</v>
      </c>
      <c r="M7108" s="5" t="s">
        <v>45310</v>
      </c>
      <c r="N7108" s="7" t="s">
        <v>45311</v>
      </c>
      <c r="O7108" s="8" t="str">
        <f>HYPERLINK("https://drive.google.com/file/d/1gcvfBg3R3_XAyEAS7Mlucid7E7jWX1Qc/view?usp=drivesdk","7107_HANNA LABIRAN _ SERTIFIKAT BerAKHLAK")</f>
        <v>7107_HANNA LABIRAN _ SERTIFIKAT BerAKHLAK</v>
      </c>
      <c r="P7108" s="5" t="s">
        <v>45300</v>
      </c>
    </row>
    <row r="7109">
      <c r="A7109" s="4">
        <v>45534.377541145834</v>
      </c>
      <c r="B7109" s="5" t="s">
        <v>34</v>
      </c>
      <c r="D7109" s="5" t="s">
        <v>522</v>
      </c>
      <c r="E7109" s="5" t="s">
        <v>45312</v>
      </c>
      <c r="F7109" s="5" t="s">
        <v>37</v>
      </c>
      <c r="G7109" s="5" t="s">
        <v>45313</v>
      </c>
      <c r="H7109" s="6" t="s">
        <v>45314</v>
      </c>
      <c r="K7109" s="5" t="s">
        <v>45309</v>
      </c>
      <c r="M7109" s="5" t="s">
        <v>45315</v>
      </c>
      <c r="N7109" s="7" t="s">
        <v>45316</v>
      </c>
      <c r="O7109" s="8" t="str">
        <f>HYPERLINK("https://drive.google.com/file/d/1TnvIATdk08wAkCb1N0bvx39nhEV5aFm5/view?usp=drivesdk","7108_Nurul Maulina Utami,A.Md.Per _ SERTIFIKAT BerAKHLAK")</f>
        <v>7108_Nurul Maulina Utami,A.Md.Per _ SERTIFIKAT BerAKHLAK</v>
      </c>
      <c r="P7109" s="5" t="s">
        <v>45317</v>
      </c>
    </row>
    <row r="7110">
      <c r="A7110" s="4">
        <v>45534.377598935185</v>
      </c>
      <c r="B7110" s="5" t="s">
        <v>34</v>
      </c>
      <c r="D7110" s="5" t="s">
        <v>1206</v>
      </c>
      <c r="E7110" s="5" t="s">
        <v>45318</v>
      </c>
      <c r="F7110" s="5" t="s">
        <v>120</v>
      </c>
      <c r="G7110" s="5" t="s">
        <v>45319</v>
      </c>
      <c r="H7110" s="6" t="s">
        <v>45320</v>
      </c>
      <c r="K7110" s="5" t="s">
        <v>45321</v>
      </c>
      <c r="M7110" s="5" t="s">
        <v>45322</v>
      </c>
      <c r="N7110" s="7" t="s">
        <v>45323</v>
      </c>
      <c r="O7110" s="8" t="str">
        <f>HYPERLINK("https://drive.google.com/file/d/1eQxdaFjxQSFJkec0oMSc8DHyzI3vfg2Q/view?usp=drivesdk","7109_DR. WAHID _ SERTIFIKAT BerAKHLAK")</f>
        <v>7109_DR. WAHID _ SERTIFIKAT BerAKHLAK</v>
      </c>
      <c r="P7110" s="5" t="s">
        <v>45317</v>
      </c>
    </row>
    <row r="7111" hidden="1">
      <c r="A7111" s="4">
        <v>45534.377608333336</v>
      </c>
      <c r="B7111" s="5" t="s">
        <v>19</v>
      </c>
      <c r="C7111" s="5" t="s">
        <v>14000</v>
      </c>
      <c r="E7111" s="5" t="s">
        <v>45324</v>
      </c>
      <c r="F7111" s="5" t="s">
        <v>108</v>
      </c>
      <c r="G7111" s="5" t="s">
        <v>45325</v>
      </c>
      <c r="H7111" s="6" t="s">
        <v>45326</v>
      </c>
      <c r="K7111" s="5" t="s">
        <v>45321</v>
      </c>
      <c r="M7111" s="5" t="s">
        <v>45327</v>
      </c>
      <c r="N7111" s="7" t="s">
        <v>45328</v>
      </c>
      <c r="O7111" s="8" t="str">
        <f>HYPERLINK("https://drive.google.com/file/d/1urZHKugKnln8FnMWRikr4KT56DhLiyvE/view?usp=drivesdk","7110_DIAN LISTYAWATI S.M. _ SERTIFIKAT BerAKHLAK")</f>
        <v>7110_DIAN LISTYAWATI S.M. _ SERTIFIKAT BerAKHLAK</v>
      </c>
      <c r="P7111" s="5" t="s">
        <v>45317</v>
      </c>
    </row>
    <row r="7112" hidden="1">
      <c r="A7112" s="4">
        <v>45534.37763672454</v>
      </c>
      <c r="B7112" s="5" t="s">
        <v>19</v>
      </c>
      <c r="C7112" s="5" t="s">
        <v>292</v>
      </c>
      <c r="E7112" s="5" t="s">
        <v>45329</v>
      </c>
      <c r="F7112" s="5" t="s">
        <v>120</v>
      </c>
      <c r="G7112" s="5" t="s">
        <v>45330</v>
      </c>
      <c r="H7112" s="6" t="s">
        <v>45331</v>
      </c>
      <c r="K7112" s="5" t="s">
        <v>45332</v>
      </c>
      <c r="M7112" s="5" t="s">
        <v>45333</v>
      </c>
      <c r="N7112" s="7" t="s">
        <v>45334</v>
      </c>
      <c r="O7112" s="8" t="str">
        <f>HYPERLINK("https://drive.google.com/file/d/18idNa5zdVsde4GKh_mUKQzsMB0sb1xtu/view?usp=drivesdk","7111_SAKURA DEWI, M.Psi _ SERTIFIKAT BerAKHLAK")</f>
        <v>7111_SAKURA DEWI, M.Psi _ SERTIFIKAT BerAKHLAK</v>
      </c>
      <c r="P7112" s="5" t="s">
        <v>45335</v>
      </c>
    </row>
    <row r="7113">
      <c r="A7113" s="4">
        <v>45534.37764049768</v>
      </c>
      <c r="B7113" s="5" t="s">
        <v>34</v>
      </c>
      <c r="D7113" s="5" t="s">
        <v>4775</v>
      </c>
      <c r="E7113" s="5" t="s">
        <v>45336</v>
      </c>
      <c r="F7113" s="5" t="s">
        <v>108</v>
      </c>
      <c r="G7113" s="5" t="s">
        <v>45337</v>
      </c>
      <c r="H7113" s="6" t="s">
        <v>45338</v>
      </c>
      <c r="K7113" s="5" t="s">
        <v>45332</v>
      </c>
      <c r="M7113" s="5" t="s">
        <v>45339</v>
      </c>
      <c r="N7113" s="7" t="s">
        <v>45340</v>
      </c>
      <c r="O7113" s="8" t="str">
        <f>HYPERLINK("https://drive.google.com/file/d/1wdoH_P0-EMBSm1X2D2UMKZ_kbtMf9K76/view?usp=drivesdk","7112_BAMBANG KUNDIARTO, A.Md. _ SERTIFIKAT BerAKHLAK")</f>
        <v>7112_BAMBANG KUNDIARTO, A.Md. _ SERTIFIKAT BerAKHLAK</v>
      </c>
      <c r="P7113" s="5" t="s">
        <v>45335</v>
      </c>
    </row>
    <row r="7114">
      <c r="A7114" s="4">
        <v>45534.37764584491</v>
      </c>
      <c r="B7114" s="5" t="s">
        <v>34</v>
      </c>
      <c r="D7114" s="5" t="s">
        <v>1206</v>
      </c>
      <c r="E7114" s="5" t="s">
        <v>45341</v>
      </c>
      <c r="F7114" s="5" t="s">
        <v>212</v>
      </c>
      <c r="G7114" s="5" t="s">
        <v>45342</v>
      </c>
      <c r="H7114" s="6" t="s">
        <v>45343</v>
      </c>
      <c r="K7114" s="5" t="s">
        <v>45344</v>
      </c>
      <c r="M7114" s="5" t="s">
        <v>45345</v>
      </c>
      <c r="N7114" s="7" t="s">
        <v>45346</v>
      </c>
      <c r="O7114" s="8" t="str">
        <f>HYPERLINK("https://drive.google.com/file/d/1qk4HGjOmNcnEzh2If4kZw_EmzElamYYS/view?usp=drivesdk","7113_IDA SOEHARIJADI _ SERTIFIKAT BerAKHLAK")</f>
        <v>7113_IDA SOEHARIJADI _ SERTIFIKAT BerAKHLAK</v>
      </c>
      <c r="P7114" s="5" t="s">
        <v>45335</v>
      </c>
    </row>
    <row r="7115">
      <c r="A7115" s="4">
        <v>45534.377647905094</v>
      </c>
      <c r="B7115" s="5" t="s">
        <v>34</v>
      </c>
      <c r="D7115" s="5" t="s">
        <v>2903</v>
      </c>
      <c r="E7115" s="5" t="s">
        <v>45347</v>
      </c>
      <c r="F7115" s="5" t="s">
        <v>524</v>
      </c>
      <c r="G7115" s="5" t="s">
        <v>45348</v>
      </c>
      <c r="H7115" s="6" t="s">
        <v>45349</v>
      </c>
      <c r="K7115" s="5" t="s">
        <v>45344</v>
      </c>
      <c r="M7115" s="5" t="s">
        <v>45350</v>
      </c>
      <c r="N7115" s="7" t="s">
        <v>45351</v>
      </c>
      <c r="O7115" s="8" t="str">
        <f>HYPERLINK("https://drive.google.com/file/d/14fO0syqGoFZSNaLQZYboyzmUhIESwB98/view?usp=drivesdk","7114_ROSI DESMORA.A.Md.Farm _ SERTIFIKAT BerAKHLAK")</f>
        <v>7114_ROSI DESMORA.A.Md.Farm _ SERTIFIKAT BerAKHLAK</v>
      </c>
      <c r="P7115" s="5" t="s">
        <v>45335</v>
      </c>
    </row>
    <row r="7116">
      <c r="A7116" s="4">
        <v>45534.37766827546</v>
      </c>
      <c r="B7116" s="5" t="s">
        <v>34</v>
      </c>
      <c r="D7116" s="5" t="s">
        <v>1558</v>
      </c>
      <c r="E7116" s="5" t="s">
        <v>45352</v>
      </c>
      <c r="F7116" s="5" t="s">
        <v>72</v>
      </c>
      <c r="G7116" s="5" t="s">
        <v>45353</v>
      </c>
      <c r="H7116" s="6" t="s">
        <v>45354</v>
      </c>
      <c r="K7116" s="5" t="s">
        <v>45355</v>
      </c>
      <c r="M7116" s="5" t="s">
        <v>45356</v>
      </c>
      <c r="N7116" s="7" t="s">
        <v>45357</v>
      </c>
      <c r="O7116" s="8" t="str">
        <f>HYPERLINK("https://drive.google.com/file/d/1IMtvyvAVg4ZQoehgGKz6dbQYRnhf9Fyq/view?usp=drivesdk","7115_NUNUNG RAHMAWATI _ SERTIFIKAT BerAKHLAK")</f>
        <v>7115_NUNUNG RAHMAWATI _ SERTIFIKAT BerAKHLAK</v>
      </c>
      <c r="P7116" s="5" t="s">
        <v>45358</v>
      </c>
    </row>
    <row r="7117">
      <c r="A7117" s="4">
        <v>45534.37769271991</v>
      </c>
      <c r="B7117" s="5" t="s">
        <v>34</v>
      </c>
      <c r="D7117" s="5" t="s">
        <v>1558</v>
      </c>
      <c r="E7117" s="5" t="s">
        <v>45359</v>
      </c>
      <c r="F7117" s="5" t="s">
        <v>212</v>
      </c>
      <c r="G7117" s="5" t="s">
        <v>45360</v>
      </c>
      <c r="H7117" s="6" t="s">
        <v>45361</v>
      </c>
      <c r="K7117" s="5" t="s">
        <v>45362</v>
      </c>
      <c r="M7117" s="5" t="s">
        <v>45363</v>
      </c>
      <c r="N7117" s="7" t="s">
        <v>45364</v>
      </c>
      <c r="O7117" s="8" t="str">
        <f>HYPERLINK("https://drive.google.com/file/d/127akEmVhQloxaBdQtH6vILQOD4xfZrrC/view?usp=drivesdk","7116_ARIEF TRISNANDAR  _ SERTIFIKAT BerAKHLAK")</f>
        <v>7116_ARIEF TRISNANDAR  _ SERTIFIKAT BerAKHLAK</v>
      </c>
      <c r="P7117" s="5" t="s">
        <v>45358</v>
      </c>
    </row>
    <row r="7118">
      <c r="A7118" s="4">
        <v>45534.37771436342</v>
      </c>
      <c r="B7118" s="5" t="s">
        <v>34</v>
      </c>
      <c r="D7118" s="5" t="s">
        <v>996</v>
      </c>
      <c r="E7118" s="5" t="s">
        <v>45365</v>
      </c>
      <c r="F7118" s="5" t="s">
        <v>72</v>
      </c>
      <c r="G7118" s="5" t="s">
        <v>45366</v>
      </c>
      <c r="H7118" s="6" t="s">
        <v>45367</v>
      </c>
      <c r="K7118" s="5" t="s">
        <v>45362</v>
      </c>
      <c r="M7118" s="5" t="s">
        <v>45368</v>
      </c>
      <c r="N7118" s="7" t="s">
        <v>45369</v>
      </c>
      <c r="O7118" s="8" t="str">
        <f>HYPERLINK("https://drive.google.com/file/d/1CEm0ufdxGRgMRDNiEvsbVRsBE2XFRGuf/view?usp=drivesdk","7117_KARYATI, S. E _ SERTIFIKAT BerAKHLAK")</f>
        <v>7117_KARYATI, S. E _ SERTIFIKAT BerAKHLAK</v>
      </c>
      <c r="P7118" s="5" t="s">
        <v>45358</v>
      </c>
    </row>
    <row r="7119">
      <c r="A7119" s="4">
        <v>45534.37772534722</v>
      </c>
      <c r="B7119" s="5" t="s">
        <v>34</v>
      </c>
      <c r="D7119" s="5" t="s">
        <v>1768</v>
      </c>
      <c r="E7119" s="5" t="s">
        <v>45370</v>
      </c>
      <c r="F7119" s="5" t="s">
        <v>108</v>
      </c>
      <c r="G7119" s="5" t="s">
        <v>45371</v>
      </c>
      <c r="H7119" s="6" t="s">
        <v>45372</v>
      </c>
      <c r="K7119" s="5" t="s">
        <v>45362</v>
      </c>
      <c r="M7119" s="5" t="s">
        <v>45373</v>
      </c>
      <c r="N7119" s="7" t="s">
        <v>45374</v>
      </c>
      <c r="O7119" s="8" t="str">
        <f>HYPERLINK("https://drive.google.com/file/d/1aLF-gLMItzM9zxQYhM_1tWCpEWgrltG1/view?usp=drivesdk","7118_MARTHA RITA PALAYUKAN _ SERTIFIKAT BerAKHLAK")</f>
        <v>7118_MARTHA RITA PALAYUKAN _ SERTIFIKAT BerAKHLAK</v>
      </c>
      <c r="P7119" s="5" t="s">
        <v>45375</v>
      </c>
    </row>
    <row r="7120">
      <c r="A7120" s="4">
        <v>45534.377745439815</v>
      </c>
      <c r="B7120" s="5" t="s">
        <v>34</v>
      </c>
      <c r="D7120" s="5" t="s">
        <v>6232</v>
      </c>
      <c r="E7120" s="5" t="s">
        <v>45376</v>
      </c>
      <c r="F7120" s="5" t="s">
        <v>37</v>
      </c>
      <c r="G7120" s="5" t="s">
        <v>45377</v>
      </c>
      <c r="H7120" s="6" t="s">
        <v>45378</v>
      </c>
      <c r="K7120" s="5" t="s">
        <v>45379</v>
      </c>
      <c r="M7120" s="5" t="s">
        <v>45380</v>
      </c>
      <c r="N7120" s="7" t="s">
        <v>45381</v>
      </c>
      <c r="O7120" s="8" t="str">
        <f>HYPERLINK("https://drive.google.com/file/d/1IkY_wx8BSMaWHE909zVIrf0fgh7AyJXY/view?usp=drivesdk","7119_RATI ATARIA ASDA A. MD. FAR _ SERTIFIKAT BerAKHLAK")</f>
        <v>7119_RATI ATARIA ASDA A. MD. FAR _ SERTIFIKAT BerAKHLAK</v>
      </c>
      <c r="P7120" s="5" t="s">
        <v>45375</v>
      </c>
    </row>
    <row r="7121">
      <c r="A7121" s="4">
        <v>45534.37776373843</v>
      </c>
      <c r="B7121" s="5" t="s">
        <v>34</v>
      </c>
      <c r="D7121" s="5" t="s">
        <v>10444</v>
      </c>
      <c r="E7121" s="5" t="s">
        <v>45382</v>
      </c>
      <c r="F7121" s="5" t="s">
        <v>212</v>
      </c>
      <c r="G7121" s="5" t="s">
        <v>45383</v>
      </c>
      <c r="H7121" s="6" t="s">
        <v>45384</v>
      </c>
      <c r="K7121" s="5" t="s">
        <v>45379</v>
      </c>
      <c r="M7121" s="5" t="s">
        <v>45385</v>
      </c>
      <c r="N7121" s="7" t="s">
        <v>45386</v>
      </c>
      <c r="O7121" s="8" t="str">
        <f>HYPERLINK("https://drive.google.com/file/d/1ALFyKEJpRBD8HwUR0phBO6tIx3gxM8mV/view?usp=drivesdk","7120_ORCHID DAMEI ELMAKARANI _ SERTIFIKAT BerAKHLAK")</f>
        <v>7120_ORCHID DAMEI ELMAKARANI _ SERTIFIKAT BerAKHLAK</v>
      </c>
      <c r="P7121" s="5" t="s">
        <v>45375</v>
      </c>
    </row>
    <row r="7122">
      <c r="A7122" s="4">
        <v>45534.37777024305</v>
      </c>
      <c r="B7122" s="5" t="s">
        <v>34</v>
      </c>
      <c r="D7122" s="5" t="s">
        <v>1206</v>
      </c>
      <c r="E7122" s="5" t="s">
        <v>45387</v>
      </c>
      <c r="F7122" s="5" t="s">
        <v>108</v>
      </c>
      <c r="G7122" s="5" t="s">
        <v>45388</v>
      </c>
      <c r="H7122" s="6" t="s">
        <v>45389</v>
      </c>
      <c r="K7122" s="5" t="s">
        <v>45379</v>
      </c>
      <c r="M7122" s="5" t="s">
        <v>45390</v>
      </c>
      <c r="N7122" s="7" t="s">
        <v>45391</v>
      </c>
      <c r="O7122" s="8" t="str">
        <f>HYPERLINK("https://drive.google.com/file/d/1U1V6WvpyyVu3ah8QFpArVYtX_XRZgu8S/view?usp=drivesdk","7121_Bekti Setyo Rini, S.Kom. _ SERTIFIKAT BerAKHLAK")</f>
        <v>7121_Bekti Setyo Rini, S.Kom. _ SERTIFIKAT BerAKHLAK</v>
      </c>
      <c r="P7122" s="5" t="s">
        <v>45375</v>
      </c>
    </row>
    <row r="7123">
      <c r="A7123" s="4">
        <v>45534.37778866898</v>
      </c>
      <c r="B7123" s="5" t="s">
        <v>34</v>
      </c>
      <c r="D7123" s="5" t="s">
        <v>1692</v>
      </c>
      <c r="E7123" s="5" t="s">
        <v>45392</v>
      </c>
      <c r="F7123" s="5" t="s">
        <v>37</v>
      </c>
      <c r="G7123" s="5" t="s">
        <v>45393</v>
      </c>
      <c r="H7123" s="6" t="s">
        <v>45394</v>
      </c>
      <c r="K7123" s="5" t="s">
        <v>45395</v>
      </c>
      <c r="M7123" s="5" t="s">
        <v>45396</v>
      </c>
      <c r="N7123" s="7" t="s">
        <v>45397</v>
      </c>
      <c r="O7123" s="8" t="str">
        <f>HYPERLINK("https://drive.google.com/file/d/19lS6KV3TR36hmfKH6mxJQP-OnLzOchei/view?usp=drivesdk","7122_LA UMAR LA AGU _ SERTIFIKAT BerAKHLAK")</f>
        <v>7122_LA UMAR LA AGU _ SERTIFIKAT BerAKHLAK</v>
      </c>
      <c r="P7123" s="5" t="s">
        <v>45398</v>
      </c>
    </row>
    <row r="7124">
      <c r="A7124" s="4">
        <v>45534.37778981481</v>
      </c>
      <c r="B7124" s="5" t="s">
        <v>34</v>
      </c>
      <c r="D7124" s="5" t="s">
        <v>14313</v>
      </c>
      <c r="E7124" s="5" t="s">
        <v>45399</v>
      </c>
      <c r="F7124" s="5" t="s">
        <v>72</v>
      </c>
      <c r="G7124" s="5" t="s">
        <v>45400</v>
      </c>
      <c r="H7124" s="6" t="s">
        <v>45401</v>
      </c>
      <c r="K7124" s="5" t="s">
        <v>45395</v>
      </c>
      <c r="M7124" s="5" t="s">
        <v>45402</v>
      </c>
      <c r="N7124" s="7" t="s">
        <v>45403</v>
      </c>
      <c r="O7124" s="8" t="str">
        <f>HYPERLINK("https://drive.google.com/file/d/1HfbFssOzPVUpexsiO-Y2bfzCHxvJUyEM/view?usp=drivesdk","7123_Hj. DAHLIA, SM _ SERTIFIKAT BerAKHLAK")</f>
        <v>7123_Hj. DAHLIA, SM _ SERTIFIKAT BerAKHLAK</v>
      </c>
      <c r="P7124" s="5" t="s">
        <v>45398</v>
      </c>
    </row>
    <row r="7125">
      <c r="A7125" s="4">
        <v>45534.37779042824</v>
      </c>
      <c r="B7125" s="5" t="s">
        <v>34</v>
      </c>
      <c r="D7125" s="5" t="s">
        <v>12010</v>
      </c>
      <c r="E7125" s="5" t="s">
        <v>45404</v>
      </c>
      <c r="F7125" s="5" t="s">
        <v>212</v>
      </c>
      <c r="G7125" s="5" t="s">
        <v>45405</v>
      </c>
      <c r="H7125" s="6" t="s">
        <v>45406</v>
      </c>
      <c r="K7125" s="5" t="s">
        <v>45395</v>
      </c>
      <c r="M7125" s="5" t="s">
        <v>45407</v>
      </c>
      <c r="N7125" s="7" t="s">
        <v>45408</v>
      </c>
      <c r="O7125" s="8" t="str">
        <f>HYPERLINK("https://drive.google.com/file/d/1VRSmu3618V0IOYUAtZ7rKwQvVxhnpAOB/view?usp=drivesdk","7124_SULILAJUSUF  _ SERTIFIKAT BerAKHLAK")</f>
        <v>7124_SULILAJUSUF  _ SERTIFIKAT BerAKHLAK</v>
      </c>
      <c r="P7125" s="5" t="s">
        <v>45398</v>
      </c>
    </row>
    <row r="7126" hidden="1">
      <c r="A7126" s="4">
        <v>45534.377795127315</v>
      </c>
      <c r="B7126" s="5" t="s">
        <v>19</v>
      </c>
      <c r="C7126" s="5" t="s">
        <v>292</v>
      </c>
      <c r="E7126" s="5" t="s">
        <v>45409</v>
      </c>
      <c r="F7126" s="5" t="s">
        <v>120</v>
      </c>
      <c r="G7126" s="5" t="s">
        <v>45410</v>
      </c>
      <c r="H7126" s="6" t="s">
        <v>45411</v>
      </c>
      <c r="K7126" s="5" t="s">
        <v>45395</v>
      </c>
      <c r="M7126" s="5" t="s">
        <v>45412</v>
      </c>
      <c r="N7126" s="7" t="s">
        <v>45413</v>
      </c>
      <c r="O7126" s="8" t="str">
        <f>HYPERLINK("https://drive.google.com/file/d/1LmrA_tAcna5kRziTpSKFcTdLuv8NmB2Z/view?usp=drivesdk","7125_Arny Lusty Epprankty Purba _ SERTIFIKAT BerAKHLAK")</f>
        <v>7125_Arny Lusty Epprankty Purba _ SERTIFIKAT BerAKHLAK</v>
      </c>
      <c r="P7126" s="5" t="s">
        <v>45398</v>
      </c>
    </row>
    <row r="7127">
      <c r="A7127" s="4">
        <v>45534.377796307876</v>
      </c>
      <c r="B7127" s="5" t="s">
        <v>34</v>
      </c>
      <c r="D7127" s="5" t="s">
        <v>35</v>
      </c>
      <c r="E7127" s="5" t="s">
        <v>45414</v>
      </c>
      <c r="F7127" s="5" t="s">
        <v>212</v>
      </c>
      <c r="G7127" s="5" t="s">
        <v>45415</v>
      </c>
      <c r="H7127" s="6" t="s">
        <v>45416</v>
      </c>
      <c r="K7127" s="5" t="s">
        <v>45395</v>
      </c>
      <c r="M7127" s="5" t="s">
        <v>45417</v>
      </c>
      <c r="N7127" s="7" t="s">
        <v>45418</v>
      </c>
      <c r="O7127" s="8" t="str">
        <f>HYPERLINK("https://drive.google.com/file/d/19gbthm_6zRL8JmrICXRQ7In1evNoX9PY/view?usp=drivesdk","7126_BUDI HARTONO _ SERTIFIKAT BerAKHLAK")</f>
        <v>7126_BUDI HARTONO _ SERTIFIKAT BerAKHLAK</v>
      </c>
      <c r="P7127" s="5" t="s">
        <v>45398</v>
      </c>
    </row>
    <row r="7128">
      <c r="A7128" s="4">
        <v>45534.37780954861</v>
      </c>
      <c r="B7128" s="5" t="s">
        <v>34</v>
      </c>
      <c r="D7128" s="5" t="s">
        <v>10444</v>
      </c>
      <c r="E7128" s="5" t="s">
        <v>45419</v>
      </c>
      <c r="F7128" s="5" t="s">
        <v>212</v>
      </c>
      <c r="G7128" s="5" t="s">
        <v>45420</v>
      </c>
      <c r="H7128" s="6" t="s">
        <v>45421</v>
      </c>
      <c r="K7128" s="5" t="s">
        <v>45395</v>
      </c>
      <c r="M7128" s="5" t="s">
        <v>45422</v>
      </c>
      <c r="N7128" s="7" t="s">
        <v>45423</v>
      </c>
      <c r="O7128" s="8" t="str">
        <f>HYPERLINK("https://drive.google.com/file/d/1WFcvggI7mt9o3GtTXOKjr4kg7NEUNWEG/view?usp=drivesdk","7127_MARIA AMISNA _ SERTIFIKAT BerAKHLAK")</f>
        <v>7127_MARIA AMISNA _ SERTIFIKAT BerAKHLAK</v>
      </c>
      <c r="P7128" s="5" t="s">
        <v>45424</v>
      </c>
    </row>
    <row r="7129">
      <c r="A7129" s="4">
        <v>45534.37780677083</v>
      </c>
      <c r="B7129" s="5" t="s">
        <v>34</v>
      </c>
      <c r="D7129" s="5" t="s">
        <v>10297</v>
      </c>
      <c r="E7129" s="5" t="s">
        <v>45425</v>
      </c>
      <c r="F7129" s="5" t="s">
        <v>37</v>
      </c>
      <c r="G7129" s="5" t="s">
        <v>45426</v>
      </c>
      <c r="H7129" s="6" t="s">
        <v>45427</v>
      </c>
      <c r="K7129" s="5" t="s">
        <v>45395</v>
      </c>
      <c r="M7129" s="5" t="s">
        <v>45428</v>
      </c>
      <c r="N7129" s="7" t="s">
        <v>45429</v>
      </c>
      <c r="O7129" s="8" t="str">
        <f>HYPERLINK("https://drive.google.com/file/d/1GUuea18Xr234koLre-l5huk2j9hs1MVW/view?usp=drivesdk","7128_Muhammad Muhtar Patoni, AM.d.Kom _ SERTIFIKAT BerAKHLAK")</f>
        <v>7128_Muhammad Muhtar Patoni, AM.d.Kom _ SERTIFIKAT BerAKHLAK</v>
      </c>
      <c r="P7129" s="5" t="s">
        <v>45424</v>
      </c>
    </row>
    <row r="7130">
      <c r="A7130" s="4">
        <v>45534.377812962965</v>
      </c>
      <c r="B7130" s="5" t="s">
        <v>34</v>
      </c>
      <c r="D7130" s="5" t="s">
        <v>9020</v>
      </c>
      <c r="E7130" s="5" t="s">
        <v>45430</v>
      </c>
      <c r="F7130" s="5" t="s">
        <v>212</v>
      </c>
      <c r="G7130" s="5" t="s">
        <v>45431</v>
      </c>
      <c r="H7130" s="6" t="s">
        <v>45432</v>
      </c>
      <c r="K7130" s="5" t="s">
        <v>45395</v>
      </c>
      <c r="M7130" s="5" t="s">
        <v>45433</v>
      </c>
      <c r="N7130" s="7" t="s">
        <v>45434</v>
      </c>
      <c r="O7130" s="8" t="str">
        <f>HYPERLINK("https://drive.google.com/file/d/1qRCclZ2z0GWr1B16uot92_PADvmU9hjd/view?usp=drivesdk","7129_SURIATI MANURUNG _ SERTIFIKAT BerAKHLAK")</f>
        <v>7129_SURIATI MANURUNG _ SERTIFIKAT BerAKHLAK</v>
      </c>
      <c r="P7130" s="5" t="s">
        <v>45424</v>
      </c>
    </row>
    <row r="7131">
      <c r="A7131" s="4">
        <v>45534.37781482639</v>
      </c>
      <c r="B7131" s="5" t="s">
        <v>34</v>
      </c>
      <c r="D7131" s="5" t="s">
        <v>1206</v>
      </c>
      <c r="E7131" s="5" t="s">
        <v>45435</v>
      </c>
      <c r="F7131" s="5" t="s">
        <v>37</v>
      </c>
      <c r="G7131" s="5" t="s">
        <v>45436</v>
      </c>
      <c r="H7131" s="6" t="s">
        <v>45437</v>
      </c>
      <c r="K7131" s="5" t="s">
        <v>45395</v>
      </c>
      <c r="M7131" s="5" t="s">
        <v>45438</v>
      </c>
      <c r="N7131" s="7" t="s">
        <v>45439</v>
      </c>
      <c r="O7131" s="8" t="str">
        <f>HYPERLINK("https://drive.google.com/file/d/1dh7o48AAK72gI1PU_JBHb7WsFaKVCrKG/view?usp=drivesdk","7130_MUJI SANTOSO _ SERTIFIKAT BerAKHLAK")</f>
        <v>7130_MUJI SANTOSO _ SERTIFIKAT BerAKHLAK</v>
      </c>
      <c r="P7131" s="5" t="s">
        <v>45440</v>
      </c>
    </row>
    <row r="7132">
      <c r="A7132" s="4">
        <v>45534.37783140046</v>
      </c>
      <c r="B7132" s="5" t="s">
        <v>34</v>
      </c>
      <c r="D7132" s="5" t="s">
        <v>15401</v>
      </c>
      <c r="E7132" s="5" t="s">
        <v>45441</v>
      </c>
      <c r="F7132" s="5" t="s">
        <v>524</v>
      </c>
      <c r="G7132" s="5" t="s">
        <v>45442</v>
      </c>
      <c r="H7132" s="6" t="s">
        <v>45443</v>
      </c>
      <c r="K7132" s="5" t="s">
        <v>45444</v>
      </c>
      <c r="M7132" s="5" t="s">
        <v>45445</v>
      </c>
      <c r="N7132" s="7" t="s">
        <v>45446</v>
      </c>
      <c r="O7132" s="8" t="str">
        <f>HYPERLINK("https://drive.google.com/file/d/1H0HRLNmwuBz5kNveRX6UNNvXypYusoWr/view?usp=drivesdk","7131_MUHAMMAD IHSAN, S.Kom. _ SERTIFIKAT BerAKHLAK")</f>
        <v>7131_MUHAMMAD IHSAN, S.Kom. _ SERTIFIKAT BerAKHLAK</v>
      </c>
      <c r="P7132" s="5" t="s">
        <v>45440</v>
      </c>
    </row>
    <row r="7133">
      <c r="A7133" s="4">
        <v>45534.377845625</v>
      </c>
      <c r="B7133" s="5" t="s">
        <v>34</v>
      </c>
      <c r="D7133" s="5" t="s">
        <v>15401</v>
      </c>
      <c r="E7133" s="5" t="s">
        <v>45447</v>
      </c>
      <c r="F7133" s="5" t="s">
        <v>375</v>
      </c>
      <c r="G7133" s="5" t="s">
        <v>45448</v>
      </c>
      <c r="H7133" s="6" t="s">
        <v>45449</v>
      </c>
      <c r="K7133" s="5" t="s">
        <v>45444</v>
      </c>
      <c r="M7133" s="5" t="s">
        <v>45450</v>
      </c>
      <c r="N7133" s="7" t="s">
        <v>45451</v>
      </c>
      <c r="O7133" s="8" t="str">
        <f>HYPERLINK("https://drive.google.com/file/d/12Fcp39CbgS0HeqhKhs1vF7Aop8YmDu2K/view?usp=drivesdk","7132_AGUS FIRDAUS, S.E. _ SERTIFIKAT BerAKHLAK")</f>
        <v>7132_AGUS FIRDAUS, S.E. _ SERTIFIKAT BerAKHLAK</v>
      </c>
      <c r="P7133" s="5" t="s">
        <v>45440</v>
      </c>
    </row>
    <row r="7134" hidden="1">
      <c r="A7134" s="4">
        <v>45534.377849537035</v>
      </c>
      <c r="B7134" s="5" t="s">
        <v>19</v>
      </c>
      <c r="C7134" s="5" t="s">
        <v>292</v>
      </c>
      <c r="E7134" s="5" t="s">
        <v>45452</v>
      </c>
      <c r="F7134" s="5" t="s">
        <v>375</v>
      </c>
      <c r="G7134" s="5" t="s">
        <v>45453</v>
      </c>
      <c r="H7134" s="6" t="s">
        <v>45454</v>
      </c>
      <c r="K7134" s="5" t="s">
        <v>45444</v>
      </c>
      <c r="M7134" s="5" t="s">
        <v>45455</v>
      </c>
      <c r="N7134" s="7" t="s">
        <v>45456</v>
      </c>
      <c r="O7134" s="8" t="str">
        <f>HYPERLINK("https://drive.google.com/file/d/1F4DXGGKbARnePy0B3dow6unXGTfadS3a/view?usp=drivesdk","7133_SOEGMA SEPRIANI, S.S. _ SERTIFIKAT BerAKHLAK")</f>
        <v>7133_SOEGMA SEPRIANI, S.S. _ SERTIFIKAT BerAKHLAK</v>
      </c>
      <c r="P7134" s="5" t="s">
        <v>45440</v>
      </c>
    </row>
    <row r="7135">
      <c r="A7135" s="4">
        <v>45534.377855300925</v>
      </c>
      <c r="B7135" s="5" t="s">
        <v>34</v>
      </c>
      <c r="D7135" s="5" t="s">
        <v>1558</v>
      </c>
      <c r="E7135" s="5" t="s">
        <v>45457</v>
      </c>
      <c r="F7135" s="5" t="s">
        <v>37</v>
      </c>
      <c r="G7135" s="5" t="s">
        <v>45458</v>
      </c>
      <c r="H7135" s="6" t="s">
        <v>45459</v>
      </c>
      <c r="K7135" s="5" t="s">
        <v>45444</v>
      </c>
      <c r="M7135" s="5" t="s">
        <v>45460</v>
      </c>
      <c r="N7135" s="7" t="s">
        <v>45461</v>
      </c>
      <c r="O7135" s="8" t="str">
        <f>HYPERLINK("https://drive.google.com/file/d/1Uqra4lAY9OBcikoXPpi-HkzXeGO943V0/view?usp=drivesdk","7134_SUKIRNO _ SERTIFIKAT BerAKHLAK")</f>
        <v>7134_SUKIRNO _ SERTIFIKAT BerAKHLAK</v>
      </c>
      <c r="P7135" s="5" t="s">
        <v>45440</v>
      </c>
    </row>
    <row r="7136">
      <c r="A7136" s="4">
        <v>45534.37786890046</v>
      </c>
      <c r="B7136" s="5" t="s">
        <v>34</v>
      </c>
      <c r="D7136" s="5" t="s">
        <v>996</v>
      </c>
      <c r="E7136" s="5" t="s">
        <v>45462</v>
      </c>
      <c r="F7136" s="5" t="s">
        <v>212</v>
      </c>
      <c r="G7136" s="5" t="s">
        <v>45463</v>
      </c>
      <c r="H7136" s="6" t="s">
        <v>45464</v>
      </c>
      <c r="K7136" s="5" t="s">
        <v>45444</v>
      </c>
      <c r="M7136" s="5" t="s">
        <v>45465</v>
      </c>
      <c r="N7136" s="7" t="s">
        <v>45466</v>
      </c>
      <c r="O7136" s="8" t="str">
        <f>HYPERLINK("https://drive.google.com/file/d/16s4W-UPFQb86qEUbEAyh-S-dzfuHK4eK/view?usp=drivesdk","7135_RATU ELYASABETH, S.E. _ SERTIFIKAT BerAKHLAK")</f>
        <v>7135_RATU ELYASABETH, S.E. _ SERTIFIKAT BerAKHLAK</v>
      </c>
      <c r="P7136" s="5" t="s">
        <v>45467</v>
      </c>
    </row>
    <row r="7137">
      <c r="A7137" s="4">
        <v>45534.37787216435</v>
      </c>
      <c r="B7137" s="5" t="s">
        <v>34</v>
      </c>
      <c r="D7137" s="5" t="s">
        <v>7858</v>
      </c>
      <c r="E7137" s="5" t="s">
        <v>45468</v>
      </c>
      <c r="F7137" s="5" t="s">
        <v>72</v>
      </c>
      <c r="G7137" s="5" t="s">
        <v>45469</v>
      </c>
      <c r="H7137" s="6" t="s">
        <v>45470</v>
      </c>
      <c r="K7137" s="5" t="s">
        <v>45444</v>
      </c>
      <c r="M7137" s="5" t="s">
        <v>45471</v>
      </c>
      <c r="N7137" s="7" t="s">
        <v>45472</v>
      </c>
      <c r="O7137" s="8" t="str">
        <f>HYPERLINK("https://drive.google.com/file/d/1JLrE0gtRQZqoy9_tuC73ufIvyEtRF5PV/view?usp=drivesdk","7136_LILI LATIFAH, SKM _ SERTIFIKAT BerAKHLAK")</f>
        <v>7136_LILI LATIFAH, SKM _ SERTIFIKAT BerAKHLAK</v>
      </c>
      <c r="P7137" s="5" t="s">
        <v>45467</v>
      </c>
    </row>
    <row r="7138">
      <c r="A7138" s="4">
        <v>45534.37787350694</v>
      </c>
      <c r="B7138" s="5" t="s">
        <v>34</v>
      </c>
      <c r="D7138" s="5" t="s">
        <v>1206</v>
      </c>
      <c r="E7138" s="5" t="s">
        <v>45473</v>
      </c>
      <c r="F7138" s="5" t="s">
        <v>199</v>
      </c>
      <c r="G7138" s="5" t="s">
        <v>45474</v>
      </c>
      <c r="H7138" s="6" t="s">
        <v>45475</v>
      </c>
      <c r="K7138" s="5" t="s">
        <v>45444</v>
      </c>
      <c r="M7138" s="5" t="s">
        <v>45476</v>
      </c>
      <c r="N7138" s="7" t="s">
        <v>45477</v>
      </c>
      <c r="O7138" s="8" t="str">
        <f>HYPERLINK("https://drive.google.com/file/d/1IuJAfVtlaKIKJozjY2RQZqUcOMhrpZJe/view?usp=drivesdk","7137_HERMAWAN _ SERTIFIKAT BerAKHLAK")</f>
        <v>7137_HERMAWAN _ SERTIFIKAT BerAKHLAK</v>
      </c>
      <c r="P7138" s="5" t="s">
        <v>45467</v>
      </c>
    </row>
    <row r="7139">
      <c r="A7139" s="4">
        <v>45534.37789113426</v>
      </c>
      <c r="B7139" s="5" t="s">
        <v>34</v>
      </c>
      <c r="D7139" s="5" t="s">
        <v>1558</v>
      </c>
      <c r="E7139" s="5" t="s">
        <v>45478</v>
      </c>
      <c r="F7139" s="5" t="s">
        <v>37</v>
      </c>
      <c r="G7139" s="5" t="s">
        <v>45479</v>
      </c>
      <c r="H7139" s="6" t="s">
        <v>45480</v>
      </c>
      <c r="K7139" s="5" t="s">
        <v>45481</v>
      </c>
      <c r="M7139" s="5" t="s">
        <v>45482</v>
      </c>
      <c r="N7139" s="7" t="s">
        <v>45483</v>
      </c>
      <c r="O7139" s="8" t="str">
        <f>HYPERLINK("https://drive.google.com/file/d/19oZeiQsfE5N7bNNF9hhq_5fpYb0MOgm7/view?usp=drivesdk","7138_DEWI SUKMANI BUDI ASTUTI _ SERTIFIKAT BerAKHLAK")</f>
        <v>7138_DEWI SUKMANI BUDI ASTUTI _ SERTIFIKAT BerAKHLAK</v>
      </c>
      <c r="P7139" s="5" t="s">
        <v>45484</v>
      </c>
    </row>
    <row r="7140">
      <c r="A7140" s="4">
        <v>45534.37790670139</v>
      </c>
      <c r="B7140" s="5" t="s">
        <v>34</v>
      </c>
      <c r="D7140" s="5" t="s">
        <v>4775</v>
      </c>
      <c r="E7140" s="5" t="s">
        <v>33285</v>
      </c>
      <c r="F7140" s="5" t="s">
        <v>37</v>
      </c>
      <c r="G7140" s="5" t="s">
        <v>45485</v>
      </c>
      <c r="H7140" s="6" t="s">
        <v>45486</v>
      </c>
      <c r="K7140" s="5" t="s">
        <v>45481</v>
      </c>
      <c r="M7140" s="5" t="s">
        <v>45487</v>
      </c>
      <c r="N7140" s="7" t="s">
        <v>45488</v>
      </c>
      <c r="O7140" s="8" t="str">
        <f>HYPERLINK("https://drive.google.com/file/d/1nXYi8he34_bJCPGjICmyjrBJELB00KEL/view?usp=drivesdk","7139_AGUS SUSILO _ SERTIFIKAT BerAKHLAK")</f>
        <v>7139_AGUS SUSILO _ SERTIFIKAT BerAKHLAK</v>
      </c>
      <c r="P7140" s="5" t="s">
        <v>45484</v>
      </c>
    </row>
    <row r="7141">
      <c r="A7141" s="4">
        <v>45534.37790658565</v>
      </c>
      <c r="B7141" s="5" t="s">
        <v>34</v>
      </c>
      <c r="D7141" s="5" t="s">
        <v>4775</v>
      </c>
      <c r="E7141" s="5" t="s">
        <v>45489</v>
      </c>
      <c r="F7141" s="5" t="s">
        <v>37</v>
      </c>
      <c r="G7141" s="5" t="s">
        <v>45490</v>
      </c>
      <c r="H7141" s="6" t="s">
        <v>45491</v>
      </c>
      <c r="K7141" s="5" t="s">
        <v>45481</v>
      </c>
      <c r="M7141" s="5" t="s">
        <v>45492</v>
      </c>
      <c r="N7141" s="7" t="s">
        <v>45493</v>
      </c>
      <c r="O7141" s="8" t="str">
        <f>HYPERLINK("https://drive.google.com/file/d/1SYgTlU-3jUarGk8M7yKF_fYFx93B6b5e/view?usp=drivesdk","7140_DWI UNTORO  _ SERTIFIKAT BerAKHLAK")</f>
        <v>7140_DWI UNTORO  _ SERTIFIKAT BerAKHLAK</v>
      </c>
      <c r="P7141" s="5" t="s">
        <v>45484</v>
      </c>
    </row>
    <row r="7142">
      <c r="A7142" s="4">
        <v>45534.37793837963</v>
      </c>
      <c r="B7142" s="5" t="s">
        <v>34</v>
      </c>
      <c r="D7142" s="5" t="s">
        <v>9020</v>
      </c>
      <c r="E7142" s="5" t="s">
        <v>45494</v>
      </c>
      <c r="F7142" s="5" t="s">
        <v>524</v>
      </c>
      <c r="G7142" s="5" t="s">
        <v>45495</v>
      </c>
      <c r="H7142" s="6" t="s">
        <v>45496</v>
      </c>
      <c r="K7142" s="5" t="s">
        <v>45481</v>
      </c>
      <c r="M7142" s="5" t="s">
        <v>45497</v>
      </c>
      <c r="N7142" s="7" t="s">
        <v>45498</v>
      </c>
      <c r="O7142" s="8" t="str">
        <f>HYPERLINK("https://drive.google.com/file/d/1tn-CzJWUM7D95dj8SSkVrukGLdjCBBcO/view?usp=drivesdk","7141_TRI AGUSTINASH _ SERTIFIKAT BerAKHLAK")</f>
        <v>7141_TRI AGUSTINASH _ SERTIFIKAT BerAKHLAK</v>
      </c>
      <c r="P7142" s="5" t="s">
        <v>45484</v>
      </c>
    </row>
    <row r="7143">
      <c r="A7143" s="4">
        <v>45534.37794752315</v>
      </c>
      <c r="B7143" s="5" t="s">
        <v>34</v>
      </c>
      <c r="D7143" s="5" t="s">
        <v>9020</v>
      </c>
      <c r="E7143" s="5" t="s">
        <v>45499</v>
      </c>
      <c r="F7143" s="5" t="s">
        <v>37</v>
      </c>
      <c r="G7143" s="5" t="s">
        <v>45500</v>
      </c>
      <c r="H7143" s="6" t="s">
        <v>45501</v>
      </c>
      <c r="K7143" s="5" t="s">
        <v>45481</v>
      </c>
      <c r="M7143" s="5" t="s">
        <v>45502</v>
      </c>
      <c r="N7143" s="7" t="s">
        <v>45503</v>
      </c>
      <c r="O7143" s="8" t="str">
        <f>HYPERLINK("https://drive.google.com/file/d/1q5OiFh7n-jwL0vNDrLd_lmbESKEKixfq/view?usp=drivesdk","7142_Dorkas Rismaya Handayani Siagian, Amd  _ SERTIFIKAT BerAKHLAK")</f>
        <v>7142_Dorkas Rismaya Handayani Siagian, Amd  _ SERTIFIKAT BerAKHLAK</v>
      </c>
      <c r="P7143" s="5" t="s">
        <v>45484</v>
      </c>
    </row>
    <row r="7144" hidden="1">
      <c r="A7144" s="4">
        <v>45534.377965231484</v>
      </c>
      <c r="B7144" s="5" t="s">
        <v>19</v>
      </c>
      <c r="C7144" s="5" t="s">
        <v>292</v>
      </c>
      <c r="E7144" s="5" t="s">
        <v>45504</v>
      </c>
      <c r="F7144" s="5" t="s">
        <v>120</v>
      </c>
      <c r="G7144" s="5" t="s">
        <v>45505</v>
      </c>
      <c r="H7144" s="6" t="s">
        <v>45506</v>
      </c>
      <c r="K7144" s="5" t="s">
        <v>45481</v>
      </c>
      <c r="M7144" s="5" t="s">
        <v>45507</v>
      </c>
      <c r="N7144" s="7" t="s">
        <v>45508</v>
      </c>
      <c r="O7144" s="8" t="str">
        <f>HYPERLINK("https://drive.google.com/file/d/1OIyOQxSI0Uj3uif7FEnqVEIRtQhy5mXo/view?usp=drivesdk","7143_NIKEN HAPSARI,SS _ SERTIFIKAT BerAKHLAK")</f>
        <v>7143_NIKEN HAPSARI,SS _ SERTIFIKAT BerAKHLAK</v>
      </c>
      <c r="P7144" s="5" t="s">
        <v>45509</v>
      </c>
    </row>
    <row r="7145" hidden="1">
      <c r="A7145" s="4">
        <v>45534.377968009256</v>
      </c>
      <c r="B7145" s="5" t="s">
        <v>19</v>
      </c>
      <c r="C7145" s="5" t="s">
        <v>26187</v>
      </c>
      <c r="E7145" s="5" t="s">
        <v>45510</v>
      </c>
      <c r="F7145" s="5" t="s">
        <v>120</v>
      </c>
      <c r="G7145" s="5" t="s">
        <v>45511</v>
      </c>
      <c r="H7145" s="6" t="s">
        <v>45512</v>
      </c>
      <c r="K7145" s="5" t="s">
        <v>45481</v>
      </c>
      <c r="M7145" s="5" t="s">
        <v>45513</v>
      </c>
      <c r="N7145" s="7" t="s">
        <v>45514</v>
      </c>
      <c r="O7145" s="8" t="str">
        <f>HYPERLINK("https://drive.google.com/file/d/1v7D4mXPedcJ3wJ24o9mT-Hfp-yFwrKk4/view?usp=drivesdk","7144_REJO SUKINO _ SERTIFIKAT BerAKHLAK")</f>
        <v>7144_REJO SUKINO _ SERTIFIKAT BerAKHLAK</v>
      </c>
      <c r="P7145" s="5" t="s">
        <v>45509</v>
      </c>
    </row>
    <row r="7146">
      <c r="A7146" s="4">
        <v>45534.37797123843</v>
      </c>
      <c r="B7146" s="5" t="s">
        <v>34</v>
      </c>
      <c r="D7146" s="5" t="s">
        <v>3432</v>
      </c>
      <c r="E7146" s="5" t="s">
        <v>45515</v>
      </c>
      <c r="F7146" s="5" t="s">
        <v>212</v>
      </c>
      <c r="G7146" s="5" t="s">
        <v>45516</v>
      </c>
      <c r="H7146" s="6" t="s">
        <v>45517</v>
      </c>
      <c r="K7146" s="5" t="s">
        <v>45481</v>
      </c>
      <c r="M7146" s="5" t="s">
        <v>45518</v>
      </c>
      <c r="N7146" s="7" t="s">
        <v>45519</v>
      </c>
      <c r="O7146" s="8" t="str">
        <f>HYPERLINK("https://drive.google.com/file/d/1gC713q69lZGq0qgCSme_JJpX2uNDFDCk/view?usp=drivesdk","7145_MAYA FEBRIANI, A.Md.Kep _ SERTIFIKAT BerAKHLAK")</f>
        <v>7145_MAYA FEBRIANI, A.Md.Kep _ SERTIFIKAT BerAKHLAK</v>
      </c>
      <c r="P7146" s="5" t="s">
        <v>45509</v>
      </c>
    </row>
    <row r="7147" hidden="1">
      <c r="A7147" s="4">
        <v>45534.37798505787</v>
      </c>
      <c r="B7147" s="5" t="s">
        <v>19</v>
      </c>
      <c r="C7147" s="5" t="s">
        <v>292</v>
      </c>
      <c r="E7147" s="5" t="s">
        <v>45520</v>
      </c>
      <c r="F7147" s="5" t="s">
        <v>120</v>
      </c>
      <c r="G7147" s="5" t="s">
        <v>45521</v>
      </c>
      <c r="H7147" s="6" t="s">
        <v>45522</v>
      </c>
      <c r="K7147" s="5" t="s">
        <v>45481</v>
      </c>
      <c r="M7147" s="5" t="s">
        <v>45523</v>
      </c>
      <c r="N7147" s="7" t="s">
        <v>45524</v>
      </c>
      <c r="O7147" s="8" t="str">
        <f>HYPERLINK("https://drive.google.com/file/d/1h4n6kM7uWExCcJm5wFc6CUXr3xgV0GNJ/view?usp=drivesdk","7146_SAIFUL ANWAR _ SERTIFIKAT BerAKHLAK")</f>
        <v>7146_SAIFUL ANWAR _ SERTIFIKAT BerAKHLAK</v>
      </c>
      <c r="P7147" s="5" t="s">
        <v>45509</v>
      </c>
    </row>
    <row r="7148">
      <c r="A7148" s="4">
        <v>45534.37800935185</v>
      </c>
      <c r="B7148" s="5" t="s">
        <v>34</v>
      </c>
      <c r="D7148" s="5" t="s">
        <v>15401</v>
      </c>
      <c r="E7148" s="5" t="s">
        <v>45525</v>
      </c>
      <c r="F7148" s="5" t="s">
        <v>212</v>
      </c>
      <c r="G7148" s="5" t="s">
        <v>45526</v>
      </c>
      <c r="H7148" s="6" t="s">
        <v>45527</v>
      </c>
      <c r="K7148" s="5" t="s">
        <v>45481</v>
      </c>
      <c r="M7148" s="5" t="s">
        <v>45528</v>
      </c>
      <c r="N7148" s="7" t="s">
        <v>45529</v>
      </c>
      <c r="O7148" s="8" t="str">
        <f>HYPERLINK("https://drive.google.com/file/d/1rNacaVltc8Henu_GMW1VSmY9NuUvr6L4/view?usp=drivesdk","7147_UMMUL KHAERAH  _ SERTIFIKAT BerAKHLAK")</f>
        <v>7147_UMMUL KHAERAH  _ SERTIFIKAT BerAKHLAK</v>
      </c>
      <c r="P7148" s="5" t="s">
        <v>45530</v>
      </c>
    </row>
    <row r="7149">
      <c r="A7149" s="4">
        <v>45534.378011423614</v>
      </c>
      <c r="B7149" s="5" t="s">
        <v>34</v>
      </c>
      <c r="D7149" s="5" t="s">
        <v>6232</v>
      </c>
      <c r="E7149" s="5" t="s">
        <v>45531</v>
      </c>
      <c r="F7149" s="5" t="s">
        <v>72</v>
      </c>
      <c r="G7149" s="5" t="s">
        <v>45532</v>
      </c>
      <c r="H7149" s="6" t="s">
        <v>45533</v>
      </c>
      <c r="K7149" s="5" t="s">
        <v>45481</v>
      </c>
      <c r="M7149" s="5" t="s">
        <v>45534</v>
      </c>
      <c r="N7149" s="7" t="s">
        <v>45535</v>
      </c>
      <c r="O7149" s="8" t="str">
        <f>HYPERLINK("https://drive.google.com/file/d/16-fCmarsYIe5fDhHslUW6743IUgdIZdv/view?usp=drivesdk","7148_SUMARNI SE _ SERTIFIKAT BerAKHLAK")</f>
        <v>7148_SUMARNI SE _ SERTIFIKAT BerAKHLAK</v>
      </c>
      <c r="P7149" s="5" t="s">
        <v>45530</v>
      </c>
    </row>
    <row r="7150">
      <c r="A7150" s="4">
        <v>45534.37802341435</v>
      </c>
      <c r="B7150" s="5" t="s">
        <v>34</v>
      </c>
      <c r="D7150" s="5" t="s">
        <v>1206</v>
      </c>
      <c r="E7150" s="5" t="s">
        <v>45536</v>
      </c>
      <c r="F7150" s="5" t="s">
        <v>37</v>
      </c>
      <c r="G7150" s="5" t="s">
        <v>45537</v>
      </c>
      <c r="H7150" s="6" t="s">
        <v>45538</v>
      </c>
      <c r="K7150" s="5" t="s">
        <v>45539</v>
      </c>
      <c r="M7150" s="5" t="s">
        <v>45540</v>
      </c>
      <c r="N7150" s="7" t="s">
        <v>45541</v>
      </c>
      <c r="O7150" s="8" t="str">
        <f>HYPERLINK("https://drive.google.com/file/d/1dqtAMz2Gc4aSapwTCdrGe1t4i-ZIdczX/view?usp=drivesdk","7149_SUPAAT, S.Pd _ SERTIFIKAT BerAKHLAK")</f>
        <v>7149_SUPAAT, S.Pd _ SERTIFIKAT BerAKHLAK</v>
      </c>
      <c r="P7150" s="5" t="s">
        <v>45530</v>
      </c>
    </row>
    <row r="7151">
      <c r="A7151" s="4">
        <v>45534.37803019676</v>
      </c>
      <c r="B7151" s="5" t="s">
        <v>34</v>
      </c>
      <c r="D7151" s="5" t="s">
        <v>4775</v>
      </c>
      <c r="E7151" s="5" t="s">
        <v>45542</v>
      </c>
      <c r="F7151" s="5" t="s">
        <v>37</v>
      </c>
      <c r="G7151" s="5" t="s">
        <v>45543</v>
      </c>
      <c r="H7151" s="6" t="s">
        <v>45544</v>
      </c>
      <c r="K7151" s="5" t="s">
        <v>45539</v>
      </c>
      <c r="M7151" s="5" t="s">
        <v>45545</v>
      </c>
      <c r="N7151" s="7" t="s">
        <v>45546</v>
      </c>
      <c r="O7151" s="8" t="str">
        <f>HYPERLINK("https://drive.google.com/file/d/1cb9AU9-AX89HDG2l_OefNoovgGpcQ4pl/view?usp=drivesdk","7150_ISMAIL BASUKI _ SERTIFIKAT BerAKHLAK")</f>
        <v>7150_ISMAIL BASUKI _ SERTIFIKAT BerAKHLAK</v>
      </c>
      <c r="P7151" s="5" t="s">
        <v>45530</v>
      </c>
    </row>
    <row r="7152">
      <c r="A7152" s="4">
        <v>45534.37805479167</v>
      </c>
      <c r="B7152" s="5" t="s">
        <v>34</v>
      </c>
      <c r="D7152" s="5" t="s">
        <v>4775</v>
      </c>
      <c r="E7152" s="5" t="s">
        <v>45547</v>
      </c>
      <c r="F7152" s="5" t="s">
        <v>212</v>
      </c>
      <c r="G7152" s="5" t="s">
        <v>45548</v>
      </c>
      <c r="H7152" s="6" t="s">
        <v>45549</v>
      </c>
      <c r="K7152" s="5" t="s">
        <v>45550</v>
      </c>
      <c r="M7152" s="5" t="s">
        <v>45551</v>
      </c>
      <c r="N7152" s="7" t="s">
        <v>45552</v>
      </c>
      <c r="O7152" s="8" t="str">
        <f>HYPERLINK("https://drive.google.com/file/d/1S5Mx92AdipTlY3RcX06oSXLhyvHBAwOt/view?usp=drivesdk","7151_SOEMARSONO _ SERTIFIKAT BerAKHLAK")</f>
        <v>7151_SOEMARSONO _ SERTIFIKAT BerAKHLAK</v>
      </c>
      <c r="P7152" s="5" t="s">
        <v>45553</v>
      </c>
    </row>
    <row r="7153">
      <c r="A7153" s="4">
        <v>45534.37810809028</v>
      </c>
      <c r="B7153" s="5" t="s">
        <v>34</v>
      </c>
      <c r="D7153" s="5" t="s">
        <v>1558</v>
      </c>
      <c r="E7153" s="5" t="s">
        <v>45554</v>
      </c>
      <c r="F7153" s="5" t="s">
        <v>72</v>
      </c>
      <c r="G7153" s="5" t="s">
        <v>45555</v>
      </c>
      <c r="H7153" s="6" t="s">
        <v>45556</v>
      </c>
      <c r="K7153" s="5" t="s">
        <v>45557</v>
      </c>
      <c r="M7153" s="5" t="s">
        <v>45558</v>
      </c>
      <c r="N7153" s="7" t="s">
        <v>45559</v>
      </c>
      <c r="O7153" s="8" t="str">
        <f>HYPERLINK("https://drive.google.com/file/d/1HrPgcG3dnkXspojFqUwLeTjyPfBdGIem/view?usp=drivesdk","7152_KRISMA SATITI MURTIE _ SERTIFIKAT BerAKHLAK")</f>
        <v>7152_KRISMA SATITI MURTIE _ SERTIFIKAT BerAKHLAK</v>
      </c>
      <c r="P7153" s="5" t="s">
        <v>45553</v>
      </c>
    </row>
    <row r="7154">
      <c r="A7154" s="4">
        <v>45534.37813085648</v>
      </c>
      <c r="B7154" s="5" t="s">
        <v>34</v>
      </c>
      <c r="D7154" s="5" t="s">
        <v>522</v>
      </c>
      <c r="E7154" s="5" t="s">
        <v>45560</v>
      </c>
      <c r="F7154" s="5" t="s">
        <v>5859</v>
      </c>
      <c r="G7154" s="5" t="s">
        <v>45561</v>
      </c>
      <c r="H7154" s="6" t="s">
        <v>45562</v>
      </c>
      <c r="K7154" s="5" t="s">
        <v>45563</v>
      </c>
      <c r="M7154" s="5" t="s">
        <v>45564</v>
      </c>
      <c r="N7154" s="7" t="s">
        <v>45565</v>
      </c>
      <c r="O7154" s="8" t="str">
        <f>HYPERLINK("https://drive.google.com/file/d/1X-Ni_vHi4xq4TQ7MhMXF1yvJXdorq07j/view?usp=drivesdk","7153_NAPSIYAH _ SERTIFIKAT BerAKHLAK")</f>
        <v>7153_NAPSIYAH _ SERTIFIKAT BerAKHLAK</v>
      </c>
      <c r="P7154" s="5" t="s">
        <v>45566</v>
      </c>
    </row>
    <row r="7155">
      <c r="A7155" s="4">
        <v>45534.3781491088</v>
      </c>
      <c r="B7155" s="5" t="s">
        <v>34</v>
      </c>
      <c r="D7155" s="5" t="s">
        <v>14313</v>
      </c>
      <c r="E7155" s="5" t="s">
        <v>45567</v>
      </c>
      <c r="F7155" s="5" t="s">
        <v>120</v>
      </c>
      <c r="G7155" s="5" t="s">
        <v>45568</v>
      </c>
      <c r="H7155" s="6" t="s">
        <v>45569</v>
      </c>
      <c r="K7155" s="5" t="s">
        <v>45570</v>
      </c>
      <c r="M7155" s="5" t="s">
        <v>45571</v>
      </c>
      <c r="N7155" s="7" t="s">
        <v>45572</v>
      </c>
      <c r="O7155" s="8" t="str">
        <f>HYPERLINK("https://drive.google.com/file/d/1fXTKxcUEuq_9fhXZSWWD9Sd98usgvRbY/view?usp=drivesdk","7154_ASBAR, S.Ag _ SERTIFIKAT BerAKHLAK")</f>
        <v>7154_ASBAR, S.Ag _ SERTIFIKAT BerAKHLAK</v>
      </c>
      <c r="P7155" s="5" t="s">
        <v>45566</v>
      </c>
    </row>
    <row r="7156">
      <c r="A7156" s="4">
        <v>45534.37819861111</v>
      </c>
      <c r="B7156" s="5" t="s">
        <v>34</v>
      </c>
      <c r="D7156" s="5" t="s">
        <v>1558</v>
      </c>
      <c r="E7156" s="5" t="s">
        <v>45573</v>
      </c>
      <c r="F7156" s="5" t="s">
        <v>212</v>
      </c>
      <c r="G7156" s="5" t="s">
        <v>45574</v>
      </c>
      <c r="H7156" s="6" t="s">
        <v>45575</v>
      </c>
      <c r="K7156" s="5" t="s">
        <v>45576</v>
      </c>
      <c r="M7156" s="5" t="s">
        <v>45577</v>
      </c>
      <c r="N7156" s="7" t="s">
        <v>45578</v>
      </c>
      <c r="O7156" s="8" t="str">
        <f>HYPERLINK("https://drive.google.com/file/d/19EW5H3mH2vxY_93Gmgtz9Ass0vhejjZ6/view?usp=drivesdk","7155_IDA SUKAESIH _ SERTIFIKAT BerAKHLAK")</f>
        <v>7155_IDA SUKAESIH _ SERTIFIKAT BerAKHLAK</v>
      </c>
      <c r="P7156" s="5" t="s">
        <v>45566</v>
      </c>
    </row>
    <row r="7157">
      <c r="A7157" s="4">
        <v>45534.37820057871</v>
      </c>
      <c r="B7157" s="5" t="s">
        <v>34</v>
      </c>
      <c r="D7157" s="5" t="s">
        <v>4775</v>
      </c>
      <c r="E7157" s="5" t="s">
        <v>45579</v>
      </c>
      <c r="F7157" s="5" t="s">
        <v>375</v>
      </c>
      <c r="G7157" s="5" t="s">
        <v>45580</v>
      </c>
      <c r="H7157" s="6" t="s">
        <v>45581</v>
      </c>
      <c r="K7157" s="5" t="s">
        <v>45576</v>
      </c>
      <c r="M7157" s="5" t="s">
        <v>45582</v>
      </c>
      <c r="N7157" s="7" t="s">
        <v>45583</v>
      </c>
      <c r="O7157" s="8" t="str">
        <f>HYPERLINK("https://drive.google.com/file/d/1E0uql0LbCDweE7fXjH6vtoorTX7cqSNr/view?usp=drivesdk","7156_TRI SUSWIYATI, S.E. _ SERTIFIKAT BerAKHLAK")</f>
        <v>7156_TRI SUSWIYATI, S.E. _ SERTIFIKAT BerAKHLAK</v>
      </c>
      <c r="P7157" s="5" t="s">
        <v>45584</v>
      </c>
    </row>
    <row r="7158">
      <c r="A7158" s="4">
        <v>45534.378232256946</v>
      </c>
      <c r="B7158" s="5" t="s">
        <v>34</v>
      </c>
      <c r="D7158" s="5" t="s">
        <v>7858</v>
      </c>
      <c r="E7158" s="5" t="s">
        <v>45585</v>
      </c>
      <c r="F7158" s="5" t="s">
        <v>37</v>
      </c>
      <c r="G7158" s="5" t="s">
        <v>45586</v>
      </c>
      <c r="H7158" s="6" t="s">
        <v>45587</v>
      </c>
      <c r="K7158" s="5" t="s">
        <v>45588</v>
      </c>
      <c r="M7158" s="5" t="s">
        <v>45589</v>
      </c>
      <c r="N7158" s="7" t="s">
        <v>45590</v>
      </c>
      <c r="O7158" s="8" t="str">
        <f>HYPERLINK("https://drive.google.com/file/d/14wynl0ary_-JGb2_9iAuRCFo3R_-MY9Q/view?usp=drivesdk","7157_IRVAN ARIF, S.E. _ SERTIFIKAT BerAKHLAK")</f>
        <v>7157_IRVAN ARIF, S.E. _ SERTIFIKAT BerAKHLAK</v>
      </c>
      <c r="P7158" s="5" t="s">
        <v>45584</v>
      </c>
    </row>
    <row r="7159">
      <c r="A7159" s="4">
        <v>45534.378254247684</v>
      </c>
      <c r="B7159" s="5" t="s">
        <v>34</v>
      </c>
      <c r="D7159" s="5" t="s">
        <v>1768</v>
      </c>
      <c r="E7159" s="5" t="s">
        <v>45591</v>
      </c>
      <c r="F7159" s="5" t="s">
        <v>72</v>
      </c>
      <c r="G7159" s="5" t="s">
        <v>45592</v>
      </c>
      <c r="H7159" s="6" t="s">
        <v>45593</v>
      </c>
      <c r="K7159" s="5" t="s">
        <v>45594</v>
      </c>
      <c r="M7159" s="5" t="s">
        <v>45595</v>
      </c>
      <c r="N7159" s="7" t="s">
        <v>45596</v>
      </c>
      <c r="O7159" s="8" t="str">
        <f>HYPERLINK("https://drive.google.com/file/d/14k2rlWCP9ly1ArBcrl8-jbEr6ywThdPx/view?usp=drivesdk","7158_DIAN SUPRIHARTINI _ SERTIFIKAT BerAKHLAK")</f>
        <v>7158_DIAN SUPRIHARTINI _ SERTIFIKAT BerAKHLAK</v>
      </c>
      <c r="P7159" s="5" t="s">
        <v>45584</v>
      </c>
    </row>
    <row r="7160">
      <c r="A7160" s="4">
        <v>45534.37826686342</v>
      </c>
      <c r="B7160" s="5" t="s">
        <v>34</v>
      </c>
      <c r="D7160" s="5" t="s">
        <v>1692</v>
      </c>
      <c r="E7160" s="5" t="s">
        <v>45597</v>
      </c>
      <c r="F7160" s="5" t="s">
        <v>5566</v>
      </c>
      <c r="G7160" s="5" t="s">
        <v>45598</v>
      </c>
      <c r="H7160" s="6" t="s">
        <v>45599</v>
      </c>
      <c r="K7160" s="5" t="s">
        <v>45594</v>
      </c>
      <c r="M7160" s="5" t="s">
        <v>45600</v>
      </c>
      <c r="N7160" s="7" t="s">
        <v>45601</v>
      </c>
      <c r="O7160" s="8" t="str">
        <f>HYPERLINK("https://drive.google.com/file/d/1rWDFemQ_HQLXlGjjyEr4nuzFeNyhA-60/view?usp=drivesdk","7159_AGES KUSUMA WARDANA _ SERTIFIKAT BerAKHLAK")</f>
        <v>7159_AGES KUSUMA WARDANA _ SERTIFIKAT BerAKHLAK</v>
      </c>
      <c r="P7160" s="5" t="s">
        <v>45584</v>
      </c>
    </row>
    <row r="7161">
      <c r="A7161" s="4">
        <v>45534.378269548615</v>
      </c>
      <c r="B7161" s="5" t="s">
        <v>34</v>
      </c>
      <c r="D7161" s="5" t="s">
        <v>1206</v>
      </c>
      <c r="E7161" s="5" t="s">
        <v>45602</v>
      </c>
      <c r="F7161" s="5" t="s">
        <v>37</v>
      </c>
      <c r="G7161" s="5" t="s">
        <v>45603</v>
      </c>
      <c r="H7161" s="6" t="s">
        <v>45604</v>
      </c>
      <c r="K7161" s="5" t="s">
        <v>45605</v>
      </c>
      <c r="M7161" s="5" t="s">
        <v>45606</v>
      </c>
      <c r="N7161" s="7" t="s">
        <v>45607</v>
      </c>
      <c r="O7161" s="8" t="str">
        <f>HYPERLINK("https://drive.google.com/file/d/1ZK2GwTBloifnFddl8NVYFs-D7nd8ve70/view?usp=drivesdk","7160_LAMSUDI _ SERTIFIKAT BerAKHLAK")</f>
        <v>7160_LAMSUDI _ SERTIFIKAT BerAKHLAK</v>
      </c>
      <c r="P7161" s="5" t="s">
        <v>45584</v>
      </c>
    </row>
    <row r="7162" hidden="1">
      <c r="A7162" s="4">
        <v>45534.37827247685</v>
      </c>
      <c r="B7162" s="5" t="s">
        <v>19</v>
      </c>
      <c r="C7162" s="5" t="s">
        <v>10418</v>
      </c>
      <c r="E7162" s="5" t="s">
        <v>45608</v>
      </c>
      <c r="F7162" s="5" t="s">
        <v>72</v>
      </c>
      <c r="G7162" s="5" t="s">
        <v>45609</v>
      </c>
      <c r="H7162" s="6" t="s">
        <v>45610</v>
      </c>
      <c r="K7162" s="5" t="s">
        <v>45605</v>
      </c>
      <c r="M7162" s="5" t="s">
        <v>45611</v>
      </c>
      <c r="N7162" s="7" t="s">
        <v>45612</v>
      </c>
      <c r="O7162" s="8" t="str">
        <f>HYPERLINK("https://drive.google.com/file/d/1bda2xgy2OIsdV6t2dQbmNVkufBWgJNjk/view?usp=drivesdk","7161_CHRISTIONO, A.Md. _ SERTIFIKAT BerAKHLAK")</f>
        <v>7161_CHRISTIONO, A.Md. _ SERTIFIKAT BerAKHLAK</v>
      </c>
      <c r="P7162" s="5" t="s">
        <v>45613</v>
      </c>
    </row>
    <row r="7163">
      <c r="A7163" s="4">
        <v>45534.37828135416</v>
      </c>
      <c r="B7163" s="5" t="s">
        <v>34</v>
      </c>
      <c r="D7163" s="5" t="s">
        <v>1558</v>
      </c>
      <c r="E7163" s="5" t="s">
        <v>45614</v>
      </c>
      <c r="F7163" s="5" t="s">
        <v>212</v>
      </c>
      <c r="G7163" s="5" t="s">
        <v>45615</v>
      </c>
      <c r="H7163" s="6" t="s">
        <v>45616</v>
      </c>
      <c r="K7163" s="5" t="s">
        <v>45605</v>
      </c>
      <c r="M7163" s="5" t="s">
        <v>45617</v>
      </c>
      <c r="N7163" s="7" t="s">
        <v>45618</v>
      </c>
      <c r="O7163" s="8" t="str">
        <f>HYPERLINK("https://drive.google.com/file/d/19eXUcRz7UG2F6Bohql_bqhcZ9asTEPYl/view?usp=drivesdk","7162_YANTI PUSPITANINGSIH _ SERTIFIKAT BerAKHLAK")</f>
        <v>7162_YANTI PUSPITANINGSIH _ SERTIFIKAT BerAKHLAK</v>
      </c>
      <c r="P7163" s="5" t="s">
        <v>45619</v>
      </c>
    </row>
    <row r="7164">
      <c r="A7164" s="4">
        <v>45534.378296145835</v>
      </c>
      <c r="B7164" s="5" t="s">
        <v>34</v>
      </c>
      <c r="D7164" s="5" t="s">
        <v>9394</v>
      </c>
      <c r="E7164" s="5" t="s">
        <v>45620</v>
      </c>
      <c r="F7164" s="5" t="s">
        <v>715</v>
      </c>
      <c r="G7164" s="5" t="s">
        <v>45621</v>
      </c>
      <c r="H7164" s="6" t="s">
        <v>45622</v>
      </c>
      <c r="K7164" s="5" t="s">
        <v>45605</v>
      </c>
      <c r="M7164" s="5" t="s">
        <v>45623</v>
      </c>
      <c r="N7164" s="7" t="s">
        <v>45624</v>
      </c>
      <c r="O7164" s="8" t="str">
        <f>HYPERLINK("https://drive.google.com/file/d/1Xvb7ElxoELYPHHN2Q30vU92xN1tQLa4A/view?usp=drivesdk","7163_IRNAWATI, S.E. _ SERTIFIKAT BerAKHLAK")</f>
        <v>7163_IRNAWATI, S.E. _ SERTIFIKAT BerAKHLAK</v>
      </c>
      <c r="P7164" s="5" t="s">
        <v>45625</v>
      </c>
    </row>
    <row r="7165">
      <c r="A7165" s="4">
        <v>45534.37830038194</v>
      </c>
      <c r="B7165" s="5" t="s">
        <v>34</v>
      </c>
      <c r="D7165" s="5" t="s">
        <v>9020</v>
      </c>
      <c r="E7165" s="5" t="s">
        <v>45626</v>
      </c>
      <c r="F7165" s="5" t="s">
        <v>212</v>
      </c>
      <c r="G7165" s="5" t="s">
        <v>45627</v>
      </c>
      <c r="H7165" s="6" t="s">
        <v>45628</v>
      </c>
      <c r="K7165" s="5" t="s">
        <v>45605</v>
      </c>
      <c r="M7165" s="5" t="s">
        <v>45629</v>
      </c>
      <c r="N7165" s="7" t="s">
        <v>45630</v>
      </c>
      <c r="O7165" s="8" t="str">
        <f>HYPERLINK("https://drive.google.com/file/d/1zCeAjnosn3tT-ZqdfI-AgfKsyddG5Mr-/view?usp=drivesdk","7164_MARLINA LUMBANTOBING, S.H. _ SERTIFIKAT BerAKHLAK")</f>
        <v>7164_MARLINA LUMBANTOBING, S.H. _ SERTIFIKAT BerAKHLAK</v>
      </c>
      <c r="P7165" s="5" t="s">
        <v>45631</v>
      </c>
    </row>
    <row r="7166">
      <c r="A7166" s="4">
        <v>45534.378302268524</v>
      </c>
      <c r="B7166" s="5" t="s">
        <v>34</v>
      </c>
      <c r="D7166" s="5" t="s">
        <v>1206</v>
      </c>
      <c r="E7166" s="5" t="s">
        <v>45632</v>
      </c>
      <c r="F7166" s="5" t="s">
        <v>72</v>
      </c>
      <c r="G7166" s="5" t="s">
        <v>45633</v>
      </c>
      <c r="H7166" s="6" t="s">
        <v>45634</v>
      </c>
      <c r="K7166" s="5" t="s">
        <v>45605</v>
      </c>
      <c r="M7166" s="5" t="s">
        <v>45635</v>
      </c>
      <c r="N7166" s="7" t="s">
        <v>45636</v>
      </c>
      <c r="O7166" s="8" t="str">
        <f>HYPERLINK("https://drive.google.com/file/d/1O0pvB2pvSoz5z4QpeyMJstkfsEU7_7ce/view?usp=drivesdk","7165_MAR ATUS DWI SHOLIKHAH SOKOWATI, AMd.Kep _ SERTIFIKAT BerAKHLAK")</f>
        <v>7165_MAR ATUS DWI SHOLIKHAH SOKOWATI, AMd.Kep _ SERTIFIKAT BerAKHLAK</v>
      </c>
      <c r="P7166" s="5" t="s">
        <v>45637</v>
      </c>
    </row>
    <row r="7167">
      <c r="A7167" s="4">
        <v>45534.37830729167</v>
      </c>
      <c r="B7167" s="5" t="s">
        <v>34</v>
      </c>
      <c r="D7167" s="5" t="s">
        <v>10444</v>
      </c>
      <c r="E7167" s="5" t="s">
        <v>45638</v>
      </c>
      <c r="F7167" s="5" t="s">
        <v>524</v>
      </c>
      <c r="G7167" s="5" t="s">
        <v>45639</v>
      </c>
      <c r="H7167" s="6" t="s">
        <v>45640</v>
      </c>
      <c r="K7167" s="5" t="s">
        <v>45605</v>
      </c>
      <c r="M7167" s="5" t="s">
        <v>45641</v>
      </c>
      <c r="N7167" s="7" t="s">
        <v>45642</v>
      </c>
      <c r="O7167" s="8" t="str">
        <f>HYPERLINK("https://drive.google.com/file/d/1yEz4_kewvHJ3_ofBJ5dcoFkhB7vIUGOP/view?usp=drivesdk","7166_TARYOKO, S.Kom, M.Kom _ SERTIFIKAT BerAKHLAK")</f>
        <v>7166_TARYOKO, S.Kom, M.Kom _ SERTIFIKAT BerAKHLAK</v>
      </c>
      <c r="P7167" s="5" t="s">
        <v>45643</v>
      </c>
    </row>
    <row r="7168" hidden="1">
      <c r="A7168" s="4">
        <v>45534.37830953704</v>
      </c>
      <c r="B7168" s="5" t="s">
        <v>19</v>
      </c>
      <c r="C7168" s="5" t="s">
        <v>1606</v>
      </c>
      <c r="E7168" s="5" t="s">
        <v>45644</v>
      </c>
      <c r="F7168" s="5" t="s">
        <v>212</v>
      </c>
      <c r="G7168" s="5" t="s">
        <v>45645</v>
      </c>
      <c r="H7168" s="6" t="s">
        <v>45646</v>
      </c>
      <c r="K7168" s="5" t="s">
        <v>45605</v>
      </c>
      <c r="M7168" s="5" t="s">
        <v>45647</v>
      </c>
      <c r="N7168" s="7" t="s">
        <v>45648</v>
      </c>
      <c r="O7168" s="8" t="str">
        <f>HYPERLINK("https://drive.google.com/file/d/18cXxTm1U73gevOTIfaXIYLEH_-GTzYtv/view?usp=drivesdk","7167_NUNUNG ERA MARDINI _ SERTIFIKAT BerAKHLAK")</f>
        <v>7167_NUNUNG ERA MARDINI _ SERTIFIKAT BerAKHLAK</v>
      </c>
      <c r="P7168" s="5" t="s">
        <v>45649</v>
      </c>
    </row>
    <row r="7169">
      <c r="A7169" s="4">
        <v>45534.37834872685</v>
      </c>
      <c r="B7169" s="5" t="s">
        <v>34</v>
      </c>
      <c r="D7169" s="5" t="s">
        <v>4775</v>
      </c>
      <c r="E7169" s="5" t="s">
        <v>45650</v>
      </c>
      <c r="F7169" s="5" t="s">
        <v>37</v>
      </c>
      <c r="G7169" s="5" t="s">
        <v>45651</v>
      </c>
      <c r="H7169" s="6" t="s">
        <v>45652</v>
      </c>
      <c r="K7169" s="5" t="s">
        <v>45653</v>
      </c>
      <c r="M7169" s="5" t="s">
        <v>45654</v>
      </c>
      <c r="N7169" s="7" t="s">
        <v>45655</v>
      </c>
      <c r="O7169" s="8" t="str">
        <f>HYPERLINK("https://drive.google.com/file/d/1m0ybLsn_p29XkGb607BMCVtwEe-rrkkC/view?usp=drivesdk","7168_ASWIN ASWIN _ SERTIFIKAT BerAKHLAK")</f>
        <v>7168_ASWIN ASWIN _ SERTIFIKAT BerAKHLAK</v>
      </c>
      <c r="P7169" s="5" t="s">
        <v>45656</v>
      </c>
    </row>
    <row r="7170">
      <c r="A7170" s="4">
        <v>45534.378354560184</v>
      </c>
      <c r="B7170" s="5" t="s">
        <v>34</v>
      </c>
      <c r="D7170" s="5" t="s">
        <v>1206</v>
      </c>
      <c r="E7170" s="5" t="s">
        <v>45657</v>
      </c>
      <c r="F7170" s="5" t="s">
        <v>212</v>
      </c>
      <c r="G7170" s="5" t="s">
        <v>45658</v>
      </c>
      <c r="H7170" s="6" t="s">
        <v>45659</v>
      </c>
      <c r="K7170" s="5" t="s">
        <v>45653</v>
      </c>
      <c r="M7170" s="5" t="s">
        <v>45660</v>
      </c>
      <c r="N7170" s="7" t="s">
        <v>45661</v>
      </c>
      <c r="O7170" s="8" t="str">
        <f>HYPERLINK("https://drive.google.com/file/d/1N4VaYpgm5JIAUicEoHHvGFRvnt_I-bQo/view?usp=drivesdk","7169_RONY SUSANTO _ SERTIFIKAT BerAKHLAK")</f>
        <v>7169_RONY SUSANTO _ SERTIFIKAT BerAKHLAK</v>
      </c>
      <c r="P7170" s="5" t="s">
        <v>45662</v>
      </c>
    </row>
    <row r="7171">
      <c r="A7171" s="4">
        <v>45534.3783587963</v>
      </c>
      <c r="B7171" s="5" t="s">
        <v>34</v>
      </c>
      <c r="D7171" s="5" t="s">
        <v>35</v>
      </c>
      <c r="E7171" s="5" t="s">
        <v>45663</v>
      </c>
      <c r="F7171" s="5" t="s">
        <v>375</v>
      </c>
      <c r="G7171" s="5" t="s">
        <v>45664</v>
      </c>
      <c r="H7171" s="6" t="s">
        <v>45665</v>
      </c>
      <c r="K7171" s="5" t="s">
        <v>45653</v>
      </c>
      <c r="M7171" s="5" t="s">
        <v>45666</v>
      </c>
      <c r="N7171" s="7" t="s">
        <v>45667</v>
      </c>
      <c r="O7171" s="8" t="str">
        <f>HYPERLINK("https://drive.google.com/file/d/1rclE0S6Nh8wT4KQvzkXOJ0H6gK6Lgwg0/view?usp=drivesdk","7170_INA KARLINA _ SERTIFIKAT BerAKHLAK")</f>
        <v>7170_INA KARLINA _ SERTIFIKAT BerAKHLAK</v>
      </c>
      <c r="P7171" s="5" t="s">
        <v>45668</v>
      </c>
    </row>
    <row r="7172">
      <c r="A7172" s="4">
        <v>45534.37836534722</v>
      </c>
      <c r="B7172" s="5" t="s">
        <v>34</v>
      </c>
      <c r="D7172" s="5" t="s">
        <v>267</v>
      </c>
      <c r="E7172" s="5" t="s">
        <v>45669</v>
      </c>
      <c r="F7172" s="5" t="s">
        <v>120</v>
      </c>
      <c r="G7172" s="5" t="s">
        <v>45670</v>
      </c>
      <c r="H7172" s="6" t="s">
        <v>45671</v>
      </c>
      <c r="K7172" s="5" t="s">
        <v>45653</v>
      </c>
      <c r="M7172" s="5" t="s">
        <v>45672</v>
      </c>
      <c r="N7172" s="7" t="s">
        <v>45673</v>
      </c>
      <c r="O7172" s="8" t="str">
        <f>HYPERLINK("https://drive.google.com/file/d/1xTdb05eTZS77ZBRl_vQu7iQG_2kyixcW/view?usp=drivesdk","7171_TSALISAH DAMAYANTI _ SERTIFIKAT BerAKHLAK")</f>
        <v>7171_TSALISAH DAMAYANTI _ SERTIFIKAT BerAKHLAK</v>
      </c>
      <c r="P7172" s="5" t="s">
        <v>45674</v>
      </c>
    </row>
    <row r="7173" hidden="1">
      <c r="A7173" s="4">
        <v>45534.37837202546</v>
      </c>
      <c r="B7173" s="5" t="s">
        <v>19</v>
      </c>
      <c r="C7173" s="5" t="s">
        <v>5564</v>
      </c>
      <c r="E7173" s="5" t="s">
        <v>45675</v>
      </c>
      <c r="F7173" s="5" t="s">
        <v>212</v>
      </c>
      <c r="G7173" s="5" t="s">
        <v>45676</v>
      </c>
      <c r="H7173" s="6" t="s">
        <v>45677</v>
      </c>
      <c r="K7173" s="5" t="s">
        <v>45653</v>
      </c>
      <c r="M7173" s="5" t="s">
        <v>45678</v>
      </c>
      <c r="N7173" s="7" t="s">
        <v>45679</v>
      </c>
      <c r="O7173" s="8" t="str">
        <f>HYPERLINK("https://drive.google.com/file/d/1H0w61x4E-BHTGaI6hJDP9-ahU8e-jrGk/view?usp=drivesdk","7172_ABDILAH IKHMAR _ SERTIFIKAT BerAKHLAK")</f>
        <v>7172_ABDILAH IKHMAR _ SERTIFIKAT BerAKHLAK</v>
      </c>
      <c r="P7173" s="5" t="s">
        <v>45680</v>
      </c>
    </row>
    <row r="7174">
      <c r="A7174" s="4">
        <v>45534.37837266204</v>
      </c>
      <c r="B7174" s="5" t="s">
        <v>34</v>
      </c>
      <c r="D7174" s="5" t="s">
        <v>1558</v>
      </c>
      <c r="E7174" s="5" t="s">
        <v>45681</v>
      </c>
      <c r="F7174" s="5" t="s">
        <v>524</v>
      </c>
      <c r="G7174" s="5" t="s">
        <v>45682</v>
      </c>
      <c r="H7174" s="6" t="s">
        <v>45683</v>
      </c>
      <c r="K7174" s="5" t="s">
        <v>45653</v>
      </c>
      <c r="M7174" s="5" t="s">
        <v>45684</v>
      </c>
      <c r="N7174" s="7" t="s">
        <v>45685</v>
      </c>
      <c r="O7174" s="8" t="str">
        <f>HYPERLINK("https://drive.google.com/file/d/1B9iywFQj6v8KUtZNhjQN5xPTEHPZGmMa/view?usp=drivesdk","7173_TILARSIH.S.E. _ SERTIFIKAT BerAKHLAK")</f>
        <v>7173_TILARSIH.S.E. _ SERTIFIKAT BerAKHLAK</v>
      </c>
      <c r="P7174" s="5" t="s">
        <v>45686</v>
      </c>
    </row>
    <row r="7175">
      <c r="A7175" s="4">
        <v>45534.3784158912</v>
      </c>
      <c r="B7175" s="5" t="s">
        <v>34</v>
      </c>
      <c r="D7175" s="5" t="s">
        <v>9020</v>
      </c>
      <c r="E7175" s="5" t="s">
        <v>45687</v>
      </c>
      <c r="F7175" s="5" t="s">
        <v>212</v>
      </c>
      <c r="G7175" s="5" t="s">
        <v>45688</v>
      </c>
      <c r="H7175" s="6" t="s">
        <v>45689</v>
      </c>
      <c r="K7175" s="5" t="s">
        <v>45690</v>
      </c>
      <c r="M7175" s="5" t="s">
        <v>45691</v>
      </c>
      <c r="N7175" s="7" t="s">
        <v>45692</v>
      </c>
      <c r="O7175" s="8" t="str">
        <f>HYPERLINK("https://drive.google.com/file/d/1OL2Bxa1xFIUfFENVnyPTYSs-DUC-jOZx/view?usp=drivesdk","7174_FRANKY SIHOTANG _ SERTIFIKAT BerAKHLAK")</f>
        <v>7174_FRANKY SIHOTANG _ SERTIFIKAT BerAKHLAK</v>
      </c>
      <c r="P7175" s="5" t="s">
        <v>45693</v>
      </c>
    </row>
    <row r="7176">
      <c r="A7176" s="4">
        <v>45534.37841744213</v>
      </c>
      <c r="B7176" s="5" t="s">
        <v>34</v>
      </c>
      <c r="D7176" s="5" t="s">
        <v>1206</v>
      </c>
      <c r="E7176" s="5" t="s">
        <v>45694</v>
      </c>
      <c r="F7176" s="5" t="s">
        <v>37</v>
      </c>
      <c r="G7176" s="5" t="s">
        <v>45695</v>
      </c>
      <c r="H7176" s="6" t="s">
        <v>45696</v>
      </c>
      <c r="K7176" s="5" t="s">
        <v>45690</v>
      </c>
      <c r="M7176" s="5" t="s">
        <v>45697</v>
      </c>
      <c r="N7176" s="7" t="s">
        <v>45698</v>
      </c>
      <c r="O7176" s="8" t="str">
        <f>HYPERLINK("https://drive.google.com/file/d/1nUEoz-7gzNYjT-1PcdpxqUktBvc51ERU/view?usp=drivesdk","7175_BAYU SETIAWAN _ SERTIFIKAT BerAKHLAK")</f>
        <v>7175_BAYU SETIAWAN _ SERTIFIKAT BerAKHLAK</v>
      </c>
      <c r="P7176" s="5" t="s">
        <v>45699</v>
      </c>
    </row>
    <row r="7177">
      <c r="A7177" s="4">
        <v>45534.37842190972</v>
      </c>
      <c r="B7177" s="5" t="s">
        <v>34</v>
      </c>
      <c r="D7177" s="5" t="s">
        <v>12978</v>
      </c>
      <c r="E7177" s="5" t="s">
        <v>45700</v>
      </c>
      <c r="F7177" s="5" t="s">
        <v>375</v>
      </c>
      <c r="G7177" s="5" t="s">
        <v>45701</v>
      </c>
      <c r="H7177" s="6" t="s">
        <v>45702</v>
      </c>
      <c r="K7177" s="5" t="s">
        <v>45690</v>
      </c>
      <c r="M7177" s="5" t="s">
        <v>45703</v>
      </c>
      <c r="N7177" s="7" t="s">
        <v>45704</v>
      </c>
      <c r="O7177" s="8" t="str">
        <f>HYPERLINK("https://drive.google.com/file/d/1LU0x19dtJVJQX_m8MbuXnLZccp6lf3QQ/view?usp=drivesdk","7176_SUTIANA, SH _ SERTIFIKAT BerAKHLAK")</f>
        <v>7176_SUTIANA, SH _ SERTIFIKAT BerAKHLAK</v>
      </c>
      <c r="P7177" s="5" t="s">
        <v>45705</v>
      </c>
    </row>
    <row r="7178">
      <c r="A7178" s="4">
        <v>45534.37842328704</v>
      </c>
      <c r="B7178" s="5" t="s">
        <v>34</v>
      </c>
      <c r="D7178" s="5" t="s">
        <v>9020</v>
      </c>
      <c r="E7178" s="5" t="s">
        <v>16390</v>
      </c>
      <c r="F7178" s="5" t="s">
        <v>72</v>
      </c>
      <c r="G7178" s="5" t="s">
        <v>45706</v>
      </c>
      <c r="H7178" s="6" t="s">
        <v>45707</v>
      </c>
      <c r="K7178" s="5" t="s">
        <v>45690</v>
      </c>
      <c r="M7178" s="5" t="s">
        <v>45708</v>
      </c>
      <c r="N7178" s="7" t="s">
        <v>45709</v>
      </c>
      <c r="O7178" s="8" t="str">
        <f>HYPERLINK("https://drive.google.com/file/d/1bU_ukK2MjSRH1Hpj5fX34Z7IOgS1hDNN/view?usp=drivesdk","7177_SITI YANTI HULU _ SERTIFIKAT BerAKHLAK")</f>
        <v>7177_SITI YANTI HULU _ SERTIFIKAT BerAKHLAK</v>
      </c>
      <c r="P7178" s="5" t="s">
        <v>45710</v>
      </c>
    </row>
    <row r="7179">
      <c r="A7179" s="4">
        <v>45534.37842699074</v>
      </c>
      <c r="B7179" s="5" t="s">
        <v>34</v>
      </c>
      <c r="D7179" s="5" t="s">
        <v>1206</v>
      </c>
      <c r="E7179" s="5" t="s">
        <v>45711</v>
      </c>
      <c r="F7179" s="5" t="s">
        <v>37</v>
      </c>
      <c r="G7179" s="5" t="s">
        <v>45712</v>
      </c>
      <c r="H7179" s="6" t="s">
        <v>45713</v>
      </c>
      <c r="K7179" s="5" t="s">
        <v>45690</v>
      </c>
      <c r="M7179" s="5" t="s">
        <v>45714</v>
      </c>
      <c r="N7179" s="7" t="s">
        <v>45715</v>
      </c>
      <c r="O7179" s="8" t="str">
        <f>HYPERLINK("https://drive.google.com/file/d/1b7HuCqJCpuV6Sv9_oOHGYuUNcEXisazN/view?usp=drivesdk","7178_ACHMAD LUGIANTO _ SERTIFIKAT BerAKHLAK")</f>
        <v>7178_ACHMAD LUGIANTO _ SERTIFIKAT BerAKHLAK</v>
      </c>
      <c r="P7179" s="5" t="s">
        <v>45716</v>
      </c>
    </row>
    <row r="7180">
      <c r="A7180" s="4">
        <v>45534.378435844905</v>
      </c>
      <c r="B7180" s="5" t="s">
        <v>34</v>
      </c>
      <c r="D7180" s="5" t="s">
        <v>1558</v>
      </c>
      <c r="E7180" s="5" t="s">
        <v>45717</v>
      </c>
      <c r="F7180" s="5" t="s">
        <v>37</v>
      </c>
      <c r="G7180" s="5" t="s">
        <v>45718</v>
      </c>
      <c r="H7180" s="6" t="s">
        <v>45719</v>
      </c>
      <c r="K7180" s="5" t="s">
        <v>45720</v>
      </c>
      <c r="M7180" s="5" t="s">
        <v>45721</v>
      </c>
      <c r="N7180" s="7" t="s">
        <v>45722</v>
      </c>
      <c r="O7180" s="8" t="str">
        <f>HYPERLINK("https://drive.google.com/file/d/1PHgW7yD32mH1QmClxGXXdv4c5w0MaoWJ/view?usp=drivesdk","7179_SITI KHUSNUL KHOTIMAH  _ SERTIFIKAT BerAKHLAK")</f>
        <v>7179_SITI KHUSNUL KHOTIMAH  _ SERTIFIKAT BerAKHLAK</v>
      </c>
      <c r="P7180" s="5" t="s">
        <v>45723</v>
      </c>
    </row>
    <row r="7181">
      <c r="A7181" s="4">
        <v>45534.37844988426</v>
      </c>
      <c r="B7181" s="5" t="s">
        <v>34</v>
      </c>
      <c r="D7181" s="5" t="s">
        <v>1206</v>
      </c>
      <c r="E7181" s="5" t="s">
        <v>45724</v>
      </c>
      <c r="F7181" s="5" t="s">
        <v>108</v>
      </c>
      <c r="G7181" s="5" t="s">
        <v>45725</v>
      </c>
      <c r="H7181" s="6" t="s">
        <v>45726</v>
      </c>
      <c r="K7181" s="5" t="s">
        <v>45727</v>
      </c>
      <c r="M7181" s="5" t="s">
        <v>45728</v>
      </c>
      <c r="N7181" s="7" t="s">
        <v>45729</v>
      </c>
      <c r="O7181" s="8" t="str">
        <f>HYPERLINK("https://drive.google.com/file/d/1aLZmX0YcRvqs5GN0CsCYDsM_VjBzeevJ/view?usp=drivesdk","7180_WAHYUNI ANJANGSARI _ SERTIFIKAT BerAKHLAK")</f>
        <v>7180_WAHYUNI ANJANGSARI _ SERTIFIKAT BerAKHLAK</v>
      </c>
      <c r="P7181" s="5" t="s">
        <v>45730</v>
      </c>
    </row>
    <row r="7182">
      <c r="A7182" s="4">
        <v>45534.37845189815</v>
      </c>
      <c r="B7182" s="5" t="s">
        <v>34</v>
      </c>
      <c r="D7182" s="5" t="s">
        <v>701</v>
      </c>
      <c r="E7182" s="5" t="s">
        <v>45731</v>
      </c>
      <c r="F7182" s="5" t="s">
        <v>212</v>
      </c>
      <c r="G7182" s="5" t="s">
        <v>45732</v>
      </c>
      <c r="H7182" s="6" t="s">
        <v>45733</v>
      </c>
      <c r="K7182" s="5" t="s">
        <v>45727</v>
      </c>
      <c r="M7182" s="5" t="s">
        <v>45734</v>
      </c>
      <c r="N7182" s="7" t="s">
        <v>45735</v>
      </c>
      <c r="O7182" s="8" t="str">
        <f>HYPERLINK("https://drive.google.com/file/d/1Zx-o-ncjYghdAAioI1vX7pj57aKusuyR/view?usp=drivesdk","7181_GUSMERIANTI _ SERTIFIKAT BerAKHLAK")</f>
        <v>7181_GUSMERIANTI _ SERTIFIKAT BerAKHLAK</v>
      </c>
      <c r="P7182" s="5" t="s">
        <v>45736</v>
      </c>
    </row>
    <row r="7183">
      <c r="A7183" s="4">
        <v>45534.37848989583</v>
      </c>
      <c r="B7183" s="5" t="s">
        <v>34</v>
      </c>
      <c r="D7183" s="5" t="s">
        <v>1768</v>
      </c>
      <c r="E7183" s="5" t="s">
        <v>45737</v>
      </c>
      <c r="F7183" s="5" t="s">
        <v>108</v>
      </c>
      <c r="G7183" s="5" t="s">
        <v>45738</v>
      </c>
      <c r="H7183" s="6" t="s">
        <v>45739</v>
      </c>
      <c r="K7183" s="5" t="s">
        <v>45740</v>
      </c>
      <c r="M7183" s="5" t="s">
        <v>45741</v>
      </c>
      <c r="N7183" s="7" t="s">
        <v>45742</v>
      </c>
      <c r="O7183" s="8" t="str">
        <f>HYPERLINK("https://drive.google.com/file/d/1-Sf6EQb2CVXT_VSev7GQVpvVBNboj4TZ/view?usp=drivesdk","7182_ESTER SAMPE  _ SERTIFIKAT BerAKHLAK")</f>
        <v>7182_ESTER SAMPE  _ SERTIFIKAT BerAKHLAK</v>
      </c>
      <c r="P7183" s="5" t="s">
        <v>45743</v>
      </c>
    </row>
    <row r="7184">
      <c r="A7184" s="4">
        <v>45534.37849128472</v>
      </c>
      <c r="B7184" s="5" t="s">
        <v>34</v>
      </c>
      <c r="D7184" s="5" t="s">
        <v>35</v>
      </c>
      <c r="E7184" s="5" t="s">
        <v>45744</v>
      </c>
      <c r="F7184" s="5" t="s">
        <v>72</v>
      </c>
      <c r="G7184" s="5" t="s">
        <v>45745</v>
      </c>
      <c r="H7184" s="6" t="s">
        <v>45746</v>
      </c>
      <c r="K7184" s="5" t="s">
        <v>45740</v>
      </c>
      <c r="M7184" s="5" t="s">
        <v>45747</v>
      </c>
      <c r="N7184" s="7" t="s">
        <v>45748</v>
      </c>
      <c r="O7184" s="8" t="str">
        <f>HYPERLINK("https://drive.google.com/file/d/1b1y-qzSsMuzty4HoHMDRnWXSYcZkPbo3/view?usp=drivesdk","7183_POPON, SE _ SERTIFIKAT BerAKHLAK")</f>
        <v>7183_POPON, SE _ SERTIFIKAT BerAKHLAK</v>
      </c>
      <c r="P7184" s="5" t="s">
        <v>45749</v>
      </c>
    </row>
    <row r="7185">
      <c r="A7185" s="4">
        <v>45534.37853482639</v>
      </c>
      <c r="B7185" s="5" t="s">
        <v>34</v>
      </c>
      <c r="D7185" s="5" t="s">
        <v>701</v>
      </c>
      <c r="E7185" s="5" t="s">
        <v>45750</v>
      </c>
      <c r="F7185" s="5" t="s">
        <v>108</v>
      </c>
      <c r="G7185" s="5" t="s">
        <v>45751</v>
      </c>
      <c r="H7185" s="6" t="s">
        <v>45752</v>
      </c>
      <c r="K7185" s="5" t="s">
        <v>45753</v>
      </c>
      <c r="M7185" s="5" t="s">
        <v>45754</v>
      </c>
      <c r="N7185" s="7" t="s">
        <v>45755</v>
      </c>
      <c r="O7185" s="8" t="str">
        <f>HYPERLINK("https://drive.google.com/file/d/1jcn2N1ux4g3WCogeepNATv36jHsaiGva/view?usp=drivesdk","7184_dr. ANELIA TIARA SUCI _ SERTIFIKAT BerAKHLAK")</f>
        <v>7184_dr. ANELIA TIARA SUCI _ SERTIFIKAT BerAKHLAK</v>
      </c>
      <c r="P7185" s="5" t="s">
        <v>45756</v>
      </c>
    </row>
    <row r="7186">
      <c r="A7186" s="4">
        <v>45534.37857006944</v>
      </c>
      <c r="B7186" s="5" t="s">
        <v>34</v>
      </c>
      <c r="D7186" s="5" t="s">
        <v>35</v>
      </c>
      <c r="E7186" s="5" t="s">
        <v>45757</v>
      </c>
      <c r="F7186" s="5" t="s">
        <v>37</v>
      </c>
      <c r="G7186" s="5" t="s">
        <v>45758</v>
      </c>
      <c r="H7186" s="6" t="s">
        <v>45759</v>
      </c>
      <c r="K7186" s="5" t="s">
        <v>45753</v>
      </c>
      <c r="M7186" s="5" t="s">
        <v>45760</v>
      </c>
      <c r="N7186" s="7" t="s">
        <v>45761</v>
      </c>
      <c r="O7186" s="8" t="str">
        <f>HYPERLINK("https://drive.google.com/file/d/1d6j386REks1kvLLhYkuaTQMAH9Sj_5uM/view?usp=drivesdk","7185_WINDA SEPTIANI EKA PUTRI, A.Md.Kep. _ SERTIFIKAT BerAKHLAK")</f>
        <v>7185_WINDA SEPTIANI EKA PUTRI, A.Md.Kep. _ SERTIFIKAT BerAKHLAK</v>
      </c>
      <c r="P7186" s="5" t="s">
        <v>45762</v>
      </c>
    </row>
    <row r="7187">
      <c r="A7187" s="4">
        <v>45534.37858755787</v>
      </c>
      <c r="B7187" s="5" t="s">
        <v>34</v>
      </c>
      <c r="D7187" s="5" t="s">
        <v>996</v>
      </c>
      <c r="E7187" s="5" t="s">
        <v>45763</v>
      </c>
      <c r="F7187" s="5" t="s">
        <v>37</v>
      </c>
      <c r="G7187" s="5" t="s">
        <v>45764</v>
      </c>
      <c r="H7187" s="6" t="s">
        <v>45765</v>
      </c>
      <c r="K7187" s="5" t="s">
        <v>45753</v>
      </c>
      <c r="M7187" s="5" t="s">
        <v>45766</v>
      </c>
      <c r="N7187" s="7" t="s">
        <v>45767</v>
      </c>
      <c r="O7187" s="8" t="str">
        <f>HYPERLINK("https://drive.google.com/file/d/1yegfKu5Vtk_fxl88kLJqaZXk9mXFkZ8Q/view?usp=drivesdk","7186_SELFIA HARYANI _ SERTIFIKAT BerAKHLAK")</f>
        <v>7186_SELFIA HARYANI _ SERTIFIKAT BerAKHLAK</v>
      </c>
      <c r="P7187" s="5" t="s">
        <v>45768</v>
      </c>
    </row>
    <row r="7188" hidden="1">
      <c r="A7188" s="4">
        <v>45534.37860085648</v>
      </c>
      <c r="B7188" s="5" t="s">
        <v>19</v>
      </c>
      <c r="C7188" s="5" t="s">
        <v>442</v>
      </c>
      <c r="E7188" s="5" t="s">
        <v>45769</v>
      </c>
      <c r="F7188" s="5" t="s">
        <v>72</v>
      </c>
      <c r="G7188" s="5" t="s">
        <v>45770</v>
      </c>
      <c r="H7188" s="6" t="s">
        <v>45771</v>
      </c>
      <c r="K7188" s="5" t="s">
        <v>45753</v>
      </c>
      <c r="M7188" s="5" t="s">
        <v>45772</v>
      </c>
      <c r="N7188" s="7" t="s">
        <v>45773</v>
      </c>
      <c r="O7188" s="8" t="str">
        <f>HYPERLINK("https://drive.google.com/file/d/1rnUaw1Uj66W3TdCwRjSOpXoY7Yv7nc5j/view?usp=drivesdk","7187_Eko Nur Cahyani _ SERTIFIKAT BerAKHLAK")</f>
        <v>7187_Eko Nur Cahyani _ SERTIFIKAT BerAKHLAK</v>
      </c>
      <c r="P7188" s="5" t="s">
        <v>45774</v>
      </c>
    </row>
    <row r="7189">
      <c r="A7189" s="4">
        <v>45534.37861884259</v>
      </c>
      <c r="B7189" s="5" t="s">
        <v>34</v>
      </c>
      <c r="D7189" s="5" t="s">
        <v>9020</v>
      </c>
      <c r="E7189" s="5" t="s">
        <v>45775</v>
      </c>
      <c r="F7189" s="5" t="s">
        <v>524</v>
      </c>
      <c r="G7189" s="5" t="s">
        <v>45776</v>
      </c>
      <c r="H7189" s="6" t="s">
        <v>45777</v>
      </c>
      <c r="K7189" s="5" t="s">
        <v>45753</v>
      </c>
      <c r="M7189" s="5" t="s">
        <v>45778</v>
      </c>
      <c r="N7189" s="7" t="s">
        <v>45779</v>
      </c>
      <c r="O7189" s="8" t="str">
        <f>HYPERLINK("https://drive.google.com/file/d/1qxbVV6dI0ORoyGVEm0PSrKkIkRloFEP7/view?usp=drivesdk","7188_MARULAK MP TAMBA, S.E. _ SERTIFIKAT BerAKHLAK")</f>
        <v>7188_MARULAK MP TAMBA, S.E. _ SERTIFIKAT BerAKHLAK</v>
      </c>
      <c r="P7189" s="5" t="s">
        <v>45780</v>
      </c>
    </row>
    <row r="7190">
      <c r="A7190" s="4">
        <v>45534.37868949074</v>
      </c>
      <c r="B7190" s="5" t="s">
        <v>34</v>
      </c>
      <c r="D7190" s="5" t="s">
        <v>1206</v>
      </c>
      <c r="E7190" s="5" t="s">
        <v>45781</v>
      </c>
      <c r="F7190" s="5" t="s">
        <v>524</v>
      </c>
      <c r="G7190" s="5" t="s">
        <v>45782</v>
      </c>
      <c r="H7190" s="6" t="s">
        <v>45783</v>
      </c>
      <c r="K7190" s="5" t="s">
        <v>45784</v>
      </c>
      <c r="M7190" s="5" t="s">
        <v>45785</v>
      </c>
      <c r="N7190" s="7" t="s">
        <v>45786</v>
      </c>
      <c r="O7190" s="8" t="str">
        <f>HYPERLINK("https://drive.google.com/file/d/1Bcx34Pqqtnhdg3dbjqoixAT1g3Zt4O-V/view?usp=drivesdk","7189_NOVIANA SHINTA DEWI, S.Kep.,Ns _ SERTIFIKAT BerAKHLAK")</f>
        <v>7189_NOVIANA SHINTA DEWI, S.Kep.,Ns _ SERTIFIKAT BerAKHLAK</v>
      </c>
      <c r="P7190" s="5" t="s">
        <v>45787</v>
      </c>
    </row>
    <row r="7191">
      <c r="A7191" s="4">
        <v>45534.37870424769</v>
      </c>
      <c r="B7191" s="5" t="s">
        <v>34</v>
      </c>
      <c r="D7191" s="5" t="s">
        <v>1206</v>
      </c>
      <c r="E7191" s="5" t="s">
        <v>45788</v>
      </c>
      <c r="F7191" s="5" t="s">
        <v>212</v>
      </c>
      <c r="G7191" s="5" t="s">
        <v>45789</v>
      </c>
      <c r="H7191" s="6" t="s">
        <v>45790</v>
      </c>
      <c r="K7191" s="5" t="s">
        <v>45791</v>
      </c>
      <c r="M7191" s="5" t="s">
        <v>45792</v>
      </c>
      <c r="N7191" s="7" t="s">
        <v>45793</v>
      </c>
      <c r="O7191" s="8" t="str">
        <f>HYPERLINK("https://drive.google.com/file/d/1unZSBcPvm0Z7P8eZ5gL___5Gxt5esqOa/view?usp=drivesdk","7190_SISWANDI _ SERTIFIKAT BerAKHLAK")</f>
        <v>7190_SISWANDI _ SERTIFIKAT BerAKHLAK</v>
      </c>
      <c r="P7191" s="5" t="s">
        <v>45794</v>
      </c>
    </row>
    <row r="7192">
      <c r="A7192" s="4">
        <v>45534.378706539355</v>
      </c>
      <c r="B7192" s="5" t="s">
        <v>34</v>
      </c>
      <c r="D7192" s="5" t="s">
        <v>4775</v>
      </c>
      <c r="E7192" s="5" t="s">
        <v>45795</v>
      </c>
      <c r="F7192" s="5" t="s">
        <v>37</v>
      </c>
      <c r="G7192" s="5" t="s">
        <v>45796</v>
      </c>
      <c r="H7192" s="6" t="s">
        <v>45797</v>
      </c>
      <c r="K7192" s="5" t="s">
        <v>45791</v>
      </c>
      <c r="M7192" s="5" t="s">
        <v>45798</v>
      </c>
      <c r="N7192" s="7" t="s">
        <v>45799</v>
      </c>
      <c r="O7192" s="8" t="str">
        <f>HYPERLINK("https://drive.google.com/file/d/1F9PHzEgMB_ybnmA5WGm9VcQqs3f7VnkX/view?usp=drivesdk","7191_YUWONO _ SERTIFIKAT BerAKHLAK")</f>
        <v>7191_YUWONO _ SERTIFIKAT BerAKHLAK</v>
      </c>
      <c r="P7192" s="5" t="s">
        <v>45800</v>
      </c>
    </row>
    <row r="7193">
      <c r="A7193" s="4">
        <v>45534.378714189814</v>
      </c>
      <c r="B7193" s="5" t="s">
        <v>34</v>
      </c>
      <c r="D7193" s="5" t="s">
        <v>996</v>
      </c>
      <c r="E7193" s="5" t="s">
        <v>45801</v>
      </c>
      <c r="F7193" s="5" t="s">
        <v>212</v>
      </c>
      <c r="G7193" s="5" t="s">
        <v>45802</v>
      </c>
      <c r="H7193" s="6" t="s">
        <v>45803</v>
      </c>
      <c r="K7193" s="5" t="s">
        <v>45791</v>
      </c>
      <c r="M7193" s="5" t="s">
        <v>45804</v>
      </c>
      <c r="N7193" s="7" t="s">
        <v>45805</v>
      </c>
      <c r="O7193" s="8" t="str">
        <f>HYPERLINK("https://drive.google.com/file/d/1d0E5YzfLrCnKjbzbGNhZJ2McnrJFrDPX/view?usp=drivesdk","7192_HALIMATUS SAADIAH _ SERTIFIKAT BerAKHLAK")</f>
        <v>7192_HALIMATUS SAADIAH _ SERTIFIKAT BerAKHLAK</v>
      </c>
      <c r="P7193" s="5" t="s">
        <v>45806</v>
      </c>
    </row>
    <row r="7194" hidden="1">
      <c r="A7194" s="4">
        <v>45534.37872329861</v>
      </c>
      <c r="B7194" s="5" t="s">
        <v>19</v>
      </c>
      <c r="C7194" s="5" t="s">
        <v>442</v>
      </c>
      <c r="E7194" s="5" t="s">
        <v>45807</v>
      </c>
      <c r="F7194" s="5" t="s">
        <v>120</v>
      </c>
      <c r="G7194" s="5" t="s">
        <v>45808</v>
      </c>
      <c r="H7194" s="6" t="s">
        <v>45809</v>
      </c>
      <c r="K7194" s="5" t="s">
        <v>45791</v>
      </c>
      <c r="M7194" s="5" t="s">
        <v>45810</v>
      </c>
      <c r="N7194" s="7" t="s">
        <v>45811</v>
      </c>
      <c r="O7194" s="8" t="str">
        <f>HYPERLINK("https://drive.google.com/file/d/1xBVJxyNkdkzUfmf5JneKY6JvIW5X5NS1/view?usp=drivesdk","7193_ASTRI FUJIATI, S.H., M.H. _ SERTIFIKAT BerAKHLAK")</f>
        <v>7193_ASTRI FUJIATI, S.H., M.H. _ SERTIFIKAT BerAKHLAK</v>
      </c>
      <c r="P7194" s="5" t="s">
        <v>45812</v>
      </c>
    </row>
    <row r="7195">
      <c r="A7195" s="4">
        <v>45534.378749606476</v>
      </c>
      <c r="B7195" s="5" t="s">
        <v>34</v>
      </c>
      <c r="D7195" s="5" t="s">
        <v>35</v>
      </c>
      <c r="E7195" s="5" t="s">
        <v>45813</v>
      </c>
      <c r="F7195" s="5" t="s">
        <v>715</v>
      </c>
      <c r="G7195" s="5" t="s">
        <v>45814</v>
      </c>
      <c r="H7195" s="6" t="s">
        <v>45815</v>
      </c>
      <c r="K7195" s="5" t="s">
        <v>45791</v>
      </c>
      <c r="M7195" s="5" t="s">
        <v>45816</v>
      </c>
      <c r="N7195" s="7" t="s">
        <v>45817</v>
      </c>
      <c r="O7195" s="8" t="str">
        <f>HYPERLINK("https://drive.google.com/file/d/17W0x1GCth9ospFCqdCcL66C0e7TvDtn2/view?usp=drivesdk","7194_AGUS HERU SUGIANTO,S.H. _ SERTIFIKAT BerAKHLAK")</f>
        <v>7194_AGUS HERU SUGIANTO,S.H. _ SERTIFIKAT BerAKHLAK</v>
      </c>
      <c r="P7195" s="5" t="s">
        <v>45818</v>
      </c>
    </row>
    <row r="7196">
      <c r="A7196" s="4">
        <v>45534.37875326389</v>
      </c>
      <c r="B7196" s="5" t="s">
        <v>34</v>
      </c>
      <c r="D7196" s="5" t="s">
        <v>1206</v>
      </c>
      <c r="E7196" s="5" t="s">
        <v>45819</v>
      </c>
      <c r="F7196" s="5" t="s">
        <v>212</v>
      </c>
      <c r="G7196" s="5" t="s">
        <v>45820</v>
      </c>
      <c r="H7196" s="6" t="s">
        <v>45821</v>
      </c>
      <c r="K7196" s="5" t="s">
        <v>45791</v>
      </c>
      <c r="M7196" s="5" t="s">
        <v>45822</v>
      </c>
      <c r="N7196" s="7" t="s">
        <v>45823</v>
      </c>
      <c r="O7196" s="8" t="str">
        <f>HYPERLINK("https://drive.google.com/file/d/1KZreJesJU6lOxAl1XHNSaRCdO48575rT/view?usp=drivesdk","7195_JUMINGGIR _ SERTIFIKAT BerAKHLAK")</f>
        <v>7195_JUMINGGIR _ SERTIFIKAT BerAKHLAK</v>
      </c>
      <c r="P7196" s="5" t="s">
        <v>45824</v>
      </c>
    </row>
    <row r="7197" hidden="1">
      <c r="A7197" s="4">
        <v>45534.37875417824</v>
      </c>
      <c r="B7197" s="5" t="s">
        <v>19</v>
      </c>
      <c r="C7197" s="5" t="s">
        <v>292</v>
      </c>
      <c r="E7197" s="5" t="s">
        <v>45825</v>
      </c>
      <c r="F7197" s="5" t="s">
        <v>120</v>
      </c>
      <c r="G7197" s="5" t="s">
        <v>45826</v>
      </c>
      <c r="H7197" s="6" t="s">
        <v>45827</v>
      </c>
      <c r="K7197" s="5" t="s">
        <v>45791</v>
      </c>
      <c r="M7197" s="5" t="s">
        <v>45828</v>
      </c>
      <c r="N7197" s="7" t="s">
        <v>45829</v>
      </c>
      <c r="O7197" s="8" t="str">
        <f>HYPERLINK("https://drive.google.com/file/d/1qw2Fg6rRTMxJXHrlos0MeNpyZhK9mCZz/view?usp=drivesdk","7196_dr.EKA MAYLINDA NASUTION _ SERTIFIKAT BerAKHLAK")</f>
        <v>7196_dr.EKA MAYLINDA NASUTION _ SERTIFIKAT BerAKHLAK</v>
      </c>
      <c r="P7197" s="5" t="s">
        <v>45830</v>
      </c>
    </row>
    <row r="7198" hidden="1">
      <c r="A7198" s="4">
        <v>45534.37878525463</v>
      </c>
      <c r="B7198" s="5" t="s">
        <v>19</v>
      </c>
      <c r="C7198" s="5" t="s">
        <v>442</v>
      </c>
      <c r="E7198" s="5" t="s">
        <v>45831</v>
      </c>
      <c r="F7198" s="5" t="s">
        <v>524</v>
      </c>
      <c r="G7198" s="5" t="s">
        <v>45832</v>
      </c>
      <c r="H7198" s="6" t="s">
        <v>45833</v>
      </c>
      <c r="K7198" s="5" t="s">
        <v>45834</v>
      </c>
      <c r="M7198" s="5" t="s">
        <v>45835</v>
      </c>
      <c r="N7198" s="7" t="s">
        <v>45836</v>
      </c>
      <c r="O7198" s="8" t="str">
        <f>HYPERLINK("https://drive.google.com/file/d/1EDeNj3MNkcy3AZwaqnkA6zCB78pc6qmR/view?usp=drivesdk","7197_RUTH VELYSYA, S.H. _ SERTIFIKAT BerAKHLAK")</f>
        <v>7197_RUTH VELYSYA, S.H. _ SERTIFIKAT BerAKHLAK</v>
      </c>
      <c r="P7198" s="5" t="s">
        <v>45837</v>
      </c>
    </row>
    <row r="7199">
      <c r="A7199" s="4">
        <v>45534.3787965625</v>
      </c>
      <c r="B7199" s="5" t="s">
        <v>34</v>
      </c>
      <c r="D7199" s="5" t="s">
        <v>1558</v>
      </c>
      <c r="E7199" s="5" t="s">
        <v>45838</v>
      </c>
      <c r="F7199" s="5" t="s">
        <v>212</v>
      </c>
      <c r="G7199" s="5" t="s">
        <v>45839</v>
      </c>
      <c r="H7199" s="6" t="s">
        <v>45840</v>
      </c>
      <c r="K7199" s="5" t="s">
        <v>45834</v>
      </c>
      <c r="M7199" s="5" t="s">
        <v>45841</v>
      </c>
      <c r="N7199" s="7" t="s">
        <v>45842</v>
      </c>
      <c r="O7199" s="8" t="str">
        <f>HYPERLINK("https://drive.google.com/file/d/1uQ19d0Y5LjZ_MBZn-KsQdWcjeUJBMdBD/view?usp=drivesdk","7198_NI WAYAN RATNI  _ SERTIFIKAT BerAKHLAK")</f>
        <v>7198_NI WAYAN RATNI  _ SERTIFIKAT BerAKHLAK</v>
      </c>
      <c r="P7199" s="5" t="s">
        <v>45843</v>
      </c>
    </row>
    <row r="7200">
      <c r="A7200" s="4">
        <v>45534.378797604164</v>
      </c>
      <c r="B7200" s="5" t="s">
        <v>34</v>
      </c>
      <c r="D7200" s="5" t="s">
        <v>9394</v>
      </c>
      <c r="E7200" s="5" t="s">
        <v>45844</v>
      </c>
      <c r="F7200" s="5" t="s">
        <v>715</v>
      </c>
      <c r="G7200" s="5" t="s">
        <v>45845</v>
      </c>
      <c r="H7200" s="6" t="s">
        <v>45846</v>
      </c>
      <c r="K7200" s="5" t="s">
        <v>45834</v>
      </c>
      <c r="M7200" s="5" t="s">
        <v>45847</v>
      </c>
      <c r="N7200" s="7" t="s">
        <v>45848</v>
      </c>
      <c r="O7200" s="8" t="str">
        <f>HYPERLINK("https://drive.google.com/file/d/1HyfPGfRi8-c3YJsbQs9bfSdx3wP3tvV9/view?usp=drivesdk","7199_RISTO TINES,S.Kom _ SERTIFIKAT BerAKHLAK")</f>
        <v>7199_RISTO TINES,S.Kom _ SERTIFIKAT BerAKHLAK</v>
      </c>
      <c r="P7200" s="5" t="s">
        <v>45849</v>
      </c>
    </row>
    <row r="7201" hidden="1">
      <c r="A7201" s="4">
        <v>45534.37882107639</v>
      </c>
      <c r="B7201" s="5" t="s">
        <v>19</v>
      </c>
      <c r="C7201" s="5" t="s">
        <v>5564</v>
      </c>
      <c r="E7201" s="5" t="s">
        <v>45850</v>
      </c>
      <c r="F7201" s="5" t="s">
        <v>375</v>
      </c>
      <c r="G7201" s="5" t="s">
        <v>45851</v>
      </c>
      <c r="H7201" s="6" t="s">
        <v>45852</v>
      </c>
      <c r="K7201" s="5" t="s">
        <v>45834</v>
      </c>
      <c r="M7201" s="5" t="s">
        <v>45853</v>
      </c>
      <c r="N7201" s="7" t="s">
        <v>45854</v>
      </c>
      <c r="O7201" s="8" t="str">
        <f>HYPERLINK("https://drive.google.com/file/d/15eHoGUWEzImn8JWjM4jQ8_TWIN782Rbn/view?usp=drivesdk","7200_EEN ROCHAENI _ SERTIFIKAT BerAKHLAK")</f>
        <v>7200_EEN ROCHAENI _ SERTIFIKAT BerAKHLAK</v>
      </c>
      <c r="P7201" s="5" t="s">
        <v>45855</v>
      </c>
    </row>
    <row r="7202">
      <c r="A7202" s="4">
        <v>45534.37882828704</v>
      </c>
      <c r="B7202" s="5" t="s">
        <v>34</v>
      </c>
      <c r="D7202" s="5" t="s">
        <v>9020</v>
      </c>
      <c r="E7202" s="5" t="s">
        <v>23159</v>
      </c>
      <c r="F7202" s="5" t="s">
        <v>37</v>
      </c>
      <c r="G7202" s="5" t="s">
        <v>45856</v>
      </c>
      <c r="H7202" s="6" t="s">
        <v>45857</v>
      </c>
      <c r="K7202" s="5" t="s">
        <v>45834</v>
      </c>
      <c r="M7202" s="5" t="s">
        <v>45858</v>
      </c>
      <c r="N7202" s="7" t="s">
        <v>45859</v>
      </c>
      <c r="O7202" s="8" t="str">
        <f>HYPERLINK("https://drive.google.com/file/d/1DWpF4CRWAhJffAhs-4kZChSsw26Kdaaz/view?usp=drivesdk","7201_DEWI WAHYUNI _ SERTIFIKAT BerAKHLAK")</f>
        <v>7201_DEWI WAHYUNI _ SERTIFIKAT BerAKHLAK</v>
      </c>
      <c r="P7202" s="5" t="s">
        <v>45860</v>
      </c>
    </row>
    <row r="7203">
      <c r="A7203" s="4">
        <v>45534.37883666667</v>
      </c>
      <c r="B7203" s="5" t="s">
        <v>34</v>
      </c>
      <c r="D7203" s="5" t="s">
        <v>1206</v>
      </c>
      <c r="E7203" s="5" t="s">
        <v>45861</v>
      </c>
      <c r="F7203" s="5" t="s">
        <v>212</v>
      </c>
      <c r="G7203" s="5" t="s">
        <v>45862</v>
      </c>
      <c r="H7203" s="6" t="s">
        <v>45863</v>
      </c>
      <c r="K7203" s="5" t="s">
        <v>45834</v>
      </c>
      <c r="M7203" s="5" t="s">
        <v>45864</v>
      </c>
      <c r="N7203" s="7" t="s">
        <v>45865</v>
      </c>
      <c r="O7203" s="8" t="str">
        <f>HYPERLINK("https://drive.google.com/file/d/1RrXwhB1CyEkkwyJ76X5pgmD01TGXZzAT/view?usp=drivesdk","7202_HARI WIDODO _ SERTIFIKAT BerAKHLAK")</f>
        <v>7202_HARI WIDODO _ SERTIFIKAT BerAKHLAK</v>
      </c>
      <c r="P7203" s="5" t="s">
        <v>45866</v>
      </c>
    </row>
    <row r="7204">
      <c r="A7204" s="4">
        <v>45534.378847395834</v>
      </c>
      <c r="B7204" s="5" t="s">
        <v>34</v>
      </c>
      <c r="D7204" s="5" t="s">
        <v>35</v>
      </c>
      <c r="E7204" s="5" t="s">
        <v>45867</v>
      </c>
      <c r="F7204" s="5" t="s">
        <v>524</v>
      </c>
      <c r="G7204" s="5" t="s">
        <v>45868</v>
      </c>
      <c r="H7204" s="6" t="s">
        <v>45869</v>
      </c>
      <c r="K7204" s="5" t="s">
        <v>45834</v>
      </c>
      <c r="M7204" s="5" t="s">
        <v>45870</v>
      </c>
      <c r="N7204" s="7" t="s">
        <v>45871</v>
      </c>
      <c r="O7204" s="8" t="str">
        <f>HYPERLINK("https://drive.google.com/file/d/17rjum_g7uoxxeMSD1WK7MEO8ewGDRUTL/view?usp=drivesdk","7203_ARIES ARIFIN W _ SERTIFIKAT BerAKHLAK")</f>
        <v>7203_ARIES ARIFIN W _ SERTIFIKAT BerAKHLAK</v>
      </c>
      <c r="P7204" s="5" t="s">
        <v>45872</v>
      </c>
    </row>
    <row r="7205">
      <c r="A7205" s="4">
        <v>45534.378856435185</v>
      </c>
      <c r="B7205" s="5" t="s">
        <v>34</v>
      </c>
      <c r="D7205" s="5" t="s">
        <v>604</v>
      </c>
      <c r="E7205" s="5" t="s">
        <v>45873</v>
      </c>
      <c r="F7205" s="5" t="s">
        <v>108</v>
      </c>
      <c r="G7205" s="5" t="s">
        <v>45874</v>
      </c>
      <c r="H7205" s="6" t="s">
        <v>45875</v>
      </c>
      <c r="K7205" s="5" t="s">
        <v>45876</v>
      </c>
      <c r="M7205" s="5" t="s">
        <v>45877</v>
      </c>
      <c r="N7205" s="7" t="s">
        <v>45878</v>
      </c>
      <c r="O7205" s="8" t="str">
        <f>HYPERLINK("https://drive.google.com/file/d/1M_V6EWc4fz0qaJC8wxXsphNrpCONcA2W/view?usp=drivesdk","7204_dr. DESSY RAHMADANI _ SERTIFIKAT BerAKHLAK")</f>
        <v>7204_dr. DESSY RAHMADANI _ SERTIFIKAT BerAKHLAK</v>
      </c>
      <c r="P7205" s="5" t="s">
        <v>45879</v>
      </c>
    </row>
    <row r="7206">
      <c r="A7206" s="4">
        <v>45534.37885903935</v>
      </c>
      <c r="B7206" s="5" t="s">
        <v>34</v>
      </c>
      <c r="D7206" s="5" t="s">
        <v>4775</v>
      </c>
      <c r="E7206" s="5" t="s">
        <v>45880</v>
      </c>
      <c r="F7206" s="5" t="s">
        <v>37</v>
      </c>
      <c r="G7206" s="5" t="s">
        <v>45881</v>
      </c>
      <c r="H7206" s="6" t="s">
        <v>45882</v>
      </c>
      <c r="K7206" s="5" t="s">
        <v>45876</v>
      </c>
      <c r="M7206" s="5" t="s">
        <v>45883</v>
      </c>
      <c r="N7206" s="7" t="s">
        <v>45884</v>
      </c>
      <c r="O7206" s="8" t="str">
        <f>HYPERLINK("https://drive.google.com/file/d/1vKvXXMC-4RmsXcxYxOKFxHz9YFOhl1Du/view?usp=drivesdk","7205_ENI YULISWATI _ SERTIFIKAT BerAKHLAK")</f>
        <v>7205_ENI YULISWATI _ SERTIFIKAT BerAKHLAK</v>
      </c>
      <c r="P7206" s="5" t="s">
        <v>45885</v>
      </c>
    </row>
    <row r="7207">
      <c r="A7207" s="4">
        <v>45534.37886726852</v>
      </c>
      <c r="B7207" s="5" t="s">
        <v>34</v>
      </c>
      <c r="D7207" s="5" t="s">
        <v>1206</v>
      </c>
      <c r="E7207" s="5" t="s">
        <v>45886</v>
      </c>
      <c r="F7207" s="5" t="s">
        <v>212</v>
      </c>
      <c r="G7207" s="5" t="s">
        <v>45887</v>
      </c>
      <c r="H7207" s="6" t="s">
        <v>45888</v>
      </c>
      <c r="K7207" s="5" t="s">
        <v>45876</v>
      </c>
      <c r="M7207" s="5" t="s">
        <v>45889</v>
      </c>
      <c r="N7207" s="7" t="s">
        <v>45890</v>
      </c>
      <c r="O7207" s="8" t="str">
        <f>HYPERLINK("https://drive.google.com/file/d/1pnZb5yVPiOR1ZmMy7Zz1fHY7SPDuAaG3/view?usp=drivesdk","7206_JUBASONI _ SERTIFIKAT BerAKHLAK")</f>
        <v>7206_JUBASONI _ SERTIFIKAT BerAKHLAK</v>
      </c>
      <c r="P7207" s="5" t="s">
        <v>45891</v>
      </c>
    </row>
    <row r="7208" hidden="1">
      <c r="A7208" s="4">
        <v>45534.37893611111</v>
      </c>
      <c r="B7208" s="5" t="s">
        <v>19</v>
      </c>
      <c r="C7208" s="5" t="s">
        <v>292</v>
      </c>
      <c r="E7208" s="5" t="s">
        <v>45892</v>
      </c>
      <c r="F7208" s="5" t="s">
        <v>375</v>
      </c>
      <c r="G7208" s="5" t="s">
        <v>45893</v>
      </c>
      <c r="H7208" s="6" t="s">
        <v>45894</v>
      </c>
      <c r="K7208" s="5" t="s">
        <v>45895</v>
      </c>
      <c r="M7208" s="5" t="s">
        <v>45896</v>
      </c>
      <c r="N7208" s="7" t="s">
        <v>45897</v>
      </c>
      <c r="O7208" s="8" t="str">
        <f>HYPERLINK("https://drive.google.com/file/d/1vYbk6rC0LGUH7ZmxwFmHRJnLQYZrEj8b/view?usp=drivesdk","7207_DIAN PRAMUDYA WARDANI.SS _ SERTIFIKAT BerAKHLAK")</f>
        <v>7207_DIAN PRAMUDYA WARDANI.SS _ SERTIFIKAT BerAKHLAK</v>
      </c>
      <c r="P7208" s="5" t="s">
        <v>45898</v>
      </c>
    </row>
    <row r="7209">
      <c r="A7209" s="4">
        <v>45534.378985</v>
      </c>
      <c r="B7209" s="5" t="s">
        <v>34</v>
      </c>
      <c r="D7209" s="5" t="s">
        <v>2903</v>
      </c>
      <c r="E7209" s="5" t="s">
        <v>45899</v>
      </c>
      <c r="F7209" s="5" t="s">
        <v>524</v>
      </c>
      <c r="G7209" s="5" t="s">
        <v>45900</v>
      </c>
      <c r="H7209" s="6" t="s">
        <v>45901</v>
      </c>
      <c r="K7209" s="5" t="s">
        <v>45902</v>
      </c>
      <c r="M7209" s="5" t="s">
        <v>45903</v>
      </c>
      <c r="N7209" s="7" t="s">
        <v>45904</v>
      </c>
      <c r="O7209" s="8" t="str">
        <f>HYPERLINK("https://drive.google.com/file/d/1sQ26Hk-QRgT4gqZTGTIrNj2wraRX-QE5/view?usp=drivesdk","7208_YESI SUSANTI, SKM _ SERTIFIKAT BerAKHLAK")</f>
        <v>7208_YESI SUSANTI, SKM _ SERTIFIKAT BerAKHLAK</v>
      </c>
      <c r="P7209" s="5" t="s">
        <v>45905</v>
      </c>
    </row>
    <row r="7210">
      <c r="A7210" s="4">
        <v>45534.37900763889</v>
      </c>
      <c r="B7210" s="5" t="s">
        <v>34</v>
      </c>
      <c r="D7210" s="5" t="s">
        <v>701</v>
      </c>
      <c r="E7210" s="5" t="s">
        <v>45906</v>
      </c>
      <c r="F7210" s="5" t="s">
        <v>108</v>
      </c>
      <c r="G7210" s="5" t="s">
        <v>45907</v>
      </c>
      <c r="H7210" s="6" t="s">
        <v>45908</v>
      </c>
      <c r="K7210" s="5" t="s">
        <v>45909</v>
      </c>
      <c r="M7210" s="5" t="s">
        <v>45910</v>
      </c>
      <c r="N7210" s="7" t="s">
        <v>45911</v>
      </c>
      <c r="O7210" s="8" t="str">
        <f>HYPERLINK("https://drive.google.com/file/d/1Dm6bacFvx3S9Ylve2Rmvgn2L935qcvX2/view?usp=drivesdk","7209_RAHAYU DARWANTI _ SERTIFIKAT BerAKHLAK")</f>
        <v>7209_RAHAYU DARWANTI _ SERTIFIKAT BerAKHLAK</v>
      </c>
      <c r="P7210" s="5" t="s">
        <v>45912</v>
      </c>
    </row>
    <row r="7211">
      <c r="A7211" s="4">
        <v>45534.37903115741</v>
      </c>
      <c r="B7211" s="5" t="s">
        <v>34</v>
      </c>
      <c r="D7211" s="5" t="s">
        <v>4775</v>
      </c>
      <c r="E7211" s="5" t="s">
        <v>45913</v>
      </c>
      <c r="F7211" s="5" t="s">
        <v>212</v>
      </c>
      <c r="G7211" s="5" t="s">
        <v>45914</v>
      </c>
      <c r="H7211" s="6" t="s">
        <v>45915</v>
      </c>
      <c r="K7211" s="5" t="s">
        <v>45909</v>
      </c>
      <c r="M7211" s="5" t="s">
        <v>45916</v>
      </c>
      <c r="N7211" s="7" t="s">
        <v>45917</v>
      </c>
      <c r="O7211" s="8" t="str">
        <f>HYPERLINK("https://drive.google.com/file/d/1NxTcDWcp3QANG4ZDQaPJQXAysSZ88HMX/view?usp=drivesdk","7210_NINIK ERNAWATI  _ SERTIFIKAT BerAKHLAK")</f>
        <v>7210_NINIK ERNAWATI  _ SERTIFIKAT BerAKHLAK</v>
      </c>
      <c r="P7211" s="5" t="s">
        <v>45918</v>
      </c>
    </row>
    <row r="7212">
      <c r="A7212" s="4">
        <v>45534.379042858796</v>
      </c>
      <c r="B7212" s="5" t="s">
        <v>34</v>
      </c>
      <c r="D7212" s="5" t="s">
        <v>1558</v>
      </c>
      <c r="E7212" s="5" t="s">
        <v>45919</v>
      </c>
      <c r="F7212" s="5" t="s">
        <v>199</v>
      </c>
      <c r="G7212" s="5" t="s">
        <v>45920</v>
      </c>
      <c r="H7212" s="6" t="s">
        <v>45921</v>
      </c>
      <c r="K7212" s="5" t="s">
        <v>45922</v>
      </c>
      <c r="M7212" s="5" t="s">
        <v>45923</v>
      </c>
      <c r="N7212" s="7" t="s">
        <v>45924</v>
      </c>
      <c r="O7212" s="8" t="str">
        <f>HYPERLINK("https://drive.google.com/file/d/1DLrCKtB_J7g8x_0MzjjN4NLWlb4BI77X/view?usp=drivesdk","7211_JUDIAWAN LAKSMONO SH _ SERTIFIKAT BerAKHLAK")</f>
        <v>7211_JUDIAWAN LAKSMONO SH _ SERTIFIKAT BerAKHLAK</v>
      </c>
      <c r="P7212" s="5" t="s">
        <v>45925</v>
      </c>
    </row>
    <row r="7213">
      <c r="A7213" s="4">
        <v>45534.37905240741</v>
      </c>
      <c r="B7213" s="5" t="s">
        <v>34</v>
      </c>
      <c r="D7213" s="5" t="s">
        <v>4775</v>
      </c>
      <c r="E7213" s="5" t="s">
        <v>45926</v>
      </c>
      <c r="F7213" s="5" t="s">
        <v>524</v>
      </c>
      <c r="G7213" s="5" t="s">
        <v>45927</v>
      </c>
      <c r="H7213" s="6" t="s">
        <v>45928</v>
      </c>
      <c r="K7213" s="5" t="s">
        <v>45922</v>
      </c>
      <c r="M7213" s="5" t="s">
        <v>45929</v>
      </c>
      <c r="N7213" s="7" t="s">
        <v>45930</v>
      </c>
      <c r="O7213" s="8" t="str">
        <f>HYPERLINK("https://drive.google.com/file/d/1d0vHw1iF6KumBjinMOBdrSqicYYRLqLQ/view?usp=drivesdk","7212_IRA LINDIYANI S.Kep _ SERTIFIKAT BerAKHLAK")</f>
        <v>7212_IRA LINDIYANI S.Kep _ SERTIFIKAT BerAKHLAK</v>
      </c>
      <c r="P7213" s="5" t="s">
        <v>45931</v>
      </c>
    </row>
    <row r="7214">
      <c r="A7214" s="4">
        <v>45534.379054212965</v>
      </c>
      <c r="B7214" s="5" t="s">
        <v>34</v>
      </c>
      <c r="D7214" s="5" t="s">
        <v>3432</v>
      </c>
      <c r="E7214" s="5" t="s">
        <v>45932</v>
      </c>
      <c r="F7214" s="5" t="s">
        <v>524</v>
      </c>
      <c r="G7214" s="5" t="s">
        <v>45933</v>
      </c>
      <c r="H7214" s="6" t="s">
        <v>45934</v>
      </c>
      <c r="K7214" s="5" t="s">
        <v>45922</v>
      </c>
      <c r="M7214" s="5" t="s">
        <v>45935</v>
      </c>
      <c r="N7214" s="7" t="s">
        <v>45936</v>
      </c>
      <c r="O7214" s="8" t="str">
        <f>HYPERLINK("https://drive.google.com/file/d/1t5FcQWUuOgsHUxmJN9GGRRnJabGXMaek/view?usp=drivesdk","7213_IRYANTI, S.E. _ SERTIFIKAT BerAKHLAK")</f>
        <v>7213_IRYANTI, S.E. _ SERTIFIKAT BerAKHLAK</v>
      </c>
      <c r="P7214" s="5" t="s">
        <v>45937</v>
      </c>
    </row>
    <row r="7215">
      <c r="A7215" s="4">
        <v>45534.37905440972</v>
      </c>
      <c r="B7215" s="5" t="s">
        <v>34</v>
      </c>
      <c r="D7215" s="5" t="s">
        <v>1206</v>
      </c>
      <c r="E7215" s="5" t="s">
        <v>45938</v>
      </c>
      <c r="F7215" s="5" t="s">
        <v>212</v>
      </c>
      <c r="G7215" s="5" t="s">
        <v>45939</v>
      </c>
      <c r="H7215" s="6" t="s">
        <v>45940</v>
      </c>
      <c r="K7215" s="5" t="s">
        <v>45922</v>
      </c>
      <c r="M7215" s="5" t="s">
        <v>45941</v>
      </c>
      <c r="N7215" s="7" t="s">
        <v>45942</v>
      </c>
      <c r="O7215" s="8" t="str">
        <f>HYPERLINK("https://drive.google.com/file/d/1eC9qL4R_3E6my2T36hFUuaTEpS4Dl2Kb/view?usp=drivesdk","7214_M HASAN _ SERTIFIKAT BerAKHLAK")</f>
        <v>7214_M HASAN _ SERTIFIKAT BerAKHLAK</v>
      </c>
      <c r="P7215" s="5" t="s">
        <v>45943</v>
      </c>
    </row>
    <row r="7216">
      <c r="A7216" s="4">
        <v>45534.379060844905</v>
      </c>
      <c r="B7216" s="5" t="s">
        <v>34</v>
      </c>
      <c r="D7216" s="5" t="s">
        <v>1206</v>
      </c>
      <c r="E7216" s="5" t="s">
        <v>45944</v>
      </c>
      <c r="F7216" s="5" t="s">
        <v>212</v>
      </c>
      <c r="G7216" s="5" t="s">
        <v>45945</v>
      </c>
      <c r="H7216" s="6" t="s">
        <v>45946</v>
      </c>
      <c r="K7216" s="5" t="s">
        <v>45922</v>
      </c>
      <c r="M7216" s="5" t="s">
        <v>45947</v>
      </c>
      <c r="N7216" s="7" t="s">
        <v>45948</v>
      </c>
      <c r="O7216" s="8" t="str">
        <f>HYPERLINK("https://drive.google.com/file/d/1HJHoMNbGsk1JL90CgHBQKcrK6su1-V2u/view?usp=drivesdk","7215_YUSAK MARSUDI _ SERTIFIKAT BerAKHLAK")</f>
        <v>7215_YUSAK MARSUDI _ SERTIFIKAT BerAKHLAK</v>
      </c>
      <c r="P7216" s="5" t="s">
        <v>45949</v>
      </c>
    </row>
    <row r="7217">
      <c r="A7217" s="4">
        <v>45534.379087442125</v>
      </c>
      <c r="B7217" s="5" t="s">
        <v>34</v>
      </c>
      <c r="D7217" s="5" t="s">
        <v>9020</v>
      </c>
      <c r="E7217" s="5" t="s">
        <v>45950</v>
      </c>
      <c r="F7217" s="5" t="s">
        <v>212</v>
      </c>
      <c r="G7217" s="5" t="s">
        <v>45951</v>
      </c>
      <c r="H7217" s="6" t="s">
        <v>45952</v>
      </c>
      <c r="K7217" s="5" t="s">
        <v>45953</v>
      </c>
      <c r="M7217" s="5" t="s">
        <v>45954</v>
      </c>
      <c r="N7217" s="7" t="s">
        <v>45955</v>
      </c>
      <c r="O7217" s="8" t="str">
        <f>HYPERLINK("https://drive.google.com/file/d/1oaAi_DuTuzSL9Bvx0-oQMT93VqP_9_8_/view?usp=drivesdk","7216_NURLINDA BR GINTING _ SERTIFIKAT BerAKHLAK")</f>
        <v>7216_NURLINDA BR GINTING _ SERTIFIKAT BerAKHLAK</v>
      </c>
      <c r="P7217" s="5" t="s">
        <v>45956</v>
      </c>
    </row>
    <row r="7218">
      <c r="A7218" s="4">
        <v>45534.37910283565</v>
      </c>
      <c r="B7218" s="5" t="s">
        <v>34</v>
      </c>
      <c r="D7218" s="5" t="s">
        <v>1206</v>
      </c>
      <c r="E7218" s="5" t="s">
        <v>45957</v>
      </c>
      <c r="F7218" s="5" t="s">
        <v>524</v>
      </c>
      <c r="G7218" s="5" t="s">
        <v>45958</v>
      </c>
      <c r="H7218" s="6" t="s">
        <v>45959</v>
      </c>
      <c r="K7218" s="5" t="s">
        <v>45953</v>
      </c>
      <c r="M7218" s="5" t="s">
        <v>45960</v>
      </c>
      <c r="N7218" s="7" t="s">
        <v>45961</v>
      </c>
      <c r="O7218" s="8" t="str">
        <f>HYPERLINK("https://drive.google.com/file/d/1yu70fiHnoo4WniVFLSFP7G4U7dTSSu_M/view?usp=drivesdk","7217_KALIS SRI MULYANI, S.SOS. _ SERTIFIKAT BerAKHLAK")</f>
        <v>7217_KALIS SRI MULYANI, S.SOS. _ SERTIFIKAT BerAKHLAK</v>
      </c>
      <c r="P7218" s="5" t="s">
        <v>45962</v>
      </c>
    </row>
    <row r="7219">
      <c r="A7219" s="4">
        <v>45534.3791096412</v>
      </c>
      <c r="B7219" s="5" t="s">
        <v>34</v>
      </c>
      <c r="D7219" s="5" t="s">
        <v>1206</v>
      </c>
      <c r="E7219" s="5" t="s">
        <v>45963</v>
      </c>
      <c r="F7219" s="5" t="s">
        <v>212</v>
      </c>
      <c r="G7219" s="5" t="s">
        <v>45964</v>
      </c>
      <c r="H7219" s="6" t="s">
        <v>45965</v>
      </c>
      <c r="K7219" s="5" t="s">
        <v>45953</v>
      </c>
      <c r="M7219" s="5" t="s">
        <v>45966</v>
      </c>
      <c r="N7219" s="7" t="s">
        <v>45967</v>
      </c>
      <c r="O7219" s="8" t="str">
        <f>HYPERLINK("https://drive.google.com/file/d/14_6FNQU9g7VL0g4oi7des2_nHtl6iPW6/view?usp=drivesdk","7218_YANIS YAHYA UGIK _ SERTIFIKAT BerAKHLAK")</f>
        <v>7218_YANIS YAHYA UGIK _ SERTIFIKAT BerAKHLAK</v>
      </c>
      <c r="P7219" s="5" t="s">
        <v>45968</v>
      </c>
    </row>
    <row r="7220">
      <c r="A7220" s="4">
        <v>45534.379113703704</v>
      </c>
      <c r="B7220" s="5" t="s">
        <v>34</v>
      </c>
      <c r="D7220" s="5" t="s">
        <v>1558</v>
      </c>
      <c r="E7220" s="5" t="s">
        <v>45969</v>
      </c>
      <c r="F7220" s="5" t="s">
        <v>212</v>
      </c>
      <c r="G7220" s="5" t="s">
        <v>45970</v>
      </c>
      <c r="H7220" s="6" t="s">
        <v>45971</v>
      </c>
      <c r="K7220" s="5" t="s">
        <v>45953</v>
      </c>
      <c r="M7220" s="5" t="s">
        <v>45972</v>
      </c>
      <c r="N7220" s="7" t="s">
        <v>45973</v>
      </c>
      <c r="O7220" s="8" t="str">
        <f>HYPERLINK("https://drive.google.com/file/d/1Uyd0g_3QgM0rBvv3w7MZ3YDDXcRiQ_Ge/view?usp=drivesdk","7219_ERY ROMBE _ SERTIFIKAT BerAKHLAK")</f>
        <v>7219_ERY ROMBE _ SERTIFIKAT BerAKHLAK</v>
      </c>
      <c r="P7220" s="5" t="s">
        <v>45974</v>
      </c>
    </row>
    <row r="7221">
      <c r="A7221" s="4">
        <v>45534.37913282408</v>
      </c>
      <c r="B7221" s="5" t="s">
        <v>34</v>
      </c>
      <c r="D7221" s="5" t="s">
        <v>12978</v>
      </c>
      <c r="E7221" s="5" t="s">
        <v>45975</v>
      </c>
      <c r="F7221" s="5" t="s">
        <v>212</v>
      </c>
      <c r="G7221" s="5" t="s">
        <v>45976</v>
      </c>
      <c r="H7221" s="6" t="s">
        <v>45977</v>
      </c>
      <c r="K7221" s="5" t="s">
        <v>45953</v>
      </c>
      <c r="M7221" s="5" t="s">
        <v>45978</v>
      </c>
      <c r="N7221" s="7" t="s">
        <v>45979</v>
      </c>
      <c r="O7221" s="8" t="str">
        <f>HYPERLINK("https://drive.google.com/file/d/1nhcZ2XmoOQgU0t8KZVMXMIF3vmVNkrlT/view?usp=drivesdk","7220_DETISULASTRIMARYANI _ SERTIFIKAT BerAKHLAK")</f>
        <v>7220_DETISULASTRIMARYANI _ SERTIFIKAT BerAKHLAK</v>
      </c>
      <c r="P7221" s="5" t="s">
        <v>45980</v>
      </c>
    </row>
    <row r="7222" hidden="1">
      <c r="A7222" s="4">
        <v>45534.37914563657</v>
      </c>
      <c r="B7222" s="5" t="s">
        <v>19</v>
      </c>
      <c r="C7222" s="5" t="s">
        <v>30588</v>
      </c>
      <c r="E7222" s="5" t="s">
        <v>45981</v>
      </c>
      <c r="F7222" s="5" t="s">
        <v>375</v>
      </c>
      <c r="G7222" s="5" t="s">
        <v>45982</v>
      </c>
      <c r="H7222" s="6" t="s">
        <v>45983</v>
      </c>
      <c r="K7222" s="5" t="s">
        <v>45984</v>
      </c>
      <c r="M7222" s="5" t="s">
        <v>45985</v>
      </c>
      <c r="N7222" s="7" t="s">
        <v>45986</v>
      </c>
      <c r="O7222" s="8" t="str">
        <f>HYPERLINK("https://drive.google.com/file/d/1o4N6-xveou1ZHLlqQKAQyB8QToeMZ56x/view?usp=drivesdk","7221_SRI ANDARYATI, SAP _ SERTIFIKAT BerAKHLAK")</f>
        <v>7221_SRI ANDARYATI, SAP _ SERTIFIKAT BerAKHLAK</v>
      </c>
      <c r="P7222" s="5" t="s">
        <v>45987</v>
      </c>
    </row>
    <row r="7223" hidden="1">
      <c r="A7223" s="4">
        <v>45534.37915420139</v>
      </c>
      <c r="B7223" s="5" t="s">
        <v>19</v>
      </c>
      <c r="C7223" s="5" t="s">
        <v>45988</v>
      </c>
      <c r="E7223" s="5" t="s">
        <v>45989</v>
      </c>
      <c r="F7223" s="5" t="s">
        <v>212</v>
      </c>
      <c r="G7223" s="5" t="s">
        <v>45990</v>
      </c>
      <c r="H7223" s="6" t="s">
        <v>45991</v>
      </c>
      <c r="K7223" s="5" t="s">
        <v>45992</v>
      </c>
      <c r="M7223" s="5" t="s">
        <v>45993</v>
      </c>
      <c r="N7223" s="7" t="s">
        <v>45994</v>
      </c>
      <c r="O7223" s="8" t="str">
        <f>HYPERLINK("https://drive.google.com/file/d/1DR749KfBpnZ079B1DTlpkhmWEGFEXD9L/view?usp=drivesdk","7222_YUKE WRNAWATI _ SERTIFIKAT BerAKHLAK")</f>
        <v>7222_YUKE WRNAWATI _ SERTIFIKAT BerAKHLAK</v>
      </c>
      <c r="P7223" s="5" t="s">
        <v>45995</v>
      </c>
    </row>
    <row r="7224" hidden="1">
      <c r="A7224" s="4">
        <v>45534.379163101854</v>
      </c>
      <c r="B7224" s="5" t="s">
        <v>19</v>
      </c>
      <c r="C7224" s="5" t="s">
        <v>45988</v>
      </c>
      <c r="E7224" s="5" t="s">
        <v>45996</v>
      </c>
      <c r="F7224" s="5" t="s">
        <v>108</v>
      </c>
      <c r="G7224" s="5" t="s">
        <v>45997</v>
      </c>
      <c r="H7224" s="6" t="s">
        <v>45998</v>
      </c>
      <c r="K7224" s="5" t="s">
        <v>45992</v>
      </c>
      <c r="M7224" s="5" t="s">
        <v>45999</v>
      </c>
      <c r="N7224" s="7" t="s">
        <v>46000</v>
      </c>
      <c r="O7224" s="8" t="str">
        <f>HYPERLINK("https://drive.google.com/file/d/10ymSAWlEceJtK_dohi_7umF7rXp74i09/view?usp=drivesdk","7223_PURNA ATMAJA _ SERTIFIKAT BerAKHLAK")</f>
        <v>7223_PURNA ATMAJA _ SERTIFIKAT BerAKHLAK</v>
      </c>
      <c r="P7224" s="5" t="s">
        <v>46001</v>
      </c>
    </row>
    <row r="7225">
      <c r="A7225" s="4">
        <v>45534.37917105324</v>
      </c>
      <c r="B7225" s="5" t="s">
        <v>34</v>
      </c>
      <c r="D7225" s="5" t="s">
        <v>7858</v>
      </c>
      <c r="E7225" s="5" t="s">
        <v>46002</v>
      </c>
      <c r="F7225" s="5" t="s">
        <v>715</v>
      </c>
      <c r="G7225" s="5" t="s">
        <v>46003</v>
      </c>
      <c r="H7225" s="6" t="s">
        <v>46004</v>
      </c>
      <c r="K7225" s="5" t="s">
        <v>45992</v>
      </c>
      <c r="M7225" s="5" t="s">
        <v>46005</v>
      </c>
      <c r="N7225" s="7" t="s">
        <v>46006</v>
      </c>
      <c r="O7225" s="8" t="str">
        <f>HYPERLINK("https://drive.google.com/file/d/1Vxewv1g0MXx3tQ_oRkRZw0I6FXIWr-Tg/view?usp=drivesdk","7224_EVI DIYAH KUSUMANINGASTUTI, S.E. _ SERTIFIKAT BerAKHLAK")</f>
        <v>7224_EVI DIYAH KUSUMANINGASTUTI, S.E. _ SERTIFIKAT BerAKHLAK</v>
      </c>
      <c r="P7225" s="5" t="s">
        <v>46007</v>
      </c>
    </row>
    <row r="7226">
      <c r="A7226" s="4">
        <v>45534.37917526621</v>
      </c>
      <c r="B7226" s="5" t="s">
        <v>34</v>
      </c>
      <c r="D7226" s="5" t="s">
        <v>996</v>
      </c>
      <c r="E7226" s="5" t="s">
        <v>46008</v>
      </c>
      <c r="F7226" s="5" t="s">
        <v>199</v>
      </c>
      <c r="G7226" s="5" t="s">
        <v>46009</v>
      </c>
      <c r="H7226" s="6" t="s">
        <v>46010</v>
      </c>
      <c r="K7226" s="5" t="s">
        <v>45992</v>
      </c>
      <c r="M7226" s="5" t="s">
        <v>46011</v>
      </c>
      <c r="N7226" s="7" t="s">
        <v>46012</v>
      </c>
      <c r="O7226" s="8" t="str">
        <f>HYPERLINK("https://drive.google.com/file/d/1coJ9qSkoXE8Hb6n47LeMbNC-1cVrBv6F/view?usp=drivesdk","7225_KIYAMAH FITRIANI RIA SANTI _ SERTIFIKAT BerAKHLAK")</f>
        <v>7225_KIYAMAH FITRIANI RIA SANTI _ SERTIFIKAT BerAKHLAK</v>
      </c>
      <c r="P7226" s="5" t="s">
        <v>46013</v>
      </c>
    </row>
    <row r="7227">
      <c r="A7227" s="4">
        <v>45534.37919857639</v>
      </c>
      <c r="B7227" s="5" t="s">
        <v>34</v>
      </c>
      <c r="D7227" s="5" t="s">
        <v>14424</v>
      </c>
      <c r="E7227" s="5" t="s">
        <v>46014</v>
      </c>
      <c r="F7227" s="5" t="s">
        <v>72</v>
      </c>
      <c r="G7227" s="5" t="s">
        <v>46015</v>
      </c>
      <c r="H7227" s="6" t="s">
        <v>46016</v>
      </c>
      <c r="K7227" s="5" t="s">
        <v>46017</v>
      </c>
      <c r="M7227" s="5" t="s">
        <v>46018</v>
      </c>
      <c r="N7227" s="7" t="s">
        <v>46019</v>
      </c>
      <c r="O7227" s="8" t="str">
        <f>HYPERLINK("https://drive.google.com/file/d/168-34wbBFyBSoENf6qtp_CIBmSC8wOtM/view?usp=drivesdk","7226_BUCHLI _ SERTIFIKAT BerAKHLAK")</f>
        <v>7226_BUCHLI _ SERTIFIKAT BerAKHLAK</v>
      </c>
      <c r="P7227" s="5" t="s">
        <v>46020</v>
      </c>
    </row>
    <row r="7228">
      <c r="A7228" s="4">
        <v>45534.37920510417</v>
      </c>
      <c r="B7228" s="5" t="s">
        <v>34</v>
      </c>
      <c r="D7228" s="5" t="s">
        <v>1206</v>
      </c>
      <c r="E7228" s="5" t="s">
        <v>46021</v>
      </c>
      <c r="F7228" s="5" t="s">
        <v>37</v>
      </c>
      <c r="G7228" s="5" t="s">
        <v>46022</v>
      </c>
      <c r="H7228" s="6" t="s">
        <v>46023</v>
      </c>
      <c r="K7228" s="5" t="s">
        <v>46017</v>
      </c>
      <c r="M7228" s="5" t="s">
        <v>46024</v>
      </c>
      <c r="N7228" s="7" t="s">
        <v>46025</v>
      </c>
      <c r="O7228" s="8" t="str">
        <f>HYPERLINK("https://drive.google.com/file/d/1nkb8Ot4F5Ci0IfX1eczLwV6lPphi4Dky/view?usp=drivesdk","7227_GITO POLSEK GLENMORE _ SERTIFIKAT BerAKHLAK")</f>
        <v>7227_GITO POLSEK GLENMORE _ SERTIFIKAT BerAKHLAK</v>
      </c>
      <c r="P7228" s="5" t="s">
        <v>46026</v>
      </c>
    </row>
    <row r="7229">
      <c r="A7229" s="4">
        <v>45534.379213148146</v>
      </c>
      <c r="B7229" s="5" t="s">
        <v>34</v>
      </c>
      <c r="D7229" s="5" t="s">
        <v>701</v>
      </c>
      <c r="E7229" s="5" t="s">
        <v>46027</v>
      </c>
      <c r="F7229" s="5" t="s">
        <v>212</v>
      </c>
      <c r="G7229" s="5" t="s">
        <v>46028</v>
      </c>
      <c r="H7229" s="6" t="s">
        <v>46029</v>
      </c>
      <c r="K7229" s="5" t="s">
        <v>46017</v>
      </c>
      <c r="M7229" s="5" t="s">
        <v>46030</v>
      </c>
      <c r="N7229" s="7" t="s">
        <v>46031</v>
      </c>
      <c r="O7229" s="8" t="str">
        <f>HYPERLINK("https://drive.google.com/file/d/1EwUKsm-cG-1oAq-fzEGehYRak5OiaPPx/view?usp=drivesdk","7228_RISTALIWARNI _ SERTIFIKAT BerAKHLAK")</f>
        <v>7228_RISTALIWARNI _ SERTIFIKAT BerAKHLAK</v>
      </c>
      <c r="P7229" s="5" t="s">
        <v>46032</v>
      </c>
    </row>
    <row r="7230" hidden="1">
      <c r="A7230" s="4">
        <v>45534.379225</v>
      </c>
      <c r="B7230" s="5" t="s">
        <v>19</v>
      </c>
      <c r="C7230" s="5" t="s">
        <v>40230</v>
      </c>
      <c r="E7230" s="5" t="s">
        <v>46033</v>
      </c>
      <c r="F7230" s="5" t="s">
        <v>375</v>
      </c>
      <c r="G7230" s="5" t="s">
        <v>46034</v>
      </c>
      <c r="H7230" s="6" t="s">
        <v>46035</v>
      </c>
      <c r="K7230" s="5" t="s">
        <v>46017</v>
      </c>
      <c r="M7230" s="5" t="s">
        <v>46036</v>
      </c>
      <c r="N7230" s="7" t="s">
        <v>46037</v>
      </c>
      <c r="O7230" s="8" t="str">
        <f>HYPERLINK("https://drive.google.com/file/d/1Qwqw27_OMRFxJMbuCn24hvrkAblH89P0/view?usp=drivesdk","7229_AIDA FATONAH _ SERTIFIKAT BerAKHLAK")</f>
        <v>7229_AIDA FATONAH _ SERTIFIKAT BerAKHLAK</v>
      </c>
      <c r="P7230" s="5" t="s">
        <v>46038</v>
      </c>
    </row>
    <row r="7231">
      <c r="A7231" s="4">
        <v>45534.37922821759</v>
      </c>
      <c r="B7231" s="5" t="s">
        <v>34</v>
      </c>
      <c r="D7231" s="5" t="s">
        <v>35</v>
      </c>
      <c r="E7231" s="5" t="s">
        <v>46039</v>
      </c>
      <c r="F7231" s="5" t="s">
        <v>108</v>
      </c>
      <c r="G7231" s="5" t="s">
        <v>46040</v>
      </c>
      <c r="H7231" s="6" t="s">
        <v>46041</v>
      </c>
      <c r="K7231" s="5" t="s">
        <v>46017</v>
      </c>
      <c r="M7231" s="5" t="s">
        <v>46042</v>
      </c>
      <c r="N7231" s="7" t="s">
        <v>46043</v>
      </c>
      <c r="O7231" s="8" t="str">
        <f>HYPERLINK("https://drive.google.com/file/d/1l3DZgtvGURqouic_wxNcESul19gh02ol/view?usp=drivesdk","7230_YUYUN KOMARIAH _ SERTIFIKAT BerAKHLAK")</f>
        <v>7230_YUYUN KOMARIAH _ SERTIFIKAT BerAKHLAK</v>
      </c>
      <c r="P7231" s="5" t="s">
        <v>46044</v>
      </c>
    </row>
    <row r="7232">
      <c r="A7232" s="4">
        <v>45534.37923835649</v>
      </c>
      <c r="B7232" s="5" t="s">
        <v>34</v>
      </c>
      <c r="D7232" s="5" t="s">
        <v>701</v>
      </c>
      <c r="E7232" s="5" t="s">
        <v>46045</v>
      </c>
      <c r="F7232" s="5" t="s">
        <v>212</v>
      </c>
      <c r="G7232" s="5" t="s">
        <v>46046</v>
      </c>
      <c r="H7232" s="6" t="s">
        <v>46047</v>
      </c>
      <c r="K7232" s="5" t="s">
        <v>46017</v>
      </c>
      <c r="M7232" s="5" t="s">
        <v>46048</v>
      </c>
      <c r="N7232" s="7" t="s">
        <v>46049</v>
      </c>
      <c r="O7232" s="8" t="str">
        <f>HYPERLINK("https://drive.google.com/file/d/15XBEZA3mXPxEZ-d7lAnnDzwl9pXbMfm1/view?usp=drivesdk","7231_ARNITA _ SERTIFIKAT BerAKHLAK")</f>
        <v>7231_ARNITA _ SERTIFIKAT BerAKHLAK</v>
      </c>
      <c r="P7232" s="5" t="s">
        <v>46050</v>
      </c>
    </row>
    <row r="7233">
      <c r="A7233" s="4">
        <v>45534.379245335644</v>
      </c>
      <c r="B7233" s="5" t="s">
        <v>34</v>
      </c>
      <c r="D7233" s="5" t="s">
        <v>996</v>
      </c>
      <c r="E7233" s="5" t="s">
        <v>46051</v>
      </c>
      <c r="F7233" s="5" t="s">
        <v>37</v>
      </c>
      <c r="G7233" s="5" t="s">
        <v>46052</v>
      </c>
      <c r="H7233" s="6" t="s">
        <v>46053</v>
      </c>
      <c r="K7233" s="5" t="s">
        <v>46017</v>
      </c>
      <c r="M7233" s="5" t="s">
        <v>46054</v>
      </c>
      <c r="N7233" s="7" t="s">
        <v>46055</v>
      </c>
      <c r="O7233" s="8" t="str">
        <f>HYPERLINK("https://drive.google.com/file/d/1dsJZkG0o-gmZfqcoWaYMgLg6hcVQ4Alz/view?usp=drivesdk","7232_NUR AISYAH _ SERTIFIKAT BerAKHLAK")</f>
        <v>7232_NUR AISYAH _ SERTIFIKAT BerAKHLAK</v>
      </c>
      <c r="P7233" s="5" t="s">
        <v>46056</v>
      </c>
    </row>
    <row r="7234">
      <c r="A7234" s="4">
        <v>45534.379260393514</v>
      </c>
      <c r="B7234" s="5" t="s">
        <v>34</v>
      </c>
      <c r="D7234" s="5" t="s">
        <v>4775</v>
      </c>
      <c r="E7234" s="5" t="s">
        <v>46057</v>
      </c>
      <c r="F7234" s="5" t="s">
        <v>199</v>
      </c>
      <c r="G7234" s="5" t="s">
        <v>46058</v>
      </c>
      <c r="H7234" s="6" t="s">
        <v>46059</v>
      </c>
      <c r="K7234" s="5" t="s">
        <v>46017</v>
      </c>
      <c r="M7234" s="5" t="s">
        <v>46060</v>
      </c>
      <c r="N7234" s="7" t="s">
        <v>46061</v>
      </c>
      <c r="O7234" s="8" t="str">
        <f>HYPERLINK("https://drive.google.com/file/d/1DEOZcG0yaD1E2xG-eSUg-JUecYLVDcuz/view?usp=drivesdk","7233_USAWATUN KHASANAH _ SERTIFIKAT BerAKHLAK")</f>
        <v>7233_USAWATUN KHASANAH _ SERTIFIKAT BerAKHLAK</v>
      </c>
      <c r="P7234" s="5" t="s">
        <v>46062</v>
      </c>
    </row>
    <row r="7235">
      <c r="A7235" s="4">
        <v>45534.37929049769</v>
      </c>
      <c r="B7235" s="5" t="s">
        <v>34</v>
      </c>
      <c r="D7235" s="5" t="s">
        <v>267</v>
      </c>
      <c r="E7235" s="5" t="s">
        <v>46063</v>
      </c>
      <c r="F7235" s="5" t="s">
        <v>375</v>
      </c>
      <c r="G7235" s="5" t="s">
        <v>46064</v>
      </c>
      <c r="H7235" s="6" t="s">
        <v>46065</v>
      </c>
      <c r="K7235" s="5" t="s">
        <v>46066</v>
      </c>
      <c r="M7235" s="5" t="s">
        <v>46067</v>
      </c>
      <c r="N7235" s="7" t="s">
        <v>46068</v>
      </c>
      <c r="O7235" s="8" t="str">
        <f>HYPERLINK("https://drive.google.com/file/d/1sNWuRmzVt1Ek4_8ZnA2daqCar-yjS_nQ/view?usp=drivesdk","7234_DRA.RR.WIDIASTUTI R _ SERTIFIKAT BerAKHLAK")</f>
        <v>7234_DRA.RR.WIDIASTUTI R _ SERTIFIKAT BerAKHLAK</v>
      </c>
      <c r="P7235" s="5" t="s">
        <v>46069</v>
      </c>
    </row>
    <row r="7236">
      <c r="A7236" s="4">
        <v>45534.37929762731</v>
      </c>
      <c r="B7236" s="5" t="s">
        <v>34</v>
      </c>
      <c r="D7236" s="5" t="s">
        <v>1456</v>
      </c>
      <c r="E7236" s="5" t="s">
        <v>46070</v>
      </c>
      <c r="F7236" s="5" t="s">
        <v>37</v>
      </c>
      <c r="G7236" s="5" t="s">
        <v>46071</v>
      </c>
      <c r="H7236" s="6" t="s">
        <v>46072</v>
      </c>
      <c r="K7236" s="5" t="s">
        <v>46066</v>
      </c>
      <c r="M7236" s="5" t="s">
        <v>46073</v>
      </c>
      <c r="N7236" s="7" t="s">
        <v>46074</v>
      </c>
      <c r="O7236" s="8" t="str">
        <f>HYPERLINK("https://drive.google.com/file/d/1ROyOw8qTuaxCZa86x0zYF8jpk26iAJY2/view?usp=drivesdk","7235_AGUS EFENDI _ SERTIFIKAT BerAKHLAK")</f>
        <v>7235_AGUS EFENDI _ SERTIFIKAT BerAKHLAK</v>
      </c>
      <c r="P7236" s="5" t="s">
        <v>46075</v>
      </c>
    </row>
    <row r="7237">
      <c r="A7237" s="4">
        <v>45534.37930885417</v>
      </c>
      <c r="B7237" s="5" t="s">
        <v>34</v>
      </c>
      <c r="D7237" s="5" t="s">
        <v>1206</v>
      </c>
      <c r="E7237" s="5" t="s">
        <v>46076</v>
      </c>
      <c r="F7237" s="5" t="s">
        <v>37</v>
      </c>
      <c r="G7237" s="5" t="s">
        <v>46077</v>
      </c>
      <c r="H7237" s="6" t="s">
        <v>46078</v>
      </c>
      <c r="K7237" s="5" t="s">
        <v>46066</v>
      </c>
      <c r="M7237" s="5" t="s">
        <v>46079</v>
      </c>
      <c r="N7237" s="7" t="s">
        <v>46080</v>
      </c>
      <c r="O7237" s="8" t="str">
        <f>HYPERLINK("https://drive.google.com/file/d/1XSL3w6LbD-rrli7GW5vc_tCb0uzk07Cp/view?usp=drivesdk","7236_DENIK INDRIYANI _ SERTIFIKAT BerAKHLAK")</f>
        <v>7236_DENIK INDRIYANI _ SERTIFIKAT BerAKHLAK</v>
      </c>
      <c r="P7237" s="5" t="s">
        <v>46081</v>
      </c>
    </row>
    <row r="7238" hidden="1">
      <c r="A7238" s="4">
        <v>45534.379327013885</v>
      </c>
      <c r="B7238" s="5" t="s">
        <v>19</v>
      </c>
      <c r="C7238" s="5" t="s">
        <v>45988</v>
      </c>
      <c r="E7238" s="5" t="s">
        <v>46082</v>
      </c>
      <c r="F7238" s="5" t="s">
        <v>108</v>
      </c>
      <c r="G7238" s="5" t="s">
        <v>46083</v>
      </c>
      <c r="H7238" s="6" t="s">
        <v>46084</v>
      </c>
      <c r="K7238" s="5" t="s">
        <v>46085</v>
      </c>
      <c r="M7238" s="5" t="s">
        <v>46086</v>
      </c>
      <c r="N7238" s="7" t="s">
        <v>46087</v>
      </c>
      <c r="O7238" s="8" t="str">
        <f>HYPERLINK("https://drive.google.com/file/d/1dQPHvpQw2q3GDePeCN6Z5TOHW56GPqQe/view?usp=drivesdk","7237_INDRI YUNIARTI, A.Md. _ SERTIFIKAT BerAKHLAK")</f>
        <v>7237_INDRI YUNIARTI, A.Md. _ SERTIFIKAT BerAKHLAK</v>
      </c>
      <c r="P7238" s="5" t="s">
        <v>46088</v>
      </c>
    </row>
    <row r="7239">
      <c r="A7239" s="4">
        <v>45534.37932702547</v>
      </c>
      <c r="B7239" s="5" t="s">
        <v>34</v>
      </c>
      <c r="D7239" s="5" t="s">
        <v>4775</v>
      </c>
      <c r="E7239" s="5" t="s">
        <v>46089</v>
      </c>
      <c r="F7239" s="5" t="s">
        <v>37</v>
      </c>
      <c r="G7239" s="5" t="s">
        <v>46090</v>
      </c>
      <c r="H7239" s="6" t="s">
        <v>46091</v>
      </c>
      <c r="K7239" s="5" t="s">
        <v>46085</v>
      </c>
      <c r="M7239" s="5" t="s">
        <v>46092</v>
      </c>
      <c r="N7239" s="7" t="s">
        <v>46093</v>
      </c>
      <c r="O7239" s="8" t="str">
        <f>HYPERLINK("https://drive.google.com/file/d/1pOLnuXUMdlBKNcZ1J25MXl3s4bGuW_M6/view?usp=drivesdk","7238_SUROTO _ SERTIFIKAT BerAKHLAK")</f>
        <v>7238_SUROTO _ SERTIFIKAT BerAKHLAK</v>
      </c>
      <c r="P7239" s="5" t="s">
        <v>46094</v>
      </c>
    </row>
    <row r="7240">
      <c r="A7240" s="4">
        <v>45534.3793446412</v>
      </c>
      <c r="B7240" s="5" t="s">
        <v>34</v>
      </c>
      <c r="D7240" s="5" t="s">
        <v>35</v>
      </c>
      <c r="E7240" s="5" t="s">
        <v>46095</v>
      </c>
      <c r="F7240" s="5" t="s">
        <v>72</v>
      </c>
      <c r="G7240" s="5" t="s">
        <v>46096</v>
      </c>
      <c r="H7240" s="6" t="s">
        <v>46097</v>
      </c>
      <c r="K7240" s="5" t="s">
        <v>46098</v>
      </c>
      <c r="M7240" s="5" t="s">
        <v>46099</v>
      </c>
      <c r="N7240" s="7" t="s">
        <v>46100</v>
      </c>
      <c r="O7240" s="8" t="str">
        <f>HYPERLINK("https://drive.google.com/file/d/1olcUpgCZjRwXDh_BO2qw4VbmNG7k5dSH/view?usp=drivesdk","7239_NURUL HAYAT  _ SERTIFIKAT BerAKHLAK")</f>
        <v>7239_NURUL HAYAT  _ SERTIFIKAT BerAKHLAK</v>
      </c>
      <c r="P7240" s="5" t="s">
        <v>46101</v>
      </c>
    </row>
    <row r="7241">
      <c r="A7241" s="4">
        <v>45534.379377708334</v>
      </c>
      <c r="B7241" s="5" t="s">
        <v>34</v>
      </c>
      <c r="D7241" s="5" t="s">
        <v>4775</v>
      </c>
      <c r="E7241" s="5" t="s">
        <v>46102</v>
      </c>
      <c r="F7241" s="5" t="s">
        <v>37</v>
      </c>
      <c r="G7241" s="5" t="s">
        <v>46103</v>
      </c>
      <c r="H7241" s="6" t="s">
        <v>46104</v>
      </c>
      <c r="K7241" s="5" t="s">
        <v>46105</v>
      </c>
      <c r="M7241" s="5" t="s">
        <v>46106</v>
      </c>
      <c r="N7241" s="7" t="s">
        <v>46107</v>
      </c>
      <c r="O7241" s="8" t="str">
        <f>HYPERLINK("https://drive.google.com/file/d/1ukHc9Tg8Nbe7iVEhwoQF6wsy0mL0Qvqg/view?usp=drivesdk","7240_WASKITO ADI KISWORO _ SERTIFIKAT BerAKHLAK")</f>
        <v>7240_WASKITO ADI KISWORO _ SERTIFIKAT BerAKHLAK</v>
      </c>
      <c r="P7241" s="5" t="s">
        <v>46108</v>
      </c>
    </row>
    <row r="7242">
      <c r="A7242" s="4">
        <v>45534.37940006945</v>
      </c>
      <c r="B7242" s="5" t="s">
        <v>34</v>
      </c>
      <c r="D7242" s="5" t="s">
        <v>4775</v>
      </c>
      <c r="E7242" s="5" t="s">
        <v>46109</v>
      </c>
      <c r="F7242" s="5" t="s">
        <v>212</v>
      </c>
      <c r="G7242" s="5" t="s">
        <v>46110</v>
      </c>
      <c r="H7242" s="6" t="s">
        <v>46111</v>
      </c>
      <c r="K7242" s="5" t="s">
        <v>46112</v>
      </c>
      <c r="M7242" s="5" t="s">
        <v>46113</v>
      </c>
      <c r="N7242" s="7" t="s">
        <v>46114</v>
      </c>
      <c r="O7242" s="8" t="str">
        <f>HYPERLINK("https://drive.google.com/file/d/17iVGNvOma8PNKxYLvPbuDpfXTHhMOFxn/view?usp=drivesdk","7241_MULYANIINGTIAS _ SERTIFIKAT BerAKHLAK")</f>
        <v>7241_MULYANIINGTIAS _ SERTIFIKAT BerAKHLAK</v>
      </c>
      <c r="P7242" s="5" t="s">
        <v>46115</v>
      </c>
    </row>
    <row r="7243" hidden="1">
      <c r="A7243" s="4">
        <v>45534.379406215274</v>
      </c>
      <c r="B7243" s="5" t="s">
        <v>19</v>
      </c>
      <c r="C7243" s="5" t="s">
        <v>292</v>
      </c>
      <c r="E7243" s="5" t="s">
        <v>46116</v>
      </c>
      <c r="F7243" s="5" t="s">
        <v>524</v>
      </c>
      <c r="G7243" s="5" t="s">
        <v>46117</v>
      </c>
      <c r="H7243" s="6" t="s">
        <v>46118</v>
      </c>
      <c r="K7243" s="5" t="s">
        <v>46112</v>
      </c>
      <c r="M7243" s="5" t="s">
        <v>46119</v>
      </c>
      <c r="N7243" s="7" t="s">
        <v>46120</v>
      </c>
      <c r="O7243" s="8" t="str">
        <f>HYPERLINK("https://drive.google.com/file/d/1j14pFOzQnan9x_LUUQW5bQM89O7pSLTf/view?usp=drivesdk","7242_DANIA KHAIRUNNISA WARDHANA _ SERTIFIKAT BerAKHLAK")</f>
        <v>7242_DANIA KHAIRUNNISA WARDHANA _ SERTIFIKAT BerAKHLAK</v>
      </c>
      <c r="P7243" s="5" t="s">
        <v>46121</v>
      </c>
    </row>
    <row r="7244" hidden="1">
      <c r="A7244" s="4">
        <v>45534.3794271875</v>
      </c>
      <c r="B7244" s="5" t="s">
        <v>19</v>
      </c>
      <c r="C7244" s="5" t="s">
        <v>45988</v>
      </c>
      <c r="E7244" s="5" t="s">
        <v>46122</v>
      </c>
      <c r="F7244" s="5" t="s">
        <v>72</v>
      </c>
      <c r="G7244" s="5" t="s">
        <v>46123</v>
      </c>
      <c r="H7244" s="6" t="s">
        <v>46124</v>
      </c>
      <c r="K7244" s="5" t="s">
        <v>46125</v>
      </c>
      <c r="M7244" s="5" t="s">
        <v>46126</v>
      </c>
      <c r="N7244" s="7" t="s">
        <v>46127</v>
      </c>
      <c r="O7244" s="8" t="str">
        <f>HYPERLINK("https://drive.google.com/file/d/1Krtwwg8CaaRlTn-JLDhgtJxb1Wl9DPWj/view?usp=drivesdk","7243_AGUS SUTEJO  _ SERTIFIKAT BerAKHLAK")</f>
        <v>7243_AGUS SUTEJO  _ SERTIFIKAT BerAKHLAK</v>
      </c>
      <c r="P7244" s="5" t="s">
        <v>46128</v>
      </c>
    </row>
    <row r="7245" hidden="1">
      <c r="A7245" s="4">
        <v>45534.379428009255</v>
      </c>
      <c r="B7245" s="5" t="s">
        <v>19</v>
      </c>
      <c r="C7245" s="5" t="s">
        <v>40230</v>
      </c>
      <c r="E7245" s="5" t="s">
        <v>46129</v>
      </c>
      <c r="F7245" s="5" t="s">
        <v>72</v>
      </c>
      <c r="G7245" s="5" t="s">
        <v>46130</v>
      </c>
      <c r="H7245" s="6" t="s">
        <v>46131</v>
      </c>
      <c r="K7245" s="5" t="s">
        <v>46125</v>
      </c>
      <c r="M7245" s="5" t="s">
        <v>46132</v>
      </c>
      <c r="N7245" s="7" t="s">
        <v>46133</v>
      </c>
      <c r="O7245" s="8" t="str">
        <f>HYPERLINK("https://drive.google.com/file/d/176StO4-ROrmm8eGZMF8tVBtCr3DIeNqk/view?usp=drivesdk","7244_SARiZAL, A.Md., S.M. _ SERTIFIKAT BerAKHLAK")</f>
        <v>7244_SARiZAL, A.Md., S.M. _ SERTIFIKAT BerAKHLAK</v>
      </c>
      <c r="P7245" s="5" t="s">
        <v>46134</v>
      </c>
    </row>
    <row r="7246">
      <c r="A7246" s="4">
        <v>45534.37944739583</v>
      </c>
      <c r="B7246" s="5" t="s">
        <v>34</v>
      </c>
      <c r="D7246" s="5" t="s">
        <v>12010</v>
      </c>
      <c r="E7246" s="5" t="s">
        <v>46135</v>
      </c>
      <c r="F7246" s="5" t="s">
        <v>120</v>
      </c>
      <c r="G7246" s="5" t="s">
        <v>46136</v>
      </c>
      <c r="H7246" s="6" t="s">
        <v>46137</v>
      </c>
      <c r="K7246" s="5" t="s">
        <v>46125</v>
      </c>
      <c r="M7246" s="5" t="s">
        <v>46138</v>
      </c>
      <c r="N7246" s="7" t="s">
        <v>46139</v>
      </c>
      <c r="O7246" s="8" t="str">
        <f>HYPERLINK("https://drive.google.com/file/d/1JPrwfGz-jcUj_4AoYlx-lBvbqyYBtqSF/view?usp=drivesdk","7245_YOYOK HERMANTO, SE _ SERTIFIKAT BerAKHLAK")</f>
        <v>7245_YOYOK HERMANTO, SE _ SERTIFIKAT BerAKHLAK</v>
      </c>
      <c r="P7246" s="5" t="s">
        <v>46140</v>
      </c>
    </row>
    <row r="7247">
      <c r="A7247" s="4">
        <v>45534.37947989583</v>
      </c>
      <c r="B7247" s="5" t="s">
        <v>34</v>
      </c>
      <c r="D7247" s="5" t="s">
        <v>12978</v>
      </c>
      <c r="E7247" s="5" t="s">
        <v>46141</v>
      </c>
      <c r="F7247" s="5" t="s">
        <v>37</v>
      </c>
      <c r="G7247" s="5" t="s">
        <v>46142</v>
      </c>
      <c r="H7247" s="6" t="s">
        <v>46143</v>
      </c>
      <c r="K7247" s="5" t="s">
        <v>46144</v>
      </c>
      <c r="M7247" s="5" t="s">
        <v>46145</v>
      </c>
      <c r="N7247" s="7" t="s">
        <v>46146</v>
      </c>
      <c r="O7247" s="8" t="str">
        <f>HYPERLINK("https://drive.google.com/file/d/174FzlsVKcAlck-PhHa1Nypuf7dWeruQu/view?usp=drivesdk","7246_RIDUAN EFENDI _ SERTIFIKAT BerAKHLAK")</f>
        <v>7246_RIDUAN EFENDI _ SERTIFIKAT BerAKHLAK</v>
      </c>
      <c r="P7247" s="5" t="s">
        <v>46147</v>
      </c>
    </row>
    <row r="7248">
      <c r="A7248" s="4">
        <v>45534.37949121528</v>
      </c>
      <c r="B7248" s="5" t="s">
        <v>34</v>
      </c>
      <c r="D7248" s="5" t="s">
        <v>1558</v>
      </c>
      <c r="E7248" s="5" t="s">
        <v>46148</v>
      </c>
      <c r="F7248" s="5" t="s">
        <v>212</v>
      </c>
      <c r="G7248" s="5" t="s">
        <v>46149</v>
      </c>
      <c r="H7248" s="6" t="s">
        <v>46150</v>
      </c>
      <c r="K7248" s="5" t="s">
        <v>46144</v>
      </c>
      <c r="M7248" s="5" t="s">
        <v>46151</v>
      </c>
      <c r="N7248" s="7" t="s">
        <v>46152</v>
      </c>
      <c r="O7248" s="8" t="str">
        <f>HYPERLINK("https://drive.google.com/file/d/1pvW_mZwm_9ETAYY-_UoaEqOx_kgeLIW2/view?usp=drivesdk","7247_INDRIANINGSIH. H _ SERTIFIKAT BerAKHLAK")</f>
        <v>7247_INDRIANINGSIH. H _ SERTIFIKAT BerAKHLAK</v>
      </c>
      <c r="P7248" s="5" t="s">
        <v>46153</v>
      </c>
    </row>
    <row r="7249">
      <c r="A7249" s="4">
        <v>45534.3794961574</v>
      </c>
      <c r="B7249" s="5" t="s">
        <v>34</v>
      </c>
      <c r="D7249" s="5" t="s">
        <v>35</v>
      </c>
      <c r="E7249" s="5" t="s">
        <v>46154</v>
      </c>
      <c r="F7249" s="5" t="s">
        <v>524</v>
      </c>
      <c r="G7249" s="5" t="s">
        <v>46155</v>
      </c>
      <c r="H7249" s="6" t="s">
        <v>46156</v>
      </c>
      <c r="K7249" s="5" t="s">
        <v>46144</v>
      </c>
      <c r="M7249" s="5" t="s">
        <v>46157</v>
      </c>
      <c r="N7249" s="7" t="s">
        <v>46158</v>
      </c>
      <c r="O7249" s="8" t="str">
        <f>HYPERLINK("https://drive.google.com/file/d/1_Ev9MTdC-0acxio52M84mrAaZHZEew88/view?usp=drivesdk","7248_NOVI SARI _ SERTIFIKAT BerAKHLAK")</f>
        <v>7248_NOVI SARI _ SERTIFIKAT BerAKHLAK</v>
      </c>
      <c r="P7249" s="5" t="s">
        <v>46159</v>
      </c>
    </row>
    <row r="7250">
      <c r="A7250" s="4">
        <v>45534.379527048615</v>
      </c>
      <c r="B7250" s="5" t="s">
        <v>34</v>
      </c>
      <c r="D7250" s="5" t="s">
        <v>4775</v>
      </c>
      <c r="E7250" s="5" t="s">
        <v>46160</v>
      </c>
      <c r="F7250" s="5" t="s">
        <v>524</v>
      </c>
      <c r="G7250" s="5" t="s">
        <v>46161</v>
      </c>
      <c r="H7250" s="6" t="s">
        <v>46162</v>
      </c>
      <c r="K7250" s="5" t="s">
        <v>46163</v>
      </c>
      <c r="M7250" s="5" t="s">
        <v>46164</v>
      </c>
      <c r="N7250" s="7" t="s">
        <v>46165</v>
      </c>
      <c r="O7250" s="8" t="str">
        <f>HYPERLINK("https://drive.google.com/file/d/1_5MR5lIVh7-BRHKKlBETOqW049OyfrPb/view?usp=drivesdk","7249_PURNOMO, S.Ak. _ SERTIFIKAT BerAKHLAK")</f>
        <v>7249_PURNOMO, S.Ak. _ SERTIFIKAT BerAKHLAK</v>
      </c>
      <c r="P7250" s="5" t="s">
        <v>46166</v>
      </c>
    </row>
    <row r="7251">
      <c r="A7251" s="4">
        <v>45534.37952986111</v>
      </c>
      <c r="B7251" s="5" t="s">
        <v>34</v>
      </c>
      <c r="D7251" s="5" t="s">
        <v>9020</v>
      </c>
      <c r="E7251" s="5" t="s">
        <v>46167</v>
      </c>
      <c r="F7251" s="5" t="s">
        <v>375</v>
      </c>
      <c r="G7251" s="5" t="s">
        <v>46168</v>
      </c>
      <c r="H7251" s="6" t="s">
        <v>46169</v>
      </c>
      <c r="K7251" s="5" t="s">
        <v>46163</v>
      </c>
      <c r="M7251" s="5" t="s">
        <v>46170</v>
      </c>
      <c r="N7251" s="7" t="s">
        <v>46171</v>
      </c>
      <c r="O7251" s="8" t="str">
        <f>HYPERLINK("https://drive.google.com/file/d/1xlfa3WXQhLCEDZ7LMxqnIN1niur25Ns-/view?usp=drivesdk","7250_SONTIAR NAPITUPULU _ SERTIFIKAT BerAKHLAK")</f>
        <v>7250_SONTIAR NAPITUPULU _ SERTIFIKAT BerAKHLAK</v>
      </c>
      <c r="P7251" s="5" t="s">
        <v>46172</v>
      </c>
    </row>
    <row r="7252">
      <c r="A7252" s="4">
        <v>45534.379542546296</v>
      </c>
      <c r="B7252" s="5" t="s">
        <v>34</v>
      </c>
      <c r="D7252" s="5" t="s">
        <v>14424</v>
      </c>
      <c r="E7252" s="5" t="s">
        <v>46173</v>
      </c>
      <c r="F7252" s="5" t="s">
        <v>108</v>
      </c>
      <c r="G7252" s="5" t="s">
        <v>46174</v>
      </c>
      <c r="H7252" s="6" t="s">
        <v>46175</v>
      </c>
      <c r="K7252" s="5" t="s">
        <v>46176</v>
      </c>
      <c r="M7252" s="5" t="s">
        <v>46177</v>
      </c>
      <c r="N7252" s="7" t="s">
        <v>46178</v>
      </c>
      <c r="O7252" s="8" t="str">
        <f>HYPERLINK("https://drive.google.com/file/d/1FSgsUMcMO9-Uh7blb3r918oKEGHtudMo/view?usp=drivesdk","7251_Rita Agustiyanda S Farm.,Apt _ SERTIFIKAT BerAKHLAK")</f>
        <v>7251_Rita Agustiyanda S Farm.,Apt _ SERTIFIKAT BerAKHLAK</v>
      </c>
      <c r="P7252" s="5" t="s">
        <v>46179</v>
      </c>
    </row>
    <row r="7253">
      <c r="A7253" s="4">
        <v>45534.3795744213</v>
      </c>
      <c r="B7253" s="5" t="s">
        <v>34</v>
      </c>
      <c r="D7253" s="5" t="s">
        <v>701</v>
      </c>
      <c r="E7253" s="5" t="s">
        <v>46180</v>
      </c>
      <c r="F7253" s="5" t="s">
        <v>524</v>
      </c>
      <c r="G7253" s="5" t="s">
        <v>46181</v>
      </c>
      <c r="H7253" s="6" t="s">
        <v>46182</v>
      </c>
      <c r="K7253" s="5" t="s">
        <v>46176</v>
      </c>
      <c r="M7253" s="5" t="s">
        <v>46183</v>
      </c>
      <c r="N7253" s="7" t="s">
        <v>46184</v>
      </c>
      <c r="O7253" s="8" t="str">
        <f>HYPERLINK("https://drive.google.com/file/d/1HwL7ZZEcOjOic-sJ9Uo8kwAUPXPHjafp/view?usp=drivesdk","7252_AFRENITA ROSYA, S.H. _ SERTIFIKAT BerAKHLAK")</f>
        <v>7252_AFRENITA ROSYA, S.H. _ SERTIFIKAT BerAKHLAK</v>
      </c>
      <c r="P7253" s="5" t="s">
        <v>46185</v>
      </c>
    </row>
    <row r="7254">
      <c r="A7254" s="4">
        <v>45534.37958385417</v>
      </c>
      <c r="B7254" s="5" t="s">
        <v>34</v>
      </c>
      <c r="D7254" s="5" t="s">
        <v>4775</v>
      </c>
      <c r="E7254" s="5" t="s">
        <v>46186</v>
      </c>
      <c r="F7254" s="5" t="s">
        <v>212</v>
      </c>
      <c r="G7254" s="5" t="s">
        <v>46187</v>
      </c>
      <c r="H7254" s="6" t="s">
        <v>46188</v>
      </c>
      <c r="K7254" s="5" t="s">
        <v>46176</v>
      </c>
      <c r="M7254" s="5" t="s">
        <v>46189</v>
      </c>
      <c r="N7254" s="7" t="s">
        <v>46190</v>
      </c>
      <c r="O7254" s="8" t="str">
        <f>HYPERLINK("https://drive.google.com/file/d/1a89w7WpgAx6C-esYn6JLkwigtX6R6Euk/view?usp=drivesdk","7253_SUWARNO _ SERTIFIKAT BerAKHLAK")</f>
        <v>7253_SUWARNO _ SERTIFIKAT BerAKHLAK</v>
      </c>
      <c r="P7254" s="5" t="s">
        <v>46191</v>
      </c>
    </row>
    <row r="7255">
      <c r="A7255" s="4">
        <v>45534.37959189815</v>
      </c>
      <c r="B7255" s="5" t="s">
        <v>34</v>
      </c>
      <c r="D7255" s="5" t="s">
        <v>12978</v>
      </c>
      <c r="E7255" s="5" t="s">
        <v>46192</v>
      </c>
      <c r="F7255" s="5" t="s">
        <v>108</v>
      </c>
      <c r="G7255" s="5" t="s">
        <v>46193</v>
      </c>
      <c r="H7255" s="6" t="s">
        <v>46194</v>
      </c>
      <c r="K7255" s="5" t="s">
        <v>46176</v>
      </c>
      <c r="M7255" s="5" t="s">
        <v>46195</v>
      </c>
      <c r="N7255" s="7" t="s">
        <v>46196</v>
      </c>
      <c r="O7255" s="8" t="str">
        <f>HYPERLINK("https://drive.google.com/file/d/14G3wGqQ447x3YIZkPmbN1K9MfSg_JjJs/view?usp=drivesdk","7254_HARYONO _ SERTIFIKAT BerAKHLAK")</f>
        <v>7254_HARYONO _ SERTIFIKAT BerAKHLAK</v>
      </c>
      <c r="P7255" s="5" t="s">
        <v>46197</v>
      </c>
    </row>
    <row r="7256">
      <c r="A7256" s="4">
        <v>45534.37961387732</v>
      </c>
      <c r="B7256" s="5" t="s">
        <v>34</v>
      </c>
      <c r="D7256" s="5" t="s">
        <v>4775</v>
      </c>
      <c r="E7256" s="5" t="s">
        <v>46198</v>
      </c>
      <c r="F7256" s="5" t="s">
        <v>212</v>
      </c>
      <c r="G7256" s="5" t="s">
        <v>46199</v>
      </c>
      <c r="H7256" s="6" t="s">
        <v>46200</v>
      </c>
      <c r="K7256" s="5" t="s">
        <v>46201</v>
      </c>
      <c r="M7256" s="5" t="s">
        <v>46202</v>
      </c>
      <c r="N7256" s="7" t="s">
        <v>46203</v>
      </c>
      <c r="O7256" s="8" t="str">
        <f>HYPERLINK("https://drive.google.com/file/d/13l4_hfsu0F3TT5y8dSFQOhQah4oJPUcU/view?usp=drivesdk","7255_ADY PRASETYO _ SERTIFIKAT BerAKHLAK")</f>
        <v>7255_ADY PRASETYO _ SERTIFIKAT BerAKHLAK</v>
      </c>
      <c r="P7256" s="5" t="s">
        <v>46204</v>
      </c>
    </row>
    <row r="7257">
      <c r="A7257" s="4">
        <v>45534.37961537037</v>
      </c>
      <c r="B7257" s="5" t="s">
        <v>34</v>
      </c>
      <c r="D7257" s="5" t="s">
        <v>1558</v>
      </c>
      <c r="E7257" s="5" t="s">
        <v>46205</v>
      </c>
      <c r="F7257" s="5" t="s">
        <v>37</v>
      </c>
      <c r="G7257" s="5" t="s">
        <v>46206</v>
      </c>
      <c r="H7257" s="6" t="s">
        <v>46207</v>
      </c>
      <c r="K7257" s="5" t="s">
        <v>46201</v>
      </c>
      <c r="M7257" s="5" t="s">
        <v>46208</v>
      </c>
      <c r="N7257" s="7" t="s">
        <v>46209</v>
      </c>
      <c r="O7257" s="8" t="str">
        <f>HYPERLINK("https://drive.google.com/file/d/10-cn3xbtKmhmEirmWpP-OcxNueFzaTK7/view?usp=drivesdk","7256_NUR MAYA SAFITRI A.Md.Kep _ SERTIFIKAT BerAKHLAK")</f>
        <v>7256_NUR MAYA SAFITRI A.Md.Kep _ SERTIFIKAT BerAKHLAK</v>
      </c>
      <c r="P7257" s="5" t="s">
        <v>46210</v>
      </c>
    </row>
    <row r="7258">
      <c r="A7258" s="4">
        <v>45534.37961921297</v>
      </c>
      <c r="B7258" s="5" t="s">
        <v>34</v>
      </c>
      <c r="D7258" s="5" t="s">
        <v>4775</v>
      </c>
      <c r="E7258" s="5" t="s">
        <v>46211</v>
      </c>
      <c r="F7258" s="5" t="s">
        <v>37</v>
      </c>
      <c r="G7258" s="5" t="s">
        <v>46212</v>
      </c>
      <c r="H7258" s="6" t="s">
        <v>46213</v>
      </c>
      <c r="K7258" s="5" t="s">
        <v>46201</v>
      </c>
      <c r="M7258" s="5" t="s">
        <v>46214</v>
      </c>
      <c r="N7258" s="7" t="s">
        <v>46215</v>
      </c>
      <c r="O7258" s="8" t="str">
        <f>HYPERLINK("https://drive.google.com/file/d/19fakL2f2HQZBfiOliHp3Yflf0zSOOQvf/view?usp=drivesdk","7257_KHOLIF NUSIFATUL MASITOH _ SERTIFIKAT BerAKHLAK")</f>
        <v>7257_KHOLIF NUSIFATUL MASITOH _ SERTIFIKAT BerAKHLAK</v>
      </c>
      <c r="P7258" s="5" t="s">
        <v>46216</v>
      </c>
    </row>
    <row r="7259">
      <c r="A7259" s="4">
        <v>45534.37963509259</v>
      </c>
      <c r="B7259" s="5" t="s">
        <v>34</v>
      </c>
      <c r="D7259" s="5" t="s">
        <v>9020</v>
      </c>
      <c r="E7259" s="5" t="s">
        <v>46217</v>
      </c>
      <c r="F7259" s="5" t="s">
        <v>524</v>
      </c>
      <c r="G7259" s="5" t="s">
        <v>46218</v>
      </c>
      <c r="H7259" s="6" t="s">
        <v>46219</v>
      </c>
      <c r="K7259" s="5" t="s">
        <v>46201</v>
      </c>
      <c r="M7259" s="5" t="s">
        <v>46220</v>
      </c>
      <c r="N7259" s="7" t="s">
        <v>46221</v>
      </c>
      <c r="O7259" s="8" t="str">
        <f>HYPERLINK("https://drive.google.com/file/d/1nLVVZ6nS8bQiNDrq1mWhuzcGPnfgyvVH/view?usp=drivesdk","7258_Sartana Pardede, SKM _ SERTIFIKAT BerAKHLAK")</f>
        <v>7258_Sartana Pardede, SKM _ SERTIFIKAT BerAKHLAK</v>
      </c>
      <c r="P7259" s="5" t="s">
        <v>46222</v>
      </c>
    </row>
    <row r="7260">
      <c r="A7260" s="4">
        <v>45534.37963730324</v>
      </c>
      <c r="B7260" s="5" t="s">
        <v>34</v>
      </c>
      <c r="D7260" s="5" t="s">
        <v>280</v>
      </c>
      <c r="E7260" s="5" t="s">
        <v>46223</v>
      </c>
      <c r="F7260" s="5" t="s">
        <v>524</v>
      </c>
      <c r="G7260" s="5" t="s">
        <v>46224</v>
      </c>
      <c r="H7260" s="6" t="s">
        <v>46225</v>
      </c>
      <c r="K7260" s="5" t="s">
        <v>46201</v>
      </c>
      <c r="M7260" s="5" t="s">
        <v>46226</v>
      </c>
      <c r="N7260" s="7" t="s">
        <v>46227</v>
      </c>
      <c r="O7260" s="8" t="str">
        <f>HYPERLINK("https://drive.google.com/file/d/1FPcr9k7DAiITCgdk-w3cCH-x2lsedZpS/view?usp=drivesdk","7259_YULIA ARMAN.AMD _ SERTIFIKAT BerAKHLAK")</f>
        <v>7259_YULIA ARMAN.AMD _ SERTIFIKAT BerAKHLAK</v>
      </c>
      <c r="P7260" s="5" t="s">
        <v>46228</v>
      </c>
    </row>
    <row r="7261">
      <c r="A7261" s="4">
        <v>45534.3796506713</v>
      </c>
      <c r="B7261" s="5" t="s">
        <v>34</v>
      </c>
      <c r="D7261" s="5" t="s">
        <v>701</v>
      </c>
      <c r="E7261" s="5" t="s">
        <v>46229</v>
      </c>
      <c r="F7261" s="5" t="s">
        <v>37</v>
      </c>
      <c r="G7261" s="5" t="s">
        <v>46230</v>
      </c>
      <c r="H7261" s="6" t="s">
        <v>46231</v>
      </c>
      <c r="K7261" s="5" t="s">
        <v>46201</v>
      </c>
      <c r="M7261" s="5" t="s">
        <v>46232</v>
      </c>
      <c r="N7261" s="7" t="s">
        <v>46233</v>
      </c>
      <c r="O7261" s="8" t="str">
        <f>HYPERLINK("https://drive.google.com/file/d/1uQjSXItcV5XgQrfWlR3Qt1UkfWFf_0v4/view?usp=drivesdk","7260_GIVI RAHMADANIS _ SERTIFIKAT BerAKHLAK")</f>
        <v>7260_GIVI RAHMADANIS _ SERTIFIKAT BerAKHLAK</v>
      </c>
      <c r="P7261" s="5" t="s">
        <v>46234</v>
      </c>
    </row>
    <row r="7262">
      <c r="A7262" s="4">
        <v>45534.379669745365</v>
      </c>
      <c r="B7262" s="5" t="s">
        <v>34</v>
      </c>
      <c r="D7262" s="5" t="s">
        <v>4775</v>
      </c>
      <c r="E7262" s="5" t="s">
        <v>46235</v>
      </c>
      <c r="F7262" s="5" t="s">
        <v>212</v>
      </c>
      <c r="G7262" s="5" t="s">
        <v>46236</v>
      </c>
      <c r="H7262" s="6" t="s">
        <v>46237</v>
      </c>
      <c r="K7262" s="5" t="s">
        <v>46238</v>
      </c>
      <c r="M7262" s="5" t="s">
        <v>46239</v>
      </c>
      <c r="N7262" s="7" t="s">
        <v>46240</v>
      </c>
      <c r="O7262" s="8" t="str">
        <f>HYPERLINK("https://drive.google.com/file/d/11ZcRf5QiCY_gqtrJkUJWni-xRg1doCol/view?usp=drivesdk","7261_IKA YUNIASTUTI _ SERTIFIKAT BerAKHLAK")</f>
        <v>7261_IKA YUNIASTUTI _ SERTIFIKAT BerAKHLAK</v>
      </c>
      <c r="P7262" s="5" t="s">
        <v>46241</v>
      </c>
    </row>
    <row r="7263">
      <c r="A7263" s="4">
        <v>45534.37967862269</v>
      </c>
      <c r="B7263" s="5" t="s">
        <v>34</v>
      </c>
      <c r="D7263" s="5" t="s">
        <v>1206</v>
      </c>
      <c r="E7263" s="5" t="s">
        <v>46242</v>
      </c>
      <c r="F7263" s="5" t="s">
        <v>37</v>
      </c>
      <c r="G7263" s="5" t="s">
        <v>46243</v>
      </c>
      <c r="H7263" s="6" t="s">
        <v>46244</v>
      </c>
      <c r="K7263" s="5" t="s">
        <v>46238</v>
      </c>
      <c r="M7263" s="5" t="s">
        <v>46245</v>
      </c>
      <c r="N7263" s="7" t="s">
        <v>46246</v>
      </c>
      <c r="O7263" s="8" t="str">
        <f>HYPERLINK("https://drive.google.com/file/d/1UbzMo0L9Mr-tSMdZwQ4tYD-SQY6x6Dh0/view?usp=drivesdk","7262_EKO WIDODO,S.Pd _ SERTIFIKAT BerAKHLAK")</f>
        <v>7262_EKO WIDODO,S.Pd _ SERTIFIKAT BerAKHLAK</v>
      </c>
      <c r="P7263" s="5" t="s">
        <v>46247</v>
      </c>
    </row>
    <row r="7264">
      <c r="A7264" s="4">
        <v>45534.37967920139</v>
      </c>
      <c r="B7264" s="5" t="s">
        <v>34</v>
      </c>
      <c r="D7264" s="5" t="s">
        <v>1206</v>
      </c>
      <c r="E7264" s="5" t="s">
        <v>46248</v>
      </c>
      <c r="F7264" s="5" t="s">
        <v>108</v>
      </c>
      <c r="G7264" s="5" t="s">
        <v>46249</v>
      </c>
      <c r="H7264" s="6" t="s">
        <v>46250</v>
      </c>
      <c r="K7264" s="5" t="s">
        <v>46238</v>
      </c>
      <c r="M7264" s="5" t="s">
        <v>46251</v>
      </c>
      <c r="N7264" s="7" t="s">
        <v>46252</v>
      </c>
      <c r="O7264" s="8" t="str">
        <f>HYPERLINK("https://drive.google.com/file/d/1AvsI-ZH2jnkGqcWC124Sd6s1RpO_ZS7A/view?usp=drivesdk","7263_TOTOK WIBOWO S.E _ SERTIFIKAT BerAKHLAK")</f>
        <v>7263_TOTOK WIBOWO S.E _ SERTIFIKAT BerAKHLAK</v>
      </c>
      <c r="P7264" s="5" t="s">
        <v>46247</v>
      </c>
    </row>
    <row r="7265">
      <c r="A7265" s="4">
        <v>45534.3796978125</v>
      </c>
      <c r="B7265" s="5" t="s">
        <v>34</v>
      </c>
      <c r="D7265" s="5" t="s">
        <v>1558</v>
      </c>
      <c r="E7265" s="5" t="s">
        <v>46253</v>
      </c>
      <c r="F7265" s="5" t="s">
        <v>524</v>
      </c>
      <c r="G7265" s="5" t="s">
        <v>46254</v>
      </c>
      <c r="H7265" s="6" t="s">
        <v>46255</v>
      </c>
      <c r="K7265" s="5" t="s">
        <v>46256</v>
      </c>
      <c r="M7265" s="5" t="s">
        <v>46257</v>
      </c>
      <c r="N7265" s="7" t="s">
        <v>46258</v>
      </c>
      <c r="O7265" s="8" t="str">
        <f>HYPERLINK("https://drive.google.com/file/d/1y84c6dhspHLYs0_DKuqGGy2X_EaKYZPA/view?usp=drivesdk","7264_DEWI SUARSIH _ SERTIFIKAT BerAKHLAK")</f>
        <v>7264_DEWI SUARSIH _ SERTIFIKAT BerAKHLAK</v>
      </c>
      <c r="P7265" s="5" t="s">
        <v>46259</v>
      </c>
    </row>
    <row r="7266">
      <c r="A7266" s="4">
        <v>45534.37972283565</v>
      </c>
      <c r="B7266" s="5" t="s">
        <v>34</v>
      </c>
      <c r="D7266" s="5" t="s">
        <v>1206</v>
      </c>
      <c r="E7266" s="5" t="s">
        <v>46260</v>
      </c>
      <c r="F7266" s="5" t="s">
        <v>37</v>
      </c>
      <c r="G7266" s="5" t="s">
        <v>46261</v>
      </c>
      <c r="H7266" s="6" t="s">
        <v>46262</v>
      </c>
      <c r="K7266" s="5" t="s">
        <v>46263</v>
      </c>
      <c r="M7266" s="5" t="s">
        <v>46264</v>
      </c>
      <c r="N7266" s="7" t="s">
        <v>46265</v>
      </c>
      <c r="O7266" s="8" t="str">
        <f>HYPERLINK("https://drive.google.com/file/d/1ZaWpspxVsYbff-UIiesa663oQz5nF8-Z/view?usp=drivesdk","7265_YUNI NURHASANA _ SERTIFIKAT BerAKHLAK")</f>
        <v>7265_YUNI NURHASANA _ SERTIFIKAT BerAKHLAK</v>
      </c>
      <c r="P7266" s="5" t="s">
        <v>46259</v>
      </c>
    </row>
    <row r="7267">
      <c r="A7267" s="4">
        <v>45534.37972592593</v>
      </c>
      <c r="B7267" s="5" t="s">
        <v>34</v>
      </c>
      <c r="D7267" s="5" t="s">
        <v>522</v>
      </c>
      <c r="E7267" s="5" t="s">
        <v>46266</v>
      </c>
      <c r="F7267" s="5" t="s">
        <v>715</v>
      </c>
      <c r="G7267" s="5" t="s">
        <v>716</v>
      </c>
      <c r="H7267" s="6" t="s">
        <v>46267</v>
      </c>
      <c r="K7267" s="5" t="s">
        <v>46263</v>
      </c>
      <c r="M7267" s="5" t="s">
        <v>46268</v>
      </c>
      <c r="N7267" s="7" t="s">
        <v>46269</v>
      </c>
      <c r="O7267" s="8" t="str">
        <f>HYPERLINK("https://drive.google.com/file/d/1ZjfQTVBe9IVq5PaABn9IIT0rlqXKxWM8/view?usp=drivesdk","7266_ERNI FEBRIANTI, SE _ SERTIFIKAT BerAKHLAK")</f>
        <v>7266_ERNI FEBRIANTI, SE _ SERTIFIKAT BerAKHLAK</v>
      </c>
      <c r="P7267" s="5" t="s">
        <v>46259</v>
      </c>
    </row>
    <row r="7268">
      <c r="A7268" s="4">
        <v>45534.37973231482</v>
      </c>
      <c r="B7268" s="5" t="s">
        <v>34</v>
      </c>
      <c r="D7268" s="5" t="s">
        <v>4775</v>
      </c>
      <c r="E7268" s="5" t="s">
        <v>46270</v>
      </c>
      <c r="F7268" s="5" t="s">
        <v>108</v>
      </c>
      <c r="G7268" s="5" t="s">
        <v>46271</v>
      </c>
      <c r="H7268" s="6" t="s">
        <v>46272</v>
      </c>
      <c r="K7268" s="5" t="s">
        <v>46263</v>
      </c>
      <c r="M7268" s="5" t="s">
        <v>46273</v>
      </c>
      <c r="N7268" s="7" t="s">
        <v>46274</v>
      </c>
      <c r="O7268" s="8" t="str">
        <f>HYPERLINK("https://drive.google.com/file/d/1RvS_Vifwoh8Ga96ZLwXW0iPHlKh8fr-s/view?usp=drivesdk","7267_NINDYAH PANGESTUNINGSIH,S.KEP _ SERTIFIKAT BerAKHLAK")</f>
        <v>7267_NINDYAH PANGESTUNINGSIH,S.KEP _ SERTIFIKAT BerAKHLAK</v>
      </c>
      <c r="P7268" s="5" t="s">
        <v>46259</v>
      </c>
    </row>
    <row r="7269">
      <c r="A7269" s="4">
        <v>45534.379736944444</v>
      </c>
      <c r="B7269" s="5" t="s">
        <v>34</v>
      </c>
      <c r="D7269" s="5" t="s">
        <v>1456</v>
      </c>
      <c r="E7269" s="5" t="s">
        <v>46275</v>
      </c>
      <c r="F7269" s="5" t="s">
        <v>212</v>
      </c>
      <c r="G7269" s="5" t="s">
        <v>46276</v>
      </c>
      <c r="H7269" s="6" t="s">
        <v>46277</v>
      </c>
      <c r="K7269" s="5" t="s">
        <v>46263</v>
      </c>
      <c r="M7269" s="5" t="s">
        <v>46278</v>
      </c>
      <c r="N7269" s="7" t="s">
        <v>46279</v>
      </c>
      <c r="O7269" s="8" t="str">
        <f>HYPERLINK("https://drive.google.com/file/d/1Y_UllqcQJgPF-PBIhbLqoHQi-G9DeNl2/view?usp=drivesdk","7268_NUMIARNI,S.H _ SERTIFIKAT BerAKHLAK")</f>
        <v>7268_NUMIARNI,S.H _ SERTIFIKAT BerAKHLAK</v>
      </c>
      <c r="P7269" s="5" t="s">
        <v>46280</v>
      </c>
    </row>
    <row r="7270">
      <c r="A7270" s="4">
        <v>45534.379738958334</v>
      </c>
      <c r="B7270" s="5" t="s">
        <v>34</v>
      </c>
      <c r="D7270" s="5" t="s">
        <v>1206</v>
      </c>
      <c r="E7270" s="5" t="s">
        <v>46281</v>
      </c>
      <c r="F7270" s="5" t="s">
        <v>375</v>
      </c>
      <c r="G7270" s="5" t="s">
        <v>46282</v>
      </c>
      <c r="H7270" s="6" t="s">
        <v>46283</v>
      </c>
      <c r="K7270" s="5" t="s">
        <v>46263</v>
      </c>
      <c r="M7270" s="5" t="s">
        <v>46284</v>
      </c>
      <c r="N7270" s="7" t="s">
        <v>46285</v>
      </c>
      <c r="O7270" s="8" t="str">
        <f>HYPERLINK("https://drive.google.com/file/d/1Z-KZ7ROGIg__lHiADAaTEFVJVDNBOBET/view?usp=drivesdk","7269_MIRA HANDAYANI _ SERTIFIKAT BerAKHLAK")</f>
        <v>7269_MIRA HANDAYANI _ SERTIFIKAT BerAKHLAK</v>
      </c>
      <c r="P7270" s="5" t="s">
        <v>46280</v>
      </c>
    </row>
    <row r="7271">
      <c r="A7271" s="4">
        <v>45534.37975408565</v>
      </c>
      <c r="B7271" s="5" t="s">
        <v>34</v>
      </c>
      <c r="D7271" s="5" t="s">
        <v>9394</v>
      </c>
      <c r="E7271" s="5" t="s">
        <v>46286</v>
      </c>
      <c r="F7271" s="5" t="s">
        <v>524</v>
      </c>
      <c r="G7271" s="5" t="s">
        <v>46287</v>
      </c>
      <c r="H7271" s="6" t="s">
        <v>46288</v>
      </c>
      <c r="K7271" s="5" t="s">
        <v>46263</v>
      </c>
      <c r="M7271" s="5" t="s">
        <v>46289</v>
      </c>
      <c r="N7271" s="7" t="s">
        <v>46290</v>
      </c>
      <c r="O7271" s="8" t="str">
        <f>HYPERLINK("https://drive.google.com/file/d/1KpkHwybMg4GJtUDvG4g8Jsh0CdO9a6lX/view?usp=drivesdk","7270_SOPIYANDI, A.Md _ SERTIFIKAT BerAKHLAK")</f>
        <v>7270_SOPIYANDI, A.Md _ SERTIFIKAT BerAKHLAK</v>
      </c>
      <c r="P7271" s="5" t="s">
        <v>46280</v>
      </c>
    </row>
    <row r="7272">
      <c r="A7272" s="4">
        <v>45534.37976443287</v>
      </c>
      <c r="B7272" s="5" t="s">
        <v>34</v>
      </c>
      <c r="D7272" s="5" t="s">
        <v>1206</v>
      </c>
      <c r="E7272" s="5" t="s">
        <v>46291</v>
      </c>
      <c r="F7272" s="5" t="s">
        <v>212</v>
      </c>
      <c r="G7272" s="5" t="s">
        <v>46292</v>
      </c>
      <c r="H7272" s="6" t="s">
        <v>46293</v>
      </c>
      <c r="K7272" s="5" t="s">
        <v>46263</v>
      </c>
      <c r="M7272" s="5" t="s">
        <v>46294</v>
      </c>
      <c r="N7272" s="7" t="s">
        <v>46295</v>
      </c>
      <c r="O7272" s="8" t="str">
        <f>HYPERLINK("https://drive.google.com/file/d/1oSZ2wIDNV17OjFJq6jp_SLp9eA0ytLzF/view?usp=drivesdk","7271_YuLIANA NINGSIH _ SERTIFIKAT BerAKHLAK")</f>
        <v>7271_YuLIANA NINGSIH _ SERTIFIKAT BerAKHLAK</v>
      </c>
      <c r="P7272" s="5" t="s">
        <v>46280</v>
      </c>
    </row>
    <row r="7273">
      <c r="A7273" s="4">
        <v>45534.3797778588</v>
      </c>
      <c r="B7273" s="5" t="s">
        <v>34</v>
      </c>
      <c r="D7273" s="5" t="s">
        <v>280</v>
      </c>
      <c r="E7273" s="5" t="s">
        <v>46296</v>
      </c>
      <c r="F7273" s="5" t="s">
        <v>37</v>
      </c>
      <c r="G7273" s="5" t="s">
        <v>46297</v>
      </c>
      <c r="H7273" s="6" t="s">
        <v>46298</v>
      </c>
      <c r="K7273" s="5" t="s">
        <v>46299</v>
      </c>
      <c r="M7273" s="5" t="s">
        <v>46300</v>
      </c>
      <c r="N7273" s="7" t="s">
        <v>46301</v>
      </c>
      <c r="O7273" s="8" t="str">
        <f>HYPERLINK("https://drive.google.com/file/d/1PDHWpocyvDC9eJEiGg33qMWmH495qT9b/view?usp=drivesdk","7272_ELFINA,S.H. _ SERTIFIKAT BerAKHLAK")</f>
        <v>7272_ELFINA,S.H. _ SERTIFIKAT BerAKHLAK</v>
      </c>
      <c r="P7273" s="5" t="s">
        <v>46302</v>
      </c>
    </row>
    <row r="7274">
      <c r="A7274" s="4">
        <v>45534.37985326389</v>
      </c>
      <c r="B7274" s="5" t="s">
        <v>34</v>
      </c>
      <c r="D7274" s="5" t="s">
        <v>14424</v>
      </c>
      <c r="E7274" s="5" t="s">
        <v>46303</v>
      </c>
      <c r="F7274" s="5" t="s">
        <v>715</v>
      </c>
      <c r="G7274" s="5" t="s">
        <v>46304</v>
      </c>
      <c r="H7274" s="6" t="s">
        <v>46305</v>
      </c>
      <c r="K7274" s="5" t="s">
        <v>46306</v>
      </c>
      <c r="M7274" s="5" t="s">
        <v>46307</v>
      </c>
      <c r="N7274" s="7" t="s">
        <v>46308</v>
      </c>
      <c r="O7274" s="8" t="str">
        <f>HYPERLINK("https://drive.google.com/file/d/1apeMfaF08mvzjRCIZahkc_6eacuiycMt/view?usp=drivesdk","7273_Evi July Indriani  _ SERTIFIKAT BerAKHLAK")</f>
        <v>7273_Evi July Indriani  _ SERTIFIKAT BerAKHLAK</v>
      </c>
      <c r="P7274" s="5" t="s">
        <v>46302</v>
      </c>
    </row>
    <row r="7275">
      <c r="A7275" s="4">
        <v>45534.37985684028</v>
      </c>
      <c r="B7275" s="5" t="s">
        <v>34</v>
      </c>
      <c r="D7275" s="5" t="s">
        <v>1206</v>
      </c>
      <c r="E7275" s="5" t="s">
        <v>46309</v>
      </c>
      <c r="F7275" s="5" t="s">
        <v>37</v>
      </c>
      <c r="G7275" s="5" t="s">
        <v>46310</v>
      </c>
      <c r="H7275" s="6" t="s">
        <v>46311</v>
      </c>
      <c r="K7275" s="5" t="s">
        <v>46306</v>
      </c>
      <c r="M7275" s="5" t="s">
        <v>46312</v>
      </c>
      <c r="N7275" s="7" t="s">
        <v>46313</v>
      </c>
      <c r="O7275" s="8" t="str">
        <f>HYPERLINK("https://drive.google.com/file/d/1kzCNcu6vT6raMMtb0iEkxxGhQy07kSsJ/view?usp=drivesdk","7274_Desy Indria Sari _ SERTIFIKAT BerAKHLAK")</f>
        <v>7274_Desy Indria Sari _ SERTIFIKAT BerAKHLAK</v>
      </c>
      <c r="P7275" s="5" t="s">
        <v>46302</v>
      </c>
    </row>
    <row r="7276">
      <c r="A7276" s="4">
        <v>45534.379884317124</v>
      </c>
      <c r="B7276" s="5" t="s">
        <v>34</v>
      </c>
      <c r="D7276" s="5" t="s">
        <v>4775</v>
      </c>
      <c r="E7276" s="5" t="s">
        <v>46314</v>
      </c>
      <c r="F7276" s="5" t="s">
        <v>212</v>
      </c>
      <c r="G7276" s="5" t="s">
        <v>46315</v>
      </c>
      <c r="H7276" s="6" t="s">
        <v>46316</v>
      </c>
      <c r="K7276" s="5" t="s">
        <v>46317</v>
      </c>
      <c r="M7276" s="5" t="s">
        <v>46318</v>
      </c>
      <c r="N7276" s="7" t="s">
        <v>46319</v>
      </c>
      <c r="O7276" s="8" t="str">
        <f>HYPERLINK("https://drive.google.com/file/d/1MK4tPBSxEpbgzcX9Oj-8l3LzZDshsmpl/view?usp=drivesdk","7275_Dwi Ayu Meirdiani _ SERTIFIKAT BerAKHLAK")</f>
        <v>7275_Dwi Ayu Meirdiani _ SERTIFIKAT BerAKHLAK</v>
      </c>
      <c r="P7276" s="5" t="s">
        <v>46320</v>
      </c>
    </row>
    <row r="7277">
      <c r="A7277" s="4">
        <v>45534.379885393515</v>
      </c>
      <c r="B7277" s="5" t="s">
        <v>34</v>
      </c>
      <c r="D7277" s="5" t="s">
        <v>1206</v>
      </c>
      <c r="E7277" s="5" t="s">
        <v>46321</v>
      </c>
      <c r="F7277" s="5" t="s">
        <v>72</v>
      </c>
      <c r="G7277" s="5" t="s">
        <v>46322</v>
      </c>
      <c r="H7277" s="6" t="s">
        <v>46323</v>
      </c>
      <c r="K7277" s="5" t="s">
        <v>46317</v>
      </c>
      <c r="M7277" s="5" t="s">
        <v>46324</v>
      </c>
      <c r="N7277" s="7" t="s">
        <v>46325</v>
      </c>
      <c r="O7277" s="8" t="str">
        <f>HYPERLINK("https://drive.google.com/file/d/1LZkiiPaMt_wdKkcOnSUjubCKMozYMhrR/view?usp=drivesdk","7276_Eko Budi Utomo, S.Sos _ SERTIFIKAT BerAKHLAK")</f>
        <v>7276_Eko Budi Utomo, S.Sos _ SERTIFIKAT BerAKHLAK</v>
      </c>
      <c r="P7277" s="5" t="s">
        <v>46320</v>
      </c>
    </row>
    <row r="7278">
      <c r="A7278" s="4">
        <v>45534.37992619213</v>
      </c>
      <c r="B7278" s="5" t="s">
        <v>34</v>
      </c>
      <c r="D7278" s="5" t="s">
        <v>9394</v>
      </c>
      <c r="E7278" s="5" t="s">
        <v>46326</v>
      </c>
      <c r="F7278" s="5" t="s">
        <v>212</v>
      </c>
      <c r="G7278" s="5" t="s">
        <v>46327</v>
      </c>
      <c r="H7278" s="6" t="s">
        <v>46328</v>
      </c>
      <c r="K7278" s="5" t="s">
        <v>46329</v>
      </c>
      <c r="M7278" s="5" t="s">
        <v>46330</v>
      </c>
      <c r="N7278" s="7" t="s">
        <v>46331</v>
      </c>
      <c r="O7278" s="8" t="str">
        <f>HYPERLINK("https://drive.google.com/file/d/1Rbnk2_ZwJ-v_HkzzKlixIOBg1x_AMMwD/view?usp=drivesdk","7277_KHOLIDAH _ SERTIFIKAT BerAKHLAK")</f>
        <v>7277_KHOLIDAH _ SERTIFIKAT BerAKHLAK</v>
      </c>
      <c r="P7278" s="5" t="s">
        <v>46320</v>
      </c>
    </row>
    <row r="7279">
      <c r="A7279" s="4">
        <v>45534.3799324537</v>
      </c>
      <c r="B7279" s="5" t="s">
        <v>34</v>
      </c>
      <c r="D7279" s="5" t="s">
        <v>14424</v>
      </c>
      <c r="E7279" s="5" t="s">
        <v>46332</v>
      </c>
      <c r="F7279" s="5" t="s">
        <v>524</v>
      </c>
      <c r="G7279" s="5" t="s">
        <v>46333</v>
      </c>
      <c r="H7279" s="6" t="s">
        <v>46334</v>
      </c>
      <c r="K7279" s="5" t="s">
        <v>46335</v>
      </c>
      <c r="M7279" s="5" t="s">
        <v>46336</v>
      </c>
      <c r="N7279" s="7" t="s">
        <v>46337</v>
      </c>
      <c r="O7279" s="8" t="str">
        <f>HYPERLINK("https://drive.google.com/file/d/1bcuCyrMKic05i5D2Ul0LY6FGJS686atW/view?usp=drivesdk","7278_EKA WIRDA NOVITA, SE _ SERTIFIKAT BerAKHLAK")</f>
        <v>7278_EKA WIRDA NOVITA, SE _ SERTIFIKAT BerAKHLAK</v>
      </c>
      <c r="P7279" s="5" t="s">
        <v>46338</v>
      </c>
    </row>
    <row r="7280">
      <c r="A7280" s="4">
        <v>45534.379933055556</v>
      </c>
      <c r="B7280" s="5" t="s">
        <v>34</v>
      </c>
      <c r="D7280" s="5" t="s">
        <v>1206</v>
      </c>
      <c r="E7280" s="5" t="s">
        <v>46339</v>
      </c>
      <c r="F7280" s="5" t="s">
        <v>328</v>
      </c>
      <c r="G7280" s="5" t="s">
        <v>46340</v>
      </c>
      <c r="H7280" s="6" t="s">
        <v>46341</v>
      </c>
      <c r="K7280" s="5" t="s">
        <v>46335</v>
      </c>
      <c r="M7280" s="5" t="s">
        <v>46342</v>
      </c>
      <c r="N7280" s="7" t="s">
        <v>46343</v>
      </c>
      <c r="O7280" s="8" t="str">
        <f>HYPERLINK("https://drive.google.com/file/d/1xFWpvSbhE6_cesZiXlvN03hJhm9VKmQn/view?usp=drivesdk","7279_SUNDARIYANTO _ SERTIFIKAT BerAKHLAK")</f>
        <v>7279_SUNDARIYANTO _ SERTIFIKAT BerAKHLAK</v>
      </c>
      <c r="P7280" s="5" t="s">
        <v>46338</v>
      </c>
    </row>
    <row r="7281">
      <c r="A7281" s="4">
        <v>45534.37996922454</v>
      </c>
      <c r="B7281" s="5" t="s">
        <v>34</v>
      </c>
      <c r="D7281" s="5" t="s">
        <v>1206</v>
      </c>
      <c r="E7281" s="5" t="s">
        <v>46344</v>
      </c>
      <c r="F7281" s="5" t="s">
        <v>328</v>
      </c>
      <c r="G7281" s="5" t="s">
        <v>46345</v>
      </c>
      <c r="H7281" s="6" t="s">
        <v>46346</v>
      </c>
      <c r="K7281" s="5" t="s">
        <v>46347</v>
      </c>
      <c r="M7281" s="5" t="s">
        <v>46348</v>
      </c>
      <c r="N7281" s="7" t="s">
        <v>46349</v>
      </c>
      <c r="O7281" s="8" t="str">
        <f>HYPERLINK("https://drive.google.com/file/d/1b19eM-KLvQVtIq1xh2-r5TbLadTQVw3Y/view?usp=drivesdk","7280_RAMLAN _ SERTIFIKAT BerAKHLAK")</f>
        <v>7280_RAMLAN _ SERTIFIKAT BerAKHLAK</v>
      </c>
      <c r="P7281" s="5" t="s">
        <v>46338</v>
      </c>
    </row>
    <row r="7282">
      <c r="A7282" s="4">
        <v>45534.379973194445</v>
      </c>
      <c r="B7282" s="5" t="s">
        <v>34</v>
      </c>
      <c r="D7282" s="5" t="s">
        <v>1558</v>
      </c>
      <c r="E7282" s="5" t="s">
        <v>46350</v>
      </c>
      <c r="F7282" s="5" t="s">
        <v>72</v>
      </c>
      <c r="G7282" s="5" t="s">
        <v>46351</v>
      </c>
      <c r="H7282" s="6" t="s">
        <v>46352</v>
      </c>
      <c r="K7282" s="5" t="s">
        <v>46347</v>
      </c>
      <c r="M7282" s="5" t="s">
        <v>46353</v>
      </c>
      <c r="N7282" s="7" t="s">
        <v>46354</v>
      </c>
      <c r="O7282" s="8" t="str">
        <f>HYPERLINK("https://drive.google.com/file/d/1Ia69TvzQd9u2bWe8tTW25zIiWQ-zt6ya/view?usp=drivesdk","7281_RINA AMARTIWI  _ SERTIFIKAT BerAKHLAK")</f>
        <v>7281_RINA AMARTIWI  _ SERTIFIKAT BerAKHLAK</v>
      </c>
      <c r="P7282" s="5" t="s">
        <v>46338</v>
      </c>
    </row>
    <row r="7283">
      <c r="A7283" s="4">
        <v>45534.379981157406</v>
      </c>
      <c r="B7283" s="5" t="s">
        <v>34</v>
      </c>
      <c r="D7283" s="5" t="s">
        <v>14313</v>
      </c>
      <c r="E7283" s="5" t="s">
        <v>46355</v>
      </c>
      <c r="F7283" s="5" t="s">
        <v>715</v>
      </c>
      <c r="G7283" s="5" t="s">
        <v>46356</v>
      </c>
      <c r="H7283" s="6" t="s">
        <v>46357</v>
      </c>
      <c r="K7283" s="5" t="s">
        <v>46347</v>
      </c>
      <c r="M7283" s="5" t="s">
        <v>46358</v>
      </c>
      <c r="N7283" s="7" t="s">
        <v>46359</v>
      </c>
      <c r="O7283" s="8" t="str">
        <f>HYPERLINK("https://drive.google.com/file/d/1vNGR61vyHLOuax1mkgyDLdBJQg2RuxzH/view?usp=drivesdk","7282_ABD.RAHMAN,A.mk _ SERTIFIKAT BerAKHLAK")</f>
        <v>7282_ABD.RAHMAN,A.mk _ SERTIFIKAT BerAKHLAK</v>
      </c>
      <c r="P7283" s="5" t="s">
        <v>46360</v>
      </c>
    </row>
    <row r="7284">
      <c r="A7284" s="4">
        <v>45534.37999960648</v>
      </c>
      <c r="B7284" s="5" t="s">
        <v>34</v>
      </c>
      <c r="D7284" s="5" t="s">
        <v>3849</v>
      </c>
      <c r="E7284" s="5" t="s">
        <v>46361</v>
      </c>
      <c r="F7284" s="5" t="s">
        <v>37</v>
      </c>
      <c r="G7284" s="5" t="s">
        <v>46362</v>
      </c>
      <c r="H7284" s="6" t="s">
        <v>46363</v>
      </c>
      <c r="I7284" s="7" t="s">
        <v>46364</v>
      </c>
      <c r="J7284" s="8" t="str">
        <f>HYPERLINK("https://drive.google.com/file/d/1uU109aXBzY0PHhWHWvIQ0DOoUvNISxzs/view?usp=drivesdk","MUNALIZA, AM.KEB SERTIFIKAT BerAKHLAK")</f>
        <v>MUNALIZA, AM.KEB SERTIFIKAT BerAKHLAK</v>
      </c>
      <c r="K7284" s="5" t="s">
        <v>46365</v>
      </c>
      <c r="L7284" s="5" t="s">
        <v>46366</v>
      </c>
      <c r="M7284" s="5" t="s">
        <v>46367</v>
      </c>
      <c r="N7284" s="7" t="s">
        <v>46368</v>
      </c>
      <c r="O7284" s="8" t="str">
        <f>HYPERLINK("https://drive.google.com/file/d/1lo8X41G3Qp3WuLTGVn8wB_N-BusjxVwg/view?usp=drivesdk","7283_MUNALIZA, AM.KEB _ SERTIFIKAT BerAKHLAK")</f>
        <v>7283_MUNALIZA, AM.KEB _ SERTIFIKAT BerAKHLAK</v>
      </c>
      <c r="P7284" s="5" t="s">
        <v>46360</v>
      </c>
    </row>
    <row r="7285">
      <c r="A7285" s="4">
        <v>45534.38000356482</v>
      </c>
      <c r="B7285" s="5" t="s">
        <v>34</v>
      </c>
      <c r="D7285" s="5" t="s">
        <v>4775</v>
      </c>
      <c r="E7285" s="5" t="s">
        <v>46369</v>
      </c>
      <c r="F7285" s="5" t="s">
        <v>72</v>
      </c>
      <c r="G7285" s="5" t="s">
        <v>46370</v>
      </c>
      <c r="H7285" s="6" t="s">
        <v>46371</v>
      </c>
      <c r="K7285" s="5" t="s">
        <v>46372</v>
      </c>
      <c r="M7285" s="5" t="s">
        <v>46373</v>
      </c>
      <c r="N7285" s="7" t="s">
        <v>46374</v>
      </c>
      <c r="O7285" s="8" t="str">
        <f>HYPERLINK("https://drive.google.com/file/d/1PhuuAiKCHNLhP4VmVP3HKRY36CPHVP2V/view?usp=drivesdk","7284_DWI BUDI SUPRIYANINGSIH, AMK _ SERTIFIKAT BerAKHLAK")</f>
        <v>7284_DWI BUDI SUPRIYANINGSIH, AMK _ SERTIFIKAT BerAKHLAK</v>
      </c>
      <c r="P7285" s="5" t="s">
        <v>46360</v>
      </c>
    </row>
    <row r="7286">
      <c r="A7286" s="4">
        <v>45534.380010023146</v>
      </c>
      <c r="B7286" s="5" t="s">
        <v>34</v>
      </c>
      <c r="D7286" s="5" t="s">
        <v>4775</v>
      </c>
      <c r="E7286" s="5" t="s">
        <v>46375</v>
      </c>
      <c r="F7286" s="5" t="s">
        <v>72</v>
      </c>
      <c r="G7286" s="5" t="s">
        <v>46376</v>
      </c>
      <c r="H7286" s="6" t="s">
        <v>46377</v>
      </c>
      <c r="K7286" s="5" t="s">
        <v>46372</v>
      </c>
      <c r="M7286" s="5" t="s">
        <v>46378</v>
      </c>
      <c r="N7286" s="7" t="s">
        <v>46379</v>
      </c>
      <c r="O7286" s="8" t="str">
        <f>HYPERLINK("https://drive.google.com/file/d/1Y7WIQs1MsYYm3EC09mNsuH6YW55ODnLm/view?usp=drivesdk","7285_NUR RACHMA JUWITA,S.Kep.,Ns _ SERTIFIKAT BerAKHLAK")</f>
        <v>7285_NUR RACHMA JUWITA,S.Kep.,Ns _ SERTIFIKAT BerAKHLAK</v>
      </c>
      <c r="P7286" s="5" t="s">
        <v>46360</v>
      </c>
    </row>
    <row r="7287">
      <c r="A7287" s="4">
        <v>45534.380034340276</v>
      </c>
      <c r="B7287" s="5" t="s">
        <v>34</v>
      </c>
      <c r="D7287" s="5" t="s">
        <v>4775</v>
      </c>
      <c r="E7287" s="5" t="s">
        <v>46380</v>
      </c>
      <c r="F7287" s="5" t="s">
        <v>37</v>
      </c>
      <c r="G7287" s="5" t="s">
        <v>46381</v>
      </c>
      <c r="H7287" s="6" t="s">
        <v>46382</v>
      </c>
      <c r="K7287" s="5" t="s">
        <v>46383</v>
      </c>
      <c r="M7287" s="5" t="s">
        <v>46384</v>
      </c>
      <c r="N7287" s="7" t="s">
        <v>46385</v>
      </c>
      <c r="O7287" s="8" t="str">
        <f>HYPERLINK("https://drive.google.com/file/d/104Oi1UXhCDNA41uQ6VwXyAn5dzI0OI8L/view?usp=drivesdk","7286_YUNI KURNIA HAPSARI _ SERTIFIKAT BerAKHLAK")</f>
        <v>7286_YUNI KURNIA HAPSARI _ SERTIFIKAT BerAKHLAK</v>
      </c>
      <c r="P7287" s="5" t="s">
        <v>46386</v>
      </c>
    </row>
    <row r="7288">
      <c r="A7288" s="4">
        <v>45534.380068252314</v>
      </c>
      <c r="B7288" s="5" t="s">
        <v>34</v>
      </c>
      <c r="D7288" s="5" t="s">
        <v>1206</v>
      </c>
      <c r="E7288" s="5" t="s">
        <v>46387</v>
      </c>
      <c r="F7288" s="5" t="s">
        <v>212</v>
      </c>
      <c r="G7288" s="5" t="s">
        <v>46388</v>
      </c>
      <c r="H7288" s="6" t="s">
        <v>46389</v>
      </c>
      <c r="K7288" s="5" t="s">
        <v>46383</v>
      </c>
      <c r="M7288" s="5" t="s">
        <v>46390</v>
      </c>
      <c r="N7288" s="7" t="s">
        <v>46391</v>
      </c>
      <c r="O7288" s="8" t="str">
        <f>HYPERLINK("https://drive.google.com/file/d/1OVL5oFy11FUrsf1KIkj5hwPC96vc_LIB/view?usp=drivesdk","7287_HANIK MUFARIDA _ SERTIFIKAT BerAKHLAK")</f>
        <v>7287_HANIK MUFARIDA _ SERTIFIKAT BerAKHLAK</v>
      </c>
      <c r="P7288" s="5" t="s">
        <v>46386</v>
      </c>
    </row>
    <row r="7289">
      <c r="A7289" s="4">
        <v>45534.38006894676</v>
      </c>
      <c r="B7289" s="5" t="s">
        <v>34</v>
      </c>
      <c r="D7289" s="5" t="s">
        <v>280</v>
      </c>
      <c r="E7289" s="5" t="s">
        <v>46392</v>
      </c>
      <c r="F7289" s="5" t="s">
        <v>120</v>
      </c>
      <c r="G7289" s="5" t="s">
        <v>46393</v>
      </c>
      <c r="H7289" s="6" t="s">
        <v>46394</v>
      </c>
      <c r="K7289" s="5" t="s">
        <v>46383</v>
      </c>
      <c r="M7289" s="5" t="s">
        <v>46395</v>
      </c>
      <c r="N7289" s="7" t="s">
        <v>46396</v>
      </c>
      <c r="O7289" s="8" t="str">
        <f>HYPERLINK("https://drive.google.com/file/d/1QHEoBfkuDZeMpSA1BmKVk7eY3Z696Y7P/view?usp=drivesdk","7288_DR RR NOVITA WAHYU HANDAYANI MM MKM _ SERTIFIKAT BerAKHLAK")</f>
        <v>7288_DR RR NOVITA WAHYU HANDAYANI MM MKM _ SERTIFIKAT BerAKHLAK</v>
      </c>
      <c r="P7289" s="5" t="s">
        <v>46386</v>
      </c>
    </row>
    <row r="7290">
      <c r="A7290" s="4">
        <v>45534.38007193287</v>
      </c>
      <c r="B7290" s="5" t="s">
        <v>34</v>
      </c>
      <c r="D7290" s="5" t="s">
        <v>2903</v>
      </c>
      <c r="E7290" s="5" t="s">
        <v>46397</v>
      </c>
      <c r="F7290" s="5" t="s">
        <v>375</v>
      </c>
      <c r="G7290" s="5" t="s">
        <v>46398</v>
      </c>
      <c r="H7290" s="6" t="s">
        <v>46399</v>
      </c>
      <c r="K7290" s="5" t="s">
        <v>46383</v>
      </c>
      <c r="M7290" s="5" t="s">
        <v>46400</v>
      </c>
      <c r="N7290" s="7" t="s">
        <v>46401</v>
      </c>
      <c r="O7290" s="8" t="str">
        <f>HYPERLINK("https://drive.google.com/file/d/18qLDViUWSAzbMQn4-SMSEwkIhmpaSYCE/view?usp=drivesdk","7289_NS.SRI WELVI ROSNITA Skep _ SERTIFIKAT BerAKHLAK")</f>
        <v>7289_NS.SRI WELVI ROSNITA Skep _ SERTIFIKAT BerAKHLAK</v>
      </c>
      <c r="P7290" s="5" t="s">
        <v>46386</v>
      </c>
    </row>
    <row r="7291">
      <c r="A7291" s="4">
        <v>45534.380109571764</v>
      </c>
      <c r="B7291" s="5" t="s">
        <v>34</v>
      </c>
      <c r="D7291" s="5" t="s">
        <v>1768</v>
      </c>
      <c r="E7291" s="5" t="s">
        <v>24778</v>
      </c>
      <c r="F7291" s="5" t="s">
        <v>37</v>
      </c>
      <c r="G7291" s="5" t="s">
        <v>24779</v>
      </c>
      <c r="H7291" s="6" t="s">
        <v>46402</v>
      </c>
      <c r="I7291" s="7" t="s">
        <v>46403</v>
      </c>
      <c r="J7291" s="8" t="str">
        <f>HYPERLINK("https://drive.google.com/file/d/1j2Y6kweVWIjvZja8B6jyGJ9Mv2MeuMu6/view?usp=drivesdk","JOHANSYAH SERTIFIKAT BerAKHLAK")</f>
        <v>JOHANSYAH SERTIFIKAT BerAKHLAK</v>
      </c>
      <c r="K7291" s="5" t="s">
        <v>46365</v>
      </c>
      <c r="L7291" s="5" t="s">
        <v>46404</v>
      </c>
      <c r="M7291" s="5" t="s">
        <v>46405</v>
      </c>
      <c r="N7291" s="7" t="s">
        <v>46406</v>
      </c>
      <c r="O7291" s="8" t="str">
        <f>HYPERLINK("https://drive.google.com/file/d/1nqzFCv5k1jit25wJzhAI-T4bY3GTJe5b/view?usp=drivesdk","7290_JOHANSYAH _ SERTIFIKAT BerAKHLAK")</f>
        <v>7290_JOHANSYAH _ SERTIFIKAT BerAKHLAK</v>
      </c>
      <c r="P7291" s="5" t="s">
        <v>46407</v>
      </c>
    </row>
    <row r="7292">
      <c r="A7292" s="4">
        <v>45534.380131365746</v>
      </c>
      <c r="B7292" s="5" t="s">
        <v>34</v>
      </c>
      <c r="D7292" s="5" t="s">
        <v>35</v>
      </c>
      <c r="E7292" s="5" t="s">
        <v>46408</v>
      </c>
      <c r="F7292" s="5" t="s">
        <v>375</v>
      </c>
      <c r="G7292" s="5" t="s">
        <v>46409</v>
      </c>
      <c r="H7292" s="6" t="s">
        <v>46410</v>
      </c>
      <c r="K7292" s="5" t="s">
        <v>46411</v>
      </c>
      <c r="M7292" s="5" t="s">
        <v>46412</v>
      </c>
      <c r="N7292" s="7" t="s">
        <v>46413</v>
      </c>
      <c r="O7292" s="8" t="str">
        <f>HYPERLINK("https://drive.google.com/file/d/1O4p49_VRA5EHL4w7U_cQaBVbsWS0IJYp/view?usp=drivesdk","7291_SEPTININGSIH HERU INDRIATI _ SERTIFIKAT BerAKHLAK")</f>
        <v>7291_SEPTININGSIH HERU INDRIATI _ SERTIFIKAT BerAKHLAK</v>
      </c>
      <c r="P7292" s="5" t="s">
        <v>46407</v>
      </c>
    </row>
    <row r="7293">
      <c r="A7293" s="4">
        <v>45534.38014429398</v>
      </c>
      <c r="B7293" s="5" t="s">
        <v>34</v>
      </c>
      <c r="D7293" s="5" t="s">
        <v>1692</v>
      </c>
      <c r="E7293" s="5" t="s">
        <v>46414</v>
      </c>
      <c r="F7293" s="5" t="s">
        <v>212</v>
      </c>
      <c r="G7293" s="5" t="s">
        <v>46415</v>
      </c>
      <c r="H7293" s="6" t="s">
        <v>46416</v>
      </c>
      <c r="K7293" s="5" t="s">
        <v>46411</v>
      </c>
      <c r="M7293" s="5" t="s">
        <v>46417</v>
      </c>
      <c r="N7293" s="7" t="s">
        <v>46418</v>
      </c>
      <c r="O7293" s="8" t="str">
        <f>HYPERLINK("https://drive.google.com/file/d/1nXlQKW76xv5bprfrHyJ9iRLofhYUx_gl/view?usp=drivesdk","7292_HALILA WUSURWUT _ SERTIFIKAT BerAKHLAK")</f>
        <v>7292_HALILA WUSURWUT _ SERTIFIKAT BerAKHLAK</v>
      </c>
      <c r="P7293" s="5" t="s">
        <v>46407</v>
      </c>
    </row>
    <row r="7294">
      <c r="A7294" s="4">
        <v>45534.38014821759</v>
      </c>
      <c r="B7294" s="5" t="s">
        <v>34</v>
      </c>
      <c r="D7294" s="5" t="s">
        <v>4775</v>
      </c>
      <c r="E7294" s="5" t="s">
        <v>46419</v>
      </c>
      <c r="F7294" s="5" t="s">
        <v>37</v>
      </c>
      <c r="G7294" s="5" t="s">
        <v>46420</v>
      </c>
      <c r="H7294" s="6" t="s">
        <v>46421</v>
      </c>
      <c r="K7294" s="5" t="s">
        <v>46411</v>
      </c>
      <c r="M7294" s="5" t="s">
        <v>46422</v>
      </c>
      <c r="N7294" s="7" t="s">
        <v>46423</v>
      </c>
      <c r="O7294" s="8" t="str">
        <f>HYPERLINK("https://drive.google.com/file/d/1apygtle6bNgYayulWbss28dHBAx0NV9N/view?usp=drivesdk","7293_BUKORI _ SERTIFIKAT BerAKHLAK")</f>
        <v>7293_BUKORI _ SERTIFIKAT BerAKHLAK</v>
      </c>
      <c r="P7294" s="5" t="s">
        <v>46407</v>
      </c>
    </row>
    <row r="7295">
      <c r="A7295" s="4">
        <v>45534.3801675</v>
      </c>
      <c r="B7295" s="5" t="s">
        <v>34</v>
      </c>
      <c r="D7295" s="5" t="s">
        <v>9020</v>
      </c>
      <c r="E7295" s="5" t="s">
        <v>46424</v>
      </c>
      <c r="F7295" s="5" t="s">
        <v>108</v>
      </c>
      <c r="G7295" s="5" t="s">
        <v>46425</v>
      </c>
      <c r="H7295" s="6" t="s">
        <v>46426</v>
      </c>
      <c r="K7295" s="5" t="s">
        <v>46427</v>
      </c>
      <c r="M7295" s="5" t="s">
        <v>46428</v>
      </c>
      <c r="N7295" s="7" t="s">
        <v>46429</v>
      </c>
      <c r="O7295" s="8" t="str">
        <f>HYPERLINK("https://drive.google.com/file/d/19k8U93XNGbMFcGVNYg6zW6U4SQNtmbDz/view?usp=drivesdk","7294_Nita Meriahta Sitepu, Amd _ SERTIFIKAT BerAKHLAK")</f>
        <v>7294_Nita Meriahta Sitepu, Amd _ SERTIFIKAT BerAKHLAK</v>
      </c>
      <c r="P7295" s="5" t="s">
        <v>46430</v>
      </c>
    </row>
    <row r="7296">
      <c r="A7296" s="4">
        <v>45534.380201168984</v>
      </c>
      <c r="B7296" s="5" t="s">
        <v>34</v>
      </c>
      <c r="D7296" s="5" t="s">
        <v>4775</v>
      </c>
      <c r="E7296" s="5" t="s">
        <v>46431</v>
      </c>
      <c r="F7296" s="5" t="s">
        <v>524</v>
      </c>
      <c r="G7296" s="5" t="s">
        <v>46432</v>
      </c>
      <c r="H7296" s="6" t="s">
        <v>46433</v>
      </c>
      <c r="K7296" s="5" t="s">
        <v>46434</v>
      </c>
      <c r="M7296" s="5" t="s">
        <v>46435</v>
      </c>
      <c r="N7296" s="7" t="s">
        <v>46436</v>
      </c>
      <c r="O7296" s="8" t="str">
        <f>HYPERLINK("https://drive.google.com/file/d/1e7W-zlyOTZZJQRRwgLB5SYVMOtEn6MFX/view?usp=drivesdk","7295_ENI SOPIATI _ SERTIFIKAT BerAKHLAK")</f>
        <v>7295_ENI SOPIATI _ SERTIFIKAT BerAKHLAK</v>
      </c>
      <c r="P7296" s="5" t="s">
        <v>46430</v>
      </c>
    </row>
    <row r="7297">
      <c r="A7297" s="4">
        <v>45534.38022673611</v>
      </c>
      <c r="B7297" s="5" t="s">
        <v>34</v>
      </c>
      <c r="D7297" s="5" t="s">
        <v>4775</v>
      </c>
      <c r="E7297" s="5" t="s">
        <v>46437</v>
      </c>
      <c r="F7297" s="5" t="s">
        <v>37</v>
      </c>
      <c r="G7297" s="5" t="s">
        <v>46438</v>
      </c>
      <c r="H7297" s="6" t="s">
        <v>46439</v>
      </c>
      <c r="K7297" s="5" t="s">
        <v>46440</v>
      </c>
      <c r="M7297" s="5" t="s">
        <v>46441</v>
      </c>
      <c r="N7297" s="7" t="s">
        <v>46442</v>
      </c>
      <c r="O7297" s="8" t="str">
        <f>HYPERLINK("https://drive.google.com/file/d/1leTZ416dmzhadDBFJuceHWX580gqbj-O/view?usp=drivesdk","7296_SUNARWi _ SERTIFIKAT BerAKHLAK")</f>
        <v>7296_SUNARWi _ SERTIFIKAT BerAKHLAK</v>
      </c>
      <c r="P7297" s="5" t="s">
        <v>46430</v>
      </c>
    </row>
    <row r="7298">
      <c r="A7298" s="4">
        <v>45534.3802277662</v>
      </c>
      <c r="B7298" s="5" t="s">
        <v>34</v>
      </c>
      <c r="D7298" s="5" t="s">
        <v>4775</v>
      </c>
      <c r="E7298" s="5" t="s">
        <v>46443</v>
      </c>
      <c r="F7298" s="5" t="s">
        <v>524</v>
      </c>
      <c r="G7298" s="5" t="s">
        <v>46444</v>
      </c>
      <c r="H7298" s="6" t="s">
        <v>46445</v>
      </c>
      <c r="K7298" s="5" t="s">
        <v>46440</v>
      </c>
      <c r="M7298" s="5" t="s">
        <v>46446</v>
      </c>
      <c r="N7298" s="7" t="s">
        <v>46447</v>
      </c>
      <c r="O7298" s="8" t="str">
        <f>HYPERLINK("https://drive.google.com/file/d/1hqHnDRPLgJMFFTjIRj3hjrSyCoB0KimN/view?usp=drivesdk","7297_IDA PURNAWATI, S.H. _ SERTIFIKAT BerAKHLAK")</f>
        <v>7297_IDA PURNAWATI, S.H. _ SERTIFIKAT BerAKHLAK</v>
      </c>
      <c r="P7298" s="5" t="s">
        <v>46448</v>
      </c>
    </row>
    <row r="7299">
      <c r="A7299" s="4">
        <v>45534.38024119213</v>
      </c>
      <c r="B7299" s="5" t="s">
        <v>34</v>
      </c>
      <c r="D7299" s="5" t="s">
        <v>4775</v>
      </c>
      <c r="E7299" s="5" t="s">
        <v>46449</v>
      </c>
      <c r="F7299" s="5" t="s">
        <v>212</v>
      </c>
      <c r="G7299" s="5" t="s">
        <v>46450</v>
      </c>
      <c r="H7299" s="6" t="s">
        <v>46451</v>
      </c>
      <c r="K7299" s="5" t="s">
        <v>46440</v>
      </c>
      <c r="M7299" s="5" t="s">
        <v>46452</v>
      </c>
      <c r="N7299" s="7" t="s">
        <v>46453</v>
      </c>
      <c r="O7299" s="8" t="str">
        <f>HYPERLINK("https://drive.google.com/file/d/12kMrT4VjdAEuosJ5m-CWbOIu3Yj9FIrI/view?usp=drivesdk","7298_SIGIT TRIYANTO  _ SERTIFIKAT BerAKHLAK")</f>
        <v>7298_SIGIT TRIYANTO  _ SERTIFIKAT BerAKHLAK</v>
      </c>
      <c r="P7299" s="5" t="s">
        <v>46448</v>
      </c>
    </row>
    <row r="7300">
      <c r="A7300" s="4">
        <v>45534.380249016205</v>
      </c>
      <c r="B7300" s="5" t="s">
        <v>34</v>
      </c>
      <c r="D7300" s="5" t="s">
        <v>6232</v>
      </c>
      <c r="E7300" s="5" t="s">
        <v>46454</v>
      </c>
      <c r="F7300" s="5" t="s">
        <v>120</v>
      </c>
      <c r="G7300" s="5" t="s">
        <v>46455</v>
      </c>
      <c r="H7300" s="6" t="s">
        <v>46456</v>
      </c>
      <c r="I7300" s="7" t="s">
        <v>46457</v>
      </c>
      <c r="J7300" s="8" t="str">
        <f>HYPERLINK("https://drive.google.com/file/d/1acsUMPXs4wS4cWF38UYgN_hoQ6mN6vHy/view?usp=drivesdk","SYAKRONI SERTIFIKAT BerAKHLAK")</f>
        <v>SYAKRONI SERTIFIKAT BerAKHLAK</v>
      </c>
      <c r="K7300" s="5" t="s">
        <v>46458</v>
      </c>
      <c r="L7300" s="5" t="s">
        <v>46459</v>
      </c>
      <c r="M7300" s="5" t="s">
        <v>46460</v>
      </c>
      <c r="N7300" s="7" t="s">
        <v>46461</v>
      </c>
      <c r="O7300" s="8" t="str">
        <f>HYPERLINK("https://drive.google.com/file/d/19cejeg-qdO6IbLHV9AVeUt48D23bbm9f/view?usp=drivesdk","7299_SYAKRONI _ SERTIFIKAT BerAKHLAK")</f>
        <v>7299_SYAKRONI _ SERTIFIKAT BerAKHLAK</v>
      </c>
      <c r="P7300" s="5" t="s">
        <v>46448</v>
      </c>
    </row>
    <row r="7301">
      <c r="A7301" s="4">
        <v>45534.3802586574</v>
      </c>
      <c r="B7301" s="5" t="s">
        <v>34</v>
      </c>
      <c r="D7301" s="5" t="s">
        <v>1692</v>
      </c>
      <c r="E7301" s="5" t="s">
        <v>46462</v>
      </c>
      <c r="F7301" s="5" t="s">
        <v>72</v>
      </c>
      <c r="G7301" s="5" t="s">
        <v>46463</v>
      </c>
      <c r="H7301" s="6" t="s">
        <v>46464</v>
      </c>
      <c r="K7301" s="5" t="s">
        <v>46465</v>
      </c>
      <c r="M7301" s="5" t="s">
        <v>46466</v>
      </c>
      <c r="N7301" s="7" t="s">
        <v>46467</v>
      </c>
      <c r="O7301" s="8" t="str">
        <f>HYPERLINK("https://drive.google.com/file/d/1sg65WZKtu_Dg126wQMZqHlffFDw48dg3/view?usp=drivesdk","7300_UDIN TUTUPOHO _ SERTIFIKAT BerAKHLAK")</f>
        <v>7300_UDIN TUTUPOHO _ SERTIFIKAT BerAKHLAK</v>
      </c>
      <c r="P7301" s="5" t="s">
        <v>46448</v>
      </c>
    </row>
    <row r="7302">
      <c r="A7302" s="4">
        <v>45534.38026175926</v>
      </c>
      <c r="B7302" s="5" t="s">
        <v>34</v>
      </c>
      <c r="D7302" s="5" t="s">
        <v>9020</v>
      </c>
      <c r="E7302" s="5" t="s">
        <v>46468</v>
      </c>
      <c r="F7302" s="5" t="s">
        <v>375</v>
      </c>
      <c r="G7302" s="5" t="s">
        <v>46469</v>
      </c>
      <c r="H7302" s="6" t="s">
        <v>46470</v>
      </c>
      <c r="K7302" s="5" t="s">
        <v>46465</v>
      </c>
      <c r="M7302" s="5" t="s">
        <v>46471</v>
      </c>
      <c r="N7302" s="7" t="s">
        <v>46472</v>
      </c>
      <c r="O7302" s="8" t="str">
        <f>HYPERLINK("https://drive.google.com/file/d/1mDzR-CJw5XYvU-nmMoczO-34_UooYWIB/view?usp=drivesdk","7301_LESNA BR GINTING _ SERTIFIKAT BerAKHLAK")</f>
        <v>7301_LESNA BR GINTING _ SERTIFIKAT BerAKHLAK</v>
      </c>
      <c r="P7302" s="5" t="s">
        <v>46473</v>
      </c>
    </row>
    <row r="7303">
      <c r="A7303" s="4">
        <v>45534.380276724536</v>
      </c>
      <c r="B7303" s="5" t="s">
        <v>34</v>
      </c>
      <c r="D7303" s="5" t="s">
        <v>1206</v>
      </c>
      <c r="E7303" s="5" t="s">
        <v>46474</v>
      </c>
      <c r="F7303" s="5" t="s">
        <v>37</v>
      </c>
      <c r="G7303" s="5" t="s">
        <v>46475</v>
      </c>
      <c r="H7303" s="6" t="s">
        <v>46476</v>
      </c>
      <c r="K7303" s="5" t="s">
        <v>46465</v>
      </c>
      <c r="M7303" s="5" t="s">
        <v>46477</v>
      </c>
      <c r="N7303" s="7" t="s">
        <v>46478</v>
      </c>
      <c r="O7303" s="8" t="str">
        <f>HYPERLINK("https://drive.google.com/file/d/1pO-qz8xnoCBrgFVtP-gUIDOidaAUhoBn/view?usp=drivesdk","7302_YENNI NOVIA PRAWITA _ SERTIFIKAT BerAKHLAK")</f>
        <v>7302_YENNI NOVIA PRAWITA _ SERTIFIKAT BerAKHLAK</v>
      </c>
      <c r="P7303" s="5" t="s">
        <v>46473</v>
      </c>
    </row>
    <row r="7304">
      <c r="A7304" s="4">
        <v>45534.38032729167</v>
      </c>
      <c r="B7304" s="5" t="s">
        <v>34</v>
      </c>
      <c r="D7304" s="5" t="s">
        <v>4775</v>
      </c>
      <c r="E7304" s="5" t="s">
        <v>46479</v>
      </c>
      <c r="F7304" s="5" t="s">
        <v>375</v>
      </c>
      <c r="G7304" s="5" t="s">
        <v>46480</v>
      </c>
      <c r="H7304" s="6" t="s">
        <v>46481</v>
      </c>
      <c r="K7304" s="5" t="s">
        <v>46482</v>
      </c>
      <c r="M7304" s="5" t="s">
        <v>46483</v>
      </c>
      <c r="N7304" s="7" t="s">
        <v>46484</v>
      </c>
      <c r="O7304" s="8" t="str">
        <f>HYPERLINK("https://drive.google.com/file/d/1VJwBiWC5TMZy7xELAZMYku2ocAXOe1yu/view?usp=drivesdk","7303_HENNI SETYOWATI, S.KOM. _ SERTIFIKAT BerAKHLAK")</f>
        <v>7303_HENNI SETYOWATI, S.KOM. _ SERTIFIKAT BerAKHLAK</v>
      </c>
      <c r="P7304" s="5" t="s">
        <v>46473</v>
      </c>
    </row>
    <row r="7305">
      <c r="A7305" s="4">
        <v>45534.380329085645</v>
      </c>
      <c r="B7305" s="5" t="s">
        <v>34</v>
      </c>
      <c r="D7305" s="5" t="s">
        <v>1558</v>
      </c>
      <c r="E7305" s="5" t="s">
        <v>46485</v>
      </c>
      <c r="F7305" s="5" t="s">
        <v>524</v>
      </c>
      <c r="G7305" s="5" t="s">
        <v>46486</v>
      </c>
      <c r="H7305" s="6" t="s">
        <v>46487</v>
      </c>
      <c r="K7305" s="5" t="s">
        <v>46482</v>
      </c>
      <c r="M7305" s="5" t="s">
        <v>46488</v>
      </c>
      <c r="N7305" s="7" t="s">
        <v>46489</v>
      </c>
      <c r="O7305" s="8" t="str">
        <f>HYPERLINK("https://drive.google.com/file/d/1e3-2znlFBZBom5b8RfN5PmutZws0w87e/view?usp=drivesdk","7304_RULLY RAMADHANI.S.ST.,M.KES _ SERTIFIKAT BerAKHLAK")</f>
        <v>7304_RULLY RAMADHANI.S.ST.,M.KES _ SERTIFIKAT BerAKHLAK</v>
      </c>
      <c r="P7305" s="5" t="s">
        <v>46473</v>
      </c>
    </row>
    <row r="7306">
      <c r="A7306" s="4">
        <v>45534.38033354167</v>
      </c>
      <c r="B7306" s="5" t="s">
        <v>34</v>
      </c>
      <c r="D7306" s="5" t="s">
        <v>1206</v>
      </c>
      <c r="E7306" s="5" t="s">
        <v>46490</v>
      </c>
      <c r="F7306" s="5" t="s">
        <v>212</v>
      </c>
      <c r="G7306" s="5" t="s">
        <v>46491</v>
      </c>
      <c r="H7306" s="6" t="s">
        <v>46492</v>
      </c>
      <c r="K7306" s="5" t="s">
        <v>46482</v>
      </c>
      <c r="M7306" s="5" t="s">
        <v>46493</v>
      </c>
      <c r="N7306" s="7" t="s">
        <v>46494</v>
      </c>
      <c r="O7306" s="8" t="str">
        <f>HYPERLINK("https://drive.google.com/file/d/1uYQ9DFaK-FOv2ev0ADLnkes1BJJYD204/view?usp=drivesdk","7305_EMILDA YULIA FATEHA _ SERTIFIKAT BerAKHLAK")</f>
        <v>7305_EMILDA YULIA FATEHA _ SERTIFIKAT BerAKHLAK</v>
      </c>
      <c r="P7306" s="5" t="s">
        <v>46473</v>
      </c>
    </row>
    <row r="7307">
      <c r="A7307" s="4">
        <v>45534.380342951394</v>
      </c>
      <c r="B7307" s="5" t="s">
        <v>34</v>
      </c>
      <c r="D7307" s="5" t="s">
        <v>1558</v>
      </c>
      <c r="E7307" s="5" t="s">
        <v>46495</v>
      </c>
      <c r="F7307" s="5" t="s">
        <v>37</v>
      </c>
      <c r="G7307" s="5" t="s">
        <v>46496</v>
      </c>
      <c r="H7307" s="6" t="s">
        <v>46497</v>
      </c>
      <c r="K7307" s="5" t="s">
        <v>46482</v>
      </c>
      <c r="M7307" s="5" t="s">
        <v>46498</v>
      </c>
      <c r="N7307" s="7" t="s">
        <v>46499</v>
      </c>
      <c r="O7307" s="8" t="str">
        <f>HYPERLINK("https://drive.google.com/file/d/1W3trVU7MxrdPQ5OWYpaYwZ2y3LjoWnZF/view?usp=drivesdk","7306_AHMAD SOPIAN _ SERTIFIKAT BerAKHLAK")</f>
        <v>7306_AHMAD SOPIAN _ SERTIFIKAT BerAKHLAK</v>
      </c>
      <c r="P7307" s="5" t="s">
        <v>46500</v>
      </c>
    </row>
    <row r="7308">
      <c r="A7308" s="4">
        <v>45534.38035158565</v>
      </c>
      <c r="B7308" s="5" t="s">
        <v>34</v>
      </c>
      <c r="D7308" s="5" t="s">
        <v>267</v>
      </c>
      <c r="E7308" s="5" t="s">
        <v>46501</v>
      </c>
      <c r="F7308" s="5" t="s">
        <v>120</v>
      </c>
      <c r="G7308" s="5" t="s">
        <v>46502</v>
      </c>
      <c r="H7308" s="6" t="s">
        <v>46503</v>
      </c>
      <c r="K7308" s="5" t="s">
        <v>46482</v>
      </c>
      <c r="M7308" s="5" t="s">
        <v>46504</v>
      </c>
      <c r="N7308" s="7" t="s">
        <v>46505</v>
      </c>
      <c r="O7308" s="8" t="str">
        <f>HYPERLINK("https://drive.google.com/file/d/1HpOE1RF-qHclogonEhKiInE-1idFU011/view?usp=drivesdk","7307_BAGIO, S.E. _ SERTIFIKAT BerAKHLAK")</f>
        <v>7307_BAGIO, S.E. _ SERTIFIKAT BerAKHLAK</v>
      </c>
      <c r="P7308" s="5" t="s">
        <v>46500</v>
      </c>
    </row>
    <row r="7309" hidden="1">
      <c r="A7309" s="4">
        <v>45534.38035489584</v>
      </c>
      <c r="B7309" s="5" t="s">
        <v>19</v>
      </c>
      <c r="C7309" s="5" t="s">
        <v>83</v>
      </c>
      <c r="E7309" s="5" t="s">
        <v>46506</v>
      </c>
      <c r="F7309" s="5" t="s">
        <v>375</v>
      </c>
      <c r="G7309" s="5" t="s">
        <v>46507</v>
      </c>
      <c r="H7309" s="6" t="s">
        <v>46508</v>
      </c>
      <c r="K7309" s="5" t="s">
        <v>46482</v>
      </c>
      <c r="M7309" s="5" t="s">
        <v>46509</v>
      </c>
      <c r="N7309" s="7" t="s">
        <v>46510</v>
      </c>
      <c r="O7309" s="8" t="str">
        <f>HYPERLINK("https://drive.google.com/file/d/1uVf6HL47RNXoHsAgGh5jBOj5BdgzQH4z/view?usp=drivesdk","7308_MULYANTO  _ SERTIFIKAT BerAKHLAK")</f>
        <v>7308_MULYANTO  _ SERTIFIKAT BerAKHLAK</v>
      </c>
      <c r="P7309" s="5" t="s">
        <v>46500</v>
      </c>
    </row>
    <row r="7310">
      <c r="A7310" s="4">
        <v>45534.38036336805</v>
      </c>
      <c r="B7310" s="5" t="s">
        <v>34</v>
      </c>
      <c r="D7310" s="5" t="s">
        <v>1558</v>
      </c>
      <c r="E7310" s="5" t="s">
        <v>46511</v>
      </c>
      <c r="F7310" s="5" t="s">
        <v>524</v>
      </c>
      <c r="G7310" s="5" t="s">
        <v>46512</v>
      </c>
      <c r="H7310" s="6" t="s">
        <v>46513</v>
      </c>
      <c r="K7310" s="5" t="s">
        <v>46514</v>
      </c>
      <c r="M7310" s="5" t="s">
        <v>46515</v>
      </c>
      <c r="N7310" s="7" t="s">
        <v>46516</v>
      </c>
      <c r="O7310" s="8" t="str">
        <f>HYPERLINK("https://drive.google.com/file/d/1Kuy0vbSfOzhajQ5XeECcF3pXpoC9i_q_/view?usp=drivesdk","7309_PRATININGSIH _ SERTIFIKAT BerAKHLAK")</f>
        <v>7309_PRATININGSIH _ SERTIFIKAT BerAKHLAK</v>
      </c>
      <c r="P7310" s="5" t="s">
        <v>46517</v>
      </c>
    </row>
    <row r="7311">
      <c r="A7311" s="4">
        <v>45534.38036657407</v>
      </c>
      <c r="B7311" s="5" t="s">
        <v>34</v>
      </c>
      <c r="D7311" s="5" t="s">
        <v>1768</v>
      </c>
      <c r="E7311" s="5" t="s">
        <v>46518</v>
      </c>
      <c r="F7311" s="5" t="s">
        <v>212</v>
      </c>
      <c r="G7311" s="5" t="s">
        <v>46519</v>
      </c>
      <c r="H7311" s="6" t="s">
        <v>46520</v>
      </c>
      <c r="K7311" s="5" t="s">
        <v>46514</v>
      </c>
      <c r="M7311" s="5" t="s">
        <v>46521</v>
      </c>
      <c r="N7311" s="7" t="s">
        <v>46522</v>
      </c>
      <c r="O7311" s="8" t="str">
        <f>HYPERLINK("https://drive.google.com/file/d/14OqnXtdj4zPILxC_cuFcWgwt4WdgMEQ4/view?usp=drivesdk","7310_LISMAWATI _ SERTIFIKAT BerAKHLAK")</f>
        <v>7310_LISMAWATI _ SERTIFIKAT BerAKHLAK</v>
      </c>
      <c r="P7311" s="5" t="s">
        <v>46517</v>
      </c>
    </row>
    <row r="7312" hidden="1">
      <c r="A7312" s="4">
        <v>45534.380388136575</v>
      </c>
      <c r="B7312" s="5" t="s">
        <v>19</v>
      </c>
      <c r="C7312" s="5" t="s">
        <v>292</v>
      </c>
      <c r="E7312" s="5" t="s">
        <v>46523</v>
      </c>
      <c r="F7312" s="5" t="s">
        <v>212</v>
      </c>
      <c r="G7312" s="5" t="s">
        <v>46524</v>
      </c>
      <c r="H7312" s="6" t="s">
        <v>46525</v>
      </c>
      <c r="K7312" s="5" t="s">
        <v>46514</v>
      </c>
      <c r="M7312" s="5" t="s">
        <v>46526</v>
      </c>
      <c r="N7312" s="7" t="s">
        <v>46527</v>
      </c>
      <c r="O7312" s="8" t="str">
        <f>HYPERLINK("https://drive.google.com/file/d/1OwZkHWetjdxRG0T-v80e9Wvrk8JrJ1an/view?usp=drivesdk","7311_SRI MURYANI _ SERTIFIKAT BerAKHLAK")</f>
        <v>7311_SRI MURYANI _ SERTIFIKAT BerAKHLAK</v>
      </c>
      <c r="P7312" s="5" t="s">
        <v>46517</v>
      </c>
    </row>
    <row r="7313">
      <c r="A7313" s="4">
        <v>45534.38039738426</v>
      </c>
      <c r="B7313" s="5" t="s">
        <v>34</v>
      </c>
      <c r="D7313" s="5" t="s">
        <v>1558</v>
      </c>
      <c r="E7313" s="5" t="s">
        <v>46528</v>
      </c>
      <c r="F7313" s="5" t="s">
        <v>108</v>
      </c>
      <c r="G7313" s="5" t="s">
        <v>46529</v>
      </c>
      <c r="H7313" s="6" t="s">
        <v>46530</v>
      </c>
      <c r="K7313" s="5" t="s">
        <v>46514</v>
      </c>
      <c r="M7313" s="5" t="s">
        <v>46531</v>
      </c>
      <c r="N7313" s="7" t="s">
        <v>46532</v>
      </c>
      <c r="O7313" s="8" t="str">
        <f>HYPERLINK("https://drive.google.com/file/d/1716lTgBoU-LxLPfYJa9DPjml9WxE0Sbp/view?usp=drivesdk","7312_FITHRI _ SERTIFIKAT BerAKHLAK")</f>
        <v>7312_FITHRI _ SERTIFIKAT BerAKHLAK</v>
      </c>
      <c r="P7313" s="5" t="s">
        <v>46517</v>
      </c>
    </row>
    <row r="7314">
      <c r="A7314" s="4">
        <v>45534.38040414352</v>
      </c>
      <c r="B7314" s="5" t="s">
        <v>34</v>
      </c>
      <c r="D7314" s="5" t="s">
        <v>701</v>
      </c>
      <c r="E7314" s="5" t="s">
        <v>46533</v>
      </c>
      <c r="F7314" s="5" t="s">
        <v>212</v>
      </c>
      <c r="G7314" s="5" t="s">
        <v>46534</v>
      </c>
      <c r="H7314" s="6" t="s">
        <v>46535</v>
      </c>
      <c r="K7314" s="5" t="s">
        <v>46514</v>
      </c>
      <c r="M7314" s="5" t="s">
        <v>46536</v>
      </c>
      <c r="N7314" s="7" t="s">
        <v>46537</v>
      </c>
      <c r="O7314" s="8" t="str">
        <f>HYPERLINK("https://drive.google.com/file/d/1OEYvl8n3mGwfoqz9Z0RiJ-ZKD1san0lp/view?usp=drivesdk","7313_ERWIN, A.Md _ SERTIFIKAT BerAKHLAK")</f>
        <v>7313_ERWIN, A.Md _ SERTIFIKAT BerAKHLAK</v>
      </c>
      <c r="P7314" s="5" t="s">
        <v>46538</v>
      </c>
    </row>
    <row r="7315">
      <c r="A7315" s="4">
        <v>45534.38040513889</v>
      </c>
      <c r="B7315" s="5" t="s">
        <v>34</v>
      </c>
      <c r="D7315" s="5" t="s">
        <v>701</v>
      </c>
      <c r="E7315" s="5" t="s">
        <v>46539</v>
      </c>
      <c r="F7315" s="5" t="s">
        <v>212</v>
      </c>
      <c r="G7315" s="5" t="s">
        <v>46540</v>
      </c>
      <c r="H7315" s="6" t="s">
        <v>46541</v>
      </c>
      <c r="K7315" s="5" t="s">
        <v>46514</v>
      </c>
      <c r="M7315" s="5" t="s">
        <v>46542</v>
      </c>
      <c r="N7315" s="7" t="s">
        <v>46543</v>
      </c>
      <c r="O7315" s="8" t="str">
        <f>HYPERLINK("https://drive.google.com/file/d/18wBlGzPnmn6iLq1la-f20CvxGa99_hhI/view?usp=drivesdk","7314_ZULHIJRIAHWATI _ SERTIFIKAT BerAKHLAK")</f>
        <v>7314_ZULHIJRIAHWATI _ SERTIFIKAT BerAKHLAK</v>
      </c>
      <c r="P7315" s="5" t="s">
        <v>46544</v>
      </c>
    </row>
    <row r="7316">
      <c r="A7316" s="4">
        <v>45534.38040797454</v>
      </c>
      <c r="B7316" s="5" t="s">
        <v>34</v>
      </c>
      <c r="D7316" s="5" t="s">
        <v>1558</v>
      </c>
      <c r="E7316" s="5" t="s">
        <v>46545</v>
      </c>
      <c r="F7316" s="5" t="s">
        <v>37</v>
      </c>
      <c r="G7316" s="5" t="s">
        <v>46546</v>
      </c>
      <c r="H7316" s="6" t="s">
        <v>46547</v>
      </c>
      <c r="K7316" s="5" t="s">
        <v>46514</v>
      </c>
      <c r="M7316" s="5" t="s">
        <v>46548</v>
      </c>
      <c r="N7316" s="7" t="s">
        <v>46549</v>
      </c>
      <c r="O7316" s="8" t="str">
        <f>HYPERLINK("https://drive.google.com/file/d/1FlgqUeiLgC40M_J-XJ5KZ1LaERBGPGhw/view?usp=drivesdk","7315_MOH TAQLIM _ SERTIFIKAT BerAKHLAK")</f>
        <v>7315_MOH TAQLIM _ SERTIFIKAT BerAKHLAK</v>
      </c>
      <c r="P7316" s="5" t="s">
        <v>46538</v>
      </c>
    </row>
    <row r="7317">
      <c r="A7317" s="4">
        <v>45534.380412303246</v>
      </c>
      <c r="B7317" s="5" t="s">
        <v>34</v>
      </c>
      <c r="D7317" s="5" t="s">
        <v>15401</v>
      </c>
      <c r="E7317" s="5" t="s">
        <v>46550</v>
      </c>
      <c r="F7317" s="5" t="s">
        <v>212</v>
      </c>
      <c r="G7317" s="5" t="s">
        <v>46551</v>
      </c>
      <c r="H7317" s="6" t="s">
        <v>46552</v>
      </c>
      <c r="K7317" s="5" t="s">
        <v>46514</v>
      </c>
      <c r="M7317" s="5" t="s">
        <v>46553</v>
      </c>
      <c r="N7317" s="7" t="s">
        <v>46554</v>
      </c>
      <c r="O7317" s="8" t="str">
        <f>HYPERLINK("https://drive.google.com/file/d/12o2W-BUKfHcoKWUxaCvE0WOw-HbNGrIr/view?usp=drivesdk","7316_HERAWATI LALEKENG  _ SERTIFIKAT BerAKHLAK")</f>
        <v>7316_HERAWATI LALEKENG  _ SERTIFIKAT BerAKHLAK</v>
      </c>
      <c r="P7317" s="5" t="s">
        <v>46538</v>
      </c>
    </row>
    <row r="7318">
      <c r="A7318" s="4">
        <v>45534.38044166667</v>
      </c>
      <c r="B7318" s="5" t="s">
        <v>34</v>
      </c>
      <c r="D7318" s="5" t="s">
        <v>1558</v>
      </c>
      <c r="E7318" s="5" t="s">
        <v>46555</v>
      </c>
      <c r="F7318" s="5" t="s">
        <v>37</v>
      </c>
      <c r="G7318" s="5" t="s">
        <v>46556</v>
      </c>
      <c r="H7318" s="6" t="s">
        <v>46557</v>
      </c>
      <c r="K7318" s="5" t="s">
        <v>46558</v>
      </c>
      <c r="M7318" s="5" t="s">
        <v>46559</v>
      </c>
      <c r="N7318" s="7" t="s">
        <v>46560</v>
      </c>
      <c r="O7318" s="8" t="str">
        <f>HYPERLINK("https://drive.google.com/file/d/1Qp8owfoKTPkr0L0NuWNwjAc1mG1KVb9t/view?usp=drivesdk","7317_RANI OKTAFITRI, AMK _ SERTIFIKAT BerAKHLAK")</f>
        <v>7317_RANI OKTAFITRI, AMK _ SERTIFIKAT BerAKHLAK</v>
      </c>
      <c r="P7318" s="5" t="s">
        <v>46561</v>
      </c>
    </row>
    <row r="7319" hidden="1">
      <c r="A7319" s="4">
        <v>45534.38045809028</v>
      </c>
      <c r="B7319" s="5" t="s">
        <v>19</v>
      </c>
      <c r="C7319" s="5" t="s">
        <v>5058</v>
      </c>
      <c r="E7319" s="5" t="s">
        <v>46562</v>
      </c>
      <c r="F7319" s="5" t="s">
        <v>375</v>
      </c>
      <c r="G7319" s="5" t="s">
        <v>46563</v>
      </c>
      <c r="H7319" s="6" t="s">
        <v>46564</v>
      </c>
      <c r="K7319" s="5" t="s">
        <v>46558</v>
      </c>
      <c r="M7319" s="5" t="s">
        <v>46565</v>
      </c>
      <c r="N7319" s="7" t="s">
        <v>46566</v>
      </c>
      <c r="O7319" s="8" t="str">
        <f>HYPERLINK("https://drive.google.com/file/d/1VdBPNbyQ3FHIE5gOGWK4sHTXAPE6AWIQ/view?usp=drivesdk","7318_WAHYU DWI CAHYARINI, S.E. _ SERTIFIKAT BerAKHLAK")</f>
        <v>7318_WAHYU DWI CAHYARINI, S.E. _ SERTIFIKAT BerAKHLAK</v>
      </c>
      <c r="P7319" s="5" t="s">
        <v>46561</v>
      </c>
    </row>
    <row r="7320">
      <c r="A7320" s="4">
        <v>45534.38052181713</v>
      </c>
      <c r="B7320" s="5" t="s">
        <v>34</v>
      </c>
      <c r="D7320" s="5" t="s">
        <v>14424</v>
      </c>
      <c r="E7320" s="5" t="s">
        <v>46567</v>
      </c>
      <c r="F7320" s="5" t="s">
        <v>375</v>
      </c>
      <c r="G7320" s="5" t="s">
        <v>46568</v>
      </c>
      <c r="H7320" s="6" t="s">
        <v>46569</v>
      </c>
      <c r="K7320" s="5" t="s">
        <v>46570</v>
      </c>
      <c r="M7320" s="5" t="s">
        <v>46571</v>
      </c>
      <c r="N7320" s="7" t="s">
        <v>46572</v>
      </c>
      <c r="O7320" s="8" t="str">
        <f>HYPERLINK("https://drive.google.com/file/d/1xkwcOWsRPwm5R8fXcAOYPc9bF4BPCVQ1/view?usp=drivesdk","7319_EMI YUSNOVITA, S.E _ SERTIFIKAT BerAKHLAK")</f>
        <v>7319_EMI YUSNOVITA, S.E _ SERTIFIKAT BerAKHLAK</v>
      </c>
      <c r="P7320" s="5" t="s">
        <v>46561</v>
      </c>
    </row>
    <row r="7321">
      <c r="A7321" s="4">
        <v>45534.38052818287</v>
      </c>
      <c r="B7321" s="5" t="s">
        <v>34</v>
      </c>
      <c r="D7321" s="5" t="s">
        <v>12978</v>
      </c>
      <c r="E7321" s="5" t="s">
        <v>46573</v>
      </c>
      <c r="F7321" s="5" t="s">
        <v>212</v>
      </c>
      <c r="G7321" s="5" t="s">
        <v>46574</v>
      </c>
      <c r="H7321" s="6" t="s">
        <v>46575</v>
      </c>
      <c r="K7321" s="5" t="s">
        <v>46570</v>
      </c>
      <c r="M7321" s="5" t="s">
        <v>46576</v>
      </c>
      <c r="N7321" s="7" t="s">
        <v>46577</v>
      </c>
      <c r="O7321" s="8" t="str">
        <f>HYPERLINK("https://drive.google.com/file/d/1-B7IJaHcgP3KrP0fjuCTJbBR4KSabx38/view?usp=drivesdk","7320_DEVI LINDA SARI _ SERTIFIKAT BerAKHLAK")</f>
        <v>7320_DEVI LINDA SARI _ SERTIFIKAT BerAKHLAK</v>
      </c>
      <c r="P7321" s="5" t="s">
        <v>46561</v>
      </c>
    </row>
    <row r="7322">
      <c r="A7322" s="4">
        <v>45534.380529560185</v>
      </c>
      <c r="B7322" s="5" t="s">
        <v>34</v>
      </c>
      <c r="D7322" s="5" t="s">
        <v>35</v>
      </c>
      <c r="E7322" s="5" t="s">
        <v>46578</v>
      </c>
      <c r="F7322" s="5" t="s">
        <v>120</v>
      </c>
      <c r="G7322" s="5" t="s">
        <v>46579</v>
      </c>
      <c r="H7322" s="6" t="s">
        <v>46580</v>
      </c>
      <c r="K7322" s="5" t="s">
        <v>46570</v>
      </c>
      <c r="M7322" s="5" t="s">
        <v>46581</v>
      </c>
      <c r="N7322" s="7" t="s">
        <v>46582</v>
      </c>
      <c r="O7322" s="8" t="str">
        <f>HYPERLINK("https://drive.google.com/file/d/1FoPODbhcXS-Qy8nQgO1dDR_wLrecx1AY/view?usp=drivesdk","7321_Win Tasajat, S.Pd.I.,M.Si _ SERTIFIKAT BerAKHLAK")</f>
        <v>7321_Win Tasajat, S.Pd.I.,M.Si _ SERTIFIKAT BerAKHLAK</v>
      </c>
      <c r="P7322" s="5" t="s">
        <v>46583</v>
      </c>
    </row>
    <row r="7323">
      <c r="A7323" s="4">
        <v>45534.380543865744</v>
      </c>
      <c r="B7323" s="5" t="s">
        <v>34</v>
      </c>
      <c r="D7323" s="5" t="s">
        <v>10444</v>
      </c>
      <c r="E7323" s="5" t="s">
        <v>46584</v>
      </c>
      <c r="F7323" s="5" t="s">
        <v>108</v>
      </c>
      <c r="G7323" s="5" t="s">
        <v>46585</v>
      </c>
      <c r="H7323" s="6" t="s">
        <v>46586</v>
      </c>
      <c r="I7323" s="7" t="s">
        <v>46587</v>
      </c>
      <c r="J7323" s="8" t="str">
        <f>HYPERLINK("https://drive.google.com/file/d/19S96eFT2V9Ri9jR1Mf7TcStGCawKLUpv/view?usp=drivesdk","SRI INDRAWATI,A.MD.KEB SERTIFIKAT BerAKHLAK")</f>
        <v>SRI INDRAWATI,A.MD.KEB SERTIFIKAT BerAKHLAK</v>
      </c>
      <c r="K7323" s="5" t="s">
        <v>46588</v>
      </c>
      <c r="L7323" s="5" t="s">
        <v>46589</v>
      </c>
      <c r="M7323" s="5" t="s">
        <v>46590</v>
      </c>
      <c r="N7323" s="7" t="s">
        <v>46591</v>
      </c>
      <c r="O7323" s="8" t="str">
        <f>HYPERLINK("https://drive.google.com/file/d/1jGDr7vh2-IhcMnyGuM7ddbzFPyWtdMUM/view?usp=drivesdk","7322_SRI INDRAWATI,A.MD.KEB _ SERTIFIKAT BerAKHLAK")</f>
        <v>7322_SRI INDRAWATI,A.MD.KEB _ SERTIFIKAT BerAKHLAK</v>
      </c>
      <c r="P7323" s="5" t="s">
        <v>46583</v>
      </c>
    </row>
    <row r="7324">
      <c r="A7324" s="4">
        <v>45534.38056996527</v>
      </c>
      <c r="B7324" s="5" t="s">
        <v>34</v>
      </c>
      <c r="D7324" s="5" t="s">
        <v>1663</v>
      </c>
      <c r="E7324" s="5" t="s">
        <v>12772</v>
      </c>
      <c r="F7324" s="5" t="s">
        <v>37</v>
      </c>
      <c r="G7324" s="5" t="s">
        <v>46592</v>
      </c>
      <c r="H7324" s="6" t="s">
        <v>46593</v>
      </c>
      <c r="K7324" s="5" t="s">
        <v>46594</v>
      </c>
      <c r="M7324" s="5" t="s">
        <v>46595</v>
      </c>
      <c r="N7324" s="7" t="s">
        <v>46596</v>
      </c>
      <c r="O7324" s="8" t="str">
        <f>HYPERLINK("https://drive.google.com/file/d/1AOkeCjloUZzD-rLPRx3uVcW-3FdqR52D/view?usp=drivesdk","7323_RANTO TODING ALLO, S.T. _ SERTIFIKAT BerAKHLAK")</f>
        <v>7323_RANTO TODING ALLO, S.T. _ SERTIFIKAT BerAKHLAK</v>
      </c>
      <c r="P7324" s="5" t="s">
        <v>46583</v>
      </c>
    </row>
    <row r="7325">
      <c r="A7325" s="4">
        <v>45534.380595625</v>
      </c>
      <c r="B7325" s="5" t="s">
        <v>34</v>
      </c>
      <c r="D7325" s="5" t="s">
        <v>14424</v>
      </c>
      <c r="E7325" s="5" t="s">
        <v>46597</v>
      </c>
      <c r="F7325" s="5" t="s">
        <v>524</v>
      </c>
      <c r="G7325" s="5" t="s">
        <v>46598</v>
      </c>
      <c r="H7325" s="6" t="s">
        <v>46599</v>
      </c>
      <c r="K7325" s="5" t="s">
        <v>46600</v>
      </c>
      <c r="M7325" s="5" t="s">
        <v>46601</v>
      </c>
      <c r="N7325" s="7" t="s">
        <v>46602</v>
      </c>
      <c r="O7325" s="8" t="str">
        <f>HYPERLINK("https://drive.google.com/file/d/13HFDt7wk1aywlGFd0uyVhL5UNsGklIeN/view?usp=drivesdk","7324_DESI AGUSTIA _ SERTIFIKAT BerAKHLAK")</f>
        <v>7324_DESI AGUSTIA _ SERTIFIKAT BerAKHLAK</v>
      </c>
      <c r="P7325" s="5" t="s">
        <v>46583</v>
      </c>
    </row>
    <row r="7326">
      <c r="A7326" s="4">
        <v>45534.380596145835</v>
      </c>
      <c r="B7326" s="5" t="s">
        <v>34</v>
      </c>
      <c r="D7326" s="5" t="s">
        <v>1206</v>
      </c>
      <c r="E7326" s="5" t="s">
        <v>46603</v>
      </c>
      <c r="F7326" s="5" t="s">
        <v>37</v>
      </c>
      <c r="G7326" s="5" t="s">
        <v>46604</v>
      </c>
      <c r="H7326" s="6" t="s">
        <v>46605</v>
      </c>
      <c r="K7326" s="5" t="s">
        <v>46600</v>
      </c>
      <c r="M7326" s="5" t="s">
        <v>46606</v>
      </c>
      <c r="N7326" s="7" t="s">
        <v>46607</v>
      </c>
      <c r="O7326" s="8" t="str">
        <f>HYPERLINK("https://drive.google.com/file/d/1XF4RQVzTRMLk0-BXIR_nVq0ZVN-dytJ0/view?usp=drivesdk","7325_EKKY TRI DARMAWAN DRG _ SERTIFIKAT BerAKHLAK")</f>
        <v>7325_EKKY TRI DARMAWAN DRG _ SERTIFIKAT BerAKHLAK</v>
      </c>
      <c r="P7326" s="5" t="s">
        <v>46608</v>
      </c>
    </row>
    <row r="7327">
      <c r="A7327" s="4">
        <v>45534.380600833334</v>
      </c>
      <c r="B7327" s="5" t="s">
        <v>34</v>
      </c>
      <c r="D7327" s="5" t="s">
        <v>12978</v>
      </c>
      <c r="E7327" s="5" t="s">
        <v>46609</v>
      </c>
      <c r="F7327" s="5" t="s">
        <v>72</v>
      </c>
      <c r="G7327" s="5" t="s">
        <v>46610</v>
      </c>
      <c r="H7327" s="6" t="s">
        <v>46611</v>
      </c>
      <c r="K7327" s="5" t="s">
        <v>46600</v>
      </c>
      <c r="M7327" s="5" t="s">
        <v>46612</v>
      </c>
      <c r="N7327" s="7" t="s">
        <v>46613</v>
      </c>
      <c r="O7327" s="8" t="str">
        <f>HYPERLINK("https://drive.google.com/file/d/1POQkcmXp80Jx62imy5G1riQDzcQm5-aE/view?usp=drivesdk","7326_ANDI HARYANTO, S.H. _ SERTIFIKAT BerAKHLAK")</f>
        <v>7326_ANDI HARYANTO, S.H. _ SERTIFIKAT BerAKHLAK</v>
      </c>
      <c r="P7327" s="5" t="s">
        <v>46608</v>
      </c>
    </row>
    <row r="7328">
      <c r="A7328" s="4">
        <v>45534.380601412035</v>
      </c>
      <c r="B7328" s="5" t="s">
        <v>34</v>
      </c>
      <c r="D7328" s="5" t="s">
        <v>996</v>
      </c>
      <c r="E7328" s="5" t="s">
        <v>46614</v>
      </c>
      <c r="F7328" s="5" t="s">
        <v>37</v>
      </c>
      <c r="G7328" s="5" t="s">
        <v>46615</v>
      </c>
      <c r="H7328" s="6" t="s">
        <v>46616</v>
      </c>
      <c r="K7328" s="5" t="s">
        <v>46600</v>
      </c>
      <c r="M7328" s="5" t="s">
        <v>46617</v>
      </c>
      <c r="N7328" s="7" t="s">
        <v>46618</v>
      </c>
      <c r="O7328" s="8" t="str">
        <f>HYPERLINK("https://drive.google.com/file/d/1HQ3v8EZS5hMkYBxInSrwOg56-OwqYPr-/view?usp=drivesdk","7327_SITI NOOR HIDAYATI, SE _ SERTIFIKAT BerAKHLAK")</f>
        <v>7327_SITI NOOR HIDAYATI, SE _ SERTIFIKAT BerAKHLAK</v>
      </c>
      <c r="P7328" s="5" t="s">
        <v>46608</v>
      </c>
    </row>
    <row r="7329" hidden="1">
      <c r="A7329" s="4">
        <v>45534.38063417824</v>
      </c>
      <c r="B7329" s="5" t="s">
        <v>19</v>
      </c>
      <c r="C7329" s="5" t="s">
        <v>5058</v>
      </c>
      <c r="E7329" s="5" t="s">
        <v>46619</v>
      </c>
      <c r="F7329" s="5" t="s">
        <v>375</v>
      </c>
      <c r="G7329" s="5" t="s">
        <v>46620</v>
      </c>
      <c r="H7329" s="6" t="s">
        <v>46621</v>
      </c>
      <c r="K7329" s="5" t="s">
        <v>46622</v>
      </c>
      <c r="M7329" s="5" t="s">
        <v>46623</v>
      </c>
      <c r="N7329" s="7" t="s">
        <v>46624</v>
      </c>
      <c r="O7329" s="8" t="str">
        <f>HYPERLINK("https://drive.google.com/file/d/1OTPAJaKPtcZXZXVUn3F7H-gNNgVNfyF-/view?usp=drivesdk","7328_ASTI NURMASIH  _ SERTIFIKAT BerAKHLAK")</f>
        <v>7328_ASTI NURMASIH  _ SERTIFIKAT BerAKHLAK</v>
      </c>
      <c r="P7329" s="5" t="s">
        <v>46608</v>
      </c>
    </row>
    <row r="7330">
      <c r="A7330" s="4">
        <v>45534.3806590625</v>
      </c>
      <c r="B7330" s="5" t="s">
        <v>34</v>
      </c>
      <c r="D7330" s="5" t="s">
        <v>9394</v>
      </c>
      <c r="E7330" s="5" t="s">
        <v>46625</v>
      </c>
      <c r="F7330" s="5" t="s">
        <v>212</v>
      </c>
      <c r="G7330" s="5" t="s">
        <v>46626</v>
      </c>
      <c r="H7330" s="6" t="s">
        <v>46627</v>
      </c>
      <c r="I7330" s="7" t="s">
        <v>46628</v>
      </c>
      <c r="J7330" s="8" t="str">
        <f>HYPERLINK("https://drive.google.com/file/d/1Rm5HrCKL9uB8gqGgJxw_2D6_ywGrOOLn/view?usp=drivesdk","FITRI SUSANTI. SH  SERTIFIKAT BerAKHLAK")</f>
        <v>FITRI SUSANTI. SH  SERTIFIKAT BerAKHLAK</v>
      </c>
      <c r="K7330" s="5" t="s">
        <v>46588</v>
      </c>
      <c r="L7330" s="5" t="s">
        <v>46629</v>
      </c>
      <c r="M7330" s="5" t="s">
        <v>46630</v>
      </c>
      <c r="N7330" s="7" t="s">
        <v>46631</v>
      </c>
      <c r="O7330" s="8" t="str">
        <f>HYPERLINK("https://drive.google.com/file/d/1dKC8xHNRkcTrRZfVosd_oUZQuszGp8W0/view?usp=drivesdk","7329_FITRI SUSANTI. SH  _ SERTIFIKAT BerAKHLAK")</f>
        <v>7329_FITRI SUSANTI. SH  _ SERTIFIKAT BerAKHLAK</v>
      </c>
      <c r="P7330" s="5" t="s">
        <v>46608</v>
      </c>
    </row>
    <row r="7331">
      <c r="A7331" s="4">
        <v>45534.380666122684</v>
      </c>
      <c r="B7331" s="5" t="s">
        <v>34</v>
      </c>
      <c r="D7331" s="5" t="s">
        <v>4775</v>
      </c>
      <c r="E7331" s="5" t="s">
        <v>46632</v>
      </c>
      <c r="F7331" s="5" t="s">
        <v>108</v>
      </c>
      <c r="G7331" s="5" t="s">
        <v>46633</v>
      </c>
      <c r="H7331" s="6" t="s">
        <v>46634</v>
      </c>
      <c r="K7331" s="5" t="s">
        <v>46635</v>
      </c>
      <c r="M7331" s="5" t="s">
        <v>46636</v>
      </c>
      <c r="N7331" s="7" t="s">
        <v>46637</v>
      </c>
      <c r="O7331" s="8" t="str">
        <f>HYPERLINK("https://drive.google.com/file/d/1dk33p-zw0IEOU58s3nL_gTyxuxHqN3Ki/view?usp=drivesdk","7330_SITI ROISAH _ SERTIFIKAT BerAKHLAK")</f>
        <v>7330_SITI ROISAH _ SERTIFIKAT BerAKHLAK</v>
      </c>
      <c r="P7331" s="5" t="s">
        <v>46638</v>
      </c>
    </row>
    <row r="7332">
      <c r="A7332" s="4">
        <v>45534.38067989583</v>
      </c>
      <c r="B7332" s="5" t="s">
        <v>34</v>
      </c>
      <c r="D7332" s="5" t="s">
        <v>267</v>
      </c>
      <c r="E7332" s="5" t="s">
        <v>46639</v>
      </c>
      <c r="F7332" s="5" t="s">
        <v>108</v>
      </c>
      <c r="G7332" s="5" t="s">
        <v>46640</v>
      </c>
      <c r="H7332" s="6" t="s">
        <v>46641</v>
      </c>
      <c r="I7332" s="7" t="s">
        <v>46642</v>
      </c>
      <c r="J7332" s="8" t="str">
        <f>HYPERLINK("https://drive.google.com/file/d/1p8JqezGKIzfyTfdS7YQcWmpz3LXmTnjd/view?usp=drivesdk","WAHYUDHI SERTIFIKAT BerAKHLAK")</f>
        <v>WAHYUDHI SERTIFIKAT BerAKHLAK</v>
      </c>
      <c r="K7332" s="5" t="s">
        <v>46365</v>
      </c>
      <c r="L7332" s="5" t="s">
        <v>46643</v>
      </c>
      <c r="M7332" s="5" t="s">
        <v>46644</v>
      </c>
      <c r="N7332" s="7" t="s">
        <v>46645</v>
      </c>
      <c r="O7332" s="8" t="str">
        <f>HYPERLINK("https://drive.google.com/file/d/1bJJd8WJ-m72tFSIboLyETGiwkvDvsHki/view?usp=drivesdk","7331_WAHYUDHI _ SERTIFIKAT BerAKHLAK")</f>
        <v>7331_WAHYUDHI _ SERTIFIKAT BerAKHLAK</v>
      </c>
      <c r="P7332" s="5" t="s">
        <v>46638</v>
      </c>
    </row>
    <row r="7333">
      <c r="A7333" s="4">
        <v>45534.38068886574</v>
      </c>
      <c r="B7333" s="5" t="s">
        <v>34</v>
      </c>
      <c r="D7333" s="5" t="s">
        <v>35</v>
      </c>
      <c r="E7333" s="5" t="s">
        <v>46646</v>
      </c>
      <c r="F7333" s="5" t="s">
        <v>212</v>
      </c>
      <c r="G7333" s="5" t="s">
        <v>46647</v>
      </c>
      <c r="H7333" s="6" t="s">
        <v>46648</v>
      </c>
      <c r="K7333" s="5" t="s">
        <v>46649</v>
      </c>
      <c r="M7333" s="5" t="s">
        <v>46650</v>
      </c>
      <c r="N7333" s="7" t="s">
        <v>46651</v>
      </c>
      <c r="O7333" s="8" t="str">
        <f>HYPERLINK("https://drive.google.com/file/d/1nX34SpFM3AoIxiaM1KxBe1M_7T_ehLun/view?usp=drivesdk","7332_ASEP SUTISNA _ SERTIFIKAT BerAKHLAK")</f>
        <v>7332_ASEP SUTISNA _ SERTIFIKAT BerAKHLAK</v>
      </c>
      <c r="P7333" s="5" t="s">
        <v>46652</v>
      </c>
    </row>
    <row r="7334" hidden="1">
      <c r="A7334" s="4">
        <v>45534.380725324074</v>
      </c>
      <c r="B7334" s="5" t="s">
        <v>19</v>
      </c>
      <c r="C7334" s="5" t="s">
        <v>3471</v>
      </c>
      <c r="E7334" s="5" t="s">
        <v>46653</v>
      </c>
      <c r="F7334" s="5" t="s">
        <v>375</v>
      </c>
      <c r="G7334" s="5" t="s">
        <v>46654</v>
      </c>
      <c r="H7334" s="6" t="s">
        <v>46655</v>
      </c>
      <c r="K7334" s="5" t="s">
        <v>46656</v>
      </c>
      <c r="M7334" s="5" t="s">
        <v>46657</v>
      </c>
      <c r="N7334" s="7" t="s">
        <v>46658</v>
      </c>
      <c r="O7334" s="8" t="str">
        <f>HYPERLINK("https://drive.google.com/file/d/1HbBcyezo9oqVUtKACHwzBMcD1bs-W5Uz/view?usp=drivesdk","7333_FAJAR HENDRO BASKORO _ SERTIFIKAT BerAKHLAK")</f>
        <v>7333_FAJAR HENDRO BASKORO _ SERTIFIKAT BerAKHLAK</v>
      </c>
      <c r="P7334" s="5" t="s">
        <v>46652</v>
      </c>
    </row>
    <row r="7335">
      <c r="A7335" s="4">
        <v>45534.38073824074</v>
      </c>
      <c r="B7335" s="5" t="s">
        <v>34</v>
      </c>
      <c r="D7335" s="5" t="s">
        <v>14313</v>
      </c>
      <c r="E7335" s="5" t="s">
        <v>46659</v>
      </c>
      <c r="F7335" s="5" t="s">
        <v>375</v>
      </c>
      <c r="G7335" s="5" t="s">
        <v>46660</v>
      </c>
      <c r="H7335" s="6" t="s">
        <v>46661</v>
      </c>
      <c r="K7335" s="5" t="s">
        <v>46662</v>
      </c>
      <c r="M7335" s="5" t="s">
        <v>46663</v>
      </c>
      <c r="N7335" s="7" t="s">
        <v>46664</v>
      </c>
      <c r="O7335" s="8" t="str">
        <f>HYPERLINK("https://drive.google.com/file/d/145F2AvtfgsfpNN36U5vIYkb19bT1dIbu/view?usp=drivesdk","7334_ASTRIA ALVIANI SAID, S.KOM _ SERTIFIKAT BerAKHLAK")</f>
        <v>7334_ASTRIA ALVIANI SAID, S.KOM _ SERTIFIKAT BerAKHLAK</v>
      </c>
      <c r="P7335" s="5" t="s">
        <v>46652</v>
      </c>
    </row>
    <row r="7336">
      <c r="A7336" s="4">
        <v>45534.380738796295</v>
      </c>
      <c r="B7336" s="5" t="s">
        <v>34</v>
      </c>
      <c r="D7336" s="5" t="s">
        <v>4775</v>
      </c>
      <c r="E7336" s="5" t="s">
        <v>46665</v>
      </c>
      <c r="F7336" s="5" t="s">
        <v>37</v>
      </c>
      <c r="G7336" s="5" t="s">
        <v>46666</v>
      </c>
      <c r="H7336" s="6" t="s">
        <v>46667</v>
      </c>
      <c r="K7336" s="5" t="s">
        <v>46662</v>
      </c>
      <c r="M7336" s="5" t="s">
        <v>46668</v>
      </c>
      <c r="N7336" s="7" t="s">
        <v>46669</v>
      </c>
      <c r="O7336" s="8" t="str">
        <f>HYPERLINK("https://drive.google.com/file/d/1uDn3Fk1Jh0PotkrG3QUGB74GU05EEU3-/view?usp=drivesdk","7335_INA MARDIANA _ SERTIFIKAT BerAKHLAK")</f>
        <v>7335_INA MARDIANA _ SERTIFIKAT BerAKHLAK</v>
      </c>
      <c r="P7336" s="5" t="s">
        <v>46670</v>
      </c>
    </row>
    <row r="7337">
      <c r="A7337" s="4">
        <v>45534.380779467596</v>
      </c>
      <c r="B7337" s="5" t="s">
        <v>34</v>
      </c>
      <c r="D7337" s="5" t="s">
        <v>9020</v>
      </c>
      <c r="E7337" s="5" t="s">
        <v>46671</v>
      </c>
      <c r="F7337" s="5" t="s">
        <v>212</v>
      </c>
      <c r="G7337" s="5" t="s">
        <v>46672</v>
      </c>
      <c r="H7337" s="6" t="s">
        <v>46673</v>
      </c>
      <c r="I7337" s="7" t="s">
        <v>46674</v>
      </c>
      <c r="J7337" s="8" t="str">
        <f>HYPERLINK("https://drive.google.com/file/d/1Tv8Pn9VB1Q5efcfqu7-hhSik0VocKGfw/view?usp=drivesdk","HELEN IRMA SARI N SERTIFIKAT BerAKHLAK")</f>
        <v>HELEN IRMA SARI N SERTIFIKAT BerAKHLAK</v>
      </c>
      <c r="K7337" s="5" t="s">
        <v>46365</v>
      </c>
      <c r="L7337" s="5" t="s">
        <v>46675</v>
      </c>
      <c r="M7337" s="5" t="s">
        <v>46676</v>
      </c>
      <c r="N7337" s="7" t="s">
        <v>46677</v>
      </c>
      <c r="O7337" s="8" t="str">
        <f>HYPERLINK("https://drive.google.com/file/d/1vL-o9OVMyf1lzcwHvvv6ZYWXlK8cZQ4J/view?usp=drivesdk","7336_HELEN IRMA SARI N _ SERTIFIKAT BerAKHLAK")</f>
        <v>7336_HELEN IRMA SARI N _ SERTIFIKAT BerAKHLAK</v>
      </c>
      <c r="P7337" s="5" t="s">
        <v>46670</v>
      </c>
    </row>
    <row r="7338">
      <c r="A7338" s="4">
        <v>45534.38078265046</v>
      </c>
      <c r="B7338" s="5" t="s">
        <v>34</v>
      </c>
      <c r="D7338" s="5" t="s">
        <v>9020</v>
      </c>
      <c r="E7338" s="5" t="s">
        <v>46678</v>
      </c>
      <c r="F7338" s="5" t="s">
        <v>37</v>
      </c>
      <c r="G7338" s="5" t="s">
        <v>46679</v>
      </c>
      <c r="H7338" s="6" t="s">
        <v>46680</v>
      </c>
      <c r="K7338" s="5" t="s">
        <v>46681</v>
      </c>
      <c r="M7338" s="5" t="s">
        <v>46682</v>
      </c>
      <c r="N7338" s="7" t="s">
        <v>46683</v>
      </c>
      <c r="O7338" s="8" t="str">
        <f>HYPERLINK("https://drive.google.com/file/d/1wIxT8YeF_E-y_n8F51E-TuE1TFEdb6tz/view?usp=drivesdk","7337_KARIADI  _ SERTIFIKAT BerAKHLAK")</f>
        <v>7337_KARIADI  _ SERTIFIKAT BerAKHLAK</v>
      </c>
      <c r="P7338" s="5" t="s">
        <v>46670</v>
      </c>
    </row>
    <row r="7339" hidden="1">
      <c r="A7339" s="4">
        <v>45534.38079015046</v>
      </c>
      <c r="B7339" s="5" t="s">
        <v>19</v>
      </c>
      <c r="C7339" s="5" t="s">
        <v>3301</v>
      </c>
      <c r="E7339" s="5" t="s">
        <v>46684</v>
      </c>
      <c r="F7339" s="5" t="s">
        <v>715</v>
      </c>
      <c r="G7339" s="5" t="s">
        <v>46685</v>
      </c>
      <c r="H7339" s="6" t="s">
        <v>46686</v>
      </c>
      <c r="K7339" s="5" t="s">
        <v>46681</v>
      </c>
      <c r="M7339" s="5" t="s">
        <v>46687</v>
      </c>
      <c r="N7339" s="7" t="s">
        <v>46688</v>
      </c>
      <c r="O7339" s="8" t="str">
        <f>HYPERLINK("https://drive.google.com/file/d/1T7QOv8BvpHEoHpvh-VvVSqmBfdrSyv-9/view?usp=drivesdk","7338_dr IRMA YUZA _ SERTIFIKAT BerAKHLAK")</f>
        <v>7338_dr IRMA YUZA _ SERTIFIKAT BerAKHLAK</v>
      </c>
      <c r="P7339" s="5" t="s">
        <v>46670</v>
      </c>
    </row>
    <row r="7340">
      <c r="A7340" s="4">
        <v>45534.38079251157</v>
      </c>
      <c r="B7340" s="5" t="s">
        <v>34</v>
      </c>
      <c r="D7340" s="5" t="s">
        <v>701</v>
      </c>
      <c r="E7340" s="5" t="s">
        <v>46689</v>
      </c>
      <c r="F7340" s="5" t="s">
        <v>72</v>
      </c>
      <c r="G7340" s="5" t="s">
        <v>46690</v>
      </c>
      <c r="H7340" s="6" t="s">
        <v>46691</v>
      </c>
      <c r="K7340" s="5" t="s">
        <v>46681</v>
      </c>
      <c r="M7340" s="5" t="s">
        <v>46692</v>
      </c>
      <c r="N7340" s="7" t="s">
        <v>46693</v>
      </c>
      <c r="O7340" s="8" t="str">
        <f>HYPERLINK("https://drive.google.com/file/d/12RxRrzolh-JfIsmo5APjWEjUiPIiU7Eq/view?usp=drivesdk","7339_CAMELIYA JAMIL S.E,MH _ SERTIFIKAT BerAKHLAK")</f>
        <v>7339_CAMELIYA JAMIL S.E,MH _ SERTIFIKAT BerAKHLAK</v>
      </c>
      <c r="P7340" s="5" t="s">
        <v>46670</v>
      </c>
    </row>
    <row r="7341" hidden="1">
      <c r="A7341" s="4">
        <v>45534.38079809028</v>
      </c>
      <c r="B7341" s="5" t="s">
        <v>19</v>
      </c>
      <c r="C7341" s="5" t="s">
        <v>45988</v>
      </c>
      <c r="E7341" s="5" t="s">
        <v>46694</v>
      </c>
      <c r="F7341" s="5" t="s">
        <v>375</v>
      </c>
      <c r="G7341" s="5" t="s">
        <v>46695</v>
      </c>
      <c r="H7341" s="6" t="s">
        <v>46696</v>
      </c>
      <c r="K7341" s="5" t="s">
        <v>46681</v>
      </c>
      <c r="M7341" s="5" t="s">
        <v>46697</v>
      </c>
      <c r="N7341" s="7" t="s">
        <v>46698</v>
      </c>
      <c r="O7341" s="8" t="str">
        <f>HYPERLINK("https://drive.google.com/file/d/1Hr58bLGuuQm4zNVf1m8DjWZhuB6_Oqfp/view?usp=drivesdk","7340_SURYA TEJA UMBARA, S. E.  _ SERTIFIKAT BerAKHLAK")</f>
        <v>7340_SURYA TEJA UMBARA, S. E.  _ SERTIFIKAT BerAKHLAK</v>
      </c>
      <c r="P7341" s="5" t="s">
        <v>46699</v>
      </c>
    </row>
    <row r="7342">
      <c r="A7342" s="4">
        <v>45534.38081590278</v>
      </c>
      <c r="B7342" s="5" t="s">
        <v>34</v>
      </c>
      <c r="D7342" s="5" t="s">
        <v>4775</v>
      </c>
      <c r="E7342" s="5" t="s">
        <v>46700</v>
      </c>
      <c r="F7342" s="5" t="s">
        <v>37</v>
      </c>
      <c r="G7342" s="5" t="s">
        <v>46701</v>
      </c>
      <c r="H7342" s="6" t="s">
        <v>46702</v>
      </c>
      <c r="I7342" s="7" t="s">
        <v>46703</v>
      </c>
      <c r="J7342" s="8" t="str">
        <f>HYPERLINK("https://drive.google.com/file/d/1jDJ5up48vcVUTDwjKcT8uflppCrdDQeA/view?usp=drivesdk","DONNY SAPUTRO SERTIFIKAT BerAKHLAK")</f>
        <v>DONNY SAPUTRO SERTIFIKAT BerAKHLAK</v>
      </c>
      <c r="K7342" s="5" t="s">
        <v>46365</v>
      </c>
      <c r="L7342" s="5" t="s">
        <v>46704</v>
      </c>
      <c r="M7342" s="5" t="s">
        <v>46705</v>
      </c>
      <c r="N7342" s="7" t="s">
        <v>46706</v>
      </c>
      <c r="O7342" s="8" t="str">
        <f>HYPERLINK("https://drive.google.com/file/d/1n0Bpn5GNRqE_0W0dAMTZTOmCBCS9UTPL/view?usp=drivesdk","7341_DONNY SAPUTRO _ SERTIFIKAT BerAKHLAK")</f>
        <v>7341_DONNY SAPUTRO _ SERTIFIKAT BerAKHLAK</v>
      </c>
      <c r="P7342" s="5" t="s">
        <v>46699</v>
      </c>
    </row>
    <row r="7343">
      <c r="A7343" s="4">
        <v>45534.38084159722</v>
      </c>
      <c r="B7343" s="5" t="s">
        <v>34</v>
      </c>
      <c r="D7343" s="5" t="s">
        <v>1558</v>
      </c>
      <c r="E7343" s="5" t="s">
        <v>46707</v>
      </c>
      <c r="F7343" s="5" t="s">
        <v>108</v>
      </c>
      <c r="G7343" s="5" t="s">
        <v>46708</v>
      </c>
      <c r="H7343" s="6" t="s">
        <v>46709</v>
      </c>
      <c r="I7343" s="7" t="s">
        <v>46710</v>
      </c>
      <c r="J7343" s="8" t="str">
        <f>HYPERLINK("https://drive.google.com/file/d/1zUlruRfExib9PKXNQrhMbBDF56o3LriL/view?usp=drivesdk","YUNITA INDRIYANI, SE SERTIFIKAT BerAKHLAK")</f>
        <v>YUNITA INDRIYANI, SE SERTIFIKAT BerAKHLAK</v>
      </c>
      <c r="K7343" s="5" t="s">
        <v>46365</v>
      </c>
      <c r="L7343" s="5" t="s">
        <v>46711</v>
      </c>
      <c r="M7343" s="5" t="s">
        <v>46712</v>
      </c>
      <c r="N7343" s="7" t="s">
        <v>46713</v>
      </c>
      <c r="O7343" s="8" t="str">
        <f>HYPERLINK("https://drive.google.com/file/d/1yWk-xXbZNzDWZC5JAop4sIyrMGG6Z_yW/view?usp=drivesdk","7342_YUNITA INDRIYANI, SE _ SERTIFIKAT BerAKHLAK")</f>
        <v>7342_YUNITA INDRIYANI, SE _ SERTIFIKAT BerAKHLAK</v>
      </c>
      <c r="P7343" s="5" t="s">
        <v>46699</v>
      </c>
    </row>
    <row r="7344">
      <c r="A7344" s="4">
        <v>45534.38086575232</v>
      </c>
      <c r="B7344" s="5" t="s">
        <v>34</v>
      </c>
      <c r="D7344" s="5" t="s">
        <v>996</v>
      </c>
      <c r="E7344" s="5" t="s">
        <v>46714</v>
      </c>
      <c r="F7344" s="5" t="s">
        <v>212</v>
      </c>
      <c r="G7344" s="5" t="s">
        <v>46715</v>
      </c>
      <c r="H7344" s="6" t="s">
        <v>46716</v>
      </c>
      <c r="K7344" s="5" t="s">
        <v>46717</v>
      </c>
      <c r="M7344" s="5" t="s">
        <v>46718</v>
      </c>
      <c r="N7344" s="7" t="s">
        <v>46719</v>
      </c>
      <c r="O7344" s="8" t="str">
        <f>HYPERLINK("https://drive.google.com/file/d/19s5YnGYK32sr2F_-QfWX8A5XoP1CZNUh/view?usp=drivesdk","7343_RACHMAN HAKIM _ SERTIFIKAT BerAKHLAK")</f>
        <v>7343_RACHMAN HAKIM _ SERTIFIKAT BerAKHLAK</v>
      </c>
      <c r="P7344" s="5" t="s">
        <v>46720</v>
      </c>
    </row>
    <row r="7345">
      <c r="A7345" s="4">
        <v>45534.38088702546</v>
      </c>
      <c r="B7345" s="5" t="s">
        <v>34</v>
      </c>
      <c r="D7345" s="5" t="s">
        <v>7858</v>
      </c>
      <c r="E7345" s="5" t="s">
        <v>46721</v>
      </c>
      <c r="F7345" s="5" t="s">
        <v>37</v>
      </c>
      <c r="G7345" s="5" t="s">
        <v>46722</v>
      </c>
      <c r="H7345" s="6" t="s">
        <v>46723</v>
      </c>
      <c r="I7345" s="7" t="s">
        <v>46724</v>
      </c>
      <c r="J7345" s="8" t="str">
        <f>HYPERLINK("https://drive.google.com/file/d/18uyWs4pahfpGPUds4J7ZPwJ5CE_kP_Cx/view?usp=drivesdk","YANUAR EKA NUGROHO SERTIFIKAT BerAKHLAK")</f>
        <v>YANUAR EKA NUGROHO SERTIFIKAT BerAKHLAK</v>
      </c>
      <c r="K7345" s="5" t="s">
        <v>46365</v>
      </c>
      <c r="L7345" s="5" t="s">
        <v>46725</v>
      </c>
      <c r="M7345" s="5" t="s">
        <v>46726</v>
      </c>
      <c r="N7345" s="7" t="s">
        <v>46727</v>
      </c>
      <c r="O7345" s="8" t="str">
        <f>HYPERLINK("https://drive.google.com/file/d/1Uv2zwKeOuZEwowmAqGtz9mhsQ5w50psQ/view?usp=drivesdk","7344_YANUAR EKA NUGROHO _ SERTIFIKAT BerAKHLAK")</f>
        <v>7344_YANUAR EKA NUGROHO _ SERTIFIKAT BerAKHLAK</v>
      </c>
      <c r="P7345" s="5" t="s">
        <v>46720</v>
      </c>
    </row>
    <row r="7346">
      <c r="A7346" s="4">
        <v>45534.380895532406</v>
      </c>
      <c r="B7346" s="5" t="s">
        <v>34</v>
      </c>
      <c r="D7346" s="5" t="s">
        <v>14424</v>
      </c>
      <c r="E7346" s="5" t="s">
        <v>46728</v>
      </c>
      <c r="F7346" s="5" t="s">
        <v>108</v>
      </c>
      <c r="G7346" s="5" t="s">
        <v>46729</v>
      </c>
      <c r="H7346" s="6" t="s">
        <v>46730</v>
      </c>
      <c r="K7346" s="5" t="s">
        <v>46717</v>
      </c>
      <c r="M7346" s="5" t="s">
        <v>46731</v>
      </c>
      <c r="N7346" s="7" t="s">
        <v>46732</v>
      </c>
      <c r="O7346" s="8" t="str">
        <f>HYPERLINK("https://drive.google.com/file/d/1vP-1xynnTL7YMR30ijHna3szptbzN3dO/view?usp=drivesdk","7345_RITA AGUSTIYANDA S FARM APT _ SERTIFIKAT BerAKHLAK")</f>
        <v>7345_RITA AGUSTIYANDA S FARM APT _ SERTIFIKAT BerAKHLAK</v>
      </c>
      <c r="P7346" s="5" t="s">
        <v>46720</v>
      </c>
    </row>
    <row r="7347">
      <c r="A7347" s="4">
        <v>45534.38090081018</v>
      </c>
      <c r="B7347" s="5" t="s">
        <v>34</v>
      </c>
      <c r="D7347" s="5" t="s">
        <v>9020</v>
      </c>
      <c r="E7347" s="5" t="s">
        <v>46733</v>
      </c>
      <c r="F7347" s="5" t="s">
        <v>72</v>
      </c>
      <c r="G7347" s="5" t="s">
        <v>46734</v>
      </c>
      <c r="H7347" s="6" t="s">
        <v>46735</v>
      </c>
      <c r="K7347" s="5" t="s">
        <v>46717</v>
      </c>
      <c r="M7347" s="5" t="s">
        <v>46736</v>
      </c>
      <c r="N7347" s="7" t="s">
        <v>46737</v>
      </c>
      <c r="O7347" s="8" t="str">
        <f>HYPERLINK("https://drive.google.com/file/d/1uNRXVjZ7q7gbdBikXnz4z5VNm52_8r5g/view?usp=drivesdk","7346_PARULIAN DAMANIK _ SERTIFIKAT BerAKHLAK")</f>
        <v>7346_PARULIAN DAMANIK _ SERTIFIKAT BerAKHLAK</v>
      </c>
      <c r="P7347" s="5" t="s">
        <v>46720</v>
      </c>
    </row>
    <row r="7348">
      <c r="A7348" s="4">
        <v>45534.380919351854</v>
      </c>
      <c r="B7348" s="5" t="s">
        <v>34</v>
      </c>
      <c r="D7348" s="5" t="s">
        <v>35</v>
      </c>
      <c r="E7348" s="5" t="s">
        <v>46738</v>
      </c>
      <c r="F7348" s="5" t="s">
        <v>37</v>
      </c>
      <c r="G7348" s="5" t="s">
        <v>46739</v>
      </c>
      <c r="H7348" s="6" t="s">
        <v>46740</v>
      </c>
      <c r="I7348" s="7" t="s">
        <v>46741</v>
      </c>
      <c r="J7348" s="8" t="str">
        <f>HYPERLINK("https://drive.google.com/file/d/1Efh5bgHa8-g1g2mjKaRJXkCz63Sw8AKS/view?usp=drivesdk","ALINUR SERTIFIKAT BerAKHLAK")</f>
        <v>ALINUR SERTIFIKAT BerAKHLAK</v>
      </c>
      <c r="K7348" s="5" t="s">
        <v>46365</v>
      </c>
      <c r="L7348" s="5" t="s">
        <v>46742</v>
      </c>
      <c r="M7348" s="5" t="s">
        <v>46743</v>
      </c>
      <c r="N7348" s="7" t="s">
        <v>46744</v>
      </c>
      <c r="O7348" s="8" t="str">
        <f>HYPERLINK("https://drive.google.com/file/d/1d4sfHkZSIkxn8o2zw5hABcTM6gzjJKJe/view?usp=drivesdk","7347_ALINUR _ SERTIFIKAT BerAKHLAK")</f>
        <v>7347_ALINUR _ SERTIFIKAT BerAKHLAK</v>
      </c>
      <c r="P7348" s="5" t="s">
        <v>46745</v>
      </c>
    </row>
    <row r="7349">
      <c r="A7349" s="4">
        <v>45534.38092542824</v>
      </c>
      <c r="B7349" s="5" t="s">
        <v>34</v>
      </c>
      <c r="D7349" s="5" t="s">
        <v>1558</v>
      </c>
      <c r="E7349" s="5" t="s">
        <v>46746</v>
      </c>
      <c r="F7349" s="5" t="s">
        <v>37</v>
      </c>
      <c r="G7349" s="5" t="s">
        <v>46747</v>
      </c>
      <c r="H7349" s="6" t="s">
        <v>46748</v>
      </c>
      <c r="K7349" s="5" t="s">
        <v>46749</v>
      </c>
      <c r="M7349" s="5" t="s">
        <v>46750</v>
      </c>
      <c r="N7349" s="7" t="s">
        <v>46751</v>
      </c>
      <c r="O7349" s="8" t="str">
        <f>HYPERLINK("https://drive.google.com/file/d/1NrOFojXLv8PLW-rwAX-eNCbbP8Kry2La/view?usp=drivesdk","7348_TOHA SALIM _ SERTIFIKAT BerAKHLAK")</f>
        <v>7348_TOHA SALIM _ SERTIFIKAT BerAKHLAK</v>
      </c>
      <c r="P7349" s="5" t="s">
        <v>46745</v>
      </c>
    </row>
    <row r="7350">
      <c r="A7350" s="4">
        <v>45534.38096537037</v>
      </c>
      <c r="B7350" s="5" t="s">
        <v>34</v>
      </c>
      <c r="D7350" s="5" t="s">
        <v>12978</v>
      </c>
      <c r="E7350" s="5" t="s">
        <v>46752</v>
      </c>
      <c r="F7350" s="5" t="s">
        <v>72</v>
      </c>
      <c r="G7350" s="5" t="s">
        <v>46753</v>
      </c>
      <c r="H7350" s="6" t="s">
        <v>46754</v>
      </c>
      <c r="K7350" s="5" t="s">
        <v>46755</v>
      </c>
      <c r="M7350" s="5" t="s">
        <v>46756</v>
      </c>
      <c r="N7350" s="7" t="s">
        <v>46757</v>
      </c>
      <c r="O7350" s="8" t="str">
        <f>HYPERLINK("https://drive.google.com/file/d/1F9JuJfvIqpzgKcHvx_F5tYrHJEFnxOjK/view?usp=drivesdk","7349_Abdul Hamid.A.Md _ SERTIFIKAT BerAKHLAK")</f>
        <v>7349_Abdul Hamid.A.Md _ SERTIFIKAT BerAKHLAK</v>
      </c>
      <c r="P7350" s="5" t="s">
        <v>46745</v>
      </c>
    </row>
    <row r="7351">
      <c r="A7351" s="4">
        <v>45534.38097237269</v>
      </c>
      <c r="B7351" s="5" t="s">
        <v>34</v>
      </c>
      <c r="D7351" s="5" t="s">
        <v>1692</v>
      </c>
      <c r="E7351" s="5" t="s">
        <v>46758</v>
      </c>
      <c r="F7351" s="5" t="s">
        <v>212</v>
      </c>
      <c r="G7351" s="5" t="s">
        <v>46759</v>
      </c>
      <c r="H7351" s="6" t="s">
        <v>46760</v>
      </c>
      <c r="K7351" s="5" t="s">
        <v>46755</v>
      </c>
      <c r="M7351" s="5" t="s">
        <v>46761</v>
      </c>
      <c r="N7351" s="7" t="s">
        <v>46762</v>
      </c>
      <c r="O7351" s="8" t="str">
        <f>HYPERLINK("https://drive.google.com/file/d/1x8WmjJTbRZx1ZPXqwEkbMVn4enHy3L1-/view?usp=drivesdk","7350_FERLY WATTIMENA  _ SERTIFIKAT BerAKHLAK")</f>
        <v>7350_FERLY WATTIMENA  _ SERTIFIKAT BerAKHLAK</v>
      </c>
      <c r="P7351" s="5" t="s">
        <v>46745</v>
      </c>
    </row>
    <row r="7352" hidden="1">
      <c r="A7352" s="4">
        <v>45534.38097726852</v>
      </c>
      <c r="B7352" s="5" t="s">
        <v>19</v>
      </c>
      <c r="C7352" s="5" t="s">
        <v>83</v>
      </c>
      <c r="E7352" s="5" t="s">
        <v>46763</v>
      </c>
      <c r="F7352" s="5" t="s">
        <v>108</v>
      </c>
      <c r="G7352" s="5" t="s">
        <v>46764</v>
      </c>
      <c r="H7352" s="6" t="s">
        <v>46765</v>
      </c>
      <c r="K7352" s="5" t="s">
        <v>46755</v>
      </c>
      <c r="M7352" s="5" t="s">
        <v>46766</v>
      </c>
      <c r="N7352" s="7" t="s">
        <v>46767</v>
      </c>
      <c r="O7352" s="8" t="str">
        <f>HYPERLINK("https://drive.google.com/file/d/13eeQha3TdSgkOCrovOrXK70WgVWQB_xK/view?usp=drivesdk","7351_PUJI APRILTA SARI, A.Md. _ SERTIFIKAT BerAKHLAK")</f>
        <v>7351_PUJI APRILTA SARI, A.Md. _ SERTIFIKAT BerAKHLAK</v>
      </c>
      <c r="P7352" s="5" t="s">
        <v>46745</v>
      </c>
    </row>
    <row r="7353" hidden="1">
      <c r="A7353" s="4">
        <v>45534.38098715278</v>
      </c>
      <c r="B7353" s="5" t="s">
        <v>19</v>
      </c>
      <c r="C7353" s="5" t="s">
        <v>292</v>
      </c>
      <c r="E7353" s="5" t="s">
        <v>46768</v>
      </c>
      <c r="F7353" s="5" t="s">
        <v>6776</v>
      </c>
      <c r="G7353" s="5" t="s">
        <v>46769</v>
      </c>
      <c r="H7353" s="6" t="s">
        <v>46770</v>
      </c>
      <c r="K7353" s="5" t="s">
        <v>46771</v>
      </c>
      <c r="M7353" s="5" t="s">
        <v>46772</v>
      </c>
      <c r="N7353" s="7" t="s">
        <v>46773</v>
      </c>
      <c r="O7353" s="8" t="str">
        <f>HYPERLINK("https://drive.google.com/file/d/1OqSxGxw3UyLtUM4cqbXADAi4Dh_W4jFW/view?usp=drivesdk","7352_SUGITO _ SERTIFIKAT BerAKHLAK")</f>
        <v>7352_SUGITO _ SERTIFIKAT BerAKHLAK</v>
      </c>
      <c r="P7353" s="5" t="s">
        <v>46774</v>
      </c>
    </row>
    <row r="7354">
      <c r="A7354" s="4">
        <v>45534.38099884259</v>
      </c>
      <c r="B7354" s="5" t="s">
        <v>34</v>
      </c>
      <c r="D7354" s="5" t="s">
        <v>1206</v>
      </c>
      <c r="E7354" s="5" t="s">
        <v>46775</v>
      </c>
      <c r="F7354" s="5" t="s">
        <v>212</v>
      </c>
      <c r="G7354" s="5" t="s">
        <v>46776</v>
      </c>
      <c r="H7354" s="6" t="s">
        <v>46777</v>
      </c>
      <c r="K7354" s="5" t="s">
        <v>46771</v>
      </c>
      <c r="M7354" s="5" t="s">
        <v>46778</v>
      </c>
      <c r="N7354" s="7" t="s">
        <v>46779</v>
      </c>
      <c r="O7354" s="8" t="str">
        <f>HYPERLINK("https://drive.google.com/file/d/13ohGPW12EYWrqRgnUg1JUK7nsFXnrV33/view?usp=drivesdk","7353_PUJI WAHYUDI _ SERTIFIKAT BerAKHLAK")</f>
        <v>7353_PUJI WAHYUDI _ SERTIFIKAT BerAKHLAK</v>
      </c>
      <c r="P7354" s="5" t="s">
        <v>46774</v>
      </c>
    </row>
    <row r="7355">
      <c r="A7355" s="4">
        <v>45534.38100799768</v>
      </c>
      <c r="B7355" s="5" t="s">
        <v>34</v>
      </c>
      <c r="D7355" s="5" t="s">
        <v>6232</v>
      </c>
      <c r="E7355" s="5" t="s">
        <v>46780</v>
      </c>
      <c r="F7355" s="5" t="s">
        <v>524</v>
      </c>
      <c r="G7355" s="5" t="s">
        <v>46781</v>
      </c>
      <c r="H7355" s="6" t="s">
        <v>46782</v>
      </c>
      <c r="I7355" s="7" t="s">
        <v>46783</v>
      </c>
      <c r="J7355" s="8" t="str">
        <f>HYPERLINK("https://drive.google.com/file/d/1m0p1HDmmV7aRooIjP9Fan3klHuGN_0bS/view?usp=drivesdk","LIZA FEBRIA.AMD.,SKOM SERTIFIKAT BerAKHLAK")</f>
        <v>LIZA FEBRIA.AMD.,SKOM SERTIFIKAT BerAKHLAK</v>
      </c>
      <c r="K7355" s="5" t="s">
        <v>46784</v>
      </c>
      <c r="L7355" s="5" t="s">
        <v>46785</v>
      </c>
      <c r="M7355" s="5" t="s">
        <v>46786</v>
      </c>
      <c r="N7355" s="7" t="s">
        <v>46787</v>
      </c>
      <c r="O7355" s="8" t="str">
        <f>HYPERLINK("https://drive.google.com/file/d/1YMA4KgZDvQpHhE7fDizmomh3ozKnfsGM/view?usp=drivesdk","7354_LIZA FEBRIA.AMD.,SKOM _ SERTIFIKAT BerAKHLAK")</f>
        <v>7354_LIZA FEBRIA.AMD.,SKOM _ SERTIFIKAT BerAKHLAK</v>
      </c>
      <c r="P7355" s="5" t="s">
        <v>46774</v>
      </c>
    </row>
    <row r="7356">
      <c r="A7356" s="4">
        <v>45534.38101694445</v>
      </c>
      <c r="B7356" s="5" t="s">
        <v>34</v>
      </c>
      <c r="D7356" s="5" t="s">
        <v>9394</v>
      </c>
      <c r="E7356" s="5" t="s">
        <v>46788</v>
      </c>
      <c r="F7356" s="5" t="s">
        <v>120</v>
      </c>
      <c r="G7356" s="5" t="s">
        <v>46789</v>
      </c>
      <c r="H7356" s="6" t="s">
        <v>46790</v>
      </c>
      <c r="K7356" s="5" t="s">
        <v>46791</v>
      </c>
      <c r="M7356" s="5" t="s">
        <v>46792</v>
      </c>
      <c r="N7356" s="7" t="s">
        <v>46793</v>
      </c>
      <c r="O7356" s="8" t="str">
        <f>HYPERLINK("https://drive.google.com/file/d/1prJL63RLEP84FPjQUtDZ2ol47a4UUnv0/view?usp=drivesdk","7355_YANURIZA, S.E., M.AK., AK _ SERTIFIKAT BerAKHLAK")</f>
        <v>7355_YANURIZA, S.E., M.AK., AK _ SERTIFIKAT BerAKHLAK</v>
      </c>
      <c r="P7356" s="5" t="s">
        <v>46794</v>
      </c>
    </row>
    <row r="7357" hidden="1">
      <c r="A7357" s="4">
        <v>45534.38101935185</v>
      </c>
      <c r="B7357" s="5" t="s">
        <v>19</v>
      </c>
      <c r="C7357" s="5" t="s">
        <v>30588</v>
      </c>
      <c r="E7357" s="5" t="s">
        <v>46795</v>
      </c>
      <c r="F7357" s="5" t="s">
        <v>375</v>
      </c>
      <c r="G7357" s="5" t="s">
        <v>46796</v>
      </c>
      <c r="H7357" s="6" t="s">
        <v>46797</v>
      </c>
      <c r="K7357" s="5" t="s">
        <v>46791</v>
      </c>
      <c r="M7357" s="5" t="s">
        <v>46798</v>
      </c>
      <c r="N7357" s="7" t="s">
        <v>46799</v>
      </c>
      <c r="O7357" s="8" t="str">
        <f>HYPERLINK("https://drive.google.com/file/d/12BJLoFWvPiH2_tRosnRl7lo4kkHPuY-j/view?usp=drivesdk","7356_SUYATI _ SERTIFIKAT BerAKHLAK")</f>
        <v>7356_SUYATI _ SERTIFIKAT BerAKHLAK</v>
      </c>
      <c r="P7357" s="5" t="s">
        <v>46794</v>
      </c>
    </row>
    <row r="7358">
      <c r="A7358" s="4">
        <v>45534.381060914355</v>
      </c>
      <c r="B7358" s="5" t="s">
        <v>34</v>
      </c>
      <c r="D7358" s="5" t="s">
        <v>1206</v>
      </c>
      <c r="E7358" s="5" t="s">
        <v>46800</v>
      </c>
      <c r="F7358" s="5" t="s">
        <v>37</v>
      </c>
      <c r="G7358" s="5" t="s">
        <v>46801</v>
      </c>
      <c r="H7358" s="6" t="s">
        <v>46802</v>
      </c>
      <c r="K7358" s="5" t="s">
        <v>46803</v>
      </c>
      <c r="M7358" s="5" t="s">
        <v>46804</v>
      </c>
      <c r="N7358" s="7" t="s">
        <v>46805</v>
      </c>
      <c r="O7358" s="8" t="str">
        <f>HYPERLINK("https://drive.google.com/file/d/1vdidnE62fqQvs4Q6txhVRUb3lKyZYnK3/view?usp=drivesdk","7357_TINA MAYA PUSPITASARI _ SERTIFIKAT BerAKHLAK")</f>
        <v>7357_TINA MAYA PUSPITASARI _ SERTIFIKAT BerAKHLAK</v>
      </c>
      <c r="P7358" s="5" t="s">
        <v>46794</v>
      </c>
    </row>
    <row r="7359">
      <c r="A7359" s="4">
        <v>45534.38107707176</v>
      </c>
      <c r="B7359" s="5" t="s">
        <v>34</v>
      </c>
      <c r="D7359" s="5" t="s">
        <v>1206</v>
      </c>
      <c r="E7359" s="5" t="s">
        <v>46806</v>
      </c>
      <c r="F7359" s="5" t="s">
        <v>375</v>
      </c>
      <c r="G7359" s="5" t="s">
        <v>46807</v>
      </c>
      <c r="H7359" s="6" t="s">
        <v>46808</v>
      </c>
      <c r="K7359" s="5" t="s">
        <v>46809</v>
      </c>
      <c r="M7359" s="5" t="s">
        <v>46810</v>
      </c>
      <c r="N7359" s="7" t="s">
        <v>46811</v>
      </c>
      <c r="O7359" s="8" t="str">
        <f>HYPERLINK("https://drive.google.com/file/d/1RxxRw-93zTe2tVPzWAmgDwjr6iorvVLH/view?usp=drivesdk","7358_DAVID KUNTJORO ISWANTO, S.H. _ SERTIFIKAT BerAKHLAK")</f>
        <v>7358_DAVID KUNTJORO ISWANTO, S.H. _ SERTIFIKAT BerAKHLAK</v>
      </c>
      <c r="P7359" s="5" t="s">
        <v>46794</v>
      </c>
    </row>
    <row r="7360">
      <c r="A7360" s="4">
        <v>45534.381090254625</v>
      </c>
      <c r="B7360" s="5" t="s">
        <v>34</v>
      </c>
      <c r="D7360" s="5" t="s">
        <v>1206</v>
      </c>
      <c r="E7360" s="5" t="s">
        <v>46812</v>
      </c>
      <c r="F7360" s="5" t="s">
        <v>375</v>
      </c>
      <c r="G7360" s="5" t="s">
        <v>46813</v>
      </c>
      <c r="H7360" s="6" t="s">
        <v>46814</v>
      </c>
      <c r="K7360" s="5" t="s">
        <v>46809</v>
      </c>
      <c r="M7360" s="5" t="s">
        <v>46815</v>
      </c>
      <c r="N7360" s="7" t="s">
        <v>46816</v>
      </c>
      <c r="O7360" s="8" t="str">
        <f>HYPERLINK("https://drive.google.com/file/d/1CLPw1mtTam-2RpsEODUXSjlGQ_0ON6wC/view?usp=drivesdk","7359_MARIANI, S H. _ SERTIFIKAT BerAKHLAK")</f>
        <v>7359_MARIANI, S H. _ SERTIFIKAT BerAKHLAK</v>
      </c>
      <c r="P7360" s="5" t="s">
        <v>46817</v>
      </c>
    </row>
    <row r="7361">
      <c r="A7361" s="4">
        <v>45534.38112280093</v>
      </c>
      <c r="B7361" s="5" t="s">
        <v>34</v>
      </c>
      <c r="D7361" s="5" t="s">
        <v>1558</v>
      </c>
      <c r="E7361" s="5" t="s">
        <v>46818</v>
      </c>
      <c r="F7361" s="5" t="s">
        <v>375</v>
      </c>
      <c r="G7361" s="5" t="s">
        <v>46819</v>
      </c>
      <c r="H7361" s="6" t="s">
        <v>46820</v>
      </c>
      <c r="K7361" s="5" t="s">
        <v>46821</v>
      </c>
      <c r="M7361" s="5" t="s">
        <v>46822</v>
      </c>
      <c r="N7361" s="7" t="s">
        <v>46823</v>
      </c>
      <c r="O7361" s="8" t="str">
        <f>HYPERLINK("https://drive.google.com/file/d/1ztwYiAIC7bEyrUo6ipjRCCoN-G2Pyp19/view?usp=drivesdk","7360_NOVI NURINDAH  _ SERTIFIKAT BerAKHLAK")</f>
        <v>7360_NOVI NURINDAH  _ SERTIFIKAT BerAKHLAK</v>
      </c>
      <c r="P7361" s="5" t="s">
        <v>46817</v>
      </c>
    </row>
    <row r="7362">
      <c r="A7362" s="4">
        <v>45534.38112910879</v>
      </c>
      <c r="B7362" s="5" t="s">
        <v>34</v>
      </c>
      <c r="D7362" s="5" t="s">
        <v>3432</v>
      </c>
      <c r="E7362" s="5" t="s">
        <v>46824</v>
      </c>
      <c r="F7362" s="5" t="s">
        <v>37</v>
      </c>
      <c r="G7362" s="5" t="s">
        <v>46825</v>
      </c>
      <c r="H7362" s="6" t="s">
        <v>46826</v>
      </c>
      <c r="K7362" s="5" t="s">
        <v>46821</v>
      </c>
      <c r="M7362" s="5" t="s">
        <v>46827</v>
      </c>
      <c r="N7362" s="7" t="s">
        <v>46828</v>
      </c>
      <c r="O7362" s="8" t="str">
        <f>HYPERLINK("https://drive.google.com/file/d/1qAzZ3NVApMHDWeYtA7lUfAO0jWEt1Ptu/view?usp=drivesdk","7361_MUHAMMAD FACHRUL SUDARNIO, A.Md.Kom. _ SERTIFIKAT BerAKHLAK")</f>
        <v>7361_MUHAMMAD FACHRUL SUDARNIO, A.Md.Kom. _ SERTIFIKAT BerAKHLAK</v>
      </c>
      <c r="P7362" s="5" t="s">
        <v>46817</v>
      </c>
    </row>
    <row r="7363">
      <c r="A7363" s="4">
        <v>45534.38114583334</v>
      </c>
      <c r="B7363" s="5" t="s">
        <v>34</v>
      </c>
      <c r="D7363" s="5" t="s">
        <v>3432</v>
      </c>
      <c r="E7363" s="5" t="s">
        <v>46829</v>
      </c>
      <c r="F7363" s="5" t="s">
        <v>37</v>
      </c>
      <c r="G7363" s="5" t="s">
        <v>46830</v>
      </c>
      <c r="H7363" s="6" t="s">
        <v>46831</v>
      </c>
      <c r="K7363" s="5" t="s">
        <v>46821</v>
      </c>
      <c r="M7363" s="5" t="s">
        <v>46832</v>
      </c>
      <c r="N7363" s="7" t="s">
        <v>46833</v>
      </c>
      <c r="O7363" s="8" t="str">
        <f>HYPERLINK("https://drive.google.com/file/d/1Pn6LRe7v735sjyd2zBH8TNCp0yFJulB2/view?usp=drivesdk","7362_HASLINDA SARI, A. Md. Kep _ SERTIFIKAT BerAKHLAK")</f>
        <v>7362_HASLINDA SARI, A. Md. Kep _ SERTIFIKAT BerAKHLAK</v>
      </c>
      <c r="P7363" s="5" t="s">
        <v>46834</v>
      </c>
    </row>
    <row r="7364">
      <c r="A7364" s="4">
        <v>45534.38115585648</v>
      </c>
      <c r="B7364" s="5" t="s">
        <v>34</v>
      </c>
      <c r="D7364" s="5" t="s">
        <v>1206</v>
      </c>
      <c r="E7364" s="5" t="s">
        <v>46835</v>
      </c>
      <c r="F7364" s="5" t="s">
        <v>37</v>
      </c>
      <c r="G7364" s="5" t="s">
        <v>46836</v>
      </c>
      <c r="H7364" s="6" t="s">
        <v>46837</v>
      </c>
      <c r="I7364" s="7" t="s">
        <v>46838</v>
      </c>
      <c r="J7364" s="8" t="str">
        <f>HYPERLINK("https://drive.google.com/file/d/1gU_zwpmDe8qqNlbL6qTRnZVzXh7ROfN7/view?usp=drivesdk","USWATUN JAZILA, S.Pd SERTIFIKAT BerAKHLAK")</f>
        <v>USWATUN JAZILA, S.Pd SERTIFIKAT BerAKHLAK</v>
      </c>
      <c r="K7364" s="5" t="s">
        <v>46365</v>
      </c>
      <c r="L7364" s="5" t="s">
        <v>46839</v>
      </c>
      <c r="M7364" s="5" t="s">
        <v>46840</v>
      </c>
      <c r="N7364" s="7" t="s">
        <v>46841</v>
      </c>
      <c r="O7364" s="8" t="str">
        <f>HYPERLINK("https://drive.google.com/file/d/1mYWMkcEyntZ7SvS0suXqLpcCYRPxAs26/view?usp=drivesdk","7363_USWATUN JAZILA, S.Pd _ SERTIFIKAT BerAKHLAK")</f>
        <v>7363_USWATUN JAZILA, S.Pd _ SERTIFIKAT BerAKHLAK</v>
      </c>
      <c r="P7364" s="5" t="s">
        <v>46834</v>
      </c>
    </row>
    <row r="7365">
      <c r="A7365" s="4">
        <v>45534.3811560301</v>
      </c>
      <c r="B7365" s="5" t="s">
        <v>34</v>
      </c>
      <c r="D7365" s="5" t="s">
        <v>7858</v>
      </c>
      <c r="E7365" s="5" t="s">
        <v>46842</v>
      </c>
      <c r="F7365" s="5" t="s">
        <v>375</v>
      </c>
      <c r="G7365" s="5" t="s">
        <v>46843</v>
      </c>
      <c r="H7365" s="6" t="s">
        <v>46844</v>
      </c>
      <c r="K7365" s="5" t="s">
        <v>46845</v>
      </c>
      <c r="M7365" s="5" t="s">
        <v>46846</v>
      </c>
      <c r="N7365" s="7" t="s">
        <v>46847</v>
      </c>
      <c r="O7365" s="8" t="str">
        <f>HYPERLINK("https://drive.google.com/file/d/1_C1Z6OPW4FD64baRUYR0TtCao0PLv8VD/view?usp=drivesdk","7364_RIKARDO ELSAM, S.E.,M.M. _ SERTIFIKAT BerAKHLAK")</f>
        <v>7364_RIKARDO ELSAM, S.E.,M.M. _ SERTIFIKAT BerAKHLAK</v>
      </c>
      <c r="P7365" s="5" t="s">
        <v>46834</v>
      </c>
    </row>
    <row r="7366">
      <c r="A7366" s="4">
        <v>45534.38115748843</v>
      </c>
      <c r="B7366" s="5" t="s">
        <v>34</v>
      </c>
      <c r="D7366" s="5" t="s">
        <v>267</v>
      </c>
      <c r="E7366" s="5" t="s">
        <v>46848</v>
      </c>
      <c r="F7366" s="5" t="s">
        <v>108</v>
      </c>
      <c r="G7366" s="5" t="s">
        <v>46849</v>
      </c>
      <c r="H7366" s="6" t="s">
        <v>46850</v>
      </c>
      <c r="K7366" s="5" t="s">
        <v>46845</v>
      </c>
      <c r="M7366" s="5" t="s">
        <v>46851</v>
      </c>
      <c r="N7366" s="7" t="s">
        <v>46852</v>
      </c>
      <c r="O7366" s="8" t="str">
        <f>HYPERLINK("https://drive.google.com/file/d/13Z9UOSqv7LCVx5kOwLfd7o0LjY1OUE29/view?usp=drivesdk","7365_Lusi Rosita Jati, SE, M.Ak _ SERTIFIKAT BerAKHLAK")</f>
        <v>7365_Lusi Rosita Jati, SE, M.Ak _ SERTIFIKAT BerAKHLAK</v>
      </c>
      <c r="P7366" s="5" t="s">
        <v>46834</v>
      </c>
    </row>
    <row r="7367" hidden="1">
      <c r="A7367" s="4">
        <v>45534.38116148148</v>
      </c>
      <c r="B7367" s="5" t="s">
        <v>19</v>
      </c>
      <c r="C7367" s="5" t="s">
        <v>292</v>
      </c>
      <c r="E7367" s="5" t="s">
        <v>46853</v>
      </c>
      <c r="F7367" s="5" t="s">
        <v>212</v>
      </c>
      <c r="G7367" s="5" t="s">
        <v>46854</v>
      </c>
      <c r="H7367" s="6" t="s">
        <v>46855</v>
      </c>
      <c r="K7367" s="5" t="s">
        <v>46845</v>
      </c>
      <c r="M7367" s="5" t="s">
        <v>46856</v>
      </c>
      <c r="N7367" s="7" t="s">
        <v>46857</v>
      </c>
      <c r="O7367" s="8" t="str">
        <f>HYPERLINK("https://drive.google.com/file/d/1cKrNaVRC8DkHnVCySqZIHSxmAQE7c_2T/view?usp=drivesdk","7366_PARYOTO  _ SERTIFIKAT BerAKHLAK")</f>
        <v>7366_PARYOTO  _ SERTIFIKAT BerAKHLAK</v>
      </c>
      <c r="P7367" s="5" t="s">
        <v>46858</v>
      </c>
    </row>
    <row r="7368">
      <c r="A7368" s="4">
        <v>45534.38117197917</v>
      </c>
      <c r="B7368" s="5" t="s">
        <v>34</v>
      </c>
      <c r="D7368" s="5" t="s">
        <v>14313</v>
      </c>
      <c r="E7368" s="5" t="s">
        <v>46859</v>
      </c>
      <c r="F7368" s="5" t="s">
        <v>120</v>
      </c>
      <c r="G7368" s="5" t="s">
        <v>46860</v>
      </c>
      <c r="H7368" s="6" t="s">
        <v>46861</v>
      </c>
      <c r="K7368" s="5" t="s">
        <v>46845</v>
      </c>
      <c r="M7368" s="5" t="s">
        <v>46862</v>
      </c>
      <c r="N7368" s="7" t="s">
        <v>46863</v>
      </c>
      <c r="O7368" s="8" t="str">
        <f>HYPERLINK("https://drive.google.com/file/d/1Z4D2p5NpwlW1rv8_DaPylt__IvMmq08Z/view?usp=drivesdk","7367_BURHANUDDIN.T _ SERTIFIKAT BerAKHLAK")</f>
        <v>7367_BURHANUDDIN.T _ SERTIFIKAT BerAKHLAK</v>
      </c>
      <c r="P7368" s="5" t="s">
        <v>46858</v>
      </c>
    </row>
    <row r="7369">
      <c r="A7369" s="4">
        <v>45534.381226620375</v>
      </c>
      <c r="B7369" s="5" t="s">
        <v>34</v>
      </c>
      <c r="D7369" s="5" t="s">
        <v>4775</v>
      </c>
      <c r="E7369" s="5" t="s">
        <v>46864</v>
      </c>
      <c r="F7369" s="5" t="s">
        <v>375</v>
      </c>
      <c r="G7369" s="5" t="s">
        <v>46865</v>
      </c>
      <c r="H7369" s="6" t="s">
        <v>46866</v>
      </c>
      <c r="K7369" s="5" t="s">
        <v>46867</v>
      </c>
      <c r="M7369" s="5" t="s">
        <v>46868</v>
      </c>
      <c r="N7369" s="7" t="s">
        <v>46869</v>
      </c>
      <c r="O7369" s="8" t="str">
        <f>HYPERLINK("https://drive.google.com/file/d/1TUUiKaf2bSu-7kMZthdcV_U3la2tGXvD/view?usp=drivesdk","7368_T. AGUS WANTORO  _ SERTIFIKAT BerAKHLAK")</f>
        <v>7368_T. AGUS WANTORO  _ SERTIFIKAT BerAKHLAK</v>
      </c>
      <c r="P7369" s="5" t="s">
        <v>46858</v>
      </c>
    </row>
    <row r="7370">
      <c r="A7370" s="4">
        <v>45534.38124488426</v>
      </c>
      <c r="B7370" s="5" t="s">
        <v>34</v>
      </c>
      <c r="D7370" s="5" t="s">
        <v>4775</v>
      </c>
      <c r="E7370" s="5" t="s">
        <v>46870</v>
      </c>
      <c r="F7370" s="5" t="s">
        <v>37</v>
      </c>
      <c r="G7370" s="5" t="s">
        <v>46871</v>
      </c>
      <c r="H7370" s="6" t="s">
        <v>46872</v>
      </c>
      <c r="K7370" s="5" t="s">
        <v>46873</v>
      </c>
      <c r="M7370" s="5" t="s">
        <v>46874</v>
      </c>
      <c r="N7370" s="7" t="s">
        <v>46875</v>
      </c>
      <c r="O7370" s="8" t="str">
        <f>HYPERLINK("https://drive.google.com/file/d/15PP8bH-bOgFCSOF0eKdgX8noUrRy4wIi/view?usp=drivesdk","7369_ARIS NYARMIATI, AMK _ SERTIFIKAT BerAKHLAK")</f>
        <v>7369_ARIS NYARMIATI, AMK _ SERTIFIKAT BerAKHLAK</v>
      </c>
      <c r="P7370" s="5" t="s">
        <v>46858</v>
      </c>
    </row>
    <row r="7371" hidden="1">
      <c r="A7371" s="4">
        <v>45534.381246006946</v>
      </c>
      <c r="B7371" s="5" t="s">
        <v>19</v>
      </c>
      <c r="C7371" s="5" t="s">
        <v>5058</v>
      </c>
      <c r="E7371" s="5" t="s">
        <v>46876</v>
      </c>
      <c r="F7371" s="5" t="s">
        <v>524</v>
      </c>
      <c r="G7371" s="5" t="s">
        <v>46877</v>
      </c>
      <c r="H7371" s="6" t="s">
        <v>46878</v>
      </c>
      <c r="K7371" s="5" t="s">
        <v>46873</v>
      </c>
      <c r="M7371" s="5" t="s">
        <v>46879</v>
      </c>
      <c r="N7371" s="7" t="s">
        <v>46880</v>
      </c>
      <c r="O7371" s="8" t="str">
        <f>HYPERLINK("https://drive.google.com/file/d/1RI-v3O7nsr0cTzMMWaGUV1v36imZbvIQ/view?usp=drivesdk","7370_PUCHA IKHWAL RAMADHANI, S.Kom _ SERTIFIKAT BerAKHLAK")</f>
        <v>7370_PUCHA IKHWAL RAMADHANI, S.Kom _ SERTIFIKAT BerAKHLAK</v>
      </c>
      <c r="P7371" s="5" t="s">
        <v>46881</v>
      </c>
    </row>
    <row r="7372">
      <c r="A7372" s="4">
        <v>45534.381248171296</v>
      </c>
      <c r="B7372" s="5" t="s">
        <v>34</v>
      </c>
      <c r="D7372" s="5" t="s">
        <v>280</v>
      </c>
      <c r="E7372" s="5" t="s">
        <v>46882</v>
      </c>
      <c r="F7372" s="5" t="s">
        <v>212</v>
      </c>
      <c r="G7372" s="5" t="s">
        <v>46883</v>
      </c>
      <c r="H7372" s="6" t="s">
        <v>46884</v>
      </c>
      <c r="K7372" s="5" t="s">
        <v>46873</v>
      </c>
      <c r="M7372" s="5" t="s">
        <v>46885</v>
      </c>
      <c r="N7372" s="7" t="s">
        <v>46886</v>
      </c>
      <c r="O7372" s="8" t="str">
        <f>HYPERLINK("https://drive.google.com/file/d/1S0ww7--XpLxgLPu5CTkBVRgIqAYWuOSF/view?usp=drivesdk","7371_SRI RAYULIANTI _ SERTIFIKAT BerAKHLAK")</f>
        <v>7371_SRI RAYULIANTI _ SERTIFIKAT BerAKHLAK</v>
      </c>
      <c r="P7372" s="5" t="s">
        <v>46881</v>
      </c>
    </row>
    <row r="7373">
      <c r="A7373" s="4">
        <v>45534.38129568287</v>
      </c>
      <c r="B7373" s="5" t="s">
        <v>34</v>
      </c>
      <c r="D7373" s="5" t="s">
        <v>10444</v>
      </c>
      <c r="E7373" s="5" t="s">
        <v>22974</v>
      </c>
      <c r="F7373" s="5" t="s">
        <v>524</v>
      </c>
      <c r="G7373" s="5" t="s">
        <v>46887</v>
      </c>
      <c r="H7373" s="6" t="s">
        <v>46888</v>
      </c>
      <c r="K7373" s="5" t="s">
        <v>46889</v>
      </c>
      <c r="M7373" s="5" t="s">
        <v>46890</v>
      </c>
      <c r="N7373" s="7" t="s">
        <v>46891</v>
      </c>
      <c r="O7373" s="8" t="str">
        <f>HYPERLINK("https://drive.google.com/file/d/1iC4wXpCwcCFADmXGpDQ8XUhpFLoAwZAo/view?usp=drivesdk","7372_HALIJAH _ SERTIFIKAT BerAKHLAK")</f>
        <v>7372_HALIJAH _ SERTIFIKAT BerAKHLAK</v>
      </c>
      <c r="P7373" s="5" t="s">
        <v>46881</v>
      </c>
    </row>
    <row r="7374">
      <c r="A7374" s="4">
        <v>45534.38133969907</v>
      </c>
      <c r="B7374" s="5" t="s">
        <v>34</v>
      </c>
      <c r="D7374" s="5" t="s">
        <v>1206</v>
      </c>
      <c r="E7374" s="5" t="s">
        <v>46892</v>
      </c>
      <c r="F7374" s="5" t="s">
        <v>37</v>
      </c>
      <c r="G7374" s="5" t="s">
        <v>46893</v>
      </c>
      <c r="H7374" s="6" t="s">
        <v>46894</v>
      </c>
      <c r="I7374" s="7" t="s">
        <v>46895</v>
      </c>
      <c r="J7374" s="8" t="str">
        <f>HYPERLINK("https://drive.google.com/file/d/13ZyFO5vaXXVSDnqZ-3S_YFRcBTl2wREf/view?usp=drivesdk","DWI SUSANTI SERTIFIKAT BerAKHLAK")</f>
        <v>DWI SUSANTI SERTIFIKAT BerAKHLAK</v>
      </c>
      <c r="K7374" s="5" t="s">
        <v>46365</v>
      </c>
      <c r="L7374" s="5" t="s">
        <v>46896</v>
      </c>
      <c r="M7374" s="5" t="s">
        <v>46897</v>
      </c>
      <c r="N7374" s="7" t="s">
        <v>46898</v>
      </c>
      <c r="O7374" s="8" t="str">
        <f>HYPERLINK("https://drive.google.com/file/d/19aU_CILQipDCSU8DN8promZXPEElST1e/view?usp=drivesdk","7373_DWI SUSANTI _ SERTIFIKAT BerAKHLAK")</f>
        <v>7373_DWI SUSANTI _ SERTIFIKAT BerAKHLAK</v>
      </c>
      <c r="P7374" s="5" t="s">
        <v>46881</v>
      </c>
    </row>
    <row r="7375">
      <c r="A7375" s="4">
        <v>45534.38135585648</v>
      </c>
      <c r="B7375" s="5" t="s">
        <v>34</v>
      </c>
      <c r="D7375" s="5" t="s">
        <v>14313</v>
      </c>
      <c r="E7375" s="5" t="s">
        <v>46899</v>
      </c>
      <c r="F7375" s="5" t="s">
        <v>375</v>
      </c>
      <c r="G7375" s="5" t="s">
        <v>46900</v>
      </c>
      <c r="H7375" s="6" t="s">
        <v>46901</v>
      </c>
      <c r="K7375" s="5" t="s">
        <v>46902</v>
      </c>
      <c r="M7375" s="5" t="s">
        <v>46903</v>
      </c>
      <c r="N7375" s="7" t="s">
        <v>46904</v>
      </c>
      <c r="O7375" s="8" t="str">
        <f>HYPERLINK("https://drive.google.com/file/d/1LmTTsU6hJyPVQuJk2JkkP1dXCYoVdhh8/view?usp=drivesdk","7374_SRI RAHMAWATY ALI _ SERTIFIKAT BerAKHLAK")</f>
        <v>7374_SRI RAHMAWATY ALI _ SERTIFIKAT BerAKHLAK</v>
      </c>
      <c r="P7375" s="5" t="s">
        <v>46905</v>
      </c>
    </row>
    <row r="7376">
      <c r="A7376" s="4">
        <v>45534.381358831015</v>
      </c>
      <c r="B7376" s="5" t="s">
        <v>34</v>
      </c>
      <c r="D7376" s="5" t="s">
        <v>1456</v>
      </c>
      <c r="E7376" s="5" t="s">
        <v>46906</v>
      </c>
      <c r="F7376" s="5" t="s">
        <v>37</v>
      </c>
      <c r="G7376" s="5" t="s">
        <v>46907</v>
      </c>
      <c r="H7376" s="6" t="s">
        <v>46908</v>
      </c>
      <c r="K7376" s="5" t="s">
        <v>46902</v>
      </c>
      <c r="M7376" s="5" t="s">
        <v>46909</v>
      </c>
      <c r="N7376" s="7" t="s">
        <v>46910</v>
      </c>
      <c r="O7376" s="8" t="str">
        <f>HYPERLINK("https://drive.google.com/file/d/1n77Pys3kYYzXni_omLmErIIK4CCrw5By/view?usp=drivesdk","7375_MURDIONO _ SERTIFIKAT BerAKHLAK")</f>
        <v>7375_MURDIONO _ SERTIFIKAT BerAKHLAK</v>
      </c>
      <c r="P7376" s="5" t="s">
        <v>46905</v>
      </c>
    </row>
    <row r="7377">
      <c r="A7377" s="4">
        <v>45534.381379108796</v>
      </c>
      <c r="B7377" s="5" t="s">
        <v>34</v>
      </c>
      <c r="D7377" s="5" t="s">
        <v>1558</v>
      </c>
      <c r="E7377" s="5" t="s">
        <v>46911</v>
      </c>
      <c r="F7377" s="5" t="s">
        <v>72</v>
      </c>
      <c r="G7377" s="5" t="s">
        <v>46912</v>
      </c>
      <c r="H7377" s="6" t="s">
        <v>46913</v>
      </c>
      <c r="K7377" s="5" t="s">
        <v>46902</v>
      </c>
      <c r="M7377" s="5" t="s">
        <v>46914</v>
      </c>
      <c r="N7377" s="7" t="s">
        <v>46915</v>
      </c>
      <c r="O7377" s="8" t="str">
        <f>HYPERLINK("https://drive.google.com/file/d/17m-MgNKTcdFHilWZednXcJbLG-sTY2U7/view?usp=drivesdk","7376_CECEP KUSWARA _ SERTIFIKAT BerAKHLAK")</f>
        <v>7376_CECEP KUSWARA _ SERTIFIKAT BerAKHLAK</v>
      </c>
      <c r="P7377" s="5" t="s">
        <v>46905</v>
      </c>
    </row>
    <row r="7378">
      <c r="A7378" s="4">
        <v>45534.38138324074</v>
      </c>
      <c r="B7378" s="5" t="s">
        <v>34</v>
      </c>
      <c r="D7378" s="5" t="s">
        <v>14313</v>
      </c>
      <c r="E7378" s="5" t="s">
        <v>46916</v>
      </c>
      <c r="F7378" s="5" t="s">
        <v>375</v>
      </c>
      <c r="G7378" s="5" t="s">
        <v>46917</v>
      </c>
      <c r="H7378" s="6" t="s">
        <v>46918</v>
      </c>
      <c r="K7378" s="5" t="s">
        <v>46919</v>
      </c>
      <c r="M7378" s="5" t="s">
        <v>46920</v>
      </c>
      <c r="N7378" s="7" t="s">
        <v>46921</v>
      </c>
      <c r="O7378" s="8" t="str">
        <f>HYPERLINK("https://drive.google.com/file/d/1X3UTZpGtf3SXEBWol7BzLXAYUe5y0Txw/view?usp=drivesdk","7377_ROSMINI, SKM _ SERTIFIKAT BerAKHLAK")</f>
        <v>7377_ROSMINI, SKM _ SERTIFIKAT BerAKHLAK</v>
      </c>
      <c r="P7378" s="5" t="s">
        <v>46922</v>
      </c>
    </row>
    <row r="7379">
      <c r="A7379" s="4">
        <v>45534.38139277778</v>
      </c>
      <c r="B7379" s="5" t="s">
        <v>34</v>
      </c>
      <c r="D7379" s="5" t="s">
        <v>522</v>
      </c>
      <c r="E7379" s="5" t="s">
        <v>44689</v>
      </c>
      <c r="F7379" s="5" t="s">
        <v>212</v>
      </c>
      <c r="G7379" s="5" t="s">
        <v>46923</v>
      </c>
      <c r="H7379" s="6" t="s">
        <v>46924</v>
      </c>
      <c r="K7379" s="5" t="s">
        <v>46919</v>
      </c>
      <c r="M7379" s="5" t="s">
        <v>46925</v>
      </c>
      <c r="N7379" s="7" t="s">
        <v>46926</v>
      </c>
      <c r="O7379" s="8" t="str">
        <f>HYPERLINK("https://drive.google.com/file/d/1vuN2w2jD5jLdAwK6Euo9oY2XHudICAV2/view?usp=drivesdk","7378_JAMALUDDIN _ SERTIFIKAT BerAKHLAK")</f>
        <v>7378_JAMALUDDIN _ SERTIFIKAT BerAKHLAK</v>
      </c>
      <c r="P7379" s="5" t="s">
        <v>46922</v>
      </c>
    </row>
    <row r="7380">
      <c r="A7380" s="4">
        <v>45534.381394571756</v>
      </c>
      <c r="B7380" s="5" t="s">
        <v>34</v>
      </c>
      <c r="D7380" s="5" t="s">
        <v>4775</v>
      </c>
      <c r="E7380" s="5" t="s">
        <v>46927</v>
      </c>
      <c r="F7380" s="5" t="s">
        <v>212</v>
      </c>
      <c r="G7380" s="5" t="s">
        <v>46928</v>
      </c>
      <c r="H7380" s="6" t="s">
        <v>46929</v>
      </c>
      <c r="K7380" s="5" t="s">
        <v>46919</v>
      </c>
      <c r="M7380" s="5" t="s">
        <v>46930</v>
      </c>
      <c r="N7380" s="7" t="s">
        <v>46931</v>
      </c>
      <c r="O7380" s="8" t="str">
        <f>HYPERLINK("https://drive.google.com/file/d/1mu4K9-RZVBvdnlV5LYBbmiYB_PLvM_E5/view?usp=drivesdk","7379_YULIANI ARTININGSIH, S. KOM _ SERTIFIKAT BerAKHLAK")</f>
        <v>7379_YULIANI ARTININGSIH, S. KOM _ SERTIFIKAT BerAKHLAK</v>
      </c>
      <c r="P7380" s="5" t="s">
        <v>46922</v>
      </c>
    </row>
    <row r="7381">
      <c r="A7381" s="4">
        <v>45534.38139728009</v>
      </c>
      <c r="B7381" s="5" t="s">
        <v>34</v>
      </c>
      <c r="D7381" s="5" t="s">
        <v>1206</v>
      </c>
      <c r="E7381" s="5" t="s">
        <v>43726</v>
      </c>
      <c r="F7381" s="5" t="s">
        <v>212</v>
      </c>
      <c r="G7381" s="5" t="s">
        <v>46932</v>
      </c>
      <c r="H7381" s="6" t="s">
        <v>46933</v>
      </c>
      <c r="K7381" s="5" t="s">
        <v>46919</v>
      </c>
      <c r="M7381" s="5" t="s">
        <v>46934</v>
      </c>
      <c r="N7381" s="7" t="s">
        <v>46935</v>
      </c>
      <c r="O7381" s="8" t="str">
        <f>HYPERLINK("https://drive.google.com/file/d/15xUctQ5rSpQS37M8xe9rJYV5qA6ETOLS/view?usp=drivesdk","7380_BASUKI _ SERTIFIKAT BerAKHLAK")</f>
        <v>7380_BASUKI _ SERTIFIKAT BerAKHLAK</v>
      </c>
      <c r="P7381" s="5" t="s">
        <v>46922</v>
      </c>
    </row>
    <row r="7382">
      <c r="A7382" s="4">
        <v>45534.38140363426</v>
      </c>
      <c r="B7382" s="5" t="s">
        <v>34</v>
      </c>
      <c r="D7382" s="5" t="s">
        <v>1206</v>
      </c>
      <c r="E7382" s="5" t="s">
        <v>46936</v>
      </c>
      <c r="F7382" s="5" t="s">
        <v>212</v>
      </c>
      <c r="G7382" s="5" t="s">
        <v>46937</v>
      </c>
      <c r="H7382" s="6" t="s">
        <v>46938</v>
      </c>
      <c r="K7382" s="5" t="s">
        <v>46919</v>
      </c>
      <c r="M7382" s="5" t="s">
        <v>46939</v>
      </c>
      <c r="N7382" s="7" t="s">
        <v>46940</v>
      </c>
      <c r="O7382" s="8" t="str">
        <f>HYPERLINK("https://drive.google.com/file/d/1usP_j6QZB--zgdt_EvKcGCIS5lM7GBJq/view?usp=drivesdk","7381_ROPY MUKTI SATOTO _ SERTIFIKAT BerAKHLAK")</f>
        <v>7381_ROPY MUKTI SATOTO _ SERTIFIKAT BerAKHLAK</v>
      </c>
      <c r="P7382" s="5" t="s">
        <v>46941</v>
      </c>
    </row>
    <row r="7383">
      <c r="A7383" s="4">
        <v>45534.38141071759</v>
      </c>
      <c r="B7383" s="5" t="s">
        <v>34</v>
      </c>
      <c r="D7383" s="5" t="s">
        <v>9020</v>
      </c>
      <c r="E7383" s="5" t="s">
        <v>27862</v>
      </c>
      <c r="F7383" s="5" t="s">
        <v>37</v>
      </c>
      <c r="G7383" s="5" t="s">
        <v>46942</v>
      </c>
      <c r="H7383" s="6" t="s">
        <v>46943</v>
      </c>
      <c r="K7383" s="5" t="s">
        <v>46919</v>
      </c>
      <c r="M7383" s="5" t="s">
        <v>46944</v>
      </c>
      <c r="N7383" s="7" t="s">
        <v>46945</v>
      </c>
      <c r="O7383" s="8" t="str">
        <f>HYPERLINK("https://drive.google.com/file/d/1JO5lh05ZjFMEPohG8lV4h6XKKQnK95in/view?usp=drivesdk","7382_DARMA SITINJAK _ SERTIFIKAT BerAKHLAK")</f>
        <v>7382_DARMA SITINJAK _ SERTIFIKAT BerAKHLAK</v>
      </c>
      <c r="P7383" s="5" t="s">
        <v>46941</v>
      </c>
    </row>
    <row r="7384">
      <c r="A7384" s="4">
        <v>45534.38143145833</v>
      </c>
      <c r="B7384" s="5" t="s">
        <v>34</v>
      </c>
      <c r="D7384" s="5" t="s">
        <v>9020</v>
      </c>
      <c r="E7384" s="5" t="s">
        <v>46946</v>
      </c>
      <c r="F7384" s="5" t="s">
        <v>37</v>
      </c>
      <c r="G7384" s="5" t="s">
        <v>46947</v>
      </c>
      <c r="H7384" s="6" t="s">
        <v>46948</v>
      </c>
      <c r="K7384" s="5" t="s">
        <v>46949</v>
      </c>
      <c r="M7384" s="5" t="s">
        <v>46950</v>
      </c>
      <c r="N7384" s="7" t="s">
        <v>46951</v>
      </c>
      <c r="O7384" s="8" t="str">
        <f>HYPERLINK("https://drive.google.com/file/d/1LzYZ9BT8UJE_flPhjv-G95Aph1T9rmdK/view?usp=drivesdk","7383_HENRIATI SINAGA  _ SERTIFIKAT BerAKHLAK")</f>
        <v>7383_HENRIATI SINAGA  _ SERTIFIKAT BerAKHLAK</v>
      </c>
      <c r="P7384" s="5" t="s">
        <v>46941</v>
      </c>
    </row>
    <row r="7385">
      <c r="A7385" s="4">
        <v>45534.38143533564</v>
      </c>
      <c r="B7385" s="5" t="s">
        <v>34</v>
      </c>
      <c r="D7385" s="5" t="s">
        <v>701</v>
      </c>
      <c r="E7385" s="5" t="s">
        <v>46952</v>
      </c>
      <c r="F7385" s="5" t="s">
        <v>37</v>
      </c>
      <c r="G7385" s="5" t="s">
        <v>46953</v>
      </c>
      <c r="H7385" s="6" t="s">
        <v>46954</v>
      </c>
      <c r="K7385" s="5" t="s">
        <v>46955</v>
      </c>
      <c r="M7385" s="5" t="s">
        <v>46956</v>
      </c>
      <c r="N7385" s="7" t="s">
        <v>46957</v>
      </c>
      <c r="O7385" s="8" t="str">
        <f>HYPERLINK("https://drive.google.com/file/d/176cX7kXolGzOQ2Guo1w8n4FSyAu9csTs/view?usp=drivesdk","7384_SISKA NOFRATILOVA  _ SERTIFIKAT BerAKHLAK")</f>
        <v>7384_SISKA NOFRATILOVA  _ SERTIFIKAT BerAKHLAK</v>
      </c>
      <c r="P7385" s="5" t="s">
        <v>46941</v>
      </c>
    </row>
    <row r="7386">
      <c r="A7386" s="4">
        <v>45534.381442488426</v>
      </c>
      <c r="B7386" s="5" t="s">
        <v>34</v>
      </c>
      <c r="D7386" s="5" t="s">
        <v>267</v>
      </c>
      <c r="E7386" s="5" t="s">
        <v>46958</v>
      </c>
      <c r="F7386" s="5" t="s">
        <v>108</v>
      </c>
      <c r="G7386" s="5" t="s">
        <v>46959</v>
      </c>
      <c r="H7386" s="6" t="s">
        <v>46960</v>
      </c>
      <c r="K7386" s="5" t="s">
        <v>46955</v>
      </c>
      <c r="M7386" s="5" t="s">
        <v>46961</v>
      </c>
      <c r="N7386" s="7" t="s">
        <v>46962</v>
      </c>
      <c r="O7386" s="8" t="str">
        <f>HYPERLINK("https://drive.google.com/file/d/1zLfsAtQxb7oiDuaRehfqxIOJCtxtENVY/view?usp=drivesdk","7385_PARDIYONO  _ SERTIFIKAT BerAKHLAK")</f>
        <v>7385_PARDIYONO  _ SERTIFIKAT BerAKHLAK</v>
      </c>
      <c r="P7386" s="5" t="s">
        <v>46963</v>
      </c>
    </row>
    <row r="7387">
      <c r="A7387" s="4">
        <v>45534.38145310185</v>
      </c>
      <c r="B7387" s="5" t="s">
        <v>34</v>
      </c>
      <c r="D7387" s="5" t="s">
        <v>2903</v>
      </c>
      <c r="E7387" s="5" t="s">
        <v>46964</v>
      </c>
      <c r="F7387" s="5" t="s">
        <v>524</v>
      </c>
      <c r="G7387" s="5" t="s">
        <v>46965</v>
      </c>
      <c r="H7387" s="6" t="s">
        <v>46966</v>
      </c>
      <c r="K7387" s="5" t="s">
        <v>46955</v>
      </c>
      <c r="M7387" s="5" t="s">
        <v>46967</v>
      </c>
      <c r="N7387" s="7" t="s">
        <v>46968</v>
      </c>
      <c r="O7387" s="8" t="str">
        <f>HYPERLINK("https://drive.google.com/file/d/1253LNP3iyc16RqVfa1UzBkvrkt1GVQR0/view?usp=drivesdk","7386_KRISMA SINGARIMBUN,S.Kep _ SERTIFIKAT BerAKHLAK")</f>
        <v>7386_KRISMA SINGARIMBUN,S.Kep _ SERTIFIKAT BerAKHLAK</v>
      </c>
      <c r="P7387" s="5" t="s">
        <v>46963</v>
      </c>
    </row>
    <row r="7388" hidden="1">
      <c r="A7388" s="4">
        <v>45534.38145898149</v>
      </c>
      <c r="B7388" s="5" t="s">
        <v>19</v>
      </c>
      <c r="C7388" s="5" t="s">
        <v>83</v>
      </c>
      <c r="E7388" s="5" t="s">
        <v>46969</v>
      </c>
      <c r="F7388" s="5" t="s">
        <v>524</v>
      </c>
      <c r="G7388" s="5" t="s">
        <v>46970</v>
      </c>
      <c r="H7388" s="6" t="s">
        <v>46971</v>
      </c>
      <c r="K7388" s="5" t="s">
        <v>46955</v>
      </c>
      <c r="M7388" s="5" t="s">
        <v>46972</v>
      </c>
      <c r="N7388" s="7" t="s">
        <v>46973</v>
      </c>
      <c r="O7388" s="8" t="str">
        <f>HYPERLINK("https://drive.google.com/file/d/1C9RgW_QlMkmUMXrwAIPNQHr2GX3vzqK2/view?usp=drivesdk","7387_DESSY ARIYANI _ SERTIFIKAT BerAKHLAK")</f>
        <v>7387_DESSY ARIYANI _ SERTIFIKAT BerAKHLAK</v>
      </c>
      <c r="P7388" s="5" t="s">
        <v>46963</v>
      </c>
    </row>
    <row r="7389">
      <c r="A7389" s="4">
        <v>45534.381460289354</v>
      </c>
      <c r="B7389" s="5" t="s">
        <v>34</v>
      </c>
      <c r="D7389" s="5" t="s">
        <v>9394</v>
      </c>
      <c r="E7389" s="5" t="s">
        <v>46974</v>
      </c>
      <c r="F7389" s="5" t="s">
        <v>108</v>
      </c>
      <c r="G7389" s="5" t="s">
        <v>46975</v>
      </c>
      <c r="H7389" s="6" t="s">
        <v>46976</v>
      </c>
      <c r="K7389" s="5" t="s">
        <v>46955</v>
      </c>
      <c r="M7389" s="5" t="s">
        <v>46977</v>
      </c>
      <c r="N7389" s="7" t="s">
        <v>46978</v>
      </c>
      <c r="O7389" s="8" t="str">
        <f>HYPERLINK("https://drive.google.com/file/d/1Z7kJdCRnCyM5JSjyOfvAQSHWbDvazBmM/view?usp=drivesdk","7388_BAMBANG ERYANTO _ SERTIFIKAT BerAKHLAK")</f>
        <v>7388_BAMBANG ERYANTO _ SERTIFIKAT BerAKHLAK</v>
      </c>
      <c r="P7389" s="5" t="s">
        <v>46963</v>
      </c>
    </row>
    <row r="7390">
      <c r="A7390" s="4">
        <v>45534.38146846065</v>
      </c>
      <c r="B7390" s="5" t="s">
        <v>34</v>
      </c>
      <c r="D7390" s="5" t="s">
        <v>1206</v>
      </c>
      <c r="E7390" s="5" t="s">
        <v>46979</v>
      </c>
      <c r="F7390" s="5" t="s">
        <v>524</v>
      </c>
      <c r="G7390" s="5" t="s">
        <v>46980</v>
      </c>
      <c r="H7390" s="6" t="s">
        <v>46981</v>
      </c>
      <c r="K7390" s="5" t="s">
        <v>46982</v>
      </c>
      <c r="M7390" s="5" t="s">
        <v>46983</v>
      </c>
      <c r="N7390" s="7" t="s">
        <v>46984</v>
      </c>
      <c r="O7390" s="8" t="str">
        <f>HYPERLINK("https://drive.google.com/file/d/1ywT0984jm3JtJULjnAtE46u6SKxPIx6Z/view?usp=drivesdk","7389_TRI EDNAN WICORO  _ SERTIFIKAT BerAKHLAK")</f>
        <v>7389_TRI EDNAN WICORO  _ SERTIFIKAT BerAKHLAK</v>
      </c>
      <c r="P7390" s="5" t="s">
        <v>46985</v>
      </c>
    </row>
    <row r="7391">
      <c r="A7391" s="4">
        <v>45534.38147797454</v>
      </c>
      <c r="B7391" s="5" t="s">
        <v>34</v>
      </c>
      <c r="D7391" s="5" t="s">
        <v>12978</v>
      </c>
      <c r="E7391" s="5" t="s">
        <v>46986</v>
      </c>
      <c r="F7391" s="5" t="s">
        <v>108</v>
      </c>
      <c r="G7391" s="5" t="s">
        <v>46987</v>
      </c>
      <c r="H7391" s="6" t="s">
        <v>46988</v>
      </c>
      <c r="K7391" s="5" t="s">
        <v>46982</v>
      </c>
      <c r="M7391" s="5" t="s">
        <v>46989</v>
      </c>
      <c r="N7391" s="7" t="s">
        <v>46990</v>
      </c>
      <c r="O7391" s="8" t="str">
        <f>HYPERLINK("https://drive.google.com/file/d/1KhD9ZcIZiQyhpCvfs0VS7TWJxN-MaUVj/view?usp=drivesdk","7390_HERMAWATI _ SERTIFIKAT BerAKHLAK")</f>
        <v>7390_HERMAWATI _ SERTIFIKAT BerAKHLAK</v>
      </c>
      <c r="P7391" s="5" t="s">
        <v>46985</v>
      </c>
    </row>
    <row r="7392">
      <c r="A7392" s="4">
        <v>45534.38148447916</v>
      </c>
      <c r="B7392" s="5" t="s">
        <v>34</v>
      </c>
      <c r="D7392" s="5" t="s">
        <v>35</v>
      </c>
      <c r="E7392" s="5" t="s">
        <v>46991</v>
      </c>
      <c r="F7392" s="5" t="s">
        <v>212</v>
      </c>
      <c r="G7392" s="5" t="s">
        <v>46992</v>
      </c>
      <c r="H7392" s="6" t="s">
        <v>46993</v>
      </c>
      <c r="K7392" s="5" t="s">
        <v>46982</v>
      </c>
      <c r="M7392" s="5" t="s">
        <v>46994</v>
      </c>
      <c r="N7392" s="7" t="s">
        <v>46995</v>
      </c>
      <c r="O7392" s="8" t="str">
        <f>HYPERLINK("https://drive.google.com/file/d/1On6m8OXak0hU4OJgcklqmTYfX2LDd9aD/view?usp=drivesdk","7391_CECEP KOSASIH _ SERTIFIKAT BerAKHLAK")</f>
        <v>7391_CECEP KOSASIH _ SERTIFIKAT BerAKHLAK</v>
      </c>
      <c r="P7392" s="5" t="s">
        <v>46985</v>
      </c>
    </row>
    <row r="7393" hidden="1">
      <c r="A7393" s="4">
        <v>45534.38148980324</v>
      </c>
      <c r="B7393" s="5" t="s">
        <v>19</v>
      </c>
      <c r="C7393" s="5" t="s">
        <v>45988</v>
      </c>
      <c r="E7393" s="5" t="s">
        <v>46996</v>
      </c>
      <c r="F7393" s="5" t="s">
        <v>72</v>
      </c>
      <c r="G7393" s="5" t="s">
        <v>46997</v>
      </c>
      <c r="H7393" s="6" t="s">
        <v>46998</v>
      </c>
      <c r="K7393" s="5" t="s">
        <v>46999</v>
      </c>
      <c r="M7393" s="5" t="s">
        <v>47000</v>
      </c>
      <c r="N7393" s="7" t="s">
        <v>47001</v>
      </c>
      <c r="O7393" s="8" t="str">
        <f>HYPERLINK("https://drive.google.com/file/d/1ihwc7kAzF9F-0AvuqHtdpY4xBDJLT7dx/view?usp=drivesdk","7392_RIADOH, S. E.  _ SERTIFIKAT BerAKHLAK")</f>
        <v>7392_RIADOH, S. E.  _ SERTIFIKAT BerAKHLAK</v>
      </c>
      <c r="P7393" s="5" t="s">
        <v>46985</v>
      </c>
    </row>
    <row r="7394">
      <c r="A7394" s="4">
        <v>45534.38149612269</v>
      </c>
      <c r="B7394" s="5" t="s">
        <v>34</v>
      </c>
      <c r="D7394" s="5" t="s">
        <v>7858</v>
      </c>
      <c r="E7394" s="5" t="s">
        <v>47002</v>
      </c>
      <c r="F7394" s="5" t="s">
        <v>37</v>
      </c>
      <c r="G7394" s="5" t="s">
        <v>47003</v>
      </c>
      <c r="H7394" s="6" t="s">
        <v>47004</v>
      </c>
      <c r="K7394" s="5" t="s">
        <v>46999</v>
      </c>
      <c r="M7394" s="5" t="s">
        <v>47005</v>
      </c>
      <c r="N7394" s="7" t="s">
        <v>47006</v>
      </c>
      <c r="O7394" s="8" t="str">
        <f>HYPERLINK("https://drive.google.com/file/d/1po9VqjEa8nzY-kqlfWeGpxje35wEHNPn/view?usp=drivesdk","7393_SAMSIAH _ SERTIFIKAT BerAKHLAK")</f>
        <v>7393_SAMSIAH _ SERTIFIKAT BerAKHLAK</v>
      </c>
      <c r="P7394" s="5" t="s">
        <v>47007</v>
      </c>
    </row>
    <row r="7395">
      <c r="A7395" s="4">
        <v>45534.381550844904</v>
      </c>
      <c r="B7395" s="5" t="s">
        <v>34</v>
      </c>
      <c r="D7395" s="5" t="s">
        <v>10444</v>
      </c>
      <c r="E7395" s="5" t="s">
        <v>47008</v>
      </c>
      <c r="F7395" s="5" t="s">
        <v>72</v>
      </c>
      <c r="G7395" s="5" t="s">
        <v>47009</v>
      </c>
      <c r="H7395" s="6" t="s">
        <v>47010</v>
      </c>
      <c r="K7395" s="5" t="s">
        <v>47011</v>
      </c>
      <c r="M7395" s="5" t="s">
        <v>47012</v>
      </c>
      <c r="N7395" s="7" t="s">
        <v>47013</v>
      </c>
      <c r="O7395" s="8" t="str">
        <f>HYPERLINK("https://drive.google.com/file/d/1vQPp9i4VbXN0I5AuTLCw1FVSbGjv2emp/view?usp=drivesdk","7394_JENNY TIENEKE MARTHA,S.T.Keb _ SERTIFIKAT BerAKHLAK")</f>
        <v>7394_JENNY TIENEKE MARTHA,S.T.Keb _ SERTIFIKAT BerAKHLAK</v>
      </c>
      <c r="P7395" s="5" t="s">
        <v>47007</v>
      </c>
    </row>
    <row r="7396">
      <c r="A7396" s="4">
        <v>45534.38155675926</v>
      </c>
      <c r="B7396" s="5" t="s">
        <v>34</v>
      </c>
      <c r="D7396" s="5" t="s">
        <v>267</v>
      </c>
      <c r="E7396" s="5" t="s">
        <v>47014</v>
      </c>
      <c r="F7396" s="5" t="s">
        <v>108</v>
      </c>
      <c r="G7396" s="5" t="s">
        <v>47015</v>
      </c>
      <c r="H7396" s="6" t="s">
        <v>47016</v>
      </c>
      <c r="K7396" s="5" t="s">
        <v>47011</v>
      </c>
      <c r="M7396" s="5" t="s">
        <v>47017</v>
      </c>
      <c r="N7396" s="7" t="s">
        <v>47018</v>
      </c>
      <c r="O7396" s="8" t="str">
        <f>HYPERLINK("https://drive.google.com/file/d/1tuYgRoYz-jRo5U9QZmMQP2RhhZ7YErn1/view?usp=drivesdk","7395_TRININGSIH RAHMAWATI, S.Psi. _ SERTIFIKAT BerAKHLAK")</f>
        <v>7395_TRININGSIH RAHMAWATI, S.Psi. _ SERTIFIKAT BerAKHLAK</v>
      </c>
      <c r="P7396" s="5" t="s">
        <v>47019</v>
      </c>
    </row>
    <row r="7397">
      <c r="A7397" s="4">
        <v>45534.381563229166</v>
      </c>
      <c r="B7397" s="5" t="s">
        <v>34</v>
      </c>
      <c r="D7397" s="5" t="s">
        <v>580</v>
      </c>
      <c r="E7397" s="5" t="s">
        <v>47020</v>
      </c>
      <c r="F7397" s="5" t="s">
        <v>715</v>
      </c>
      <c r="G7397" s="5" t="s">
        <v>47021</v>
      </c>
      <c r="H7397" s="6" t="s">
        <v>47022</v>
      </c>
      <c r="K7397" s="5" t="s">
        <v>47023</v>
      </c>
      <c r="M7397" s="5" t="s">
        <v>47024</v>
      </c>
      <c r="N7397" s="7" t="s">
        <v>47025</v>
      </c>
      <c r="O7397" s="8" t="str">
        <f>HYPERLINK("https://drive.google.com/file/d/1st_Gzv2vvU_1WZfSVvUomnShC7Kzw5Ve/view?usp=drivesdk","7396_AL ANDRI _ SERTIFIKAT BerAKHLAK")</f>
        <v>7396_AL ANDRI _ SERTIFIKAT BerAKHLAK</v>
      </c>
      <c r="P7397" s="5" t="s">
        <v>47019</v>
      </c>
    </row>
    <row r="7398">
      <c r="A7398" s="4">
        <v>45534.38158528935</v>
      </c>
      <c r="B7398" s="5" t="s">
        <v>34</v>
      </c>
      <c r="D7398" s="5" t="s">
        <v>6232</v>
      </c>
      <c r="E7398" s="5" t="s">
        <v>47026</v>
      </c>
      <c r="F7398" s="5" t="s">
        <v>37</v>
      </c>
      <c r="G7398" s="5" t="s">
        <v>47027</v>
      </c>
      <c r="H7398" s="6" t="s">
        <v>47028</v>
      </c>
      <c r="K7398" s="5" t="s">
        <v>47023</v>
      </c>
      <c r="M7398" s="5" t="s">
        <v>47029</v>
      </c>
      <c r="N7398" s="7" t="s">
        <v>47030</v>
      </c>
      <c r="O7398" s="8" t="str">
        <f>HYPERLINK("https://drive.google.com/file/d/1ScMpoPD7S4-haRJN86MjHOlYWYSURaA1/view?usp=drivesdk","7397_ELY HERLINA _ SERTIFIKAT BerAKHLAK")</f>
        <v>7397_ELY HERLINA _ SERTIFIKAT BerAKHLAK</v>
      </c>
      <c r="P7398" s="5" t="s">
        <v>47019</v>
      </c>
    </row>
    <row r="7399">
      <c r="A7399" s="4">
        <v>45534.38159680556</v>
      </c>
      <c r="B7399" s="5" t="s">
        <v>34</v>
      </c>
      <c r="D7399" s="5" t="s">
        <v>2903</v>
      </c>
      <c r="E7399" s="5" t="s">
        <v>47031</v>
      </c>
      <c r="F7399" s="5" t="s">
        <v>524</v>
      </c>
      <c r="G7399" s="5" t="s">
        <v>47032</v>
      </c>
      <c r="H7399" s="6" t="s">
        <v>47033</v>
      </c>
      <c r="K7399" s="5" t="s">
        <v>47034</v>
      </c>
      <c r="M7399" s="5" t="s">
        <v>47035</v>
      </c>
      <c r="N7399" s="7" t="s">
        <v>47036</v>
      </c>
      <c r="O7399" s="8" t="str">
        <f>HYPERLINK("https://drive.google.com/file/d/1DIMDFHV-eGmVfj5H5VKAVr7VUW1zZWci/view?usp=drivesdk","7398_EVI HERLIYANTI, S.Akun _ SERTIFIKAT BerAKHLAK")</f>
        <v>7398_EVI HERLIYANTI, S.Akun _ SERTIFIKAT BerAKHLAK</v>
      </c>
      <c r="P7399" s="5" t="s">
        <v>47019</v>
      </c>
    </row>
    <row r="7400">
      <c r="A7400" s="4">
        <v>45534.38163607639</v>
      </c>
      <c r="B7400" s="5" t="s">
        <v>34</v>
      </c>
      <c r="D7400" s="5" t="s">
        <v>35</v>
      </c>
      <c r="E7400" s="5" t="s">
        <v>13938</v>
      </c>
      <c r="F7400" s="5" t="s">
        <v>375</v>
      </c>
      <c r="G7400" s="5" t="s">
        <v>13939</v>
      </c>
      <c r="H7400" s="6" t="s">
        <v>47037</v>
      </c>
      <c r="K7400" s="5" t="s">
        <v>47038</v>
      </c>
      <c r="M7400" s="5" t="s">
        <v>47039</v>
      </c>
      <c r="N7400" s="7" t="s">
        <v>47040</v>
      </c>
      <c r="O7400" s="8" t="str">
        <f>HYPERLINK("https://drive.google.com/file/d/1EyVsFnDG0aQQqO-mOV-48l5sAv4NCO_B/view?usp=drivesdk","7399_CECEP ASEP SAEPUDIN SE _ SERTIFIKAT BerAKHLAK")</f>
        <v>7399_CECEP ASEP SAEPUDIN SE _ SERTIFIKAT BerAKHLAK</v>
      </c>
      <c r="P7400" s="5" t="s">
        <v>47019</v>
      </c>
    </row>
    <row r="7401">
      <c r="A7401" s="4">
        <v>45534.38164850694</v>
      </c>
      <c r="B7401" s="5" t="s">
        <v>34</v>
      </c>
      <c r="D7401" s="5" t="s">
        <v>701</v>
      </c>
      <c r="E7401" s="5" t="s">
        <v>47041</v>
      </c>
      <c r="F7401" s="5" t="s">
        <v>524</v>
      </c>
      <c r="G7401" s="5" t="s">
        <v>47042</v>
      </c>
      <c r="H7401" s="6" t="s">
        <v>47043</v>
      </c>
      <c r="K7401" s="5" t="s">
        <v>46372</v>
      </c>
      <c r="M7401" s="5" t="s">
        <v>47044</v>
      </c>
      <c r="N7401" s="7" t="s">
        <v>47045</v>
      </c>
      <c r="O7401" s="8" t="str">
        <f>HYPERLINK("https://drive.google.com/file/d/1vi_hBLKGurzUg-J2CbL0hsSjLNsWxSEd/view?usp=drivesdk","7400_HAIDA VIVANI JUWITA, A.Md _ SERTIFIKAT BerAKHLAK")</f>
        <v>7400_HAIDA VIVANI JUWITA, A.Md _ SERTIFIKAT BerAKHLAK</v>
      </c>
      <c r="P7401" s="5" t="s">
        <v>47046</v>
      </c>
    </row>
    <row r="7402">
      <c r="A7402" s="4">
        <v>45534.38166296296</v>
      </c>
      <c r="B7402" s="5" t="s">
        <v>34</v>
      </c>
      <c r="D7402" s="5" t="s">
        <v>12978</v>
      </c>
      <c r="E7402" s="5" t="s">
        <v>47047</v>
      </c>
      <c r="F7402" s="5" t="s">
        <v>212</v>
      </c>
      <c r="G7402" s="5" t="s">
        <v>47048</v>
      </c>
      <c r="H7402" s="6" t="s">
        <v>47049</v>
      </c>
      <c r="K7402" s="5" t="s">
        <v>46372</v>
      </c>
      <c r="M7402" s="5" t="s">
        <v>47050</v>
      </c>
      <c r="N7402" s="7" t="s">
        <v>47051</v>
      </c>
      <c r="O7402" s="8" t="str">
        <f>HYPERLINK("https://drive.google.com/file/d/1KhCZn3K6K4oprQ8rG9SzhUs2P17G_Tcg/view?usp=drivesdk","7401_DESIANA _ SERTIFIKAT BerAKHLAK")</f>
        <v>7401_DESIANA _ SERTIFIKAT BerAKHLAK</v>
      </c>
      <c r="P7402" s="5" t="s">
        <v>47046</v>
      </c>
    </row>
    <row r="7403">
      <c r="A7403" s="4">
        <v>45534.38169505787</v>
      </c>
      <c r="B7403" s="5" t="s">
        <v>34</v>
      </c>
      <c r="D7403" s="5" t="s">
        <v>4775</v>
      </c>
      <c r="E7403" s="5" t="s">
        <v>47052</v>
      </c>
      <c r="F7403" s="5" t="s">
        <v>212</v>
      </c>
      <c r="G7403" s="5" t="s">
        <v>47053</v>
      </c>
      <c r="H7403" s="6" t="s">
        <v>47054</v>
      </c>
      <c r="K7403" s="5" t="s">
        <v>47055</v>
      </c>
      <c r="M7403" s="5" t="s">
        <v>47056</v>
      </c>
      <c r="N7403" s="7" t="s">
        <v>47057</v>
      </c>
      <c r="O7403" s="8" t="str">
        <f>HYPERLINK("https://drive.google.com/file/d/15D3BF-VU5K4jeolYKCUKNZvqV2luncAM/view?usp=drivesdk","7402_WARDININGSIH _ SERTIFIKAT BerAKHLAK")</f>
        <v>7402_WARDININGSIH _ SERTIFIKAT BerAKHLAK</v>
      </c>
      <c r="P7403" s="5" t="s">
        <v>47046</v>
      </c>
    </row>
    <row r="7404">
      <c r="A7404" s="4">
        <v>45534.38170539352</v>
      </c>
      <c r="B7404" s="5" t="s">
        <v>34</v>
      </c>
      <c r="D7404" s="5" t="s">
        <v>9020</v>
      </c>
      <c r="E7404" s="5" t="s">
        <v>47058</v>
      </c>
      <c r="F7404" s="5" t="s">
        <v>524</v>
      </c>
      <c r="G7404" s="5" t="s">
        <v>47059</v>
      </c>
      <c r="H7404" s="6" t="s">
        <v>47060</v>
      </c>
      <c r="K7404" s="5" t="s">
        <v>47055</v>
      </c>
      <c r="M7404" s="5" t="s">
        <v>47061</v>
      </c>
      <c r="N7404" s="7" t="s">
        <v>47062</v>
      </c>
      <c r="O7404" s="8" t="str">
        <f>HYPERLINK("https://drive.google.com/file/d/1DN8xxgADlQEhg19e1C9QI8DhE6ZYL5fv/view?usp=drivesdk","7403_WAHYUNI THE MENTASARI, A.Md. _ SERTIFIKAT BerAKHLAK")</f>
        <v>7403_WAHYUNI THE MENTASARI, A.Md. _ SERTIFIKAT BerAKHLAK</v>
      </c>
      <c r="P7404" s="5" t="s">
        <v>47063</v>
      </c>
    </row>
    <row r="7405" hidden="1">
      <c r="A7405" s="4">
        <v>45534.38171271991</v>
      </c>
      <c r="B7405" s="5" t="s">
        <v>19</v>
      </c>
      <c r="C7405" s="5" t="s">
        <v>292</v>
      </c>
      <c r="E7405" s="5" t="s">
        <v>47064</v>
      </c>
      <c r="F7405" s="5" t="s">
        <v>108</v>
      </c>
      <c r="G7405" s="5" t="s">
        <v>47065</v>
      </c>
      <c r="H7405" s="6" t="s">
        <v>47066</v>
      </c>
      <c r="K7405" s="5" t="s">
        <v>47055</v>
      </c>
      <c r="M7405" s="5" t="s">
        <v>47067</v>
      </c>
      <c r="N7405" s="7" t="s">
        <v>47068</v>
      </c>
      <c r="O7405" s="8" t="str">
        <f>HYPERLINK("https://drive.google.com/file/d/1VHwFHsDJhiQBMtSRgG55qmXNgcrHIQKy/view?usp=drivesdk","7404_TANIA SAPUTRI, AMK., SKM _ SERTIFIKAT BerAKHLAK")</f>
        <v>7404_TANIA SAPUTRI, AMK., SKM _ SERTIFIKAT BerAKHLAK</v>
      </c>
      <c r="P7405" s="5" t="s">
        <v>47063</v>
      </c>
    </row>
    <row r="7406">
      <c r="A7406" s="4">
        <v>45534.38172996527</v>
      </c>
      <c r="B7406" s="5" t="s">
        <v>34</v>
      </c>
      <c r="D7406" s="5" t="s">
        <v>1206</v>
      </c>
      <c r="E7406" s="5" t="s">
        <v>47069</v>
      </c>
      <c r="F7406" s="5" t="s">
        <v>375</v>
      </c>
      <c r="G7406" s="5" t="s">
        <v>47070</v>
      </c>
      <c r="H7406" s="6" t="s">
        <v>47071</v>
      </c>
      <c r="K7406" s="5" t="s">
        <v>47055</v>
      </c>
      <c r="M7406" s="5" t="s">
        <v>47072</v>
      </c>
      <c r="N7406" s="7" t="s">
        <v>47073</v>
      </c>
      <c r="O7406" s="8" t="str">
        <f>HYPERLINK("https://drive.google.com/file/d/1WHpmuXcNc0AOK2WqTTU54pc5BuJpsLSy/view?usp=drivesdk","7405_PUGUH DWI SANTOSO, S.T. _ SERTIFIKAT BerAKHLAK")</f>
        <v>7405_PUGUH DWI SANTOSO, S.T. _ SERTIFIKAT BerAKHLAK</v>
      </c>
      <c r="P7406" s="5" t="s">
        <v>47063</v>
      </c>
    </row>
    <row r="7407">
      <c r="A7407" s="4">
        <v>45534.38173137732</v>
      </c>
      <c r="B7407" s="5" t="s">
        <v>34</v>
      </c>
      <c r="D7407" s="5" t="s">
        <v>975</v>
      </c>
      <c r="E7407" s="5" t="s">
        <v>47074</v>
      </c>
      <c r="F7407" s="5" t="s">
        <v>72</v>
      </c>
      <c r="G7407" s="5" t="s">
        <v>47075</v>
      </c>
      <c r="H7407" s="6" t="s">
        <v>47076</v>
      </c>
      <c r="K7407" s="5" t="s">
        <v>47055</v>
      </c>
      <c r="M7407" s="5" t="s">
        <v>47077</v>
      </c>
      <c r="N7407" s="7" t="s">
        <v>47078</v>
      </c>
      <c r="O7407" s="8" t="str">
        <f>HYPERLINK("https://drive.google.com/file/d/1hwQTQTOXKIjcgtIj3CGRhjXsB-MdcHTE/view?usp=drivesdk","7406_HUSNIYANTI _ SERTIFIKAT BerAKHLAK")</f>
        <v>7406_HUSNIYANTI _ SERTIFIKAT BerAKHLAK</v>
      </c>
      <c r="P7407" s="5" t="s">
        <v>47079</v>
      </c>
    </row>
    <row r="7408" hidden="1">
      <c r="A7408" s="4">
        <v>45534.38173199074</v>
      </c>
      <c r="B7408" s="5" t="s">
        <v>19</v>
      </c>
      <c r="C7408" s="5" t="s">
        <v>45988</v>
      </c>
      <c r="E7408" s="5" t="s">
        <v>47080</v>
      </c>
      <c r="F7408" s="5" t="s">
        <v>212</v>
      </c>
      <c r="G7408" s="5" t="s">
        <v>47081</v>
      </c>
      <c r="H7408" s="6" t="s">
        <v>47082</v>
      </c>
      <c r="K7408" s="5" t="s">
        <v>47055</v>
      </c>
      <c r="M7408" s="5" t="s">
        <v>47083</v>
      </c>
      <c r="N7408" s="7" t="s">
        <v>47084</v>
      </c>
      <c r="O7408" s="8" t="str">
        <f>HYPERLINK("https://drive.google.com/file/d/1UU1nVaz0vnL-cp7wKU6EiL_gd5wn2jja/view?usp=drivesdk","7407_HESTY MARLYANI _ SERTIFIKAT BerAKHLAK")</f>
        <v>7407_HESTY MARLYANI _ SERTIFIKAT BerAKHLAK</v>
      </c>
      <c r="P7408" s="5" t="s">
        <v>47079</v>
      </c>
    </row>
    <row r="7409">
      <c r="A7409" s="4">
        <v>45534.38174293982</v>
      </c>
      <c r="B7409" s="5" t="s">
        <v>34</v>
      </c>
      <c r="D7409" s="5" t="s">
        <v>701</v>
      </c>
      <c r="E7409" s="5" t="s">
        <v>47085</v>
      </c>
      <c r="F7409" s="5" t="s">
        <v>108</v>
      </c>
      <c r="G7409" s="5" t="s">
        <v>47086</v>
      </c>
      <c r="H7409" s="6" t="s">
        <v>47087</v>
      </c>
      <c r="K7409" s="5" t="s">
        <v>47055</v>
      </c>
      <c r="M7409" s="5" t="s">
        <v>47088</v>
      </c>
      <c r="N7409" s="7" t="s">
        <v>47089</v>
      </c>
      <c r="O7409" s="8" t="str">
        <f>HYPERLINK("https://drive.google.com/file/d/1UpC2fFBm79Ku54xs0gC7Pq7vopufa7pw/view?usp=drivesdk","7408_MARDIANI  _ SERTIFIKAT BerAKHLAK")</f>
        <v>7408_MARDIANI  _ SERTIFIKAT BerAKHLAK</v>
      </c>
      <c r="P7409" s="5" t="s">
        <v>47079</v>
      </c>
    </row>
    <row r="7410">
      <c r="A7410" s="4">
        <v>45534.38175747685</v>
      </c>
      <c r="B7410" s="5" t="s">
        <v>34</v>
      </c>
      <c r="D7410" s="5" t="s">
        <v>10444</v>
      </c>
      <c r="E7410" s="5" t="s">
        <v>47090</v>
      </c>
      <c r="F7410" s="5" t="s">
        <v>37</v>
      </c>
      <c r="G7410" s="5" t="s">
        <v>47091</v>
      </c>
      <c r="H7410" s="6" t="s">
        <v>47092</v>
      </c>
      <c r="K7410" s="5" t="s">
        <v>47093</v>
      </c>
      <c r="M7410" s="5" t="s">
        <v>47094</v>
      </c>
      <c r="N7410" s="7" t="s">
        <v>47095</v>
      </c>
      <c r="O7410" s="8" t="str">
        <f>HYPERLINK("https://drive.google.com/file/d/1S2G0m6ZbPjBu7SnZM9ZNKxQrthulsPQ4/view?usp=drivesdk","7409_SELVIA LENI Amd. Kep. _ SERTIFIKAT BerAKHLAK")</f>
        <v>7409_SELVIA LENI Amd. Kep. _ SERTIFIKAT BerAKHLAK</v>
      </c>
      <c r="P7410" s="5" t="s">
        <v>47079</v>
      </c>
    </row>
    <row r="7411">
      <c r="A7411" s="4">
        <v>45534.381795</v>
      </c>
      <c r="B7411" s="5" t="s">
        <v>34</v>
      </c>
      <c r="D7411" s="5" t="s">
        <v>1206</v>
      </c>
      <c r="E7411" s="5" t="s">
        <v>47096</v>
      </c>
      <c r="F7411" s="5" t="s">
        <v>37</v>
      </c>
      <c r="G7411" s="5" t="s">
        <v>47097</v>
      </c>
      <c r="H7411" s="6" t="s">
        <v>47098</v>
      </c>
      <c r="K7411" s="5" t="s">
        <v>47093</v>
      </c>
      <c r="M7411" s="5" t="s">
        <v>47099</v>
      </c>
      <c r="N7411" s="7" t="s">
        <v>47100</v>
      </c>
      <c r="O7411" s="8" t="str">
        <f>HYPERLINK("https://drive.google.com/file/d/12kdjSLUr37fLJ7s1Rsmu_s-Ny8-FkXdX/view?usp=drivesdk","7410_NANIK YULAICHA _ SERTIFIKAT BerAKHLAK")</f>
        <v>7410_NANIK YULAICHA _ SERTIFIKAT BerAKHLAK</v>
      </c>
      <c r="P7411" s="5" t="s">
        <v>47101</v>
      </c>
    </row>
    <row r="7412">
      <c r="A7412" s="4">
        <v>45534.38179987269</v>
      </c>
      <c r="B7412" s="5" t="s">
        <v>34</v>
      </c>
      <c r="D7412" s="5" t="s">
        <v>35</v>
      </c>
      <c r="E7412" s="5" t="s">
        <v>47102</v>
      </c>
      <c r="F7412" s="5" t="s">
        <v>120</v>
      </c>
      <c r="G7412" s="5" t="s">
        <v>47103</v>
      </c>
      <c r="H7412" s="6" t="s">
        <v>47104</v>
      </c>
      <c r="K7412" s="5" t="s">
        <v>47093</v>
      </c>
      <c r="M7412" s="5" t="s">
        <v>47105</v>
      </c>
      <c r="N7412" s="7" t="s">
        <v>47106</v>
      </c>
      <c r="O7412" s="8" t="str">
        <f>HYPERLINK("https://drive.google.com/file/d/17mwYZ7CzGQhtw4VnIKvoXYzinfHvmewu/view?usp=drivesdk","7411_H. MAMAN NURJAMAN, S.AG., M.PD. _ SERTIFIKAT BerAKHLAK")</f>
        <v>7411_H. MAMAN NURJAMAN, S.AG., M.PD. _ SERTIFIKAT BerAKHLAK</v>
      </c>
      <c r="P7412" s="5" t="s">
        <v>47101</v>
      </c>
    </row>
    <row r="7413">
      <c r="A7413" s="4">
        <v>45534.38180256945</v>
      </c>
      <c r="B7413" s="5" t="s">
        <v>34</v>
      </c>
      <c r="D7413" s="5" t="s">
        <v>1456</v>
      </c>
      <c r="E7413" s="5" t="s">
        <v>47107</v>
      </c>
      <c r="F7413" s="5" t="s">
        <v>72</v>
      </c>
      <c r="G7413" s="5" t="s">
        <v>47108</v>
      </c>
      <c r="H7413" s="6" t="s">
        <v>47109</v>
      </c>
      <c r="K7413" s="5" t="s">
        <v>47093</v>
      </c>
      <c r="M7413" s="5" t="s">
        <v>47110</v>
      </c>
      <c r="N7413" s="7" t="s">
        <v>47111</v>
      </c>
      <c r="O7413" s="8" t="str">
        <f>HYPERLINK("https://drive.google.com/file/d/1sca_tyTPkBVHXlzd_4FBtYJ8aoR3JPrj/view?usp=drivesdk","7412_APRIANDA, A.Md _ SERTIFIKAT BerAKHLAK")</f>
        <v>7412_APRIANDA, A.Md _ SERTIFIKAT BerAKHLAK</v>
      </c>
      <c r="P7413" s="5" t="s">
        <v>47101</v>
      </c>
    </row>
    <row r="7414">
      <c r="A7414" s="4">
        <v>45534.38180371528</v>
      </c>
      <c r="B7414" s="5" t="s">
        <v>34</v>
      </c>
      <c r="D7414" s="5" t="s">
        <v>701</v>
      </c>
      <c r="E7414" s="5" t="s">
        <v>47112</v>
      </c>
      <c r="F7414" s="5" t="s">
        <v>212</v>
      </c>
      <c r="G7414" s="5" t="s">
        <v>47113</v>
      </c>
      <c r="H7414" s="6" t="s">
        <v>47114</v>
      </c>
      <c r="K7414" s="5" t="s">
        <v>47115</v>
      </c>
      <c r="M7414" s="5" t="s">
        <v>47116</v>
      </c>
      <c r="N7414" s="7" t="s">
        <v>47117</v>
      </c>
      <c r="O7414" s="8" t="str">
        <f>HYPERLINK("https://drive.google.com/file/d/1J20VeK43AjCG4iQRZwCQFoTrmrsk_FXk/view?usp=drivesdk","7413_EDI SUMANTRI _ SERTIFIKAT BerAKHLAK")</f>
        <v>7413_EDI SUMANTRI _ SERTIFIKAT BerAKHLAK</v>
      </c>
      <c r="P7414" s="5" t="s">
        <v>47118</v>
      </c>
    </row>
    <row r="7415">
      <c r="A7415" s="4">
        <v>45534.381821620365</v>
      </c>
      <c r="B7415" s="5" t="s">
        <v>34</v>
      </c>
      <c r="D7415" s="5" t="s">
        <v>35</v>
      </c>
      <c r="E7415" s="5" t="s">
        <v>47119</v>
      </c>
      <c r="F7415" s="5" t="s">
        <v>375</v>
      </c>
      <c r="G7415" s="5" t="s">
        <v>47120</v>
      </c>
      <c r="H7415" s="6" t="s">
        <v>47121</v>
      </c>
      <c r="K7415" s="5" t="s">
        <v>47115</v>
      </c>
      <c r="M7415" s="5" t="s">
        <v>47122</v>
      </c>
      <c r="N7415" s="7" t="s">
        <v>47123</v>
      </c>
      <c r="O7415" s="8" t="str">
        <f>HYPERLINK("https://drive.google.com/file/d/1FUs7GoDrs8zwhI-_OAIQsgnPCOHTU1C2/view?usp=drivesdk","7414_ACENG RIDWAN.,SKEP.,NERS _ SERTIFIKAT BerAKHLAK")</f>
        <v>7414_ACENG RIDWAN.,SKEP.,NERS _ SERTIFIKAT BerAKHLAK</v>
      </c>
      <c r="P7415" s="5" t="s">
        <v>47118</v>
      </c>
    </row>
    <row r="7416">
      <c r="A7416" s="4">
        <v>45534.38187244213</v>
      </c>
      <c r="B7416" s="5" t="s">
        <v>34</v>
      </c>
      <c r="D7416" s="5" t="s">
        <v>4775</v>
      </c>
      <c r="E7416" s="5" t="s">
        <v>47124</v>
      </c>
      <c r="F7416" s="5" t="s">
        <v>212</v>
      </c>
      <c r="G7416" s="5" t="s">
        <v>47125</v>
      </c>
      <c r="H7416" s="6" t="s">
        <v>47126</v>
      </c>
      <c r="K7416" s="5" t="s">
        <v>47127</v>
      </c>
      <c r="M7416" s="5" t="s">
        <v>47128</v>
      </c>
      <c r="N7416" s="7" t="s">
        <v>47129</v>
      </c>
      <c r="O7416" s="8" t="str">
        <f>HYPERLINK("https://drive.google.com/file/d/16KV4tYD7SrBB9oKA0JOJB5BPfWPh1tEd/view?usp=drivesdk","7415_KETUT RATNA UTAMI _ SERTIFIKAT BerAKHLAK")</f>
        <v>7415_KETUT RATNA UTAMI _ SERTIFIKAT BerAKHLAK</v>
      </c>
      <c r="P7416" s="5" t="s">
        <v>47118</v>
      </c>
    </row>
    <row r="7417" hidden="1">
      <c r="A7417" s="4">
        <v>45534.38188112268</v>
      </c>
      <c r="B7417" s="5" t="s">
        <v>19</v>
      </c>
      <c r="C7417" s="5" t="s">
        <v>47130</v>
      </c>
      <c r="E7417" s="5" t="s">
        <v>47131</v>
      </c>
      <c r="F7417" s="5" t="s">
        <v>375</v>
      </c>
      <c r="G7417" s="5" t="s">
        <v>47132</v>
      </c>
      <c r="H7417" s="6" t="s">
        <v>47133</v>
      </c>
      <c r="K7417" s="5" t="s">
        <v>47134</v>
      </c>
      <c r="M7417" s="5" t="s">
        <v>47135</v>
      </c>
      <c r="N7417" s="7" t="s">
        <v>47136</v>
      </c>
      <c r="O7417" s="8" t="str">
        <f>HYPERLINK("https://drive.google.com/file/d/1AXPAy8qUP9BrGRG7KrtpXOwy0R51f3p6/view?usp=drivesdk","7416_Victor Wales, SE _ SERTIFIKAT BerAKHLAK")</f>
        <v>7416_Victor Wales, SE _ SERTIFIKAT BerAKHLAK</v>
      </c>
      <c r="P7417" s="5" t="s">
        <v>47118</v>
      </c>
    </row>
    <row r="7418">
      <c r="A7418" s="4">
        <v>45534.38189653935</v>
      </c>
      <c r="B7418" s="5" t="s">
        <v>34</v>
      </c>
      <c r="D7418" s="5" t="s">
        <v>1558</v>
      </c>
      <c r="E7418" s="5" t="s">
        <v>47137</v>
      </c>
      <c r="F7418" s="5" t="s">
        <v>108</v>
      </c>
      <c r="G7418" s="5" t="s">
        <v>47138</v>
      </c>
      <c r="H7418" s="6" t="s">
        <v>47139</v>
      </c>
      <c r="K7418" s="5" t="s">
        <v>47140</v>
      </c>
      <c r="M7418" s="5" t="s">
        <v>47141</v>
      </c>
      <c r="N7418" s="7" t="s">
        <v>47142</v>
      </c>
      <c r="O7418" s="8" t="str">
        <f>HYPERLINK("https://drive.google.com/file/d/1M7LM-yNrI02Yqd14tENLcODcYiK6581i/view?usp=drivesdk","7417_BUDI SULISTIYONO _ SERTIFIKAT BerAKHLAK")</f>
        <v>7417_BUDI SULISTIYONO _ SERTIFIKAT BerAKHLAK</v>
      </c>
      <c r="P7418" s="5" t="s">
        <v>47143</v>
      </c>
    </row>
    <row r="7419">
      <c r="A7419" s="4">
        <v>45534.38190486111</v>
      </c>
      <c r="B7419" s="5" t="s">
        <v>34</v>
      </c>
      <c r="D7419" s="5" t="s">
        <v>12978</v>
      </c>
      <c r="E7419" s="5" t="s">
        <v>47144</v>
      </c>
      <c r="F7419" s="5" t="s">
        <v>212</v>
      </c>
      <c r="G7419" s="5" t="s">
        <v>47145</v>
      </c>
      <c r="H7419" s="6" t="s">
        <v>47146</v>
      </c>
      <c r="K7419" s="5" t="s">
        <v>47140</v>
      </c>
      <c r="M7419" s="5" t="s">
        <v>47147</v>
      </c>
      <c r="N7419" s="7" t="s">
        <v>47148</v>
      </c>
      <c r="O7419" s="8" t="str">
        <f>HYPERLINK("https://drive.google.com/file/d/1lyAJULqhMSYDr0aznh6Qg6s4vpovlPn5/view?usp=drivesdk","7418_RADEN AJENG YULIANA _ SERTIFIKAT BerAKHLAK")</f>
        <v>7418_RADEN AJENG YULIANA _ SERTIFIKAT BerAKHLAK</v>
      </c>
      <c r="P7419" s="5" t="s">
        <v>47143</v>
      </c>
    </row>
    <row r="7420">
      <c r="A7420" s="4">
        <v>45534.38193018518</v>
      </c>
      <c r="B7420" s="5" t="s">
        <v>34</v>
      </c>
      <c r="D7420" s="5" t="s">
        <v>14424</v>
      </c>
      <c r="E7420" s="5" t="s">
        <v>47149</v>
      </c>
      <c r="F7420" s="5" t="s">
        <v>37</v>
      </c>
      <c r="G7420" s="5" t="s">
        <v>47150</v>
      </c>
      <c r="H7420" s="6" t="s">
        <v>47151</v>
      </c>
      <c r="K7420" s="5" t="s">
        <v>47152</v>
      </c>
      <c r="M7420" s="5" t="s">
        <v>47153</v>
      </c>
      <c r="N7420" s="7" t="s">
        <v>47154</v>
      </c>
      <c r="O7420" s="8" t="str">
        <f>HYPERLINK("https://drive.google.com/file/d/18-BfkGMS8O6QitkSfiH7CZlmlYOTs-wu/view?usp=drivesdk","7419_Elmiadi, A.Md.Kep _ SERTIFIKAT BerAKHLAK")</f>
        <v>7419_Elmiadi, A.Md.Kep _ SERTIFIKAT BerAKHLAK</v>
      </c>
      <c r="P7420" s="5" t="s">
        <v>47143</v>
      </c>
    </row>
    <row r="7421">
      <c r="A7421" s="4">
        <v>45534.381935046295</v>
      </c>
      <c r="B7421" s="5" t="s">
        <v>34</v>
      </c>
      <c r="D7421" s="5" t="s">
        <v>267</v>
      </c>
      <c r="E7421" s="5" t="s">
        <v>47155</v>
      </c>
      <c r="F7421" s="5" t="s">
        <v>72</v>
      </c>
      <c r="G7421" s="5" t="s">
        <v>47156</v>
      </c>
      <c r="H7421" s="6" t="s">
        <v>47157</v>
      </c>
      <c r="K7421" s="5" t="s">
        <v>47152</v>
      </c>
      <c r="M7421" s="5" t="s">
        <v>47158</v>
      </c>
      <c r="N7421" s="7" t="s">
        <v>47159</v>
      </c>
      <c r="O7421" s="8" t="str">
        <f>HYPERLINK("https://drive.google.com/file/d/1PNuN3uHYgI6GU0TCCenBNi9ViTxqzEEi/view?usp=drivesdk","7420_DIDIK SISWANTORO _ SERTIFIKAT BerAKHLAK")</f>
        <v>7420_DIDIK SISWANTORO _ SERTIFIKAT BerAKHLAK</v>
      </c>
      <c r="P7421" s="5" t="s">
        <v>47143</v>
      </c>
    </row>
    <row r="7422" hidden="1">
      <c r="A7422" s="4">
        <v>45534.3819787963</v>
      </c>
      <c r="B7422" s="5" t="s">
        <v>19</v>
      </c>
      <c r="C7422" s="5" t="s">
        <v>11593</v>
      </c>
      <c r="E7422" s="5" t="s">
        <v>47160</v>
      </c>
      <c r="F7422" s="5" t="s">
        <v>212</v>
      </c>
      <c r="G7422" s="5" t="s">
        <v>47161</v>
      </c>
      <c r="H7422" s="6" t="s">
        <v>47162</v>
      </c>
      <c r="K7422" s="5" t="s">
        <v>47163</v>
      </c>
      <c r="M7422" s="5" t="s">
        <v>47164</v>
      </c>
      <c r="N7422" s="7" t="s">
        <v>47165</v>
      </c>
      <c r="O7422" s="8" t="str">
        <f>HYPERLINK("https://drive.google.com/file/d/1fPICIHiqXTomX642gL6a7i9tpxRaVvU9/view?usp=drivesdk","7421_RATNO SUDARMADI _ SERTIFIKAT BerAKHLAK")</f>
        <v>7421_RATNO SUDARMADI _ SERTIFIKAT BerAKHLAK</v>
      </c>
      <c r="P7422" s="5" t="s">
        <v>47143</v>
      </c>
    </row>
    <row r="7423">
      <c r="A7423" s="4">
        <v>45534.38198961805</v>
      </c>
      <c r="B7423" s="5" t="s">
        <v>34</v>
      </c>
      <c r="D7423" s="5" t="s">
        <v>1206</v>
      </c>
      <c r="E7423" s="5" t="s">
        <v>31560</v>
      </c>
      <c r="F7423" s="5" t="s">
        <v>328</v>
      </c>
      <c r="G7423" s="5" t="s">
        <v>47166</v>
      </c>
      <c r="H7423" s="6" t="s">
        <v>47167</v>
      </c>
      <c r="K7423" s="5" t="s">
        <v>47163</v>
      </c>
      <c r="M7423" s="5" t="s">
        <v>47168</v>
      </c>
      <c r="N7423" s="7" t="s">
        <v>47169</v>
      </c>
      <c r="O7423" s="8" t="str">
        <f>HYPERLINK("https://drive.google.com/file/d/1TOop7Uei6JLhtu30zNz85Kx1u9rN3_jT/view?usp=drivesdk","7422_SUYONO _ SERTIFIKAT BerAKHLAK")</f>
        <v>7422_SUYONO _ SERTIFIKAT BerAKHLAK</v>
      </c>
      <c r="P7423" s="5" t="s">
        <v>47170</v>
      </c>
    </row>
    <row r="7424">
      <c r="A7424" s="4">
        <v>45534.38199271991</v>
      </c>
      <c r="B7424" s="5" t="s">
        <v>34</v>
      </c>
      <c r="D7424" s="5" t="s">
        <v>1206</v>
      </c>
      <c r="E7424" s="5" t="s">
        <v>47171</v>
      </c>
      <c r="F7424" s="5" t="s">
        <v>37</v>
      </c>
      <c r="G7424" s="5" t="s">
        <v>47172</v>
      </c>
      <c r="H7424" s="6" t="s">
        <v>47173</v>
      </c>
      <c r="K7424" s="5" t="s">
        <v>47163</v>
      </c>
      <c r="M7424" s="5" t="s">
        <v>47174</v>
      </c>
      <c r="N7424" s="7" t="s">
        <v>47175</v>
      </c>
      <c r="O7424" s="8" t="str">
        <f>HYPERLINK("https://drive.google.com/file/d/18lrogge5GqExaoWMf_MmF7tAhi5Obfmu/view?usp=drivesdk","7423_PUDJI ASTUTI  _ SERTIFIKAT BerAKHLAK")</f>
        <v>7423_PUDJI ASTUTI  _ SERTIFIKAT BerAKHLAK</v>
      </c>
      <c r="P7424" s="5" t="s">
        <v>47170</v>
      </c>
    </row>
    <row r="7425">
      <c r="A7425" s="4">
        <v>45534.381996435186</v>
      </c>
      <c r="B7425" s="5" t="s">
        <v>34</v>
      </c>
      <c r="D7425" s="5" t="s">
        <v>9020</v>
      </c>
      <c r="E7425" s="5" t="s">
        <v>47176</v>
      </c>
      <c r="F7425" s="5" t="s">
        <v>524</v>
      </c>
      <c r="G7425" s="5" t="s">
        <v>47177</v>
      </c>
      <c r="H7425" s="6" t="s">
        <v>47178</v>
      </c>
      <c r="K7425" s="5" t="s">
        <v>47179</v>
      </c>
      <c r="M7425" s="5" t="s">
        <v>47180</v>
      </c>
      <c r="N7425" s="7" t="s">
        <v>47181</v>
      </c>
      <c r="O7425" s="8" t="str">
        <f>HYPERLINK("https://drive.google.com/file/d/16GUXRPl-IdWjYUG8Pw_khukOV9zs0CC5/view?usp=drivesdk","7424_RITA JENNI BR KARO _ SERTIFIKAT BerAKHLAK")</f>
        <v>7424_RITA JENNI BR KARO _ SERTIFIKAT BerAKHLAK</v>
      </c>
      <c r="P7425" s="5" t="s">
        <v>47170</v>
      </c>
    </row>
    <row r="7426">
      <c r="A7426" s="4">
        <v>45534.38200046297</v>
      </c>
      <c r="B7426" s="5" t="s">
        <v>34</v>
      </c>
      <c r="D7426" s="5" t="s">
        <v>1206</v>
      </c>
      <c r="E7426" s="5" t="s">
        <v>47182</v>
      </c>
      <c r="F7426" s="5" t="s">
        <v>37</v>
      </c>
      <c r="G7426" s="5" t="s">
        <v>47183</v>
      </c>
      <c r="H7426" s="6" t="s">
        <v>47184</v>
      </c>
      <c r="K7426" s="5" t="s">
        <v>47179</v>
      </c>
      <c r="M7426" s="5" t="s">
        <v>47185</v>
      </c>
      <c r="N7426" s="7" t="s">
        <v>47186</v>
      </c>
      <c r="O7426" s="8" t="str">
        <f>HYPERLINK("https://drive.google.com/file/d/1T0axojkdcxqhfPs1P9cqAr_Poi5B3VqV/view?usp=drivesdk","7425_HAMIDAH _ SERTIFIKAT BerAKHLAK")</f>
        <v>7425_HAMIDAH _ SERTIFIKAT BerAKHLAK</v>
      </c>
      <c r="P7426" s="5" t="s">
        <v>47170</v>
      </c>
    </row>
    <row r="7427">
      <c r="A7427" s="4">
        <v>45534.38203349537</v>
      </c>
      <c r="B7427" s="5" t="s">
        <v>34</v>
      </c>
      <c r="D7427" s="5" t="s">
        <v>1206</v>
      </c>
      <c r="E7427" s="5" t="s">
        <v>47187</v>
      </c>
      <c r="F7427" s="5" t="s">
        <v>375</v>
      </c>
      <c r="G7427" s="5" t="s">
        <v>47188</v>
      </c>
      <c r="H7427" s="6" t="s">
        <v>47189</v>
      </c>
      <c r="K7427" s="5" t="s">
        <v>47179</v>
      </c>
      <c r="M7427" s="5" t="s">
        <v>47190</v>
      </c>
      <c r="N7427" s="7" t="s">
        <v>47191</v>
      </c>
      <c r="O7427" s="8" t="str">
        <f>HYPERLINK("https://drive.google.com/file/d/1U0IiWF1fawfxO5WQMFsrJXWWKIFI6DbV/view?usp=drivesdk","7426_ENDAH WAHYUNINGSIH _ SERTIFIKAT BerAKHLAK")</f>
        <v>7426_ENDAH WAHYUNINGSIH _ SERTIFIKAT BerAKHLAK</v>
      </c>
      <c r="P7427" s="5" t="s">
        <v>47192</v>
      </c>
    </row>
    <row r="7428">
      <c r="A7428" s="4">
        <v>45534.38205822917</v>
      </c>
      <c r="B7428" s="5" t="s">
        <v>34</v>
      </c>
      <c r="D7428" s="5" t="s">
        <v>1558</v>
      </c>
      <c r="E7428" s="5" t="s">
        <v>47193</v>
      </c>
      <c r="F7428" s="5" t="s">
        <v>212</v>
      </c>
      <c r="G7428" s="5" t="s">
        <v>47194</v>
      </c>
      <c r="H7428" s="6" t="s">
        <v>47195</v>
      </c>
      <c r="K7428" s="5" t="s">
        <v>47196</v>
      </c>
      <c r="M7428" s="5" t="s">
        <v>47197</v>
      </c>
      <c r="N7428" s="7" t="s">
        <v>47198</v>
      </c>
      <c r="O7428" s="8" t="str">
        <f>HYPERLINK("https://drive.google.com/file/d/1CTiew-MGbW_MBqfBX7A7qcYBgeoEzx96/view?usp=drivesdk","7427_SITI AMINAH _ SERTIFIKAT BerAKHLAK")</f>
        <v>7427_SITI AMINAH _ SERTIFIKAT BerAKHLAK</v>
      </c>
      <c r="P7428" s="5" t="s">
        <v>47192</v>
      </c>
    </row>
    <row r="7429">
      <c r="A7429" s="4">
        <v>45534.38207738426</v>
      </c>
      <c r="B7429" s="5" t="s">
        <v>34</v>
      </c>
      <c r="D7429" s="5" t="s">
        <v>2903</v>
      </c>
      <c r="E7429" s="5" t="s">
        <v>47199</v>
      </c>
      <c r="F7429" s="5" t="s">
        <v>524</v>
      </c>
      <c r="G7429" s="5" t="s">
        <v>47200</v>
      </c>
      <c r="H7429" s="6" t="s">
        <v>47201</v>
      </c>
      <c r="K7429" s="5" t="s">
        <v>47196</v>
      </c>
      <c r="M7429" s="5" t="s">
        <v>47202</v>
      </c>
      <c r="N7429" s="7" t="s">
        <v>47203</v>
      </c>
      <c r="O7429" s="8" t="str">
        <f>HYPERLINK("https://drive.google.com/file/d/1Hsc_pGiDui1ZI1YOQCXf5q3-X1azB9Ds/view?usp=drivesdk","7428_PRAMONO DWI SASMITO,S.Gz _ SERTIFIKAT BerAKHLAK")</f>
        <v>7428_PRAMONO DWI SASMITO,S.Gz _ SERTIFIKAT BerAKHLAK</v>
      </c>
      <c r="P7429" s="5" t="s">
        <v>47192</v>
      </c>
    </row>
    <row r="7430">
      <c r="A7430" s="4">
        <v>45534.38208401621</v>
      </c>
      <c r="B7430" s="5" t="s">
        <v>34</v>
      </c>
      <c r="D7430" s="5" t="s">
        <v>1456</v>
      </c>
      <c r="E7430" s="5" t="s">
        <v>47204</v>
      </c>
      <c r="F7430" s="5" t="s">
        <v>37</v>
      </c>
      <c r="G7430" s="5" t="s">
        <v>47205</v>
      </c>
      <c r="H7430" s="6" t="s">
        <v>47206</v>
      </c>
      <c r="K7430" s="5" t="s">
        <v>47207</v>
      </c>
      <c r="M7430" s="5" t="s">
        <v>47208</v>
      </c>
      <c r="N7430" s="7" t="s">
        <v>47209</v>
      </c>
      <c r="O7430" s="8" t="str">
        <f>HYPERLINK("https://drive.google.com/file/d/1BFEw1QdmRquq-Wq3tdX96RI4mT539UC6/view?usp=drivesdk","7429_ANDI BAGINDA PUTRA. SE. _ SERTIFIKAT BerAKHLAK")</f>
        <v>7429_ANDI BAGINDA PUTRA. SE. _ SERTIFIKAT BerAKHLAK</v>
      </c>
      <c r="P7430" s="5" t="s">
        <v>47192</v>
      </c>
    </row>
    <row r="7431">
      <c r="A7431" s="4">
        <v>45534.38209165509</v>
      </c>
      <c r="B7431" s="5" t="s">
        <v>34</v>
      </c>
      <c r="D7431" s="5" t="s">
        <v>1206</v>
      </c>
      <c r="E7431" s="5" t="s">
        <v>47210</v>
      </c>
      <c r="F7431" s="5" t="s">
        <v>212</v>
      </c>
      <c r="G7431" s="5" t="s">
        <v>47211</v>
      </c>
      <c r="H7431" s="6" t="s">
        <v>47212</v>
      </c>
      <c r="K7431" s="5" t="s">
        <v>47207</v>
      </c>
      <c r="M7431" s="5" t="s">
        <v>47213</v>
      </c>
      <c r="N7431" s="7" t="s">
        <v>47214</v>
      </c>
      <c r="O7431" s="8" t="str">
        <f>HYPERLINK("https://drive.google.com/file/d/130clYJURqk_kj3tb-Sr9OHQz-ro1TjZ6/view?usp=drivesdk","7430_ADRI YOGIK SETIYONO, S.M _ SERTIFIKAT BerAKHLAK")</f>
        <v>7430_ADRI YOGIK SETIYONO, S.M _ SERTIFIKAT BerAKHLAK</v>
      </c>
      <c r="P7431" s="5" t="s">
        <v>47215</v>
      </c>
    </row>
    <row r="7432">
      <c r="A7432" s="4">
        <v>45534.38212207176</v>
      </c>
      <c r="B7432" s="5" t="s">
        <v>34</v>
      </c>
      <c r="D7432" s="5" t="s">
        <v>4775</v>
      </c>
      <c r="E7432" s="5" t="s">
        <v>47216</v>
      </c>
      <c r="F7432" s="5" t="s">
        <v>212</v>
      </c>
      <c r="G7432" s="5" t="s">
        <v>47217</v>
      </c>
      <c r="H7432" s="6" t="s">
        <v>47218</v>
      </c>
      <c r="K7432" s="5" t="s">
        <v>47207</v>
      </c>
      <c r="M7432" s="5" t="s">
        <v>47219</v>
      </c>
      <c r="N7432" s="7" t="s">
        <v>47220</v>
      </c>
      <c r="O7432" s="8" t="str">
        <f>HYPERLINK("https://drive.google.com/file/d/1Cn4vZv-PfI4XE824sXIUODDU5OeSHdK9/view?usp=drivesdk","7431_WAHID SYAEFUDIN, A.Md. _ SERTIFIKAT BerAKHLAK")</f>
        <v>7431_WAHID SYAEFUDIN, A.Md. _ SERTIFIKAT BerAKHLAK</v>
      </c>
      <c r="P7432" s="5" t="s">
        <v>47215</v>
      </c>
    </row>
    <row r="7433">
      <c r="A7433" s="4">
        <v>45534.38212578704</v>
      </c>
      <c r="B7433" s="5" t="s">
        <v>34</v>
      </c>
      <c r="D7433" s="5" t="s">
        <v>35</v>
      </c>
      <c r="E7433" s="5" t="s">
        <v>47221</v>
      </c>
      <c r="F7433" s="5" t="s">
        <v>72</v>
      </c>
      <c r="G7433" s="5" t="s">
        <v>47222</v>
      </c>
      <c r="H7433" s="6" t="s">
        <v>47223</v>
      </c>
      <c r="K7433" s="5" t="s">
        <v>47207</v>
      </c>
      <c r="M7433" s="5" t="s">
        <v>47224</v>
      </c>
      <c r="N7433" s="7" t="s">
        <v>47225</v>
      </c>
      <c r="O7433" s="8" t="str">
        <f>HYPERLINK("https://drive.google.com/file/d/19lWPK73NR89p0UVWyhEGDFfqD2VmusHD/view?usp=drivesdk","7432_ASMARANI _ SERTIFIKAT BerAKHLAK")</f>
        <v>7432_ASMARANI _ SERTIFIKAT BerAKHLAK</v>
      </c>
      <c r="P7433" s="5" t="s">
        <v>47215</v>
      </c>
    </row>
    <row r="7434">
      <c r="A7434" s="4">
        <v>45534.38213373843</v>
      </c>
      <c r="B7434" s="5" t="s">
        <v>34</v>
      </c>
      <c r="D7434" s="5" t="s">
        <v>12010</v>
      </c>
      <c r="E7434" s="5" t="s">
        <v>47226</v>
      </c>
      <c r="F7434" s="5" t="s">
        <v>375</v>
      </c>
      <c r="G7434" s="5" t="s">
        <v>47227</v>
      </c>
      <c r="H7434" s="6" t="s">
        <v>47228</v>
      </c>
      <c r="K7434" s="5" t="s">
        <v>47207</v>
      </c>
      <c r="M7434" s="5" t="s">
        <v>47229</v>
      </c>
      <c r="N7434" s="7" t="s">
        <v>47230</v>
      </c>
      <c r="O7434" s="8" t="str">
        <f>HYPERLINK("https://drive.google.com/file/d/1LNf3AA7nNrva7cUPByX5PoNUtzNLuUoX/view?usp=drivesdk","7433_WINARTI R.DEHI,S.E. _ SERTIFIKAT BerAKHLAK")</f>
        <v>7433_WINARTI R.DEHI,S.E. _ SERTIFIKAT BerAKHLAK</v>
      </c>
      <c r="P7434" s="5" t="s">
        <v>47215</v>
      </c>
    </row>
    <row r="7435">
      <c r="A7435" s="4">
        <v>45534.38213939815</v>
      </c>
      <c r="B7435" s="5" t="s">
        <v>34</v>
      </c>
      <c r="D7435" s="5" t="s">
        <v>9020</v>
      </c>
      <c r="E7435" s="5" t="s">
        <v>47231</v>
      </c>
      <c r="F7435" s="5" t="s">
        <v>375</v>
      </c>
      <c r="G7435" s="5" t="s">
        <v>47232</v>
      </c>
      <c r="H7435" s="6" t="s">
        <v>47233</v>
      </c>
      <c r="K7435" s="5" t="s">
        <v>47207</v>
      </c>
      <c r="M7435" s="5" t="s">
        <v>47234</v>
      </c>
      <c r="N7435" s="7" t="s">
        <v>47235</v>
      </c>
      <c r="O7435" s="8" t="str">
        <f>HYPERLINK("https://drive.google.com/file/d/1Nw8tjpfoIlbuXcxXs7Zh1vmNObSYUxGh/view?usp=drivesdk","7434_RITA JUNIARNI GULTOM _ SERTIFIKAT BerAKHLAK")</f>
        <v>7434_RITA JUNIARNI GULTOM _ SERTIFIKAT BerAKHLAK</v>
      </c>
      <c r="P7435" s="5" t="s">
        <v>47236</v>
      </c>
    </row>
    <row r="7436">
      <c r="A7436" s="4">
        <v>45534.38214163194</v>
      </c>
      <c r="B7436" s="5" t="s">
        <v>34</v>
      </c>
      <c r="D7436" s="5" t="s">
        <v>4775</v>
      </c>
      <c r="E7436" s="5" t="s">
        <v>47237</v>
      </c>
      <c r="F7436" s="5" t="s">
        <v>524</v>
      </c>
      <c r="G7436" s="5" t="s">
        <v>47238</v>
      </c>
      <c r="H7436" s="6" t="s">
        <v>47239</v>
      </c>
      <c r="K7436" s="5" t="s">
        <v>47207</v>
      </c>
      <c r="M7436" s="5" t="s">
        <v>47240</v>
      </c>
      <c r="N7436" s="7" t="s">
        <v>47241</v>
      </c>
      <c r="O7436" s="8" t="str">
        <f>HYPERLINK("https://drive.google.com/file/d/1Qc15tXYbbss2JTblf2w95lPqz_y3yP7h/view?usp=drivesdk","7435_Dyah Sulistyowati Amd.Keb _ SERTIFIKAT BerAKHLAK")</f>
        <v>7435_Dyah Sulistyowati Amd.Keb _ SERTIFIKAT BerAKHLAK</v>
      </c>
      <c r="P7436" s="5" t="s">
        <v>47236</v>
      </c>
    </row>
    <row r="7437">
      <c r="A7437" s="4">
        <v>45534.38214202547</v>
      </c>
      <c r="B7437" s="5" t="s">
        <v>34</v>
      </c>
      <c r="D7437" s="5" t="s">
        <v>12978</v>
      </c>
      <c r="E7437" s="5" t="s">
        <v>47242</v>
      </c>
      <c r="F7437" s="5" t="s">
        <v>199</v>
      </c>
      <c r="G7437" s="5" t="s">
        <v>47243</v>
      </c>
      <c r="H7437" s="6" t="s">
        <v>47244</v>
      </c>
      <c r="K7437" s="5" t="s">
        <v>47207</v>
      </c>
      <c r="M7437" s="5" t="s">
        <v>47245</v>
      </c>
      <c r="N7437" s="7" t="s">
        <v>47246</v>
      </c>
      <c r="O7437" s="8" t="str">
        <f>HYPERLINK("https://drive.google.com/file/d/1IlZq7fBqoDL_yzJMkxwjVW8hVymU0xPU/view?usp=drivesdk","7436_SUANDI _ SERTIFIKAT BerAKHLAK")</f>
        <v>7436_SUANDI _ SERTIFIKAT BerAKHLAK</v>
      </c>
      <c r="P7437" s="5" t="s">
        <v>47236</v>
      </c>
    </row>
    <row r="7438" hidden="1">
      <c r="A7438" s="4">
        <v>45534.38217556713</v>
      </c>
      <c r="B7438" s="5" t="s">
        <v>19</v>
      </c>
      <c r="C7438" s="5" t="s">
        <v>14000</v>
      </c>
      <c r="E7438" s="5" t="s">
        <v>47247</v>
      </c>
      <c r="F7438" s="5" t="s">
        <v>37</v>
      </c>
      <c r="G7438" s="5" t="s">
        <v>47248</v>
      </c>
      <c r="H7438" s="6" t="s">
        <v>47249</v>
      </c>
      <c r="K7438" s="5" t="s">
        <v>47250</v>
      </c>
      <c r="M7438" s="5" t="s">
        <v>47251</v>
      </c>
      <c r="N7438" s="7" t="s">
        <v>47252</v>
      </c>
      <c r="O7438" s="8" t="str">
        <f>HYPERLINK("https://drive.google.com/file/d/1TX81HA8FXuLbQC9L6umy3d2iTv9sFynp/view?usp=drivesdk","7437_ANDY WIJAYA, A.Md. _ SERTIFIKAT BerAKHLAK")</f>
        <v>7437_ANDY WIJAYA, A.Md. _ SERTIFIKAT BerAKHLAK</v>
      </c>
      <c r="P7438" s="5" t="s">
        <v>47236</v>
      </c>
    </row>
    <row r="7439">
      <c r="A7439" s="4">
        <v>45534.382141759255</v>
      </c>
      <c r="B7439" s="5" t="s">
        <v>34</v>
      </c>
      <c r="D7439" s="5" t="s">
        <v>267</v>
      </c>
      <c r="E7439" s="5" t="s">
        <v>47253</v>
      </c>
      <c r="F7439" s="5" t="s">
        <v>72</v>
      </c>
      <c r="G7439" s="5" t="s">
        <v>47254</v>
      </c>
      <c r="H7439" s="6" t="s">
        <v>47255</v>
      </c>
      <c r="K7439" s="5" t="s">
        <v>47250</v>
      </c>
      <c r="M7439" s="5" t="s">
        <v>47256</v>
      </c>
      <c r="N7439" s="7" t="s">
        <v>47257</v>
      </c>
      <c r="O7439" s="8" t="str">
        <f>HYPERLINK("https://drive.google.com/file/d/1KuX8ecfPSkj0GZTp3Z7phMC_dGst4ij4/view?usp=drivesdk","7438_LILIK WIDIA SAPUTRO, S.E. _ SERTIFIKAT BerAKHLAK")</f>
        <v>7438_LILIK WIDIA SAPUTRO, S.E. _ SERTIFIKAT BerAKHLAK</v>
      </c>
      <c r="P7439" s="5" t="s">
        <v>47258</v>
      </c>
    </row>
    <row r="7440">
      <c r="A7440" s="4">
        <v>45534.38218332176</v>
      </c>
      <c r="B7440" s="5" t="s">
        <v>34</v>
      </c>
      <c r="D7440" s="5" t="s">
        <v>1456</v>
      </c>
      <c r="E7440" s="5" t="s">
        <v>47259</v>
      </c>
      <c r="F7440" s="5" t="s">
        <v>524</v>
      </c>
      <c r="G7440" s="5" t="s">
        <v>47260</v>
      </c>
      <c r="H7440" s="6" t="s">
        <v>47261</v>
      </c>
      <c r="K7440" s="5" t="s">
        <v>47250</v>
      </c>
      <c r="M7440" s="5" t="s">
        <v>47262</v>
      </c>
      <c r="N7440" s="7" t="s">
        <v>47263</v>
      </c>
      <c r="O7440" s="8" t="str">
        <f>HYPERLINK("https://drive.google.com/file/d/1enFMEJS5IAs1DsQUzDKXXV71IwWe7qxS/view?usp=drivesdk","7439_MUGI SUWARSIH, S.H _ SERTIFIKAT BerAKHLAK")</f>
        <v>7439_MUGI SUWARSIH, S.H _ SERTIFIKAT BerAKHLAK</v>
      </c>
      <c r="P7440" s="5" t="s">
        <v>47258</v>
      </c>
    </row>
    <row r="7441">
      <c r="A7441" s="4">
        <v>45534.38218655092</v>
      </c>
      <c r="B7441" s="5" t="s">
        <v>34</v>
      </c>
      <c r="D7441" s="5" t="s">
        <v>15401</v>
      </c>
      <c r="E7441" s="5" t="s">
        <v>47264</v>
      </c>
      <c r="F7441" s="5" t="s">
        <v>715</v>
      </c>
      <c r="G7441" s="5" t="s">
        <v>47265</v>
      </c>
      <c r="H7441" s="6" t="s">
        <v>47266</v>
      </c>
      <c r="K7441" s="5" t="s">
        <v>47250</v>
      </c>
      <c r="M7441" s="5" t="s">
        <v>47267</v>
      </c>
      <c r="N7441" s="7" t="s">
        <v>47268</v>
      </c>
      <c r="O7441" s="8" t="str">
        <f>HYPERLINK("https://drive.google.com/file/d/1eRHGWRGyQo3XGYiUPVL34_8YfLYviwjs/view?usp=drivesdk","7440_SETIAWATI, A.Md.Mi _ SERTIFIKAT BerAKHLAK")</f>
        <v>7440_SETIAWATI, A.Md.Mi _ SERTIFIKAT BerAKHLAK</v>
      </c>
      <c r="P7441" s="5" t="s">
        <v>47258</v>
      </c>
    </row>
    <row r="7442">
      <c r="A7442" s="4">
        <v>45534.38218987269</v>
      </c>
      <c r="B7442" s="5" t="s">
        <v>34</v>
      </c>
      <c r="D7442" s="5" t="s">
        <v>2903</v>
      </c>
      <c r="E7442" s="5" t="s">
        <v>47269</v>
      </c>
      <c r="F7442" s="5" t="s">
        <v>108</v>
      </c>
      <c r="G7442" s="5" t="s">
        <v>47270</v>
      </c>
      <c r="H7442" s="6" t="s">
        <v>47271</v>
      </c>
      <c r="K7442" s="5" t="s">
        <v>47250</v>
      </c>
      <c r="M7442" s="5" t="s">
        <v>47272</v>
      </c>
      <c r="N7442" s="7" t="s">
        <v>47273</v>
      </c>
      <c r="O7442" s="8" t="str">
        <f>HYPERLINK("https://drive.google.com/file/d/1-a9kQDu_hkzFzOXVRjQrg9Dwbv99PYFz/view?usp=drivesdk","7441_POPPY HARYANTI  _ SERTIFIKAT BerAKHLAK")</f>
        <v>7441_POPPY HARYANTI  _ SERTIFIKAT BerAKHLAK</v>
      </c>
      <c r="P7442" s="5" t="s">
        <v>47258</v>
      </c>
    </row>
    <row r="7443">
      <c r="A7443" s="4">
        <v>45534.382199583335</v>
      </c>
      <c r="B7443" s="5" t="s">
        <v>34</v>
      </c>
      <c r="D7443" s="5" t="s">
        <v>14313</v>
      </c>
      <c r="E7443" s="5" t="s">
        <v>47274</v>
      </c>
      <c r="F7443" s="5" t="s">
        <v>120</v>
      </c>
      <c r="G7443" s="5" t="s">
        <v>47275</v>
      </c>
      <c r="H7443" s="6" t="s">
        <v>47276</v>
      </c>
      <c r="K7443" s="5" t="s">
        <v>47250</v>
      </c>
      <c r="M7443" s="5" t="s">
        <v>47277</v>
      </c>
      <c r="N7443" s="7" t="s">
        <v>47278</v>
      </c>
      <c r="O7443" s="8" t="str">
        <f>HYPERLINK("https://drive.google.com/file/d/1dmK4kM5PXVjx7Ep271cHiQj5adshFJLk/view?usp=drivesdk","7442_HUSNIAH. Z SS _ SERTIFIKAT BerAKHLAK")</f>
        <v>7442_HUSNIAH. Z SS _ SERTIFIKAT BerAKHLAK</v>
      </c>
      <c r="P7443" s="5" t="s">
        <v>47258</v>
      </c>
    </row>
    <row r="7444">
      <c r="A7444" s="4">
        <v>45534.382201099535</v>
      </c>
      <c r="B7444" s="5" t="s">
        <v>34</v>
      </c>
      <c r="D7444" s="5" t="s">
        <v>1206</v>
      </c>
      <c r="E7444" s="5" t="s">
        <v>47279</v>
      </c>
      <c r="F7444" s="5" t="s">
        <v>524</v>
      </c>
      <c r="G7444" s="5" t="s">
        <v>47280</v>
      </c>
      <c r="H7444" s="6" t="s">
        <v>47281</v>
      </c>
      <c r="K7444" s="5" t="s">
        <v>47250</v>
      </c>
      <c r="M7444" s="5" t="s">
        <v>47282</v>
      </c>
      <c r="N7444" s="7" t="s">
        <v>47283</v>
      </c>
      <c r="O7444" s="8" t="str">
        <f>HYPERLINK("https://drive.google.com/file/d/1-aCRzIgyKEpUU4P41ww0Xuk2GVfoYX2O/view?usp=drivesdk","7443_Luluk Hariyani, S.Psi _ SERTIFIKAT BerAKHLAK")</f>
        <v>7443_Luluk Hariyani, S.Psi _ SERTIFIKAT BerAKHLAK</v>
      </c>
      <c r="P7444" s="5" t="s">
        <v>47284</v>
      </c>
    </row>
    <row r="7445">
      <c r="A7445" s="4">
        <v>45534.38221582176</v>
      </c>
      <c r="B7445" s="5" t="s">
        <v>34</v>
      </c>
      <c r="D7445" s="5" t="s">
        <v>9020</v>
      </c>
      <c r="E7445" s="5" t="s">
        <v>47285</v>
      </c>
      <c r="F7445" s="5" t="s">
        <v>715</v>
      </c>
      <c r="G7445" s="5" t="s">
        <v>47286</v>
      </c>
      <c r="H7445" s="6" t="s">
        <v>47287</v>
      </c>
      <c r="K7445" s="5" t="s">
        <v>47288</v>
      </c>
      <c r="M7445" s="5" t="s">
        <v>47289</v>
      </c>
      <c r="N7445" s="7" t="s">
        <v>47290</v>
      </c>
      <c r="O7445" s="8" t="str">
        <f>HYPERLINK("https://drive.google.com/file/d/1Q3lClAGOCge0168W2LMhxuE1OWA_e55b/view?usp=drivesdk","7444_JULIANA RAJAGUKGUK _ SERTIFIKAT BerAKHLAK")</f>
        <v>7444_JULIANA RAJAGUKGUK _ SERTIFIKAT BerAKHLAK</v>
      </c>
      <c r="P7445" s="5" t="s">
        <v>47284</v>
      </c>
    </row>
    <row r="7446">
      <c r="A7446" s="4">
        <v>45534.38223045139</v>
      </c>
      <c r="B7446" s="5" t="s">
        <v>34</v>
      </c>
      <c r="D7446" s="5" t="s">
        <v>14424</v>
      </c>
      <c r="E7446" s="5" t="s">
        <v>47291</v>
      </c>
      <c r="F7446" s="5" t="s">
        <v>375</v>
      </c>
      <c r="G7446" s="5" t="s">
        <v>47292</v>
      </c>
      <c r="H7446" s="6" t="s">
        <v>47293</v>
      </c>
      <c r="K7446" s="5" t="s">
        <v>47288</v>
      </c>
      <c r="M7446" s="5" t="s">
        <v>47294</v>
      </c>
      <c r="N7446" s="7" t="s">
        <v>47295</v>
      </c>
      <c r="O7446" s="8" t="str">
        <f>HYPERLINK("https://drive.google.com/file/d/1lknoxcZyN_M6x4JXve1LuOjfR_6ADjtn/view?usp=drivesdk","7445_NURDIN. S.Ag _ SERTIFIKAT BerAKHLAK")</f>
        <v>7445_NURDIN. S.Ag _ SERTIFIKAT BerAKHLAK</v>
      </c>
      <c r="P7446" s="5" t="s">
        <v>47284</v>
      </c>
    </row>
    <row r="7447">
      <c r="A7447" s="4">
        <v>45534.38223357638</v>
      </c>
      <c r="B7447" s="5" t="s">
        <v>34</v>
      </c>
      <c r="D7447" s="5" t="s">
        <v>4775</v>
      </c>
      <c r="E7447" s="5" t="s">
        <v>15606</v>
      </c>
      <c r="F7447" s="5" t="s">
        <v>375</v>
      </c>
      <c r="G7447" s="5" t="s">
        <v>47296</v>
      </c>
      <c r="H7447" s="6" t="s">
        <v>47297</v>
      </c>
      <c r="K7447" s="5" t="s">
        <v>47288</v>
      </c>
      <c r="M7447" s="5" t="s">
        <v>47298</v>
      </c>
      <c r="N7447" s="7" t="s">
        <v>47299</v>
      </c>
      <c r="O7447" s="8" t="str">
        <f>HYPERLINK("https://drive.google.com/file/d/1Xo_m5-NQlubq6N6AYNsgs2vsoJsGkezy/view?usp=drivesdk","7446_SUGIARTI _ SERTIFIKAT BerAKHLAK")</f>
        <v>7446_SUGIARTI _ SERTIFIKAT BerAKHLAK</v>
      </c>
      <c r="P7447" s="5" t="s">
        <v>47300</v>
      </c>
    </row>
    <row r="7448">
      <c r="A7448" s="4">
        <v>45534.38223444445</v>
      </c>
      <c r="B7448" s="5" t="s">
        <v>34</v>
      </c>
      <c r="D7448" s="5" t="s">
        <v>996</v>
      </c>
      <c r="E7448" s="5" t="s">
        <v>47301</v>
      </c>
      <c r="F7448" s="5" t="s">
        <v>37</v>
      </c>
      <c r="G7448" s="5" t="s">
        <v>47302</v>
      </c>
      <c r="H7448" s="6" t="s">
        <v>47303</v>
      </c>
      <c r="K7448" s="5" t="s">
        <v>47288</v>
      </c>
      <c r="M7448" s="5" t="s">
        <v>47304</v>
      </c>
      <c r="N7448" s="7" t="s">
        <v>47305</v>
      </c>
      <c r="O7448" s="8" t="str">
        <f>HYPERLINK("https://drive.google.com/file/d/1XeN2sxiktFDhnzgQ9lFzUFNVonyGHptQ/view?usp=drivesdk","7447_FITRIA SARI _ SERTIFIKAT BerAKHLAK")</f>
        <v>7447_FITRIA SARI _ SERTIFIKAT BerAKHLAK</v>
      </c>
      <c r="P7448" s="5" t="s">
        <v>47300</v>
      </c>
    </row>
    <row r="7449">
      <c r="A7449" s="4">
        <v>45534.38225461806</v>
      </c>
      <c r="B7449" s="5" t="s">
        <v>34</v>
      </c>
      <c r="D7449" s="5" t="s">
        <v>3849</v>
      </c>
      <c r="E7449" s="5" t="s">
        <v>47306</v>
      </c>
      <c r="F7449" s="5" t="s">
        <v>37</v>
      </c>
      <c r="G7449" s="5" t="s">
        <v>47307</v>
      </c>
      <c r="H7449" s="6" t="s">
        <v>47308</v>
      </c>
      <c r="K7449" s="5" t="s">
        <v>47309</v>
      </c>
      <c r="M7449" s="5" t="s">
        <v>47310</v>
      </c>
      <c r="N7449" s="7" t="s">
        <v>47311</v>
      </c>
      <c r="O7449" s="8" t="str">
        <f>HYPERLINK("https://drive.google.com/file/d/16yCiMFRglDwXR4Ll5LP8DkbpdlyF4Vmu/view?usp=drivesdk","7448_RAHMAD NOVALDI _ SERTIFIKAT BerAKHLAK")</f>
        <v>7448_RAHMAD NOVALDI _ SERTIFIKAT BerAKHLAK</v>
      </c>
      <c r="P7449" s="5" t="s">
        <v>47300</v>
      </c>
    </row>
    <row r="7450">
      <c r="A7450" s="4">
        <v>45534.382254780096</v>
      </c>
      <c r="B7450" s="5" t="s">
        <v>34</v>
      </c>
      <c r="D7450" s="5" t="s">
        <v>4775</v>
      </c>
      <c r="E7450" s="5" t="s">
        <v>47312</v>
      </c>
      <c r="F7450" s="5" t="s">
        <v>524</v>
      </c>
      <c r="G7450" s="5" t="s">
        <v>47313</v>
      </c>
      <c r="H7450" s="6" t="s">
        <v>47314</v>
      </c>
      <c r="K7450" s="5" t="s">
        <v>47309</v>
      </c>
      <c r="M7450" s="5" t="s">
        <v>47315</v>
      </c>
      <c r="N7450" s="7" t="s">
        <v>47316</v>
      </c>
      <c r="O7450" s="8" t="str">
        <f>HYPERLINK("https://drive.google.com/file/d/1zv12ZGrP2BjcrXXci9gw0lqgrA1ywr8B/view?usp=drivesdk","7449_ARIEZA DWI JAYANTI, Amd.Keb _ SERTIFIKAT BerAKHLAK")</f>
        <v>7449_ARIEZA DWI JAYANTI, Amd.Keb _ SERTIFIKAT BerAKHLAK</v>
      </c>
      <c r="P7450" s="5" t="s">
        <v>47300</v>
      </c>
    </row>
    <row r="7451">
      <c r="A7451" s="4">
        <v>45534.38225564815</v>
      </c>
      <c r="B7451" s="5" t="s">
        <v>34</v>
      </c>
      <c r="D7451" s="5" t="s">
        <v>1206</v>
      </c>
      <c r="E7451" s="5" t="s">
        <v>47317</v>
      </c>
      <c r="F7451" s="5" t="s">
        <v>375</v>
      </c>
      <c r="G7451" s="5" t="s">
        <v>47318</v>
      </c>
      <c r="H7451" s="6" t="s">
        <v>47319</v>
      </c>
      <c r="K7451" s="5" t="s">
        <v>47309</v>
      </c>
      <c r="M7451" s="5" t="s">
        <v>47320</v>
      </c>
      <c r="N7451" s="7" t="s">
        <v>47321</v>
      </c>
      <c r="O7451" s="8" t="str">
        <f>HYPERLINK("https://drive.google.com/file/d/1XjUJTQH3ROS7uHTO_7G7Z_sezCReeJZV/view?usp=drivesdk","7450_KURNIAWAN AGUNG PRASETYO,S.Kep.Ns _ SERTIFIKAT BerAKHLAK")</f>
        <v>7450_KURNIAWAN AGUNG PRASETYO,S.Kep.Ns _ SERTIFIKAT BerAKHLAK</v>
      </c>
      <c r="P7451" s="5" t="s">
        <v>47322</v>
      </c>
    </row>
    <row r="7452">
      <c r="A7452" s="4">
        <v>45534.38227981482</v>
      </c>
      <c r="B7452" s="5" t="s">
        <v>34</v>
      </c>
      <c r="D7452" s="5" t="s">
        <v>12978</v>
      </c>
      <c r="E7452" s="5" t="s">
        <v>47323</v>
      </c>
      <c r="F7452" s="5" t="s">
        <v>212</v>
      </c>
      <c r="G7452" s="5" t="s">
        <v>47324</v>
      </c>
      <c r="H7452" s="6" t="s">
        <v>47325</v>
      </c>
      <c r="K7452" s="5" t="s">
        <v>47326</v>
      </c>
      <c r="M7452" s="5" t="s">
        <v>47327</v>
      </c>
      <c r="N7452" s="7" t="s">
        <v>47328</v>
      </c>
      <c r="O7452" s="8" t="str">
        <f>HYPERLINK("https://drive.google.com/file/d/1AGHDwjRhOfEpmCaVp6FHDyFchaBJQbuJ/view?usp=drivesdk","7451_JUNIARTI _ SERTIFIKAT BerAKHLAK")</f>
        <v>7451_JUNIARTI _ SERTIFIKAT BerAKHLAK</v>
      </c>
      <c r="P7452" s="5" t="s">
        <v>47322</v>
      </c>
    </row>
    <row r="7453">
      <c r="A7453" s="4">
        <v>45534.38228034722</v>
      </c>
      <c r="B7453" s="5" t="s">
        <v>34</v>
      </c>
      <c r="D7453" s="5" t="s">
        <v>9020</v>
      </c>
      <c r="E7453" s="5" t="s">
        <v>47329</v>
      </c>
      <c r="F7453" s="5" t="s">
        <v>37</v>
      </c>
      <c r="G7453" s="5" t="s">
        <v>47330</v>
      </c>
      <c r="H7453" s="6" t="s">
        <v>47331</v>
      </c>
      <c r="K7453" s="5" t="s">
        <v>47326</v>
      </c>
      <c r="M7453" s="5" t="s">
        <v>47332</v>
      </c>
      <c r="N7453" s="7" t="s">
        <v>47333</v>
      </c>
      <c r="O7453" s="8" t="str">
        <f>HYPERLINK("https://drive.google.com/file/d/1l6J9t3DazMeCtYWOcpuJLJ_KYBUpwsOn/view?usp=drivesdk","7452_ABD.RAHMAN _ SERTIFIKAT BerAKHLAK")</f>
        <v>7452_ABD.RAHMAN _ SERTIFIKAT BerAKHLAK</v>
      </c>
      <c r="P7453" s="5" t="s">
        <v>47322</v>
      </c>
    </row>
    <row r="7454" hidden="1">
      <c r="A7454" s="4">
        <v>45534.3822859838</v>
      </c>
      <c r="B7454" s="5" t="s">
        <v>19</v>
      </c>
      <c r="C7454" s="5" t="s">
        <v>466</v>
      </c>
      <c r="E7454" s="5" t="s">
        <v>47334</v>
      </c>
      <c r="F7454" s="5" t="s">
        <v>120</v>
      </c>
      <c r="G7454" s="5" t="s">
        <v>47335</v>
      </c>
      <c r="H7454" s="6" t="s">
        <v>47336</v>
      </c>
      <c r="K7454" s="5" t="s">
        <v>47326</v>
      </c>
      <c r="M7454" s="5" t="s">
        <v>47337</v>
      </c>
      <c r="N7454" s="7" t="s">
        <v>47338</v>
      </c>
      <c r="O7454" s="8" t="str">
        <f>HYPERLINK("https://drive.google.com/file/d/1tdvyDSptNAqQhBm5HypLa0wDtDTE-F8C/view?usp=drivesdk","7453_ERY KHAMASTA YUBIETTA S.Sos. _ SERTIFIKAT BerAKHLAK")</f>
        <v>7453_ERY KHAMASTA YUBIETTA S.Sos. _ SERTIFIKAT BerAKHLAK</v>
      </c>
      <c r="P7454" s="5" t="s">
        <v>47322</v>
      </c>
    </row>
    <row r="7455">
      <c r="A7455" s="4">
        <v>45534.38231100695</v>
      </c>
      <c r="B7455" s="5" t="s">
        <v>34</v>
      </c>
      <c r="D7455" s="5" t="s">
        <v>9020</v>
      </c>
      <c r="E7455" s="5" t="s">
        <v>47339</v>
      </c>
      <c r="F7455" s="5" t="s">
        <v>72</v>
      </c>
      <c r="G7455" s="5" t="s">
        <v>47340</v>
      </c>
      <c r="H7455" s="6" t="s">
        <v>47341</v>
      </c>
      <c r="K7455" s="5" t="s">
        <v>47342</v>
      </c>
      <c r="M7455" s="5" t="s">
        <v>47343</v>
      </c>
      <c r="N7455" s="7" t="s">
        <v>47344</v>
      </c>
      <c r="O7455" s="8" t="str">
        <f>HYPERLINK("https://drive.google.com/file/d/1zxykFfcXoGDG_ITPAJ_xqVuyRAcL3rgq/view?usp=drivesdk","7454_LASMA TAMBUNAN _ SERTIFIKAT BerAKHLAK")</f>
        <v>7454_LASMA TAMBUNAN _ SERTIFIKAT BerAKHLAK</v>
      </c>
      <c r="P7455" s="5" t="s">
        <v>47345</v>
      </c>
    </row>
    <row r="7456">
      <c r="A7456" s="4">
        <v>45534.38232020833</v>
      </c>
      <c r="B7456" s="5" t="s">
        <v>34</v>
      </c>
      <c r="D7456" s="5" t="s">
        <v>4775</v>
      </c>
      <c r="E7456" s="5" t="s">
        <v>47346</v>
      </c>
      <c r="F7456" s="5" t="s">
        <v>5859</v>
      </c>
      <c r="G7456" s="5" t="s">
        <v>47347</v>
      </c>
      <c r="H7456" s="6" t="s">
        <v>47348</v>
      </c>
      <c r="K7456" s="5" t="s">
        <v>47342</v>
      </c>
      <c r="M7456" s="5" t="s">
        <v>47349</v>
      </c>
      <c r="N7456" s="7" t="s">
        <v>47350</v>
      </c>
      <c r="O7456" s="8" t="str">
        <f>HYPERLINK("https://drive.google.com/file/d/1Wty6SNPUXiFOL5BzyRhfVbGB_-ANPhwo/view?usp=drivesdk","7455_ACHMAD MARDJUKI  _ SERTIFIKAT BerAKHLAK")</f>
        <v>7455_ACHMAD MARDJUKI  _ SERTIFIKAT BerAKHLAK</v>
      </c>
      <c r="P7456" s="5" t="s">
        <v>47345</v>
      </c>
    </row>
    <row r="7457" hidden="1">
      <c r="A7457" s="4">
        <v>45534.38233150463</v>
      </c>
      <c r="B7457" s="5" t="s">
        <v>19</v>
      </c>
      <c r="C7457" s="5" t="s">
        <v>45988</v>
      </c>
      <c r="E7457" s="5" t="s">
        <v>47351</v>
      </c>
      <c r="F7457" s="5" t="s">
        <v>108</v>
      </c>
      <c r="G7457" s="5" t="s">
        <v>47352</v>
      </c>
      <c r="H7457" s="6" t="s">
        <v>47353</v>
      </c>
      <c r="K7457" s="5" t="s">
        <v>47354</v>
      </c>
      <c r="M7457" s="5" t="s">
        <v>47355</v>
      </c>
      <c r="N7457" s="7" t="s">
        <v>47356</v>
      </c>
      <c r="O7457" s="8" t="str">
        <f>HYPERLINK("https://drive.google.com/file/d/1tXCIyinUTwIqR0Nb7Z_VYb6OVAMflnNE/view?usp=drivesdk","7456_HARYATI S.E. _ SERTIFIKAT BerAKHLAK")</f>
        <v>7456_HARYATI S.E. _ SERTIFIKAT BerAKHLAK</v>
      </c>
      <c r="P7457" s="5" t="s">
        <v>47345</v>
      </c>
    </row>
    <row r="7458">
      <c r="A7458" s="4">
        <v>45534.38234243056</v>
      </c>
      <c r="B7458" s="5" t="s">
        <v>34</v>
      </c>
      <c r="D7458" s="5" t="s">
        <v>522</v>
      </c>
      <c r="E7458" s="5" t="s">
        <v>47357</v>
      </c>
      <c r="F7458" s="5" t="s">
        <v>524</v>
      </c>
      <c r="G7458" s="5" t="s">
        <v>47358</v>
      </c>
      <c r="H7458" s="6" t="s">
        <v>47359</v>
      </c>
      <c r="K7458" s="5" t="s">
        <v>47354</v>
      </c>
      <c r="M7458" s="5" t="s">
        <v>47360</v>
      </c>
      <c r="N7458" s="7" t="s">
        <v>47361</v>
      </c>
      <c r="O7458" s="8" t="str">
        <f>HYPERLINK("https://drive.google.com/file/d/1kg2BoO_TNkfLpTi4Z5IzIn6P6ydhxYZE/view?usp=drivesdk","7457_BAIQ ISTIKAWATI _ SERTIFIKAT BerAKHLAK")</f>
        <v>7457_BAIQ ISTIKAWATI _ SERTIFIKAT BerAKHLAK</v>
      </c>
      <c r="P7458" s="5" t="s">
        <v>47345</v>
      </c>
    </row>
    <row r="7459">
      <c r="A7459" s="4">
        <v>45534.382357106486</v>
      </c>
      <c r="B7459" s="5" t="s">
        <v>34</v>
      </c>
      <c r="D7459" s="5" t="s">
        <v>1206</v>
      </c>
      <c r="E7459" s="5" t="s">
        <v>47362</v>
      </c>
      <c r="F7459" s="5" t="s">
        <v>524</v>
      </c>
      <c r="G7459" s="5" t="s">
        <v>47363</v>
      </c>
      <c r="H7459" s="6" t="s">
        <v>47364</v>
      </c>
      <c r="K7459" s="5" t="s">
        <v>47354</v>
      </c>
      <c r="M7459" s="5" t="s">
        <v>47365</v>
      </c>
      <c r="N7459" s="7" t="s">
        <v>47366</v>
      </c>
      <c r="O7459" s="8" t="str">
        <f>HYPERLINK("https://drive.google.com/file/d/19JPzr1x1RZ7vmig9QrVgw3LqVhx4M353/view?usp=drivesdk","7458_SUWITO AMD.KEP _ SERTIFIKAT BerAKHLAK")</f>
        <v>7458_SUWITO AMD.KEP _ SERTIFIKAT BerAKHLAK</v>
      </c>
      <c r="P7459" s="5" t="s">
        <v>47367</v>
      </c>
    </row>
    <row r="7460">
      <c r="A7460" s="4">
        <v>45534.38237141204</v>
      </c>
      <c r="B7460" s="5" t="s">
        <v>34</v>
      </c>
      <c r="D7460" s="5" t="s">
        <v>1558</v>
      </c>
      <c r="E7460" s="5" t="s">
        <v>47368</v>
      </c>
      <c r="F7460" s="5" t="s">
        <v>212</v>
      </c>
      <c r="G7460" s="5" t="s">
        <v>47369</v>
      </c>
      <c r="H7460" s="6" t="s">
        <v>47370</v>
      </c>
      <c r="K7460" s="5" t="s">
        <v>47371</v>
      </c>
      <c r="M7460" s="5" t="s">
        <v>47372</v>
      </c>
      <c r="N7460" s="7" t="s">
        <v>47373</v>
      </c>
      <c r="O7460" s="8" t="str">
        <f>HYPERLINK("https://drive.google.com/file/d/1kMxtsSnM_ET9nmQvnFH2eZmqF3-Gj3nd/view?usp=drivesdk","7459_ENDANG SRI WAHYUNI _ SERTIFIKAT BerAKHLAK")</f>
        <v>7459_ENDANG SRI WAHYUNI _ SERTIFIKAT BerAKHLAK</v>
      </c>
      <c r="P7460" s="5" t="s">
        <v>47367</v>
      </c>
    </row>
    <row r="7461">
      <c r="A7461" s="4">
        <v>45534.382402766205</v>
      </c>
      <c r="B7461" s="5" t="s">
        <v>34</v>
      </c>
      <c r="D7461" s="5" t="s">
        <v>1206</v>
      </c>
      <c r="E7461" s="5" t="s">
        <v>47374</v>
      </c>
      <c r="F7461" s="5" t="s">
        <v>212</v>
      </c>
      <c r="G7461" s="5" t="s">
        <v>47375</v>
      </c>
      <c r="H7461" s="6" t="s">
        <v>47376</v>
      </c>
      <c r="K7461" s="5" t="s">
        <v>47377</v>
      </c>
      <c r="M7461" s="5" t="s">
        <v>47378</v>
      </c>
      <c r="N7461" s="7" t="s">
        <v>47379</v>
      </c>
      <c r="O7461" s="8" t="str">
        <f>HYPERLINK("https://drive.google.com/file/d/1JpqpGqU9Kpgdw6OeZu0ONTP8bEpYrUvA/view?usp=drivesdk","7460_NONOK SUWIGNO _ SERTIFIKAT BerAKHLAK")</f>
        <v>7460_NONOK SUWIGNO _ SERTIFIKAT BerAKHLAK</v>
      </c>
      <c r="P7461" s="5" t="s">
        <v>47367</v>
      </c>
    </row>
    <row r="7462">
      <c r="A7462" s="4">
        <v>45534.3824071875</v>
      </c>
      <c r="B7462" s="5" t="s">
        <v>34</v>
      </c>
      <c r="D7462" s="5" t="s">
        <v>580</v>
      </c>
      <c r="E7462" s="5" t="s">
        <v>47380</v>
      </c>
      <c r="F7462" s="5" t="s">
        <v>212</v>
      </c>
      <c r="G7462" s="5" t="s">
        <v>47381</v>
      </c>
      <c r="H7462" s="6" t="s">
        <v>47382</v>
      </c>
      <c r="K7462" s="5" t="s">
        <v>47377</v>
      </c>
      <c r="M7462" s="5" t="s">
        <v>47383</v>
      </c>
      <c r="N7462" s="7" t="s">
        <v>47384</v>
      </c>
      <c r="O7462" s="8" t="str">
        <f>HYPERLINK("https://drive.google.com/file/d/17Ufje8DpAGYAl8FA5J5kvcg_0lJMX2aO/view?usp=drivesdk","7461_KADEK SUDARMA _ SERTIFIKAT BerAKHLAK")</f>
        <v>7461_KADEK SUDARMA _ SERTIFIKAT BerAKHLAK</v>
      </c>
      <c r="P7462" s="5" t="s">
        <v>47367</v>
      </c>
    </row>
    <row r="7463">
      <c r="A7463" s="4">
        <v>45534.38240984954</v>
      </c>
      <c r="B7463" s="5" t="s">
        <v>34</v>
      </c>
      <c r="D7463" s="5" t="s">
        <v>14424</v>
      </c>
      <c r="E7463" s="5" t="s">
        <v>47385</v>
      </c>
      <c r="F7463" s="5" t="s">
        <v>524</v>
      </c>
      <c r="G7463" s="5" t="s">
        <v>47386</v>
      </c>
      <c r="H7463" s="6" t="s">
        <v>47387</v>
      </c>
      <c r="K7463" s="5" t="s">
        <v>47377</v>
      </c>
      <c r="M7463" s="5" t="s">
        <v>47388</v>
      </c>
      <c r="N7463" s="7" t="s">
        <v>47389</v>
      </c>
      <c r="O7463" s="8" t="str">
        <f>HYPERLINK("https://drive.google.com/file/d/1EooAao-bXDkZ9HDGl3eecZCVq0QzqKyL/view?usp=drivesdk","7462_ZUL ULA, S.H. _ SERTIFIKAT BerAKHLAK")</f>
        <v>7462_ZUL ULA, S.H. _ SERTIFIKAT BerAKHLAK</v>
      </c>
      <c r="P7463" s="5" t="s">
        <v>47390</v>
      </c>
    </row>
    <row r="7464">
      <c r="A7464" s="4">
        <v>45534.38243578703</v>
      </c>
      <c r="B7464" s="5" t="s">
        <v>34</v>
      </c>
      <c r="D7464" s="5" t="s">
        <v>280</v>
      </c>
      <c r="E7464" s="5" t="s">
        <v>47391</v>
      </c>
      <c r="F7464" s="5" t="s">
        <v>37</v>
      </c>
      <c r="G7464" s="5" t="s">
        <v>47392</v>
      </c>
      <c r="H7464" s="6" t="s">
        <v>47393</v>
      </c>
      <c r="K7464" s="5" t="s">
        <v>47377</v>
      </c>
      <c r="M7464" s="5" t="s">
        <v>47394</v>
      </c>
      <c r="N7464" s="7" t="s">
        <v>47395</v>
      </c>
      <c r="O7464" s="8" t="str">
        <f>HYPERLINK("https://drive.google.com/file/d/1bLPKOqaMmqNrLeLnpLu-RL2yf59ts_0x/view?usp=drivesdk","7463_DEWI SRIHANDAYANI _ SERTIFIKAT BerAKHLAK")</f>
        <v>7463_DEWI SRIHANDAYANI _ SERTIFIKAT BerAKHLAK</v>
      </c>
      <c r="P7464" s="5" t="s">
        <v>47390</v>
      </c>
    </row>
    <row r="7465">
      <c r="A7465" s="4">
        <v>45534.38244796296</v>
      </c>
      <c r="B7465" s="5" t="s">
        <v>34</v>
      </c>
      <c r="D7465" s="5" t="s">
        <v>9020</v>
      </c>
      <c r="E7465" s="5" t="s">
        <v>47396</v>
      </c>
      <c r="F7465" s="5" t="s">
        <v>375</v>
      </c>
      <c r="G7465" s="5" t="s">
        <v>47397</v>
      </c>
      <c r="H7465" s="6" t="s">
        <v>47398</v>
      </c>
      <c r="K7465" s="5" t="s">
        <v>47377</v>
      </c>
      <c r="M7465" s="5" t="s">
        <v>47399</v>
      </c>
      <c r="N7465" s="7" t="s">
        <v>47400</v>
      </c>
      <c r="O7465" s="8" t="str">
        <f>HYPERLINK("https://drive.google.com/file/d/1aJ77uR6n23_G-MhSLW93jqnDvG9h-tqG/view?usp=drivesdk","7464_HEDDY SRI PURNAMA  MANULLANG _ SERTIFIKAT BerAKHLAK")</f>
        <v>7464_HEDDY SRI PURNAMA  MANULLANG _ SERTIFIKAT BerAKHLAK</v>
      </c>
      <c r="P7465" s="5" t="s">
        <v>47390</v>
      </c>
    </row>
    <row r="7466">
      <c r="A7466" s="4">
        <v>45534.38245534722</v>
      </c>
      <c r="B7466" s="5" t="s">
        <v>34</v>
      </c>
      <c r="D7466" s="5" t="s">
        <v>280</v>
      </c>
      <c r="E7466" s="5" t="s">
        <v>47401</v>
      </c>
      <c r="F7466" s="5" t="s">
        <v>37</v>
      </c>
      <c r="G7466" s="5" t="s">
        <v>47402</v>
      </c>
      <c r="H7466" s="6" t="s">
        <v>47403</v>
      </c>
      <c r="K7466" s="5" t="s">
        <v>47377</v>
      </c>
      <c r="M7466" s="5" t="s">
        <v>47404</v>
      </c>
      <c r="N7466" s="7" t="s">
        <v>47405</v>
      </c>
      <c r="O7466" s="8" t="str">
        <f>HYPERLINK("https://drive.google.com/file/d/1F-m7Ot6EdHL4yDldMZ33igRBCQlPOnPS/view?usp=drivesdk","7465_FACHRUR ROZI A.Md.T _ SERTIFIKAT BerAKHLAK")</f>
        <v>7465_FACHRUR ROZI A.Md.T _ SERTIFIKAT BerAKHLAK</v>
      </c>
      <c r="P7466" s="5" t="s">
        <v>47390</v>
      </c>
    </row>
    <row r="7467" hidden="1">
      <c r="A7467" s="4">
        <v>45534.38246826389</v>
      </c>
      <c r="B7467" s="5" t="s">
        <v>19</v>
      </c>
      <c r="C7467" s="5" t="s">
        <v>292</v>
      </c>
      <c r="E7467" s="5" t="s">
        <v>47406</v>
      </c>
      <c r="F7467" s="5" t="s">
        <v>375</v>
      </c>
      <c r="G7467" s="5" t="s">
        <v>47407</v>
      </c>
      <c r="H7467" s="6" t="s">
        <v>47408</v>
      </c>
      <c r="K7467" s="5" t="s">
        <v>47409</v>
      </c>
      <c r="M7467" s="5" t="s">
        <v>47410</v>
      </c>
      <c r="N7467" s="7" t="s">
        <v>47411</v>
      </c>
      <c r="O7467" s="8" t="str">
        <f>HYPERLINK("https://drive.google.com/file/d/1q36o_5v51Y-1egIK3px1SAXF6dB75zdg/view?usp=drivesdk","7466_ENDANG SUSILOWATI, S.Hum. _ SERTIFIKAT BerAKHLAK")</f>
        <v>7466_ENDANG SUSILOWATI, S.Hum. _ SERTIFIKAT BerAKHLAK</v>
      </c>
      <c r="P7467" s="5" t="s">
        <v>47390</v>
      </c>
    </row>
    <row r="7468">
      <c r="A7468" s="4">
        <v>45534.38249773148</v>
      </c>
      <c r="B7468" s="5" t="s">
        <v>34</v>
      </c>
      <c r="D7468" s="5" t="s">
        <v>1206</v>
      </c>
      <c r="E7468" s="5" t="s">
        <v>47412</v>
      </c>
      <c r="F7468" s="5" t="s">
        <v>375</v>
      </c>
      <c r="G7468" s="5" t="s">
        <v>47413</v>
      </c>
      <c r="H7468" s="6" t="s">
        <v>47414</v>
      </c>
      <c r="K7468" s="5" t="s">
        <v>47415</v>
      </c>
      <c r="M7468" s="5" t="s">
        <v>47416</v>
      </c>
      <c r="N7468" s="7" t="s">
        <v>47417</v>
      </c>
      <c r="O7468" s="8" t="str">
        <f>HYPERLINK("https://drive.google.com/file/d/1Xct1qM9r4JPrXQwq214-Bg5u9n8fQbhN/view?usp=drivesdk","7467_YULI RETNO UTAMI _ SERTIFIKAT BerAKHLAK")</f>
        <v>7467_YULI RETNO UTAMI _ SERTIFIKAT BerAKHLAK</v>
      </c>
      <c r="P7468" s="5" t="s">
        <v>47418</v>
      </c>
    </row>
    <row r="7469">
      <c r="A7469" s="4">
        <v>45534.38251418981</v>
      </c>
      <c r="B7469" s="5" t="s">
        <v>34</v>
      </c>
      <c r="D7469" s="5" t="s">
        <v>1206</v>
      </c>
      <c r="E7469" s="5" t="s">
        <v>47419</v>
      </c>
      <c r="F7469" s="5" t="s">
        <v>108</v>
      </c>
      <c r="G7469" s="5" t="s">
        <v>47420</v>
      </c>
      <c r="H7469" s="6" t="s">
        <v>47421</v>
      </c>
      <c r="K7469" s="5" t="s">
        <v>47415</v>
      </c>
      <c r="M7469" s="5" t="s">
        <v>47422</v>
      </c>
      <c r="N7469" s="7" t="s">
        <v>47423</v>
      </c>
      <c r="O7469" s="8" t="str">
        <f>HYPERLINK("https://drive.google.com/file/d/1njEqZzr2dDAzdDgdU9frAnC2ny678pyN/view?usp=drivesdk","7468_ENDANG PUJI ASTUTI, S.Tr.Keb _ SERTIFIKAT BerAKHLAK")</f>
        <v>7468_ENDANG PUJI ASTUTI, S.Tr.Keb _ SERTIFIKAT BerAKHLAK</v>
      </c>
      <c r="P7469" s="5" t="s">
        <v>47418</v>
      </c>
    </row>
    <row r="7470" hidden="1">
      <c r="A7470" s="4">
        <v>45534.38253174769</v>
      </c>
      <c r="B7470" s="5" t="s">
        <v>19</v>
      </c>
      <c r="C7470" s="5" t="s">
        <v>292</v>
      </c>
      <c r="E7470" s="5" t="s">
        <v>47424</v>
      </c>
      <c r="F7470" s="5" t="s">
        <v>328</v>
      </c>
      <c r="G7470" s="5" t="s">
        <v>47425</v>
      </c>
      <c r="H7470" s="6" t="s">
        <v>47426</v>
      </c>
      <c r="K7470" s="5" t="s">
        <v>47415</v>
      </c>
      <c r="M7470" s="5" t="s">
        <v>47427</v>
      </c>
      <c r="N7470" s="7" t="s">
        <v>47428</v>
      </c>
      <c r="O7470" s="8" t="str">
        <f>HYPERLINK("https://drive.google.com/file/d/1pZ1TJ-HLHzONJ026VBt1eb_VCBhZc1Tj/view?usp=drivesdk","7469_SISWOYO AJI _ SERTIFIKAT BerAKHLAK")</f>
        <v>7469_SISWOYO AJI _ SERTIFIKAT BerAKHLAK</v>
      </c>
      <c r="P7470" s="5" t="s">
        <v>47418</v>
      </c>
    </row>
    <row r="7471">
      <c r="A7471" s="4">
        <v>45534.382532986114</v>
      </c>
      <c r="B7471" s="5" t="s">
        <v>34</v>
      </c>
      <c r="D7471" s="5" t="s">
        <v>2903</v>
      </c>
      <c r="E7471" s="5" t="s">
        <v>47429</v>
      </c>
      <c r="F7471" s="5" t="s">
        <v>108</v>
      </c>
      <c r="G7471" s="5" t="s">
        <v>47430</v>
      </c>
      <c r="H7471" s="6" t="s">
        <v>47431</v>
      </c>
      <c r="K7471" s="5" t="s">
        <v>47415</v>
      </c>
      <c r="M7471" s="5" t="s">
        <v>47432</v>
      </c>
      <c r="N7471" s="7" t="s">
        <v>47433</v>
      </c>
      <c r="O7471" s="8" t="str">
        <f>HYPERLINK("https://drive.google.com/file/d/1dtwzdTYYU8-_y8VBxas4UBid2y0IGVn3/view?usp=drivesdk","7470_BAMBANG SISWOYO _ SERTIFIKAT BerAKHLAK")</f>
        <v>7470_BAMBANG SISWOYO _ SERTIFIKAT BerAKHLAK</v>
      </c>
      <c r="P7471" s="5" t="s">
        <v>47418</v>
      </c>
    </row>
    <row r="7472">
      <c r="A7472" s="4">
        <v>45534.38253792824</v>
      </c>
      <c r="B7472" s="5" t="s">
        <v>34</v>
      </c>
      <c r="D7472" s="5" t="s">
        <v>9020</v>
      </c>
      <c r="E7472" s="5" t="s">
        <v>47434</v>
      </c>
      <c r="F7472" s="5" t="s">
        <v>120</v>
      </c>
      <c r="G7472" s="5" t="s">
        <v>47435</v>
      </c>
      <c r="H7472" s="6" t="s">
        <v>47436</v>
      </c>
      <c r="K7472" s="5" t="s">
        <v>47415</v>
      </c>
      <c r="M7472" s="5" t="s">
        <v>47437</v>
      </c>
      <c r="N7472" s="7" t="s">
        <v>47438</v>
      </c>
      <c r="O7472" s="8" t="str">
        <f>HYPERLINK("https://drive.google.com/file/d/1Itrrh57qnLRMvD7tCkC3hyVoOKNxcWbx/view?usp=drivesdk","7471_PINONDANG NAINGGOLAN SE MM _ SERTIFIKAT BerAKHLAK")</f>
        <v>7471_PINONDANG NAINGGOLAN SE MM _ SERTIFIKAT BerAKHLAK</v>
      </c>
      <c r="P7472" s="5" t="s">
        <v>47418</v>
      </c>
    </row>
    <row r="7473">
      <c r="A7473" s="4">
        <v>45534.38254457176</v>
      </c>
      <c r="B7473" s="5" t="s">
        <v>34</v>
      </c>
      <c r="D7473" s="5" t="s">
        <v>1558</v>
      </c>
      <c r="E7473" s="5" t="s">
        <v>47439</v>
      </c>
      <c r="F7473" s="5" t="s">
        <v>212</v>
      </c>
      <c r="G7473" s="5" t="s">
        <v>47440</v>
      </c>
      <c r="H7473" s="6" t="s">
        <v>47441</v>
      </c>
      <c r="K7473" s="5" t="s">
        <v>47415</v>
      </c>
      <c r="M7473" s="5" t="s">
        <v>47442</v>
      </c>
      <c r="N7473" s="7" t="s">
        <v>47443</v>
      </c>
      <c r="O7473" s="8" t="str">
        <f>HYPERLINK("https://drive.google.com/file/d/140swzFDSv7mLlxWQT14YgmpL2I5BWvv4/view?usp=drivesdk","7472_SIGIT SETYO PURNOMO _ SERTIFIKAT BerAKHLAK")</f>
        <v>7472_SIGIT SETYO PURNOMO _ SERTIFIKAT BerAKHLAK</v>
      </c>
      <c r="P7473" s="5" t="s">
        <v>47444</v>
      </c>
    </row>
    <row r="7474" hidden="1">
      <c r="A7474" s="4">
        <v>45534.38254805555</v>
      </c>
      <c r="B7474" s="5" t="s">
        <v>19</v>
      </c>
      <c r="C7474" s="5" t="s">
        <v>45988</v>
      </c>
      <c r="E7474" s="5" t="s">
        <v>47445</v>
      </c>
      <c r="F7474" s="5" t="s">
        <v>375</v>
      </c>
      <c r="G7474" s="5" t="s">
        <v>47446</v>
      </c>
      <c r="H7474" s="6" t="s">
        <v>47447</v>
      </c>
      <c r="K7474" s="5" t="s">
        <v>47415</v>
      </c>
      <c r="M7474" s="5" t="s">
        <v>47448</v>
      </c>
      <c r="N7474" s="7" t="s">
        <v>47449</v>
      </c>
      <c r="O7474" s="8" t="str">
        <f>HYPERLINK("https://drive.google.com/file/d/1nj16NS7IMUknq4Rr9POdiggJ0EVK-Xlf/view?usp=drivesdk","7473_WIDIASTUTI, S.E. _ SERTIFIKAT BerAKHLAK")</f>
        <v>7473_WIDIASTUTI, S.E. _ SERTIFIKAT BerAKHLAK</v>
      </c>
      <c r="P7474" s="5" t="s">
        <v>47444</v>
      </c>
    </row>
    <row r="7475">
      <c r="A7475" s="4">
        <v>45534.38255925926</v>
      </c>
      <c r="B7475" s="5" t="s">
        <v>34</v>
      </c>
      <c r="D7475" s="5" t="s">
        <v>996</v>
      </c>
      <c r="E7475" s="5" t="s">
        <v>47450</v>
      </c>
      <c r="F7475" s="5" t="s">
        <v>212</v>
      </c>
      <c r="G7475" s="5" t="s">
        <v>47451</v>
      </c>
      <c r="H7475" s="6" t="s">
        <v>47452</v>
      </c>
      <c r="K7475" s="5" t="s">
        <v>47415</v>
      </c>
      <c r="M7475" s="5" t="s">
        <v>47453</v>
      </c>
      <c r="N7475" s="7" t="s">
        <v>47454</v>
      </c>
      <c r="O7475" s="8" t="str">
        <f>HYPERLINK("https://drive.google.com/file/d/16Xk2oemOzqQPgT3Zp6henwEvsU4PLs83/view?usp=drivesdk","7474_FAUZIAH, SE _ SERTIFIKAT BerAKHLAK")</f>
        <v>7474_FAUZIAH, SE _ SERTIFIKAT BerAKHLAK</v>
      </c>
      <c r="P7475" s="5" t="s">
        <v>47444</v>
      </c>
    </row>
    <row r="7476">
      <c r="A7476" s="4">
        <v>45534.38256438657</v>
      </c>
      <c r="B7476" s="5" t="s">
        <v>34</v>
      </c>
      <c r="D7476" s="5" t="s">
        <v>1206</v>
      </c>
      <c r="E7476" s="5" t="s">
        <v>47455</v>
      </c>
      <c r="F7476" s="5" t="s">
        <v>212</v>
      </c>
      <c r="G7476" s="5" t="s">
        <v>47456</v>
      </c>
      <c r="H7476" s="6" t="s">
        <v>47457</v>
      </c>
      <c r="K7476" s="5" t="s">
        <v>47415</v>
      </c>
      <c r="M7476" s="5" t="s">
        <v>47458</v>
      </c>
      <c r="N7476" s="7" t="s">
        <v>47459</v>
      </c>
      <c r="O7476" s="8" t="str">
        <f>HYPERLINK("https://drive.google.com/file/d/17_Y_bC0BKmB8NvNCqr79QdhhMFdeFc0n/view?usp=drivesdk","7475_LINASAROH S.Pd _ SERTIFIKAT BerAKHLAK")</f>
        <v>7475_LINASAROH S.Pd _ SERTIFIKAT BerAKHLAK</v>
      </c>
      <c r="P7476" s="5" t="s">
        <v>47444</v>
      </c>
    </row>
    <row r="7477">
      <c r="A7477" s="4">
        <v>45534.382567569446</v>
      </c>
      <c r="B7477" s="5" t="s">
        <v>34</v>
      </c>
      <c r="D7477" s="5" t="s">
        <v>10444</v>
      </c>
      <c r="E7477" s="5" t="s">
        <v>47460</v>
      </c>
      <c r="F7477" s="5" t="s">
        <v>715</v>
      </c>
      <c r="G7477" s="5" t="s">
        <v>47461</v>
      </c>
      <c r="H7477" s="6" t="s">
        <v>47462</v>
      </c>
      <c r="K7477" s="5" t="s">
        <v>47463</v>
      </c>
      <c r="M7477" s="5" t="s">
        <v>47464</v>
      </c>
      <c r="N7477" s="7" t="s">
        <v>47465</v>
      </c>
      <c r="O7477" s="8" t="str">
        <f>HYPERLINK("https://drive.google.com/file/d/11_KPtWQgoo7JLJqIYFRiHO-_1JwcjlFk/view?usp=drivesdk","7476_DAHLAN, S.H. _ SERTIFIKAT BerAKHLAK")</f>
        <v>7476_DAHLAN, S.H. _ SERTIFIKAT BerAKHLAK</v>
      </c>
      <c r="P7477" s="5" t="s">
        <v>47444</v>
      </c>
    </row>
    <row r="7478">
      <c r="A7478" s="4">
        <v>45534.38257972222</v>
      </c>
      <c r="B7478" s="5" t="s">
        <v>34</v>
      </c>
      <c r="D7478" s="5" t="s">
        <v>9020</v>
      </c>
      <c r="E7478" s="5" t="s">
        <v>47466</v>
      </c>
      <c r="F7478" s="5" t="s">
        <v>212</v>
      </c>
      <c r="G7478" s="5" t="s">
        <v>47467</v>
      </c>
      <c r="H7478" s="6" t="s">
        <v>47468</v>
      </c>
      <c r="K7478" s="5" t="s">
        <v>47463</v>
      </c>
      <c r="M7478" s="5" t="s">
        <v>47469</v>
      </c>
      <c r="N7478" s="7" t="s">
        <v>47470</v>
      </c>
      <c r="O7478" s="8" t="str">
        <f>HYPERLINK("https://drive.google.com/file/d/1Fk_KjUzGvdSqI-XpFFru6mDkWy3ab1ZF/view?usp=drivesdk","7477_SURYANAWATI, AMKEB _ SERTIFIKAT BerAKHLAK")</f>
        <v>7477_SURYANAWATI, AMKEB _ SERTIFIKAT BerAKHLAK</v>
      </c>
      <c r="P7478" s="5" t="s">
        <v>47471</v>
      </c>
    </row>
    <row r="7479">
      <c r="A7479" s="4">
        <v>45534.382581087964</v>
      </c>
      <c r="B7479" s="5" t="s">
        <v>34</v>
      </c>
      <c r="D7479" s="5" t="s">
        <v>1558</v>
      </c>
      <c r="E7479" s="5" t="s">
        <v>47472</v>
      </c>
      <c r="F7479" s="5" t="s">
        <v>108</v>
      </c>
      <c r="G7479" s="5" t="s">
        <v>47473</v>
      </c>
      <c r="H7479" s="6" t="s">
        <v>47474</v>
      </c>
      <c r="K7479" s="5" t="s">
        <v>47463</v>
      </c>
      <c r="M7479" s="5" t="s">
        <v>47475</v>
      </c>
      <c r="N7479" s="7" t="s">
        <v>47476</v>
      </c>
      <c r="O7479" s="8" t="str">
        <f>HYPERLINK("https://drive.google.com/file/d/1ry4tp9gzoBH2D854J6Rzfm30euBtTGfG/view?usp=drivesdk","7478_SHINTA ANGGRAINI, A.Md.Kep.  _ SERTIFIKAT BerAKHLAK")</f>
        <v>7478_SHINTA ANGGRAINI, A.Md.Kep.  _ SERTIFIKAT BerAKHLAK</v>
      </c>
      <c r="P7479" s="5" t="s">
        <v>47471</v>
      </c>
    </row>
    <row r="7480">
      <c r="A7480" s="4">
        <v>45534.38258358796</v>
      </c>
      <c r="B7480" s="5" t="s">
        <v>34</v>
      </c>
      <c r="D7480" s="5" t="s">
        <v>35</v>
      </c>
      <c r="E7480" s="5" t="s">
        <v>47477</v>
      </c>
      <c r="F7480" s="5" t="s">
        <v>524</v>
      </c>
      <c r="G7480" s="5" t="s">
        <v>47478</v>
      </c>
      <c r="H7480" s="6" t="s">
        <v>47479</v>
      </c>
      <c r="K7480" s="5" t="s">
        <v>47463</v>
      </c>
      <c r="M7480" s="5" t="s">
        <v>47480</v>
      </c>
      <c r="N7480" s="7" t="s">
        <v>47481</v>
      </c>
      <c r="O7480" s="8" t="str">
        <f>HYPERLINK("https://drive.google.com/file/d/1Q8jKtIirSh0pxknekpT9YIdyRoC90KOR/view?usp=drivesdk","7479_AGUNG SETIAWAN _ SERTIFIKAT BerAKHLAK")</f>
        <v>7479_AGUNG SETIAWAN _ SERTIFIKAT BerAKHLAK</v>
      </c>
      <c r="P7480" s="5" t="s">
        <v>47482</v>
      </c>
    </row>
    <row r="7481">
      <c r="A7481" s="4">
        <v>45534.382604074075</v>
      </c>
      <c r="B7481" s="5" t="s">
        <v>34</v>
      </c>
      <c r="D7481" s="5" t="s">
        <v>1206</v>
      </c>
      <c r="E7481" s="5" t="s">
        <v>47483</v>
      </c>
      <c r="F7481" s="5" t="s">
        <v>212</v>
      </c>
      <c r="G7481" s="5" t="s">
        <v>47484</v>
      </c>
      <c r="H7481" s="6" t="s">
        <v>47485</v>
      </c>
      <c r="K7481" s="5" t="s">
        <v>47486</v>
      </c>
      <c r="M7481" s="5" t="s">
        <v>47487</v>
      </c>
      <c r="N7481" s="7" t="s">
        <v>47488</v>
      </c>
      <c r="O7481" s="8" t="str">
        <f>HYPERLINK("https://drive.google.com/file/d/1j9C4VHTB1X8mqC2Qb14L9qb03WNdbpkh/view?usp=drivesdk","7480_OETARI SOEWARNI _ SERTIFIKAT BerAKHLAK")</f>
        <v>7480_OETARI SOEWARNI _ SERTIFIKAT BerAKHLAK</v>
      </c>
      <c r="P7481" s="5" t="s">
        <v>47482</v>
      </c>
    </row>
    <row r="7482" hidden="1">
      <c r="A7482" s="4">
        <v>45534.38261598379</v>
      </c>
      <c r="B7482" s="5" t="s">
        <v>19</v>
      </c>
      <c r="C7482" s="5" t="s">
        <v>5564</v>
      </c>
      <c r="E7482" s="5" t="s">
        <v>47489</v>
      </c>
      <c r="F7482" s="5" t="s">
        <v>120</v>
      </c>
      <c r="G7482" s="5" t="s">
        <v>47490</v>
      </c>
      <c r="H7482" s="6" t="s">
        <v>47491</v>
      </c>
      <c r="K7482" s="5" t="s">
        <v>47486</v>
      </c>
      <c r="M7482" s="5" t="s">
        <v>47492</v>
      </c>
      <c r="N7482" s="7" t="s">
        <v>47493</v>
      </c>
      <c r="O7482" s="8" t="str">
        <f>HYPERLINK("https://drive.google.com/file/d/1rQnj1LMr2soe2UfAOWGkSm25BODHkHYO/view?usp=drivesdk","7481_drh. JEANNI DUMAYANTI _ SERTIFIKAT BerAKHLAK")</f>
        <v>7481_drh. JEANNI DUMAYANTI _ SERTIFIKAT BerAKHLAK</v>
      </c>
      <c r="P7482" s="5" t="s">
        <v>47482</v>
      </c>
    </row>
    <row r="7483">
      <c r="A7483" s="4">
        <v>45534.38261966435</v>
      </c>
      <c r="B7483" s="5" t="s">
        <v>34</v>
      </c>
      <c r="D7483" s="5" t="s">
        <v>10444</v>
      </c>
      <c r="E7483" s="5" t="s">
        <v>47494</v>
      </c>
      <c r="F7483" s="5" t="s">
        <v>108</v>
      </c>
      <c r="G7483" s="5" t="s">
        <v>47495</v>
      </c>
      <c r="H7483" s="6" t="s">
        <v>47496</v>
      </c>
      <c r="K7483" s="5" t="s">
        <v>47486</v>
      </c>
      <c r="M7483" s="5" t="s">
        <v>47497</v>
      </c>
      <c r="N7483" s="7" t="s">
        <v>47498</v>
      </c>
      <c r="O7483" s="8" t="str">
        <f>HYPERLINK("https://drive.google.com/file/d/1vR4KG-Q5ubhxCoFfugimhvGCFyTTc_O7/view?usp=drivesdk","7482_dr.KUNAYAH _ SERTIFIKAT BerAKHLAK")</f>
        <v>7482_dr.KUNAYAH _ SERTIFIKAT BerAKHLAK</v>
      </c>
      <c r="P7483" s="5" t="s">
        <v>47499</v>
      </c>
    </row>
    <row r="7484">
      <c r="A7484" s="4">
        <v>45534.3826365162</v>
      </c>
      <c r="B7484" s="5" t="s">
        <v>34</v>
      </c>
      <c r="D7484" s="5" t="s">
        <v>1206</v>
      </c>
      <c r="E7484" s="5" t="s">
        <v>47500</v>
      </c>
      <c r="F7484" s="5" t="s">
        <v>212</v>
      </c>
      <c r="G7484" s="5" t="s">
        <v>47501</v>
      </c>
      <c r="H7484" s="6" t="s">
        <v>47502</v>
      </c>
      <c r="K7484" s="5" t="s">
        <v>47503</v>
      </c>
      <c r="M7484" s="5" t="s">
        <v>47504</v>
      </c>
      <c r="N7484" s="7" t="s">
        <v>47505</v>
      </c>
      <c r="O7484" s="8" t="str">
        <f>HYPERLINK("https://drive.google.com/file/d/1j7NdaULE0Grq2xAyomMCj3E0maeAM2os/view?usp=drivesdk","7483_SUPRIYONO _ SERTIFIKAT BerAKHLAK")</f>
        <v>7483_SUPRIYONO _ SERTIFIKAT BerAKHLAK</v>
      </c>
      <c r="P7484" s="5" t="s">
        <v>47506</v>
      </c>
    </row>
    <row r="7485">
      <c r="A7485" s="4">
        <v>45534.38263778936</v>
      </c>
      <c r="B7485" s="5" t="s">
        <v>34</v>
      </c>
      <c r="D7485" s="5" t="s">
        <v>14424</v>
      </c>
      <c r="E7485" s="5" t="s">
        <v>47507</v>
      </c>
      <c r="F7485" s="5" t="s">
        <v>524</v>
      </c>
      <c r="G7485" s="5" t="s">
        <v>47508</v>
      </c>
      <c r="H7485" s="6" t="s">
        <v>47509</v>
      </c>
      <c r="K7485" s="5" t="s">
        <v>47503</v>
      </c>
      <c r="M7485" s="5" t="s">
        <v>47510</v>
      </c>
      <c r="N7485" s="7" t="s">
        <v>47511</v>
      </c>
      <c r="O7485" s="8" t="str">
        <f>HYPERLINK("https://drive.google.com/file/d/1XBGOQL4nQOSBAj7_5cOXljtgwNc62eon/view?usp=drivesdk","7484_TUTI AGUSTINA, S.Tr.Keb _ SERTIFIKAT BerAKHLAK")</f>
        <v>7484_TUTI AGUSTINA, S.Tr.Keb _ SERTIFIKAT BerAKHLAK</v>
      </c>
      <c r="P7485" s="5" t="s">
        <v>47506</v>
      </c>
    </row>
    <row r="7486">
      <c r="A7486" s="4">
        <v>45534.38265621528</v>
      </c>
      <c r="B7486" s="5" t="s">
        <v>34</v>
      </c>
      <c r="D7486" s="5" t="s">
        <v>15401</v>
      </c>
      <c r="E7486" s="5" t="s">
        <v>47512</v>
      </c>
      <c r="F7486" s="5" t="s">
        <v>37</v>
      </c>
      <c r="G7486" s="5" t="s">
        <v>47513</v>
      </c>
      <c r="H7486" s="6" t="s">
        <v>47514</v>
      </c>
      <c r="K7486" s="5" t="s">
        <v>47503</v>
      </c>
      <c r="M7486" s="5" t="s">
        <v>47515</v>
      </c>
      <c r="N7486" s="7" t="s">
        <v>47516</v>
      </c>
      <c r="O7486" s="8" t="str">
        <f>HYPERLINK("https://drive.google.com/file/d/1lnpUU2oQEUJQLcDuk_WxkBnHpuWryxee/view?usp=drivesdk","7485_JASRI MALADJAI _ SERTIFIKAT BerAKHLAK")</f>
        <v>7485_JASRI MALADJAI _ SERTIFIKAT BerAKHLAK</v>
      </c>
      <c r="P7486" s="5" t="s">
        <v>47517</v>
      </c>
    </row>
    <row r="7487">
      <c r="A7487" s="4">
        <v>45534.382667199076</v>
      </c>
      <c r="B7487" s="5" t="s">
        <v>34</v>
      </c>
      <c r="D7487" s="5" t="s">
        <v>4775</v>
      </c>
      <c r="E7487" s="5" t="s">
        <v>47518</v>
      </c>
      <c r="F7487" s="5" t="s">
        <v>375</v>
      </c>
      <c r="G7487" s="5" t="s">
        <v>47519</v>
      </c>
      <c r="H7487" s="6" t="s">
        <v>47520</v>
      </c>
      <c r="K7487" s="5" t="s">
        <v>47503</v>
      </c>
      <c r="M7487" s="5" t="s">
        <v>47521</v>
      </c>
      <c r="N7487" s="7" t="s">
        <v>47522</v>
      </c>
      <c r="O7487" s="8" t="str">
        <f>HYPERLINK("https://drive.google.com/file/d/1oOXjtF_Y24DNhPU_olohPfsqCq_Dh0Tr/view?usp=drivesdk","7486_SYAMDARI WARSIANA _ SERTIFIKAT BerAKHLAK")</f>
        <v>7486_SYAMDARI WARSIANA _ SERTIFIKAT BerAKHLAK</v>
      </c>
      <c r="P7487" s="5" t="s">
        <v>47517</v>
      </c>
    </row>
    <row r="7488">
      <c r="A7488" s="4">
        <v>45534.38267202546</v>
      </c>
      <c r="B7488" s="5" t="s">
        <v>34</v>
      </c>
      <c r="D7488" s="5" t="s">
        <v>4775</v>
      </c>
      <c r="E7488" s="5" t="s">
        <v>47523</v>
      </c>
      <c r="F7488" s="5" t="s">
        <v>524</v>
      </c>
      <c r="G7488" s="5" t="s">
        <v>47524</v>
      </c>
      <c r="H7488" s="6" t="s">
        <v>47525</v>
      </c>
      <c r="K7488" s="5" t="s">
        <v>47503</v>
      </c>
      <c r="M7488" s="5" t="s">
        <v>47526</v>
      </c>
      <c r="N7488" s="7" t="s">
        <v>47527</v>
      </c>
      <c r="O7488" s="8" t="str">
        <f>HYPERLINK("https://drive.google.com/file/d/1ESBoOSC3GhZ7T4CycgQOUmCbkf_kT4Lp/view?usp=drivesdk","7487_FERRY VIERAWATI BUDHI PURNAMI, A.Md. _ SERTIFIKAT BerAKHLAK")</f>
        <v>7487_FERRY VIERAWATI BUDHI PURNAMI, A.Md. _ SERTIFIKAT BerAKHLAK</v>
      </c>
      <c r="P7488" s="5" t="s">
        <v>47517</v>
      </c>
    </row>
    <row r="7489" hidden="1">
      <c r="A7489" s="4">
        <v>45534.38268142361</v>
      </c>
      <c r="B7489" s="5" t="s">
        <v>19</v>
      </c>
      <c r="C7489" s="5" t="s">
        <v>32901</v>
      </c>
      <c r="E7489" s="5" t="s">
        <v>47528</v>
      </c>
      <c r="F7489" s="5" t="s">
        <v>798</v>
      </c>
      <c r="G7489" s="5" t="s">
        <v>47529</v>
      </c>
      <c r="H7489" s="6" t="s">
        <v>47530</v>
      </c>
      <c r="K7489" s="5" t="s">
        <v>47503</v>
      </c>
      <c r="M7489" s="5" t="s">
        <v>47531</v>
      </c>
      <c r="N7489" s="7" t="s">
        <v>47532</v>
      </c>
      <c r="O7489" s="8" t="str">
        <f>HYPERLINK("https://drive.google.com/file/d/1G8BjD80GxYA3CpR2Bs04PO4bT0HMXYl0/view?usp=drivesdk","7488_RENDI KELVINANDA, S.H  _ SERTIFIKAT BerAKHLAK")</f>
        <v>7488_RENDI KELVINANDA, S.H  _ SERTIFIKAT BerAKHLAK</v>
      </c>
      <c r="P7489" s="5" t="s">
        <v>47517</v>
      </c>
    </row>
    <row r="7490">
      <c r="A7490" s="4">
        <v>45534.38268618056</v>
      </c>
      <c r="B7490" s="5" t="s">
        <v>34</v>
      </c>
      <c r="D7490" s="5" t="s">
        <v>1206</v>
      </c>
      <c r="E7490" s="5" t="s">
        <v>47533</v>
      </c>
      <c r="F7490" s="5" t="s">
        <v>375</v>
      </c>
      <c r="G7490" s="5" t="s">
        <v>47534</v>
      </c>
      <c r="H7490" s="6" t="s">
        <v>47535</v>
      </c>
      <c r="K7490" s="5" t="s">
        <v>47503</v>
      </c>
      <c r="M7490" s="5" t="s">
        <v>47536</v>
      </c>
      <c r="N7490" s="7" t="s">
        <v>47537</v>
      </c>
      <c r="O7490" s="8" t="str">
        <f>HYPERLINK("https://drive.google.com/file/d/1W35PLLjkcTs4fJSuhOz_szZuSB3xhAtl/view?usp=drivesdk","7489_R. ANDHY WIRAWAN SUKMAJI, S.E. _ SERTIFIKAT BerAKHLAK")</f>
        <v>7489_R. ANDHY WIRAWAN SUKMAJI, S.E. _ SERTIFIKAT BerAKHLAK</v>
      </c>
      <c r="P7490" s="5" t="s">
        <v>47538</v>
      </c>
    </row>
    <row r="7491">
      <c r="A7491" s="4">
        <v>45534.38272695601</v>
      </c>
      <c r="B7491" s="5" t="s">
        <v>34</v>
      </c>
      <c r="D7491" s="5" t="s">
        <v>1558</v>
      </c>
      <c r="E7491" s="5" t="s">
        <v>47539</v>
      </c>
      <c r="F7491" s="5" t="s">
        <v>72</v>
      </c>
      <c r="G7491" s="5" t="s">
        <v>47540</v>
      </c>
      <c r="H7491" s="6" t="s">
        <v>47541</v>
      </c>
      <c r="K7491" s="5" t="s">
        <v>47542</v>
      </c>
      <c r="M7491" s="5" t="s">
        <v>47543</v>
      </c>
      <c r="N7491" s="7" t="s">
        <v>47544</v>
      </c>
      <c r="O7491" s="8" t="str">
        <f>HYPERLINK("https://drive.google.com/file/d/1gsibsgZnI65aXZS9DybQtv1L58faHX9b/view?usp=drivesdk","7490_DARULFALAKH _ SERTIFIKAT BerAKHLAK")</f>
        <v>7490_DARULFALAKH _ SERTIFIKAT BerAKHLAK</v>
      </c>
      <c r="P7491" s="5" t="s">
        <v>47538</v>
      </c>
    </row>
    <row r="7492">
      <c r="A7492" s="4">
        <v>45534.38273946759</v>
      </c>
      <c r="B7492" s="5" t="s">
        <v>34</v>
      </c>
      <c r="D7492" s="5" t="s">
        <v>1206</v>
      </c>
      <c r="E7492" s="5" t="s">
        <v>47545</v>
      </c>
      <c r="F7492" s="5" t="s">
        <v>37</v>
      </c>
      <c r="G7492" s="5" t="s">
        <v>47546</v>
      </c>
      <c r="H7492" s="6" t="s">
        <v>47547</v>
      </c>
      <c r="K7492" s="5" t="s">
        <v>47548</v>
      </c>
      <c r="M7492" s="5" t="s">
        <v>47549</v>
      </c>
      <c r="N7492" s="7" t="s">
        <v>47550</v>
      </c>
      <c r="O7492" s="8" t="str">
        <f>HYPERLINK("https://drive.google.com/file/d/1O5K7jVYEqmQtfahAtHMccNc0K2KCue80/view?usp=drivesdk","7491_SUGENG RAHMADI _ SERTIFIKAT BerAKHLAK")</f>
        <v>7491_SUGENG RAHMADI _ SERTIFIKAT BerAKHLAK</v>
      </c>
      <c r="P7492" s="5" t="s">
        <v>47538</v>
      </c>
    </row>
    <row r="7493">
      <c r="A7493" s="4">
        <v>45534.38274565972</v>
      </c>
      <c r="B7493" s="5" t="s">
        <v>34</v>
      </c>
      <c r="D7493" s="5" t="s">
        <v>522</v>
      </c>
      <c r="E7493" s="5" t="s">
        <v>47551</v>
      </c>
      <c r="F7493" s="5" t="s">
        <v>328</v>
      </c>
      <c r="G7493" s="5" t="s">
        <v>47552</v>
      </c>
      <c r="H7493" s="6" t="s">
        <v>47553</v>
      </c>
      <c r="K7493" s="5" t="s">
        <v>47554</v>
      </c>
      <c r="M7493" s="5" t="s">
        <v>47555</v>
      </c>
      <c r="N7493" s="7" t="s">
        <v>47556</v>
      </c>
      <c r="O7493" s="8" t="str">
        <f>HYPERLINK("https://drive.google.com/file/d/1827_bGnBrx9YzRNiwxcfTM_thk0RBj14/view?usp=drivesdk","7492_AYUB AYUB _ SERTIFIKAT BerAKHLAK")</f>
        <v>7492_AYUB AYUB _ SERTIFIKAT BerAKHLAK</v>
      </c>
      <c r="P7493" s="5" t="s">
        <v>47557</v>
      </c>
    </row>
    <row r="7494">
      <c r="A7494" s="4">
        <v>45534.38275333334</v>
      </c>
      <c r="B7494" s="5" t="s">
        <v>34</v>
      </c>
      <c r="D7494" s="5" t="s">
        <v>4775</v>
      </c>
      <c r="E7494" s="5" t="s">
        <v>24314</v>
      </c>
      <c r="F7494" s="5" t="s">
        <v>328</v>
      </c>
      <c r="G7494" s="5" t="s">
        <v>47558</v>
      </c>
      <c r="H7494" s="6" t="s">
        <v>47559</v>
      </c>
      <c r="K7494" s="5" t="s">
        <v>47554</v>
      </c>
      <c r="M7494" s="5" t="s">
        <v>47560</v>
      </c>
      <c r="N7494" s="7" t="s">
        <v>47561</v>
      </c>
      <c r="O7494" s="8" t="str">
        <f>HYPERLINK("https://drive.google.com/file/d/1ZjwK4RZeDGKttnq1YXpVxss9eGmRKeZE/view?usp=drivesdk","7493_SUBANDI _ SERTIFIKAT BerAKHLAK")</f>
        <v>7493_SUBANDI _ SERTIFIKAT BerAKHLAK</v>
      </c>
      <c r="P7494" s="5" t="s">
        <v>47557</v>
      </c>
    </row>
    <row r="7495">
      <c r="A7495" s="4">
        <v>45534.382756562496</v>
      </c>
      <c r="B7495" s="5" t="s">
        <v>34</v>
      </c>
      <c r="D7495" s="5" t="s">
        <v>1558</v>
      </c>
      <c r="E7495" s="5" t="s">
        <v>47562</v>
      </c>
      <c r="F7495" s="5" t="s">
        <v>212</v>
      </c>
      <c r="G7495" s="5" t="s">
        <v>47563</v>
      </c>
      <c r="H7495" s="6" t="s">
        <v>47564</v>
      </c>
      <c r="K7495" s="5" t="s">
        <v>47554</v>
      </c>
      <c r="M7495" s="5" t="s">
        <v>47565</v>
      </c>
      <c r="N7495" s="7" t="s">
        <v>47566</v>
      </c>
      <c r="O7495" s="8" t="str">
        <f>HYPERLINK("https://drive.google.com/file/d/1vq3No1q_jmL3u7ixIy3XPb4F8hgfoSEz/view?usp=drivesdk","7494_SUGIYARTI _ SERTIFIKAT BerAKHLAK")</f>
        <v>7494_SUGIYARTI _ SERTIFIKAT BerAKHLAK</v>
      </c>
      <c r="P7495" s="5" t="s">
        <v>47557</v>
      </c>
    </row>
    <row r="7496">
      <c r="A7496" s="4">
        <v>45534.38279314815</v>
      </c>
      <c r="B7496" s="5" t="s">
        <v>34</v>
      </c>
      <c r="D7496" s="5" t="s">
        <v>4775</v>
      </c>
      <c r="E7496" s="5" t="s">
        <v>47567</v>
      </c>
      <c r="F7496" s="5" t="s">
        <v>37</v>
      </c>
      <c r="G7496" s="5" t="s">
        <v>47568</v>
      </c>
      <c r="H7496" s="6" t="s">
        <v>47569</v>
      </c>
      <c r="K7496" s="5" t="s">
        <v>47554</v>
      </c>
      <c r="M7496" s="5" t="s">
        <v>47570</v>
      </c>
      <c r="N7496" s="7" t="s">
        <v>47571</v>
      </c>
      <c r="O7496" s="8" t="str">
        <f>HYPERLINK("https://drive.google.com/file/d/1-onlCs3c9SNqLATkjGKp6WEvMolRnVGM/view?usp=drivesdk","7495_LILIK EKO ASTUTI,Amd Keb _ SERTIFIKAT BerAKHLAK")</f>
        <v>7495_LILIK EKO ASTUTI,Amd Keb _ SERTIFIKAT BerAKHLAK</v>
      </c>
      <c r="P7496" s="5" t="s">
        <v>47557</v>
      </c>
    </row>
    <row r="7497">
      <c r="A7497" s="4">
        <v>45534.382798819446</v>
      </c>
      <c r="B7497" s="5" t="s">
        <v>34</v>
      </c>
      <c r="D7497" s="5" t="s">
        <v>1206</v>
      </c>
      <c r="E7497" s="5" t="s">
        <v>47572</v>
      </c>
      <c r="F7497" s="5" t="s">
        <v>37</v>
      </c>
      <c r="G7497" s="5" t="s">
        <v>47573</v>
      </c>
      <c r="H7497" s="6" t="s">
        <v>47574</v>
      </c>
      <c r="K7497" s="5" t="s">
        <v>47554</v>
      </c>
      <c r="M7497" s="5" t="s">
        <v>47575</v>
      </c>
      <c r="N7497" s="7" t="s">
        <v>47576</v>
      </c>
      <c r="O7497" s="8" t="str">
        <f>HYPERLINK("https://drive.google.com/file/d/1AtaleBzrDmqAp4Wp91-k2ExfWCAT9pLV/view?usp=drivesdk","7496_DIDIK DWI SOESANTO  _ SERTIFIKAT BerAKHLAK")</f>
        <v>7496_DIDIK DWI SOESANTO  _ SERTIFIKAT BerAKHLAK</v>
      </c>
      <c r="P7497" s="5" t="s">
        <v>47577</v>
      </c>
    </row>
    <row r="7498" hidden="1">
      <c r="A7498" s="4">
        <v>45534.38281178241</v>
      </c>
      <c r="B7498" s="5" t="s">
        <v>19</v>
      </c>
      <c r="C7498" s="5" t="s">
        <v>292</v>
      </c>
      <c r="E7498" s="5" t="s">
        <v>47578</v>
      </c>
      <c r="F7498" s="5" t="s">
        <v>6776</v>
      </c>
      <c r="G7498" s="5" t="s">
        <v>47579</v>
      </c>
      <c r="H7498" s="6" t="s">
        <v>47580</v>
      </c>
      <c r="K7498" s="5" t="s">
        <v>47581</v>
      </c>
      <c r="M7498" s="5" t="s">
        <v>47582</v>
      </c>
      <c r="N7498" s="7" t="s">
        <v>47583</v>
      </c>
      <c r="O7498" s="8" t="str">
        <f>HYPERLINK("https://drive.google.com/file/d/1Km36N2Mrl_0E1htA2WBLlv_AHU8ZTYK9/view?usp=drivesdk","7497_TASLIM ADIK _ SERTIFIKAT BerAKHLAK")</f>
        <v>7497_TASLIM ADIK _ SERTIFIKAT BerAKHLAK</v>
      </c>
      <c r="P7498" s="5" t="s">
        <v>47584</v>
      </c>
    </row>
    <row r="7499">
      <c r="A7499" s="4">
        <v>45534.38282215278</v>
      </c>
      <c r="B7499" s="5" t="s">
        <v>34</v>
      </c>
      <c r="D7499" s="5" t="s">
        <v>14424</v>
      </c>
      <c r="E7499" s="5" t="s">
        <v>47585</v>
      </c>
      <c r="F7499" s="5" t="s">
        <v>524</v>
      </c>
      <c r="G7499" s="5" t="s">
        <v>47586</v>
      </c>
      <c r="H7499" s="6" t="s">
        <v>47587</v>
      </c>
      <c r="K7499" s="5" t="s">
        <v>47581</v>
      </c>
      <c r="M7499" s="5" t="s">
        <v>47588</v>
      </c>
      <c r="N7499" s="7" t="s">
        <v>47589</v>
      </c>
      <c r="O7499" s="8" t="str">
        <f>HYPERLINK("https://drive.google.com/file/d/1XYw9BjyzW6ptLZDuDi92QXgxYi2ZxXdE/view?usp=drivesdk","7498_DEWI WAHYUNI, S.E _ SERTIFIKAT BerAKHLAK")</f>
        <v>7498_DEWI WAHYUNI, S.E _ SERTIFIKAT BerAKHLAK</v>
      </c>
      <c r="P7499" s="5" t="s">
        <v>47577</v>
      </c>
    </row>
    <row r="7500" hidden="1">
      <c r="A7500" s="4">
        <v>45534.3828234838</v>
      </c>
      <c r="B7500" s="5" t="s">
        <v>19</v>
      </c>
      <c r="C7500" s="5" t="s">
        <v>5564</v>
      </c>
      <c r="E7500" s="5" t="s">
        <v>47590</v>
      </c>
      <c r="F7500" s="5" t="s">
        <v>212</v>
      </c>
      <c r="G7500" s="5" t="s">
        <v>47591</v>
      </c>
      <c r="H7500" s="6" t="s">
        <v>47592</v>
      </c>
      <c r="K7500" s="5" t="s">
        <v>47581</v>
      </c>
      <c r="M7500" s="5" t="s">
        <v>47593</v>
      </c>
      <c r="N7500" s="7" t="s">
        <v>47594</v>
      </c>
      <c r="O7500" s="8" t="str">
        <f>HYPERLINK("https://drive.google.com/file/d/1CtxwMGJCGo9KtRmaZCyC0vTqYT5k9PIm/view?usp=drivesdk","7499_IRFAN KURNIA _ SERTIFIKAT BerAKHLAK")</f>
        <v>7499_IRFAN KURNIA _ SERTIFIKAT BerAKHLAK</v>
      </c>
      <c r="P7500" s="5" t="s">
        <v>47595</v>
      </c>
    </row>
    <row r="7501">
      <c r="A7501" s="4">
        <v>45534.38284361111</v>
      </c>
      <c r="B7501" s="5" t="s">
        <v>34</v>
      </c>
      <c r="D7501" s="5" t="s">
        <v>1206</v>
      </c>
      <c r="E7501" s="5" t="s">
        <v>47596</v>
      </c>
      <c r="F7501" s="5" t="s">
        <v>37</v>
      </c>
      <c r="G7501" s="5" t="s">
        <v>47597</v>
      </c>
      <c r="H7501" s="6" t="s">
        <v>47598</v>
      </c>
      <c r="K7501" s="5" t="s">
        <v>47599</v>
      </c>
      <c r="M7501" s="5" t="s">
        <v>47600</v>
      </c>
      <c r="N7501" s="7" t="s">
        <v>47601</v>
      </c>
      <c r="O7501" s="8" t="str">
        <f>HYPERLINK("https://drive.google.com/file/d/1drF3w9nzOKkd7InqGodJQLPBi1dfGHop/view?usp=drivesdk","7500_AGUNG DWI PRASETYO _ SERTIFIKAT BerAKHLAK")</f>
        <v>7500_AGUNG DWI PRASETYO _ SERTIFIKAT BerAKHLAK</v>
      </c>
      <c r="P7501" s="5" t="s">
        <v>47595</v>
      </c>
    </row>
    <row r="7502">
      <c r="A7502" s="4">
        <v>45534.38284681713</v>
      </c>
      <c r="B7502" s="5" t="s">
        <v>34</v>
      </c>
      <c r="D7502" s="5" t="s">
        <v>975</v>
      </c>
      <c r="E7502" s="5" t="s">
        <v>47602</v>
      </c>
      <c r="F7502" s="5" t="s">
        <v>37</v>
      </c>
      <c r="G7502" s="5" t="s">
        <v>47603</v>
      </c>
      <c r="H7502" s="6" t="s">
        <v>47604</v>
      </c>
      <c r="K7502" s="5" t="s">
        <v>47599</v>
      </c>
      <c r="M7502" s="5" t="s">
        <v>47605</v>
      </c>
      <c r="N7502" s="7" t="s">
        <v>47606</v>
      </c>
      <c r="O7502" s="8" t="str">
        <f>HYPERLINK("https://drive.google.com/file/d/1435UVj5ibG5cK57Uv9VlI8MRiDfoKeH0/view?usp=drivesdk","7501_JULITA BR. NAINGGOLAN, A.MD.KEB _ SERTIFIKAT BerAKHLAK")</f>
        <v>7501_JULITA BR. NAINGGOLAN, A.MD.KEB _ SERTIFIKAT BerAKHLAK</v>
      </c>
      <c r="P7502" s="5" t="s">
        <v>47595</v>
      </c>
    </row>
    <row r="7503">
      <c r="A7503" s="4">
        <v>45534.382854930554</v>
      </c>
      <c r="B7503" s="5" t="s">
        <v>34</v>
      </c>
      <c r="D7503" s="5" t="s">
        <v>2903</v>
      </c>
      <c r="E7503" s="5" t="s">
        <v>47607</v>
      </c>
      <c r="F7503" s="5" t="s">
        <v>37</v>
      </c>
      <c r="G7503" s="5" t="s">
        <v>47608</v>
      </c>
      <c r="H7503" s="6" t="s">
        <v>47609</v>
      </c>
      <c r="K7503" s="5" t="s">
        <v>47599</v>
      </c>
      <c r="M7503" s="5" t="s">
        <v>47610</v>
      </c>
      <c r="N7503" s="7" t="s">
        <v>47611</v>
      </c>
      <c r="O7503" s="8" t="str">
        <f>HYPERLINK("https://drive.google.com/file/d/1qoVJoJEPdxaJfs_qXyd0UYbSymwpHl2p/view?usp=drivesdk","7502_LUSIA, S. TP _ SERTIFIKAT BerAKHLAK")</f>
        <v>7502_LUSIA, S. TP _ SERTIFIKAT BerAKHLAK</v>
      </c>
      <c r="P7503" s="5" t="s">
        <v>47595</v>
      </c>
    </row>
    <row r="7504">
      <c r="A7504" s="4">
        <v>45534.38287596065</v>
      </c>
      <c r="B7504" s="5" t="s">
        <v>34</v>
      </c>
      <c r="D7504" s="5" t="s">
        <v>4775</v>
      </c>
      <c r="E7504" s="5" t="s">
        <v>47612</v>
      </c>
      <c r="F7504" s="5" t="s">
        <v>37</v>
      </c>
      <c r="G7504" s="5" t="s">
        <v>47613</v>
      </c>
      <c r="H7504" s="6" t="s">
        <v>47614</v>
      </c>
      <c r="K7504" s="5" t="s">
        <v>47615</v>
      </c>
      <c r="M7504" s="5" t="s">
        <v>47616</v>
      </c>
      <c r="N7504" s="7" t="s">
        <v>47617</v>
      </c>
      <c r="O7504" s="8" t="str">
        <f>HYPERLINK("https://drive.google.com/file/d/17fxYTnqcAN0jNablkfF93eM_qNFtFpbZ/view?usp=drivesdk","7503_KARYUDI  _ SERTIFIKAT BerAKHLAK")</f>
        <v>7503_KARYUDI  _ SERTIFIKAT BerAKHLAK</v>
      </c>
      <c r="P7504" s="5" t="s">
        <v>47618</v>
      </c>
    </row>
    <row r="7505">
      <c r="A7505" s="4">
        <v>45534.38288146991</v>
      </c>
      <c r="B7505" s="5" t="s">
        <v>34</v>
      </c>
      <c r="D7505" s="5" t="s">
        <v>9020</v>
      </c>
      <c r="E7505" s="5" t="s">
        <v>47619</v>
      </c>
      <c r="F7505" s="5" t="s">
        <v>212</v>
      </c>
      <c r="G7505" s="5" t="s">
        <v>47620</v>
      </c>
      <c r="H7505" s="6" t="s">
        <v>47621</v>
      </c>
      <c r="K7505" s="5" t="s">
        <v>47615</v>
      </c>
      <c r="M7505" s="5" t="s">
        <v>47622</v>
      </c>
      <c r="N7505" s="7" t="s">
        <v>47623</v>
      </c>
      <c r="O7505" s="8" t="str">
        <f>HYPERLINK("https://drive.google.com/file/d/1jQuW6UlLcQbULcHizzjr7DBLgifgQX0l/view?usp=drivesdk","7504_NURHALIJAH _ SERTIFIKAT BerAKHLAK")</f>
        <v>7504_NURHALIJAH _ SERTIFIKAT BerAKHLAK</v>
      </c>
      <c r="P7505" s="5" t="s">
        <v>47618</v>
      </c>
    </row>
    <row r="7506">
      <c r="A7506" s="4">
        <v>45534.38291717593</v>
      </c>
      <c r="B7506" s="5" t="s">
        <v>34</v>
      </c>
      <c r="D7506" s="5" t="s">
        <v>9020</v>
      </c>
      <c r="E7506" s="5" t="s">
        <v>47624</v>
      </c>
      <c r="F7506" s="5" t="s">
        <v>212</v>
      </c>
      <c r="G7506" s="5" t="s">
        <v>47625</v>
      </c>
      <c r="H7506" s="6" t="s">
        <v>47626</v>
      </c>
      <c r="K7506" s="5" t="s">
        <v>47627</v>
      </c>
      <c r="M7506" s="5" t="s">
        <v>47628</v>
      </c>
      <c r="N7506" s="7" t="s">
        <v>47629</v>
      </c>
      <c r="O7506" s="8" t="str">
        <f>HYPERLINK("https://drive.google.com/file/d/1HbN_gtinKbp0VeatRIneH0_j4chH541r/view?usp=drivesdk","7505_WARNETI _ SERTIFIKAT BerAKHLAK")</f>
        <v>7505_WARNETI _ SERTIFIKAT BerAKHLAK</v>
      </c>
      <c r="P7506" s="5" t="s">
        <v>47618</v>
      </c>
    </row>
    <row r="7507">
      <c r="A7507" s="4">
        <v>45534.38292244213</v>
      </c>
      <c r="B7507" s="5" t="s">
        <v>34</v>
      </c>
      <c r="D7507" s="5" t="s">
        <v>12978</v>
      </c>
      <c r="E7507" s="5" t="s">
        <v>47630</v>
      </c>
      <c r="F7507" s="5" t="s">
        <v>715</v>
      </c>
      <c r="G7507" s="5" t="s">
        <v>47631</v>
      </c>
      <c r="H7507" s="6" t="s">
        <v>47632</v>
      </c>
      <c r="K7507" s="5" t="s">
        <v>47627</v>
      </c>
      <c r="M7507" s="5" t="s">
        <v>47633</v>
      </c>
      <c r="N7507" s="7" t="s">
        <v>47634</v>
      </c>
      <c r="O7507" s="8" t="str">
        <f>HYPERLINK("https://drive.google.com/file/d/1Hr-m1_LAnIETpdlBYop1LO-swscpuZF3/view?usp=drivesdk","7506_RURI INDAH SARI _ SERTIFIKAT BerAKHLAK")</f>
        <v>7506_RURI INDAH SARI _ SERTIFIKAT BerAKHLAK</v>
      </c>
      <c r="P7507" s="5" t="s">
        <v>47618</v>
      </c>
    </row>
    <row r="7508">
      <c r="A7508" s="4">
        <v>45534.382936608796</v>
      </c>
      <c r="B7508" s="5" t="s">
        <v>34</v>
      </c>
      <c r="D7508" s="5" t="s">
        <v>1558</v>
      </c>
      <c r="E7508" s="5" t="s">
        <v>47635</v>
      </c>
      <c r="F7508" s="5" t="s">
        <v>212</v>
      </c>
      <c r="G7508" s="5" t="s">
        <v>47636</v>
      </c>
      <c r="H7508" s="6" t="s">
        <v>47637</v>
      </c>
      <c r="K7508" s="5" t="s">
        <v>47638</v>
      </c>
      <c r="M7508" s="5" t="s">
        <v>47639</v>
      </c>
      <c r="N7508" s="7" t="s">
        <v>47640</v>
      </c>
      <c r="O7508" s="8" t="str">
        <f>HYPERLINK("https://drive.google.com/file/d/15DSFhnUM6IvYPG0D4kSXjiPdGt9Jbo4x/view?usp=drivesdk","7507_LENY SUMARNI _ SERTIFIKAT BerAKHLAK")</f>
        <v>7507_LENY SUMARNI _ SERTIFIKAT BerAKHLAK</v>
      </c>
      <c r="P7508" s="5" t="s">
        <v>47641</v>
      </c>
    </row>
    <row r="7509">
      <c r="A7509" s="4">
        <v>45534.38295605324</v>
      </c>
      <c r="B7509" s="5" t="s">
        <v>34</v>
      </c>
      <c r="D7509" s="5" t="s">
        <v>1206</v>
      </c>
      <c r="E7509" s="5" t="s">
        <v>47642</v>
      </c>
      <c r="F7509" s="5" t="s">
        <v>37</v>
      </c>
      <c r="G7509" s="5" t="s">
        <v>47643</v>
      </c>
      <c r="H7509" s="6" t="s">
        <v>47644</v>
      </c>
      <c r="K7509" s="5" t="s">
        <v>47645</v>
      </c>
      <c r="M7509" s="5" t="s">
        <v>47646</v>
      </c>
      <c r="N7509" s="7" t="s">
        <v>47647</v>
      </c>
      <c r="O7509" s="8" t="str">
        <f>HYPERLINK("https://drive.google.com/file/d/1DMGdleCkAsfQ3kk8zNrUbQOPLmXgtZBv/view?usp=drivesdk","7508_ANGGIT BUDIONO _ SERTIFIKAT BerAKHLAK")</f>
        <v>7508_ANGGIT BUDIONO _ SERTIFIKAT BerAKHLAK</v>
      </c>
      <c r="P7509" s="5" t="s">
        <v>47641</v>
      </c>
    </row>
    <row r="7510">
      <c r="A7510" s="4">
        <v>45534.382958368056</v>
      </c>
      <c r="B7510" s="5" t="s">
        <v>34</v>
      </c>
      <c r="D7510" s="5" t="s">
        <v>522</v>
      </c>
      <c r="E7510" s="5" t="s">
        <v>47648</v>
      </c>
      <c r="F7510" s="5" t="s">
        <v>524</v>
      </c>
      <c r="G7510" s="5" t="s">
        <v>47649</v>
      </c>
      <c r="H7510" s="6" t="s">
        <v>47650</v>
      </c>
      <c r="K7510" s="5" t="s">
        <v>47645</v>
      </c>
      <c r="M7510" s="5" t="s">
        <v>47651</v>
      </c>
      <c r="N7510" s="7" t="s">
        <v>47652</v>
      </c>
      <c r="O7510" s="8" t="str">
        <f>HYPERLINK("https://drive.google.com/file/d/1TgT1Iyt7GvAWEsl-m5yhJTGb8xOXqNqv/view?usp=drivesdk","7509_MAHDAYULAEDA  _ SERTIFIKAT BerAKHLAK")</f>
        <v>7509_MAHDAYULAEDA  _ SERTIFIKAT BerAKHLAK</v>
      </c>
      <c r="P7510" s="5" t="s">
        <v>47641</v>
      </c>
    </row>
    <row r="7511">
      <c r="A7511" s="4">
        <v>45534.382967303245</v>
      </c>
      <c r="B7511" s="5" t="s">
        <v>34</v>
      </c>
      <c r="D7511" s="5" t="s">
        <v>11527</v>
      </c>
      <c r="E7511" s="5" t="s">
        <v>47653</v>
      </c>
      <c r="F7511" s="5" t="s">
        <v>524</v>
      </c>
      <c r="G7511" s="5" t="s">
        <v>47654</v>
      </c>
      <c r="H7511" s="6" t="s">
        <v>47655</v>
      </c>
      <c r="K7511" s="5" t="s">
        <v>47645</v>
      </c>
      <c r="M7511" s="5" t="s">
        <v>47656</v>
      </c>
      <c r="N7511" s="7" t="s">
        <v>47657</v>
      </c>
      <c r="O7511" s="8" t="str">
        <f>HYPERLINK("https://drive.google.com/file/d/11DLQqSHs0VdQ7B9i2tgs4b4rZ9-3sYx9/view?usp=drivesdk","7510_Novita Najoan Salung _ SERTIFIKAT BerAKHLAK")</f>
        <v>7510_Novita Najoan Salung _ SERTIFIKAT BerAKHLAK</v>
      </c>
      <c r="P7511" s="5" t="s">
        <v>47641</v>
      </c>
    </row>
    <row r="7512" hidden="1">
      <c r="A7512" s="4">
        <v>45534.38296982639</v>
      </c>
      <c r="B7512" s="5" t="s">
        <v>19</v>
      </c>
      <c r="C7512" s="5" t="s">
        <v>466</v>
      </c>
      <c r="E7512" s="5" t="s">
        <v>47658</v>
      </c>
      <c r="F7512" s="5" t="s">
        <v>375</v>
      </c>
      <c r="G7512" s="5" t="s">
        <v>47659</v>
      </c>
      <c r="H7512" s="6" t="s">
        <v>47660</v>
      </c>
      <c r="K7512" s="5" t="s">
        <v>47645</v>
      </c>
      <c r="M7512" s="5" t="s">
        <v>47661</v>
      </c>
      <c r="N7512" s="7" t="s">
        <v>47662</v>
      </c>
      <c r="O7512" s="8" t="str">
        <f>HYPERLINK("https://drive.google.com/file/d/1_8trZR4cZdk7hqx77mU2Sd8XEiv4fkoz/view?usp=drivesdk","7511_NOVI HANDAYANI _ SERTIFIKAT BerAKHLAK")</f>
        <v>7511_NOVI HANDAYANI _ SERTIFIKAT BerAKHLAK</v>
      </c>
      <c r="P7512" s="5" t="s">
        <v>47663</v>
      </c>
    </row>
    <row r="7513">
      <c r="A7513" s="4">
        <v>45534.38297226852</v>
      </c>
      <c r="B7513" s="5" t="s">
        <v>34</v>
      </c>
      <c r="D7513" s="5" t="s">
        <v>14424</v>
      </c>
      <c r="E7513" s="5" t="s">
        <v>47664</v>
      </c>
      <c r="F7513" s="5" t="s">
        <v>212</v>
      </c>
      <c r="G7513" s="5" t="s">
        <v>47665</v>
      </c>
      <c r="H7513" s="6" t="s">
        <v>47666</v>
      </c>
      <c r="K7513" s="5" t="s">
        <v>47645</v>
      </c>
      <c r="M7513" s="5" t="s">
        <v>47667</v>
      </c>
      <c r="N7513" s="7" t="s">
        <v>47668</v>
      </c>
      <c r="O7513" s="8" t="str">
        <f>HYPERLINK("https://drive.google.com/file/d/1jwOZ1Qc5TyrGtHLSfjqAS4rVbCZfgw8a/view?usp=drivesdk","7512_FARIAL _ SERTIFIKAT BerAKHLAK")</f>
        <v>7512_FARIAL _ SERTIFIKAT BerAKHLAK</v>
      </c>
      <c r="P7513" s="5" t="s">
        <v>47663</v>
      </c>
    </row>
    <row r="7514">
      <c r="A7514" s="4">
        <v>45534.382974085645</v>
      </c>
      <c r="B7514" s="5" t="s">
        <v>34</v>
      </c>
      <c r="D7514" s="5" t="s">
        <v>522</v>
      </c>
      <c r="E7514" s="5" t="s">
        <v>47669</v>
      </c>
      <c r="F7514" s="5" t="s">
        <v>120</v>
      </c>
      <c r="G7514" s="5" t="s">
        <v>47670</v>
      </c>
      <c r="H7514" s="6" t="s">
        <v>47671</v>
      </c>
      <c r="K7514" s="5" t="s">
        <v>47645</v>
      </c>
      <c r="M7514" s="5" t="s">
        <v>47672</v>
      </c>
      <c r="N7514" s="7" t="s">
        <v>47673</v>
      </c>
      <c r="O7514" s="8" t="str">
        <f>HYPERLINK("https://drive.google.com/file/d/13zySlP2TMeYwoLUgKvclVGP2rYRC3WDk/view?usp=drivesdk","7513_NI KOM THREE AYU JUNIARTINI SP, SAg _ SERTIFIKAT BerAKHLAK")</f>
        <v>7513_NI KOM THREE AYU JUNIARTINI SP, SAg _ SERTIFIKAT BerAKHLAK</v>
      </c>
      <c r="P7514" s="5" t="s">
        <v>47663</v>
      </c>
    </row>
    <row r="7515">
      <c r="A7515" s="4">
        <v>45534.38298328704</v>
      </c>
      <c r="B7515" s="5" t="s">
        <v>34</v>
      </c>
      <c r="D7515" s="5" t="s">
        <v>1206</v>
      </c>
      <c r="E7515" s="5" t="s">
        <v>47674</v>
      </c>
      <c r="F7515" s="5" t="s">
        <v>37</v>
      </c>
      <c r="G7515" s="5" t="s">
        <v>47675</v>
      </c>
      <c r="H7515" s="6" t="s">
        <v>47676</v>
      </c>
      <c r="K7515" s="5" t="s">
        <v>47645</v>
      </c>
      <c r="M7515" s="5" t="s">
        <v>47677</v>
      </c>
      <c r="N7515" s="7" t="s">
        <v>47678</v>
      </c>
      <c r="O7515" s="8" t="str">
        <f>HYPERLINK("https://drive.google.com/file/d/1M-412yhoSXrWMByH0Z_fabKY563lHi86/view?usp=drivesdk","7514_SODIQ PRANOTO  _ SERTIFIKAT BerAKHLAK")</f>
        <v>7514_SODIQ PRANOTO  _ SERTIFIKAT BerAKHLAK</v>
      </c>
      <c r="P7515" s="5" t="s">
        <v>47663</v>
      </c>
    </row>
    <row r="7516">
      <c r="A7516" s="4">
        <v>45534.383027592594</v>
      </c>
      <c r="B7516" s="5" t="s">
        <v>34</v>
      </c>
      <c r="D7516" s="5" t="s">
        <v>1558</v>
      </c>
      <c r="E7516" s="5" t="s">
        <v>47679</v>
      </c>
      <c r="F7516" s="5" t="s">
        <v>212</v>
      </c>
      <c r="G7516" s="5" t="s">
        <v>47680</v>
      </c>
      <c r="H7516" s="6" t="s">
        <v>47681</v>
      </c>
      <c r="K7516" s="5" t="s">
        <v>47682</v>
      </c>
      <c r="M7516" s="5" t="s">
        <v>47683</v>
      </c>
      <c r="N7516" s="7" t="s">
        <v>47684</v>
      </c>
      <c r="O7516" s="8" t="str">
        <f>HYPERLINK("https://drive.google.com/file/d/1N0Tixu7JJn2wOBogQYc-kk6J0ncv-IV7/view?usp=drivesdk","7515_ERNI SETIAWATI _ SERTIFIKAT BerAKHLAK")</f>
        <v>7515_ERNI SETIAWATI _ SERTIFIKAT BerAKHLAK</v>
      </c>
      <c r="P7516" s="5" t="s">
        <v>47685</v>
      </c>
    </row>
    <row r="7517">
      <c r="A7517" s="4">
        <v>45534.383034328705</v>
      </c>
      <c r="B7517" s="5" t="s">
        <v>34</v>
      </c>
      <c r="D7517" s="5" t="s">
        <v>10297</v>
      </c>
      <c r="E7517" s="5" t="s">
        <v>35254</v>
      </c>
      <c r="F7517" s="5" t="s">
        <v>37</v>
      </c>
      <c r="G7517" s="5" t="s">
        <v>47686</v>
      </c>
      <c r="H7517" s="6" t="s">
        <v>47687</v>
      </c>
      <c r="K7517" s="5" t="s">
        <v>47682</v>
      </c>
      <c r="M7517" s="5" t="s">
        <v>47688</v>
      </c>
      <c r="N7517" s="7" t="s">
        <v>47689</v>
      </c>
      <c r="O7517" s="8" t="str">
        <f>HYPERLINK("https://drive.google.com/file/d/1cUZlZifuJGVqbfQwo-AB8ZdsCS7VT1-3/view?usp=drivesdk","7516_SUHERMAN DG SITUJU KASO, A.MD.KOM. _ SERTIFIKAT BerAKHLAK")</f>
        <v>7516_SUHERMAN DG SITUJU KASO, A.MD.KOM. _ SERTIFIKAT BerAKHLAK</v>
      </c>
      <c r="P7517" s="5" t="s">
        <v>47685</v>
      </c>
    </row>
    <row r="7518">
      <c r="A7518" s="4">
        <v>45534.38305458333</v>
      </c>
      <c r="B7518" s="5" t="s">
        <v>34</v>
      </c>
      <c r="D7518" s="5" t="s">
        <v>2903</v>
      </c>
      <c r="E7518" s="5" t="s">
        <v>47690</v>
      </c>
      <c r="F7518" s="5" t="s">
        <v>85</v>
      </c>
      <c r="G7518" s="5" t="s">
        <v>47691</v>
      </c>
      <c r="H7518" s="6" t="s">
        <v>47692</v>
      </c>
      <c r="K7518" s="5" t="s">
        <v>47682</v>
      </c>
      <c r="M7518" s="5" t="s">
        <v>47693</v>
      </c>
      <c r="N7518" s="7" t="s">
        <v>47694</v>
      </c>
      <c r="O7518" s="8" t="str">
        <f>HYPERLINK("https://drive.google.com/file/d/1n3t7ZHZkZMBCmXm-BsYwTtaTVqt4xzHI/view?usp=drivesdk","7517_ADITYA CANDRA RONANDA _ SERTIFIKAT BerAKHLAK")</f>
        <v>7517_ADITYA CANDRA RONANDA _ SERTIFIKAT BerAKHLAK</v>
      </c>
      <c r="P7518" s="5" t="s">
        <v>47685</v>
      </c>
    </row>
    <row r="7519">
      <c r="A7519" s="4">
        <v>45534.38307190972</v>
      </c>
      <c r="B7519" s="5" t="s">
        <v>34</v>
      </c>
      <c r="D7519" s="5" t="s">
        <v>14424</v>
      </c>
      <c r="E7519" s="5" t="s">
        <v>47695</v>
      </c>
      <c r="F7519" s="5" t="s">
        <v>37</v>
      </c>
      <c r="G7519" s="5" t="s">
        <v>47696</v>
      </c>
      <c r="H7519" s="6" t="s">
        <v>47697</v>
      </c>
      <c r="K7519" s="5" t="s">
        <v>47698</v>
      </c>
      <c r="M7519" s="5" t="s">
        <v>47699</v>
      </c>
      <c r="N7519" s="7" t="s">
        <v>47700</v>
      </c>
      <c r="O7519" s="8" t="str">
        <f>HYPERLINK("https://drive.google.com/file/d/1E4DqEbQv5HpREenImktxBCABE71kqhfo/view?usp=drivesdk","7518_KHAFIFAH _ SERTIFIKAT BerAKHLAK")</f>
        <v>7518_KHAFIFAH _ SERTIFIKAT BerAKHLAK</v>
      </c>
      <c r="P7519" s="5" t="s">
        <v>47701</v>
      </c>
    </row>
    <row r="7520" hidden="1">
      <c r="A7520" s="4">
        <v>45534.38308201389</v>
      </c>
      <c r="B7520" s="5" t="s">
        <v>19</v>
      </c>
      <c r="C7520" s="5" t="s">
        <v>5564</v>
      </c>
      <c r="E7520" s="5" t="s">
        <v>47702</v>
      </c>
      <c r="F7520" s="5" t="s">
        <v>37</v>
      </c>
      <c r="G7520" s="5" t="s">
        <v>47703</v>
      </c>
      <c r="H7520" s="6" t="s">
        <v>47704</v>
      </c>
      <c r="K7520" s="5" t="s">
        <v>47698</v>
      </c>
      <c r="M7520" s="5" t="s">
        <v>47705</v>
      </c>
      <c r="N7520" s="7" t="s">
        <v>47706</v>
      </c>
      <c r="O7520" s="8" t="str">
        <f>HYPERLINK("https://drive.google.com/file/d/1dwg8wc7bklK0YhIMV-vdzBgvsEWoW1Hn/view?usp=drivesdk","7519_RAMDANI TAHER _ SERTIFIKAT BerAKHLAK")</f>
        <v>7519_RAMDANI TAHER _ SERTIFIKAT BerAKHLAK</v>
      </c>
      <c r="P7520" s="5" t="s">
        <v>47707</v>
      </c>
    </row>
    <row r="7521">
      <c r="A7521" s="4">
        <v>45534.38308530093</v>
      </c>
      <c r="B7521" s="5" t="s">
        <v>34</v>
      </c>
      <c r="D7521" s="5" t="s">
        <v>1558</v>
      </c>
      <c r="E7521" s="5" t="s">
        <v>47708</v>
      </c>
      <c r="F7521" s="5" t="s">
        <v>72</v>
      </c>
      <c r="G7521" s="5" t="s">
        <v>47709</v>
      </c>
      <c r="H7521" s="6" t="s">
        <v>47710</v>
      </c>
      <c r="K7521" s="5" t="s">
        <v>47698</v>
      </c>
      <c r="M7521" s="5" t="s">
        <v>47711</v>
      </c>
      <c r="N7521" s="7" t="s">
        <v>47712</v>
      </c>
      <c r="O7521" s="8" t="str">
        <f>HYPERLINK("https://drive.google.com/file/d/1t6eHTHDryfpHc6eX5AsyEHPCEGQMC8pX/view?usp=drivesdk","7520_GATOT PRIYADI _ SERTIFIKAT BerAKHLAK")</f>
        <v>7520_GATOT PRIYADI _ SERTIFIKAT BerAKHLAK</v>
      </c>
      <c r="P7521" s="5" t="s">
        <v>47707</v>
      </c>
    </row>
    <row r="7522">
      <c r="A7522" s="4">
        <v>45534.383165879626</v>
      </c>
      <c r="B7522" s="5" t="s">
        <v>34</v>
      </c>
      <c r="D7522" s="5" t="s">
        <v>9020</v>
      </c>
      <c r="E7522" s="5" t="s">
        <v>47713</v>
      </c>
      <c r="F7522" s="5" t="s">
        <v>212</v>
      </c>
      <c r="G7522" s="5" t="s">
        <v>47714</v>
      </c>
      <c r="H7522" s="6" t="s">
        <v>47715</v>
      </c>
      <c r="K7522" s="5" t="s">
        <v>47716</v>
      </c>
      <c r="M7522" s="5" t="s">
        <v>47717</v>
      </c>
      <c r="N7522" s="7" t="s">
        <v>47718</v>
      </c>
      <c r="O7522" s="8" t="str">
        <f>HYPERLINK("https://drive.google.com/file/d/1-uc_5WmZ19w70CFDF2m0gf7EkOdA5EVw/view?usp=drivesdk","7521_ROSITA _ SERTIFIKAT BerAKHLAK")</f>
        <v>7521_ROSITA _ SERTIFIKAT BerAKHLAK</v>
      </c>
      <c r="P7522" s="5" t="s">
        <v>47707</v>
      </c>
    </row>
    <row r="7523">
      <c r="A7523" s="4">
        <v>45534.38317173611</v>
      </c>
      <c r="B7523" s="5" t="s">
        <v>34</v>
      </c>
      <c r="D7523" s="5" t="s">
        <v>1558</v>
      </c>
      <c r="E7523" s="5" t="s">
        <v>47719</v>
      </c>
      <c r="F7523" s="5" t="s">
        <v>212</v>
      </c>
      <c r="G7523" s="5" t="s">
        <v>47720</v>
      </c>
      <c r="H7523" s="6" t="s">
        <v>47721</v>
      </c>
      <c r="K7523" s="5" t="s">
        <v>47722</v>
      </c>
      <c r="M7523" s="5" t="s">
        <v>47723</v>
      </c>
      <c r="N7523" s="7" t="s">
        <v>47724</v>
      </c>
      <c r="O7523" s="8" t="str">
        <f>HYPERLINK("https://drive.google.com/file/d/1hsVR7X1fAS-xZ7Jg15B8UIm4lAaMFXKR/view?usp=drivesdk","7522_RONY MARLIANTO _ SERTIFIKAT BerAKHLAK")</f>
        <v>7522_RONY MARLIANTO _ SERTIFIKAT BerAKHLAK</v>
      </c>
      <c r="P7523" s="5" t="s">
        <v>47707</v>
      </c>
    </row>
    <row r="7524">
      <c r="A7524" s="4">
        <v>45534.38319021991</v>
      </c>
      <c r="B7524" s="5" t="s">
        <v>34</v>
      </c>
      <c r="D7524" s="5" t="s">
        <v>14313</v>
      </c>
      <c r="E7524" s="5" t="s">
        <v>47725</v>
      </c>
      <c r="F7524" s="5" t="s">
        <v>212</v>
      </c>
      <c r="G7524" s="5" t="s">
        <v>47726</v>
      </c>
      <c r="H7524" s="6" t="s">
        <v>47727</v>
      </c>
      <c r="K7524" s="5" t="s">
        <v>47722</v>
      </c>
      <c r="M7524" s="5" t="s">
        <v>47728</v>
      </c>
      <c r="N7524" s="7" t="s">
        <v>47729</v>
      </c>
      <c r="O7524" s="8" t="str">
        <f>HYPERLINK("https://drive.google.com/file/d/1hAi1zfrHOh85B-szjMRVwRdRSUfC4jBB/view?usp=drivesdk","7523_NORMAWATI _ SERTIFIKAT BerAKHLAK")</f>
        <v>7523_NORMAWATI _ SERTIFIKAT BerAKHLAK</v>
      </c>
      <c r="P7524" s="5" t="s">
        <v>47707</v>
      </c>
    </row>
    <row r="7525">
      <c r="A7525" s="4">
        <v>45534.38320001157</v>
      </c>
      <c r="B7525" s="5" t="s">
        <v>34</v>
      </c>
      <c r="D7525" s="5" t="s">
        <v>4775</v>
      </c>
      <c r="E7525" s="5" t="s">
        <v>47730</v>
      </c>
      <c r="F7525" s="5" t="s">
        <v>375</v>
      </c>
      <c r="G7525" s="5" t="s">
        <v>47731</v>
      </c>
      <c r="H7525" s="6" t="s">
        <v>47732</v>
      </c>
      <c r="K7525" s="5" t="s">
        <v>47722</v>
      </c>
      <c r="M7525" s="5" t="s">
        <v>47733</v>
      </c>
      <c r="N7525" s="7" t="s">
        <v>47734</v>
      </c>
      <c r="O7525" s="8" t="str">
        <f>HYPERLINK("https://drive.google.com/file/d/1r_ygPC3XxW5VOC0Z3Q4RbKSU5rDv6bQA/view?usp=drivesdk","7524_DIANA YANTI, S.KOM. _ SERTIFIKAT BerAKHLAK")</f>
        <v>7524_DIANA YANTI, S.KOM. _ SERTIFIKAT BerAKHLAK</v>
      </c>
      <c r="P7525" s="5" t="s">
        <v>47735</v>
      </c>
    </row>
    <row r="7526">
      <c r="A7526" s="4">
        <v>45534.383205879625</v>
      </c>
      <c r="B7526" s="5" t="s">
        <v>34</v>
      </c>
      <c r="D7526" s="5" t="s">
        <v>10444</v>
      </c>
      <c r="E7526" s="5" t="s">
        <v>47736</v>
      </c>
      <c r="F7526" s="5" t="s">
        <v>375</v>
      </c>
      <c r="G7526" s="5" t="s">
        <v>47737</v>
      </c>
      <c r="H7526" s="6" t="s">
        <v>47738</v>
      </c>
      <c r="K7526" s="5" t="s">
        <v>47722</v>
      </c>
      <c r="M7526" s="5" t="s">
        <v>47739</v>
      </c>
      <c r="N7526" s="7" t="s">
        <v>47740</v>
      </c>
      <c r="O7526" s="8" t="str">
        <f>HYPERLINK("https://drive.google.com/file/d/1qVarAQtZHHprK0bOvg5SxOktY2hvU5Hi/view?usp=drivesdk","7525_ADANG, S.E _ SERTIFIKAT BerAKHLAK")</f>
        <v>7525_ADANG, S.E _ SERTIFIKAT BerAKHLAK</v>
      </c>
      <c r="P7526" s="5" t="s">
        <v>47735</v>
      </c>
    </row>
    <row r="7527">
      <c r="A7527" s="4">
        <v>45534.38321932871</v>
      </c>
      <c r="B7527" s="5" t="s">
        <v>34</v>
      </c>
      <c r="D7527" s="5" t="s">
        <v>1206</v>
      </c>
      <c r="E7527" s="5" t="s">
        <v>47741</v>
      </c>
      <c r="F7527" s="5" t="s">
        <v>72</v>
      </c>
      <c r="G7527" s="5" t="s">
        <v>47742</v>
      </c>
      <c r="H7527" s="6" t="s">
        <v>47743</v>
      </c>
      <c r="K7527" s="5" t="s">
        <v>47744</v>
      </c>
      <c r="M7527" s="5" t="s">
        <v>47745</v>
      </c>
      <c r="N7527" s="7" t="s">
        <v>47746</v>
      </c>
      <c r="O7527" s="8" t="str">
        <f>HYPERLINK("https://drive.google.com/file/d/1_nEioXXdfGN62OpyPpbhWDoSgvhPKse3/view?usp=drivesdk","7526_IKA PURWATININGSIH _ SERTIFIKAT BerAKHLAK")</f>
        <v>7526_IKA PURWATININGSIH _ SERTIFIKAT BerAKHLAK</v>
      </c>
      <c r="P7527" s="5" t="s">
        <v>47735</v>
      </c>
    </row>
    <row r="7528" hidden="1">
      <c r="A7528" s="4">
        <v>45534.38324756944</v>
      </c>
      <c r="B7528" s="5" t="s">
        <v>19</v>
      </c>
      <c r="C7528" s="5" t="s">
        <v>292</v>
      </c>
      <c r="E7528" s="5" t="s">
        <v>47747</v>
      </c>
      <c r="F7528" s="5" t="s">
        <v>37</v>
      </c>
      <c r="G7528" s="5" t="s">
        <v>47748</v>
      </c>
      <c r="H7528" s="6" t="s">
        <v>47749</v>
      </c>
      <c r="K7528" s="5" t="s">
        <v>47750</v>
      </c>
      <c r="M7528" s="5" t="s">
        <v>47751</v>
      </c>
      <c r="N7528" s="7" t="s">
        <v>47752</v>
      </c>
      <c r="O7528" s="8" t="str">
        <f>HYPERLINK("https://drive.google.com/file/d/1EpGywOzihMhCOsV_YPIoRRdD49Qb6ERy/view?usp=drivesdk","7527_Almira Dwiasri, A. Md. Gz _ SERTIFIKAT BerAKHLAK")</f>
        <v>7527_Almira Dwiasri, A. Md. Gz _ SERTIFIKAT BerAKHLAK</v>
      </c>
      <c r="P7528" s="5" t="s">
        <v>47735</v>
      </c>
    </row>
    <row r="7529" hidden="1">
      <c r="A7529" s="4">
        <v>45534.383248831014</v>
      </c>
      <c r="B7529" s="5" t="s">
        <v>19</v>
      </c>
      <c r="C7529" s="5" t="s">
        <v>292</v>
      </c>
      <c r="E7529" s="5" t="s">
        <v>47753</v>
      </c>
      <c r="F7529" s="5" t="s">
        <v>22</v>
      </c>
      <c r="G7529" s="5" t="s">
        <v>47754</v>
      </c>
      <c r="H7529" s="6" t="s">
        <v>47755</v>
      </c>
      <c r="K7529" s="5" t="s">
        <v>47750</v>
      </c>
      <c r="M7529" s="5" t="s">
        <v>47756</v>
      </c>
      <c r="N7529" s="7" t="s">
        <v>47757</v>
      </c>
      <c r="O7529" s="8" t="str">
        <f>HYPERLINK("https://drive.google.com/file/d/16BZy1vaNz9nDAkbAyAxSbbL_s_mMoKs2/view?usp=drivesdk","7528_DEBBY YULIANA ROMPAS, M.Pd. _ SERTIFIKAT BerAKHLAK")</f>
        <v>7528_DEBBY YULIANA ROMPAS, M.Pd. _ SERTIFIKAT BerAKHLAK</v>
      </c>
      <c r="P7529" s="5" t="s">
        <v>47758</v>
      </c>
    </row>
    <row r="7530">
      <c r="A7530" s="4">
        <v>45534.38325796297</v>
      </c>
      <c r="B7530" s="5" t="s">
        <v>34</v>
      </c>
      <c r="D7530" s="5" t="s">
        <v>1206</v>
      </c>
      <c r="E7530" s="5" t="s">
        <v>47759</v>
      </c>
      <c r="F7530" s="5" t="s">
        <v>37</v>
      </c>
      <c r="G7530" s="5" t="s">
        <v>47760</v>
      </c>
      <c r="H7530" s="6" t="s">
        <v>47761</v>
      </c>
      <c r="K7530" s="5" t="s">
        <v>47750</v>
      </c>
      <c r="M7530" s="5" t="s">
        <v>47762</v>
      </c>
      <c r="N7530" s="7" t="s">
        <v>47763</v>
      </c>
      <c r="O7530" s="8" t="str">
        <f>HYPERLINK("https://drive.google.com/file/d/1GYcQ11M4CmYe4zZvXwaCYArd-IBDmp0F/view?usp=drivesdk","7529_YAYUK HARRI KRISTANTI _ SERTIFIKAT BerAKHLAK")</f>
        <v>7529_YAYUK HARRI KRISTANTI _ SERTIFIKAT BerAKHLAK</v>
      </c>
      <c r="P7530" s="5" t="s">
        <v>47758</v>
      </c>
    </row>
    <row r="7531" hidden="1">
      <c r="A7531" s="4">
        <v>45534.38330944444</v>
      </c>
      <c r="B7531" s="5" t="s">
        <v>19</v>
      </c>
      <c r="C7531" s="5" t="s">
        <v>83</v>
      </c>
      <c r="E7531" s="5" t="s">
        <v>47764</v>
      </c>
      <c r="F7531" s="5" t="s">
        <v>22</v>
      </c>
      <c r="G7531" s="5" t="s">
        <v>47765</v>
      </c>
      <c r="H7531" s="6" t="s">
        <v>47766</v>
      </c>
      <c r="K7531" s="5" t="s">
        <v>47767</v>
      </c>
      <c r="M7531" s="5" t="s">
        <v>47768</v>
      </c>
      <c r="N7531" s="7" t="s">
        <v>47769</v>
      </c>
      <c r="O7531" s="8" t="str">
        <f>HYPERLINK("https://drive.google.com/file/d/1sn86H3eNCRXVu6g7VUTfPkE3QwzMItl0/view?usp=drivesdk","7530_Ahmad Munif, SH. M.Si. _ SERTIFIKAT BerAKHLAK")</f>
        <v>7530_Ahmad Munif, SH. M.Si. _ SERTIFIKAT BerAKHLAK</v>
      </c>
      <c r="P7531" s="5" t="s">
        <v>47758</v>
      </c>
    </row>
    <row r="7532">
      <c r="A7532" s="4">
        <v>45534.38334284722</v>
      </c>
      <c r="B7532" s="5" t="s">
        <v>34</v>
      </c>
      <c r="D7532" s="5" t="s">
        <v>1206</v>
      </c>
      <c r="E7532" s="5" t="s">
        <v>47770</v>
      </c>
      <c r="F7532" s="5" t="s">
        <v>328</v>
      </c>
      <c r="G7532" s="5" t="s">
        <v>47771</v>
      </c>
      <c r="H7532" s="6" t="s">
        <v>47772</v>
      </c>
      <c r="K7532" s="5" t="s">
        <v>47773</v>
      </c>
      <c r="M7532" s="5" t="s">
        <v>47774</v>
      </c>
      <c r="N7532" s="7" t="s">
        <v>47775</v>
      </c>
      <c r="O7532" s="8" t="str">
        <f>HYPERLINK("https://drive.google.com/file/d/1bGqEKBxm2LRSVxxd4bQ03ijEh2_7oy-8/view?usp=drivesdk","7531_SUROSO _ SERTIFIKAT BerAKHLAK")</f>
        <v>7531_SUROSO _ SERTIFIKAT BerAKHLAK</v>
      </c>
      <c r="P7532" s="5" t="s">
        <v>47758</v>
      </c>
    </row>
    <row r="7533">
      <c r="A7533" s="4">
        <v>45534.38339427083</v>
      </c>
      <c r="B7533" s="5" t="s">
        <v>34</v>
      </c>
      <c r="D7533" s="5" t="s">
        <v>12010</v>
      </c>
      <c r="E7533" s="5" t="s">
        <v>47776</v>
      </c>
      <c r="F7533" s="5" t="s">
        <v>37</v>
      </c>
      <c r="G7533" s="5" t="s">
        <v>47777</v>
      </c>
      <c r="H7533" s="6" t="s">
        <v>47778</v>
      </c>
      <c r="K7533" s="5" t="s">
        <v>47779</v>
      </c>
      <c r="M7533" s="5" t="s">
        <v>47780</v>
      </c>
      <c r="N7533" s="7" t="s">
        <v>47781</v>
      </c>
      <c r="O7533" s="8" t="str">
        <f>HYPERLINK("https://drive.google.com/file/d/1INOVSyUaRYO7R6thMETBwwQSoob9JC_U/view?usp=drivesdk","7532_MARYAM ENTENGO SPD _ SERTIFIKAT BerAKHLAK")</f>
        <v>7532_MARYAM ENTENGO SPD _ SERTIFIKAT BerAKHLAK</v>
      </c>
      <c r="P7533" s="5" t="s">
        <v>47782</v>
      </c>
    </row>
    <row r="7534">
      <c r="A7534" s="4">
        <v>45534.38341778935</v>
      </c>
      <c r="B7534" s="5" t="s">
        <v>34</v>
      </c>
      <c r="D7534" s="5" t="s">
        <v>35</v>
      </c>
      <c r="E7534" s="5" t="s">
        <v>47783</v>
      </c>
      <c r="F7534" s="5" t="s">
        <v>108</v>
      </c>
      <c r="G7534" s="5" t="s">
        <v>47784</v>
      </c>
      <c r="H7534" s="6" t="s">
        <v>47785</v>
      </c>
      <c r="K7534" s="5" t="s">
        <v>47786</v>
      </c>
      <c r="M7534" s="5" t="s">
        <v>47787</v>
      </c>
      <c r="N7534" s="7" t="s">
        <v>47788</v>
      </c>
      <c r="O7534" s="8" t="str">
        <f>HYPERLINK("https://drive.google.com/file/d/1Wv4prbYS0AL6G24HEw0n34QPNUeyS9NA/view?usp=drivesdk","7533_HERI SUPRIADI _ SERTIFIKAT BerAKHLAK")</f>
        <v>7533_HERI SUPRIADI _ SERTIFIKAT BerAKHLAK</v>
      </c>
      <c r="P7534" s="5" t="s">
        <v>47782</v>
      </c>
    </row>
    <row r="7535">
      <c r="A7535" s="4">
        <v>45534.383419652775</v>
      </c>
      <c r="B7535" s="5" t="s">
        <v>34</v>
      </c>
      <c r="D7535" s="5" t="s">
        <v>10444</v>
      </c>
      <c r="E7535" s="5" t="s">
        <v>47789</v>
      </c>
      <c r="F7535" s="5" t="s">
        <v>72</v>
      </c>
      <c r="G7535" s="5" t="s">
        <v>47790</v>
      </c>
      <c r="H7535" s="6" t="s">
        <v>47791</v>
      </c>
      <c r="K7535" s="5" t="s">
        <v>47786</v>
      </c>
      <c r="M7535" s="5" t="s">
        <v>47792</v>
      </c>
      <c r="N7535" s="7" t="s">
        <v>47793</v>
      </c>
      <c r="O7535" s="8" t="str">
        <f>HYPERLINK("https://drive.google.com/file/d/1W5YFQLYvkmm27mTF3K_CkQSw9rkzvJZs/view?usp=drivesdk","7534_DJAMIRWAN _ SERTIFIKAT BerAKHLAK")</f>
        <v>7534_DJAMIRWAN _ SERTIFIKAT BerAKHLAK</v>
      </c>
      <c r="P7535" s="5" t="s">
        <v>47782</v>
      </c>
    </row>
    <row r="7536">
      <c r="A7536" s="4">
        <v>45534.38345233796</v>
      </c>
      <c r="B7536" s="5" t="s">
        <v>34</v>
      </c>
      <c r="D7536" s="5" t="s">
        <v>975</v>
      </c>
      <c r="E7536" s="5" t="s">
        <v>47794</v>
      </c>
      <c r="F7536" s="5" t="s">
        <v>37</v>
      </c>
      <c r="G7536" s="5" t="s">
        <v>47795</v>
      </c>
      <c r="H7536" s="6" t="s">
        <v>47796</v>
      </c>
      <c r="K7536" s="5" t="s">
        <v>47797</v>
      </c>
      <c r="M7536" s="5" t="s">
        <v>47798</v>
      </c>
      <c r="N7536" s="7" t="s">
        <v>47799</v>
      </c>
      <c r="O7536" s="8" t="str">
        <f>HYPERLINK("https://drive.google.com/file/d/1lv59buGnD7rMXw7xJ-AFj6QxhrtYMG2m/view?usp=drivesdk","7535_JUSNAWATI _ SERTIFIKAT BerAKHLAK")</f>
        <v>7535_JUSNAWATI _ SERTIFIKAT BerAKHLAK</v>
      </c>
      <c r="P7536" s="5" t="s">
        <v>47782</v>
      </c>
    </row>
    <row r="7537">
      <c r="A7537" s="4">
        <v>45534.38347637732</v>
      </c>
      <c r="B7537" s="5" t="s">
        <v>34</v>
      </c>
      <c r="D7537" s="5" t="s">
        <v>12978</v>
      </c>
      <c r="E7537" s="5" t="s">
        <v>47800</v>
      </c>
      <c r="F7537" s="5" t="s">
        <v>212</v>
      </c>
      <c r="G7537" s="5" t="s">
        <v>47801</v>
      </c>
      <c r="H7537" s="6" t="s">
        <v>47802</v>
      </c>
      <c r="K7537" s="5" t="s">
        <v>47797</v>
      </c>
      <c r="M7537" s="5" t="s">
        <v>47803</v>
      </c>
      <c r="N7537" s="7" t="s">
        <v>47804</v>
      </c>
      <c r="O7537" s="8" t="str">
        <f>HYPERLINK("https://drive.google.com/file/d/18Bcp_X8oKoBkTQYhDBiEF9wjeUDyFUKE/view?usp=drivesdk","7536_TUGIMIN  _ SERTIFIKAT BerAKHLAK")</f>
        <v>7536_TUGIMIN  _ SERTIFIKAT BerAKHLAK</v>
      </c>
      <c r="P7537" s="5" t="s">
        <v>47805</v>
      </c>
    </row>
    <row r="7538">
      <c r="A7538" s="4">
        <v>45534.38348725694</v>
      </c>
      <c r="B7538" s="5" t="s">
        <v>34</v>
      </c>
      <c r="D7538" s="5" t="s">
        <v>9020</v>
      </c>
      <c r="E7538" s="5" t="s">
        <v>47806</v>
      </c>
      <c r="F7538" s="5" t="s">
        <v>715</v>
      </c>
      <c r="G7538" s="5" t="s">
        <v>47807</v>
      </c>
      <c r="H7538" s="6" t="s">
        <v>47808</v>
      </c>
      <c r="K7538" s="5" t="s">
        <v>47797</v>
      </c>
      <c r="M7538" s="5" t="s">
        <v>47809</v>
      </c>
      <c r="N7538" s="7" t="s">
        <v>47810</v>
      </c>
      <c r="O7538" s="8" t="str">
        <f>HYPERLINK("https://drive.google.com/file/d/1e0ez9aknVbLXTJkFDM05XwR9xBJ49dVQ/view?usp=drivesdk","7537_KERRY DAVID GUlTOM SH _ SERTIFIKAT BerAKHLAK")</f>
        <v>7537_KERRY DAVID GUlTOM SH _ SERTIFIKAT BerAKHLAK</v>
      </c>
      <c r="P7538" s="5" t="s">
        <v>47805</v>
      </c>
    </row>
    <row r="7539">
      <c r="A7539" s="4">
        <v>45534.38351310186</v>
      </c>
      <c r="B7539" s="5" t="s">
        <v>34</v>
      </c>
      <c r="D7539" s="5" t="s">
        <v>2903</v>
      </c>
      <c r="E7539" s="5" t="s">
        <v>47811</v>
      </c>
      <c r="F7539" s="5" t="s">
        <v>212</v>
      </c>
      <c r="G7539" s="5" t="s">
        <v>47812</v>
      </c>
      <c r="H7539" s="6" t="s">
        <v>47813</v>
      </c>
      <c r="K7539" s="5" t="s">
        <v>47814</v>
      </c>
      <c r="M7539" s="5" t="s">
        <v>47815</v>
      </c>
      <c r="N7539" s="7" t="s">
        <v>47816</v>
      </c>
      <c r="O7539" s="8" t="str">
        <f>HYPERLINK("https://drive.google.com/file/d/14H9FATpflcdWmoHoxf8YSpjJH00Bjfz1/view?usp=drivesdk","7538_DIYAH TIYANDARI  _ SERTIFIKAT BerAKHLAK")</f>
        <v>7538_DIYAH TIYANDARI  _ SERTIFIKAT BerAKHLAK</v>
      </c>
      <c r="P7539" s="5" t="s">
        <v>47805</v>
      </c>
    </row>
    <row r="7540">
      <c r="A7540" s="4">
        <v>45534.38356815973</v>
      </c>
      <c r="B7540" s="5" t="s">
        <v>34</v>
      </c>
      <c r="D7540" s="5" t="s">
        <v>1558</v>
      </c>
      <c r="E7540" s="5" t="s">
        <v>16182</v>
      </c>
      <c r="F7540" s="5" t="s">
        <v>375</v>
      </c>
      <c r="G7540" s="5" t="s">
        <v>47817</v>
      </c>
      <c r="H7540" s="6" t="s">
        <v>47818</v>
      </c>
      <c r="K7540" s="5" t="s">
        <v>47819</v>
      </c>
      <c r="M7540" s="5" t="s">
        <v>47820</v>
      </c>
      <c r="N7540" s="7" t="s">
        <v>47821</v>
      </c>
      <c r="O7540" s="8" t="str">
        <f>HYPERLINK("https://drive.google.com/file/d/1mBFyxGJ_ziwTGyR-Sbxg5pDlrG_TqEAF/view?usp=drivesdk","7539_PARTINEM _ SERTIFIKAT BerAKHLAK")</f>
        <v>7539_PARTINEM _ SERTIFIKAT BerAKHLAK</v>
      </c>
      <c r="P7540" s="5" t="s">
        <v>47805</v>
      </c>
    </row>
    <row r="7541">
      <c r="A7541" s="4">
        <v>45534.38360232639</v>
      </c>
      <c r="B7541" s="5" t="s">
        <v>34</v>
      </c>
      <c r="D7541" s="5" t="s">
        <v>1558</v>
      </c>
      <c r="E7541" s="5" t="s">
        <v>47822</v>
      </c>
      <c r="F7541" s="5" t="s">
        <v>108</v>
      </c>
      <c r="G7541" s="5" t="s">
        <v>47823</v>
      </c>
      <c r="H7541" s="6" t="s">
        <v>47824</v>
      </c>
      <c r="K7541" s="5" t="s">
        <v>47819</v>
      </c>
      <c r="M7541" s="5" t="s">
        <v>47825</v>
      </c>
      <c r="N7541" s="7" t="s">
        <v>47826</v>
      </c>
      <c r="O7541" s="8" t="str">
        <f>HYPERLINK("https://drive.google.com/file/d/1LVWmw_GD-ka4EAYl_QpE2frMiga2zkGb/view?usp=drivesdk","7540_ANANG SUNARDI _ SERTIFIKAT BerAKHLAK")</f>
        <v>7540_ANANG SUNARDI _ SERTIFIKAT BerAKHLAK</v>
      </c>
      <c r="P7541" s="5" t="s">
        <v>47827</v>
      </c>
    </row>
    <row r="7542">
      <c r="A7542" s="4">
        <v>45534.38361885417</v>
      </c>
      <c r="B7542" s="5" t="s">
        <v>34</v>
      </c>
      <c r="D7542" s="5" t="s">
        <v>1206</v>
      </c>
      <c r="E7542" s="5" t="s">
        <v>47828</v>
      </c>
      <c r="F7542" s="5" t="s">
        <v>212</v>
      </c>
      <c r="G7542" s="5" t="s">
        <v>47829</v>
      </c>
      <c r="H7542" s="6" t="s">
        <v>47830</v>
      </c>
      <c r="K7542" s="5" t="s">
        <v>47831</v>
      </c>
      <c r="M7542" s="5" t="s">
        <v>47832</v>
      </c>
      <c r="N7542" s="7" t="s">
        <v>47833</v>
      </c>
      <c r="O7542" s="8" t="str">
        <f>HYPERLINK("https://drive.google.com/file/d/1I1nQ42sVcQhIBfkB2yTBU1f2v4mRYSor/view?usp=drivesdk","7541_SRI MARDIYANANiNGSIH _ SERTIFIKAT BerAKHLAK")</f>
        <v>7541_SRI MARDIYANANiNGSIH _ SERTIFIKAT BerAKHLAK</v>
      </c>
      <c r="P7542" s="5" t="s">
        <v>47827</v>
      </c>
    </row>
    <row r="7543">
      <c r="A7543" s="4">
        <v>45534.38362791667</v>
      </c>
      <c r="B7543" s="5" t="s">
        <v>34</v>
      </c>
      <c r="D7543" s="5" t="s">
        <v>1206</v>
      </c>
      <c r="E7543" s="5" t="s">
        <v>44803</v>
      </c>
      <c r="F7543" s="5" t="s">
        <v>37</v>
      </c>
      <c r="G7543" s="5" t="s">
        <v>47834</v>
      </c>
      <c r="H7543" s="6" t="s">
        <v>47835</v>
      </c>
      <c r="K7543" s="5" t="s">
        <v>47831</v>
      </c>
      <c r="M7543" s="5" t="s">
        <v>47836</v>
      </c>
      <c r="N7543" s="7" t="s">
        <v>47837</v>
      </c>
      <c r="O7543" s="8" t="str">
        <f>HYPERLINK("https://drive.google.com/file/d/1YYh-fpT3Wv8xnJOPvWZqA8IN4cFJqTHo/view?usp=drivesdk","7542_GUNAWAN _ SERTIFIKAT BerAKHLAK")</f>
        <v>7542_GUNAWAN _ SERTIFIKAT BerAKHLAK</v>
      </c>
      <c r="P7543" s="5" t="s">
        <v>47827</v>
      </c>
    </row>
    <row r="7544">
      <c r="A7544" s="4">
        <v>45534.38364332176</v>
      </c>
      <c r="B7544" s="5" t="s">
        <v>34</v>
      </c>
      <c r="D7544" s="5" t="s">
        <v>1206</v>
      </c>
      <c r="E7544" s="5" t="s">
        <v>47838</v>
      </c>
      <c r="F7544" s="5" t="s">
        <v>37</v>
      </c>
      <c r="G7544" s="5" t="s">
        <v>47839</v>
      </c>
      <c r="H7544" s="6" t="s">
        <v>47840</v>
      </c>
      <c r="K7544" s="5" t="s">
        <v>47831</v>
      </c>
      <c r="M7544" s="5" t="s">
        <v>47841</v>
      </c>
      <c r="N7544" s="7" t="s">
        <v>47842</v>
      </c>
      <c r="O7544" s="8" t="str">
        <f>HYPERLINK("https://drive.google.com/file/d/1LUCw-2MRJmNck7vT6KJkSC0hmDHG3GcU/view?usp=drivesdk","7543_Sugeng Rahayu, SE _ SERTIFIKAT BerAKHLAK")</f>
        <v>7543_Sugeng Rahayu, SE _ SERTIFIKAT BerAKHLAK</v>
      </c>
      <c r="P7544" s="5" t="s">
        <v>47827</v>
      </c>
    </row>
    <row r="7545">
      <c r="A7545" s="4">
        <v>45534.38365711806</v>
      </c>
      <c r="B7545" s="5" t="s">
        <v>34</v>
      </c>
      <c r="D7545" s="5" t="s">
        <v>7858</v>
      </c>
      <c r="E7545" s="5" t="s">
        <v>47843</v>
      </c>
      <c r="F7545" s="5" t="s">
        <v>22</v>
      </c>
      <c r="G7545" s="5" t="s">
        <v>47844</v>
      </c>
      <c r="H7545" s="6" t="s">
        <v>47845</v>
      </c>
      <c r="K7545" s="5" t="s">
        <v>47846</v>
      </c>
      <c r="M7545" s="5" t="s">
        <v>47847</v>
      </c>
      <c r="N7545" s="7" t="s">
        <v>47848</v>
      </c>
      <c r="O7545" s="8" t="str">
        <f>HYPERLINK("https://drive.google.com/file/d/1sXZS1upqFmeLz0kLjB6Z7E56OJsxnRmO/view?usp=drivesdk","7544_Dr. NURLITA, MM _ SERTIFIKAT BerAKHLAK")</f>
        <v>7544_Dr. NURLITA, MM _ SERTIFIKAT BerAKHLAK</v>
      </c>
      <c r="P7545" s="5" t="s">
        <v>47849</v>
      </c>
    </row>
    <row r="7546">
      <c r="A7546" s="4">
        <v>45534.38367097222</v>
      </c>
      <c r="B7546" s="5" t="s">
        <v>34</v>
      </c>
      <c r="D7546" s="5" t="s">
        <v>4775</v>
      </c>
      <c r="E7546" s="5" t="s">
        <v>47850</v>
      </c>
      <c r="F7546" s="5" t="s">
        <v>108</v>
      </c>
      <c r="G7546" s="5" t="s">
        <v>47851</v>
      </c>
      <c r="H7546" s="6" t="s">
        <v>47852</v>
      </c>
      <c r="K7546" s="5" t="s">
        <v>47846</v>
      </c>
      <c r="M7546" s="5" t="s">
        <v>47853</v>
      </c>
      <c r="N7546" s="7" t="s">
        <v>47854</v>
      </c>
      <c r="O7546" s="8" t="str">
        <f>HYPERLINK("https://drive.google.com/file/d/1xdOHo9VsiEMvNdHF7xXqYPvKDiCGgc1_/view?usp=drivesdk","7545_SITI MARPUAH _ SERTIFIKAT BerAKHLAK")</f>
        <v>7545_SITI MARPUAH _ SERTIFIKAT BerAKHLAK</v>
      </c>
      <c r="P7546" s="5" t="s">
        <v>47849</v>
      </c>
    </row>
    <row r="7547">
      <c r="A7547" s="4">
        <v>45534.383707326386</v>
      </c>
      <c r="B7547" s="5" t="s">
        <v>34</v>
      </c>
      <c r="D7547" s="5" t="s">
        <v>15401</v>
      </c>
      <c r="E7547" s="5" t="s">
        <v>47855</v>
      </c>
      <c r="F7547" s="5" t="s">
        <v>212</v>
      </c>
      <c r="G7547" s="5" t="s">
        <v>47856</v>
      </c>
      <c r="H7547" s="6" t="s">
        <v>47857</v>
      </c>
      <c r="K7547" s="5" t="s">
        <v>47846</v>
      </c>
      <c r="M7547" s="5" t="s">
        <v>47858</v>
      </c>
      <c r="N7547" s="7" t="s">
        <v>47859</v>
      </c>
      <c r="O7547" s="8" t="str">
        <f>HYPERLINK("https://drive.google.com/file/d/14bsHqE1c2mgp1nf9a_ZQkUVP14JCI7lr/view?usp=drivesdk","7546_MERLYN SAMBETA, S,Ak _ SERTIFIKAT BerAKHLAK")</f>
        <v>7546_MERLYN SAMBETA, S,Ak _ SERTIFIKAT BerAKHLAK</v>
      </c>
      <c r="P7547" s="5" t="s">
        <v>47849</v>
      </c>
    </row>
    <row r="7548">
      <c r="A7548" s="4">
        <v>45534.38370953704</v>
      </c>
      <c r="B7548" s="5" t="s">
        <v>34</v>
      </c>
      <c r="D7548" s="5" t="s">
        <v>7858</v>
      </c>
      <c r="E7548" s="5" t="s">
        <v>47860</v>
      </c>
      <c r="F7548" s="5" t="s">
        <v>72</v>
      </c>
      <c r="G7548" s="5" t="s">
        <v>47861</v>
      </c>
      <c r="H7548" s="6" t="s">
        <v>47862</v>
      </c>
      <c r="K7548" s="5" t="s">
        <v>47846</v>
      </c>
      <c r="M7548" s="5" t="s">
        <v>47863</v>
      </c>
      <c r="N7548" s="7" t="s">
        <v>47864</v>
      </c>
      <c r="O7548" s="8" t="str">
        <f>HYPERLINK("https://drive.google.com/file/d/1eB5pyeGYmrgyVcyaDWsG8bWsgwaz8Seg/view?usp=drivesdk","7547_ANE YUNITA RESTUNINGSIH _ SERTIFIKAT BerAKHLAK")</f>
        <v>7547_ANE YUNITA RESTUNINGSIH _ SERTIFIKAT BerAKHLAK</v>
      </c>
      <c r="P7548" s="5" t="s">
        <v>47849</v>
      </c>
    </row>
    <row r="7549">
      <c r="A7549" s="4">
        <v>45534.3837165625</v>
      </c>
      <c r="B7549" s="5" t="s">
        <v>34</v>
      </c>
      <c r="D7549" s="5" t="s">
        <v>1206</v>
      </c>
      <c r="E7549" s="5" t="s">
        <v>47865</v>
      </c>
      <c r="F7549" s="5" t="s">
        <v>375</v>
      </c>
      <c r="G7549" s="5" t="s">
        <v>47866</v>
      </c>
      <c r="H7549" s="6" t="s">
        <v>47867</v>
      </c>
      <c r="K7549" s="5" t="s">
        <v>47846</v>
      </c>
      <c r="M7549" s="5" t="s">
        <v>47868</v>
      </c>
      <c r="N7549" s="7" t="s">
        <v>47869</v>
      </c>
      <c r="O7549" s="8" t="str">
        <f>HYPERLINK("https://drive.google.com/file/d/1evFk7B4_fmXPXM6OURiHav4lk3UuxNFq/view?usp=drivesdk","7548_dr. HUSNUL KHOTIMAH _ SERTIFIKAT BerAKHLAK")</f>
        <v>7548_dr. HUSNUL KHOTIMAH _ SERTIFIKAT BerAKHLAK</v>
      </c>
      <c r="P7549" s="5" t="s">
        <v>47870</v>
      </c>
    </row>
    <row r="7550" hidden="1">
      <c r="A7550" s="4">
        <v>45534.38373094908</v>
      </c>
      <c r="B7550" s="5" t="s">
        <v>19</v>
      </c>
      <c r="C7550" s="5" t="s">
        <v>83</v>
      </c>
      <c r="E7550" s="5" t="s">
        <v>47871</v>
      </c>
      <c r="F7550" s="5" t="s">
        <v>375</v>
      </c>
      <c r="G7550" s="5" t="s">
        <v>47872</v>
      </c>
      <c r="H7550" s="6" t="s">
        <v>47873</v>
      </c>
      <c r="K7550" s="5" t="s">
        <v>47874</v>
      </c>
      <c r="M7550" s="5" t="s">
        <v>47875</v>
      </c>
      <c r="N7550" s="7" t="s">
        <v>47876</v>
      </c>
      <c r="O7550" s="8" t="str">
        <f>HYPERLINK("https://drive.google.com/file/d/16oSVekESEQOczqR_ZvW5QSXeVXOApP0g/view?usp=drivesdk","7549_SAEPUDIN ZUHRI, SAP _ SERTIFIKAT BerAKHLAK")</f>
        <v>7549_SAEPUDIN ZUHRI, SAP _ SERTIFIKAT BerAKHLAK</v>
      </c>
      <c r="P7550" s="5" t="s">
        <v>47870</v>
      </c>
    </row>
    <row r="7551">
      <c r="A7551" s="4">
        <v>45534.38374469907</v>
      </c>
      <c r="B7551" s="5" t="s">
        <v>34</v>
      </c>
      <c r="D7551" s="5" t="s">
        <v>10297</v>
      </c>
      <c r="E7551" s="5" t="s">
        <v>47877</v>
      </c>
      <c r="F7551" s="5" t="s">
        <v>108</v>
      </c>
      <c r="G7551" s="5" t="s">
        <v>47878</v>
      </c>
      <c r="H7551" s="6" t="s">
        <v>47879</v>
      </c>
      <c r="K7551" s="5" t="s">
        <v>47874</v>
      </c>
      <c r="M7551" s="5" t="s">
        <v>47880</v>
      </c>
      <c r="N7551" s="7" t="s">
        <v>47881</v>
      </c>
      <c r="O7551" s="8" t="str">
        <f>HYPERLINK("https://drive.google.com/file/d/15gnBKXMz-I1-1vR1CgD-L1eJd1ZIHeq0/view?usp=drivesdk","7550_ANGGI SILVIA PLATINUMA _ SERTIFIKAT BerAKHLAK")</f>
        <v>7550_ANGGI SILVIA PLATINUMA _ SERTIFIKAT BerAKHLAK</v>
      </c>
      <c r="P7551" s="5" t="s">
        <v>47870</v>
      </c>
    </row>
    <row r="7552">
      <c r="A7552" s="4">
        <v>45534.383749768516</v>
      </c>
      <c r="B7552" s="5" t="s">
        <v>34</v>
      </c>
      <c r="D7552" s="5" t="s">
        <v>1206</v>
      </c>
      <c r="E7552" s="5" t="s">
        <v>47882</v>
      </c>
      <c r="F7552" s="5" t="s">
        <v>108</v>
      </c>
      <c r="G7552" s="5" t="s">
        <v>47883</v>
      </c>
      <c r="H7552" s="6" t="s">
        <v>47884</v>
      </c>
      <c r="K7552" s="5" t="s">
        <v>47874</v>
      </c>
      <c r="M7552" s="5" t="s">
        <v>47885</v>
      </c>
      <c r="N7552" s="7" t="s">
        <v>47886</v>
      </c>
      <c r="O7552" s="8" t="str">
        <f>HYPERLINK("https://drive.google.com/file/d/1mvQyJAn6DFACXHu4GZne1JuMQ0RsbvwQ/view?usp=drivesdk","7551_DYAH SUPRIHATIN, A.Md _ SERTIFIKAT BerAKHLAK")</f>
        <v>7551_DYAH SUPRIHATIN, A.Md _ SERTIFIKAT BerAKHLAK</v>
      </c>
      <c r="P7552" s="5" t="s">
        <v>47870</v>
      </c>
    </row>
    <row r="7553">
      <c r="A7553" s="4">
        <v>45534.383754027775</v>
      </c>
      <c r="B7553" s="5" t="s">
        <v>34</v>
      </c>
      <c r="D7553" s="5" t="s">
        <v>12978</v>
      </c>
      <c r="E7553" s="5" t="s">
        <v>47887</v>
      </c>
      <c r="F7553" s="5" t="s">
        <v>375</v>
      </c>
      <c r="G7553" s="5" t="s">
        <v>47888</v>
      </c>
      <c r="H7553" s="6" t="s">
        <v>47889</v>
      </c>
      <c r="K7553" s="5" t="s">
        <v>47874</v>
      </c>
      <c r="M7553" s="5" t="s">
        <v>47890</v>
      </c>
      <c r="N7553" s="7" t="s">
        <v>47891</v>
      </c>
      <c r="O7553" s="8" t="str">
        <f>HYPERLINK("https://drive.google.com/file/d/16_RUslQJuRndwFVlbvkMOmdc0cXs8we5/view?usp=drivesdk","7552_F YANCE H SITUMORANG, S.KOM _ SERTIFIKAT BerAKHLAK")</f>
        <v>7552_F YANCE H SITUMORANG, S.KOM _ SERTIFIKAT BerAKHLAK</v>
      </c>
      <c r="P7553" s="5" t="s">
        <v>47870</v>
      </c>
    </row>
    <row r="7554">
      <c r="A7554" s="4">
        <v>45534.383790057866</v>
      </c>
      <c r="B7554" s="5" t="s">
        <v>34</v>
      </c>
      <c r="D7554" s="5" t="s">
        <v>9020</v>
      </c>
      <c r="E7554" s="5" t="s">
        <v>47892</v>
      </c>
      <c r="F7554" s="5" t="s">
        <v>37</v>
      </c>
      <c r="G7554" s="5" t="s">
        <v>47893</v>
      </c>
      <c r="H7554" s="6" t="s">
        <v>47894</v>
      </c>
      <c r="K7554" s="5" t="s">
        <v>47874</v>
      </c>
      <c r="M7554" s="5" t="s">
        <v>47895</v>
      </c>
      <c r="N7554" s="7" t="s">
        <v>47896</v>
      </c>
      <c r="O7554" s="8" t="str">
        <f>HYPERLINK("https://drive.google.com/file/d/1qAhW6g7_8vXcCqeJvb1DDfNyPGN4v-DI/view?usp=drivesdk","7553_MARTHA NANI LEANNA SITORUS _ SERTIFIKAT BerAKHLAK")</f>
        <v>7553_MARTHA NANI LEANNA SITORUS _ SERTIFIKAT BerAKHLAK</v>
      </c>
      <c r="P7554" s="5" t="s">
        <v>47897</v>
      </c>
    </row>
    <row r="7555">
      <c r="A7555" s="4">
        <v>45534.3838116088</v>
      </c>
      <c r="B7555" s="5" t="s">
        <v>34</v>
      </c>
      <c r="D7555" s="5" t="s">
        <v>9394</v>
      </c>
      <c r="E7555" s="5" t="s">
        <v>47898</v>
      </c>
      <c r="F7555" s="5" t="s">
        <v>524</v>
      </c>
      <c r="G7555" s="5" t="s">
        <v>47899</v>
      </c>
      <c r="H7555" s="6" t="s">
        <v>47900</v>
      </c>
      <c r="K7555" s="5" t="s">
        <v>47874</v>
      </c>
      <c r="M7555" s="5" t="s">
        <v>47901</v>
      </c>
      <c r="N7555" s="7" t="s">
        <v>47902</v>
      </c>
      <c r="O7555" s="8" t="str">
        <f>HYPERLINK("https://drive.google.com/file/d/1Lr-7FUrms7kLx59zOGk4prMr0NZOMh2Y/view?usp=drivesdk","7554_BAHARUDDIN DAMANIK, AMd _ SERTIFIKAT BerAKHLAK")</f>
        <v>7554_BAHARUDDIN DAMANIK, AMd _ SERTIFIKAT BerAKHLAK</v>
      </c>
      <c r="P7555" s="5" t="s">
        <v>47897</v>
      </c>
    </row>
    <row r="7556">
      <c r="A7556" s="4">
        <v>45534.38384405093</v>
      </c>
      <c r="B7556" s="5" t="s">
        <v>34</v>
      </c>
      <c r="D7556" s="5" t="s">
        <v>1558</v>
      </c>
      <c r="E7556" s="5" t="s">
        <v>34359</v>
      </c>
      <c r="F7556" s="5" t="s">
        <v>212</v>
      </c>
      <c r="G7556" s="5" t="s">
        <v>47903</v>
      </c>
      <c r="H7556" s="6" t="s">
        <v>47904</v>
      </c>
      <c r="K7556" s="5" t="s">
        <v>47874</v>
      </c>
      <c r="M7556" s="5" t="s">
        <v>47905</v>
      </c>
      <c r="N7556" s="7" t="s">
        <v>47906</v>
      </c>
      <c r="O7556" s="8" t="str">
        <f>HYPERLINK("https://drive.google.com/file/d/1KDuPuqHNRzMjp3sDq9sfTSEq4KgyGQZI/view?usp=drivesdk","7555_SUKARTINI _ SERTIFIKAT BerAKHLAK")</f>
        <v>7555_SUKARTINI _ SERTIFIKAT BerAKHLAK</v>
      </c>
      <c r="P7556" s="5" t="s">
        <v>47897</v>
      </c>
    </row>
    <row r="7557">
      <c r="A7557" s="4">
        <v>45534.38387991898</v>
      </c>
      <c r="B7557" s="5" t="s">
        <v>34</v>
      </c>
      <c r="D7557" s="5" t="s">
        <v>35</v>
      </c>
      <c r="E7557" s="5" t="s">
        <v>47907</v>
      </c>
      <c r="F7557" s="5" t="s">
        <v>108</v>
      </c>
      <c r="G7557" s="5" t="s">
        <v>47908</v>
      </c>
      <c r="H7557" s="6" t="s">
        <v>47909</v>
      </c>
      <c r="K7557" s="5" t="s">
        <v>47874</v>
      </c>
      <c r="M7557" s="5" t="s">
        <v>47910</v>
      </c>
      <c r="N7557" s="7" t="s">
        <v>47911</v>
      </c>
      <c r="O7557" s="8" t="str">
        <f>HYPERLINK("https://drive.google.com/file/d/1IHRUkHuSPe3RVecroWEkEaaTXhqBnmTu/view?usp=drivesdk","7556_DEWI YULIANTI _ SERTIFIKAT BerAKHLAK")</f>
        <v>7556_DEWI YULIANTI _ SERTIFIKAT BerAKHLAK</v>
      </c>
      <c r="P7557" s="5" t="s">
        <v>47897</v>
      </c>
    </row>
    <row r="7558">
      <c r="A7558" s="4">
        <v>45534.38388512732</v>
      </c>
      <c r="B7558" s="5" t="s">
        <v>34</v>
      </c>
      <c r="D7558" s="5" t="s">
        <v>14424</v>
      </c>
      <c r="E7558" s="5" t="s">
        <v>47912</v>
      </c>
      <c r="F7558" s="5" t="s">
        <v>212</v>
      </c>
      <c r="G7558" s="5" t="s">
        <v>47913</v>
      </c>
      <c r="H7558" s="6" t="s">
        <v>47914</v>
      </c>
      <c r="K7558" s="5" t="s">
        <v>47874</v>
      </c>
      <c r="M7558" s="5" t="s">
        <v>47915</v>
      </c>
      <c r="N7558" s="7" t="s">
        <v>47916</v>
      </c>
      <c r="O7558" s="8" t="str">
        <f>HYPERLINK("https://drive.google.com/file/d/1LwkZlVmQ67U3sH-pKa6q9mpI6_6Ilzej/view?usp=drivesdk","7557_RATNA DEWISYAH _ SERTIFIKAT BerAKHLAK")</f>
        <v>7557_RATNA DEWISYAH _ SERTIFIKAT BerAKHLAK</v>
      </c>
      <c r="P7558" s="5" t="s">
        <v>47917</v>
      </c>
    </row>
    <row r="7559">
      <c r="A7559" s="4">
        <v>45534.38392703704</v>
      </c>
      <c r="B7559" s="5" t="s">
        <v>34</v>
      </c>
      <c r="D7559" s="5" t="s">
        <v>4775</v>
      </c>
      <c r="E7559" s="5" t="s">
        <v>47918</v>
      </c>
      <c r="F7559" s="5" t="s">
        <v>375</v>
      </c>
      <c r="G7559" s="5" t="s">
        <v>47919</v>
      </c>
      <c r="H7559" s="6" t="s">
        <v>47920</v>
      </c>
      <c r="K7559" s="5" t="s">
        <v>47874</v>
      </c>
      <c r="M7559" s="5" t="s">
        <v>47921</v>
      </c>
      <c r="N7559" s="7" t="s">
        <v>47922</v>
      </c>
      <c r="O7559" s="8" t="str">
        <f>HYPERLINK("https://drive.google.com/file/d/1loOVhAvBVv_AtES1iDGTqrD_peqU3hc3/view?usp=drivesdk","7558_RIFFO ERLINA, S.E., M.AK. _ SERTIFIKAT BerAKHLAK")</f>
        <v>7558_RIFFO ERLINA, S.E., M.AK. _ SERTIFIKAT BerAKHLAK</v>
      </c>
      <c r="P7559" s="5" t="s">
        <v>47917</v>
      </c>
    </row>
    <row r="7560">
      <c r="A7560" s="4">
        <v>45534.383997372686</v>
      </c>
      <c r="B7560" s="5" t="s">
        <v>34</v>
      </c>
      <c r="D7560" s="5" t="s">
        <v>3432</v>
      </c>
      <c r="E7560" s="5" t="s">
        <v>47923</v>
      </c>
      <c r="F7560" s="5" t="s">
        <v>524</v>
      </c>
      <c r="G7560" s="5" t="s">
        <v>47924</v>
      </c>
      <c r="H7560" s="6" t="s">
        <v>47925</v>
      </c>
      <c r="K7560" s="5" t="s">
        <v>47926</v>
      </c>
      <c r="M7560" s="5" t="s">
        <v>47927</v>
      </c>
      <c r="N7560" s="7" t="s">
        <v>47928</v>
      </c>
      <c r="O7560" s="8" t="str">
        <f>HYPERLINK("https://drive.google.com/file/d/1yacd2uiRh1yhexX6i-AFkEycRzqJgULK/view?usp=drivesdk","7559_REINNY LADETTE, SKM _ SERTIFIKAT BerAKHLAK")</f>
        <v>7559_REINNY LADETTE, SKM _ SERTIFIKAT BerAKHLAK</v>
      </c>
      <c r="P7560" s="5" t="s">
        <v>47917</v>
      </c>
    </row>
    <row r="7561">
      <c r="A7561" s="4">
        <v>45534.38402574074</v>
      </c>
      <c r="B7561" s="5" t="s">
        <v>34</v>
      </c>
      <c r="D7561" s="5" t="s">
        <v>4775</v>
      </c>
      <c r="E7561" s="5" t="s">
        <v>47929</v>
      </c>
      <c r="F7561" s="5" t="s">
        <v>120</v>
      </c>
      <c r="G7561" s="5" t="s">
        <v>47930</v>
      </c>
      <c r="H7561" s="6" t="s">
        <v>47931</v>
      </c>
      <c r="K7561" s="5" t="s">
        <v>47932</v>
      </c>
      <c r="M7561" s="5" t="s">
        <v>47933</v>
      </c>
      <c r="N7561" s="7" t="s">
        <v>47934</v>
      </c>
      <c r="O7561" s="8" t="str">
        <f>HYPERLINK("https://drive.google.com/file/d/1mneWFAc6S6EnsaVSCqr8JZPJQHRckT0M/view?usp=drivesdk","7560_dr RINI MULYANI,Sp.KJ _ SERTIFIKAT BerAKHLAK")</f>
        <v>7560_dr RINI MULYANI,Sp.KJ _ SERTIFIKAT BerAKHLAK</v>
      </c>
      <c r="P7561" s="5" t="s">
        <v>47917</v>
      </c>
    </row>
    <row r="7562">
      <c r="A7562" s="4">
        <v>45534.384025844905</v>
      </c>
      <c r="B7562" s="5" t="s">
        <v>34</v>
      </c>
      <c r="D7562" s="5" t="s">
        <v>4775</v>
      </c>
      <c r="E7562" s="5" t="s">
        <v>47935</v>
      </c>
      <c r="F7562" s="5" t="s">
        <v>120</v>
      </c>
      <c r="G7562" s="5" t="s">
        <v>47936</v>
      </c>
      <c r="H7562" s="6" t="s">
        <v>47937</v>
      </c>
      <c r="K7562" s="5" t="s">
        <v>47932</v>
      </c>
      <c r="M7562" s="5" t="s">
        <v>47938</v>
      </c>
      <c r="N7562" s="7" t="s">
        <v>47939</v>
      </c>
      <c r="O7562" s="8" t="str">
        <f>HYPERLINK("https://drive.google.com/file/d/1xWodnnh9nIw0XXifJk8bZjQWWWZ1tl01/view?usp=drivesdk","7561_ABDUL LATIF YASIN, S.E., AK _ SERTIFIKAT BerAKHLAK")</f>
        <v>7561_ABDUL LATIF YASIN, S.E., AK _ SERTIFIKAT BerAKHLAK</v>
      </c>
      <c r="P7562" s="5" t="s">
        <v>47940</v>
      </c>
    </row>
    <row r="7563">
      <c r="A7563" s="4">
        <v>45534.38403011574</v>
      </c>
      <c r="B7563" s="5" t="s">
        <v>34</v>
      </c>
      <c r="D7563" s="5" t="s">
        <v>1206</v>
      </c>
      <c r="E7563" s="5" t="s">
        <v>47941</v>
      </c>
      <c r="F7563" s="5" t="s">
        <v>524</v>
      </c>
      <c r="G7563" s="5" t="s">
        <v>47942</v>
      </c>
      <c r="H7563" s="6" t="s">
        <v>47943</v>
      </c>
      <c r="K7563" s="5" t="s">
        <v>47932</v>
      </c>
      <c r="M7563" s="5" t="s">
        <v>47944</v>
      </c>
      <c r="N7563" s="7" t="s">
        <v>47945</v>
      </c>
      <c r="O7563" s="8" t="str">
        <f>HYPERLINK("https://drive.google.com/file/d/1T6W-LtEiT9Oolc5UnB1E2x9x4lWGMXuj/view?usp=drivesdk","7562_LILIK HARIJANTO _ SERTIFIKAT BerAKHLAK")</f>
        <v>7562_LILIK HARIJANTO _ SERTIFIKAT BerAKHLAK</v>
      </c>
      <c r="P7563" s="5" t="s">
        <v>47940</v>
      </c>
    </row>
    <row r="7564">
      <c r="A7564" s="4">
        <v>45534.384034456016</v>
      </c>
      <c r="B7564" s="5" t="s">
        <v>34</v>
      </c>
      <c r="D7564" s="5" t="s">
        <v>1558</v>
      </c>
      <c r="E7564" s="5" t="s">
        <v>47946</v>
      </c>
      <c r="F7564" s="5" t="s">
        <v>37</v>
      </c>
      <c r="G7564" s="5" t="s">
        <v>47947</v>
      </c>
      <c r="H7564" s="6" t="s">
        <v>47948</v>
      </c>
      <c r="K7564" s="5" t="s">
        <v>47932</v>
      </c>
      <c r="M7564" s="5" t="s">
        <v>47949</v>
      </c>
      <c r="N7564" s="7" t="s">
        <v>47950</v>
      </c>
      <c r="O7564" s="8" t="str">
        <f>HYPERLINK("https://drive.google.com/file/d/1ETGcSj88L8j-GAOzuOExw7fg2YxCUlOp/view?usp=drivesdk","7563_HANDAYANI, S. H. _ SERTIFIKAT BerAKHLAK")</f>
        <v>7563_HANDAYANI, S. H. _ SERTIFIKAT BerAKHLAK</v>
      </c>
      <c r="P7564" s="5" t="s">
        <v>47940</v>
      </c>
    </row>
    <row r="7565">
      <c r="A7565" s="4">
        <v>45534.38404023148</v>
      </c>
      <c r="B7565" s="5" t="s">
        <v>34</v>
      </c>
      <c r="D7565" s="5" t="s">
        <v>4775</v>
      </c>
      <c r="E7565" s="5" t="s">
        <v>47951</v>
      </c>
      <c r="F7565" s="5" t="s">
        <v>212</v>
      </c>
      <c r="G7565" s="5" t="s">
        <v>47952</v>
      </c>
      <c r="H7565" s="6" t="s">
        <v>47953</v>
      </c>
      <c r="K7565" s="5" t="s">
        <v>47932</v>
      </c>
      <c r="M7565" s="5" t="s">
        <v>47954</v>
      </c>
      <c r="N7565" s="7" t="s">
        <v>47955</v>
      </c>
      <c r="O7565" s="8" t="str">
        <f>HYPERLINK("https://drive.google.com/file/d/14mJ1ttxWD4JuLTI07odren8t-GUKf_3c/view?usp=drivesdk","7564_MISTIN APRILIYANTI  _ SERTIFIKAT BerAKHLAK")</f>
        <v>7564_MISTIN APRILIYANTI  _ SERTIFIKAT BerAKHLAK</v>
      </c>
      <c r="P7565" s="5" t="s">
        <v>47940</v>
      </c>
    </row>
    <row r="7566">
      <c r="A7566" s="4">
        <v>45534.38404855324</v>
      </c>
      <c r="B7566" s="5" t="s">
        <v>34</v>
      </c>
      <c r="D7566" s="5" t="s">
        <v>6232</v>
      </c>
      <c r="E7566" s="5" t="s">
        <v>47956</v>
      </c>
      <c r="F7566" s="5" t="s">
        <v>715</v>
      </c>
      <c r="G7566" s="5" t="s">
        <v>47957</v>
      </c>
      <c r="H7566" s="6" t="s">
        <v>47958</v>
      </c>
      <c r="K7566" s="5" t="s">
        <v>47932</v>
      </c>
      <c r="M7566" s="5" t="s">
        <v>47959</v>
      </c>
      <c r="N7566" s="7" t="s">
        <v>47960</v>
      </c>
      <c r="O7566" s="8" t="str">
        <f>HYPERLINK("https://drive.google.com/file/d/1fQ_RaF-_KLE8ATD8o_cQ2L28LY-Im2EB/view?usp=drivesdk","7565_MARYULIDAR _ SERTIFIKAT BerAKHLAK")</f>
        <v>7565_MARYULIDAR _ SERTIFIKAT BerAKHLAK</v>
      </c>
      <c r="P7566" s="5" t="s">
        <v>47961</v>
      </c>
    </row>
    <row r="7567">
      <c r="A7567" s="4">
        <v>45534.38406503473</v>
      </c>
      <c r="B7567" s="5" t="s">
        <v>34</v>
      </c>
      <c r="D7567" s="5" t="s">
        <v>10444</v>
      </c>
      <c r="E7567" s="5" t="s">
        <v>47962</v>
      </c>
      <c r="F7567" s="5" t="s">
        <v>108</v>
      </c>
      <c r="G7567" s="5" t="s">
        <v>47963</v>
      </c>
      <c r="H7567" s="6" t="s">
        <v>47964</v>
      </c>
      <c r="K7567" s="5" t="s">
        <v>47932</v>
      </c>
      <c r="M7567" s="5" t="s">
        <v>47965</v>
      </c>
      <c r="N7567" s="7" t="s">
        <v>47966</v>
      </c>
      <c r="O7567" s="8" t="str">
        <f>HYPERLINK("https://drive.google.com/file/d/1FkwhemIiDwNoZ-R3zBk_F-uJadTi4V2z/view?usp=drivesdk","7566_BAYU CANDRA MUSA AJI,A.Md _ SERTIFIKAT BerAKHLAK")</f>
        <v>7566_BAYU CANDRA MUSA AJI,A.Md _ SERTIFIKAT BerAKHLAK</v>
      </c>
      <c r="P7567" s="5" t="s">
        <v>47961</v>
      </c>
    </row>
    <row r="7568">
      <c r="A7568" s="4">
        <v>45534.384081446755</v>
      </c>
      <c r="B7568" s="5" t="s">
        <v>34</v>
      </c>
      <c r="D7568" s="5" t="s">
        <v>9394</v>
      </c>
      <c r="E7568" s="5" t="s">
        <v>47967</v>
      </c>
      <c r="F7568" s="5" t="s">
        <v>108</v>
      </c>
      <c r="G7568" s="5" t="s">
        <v>47968</v>
      </c>
      <c r="H7568" s="6" t="s">
        <v>47969</v>
      </c>
      <c r="K7568" s="5" t="s">
        <v>47932</v>
      </c>
      <c r="M7568" s="5" t="s">
        <v>47970</v>
      </c>
      <c r="N7568" s="7" t="s">
        <v>47971</v>
      </c>
      <c r="O7568" s="8" t="str">
        <f>HYPERLINK("https://drive.google.com/file/d/1MJF08RN5qTQXZSogiMPe4zrd1iGpc-2W/view?usp=drivesdk","7567_BAMBANG ERYANTO  _ SERTIFIKAT BerAKHLAK")</f>
        <v>7567_BAMBANG ERYANTO  _ SERTIFIKAT BerAKHLAK</v>
      </c>
      <c r="P7568" s="5" t="s">
        <v>47961</v>
      </c>
    </row>
    <row r="7569" hidden="1">
      <c r="A7569" s="4">
        <v>45534.38410773149</v>
      </c>
      <c r="B7569" s="5" t="s">
        <v>19</v>
      </c>
      <c r="C7569" s="5" t="s">
        <v>40230</v>
      </c>
      <c r="E7569" s="5" t="s">
        <v>47972</v>
      </c>
      <c r="F7569" s="5" t="s">
        <v>375</v>
      </c>
      <c r="G7569" s="5" t="s">
        <v>47973</v>
      </c>
      <c r="H7569" s="6" t="s">
        <v>47974</v>
      </c>
      <c r="K7569" s="5" t="s">
        <v>47932</v>
      </c>
      <c r="M7569" s="5" t="s">
        <v>47975</v>
      </c>
      <c r="N7569" s="7" t="s">
        <v>47976</v>
      </c>
      <c r="O7569" s="8" t="str">
        <f>HYPERLINK("https://drive.google.com/file/d/1xGvDsMhAUdNo9uEL1EgRedaaSnyFVt0-/view?usp=drivesdk","7568_NOKI SAKTIYANTI, S.E. _ SERTIFIKAT BerAKHLAK")</f>
        <v>7568_NOKI SAKTIYANTI, S.E. _ SERTIFIKAT BerAKHLAK</v>
      </c>
      <c r="P7569" s="5" t="s">
        <v>47961</v>
      </c>
    </row>
    <row r="7570">
      <c r="A7570" s="4">
        <v>45534.38411270833</v>
      </c>
      <c r="B7570" s="5" t="s">
        <v>34</v>
      </c>
      <c r="D7570" s="5" t="s">
        <v>9020</v>
      </c>
      <c r="E7570" s="5" t="s">
        <v>47977</v>
      </c>
      <c r="F7570" s="5" t="s">
        <v>212</v>
      </c>
      <c r="G7570" s="5" t="s">
        <v>47978</v>
      </c>
      <c r="H7570" s="6" t="s">
        <v>47979</v>
      </c>
      <c r="K7570" s="5" t="s">
        <v>47980</v>
      </c>
      <c r="M7570" s="5" t="s">
        <v>47981</v>
      </c>
      <c r="N7570" s="7" t="s">
        <v>47982</v>
      </c>
      <c r="O7570" s="8" t="str">
        <f>HYPERLINK("https://drive.google.com/file/d/1BT4lSf1xAxIgjuZYGjdS9aLD5pF5C0ae/view?usp=drivesdk","7569_FAUZIAH NUR BR HARAHAP  _ SERTIFIKAT BerAKHLAK")</f>
        <v>7569_FAUZIAH NUR BR HARAHAP  _ SERTIFIKAT BerAKHLAK</v>
      </c>
      <c r="P7570" s="5" t="s">
        <v>47961</v>
      </c>
    </row>
    <row r="7571">
      <c r="A7571" s="4">
        <v>45534.384138761576</v>
      </c>
      <c r="B7571" s="5" t="s">
        <v>34</v>
      </c>
      <c r="D7571" s="5" t="s">
        <v>10444</v>
      </c>
      <c r="E7571" s="5" t="s">
        <v>47983</v>
      </c>
      <c r="F7571" s="5" t="s">
        <v>108</v>
      </c>
      <c r="G7571" s="5" t="s">
        <v>47984</v>
      </c>
      <c r="H7571" s="6" t="s">
        <v>47985</v>
      </c>
      <c r="K7571" s="5" t="s">
        <v>47986</v>
      </c>
      <c r="M7571" s="5" t="s">
        <v>47987</v>
      </c>
      <c r="N7571" s="7" t="s">
        <v>47988</v>
      </c>
      <c r="O7571" s="8" t="str">
        <f>HYPERLINK("https://drive.google.com/file/d/1d3Daka7Pjf0yc4-Rddq8hPDzl_TAoL8R/view?usp=drivesdk","7570_JUMADI _ SERTIFIKAT BerAKHLAK")</f>
        <v>7570_JUMADI _ SERTIFIKAT BerAKHLAK</v>
      </c>
      <c r="P7571" s="5" t="s">
        <v>47989</v>
      </c>
    </row>
    <row r="7572">
      <c r="A7572" s="4">
        <v>45534.384140821756</v>
      </c>
      <c r="B7572" s="5" t="s">
        <v>34</v>
      </c>
      <c r="D7572" s="5" t="s">
        <v>10297</v>
      </c>
      <c r="E7572" s="5" t="s">
        <v>47990</v>
      </c>
      <c r="F7572" s="5" t="s">
        <v>72</v>
      </c>
      <c r="G7572" s="5" t="s">
        <v>47991</v>
      </c>
      <c r="H7572" s="6" t="s">
        <v>47992</v>
      </c>
      <c r="K7572" s="5" t="s">
        <v>47986</v>
      </c>
      <c r="M7572" s="5" t="s">
        <v>47993</v>
      </c>
      <c r="N7572" s="7" t="s">
        <v>47994</v>
      </c>
      <c r="O7572" s="8" t="str">
        <f>HYPERLINK("https://drive.google.com/file/d/13G-ZUKzEhm-J_FoqjQWZRb9fCML87b55/view?usp=drivesdk","7571_dr.ISNAENI SALAMIYAH  _ SERTIFIKAT BerAKHLAK")</f>
        <v>7571_dr.ISNAENI SALAMIYAH  _ SERTIFIKAT BerAKHLAK</v>
      </c>
      <c r="P7572" s="5" t="s">
        <v>47989</v>
      </c>
    </row>
    <row r="7573">
      <c r="A7573" s="4">
        <v>45534.38417005787</v>
      </c>
      <c r="B7573" s="5" t="s">
        <v>34</v>
      </c>
      <c r="D7573" s="5" t="s">
        <v>4775</v>
      </c>
      <c r="E7573" s="5" t="s">
        <v>47995</v>
      </c>
      <c r="F7573" s="5" t="s">
        <v>524</v>
      </c>
      <c r="G7573" s="5" t="s">
        <v>47996</v>
      </c>
      <c r="H7573" s="6" t="s">
        <v>47997</v>
      </c>
      <c r="K7573" s="5" t="s">
        <v>47986</v>
      </c>
      <c r="M7573" s="5" t="s">
        <v>47998</v>
      </c>
      <c r="N7573" s="7" t="s">
        <v>47999</v>
      </c>
      <c r="O7573" s="8" t="str">
        <f>HYPERLINK("https://drive.google.com/file/d/1YECR2TcAMXCk-_mOtlyuTSWmY11Fjmvh/view?usp=drivesdk","7572_NATALIA ANA SUPRIYANTARAI.,AMd.Farm. _ SERTIFIKAT BerAKHLAK")</f>
        <v>7572_NATALIA ANA SUPRIYANTARAI.,AMd.Farm. _ SERTIFIKAT BerAKHLAK</v>
      </c>
      <c r="P7573" s="5" t="s">
        <v>47989</v>
      </c>
    </row>
    <row r="7574" hidden="1">
      <c r="A7574" s="4">
        <v>45534.38417873843</v>
      </c>
      <c r="B7574" s="5" t="s">
        <v>19</v>
      </c>
      <c r="C7574" s="5" t="s">
        <v>442</v>
      </c>
      <c r="E7574" s="5" t="s">
        <v>48000</v>
      </c>
      <c r="F7574" s="5" t="s">
        <v>108</v>
      </c>
      <c r="G7574" s="5" t="s">
        <v>48001</v>
      </c>
      <c r="H7574" s="6" t="s">
        <v>48002</v>
      </c>
      <c r="K7574" s="5" t="s">
        <v>47986</v>
      </c>
      <c r="M7574" s="5" t="s">
        <v>48003</v>
      </c>
      <c r="N7574" s="7" t="s">
        <v>48004</v>
      </c>
      <c r="O7574" s="8" t="str">
        <f>HYPERLINK("https://drive.google.com/file/d/11a2ClLZDBaDtPgaQ50MeLjYS78rElq4R/view?usp=drivesdk","7573_ETI YULIANA _ SERTIFIKAT BerAKHLAK")</f>
        <v>7573_ETI YULIANA _ SERTIFIKAT BerAKHLAK</v>
      </c>
      <c r="P7574" s="5" t="s">
        <v>47989</v>
      </c>
    </row>
    <row r="7575">
      <c r="A7575" s="4">
        <v>45534.38422997685</v>
      </c>
      <c r="B7575" s="5" t="s">
        <v>34</v>
      </c>
      <c r="D7575" s="5" t="s">
        <v>1206</v>
      </c>
      <c r="E7575" s="5" t="s">
        <v>48005</v>
      </c>
      <c r="F7575" s="5" t="s">
        <v>37</v>
      </c>
      <c r="G7575" s="5" t="s">
        <v>48006</v>
      </c>
      <c r="H7575" s="6" t="s">
        <v>48007</v>
      </c>
      <c r="K7575" s="5" t="s">
        <v>48008</v>
      </c>
      <c r="M7575" s="5" t="s">
        <v>48009</v>
      </c>
      <c r="N7575" s="7" t="s">
        <v>48010</v>
      </c>
      <c r="O7575" s="8" t="str">
        <f>HYPERLINK("https://drive.google.com/file/d/1tplPF9OdQgVkYd9-7iCxB-I0tkfqb0vv/view?usp=drivesdk","7574_PENGATUR WANTO _ SERTIFIKAT BerAKHLAK")</f>
        <v>7574_PENGATUR WANTO _ SERTIFIKAT BerAKHLAK</v>
      </c>
      <c r="P7575" s="5" t="s">
        <v>48011</v>
      </c>
    </row>
    <row r="7576">
      <c r="A7576" s="4">
        <v>45534.3842337963</v>
      </c>
      <c r="B7576" s="5" t="s">
        <v>34</v>
      </c>
      <c r="D7576" s="5" t="s">
        <v>9020</v>
      </c>
      <c r="E7576" s="5" t="s">
        <v>48012</v>
      </c>
      <c r="F7576" s="5" t="s">
        <v>72</v>
      </c>
      <c r="G7576" s="5" t="s">
        <v>48013</v>
      </c>
      <c r="H7576" s="6" t="s">
        <v>48014</v>
      </c>
      <c r="K7576" s="5" t="s">
        <v>48008</v>
      </c>
      <c r="M7576" s="5" t="s">
        <v>48015</v>
      </c>
      <c r="N7576" s="7" t="s">
        <v>48016</v>
      </c>
      <c r="O7576" s="8" t="str">
        <f>HYPERLINK("https://drive.google.com/file/d/1_F_BxrYj4tT4yTqXLlIKe_G6fx2Kqvdo/view?usp=drivesdk","7575_KASMINEM _ SERTIFIKAT BerAKHLAK")</f>
        <v>7575_KASMINEM _ SERTIFIKAT BerAKHLAK</v>
      </c>
      <c r="P7576" s="5" t="s">
        <v>48011</v>
      </c>
    </row>
    <row r="7577">
      <c r="A7577" s="4">
        <v>45534.384261388885</v>
      </c>
      <c r="B7577" s="5" t="s">
        <v>34</v>
      </c>
      <c r="D7577" s="5" t="s">
        <v>12978</v>
      </c>
      <c r="E7577" s="5" t="s">
        <v>48017</v>
      </c>
      <c r="F7577" s="5" t="s">
        <v>715</v>
      </c>
      <c r="G7577" s="5" t="s">
        <v>48018</v>
      </c>
      <c r="H7577" s="6" t="s">
        <v>48019</v>
      </c>
      <c r="K7577" s="5" t="s">
        <v>48008</v>
      </c>
      <c r="M7577" s="5" t="s">
        <v>48020</v>
      </c>
      <c r="N7577" s="7" t="s">
        <v>48021</v>
      </c>
      <c r="O7577" s="8" t="str">
        <f>HYPERLINK("https://drive.google.com/file/d/1xwfz9YpIMHE0J7ZOx3XOLOCoxFVIPNBH/view?usp=drivesdk","7576_ROMADONI, S.Sos _ SERTIFIKAT BerAKHLAK")</f>
        <v>7576_ROMADONI, S.Sos _ SERTIFIKAT BerAKHLAK</v>
      </c>
      <c r="P7577" s="5" t="s">
        <v>48011</v>
      </c>
    </row>
    <row r="7578">
      <c r="A7578" s="4">
        <v>45534.38427011574</v>
      </c>
      <c r="B7578" s="5" t="s">
        <v>34</v>
      </c>
      <c r="D7578" s="5" t="s">
        <v>1692</v>
      </c>
      <c r="E7578" s="5" t="s">
        <v>48022</v>
      </c>
      <c r="F7578" s="5" t="s">
        <v>72</v>
      </c>
      <c r="G7578" s="5" t="s">
        <v>48023</v>
      </c>
      <c r="H7578" s="6" t="s">
        <v>48024</v>
      </c>
      <c r="K7578" s="5" t="s">
        <v>48008</v>
      </c>
      <c r="M7578" s="5" t="s">
        <v>48025</v>
      </c>
      <c r="N7578" s="7" t="s">
        <v>48026</v>
      </c>
      <c r="O7578" s="8" t="str">
        <f>HYPERLINK("https://drive.google.com/file/d/18ON0qZ5JvRhw50kNQTANNIwFKW9McKuB/view?usp=drivesdk","7577_DOMINGGUS BAKKER _ SERTIFIKAT BerAKHLAK")</f>
        <v>7577_DOMINGGUS BAKKER _ SERTIFIKAT BerAKHLAK</v>
      </c>
      <c r="P7578" s="5" t="s">
        <v>48011</v>
      </c>
    </row>
    <row r="7579">
      <c r="A7579" s="4">
        <v>45534.3842749537</v>
      </c>
      <c r="B7579" s="5" t="s">
        <v>34</v>
      </c>
      <c r="D7579" s="5" t="s">
        <v>10297</v>
      </c>
      <c r="E7579" s="5" t="s">
        <v>48027</v>
      </c>
      <c r="F7579" s="5" t="s">
        <v>524</v>
      </c>
      <c r="G7579" s="5" t="s">
        <v>48028</v>
      </c>
      <c r="H7579" s="6" t="s">
        <v>48029</v>
      </c>
      <c r="K7579" s="5" t="s">
        <v>48008</v>
      </c>
      <c r="M7579" s="5" t="s">
        <v>48030</v>
      </c>
      <c r="N7579" s="7" t="s">
        <v>48031</v>
      </c>
      <c r="O7579" s="8" t="str">
        <f>HYPERLINK("https://drive.google.com/file/d/1ox1BvCn_lhG_p0uM6yfcylsm2Xo1PlMD/view?usp=drivesdk","7578_NOVITA RISNASARI, S.K.M. _ SERTIFIKAT BerAKHLAK")</f>
        <v>7578_NOVITA RISNASARI, S.K.M. _ SERTIFIKAT BerAKHLAK</v>
      </c>
      <c r="P7579" s="5" t="s">
        <v>48011</v>
      </c>
    </row>
    <row r="7580">
      <c r="A7580" s="4">
        <v>45534.38427342592</v>
      </c>
      <c r="B7580" s="5" t="s">
        <v>34</v>
      </c>
      <c r="D7580" s="5" t="s">
        <v>580</v>
      </c>
      <c r="E7580" s="5" t="s">
        <v>48032</v>
      </c>
      <c r="F7580" s="5" t="s">
        <v>37</v>
      </c>
      <c r="G7580" s="5" t="s">
        <v>48033</v>
      </c>
      <c r="H7580" s="6" t="s">
        <v>48034</v>
      </c>
      <c r="K7580" s="5" t="s">
        <v>48008</v>
      </c>
      <c r="M7580" s="5" t="s">
        <v>48035</v>
      </c>
      <c r="N7580" s="7" t="s">
        <v>48036</v>
      </c>
      <c r="O7580" s="8" t="str">
        <f>HYPERLINK("https://drive.google.com/file/d/1UIxUjj5IxN1IJWhfxTgOoxDXBZaslU5H/view?usp=drivesdk","7579_I NENGAH SUTEJA  _ SERTIFIKAT BerAKHLAK")</f>
        <v>7579_I NENGAH SUTEJA  _ SERTIFIKAT BerAKHLAK</v>
      </c>
      <c r="P7580" s="5" t="s">
        <v>48037</v>
      </c>
    </row>
    <row r="7581" hidden="1">
      <c r="A7581" s="4">
        <v>45534.38435375</v>
      </c>
      <c r="B7581" s="5" t="s">
        <v>19</v>
      </c>
      <c r="C7581" s="5" t="s">
        <v>5058</v>
      </c>
      <c r="E7581" s="5" t="s">
        <v>48038</v>
      </c>
      <c r="F7581" s="5" t="s">
        <v>108</v>
      </c>
      <c r="G7581" s="5" t="s">
        <v>48039</v>
      </c>
      <c r="H7581" s="6" t="s">
        <v>48040</v>
      </c>
      <c r="K7581" s="5" t="s">
        <v>48041</v>
      </c>
      <c r="M7581" s="5" t="s">
        <v>48042</v>
      </c>
      <c r="N7581" s="7" t="s">
        <v>48043</v>
      </c>
      <c r="O7581" s="8" t="str">
        <f>HYPERLINK("https://drive.google.com/file/d/1A0rqaqnRdcPP1LrWgGOYvfWllQaFbOXg/view?usp=drivesdk","7580_DEWI ARFAH LUBIS _ SERTIFIKAT BerAKHLAK")</f>
        <v>7580_DEWI ARFAH LUBIS _ SERTIFIKAT BerAKHLAK</v>
      </c>
      <c r="P7581" s="5" t="s">
        <v>48037</v>
      </c>
    </row>
    <row r="7582" hidden="1">
      <c r="A7582" s="4">
        <v>45534.38437885417</v>
      </c>
      <c r="B7582" s="5" t="s">
        <v>19</v>
      </c>
      <c r="C7582" s="5" t="s">
        <v>3301</v>
      </c>
      <c r="E7582" s="5" t="s">
        <v>48044</v>
      </c>
      <c r="F7582" s="5" t="s">
        <v>715</v>
      </c>
      <c r="G7582" s="5" t="s">
        <v>48045</v>
      </c>
      <c r="H7582" s="6" t="s">
        <v>48046</v>
      </c>
      <c r="K7582" s="5" t="s">
        <v>48041</v>
      </c>
      <c r="M7582" s="5" t="s">
        <v>48047</v>
      </c>
      <c r="N7582" s="7" t="s">
        <v>48048</v>
      </c>
      <c r="O7582" s="8" t="str">
        <f>HYPERLINK("https://drive.google.com/file/d/1tdib-THnKAe0lgmw9GypCdWJ4JAeTGE0/view?usp=drivesdk","7581_SUMARNO TOYOTA _ SERTIFIKAT BerAKHLAK")</f>
        <v>7581_SUMARNO TOYOTA _ SERTIFIKAT BerAKHLAK</v>
      </c>
      <c r="P7582" s="5" t="s">
        <v>48037</v>
      </c>
    </row>
    <row r="7583">
      <c r="A7583" s="4">
        <v>45534.38438467593</v>
      </c>
      <c r="B7583" s="5" t="s">
        <v>34</v>
      </c>
      <c r="D7583" s="5" t="s">
        <v>522</v>
      </c>
      <c r="E7583" s="5" t="s">
        <v>48049</v>
      </c>
      <c r="F7583" s="5" t="s">
        <v>212</v>
      </c>
      <c r="G7583" s="5" t="s">
        <v>48050</v>
      </c>
      <c r="H7583" s="6" t="s">
        <v>48051</v>
      </c>
      <c r="K7583" s="5" t="s">
        <v>48041</v>
      </c>
      <c r="M7583" s="5" t="s">
        <v>48052</v>
      </c>
      <c r="N7583" s="7" t="s">
        <v>48053</v>
      </c>
      <c r="O7583" s="8" t="str">
        <f>HYPERLINK("https://drive.google.com/file/d/1zHM8iIwMoBtp8he-4vHJWcfNalxmTZq4/view?usp=drivesdk","7582_BAIQ.WIRDATUL AINI _ SERTIFIKAT BerAKHLAK")</f>
        <v>7582_BAIQ.WIRDATUL AINI _ SERTIFIKAT BerAKHLAK</v>
      </c>
      <c r="P7583" s="5" t="s">
        <v>48037</v>
      </c>
    </row>
    <row r="7584">
      <c r="A7584" s="4">
        <v>45534.38439197917</v>
      </c>
      <c r="B7584" s="5" t="s">
        <v>34</v>
      </c>
      <c r="D7584" s="5" t="s">
        <v>9020</v>
      </c>
      <c r="E7584" s="5" t="s">
        <v>48054</v>
      </c>
      <c r="F7584" s="5" t="s">
        <v>375</v>
      </c>
      <c r="G7584" s="5" t="s">
        <v>48055</v>
      </c>
      <c r="H7584" s="6" t="s">
        <v>48056</v>
      </c>
      <c r="K7584" s="5" t="s">
        <v>48041</v>
      </c>
      <c r="M7584" s="5" t="s">
        <v>48057</v>
      </c>
      <c r="N7584" s="7" t="s">
        <v>48058</v>
      </c>
      <c r="O7584" s="8" t="str">
        <f>HYPERLINK("https://drive.google.com/file/d/1b3zXVsacB28u3MXj6w2JbF_sIGtnc-l4/view?usp=drivesdk","7583_Muhammad Kiki Ardiansyah SE  _ SERTIFIKAT BerAKHLAK")</f>
        <v>7583_Muhammad Kiki Ardiansyah SE  _ SERTIFIKAT BerAKHLAK</v>
      </c>
      <c r="P7584" s="5" t="s">
        <v>48059</v>
      </c>
    </row>
    <row r="7585">
      <c r="A7585" s="4">
        <v>45534.38445085648</v>
      </c>
      <c r="B7585" s="5" t="s">
        <v>34</v>
      </c>
      <c r="D7585" s="5" t="s">
        <v>14313</v>
      </c>
      <c r="E7585" s="5" t="s">
        <v>48060</v>
      </c>
      <c r="F7585" s="5" t="s">
        <v>199</v>
      </c>
      <c r="G7585" s="5" t="s">
        <v>48061</v>
      </c>
      <c r="H7585" s="6" t="s">
        <v>48062</v>
      </c>
      <c r="K7585" s="5" t="s">
        <v>48063</v>
      </c>
      <c r="M7585" s="5" t="s">
        <v>48064</v>
      </c>
      <c r="N7585" s="7" t="s">
        <v>48065</v>
      </c>
      <c r="O7585" s="8" t="str">
        <f>HYPERLINK("https://drive.google.com/file/d/1kTnUmM-jntQHxWIwxr7bHqHlfYF5Hjnz/view?usp=drivesdk","7584_PATMAWATI _ SERTIFIKAT BerAKHLAK")</f>
        <v>7584_PATMAWATI _ SERTIFIKAT BerAKHLAK</v>
      </c>
      <c r="P7585" s="5" t="s">
        <v>48059</v>
      </c>
    </row>
    <row r="7586">
      <c r="A7586" s="4">
        <v>45534.384458298606</v>
      </c>
      <c r="B7586" s="5" t="s">
        <v>34</v>
      </c>
      <c r="D7586" s="5" t="s">
        <v>9394</v>
      </c>
      <c r="E7586" s="5" t="s">
        <v>48066</v>
      </c>
      <c r="F7586" s="5" t="s">
        <v>715</v>
      </c>
      <c r="G7586" s="5" t="s">
        <v>48067</v>
      </c>
      <c r="H7586" s="6" t="s">
        <v>48068</v>
      </c>
      <c r="K7586" s="5" t="s">
        <v>48063</v>
      </c>
      <c r="M7586" s="5" t="s">
        <v>48069</v>
      </c>
      <c r="N7586" s="7" t="s">
        <v>48070</v>
      </c>
      <c r="O7586" s="8" t="str">
        <f>HYPERLINK("https://drive.google.com/file/d/1fJjbV5-6SpGnBnwn9KyAgjB7CvDQVI5i/view?usp=drivesdk","7585_CANDRA AGUS RINASARI, S.M. _ SERTIFIKAT BerAKHLAK")</f>
        <v>7585_CANDRA AGUS RINASARI, S.M. _ SERTIFIKAT BerAKHLAK</v>
      </c>
      <c r="P7586" s="5" t="s">
        <v>48059</v>
      </c>
    </row>
    <row r="7587">
      <c r="A7587" s="4">
        <v>45534.38447076389</v>
      </c>
      <c r="B7587" s="5" t="s">
        <v>34</v>
      </c>
      <c r="D7587" s="5" t="s">
        <v>4775</v>
      </c>
      <c r="E7587" s="5" t="s">
        <v>48071</v>
      </c>
      <c r="F7587" s="5" t="s">
        <v>375</v>
      </c>
      <c r="G7587" s="5" t="s">
        <v>48072</v>
      </c>
      <c r="H7587" s="6" t="s">
        <v>48073</v>
      </c>
      <c r="K7587" s="5" t="s">
        <v>48074</v>
      </c>
      <c r="M7587" s="5" t="s">
        <v>48075</v>
      </c>
      <c r="N7587" s="7" t="s">
        <v>48076</v>
      </c>
      <c r="O7587" s="8" t="str">
        <f>HYPERLINK("https://drive.google.com/file/d/1aZE5erPTicbsCeFEAQtCdnxh-18e5pzl/view?usp=drivesdk","7586_dr. EDY WIRASTHO _ SERTIFIKAT BerAKHLAK")</f>
        <v>7586_dr. EDY WIRASTHO _ SERTIFIKAT BerAKHLAK</v>
      </c>
      <c r="P7587" s="5" t="s">
        <v>48077</v>
      </c>
    </row>
    <row r="7588">
      <c r="A7588" s="4">
        <v>45534.384484027774</v>
      </c>
      <c r="B7588" s="5" t="s">
        <v>34</v>
      </c>
      <c r="D7588" s="5" t="s">
        <v>4775</v>
      </c>
      <c r="E7588" s="5" t="s">
        <v>48078</v>
      </c>
      <c r="F7588" s="5" t="s">
        <v>212</v>
      </c>
      <c r="G7588" s="5" t="s">
        <v>48079</v>
      </c>
      <c r="H7588" s="6" t="s">
        <v>48080</v>
      </c>
      <c r="K7588" s="5" t="s">
        <v>48074</v>
      </c>
      <c r="M7588" s="5" t="s">
        <v>48081</v>
      </c>
      <c r="N7588" s="7" t="s">
        <v>48082</v>
      </c>
      <c r="O7588" s="8" t="str">
        <f>HYPERLINK("https://drive.google.com/file/d/1wgSyxLg2RtqyknTLUtxACKwKl8-ZbTSX/view?usp=drivesdk","7587_SUNDARI _ SERTIFIKAT BerAKHLAK")</f>
        <v>7587_SUNDARI _ SERTIFIKAT BerAKHLAK</v>
      </c>
      <c r="P7588" s="5" t="s">
        <v>48077</v>
      </c>
    </row>
    <row r="7589">
      <c r="A7589" s="4">
        <v>45534.384488564814</v>
      </c>
      <c r="B7589" s="5" t="s">
        <v>34</v>
      </c>
      <c r="D7589" s="5" t="s">
        <v>7858</v>
      </c>
      <c r="E7589" s="5" t="s">
        <v>48083</v>
      </c>
      <c r="F7589" s="5" t="s">
        <v>524</v>
      </c>
      <c r="G7589" s="5" t="s">
        <v>48084</v>
      </c>
      <c r="H7589" s="6" t="s">
        <v>48085</v>
      </c>
      <c r="K7589" s="5" t="s">
        <v>48074</v>
      </c>
      <c r="M7589" s="5" t="s">
        <v>48086</v>
      </c>
      <c r="N7589" s="7" t="s">
        <v>48087</v>
      </c>
      <c r="O7589" s="8" t="str">
        <f>HYPERLINK("https://drive.google.com/file/d/1KwLu-0Exs5BtrQhnjNbHWWmtuqXpACAf/view?usp=drivesdk","7588_Nova Fuji Lestari _ SERTIFIKAT BerAKHLAK")</f>
        <v>7588_Nova Fuji Lestari _ SERTIFIKAT BerAKHLAK</v>
      </c>
      <c r="P7589" s="5" t="s">
        <v>48077</v>
      </c>
    </row>
    <row r="7590">
      <c r="A7590" s="4">
        <v>45534.384526319445</v>
      </c>
      <c r="B7590" s="5" t="s">
        <v>34</v>
      </c>
      <c r="D7590" s="5" t="s">
        <v>701</v>
      </c>
      <c r="E7590" s="5" t="s">
        <v>48088</v>
      </c>
      <c r="F7590" s="5" t="s">
        <v>199</v>
      </c>
      <c r="G7590" s="5" t="s">
        <v>48089</v>
      </c>
      <c r="H7590" s="6" t="s">
        <v>48090</v>
      </c>
      <c r="K7590" s="5" t="s">
        <v>48091</v>
      </c>
      <c r="M7590" s="5" t="s">
        <v>48092</v>
      </c>
      <c r="N7590" s="7" t="s">
        <v>48093</v>
      </c>
      <c r="O7590" s="8" t="str">
        <f>HYPERLINK("https://drive.google.com/file/d/1OARyXUyDDOe1sbYqcHkQS-OwN2yJ4jdp/view?usp=drivesdk","7589_SISKA INDRIYANI  _ SERTIFIKAT BerAKHLAK")</f>
        <v>7589_SISKA INDRIYANI  _ SERTIFIKAT BerAKHLAK</v>
      </c>
      <c r="P7590" s="5" t="s">
        <v>48077</v>
      </c>
    </row>
    <row r="7591" hidden="1">
      <c r="A7591" s="4">
        <v>45534.3845534375</v>
      </c>
      <c r="B7591" s="5" t="s">
        <v>19</v>
      </c>
      <c r="C7591" s="5" t="s">
        <v>45988</v>
      </c>
      <c r="E7591" s="5" t="s">
        <v>48094</v>
      </c>
      <c r="F7591" s="5" t="s">
        <v>212</v>
      </c>
      <c r="G7591" s="5" t="s">
        <v>48095</v>
      </c>
      <c r="H7591" s="6" t="s">
        <v>48096</v>
      </c>
      <c r="K7591" s="5" t="s">
        <v>48091</v>
      </c>
      <c r="M7591" s="5" t="s">
        <v>48097</v>
      </c>
      <c r="N7591" s="7" t="s">
        <v>48098</v>
      </c>
      <c r="O7591" s="8" t="str">
        <f>HYPERLINK("https://drive.google.com/file/d/1HAG3xv_g7AvPSm9goHAsyDs2HEpN2K_t/view?usp=drivesdk","7590_TRI HARYANI _ SERTIFIKAT BerAKHLAK")</f>
        <v>7590_TRI HARYANI _ SERTIFIKAT BerAKHLAK</v>
      </c>
      <c r="P7591" s="5" t="s">
        <v>48099</v>
      </c>
    </row>
    <row r="7592">
      <c r="A7592" s="4">
        <v>45534.38455393519</v>
      </c>
      <c r="B7592" s="5" t="s">
        <v>34</v>
      </c>
      <c r="D7592" s="5" t="s">
        <v>1206</v>
      </c>
      <c r="E7592" s="5" t="s">
        <v>48100</v>
      </c>
      <c r="F7592" s="5" t="s">
        <v>72</v>
      </c>
      <c r="G7592" s="5" t="s">
        <v>48101</v>
      </c>
      <c r="H7592" s="6" t="s">
        <v>48102</v>
      </c>
      <c r="K7592" s="5" t="s">
        <v>48091</v>
      </c>
      <c r="M7592" s="5" t="s">
        <v>48103</v>
      </c>
      <c r="N7592" s="7" t="s">
        <v>48104</v>
      </c>
      <c r="O7592" s="8" t="str">
        <f>HYPERLINK("https://drive.google.com/file/d/1Hv_CuJVvUrBJwUUqcSVnRUOLtZq6wJu7/view?usp=drivesdk","7591_DIYAH INDRIYANI, S.SOS _ SERTIFIKAT BerAKHLAK")</f>
        <v>7591_DIYAH INDRIYANI, S.SOS _ SERTIFIKAT BerAKHLAK</v>
      </c>
      <c r="P7592" s="5" t="s">
        <v>48099</v>
      </c>
    </row>
    <row r="7593">
      <c r="A7593" s="4">
        <v>45534.38456261574</v>
      </c>
      <c r="B7593" s="5" t="s">
        <v>34</v>
      </c>
      <c r="D7593" s="5" t="s">
        <v>35</v>
      </c>
      <c r="E7593" s="5" t="s">
        <v>48105</v>
      </c>
      <c r="F7593" s="5" t="s">
        <v>108</v>
      </c>
      <c r="G7593" s="5" t="s">
        <v>48106</v>
      </c>
      <c r="H7593" s="6" t="s">
        <v>48107</v>
      </c>
      <c r="K7593" s="5" t="s">
        <v>48091</v>
      </c>
      <c r="M7593" s="5" t="s">
        <v>48108</v>
      </c>
      <c r="N7593" s="7" t="s">
        <v>48109</v>
      </c>
      <c r="O7593" s="8" t="str">
        <f>HYPERLINK("https://drive.google.com/file/d/18rHeQLalgQhQk-dhouARCJnFUgP-n4Oi/view?usp=drivesdk","7592_YANTI RAHMAWATI, A.Md _ SERTIFIKAT BerAKHLAK")</f>
        <v>7592_YANTI RAHMAWATI, A.Md _ SERTIFIKAT BerAKHLAK</v>
      </c>
      <c r="P7593" s="5" t="s">
        <v>48099</v>
      </c>
    </row>
    <row r="7594">
      <c r="A7594" s="4">
        <v>45534.38458570602</v>
      </c>
      <c r="B7594" s="5" t="s">
        <v>34</v>
      </c>
      <c r="D7594" s="5" t="s">
        <v>4775</v>
      </c>
      <c r="E7594" s="5" t="s">
        <v>48110</v>
      </c>
      <c r="F7594" s="5" t="s">
        <v>212</v>
      </c>
      <c r="G7594" s="5" t="s">
        <v>48111</v>
      </c>
      <c r="H7594" s="6" t="s">
        <v>48112</v>
      </c>
      <c r="K7594" s="5" t="s">
        <v>48113</v>
      </c>
      <c r="M7594" s="5" t="s">
        <v>48114</v>
      </c>
      <c r="N7594" s="7" t="s">
        <v>48115</v>
      </c>
      <c r="O7594" s="8" t="str">
        <f>HYPERLINK("https://drive.google.com/file/d/1I0cfoTJZGBPzTaWyInI7qlgc9fLE_05-/view?usp=drivesdk","7593_ROJIYEM _ SERTIFIKAT BerAKHLAK")</f>
        <v>7593_ROJIYEM _ SERTIFIKAT BerAKHLAK</v>
      </c>
      <c r="P7594" s="5" t="s">
        <v>48099</v>
      </c>
    </row>
    <row r="7595">
      <c r="A7595" s="4">
        <v>45534.38469096065</v>
      </c>
      <c r="B7595" s="5" t="s">
        <v>34</v>
      </c>
      <c r="D7595" s="5" t="s">
        <v>1206</v>
      </c>
      <c r="E7595" s="5" t="s">
        <v>48116</v>
      </c>
      <c r="F7595" s="5" t="s">
        <v>37</v>
      </c>
      <c r="G7595" s="5" t="s">
        <v>48117</v>
      </c>
      <c r="H7595" s="6" t="s">
        <v>48118</v>
      </c>
      <c r="K7595" s="5" t="s">
        <v>48119</v>
      </c>
      <c r="M7595" s="5" t="s">
        <v>48120</v>
      </c>
      <c r="N7595" s="7" t="s">
        <v>48121</v>
      </c>
      <c r="O7595" s="8" t="str">
        <f>HYPERLINK("https://drive.google.com/file/d/1S-RBr4cXQ5sg5NnM4ZCY8tc1B4odA9nv/view?usp=drivesdk","7594_NURYATI _ SERTIFIKAT BerAKHLAK")</f>
        <v>7594_NURYATI _ SERTIFIKAT BerAKHLAK</v>
      </c>
      <c r="P7595" s="5" t="s">
        <v>48122</v>
      </c>
    </row>
    <row r="7596">
      <c r="A7596" s="4">
        <v>45534.384708020836</v>
      </c>
      <c r="B7596" s="5" t="s">
        <v>34</v>
      </c>
      <c r="D7596" s="5" t="s">
        <v>1206</v>
      </c>
      <c r="E7596" s="5" t="s">
        <v>48123</v>
      </c>
      <c r="F7596" s="5" t="s">
        <v>524</v>
      </c>
      <c r="G7596" s="5" t="s">
        <v>48124</v>
      </c>
      <c r="H7596" s="6" t="s">
        <v>48125</v>
      </c>
      <c r="K7596" s="5" t="s">
        <v>48119</v>
      </c>
      <c r="M7596" s="5" t="s">
        <v>48126</v>
      </c>
      <c r="N7596" s="7" t="s">
        <v>48127</v>
      </c>
      <c r="O7596" s="8" t="str">
        <f>HYPERLINK("https://drive.google.com/file/d/1smglz3OJGMNpGdricR1oJ6VFvrDLitiT/view?usp=drivesdk","7595_Etik Dwi Rochmiyanti  _ SERTIFIKAT BerAKHLAK")</f>
        <v>7595_Etik Dwi Rochmiyanti  _ SERTIFIKAT BerAKHLAK</v>
      </c>
      <c r="P7596" s="5" t="s">
        <v>48122</v>
      </c>
    </row>
    <row r="7597">
      <c r="A7597" s="4">
        <v>45534.384711192135</v>
      </c>
      <c r="B7597" s="5" t="s">
        <v>34</v>
      </c>
      <c r="D7597" s="5" t="s">
        <v>9020</v>
      </c>
      <c r="E7597" s="5" t="s">
        <v>48128</v>
      </c>
      <c r="F7597" s="5" t="s">
        <v>37</v>
      </c>
      <c r="G7597" s="5" t="s">
        <v>48129</v>
      </c>
      <c r="H7597" s="6" t="s">
        <v>48130</v>
      </c>
      <c r="K7597" s="5" t="s">
        <v>48119</v>
      </c>
      <c r="M7597" s="5" t="s">
        <v>48131</v>
      </c>
      <c r="N7597" s="7" t="s">
        <v>48132</v>
      </c>
      <c r="O7597" s="8" t="str">
        <f>HYPERLINK("https://drive.google.com/file/d/1gIc5MojJqqOhUwo1LYAzS-9q3Qt80hsD/view?usp=drivesdk","7596_NUR AZMAN CANIAGO _ SERTIFIKAT BerAKHLAK")</f>
        <v>7596_NUR AZMAN CANIAGO _ SERTIFIKAT BerAKHLAK</v>
      </c>
      <c r="P7597" s="5" t="s">
        <v>48122</v>
      </c>
    </row>
    <row r="7598">
      <c r="A7598" s="4">
        <v>45534.38471372685</v>
      </c>
      <c r="B7598" s="5" t="s">
        <v>34</v>
      </c>
      <c r="D7598" s="5" t="s">
        <v>996</v>
      </c>
      <c r="E7598" s="5" t="s">
        <v>48133</v>
      </c>
      <c r="F7598" s="5" t="s">
        <v>524</v>
      </c>
      <c r="G7598" s="5" t="s">
        <v>48134</v>
      </c>
      <c r="H7598" s="6" t="s">
        <v>48135</v>
      </c>
      <c r="K7598" s="5" t="s">
        <v>48119</v>
      </c>
      <c r="M7598" s="5" t="s">
        <v>48136</v>
      </c>
      <c r="N7598" s="7" t="s">
        <v>48137</v>
      </c>
      <c r="O7598" s="8" t="str">
        <f>HYPERLINK("https://drive.google.com/file/d/1utkmDfceJ4-lA9ZKshamlK_mHyPUNtMw/view?usp=drivesdk","7597_ELISABET YULI PAGO _ SERTIFIKAT BerAKHLAK")</f>
        <v>7597_ELISABET YULI PAGO _ SERTIFIKAT BerAKHLAK</v>
      </c>
      <c r="P7598" s="5" t="s">
        <v>48122</v>
      </c>
    </row>
    <row r="7599">
      <c r="A7599" s="4">
        <v>45534.384732708335</v>
      </c>
      <c r="B7599" s="5" t="s">
        <v>34</v>
      </c>
      <c r="D7599" s="5" t="s">
        <v>12010</v>
      </c>
      <c r="E7599" s="5" t="s">
        <v>48138</v>
      </c>
      <c r="F7599" s="5" t="s">
        <v>37</v>
      </c>
      <c r="G7599" s="5" t="s">
        <v>48139</v>
      </c>
      <c r="H7599" s="6" t="s">
        <v>48140</v>
      </c>
      <c r="K7599" s="5" t="s">
        <v>48141</v>
      </c>
      <c r="M7599" s="5" t="s">
        <v>48142</v>
      </c>
      <c r="N7599" s="7" t="s">
        <v>48143</v>
      </c>
      <c r="O7599" s="8" t="str">
        <f>HYPERLINK("https://drive.google.com/file/d/1M3ldcyAykOur1_aA3UNEtSPES6dEGXmj/view?usp=drivesdk","7598_WIWIEK ABDULAH BIYA _ SERTIFIKAT BerAKHLAK")</f>
        <v>7598_WIWIEK ABDULAH BIYA _ SERTIFIKAT BerAKHLAK</v>
      </c>
      <c r="P7599" s="5" t="s">
        <v>48144</v>
      </c>
    </row>
    <row r="7600" hidden="1">
      <c r="A7600" s="4">
        <v>45534.3847653125</v>
      </c>
      <c r="B7600" s="5" t="s">
        <v>19</v>
      </c>
      <c r="C7600" s="5" t="s">
        <v>442</v>
      </c>
      <c r="E7600" s="5" t="s">
        <v>48145</v>
      </c>
      <c r="F7600" s="5" t="s">
        <v>108</v>
      </c>
      <c r="G7600" s="5" t="s">
        <v>48146</v>
      </c>
      <c r="H7600" s="6" t="s">
        <v>48147</v>
      </c>
      <c r="K7600" s="5" t="s">
        <v>48148</v>
      </c>
      <c r="M7600" s="5" t="s">
        <v>48149</v>
      </c>
      <c r="N7600" s="7" t="s">
        <v>48150</v>
      </c>
      <c r="O7600" s="8" t="str">
        <f>HYPERLINK("https://drive.google.com/file/d/1hygxrGq8LzxAfp3im8lMOgWi14SUhXPa/view?usp=drivesdk","7599_EKA BAGUS PANUNTUN, S.M. _ SERTIFIKAT BerAKHLAK")</f>
        <v>7599_EKA BAGUS PANUNTUN, S.M. _ SERTIFIKAT BerAKHLAK</v>
      </c>
      <c r="P7600" s="5" t="s">
        <v>48144</v>
      </c>
    </row>
    <row r="7601">
      <c r="A7601" s="4">
        <v>45534.38479494213</v>
      </c>
      <c r="B7601" s="5" t="s">
        <v>34</v>
      </c>
      <c r="D7601" s="5" t="s">
        <v>1206</v>
      </c>
      <c r="E7601" s="5" t="s">
        <v>48151</v>
      </c>
      <c r="F7601" s="5" t="s">
        <v>37</v>
      </c>
      <c r="G7601" s="5" t="s">
        <v>48152</v>
      </c>
      <c r="H7601" s="6" t="s">
        <v>48153</v>
      </c>
      <c r="K7601" s="5" t="s">
        <v>48154</v>
      </c>
      <c r="M7601" s="5" t="s">
        <v>48155</v>
      </c>
      <c r="N7601" s="7" t="s">
        <v>48156</v>
      </c>
      <c r="O7601" s="8" t="str">
        <f>HYPERLINK("https://drive.google.com/file/d/1q2_plajrdP6F4Kn20XDKj09_NdSEmGVX/view?usp=drivesdk","7600_PUGUH PURWANTO _ SERTIFIKAT BerAKHLAK")</f>
        <v>7600_PUGUH PURWANTO _ SERTIFIKAT BerAKHLAK</v>
      </c>
      <c r="P7601" s="5" t="s">
        <v>48144</v>
      </c>
    </row>
    <row r="7602">
      <c r="A7602" s="4">
        <v>45534.384799363426</v>
      </c>
      <c r="B7602" s="5" t="s">
        <v>34</v>
      </c>
      <c r="D7602" s="5" t="s">
        <v>1206</v>
      </c>
      <c r="E7602" s="5" t="s">
        <v>48157</v>
      </c>
      <c r="F7602" s="5" t="s">
        <v>37</v>
      </c>
      <c r="G7602" s="5" t="s">
        <v>48158</v>
      </c>
      <c r="H7602" s="6" t="s">
        <v>48159</v>
      </c>
      <c r="K7602" s="5" t="s">
        <v>48154</v>
      </c>
      <c r="M7602" s="5" t="s">
        <v>48160</v>
      </c>
      <c r="N7602" s="7" t="s">
        <v>48161</v>
      </c>
      <c r="O7602" s="8" t="str">
        <f>HYPERLINK("https://drive.google.com/file/d/1JREuNSyKmw5HGDiVsNsgX338zTa43mHs/view?usp=drivesdk","7601_TRI MAYANGGONO _ SERTIFIKAT BerAKHLAK")</f>
        <v>7601_TRI MAYANGGONO _ SERTIFIKAT BerAKHLAK</v>
      </c>
      <c r="P7602" s="5" t="s">
        <v>48144</v>
      </c>
    </row>
    <row r="7603" hidden="1">
      <c r="A7603" s="4">
        <v>45534.384801099535</v>
      </c>
      <c r="B7603" s="5" t="s">
        <v>19</v>
      </c>
      <c r="C7603" s="5" t="s">
        <v>83</v>
      </c>
      <c r="E7603" s="5" t="s">
        <v>48162</v>
      </c>
      <c r="F7603" s="5" t="s">
        <v>120</v>
      </c>
      <c r="G7603" s="5" t="s">
        <v>48163</v>
      </c>
      <c r="H7603" s="6" t="s">
        <v>48164</v>
      </c>
      <c r="K7603" s="5" t="s">
        <v>48154</v>
      </c>
      <c r="M7603" s="5" t="s">
        <v>48165</v>
      </c>
      <c r="N7603" s="7" t="s">
        <v>48166</v>
      </c>
      <c r="O7603" s="8" t="str">
        <f>HYPERLINK("https://drive.google.com/file/d/1Ea6b1Ou5zzMCr9Jj3SEwhx0WUIZIdNXJ/view?usp=drivesdk","7602_NIKEN HERYATI _ SERTIFIKAT BerAKHLAK")</f>
        <v>7602_NIKEN HERYATI _ SERTIFIKAT BerAKHLAK</v>
      </c>
      <c r="P7603" s="5" t="s">
        <v>48167</v>
      </c>
    </row>
    <row r="7604">
      <c r="A7604" s="4">
        <v>45534.384854918986</v>
      </c>
      <c r="B7604" s="5" t="s">
        <v>34</v>
      </c>
      <c r="D7604" s="5" t="s">
        <v>4775</v>
      </c>
      <c r="E7604" s="5" t="s">
        <v>48168</v>
      </c>
      <c r="F7604" s="5" t="s">
        <v>524</v>
      </c>
      <c r="G7604" s="5" t="s">
        <v>48169</v>
      </c>
      <c r="H7604" s="6" t="s">
        <v>48170</v>
      </c>
      <c r="K7604" s="5" t="s">
        <v>48171</v>
      </c>
      <c r="M7604" s="5" t="s">
        <v>48172</v>
      </c>
      <c r="N7604" s="7" t="s">
        <v>48173</v>
      </c>
      <c r="O7604" s="8" t="str">
        <f>HYPERLINK("https://drive.google.com/file/d/1zGXh29fE18pcybvQZjfSJxOytNyG2k3a/view?usp=drivesdk","7603_ENDANG LISTIYANINGSIH _ SERTIFIKAT BerAKHLAK")</f>
        <v>7603_ENDANG LISTIYANINGSIH _ SERTIFIKAT BerAKHLAK</v>
      </c>
      <c r="P7604" s="5" t="s">
        <v>48167</v>
      </c>
    </row>
    <row r="7605">
      <c r="A7605" s="4">
        <v>45534.384860879625</v>
      </c>
      <c r="B7605" s="5" t="s">
        <v>34</v>
      </c>
      <c r="D7605" s="5" t="s">
        <v>280</v>
      </c>
      <c r="E7605" s="5" t="s">
        <v>48174</v>
      </c>
      <c r="F7605" s="5" t="s">
        <v>524</v>
      </c>
      <c r="G7605" s="5" t="s">
        <v>48175</v>
      </c>
      <c r="H7605" s="6" t="s">
        <v>48176</v>
      </c>
      <c r="K7605" s="5" t="s">
        <v>48177</v>
      </c>
      <c r="M7605" s="5" t="s">
        <v>48178</v>
      </c>
      <c r="N7605" s="7" t="s">
        <v>48179</v>
      </c>
      <c r="O7605" s="8" t="str">
        <f>HYPERLINK("https://drive.google.com/file/d/1w99OCE_YLKIG1-Cf6UpDBzD4He0W3Vxq/view?usp=drivesdk","7604_ROSTIANA PANJAITAN _ SERTIFIKAT BerAKHLAK")</f>
        <v>7604_ROSTIANA PANJAITAN _ SERTIFIKAT BerAKHLAK</v>
      </c>
      <c r="P7605" s="5" t="s">
        <v>48167</v>
      </c>
    </row>
    <row r="7606">
      <c r="A7606" s="4">
        <v>45534.384858136575</v>
      </c>
      <c r="B7606" s="5" t="s">
        <v>34</v>
      </c>
      <c r="D7606" s="5" t="s">
        <v>2903</v>
      </c>
      <c r="E7606" s="5" t="s">
        <v>48180</v>
      </c>
      <c r="F7606" s="5" t="s">
        <v>85</v>
      </c>
      <c r="G7606" s="5" t="s">
        <v>48181</v>
      </c>
      <c r="H7606" s="6" t="s">
        <v>48182</v>
      </c>
      <c r="K7606" s="5" t="s">
        <v>48177</v>
      </c>
      <c r="M7606" s="5" t="s">
        <v>48183</v>
      </c>
      <c r="N7606" s="7" t="s">
        <v>48184</v>
      </c>
      <c r="O7606" s="8" t="str">
        <f>HYPERLINK("https://drive.google.com/file/d/1iU7FgqVhM0BV-T4IGNMxt7Cugiv4_niO/view?usp=drivesdk","7605_ADITYA CANDRA RONANDA, S.Kom _ SERTIFIKAT BerAKHLAK")</f>
        <v>7605_ADITYA CANDRA RONANDA, S.Kom _ SERTIFIKAT BerAKHLAK</v>
      </c>
      <c r="P7606" s="5" t="s">
        <v>48185</v>
      </c>
    </row>
    <row r="7607">
      <c r="A7607" s="4">
        <v>45534.38486790509</v>
      </c>
      <c r="B7607" s="5" t="s">
        <v>34</v>
      </c>
      <c r="D7607" s="5" t="s">
        <v>4775</v>
      </c>
      <c r="E7607" s="5" t="s">
        <v>27459</v>
      </c>
      <c r="F7607" s="5" t="s">
        <v>199</v>
      </c>
      <c r="G7607" s="5" t="s">
        <v>48186</v>
      </c>
      <c r="H7607" s="6" t="s">
        <v>48187</v>
      </c>
      <c r="K7607" s="5" t="s">
        <v>48177</v>
      </c>
      <c r="M7607" s="5" t="s">
        <v>48188</v>
      </c>
      <c r="N7607" s="7" t="s">
        <v>48189</v>
      </c>
      <c r="O7607" s="8" t="str">
        <f>HYPERLINK("https://drive.google.com/file/d/1PxxR9YAUPkyO6ptLhozA7JDUuB3G_0Ay/view?usp=drivesdk","7606_DARYANTO _ SERTIFIKAT BerAKHLAK")</f>
        <v>7606_DARYANTO _ SERTIFIKAT BerAKHLAK</v>
      </c>
      <c r="P7607" s="5" t="s">
        <v>48190</v>
      </c>
    </row>
    <row r="7608">
      <c r="A7608" s="4">
        <v>45534.384879606485</v>
      </c>
      <c r="B7608" s="5" t="s">
        <v>34</v>
      </c>
      <c r="D7608" s="5" t="s">
        <v>9020</v>
      </c>
      <c r="E7608" s="5" t="s">
        <v>48191</v>
      </c>
      <c r="F7608" s="5" t="s">
        <v>108</v>
      </c>
      <c r="G7608" s="5" t="s">
        <v>48192</v>
      </c>
      <c r="H7608" s="6" t="s">
        <v>48193</v>
      </c>
      <c r="K7608" s="5" t="s">
        <v>48177</v>
      </c>
      <c r="M7608" s="5" t="s">
        <v>48194</v>
      </c>
      <c r="N7608" s="7" t="s">
        <v>48195</v>
      </c>
      <c r="O7608" s="8" t="str">
        <f>HYPERLINK("https://drive.google.com/file/d/1VmUhOnxhXVoC8VFG8EdJxh5a6ta9WCSX/view?usp=drivesdk","7607_IRMA HIDAYATI _ SERTIFIKAT BerAKHLAK")</f>
        <v>7607_IRMA HIDAYATI _ SERTIFIKAT BerAKHLAK</v>
      </c>
      <c r="P7608" s="5" t="s">
        <v>48196</v>
      </c>
    </row>
    <row r="7609">
      <c r="A7609" s="4">
        <v>45534.3848812963</v>
      </c>
      <c r="B7609" s="5" t="s">
        <v>34</v>
      </c>
      <c r="D7609" s="5" t="s">
        <v>9020</v>
      </c>
      <c r="E7609" s="5" t="s">
        <v>48197</v>
      </c>
      <c r="F7609" s="5" t="s">
        <v>37</v>
      </c>
      <c r="G7609" s="5" t="s">
        <v>48198</v>
      </c>
      <c r="H7609" s="6" t="s">
        <v>48199</v>
      </c>
      <c r="K7609" s="5" t="s">
        <v>48200</v>
      </c>
      <c r="M7609" s="5" t="s">
        <v>48201</v>
      </c>
      <c r="N7609" s="7" t="s">
        <v>48202</v>
      </c>
      <c r="O7609" s="8" t="str">
        <f>HYPERLINK("https://drive.google.com/file/d/1VbN1hGKl3zJSS0l_epS5dnMpBmDQ9xQm/view?usp=drivesdk","7608_THOMAS HANGGORO, S. KOM. _ SERTIFIKAT BerAKHLAK")</f>
        <v>7608_THOMAS HANGGORO, S. KOM. _ SERTIFIKAT BerAKHLAK</v>
      </c>
      <c r="P7609" s="5" t="s">
        <v>48203</v>
      </c>
    </row>
    <row r="7610">
      <c r="A7610" s="4">
        <v>45534.38488128472</v>
      </c>
      <c r="B7610" s="5" t="s">
        <v>34</v>
      </c>
      <c r="D7610" s="5" t="s">
        <v>9394</v>
      </c>
      <c r="E7610" s="5" t="s">
        <v>48204</v>
      </c>
      <c r="F7610" s="5" t="s">
        <v>715</v>
      </c>
      <c r="G7610" s="5" t="s">
        <v>48205</v>
      </c>
      <c r="H7610" s="6" t="s">
        <v>48206</v>
      </c>
      <c r="K7610" s="5" t="s">
        <v>48200</v>
      </c>
      <c r="M7610" s="5" t="s">
        <v>48207</v>
      </c>
      <c r="N7610" s="7" t="s">
        <v>48208</v>
      </c>
      <c r="O7610" s="8" t="str">
        <f>HYPERLINK("https://drive.google.com/file/d/1W3eT0woifT7LWb9ZTbPZ5UiHKqmV-hXf/view?usp=drivesdk","7609_EDI VIONA PURBA AMK _ SERTIFIKAT BerAKHLAK")</f>
        <v>7609_EDI VIONA PURBA AMK _ SERTIFIKAT BerAKHLAK</v>
      </c>
      <c r="P7610" s="5" t="s">
        <v>48209</v>
      </c>
    </row>
    <row r="7611">
      <c r="A7611" s="4">
        <v>45534.384892754635</v>
      </c>
      <c r="B7611" s="5" t="s">
        <v>34</v>
      </c>
      <c r="D7611" s="5" t="s">
        <v>996</v>
      </c>
      <c r="E7611" s="5" t="s">
        <v>48210</v>
      </c>
      <c r="F7611" s="5" t="s">
        <v>108</v>
      </c>
      <c r="G7611" s="5" t="s">
        <v>48211</v>
      </c>
      <c r="H7611" s="6" t="s">
        <v>48212</v>
      </c>
      <c r="K7611" s="5" t="s">
        <v>48200</v>
      </c>
      <c r="M7611" s="5" t="s">
        <v>48213</v>
      </c>
      <c r="N7611" s="7" t="s">
        <v>48214</v>
      </c>
      <c r="O7611" s="8" t="str">
        <f>HYPERLINK("https://drive.google.com/file/d/1tHft9EPYGkR1U7fD9P01ADmEizpCpQWg/view?usp=drivesdk","7610_RAHMAN SETIYO, S.Kom. _ SERTIFIKAT BerAKHLAK")</f>
        <v>7610_RAHMAN SETIYO, S.Kom. _ SERTIFIKAT BerAKHLAK</v>
      </c>
      <c r="P7611" s="5" t="s">
        <v>48215</v>
      </c>
    </row>
    <row r="7612">
      <c r="A7612" s="4">
        <v>45534.384893703704</v>
      </c>
      <c r="B7612" s="5" t="s">
        <v>34</v>
      </c>
      <c r="D7612" s="5" t="s">
        <v>280</v>
      </c>
      <c r="E7612" s="5" t="s">
        <v>48216</v>
      </c>
      <c r="F7612" s="5" t="s">
        <v>212</v>
      </c>
      <c r="G7612" s="5" t="s">
        <v>48217</v>
      </c>
      <c r="H7612" s="6" t="s">
        <v>48218</v>
      </c>
      <c r="K7612" s="5" t="s">
        <v>48200</v>
      </c>
      <c r="M7612" s="5" t="s">
        <v>48219</v>
      </c>
      <c r="N7612" s="7" t="s">
        <v>48220</v>
      </c>
      <c r="O7612" s="8" t="str">
        <f>HYPERLINK("https://drive.google.com/file/d/1Pv85C6uY4MBGWBzMhyZXnAo6-y7XigUB/view?usp=drivesdk","7611_ASMAUL HASANAH _ SERTIFIKAT BerAKHLAK")</f>
        <v>7611_ASMAUL HASANAH _ SERTIFIKAT BerAKHLAK</v>
      </c>
      <c r="P7612" s="5" t="s">
        <v>48221</v>
      </c>
    </row>
    <row r="7613">
      <c r="A7613" s="4">
        <v>45534.384903530095</v>
      </c>
      <c r="B7613" s="5" t="s">
        <v>34</v>
      </c>
      <c r="D7613" s="5" t="s">
        <v>12978</v>
      </c>
      <c r="E7613" s="5" t="s">
        <v>48222</v>
      </c>
      <c r="F7613" s="5" t="s">
        <v>375</v>
      </c>
      <c r="G7613" s="5" t="s">
        <v>48223</v>
      </c>
      <c r="H7613" s="6" t="s">
        <v>48224</v>
      </c>
      <c r="K7613" s="5" t="s">
        <v>48200</v>
      </c>
      <c r="M7613" s="5" t="s">
        <v>48225</v>
      </c>
      <c r="N7613" s="7" t="s">
        <v>48226</v>
      </c>
      <c r="O7613" s="8" t="str">
        <f>HYPERLINK("https://drive.google.com/file/d/1Dt4kP3Ho_e84W6aHRFuv3RiJOxizhw1x/view?usp=drivesdk","7612_QOMALIA QORIZON _ SERTIFIKAT BerAKHLAK")</f>
        <v>7612_QOMALIA QORIZON _ SERTIFIKAT BerAKHLAK</v>
      </c>
      <c r="P7613" s="5" t="s">
        <v>48227</v>
      </c>
    </row>
    <row r="7614" hidden="1">
      <c r="A7614" s="4">
        <v>45534.38491329861</v>
      </c>
      <c r="B7614" s="5" t="s">
        <v>19</v>
      </c>
      <c r="C7614" s="5" t="s">
        <v>83</v>
      </c>
      <c r="E7614" s="5" t="s">
        <v>48228</v>
      </c>
      <c r="F7614" s="5" t="s">
        <v>375</v>
      </c>
      <c r="G7614" s="5" t="s">
        <v>48229</v>
      </c>
      <c r="H7614" s="6" t="s">
        <v>48230</v>
      </c>
      <c r="K7614" s="5" t="s">
        <v>48200</v>
      </c>
      <c r="M7614" s="5" t="s">
        <v>48231</v>
      </c>
      <c r="N7614" s="7" t="s">
        <v>48232</v>
      </c>
      <c r="O7614" s="8" t="str">
        <f>HYPERLINK("https://drive.google.com/file/d/1OES-zkpCorUIgiFd0gtZcU_2SKYDdw1s/view?usp=drivesdk","7613_MINDARTI SE _ SERTIFIKAT BerAKHLAK")</f>
        <v>7613_MINDARTI SE _ SERTIFIKAT BerAKHLAK</v>
      </c>
      <c r="P7614" s="5" t="s">
        <v>48233</v>
      </c>
    </row>
    <row r="7615">
      <c r="A7615" s="4">
        <v>45534.384916006944</v>
      </c>
      <c r="B7615" s="5" t="s">
        <v>34</v>
      </c>
      <c r="D7615" s="5" t="s">
        <v>9394</v>
      </c>
      <c r="E7615" s="5" t="s">
        <v>48234</v>
      </c>
      <c r="F7615" s="5" t="s">
        <v>524</v>
      </c>
      <c r="G7615" s="5" t="s">
        <v>48235</v>
      </c>
      <c r="H7615" s="6" t="s">
        <v>48236</v>
      </c>
      <c r="K7615" s="5" t="s">
        <v>48200</v>
      </c>
      <c r="M7615" s="5" t="s">
        <v>48237</v>
      </c>
      <c r="N7615" s="7" t="s">
        <v>48238</v>
      </c>
      <c r="O7615" s="8" t="str">
        <f>HYPERLINK("https://drive.google.com/file/d/1pYI9ktppOHMY3lKiloxcK-hR6Q6l8-XH/view?usp=drivesdk","7614_Risma flora Capah Naibaho  _ SERTIFIKAT BerAKHLAK")</f>
        <v>7614_Risma flora Capah Naibaho  _ SERTIFIKAT BerAKHLAK</v>
      </c>
      <c r="P7615" s="5" t="s">
        <v>48239</v>
      </c>
    </row>
    <row r="7616" hidden="1">
      <c r="A7616" s="4">
        <v>45534.384932870365</v>
      </c>
      <c r="B7616" s="5" t="s">
        <v>19</v>
      </c>
      <c r="C7616" s="5" t="s">
        <v>292</v>
      </c>
      <c r="E7616" s="5" t="s">
        <v>48240</v>
      </c>
      <c r="F7616" s="5" t="s">
        <v>120</v>
      </c>
      <c r="G7616" s="5" t="s">
        <v>48241</v>
      </c>
      <c r="H7616" s="6" t="s">
        <v>48242</v>
      </c>
      <c r="K7616" s="5" t="s">
        <v>48200</v>
      </c>
      <c r="M7616" s="5" t="s">
        <v>48243</v>
      </c>
      <c r="N7616" s="7" t="s">
        <v>48244</v>
      </c>
      <c r="O7616" s="8" t="str">
        <f>HYPERLINK("https://drive.google.com/file/d/1pXDrXIA-AEh24GpROIpw1PZAzddc9_oZ/view?usp=drivesdk","7615_RAHAYU SUSANTI, M.Pd. _ SERTIFIKAT BerAKHLAK")</f>
        <v>7615_RAHAYU SUSANTI, M.Pd. _ SERTIFIKAT BerAKHLAK</v>
      </c>
      <c r="P7616" s="5" t="s">
        <v>48245</v>
      </c>
    </row>
    <row r="7617" hidden="1">
      <c r="A7617" s="4">
        <v>45534.38493885417</v>
      </c>
      <c r="B7617" s="5" t="s">
        <v>19</v>
      </c>
      <c r="C7617" s="5" t="s">
        <v>20</v>
      </c>
      <c r="E7617" s="5" t="s">
        <v>48246</v>
      </c>
      <c r="F7617" s="5" t="s">
        <v>375</v>
      </c>
      <c r="G7617" s="5" t="s">
        <v>48247</v>
      </c>
      <c r="H7617" s="6" t="s">
        <v>48248</v>
      </c>
      <c r="K7617" s="5" t="s">
        <v>48200</v>
      </c>
      <c r="M7617" s="5" t="s">
        <v>48249</v>
      </c>
      <c r="N7617" s="7" t="s">
        <v>48250</v>
      </c>
      <c r="O7617" s="8" t="str">
        <f>HYPERLINK("https://drive.google.com/file/d/1g6jatmJunS8jAWu5Mypi6XIyBL98Fljc/view?usp=drivesdk","7616_AZIS SETIAWAN, S.AP. _ SERTIFIKAT BerAKHLAK")</f>
        <v>7616_AZIS SETIAWAN, S.AP. _ SERTIFIKAT BerAKHLAK</v>
      </c>
      <c r="P7617" s="5" t="s">
        <v>48251</v>
      </c>
    </row>
    <row r="7618" hidden="1">
      <c r="A7618" s="4">
        <v>45534.38495280093</v>
      </c>
      <c r="B7618" s="5" t="s">
        <v>19</v>
      </c>
      <c r="C7618" s="5" t="s">
        <v>5058</v>
      </c>
      <c r="E7618" s="5" t="s">
        <v>48252</v>
      </c>
      <c r="F7618" s="5" t="s">
        <v>375</v>
      </c>
      <c r="G7618" s="5" t="s">
        <v>48253</v>
      </c>
      <c r="H7618" s="6" t="s">
        <v>48254</v>
      </c>
      <c r="K7618" s="5" t="s">
        <v>48255</v>
      </c>
      <c r="M7618" s="5" t="s">
        <v>48256</v>
      </c>
      <c r="N7618" s="7" t="s">
        <v>48257</v>
      </c>
      <c r="O7618" s="8" t="str">
        <f>HYPERLINK("https://drive.google.com/file/d/1rXwbJ6zzpS9j41T8YVAZBM_fUAo_WUC6/view?usp=drivesdk","7617_YUNIZAR RYNALDHI, S.E _ SERTIFIKAT BerAKHLAK")</f>
        <v>7617_YUNIZAR RYNALDHI, S.E _ SERTIFIKAT BerAKHLAK</v>
      </c>
      <c r="P7618" s="5" t="s">
        <v>48258</v>
      </c>
    </row>
    <row r="7619" hidden="1">
      <c r="A7619" s="4">
        <v>45534.38497763889</v>
      </c>
      <c r="B7619" s="5" t="s">
        <v>19</v>
      </c>
      <c r="C7619" s="5" t="s">
        <v>83</v>
      </c>
      <c r="E7619" s="5" t="s">
        <v>48259</v>
      </c>
      <c r="F7619" s="5" t="s">
        <v>108</v>
      </c>
      <c r="G7619" s="5" t="s">
        <v>48260</v>
      </c>
      <c r="H7619" s="6" t="s">
        <v>48261</v>
      </c>
      <c r="K7619" s="5" t="s">
        <v>48262</v>
      </c>
      <c r="M7619" s="5" t="s">
        <v>48263</v>
      </c>
      <c r="N7619" s="7" t="s">
        <v>48264</v>
      </c>
      <c r="O7619" s="8" t="str">
        <f>HYPERLINK("https://drive.google.com/file/d/1_JlJ0QnUaZPT-uRomTC8Uq-U_RMawr_1/view?usp=drivesdk","7618_SRI SUPARMI _ SERTIFIKAT BerAKHLAK")</f>
        <v>7618_SRI SUPARMI _ SERTIFIKAT BerAKHLAK</v>
      </c>
      <c r="P7619" s="5" t="s">
        <v>48265</v>
      </c>
    </row>
    <row r="7620">
      <c r="A7620" s="4">
        <v>45534.38498091435</v>
      </c>
      <c r="B7620" s="5" t="s">
        <v>34</v>
      </c>
      <c r="D7620" s="5" t="s">
        <v>35</v>
      </c>
      <c r="E7620" s="5" t="s">
        <v>48266</v>
      </c>
      <c r="F7620" s="5" t="s">
        <v>212</v>
      </c>
      <c r="G7620" s="5" t="s">
        <v>48267</v>
      </c>
      <c r="H7620" s="6" t="s">
        <v>48268</v>
      </c>
      <c r="K7620" s="5" t="s">
        <v>48262</v>
      </c>
      <c r="M7620" s="5" t="s">
        <v>48269</v>
      </c>
      <c r="N7620" s="7" t="s">
        <v>48270</v>
      </c>
      <c r="O7620" s="8" t="str">
        <f>HYPERLINK("https://drive.google.com/file/d/16ctSK5Y2oRs5pykvNtMR7kp8tyZGD6nJ/view?usp=drivesdk","7619_LILIS HARTATI _ SERTIFIKAT BerAKHLAK")</f>
        <v>7619_LILIS HARTATI _ SERTIFIKAT BerAKHLAK</v>
      </c>
      <c r="P7620" s="5" t="s">
        <v>48271</v>
      </c>
    </row>
    <row r="7621">
      <c r="A7621" s="4">
        <v>45534.384983958334</v>
      </c>
      <c r="B7621" s="5" t="s">
        <v>34</v>
      </c>
      <c r="D7621" s="5" t="s">
        <v>1558</v>
      </c>
      <c r="E7621" s="5" t="s">
        <v>48272</v>
      </c>
      <c r="F7621" s="5" t="s">
        <v>37</v>
      </c>
      <c r="G7621" s="5" t="s">
        <v>48273</v>
      </c>
      <c r="H7621" s="6" t="s">
        <v>48274</v>
      </c>
      <c r="K7621" s="5" t="s">
        <v>48262</v>
      </c>
      <c r="M7621" s="5" t="s">
        <v>48275</v>
      </c>
      <c r="N7621" s="7" t="s">
        <v>48276</v>
      </c>
      <c r="O7621" s="8" t="str">
        <f>HYPERLINK("https://drive.google.com/file/d/18q3hmtQaUVKbSKQha5ZHvFK4XN-fHTwg/view?usp=drivesdk","7620_TIN SUHARTINI _ SERTIFIKAT BerAKHLAK")</f>
        <v>7620_TIN SUHARTINI _ SERTIFIKAT BerAKHLAK</v>
      </c>
      <c r="P7621" s="5" t="s">
        <v>48277</v>
      </c>
    </row>
    <row r="7622">
      <c r="A7622" s="4">
        <v>45534.38499288194</v>
      </c>
      <c r="B7622" s="5" t="s">
        <v>34</v>
      </c>
      <c r="D7622" s="5" t="s">
        <v>35</v>
      </c>
      <c r="E7622" s="5" t="s">
        <v>48278</v>
      </c>
      <c r="F7622" s="5" t="s">
        <v>37</v>
      </c>
      <c r="G7622" s="5" t="s">
        <v>48279</v>
      </c>
      <c r="H7622" s="6" t="s">
        <v>48280</v>
      </c>
      <c r="K7622" s="5" t="s">
        <v>48262</v>
      </c>
      <c r="M7622" s="5" t="s">
        <v>48281</v>
      </c>
      <c r="N7622" s="7" t="s">
        <v>48282</v>
      </c>
      <c r="O7622" s="8" t="str">
        <f>HYPERLINK("https://drive.google.com/file/d/1IarOv9nAZlejGjSWMVPmrtySKHaU6Ms2/view?usp=drivesdk","7621_NANA HERDIANA _ SERTIFIKAT BerAKHLAK")</f>
        <v>7621_NANA HERDIANA _ SERTIFIKAT BerAKHLAK</v>
      </c>
      <c r="P7622" s="5" t="s">
        <v>48283</v>
      </c>
    </row>
    <row r="7623" hidden="1">
      <c r="A7623" s="4">
        <v>45534.3850043287</v>
      </c>
      <c r="B7623" s="5" t="s">
        <v>19</v>
      </c>
      <c r="C7623" s="5" t="s">
        <v>5058</v>
      </c>
      <c r="E7623" s="5" t="s">
        <v>48284</v>
      </c>
      <c r="F7623" s="5" t="s">
        <v>375</v>
      </c>
      <c r="G7623" s="5" t="s">
        <v>48285</v>
      </c>
      <c r="H7623" s="6" t="s">
        <v>48286</v>
      </c>
      <c r="K7623" s="5" t="s">
        <v>48262</v>
      </c>
      <c r="M7623" s="5" t="s">
        <v>48287</v>
      </c>
      <c r="N7623" s="7" t="s">
        <v>48288</v>
      </c>
      <c r="O7623" s="8" t="str">
        <f>HYPERLINK("https://drive.google.com/file/d/1otrSIAacJDLKP29m8oFM3FMk-eCS4Rb4/view?usp=drivesdk","7622_SUGIYANTORO, S.E. _ SERTIFIKAT BerAKHLAK")</f>
        <v>7622_SUGIYANTORO, S.E. _ SERTIFIKAT BerAKHLAK</v>
      </c>
      <c r="P7623" s="5" t="s">
        <v>48289</v>
      </c>
    </row>
    <row r="7624">
      <c r="A7624" s="4">
        <v>45534.385030868056</v>
      </c>
      <c r="B7624" s="5" t="s">
        <v>34</v>
      </c>
      <c r="D7624" s="5" t="s">
        <v>1206</v>
      </c>
      <c r="E7624" s="5" t="s">
        <v>48290</v>
      </c>
      <c r="F7624" s="5" t="s">
        <v>212</v>
      </c>
      <c r="G7624" s="5" t="s">
        <v>48291</v>
      </c>
      <c r="H7624" s="6" t="s">
        <v>48292</v>
      </c>
      <c r="K7624" s="5" t="s">
        <v>48293</v>
      </c>
      <c r="M7624" s="5" t="s">
        <v>48294</v>
      </c>
      <c r="N7624" s="7" t="s">
        <v>48295</v>
      </c>
      <c r="O7624" s="8" t="str">
        <f>HYPERLINK("https://drive.google.com/file/d/1M0olncBXozB2STWHjHU1IHIWM6qcgIe9/view?usp=drivesdk","7623_AGUS ANANG WIJAYA  _ SERTIFIKAT BerAKHLAK")</f>
        <v>7623_AGUS ANANG WIJAYA  _ SERTIFIKAT BerAKHLAK</v>
      </c>
      <c r="P7624" s="5" t="s">
        <v>48296</v>
      </c>
    </row>
    <row r="7625">
      <c r="A7625" s="4">
        <v>45534.385044027775</v>
      </c>
      <c r="B7625" s="5" t="s">
        <v>34</v>
      </c>
      <c r="D7625" s="5" t="s">
        <v>1206</v>
      </c>
      <c r="E7625" s="5" t="s">
        <v>48297</v>
      </c>
      <c r="F7625" s="5" t="s">
        <v>212</v>
      </c>
      <c r="G7625" s="5" t="s">
        <v>48298</v>
      </c>
      <c r="H7625" s="6" t="s">
        <v>48299</v>
      </c>
      <c r="K7625" s="5" t="s">
        <v>48293</v>
      </c>
      <c r="M7625" s="5" t="s">
        <v>48300</v>
      </c>
      <c r="N7625" s="7" t="s">
        <v>48301</v>
      </c>
      <c r="O7625" s="8" t="str">
        <f>HYPERLINK("https://drive.google.com/file/d/16vZn9UUavoMDH2-4lDyUFo0cxKVZtqWJ/view?usp=drivesdk","7624_HENIK PUJI PURWANINGSIH _ SERTIFIKAT BerAKHLAK")</f>
        <v>7624_HENIK PUJI PURWANINGSIH _ SERTIFIKAT BerAKHLAK</v>
      </c>
      <c r="P7625" s="5" t="s">
        <v>48302</v>
      </c>
    </row>
    <row r="7626">
      <c r="A7626" s="4">
        <v>45534.38504987268</v>
      </c>
      <c r="B7626" s="5" t="s">
        <v>34</v>
      </c>
      <c r="D7626" s="5" t="s">
        <v>1558</v>
      </c>
      <c r="E7626" s="5" t="s">
        <v>48303</v>
      </c>
      <c r="F7626" s="5" t="s">
        <v>37</v>
      </c>
      <c r="G7626" s="5" t="s">
        <v>48304</v>
      </c>
      <c r="H7626" s="6" t="s">
        <v>48305</v>
      </c>
      <c r="K7626" s="5" t="s">
        <v>48293</v>
      </c>
      <c r="M7626" s="5" t="s">
        <v>48306</v>
      </c>
      <c r="N7626" s="7" t="s">
        <v>48307</v>
      </c>
      <c r="O7626" s="8" t="str">
        <f>HYPERLINK("https://drive.google.com/file/d/1rOZLlCsPd5m-I-YWIfjWVqrGEnEriQjz/view?usp=drivesdk","7625_SONI KRISNAWAN _ SERTIFIKAT BerAKHLAK")</f>
        <v>7625_SONI KRISNAWAN _ SERTIFIKAT BerAKHLAK</v>
      </c>
      <c r="P7626" s="5" t="s">
        <v>48308</v>
      </c>
    </row>
    <row r="7627">
      <c r="A7627" s="4">
        <v>45534.38505868056</v>
      </c>
      <c r="B7627" s="5" t="s">
        <v>34</v>
      </c>
      <c r="D7627" s="5" t="s">
        <v>35</v>
      </c>
      <c r="E7627" s="5" t="s">
        <v>48278</v>
      </c>
      <c r="F7627" s="5" t="s">
        <v>72</v>
      </c>
      <c r="G7627" s="5" t="s">
        <v>48309</v>
      </c>
      <c r="H7627" s="6" t="s">
        <v>48310</v>
      </c>
      <c r="K7627" s="5" t="s">
        <v>48293</v>
      </c>
      <c r="M7627" s="5" t="s">
        <v>48311</v>
      </c>
      <c r="N7627" s="7" t="s">
        <v>48312</v>
      </c>
      <c r="O7627" s="8" t="str">
        <f>HYPERLINK("https://drive.google.com/file/d/13udmOtZtQHGgEPxIW7403G6B-wZhGeHM/view?usp=drivesdk","7626_NANA HERDIANA _ SERTIFIKAT BerAKHLAK")</f>
        <v>7626_NANA HERDIANA _ SERTIFIKAT BerAKHLAK</v>
      </c>
      <c r="P7627" s="5" t="s">
        <v>48313</v>
      </c>
    </row>
    <row r="7628">
      <c r="A7628" s="4">
        <v>45534.38508237268</v>
      </c>
      <c r="B7628" s="5" t="s">
        <v>34</v>
      </c>
      <c r="D7628" s="5" t="s">
        <v>1206</v>
      </c>
      <c r="E7628" s="5" t="s">
        <v>48314</v>
      </c>
      <c r="F7628" s="5" t="s">
        <v>212</v>
      </c>
      <c r="G7628" s="5" t="s">
        <v>48315</v>
      </c>
      <c r="H7628" s="6" t="s">
        <v>48316</v>
      </c>
      <c r="K7628" s="5" t="s">
        <v>48317</v>
      </c>
      <c r="M7628" s="5" t="s">
        <v>48318</v>
      </c>
      <c r="N7628" s="7" t="s">
        <v>48319</v>
      </c>
      <c r="O7628" s="8" t="str">
        <f>HYPERLINK("https://drive.google.com/file/d/1QcAx2RwvVll0_YcfoYMDkt5x6DgJ7UsG/view?usp=drivesdk","7627_HARJOSO _ SERTIFIKAT BerAKHLAK")</f>
        <v>7627_HARJOSO _ SERTIFIKAT BerAKHLAK</v>
      </c>
      <c r="P7628" s="5" t="s">
        <v>48320</v>
      </c>
    </row>
    <row r="7629">
      <c r="A7629" s="4">
        <v>45534.385091828706</v>
      </c>
      <c r="B7629" s="5" t="s">
        <v>34</v>
      </c>
      <c r="D7629" s="5" t="s">
        <v>267</v>
      </c>
      <c r="E7629" s="5" t="s">
        <v>48321</v>
      </c>
      <c r="F7629" s="5" t="s">
        <v>72</v>
      </c>
      <c r="G7629" s="5" t="s">
        <v>48322</v>
      </c>
      <c r="H7629" s="6" t="s">
        <v>48323</v>
      </c>
      <c r="K7629" s="5" t="s">
        <v>48317</v>
      </c>
      <c r="M7629" s="5" t="s">
        <v>48324</v>
      </c>
      <c r="N7629" s="7" t="s">
        <v>48325</v>
      </c>
      <c r="O7629" s="8" t="str">
        <f>HYPERLINK("https://drive.google.com/file/d/1oeZEg4q-vocfJBUHnI0QgeFLVAkwKg7_/view?usp=drivesdk","7628_RINI PERWITASARI, A.Md. _ SERTIFIKAT BerAKHLAK")</f>
        <v>7628_RINI PERWITASARI, A.Md. _ SERTIFIKAT BerAKHLAK</v>
      </c>
      <c r="P7629" s="5" t="s">
        <v>48326</v>
      </c>
    </row>
    <row r="7630">
      <c r="A7630" s="4">
        <v>45534.38510612269</v>
      </c>
      <c r="B7630" s="5" t="s">
        <v>34</v>
      </c>
      <c r="D7630" s="5" t="s">
        <v>9020</v>
      </c>
      <c r="E7630" s="5" t="s">
        <v>48327</v>
      </c>
      <c r="F7630" s="5" t="s">
        <v>524</v>
      </c>
      <c r="G7630" s="5" t="s">
        <v>48328</v>
      </c>
      <c r="H7630" s="6" t="s">
        <v>48329</v>
      </c>
      <c r="K7630" s="5" t="s">
        <v>48330</v>
      </c>
      <c r="M7630" s="5" t="s">
        <v>48331</v>
      </c>
      <c r="N7630" s="7" t="s">
        <v>48332</v>
      </c>
      <c r="O7630" s="8" t="str">
        <f>HYPERLINK("https://drive.google.com/file/d/1rhFXRsNjfhkZPd8EPiHmdKe27jsmOVN4/view?usp=drivesdk","7629_KRISTINA DESLIANA SIREGAR, SKM _ SERTIFIKAT BerAKHLAK")</f>
        <v>7629_KRISTINA DESLIANA SIREGAR, SKM _ SERTIFIKAT BerAKHLAK</v>
      </c>
      <c r="P7630" s="5" t="s">
        <v>48326</v>
      </c>
    </row>
    <row r="7631">
      <c r="A7631" s="4">
        <v>45534.38510434028</v>
      </c>
      <c r="B7631" s="5" t="s">
        <v>34</v>
      </c>
      <c r="D7631" s="5" t="s">
        <v>9020</v>
      </c>
      <c r="E7631" s="5" t="s">
        <v>48333</v>
      </c>
      <c r="F7631" s="5" t="s">
        <v>37</v>
      </c>
      <c r="G7631" s="5" t="s">
        <v>48334</v>
      </c>
      <c r="H7631" s="6" t="s">
        <v>48335</v>
      </c>
      <c r="K7631" s="5" t="s">
        <v>48330</v>
      </c>
      <c r="M7631" s="5" t="s">
        <v>48336</v>
      </c>
      <c r="N7631" s="7" t="s">
        <v>48337</v>
      </c>
      <c r="O7631" s="8" t="str">
        <f>HYPERLINK("https://drive.google.com/file/d/1G2UhtK4o6jkoRCR14FlRbNXpwvdqgcBq/view?usp=drivesdk","7630_DAHLAN _ SERTIFIKAT BerAKHLAK")</f>
        <v>7630_DAHLAN _ SERTIFIKAT BerAKHLAK</v>
      </c>
      <c r="P7631" s="5" t="s">
        <v>48326</v>
      </c>
    </row>
    <row r="7632">
      <c r="A7632" s="4">
        <v>45534.38511725694</v>
      </c>
      <c r="B7632" s="5" t="s">
        <v>34</v>
      </c>
      <c r="D7632" s="5" t="s">
        <v>1206</v>
      </c>
      <c r="E7632" s="5" t="s">
        <v>48338</v>
      </c>
      <c r="F7632" s="5" t="s">
        <v>524</v>
      </c>
      <c r="G7632" s="5" t="s">
        <v>48339</v>
      </c>
      <c r="H7632" s="6" t="s">
        <v>48340</v>
      </c>
      <c r="K7632" s="5" t="s">
        <v>48330</v>
      </c>
      <c r="M7632" s="5" t="s">
        <v>48341</v>
      </c>
      <c r="N7632" s="7" t="s">
        <v>48342</v>
      </c>
      <c r="O7632" s="8" t="str">
        <f>HYPERLINK("https://drive.google.com/file/d/1JSdhbANA1Mx-1bHDCfmNr1OMI8lH5qEO/view?usp=drivesdk","7631_BAGUS SAPUTRO, S.Kep., Ns. _ SERTIFIKAT BerAKHLAK")</f>
        <v>7631_BAGUS SAPUTRO, S.Kep., Ns. _ SERTIFIKAT BerAKHLAK</v>
      </c>
      <c r="P7632" s="5" t="s">
        <v>48326</v>
      </c>
    </row>
    <row r="7633">
      <c r="A7633" s="4">
        <v>45534.3851325</v>
      </c>
      <c r="B7633" s="5" t="s">
        <v>34</v>
      </c>
      <c r="D7633" s="5" t="s">
        <v>1206</v>
      </c>
      <c r="E7633" s="5" t="s">
        <v>48343</v>
      </c>
      <c r="F7633" s="5" t="s">
        <v>524</v>
      </c>
      <c r="G7633" s="5" t="s">
        <v>48344</v>
      </c>
      <c r="H7633" s="6" t="s">
        <v>48345</v>
      </c>
      <c r="K7633" s="5" t="s">
        <v>48330</v>
      </c>
      <c r="M7633" s="5" t="s">
        <v>48346</v>
      </c>
      <c r="N7633" s="7" t="s">
        <v>48347</v>
      </c>
      <c r="O7633" s="8" t="str">
        <f>HYPERLINK("https://drive.google.com/file/d/1LHdxuWX1K_EhIwJNOnGJYtqIUXP98n7_/view?usp=drivesdk","7632_RIYANA KIMAWATI  _ SERTIFIKAT BerAKHLAK")</f>
        <v>7632_RIYANA KIMAWATI  _ SERTIFIKAT BerAKHLAK</v>
      </c>
      <c r="P7633" s="5" t="s">
        <v>48326</v>
      </c>
    </row>
    <row r="7634" hidden="1">
      <c r="A7634" s="4">
        <v>45534.38513462963</v>
      </c>
      <c r="B7634" s="5" t="s">
        <v>19</v>
      </c>
      <c r="C7634" s="5" t="s">
        <v>45988</v>
      </c>
      <c r="E7634" s="5" t="s">
        <v>16884</v>
      </c>
      <c r="F7634" s="5" t="s">
        <v>6776</v>
      </c>
      <c r="G7634" s="5" t="s">
        <v>48348</v>
      </c>
      <c r="H7634" s="6" t="s">
        <v>48349</v>
      </c>
      <c r="K7634" s="5" t="s">
        <v>48330</v>
      </c>
      <c r="M7634" s="5" t="s">
        <v>48350</v>
      </c>
      <c r="N7634" s="7" t="s">
        <v>48351</v>
      </c>
      <c r="O7634" s="8" t="str">
        <f>HYPERLINK("https://drive.google.com/file/d/1cImed_11yQgFB6iawwDra45thp7Ru8Xh/view?usp=drivesdk","7633_SUPRIYADI _ SERTIFIKAT BerAKHLAK")</f>
        <v>7633_SUPRIYADI _ SERTIFIKAT BerAKHLAK</v>
      </c>
      <c r="P7634" s="5" t="s">
        <v>48352</v>
      </c>
    </row>
    <row r="7635">
      <c r="A7635" s="4">
        <v>45534.38513572917</v>
      </c>
      <c r="B7635" s="5" t="s">
        <v>34</v>
      </c>
      <c r="D7635" s="5" t="s">
        <v>1456</v>
      </c>
      <c r="E7635" s="5" t="s">
        <v>9517</v>
      </c>
      <c r="F7635" s="5" t="s">
        <v>37</v>
      </c>
      <c r="G7635" s="5" t="s">
        <v>48353</v>
      </c>
      <c r="H7635" s="6" t="s">
        <v>48354</v>
      </c>
      <c r="K7635" s="5" t="s">
        <v>48330</v>
      </c>
      <c r="M7635" s="5" t="s">
        <v>48355</v>
      </c>
      <c r="N7635" s="7" t="s">
        <v>48356</v>
      </c>
      <c r="O7635" s="8" t="str">
        <f>HYPERLINK("https://drive.google.com/file/d/1dtDfJIQIAld5IqwgvBUGkm9Cu_H2Zcbe/view?usp=drivesdk","7634_AGUS PRIYANTO  _ SERTIFIKAT BerAKHLAK")</f>
        <v>7634_AGUS PRIYANTO  _ SERTIFIKAT BerAKHLAK</v>
      </c>
      <c r="P7635" s="5" t="s">
        <v>48352</v>
      </c>
    </row>
    <row r="7636">
      <c r="A7636" s="4">
        <v>45534.38516792824</v>
      </c>
      <c r="B7636" s="5" t="s">
        <v>34</v>
      </c>
      <c r="D7636" s="5" t="s">
        <v>10444</v>
      </c>
      <c r="E7636" s="5" t="s">
        <v>48357</v>
      </c>
      <c r="F7636" s="5" t="s">
        <v>37</v>
      </c>
      <c r="G7636" s="5" t="s">
        <v>48358</v>
      </c>
      <c r="H7636" s="6" t="s">
        <v>48359</v>
      </c>
      <c r="K7636" s="5" t="s">
        <v>48360</v>
      </c>
      <c r="M7636" s="5" t="s">
        <v>48361</v>
      </c>
      <c r="N7636" s="7" t="s">
        <v>48362</v>
      </c>
      <c r="O7636" s="8" t="str">
        <f>HYPERLINK("https://drive.google.com/file/d/1bUo-cJlgfwAGB5SyI5rHpeVDaDt9VpOJ/view?usp=drivesdk","7635_MIFTA DEWI SUPRIANI, A.Md.Keb _ SERTIFIKAT BerAKHLAK")</f>
        <v>7635_MIFTA DEWI SUPRIANI, A.Md.Keb _ SERTIFIKAT BerAKHLAK</v>
      </c>
      <c r="P7636" s="5" t="s">
        <v>48352</v>
      </c>
    </row>
    <row r="7637">
      <c r="A7637" s="4">
        <v>45534.385202164354</v>
      </c>
      <c r="B7637" s="5" t="s">
        <v>34</v>
      </c>
      <c r="D7637" s="5" t="s">
        <v>10444</v>
      </c>
      <c r="E7637" s="5" t="s">
        <v>48363</v>
      </c>
      <c r="F7637" s="5" t="s">
        <v>108</v>
      </c>
      <c r="G7637" s="5" t="s">
        <v>48364</v>
      </c>
      <c r="H7637" s="6" t="s">
        <v>48365</v>
      </c>
      <c r="K7637" s="5" t="s">
        <v>48366</v>
      </c>
      <c r="M7637" s="5" t="s">
        <v>48367</v>
      </c>
      <c r="N7637" s="7" t="s">
        <v>48368</v>
      </c>
      <c r="O7637" s="8" t="str">
        <f>HYPERLINK("https://drive.google.com/file/d/1OKClCkhqjocbe9hftmV8Y2SHXJqEopfo/view?usp=drivesdk","7636_YUNITA HARTATI,S.M. _ SERTIFIKAT BerAKHLAK")</f>
        <v>7636_YUNITA HARTATI,S.M. _ SERTIFIKAT BerAKHLAK</v>
      </c>
      <c r="P7637" s="5" t="s">
        <v>48369</v>
      </c>
    </row>
    <row r="7638">
      <c r="A7638" s="4">
        <v>45534.385202314814</v>
      </c>
      <c r="B7638" s="5" t="s">
        <v>34</v>
      </c>
      <c r="D7638" s="5" t="s">
        <v>1206</v>
      </c>
      <c r="E7638" s="5" t="s">
        <v>48370</v>
      </c>
      <c r="F7638" s="5" t="s">
        <v>212</v>
      </c>
      <c r="G7638" s="5" t="s">
        <v>48371</v>
      </c>
      <c r="H7638" s="6" t="s">
        <v>48372</v>
      </c>
      <c r="K7638" s="5" t="s">
        <v>48366</v>
      </c>
      <c r="M7638" s="5" t="s">
        <v>48373</v>
      </c>
      <c r="N7638" s="7" t="s">
        <v>48374</v>
      </c>
      <c r="O7638" s="8" t="str">
        <f>HYPERLINK("https://drive.google.com/file/d/1vJ4F7ElkkkZdF_M7UoJPkwuNiYzR512A/view?usp=drivesdk","7637_IMAM MUKTI _ SERTIFIKAT BerAKHLAK")</f>
        <v>7637_IMAM MUKTI _ SERTIFIKAT BerAKHLAK</v>
      </c>
      <c r="P7638" s="5" t="s">
        <v>48369</v>
      </c>
    </row>
    <row r="7639">
      <c r="A7639" s="4">
        <v>45534.3852234838</v>
      </c>
      <c r="B7639" s="5" t="s">
        <v>34</v>
      </c>
      <c r="D7639" s="5" t="s">
        <v>14424</v>
      </c>
      <c r="E7639" s="5" t="s">
        <v>48375</v>
      </c>
      <c r="F7639" s="5" t="s">
        <v>72</v>
      </c>
      <c r="G7639" s="5" t="s">
        <v>48376</v>
      </c>
      <c r="H7639" s="6" t="s">
        <v>48377</v>
      </c>
      <c r="K7639" s="5" t="s">
        <v>48378</v>
      </c>
      <c r="M7639" s="5" t="s">
        <v>48379</v>
      </c>
      <c r="N7639" s="7" t="s">
        <v>48380</v>
      </c>
      <c r="O7639" s="8" t="str">
        <f>HYPERLINK("https://drive.google.com/file/d/1Ond1mjCLhYrcJZ1OdAt34VvJLL0R4SpX/view?usp=drivesdk","7638_dr YENNI RACHMI _ SERTIFIKAT BerAKHLAK")</f>
        <v>7638_dr YENNI RACHMI _ SERTIFIKAT BerAKHLAK</v>
      </c>
      <c r="P7639" s="5" t="s">
        <v>48369</v>
      </c>
    </row>
    <row r="7640">
      <c r="A7640" s="4">
        <v>45534.38522768518</v>
      </c>
      <c r="B7640" s="5" t="s">
        <v>34</v>
      </c>
      <c r="D7640" s="5" t="s">
        <v>35</v>
      </c>
      <c r="E7640" s="5" t="s">
        <v>48381</v>
      </c>
      <c r="F7640" s="5" t="s">
        <v>72</v>
      </c>
      <c r="G7640" s="5" t="s">
        <v>48382</v>
      </c>
      <c r="H7640" s="6" t="s">
        <v>48383</v>
      </c>
      <c r="K7640" s="5" t="s">
        <v>48378</v>
      </c>
      <c r="M7640" s="5" t="s">
        <v>48384</v>
      </c>
      <c r="N7640" s="7" t="s">
        <v>48385</v>
      </c>
      <c r="O7640" s="8" t="str">
        <f>HYPERLINK("https://drive.google.com/file/d/1G0zUZGfW3n0LxGK-vNyTGR54NgyNsi2c/view?usp=drivesdk","7639_ENCEP SUKARYA, S.Pd.I _ SERTIFIKAT BerAKHLAK")</f>
        <v>7639_ENCEP SUKARYA, S.Pd.I _ SERTIFIKAT BerAKHLAK</v>
      </c>
      <c r="P7640" s="5" t="s">
        <v>48369</v>
      </c>
    </row>
    <row r="7641">
      <c r="A7641" s="4">
        <v>45534.38525664352</v>
      </c>
      <c r="B7641" s="5" t="s">
        <v>34</v>
      </c>
      <c r="D7641" s="5" t="s">
        <v>12978</v>
      </c>
      <c r="E7641" s="5" t="s">
        <v>48386</v>
      </c>
      <c r="F7641" s="5" t="s">
        <v>212</v>
      </c>
      <c r="G7641" s="5" t="s">
        <v>48387</v>
      </c>
      <c r="H7641" s="6" t="s">
        <v>48388</v>
      </c>
      <c r="K7641" s="5" t="s">
        <v>48389</v>
      </c>
      <c r="M7641" s="5" t="s">
        <v>48390</v>
      </c>
      <c r="N7641" s="7" t="s">
        <v>48391</v>
      </c>
      <c r="O7641" s="8" t="str">
        <f>HYPERLINK("https://drive.google.com/file/d/1PdER3PIb4HN9jlwqUssLfi26lSteG0Tb/view?usp=drivesdk","7640_AGUS SETIYAWAN _ SERTIFIKAT BerAKHLAK")</f>
        <v>7640_AGUS SETIYAWAN _ SERTIFIKAT BerAKHLAK</v>
      </c>
      <c r="P7641" s="5" t="s">
        <v>48369</v>
      </c>
    </row>
    <row r="7642">
      <c r="A7642" s="4">
        <v>45534.38526002315</v>
      </c>
      <c r="B7642" s="5" t="s">
        <v>34</v>
      </c>
      <c r="D7642" s="5" t="s">
        <v>701</v>
      </c>
      <c r="E7642" s="5" t="s">
        <v>48392</v>
      </c>
      <c r="F7642" s="5" t="s">
        <v>212</v>
      </c>
      <c r="G7642" s="5" t="s">
        <v>48393</v>
      </c>
      <c r="H7642" s="6" t="s">
        <v>48394</v>
      </c>
      <c r="K7642" s="5" t="s">
        <v>48389</v>
      </c>
      <c r="M7642" s="5" t="s">
        <v>48395</v>
      </c>
      <c r="N7642" s="7" t="s">
        <v>48396</v>
      </c>
      <c r="O7642" s="8" t="str">
        <f>HYPERLINK("https://drive.google.com/file/d/17jhLrAHkkvHOYdNsLGRRwQ24XkuUG8V_/view?usp=drivesdk","7641_YULIWARTI  _ SERTIFIKAT BerAKHLAK")</f>
        <v>7641_YULIWARTI  _ SERTIFIKAT BerAKHLAK</v>
      </c>
      <c r="P7642" s="5" t="s">
        <v>48397</v>
      </c>
    </row>
    <row r="7643">
      <c r="A7643" s="4">
        <v>45534.385272430554</v>
      </c>
      <c r="B7643" s="5" t="s">
        <v>34</v>
      </c>
      <c r="D7643" s="5" t="s">
        <v>9020</v>
      </c>
      <c r="E7643" s="5" t="s">
        <v>48398</v>
      </c>
      <c r="F7643" s="5" t="s">
        <v>37</v>
      </c>
      <c r="G7643" s="5" t="s">
        <v>48399</v>
      </c>
      <c r="H7643" s="6" t="s">
        <v>48400</v>
      </c>
      <c r="K7643" s="5" t="s">
        <v>48389</v>
      </c>
      <c r="M7643" s="5" t="s">
        <v>48401</v>
      </c>
      <c r="N7643" s="7" t="s">
        <v>48402</v>
      </c>
      <c r="O7643" s="8" t="str">
        <f>HYPERLINK("https://drive.google.com/file/d/16rwiXme1Xx4zZK_VxdlVIt_i_zRmwCuZ/view?usp=drivesdk","7642_YULIANA GINTING _ SERTIFIKAT BerAKHLAK")</f>
        <v>7642_YULIANA GINTING _ SERTIFIKAT BerAKHLAK</v>
      </c>
      <c r="P7643" s="5" t="s">
        <v>48397</v>
      </c>
    </row>
    <row r="7644" hidden="1">
      <c r="A7644" s="4">
        <v>45534.385273912034</v>
      </c>
      <c r="B7644" s="5" t="s">
        <v>19</v>
      </c>
      <c r="C7644" s="5" t="s">
        <v>3301</v>
      </c>
      <c r="E7644" s="5" t="s">
        <v>48403</v>
      </c>
      <c r="F7644" s="5" t="s">
        <v>72</v>
      </c>
      <c r="G7644" s="5" t="s">
        <v>48404</v>
      </c>
      <c r="H7644" s="6" t="s">
        <v>48405</v>
      </c>
      <c r="K7644" s="5" t="s">
        <v>48389</v>
      </c>
      <c r="M7644" s="5" t="s">
        <v>48406</v>
      </c>
      <c r="N7644" s="7" t="s">
        <v>48407</v>
      </c>
      <c r="O7644" s="8" t="str">
        <f>HYPERLINK("https://drive.google.com/file/d/1hT-vQUkObIPBhaZam6yIsTZDzTCEnkIu/view?usp=drivesdk","7643_Selvi Ariyani, Amd. Far _ SERTIFIKAT BerAKHLAK")</f>
        <v>7643_Selvi Ariyani, Amd. Far _ SERTIFIKAT BerAKHLAK</v>
      </c>
      <c r="P7644" s="5" t="s">
        <v>48397</v>
      </c>
    </row>
    <row r="7645">
      <c r="A7645" s="4">
        <v>45534.38527407407</v>
      </c>
      <c r="B7645" s="5" t="s">
        <v>34</v>
      </c>
      <c r="D7645" s="5" t="s">
        <v>12978</v>
      </c>
      <c r="E7645" s="5" t="s">
        <v>48408</v>
      </c>
      <c r="F7645" s="5" t="s">
        <v>212</v>
      </c>
      <c r="G7645" s="5" t="s">
        <v>48409</v>
      </c>
      <c r="H7645" s="6" t="s">
        <v>48410</v>
      </c>
      <c r="K7645" s="5" t="s">
        <v>48389</v>
      </c>
      <c r="M7645" s="5" t="s">
        <v>48411</v>
      </c>
      <c r="N7645" s="7" t="s">
        <v>48412</v>
      </c>
      <c r="O7645" s="8" t="str">
        <f>HYPERLINK("https://drive.google.com/file/d/1IWDBv1ZgyBgnbEecjdkrTs2QsNZOV9C8/view?usp=drivesdk","7644_SUPRIYATI  _ SERTIFIKAT BerAKHLAK")</f>
        <v>7644_SUPRIYATI  _ SERTIFIKAT BerAKHLAK</v>
      </c>
      <c r="P7645" s="5" t="s">
        <v>48397</v>
      </c>
    </row>
    <row r="7646">
      <c r="A7646" s="4">
        <v>45534.38527827546</v>
      </c>
      <c r="B7646" s="5" t="s">
        <v>34</v>
      </c>
      <c r="D7646" s="5" t="s">
        <v>1558</v>
      </c>
      <c r="E7646" s="5" t="s">
        <v>48413</v>
      </c>
      <c r="F7646" s="5" t="s">
        <v>108</v>
      </c>
      <c r="G7646" s="5" t="s">
        <v>48414</v>
      </c>
      <c r="H7646" s="6" t="s">
        <v>48415</v>
      </c>
      <c r="K7646" s="5" t="s">
        <v>48389</v>
      </c>
      <c r="M7646" s="5" t="s">
        <v>48416</v>
      </c>
      <c r="N7646" s="7" t="s">
        <v>48417</v>
      </c>
      <c r="O7646" s="8" t="str">
        <f>HYPERLINK("https://drive.google.com/file/d/16T5PVL0-AxH0ZTupY_TNphaxT3wL_YyX/view?usp=drivesdk","7645_AGUS KURNIAWAN, A.Md. _ SERTIFIKAT BerAKHLAK")</f>
        <v>7645_AGUS KURNIAWAN, A.Md. _ SERTIFIKAT BerAKHLAK</v>
      </c>
      <c r="P7646" s="5" t="s">
        <v>48418</v>
      </c>
    </row>
    <row r="7647">
      <c r="A7647" s="4">
        <v>45534.38527958334</v>
      </c>
      <c r="B7647" s="5" t="s">
        <v>34</v>
      </c>
      <c r="D7647" s="5" t="s">
        <v>12978</v>
      </c>
      <c r="E7647" s="5" t="s">
        <v>48419</v>
      </c>
      <c r="F7647" s="5" t="s">
        <v>120</v>
      </c>
      <c r="G7647" s="5" t="s">
        <v>48420</v>
      </c>
      <c r="H7647" s="6" t="s">
        <v>48421</v>
      </c>
      <c r="K7647" s="5" t="s">
        <v>48389</v>
      </c>
      <c r="M7647" s="5" t="s">
        <v>48422</v>
      </c>
      <c r="N7647" s="7" t="s">
        <v>48423</v>
      </c>
      <c r="O7647" s="8" t="str">
        <f>HYPERLINK("https://drive.google.com/file/d/1eEo8f6OKQHzWfxIixN7FbSuBy-w3mGCg/view?usp=drivesdk","7646_MAULINDA DAMAYANTI SE MM _ SERTIFIKAT BerAKHLAK")</f>
        <v>7646_MAULINDA DAMAYANTI SE MM _ SERTIFIKAT BerAKHLAK</v>
      </c>
      <c r="P7647" s="5" t="s">
        <v>48418</v>
      </c>
    </row>
    <row r="7648">
      <c r="A7648" s="4">
        <v>45534.385282523144</v>
      </c>
      <c r="B7648" s="5" t="s">
        <v>34</v>
      </c>
      <c r="D7648" s="5" t="s">
        <v>12978</v>
      </c>
      <c r="E7648" s="5" t="s">
        <v>48424</v>
      </c>
      <c r="F7648" s="5" t="s">
        <v>375</v>
      </c>
      <c r="G7648" s="5" t="s">
        <v>48425</v>
      </c>
      <c r="H7648" s="6" t="s">
        <v>48426</v>
      </c>
      <c r="K7648" s="5" t="s">
        <v>48389</v>
      </c>
      <c r="M7648" s="5" t="s">
        <v>48427</v>
      </c>
      <c r="N7648" s="7" t="s">
        <v>48428</v>
      </c>
      <c r="O7648" s="8" t="str">
        <f>HYPERLINK("https://drive.google.com/file/d/1_tD9kRAN2pXL3dQSC0x_aIEjckPDWVZ2/view?usp=drivesdk","7647_LENI DWI JAYA FITRI _ SERTIFIKAT BerAKHLAK")</f>
        <v>7647_LENI DWI JAYA FITRI _ SERTIFIKAT BerAKHLAK</v>
      </c>
      <c r="P7648" s="5" t="s">
        <v>48418</v>
      </c>
    </row>
    <row r="7649">
      <c r="A7649" s="4">
        <v>45534.38529215278</v>
      </c>
      <c r="B7649" s="5" t="s">
        <v>34</v>
      </c>
      <c r="D7649" s="5" t="s">
        <v>1206</v>
      </c>
      <c r="E7649" s="5" t="s">
        <v>48429</v>
      </c>
      <c r="F7649" s="5" t="s">
        <v>37</v>
      </c>
      <c r="G7649" s="5" t="s">
        <v>48430</v>
      </c>
      <c r="H7649" s="6" t="s">
        <v>48431</v>
      </c>
      <c r="K7649" s="5" t="s">
        <v>48389</v>
      </c>
      <c r="M7649" s="5" t="s">
        <v>48432</v>
      </c>
      <c r="N7649" s="7" t="s">
        <v>48433</v>
      </c>
      <c r="O7649" s="8" t="str">
        <f>HYPERLINK("https://drive.google.com/file/d/15Mv61pHLybB7a8THoZr61_qDazO2nxmD/view?usp=drivesdk","7648_Putri Permata Sari _ SERTIFIKAT BerAKHLAK")</f>
        <v>7648_Putri Permata Sari _ SERTIFIKAT BerAKHLAK</v>
      </c>
      <c r="P7649" s="5" t="s">
        <v>48418</v>
      </c>
    </row>
    <row r="7650">
      <c r="A7650" s="4">
        <v>45534.3853058449</v>
      </c>
      <c r="B7650" s="5" t="s">
        <v>34</v>
      </c>
      <c r="D7650" s="5" t="s">
        <v>2903</v>
      </c>
      <c r="E7650" s="5" t="s">
        <v>48434</v>
      </c>
      <c r="F7650" s="5" t="s">
        <v>108</v>
      </c>
      <c r="G7650" s="5" t="s">
        <v>48435</v>
      </c>
      <c r="H7650" s="6" t="s">
        <v>48436</v>
      </c>
      <c r="K7650" s="5" t="s">
        <v>48437</v>
      </c>
      <c r="M7650" s="5" t="s">
        <v>48438</v>
      </c>
      <c r="N7650" s="7" t="s">
        <v>48439</v>
      </c>
      <c r="O7650" s="8" t="str">
        <f>HYPERLINK("https://drive.google.com/file/d/1lnacK-wSoBa_OaflwIGltRFBU3WG1EBq/view?usp=drivesdk","7649_NENGSI _ SERTIFIKAT BerAKHLAK")</f>
        <v>7649_NENGSI _ SERTIFIKAT BerAKHLAK</v>
      </c>
      <c r="P7650" s="5" t="s">
        <v>48440</v>
      </c>
    </row>
    <row r="7651">
      <c r="A7651" s="4">
        <v>45534.38531809028</v>
      </c>
      <c r="B7651" s="5" t="s">
        <v>34</v>
      </c>
      <c r="D7651" s="5" t="s">
        <v>9394</v>
      </c>
      <c r="E7651" s="5" t="s">
        <v>48441</v>
      </c>
      <c r="F7651" s="5" t="s">
        <v>524</v>
      </c>
      <c r="G7651" s="5" t="s">
        <v>48442</v>
      </c>
      <c r="H7651" s="6" t="s">
        <v>48443</v>
      </c>
      <c r="K7651" s="5" t="s">
        <v>48437</v>
      </c>
      <c r="M7651" s="5" t="s">
        <v>48444</v>
      </c>
      <c r="N7651" s="7" t="s">
        <v>48445</v>
      </c>
      <c r="O7651" s="8" t="str">
        <f>HYPERLINK("https://drive.google.com/file/d/1Rsa5YhGYN1inghHF9VbWZGiAsmKvX3MT/view?usp=drivesdk","7650_WINDA SRI YANI  _ SERTIFIKAT BerAKHLAK")</f>
        <v>7650_WINDA SRI YANI  _ SERTIFIKAT BerAKHLAK</v>
      </c>
      <c r="P7651" s="5" t="s">
        <v>48440</v>
      </c>
    </row>
    <row r="7652">
      <c r="A7652" s="4">
        <v>45534.38531996528</v>
      </c>
      <c r="B7652" s="5" t="s">
        <v>34</v>
      </c>
      <c r="D7652" s="5" t="s">
        <v>1206</v>
      </c>
      <c r="E7652" s="5" t="s">
        <v>48446</v>
      </c>
      <c r="F7652" s="5" t="s">
        <v>108</v>
      </c>
      <c r="G7652" s="5" t="s">
        <v>48447</v>
      </c>
      <c r="H7652" s="6" t="s">
        <v>48448</v>
      </c>
      <c r="K7652" s="5" t="s">
        <v>48437</v>
      </c>
      <c r="M7652" s="5" t="s">
        <v>48449</v>
      </c>
      <c r="N7652" s="7" t="s">
        <v>48450</v>
      </c>
      <c r="O7652" s="8" t="str">
        <f>HYPERLINK("https://drive.google.com/file/d/1RRESStRrNedbKc5vON9iCsbYa63LBUAd/view?usp=drivesdk","7651_SEPTIAN DWIANTI,A.Md.Keb _ SERTIFIKAT BerAKHLAK")</f>
        <v>7651_SEPTIAN DWIANTI,A.Md.Keb _ SERTIFIKAT BerAKHLAK</v>
      </c>
      <c r="P7652" s="5" t="s">
        <v>48440</v>
      </c>
    </row>
    <row r="7653" hidden="1">
      <c r="A7653" s="4">
        <v>45534.38532427083</v>
      </c>
      <c r="B7653" s="5" t="s">
        <v>19</v>
      </c>
      <c r="C7653" s="5" t="s">
        <v>83</v>
      </c>
      <c r="E7653" s="5" t="s">
        <v>48451</v>
      </c>
      <c r="F7653" s="5" t="s">
        <v>212</v>
      </c>
      <c r="G7653" s="5" t="s">
        <v>48452</v>
      </c>
      <c r="H7653" s="6" t="s">
        <v>48453</v>
      </c>
      <c r="K7653" s="5" t="s">
        <v>48437</v>
      </c>
      <c r="M7653" s="5" t="s">
        <v>48454</v>
      </c>
      <c r="N7653" s="7" t="s">
        <v>48455</v>
      </c>
      <c r="O7653" s="8" t="str">
        <f>HYPERLINK("https://drive.google.com/file/d/1Ye4XWTMUFoRTEKgfxFMV6chty4-KuPhF/view?usp=drivesdk","7652_NURKHOLIK  _ SERTIFIKAT BerAKHLAK")</f>
        <v>7652_NURKHOLIK  _ SERTIFIKAT BerAKHLAK</v>
      </c>
      <c r="P7653" s="5" t="s">
        <v>48440</v>
      </c>
    </row>
    <row r="7654" hidden="1">
      <c r="A7654" s="4">
        <v>45534.38533329861</v>
      </c>
      <c r="B7654" s="5" t="s">
        <v>19</v>
      </c>
      <c r="C7654" s="5" t="s">
        <v>292</v>
      </c>
      <c r="E7654" s="5" t="s">
        <v>48456</v>
      </c>
      <c r="F7654" s="5" t="s">
        <v>375</v>
      </c>
      <c r="G7654" s="5" t="s">
        <v>48457</v>
      </c>
      <c r="H7654" s="6" t="s">
        <v>48458</v>
      </c>
      <c r="K7654" s="5" t="s">
        <v>48437</v>
      </c>
      <c r="M7654" s="5" t="s">
        <v>48459</v>
      </c>
      <c r="N7654" s="7" t="s">
        <v>48460</v>
      </c>
      <c r="O7654" s="8" t="str">
        <f>HYPERLINK("https://drive.google.com/file/d/1AkqMz-cRxckmVoNjAE67kA6UOXB0Yh7H/view?usp=drivesdk","7653_TAMAN STEVIA, S.Sos., M.Si. _ SERTIFIKAT BerAKHLAK")</f>
        <v>7653_TAMAN STEVIA, S.Sos., M.Si. _ SERTIFIKAT BerAKHLAK</v>
      </c>
      <c r="P7654" s="5" t="s">
        <v>48461</v>
      </c>
    </row>
    <row r="7655">
      <c r="A7655" s="4">
        <v>45534.38534636574</v>
      </c>
      <c r="B7655" s="5" t="s">
        <v>34</v>
      </c>
      <c r="D7655" s="5" t="s">
        <v>3849</v>
      </c>
      <c r="E7655" s="5" t="s">
        <v>48462</v>
      </c>
      <c r="F7655" s="5" t="s">
        <v>212</v>
      </c>
      <c r="G7655" s="5" t="s">
        <v>48463</v>
      </c>
      <c r="H7655" s="6" t="s">
        <v>48464</v>
      </c>
      <c r="K7655" s="5" t="s">
        <v>48465</v>
      </c>
      <c r="M7655" s="5" t="s">
        <v>48466</v>
      </c>
      <c r="N7655" s="7" t="s">
        <v>48467</v>
      </c>
      <c r="O7655" s="8" t="str">
        <f>HYPERLINK("https://drive.google.com/file/d/1OqQl9qFQhCsK-iPt66E-Ys8oULvdTZQN/view?usp=drivesdk","7654_FITRI RAHMADEWI, A. MD. FARM _ SERTIFIKAT BerAKHLAK")</f>
        <v>7654_FITRI RAHMADEWI, A. MD. FARM _ SERTIFIKAT BerAKHLAK</v>
      </c>
      <c r="P7655" s="5" t="s">
        <v>48461</v>
      </c>
    </row>
    <row r="7656" hidden="1">
      <c r="A7656" s="4">
        <v>45534.38534650463</v>
      </c>
      <c r="B7656" s="5" t="s">
        <v>19</v>
      </c>
      <c r="C7656" s="5" t="s">
        <v>83</v>
      </c>
      <c r="E7656" s="5" t="s">
        <v>48468</v>
      </c>
      <c r="F7656" s="5" t="s">
        <v>108</v>
      </c>
      <c r="G7656" s="5" t="s">
        <v>48469</v>
      </c>
      <c r="H7656" s="6" t="s">
        <v>48470</v>
      </c>
      <c r="K7656" s="5" t="s">
        <v>48465</v>
      </c>
      <c r="M7656" s="5" t="s">
        <v>48471</v>
      </c>
      <c r="N7656" s="7" t="s">
        <v>48472</v>
      </c>
      <c r="O7656" s="8" t="str">
        <f>HYPERLINK("https://drive.google.com/file/d/1z5pzeGy5R-qh9u_OVyzNCEwRk3-2QAT_/view?usp=drivesdk","7655_EMA AMALIA _ SERTIFIKAT BerAKHLAK")</f>
        <v>7655_EMA AMALIA _ SERTIFIKAT BerAKHLAK</v>
      </c>
      <c r="P7656" s="5" t="s">
        <v>48461</v>
      </c>
    </row>
    <row r="7657">
      <c r="A7657" s="4">
        <v>45534.385368460644</v>
      </c>
      <c r="B7657" s="5" t="s">
        <v>34</v>
      </c>
      <c r="D7657" s="5" t="s">
        <v>9020</v>
      </c>
      <c r="E7657" s="5" t="s">
        <v>48473</v>
      </c>
      <c r="F7657" s="5" t="s">
        <v>375</v>
      </c>
      <c r="G7657" s="5" t="s">
        <v>48474</v>
      </c>
      <c r="H7657" s="6" t="s">
        <v>48475</v>
      </c>
      <c r="K7657" s="5" t="s">
        <v>48465</v>
      </c>
      <c r="M7657" s="5" t="s">
        <v>48476</v>
      </c>
      <c r="N7657" s="7" t="s">
        <v>48477</v>
      </c>
      <c r="O7657" s="8" t="str">
        <f>HYPERLINK("https://drive.google.com/file/d/1wyoA0QVkBDmfS4k_Qkrj7OkGIw-m6itd/view?usp=drivesdk","7656_BUSMAN, S.E. _ SERTIFIKAT BerAKHLAK")</f>
        <v>7656_BUSMAN, S.E. _ SERTIFIKAT BerAKHLAK</v>
      </c>
      <c r="P7657" s="5" t="s">
        <v>48461</v>
      </c>
    </row>
    <row r="7658" hidden="1">
      <c r="A7658" s="4">
        <v>45534.38539255787</v>
      </c>
      <c r="B7658" s="5" t="s">
        <v>19</v>
      </c>
      <c r="C7658" s="5" t="s">
        <v>11593</v>
      </c>
      <c r="E7658" s="5" t="s">
        <v>48478</v>
      </c>
      <c r="F7658" s="5" t="s">
        <v>14783</v>
      </c>
      <c r="G7658" s="5" t="s">
        <v>48479</v>
      </c>
      <c r="H7658" s="6" t="s">
        <v>48480</v>
      </c>
      <c r="K7658" s="5" t="s">
        <v>48481</v>
      </c>
      <c r="M7658" s="5" t="s">
        <v>48482</v>
      </c>
      <c r="N7658" s="7" t="s">
        <v>48483</v>
      </c>
      <c r="O7658" s="8" t="str">
        <f>HYPERLINK("https://drive.google.com/file/d/1HI4ndIqGDRAeiBFlf-0-gScKLSHnhPPG/view?usp=drivesdk","7657_SYAFRIL YANTO,SpOG, MARS _ SERTIFIKAT BerAKHLAK")</f>
        <v>7657_SYAFRIL YANTO,SpOG, MARS _ SERTIFIKAT BerAKHLAK</v>
      </c>
      <c r="P7658" s="5" t="s">
        <v>48484</v>
      </c>
    </row>
    <row r="7659">
      <c r="A7659" s="4">
        <v>45534.38545659722</v>
      </c>
      <c r="B7659" s="5" t="s">
        <v>34</v>
      </c>
      <c r="D7659" s="5" t="s">
        <v>701</v>
      </c>
      <c r="E7659" s="5" t="s">
        <v>48485</v>
      </c>
      <c r="F7659" s="5" t="s">
        <v>212</v>
      </c>
      <c r="G7659" s="5" t="s">
        <v>48486</v>
      </c>
      <c r="H7659" s="6" t="s">
        <v>48487</v>
      </c>
      <c r="K7659" s="5" t="s">
        <v>48488</v>
      </c>
      <c r="M7659" s="5" t="s">
        <v>48489</v>
      </c>
      <c r="N7659" s="7" t="s">
        <v>48490</v>
      </c>
      <c r="O7659" s="8" t="str">
        <f>HYPERLINK("https://drive.google.com/file/d/1xHWV7chmYoC1_kgMCu0cS--YIuuM72KV/view?usp=drivesdk","7658_WELDAWATI  _ SERTIFIKAT BerAKHLAK")</f>
        <v>7658_WELDAWATI  _ SERTIFIKAT BerAKHLAK</v>
      </c>
      <c r="P7659" s="5" t="s">
        <v>48491</v>
      </c>
    </row>
    <row r="7660">
      <c r="A7660" s="4">
        <v>45534.38545706018</v>
      </c>
      <c r="B7660" s="5" t="s">
        <v>34</v>
      </c>
      <c r="D7660" s="5" t="s">
        <v>4775</v>
      </c>
      <c r="E7660" s="5" t="s">
        <v>48492</v>
      </c>
      <c r="F7660" s="5" t="s">
        <v>524</v>
      </c>
      <c r="G7660" s="5" t="s">
        <v>48493</v>
      </c>
      <c r="H7660" s="6" t="s">
        <v>48494</v>
      </c>
      <c r="K7660" s="5" t="s">
        <v>48488</v>
      </c>
      <c r="M7660" s="5" t="s">
        <v>48495</v>
      </c>
      <c r="N7660" s="7" t="s">
        <v>48496</v>
      </c>
      <c r="O7660" s="8" t="str">
        <f>HYPERLINK("https://drive.google.com/file/d/1__rof0lk5r1b2XN_QClP1KGfqA-hdn6y/view?usp=drivesdk","7659_EVI HARYATI, A.MD. _ SERTIFIKAT BerAKHLAK")</f>
        <v>7659_EVI HARYATI, A.MD. _ SERTIFIKAT BerAKHLAK</v>
      </c>
      <c r="P7660" s="5" t="s">
        <v>48497</v>
      </c>
    </row>
    <row r="7661">
      <c r="A7661" s="4">
        <v>45534.385465162035</v>
      </c>
      <c r="B7661" s="5" t="s">
        <v>34</v>
      </c>
      <c r="D7661" s="5" t="s">
        <v>1558</v>
      </c>
      <c r="E7661" s="5" t="s">
        <v>48498</v>
      </c>
      <c r="F7661" s="5" t="s">
        <v>375</v>
      </c>
      <c r="G7661" s="5" t="s">
        <v>48499</v>
      </c>
      <c r="H7661" s="6" t="s">
        <v>48500</v>
      </c>
      <c r="K7661" s="5" t="s">
        <v>48488</v>
      </c>
      <c r="M7661" s="5" t="s">
        <v>48501</v>
      </c>
      <c r="N7661" s="7" t="s">
        <v>48502</v>
      </c>
      <c r="O7661" s="8" t="str">
        <f>HYPERLINK("https://drive.google.com/file/d/1JNpv2YNdF5T-VKBH_ntBD7PC3UTbw9Oh/view?usp=drivesdk","7660_MEISIANA HERI INDRIASTUTI, S.S. _ SERTIFIKAT BerAKHLAK")</f>
        <v>7660_MEISIANA HERI INDRIASTUTI, S.S. _ SERTIFIKAT BerAKHLAK</v>
      </c>
      <c r="P7661" s="5" t="s">
        <v>48503</v>
      </c>
    </row>
    <row r="7662">
      <c r="A7662" s="4">
        <v>45534.38546740741</v>
      </c>
      <c r="B7662" s="5" t="s">
        <v>34</v>
      </c>
      <c r="D7662" s="5" t="s">
        <v>12978</v>
      </c>
      <c r="E7662" s="5" t="s">
        <v>48504</v>
      </c>
      <c r="F7662" s="5" t="s">
        <v>212</v>
      </c>
      <c r="G7662" s="5" t="s">
        <v>48505</v>
      </c>
      <c r="H7662" s="6" t="s">
        <v>48506</v>
      </c>
      <c r="K7662" s="5" t="s">
        <v>48488</v>
      </c>
      <c r="M7662" s="5" t="s">
        <v>48507</v>
      </c>
      <c r="N7662" s="7" t="s">
        <v>48508</v>
      </c>
      <c r="O7662" s="8" t="str">
        <f>HYPERLINK("https://drive.google.com/file/d/1k8nNpeDwycVS4mHnWfdcF8vGpix_J8Gn/view?usp=drivesdk","7661_MARIES RACHMAWATI _ SERTIFIKAT BerAKHLAK")</f>
        <v>7661_MARIES RACHMAWATI _ SERTIFIKAT BerAKHLAK</v>
      </c>
      <c r="P7662" s="5" t="s">
        <v>48509</v>
      </c>
    </row>
    <row r="7663">
      <c r="A7663" s="4">
        <v>45534.385480439814</v>
      </c>
      <c r="B7663" s="5" t="s">
        <v>34</v>
      </c>
      <c r="D7663" s="5" t="s">
        <v>1206</v>
      </c>
      <c r="E7663" s="5" t="s">
        <v>48510</v>
      </c>
      <c r="F7663" s="5" t="s">
        <v>120</v>
      </c>
      <c r="G7663" s="5" t="s">
        <v>48511</v>
      </c>
      <c r="H7663" s="6" t="s">
        <v>48512</v>
      </c>
      <c r="K7663" s="5" t="s">
        <v>48488</v>
      </c>
      <c r="M7663" s="5" t="s">
        <v>48513</v>
      </c>
      <c r="N7663" s="7" t="s">
        <v>48514</v>
      </c>
      <c r="O7663" s="8" t="str">
        <f>HYPERLINK("https://drive.google.com/file/d/1GZuHe6qit7K8t8Pe9cmTP_TT26I8qBy9/view?usp=drivesdk","7662_Dr Tutik Purwanti SpF  _ SERTIFIKAT BerAKHLAK")</f>
        <v>7662_Dr Tutik Purwanti SpF  _ SERTIFIKAT BerAKHLAK</v>
      </c>
      <c r="P7663" s="5" t="s">
        <v>48515</v>
      </c>
    </row>
    <row r="7664">
      <c r="A7664" s="4">
        <v>45534.385488113425</v>
      </c>
      <c r="B7664" s="5" t="s">
        <v>34</v>
      </c>
      <c r="D7664" s="5" t="s">
        <v>4775</v>
      </c>
      <c r="E7664" s="5" t="s">
        <v>48516</v>
      </c>
      <c r="F7664" s="5" t="s">
        <v>212</v>
      </c>
      <c r="G7664" s="5" t="s">
        <v>48517</v>
      </c>
      <c r="H7664" s="6" t="s">
        <v>48518</v>
      </c>
      <c r="K7664" s="5" t="s">
        <v>48488</v>
      </c>
      <c r="M7664" s="5" t="s">
        <v>48519</v>
      </c>
      <c r="N7664" s="7" t="s">
        <v>48520</v>
      </c>
      <c r="O7664" s="8" t="str">
        <f>HYPERLINK("https://drive.google.com/file/d/1jh5JXLXAGCSt9xxgrW_GMZmzMif6djIC/view?usp=drivesdk","7663_BASTIAH DULLAH SIDIK _ SERTIFIKAT BerAKHLAK")</f>
        <v>7663_BASTIAH DULLAH SIDIK _ SERTIFIKAT BerAKHLAK</v>
      </c>
      <c r="P7664" s="5" t="s">
        <v>48521</v>
      </c>
    </row>
    <row r="7665">
      <c r="A7665" s="4">
        <v>45534.38550454861</v>
      </c>
      <c r="B7665" s="5" t="s">
        <v>34</v>
      </c>
      <c r="D7665" s="5" t="s">
        <v>9020</v>
      </c>
      <c r="E7665" s="5" t="s">
        <v>48522</v>
      </c>
      <c r="F7665" s="5" t="s">
        <v>5859</v>
      </c>
      <c r="G7665" s="5" t="s">
        <v>48523</v>
      </c>
      <c r="H7665" s="6" t="s">
        <v>48524</v>
      </c>
      <c r="K7665" s="5" t="s">
        <v>48525</v>
      </c>
      <c r="M7665" s="5" t="s">
        <v>48526</v>
      </c>
      <c r="N7665" s="7" t="s">
        <v>48527</v>
      </c>
      <c r="O7665" s="8" t="str">
        <f>HYPERLINK("https://drive.google.com/file/d/1nkek5E0n3wrDYh4vecJHVcb9rqQKgm9d/view?usp=drivesdk","7664_INDRANI _ SERTIFIKAT BerAKHLAK")</f>
        <v>7664_INDRANI _ SERTIFIKAT BerAKHLAK</v>
      </c>
      <c r="P7665" s="5" t="s">
        <v>48528</v>
      </c>
    </row>
    <row r="7666">
      <c r="A7666" s="4">
        <v>45534.385523888894</v>
      </c>
      <c r="B7666" s="5" t="s">
        <v>34</v>
      </c>
      <c r="D7666" s="5" t="s">
        <v>4775</v>
      </c>
      <c r="E7666" s="5" t="s">
        <v>48529</v>
      </c>
      <c r="F7666" s="5" t="s">
        <v>37</v>
      </c>
      <c r="G7666" s="5" t="s">
        <v>48530</v>
      </c>
      <c r="H7666" s="6" t="s">
        <v>48531</v>
      </c>
      <c r="K7666" s="5" t="s">
        <v>48525</v>
      </c>
      <c r="M7666" s="5" t="s">
        <v>48532</v>
      </c>
      <c r="N7666" s="7" t="s">
        <v>48533</v>
      </c>
      <c r="O7666" s="8" t="str">
        <f>HYPERLINK("https://drive.google.com/file/d/1v6dM8JmtcCMfRH-1tLslgOjTyjZYWHaO/view?usp=drivesdk","7665_WAGIMAN _ SERTIFIKAT BerAKHLAK")</f>
        <v>7665_WAGIMAN _ SERTIFIKAT BerAKHLAK</v>
      </c>
      <c r="P7666" s="5" t="s">
        <v>48534</v>
      </c>
    </row>
    <row r="7667">
      <c r="A7667" s="4">
        <v>45534.385528680556</v>
      </c>
      <c r="B7667" s="5" t="s">
        <v>34</v>
      </c>
      <c r="D7667" s="5" t="s">
        <v>14424</v>
      </c>
      <c r="E7667" s="5" t="s">
        <v>48535</v>
      </c>
      <c r="F7667" s="5" t="s">
        <v>108</v>
      </c>
      <c r="G7667" s="5" t="s">
        <v>48536</v>
      </c>
      <c r="H7667" s="6" t="s">
        <v>48537</v>
      </c>
      <c r="K7667" s="5" t="s">
        <v>48525</v>
      </c>
      <c r="M7667" s="5" t="s">
        <v>48538</v>
      </c>
      <c r="N7667" s="7" t="s">
        <v>48539</v>
      </c>
      <c r="O7667" s="8" t="str">
        <f>HYPERLINK("https://drive.google.com/file/d/1bepGkOP74PM8RAAnzZ03KGVIvh0SyeEE/view?usp=drivesdk","7666_JAWIRIAH _ SERTIFIKAT BerAKHLAK")</f>
        <v>7666_JAWIRIAH _ SERTIFIKAT BerAKHLAK</v>
      </c>
      <c r="P7667" s="5" t="s">
        <v>48540</v>
      </c>
    </row>
    <row r="7668">
      <c r="A7668" s="4">
        <v>45534.385537511575</v>
      </c>
      <c r="B7668" s="5" t="s">
        <v>34</v>
      </c>
      <c r="D7668" s="5" t="s">
        <v>1206</v>
      </c>
      <c r="E7668" s="5" t="s">
        <v>41314</v>
      </c>
      <c r="F7668" s="5" t="s">
        <v>212</v>
      </c>
      <c r="G7668" s="5" t="s">
        <v>48541</v>
      </c>
      <c r="H7668" s="6" t="s">
        <v>48542</v>
      </c>
      <c r="K7668" s="5" t="s">
        <v>48525</v>
      </c>
      <c r="M7668" s="5" t="s">
        <v>48543</v>
      </c>
      <c r="N7668" s="7" t="s">
        <v>48544</v>
      </c>
      <c r="O7668" s="8" t="str">
        <f>HYPERLINK("https://drive.google.com/file/d/1gWGMYiuNstxt7MXg-i2TmIEcat_mk86T/view?usp=drivesdk","7667_SUGIHARTI _ SERTIFIKAT BerAKHLAK")</f>
        <v>7667_SUGIHARTI _ SERTIFIKAT BerAKHLAK</v>
      </c>
      <c r="P7668" s="5" t="s">
        <v>48545</v>
      </c>
    </row>
    <row r="7669">
      <c r="A7669" s="4">
        <v>45534.3855402662</v>
      </c>
      <c r="B7669" s="5" t="s">
        <v>34</v>
      </c>
      <c r="D7669" s="5" t="s">
        <v>1206</v>
      </c>
      <c r="E7669" s="5" t="s">
        <v>48546</v>
      </c>
      <c r="F7669" s="5" t="s">
        <v>37</v>
      </c>
      <c r="G7669" s="5" t="s">
        <v>48547</v>
      </c>
      <c r="H7669" s="6" t="s">
        <v>48548</v>
      </c>
      <c r="K7669" s="5" t="s">
        <v>48525</v>
      </c>
      <c r="M7669" s="5" t="s">
        <v>48549</v>
      </c>
      <c r="N7669" s="7" t="s">
        <v>48550</v>
      </c>
      <c r="O7669" s="8" t="str">
        <f>HYPERLINK("https://drive.google.com/file/d/1okPda5dXKJ7t1GZcO7aEnXtrhVzzwi98/view?usp=drivesdk","7668_YUNI BUDIONO _ SERTIFIKAT BerAKHLAK")</f>
        <v>7668_YUNI BUDIONO _ SERTIFIKAT BerAKHLAK</v>
      </c>
      <c r="P7669" s="5" t="s">
        <v>48551</v>
      </c>
    </row>
    <row r="7670">
      <c r="A7670" s="4">
        <v>45534.38561125</v>
      </c>
      <c r="B7670" s="5" t="s">
        <v>34</v>
      </c>
      <c r="D7670" s="5" t="s">
        <v>9020</v>
      </c>
      <c r="E7670" s="5" t="s">
        <v>48552</v>
      </c>
      <c r="F7670" s="5" t="s">
        <v>72</v>
      </c>
      <c r="G7670" s="5" t="s">
        <v>48553</v>
      </c>
      <c r="H7670" s="6" t="s">
        <v>48554</v>
      </c>
      <c r="K7670" s="5" t="s">
        <v>48555</v>
      </c>
      <c r="M7670" s="5" t="s">
        <v>48556</v>
      </c>
      <c r="N7670" s="7" t="s">
        <v>48557</v>
      </c>
      <c r="O7670" s="8" t="str">
        <f>HYPERLINK("https://drive.google.com/file/d/17v7y4GEobm1sascWmyVFwx-uF0h2hjZ7/view?usp=drivesdk","7669_AGAM MAGDALENA SITORUS, S.KOM _ SERTIFIKAT BerAKHLAK")</f>
        <v>7669_AGAM MAGDALENA SITORUS, S.KOM _ SERTIFIKAT BerAKHLAK</v>
      </c>
      <c r="P7670" s="5" t="s">
        <v>48558</v>
      </c>
    </row>
    <row r="7671" hidden="1">
      <c r="A7671" s="4">
        <v>45534.385620925925</v>
      </c>
      <c r="B7671" s="5" t="s">
        <v>19</v>
      </c>
      <c r="C7671" s="5" t="s">
        <v>3301</v>
      </c>
      <c r="E7671" s="5" t="s">
        <v>48559</v>
      </c>
      <c r="F7671" s="5" t="s">
        <v>37</v>
      </c>
      <c r="G7671" s="5" t="s">
        <v>48560</v>
      </c>
      <c r="H7671" s="6" t="s">
        <v>48561</v>
      </c>
      <c r="K7671" s="5" t="s">
        <v>48555</v>
      </c>
      <c r="M7671" s="5" t="s">
        <v>48562</v>
      </c>
      <c r="N7671" s="7" t="s">
        <v>48563</v>
      </c>
      <c r="O7671" s="8" t="str">
        <f>HYPERLINK("https://drive.google.com/file/d/1wDRnYVrPimd2lQ4WWMY5K2wHZV3RveQG/view?usp=drivesdk","7670_SITIN BHAYANGKARA T.AGUNG _ SERTIFIKAT BerAKHLAK")</f>
        <v>7670_SITIN BHAYANGKARA T.AGUNG _ SERTIFIKAT BerAKHLAK</v>
      </c>
      <c r="P7671" s="5" t="s">
        <v>48564</v>
      </c>
    </row>
    <row r="7672">
      <c r="A7672" s="4">
        <v>45534.38562935185</v>
      </c>
      <c r="B7672" s="5" t="s">
        <v>34</v>
      </c>
      <c r="D7672" s="5" t="s">
        <v>1206</v>
      </c>
      <c r="E7672" s="5" t="s">
        <v>48565</v>
      </c>
      <c r="F7672" s="5" t="s">
        <v>375</v>
      </c>
      <c r="G7672" s="5" t="s">
        <v>48566</v>
      </c>
      <c r="H7672" s="6" t="s">
        <v>48567</v>
      </c>
      <c r="K7672" s="5" t="s">
        <v>48555</v>
      </c>
      <c r="M7672" s="5" t="s">
        <v>48568</v>
      </c>
      <c r="N7672" s="7" t="s">
        <v>48569</v>
      </c>
      <c r="O7672" s="8" t="str">
        <f>HYPERLINK("https://drive.google.com/file/d/1T8BAOPo-l7jE47tc_8cEIDWKiYQFFXfH/view?usp=drivesdk","7671_CITRA DEWI CAHYANTI _ SERTIFIKAT BerAKHLAK")</f>
        <v>7671_CITRA DEWI CAHYANTI _ SERTIFIKAT BerAKHLAK</v>
      </c>
      <c r="P7672" s="5" t="s">
        <v>48570</v>
      </c>
    </row>
    <row r="7673">
      <c r="A7673" s="4">
        <v>45534.3856427662</v>
      </c>
      <c r="B7673" s="5" t="s">
        <v>34</v>
      </c>
      <c r="D7673" s="5" t="s">
        <v>1206</v>
      </c>
      <c r="E7673" s="5" t="s">
        <v>48571</v>
      </c>
      <c r="F7673" s="5" t="s">
        <v>524</v>
      </c>
      <c r="G7673" s="5" t="s">
        <v>48572</v>
      </c>
      <c r="H7673" s="6" t="s">
        <v>48573</v>
      </c>
      <c r="K7673" s="5" t="s">
        <v>48555</v>
      </c>
      <c r="M7673" s="5" t="s">
        <v>48574</v>
      </c>
      <c r="N7673" s="7" t="s">
        <v>48575</v>
      </c>
      <c r="O7673" s="8" t="str">
        <f>HYPERLINK("https://drive.google.com/file/d/1lUq-TEw12TPqvGbLBfEOtgFcWCwlUccC/view?usp=drivesdk","7672_Mudjianto S.Kep.Ns _ SERTIFIKAT BerAKHLAK")</f>
        <v>7672_Mudjianto S.Kep.Ns _ SERTIFIKAT BerAKHLAK</v>
      </c>
      <c r="P7673" s="5" t="s">
        <v>48576</v>
      </c>
    </row>
    <row r="7674">
      <c r="A7674" s="4">
        <v>45534.38565570602</v>
      </c>
      <c r="B7674" s="5" t="s">
        <v>34</v>
      </c>
      <c r="D7674" s="5" t="s">
        <v>11527</v>
      </c>
      <c r="E7674" s="5" t="s">
        <v>48577</v>
      </c>
      <c r="F7674" s="5" t="s">
        <v>72</v>
      </c>
      <c r="G7674" s="5" t="s">
        <v>48578</v>
      </c>
      <c r="H7674" s="6" t="s">
        <v>48579</v>
      </c>
      <c r="K7674" s="5" t="s">
        <v>48555</v>
      </c>
      <c r="M7674" s="5" t="s">
        <v>48580</v>
      </c>
      <c r="N7674" s="7" t="s">
        <v>48581</v>
      </c>
      <c r="O7674" s="8" t="str">
        <f>HYPERLINK("https://drive.google.com/file/d/1p55Iag9Cftaj6nNCdZ0nqMHMs-YPcMHq/view?usp=drivesdk","7673_NORY R KANDOU _ SERTIFIKAT BerAKHLAK")</f>
        <v>7673_NORY R KANDOU _ SERTIFIKAT BerAKHLAK</v>
      </c>
      <c r="P7674" s="5" t="s">
        <v>48582</v>
      </c>
    </row>
    <row r="7675">
      <c r="A7675" s="4">
        <v>45534.38568478009</v>
      </c>
      <c r="B7675" s="5" t="s">
        <v>34</v>
      </c>
      <c r="D7675" s="5" t="s">
        <v>1206</v>
      </c>
      <c r="E7675" s="5" t="s">
        <v>48583</v>
      </c>
      <c r="F7675" s="5" t="s">
        <v>524</v>
      </c>
      <c r="G7675" s="5" t="s">
        <v>48584</v>
      </c>
      <c r="H7675" s="6" t="s">
        <v>48585</v>
      </c>
      <c r="K7675" s="5" t="s">
        <v>48586</v>
      </c>
      <c r="M7675" s="5" t="s">
        <v>48587</v>
      </c>
      <c r="N7675" s="7" t="s">
        <v>48588</v>
      </c>
      <c r="O7675" s="8" t="str">
        <f>HYPERLINK("https://drive.google.com/file/d/1Re6se5KzrJ0quw9yofnW_9wuVZQ7AEb0/view?usp=drivesdk","7674_BINTI NUR'AINI _ SERTIFIKAT BerAKHLAK")</f>
        <v>7674_BINTI NUR'AINI _ SERTIFIKAT BerAKHLAK</v>
      </c>
      <c r="P7675" s="5" t="s">
        <v>48589</v>
      </c>
    </row>
    <row r="7676" hidden="1">
      <c r="A7676" s="4">
        <v>45534.38573710648</v>
      </c>
      <c r="B7676" s="5" t="s">
        <v>19</v>
      </c>
      <c r="C7676" s="5" t="s">
        <v>5058</v>
      </c>
      <c r="E7676" s="5" t="s">
        <v>48590</v>
      </c>
      <c r="F7676" s="5" t="s">
        <v>212</v>
      </c>
      <c r="G7676" s="5" t="s">
        <v>48591</v>
      </c>
      <c r="H7676" s="6" t="s">
        <v>48592</v>
      </c>
      <c r="K7676" s="5" t="s">
        <v>48593</v>
      </c>
      <c r="M7676" s="5" t="s">
        <v>48594</v>
      </c>
      <c r="N7676" s="7" t="s">
        <v>48595</v>
      </c>
      <c r="O7676" s="8" t="str">
        <f>HYPERLINK("https://drive.google.com/file/d/1uSG-YKKHOAgvf2zSf_YKXjL9c4ai53o9/view?usp=drivesdk","7675_GESTY NUANSA FITRI, A.Md. _ SERTIFIKAT BerAKHLAK")</f>
        <v>7675_GESTY NUANSA FITRI, A.Md. _ SERTIFIKAT BerAKHLAK</v>
      </c>
      <c r="P7676" s="5" t="s">
        <v>48596</v>
      </c>
    </row>
    <row r="7677">
      <c r="A7677" s="4">
        <v>45534.38573883101</v>
      </c>
      <c r="B7677" s="5" t="s">
        <v>34</v>
      </c>
      <c r="D7677" s="5" t="s">
        <v>9394</v>
      </c>
      <c r="E7677" s="5" t="s">
        <v>48597</v>
      </c>
      <c r="F7677" s="5" t="s">
        <v>524</v>
      </c>
      <c r="G7677" s="5" t="s">
        <v>48598</v>
      </c>
      <c r="H7677" s="6" t="s">
        <v>48599</v>
      </c>
      <c r="K7677" s="5" t="s">
        <v>48593</v>
      </c>
      <c r="M7677" s="5" t="s">
        <v>48600</v>
      </c>
      <c r="N7677" s="7" t="s">
        <v>48601</v>
      </c>
      <c r="O7677" s="8" t="str">
        <f>HYPERLINK("https://drive.google.com/file/d/13viOavPXiQzuIS1T0vKlsVY74eK_40n2/view?usp=drivesdk","7676_ELISABET MARIANA IKA SARI _ SERTIFIKAT BerAKHLAK")</f>
        <v>7676_ELISABET MARIANA IKA SARI _ SERTIFIKAT BerAKHLAK</v>
      </c>
      <c r="P7677" s="5" t="s">
        <v>48602</v>
      </c>
    </row>
    <row r="7678">
      <c r="A7678" s="4">
        <v>45534.38575475695</v>
      </c>
      <c r="B7678" s="5" t="s">
        <v>34</v>
      </c>
      <c r="D7678" s="5" t="s">
        <v>4775</v>
      </c>
      <c r="E7678" s="5" t="s">
        <v>48603</v>
      </c>
      <c r="F7678" s="5" t="s">
        <v>37</v>
      </c>
      <c r="G7678" s="5" t="s">
        <v>48604</v>
      </c>
      <c r="H7678" s="6" t="s">
        <v>48605</v>
      </c>
      <c r="K7678" s="5" t="s">
        <v>48593</v>
      </c>
      <c r="M7678" s="5" t="s">
        <v>48606</v>
      </c>
      <c r="N7678" s="7" t="s">
        <v>48607</v>
      </c>
      <c r="O7678" s="8" t="str">
        <f>HYPERLINK("https://drive.google.com/file/d/10-m8-PQN9svNTTaiMFNud0QCzMG_uPZ0/view?usp=drivesdk","7677_NILA LUTFANA, AM.d.Kep _ SERTIFIKAT BerAKHLAK")</f>
        <v>7677_NILA LUTFANA, AM.d.Kep _ SERTIFIKAT BerAKHLAK</v>
      </c>
      <c r="P7678" s="5" t="s">
        <v>48608</v>
      </c>
    </row>
    <row r="7679" hidden="1">
      <c r="A7679" s="4">
        <v>45534.38576380787</v>
      </c>
      <c r="B7679" s="5" t="s">
        <v>19</v>
      </c>
      <c r="C7679" s="5" t="s">
        <v>5058</v>
      </c>
      <c r="E7679" s="5" t="s">
        <v>48609</v>
      </c>
      <c r="F7679" s="5" t="s">
        <v>375</v>
      </c>
      <c r="G7679" s="5" t="s">
        <v>48610</v>
      </c>
      <c r="H7679" s="6" t="s">
        <v>48611</v>
      </c>
      <c r="K7679" s="5" t="s">
        <v>48593</v>
      </c>
      <c r="M7679" s="5" t="s">
        <v>48612</v>
      </c>
      <c r="N7679" s="7" t="s">
        <v>48613</v>
      </c>
      <c r="O7679" s="8" t="str">
        <f>HYPERLINK("https://drive.google.com/file/d/1hqWnVMtFPRpEJsjcFpCVMs0wD0K9QwUU/view?usp=drivesdk","7678_RATIH NURKUSUMA NINGRUM, SE _ SERTIFIKAT BerAKHLAK")</f>
        <v>7678_RATIH NURKUSUMA NINGRUM, SE _ SERTIFIKAT BerAKHLAK</v>
      </c>
      <c r="P7679" s="5" t="s">
        <v>48614</v>
      </c>
    </row>
    <row r="7680">
      <c r="A7680" s="4">
        <v>45534.38576792824</v>
      </c>
      <c r="B7680" s="5" t="s">
        <v>34</v>
      </c>
      <c r="D7680" s="5" t="s">
        <v>14313</v>
      </c>
      <c r="E7680" s="5" t="s">
        <v>48615</v>
      </c>
      <c r="F7680" s="5" t="s">
        <v>375</v>
      </c>
      <c r="G7680" s="5" t="s">
        <v>48616</v>
      </c>
      <c r="H7680" s="6" t="s">
        <v>48617</v>
      </c>
      <c r="K7680" s="5" t="s">
        <v>48593</v>
      </c>
      <c r="M7680" s="5" t="s">
        <v>48618</v>
      </c>
      <c r="N7680" s="7" t="s">
        <v>48619</v>
      </c>
      <c r="O7680" s="8" t="str">
        <f>HYPERLINK("https://drive.google.com/file/d/19Nc0MmRSvXU9_HsGxeFnGMrsVbo3qFAJ/view?usp=drivesdk","7679_Ns.Karsiati.S.Kep _ SERTIFIKAT BerAKHLAK")</f>
        <v>7679_Ns.Karsiati.S.Kep _ SERTIFIKAT BerAKHLAK</v>
      </c>
      <c r="P7680" s="5" t="s">
        <v>48620</v>
      </c>
    </row>
    <row r="7681">
      <c r="A7681" s="4">
        <v>45534.385780613426</v>
      </c>
      <c r="B7681" s="5" t="s">
        <v>34</v>
      </c>
      <c r="D7681" s="5" t="s">
        <v>35</v>
      </c>
      <c r="E7681" s="5" t="s">
        <v>48621</v>
      </c>
      <c r="F7681" s="5" t="s">
        <v>108</v>
      </c>
      <c r="G7681" s="5" t="s">
        <v>48622</v>
      </c>
      <c r="H7681" s="6" t="s">
        <v>48623</v>
      </c>
      <c r="K7681" s="5" t="s">
        <v>48593</v>
      </c>
      <c r="M7681" s="5" t="s">
        <v>48624</v>
      </c>
      <c r="N7681" s="7" t="s">
        <v>48625</v>
      </c>
      <c r="O7681" s="8" t="str">
        <f>HYPERLINK("https://drive.google.com/file/d/1LMKo9tcpTR8yX9CvNxOjtuPTGN5Y-uE8/view?usp=drivesdk","7680_RADEN RACHMAH NUGRAHA _ SERTIFIKAT BerAKHLAK")</f>
        <v>7680_RADEN RACHMAH NUGRAHA _ SERTIFIKAT BerAKHLAK</v>
      </c>
      <c r="P7681" s="5" t="s">
        <v>48626</v>
      </c>
    </row>
    <row r="7682">
      <c r="A7682" s="4">
        <v>45534.38578222222</v>
      </c>
      <c r="B7682" s="5" t="s">
        <v>34</v>
      </c>
      <c r="D7682" s="5" t="s">
        <v>522</v>
      </c>
      <c r="E7682" s="5" t="s">
        <v>48627</v>
      </c>
      <c r="F7682" s="5" t="s">
        <v>212</v>
      </c>
      <c r="G7682" s="5" t="s">
        <v>48628</v>
      </c>
      <c r="H7682" s="6" t="s">
        <v>48629</v>
      </c>
      <c r="K7682" s="5" t="s">
        <v>48593</v>
      </c>
      <c r="M7682" s="5" t="s">
        <v>48630</v>
      </c>
      <c r="N7682" s="7" t="s">
        <v>48631</v>
      </c>
      <c r="O7682" s="8" t="str">
        <f>HYPERLINK("https://drive.google.com/file/d/1YwKSBPWDDGRNbo1ALPihqUnmutjDSadt/view?usp=drivesdk","7681_RUKMINI _ SERTIFIKAT BerAKHLAK")</f>
        <v>7681_RUKMINI _ SERTIFIKAT BerAKHLAK</v>
      </c>
      <c r="P7682" s="5" t="s">
        <v>48632</v>
      </c>
    </row>
    <row r="7683">
      <c r="A7683" s="4">
        <v>45534.38578435185</v>
      </c>
      <c r="B7683" s="5" t="s">
        <v>34</v>
      </c>
      <c r="D7683" s="5" t="s">
        <v>9020</v>
      </c>
      <c r="E7683" s="5" t="s">
        <v>48633</v>
      </c>
      <c r="F7683" s="5" t="s">
        <v>108</v>
      </c>
      <c r="G7683" s="5" t="s">
        <v>48634</v>
      </c>
      <c r="H7683" s="6" t="s">
        <v>48635</v>
      </c>
      <c r="K7683" s="5" t="s">
        <v>48593</v>
      </c>
      <c r="M7683" s="5" t="s">
        <v>48636</v>
      </c>
      <c r="N7683" s="7" t="s">
        <v>48637</v>
      </c>
      <c r="O7683" s="8" t="str">
        <f>HYPERLINK("https://drive.google.com/file/d/11dHJ0Mwcmcqni0lwHPEH-sdbnZ1NIsik/view?usp=drivesdk","7682_JUNAIDY _ SERTIFIKAT BerAKHLAK")</f>
        <v>7682_JUNAIDY _ SERTIFIKAT BerAKHLAK</v>
      </c>
      <c r="P7683" s="5" t="s">
        <v>48638</v>
      </c>
    </row>
    <row r="7684">
      <c r="A7684" s="4">
        <v>45534.385788368054</v>
      </c>
      <c r="B7684" s="5" t="s">
        <v>34</v>
      </c>
      <c r="D7684" s="5" t="s">
        <v>14313</v>
      </c>
      <c r="E7684" s="5" t="s">
        <v>48639</v>
      </c>
      <c r="F7684" s="5" t="s">
        <v>212</v>
      </c>
      <c r="G7684" s="5" t="s">
        <v>48640</v>
      </c>
      <c r="H7684" s="6" t="s">
        <v>48641</v>
      </c>
      <c r="K7684" s="5" t="s">
        <v>48593</v>
      </c>
      <c r="M7684" s="5" t="s">
        <v>48642</v>
      </c>
      <c r="N7684" s="7" t="s">
        <v>48643</v>
      </c>
      <c r="O7684" s="8" t="str">
        <f>HYPERLINK("https://drive.google.com/file/d/1-gjca09R-NrRkr7wX27Z4ySVFk2KeyxR/view?usp=drivesdk","7683_SITTI AMINAH _ SERTIFIKAT BerAKHLAK")</f>
        <v>7683_SITTI AMINAH _ SERTIFIKAT BerAKHLAK</v>
      </c>
      <c r="P7684" s="5" t="s">
        <v>48644</v>
      </c>
    </row>
    <row r="7685" hidden="1">
      <c r="A7685" s="4">
        <v>45534.385792650464</v>
      </c>
      <c r="B7685" s="5" t="s">
        <v>19</v>
      </c>
      <c r="C7685" s="5" t="s">
        <v>83</v>
      </c>
      <c r="E7685" s="5" t="s">
        <v>48645</v>
      </c>
      <c r="F7685" s="5" t="s">
        <v>212</v>
      </c>
      <c r="G7685" s="5" t="s">
        <v>48646</v>
      </c>
      <c r="H7685" s="6" t="s">
        <v>48647</v>
      </c>
      <c r="K7685" s="5" t="s">
        <v>48593</v>
      </c>
      <c r="M7685" s="5" t="s">
        <v>48648</v>
      </c>
      <c r="N7685" s="7" t="s">
        <v>48649</v>
      </c>
      <c r="O7685" s="8" t="str">
        <f>HYPERLINK("https://drive.google.com/file/d/1YJ8cF8b-HHbATYEWU3r5ZHNyZ0-aJAuo/view?usp=drivesdk","7684_WIDY HARI WIBOWO _ SERTIFIKAT BerAKHLAK")</f>
        <v>7684_WIDY HARI WIBOWO _ SERTIFIKAT BerAKHLAK</v>
      </c>
      <c r="P7685" s="5" t="s">
        <v>48650</v>
      </c>
    </row>
    <row r="7686">
      <c r="A7686" s="4">
        <v>45534.38584135417</v>
      </c>
      <c r="B7686" s="5" t="s">
        <v>34</v>
      </c>
      <c r="D7686" s="5" t="s">
        <v>4775</v>
      </c>
      <c r="E7686" s="5" t="s">
        <v>48651</v>
      </c>
      <c r="F7686" s="5" t="s">
        <v>375</v>
      </c>
      <c r="G7686" s="5" t="s">
        <v>48652</v>
      </c>
      <c r="H7686" s="6" t="s">
        <v>48653</v>
      </c>
      <c r="K7686" s="5" t="s">
        <v>48654</v>
      </c>
      <c r="M7686" s="5" t="s">
        <v>48655</v>
      </c>
      <c r="N7686" s="7" t="s">
        <v>48656</v>
      </c>
      <c r="O7686" s="8" t="str">
        <f>HYPERLINK("https://drive.google.com/file/d/1HdRpApw0nJCr5FTki3ZAJOtDV7JZ7KsB/view?usp=drivesdk","7685_WIDAKDO, S.E. _ SERTIFIKAT BerAKHLAK")</f>
        <v>7685_WIDAKDO, S.E. _ SERTIFIKAT BerAKHLAK</v>
      </c>
      <c r="P7686" s="5" t="s">
        <v>48657</v>
      </c>
    </row>
    <row r="7687">
      <c r="A7687" s="4">
        <v>45534.38585907407</v>
      </c>
      <c r="B7687" s="5" t="s">
        <v>34</v>
      </c>
      <c r="D7687" s="5" t="s">
        <v>1206</v>
      </c>
      <c r="E7687" s="5" t="s">
        <v>48658</v>
      </c>
      <c r="F7687" s="5" t="s">
        <v>375</v>
      </c>
      <c r="G7687" s="5" t="s">
        <v>48659</v>
      </c>
      <c r="H7687" s="6" t="s">
        <v>48660</v>
      </c>
      <c r="K7687" s="5" t="s">
        <v>48654</v>
      </c>
      <c r="M7687" s="5" t="s">
        <v>48661</v>
      </c>
      <c r="N7687" s="7" t="s">
        <v>48662</v>
      </c>
      <c r="O7687" s="8" t="str">
        <f>HYPERLINK("https://drive.google.com/file/d/1jM3wU7fPfviHXRZfiBY_4xf3t_2K6AQS/view?usp=drivesdk","7686_DIDIK HERMAWANTO SH _ SERTIFIKAT BerAKHLAK")</f>
        <v>7686_DIDIK HERMAWANTO SH _ SERTIFIKAT BerAKHLAK</v>
      </c>
      <c r="P7687" s="5" t="s">
        <v>48657</v>
      </c>
    </row>
    <row r="7688">
      <c r="A7688" s="4">
        <v>45534.38586487269</v>
      </c>
      <c r="B7688" s="5" t="s">
        <v>34</v>
      </c>
      <c r="D7688" s="5" t="s">
        <v>9020</v>
      </c>
      <c r="E7688" s="5" t="s">
        <v>48663</v>
      </c>
      <c r="F7688" s="5" t="s">
        <v>37</v>
      </c>
      <c r="G7688" s="5" t="s">
        <v>48664</v>
      </c>
      <c r="H7688" s="6" t="s">
        <v>48665</v>
      </c>
      <c r="K7688" s="5" t="s">
        <v>48654</v>
      </c>
      <c r="M7688" s="5" t="s">
        <v>48666</v>
      </c>
      <c r="N7688" s="7" t="s">
        <v>48667</v>
      </c>
      <c r="O7688" s="8" t="str">
        <f>HYPERLINK("https://drive.google.com/file/d/11_khvDifRVYw-2qZB7W_3DjS0bTgBWMC/view?usp=drivesdk","7687_AMRINAWATI _ SERTIFIKAT BerAKHLAK")</f>
        <v>7687_AMRINAWATI _ SERTIFIKAT BerAKHLAK</v>
      </c>
      <c r="P7688" s="5" t="s">
        <v>48668</v>
      </c>
    </row>
    <row r="7689" hidden="1">
      <c r="A7689" s="4">
        <v>45534.385905787036</v>
      </c>
      <c r="B7689" s="5" t="s">
        <v>19</v>
      </c>
      <c r="C7689" s="5" t="s">
        <v>292</v>
      </c>
      <c r="E7689" s="5" t="s">
        <v>48669</v>
      </c>
      <c r="F7689" s="5" t="s">
        <v>72</v>
      </c>
      <c r="G7689" s="5" t="s">
        <v>48670</v>
      </c>
      <c r="H7689" s="6" t="s">
        <v>48671</v>
      </c>
      <c r="K7689" s="5" t="s">
        <v>48672</v>
      </c>
      <c r="M7689" s="5" t="s">
        <v>48673</v>
      </c>
      <c r="N7689" s="7" t="s">
        <v>48674</v>
      </c>
      <c r="O7689" s="8" t="str">
        <f>HYPERLINK("https://drive.google.com/file/d/1weGZQFEaVbnDXLMN495LR8zadE8qrxXL/view?usp=drivesdk","7688_YUNI PUJI RAHAYU.M.AK _ SERTIFIKAT BerAKHLAK")</f>
        <v>7688_YUNI PUJI RAHAYU.M.AK _ SERTIFIKAT BerAKHLAK</v>
      </c>
      <c r="P7689" s="5" t="s">
        <v>48668</v>
      </c>
    </row>
    <row r="7690">
      <c r="A7690" s="4">
        <v>45534.38592971065</v>
      </c>
      <c r="B7690" s="5" t="s">
        <v>34</v>
      </c>
      <c r="D7690" s="5" t="s">
        <v>4775</v>
      </c>
      <c r="E7690" s="5" t="s">
        <v>48675</v>
      </c>
      <c r="F7690" s="5" t="s">
        <v>212</v>
      </c>
      <c r="G7690" s="5" t="s">
        <v>48676</v>
      </c>
      <c r="H7690" s="6" t="s">
        <v>48677</v>
      </c>
      <c r="K7690" s="5" t="s">
        <v>48678</v>
      </c>
      <c r="M7690" s="5" t="s">
        <v>48679</v>
      </c>
      <c r="N7690" s="7" t="s">
        <v>48680</v>
      </c>
      <c r="O7690" s="8" t="str">
        <f>HYPERLINK("https://drive.google.com/file/d/1zcBonx1lpVnGERLDAPu8hBZn_Q7Lg5am/view?usp=drivesdk","7689_KHOERIYAH,AMK _ SERTIFIKAT BerAKHLAK")</f>
        <v>7689_KHOERIYAH,AMK _ SERTIFIKAT BerAKHLAK</v>
      </c>
      <c r="P7690" s="5" t="s">
        <v>48668</v>
      </c>
    </row>
    <row r="7691">
      <c r="A7691" s="4">
        <v>45534.385932199075</v>
      </c>
      <c r="B7691" s="5" t="s">
        <v>34</v>
      </c>
      <c r="D7691" s="5" t="s">
        <v>996</v>
      </c>
      <c r="E7691" s="5" t="s">
        <v>48681</v>
      </c>
      <c r="F7691" s="5" t="s">
        <v>212</v>
      </c>
      <c r="G7691" s="5" t="s">
        <v>48682</v>
      </c>
      <c r="H7691" s="6" t="s">
        <v>48683</v>
      </c>
      <c r="K7691" s="5" t="s">
        <v>48678</v>
      </c>
      <c r="M7691" s="5" t="s">
        <v>48684</v>
      </c>
      <c r="N7691" s="7" t="s">
        <v>48685</v>
      </c>
      <c r="O7691" s="8" t="str">
        <f>HYPERLINK("https://drive.google.com/file/d/1V26jUzNTtD5MD-n98__e0Gr6on3mfiY9/view?usp=drivesdk","7690_SURATI _ SERTIFIKAT BerAKHLAK")</f>
        <v>7690_SURATI _ SERTIFIKAT BerAKHLAK</v>
      </c>
      <c r="P7691" s="5" t="s">
        <v>48668</v>
      </c>
    </row>
    <row r="7692">
      <c r="A7692" s="4">
        <v>45534.385975625</v>
      </c>
      <c r="B7692" s="5" t="s">
        <v>34</v>
      </c>
      <c r="D7692" s="5" t="s">
        <v>701</v>
      </c>
      <c r="E7692" s="5" t="s">
        <v>48686</v>
      </c>
      <c r="F7692" s="5" t="s">
        <v>72</v>
      </c>
      <c r="G7692" s="5" t="s">
        <v>48687</v>
      </c>
      <c r="H7692" s="6" t="s">
        <v>48688</v>
      </c>
      <c r="K7692" s="5" t="s">
        <v>48689</v>
      </c>
      <c r="M7692" s="5" t="s">
        <v>48690</v>
      </c>
      <c r="N7692" s="7" t="s">
        <v>48691</v>
      </c>
      <c r="O7692" s="8" t="str">
        <f>HYPERLINK("https://drive.google.com/file/d/1dn7S_uItfpTl1FX0liaYVSsqCIX8hDqO/view?usp=drivesdk","7691_Ns.Surika,S.Kep _ SERTIFIKAT BerAKHLAK")</f>
        <v>7691_Ns.Surika,S.Kep _ SERTIFIKAT BerAKHLAK</v>
      </c>
      <c r="P7692" s="5" t="s">
        <v>48692</v>
      </c>
    </row>
    <row r="7693" hidden="1">
      <c r="A7693" s="4">
        <v>45534.385985092595</v>
      </c>
      <c r="B7693" s="5" t="s">
        <v>19</v>
      </c>
      <c r="C7693" s="5" t="s">
        <v>292</v>
      </c>
      <c r="E7693" s="5" t="s">
        <v>48693</v>
      </c>
      <c r="F7693" s="5" t="s">
        <v>108</v>
      </c>
      <c r="G7693" s="5" t="s">
        <v>48694</v>
      </c>
      <c r="H7693" s="6" t="s">
        <v>48695</v>
      </c>
      <c r="K7693" s="5" t="s">
        <v>48689</v>
      </c>
      <c r="M7693" s="5" t="s">
        <v>48696</v>
      </c>
      <c r="N7693" s="7" t="s">
        <v>48697</v>
      </c>
      <c r="O7693" s="8" t="str">
        <f>HYPERLINK("https://drive.google.com/file/d/11p_8W5gMlQ41hl-_tiq4gqK0WG0XgrZq/view?usp=drivesdk","7692_NANA SUTARNA _ SERTIFIKAT BerAKHLAK")</f>
        <v>7692_NANA SUTARNA _ SERTIFIKAT BerAKHLAK</v>
      </c>
      <c r="P7693" s="5" t="s">
        <v>48692</v>
      </c>
    </row>
    <row r="7694">
      <c r="A7694" s="4">
        <v>45534.38599400463</v>
      </c>
      <c r="B7694" s="5" t="s">
        <v>34</v>
      </c>
      <c r="D7694" s="5" t="s">
        <v>1558</v>
      </c>
      <c r="E7694" s="5" t="s">
        <v>48698</v>
      </c>
      <c r="F7694" s="5" t="s">
        <v>328</v>
      </c>
      <c r="G7694" s="5" t="s">
        <v>48699</v>
      </c>
      <c r="H7694" s="6" t="s">
        <v>48700</v>
      </c>
      <c r="K7694" s="5" t="s">
        <v>48701</v>
      </c>
      <c r="M7694" s="5" t="s">
        <v>48702</v>
      </c>
      <c r="N7694" s="7" t="s">
        <v>48703</v>
      </c>
      <c r="O7694" s="8" t="str">
        <f>HYPERLINK("https://drive.google.com/file/d/1XdJoCOkklMiYDz6I8Sy8qH_7wBGtk110/view?usp=drivesdk","7693_RIKHYADIN _ SERTIFIKAT BerAKHLAK")</f>
        <v>7693_RIKHYADIN _ SERTIFIKAT BerAKHLAK</v>
      </c>
      <c r="P7694" s="5" t="s">
        <v>48692</v>
      </c>
    </row>
    <row r="7695">
      <c r="A7695" s="4">
        <v>45534.3860496875</v>
      </c>
      <c r="B7695" s="5" t="s">
        <v>34</v>
      </c>
      <c r="D7695" s="5" t="s">
        <v>12010</v>
      </c>
      <c r="E7695" s="5" t="s">
        <v>48704</v>
      </c>
      <c r="F7695" s="5" t="s">
        <v>524</v>
      </c>
      <c r="G7695" s="5" t="s">
        <v>18357</v>
      </c>
      <c r="H7695" s="6" t="s">
        <v>48705</v>
      </c>
      <c r="K7695" s="5" t="s">
        <v>48701</v>
      </c>
      <c r="M7695" s="5" t="s">
        <v>48706</v>
      </c>
      <c r="N7695" s="7" t="s">
        <v>48707</v>
      </c>
      <c r="O7695" s="8" t="str">
        <f>HYPERLINK("https://drive.google.com/file/d/16px0zaTjEsAGuW0ZUXWV9GLV133vAks9/view?usp=drivesdk","7694_ASNIATI YUSUF, S.E _ SERTIFIKAT BerAKHLAK")</f>
        <v>7694_ASNIATI YUSUF, S.E _ SERTIFIKAT BerAKHLAK</v>
      </c>
      <c r="P7695" s="5" t="s">
        <v>48692</v>
      </c>
    </row>
    <row r="7696">
      <c r="A7696" s="4">
        <v>45534.38608217593</v>
      </c>
      <c r="B7696" s="5" t="s">
        <v>34</v>
      </c>
      <c r="D7696" s="5" t="s">
        <v>1206</v>
      </c>
      <c r="E7696" s="5" t="s">
        <v>47193</v>
      </c>
      <c r="F7696" s="5" t="s">
        <v>37</v>
      </c>
      <c r="G7696" s="5" t="s">
        <v>48708</v>
      </c>
      <c r="H7696" s="6" t="s">
        <v>48709</v>
      </c>
      <c r="K7696" s="5" t="s">
        <v>48710</v>
      </c>
      <c r="M7696" s="5" t="s">
        <v>48711</v>
      </c>
      <c r="N7696" s="7" t="s">
        <v>48712</v>
      </c>
      <c r="O7696" s="8" t="str">
        <f>HYPERLINK("https://drive.google.com/file/d/1cov9BB9fVNHoVR_NXLuBt_qYS9Qy83vF/view?usp=drivesdk","7695_SITI AMINAH _ SERTIFIKAT BerAKHLAK")</f>
        <v>7695_SITI AMINAH _ SERTIFIKAT BerAKHLAK</v>
      </c>
      <c r="P7696" s="5" t="s">
        <v>48713</v>
      </c>
    </row>
    <row r="7697" hidden="1">
      <c r="A7697" s="4">
        <v>45534.38610761574</v>
      </c>
      <c r="B7697" s="5" t="s">
        <v>19</v>
      </c>
      <c r="C7697" s="5" t="s">
        <v>83</v>
      </c>
      <c r="E7697" s="5" t="s">
        <v>48714</v>
      </c>
      <c r="F7697" s="5" t="s">
        <v>37</v>
      </c>
      <c r="G7697" s="5" t="s">
        <v>48715</v>
      </c>
      <c r="H7697" s="6" t="s">
        <v>48716</v>
      </c>
      <c r="K7697" s="5" t="s">
        <v>48717</v>
      </c>
      <c r="M7697" s="5" t="s">
        <v>48718</v>
      </c>
      <c r="N7697" s="7" t="s">
        <v>48719</v>
      </c>
      <c r="O7697" s="8" t="str">
        <f>HYPERLINK("https://drive.google.com/file/d/14JPgdx56-p0SyBXNGglibXNUUZxtoZ2v/view?usp=drivesdk","7696_SUBUH PRIYANTO _ SERTIFIKAT BerAKHLAK")</f>
        <v>7696_SUBUH PRIYANTO _ SERTIFIKAT BerAKHLAK</v>
      </c>
      <c r="P7697" s="5" t="s">
        <v>48713</v>
      </c>
    </row>
    <row r="7698">
      <c r="A7698" s="4">
        <v>45534.38611011574</v>
      </c>
      <c r="B7698" s="5" t="s">
        <v>34</v>
      </c>
      <c r="D7698" s="5" t="s">
        <v>14313</v>
      </c>
      <c r="E7698" s="5" t="s">
        <v>48720</v>
      </c>
      <c r="F7698" s="5" t="s">
        <v>37</v>
      </c>
      <c r="G7698" s="5" t="s">
        <v>48721</v>
      </c>
      <c r="H7698" s="6" t="s">
        <v>48722</v>
      </c>
      <c r="K7698" s="5" t="s">
        <v>48717</v>
      </c>
      <c r="M7698" s="5" t="s">
        <v>48723</v>
      </c>
      <c r="N7698" s="7" t="s">
        <v>48724</v>
      </c>
      <c r="O7698" s="8" t="str">
        <f>HYPERLINK("https://drive.google.com/file/d/13Bjt_JDwI1m-JvNSwdezb1biZ1f3bxWN/view?usp=drivesdk","7697_MUHAMMAD SANUSI _ SERTIFIKAT BerAKHLAK")</f>
        <v>7697_MUHAMMAD SANUSI _ SERTIFIKAT BerAKHLAK</v>
      </c>
      <c r="P7698" s="5" t="s">
        <v>48713</v>
      </c>
    </row>
    <row r="7699">
      <c r="A7699" s="4">
        <v>45534.38611795139</v>
      </c>
      <c r="B7699" s="5" t="s">
        <v>34</v>
      </c>
      <c r="D7699" s="5" t="s">
        <v>1558</v>
      </c>
      <c r="E7699" s="5" t="s">
        <v>48725</v>
      </c>
      <c r="F7699" s="5" t="s">
        <v>715</v>
      </c>
      <c r="G7699" s="5" t="s">
        <v>48726</v>
      </c>
      <c r="H7699" s="6" t="s">
        <v>48727</v>
      </c>
      <c r="K7699" s="5" t="s">
        <v>48717</v>
      </c>
      <c r="M7699" s="5" t="s">
        <v>48728</v>
      </c>
      <c r="N7699" s="7" t="s">
        <v>48729</v>
      </c>
      <c r="O7699" s="8" t="str">
        <f>HYPERLINK("https://drive.google.com/file/d/1-igyN0SE7idKFiP72gTggKQSAojq6v8z/view?usp=drivesdk","7698_IVAN BAGUS KURNIAWAN  _ SERTIFIKAT BerAKHLAK")</f>
        <v>7698_IVAN BAGUS KURNIAWAN  _ SERTIFIKAT BerAKHLAK</v>
      </c>
      <c r="P7699" s="5" t="s">
        <v>48713</v>
      </c>
    </row>
    <row r="7700">
      <c r="A7700" s="4">
        <v>45534.386120069445</v>
      </c>
      <c r="B7700" s="5" t="s">
        <v>34</v>
      </c>
      <c r="D7700" s="5" t="s">
        <v>267</v>
      </c>
      <c r="E7700" s="5" t="s">
        <v>48730</v>
      </c>
      <c r="F7700" s="5" t="s">
        <v>120</v>
      </c>
      <c r="G7700" s="5" t="s">
        <v>48731</v>
      </c>
      <c r="H7700" s="6" t="s">
        <v>48732</v>
      </c>
      <c r="K7700" s="5" t="s">
        <v>48717</v>
      </c>
      <c r="M7700" s="5" t="s">
        <v>48733</v>
      </c>
      <c r="N7700" s="7" t="s">
        <v>48734</v>
      </c>
      <c r="O7700" s="8" t="str">
        <f>HYPERLINK("https://drive.google.com/file/d/14I9uy7rregWiSbIswClcfEslzAKE2IBd/view?usp=drivesdk","7699_DR EVA NURDIYANTARI  _ SERTIFIKAT BerAKHLAK")</f>
        <v>7699_DR EVA NURDIYANTARI  _ SERTIFIKAT BerAKHLAK</v>
      </c>
      <c r="P7700" s="5" t="s">
        <v>48735</v>
      </c>
    </row>
    <row r="7701">
      <c r="A7701" s="4">
        <v>45534.386166192126</v>
      </c>
      <c r="B7701" s="5" t="s">
        <v>34</v>
      </c>
      <c r="D7701" s="5" t="s">
        <v>1206</v>
      </c>
      <c r="E7701" s="5" t="s">
        <v>48736</v>
      </c>
      <c r="F7701" s="5" t="s">
        <v>375</v>
      </c>
      <c r="G7701" s="5" t="s">
        <v>48737</v>
      </c>
      <c r="H7701" s="6" t="s">
        <v>48738</v>
      </c>
      <c r="K7701" s="5" t="s">
        <v>48739</v>
      </c>
      <c r="M7701" s="5" t="s">
        <v>48740</v>
      </c>
      <c r="N7701" s="7" t="s">
        <v>48741</v>
      </c>
      <c r="O7701" s="8" t="str">
        <f>HYPERLINK("https://drive.google.com/file/d/1ho7QsVRGz1JnmJ6ctBVXjA1kHVV_R3Vo/view?usp=drivesdk","7700_R.HERWONO SASONO S.sos _ SERTIFIKAT BerAKHLAK")</f>
        <v>7700_R.HERWONO SASONO S.sos _ SERTIFIKAT BerAKHLAK</v>
      </c>
      <c r="P7701" s="5" t="s">
        <v>48735</v>
      </c>
    </row>
    <row r="7702">
      <c r="A7702" s="4">
        <v>45534.38622244213</v>
      </c>
      <c r="B7702" s="5" t="s">
        <v>34</v>
      </c>
      <c r="D7702" s="5" t="s">
        <v>9020</v>
      </c>
      <c r="E7702" s="5" t="s">
        <v>48742</v>
      </c>
      <c r="F7702" s="5" t="s">
        <v>212</v>
      </c>
      <c r="G7702" s="5" t="s">
        <v>48743</v>
      </c>
      <c r="H7702" s="6" t="s">
        <v>48744</v>
      </c>
      <c r="K7702" s="5" t="s">
        <v>48745</v>
      </c>
      <c r="M7702" s="5" t="s">
        <v>48746</v>
      </c>
      <c r="N7702" s="7" t="s">
        <v>48747</v>
      </c>
      <c r="O7702" s="8" t="str">
        <f>HYPERLINK("https://drive.google.com/file/d/1N-RqXAxv7wUlYMHzJ50cCr-sCl22Nw0T/view?usp=drivesdk","7701_PESTA RAME ARUAN _ SERTIFIKAT BerAKHLAK")</f>
        <v>7701_PESTA RAME ARUAN _ SERTIFIKAT BerAKHLAK</v>
      </c>
      <c r="P7702" s="5" t="s">
        <v>48735</v>
      </c>
    </row>
    <row r="7703">
      <c r="A7703" s="4">
        <v>45534.38622861111</v>
      </c>
      <c r="B7703" s="5" t="s">
        <v>34</v>
      </c>
      <c r="D7703" s="5" t="s">
        <v>4775</v>
      </c>
      <c r="E7703" s="5" t="s">
        <v>48748</v>
      </c>
      <c r="F7703" s="5" t="s">
        <v>37</v>
      </c>
      <c r="G7703" s="5" t="s">
        <v>48749</v>
      </c>
      <c r="H7703" s="6" t="s">
        <v>48750</v>
      </c>
      <c r="K7703" s="5" t="s">
        <v>48745</v>
      </c>
      <c r="M7703" s="5" t="s">
        <v>48751</v>
      </c>
      <c r="N7703" s="7" t="s">
        <v>48752</v>
      </c>
      <c r="O7703" s="8" t="str">
        <f>HYPERLINK("https://drive.google.com/file/d/18l6lyY5_mUEhNgHM2e_AVd0iF4Wn4jES/view?usp=drivesdk","7702_EKO SUMARNO, S.H _ SERTIFIKAT BerAKHLAK")</f>
        <v>7702_EKO SUMARNO, S.H _ SERTIFIKAT BerAKHLAK</v>
      </c>
      <c r="P7703" s="5" t="s">
        <v>48735</v>
      </c>
    </row>
    <row r="7704">
      <c r="A7704" s="4">
        <v>45534.38623834491</v>
      </c>
      <c r="B7704" s="5" t="s">
        <v>34</v>
      </c>
      <c r="D7704" s="5" t="s">
        <v>1206</v>
      </c>
      <c r="E7704" s="5" t="s">
        <v>48753</v>
      </c>
      <c r="F7704" s="5" t="s">
        <v>212</v>
      </c>
      <c r="G7704" s="5" t="s">
        <v>48754</v>
      </c>
      <c r="H7704" s="6" t="s">
        <v>48755</v>
      </c>
      <c r="K7704" s="5" t="s">
        <v>48745</v>
      </c>
      <c r="M7704" s="5" t="s">
        <v>48756</v>
      </c>
      <c r="N7704" s="7" t="s">
        <v>48757</v>
      </c>
      <c r="O7704" s="8" t="str">
        <f>HYPERLINK("https://drive.google.com/file/d/1BnBqjJ28ZJdNwiuNB-OD6F7UlgpYTb8e/view?usp=drivesdk","7703_MOCH DYAFAR SODIQ, S.H. _ SERTIFIKAT BerAKHLAK")</f>
        <v>7703_MOCH DYAFAR SODIQ, S.H. _ SERTIFIKAT BerAKHLAK</v>
      </c>
      <c r="P7704" s="5" t="s">
        <v>48758</v>
      </c>
    </row>
    <row r="7705">
      <c r="A7705" s="4">
        <v>45534.38626072917</v>
      </c>
      <c r="B7705" s="5" t="s">
        <v>34</v>
      </c>
      <c r="D7705" s="5" t="s">
        <v>1206</v>
      </c>
      <c r="E7705" s="5" t="s">
        <v>48759</v>
      </c>
      <c r="F7705" s="5" t="s">
        <v>72</v>
      </c>
      <c r="G7705" s="5" t="s">
        <v>48760</v>
      </c>
      <c r="H7705" s="6" t="s">
        <v>48761</v>
      </c>
      <c r="K7705" s="5" t="s">
        <v>48762</v>
      </c>
      <c r="M7705" s="5" t="s">
        <v>48763</v>
      </c>
      <c r="N7705" s="7" t="s">
        <v>48764</v>
      </c>
      <c r="O7705" s="8" t="str">
        <f>HYPERLINK("https://drive.google.com/file/d/1sjGqP2wKgGVE5gLRmQSLo4ZZ4Jrj1y0P/view?usp=drivesdk","7704_SALINDRI SAPTO DEWI  _ SERTIFIKAT BerAKHLAK")</f>
        <v>7704_SALINDRI SAPTO DEWI  _ SERTIFIKAT BerAKHLAK</v>
      </c>
      <c r="P7705" s="5" t="s">
        <v>48765</v>
      </c>
    </row>
    <row r="7706">
      <c r="A7706" s="4">
        <v>45534.386288634254</v>
      </c>
      <c r="B7706" s="5" t="s">
        <v>34</v>
      </c>
      <c r="D7706" s="5" t="s">
        <v>14313</v>
      </c>
      <c r="E7706" s="5" t="s">
        <v>48766</v>
      </c>
      <c r="F7706" s="5" t="s">
        <v>212</v>
      </c>
      <c r="G7706" s="5" t="s">
        <v>48767</v>
      </c>
      <c r="H7706" s="6" t="s">
        <v>48768</v>
      </c>
      <c r="K7706" s="5" t="s">
        <v>48769</v>
      </c>
      <c r="M7706" s="5" t="s">
        <v>48770</v>
      </c>
      <c r="N7706" s="7" t="s">
        <v>48771</v>
      </c>
      <c r="O7706" s="8" t="str">
        <f>HYPERLINK("https://drive.google.com/file/d/10TReezfppc-z7ev01Y9oW7eleN3UQRMx/view?usp=drivesdk","7705_MUSDALIFAH T  _ SERTIFIKAT BerAKHLAK")</f>
        <v>7705_MUSDALIFAH T  _ SERTIFIKAT BerAKHLAK</v>
      </c>
      <c r="P7706" s="5" t="s">
        <v>48772</v>
      </c>
    </row>
    <row r="7707">
      <c r="A7707" s="4">
        <v>45534.38629490741</v>
      </c>
      <c r="B7707" s="5" t="s">
        <v>34</v>
      </c>
      <c r="D7707" s="5" t="s">
        <v>1558</v>
      </c>
      <c r="E7707" s="5" t="s">
        <v>48773</v>
      </c>
      <c r="F7707" s="5" t="s">
        <v>37</v>
      </c>
      <c r="G7707" s="5" t="s">
        <v>48774</v>
      </c>
      <c r="H7707" s="6" t="s">
        <v>48775</v>
      </c>
      <c r="K7707" s="5" t="s">
        <v>48769</v>
      </c>
      <c r="M7707" s="5" t="s">
        <v>48776</v>
      </c>
      <c r="N7707" s="7" t="s">
        <v>48777</v>
      </c>
      <c r="O7707" s="8" t="str">
        <f>HYPERLINK("https://drive.google.com/file/d/14Yzmdf9fO4RPin3nbvhcqaeAjHWiMD2B/view?usp=drivesdk","7706_PRIANTO _ SERTIFIKAT BerAKHLAK")</f>
        <v>7706_PRIANTO _ SERTIFIKAT BerAKHLAK</v>
      </c>
      <c r="P7707" s="5" t="s">
        <v>48778</v>
      </c>
    </row>
    <row r="7708">
      <c r="A7708" s="4">
        <v>45534.386320254634</v>
      </c>
      <c r="B7708" s="5" t="s">
        <v>34</v>
      </c>
      <c r="D7708" s="5" t="s">
        <v>267</v>
      </c>
      <c r="E7708" s="5" t="s">
        <v>48779</v>
      </c>
      <c r="F7708" s="5" t="s">
        <v>375</v>
      </c>
      <c r="G7708" s="5" t="s">
        <v>48780</v>
      </c>
      <c r="H7708" s="6" t="s">
        <v>48781</v>
      </c>
      <c r="K7708" s="5" t="s">
        <v>48782</v>
      </c>
      <c r="M7708" s="5" t="s">
        <v>48783</v>
      </c>
      <c r="N7708" s="7" t="s">
        <v>48784</v>
      </c>
      <c r="O7708" s="8" t="str">
        <f>HYPERLINK("https://drive.google.com/file/d/1Ol52RBRkk12oziLYFmwrDZ5EgEusHTLd/view?usp=drivesdk","7707_SIGIT HARI PRASETIYO, S.E., M.M. _ SERTIFIKAT BerAKHLAK")</f>
        <v>7707_SIGIT HARI PRASETIYO, S.E., M.M. _ SERTIFIKAT BerAKHLAK</v>
      </c>
      <c r="P7708" s="5" t="s">
        <v>48785</v>
      </c>
    </row>
    <row r="7709">
      <c r="A7709" s="4">
        <v>45534.386373472225</v>
      </c>
      <c r="B7709" s="5" t="s">
        <v>34</v>
      </c>
      <c r="D7709" s="5" t="s">
        <v>9020</v>
      </c>
      <c r="E7709" s="5" t="s">
        <v>48786</v>
      </c>
      <c r="F7709" s="5" t="s">
        <v>524</v>
      </c>
      <c r="G7709" s="5" t="s">
        <v>48787</v>
      </c>
      <c r="H7709" s="6" t="s">
        <v>48788</v>
      </c>
      <c r="K7709" s="5" t="s">
        <v>48782</v>
      </c>
      <c r="M7709" s="5" t="s">
        <v>48789</v>
      </c>
      <c r="N7709" s="7" t="s">
        <v>48790</v>
      </c>
      <c r="O7709" s="8" t="str">
        <f>HYPERLINK("https://drive.google.com/file/d/1B1fZtp_gyFKC_HkQZcIxhzSfUgcFdGv0/view?usp=drivesdk","7708_EFRIKA MANURUNG, S.KOM _ SERTIFIKAT BerAKHLAK")</f>
        <v>7708_EFRIKA MANURUNG, S.KOM _ SERTIFIKAT BerAKHLAK</v>
      </c>
      <c r="P7709" s="5" t="s">
        <v>48791</v>
      </c>
    </row>
    <row r="7710">
      <c r="A7710" s="4">
        <v>45534.38637738426</v>
      </c>
      <c r="B7710" s="5" t="s">
        <v>34</v>
      </c>
      <c r="D7710" s="5" t="s">
        <v>701</v>
      </c>
      <c r="E7710" s="5" t="s">
        <v>48792</v>
      </c>
      <c r="F7710" s="5" t="s">
        <v>108</v>
      </c>
      <c r="G7710" s="5" t="s">
        <v>48793</v>
      </c>
      <c r="H7710" s="6" t="s">
        <v>48794</v>
      </c>
      <c r="K7710" s="5" t="s">
        <v>48782</v>
      </c>
      <c r="M7710" s="5" t="s">
        <v>48795</v>
      </c>
      <c r="N7710" s="7" t="s">
        <v>48796</v>
      </c>
      <c r="O7710" s="8" t="str">
        <f>HYPERLINK("https://drive.google.com/file/d/1cOnO6LZdSnHTUBfAchIG-NDqINIoanso/view?usp=drivesdk","7709_dr. YELLAW SUWIDARILAND _ SERTIFIKAT BerAKHLAK")</f>
        <v>7709_dr. YELLAW SUWIDARILAND _ SERTIFIKAT BerAKHLAK</v>
      </c>
      <c r="P7710" s="5" t="s">
        <v>48797</v>
      </c>
    </row>
    <row r="7711">
      <c r="A7711" s="4">
        <v>45534.38638321759</v>
      </c>
      <c r="B7711" s="5" t="s">
        <v>34</v>
      </c>
      <c r="D7711" s="5" t="s">
        <v>996</v>
      </c>
      <c r="E7711" s="5" t="s">
        <v>48798</v>
      </c>
      <c r="F7711" s="5" t="s">
        <v>375</v>
      </c>
      <c r="G7711" s="5" t="s">
        <v>48799</v>
      </c>
      <c r="H7711" s="6" t="s">
        <v>48800</v>
      </c>
      <c r="K7711" s="5" t="s">
        <v>48782</v>
      </c>
      <c r="M7711" s="5" t="s">
        <v>48801</v>
      </c>
      <c r="N7711" s="7" t="s">
        <v>48802</v>
      </c>
      <c r="O7711" s="8" t="str">
        <f>HYPERLINK("https://drive.google.com/file/d/1l4zA6JEWbvwSXAx_ppgyR3-dEmcz3YmQ/view?usp=drivesdk","7710_GURDANI _ SERTIFIKAT BerAKHLAK")</f>
        <v>7710_GURDANI _ SERTIFIKAT BerAKHLAK</v>
      </c>
      <c r="P7711" s="5" t="s">
        <v>48803</v>
      </c>
    </row>
    <row r="7712">
      <c r="A7712" s="4">
        <v>45534.38639273148</v>
      </c>
      <c r="B7712" s="5" t="s">
        <v>34</v>
      </c>
      <c r="D7712" s="5" t="s">
        <v>1206</v>
      </c>
      <c r="E7712" s="5" t="s">
        <v>48804</v>
      </c>
      <c r="F7712" s="5" t="s">
        <v>212</v>
      </c>
      <c r="G7712" s="5" t="s">
        <v>48805</v>
      </c>
      <c r="H7712" s="6" t="s">
        <v>48806</v>
      </c>
      <c r="K7712" s="5" t="s">
        <v>48782</v>
      </c>
      <c r="M7712" s="5" t="s">
        <v>48807</v>
      </c>
      <c r="N7712" s="7" t="s">
        <v>48808</v>
      </c>
      <c r="O7712" s="8" t="str">
        <f>HYPERLINK("https://drive.google.com/file/d/1jWpuuhoEwwV28AgAr-mppi2eHLaYGiV4/view?usp=drivesdk","7711_AHMAD ABIDIN _ SERTIFIKAT BerAKHLAK")</f>
        <v>7711_AHMAD ABIDIN _ SERTIFIKAT BerAKHLAK</v>
      </c>
      <c r="P7712" s="5" t="s">
        <v>48809</v>
      </c>
    </row>
    <row r="7713">
      <c r="A7713" s="4">
        <v>45534.38639377315</v>
      </c>
      <c r="B7713" s="5" t="s">
        <v>34</v>
      </c>
      <c r="D7713" s="5" t="s">
        <v>280</v>
      </c>
      <c r="E7713" s="5" t="s">
        <v>48810</v>
      </c>
      <c r="F7713" s="5" t="s">
        <v>37</v>
      </c>
      <c r="G7713" s="5" t="s">
        <v>48811</v>
      </c>
      <c r="H7713" s="6" t="s">
        <v>48812</v>
      </c>
      <c r="K7713" s="5" t="s">
        <v>48782</v>
      </c>
      <c r="M7713" s="5" t="s">
        <v>48813</v>
      </c>
      <c r="N7713" s="7" t="s">
        <v>48814</v>
      </c>
      <c r="O7713" s="8" t="str">
        <f>HYPERLINK("https://drive.google.com/file/d/1wZFyuHZxg0Tds4btbScXLJS1TrksicXe/view?usp=drivesdk","7712_YAHYA BIN _ SERTIFIKAT BerAKHLAK")</f>
        <v>7712_YAHYA BIN _ SERTIFIKAT BerAKHLAK</v>
      </c>
      <c r="P7713" s="5" t="s">
        <v>48815</v>
      </c>
    </row>
    <row r="7714">
      <c r="A7714" s="4">
        <v>45534.38639668981</v>
      </c>
      <c r="B7714" s="5" t="s">
        <v>34</v>
      </c>
      <c r="D7714" s="5" t="s">
        <v>1206</v>
      </c>
      <c r="E7714" s="5" t="s">
        <v>48816</v>
      </c>
      <c r="F7714" s="5" t="s">
        <v>715</v>
      </c>
      <c r="G7714" s="5" t="s">
        <v>48817</v>
      </c>
      <c r="H7714" s="6" t="s">
        <v>48818</v>
      </c>
      <c r="K7714" s="5" t="s">
        <v>48819</v>
      </c>
      <c r="M7714" s="5" t="s">
        <v>48820</v>
      </c>
      <c r="N7714" s="7" t="s">
        <v>48821</v>
      </c>
      <c r="O7714" s="8" t="str">
        <f>HYPERLINK("https://drive.google.com/file/d/1ETu43xyTzjbOoxpR1I9DUxUpZo0h8EjJ/view?usp=drivesdk","7713_PUTRI AROFA, S.M  _ SERTIFIKAT BerAKHLAK")</f>
        <v>7713_PUTRI AROFA, S.M  _ SERTIFIKAT BerAKHLAK</v>
      </c>
      <c r="P7714" s="5" t="s">
        <v>48822</v>
      </c>
    </row>
    <row r="7715">
      <c r="A7715" s="4">
        <v>45534.38640528935</v>
      </c>
      <c r="B7715" s="5" t="s">
        <v>34</v>
      </c>
      <c r="D7715" s="5" t="s">
        <v>1558</v>
      </c>
      <c r="E7715" s="5" t="s">
        <v>48823</v>
      </c>
      <c r="F7715" s="5" t="s">
        <v>72</v>
      </c>
      <c r="G7715" s="5" t="s">
        <v>48824</v>
      </c>
      <c r="H7715" s="6" t="s">
        <v>48825</v>
      </c>
      <c r="K7715" s="5" t="s">
        <v>48819</v>
      </c>
      <c r="M7715" s="5" t="s">
        <v>48826</v>
      </c>
      <c r="N7715" s="7" t="s">
        <v>48827</v>
      </c>
      <c r="O7715" s="8" t="str">
        <f>HYPERLINK("https://drive.google.com/file/d/1GifzEl6Uf3l1asbOIWYvUYQ_1ovFaPQQ/view?usp=drivesdk","7714_PUJI SISWATI. SE _ SERTIFIKAT BerAKHLAK")</f>
        <v>7714_PUJI SISWATI. SE _ SERTIFIKAT BerAKHLAK</v>
      </c>
      <c r="P7715" s="5" t="s">
        <v>48828</v>
      </c>
    </row>
    <row r="7716" hidden="1">
      <c r="A7716" s="4">
        <v>45534.386405509256</v>
      </c>
      <c r="B7716" s="5" t="s">
        <v>19</v>
      </c>
      <c r="C7716" s="5" t="s">
        <v>3301</v>
      </c>
      <c r="E7716" s="5" t="s">
        <v>48829</v>
      </c>
      <c r="F7716" s="5" t="s">
        <v>715</v>
      </c>
      <c r="G7716" s="5" t="s">
        <v>48830</v>
      </c>
      <c r="H7716" s="6" t="s">
        <v>48831</v>
      </c>
      <c r="K7716" s="5" t="s">
        <v>48819</v>
      </c>
      <c r="M7716" s="5" t="s">
        <v>48832</v>
      </c>
      <c r="N7716" s="7" t="s">
        <v>48833</v>
      </c>
      <c r="O7716" s="8" t="str">
        <f>HYPERLINK("https://drive.google.com/file/d/1wQkIWJAMh0LxSbMdK0Yb9gJ8p7gXUraO/view?usp=drivesdk","7715_DRG AULIATI WULANDARI _ SERTIFIKAT BerAKHLAK")</f>
        <v>7715_DRG AULIATI WULANDARI _ SERTIFIKAT BerAKHLAK</v>
      </c>
      <c r="P7716" s="5" t="s">
        <v>48834</v>
      </c>
    </row>
    <row r="7717">
      <c r="A7717" s="4">
        <v>45534.38643893518</v>
      </c>
      <c r="B7717" s="5" t="s">
        <v>34</v>
      </c>
      <c r="D7717" s="5" t="s">
        <v>1206</v>
      </c>
      <c r="E7717" s="5" t="s">
        <v>48835</v>
      </c>
      <c r="F7717" s="5" t="s">
        <v>37</v>
      </c>
      <c r="G7717" s="5" t="s">
        <v>48836</v>
      </c>
      <c r="H7717" s="6" t="s">
        <v>48837</v>
      </c>
      <c r="K7717" s="5" t="s">
        <v>48819</v>
      </c>
      <c r="M7717" s="5" t="s">
        <v>48838</v>
      </c>
      <c r="N7717" s="7" t="s">
        <v>48839</v>
      </c>
      <c r="O7717" s="8" t="str">
        <f>HYPERLINK("https://drive.google.com/file/d/1dyNmHyE2WAH9h-4Fiw2H_3jqU8wDnHwU/view?usp=drivesdk","7716_YUSTINA SUWARNI _ SERTIFIKAT BerAKHLAK")</f>
        <v>7716_YUSTINA SUWARNI _ SERTIFIKAT BerAKHLAK</v>
      </c>
      <c r="P7717" s="5" t="s">
        <v>48840</v>
      </c>
    </row>
    <row r="7718">
      <c r="A7718" s="4">
        <v>45534.38645011574</v>
      </c>
      <c r="B7718" s="5" t="s">
        <v>34</v>
      </c>
      <c r="D7718" s="5" t="s">
        <v>1558</v>
      </c>
      <c r="E7718" s="5" t="s">
        <v>48841</v>
      </c>
      <c r="F7718" s="5" t="s">
        <v>108</v>
      </c>
      <c r="G7718" s="5" t="s">
        <v>48842</v>
      </c>
      <c r="H7718" s="6" t="s">
        <v>48843</v>
      </c>
      <c r="K7718" s="5" t="s">
        <v>48819</v>
      </c>
      <c r="M7718" s="5" t="s">
        <v>48844</v>
      </c>
      <c r="N7718" s="7" t="s">
        <v>48845</v>
      </c>
      <c r="O7718" s="8" t="str">
        <f>HYPERLINK("https://drive.google.com/file/d/1I18TVjvsLtyteVQJXCZIrxVSVU-IQ6Pi/view?usp=drivesdk","7717_ADELIS FAJARWATI, A.Md.Kep, S.AP _ SERTIFIKAT BerAKHLAK")</f>
        <v>7717_ADELIS FAJARWATI, A.Md.Kep, S.AP _ SERTIFIKAT BerAKHLAK</v>
      </c>
      <c r="P7718" s="5" t="s">
        <v>48846</v>
      </c>
    </row>
    <row r="7719" hidden="1">
      <c r="A7719" s="4">
        <v>45534.38647003472</v>
      </c>
      <c r="B7719" s="5" t="s">
        <v>19</v>
      </c>
      <c r="C7719" s="5" t="s">
        <v>83</v>
      </c>
      <c r="E7719" s="5" t="s">
        <v>34255</v>
      </c>
      <c r="F7719" s="5" t="s">
        <v>212</v>
      </c>
      <c r="G7719" s="5" t="s">
        <v>48847</v>
      </c>
      <c r="H7719" s="6" t="s">
        <v>48848</v>
      </c>
      <c r="K7719" s="5" t="s">
        <v>48819</v>
      </c>
      <c r="M7719" s="5" t="s">
        <v>48849</v>
      </c>
      <c r="N7719" s="7" t="s">
        <v>48850</v>
      </c>
      <c r="O7719" s="8" t="str">
        <f>HYPERLINK("https://drive.google.com/file/d/1k35VBG7NOGSeBieIzVmda_9L7AXC-1SB/view?usp=drivesdk","7718_DARMONO _ SERTIFIKAT BerAKHLAK")</f>
        <v>7718_DARMONO _ SERTIFIKAT BerAKHLAK</v>
      </c>
      <c r="P7719" s="5" t="s">
        <v>48851</v>
      </c>
    </row>
    <row r="7720" hidden="1">
      <c r="A7720" s="4">
        <v>45534.38648540509</v>
      </c>
      <c r="B7720" s="5" t="s">
        <v>19</v>
      </c>
      <c r="C7720" s="5" t="s">
        <v>40230</v>
      </c>
      <c r="E7720" s="5" t="s">
        <v>48852</v>
      </c>
      <c r="F7720" s="5" t="s">
        <v>375</v>
      </c>
      <c r="G7720" s="5" t="s">
        <v>48853</v>
      </c>
      <c r="H7720" s="6" t="s">
        <v>48854</v>
      </c>
      <c r="K7720" s="5" t="s">
        <v>48855</v>
      </c>
      <c r="M7720" s="5" t="s">
        <v>48856</v>
      </c>
      <c r="N7720" s="7" t="s">
        <v>48857</v>
      </c>
      <c r="O7720" s="8" t="str">
        <f>HYPERLINK("https://drive.google.com/file/d/1rJtACsCSBMMrPRdDBKUI8yZf2NVNs_5f/view?usp=drivesdk","7719_DIANA MARGAHAYUNI, S.A.P. _ SERTIFIKAT BerAKHLAK")</f>
        <v>7719_DIANA MARGAHAYUNI, S.A.P. _ SERTIFIKAT BerAKHLAK</v>
      </c>
      <c r="P7720" s="5" t="s">
        <v>48858</v>
      </c>
    </row>
    <row r="7721">
      <c r="A7721" s="4">
        <v>45534.38650393518</v>
      </c>
      <c r="B7721" s="5" t="s">
        <v>34</v>
      </c>
      <c r="D7721" s="5" t="s">
        <v>1558</v>
      </c>
      <c r="E7721" s="5" t="s">
        <v>48859</v>
      </c>
      <c r="F7721" s="5" t="s">
        <v>108</v>
      </c>
      <c r="G7721" s="5" t="s">
        <v>48860</v>
      </c>
      <c r="H7721" s="6" t="s">
        <v>48861</v>
      </c>
      <c r="K7721" s="5" t="s">
        <v>48862</v>
      </c>
      <c r="M7721" s="5" t="s">
        <v>48863</v>
      </c>
      <c r="N7721" s="7" t="s">
        <v>48864</v>
      </c>
      <c r="O7721" s="8" t="str">
        <f>HYPERLINK("https://drive.google.com/file/d/1sE0yvACfB7_FPbUtl14xtncsDcaXSfoM/view?usp=drivesdk","7720_SUWARTI _ SERTIFIKAT BerAKHLAK")</f>
        <v>7720_SUWARTI _ SERTIFIKAT BerAKHLAK</v>
      </c>
      <c r="P7721" s="5" t="s">
        <v>48865</v>
      </c>
    </row>
    <row r="7722">
      <c r="A7722" s="4">
        <v>45534.38650511574</v>
      </c>
      <c r="B7722" s="5" t="s">
        <v>34</v>
      </c>
      <c r="D7722" s="5" t="s">
        <v>1206</v>
      </c>
      <c r="E7722" s="5" t="s">
        <v>48866</v>
      </c>
      <c r="F7722" s="5" t="s">
        <v>212</v>
      </c>
      <c r="G7722" s="5" t="s">
        <v>48867</v>
      </c>
      <c r="H7722" s="6" t="s">
        <v>48868</v>
      </c>
      <c r="K7722" s="5" t="s">
        <v>48862</v>
      </c>
      <c r="M7722" s="5" t="s">
        <v>48869</v>
      </c>
      <c r="N7722" s="7" t="s">
        <v>48870</v>
      </c>
      <c r="O7722" s="8" t="str">
        <f>HYPERLINK("https://drive.google.com/file/d/1mRhAEKK622BdbfUvFHRpF0O8eHhJUhOi/view?usp=drivesdk","7721_ENDAH RETNANINGSIH _ SERTIFIKAT BerAKHLAK")</f>
        <v>7721_ENDAH RETNANINGSIH _ SERTIFIKAT BerAKHLAK</v>
      </c>
      <c r="P7722" s="5" t="s">
        <v>48871</v>
      </c>
    </row>
    <row r="7723">
      <c r="A7723" s="4">
        <v>45534.386507048606</v>
      </c>
      <c r="B7723" s="5" t="s">
        <v>34</v>
      </c>
      <c r="D7723" s="5" t="s">
        <v>10444</v>
      </c>
      <c r="E7723" s="5" t="s">
        <v>48872</v>
      </c>
      <c r="F7723" s="5" t="s">
        <v>212</v>
      </c>
      <c r="G7723" s="5" t="s">
        <v>48873</v>
      </c>
      <c r="H7723" s="6" t="s">
        <v>48874</v>
      </c>
      <c r="K7723" s="5" t="s">
        <v>48862</v>
      </c>
      <c r="M7723" s="5" t="s">
        <v>48875</v>
      </c>
      <c r="N7723" s="7" t="s">
        <v>48876</v>
      </c>
      <c r="O7723" s="8" t="str">
        <f>HYPERLINK("https://drive.google.com/file/d/1YCCwRxowzg3mjPjBKIem9ieTCqov1JXf/view?usp=drivesdk","7722_ERVINA NOVIANTI, S.A.P. _ SERTIFIKAT BerAKHLAK")</f>
        <v>7722_ERVINA NOVIANTI, S.A.P. _ SERTIFIKAT BerAKHLAK</v>
      </c>
      <c r="P7723" s="5" t="s">
        <v>48877</v>
      </c>
    </row>
    <row r="7724">
      <c r="A7724" s="4">
        <v>45534.38655703704</v>
      </c>
      <c r="B7724" s="5" t="s">
        <v>34</v>
      </c>
      <c r="D7724" s="5" t="s">
        <v>12978</v>
      </c>
      <c r="E7724" s="5" t="s">
        <v>48878</v>
      </c>
      <c r="F7724" s="5" t="s">
        <v>37</v>
      </c>
      <c r="G7724" s="5" t="s">
        <v>48879</v>
      </c>
      <c r="H7724" s="6" t="s">
        <v>48880</v>
      </c>
      <c r="K7724" s="5" t="s">
        <v>48881</v>
      </c>
      <c r="M7724" s="5" t="s">
        <v>48882</v>
      </c>
      <c r="N7724" s="7" t="s">
        <v>48883</v>
      </c>
      <c r="O7724" s="8" t="str">
        <f>HYPERLINK("https://drive.google.com/file/d/10S3LLM_zx3WS1Qzu-iPLDKh-bI5uJ0H2/view?usp=drivesdk","7723_ANIZA LUSITA. S.Si _ SERTIFIKAT BerAKHLAK")</f>
        <v>7723_ANIZA LUSITA. S.Si _ SERTIFIKAT BerAKHLAK</v>
      </c>
      <c r="P7724" s="5" t="s">
        <v>48884</v>
      </c>
    </row>
    <row r="7725">
      <c r="A7725" s="4">
        <v>45534.38655840278</v>
      </c>
      <c r="B7725" s="5" t="s">
        <v>34</v>
      </c>
      <c r="D7725" s="5" t="s">
        <v>35</v>
      </c>
      <c r="E7725" s="5" t="s">
        <v>18487</v>
      </c>
      <c r="F7725" s="5" t="s">
        <v>328</v>
      </c>
      <c r="G7725" s="5" t="s">
        <v>48885</v>
      </c>
      <c r="H7725" s="6" t="s">
        <v>48886</v>
      </c>
      <c r="K7725" s="5" t="s">
        <v>48881</v>
      </c>
      <c r="M7725" s="5" t="s">
        <v>48887</v>
      </c>
      <c r="N7725" s="7" t="s">
        <v>48888</v>
      </c>
      <c r="O7725" s="8" t="str">
        <f>HYPERLINK("https://drive.google.com/file/d/1xKjeU-2tyMFh2EzTJjReqeMqFjHFeqOr/view?usp=drivesdk","7724_WARIJAN _ SERTIFIKAT BerAKHLAK")</f>
        <v>7724_WARIJAN _ SERTIFIKAT BerAKHLAK</v>
      </c>
      <c r="P7725" s="5" t="s">
        <v>48889</v>
      </c>
    </row>
    <row r="7726">
      <c r="A7726" s="4">
        <v>45534.38656047454</v>
      </c>
      <c r="B7726" s="5" t="s">
        <v>34</v>
      </c>
      <c r="D7726" s="5" t="s">
        <v>1206</v>
      </c>
      <c r="E7726" s="5" t="s">
        <v>48890</v>
      </c>
      <c r="F7726" s="5" t="s">
        <v>37</v>
      </c>
      <c r="G7726" s="5" t="s">
        <v>48891</v>
      </c>
      <c r="H7726" s="6" t="s">
        <v>48892</v>
      </c>
      <c r="K7726" s="5" t="s">
        <v>48881</v>
      </c>
      <c r="M7726" s="5" t="s">
        <v>48893</v>
      </c>
      <c r="N7726" s="7" t="s">
        <v>48894</v>
      </c>
      <c r="O7726" s="8" t="str">
        <f>HYPERLINK("https://drive.google.com/file/d/1-pUMVQD0QbK37tK4_UWgsGOGuCNzZIO8/view?usp=drivesdk","7725_SULISNING RINI  _ SERTIFIKAT BerAKHLAK")</f>
        <v>7725_SULISNING RINI  _ SERTIFIKAT BerAKHLAK</v>
      </c>
      <c r="P7726" s="5" t="s">
        <v>48895</v>
      </c>
    </row>
    <row r="7727">
      <c r="A7727" s="4">
        <v>45534.386610104164</v>
      </c>
      <c r="B7727" s="5" t="s">
        <v>34</v>
      </c>
      <c r="D7727" s="5" t="s">
        <v>1558</v>
      </c>
      <c r="E7727" s="5" t="s">
        <v>23632</v>
      </c>
      <c r="F7727" s="5" t="s">
        <v>72</v>
      </c>
      <c r="G7727" s="5" t="s">
        <v>48896</v>
      </c>
      <c r="H7727" s="6" t="s">
        <v>48897</v>
      </c>
      <c r="K7727" s="5" t="s">
        <v>48898</v>
      </c>
      <c r="M7727" s="5" t="s">
        <v>48899</v>
      </c>
      <c r="N7727" s="7" t="s">
        <v>48900</v>
      </c>
      <c r="O7727" s="8" t="str">
        <f>HYPERLINK("https://drive.google.com/file/d/1zmcWPh5OjhnLbMBaF8Ftzt428JVIfzSc/view?usp=drivesdk","7726_RUDIYANTO _ SERTIFIKAT BerAKHLAK")</f>
        <v>7726_RUDIYANTO _ SERTIFIKAT BerAKHLAK</v>
      </c>
      <c r="P7727" s="5" t="s">
        <v>48901</v>
      </c>
    </row>
    <row r="7728">
      <c r="A7728" s="4">
        <v>45534.38664503473</v>
      </c>
      <c r="B7728" s="5" t="s">
        <v>34</v>
      </c>
      <c r="D7728" s="5" t="s">
        <v>1206</v>
      </c>
      <c r="E7728" s="5" t="s">
        <v>48902</v>
      </c>
      <c r="F7728" s="5" t="s">
        <v>212</v>
      </c>
      <c r="G7728" s="5" t="s">
        <v>48903</v>
      </c>
      <c r="H7728" s="6" t="s">
        <v>48904</v>
      </c>
      <c r="K7728" s="5" t="s">
        <v>48905</v>
      </c>
      <c r="M7728" s="5" t="s">
        <v>48906</v>
      </c>
      <c r="N7728" s="7" t="s">
        <v>48907</v>
      </c>
      <c r="O7728" s="8" t="str">
        <f>HYPERLINK("https://drive.google.com/file/d/1NUhLwm_0Tdbv_IzwAcbP8FKNbwZIiXK9/view?usp=drivesdk","7727_SRI SUYANI  _ SERTIFIKAT BerAKHLAK")</f>
        <v>7727_SRI SUYANI  _ SERTIFIKAT BerAKHLAK</v>
      </c>
      <c r="P7728" s="5" t="s">
        <v>48908</v>
      </c>
    </row>
    <row r="7729">
      <c r="A7729" s="4">
        <v>45534.3866500463</v>
      </c>
      <c r="B7729" s="5" t="s">
        <v>34</v>
      </c>
      <c r="D7729" s="5" t="s">
        <v>1206</v>
      </c>
      <c r="E7729" s="5" t="s">
        <v>48909</v>
      </c>
      <c r="F7729" s="5" t="s">
        <v>212</v>
      </c>
      <c r="G7729" s="5" t="s">
        <v>48910</v>
      </c>
      <c r="H7729" s="6" t="s">
        <v>48911</v>
      </c>
      <c r="K7729" s="5" t="s">
        <v>48912</v>
      </c>
      <c r="M7729" s="5" t="s">
        <v>48913</v>
      </c>
      <c r="N7729" s="7" t="s">
        <v>48914</v>
      </c>
      <c r="O7729" s="8" t="str">
        <f>HYPERLINK("https://drive.google.com/file/d/1tsZHtNKaPZegDwCDQ5IMeJKBrzz6OyXw/view?usp=drivesdk","7728_JENI ANA MANTOFANI  _ SERTIFIKAT BerAKHLAK")</f>
        <v>7728_JENI ANA MANTOFANI  _ SERTIFIKAT BerAKHLAK</v>
      </c>
      <c r="P7729" s="5" t="s">
        <v>48915</v>
      </c>
    </row>
    <row r="7730" hidden="1">
      <c r="A7730" s="4">
        <v>45534.38669760417</v>
      </c>
      <c r="B7730" s="5" t="s">
        <v>19</v>
      </c>
      <c r="C7730" s="5" t="s">
        <v>292</v>
      </c>
      <c r="E7730" s="5" t="s">
        <v>48916</v>
      </c>
      <c r="F7730" s="5" t="s">
        <v>108</v>
      </c>
      <c r="G7730" s="5" t="s">
        <v>48917</v>
      </c>
      <c r="H7730" s="6" t="s">
        <v>48918</v>
      </c>
      <c r="K7730" s="5" t="s">
        <v>48912</v>
      </c>
      <c r="M7730" s="5" t="s">
        <v>48919</v>
      </c>
      <c r="N7730" s="7" t="s">
        <v>48920</v>
      </c>
      <c r="O7730" s="8" t="str">
        <f>HYPERLINK("https://drive.google.com/file/d/1pUfvCze0Gb1h0y3kc2SHPI7yu2KaIVRG/view?usp=drivesdk","7729_ROSKANAH  _ SERTIFIKAT BerAKHLAK")</f>
        <v>7729_ROSKANAH  _ SERTIFIKAT BerAKHLAK</v>
      </c>
      <c r="P7730" s="5" t="s">
        <v>48921</v>
      </c>
    </row>
    <row r="7731" hidden="1">
      <c r="A7731" s="4">
        <v>45534.38670375</v>
      </c>
      <c r="B7731" s="5" t="s">
        <v>19</v>
      </c>
      <c r="C7731" s="5" t="s">
        <v>83</v>
      </c>
      <c r="E7731" s="5" t="s">
        <v>48922</v>
      </c>
      <c r="F7731" s="5" t="s">
        <v>72</v>
      </c>
      <c r="G7731" s="5" t="s">
        <v>48923</v>
      </c>
      <c r="H7731" s="6" t="s">
        <v>48924</v>
      </c>
      <c r="K7731" s="5" t="s">
        <v>48925</v>
      </c>
      <c r="M7731" s="5" t="s">
        <v>48926</v>
      </c>
      <c r="N7731" s="7" t="s">
        <v>48927</v>
      </c>
      <c r="O7731" s="8" t="str">
        <f>HYPERLINK("https://drive.google.com/file/d/1ISslY2KSn94b5YtB2xza0wHoFe4zvnvg/view?usp=drivesdk","7730_BUDI PRAYITNO  _ SERTIFIKAT BerAKHLAK")</f>
        <v>7730_BUDI PRAYITNO  _ SERTIFIKAT BerAKHLAK</v>
      </c>
      <c r="P7731" s="5" t="s">
        <v>48928</v>
      </c>
    </row>
    <row r="7732" hidden="1">
      <c r="A7732" s="4">
        <v>45534.38672996528</v>
      </c>
      <c r="B7732" s="5" t="s">
        <v>19</v>
      </c>
      <c r="C7732" s="5" t="s">
        <v>466</v>
      </c>
      <c r="E7732" s="5" t="s">
        <v>36570</v>
      </c>
      <c r="F7732" s="5" t="s">
        <v>375</v>
      </c>
      <c r="G7732" s="5" t="s">
        <v>48929</v>
      </c>
      <c r="H7732" s="6" t="s">
        <v>48930</v>
      </c>
      <c r="K7732" s="5" t="s">
        <v>48925</v>
      </c>
      <c r="M7732" s="5" t="s">
        <v>48931</v>
      </c>
      <c r="N7732" s="7" t="s">
        <v>48932</v>
      </c>
      <c r="O7732" s="8" t="str">
        <f>HYPERLINK("https://drive.google.com/file/d/1FH3f9ZqX75Cr9dNifDQDgMgzCAfcd0NP/view?usp=drivesdk","7731_JOKO SANTOSO _ SERTIFIKAT BerAKHLAK")</f>
        <v>7731_JOKO SANTOSO _ SERTIFIKAT BerAKHLAK</v>
      </c>
      <c r="P7732" s="5" t="s">
        <v>48933</v>
      </c>
    </row>
    <row r="7733">
      <c r="A7733" s="4">
        <v>45534.3867295949</v>
      </c>
      <c r="B7733" s="5" t="s">
        <v>34</v>
      </c>
      <c r="D7733" s="5" t="s">
        <v>1768</v>
      </c>
      <c r="E7733" s="5" t="s">
        <v>48934</v>
      </c>
      <c r="F7733" s="5" t="s">
        <v>212</v>
      </c>
      <c r="G7733" s="5" t="s">
        <v>48935</v>
      </c>
      <c r="H7733" s="6" t="s">
        <v>48936</v>
      </c>
      <c r="K7733" s="5" t="s">
        <v>48925</v>
      </c>
      <c r="M7733" s="5" t="s">
        <v>48937</v>
      </c>
      <c r="N7733" s="7" t="s">
        <v>48938</v>
      </c>
      <c r="O7733" s="8" t="str">
        <f>HYPERLINK("https://drive.google.com/file/d/1lzK2KimTVvX9_2L_610SBxgaafffm6Fq/view?usp=drivesdk","7732_ELIYA SARI PUSPA _ SERTIFIKAT BerAKHLAK")</f>
        <v>7732_ELIYA SARI PUSPA _ SERTIFIKAT BerAKHLAK</v>
      </c>
      <c r="P7733" s="5" t="s">
        <v>48939</v>
      </c>
    </row>
    <row r="7734" hidden="1">
      <c r="A7734" s="4">
        <v>45534.38673445601</v>
      </c>
      <c r="B7734" s="5" t="s">
        <v>19</v>
      </c>
      <c r="C7734" s="5" t="s">
        <v>3301</v>
      </c>
      <c r="E7734" s="5" t="s">
        <v>48940</v>
      </c>
      <c r="F7734" s="5" t="s">
        <v>72</v>
      </c>
      <c r="G7734" s="5" t="s">
        <v>48941</v>
      </c>
      <c r="H7734" s="6" t="s">
        <v>48942</v>
      </c>
      <c r="K7734" s="5" t="s">
        <v>48925</v>
      </c>
      <c r="M7734" s="5" t="s">
        <v>48943</v>
      </c>
      <c r="N7734" s="7" t="s">
        <v>48944</v>
      </c>
      <c r="O7734" s="8" t="str">
        <f>HYPERLINK("https://drive.google.com/file/d/16Glu0U2seI8tHZGN1E1bDwty2Bvp-Apf/view?usp=drivesdk","7733_RAHMAT WIDIYANTO _ SERTIFIKAT BerAKHLAK")</f>
        <v>7733_RAHMAT WIDIYANTO _ SERTIFIKAT BerAKHLAK</v>
      </c>
      <c r="P7734" s="5" t="s">
        <v>48945</v>
      </c>
    </row>
    <row r="7735" hidden="1">
      <c r="A7735" s="4">
        <v>45534.386742187504</v>
      </c>
      <c r="B7735" s="5" t="s">
        <v>19</v>
      </c>
      <c r="C7735" s="5" t="s">
        <v>40230</v>
      </c>
      <c r="E7735" s="5" t="s">
        <v>48946</v>
      </c>
      <c r="F7735" s="5" t="s">
        <v>524</v>
      </c>
      <c r="G7735" s="5" t="s">
        <v>48947</v>
      </c>
      <c r="H7735" s="6" t="s">
        <v>48948</v>
      </c>
      <c r="K7735" s="5" t="s">
        <v>48925</v>
      </c>
      <c r="M7735" s="5" t="s">
        <v>48949</v>
      </c>
      <c r="N7735" s="7" t="s">
        <v>48950</v>
      </c>
      <c r="O7735" s="8" t="str">
        <f>HYPERLINK("https://drive.google.com/file/d/1AIkA8z_VlZ4iKYEOlcZsJl2Q5GA2f_mV/view?usp=drivesdk","7734_MOHAMAD SAMANTHA IRADI  _ SERTIFIKAT BerAKHLAK")</f>
        <v>7734_MOHAMAD SAMANTHA IRADI  _ SERTIFIKAT BerAKHLAK</v>
      </c>
      <c r="P7735" s="5" t="s">
        <v>48951</v>
      </c>
    </row>
    <row r="7736">
      <c r="A7736" s="4">
        <v>45534.38674371528</v>
      </c>
      <c r="B7736" s="5" t="s">
        <v>34</v>
      </c>
      <c r="D7736" s="5" t="s">
        <v>4775</v>
      </c>
      <c r="E7736" s="5" t="s">
        <v>48952</v>
      </c>
      <c r="F7736" s="5" t="s">
        <v>212</v>
      </c>
      <c r="G7736" s="5" t="s">
        <v>48953</v>
      </c>
      <c r="H7736" s="6" t="s">
        <v>48954</v>
      </c>
      <c r="K7736" s="5" t="s">
        <v>48925</v>
      </c>
      <c r="M7736" s="5" t="s">
        <v>48955</v>
      </c>
      <c r="N7736" s="7" t="s">
        <v>48956</v>
      </c>
      <c r="O7736" s="8" t="str">
        <f>HYPERLINK("https://drive.google.com/file/d/1ZfOqKO--Gp8kD3JXBZS6fnyOWVRe4H96/view?usp=drivesdk","7735_NANY MARLIANA  _ SERTIFIKAT BerAKHLAK")</f>
        <v>7735_NANY MARLIANA  _ SERTIFIKAT BerAKHLAK</v>
      </c>
      <c r="P7736" s="5" t="s">
        <v>48957</v>
      </c>
    </row>
    <row r="7737">
      <c r="A7737" s="4">
        <v>45534.38674480324</v>
      </c>
      <c r="B7737" s="5" t="s">
        <v>34</v>
      </c>
      <c r="D7737" s="5" t="s">
        <v>1206</v>
      </c>
      <c r="E7737" s="5" t="s">
        <v>48958</v>
      </c>
      <c r="F7737" s="5" t="s">
        <v>37</v>
      </c>
      <c r="G7737" s="5" t="s">
        <v>48959</v>
      </c>
      <c r="H7737" s="6" t="s">
        <v>48960</v>
      </c>
      <c r="K7737" s="5" t="s">
        <v>48925</v>
      </c>
      <c r="M7737" s="5" t="s">
        <v>48961</v>
      </c>
      <c r="N7737" s="7" t="s">
        <v>48962</v>
      </c>
      <c r="O7737" s="8" t="str">
        <f>HYPERLINK("https://drive.google.com/file/d/1xcAzy7bf2flmGWm11IeaSR37568dTMcH/view?usp=drivesdk","7736_SUMANTO _ SERTIFIKAT BerAKHLAK")</f>
        <v>7736_SUMANTO _ SERTIFIKAT BerAKHLAK</v>
      </c>
      <c r="P7737" s="5" t="s">
        <v>48963</v>
      </c>
    </row>
    <row r="7738">
      <c r="A7738" s="4">
        <v>45534.38674511574</v>
      </c>
      <c r="B7738" s="5" t="s">
        <v>34</v>
      </c>
      <c r="D7738" s="5" t="s">
        <v>35</v>
      </c>
      <c r="E7738" s="5" t="s">
        <v>23148</v>
      </c>
      <c r="F7738" s="5" t="s">
        <v>37</v>
      </c>
      <c r="G7738" s="5" t="s">
        <v>23149</v>
      </c>
      <c r="H7738" s="6" t="s">
        <v>48964</v>
      </c>
      <c r="K7738" s="5" t="s">
        <v>48925</v>
      </c>
      <c r="M7738" s="5" t="s">
        <v>48965</v>
      </c>
      <c r="N7738" s="7" t="s">
        <v>48966</v>
      </c>
      <c r="O7738" s="8" t="str">
        <f>HYPERLINK("https://drive.google.com/file/d/18W3sUV5iy4PdmnCMLS9_tBir3A1lmf_s/view?usp=drivesdk","7737_EKA PRIYATNA _ SERTIFIKAT BerAKHLAK")</f>
        <v>7737_EKA PRIYATNA _ SERTIFIKAT BerAKHLAK</v>
      </c>
      <c r="P7738" s="5" t="s">
        <v>48967</v>
      </c>
    </row>
    <row r="7739" hidden="1">
      <c r="A7739" s="4">
        <v>45534.38679284722</v>
      </c>
      <c r="B7739" s="5" t="s">
        <v>19</v>
      </c>
      <c r="C7739" s="5" t="s">
        <v>83</v>
      </c>
      <c r="E7739" s="5" t="s">
        <v>48968</v>
      </c>
      <c r="F7739" s="5" t="s">
        <v>120</v>
      </c>
      <c r="G7739" s="5" t="s">
        <v>48969</v>
      </c>
      <c r="H7739" s="6" t="s">
        <v>48970</v>
      </c>
      <c r="K7739" s="5" t="s">
        <v>48971</v>
      </c>
      <c r="M7739" s="5" t="s">
        <v>48972</v>
      </c>
      <c r="N7739" s="7" t="s">
        <v>48973</v>
      </c>
      <c r="O7739" s="8" t="str">
        <f>HYPERLINK("https://drive.google.com/file/d/1kpFkKQ9IDwBGSYnbisHdREqLPm4VUih4/view?usp=drivesdk","7738_DWI IRAWATI _ SERTIFIKAT BerAKHLAK")</f>
        <v>7738_DWI IRAWATI _ SERTIFIKAT BerAKHLAK</v>
      </c>
      <c r="P7739" s="5" t="s">
        <v>48974</v>
      </c>
    </row>
    <row r="7740">
      <c r="A7740" s="4">
        <v>45534.386807002316</v>
      </c>
      <c r="B7740" s="5" t="s">
        <v>34</v>
      </c>
      <c r="D7740" s="5" t="s">
        <v>12978</v>
      </c>
      <c r="E7740" s="5" t="s">
        <v>48975</v>
      </c>
      <c r="F7740" s="5" t="s">
        <v>524</v>
      </c>
      <c r="G7740" s="5" t="s">
        <v>48976</v>
      </c>
      <c r="H7740" s="6" t="s">
        <v>48977</v>
      </c>
      <c r="K7740" s="5" t="s">
        <v>48971</v>
      </c>
      <c r="M7740" s="5" t="s">
        <v>48978</v>
      </c>
      <c r="N7740" s="7" t="s">
        <v>48979</v>
      </c>
      <c r="O7740" s="8" t="str">
        <f>HYPERLINK("https://drive.google.com/file/d/1-eDV8wZXS4uy_bOX_5Tn9bx8y-hTrDp8/view?usp=drivesdk","7739_SOLEHAN JAYA _ SERTIFIKAT BerAKHLAK")</f>
        <v>7739_SOLEHAN JAYA _ SERTIFIKAT BerAKHLAK</v>
      </c>
      <c r="P7740" s="5" t="s">
        <v>48980</v>
      </c>
    </row>
    <row r="7741">
      <c r="A7741" s="4">
        <v>45534.38680836806</v>
      </c>
      <c r="B7741" s="5" t="s">
        <v>34</v>
      </c>
      <c r="D7741" s="5" t="s">
        <v>4775</v>
      </c>
      <c r="E7741" s="5" t="s">
        <v>48981</v>
      </c>
      <c r="F7741" s="5" t="s">
        <v>108</v>
      </c>
      <c r="G7741" s="5" t="s">
        <v>48982</v>
      </c>
      <c r="H7741" s="6" t="s">
        <v>48983</v>
      </c>
      <c r="K7741" s="5" t="s">
        <v>48971</v>
      </c>
      <c r="M7741" s="5" t="s">
        <v>48984</v>
      </c>
      <c r="N7741" s="7" t="s">
        <v>48985</v>
      </c>
      <c r="O7741" s="8" t="str">
        <f>HYPERLINK("https://drive.google.com/file/d/1K7mD8SyNjnsdnpK8F3T-mqdRAUPILobQ/view?usp=drivesdk","7740_ENDANG KURNIATI _ SERTIFIKAT BerAKHLAK")</f>
        <v>7740_ENDANG KURNIATI _ SERTIFIKAT BerAKHLAK</v>
      </c>
      <c r="P7741" s="5" t="s">
        <v>48986</v>
      </c>
    </row>
    <row r="7742">
      <c r="A7742" s="4">
        <v>45534.386821921296</v>
      </c>
      <c r="B7742" s="5" t="s">
        <v>34</v>
      </c>
      <c r="D7742" s="5" t="s">
        <v>14424</v>
      </c>
      <c r="E7742" s="5" t="s">
        <v>48987</v>
      </c>
      <c r="F7742" s="5" t="s">
        <v>524</v>
      </c>
      <c r="G7742" s="5" t="s">
        <v>48988</v>
      </c>
      <c r="H7742" s="6" t="s">
        <v>48989</v>
      </c>
      <c r="K7742" s="5" t="s">
        <v>48971</v>
      </c>
      <c r="M7742" s="5" t="s">
        <v>48990</v>
      </c>
      <c r="N7742" s="7" t="s">
        <v>48991</v>
      </c>
      <c r="O7742" s="8" t="str">
        <f>HYPERLINK("https://drive.google.com/file/d/1iReRfqsa4cKuRL4aPie8XGDeuKy_RoAo/view?usp=drivesdk","7741_FITRIAH, SKM _ SERTIFIKAT BerAKHLAK")</f>
        <v>7741_FITRIAH, SKM _ SERTIFIKAT BerAKHLAK</v>
      </c>
      <c r="P7742" s="5" t="s">
        <v>48992</v>
      </c>
    </row>
    <row r="7743">
      <c r="A7743" s="4">
        <v>45534.38683685185</v>
      </c>
      <c r="B7743" s="5" t="s">
        <v>34</v>
      </c>
      <c r="D7743" s="5" t="s">
        <v>35</v>
      </c>
      <c r="E7743" s="5" t="s">
        <v>48993</v>
      </c>
      <c r="F7743" s="5" t="s">
        <v>37</v>
      </c>
      <c r="G7743" s="5" t="s">
        <v>48994</v>
      </c>
      <c r="H7743" s="6" t="s">
        <v>48995</v>
      </c>
      <c r="K7743" s="5" t="s">
        <v>48971</v>
      </c>
      <c r="M7743" s="5" t="s">
        <v>48996</v>
      </c>
      <c r="N7743" s="7" t="s">
        <v>48997</v>
      </c>
      <c r="O7743" s="8" t="str">
        <f>HYPERLINK("https://drive.google.com/file/d/1aqgHpJf3tDB3HOgVcQ7Acrx4C_9cZFXT/view?usp=drivesdk","7742_SUDINTA _ SERTIFIKAT BerAKHLAK")</f>
        <v>7742_SUDINTA _ SERTIFIKAT BerAKHLAK</v>
      </c>
      <c r="P7743" s="5" t="s">
        <v>48998</v>
      </c>
    </row>
    <row r="7744">
      <c r="A7744" s="4">
        <v>45534.38686949074</v>
      </c>
      <c r="B7744" s="5" t="s">
        <v>34</v>
      </c>
      <c r="D7744" s="5" t="s">
        <v>1206</v>
      </c>
      <c r="E7744" s="5" t="s">
        <v>48999</v>
      </c>
      <c r="F7744" s="5" t="s">
        <v>212</v>
      </c>
      <c r="G7744" s="5" t="s">
        <v>49000</v>
      </c>
      <c r="H7744" s="6" t="s">
        <v>49001</v>
      </c>
      <c r="K7744" s="5" t="s">
        <v>49002</v>
      </c>
      <c r="M7744" s="5" t="s">
        <v>49003</v>
      </c>
      <c r="N7744" s="7" t="s">
        <v>49004</v>
      </c>
      <c r="O7744" s="8" t="str">
        <f>HYPERLINK("https://drive.google.com/file/d/14c7K132boJK7L8J-oYEwrVGDuEiJg1r-/view?usp=drivesdk","7743_Christina Tri Sulistiyani  _ SERTIFIKAT BerAKHLAK")</f>
        <v>7743_Christina Tri Sulistiyani  _ SERTIFIKAT BerAKHLAK</v>
      </c>
      <c r="P7744" s="5" t="s">
        <v>49005</v>
      </c>
    </row>
    <row r="7745">
      <c r="A7745" s="4">
        <v>45534.386869548616</v>
      </c>
      <c r="B7745" s="5" t="s">
        <v>34</v>
      </c>
      <c r="D7745" s="5" t="s">
        <v>1206</v>
      </c>
      <c r="E7745" s="5" t="s">
        <v>16348</v>
      </c>
      <c r="F7745" s="5" t="s">
        <v>212</v>
      </c>
      <c r="G7745" s="5" t="s">
        <v>49006</v>
      </c>
      <c r="H7745" s="6" t="s">
        <v>49007</v>
      </c>
      <c r="K7745" s="5" t="s">
        <v>49002</v>
      </c>
      <c r="M7745" s="5" t="s">
        <v>49008</v>
      </c>
      <c r="N7745" s="7" t="s">
        <v>49009</v>
      </c>
      <c r="O7745" s="8" t="str">
        <f>HYPERLINK("https://drive.google.com/file/d/123x7-T8y-7XUJLBh0oFItOWaVY6LkwsP/view?usp=drivesdk","7744_SRI LESTARI  _ SERTIFIKAT BerAKHLAK")</f>
        <v>7744_SRI LESTARI  _ SERTIFIKAT BerAKHLAK</v>
      </c>
      <c r="P7745" s="5" t="s">
        <v>49010</v>
      </c>
    </row>
    <row r="7746" hidden="1">
      <c r="A7746" s="4">
        <v>45534.38687729166</v>
      </c>
      <c r="B7746" s="5" t="s">
        <v>19</v>
      </c>
      <c r="C7746" s="5" t="s">
        <v>38343</v>
      </c>
      <c r="E7746" s="5" t="s">
        <v>16286</v>
      </c>
      <c r="F7746" s="5" t="s">
        <v>524</v>
      </c>
      <c r="G7746" s="5" t="s">
        <v>49011</v>
      </c>
      <c r="H7746" s="6" t="s">
        <v>49012</v>
      </c>
      <c r="K7746" s="5" t="s">
        <v>49002</v>
      </c>
      <c r="M7746" s="5" t="s">
        <v>49013</v>
      </c>
      <c r="N7746" s="7" t="s">
        <v>49014</v>
      </c>
      <c r="O7746" s="8" t="str">
        <f>HYPERLINK("https://drive.google.com/file/d/11YNMraMpZoIquuY1W_M5g-iwEv5WSIIi/view?usp=drivesdk","7745_HENDRA _ SERTIFIKAT BerAKHLAK")</f>
        <v>7745_HENDRA _ SERTIFIKAT BerAKHLAK</v>
      </c>
      <c r="P7746" s="5" t="s">
        <v>49015</v>
      </c>
    </row>
    <row r="7747">
      <c r="A7747" s="4">
        <v>45534.38687777778</v>
      </c>
      <c r="B7747" s="5" t="s">
        <v>34</v>
      </c>
      <c r="D7747" s="5" t="s">
        <v>522</v>
      </c>
      <c r="E7747" s="5" t="s">
        <v>49016</v>
      </c>
      <c r="F7747" s="5" t="s">
        <v>108</v>
      </c>
      <c r="G7747" s="5" t="s">
        <v>49017</v>
      </c>
      <c r="H7747" s="6" t="s">
        <v>49018</v>
      </c>
      <c r="K7747" s="5" t="s">
        <v>49002</v>
      </c>
      <c r="M7747" s="5" t="s">
        <v>49019</v>
      </c>
      <c r="N7747" s="7" t="s">
        <v>49020</v>
      </c>
      <c r="O7747" s="8" t="str">
        <f>HYPERLINK("https://drive.google.com/file/d/12pfjV4x3VHDShMigenwfIHU6mVCCrIa_/view?usp=drivesdk","7746_NI NYOMAN GUNIATHI _ SERTIFIKAT BerAKHLAK")</f>
        <v>7746_NI NYOMAN GUNIATHI _ SERTIFIKAT BerAKHLAK</v>
      </c>
      <c r="P7747" s="5" t="s">
        <v>49021</v>
      </c>
    </row>
    <row r="7748">
      <c r="A7748" s="4">
        <v>45534.386901412036</v>
      </c>
      <c r="B7748" s="5" t="s">
        <v>34</v>
      </c>
      <c r="D7748" s="5" t="s">
        <v>1206</v>
      </c>
      <c r="E7748" s="5" t="s">
        <v>49022</v>
      </c>
      <c r="F7748" s="5" t="s">
        <v>212</v>
      </c>
      <c r="G7748" s="5" t="s">
        <v>49023</v>
      </c>
      <c r="H7748" s="6" t="s">
        <v>49024</v>
      </c>
      <c r="K7748" s="5" t="s">
        <v>49025</v>
      </c>
      <c r="M7748" s="5" t="s">
        <v>49026</v>
      </c>
      <c r="N7748" s="7" t="s">
        <v>49027</v>
      </c>
      <c r="O7748" s="8" t="str">
        <f>HYPERLINK("https://drive.google.com/file/d/1gVxdvxb__VzoxEC60ePg7_kIDhJ0WrFB/view?usp=drivesdk","7747_EKO DEWI SULISTYOWATI _ SERTIFIKAT BerAKHLAK")</f>
        <v>7747_EKO DEWI SULISTYOWATI _ SERTIFIKAT BerAKHLAK</v>
      </c>
      <c r="P7748" s="5" t="s">
        <v>49028</v>
      </c>
    </row>
    <row r="7749">
      <c r="A7749" s="4">
        <v>45534.38693037037</v>
      </c>
      <c r="B7749" s="5" t="s">
        <v>34</v>
      </c>
      <c r="D7749" s="5" t="s">
        <v>1558</v>
      </c>
      <c r="E7749" s="5" t="s">
        <v>49029</v>
      </c>
      <c r="F7749" s="5" t="s">
        <v>375</v>
      </c>
      <c r="G7749" s="5" t="s">
        <v>49030</v>
      </c>
      <c r="H7749" s="6" t="s">
        <v>49031</v>
      </c>
      <c r="K7749" s="5" t="s">
        <v>49032</v>
      </c>
      <c r="M7749" s="5" t="s">
        <v>49033</v>
      </c>
      <c r="N7749" s="7" t="s">
        <v>49034</v>
      </c>
      <c r="O7749" s="8" t="str">
        <f>HYPERLINK("https://drive.google.com/file/d/1FXeIAXE9NBuhUtSt2VcxV08HlO01qJnB/view?usp=drivesdk","7748_JULY AGUS PURBA, S.AP _ SERTIFIKAT BerAKHLAK")</f>
        <v>7748_JULY AGUS PURBA, S.AP _ SERTIFIKAT BerAKHLAK</v>
      </c>
      <c r="P7749" s="5" t="s">
        <v>49035</v>
      </c>
    </row>
    <row r="7750">
      <c r="A7750" s="4">
        <v>45534.38693407408</v>
      </c>
      <c r="B7750" s="5" t="s">
        <v>34</v>
      </c>
      <c r="D7750" s="5" t="s">
        <v>267</v>
      </c>
      <c r="E7750" s="5" t="s">
        <v>49036</v>
      </c>
      <c r="F7750" s="5" t="s">
        <v>212</v>
      </c>
      <c r="G7750" s="5" t="s">
        <v>49037</v>
      </c>
      <c r="H7750" s="6" t="s">
        <v>49038</v>
      </c>
      <c r="K7750" s="5" t="s">
        <v>49032</v>
      </c>
      <c r="M7750" s="5" t="s">
        <v>49039</v>
      </c>
      <c r="N7750" s="7" t="s">
        <v>49040</v>
      </c>
      <c r="O7750" s="8" t="str">
        <f>HYPERLINK("https://drive.google.com/file/d/1w5WzvdTI5jIEgLlh4s39MYBBV4XdEVmr/view?usp=drivesdk","7749_YULIANTO _ SERTIFIKAT BerAKHLAK")</f>
        <v>7749_YULIANTO _ SERTIFIKAT BerAKHLAK</v>
      </c>
      <c r="P7750" s="5" t="s">
        <v>49041</v>
      </c>
    </row>
    <row r="7751">
      <c r="A7751" s="4">
        <v>45534.38694702546</v>
      </c>
      <c r="B7751" s="5" t="s">
        <v>34</v>
      </c>
      <c r="D7751" s="5" t="s">
        <v>9020</v>
      </c>
      <c r="E7751" s="5" t="s">
        <v>49042</v>
      </c>
      <c r="F7751" s="5" t="s">
        <v>375</v>
      </c>
      <c r="G7751" s="5" t="s">
        <v>49043</v>
      </c>
      <c r="H7751" s="6" t="s">
        <v>49044</v>
      </c>
      <c r="K7751" s="5" t="s">
        <v>49032</v>
      </c>
      <c r="M7751" s="5" t="s">
        <v>49045</v>
      </c>
      <c r="N7751" s="7" t="s">
        <v>49046</v>
      </c>
      <c r="O7751" s="8" t="str">
        <f>HYPERLINK("https://drive.google.com/file/d/12adgtkNstF11sB1-O9T6W8TVIVQ48JJg/view?usp=drivesdk","7750_NATALIA KRESENSIA  _ SERTIFIKAT BerAKHLAK")</f>
        <v>7750_NATALIA KRESENSIA  _ SERTIFIKAT BerAKHLAK</v>
      </c>
      <c r="P7751" s="5" t="s">
        <v>49047</v>
      </c>
    </row>
    <row r="7752">
      <c r="A7752" s="4">
        <v>45534.386947314815</v>
      </c>
      <c r="B7752" s="5" t="s">
        <v>34</v>
      </c>
      <c r="D7752" s="5" t="s">
        <v>580</v>
      </c>
      <c r="E7752" s="5" t="s">
        <v>49048</v>
      </c>
      <c r="F7752" s="5" t="s">
        <v>375</v>
      </c>
      <c r="G7752" s="5" t="s">
        <v>49049</v>
      </c>
      <c r="H7752" s="6" t="s">
        <v>49050</v>
      </c>
      <c r="K7752" s="5" t="s">
        <v>49032</v>
      </c>
      <c r="M7752" s="5" t="s">
        <v>49051</v>
      </c>
      <c r="N7752" s="7" t="s">
        <v>49052</v>
      </c>
      <c r="O7752" s="8" t="str">
        <f>HYPERLINK("https://drive.google.com/file/d/1EqK25mP--OrctP8x75vplnz65Fvqaeau/view?usp=drivesdk","7751_NI PUTU NOVIYANI PIZZATO,SE _ SERTIFIKAT BerAKHLAK")</f>
        <v>7751_NI PUTU NOVIYANI PIZZATO,SE _ SERTIFIKAT BerAKHLAK</v>
      </c>
      <c r="P7752" s="5" t="s">
        <v>49053</v>
      </c>
    </row>
    <row r="7753">
      <c r="A7753" s="4">
        <v>45534.38696618055</v>
      </c>
      <c r="B7753" s="5" t="s">
        <v>34</v>
      </c>
      <c r="D7753" s="5" t="s">
        <v>1206</v>
      </c>
      <c r="E7753" s="5" t="s">
        <v>49054</v>
      </c>
      <c r="F7753" s="5" t="s">
        <v>37</v>
      </c>
      <c r="G7753" s="5" t="s">
        <v>49055</v>
      </c>
      <c r="H7753" s="6" t="s">
        <v>49056</v>
      </c>
      <c r="K7753" s="5" t="s">
        <v>49057</v>
      </c>
      <c r="M7753" s="5" t="s">
        <v>49058</v>
      </c>
      <c r="N7753" s="7" t="s">
        <v>49059</v>
      </c>
      <c r="O7753" s="8" t="str">
        <f>HYPERLINK("https://drive.google.com/file/d/1QtMrOxdrvcLQMIoSIdAGbx-Pt7adXVcs/view?usp=drivesdk","7752_CUCUK INTORO  _ SERTIFIKAT BerAKHLAK")</f>
        <v>7752_CUCUK INTORO  _ SERTIFIKAT BerAKHLAK</v>
      </c>
      <c r="P7753" s="5" t="s">
        <v>49060</v>
      </c>
    </row>
    <row r="7754">
      <c r="A7754" s="4">
        <v>45534.38700582176</v>
      </c>
      <c r="B7754" s="5" t="s">
        <v>34</v>
      </c>
      <c r="D7754" s="5" t="s">
        <v>10297</v>
      </c>
      <c r="E7754" s="5" t="s">
        <v>49061</v>
      </c>
      <c r="F7754" s="5" t="s">
        <v>37</v>
      </c>
      <c r="G7754" s="5" t="s">
        <v>49062</v>
      </c>
      <c r="H7754" s="6" t="s">
        <v>49063</v>
      </c>
      <c r="K7754" s="5" t="s">
        <v>49057</v>
      </c>
      <c r="M7754" s="5" t="s">
        <v>49064</v>
      </c>
      <c r="N7754" s="7" t="s">
        <v>49065</v>
      </c>
      <c r="O7754" s="8" t="str">
        <f>HYPERLINK("https://drive.google.com/file/d/19GTehU7KpKJzk258iwlZcqoLExvUnsFK/view?usp=drivesdk","7753_ALQADRI AMIRUDDIN, A.Md.Kom _ SERTIFIKAT BerAKHLAK")</f>
        <v>7753_ALQADRI AMIRUDDIN, A.Md.Kom _ SERTIFIKAT BerAKHLAK</v>
      </c>
      <c r="P7754" s="5" t="s">
        <v>49066</v>
      </c>
    </row>
    <row r="7755">
      <c r="A7755" s="4">
        <v>45534.387054108796</v>
      </c>
      <c r="B7755" s="5" t="s">
        <v>34</v>
      </c>
      <c r="D7755" s="5" t="s">
        <v>4775</v>
      </c>
      <c r="E7755" s="5" t="s">
        <v>49067</v>
      </c>
      <c r="F7755" s="5" t="s">
        <v>212</v>
      </c>
      <c r="G7755" s="5" t="s">
        <v>49068</v>
      </c>
      <c r="H7755" s="6" t="s">
        <v>49069</v>
      </c>
      <c r="K7755" s="5" t="s">
        <v>49070</v>
      </c>
      <c r="M7755" s="5" t="s">
        <v>49071</v>
      </c>
      <c r="N7755" s="7" t="s">
        <v>49072</v>
      </c>
      <c r="O7755" s="8" t="str">
        <f>HYPERLINK("https://drive.google.com/file/d/1kMEHgfGjg3YTHCumPwknPZRDuf-uguUA/view?usp=drivesdk","7754_MARSIYAH _ SERTIFIKAT BerAKHLAK")</f>
        <v>7754_MARSIYAH _ SERTIFIKAT BerAKHLAK</v>
      </c>
      <c r="P7755" s="5" t="s">
        <v>49073</v>
      </c>
    </row>
    <row r="7756" hidden="1">
      <c r="A7756" s="4">
        <v>45534.38705697916</v>
      </c>
      <c r="B7756" s="5" t="s">
        <v>19</v>
      </c>
      <c r="C7756" s="5" t="s">
        <v>5564</v>
      </c>
      <c r="E7756" s="5" t="s">
        <v>49074</v>
      </c>
      <c r="F7756" s="5" t="s">
        <v>120</v>
      </c>
      <c r="G7756" s="5" t="s">
        <v>49075</v>
      </c>
      <c r="H7756" s="6" t="s">
        <v>49076</v>
      </c>
      <c r="K7756" s="5" t="s">
        <v>49070</v>
      </c>
      <c r="M7756" s="5" t="s">
        <v>49077</v>
      </c>
      <c r="N7756" s="7" t="s">
        <v>49078</v>
      </c>
      <c r="O7756" s="8" t="str">
        <f>HYPERLINK("https://drive.google.com/file/d/1cf1wV82RG4ZCqwf355AO-xZSgdX41CR9/view?usp=drivesdk","7755_SUSILO NUGROHO. S.E., M. M _ SERTIFIKAT BerAKHLAK")</f>
        <v>7755_SUSILO NUGROHO. S.E., M. M _ SERTIFIKAT BerAKHLAK</v>
      </c>
      <c r="P7756" s="5" t="s">
        <v>49079</v>
      </c>
    </row>
    <row r="7757">
      <c r="A7757" s="4">
        <v>45534.387074074075</v>
      </c>
      <c r="B7757" s="5" t="s">
        <v>34</v>
      </c>
      <c r="D7757" s="5" t="s">
        <v>4775</v>
      </c>
      <c r="E7757" s="5" t="s">
        <v>49080</v>
      </c>
      <c r="F7757" s="5" t="s">
        <v>328</v>
      </c>
      <c r="G7757" s="5" t="s">
        <v>49081</v>
      </c>
      <c r="H7757" s="6" t="s">
        <v>49082</v>
      </c>
      <c r="K7757" s="5" t="s">
        <v>49083</v>
      </c>
      <c r="M7757" s="5" t="s">
        <v>49084</v>
      </c>
      <c r="N7757" s="7" t="s">
        <v>49085</v>
      </c>
      <c r="O7757" s="8" t="str">
        <f>HYPERLINK("https://drive.google.com/file/d/1_QksZceg2Lcn7GBG4t71GAbycmO6jKYf/view?usp=drivesdk","7756_CIPTO WIDODO  _ SERTIFIKAT BerAKHLAK")</f>
        <v>7756_CIPTO WIDODO  _ SERTIFIKAT BerAKHLAK</v>
      </c>
      <c r="P7757" s="5" t="s">
        <v>49086</v>
      </c>
    </row>
    <row r="7758">
      <c r="A7758" s="4">
        <v>45534.387077314816</v>
      </c>
      <c r="B7758" s="5" t="s">
        <v>34</v>
      </c>
      <c r="D7758" s="5" t="s">
        <v>1206</v>
      </c>
      <c r="E7758" s="5" t="s">
        <v>49087</v>
      </c>
      <c r="F7758" s="5" t="s">
        <v>212</v>
      </c>
      <c r="G7758" s="5" t="s">
        <v>49088</v>
      </c>
      <c r="H7758" s="6" t="s">
        <v>49089</v>
      </c>
      <c r="K7758" s="5" t="s">
        <v>49083</v>
      </c>
      <c r="M7758" s="5" t="s">
        <v>49090</v>
      </c>
      <c r="N7758" s="7" t="s">
        <v>49091</v>
      </c>
      <c r="O7758" s="8" t="str">
        <f>HYPERLINK("https://drive.google.com/file/d/1qwmr0PcKr2gBkPzTxeFhTzQpJmCAa03L/view?usp=drivesdk","7757_WIWIK SURYANI  _ SERTIFIKAT BerAKHLAK")</f>
        <v>7757_WIWIK SURYANI  _ SERTIFIKAT BerAKHLAK</v>
      </c>
      <c r="P7758" s="5" t="s">
        <v>49092</v>
      </c>
    </row>
    <row r="7759">
      <c r="A7759" s="4">
        <v>45534.38708424769</v>
      </c>
      <c r="B7759" s="5" t="s">
        <v>34</v>
      </c>
      <c r="D7759" s="5" t="s">
        <v>9020</v>
      </c>
      <c r="E7759" s="5" t="s">
        <v>34739</v>
      </c>
      <c r="F7759" s="5" t="s">
        <v>212</v>
      </c>
      <c r="G7759" s="5" t="s">
        <v>49093</v>
      </c>
      <c r="H7759" s="6" t="s">
        <v>49094</v>
      </c>
      <c r="K7759" s="5" t="s">
        <v>49083</v>
      </c>
      <c r="M7759" s="5" t="s">
        <v>49095</v>
      </c>
      <c r="N7759" s="7" t="s">
        <v>49096</v>
      </c>
      <c r="O7759" s="8" t="str">
        <f>HYPERLINK("https://drive.google.com/file/d/1Aa3dP4V_0hSzTY33RL6_1K1aqH93_xZU/view?usp=drivesdk","7758_FITRI JUITA SINAGA _ SERTIFIKAT BerAKHLAK")</f>
        <v>7758_FITRI JUITA SINAGA _ SERTIFIKAT BerAKHLAK</v>
      </c>
      <c r="P7759" s="5" t="s">
        <v>49097</v>
      </c>
    </row>
    <row r="7760">
      <c r="A7760" s="4">
        <v>45534.38711619213</v>
      </c>
      <c r="B7760" s="5" t="s">
        <v>34</v>
      </c>
      <c r="D7760" s="5" t="s">
        <v>1206</v>
      </c>
      <c r="E7760" s="5" t="s">
        <v>21358</v>
      </c>
      <c r="F7760" s="5" t="s">
        <v>37</v>
      </c>
      <c r="G7760" s="5" t="s">
        <v>49098</v>
      </c>
      <c r="H7760" s="6" t="s">
        <v>49099</v>
      </c>
      <c r="K7760" s="5" t="s">
        <v>49083</v>
      </c>
      <c r="M7760" s="5" t="s">
        <v>49100</v>
      </c>
      <c r="N7760" s="7" t="s">
        <v>49101</v>
      </c>
      <c r="O7760" s="8" t="str">
        <f>HYPERLINK("https://drive.google.com/file/d/1qyzuGF3fGxxRFur0zWmfYG4JzEjmLGFR/view?usp=drivesdk","7759_SUSIATI _ SERTIFIKAT BerAKHLAK")</f>
        <v>7759_SUSIATI _ SERTIFIKAT BerAKHLAK</v>
      </c>
      <c r="P7760" s="5" t="s">
        <v>49102</v>
      </c>
    </row>
    <row r="7761">
      <c r="A7761" s="4">
        <v>45534.387134317134</v>
      </c>
      <c r="B7761" s="5" t="s">
        <v>34</v>
      </c>
      <c r="D7761" s="5" t="s">
        <v>12978</v>
      </c>
      <c r="E7761" s="5" t="s">
        <v>49103</v>
      </c>
      <c r="F7761" s="5" t="s">
        <v>72</v>
      </c>
      <c r="G7761" s="5" t="s">
        <v>49104</v>
      </c>
      <c r="H7761" s="6" t="s">
        <v>49105</v>
      </c>
      <c r="K7761" s="5" t="s">
        <v>49083</v>
      </c>
      <c r="M7761" s="5" t="s">
        <v>49106</v>
      </c>
      <c r="N7761" s="7" t="s">
        <v>49107</v>
      </c>
      <c r="O7761" s="8" t="str">
        <f>HYPERLINK("https://drive.google.com/file/d/1rAqGbXaH02crPL4qGUzjykNxRYrnamts/view?usp=drivesdk","7760_IRSAN HADI _ SERTIFIKAT BerAKHLAK")</f>
        <v>7760_IRSAN HADI _ SERTIFIKAT BerAKHLAK</v>
      </c>
      <c r="P7761" s="5" t="s">
        <v>49108</v>
      </c>
    </row>
    <row r="7762">
      <c r="A7762" s="4">
        <v>45534.38714976852</v>
      </c>
      <c r="B7762" s="5" t="s">
        <v>34</v>
      </c>
      <c r="D7762" s="5" t="s">
        <v>1558</v>
      </c>
      <c r="E7762" s="5" t="s">
        <v>49109</v>
      </c>
      <c r="F7762" s="5" t="s">
        <v>108</v>
      </c>
      <c r="G7762" s="5" t="s">
        <v>49110</v>
      </c>
      <c r="H7762" s="6" t="s">
        <v>49111</v>
      </c>
      <c r="K7762" s="5" t="s">
        <v>49083</v>
      </c>
      <c r="M7762" s="5" t="s">
        <v>49112</v>
      </c>
      <c r="N7762" s="7" t="s">
        <v>49113</v>
      </c>
      <c r="O7762" s="8" t="str">
        <f>HYPERLINK("https://drive.google.com/file/d/1_sg1jn95bjoNNd3Xql8tBWD5_6mWxVo5/view?usp=drivesdk","7761_DWI PARTUTI _ SERTIFIKAT BerAKHLAK")</f>
        <v>7761_DWI PARTUTI _ SERTIFIKAT BerAKHLAK</v>
      </c>
      <c r="P7762" s="5" t="s">
        <v>49114</v>
      </c>
    </row>
    <row r="7763">
      <c r="A7763" s="4">
        <v>45534.38716378472</v>
      </c>
      <c r="B7763" s="5" t="s">
        <v>34</v>
      </c>
      <c r="D7763" s="5" t="s">
        <v>1206</v>
      </c>
      <c r="E7763" s="5" t="s">
        <v>49115</v>
      </c>
      <c r="F7763" s="5" t="s">
        <v>212</v>
      </c>
      <c r="G7763" s="5" t="s">
        <v>49116</v>
      </c>
      <c r="H7763" s="6" t="s">
        <v>49117</v>
      </c>
      <c r="K7763" s="5" t="s">
        <v>49083</v>
      </c>
      <c r="M7763" s="5" t="s">
        <v>49118</v>
      </c>
      <c r="N7763" s="7" t="s">
        <v>49119</v>
      </c>
      <c r="O7763" s="8" t="str">
        <f>HYPERLINK("https://drive.google.com/file/d/1rOGzvrdve1Qd166kpOIkKNZN3szR_ANZ/view?usp=drivesdk","7762_TRIAS ANDAYANI _ SERTIFIKAT BerAKHLAK")</f>
        <v>7762_TRIAS ANDAYANI _ SERTIFIKAT BerAKHLAK</v>
      </c>
      <c r="P7763" s="5" t="s">
        <v>49120</v>
      </c>
    </row>
    <row r="7764">
      <c r="A7764" s="4">
        <v>45534.38718207176</v>
      </c>
      <c r="B7764" s="5" t="s">
        <v>34</v>
      </c>
      <c r="D7764" s="5" t="s">
        <v>1456</v>
      </c>
      <c r="E7764" s="5" t="s">
        <v>49121</v>
      </c>
      <c r="F7764" s="5" t="s">
        <v>37</v>
      </c>
      <c r="G7764" s="5" t="s">
        <v>49122</v>
      </c>
      <c r="H7764" s="6" t="s">
        <v>49123</v>
      </c>
      <c r="K7764" s="5" t="s">
        <v>49083</v>
      </c>
      <c r="M7764" s="5" t="s">
        <v>49124</v>
      </c>
      <c r="N7764" s="7" t="s">
        <v>49125</v>
      </c>
      <c r="O7764" s="8" t="str">
        <f>HYPERLINK("https://drive.google.com/file/d/1GWdziELBJM8pOSeNFLRKSgJhXtZfgz14/view?usp=drivesdk","7763_PANGESTU HARIYADI, A. Md _ SERTIFIKAT BerAKHLAK")</f>
        <v>7763_PANGESTU HARIYADI, A. Md _ SERTIFIKAT BerAKHLAK</v>
      </c>
      <c r="P7764" s="5" t="s">
        <v>49126</v>
      </c>
    </row>
    <row r="7765">
      <c r="A7765" s="4">
        <v>45534.387207604166</v>
      </c>
      <c r="B7765" s="5" t="s">
        <v>34</v>
      </c>
      <c r="D7765" s="5" t="s">
        <v>6232</v>
      </c>
      <c r="E7765" s="5" t="s">
        <v>49127</v>
      </c>
      <c r="F7765" s="5" t="s">
        <v>212</v>
      </c>
      <c r="G7765" s="5" t="s">
        <v>49128</v>
      </c>
      <c r="H7765" s="6" t="s">
        <v>49129</v>
      </c>
      <c r="K7765" s="5" t="s">
        <v>49130</v>
      </c>
      <c r="M7765" s="5" t="s">
        <v>49131</v>
      </c>
      <c r="N7765" s="7" t="s">
        <v>49132</v>
      </c>
      <c r="O7765" s="8" t="str">
        <f>HYPERLINK("https://drive.google.com/file/d/1_LlhqATmnJSl0VpncY9zy_kgl-e-UC0O/view?usp=drivesdk","7764_YULIBERTI _ SERTIFIKAT BerAKHLAK")</f>
        <v>7764_YULIBERTI _ SERTIFIKAT BerAKHLAK</v>
      </c>
      <c r="P7765" s="5" t="s">
        <v>49133</v>
      </c>
    </row>
    <row r="7766">
      <c r="A7766" s="4">
        <v>45534.38722668981</v>
      </c>
      <c r="B7766" s="5" t="s">
        <v>34</v>
      </c>
      <c r="D7766" s="5" t="s">
        <v>12978</v>
      </c>
      <c r="E7766" s="5" t="s">
        <v>49134</v>
      </c>
      <c r="F7766" s="5" t="s">
        <v>375</v>
      </c>
      <c r="G7766" s="5" t="s">
        <v>49135</v>
      </c>
      <c r="H7766" s="6" t="s">
        <v>49136</v>
      </c>
      <c r="K7766" s="5" t="s">
        <v>49130</v>
      </c>
      <c r="M7766" s="5" t="s">
        <v>49137</v>
      </c>
      <c r="N7766" s="7" t="s">
        <v>49138</v>
      </c>
      <c r="O7766" s="8" t="str">
        <f>HYPERLINK("https://drive.google.com/file/d/1itTExdbxAuYGrebVcDFmAvxKKLzUa5Vv/view?usp=drivesdk","7765_ROSALINA _ SERTIFIKAT BerAKHLAK")</f>
        <v>7765_ROSALINA _ SERTIFIKAT BerAKHLAK</v>
      </c>
      <c r="P7766" s="5" t="s">
        <v>49139</v>
      </c>
    </row>
    <row r="7767">
      <c r="A7767" s="4">
        <v>45534.38722813658</v>
      </c>
      <c r="B7767" s="5" t="s">
        <v>34</v>
      </c>
      <c r="D7767" s="5" t="s">
        <v>1206</v>
      </c>
      <c r="E7767" s="5" t="s">
        <v>49140</v>
      </c>
      <c r="F7767" s="5" t="s">
        <v>524</v>
      </c>
      <c r="G7767" s="5" t="s">
        <v>49141</v>
      </c>
      <c r="H7767" s="6" t="s">
        <v>49142</v>
      </c>
      <c r="K7767" s="5" t="s">
        <v>49130</v>
      </c>
      <c r="M7767" s="5" t="s">
        <v>49143</v>
      </c>
      <c r="N7767" s="7" t="s">
        <v>49144</v>
      </c>
      <c r="O7767" s="8" t="str">
        <f>HYPERLINK("https://drive.google.com/file/d/14qBWpUhZ6nt6KLJXfaYi1k_68uHM0YdI/view?usp=drivesdk","7766_ETA RULIANA, S.Kep.Ns _ SERTIFIKAT BerAKHLAK")</f>
        <v>7766_ETA RULIANA, S.Kep.Ns _ SERTIFIKAT BerAKHLAK</v>
      </c>
      <c r="P7767" s="5" t="s">
        <v>49145</v>
      </c>
    </row>
    <row r="7768">
      <c r="A7768" s="4">
        <v>45534.387232256944</v>
      </c>
      <c r="B7768" s="5" t="s">
        <v>34</v>
      </c>
      <c r="D7768" s="5" t="s">
        <v>1558</v>
      </c>
      <c r="E7768" s="5" t="s">
        <v>49146</v>
      </c>
      <c r="F7768" s="5" t="s">
        <v>108</v>
      </c>
      <c r="G7768" s="5" t="s">
        <v>49147</v>
      </c>
      <c r="H7768" s="6" t="s">
        <v>49148</v>
      </c>
      <c r="K7768" s="5" t="s">
        <v>49130</v>
      </c>
      <c r="M7768" s="5" t="s">
        <v>49149</v>
      </c>
      <c r="N7768" s="7" t="s">
        <v>49150</v>
      </c>
      <c r="O7768" s="8" t="str">
        <f>HYPERLINK("https://drive.google.com/file/d/1iBIEtZ1HUFnsRh1EontDfxAhq4_LrNg3/view?usp=drivesdk","7767_YUNITA ANGGRAENI WIBOWO _ SERTIFIKAT BerAKHLAK")</f>
        <v>7767_YUNITA ANGGRAENI WIBOWO _ SERTIFIKAT BerAKHLAK</v>
      </c>
      <c r="P7768" s="5" t="s">
        <v>49151</v>
      </c>
    </row>
    <row r="7769">
      <c r="A7769" s="4">
        <v>45534.38725208333</v>
      </c>
      <c r="B7769" s="5" t="s">
        <v>34</v>
      </c>
      <c r="D7769" s="5" t="s">
        <v>9020</v>
      </c>
      <c r="E7769" s="5" t="s">
        <v>49152</v>
      </c>
      <c r="F7769" s="5" t="s">
        <v>524</v>
      </c>
      <c r="G7769" s="5" t="s">
        <v>49153</v>
      </c>
      <c r="H7769" s="6" t="s">
        <v>49154</v>
      </c>
      <c r="K7769" s="5" t="s">
        <v>49130</v>
      </c>
      <c r="M7769" s="5" t="s">
        <v>49155</v>
      </c>
      <c r="N7769" s="7" t="s">
        <v>49156</v>
      </c>
      <c r="O7769" s="8" t="str">
        <f>HYPERLINK("https://drive.google.com/file/d/1gznNUzpwPh4GMqYE5N41dCgUA7g2qJC_/view?usp=drivesdk","7768_ROSNALIA PURBA  _ SERTIFIKAT BerAKHLAK")</f>
        <v>7768_ROSNALIA PURBA  _ SERTIFIKAT BerAKHLAK</v>
      </c>
      <c r="P7769" s="5" t="s">
        <v>49157</v>
      </c>
    </row>
    <row r="7770">
      <c r="A7770" s="4">
        <v>45534.387305763885</v>
      </c>
      <c r="B7770" s="5" t="s">
        <v>34</v>
      </c>
      <c r="D7770" s="5" t="s">
        <v>1206</v>
      </c>
      <c r="E7770" s="5" t="s">
        <v>49158</v>
      </c>
      <c r="F7770" s="5" t="s">
        <v>212</v>
      </c>
      <c r="G7770" s="5" t="s">
        <v>49159</v>
      </c>
      <c r="H7770" s="6" t="s">
        <v>49160</v>
      </c>
      <c r="K7770" s="5" t="s">
        <v>49161</v>
      </c>
      <c r="M7770" s="5" t="s">
        <v>49162</v>
      </c>
      <c r="N7770" s="7" t="s">
        <v>49163</v>
      </c>
      <c r="O7770" s="8" t="str">
        <f>HYPERLINK("https://drive.google.com/file/d/1zkpkqZb08i12X11PVKKUfxgbzlWkdUpd/view?usp=drivesdk","7769_SOLIKIN _ SERTIFIKAT BerAKHLAK")</f>
        <v>7769_SOLIKIN _ SERTIFIKAT BerAKHLAK</v>
      </c>
      <c r="P7770" s="5" t="s">
        <v>49164</v>
      </c>
    </row>
    <row r="7771">
      <c r="A7771" s="4">
        <v>45534.387342511574</v>
      </c>
      <c r="B7771" s="5" t="s">
        <v>34</v>
      </c>
      <c r="D7771" s="5" t="s">
        <v>12978</v>
      </c>
      <c r="E7771" s="5" t="s">
        <v>49165</v>
      </c>
      <c r="F7771" s="5" t="s">
        <v>72</v>
      </c>
      <c r="G7771" s="5" t="s">
        <v>49166</v>
      </c>
      <c r="H7771" s="6" t="s">
        <v>49167</v>
      </c>
      <c r="K7771" s="5" t="s">
        <v>49168</v>
      </c>
      <c r="M7771" s="5" t="s">
        <v>49169</v>
      </c>
      <c r="N7771" s="7" t="s">
        <v>49170</v>
      </c>
      <c r="O7771" s="8" t="str">
        <f>HYPERLINK("https://drive.google.com/file/d/1Ra4n3uVkyUuX7RJt9daGW_x0wq7DtUKt/view?usp=drivesdk","7770_AGUSTINI RUSTONO,S.H. _ SERTIFIKAT BerAKHLAK")</f>
        <v>7770_AGUSTINI RUSTONO,S.H. _ SERTIFIKAT BerAKHLAK</v>
      </c>
      <c r="P7771" s="5" t="s">
        <v>49171</v>
      </c>
    </row>
    <row r="7772">
      <c r="A7772" s="4">
        <v>45534.38734908565</v>
      </c>
      <c r="B7772" s="5" t="s">
        <v>34</v>
      </c>
      <c r="D7772" s="5" t="s">
        <v>9020</v>
      </c>
      <c r="E7772" s="5" t="s">
        <v>49172</v>
      </c>
      <c r="F7772" s="5" t="s">
        <v>375</v>
      </c>
      <c r="G7772" s="5" t="s">
        <v>49173</v>
      </c>
      <c r="H7772" s="6" t="s">
        <v>49174</v>
      </c>
      <c r="K7772" s="5" t="s">
        <v>49168</v>
      </c>
      <c r="M7772" s="5" t="s">
        <v>49175</v>
      </c>
      <c r="N7772" s="7" t="s">
        <v>49176</v>
      </c>
      <c r="O7772" s="8" t="str">
        <f>HYPERLINK("https://drive.google.com/file/d/1HHG-jA4ZIqi51NzaRy146XFguBm1-zlx/view?usp=drivesdk","7771_JULIANA _ SERTIFIKAT BerAKHLAK")</f>
        <v>7771_JULIANA _ SERTIFIKAT BerAKHLAK</v>
      </c>
      <c r="P7772" s="5" t="s">
        <v>49177</v>
      </c>
    </row>
    <row r="7773">
      <c r="A7773" s="4">
        <v>45534.3873528588</v>
      </c>
      <c r="B7773" s="5" t="s">
        <v>34</v>
      </c>
      <c r="D7773" s="5" t="s">
        <v>1768</v>
      </c>
      <c r="E7773" s="5" t="s">
        <v>49178</v>
      </c>
      <c r="F7773" s="5" t="s">
        <v>108</v>
      </c>
      <c r="G7773" s="5" t="s">
        <v>49179</v>
      </c>
      <c r="H7773" s="6" t="s">
        <v>49180</v>
      </c>
      <c r="K7773" s="5" t="s">
        <v>49168</v>
      </c>
      <c r="M7773" s="5" t="s">
        <v>49181</v>
      </c>
      <c r="N7773" s="7" t="s">
        <v>49182</v>
      </c>
      <c r="O7773" s="8" t="str">
        <f>HYPERLINK("https://drive.google.com/file/d/1WIQWNxaSRCsKUr7C7ocfEaCgAWgbXYqC/view?usp=drivesdk","7772_NS. DWI SETYO ANGGRAENI, S.KEP _ SERTIFIKAT BerAKHLAK")</f>
        <v>7772_NS. DWI SETYO ANGGRAENI, S.KEP _ SERTIFIKAT BerAKHLAK</v>
      </c>
      <c r="P7773" s="5" t="s">
        <v>49183</v>
      </c>
    </row>
    <row r="7774" hidden="1">
      <c r="A7774" s="4">
        <v>45534.38736201389</v>
      </c>
      <c r="B7774" s="5" t="s">
        <v>19</v>
      </c>
      <c r="C7774" s="5" t="s">
        <v>10418</v>
      </c>
      <c r="E7774" s="5" t="s">
        <v>49184</v>
      </c>
      <c r="F7774" s="5" t="s">
        <v>108</v>
      </c>
      <c r="G7774" s="5" t="s">
        <v>49185</v>
      </c>
      <c r="H7774" s="6" t="s">
        <v>49186</v>
      </c>
      <c r="K7774" s="5" t="s">
        <v>49168</v>
      </c>
      <c r="M7774" s="5" t="s">
        <v>49187</v>
      </c>
      <c r="N7774" s="7" t="s">
        <v>49188</v>
      </c>
      <c r="O7774" s="8" t="str">
        <f>HYPERLINK("https://drive.google.com/file/d/1spTJiajX1owOje4vEyeqXEHBH6LV44t5/view?usp=drivesdk","7773_SAMIN NOMIN _ SERTIFIKAT BerAKHLAK")</f>
        <v>7773_SAMIN NOMIN _ SERTIFIKAT BerAKHLAK</v>
      </c>
      <c r="P7774" s="5" t="s">
        <v>49189</v>
      </c>
    </row>
    <row r="7775" hidden="1">
      <c r="A7775" s="4">
        <v>45534.38736422454</v>
      </c>
      <c r="B7775" s="5" t="s">
        <v>19</v>
      </c>
      <c r="C7775" s="5" t="s">
        <v>40230</v>
      </c>
      <c r="E7775" s="5" t="s">
        <v>49190</v>
      </c>
      <c r="F7775" s="5" t="s">
        <v>524</v>
      </c>
      <c r="G7775" s="5" t="s">
        <v>49191</v>
      </c>
      <c r="H7775" s="6" t="s">
        <v>49192</v>
      </c>
      <c r="K7775" s="5" t="s">
        <v>49168</v>
      </c>
      <c r="M7775" s="5" t="s">
        <v>49193</v>
      </c>
      <c r="N7775" s="7" t="s">
        <v>49194</v>
      </c>
      <c r="O7775" s="8" t="str">
        <f>HYPERLINK("https://drive.google.com/file/d/11in1b49gWWOYgAJmqFu3IPLU-8ELG0Bf/view?usp=drivesdk","7774_HASRY AGUNG NUGRAHA, S.T., M.M. _ SERTIFIKAT BerAKHLAK")</f>
        <v>7774_HASRY AGUNG NUGRAHA, S.T., M.M. _ SERTIFIKAT BerAKHLAK</v>
      </c>
      <c r="P7775" s="5" t="s">
        <v>49195</v>
      </c>
    </row>
    <row r="7776" hidden="1">
      <c r="A7776" s="4">
        <v>45534.38737563658</v>
      </c>
      <c r="B7776" s="5" t="s">
        <v>19</v>
      </c>
      <c r="C7776" s="5" t="s">
        <v>292</v>
      </c>
      <c r="E7776" s="5" t="s">
        <v>49196</v>
      </c>
      <c r="F7776" s="5" t="s">
        <v>524</v>
      </c>
      <c r="G7776" s="5" t="s">
        <v>49197</v>
      </c>
      <c r="H7776" s="6" t="s">
        <v>49198</v>
      </c>
      <c r="K7776" s="5" t="s">
        <v>49199</v>
      </c>
      <c r="M7776" s="5" t="s">
        <v>49200</v>
      </c>
      <c r="N7776" s="7" t="s">
        <v>49201</v>
      </c>
      <c r="O7776" s="8" t="str">
        <f>HYPERLINK("https://drive.google.com/file/d/1Zo6z8Sfl1JjxuoKF7-lp_-50RjWfXHTk/view?usp=drivesdk","7775_ARINI SORAYA _ SERTIFIKAT BerAKHLAK")</f>
        <v>7775_ARINI SORAYA _ SERTIFIKAT BerAKHLAK</v>
      </c>
      <c r="P7776" s="5" t="s">
        <v>49202</v>
      </c>
    </row>
    <row r="7777">
      <c r="A7777" s="4">
        <v>45534.38738939815</v>
      </c>
      <c r="B7777" s="5" t="s">
        <v>34</v>
      </c>
      <c r="D7777" s="5" t="s">
        <v>9020</v>
      </c>
      <c r="E7777" s="5" t="s">
        <v>49203</v>
      </c>
      <c r="F7777" s="5" t="s">
        <v>212</v>
      </c>
      <c r="G7777" s="5" t="s">
        <v>49204</v>
      </c>
      <c r="H7777" s="6" t="s">
        <v>49205</v>
      </c>
      <c r="K7777" s="5" t="s">
        <v>49199</v>
      </c>
      <c r="M7777" s="5" t="s">
        <v>49206</v>
      </c>
      <c r="N7777" s="7" t="s">
        <v>49207</v>
      </c>
      <c r="O7777" s="8" t="str">
        <f>HYPERLINK("https://drive.google.com/file/d/1rct_qkMSkxlJuREUz6hpIWgom5PlR_cq/view?usp=drivesdk","7776_HOTMA LAMRIA SARMAULI SIANIPAR _ SERTIFIKAT BerAKHLAK")</f>
        <v>7776_HOTMA LAMRIA SARMAULI SIANIPAR _ SERTIFIKAT BerAKHLAK</v>
      </c>
      <c r="P7777" s="5" t="s">
        <v>49208</v>
      </c>
    </row>
    <row r="7778">
      <c r="A7778" s="4">
        <v>45534.3874156713</v>
      </c>
      <c r="B7778" s="5" t="s">
        <v>34</v>
      </c>
      <c r="D7778" s="5" t="s">
        <v>1206</v>
      </c>
      <c r="E7778" s="5" t="s">
        <v>49209</v>
      </c>
      <c r="F7778" s="5" t="s">
        <v>37</v>
      </c>
      <c r="G7778" s="5" t="s">
        <v>49210</v>
      </c>
      <c r="H7778" s="6" t="s">
        <v>49211</v>
      </c>
      <c r="K7778" s="5" t="s">
        <v>49212</v>
      </c>
      <c r="M7778" s="5" t="s">
        <v>49213</v>
      </c>
      <c r="N7778" s="7" t="s">
        <v>49214</v>
      </c>
      <c r="O7778" s="8" t="str">
        <f>HYPERLINK("https://drive.google.com/file/d/1adekjFiONIQfwBmXz18cSCK-QlHhB9LB/view?usp=drivesdk","7777_BAGUS MAKSUM _ SERTIFIKAT BerAKHLAK")</f>
        <v>7777_BAGUS MAKSUM _ SERTIFIKAT BerAKHLAK</v>
      </c>
      <c r="P7778" s="5" t="s">
        <v>49215</v>
      </c>
    </row>
    <row r="7779">
      <c r="A7779" s="4">
        <v>45534.387417164355</v>
      </c>
      <c r="B7779" s="5" t="s">
        <v>34</v>
      </c>
      <c r="D7779" s="5" t="s">
        <v>9020</v>
      </c>
      <c r="E7779" s="5" t="s">
        <v>49216</v>
      </c>
      <c r="F7779" s="5" t="s">
        <v>212</v>
      </c>
      <c r="G7779" s="5" t="s">
        <v>49217</v>
      </c>
      <c r="H7779" s="6" t="s">
        <v>49218</v>
      </c>
      <c r="K7779" s="5" t="s">
        <v>49212</v>
      </c>
      <c r="M7779" s="5" t="s">
        <v>49219</v>
      </c>
      <c r="N7779" s="7" t="s">
        <v>49220</v>
      </c>
      <c r="O7779" s="8" t="str">
        <f>HYPERLINK("https://drive.google.com/file/d/15s6FdZBG119pl0-id-fiblnwkZI7cC4V/view?usp=drivesdk","7778_RAHMADIANA _ SERTIFIKAT BerAKHLAK")</f>
        <v>7778_RAHMADIANA _ SERTIFIKAT BerAKHLAK</v>
      </c>
      <c r="P7779" s="5" t="s">
        <v>49215</v>
      </c>
    </row>
    <row r="7780" hidden="1">
      <c r="A7780" s="4">
        <v>45534.38742284723</v>
      </c>
      <c r="B7780" s="5" t="s">
        <v>19</v>
      </c>
      <c r="C7780" s="5" t="s">
        <v>83</v>
      </c>
      <c r="E7780" s="5" t="s">
        <v>49221</v>
      </c>
      <c r="F7780" s="5" t="s">
        <v>375</v>
      </c>
      <c r="G7780" s="5" t="s">
        <v>49222</v>
      </c>
      <c r="H7780" s="6" t="s">
        <v>49223</v>
      </c>
      <c r="K7780" s="5" t="s">
        <v>49224</v>
      </c>
      <c r="M7780" s="5" t="s">
        <v>49225</v>
      </c>
      <c r="N7780" s="7" t="s">
        <v>49226</v>
      </c>
      <c r="O7780" s="8" t="str">
        <f>HYPERLINK("https://drive.google.com/file/d/1nl1WmS7hhDMRBm8t6DvIuORUuo-XaRfD/view?usp=drivesdk","7779_DHANNY IRAWAN S.E. _ SERTIFIKAT BerAKHLAK")</f>
        <v>7779_DHANNY IRAWAN S.E. _ SERTIFIKAT BerAKHLAK</v>
      </c>
      <c r="P7780" s="5" t="s">
        <v>49227</v>
      </c>
    </row>
    <row r="7781">
      <c r="A7781" s="4">
        <v>45534.387430636576</v>
      </c>
      <c r="B7781" s="5" t="s">
        <v>34</v>
      </c>
      <c r="D7781" s="5" t="s">
        <v>1558</v>
      </c>
      <c r="E7781" s="5" t="s">
        <v>49228</v>
      </c>
      <c r="F7781" s="5" t="s">
        <v>37</v>
      </c>
      <c r="G7781" s="5" t="s">
        <v>49229</v>
      </c>
      <c r="H7781" s="6" t="s">
        <v>49230</v>
      </c>
      <c r="K7781" s="5" t="s">
        <v>49224</v>
      </c>
      <c r="M7781" s="5" t="s">
        <v>49231</v>
      </c>
      <c r="N7781" s="7" t="s">
        <v>49232</v>
      </c>
      <c r="O7781" s="8" t="str">
        <f>HYPERLINK("https://drive.google.com/file/d/17Fc7aGqXsWJlzxOToB6ICKNlMXKkMp9d/view?usp=drivesdk","7780_MULYANINGSIH _ SERTIFIKAT BerAKHLAK")</f>
        <v>7780_MULYANINGSIH _ SERTIFIKAT BerAKHLAK</v>
      </c>
      <c r="P7781" s="5" t="s">
        <v>49227</v>
      </c>
    </row>
    <row r="7782" hidden="1">
      <c r="A7782" s="4">
        <v>45534.387437743055</v>
      </c>
      <c r="B7782" s="5" t="s">
        <v>19</v>
      </c>
      <c r="C7782" s="5" t="s">
        <v>292</v>
      </c>
      <c r="E7782" s="5" t="s">
        <v>49233</v>
      </c>
      <c r="F7782" s="5" t="s">
        <v>37</v>
      </c>
      <c r="G7782" s="5" t="s">
        <v>49234</v>
      </c>
      <c r="H7782" s="6" t="s">
        <v>49235</v>
      </c>
      <c r="K7782" s="5" t="s">
        <v>49224</v>
      </c>
      <c r="M7782" s="5" t="s">
        <v>49236</v>
      </c>
      <c r="N7782" s="7" t="s">
        <v>49237</v>
      </c>
      <c r="O7782" s="8" t="str">
        <f>HYPERLINK("https://drive.google.com/file/d/1KwQTehe6e9kzdw9DJsvLh2QRNhwfUPgl/view?usp=drivesdk","7781_EVYMULYAWATI _ SERTIFIKAT BerAKHLAK")</f>
        <v>7781_EVYMULYAWATI _ SERTIFIKAT BerAKHLAK</v>
      </c>
      <c r="P7782" s="5" t="s">
        <v>49227</v>
      </c>
    </row>
    <row r="7783">
      <c r="A7783" s="4">
        <v>45534.38748263889</v>
      </c>
      <c r="B7783" s="5" t="s">
        <v>34</v>
      </c>
      <c r="D7783" s="5" t="s">
        <v>1456</v>
      </c>
      <c r="E7783" s="5" t="s">
        <v>49238</v>
      </c>
      <c r="F7783" s="5" t="s">
        <v>108</v>
      </c>
      <c r="G7783" s="5" t="s">
        <v>49239</v>
      </c>
      <c r="H7783" s="6" t="s">
        <v>49240</v>
      </c>
      <c r="K7783" s="5" t="s">
        <v>49241</v>
      </c>
      <c r="M7783" s="5" t="s">
        <v>49242</v>
      </c>
      <c r="N7783" s="7" t="s">
        <v>49243</v>
      </c>
      <c r="O7783" s="8" t="str">
        <f>HYPERLINK("https://drive.google.com/file/d/1thMU2yu3m6ycD2ucrEDkP9orlxvT5C6L/view?usp=drivesdk","7782_SUHARNO  _ SERTIFIKAT BerAKHLAK")</f>
        <v>7782_SUHARNO  _ SERTIFIKAT BerAKHLAK</v>
      </c>
      <c r="P7783" s="5" t="s">
        <v>49227</v>
      </c>
    </row>
    <row r="7784">
      <c r="A7784" s="4">
        <v>45534.38749105324</v>
      </c>
      <c r="B7784" s="5" t="s">
        <v>34</v>
      </c>
      <c r="D7784" s="5" t="s">
        <v>1206</v>
      </c>
      <c r="E7784" s="5" t="s">
        <v>49244</v>
      </c>
      <c r="F7784" s="5" t="s">
        <v>72</v>
      </c>
      <c r="G7784" s="5" t="s">
        <v>49245</v>
      </c>
      <c r="H7784" s="6" t="s">
        <v>49246</v>
      </c>
      <c r="K7784" s="5" t="s">
        <v>49241</v>
      </c>
      <c r="M7784" s="5" t="s">
        <v>49247</v>
      </c>
      <c r="N7784" s="7" t="s">
        <v>49248</v>
      </c>
      <c r="O7784" s="8" t="str">
        <f>HYPERLINK("https://drive.google.com/file/d/1VsCxKeY9lLAoNnO4cqXxs7mFg2pukZyj/view?usp=drivesdk","7783_INDAH TRIYANI,AMK _ SERTIFIKAT BerAKHLAK")</f>
        <v>7783_INDAH TRIYANI,AMK _ SERTIFIKAT BerAKHLAK</v>
      </c>
      <c r="P7784" s="5" t="s">
        <v>49249</v>
      </c>
    </row>
    <row r="7785" hidden="1">
      <c r="A7785" s="4">
        <v>45534.3874966088</v>
      </c>
      <c r="B7785" s="5" t="s">
        <v>19</v>
      </c>
      <c r="C7785" s="5" t="s">
        <v>5058</v>
      </c>
      <c r="E7785" s="5" t="s">
        <v>49250</v>
      </c>
      <c r="F7785" s="5" t="s">
        <v>120</v>
      </c>
      <c r="G7785" s="5" t="s">
        <v>49251</v>
      </c>
      <c r="H7785" s="6" t="s">
        <v>49252</v>
      </c>
      <c r="K7785" s="5" t="s">
        <v>49253</v>
      </c>
      <c r="M7785" s="5" t="s">
        <v>49254</v>
      </c>
      <c r="N7785" s="7" t="s">
        <v>49255</v>
      </c>
      <c r="O7785" s="8" t="str">
        <f>HYPERLINK("https://drive.google.com/file/d/1cYsh7yvNsYJjR7PhUmZWFuUIqaMZODL2/view?usp=drivesdk","7784_LUSIANA WIDYASTUTI, S. E _ SERTIFIKAT BerAKHLAK")</f>
        <v>7784_LUSIANA WIDYASTUTI, S. E _ SERTIFIKAT BerAKHLAK</v>
      </c>
      <c r="P7785" s="5" t="s">
        <v>49249</v>
      </c>
    </row>
    <row r="7786">
      <c r="A7786" s="4">
        <v>45534.38751770833</v>
      </c>
      <c r="B7786" s="5" t="s">
        <v>34</v>
      </c>
      <c r="D7786" s="5" t="s">
        <v>12978</v>
      </c>
      <c r="E7786" s="5" t="s">
        <v>49256</v>
      </c>
      <c r="F7786" s="5" t="s">
        <v>212</v>
      </c>
      <c r="G7786" s="5" t="s">
        <v>49257</v>
      </c>
      <c r="H7786" s="6" t="s">
        <v>49258</v>
      </c>
      <c r="K7786" s="5" t="s">
        <v>49259</v>
      </c>
      <c r="M7786" s="5" t="s">
        <v>49260</v>
      </c>
      <c r="N7786" s="7" t="s">
        <v>49261</v>
      </c>
      <c r="O7786" s="8" t="str">
        <f>HYPERLINK("https://drive.google.com/file/d/15TOMk4E_a6gWKlykaQIUNdMVqUmDGBFL/view?usp=drivesdk","7785_CYSTINE NOVITA,S.KOM _ SERTIFIKAT BerAKHLAK")</f>
        <v>7785_CYSTINE NOVITA,S.KOM _ SERTIFIKAT BerAKHLAK</v>
      </c>
      <c r="P7786" s="5" t="s">
        <v>49262</v>
      </c>
    </row>
    <row r="7787">
      <c r="A7787" s="4">
        <v>45534.38752283565</v>
      </c>
      <c r="B7787" s="5" t="s">
        <v>34</v>
      </c>
      <c r="D7787" s="5" t="s">
        <v>996</v>
      </c>
      <c r="E7787" s="5" t="s">
        <v>49263</v>
      </c>
      <c r="F7787" s="5" t="s">
        <v>108</v>
      </c>
      <c r="G7787" s="5" t="s">
        <v>49264</v>
      </c>
      <c r="H7787" s="6" t="s">
        <v>49265</v>
      </c>
      <c r="K7787" s="5" t="s">
        <v>49259</v>
      </c>
      <c r="M7787" s="5" t="s">
        <v>49266</v>
      </c>
      <c r="N7787" s="7" t="s">
        <v>49267</v>
      </c>
      <c r="O7787" s="8" t="str">
        <f>HYPERLINK("https://drive.google.com/file/d/1USGXHWfyUhlfef21axc5shY_jluHElYF/view?usp=drivesdk","7786_SRI SARIPAH NORMAWATI _ SERTIFIKAT BerAKHLAK")</f>
        <v>7786_SRI SARIPAH NORMAWATI _ SERTIFIKAT BerAKHLAK</v>
      </c>
      <c r="P7787" s="5" t="s">
        <v>49262</v>
      </c>
    </row>
    <row r="7788">
      <c r="A7788" s="4">
        <v>45534.38752795139</v>
      </c>
      <c r="B7788" s="5" t="s">
        <v>34</v>
      </c>
      <c r="D7788" s="5" t="s">
        <v>1206</v>
      </c>
      <c r="E7788" s="5" t="s">
        <v>49268</v>
      </c>
      <c r="F7788" s="5" t="s">
        <v>72</v>
      </c>
      <c r="G7788" s="5" t="s">
        <v>49269</v>
      </c>
      <c r="H7788" s="6" t="s">
        <v>49270</v>
      </c>
      <c r="K7788" s="5" t="s">
        <v>49259</v>
      </c>
      <c r="M7788" s="5" t="s">
        <v>49271</v>
      </c>
      <c r="N7788" s="7" t="s">
        <v>49272</v>
      </c>
      <c r="O7788" s="8" t="str">
        <f>HYPERLINK("https://drive.google.com/file/d/1No9NiXmp-crzDZ70X6FqrIRRKh4YKpbH/view?usp=drivesdk","7787_DANANG ARI SETYAWAN,SKEP.NERS _ SERTIFIKAT BerAKHLAK")</f>
        <v>7787_DANANG ARI SETYAWAN,SKEP.NERS _ SERTIFIKAT BerAKHLAK</v>
      </c>
      <c r="P7788" s="5" t="s">
        <v>49262</v>
      </c>
    </row>
    <row r="7789">
      <c r="A7789" s="4">
        <v>45534.3875440625</v>
      </c>
      <c r="B7789" s="5" t="s">
        <v>34</v>
      </c>
      <c r="D7789" s="5" t="s">
        <v>4775</v>
      </c>
      <c r="E7789" s="5" t="s">
        <v>49273</v>
      </c>
      <c r="F7789" s="5" t="s">
        <v>37</v>
      </c>
      <c r="G7789" s="5" t="s">
        <v>49274</v>
      </c>
      <c r="H7789" s="6" t="s">
        <v>49275</v>
      </c>
      <c r="K7789" s="5" t="s">
        <v>49259</v>
      </c>
      <c r="M7789" s="5" t="s">
        <v>49276</v>
      </c>
      <c r="N7789" s="7" t="s">
        <v>49277</v>
      </c>
      <c r="O7789" s="8" t="str">
        <f>HYPERLINK("https://drive.google.com/file/d/1va0ymotaAgRww1LO3ulgMGTQVi-uT2tE/view?usp=drivesdk","7788_WARSITO _ SERTIFIKAT BerAKHLAK")</f>
        <v>7788_WARSITO _ SERTIFIKAT BerAKHLAK</v>
      </c>
      <c r="P7789" s="5" t="s">
        <v>49262</v>
      </c>
    </row>
    <row r="7790" hidden="1">
      <c r="A7790" s="4">
        <v>45534.387593865744</v>
      </c>
      <c r="B7790" s="5" t="s">
        <v>19</v>
      </c>
      <c r="C7790" s="5" t="s">
        <v>11593</v>
      </c>
      <c r="E7790" s="5" t="s">
        <v>49278</v>
      </c>
      <c r="F7790" s="5" t="s">
        <v>37</v>
      </c>
      <c r="G7790" s="5" t="s">
        <v>49279</v>
      </c>
      <c r="H7790" s="6" t="s">
        <v>49280</v>
      </c>
      <c r="K7790" s="5" t="s">
        <v>49281</v>
      </c>
      <c r="M7790" s="5" t="s">
        <v>49282</v>
      </c>
      <c r="N7790" s="7" t="s">
        <v>49283</v>
      </c>
      <c r="O7790" s="8" t="str">
        <f>HYPERLINK("https://drive.google.com/file/d/119RcZySHoQwBGCcn8m0EvUI1P4mGqJO6/view?usp=drivesdk","7789_SUBAGIYO  _ SERTIFIKAT BerAKHLAK")</f>
        <v>7789_SUBAGIYO  _ SERTIFIKAT BerAKHLAK</v>
      </c>
      <c r="P7790" s="5" t="s">
        <v>49262</v>
      </c>
    </row>
    <row r="7791" hidden="1">
      <c r="A7791" s="4">
        <v>45534.38761832176</v>
      </c>
      <c r="B7791" s="5" t="s">
        <v>19</v>
      </c>
      <c r="C7791" s="5" t="s">
        <v>466</v>
      </c>
      <c r="E7791" s="5" t="s">
        <v>49284</v>
      </c>
      <c r="F7791" s="5" t="s">
        <v>212</v>
      </c>
      <c r="G7791" s="5" t="s">
        <v>49285</v>
      </c>
      <c r="H7791" s="6" t="s">
        <v>49286</v>
      </c>
      <c r="K7791" s="5" t="s">
        <v>49281</v>
      </c>
      <c r="M7791" s="5" t="s">
        <v>49287</v>
      </c>
      <c r="N7791" s="7" t="s">
        <v>49288</v>
      </c>
      <c r="O7791" s="8" t="str">
        <f>HYPERLINK("https://drive.google.com/file/d/1HwckzMrbaJa89IgR0t9Y4lG18e_x1g1n/view?usp=drivesdk","7790_ASIH SUKARSIH _ SERTIFIKAT BerAKHLAK")</f>
        <v>7790_ASIH SUKARSIH _ SERTIFIKAT BerAKHLAK</v>
      </c>
      <c r="P7791" s="5" t="s">
        <v>49262</v>
      </c>
    </row>
    <row r="7792">
      <c r="A7792" s="4">
        <v>45534.387622546295</v>
      </c>
      <c r="B7792" s="5" t="s">
        <v>34</v>
      </c>
      <c r="D7792" s="5" t="s">
        <v>35</v>
      </c>
      <c r="E7792" s="5" t="s">
        <v>49289</v>
      </c>
      <c r="F7792" s="5" t="s">
        <v>328</v>
      </c>
      <c r="G7792" s="5" t="s">
        <v>49290</v>
      </c>
      <c r="H7792" s="6" t="s">
        <v>49291</v>
      </c>
      <c r="K7792" s="5" t="s">
        <v>49281</v>
      </c>
      <c r="M7792" s="5" t="s">
        <v>49292</v>
      </c>
      <c r="N7792" s="7" t="s">
        <v>49293</v>
      </c>
      <c r="O7792" s="8" t="str">
        <f>HYPERLINK("https://drive.google.com/file/d/1BeurTtJK5fD9Hcdkg1DonauonyzwqJea/view?usp=drivesdk","7791_SUWANDI _ SERTIFIKAT BerAKHLAK")</f>
        <v>7791_SUWANDI _ SERTIFIKAT BerAKHLAK</v>
      </c>
      <c r="P7792" s="5" t="s">
        <v>49294</v>
      </c>
    </row>
    <row r="7793">
      <c r="A7793" s="4">
        <v>45534.387661747685</v>
      </c>
      <c r="B7793" s="5" t="s">
        <v>34</v>
      </c>
      <c r="D7793" s="5" t="s">
        <v>1558</v>
      </c>
      <c r="E7793" s="5" t="s">
        <v>49295</v>
      </c>
      <c r="F7793" s="5" t="s">
        <v>37</v>
      </c>
      <c r="G7793" s="5" t="s">
        <v>49296</v>
      </c>
      <c r="H7793" s="6" t="s">
        <v>49297</v>
      </c>
      <c r="K7793" s="5" t="s">
        <v>49298</v>
      </c>
      <c r="M7793" s="5" t="s">
        <v>49299</v>
      </c>
      <c r="N7793" s="7" t="s">
        <v>49300</v>
      </c>
      <c r="O7793" s="8" t="str">
        <f>HYPERLINK("https://drive.google.com/file/d/1NOzl-LzYAZwuHK7_CPsWrPi6ri1nNtdk/view?usp=drivesdk","7792_SINTOKO ADJI _ SERTIFIKAT BerAKHLAK")</f>
        <v>7792_SINTOKO ADJI _ SERTIFIKAT BerAKHLAK</v>
      </c>
      <c r="P7793" s="5" t="s">
        <v>49294</v>
      </c>
    </row>
    <row r="7794">
      <c r="A7794" s="4">
        <v>45534.38767497685</v>
      </c>
      <c r="B7794" s="5" t="s">
        <v>34</v>
      </c>
      <c r="D7794" s="5" t="s">
        <v>9020</v>
      </c>
      <c r="E7794" s="5" t="s">
        <v>27862</v>
      </c>
      <c r="F7794" s="5" t="s">
        <v>37</v>
      </c>
      <c r="G7794" s="5" t="s">
        <v>49301</v>
      </c>
      <c r="H7794" s="6" t="s">
        <v>49302</v>
      </c>
      <c r="K7794" s="5" t="s">
        <v>49298</v>
      </c>
      <c r="M7794" s="5" t="s">
        <v>49303</v>
      </c>
      <c r="N7794" s="7" t="s">
        <v>49304</v>
      </c>
      <c r="O7794" s="8" t="str">
        <f>HYPERLINK("https://drive.google.com/file/d/1EqocpN06TCeQFn1LHz5CRVKMsLAwrL5D/view?usp=drivesdk","7793_DARMA SITINJAK _ SERTIFIKAT BerAKHLAK")</f>
        <v>7793_DARMA SITINJAK _ SERTIFIKAT BerAKHLAK</v>
      </c>
      <c r="P7794" s="5" t="s">
        <v>49294</v>
      </c>
    </row>
    <row r="7795">
      <c r="A7795" s="4">
        <v>45534.387681064814</v>
      </c>
      <c r="B7795" s="5" t="s">
        <v>34</v>
      </c>
      <c r="D7795" s="5" t="s">
        <v>1558</v>
      </c>
      <c r="E7795" s="5" t="s">
        <v>49305</v>
      </c>
      <c r="F7795" s="5" t="s">
        <v>108</v>
      </c>
      <c r="G7795" s="5" t="s">
        <v>49306</v>
      </c>
      <c r="H7795" s="6" t="s">
        <v>49307</v>
      </c>
      <c r="K7795" s="5" t="s">
        <v>49308</v>
      </c>
      <c r="M7795" s="5" t="s">
        <v>49309</v>
      </c>
      <c r="N7795" s="7" t="s">
        <v>49310</v>
      </c>
      <c r="O7795" s="8" t="str">
        <f>HYPERLINK("https://drive.google.com/file/d/1pJqWKmG0U5qo9aqvbzlsoKQrXOsHP72v/view?usp=drivesdk","7794_RINA YOGI LESTARI, SE _ SERTIFIKAT BerAKHLAK")</f>
        <v>7794_RINA YOGI LESTARI, SE _ SERTIFIKAT BerAKHLAK</v>
      </c>
      <c r="P7795" s="5" t="s">
        <v>49294</v>
      </c>
    </row>
    <row r="7796">
      <c r="A7796" s="4">
        <v>45534.38769461805</v>
      </c>
      <c r="B7796" s="5" t="s">
        <v>34</v>
      </c>
      <c r="D7796" s="5" t="s">
        <v>996</v>
      </c>
      <c r="E7796" s="5" t="s">
        <v>49311</v>
      </c>
      <c r="F7796" s="5" t="s">
        <v>37</v>
      </c>
      <c r="G7796" s="5" t="s">
        <v>49312</v>
      </c>
      <c r="H7796" s="6" t="s">
        <v>49313</v>
      </c>
      <c r="K7796" s="5" t="s">
        <v>49308</v>
      </c>
      <c r="M7796" s="5" t="s">
        <v>49314</v>
      </c>
      <c r="N7796" s="7" t="s">
        <v>49315</v>
      </c>
      <c r="O7796" s="8" t="str">
        <f>HYPERLINK("https://drive.google.com/file/d/1Ql6Dw4V1_EcO9ZbxrX2F34_Ij3hKIZhc/view?usp=drivesdk","7795_SITI NOOR HIDAYATI _ SERTIFIKAT BerAKHLAK")</f>
        <v>7795_SITI NOOR HIDAYATI _ SERTIFIKAT BerAKHLAK</v>
      </c>
      <c r="P7796" s="5" t="s">
        <v>49294</v>
      </c>
    </row>
    <row r="7797">
      <c r="A7797" s="4">
        <v>45534.38775498843</v>
      </c>
      <c r="B7797" s="5" t="s">
        <v>34</v>
      </c>
      <c r="D7797" s="5" t="s">
        <v>4775</v>
      </c>
      <c r="E7797" s="5" t="s">
        <v>49316</v>
      </c>
      <c r="F7797" s="5" t="s">
        <v>212</v>
      </c>
      <c r="G7797" s="5" t="s">
        <v>49317</v>
      </c>
      <c r="H7797" s="6" t="s">
        <v>49318</v>
      </c>
      <c r="K7797" s="5" t="s">
        <v>49319</v>
      </c>
      <c r="M7797" s="5" t="s">
        <v>49320</v>
      </c>
      <c r="N7797" s="7" t="s">
        <v>49321</v>
      </c>
      <c r="O7797" s="8" t="str">
        <f>HYPERLINK("https://drive.google.com/file/d/1wWUXRagyWt2tPkzbc--1LGFBOej3rXRO/view?usp=drivesdk","7796_HINEKA SUSETYO _ SERTIFIKAT BerAKHLAK")</f>
        <v>7796_HINEKA SUSETYO _ SERTIFIKAT BerAKHLAK</v>
      </c>
      <c r="P7797" s="5" t="s">
        <v>49322</v>
      </c>
    </row>
    <row r="7798" hidden="1">
      <c r="A7798" s="4">
        <v>45534.38777188657</v>
      </c>
      <c r="B7798" s="5" t="s">
        <v>19</v>
      </c>
      <c r="C7798" s="5" t="s">
        <v>83</v>
      </c>
      <c r="E7798" s="5" t="s">
        <v>49323</v>
      </c>
      <c r="F7798" s="5" t="s">
        <v>212</v>
      </c>
      <c r="G7798" s="5" t="s">
        <v>49324</v>
      </c>
      <c r="H7798" s="6" t="s">
        <v>49325</v>
      </c>
      <c r="K7798" s="5" t="s">
        <v>49326</v>
      </c>
      <c r="M7798" s="5" t="s">
        <v>49327</v>
      </c>
      <c r="N7798" s="7" t="s">
        <v>49328</v>
      </c>
      <c r="O7798" s="8" t="str">
        <f>HYPERLINK("https://drive.google.com/file/d/1qUr9ByOBGJcIe6dzoGLPq_LIsv3jMp0a/view?usp=drivesdk","7797_LILISETIYOWATI _ SERTIFIKAT BerAKHLAK")</f>
        <v>7797_LILISETIYOWATI _ SERTIFIKAT BerAKHLAK</v>
      </c>
      <c r="P7798" s="5" t="s">
        <v>49322</v>
      </c>
    </row>
    <row r="7799">
      <c r="A7799" s="4">
        <v>45534.38777324074</v>
      </c>
      <c r="B7799" s="5" t="s">
        <v>34</v>
      </c>
      <c r="D7799" s="5" t="s">
        <v>1206</v>
      </c>
      <c r="E7799" s="5" t="s">
        <v>49329</v>
      </c>
      <c r="F7799" s="5" t="s">
        <v>37</v>
      </c>
      <c r="G7799" s="5" t="s">
        <v>49330</v>
      </c>
      <c r="H7799" s="6" t="s">
        <v>49331</v>
      </c>
      <c r="K7799" s="5" t="s">
        <v>49326</v>
      </c>
      <c r="M7799" s="5" t="s">
        <v>49332</v>
      </c>
      <c r="N7799" s="7" t="s">
        <v>49333</v>
      </c>
      <c r="O7799" s="8" t="str">
        <f>HYPERLINK("https://drive.google.com/file/d/17aYX1804BF9wekNcFt9vF_aS6qKRg90L/view?usp=drivesdk","7798_MAHENDRASSO SUROSO _ SERTIFIKAT BerAKHLAK")</f>
        <v>7798_MAHENDRASSO SUROSO _ SERTIFIKAT BerAKHLAK</v>
      </c>
      <c r="P7799" s="5" t="s">
        <v>49322</v>
      </c>
    </row>
    <row r="7800">
      <c r="A7800" s="4">
        <v>45534.38780481482</v>
      </c>
      <c r="B7800" s="5" t="s">
        <v>34</v>
      </c>
      <c r="D7800" s="5" t="s">
        <v>701</v>
      </c>
      <c r="E7800" s="5" t="s">
        <v>49334</v>
      </c>
      <c r="F7800" s="5" t="s">
        <v>108</v>
      </c>
      <c r="G7800" s="5" t="s">
        <v>49335</v>
      </c>
      <c r="H7800" s="6" t="s">
        <v>49336</v>
      </c>
      <c r="K7800" s="5" t="s">
        <v>49337</v>
      </c>
      <c r="M7800" s="5" t="s">
        <v>49338</v>
      </c>
      <c r="N7800" s="7" t="s">
        <v>49339</v>
      </c>
      <c r="O7800" s="8" t="str">
        <f>HYPERLINK("https://drive.google.com/file/d/1qjLDp9hSL3wYFqSMzy6AXeisxDq-bsFa/view?usp=drivesdk","7799_dr. AVIRA ADRISMA _ SERTIFIKAT BerAKHLAK")</f>
        <v>7799_dr. AVIRA ADRISMA _ SERTIFIKAT BerAKHLAK</v>
      </c>
      <c r="P7800" s="5" t="s">
        <v>49322</v>
      </c>
    </row>
    <row r="7801">
      <c r="A7801" s="4">
        <v>45534.38781506944</v>
      </c>
      <c r="B7801" s="5" t="s">
        <v>34</v>
      </c>
      <c r="D7801" s="5" t="s">
        <v>15401</v>
      </c>
      <c r="E7801" s="5" t="s">
        <v>49340</v>
      </c>
      <c r="F7801" s="5" t="s">
        <v>212</v>
      </c>
      <c r="G7801" s="5" t="s">
        <v>49341</v>
      </c>
      <c r="H7801" s="6" t="s">
        <v>49342</v>
      </c>
      <c r="K7801" s="5" t="s">
        <v>49337</v>
      </c>
      <c r="M7801" s="5" t="s">
        <v>49343</v>
      </c>
      <c r="N7801" s="7" t="s">
        <v>49344</v>
      </c>
      <c r="O7801" s="8" t="str">
        <f>HYPERLINK("https://drive.google.com/file/d/1fOB4nPPxJ3PIRA2dJzSnc4rmdxfjsFde/view?usp=drivesdk","7800_NURUL JINAN  _ SERTIFIKAT BerAKHLAK")</f>
        <v>7800_NURUL JINAN  _ SERTIFIKAT BerAKHLAK</v>
      </c>
      <c r="P7801" s="5" t="s">
        <v>49322</v>
      </c>
    </row>
    <row r="7802">
      <c r="A7802" s="4">
        <v>45534.387835648144</v>
      </c>
      <c r="B7802" s="5" t="s">
        <v>34</v>
      </c>
      <c r="D7802" s="5" t="s">
        <v>1206</v>
      </c>
      <c r="E7802" s="5" t="s">
        <v>49345</v>
      </c>
      <c r="F7802" s="5" t="s">
        <v>37</v>
      </c>
      <c r="G7802" s="5" t="s">
        <v>49346</v>
      </c>
      <c r="H7802" s="6" t="s">
        <v>49347</v>
      </c>
      <c r="K7802" s="5" t="s">
        <v>49337</v>
      </c>
      <c r="M7802" s="5" t="s">
        <v>49348</v>
      </c>
      <c r="N7802" s="7" t="s">
        <v>49349</v>
      </c>
      <c r="O7802" s="8" t="str">
        <f>HYPERLINK("https://drive.google.com/file/d/1-PY5epSTMOyOl70ax6NyFHDnhUEaTSuK/view?usp=drivesdk","7801_CHOIRUL HUDAYATI _ SERTIFIKAT BerAKHLAK")</f>
        <v>7801_CHOIRUL HUDAYATI _ SERTIFIKAT BerAKHLAK</v>
      </c>
      <c r="P7802" s="5" t="s">
        <v>49350</v>
      </c>
    </row>
    <row r="7803">
      <c r="A7803" s="4">
        <v>45534.387848171296</v>
      </c>
      <c r="B7803" s="5" t="s">
        <v>34</v>
      </c>
      <c r="D7803" s="5" t="s">
        <v>1206</v>
      </c>
      <c r="E7803" s="5" t="s">
        <v>49351</v>
      </c>
      <c r="F7803" s="5" t="s">
        <v>37</v>
      </c>
      <c r="G7803" s="5" t="s">
        <v>49352</v>
      </c>
      <c r="H7803" s="6" t="s">
        <v>49353</v>
      </c>
      <c r="K7803" s="5" t="s">
        <v>49354</v>
      </c>
      <c r="M7803" s="5" t="s">
        <v>49355</v>
      </c>
      <c r="N7803" s="7" t="s">
        <v>49356</v>
      </c>
      <c r="O7803" s="8" t="str">
        <f>HYPERLINK("https://drive.google.com/file/d/1TwzLpfGU5LHIZreluV3f1cUautUHogAC/view?usp=drivesdk","7802_EKO SETYORINI _ SERTIFIKAT BerAKHLAK")</f>
        <v>7802_EKO SETYORINI _ SERTIFIKAT BerAKHLAK</v>
      </c>
      <c r="P7803" s="5" t="s">
        <v>49350</v>
      </c>
    </row>
    <row r="7804">
      <c r="A7804" s="4">
        <v>45534.38784928241</v>
      </c>
      <c r="B7804" s="5" t="s">
        <v>34</v>
      </c>
      <c r="D7804" s="5" t="s">
        <v>9020</v>
      </c>
      <c r="E7804" s="5" t="s">
        <v>49357</v>
      </c>
      <c r="F7804" s="5" t="s">
        <v>37</v>
      </c>
      <c r="G7804" s="5" t="s">
        <v>49358</v>
      </c>
      <c r="H7804" s="6" t="s">
        <v>49359</v>
      </c>
      <c r="K7804" s="5" t="s">
        <v>49354</v>
      </c>
      <c r="M7804" s="5" t="s">
        <v>49360</v>
      </c>
      <c r="N7804" s="7" t="s">
        <v>49361</v>
      </c>
      <c r="O7804" s="8" t="str">
        <f>HYPERLINK("https://drive.google.com/file/d/1KbTJMhDnstvLx10apQqM1pSUnIVdp9_4/view?usp=drivesdk","7803_KHAIRIL ANHAR _ SERTIFIKAT BerAKHLAK")</f>
        <v>7803_KHAIRIL ANHAR _ SERTIFIKAT BerAKHLAK</v>
      </c>
      <c r="P7804" s="5" t="s">
        <v>49350</v>
      </c>
    </row>
    <row r="7805">
      <c r="A7805" s="4">
        <v>45534.3879478125</v>
      </c>
      <c r="B7805" s="5" t="s">
        <v>34</v>
      </c>
      <c r="D7805" s="5" t="s">
        <v>35</v>
      </c>
      <c r="E7805" s="5" t="s">
        <v>49362</v>
      </c>
      <c r="F7805" s="5" t="s">
        <v>375</v>
      </c>
      <c r="G7805" s="5" t="s">
        <v>49363</v>
      </c>
      <c r="H7805" s="6" t="s">
        <v>49364</v>
      </c>
      <c r="K7805" s="5" t="s">
        <v>49365</v>
      </c>
      <c r="M7805" s="5" t="s">
        <v>49366</v>
      </c>
      <c r="N7805" s="7" t="s">
        <v>49367</v>
      </c>
      <c r="O7805" s="8" t="str">
        <f>HYPERLINK("https://drive.google.com/file/d/1tSSqzDxj1liw-gXGOBIaeRNcFnauskcE/view?usp=drivesdk","7804_VERRY VITARIADY, SE _ SERTIFIKAT BerAKHLAK")</f>
        <v>7804_VERRY VITARIADY, SE _ SERTIFIKAT BerAKHLAK</v>
      </c>
      <c r="P7805" s="5" t="s">
        <v>49350</v>
      </c>
    </row>
    <row r="7806">
      <c r="A7806" s="4">
        <v>45534.387995972225</v>
      </c>
      <c r="B7806" s="5" t="s">
        <v>34</v>
      </c>
      <c r="D7806" s="5" t="s">
        <v>9020</v>
      </c>
      <c r="E7806" s="5" t="s">
        <v>49368</v>
      </c>
      <c r="F7806" s="5" t="s">
        <v>524</v>
      </c>
      <c r="G7806" s="5" t="s">
        <v>49369</v>
      </c>
      <c r="H7806" s="6" t="s">
        <v>49370</v>
      </c>
      <c r="K7806" s="5" t="s">
        <v>49371</v>
      </c>
      <c r="M7806" s="5" t="s">
        <v>49372</v>
      </c>
      <c r="N7806" s="7" t="s">
        <v>49373</v>
      </c>
      <c r="O7806" s="8" t="str">
        <f>HYPERLINK("https://drive.google.com/file/d/1j-gPBGLFiDWaC9_JZVxX1C8Ny4ooIHDW/view?usp=drivesdk","7805_RASINNA BR PERANGIN ANGIN  _ SERTIFIKAT BerAKHLAK")</f>
        <v>7805_RASINNA BR PERANGIN ANGIN  _ SERTIFIKAT BerAKHLAK</v>
      </c>
      <c r="P7806" s="5" t="s">
        <v>49374</v>
      </c>
    </row>
    <row r="7807">
      <c r="A7807" s="4">
        <v>45534.388008553244</v>
      </c>
      <c r="B7807" s="5" t="s">
        <v>34</v>
      </c>
      <c r="D7807" s="5" t="s">
        <v>701</v>
      </c>
      <c r="E7807" s="5" t="s">
        <v>49375</v>
      </c>
      <c r="F7807" s="5" t="s">
        <v>212</v>
      </c>
      <c r="G7807" s="5" t="s">
        <v>49376</v>
      </c>
      <c r="H7807" s="6" t="s">
        <v>49377</v>
      </c>
      <c r="K7807" s="5" t="s">
        <v>49371</v>
      </c>
      <c r="M7807" s="5" t="s">
        <v>49378</v>
      </c>
      <c r="N7807" s="7" t="s">
        <v>49379</v>
      </c>
      <c r="O7807" s="8" t="str">
        <f>HYPERLINK("https://drive.google.com/file/d/13GooB0nxMviOZ3AVbzGEWdTZqTBQIldd/view?usp=drivesdk","7806_YUNRITA SANTI _ SERTIFIKAT BerAKHLAK")</f>
        <v>7806_YUNRITA SANTI _ SERTIFIKAT BerAKHLAK</v>
      </c>
      <c r="P7807" s="5" t="s">
        <v>49374</v>
      </c>
    </row>
    <row r="7808">
      <c r="A7808" s="4">
        <v>45534.38802334491</v>
      </c>
      <c r="B7808" s="5" t="s">
        <v>34</v>
      </c>
      <c r="D7808" s="5" t="s">
        <v>1206</v>
      </c>
      <c r="E7808" s="5" t="s">
        <v>49380</v>
      </c>
      <c r="F7808" s="5" t="s">
        <v>524</v>
      </c>
      <c r="G7808" s="5" t="s">
        <v>49381</v>
      </c>
      <c r="H7808" s="6" t="s">
        <v>49382</v>
      </c>
      <c r="K7808" s="5" t="s">
        <v>49371</v>
      </c>
      <c r="M7808" s="5" t="s">
        <v>49383</v>
      </c>
      <c r="N7808" s="7" t="s">
        <v>49384</v>
      </c>
      <c r="O7808" s="8" t="str">
        <f>HYPERLINK("https://drive.google.com/file/d/1O8a6o8DJCAR0ocRbaH4k13LP7zU4WOFR/view?usp=drivesdk","7807_SUDJAIDI _ SERTIFIKAT BerAKHLAK")</f>
        <v>7807_SUDJAIDI _ SERTIFIKAT BerAKHLAK</v>
      </c>
      <c r="P7808" s="5" t="s">
        <v>49374</v>
      </c>
    </row>
    <row r="7809">
      <c r="A7809" s="4">
        <v>45534.388038425925</v>
      </c>
      <c r="B7809" s="5" t="s">
        <v>34</v>
      </c>
      <c r="D7809" s="5" t="s">
        <v>1456</v>
      </c>
      <c r="E7809" s="5" t="s">
        <v>49385</v>
      </c>
      <c r="F7809" s="5" t="s">
        <v>37</v>
      </c>
      <c r="G7809" s="5" t="s">
        <v>49386</v>
      </c>
      <c r="H7809" s="6" t="s">
        <v>49387</v>
      </c>
      <c r="K7809" s="5" t="s">
        <v>49388</v>
      </c>
      <c r="M7809" s="5" t="s">
        <v>49389</v>
      </c>
      <c r="N7809" s="7" t="s">
        <v>49390</v>
      </c>
      <c r="O7809" s="8" t="str">
        <f>HYPERLINK("https://drive.google.com/file/d/1OFW-xy_G512jkPzkGacEkQKznGZVdME-/view?usp=drivesdk","7808_NITA APRIYANTI  _ SERTIFIKAT BerAKHLAK")</f>
        <v>7808_NITA APRIYANTI  _ SERTIFIKAT BerAKHLAK</v>
      </c>
      <c r="P7809" s="5" t="s">
        <v>49374</v>
      </c>
    </row>
    <row r="7810">
      <c r="A7810" s="4">
        <v>45534.388049016205</v>
      </c>
      <c r="B7810" s="5" t="s">
        <v>34</v>
      </c>
      <c r="D7810" s="5" t="s">
        <v>1206</v>
      </c>
      <c r="E7810" s="5" t="s">
        <v>49391</v>
      </c>
      <c r="F7810" s="5" t="s">
        <v>212</v>
      </c>
      <c r="G7810" s="5" t="s">
        <v>49392</v>
      </c>
      <c r="H7810" s="6" t="s">
        <v>49393</v>
      </c>
      <c r="K7810" s="5" t="s">
        <v>49388</v>
      </c>
      <c r="M7810" s="5" t="s">
        <v>49394</v>
      </c>
      <c r="N7810" s="7" t="s">
        <v>49395</v>
      </c>
      <c r="O7810" s="8" t="str">
        <f>HYPERLINK("https://drive.google.com/file/d/1w1Ccbflqw9C8qu-hOhdjeaBtAUsVTEa5/view?usp=drivesdk","7809_MOCH SOLEH _ SERTIFIKAT BerAKHLAK")</f>
        <v>7809_MOCH SOLEH _ SERTIFIKAT BerAKHLAK</v>
      </c>
      <c r="P7810" s="5" t="s">
        <v>49396</v>
      </c>
    </row>
    <row r="7811">
      <c r="A7811" s="4">
        <v>45534.388055393516</v>
      </c>
      <c r="B7811" s="5" t="s">
        <v>34</v>
      </c>
      <c r="D7811" s="5" t="s">
        <v>580</v>
      </c>
      <c r="E7811" s="5" t="s">
        <v>49397</v>
      </c>
      <c r="F7811" s="5" t="s">
        <v>37</v>
      </c>
      <c r="G7811" s="5" t="s">
        <v>49398</v>
      </c>
      <c r="H7811" s="6" t="s">
        <v>49399</v>
      </c>
      <c r="K7811" s="5" t="s">
        <v>49388</v>
      </c>
      <c r="M7811" s="5" t="s">
        <v>49400</v>
      </c>
      <c r="N7811" s="7" t="s">
        <v>49401</v>
      </c>
      <c r="O7811" s="8" t="str">
        <f>HYPERLINK("https://drive.google.com/file/d/1d7CN-xKeFF5otG6ulvCdIguMQQvWijIk/view?usp=drivesdk","7810_WAYAN SERIAWAN _ SERTIFIKAT BerAKHLAK")</f>
        <v>7810_WAYAN SERIAWAN _ SERTIFIKAT BerAKHLAK</v>
      </c>
      <c r="P7811" s="5" t="s">
        <v>49396</v>
      </c>
    </row>
    <row r="7812">
      <c r="A7812" s="4">
        <v>45534.38808053241</v>
      </c>
      <c r="B7812" s="5" t="s">
        <v>34</v>
      </c>
      <c r="D7812" s="5" t="s">
        <v>1206</v>
      </c>
      <c r="E7812" s="5" t="s">
        <v>49402</v>
      </c>
      <c r="F7812" s="5" t="s">
        <v>72</v>
      </c>
      <c r="G7812" s="5" t="s">
        <v>49403</v>
      </c>
      <c r="H7812" s="6" t="s">
        <v>49404</v>
      </c>
      <c r="K7812" s="5" t="s">
        <v>49388</v>
      </c>
      <c r="M7812" s="5" t="s">
        <v>49405</v>
      </c>
      <c r="N7812" s="7" t="s">
        <v>49406</v>
      </c>
      <c r="O7812" s="8" t="str">
        <f>HYPERLINK("https://drive.google.com/file/d/1d8wyu7iPtHAeAtZEueyve7JrZ4lFM_ER/view?usp=drivesdk","7811_DEWI RETNO SUSANTI  _ SERTIFIKAT BerAKHLAK")</f>
        <v>7811_DEWI RETNO SUSANTI  _ SERTIFIKAT BerAKHLAK</v>
      </c>
      <c r="P7812" s="5" t="s">
        <v>49396</v>
      </c>
    </row>
    <row r="7813" hidden="1">
      <c r="A7813" s="4">
        <v>45534.38808988426</v>
      </c>
      <c r="B7813" s="5" t="s">
        <v>19</v>
      </c>
      <c r="C7813" s="5" t="s">
        <v>14000</v>
      </c>
      <c r="E7813" s="5" t="s">
        <v>49407</v>
      </c>
      <c r="F7813" s="5" t="s">
        <v>37</v>
      </c>
      <c r="G7813" s="5" t="s">
        <v>49408</v>
      </c>
      <c r="H7813" s="6" t="s">
        <v>49409</v>
      </c>
      <c r="K7813" s="5" t="s">
        <v>49388</v>
      </c>
      <c r="M7813" s="5" t="s">
        <v>49410</v>
      </c>
      <c r="N7813" s="7" t="s">
        <v>49411</v>
      </c>
      <c r="O7813" s="8" t="str">
        <f>HYPERLINK("https://drive.google.com/file/d/1da406UPcZ-44cGhX7crOt5j4pbyLUnOR/view?usp=drivesdk","7812_DEVI ANDRIANI _ SERTIFIKAT BerAKHLAK")</f>
        <v>7812_DEVI ANDRIANI _ SERTIFIKAT BerAKHLAK</v>
      </c>
      <c r="P7813" s="5" t="s">
        <v>49412</v>
      </c>
    </row>
    <row r="7814">
      <c r="A7814" s="4">
        <v>45534.388112430555</v>
      </c>
      <c r="B7814" s="5" t="s">
        <v>34</v>
      </c>
      <c r="D7814" s="5" t="s">
        <v>701</v>
      </c>
      <c r="E7814" s="5" t="s">
        <v>49413</v>
      </c>
      <c r="F7814" s="5" t="s">
        <v>37</v>
      </c>
      <c r="G7814" s="5" t="s">
        <v>49414</v>
      </c>
      <c r="H7814" s="6" t="s">
        <v>49415</v>
      </c>
      <c r="K7814" s="5" t="s">
        <v>49416</v>
      </c>
      <c r="M7814" s="5" t="s">
        <v>49417</v>
      </c>
      <c r="N7814" s="7" t="s">
        <v>49418</v>
      </c>
      <c r="O7814" s="8" t="str">
        <f>HYPERLINK("https://drive.google.com/file/d/1LoB-0BOWMuGEc3g0swjhB_2S3f0fJcES/view?usp=drivesdk","7813_ELIDARNIS _ SERTIFIKAT BerAKHLAK")</f>
        <v>7813_ELIDARNIS _ SERTIFIKAT BerAKHLAK</v>
      </c>
      <c r="P7814" s="5" t="s">
        <v>49412</v>
      </c>
    </row>
    <row r="7815">
      <c r="A7815" s="4">
        <v>45534.38812520834</v>
      </c>
      <c r="B7815" s="5" t="s">
        <v>34</v>
      </c>
      <c r="D7815" s="5" t="s">
        <v>14424</v>
      </c>
      <c r="E7815" s="5" t="s">
        <v>49419</v>
      </c>
      <c r="F7815" s="5" t="s">
        <v>715</v>
      </c>
      <c r="G7815" s="5" t="s">
        <v>49420</v>
      </c>
      <c r="H7815" s="6" t="s">
        <v>49421</v>
      </c>
      <c r="K7815" s="5" t="s">
        <v>49416</v>
      </c>
      <c r="M7815" s="5" t="s">
        <v>49422</v>
      </c>
      <c r="N7815" s="7" t="s">
        <v>49423</v>
      </c>
      <c r="O7815" s="8" t="str">
        <f>HYPERLINK("https://drive.google.com/file/d/1n_eu13j6ccRxt_K6jNziRFeql1J4wU1l/view?usp=drivesdk","7814_SRI RAHMAWATI  _ SERTIFIKAT BerAKHLAK")</f>
        <v>7814_SRI RAHMAWATI  _ SERTIFIKAT BerAKHLAK</v>
      </c>
      <c r="P7815" s="5" t="s">
        <v>49412</v>
      </c>
    </row>
    <row r="7816">
      <c r="A7816" s="4">
        <v>45534.38818309028</v>
      </c>
      <c r="B7816" s="5" t="s">
        <v>34</v>
      </c>
      <c r="D7816" s="5" t="s">
        <v>1206</v>
      </c>
      <c r="E7816" s="5" t="s">
        <v>49424</v>
      </c>
      <c r="F7816" s="5" t="s">
        <v>108</v>
      </c>
      <c r="G7816" s="5" t="s">
        <v>49425</v>
      </c>
      <c r="H7816" s="6" t="s">
        <v>49426</v>
      </c>
      <c r="K7816" s="5" t="s">
        <v>49427</v>
      </c>
      <c r="M7816" s="5" t="s">
        <v>49428</v>
      </c>
      <c r="N7816" s="7" t="s">
        <v>49429</v>
      </c>
      <c r="O7816" s="8" t="str">
        <f>HYPERLINK("https://drive.google.com/file/d/1PhvwAbBup-R2EuihKPpR2JiLnxHIUU8R/view?usp=drivesdk","7815_PITER AGUNG KURNIAWAN S.KEP.NS _ SERTIFIKAT BerAKHLAK")</f>
        <v>7815_PITER AGUNG KURNIAWAN S.KEP.NS _ SERTIFIKAT BerAKHLAK</v>
      </c>
      <c r="P7816" s="5" t="s">
        <v>49412</v>
      </c>
    </row>
    <row r="7817">
      <c r="A7817" s="4">
        <v>45534.388216817126</v>
      </c>
      <c r="B7817" s="5" t="s">
        <v>34</v>
      </c>
      <c r="D7817" s="5" t="s">
        <v>11527</v>
      </c>
      <c r="E7817" s="5" t="s">
        <v>49430</v>
      </c>
      <c r="F7817" s="5" t="s">
        <v>212</v>
      </c>
      <c r="G7817" s="5" t="s">
        <v>49431</v>
      </c>
      <c r="H7817" s="6" t="s">
        <v>49432</v>
      </c>
      <c r="K7817" s="5" t="s">
        <v>49427</v>
      </c>
      <c r="M7817" s="5" t="s">
        <v>49433</v>
      </c>
      <c r="N7817" s="7" t="s">
        <v>49434</v>
      </c>
      <c r="O7817" s="8" t="str">
        <f>HYPERLINK("https://drive.google.com/file/d/10uGUdvL0DaBOpXM1OWlYc8rhvfxEaogX/view?usp=drivesdk","7816_SRI RAMADIAN MAHAYANTI DOTULONG _ SERTIFIKAT BerAKHLAK")</f>
        <v>7816_SRI RAMADIAN MAHAYANTI DOTULONG _ SERTIFIKAT BerAKHLAK</v>
      </c>
      <c r="P7817" s="5" t="s">
        <v>49435</v>
      </c>
    </row>
    <row r="7818">
      <c r="A7818" s="4">
        <v>45534.38821755787</v>
      </c>
      <c r="B7818" s="5" t="s">
        <v>34</v>
      </c>
      <c r="D7818" s="5" t="s">
        <v>2903</v>
      </c>
      <c r="E7818" s="5" t="s">
        <v>49436</v>
      </c>
      <c r="F7818" s="5" t="s">
        <v>212</v>
      </c>
      <c r="G7818" s="5" t="s">
        <v>49437</v>
      </c>
      <c r="H7818" s="6" t="s">
        <v>49438</v>
      </c>
      <c r="K7818" s="5" t="s">
        <v>49427</v>
      </c>
      <c r="M7818" s="5" t="s">
        <v>49439</v>
      </c>
      <c r="N7818" s="7" t="s">
        <v>49440</v>
      </c>
      <c r="O7818" s="8" t="str">
        <f>HYPERLINK("https://drive.google.com/file/d/1eTPi5y0VRqwkH6vAg8Hz6U4C4BRXkI9b/view?usp=drivesdk","7817_TRI PRASETYOWATI _ SERTIFIKAT BerAKHLAK")</f>
        <v>7817_TRI PRASETYOWATI _ SERTIFIKAT BerAKHLAK</v>
      </c>
      <c r="P7818" s="5" t="s">
        <v>49435</v>
      </c>
    </row>
    <row r="7819" hidden="1">
      <c r="A7819" s="4">
        <v>45534.38823685185</v>
      </c>
      <c r="B7819" s="5" t="s">
        <v>19</v>
      </c>
      <c r="C7819" s="5" t="s">
        <v>1606</v>
      </c>
      <c r="E7819" s="5" t="s">
        <v>49441</v>
      </c>
      <c r="F7819" s="5" t="s">
        <v>22</v>
      </c>
      <c r="G7819" s="5" t="s">
        <v>49442</v>
      </c>
      <c r="H7819" s="6" t="s">
        <v>49443</v>
      </c>
      <c r="K7819" s="5" t="s">
        <v>49444</v>
      </c>
      <c r="M7819" s="5" t="s">
        <v>49445</v>
      </c>
      <c r="N7819" s="7" t="s">
        <v>49446</v>
      </c>
      <c r="O7819" s="8" t="str">
        <f>HYPERLINK("https://drive.google.com/file/d/15I2V7ndhVazDjfbeZpFocTCJB68o1dh8/view?usp=drivesdk","7818_BASYARI _ SERTIFIKAT BerAKHLAK")</f>
        <v>7818_BASYARI _ SERTIFIKAT BerAKHLAK</v>
      </c>
      <c r="P7819" s="5" t="s">
        <v>49447</v>
      </c>
    </row>
    <row r="7820">
      <c r="A7820" s="4">
        <v>45534.3882365162</v>
      </c>
      <c r="B7820" s="5" t="s">
        <v>34</v>
      </c>
      <c r="D7820" s="5" t="s">
        <v>7858</v>
      </c>
      <c r="E7820" s="5" t="s">
        <v>49448</v>
      </c>
      <c r="F7820" s="5" t="s">
        <v>524</v>
      </c>
      <c r="G7820" s="5" t="s">
        <v>49449</v>
      </c>
      <c r="H7820" s="6" t="s">
        <v>49450</v>
      </c>
      <c r="K7820" s="5" t="s">
        <v>49444</v>
      </c>
      <c r="M7820" s="5" t="s">
        <v>49451</v>
      </c>
      <c r="N7820" s="7" t="s">
        <v>49452</v>
      </c>
      <c r="O7820" s="8" t="str">
        <f>HYPERLINK("https://drive.google.com/file/d/1CVkB5MhYPBfCPXAedWb_ZBc1iaqsvDmM/view?usp=drivesdk","7819_DWI RATNA WIDIYANTI, S.KM _ SERTIFIKAT BerAKHLAK")</f>
        <v>7819_DWI RATNA WIDIYANTI, S.KM _ SERTIFIKAT BerAKHLAK</v>
      </c>
      <c r="P7820" s="5" t="s">
        <v>49447</v>
      </c>
    </row>
    <row r="7821">
      <c r="A7821" s="4">
        <v>45534.38824947916</v>
      </c>
      <c r="B7821" s="5" t="s">
        <v>34</v>
      </c>
      <c r="D7821" s="5" t="s">
        <v>10297</v>
      </c>
      <c r="E7821" s="5" t="s">
        <v>49453</v>
      </c>
      <c r="F7821" s="5" t="s">
        <v>212</v>
      </c>
      <c r="G7821" s="5" t="s">
        <v>49454</v>
      </c>
      <c r="H7821" s="6" t="s">
        <v>49455</v>
      </c>
      <c r="K7821" s="5" t="s">
        <v>49444</v>
      </c>
      <c r="M7821" s="5" t="s">
        <v>49456</v>
      </c>
      <c r="N7821" s="7" t="s">
        <v>49457</v>
      </c>
      <c r="O7821" s="8" t="str">
        <f>HYPERLINK("https://drive.google.com/file/d/1WdhPVo3iAEOwoOhq9-GzAjc83QOnAsz3/view?usp=drivesdk","7820_DEASY EMILIYA _ SERTIFIKAT BerAKHLAK")</f>
        <v>7820_DEASY EMILIYA _ SERTIFIKAT BerAKHLAK</v>
      </c>
      <c r="P7821" s="5" t="s">
        <v>49458</v>
      </c>
    </row>
    <row r="7822">
      <c r="A7822" s="4">
        <v>45534.38826119213</v>
      </c>
      <c r="B7822" s="5" t="s">
        <v>34</v>
      </c>
      <c r="D7822" s="5" t="s">
        <v>11527</v>
      </c>
      <c r="E7822" s="5" t="s">
        <v>49459</v>
      </c>
      <c r="F7822" s="5" t="s">
        <v>199</v>
      </c>
      <c r="G7822" s="5" t="s">
        <v>49460</v>
      </c>
      <c r="H7822" s="6" t="s">
        <v>49461</v>
      </c>
      <c r="K7822" s="5" t="s">
        <v>49462</v>
      </c>
      <c r="M7822" s="5" t="s">
        <v>49463</v>
      </c>
      <c r="N7822" s="7" t="s">
        <v>49464</v>
      </c>
      <c r="O7822" s="8" t="str">
        <f>HYPERLINK("https://drive.google.com/file/d/1lPokY4zzSdWe9CZ7rS5nyLWx9-wuZCVI/view?usp=drivesdk","7821_SUNARTY KONIYO _ SERTIFIKAT BerAKHLAK")</f>
        <v>7821_SUNARTY KONIYO _ SERTIFIKAT BerAKHLAK</v>
      </c>
      <c r="P7822" s="5" t="s">
        <v>49458</v>
      </c>
    </row>
    <row r="7823">
      <c r="A7823" s="4">
        <v>45534.38831342592</v>
      </c>
      <c r="B7823" s="5" t="s">
        <v>34</v>
      </c>
      <c r="D7823" s="5" t="s">
        <v>522</v>
      </c>
      <c r="E7823" s="5" t="s">
        <v>49465</v>
      </c>
      <c r="F7823" s="5" t="s">
        <v>212</v>
      </c>
      <c r="G7823" s="5" t="s">
        <v>49466</v>
      </c>
      <c r="H7823" s="6" t="s">
        <v>49467</v>
      </c>
      <c r="K7823" s="5" t="s">
        <v>49468</v>
      </c>
      <c r="M7823" s="5" t="s">
        <v>49469</v>
      </c>
      <c r="N7823" s="7" t="s">
        <v>49470</v>
      </c>
      <c r="O7823" s="8" t="str">
        <f>HYPERLINK("https://drive.google.com/file/d/1Ob2dF4apjF5DPArQlKMaegRFVxVxPO5y/view?usp=drivesdk","7822_NUNUNG WIDIAWATI _ SERTIFIKAT BerAKHLAK")</f>
        <v>7822_NUNUNG WIDIAWATI _ SERTIFIKAT BerAKHLAK</v>
      </c>
      <c r="P7823" s="5" t="s">
        <v>49458</v>
      </c>
    </row>
    <row r="7824">
      <c r="A7824" s="4">
        <v>45534.38836678241</v>
      </c>
      <c r="B7824" s="5" t="s">
        <v>34</v>
      </c>
      <c r="D7824" s="5" t="s">
        <v>10297</v>
      </c>
      <c r="E7824" s="5" t="s">
        <v>49471</v>
      </c>
      <c r="F7824" s="5" t="s">
        <v>120</v>
      </c>
      <c r="G7824" s="5" t="s">
        <v>49472</v>
      </c>
      <c r="H7824" s="6" t="s">
        <v>49473</v>
      </c>
      <c r="K7824" s="5" t="s">
        <v>49474</v>
      </c>
      <c r="M7824" s="5" t="s">
        <v>49475</v>
      </c>
      <c r="N7824" s="7" t="s">
        <v>49476</v>
      </c>
      <c r="O7824" s="8" t="str">
        <f>HYPERLINK("https://drive.google.com/file/d/1PT_GFolrDLSssJyhREC7hpvFxhl4wG5s/view?usp=drivesdk","7823_HASNAWATI Y., S.E., M.M. _ SERTIFIKAT BerAKHLAK")</f>
        <v>7823_HASNAWATI Y., S.E., M.M. _ SERTIFIKAT BerAKHLAK</v>
      </c>
      <c r="P7824" s="5" t="s">
        <v>49477</v>
      </c>
    </row>
    <row r="7825" hidden="1">
      <c r="A7825" s="4">
        <v>45534.38837731481</v>
      </c>
      <c r="B7825" s="5" t="s">
        <v>19</v>
      </c>
      <c r="C7825" s="5" t="s">
        <v>83</v>
      </c>
      <c r="E7825" s="5" t="s">
        <v>49478</v>
      </c>
      <c r="F7825" s="5" t="s">
        <v>72</v>
      </c>
      <c r="G7825" s="5" t="s">
        <v>49479</v>
      </c>
      <c r="H7825" s="6" t="s">
        <v>49480</v>
      </c>
      <c r="K7825" s="5" t="s">
        <v>49474</v>
      </c>
      <c r="M7825" s="5" t="s">
        <v>49481</v>
      </c>
      <c r="N7825" s="7" t="s">
        <v>49482</v>
      </c>
      <c r="O7825" s="8" t="str">
        <f>HYPERLINK("https://drive.google.com/file/d/1PoOhdpRnseKWkEUr3gzPGIiSwRtbTCAA/view?usp=drivesdk","7824_RISTA ERVINA, A.M.G _ SERTIFIKAT BerAKHLAK")</f>
        <v>7824_RISTA ERVINA, A.M.G _ SERTIFIKAT BerAKHLAK</v>
      </c>
      <c r="P7825" s="5" t="s">
        <v>49477</v>
      </c>
    </row>
    <row r="7826">
      <c r="A7826" s="4">
        <v>45534.38838204861</v>
      </c>
      <c r="B7826" s="5" t="s">
        <v>34</v>
      </c>
      <c r="D7826" s="5" t="s">
        <v>10444</v>
      </c>
      <c r="E7826" s="5" t="s">
        <v>49483</v>
      </c>
      <c r="F7826" s="5" t="s">
        <v>212</v>
      </c>
      <c r="G7826" s="5" t="s">
        <v>49484</v>
      </c>
      <c r="H7826" s="6" t="s">
        <v>49485</v>
      </c>
      <c r="K7826" s="5" t="s">
        <v>49474</v>
      </c>
      <c r="M7826" s="5" t="s">
        <v>49486</v>
      </c>
      <c r="N7826" s="7" t="s">
        <v>49487</v>
      </c>
      <c r="O7826" s="8" t="str">
        <f>HYPERLINK("https://drive.google.com/file/d/1ixSKuRYyGNvGw8xiSD7dPCCHZO1E0ew_/view?usp=drivesdk","7825_I GUSTI AYU MADE SAWITRI _ SERTIFIKAT BerAKHLAK")</f>
        <v>7825_I GUSTI AYU MADE SAWITRI _ SERTIFIKAT BerAKHLAK</v>
      </c>
      <c r="P7826" s="5" t="s">
        <v>49477</v>
      </c>
    </row>
    <row r="7827">
      <c r="A7827" s="4">
        <v>45534.388406134254</v>
      </c>
      <c r="B7827" s="5" t="s">
        <v>34</v>
      </c>
      <c r="D7827" s="5" t="s">
        <v>267</v>
      </c>
      <c r="E7827" s="5" t="s">
        <v>49488</v>
      </c>
      <c r="F7827" s="5" t="s">
        <v>37</v>
      </c>
      <c r="G7827" s="5" t="s">
        <v>49489</v>
      </c>
      <c r="H7827" s="6" t="s">
        <v>49490</v>
      </c>
      <c r="K7827" s="5" t="s">
        <v>49474</v>
      </c>
      <c r="M7827" s="5" t="s">
        <v>49491</v>
      </c>
      <c r="N7827" s="7" t="s">
        <v>49492</v>
      </c>
      <c r="O7827" s="8" t="str">
        <f>HYPERLINK("https://drive.google.com/file/d/1KbQP9IceRHxa18qwoqrPAtNUa3hKixly/view?usp=drivesdk","7826_SRI WIDIASTUTI SUSILOWATI _ SERTIFIKAT BerAKHLAK")</f>
        <v>7826_SRI WIDIASTUTI SUSILOWATI _ SERTIFIKAT BerAKHLAK</v>
      </c>
      <c r="P7827" s="5" t="s">
        <v>49493</v>
      </c>
    </row>
    <row r="7828" hidden="1">
      <c r="A7828" s="4">
        <v>45534.388415671296</v>
      </c>
      <c r="B7828" s="5" t="s">
        <v>19</v>
      </c>
      <c r="C7828" s="5" t="s">
        <v>292</v>
      </c>
      <c r="E7828" s="5" t="s">
        <v>49494</v>
      </c>
      <c r="F7828" s="5" t="s">
        <v>37</v>
      </c>
      <c r="G7828" s="5" t="s">
        <v>49495</v>
      </c>
      <c r="H7828" s="6" t="s">
        <v>49496</v>
      </c>
      <c r="K7828" s="5" t="s">
        <v>49497</v>
      </c>
      <c r="M7828" s="5" t="s">
        <v>49498</v>
      </c>
      <c r="N7828" s="7" t="s">
        <v>49499</v>
      </c>
      <c r="O7828" s="8" t="str">
        <f>HYPERLINK("https://drive.google.com/file/d/1tp9Si-1rBJkrTotiHu8QP2uD5LjzT63X/view?usp=drivesdk","7827_MARFIAN _ SERTIFIKAT BerAKHLAK")</f>
        <v>7827_MARFIAN _ SERTIFIKAT BerAKHLAK</v>
      </c>
      <c r="P7828" s="5" t="s">
        <v>49493</v>
      </c>
    </row>
    <row r="7829">
      <c r="A7829" s="4">
        <v>45534.38843759259</v>
      </c>
      <c r="B7829" s="5" t="s">
        <v>34</v>
      </c>
      <c r="D7829" s="5" t="s">
        <v>1206</v>
      </c>
      <c r="E7829" s="5" t="s">
        <v>49500</v>
      </c>
      <c r="F7829" s="5" t="s">
        <v>72</v>
      </c>
      <c r="G7829" s="5" t="s">
        <v>49501</v>
      </c>
      <c r="H7829" s="6" t="s">
        <v>49502</v>
      </c>
      <c r="K7829" s="5" t="s">
        <v>49497</v>
      </c>
      <c r="M7829" s="5" t="s">
        <v>49503</v>
      </c>
      <c r="N7829" s="7" t="s">
        <v>49504</v>
      </c>
      <c r="O7829" s="8" t="str">
        <f>HYPERLINK("https://drive.google.com/file/d/1lYtzbrNx2ELiD1fo6qFGkFJ13QIjV23Y/view?usp=drivesdk","7828_SRI LESTARI, S. Kep.,Ns _ SERTIFIKAT BerAKHLAK")</f>
        <v>7828_SRI LESTARI, S. Kep.,Ns _ SERTIFIKAT BerAKHLAK</v>
      </c>
      <c r="P7829" s="5" t="s">
        <v>49493</v>
      </c>
    </row>
    <row r="7830">
      <c r="A7830" s="4">
        <v>45534.38845023148</v>
      </c>
      <c r="B7830" s="5" t="s">
        <v>34</v>
      </c>
      <c r="D7830" s="5" t="s">
        <v>9020</v>
      </c>
      <c r="E7830" s="5" t="s">
        <v>49505</v>
      </c>
      <c r="F7830" s="5" t="s">
        <v>212</v>
      </c>
      <c r="G7830" s="5" t="s">
        <v>49506</v>
      </c>
      <c r="H7830" s="6" t="s">
        <v>49507</v>
      </c>
      <c r="K7830" s="5" t="s">
        <v>49497</v>
      </c>
      <c r="M7830" s="5" t="s">
        <v>49508</v>
      </c>
      <c r="N7830" s="7" t="s">
        <v>49509</v>
      </c>
      <c r="O7830" s="8" t="str">
        <f>HYPERLINK("https://drive.google.com/file/d/1l37PMfxa3q0WlneewB_QRNRUByA_NXr9/view?usp=drivesdk","7829_LELI HASTUTU _ SERTIFIKAT BerAKHLAK")</f>
        <v>7829_LELI HASTUTU _ SERTIFIKAT BerAKHLAK</v>
      </c>
      <c r="P7830" s="5" t="s">
        <v>49493</v>
      </c>
    </row>
    <row r="7831" hidden="1">
      <c r="A7831" s="4">
        <v>45534.388451886574</v>
      </c>
      <c r="B7831" s="5" t="s">
        <v>19</v>
      </c>
      <c r="C7831" s="5" t="s">
        <v>442</v>
      </c>
      <c r="E7831" s="5" t="s">
        <v>49510</v>
      </c>
      <c r="F7831" s="5" t="s">
        <v>375</v>
      </c>
      <c r="G7831" s="5" t="s">
        <v>49511</v>
      </c>
      <c r="H7831" s="6" t="s">
        <v>49512</v>
      </c>
      <c r="K7831" s="5" t="s">
        <v>49497</v>
      </c>
      <c r="M7831" s="5" t="s">
        <v>49513</v>
      </c>
      <c r="N7831" s="7" t="s">
        <v>49514</v>
      </c>
      <c r="O7831" s="8" t="str">
        <f>HYPERLINK("https://drive.google.com/file/d/1e68LQosKMbgfmZyHI4hMKfHLMOGU8DIa/view?usp=drivesdk","7830_AIRLANGGA APRILIANTO TIMOR, S.ST _ SERTIFIKAT BerAKHLAK")</f>
        <v>7830_AIRLANGGA APRILIANTO TIMOR, S.ST _ SERTIFIKAT BerAKHLAK</v>
      </c>
      <c r="P7831" s="5" t="s">
        <v>49493</v>
      </c>
    </row>
    <row r="7832">
      <c r="A7832" s="4">
        <v>45534.38846670139</v>
      </c>
      <c r="B7832" s="5" t="s">
        <v>34</v>
      </c>
      <c r="D7832" s="5" t="s">
        <v>9020</v>
      </c>
      <c r="E7832" s="5" t="s">
        <v>49515</v>
      </c>
      <c r="F7832" s="5" t="s">
        <v>212</v>
      </c>
      <c r="G7832" s="5" t="s">
        <v>49516</v>
      </c>
      <c r="H7832" s="6" t="s">
        <v>49517</v>
      </c>
      <c r="K7832" s="5" t="s">
        <v>49518</v>
      </c>
      <c r="M7832" s="5" t="s">
        <v>49519</v>
      </c>
      <c r="N7832" s="7" t="s">
        <v>49520</v>
      </c>
      <c r="O7832" s="8" t="str">
        <f>HYPERLINK("https://drive.google.com/file/d/1xtAcJYJTbtNXP4LKl9iN5CjreH0cOfsE/view?usp=drivesdk","7831_SUNTIAR MAHOMBAR _ SERTIFIKAT BerAKHLAK")</f>
        <v>7831_SUNTIAR MAHOMBAR _ SERTIFIKAT BerAKHLAK</v>
      </c>
      <c r="P7832" s="5" t="s">
        <v>49521</v>
      </c>
    </row>
    <row r="7833" hidden="1">
      <c r="A7833" s="4">
        <v>45534.38852943287</v>
      </c>
      <c r="B7833" s="5" t="s">
        <v>19</v>
      </c>
      <c r="C7833" s="5" t="s">
        <v>11593</v>
      </c>
      <c r="E7833" s="5" t="s">
        <v>49522</v>
      </c>
      <c r="F7833" s="5" t="s">
        <v>72</v>
      </c>
      <c r="G7833" s="5" t="s">
        <v>49523</v>
      </c>
      <c r="H7833" s="6" t="s">
        <v>49524</v>
      </c>
      <c r="K7833" s="5" t="s">
        <v>49518</v>
      </c>
      <c r="M7833" s="5" t="s">
        <v>49525</v>
      </c>
      <c r="N7833" s="7" t="s">
        <v>49526</v>
      </c>
      <c r="O7833" s="8" t="str">
        <f>HYPERLINK("https://drive.google.com/file/d/1lT9OFHnnVhw_EFLoU2t5DaEDCdtr6eHn/view?usp=drivesdk","7832_IKA KURNIATI _ SERTIFIKAT BerAKHLAK")</f>
        <v>7832_IKA KURNIATI _ SERTIFIKAT BerAKHLAK</v>
      </c>
      <c r="P7833" s="5" t="s">
        <v>49521</v>
      </c>
    </row>
    <row r="7834">
      <c r="A7834" s="4">
        <v>45534.38853357639</v>
      </c>
      <c r="B7834" s="5" t="s">
        <v>34</v>
      </c>
      <c r="D7834" s="5" t="s">
        <v>9394</v>
      </c>
      <c r="E7834" s="5" t="s">
        <v>49527</v>
      </c>
      <c r="F7834" s="5" t="s">
        <v>37</v>
      </c>
      <c r="G7834" s="5" t="s">
        <v>49528</v>
      </c>
      <c r="H7834" s="6" t="s">
        <v>49529</v>
      </c>
      <c r="K7834" s="5" t="s">
        <v>49518</v>
      </c>
      <c r="M7834" s="5" t="s">
        <v>49530</v>
      </c>
      <c r="N7834" s="7" t="s">
        <v>49531</v>
      </c>
      <c r="O7834" s="8" t="str">
        <f>HYPERLINK("https://drive.google.com/file/d/19fyaVmuM1psxyXemue1CVOvveUKkCb9T/view?usp=drivesdk","7833_LILI MARLINI  _ SERTIFIKAT BerAKHLAK")</f>
        <v>7833_LILI MARLINI  _ SERTIFIKAT BerAKHLAK</v>
      </c>
      <c r="P7834" s="5" t="s">
        <v>49521</v>
      </c>
    </row>
    <row r="7835">
      <c r="A7835" s="4">
        <v>45534.38854351852</v>
      </c>
      <c r="B7835" s="5" t="s">
        <v>34</v>
      </c>
      <c r="D7835" s="5" t="s">
        <v>4775</v>
      </c>
      <c r="E7835" s="5" t="s">
        <v>49532</v>
      </c>
      <c r="F7835" s="5" t="s">
        <v>212</v>
      </c>
      <c r="G7835" s="5" t="s">
        <v>49533</v>
      </c>
      <c r="H7835" s="6" t="s">
        <v>49534</v>
      </c>
      <c r="K7835" s="5" t="s">
        <v>49518</v>
      </c>
      <c r="M7835" s="5" t="s">
        <v>49535</v>
      </c>
      <c r="N7835" s="7" t="s">
        <v>49536</v>
      </c>
      <c r="O7835" s="8" t="str">
        <f>HYPERLINK("https://drive.google.com/file/d/1gtT6L1RSqGP7eBzTjNA3N-to2poD_uTI/view?usp=drivesdk","7834_ACHMAD SUFERIK _ SERTIFIKAT BerAKHLAK")</f>
        <v>7834_ACHMAD SUFERIK _ SERTIFIKAT BerAKHLAK</v>
      </c>
      <c r="P7835" s="5" t="s">
        <v>49537</v>
      </c>
    </row>
    <row r="7836">
      <c r="A7836" s="4">
        <v>45534.38855894676</v>
      </c>
      <c r="B7836" s="5" t="s">
        <v>34</v>
      </c>
      <c r="D7836" s="5" t="s">
        <v>1456</v>
      </c>
      <c r="E7836" s="5" t="s">
        <v>49538</v>
      </c>
      <c r="F7836" s="5" t="s">
        <v>212</v>
      </c>
      <c r="G7836" s="5" t="s">
        <v>49539</v>
      </c>
      <c r="H7836" s="6" t="s">
        <v>49540</v>
      </c>
      <c r="K7836" s="5" t="s">
        <v>49541</v>
      </c>
      <c r="M7836" s="5" t="s">
        <v>49542</v>
      </c>
      <c r="N7836" s="7" t="s">
        <v>49543</v>
      </c>
      <c r="O7836" s="8" t="str">
        <f>HYPERLINK("https://drive.google.com/file/d/1U6ouyUBZ9KeU7wIaK-2Q_uHEfnI6pM8M/view?usp=drivesdk","7835_DINA YUNIATI P. A.Md _ SERTIFIKAT BerAKHLAK")</f>
        <v>7835_DINA YUNIATI P. A.Md _ SERTIFIKAT BerAKHLAK</v>
      </c>
      <c r="P7836" s="5" t="s">
        <v>49537</v>
      </c>
    </row>
    <row r="7837">
      <c r="A7837" s="4">
        <v>45534.38861105324</v>
      </c>
      <c r="B7837" s="5" t="s">
        <v>34</v>
      </c>
      <c r="D7837" s="5" t="s">
        <v>1558</v>
      </c>
      <c r="E7837" s="7" t="s">
        <v>49544</v>
      </c>
      <c r="F7837" s="5" t="s">
        <v>524</v>
      </c>
      <c r="G7837" s="5" t="s">
        <v>49545</v>
      </c>
      <c r="H7837" s="6" t="s">
        <v>49546</v>
      </c>
      <c r="K7837" s="5" t="s">
        <v>49547</v>
      </c>
      <c r="M7837" s="5" t="s">
        <v>49548</v>
      </c>
      <c r="N7837" s="7" t="s">
        <v>49549</v>
      </c>
      <c r="O7837" s="8" t="str">
        <f>HYPERLINK("https://drive.google.com/file/d/1n5PUBpsEZx5zbRLRaDMqt3LyMlXj69_g/view?usp=drivesdk","7836_YULIANTI.A.Md _ SERTIFIKAT BerAKHLAK")</f>
        <v>7836_YULIANTI.A.Md _ SERTIFIKAT BerAKHLAK</v>
      </c>
      <c r="P7837" s="5" t="s">
        <v>49537</v>
      </c>
    </row>
    <row r="7838">
      <c r="A7838" s="4">
        <v>45534.38863767361</v>
      </c>
      <c r="B7838" s="5" t="s">
        <v>34</v>
      </c>
      <c r="D7838" s="5" t="s">
        <v>4775</v>
      </c>
      <c r="E7838" s="5" t="s">
        <v>49550</v>
      </c>
      <c r="F7838" s="5" t="s">
        <v>37</v>
      </c>
      <c r="G7838" s="5" t="s">
        <v>49551</v>
      </c>
      <c r="H7838" s="6" t="s">
        <v>49552</v>
      </c>
      <c r="K7838" s="5" t="s">
        <v>49547</v>
      </c>
      <c r="M7838" s="5" t="s">
        <v>49553</v>
      </c>
      <c r="N7838" s="7" t="s">
        <v>49554</v>
      </c>
      <c r="O7838" s="8" t="str">
        <f>HYPERLINK("https://drive.google.com/file/d/1d7WI2NC0V2fn16DJsp6rr3hosMI7cf_0/view?usp=drivesdk","7837_SUTRISNO WIDODO. S.E. _ SERTIFIKAT BerAKHLAK")</f>
        <v>7837_SUTRISNO WIDODO. S.E. _ SERTIFIKAT BerAKHLAK</v>
      </c>
      <c r="P7838" s="5" t="s">
        <v>49537</v>
      </c>
    </row>
    <row r="7839">
      <c r="A7839" s="4">
        <v>45534.38864315972</v>
      </c>
      <c r="B7839" s="5" t="s">
        <v>34</v>
      </c>
      <c r="D7839" s="5" t="s">
        <v>14424</v>
      </c>
      <c r="E7839" s="5" t="s">
        <v>49555</v>
      </c>
      <c r="F7839" s="5" t="s">
        <v>212</v>
      </c>
      <c r="G7839" s="5" t="s">
        <v>49556</v>
      </c>
      <c r="H7839" s="6" t="s">
        <v>49557</v>
      </c>
      <c r="K7839" s="5" t="s">
        <v>49547</v>
      </c>
      <c r="M7839" s="5" t="s">
        <v>49558</v>
      </c>
      <c r="N7839" s="7" t="s">
        <v>49559</v>
      </c>
      <c r="O7839" s="8" t="str">
        <f>HYPERLINK("https://drive.google.com/file/d/13XXXu1sK6vjjXJmrGGPshcrW9SW_ekKn/view?usp=drivesdk","7838_CUT ISNAWATI _ SERTIFIKAT BerAKHLAK")</f>
        <v>7838_CUT ISNAWATI _ SERTIFIKAT BerAKHLAK</v>
      </c>
      <c r="P7839" s="5" t="s">
        <v>49560</v>
      </c>
    </row>
    <row r="7840">
      <c r="A7840" s="4">
        <v>45534.38869946759</v>
      </c>
      <c r="B7840" s="5" t="s">
        <v>34</v>
      </c>
      <c r="D7840" s="5" t="s">
        <v>1206</v>
      </c>
      <c r="E7840" s="5" t="s">
        <v>49561</v>
      </c>
      <c r="F7840" s="5" t="s">
        <v>212</v>
      </c>
      <c r="G7840" s="5" t="s">
        <v>49562</v>
      </c>
      <c r="H7840" s="6" t="s">
        <v>49563</v>
      </c>
      <c r="K7840" s="5" t="s">
        <v>49564</v>
      </c>
      <c r="M7840" s="5" t="s">
        <v>49565</v>
      </c>
      <c r="N7840" s="7" t="s">
        <v>49566</v>
      </c>
      <c r="O7840" s="8" t="str">
        <f>HYPERLINK("https://drive.google.com/file/d/1qpEDCY9Wmj2gauQzpUgyLHkzEeJp_wTv/view?usp=drivesdk","7839_DADANG SOEHARTO _ SERTIFIKAT BerAKHLAK")</f>
        <v>7839_DADANG SOEHARTO _ SERTIFIKAT BerAKHLAK</v>
      </c>
      <c r="P7840" s="5" t="s">
        <v>49567</v>
      </c>
    </row>
    <row r="7841" hidden="1">
      <c r="A7841" s="4">
        <v>45534.38871359953</v>
      </c>
      <c r="B7841" s="5" t="s">
        <v>19</v>
      </c>
      <c r="C7841" s="5" t="s">
        <v>83</v>
      </c>
      <c r="E7841" s="5" t="s">
        <v>49568</v>
      </c>
      <c r="F7841" s="5" t="s">
        <v>375</v>
      </c>
      <c r="G7841" s="5" t="s">
        <v>49569</v>
      </c>
      <c r="H7841" s="6" t="s">
        <v>49570</v>
      </c>
      <c r="K7841" s="5" t="s">
        <v>49564</v>
      </c>
      <c r="M7841" s="5" t="s">
        <v>49571</v>
      </c>
      <c r="N7841" s="7" t="s">
        <v>49572</v>
      </c>
      <c r="O7841" s="8" t="str">
        <f>HYPERLINK("https://drive.google.com/file/d/1zhJx7i9mw4X3KZCIguPgJuII63JGdLBm/view?usp=drivesdk","7840_VERAWATY, S.E.  _ SERTIFIKAT BerAKHLAK")</f>
        <v>7840_VERAWATY, S.E.  _ SERTIFIKAT BerAKHLAK</v>
      </c>
      <c r="P7841" s="5" t="s">
        <v>49567</v>
      </c>
    </row>
    <row r="7842" hidden="1">
      <c r="A7842" s="4">
        <v>45534.38871666667</v>
      </c>
      <c r="B7842" s="5" t="s">
        <v>19</v>
      </c>
      <c r="C7842" s="5" t="s">
        <v>8666</v>
      </c>
      <c r="E7842" s="5" t="s">
        <v>49573</v>
      </c>
      <c r="F7842" s="5" t="s">
        <v>5859</v>
      </c>
      <c r="G7842" s="5" t="s">
        <v>49574</v>
      </c>
      <c r="H7842" s="6" t="s">
        <v>49575</v>
      </c>
      <c r="K7842" s="5" t="s">
        <v>49564</v>
      </c>
      <c r="M7842" s="5" t="s">
        <v>49576</v>
      </c>
      <c r="N7842" s="7" t="s">
        <v>49577</v>
      </c>
      <c r="O7842" s="8" t="str">
        <f>HYPERLINK("https://drive.google.com/file/d/1COZNp33s-o-UGxahiPvyMGMq-q6CYMKe/view?usp=drivesdk","7841_SUMINO SETUM POLRI _ SERTIFIKAT BerAKHLAK")</f>
        <v>7841_SUMINO SETUM POLRI _ SERTIFIKAT BerAKHLAK</v>
      </c>
      <c r="P7842" s="5" t="s">
        <v>49578</v>
      </c>
    </row>
    <row r="7843">
      <c r="A7843" s="4">
        <v>45534.38872873843</v>
      </c>
      <c r="B7843" s="5" t="s">
        <v>34</v>
      </c>
      <c r="D7843" s="5" t="s">
        <v>1206</v>
      </c>
      <c r="E7843" s="5" t="s">
        <v>49579</v>
      </c>
      <c r="F7843" s="5" t="s">
        <v>212</v>
      </c>
      <c r="G7843" s="5" t="s">
        <v>49580</v>
      </c>
      <c r="H7843" s="6" t="s">
        <v>49581</v>
      </c>
      <c r="K7843" s="5" t="s">
        <v>49564</v>
      </c>
      <c r="M7843" s="5" t="s">
        <v>49582</v>
      </c>
      <c r="N7843" s="7" t="s">
        <v>49583</v>
      </c>
      <c r="O7843" s="8" t="str">
        <f>HYPERLINK("https://drive.google.com/file/d/182KqOKp4n-UqaEzPqSAZfvANzDzfzBSB/view?usp=drivesdk","7842_MUSLIMIN  _ SERTIFIKAT BerAKHLAK")</f>
        <v>7842_MUSLIMIN  _ SERTIFIKAT BerAKHLAK</v>
      </c>
      <c r="P7843" s="5" t="s">
        <v>49578</v>
      </c>
    </row>
    <row r="7844">
      <c r="A7844" s="4">
        <v>45534.388740821756</v>
      </c>
      <c r="B7844" s="5" t="s">
        <v>34</v>
      </c>
      <c r="D7844" s="5" t="s">
        <v>9020</v>
      </c>
      <c r="E7844" s="5" t="s">
        <v>49584</v>
      </c>
      <c r="F7844" s="5" t="s">
        <v>212</v>
      </c>
      <c r="G7844" s="5" t="s">
        <v>49585</v>
      </c>
      <c r="H7844" s="6" t="s">
        <v>49586</v>
      </c>
      <c r="K7844" s="5" t="s">
        <v>49587</v>
      </c>
      <c r="M7844" s="5" t="s">
        <v>49588</v>
      </c>
      <c r="N7844" s="7" t="s">
        <v>49589</v>
      </c>
      <c r="O7844" s="8" t="str">
        <f>HYPERLINK("https://drive.google.com/file/d/1AYGOEF39pxGOfc3TeXMqLrWZtW0tfh7-/view?usp=drivesdk","7843_NORA NUSPITA  _ SERTIFIKAT BerAKHLAK")</f>
        <v>7843_NORA NUSPITA  _ SERTIFIKAT BerAKHLAK</v>
      </c>
      <c r="P7844" s="5" t="s">
        <v>49578</v>
      </c>
    </row>
    <row r="7845">
      <c r="A7845" s="4">
        <v>45534.38874195602</v>
      </c>
      <c r="B7845" s="5" t="s">
        <v>34</v>
      </c>
      <c r="D7845" s="5" t="s">
        <v>280</v>
      </c>
      <c r="E7845" s="5" t="s">
        <v>49590</v>
      </c>
      <c r="F7845" s="5" t="s">
        <v>715</v>
      </c>
      <c r="G7845" s="5" t="s">
        <v>10019</v>
      </c>
      <c r="H7845" s="6" t="s">
        <v>49591</v>
      </c>
      <c r="K7845" s="5" t="s">
        <v>49587</v>
      </c>
      <c r="M7845" s="5" t="s">
        <v>49592</v>
      </c>
      <c r="N7845" s="7" t="s">
        <v>49593</v>
      </c>
      <c r="O7845" s="8" t="str">
        <f>HYPERLINK("https://drive.google.com/file/d/1BXJJJoXKCDswajq21pLqLjkxE_XNJJSU/view?usp=drivesdk","7844_FITRI LINA, AMK  _ SERTIFIKAT BerAKHLAK")</f>
        <v>7844_FITRI LINA, AMK  _ SERTIFIKAT BerAKHLAK</v>
      </c>
      <c r="P7845" s="5" t="s">
        <v>49594</v>
      </c>
    </row>
    <row r="7846">
      <c r="A7846" s="4">
        <v>45534.388742615745</v>
      </c>
      <c r="B7846" s="5" t="s">
        <v>34</v>
      </c>
      <c r="D7846" s="5" t="s">
        <v>1206</v>
      </c>
      <c r="E7846" s="5" t="s">
        <v>49595</v>
      </c>
      <c r="F7846" s="5" t="s">
        <v>199</v>
      </c>
      <c r="G7846" s="5" t="s">
        <v>49596</v>
      </c>
      <c r="H7846" s="6" t="s">
        <v>49597</v>
      </c>
      <c r="K7846" s="5" t="s">
        <v>49587</v>
      </c>
      <c r="M7846" s="5" t="s">
        <v>49598</v>
      </c>
      <c r="N7846" s="7" t="s">
        <v>49599</v>
      </c>
      <c r="O7846" s="8" t="str">
        <f>HYPERLINK("https://drive.google.com/file/d/1mMej4aksjeah0IXojBGDEkJDs6D6ysvN/view?usp=drivesdk","7845_INDAH SAFITRI _ SERTIFIKAT BerAKHLAK")</f>
        <v>7845_INDAH SAFITRI _ SERTIFIKAT BerAKHLAK</v>
      </c>
      <c r="P7846" s="5" t="s">
        <v>49594</v>
      </c>
    </row>
    <row r="7847">
      <c r="A7847" s="4">
        <v>45534.38876631945</v>
      </c>
      <c r="B7847" s="5" t="s">
        <v>34</v>
      </c>
      <c r="D7847" s="5" t="s">
        <v>1456</v>
      </c>
      <c r="E7847" s="5" t="s">
        <v>49600</v>
      </c>
      <c r="F7847" s="5" t="s">
        <v>37</v>
      </c>
      <c r="G7847" s="5" t="s">
        <v>49601</v>
      </c>
      <c r="H7847" s="6" t="s">
        <v>49602</v>
      </c>
      <c r="K7847" s="5" t="s">
        <v>49587</v>
      </c>
      <c r="M7847" s="5" t="s">
        <v>49603</v>
      </c>
      <c r="N7847" s="7" t="s">
        <v>49604</v>
      </c>
      <c r="O7847" s="8" t="str">
        <f>HYPERLINK("https://drive.google.com/file/d/1YCTUVS6xrQsd6ZQ5OTN6pqPTgcxE0Y9b/view?usp=drivesdk","7846_DESSI NATALIA, S.A.P. _ SERTIFIKAT BerAKHLAK")</f>
        <v>7846_DESSI NATALIA, S.A.P. _ SERTIFIKAT BerAKHLAK</v>
      </c>
      <c r="P7847" s="5" t="s">
        <v>49594</v>
      </c>
    </row>
    <row r="7848">
      <c r="A7848" s="4">
        <v>45534.38880086805</v>
      </c>
      <c r="B7848" s="5" t="s">
        <v>34</v>
      </c>
      <c r="D7848" s="5" t="s">
        <v>1206</v>
      </c>
      <c r="E7848" s="5" t="s">
        <v>38796</v>
      </c>
      <c r="F7848" s="5" t="s">
        <v>37</v>
      </c>
      <c r="G7848" s="5" t="s">
        <v>49605</v>
      </c>
      <c r="H7848" s="6" t="s">
        <v>49606</v>
      </c>
      <c r="K7848" s="5" t="s">
        <v>49607</v>
      </c>
      <c r="M7848" s="5" t="s">
        <v>49608</v>
      </c>
      <c r="N7848" s="7" t="s">
        <v>49609</v>
      </c>
      <c r="O7848" s="8" t="str">
        <f>HYPERLINK("https://drive.google.com/file/d/1JlTgsCKS5X3Vo7pY3UKmQX9Et027SKUi/view?usp=drivesdk","7847_SUNARNO _ SERTIFIKAT BerAKHLAK")</f>
        <v>7847_SUNARNO _ SERTIFIKAT BerAKHLAK</v>
      </c>
      <c r="P7848" s="5" t="s">
        <v>49594</v>
      </c>
    </row>
    <row r="7849" hidden="1">
      <c r="A7849" s="4">
        <v>45534.38884880787</v>
      </c>
      <c r="B7849" s="5" t="s">
        <v>19</v>
      </c>
      <c r="C7849" s="5" t="s">
        <v>3301</v>
      </c>
      <c r="E7849" s="5" t="s">
        <v>49610</v>
      </c>
      <c r="F7849" s="5" t="s">
        <v>108</v>
      </c>
      <c r="G7849" s="5" t="s">
        <v>49611</v>
      </c>
      <c r="H7849" s="6" t="s">
        <v>49612</v>
      </c>
      <c r="K7849" s="5" t="s">
        <v>49613</v>
      </c>
      <c r="M7849" s="5" t="s">
        <v>49614</v>
      </c>
      <c r="N7849" s="7" t="s">
        <v>49615</v>
      </c>
      <c r="O7849" s="8" t="str">
        <f>HYPERLINK("https://drive.google.com/file/d/1BZJfZCpIX2fBeXWKu73e-TRAZKMixLaN/view?usp=drivesdk","7848_apt. INAYATI, S. Farm _ SERTIFIKAT BerAKHLAK")</f>
        <v>7848_apt. INAYATI, S. Farm _ SERTIFIKAT BerAKHLAK</v>
      </c>
      <c r="P7849" s="5" t="s">
        <v>49594</v>
      </c>
    </row>
    <row r="7850">
      <c r="A7850" s="4">
        <v>45534.38888949074</v>
      </c>
      <c r="B7850" s="5" t="s">
        <v>34</v>
      </c>
      <c r="D7850" s="5" t="s">
        <v>9394</v>
      </c>
      <c r="E7850" s="5" t="s">
        <v>49616</v>
      </c>
      <c r="F7850" s="5" t="s">
        <v>524</v>
      </c>
      <c r="G7850" s="5" t="s">
        <v>49617</v>
      </c>
      <c r="H7850" s="6" t="s">
        <v>49618</v>
      </c>
      <c r="K7850" s="5" t="s">
        <v>49619</v>
      </c>
      <c r="M7850" s="5" t="s">
        <v>49620</v>
      </c>
      <c r="N7850" s="7" t="s">
        <v>49621</v>
      </c>
      <c r="O7850" s="8" t="str">
        <f>HYPERLINK("https://drive.google.com/file/d/1ypBZL1Qij1dLjZluVcMSiOvTXlOeq6qf/view?usp=drivesdk","7849_ALENG ADI CHANDRA,SKEP _ SERTIFIKAT BerAKHLAK")</f>
        <v>7849_ALENG ADI CHANDRA,SKEP _ SERTIFIKAT BerAKHLAK</v>
      </c>
      <c r="P7850" s="5" t="s">
        <v>49622</v>
      </c>
    </row>
    <row r="7851">
      <c r="A7851" s="4">
        <v>45534.3889009375</v>
      </c>
      <c r="B7851" s="5" t="s">
        <v>34</v>
      </c>
      <c r="D7851" s="5" t="s">
        <v>267</v>
      </c>
      <c r="E7851" s="5" t="s">
        <v>49623</v>
      </c>
      <c r="F7851" s="5" t="s">
        <v>212</v>
      </c>
      <c r="G7851" s="5" t="s">
        <v>49624</v>
      </c>
      <c r="H7851" s="6" t="s">
        <v>49625</v>
      </c>
      <c r="K7851" s="5" t="s">
        <v>49626</v>
      </c>
      <c r="M7851" s="5" t="s">
        <v>49627</v>
      </c>
      <c r="N7851" s="7" t="s">
        <v>49628</v>
      </c>
      <c r="O7851" s="8" t="str">
        <f>HYPERLINK("https://drive.google.com/file/d/1qb6zhvKtSXq514LO02Ra4W5hpQz8TrGN/view?usp=drivesdk","7850_AMBARWATI _ SERTIFIKAT BerAKHLAK")</f>
        <v>7850_AMBARWATI _ SERTIFIKAT BerAKHLAK</v>
      </c>
      <c r="P7851" s="5" t="s">
        <v>49622</v>
      </c>
    </row>
    <row r="7852">
      <c r="A7852" s="4">
        <v>45534.38893194444</v>
      </c>
      <c r="B7852" s="5" t="s">
        <v>34</v>
      </c>
      <c r="D7852" s="5" t="s">
        <v>1206</v>
      </c>
      <c r="E7852" s="5" t="s">
        <v>49629</v>
      </c>
      <c r="F7852" s="5" t="s">
        <v>375</v>
      </c>
      <c r="G7852" s="5" t="s">
        <v>49630</v>
      </c>
      <c r="H7852" s="6" t="s">
        <v>49631</v>
      </c>
      <c r="K7852" s="5" t="s">
        <v>49626</v>
      </c>
      <c r="M7852" s="5" t="s">
        <v>49632</v>
      </c>
      <c r="N7852" s="7" t="s">
        <v>49633</v>
      </c>
      <c r="O7852" s="8" t="str">
        <f>HYPERLINK("https://drive.google.com/file/d/1EEODjlaAlEB5HQu3Vtjixmv6cMdC3JJ8/view?usp=drivesdk","7851_SRI PURWANTI  _ SERTIFIKAT BerAKHLAK")</f>
        <v>7851_SRI PURWANTI  _ SERTIFIKAT BerAKHLAK</v>
      </c>
      <c r="P7852" s="5" t="s">
        <v>49622</v>
      </c>
    </row>
    <row r="7853">
      <c r="A7853" s="4">
        <v>45534.38893486111</v>
      </c>
      <c r="B7853" s="5" t="s">
        <v>34</v>
      </c>
      <c r="D7853" s="5" t="s">
        <v>1206</v>
      </c>
      <c r="E7853" s="5" t="s">
        <v>49634</v>
      </c>
      <c r="F7853" s="5" t="s">
        <v>212</v>
      </c>
      <c r="G7853" s="5" t="s">
        <v>49635</v>
      </c>
      <c r="H7853" s="6" t="s">
        <v>49636</v>
      </c>
      <c r="K7853" s="5" t="s">
        <v>49626</v>
      </c>
      <c r="M7853" s="5" t="s">
        <v>49637</v>
      </c>
      <c r="N7853" s="7" t="s">
        <v>49638</v>
      </c>
      <c r="O7853" s="8" t="str">
        <f>HYPERLINK("https://drive.google.com/file/d/1k6TLexnGXZvrtiPvbdvLokYbUAmQ4Nn5/view?usp=drivesdk","7852_SUDARMAJI  _ SERTIFIKAT BerAKHLAK")</f>
        <v>7852_SUDARMAJI  _ SERTIFIKAT BerAKHLAK</v>
      </c>
      <c r="P7853" s="5" t="s">
        <v>49639</v>
      </c>
    </row>
    <row r="7854">
      <c r="A7854" s="4">
        <v>45534.38899021991</v>
      </c>
      <c r="B7854" s="5" t="s">
        <v>34</v>
      </c>
      <c r="D7854" s="5" t="s">
        <v>1206</v>
      </c>
      <c r="E7854" s="5" t="s">
        <v>49640</v>
      </c>
      <c r="F7854" s="5" t="s">
        <v>37</v>
      </c>
      <c r="G7854" s="5" t="s">
        <v>49641</v>
      </c>
      <c r="H7854" s="6" t="s">
        <v>49642</v>
      </c>
      <c r="K7854" s="5" t="s">
        <v>49643</v>
      </c>
      <c r="M7854" s="5" t="s">
        <v>49644</v>
      </c>
      <c r="N7854" s="7" t="s">
        <v>49645</v>
      </c>
      <c r="O7854" s="8" t="str">
        <f>HYPERLINK("https://drive.google.com/file/d/1ix-KyQt640u8t55RsfqMxDPSUBOB21fv/view?usp=drivesdk","7853_MOHAMAD MALIK _ SERTIFIKAT BerAKHLAK")</f>
        <v>7853_MOHAMAD MALIK _ SERTIFIKAT BerAKHLAK</v>
      </c>
      <c r="P7854" s="5" t="s">
        <v>49639</v>
      </c>
    </row>
    <row r="7855">
      <c r="A7855" s="4">
        <v>45534.38902180556</v>
      </c>
      <c r="B7855" s="5" t="s">
        <v>34</v>
      </c>
      <c r="D7855" s="5" t="s">
        <v>1558</v>
      </c>
      <c r="E7855" s="5" t="s">
        <v>49646</v>
      </c>
      <c r="F7855" s="5" t="s">
        <v>212</v>
      </c>
      <c r="G7855" s="5" t="s">
        <v>49647</v>
      </c>
      <c r="H7855" s="6" t="s">
        <v>49648</v>
      </c>
      <c r="K7855" s="5" t="s">
        <v>49649</v>
      </c>
      <c r="M7855" s="5" t="s">
        <v>49650</v>
      </c>
      <c r="N7855" s="7" t="s">
        <v>49651</v>
      </c>
      <c r="O7855" s="8" t="str">
        <f>HYPERLINK("https://drive.google.com/file/d/1T--gfA1rhC9zt39TyntyHC6kNd7qkXBJ/view?usp=drivesdk","7854_Eko Adi Sampurno S.sos _ SERTIFIKAT BerAKHLAK")</f>
        <v>7854_Eko Adi Sampurno S.sos _ SERTIFIKAT BerAKHLAK</v>
      </c>
      <c r="P7855" s="5" t="s">
        <v>49652</v>
      </c>
    </row>
    <row r="7856" hidden="1">
      <c r="A7856" s="4">
        <v>45534.38904112269</v>
      </c>
      <c r="B7856" s="5" t="s">
        <v>19</v>
      </c>
      <c r="C7856" s="5" t="s">
        <v>45988</v>
      </c>
      <c r="E7856" s="5" t="s">
        <v>49653</v>
      </c>
      <c r="F7856" s="5" t="s">
        <v>375</v>
      </c>
      <c r="G7856" s="5" t="s">
        <v>49654</v>
      </c>
      <c r="H7856" s="6" t="s">
        <v>49655</v>
      </c>
      <c r="K7856" s="5" t="s">
        <v>49649</v>
      </c>
      <c r="M7856" s="5" t="s">
        <v>49656</v>
      </c>
      <c r="N7856" s="7" t="s">
        <v>49657</v>
      </c>
      <c r="O7856" s="8" t="str">
        <f>HYPERLINK("https://drive.google.com/file/d/17YEexEuJefjTFYDbPMNbl6J3XciRdyxl/view?usp=drivesdk","7855_AGUSTINI EKAWATI, S.E _ SERTIFIKAT BerAKHLAK")</f>
        <v>7855_AGUSTINI EKAWATI, S.E _ SERTIFIKAT BerAKHLAK</v>
      </c>
      <c r="P7856" s="5" t="s">
        <v>49652</v>
      </c>
    </row>
    <row r="7857">
      <c r="A7857" s="4">
        <v>45534.389046909724</v>
      </c>
      <c r="B7857" s="5" t="s">
        <v>34</v>
      </c>
      <c r="D7857" s="5" t="s">
        <v>580</v>
      </c>
      <c r="E7857" s="5" t="s">
        <v>49658</v>
      </c>
      <c r="F7857" s="5" t="s">
        <v>108</v>
      </c>
      <c r="G7857" s="5" t="s">
        <v>49659</v>
      </c>
      <c r="H7857" s="6" t="s">
        <v>49660</v>
      </c>
      <c r="K7857" s="5" t="s">
        <v>49661</v>
      </c>
      <c r="M7857" s="5" t="s">
        <v>49662</v>
      </c>
      <c r="N7857" s="7" t="s">
        <v>49663</v>
      </c>
      <c r="O7857" s="8" t="str">
        <f>HYPERLINK("https://drive.google.com/file/d/1YtDTX2xfyPPE2rhuTT3fVnzmw7txwiLZ/view?usp=drivesdk","7856_ANAK AGUNG EPA DEWI _ SERTIFIKAT BerAKHLAK")</f>
        <v>7856_ANAK AGUNG EPA DEWI _ SERTIFIKAT BerAKHLAK</v>
      </c>
      <c r="P7857" s="5" t="s">
        <v>49652</v>
      </c>
    </row>
    <row r="7858">
      <c r="A7858" s="4">
        <v>45534.38906179398</v>
      </c>
      <c r="B7858" s="5" t="s">
        <v>34</v>
      </c>
      <c r="D7858" s="5" t="s">
        <v>1558</v>
      </c>
      <c r="E7858" s="5" t="s">
        <v>49036</v>
      </c>
      <c r="F7858" s="5" t="s">
        <v>37</v>
      </c>
      <c r="G7858" s="5" t="s">
        <v>49664</v>
      </c>
      <c r="H7858" s="6" t="s">
        <v>49665</v>
      </c>
      <c r="K7858" s="5" t="s">
        <v>49661</v>
      </c>
      <c r="M7858" s="5" t="s">
        <v>49666</v>
      </c>
      <c r="N7858" s="7" t="s">
        <v>49667</v>
      </c>
      <c r="O7858" s="8" t="str">
        <f>HYPERLINK("https://drive.google.com/file/d/1_hUWH-bU9azrQW2alz0nr3mcA4uYy0Ln/view?usp=drivesdk","7857_YULIANTO _ SERTIFIKAT BerAKHLAK")</f>
        <v>7857_YULIANTO _ SERTIFIKAT BerAKHLAK</v>
      </c>
      <c r="P7858" s="5" t="s">
        <v>49652</v>
      </c>
    </row>
    <row r="7859" hidden="1">
      <c r="A7859" s="4">
        <v>45534.38918359954</v>
      </c>
      <c r="B7859" s="5" t="s">
        <v>19</v>
      </c>
      <c r="C7859" s="5" t="s">
        <v>11593</v>
      </c>
      <c r="E7859" s="5" t="s">
        <v>49668</v>
      </c>
      <c r="F7859" s="5" t="s">
        <v>108</v>
      </c>
      <c r="G7859" s="5" t="s">
        <v>49669</v>
      </c>
      <c r="H7859" s="6" t="s">
        <v>49670</v>
      </c>
      <c r="K7859" s="5" t="s">
        <v>49671</v>
      </c>
      <c r="M7859" s="5" t="s">
        <v>49672</v>
      </c>
      <c r="N7859" s="7" t="s">
        <v>49673</v>
      </c>
      <c r="O7859" s="8" t="str">
        <f>HYPERLINK("https://drive.google.com/file/d/1oh3qQvnQm32v_p7Vh7LXQVIViUZy4eEx/view?usp=drivesdk","7858_MULYA ASTUTI, S. Keb _ SERTIFIKAT BerAKHLAK")</f>
        <v>7858_MULYA ASTUTI, S. Keb _ SERTIFIKAT BerAKHLAK</v>
      </c>
      <c r="P7859" s="5" t="s">
        <v>49674</v>
      </c>
    </row>
    <row r="7860">
      <c r="A7860" s="4">
        <v>45534.38918513889</v>
      </c>
      <c r="B7860" s="5" t="s">
        <v>34</v>
      </c>
      <c r="D7860" s="5" t="s">
        <v>4775</v>
      </c>
      <c r="E7860" s="5" t="s">
        <v>49675</v>
      </c>
      <c r="F7860" s="5" t="s">
        <v>524</v>
      </c>
      <c r="G7860" s="5" t="s">
        <v>49676</v>
      </c>
      <c r="H7860" s="6" t="s">
        <v>49677</v>
      </c>
      <c r="K7860" s="5" t="s">
        <v>49671</v>
      </c>
      <c r="M7860" s="5" t="s">
        <v>49678</v>
      </c>
      <c r="N7860" s="7" t="s">
        <v>49679</v>
      </c>
      <c r="O7860" s="8" t="str">
        <f>HYPERLINK("https://drive.google.com/file/d/1ufXFXX60Jp7y00PwEalvQs43u1KQaGgq/view?usp=drivesdk","7859_FEBRI HARI WAHYUDI,SKM.,SKEP _ SERTIFIKAT BerAKHLAK")</f>
        <v>7859_FEBRI HARI WAHYUDI,SKM.,SKEP _ SERTIFIKAT BerAKHLAK</v>
      </c>
      <c r="P7860" s="5" t="s">
        <v>49674</v>
      </c>
    </row>
    <row r="7861">
      <c r="A7861" s="4">
        <v>45534.389186817134</v>
      </c>
      <c r="B7861" s="5" t="s">
        <v>34</v>
      </c>
      <c r="D7861" s="5" t="s">
        <v>35</v>
      </c>
      <c r="E7861" s="5" t="s">
        <v>49680</v>
      </c>
      <c r="F7861" s="5" t="s">
        <v>108</v>
      </c>
      <c r="G7861" s="5" t="s">
        <v>49681</v>
      </c>
      <c r="H7861" s="6" t="s">
        <v>49682</v>
      </c>
      <c r="K7861" s="5" t="s">
        <v>49671</v>
      </c>
      <c r="M7861" s="5" t="s">
        <v>49683</v>
      </c>
      <c r="N7861" s="7" t="s">
        <v>49684</v>
      </c>
      <c r="O7861" s="8" t="str">
        <f>HYPERLINK("https://drive.google.com/file/d/1I4vbY_vWEKf5e8fs6Ju2QcYMyVuhTLFE/view?usp=drivesdk","7860_ANDRI LUKMAN MARA _ SERTIFIKAT BerAKHLAK")</f>
        <v>7860_ANDRI LUKMAN MARA _ SERTIFIKAT BerAKHLAK</v>
      </c>
      <c r="P7861" s="5" t="s">
        <v>49674</v>
      </c>
    </row>
    <row r="7862">
      <c r="A7862" s="4">
        <v>45534.389189375</v>
      </c>
      <c r="B7862" s="5" t="s">
        <v>34</v>
      </c>
      <c r="D7862" s="5" t="s">
        <v>12978</v>
      </c>
      <c r="E7862" s="5" t="s">
        <v>49685</v>
      </c>
      <c r="F7862" s="5" t="s">
        <v>72</v>
      </c>
      <c r="G7862" s="5" t="s">
        <v>49686</v>
      </c>
      <c r="H7862" s="6" t="s">
        <v>49687</v>
      </c>
      <c r="K7862" s="5" t="s">
        <v>49671</v>
      </c>
      <c r="M7862" s="5" t="s">
        <v>49688</v>
      </c>
      <c r="N7862" s="7" t="s">
        <v>49689</v>
      </c>
      <c r="O7862" s="8" t="str">
        <f>HYPERLINK("https://drive.google.com/file/d/14T_nMC_k4S_0pwMAojRJH8ISpo0u3qoj/view?usp=drivesdk","7861_SUHAILI  _ SERTIFIKAT BerAKHLAK")</f>
        <v>7861_SUHAILI  _ SERTIFIKAT BerAKHLAK</v>
      </c>
      <c r="P7862" s="5" t="s">
        <v>49674</v>
      </c>
    </row>
    <row r="7863" hidden="1">
      <c r="A7863" s="4">
        <v>45534.38919307871</v>
      </c>
      <c r="B7863" s="5" t="s">
        <v>19</v>
      </c>
      <c r="C7863" s="5" t="s">
        <v>5058</v>
      </c>
      <c r="E7863" s="5" t="s">
        <v>49690</v>
      </c>
      <c r="F7863" s="5" t="s">
        <v>524</v>
      </c>
      <c r="G7863" s="5" t="s">
        <v>49691</v>
      </c>
      <c r="H7863" s="6" t="s">
        <v>49692</v>
      </c>
      <c r="K7863" s="5" t="s">
        <v>49671</v>
      </c>
      <c r="M7863" s="5" t="s">
        <v>49693</v>
      </c>
      <c r="N7863" s="7" t="s">
        <v>49694</v>
      </c>
      <c r="O7863" s="8" t="str">
        <f>HYPERLINK("https://drive.google.com/file/d/1v3jkSqjZjNHtKydocrAx0Tm41neqt4XY/view?usp=drivesdk","7862_KHOLID NAWAWI _ SERTIFIKAT BerAKHLAK")</f>
        <v>7862_KHOLID NAWAWI _ SERTIFIKAT BerAKHLAK</v>
      </c>
      <c r="P7863" s="5" t="s">
        <v>49674</v>
      </c>
    </row>
    <row r="7864">
      <c r="A7864" s="4">
        <v>45534.389193807874</v>
      </c>
      <c r="B7864" s="5" t="s">
        <v>34</v>
      </c>
      <c r="D7864" s="5" t="s">
        <v>1558</v>
      </c>
      <c r="E7864" s="5" t="s">
        <v>49695</v>
      </c>
      <c r="F7864" s="5" t="s">
        <v>72</v>
      </c>
      <c r="G7864" s="5" t="s">
        <v>49696</v>
      </c>
      <c r="H7864" s="6" t="s">
        <v>49697</v>
      </c>
      <c r="K7864" s="5" t="s">
        <v>49671</v>
      </c>
      <c r="M7864" s="5" t="s">
        <v>49698</v>
      </c>
      <c r="N7864" s="7" t="s">
        <v>49699</v>
      </c>
      <c r="O7864" s="8" t="str">
        <f>HYPERLINK("https://drive.google.com/file/d/1f3WK9dL_j_7HTzCZNuvjcgBPW1lE1_qq/view?usp=drivesdk","7863_DIANA INDAH SARI _ SERTIFIKAT BerAKHLAK")</f>
        <v>7863_DIANA INDAH SARI _ SERTIFIKAT BerAKHLAK</v>
      </c>
      <c r="P7864" s="5" t="s">
        <v>49700</v>
      </c>
    </row>
    <row r="7865" hidden="1">
      <c r="A7865" s="4">
        <v>45534.389195185184</v>
      </c>
      <c r="B7865" s="5" t="s">
        <v>19</v>
      </c>
      <c r="C7865" s="5" t="s">
        <v>1606</v>
      </c>
      <c r="E7865" s="5" t="s">
        <v>49701</v>
      </c>
      <c r="F7865" s="5" t="s">
        <v>375</v>
      </c>
      <c r="G7865" s="5" t="s">
        <v>49702</v>
      </c>
      <c r="H7865" s="6" t="s">
        <v>49703</v>
      </c>
      <c r="K7865" s="5" t="s">
        <v>49671</v>
      </c>
      <c r="M7865" s="5" t="s">
        <v>49704</v>
      </c>
      <c r="N7865" s="7" t="s">
        <v>49705</v>
      </c>
      <c r="O7865" s="8" t="str">
        <f>HYPERLINK("https://drive.google.com/file/d/11jcX_mAA8aneiziUYvpgXlgrD11qwNcx/view?usp=drivesdk","7864_HENY KUSMAYAWATI, S.H. _ SERTIFIKAT BerAKHLAK")</f>
        <v>7864_HENY KUSMAYAWATI, S.H. _ SERTIFIKAT BerAKHLAK</v>
      </c>
      <c r="P7865" s="5" t="s">
        <v>49700</v>
      </c>
    </row>
    <row r="7866">
      <c r="A7866" s="4">
        <v>45534.38919619213</v>
      </c>
      <c r="B7866" s="5" t="s">
        <v>34</v>
      </c>
      <c r="D7866" s="5" t="s">
        <v>701</v>
      </c>
      <c r="E7866" s="5" t="s">
        <v>49706</v>
      </c>
      <c r="F7866" s="5" t="s">
        <v>212</v>
      </c>
      <c r="G7866" s="5" t="s">
        <v>49707</v>
      </c>
      <c r="H7866" s="6" t="s">
        <v>49708</v>
      </c>
      <c r="K7866" s="5" t="s">
        <v>49671</v>
      </c>
      <c r="M7866" s="5" t="s">
        <v>49709</v>
      </c>
      <c r="N7866" s="7" t="s">
        <v>49710</v>
      </c>
      <c r="O7866" s="8" t="str">
        <f>HYPERLINK("https://drive.google.com/file/d/1dvBRbWPjgLtAtLFz6U-wuSV5bg3gV_4d/view?usp=drivesdk","7865_ROSTINA RITONGA _ SERTIFIKAT BerAKHLAK")</f>
        <v>7865_ROSTINA RITONGA _ SERTIFIKAT BerAKHLAK</v>
      </c>
      <c r="P7866" s="5" t="s">
        <v>49700</v>
      </c>
    </row>
    <row r="7867">
      <c r="A7867" s="4">
        <v>45534.389216006944</v>
      </c>
      <c r="B7867" s="5" t="s">
        <v>34</v>
      </c>
      <c r="D7867" s="5" t="s">
        <v>9020</v>
      </c>
      <c r="E7867" s="5" t="s">
        <v>49711</v>
      </c>
      <c r="F7867" s="5" t="s">
        <v>524</v>
      </c>
      <c r="G7867" s="5" t="s">
        <v>49712</v>
      </c>
      <c r="H7867" s="6" t="s">
        <v>49713</v>
      </c>
      <c r="K7867" s="5" t="s">
        <v>49714</v>
      </c>
      <c r="M7867" s="5" t="s">
        <v>49715</v>
      </c>
      <c r="N7867" s="7" t="s">
        <v>49716</v>
      </c>
      <c r="O7867" s="8" t="str">
        <f>HYPERLINK("https://drive.google.com/file/d/1DS6Tjxoc2d0QObYoFONwVVHhTuDEMG0b/view?usp=drivesdk","7866_ANITA SRI WAHYUNI DAULAY, S.E _ SERTIFIKAT BerAKHLAK")</f>
        <v>7866_ANITA SRI WAHYUNI DAULAY, S.E _ SERTIFIKAT BerAKHLAK</v>
      </c>
      <c r="P7867" s="5" t="s">
        <v>49700</v>
      </c>
    </row>
    <row r="7868" hidden="1">
      <c r="A7868" s="4">
        <v>45534.389232789355</v>
      </c>
      <c r="B7868" s="5" t="s">
        <v>19</v>
      </c>
      <c r="C7868" s="5" t="s">
        <v>292</v>
      </c>
      <c r="E7868" s="5" t="s">
        <v>31832</v>
      </c>
      <c r="F7868" s="5" t="s">
        <v>72</v>
      </c>
      <c r="G7868" s="5" t="s">
        <v>49717</v>
      </c>
      <c r="H7868" s="6" t="s">
        <v>49718</v>
      </c>
      <c r="K7868" s="5" t="s">
        <v>49719</v>
      </c>
      <c r="M7868" s="5" t="s">
        <v>49720</v>
      </c>
      <c r="N7868" s="7" t="s">
        <v>49721</v>
      </c>
      <c r="O7868" s="8" t="str">
        <f>HYPERLINK("https://drive.google.com/file/d/1mYC-CIYey19s7LtHQ8o70h8G0rqTeoRd/view?usp=drivesdk","7867_SRI ASTUTI _ SERTIFIKAT BerAKHLAK")</f>
        <v>7867_SRI ASTUTI _ SERTIFIKAT BerAKHLAK</v>
      </c>
      <c r="P7868" s="5" t="s">
        <v>49722</v>
      </c>
    </row>
    <row r="7869">
      <c r="A7869" s="4">
        <v>45534.38923324074</v>
      </c>
      <c r="B7869" s="5" t="s">
        <v>34</v>
      </c>
      <c r="D7869" s="5" t="s">
        <v>35</v>
      </c>
      <c r="E7869" s="5" t="s">
        <v>49723</v>
      </c>
      <c r="F7869" s="5" t="s">
        <v>37</v>
      </c>
      <c r="G7869" s="5" t="s">
        <v>49724</v>
      </c>
      <c r="H7869" s="6" t="s">
        <v>49725</v>
      </c>
      <c r="K7869" s="5" t="s">
        <v>49719</v>
      </c>
      <c r="M7869" s="5" t="s">
        <v>49726</v>
      </c>
      <c r="N7869" s="7" t="s">
        <v>49727</v>
      </c>
      <c r="O7869" s="8" t="str">
        <f>HYPERLINK("https://drive.google.com/file/d/1ouzshUZtUoBug_P9B--HmNYEmshPSu_T/view?usp=drivesdk","7868_HENI MAILASARI, A. Md.  _ SERTIFIKAT BerAKHLAK")</f>
        <v>7868_HENI MAILASARI, A. Md.  _ SERTIFIKAT BerAKHLAK</v>
      </c>
      <c r="P7869" s="5" t="s">
        <v>49722</v>
      </c>
    </row>
    <row r="7870">
      <c r="A7870" s="4">
        <v>45534.3892350463</v>
      </c>
      <c r="B7870" s="5" t="s">
        <v>34</v>
      </c>
      <c r="D7870" s="5" t="s">
        <v>9394</v>
      </c>
      <c r="E7870" s="5" t="s">
        <v>49728</v>
      </c>
      <c r="F7870" s="5" t="s">
        <v>37</v>
      </c>
      <c r="G7870" s="5" t="s">
        <v>49729</v>
      </c>
      <c r="H7870" s="6" t="s">
        <v>49730</v>
      </c>
      <c r="K7870" s="5" t="s">
        <v>49719</v>
      </c>
      <c r="M7870" s="5" t="s">
        <v>49731</v>
      </c>
      <c r="N7870" s="7" t="s">
        <v>49732</v>
      </c>
      <c r="O7870" s="8" t="str">
        <f>HYPERLINK("https://drive.google.com/file/d/1wwhVIFw8XITpdeFUMILidA2jk5VCvugu/view?usp=drivesdk","7869_SAFWAN ROZAN, S. H _ SERTIFIKAT BerAKHLAK")</f>
        <v>7869_SAFWAN ROZAN, S. H _ SERTIFIKAT BerAKHLAK</v>
      </c>
      <c r="P7870" s="5" t="s">
        <v>49722</v>
      </c>
    </row>
    <row r="7871">
      <c r="A7871" s="4">
        <v>45534.389238715274</v>
      </c>
      <c r="B7871" s="5" t="s">
        <v>34</v>
      </c>
      <c r="D7871" s="5" t="s">
        <v>3432</v>
      </c>
      <c r="E7871" s="5" t="s">
        <v>49733</v>
      </c>
      <c r="F7871" s="5" t="s">
        <v>524</v>
      </c>
      <c r="G7871" s="5" t="s">
        <v>49734</v>
      </c>
      <c r="H7871" s="6" t="s">
        <v>49735</v>
      </c>
      <c r="K7871" s="5" t="s">
        <v>49719</v>
      </c>
      <c r="M7871" s="5" t="s">
        <v>49736</v>
      </c>
      <c r="N7871" s="7" t="s">
        <v>49737</v>
      </c>
      <c r="O7871" s="8" t="str">
        <f>HYPERLINK("https://drive.google.com/file/d/18YL6JDNDoeFdpu7GdFBStoR7HHFU8smw/view?usp=drivesdk","7870_MORINA LADJINTA _ SERTIFIKAT BerAKHLAK")</f>
        <v>7870_MORINA LADJINTA _ SERTIFIKAT BerAKHLAK</v>
      </c>
      <c r="P7871" s="5" t="s">
        <v>49722</v>
      </c>
    </row>
    <row r="7872">
      <c r="A7872" s="4">
        <v>45534.389245</v>
      </c>
      <c r="B7872" s="5" t="s">
        <v>34</v>
      </c>
      <c r="D7872" s="5" t="s">
        <v>701</v>
      </c>
      <c r="E7872" s="5" t="s">
        <v>49738</v>
      </c>
      <c r="F7872" s="5" t="s">
        <v>22</v>
      </c>
      <c r="G7872" s="5" t="s">
        <v>49739</v>
      </c>
      <c r="H7872" s="6" t="s">
        <v>49740</v>
      </c>
      <c r="K7872" s="5" t="s">
        <v>49719</v>
      </c>
      <c r="M7872" s="5" t="s">
        <v>49741</v>
      </c>
      <c r="N7872" s="7" t="s">
        <v>49742</v>
      </c>
      <c r="O7872" s="8" t="str">
        <f>HYPERLINK("https://drive.google.com/file/d/196tWRq0uCHUKGqbo_FwaYQAidAIL_yhr/view?usp=drivesdk","7871_ELFIAS LINDA _ SERTIFIKAT BerAKHLAK")</f>
        <v>7871_ELFIAS LINDA _ SERTIFIKAT BerAKHLAK</v>
      </c>
      <c r="P7872" s="5" t="s">
        <v>49722</v>
      </c>
    </row>
    <row r="7873">
      <c r="A7873" s="4">
        <v>45534.38924971065</v>
      </c>
      <c r="B7873" s="5" t="s">
        <v>34</v>
      </c>
      <c r="D7873" s="5" t="s">
        <v>701</v>
      </c>
      <c r="E7873" s="5" t="s">
        <v>49743</v>
      </c>
      <c r="F7873" s="5" t="s">
        <v>72</v>
      </c>
      <c r="G7873" s="5" t="s">
        <v>49744</v>
      </c>
      <c r="H7873" s="6" t="s">
        <v>49745</v>
      </c>
      <c r="K7873" s="5" t="s">
        <v>49719</v>
      </c>
      <c r="M7873" s="5" t="s">
        <v>49746</v>
      </c>
      <c r="N7873" s="7" t="s">
        <v>49747</v>
      </c>
      <c r="O7873" s="8" t="str">
        <f>HYPERLINK("https://drive.google.com/file/d/1d9vaSqTw0PccIqnGa-ZyIMhCUFcbBXyF/view?usp=drivesdk","7872_MASDALENA _ SERTIFIKAT BerAKHLAK")</f>
        <v>7872_MASDALENA _ SERTIFIKAT BerAKHLAK</v>
      </c>
      <c r="P7873" s="5" t="s">
        <v>49748</v>
      </c>
    </row>
    <row r="7874" hidden="1">
      <c r="A7874" s="4">
        <v>45534.389249768516</v>
      </c>
      <c r="B7874" s="5" t="s">
        <v>19</v>
      </c>
      <c r="C7874" s="5" t="s">
        <v>5058</v>
      </c>
      <c r="E7874" s="5" t="s">
        <v>49749</v>
      </c>
      <c r="F7874" s="5" t="s">
        <v>37</v>
      </c>
      <c r="G7874" s="5" t="s">
        <v>49750</v>
      </c>
      <c r="H7874" s="6" t="s">
        <v>49751</v>
      </c>
      <c r="K7874" s="5" t="s">
        <v>49719</v>
      </c>
      <c r="M7874" s="5" t="s">
        <v>49752</v>
      </c>
      <c r="N7874" s="7" t="s">
        <v>49753</v>
      </c>
      <c r="O7874" s="8" t="str">
        <f>HYPERLINK("https://drive.google.com/file/d/1JsCiD80ajL3gwEocfV9E06m6XSLKR65y/view?usp=drivesdk","7873_MAZMUR NOVERICH BATUARA,A.MD.KB.N. _ SERTIFIKAT BerAKHLAK")</f>
        <v>7873_MAZMUR NOVERICH BATUARA,A.MD.KB.N. _ SERTIFIKAT BerAKHLAK</v>
      </c>
      <c r="P7874" s="5" t="s">
        <v>49754</v>
      </c>
    </row>
    <row r="7875">
      <c r="A7875" s="4">
        <v>45534.38925881944</v>
      </c>
      <c r="B7875" s="5" t="s">
        <v>34</v>
      </c>
      <c r="D7875" s="5" t="s">
        <v>9394</v>
      </c>
      <c r="E7875" s="5" t="s">
        <v>49755</v>
      </c>
      <c r="F7875" s="5" t="s">
        <v>72</v>
      </c>
      <c r="G7875" s="5" t="s">
        <v>49756</v>
      </c>
      <c r="H7875" s="6" t="s">
        <v>49757</v>
      </c>
      <c r="K7875" s="5" t="s">
        <v>49719</v>
      </c>
      <c r="M7875" s="5" t="s">
        <v>49758</v>
      </c>
      <c r="N7875" s="7" t="s">
        <v>49759</v>
      </c>
      <c r="O7875" s="8" t="str">
        <f>HYPERLINK("https://drive.google.com/file/d/1ST3A6CElksJyLN7lLzne-B3JCSbhUV6H/view?usp=drivesdk","7874_IRMAYULIS _ SERTIFIKAT BerAKHLAK")</f>
        <v>7874_IRMAYULIS _ SERTIFIKAT BerAKHLAK</v>
      </c>
      <c r="P7875" s="5" t="s">
        <v>49754</v>
      </c>
    </row>
    <row r="7876">
      <c r="A7876" s="4">
        <v>45534.38926599537</v>
      </c>
      <c r="B7876" s="5" t="s">
        <v>34</v>
      </c>
      <c r="D7876" s="5" t="s">
        <v>1558</v>
      </c>
      <c r="E7876" s="5" t="s">
        <v>49760</v>
      </c>
      <c r="F7876" s="5" t="s">
        <v>108</v>
      </c>
      <c r="G7876" s="5" t="s">
        <v>49761</v>
      </c>
      <c r="H7876" s="6" t="s">
        <v>49762</v>
      </c>
      <c r="K7876" s="5" t="s">
        <v>49763</v>
      </c>
      <c r="M7876" s="5" t="s">
        <v>49764</v>
      </c>
      <c r="N7876" s="7" t="s">
        <v>49765</v>
      </c>
      <c r="O7876" s="8" t="str">
        <f>HYPERLINK("https://drive.google.com/file/d/1i1yGX4ebIesOna7Hy6u1x_dP44Gr77Sm/view?usp=drivesdk","7875_PARTINI _ SERTIFIKAT BerAKHLAK")</f>
        <v>7875_PARTINI _ SERTIFIKAT BerAKHLAK</v>
      </c>
      <c r="P7876" s="5" t="s">
        <v>49754</v>
      </c>
    </row>
    <row r="7877">
      <c r="A7877" s="4">
        <v>45534.389291099535</v>
      </c>
      <c r="B7877" s="5" t="s">
        <v>34</v>
      </c>
      <c r="D7877" s="5" t="s">
        <v>1558</v>
      </c>
      <c r="E7877" s="5" t="s">
        <v>49766</v>
      </c>
      <c r="F7877" s="5" t="s">
        <v>108</v>
      </c>
      <c r="G7877" s="5" t="s">
        <v>49767</v>
      </c>
      <c r="H7877" s="6" t="s">
        <v>49768</v>
      </c>
      <c r="K7877" s="5" t="s">
        <v>49763</v>
      </c>
      <c r="M7877" s="5" t="s">
        <v>49769</v>
      </c>
      <c r="N7877" s="7" t="s">
        <v>49770</v>
      </c>
      <c r="O7877" s="8" t="str">
        <f>HYPERLINK("https://drive.google.com/file/d/1rcGkYp_LykmqgnZQV2DWAvZJ7hNQPO1f/view?usp=drivesdk","7876_SRI SETIANINGSIH _ SERTIFIKAT BerAKHLAK")</f>
        <v>7876_SRI SETIANINGSIH _ SERTIFIKAT BerAKHLAK</v>
      </c>
      <c r="P7877" s="5" t="s">
        <v>49754</v>
      </c>
    </row>
    <row r="7878">
      <c r="A7878" s="4">
        <v>45534.38929680556</v>
      </c>
      <c r="B7878" s="5" t="s">
        <v>34</v>
      </c>
      <c r="D7878" s="5" t="s">
        <v>701</v>
      </c>
      <c r="E7878" s="5" t="s">
        <v>49771</v>
      </c>
      <c r="F7878" s="5" t="s">
        <v>212</v>
      </c>
      <c r="G7878" s="5" t="s">
        <v>49772</v>
      </c>
      <c r="H7878" s="6" t="s">
        <v>49773</v>
      </c>
      <c r="K7878" s="5" t="s">
        <v>49763</v>
      </c>
      <c r="M7878" s="5" t="s">
        <v>49774</v>
      </c>
      <c r="N7878" s="7" t="s">
        <v>49775</v>
      </c>
      <c r="O7878" s="8" t="str">
        <f>HYPERLINK("https://drive.google.com/file/d/1fIotsDk0T7FaUGdZdXcNr_Kl8DSwCRfz/view?usp=drivesdk","7877_SUSRIDAYENI _ SERTIFIKAT BerAKHLAK")</f>
        <v>7877_SUSRIDAYENI _ SERTIFIKAT BerAKHLAK</v>
      </c>
      <c r="P7878" s="5" t="s">
        <v>49776</v>
      </c>
    </row>
    <row r="7879">
      <c r="A7879" s="4">
        <v>45534.38931576389</v>
      </c>
      <c r="B7879" s="5" t="s">
        <v>34</v>
      </c>
      <c r="D7879" s="5" t="s">
        <v>4775</v>
      </c>
      <c r="E7879" s="5" t="s">
        <v>49777</v>
      </c>
      <c r="F7879" s="5" t="s">
        <v>212</v>
      </c>
      <c r="G7879" s="5" t="s">
        <v>49778</v>
      </c>
      <c r="H7879" s="6" t="s">
        <v>49779</v>
      </c>
      <c r="K7879" s="5" t="s">
        <v>49780</v>
      </c>
      <c r="M7879" s="5" t="s">
        <v>49781</v>
      </c>
      <c r="N7879" s="7" t="s">
        <v>49782</v>
      </c>
      <c r="O7879" s="8" t="str">
        <f>HYPERLINK("https://drive.google.com/file/d/1uFA1ajK9aZ095LNq-dQUJI7u2vbDVNGr/view?usp=drivesdk","7878_NANANG DWI MARTOPO  _ SERTIFIKAT BerAKHLAK")</f>
        <v>7878_NANANG DWI MARTOPO  _ SERTIFIKAT BerAKHLAK</v>
      </c>
      <c r="P7879" s="5" t="s">
        <v>49783</v>
      </c>
    </row>
    <row r="7880">
      <c r="A7880" s="4">
        <v>45534.38938486111</v>
      </c>
      <c r="B7880" s="5" t="s">
        <v>34</v>
      </c>
      <c r="D7880" s="5" t="s">
        <v>1206</v>
      </c>
      <c r="E7880" s="5" t="s">
        <v>49784</v>
      </c>
      <c r="F7880" s="5" t="s">
        <v>37</v>
      </c>
      <c r="G7880" s="5" t="s">
        <v>49785</v>
      </c>
      <c r="H7880" s="6" t="s">
        <v>49786</v>
      </c>
      <c r="K7880" s="5" t="s">
        <v>49787</v>
      </c>
      <c r="M7880" s="5" t="s">
        <v>49788</v>
      </c>
      <c r="N7880" s="7" t="s">
        <v>49789</v>
      </c>
      <c r="O7880" s="8" t="str">
        <f>HYPERLINK("https://drive.google.com/file/d/1FwR9UrdkFZQV3W5WzhVcl9ZbSLqrnGFM/view?usp=drivesdk","7879_YULIA ARMAYANTI, S.Pd _ SERTIFIKAT BerAKHLAK")</f>
        <v>7879_YULIA ARMAYANTI, S.Pd _ SERTIFIKAT BerAKHLAK</v>
      </c>
      <c r="P7880" s="5" t="s">
        <v>49783</v>
      </c>
    </row>
    <row r="7881">
      <c r="A7881" s="4">
        <v>45534.38938597222</v>
      </c>
      <c r="B7881" s="5" t="s">
        <v>34</v>
      </c>
      <c r="D7881" s="5" t="s">
        <v>1456</v>
      </c>
      <c r="E7881" s="5" t="s">
        <v>49790</v>
      </c>
      <c r="F7881" s="5" t="s">
        <v>212</v>
      </c>
      <c r="G7881" s="5" t="s">
        <v>49791</v>
      </c>
      <c r="H7881" s="6" t="s">
        <v>49792</v>
      </c>
      <c r="K7881" s="5" t="s">
        <v>49787</v>
      </c>
      <c r="M7881" s="5" t="s">
        <v>49793</v>
      </c>
      <c r="N7881" s="7" t="s">
        <v>49794</v>
      </c>
      <c r="O7881" s="8" t="str">
        <f>HYPERLINK("https://drive.google.com/file/d/1JEkg_FSmXM9FTK6GsyEiUSB13sm6YTiy/view?usp=drivesdk","7880_RATIH SOFINI, A.md _ SERTIFIKAT BerAKHLAK")</f>
        <v>7880_RATIH SOFINI, A.md _ SERTIFIKAT BerAKHLAK</v>
      </c>
      <c r="P7881" s="5" t="s">
        <v>49795</v>
      </c>
    </row>
    <row r="7882">
      <c r="A7882" s="4">
        <v>45534.389386932875</v>
      </c>
      <c r="B7882" s="5" t="s">
        <v>34</v>
      </c>
      <c r="D7882" s="5" t="s">
        <v>1692</v>
      </c>
      <c r="E7882" s="5" t="s">
        <v>49796</v>
      </c>
      <c r="F7882" s="5" t="s">
        <v>212</v>
      </c>
      <c r="G7882" s="5" t="s">
        <v>49797</v>
      </c>
      <c r="H7882" s="6" t="s">
        <v>49798</v>
      </c>
      <c r="K7882" s="5" t="s">
        <v>49787</v>
      </c>
      <c r="M7882" s="5" t="s">
        <v>49799</v>
      </c>
      <c r="N7882" s="7" t="s">
        <v>49800</v>
      </c>
      <c r="O7882" s="8" t="str">
        <f>HYPERLINK("https://drive.google.com/file/d/1QbZ8oo2inVi9hKa4SFHqLufjt2jwp1np/view?usp=drivesdk","7881_RINA MAKAPUAN  _ SERTIFIKAT BerAKHLAK")</f>
        <v>7881_RINA MAKAPUAN  _ SERTIFIKAT BerAKHLAK</v>
      </c>
      <c r="P7882" s="5" t="s">
        <v>49795</v>
      </c>
    </row>
    <row r="7883">
      <c r="A7883" s="4">
        <v>45534.389392557874</v>
      </c>
      <c r="B7883" s="5" t="s">
        <v>34</v>
      </c>
      <c r="D7883" s="5" t="s">
        <v>580</v>
      </c>
      <c r="E7883" s="5" t="s">
        <v>49801</v>
      </c>
      <c r="F7883" s="5" t="s">
        <v>375</v>
      </c>
      <c r="G7883" s="5" t="s">
        <v>49802</v>
      </c>
      <c r="H7883" s="6" t="s">
        <v>49803</v>
      </c>
      <c r="K7883" s="5" t="s">
        <v>49787</v>
      </c>
      <c r="M7883" s="5" t="s">
        <v>49804</v>
      </c>
      <c r="N7883" s="7" t="s">
        <v>49805</v>
      </c>
      <c r="O7883" s="8" t="str">
        <f>HYPERLINK("https://drive.google.com/file/d/1H4cD5HoR2R5Hzt2VMJQ5s7s4aFQ9Dm0M/view?usp=drivesdk","7882_ANAK AGUNG GEDE DALEM PEMAYUN _ SERTIFIKAT BerAKHLAK")</f>
        <v>7882_ANAK AGUNG GEDE DALEM PEMAYUN _ SERTIFIKAT BerAKHLAK</v>
      </c>
      <c r="P7883" s="5" t="s">
        <v>49795</v>
      </c>
    </row>
    <row r="7884">
      <c r="A7884" s="4">
        <v>45534.38939736111</v>
      </c>
      <c r="B7884" s="5" t="s">
        <v>34</v>
      </c>
      <c r="D7884" s="5" t="s">
        <v>9020</v>
      </c>
      <c r="E7884" s="5" t="s">
        <v>49806</v>
      </c>
      <c r="F7884" s="5" t="s">
        <v>72</v>
      </c>
      <c r="G7884" s="5" t="s">
        <v>49807</v>
      </c>
      <c r="H7884" s="6" t="s">
        <v>49808</v>
      </c>
      <c r="K7884" s="5" t="s">
        <v>49787</v>
      </c>
      <c r="M7884" s="5" t="s">
        <v>49809</v>
      </c>
      <c r="N7884" s="7" t="s">
        <v>49810</v>
      </c>
      <c r="O7884" s="8" t="str">
        <f>HYPERLINK("https://drive.google.com/file/d/1WjYBwwvZ81AfYIsrzqQc-eciKiOtnaZI/view?usp=drivesdk","7883_SRI NASMIATI _ SERTIFIKAT BerAKHLAK")</f>
        <v>7883_SRI NASMIATI _ SERTIFIKAT BerAKHLAK</v>
      </c>
      <c r="P7884" s="5" t="s">
        <v>49795</v>
      </c>
    </row>
    <row r="7885">
      <c r="A7885" s="4">
        <v>45534.389397453706</v>
      </c>
      <c r="B7885" s="5" t="s">
        <v>34</v>
      </c>
      <c r="D7885" s="5" t="s">
        <v>4775</v>
      </c>
      <c r="E7885" s="5" t="s">
        <v>49811</v>
      </c>
      <c r="F7885" s="5" t="s">
        <v>375</v>
      </c>
      <c r="G7885" s="5" t="s">
        <v>49812</v>
      </c>
      <c r="H7885" s="6" t="s">
        <v>49813</v>
      </c>
      <c r="K7885" s="5" t="s">
        <v>49787</v>
      </c>
      <c r="M7885" s="5" t="s">
        <v>49814</v>
      </c>
      <c r="N7885" s="7" t="s">
        <v>49815</v>
      </c>
      <c r="O7885" s="8" t="str">
        <f>HYPERLINK("https://drive.google.com/file/d/1HsOsyhbLGCT60Up7-CB6ixZcl1aoqSPE/view?usp=drivesdk","7884_DIDIK SUPRIYADI _ SERTIFIKAT BerAKHLAK")</f>
        <v>7884_DIDIK SUPRIYADI _ SERTIFIKAT BerAKHLAK</v>
      </c>
      <c r="P7885" s="5" t="s">
        <v>49816</v>
      </c>
    </row>
    <row r="7886">
      <c r="A7886" s="4">
        <v>45534.38940002315</v>
      </c>
      <c r="B7886" s="5" t="s">
        <v>34</v>
      </c>
      <c r="D7886" s="5" t="s">
        <v>6232</v>
      </c>
      <c r="E7886" s="5" t="s">
        <v>49817</v>
      </c>
      <c r="F7886" s="5" t="s">
        <v>37</v>
      </c>
      <c r="G7886" s="5" t="s">
        <v>49818</v>
      </c>
      <c r="H7886" s="6" t="s">
        <v>49819</v>
      </c>
      <c r="K7886" s="5" t="s">
        <v>49787</v>
      </c>
      <c r="M7886" s="5" t="s">
        <v>49820</v>
      </c>
      <c r="N7886" s="7" t="s">
        <v>49821</v>
      </c>
      <c r="O7886" s="8" t="str">
        <f>HYPERLINK("https://drive.google.com/file/d/1YG6VTO8bQ8aXYea5qkhqew45NtZNnzlb/view?usp=drivesdk","7885_DESI MULIASARI, Am.AK _ SERTIFIKAT BerAKHLAK")</f>
        <v>7885_DESI MULIASARI, Am.AK _ SERTIFIKAT BerAKHLAK</v>
      </c>
      <c r="P7886" s="5" t="s">
        <v>49816</v>
      </c>
    </row>
    <row r="7887">
      <c r="A7887" s="4">
        <v>45534.3894103125</v>
      </c>
      <c r="B7887" s="5" t="s">
        <v>34</v>
      </c>
      <c r="D7887" s="5" t="s">
        <v>4775</v>
      </c>
      <c r="E7887" s="5" t="s">
        <v>49822</v>
      </c>
      <c r="F7887" s="5" t="s">
        <v>37</v>
      </c>
      <c r="G7887" s="5" t="s">
        <v>49823</v>
      </c>
      <c r="H7887" s="6" t="s">
        <v>49824</v>
      </c>
      <c r="K7887" s="5" t="s">
        <v>49787</v>
      </c>
      <c r="M7887" s="5" t="s">
        <v>49825</v>
      </c>
      <c r="N7887" s="7" t="s">
        <v>49826</v>
      </c>
      <c r="O7887" s="8" t="str">
        <f>HYPERLINK("https://drive.google.com/file/d/17kKzH481j9CcbBdtWY5ZjYIvrdM3ZDti/view?usp=drivesdk","7886_DWI UNTORO _ SERTIFIKAT BerAKHLAK")</f>
        <v>7886_DWI UNTORO _ SERTIFIKAT BerAKHLAK</v>
      </c>
      <c r="P7887" s="5" t="s">
        <v>49816</v>
      </c>
    </row>
    <row r="7888">
      <c r="A7888" s="4">
        <v>45534.38941672454</v>
      </c>
      <c r="B7888" s="5" t="s">
        <v>34</v>
      </c>
      <c r="D7888" s="5" t="s">
        <v>9020</v>
      </c>
      <c r="E7888" s="5" t="s">
        <v>49827</v>
      </c>
      <c r="F7888" s="5" t="s">
        <v>212</v>
      </c>
      <c r="G7888" s="5" t="s">
        <v>49828</v>
      </c>
      <c r="H7888" s="6" t="s">
        <v>49829</v>
      </c>
      <c r="K7888" s="5" t="s">
        <v>49787</v>
      </c>
      <c r="M7888" s="5" t="s">
        <v>49830</v>
      </c>
      <c r="N7888" s="7" t="s">
        <v>49831</v>
      </c>
      <c r="O7888" s="8" t="str">
        <f>HYPERLINK("https://drive.google.com/file/d/1fkB5-Xq6vzCUCAgx6bWMAjKMuJiRd0Fm/view?usp=drivesdk","7887_NILA KERISNA CANIAGO  _ SERTIFIKAT BerAKHLAK")</f>
        <v>7887_NILA KERISNA CANIAGO  _ SERTIFIKAT BerAKHLAK</v>
      </c>
      <c r="P7888" s="5" t="s">
        <v>49832</v>
      </c>
    </row>
    <row r="7889" hidden="1">
      <c r="A7889" s="4">
        <v>45534.38942054399</v>
      </c>
      <c r="B7889" s="5" t="s">
        <v>19</v>
      </c>
      <c r="C7889" s="5" t="s">
        <v>40230</v>
      </c>
      <c r="E7889" s="5" t="s">
        <v>49833</v>
      </c>
      <c r="F7889" s="5" t="s">
        <v>72</v>
      </c>
      <c r="G7889" s="5" t="s">
        <v>49834</v>
      </c>
      <c r="H7889" s="6" t="s">
        <v>49835</v>
      </c>
      <c r="K7889" s="5" t="s">
        <v>49787</v>
      </c>
      <c r="M7889" s="5" t="s">
        <v>49836</v>
      </c>
      <c r="N7889" s="7" t="s">
        <v>49837</v>
      </c>
      <c r="O7889" s="8" t="str">
        <f>HYPERLINK("https://drive.google.com/file/d/1QkgCXcFqjB_UJO2gM2du8pPCOq3XtqbN/view?usp=drivesdk","7888_AYON HENDRO SAPUTRO _ SERTIFIKAT BerAKHLAK")</f>
        <v>7888_AYON HENDRO SAPUTRO _ SERTIFIKAT BerAKHLAK</v>
      </c>
      <c r="P7889" s="5" t="s">
        <v>49832</v>
      </c>
    </row>
    <row r="7890">
      <c r="A7890" s="4">
        <v>45534.38945459491</v>
      </c>
      <c r="B7890" s="5" t="s">
        <v>34</v>
      </c>
      <c r="D7890" s="5" t="s">
        <v>10444</v>
      </c>
      <c r="E7890" s="5" t="s">
        <v>36935</v>
      </c>
      <c r="F7890" s="5" t="s">
        <v>72</v>
      </c>
      <c r="G7890" s="5" t="s">
        <v>36936</v>
      </c>
      <c r="H7890" s="6" t="s">
        <v>49838</v>
      </c>
      <c r="K7890" s="5" t="s">
        <v>49839</v>
      </c>
      <c r="M7890" s="5" t="s">
        <v>49840</v>
      </c>
      <c r="N7890" s="7" t="s">
        <v>49841</v>
      </c>
      <c r="O7890" s="8" t="str">
        <f>HYPERLINK("https://drive.google.com/file/d/1A73aH3aflAQQTbB8_TIwA_KG-oFKas2b/view?usp=drivesdk","7889_TRI WIBOWO _ SERTIFIKAT BerAKHLAK")</f>
        <v>7889_TRI WIBOWO _ SERTIFIKAT BerAKHLAK</v>
      </c>
      <c r="P7890" s="5" t="s">
        <v>49832</v>
      </c>
    </row>
    <row r="7891">
      <c r="A7891" s="4">
        <v>45534.389527060186</v>
      </c>
      <c r="B7891" s="5" t="s">
        <v>34</v>
      </c>
      <c r="D7891" s="5" t="s">
        <v>1692</v>
      </c>
      <c r="E7891" s="5" t="s">
        <v>49842</v>
      </c>
      <c r="F7891" s="5" t="s">
        <v>212</v>
      </c>
      <c r="G7891" s="5" t="s">
        <v>49843</v>
      </c>
      <c r="H7891" s="6" t="s">
        <v>49844</v>
      </c>
      <c r="K7891" s="5" t="s">
        <v>49845</v>
      </c>
      <c r="M7891" s="5" t="s">
        <v>49846</v>
      </c>
      <c r="N7891" s="7" t="s">
        <v>49847</v>
      </c>
      <c r="O7891" s="8" t="str">
        <f>HYPERLINK("https://drive.google.com/file/d/1teboZcn3-54_AvAeV-JVjGi2fTTpJnZx/view?usp=drivesdk","7890_RESKY.SOLON _ SERTIFIKAT BerAKHLAK")</f>
        <v>7890_RESKY.SOLON _ SERTIFIKAT BerAKHLAK</v>
      </c>
      <c r="P7891" s="5" t="s">
        <v>49832</v>
      </c>
    </row>
    <row r="7892">
      <c r="A7892" s="4">
        <v>45534.38953207176</v>
      </c>
      <c r="B7892" s="5" t="s">
        <v>34</v>
      </c>
      <c r="D7892" s="5" t="s">
        <v>11527</v>
      </c>
      <c r="E7892" s="5" t="s">
        <v>49848</v>
      </c>
      <c r="F7892" s="5" t="s">
        <v>524</v>
      </c>
      <c r="G7892" s="5" t="s">
        <v>49849</v>
      </c>
      <c r="H7892" s="6" t="s">
        <v>49850</v>
      </c>
      <c r="K7892" s="5" t="s">
        <v>49845</v>
      </c>
      <c r="M7892" s="5" t="s">
        <v>49851</v>
      </c>
      <c r="N7892" s="7" t="s">
        <v>49852</v>
      </c>
      <c r="O7892" s="8" t="str">
        <f>HYPERLINK("https://drive.google.com/file/d/1eHXBI_oW5P2T2SSWt50d7XBWD07NBw2t/view?usp=drivesdk","7891_INDRA DEWI MAARUF _ SERTIFIKAT BerAKHLAK")</f>
        <v>7891_INDRA DEWI MAARUF _ SERTIFIKAT BerAKHLAK</v>
      </c>
      <c r="P7892" s="5" t="s">
        <v>49853</v>
      </c>
    </row>
    <row r="7893">
      <c r="A7893" s="4">
        <v>45534.38953388889</v>
      </c>
      <c r="B7893" s="5" t="s">
        <v>34</v>
      </c>
      <c r="D7893" s="5" t="s">
        <v>10444</v>
      </c>
      <c r="E7893" s="5" t="s">
        <v>49854</v>
      </c>
      <c r="F7893" s="5" t="s">
        <v>524</v>
      </c>
      <c r="G7893" s="5" t="s">
        <v>49855</v>
      </c>
      <c r="H7893" s="6" t="s">
        <v>49856</v>
      </c>
      <c r="K7893" s="5" t="s">
        <v>49845</v>
      </c>
      <c r="M7893" s="5" t="s">
        <v>49857</v>
      </c>
      <c r="N7893" s="7" t="s">
        <v>49858</v>
      </c>
      <c r="O7893" s="8" t="str">
        <f>HYPERLINK("https://drive.google.com/file/d/1XXYeIE1XSrMifIrkRyPU6RVrsongZHJZ/view?usp=drivesdk","7892_NERLY TIURMA MAIDAH, AM.d _ SERTIFIKAT BerAKHLAK")</f>
        <v>7892_NERLY TIURMA MAIDAH, AM.d _ SERTIFIKAT BerAKHLAK</v>
      </c>
      <c r="P7893" s="5" t="s">
        <v>49853</v>
      </c>
    </row>
    <row r="7894">
      <c r="A7894" s="4">
        <v>45534.38960361111</v>
      </c>
      <c r="B7894" s="5" t="s">
        <v>34</v>
      </c>
      <c r="D7894" s="5" t="s">
        <v>9020</v>
      </c>
      <c r="E7894" s="5" t="s">
        <v>49859</v>
      </c>
      <c r="F7894" s="5" t="s">
        <v>212</v>
      </c>
      <c r="G7894" s="5" t="s">
        <v>49860</v>
      </c>
      <c r="H7894" s="6" t="s">
        <v>49861</v>
      </c>
      <c r="K7894" s="5" t="s">
        <v>49862</v>
      </c>
      <c r="M7894" s="5" t="s">
        <v>49863</v>
      </c>
      <c r="N7894" s="7" t="s">
        <v>49864</v>
      </c>
      <c r="O7894" s="8" t="str">
        <f>HYPERLINK("https://drive.google.com/file/d/1EFoK-t52GOR5-y7J3xbRoPA-MD9Y2NDH/view?usp=drivesdk","7893_WINDIANA _ SERTIFIKAT BerAKHLAK")</f>
        <v>7893_WINDIANA _ SERTIFIKAT BerAKHLAK</v>
      </c>
      <c r="P7894" s="5" t="s">
        <v>49853</v>
      </c>
    </row>
    <row r="7895">
      <c r="A7895" s="4">
        <v>45534.38961751157</v>
      </c>
      <c r="B7895" s="5" t="s">
        <v>34</v>
      </c>
      <c r="D7895" s="5" t="s">
        <v>1206</v>
      </c>
      <c r="E7895" s="5" t="s">
        <v>20883</v>
      </c>
      <c r="F7895" s="5" t="s">
        <v>199</v>
      </c>
      <c r="G7895" s="5" t="s">
        <v>49865</v>
      </c>
      <c r="H7895" s="6" t="s">
        <v>49866</v>
      </c>
      <c r="K7895" s="5" t="s">
        <v>49862</v>
      </c>
      <c r="M7895" s="5" t="s">
        <v>49867</v>
      </c>
      <c r="N7895" s="7" t="s">
        <v>49868</v>
      </c>
      <c r="O7895" s="8" t="str">
        <f>HYPERLINK("https://drive.google.com/file/d/1sS8XfFdL-_DgyR5HSJ7P1UW8yNdVi_9F/view?usp=drivesdk","7894_SUNARYO _ SERTIFIKAT BerAKHLAK")</f>
        <v>7894_SUNARYO _ SERTIFIKAT BerAKHLAK</v>
      </c>
      <c r="P7895" s="5" t="s">
        <v>49853</v>
      </c>
    </row>
    <row r="7896">
      <c r="A7896" s="4">
        <v>45534.38962810185</v>
      </c>
      <c r="B7896" s="5" t="s">
        <v>34</v>
      </c>
      <c r="D7896" s="5" t="s">
        <v>1558</v>
      </c>
      <c r="E7896" s="5" t="s">
        <v>49869</v>
      </c>
      <c r="F7896" s="5" t="s">
        <v>37</v>
      </c>
      <c r="G7896" s="5" t="s">
        <v>49870</v>
      </c>
      <c r="H7896" s="6" t="s">
        <v>49871</v>
      </c>
      <c r="K7896" s="5" t="s">
        <v>49862</v>
      </c>
      <c r="M7896" s="5" t="s">
        <v>49872</v>
      </c>
      <c r="N7896" s="7" t="s">
        <v>49873</v>
      </c>
      <c r="O7896" s="8" t="str">
        <f>HYPERLINK("https://drive.google.com/file/d/1mLCEnPQ8lVVFEeGgCvik89bpieliT1OP/view?usp=drivesdk","7895_NETRA WELIZA _ SERTIFIKAT BerAKHLAK")</f>
        <v>7895_NETRA WELIZA _ SERTIFIKAT BerAKHLAK</v>
      </c>
      <c r="P7896" s="5" t="s">
        <v>49853</v>
      </c>
    </row>
    <row r="7897">
      <c r="A7897" s="4">
        <v>45534.38966489583</v>
      </c>
      <c r="B7897" s="5" t="s">
        <v>34</v>
      </c>
      <c r="D7897" s="5" t="s">
        <v>701</v>
      </c>
      <c r="E7897" s="5" t="s">
        <v>49874</v>
      </c>
      <c r="F7897" s="5" t="s">
        <v>212</v>
      </c>
      <c r="G7897" s="5" t="s">
        <v>49875</v>
      </c>
      <c r="H7897" s="6" t="s">
        <v>49876</v>
      </c>
      <c r="K7897" s="5" t="s">
        <v>49877</v>
      </c>
      <c r="M7897" s="5" t="s">
        <v>49878</v>
      </c>
      <c r="N7897" s="7" t="s">
        <v>49879</v>
      </c>
      <c r="O7897" s="8" t="str">
        <f>HYPERLINK("https://drive.google.com/file/d/11Fk2hubzDG6-63sj-Y6F_AACAn0BAamY/view?usp=drivesdk","7896_HENDRI _ SERTIFIKAT BerAKHLAK")</f>
        <v>7896_HENDRI _ SERTIFIKAT BerAKHLAK</v>
      </c>
      <c r="P7897" s="5" t="s">
        <v>49880</v>
      </c>
    </row>
    <row r="7898">
      <c r="A7898" s="4">
        <v>45534.389665995375</v>
      </c>
      <c r="B7898" s="5" t="s">
        <v>34</v>
      </c>
      <c r="D7898" s="5" t="s">
        <v>6232</v>
      </c>
      <c r="E7898" s="5" t="s">
        <v>49881</v>
      </c>
      <c r="F7898" s="5" t="s">
        <v>72</v>
      </c>
      <c r="G7898" s="5" t="s">
        <v>49882</v>
      </c>
      <c r="H7898" s="6" t="s">
        <v>49883</v>
      </c>
      <c r="K7898" s="5" t="s">
        <v>49877</v>
      </c>
      <c r="M7898" s="5" t="s">
        <v>49884</v>
      </c>
      <c r="N7898" s="7" t="s">
        <v>49885</v>
      </c>
      <c r="O7898" s="8" t="str">
        <f>HYPERLINK("https://drive.google.com/file/d/1Qx1v4F4eyhlxgNugQcX58OgDzXMku5LC/view?usp=drivesdk","7897_NOVIARITA _ SERTIFIKAT BerAKHLAK")</f>
        <v>7897_NOVIARITA _ SERTIFIKAT BerAKHLAK</v>
      </c>
      <c r="P7898" s="5" t="s">
        <v>49880</v>
      </c>
    </row>
    <row r="7899" hidden="1">
      <c r="A7899" s="4">
        <v>45534.38970565972</v>
      </c>
      <c r="B7899" s="5" t="s">
        <v>19</v>
      </c>
      <c r="C7899" s="5" t="s">
        <v>40230</v>
      </c>
      <c r="E7899" s="5" t="s">
        <v>49886</v>
      </c>
      <c r="F7899" s="5" t="s">
        <v>72</v>
      </c>
      <c r="G7899" s="5" t="s">
        <v>49887</v>
      </c>
      <c r="H7899" s="6" t="s">
        <v>49888</v>
      </c>
      <c r="K7899" s="5" t="s">
        <v>49889</v>
      </c>
      <c r="M7899" s="5" t="s">
        <v>49890</v>
      </c>
      <c r="N7899" s="7" t="s">
        <v>49891</v>
      </c>
      <c r="O7899" s="8" t="str">
        <f>HYPERLINK("https://drive.google.com/file/d/1FrPlm1TCzO9NlQHt4fx0Nl8-QHGhwMKH/view?usp=drivesdk","7898_LELLY EKAWATI _ SERTIFIKAT BerAKHLAK")</f>
        <v>7898_LELLY EKAWATI _ SERTIFIKAT BerAKHLAK</v>
      </c>
      <c r="P7899" s="5" t="s">
        <v>49892</v>
      </c>
    </row>
    <row r="7900">
      <c r="A7900" s="4">
        <v>45534.389779351855</v>
      </c>
      <c r="B7900" s="5" t="s">
        <v>34</v>
      </c>
      <c r="D7900" s="5" t="s">
        <v>1558</v>
      </c>
      <c r="E7900" s="5" t="s">
        <v>49893</v>
      </c>
      <c r="F7900" s="5" t="s">
        <v>37</v>
      </c>
      <c r="G7900" s="5" t="s">
        <v>49894</v>
      </c>
      <c r="H7900" s="6" t="s">
        <v>49895</v>
      </c>
      <c r="K7900" s="5" t="s">
        <v>49896</v>
      </c>
      <c r="M7900" s="5" t="s">
        <v>49897</v>
      </c>
      <c r="N7900" s="7" t="s">
        <v>49898</v>
      </c>
      <c r="O7900" s="8" t="str">
        <f>HYPERLINK("https://drive.google.com/file/d/1qWF1YIj4wiZAoxKS0ris0IiWreVxJGZH/view?usp=drivesdk","7899_TRIANA PANJI HIDAYAT _ SERTIFIKAT BerAKHLAK")</f>
        <v>7899_TRIANA PANJI HIDAYAT _ SERTIFIKAT BerAKHLAK</v>
      </c>
      <c r="P7900" s="5" t="s">
        <v>49892</v>
      </c>
    </row>
    <row r="7901">
      <c r="A7901" s="4">
        <v>45534.389780185185</v>
      </c>
      <c r="B7901" s="5" t="s">
        <v>34</v>
      </c>
      <c r="D7901" s="5" t="s">
        <v>9020</v>
      </c>
      <c r="E7901" s="5" t="s">
        <v>49899</v>
      </c>
      <c r="F7901" s="5" t="s">
        <v>524</v>
      </c>
      <c r="G7901" s="5" t="s">
        <v>49900</v>
      </c>
      <c r="H7901" s="6" t="s">
        <v>49901</v>
      </c>
      <c r="K7901" s="5" t="s">
        <v>49896</v>
      </c>
      <c r="M7901" s="5" t="s">
        <v>49902</v>
      </c>
      <c r="N7901" s="7" t="s">
        <v>49903</v>
      </c>
      <c r="O7901" s="8" t="str">
        <f>HYPERLINK("https://drive.google.com/file/d/1ue8Vxq-EJQJjmrOqxom2yUEStcejv-s4/view?usp=drivesdk","7900_ELISABET _ SERTIFIKAT BerAKHLAK")</f>
        <v>7900_ELISABET _ SERTIFIKAT BerAKHLAK</v>
      </c>
      <c r="P7901" s="5" t="s">
        <v>49892</v>
      </c>
    </row>
    <row r="7902">
      <c r="A7902" s="4">
        <v>45534.38978070602</v>
      </c>
      <c r="B7902" s="5" t="s">
        <v>34</v>
      </c>
      <c r="D7902" s="5" t="s">
        <v>12978</v>
      </c>
      <c r="E7902" s="5" t="s">
        <v>49904</v>
      </c>
      <c r="F7902" s="5" t="s">
        <v>5859</v>
      </c>
      <c r="G7902" s="5" t="s">
        <v>49905</v>
      </c>
      <c r="H7902" s="6" t="s">
        <v>49906</v>
      </c>
      <c r="K7902" s="5" t="s">
        <v>49896</v>
      </c>
      <c r="M7902" s="5" t="s">
        <v>49907</v>
      </c>
      <c r="N7902" s="7" t="s">
        <v>49908</v>
      </c>
      <c r="O7902" s="8" t="str">
        <f>HYPERLINK("https://drive.google.com/file/d/1o2LF5ibmaa4khHiaOGqwBHESQnqyIL09/view?usp=drivesdk","7901_TURASIH,S.H _ SERTIFIKAT BerAKHLAK")</f>
        <v>7901_TURASIH,S.H _ SERTIFIKAT BerAKHLAK</v>
      </c>
      <c r="P7902" s="5" t="s">
        <v>49909</v>
      </c>
    </row>
    <row r="7903">
      <c r="A7903" s="4">
        <v>45534.38980320602</v>
      </c>
      <c r="B7903" s="5" t="s">
        <v>34</v>
      </c>
      <c r="D7903" s="5" t="s">
        <v>701</v>
      </c>
      <c r="E7903" s="5" t="s">
        <v>49910</v>
      </c>
      <c r="F7903" s="5" t="s">
        <v>212</v>
      </c>
      <c r="G7903" s="5" t="s">
        <v>49911</v>
      </c>
      <c r="H7903" s="6" t="s">
        <v>49912</v>
      </c>
      <c r="K7903" s="5" t="s">
        <v>49913</v>
      </c>
      <c r="M7903" s="5" t="s">
        <v>49914</v>
      </c>
      <c r="N7903" s="7" t="s">
        <v>49915</v>
      </c>
      <c r="O7903" s="8" t="str">
        <f>HYPERLINK("https://drive.google.com/file/d/1zI94pQybS_-LPVm0PJZE7t8zptsM6rOj/view?usp=drivesdk","7902_WENI AMELIA PUTRI, A.Md.Kep _ SERTIFIKAT BerAKHLAK")</f>
        <v>7902_WENI AMELIA PUTRI, A.Md.Kep _ SERTIFIKAT BerAKHLAK</v>
      </c>
      <c r="P7903" s="5" t="s">
        <v>49909</v>
      </c>
    </row>
    <row r="7904">
      <c r="A7904" s="4">
        <v>45534.3898119213</v>
      </c>
      <c r="B7904" s="5" t="s">
        <v>34</v>
      </c>
      <c r="D7904" s="5" t="s">
        <v>1206</v>
      </c>
      <c r="E7904" s="5" t="s">
        <v>49916</v>
      </c>
      <c r="F7904" s="5" t="s">
        <v>37</v>
      </c>
      <c r="G7904" s="5" t="s">
        <v>49917</v>
      </c>
      <c r="H7904" s="6" t="s">
        <v>49918</v>
      </c>
      <c r="K7904" s="5" t="s">
        <v>49913</v>
      </c>
      <c r="M7904" s="5" t="s">
        <v>49919</v>
      </c>
      <c r="N7904" s="7" t="s">
        <v>49920</v>
      </c>
      <c r="O7904" s="8" t="str">
        <f>HYPERLINK("https://drive.google.com/file/d/1aZj3JrmpeximZf7t0VxFc0-gTMNcJ2Am/view?usp=drivesdk","7903_YAYUK SUSANTI _ SERTIFIKAT BerAKHLAK")</f>
        <v>7903_YAYUK SUSANTI _ SERTIFIKAT BerAKHLAK</v>
      </c>
      <c r="P7904" s="5" t="s">
        <v>49909</v>
      </c>
    </row>
    <row r="7905">
      <c r="A7905" s="4">
        <v>45534.38981653935</v>
      </c>
      <c r="B7905" s="5" t="s">
        <v>34</v>
      </c>
      <c r="D7905" s="5" t="s">
        <v>9020</v>
      </c>
      <c r="E7905" s="5" t="s">
        <v>49921</v>
      </c>
      <c r="F7905" s="5" t="s">
        <v>37</v>
      </c>
      <c r="G7905" s="5" t="s">
        <v>49922</v>
      </c>
      <c r="H7905" s="6" t="s">
        <v>49923</v>
      </c>
      <c r="K7905" s="5" t="s">
        <v>49913</v>
      </c>
      <c r="M7905" s="5" t="s">
        <v>49924</v>
      </c>
      <c r="N7905" s="7" t="s">
        <v>49925</v>
      </c>
      <c r="O7905" s="8" t="str">
        <f>HYPERLINK("https://drive.google.com/file/d/1AbvgYWbtola5sqphvzUK4a2QCzAuSFZr/view?usp=drivesdk","7904_FITSER H.D. SIMBOLON  _ SERTIFIKAT BerAKHLAK")</f>
        <v>7904_FITSER H.D. SIMBOLON  _ SERTIFIKAT BerAKHLAK</v>
      </c>
      <c r="P7905" s="5" t="s">
        <v>49909</v>
      </c>
    </row>
    <row r="7906">
      <c r="A7906" s="4">
        <v>45534.38983863426</v>
      </c>
      <c r="B7906" s="5" t="s">
        <v>34</v>
      </c>
      <c r="D7906" s="5" t="s">
        <v>6232</v>
      </c>
      <c r="E7906" s="5" t="s">
        <v>49926</v>
      </c>
      <c r="F7906" s="5" t="s">
        <v>375</v>
      </c>
      <c r="G7906" s="5" t="s">
        <v>49927</v>
      </c>
      <c r="H7906" s="6" t="s">
        <v>49928</v>
      </c>
      <c r="K7906" s="5" t="s">
        <v>49929</v>
      </c>
      <c r="M7906" s="5" t="s">
        <v>49930</v>
      </c>
      <c r="N7906" s="7" t="s">
        <v>49931</v>
      </c>
      <c r="O7906" s="8" t="str">
        <f>HYPERLINK("https://drive.google.com/file/d/17rX595Scz-9tuZgdYNzLYNj8unRLTHOL/view?usp=drivesdk","7905_MUGIONO _ SERTIFIKAT BerAKHLAK")</f>
        <v>7905_MUGIONO _ SERTIFIKAT BerAKHLAK</v>
      </c>
      <c r="P7906" s="5" t="s">
        <v>49909</v>
      </c>
    </row>
    <row r="7907">
      <c r="A7907" s="4">
        <v>45534.38984859954</v>
      </c>
      <c r="B7907" s="5" t="s">
        <v>34</v>
      </c>
      <c r="D7907" s="5" t="s">
        <v>1206</v>
      </c>
      <c r="E7907" s="5" t="s">
        <v>49932</v>
      </c>
      <c r="F7907" s="5" t="s">
        <v>212</v>
      </c>
      <c r="G7907" s="5" t="s">
        <v>49933</v>
      </c>
      <c r="H7907" s="6" t="s">
        <v>49934</v>
      </c>
      <c r="K7907" s="5" t="s">
        <v>49929</v>
      </c>
      <c r="M7907" s="5" t="s">
        <v>49935</v>
      </c>
      <c r="N7907" s="7" t="s">
        <v>49936</v>
      </c>
      <c r="O7907" s="8" t="str">
        <f>HYPERLINK("https://drive.google.com/file/d/1Ehc_grd_IzbGFoxRdqNni6LBwXPBxfxP/view?usp=drivesdk","7906_DIDIK PURYONO _ SERTIFIKAT BerAKHLAK")</f>
        <v>7906_DIDIK PURYONO _ SERTIFIKAT BerAKHLAK</v>
      </c>
      <c r="P7907" s="5" t="s">
        <v>49909</v>
      </c>
    </row>
    <row r="7908">
      <c r="A7908" s="4">
        <v>45534.389854699075</v>
      </c>
      <c r="B7908" s="5" t="s">
        <v>34</v>
      </c>
      <c r="D7908" s="5" t="s">
        <v>9020</v>
      </c>
      <c r="E7908" s="5" t="s">
        <v>49937</v>
      </c>
      <c r="F7908" s="5" t="s">
        <v>108</v>
      </c>
      <c r="G7908" s="5" t="s">
        <v>49938</v>
      </c>
      <c r="H7908" s="6" t="s">
        <v>49939</v>
      </c>
      <c r="K7908" s="5" t="s">
        <v>49929</v>
      </c>
      <c r="M7908" s="5" t="s">
        <v>49940</v>
      </c>
      <c r="N7908" s="7" t="s">
        <v>49941</v>
      </c>
      <c r="O7908" s="8" t="str">
        <f>HYPERLINK("https://drive.google.com/file/d/1bDZ61_YbVNdtiS1OF04RWKya5SHlnkJk/view?usp=drivesdk","7907_ALMAR SIMANGUNSONG _ SERTIFIKAT BerAKHLAK")</f>
        <v>7907_ALMAR SIMANGUNSONG _ SERTIFIKAT BerAKHLAK</v>
      </c>
      <c r="P7908" s="5" t="s">
        <v>49942</v>
      </c>
    </row>
    <row r="7909">
      <c r="A7909" s="4">
        <v>45534.38985590277</v>
      </c>
      <c r="B7909" s="5" t="s">
        <v>34</v>
      </c>
      <c r="D7909" s="5" t="s">
        <v>1206</v>
      </c>
      <c r="E7909" s="5" t="s">
        <v>49943</v>
      </c>
      <c r="F7909" s="5" t="s">
        <v>120</v>
      </c>
      <c r="G7909" s="5" t="s">
        <v>49944</v>
      </c>
      <c r="H7909" s="6" t="s">
        <v>49945</v>
      </c>
      <c r="K7909" s="5" t="s">
        <v>49929</v>
      </c>
      <c r="M7909" s="5" t="s">
        <v>49946</v>
      </c>
      <c r="N7909" s="7" t="s">
        <v>49947</v>
      </c>
      <c r="O7909" s="8" t="str">
        <f>HYPERLINK("https://drive.google.com/file/d/1tWb612kumIK5ibWdCKuoP4RN01MW1rnj/view?usp=drivesdk","7908_LILIK IRIANI _ SERTIFIKAT BerAKHLAK")</f>
        <v>7908_LILIK IRIANI _ SERTIFIKAT BerAKHLAK</v>
      </c>
      <c r="P7909" s="5" t="s">
        <v>49942</v>
      </c>
    </row>
    <row r="7910">
      <c r="A7910" s="4">
        <v>45534.389858587965</v>
      </c>
      <c r="B7910" s="5" t="s">
        <v>34</v>
      </c>
      <c r="D7910" s="5" t="s">
        <v>14313</v>
      </c>
      <c r="E7910" s="5" t="s">
        <v>49948</v>
      </c>
      <c r="F7910" s="5" t="s">
        <v>375</v>
      </c>
      <c r="G7910" s="5" t="s">
        <v>49949</v>
      </c>
      <c r="H7910" s="6" t="s">
        <v>49950</v>
      </c>
      <c r="K7910" s="5" t="s">
        <v>49929</v>
      </c>
      <c r="M7910" s="5" t="s">
        <v>49951</v>
      </c>
      <c r="N7910" s="7" t="s">
        <v>49952</v>
      </c>
      <c r="O7910" s="8" t="str">
        <f>HYPERLINK("https://drive.google.com/file/d/1C2nHqTEDYIGeCAU3doU3wxjUaXLEC8BC/view?usp=drivesdk","7909_ST.HASNAH  _ SERTIFIKAT BerAKHLAK")</f>
        <v>7909_ST.HASNAH  _ SERTIFIKAT BerAKHLAK</v>
      </c>
      <c r="P7910" s="5" t="s">
        <v>49942</v>
      </c>
    </row>
    <row r="7911">
      <c r="A7911" s="4">
        <v>45534.38986964121</v>
      </c>
      <c r="B7911" s="5" t="s">
        <v>34</v>
      </c>
      <c r="D7911" s="5" t="s">
        <v>701</v>
      </c>
      <c r="E7911" s="5" t="s">
        <v>49953</v>
      </c>
      <c r="F7911" s="5" t="s">
        <v>37</v>
      </c>
      <c r="G7911" s="5" t="s">
        <v>49954</v>
      </c>
      <c r="H7911" s="6" t="s">
        <v>49955</v>
      </c>
      <c r="K7911" s="5" t="s">
        <v>49929</v>
      </c>
      <c r="M7911" s="5" t="s">
        <v>49956</v>
      </c>
      <c r="N7911" s="7" t="s">
        <v>49957</v>
      </c>
      <c r="O7911" s="8" t="str">
        <f>HYPERLINK("https://drive.google.com/file/d/13MT78wpfnAtjXAN7Ed8awW0Cjm4_CS3_/view?usp=drivesdk","7910_NESRI YENTI _ SERTIFIKAT BerAKHLAK")</f>
        <v>7910_NESRI YENTI _ SERTIFIKAT BerAKHLAK</v>
      </c>
      <c r="P7911" s="5" t="s">
        <v>49942</v>
      </c>
    </row>
    <row r="7912">
      <c r="A7912" s="4">
        <v>45534.38987219907</v>
      </c>
      <c r="B7912" s="5" t="s">
        <v>34</v>
      </c>
      <c r="D7912" s="5" t="s">
        <v>9020</v>
      </c>
      <c r="E7912" s="5" t="s">
        <v>49958</v>
      </c>
      <c r="F7912" s="5" t="s">
        <v>72</v>
      </c>
      <c r="G7912" s="5" t="s">
        <v>49959</v>
      </c>
      <c r="H7912" s="6" t="s">
        <v>49960</v>
      </c>
      <c r="K7912" s="5" t="s">
        <v>49929</v>
      </c>
      <c r="M7912" s="5" t="s">
        <v>49961</v>
      </c>
      <c r="N7912" s="7" t="s">
        <v>49962</v>
      </c>
      <c r="O7912" s="8" t="str">
        <f>HYPERLINK("https://drive.google.com/file/d/1rFW9_20upIKXlCxl9ZXgwvZQ5BBsi0SM/view?usp=drivesdk","7911_ANDRIAS HENDARWIN AMBARITA, S.Kom., M.M. _ SERTIFIKAT BerAKHLAK")</f>
        <v>7911_ANDRIAS HENDARWIN AMBARITA, S.Kom., M.M. _ SERTIFIKAT BerAKHLAK</v>
      </c>
      <c r="P7912" s="5" t="s">
        <v>49942</v>
      </c>
    </row>
    <row r="7913">
      <c r="A7913" s="4">
        <v>45534.389894409724</v>
      </c>
      <c r="B7913" s="5" t="s">
        <v>34</v>
      </c>
      <c r="D7913" s="5" t="s">
        <v>9020</v>
      </c>
      <c r="E7913" s="5" t="s">
        <v>49963</v>
      </c>
      <c r="F7913" s="5" t="s">
        <v>212</v>
      </c>
      <c r="G7913" s="5" t="s">
        <v>49964</v>
      </c>
      <c r="H7913" s="6" t="s">
        <v>49965</v>
      </c>
      <c r="K7913" s="5" t="s">
        <v>49966</v>
      </c>
      <c r="M7913" s="5" t="s">
        <v>49967</v>
      </c>
      <c r="N7913" s="7" t="s">
        <v>49968</v>
      </c>
      <c r="O7913" s="8" t="str">
        <f>HYPERLINK("https://drive.google.com/file/d/1P42_i7pCD7dUJBdMgl0mz82iaNKfzfvY/view?usp=drivesdk","7912_FAISAL ISWADI SH _ SERTIFIKAT BerAKHLAK")</f>
        <v>7912_FAISAL ISWADI SH _ SERTIFIKAT BerAKHLAK</v>
      </c>
      <c r="P7913" s="5" t="s">
        <v>49942</v>
      </c>
    </row>
    <row r="7914">
      <c r="A7914" s="4">
        <v>45534.38991060185</v>
      </c>
      <c r="B7914" s="5" t="s">
        <v>34</v>
      </c>
      <c r="D7914" s="5" t="s">
        <v>9020</v>
      </c>
      <c r="E7914" s="5" t="s">
        <v>49969</v>
      </c>
      <c r="F7914" s="5" t="s">
        <v>375</v>
      </c>
      <c r="G7914" s="5" t="s">
        <v>49970</v>
      </c>
      <c r="H7914" s="6" t="s">
        <v>49971</v>
      </c>
      <c r="K7914" s="5" t="s">
        <v>49966</v>
      </c>
      <c r="M7914" s="5" t="s">
        <v>49972</v>
      </c>
      <c r="N7914" s="7" t="s">
        <v>49973</v>
      </c>
      <c r="O7914" s="8" t="str">
        <f>HYPERLINK("https://drive.google.com/file/d/1vBPq-9an1wkomhxDUB4sRpCPmHg2ITDw/view?usp=drivesdk","7913_Dra. TUKMADARA DEWI _ SERTIFIKAT BerAKHLAK")</f>
        <v>7913_Dra. TUKMADARA DEWI _ SERTIFIKAT BerAKHLAK</v>
      </c>
      <c r="P7914" s="5" t="s">
        <v>49974</v>
      </c>
    </row>
    <row r="7915">
      <c r="A7915" s="4">
        <v>45534.38991189815</v>
      </c>
      <c r="B7915" s="5" t="s">
        <v>34</v>
      </c>
      <c r="D7915" s="5" t="s">
        <v>1558</v>
      </c>
      <c r="E7915" s="5" t="s">
        <v>49975</v>
      </c>
      <c r="F7915" s="5" t="s">
        <v>375</v>
      </c>
      <c r="G7915" s="5" t="s">
        <v>49976</v>
      </c>
      <c r="H7915" s="6" t="s">
        <v>49977</v>
      </c>
      <c r="K7915" s="5" t="s">
        <v>49966</v>
      </c>
      <c r="M7915" s="5" t="s">
        <v>49978</v>
      </c>
      <c r="N7915" s="7" t="s">
        <v>49979</v>
      </c>
      <c r="O7915" s="8" t="str">
        <f>HYPERLINK("https://drive.google.com/file/d/1kSECUpfbjLcm5LEjX9nNvizFpWn_FKMS/view?usp=drivesdk","7914_FERRIANDY RUSDIN _ SERTIFIKAT BerAKHLAK")</f>
        <v>7914_FERRIANDY RUSDIN _ SERTIFIKAT BerAKHLAK</v>
      </c>
      <c r="P7915" s="5" t="s">
        <v>49974</v>
      </c>
    </row>
    <row r="7916">
      <c r="A7916" s="4">
        <v>45534.38994688657</v>
      </c>
      <c r="B7916" s="5" t="s">
        <v>34</v>
      </c>
      <c r="D7916" s="5" t="s">
        <v>14313</v>
      </c>
      <c r="E7916" s="5" t="s">
        <v>49980</v>
      </c>
      <c r="F7916" s="5" t="s">
        <v>212</v>
      </c>
      <c r="G7916" s="5" t="s">
        <v>49981</v>
      </c>
      <c r="H7916" s="6" t="s">
        <v>49982</v>
      </c>
      <c r="K7916" s="5" t="s">
        <v>49983</v>
      </c>
      <c r="M7916" s="5" t="s">
        <v>49984</v>
      </c>
      <c r="N7916" s="7" t="s">
        <v>49985</v>
      </c>
      <c r="O7916" s="8" t="str">
        <f>HYPERLINK("https://drive.google.com/file/d/12-RIAymZAzqUW3W-omHypuuaAkeeGDF0/view?usp=drivesdk","7915_ALIMUDDIN USMAN _ SERTIFIKAT BerAKHLAK")</f>
        <v>7915_ALIMUDDIN USMAN _ SERTIFIKAT BerAKHLAK</v>
      </c>
      <c r="P7916" s="5" t="s">
        <v>49974</v>
      </c>
    </row>
    <row r="7917">
      <c r="A7917" s="4">
        <v>45534.3899508912</v>
      </c>
      <c r="B7917" s="5" t="s">
        <v>34</v>
      </c>
      <c r="D7917" s="5" t="s">
        <v>1206</v>
      </c>
      <c r="E7917" s="5" t="s">
        <v>49986</v>
      </c>
      <c r="F7917" s="5" t="s">
        <v>37</v>
      </c>
      <c r="G7917" s="5" t="s">
        <v>49987</v>
      </c>
      <c r="H7917" s="6" t="s">
        <v>49988</v>
      </c>
      <c r="K7917" s="5" t="s">
        <v>49983</v>
      </c>
      <c r="M7917" s="5" t="s">
        <v>49989</v>
      </c>
      <c r="N7917" s="7" t="s">
        <v>49990</v>
      </c>
      <c r="O7917" s="8" t="str">
        <f>HYPERLINK("https://drive.google.com/file/d/13AhzPfrhSkGO9oIfFsjMwVX9djOUtX3s/view?usp=drivesdk","7916_BAMBANG SUROSO _ SERTIFIKAT BerAKHLAK")</f>
        <v>7916_BAMBANG SUROSO _ SERTIFIKAT BerAKHLAK</v>
      </c>
      <c r="P7917" s="5" t="s">
        <v>49974</v>
      </c>
    </row>
    <row r="7918">
      <c r="A7918" s="4">
        <v>45534.38996133102</v>
      </c>
      <c r="B7918" s="5" t="s">
        <v>34</v>
      </c>
      <c r="D7918" s="5" t="s">
        <v>12978</v>
      </c>
      <c r="E7918" s="5" t="s">
        <v>49991</v>
      </c>
      <c r="F7918" s="5" t="s">
        <v>212</v>
      </c>
      <c r="G7918" s="5" t="s">
        <v>49992</v>
      </c>
      <c r="H7918" s="6" t="s">
        <v>49993</v>
      </c>
      <c r="K7918" s="5" t="s">
        <v>49983</v>
      </c>
      <c r="M7918" s="5" t="s">
        <v>49994</v>
      </c>
      <c r="N7918" s="7" t="s">
        <v>49995</v>
      </c>
      <c r="O7918" s="8" t="str">
        <f>HYPERLINK("https://drive.google.com/file/d/16klM-0NS8Dq6XxydycPTQvN5zTfL7Q2H/view?usp=drivesdk","7917_NIRDAWATI  _ SERTIFIKAT BerAKHLAK")</f>
        <v>7917_NIRDAWATI  _ SERTIFIKAT BerAKHLAK</v>
      </c>
      <c r="P7918" s="5" t="s">
        <v>49974</v>
      </c>
    </row>
    <row r="7919">
      <c r="A7919" s="4">
        <v>45534.390024884255</v>
      </c>
      <c r="B7919" s="5" t="s">
        <v>34</v>
      </c>
      <c r="D7919" s="5" t="s">
        <v>1558</v>
      </c>
      <c r="E7919" s="5" t="s">
        <v>49996</v>
      </c>
      <c r="F7919" s="5" t="s">
        <v>199</v>
      </c>
      <c r="G7919" s="5" t="s">
        <v>49997</v>
      </c>
      <c r="H7919" s="6" t="s">
        <v>49998</v>
      </c>
      <c r="K7919" s="5" t="s">
        <v>49999</v>
      </c>
      <c r="M7919" s="5" t="s">
        <v>50000</v>
      </c>
      <c r="N7919" s="7" t="s">
        <v>50001</v>
      </c>
      <c r="O7919" s="8" t="str">
        <f>HYPERLINK("https://drive.google.com/file/d/1O9Wvcjou_iIZTyph9XpkMX7T9lMBUNpe/view?usp=drivesdk","7918_TUTIK WAHYUNI _ SERTIFIKAT BerAKHLAK")</f>
        <v>7918_TUTIK WAHYUNI _ SERTIFIKAT BerAKHLAK</v>
      </c>
      <c r="P7919" s="5" t="s">
        <v>50002</v>
      </c>
    </row>
    <row r="7920">
      <c r="A7920" s="4">
        <v>45534.39002715278</v>
      </c>
      <c r="B7920" s="5" t="s">
        <v>34</v>
      </c>
      <c r="D7920" s="5" t="s">
        <v>1206</v>
      </c>
      <c r="E7920" s="5" t="s">
        <v>50003</v>
      </c>
      <c r="F7920" s="5" t="s">
        <v>37</v>
      </c>
      <c r="G7920" s="5" t="s">
        <v>50004</v>
      </c>
      <c r="H7920" s="6" t="s">
        <v>50005</v>
      </c>
      <c r="K7920" s="5" t="s">
        <v>49999</v>
      </c>
      <c r="M7920" s="5" t="s">
        <v>50006</v>
      </c>
      <c r="N7920" s="7" t="s">
        <v>50007</v>
      </c>
      <c r="O7920" s="8" t="str">
        <f>HYPERLINK("https://drive.google.com/file/d/1zOu-PiDpN1MlpyKT7YR84zcHMyjsK47Y/view?usp=drivesdk","7919_JUMA'YAH _ SERTIFIKAT BerAKHLAK")</f>
        <v>7919_JUMA'YAH _ SERTIFIKAT BerAKHLAK</v>
      </c>
      <c r="P7920" s="5" t="s">
        <v>50002</v>
      </c>
    </row>
    <row r="7921">
      <c r="A7921" s="4">
        <v>45534.3900834838</v>
      </c>
      <c r="B7921" s="5" t="s">
        <v>34</v>
      </c>
      <c r="D7921" s="5" t="s">
        <v>1206</v>
      </c>
      <c r="E7921" s="5" t="s">
        <v>50008</v>
      </c>
      <c r="F7921" s="5" t="s">
        <v>524</v>
      </c>
      <c r="G7921" s="5" t="s">
        <v>50009</v>
      </c>
      <c r="H7921" s="6" t="s">
        <v>50010</v>
      </c>
      <c r="K7921" s="5" t="s">
        <v>50011</v>
      </c>
      <c r="M7921" s="5" t="s">
        <v>50012</v>
      </c>
      <c r="N7921" s="7" t="s">
        <v>50013</v>
      </c>
      <c r="O7921" s="8" t="str">
        <f>HYPERLINK("https://drive.google.com/file/d/1pbqOr4aLjayy3XhIXl18-jpB13pFYkEf/view?usp=drivesdk","7920_IIN HERENTIKA, S. Kep., Ns _ SERTIFIKAT BerAKHLAK")</f>
        <v>7920_IIN HERENTIKA, S. Kep., Ns _ SERTIFIKAT BerAKHLAK</v>
      </c>
      <c r="P7921" s="5" t="s">
        <v>50002</v>
      </c>
    </row>
    <row r="7922">
      <c r="A7922" s="4">
        <v>45534.39009076389</v>
      </c>
      <c r="B7922" s="5" t="s">
        <v>34</v>
      </c>
      <c r="D7922" s="5" t="s">
        <v>14313</v>
      </c>
      <c r="E7922" s="5" t="s">
        <v>50014</v>
      </c>
      <c r="F7922" s="5" t="s">
        <v>120</v>
      </c>
      <c r="G7922" s="5" t="s">
        <v>50015</v>
      </c>
      <c r="H7922" s="6" t="s">
        <v>50016</v>
      </c>
      <c r="K7922" s="5" t="s">
        <v>50011</v>
      </c>
      <c r="M7922" s="5" t="s">
        <v>50017</v>
      </c>
      <c r="N7922" s="7" t="s">
        <v>50018</v>
      </c>
      <c r="O7922" s="8" t="str">
        <f>HYPERLINK("https://drive.google.com/file/d/1cDXxPXS4Vb4lM6oxfTygUjk1YEwlwZ6P/view?usp=drivesdk","7921_HARTATY, SS. M.Si. _ SERTIFIKAT BerAKHLAK")</f>
        <v>7921_HARTATY, SS. M.Si. _ SERTIFIKAT BerAKHLAK</v>
      </c>
      <c r="P7922" s="5" t="s">
        <v>50002</v>
      </c>
    </row>
    <row r="7923">
      <c r="A7923" s="4">
        <v>45534.39009981482</v>
      </c>
      <c r="B7923" s="5" t="s">
        <v>34</v>
      </c>
      <c r="D7923" s="5" t="s">
        <v>15401</v>
      </c>
      <c r="E7923" s="5" t="s">
        <v>50019</v>
      </c>
      <c r="F7923" s="5" t="s">
        <v>524</v>
      </c>
      <c r="G7923" s="5" t="s">
        <v>50020</v>
      </c>
      <c r="H7923" s="6" t="s">
        <v>50021</v>
      </c>
      <c r="K7923" s="5" t="s">
        <v>50011</v>
      </c>
      <c r="M7923" s="5" t="s">
        <v>50022</v>
      </c>
      <c r="N7923" s="7" t="s">
        <v>50023</v>
      </c>
      <c r="O7923" s="8" t="str">
        <f>HYPERLINK("https://drive.google.com/file/d/1S5BeovhIQg85MPXougHlHI3YG7giUvnw/view?usp=drivesdk","7922_ANDI SANTOSO, S.Kom _ SERTIFIKAT BerAKHLAK")</f>
        <v>7922_ANDI SANTOSO, S.Kom _ SERTIFIKAT BerAKHLAK</v>
      </c>
      <c r="P7923" s="5" t="s">
        <v>50002</v>
      </c>
    </row>
    <row r="7924">
      <c r="A7924" s="4">
        <v>45534.39023650463</v>
      </c>
      <c r="B7924" s="5" t="s">
        <v>34</v>
      </c>
      <c r="D7924" s="5" t="s">
        <v>12978</v>
      </c>
      <c r="E7924" s="5" t="s">
        <v>50024</v>
      </c>
      <c r="F7924" s="5" t="s">
        <v>375</v>
      </c>
      <c r="G7924" s="5" t="s">
        <v>50025</v>
      </c>
      <c r="H7924" s="6" t="s">
        <v>50026</v>
      </c>
      <c r="K7924" s="5" t="s">
        <v>50027</v>
      </c>
      <c r="M7924" s="5" t="s">
        <v>50028</v>
      </c>
      <c r="N7924" s="7" t="s">
        <v>50029</v>
      </c>
      <c r="O7924" s="8" t="str">
        <f>HYPERLINK("https://drive.google.com/file/d/1cZR4tpGp4ZoBAydGS-eyHXEwpRWaSAnM/view?usp=drivesdk","7923_JUNAIDI, S.Ag. _ SERTIFIKAT BerAKHLAK")</f>
        <v>7923_JUNAIDI, S.Ag. _ SERTIFIKAT BerAKHLAK</v>
      </c>
      <c r="P7924" s="5" t="s">
        <v>50030</v>
      </c>
    </row>
    <row r="7925" hidden="1">
      <c r="A7925" s="4">
        <v>45534.39024666666</v>
      </c>
      <c r="B7925" s="5" t="s">
        <v>19</v>
      </c>
      <c r="C7925" s="5" t="s">
        <v>45988</v>
      </c>
      <c r="E7925" s="5" t="s">
        <v>50031</v>
      </c>
      <c r="F7925" s="5" t="s">
        <v>212</v>
      </c>
      <c r="G7925" s="5" t="s">
        <v>50032</v>
      </c>
      <c r="H7925" s="6" t="s">
        <v>50033</v>
      </c>
      <c r="K7925" s="5" t="s">
        <v>50027</v>
      </c>
      <c r="M7925" s="5" t="s">
        <v>50034</v>
      </c>
      <c r="N7925" s="7" t="s">
        <v>50035</v>
      </c>
      <c r="O7925" s="8" t="str">
        <f>HYPERLINK("https://drive.google.com/file/d/1tJT3zkd9ygO3IM8SOwqKYE0neEbhCTS6/view?usp=drivesdk","7924_SUHARTATI _ SERTIFIKAT BerAKHLAK")</f>
        <v>7924_SUHARTATI _ SERTIFIKAT BerAKHLAK</v>
      </c>
      <c r="P7925" s="5" t="s">
        <v>50036</v>
      </c>
    </row>
    <row r="7926">
      <c r="A7926" s="4">
        <v>45534.39027527778</v>
      </c>
      <c r="B7926" s="5" t="s">
        <v>34</v>
      </c>
      <c r="D7926" s="5" t="s">
        <v>267</v>
      </c>
      <c r="E7926" s="5" t="s">
        <v>50037</v>
      </c>
      <c r="F7926" s="5" t="s">
        <v>524</v>
      </c>
      <c r="G7926" s="5" t="s">
        <v>50038</v>
      </c>
      <c r="H7926" s="6" t="s">
        <v>50039</v>
      </c>
      <c r="K7926" s="5" t="s">
        <v>50040</v>
      </c>
      <c r="M7926" s="5" t="s">
        <v>50041</v>
      </c>
      <c r="N7926" s="7" t="s">
        <v>50042</v>
      </c>
      <c r="O7926" s="8" t="str">
        <f>HYPERLINK("https://drive.google.com/file/d/1bk99lrxM3fkgS9boAXEmC5ApH2DoIF7e/view?usp=drivesdk","7925_YUSUP PURWANTA _ SERTIFIKAT BerAKHLAK")</f>
        <v>7925_YUSUP PURWANTA _ SERTIFIKAT BerAKHLAK</v>
      </c>
      <c r="P7926" s="5" t="s">
        <v>50043</v>
      </c>
    </row>
    <row r="7927">
      <c r="A7927" s="4">
        <v>45534.39035138889</v>
      </c>
      <c r="B7927" s="5" t="s">
        <v>34</v>
      </c>
      <c r="D7927" s="5" t="s">
        <v>1692</v>
      </c>
      <c r="E7927" s="5" t="s">
        <v>50044</v>
      </c>
      <c r="F7927" s="5" t="s">
        <v>72</v>
      </c>
      <c r="G7927" s="5" t="s">
        <v>50045</v>
      </c>
      <c r="H7927" s="6" t="s">
        <v>50046</v>
      </c>
      <c r="K7927" s="5" t="s">
        <v>50047</v>
      </c>
      <c r="M7927" s="5" t="s">
        <v>50048</v>
      </c>
      <c r="N7927" s="7" t="s">
        <v>50049</v>
      </c>
      <c r="O7927" s="8" t="str">
        <f>HYPERLINK("https://drive.google.com/file/d/1Yq-2jyH02AsgWmhuKoUV7dcUuDh_q8jF/view?usp=drivesdk","7926_JOHANIS PAAIS S.E _ SERTIFIKAT BerAKHLAK")</f>
        <v>7926_JOHANIS PAAIS S.E _ SERTIFIKAT BerAKHLAK</v>
      </c>
      <c r="P7927" s="5" t="s">
        <v>50043</v>
      </c>
    </row>
    <row r="7928" hidden="1">
      <c r="A7928" s="4">
        <v>45534.39036240741</v>
      </c>
      <c r="B7928" s="5" t="s">
        <v>19</v>
      </c>
      <c r="C7928" s="5" t="s">
        <v>292</v>
      </c>
      <c r="E7928" s="5" t="s">
        <v>50050</v>
      </c>
      <c r="F7928" s="5" t="s">
        <v>375</v>
      </c>
      <c r="G7928" s="5" t="s">
        <v>50051</v>
      </c>
      <c r="H7928" s="6" t="s">
        <v>50052</v>
      </c>
      <c r="K7928" s="5" t="s">
        <v>50047</v>
      </c>
      <c r="M7928" s="5" t="s">
        <v>50053</v>
      </c>
      <c r="N7928" s="7" t="s">
        <v>50054</v>
      </c>
      <c r="O7928" s="8" t="str">
        <f>HYPERLINK("https://drive.google.com/file/d/1inW0c5r4Wsq5EGvy6asiP88inUJYVIuH/view?usp=drivesdk","7927_DIANA RACHMAWATI, A.Md., S.Pd _ SERTIFIKAT BerAKHLAK")</f>
        <v>7927_DIANA RACHMAWATI, A.Md., S.Pd _ SERTIFIKAT BerAKHLAK</v>
      </c>
      <c r="P7928" s="5" t="s">
        <v>50043</v>
      </c>
    </row>
    <row r="7929">
      <c r="A7929" s="4">
        <v>45534.390382303245</v>
      </c>
      <c r="B7929" s="5" t="s">
        <v>34</v>
      </c>
      <c r="D7929" s="5" t="s">
        <v>1206</v>
      </c>
      <c r="E7929" s="5" t="s">
        <v>44469</v>
      </c>
      <c r="F7929" s="5" t="s">
        <v>199</v>
      </c>
      <c r="G7929" s="5" t="s">
        <v>50055</v>
      </c>
      <c r="H7929" s="6" t="s">
        <v>50056</v>
      </c>
      <c r="K7929" s="5" t="s">
        <v>50047</v>
      </c>
      <c r="M7929" s="5" t="s">
        <v>50057</v>
      </c>
      <c r="N7929" s="7" t="s">
        <v>50058</v>
      </c>
      <c r="O7929" s="8" t="str">
        <f>HYPERLINK("https://drive.google.com/file/d/16NmEBbSEy7_vctrdSzpAVDiUgkPYVIXv/view?usp=drivesdk","7928_SULASMI _ SERTIFIKAT BerAKHLAK")</f>
        <v>7928_SULASMI _ SERTIFIKAT BerAKHLAK</v>
      </c>
      <c r="P7929" s="5" t="s">
        <v>50043</v>
      </c>
    </row>
    <row r="7930">
      <c r="A7930" s="4">
        <v>45534.39038453704</v>
      </c>
      <c r="B7930" s="5" t="s">
        <v>34</v>
      </c>
      <c r="D7930" s="5" t="s">
        <v>14424</v>
      </c>
      <c r="E7930" s="5" t="s">
        <v>50059</v>
      </c>
      <c r="F7930" s="5" t="s">
        <v>108</v>
      </c>
      <c r="G7930" s="5" t="s">
        <v>50060</v>
      </c>
      <c r="H7930" s="6" t="s">
        <v>50061</v>
      </c>
      <c r="K7930" s="5" t="s">
        <v>50047</v>
      </c>
      <c r="M7930" s="5" t="s">
        <v>50062</v>
      </c>
      <c r="N7930" s="7" t="s">
        <v>50063</v>
      </c>
      <c r="O7930" s="8" t="str">
        <f>HYPERLINK("https://drive.google.com/file/d/1gjZc7QWfs_hJ_DBTZ6EFLXayVgGMvq_N/view?usp=drivesdk","7929_BENU AZALI _ SERTIFIKAT BerAKHLAK")</f>
        <v>7929_BENU AZALI _ SERTIFIKAT BerAKHLAK</v>
      </c>
      <c r="P7930" s="5" t="s">
        <v>50043</v>
      </c>
    </row>
    <row r="7931">
      <c r="A7931" s="4">
        <v>45534.3903865625</v>
      </c>
      <c r="B7931" s="5" t="s">
        <v>34</v>
      </c>
      <c r="D7931" s="5" t="s">
        <v>580</v>
      </c>
      <c r="E7931" s="5" t="s">
        <v>50064</v>
      </c>
      <c r="F7931" s="5" t="s">
        <v>524</v>
      </c>
      <c r="G7931" s="5" t="s">
        <v>50065</v>
      </c>
      <c r="H7931" s="6" t="s">
        <v>50066</v>
      </c>
      <c r="K7931" s="5" t="s">
        <v>50047</v>
      </c>
      <c r="M7931" s="5" t="s">
        <v>50067</v>
      </c>
      <c r="N7931" s="7" t="s">
        <v>50068</v>
      </c>
      <c r="O7931" s="8" t="str">
        <f>HYPERLINK("https://drive.google.com/file/d/1o8Y8yKc5yX-c01nls7BlvXZCAL-m2N9d/view?usp=drivesdk","7930_I Wayan Rudi Harta _ SERTIFIKAT BerAKHLAK")</f>
        <v>7930_I Wayan Rudi Harta _ SERTIFIKAT BerAKHLAK</v>
      </c>
      <c r="P7931" s="5" t="s">
        <v>50043</v>
      </c>
    </row>
    <row r="7932">
      <c r="A7932" s="4">
        <v>45534.390433622684</v>
      </c>
      <c r="B7932" s="5" t="s">
        <v>34</v>
      </c>
      <c r="D7932" s="5" t="s">
        <v>9020</v>
      </c>
      <c r="E7932" s="5" t="s">
        <v>50069</v>
      </c>
      <c r="F7932" s="5" t="s">
        <v>212</v>
      </c>
      <c r="G7932" s="5" t="s">
        <v>50070</v>
      </c>
      <c r="H7932" s="6" t="s">
        <v>50071</v>
      </c>
      <c r="K7932" s="5" t="s">
        <v>50047</v>
      </c>
      <c r="M7932" s="5" t="s">
        <v>50072</v>
      </c>
      <c r="N7932" s="7" t="s">
        <v>50073</v>
      </c>
      <c r="O7932" s="8" t="str">
        <f>HYPERLINK("https://drive.google.com/file/d/1ORKFV2QkPykm23KsA-C8xsWA1ufg1rgu/view?usp=drivesdk","7931_SERI MURTI SIREGAR _ SERTIFIKAT BerAKHLAK")</f>
        <v>7931_SERI MURTI SIREGAR _ SERTIFIKAT BerAKHLAK</v>
      </c>
      <c r="P7932" s="5" t="s">
        <v>50043</v>
      </c>
    </row>
    <row r="7933">
      <c r="A7933" s="4">
        <v>45534.3904416088</v>
      </c>
      <c r="B7933" s="5" t="s">
        <v>34</v>
      </c>
      <c r="D7933" s="5" t="s">
        <v>35</v>
      </c>
      <c r="E7933" s="5" t="s">
        <v>50074</v>
      </c>
      <c r="F7933" s="5" t="s">
        <v>37</v>
      </c>
      <c r="G7933" s="5" t="s">
        <v>50075</v>
      </c>
      <c r="H7933" s="6" t="s">
        <v>50076</v>
      </c>
      <c r="K7933" s="5" t="s">
        <v>50047</v>
      </c>
      <c r="M7933" s="5" t="s">
        <v>50077</v>
      </c>
      <c r="N7933" s="7" t="s">
        <v>50078</v>
      </c>
      <c r="O7933" s="8" t="str">
        <f>HYPERLINK("https://drive.google.com/file/d/1DrjDanOFs2gU-6oQkgxruhwZusl9GGxQ/view?usp=drivesdk","7932_WIDA NINGSIH _ SERTIFIKAT BerAKHLAK")</f>
        <v>7932_WIDA NINGSIH _ SERTIFIKAT BerAKHLAK</v>
      </c>
      <c r="P7933" s="5" t="s">
        <v>50079</v>
      </c>
    </row>
    <row r="7934">
      <c r="A7934" s="4">
        <v>45534.39045305556</v>
      </c>
      <c r="B7934" s="5" t="s">
        <v>34</v>
      </c>
      <c r="D7934" s="5" t="s">
        <v>1558</v>
      </c>
      <c r="E7934" s="5" t="s">
        <v>50080</v>
      </c>
      <c r="F7934" s="5" t="s">
        <v>375</v>
      </c>
      <c r="G7934" s="5" t="s">
        <v>50081</v>
      </c>
      <c r="H7934" s="6" t="s">
        <v>50082</v>
      </c>
      <c r="K7934" s="5" t="s">
        <v>50047</v>
      </c>
      <c r="M7934" s="5" t="s">
        <v>50083</v>
      </c>
      <c r="N7934" s="7" t="s">
        <v>50084</v>
      </c>
      <c r="O7934" s="8" t="str">
        <f>HYPERLINK("https://drive.google.com/file/d/1PhQfJIx0idUJS85HDUfUioFRtLgHENz6/view?usp=drivesdk","7933_SARI DEWI UMIATI, S.KOM, M.Tr.A.P. _ SERTIFIKAT BerAKHLAK")</f>
        <v>7933_SARI DEWI UMIATI, S.KOM, M.Tr.A.P. _ SERTIFIKAT BerAKHLAK</v>
      </c>
      <c r="P7934" s="5" t="s">
        <v>50079</v>
      </c>
    </row>
    <row r="7935">
      <c r="A7935" s="4">
        <v>45534.3904554051</v>
      </c>
      <c r="B7935" s="5" t="s">
        <v>34</v>
      </c>
      <c r="D7935" s="5" t="s">
        <v>1206</v>
      </c>
      <c r="E7935" s="5" t="s">
        <v>50085</v>
      </c>
      <c r="F7935" s="5" t="s">
        <v>212</v>
      </c>
      <c r="G7935" s="5" t="s">
        <v>50086</v>
      </c>
      <c r="H7935" s="6" t="s">
        <v>50087</v>
      </c>
      <c r="K7935" s="5" t="s">
        <v>50047</v>
      </c>
      <c r="M7935" s="5" t="s">
        <v>50088</v>
      </c>
      <c r="N7935" s="7" t="s">
        <v>50089</v>
      </c>
      <c r="O7935" s="8" t="str">
        <f>HYPERLINK("https://drive.google.com/file/d/1YZMHaykNJ09izy-DxgPhjMbXXyF4YKGF/view?usp=drivesdk","7934_SUGIARTI  _ SERTIFIKAT BerAKHLAK")</f>
        <v>7934_SUGIARTI  _ SERTIFIKAT BerAKHLAK</v>
      </c>
      <c r="P7935" s="5" t="s">
        <v>50079</v>
      </c>
    </row>
    <row r="7936" hidden="1">
      <c r="A7936" s="4">
        <v>45534.39047672454</v>
      </c>
      <c r="B7936" s="5" t="s">
        <v>19</v>
      </c>
      <c r="C7936" s="5" t="s">
        <v>45988</v>
      </c>
      <c r="E7936" s="5" t="s">
        <v>50090</v>
      </c>
      <c r="F7936" s="5" t="s">
        <v>108</v>
      </c>
      <c r="G7936" s="5" t="s">
        <v>50091</v>
      </c>
      <c r="H7936" s="6" t="s">
        <v>50092</v>
      </c>
      <c r="K7936" s="5" t="s">
        <v>50047</v>
      </c>
      <c r="M7936" s="5" t="s">
        <v>50093</v>
      </c>
      <c r="N7936" s="7" t="s">
        <v>50094</v>
      </c>
      <c r="O7936" s="8" t="str">
        <f>HYPERLINK("https://drive.google.com/file/d/1MgNV4uTLdGH_4HeO0W_JtQQvLqu9_tRP/view?usp=drivesdk","7935_YULIANTO PURNOMO SIDI, S.KOM _ SERTIFIKAT BerAKHLAK")</f>
        <v>7935_YULIANTO PURNOMO SIDI, S.KOM _ SERTIFIKAT BerAKHLAK</v>
      </c>
      <c r="P7936" s="5" t="s">
        <v>50079</v>
      </c>
    </row>
    <row r="7937">
      <c r="A7937" s="4">
        <v>45534.390495775464</v>
      </c>
      <c r="B7937" s="5" t="s">
        <v>34</v>
      </c>
      <c r="D7937" s="5" t="s">
        <v>14313</v>
      </c>
      <c r="E7937" s="5" t="s">
        <v>50095</v>
      </c>
      <c r="F7937" s="5" t="s">
        <v>715</v>
      </c>
      <c r="G7937" s="5" t="s">
        <v>50096</v>
      </c>
      <c r="H7937" s="6" t="s">
        <v>50097</v>
      </c>
      <c r="K7937" s="5" t="s">
        <v>50098</v>
      </c>
      <c r="M7937" s="5" t="s">
        <v>50099</v>
      </c>
      <c r="N7937" s="7" t="s">
        <v>50100</v>
      </c>
      <c r="O7937" s="8" t="str">
        <f>HYPERLINK("https://drive.google.com/file/d/1KPOBnrizpgb0AVCKAdLbE8uA6hGTjOLR/view?usp=drivesdk","7936_DEWIANTY. P. S.pd _ SERTIFIKAT BerAKHLAK")</f>
        <v>7936_DEWIANTY. P. S.pd _ SERTIFIKAT BerAKHLAK</v>
      </c>
      <c r="P7937" s="5" t="s">
        <v>50079</v>
      </c>
    </row>
    <row r="7938" hidden="1">
      <c r="A7938" s="4">
        <v>45534.3905000463</v>
      </c>
      <c r="B7938" s="5" t="s">
        <v>19</v>
      </c>
      <c r="C7938" s="5" t="s">
        <v>40230</v>
      </c>
      <c r="E7938" s="5" t="s">
        <v>50101</v>
      </c>
      <c r="F7938" s="5" t="s">
        <v>108</v>
      </c>
      <c r="G7938" s="5" t="s">
        <v>50102</v>
      </c>
      <c r="H7938" s="6" t="s">
        <v>50103</v>
      </c>
      <c r="K7938" s="5" t="s">
        <v>50098</v>
      </c>
      <c r="M7938" s="5" t="s">
        <v>50104</v>
      </c>
      <c r="N7938" s="7" t="s">
        <v>50105</v>
      </c>
      <c r="O7938" s="8" t="str">
        <f>HYPERLINK("https://drive.google.com/file/d/1hNvxfux8oQWNyRQ8ikY3jUC7l81XIMSL/view?usp=drivesdk","7937_ACHMAD MARDIANSYAH _ SERTIFIKAT BerAKHLAK")</f>
        <v>7937_ACHMAD MARDIANSYAH _ SERTIFIKAT BerAKHLAK</v>
      </c>
      <c r="P7938" s="5" t="s">
        <v>50079</v>
      </c>
    </row>
    <row r="7939" hidden="1">
      <c r="A7939" s="4">
        <v>45534.39055739583</v>
      </c>
      <c r="B7939" s="5" t="s">
        <v>19</v>
      </c>
      <c r="C7939" s="5" t="s">
        <v>14000</v>
      </c>
      <c r="E7939" s="5" t="s">
        <v>19645</v>
      </c>
      <c r="F7939" s="5" t="s">
        <v>37</v>
      </c>
      <c r="G7939" s="5" t="s">
        <v>50106</v>
      </c>
      <c r="H7939" s="6" t="s">
        <v>50107</v>
      </c>
      <c r="K7939" s="5" t="s">
        <v>50108</v>
      </c>
      <c r="M7939" s="5" t="s">
        <v>50109</v>
      </c>
      <c r="N7939" s="7" t="s">
        <v>50110</v>
      </c>
      <c r="O7939" s="8" t="str">
        <f>HYPERLINK("https://drive.google.com/file/d/1OyZY9MRpLpEugCCKWxjqmOoX_3P8J8Oy/view?usp=drivesdk","7938_KARTIKA AYU AFRIANI _ SERTIFIKAT BerAKHLAK")</f>
        <v>7938_KARTIKA AYU AFRIANI _ SERTIFIKAT BerAKHLAK</v>
      </c>
      <c r="P7939" s="5" t="s">
        <v>50111</v>
      </c>
    </row>
    <row r="7940">
      <c r="A7940" s="4">
        <v>45534.39059386574</v>
      </c>
      <c r="B7940" s="5" t="s">
        <v>34</v>
      </c>
      <c r="D7940" s="5" t="s">
        <v>9020</v>
      </c>
      <c r="E7940" s="5" t="s">
        <v>50112</v>
      </c>
      <c r="F7940" s="5" t="s">
        <v>37</v>
      </c>
      <c r="G7940" s="5" t="s">
        <v>50113</v>
      </c>
      <c r="H7940" s="6" t="s">
        <v>50114</v>
      </c>
      <c r="K7940" s="5" t="s">
        <v>50115</v>
      </c>
      <c r="M7940" s="5" t="s">
        <v>50116</v>
      </c>
      <c r="N7940" s="7" t="s">
        <v>50117</v>
      </c>
      <c r="O7940" s="8" t="str">
        <f>HYPERLINK("https://drive.google.com/file/d/1mAi3Z5L6NqP18hOSt7GEnoCduQevo2Kf/view?usp=drivesdk","7939_DAHRIWAN SIMAMORA _ SERTIFIKAT BerAKHLAK")</f>
        <v>7939_DAHRIWAN SIMAMORA _ SERTIFIKAT BerAKHLAK</v>
      </c>
      <c r="P7940" s="5" t="s">
        <v>49594</v>
      </c>
    </row>
    <row r="7941">
      <c r="A7941" s="4">
        <v>45534.390597210644</v>
      </c>
      <c r="B7941" s="5" t="s">
        <v>34</v>
      </c>
      <c r="D7941" s="5" t="s">
        <v>9020</v>
      </c>
      <c r="E7941" s="5" t="s">
        <v>50118</v>
      </c>
      <c r="F7941" s="5" t="s">
        <v>212</v>
      </c>
      <c r="G7941" s="5" t="s">
        <v>50119</v>
      </c>
      <c r="H7941" s="6" t="s">
        <v>50120</v>
      </c>
      <c r="K7941" s="5" t="s">
        <v>50115</v>
      </c>
      <c r="M7941" s="5" t="s">
        <v>50121</v>
      </c>
      <c r="N7941" s="7" t="s">
        <v>50122</v>
      </c>
      <c r="O7941" s="8" t="str">
        <f>HYPERLINK("https://drive.google.com/file/d/1UOE3CNxQpAse5HdkRoZFzHQhcE5Fwea5/view?usp=drivesdk","7940_TIOROMA SIMATUPANG _ SERTIFIKAT BerAKHLAK")</f>
        <v>7940_TIOROMA SIMATUPANG _ SERTIFIKAT BerAKHLAK</v>
      </c>
      <c r="P7941" s="5" t="s">
        <v>49594</v>
      </c>
    </row>
    <row r="7942">
      <c r="A7942" s="4">
        <v>45534.390615625</v>
      </c>
      <c r="B7942" s="5" t="s">
        <v>34</v>
      </c>
      <c r="D7942" s="5" t="s">
        <v>1206</v>
      </c>
      <c r="E7942" s="5" t="s">
        <v>50123</v>
      </c>
      <c r="F7942" s="5" t="s">
        <v>212</v>
      </c>
      <c r="G7942" s="5" t="s">
        <v>50124</v>
      </c>
      <c r="H7942" s="6" t="s">
        <v>50125</v>
      </c>
      <c r="K7942" s="5" t="s">
        <v>50126</v>
      </c>
      <c r="M7942" s="5" t="s">
        <v>50127</v>
      </c>
      <c r="N7942" s="7" t="s">
        <v>50128</v>
      </c>
      <c r="O7942" s="8" t="str">
        <f>HYPERLINK("https://drive.google.com/file/d/1YgQQvxTYIajhvulDDl2hN295CkRmzj8H/view?usp=drivesdk","7941_SUYOKO _ SERTIFIKAT BerAKHLAK")</f>
        <v>7941_SUYOKO _ SERTIFIKAT BerAKHLAK</v>
      </c>
      <c r="P7942" s="5" t="s">
        <v>49594</v>
      </c>
    </row>
    <row r="7943">
      <c r="A7943" s="4">
        <v>45534.39063408565</v>
      </c>
      <c r="B7943" s="5" t="s">
        <v>34</v>
      </c>
      <c r="D7943" s="5" t="s">
        <v>10444</v>
      </c>
      <c r="E7943" s="5" t="s">
        <v>50129</v>
      </c>
      <c r="F7943" s="5" t="s">
        <v>375</v>
      </c>
      <c r="G7943" s="5" t="s">
        <v>50130</v>
      </c>
      <c r="H7943" s="6" t="s">
        <v>50131</v>
      </c>
      <c r="K7943" s="5" t="s">
        <v>50126</v>
      </c>
      <c r="M7943" s="5" t="s">
        <v>50132</v>
      </c>
      <c r="N7943" s="7" t="s">
        <v>50133</v>
      </c>
      <c r="O7943" s="8" t="str">
        <f>HYPERLINK("https://drive.google.com/file/d/13o1n1rwfgi1Jo7XF2UzAjnr4vlVGRkW5/view?usp=drivesdk","7942_YULIA RAHMAWATI, S.Sos. _ SERTIFIKAT BerAKHLAK")</f>
        <v>7942_YULIA RAHMAWATI, S.Sos. _ SERTIFIKAT BerAKHLAK</v>
      </c>
      <c r="P7943" s="5" t="s">
        <v>49622</v>
      </c>
    </row>
    <row r="7944" hidden="1">
      <c r="A7944" s="4">
        <v>45534.39069435185</v>
      </c>
      <c r="B7944" s="5" t="s">
        <v>19</v>
      </c>
      <c r="C7944" s="5" t="s">
        <v>292</v>
      </c>
      <c r="E7944" s="5" t="s">
        <v>50134</v>
      </c>
      <c r="F7944" s="5" t="s">
        <v>120</v>
      </c>
      <c r="G7944" s="5" t="s">
        <v>50135</v>
      </c>
      <c r="H7944" s="6" t="s">
        <v>50136</v>
      </c>
      <c r="K7944" s="5" t="s">
        <v>50137</v>
      </c>
      <c r="M7944" s="5" t="s">
        <v>50138</v>
      </c>
      <c r="N7944" s="7" t="s">
        <v>50139</v>
      </c>
      <c r="O7944" s="8" t="str">
        <f>HYPERLINK("https://drive.google.com/file/d/1aSY5gD2vuUSVzN5smV849I_9Auxg0ek_/view?usp=drivesdk","7943_MAHDIN GAJA, S. Ag., M. Ag. _ SERTIFIKAT BerAKHLAK")</f>
        <v>7943_MAHDIN GAJA, S. Ag., M. Ag. _ SERTIFIKAT BerAKHLAK</v>
      </c>
      <c r="P7944" s="5" t="s">
        <v>49622</v>
      </c>
    </row>
    <row r="7945">
      <c r="A7945" s="4">
        <v>45534.39070841435</v>
      </c>
      <c r="B7945" s="5" t="s">
        <v>34</v>
      </c>
      <c r="D7945" s="5" t="s">
        <v>1558</v>
      </c>
      <c r="E7945" s="5" t="s">
        <v>50140</v>
      </c>
      <c r="F7945" s="5" t="s">
        <v>108</v>
      </c>
      <c r="G7945" s="5" t="s">
        <v>50141</v>
      </c>
      <c r="H7945" s="6" t="s">
        <v>50142</v>
      </c>
      <c r="K7945" s="5" t="s">
        <v>50137</v>
      </c>
      <c r="M7945" s="5" t="s">
        <v>50143</v>
      </c>
      <c r="N7945" s="7" t="s">
        <v>50144</v>
      </c>
      <c r="O7945" s="8" t="str">
        <f>HYPERLINK("https://drive.google.com/file/d/1bbVF_KkfDHBZdDzSiRVfXMqPEQv4-063/view?usp=drivesdk","7944_FARIDA DINI YANTI _ SERTIFIKAT BerAKHLAK")</f>
        <v>7944_FARIDA DINI YANTI _ SERTIFIKAT BerAKHLAK</v>
      </c>
      <c r="P7945" s="5" t="s">
        <v>49622</v>
      </c>
    </row>
    <row r="7946">
      <c r="A7946" s="4">
        <v>45534.39071775463</v>
      </c>
      <c r="B7946" s="5" t="s">
        <v>34</v>
      </c>
      <c r="D7946" s="5" t="s">
        <v>6232</v>
      </c>
      <c r="E7946" s="5" t="s">
        <v>50145</v>
      </c>
      <c r="F7946" s="5" t="s">
        <v>524</v>
      </c>
      <c r="G7946" s="5" t="s">
        <v>50146</v>
      </c>
      <c r="H7946" s="6" t="s">
        <v>50147</v>
      </c>
      <c r="K7946" s="5" t="s">
        <v>50137</v>
      </c>
      <c r="M7946" s="5" t="s">
        <v>50148</v>
      </c>
      <c r="N7946" s="7" t="s">
        <v>50149</v>
      </c>
      <c r="O7946" s="8" t="str">
        <f>HYPERLINK("https://drive.google.com/file/d/1hSWWWNiaF5MBZz2GpdAPQ5WSp34KLvR5/view?usp=drivesdk","7945_NOVIANTI SYAM,Am.Kep _ SERTIFIKAT BerAKHLAK")</f>
        <v>7945_NOVIANTI SYAM,Am.Kep _ SERTIFIKAT BerAKHLAK</v>
      </c>
      <c r="P7946" s="5" t="s">
        <v>49622</v>
      </c>
    </row>
    <row r="7947">
      <c r="A7947" s="4">
        <v>45534.39075006945</v>
      </c>
      <c r="B7947" s="5" t="s">
        <v>34</v>
      </c>
      <c r="D7947" s="5" t="s">
        <v>1558</v>
      </c>
      <c r="E7947" s="5" t="s">
        <v>18710</v>
      </c>
      <c r="F7947" s="5" t="s">
        <v>37</v>
      </c>
      <c r="G7947" s="5" t="s">
        <v>50150</v>
      </c>
      <c r="H7947" s="6" t="s">
        <v>50151</v>
      </c>
      <c r="K7947" s="5" t="s">
        <v>50152</v>
      </c>
      <c r="M7947" s="5" t="s">
        <v>50153</v>
      </c>
      <c r="N7947" s="7" t="s">
        <v>50154</v>
      </c>
      <c r="O7947" s="8" t="str">
        <f>HYPERLINK("https://drive.google.com/file/d/17L9e4LtSVWGocECCorN0wgrJ_3wtz25x/view?usp=drivesdk","7946_WAHYUDI _ SERTIFIKAT BerAKHLAK")</f>
        <v>7946_WAHYUDI _ SERTIFIKAT BerAKHLAK</v>
      </c>
      <c r="P7947" s="5" t="s">
        <v>49622</v>
      </c>
    </row>
    <row r="7948">
      <c r="A7948" s="4">
        <v>45534.390774155094</v>
      </c>
      <c r="B7948" s="5" t="s">
        <v>34</v>
      </c>
      <c r="D7948" s="5" t="s">
        <v>9394</v>
      </c>
      <c r="E7948" s="5" t="s">
        <v>50155</v>
      </c>
      <c r="F7948" s="5" t="s">
        <v>524</v>
      </c>
      <c r="G7948" s="5" t="s">
        <v>50156</v>
      </c>
      <c r="H7948" s="6" t="s">
        <v>50157</v>
      </c>
      <c r="K7948" s="5" t="s">
        <v>50152</v>
      </c>
      <c r="M7948" s="5" t="s">
        <v>50158</v>
      </c>
      <c r="N7948" s="7" t="s">
        <v>50159</v>
      </c>
      <c r="O7948" s="8" t="str">
        <f>HYPERLINK("https://drive.google.com/file/d/1_tARdSmrXdAOkUctp6at7-7BWJtrAhXu/view?usp=drivesdk","7947_PAREL SiHITE _ SERTIFIKAT BerAKHLAK")</f>
        <v>7947_PAREL SiHITE _ SERTIFIKAT BerAKHLAK</v>
      </c>
      <c r="P7948" s="5" t="s">
        <v>49639</v>
      </c>
    </row>
    <row r="7949">
      <c r="A7949" s="4">
        <v>45534.39078717593</v>
      </c>
      <c r="B7949" s="5" t="s">
        <v>34</v>
      </c>
      <c r="D7949" s="5" t="s">
        <v>1456</v>
      </c>
      <c r="E7949" s="5" t="s">
        <v>50160</v>
      </c>
      <c r="F7949" s="5" t="s">
        <v>108</v>
      </c>
      <c r="G7949" s="5" t="s">
        <v>50161</v>
      </c>
      <c r="H7949" s="6" t="s">
        <v>50162</v>
      </c>
      <c r="K7949" s="5" t="s">
        <v>50152</v>
      </c>
      <c r="M7949" s="5" t="s">
        <v>50163</v>
      </c>
      <c r="N7949" s="7" t="s">
        <v>50164</v>
      </c>
      <c r="O7949" s="8" t="str">
        <f>HYPERLINK("https://drive.google.com/file/d/1cCx3XFHZXswJSpm2W2kRCZaTMl-TkZEi/view?usp=drivesdk","7948_NURHAYATI,S.KOM _ SERTIFIKAT BerAKHLAK")</f>
        <v>7948_NURHAYATI,S.KOM _ SERTIFIKAT BerAKHLAK</v>
      </c>
      <c r="P7949" s="5" t="s">
        <v>49639</v>
      </c>
    </row>
    <row r="7950">
      <c r="A7950" s="4">
        <v>45534.390799733796</v>
      </c>
      <c r="B7950" s="5" t="s">
        <v>34</v>
      </c>
      <c r="D7950" s="5" t="s">
        <v>9394</v>
      </c>
      <c r="E7950" s="5" t="s">
        <v>50165</v>
      </c>
      <c r="F7950" s="5" t="s">
        <v>37</v>
      </c>
      <c r="G7950" s="5" t="s">
        <v>50166</v>
      </c>
      <c r="H7950" s="6" t="s">
        <v>50167</v>
      </c>
      <c r="K7950" s="5" t="s">
        <v>50152</v>
      </c>
      <c r="M7950" s="5" t="s">
        <v>50168</v>
      </c>
      <c r="N7950" s="7" t="s">
        <v>50169</v>
      </c>
      <c r="O7950" s="8" t="str">
        <f>HYPERLINK("https://drive.google.com/file/d/1CNYy-lt9OS0reE376tMP81vWsHEAr44-/view?usp=drivesdk","7949_JUHANANINGSIH _ SERTIFIKAT BerAKHLAK")</f>
        <v>7949_JUHANANINGSIH _ SERTIFIKAT BerAKHLAK</v>
      </c>
      <c r="P7950" s="5" t="s">
        <v>49639</v>
      </c>
    </row>
    <row r="7951">
      <c r="A7951" s="4">
        <v>45534.39082020833</v>
      </c>
      <c r="B7951" s="5" t="s">
        <v>34</v>
      </c>
      <c r="D7951" s="5" t="s">
        <v>2903</v>
      </c>
      <c r="E7951" s="5" t="s">
        <v>50170</v>
      </c>
      <c r="F7951" s="5" t="s">
        <v>199</v>
      </c>
      <c r="G7951" s="5" t="s">
        <v>50171</v>
      </c>
      <c r="H7951" s="6" t="s">
        <v>50172</v>
      </c>
      <c r="K7951" s="5" t="s">
        <v>50152</v>
      </c>
      <c r="M7951" s="5" t="s">
        <v>50173</v>
      </c>
      <c r="N7951" s="7" t="s">
        <v>50174</v>
      </c>
      <c r="O7951" s="8" t="str">
        <f>HYPERLINK("https://drive.google.com/file/d/1NQKgsme7Luw8Qr6ls7AhQgfNMBNAX1Oq/view?usp=drivesdk","7950_DR. SYAHIDATUL ARIFA _ SERTIFIKAT BerAKHLAK")</f>
        <v>7950_DR. SYAHIDATUL ARIFA _ SERTIFIKAT BerAKHLAK</v>
      </c>
      <c r="P7951" s="5" t="s">
        <v>49639</v>
      </c>
    </row>
    <row r="7952">
      <c r="A7952" s="4">
        <v>45534.3908391088</v>
      </c>
      <c r="B7952" s="5" t="s">
        <v>34</v>
      </c>
      <c r="D7952" s="5" t="s">
        <v>35</v>
      </c>
      <c r="E7952" s="5" t="s">
        <v>50175</v>
      </c>
      <c r="F7952" s="5" t="s">
        <v>212</v>
      </c>
      <c r="G7952" s="5" t="s">
        <v>50176</v>
      </c>
      <c r="H7952" s="6" t="s">
        <v>50177</v>
      </c>
      <c r="K7952" s="5" t="s">
        <v>50178</v>
      </c>
      <c r="M7952" s="5" t="s">
        <v>50179</v>
      </c>
      <c r="N7952" s="7" t="s">
        <v>50180</v>
      </c>
      <c r="O7952" s="8" t="str">
        <f>HYPERLINK("https://drive.google.com/file/d/1-qbtTOis08tVw44UipxbcZwcelZdGc1t/view?usp=drivesdk","7951_ENOK ROHAETI _ SERTIFIKAT BerAKHLAK")</f>
        <v>7951_ENOK ROHAETI _ SERTIFIKAT BerAKHLAK</v>
      </c>
      <c r="P7952" s="5" t="s">
        <v>49639</v>
      </c>
    </row>
    <row r="7953" hidden="1">
      <c r="A7953" s="4">
        <v>45534.390884849534</v>
      </c>
      <c r="B7953" s="5" t="s">
        <v>19</v>
      </c>
      <c r="C7953" s="5" t="s">
        <v>20</v>
      </c>
      <c r="E7953" s="5" t="s">
        <v>50181</v>
      </c>
      <c r="F7953" s="5" t="s">
        <v>212</v>
      </c>
      <c r="G7953" s="5" t="s">
        <v>50182</v>
      </c>
      <c r="H7953" s="6" t="s">
        <v>50183</v>
      </c>
      <c r="K7953" s="5" t="s">
        <v>50178</v>
      </c>
      <c r="M7953" s="5" t="s">
        <v>50184</v>
      </c>
      <c r="N7953" s="7" t="s">
        <v>50185</v>
      </c>
      <c r="O7953" s="8" t="str">
        <f>HYPERLINK("https://drive.google.com/file/d/121ZeT8cDph1amH3-gtJm87kohZCRR4Q8/view?usp=drivesdk","7952_TITIK SULISTYANINGRUM _ SERTIFIKAT BerAKHLAK")</f>
        <v>7952_TITIK SULISTYANINGRUM _ SERTIFIKAT BerAKHLAK</v>
      </c>
      <c r="P7953" s="5" t="s">
        <v>49639</v>
      </c>
    </row>
    <row r="7954">
      <c r="A7954" s="4">
        <v>45534.39089793981</v>
      </c>
      <c r="B7954" s="5" t="s">
        <v>34</v>
      </c>
      <c r="D7954" s="5" t="s">
        <v>1206</v>
      </c>
      <c r="E7954" s="5" t="s">
        <v>50186</v>
      </c>
      <c r="F7954" s="5" t="s">
        <v>328</v>
      </c>
      <c r="G7954" s="5" t="s">
        <v>50187</v>
      </c>
      <c r="H7954" s="6" t="s">
        <v>50188</v>
      </c>
      <c r="K7954" s="5" t="s">
        <v>50178</v>
      </c>
      <c r="M7954" s="5" t="s">
        <v>50189</v>
      </c>
      <c r="N7954" s="7" t="s">
        <v>50190</v>
      </c>
      <c r="O7954" s="8" t="str">
        <f>HYPERLINK("https://drive.google.com/file/d/1RrH8lIfTbE_zX9Sg7KRp21EfY6et9Uic/view?usp=drivesdk","7953_HARTOJO _ SERTIFIKAT BerAKHLAK")</f>
        <v>7953_HARTOJO _ SERTIFIKAT BerAKHLAK</v>
      </c>
      <c r="P7954" s="5" t="s">
        <v>49652</v>
      </c>
    </row>
    <row r="7955">
      <c r="A7955" s="4">
        <v>45534.39092363426</v>
      </c>
      <c r="B7955" s="5" t="s">
        <v>34</v>
      </c>
      <c r="D7955" s="5" t="s">
        <v>6232</v>
      </c>
      <c r="E7955" s="5" t="s">
        <v>50191</v>
      </c>
      <c r="F7955" s="5" t="s">
        <v>37</v>
      </c>
      <c r="G7955" s="5" t="s">
        <v>50192</v>
      </c>
      <c r="H7955" s="6" t="s">
        <v>50193</v>
      </c>
      <c r="K7955" s="5" t="s">
        <v>50194</v>
      </c>
      <c r="M7955" s="5" t="s">
        <v>50195</v>
      </c>
      <c r="N7955" s="7" t="s">
        <v>50196</v>
      </c>
      <c r="O7955" s="8" t="str">
        <f>HYPERLINK("https://drive.google.com/file/d/1zWhSWUW-RIfWHn58iA69OzVg42-CNU6x/view?usp=drivesdk","7954_DEVY SIMANJUNTAK _ SERTIFIKAT BerAKHLAK")</f>
        <v>7954_DEVY SIMANJUNTAK _ SERTIFIKAT BerAKHLAK</v>
      </c>
      <c r="P7955" s="5" t="s">
        <v>49652</v>
      </c>
    </row>
    <row r="7956">
      <c r="A7956" s="4">
        <v>45534.39092505787</v>
      </c>
      <c r="B7956" s="5" t="s">
        <v>34</v>
      </c>
      <c r="D7956" s="5" t="s">
        <v>701</v>
      </c>
      <c r="E7956" s="5" t="s">
        <v>50197</v>
      </c>
      <c r="F7956" s="5" t="s">
        <v>212</v>
      </c>
      <c r="G7956" s="5" t="s">
        <v>50198</v>
      </c>
      <c r="H7956" s="6" t="s">
        <v>50199</v>
      </c>
      <c r="K7956" s="5" t="s">
        <v>50194</v>
      </c>
      <c r="M7956" s="5" t="s">
        <v>50200</v>
      </c>
      <c r="N7956" s="7" t="s">
        <v>50201</v>
      </c>
      <c r="O7956" s="8" t="str">
        <f>HYPERLINK("https://drive.google.com/file/d/10dM2juVyKjxleMZOnUlAsUE6y-48YT0b/view?usp=drivesdk","7955_SUSANTI _ SERTIFIKAT BerAKHLAK")</f>
        <v>7955_SUSANTI _ SERTIFIKAT BerAKHLAK</v>
      </c>
      <c r="P7956" s="5" t="s">
        <v>49652</v>
      </c>
    </row>
    <row r="7957">
      <c r="A7957" s="4">
        <v>45534.39095310185</v>
      </c>
      <c r="B7957" s="5" t="s">
        <v>34</v>
      </c>
      <c r="D7957" s="5" t="s">
        <v>701</v>
      </c>
      <c r="E7957" s="5" t="s">
        <v>50202</v>
      </c>
      <c r="F7957" s="5" t="s">
        <v>715</v>
      </c>
      <c r="G7957" s="5" t="s">
        <v>50203</v>
      </c>
      <c r="H7957" s="6" t="s">
        <v>50204</v>
      </c>
      <c r="K7957" s="5" t="s">
        <v>50205</v>
      </c>
      <c r="M7957" s="5" t="s">
        <v>50206</v>
      </c>
      <c r="N7957" s="7" t="s">
        <v>50207</v>
      </c>
      <c r="O7957" s="8" t="str">
        <f>HYPERLINK("https://drive.google.com/file/d/1LEEAM3X7ZA7uujvjPH5ANc0r1T5IZWWP/view?usp=drivesdk","7956_MERI AGUSTINA, S. E.  _ SERTIFIKAT BerAKHLAK")</f>
        <v>7956_MERI AGUSTINA, S. E.  _ SERTIFIKAT BerAKHLAK</v>
      </c>
      <c r="P7957" s="5" t="s">
        <v>49652</v>
      </c>
    </row>
    <row r="7958">
      <c r="A7958" s="4">
        <v>45534.39095931713</v>
      </c>
      <c r="B7958" s="5" t="s">
        <v>34</v>
      </c>
      <c r="D7958" s="5" t="s">
        <v>1206</v>
      </c>
      <c r="E7958" s="5" t="s">
        <v>50208</v>
      </c>
      <c r="F7958" s="5" t="s">
        <v>37</v>
      </c>
      <c r="G7958" s="5" t="s">
        <v>50209</v>
      </c>
      <c r="H7958" s="6" t="s">
        <v>50210</v>
      </c>
      <c r="K7958" s="5" t="s">
        <v>50205</v>
      </c>
      <c r="M7958" s="5" t="s">
        <v>50211</v>
      </c>
      <c r="N7958" s="7" t="s">
        <v>50212</v>
      </c>
      <c r="O7958" s="8" t="str">
        <f>HYPERLINK("https://drive.google.com/file/d/17iys05nDZXRaxkOe058b35epEBCFVmlJ/view?usp=drivesdk","7957_SRI ENDAH WAHYUNINGSIH _ SERTIFIKAT BerAKHLAK")</f>
        <v>7957_SRI ENDAH WAHYUNINGSIH _ SERTIFIKAT BerAKHLAK</v>
      </c>
      <c r="P7958" s="5" t="s">
        <v>49652</v>
      </c>
    </row>
    <row r="7959">
      <c r="A7959" s="4">
        <v>45534.390973217596</v>
      </c>
      <c r="B7959" s="5" t="s">
        <v>34</v>
      </c>
      <c r="D7959" s="5" t="s">
        <v>4775</v>
      </c>
      <c r="E7959" s="5" t="s">
        <v>50213</v>
      </c>
      <c r="F7959" s="5" t="s">
        <v>212</v>
      </c>
      <c r="G7959" s="5" t="s">
        <v>50214</v>
      </c>
      <c r="H7959" s="6" t="s">
        <v>50215</v>
      </c>
      <c r="K7959" s="5" t="s">
        <v>50205</v>
      </c>
      <c r="M7959" s="5" t="s">
        <v>50216</v>
      </c>
      <c r="N7959" s="7" t="s">
        <v>50217</v>
      </c>
      <c r="O7959" s="8" t="str">
        <f>HYPERLINK("https://drive.google.com/file/d/1SUnYGDDxXSvG3CDiAgVk8L8oBweUCPxi/view?usp=drivesdk","7958_SUPARNO  _ SERTIFIKAT BerAKHLAK")</f>
        <v>7958_SUPARNO  _ SERTIFIKAT BerAKHLAK</v>
      </c>
      <c r="P7959" s="5" t="s">
        <v>49674</v>
      </c>
    </row>
    <row r="7960">
      <c r="A7960" s="4">
        <v>45534.390991249995</v>
      </c>
      <c r="B7960" s="5" t="s">
        <v>34</v>
      </c>
      <c r="D7960" s="5" t="s">
        <v>9020</v>
      </c>
      <c r="E7960" s="5" t="s">
        <v>50218</v>
      </c>
      <c r="F7960" s="5" t="s">
        <v>120</v>
      </c>
      <c r="G7960" s="5" t="s">
        <v>50219</v>
      </c>
      <c r="H7960" s="6" t="s">
        <v>50220</v>
      </c>
      <c r="K7960" s="5" t="s">
        <v>50205</v>
      </c>
      <c r="M7960" s="5" t="s">
        <v>50221</v>
      </c>
      <c r="N7960" s="7" t="s">
        <v>50222</v>
      </c>
      <c r="O7960" s="8" t="str">
        <f>HYPERLINK("https://drive.google.com/file/d/1444FUZVsw2zEN6ivJamJiADM-UIENU3J/view?usp=drivesdk","7959_RIOMSI TRISINA  _ SERTIFIKAT BerAKHLAK")</f>
        <v>7959_RIOMSI TRISINA  _ SERTIFIKAT BerAKHLAK</v>
      </c>
      <c r="P7960" s="5" t="s">
        <v>49674</v>
      </c>
    </row>
    <row r="7961">
      <c r="A7961" s="4">
        <v>45534.391032997686</v>
      </c>
      <c r="B7961" s="5" t="s">
        <v>34</v>
      </c>
      <c r="D7961" s="5" t="s">
        <v>3849</v>
      </c>
      <c r="E7961" s="5" t="s">
        <v>50223</v>
      </c>
      <c r="F7961" s="5" t="s">
        <v>37</v>
      </c>
      <c r="G7961" s="5" t="s">
        <v>50224</v>
      </c>
      <c r="H7961" s="6" t="s">
        <v>50225</v>
      </c>
      <c r="K7961" s="5" t="s">
        <v>50205</v>
      </c>
      <c r="M7961" s="5" t="s">
        <v>50226</v>
      </c>
      <c r="N7961" s="7" t="s">
        <v>50227</v>
      </c>
      <c r="O7961" s="8" t="str">
        <f>HYPERLINK("https://drive.google.com/file/d/1P87i06tPnyQe5zj8LtdhUr1fPN7io9ry/view?usp=drivesdk","7960_ERIASTA SEBAYANG _ SERTIFIKAT BerAKHLAK")</f>
        <v>7960_ERIASTA SEBAYANG _ SERTIFIKAT BerAKHLAK</v>
      </c>
      <c r="P7961" s="5" t="s">
        <v>49674</v>
      </c>
    </row>
    <row r="7962">
      <c r="A7962" s="4">
        <v>45534.39104386574</v>
      </c>
      <c r="B7962" s="5" t="s">
        <v>34</v>
      </c>
      <c r="D7962" s="5" t="s">
        <v>1206</v>
      </c>
      <c r="E7962" s="5" t="s">
        <v>46768</v>
      </c>
      <c r="F7962" s="5" t="s">
        <v>37</v>
      </c>
      <c r="G7962" s="5" t="s">
        <v>50228</v>
      </c>
      <c r="H7962" s="6" t="s">
        <v>50229</v>
      </c>
      <c r="K7962" s="5" t="s">
        <v>50205</v>
      </c>
      <c r="M7962" s="5" t="s">
        <v>50230</v>
      </c>
      <c r="N7962" s="7" t="s">
        <v>50231</v>
      </c>
      <c r="O7962" s="8" t="str">
        <f>HYPERLINK("https://drive.google.com/file/d/1JYGmwabAg85Q84eU1lTHNZ4KkSpZbeSP/view?usp=drivesdk","7961_SUGITO _ SERTIFIKAT BerAKHLAK")</f>
        <v>7961_SUGITO _ SERTIFIKAT BerAKHLAK</v>
      </c>
      <c r="P7962" s="5" t="s">
        <v>49674</v>
      </c>
    </row>
    <row r="7963">
      <c r="A7963" s="4">
        <v>45534.39105638889</v>
      </c>
      <c r="B7963" s="5" t="s">
        <v>34</v>
      </c>
      <c r="D7963" s="5" t="s">
        <v>2903</v>
      </c>
      <c r="E7963" s="5" t="s">
        <v>50232</v>
      </c>
      <c r="F7963" s="5" t="s">
        <v>37</v>
      </c>
      <c r="G7963" s="5" t="s">
        <v>50233</v>
      </c>
      <c r="H7963" s="6" t="s">
        <v>50234</v>
      </c>
      <c r="K7963" s="5" t="s">
        <v>50205</v>
      </c>
      <c r="M7963" s="5" t="s">
        <v>50235</v>
      </c>
      <c r="N7963" s="7" t="s">
        <v>50236</v>
      </c>
      <c r="O7963" s="8" t="str">
        <f>HYPERLINK("https://drive.google.com/file/d/1Ec2SALKnTm1Z82F0ftp8gjj5n4E5rUcM/view?usp=drivesdk","7962_RAJIV HANURA, A.Md.Kep _ SERTIFIKAT BerAKHLAK")</f>
        <v>7962_RAJIV HANURA, A.Md.Kep _ SERTIFIKAT BerAKHLAK</v>
      </c>
      <c r="P7963" s="5" t="s">
        <v>49700</v>
      </c>
    </row>
    <row r="7964">
      <c r="A7964" s="4">
        <v>45534.391085034724</v>
      </c>
      <c r="B7964" s="5" t="s">
        <v>34</v>
      </c>
      <c r="D7964" s="5" t="s">
        <v>35</v>
      </c>
      <c r="E7964" s="5" t="s">
        <v>50237</v>
      </c>
      <c r="F7964" s="5" t="s">
        <v>120</v>
      </c>
      <c r="G7964" s="5" t="s">
        <v>50238</v>
      </c>
      <c r="H7964" s="6" t="s">
        <v>50239</v>
      </c>
      <c r="K7964" s="5" t="s">
        <v>50240</v>
      </c>
      <c r="M7964" s="5" t="s">
        <v>50241</v>
      </c>
      <c r="N7964" s="7" t="s">
        <v>50242</v>
      </c>
      <c r="O7964" s="8" t="str">
        <f>HYPERLINK("https://drive.google.com/file/d/1GnN-Yv--6MAtFn1aNO9RENuKIbrWH-sJ/view?usp=drivesdk","7963_Hariyani,SE.MM _ SERTIFIKAT BerAKHLAK")</f>
        <v>7963_Hariyani,SE.MM _ SERTIFIKAT BerAKHLAK</v>
      </c>
      <c r="P7964" s="5" t="s">
        <v>49700</v>
      </c>
    </row>
    <row r="7965">
      <c r="A7965" s="4">
        <v>45534.39110787037</v>
      </c>
      <c r="B7965" s="5" t="s">
        <v>34</v>
      </c>
      <c r="D7965" s="5" t="s">
        <v>1206</v>
      </c>
      <c r="E7965" s="5" t="s">
        <v>50243</v>
      </c>
      <c r="F7965" s="5" t="s">
        <v>72</v>
      </c>
      <c r="G7965" s="5" t="s">
        <v>50244</v>
      </c>
      <c r="H7965" s="6" t="s">
        <v>50245</v>
      </c>
      <c r="K7965" s="5" t="s">
        <v>50240</v>
      </c>
      <c r="M7965" s="5" t="s">
        <v>50246</v>
      </c>
      <c r="N7965" s="7" t="s">
        <v>50247</v>
      </c>
      <c r="O7965" s="8" t="str">
        <f>HYPERLINK("https://drive.google.com/file/d/1kZKiu8o_0VHNtJnOxPPF0R1Pbj-nulgQ/view?usp=drivesdk","7964_Wiwin Depita sari S.Tr.Keb  _ SERTIFIKAT BerAKHLAK")</f>
        <v>7964_Wiwin Depita sari S.Tr.Keb  _ SERTIFIKAT BerAKHLAK</v>
      </c>
      <c r="P7965" s="5" t="s">
        <v>49700</v>
      </c>
    </row>
    <row r="7966">
      <c r="A7966" s="4">
        <v>45534.39114165509</v>
      </c>
      <c r="B7966" s="5" t="s">
        <v>34</v>
      </c>
      <c r="D7966" s="5" t="s">
        <v>12978</v>
      </c>
      <c r="E7966" s="5" t="s">
        <v>50248</v>
      </c>
      <c r="F7966" s="5" t="s">
        <v>72</v>
      </c>
      <c r="G7966" s="5" t="s">
        <v>50249</v>
      </c>
      <c r="H7966" s="6" t="s">
        <v>50250</v>
      </c>
      <c r="K7966" s="5" t="s">
        <v>50240</v>
      </c>
      <c r="M7966" s="5" t="s">
        <v>50251</v>
      </c>
      <c r="N7966" s="7" t="s">
        <v>50252</v>
      </c>
      <c r="O7966" s="8" t="str">
        <f>HYPERLINK("https://drive.google.com/file/d/17-38mGhOB6ybaAO4HIbhZzsJGP6YNQR5/view?usp=drivesdk","7965_RUSNANI _ SERTIFIKAT BerAKHLAK")</f>
        <v>7965_RUSNANI _ SERTIFIKAT BerAKHLAK</v>
      </c>
      <c r="P7966" s="5" t="s">
        <v>49722</v>
      </c>
    </row>
    <row r="7967">
      <c r="A7967" s="4">
        <v>45534.39119702546</v>
      </c>
      <c r="B7967" s="5" t="s">
        <v>34</v>
      </c>
      <c r="D7967" s="5" t="s">
        <v>35</v>
      </c>
      <c r="E7967" s="5" t="s">
        <v>50253</v>
      </c>
      <c r="F7967" s="5" t="s">
        <v>37</v>
      </c>
      <c r="G7967" s="5" t="s">
        <v>50254</v>
      </c>
      <c r="H7967" s="6" t="s">
        <v>50255</v>
      </c>
      <c r="K7967" s="5" t="s">
        <v>50240</v>
      </c>
      <c r="M7967" s="5" t="s">
        <v>50256</v>
      </c>
      <c r="N7967" s="7" t="s">
        <v>50257</v>
      </c>
      <c r="O7967" s="8" t="str">
        <f>HYPERLINK("https://drive.google.com/file/d/1AN_IAicSiwONZl6HKW9LD0DXsD_BYx9R/view?usp=drivesdk","7966_ASEP KUSNADI _ SERTIFIKAT BerAKHLAK")</f>
        <v>7966_ASEP KUSNADI _ SERTIFIKAT BerAKHLAK</v>
      </c>
      <c r="P7967" s="5" t="s">
        <v>49722</v>
      </c>
    </row>
    <row r="7968">
      <c r="A7968" s="4">
        <v>45534.391300856485</v>
      </c>
      <c r="B7968" s="5" t="s">
        <v>34</v>
      </c>
      <c r="D7968" s="5" t="s">
        <v>6232</v>
      </c>
      <c r="E7968" s="5" t="s">
        <v>50258</v>
      </c>
      <c r="F7968" s="5" t="s">
        <v>375</v>
      </c>
      <c r="G7968" s="5" t="s">
        <v>50259</v>
      </c>
      <c r="H7968" s="6" t="s">
        <v>50260</v>
      </c>
      <c r="K7968" s="5" t="s">
        <v>50261</v>
      </c>
      <c r="M7968" s="5" t="s">
        <v>50262</v>
      </c>
      <c r="N7968" s="7" t="s">
        <v>50263</v>
      </c>
      <c r="O7968" s="8" t="str">
        <f>HYPERLINK("https://drive.google.com/file/d/1ou6tUQ3g8srG_mN4uMeEPTwEmjZt3yDJ/view?usp=drivesdk","7967_SUKAMTI,SE _ SERTIFIKAT BerAKHLAK")</f>
        <v>7967_SUKAMTI,SE _ SERTIFIKAT BerAKHLAK</v>
      </c>
      <c r="P7968" s="5" t="s">
        <v>49722</v>
      </c>
    </row>
    <row r="7969" hidden="1">
      <c r="A7969" s="4">
        <v>45534.39130701389</v>
      </c>
      <c r="B7969" s="5" t="s">
        <v>19</v>
      </c>
      <c r="C7969" s="5" t="s">
        <v>24076</v>
      </c>
      <c r="E7969" s="5" t="s">
        <v>50264</v>
      </c>
      <c r="F7969" s="5" t="s">
        <v>37</v>
      </c>
      <c r="G7969" s="5" t="s">
        <v>50265</v>
      </c>
      <c r="H7969" s="6" t="s">
        <v>50266</v>
      </c>
      <c r="K7969" s="5" t="s">
        <v>50267</v>
      </c>
      <c r="M7969" s="5" t="s">
        <v>50268</v>
      </c>
      <c r="N7969" s="7" t="s">
        <v>50269</v>
      </c>
      <c r="O7969" s="8" t="str">
        <f>HYPERLINK("https://drive.google.com/file/d/1amSwb3AI_Tt2C4Ivn3SlZhLpLXjzwXLA/view?usp=drivesdk","7968_FAUZIAH MAULIDDINA NOER, A.Md _ SERTIFIKAT BerAKHLAK")</f>
        <v>7968_FAUZIAH MAULIDDINA NOER, A.Md _ SERTIFIKAT BerAKHLAK</v>
      </c>
      <c r="P7969" s="5" t="s">
        <v>49722</v>
      </c>
    </row>
    <row r="7970">
      <c r="A7970" s="4">
        <v>45534.39130699074</v>
      </c>
      <c r="B7970" s="5" t="s">
        <v>34</v>
      </c>
      <c r="D7970" s="5" t="s">
        <v>1206</v>
      </c>
      <c r="E7970" s="5" t="s">
        <v>50270</v>
      </c>
      <c r="F7970" s="5" t="s">
        <v>37</v>
      </c>
      <c r="G7970" s="5" t="s">
        <v>50271</v>
      </c>
      <c r="H7970" s="6" t="s">
        <v>50272</v>
      </c>
      <c r="K7970" s="5" t="s">
        <v>50267</v>
      </c>
      <c r="M7970" s="5" t="s">
        <v>50273</v>
      </c>
      <c r="N7970" s="7" t="s">
        <v>50274</v>
      </c>
      <c r="O7970" s="8" t="str">
        <f>HYPERLINK("https://drive.google.com/file/d/1VhsXd42XVuP9jRNdE4Xiwq-eee-RTbsk/view?usp=drivesdk","7969_NANIK HARYATI  _ SERTIFIKAT BerAKHLAK")</f>
        <v>7969_NANIK HARYATI  _ SERTIFIKAT BerAKHLAK</v>
      </c>
      <c r="P7970" s="5" t="s">
        <v>49722</v>
      </c>
    </row>
    <row r="7971">
      <c r="A7971" s="4">
        <v>45534.39132173611</v>
      </c>
      <c r="B7971" s="5" t="s">
        <v>34</v>
      </c>
      <c r="D7971" s="5" t="s">
        <v>1558</v>
      </c>
      <c r="E7971" s="5" t="s">
        <v>50275</v>
      </c>
      <c r="F7971" s="5" t="s">
        <v>37</v>
      </c>
      <c r="G7971" s="5" t="s">
        <v>50276</v>
      </c>
      <c r="H7971" s="6" t="s">
        <v>50277</v>
      </c>
      <c r="K7971" s="5" t="s">
        <v>50267</v>
      </c>
      <c r="M7971" s="5" t="s">
        <v>50278</v>
      </c>
      <c r="N7971" s="7" t="s">
        <v>50279</v>
      </c>
      <c r="O7971" s="8" t="str">
        <f>HYPERLINK("https://drive.google.com/file/d/1GAxrAQBp2yN_X-UsIQUSReGGbWQ6fbbY/view?usp=drivesdk","7970_Wawan Ridwan Saeful _ SERTIFIKAT BerAKHLAK")</f>
        <v>7970_Wawan Ridwan Saeful _ SERTIFIKAT BerAKHLAK</v>
      </c>
      <c r="P7971" s="5" t="s">
        <v>49754</v>
      </c>
    </row>
    <row r="7972">
      <c r="A7972" s="4">
        <v>45534.39132915509</v>
      </c>
      <c r="B7972" s="5" t="s">
        <v>34</v>
      </c>
      <c r="D7972" s="5" t="s">
        <v>9020</v>
      </c>
      <c r="E7972" s="5" t="s">
        <v>50280</v>
      </c>
      <c r="F7972" s="5" t="s">
        <v>72</v>
      </c>
      <c r="G7972" s="5" t="s">
        <v>50281</v>
      </c>
      <c r="H7972" s="6" t="s">
        <v>50282</v>
      </c>
      <c r="K7972" s="5" t="s">
        <v>50267</v>
      </c>
      <c r="M7972" s="5" t="s">
        <v>50283</v>
      </c>
      <c r="N7972" s="7" t="s">
        <v>50284</v>
      </c>
      <c r="O7972" s="8" t="str">
        <f>HYPERLINK("https://drive.google.com/file/d/1WwfUAyYmRcduJ3webMhoEw6NAUYSHw8q/view?usp=drivesdk","7971_ERNAWATY NAINGGOLAN _ SERTIFIKAT BerAKHLAK")</f>
        <v>7971_ERNAWATY NAINGGOLAN _ SERTIFIKAT BerAKHLAK</v>
      </c>
      <c r="P7972" s="5" t="s">
        <v>49754</v>
      </c>
    </row>
    <row r="7973">
      <c r="A7973" s="4">
        <v>45534.391329791666</v>
      </c>
      <c r="B7973" s="5" t="s">
        <v>34</v>
      </c>
      <c r="D7973" s="5" t="s">
        <v>1206</v>
      </c>
      <c r="E7973" s="5" t="s">
        <v>47096</v>
      </c>
      <c r="F7973" s="5" t="s">
        <v>37</v>
      </c>
      <c r="G7973" s="5" t="s">
        <v>47097</v>
      </c>
      <c r="H7973" s="6" t="s">
        <v>50285</v>
      </c>
      <c r="K7973" s="5" t="s">
        <v>50267</v>
      </c>
      <c r="M7973" s="5" t="s">
        <v>50286</v>
      </c>
      <c r="N7973" s="7" t="s">
        <v>50287</v>
      </c>
      <c r="O7973" s="8" t="str">
        <f>HYPERLINK("https://drive.google.com/file/d/1sPg8lgRdv0YEY0Dtv6f3b-DbyEC1cMB7/view?usp=drivesdk","7972_NANIK YULAICHA _ SERTIFIKAT BerAKHLAK")</f>
        <v>7972_NANIK YULAICHA _ SERTIFIKAT BerAKHLAK</v>
      </c>
      <c r="P7973" s="5" t="s">
        <v>49754</v>
      </c>
    </row>
    <row r="7974" hidden="1">
      <c r="A7974" s="4">
        <v>45534.391330706014</v>
      </c>
      <c r="B7974" s="5" t="s">
        <v>19</v>
      </c>
      <c r="C7974" s="5" t="s">
        <v>1606</v>
      </c>
      <c r="E7974" s="5" t="s">
        <v>50288</v>
      </c>
      <c r="F7974" s="5" t="s">
        <v>37</v>
      </c>
      <c r="G7974" s="5" t="s">
        <v>50289</v>
      </c>
      <c r="H7974" s="6" t="s">
        <v>50290</v>
      </c>
      <c r="K7974" s="5" t="s">
        <v>50267</v>
      </c>
      <c r="M7974" s="5" t="s">
        <v>50291</v>
      </c>
      <c r="N7974" s="7" t="s">
        <v>50292</v>
      </c>
      <c r="O7974" s="8" t="str">
        <f>HYPERLINK("https://drive.google.com/file/d/1zZ9lzYvU9SpuDXpwa3kHqfu3X1AdbuhO/view?usp=drivesdk","7973_MUHAMAD ARIEF BUDIMAN _ SERTIFIKAT BerAKHLAK")</f>
        <v>7973_MUHAMAD ARIEF BUDIMAN _ SERTIFIKAT BerAKHLAK</v>
      </c>
      <c r="P7974" s="5" t="s">
        <v>49754</v>
      </c>
    </row>
    <row r="7975">
      <c r="A7975" s="4">
        <v>45534.391363946765</v>
      </c>
      <c r="B7975" s="5" t="s">
        <v>34</v>
      </c>
      <c r="D7975" s="5" t="s">
        <v>14313</v>
      </c>
      <c r="E7975" s="5" t="s">
        <v>50293</v>
      </c>
      <c r="F7975" s="5" t="s">
        <v>524</v>
      </c>
      <c r="G7975" s="5" t="s">
        <v>50294</v>
      </c>
      <c r="H7975" s="6" t="s">
        <v>50295</v>
      </c>
      <c r="K7975" s="5" t="s">
        <v>50267</v>
      </c>
      <c r="M7975" s="5" t="s">
        <v>50296</v>
      </c>
      <c r="N7975" s="7" t="s">
        <v>50297</v>
      </c>
      <c r="O7975" s="8" t="str">
        <f>HYPERLINK("https://drive.google.com/file/d/1W958W5rJHhliaXkw2pg1WYoTsW41_cH_/view?usp=drivesdk","7974_FITRIA _ SERTIFIKAT BerAKHLAK")</f>
        <v>7974_FITRIA _ SERTIFIKAT BerAKHLAK</v>
      </c>
      <c r="P7975" s="5" t="s">
        <v>49754</v>
      </c>
    </row>
    <row r="7976" hidden="1">
      <c r="A7976" s="4">
        <v>45534.391393287035</v>
      </c>
      <c r="B7976" s="5" t="s">
        <v>19</v>
      </c>
      <c r="C7976" s="5" t="s">
        <v>45988</v>
      </c>
      <c r="E7976" s="5" t="s">
        <v>50298</v>
      </c>
      <c r="F7976" s="5" t="s">
        <v>72</v>
      </c>
      <c r="G7976" s="5" t="s">
        <v>50299</v>
      </c>
      <c r="H7976" s="6" t="s">
        <v>50300</v>
      </c>
      <c r="K7976" s="5" t="s">
        <v>50267</v>
      </c>
      <c r="M7976" s="5" t="s">
        <v>50301</v>
      </c>
      <c r="N7976" s="7" t="s">
        <v>50302</v>
      </c>
      <c r="O7976" s="8" t="str">
        <f>HYPERLINK("https://drive.google.com/file/d/1BQpx9RMm5WBv8FBHa2ZDi0w8XtypC03p/view?usp=drivesdk","7975_ESTI SIMANJUNTAK _ SERTIFIKAT BerAKHLAK")</f>
        <v>7975_ESTI SIMANJUNTAK _ SERTIFIKAT BerAKHLAK</v>
      </c>
      <c r="P7976" s="5" t="s">
        <v>49776</v>
      </c>
    </row>
    <row r="7977">
      <c r="A7977" s="4">
        <v>45534.39140315972</v>
      </c>
      <c r="B7977" s="5" t="s">
        <v>34</v>
      </c>
      <c r="D7977" s="5" t="s">
        <v>1692</v>
      </c>
      <c r="E7977" s="5" t="s">
        <v>50303</v>
      </c>
      <c r="F7977" s="5" t="s">
        <v>212</v>
      </c>
      <c r="G7977" s="5" t="s">
        <v>50304</v>
      </c>
      <c r="H7977" s="6" t="s">
        <v>50305</v>
      </c>
      <c r="K7977" s="5" t="s">
        <v>50267</v>
      </c>
      <c r="M7977" s="5" t="s">
        <v>50306</v>
      </c>
      <c r="N7977" s="7" t="s">
        <v>50307</v>
      </c>
      <c r="O7977" s="8" t="str">
        <f>HYPERLINK("https://drive.google.com/file/d/1XXtRSAlMNdJeRecgZ_MGu8kRtNPb9DTK/view?usp=drivesdk","7976_LEONARD WATTIMENA _ SERTIFIKAT BerAKHLAK")</f>
        <v>7976_LEONARD WATTIMENA _ SERTIFIKAT BerAKHLAK</v>
      </c>
      <c r="P7977" s="5" t="s">
        <v>49776</v>
      </c>
    </row>
    <row r="7978">
      <c r="A7978" s="4">
        <v>45534.39142082176</v>
      </c>
      <c r="B7978" s="5" t="s">
        <v>34</v>
      </c>
      <c r="D7978" s="5" t="s">
        <v>14313</v>
      </c>
      <c r="E7978" s="5" t="s">
        <v>50308</v>
      </c>
      <c r="F7978" s="5" t="s">
        <v>212</v>
      </c>
      <c r="G7978" s="5" t="s">
        <v>50309</v>
      </c>
      <c r="H7978" s="6" t="s">
        <v>50310</v>
      </c>
      <c r="K7978" s="5" t="s">
        <v>50267</v>
      </c>
      <c r="M7978" s="5" t="s">
        <v>50311</v>
      </c>
      <c r="N7978" s="7" t="s">
        <v>50312</v>
      </c>
      <c r="O7978" s="8" t="str">
        <f>HYPERLINK("https://drive.google.com/file/d/1qEZ2_Srs4Frl07hVFhjGcjvQEkYQVXen/view?usp=drivesdk","7977_HENNY TRI PURWATININGSIH _ SERTIFIKAT BerAKHLAK")</f>
        <v>7977_HENNY TRI PURWATININGSIH _ SERTIFIKAT BerAKHLAK</v>
      </c>
      <c r="P7978" s="5" t="s">
        <v>49776</v>
      </c>
    </row>
    <row r="7979">
      <c r="A7979" s="4">
        <v>45534.39146449074</v>
      </c>
      <c r="B7979" s="5" t="s">
        <v>34</v>
      </c>
      <c r="D7979" s="5" t="s">
        <v>1206</v>
      </c>
      <c r="E7979" s="5" t="s">
        <v>50313</v>
      </c>
      <c r="F7979" s="5" t="s">
        <v>37</v>
      </c>
      <c r="G7979" s="5" t="s">
        <v>50314</v>
      </c>
      <c r="H7979" s="6" t="s">
        <v>50315</v>
      </c>
      <c r="K7979" s="5" t="s">
        <v>50316</v>
      </c>
      <c r="M7979" s="5" t="s">
        <v>50317</v>
      </c>
      <c r="N7979" s="7" t="s">
        <v>50318</v>
      </c>
      <c r="O7979" s="8" t="str">
        <f>HYPERLINK("https://drive.google.com/file/d/1_j95xSBj1ey-1glQpVv7kCFE9lDfNor8/view?usp=drivesdk","7978_SAMSU BAHRI  _ SERTIFIKAT BerAKHLAK")</f>
        <v>7978_SAMSU BAHRI  _ SERTIFIKAT BerAKHLAK</v>
      </c>
      <c r="P7979" s="5" t="s">
        <v>49776</v>
      </c>
    </row>
    <row r="7980">
      <c r="A7980" s="4">
        <v>45534.391505694446</v>
      </c>
      <c r="B7980" s="5" t="s">
        <v>34</v>
      </c>
      <c r="D7980" s="5" t="s">
        <v>1456</v>
      </c>
      <c r="E7980" s="5" t="s">
        <v>50319</v>
      </c>
      <c r="F7980" s="5" t="s">
        <v>37</v>
      </c>
      <c r="G7980" s="5" t="s">
        <v>50320</v>
      </c>
      <c r="H7980" s="6" t="s">
        <v>50321</v>
      </c>
      <c r="K7980" s="5" t="s">
        <v>50322</v>
      </c>
      <c r="M7980" s="5" t="s">
        <v>50323</v>
      </c>
      <c r="N7980" s="7" t="s">
        <v>50324</v>
      </c>
      <c r="O7980" s="8" t="str">
        <f>HYPERLINK("https://drive.google.com/file/d/1_9wm9zXhRN7IqRMTQAxwjDjEbHG29bUt/view?usp=drivesdk","7979_JOKO SUTRISNO.S _ SERTIFIKAT BerAKHLAK")</f>
        <v>7979_JOKO SUTRISNO.S _ SERTIFIKAT BerAKHLAK</v>
      </c>
      <c r="P7980" s="5" t="s">
        <v>49776</v>
      </c>
    </row>
    <row r="7981" hidden="1">
      <c r="A7981" s="4">
        <v>45534.39156015046</v>
      </c>
      <c r="B7981" s="5" t="s">
        <v>19</v>
      </c>
      <c r="C7981" s="5" t="s">
        <v>1606</v>
      </c>
      <c r="E7981" s="5" t="s">
        <v>50325</v>
      </c>
      <c r="F7981" s="5" t="s">
        <v>22</v>
      </c>
      <c r="G7981" s="5" t="s">
        <v>50326</v>
      </c>
      <c r="H7981" s="6" t="s">
        <v>50327</v>
      </c>
      <c r="K7981" s="5" t="s">
        <v>50328</v>
      </c>
      <c r="M7981" s="5" t="s">
        <v>50329</v>
      </c>
      <c r="N7981" s="7" t="s">
        <v>50330</v>
      </c>
      <c r="O7981" s="8" t="str">
        <f>HYPERLINK("https://drive.google.com/file/d/1bV8GFyEasMaAkBVuopz7pOOXQ-DRHoNe/view?usp=drivesdk","7980_ERNA BUDIJATI _ SERTIFIKAT BerAKHLAK")</f>
        <v>7980_ERNA BUDIJATI _ SERTIFIKAT BerAKHLAK</v>
      </c>
      <c r="P7981" s="5" t="s">
        <v>50331</v>
      </c>
    </row>
    <row r="7982">
      <c r="A7982" s="4">
        <v>45534.3915675926</v>
      </c>
      <c r="B7982" s="5" t="s">
        <v>34</v>
      </c>
      <c r="D7982" s="5" t="s">
        <v>267</v>
      </c>
      <c r="E7982" s="5" t="s">
        <v>50332</v>
      </c>
      <c r="F7982" s="5" t="s">
        <v>212</v>
      </c>
      <c r="G7982" s="5" t="s">
        <v>50333</v>
      </c>
      <c r="H7982" s="6" t="s">
        <v>50334</v>
      </c>
      <c r="K7982" s="5" t="s">
        <v>50328</v>
      </c>
      <c r="M7982" s="5" t="s">
        <v>50335</v>
      </c>
      <c r="N7982" s="7" t="s">
        <v>50336</v>
      </c>
      <c r="O7982" s="8" t="str">
        <f>HYPERLINK("https://drive.google.com/file/d/14l0u9OfX-USCEsgG3ptEmMqLES1M0m2O/view?usp=drivesdk","7981_TRI WINDARI _ SERTIFIKAT BerAKHLAK")</f>
        <v>7981_TRI WINDARI _ SERTIFIKAT BerAKHLAK</v>
      </c>
      <c r="P7982" s="5" t="s">
        <v>50331</v>
      </c>
    </row>
    <row r="7983">
      <c r="A7983" s="4">
        <v>45534.39157424768</v>
      </c>
      <c r="B7983" s="5" t="s">
        <v>34</v>
      </c>
      <c r="D7983" s="5" t="s">
        <v>362</v>
      </c>
      <c r="E7983" s="5" t="s">
        <v>50337</v>
      </c>
      <c r="F7983" s="5" t="s">
        <v>108</v>
      </c>
      <c r="G7983" s="5" t="s">
        <v>50338</v>
      </c>
      <c r="H7983" s="6" t="s">
        <v>50339</v>
      </c>
      <c r="K7983" s="5" t="s">
        <v>50328</v>
      </c>
      <c r="M7983" s="5" t="s">
        <v>50340</v>
      </c>
      <c r="N7983" s="7" t="s">
        <v>50341</v>
      </c>
      <c r="O7983" s="8" t="str">
        <f>HYPERLINK("https://drive.google.com/file/d/1YWDzu9bwVv2m1C5evtKfXY70wE-4El_Y/view?usp=drivesdk","7982_KARUNIA, A.Md _ SERTIFIKAT BerAKHLAK")</f>
        <v>7982_KARUNIA, A.Md _ SERTIFIKAT BerAKHLAK</v>
      </c>
      <c r="P7983" s="5" t="s">
        <v>50331</v>
      </c>
    </row>
    <row r="7984" hidden="1">
      <c r="A7984" s="4">
        <v>45534.39162521991</v>
      </c>
      <c r="B7984" s="5" t="s">
        <v>19</v>
      </c>
      <c r="C7984" s="5" t="s">
        <v>45988</v>
      </c>
      <c r="E7984" s="5" t="s">
        <v>50342</v>
      </c>
      <c r="F7984" s="5" t="s">
        <v>72</v>
      </c>
      <c r="G7984" s="5" t="s">
        <v>50343</v>
      </c>
      <c r="H7984" s="6" t="s">
        <v>50344</v>
      </c>
      <c r="K7984" s="5" t="s">
        <v>50328</v>
      </c>
      <c r="M7984" s="5" t="s">
        <v>50345</v>
      </c>
      <c r="N7984" s="7" t="s">
        <v>50346</v>
      </c>
      <c r="O7984" s="8" t="str">
        <f>HYPERLINK("https://drive.google.com/file/d/1jv4r4kj5C5hcb052AyX7KKIijwDoibxZ/view?usp=drivesdk","7983_BERNI RATNANINGRUM, A.Md _ SERTIFIKAT BerAKHLAK")</f>
        <v>7983_BERNI RATNANINGRUM, A.Md _ SERTIFIKAT BerAKHLAK</v>
      </c>
      <c r="P7984" s="5" t="s">
        <v>50331</v>
      </c>
    </row>
    <row r="7985">
      <c r="A7985" s="4">
        <v>45534.39164530093</v>
      </c>
      <c r="B7985" s="5" t="s">
        <v>34</v>
      </c>
      <c r="D7985" s="5" t="s">
        <v>9020</v>
      </c>
      <c r="E7985" s="5" t="s">
        <v>50347</v>
      </c>
      <c r="F7985" s="5" t="s">
        <v>37</v>
      </c>
      <c r="G7985" s="5" t="s">
        <v>50348</v>
      </c>
      <c r="H7985" s="6" t="s">
        <v>50349</v>
      </c>
      <c r="K7985" s="5" t="s">
        <v>50328</v>
      </c>
      <c r="M7985" s="5" t="s">
        <v>50350</v>
      </c>
      <c r="N7985" s="7" t="s">
        <v>50351</v>
      </c>
      <c r="O7985" s="8" t="str">
        <f>HYPERLINK("https://drive.google.com/file/d/1Uz80ozTldOL1-LELKCIYoolav8FqiwaN/view?usp=drivesdk","7984_MUHAMMAD HAYADI _ SERTIFIKAT BerAKHLAK")</f>
        <v>7984_MUHAMMAD HAYADI _ SERTIFIKAT BerAKHLAK</v>
      </c>
      <c r="P7985" s="5" t="s">
        <v>50331</v>
      </c>
    </row>
    <row r="7986">
      <c r="A7986" s="4">
        <v>45534.39165439815</v>
      </c>
      <c r="B7986" s="5" t="s">
        <v>34</v>
      </c>
      <c r="D7986" s="5" t="s">
        <v>6232</v>
      </c>
      <c r="E7986" s="5" t="s">
        <v>50352</v>
      </c>
      <c r="F7986" s="5" t="s">
        <v>120</v>
      </c>
      <c r="G7986" s="5" t="s">
        <v>50353</v>
      </c>
      <c r="H7986" s="6" t="s">
        <v>50354</v>
      </c>
      <c r="K7986" s="5" t="s">
        <v>50355</v>
      </c>
      <c r="M7986" s="5" t="s">
        <v>50356</v>
      </c>
      <c r="N7986" s="7" t="s">
        <v>50357</v>
      </c>
      <c r="O7986" s="8" t="str">
        <f>HYPERLINK("https://drive.google.com/file/d/1r_0qnUmswrsoucmjJ25Gu3-k1Nqc9F8Y/view?usp=drivesdk","7985_JUNAIDI SYAKBAN, S.E., M.Ak. _ SERTIFIKAT BerAKHLAK")</f>
        <v>7985_JUNAIDI SYAKBAN, S.E., M.Ak. _ SERTIFIKAT BerAKHLAK</v>
      </c>
      <c r="P7986" s="5" t="s">
        <v>50358</v>
      </c>
    </row>
    <row r="7987">
      <c r="A7987" s="4">
        <v>45534.39166633102</v>
      </c>
      <c r="B7987" s="5" t="s">
        <v>34</v>
      </c>
      <c r="D7987" s="5" t="s">
        <v>7858</v>
      </c>
      <c r="E7987" s="5" t="s">
        <v>50359</v>
      </c>
      <c r="F7987" s="5" t="s">
        <v>37</v>
      </c>
      <c r="G7987" s="5" t="s">
        <v>50360</v>
      </c>
      <c r="H7987" s="6" t="s">
        <v>50361</v>
      </c>
      <c r="K7987" s="5" t="s">
        <v>50355</v>
      </c>
      <c r="M7987" s="5" t="s">
        <v>50362</v>
      </c>
      <c r="N7987" s="7" t="s">
        <v>50363</v>
      </c>
      <c r="O7987" s="8" t="str">
        <f>HYPERLINK("https://drive.google.com/file/d/14MMEeBJyx_7MCUrWi3MVpvmmJQZYjtMw/view?usp=drivesdk","7986_NINA MARDIANA _ SERTIFIKAT BerAKHLAK")</f>
        <v>7986_NINA MARDIANA _ SERTIFIKAT BerAKHLAK</v>
      </c>
      <c r="P7987" s="5" t="s">
        <v>50358</v>
      </c>
    </row>
    <row r="7988">
      <c r="A7988" s="4">
        <v>45534.39169833333</v>
      </c>
      <c r="B7988" s="5" t="s">
        <v>34</v>
      </c>
      <c r="D7988" s="5" t="s">
        <v>6232</v>
      </c>
      <c r="E7988" s="5" t="s">
        <v>50364</v>
      </c>
      <c r="F7988" s="5" t="s">
        <v>37</v>
      </c>
      <c r="G7988" s="5" t="s">
        <v>50365</v>
      </c>
      <c r="H7988" s="6" t="s">
        <v>50366</v>
      </c>
      <c r="K7988" s="5" t="s">
        <v>50367</v>
      </c>
      <c r="M7988" s="5" t="s">
        <v>50368</v>
      </c>
      <c r="N7988" s="7" t="s">
        <v>50369</v>
      </c>
      <c r="O7988" s="8" t="str">
        <f>HYPERLINK("https://drive.google.com/file/d/1Sxjqsc65FTJDz-TkzAQa5Tg2bCwbhxH8/view?usp=drivesdk","7987_R.IMRON ROSADI, A.Md.Far _ SERTIFIKAT BerAKHLAK")</f>
        <v>7987_R.IMRON ROSADI, A.Md.Far _ SERTIFIKAT BerAKHLAK</v>
      </c>
      <c r="P7988" s="5" t="s">
        <v>50111</v>
      </c>
    </row>
    <row r="7989" hidden="1">
      <c r="A7989" s="4">
        <v>45534.39173650463</v>
      </c>
      <c r="B7989" s="5" t="s">
        <v>19</v>
      </c>
      <c r="C7989" s="5" t="s">
        <v>5564</v>
      </c>
      <c r="E7989" s="5" t="s">
        <v>17285</v>
      </c>
      <c r="F7989" s="5" t="s">
        <v>212</v>
      </c>
      <c r="G7989" s="5" t="s">
        <v>50370</v>
      </c>
      <c r="H7989" s="6" t="s">
        <v>50371</v>
      </c>
      <c r="K7989" s="5" t="s">
        <v>50372</v>
      </c>
      <c r="M7989" s="5" t="s">
        <v>50373</v>
      </c>
      <c r="N7989" s="7" t="s">
        <v>50374</v>
      </c>
      <c r="O7989" s="8" t="str">
        <f>HYPERLINK("https://drive.google.com/file/d/1y4koVZSCrx9nm5wW4-9qCoIQKTSPDe59/view?usp=drivesdk","7988_MULYADI _ SERTIFIKAT BerAKHLAK")</f>
        <v>7988_MULYADI _ SERTIFIKAT BerAKHLAK</v>
      </c>
      <c r="P7989" s="5" t="s">
        <v>50111</v>
      </c>
    </row>
    <row r="7990">
      <c r="A7990" s="4">
        <v>45534.39174909722</v>
      </c>
      <c r="B7990" s="5" t="s">
        <v>34</v>
      </c>
      <c r="D7990" s="5" t="s">
        <v>267</v>
      </c>
      <c r="E7990" s="5" t="s">
        <v>50375</v>
      </c>
      <c r="F7990" s="5" t="s">
        <v>524</v>
      </c>
      <c r="G7990" s="5" t="s">
        <v>50376</v>
      </c>
      <c r="H7990" s="6" t="s">
        <v>50377</v>
      </c>
      <c r="K7990" s="5" t="s">
        <v>50378</v>
      </c>
      <c r="M7990" s="5" t="s">
        <v>50379</v>
      </c>
      <c r="N7990" s="7" t="s">
        <v>50380</v>
      </c>
      <c r="O7990" s="8" t="str">
        <f>HYPERLINK("https://drive.google.com/file/d/1lFDxmGw-hleN_Qck2BfYatTkVercFQPl/view?usp=drivesdk","7989_HOMBAR WIJAYANTO _ SERTIFIKAT BerAKHLAK")</f>
        <v>7989_HOMBAR WIJAYANTO _ SERTIFIKAT BerAKHLAK</v>
      </c>
      <c r="P7990" s="5" t="s">
        <v>50111</v>
      </c>
    </row>
    <row r="7991">
      <c r="A7991" s="4">
        <v>45534.391782824074</v>
      </c>
      <c r="B7991" s="5" t="s">
        <v>34</v>
      </c>
      <c r="D7991" s="5" t="s">
        <v>9020</v>
      </c>
      <c r="E7991" s="5" t="s">
        <v>49958</v>
      </c>
      <c r="F7991" s="5" t="s">
        <v>72</v>
      </c>
      <c r="G7991" s="5" t="s">
        <v>49959</v>
      </c>
      <c r="H7991" s="6" t="s">
        <v>50381</v>
      </c>
      <c r="K7991" s="5" t="s">
        <v>50382</v>
      </c>
      <c r="M7991" s="5" t="s">
        <v>50383</v>
      </c>
      <c r="N7991" s="7" t="s">
        <v>50384</v>
      </c>
      <c r="O7991" s="8" t="str">
        <f>HYPERLINK("https://drive.google.com/file/d/1bFBNfNtoa2UKJcbKFgSVfrzNfgT2vvon/view?usp=drivesdk","7990_ANDRIAS HENDARWIN AMBARITA, S.Kom., M.M. _ SERTIFIKAT BerAKHLAK")</f>
        <v>7990_ANDRIAS HENDARWIN AMBARITA, S.Kom., M.M. _ SERTIFIKAT BerAKHLAK</v>
      </c>
      <c r="P7991" s="5" t="s">
        <v>50111</v>
      </c>
    </row>
    <row r="7992" hidden="1">
      <c r="A7992" s="4">
        <v>45534.391788587964</v>
      </c>
      <c r="B7992" s="5" t="s">
        <v>19</v>
      </c>
      <c r="C7992" s="5" t="s">
        <v>292</v>
      </c>
      <c r="E7992" s="5" t="s">
        <v>50385</v>
      </c>
      <c r="F7992" s="5" t="s">
        <v>37</v>
      </c>
      <c r="G7992" s="5" t="s">
        <v>50386</v>
      </c>
      <c r="H7992" s="6" t="s">
        <v>50387</v>
      </c>
      <c r="K7992" s="5" t="s">
        <v>50388</v>
      </c>
      <c r="M7992" s="5" t="s">
        <v>50389</v>
      </c>
      <c r="N7992" s="7" t="s">
        <v>50390</v>
      </c>
      <c r="O7992" s="8" t="str">
        <f>HYPERLINK("https://drive.google.com/file/d/1fdK7Jc0WTcTi2pvhmZjFhT4cARD1jEU2/view?usp=drivesdk","7991_DEDE ROSYATI  _ SERTIFIKAT BerAKHLAK")</f>
        <v>7991_DEDE ROSYATI  _ SERTIFIKAT BerAKHLAK</v>
      </c>
      <c r="P7992" s="5" t="s">
        <v>50111</v>
      </c>
    </row>
    <row r="7993">
      <c r="A7993" s="4">
        <v>45534.39180715277</v>
      </c>
      <c r="B7993" s="5" t="s">
        <v>34</v>
      </c>
      <c r="D7993" s="5" t="s">
        <v>1206</v>
      </c>
      <c r="E7993" s="5" t="s">
        <v>50391</v>
      </c>
      <c r="F7993" s="5" t="s">
        <v>212</v>
      </c>
      <c r="G7993" s="5" t="s">
        <v>50392</v>
      </c>
      <c r="H7993" s="6" t="s">
        <v>50393</v>
      </c>
      <c r="K7993" s="5" t="s">
        <v>50388</v>
      </c>
      <c r="M7993" s="5" t="s">
        <v>50394</v>
      </c>
      <c r="N7993" s="7" t="s">
        <v>50395</v>
      </c>
      <c r="O7993" s="8" t="str">
        <f>HYPERLINK("https://drive.google.com/file/d/13O9P6da3lXhBbKT4HWsyXz76YgjS9Gfe/view?usp=drivesdk","7992_INDAH SRI WINARTI _ SERTIFIKAT BerAKHLAK")</f>
        <v>7992_INDAH SRI WINARTI _ SERTIFIKAT BerAKHLAK</v>
      </c>
      <c r="P7993" s="5" t="s">
        <v>50396</v>
      </c>
    </row>
    <row r="7994">
      <c r="A7994" s="4">
        <v>45534.391809884255</v>
      </c>
      <c r="B7994" s="5" t="s">
        <v>34</v>
      </c>
      <c r="D7994" s="5" t="s">
        <v>1206</v>
      </c>
      <c r="E7994" s="5" t="s">
        <v>16884</v>
      </c>
      <c r="F7994" s="5" t="s">
        <v>37</v>
      </c>
      <c r="G7994" s="5" t="s">
        <v>50397</v>
      </c>
      <c r="H7994" s="6" t="s">
        <v>50398</v>
      </c>
      <c r="K7994" s="5" t="s">
        <v>50388</v>
      </c>
      <c r="M7994" s="5" t="s">
        <v>50399</v>
      </c>
      <c r="N7994" s="7" t="s">
        <v>50400</v>
      </c>
      <c r="O7994" s="8" t="str">
        <f>HYPERLINK("https://drive.google.com/file/d/1TFk-TYBSC6TVr-CMskeiMUWxHtCcMG4E/view?usp=drivesdk","7993_SUPRIYADI _ SERTIFIKAT BerAKHLAK")</f>
        <v>7993_SUPRIYADI _ SERTIFIKAT BerAKHLAK</v>
      </c>
      <c r="P7994" s="5" t="s">
        <v>50396</v>
      </c>
    </row>
    <row r="7995" hidden="1">
      <c r="A7995" s="4">
        <v>45534.39188625</v>
      </c>
      <c r="B7995" s="5" t="s">
        <v>19</v>
      </c>
      <c r="C7995" s="5" t="s">
        <v>3471</v>
      </c>
      <c r="E7995" s="5" t="s">
        <v>50401</v>
      </c>
      <c r="F7995" s="5" t="s">
        <v>199</v>
      </c>
      <c r="G7995" s="5" t="s">
        <v>50402</v>
      </c>
      <c r="H7995" s="6" t="s">
        <v>50403</v>
      </c>
      <c r="K7995" s="5" t="s">
        <v>50404</v>
      </c>
      <c r="M7995" s="5" t="s">
        <v>50405</v>
      </c>
      <c r="N7995" s="7" t="s">
        <v>50406</v>
      </c>
      <c r="O7995" s="8" t="str">
        <f>HYPERLINK("https://drive.google.com/file/d/1z_Ec3ZXE8S0Ck-ENvv01zRKgDcYFUa4C/view?usp=drivesdk","7994_SULISTIYONO _ SERTIFIKAT BerAKHLAK")</f>
        <v>7994_SULISTIYONO _ SERTIFIKAT BerAKHLAK</v>
      </c>
      <c r="P7995" s="5" t="s">
        <v>50396</v>
      </c>
    </row>
    <row r="7996">
      <c r="A7996" s="4">
        <v>45534.39191003473</v>
      </c>
      <c r="B7996" s="5" t="s">
        <v>34</v>
      </c>
      <c r="D7996" s="5" t="s">
        <v>701</v>
      </c>
      <c r="E7996" s="5" t="s">
        <v>50407</v>
      </c>
      <c r="F7996" s="5" t="s">
        <v>212</v>
      </c>
      <c r="G7996" s="5" t="s">
        <v>50408</v>
      </c>
      <c r="H7996" s="6" t="s">
        <v>50409</v>
      </c>
      <c r="K7996" s="5" t="s">
        <v>50404</v>
      </c>
      <c r="M7996" s="5" t="s">
        <v>50410</v>
      </c>
      <c r="N7996" s="7" t="s">
        <v>50411</v>
      </c>
      <c r="O7996" s="8" t="str">
        <f>HYPERLINK("https://drive.google.com/file/d/1JfrvAuEpC4SeLcDmylRIh8dZ8-4QOiUw/view?usp=drivesdk","7995_SUSI FARIYATI _ SERTIFIKAT BerAKHLAK")</f>
        <v>7995_SUSI FARIYATI _ SERTIFIKAT BerAKHLAK</v>
      </c>
      <c r="P7996" s="5" t="s">
        <v>50396</v>
      </c>
    </row>
    <row r="7997">
      <c r="A7997" s="4">
        <v>45534.39193346065</v>
      </c>
      <c r="B7997" s="5" t="s">
        <v>34</v>
      </c>
      <c r="D7997" s="5" t="s">
        <v>11527</v>
      </c>
      <c r="E7997" s="5" t="s">
        <v>50412</v>
      </c>
      <c r="F7997" s="5" t="s">
        <v>524</v>
      </c>
      <c r="G7997" s="5" t="s">
        <v>50413</v>
      </c>
      <c r="H7997" s="6" t="s">
        <v>50414</v>
      </c>
      <c r="K7997" s="5" t="s">
        <v>50415</v>
      </c>
      <c r="M7997" s="5" t="s">
        <v>50416</v>
      </c>
      <c r="N7997" s="7" t="s">
        <v>50417</v>
      </c>
      <c r="O7997" s="8" t="str">
        <f>HYPERLINK("https://drive.google.com/file/d/1nsnebywTsJKYQ1NeqJ8mPUcoR1IICp1-/view?usp=drivesdk","7996_Konny Liane Rako _ SERTIFIKAT BerAKHLAK")</f>
        <v>7996_Konny Liane Rako _ SERTIFIKAT BerAKHLAK</v>
      </c>
      <c r="P7997" s="5" t="s">
        <v>50396</v>
      </c>
    </row>
    <row r="7998">
      <c r="A7998" s="4">
        <v>45534.39196756945</v>
      </c>
      <c r="B7998" s="5" t="s">
        <v>34</v>
      </c>
      <c r="D7998" s="5" t="s">
        <v>1206</v>
      </c>
      <c r="E7998" s="5" t="s">
        <v>50418</v>
      </c>
      <c r="F7998" s="5" t="s">
        <v>72</v>
      </c>
      <c r="G7998" s="5" t="s">
        <v>50419</v>
      </c>
      <c r="H7998" s="6" t="s">
        <v>50420</v>
      </c>
      <c r="K7998" s="5" t="s">
        <v>50415</v>
      </c>
      <c r="M7998" s="5" t="s">
        <v>50421</v>
      </c>
      <c r="N7998" s="7" t="s">
        <v>50422</v>
      </c>
      <c r="O7998" s="8" t="str">
        <f>HYPERLINK("https://drive.google.com/file/d/1T4BpNZzT9-6gx5vYnIMqsauxbXPTg-XO/view?usp=drivesdk","7997_HENI WURYANDARI, S.KEP.NS _ SERTIFIKAT BerAKHLAK")</f>
        <v>7997_HENI WURYANDARI, S.KEP.NS _ SERTIFIKAT BerAKHLAK</v>
      </c>
      <c r="P7998" s="5" t="s">
        <v>50423</v>
      </c>
    </row>
    <row r="7999">
      <c r="A7999" s="4">
        <v>45534.391969675926</v>
      </c>
      <c r="B7999" s="5" t="s">
        <v>34</v>
      </c>
      <c r="D7999" s="5" t="s">
        <v>4775</v>
      </c>
      <c r="E7999" s="5" t="s">
        <v>50424</v>
      </c>
      <c r="F7999" s="5" t="s">
        <v>120</v>
      </c>
      <c r="G7999" s="5" t="s">
        <v>50425</v>
      </c>
      <c r="H7999" s="6" t="s">
        <v>50426</v>
      </c>
      <c r="K7999" s="5" t="s">
        <v>50415</v>
      </c>
      <c r="M7999" s="5" t="s">
        <v>50427</v>
      </c>
      <c r="N7999" s="7" t="s">
        <v>50428</v>
      </c>
      <c r="O7999" s="8" t="str">
        <f>HYPERLINK("https://drive.google.com/file/d/1WCPN629alQ5eC8LDyUSoMrqRg8crNsFC/view?usp=drivesdk","7998_RETNO WULANDARI, S.E., M.M. _ SERTIFIKAT BerAKHLAK")</f>
        <v>7998_RETNO WULANDARI, S.E., M.M. _ SERTIFIKAT BerAKHLAK</v>
      </c>
      <c r="P7999" s="5" t="s">
        <v>50429</v>
      </c>
    </row>
    <row r="8000">
      <c r="A8000" s="4">
        <v>45534.391974768514</v>
      </c>
      <c r="B8000" s="5" t="s">
        <v>34</v>
      </c>
      <c r="D8000" s="5" t="s">
        <v>1206</v>
      </c>
      <c r="E8000" s="5" t="s">
        <v>50430</v>
      </c>
      <c r="F8000" s="5" t="s">
        <v>212</v>
      </c>
      <c r="G8000" s="5" t="s">
        <v>50431</v>
      </c>
      <c r="H8000" s="6" t="s">
        <v>50432</v>
      </c>
      <c r="K8000" s="5" t="s">
        <v>50415</v>
      </c>
      <c r="M8000" s="5" t="s">
        <v>50433</v>
      </c>
      <c r="N8000" s="7" t="s">
        <v>50434</v>
      </c>
      <c r="O8000" s="8" t="str">
        <f>HYPERLINK("https://drive.google.com/file/d/1m77Aev9_NaroKUNxY-Vgd5YMrpV8GO71/view?usp=drivesdk","7999_SUTARNO _ SERTIFIKAT BerAKHLAK")</f>
        <v>7999_SUTARNO _ SERTIFIKAT BerAKHLAK</v>
      </c>
      <c r="P8000" s="5" t="s">
        <v>50429</v>
      </c>
    </row>
    <row r="8001">
      <c r="A8001" s="4">
        <v>45534.391993171295</v>
      </c>
      <c r="B8001" s="5" t="s">
        <v>34</v>
      </c>
      <c r="D8001" s="5" t="s">
        <v>10297</v>
      </c>
      <c r="E8001" s="5" t="s">
        <v>50435</v>
      </c>
      <c r="F8001" s="5" t="s">
        <v>37</v>
      </c>
      <c r="G8001" s="5" t="s">
        <v>50436</v>
      </c>
      <c r="H8001" s="6" t="s">
        <v>50437</v>
      </c>
      <c r="K8001" s="5" t="s">
        <v>50415</v>
      </c>
      <c r="M8001" s="5" t="s">
        <v>50438</v>
      </c>
      <c r="N8001" s="7" t="s">
        <v>50439</v>
      </c>
      <c r="O8001" s="8" t="str">
        <f>HYPERLINK("https://drive.google.com/file/d/1ZyeiFZM_GfnARML3bUqzx7XLZ8p6tGeN/view?usp=drivesdk","8000_JEREMMY JANUARISHAK, A.MD. _ SERTIFIKAT BerAKHLAK")</f>
        <v>8000_JEREMMY JANUARISHAK, A.MD. _ SERTIFIKAT BerAKHLAK</v>
      </c>
      <c r="P8001" s="5" t="s">
        <v>50429</v>
      </c>
    </row>
    <row r="8002">
      <c r="A8002" s="4">
        <v>45534.392007083334</v>
      </c>
      <c r="B8002" s="5" t="s">
        <v>34</v>
      </c>
      <c r="D8002" s="5" t="s">
        <v>1558</v>
      </c>
      <c r="E8002" s="5" t="s">
        <v>50440</v>
      </c>
      <c r="F8002" s="5" t="s">
        <v>375</v>
      </c>
      <c r="G8002" s="5" t="s">
        <v>50441</v>
      </c>
      <c r="H8002" s="6" t="s">
        <v>50442</v>
      </c>
      <c r="K8002" s="5" t="s">
        <v>50415</v>
      </c>
      <c r="M8002" s="5" t="s">
        <v>50443</v>
      </c>
      <c r="N8002" s="7" t="s">
        <v>50444</v>
      </c>
      <c r="O8002" s="8" t="str">
        <f>HYPERLINK("https://drive.google.com/file/d/1yfgLl8Ywh9pSS15IYiCVRiFDJ0cSjX6_/view?usp=drivesdk","8001_WINDHY PUSPITANINGRUM _ SERTIFIKAT BerAKHLAK")</f>
        <v>8001_WINDHY PUSPITANINGRUM _ SERTIFIKAT BerAKHLAK</v>
      </c>
      <c r="P8002" s="5" t="s">
        <v>50429</v>
      </c>
    </row>
    <row r="8003">
      <c r="A8003" s="4">
        <v>45534.39201072916</v>
      </c>
      <c r="B8003" s="5" t="s">
        <v>34</v>
      </c>
      <c r="D8003" s="5" t="s">
        <v>9020</v>
      </c>
      <c r="E8003" s="5" t="s">
        <v>50445</v>
      </c>
      <c r="F8003" s="5" t="s">
        <v>37</v>
      </c>
      <c r="G8003" s="5" t="s">
        <v>50446</v>
      </c>
      <c r="H8003" s="6" t="s">
        <v>50447</v>
      </c>
      <c r="K8003" s="5" t="s">
        <v>50415</v>
      </c>
      <c r="M8003" s="5" t="s">
        <v>50448</v>
      </c>
      <c r="N8003" s="7" t="s">
        <v>50449</v>
      </c>
      <c r="O8003" s="8" t="str">
        <f>HYPERLINK("https://drive.google.com/file/d/1W27yFV_VsPYixnQb6e0Ob9GNqOAUsJYL/view?usp=drivesdk","8002_IKA YULIANI _ SERTIFIKAT BerAKHLAK")</f>
        <v>8002_IKA YULIANI _ SERTIFIKAT BerAKHLAK</v>
      </c>
      <c r="P8003" s="5" t="s">
        <v>50429</v>
      </c>
    </row>
    <row r="8004">
      <c r="A8004" s="4">
        <v>45534.39203916666</v>
      </c>
      <c r="B8004" s="5" t="s">
        <v>34</v>
      </c>
      <c r="D8004" s="5" t="s">
        <v>4775</v>
      </c>
      <c r="E8004" s="5" t="s">
        <v>50450</v>
      </c>
      <c r="F8004" s="5" t="s">
        <v>37</v>
      </c>
      <c r="G8004" s="5" t="s">
        <v>50451</v>
      </c>
      <c r="H8004" s="6" t="s">
        <v>50452</v>
      </c>
      <c r="K8004" s="5" t="s">
        <v>50453</v>
      </c>
      <c r="M8004" s="5" t="s">
        <v>50454</v>
      </c>
      <c r="N8004" s="7" t="s">
        <v>50455</v>
      </c>
      <c r="O8004" s="8" t="str">
        <f>HYPERLINK("https://drive.google.com/file/d/1oDYiuq3BPFv4gyfLVf93eJljB6FiOHZt/view?usp=drivesdk","8003_RADEN RORO MOEHARNINGSIH  _ SERTIFIKAT BerAKHLAK")</f>
        <v>8003_RADEN RORO MOEHARNINGSIH  _ SERTIFIKAT BerAKHLAK</v>
      </c>
      <c r="P8004" s="5" t="s">
        <v>50456</v>
      </c>
    </row>
    <row r="8005">
      <c r="A8005" s="4">
        <v>45534.392044513894</v>
      </c>
      <c r="B8005" s="5" t="s">
        <v>34</v>
      </c>
      <c r="D8005" s="5" t="s">
        <v>1456</v>
      </c>
      <c r="E8005" s="5" t="s">
        <v>50457</v>
      </c>
      <c r="F8005" s="5" t="s">
        <v>524</v>
      </c>
      <c r="G8005" s="5" t="s">
        <v>50458</v>
      </c>
      <c r="H8005" s="6" t="s">
        <v>50459</v>
      </c>
      <c r="K8005" s="5" t="s">
        <v>50453</v>
      </c>
      <c r="M8005" s="5" t="s">
        <v>50460</v>
      </c>
      <c r="N8005" s="7" t="s">
        <v>50461</v>
      </c>
      <c r="O8005" s="8" t="str">
        <f>HYPERLINK("https://drive.google.com/file/d/1T1juoftFKMuh0tJ04BWbd3yj1NLA-_t0/view?usp=drivesdk","8004_ASNILA NURDALENA _ SERTIFIKAT BerAKHLAK")</f>
        <v>8004_ASNILA NURDALENA _ SERTIFIKAT BerAKHLAK</v>
      </c>
      <c r="P8005" s="5" t="s">
        <v>50456</v>
      </c>
    </row>
    <row r="8006">
      <c r="A8006" s="4">
        <v>45534.3920687963</v>
      </c>
      <c r="B8006" s="5" t="s">
        <v>34</v>
      </c>
      <c r="D8006" s="5" t="s">
        <v>1206</v>
      </c>
      <c r="E8006" s="5" t="s">
        <v>50462</v>
      </c>
      <c r="F8006" s="5" t="s">
        <v>37</v>
      </c>
      <c r="G8006" s="5" t="s">
        <v>50463</v>
      </c>
      <c r="H8006" s="6" t="s">
        <v>50464</v>
      </c>
      <c r="K8006" s="5" t="s">
        <v>50453</v>
      </c>
      <c r="M8006" s="5" t="s">
        <v>50465</v>
      </c>
      <c r="N8006" s="7" t="s">
        <v>50466</v>
      </c>
      <c r="O8006" s="8" t="str">
        <f>HYPERLINK("https://drive.google.com/file/d/12pBmnXyyrNy3jx9V716A6q5SS8oVNzXp/view?usp=drivesdk","8005_SITI SENDARI _ SERTIFIKAT BerAKHLAK")</f>
        <v>8005_SITI SENDARI _ SERTIFIKAT BerAKHLAK</v>
      </c>
      <c r="P8006" s="5" t="s">
        <v>50456</v>
      </c>
    </row>
    <row r="8007">
      <c r="A8007" s="4">
        <v>45534.3921208449</v>
      </c>
      <c r="B8007" s="5" t="s">
        <v>34</v>
      </c>
      <c r="D8007" s="5" t="s">
        <v>1456</v>
      </c>
      <c r="E8007" s="5" t="s">
        <v>50467</v>
      </c>
      <c r="F8007" s="5" t="s">
        <v>212</v>
      </c>
      <c r="G8007" s="5" t="s">
        <v>50468</v>
      </c>
      <c r="H8007" s="6" t="s">
        <v>50469</v>
      </c>
      <c r="K8007" s="5" t="s">
        <v>50470</v>
      </c>
      <c r="M8007" s="5" t="s">
        <v>50471</v>
      </c>
      <c r="N8007" s="7" t="s">
        <v>50472</v>
      </c>
      <c r="O8007" s="8" t="str">
        <f>HYPERLINK("https://drive.google.com/file/d/1Pr8ut4ACKNlEIa4iNGh21T6nPmGpi4y6/view?usp=drivesdk","8006_EKAYANTI KARTIKA _ SERTIFIKAT BerAKHLAK")</f>
        <v>8006_EKAYANTI KARTIKA _ SERTIFIKAT BerAKHLAK</v>
      </c>
      <c r="P8007" s="5" t="s">
        <v>50456</v>
      </c>
    </row>
    <row r="8008">
      <c r="A8008" s="4">
        <v>45534.392140729164</v>
      </c>
      <c r="B8008" s="5" t="s">
        <v>34</v>
      </c>
      <c r="D8008" s="5" t="s">
        <v>1206</v>
      </c>
      <c r="E8008" s="5" t="s">
        <v>42619</v>
      </c>
      <c r="F8008" s="5" t="s">
        <v>37</v>
      </c>
      <c r="G8008" s="5" t="s">
        <v>50473</v>
      </c>
      <c r="H8008" s="6" t="s">
        <v>50474</v>
      </c>
      <c r="K8008" s="5" t="s">
        <v>50470</v>
      </c>
      <c r="M8008" s="5" t="s">
        <v>50475</v>
      </c>
      <c r="N8008" s="7" t="s">
        <v>50476</v>
      </c>
      <c r="O8008" s="8" t="str">
        <f>HYPERLINK("https://drive.google.com/file/d/14RpgizISuVkmCXeSVOoOyuHz2WI8UTT8/view?usp=drivesdk","8007_SUTRISNO  _ SERTIFIKAT BerAKHLAK")</f>
        <v>8007_SUTRISNO  _ SERTIFIKAT BerAKHLAK</v>
      </c>
      <c r="P8008" s="5" t="s">
        <v>50456</v>
      </c>
    </row>
    <row r="8009">
      <c r="A8009" s="4">
        <v>45534.39223715277</v>
      </c>
      <c r="B8009" s="5" t="s">
        <v>34</v>
      </c>
      <c r="D8009" s="5" t="s">
        <v>975</v>
      </c>
      <c r="E8009" s="5" t="s">
        <v>34223</v>
      </c>
      <c r="F8009" s="5" t="s">
        <v>37</v>
      </c>
      <c r="G8009" s="5" t="s">
        <v>50477</v>
      </c>
      <c r="H8009" s="6" t="s">
        <v>50478</v>
      </c>
      <c r="K8009" s="5" t="s">
        <v>50479</v>
      </c>
      <c r="M8009" s="5" t="s">
        <v>50480</v>
      </c>
      <c r="N8009" s="7" t="s">
        <v>50481</v>
      </c>
      <c r="O8009" s="8" t="str">
        <f>HYPERLINK("https://drive.google.com/file/d/1cCHJ_PVBN32hozdFBMArM2QTe0Dw7NlC/view?usp=drivesdk","8008_AGUSTINA _ SERTIFIKAT BerAKHLAK")</f>
        <v>8008_AGUSTINA _ SERTIFIKAT BerAKHLAK</v>
      </c>
      <c r="P8009" s="5" t="s">
        <v>50456</v>
      </c>
    </row>
    <row r="8010">
      <c r="A8010" s="4">
        <v>45534.3922378125</v>
      </c>
      <c r="B8010" s="5" t="s">
        <v>34</v>
      </c>
      <c r="D8010" s="5" t="s">
        <v>35</v>
      </c>
      <c r="E8010" s="5" t="s">
        <v>50482</v>
      </c>
      <c r="F8010" s="5" t="s">
        <v>108</v>
      </c>
      <c r="G8010" s="5" t="s">
        <v>50483</v>
      </c>
      <c r="H8010" s="6" t="s">
        <v>50484</v>
      </c>
      <c r="K8010" s="5" t="s">
        <v>50479</v>
      </c>
      <c r="M8010" s="5" t="s">
        <v>50485</v>
      </c>
      <c r="N8010" s="7" t="s">
        <v>50486</v>
      </c>
      <c r="O8010" s="8" t="str">
        <f>HYPERLINK("https://drive.google.com/file/d/11ZDtMIX7tDlSerhFOCe9khWlmHdFBPkZ/view?usp=drivesdk","8009_SRI SUARTI _ SERTIFIKAT BerAKHLAK")</f>
        <v>8009_SRI SUARTI _ SERTIFIKAT BerAKHLAK</v>
      </c>
      <c r="P8010" s="5" t="s">
        <v>50487</v>
      </c>
    </row>
    <row r="8011">
      <c r="A8011" s="4">
        <v>45534.39225409723</v>
      </c>
      <c r="B8011" s="5" t="s">
        <v>34</v>
      </c>
      <c r="D8011" s="5" t="s">
        <v>1206</v>
      </c>
      <c r="E8011" s="5" t="s">
        <v>50488</v>
      </c>
      <c r="F8011" s="5" t="s">
        <v>37</v>
      </c>
      <c r="G8011" s="5" t="s">
        <v>50489</v>
      </c>
      <c r="H8011" s="6" t="s">
        <v>50490</v>
      </c>
      <c r="K8011" s="5" t="s">
        <v>50479</v>
      </c>
      <c r="M8011" s="5" t="s">
        <v>50491</v>
      </c>
      <c r="N8011" s="7" t="s">
        <v>50492</v>
      </c>
      <c r="O8011" s="8" t="str">
        <f>HYPERLINK("https://drive.google.com/file/d/1EclLeSDoBofDkI_rZ6TRTUSfbi6pBg4Q/view?usp=drivesdk","8010_ROHMIYANTO _ SERTIFIKAT BerAKHLAK")</f>
        <v>8010_ROHMIYANTO _ SERTIFIKAT BerAKHLAK</v>
      </c>
      <c r="P8011" s="5" t="s">
        <v>50487</v>
      </c>
    </row>
    <row r="8012">
      <c r="A8012" s="4">
        <v>45534.39227231481</v>
      </c>
      <c r="B8012" s="5" t="s">
        <v>34</v>
      </c>
      <c r="D8012" s="5" t="s">
        <v>1206</v>
      </c>
      <c r="E8012" s="5" t="s">
        <v>50493</v>
      </c>
      <c r="F8012" s="5" t="s">
        <v>72</v>
      </c>
      <c r="G8012" s="5" t="s">
        <v>50494</v>
      </c>
      <c r="H8012" s="6" t="s">
        <v>50495</v>
      </c>
      <c r="K8012" s="5" t="s">
        <v>50496</v>
      </c>
      <c r="M8012" s="5" t="s">
        <v>50497</v>
      </c>
      <c r="N8012" s="7" t="s">
        <v>50498</v>
      </c>
      <c r="O8012" s="8" t="str">
        <f>HYPERLINK("https://drive.google.com/file/d/1hrvlJPN58btFp0Vp-fdqmjNKsW_AeLIr/view?usp=drivesdk","8011_WIJI NURWIDAYATI, Amd. Kep _ SERTIFIKAT BerAKHLAK")</f>
        <v>8011_WIJI NURWIDAYATI, Amd. Kep _ SERTIFIKAT BerAKHLAK</v>
      </c>
      <c r="P8012" s="5" t="s">
        <v>50487</v>
      </c>
    </row>
    <row r="8013">
      <c r="A8013" s="4">
        <v>45534.39228804398</v>
      </c>
      <c r="B8013" s="5" t="s">
        <v>34</v>
      </c>
      <c r="D8013" s="5" t="s">
        <v>1206</v>
      </c>
      <c r="E8013" s="5" t="s">
        <v>50499</v>
      </c>
      <c r="F8013" s="5" t="s">
        <v>212</v>
      </c>
      <c r="G8013" s="5" t="s">
        <v>50500</v>
      </c>
      <c r="H8013" s="6" t="s">
        <v>50501</v>
      </c>
      <c r="K8013" s="5" t="s">
        <v>50496</v>
      </c>
      <c r="M8013" s="5" t="s">
        <v>50502</v>
      </c>
      <c r="N8013" s="7" t="s">
        <v>50503</v>
      </c>
      <c r="O8013" s="8" t="str">
        <f>HYPERLINK("https://drive.google.com/file/d/1y_PB8trH7-2Up8OdzBptHr5kAbi3e8S-/view?usp=drivesdk","8012_DWI ENDANG WINASIS _ SERTIFIKAT BerAKHLAK")</f>
        <v>8012_DWI ENDANG WINASIS _ SERTIFIKAT BerAKHLAK</v>
      </c>
      <c r="P8013" s="5" t="s">
        <v>50487</v>
      </c>
    </row>
    <row r="8014">
      <c r="A8014" s="4">
        <v>45534.39232637732</v>
      </c>
      <c r="B8014" s="5" t="s">
        <v>34</v>
      </c>
      <c r="D8014" s="5" t="s">
        <v>1206</v>
      </c>
      <c r="E8014" s="5" t="s">
        <v>50504</v>
      </c>
      <c r="F8014" s="5" t="s">
        <v>212</v>
      </c>
      <c r="G8014" s="5" t="s">
        <v>50505</v>
      </c>
      <c r="H8014" s="6" t="s">
        <v>50506</v>
      </c>
      <c r="K8014" s="5" t="s">
        <v>50507</v>
      </c>
      <c r="M8014" s="5" t="s">
        <v>50508</v>
      </c>
      <c r="N8014" s="7" t="s">
        <v>50509</v>
      </c>
      <c r="O8014" s="8" t="str">
        <f>HYPERLINK("https://drive.google.com/file/d/1GTD2U0YrIjp7lB8k6IZV4NRjyH77SslU/view?usp=drivesdk","8013_HERMAN SUGIANTO _ SERTIFIKAT BerAKHLAK")</f>
        <v>8013_HERMAN SUGIANTO _ SERTIFIKAT BerAKHLAK</v>
      </c>
      <c r="P8014" s="5" t="s">
        <v>50487</v>
      </c>
    </row>
    <row r="8015">
      <c r="A8015" s="4">
        <v>45534.39233336806</v>
      </c>
      <c r="B8015" s="5" t="s">
        <v>34</v>
      </c>
      <c r="D8015" s="5" t="s">
        <v>3849</v>
      </c>
      <c r="E8015" s="5" t="s">
        <v>50510</v>
      </c>
      <c r="F8015" s="5" t="s">
        <v>524</v>
      </c>
      <c r="G8015" s="5" t="s">
        <v>50511</v>
      </c>
      <c r="H8015" s="6" t="s">
        <v>50512</v>
      </c>
      <c r="K8015" s="5" t="s">
        <v>50507</v>
      </c>
      <c r="M8015" s="5" t="s">
        <v>50513</v>
      </c>
      <c r="N8015" s="7" t="s">
        <v>50514</v>
      </c>
      <c r="O8015" s="8" t="str">
        <f>HYPERLINK("https://drive.google.com/file/d/122mjHLHRn4Ok-7Lm06PYNRIXM6DBia9R/view?usp=drivesdk","8014_SYAHBANI _ SERTIFIKAT BerAKHLAK")</f>
        <v>8014_SYAHBANI _ SERTIFIKAT BerAKHLAK</v>
      </c>
      <c r="P8015" s="5" t="s">
        <v>50515</v>
      </c>
    </row>
    <row r="8016">
      <c r="A8016" s="4">
        <v>45534.392380115736</v>
      </c>
      <c r="B8016" s="5" t="s">
        <v>34</v>
      </c>
      <c r="D8016" s="5" t="s">
        <v>10297</v>
      </c>
      <c r="E8016" s="5" t="s">
        <v>50516</v>
      </c>
      <c r="F8016" s="5" t="s">
        <v>212</v>
      </c>
      <c r="G8016" s="5" t="s">
        <v>50517</v>
      </c>
      <c r="H8016" s="6" t="s">
        <v>50518</v>
      </c>
      <c r="K8016" s="5" t="s">
        <v>50519</v>
      </c>
      <c r="M8016" s="5" t="s">
        <v>50520</v>
      </c>
      <c r="N8016" s="7" t="s">
        <v>50521</v>
      </c>
      <c r="O8016" s="8" t="str">
        <f>HYPERLINK("https://drive.google.com/file/d/1eQY3IVzl7QyMbpgEymbmeEspP33J_f_Q/view?usp=drivesdk","8015_NORMAWATI, AMK _ SERTIFIKAT BerAKHLAK")</f>
        <v>8015_NORMAWATI, AMK _ SERTIFIKAT BerAKHLAK</v>
      </c>
      <c r="P8016" s="5" t="s">
        <v>50522</v>
      </c>
    </row>
    <row r="8017">
      <c r="A8017" s="4">
        <v>45534.39238900463</v>
      </c>
      <c r="B8017" s="5" t="s">
        <v>34</v>
      </c>
      <c r="D8017" s="5" t="s">
        <v>9394</v>
      </c>
      <c r="E8017" s="5" t="s">
        <v>50523</v>
      </c>
      <c r="F8017" s="5" t="s">
        <v>524</v>
      </c>
      <c r="G8017" s="5" t="s">
        <v>50524</v>
      </c>
      <c r="H8017" s="6" t="s">
        <v>50525</v>
      </c>
      <c r="K8017" s="5" t="s">
        <v>50519</v>
      </c>
      <c r="M8017" s="5" t="s">
        <v>50526</v>
      </c>
      <c r="N8017" s="7" t="s">
        <v>50527</v>
      </c>
      <c r="O8017" s="8" t="str">
        <f>HYPERLINK("https://drive.google.com/file/d/1lfNniE6lI6JPEiqvPF_kt9rYO7fu-EnK/view?usp=drivesdk","8016_IDA SRI YULIATI, Amd Keb, SKM.  _ SERTIFIKAT BerAKHLAK")</f>
        <v>8016_IDA SRI YULIATI, Amd Keb, SKM.  _ SERTIFIKAT BerAKHLAK</v>
      </c>
      <c r="P8017" s="5" t="s">
        <v>50528</v>
      </c>
    </row>
    <row r="8018">
      <c r="A8018" s="4">
        <v>45534.39245290509</v>
      </c>
      <c r="B8018" s="5" t="s">
        <v>34</v>
      </c>
      <c r="D8018" s="5" t="s">
        <v>4775</v>
      </c>
      <c r="E8018" s="5" t="s">
        <v>50529</v>
      </c>
      <c r="F8018" s="5" t="s">
        <v>37</v>
      </c>
      <c r="G8018" s="5" t="s">
        <v>50530</v>
      </c>
      <c r="H8018" s="6" t="s">
        <v>50531</v>
      </c>
      <c r="K8018" s="5" t="s">
        <v>50532</v>
      </c>
      <c r="M8018" s="5" t="s">
        <v>50533</v>
      </c>
      <c r="N8018" s="7" t="s">
        <v>50534</v>
      </c>
      <c r="O8018" s="8" t="str">
        <f>HYPERLINK("https://drive.google.com/file/d/193jGZKmAMk7VHHn0bBE8PRhaajEu2qpH/view?usp=drivesdk","8017_KUWAT SUPRIYANTO _ SERTIFIKAT BerAKHLAK")</f>
        <v>8017_KUWAT SUPRIYANTO _ SERTIFIKAT BerAKHLAK</v>
      </c>
      <c r="P8018" s="5" t="s">
        <v>50528</v>
      </c>
    </row>
    <row r="8019" hidden="1">
      <c r="A8019" s="4">
        <v>45534.39245991898</v>
      </c>
      <c r="B8019" s="5" t="s">
        <v>19</v>
      </c>
      <c r="C8019" s="5" t="s">
        <v>11593</v>
      </c>
      <c r="E8019" s="5" t="s">
        <v>50535</v>
      </c>
      <c r="F8019" s="5" t="s">
        <v>72</v>
      </c>
      <c r="G8019" s="5" t="s">
        <v>50536</v>
      </c>
      <c r="H8019" s="6" t="s">
        <v>50537</v>
      </c>
      <c r="K8019" s="5" t="s">
        <v>50532</v>
      </c>
      <c r="M8019" s="5" t="s">
        <v>50538</v>
      </c>
      <c r="N8019" s="7" t="s">
        <v>50539</v>
      </c>
      <c r="O8019" s="8" t="str">
        <f>HYPERLINK("https://drive.google.com/file/d/1U7h4Dwu8lBN5b1k5R9CrlzZSoHwOtlSL/view?usp=drivesdk","8018_ERNA UMIARSIH _ SERTIFIKAT BerAKHLAK")</f>
        <v>8018_ERNA UMIARSIH _ SERTIFIKAT BerAKHLAK</v>
      </c>
      <c r="P8019" s="5" t="s">
        <v>50528</v>
      </c>
    </row>
    <row r="8020">
      <c r="A8020" s="4">
        <v>45534.39247604167</v>
      </c>
      <c r="B8020" s="5" t="s">
        <v>34</v>
      </c>
      <c r="D8020" s="5" t="s">
        <v>1456</v>
      </c>
      <c r="E8020" s="5" t="s">
        <v>50540</v>
      </c>
      <c r="F8020" s="5" t="s">
        <v>328</v>
      </c>
      <c r="G8020" s="5" t="s">
        <v>50541</v>
      </c>
      <c r="H8020" s="6" t="s">
        <v>50542</v>
      </c>
      <c r="K8020" s="5" t="s">
        <v>50532</v>
      </c>
      <c r="M8020" s="5" t="s">
        <v>50543</v>
      </c>
      <c r="N8020" s="7" t="s">
        <v>50544</v>
      </c>
      <c r="O8020" s="8" t="str">
        <f>HYPERLINK("https://drive.google.com/file/d/1Ck0vMstWkWVG44i3IZarcn5DMZ8TaN5g/view?usp=drivesdk","8019_SETIASIH _ SERTIFIKAT BerAKHLAK")</f>
        <v>8019_SETIASIH _ SERTIFIKAT BerAKHLAK</v>
      </c>
      <c r="P8020" s="5" t="s">
        <v>50528</v>
      </c>
    </row>
    <row r="8021" hidden="1">
      <c r="A8021" s="4">
        <v>45534.39249454861</v>
      </c>
      <c r="B8021" s="5" t="s">
        <v>19</v>
      </c>
      <c r="C8021" s="5" t="s">
        <v>45988</v>
      </c>
      <c r="E8021" s="5" t="s">
        <v>50545</v>
      </c>
      <c r="F8021" s="5" t="s">
        <v>375</v>
      </c>
      <c r="G8021" s="5" t="s">
        <v>50546</v>
      </c>
      <c r="H8021" s="6" t="s">
        <v>50547</v>
      </c>
      <c r="K8021" s="5" t="s">
        <v>50532</v>
      </c>
      <c r="M8021" s="5" t="s">
        <v>50548</v>
      </c>
      <c r="N8021" s="7" t="s">
        <v>50549</v>
      </c>
      <c r="O8021" s="8" t="str">
        <f>HYPERLINK("https://drive.google.com/file/d/1xthwScy-6HL1P43zOy7tWVSOlDXWmFC5/view?usp=drivesdk","8020_SYARIFAH ARTHA, SE _ SERTIFIKAT BerAKHLAK")</f>
        <v>8020_SYARIFAH ARTHA, SE _ SERTIFIKAT BerAKHLAK</v>
      </c>
      <c r="P8021" s="5" t="s">
        <v>50528</v>
      </c>
    </row>
    <row r="8022" hidden="1">
      <c r="A8022" s="4">
        <v>45534.392507094904</v>
      </c>
      <c r="B8022" s="5" t="s">
        <v>19</v>
      </c>
      <c r="C8022" s="5" t="s">
        <v>40230</v>
      </c>
      <c r="E8022" s="5" t="s">
        <v>50550</v>
      </c>
      <c r="F8022" s="5" t="s">
        <v>120</v>
      </c>
      <c r="G8022" s="5" t="s">
        <v>50551</v>
      </c>
      <c r="H8022" s="6" t="s">
        <v>50552</v>
      </c>
      <c r="K8022" s="5" t="s">
        <v>50532</v>
      </c>
      <c r="M8022" s="5" t="s">
        <v>50553</v>
      </c>
      <c r="N8022" s="7" t="s">
        <v>50554</v>
      </c>
      <c r="O8022" s="8" t="str">
        <f>HYPERLINK("https://drive.google.com/file/d/1g3tDk1bQpyhPNK1KDJF-kxWgM9KzpSRY/view?usp=drivesdk","8021_URAY ZULKARNAIN, S.T., M.M.  _ SERTIFIKAT BerAKHLAK")</f>
        <v>8021_URAY ZULKARNAIN, S.T., M.M.  _ SERTIFIKAT BerAKHLAK</v>
      </c>
      <c r="P8022" s="5" t="s">
        <v>50528</v>
      </c>
    </row>
    <row r="8023">
      <c r="A8023" s="4">
        <v>45534.392534872684</v>
      </c>
      <c r="B8023" s="5" t="s">
        <v>34</v>
      </c>
      <c r="D8023" s="5" t="s">
        <v>280</v>
      </c>
      <c r="E8023" s="5" t="s">
        <v>50555</v>
      </c>
      <c r="F8023" s="5" t="s">
        <v>524</v>
      </c>
      <c r="G8023" s="5" t="s">
        <v>50556</v>
      </c>
      <c r="H8023" s="6" t="s">
        <v>50557</v>
      </c>
      <c r="K8023" s="5" t="s">
        <v>50558</v>
      </c>
      <c r="M8023" s="5" t="s">
        <v>50559</v>
      </c>
      <c r="N8023" s="7" t="s">
        <v>50560</v>
      </c>
      <c r="O8023" s="8" t="str">
        <f>HYPERLINK("https://drive.google.com/file/d/1kqbzb8TdK-6TNZPASy8QbgrlmLoT-1mw/view?usp=drivesdk","8022_NS.SRI GUSTINI, S.KEP _ SERTIFIKAT BerAKHLAK")</f>
        <v>8022_NS.SRI GUSTINI, S.KEP _ SERTIFIKAT BerAKHLAK</v>
      </c>
      <c r="P8023" s="5" t="s">
        <v>50528</v>
      </c>
    </row>
    <row r="8024">
      <c r="A8024" s="4">
        <v>45534.39255096065</v>
      </c>
      <c r="B8024" s="5" t="s">
        <v>34</v>
      </c>
      <c r="D8024" s="5" t="s">
        <v>9394</v>
      </c>
      <c r="E8024" s="5" t="s">
        <v>50561</v>
      </c>
      <c r="F8024" s="5" t="s">
        <v>72</v>
      </c>
      <c r="G8024" s="5" t="s">
        <v>50562</v>
      </c>
      <c r="H8024" s="6" t="s">
        <v>50563</v>
      </c>
      <c r="K8024" s="5" t="s">
        <v>50558</v>
      </c>
      <c r="M8024" s="5" t="s">
        <v>50564</v>
      </c>
      <c r="N8024" s="7" t="s">
        <v>50565</v>
      </c>
      <c r="O8024" s="8" t="str">
        <f>HYPERLINK("https://drive.google.com/file/d/1D6GJQBOi1Aw2BlrNTOt9lOOnGCS0dYSM/view?usp=drivesdk","8023_ARMEMI _ SERTIFIKAT BerAKHLAK")</f>
        <v>8023_ARMEMI _ SERTIFIKAT BerAKHLAK</v>
      </c>
      <c r="P8024" s="5" t="s">
        <v>50566</v>
      </c>
    </row>
    <row r="8025">
      <c r="A8025" s="4">
        <v>45534.39255443287</v>
      </c>
      <c r="B8025" s="5" t="s">
        <v>34</v>
      </c>
      <c r="D8025" s="5" t="s">
        <v>1558</v>
      </c>
      <c r="E8025" s="5" t="s">
        <v>50567</v>
      </c>
      <c r="F8025" s="5" t="s">
        <v>37</v>
      </c>
      <c r="G8025" s="5" t="s">
        <v>50568</v>
      </c>
      <c r="H8025" s="6" t="s">
        <v>50569</v>
      </c>
      <c r="K8025" s="5" t="s">
        <v>50558</v>
      </c>
      <c r="M8025" s="5" t="s">
        <v>50570</v>
      </c>
      <c r="N8025" s="7" t="s">
        <v>50571</v>
      </c>
      <c r="O8025" s="8" t="str">
        <f>HYPERLINK("https://drive.google.com/file/d/18pYtO-FAxVaCKuqjYNQPGTqgPr6Qz7zo/view?usp=drivesdk","8024_NURMIN _ SERTIFIKAT BerAKHLAK")</f>
        <v>8024_NURMIN _ SERTIFIKAT BerAKHLAK</v>
      </c>
      <c r="P8025" s="5" t="s">
        <v>50566</v>
      </c>
    </row>
    <row r="8026">
      <c r="A8026" s="4">
        <v>45534.39258694444</v>
      </c>
      <c r="B8026" s="5" t="s">
        <v>34</v>
      </c>
      <c r="D8026" s="5" t="s">
        <v>6232</v>
      </c>
      <c r="E8026" s="5" t="s">
        <v>50572</v>
      </c>
      <c r="F8026" s="5" t="s">
        <v>524</v>
      </c>
      <c r="G8026" s="5" t="s">
        <v>50573</v>
      </c>
      <c r="H8026" s="6" t="s">
        <v>50574</v>
      </c>
      <c r="K8026" s="5" t="s">
        <v>50575</v>
      </c>
      <c r="M8026" s="5" t="s">
        <v>50576</v>
      </c>
      <c r="N8026" s="7" t="s">
        <v>50577</v>
      </c>
      <c r="O8026" s="8" t="str">
        <f>HYPERLINK("https://drive.google.com/file/d/1vDFnXs6dgG6wm33LkFno0OApXN2-z5Gk/view?usp=drivesdk","8025_RITA LESTARI, S.Kep _ SERTIFIKAT BerAKHLAK")</f>
        <v>8025_RITA LESTARI, S.Kep _ SERTIFIKAT BerAKHLAK</v>
      </c>
      <c r="P8026" s="5" t="s">
        <v>50566</v>
      </c>
    </row>
    <row r="8027">
      <c r="A8027" s="4">
        <v>45534.39259344907</v>
      </c>
      <c r="B8027" s="5" t="s">
        <v>34</v>
      </c>
      <c r="D8027" s="5" t="s">
        <v>9394</v>
      </c>
      <c r="E8027" s="5" t="s">
        <v>50578</v>
      </c>
      <c r="F8027" s="5" t="s">
        <v>715</v>
      </c>
      <c r="G8027" s="5" t="s">
        <v>50579</v>
      </c>
      <c r="H8027" s="6" t="s">
        <v>50580</v>
      </c>
      <c r="K8027" s="5" t="s">
        <v>50575</v>
      </c>
      <c r="M8027" s="5" t="s">
        <v>50581</v>
      </c>
      <c r="N8027" s="7" t="s">
        <v>50582</v>
      </c>
      <c r="O8027" s="8" t="str">
        <f>HYPERLINK("https://drive.google.com/file/d/1JDM8TvI-LBeNathYFB10OsY80KEdJGhC/view?usp=drivesdk","8026_ANNISAA PUTRI RIAYU _ SERTIFIKAT BerAKHLAK")</f>
        <v>8026_ANNISAA PUTRI RIAYU _ SERTIFIKAT BerAKHLAK</v>
      </c>
      <c r="P8027" s="5" t="s">
        <v>49795</v>
      </c>
    </row>
    <row r="8028">
      <c r="A8028" s="4">
        <v>45534.39260061343</v>
      </c>
      <c r="B8028" s="5" t="s">
        <v>34</v>
      </c>
      <c r="D8028" s="5" t="s">
        <v>1206</v>
      </c>
      <c r="E8028" s="5" t="s">
        <v>50583</v>
      </c>
      <c r="F8028" s="5" t="s">
        <v>328</v>
      </c>
      <c r="G8028" s="5" t="s">
        <v>50584</v>
      </c>
      <c r="H8028" s="6" t="s">
        <v>50585</v>
      </c>
      <c r="K8028" s="5" t="s">
        <v>50575</v>
      </c>
      <c r="M8028" s="5" t="s">
        <v>50586</v>
      </c>
      <c r="N8028" s="7" t="s">
        <v>50587</v>
      </c>
      <c r="O8028" s="8" t="str">
        <f>HYPERLINK("https://drive.google.com/file/d/1m_oc_P6t_Nrvj08O8sGR7NfkzkWwp1TK/view?usp=drivesdk","8027_SARAWI _ SERTIFIKAT BerAKHLAK")</f>
        <v>8027_SARAWI _ SERTIFIKAT BerAKHLAK</v>
      </c>
      <c r="P8028" s="5" t="s">
        <v>49795</v>
      </c>
    </row>
    <row r="8029">
      <c r="A8029" s="4">
        <v>45534.39260291666</v>
      </c>
      <c r="B8029" s="5" t="s">
        <v>34</v>
      </c>
      <c r="D8029" s="5" t="s">
        <v>9020</v>
      </c>
      <c r="E8029" s="5" t="s">
        <v>50588</v>
      </c>
      <c r="F8029" s="5" t="s">
        <v>212</v>
      </c>
      <c r="G8029" s="5" t="s">
        <v>50589</v>
      </c>
      <c r="H8029" s="6" t="s">
        <v>50590</v>
      </c>
      <c r="K8029" s="5" t="s">
        <v>50575</v>
      </c>
      <c r="M8029" s="5" t="s">
        <v>50591</v>
      </c>
      <c r="N8029" s="7" t="s">
        <v>50592</v>
      </c>
      <c r="O8029" s="8" t="str">
        <f>HYPERLINK("https://drive.google.com/file/d/1diHRLLis0KHe-AN5tj0EYWNT4JmOUXjF/view?usp=drivesdk","8028_ERLINA SARI HASIBUAN _ SERTIFIKAT BerAKHLAK")</f>
        <v>8028_ERLINA SARI HASIBUAN _ SERTIFIKAT BerAKHLAK</v>
      </c>
      <c r="P8029" s="5" t="s">
        <v>49795</v>
      </c>
    </row>
    <row r="8030">
      <c r="A8030" s="4">
        <v>45534.39261069444</v>
      </c>
      <c r="B8030" s="5" t="s">
        <v>34</v>
      </c>
      <c r="D8030" s="5" t="s">
        <v>1206</v>
      </c>
      <c r="E8030" s="5" t="s">
        <v>50593</v>
      </c>
      <c r="F8030" s="5" t="s">
        <v>108</v>
      </c>
      <c r="G8030" s="5" t="s">
        <v>50594</v>
      </c>
      <c r="H8030" s="6" t="s">
        <v>50595</v>
      </c>
      <c r="K8030" s="5" t="s">
        <v>50575</v>
      </c>
      <c r="M8030" s="5" t="s">
        <v>50596</v>
      </c>
      <c r="N8030" s="7" t="s">
        <v>50597</v>
      </c>
      <c r="O8030" s="8" t="str">
        <f>HYPERLINK("https://drive.google.com/file/d/1JrEspmBO0iQaRqvWZBgb0EJbtCXEbAiz/view?usp=drivesdk","8029_MUSTIATI AMd. Keb _ SERTIFIKAT BerAKHLAK")</f>
        <v>8029_MUSTIATI AMd. Keb _ SERTIFIKAT BerAKHLAK</v>
      </c>
      <c r="P8030" s="5" t="s">
        <v>49795</v>
      </c>
    </row>
    <row r="8031">
      <c r="A8031" s="4">
        <v>45534.392656365744</v>
      </c>
      <c r="B8031" s="5" t="s">
        <v>34</v>
      </c>
      <c r="D8031" s="5" t="s">
        <v>9020</v>
      </c>
      <c r="E8031" s="5" t="s">
        <v>50598</v>
      </c>
      <c r="F8031" s="5" t="s">
        <v>212</v>
      </c>
      <c r="G8031" s="5" t="s">
        <v>50599</v>
      </c>
      <c r="H8031" s="6" t="s">
        <v>50600</v>
      </c>
      <c r="K8031" s="5" t="s">
        <v>50575</v>
      </c>
      <c r="M8031" s="5" t="s">
        <v>50601</v>
      </c>
      <c r="N8031" s="7" t="s">
        <v>50602</v>
      </c>
      <c r="O8031" s="8" t="str">
        <f>HYPERLINK("https://drive.google.com/file/d/1WK1e2lLtVrRLfjMo7PQtCMdVKearRahD/view?usp=drivesdk","8030_SANTA BERLIANA _ SERTIFIKAT BerAKHLAK")</f>
        <v>8030_SANTA BERLIANA _ SERTIFIKAT BerAKHLAK</v>
      </c>
      <c r="P8031" s="5" t="s">
        <v>49795</v>
      </c>
    </row>
    <row r="8032">
      <c r="A8032" s="4">
        <v>45534.392693368056</v>
      </c>
      <c r="B8032" s="5" t="s">
        <v>34</v>
      </c>
      <c r="D8032" s="5" t="s">
        <v>4775</v>
      </c>
      <c r="E8032" s="5" t="s">
        <v>50603</v>
      </c>
      <c r="F8032" s="5" t="s">
        <v>212</v>
      </c>
      <c r="G8032" s="5" t="s">
        <v>50604</v>
      </c>
      <c r="H8032" s="6" t="s">
        <v>50605</v>
      </c>
      <c r="K8032" s="5" t="s">
        <v>50575</v>
      </c>
      <c r="M8032" s="5" t="s">
        <v>50606</v>
      </c>
      <c r="N8032" s="7" t="s">
        <v>50607</v>
      </c>
      <c r="O8032" s="8" t="str">
        <f>HYPERLINK("https://drive.google.com/file/d/1DYkRIzkEQohfm7z62szsd4e8H2MtLvEk/view?usp=drivesdk","8031_NOVERY DEDY SUSANTO _ SERTIFIKAT BerAKHLAK")</f>
        <v>8031_NOVERY DEDY SUSANTO _ SERTIFIKAT BerAKHLAK</v>
      </c>
      <c r="P8032" s="5" t="s">
        <v>49795</v>
      </c>
    </row>
    <row r="8033">
      <c r="A8033" s="4">
        <v>45534.39278915509</v>
      </c>
      <c r="B8033" s="5" t="s">
        <v>34</v>
      </c>
      <c r="D8033" s="5" t="s">
        <v>9020</v>
      </c>
      <c r="E8033" s="5" t="s">
        <v>14620</v>
      </c>
      <c r="F8033" s="5" t="s">
        <v>72</v>
      </c>
      <c r="G8033" s="5" t="s">
        <v>50608</v>
      </c>
      <c r="H8033" s="6" t="s">
        <v>50609</v>
      </c>
      <c r="K8033" s="5" t="s">
        <v>50610</v>
      </c>
      <c r="M8033" s="5" t="s">
        <v>50611</v>
      </c>
      <c r="N8033" s="7" t="s">
        <v>50612</v>
      </c>
      <c r="O8033" s="8" t="str">
        <f>HYPERLINK("https://drive.google.com/file/d/1g7jZSN2vbheAMyAg4oCzJvejv8zIsmqY/view?usp=drivesdk","8032_WARTINI _ SERTIFIKAT BerAKHLAK")</f>
        <v>8032_WARTINI _ SERTIFIKAT BerAKHLAK</v>
      </c>
      <c r="P8033" s="5" t="s">
        <v>49816</v>
      </c>
    </row>
    <row r="8034" hidden="1">
      <c r="A8034" s="4">
        <v>45534.39279442129</v>
      </c>
      <c r="B8034" s="5" t="s">
        <v>19</v>
      </c>
      <c r="C8034" s="5" t="s">
        <v>5058</v>
      </c>
      <c r="E8034" s="5" t="s">
        <v>50613</v>
      </c>
      <c r="F8034" s="5" t="s">
        <v>212</v>
      </c>
      <c r="G8034" s="5" t="s">
        <v>50614</v>
      </c>
      <c r="H8034" s="6" t="s">
        <v>50615</v>
      </c>
      <c r="K8034" s="5" t="s">
        <v>50610</v>
      </c>
      <c r="M8034" s="5" t="s">
        <v>50616</v>
      </c>
      <c r="N8034" s="7" t="s">
        <v>50617</v>
      </c>
      <c r="O8034" s="8" t="str">
        <f>HYPERLINK("https://drive.google.com/file/d/1xI3Gb4aqUgZz4AJUoGYPs1mHt6rbcRHH/view?usp=drivesdk","8033_DARIA Bin Toton _ SERTIFIKAT BerAKHLAK")</f>
        <v>8033_DARIA Bin Toton _ SERTIFIKAT BerAKHLAK</v>
      </c>
      <c r="P8034" s="5" t="s">
        <v>49816</v>
      </c>
    </row>
    <row r="8035">
      <c r="A8035" s="4">
        <v>45534.39282028935</v>
      </c>
      <c r="B8035" s="5" t="s">
        <v>34</v>
      </c>
      <c r="D8035" s="5" t="s">
        <v>4775</v>
      </c>
      <c r="E8035" s="5" t="s">
        <v>50618</v>
      </c>
      <c r="F8035" s="5" t="s">
        <v>37</v>
      </c>
      <c r="G8035" s="5" t="s">
        <v>50619</v>
      </c>
      <c r="H8035" s="6" t="s">
        <v>50620</v>
      </c>
      <c r="K8035" s="5" t="s">
        <v>50610</v>
      </c>
      <c r="M8035" s="5" t="s">
        <v>50621</v>
      </c>
      <c r="N8035" s="7" t="s">
        <v>50622</v>
      </c>
      <c r="O8035" s="8" t="str">
        <f>HYPERLINK("https://drive.google.com/file/d/1QKJWlPBrD6dh3SSNBqv68Dle5aAn18E6/view?usp=drivesdk","8034_JAELANI _ SERTIFIKAT BerAKHLAK")</f>
        <v>8034_JAELANI _ SERTIFIKAT BerAKHLAK</v>
      </c>
      <c r="P8035" s="5" t="s">
        <v>49816</v>
      </c>
    </row>
    <row r="8036">
      <c r="A8036" s="4">
        <v>45534.39284447917</v>
      </c>
      <c r="B8036" s="5" t="s">
        <v>34</v>
      </c>
      <c r="D8036" s="5" t="s">
        <v>3432</v>
      </c>
      <c r="E8036" s="5" t="s">
        <v>50623</v>
      </c>
      <c r="F8036" s="5" t="s">
        <v>212</v>
      </c>
      <c r="G8036" s="5" t="s">
        <v>50624</v>
      </c>
      <c r="H8036" s="6" t="s">
        <v>50625</v>
      </c>
      <c r="K8036" s="5" t="s">
        <v>50626</v>
      </c>
      <c r="M8036" s="5" t="s">
        <v>50627</v>
      </c>
      <c r="N8036" s="7" t="s">
        <v>50628</v>
      </c>
      <c r="O8036" s="8" t="str">
        <f>HYPERLINK("https://drive.google.com/file/d/1ftArdYz4c16HvtndAAIVMcscsP-hVw3u/view?usp=drivesdk","8035_YULIYANTI KEMHAY  _ SERTIFIKAT BerAKHLAK")</f>
        <v>8035_YULIYANTI KEMHAY  _ SERTIFIKAT BerAKHLAK</v>
      </c>
      <c r="P8036" s="5" t="s">
        <v>49816</v>
      </c>
    </row>
    <row r="8037">
      <c r="A8037" s="4">
        <v>45534.39287776621</v>
      </c>
      <c r="B8037" s="5" t="s">
        <v>34</v>
      </c>
      <c r="D8037" s="5" t="s">
        <v>10444</v>
      </c>
      <c r="E8037" s="5" t="s">
        <v>50629</v>
      </c>
      <c r="F8037" s="5" t="s">
        <v>715</v>
      </c>
      <c r="G8037" s="5" t="s">
        <v>50630</v>
      </c>
      <c r="H8037" s="6" t="s">
        <v>50631</v>
      </c>
      <c r="K8037" s="5" t="s">
        <v>50632</v>
      </c>
      <c r="M8037" s="5" t="s">
        <v>50633</v>
      </c>
      <c r="N8037" s="7" t="s">
        <v>50634</v>
      </c>
      <c r="O8037" s="8" t="str">
        <f>HYPERLINK("https://drive.google.com/file/d/157mGc5dBNsvgdEyRik6jhmRG9T3HWBZz/view?usp=drivesdk","8036_SUSANTI, A.Md _ SERTIFIKAT BerAKHLAK")</f>
        <v>8036_SUSANTI, A.Md _ SERTIFIKAT BerAKHLAK</v>
      </c>
      <c r="P8037" s="5" t="s">
        <v>49816</v>
      </c>
    </row>
    <row r="8038">
      <c r="A8038" s="4">
        <v>45534.39288372685</v>
      </c>
      <c r="B8038" s="5" t="s">
        <v>34</v>
      </c>
      <c r="D8038" s="5" t="s">
        <v>1768</v>
      </c>
      <c r="E8038" s="5" t="s">
        <v>50635</v>
      </c>
      <c r="F8038" s="5" t="s">
        <v>37</v>
      </c>
      <c r="G8038" s="5" t="s">
        <v>50636</v>
      </c>
      <c r="H8038" s="6" t="s">
        <v>50637</v>
      </c>
      <c r="K8038" s="5" t="s">
        <v>50632</v>
      </c>
      <c r="M8038" s="5" t="s">
        <v>50638</v>
      </c>
      <c r="N8038" s="7" t="s">
        <v>50639</v>
      </c>
      <c r="O8038" s="8" t="str">
        <f>HYPERLINK("https://drive.google.com/file/d/1f9UNKRBKDOcDvoH2_L5keKpav2kEIGAK/view?usp=drivesdk","8037_ESTININGSIH _ SERTIFIKAT BerAKHLAK")</f>
        <v>8037_ESTININGSIH _ SERTIFIKAT BerAKHLAK</v>
      </c>
      <c r="P8038" s="5" t="s">
        <v>49816</v>
      </c>
    </row>
    <row r="8039">
      <c r="A8039" s="4">
        <v>45534.39292189815</v>
      </c>
      <c r="B8039" s="5" t="s">
        <v>34</v>
      </c>
      <c r="D8039" s="5" t="s">
        <v>701</v>
      </c>
      <c r="E8039" s="5" t="s">
        <v>50640</v>
      </c>
      <c r="F8039" s="5" t="s">
        <v>108</v>
      </c>
      <c r="G8039" s="5" t="s">
        <v>50641</v>
      </c>
      <c r="H8039" s="6" t="s">
        <v>50642</v>
      </c>
      <c r="K8039" s="5" t="s">
        <v>50643</v>
      </c>
      <c r="M8039" s="5" t="s">
        <v>50644</v>
      </c>
      <c r="N8039" s="7" t="s">
        <v>50645</v>
      </c>
      <c r="O8039" s="8" t="str">
        <f>HYPERLINK("https://drive.google.com/file/d/1QUB3XL6CXvHX6C9dxTm2Smk57_13nY7Z/view?usp=drivesdk","8038_RITA HAYATI _ SERTIFIKAT BerAKHLAK")</f>
        <v>8038_RITA HAYATI _ SERTIFIKAT BerAKHLAK</v>
      </c>
      <c r="P8039" s="5" t="s">
        <v>49832</v>
      </c>
    </row>
    <row r="8040" hidden="1">
      <c r="A8040" s="4">
        <v>45534.392925011576</v>
      </c>
      <c r="B8040" s="5" t="s">
        <v>19</v>
      </c>
      <c r="C8040" s="5" t="s">
        <v>5058</v>
      </c>
      <c r="E8040" s="5" t="s">
        <v>50646</v>
      </c>
      <c r="F8040" s="5" t="s">
        <v>120</v>
      </c>
      <c r="G8040" s="5" t="s">
        <v>50647</v>
      </c>
      <c r="H8040" s="6" t="s">
        <v>50648</v>
      </c>
      <c r="K8040" s="5" t="s">
        <v>50643</v>
      </c>
      <c r="M8040" s="5" t="s">
        <v>50649</v>
      </c>
      <c r="N8040" s="7" t="s">
        <v>50650</v>
      </c>
      <c r="O8040" s="8" t="str">
        <f>HYPERLINK("https://drive.google.com/file/d/1yy1b4MT_WSA5qoFFxCooPwhEZlZxtsWu/view?usp=drivesdk","8039_INDRAJAYA SAPUTRA, S.E. _ SERTIFIKAT BerAKHLAK")</f>
        <v>8039_INDRAJAYA SAPUTRA, S.E. _ SERTIFIKAT BerAKHLAK</v>
      </c>
      <c r="P8040" s="5" t="s">
        <v>49622</v>
      </c>
    </row>
    <row r="8041">
      <c r="A8041" s="4">
        <v>45534.392937048615</v>
      </c>
      <c r="B8041" s="5" t="s">
        <v>34</v>
      </c>
      <c r="D8041" s="5" t="s">
        <v>15401</v>
      </c>
      <c r="E8041" s="5" t="s">
        <v>50651</v>
      </c>
      <c r="F8041" s="5" t="s">
        <v>212</v>
      </c>
      <c r="G8041" s="5" t="s">
        <v>50652</v>
      </c>
      <c r="H8041" s="6" t="s">
        <v>50653</v>
      </c>
      <c r="K8041" s="5" t="s">
        <v>50643</v>
      </c>
      <c r="M8041" s="5" t="s">
        <v>50654</v>
      </c>
      <c r="N8041" s="7" t="s">
        <v>50655</v>
      </c>
      <c r="O8041" s="8" t="str">
        <f>HYPERLINK("https://drive.google.com/file/d/1raTo8PI3sIGHA8d9LS3nPaRZxcbk1YMO/view?usp=drivesdk","8040_AWALUDIN  _ SERTIFIKAT BerAKHLAK")</f>
        <v>8040_AWALUDIN  _ SERTIFIKAT BerAKHLAK</v>
      </c>
      <c r="P8041" s="5" t="s">
        <v>49639</v>
      </c>
    </row>
    <row r="8042">
      <c r="A8042" s="4">
        <v>45534.392940983795</v>
      </c>
      <c r="B8042" s="5" t="s">
        <v>34</v>
      </c>
      <c r="D8042" s="5" t="s">
        <v>4775</v>
      </c>
      <c r="E8042" s="5" t="s">
        <v>50656</v>
      </c>
      <c r="F8042" s="5" t="s">
        <v>524</v>
      </c>
      <c r="G8042" s="5" t="s">
        <v>50657</v>
      </c>
      <c r="H8042" s="6" t="s">
        <v>50658</v>
      </c>
      <c r="K8042" s="5" t="s">
        <v>50643</v>
      </c>
      <c r="M8042" s="5" t="s">
        <v>50659</v>
      </c>
      <c r="N8042" s="7" t="s">
        <v>50660</v>
      </c>
      <c r="O8042" s="8" t="str">
        <f>HYPERLINK("https://drive.google.com/file/d/1H8gqDHDu7iwRzWyaiw4HBSmN_vd7VGJc/view?usp=drivesdk","8041_ASIH PRIHTIANI, SH _ SERTIFIKAT BerAKHLAK")</f>
        <v>8041_ASIH PRIHTIANI, SH _ SERTIFIKAT BerAKHLAK</v>
      </c>
      <c r="P8042" s="5" t="s">
        <v>49639</v>
      </c>
    </row>
    <row r="8043">
      <c r="A8043" s="4">
        <v>45534.392941620375</v>
      </c>
      <c r="B8043" s="5" t="s">
        <v>34</v>
      </c>
      <c r="D8043" s="5" t="s">
        <v>4775</v>
      </c>
      <c r="E8043" s="5" t="s">
        <v>50661</v>
      </c>
      <c r="F8043" s="5" t="s">
        <v>328</v>
      </c>
      <c r="G8043" s="5" t="s">
        <v>50662</v>
      </c>
      <c r="H8043" s="6" t="s">
        <v>50663</v>
      </c>
      <c r="K8043" s="5" t="s">
        <v>50643</v>
      </c>
      <c r="M8043" s="5" t="s">
        <v>50664</v>
      </c>
      <c r="N8043" s="7" t="s">
        <v>50665</v>
      </c>
      <c r="O8043" s="8" t="str">
        <f>HYPERLINK("https://drive.google.com/file/d/174Yl54sVeqduj3Umfl9lOplDddl8yP99/view?usp=drivesdk","8042_SANTUNG _ SERTIFIKAT BerAKHLAK")</f>
        <v>8042_SANTUNG _ SERTIFIKAT BerAKHLAK</v>
      </c>
      <c r="P8043" s="5" t="s">
        <v>49639</v>
      </c>
    </row>
    <row r="8044">
      <c r="A8044" s="4">
        <v>45534.39296188657</v>
      </c>
      <c r="B8044" s="5" t="s">
        <v>34</v>
      </c>
      <c r="D8044" s="5" t="s">
        <v>9020</v>
      </c>
      <c r="E8044" s="5" t="s">
        <v>50666</v>
      </c>
      <c r="F8044" s="5" t="s">
        <v>37</v>
      </c>
      <c r="G8044" s="5" t="s">
        <v>50667</v>
      </c>
      <c r="H8044" s="6" t="s">
        <v>50668</v>
      </c>
      <c r="K8044" s="5" t="s">
        <v>50643</v>
      </c>
      <c r="M8044" s="5" t="s">
        <v>50669</v>
      </c>
      <c r="N8044" s="7" t="s">
        <v>50670</v>
      </c>
      <c r="O8044" s="8" t="str">
        <f>HYPERLINK("https://drive.google.com/file/d/1OqzyY5M3VZ1tWSvBiJlnK9BKDhSEpbpn/view?usp=drivesdk","8043_NOVRINA SIHOMBING _ SERTIFIKAT BerAKHLAK")</f>
        <v>8043_NOVRINA SIHOMBING _ SERTIFIKAT BerAKHLAK</v>
      </c>
      <c r="P8044" s="5" t="s">
        <v>49639</v>
      </c>
    </row>
    <row r="8045">
      <c r="A8045" s="4">
        <v>45534.3929640625</v>
      </c>
      <c r="B8045" s="5" t="s">
        <v>34</v>
      </c>
      <c r="D8045" s="5" t="s">
        <v>9394</v>
      </c>
      <c r="E8045" s="5" t="s">
        <v>50671</v>
      </c>
      <c r="F8045" s="5" t="s">
        <v>212</v>
      </c>
      <c r="G8045" s="5" t="s">
        <v>50672</v>
      </c>
      <c r="H8045" s="6" t="s">
        <v>50673</v>
      </c>
      <c r="K8045" s="5" t="s">
        <v>50643</v>
      </c>
      <c r="M8045" s="5" t="s">
        <v>50674</v>
      </c>
      <c r="N8045" s="7" t="s">
        <v>50675</v>
      </c>
      <c r="O8045" s="8" t="str">
        <f>HYPERLINK("https://drive.google.com/file/d/1loOacvpYmSKI8eBrRkrKs7N0IckPjuF9/view?usp=drivesdk","8044_NURHIDA _ SERTIFIKAT BerAKHLAK")</f>
        <v>8044_NURHIDA _ SERTIFIKAT BerAKHLAK</v>
      </c>
      <c r="P8045" s="5" t="s">
        <v>49639</v>
      </c>
    </row>
    <row r="8046">
      <c r="A8046" s="4">
        <v>45534.39298480324</v>
      </c>
      <c r="B8046" s="5" t="s">
        <v>34</v>
      </c>
      <c r="D8046" s="5" t="s">
        <v>701</v>
      </c>
      <c r="E8046" s="5" t="s">
        <v>50676</v>
      </c>
      <c r="F8046" s="5" t="s">
        <v>72</v>
      </c>
      <c r="G8046" s="5" t="s">
        <v>50677</v>
      </c>
      <c r="H8046" s="6" t="s">
        <v>50678</v>
      </c>
      <c r="K8046" s="5" t="s">
        <v>50679</v>
      </c>
      <c r="M8046" s="5" t="s">
        <v>50680</v>
      </c>
      <c r="N8046" s="7" t="s">
        <v>50681</v>
      </c>
      <c r="O8046" s="8" t="str">
        <f>HYPERLINK("https://drive.google.com/file/d/1b1a2VGhPuWisoZaXsk3yOX0RYZlTyucw/view?usp=drivesdk","8045_MARDIANA  _ SERTIFIKAT BerAKHLAK")</f>
        <v>8045_MARDIANA  _ SERTIFIKAT BerAKHLAK</v>
      </c>
      <c r="P8046" s="5" t="s">
        <v>49652</v>
      </c>
    </row>
    <row r="8047">
      <c r="A8047" s="4">
        <v>45534.39307049768</v>
      </c>
      <c r="B8047" s="5" t="s">
        <v>34</v>
      </c>
      <c r="D8047" s="5" t="s">
        <v>35</v>
      </c>
      <c r="E8047" s="5" t="s">
        <v>50682</v>
      </c>
      <c r="F8047" s="5" t="s">
        <v>199</v>
      </c>
      <c r="G8047" s="5" t="s">
        <v>50683</v>
      </c>
      <c r="H8047" s="6" t="s">
        <v>50684</v>
      </c>
      <c r="K8047" s="5" t="s">
        <v>50679</v>
      </c>
      <c r="M8047" s="5" t="s">
        <v>50685</v>
      </c>
      <c r="N8047" s="7" t="s">
        <v>50686</v>
      </c>
      <c r="O8047" s="8" t="str">
        <f>HYPERLINK("https://drive.google.com/file/d/1jjznQ5poZ4GbddyRqmyRpA8kH-zVbDda/view?usp=drivesdk","8046_SUHAERI _ SERTIFIKAT BerAKHLAK")</f>
        <v>8046_SUHAERI _ SERTIFIKAT BerAKHLAK</v>
      </c>
      <c r="P8047" s="5" t="s">
        <v>49652</v>
      </c>
    </row>
    <row r="8048">
      <c r="A8048" s="4">
        <v>45534.39307881944</v>
      </c>
      <c r="B8048" s="5" t="s">
        <v>34</v>
      </c>
      <c r="D8048" s="5" t="s">
        <v>15401</v>
      </c>
      <c r="E8048" s="5" t="s">
        <v>50687</v>
      </c>
      <c r="F8048" s="5" t="s">
        <v>72</v>
      </c>
      <c r="G8048" s="5" t="s">
        <v>50688</v>
      </c>
      <c r="H8048" s="6" t="s">
        <v>50689</v>
      </c>
      <c r="K8048" s="5" t="s">
        <v>50690</v>
      </c>
      <c r="M8048" s="5" t="s">
        <v>50691</v>
      </c>
      <c r="N8048" s="7" t="s">
        <v>50692</v>
      </c>
      <c r="O8048" s="8" t="str">
        <f>HYPERLINK("https://drive.google.com/file/d/1oRS_iklhV2u14b3IsMfdqbP7bBhtVVTC/view?usp=drivesdk","8047_TRI NURI DAMAYANTI _ SERTIFIKAT BerAKHLAK")</f>
        <v>8047_TRI NURI DAMAYANTI _ SERTIFIKAT BerAKHLAK</v>
      </c>
      <c r="P8048" s="5" t="s">
        <v>49652</v>
      </c>
    </row>
    <row r="8049">
      <c r="A8049" s="4">
        <v>45534.39309657407</v>
      </c>
      <c r="B8049" s="5" t="s">
        <v>34</v>
      </c>
      <c r="D8049" s="5" t="s">
        <v>2903</v>
      </c>
      <c r="E8049" s="5" t="s">
        <v>33270</v>
      </c>
      <c r="F8049" s="5" t="s">
        <v>212</v>
      </c>
      <c r="G8049" s="5" t="s">
        <v>50693</v>
      </c>
      <c r="H8049" s="6" t="s">
        <v>50694</v>
      </c>
      <c r="K8049" s="5" t="s">
        <v>50690</v>
      </c>
      <c r="M8049" s="5" t="s">
        <v>50695</v>
      </c>
      <c r="N8049" s="7" t="s">
        <v>50696</v>
      </c>
      <c r="O8049" s="8" t="str">
        <f>HYPERLINK("https://drive.google.com/file/d/18jFyrL9NGlC27C2mxCHF-qEJYvYR5xUB/view?usp=drivesdk","8048_SUMANTRI _ SERTIFIKAT BerAKHLAK")</f>
        <v>8048_SUMANTRI _ SERTIFIKAT BerAKHLAK</v>
      </c>
      <c r="P8049" s="5" t="s">
        <v>49652</v>
      </c>
    </row>
    <row r="8050" hidden="1">
      <c r="A8050" s="4">
        <v>45534.393103043985</v>
      </c>
      <c r="B8050" s="5" t="s">
        <v>19</v>
      </c>
      <c r="C8050" s="5" t="s">
        <v>292</v>
      </c>
      <c r="E8050" s="5" t="s">
        <v>50697</v>
      </c>
      <c r="F8050" s="5" t="s">
        <v>212</v>
      </c>
      <c r="G8050" s="5" t="s">
        <v>50698</v>
      </c>
      <c r="H8050" s="6" t="s">
        <v>50699</v>
      </c>
      <c r="K8050" s="5" t="s">
        <v>50690</v>
      </c>
      <c r="M8050" s="5" t="s">
        <v>50700</v>
      </c>
      <c r="N8050" s="7" t="s">
        <v>50701</v>
      </c>
      <c r="O8050" s="8" t="str">
        <f>HYPERLINK("https://drive.google.com/file/d/1_rq3l1WWobTQ0ZzQwdcxKTDdnaILNVU4/view?usp=drivesdk","8049_SRI RAHYUNIK  _ SERTIFIKAT BerAKHLAK")</f>
        <v>8049_SRI RAHYUNIK  _ SERTIFIKAT BerAKHLAK</v>
      </c>
      <c r="P8050" s="5" t="s">
        <v>49674</v>
      </c>
    </row>
    <row r="8051">
      <c r="A8051" s="4">
        <v>45534.39311159722</v>
      </c>
      <c r="B8051" s="5" t="s">
        <v>34</v>
      </c>
      <c r="D8051" s="5" t="s">
        <v>996</v>
      </c>
      <c r="E8051" s="5" t="s">
        <v>17514</v>
      </c>
      <c r="F8051" s="5" t="s">
        <v>108</v>
      </c>
      <c r="G8051" s="5" t="s">
        <v>50702</v>
      </c>
      <c r="H8051" s="6" t="s">
        <v>50703</v>
      </c>
      <c r="K8051" s="5" t="s">
        <v>50704</v>
      </c>
      <c r="M8051" s="5" t="s">
        <v>50705</v>
      </c>
      <c r="N8051" s="7" t="s">
        <v>50706</v>
      </c>
      <c r="O8051" s="8" t="str">
        <f>HYPERLINK("https://drive.google.com/file/d/1xcBIcoEeOEtMY9V0nIjjUTQuqQmhSAyp/view?usp=drivesdk","8050_JAMILAH _ SERTIFIKAT BerAKHLAK")</f>
        <v>8050_JAMILAH _ SERTIFIKAT BerAKHLAK</v>
      </c>
      <c r="P8051" s="5" t="s">
        <v>49674</v>
      </c>
    </row>
    <row r="8052">
      <c r="A8052" s="4">
        <v>45534.39313078704</v>
      </c>
      <c r="B8052" s="5" t="s">
        <v>34</v>
      </c>
      <c r="D8052" s="5" t="s">
        <v>15401</v>
      </c>
      <c r="E8052" s="5" t="s">
        <v>50707</v>
      </c>
      <c r="F8052" s="5" t="s">
        <v>37</v>
      </c>
      <c r="G8052" s="5" t="s">
        <v>50708</v>
      </c>
      <c r="H8052" s="6" t="s">
        <v>50709</v>
      </c>
      <c r="K8052" s="5" t="s">
        <v>50704</v>
      </c>
      <c r="M8052" s="5" t="s">
        <v>50710</v>
      </c>
      <c r="N8052" s="7" t="s">
        <v>50711</v>
      </c>
      <c r="O8052" s="8" t="str">
        <f>HYPERLINK("https://drive.google.com/file/d/1LX-5LLgVz4V9QhjS8ysrTec3ulzoh1iS/view?usp=drivesdk","8051_DOLSE ANEKA DENDALUHE _ SERTIFIKAT BerAKHLAK")</f>
        <v>8051_DOLSE ANEKA DENDALUHE _ SERTIFIKAT BerAKHLAK</v>
      </c>
      <c r="P8052" s="5" t="s">
        <v>49674</v>
      </c>
    </row>
    <row r="8053">
      <c r="A8053" s="4">
        <v>45534.39317930555</v>
      </c>
      <c r="B8053" s="5" t="s">
        <v>34</v>
      </c>
      <c r="D8053" s="5" t="s">
        <v>10444</v>
      </c>
      <c r="E8053" s="5" t="s">
        <v>50712</v>
      </c>
      <c r="F8053" s="5" t="s">
        <v>524</v>
      </c>
      <c r="G8053" s="5" t="s">
        <v>50713</v>
      </c>
      <c r="H8053" s="6" t="s">
        <v>50714</v>
      </c>
      <c r="K8053" s="5" t="s">
        <v>50715</v>
      </c>
      <c r="M8053" s="5" t="s">
        <v>50716</v>
      </c>
      <c r="N8053" s="7" t="s">
        <v>50717</v>
      </c>
      <c r="O8053" s="8" t="str">
        <f>HYPERLINK("https://drive.google.com/file/d/1_1ir64xZoBKQklLUh2sKvwItQLwYVkqQ/view?usp=drivesdk","8052_RIZQA MAULIDA _ SERTIFIKAT BerAKHLAK")</f>
        <v>8052_RIZQA MAULIDA _ SERTIFIKAT BerAKHLAK</v>
      </c>
      <c r="P8053" s="5" t="s">
        <v>49700</v>
      </c>
    </row>
    <row r="8054">
      <c r="A8054" s="4">
        <v>45534.3932315162</v>
      </c>
      <c r="B8054" s="5" t="s">
        <v>34</v>
      </c>
      <c r="D8054" s="5" t="s">
        <v>1456</v>
      </c>
      <c r="E8054" s="5" t="s">
        <v>42113</v>
      </c>
      <c r="F8054" s="5" t="s">
        <v>212</v>
      </c>
      <c r="G8054" s="5" t="s">
        <v>50718</v>
      </c>
      <c r="H8054" s="6" t="s">
        <v>50719</v>
      </c>
      <c r="K8054" s="5" t="s">
        <v>50720</v>
      </c>
      <c r="M8054" s="5" t="s">
        <v>50721</v>
      </c>
      <c r="N8054" s="7" t="s">
        <v>50722</v>
      </c>
      <c r="O8054" s="8" t="str">
        <f>HYPERLINK("https://drive.google.com/file/d/1ThBwoi9MpABE56DubSmA9QAFgo_3I53s/view?usp=drivesdk","8053_INDAH SUSANTI _ SERTIFIKAT BerAKHLAK")</f>
        <v>8053_INDAH SUSANTI _ SERTIFIKAT BerAKHLAK</v>
      </c>
      <c r="P8054" s="5" t="s">
        <v>49700</v>
      </c>
    </row>
    <row r="8055">
      <c r="A8055" s="4">
        <v>45534.39326700231</v>
      </c>
      <c r="B8055" s="5" t="s">
        <v>34</v>
      </c>
      <c r="D8055" s="5" t="s">
        <v>1206</v>
      </c>
      <c r="E8055" s="5" t="s">
        <v>50723</v>
      </c>
      <c r="F8055" s="5" t="s">
        <v>212</v>
      </c>
      <c r="G8055" s="5" t="s">
        <v>50724</v>
      </c>
      <c r="H8055" s="6" t="s">
        <v>50725</v>
      </c>
      <c r="K8055" s="5" t="s">
        <v>50726</v>
      </c>
      <c r="M8055" s="5" t="s">
        <v>50727</v>
      </c>
      <c r="N8055" s="7" t="s">
        <v>50728</v>
      </c>
      <c r="O8055" s="8" t="str">
        <f>HYPERLINK("https://drive.google.com/file/d/17jCzz1IZHp_RD9UXhVsQE2anDDTLdRlJ/view?usp=drivesdk","8054_RITA PUSPARINI _ SERTIFIKAT BerAKHLAK")</f>
        <v>8054_RITA PUSPARINI _ SERTIFIKAT BerAKHLAK</v>
      </c>
      <c r="P8055" s="5" t="s">
        <v>49249</v>
      </c>
    </row>
    <row r="8056">
      <c r="A8056" s="4">
        <v>45534.39328758101</v>
      </c>
      <c r="B8056" s="5" t="s">
        <v>34</v>
      </c>
      <c r="D8056" s="5" t="s">
        <v>1456</v>
      </c>
      <c r="E8056" s="5" t="s">
        <v>50729</v>
      </c>
      <c r="F8056" s="5" t="s">
        <v>524</v>
      </c>
      <c r="G8056" s="5" t="s">
        <v>50730</v>
      </c>
      <c r="H8056" s="6" t="s">
        <v>50731</v>
      </c>
      <c r="K8056" s="5" t="s">
        <v>50732</v>
      </c>
      <c r="M8056" s="5" t="s">
        <v>50733</v>
      </c>
      <c r="N8056" s="7" t="s">
        <v>50734</v>
      </c>
      <c r="O8056" s="8" t="str">
        <f>HYPERLINK("https://drive.google.com/file/d/1aM8PQXaSiucHfOC3ula1LfTN2OmRFpeN/view?usp=drivesdk","8055_CAHYANINGSIH, SKM _ SERTIFIKAT BerAKHLAK")</f>
        <v>8055_CAHYANINGSIH, SKM _ SERTIFIKAT BerAKHLAK</v>
      </c>
      <c r="P8056" s="5" t="s">
        <v>49249</v>
      </c>
    </row>
    <row r="8057" hidden="1">
      <c r="A8057" s="4">
        <v>45534.39329490741</v>
      </c>
      <c r="B8057" s="5" t="s">
        <v>19</v>
      </c>
      <c r="C8057" s="5" t="s">
        <v>30588</v>
      </c>
      <c r="E8057" s="5" t="s">
        <v>50735</v>
      </c>
      <c r="F8057" s="5" t="s">
        <v>108</v>
      </c>
      <c r="G8057" s="5" t="s">
        <v>50736</v>
      </c>
      <c r="H8057" s="6" t="s">
        <v>50737</v>
      </c>
      <c r="K8057" s="5" t="s">
        <v>50732</v>
      </c>
      <c r="M8057" s="5" t="s">
        <v>50738</v>
      </c>
      <c r="N8057" s="7" t="s">
        <v>50739</v>
      </c>
      <c r="O8057" s="8" t="str">
        <f>HYPERLINK("https://drive.google.com/file/d/1q2hJEtrlIdJXDGvIrRFDl225jORkemnK/view?usp=drivesdk","8056_TRUMAN, S.E _ SERTIFIKAT BerAKHLAK")</f>
        <v>8056_TRUMAN, S.E _ SERTIFIKAT BerAKHLAK</v>
      </c>
      <c r="P8057" s="5" t="s">
        <v>50740</v>
      </c>
    </row>
    <row r="8058">
      <c r="A8058" s="4">
        <v>45534.39330564815</v>
      </c>
      <c r="B8058" s="5" t="s">
        <v>34</v>
      </c>
      <c r="D8058" s="5" t="s">
        <v>12978</v>
      </c>
      <c r="E8058" s="5" t="s">
        <v>50741</v>
      </c>
      <c r="F8058" s="5" t="s">
        <v>37</v>
      </c>
      <c r="G8058" s="5" t="s">
        <v>50742</v>
      </c>
      <c r="H8058" s="6" t="s">
        <v>50743</v>
      </c>
      <c r="K8058" s="5" t="s">
        <v>50744</v>
      </c>
      <c r="M8058" s="5" t="s">
        <v>50745</v>
      </c>
      <c r="N8058" s="7" t="s">
        <v>50746</v>
      </c>
      <c r="O8058" s="8" t="str">
        <f>HYPERLINK("https://drive.google.com/file/d/1T9zjdWf9sNwGy6K4mLpiqjplDN8A63nL/view?usp=drivesdk","8057_MERY YUSSANTI, S.IKOM _ SERTIFIKAT BerAKHLAK")</f>
        <v>8057_MERY YUSSANTI, S.IKOM _ SERTIFIKAT BerAKHLAK</v>
      </c>
      <c r="P8058" s="5" t="s">
        <v>50740</v>
      </c>
    </row>
    <row r="8059">
      <c r="A8059" s="4">
        <v>45534.39332915509</v>
      </c>
      <c r="B8059" s="5" t="s">
        <v>34</v>
      </c>
      <c r="D8059" s="5" t="s">
        <v>1456</v>
      </c>
      <c r="E8059" s="5" t="s">
        <v>50747</v>
      </c>
      <c r="F8059" s="5" t="s">
        <v>212</v>
      </c>
      <c r="G8059" s="5" t="s">
        <v>50748</v>
      </c>
      <c r="H8059" s="6" t="s">
        <v>50749</v>
      </c>
      <c r="K8059" s="5" t="s">
        <v>50744</v>
      </c>
      <c r="M8059" s="5" t="s">
        <v>50750</v>
      </c>
      <c r="N8059" s="7" t="s">
        <v>50751</v>
      </c>
      <c r="O8059" s="8" t="str">
        <f>HYPERLINK("https://drive.google.com/file/d/1CECwFJDaFSvdNfB6eHJfrYAO17l0lJnc/view?usp=drivesdk","8058_ENDANG SURYANI _ SERTIFIKAT BerAKHLAK")</f>
        <v>8058_ENDANG SURYANI _ SERTIFIKAT BerAKHLAK</v>
      </c>
      <c r="P8059" s="5" t="s">
        <v>50740</v>
      </c>
    </row>
    <row r="8060">
      <c r="A8060" s="4">
        <v>45534.393374340274</v>
      </c>
      <c r="B8060" s="5" t="s">
        <v>34</v>
      </c>
      <c r="D8060" s="5" t="s">
        <v>35</v>
      </c>
      <c r="E8060" s="5" t="s">
        <v>50752</v>
      </c>
      <c r="F8060" s="5" t="s">
        <v>524</v>
      </c>
      <c r="G8060" s="5" t="s">
        <v>50753</v>
      </c>
      <c r="H8060" s="6" t="s">
        <v>50754</v>
      </c>
      <c r="K8060" s="5" t="s">
        <v>50755</v>
      </c>
      <c r="M8060" s="5" t="s">
        <v>50756</v>
      </c>
      <c r="N8060" s="7" t="s">
        <v>50757</v>
      </c>
      <c r="O8060" s="8" t="str">
        <f>HYPERLINK("https://drive.google.com/file/d/1eSLgo3BlixO80mcUxp_GQFAf9oGz72f6/view?usp=drivesdk","8059_DUDI IHSAN  _ SERTIFIKAT BerAKHLAK")</f>
        <v>8059_DUDI IHSAN  _ SERTIFIKAT BerAKHLAK</v>
      </c>
      <c r="P8060" s="5" t="s">
        <v>50740</v>
      </c>
    </row>
    <row r="8061">
      <c r="A8061" s="4">
        <v>45534.39345855324</v>
      </c>
      <c r="B8061" s="5" t="s">
        <v>34</v>
      </c>
      <c r="D8061" s="5" t="s">
        <v>4775</v>
      </c>
      <c r="E8061" s="5" t="s">
        <v>24142</v>
      </c>
      <c r="F8061" s="5" t="s">
        <v>375</v>
      </c>
      <c r="G8061" s="5" t="s">
        <v>50758</v>
      </c>
      <c r="H8061" s="6" t="s">
        <v>50759</v>
      </c>
      <c r="K8061" s="5" t="s">
        <v>50760</v>
      </c>
      <c r="M8061" s="5" t="s">
        <v>50761</v>
      </c>
      <c r="N8061" s="7" t="s">
        <v>50762</v>
      </c>
      <c r="O8061" s="8" t="str">
        <f>HYPERLINK("https://drive.google.com/file/d/1co5FW07C6d_6qGJCb5GPr3QULraKEpCd/view?usp=drivesdk","8060_AGUS SURYONO _ SERTIFIKAT BerAKHLAK")</f>
        <v>8060_AGUS SURYONO _ SERTIFIKAT BerAKHLAK</v>
      </c>
      <c r="P8061" s="5" t="s">
        <v>50763</v>
      </c>
    </row>
    <row r="8062" hidden="1">
      <c r="A8062" s="4">
        <v>45534.39346141204</v>
      </c>
      <c r="B8062" s="5" t="s">
        <v>19</v>
      </c>
      <c r="C8062" s="5" t="s">
        <v>83</v>
      </c>
      <c r="E8062" s="5" t="s">
        <v>50764</v>
      </c>
      <c r="F8062" s="5" t="s">
        <v>72</v>
      </c>
      <c r="G8062" s="5" t="s">
        <v>50765</v>
      </c>
      <c r="H8062" s="6" t="s">
        <v>50766</v>
      </c>
      <c r="K8062" s="5" t="s">
        <v>50760</v>
      </c>
      <c r="M8062" s="5" t="s">
        <v>50767</v>
      </c>
      <c r="N8062" s="7" t="s">
        <v>50768</v>
      </c>
      <c r="O8062" s="8" t="str">
        <f>HYPERLINK("https://drive.google.com/file/d/1U0EXyEPxX8IuORq4Gr5cy_NHWB88urbD/view?usp=drivesdk","8061_YULI PERTIWI, S.E., M.M. _ SERTIFIKAT BerAKHLAK")</f>
        <v>8061_YULI PERTIWI, S.E., M.M. _ SERTIFIKAT BerAKHLAK</v>
      </c>
      <c r="P8062" s="5" t="s">
        <v>50763</v>
      </c>
    </row>
    <row r="8063">
      <c r="A8063" s="4">
        <v>45534.393499004625</v>
      </c>
      <c r="B8063" s="5" t="s">
        <v>34</v>
      </c>
      <c r="D8063" s="5" t="s">
        <v>4775</v>
      </c>
      <c r="E8063" s="5" t="s">
        <v>50769</v>
      </c>
      <c r="F8063" s="5" t="s">
        <v>524</v>
      </c>
      <c r="G8063" s="5" t="s">
        <v>50770</v>
      </c>
      <c r="H8063" s="6" t="s">
        <v>50771</v>
      </c>
      <c r="K8063" s="5" t="s">
        <v>50772</v>
      </c>
      <c r="M8063" s="5" t="s">
        <v>50773</v>
      </c>
      <c r="N8063" s="7" t="s">
        <v>50774</v>
      </c>
      <c r="O8063" s="8" t="str">
        <f>HYPERLINK("https://drive.google.com/file/d/1M3Eo9LTIcuyILzI08Hm8AfiFC3aG3136/view?usp=drivesdk","8062_SULISTIYANINGSIH _ SERTIFIKAT BerAKHLAK")</f>
        <v>8062_SULISTIYANINGSIH _ SERTIFIKAT BerAKHLAK</v>
      </c>
      <c r="P8063" s="5" t="s">
        <v>50763</v>
      </c>
    </row>
    <row r="8064">
      <c r="A8064" s="4">
        <v>45534.39352835648</v>
      </c>
      <c r="B8064" s="5" t="s">
        <v>34</v>
      </c>
      <c r="D8064" s="5" t="s">
        <v>1558</v>
      </c>
      <c r="E8064" s="5" t="s">
        <v>50775</v>
      </c>
      <c r="F8064" s="5" t="s">
        <v>37</v>
      </c>
      <c r="G8064" s="5" t="s">
        <v>50776</v>
      </c>
      <c r="H8064" s="6" t="s">
        <v>50777</v>
      </c>
      <c r="K8064" s="5" t="s">
        <v>50778</v>
      </c>
      <c r="M8064" s="5" t="s">
        <v>50779</v>
      </c>
      <c r="N8064" s="7" t="s">
        <v>50780</v>
      </c>
      <c r="O8064" s="8" t="str">
        <f>HYPERLINK("https://drive.google.com/file/d/14_1goQzxxJ_OcDNOh66LMVuqMiMxnsvu/view?usp=drivesdk","8063_NANA SUHANA _ SERTIFIKAT BerAKHLAK")</f>
        <v>8063_NANA SUHANA _ SERTIFIKAT BerAKHLAK</v>
      </c>
      <c r="P8064" s="5" t="s">
        <v>50763</v>
      </c>
    </row>
    <row r="8065">
      <c r="A8065" s="4">
        <v>45534.39352857639</v>
      </c>
      <c r="B8065" s="5" t="s">
        <v>34</v>
      </c>
      <c r="D8065" s="5" t="s">
        <v>7858</v>
      </c>
      <c r="E8065" s="5" t="s">
        <v>50781</v>
      </c>
      <c r="F8065" s="5" t="s">
        <v>108</v>
      </c>
      <c r="G8065" s="5" t="s">
        <v>50782</v>
      </c>
      <c r="H8065" s="6" t="s">
        <v>50783</v>
      </c>
      <c r="K8065" s="5" t="s">
        <v>50778</v>
      </c>
      <c r="M8065" s="5" t="s">
        <v>50784</v>
      </c>
      <c r="N8065" s="7" t="s">
        <v>50785</v>
      </c>
      <c r="O8065" s="8" t="str">
        <f>HYPERLINK("https://drive.google.com/file/d/1e1WfTpHZeMrnhHiadWlRiqQShiOIKihX/view?usp=drivesdk","8064_IDA TRI PUSPASARI, S.E. _ SERTIFIKAT BerAKHLAK")</f>
        <v>8064_IDA TRI PUSPASARI, S.E. _ SERTIFIKAT BerAKHLAK</v>
      </c>
      <c r="P8065" s="5" t="s">
        <v>50763</v>
      </c>
    </row>
    <row r="8066">
      <c r="A8066" s="4">
        <v>45534.39358019676</v>
      </c>
      <c r="B8066" s="5" t="s">
        <v>34</v>
      </c>
      <c r="D8066" s="5" t="s">
        <v>9020</v>
      </c>
      <c r="E8066" s="5" t="s">
        <v>50786</v>
      </c>
      <c r="F8066" s="5" t="s">
        <v>108</v>
      </c>
      <c r="G8066" s="5" t="s">
        <v>50787</v>
      </c>
      <c r="H8066" s="6" t="s">
        <v>50788</v>
      </c>
      <c r="K8066" s="5" t="s">
        <v>50789</v>
      </c>
      <c r="M8066" s="5" t="s">
        <v>50790</v>
      </c>
      <c r="N8066" s="7" t="s">
        <v>50791</v>
      </c>
      <c r="O8066" s="8" t="str">
        <f>HYPERLINK("https://drive.google.com/file/d/1aq5wzBDk-45-7yp9Egsnj4Cd0PKebO0b/view?usp=drivesdk","8065_Jenni Theresia Tampubolon  _ SERTIFIKAT BerAKHLAK")</f>
        <v>8065_Jenni Theresia Tampubolon  _ SERTIFIKAT BerAKHLAK</v>
      </c>
      <c r="P8066" s="5" t="s">
        <v>50792</v>
      </c>
    </row>
    <row r="8067" hidden="1">
      <c r="A8067" s="4">
        <v>45534.39358326389</v>
      </c>
      <c r="B8067" s="5" t="s">
        <v>19</v>
      </c>
      <c r="C8067" s="5" t="s">
        <v>292</v>
      </c>
      <c r="E8067" s="5" t="s">
        <v>50793</v>
      </c>
      <c r="F8067" s="5" t="s">
        <v>108</v>
      </c>
      <c r="G8067" s="5" t="s">
        <v>50794</v>
      </c>
      <c r="H8067" s="6" t="s">
        <v>50795</v>
      </c>
      <c r="K8067" s="5" t="s">
        <v>50789</v>
      </c>
      <c r="M8067" s="5" t="s">
        <v>50796</v>
      </c>
      <c r="N8067" s="7" t="s">
        <v>50797</v>
      </c>
      <c r="O8067" s="8" t="str">
        <f>HYPERLINK("https://drive.google.com/file/d/13bMX5mKH0oOLbIm9czbsun852XsyVJVf/view?usp=drivesdk","8066_ELITYA KRONIKA _ SERTIFIKAT BerAKHLAK")</f>
        <v>8066_ELITYA KRONIKA _ SERTIFIKAT BerAKHLAK</v>
      </c>
      <c r="P8067" s="5" t="s">
        <v>50792</v>
      </c>
    </row>
    <row r="8068" hidden="1">
      <c r="A8068" s="4">
        <v>45534.39362120371</v>
      </c>
      <c r="B8068" s="5" t="s">
        <v>19</v>
      </c>
      <c r="C8068" s="5" t="s">
        <v>292</v>
      </c>
      <c r="E8068" s="5" t="s">
        <v>50798</v>
      </c>
      <c r="F8068" s="5" t="s">
        <v>5859</v>
      </c>
      <c r="G8068" s="5" t="s">
        <v>50799</v>
      </c>
      <c r="H8068" s="6" t="s">
        <v>50800</v>
      </c>
      <c r="K8068" s="5" t="s">
        <v>50801</v>
      </c>
      <c r="M8068" s="5" t="s">
        <v>50802</v>
      </c>
      <c r="N8068" s="7" t="s">
        <v>50803</v>
      </c>
      <c r="O8068" s="8" t="str">
        <f>HYPERLINK("https://drive.google.com/file/d/1l6tCTQ6GbtREOJ9m2XCmReGkk_SkAP6w/view?usp=drivesdk","8067_SUNARNI _ SERTIFIKAT BerAKHLAK")</f>
        <v>8067_SUNARNI _ SERTIFIKAT BerAKHLAK</v>
      </c>
      <c r="P8068" s="5" t="s">
        <v>50792</v>
      </c>
    </row>
    <row r="8069">
      <c r="A8069" s="4">
        <v>45534.39363464121</v>
      </c>
      <c r="B8069" s="5" t="s">
        <v>34</v>
      </c>
      <c r="D8069" s="5" t="s">
        <v>1558</v>
      </c>
      <c r="E8069" s="5" t="s">
        <v>50804</v>
      </c>
      <c r="F8069" s="5" t="s">
        <v>37</v>
      </c>
      <c r="G8069" s="5" t="s">
        <v>50805</v>
      </c>
      <c r="H8069" s="6" t="s">
        <v>50806</v>
      </c>
      <c r="K8069" s="5" t="s">
        <v>50807</v>
      </c>
      <c r="M8069" s="5" t="s">
        <v>50808</v>
      </c>
      <c r="N8069" s="7" t="s">
        <v>50809</v>
      </c>
      <c r="O8069" s="8" t="str">
        <f>HYPERLINK("https://drive.google.com/file/d/1Te-3mHDMKTcgJijwvUbholC9bCbHwiGc/view?usp=drivesdk","8068_ARI JUMADI _ SERTIFIKAT BerAKHLAK")</f>
        <v>8068_ARI JUMADI _ SERTIFIKAT BerAKHLAK</v>
      </c>
      <c r="P8069" s="5" t="s">
        <v>50810</v>
      </c>
    </row>
    <row r="8070">
      <c r="A8070" s="4">
        <v>45534.39365244213</v>
      </c>
      <c r="B8070" s="5" t="s">
        <v>34</v>
      </c>
      <c r="D8070" s="5" t="s">
        <v>1206</v>
      </c>
      <c r="E8070" s="5" t="s">
        <v>50811</v>
      </c>
      <c r="F8070" s="5" t="s">
        <v>212</v>
      </c>
      <c r="G8070" s="5" t="s">
        <v>50812</v>
      </c>
      <c r="H8070" s="6" t="s">
        <v>50813</v>
      </c>
      <c r="K8070" s="5" t="s">
        <v>50814</v>
      </c>
      <c r="M8070" s="5" t="s">
        <v>50815</v>
      </c>
      <c r="N8070" s="7" t="s">
        <v>50816</v>
      </c>
      <c r="O8070" s="8" t="str">
        <f>HYPERLINK("https://drive.google.com/file/d/1s4ppEUAJszp34wiaPOsfY1Ih6xYaTjSK/view?usp=drivesdk","8069_MATJURI _ SERTIFIKAT BerAKHLAK")</f>
        <v>8069_MATJURI _ SERTIFIKAT BerAKHLAK</v>
      </c>
      <c r="P8070" s="5" t="s">
        <v>50810</v>
      </c>
    </row>
    <row r="8071">
      <c r="A8071" s="4">
        <v>45534.393695879626</v>
      </c>
      <c r="B8071" s="5" t="s">
        <v>34</v>
      </c>
      <c r="D8071" s="5" t="s">
        <v>580</v>
      </c>
      <c r="E8071" s="5" t="s">
        <v>50817</v>
      </c>
      <c r="F8071" s="5" t="s">
        <v>715</v>
      </c>
      <c r="G8071" s="5" t="s">
        <v>50818</v>
      </c>
      <c r="H8071" s="6" t="s">
        <v>50819</v>
      </c>
      <c r="K8071" s="5" t="s">
        <v>50820</v>
      </c>
      <c r="M8071" s="5" t="s">
        <v>50821</v>
      </c>
      <c r="N8071" s="7" t="s">
        <v>50822</v>
      </c>
      <c r="O8071" s="8" t="str">
        <f>HYPERLINK("https://drive.google.com/file/d/1PoVy_j5DYQaDkmfE66QjPy2oRZ-HG0Yg/view?usp=drivesdk","8070_NI KETUT MULIANI.S.AP _ SERTIFIKAT BerAKHLAK")</f>
        <v>8070_NI KETUT MULIANI.S.AP _ SERTIFIKAT BerAKHLAK</v>
      </c>
      <c r="P8071" s="5" t="s">
        <v>50810</v>
      </c>
    </row>
    <row r="8072">
      <c r="A8072" s="4">
        <v>45534.39371640046</v>
      </c>
      <c r="B8072" s="5" t="s">
        <v>34</v>
      </c>
      <c r="D8072" s="5" t="s">
        <v>1558</v>
      </c>
      <c r="E8072" s="5" t="s">
        <v>50823</v>
      </c>
      <c r="F8072" s="5" t="s">
        <v>37</v>
      </c>
      <c r="G8072" s="5" t="s">
        <v>50824</v>
      </c>
      <c r="H8072" s="6" t="s">
        <v>50825</v>
      </c>
      <c r="K8072" s="5" t="s">
        <v>50820</v>
      </c>
      <c r="M8072" s="5" t="s">
        <v>50826</v>
      </c>
      <c r="N8072" s="7" t="s">
        <v>50827</v>
      </c>
      <c r="O8072" s="8" t="str">
        <f>HYPERLINK("https://drive.google.com/file/d/10ThlsPWvTCT4ZE6tBVeelv_v4jKL0n-L/view?usp=drivesdk","8071_MISS AVIANTI _ SERTIFIKAT BerAKHLAK")</f>
        <v>8071_MISS AVIANTI _ SERTIFIKAT BerAKHLAK</v>
      </c>
      <c r="P8072" s="5" t="s">
        <v>50810</v>
      </c>
    </row>
    <row r="8073">
      <c r="A8073" s="4">
        <v>45534.39371790509</v>
      </c>
      <c r="B8073" s="5" t="s">
        <v>34</v>
      </c>
      <c r="D8073" s="5" t="s">
        <v>1558</v>
      </c>
      <c r="E8073" s="5" t="s">
        <v>33349</v>
      </c>
      <c r="F8073" s="5" t="s">
        <v>199</v>
      </c>
      <c r="G8073" s="5" t="s">
        <v>50828</v>
      </c>
      <c r="H8073" s="6" t="s">
        <v>50829</v>
      </c>
      <c r="K8073" s="5" t="s">
        <v>50820</v>
      </c>
      <c r="M8073" s="5" t="s">
        <v>50830</v>
      </c>
      <c r="N8073" s="7" t="s">
        <v>50831</v>
      </c>
      <c r="O8073" s="8" t="str">
        <f>HYPERLINK("https://drive.google.com/file/d/1ELWeKc7c29ObiKHHH-6QZJpWZ-pepw97/view?usp=drivesdk","8072_KURNIATI _ SERTIFIKAT BerAKHLAK")</f>
        <v>8072_KURNIATI _ SERTIFIKAT BerAKHLAK</v>
      </c>
      <c r="P8073" s="5" t="s">
        <v>50832</v>
      </c>
    </row>
    <row r="8074">
      <c r="A8074" s="4">
        <v>45534.3937668287</v>
      </c>
      <c r="B8074" s="5" t="s">
        <v>34</v>
      </c>
      <c r="D8074" s="5" t="s">
        <v>35</v>
      </c>
      <c r="E8074" s="5" t="s">
        <v>50833</v>
      </c>
      <c r="F8074" s="5" t="s">
        <v>37</v>
      </c>
      <c r="G8074" s="5" t="s">
        <v>50834</v>
      </c>
      <c r="H8074" s="6" t="s">
        <v>50835</v>
      </c>
      <c r="K8074" s="5" t="s">
        <v>50836</v>
      </c>
      <c r="M8074" s="5" t="s">
        <v>50837</v>
      </c>
      <c r="N8074" s="7" t="s">
        <v>50838</v>
      </c>
      <c r="O8074" s="8" t="str">
        <f>HYPERLINK("https://drive.google.com/file/d/1q_35VbdR9JyxBqZTWxZ0OnKxs8EeALe-/view?usp=drivesdk","8073_ERNA PERWATI _ SERTIFIKAT BerAKHLAK")</f>
        <v>8073_ERNA PERWATI _ SERTIFIKAT BerAKHLAK</v>
      </c>
      <c r="P8074" s="5" t="s">
        <v>50839</v>
      </c>
    </row>
    <row r="8075">
      <c r="A8075" s="4">
        <v>45534.39380518519</v>
      </c>
      <c r="B8075" s="5" t="s">
        <v>34</v>
      </c>
      <c r="D8075" s="5" t="s">
        <v>1206</v>
      </c>
      <c r="E8075" s="5" t="s">
        <v>50840</v>
      </c>
      <c r="F8075" s="5" t="s">
        <v>37</v>
      </c>
      <c r="G8075" s="5" t="s">
        <v>50841</v>
      </c>
      <c r="H8075" s="6" t="s">
        <v>50842</v>
      </c>
      <c r="K8075" s="5" t="s">
        <v>50836</v>
      </c>
      <c r="M8075" s="5" t="s">
        <v>50843</v>
      </c>
      <c r="N8075" s="7" t="s">
        <v>50844</v>
      </c>
      <c r="O8075" s="8" t="str">
        <f>HYPERLINK("https://drive.google.com/file/d/1Hv_VAHj_pdBLYPCUtx5jQFR0TAIHF8Te/view?usp=drivesdk","8074_APRILIA SUWITO KARTUMI _ SERTIFIKAT BerAKHLAK")</f>
        <v>8074_APRILIA SUWITO KARTUMI _ SERTIFIKAT BerAKHLAK</v>
      </c>
      <c r="P8075" s="5" t="s">
        <v>50839</v>
      </c>
    </row>
    <row r="8076">
      <c r="A8076" s="4">
        <v>45534.39383108796</v>
      </c>
      <c r="B8076" s="5" t="s">
        <v>34</v>
      </c>
      <c r="D8076" s="5" t="s">
        <v>9020</v>
      </c>
      <c r="E8076" s="5" t="s">
        <v>50845</v>
      </c>
      <c r="F8076" s="5" t="s">
        <v>72</v>
      </c>
      <c r="G8076" s="5" t="s">
        <v>50846</v>
      </c>
      <c r="H8076" s="6" t="s">
        <v>50847</v>
      </c>
      <c r="K8076" s="5" t="s">
        <v>50848</v>
      </c>
      <c r="M8076" s="5" t="s">
        <v>50849</v>
      </c>
      <c r="N8076" s="7" t="s">
        <v>50850</v>
      </c>
      <c r="O8076" s="8" t="str">
        <f>HYPERLINK("https://drive.google.com/file/d/1gTLhBZFYW6FcbgxhUZS2F_LLYdx-zwwL/view?usp=drivesdk","8075_SURIYANTI HARAHAP  _ SERTIFIKAT BerAKHLAK")</f>
        <v>8075_SURIYANTI HARAHAP  _ SERTIFIKAT BerAKHLAK</v>
      </c>
      <c r="P8076" s="5" t="s">
        <v>50839</v>
      </c>
    </row>
    <row r="8077">
      <c r="A8077" s="4">
        <v>45534.39392962963</v>
      </c>
      <c r="B8077" s="5" t="s">
        <v>34</v>
      </c>
      <c r="D8077" s="5" t="s">
        <v>1456</v>
      </c>
      <c r="E8077" s="5" t="s">
        <v>50851</v>
      </c>
      <c r="F8077" s="5" t="s">
        <v>212</v>
      </c>
      <c r="G8077" s="5" t="s">
        <v>50852</v>
      </c>
      <c r="H8077" s="6" t="s">
        <v>50853</v>
      </c>
      <c r="K8077" s="5" t="s">
        <v>50854</v>
      </c>
      <c r="M8077" s="5" t="s">
        <v>50855</v>
      </c>
      <c r="N8077" s="7" t="s">
        <v>50856</v>
      </c>
      <c r="O8077" s="8" t="str">
        <f>HYPERLINK("https://drive.google.com/file/d/1ChhHxw4tpmP9Xpez_XN4rrGdjsaRyhcu/view?usp=drivesdk","8076_MUCHLIS EFFENDI _ SERTIFIKAT BerAKHLAK")</f>
        <v>8076_MUCHLIS EFFENDI _ SERTIFIKAT BerAKHLAK</v>
      </c>
      <c r="P8077" s="5" t="s">
        <v>50857</v>
      </c>
    </row>
    <row r="8078">
      <c r="A8078" s="4">
        <v>45534.39393310185</v>
      </c>
      <c r="B8078" s="5" t="s">
        <v>34</v>
      </c>
      <c r="D8078" s="5" t="s">
        <v>701</v>
      </c>
      <c r="E8078" s="5" t="s">
        <v>20560</v>
      </c>
      <c r="F8078" s="5" t="s">
        <v>72</v>
      </c>
      <c r="G8078" s="5" t="s">
        <v>50858</v>
      </c>
      <c r="H8078" s="6" t="s">
        <v>50859</v>
      </c>
      <c r="K8078" s="5" t="s">
        <v>50854</v>
      </c>
      <c r="M8078" s="5" t="s">
        <v>50860</v>
      </c>
      <c r="N8078" s="7" t="s">
        <v>50861</v>
      </c>
      <c r="O8078" s="8" t="str">
        <f>HYPERLINK("https://drive.google.com/file/d/1tSKD_KJSNX3SmJa4vYCHmflcaU5vc9LK/view?usp=drivesdk","8077_NURHAYATI _ SERTIFIKAT BerAKHLAK")</f>
        <v>8077_NURHAYATI _ SERTIFIKAT BerAKHLAK</v>
      </c>
      <c r="P8078" s="5" t="s">
        <v>50857</v>
      </c>
    </row>
    <row r="8079">
      <c r="A8079" s="4">
        <v>45534.393988587966</v>
      </c>
      <c r="B8079" s="5" t="s">
        <v>34</v>
      </c>
      <c r="D8079" s="5" t="s">
        <v>14313</v>
      </c>
      <c r="E8079" s="5" t="s">
        <v>50862</v>
      </c>
      <c r="F8079" s="5" t="s">
        <v>524</v>
      </c>
      <c r="G8079" s="5" t="s">
        <v>50863</v>
      </c>
      <c r="H8079" s="6" t="s">
        <v>50864</v>
      </c>
      <c r="K8079" s="5" t="s">
        <v>50865</v>
      </c>
      <c r="M8079" s="5" t="s">
        <v>50866</v>
      </c>
      <c r="N8079" s="7" t="s">
        <v>50867</v>
      </c>
      <c r="O8079" s="8" t="str">
        <f>HYPERLINK("https://drive.google.com/file/d/1YI5joWxZhBXRqkgWEy7kpju6tYve_HVQ/view?usp=drivesdk","8078_ANTHON. THOMAS _ SERTIFIKAT BerAKHLAK")</f>
        <v>8078_ANTHON. THOMAS _ SERTIFIKAT BerAKHLAK</v>
      </c>
      <c r="P8079" s="5" t="s">
        <v>50857</v>
      </c>
    </row>
    <row r="8080">
      <c r="A8080" s="4">
        <v>45534.39404122686</v>
      </c>
      <c r="B8080" s="5" t="s">
        <v>34</v>
      </c>
      <c r="D8080" s="5" t="s">
        <v>4775</v>
      </c>
      <c r="E8080" s="5" t="s">
        <v>50868</v>
      </c>
      <c r="F8080" s="5" t="s">
        <v>212</v>
      </c>
      <c r="G8080" s="5" t="s">
        <v>50869</v>
      </c>
      <c r="H8080" s="6" t="s">
        <v>50870</v>
      </c>
      <c r="K8080" s="5" t="s">
        <v>50871</v>
      </c>
      <c r="M8080" s="5" t="s">
        <v>50872</v>
      </c>
      <c r="N8080" s="7" t="s">
        <v>50873</v>
      </c>
      <c r="O8080" s="8" t="str">
        <f>HYPERLINK("https://drive.google.com/file/d/1ykR1UM8RZX-TF6arEyyystOxLopwnhic/view?usp=drivesdk","8079_NUR AINY _ SERTIFIKAT BerAKHLAK")</f>
        <v>8079_NUR AINY _ SERTIFIKAT BerAKHLAK</v>
      </c>
      <c r="P8080" s="5" t="s">
        <v>50857</v>
      </c>
    </row>
    <row r="8081">
      <c r="A8081" s="4">
        <v>45534.3940558912</v>
      </c>
      <c r="B8081" s="5" t="s">
        <v>34</v>
      </c>
      <c r="D8081" s="5" t="s">
        <v>9020</v>
      </c>
      <c r="E8081" s="5" t="s">
        <v>50874</v>
      </c>
      <c r="F8081" s="5" t="s">
        <v>212</v>
      </c>
      <c r="G8081" s="5" t="s">
        <v>50875</v>
      </c>
      <c r="H8081" s="6" t="s">
        <v>50876</v>
      </c>
      <c r="K8081" s="5" t="s">
        <v>50877</v>
      </c>
      <c r="M8081" s="5" t="s">
        <v>50878</v>
      </c>
      <c r="N8081" s="7" t="s">
        <v>50879</v>
      </c>
      <c r="O8081" s="8" t="str">
        <f>HYPERLINK("https://drive.google.com/file/d/1vph2T52iDvz336CH9x4LRB_ppJCDhDxF/view?usp=drivesdk","8080_IBRAHIM PANE, SH. _ SERTIFIKAT BerAKHLAK")</f>
        <v>8080_IBRAHIM PANE, SH. _ SERTIFIKAT BerAKHLAK</v>
      </c>
      <c r="P8081" s="5" t="s">
        <v>50857</v>
      </c>
    </row>
    <row r="8082" hidden="1">
      <c r="A8082" s="4">
        <v>45534.39408429398</v>
      </c>
      <c r="B8082" s="5" t="s">
        <v>19</v>
      </c>
      <c r="C8082" s="5" t="s">
        <v>40230</v>
      </c>
      <c r="E8082" s="5" t="s">
        <v>50880</v>
      </c>
      <c r="F8082" s="5" t="s">
        <v>72</v>
      </c>
      <c r="G8082" s="5" t="s">
        <v>50881</v>
      </c>
      <c r="H8082" s="6" t="s">
        <v>50882</v>
      </c>
      <c r="K8082" s="5" t="s">
        <v>50877</v>
      </c>
      <c r="M8082" s="5" t="s">
        <v>50883</v>
      </c>
      <c r="N8082" s="7" t="s">
        <v>50884</v>
      </c>
      <c r="O8082" s="8" t="str">
        <f>HYPERLINK("https://drive.google.com/file/d/1DsYWTkHArtJdRyWlng6e-17IKziJNhm2/view?usp=drivesdk","8081_ENDANG VERIYANI  _ SERTIFIKAT BerAKHLAK")</f>
        <v>8081_ENDANG VERIYANI  _ SERTIFIKAT BerAKHLAK</v>
      </c>
      <c r="P8082" s="5" t="s">
        <v>50885</v>
      </c>
    </row>
    <row r="8083">
      <c r="A8083" s="4">
        <v>45534.39411291666</v>
      </c>
      <c r="B8083" s="5" t="s">
        <v>34</v>
      </c>
      <c r="D8083" s="5" t="s">
        <v>1206</v>
      </c>
      <c r="E8083" s="5" t="s">
        <v>50886</v>
      </c>
      <c r="F8083" s="5" t="s">
        <v>72</v>
      </c>
      <c r="G8083" s="5" t="s">
        <v>50887</v>
      </c>
      <c r="H8083" s="6" t="s">
        <v>50888</v>
      </c>
      <c r="K8083" s="5" t="s">
        <v>50889</v>
      </c>
      <c r="M8083" s="5" t="s">
        <v>50890</v>
      </c>
      <c r="N8083" s="7" t="s">
        <v>50891</v>
      </c>
      <c r="O8083" s="8" t="str">
        <f>HYPERLINK("https://drive.google.com/file/d/1K7-6ZWOqpaOF0ZV0rgrmugeNJ0A-PqKh/view?usp=drivesdk","8082_SUKISTIYANI  _ SERTIFIKAT BerAKHLAK")</f>
        <v>8082_SUKISTIYANI  _ SERTIFIKAT BerAKHLAK</v>
      </c>
      <c r="P8083" s="5" t="s">
        <v>50885</v>
      </c>
    </row>
    <row r="8084">
      <c r="A8084" s="4">
        <v>45534.39413351852</v>
      </c>
      <c r="B8084" s="5" t="s">
        <v>34</v>
      </c>
      <c r="D8084" s="5" t="s">
        <v>701</v>
      </c>
      <c r="E8084" s="5" t="s">
        <v>50892</v>
      </c>
      <c r="F8084" s="5" t="s">
        <v>375</v>
      </c>
      <c r="G8084" s="5" t="s">
        <v>50893</v>
      </c>
      <c r="H8084" s="6" t="s">
        <v>50894</v>
      </c>
      <c r="K8084" s="5" t="s">
        <v>50895</v>
      </c>
      <c r="M8084" s="5" t="s">
        <v>50896</v>
      </c>
      <c r="N8084" s="7" t="s">
        <v>50897</v>
      </c>
      <c r="O8084" s="8" t="str">
        <f>HYPERLINK("https://drive.google.com/file/d/1o4xixGKnsYtwspTPUVoOpuBqnZ_BbJ4o/view?usp=drivesdk","8083_DESRIYENTI  _ SERTIFIKAT BerAKHLAK")</f>
        <v>8083_DESRIYENTI  _ SERTIFIKAT BerAKHLAK</v>
      </c>
      <c r="P8084" s="5" t="s">
        <v>50885</v>
      </c>
    </row>
    <row r="8085">
      <c r="A8085" s="4">
        <v>45534.39419883102</v>
      </c>
      <c r="B8085" s="5" t="s">
        <v>34</v>
      </c>
      <c r="D8085" s="5" t="s">
        <v>12978</v>
      </c>
      <c r="E8085" s="5" t="s">
        <v>50898</v>
      </c>
      <c r="F8085" s="5" t="s">
        <v>375</v>
      </c>
      <c r="G8085" s="5" t="s">
        <v>50899</v>
      </c>
      <c r="H8085" s="6" t="s">
        <v>50900</v>
      </c>
      <c r="K8085" s="5" t="s">
        <v>50901</v>
      </c>
      <c r="M8085" s="5" t="s">
        <v>50902</v>
      </c>
      <c r="N8085" s="7" t="s">
        <v>50903</v>
      </c>
      <c r="O8085" s="8" t="str">
        <f>HYPERLINK("https://drive.google.com/file/d/1Fo9kbZhbcCad_aQ4uYXBoQROcuGbO5uZ/view?usp=drivesdk","8084_DJATI PRASETYO _ SERTIFIKAT BerAKHLAK")</f>
        <v>8084_DJATI PRASETYO _ SERTIFIKAT BerAKHLAK</v>
      </c>
      <c r="P8085" s="5" t="s">
        <v>50885</v>
      </c>
    </row>
    <row r="8086">
      <c r="A8086" s="4">
        <v>45534.39422290509</v>
      </c>
      <c r="B8086" s="5" t="s">
        <v>34</v>
      </c>
      <c r="D8086" s="5" t="s">
        <v>9020</v>
      </c>
      <c r="E8086" s="5" t="s">
        <v>50904</v>
      </c>
      <c r="F8086" s="5" t="s">
        <v>72</v>
      </c>
      <c r="G8086" s="5" t="s">
        <v>50905</v>
      </c>
      <c r="H8086" s="6" t="s">
        <v>50906</v>
      </c>
      <c r="K8086" s="5" t="s">
        <v>50907</v>
      </c>
      <c r="M8086" s="5" t="s">
        <v>50908</v>
      </c>
      <c r="N8086" s="7" t="s">
        <v>50909</v>
      </c>
      <c r="O8086" s="8" t="str">
        <f>HYPERLINK("https://drive.google.com/file/d/1me1ywc3rbCqdKwc3m6x_pOA7WcCttZNE/view?usp=drivesdk","8085_Selfi Diana Sinaga _ SERTIFIKAT BerAKHLAK")</f>
        <v>8085_Selfi Diana Sinaga _ SERTIFIKAT BerAKHLAK</v>
      </c>
      <c r="P8086" s="5" t="s">
        <v>50885</v>
      </c>
    </row>
    <row r="8087">
      <c r="A8087" s="4">
        <v>45534.394229537036</v>
      </c>
      <c r="B8087" s="5" t="s">
        <v>34</v>
      </c>
      <c r="D8087" s="5" t="s">
        <v>14313</v>
      </c>
      <c r="E8087" s="5" t="s">
        <v>50910</v>
      </c>
      <c r="F8087" s="5" t="s">
        <v>212</v>
      </c>
      <c r="G8087" s="5" t="s">
        <v>50911</v>
      </c>
      <c r="H8087" s="6" t="s">
        <v>50912</v>
      </c>
      <c r="K8087" s="5" t="s">
        <v>50907</v>
      </c>
      <c r="M8087" s="5" t="s">
        <v>50913</v>
      </c>
      <c r="N8087" s="7" t="s">
        <v>50914</v>
      </c>
      <c r="O8087" s="8" t="str">
        <f>HYPERLINK("https://drive.google.com/file/d/1QHp7anu0BIv4TuiaUuYN9sn0D8NhebWW/view?usp=drivesdk","8086_RATNAWATI. SE _ SERTIFIKAT BerAKHLAK")</f>
        <v>8086_RATNAWATI. SE _ SERTIFIKAT BerAKHLAK</v>
      </c>
      <c r="P8087" s="5" t="s">
        <v>50915</v>
      </c>
    </row>
    <row r="8088">
      <c r="A8088" s="4">
        <v>45534.394375</v>
      </c>
      <c r="B8088" s="5" t="s">
        <v>34</v>
      </c>
      <c r="D8088" s="5" t="s">
        <v>267</v>
      </c>
      <c r="E8088" s="5" t="s">
        <v>50916</v>
      </c>
      <c r="F8088" s="5" t="s">
        <v>108</v>
      </c>
      <c r="G8088" s="5" t="s">
        <v>50917</v>
      </c>
      <c r="H8088" s="6" t="s">
        <v>50918</v>
      </c>
      <c r="K8088" s="5" t="s">
        <v>50919</v>
      </c>
      <c r="M8088" s="5" t="s">
        <v>50920</v>
      </c>
      <c r="N8088" s="7" t="s">
        <v>50921</v>
      </c>
      <c r="O8088" s="8" t="str">
        <f>HYPERLINK("https://drive.google.com/file/d/172a6bEEzl7tX-cgnuznnxj378IlF2xze/view?usp=drivesdk","8087_ETI RAHAYUNINGSIH _ SERTIFIKAT BerAKHLAK")</f>
        <v>8087_ETI RAHAYUNINGSIH _ SERTIFIKAT BerAKHLAK</v>
      </c>
      <c r="P8088" s="5" t="s">
        <v>50915</v>
      </c>
    </row>
    <row r="8089">
      <c r="A8089" s="4">
        <v>45534.39447310186</v>
      </c>
      <c r="B8089" s="5" t="s">
        <v>34</v>
      </c>
      <c r="D8089" s="5" t="s">
        <v>1558</v>
      </c>
      <c r="E8089" s="5" t="s">
        <v>50922</v>
      </c>
      <c r="F8089" s="5" t="s">
        <v>37</v>
      </c>
      <c r="G8089" s="5" t="s">
        <v>50923</v>
      </c>
      <c r="H8089" s="6" t="s">
        <v>50924</v>
      </c>
      <c r="K8089" s="5" t="s">
        <v>50925</v>
      </c>
      <c r="M8089" s="5" t="s">
        <v>50926</v>
      </c>
      <c r="N8089" s="7" t="s">
        <v>50927</v>
      </c>
      <c r="O8089" s="8" t="str">
        <f>HYPERLINK("https://drive.google.com/file/d/19SFOzarGud9s0yecC50JN5uNHsPk90vk/view?usp=drivesdk","8088_INDRIK SUSANTO _ SERTIFIKAT BerAKHLAK")</f>
        <v>8088_INDRIK SUSANTO _ SERTIFIKAT BerAKHLAK</v>
      </c>
      <c r="P8089" s="5" t="s">
        <v>50915</v>
      </c>
    </row>
    <row r="8090">
      <c r="A8090" s="4">
        <v>45534.39448858796</v>
      </c>
      <c r="B8090" s="5" t="s">
        <v>34</v>
      </c>
      <c r="D8090" s="5" t="s">
        <v>580</v>
      </c>
      <c r="E8090" s="5" t="s">
        <v>50928</v>
      </c>
      <c r="F8090" s="5" t="s">
        <v>37</v>
      </c>
      <c r="G8090" s="5" t="s">
        <v>50929</v>
      </c>
      <c r="H8090" s="6" t="s">
        <v>50930</v>
      </c>
      <c r="K8090" s="5" t="s">
        <v>50925</v>
      </c>
      <c r="M8090" s="5" t="s">
        <v>50931</v>
      </c>
      <c r="N8090" s="7" t="s">
        <v>50932</v>
      </c>
      <c r="O8090" s="8" t="str">
        <f>HYPERLINK("https://drive.google.com/file/d/1LGVy8vHN1XTEOiw7OqyIT-H8rQJwlLzs/view?usp=drivesdk","8089_I GUSTI NGURAH ARYA WIJAYA _ SERTIFIKAT BerAKHLAK")</f>
        <v>8089_I GUSTI NGURAH ARYA WIJAYA _ SERTIFIKAT BerAKHLAK</v>
      </c>
      <c r="P8090" s="5" t="s">
        <v>50915</v>
      </c>
    </row>
    <row r="8091" hidden="1">
      <c r="A8091" s="4">
        <v>45534.39450333333</v>
      </c>
      <c r="B8091" s="5" t="s">
        <v>19</v>
      </c>
      <c r="C8091" s="5" t="s">
        <v>5058</v>
      </c>
      <c r="E8091" s="5" t="s">
        <v>50933</v>
      </c>
      <c r="F8091" s="5" t="s">
        <v>37</v>
      </c>
      <c r="G8091" s="5" t="s">
        <v>50934</v>
      </c>
      <c r="H8091" s="6" t="s">
        <v>50935</v>
      </c>
      <c r="K8091" s="5" t="s">
        <v>50925</v>
      </c>
      <c r="M8091" s="5" t="s">
        <v>50936</v>
      </c>
      <c r="N8091" s="7" t="s">
        <v>50937</v>
      </c>
      <c r="O8091" s="8" t="str">
        <f>HYPERLINK("https://drive.google.com/file/d/11MFIPvMjS8N__sEoRuLRdqIGQhXjIHkh/view?usp=drivesdk","8090_RAHUL MAY KARDO ALBERT DENIRO, A.Md.Ak. _ SERTIFIKAT BerAKHLAK")</f>
        <v>8090_RAHUL MAY KARDO ALBERT DENIRO, A.Md.Ak. _ SERTIFIKAT BerAKHLAK</v>
      </c>
      <c r="P8091" s="5" t="s">
        <v>50915</v>
      </c>
    </row>
    <row r="8092">
      <c r="A8092" s="4">
        <v>45534.39456407407</v>
      </c>
      <c r="B8092" s="5" t="s">
        <v>34</v>
      </c>
      <c r="D8092" s="5" t="s">
        <v>9020</v>
      </c>
      <c r="E8092" s="5" t="s">
        <v>50938</v>
      </c>
      <c r="F8092" s="5" t="s">
        <v>212</v>
      </c>
      <c r="G8092" s="5" t="s">
        <v>50939</v>
      </c>
      <c r="H8092" s="6" t="s">
        <v>50940</v>
      </c>
      <c r="K8092" s="5" t="s">
        <v>50941</v>
      </c>
      <c r="M8092" s="5" t="s">
        <v>50942</v>
      </c>
      <c r="N8092" s="7" t="s">
        <v>50943</v>
      </c>
      <c r="O8092" s="8" t="str">
        <f>HYPERLINK("https://drive.google.com/file/d/1CEFMDDEUiYJN6_fx7TUSnlitn_sIzJd5/view?usp=drivesdk","8091_YESSY MARYANI SILALAHI _ SERTIFIKAT BerAKHLAK")</f>
        <v>8091_YESSY MARYANI SILALAHI _ SERTIFIKAT BerAKHLAK</v>
      </c>
      <c r="P8092" s="5" t="s">
        <v>50944</v>
      </c>
    </row>
    <row r="8093">
      <c r="A8093" s="4">
        <v>45534.39460664352</v>
      </c>
      <c r="B8093" s="5" t="s">
        <v>34</v>
      </c>
      <c r="D8093" s="5" t="s">
        <v>9020</v>
      </c>
      <c r="E8093" s="5" t="s">
        <v>27862</v>
      </c>
      <c r="F8093" s="5" t="s">
        <v>37</v>
      </c>
      <c r="G8093" s="5" t="s">
        <v>50945</v>
      </c>
      <c r="H8093" s="6" t="s">
        <v>50946</v>
      </c>
      <c r="K8093" s="5" t="s">
        <v>50947</v>
      </c>
      <c r="M8093" s="5" t="s">
        <v>50948</v>
      </c>
      <c r="N8093" s="7" t="s">
        <v>50949</v>
      </c>
      <c r="O8093" s="8" t="str">
        <f>HYPERLINK("https://drive.google.com/file/d/1ylfpbOTieYzMSdRtpASnJz6IhU5t_Fq-/view?usp=drivesdk","8092_DARMA SITINJAK _ SERTIFIKAT BerAKHLAK")</f>
        <v>8092_DARMA SITINJAK _ SERTIFIKAT BerAKHLAK</v>
      </c>
      <c r="P8093" s="5" t="s">
        <v>50944</v>
      </c>
    </row>
    <row r="8094">
      <c r="A8094" s="4">
        <v>45534.39462236111</v>
      </c>
      <c r="B8094" s="5" t="s">
        <v>34</v>
      </c>
      <c r="D8094" s="5" t="s">
        <v>9020</v>
      </c>
      <c r="E8094" s="5" t="s">
        <v>50950</v>
      </c>
      <c r="F8094" s="5" t="s">
        <v>375</v>
      </c>
      <c r="G8094" s="5" t="s">
        <v>50951</v>
      </c>
      <c r="H8094" s="6" t="s">
        <v>50952</v>
      </c>
      <c r="K8094" s="5" t="s">
        <v>50947</v>
      </c>
      <c r="M8094" s="5" t="s">
        <v>50953</v>
      </c>
      <c r="N8094" s="7" t="s">
        <v>50954</v>
      </c>
      <c r="O8094" s="8" t="str">
        <f>HYPERLINK("https://drive.google.com/file/d/1DddP6h8tVVC42qX_kLnocTBrM1EUgnx6/view?usp=drivesdk","8093_Dormaulina Pasaribu, S. ST., MKM _ SERTIFIKAT BerAKHLAK")</f>
        <v>8093_Dormaulina Pasaribu, S. ST., MKM _ SERTIFIKAT BerAKHLAK</v>
      </c>
      <c r="P8094" s="5" t="s">
        <v>50944</v>
      </c>
    </row>
    <row r="8095">
      <c r="A8095" s="4">
        <v>45534.39463185185</v>
      </c>
      <c r="B8095" s="5" t="s">
        <v>34</v>
      </c>
      <c r="D8095" s="5" t="s">
        <v>35</v>
      </c>
      <c r="E8095" s="5" t="s">
        <v>50955</v>
      </c>
      <c r="F8095" s="5" t="s">
        <v>37</v>
      </c>
      <c r="G8095" s="5" t="s">
        <v>50956</v>
      </c>
      <c r="H8095" s="6" t="s">
        <v>50957</v>
      </c>
      <c r="K8095" s="5" t="s">
        <v>50958</v>
      </c>
      <c r="M8095" s="5" t="s">
        <v>50959</v>
      </c>
      <c r="N8095" s="7" t="s">
        <v>50960</v>
      </c>
      <c r="O8095" s="8" t="str">
        <f>HYPERLINK("https://drive.google.com/file/d/1yKGi9Mkiu87tdE0yIijVyYlhE4Dm6uwB/view?usp=drivesdk","8094_Rinceu Kurniaty Agustin _ SERTIFIKAT BerAKHLAK")</f>
        <v>8094_Rinceu Kurniaty Agustin _ SERTIFIKAT BerAKHLAK</v>
      </c>
      <c r="P8095" s="5" t="s">
        <v>50944</v>
      </c>
    </row>
    <row r="8096">
      <c r="A8096" s="4">
        <v>45534.39463440972</v>
      </c>
      <c r="B8096" s="5" t="s">
        <v>34</v>
      </c>
      <c r="D8096" s="5" t="s">
        <v>7858</v>
      </c>
      <c r="E8096" s="5" t="s">
        <v>50961</v>
      </c>
      <c r="F8096" s="5" t="s">
        <v>524</v>
      </c>
      <c r="G8096" s="5" t="s">
        <v>50962</v>
      </c>
      <c r="H8096" s="6" t="s">
        <v>50963</v>
      </c>
      <c r="K8096" s="5" t="s">
        <v>50958</v>
      </c>
      <c r="M8096" s="5" t="s">
        <v>50964</v>
      </c>
      <c r="N8096" s="7" t="s">
        <v>50965</v>
      </c>
      <c r="O8096" s="8" t="str">
        <f>HYPERLINK("https://drive.google.com/file/d/1KI3d_0VHXHgUWrC36NDq_BdbJ2EC_90c/view?usp=drivesdk","8095_MUHAMMAD ABDULLAH SUBAKTI _ SERTIFIKAT BerAKHLAK")</f>
        <v>8095_MUHAMMAD ABDULLAH SUBAKTI _ SERTIFIKAT BerAKHLAK</v>
      </c>
      <c r="P8096" s="5" t="s">
        <v>50944</v>
      </c>
    </row>
    <row r="8097">
      <c r="A8097" s="4">
        <v>45534.39465458333</v>
      </c>
      <c r="B8097" s="5" t="s">
        <v>34</v>
      </c>
      <c r="D8097" s="5" t="s">
        <v>9020</v>
      </c>
      <c r="E8097" s="5" t="s">
        <v>50966</v>
      </c>
      <c r="F8097" s="5" t="s">
        <v>375</v>
      </c>
      <c r="G8097" s="5" t="s">
        <v>50967</v>
      </c>
      <c r="H8097" s="6" t="s">
        <v>50968</v>
      </c>
      <c r="K8097" s="5" t="s">
        <v>50958</v>
      </c>
      <c r="M8097" s="5" t="s">
        <v>50969</v>
      </c>
      <c r="N8097" s="7" t="s">
        <v>50970</v>
      </c>
      <c r="O8097" s="8" t="str">
        <f>HYPERLINK("https://drive.google.com/file/d/1hNB8b1GWlzc-t2Ed9mZb-eYQqFc8wUkq/view?usp=drivesdk","8096_PESTARIANA SARAGIH  _ SERTIFIKAT BerAKHLAK")</f>
        <v>8096_PESTARIANA SARAGIH  _ SERTIFIKAT BerAKHLAK</v>
      </c>
      <c r="P8097" s="5" t="s">
        <v>50971</v>
      </c>
    </row>
    <row r="8098">
      <c r="A8098" s="4">
        <v>45534.394655185184</v>
      </c>
      <c r="B8098" s="5" t="s">
        <v>34</v>
      </c>
      <c r="D8098" s="5" t="s">
        <v>4775</v>
      </c>
      <c r="E8098" s="5" t="s">
        <v>50972</v>
      </c>
      <c r="F8098" s="5" t="s">
        <v>108</v>
      </c>
      <c r="G8098" s="5" t="s">
        <v>50973</v>
      </c>
      <c r="H8098" s="6" t="s">
        <v>50974</v>
      </c>
      <c r="K8098" s="5" t="s">
        <v>50958</v>
      </c>
      <c r="M8098" s="5" t="s">
        <v>50975</v>
      </c>
      <c r="N8098" s="7" t="s">
        <v>50976</v>
      </c>
      <c r="O8098" s="8" t="str">
        <f>HYPERLINK("https://drive.google.com/file/d/1bZU5eRViRMC0S5ksp6rOmoxrQ5ebeXPa/view?usp=drivesdk","8097_JUNDARI ERLAWATI _ SERTIFIKAT BerAKHLAK")</f>
        <v>8097_JUNDARI ERLAWATI _ SERTIFIKAT BerAKHLAK</v>
      </c>
      <c r="P8098" s="5" t="s">
        <v>50971</v>
      </c>
    </row>
    <row r="8099">
      <c r="A8099" s="4">
        <v>45534.394659722224</v>
      </c>
      <c r="B8099" s="5" t="s">
        <v>34</v>
      </c>
      <c r="D8099" s="5" t="s">
        <v>10444</v>
      </c>
      <c r="E8099" s="5" t="s">
        <v>50977</v>
      </c>
      <c r="F8099" s="5" t="s">
        <v>108</v>
      </c>
      <c r="G8099" s="5" t="s">
        <v>50978</v>
      </c>
      <c r="H8099" s="6" t="s">
        <v>50979</v>
      </c>
      <c r="K8099" s="5" t="s">
        <v>50958</v>
      </c>
      <c r="M8099" s="5" t="s">
        <v>50980</v>
      </c>
      <c r="N8099" s="7" t="s">
        <v>50981</v>
      </c>
      <c r="O8099" s="8" t="str">
        <f>HYPERLINK("https://drive.google.com/file/d/1pL9g8YyH1ivipVHDlRBKRYsBHs1p7cec/view?usp=drivesdk","8098_EDY PURWANTO _ SERTIFIKAT BerAKHLAK")</f>
        <v>8098_EDY PURWANTO _ SERTIFIKAT BerAKHLAK</v>
      </c>
      <c r="P8099" s="5" t="s">
        <v>50971</v>
      </c>
    </row>
    <row r="8100">
      <c r="A8100" s="4">
        <v>45534.39467079861</v>
      </c>
      <c r="B8100" s="5" t="s">
        <v>34</v>
      </c>
      <c r="D8100" s="5" t="s">
        <v>9020</v>
      </c>
      <c r="E8100" s="5" t="s">
        <v>50982</v>
      </c>
      <c r="F8100" s="5" t="s">
        <v>524</v>
      </c>
      <c r="G8100" s="5" t="s">
        <v>50983</v>
      </c>
      <c r="H8100" s="6" t="s">
        <v>50984</v>
      </c>
      <c r="K8100" s="5" t="s">
        <v>50958</v>
      </c>
      <c r="M8100" s="5" t="s">
        <v>50985</v>
      </c>
      <c r="N8100" s="7" t="s">
        <v>50986</v>
      </c>
      <c r="O8100" s="8" t="str">
        <f>HYPERLINK("https://drive.google.com/file/d/1VKIz8fbSx8oTkCt-iAwNmVG2gjhJlGDb/view?usp=drivesdk","8099_SRI MAHYANI _ SERTIFIKAT BerAKHLAK")</f>
        <v>8099_SRI MAHYANI _ SERTIFIKAT BerAKHLAK</v>
      </c>
      <c r="P8100" s="5" t="s">
        <v>50987</v>
      </c>
    </row>
    <row r="8101" hidden="1">
      <c r="A8101" s="4">
        <v>45534.39469105324</v>
      </c>
      <c r="B8101" s="5" t="s">
        <v>19</v>
      </c>
      <c r="C8101" s="5" t="s">
        <v>292</v>
      </c>
      <c r="E8101" s="5" t="s">
        <v>50988</v>
      </c>
      <c r="F8101" s="5" t="s">
        <v>212</v>
      </c>
      <c r="G8101" s="5" t="s">
        <v>50989</v>
      </c>
      <c r="H8101" s="6" t="s">
        <v>50990</v>
      </c>
      <c r="K8101" s="5" t="s">
        <v>50991</v>
      </c>
      <c r="M8101" s="5" t="s">
        <v>50992</v>
      </c>
      <c r="N8101" s="7" t="s">
        <v>50993</v>
      </c>
      <c r="O8101" s="8" t="str">
        <f>HYPERLINK("https://drive.google.com/file/d/1KFeHF0lI7Y1Kof7F0SnpxkhmQ1OE_PAM/view?usp=drivesdk","8100_HENDRA GUNAWAN _ SERTIFIKAT BerAKHLAK")</f>
        <v>8100_HENDRA GUNAWAN _ SERTIFIKAT BerAKHLAK</v>
      </c>
      <c r="P8101" s="5" t="s">
        <v>50987</v>
      </c>
    </row>
    <row r="8102" hidden="1">
      <c r="A8102" s="4">
        <v>45534.39470039352</v>
      </c>
      <c r="B8102" s="5" t="s">
        <v>19</v>
      </c>
      <c r="C8102" s="5" t="s">
        <v>20</v>
      </c>
      <c r="E8102" s="5" t="s">
        <v>50994</v>
      </c>
      <c r="F8102" s="5" t="s">
        <v>120</v>
      </c>
      <c r="G8102" s="5" t="s">
        <v>50995</v>
      </c>
      <c r="H8102" s="6" t="s">
        <v>50996</v>
      </c>
      <c r="K8102" s="5" t="s">
        <v>50991</v>
      </c>
      <c r="M8102" s="5" t="s">
        <v>50997</v>
      </c>
      <c r="N8102" s="7" t="s">
        <v>50998</v>
      </c>
      <c r="O8102" s="8" t="str">
        <f>HYPERLINK("https://drive.google.com/file/d/1Z_dX8DncMn_KpxO7cwhGcBjOXZeO38su/view?usp=drivesdk","8101_SUGENG RAHARDJO _ SERTIFIKAT BerAKHLAK")</f>
        <v>8101_SUGENG RAHARDJO _ SERTIFIKAT BerAKHLAK</v>
      </c>
      <c r="P8102" s="5" t="s">
        <v>50987</v>
      </c>
    </row>
    <row r="8103">
      <c r="A8103" s="4">
        <v>45534.39472981481</v>
      </c>
      <c r="B8103" s="5" t="s">
        <v>34</v>
      </c>
      <c r="D8103" s="5" t="s">
        <v>1206</v>
      </c>
      <c r="E8103" s="5" t="s">
        <v>50999</v>
      </c>
      <c r="F8103" s="5" t="s">
        <v>37</v>
      </c>
      <c r="G8103" s="5" t="s">
        <v>51000</v>
      </c>
      <c r="H8103" s="6" t="s">
        <v>51001</v>
      </c>
      <c r="K8103" s="5" t="s">
        <v>51002</v>
      </c>
      <c r="M8103" s="5" t="s">
        <v>51003</v>
      </c>
      <c r="N8103" s="7" t="s">
        <v>51004</v>
      </c>
      <c r="O8103" s="8" t="str">
        <f>HYPERLINK("https://drive.google.com/file/d/1dX_SKPxq4BaOlveDZb1Rl_0v7MDY1IcF/view?usp=drivesdk","8102_YULIK KHOIRIYAH  _ SERTIFIKAT BerAKHLAK")</f>
        <v>8102_YULIK KHOIRIYAH  _ SERTIFIKAT BerAKHLAK</v>
      </c>
      <c r="P8103" s="5" t="s">
        <v>50987</v>
      </c>
    </row>
    <row r="8104" hidden="1">
      <c r="A8104" s="4">
        <v>45534.3947500463</v>
      </c>
      <c r="B8104" s="5" t="s">
        <v>19</v>
      </c>
      <c r="C8104" s="5" t="s">
        <v>38343</v>
      </c>
      <c r="E8104" s="5" t="s">
        <v>51005</v>
      </c>
      <c r="F8104" s="5" t="s">
        <v>120</v>
      </c>
      <c r="G8104" s="5" t="s">
        <v>51006</v>
      </c>
      <c r="H8104" s="6" t="s">
        <v>51007</v>
      </c>
      <c r="K8104" s="5" t="s">
        <v>51008</v>
      </c>
      <c r="M8104" s="5" t="s">
        <v>51009</v>
      </c>
      <c r="N8104" s="7" t="s">
        <v>51010</v>
      </c>
      <c r="O8104" s="8" t="str">
        <f>HYPERLINK("https://drive.google.com/file/d/114POBMqp0TbkrcUHdkxn-0wtU0DhA7dB/view?usp=drivesdk","8103_NURMIYATI, S.T. _ SERTIFIKAT BerAKHLAK")</f>
        <v>8103_NURMIYATI, S.T. _ SERTIFIKAT BerAKHLAK</v>
      </c>
      <c r="P8104" s="5" t="s">
        <v>51011</v>
      </c>
    </row>
    <row r="8105">
      <c r="A8105" s="4">
        <v>45534.39476282407</v>
      </c>
      <c r="B8105" s="5" t="s">
        <v>34</v>
      </c>
      <c r="D8105" s="5" t="s">
        <v>1206</v>
      </c>
      <c r="E8105" s="5" t="s">
        <v>51012</v>
      </c>
      <c r="F8105" s="5" t="s">
        <v>51013</v>
      </c>
      <c r="G8105" s="5" t="s">
        <v>51014</v>
      </c>
      <c r="H8105" s="6" t="s">
        <v>51015</v>
      </c>
      <c r="K8105" s="5" t="s">
        <v>51008</v>
      </c>
      <c r="M8105" s="5" t="s">
        <v>51016</v>
      </c>
      <c r="N8105" s="7" t="s">
        <v>51017</v>
      </c>
      <c r="O8105" s="8" t="str">
        <f>HYPERLINK("https://drive.google.com/file/d/1F0iCptCQe_Wg657X0k9Oz32H4ZEe56Ox/view?usp=drivesdk","8104_RINA RAHMAJANTI _ SERTIFIKAT BerAKHLAK")</f>
        <v>8104_RINA RAHMAJANTI _ SERTIFIKAT BerAKHLAK</v>
      </c>
      <c r="P8105" s="5" t="s">
        <v>51011</v>
      </c>
    </row>
    <row r="8106">
      <c r="A8106" s="4">
        <v>45534.39477122686</v>
      </c>
      <c r="B8106" s="5" t="s">
        <v>34</v>
      </c>
      <c r="D8106" s="5" t="s">
        <v>1206</v>
      </c>
      <c r="E8106" s="5" t="s">
        <v>51018</v>
      </c>
      <c r="F8106" s="5" t="s">
        <v>37</v>
      </c>
      <c r="G8106" s="5" t="s">
        <v>51019</v>
      </c>
      <c r="H8106" s="6" t="s">
        <v>51020</v>
      </c>
      <c r="K8106" s="5" t="s">
        <v>51008</v>
      </c>
      <c r="M8106" s="5" t="s">
        <v>51021</v>
      </c>
      <c r="N8106" s="7" t="s">
        <v>51022</v>
      </c>
      <c r="O8106" s="8" t="str">
        <f>HYPERLINK("https://drive.google.com/file/d/13zSe0UFMDu4F_zVnbw65i6rcNJaSyRd5/view?usp=drivesdk","8105_SUTINI _ SERTIFIKAT BerAKHLAK")</f>
        <v>8105_SUTINI _ SERTIFIKAT BerAKHLAK</v>
      </c>
      <c r="P8106" s="5" t="s">
        <v>51011</v>
      </c>
    </row>
    <row r="8107">
      <c r="A8107" s="4">
        <v>45534.394831446756</v>
      </c>
      <c r="B8107" s="5" t="s">
        <v>34</v>
      </c>
      <c r="D8107" s="5" t="s">
        <v>1206</v>
      </c>
      <c r="E8107" s="5" t="s">
        <v>51023</v>
      </c>
      <c r="F8107" s="5" t="s">
        <v>72</v>
      </c>
      <c r="G8107" s="5" t="s">
        <v>51024</v>
      </c>
      <c r="H8107" s="6" t="s">
        <v>51025</v>
      </c>
      <c r="K8107" s="5" t="s">
        <v>51026</v>
      </c>
      <c r="M8107" s="5" t="s">
        <v>51027</v>
      </c>
      <c r="N8107" s="7" t="s">
        <v>51028</v>
      </c>
      <c r="O8107" s="8" t="str">
        <f>HYPERLINK("https://drive.google.com/file/d/1QcIeK7HwyI6T91PBBSCuPrQr7GSGBpZO/view?usp=drivesdk","8106_MUNADI, SE _ SERTIFIKAT BerAKHLAK")</f>
        <v>8106_MUNADI, SE _ SERTIFIKAT BerAKHLAK</v>
      </c>
      <c r="P8107" s="5" t="s">
        <v>51029</v>
      </c>
    </row>
    <row r="8108" hidden="1">
      <c r="A8108" s="4">
        <v>45534.39483164352</v>
      </c>
      <c r="B8108" s="5" t="s">
        <v>19</v>
      </c>
      <c r="C8108" s="5" t="s">
        <v>292</v>
      </c>
      <c r="E8108" s="5" t="s">
        <v>51030</v>
      </c>
      <c r="F8108" s="5" t="s">
        <v>199</v>
      </c>
      <c r="G8108" s="5" t="s">
        <v>51031</v>
      </c>
      <c r="H8108" s="6" t="s">
        <v>51032</v>
      </c>
      <c r="K8108" s="5" t="s">
        <v>51026</v>
      </c>
      <c r="M8108" s="5" t="s">
        <v>51033</v>
      </c>
      <c r="N8108" s="7" t="s">
        <v>51034</v>
      </c>
      <c r="O8108" s="8" t="str">
        <f>HYPERLINK("https://drive.google.com/file/d/17KplQKKfRDgL_xnqdZ2MwIAXiGNKV9pV/view?usp=drivesdk","8107_PUJIYONO  _ SERTIFIKAT BerAKHLAK")</f>
        <v>8107_PUJIYONO  _ SERTIFIKAT BerAKHLAK</v>
      </c>
      <c r="P8108" s="5" t="s">
        <v>51029</v>
      </c>
    </row>
    <row r="8109" hidden="1">
      <c r="A8109" s="4">
        <v>45534.394872627316</v>
      </c>
      <c r="B8109" s="5" t="s">
        <v>19</v>
      </c>
      <c r="C8109" s="5" t="s">
        <v>292</v>
      </c>
      <c r="E8109" s="5" t="s">
        <v>14432</v>
      </c>
      <c r="F8109" s="5" t="s">
        <v>37</v>
      </c>
      <c r="G8109" s="5" t="s">
        <v>51035</v>
      </c>
      <c r="H8109" s="6" t="s">
        <v>51036</v>
      </c>
      <c r="K8109" s="5" t="s">
        <v>51026</v>
      </c>
      <c r="M8109" s="5" t="s">
        <v>51037</v>
      </c>
      <c r="N8109" s="7" t="s">
        <v>51038</v>
      </c>
      <c r="O8109" s="8" t="str">
        <f>HYPERLINK("https://drive.google.com/file/d/12FphcePOxGzpjSlYj1LCc2tOCrfn7V1H/view?usp=drivesdk","8108_SRI AGUSTIN _ SERTIFIKAT BerAKHLAK")</f>
        <v>8108_SRI AGUSTIN _ SERTIFIKAT BerAKHLAK</v>
      </c>
      <c r="P8109" s="5" t="s">
        <v>51029</v>
      </c>
    </row>
    <row r="8110" hidden="1">
      <c r="A8110" s="4">
        <v>45534.394954166666</v>
      </c>
      <c r="B8110" s="5" t="s">
        <v>19</v>
      </c>
      <c r="C8110" s="5" t="s">
        <v>315</v>
      </c>
      <c r="E8110" s="5" t="s">
        <v>51039</v>
      </c>
      <c r="F8110" s="5" t="s">
        <v>72</v>
      </c>
      <c r="G8110" s="5" t="s">
        <v>51040</v>
      </c>
      <c r="H8110" s="6" t="s">
        <v>51041</v>
      </c>
      <c r="K8110" s="5" t="s">
        <v>51042</v>
      </c>
      <c r="M8110" s="5" t="s">
        <v>51043</v>
      </c>
      <c r="N8110" s="7" t="s">
        <v>51044</v>
      </c>
      <c r="O8110" s="8" t="str">
        <f>HYPERLINK("https://drive.google.com/file/d/1dcD9gSCR0Ddh1kyjQxjm7_8VYSGF5tt7/view?usp=drivesdk","8109_NURLAILA _ SERTIFIKAT BerAKHLAK")</f>
        <v>8109_NURLAILA _ SERTIFIKAT BerAKHLAK</v>
      </c>
      <c r="P8110" s="5" t="s">
        <v>51029</v>
      </c>
    </row>
    <row r="8111">
      <c r="A8111" s="4">
        <v>45534.39500780092</v>
      </c>
      <c r="B8111" s="5" t="s">
        <v>34</v>
      </c>
      <c r="D8111" s="5" t="s">
        <v>1558</v>
      </c>
      <c r="E8111" s="5" t="s">
        <v>26203</v>
      </c>
      <c r="F8111" s="5" t="s">
        <v>212</v>
      </c>
      <c r="G8111" s="5" t="s">
        <v>51045</v>
      </c>
      <c r="H8111" s="6" t="s">
        <v>51046</v>
      </c>
      <c r="K8111" s="5" t="s">
        <v>51047</v>
      </c>
      <c r="M8111" s="5" t="s">
        <v>51048</v>
      </c>
      <c r="N8111" s="7" t="s">
        <v>51049</v>
      </c>
      <c r="O8111" s="8" t="str">
        <f>HYPERLINK("https://drive.google.com/file/d/1Sawfn57KPd86_pkQh5WUZ9mu_DsZmtSu/view?usp=drivesdk","8110_TAUFIK HIDAYAT _ SERTIFIKAT BerAKHLAK")</f>
        <v>8110_TAUFIK HIDAYAT _ SERTIFIKAT BerAKHLAK</v>
      </c>
      <c r="P8111" s="5" t="s">
        <v>51029</v>
      </c>
    </row>
    <row r="8112">
      <c r="A8112" s="4">
        <v>45534.395016828705</v>
      </c>
      <c r="B8112" s="5" t="s">
        <v>34</v>
      </c>
      <c r="D8112" s="5" t="s">
        <v>14313</v>
      </c>
      <c r="E8112" s="5" t="s">
        <v>51050</v>
      </c>
      <c r="F8112" s="5" t="s">
        <v>120</v>
      </c>
      <c r="G8112" s="5" t="s">
        <v>51051</v>
      </c>
      <c r="H8112" s="6" t="s">
        <v>51052</v>
      </c>
      <c r="K8112" s="5" t="s">
        <v>51053</v>
      </c>
      <c r="M8112" s="5" t="s">
        <v>51054</v>
      </c>
      <c r="N8112" s="7" t="s">
        <v>51055</v>
      </c>
      <c r="O8112" s="8" t="str">
        <f>HYPERLINK("https://drive.google.com/file/d/1P2ZJNjPaoQvR-hpl-qVpFWPjKmciyIHs/view?usp=drivesdk","8111_IR. SALAWATI,M.A.P _ SERTIFIKAT BerAKHLAK")</f>
        <v>8111_IR. SALAWATI,M.A.P _ SERTIFIKAT BerAKHLAK</v>
      </c>
      <c r="P8112" s="5" t="s">
        <v>51056</v>
      </c>
    </row>
    <row r="8113" hidden="1">
      <c r="A8113" s="4">
        <v>45534.39505719907</v>
      </c>
      <c r="B8113" s="5" t="s">
        <v>19</v>
      </c>
      <c r="C8113" s="5" t="s">
        <v>292</v>
      </c>
      <c r="E8113" s="5" t="s">
        <v>51057</v>
      </c>
      <c r="F8113" s="5" t="s">
        <v>120</v>
      </c>
      <c r="G8113" s="5" t="s">
        <v>51058</v>
      </c>
      <c r="H8113" s="6" t="s">
        <v>51059</v>
      </c>
      <c r="K8113" s="5" t="s">
        <v>51060</v>
      </c>
      <c r="M8113" s="5" t="s">
        <v>51061</v>
      </c>
      <c r="N8113" s="7" t="s">
        <v>51062</v>
      </c>
      <c r="O8113" s="8" t="str">
        <f>HYPERLINK("https://drive.google.com/file/d/1UFrfl1S2jUzV02c2TSGwcEwWPWzAa6T9/view?usp=drivesdk","8112_OOM KOMARIYAH _ SERTIFIKAT BerAKHLAK")</f>
        <v>8112_OOM KOMARIYAH _ SERTIFIKAT BerAKHLAK</v>
      </c>
      <c r="P8113" s="5" t="s">
        <v>51056</v>
      </c>
    </row>
    <row r="8114">
      <c r="A8114" s="4">
        <v>45534.39506116898</v>
      </c>
      <c r="B8114" s="5" t="s">
        <v>34</v>
      </c>
      <c r="D8114" s="5" t="s">
        <v>35</v>
      </c>
      <c r="E8114" s="5" t="s">
        <v>51063</v>
      </c>
      <c r="F8114" s="5" t="s">
        <v>212</v>
      </c>
      <c r="G8114" s="5" t="s">
        <v>51064</v>
      </c>
      <c r="H8114" s="6" t="s">
        <v>51065</v>
      </c>
      <c r="K8114" s="5" t="s">
        <v>51060</v>
      </c>
      <c r="M8114" s="5" t="s">
        <v>51066</v>
      </c>
      <c r="N8114" s="7" t="s">
        <v>51067</v>
      </c>
      <c r="O8114" s="8" t="str">
        <f>HYPERLINK("https://drive.google.com/file/d/1OkJ5A-ZYJQcPwR2EiFg2-yj0Er2mQkxZ/view?usp=drivesdk","8113_Tatik Windarti, Amd. Kep _ SERTIFIKAT BerAKHLAK")</f>
        <v>8113_Tatik Windarti, Amd. Kep _ SERTIFIKAT BerAKHLAK</v>
      </c>
      <c r="P8114" s="5" t="s">
        <v>51056</v>
      </c>
    </row>
    <row r="8115">
      <c r="A8115" s="4">
        <v>45534.39508393519</v>
      </c>
      <c r="B8115" s="5" t="s">
        <v>34</v>
      </c>
      <c r="D8115" s="5" t="s">
        <v>4775</v>
      </c>
      <c r="E8115" s="5" t="s">
        <v>51068</v>
      </c>
      <c r="F8115" s="5" t="s">
        <v>37</v>
      </c>
      <c r="G8115" s="5" t="s">
        <v>51069</v>
      </c>
      <c r="H8115" s="6" t="s">
        <v>51070</v>
      </c>
      <c r="K8115" s="5" t="s">
        <v>51060</v>
      </c>
      <c r="M8115" s="5" t="s">
        <v>51071</v>
      </c>
      <c r="N8115" s="7" t="s">
        <v>51072</v>
      </c>
      <c r="O8115" s="8" t="str">
        <f>HYPERLINK("https://drive.google.com/file/d/1Zh8n9RoJW7wr7o6XyFoBLvFo-LI6vlea/view?usp=drivesdk","8114_SAMBAS _ SERTIFIKAT BerAKHLAK")</f>
        <v>8114_SAMBAS _ SERTIFIKAT BerAKHLAK</v>
      </c>
      <c r="P8115" s="5" t="s">
        <v>51056</v>
      </c>
    </row>
    <row r="8116" hidden="1">
      <c r="A8116" s="4">
        <v>45534.395101064816</v>
      </c>
      <c r="B8116" s="5" t="s">
        <v>19</v>
      </c>
      <c r="C8116" s="5" t="s">
        <v>5564</v>
      </c>
      <c r="E8116" s="5" t="s">
        <v>51073</v>
      </c>
      <c r="F8116" s="5" t="s">
        <v>108</v>
      </c>
      <c r="G8116" s="5" t="s">
        <v>51074</v>
      </c>
      <c r="H8116" s="6" t="s">
        <v>51075</v>
      </c>
      <c r="K8116" s="5" t="s">
        <v>51076</v>
      </c>
      <c r="M8116" s="5" t="s">
        <v>51077</v>
      </c>
      <c r="N8116" s="7" t="s">
        <v>51078</v>
      </c>
      <c r="O8116" s="8" t="str">
        <f>HYPERLINK("https://drive.google.com/file/d/19M14AQxFS-_BoHWtzTL_tdfiQYl-UgQ8/view?usp=drivesdk","8115_Drh Nadia Kamila _ SERTIFIKAT BerAKHLAK")</f>
        <v>8115_Drh Nadia Kamila _ SERTIFIKAT BerAKHLAK</v>
      </c>
      <c r="P8116" s="5" t="s">
        <v>51079</v>
      </c>
    </row>
    <row r="8117">
      <c r="A8117" s="4">
        <v>45534.39513076389</v>
      </c>
      <c r="B8117" s="5" t="s">
        <v>34</v>
      </c>
      <c r="D8117" s="5" t="s">
        <v>522</v>
      </c>
      <c r="E8117" s="5" t="s">
        <v>51080</v>
      </c>
      <c r="F8117" s="5" t="s">
        <v>212</v>
      </c>
      <c r="G8117" s="5" t="s">
        <v>51081</v>
      </c>
      <c r="H8117" s="6" t="s">
        <v>51082</v>
      </c>
      <c r="K8117" s="5" t="s">
        <v>51083</v>
      </c>
      <c r="M8117" s="5" t="s">
        <v>51084</v>
      </c>
      <c r="N8117" s="7" t="s">
        <v>51085</v>
      </c>
      <c r="O8117" s="8" t="str">
        <f>HYPERLINK("https://drive.google.com/file/d/1zYSmJHJufHGaNEDvS9NZSjDH7P0w280o/view?usp=drivesdk","8116_NI WAYAN SUGITA _ SERTIFIKAT BerAKHLAK")</f>
        <v>8116_NI WAYAN SUGITA _ SERTIFIKAT BerAKHLAK</v>
      </c>
      <c r="P8117" s="5" t="s">
        <v>51079</v>
      </c>
    </row>
    <row r="8118">
      <c r="A8118" s="4">
        <v>45534.39518755787</v>
      </c>
      <c r="B8118" s="5" t="s">
        <v>34</v>
      </c>
      <c r="D8118" s="5" t="s">
        <v>4775</v>
      </c>
      <c r="E8118" s="5" t="s">
        <v>51086</v>
      </c>
      <c r="F8118" s="5" t="s">
        <v>524</v>
      </c>
      <c r="G8118" s="5" t="s">
        <v>51087</v>
      </c>
      <c r="H8118" s="6" t="s">
        <v>51088</v>
      </c>
      <c r="K8118" s="5" t="s">
        <v>51089</v>
      </c>
      <c r="M8118" s="5" t="s">
        <v>51090</v>
      </c>
      <c r="N8118" s="7" t="s">
        <v>51091</v>
      </c>
      <c r="O8118" s="8" t="str">
        <f>HYPERLINK("https://drive.google.com/file/d/1XH4XBEc4sjFR88incSAFOFzFXebI_WNG/view?usp=drivesdk","8117_RETNO WIDJAYANTI _ SERTIFIKAT BerAKHLAK")</f>
        <v>8117_RETNO WIDJAYANTI _ SERTIFIKAT BerAKHLAK</v>
      </c>
      <c r="P8118" s="5" t="s">
        <v>51079</v>
      </c>
    </row>
    <row r="8119">
      <c r="A8119" s="4">
        <v>45534.395205451394</v>
      </c>
      <c r="B8119" s="5" t="s">
        <v>34</v>
      </c>
      <c r="D8119" s="5" t="s">
        <v>11527</v>
      </c>
      <c r="E8119" s="5" t="s">
        <v>51092</v>
      </c>
      <c r="F8119" s="5" t="s">
        <v>524</v>
      </c>
      <c r="G8119" s="5" t="s">
        <v>51093</v>
      </c>
      <c r="H8119" s="6" t="s">
        <v>51094</v>
      </c>
      <c r="K8119" s="5" t="s">
        <v>51095</v>
      </c>
      <c r="M8119" s="5" t="s">
        <v>51096</v>
      </c>
      <c r="N8119" s="7" t="s">
        <v>51097</v>
      </c>
      <c r="O8119" s="8" t="str">
        <f>HYPERLINK("https://drive.google.com/file/d/1nOYn6jtWXXvYW__pYuhDcZ3oSNKFT0JV/view?usp=drivesdk","8118_FANNY YUANNITA ARDJAJA _ SERTIFIKAT BerAKHLAK")</f>
        <v>8118_FANNY YUANNITA ARDJAJA _ SERTIFIKAT BerAKHLAK</v>
      </c>
      <c r="P8119" s="5" t="s">
        <v>51079</v>
      </c>
    </row>
    <row r="8120">
      <c r="A8120" s="4">
        <v>45534.39524184028</v>
      </c>
      <c r="B8120" s="5" t="s">
        <v>34</v>
      </c>
      <c r="D8120" s="5" t="s">
        <v>701</v>
      </c>
      <c r="E8120" s="5" t="s">
        <v>51098</v>
      </c>
      <c r="F8120" s="5" t="s">
        <v>375</v>
      </c>
      <c r="G8120" s="5" t="s">
        <v>51099</v>
      </c>
      <c r="H8120" s="6" t="s">
        <v>51100</v>
      </c>
      <c r="K8120" s="5" t="s">
        <v>51101</v>
      </c>
      <c r="M8120" s="5" t="s">
        <v>51102</v>
      </c>
      <c r="N8120" s="7" t="s">
        <v>51103</v>
      </c>
      <c r="O8120" s="8" t="str">
        <f>HYPERLINK("https://drive.google.com/file/d/1IjRNXvUq5mjKuqXAa4TYrL0A7KGh0gq-/view?usp=drivesdk","8119_YUNITA, SE _ SERTIFIKAT BerAKHLAK")</f>
        <v>8119_YUNITA, SE _ SERTIFIKAT BerAKHLAK</v>
      </c>
      <c r="P8120" s="5" t="s">
        <v>51104</v>
      </c>
    </row>
    <row r="8121">
      <c r="A8121" s="4">
        <v>45534.39529181713</v>
      </c>
      <c r="B8121" s="5" t="s">
        <v>34</v>
      </c>
      <c r="D8121" s="5" t="s">
        <v>701</v>
      </c>
      <c r="E8121" s="5" t="s">
        <v>51105</v>
      </c>
      <c r="F8121" s="5" t="s">
        <v>212</v>
      </c>
      <c r="G8121" s="5" t="s">
        <v>51106</v>
      </c>
      <c r="H8121" s="6" t="s">
        <v>51107</v>
      </c>
      <c r="K8121" s="5" t="s">
        <v>51108</v>
      </c>
      <c r="M8121" s="5" t="s">
        <v>51109</v>
      </c>
      <c r="N8121" s="7" t="s">
        <v>51110</v>
      </c>
      <c r="O8121" s="8" t="str">
        <f>HYPERLINK("https://drive.google.com/file/d/1GBrZ6oVES03O276HjzKt1qAamo2l_C5C/view?usp=drivesdk","8120_SUCI RAHMADANI  _ SERTIFIKAT BerAKHLAK")</f>
        <v>8120_SUCI RAHMADANI  _ SERTIFIKAT BerAKHLAK</v>
      </c>
      <c r="P8121" s="5" t="s">
        <v>51104</v>
      </c>
    </row>
    <row r="8122">
      <c r="A8122" s="4">
        <v>45534.395346018515</v>
      </c>
      <c r="B8122" s="5" t="s">
        <v>34</v>
      </c>
      <c r="D8122" s="5" t="s">
        <v>1768</v>
      </c>
      <c r="E8122" s="5" t="s">
        <v>51111</v>
      </c>
      <c r="F8122" s="5" t="s">
        <v>212</v>
      </c>
      <c r="G8122" s="5" t="s">
        <v>51112</v>
      </c>
      <c r="H8122" s="6" t="s">
        <v>51113</v>
      </c>
      <c r="K8122" s="5" t="s">
        <v>51114</v>
      </c>
      <c r="M8122" s="5" t="s">
        <v>51115</v>
      </c>
      <c r="N8122" s="7" t="s">
        <v>51116</v>
      </c>
      <c r="O8122" s="8" t="str">
        <f>HYPERLINK("https://drive.google.com/file/d/1HP6jwbSJLxsF_hCHRJmYnOnkM9NDG496/view?usp=drivesdk","8121_WIWIK SAWITRI _ SERTIFIKAT BerAKHLAK")</f>
        <v>8121_WIWIK SAWITRI _ SERTIFIKAT BerAKHLAK</v>
      </c>
      <c r="P8122" s="5" t="s">
        <v>51104</v>
      </c>
    </row>
    <row r="8123">
      <c r="A8123" s="4">
        <v>45534.395386759265</v>
      </c>
      <c r="B8123" s="5" t="s">
        <v>34</v>
      </c>
      <c r="D8123" s="5" t="s">
        <v>1206</v>
      </c>
      <c r="E8123" s="5" t="s">
        <v>20429</v>
      </c>
      <c r="F8123" s="5" t="s">
        <v>72</v>
      </c>
      <c r="G8123" s="5" t="s">
        <v>51117</v>
      </c>
      <c r="H8123" s="6" t="s">
        <v>51118</v>
      </c>
      <c r="K8123" s="5" t="s">
        <v>51119</v>
      </c>
      <c r="M8123" s="5" t="s">
        <v>51120</v>
      </c>
      <c r="N8123" s="7" t="s">
        <v>51121</v>
      </c>
      <c r="O8123" s="8" t="str">
        <f>HYPERLINK("https://drive.google.com/file/d/1XcsGTKDAJmFlTmPGFljy5lT9D5AOwFhe/view?usp=drivesdk","8122_ADIYANTO _ SERTIFIKAT BerAKHLAK")</f>
        <v>8122_ADIYANTO _ SERTIFIKAT BerAKHLAK</v>
      </c>
      <c r="P8123" s="5" t="s">
        <v>51104</v>
      </c>
    </row>
    <row r="8124">
      <c r="A8124" s="4">
        <v>45534.39540858797</v>
      </c>
      <c r="B8124" s="5" t="s">
        <v>34</v>
      </c>
      <c r="D8124" s="5" t="s">
        <v>4775</v>
      </c>
      <c r="E8124" s="5" t="s">
        <v>51122</v>
      </c>
      <c r="F8124" s="5" t="s">
        <v>524</v>
      </c>
      <c r="G8124" s="5" t="s">
        <v>51123</v>
      </c>
      <c r="H8124" s="6" t="s">
        <v>51124</v>
      </c>
      <c r="K8124" s="5" t="s">
        <v>51119</v>
      </c>
      <c r="M8124" s="5" t="s">
        <v>51125</v>
      </c>
      <c r="N8124" s="7" t="s">
        <v>51126</v>
      </c>
      <c r="O8124" s="8" t="str">
        <f>HYPERLINK("https://drive.google.com/file/d/1jOPB76yDQZz6FQ38khhor2j43A3DNFqS/view?usp=drivesdk","8123_WAGINO  _ SERTIFIKAT BerAKHLAK")</f>
        <v>8123_WAGINO  _ SERTIFIKAT BerAKHLAK</v>
      </c>
      <c r="P8124" s="5" t="s">
        <v>51127</v>
      </c>
    </row>
    <row r="8125">
      <c r="A8125" s="4">
        <v>45534.3954168287</v>
      </c>
      <c r="B8125" s="5" t="s">
        <v>34</v>
      </c>
      <c r="D8125" s="5" t="s">
        <v>701</v>
      </c>
      <c r="E8125" s="5" t="s">
        <v>42156</v>
      </c>
      <c r="F8125" s="5" t="s">
        <v>199</v>
      </c>
      <c r="G8125" s="5" t="s">
        <v>51128</v>
      </c>
      <c r="H8125" s="6" t="s">
        <v>51129</v>
      </c>
      <c r="K8125" s="5" t="s">
        <v>51130</v>
      </c>
      <c r="M8125" s="5" t="s">
        <v>51131</v>
      </c>
      <c r="N8125" s="7" t="s">
        <v>51132</v>
      </c>
      <c r="O8125" s="8" t="str">
        <f>HYPERLINK("https://drive.google.com/file/d/149tUmhwt-KyEfrVP852iREP6Q3BdoRGo/view?usp=drivesdk","8124_IRWANSYAH _ SERTIFIKAT BerAKHLAK")</f>
        <v>8124_IRWANSYAH _ SERTIFIKAT BerAKHLAK</v>
      </c>
      <c r="P8125" s="5" t="s">
        <v>51127</v>
      </c>
    </row>
    <row r="8126" hidden="1">
      <c r="A8126" s="4">
        <v>45534.39543476852</v>
      </c>
      <c r="B8126" s="5" t="s">
        <v>19</v>
      </c>
      <c r="C8126" s="5" t="s">
        <v>20</v>
      </c>
      <c r="E8126" s="5" t="s">
        <v>51133</v>
      </c>
      <c r="F8126" s="5" t="s">
        <v>375</v>
      </c>
      <c r="G8126" s="5" t="s">
        <v>51134</v>
      </c>
      <c r="H8126" s="6" t="s">
        <v>51135</v>
      </c>
      <c r="K8126" s="5" t="s">
        <v>51130</v>
      </c>
      <c r="M8126" s="5" t="s">
        <v>51136</v>
      </c>
      <c r="N8126" s="7" t="s">
        <v>51137</v>
      </c>
      <c r="O8126" s="8" t="str">
        <f>HYPERLINK("https://drive.google.com/file/d/1hkR4tevLJkDgxbY-yHnl758mXq48Vpw6/view?usp=drivesdk","8125_AHMAD WIRAWAN _ SERTIFIKAT BerAKHLAK")</f>
        <v>8125_AHMAD WIRAWAN _ SERTIFIKAT BerAKHLAK</v>
      </c>
      <c r="P8126" s="5" t="s">
        <v>51127</v>
      </c>
    </row>
    <row r="8127">
      <c r="A8127" s="4">
        <v>45534.39544717592</v>
      </c>
      <c r="B8127" s="5" t="s">
        <v>34</v>
      </c>
      <c r="D8127" s="5" t="s">
        <v>4775</v>
      </c>
      <c r="E8127" s="5" t="s">
        <v>51138</v>
      </c>
      <c r="F8127" s="5" t="s">
        <v>524</v>
      </c>
      <c r="G8127" s="5" t="s">
        <v>51139</v>
      </c>
      <c r="H8127" s="6" t="s">
        <v>51140</v>
      </c>
      <c r="K8127" s="5" t="s">
        <v>51141</v>
      </c>
      <c r="M8127" s="5" t="s">
        <v>51142</v>
      </c>
      <c r="N8127" s="7" t="s">
        <v>51143</v>
      </c>
      <c r="O8127" s="8" t="str">
        <f>HYPERLINK("https://drive.google.com/file/d/1fFRrkgOq7wADHe1yECFk8aE5umpsMt-4/view?usp=drivesdk","8126_SAPDO SUNARNO _ SERTIFIKAT BerAKHLAK")</f>
        <v>8126_SAPDO SUNARNO _ SERTIFIKAT BerAKHLAK</v>
      </c>
      <c r="P8127" s="5" t="s">
        <v>51127</v>
      </c>
    </row>
    <row r="8128" hidden="1">
      <c r="A8128" s="4">
        <v>45534.39546951389</v>
      </c>
      <c r="B8128" s="5" t="s">
        <v>19</v>
      </c>
      <c r="C8128" s="5" t="s">
        <v>20</v>
      </c>
      <c r="E8128" s="5" t="s">
        <v>51144</v>
      </c>
      <c r="F8128" s="5" t="s">
        <v>524</v>
      </c>
      <c r="G8128" s="5" t="s">
        <v>51145</v>
      </c>
      <c r="H8128" s="6" t="s">
        <v>51146</v>
      </c>
      <c r="K8128" s="5" t="s">
        <v>51141</v>
      </c>
      <c r="M8128" s="5" t="s">
        <v>51147</v>
      </c>
      <c r="N8128" s="7" t="s">
        <v>51148</v>
      </c>
      <c r="O8128" s="8" t="str">
        <f>HYPERLINK("https://drive.google.com/file/d/1BXq01vjvx1S0LY5BgZjMOqbCj6WRRUvi/view?usp=drivesdk","8127_DHENI RIDHA APIK UMIYANA, A.Md. _ SERTIFIKAT BerAKHLAK")</f>
        <v>8127_DHENI RIDHA APIK UMIYANA, A.Md. _ SERTIFIKAT BerAKHLAK</v>
      </c>
      <c r="P8128" s="5" t="s">
        <v>51149</v>
      </c>
    </row>
    <row r="8129">
      <c r="A8129" s="4">
        <v>45534.39547672454</v>
      </c>
      <c r="B8129" s="5" t="s">
        <v>34</v>
      </c>
      <c r="D8129" s="5" t="s">
        <v>12978</v>
      </c>
      <c r="E8129" s="5" t="s">
        <v>51150</v>
      </c>
      <c r="F8129" s="5" t="s">
        <v>120</v>
      </c>
      <c r="G8129" s="5" t="s">
        <v>51151</v>
      </c>
      <c r="H8129" s="6" t="s">
        <v>51152</v>
      </c>
      <c r="K8129" s="5" t="s">
        <v>51153</v>
      </c>
      <c r="M8129" s="5" t="s">
        <v>51154</v>
      </c>
      <c r="N8129" s="7" t="s">
        <v>51155</v>
      </c>
      <c r="O8129" s="8" t="str">
        <f>HYPERLINK("https://drive.google.com/file/d/1lDEoIVt-SwLFizYoxoePQc9Ff5s2HHMx/view?usp=drivesdk","8128_FEBRI ASMARANI, SH, MH _ SERTIFIKAT BerAKHLAK")</f>
        <v>8128_FEBRI ASMARANI, SH, MH _ SERTIFIKAT BerAKHLAK</v>
      </c>
      <c r="P8129" s="5" t="s">
        <v>51149</v>
      </c>
    </row>
    <row r="8130">
      <c r="A8130" s="4">
        <v>45534.39547935185</v>
      </c>
      <c r="B8130" s="5" t="s">
        <v>34</v>
      </c>
      <c r="D8130" s="5" t="s">
        <v>9394</v>
      </c>
      <c r="E8130" s="5" t="s">
        <v>51156</v>
      </c>
      <c r="F8130" s="5" t="s">
        <v>715</v>
      </c>
      <c r="G8130" s="5" t="s">
        <v>51157</v>
      </c>
      <c r="H8130" s="6" t="s">
        <v>51158</v>
      </c>
      <c r="K8130" s="5" t="s">
        <v>51153</v>
      </c>
      <c r="M8130" s="5" t="s">
        <v>51159</v>
      </c>
      <c r="N8130" s="7" t="s">
        <v>51160</v>
      </c>
      <c r="O8130" s="8" t="str">
        <f>HYPERLINK("https://drive.google.com/file/d/1YotbbwuNeKb56oXAqv1IX-g_s97mjW7a/view?usp=drivesdk","8129_ROMAULI BR SIMARMATA  _ SERTIFIKAT BerAKHLAK")</f>
        <v>8129_ROMAULI BR SIMARMATA  _ SERTIFIKAT BerAKHLAK</v>
      </c>
      <c r="P8130" s="5" t="s">
        <v>51149</v>
      </c>
    </row>
    <row r="8131">
      <c r="A8131" s="4">
        <v>45534.39549638889</v>
      </c>
      <c r="B8131" s="5" t="s">
        <v>34</v>
      </c>
      <c r="D8131" s="5" t="s">
        <v>1206</v>
      </c>
      <c r="E8131" s="5" t="s">
        <v>51161</v>
      </c>
      <c r="F8131" s="5" t="s">
        <v>524</v>
      </c>
      <c r="G8131" s="5" t="s">
        <v>51162</v>
      </c>
      <c r="H8131" s="6" t="s">
        <v>51163</v>
      </c>
      <c r="K8131" s="5" t="s">
        <v>51153</v>
      </c>
      <c r="M8131" s="5" t="s">
        <v>51164</v>
      </c>
      <c r="N8131" s="7" t="s">
        <v>51165</v>
      </c>
      <c r="O8131" s="8" t="str">
        <f>HYPERLINK("https://drive.google.com/file/d/1Uo_SkBKQteRa_6u-DVjKwGI_mOnAKWSx/view?usp=drivesdk","8130_NUNING SETYOWAHYUNIK _ SERTIFIKAT BerAKHLAK")</f>
        <v>8130_NUNING SETYOWAHYUNIK _ SERTIFIKAT BerAKHLAK</v>
      </c>
      <c r="P8131" s="5" t="s">
        <v>51149</v>
      </c>
    </row>
    <row r="8132">
      <c r="A8132" s="4">
        <v>45534.395508738424</v>
      </c>
      <c r="B8132" s="5" t="s">
        <v>34</v>
      </c>
      <c r="D8132" s="5" t="s">
        <v>14313</v>
      </c>
      <c r="E8132" s="5" t="s">
        <v>51166</v>
      </c>
      <c r="F8132" s="5" t="s">
        <v>524</v>
      </c>
      <c r="G8132" s="5" t="s">
        <v>51167</v>
      </c>
      <c r="H8132" s="6" t="s">
        <v>51168</v>
      </c>
      <c r="K8132" s="5" t="s">
        <v>51153</v>
      </c>
      <c r="M8132" s="5" t="s">
        <v>51169</v>
      </c>
      <c r="N8132" s="7" t="s">
        <v>51170</v>
      </c>
      <c r="O8132" s="8" t="str">
        <f>HYPERLINK("https://drive.google.com/file/d/1AF6k3dovvYf77uU3jWiuHfQTWFIqO_xt/view?usp=drivesdk","8131_RISNA YULIATY.R,SE _ SERTIFIKAT BerAKHLAK")</f>
        <v>8131_RISNA YULIATY.R,SE _ SERTIFIKAT BerAKHLAK</v>
      </c>
      <c r="P8132" s="5" t="s">
        <v>51149</v>
      </c>
    </row>
    <row r="8133">
      <c r="A8133" s="4">
        <v>45534.395557384254</v>
      </c>
      <c r="B8133" s="5" t="s">
        <v>34</v>
      </c>
      <c r="D8133" s="5" t="s">
        <v>1768</v>
      </c>
      <c r="E8133" s="5" t="s">
        <v>51171</v>
      </c>
      <c r="F8133" s="5" t="s">
        <v>120</v>
      </c>
      <c r="G8133" s="5" t="s">
        <v>51172</v>
      </c>
      <c r="H8133" s="6" t="s">
        <v>51173</v>
      </c>
      <c r="K8133" s="5" t="s">
        <v>51174</v>
      </c>
      <c r="M8133" s="5" t="s">
        <v>51175</v>
      </c>
      <c r="N8133" s="7" t="s">
        <v>51176</v>
      </c>
      <c r="O8133" s="8" t="str">
        <f>HYPERLINK("https://drive.google.com/file/d/1BpyBnXn63HTIzb_l6JlZaubVQX8oWOls/view?usp=drivesdk","8132_dr CHRISTY OCTARIA _ SERTIFIKAT BerAKHLAK")</f>
        <v>8132_dr CHRISTY OCTARIA _ SERTIFIKAT BerAKHLAK</v>
      </c>
      <c r="P8133" s="5" t="s">
        <v>51177</v>
      </c>
    </row>
    <row r="8134">
      <c r="A8134" s="4">
        <v>45534.39558099537</v>
      </c>
      <c r="B8134" s="5" t="s">
        <v>34</v>
      </c>
      <c r="D8134" s="5" t="s">
        <v>1456</v>
      </c>
      <c r="E8134" s="5" t="s">
        <v>51178</v>
      </c>
      <c r="F8134" s="5" t="s">
        <v>524</v>
      </c>
      <c r="G8134" s="5" t="s">
        <v>51179</v>
      </c>
      <c r="H8134" s="6" t="s">
        <v>51180</v>
      </c>
      <c r="K8134" s="5" t="s">
        <v>51174</v>
      </c>
      <c r="M8134" s="5" t="s">
        <v>51181</v>
      </c>
      <c r="N8134" s="7" t="s">
        <v>51182</v>
      </c>
      <c r="O8134" s="8" t="str">
        <f>HYPERLINK("https://drive.google.com/file/d/1OSkpuSFkDuQVhMM7Ua4UPc7e8ZvxoMmw/view?usp=drivesdk","8133_YENY KHAIRANI, S. Psi _ SERTIFIKAT BerAKHLAK")</f>
        <v>8133_YENY KHAIRANI, S. Psi _ SERTIFIKAT BerAKHLAK</v>
      </c>
      <c r="P8134" s="5" t="s">
        <v>51177</v>
      </c>
    </row>
    <row r="8135" hidden="1">
      <c r="A8135" s="4">
        <v>45534.3955828125</v>
      </c>
      <c r="B8135" s="5" t="s">
        <v>19</v>
      </c>
      <c r="C8135" s="5" t="s">
        <v>5564</v>
      </c>
      <c r="E8135" s="5" t="s">
        <v>51183</v>
      </c>
      <c r="F8135" s="5" t="s">
        <v>524</v>
      </c>
      <c r="G8135" s="5" t="s">
        <v>51184</v>
      </c>
      <c r="H8135" s="6" t="s">
        <v>51185</v>
      </c>
      <c r="K8135" s="5" t="s">
        <v>51174</v>
      </c>
      <c r="M8135" s="5" t="s">
        <v>51186</v>
      </c>
      <c r="N8135" s="7" t="s">
        <v>51187</v>
      </c>
      <c r="O8135" s="8" t="str">
        <f>HYPERLINK("https://drive.google.com/file/d/1bdMPUUs1Okw8q8x7_SjHRlbbPlCV5exT/view?usp=drivesdk","8134_SATRIA CATUR NUGROHO S.E., M.M _ SERTIFIKAT BerAKHLAK")</f>
        <v>8134_SATRIA CATUR NUGROHO S.E., M.M _ SERTIFIKAT BerAKHLAK</v>
      </c>
      <c r="P8135" s="5" t="s">
        <v>51177</v>
      </c>
    </row>
    <row r="8136">
      <c r="A8136" s="4">
        <v>45534.39559489583</v>
      </c>
      <c r="B8136" s="5" t="s">
        <v>34</v>
      </c>
      <c r="D8136" s="5" t="s">
        <v>522</v>
      </c>
      <c r="E8136" s="5" t="s">
        <v>51188</v>
      </c>
      <c r="F8136" s="5" t="s">
        <v>328</v>
      </c>
      <c r="G8136" s="5" t="s">
        <v>51189</v>
      </c>
      <c r="H8136" s="6" t="s">
        <v>51190</v>
      </c>
      <c r="K8136" s="5" t="s">
        <v>51174</v>
      </c>
      <c r="M8136" s="5" t="s">
        <v>51191</v>
      </c>
      <c r="N8136" s="7" t="s">
        <v>51192</v>
      </c>
      <c r="O8136" s="8" t="str">
        <f>HYPERLINK("https://drive.google.com/file/d/1W14CN7nZMB8PhBJ6L-PQlTGqcXqfX0xb/view?usp=drivesdk","8135_AHMAD JAELANI _ SERTIFIKAT BerAKHLAK")</f>
        <v>8135_AHMAD JAELANI _ SERTIFIKAT BerAKHLAK</v>
      </c>
      <c r="P8136" s="5" t="s">
        <v>51177</v>
      </c>
    </row>
    <row r="8137">
      <c r="A8137" s="4">
        <v>45534.395607094906</v>
      </c>
      <c r="B8137" s="5" t="s">
        <v>34</v>
      </c>
      <c r="D8137" s="5" t="s">
        <v>12978</v>
      </c>
      <c r="E8137" s="5" t="s">
        <v>51193</v>
      </c>
      <c r="F8137" s="5" t="s">
        <v>72</v>
      </c>
      <c r="G8137" s="5" t="s">
        <v>51194</v>
      </c>
      <c r="H8137" s="6" t="s">
        <v>51195</v>
      </c>
      <c r="K8137" s="5" t="s">
        <v>51174</v>
      </c>
      <c r="M8137" s="5" t="s">
        <v>51196</v>
      </c>
      <c r="N8137" s="7" t="s">
        <v>51197</v>
      </c>
      <c r="O8137" s="8" t="str">
        <f>HYPERLINK("https://drive.google.com/file/d/1c8Bfs2NhzRD_vsOwsrjJqLCjTmhvLP06/view?usp=drivesdk","8136_ELLEN NURLIANA _ SERTIFIKAT BerAKHLAK")</f>
        <v>8136_ELLEN NURLIANA _ SERTIFIKAT BerAKHLAK</v>
      </c>
      <c r="P8137" s="5" t="s">
        <v>51177</v>
      </c>
    </row>
    <row r="8138">
      <c r="A8138" s="4">
        <v>45534.395611643515</v>
      </c>
      <c r="B8138" s="5" t="s">
        <v>34</v>
      </c>
      <c r="D8138" s="5" t="s">
        <v>9020</v>
      </c>
      <c r="E8138" s="5" t="s">
        <v>51198</v>
      </c>
      <c r="F8138" s="5" t="s">
        <v>199</v>
      </c>
      <c r="G8138" s="5" t="s">
        <v>51199</v>
      </c>
      <c r="H8138" s="6" t="s">
        <v>51200</v>
      </c>
      <c r="K8138" s="5" t="s">
        <v>51174</v>
      </c>
      <c r="M8138" s="5" t="s">
        <v>51201</v>
      </c>
      <c r="N8138" s="7" t="s">
        <v>51202</v>
      </c>
      <c r="O8138" s="8" t="str">
        <f>HYPERLINK("https://drive.google.com/file/d/1jNEIykVwKBjEh9vQV9oh6IVwyB7avILv/view?usp=drivesdk","8137_ANGANDROWA GULO _ SERTIFIKAT BerAKHLAK")</f>
        <v>8137_ANGANDROWA GULO _ SERTIFIKAT BerAKHLAK</v>
      </c>
      <c r="P8138" s="5" t="s">
        <v>51203</v>
      </c>
    </row>
    <row r="8139">
      <c r="A8139" s="4">
        <v>45534.39568273148</v>
      </c>
      <c r="B8139" s="5" t="s">
        <v>34</v>
      </c>
      <c r="D8139" s="5" t="s">
        <v>14424</v>
      </c>
      <c r="E8139" s="5" t="s">
        <v>51204</v>
      </c>
      <c r="F8139" s="5" t="s">
        <v>37</v>
      </c>
      <c r="G8139" s="5" t="s">
        <v>51205</v>
      </c>
      <c r="H8139" s="6" t="s">
        <v>51206</v>
      </c>
      <c r="K8139" s="5" t="s">
        <v>51207</v>
      </c>
      <c r="M8139" s="5" t="s">
        <v>51208</v>
      </c>
      <c r="N8139" s="7" t="s">
        <v>51209</v>
      </c>
      <c r="O8139" s="8" t="str">
        <f>HYPERLINK("https://drive.google.com/file/d/1JIKWdiBxdhjYcHX8M7qb-2YqwImfTPJk/view?usp=drivesdk","8138_ERLINA _ SERTIFIKAT BerAKHLAK")</f>
        <v>8138_ERLINA _ SERTIFIKAT BerAKHLAK</v>
      </c>
      <c r="P8139" s="5" t="s">
        <v>51203</v>
      </c>
    </row>
    <row r="8140">
      <c r="A8140" s="4">
        <v>45534.395689826386</v>
      </c>
      <c r="B8140" s="5" t="s">
        <v>34</v>
      </c>
      <c r="D8140" s="5" t="s">
        <v>701</v>
      </c>
      <c r="E8140" s="5" t="s">
        <v>51210</v>
      </c>
      <c r="F8140" s="5" t="s">
        <v>212</v>
      </c>
      <c r="G8140" s="5" t="s">
        <v>51211</v>
      </c>
      <c r="H8140" s="6" t="s">
        <v>51212</v>
      </c>
      <c r="K8140" s="5" t="s">
        <v>51207</v>
      </c>
      <c r="M8140" s="5" t="s">
        <v>51213</v>
      </c>
      <c r="N8140" s="7" t="s">
        <v>51214</v>
      </c>
      <c r="O8140" s="8" t="str">
        <f>HYPERLINK("https://drive.google.com/file/d/1LN3H61iWOQIxC_UH1YchJL0dM543I7B5/view?usp=drivesdk","8139_NURLELY _ SERTIFIKAT BerAKHLAK")</f>
        <v>8139_NURLELY _ SERTIFIKAT BerAKHLAK</v>
      </c>
      <c r="P8140" s="5" t="s">
        <v>49832</v>
      </c>
    </row>
    <row r="8141" hidden="1">
      <c r="A8141" s="4">
        <v>45534.39570087963</v>
      </c>
      <c r="B8141" s="5" t="s">
        <v>19</v>
      </c>
      <c r="C8141" s="5" t="s">
        <v>5058</v>
      </c>
      <c r="E8141" s="5" t="s">
        <v>51215</v>
      </c>
      <c r="F8141" s="5" t="s">
        <v>37</v>
      </c>
      <c r="G8141" s="5" t="s">
        <v>51216</v>
      </c>
      <c r="H8141" s="6" t="s">
        <v>51217</v>
      </c>
      <c r="K8141" s="5" t="s">
        <v>51207</v>
      </c>
      <c r="M8141" s="5" t="s">
        <v>51218</v>
      </c>
      <c r="N8141" s="7" t="s">
        <v>51219</v>
      </c>
      <c r="O8141" s="8" t="str">
        <f>HYPERLINK("https://drive.google.com/file/d/1Ffm6rYmauriEocWMaYiSJ38rHIiVFg10/view?usp=drivesdk","8140_JEREMI SABAM FERMANA SINAGA, A.Md.A.Pj. _ SERTIFIKAT BerAKHLAK")</f>
        <v>8140_JEREMI SABAM FERMANA SINAGA, A.Md.A.Pj. _ SERTIFIKAT BerAKHLAK</v>
      </c>
      <c r="P8141" s="5" t="s">
        <v>49832</v>
      </c>
    </row>
    <row r="8142">
      <c r="A8142" s="4">
        <v>45534.395716053245</v>
      </c>
      <c r="B8142" s="5" t="s">
        <v>34</v>
      </c>
      <c r="D8142" s="5" t="s">
        <v>1206</v>
      </c>
      <c r="E8142" s="5" t="s">
        <v>51220</v>
      </c>
      <c r="F8142" s="5" t="s">
        <v>37</v>
      </c>
      <c r="G8142" s="5" t="s">
        <v>23777</v>
      </c>
      <c r="H8142" s="6" t="s">
        <v>51221</v>
      </c>
      <c r="K8142" s="5" t="s">
        <v>51207</v>
      </c>
      <c r="M8142" s="5" t="s">
        <v>51222</v>
      </c>
      <c r="N8142" s="7" t="s">
        <v>51223</v>
      </c>
      <c r="O8142" s="8" t="str">
        <f>HYPERLINK("https://drive.google.com/file/d/1lFPKbQMqbl7ljKV0fxWGgYR-8XpgbMXF/view?usp=drivesdk","8141_DEWI SULISTIYO WATI _ SERTIFIKAT BerAKHLAK")</f>
        <v>8141_DEWI SULISTIYO WATI _ SERTIFIKAT BerAKHLAK</v>
      </c>
      <c r="P8142" s="5" t="s">
        <v>49832</v>
      </c>
    </row>
    <row r="8143">
      <c r="A8143" s="4">
        <v>45534.395732986115</v>
      </c>
      <c r="B8143" s="5" t="s">
        <v>34</v>
      </c>
      <c r="D8143" s="5" t="s">
        <v>267</v>
      </c>
      <c r="E8143" s="5" t="s">
        <v>51224</v>
      </c>
      <c r="F8143" s="5" t="s">
        <v>108</v>
      </c>
      <c r="G8143" s="5" t="s">
        <v>51225</v>
      </c>
      <c r="H8143" s="6" t="s">
        <v>51226</v>
      </c>
      <c r="K8143" s="5" t="s">
        <v>51207</v>
      </c>
      <c r="M8143" s="5" t="s">
        <v>51227</v>
      </c>
      <c r="N8143" s="7" t="s">
        <v>51228</v>
      </c>
      <c r="O8143" s="8" t="str">
        <f>HYPERLINK("https://drive.google.com/file/d/1OGIcz05p98AYQslsqtfSNNRERcf9pWUG/view?usp=drivesdk","8142_SUSILO RUDIOKO _ SERTIFIKAT BerAKHLAK")</f>
        <v>8142_SUSILO RUDIOKO _ SERTIFIKAT BerAKHLAK</v>
      </c>
      <c r="P8143" s="5" t="s">
        <v>49832</v>
      </c>
    </row>
    <row r="8144">
      <c r="A8144" s="4">
        <v>45534.39573400463</v>
      </c>
      <c r="B8144" s="5" t="s">
        <v>34</v>
      </c>
      <c r="D8144" s="5" t="s">
        <v>701</v>
      </c>
      <c r="E8144" s="5" t="s">
        <v>51229</v>
      </c>
      <c r="F8144" s="5" t="s">
        <v>212</v>
      </c>
      <c r="G8144" s="5" t="s">
        <v>51230</v>
      </c>
      <c r="H8144" s="6" t="s">
        <v>51231</v>
      </c>
      <c r="K8144" s="5" t="s">
        <v>51207</v>
      </c>
      <c r="M8144" s="5" t="s">
        <v>51232</v>
      </c>
      <c r="N8144" s="7" t="s">
        <v>51233</v>
      </c>
      <c r="O8144" s="8" t="str">
        <f>HYPERLINK("https://drive.google.com/file/d/1KWwOvFWNpqPyVGTV0QRnpl22ZMupD5_S/view?usp=drivesdk","8143_ADEK RAHMAT,A.Md.Kep _ SERTIFIKAT BerAKHLAK")</f>
        <v>8143_ADEK RAHMAT,A.Md.Kep _ SERTIFIKAT BerAKHLAK</v>
      </c>
      <c r="P8144" s="5" t="s">
        <v>49853</v>
      </c>
    </row>
    <row r="8145">
      <c r="A8145" s="4">
        <v>45534.39574287037</v>
      </c>
      <c r="B8145" s="5" t="s">
        <v>34</v>
      </c>
      <c r="D8145" s="5" t="s">
        <v>9020</v>
      </c>
      <c r="E8145" s="5" t="s">
        <v>47231</v>
      </c>
      <c r="F8145" s="5" t="s">
        <v>375</v>
      </c>
      <c r="G8145" s="5" t="s">
        <v>51234</v>
      </c>
      <c r="H8145" s="6" t="s">
        <v>51235</v>
      </c>
      <c r="K8145" s="5" t="s">
        <v>51207</v>
      </c>
      <c r="M8145" s="5" t="s">
        <v>51236</v>
      </c>
      <c r="N8145" s="7" t="s">
        <v>51237</v>
      </c>
      <c r="O8145" s="8" t="str">
        <f>HYPERLINK("https://drive.google.com/file/d/1NCfsG7rVLQzkmeIQJ1Ej6pl7rvACVkd1/view?usp=drivesdk","8144_RITA JUNIARNI GULTOM _ SERTIFIKAT BerAKHLAK")</f>
        <v>8144_RITA JUNIARNI GULTOM _ SERTIFIKAT BerAKHLAK</v>
      </c>
      <c r="P8145" s="5" t="s">
        <v>49853</v>
      </c>
    </row>
    <row r="8146">
      <c r="A8146" s="4">
        <v>45534.39574952546</v>
      </c>
      <c r="B8146" s="5" t="s">
        <v>34</v>
      </c>
      <c r="D8146" s="5" t="s">
        <v>4775</v>
      </c>
      <c r="E8146" s="5" t="s">
        <v>51238</v>
      </c>
      <c r="F8146" s="5" t="s">
        <v>37</v>
      </c>
      <c r="G8146" s="5" t="s">
        <v>51239</v>
      </c>
      <c r="H8146" s="6" t="s">
        <v>51240</v>
      </c>
      <c r="K8146" s="5" t="s">
        <v>51207</v>
      </c>
      <c r="M8146" s="5" t="s">
        <v>51241</v>
      </c>
      <c r="N8146" s="7" t="s">
        <v>51242</v>
      </c>
      <c r="O8146" s="8" t="str">
        <f>HYPERLINK("https://drive.google.com/file/d/1bVKuvhB_yLrqFLTy98MJdsem2CwilojF/view?usp=drivesdk","8145_DYAN HERAWATY SUPRAPTO _ SERTIFIKAT BerAKHLAK")</f>
        <v>8145_DYAN HERAWATY SUPRAPTO _ SERTIFIKAT BerAKHLAK</v>
      </c>
      <c r="P8146" s="5" t="s">
        <v>49853</v>
      </c>
    </row>
    <row r="8147">
      <c r="A8147" s="4">
        <v>45534.3957930787</v>
      </c>
      <c r="B8147" s="5" t="s">
        <v>34</v>
      </c>
      <c r="D8147" s="5" t="s">
        <v>2903</v>
      </c>
      <c r="E8147" s="5" t="s">
        <v>51243</v>
      </c>
      <c r="F8147" s="5" t="s">
        <v>375</v>
      </c>
      <c r="G8147" s="5" t="s">
        <v>51244</v>
      </c>
      <c r="H8147" s="6" t="s">
        <v>51245</v>
      </c>
      <c r="K8147" s="5" t="s">
        <v>51246</v>
      </c>
      <c r="M8147" s="5" t="s">
        <v>51247</v>
      </c>
      <c r="N8147" s="7" t="s">
        <v>51248</v>
      </c>
      <c r="O8147" s="8" t="str">
        <f>HYPERLINK("https://drive.google.com/file/d/1pWu3aR0VHzqvXeESI2jB7i8wcf2fhDyr/view?usp=drivesdk","8146_ANSORI _ SERTIFIKAT BerAKHLAK")</f>
        <v>8146_ANSORI _ SERTIFIKAT BerAKHLAK</v>
      </c>
      <c r="P8147" s="5" t="s">
        <v>49853</v>
      </c>
    </row>
    <row r="8148">
      <c r="A8148" s="4">
        <v>45534.39582314815</v>
      </c>
      <c r="B8148" s="5" t="s">
        <v>34</v>
      </c>
      <c r="D8148" s="5" t="s">
        <v>1206</v>
      </c>
      <c r="E8148" s="5" t="s">
        <v>51249</v>
      </c>
      <c r="F8148" s="5" t="s">
        <v>212</v>
      </c>
      <c r="G8148" s="5" t="s">
        <v>51250</v>
      </c>
      <c r="H8148" s="6" t="s">
        <v>51251</v>
      </c>
      <c r="K8148" s="5" t="s">
        <v>51246</v>
      </c>
      <c r="M8148" s="5" t="s">
        <v>51252</v>
      </c>
      <c r="N8148" s="7" t="s">
        <v>51253</v>
      </c>
      <c r="O8148" s="8" t="str">
        <f>HYPERLINK("https://drive.google.com/file/d/1dv7-rUi1vkXODMRRWfqto9Lerg5VcGob/view?usp=drivesdk","8147_SULISTIANI  _ SERTIFIKAT BerAKHLAK")</f>
        <v>8147_SULISTIANI  _ SERTIFIKAT BerAKHLAK</v>
      </c>
      <c r="P8148" s="5" t="s">
        <v>49853</v>
      </c>
    </row>
    <row r="8149">
      <c r="A8149" s="4">
        <v>45534.39585939815</v>
      </c>
      <c r="B8149" s="5" t="s">
        <v>34</v>
      </c>
      <c r="D8149" s="5" t="s">
        <v>6232</v>
      </c>
      <c r="E8149" s="5" t="s">
        <v>51254</v>
      </c>
      <c r="F8149" s="5" t="s">
        <v>715</v>
      </c>
      <c r="G8149" s="5" t="s">
        <v>51255</v>
      </c>
      <c r="H8149" s="6" t="s">
        <v>51256</v>
      </c>
      <c r="K8149" s="5" t="s">
        <v>51246</v>
      </c>
      <c r="M8149" s="5" t="s">
        <v>51257</v>
      </c>
      <c r="N8149" s="7" t="s">
        <v>51258</v>
      </c>
      <c r="O8149" s="8" t="str">
        <f>HYPERLINK("https://drive.google.com/file/d/1FPAahD32rk1SWOxPwekVWGv3pQAGcrwb/view?usp=drivesdk","8148_AKHMAD ROZI, AMD.KEP _ SERTIFIKAT BerAKHLAK")</f>
        <v>8148_AKHMAD ROZI, AMD.KEP _ SERTIFIKAT BerAKHLAK</v>
      </c>
      <c r="P8149" s="5" t="s">
        <v>49853</v>
      </c>
    </row>
    <row r="8150">
      <c r="A8150" s="4">
        <v>45534.39586019676</v>
      </c>
      <c r="B8150" s="5" t="s">
        <v>34</v>
      </c>
      <c r="D8150" s="5" t="s">
        <v>9394</v>
      </c>
      <c r="E8150" s="5" t="s">
        <v>51259</v>
      </c>
      <c r="F8150" s="5" t="s">
        <v>212</v>
      </c>
      <c r="G8150" s="5" t="s">
        <v>51260</v>
      </c>
      <c r="H8150" s="6" t="s">
        <v>51261</v>
      </c>
      <c r="K8150" s="5" t="s">
        <v>51246</v>
      </c>
      <c r="M8150" s="5" t="s">
        <v>51262</v>
      </c>
      <c r="N8150" s="7" t="s">
        <v>51263</v>
      </c>
      <c r="O8150" s="8" t="str">
        <f>HYPERLINK("https://drive.google.com/file/d/1_-ooSDR5DEDI5WxNuTrvPDdiTweMk4Kd/view?usp=drivesdk","8149_TATI SISWANTI _ SERTIFIKAT BerAKHLAK")</f>
        <v>8149_TATI SISWANTI _ SERTIFIKAT BerAKHLAK</v>
      </c>
      <c r="P8150" s="5" t="s">
        <v>49880</v>
      </c>
    </row>
    <row r="8151" hidden="1">
      <c r="A8151" s="4">
        <v>45534.395861620374</v>
      </c>
      <c r="B8151" s="5" t="s">
        <v>19</v>
      </c>
      <c r="C8151" s="5" t="s">
        <v>40230</v>
      </c>
      <c r="E8151" s="5" t="s">
        <v>51264</v>
      </c>
      <c r="F8151" s="5" t="s">
        <v>72</v>
      </c>
      <c r="G8151" s="5" t="s">
        <v>49887</v>
      </c>
      <c r="H8151" s="6" t="s">
        <v>51265</v>
      </c>
      <c r="K8151" s="5" t="s">
        <v>51246</v>
      </c>
      <c r="M8151" s="5" t="s">
        <v>51266</v>
      </c>
      <c r="N8151" s="7" t="s">
        <v>51267</v>
      </c>
      <c r="O8151" s="8" t="str">
        <f>HYPERLINK("https://drive.google.com/file/d/1O3X-9Xak_RnISZX_wi3ewrZRDTnWFZNx/view?usp=drivesdk","8150_LELLY EKAWATI,A.Md _ SERTIFIKAT BerAKHLAK")</f>
        <v>8150_LELLY EKAWATI,A.Md _ SERTIFIKAT BerAKHLAK</v>
      </c>
      <c r="P8151" s="5" t="s">
        <v>49880</v>
      </c>
    </row>
    <row r="8152">
      <c r="A8152" s="4">
        <v>45534.39587429399</v>
      </c>
      <c r="B8152" s="5" t="s">
        <v>34</v>
      </c>
      <c r="D8152" s="5" t="s">
        <v>11527</v>
      </c>
      <c r="E8152" s="5" t="s">
        <v>51268</v>
      </c>
      <c r="F8152" s="5" t="s">
        <v>212</v>
      </c>
      <c r="G8152" s="5" t="s">
        <v>51269</v>
      </c>
      <c r="H8152" s="6" t="s">
        <v>51270</v>
      </c>
      <c r="K8152" s="5" t="s">
        <v>51246</v>
      </c>
      <c r="M8152" s="5" t="s">
        <v>51271</v>
      </c>
      <c r="N8152" s="7" t="s">
        <v>51272</v>
      </c>
      <c r="O8152" s="8" t="str">
        <f>HYPERLINK("https://drive.google.com/file/d/1437PQlNDsYK59WuZNizWJ9InujSXYKfZ/view?usp=drivesdk","8151_HENRY JUSTIN WAURAN _ SERTIFIKAT BerAKHLAK")</f>
        <v>8151_HENRY JUSTIN WAURAN _ SERTIFIKAT BerAKHLAK</v>
      </c>
      <c r="P8152" s="5" t="s">
        <v>49880</v>
      </c>
    </row>
    <row r="8153">
      <c r="A8153" s="4">
        <v>45534.39588078704</v>
      </c>
      <c r="B8153" s="5" t="s">
        <v>34</v>
      </c>
      <c r="D8153" s="5" t="s">
        <v>580</v>
      </c>
      <c r="E8153" s="5" t="s">
        <v>51273</v>
      </c>
      <c r="F8153" s="5" t="s">
        <v>5566</v>
      </c>
      <c r="G8153" s="5" t="s">
        <v>51274</v>
      </c>
      <c r="H8153" s="6" t="s">
        <v>51275</v>
      </c>
      <c r="K8153" s="5" t="s">
        <v>51246</v>
      </c>
      <c r="M8153" s="5" t="s">
        <v>51276</v>
      </c>
      <c r="N8153" s="7" t="s">
        <v>51277</v>
      </c>
      <c r="O8153" s="8" t="str">
        <f>HYPERLINK("https://drive.google.com/file/d/1O1B8DaUCxH0NRuZxsx-MczaDxgiLRrqQ/view?usp=drivesdk","8152_KADEK ANGGA SATRIAWAN WIGUNA _ SERTIFIKAT BerAKHLAK")</f>
        <v>8152_KADEK ANGGA SATRIAWAN WIGUNA _ SERTIFIKAT BerAKHLAK</v>
      </c>
      <c r="P8153" s="5" t="s">
        <v>49880</v>
      </c>
    </row>
    <row r="8154">
      <c r="A8154" s="4">
        <v>45534.395923310185</v>
      </c>
      <c r="B8154" s="5" t="s">
        <v>34</v>
      </c>
      <c r="D8154" s="5" t="s">
        <v>1206</v>
      </c>
      <c r="E8154" s="5" t="s">
        <v>51278</v>
      </c>
      <c r="F8154" s="5" t="s">
        <v>37</v>
      </c>
      <c r="G8154" s="5" t="s">
        <v>51279</v>
      </c>
      <c r="H8154" s="6" t="s">
        <v>51280</v>
      </c>
      <c r="K8154" s="5" t="s">
        <v>51246</v>
      </c>
      <c r="M8154" s="5" t="s">
        <v>51281</v>
      </c>
      <c r="N8154" s="7" t="s">
        <v>51282</v>
      </c>
      <c r="O8154" s="8" t="str">
        <f>HYPERLINK("https://drive.google.com/file/d/1UMubi2XNrOs3ZgFDKimNVWGtqU_LPTS6/view?usp=drivesdk","8153_SUWANTO _ SERTIFIKAT BerAKHLAK")</f>
        <v>8153_SUWANTO _ SERTIFIKAT BerAKHLAK</v>
      </c>
      <c r="P8154" s="5" t="s">
        <v>50566</v>
      </c>
    </row>
    <row r="8155">
      <c r="A8155" s="4">
        <v>45534.39593329861</v>
      </c>
      <c r="B8155" s="5" t="s">
        <v>34</v>
      </c>
      <c r="D8155" s="5" t="s">
        <v>1558</v>
      </c>
      <c r="E8155" s="5" t="s">
        <v>51283</v>
      </c>
      <c r="F8155" s="5" t="s">
        <v>108</v>
      </c>
      <c r="G8155" s="5" t="s">
        <v>51284</v>
      </c>
      <c r="H8155" s="6" t="s">
        <v>51285</v>
      </c>
      <c r="K8155" s="5" t="s">
        <v>51246</v>
      </c>
      <c r="M8155" s="5" t="s">
        <v>51286</v>
      </c>
      <c r="N8155" s="7" t="s">
        <v>51287</v>
      </c>
      <c r="O8155" s="8" t="str">
        <f>HYPERLINK("https://drive.google.com/file/d/1Ll8TkxngslmrOfin8YyabJHTHkqVUpjc/view?usp=drivesdk","8154_FERONIKA SENEKE _ SERTIFIKAT BerAKHLAK")</f>
        <v>8154_FERONIKA SENEKE _ SERTIFIKAT BerAKHLAK</v>
      </c>
      <c r="P8155" s="5" t="s">
        <v>50566</v>
      </c>
    </row>
    <row r="8156">
      <c r="A8156" s="4">
        <v>45534.39596041667</v>
      </c>
      <c r="B8156" s="5" t="s">
        <v>34</v>
      </c>
      <c r="D8156" s="5" t="s">
        <v>15401</v>
      </c>
      <c r="E8156" s="5" t="s">
        <v>20070</v>
      </c>
      <c r="F8156" s="5" t="s">
        <v>715</v>
      </c>
      <c r="G8156" s="5" t="s">
        <v>51288</v>
      </c>
      <c r="H8156" s="6" t="s">
        <v>51289</v>
      </c>
      <c r="K8156" s="5" t="s">
        <v>51290</v>
      </c>
      <c r="M8156" s="5" t="s">
        <v>51291</v>
      </c>
      <c r="N8156" s="7" t="s">
        <v>51292</v>
      </c>
      <c r="O8156" s="8" t="str">
        <f>HYPERLINK("https://drive.google.com/file/d/1xvawWn3J-exMRAZJgDPA6uoTrmb1hE15/view?usp=drivesdk","8155_JOMES, SP _ SERTIFIKAT BerAKHLAK")</f>
        <v>8155_JOMES, SP _ SERTIFIKAT BerAKHLAK</v>
      </c>
      <c r="P8156" s="5" t="s">
        <v>50566</v>
      </c>
    </row>
    <row r="8157">
      <c r="A8157" s="4">
        <v>45534.39597211806</v>
      </c>
      <c r="B8157" s="5" t="s">
        <v>34</v>
      </c>
      <c r="D8157" s="5" t="s">
        <v>1558</v>
      </c>
      <c r="E8157" s="5" t="s">
        <v>51293</v>
      </c>
      <c r="F8157" s="5" t="s">
        <v>37</v>
      </c>
      <c r="G8157" s="5" t="s">
        <v>51294</v>
      </c>
      <c r="H8157" s="6" t="s">
        <v>51295</v>
      </c>
      <c r="K8157" s="5" t="s">
        <v>51290</v>
      </c>
      <c r="M8157" s="5" t="s">
        <v>51296</v>
      </c>
      <c r="N8157" s="7" t="s">
        <v>51297</v>
      </c>
      <c r="O8157" s="8" t="str">
        <f>HYPERLINK("https://drive.google.com/file/d/1UZWLynkaEnlgeffLSAEW0ZemRobHM0i1/view?usp=drivesdk","8156_RIA PIQRIA, SH _ SERTIFIKAT BerAKHLAK")</f>
        <v>8156_RIA PIQRIA, SH _ SERTIFIKAT BerAKHLAK</v>
      </c>
      <c r="P8157" s="5" t="s">
        <v>49674</v>
      </c>
    </row>
    <row r="8158">
      <c r="A8158" s="4">
        <v>45534.396039328705</v>
      </c>
      <c r="B8158" s="5" t="s">
        <v>34</v>
      </c>
      <c r="D8158" s="5" t="s">
        <v>1558</v>
      </c>
      <c r="E8158" s="5" t="s">
        <v>51298</v>
      </c>
      <c r="F8158" s="5" t="s">
        <v>37</v>
      </c>
      <c r="G8158" s="5" t="s">
        <v>51299</v>
      </c>
      <c r="H8158" s="6" t="s">
        <v>51300</v>
      </c>
      <c r="K8158" s="5" t="s">
        <v>51290</v>
      </c>
      <c r="M8158" s="5" t="s">
        <v>51301</v>
      </c>
      <c r="N8158" s="7" t="s">
        <v>51302</v>
      </c>
      <c r="O8158" s="8" t="str">
        <f>HYPERLINK("https://drive.google.com/file/d/1PIOZmhs8E7Ejhg6tjgp3tLuKy2sBt9ob/view?usp=drivesdk","8157_WIDURININGSIH _ SERTIFIKAT BerAKHLAK")</f>
        <v>8157_WIDURININGSIH _ SERTIFIKAT BerAKHLAK</v>
      </c>
      <c r="P8158" s="5" t="s">
        <v>49674</v>
      </c>
    </row>
    <row r="8159">
      <c r="A8159" s="4">
        <v>45534.396074131946</v>
      </c>
      <c r="B8159" s="5" t="s">
        <v>34</v>
      </c>
      <c r="D8159" s="5" t="s">
        <v>10444</v>
      </c>
      <c r="E8159" s="5" t="s">
        <v>51303</v>
      </c>
      <c r="F8159" s="5" t="s">
        <v>108</v>
      </c>
      <c r="G8159" s="5" t="s">
        <v>51304</v>
      </c>
      <c r="H8159" s="6" t="s">
        <v>51305</v>
      </c>
      <c r="K8159" s="5" t="s">
        <v>51290</v>
      </c>
      <c r="M8159" s="5" t="s">
        <v>51306</v>
      </c>
      <c r="N8159" s="7" t="s">
        <v>51307</v>
      </c>
      <c r="O8159" s="8" t="str">
        <f>HYPERLINK("https://drive.google.com/file/d/1X167lXRuM2lrOsu9y0Ndkgv2LZs6ojoM/view?usp=drivesdk","8158_SADIAH _ SERTIFIKAT BerAKHLAK")</f>
        <v>8158_SADIAH _ SERTIFIKAT BerAKHLAK</v>
      </c>
      <c r="P8159" s="5" t="s">
        <v>49674</v>
      </c>
    </row>
    <row r="8160">
      <c r="A8160" s="4">
        <v>45534.396078715276</v>
      </c>
      <c r="B8160" s="5" t="s">
        <v>34</v>
      </c>
      <c r="D8160" s="5" t="s">
        <v>14313</v>
      </c>
      <c r="E8160" s="5" t="s">
        <v>51308</v>
      </c>
      <c r="F8160" s="5" t="s">
        <v>524</v>
      </c>
      <c r="G8160" s="5" t="s">
        <v>51309</v>
      </c>
      <c r="H8160" s="6" t="s">
        <v>51310</v>
      </c>
      <c r="K8160" s="5" t="s">
        <v>51290</v>
      </c>
      <c r="M8160" s="5" t="s">
        <v>51311</v>
      </c>
      <c r="N8160" s="7" t="s">
        <v>51312</v>
      </c>
      <c r="O8160" s="8" t="str">
        <f>HYPERLINK("https://drive.google.com/file/d/1oTvdceDIcrs8hGdcyzt3V9Q3VdJ0qdL7/view?usp=drivesdk","8159_SURYA FITRIANI, SH _ SERTIFIKAT BerAKHLAK")</f>
        <v>8159_SURYA FITRIANI, SH _ SERTIFIKAT BerAKHLAK</v>
      </c>
      <c r="P8160" s="5" t="s">
        <v>49700</v>
      </c>
    </row>
    <row r="8161">
      <c r="A8161" s="4">
        <v>45534.39608548611</v>
      </c>
      <c r="B8161" s="5" t="s">
        <v>34</v>
      </c>
      <c r="D8161" s="5" t="s">
        <v>12978</v>
      </c>
      <c r="E8161" s="5" t="s">
        <v>51313</v>
      </c>
      <c r="F8161" s="5" t="s">
        <v>212</v>
      </c>
      <c r="G8161" s="5" t="s">
        <v>51314</v>
      </c>
      <c r="H8161" s="6" t="s">
        <v>51315</v>
      </c>
      <c r="K8161" s="5" t="s">
        <v>51290</v>
      </c>
      <c r="M8161" s="5" t="s">
        <v>51316</v>
      </c>
      <c r="N8161" s="7" t="s">
        <v>51317</v>
      </c>
      <c r="O8161" s="8" t="str">
        <f>HYPERLINK("https://drive.google.com/file/d/1ipET-drova9cxnqd8BEGC2CKvzatIfi5/view?usp=drivesdk","8160_HALIMAH _ SERTIFIKAT BerAKHLAK")</f>
        <v>8160_HALIMAH _ SERTIFIKAT BerAKHLAK</v>
      </c>
      <c r="P8161" s="5" t="s">
        <v>49700</v>
      </c>
    </row>
    <row r="8162">
      <c r="A8162" s="4">
        <v>45534.39612608796</v>
      </c>
      <c r="B8162" s="5" t="s">
        <v>34</v>
      </c>
      <c r="D8162" s="5" t="s">
        <v>1206</v>
      </c>
      <c r="E8162" s="5" t="s">
        <v>51318</v>
      </c>
      <c r="F8162" s="5" t="s">
        <v>524</v>
      </c>
      <c r="G8162" s="5" t="s">
        <v>51319</v>
      </c>
      <c r="H8162" s="6" t="s">
        <v>51320</v>
      </c>
      <c r="K8162" s="5" t="s">
        <v>51290</v>
      </c>
      <c r="M8162" s="5" t="s">
        <v>51321</v>
      </c>
      <c r="N8162" s="7" t="s">
        <v>51322</v>
      </c>
      <c r="O8162" s="8" t="str">
        <f>HYPERLINK("https://drive.google.com/file/d/1VzjAXxKtl7rgIrZY5IvQJ939-FmXnUwq/view?usp=drivesdk","8161_ENIK SUSANTI,S.Kep.,Ns _ SERTIFIKAT BerAKHLAK")</f>
        <v>8161_ENIK SUSANTI,S.Kep.,Ns _ SERTIFIKAT BerAKHLAK</v>
      </c>
      <c r="P8162" s="5" t="s">
        <v>49700</v>
      </c>
    </row>
    <row r="8163">
      <c r="A8163" s="4">
        <v>45534.39612605324</v>
      </c>
      <c r="B8163" s="5" t="s">
        <v>34</v>
      </c>
      <c r="D8163" s="5" t="s">
        <v>35</v>
      </c>
      <c r="E8163" s="5" t="s">
        <v>23074</v>
      </c>
      <c r="F8163" s="5" t="s">
        <v>37</v>
      </c>
      <c r="G8163" s="5" t="s">
        <v>23075</v>
      </c>
      <c r="H8163" s="6" t="s">
        <v>51323</v>
      </c>
      <c r="K8163" s="5" t="s">
        <v>51290</v>
      </c>
      <c r="M8163" s="5" t="s">
        <v>51324</v>
      </c>
      <c r="N8163" s="7" t="s">
        <v>51325</v>
      </c>
      <c r="O8163" s="8" t="str">
        <f>HYPERLINK("https://drive.google.com/file/d/1Fb-l312FoirI-pXIqGOMzw_OROEqWkjc/view?usp=drivesdk","8162_AEP SAIPURACHMAT _ SERTIFIKAT BerAKHLAK")</f>
        <v>8162_AEP SAIPURACHMAT _ SERTIFIKAT BerAKHLAK</v>
      </c>
      <c r="P8163" s="5" t="s">
        <v>49700</v>
      </c>
    </row>
    <row r="8164">
      <c r="A8164" s="4">
        <v>45534.396136296295</v>
      </c>
      <c r="B8164" s="5" t="s">
        <v>34</v>
      </c>
      <c r="D8164" s="5" t="s">
        <v>9020</v>
      </c>
      <c r="E8164" s="5" t="s">
        <v>51326</v>
      </c>
      <c r="F8164" s="5" t="s">
        <v>524</v>
      </c>
      <c r="G8164" s="5" t="s">
        <v>51327</v>
      </c>
      <c r="H8164" s="6" t="s">
        <v>51328</v>
      </c>
      <c r="K8164" s="5" t="s">
        <v>51290</v>
      </c>
      <c r="M8164" s="5" t="s">
        <v>51329</v>
      </c>
      <c r="N8164" s="7" t="s">
        <v>51330</v>
      </c>
      <c r="O8164" s="8" t="str">
        <f>HYPERLINK("https://drive.google.com/file/d/1gnpdDo0jpaxjEDgIzueEXqqeCvZVBR7o/view?usp=drivesdk","8163_DEWI ARIANY, SH _ SERTIFIKAT BerAKHLAK")</f>
        <v>8163_DEWI ARIANY, SH _ SERTIFIKAT BerAKHLAK</v>
      </c>
      <c r="P8164" s="5" t="s">
        <v>49700</v>
      </c>
    </row>
    <row r="8165">
      <c r="A8165" s="4">
        <v>45534.39620392361</v>
      </c>
      <c r="B8165" s="5" t="s">
        <v>34</v>
      </c>
      <c r="D8165" s="5" t="s">
        <v>1558</v>
      </c>
      <c r="E8165" s="5" t="s">
        <v>51331</v>
      </c>
      <c r="F8165" s="5" t="s">
        <v>37</v>
      </c>
      <c r="G8165" s="5" t="s">
        <v>51332</v>
      </c>
      <c r="H8165" s="6" t="s">
        <v>51333</v>
      </c>
      <c r="K8165" s="5" t="s">
        <v>51334</v>
      </c>
      <c r="M8165" s="5" t="s">
        <v>51335</v>
      </c>
      <c r="N8165" s="7" t="s">
        <v>51336</v>
      </c>
      <c r="O8165" s="8" t="str">
        <f>HYPERLINK("https://drive.google.com/file/d/1hanVvQutenjZc7hdNSra3-n3h-8rbynr/view?usp=drivesdk","8164_ASTANTRI SEPTIANI, A.Md  _ SERTIFIKAT BerAKHLAK")</f>
        <v>8164_ASTANTRI SEPTIANI, A.Md  _ SERTIFIKAT BerAKHLAK</v>
      </c>
      <c r="P8165" s="5" t="s">
        <v>49722</v>
      </c>
    </row>
    <row r="8166">
      <c r="A8166" s="4">
        <v>45534.39621769676</v>
      </c>
      <c r="B8166" s="5" t="s">
        <v>34</v>
      </c>
      <c r="D8166" s="5" t="s">
        <v>4775</v>
      </c>
      <c r="E8166" s="5" t="s">
        <v>51337</v>
      </c>
      <c r="F8166" s="5" t="s">
        <v>375</v>
      </c>
      <c r="G8166" s="5" t="s">
        <v>51338</v>
      </c>
      <c r="H8166" s="6" t="s">
        <v>51339</v>
      </c>
      <c r="K8166" s="5" t="s">
        <v>51340</v>
      </c>
      <c r="M8166" s="5" t="s">
        <v>51341</v>
      </c>
      <c r="N8166" s="7" t="s">
        <v>51342</v>
      </c>
      <c r="O8166" s="8" t="str">
        <f>HYPERLINK("https://drive.google.com/file/d/1wsfiFEW4hXsrgcfEW--OZR2B9siX6Ad1/view?usp=drivesdk","8165_ENI ASTUTI _ SERTIFIKAT BerAKHLAK")</f>
        <v>8165_ENI ASTUTI _ SERTIFIKAT BerAKHLAK</v>
      </c>
      <c r="P8166" s="5" t="s">
        <v>49722</v>
      </c>
    </row>
    <row r="8167">
      <c r="A8167" s="4">
        <v>45534.39622351852</v>
      </c>
      <c r="B8167" s="5" t="s">
        <v>34</v>
      </c>
      <c r="D8167" s="5" t="s">
        <v>1558</v>
      </c>
      <c r="E8167" s="5" t="s">
        <v>51343</v>
      </c>
      <c r="F8167" s="5" t="s">
        <v>37</v>
      </c>
      <c r="G8167" s="5" t="s">
        <v>51344</v>
      </c>
      <c r="H8167" s="6" t="s">
        <v>51345</v>
      </c>
      <c r="K8167" s="5" t="s">
        <v>51340</v>
      </c>
      <c r="M8167" s="5" t="s">
        <v>51346</v>
      </c>
      <c r="N8167" s="7" t="s">
        <v>51347</v>
      </c>
      <c r="O8167" s="8" t="str">
        <f>HYPERLINK("https://drive.google.com/file/d/1P-o1OQDtOKoDO6C33tEc7YZ1aMyt6b2o/view?usp=drivesdk","8166_DEWI NOVIASARI _ SERTIFIKAT BerAKHLAK")</f>
        <v>8166_DEWI NOVIASARI _ SERTIFIKAT BerAKHLAK</v>
      </c>
      <c r="P8167" s="5" t="s">
        <v>49722</v>
      </c>
    </row>
    <row r="8168">
      <c r="A8168" s="4">
        <v>45534.39623402778</v>
      </c>
      <c r="B8168" s="5" t="s">
        <v>34</v>
      </c>
      <c r="D8168" s="5" t="s">
        <v>4775</v>
      </c>
      <c r="E8168" s="5" t="s">
        <v>51348</v>
      </c>
      <c r="F8168" s="5" t="s">
        <v>375</v>
      </c>
      <c r="G8168" s="5" t="s">
        <v>51349</v>
      </c>
      <c r="H8168" s="6" t="s">
        <v>51350</v>
      </c>
      <c r="K8168" s="5" t="s">
        <v>51340</v>
      </c>
      <c r="M8168" s="5" t="s">
        <v>51351</v>
      </c>
      <c r="N8168" s="7" t="s">
        <v>51352</v>
      </c>
      <c r="O8168" s="8" t="str">
        <f>HYPERLINK("https://drive.google.com/file/d/1kSj-puUakyd-0cXZqyXyFjglh_QTo71q/view?usp=drivesdk","8167_ADI SETYOWATI _ SERTIFIKAT BerAKHLAK")</f>
        <v>8167_ADI SETYOWATI _ SERTIFIKAT BerAKHLAK</v>
      </c>
      <c r="P8168" s="5" t="s">
        <v>49754</v>
      </c>
    </row>
    <row r="8169" hidden="1">
      <c r="A8169" s="4">
        <v>45534.396262939816</v>
      </c>
      <c r="B8169" s="5" t="s">
        <v>19</v>
      </c>
      <c r="C8169" s="5" t="s">
        <v>14000</v>
      </c>
      <c r="E8169" s="5" t="s">
        <v>51353</v>
      </c>
      <c r="F8169" s="5" t="s">
        <v>328</v>
      </c>
      <c r="G8169" s="5" t="s">
        <v>51354</v>
      </c>
      <c r="H8169" s="6" t="s">
        <v>51355</v>
      </c>
      <c r="K8169" s="5" t="s">
        <v>51340</v>
      </c>
      <c r="M8169" s="5" t="s">
        <v>51356</v>
      </c>
      <c r="N8169" s="7" t="s">
        <v>51357</v>
      </c>
      <c r="O8169" s="8" t="str">
        <f>HYPERLINK("https://drive.google.com/file/d/1DlqR4pn6exhPIZTj-Gd_tU_q3rlJgCHf/view?usp=drivesdk","8168_YAYUK SRI UTAMI _ SERTIFIKAT BerAKHLAK")</f>
        <v>8168_YAYUK SRI UTAMI _ SERTIFIKAT BerAKHLAK</v>
      </c>
      <c r="P8169" s="5" t="s">
        <v>49754</v>
      </c>
    </row>
    <row r="8170">
      <c r="A8170" s="4">
        <v>45534.39626934028</v>
      </c>
      <c r="B8170" s="5" t="s">
        <v>34</v>
      </c>
      <c r="D8170" s="5" t="s">
        <v>15401</v>
      </c>
      <c r="E8170" s="5" t="s">
        <v>51358</v>
      </c>
      <c r="F8170" s="5" t="s">
        <v>375</v>
      </c>
      <c r="G8170" s="5" t="s">
        <v>51359</v>
      </c>
      <c r="H8170" s="6" t="s">
        <v>51360</v>
      </c>
      <c r="K8170" s="5" t="s">
        <v>51340</v>
      </c>
      <c r="M8170" s="5" t="s">
        <v>51361</v>
      </c>
      <c r="N8170" s="7" t="s">
        <v>51362</v>
      </c>
      <c r="O8170" s="8" t="str">
        <f>HYPERLINK("https://drive.google.com/file/d/1l1bqbwVMtZsfVKL4Cu0syC6iZ7qnnYWw/view?usp=drivesdk","8169_SUYATMAN,S.Sos _ SERTIFIKAT BerAKHLAK")</f>
        <v>8169_SUYATMAN,S.Sos _ SERTIFIKAT BerAKHLAK</v>
      </c>
      <c r="P8170" s="5" t="s">
        <v>49754</v>
      </c>
    </row>
    <row r="8171">
      <c r="A8171" s="4">
        <v>45534.3962784375</v>
      </c>
      <c r="B8171" s="5" t="s">
        <v>34</v>
      </c>
      <c r="D8171" s="5" t="s">
        <v>996</v>
      </c>
      <c r="E8171" s="5" t="s">
        <v>51363</v>
      </c>
      <c r="F8171" s="5" t="s">
        <v>120</v>
      </c>
      <c r="G8171" s="5" t="s">
        <v>51364</v>
      </c>
      <c r="H8171" s="6" t="s">
        <v>51365</v>
      </c>
      <c r="K8171" s="5" t="s">
        <v>51340</v>
      </c>
      <c r="M8171" s="5" t="s">
        <v>51366</v>
      </c>
      <c r="N8171" s="7" t="s">
        <v>51367</v>
      </c>
      <c r="O8171" s="8" t="str">
        <f>HYPERLINK("https://drive.google.com/file/d/15Zhm6FPehLgB1MfFaU9Qrgiy5-j7xLv9/view?usp=drivesdk","8170_HASNILAWATI K _ SERTIFIKAT BerAKHLAK")</f>
        <v>8170_HASNILAWATI K _ SERTIFIKAT BerAKHLAK</v>
      </c>
      <c r="P8171" s="5" t="s">
        <v>49776</v>
      </c>
    </row>
    <row r="8172">
      <c r="A8172" s="4">
        <v>45534.396291550926</v>
      </c>
      <c r="B8172" s="5" t="s">
        <v>34</v>
      </c>
      <c r="D8172" s="5" t="s">
        <v>6232</v>
      </c>
      <c r="E8172" s="5" t="s">
        <v>51368</v>
      </c>
      <c r="F8172" s="5" t="s">
        <v>108</v>
      </c>
      <c r="G8172" s="5" t="s">
        <v>51369</v>
      </c>
      <c r="H8172" s="6" t="s">
        <v>51370</v>
      </c>
      <c r="K8172" s="5" t="s">
        <v>51340</v>
      </c>
      <c r="M8172" s="5" t="s">
        <v>51371</v>
      </c>
      <c r="N8172" s="7" t="s">
        <v>51372</v>
      </c>
      <c r="O8172" s="8" t="str">
        <f>HYPERLINK("https://drive.google.com/file/d/1otKvkITh65NBK_VVo0kCkVo9ZZYcMkxW/view?usp=drivesdk","8171_Ns. MILA DESRIANI R, S.Kep _ SERTIFIKAT BerAKHLAK")</f>
        <v>8171_Ns. MILA DESRIANI R, S.Kep _ SERTIFIKAT BerAKHLAK</v>
      </c>
      <c r="P8172" s="5" t="s">
        <v>49776</v>
      </c>
    </row>
    <row r="8173">
      <c r="A8173" s="4">
        <v>45534.39632179398</v>
      </c>
      <c r="B8173" s="5" t="s">
        <v>34</v>
      </c>
      <c r="D8173" s="5" t="s">
        <v>701</v>
      </c>
      <c r="E8173" s="5" t="s">
        <v>51373</v>
      </c>
      <c r="F8173" s="5" t="s">
        <v>375</v>
      </c>
      <c r="G8173" s="5" t="s">
        <v>51374</v>
      </c>
      <c r="H8173" s="6" t="s">
        <v>51375</v>
      </c>
      <c r="K8173" s="5" t="s">
        <v>51340</v>
      </c>
      <c r="M8173" s="5" t="s">
        <v>51376</v>
      </c>
      <c r="N8173" s="7" t="s">
        <v>51377</v>
      </c>
      <c r="O8173" s="8" t="str">
        <f>HYPERLINK("https://drive.google.com/file/d/1ZLtZBvRlJ2R_w0FrJZKEA5Syi1G8AATX/view?usp=drivesdk","8172_Ns.MARIATI.SKEP _ SERTIFIKAT BerAKHLAK")</f>
        <v>8172_Ns.MARIATI.SKEP _ SERTIFIKAT BerAKHLAK</v>
      </c>
      <c r="P8173" s="5" t="s">
        <v>49776</v>
      </c>
    </row>
    <row r="8174">
      <c r="A8174" s="4">
        <v>45534.3963406713</v>
      </c>
      <c r="B8174" s="5" t="s">
        <v>34</v>
      </c>
      <c r="D8174" s="5" t="s">
        <v>1456</v>
      </c>
      <c r="E8174" s="5" t="s">
        <v>51378</v>
      </c>
      <c r="F8174" s="5" t="s">
        <v>37</v>
      </c>
      <c r="G8174" s="5" t="s">
        <v>51379</v>
      </c>
      <c r="H8174" s="6" t="s">
        <v>51380</v>
      </c>
      <c r="K8174" s="5" t="s">
        <v>51340</v>
      </c>
      <c r="M8174" s="5" t="s">
        <v>51381</v>
      </c>
      <c r="N8174" s="7" t="s">
        <v>51382</v>
      </c>
      <c r="O8174" s="8" t="str">
        <f>HYPERLINK("https://drive.google.com/file/d/1BXJyOAHhTF6xFy2XqXrn1Moy5SG-dUi5/view?usp=drivesdk","8173_YOHENDRA HELMI _ SERTIFIKAT BerAKHLAK")</f>
        <v>8173_YOHENDRA HELMI _ SERTIFIKAT BerAKHLAK</v>
      </c>
      <c r="P8174" s="5" t="s">
        <v>49776</v>
      </c>
    </row>
    <row r="8175">
      <c r="A8175" s="4">
        <v>45534.39637806713</v>
      </c>
      <c r="B8175" s="5" t="s">
        <v>34</v>
      </c>
      <c r="D8175" s="5" t="s">
        <v>580</v>
      </c>
      <c r="E8175" s="5" t="s">
        <v>51383</v>
      </c>
      <c r="F8175" s="5" t="s">
        <v>212</v>
      </c>
      <c r="G8175" s="5" t="s">
        <v>51384</v>
      </c>
      <c r="H8175" s="6" t="s">
        <v>51385</v>
      </c>
      <c r="K8175" s="5" t="s">
        <v>51340</v>
      </c>
      <c r="M8175" s="5" t="s">
        <v>51386</v>
      </c>
      <c r="N8175" s="7" t="s">
        <v>51387</v>
      </c>
      <c r="O8175" s="8" t="str">
        <f>HYPERLINK("https://drive.google.com/file/d/1oowLNfUCPdrJIYsBmRL2Nh5MY7k_vGZX/view?usp=drivesdk","8174_I WAYAN MUDIASA _ SERTIFIKAT BerAKHLAK")</f>
        <v>8174_I WAYAN MUDIASA _ SERTIFIKAT BerAKHLAK</v>
      </c>
      <c r="P8175" s="5" t="s">
        <v>50331</v>
      </c>
    </row>
    <row r="8176">
      <c r="A8176" s="4">
        <v>45534.396403252314</v>
      </c>
      <c r="B8176" s="5" t="s">
        <v>34</v>
      </c>
      <c r="D8176" s="5" t="s">
        <v>996</v>
      </c>
      <c r="E8176" s="5" t="s">
        <v>51388</v>
      </c>
      <c r="F8176" s="5" t="s">
        <v>212</v>
      </c>
      <c r="G8176" s="5" t="s">
        <v>51389</v>
      </c>
      <c r="H8176" s="6" t="s">
        <v>51390</v>
      </c>
      <c r="K8176" s="5" t="s">
        <v>51340</v>
      </c>
      <c r="M8176" s="5" t="s">
        <v>51391</v>
      </c>
      <c r="N8176" s="7" t="s">
        <v>51392</v>
      </c>
      <c r="O8176" s="8" t="str">
        <f>HYPERLINK("https://drive.google.com/file/d/1SSwFaKaX-C9xqmXRmdnfU7vFQigO99HI/view?usp=drivesdk","8175_ARBI MARNISA _ SERTIFIKAT BerAKHLAK")</f>
        <v>8175_ARBI MARNISA _ SERTIFIKAT BerAKHLAK</v>
      </c>
      <c r="P8176" s="5" t="s">
        <v>51393</v>
      </c>
    </row>
    <row r="8177">
      <c r="A8177" s="4">
        <v>45534.39641564815</v>
      </c>
      <c r="B8177" s="5" t="s">
        <v>34</v>
      </c>
      <c r="D8177" s="5" t="s">
        <v>1456</v>
      </c>
      <c r="E8177" s="5" t="s">
        <v>17165</v>
      </c>
      <c r="F8177" s="5" t="s">
        <v>212</v>
      </c>
      <c r="G8177" s="5" t="s">
        <v>51394</v>
      </c>
      <c r="H8177" s="6" t="s">
        <v>51395</v>
      </c>
      <c r="K8177" s="5" t="s">
        <v>51340</v>
      </c>
      <c r="M8177" s="5" t="s">
        <v>51396</v>
      </c>
      <c r="N8177" s="7" t="s">
        <v>51397</v>
      </c>
      <c r="O8177" s="8" t="str">
        <f>HYPERLINK("https://drive.google.com/file/d/11qz62NlXisBWz-L505spCgNUKbL7_TaC/view?usp=drivesdk","8176_RIDWAN _ SERTIFIKAT BerAKHLAK")</f>
        <v>8176_RIDWAN _ SERTIFIKAT BerAKHLAK</v>
      </c>
      <c r="P8177" s="5" t="s">
        <v>51393</v>
      </c>
    </row>
    <row r="8178">
      <c r="A8178" s="4">
        <v>45534.39642572917</v>
      </c>
      <c r="B8178" s="5" t="s">
        <v>34</v>
      </c>
      <c r="D8178" s="5" t="s">
        <v>1206</v>
      </c>
      <c r="E8178" s="5" t="s">
        <v>51398</v>
      </c>
      <c r="F8178" s="5" t="s">
        <v>212</v>
      </c>
      <c r="G8178" s="5" t="s">
        <v>51399</v>
      </c>
      <c r="H8178" s="6" t="s">
        <v>51400</v>
      </c>
      <c r="K8178" s="5" t="s">
        <v>51340</v>
      </c>
      <c r="M8178" s="5" t="s">
        <v>51401</v>
      </c>
      <c r="N8178" s="7" t="s">
        <v>51402</v>
      </c>
      <c r="O8178" s="8" t="str">
        <f>HYPERLINK("https://drive.google.com/file/d/1EzWt8_w71Ty0AgW1ZPc_REoqFbkcTKXw/view?usp=drivesdk","8177_SALIMUN _ SERTIFIKAT BerAKHLAK")</f>
        <v>8177_SALIMUN _ SERTIFIKAT BerAKHLAK</v>
      </c>
      <c r="P8178" s="5" t="s">
        <v>51393</v>
      </c>
    </row>
    <row r="8179" hidden="1">
      <c r="A8179" s="4">
        <v>45534.396429768516</v>
      </c>
      <c r="B8179" s="5" t="s">
        <v>19</v>
      </c>
      <c r="C8179" s="5" t="s">
        <v>292</v>
      </c>
      <c r="E8179" s="5" t="s">
        <v>51403</v>
      </c>
      <c r="F8179" s="5" t="s">
        <v>375</v>
      </c>
      <c r="G8179" s="5" t="s">
        <v>51404</v>
      </c>
      <c r="H8179" s="6" t="s">
        <v>51405</v>
      </c>
      <c r="K8179" s="5" t="s">
        <v>51340</v>
      </c>
      <c r="M8179" s="5" t="s">
        <v>51406</v>
      </c>
      <c r="N8179" s="7" t="s">
        <v>51407</v>
      </c>
      <c r="O8179" s="8" t="str">
        <f>HYPERLINK("https://drive.google.com/file/d/11pLeR1Jl4Cv5IE0tFRR9dpQbUcVof_Py/view?usp=drivesdk","8178_YESSY HAEMAWATI, S.Kom. _ SERTIFIKAT BerAKHLAK")</f>
        <v>8178_YESSY HAEMAWATI, S.Kom. _ SERTIFIKAT BerAKHLAK</v>
      </c>
      <c r="P8179" s="5" t="s">
        <v>51393</v>
      </c>
    </row>
    <row r="8180">
      <c r="A8180" s="4">
        <v>45534.39646773148</v>
      </c>
      <c r="B8180" s="5" t="s">
        <v>34</v>
      </c>
      <c r="D8180" s="5" t="s">
        <v>4775</v>
      </c>
      <c r="E8180" s="5" t="s">
        <v>51408</v>
      </c>
      <c r="F8180" s="5" t="s">
        <v>212</v>
      </c>
      <c r="G8180" s="5" t="s">
        <v>51409</v>
      </c>
      <c r="H8180" s="6" t="s">
        <v>51410</v>
      </c>
      <c r="K8180" s="5" t="s">
        <v>51340</v>
      </c>
      <c r="M8180" s="5" t="s">
        <v>51411</v>
      </c>
      <c r="N8180" s="7" t="s">
        <v>51412</v>
      </c>
      <c r="O8180" s="8" t="str">
        <f>HYPERLINK("https://drive.google.com/file/d/1fkP8YPJcsUUH9gxS9By1G1RFF7Aacngc/view?usp=drivesdk","8179_SRI ISNAENI PANCA SETIARINI _ SERTIFIKAT BerAKHLAK")</f>
        <v>8179_SRI ISNAENI PANCA SETIARINI _ SERTIFIKAT BerAKHLAK</v>
      </c>
      <c r="P8180" s="5" t="s">
        <v>51393</v>
      </c>
    </row>
    <row r="8181">
      <c r="A8181" s="4">
        <v>45534.39647259259</v>
      </c>
      <c r="B8181" s="5" t="s">
        <v>34</v>
      </c>
      <c r="D8181" s="5" t="s">
        <v>10444</v>
      </c>
      <c r="E8181" s="5" t="s">
        <v>51413</v>
      </c>
      <c r="F8181" s="5" t="s">
        <v>375</v>
      </c>
      <c r="G8181" s="5" t="s">
        <v>51414</v>
      </c>
      <c r="H8181" s="6" t="s">
        <v>51415</v>
      </c>
      <c r="K8181" s="5" t="s">
        <v>51340</v>
      </c>
      <c r="M8181" s="5" t="s">
        <v>51416</v>
      </c>
      <c r="N8181" s="7" t="s">
        <v>51417</v>
      </c>
      <c r="O8181" s="8" t="str">
        <f>HYPERLINK("https://drive.google.com/file/d/1hSJOQMWCq-FualCs85NWbQBQTP3AM9mv/view?usp=drivesdk","8180_SISKA FEBRIANTY, S.E. _ SERTIFIKAT BerAKHLAK")</f>
        <v>8180_SISKA FEBRIANTY, S.E. _ SERTIFIKAT BerAKHLAK</v>
      </c>
      <c r="P8181" s="5" t="s">
        <v>51418</v>
      </c>
    </row>
    <row r="8182">
      <c r="A8182" s="4">
        <v>45534.39653324074</v>
      </c>
      <c r="B8182" s="5" t="s">
        <v>34</v>
      </c>
      <c r="D8182" s="5" t="s">
        <v>9394</v>
      </c>
      <c r="E8182" s="5" t="s">
        <v>51419</v>
      </c>
      <c r="F8182" s="5" t="s">
        <v>37</v>
      </c>
      <c r="G8182" s="5" t="s">
        <v>51420</v>
      </c>
      <c r="H8182" s="6" t="s">
        <v>51421</v>
      </c>
      <c r="K8182" s="5" t="s">
        <v>51422</v>
      </c>
      <c r="M8182" s="5" t="s">
        <v>51423</v>
      </c>
      <c r="N8182" s="7" t="s">
        <v>51424</v>
      </c>
      <c r="O8182" s="8" t="str">
        <f>HYPERLINK("https://drive.google.com/file/d/1H9mFZSE8Q4BcuRoZHkakumVIWBGXtmof/view?usp=drivesdk","8181_SARI ROMAITO SEPTIANI LUMBANTOBING _ SERTIFIKAT BerAKHLAK")</f>
        <v>8181_SARI ROMAITO SEPTIANI LUMBANTOBING _ SERTIFIKAT BerAKHLAK</v>
      </c>
      <c r="P8182" s="5" t="s">
        <v>51418</v>
      </c>
    </row>
    <row r="8183">
      <c r="A8183" s="4">
        <v>45534.39657758102</v>
      </c>
      <c r="B8183" s="5" t="s">
        <v>34</v>
      </c>
      <c r="D8183" s="5" t="s">
        <v>1206</v>
      </c>
      <c r="E8183" s="5" t="s">
        <v>51425</v>
      </c>
      <c r="F8183" s="5" t="s">
        <v>524</v>
      </c>
      <c r="G8183" s="5" t="s">
        <v>51426</v>
      </c>
      <c r="H8183" s="6" t="s">
        <v>51427</v>
      </c>
      <c r="K8183" s="5" t="s">
        <v>51422</v>
      </c>
      <c r="M8183" s="5" t="s">
        <v>51428</v>
      </c>
      <c r="N8183" s="7" t="s">
        <v>51429</v>
      </c>
      <c r="O8183" s="8" t="str">
        <f>HYPERLINK("https://drive.google.com/file/d/1CptBPpf_XsN9Y9Qoz8ZrRpxla_LqFv6K/view?usp=drivesdk","8182_FITA ENDAH PRIHATIN _ SERTIFIKAT BerAKHLAK")</f>
        <v>8182_FITA ENDAH PRIHATIN _ SERTIFIKAT BerAKHLAK</v>
      </c>
      <c r="P8183" s="5" t="s">
        <v>51418</v>
      </c>
    </row>
    <row r="8184">
      <c r="A8184" s="4">
        <v>45534.39658868055</v>
      </c>
      <c r="B8184" s="5" t="s">
        <v>34</v>
      </c>
      <c r="D8184" s="5" t="s">
        <v>1206</v>
      </c>
      <c r="E8184" s="5" t="s">
        <v>51430</v>
      </c>
      <c r="F8184" s="5" t="s">
        <v>212</v>
      </c>
      <c r="G8184" s="5" t="s">
        <v>51431</v>
      </c>
      <c r="H8184" s="6" t="s">
        <v>51432</v>
      </c>
      <c r="K8184" s="5" t="s">
        <v>51422</v>
      </c>
      <c r="M8184" s="5" t="s">
        <v>51433</v>
      </c>
      <c r="N8184" s="7" t="s">
        <v>51434</v>
      </c>
      <c r="O8184" s="8" t="str">
        <f>HYPERLINK("https://drive.google.com/file/d/1k74j-7Ehy9xzKkXqkI7-Rv5eboR7Jc0N/view?usp=drivesdk","8183_DEDY YULI SETIONO _ SERTIFIKAT BerAKHLAK")</f>
        <v>8183_DEDY YULI SETIONO _ SERTIFIKAT BerAKHLAK</v>
      </c>
      <c r="P8184" s="5" t="s">
        <v>51418</v>
      </c>
    </row>
    <row r="8185">
      <c r="A8185" s="4">
        <v>45534.39660788194</v>
      </c>
      <c r="B8185" s="5" t="s">
        <v>34</v>
      </c>
      <c r="D8185" s="5" t="s">
        <v>1456</v>
      </c>
      <c r="E8185" s="5" t="s">
        <v>51435</v>
      </c>
      <c r="F8185" s="5" t="s">
        <v>120</v>
      </c>
      <c r="G8185" s="5" t="s">
        <v>51436</v>
      </c>
      <c r="H8185" s="6" t="s">
        <v>51437</v>
      </c>
      <c r="K8185" s="5" t="s">
        <v>51422</v>
      </c>
      <c r="M8185" s="5" t="s">
        <v>51438</v>
      </c>
      <c r="N8185" s="7" t="s">
        <v>51439</v>
      </c>
      <c r="O8185" s="8" t="str">
        <f>HYPERLINK("https://drive.google.com/file/d/1U5O6vdFwVnhIz-3LT1wsVnoAfJWEpVso/view?usp=drivesdk","8184_DEWAN RONIYUS PUTRA  _ SERTIFIKAT BerAKHLAK")</f>
        <v>8184_DEWAN RONIYUS PUTRA  _ SERTIFIKAT BerAKHLAK</v>
      </c>
      <c r="P8185" s="5" t="s">
        <v>51418</v>
      </c>
    </row>
    <row r="8186">
      <c r="A8186" s="4">
        <v>45534.39662533565</v>
      </c>
      <c r="B8186" s="5" t="s">
        <v>34</v>
      </c>
      <c r="D8186" s="5" t="s">
        <v>9020</v>
      </c>
      <c r="E8186" s="5" t="s">
        <v>51440</v>
      </c>
      <c r="F8186" s="5" t="s">
        <v>72</v>
      </c>
      <c r="G8186" s="5" t="s">
        <v>51441</v>
      </c>
      <c r="H8186" s="6" t="s">
        <v>51442</v>
      </c>
      <c r="K8186" s="5" t="s">
        <v>51422</v>
      </c>
      <c r="M8186" s="5" t="s">
        <v>51443</v>
      </c>
      <c r="N8186" s="7" t="s">
        <v>51444</v>
      </c>
      <c r="O8186" s="8" t="str">
        <f>HYPERLINK("https://drive.google.com/file/d/1ETMBKJkpwSDmz0KOPQmQzX9n8kCyaKP5/view?usp=drivesdk","8185_SRI PUJIRI YANTINI _ SERTIFIKAT BerAKHLAK")</f>
        <v>8185_SRI PUJIRI YANTINI _ SERTIFIKAT BerAKHLAK</v>
      </c>
      <c r="P8186" s="5" t="s">
        <v>51445</v>
      </c>
    </row>
    <row r="8187" hidden="1">
      <c r="A8187" s="4">
        <v>45534.396648657406</v>
      </c>
      <c r="B8187" s="5" t="s">
        <v>19</v>
      </c>
      <c r="C8187" s="5" t="s">
        <v>83</v>
      </c>
      <c r="E8187" s="5" t="s">
        <v>51446</v>
      </c>
      <c r="F8187" s="5" t="s">
        <v>375</v>
      </c>
      <c r="G8187" s="5" t="s">
        <v>51447</v>
      </c>
      <c r="H8187" s="6" t="s">
        <v>51448</v>
      </c>
      <c r="K8187" s="5" t="s">
        <v>51422</v>
      </c>
      <c r="M8187" s="5" t="s">
        <v>51449</v>
      </c>
      <c r="N8187" s="7" t="s">
        <v>51450</v>
      </c>
      <c r="O8187" s="8" t="str">
        <f>HYPERLINK("https://drive.google.com/file/d/1xjK81OK_5YmeLuNlu3ROvMzbCFkCvpVf/view?usp=drivesdk","8186_TRIYANTI _ SERTIFIKAT BerAKHLAK")</f>
        <v>8186_TRIYANTI _ SERTIFIKAT BerAKHLAK</v>
      </c>
      <c r="P8187" s="5" t="s">
        <v>51451</v>
      </c>
    </row>
    <row r="8188">
      <c r="A8188" s="4">
        <v>45534.396703182865</v>
      </c>
      <c r="B8188" s="5" t="s">
        <v>34</v>
      </c>
      <c r="D8188" s="5" t="s">
        <v>1456</v>
      </c>
      <c r="E8188" s="5" t="s">
        <v>51452</v>
      </c>
      <c r="F8188" s="5" t="s">
        <v>72</v>
      </c>
      <c r="G8188" s="5" t="s">
        <v>51453</v>
      </c>
      <c r="H8188" s="6" t="s">
        <v>51454</v>
      </c>
      <c r="K8188" s="5" t="s">
        <v>51422</v>
      </c>
      <c r="M8188" s="5" t="s">
        <v>51455</v>
      </c>
      <c r="N8188" s="7" t="s">
        <v>51456</v>
      </c>
      <c r="O8188" s="8" t="str">
        <f>HYPERLINK("https://drive.google.com/file/d/1BISfl3PSQNUjOfEhDEk7h5Pve4LtQ98b/view?usp=drivesdk","8187_ERMA YULISTYAWATI  _ SERTIFIKAT BerAKHLAK")</f>
        <v>8187_ERMA YULISTYAWATI  _ SERTIFIKAT BerAKHLAK</v>
      </c>
      <c r="P8188" s="5" t="s">
        <v>51457</v>
      </c>
    </row>
    <row r="8189">
      <c r="A8189" s="4">
        <v>45534.39675487269</v>
      </c>
      <c r="B8189" s="5" t="s">
        <v>34</v>
      </c>
      <c r="D8189" s="5" t="s">
        <v>267</v>
      </c>
      <c r="E8189" s="5" t="s">
        <v>51458</v>
      </c>
      <c r="F8189" s="5" t="s">
        <v>37</v>
      </c>
      <c r="G8189" s="5" t="s">
        <v>51459</v>
      </c>
      <c r="H8189" s="6" t="s">
        <v>51460</v>
      </c>
      <c r="K8189" s="5" t="s">
        <v>51422</v>
      </c>
      <c r="M8189" s="5" t="s">
        <v>51461</v>
      </c>
      <c r="N8189" s="7" t="s">
        <v>51462</v>
      </c>
      <c r="O8189" s="8" t="str">
        <f>HYPERLINK("https://drive.google.com/file/d/1EhAQN-b6U92e-Qd2ff0iIFbmsFFGfuka/view?usp=drivesdk","8188_DOROTHEA AGA KIRA, A.Md _ SERTIFIKAT BerAKHLAK")</f>
        <v>8188_DOROTHEA AGA KIRA, A.Md _ SERTIFIKAT BerAKHLAK</v>
      </c>
      <c r="P8189" s="5" t="s">
        <v>51463</v>
      </c>
    </row>
    <row r="8190">
      <c r="A8190" s="4">
        <v>45534.39675869213</v>
      </c>
      <c r="B8190" s="5" t="s">
        <v>34</v>
      </c>
      <c r="D8190" s="5" t="s">
        <v>1206</v>
      </c>
      <c r="E8190" s="5" t="s">
        <v>51464</v>
      </c>
      <c r="F8190" s="5" t="s">
        <v>212</v>
      </c>
      <c r="G8190" s="5" t="s">
        <v>51465</v>
      </c>
      <c r="H8190" s="6" t="s">
        <v>51466</v>
      </c>
      <c r="K8190" s="5" t="s">
        <v>51422</v>
      </c>
      <c r="M8190" s="5" t="s">
        <v>51467</v>
      </c>
      <c r="N8190" s="7" t="s">
        <v>51468</v>
      </c>
      <c r="O8190" s="8" t="str">
        <f>HYPERLINK("https://drive.google.com/file/d/16p-FV3glH1VlrOtyILUmz9aePSsCayv-/view?usp=drivesdk","8189_ASRI ASTUTI  _ SERTIFIKAT BerAKHLAK")</f>
        <v>8189_ASRI ASTUTI  _ SERTIFIKAT BerAKHLAK</v>
      </c>
      <c r="P8190" s="5" t="s">
        <v>51469</v>
      </c>
    </row>
    <row r="8191">
      <c r="A8191" s="4">
        <v>45534.39676831018</v>
      </c>
      <c r="B8191" s="5" t="s">
        <v>34</v>
      </c>
      <c r="D8191" s="5" t="s">
        <v>9020</v>
      </c>
      <c r="E8191" s="5" t="s">
        <v>51470</v>
      </c>
      <c r="F8191" s="5" t="s">
        <v>72</v>
      </c>
      <c r="G8191" s="5" t="s">
        <v>51471</v>
      </c>
      <c r="H8191" s="6" t="s">
        <v>51472</v>
      </c>
      <c r="K8191" s="5" t="s">
        <v>51422</v>
      </c>
      <c r="M8191" s="5" t="s">
        <v>51473</v>
      </c>
      <c r="N8191" s="7" t="s">
        <v>51474</v>
      </c>
      <c r="O8191" s="8" t="str">
        <f>HYPERLINK("https://drive.google.com/file/d/1PIYT7zveQlXGmj2Ka1-glpWSY1a_DK9G/view?usp=drivesdk","8190_MERIDINA BR KEMBAREN, Amd.Kep _ SERTIFIKAT BerAKHLAK")</f>
        <v>8190_MERIDINA BR KEMBAREN, Amd.Kep _ SERTIFIKAT BerAKHLAK</v>
      </c>
      <c r="P8191" s="5" t="s">
        <v>51475</v>
      </c>
    </row>
    <row r="8192">
      <c r="A8192" s="4">
        <v>45534.39679583334</v>
      </c>
      <c r="B8192" s="5" t="s">
        <v>34</v>
      </c>
      <c r="D8192" s="5" t="s">
        <v>1456</v>
      </c>
      <c r="E8192" s="5" t="s">
        <v>51476</v>
      </c>
      <c r="F8192" s="5" t="s">
        <v>108</v>
      </c>
      <c r="G8192" s="5" t="s">
        <v>51477</v>
      </c>
      <c r="H8192" s="6" t="s">
        <v>51478</v>
      </c>
      <c r="K8192" s="5" t="s">
        <v>51422</v>
      </c>
      <c r="M8192" s="5" t="s">
        <v>51479</v>
      </c>
      <c r="N8192" s="7" t="s">
        <v>51480</v>
      </c>
      <c r="O8192" s="8" t="str">
        <f>HYPERLINK("https://drive.google.com/file/d/1cPIHmrkmmfAPFYZ90VchppP-Il9shlSX/view?usp=drivesdk","8191_RINI WIDIYA HASTUTI _ SERTIFIKAT BerAKHLAK")</f>
        <v>8191_RINI WIDIYA HASTUTI _ SERTIFIKAT BerAKHLAK</v>
      </c>
      <c r="P8192" s="5" t="s">
        <v>51481</v>
      </c>
    </row>
    <row r="8193">
      <c r="A8193" s="4">
        <v>45534.39682267361</v>
      </c>
      <c r="B8193" s="5" t="s">
        <v>34</v>
      </c>
      <c r="D8193" s="5" t="s">
        <v>701</v>
      </c>
      <c r="E8193" s="5" t="s">
        <v>51482</v>
      </c>
      <c r="F8193" s="5" t="s">
        <v>108</v>
      </c>
      <c r="G8193" s="5" t="s">
        <v>51483</v>
      </c>
      <c r="H8193" s="6" t="s">
        <v>51484</v>
      </c>
      <c r="K8193" s="5" t="s">
        <v>51422</v>
      </c>
      <c r="M8193" s="5" t="s">
        <v>51485</v>
      </c>
      <c r="N8193" s="7" t="s">
        <v>51486</v>
      </c>
      <c r="O8193" s="8" t="str">
        <f>HYPERLINK("https://drive.google.com/file/d/1UqpNHR3sNIGsCSpLBupVzsfnnKBPOfcI/view?usp=drivesdk","8192_LINDA WIDIA,SH _ SERTIFIKAT BerAKHLAK")</f>
        <v>8192_LINDA WIDIA,SH _ SERTIFIKAT BerAKHLAK</v>
      </c>
      <c r="P8193" s="5" t="s">
        <v>51487</v>
      </c>
    </row>
    <row r="8194">
      <c r="A8194" s="4">
        <v>45534.39691241898</v>
      </c>
      <c r="B8194" s="5" t="s">
        <v>34</v>
      </c>
      <c r="D8194" s="5" t="s">
        <v>9394</v>
      </c>
      <c r="E8194" s="5" t="s">
        <v>51488</v>
      </c>
      <c r="F8194" s="5" t="s">
        <v>37</v>
      </c>
      <c r="G8194" s="5" t="s">
        <v>51489</v>
      </c>
      <c r="H8194" s="6" t="s">
        <v>51490</v>
      </c>
      <c r="K8194" s="5" t="s">
        <v>51491</v>
      </c>
      <c r="M8194" s="5" t="s">
        <v>51492</v>
      </c>
      <c r="N8194" s="7" t="s">
        <v>51493</v>
      </c>
      <c r="O8194" s="8" t="str">
        <f>HYPERLINK("https://drive.google.com/file/d/1G5pcSxu84Il9BqLsb_6mad30suGhZrbs/view?usp=drivesdk","8193_Sri Ratna Dewi _ SERTIFIKAT BerAKHLAK")</f>
        <v>8193_Sri Ratna Dewi _ SERTIFIKAT BerAKHLAK</v>
      </c>
      <c r="P8194" s="5" t="s">
        <v>51494</v>
      </c>
    </row>
    <row r="8195" hidden="1">
      <c r="A8195" s="4">
        <v>45534.39693175926</v>
      </c>
      <c r="B8195" s="5" t="s">
        <v>19</v>
      </c>
      <c r="C8195" s="5" t="s">
        <v>3301</v>
      </c>
      <c r="E8195" s="5" t="s">
        <v>51495</v>
      </c>
      <c r="F8195" s="5" t="s">
        <v>72</v>
      </c>
      <c r="G8195" s="5" t="s">
        <v>51496</v>
      </c>
      <c r="H8195" s="6" t="s">
        <v>51497</v>
      </c>
      <c r="K8195" s="5" t="s">
        <v>51491</v>
      </c>
      <c r="M8195" s="5" t="s">
        <v>51498</v>
      </c>
      <c r="N8195" s="7" t="s">
        <v>51499</v>
      </c>
      <c r="O8195" s="8" t="str">
        <f>HYPERLINK("https://drive.google.com/file/d/1NLxuwSA8nEgH5BPHNV1hI3i5EElFRuK5/view?usp=drivesdk","8194_NOVI WULANDARI, S.SI, M. BIOMED _ SERTIFIKAT BerAKHLAK")</f>
        <v>8194_NOVI WULANDARI, S.SI, M. BIOMED _ SERTIFIKAT BerAKHLAK</v>
      </c>
      <c r="P8195" s="5" t="s">
        <v>51500</v>
      </c>
    </row>
    <row r="8196">
      <c r="A8196" s="4">
        <v>45534.39701168981</v>
      </c>
      <c r="B8196" s="5" t="s">
        <v>34</v>
      </c>
      <c r="D8196" s="5" t="s">
        <v>1206</v>
      </c>
      <c r="E8196" s="5" t="s">
        <v>51501</v>
      </c>
      <c r="F8196" s="5" t="s">
        <v>212</v>
      </c>
      <c r="G8196" s="5" t="s">
        <v>51502</v>
      </c>
      <c r="H8196" s="6" t="s">
        <v>51503</v>
      </c>
      <c r="K8196" s="5" t="s">
        <v>51504</v>
      </c>
      <c r="M8196" s="5" t="s">
        <v>51505</v>
      </c>
      <c r="N8196" s="7" t="s">
        <v>51506</v>
      </c>
      <c r="O8196" s="8" t="str">
        <f>HYPERLINK("https://drive.google.com/file/d/1AAwhmz5ZLl0w7L3tlEbUd1ktY0OUwVBT/view?usp=drivesdk","8195_SRI SURATMI _ SERTIFIKAT BerAKHLAK")</f>
        <v>8195_SRI SURATMI _ SERTIFIKAT BerAKHLAK</v>
      </c>
      <c r="P8196" s="5" t="s">
        <v>51507</v>
      </c>
    </row>
    <row r="8197">
      <c r="A8197" s="4">
        <v>45534.3970124537</v>
      </c>
      <c r="B8197" s="5" t="s">
        <v>34</v>
      </c>
      <c r="D8197" s="5" t="s">
        <v>9020</v>
      </c>
      <c r="E8197" s="5" t="s">
        <v>51508</v>
      </c>
      <c r="F8197" s="5" t="s">
        <v>212</v>
      </c>
      <c r="G8197" s="5" t="s">
        <v>51509</v>
      </c>
      <c r="H8197" s="6" t="s">
        <v>51510</v>
      </c>
      <c r="K8197" s="5" t="s">
        <v>51504</v>
      </c>
      <c r="M8197" s="5" t="s">
        <v>51511</v>
      </c>
      <c r="N8197" s="7" t="s">
        <v>51512</v>
      </c>
      <c r="O8197" s="8" t="str">
        <f>HYPERLINK("https://drive.google.com/file/d/1kSPbAC2C-lL-RPncnd9DMm_RnP-7adue/view?usp=drivesdk","8196_IRZAMSYAH _ SERTIFIKAT BerAKHLAK")</f>
        <v>8196_IRZAMSYAH _ SERTIFIKAT BerAKHLAK</v>
      </c>
      <c r="P8197" s="5" t="s">
        <v>51513</v>
      </c>
    </row>
    <row r="8198">
      <c r="A8198" s="4">
        <v>45534.39705027778</v>
      </c>
      <c r="B8198" s="5" t="s">
        <v>34</v>
      </c>
      <c r="D8198" s="5" t="s">
        <v>1558</v>
      </c>
      <c r="E8198" s="5" t="s">
        <v>51514</v>
      </c>
      <c r="F8198" s="5" t="s">
        <v>37</v>
      </c>
      <c r="G8198" s="5" t="s">
        <v>51515</v>
      </c>
      <c r="H8198" s="6" t="s">
        <v>51516</v>
      </c>
      <c r="K8198" s="5" t="s">
        <v>51504</v>
      </c>
      <c r="M8198" s="5" t="s">
        <v>51517</v>
      </c>
      <c r="N8198" s="7" t="s">
        <v>51518</v>
      </c>
      <c r="O8198" s="8" t="str">
        <f>HYPERLINK("https://drive.google.com/file/d/16zBk0frRDGRj5oR1XJEWTISgnR4NXVJn/view?usp=drivesdk","8197_JULI KUSWANTO _ SERTIFIKAT BerAKHLAK")</f>
        <v>8197_JULI KUSWANTO _ SERTIFIKAT BerAKHLAK</v>
      </c>
      <c r="P8198" s="5" t="s">
        <v>51519</v>
      </c>
    </row>
    <row r="8199">
      <c r="A8199" s="4">
        <v>45534.39706875</v>
      </c>
      <c r="B8199" s="5" t="s">
        <v>34</v>
      </c>
      <c r="D8199" s="5" t="s">
        <v>701</v>
      </c>
      <c r="E8199" s="5" t="s">
        <v>51520</v>
      </c>
      <c r="F8199" s="5" t="s">
        <v>108</v>
      </c>
      <c r="G8199" s="5" t="s">
        <v>51521</v>
      </c>
      <c r="H8199" s="6" t="s">
        <v>51522</v>
      </c>
      <c r="K8199" s="5" t="s">
        <v>51504</v>
      </c>
      <c r="M8199" s="5" t="s">
        <v>51523</v>
      </c>
      <c r="N8199" s="7" t="s">
        <v>51524</v>
      </c>
      <c r="O8199" s="8" t="str">
        <f>HYPERLINK("https://drive.google.com/file/d/1YKiu4kf8EzA8tbEVjRjUQvl1tsViPal4/view?usp=drivesdk","8198_YUNIDA MARNI _ SERTIFIKAT BerAKHLAK")</f>
        <v>8198_YUNIDA MARNI _ SERTIFIKAT BerAKHLAK</v>
      </c>
      <c r="P8199" s="5" t="s">
        <v>51525</v>
      </c>
    </row>
    <row r="8200">
      <c r="A8200" s="4">
        <v>45534.39707238426</v>
      </c>
      <c r="B8200" s="5" t="s">
        <v>34</v>
      </c>
      <c r="D8200" s="5" t="s">
        <v>9394</v>
      </c>
      <c r="E8200" s="5" t="s">
        <v>45285</v>
      </c>
      <c r="F8200" s="5" t="s">
        <v>199</v>
      </c>
      <c r="G8200" s="5" t="s">
        <v>51526</v>
      </c>
      <c r="H8200" s="6" t="s">
        <v>51527</v>
      </c>
      <c r="K8200" s="5" t="s">
        <v>51504</v>
      </c>
      <c r="M8200" s="5" t="s">
        <v>51528</v>
      </c>
      <c r="N8200" s="7" t="s">
        <v>51529</v>
      </c>
      <c r="O8200" s="8" t="str">
        <f>HYPERLINK("https://drive.google.com/file/d/1hPPpc1U-QQRcf5kcitELwgWTH__SCXpA/view?usp=drivesdk","8199_HERI MASTUTI _ SERTIFIKAT BerAKHLAK")</f>
        <v>8199_HERI MASTUTI _ SERTIFIKAT BerAKHLAK</v>
      </c>
      <c r="P8200" s="5" t="s">
        <v>51530</v>
      </c>
    </row>
    <row r="8201">
      <c r="A8201" s="4">
        <v>45534.39707549768</v>
      </c>
      <c r="B8201" s="5" t="s">
        <v>34</v>
      </c>
      <c r="D8201" s="5" t="s">
        <v>4775</v>
      </c>
      <c r="E8201" s="5" t="s">
        <v>51531</v>
      </c>
      <c r="F8201" s="5" t="s">
        <v>212</v>
      </c>
      <c r="G8201" s="5" t="s">
        <v>51532</v>
      </c>
      <c r="H8201" s="6" t="s">
        <v>51533</v>
      </c>
      <c r="K8201" s="5" t="s">
        <v>51504</v>
      </c>
      <c r="M8201" s="5" t="s">
        <v>51534</v>
      </c>
      <c r="N8201" s="7" t="s">
        <v>51535</v>
      </c>
      <c r="O8201" s="8" t="str">
        <f>HYPERLINK("https://drive.google.com/file/d/1oVew9i-Tw3mYD6DdJ9PZFEDsrRT760iP/view?usp=drivesdk","8200_SITI AMINAH, S.Kom.  _ SERTIFIKAT BerAKHLAK")</f>
        <v>8200_SITI AMINAH, S.Kom.  _ SERTIFIKAT BerAKHLAK</v>
      </c>
      <c r="P8201" s="5" t="s">
        <v>51536</v>
      </c>
    </row>
    <row r="8202">
      <c r="A8202" s="4">
        <v>45534.39708328704</v>
      </c>
      <c r="B8202" s="5" t="s">
        <v>34</v>
      </c>
      <c r="D8202" s="5" t="s">
        <v>9394</v>
      </c>
      <c r="E8202" s="5" t="s">
        <v>21945</v>
      </c>
      <c r="F8202" s="5" t="s">
        <v>37</v>
      </c>
      <c r="G8202" s="5" t="s">
        <v>51537</v>
      </c>
      <c r="H8202" s="6" t="s">
        <v>51538</v>
      </c>
      <c r="K8202" s="5" t="s">
        <v>51504</v>
      </c>
      <c r="M8202" s="5" t="s">
        <v>51539</v>
      </c>
      <c r="N8202" s="7" t="s">
        <v>51540</v>
      </c>
      <c r="O8202" s="8" t="str">
        <f>HYPERLINK("https://drive.google.com/file/d/1ODv02-Y8ymOHQs1k0gNhOdmOSKyudCSM/view?usp=drivesdk","8201_SURYADI _ SERTIFIKAT BerAKHLAK")</f>
        <v>8201_SURYADI _ SERTIFIKAT BerAKHLAK</v>
      </c>
      <c r="P8202" s="5" t="s">
        <v>51541</v>
      </c>
    </row>
    <row r="8203" hidden="1">
      <c r="A8203" s="4">
        <v>45534.397096747685</v>
      </c>
      <c r="B8203" s="5" t="s">
        <v>19</v>
      </c>
      <c r="C8203" s="5" t="s">
        <v>45988</v>
      </c>
      <c r="E8203" s="5" t="s">
        <v>51542</v>
      </c>
      <c r="F8203" s="5" t="s">
        <v>120</v>
      </c>
      <c r="G8203" s="5" t="s">
        <v>51543</v>
      </c>
      <c r="H8203" s="6" t="s">
        <v>51544</v>
      </c>
      <c r="K8203" s="5" t="s">
        <v>51504</v>
      </c>
      <c r="M8203" s="5" t="s">
        <v>51545</v>
      </c>
      <c r="N8203" s="7" t="s">
        <v>51546</v>
      </c>
      <c r="O8203" s="8" t="str">
        <f>HYPERLINK("https://drive.google.com/file/d/1Iiy814PGzr642vDhZIs8TsCtLLmVmluL/view?usp=drivesdk","8202_FEBRIANI PURWOASTUTI, S.E, M.M _ SERTIFIKAT BerAKHLAK")</f>
        <v>8202_FEBRIANI PURWOASTUTI, S.E, M.M _ SERTIFIKAT BerAKHLAK</v>
      </c>
      <c r="P8203" s="5" t="s">
        <v>51547</v>
      </c>
    </row>
    <row r="8204">
      <c r="A8204" s="4">
        <v>45534.39711298612</v>
      </c>
      <c r="B8204" s="5" t="s">
        <v>34</v>
      </c>
      <c r="D8204" s="5" t="s">
        <v>1558</v>
      </c>
      <c r="E8204" s="5" t="s">
        <v>51548</v>
      </c>
      <c r="F8204" s="5" t="s">
        <v>212</v>
      </c>
      <c r="G8204" s="5" t="s">
        <v>51549</v>
      </c>
      <c r="H8204" s="6" t="s">
        <v>51550</v>
      </c>
      <c r="K8204" s="5" t="s">
        <v>51551</v>
      </c>
      <c r="M8204" s="5" t="s">
        <v>51552</v>
      </c>
      <c r="N8204" s="7" t="s">
        <v>51553</v>
      </c>
      <c r="O8204" s="8" t="str">
        <f>HYPERLINK("https://drive.google.com/file/d/1VdaDjUJfi2jEpiEMZsC9dnouchRxSXHd/view?usp=drivesdk","8203_EKO SARDIYANTI _ SERTIFIKAT BerAKHLAK")</f>
        <v>8203_EKO SARDIYANTI _ SERTIFIKAT BerAKHLAK</v>
      </c>
      <c r="P8204" s="5" t="s">
        <v>51554</v>
      </c>
    </row>
    <row r="8205">
      <c r="A8205" s="4">
        <v>45534.39713074074</v>
      </c>
      <c r="B8205" s="5" t="s">
        <v>34</v>
      </c>
      <c r="D8205" s="5" t="s">
        <v>1206</v>
      </c>
      <c r="E8205" s="5" t="s">
        <v>51555</v>
      </c>
      <c r="F8205" s="5" t="s">
        <v>212</v>
      </c>
      <c r="G8205" s="5" t="s">
        <v>51556</v>
      </c>
      <c r="H8205" s="6" t="s">
        <v>51557</v>
      </c>
      <c r="K8205" s="5" t="s">
        <v>51504</v>
      </c>
      <c r="M8205" s="5" t="s">
        <v>51558</v>
      </c>
      <c r="N8205" s="7" t="s">
        <v>51559</v>
      </c>
      <c r="O8205" s="8" t="str">
        <f>HYPERLINK("https://drive.google.com/file/d/164XjCJI7bmC6SuA5vunVbVOnSRa508XW/view?usp=drivesdk","8204_HALIMAN _ SERTIFIKAT BerAKHLAK")</f>
        <v>8204_HALIMAN _ SERTIFIKAT BerAKHLAK</v>
      </c>
      <c r="P8205" s="5" t="s">
        <v>51560</v>
      </c>
    </row>
    <row r="8206">
      <c r="A8206" s="4">
        <v>45534.39716583333</v>
      </c>
      <c r="B8206" s="5" t="s">
        <v>34</v>
      </c>
      <c r="D8206" s="5" t="s">
        <v>9020</v>
      </c>
      <c r="E8206" s="5" t="s">
        <v>44899</v>
      </c>
      <c r="F8206" s="5" t="s">
        <v>212</v>
      </c>
      <c r="G8206" s="5" t="s">
        <v>44900</v>
      </c>
      <c r="H8206" s="6" t="s">
        <v>51561</v>
      </c>
      <c r="K8206" s="5" t="s">
        <v>51562</v>
      </c>
      <c r="M8206" s="5" t="s">
        <v>51563</v>
      </c>
      <c r="N8206" s="7" t="s">
        <v>51564</v>
      </c>
      <c r="O8206" s="8" t="str">
        <f>HYPERLINK("https://drive.google.com/file/d/1hlJaIf6x67d_WjHCgvTJEAwYnrHto4ko/view?usp=drivesdk","8205_ENI MARLINA _ SERTIFIKAT BerAKHLAK")</f>
        <v>8205_ENI MARLINA _ SERTIFIKAT BerAKHLAK</v>
      </c>
      <c r="P8206" s="5" t="s">
        <v>51565</v>
      </c>
    </row>
    <row r="8207">
      <c r="A8207" s="4">
        <v>45534.397175509264</v>
      </c>
      <c r="B8207" s="5" t="s">
        <v>34</v>
      </c>
      <c r="D8207" s="5" t="s">
        <v>1206</v>
      </c>
      <c r="E8207" s="5" t="s">
        <v>51566</v>
      </c>
      <c r="F8207" s="5" t="s">
        <v>212</v>
      </c>
      <c r="G8207" s="5" t="s">
        <v>51567</v>
      </c>
      <c r="H8207" s="6" t="s">
        <v>51568</v>
      </c>
      <c r="K8207" s="5" t="s">
        <v>51562</v>
      </c>
      <c r="M8207" s="5" t="s">
        <v>51569</v>
      </c>
      <c r="N8207" s="7" t="s">
        <v>51570</v>
      </c>
      <c r="O8207" s="8" t="str">
        <f>HYPERLINK("https://drive.google.com/file/d/1FaHyFAopIX3mNFp0ohMjoId1J3ox2J9U/view?usp=drivesdk","8206_M YUNUS _ SERTIFIKAT BerAKHLAK")</f>
        <v>8206_M YUNUS _ SERTIFIKAT BerAKHLAK</v>
      </c>
      <c r="P8207" s="5" t="s">
        <v>51571</v>
      </c>
    </row>
    <row r="8208">
      <c r="A8208" s="4">
        <v>45534.397202395834</v>
      </c>
      <c r="B8208" s="5" t="s">
        <v>34</v>
      </c>
      <c r="D8208" s="5" t="s">
        <v>701</v>
      </c>
      <c r="E8208" s="5" t="s">
        <v>51572</v>
      </c>
      <c r="F8208" s="5" t="s">
        <v>37</v>
      </c>
      <c r="G8208" s="5" t="s">
        <v>51573</v>
      </c>
      <c r="H8208" s="6" t="s">
        <v>51574</v>
      </c>
      <c r="K8208" s="5" t="s">
        <v>51575</v>
      </c>
      <c r="M8208" s="5" t="s">
        <v>51576</v>
      </c>
      <c r="N8208" s="7" t="s">
        <v>51577</v>
      </c>
      <c r="O8208" s="8" t="str">
        <f>HYPERLINK("https://drive.google.com/file/d/14sPxoFnqCD0EZZOGFCE_1EaWP3YSGWuy/view?usp=drivesdk","8207_DESNIMAR Z. _ SERTIFIKAT BerAKHLAK")</f>
        <v>8207_DESNIMAR Z. _ SERTIFIKAT BerAKHLAK</v>
      </c>
      <c r="P8208" s="5" t="s">
        <v>51578</v>
      </c>
    </row>
    <row r="8209" hidden="1">
      <c r="A8209" s="4">
        <v>45534.39722706018</v>
      </c>
      <c r="B8209" s="5" t="s">
        <v>19</v>
      </c>
      <c r="C8209" s="5" t="s">
        <v>292</v>
      </c>
      <c r="E8209" s="5" t="s">
        <v>51579</v>
      </c>
      <c r="F8209" s="5" t="s">
        <v>120</v>
      </c>
      <c r="G8209" s="5" t="s">
        <v>51580</v>
      </c>
      <c r="H8209" s="6" t="s">
        <v>51581</v>
      </c>
      <c r="K8209" s="5" t="s">
        <v>51582</v>
      </c>
      <c r="M8209" s="5" t="s">
        <v>51583</v>
      </c>
      <c r="N8209" s="7" t="s">
        <v>51584</v>
      </c>
      <c r="O8209" s="8" t="str">
        <f>HYPERLINK("https://drive.google.com/file/d/1TQe_xZ4JvDJytGb8CVfu_6m1qsCxLUuv/view?usp=drivesdk","8208_DWI ENDANG IIN MASTUTI, M.Pd _ SERTIFIKAT BerAKHLAK")</f>
        <v>8208_DWI ENDANG IIN MASTUTI, M.Pd _ SERTIFIKAT BerAKHLAK</v>
      </c>
      <c r="P8209" s="5" t="s">
        <v>51585</v>
      </c>
    </row>
    <row r="8210">
      <c r="A8210" s="4">
        <v>45534.39725076389</v>
      </c>
      <c r="B8210" s="5" t="s">
        <v>34</v>
      </c>
      <c r="D8210" s="5" t="s">
        <v>1206</v>
      </c>
      <c r="E8210" s="5" t="s">
        <v>51586</v>
      </c>
      <c r="F8210" s="5" t="s">
        <v>212</v>
      </c>
      <c r="G8210" s="5" t="s">
        <v>51587</v>
      </c>
      <c r="H8210" s="6" t="s">
        <v>51588</v>
      </c>
      <c r="K8210" s="5" t="s">
        <v>51589</v>
      </c>
      <c r="M8210" s="5" t="s">
        <v>51590</v>
      </c>
      <c r="N8210" s="7" t="s">
        <v>51591</v>
      </c>
      <c r="O8210" s="8" t="str">
        <f>HYPERLINK("https://drive.google.com/file/d/1ZrNDRm9zJizQM1rZ7vRmTpxMd7ciHahi/view?usp=drivesdk","8209_MOHAMMAD AMIRULLAH _ SERTIFIKAT BerAKHLAK")</f>
        <v>8209_MOHAMMAD AMIRULLAH _ SERTIFIKAT BerAKHLAK</v>
      </c>
      <c r="P8210" s="5" t="s">
        <v>51592</v>
      </c>
    </row>
    <row r="8211" hidden="1">
      <c r="A8211" s="4">
        <v>45534.39729237268</v>
      </c>
      <c r="B8211" s="5" t="s">
        <v>19</v>
      </c>
      <c r="C8211" s="5" t="s">
        <v>83</v>
      </c>
      <c r="E8211" s="5" t="s">
        <v>51593</v>
      </c>
      <c r="F8211" s="5" t="s">
        <v>108</v>
      </c>
      <c r="G8211" s="5" t="s">
        <v>51594</v>
      </c>
      <c r="H8211" s="6" t="s">
        <v>51595</v>
      </c>
      <c r="K8211" s="5" t="s">
        <v>51596</v>
      </c>
      <c r="M8211" s="5" t="s">
        <v>51597</v>
      </c>
      <c r="N8211" s="7" t="s">
        <v>51598</v>
      </c>
      <c r="O8211" s="8" t="str">
        <f>HYPERLINK("https://drive.google.com/file/d/1CKpxpiKAefzr1_CAf7LE3g9eRqUzKxEW/view?usp=drivesdk","8210_BAHRINEL SIREGAR _ SERTIFIKAT BerAKHLAK")</f>
        <v>8210_BAHRINEL SIREGAR _ SERTIFIKAT BerAKHLAK</v>
      </c>
      <c r="P8211" s="5" t="s">
        <v>51599</v>
      </c>
    </row>
    <row r="8212">
      <c r="A8212" s="4">
        <v>45534.39731890046</v>
      </c>
      <c r="B8212" s="5" t="s">
        <v>34</v>
      </c>
      <c r="D8212" s="5" t="s">
        <v>9020</v>
      </c>
      <c r="E8212" s="5" t="s">
        <v>51600</v>
      </c>
      <c r="F8212" s="5" t="s">
        <v>212</v>
      </c>
      <c r="G8212" s="5" t="s">
        <v>51601</v>
      </c>
      <c r="H8212" s="6" t="s">
        <v>51602</v>
      </c>
      <c r="K8212" s="5" t="s">
        <v>51603</v>
      </c>
      <c r="M8212" s="5" t="s">
        <v>51604</v>
      </c>
      <c r="N8212" s="7" t="s">
        <v>51605</v>
      </c>
      <c r="O8212" s="8" t="str">
        <f>HYPERLINK("https://drive.google.com/file/d/1IQGQtEhWT9vEbwOjWfEgD2PcGdoL8sWi/view?usp=drivesdk","8211_SYAFRIZAL _ SERTIFIKAT BerAKHLAK")</f>
        <v>8211_SYAFRIZAL _ SERTIFIKAT BerAKHLAK</v>
      </c>
      <c r="P8212" s="5" t="s">
        <v>51606</v>
      </c>
    </row>
    <row r="8213" hidden="1">
      <c r="A8213" s="4">
        <v>45534.39732900463</v>
      </c>
      <c r="B8213" s="5" t="s">
        <v>19</v>
      </c>
      <c r="C8213" s="5" t="s">
        <v>40230</v>
      </c>
      <c r="E8213" s="5" t="s">
        <v>51607</v>
      </c>
      <c r="F8213" s="5" t="s">
        <v>375</v>
      </c>
      <c r="G8213" s="5" t="s">
        <v>51608</v>
      </c>
      <c r="H8213" s="6" t="s">
        <v>51609</v>
      </c>
      <c r="K8213" s="5" t="s">
        <v>51603</v>
      </c>
      <c r="M8213" s="5" t="s">
        <v>51610</v>
      </c>
      <c r="N8213" s="7" t="s">
        <v>51611</v>
      </c>
      <c r="O8213" s="8" t="str">
        <f>HYPERLINK("https://drive.google.com/file/d/1PxKAfHLqvLxyjtQBqIHdJkB5ONRvGWKK/view?usp=drivesdk","8212_AGUS WIJAYA, S.E _ SERTIFIKAT BerAKHLAK")</f>
        <v>8212_AGUS WIJAYA, S.E _ SERTIFIKAT BerAKHLAK</v>
      </c>
      <c r="P8213" s="5" t="s">
        <v>51612</v>
      </c>
    </row>
    <row r="8214">
      <c r="A8214" s="4">
        <v>45534.397329976855</v>
      </c>
      <c r="B8214" s="5" t="s">
        <v>34</v>
      </c>
      <c r="D8214" s="5" t="s">
        <v>1456</v>
      </c>
      <c r="E8214" s="5" t="s">
        <v>51613</v>
      </c>
      <c r="F8214" s="5" t="s">
        <v>37</v>
      </c>
      <c r="G8214" s="5" t="s">
        <v>51614</v>
      </c>
      <c r="H8214" s="6" t="s">
        <v>51615</v>
      </c>
      <c r="K8214" s="5" t="s">
        <v>51603</v>
      </c>
      <c r="M8214" s="5" t="s">
        <v>51616</v>
      </c>
      <c r="N8214" s="7" t="s">
        <v>51617</v>
      </c>
      <c r="O8214" s="8" t="str">
        <f>HYPERLINK("https://drive.google.com/file/d/1yw8MTdPNmvPjQZgtkAjXYNyUo6K4ttCC/view?usp=drivesdk","8213_MAHDIARA  _ SERTIFIKAT BerAKHLAK")</f>
        <v>8213_MAHDIARA  _ SERTIFIKAT BerAKHLAK</v>
      </c>
      <c r="P8214" s="5" t="s">
        <v>51618</v>
      </c>
    </row>
    <row r="8215">
      <c r="A8215" s="4">
        <v>45534.397338483795</v>
      </c>
      <c r="B8215" s="5" t="s">
        <v>34</v>
      </c>
      <c r="D8215" s="5" t="s">
        <v>7858</v>
      </c>
      <c r="E8215" s="5" t="s">
        <v>51619</v>
      </c>
      <c r="F8215" s="5" t="s">
        <v>37</v>
      </c>
      <c r="G8215" s="5" t="s">
        <v>51620</v>
      </c>
      <c r="H8215" s="6" t="s">
        <v>51621</v>
      </c>
      <c r="K8215" s="5" t="s">
        <v>51603</v>
      </c>
      <c r="M8215" s="5" t="s">
        <v>51622</v>
      </c>
      <c r="N8215" s="7" t="s">
        <v>51623</v>
      </c>
      <c r="O8215" s="8" t="str">
        <f>HYPERLINK("https://drive.google.com/file/d/1A3tF2qiQZ2GiYH3cT4GZyeofyg6lUd7X/view?usp=drivesdk","8214_Asih Sunari, A.Md. _ SERTIFIKAT BerAKHLAK")</f>
        <v>8214_Asih Sunari, A.Md. _ SERTIFIKAT BerAKHLAK</v>
      </c>
      <c r="P8215" s="5" t="s">
        <v>51624</v>
      </c>
    </row>
    <row r="8216">
      <c r="A8216" s="4">
        <v>45534.39737104166</v>
      </c>
      <c r="B8216" s="5" t="s">
        <v>34</v>
      </c>
      <c r="D8216" s="5" t="s">
        <v>1558</v>
      </c>
      <c r="E8216" s="5" t="s">
        <v>51625</v>
      </c>
      <c r="F8216" s="5" t="s">
        <v>375</v>
      </c>
      <c r="G8216" s="5" t="s">
        <v>51626</v>
      </c>
      <c r="H8216" s="6" t="s">
        <v>51627</v>
      </c>
      <c r="K8216" s="5" t="s">
        <v>51628</v>
      </c>
      <c r="M8216" s="5" t="s">
        <v>51629</v>
      </c>
      <c r="N8216" s="7" t="s">
        <v>51630</v>
      </c>
      <c r="O8216" s="8" t="str">
        <f>HYPERLINK("https://drive.google.com/file/d/1TCM28HaR6fYRjzF6RZtPl_blG_5mNw-F/view?usp=drivesdk","8215_UNAENY, S.PD _ SERTIFIKAT BerAKHLAK")</f>
        <v>8215_UNAENY, S.PD _ SERTIFIKAT BerAKHLAK</v>
      </c>
      <c r="P8216" s="5" t="s">
        <v>51631</v>
      </c>
    </row>
    <row r="8217" hidden="1">
      <c r="A8217" s="4">
        <v>45534.39740984954</v>
      </c>
      <c r="B8217" s="5" t="s">
        <v>19</v>
      </c>
      <c r="C8217" s="5" t="s">
        <v>5564</v>
      </c>
      <c r="E8217" s="5" t="s">
        <v>11768</v>
      </c>
      <c r="F8217" s="5" t="s">
        <v>108</v>
      </c>
      <c r="G8217" s="5" t="s">
        <v>51632</v>
      </c>
      <c r="H8217" s="6" t="s">
        <v>51633</v>
      </c>
      <c r="K8217" s="5" t="s">
        <v>51634</v>
      </c>
      <c r="M8217" s="5" t="s">
        <v>51635</v>
      </c>
      <c r="N8217" s="7" t="s">
        <v>51636</v>
      </c>
      <c r="O8217" s="8" t="str">
        <f>HYPERLINK("https://drive.google.com/file/d/1hGyZFOALG4xrZSZmSJzEK2dP0QBn9HD0/view?usp=drivesdk","8216_SRI HANDAYANI _ SERTIFIKAT BerAKHLAK")</f>
        <v>8216_SRI HANDAYANI _ SERTIFIKAT BerAKHLAK</v>
      </c>
      <c r="P8217" s="5" t="s">
        <v>51637</v>
      </c>
    </row>
    <row r="8218">
      <c r="A8218" s="4">
        <v>45534.39744178241</v>
      </c>
      <c r="B8218" s="5" t="s">
        <v>34</v>
      </c>
      <c r="D8218" s="5" t="s">
        <v>4775</v>
      </c>
      <c r="E8218" s="5" t="s">
        <v>51638</v>
      </c>
      <c r="F8218" s="5" t="s">
        <v>72</v>
      </c>
      <c r="G8218" s="5" t="s">
        <v>51639</v>
      </c>
      <c r="H8218" s="6" t="s">
        <v>51640</v>
      </c>
      <c r="K8218" s="5" t="s">
        <v>51641</v>
      </c>
      <c r="M8218" s="5" t="s">
        <v>51642</v>
      </c>
      <c r="N8218" s="7" t="s">
        <v>51643</v>
      </c>
      <c r="O8218" s="8" t="str">
        <f>HYPERLINK("https://drive.google.com/file/d/1sPgw3ftpjf9sVeUtLKS6TuMmOjq09xzn/view?usp=drivesdk","8217_YUNIA FITRIANI, S.E. _ SERTIFIKAT BerAKHLAK")</f>
        <v>8217_YUNIA FITRIANI, S.E. _ SERTIFIKAT BerAKHLAK</v>
      </c>
      <c r="P8218" s="5" t="s">
        <v>51644</v>
      </c>
    </row>
    <row r="8219">
      <c r="A8219" s="4">
        <v>45534.39748650463</v>
      </c>
      <c r="B8219" s="5" t="s">
        <v>34</v>
      </c>
      <c r="D8219" s="5" t="s">
        <v>1558</v>
      </c>
      <c r="E8219" s="5" t="s">
        <v>51645</v>
      </c>
      <c r="F8219" s="5" t="s">
        <v>212</v>
      </c>
      <c r="G8219" s="5" t="s">
        <v>51646</v>
      </c>
      <c r="H8219" s="6" t="s">
        <v>51647</v>
      </c>
      <c r="K8219" s="5" t="s">
        <v>51648</v>
      </c>
      <c r="M8219" s="5" t="s">
        <v>51649</v>
      </c>
      <c r="N8219" s="7" t="s">
        <v>51650</v>
      </c>
      <c r="O8219" s="8" t="str">
        <f>HYPERLINK("https://drive.google.com/file/d/1lkUFdMR-0MJXZJ16pKqYF38H7tXu1dpU/view?usp=drivesdk","8218_RIA HARYAni _ SERTIFIKAT BerAKHLAK")</f>
        <v>8218_RIA HARYAni _ SERTIFIKAT BerAKHLAK</v>
      </c>
      <c r="P8219" s="5" t="s">
        <v>51651</v>
      </c>
    </row>
    <row r="8220">
      <c r="A8220" s="4">
        <v>45534.39752752315</v>
      </c>
      <c r="B8220" s="5" t="s">
        <v>34</v>
      </c>
      <c r="D8220" s="5" t="s">
        <v>1206</v>
      </c>
      <c r="E8220" s="5" t="s">
        <v>51652</v>
      </c>
      <c r="F8220" s="5" t="s">
        <v>120</v>
      </c>
      <c r="G8220" s="5" t="s">
        <v>51653</v>
      </c>
      <c r="H8220" s="6" t="s">
        <v>51654</v>
      </c>
      <c r="K8220" s="5" t="s">
        <v>51655</v>
      </c>
      <c r="M8220" s="5" t="s">
        <v>51656</v>
      </c>
      <c r="N8220" s="7" t="s">
        <v>51657</v>
      </c>
      <c r="O8220" s="8" t="str">
        <f>HYPERLINK("https://drive.google.com/file/d/1eIYtIbPZM1jWNso0275yEwS-TAszyKif/view?usp=drivesdk","8219_dr. ANI KURNIANINGSIH, MM _ SERTIFIKAT BerAKHLAK")</f>
        <v>8219_dr. ANI KURNIANINGSIH, MM _ SERTIFIKAT BerAKHLAK</v>
      </c>
      <c r="P8220" s="5" t="s">
        <v>51658</v>
      </c>
    </row>
    <row r="8221">
      <c r="A8221" s="4">
        <v>45534.397529548616</v>
      </c>
      <c r="B8221" s="5" t="s">
        <v>34</v>
      </c>
      <c r="D8221" s="5" t="s">
        <v>1558</v>
      </c>
      <c r="E8221" s="5" t="s">
        <v>51659</v>
      </c>
      <c r="F8221" s="5" t="s">
        <v>108</v>
      </c>
      <c r="G8221" s="5" t="s">
        <v>51660</v>
      </c>
      <c r="H8221" s="6" t="s">
        <v>51661</v>
      </c>
      <c r="K8221" s="5" t="s">
        <v>51655</v>
      </c>
      <c r="M8221" s="5" t="s">
        <v>51662</v>
      </c>
      <c r="N8221" s="7" t="s">
        <v>51663</v>
      </c>
      <c r="O8221" s="8" t="str">
        <f>HYPERLINK("https://drive.google.com/file/d/14yYpcP8w7tAwnGJBJvVkSK4QnpA8NMvP/view?usp=drivesdk","8220_Fuad Filardhi Nugroho  _ SERTIFIKAT BerAKHLAK")</f>
        <v>8220_Fuad Filardhi Nugroho  _ SERTIFIKAT BerAKHLAK</v>
      </c>
      <c r="P8221" s="5" t="s">
        <v>51664</v>
      </c>
    </row>
    <row r="8222">
      <c r="A8222" s="4">
        <v>45534.39755314815</v>
      </c>
      <c r="B8222" s="5" t="s">
        <v>34</v>
      </c>
      <c r="D8222" s="5" t="s">
        <v>1558</v>
      </c>
      <c r="E8222" s="5" t="s">
        <v>51665</v>
      </c>
      <c r="F8222" s="5" t="s">
        <v>199</v>
      </c>
      <c r="G8222" s="5" t="s">
        <v>51666</v>
      </c>
      <c r="H8222" s="6" t="s">
        <v>51667</v>
      </c>
      <c r="K8222" s="5" t="s">
        <v>51668</v>
      </c>
      <c r="M8222" s="5" t="s">
        <v>51669</v>
      </c>
      <c r="N8222" s="7" t="s">
        <v>51670</v>
      </c>
      <c r="O8222" s="8" t="str">
        <f>HYPERLINK("https://drive.google.com/file/d/1W1QI9Fu4cSDM6s_F0q0ajzdJh83qXzgX/view?usp=drivesdk","8221_SAIMAN _ SERTIFIKAT BerAKHLAK")</f>
        <v>8221_SAIMAN _ SERTIFIKAT BerAKHLAK</v>
      </c>
      <c r="P8222" s="5" t="s">
        <v>51671</v>
      </c>
    </row>
    <row r="8223" hidden="1">
      <c r="A8223" s="4">
        <v>45534.39757702546</v>
      </c>
      <c r="B8223" s="5" t="s">
        <v>19</v>
      </c>
      <c r="C8223" s="5" t="s">
        <v>5564</v>
      </c>
      <c r="E8223" s="5" t="s">
        <v>51672</v>
      </c>
      <c r="F8223" s="5" t="s">
        <v>108</v>
      </c>
      <c r="G8223" s="5" t="s">
        <v>51673</v>
      </c>
      <c r="H8223" s="6" t="s">
        <v>51674</v>
      </c>
      <c r="K8223" s="5" t="s">
        <v>51668</v>
      </c>
      <c r="M8223" s="5" t="s">
        <v>51675</v>
      </c>
      <c r="N8223" s="7" t="s">
        <v>51676</v>
      </c>
      <c r="O8223" s="8" t="str">
        <f>HYPERLINK("https://drive.google.com/file/d/1rFBZvaj6aTdJyPhkXdTq2PxnLEEDYPJk/view?usp=drivesdk","8222_HARLY ALFARED, S.Kom _ SERTIFIKAT BerAKHLAK")</f>
        <v>8222_HARLY ALFARED, S.Kom _ SERTIFIKAT BerAKHLAK</v>
      </c>
      <c r="P8223" s="5" t="s">
        <v>51677</v>
      </c>
    </row>
    <row r="8224">
      <c r="A8224" s="4">
        <v>45534.397580613426</v>
      </c>
      <c r="B8224" s="5" t="s">
        <v>34</v>
      </c>
      <c r="D8224" s="5" t="s">
        <v>4775</v>
      </c>
      <c r="E8224" s="5" t="s">
        <v>15217</v>
      </c>
      <c r="F8224" s="5" t="s">
        <v>199</v>
      </c>
      <c r="G8224" s="5" t="s">
        <v>51678</v>
      </c>
      <c r="H8224" s="6" t="s">
        <v>51679</v>
      </c>
      <c r="K8224" s="5" t="s">
        <v>51668</v>
      </c>
      <c r="M8224" s="5" t="s">
        <v>51680</v>
      </c>
      <c r="N8224" s="7" t="s">
        <v>51681</v>
      </c>
      <c r="O8224" s="8" t="str">
        <f>HYPERLINK("https://drive.google.com/file/d/1coe58-_Ik1PBWrgL7-3BmmXbEyXrQPIc/view?usp=drivesdk","8223_SRI HARTATI _ SERTIFIKAT BerAKHLAK")</f>
        <v>8223_SRI HARTATI _ SERTIFIKAT BerAKHLAK</v>
      </c>
      <c r="P8224" s="5" t="s">
        <v>51682</v>
      </c>
    </row>
    <row r="8225">
      <c r="A8225" s="4">
        <v>45534.39762657408</v>
      </c>
      <c r="B8225" s="5" t="s">
        <v>34</v>
      </c>
      <c r="D8225" s="5" t="s">
        <v>12978</v>
      </c>
      <c r="E8225" s="5" t="s">
        <v>51683</v>
      </c>
      <c r="F8225" s="5" t="s">
        <v>212</v>
      </c>
      <c r="G8225" s="5" t="s">
        <v>51684</v>
      </c>
      <c r="H8225" s="6" t="s">
        <v>51685</v>
      </c>
      <c r="K8225" s="5" t="s">
        <v>51686</v>
      </c>
      <c r="M8225" s="5" t="s">
        <v>51687</v>
      </c>
      <c r="N8225" s="7" t="s">
        <v>51688</v>
      </c>
      <c r="O8225" s="8" t="str">
        <f>HYPERLINK("https://drive.google.com/file/d/1XMH2b8zabLhjPQN__fGfHvOGH3EP3z2-/view?usp=drivesdk","8224_SRI NURIDA _ SERTIFIKAT BerAKHLAK")</f>
        <v>8224_SRI NURIDA _ SERTIFIKAT BerAKHLAK</v>
      </c>
      <c r="P8225" s="5" t="s">
        <v>51689</v>
      </c>
    </row>
    <row r="8226">
      <c r="A8226" s="4">
        <v>45534.39763179398</v>
      </c>
      <c r="B8226" s="5" t="s">
        <v>34</v>
      </c>
      <c r="D8226" s="5" t="s">
        <v>1206</v>
      </c>
      <c r="E8226" s="5" t="s">
        <v>51690</v>
      </c>
      <c r="F8226" s="5" t="s">
        <v>37</v>
      </c>
      <c r="G8226" s="5" t="s">
        <v>50841</v>
      </c>
      <c r="H8226" s="6" t="s">
        <v>51691</v>
      </c>
      <c r="K8226" s="5" t="s">
        <v>51686</v>
      </c>
      <c r="M8226" s="5" t="s">
        <v>51692</v>
      </c>
      <c r="N8226" s="7" t="s">
        <v>51693</v>
      </c>
      <c r="O8226" s="8" t="str">
        <f>HYPERLINK("https://drive.google.com/file/d/1oeFd7w7xN2Y4lifiQts7AXq5taCFA_SC/view?usp=drivesdk","8225_APRLIA SUWITO KARTUMI _ SERTIFIKAT BerAKHLAK")</f>
        <v>8225_APRLIA SUWITO KARTUMI _ SERTIFIKAT BerAKHLAK</v>
      </c>
      <c r="P8226" s="5" t="s">
        <v>51694</v>
      </c>
    </row>
    <row r="8227">
      <c r="A8227" s="4">
        <v>45534.39766929398</v>
      </c>
      <c r="B8227" s="5" t="s">
        <v>34</v>
      </c>
      <c r="D8227" s="5" t="s">
        <v>701</v>
      </c>
      <c r="E8227" s="5" t="s">
        <v>51695</v>
      </c>
      <c r="F8227" s="5" t="s">
        <v>108</v>
      </c>
      <c r="G8227" s="5" t="s">
        <v>51696</v>
      </c>
      <c r="H8227" s="6" t="s">
        <v>51697</v>
      </c>
      <c r="K8227" s="5" t="s">
        <v>51698</v>
      </c>
      <c r="M8227" s="5" t="s">
        <v>51699</v>
      </c>
      <c r="N8227" s="7" t="s">
        <v>51700</v>
      </c>
      <c r="O8227" s="8" t="str">
        <f>HYPERLINK("https://drive.google.com/file/d/1UA9SF8bkTOXy8AS9qjHZwgiYVVUYzNXJ/view?usp=drivesdk","8226_dr. MUHAMMAD IRVAN _ SERTIFIKAT BerAKHLAK")</f>
        <v>8226_dr. MUHAMMAD IRVAN _ SERTIFIKAT BerAKHLAK</v>
      </c>
      <c r="P8227" s="5" t="s">
        <v>51701</v>
      </c>
    </row>
    <row r="8228">
      <c r="A8228" s="4">
        <v>45534.397726006944</v>
      </c>
      <c r="B8228" s="5" t="s">
        <v>34</v>
      </c>
      <c r="D8228" s="5" t="s">
        <v>522</v>
      </c>
      <c r="E8228" s="5" t="s">
        <v>51702</v>
      </c>
      <c r="F8228" s="5" t="s">
        <v>212</v>
      </c>
      <c r="G8228" s="5" t="s">
        <v>51703</v>
      </c>
      <c r="H8228" s="6" t="s">
        <v>51704</v>
      </c>
      <c r="K8228" s="5" t="s">
        <v>51705</v>
      </c>
      <c r="M8228" s="5" t="s">
        <v>51706</v>
      </c>
      <c r="N8228" s="7" t="s">
        <v>51707</v>
      </c>
      <c r="O8228" s="8" t="str">
        <f>HYPERLINK("https://drive.google.com/file/d/1PW7HYHHtpWfpXAPpa8p-HHI6TsvWxsr8/view?usp=drivesdk","8227_IKHSAN  _ SERTIFIKAT BerAKHLAK")</f>
        <v>8227_IKHSAN  _ SERTIFIKAT BerAKHLAK</v>
      </c>
      <c r="P8228" s="5" t="s">
        <v>51708</v>
      </c>
    </row>
    <row r="8229">
      <c r="A8229" s="4">
        <v>45534.39773557871</v>
      </c>
      <c r="B8229" s="5" t="s">
        <v>34</v>
      </c>
      <c r="D8229" s="5" t="s">
        <v>6232</v>
      </c>
      <c r="E8229" s="5" t="s">
        <v>51709</v>
      </c>
      <c r="F8229" s="5" t="s">
        <v>375</v>
      </c>
      <c r="G8229" s="5" t="s">
        <v>51710</v>
      </c>
      <c r="H8229" s="6" t="s">
        <v>51711</v>
      </c>
      <c r="K8229" s="5" t="s">
        <v>51705</v>
      </c>
      <c r="M8229" s="5" t="s">
        <v>51712</v>
      </c>
      <c r="N8229" s="7" t="s">
        <v>51713</v>
      </c>
      <c r="O8229" s="8" t="str">
        <f>HYPERLINK("https://drive.google.com/file/d/1BNee0Qc68L_F3mTBbbfxrHPYzXVl4Ep8/view?usp=drivesdk","8228_NURSIMA,SH _ SERTIFIKAT BerAKHLAK")</f>
        <v>8228_NURSIMA,SH _ SERTIFIKAT BerAKHLAK</v>
      </c>
      <c r="P8229" s="5" t="s">
        <v>51714</v>
      </c>
    </row>
    <row r="8230">
      <c r="A8230" s="4">
        <v>45534.39773943287</v>
      </c>
      <c r="B8230" s="5" t="s">
        <v>34</v>
      </c>
      <c r="D8230" s="5" t="s">
        <v>1206</v>
      </c>
      <c r="E8230" s="5" t="s">
        <v>51715</v>
      </c>
      <c r="F8230" s="5" t="s">
        <v>37</v>
      </c>
      <c r="G8230" s="5" t="s">
        <v>51716</v>
      </c>
      <c r="H8230" s="6" t="s">
        <v>51717</v>
      </c>
      <c r="K8230" s="5" t="s">
        <v>51705</v>
      </c>
      <c r="M8230" s="5" t="s">
        <v>51718</v>
      </c>
      <c r="N8230" s="7" t="s">
        <v>51719</v>
      </c>
      <c r="O8230" s="8" t="str">
        <f>HYPERLINK("https://drive.google.com/file/d/1WqAp8xTDvsFdhSXSMJBHHSIa2ALejZiL/view?usp=drivesdk","8229_ZUYYINAH  _ SERTIFIKAT BerAKHLAK")</f>
        <v>8229_ZUYYINAH  _ SERTIFIKAT BerAKHLAK</v>
      </c>
      <c r="P8230" s="5" t="s">
        <v>51720</v>
      </c>
    </row>
    <row r="8231" hidden="1">
      <c r="A8231" s="4">
        <v>45534.3977534375</v>
      </c>
      <c r="B8231" s="5" t="s">
        <v>19</v>
      </c>
      <c r="C8231" s="5" t="s">
        <v>5058</v>
      </c>
      <c r="E8231" s="5" t="s">
        <v>51721</v>
      </c>
      <c r="F8231" s="5" t="s">
        <v>120</v>
      </c>
      <c r="G8231" s="5" t="s">
        <v>51722</v>
      </c>
      <c r="H8231" s="6" t="s">
        <v>51723</v>
      </c>
      <c r="K8231" s="5" t="s">
        <v>51705</v>
      </c>
      <c r="M8231" s="5" t="s">
        <v>51724</v>
      </c>
      <c r="N8231" s="7" t="s">
        <v>51725</v>
      </c>
      <c r="O8231" s="8" t="str">
        <f>HYPERLINK("https://drive.google.com/file/d/15Cn1Z5HGe0ZwDJ83XrAtkwDUeONDMgQI/view?usp=drivesdk","8230_BAMBANG EKOWARSO _ SERTIFIKAT BerAKHLAK")</f>
        <v>8230_BAMBANG EKOWARSO _ SERTIFIKAT BerAKHLAK</v>
      </c>
      <c r="P8231" s="5" t="s">
        <v>51726</v>
      </c>
    </row>
    <row r="8232" hidden="1">
      <c r="A8232" s="4">
        <v>45534.39777436343</v>
      </c>
      <c r="B8232" s="5" t="s">
        <v>19</v>
      </c>
      <c r="C8232" s="5" t="s">
        <v>3301</v>
      </c>
      <c r="E8232" s="5" t="s">
        <v>51727</v>
      </c>
      <c r="F8232" s="5" t="s">
        <v>715</v>
      </c>
      <c r="G8232" s="5" t="s">
        <v>51728</v>
      </c>
      <c r="H8232" s="6" t="s">
        <v>51729</v>
      </c>
      <c r="K8232" s="5" t="s">
        <v>51730</v>
      </c>
      <c r="M8232" s="5" t="s">
        <v>51731</v>
      </c>
      <c r="N8232" s="7" t="s">
        <v>51732</v>
      </c>
      <c r="O8232" s="8" t="str">
        <f>HYPERLINK("https://drive.google.com/file/d/1ITraTG8IpmWl7oZDlXzq6Izsqn_nmmhv/view?usp=drivesdk","8231_JUNIARTI, AMD.FARM _ SERTIFIKAT BerAKHLAK")</f>
        <v>8231_JUNIARTI, AMD.FARM _ SERTIFIKAT BerAKHLAK</v>
      </c>
      <c r="P8232" s="5" t="s">
        <v>51733</v>
      </c>
    </row>
    <row r="8233">
      <c r="A8233" s="4">
        <v>45534.39778422454</v>
      </c>
      <c r="B8233" s="5" t="s">
        <v>34</v>
      </c>
      <c r="D8233" s="5" t="s">
        <v>1206</v>
      </c>
      <c r="E8233" s="5" t="s">
        <v>51734</v>
      </c>
      <c r="F8233" s="5" t="s">
        <v>212</v>
      </c>
      <c r="G8233" s="5" t="s">
        <v>51735</v>
      </c>
      <c r="H8233" s="6" t="s">
        <v>51736</v>
      </c>
      <c r="K8233" s="5" t="s">
        <v>51730</v>
      </c>
      <c r="M8233" s="5" t="s">
        <v>51737</v>
      </c>
      <c r="N8233" s="7" t="s">
        <v>51738</v>
      </c>
      <c r="O8233" s="8" t="str">
        <f>HYPERLINK("https://drive.google.com/file/d/1JoJCov5BCDMOZ_TTNE_zP1tR70u9ylcq/view?usp=drivesdk","8232_SOLI II _ SERTIFIKAT BerAKHLAK")</f>
        <v>8232_SOLI II _ SERTIFIKAT BerAKHLAK</v>
      </c>
      <c r="P8233" s="5" t="s">
        <v>51739</v>
      </c>
    </row>
    <row r="8234">
      <c r="A8234" s="4">
        <v>45534.397816365745</v>
      </c>
      <c r="B8234" s="5" t="s">
        <v>34</v>
      </c>
      <c r="D8234" s="5" t="s">
        <v>996</v>
      </c>
      <c r="E8234" s="5" t="s">
        <v>51740</v>
      </c>
      <c r="F8234" s="5" t="s">
        <v>212</v>
      </c>
      <c r="G8234" s="5" t="s">
        <v>11340</v>
      </c>
      <c r="H8234" s="6" t="s">
        <v>51741</v>
      </c>
      <c r="K8234" s="5" t="s">
        <v>51742</v>
      </c>
      <c r="M8234" s="5" t="s">
        <v>51743</v>
      </c>
      <c r="N8234" s="7" t="s">
        <v>51744</v>
      </c>
      <c r="O8234" s="8" t="str">
        <f>HYPERLINK("https://drive.google.com/file/d/1bRbTzZUFVAg3NALjil1ryHQAFlkPcuIc/view?usp=drivesdk","8233_RAHMAWATY _ SERTIFIKAT BerAKHLAK")</f>
        <v>8233_RAHMAWATY _ SERTIFIKAT BerAKHLAK</v>
      </c>
      <c r="P8234" s="5" t="s">
        <v>51745</v>
      </c>
    </row>
    <row r="8235">
      <c r="A8235" s="4">
        <v>45534.397841412036</v>
      </c>
      <c r="B8235" s="5" t="s">
        <v>34</v>
      </c>
      <c r="D8235" s="5" t="s">
        <v>9394</v>
      </c>
      <c r="E8235" s="5" t="s">
        <v>29560</v>
      </c>
      <c r="F8235" s="5" t="s">
        <v>37</v>
      </c>
      <c r="G8235" s="5" t="s">
        <v>51746</v>
      </c>
      <c r="H8235" s="6" t="s">
        <v>51747</v>
      </c>
      <c r="K8235" s="5" t="s">
        <v>51748</v>
      </c>
      <c r="M8235" s="5" t="s">
        <v>51749</v>
      </c>
      <c r="N8235" s="7" t="s">
        <v>51750</v>
      </c>
      <c r="O8235" s="8" t="str">
        <f>HYPERLINK("https://drive.google.com/file/d/16XVejxdIMxkYgjAeWbQY08-FLFb1Ntqi/view?usp=drivesdk","8234_INDRIYANI _ SERTIFIKAT BerAKHLAK")</f>
        <v>8234_INDRIYANI _ SERTIFIKAT BerAKHLAK</v>
      </c>
      <c r="P8235" s="5" t="s">
        <v>51751</v>
      </c>
    </row>
    <row r="8236" hidden="1">
      <c r="A8236" s="4">
        <v>45534.39787357639</v>
      </c>
      <c r="B8236" s="5" t="s">
        <v>19</v>
      </c>
      <c r="C8236" s="5" t="s">
        <v>10418</v>
      </c>
      <c r="E8236" s="5" t="s">
        <v>51752</v>
      </c>
      <c r="F8236" s="5" t="s">
        <v>108</v>
      </c>
      <c r="G8236" s="5" t="s">
        <v>51753</v>
      </c>
      <c r="H8236" s="6" t="s">
        <v>51754</v>
      </c>
      <c r="K8236" s="5" t="s">
        <v>51755</v>
      </c>
      <c r="M8236" s="5" t="s">
        <v>51756</v>
      </c>
      <c r="N8236" s="7" t="s">
        <v>51757</v>
      </c>
      <c r="O8236" s="8" t="str">
        <f>HYPERLINK("https://drive.google.com/file/d/1Zkca-Mpe9uBD6vSfjJnr--pry9SoBXs0/view?usp=drivesdk","8235_MOCHAMAD MUKHSININ, S.KOM. _ SERTIFIKAT BerAKHLAK")</f>
        <v>8235_MOCHAMAD MUKHSININ, S.KOM. _ SERTIFIKAT BerAKHLAK</v>
      </c>
      <c r="P8236" s="5" t="s">
        <v>51758</v>
      </c>
    </row>
    <row r="8237">
      <c r="A8237" s="4">
        <v>45534.397877152776</v>
      </c>
      <c r="B8237" s="5" t="s">
        <v>34</v>
      </c>
      <c r="D8237" s="5" t="s">
        <v>35</v>
      </c>
      <c r="E8237" s="5" t="s">
        <v>51759</v>
      </c>
      <c r="F8237" s="5" t="s">
        <v>72</v>
      </c>
      <c r="G8237" s="5" t="s">
        <v>3244</v>
      </c>
      <c r="H8237" s="6" t="s">
        <v>51760</v>
      </c>
      <c r="K8237" s="5" t="s">
        <v>51755</v>
      </c>
      <c r="M8237" s="5" t="s">
        <v>51761</v>
      </c>
      <c r="N8237" s="7" t="s">
        <v>51762</v>
      </c>
      <c r="O8237" s="8" t="str">
        <f>HYPERLINK("https://drive.google.com/file/d/1G3dKH4j-RT_-WSIFm_URu2jo0My4DYSs/view?usp=drivesdk","8236_ASIDO BENARDO PARDAMEAN, S.Akun _ SERTIFIKAT BerAKHLAK")</f>
        <v>8236_ASIDO BENARDO PARDAMEAN, S.Akun _ SERTIFIKAT BerAKHLAK</v>
      </c>
      <c r="P8237" s="5" t="s">
        <v>51763</v>
      </c>
    </row>
    <row r="8238">
      <c r="A8238" s="4">
        <v>45534.397911203705</v>
      </c>
      <c r="B8238" s="5" t="s">
        <v>34</v>
      </c>
      <c r="D8238" s="5" t="s">
        <v>9020</v>
      </c>
      <c r="E8238" s="5" t="s">
        <v>51764</v>
      </c>
      <c r="F8238" s="5" t="s">
        <v>37</v>
      </c>
      <c r="G8238" s="5" t="s">
        <v>51765</v>
      </c>
      <c r="H8238" s="6" t="s">
        <v>51766</v>
      </c>
      <c r="K8238" s="5" t="s">
        <v>51767</v>
      </c>
      <c r="M8238" s="5" t="s">
        <v>51768</v>
      </c>
      <c r="N8238" s="7" t="s">
        <v>51769</v>
      </c>
      <c r="O8238" s="8" t="str">
        <f>HYPERLINK("https://drive.google.com/file/d/1yeJGtSOHZ-D0mWuQUfZXhrPB2UUxjuW4/view?usp=drivesdk","8237_YESNIDAR _ SERTIFIKAT BerAKHLAK")</f>
        <v>8237_YESNIDAR _ SERTIFIKAT BerAKHLAK</v>
      </c>
      <c r="P8238" s="5" t="s">
        <v>51770</v>
      </c>
    </row>
    <row r="8239">
      <c r="A8239" s="4">
        <v>45534.39793998843</v>
      </c>
      <c r="B8239" s="5" t="s">
        <v>34</v>
      </c>
      <c r="D8239" s="5" t="s">
        <v>1456</v>
      </c>
      <c r="E8239" s="5" t="s">
        <v>51771</v>
      </c>
      <c r="F8239" s="5" t="s">
        <v>212</v>
      </c>
      <c r="G8239" s="5" t="s">
        <v>51772</v>
      </c>
      <c r="H8239" s="6" t="s">
        <v>51773</v>
      </c>
      <c r="K8239" s="5" t="s">
        <v>51767</v>
      </c>
      <c r="M8239" s="5" t="s">
        <v>51774</v>
      </c>
      <c r="N8239" s="7" t="s">
        <v>51775</v>
      </c>
      <c r="O8239" s="8" t="str">
        <f>HYPERLINK("https://drive.google.com/file/d/1DyyRMCLSJFK33nC03chCNcq-fwYObW49/view?usp=drivesdk","8238_RITA YULIANA, S.H. _ SERTIFIKAT BerAKHLAK")</f>
        <v>8238_RITA YULIANA, S.H. _ SERTIFIKAT BerAKHLAK</v>
      </c>
      <c r="P8239" s="5" t="s">
        <v>51776</v>
      </c>
    </row>
    <row r="8240" hidden="1">
      <c r="A8240" s="4">
        <v>45534.39800623842</v>
      </c>
      <c r="B8240" s="5" t="s">
        <v>19</v>
      </c>
      <c r="C8240" s="5" t="s">
        <v>1498</v>
      </c>
      <c r="E8240" s="5" t="s">
        <v>51777</v>
      </c>
      <c r="F8240" s="5" t="s">
        <v>120</v>
      </c>
      <c r="G8240" s="5" t="s">
        <v>51778</v>
      </c>
      <c r="H8240" s="6" t="s">
        <v>51779</v>
      </c>
      <c r="K8240" s="5" t="s">
        <v>51780</v>
      </c>
      <c r="M8240" s="5" t="s">
        <v>51781</v>
      </c>
      <c r="N8240" s="7" t="s">
        <v>51782</v>
      </c>
      <c r="O8240" s="8" t="str">
        <f>HYPERLINK("https://drive.google.com/file/d/1UXdqVp7ftlK-d5RXxdlMQnMyoRPL2KXf/view?usp=drivesdk","8239_RIKO, S.Kom _ SERTIFIKAT BerAKHLAK")</f>
        <v>8239_RIKO, S.Kom _ SERTIFIKAT BerAKHLAK</v>
      </c>
      <c r="P8240" s="5" t="s">
        <v>51783</v>
      </c>
    </row>
    <row r="8241" hidden="1">
      <c r="A8241" s="4">
        <v>45534.39801337963</v>
      </c>
      <c r="B8241" s="5" t="s">
        <v>19</v>
      </c>
      <c r="C8241" s="5" t="s">
        <v>292</v>
      </c>
      <c r="E8241" s="5" t="s">
        <v>51784</v>
      </c>
      <c r="F8241" s="5" t="s">
        <v>72</v>
      </c>
      <c r="G8241" s="5" t="s">
        <v>51785</v>
      </c>
      <c r="H8241" s="6" t="s">
        <v>51786</v>
      </c>
      <c r="K8241" s="5" t="s">
        <v>51780</v>
      </c>
      <c r="M8241" s="5" t="s">
        <v>51787</v>
      </c>
      <c r="N8241" s="7" t="s">
        <v>51788</v>
      </c>
      <c r="O8241" s="8" t="str">
        <f>HYPERLINK("https://drive.google.com/file/d/1fwQ0uGKIIy0ulFPObmSaTWel2Yj9IoDz/view?usp=drivesdk","8240_WIDI BANGUN BINURWOTO  _ SERTIFIKAT BerAKHLAK")</f>
        <v>8240_WIDI BANGUN BINURWOTO  _ SERTIFIKAT BerAKHLAK</v>
      </c>
      <c r="P8241" s="5" t="s">
        <v>51789</v>
      </c>
    </row>
    <row r="8242">
      <c r="A8242" s="4">
        <v>45534.39803490741</v>
      </c>
      <c r="B8242" s="5" t="s">
        <v>34</v>
      </c>
      <c r="D8242" s="5" t="s">
        <v>1206</v>
      </c>
      <c r="E8242" s="5" t="s">
        <v>51790</v>
      </c>
      <c r="F8242" s="5" t="s">
        <v>199</v>
      </c>
      <c r="G8242" s="5" t="s">
        <v>51791</v>
      </c>
      <c r="H8242" s="6" t="s">
        <v>51792</v>
      </c>
      <c r="K8242" s="5" t="s">
        <v>51780</v>
      </c>
      <c r="M8242" s="5" t="s">
        <v>51793</v>
      </c>
      <c r="N8242" s="7" t="s">
        <v>51794</v>
      </c>
      <c r="O8242" s="8" t="str">
        <f>HYPERLINK("https://drive.google.com/file/d/1_YRdX_WtV0asu1AuMCHFhDitYYPVQZwy/view?usp=drivesdk","8241_SUPRAPTO _ SERTIFIKAT BerAKHLAK")</f>
        <v>8241_SUPRAPTO _ SERTIFIKAT BerAKHLAK</v>
      </c>
      <c r="P8242" s="5" t="s">
        <v>51795</v>
      </c>
    </row>
    <row r="8243">
      <c r="A8243" s="4">
        <v>45534.39803981481</v>
      </c>
      <c r="B8243" s="5" t="s">
        <v>34</v>
      </c>
      <c r="D8243" s="5" t="s">
        <v>1456</v>
      </c>
      <c r="E8243" s="5" t="s">
        <v>51796</v>
      </c>
      <c r="F8243" s="5" t="s">
        <v>524</v>
      </c>
      <c r="G8243" s="5" t="s">
        <v>51797</v>
      </c>
      <c r="H8243" s="6" t="s">
        <v>51798</v>
      </c>
      <c r="K8243" s="5" t="s">
        <v>51780</v>
      </c>
      <c r="M8243" s="5" t="s">
        <v>51799</v>
      </c>
      <c r="N8243" s="7" t="s">
        <v>51800</v>
      </c>
      <c r="O8243" s="8" t="str">
        <f>HYPERLINK("https://drive.google.com/file/d/1LF5NrAT8jUOG-zij37npBL7vhNJvcbBl/view?usp=drivesdk","8242_ERLIYANTO _ SERTIFIKAT BerAKHLAK")</f>
        <v>8242_ERLIYANTO _ SERTIFIKAT BerAKHLAK</v>
      </c>
      <c r="P8243" s="5" t="s">
        <v>51801</v>
      </c>
    </row>
    <row r="8244">
      <c r="A8244" s="4">
        <v>45534.39808002315</v>
      </c>
      <c r="B8244" s="5" t="s">
        <v>34</v>
      </c>
      <c r="D8244" s="5" t="s">
        <v>7858</v>
      </c>
      <c r="E8244" s="5" t="s">
        <v>51802</v>
      </c>
      <c r="F8244" s="5" t="s">
        <v>37</v>
      </c>
      <c r="G8244" s="5" t="s">
        <v>51803</v>
      </c>
      <c r="H8244" s="6" t="s">
        <v>51804</v>
      </c>
      <c r="K8244" s="5" t="s">
        <v>51805</v>
      </c>
      <c r="M8244" s="5" t="s">
        <v>51806</v>
      </c>
      <c r="N8244" s="7" t="s">
        <v>51807</v>
      </c>
      <c r="O8244" s="8" t="str">
        <f>HYPERLINK("https://drive.google.com/file/d/1c4Ky2XMFHARueFKyPqCeetYGpn9CTpRw/view?usp=drivesdk","8243_SITI MUNAJAH _ SERTIFIKAT BerAKHLAK")</f>
        <v>8243_SITI MUNAJAH _ SERTIFIKAT BerAKHLAK</v>
      </c>
      <c r="P8244" s="5" t="s">
        <v>51808</v>
      </c>
    </row>
    <row r="8245">
      <c r="A8245" s="4">
        <v>45534.398083506945</v>
      </c>
      <c r="B8245" s="5" t="s">
        <v>34</v>
      </c>
      <c r="D8245" s="5" t="s">
        <v>9020</v>
      </c>
      <c r="E8245" s="5" t="s">
        <v>51809</v>
      </c>
      <c r="F8245" s="5" t="s">
        <v>37</v>
      </c>
      <c r="G8245" s="5" t="s">
        <v>51810</v>
      </c>
      <c r="H8245" s="6" t="s">
        <v>51811</v>
      </c>
      <c r="K8245" s="5" t="s">
        <v>51812</v>
      </c>
      <c r="M8245" s="5" t="s">
        <v>51813</v>
      </c>
      <c r="N8245" s="7" t="s">
        <v>51814</v>
      </c>
      <c r="O8245" s="8" t="str">
        <f>HYPERLINK("https://drive.google.com/file/d/1HjdRuGIjduSds_QzXXRoFMiBkkIyJ771/view?usp=drivesdk","8244_DEWI SARTIKA SILALAHI _ SERTIFIKAT BerAKHLAK")</f>
        <v>8244_DEWI SARTIKA SILALAHI _ SERTIFIKAT BerAKHLAK</v>
      </c>
      <c r="P8245" s="5" t="s">
        <v>50487</v>
      </c>
    </row>
    <row r="8246">
      <c r="A8246" s="4">
        <v>45534.398138310185</v>
      </c>
      <c r="B8246" s="5" t="s">
        <v>34</v>
      </c>
      <c r="D8246" s="5" t="s">
        <v>1206</v>
      </c>
      <c r="E8246" s="5" t="s">
        <v>51815</v>
      </c>
      <c r="F8246" s="5" t="s">
        <v>212</v>
      </c>
      <c r="G8246" s="5" t="s">
        <v>51816</v>
      </c>
      <c r="H8246" s="6" t="s">
        <v>51817</v>
      </c>
      <c r="K8246" s="5" t="s">
        <v>51818</v>
      </c>
      <c r="M8246" s="5" t="s">
        <v>51819</v>
      </c>
      <c r="N8246" s="7" t="s">
        <v>51820</v>
      </c>
      <c r="O8246" s="8" t="str">
        <f>HYPERLINK("https://drive.google.com/file/d/1_sVwBEZkQqhAGiaWjuZjmS-zVSIbFmE3/view?usp=drivesdk","8245_NILA PUSPITASARI _ SERTIFIKAT BerAKHLAK")</f>
        <v>8245_NILA PUSPITASARI _ SERTIFIKAT BerAKHLAK</v>
      </c>
      <c r="P8246" s="5" t="s">
        <v>49816</v>
      </c>
    </row>
    <row r="8247">
      <c r="A8247" s="4">
        <v>45534.398169548615</v>
      </c>
      <c r="B8247" s="5" t="s">
        <v>34</v>
      </c>
      <c r="D8247" s="5" t="s">
        <v>1206</v>
      </c>
      <c r="E8247" s="5" t="s">
        <v>51821</v>
      </c>
      <c r="F8247" s="5" t="s">
        <v>72</v>
      </c>
      <c r="G8247" s="5" t="s">
        <v>51822</v>
      </c>
      <c r="H8247" s="6" t="s">
        <v>51823</v>
      </c>
      <c r="K8247" s="5" t="s">
        <v>51824</v>
      </c>
      <c r="M8247" s="5" t="s">
        <v>51825</v>
      </c>
      <c r="N8247" s="7" t="s">
        <v>51826</v>
      </c>
      <c r="O8247" s="8" t="str">
        <f>HYPERLINK("https://drive.google.com/file/d/174wzGpRC0J8VUqlWP2IrAcpW8avaHYm8/view?usp=drivesdk","8246_VEGA IRMAWATI _ SERTIFIKAT BerAKHLAK")</f>
        <v>8246_VEGA IRMAWATI _ SERTIFIKAT BerAKHLAK</v>
      </c>
      <c r="P8247" s="5" t="s">
        <v>49816</v>
      </c>
    </row>
    <row r="8248">
      <c r="A8248" s="4">
        <v>45534.3982277662</v>
      </c>
      <c r="B8248" s="5" t="s">
        <v>34</v>
      </c>
      <c r="D8248" s="5" t="s">
        <v>12978</v>
      </c>
      <c r="E8248" s="5" t="s">
        <v>51827</v>
      </c>
      <c r="F8248" s="5" t="s">
        <v>37</v>
      </c>
      <c r="G8248" s="5" t="s">
        <v>51828</v>
      </c>
      <c r="H8248" s="6" t="s">
        <v>51829</v>
      </c>
      <c r="K8248" s="5" t="s">
        <v>51830</v>
      </c>
      <c r="M8248" s="5" t="s">
        <v>51831</v>
      </c>
      <c r="N8248" s="7" t="s">
        <v>51832</v>
      </c>
      <c r="O8248" s="8" t="str">
        <f>HYPERLINK("https://drive.google.com/file/d/1C7RQ45KfjHWNj4MgmGdfQ6SlTWAbFXcV/view?usp=drivesdk","8247_MAYA ANDINI _ SERTIFIKAT BerAKHLAK")</f>
        <v>8247_MAYA ANDINI _ SERTIFIKAT BerAKHLAK</v>
      </c>
      <c r="P8248" s="5" t="s">
        <v>49832</v>
      </c>
    </row>
    <row r="8249">
      <c r="A8249" s="4">
        <v>45534.39824267361</v>
      </c>
      <c r="B8249" s="5" t="s">
        <v>34</v>
      </c>
      <c r="D8249" s="5" t="s">
        <v>12978</v>
      </c>
      <c r="E8249" s="5" t="s">
        <v>51833</v>
      </c>
      <c r="F8249" s="5" t="s">
        <v>212</v>
      </c>
      <c r="G8249" s="5" t="s">
        <v>51834</v>
      </c>
      <c r="H8249" s="6" t="s">
        <v>51835</v>
      </c>
      <c r="K8249" s="5" t="s">
        <v>51830</v>
      </c>
      <c r="M8249" s="5" t="s">
        <v>51836</v>
      </c>
      <c r="N8249" s="7" t="s">
        <v>51837</v>
      </c>
      <c r="O8249" s="8" t="str">
        <f>HYPERLINK("https://drive.google.com/file/d/1greLAg1omvRqMt5dHkPNrEeaU6KYmNAe/view?usp=drivesdk","8248_KRESTO HIDAYAT AMINTOROGO _ SERTIFIKAT BerAKHLAK")</f>
        <v>8248_KRESTO HIDAYAT AMINTOROGO _ SERTIFIKAT BerAKHLAK</v>
      </c>
      <c r="P8249" s="5" t="s">
        <v>49832</v>
      </c>
    </row>
    <row r="8250">
      <c r="A8250" s="4">
        <v>45534.39837354167</v>
      </c>
      <c r="B8250" s="5" t="s">
        <v>34</v>
      </c>
      <c r="D8250" s="5" t="s">
        <v>580</v>
      </c>
      <c r="E8250" s="5" t="s">
        <v>51838</v>
      </c>
      <c r="F8250" s="5" t="s">
        <v>212</v>
      </c>
      <c r="G8250" s="5" t="s">
        <v>51839</v>
      </c>
      <c r="H8250" s="6" t="s">
        <v>51840</v>
      </c>
      <c r="K8250" s="5" t="s">
        <v>51841</v>
      </c>
      <c r="M8250" s="5" t="s">
        <v>51842</v>
      </c>
      <c r="N8250" s="7" t="s">
        <v>51843</v>
      </c>
      <c r="O8250" s="8" t="str">
        <f>HYPERLINK("https://drive.google.com/file/d/1yIZWHhNqL0zya8vaEQUmmaVjHWGu3Kzq/view?usp=drivesdk","8249_Ketut Agus Paramartha S. Kep _ SERTIFIKAT BerAKHLAK")</f>
        <v>8249_Ketut Agus Paramartha S. Kep _ SERTIFIKAT BerAKHLAK</v>
      </c>
      <c r="P8250" s="5" t="s">
        <v>49832</v>
      </c>
    </row>
    <row r="8251">
      <c r="A8251" s="4">
        <v>45534.39842467592</v>
      </c>
      <c r="B8251" s="5" t="s">
        <v>34</v>
      </c>
      <c r="D8251" s="5" t="s">
        <v>267</v>
      </c>
      <c r="E8251" s="5" t="s">
        <v>51844</v>
      </c>
      <c r="F8251" s="5" t="s">
        <v>524</v>
      </c>
      <c r="G8251" s="5" t="s">
        <v>51845</v>
      </c>
      <c r="H8251" s="6" t="s">
        <v>51846</v>
      </c>
      <c r="K8251" s="5" t="s">
        <v>51847</v>
      </c>
      <c r="M8251" s="5" t="s">
        <v>51848</v>
      </c>
      <c r="N8251" s="7" t="s">
        <v>51849</v>
      </c>
      <c r="O8251" s="8" t="str">
        <f>HYPERLINK("https://drive.google.com/file/d/1sGtoKGLzen4ILnAyYgXf_M7cZEWOeBLN/view?usp=drivesdk","8250_SUJAYONO  _ SERTIFIKAT BerAKHLAK")</f>
        <v>8250_SUJAYONO  _ SERTIFIKAT BerAKHLAK</v>
      </c>
      <c r="P8251" s="5" t="s">
        <v>49832</v>
      </c>
    </row>
    <row r="8252">
      <c r="A8252" s="4">
        <v>45534.398428217595</v>
      </c>
      <c r="B8252" s="5" t="s">
        <v>34</v>
      </c>
      <c r="D8252" s="5" t="s">
        <v>35</v>
      </c>
      <c r="E8252" s="5" t="s">
        <v>51850</v>
      </c>
      <c r="F8252" s="5" t="s">
        <v>37</v>
      </c>
      <c r="G8252" s="5" t="s">
        <v>51851</v>
      </c>
      <c r="H8252" s="6" t="s">
        <v>51852</v>
      </c>
      <c r="K8252" s="5" t="s">
        <v>51847</v>
      </c>
      <c r="M8252" s="5" t="s">
        <v>51853</v>
      </c>
      <c r="N8252" s="7" t="s">
        <v>51854</v>
      </c>
      <c r="O8252" s="8" t="str">
        <f>HYPERLINK("https://drive.google.com/file/d/1hoe0-0_GTmEE_LwpNC1I8gZ8JO_eSjDh/view?usp=drivesdk","8251_TINI SUHARTINI _ SERTIFIKAT BerAKHLAK")</f>
        <v>8251_TINI SUHARTINI _ SERTIFIKAT BerAKHLAK</v>
      </c>
      <c r="P8252" s="5" t="s">
        <v>49853</v>
      </c>
    </row>
    <row r="8253">
      <c r="A8253" s="4">
        <v>45534.398437199074</v>
      </c>
      <c r="B8253" s="5" t="s">
        <v>34</v>
      </c>
      <c r="D8253" s="5" t="s">
        <v>9020</v>
      </c>
      <c r="E8253" s="5" t="s">
        <v>51855</v>
      </c>
      <c r="F8253" s="5" t="s">
        <v>375</v>
      </c>
      <c r="G8253" s="5" t="s">
        <v>51856</v>
      </c>
      <c r="H8253" s="6" t="s">
        <v>51857</v>
      </c>
      <c r="K8253" s="5" t="s">
        <v>51858</v>
      </c>
      <c r="M8253" s="5" t="s">
        <v>51859</v>
      </c>
      <c r="N8253" s="7" t="s">
        <v>51860</v>
      </c>
      <c r="O8253" s="8" t="str">
        <f>HYPERLINK("https://drive.google.com/file/d/1llrAjhOn0hYUlbAC0wSCuursJmxmZlSD/view?usp=drivesdk","8252_HUSNAH SARI MAISYAROH TANJUNG _ SERTIFIKAT BerAKHLAK")</f>
        <v>8252_HUSNAH SARI MAISYAROH TANJUNG _ SERTIFIKAT BerAKHLAK</v>
      </c>
      <c r="P8253" s="5" t="s">
        <v>49853</v>
      </c>
    </row>
    <row r="8254">
      <c r="A8254" s="4">
        <v>45534.39845140046</v>
      </c>
      <c r="B8254" s="5" t="s">
        <v>34</v>
      </c>
      <c r="D8254" s="5" t="s">
        <v>1206</v>
      </c>
      <c r="E8254" s="5" t="s">
        <v>45602</v>
      </c>
      <c r="F8254" s="5" t="s">
        <v>37</v>
      </c>
      <c r="G8254" s="5" t="s">
        <v>51861</v>
      </c>
      <c r="H8254" s="6" t="s">
        <v>51862</v>
      </c>
      <c r="K8254" s="5" t="s">
        <v>51858</v>
      </c>
      <c r="M8254" s="5" t="s">
        <v>51863</v>
      </c>
      <c r="N8254" s="7" t="s">
        <v>51864</v>
      </c>
      <c r="O8254" s="8" t="str">
        <f>HYPERLINK("https://drive.google.com/file/d/1KYrUJot_KsiLCeafeOAdvnHjVaU3ONbS/view?usp=drivesdk","8253_LAMSUDI _ SERTIFIKAT BerAKHLAK")</f>
        <v>8253_LAMSUDI _ SERTIFIKAT BerAKHLAK</v>
      </c>
      <c r="P8254" s="5" t="s">
        <v>49853</v>
      </c>
    </row>
    <row r="8255">
      <c r="A8255" s="4">
        <v>45534.39849008102</v>
      </c>
      <c r="B8255" s="5" t="s">
        <v>34</v>
      </c>
      <c r="D8255" s="5" t="s">
        <v>522</v>
      </c>
      <c r="E8255" s="5" t="s">
        <v>51865</v>
      </c>
      <c r="F8255" s="5" t="s">
        <v>37</v>
      </c>
      <c r="G8255" s="5" t="s">
        <v>51866</v>
      </c>
      <c r="H8255" s="6" t="s">
        <v>51867</v>
      </c>
      <c r="K8255" s="5" t="s">
        <v>51868</v>
      </c>
      <c r="M8255" s="5" t="s">
        <v>51869</v>
      </c>
      <c r="N8255" s="7" t="s">
        <v>51870</v>
      </c>
      <c r="O8255" s="8" t="str">
        <f>HYPERLINK("https://drive.google.com/file/d/1Y6vmsm8MaRyVmESJ4S8KJ1tTa96oXzAv/view?usp=drivesdk","8254_INDRA RS _ SERTIFIKAT BerAKHLAK")</f>
        <v>8254_INDRA RS _ SERTIFIKAT BerAKHLAK</v>
      </c>
      <c r="P8255" s="5" t="s">
        <v>49853</v>
      </c>
    </row>
    <row r="8256" hidden="1">
      <c r="A8256" s="4">
        <v>45534.39854893518</v>
      </c>
      <c r="B8256" s="5" t="s">
        <v>19</v>
      </c>
      <c r="C8256" s="5" t="s">
        <v>292</v>
      </c>
      <c r="E8256" s="5" t="s">
        <v>51871</v>
      </c>
      <c r="F8256" s="5" t="s">
        <v>524</v>
      </c>
      <c r="G8256" s="5" t="s">
        <v>51872</v>
      </c>
      <c r="H8256" s="6" t="s">
        <v>51873</v>
      </c>
      <c r="K8256" s="5" t="s">
        <v>51874</v>
      </c>
      <c r="M8256" s="5" t="s">
        <v>51875</v>
      </c>
      <c r="N8256" s="7" t="s">
        <v>51876</v>
      </c>
      <c r="O8256" s="8" t="str">
        <f>HYPERLINK("https://drive.google.com/file/d/1F4QCdimksP_3QKwGOBay-Z4CQ9FtK18m/view?usp=drivesdk","8255_HARIYANTI _ SERTIFIKAT BerAKHLAK")</f>
        <v>8255_HARIYANTI _ SERTIFIKAT BerAKHLAK</v>
      </c>
      <c r="P8256" s="5" t="s">
        <v>49880</v>
      </c>
    </row>
    <row r="8257">
      <c r="A8257" s="4">
        <v>45534.39856123843</v>
      </c>
      <c r="B8257" s="5" t="s">
        <v>34</v>
      </c>
      <c r="D8257" s="5" t="s">
        <v>280</v>
      </c>
      <c r="E8257" s="5" t="s">
        <v>51877</v>
      </c>
      <c r="F8257" s="5" t="s">
        <v>108</v>
      </c>
      <c r="G8257" s="5" t="s">
        <v>51878</v>
      </c>
      <c r="H8257" s="6" t="s">
        <v>51879</v>
      </c>
      <c r="K8257" s="5" t="s">
        <v>51880</v>
      </c>
      <c r="M8257" s="5" t="s">
        <v>51881</v>
      </c>
      <c r="N8257" s="7" t="s">
        <v>51882</v>
      </c>
      <c r="O8257" s="8" t="str">
        <f>HYPERLINK("https://drive.google.com/file/d/12_AP8ZjTHxlz0r021U86NcWBlTp6gVeu/view?usp=drivesdk","8256_MURNI HUTAJULU, AMK _ SERTIFIKAT BerAKHLAK")</f>
        <v>8256_MURNI HUTAJULU, AMK _ SERTIFIKAT BerAKHLAK</v>
      </c>
      <c r="P8257" s="5" t="s">
        <v>49700</v>
      </c>
    </row>
    <row r="8258">
      <c r="A8258" s="4">
        <v>45534.39857546296</v>
      </c>
      <c r="B8258" s="5" t="s">
        <v>34</v>
      </c>
      <c r="D8258" s="5" t="s">
        <v>12978</v>
      </c>
      <c r="E8258" s="5" t="s">
        <v>51883</v>
      </c>
      <c r="F8258" s="5" t="s">
        <v>375</v>
      </c>
      <c r="G8258" s="5" t="s">
        <v>51884</v>
      </c>
      <c r="H8258" s="6" t="s">
        <v>51885</v>
      </c>
      <c r="K8258" s="5" t="s">
        <v>51886</v>
      </c>
      <c r="M8258" s="5" t="s">
        <v>51887</v>
      </c>
      <c r="N8258" s="7" t="s">
        <v>51888</v>
      </c>
      <c r="O8258" s="8" t="str">
        <f>HYPERLINK("https://drive.google.com/file/d/1Glm3cz_8NnJIrf0FREgUdTNObZFK8nFg/view?usp=drivesdk","8257_Nila Wati.S.Pd _ SERTIFIKAT BerAKHLAK")</f>
        <v>8257_Nila Wati.S.Pd _ SERTIFIKAT BerAKHLAK</v>
      </c>
      <c r="P8258" s="5" t="s">
        <v>49700</v>
      </c>
    </row>
    <row r="8259">
      <c r="A8259" s="4">
        <v>45534.39861181713</v>
      </c>
      <c r="B8259" s="5" t="s">
        <v>34</v>
      </c>
      <c r="D8259" s="5" t="s">
        <v>1206</v>
      </c>
      <c r="E8259" s="5" t="s">
        <v>51889</v>
      </c>
      <c r="F8259" s="5" t="s">
        <v>199</v>
      </c>
      <c r="G8259" s="5" t="s">
        <v>51890</v>
      </c>
      <c r="H8259" s="6" t="s">
        <v>51891</v>
      </c>
      <c r="K8259" s="5" t="s">
        <v>51892</v>
      </c>
      <c r="M8259" s="5" t="s">
        <v>51893</v>
      </c>
      <c r="N8259" s="7" t="s">
        <v>51894</v>
      </c>
      <c r="O8259" s="8" t="str">
        <f>HYPERLINK("https://drive.google.com/file/d/1Wp8DozapC1pKDGBDbnuk8BkBou_cA4iP/view?usp=drivesdk","8258_MUJIYONO  _ SERTIFIKAT BerAKHLAK")</f>
        <v>8258_MUJIYONO  _ SERTIFIKAT BerAKHLAK</v>
      </c>
      <c r="P8259" s="5" t="s">
        <v>49700</v>
      </c>
    </row>
    <row r="8260">
      <c r="A8260" s="4">
        <v>45534.39864104167</v>
      </c>
      <c r="B8260" s="5" t="s">
        <v>34</v>
      </c>
      <c r="D8260" s="5" t="s">
        <v>4775</v>
      </c>
      <c r="E8260" s="5" t="s">
        <v>51895</v>
      </c>
      <c r="F8260" s="5" t="s">
        <v>524</v>
      </c>
      <c r="G8260" s="5" t="s">
        <v>51896</v>
      </c>
      <c r="H8260" s="6" t="s">
        <v>51897</v>
      </c>
      <c r="K8260" s="5" t="s">
        <v>51898</v>
      </c>
      <c r="M8260" s="5" t="s">
        <v>51899</v>
      </c>
      <c r="N8260" s="7" t="s">
        <v>51900</v>
      </c>
      <c r="O8260" s="8" t="str">
        <f>HYPERLINK("https://drive.google.com/file/d/1JeVIVVYYQBNAZv_5Dh2QGKqKnelzGN1D/view?usp=drivesdk","8259_ENDANG SULISTIYO DWI RAHAYU _ SERTIFIKAT BerAKHLAK")</f>
        <v>8259_ENDANG SULISTIYO DWI RAHAYU _ SERTIFIKAT BerAKHLAK</v>
      </c>
      <c r="P8260" s="5" t="s">
        <v>49700</v>
      </c>
    </row>
    <row r="8261">
      <c r="A8261" s="4">
        <v>45534.39866881944</v>
      </c>
      <c r="B8261" s="5" t="s">
        <v>34</v>
      </c>
      <c r="D8261" s="5" t="s">
        <v>4775</v>
      </c>
      <c r="E8261" s="5" t="s">
        <v>51901</v>
      </c>
      <c r="F8261" s="5" t="s">
        <v>375</v>
      </c>
      <c r="G8261" s="5" t="s">
        <v>51902</v>
      </c>
      <c r="H8261" s="6" t="s">
        <v>51903</v>
      </c>
      <c r="K8261" s="5" t="s">
        <v>51904</v>
      </c>
      <c r="M8261" s="5" t="s">
        <v>51905</v>
      </c>
      <c r="N8261" s="7" t="s">
        <v>51906</v>
      </c>
      <c r="O8261" s="8" t="str">
        <f>HYPERLINK("https://drive.google.com/file/d/1iMTr9F4N0trB9CoHG7AsS_X0Z5x9o2Qd/view?usp=drivesdk","8260_DIANA YANTI, S. KOM. _ SERTIFIKAT BerAKHLAK")</f>
        <v>8260_DIANA YANTI, S. KOM. _ SERTIFIKAT BerAKHLAK</v>
      </c>
      <c r="P8261" s="5" t="s">
        <v>49722</v>
      </c>
    </row>
    <row r="8262">
      <c r="A8262" s="4">
        <v>45534.39869170139</v>
      </c>
      <c r="B8262" s="5" t="s">
        <v>34</v>
      </c>
      <c r="D8262" s="5" t="s">
        <v>267</v>
      </c>
      <c r="E8262" s="5" t="s">
        <v>51907</v>
      </c>
      <c r="F8262" s="5" t="s">
        <v>72</v>
      </c>
      <c r="G8262" s="5" t="s">
        <v>51908</v>
      </c>
      <c r="H8262" s="6" t="s">
        <v>51909</v>
      </c>
      <c r="K8262" s="5" t="s">
        <v>51904</v>
      </c>
      <c r="M8262" s="5" t="s">
        <v>51910</v>
      </c>
      <c r="N8262" s="7" t="s">
        <v>51911</v>
      </c>
      <c r="O8262" s="8" t="str">
        <f>HYPERLINK("https://drive.google.com/file/d/1h1v54QCgm_caaPZ6_DnzkVvwf3kp0S0z/view?usp=drivesdk","8261_MUHAMMAD RIDWAN KURNIAWAN _ SERTIFIKAT BerAKHLAK")</f>
        <v>8261_MUHAMMAD RIDWAN KURNIAWAN _ SERTIFIKAT BerAKHLAK</v>
      </c>
      <c r="P8262" s="5" t="s">
        <v>49722</v>
      </c>
    </row>
    <row r="8263">
      <c r="A8263" s="4">
        <v>45534.3987045949</v>
      </c>
      <c r="B8263" s="5" t="s">
        <v>34</v>
      </c>
      <c r="D8263" s="5" t="s">
        <v>12026</v>
      </c>
      <c r="E8263" s="5" t="s">
        <v>51912</v>
      </c>
      <c r="F8263" s="5" t="s">
        <v>375</v>
      </c>
      <c r="G8263" s="5" t="s">
        <v>51913</v>
      </c>
      <c r="H8263" s="6" t="s">
        <v>51914</v>
      </c>
      <c r="K8263" s="5" t="s">
        <v>51915</v>
      </c>
      <c r="M8263" s="5" t="s">
        <v>51916</v>
      </c>
      <c r="N8263" s="7" t="s">
        <v>51917</v>
      </c>
      <c r="O8263" s="8" t="str">
        <f>HYPERLINK("https://drive.google.com/file/d/1EtLpPXqi0Unn6MrYEpYm6Yf-ep-NLceD/view?usp=drivesdk","8262_RUFINA, A.Md., S.A.P, M.A.P. _ SERTIFIKAT BerAKHLAK")</f>
        <v>8262_RUFINA, A.Md., S.A.P, M.A.P. _ SERTIFIKAT BerAKHLAK</v>
      </c>
      <c r="P8263" s="5" t="s">
        <v>49722</v>
      </c>
    </row>
    <row r="8264" hidden="1">
      <c r="A8264" s="4">
        <v>45534.39877248842</v>
      </c>
      <c r="B8264" s="5" t="s">
        <v>19</v>
      </c>
      <c r="C8264" s="5" t="s">
        <v>292</v>
      </c>
      <c r="E8264" s="5" t="s">
        <v>51918</v>
      </c>
      <c r="F8264" s="5" t="s">
        <v>212</v>
      </c>
      <c r="G8264" s="5" t="s">
        <v>51919</v>
      </c>
      <c r="H8264" s="6" t="s">
        <v>51920</v>
      </c>
      <c r="K8264" s="5" t="s">
        <v>51921</v>
      </c>
      <c r="M8264" s="5" t="s">
        <v>51922</v>
      </c>
      <c r="N8264" s="7" t="s">
        <v>51923</v>
      </c>
      <c r="O8264" s="8" t="str">
        <f>HYPERLINK("https://drive.google.com/file/d/1epMfe4qC8ahmwVGevWXmf-amakdXWmW4/view?usp=drivesdk","8263_CATHARINA RETNO WARSUDIRINI  _ SERTIFIKAT BerAKHLAK")</f>
        <v>8263_CATHARINA RETNO WARSUDIRINI  _ SERTIFIKAT BerAKHLAK</v>
      </c>
      <c r="P8264" s="5" t="s">
        <v>49722</v>
      </c>
    </row>
    <row r="8265">
      <c r="A8265" s="4">
        <v>45534.3987875</v>
      </c>
      <c r="B8265" s="5" t="s">
        <v>34</v>
      </c>
      <c r="D8265" s="5" t="s">
        <v>6232</v>
      </c>
      <c r="E8265" s="5" t="s">
        <v>51924</v>
      </c>
      <c r="F8265" s="5" t="s">
        <v>212</v>
      </c>
      <c r="G8265" s="5" t="s">
        <v>51925</v>
      </c>
      <c r="H8265" s="6" t="s">
        <v>51926</v>
      </c>
      <c r="K8265" s="5" t="s">
        <v>51921</v>
      </c>
      <c r="M8265" s="5" t="s">
        <v>51927</v>
      </c>
      <c r="N8265" s="7" t="s">
        <v>51928</v>
      </c>
      <c r="O8265" s="8" t="str">
        <f>HYPERLINK("https://drive.google.com/file/d/1g6CiibMYcXlZgcHEm9wnCfGSvLaws0kr/view?usp=drivesdk","8264_DIAN MAYASARI, Am.Far _ SERTIFIKAT BerAKHLAK")</f>
        <v>8264_DIAN MAYASARI, Am.Far _ SERTIFIKAT BerAKHLAK</v>
      </c>
      <c r="P8265" s="5" t="s">
        <v>49722</v>
      </c>
    </row>
    <row r="8266">
      <c r="A8266" s="4">
        <v>45534.39881783565</v>
      </c>
      <c r="B8266" s="5" t="s">
        <v>34</v>
      </c>
      <c r="D8266" s="5" t="s">
        <v>9020</v>
      </c>
      <c r="E8266" s="5" t="s">
        <v>51929</v>
      </c>
      <c r="F8266" s="5" t="s">
        <v>199</v>
      </c>
      <c r="G8266" s="5" t="s">
        <v>51930</v>
      </c>
      <c r="H8266" s="6" t="s">
        <v>51931</v>
      </c>
      <c r="K8266" s="5" t="s">
        <v>51932</v>
      </c>
      <c r="M8266" s="5" t="s">
        <v>51933</v>
      </c>
      <c r="N8266" s="7" t="s">
        <v>51934</v>
      </c>
      <c r="O8266" s="8" t="str">
        <f>HYPERLINK("https://drive.google.com/file/d/1-QSJD6LlIOlAj0QqjpFk3P5w2MVoAzYE/view?usp=drivesdk","8265_DEDI PRAYETNO _ SERTIFIKAT BerAKHLAK")</f>
        <v>8265_DEDI PRAYETNO _ SERTIFIKAT BerAKHLAK</v>
      </c>
      <c r="P8266" s="5" t="s">
        <v>49754</v>
      </c>
    </row>
    <row r="8267" hidden="1">
      <c r="A8267" s="4">
        <v>45534.39881875</v>
      </c>
      <c r="B8267" s="5" t="s">
        <v>19</v>
      </c>
      <c r="C8267" s="5" t="s">
        <v>14000</v>
      </c>
      <c r="E8267" s="5" t="s">
        <v>51935</v>
      </c>
      <c r="F8267" s="5" t="s">
        <v>375</v>
      </c>
      <c r="G8267" s="5" t="s">
        <v>51936</v>
      </c>
      <c r="H8267" s="6" t="s">
        <v>51937</v>
      </c>
      <c r="K8267" s="5" t="s">
        <v>51932</v>
      </c>
      <c r="M8267" s="5" t="s">
        <v>51938</v>
      </c>
      <c r="N8267" s="7" t="s">
        <v>51939</v>
      </c>
      <c r="O8267" s="8" t="str">
        <f>HYPERLINK("https://drive.google.com/file/d/1FdHqo9tE6uEGd5tRXuEjpUPSfiatVID_/view?usp=drivesdk","8266_ELIS LISDIATY _ SERTIFIKAT BerAKHLAK")</f>
        <v>8266_ELIS LISDIATY _ SERTIFIKAT BerAKHLAK</v>
      </c>
      <c r="P8267" s="5" t="s">
        <v>49754</v>
      </c>
    </row>
    <row r="8268">
      <c r="A8268" s="4">
        <v>45534.39882699074</v>
      </c>
      <c r="B8268" s="5" t="s">
        <v>34</v>
      </c>
      <c r="D8268" s="5" t="s">
        <v>7858</v>
      </c>
      <c r="E8268" s="5" t="s">
        <v>51940</v>
      </c>
      <c r="F8268" s="5" t="s">
        <v>524</v>
      </c>
      <c r="G8268" s="5" t="s">
        <v>51941</v>
      </c>
      <c r="H8268" s="6" t="s">
        <v>51942</v>
      </c>
      <c r="K8268" s="5" t="s">
        <v>51932</v>
      </c>
      <c r="M8268" s="5" t="s">
        <v>51943</v>
      </c>
      <c r="N8268" s="7" t="s">
        <v>51944</v>
      </c>
      <c r="O8268" s="8" t="str">
        <f>HYPERLINK("https://drive.google.com/file/d/11RoRMwTeykT_N7OVPvs-ndhByTrArfqN/view?usp=drivesdk","8267_HASANIAH WAHIDAH _ SERTIFIKAT BerAKHLAK")</f>
        <v>8267_HASANIAH WAHIDAH _ SERTIFIKAT BerAKHLAK</v>
      </c>
      <c r="P8268" s="5" t="s">
        <v>49754</v>
      </c>
    </row>
    <row r="8269" hidden="1">
      <c r="A8269" s="4">
        <v>45534.398846365744</v>
      </c>
      <c r="B8269" s="5" t="s">
        <v>19</v>
      </c>
      <c r="C8269" s="5" t="s">
        <v>32901</v>
      </c>
      <c r="E8269" s="5" t="s">
        <v>51945</v>
      </c>
      <c r="F8269" s="5" t="s">
        <v>72</v>
      </c>
      <c r="G8269" s="5" t="s">
        <v>51946</v>
      </c>
      <c r="H8269" s="6" t="s">
        <v>51947</v>
      </c>
      <c r="K8269" s="5" t="s">
        <v>51948</v>
      </c>
      <c r="M8269" s="5" t="s">
        <v>51949</v>
      </c>
      <c r="N8269" s="7" t="s">
        <v>51950</v>
      </c>
      <c r="O8269" s="8" t="str">
        <f>HYPERLINK("https://drive.google.com/file/d/14GvXZ-F0oQwiiEiYL7GF4E1I-hT2RDBm/view?usp=drivesdk","8268_Aska Caroline, A.Md _ SERTIFIKAT BerAKHLAK")</f>
        <v>8268_Aska Caroline, A.Md _ SERTIFIKAT BerAKHLAK</v>
      </c>
      <c r="P8269" s="5" t="s">
        <v>49754</v>
      </c>
    </row>
    <row r="8270">
      <c r="A8270" s="4">
        <v>45534.398867916665</v>
      </c>
      <c r="B8270" s="5" t="s">
        <v>34</v>
      </c>
      <c r="D8270" s="5" t="s">
        <v>522</v>
      </c>
      <c r="E8270" s="5" t="s">
        <v>51951</v>
      </c>
      <c r="F8270" s="5" t="s">
        <v>37</v>
      </c>
      <c r="G8270" s="5" t="s">
        <v>51952</v>
      </c>
      <c r="H8270" s="6" t="s">
        <v>51953</v>
      </c>
      <c r="K8270" s="5" t="s">
        <v>51948</v>
      </c>
      <c r="M8270" s="5" t="s">
        <v>51954</v>
      </c>
      <c r="N8270" s="7" t="s">
        <v>51955</v>
      </c>
      <c r="O8270" s="8" t="str">
        <f>HYPERLINK("https://drive.google.com/file/d/1XbpbHrrudnbUJruYyuOS68KHSD6JafPF/view?usp=drivesdk","8269_MASITAH, SH _ SERTIFIKAT BerAKHLAK")</f>
        <v>8269_MASITAH, SH _ SERTIFIKAT BerAKHLAK</v>
      </c>
      <c r="P8270" s="5" t="s">
        <v>49776</v>
      </c>
    </row>
    <row r="8271" hidden="1">
      <c r="A8271" s="4">
        <v>45534.39887877315</v>
      </c>
      <c r="B8271" s="5" t="s">
        <v>19</v>
      </c>
      <c r="C8271" s="5" t="s">
        <v>5564</v>
      </c>
      <c r="E8271" s="5" t="s">
        <v>51956</v>
      </c>
      <c r="F8271" s="5" t="s">
        <v>5566</v>
      </c>
      <c r="G8271" s="5" t="s">
        <v>51957</v>
      </c>
      <c r="H8271" s="6" t="s">
        <v>51958</v>
      </c>
      <c r="K8271" s="5" t="s">
        <v>51948</v>
      </c>
      <c r="M8271" s="5" t="s">
        <v>51959</v>
      </c>
      <c r="N8271" s="7" t="s">
        <v>51960</v>
      </c>
      <c r="O8271" s="8" t="str">
        <f>HYPERLINK("https://drive.google.com/file/d/1XBwSd7pUgN_DOKLhtzpKQqJiNDtVpdWp/view?usp=drivesdk","8270_ARIF HARTADI, S.H. _ SERTIFIKAT BerAKHLAK")</f>
        <v>8270_ARIF HARTADI, S.H. _ SERTIFIKAT BerAKHLAK</v>
      </c>
      <c r="P8271" s="5" t="s">
        <v>49776</v>
      </c>
    </row>
    <row r="8272">
      <c r="A8272" s="4">
        <v>45534.398879456014</v>
      </c>
      <c r="B8272" s="5" t="s">
        <v>34</v>
      </c>
      <c r="D8272" s="5" t="s">
        <v>9020</v>
      </c>
      <c r="E8272" s="5" t="s">
        <v>47182</v>
      </c>
      <c r="F8272" s="5" t="s">
        <v>37</v>
      </c>
      <c r="G8272" s="5" t="s">
        <v>51961</v>
      </c>
      <c r="H8272" s="6" t="s">
        <v>51962</v>
      </c>
      <c r="K8272" s="5" t="s">
        <v>51948</v>
      </c>
      <c r="M8272" s="5" t="s">
        <v>51963</v>
      </c>
      <c r="N8272" s="7" t="s">
        <v>51964</v>
      </c>
      <c r="O8272" s="8" t="str">
        <f>HYPERLINK("https://drive.google.com/file/d/1HDyvbT1Au7Ep_YzS35hO5xOR4fxQlPix/view?usp=drivesdk","8271_HAMIDAH _ SERTIFIKAT BerAKHLAK")</f>
        <v>8271_HAMIDAH _ SERTIFIKAT BerAKHLAK</v>
      </c>
      <c r="P8272" s="5" t="s">
        <v>49776</v>
      </c>
    </row>
    <row r="8273">
      <c r="A8273" s="4">
        <v>45534.39888953704</v>
      </c>
      <c r="B8273" s="5" t="s">
        <v>34</v>
      </c>
      <c r="D8273" s="5" t="s">
        <v>14313</v>
      </c>
      <c r="E8273" s="5" t="s">
        <v>51965</v>
      </c>
      <c r="F8273" s="5" t="s">
        <v>108</v>
      </c>
      <c r="G8273" s="5" t="s">
        <v>51966</v>
      </c>
      <c r="H8273" s="6" t="s">
        <v>51967</v>
      </c>
      <c r="K8273" s="5" t="s">
        <v>51968</v>
      </c>
      <c r="M8273" s="5" t="s">
        <v>51969</v>
      </c>
      <c r="N8273" s="7" t="s">
        <v>51970</v>
      </c>
      <c r="O8273" s="8" t="str">
        <f>HYPERLINK("https://drive.google.com/file/d/1rQFA3upxkK_jcEL8gUQG5jvx34iglIZp/view?usp=drivesdk","8272_ROSMIATI  _ SERTIFIKAT BerAKHLAK")</f>
        <v>8272_ROSMIATI  _ SERTIFIKAT BerAKHLAK</v>
      </c>
      <c r="P8273" s="5" t="s">
        <v>49776</v>
      </c>
    </row>
    <row r="8274">
      <c r="A8274" s="4">
        <v>45534.39889788194</v>
      </c>
      <c r="B8274" s="5" t="s">
        <v>34</v>
      </c>
      <c r="D8274" s="5" t="s">
        <v>1692</v>
      </c>
      <c r="E8274" s="5" t="s">
        <v>51971</v>
      </c>
      <c r="F8274" s="5" t="s">
        <v>37</v>
      </c>
      <c r="G8274" s="5" t="s">
        <v>51972</v>
      </c>
      <c r="H8274" s="6" t="s">
        <v>51973</v>
      </c>
      <c r="K8274" s="5" t="s">
        <v>51974</v>
      </c>
      <c r="M8274" s="5" t="s">
        <v>51975</v>
      </c>
      <c r="N8274" s="7" t="s">
        <v>51976</v>
      </c>
      <c r="O8274" s="8" t="str">
        <f>HYPERLINK("https://drive.google.com/file/d/1KgjNF3H_H-w-8iT0tSHu0pzgsOgwca3K/view?usp=drivesdk","8273_JOSKAM NATON LEKAHENA _ SERTIFIKAT BerAKHLAK")</f>
        <v>8273_JOSKAM NATON LEKAHENA _ SERTIFIKAT BerAKHLAK</v>
      </c>
      <c r="P8274" s="5" t="s">
        <v>49776</v>
      </c>
    </row>
    <row r="8275">
      <c r="A8275" s="4">
        <v>45534.3989153125</v>
      </c>
      <c r="B8275" s="5" t="s">
        <v>34</v>
      </c>
      <c r="D8275" s="5" t="s">
        <v>3849</v>
      </c>
      <c r="E8275" s="5" t="s">
        <v>51977</v>
      </c>
      <c r="F8275" s="5" t="s">
        <v>715</v>
      </c>
      <c r="G8275" s="5" t="s">
        <v>51978</v>
      </c>
      <c r="H8275" s="6" t="s">
        <v>51979</v>
      </c>
      <c r="K8275" s="5" t="s">
        <v>51974</v>
      </c>
      <c r="M8275" s="5" t="s">
        <v>51980</v>
      </c>
      <c r="N8275" s="7" t="s">
        <v>51981</v>
      </c>
      <c r="O8275" s="8" t="str">
        <f>HYPERLINK("https://drive.google.com/file/d/1SP44-Pu0vTqnvgBkvBR7rJaF_jcRJOui/view?usp=drivesdk","8274_YUNIARTI, S. Kom _ SERTIFIKAT BerAKHLAK")</f>
        <v>8274_YUNIARTI, S. Kom _ SERTIFIKAT BerAKHLAK</v>
      </c>
      <c r="P8275" s="5" t="s">
        <v>50331</v>
      </c>
    </row>
    <row r="8276">
      <c r="A8276" s="4">
        <v>45534.39894972222</v>
      </c>
      <c r="B8276" s="5" t="s">
        <v>34</v>
      </c>
      <c r="D8276" s="5" t="s">
        <v>267</v>
      </c>
      <c r="E8276" s="5" t="s">
        <v>51982</v>
      </c>
      <c r="F8276" s="5" t="s">
        <v>524</v>
      </c>
      <c r="G8276" s="5" t="s">
        <v>51983</v>
      </c>
      <c r="H8276" s="6" t="s">
        <v>51984</v>
      </c>
      <c r="K8276" s="5" t="s">
        <v>51985</v>
      </c>
      <c r="M8276" s="5" t="s">
        <v>51986</v>
      </c>
      <c r="N8276" s="7" t="s">
        <v>51987</v>
      </c>
      <c r="O8276" s="8" t="str">
        <f>HYPERLINK("https://drive.google.com/file/d/14mAtibaTt0vDgynvMCKfD35F9XPWHtx4/view?usp=drivesdk","8275_ISMIYATI _ SERTIFIKAT BerAKHLAK")</f>
        <v>8275_ISMIYATI _ SERTIFIKAT BerAKHLAK</v>
      </c>
      <c r="P8276" s="5" t="s">
        <v>49880</v>
      </c>
    </row>
    <row r="8277">
      <c r="A8277" s="4">
        <v>45534.399053518515</v>
      </c>
      <c r="B8277" s="5" t="s">
        <v>34</v>
      </c>
      <c r="D8277" s="5" t="s">
        <v>14313</v>
      </c>
      <c r="E8277" s="5" t="s">
        <v>51988</v>
      </c>
      <c r="F8277" s="5" t="s">
        <v>212</v>
      </c>
      <c r="G8277" s="5" t="s">
        <v>51989</v>
      </c>
      <c r="H8277" s="6" t="s">
        <v>51990</v>
      </c>
      <c r="K8277" s="5" t="s">
        <v>51991</v>
      </c>
      <c r="M8277" s="5" t="s">
        <v>51992</v>
      </c>
      <c r="N8277" s="7" t="s">
        <v>51993</v>
      </c>
      <c r="O8277" s="8" t="str">
        <f>HYPERLINK("https://drive.google.com/file/d/1RMbNKBMdotBgAP6Qvf2cYOq-VoDclez0/view?usp=drivesdk","8276_HAMIAH _ SERTIFIKAT BerAKHLAK")</f>
        <v>8276_HAMIAH _ SERTIFIKAT BerAKHLAK</v>
      </c>
      <c r="P8277" s="5" t="s">
        <v>49880</v>
      </c>
    </row>
    <row r="8278">
      <c r="A8278" s="4">
        <v>45534.39907542824</v>
      </c>
      <c r="B8278" s="5" t="s">
        <v>34</v>
      </c>
      <c r="D8278" s="5" t="s">
        <v>1558</v>
      </c>
      <c r="E8278" s="5" t="s">
        <v>51994</v>
      </c>
      <c r="F8278" s="5" t="s">
        <v>375</v>
      </c>
      <c r="G8278" s="5" t="s">
        <v>51995</v>
      </c>
      <c r="H8278" s="6" t="s">
        <v>51996</v>
      </c>
      <c r="K8278" s="5" t="s">
        <v>51997</v>
      </c>
      <c r="M8278" s="5" t="s">
        <v>51998</v>
      </c>
      <c r="N8278" s="7" t="s">
        <v>51999</v>
      </c>
      <c r="O8278" s="8" t="str">
        <f>HYPERLINK("https://drive.google.com/file/d/1u-UEf5oTOtZpbV71yIuzz-IJUhp5nAY0/view?usp=drivesdk","8277_ENDAH HANDAYANI _ SERTIFIKAT BerAKHLAK")</f>
        <v>8277_ENDAH HANDAYANI _ SERTIFIKAT BerAKHLAK</v>
      </c>
      <c r="P8278" s="5" t="s">
        <v>52000</v>
      </c>
    </row>
    <row r="8279">
      <c r="A8279" s="4">
        <v>45534.39908282408</v>
      </c>
      <c r="B8279" s="5" t="s">
        <v>34</v>
      </c>
      <c r="D8279" s="5" t="s">
        <v>9020</v>
      </c>
      <c r="E8279" s="5" t="s">
        <v>52001</v>
      </c>
      <c r="F8279" s="5" t="s">
        <v>212</v>
      </c>
      <c r="G8279" s="5" t="s">
        <v>52002</v>
      </c>
      <c r="H8279" s="6" t="s">
        <v>52003</v>
      </c>
      <c r="K8279" s="5" t="s">
        <v>51997</v>
      </c>
      <c r="M8279" s="5" t="s">
        <v>52004</v>
      </c>
      <c r="N8279" s="7" t="s">
        <v>52005</v>
      </c>
      <c r="O8279" s="8" t="str">
        <f>HYPERLINK("https://drive.google.com/file/d/1Na5bPTdeFMulUiXno1CdZKI627iCeDQf/view?usp=drivesdk","8278_MUH YUNUS _ SERTIFIKAT BerAKHLAK")</f>
        <v>8278_MUH YUNUS _ SERTIFIKAT BerAKHLAK</v>
      </c>
      <c r="P8279" s="5" t="s">
        <v>52000</v>
      </c>
    </row>
    <row r="8280">
      <c r="A8280" s="4">
        <v>45534.39908445602</v>
      </c>
      <c r="B8280" s="5" t="s">
        <v>34</v>
      </c>
      <c r="D8280" s="5" t="s">
        <v>701</v>
      </c>
      <c r="E8280" s="5" t="s">
        <v>52006</v>
      </c>
      <c r="F8280" s="5" t="s">
        <v>212</v>
      </c>
      <c r="G8280" s="5" t="s">
        <v>52007</v>
      </c>
      <c r="H8280" s="6" t="s">
        <v>52008</v>
      </c>
      <c r="K8280" s="5" t="s">
        <v>51997</v>
      </c>
      <c r="M8280" s="5" t="s">
        <v>52009</v>
      </c>
      <c r="N8280" s="7" t="s">
        <v>52010</v>
      </c>
      <c r="O8280" s="8" t="str">
        <f>HYPERLINK("https://drive.google.com/file/d/1ZO70hajMzq1VndSDWPAZYkuvB-J79NDD/view?usp=drivesdk","8279_NURMI,S.Sos _ SERTIFIKAT BerAKHLAK")</f>
        <v>8279_NURMI,S.Sos _ SERTIFIKAT BerAKHLAK</v>
      </c>
      <c r="P8280" s="5" t="s">
        <v>52000</v>
      </c>
    </row>
    <row r="8281">
      <c r="A8281" s="4">
        <v>45534.39908854167</v>
      </c>
      <c r="B8281" s="5" t="s">
        <v>34</v>
      </c>
      <c r="D8281" s="5" t="s">
        <v>9394</v>
      </c>
      <c r="E8281" s="5" t="s">
        <v>52011</v>
      </c>
      <c r="F8281" s="5" t="s">
        <v>37</v>
      </c>
      <c r="G8281" s="5" t="s">
        <v>52012</v>
      </c>
      <c r="H8281" s="6" t="s">
        <v>52013</v>
      </c>
      <c r="K8281" s="5" t="s">
        <v>51997</v>
      </c>
      <c r="M8281" s="5" t="s">
        <v>52014</v>
      </c>
      <c r="N8281" s="7" t="s">
        <v>52015</v>
      </c>
      <c r="O8281" s="8" t="str">
        <f>HYPERLINK("https://drive.google.com/file/d/1bNF2LtGxvMuzKSoTjn9XiDMzL2XqZWNs/view?usp=drivesdk","8280_IRA WIDYA SRI REZEKI  _ SERTIFIKAT BerAKHLAK")</f>
        <v>8280_IRA WIDYA SRI REZEKI  _ SERTIFIKAT BerAKHLAK</v>
      </c>
      <c r="P8281" s="5" t="s">
        <v>52016</v>
      </c>
    </row>
    <row r="8282" hidden="1">
      <c r="A8282" s="4">
        <v>45534.39913310185</v>
      </c>
      <c r="B8282" s="5" t="s">
        <v>19</v>
      </c>
      <c r="C8282" s="5" t="s">
        <v>3471</v>
      </c>
      <c r="E8282" s="5" t="s">
        <v>52017</v>
      </c>
      <c r="F8282" s="5" t="s">
        <v>524</v>
      </c>
      <c r="G8282" s="5" t="s">
        <v>52018</v>
      </c>
      <c r="H8282" s="6" t="s">
        <v>52019</v>
      </c>
      <c r="K8282" s="5" t="s">
        <v>52020</v>
      </c>
      <c r="M8282" s="5" t="s">
        <v>52021</v>
      </c>
      <c r="N8282" s="7" t="s">
        <v>52022</v>
      </c>
      <c r="O8282" s="8" t="str">
        <f>HYPERLINK("https://drive.google.com/file/d/1NDjmG9QR4dI4UvyxGPP8wISDHMoDp93m/view?usp=drivesdk","8281_MISNO MISNO _ SERTIFIKAT BerAKHLAK")</f>
        <v>8281_MISNO MISNO _ SERTIFIKAT BerAKHLAK</v>
      </c>
      <c r="P8282" s="5" t="s">
        <v>50487</v>
      </c>
    </row>
    <row r="8283">
      <c r="A8283" s="4">
        <v>45534.399136458334</v>
      </c>
      <c r="B8283" s="5" t="s">
        <v>34</v>
      </c>
      <c r="D8283" s="5" t="s">
        <v>996</v>
      </c>
      <c r="E8283" s="5" t="s">
        <v>52023</v>
      </c>
      <c r="F8283" s="5" t="s">
        <v>212</v>
      </c>
      <c r="G8283" s="5" t="s">
        <v>52024</v>
      </c>
      <c r="H8283" s="6" t="s">
        <v>52025</v>
      </c>
      <c r="K8283" s="5" t="s">
        <v>52026</v>
      </c>
      <c r="M8283" s="5" t="s">
        <v>52027</v>
      </c>
      <c r="N8283" s="7" t="s">
        <v>52028</v>
      </c>
      <c r="O8283" s="8" t="str">
        <f>HYPERLINK("https://drive.google.com/file/d/1X-17miMt_f86s9ef2gKwlfsSqS8FtYVw/view?usp=drivesdk","8282_HERNI KUSNIATI  _ SERTIFIKAT BerAKHLAK")</f>
        <v>8282_HERNI KUSNIATI  _ SERTIFIKAT BerAKHLAK</v>
      </c>
      <c r="P8283" s="5" t="s">
        <v>50487</v>
      </c>
    </row>
    <row r="8284">
      <c r="A8284" s="4">
        <v>45534.39913809027</v>
      </c>
      <c r="B8284" s="5" t="s">
        <v>34</v>
      </c>
      <c r="D8284" s="5" t="s">
        <v>1206</v>
      </c>
      <c r="E8284" s="5" t="s">
        <v>52029</v>
      </c>
      <c r="F8284" s="5" t="s">
        <v>212</v>
      </c>
      <c r="G8284" s="5" t="s">
        <v>52030</v>
      </c>
      <c r="H8284" s="6" t="s">
        <v>52031</v>
      </c>
      <c r="K8284" s="5" t="s">
        <v>52026</v>
      </c>
      <c r="M8284" s="5" t="s">
        <v>52032</v>
      </c>
      <c r="N8284" s="7" t="s">
        <v>52033</v>
      </c>
      <c r="O8284" s="8" t="str">
        <f>HYPERLINK("https://drive.google.com/file/d/15RxLYmD-8EnQKbnI_HveOIzbKUoXVR-J/view?usp=drivesdk","8283_A. JOENIATI _ SERTIFIKAT BerAKHLAK")</f>
        <v>8283_A. JOENIATI _ SERTIFIKAT BerAKHLAK</v>
      </c>
      <c r="P8284" s="5" t="s">
        <v>50487</v>
      </c>
    </row>
    <row r="8285">
      <c r="A8285" s="4">
        <v>45534.3992343287</v>
      </c>
      <c r="B8285" s="5" t="s">
        <v>34</v>
      </c>
      <c r="D8285" s="5" t="s">
        <v>15401</v>
      </c>
      <c r="E8285" s="5" t="s">
        <v>52034</v>
      </c>
      <c r="F8285" s="5" t="s">
        <v>212</v>
      </c>
      <c r="G8285" s="5" t="s">
        <v>52035</v>
      </c>
      <c r="H8285" s="6" t="s">
        <v>52036</v>
      </c>
      <c r="K8285" s="5" t="s">
        <v>52037</v>
      </c>
      <c r="M8285" s="5" t="s">
        <v>52038</v>
      </c>
      <c r="N8285" s="7" t="s">
        <v>52039</v>
      </c>
      <c r="O8285" s="8" t="str">
        <f>HYPERLINK("https://drive.google.com/file/d/1dzrhxd7zcjW6AI7q68gzfp9lsZwmLHay/view?usp=drivesdk","8284_TRIANI PADINGIAN _ SERTIFIKAT BerAKHLAK")</f>
        <v>8284_TRIANI PADINGIAN _ SERTIFIKAT BerAKHLAK</v>
      </c>
      <c r="P8285" s="5" t="s">
        <v>50487</v>
      </c>
    </row>
    <row r="8286">
      <c r="A8286" s="4">
        <v>45534.399312696754</v>
      </c>
      <c r="B8286" s="5" t="s">
        <v>34</v>
      </c>
      <c r="D8286" s="5" t="s">
        <v>4775</v>
      </c>
      <c r="E8286" s="5" t="s">
        <v>52040</v>
      </c>
      <c r="F8286" s="5" t="s">
        <v>37</v>
      </c>
      <c r="G8286" s="5" t="s">
        <v>52041</v>
      </c>
      <c r="H8286" s="6" t="s">
        <v>52042</v>
      </c>
      <c r="K8286" s="5" t="s">
        <v>52043</v>
      </c>
      <c r="M8286" s="5" t="s">
        <v>52044</v>
      </c>
      <c r="N8286" s="7" t="s">
        <v>52045</v>
      </c>
      <c r="O8286" s="8" t="str">
        <f>HYPERLINK("https://drive.google.com/file/d/1X8bVfAKubE7ntwGlti1Qq9uaMuvR4C7l/view?usp=drivesdk","8285_SUYADI _ SERTIFIKAT BerAKHLAK")</f>
        <v>8285_SUYADI _ SERTIFIKAT BerAKHLAK</v>
      </c>
      <c r="P8286" s="5" t="s">
        <v>50487</v>
      </c>
    </row>
    <row r="8287">
      <c r="A8287" s="4">
        <v>45534.399339317126</v>
      </c>
      <c r="B8287" s="5" t="s">
        <v>34</v>
      </c>
      <c r="D8287" s="5" t="s">
        <v>701</v>
      </c>
      <c r="E8287" s="5" t="s">
        <v>52046</v>
      </c>
      <c r="F8287" s="5" t="s">
        <v>108</v>
      </c>
      <c r="G8287" s="5" t="s">
        <v>52047</v>
      </c>
      <c r="H8287" s="6" t="s">
        <v>52048</v>
      </c>
      <c r="K8287" s="5" t="s">
        <v>52049</v>
      </c>
      <c r="M8287" s="5" t="s">
        <v>52050</v>
      </c>
      <c r="N8287" s="7" t="s">
        <v>52051</v>
      </c>
      <c r="O8287" s="8" t="str">
        <f>HYPERLINK("https://drive.google.com/file/d/1sO1UpGRvTKXPbN_rpe4oZBfcGLu8B8fz/view?usp=drivesdk","8286_WILMITRA ELMIZA  _ SERTIFIKAT BerAKHLAK")</f>
        <v>8286_WILMITRA ELMIZA  _ SERTIFIKAT BerAKHLAK</v>
      </c>
      <c r="P8287" s="5" t="s">
        <v>50487</v>
      </c>
    </row>
    <row r="8288">
      <c r="A8288" s="4">
        <v>45534.39938059028</v>
      </c>
      <c r="B8288" s="5" t="s">
        <v>34</v>
      </c>
      <c r="D8288" s="5" t="s">
        <v>701</v>
      </c>
      <c r="E8288" s="5" t="s">
        <v>52052</v>
      </c>
      <c r="F8288" s="5" t="s">
        <v>5859</v>
      </c>
      <c r="G8288" s="5" t="s">
        <v>52053</v>
      </c>
      <c r="H8288" s="6" t="s">
        <v>52054</v>
      </c>
      <c r="K8288" s="5" t="s">
        <v>52055</v>
      </c>
      <c r="M8288" s="5" t="s">
        <v>52056</v>
      </c>
      <c r="N8288" s="7" t="s">
        <v>52057</v>
      </c>
      <c r="O8288" s="8" t="str">
        <f>HYPERLINK("https://drive.google.com/file/d/1tBa_qWcXny3KsTds59fmOnpGCHXNGNX1/view?usp=drivesdk","8287_DAMARASTA _ SERTIFIKAT BerAKHLAK")</f>
        <v>8287_DAMARASTA _ SERTIFIKAT BerAKHLAK</v>
      </c>
      <c r="P8288" s="5" t="s">
        <v>50515</v>
      </c>
    </row>
    <row r="8289">
      <c r="A8289" s="4">
        <v>45534.399424999996</v>
      </c>
      <c r="B8289" s="5" t="s">
        <v>34</v>
      </c>
      <c r="D8289" s="5" t="s">
        <v>12978</v>
      </c>
      <c r="E8289" s="5" t="s">
        <v>18430</v>
      </c>
      <c r="F8289" s="5" t="s">
        <v>37</v>
      </c>
      <c r="G8289" s="5" t="s">
        <v>52058</v>
      </c>
      <c r="H8289" s="6" t="s">
        <v>52059</v>
      </c>
      <c r="K8289" s="5" t="s">
        <v>52060</v>
      </c>
      <c r="M8289" s="5" t="s">
        <v>52061</v>
      </c>
      <c r="N8289" s="7" t="s">
        <v>52062</v>
      </c>
      <c r="O8289" s="8" t="str">
        <f>HYPERLINK("https://drive.google.com/file/d/16DqpJu1DvG7DrXgIq56OiZ75647uyvU_/view?usp=drivesdk","8288_SRI WAHYUNI _ SERTIFIKAT BerAKHLAK")</f>
        <v>8288_SRI WAHYUNI _ SERTIFIKAT BerAKHLAK</v>
      </c>
      <c r="P8289" s="5" t="s">
        <v>50515</v>
      </c>
    </row>
    <row r="8290">
      <c r="A8290" s="4">
        <v>45534.3994256713</v>
      </c>
      <c r="B8290" s="5" t="s">
        <v>34</v>
      </c>
      <c r="D8290" s="5" t="s">
        <v>267</v>
      </c>
      <c r="E8290" s="5" t="s">
        <v>52063</v>
      </c>
      <c r="F8290" s="5" t="s">
        <v>120</v>
      </c>
      <c r="G8290" s="5" t="s">
        <v>52064</v>
      </c>
      <c r="H8290" s="6" t="s">
        <v>52065</v>
      </c>
      <c r="K8290" s="5" t="s">
        <v>52060</v>
      </c>
      <c r="M8290" s="5" t="s">
        <v>52066</v>
      </c>
      <c r="N8290" s="7" t="s">
        <v>52067</v>
      </c>
      <c r="O8290" s="8" t="str">
        <f>HYPERLINK("https://drive.google.com/file/d/1rzG1sAG-pBByFoHI_jsT5kE5BhoJ7FIe/view?usp=drivesdk","8289_HENNI PERTIWI, S.H. _ SERTIFIKAT BerAKHLAK")</f>
        <v>8289_HENNI PERTIWI, S.H. _ SERTIFIKAT BerAKHLAK</v>
      </c>
      <c r="P8290" s="5" t="s">
        <v>50515</v>
      </c>
    </row>
    <row r="8291">
      <c r="A8291" s="4">
        <v>45534.39943329861</v>
      </c>
      <c r="B8291" s="5" t="s">
        <v>34</v>
      </c>
      <c r="D8291" s="5" t="s">
        <v>35</v>
      </c>
      <c r="E8291" s="5" t="s">
        <v>35704</v>
      </c>
      <c r="F8291" s="5" t="s">
        <v>524</v>
      </c>
      <c r="G8291" s="5" t="s">
        <v>52068</v>
      </c>
      <c r="H8291" s="6" t="s">
        <v>52069</v>
      </c>
      <c r="K8291" s="5" t="s">
        <v>52060</v>
      </c>
      <c r="M8291" s="5" t="s">
        <v>52070</v>
      </c>
      <c r="N8291" s="7" t="s">
        <v>52071</v>
      </c>
      <c r="O8291" s="8" t="str">
        <f>HYPERLINK("https://drive.google.com/file/d/1fkXthrdRQMiX2nViUJmkDyDU7J8RRWea/view?usp=drivesdk","8290_ROCHMAN _ SERTIFIKAT BerAKHLAK")</f>
        <v>8290_ROCHMAN _ SERTIFIKAT BerAKHLAK</v>
      </c>
      <c r="P8291" s="5" t="s">
        <v>50515</v>
      </c>
    </row>
    <row r="8292">
      <c r="A8292" s="4">
        <v>45534.39945159722</v>
      </c>
      <c r="B8292" s="5" t="s">
        <v>34</v>
      </c>
      <c r="D8292" s="5" t="s">
        <v>1206</v>
      </c>
      <c r="E8292" s="5" t="s">
        <v>52072</v>
      </c>
      <c r="F8292" s="5" t="s">
        <v>212</v>
      </c>
      <c r="G8292" s="5" t="s">
        <v>52073</v>
      </c>
      <c r="H8292" s="6" t="s">
        <v>52074</v>
      </c>
      <c r="K8292" s="5" t="s">
        <v>52075</v>
      </c>
      <c r="M8292" s="5" t="s">
        <v>52076</v>
      </c>
      <c r="N8292" s="7" t="s">
        <v>52077</v>
      </c>
      <c r="O8292" s="8" t="str">
        <f>HYPERLINK("https://drive.google.com/file/d/1yyQ7RVgiaOFDUf8PaLDt05vR_96a0XO-/view?usp=drivesdk","8291_KARIYONO _ SERTIFIKAT BerAKHLAK")</f>
        <v>8291_KARIYONO _ SERTIFIKAT BerAKHLAK</v>
      </c>
      <c r="P8292" s="5" t="s">
        <v>50515</v>
      </c>
    </row>
    <row r="8293">
      <c r="A8293" s="4">
        <v>45534.399453645834</v>
      </c>
      <c r="B8293" s="5" t="s">
        <v>34</v>
      </c>
      <c r="D8293" s="5" t="s">
        <v>1206</v>
      </c>
      <c r="E8293" s="5" t="s">
        <v>52078</v>
      </c>
      <c r="F8293" s="5" t="s">
        <v>37</v>
      </c>
      <c r="G8293" s="5" t="s">
        <v>52079</v>
      </c>
      <c r="H8293" s="6" t="s">
        <v>52080</v>
      </c>
      <c r="K8293" s="5" t="s">
        <v>52075</v>
      </c>
      <c r="M8293" s="5" t="s">
        <v>52081</v>
      </c>
      <c r="N8293" s="7" t="s">
        <v>52082</v>
      </c>
      <c r="O8293" s="8" t="str">
        <f>HYPERLINK("https://drive.google.com/file/d/13RT3OUGhuJPwRc7q_fja2HUvajHXjU02/view?usp=drivesdk","8292_EMMY EKOWATI _ SERTIFIKAT BerAKHLAK")</f>
        <v>8292_EMMY EKOWATI _ SERTIFIKAT BerAKHLAK</v>
      </c>
      <c r="P8293" s="5" t="s">
        <v>50515</v>
      </c>
    </row>
    <row r="8294">
      <c r="A8294" s="4">
        <v>45534.39949277778</v>
      </c>
      <c r="B8294" s="5" t="s">
        <v>34</v>
      </c>
      <c r="D8294" s="5" t="s">
        <v>1456</v>
      </c>
      <c r="E8294" s="5" t="s">
        <v>52083</v>
      </c>
      <c r="F8294" s="5" t="s">
        <v>72</v>
      </c>
      <c r="G8294" s="5" t="s">
        <v>52084</v>
      </c>
      <c r="H8294" s="6" t="s">
        <v>52085</v>
      </c>
      <c r="K8294" s="5" t="s">
        <v>52086</v>
      </c>
      <c r="M8294" s="5" t="s">
        <v>52087</v>
      </c>
      <c r="N8294" s="7" t="s">
        <v>52088</v>
      </c>
      <c r="O8294" s="8" t="str">
        <f>HYPERLINK("https://drive.google.com/file/d/1Hl_3YsCgT6S2hy27bEGiMetpUpxgoMje/view?usp=drivesdk","8293_ANIDA SITUMORANG,S.Gz. _ SERTIFIKAT BerAKHLAK")</f>
        <v>8293_ANIDA SITUMORANG,S.Gz. _ SERTIFIKAT BerAKHLAK</v>
      </c>
      <c r="P8294" s="5" t="s">
        <v>50515</v>
      </c>
    </row>
    <row r="8295">
      <c r="A8295" s="4">
        <v>45534.399494259254</v>
      </c>
      <c r="B8295" s="5" t="s">
        <v>34</v>
      </c>
      <c r="D8295" s="5" t="s">
        <v>9394</v>
      </c>
      <c r="E8295" s="5" t="s">
        <v>52089</v>
      </c>
      <c r="F8295" s="5" t="s">
        <v>212</v>
      </c>
      <c r="G8295" s="5" t="s">
        <v>52090</v>
      </c>
      <c r="H8295" s="6" t="s">
        <v>52091</v>
      </c>
      <c r="K8295" s="5" t="s">
        <v>52086</v>
      </c>
      <c r="M8295" s="5" t="s">
        <v>52092</v>
      </c>
      <c r="N8295" s="7" t="s">
        <v>52093</v>
      </c>
      <c r="O8295" s="8" t="str">
        <f>HYPERLINK("https://drive.google.com/file/d/15c97WhS-mO9Vs4ZjBM2ssZDZ9aqAeoEr/view?usp=drivesdk","8294_RISMA NAPITUPULU _ SERTIFIKAT BerAKHLAK")</f>
        <v>8294_RISMA NAPITUPULU _ SERTIFIKAT BerAKHLAK</v>
      </c>
      <c r="P8295" s="5" t="s">
        <v>52094</v>
      </c>
    </row>
    <row r="8296">
      <c r="A8296" s="4">
        <v>45534.39949564815</v>
      </c>
      <c r="B8296" s="5" t="s">
        <v>34</v>
      </c>
      <c r="D8296" s="5" t="s">
        <v>4775</v>
      </c>
      <c r="E8296" s="5" t="s">
        <v>52095</v>
      </c>
      <c r="F8296" s="5" t="s">
        <v>212</v>
      </c>
      <c r="G8296" s="5" t="s">
        <v>52096</v>
      </c>
      <c r="H8296" s="6" t="s">
        <v>52097</v>
      </c>
      <c r="K8296" s="5" t="s">
        <v>52086</v>
      </c>
      <c r="M8296" s="5" t="s">
        <v>52098</v>
      </c>
      <c r="N8296" s="7" t="s">
        <v>52099</v>
      </c>
      <c r="O8296" s="8" t="str">
        <f>HYPERLINK("https://drive.google.com/file/d/1gtRlUOpv8AIxNba0EvUXNdKk8poUBT7N/view?usp=drivesdk","8295_SANODO _ SERTIFIKAT BerAKHLAK")</f>
        <v>8295_SANODO _ SERTIFIKAT BerAKHLAK</v>
      </c>
      <c r="P8296" s="5" t="s">
        <v>52094</v>
      </c>
    </row>
    <row r="8297">
      <c r="A8297" s="4">
        <v>45534.39951574074</v>
      </c>
      <c r="B8297" s="5" t="s">
        <v>34</v>
      </c>
      <c r="D8297" s="5" t="s">
        <v>4775</v>
      </c>
      <c r="E8297" s="5" t="s">
        <v>52100</v>
      </c>
      <c r="F8297" s="5" t="s">
        <v>715</v>
      </c>
      <c r="G8297" s="5" t="s">
        <v>52101</v>
      </c>
      <c r="H8297" s="6" t="s">
        <v>52102</v>
      </c>
      <c r="K8297" s="5" t="s">
        <v>52086</v>
      </c>
      <c r="M8297" s="5" t="s">
        <v>52103</v>
      </c>
      <c r="N8297" s="7" t="s">
        <v>52104</v>
      </c>
      <c r="O8297" s="8" t="str">
        <f>HYPERLINK("https://drive.google.com/file/d/1P_puook-6eMAcU5iaf9aCBsnh1-dCxPF/view?usp=drivesdk","8296_NIKEN FITRANINGTYAS  _ SERTIFIKAT BerAKHLAK")</f>
        <v>8296_NIKEN FITRANINGTYAS  _ SERTIFIKAT BerAKHLAK</v>
      </c>
      <c r="P8297" s="5" t="s">
        <v>52094</v>
      </c>
    </row>
    <row r="8298">
      <c r="A8298" s="4">
        <v>45534.3995547338</v>
      </c>
      <c r="B8298" s="5" t="s">
        <v>34</v>
      </c>
      <c r="D8298" s="5" t="s">
        <v>4775</v>
      </c>
      <c r="E8298" s="5" t="s">
        <v>52105</v>
      </c>
      <c r="F8298" s="5" t="s">
        <v>212</v>
      </c>
      <c r="G8298" s="5" t="s">
        <v>52106</v>
      </c>
      <c r="H8298" s="6" t="s">
        <v>52107</v>
      </c>
      <c r="K8298" s="5" t="s">
        <v>52108</v>
      </c>
      <c r="M8298" s="5" t="s">
        <v>52109</v>
      </c>
      <c r="N8298" s="7" t="s">
        <v>52110</v>
      </c>
      <c r="O8298" s="8" t="str">
        <f>HYPERLINK("https://drive.google.com/file/d/1IJhTWvX4iMc9I7JdYFfGQW__nJ5Icu17/view?usp=drivesdk","8297_PARDIYANMA  _ SERTIFIKAT BerAKHLAK")</f>
        <v>8297_PARDIYANMA  _ SERTIFIKAT BerAKHLAK</v>
      </c>
      <c r="P8298" s="5" t="s">
        <v>52094</v>
      </c>
    </row>
    <row r="8299">
      <c r="A8299" s="4">
        <v>45534.39958778935</v>
      </c>
      <c r="B8299" s="5" t="s">
        <v>34</v>
      </c>
      <c r="D8299" s="5" t="s">
        <v>1206</v>
      </c>
      <c r="E8299" s="5" t="s">
        <v>52111</v>
      </c>
      <c r="F8299" s="5" t="s">
        <v>37</v>
      </c>
      <c r="G8299" s="5" t="s">
        <v>52112</v>
      </c>
      <c r="H8299" s="6" t="s">
        <v>52113</v>
      </c>
      <c r="K8299" s="5" t="s">
        <v>52114</v>
      </c>
      <c r="M8299" s="5" t="s">
        <v>52115</v>
      </c>
      <c r="N8299" s="7" t="s">
        <v>52116</v>
      </c>
      <c r="O8299" s="8" t="str">
        <f>HYPERLINK("https://drive.google.com/file/d/1UAsK8vqnH19RQhuig-59AM1-rkxEvYsZ/view?usp=drivesdk","8298_OKTARIA WULAN SAKTI,A.Md.Kep _ SERTIFIKAT BerAKHLAK")</f>
        <v>8298_OKTARIA WULAN SAKTI,A.Md.Kep _ SERTIFIKAT BerAKHLAK</v>
      </c>
      <c r="P8299" s="5" t="s">
        <v>52094</v>
      </c>
    </row>
    <row r="8300">
      <c r="A8300" s="4">
        <v>45534.3996541088</v>
      </c>
      <c r="B8300" s="5" t="s">
        <v>34</v>
      </c>
      <c r="D8300" s="5" t="s">
        <v>267</v>
      </c>
      <c r="E8300" s="5" t="s">
        <v>52117</v>
      </c>
      <c r="F8300" s="5" t="s">
        <v>212</v>
      </c>
      <c r="G8300" s="5" t="s">
        <v>52118</v>
      </c>
      <c r="H8300" s="6" t="s">
        <v>52119</v>
      </c>
      <c r="K8300" s="5" t="s">
        <v>52120</v>
      </c>
      <c r="M8300" s="5" t="s">
        <v>52121</v>
      </c>
      <c r="N8300" s="7" t="s">
        <v>52122</v>
      </c>
      <c r="O8300" s="8" t="str">
        <f>HYPERLINK("https://drive.google.com/file/d/1FBTWkg1P5m3j2m-W0b65fws9nVFbKefd/view?usp=drivesdk","8299_VITA CATURWATI, AMD.KEB _ SERTIFIKAT BerAKHLAK")</f>
        <v>8299_VITA CATURWATI, AMD.KEB _ SERTIFIKAT BerAKHLAK</v>
      </c>
      <c r="P8300" s="5" t="s">
        <v>52094</v>
      </c>
    </row>
    <row r="8301">
      <c r="A8301" s="4">
        <v>45534.39967060185</v>
      </c>
      <c r="B8301" s="5" t="s">
        <v>34</v>
      </c>
      <c r="D8301" s="5" t="s">
        <v>1558</v>
      </c>
      <c r="E8301" s="5" t="s">
        <v>52123</v>
      </c>
      <c r="F8301" s="5" t="s">
        <v>37</v>
      </c>
      <c r="G8301" s="5" t="s">
        <v>52124</v>
      </c>
      <c r="H8301" s="6" t="s">
        <v>52125</v>
      </c>
      <c r="K8301" s="5" t="s">
        <v>52120</v>
      </c>
      <c r="M8301" s="5" t="s">
        <v>52126</v>
      </c>
      <c r="N8301" s="7" t="s">
        <v>52127</v>
      </c>
      <c r="O8301" s="8" t="str">
        <f>HYPERLINK("https://drive.google.com/file/d/1qfG4WwuPWcTI3UyXO9Qv1PADlnEpJkZN/view?usp=drivesdk","8300_YUDI SUHARTONO _ SERTIFIKAT BerAKHLAK")</f>
        <v>8300_YUDI SUHARTONO _ SERTIFIKAT BerAKHLAK</v>
      </c>
      <c r="P8301" s="5" t="s">
        <v>52128</v>
      </c>
    </row>
    <row r="8302">
      <c r="A8302" s="4">
        <v>45534.39969152778</v>
      </c>
      <c r="B8302" s="5" t="s">
        <v>34</v>
      </c>
      <c r="D8302" s="5" t="s">
        <v>1558</v>
      </c>
      <c r="E8302" s="5" t="s">
        <v>52129</v>
      </c>
      <c r="F8302" s="5" t="s">
        <v>212</v>
      </c>
      <c r="G8302" s="5" t="s">
        <v>52130</v>
      </c>
      <c r="H8302" s="6" t="s">
        <v>52131</v>
      </c>
      <c r="K8302" s="5" t="s">
        <v>52132</v>
      </c>
      <c r="M8302" s="5" t="s">
        <v>52133</v>
      </c>
      <c r="N8302" s="7" t="s">
        <v>52134</v>
      </c>
      <c r="O8302" s="8" t="str">
        <f>HYPERLINK("https://drive.google.com/file/d/1_mFLcUiDPpEdxdmkzaOa9wfL7dXvl6AN/view?usp=drivesdk","8301_PUJI NOVITASARI _ SERTIFIKAT BerAKHLAK")</f>
        <v>8301_PUJI NOVITASARI _ SERTIFIKAT BerAKHLAK</v>
      </c>
      <c r="P8302" s="5" t="s">
        <v>52128</v>
      </c>
    </row>
    <row r="8303">
      <c r="A8303" s="4">
        <v>45534.399692997686</v>
      </c>
      <c r="B8303" s="5" t="s">
        <v>34</v>
      </c>
      <c r="D8303" s="5" t="s">
        <v>1206</v>
      </c>
      <c r="E8303" s="5" t="s">
        <v>52135</v>
      </c>
      <c r="F8303" s="5" t="s">
        <v>212</v>
      </c>
      <c r="G8303" s="5" t="s">
        <v>52136</v>
      </c>
      <c r="H8303" s="6" t="s">
        <v>52137</v>
      </c>
      <c r="K8303" s="5" t="s">
        <v>52132</v>
      </c>
      <c r="M8303" s="5" t="s">
        <v>52138</v>
      </c>
      <c r="N8303" s="7" t="s">
        <v>52139</v>
      </c>
      <c r="O8303" s="8" t="str">
        <f>HYPERLINK("https://drive.google.com/file/d/1UuxP-rLRANQfsWtlUGhpCU7KK_PFnj9b/view?usp=drivesdk","8302_AGENG PRATIWI, S.PD _ SERTIFIKAT BerAKHLAK")</f>
        <v>8302_AGENG PRATIWI, S.PD _ SERTIFIKAT BerAKHLAK</v>
      </c>
      <c r="P8303" s="5" t="s">
        <v>52128</v>
      </c>
    </row>
    <row r="8304">
      <c r="A8304" s="4">
        <v>45534.39970412037</v>
      </c>
      <c r="B8304" s="5" t="s">
        <v>34</v>
      </c>
      <c r="D8304" s="5" t="s">
        <v>267</v>
      </c>
      <c r="E8304" s="5" t="s">
        <v>22677</v>
      </c>
      <c r="F8304" s="5" t="s">
        <v>212</v>
      </c>
      <c r="G8304" s="5" t="s">
        <v>52140</v>
      </c>
      <c r="H8304" s="6" t="s">
        <v>52141</v>
      </c>
      <c r="K8304" s="5" t="s">
        <v>52132</v>
      </c>
      <c r="M8304" s="5" t="s">
        <v>52142</v>
      </c>
      <c r="N8304" s="7" t="s">
        <v>52143</v>
      </c>
      <c r="O8304" s="8" t="str">
        <f>HYPERLINK("https://drive.google.com/file/d/1tC2E_YQgvfDQZjwptN3c30r9jVRrdMii/view?usp=drivesdk","8303_SUNARDI _ SERTIFIKAT BerAKHLAK")</f>
        <v>8303_SUNARDI _ SERTIFIKAT BerAKHLAK</v>
      </c>
      <c r="P8304" s="5" t="s">
        <v>52128</v>
      </c>
    </row>
    <row r="8305">
      <c r="A8305" s="4">
        <v>45534.39970494213</v>
      </c>
      <c r="B8305" s="5" t="s">
        <v>34</v>
      </c>
      <c r="D8305" s="5" t="s">
        <v>1206</v>
      </c>
      <c r="E8305" s="5" t="s">
        <v>52144</v>
      </c>
      <c r="F8305" s="5" t="s">
        <v>375</v>
      </c>
      <c r="G8305" s="5" t="s">
        <v>52145</v>
      </c>
      <c r="H8305" s="6" t="s">
        <v>52146</v>
      </c>
      <c r="K8305" s="5" t="s">
        <v>52132</v>
      </c>
      <c r="M8305" s="5" t="s">
        <v>52147</v>
      </c>
      <c r="N8305" s="7" t="s">
        <v>52148</v>
      </c>
      <c r="O8305" s="8" t="str">
        <f>HYPERLINK("https://drive.google.com/file/d/1Ieig6L2OZeSRPQqzQJPuuxVYoQ_UtpH2/view?usp=drivesdk","8304_EDI SAPTANA ST  _ SERTIFIKAT BerAKHLAK")</f>
        <v>8304_EDI SAPTANA ST  _ SERTIFIKAT BerAKHLAK</v>
      </c>
      <c r="P8305" s="5" t="s">
        <v>52128</v>
      </c>
    </row>
    <row r="8306" hidden="1">
      <c r="A8306" s="4">
        <v>45534.39972252314</v>
      </c>
      <c r="B8306" s="5" t="s">
        <v>19</v>
      </c>
      <c r="C8306" s="5" t="s">
        <v>20</v>
      </c>
      <c r="E8306" s="5" t="s">
        <v>52149</v>
      </c>
      <c r="F8306" s="5" t="s">
        <v>375</v>
      </c>
      <c r="G8306" s="5" t="s">
        <v>52150</v>
      </c>
      <c r="H8306" s="6" t="s">
        <v>52151</v>
      </c>
      <c r="K8306" s="5" t="s">
        <v>52132</v>
      </c>
      <c r="M8306" s="5" t="s">
        <v>52152</v>
      </c>
      <c r="N8306" s="7" t="s">
        <v>52153</v>
      </c>
      <c r="O8306" s="8" t="str">
        <f>HYPERLINK("https://drive.google.com/file/d/1DJW6sKAaBGyxyOV9hjgdtvAsk07mK4ws/view?usp=drivesdk","8305_RETNO BUDI ASIH,S.E.,M.A. _ SERTIFIKAT BerAKHLAK")</f>
        <v>8305_RETNO BUDI ASIH,S.E.,M.A. _ SERTIFIKAT BerAKHLAK</v>
      </c>
      <c r="P8306" s="5" t="s">
        <v>52154</v>
      </c>
    </row>
    <row r="8307" hidden="1">
      <c r="A8307" s="4">
        <v>45534.3998662963</v>
      </c>
      <c r="B8307" s="5" t="s">
        <v>19</v>
      </c>
      <c r="C8307" s="5" t="s">
        <v>292</v>
      </c>
      <c r="E8307" s="5" t="s">
        <v>52155</v>
      </c>
      <c r="F8307" s="5" t="s">
        <v>524</v>
      </c>
      <c r="G8307" s="5" t="s">
        <v>52156</v>
      </c>
      <c r="H8307" s="6" t="s">
        <v>52157</v>
      </c>
      <c r="K8307" s="5" t="s">
        <v>52158</v>
      </c>
      <c r="M8307" s="5" t="s">
        <v>52159</v>
      </c>
      <c r="N8307" s="7" t="s">
        <v>52160</v>
      </c>
      <c r="O8307" s="8" t="str">
        <f>HYPERLINK("https://drive.google.com/file/d/1zV2fjBVemPlR-YtPDOsXWBh22ZbiriUr/view?usp=drivesdk","8306_SITI AMINAH, S. KOM _ SERTIFIKAT BerAKHLAK")</f>
        <v>8306_SITI AMINAH, S. KOM _ SERTIFIKAT BerAKHLAK</v>
      </c>
      <c r="P8307" s="5" t="s">
        <v>52154</v>
      </c>
    </row>
    <row r="8308">
      <c r="A8308" s="4">
        <v>45534.3999034375</v>
      </c>
      <c r="B8308" s="5" t="s">
        <v>34</v>
      </c>
      <c r="D8308" s="5" t="s">
        <v>4775</v>
      </c>
      <c r="E8308" s="5" t="s">
        <v>52161</v>
      </c>
      <c r="F8308" s="5" t="s">
        <v>524</v>
      </c>
      <c r="G8308" s="5" t="s">
        <v>52162</v>
      </c>
      <c r="H8308" s="6" t="s">
        <v>52163</v>
      </c>
      <c r="K8308" s="5" t="s">
        <v>52158</v>
      </c>
      <c r="M8308" s="5" t="s">
        <v>52164</v>
      </c>
      <c r="N8308" s="7" t="s">
        <v>52165</v>
      </c>
      <c r="O8308" s="8" t="str">
        <f>HYPERLINK("https://drive.google.com/file/d/1JEJDOGDBzYA2JCOsS9ZCsIInt3xzE65j/view?usp=drivesdk","8307_SRI RUDI WINARNI _ SERTIFIKAT BerAKHLAK")</f>
        <v>8307_SRI RUDI WINARNI _ SERTIFIKAT BerAKHLAK</v>
      </c>
      <c r="P8308" s="5" t="s">
        <v>52154</v>
      </c>
    </row>
    <row r="8309">
      <c r="A8309" s="4">
        <v>45534.39990415509</v>
      </c>
      <c r="B8309" s="5" t="s">
        <v>34</v>
      </c>
      <c r="D8309" s="5" t="s">
        <v>12978</v>
      </c>
      <c r="E8309" s="5" t="s">
        <v>52166</v>
      </c>
      <c r="F8309" s="5" t="s">
        <v>108</v>
      </c>
      <c r="G8309" s="5" t="s">
        <v>52167</v>
      </c>
      <c r="H8309" s="6" t="s">
        <v>52168</v>
      </c>
      <c r="K8309" s="5" t="s">
        <v>52158</v>
      </c>
      <c r="M8309" s="5" t="s">
        <v>52169</v>
      </c>
      <c r="N8309" s="7" t="s">
        <v>52170</v>
      </c>
      <c r="O8309" s="8" t="str">
        <f>HYPERLINK("https://drive.google.com/file/d/1ZGWQxRr1rFgdh2xAsyqoLT-9X79H_zFR/view?usp=drivesdk","8308_ROSDIANA _ SERTIFIKAT BerAKHLAK")</f>
        <v>8308_ROSDIANA _ SERTIFIKAT BerAKHLAK</v>
      </c>
      <c r="P8309" s="5" t="s">
        <v>52154</v>
      </c>
    </row>
    <row r="8310" hidden="1">
      <c r="A8310" s="4">
        <v>45534.3999362037</v>
      </c>
      <c r="B8310" s="5" t="s">
        <v>19</v>
      </c>
      <c r="C8310" s="5" t="s">
        <v>20</v>
      </c>
      <c r="E8310" s="5" t="s">
        <v>52171</v>
      </c>
      <c r="F8310" s="5" t="s">
        <v>108</v>
      </c>
      <c r="G8310" s="5" t="s">
        <v>52172</v>
      </c>
      <c r="H8310" s="6" t="s">
        <v>52173</v>
      </c>
      <c r="K8310" s="5" t="s">
        <v>52158</v>
      </c>
      <c r="M8310" s="5" t="s">
        <v>52174</v>
      </c>
      <c r="N8310" s="7" t="s">
        <v>52175</v>
      </c>
      <c r="O8310" s="8" t="str">
        <f>HYPERLINK("https://drive.google.com/file/d/1YGHisTO5JVP9NaKVfQ0fg8oAkrtFSXof/view?usp=drivesdk","8309_EKO KUSWIRATNO _ SERTIFIKAT BerAKHLAK")</f>
        <v>8309_EKO KUSWIRATNO _ SERTIFIKAT BerAKHLAK</v>
      </c>
      <c r="P8310" s="5" t="s">
        <v>52154</v>
      </c>
    </row>
    <row r="8311">
      <c r="A8311" s="4">
        <v>45534.39997221065</v>
      </c>
      <c r="B8311" s="5" t="s">
        <v>34</v>
      </c>
      <c r="D8311" s="5" t="s">
        <v>4775</v>
      </c>
      <c r="E8311" s="7" t="s">
        <v>52176</v>
      </c>
      <c r="F8311" s="5" t="s">
        <v>375</v>
      </c>
      <c r="G8311" s="5" t="s">
        <v>52177</v>
      </c>
      <c r="H8311" s="6" t="s">
        <v>52178</v>
      </c>
      <c r="K8311" s="5" t="s">
        <v>52158</v>
      </c>
      <c r="M8311" s="5" t="s">
        <v>52179</v>
      </c>
      <c r="N8311" s="7" t="s">
        <v>52180</v>
      </c>
      <c r="O8311" s="8" t="str">
        <f>HYPERLINK("https://drive.google.com/file/d/1DoCmEohAnD_UqsqNVuXTn8fS570tpx1F/view?usp=drivesdk","8310_SARTI.SE _ SERTIFIKAT BerAKHLAK")</f>
        <v>8310_SARTI.SE _ SERTIFIKAT BerAKHLAK</v>
      </c>
      <c r="P8311" s="5" t="s">
        <v>52181</v>
      </c>
    </row>
    <row r="8312">
      <c r="A8312" s="4">
        <v>45534.39997273148</v>
      </c>
      <c r="B8312" s="5" t="s">
        <v>34</v>
      </c>
      <c r="D8312" s="5" t="s">
        <v>4775</v>
      </c>
      <c r="E8312" s="5" t="s">
        <v>52182</v>
      </c>
      <c r="F8312" s="5" t="s">
        <v>72</v>
      </c>
      <c r="G8312" s="5" t="s">
        <v>52183</v>
      </c>
      <c r="H8312" s="6" t="s">
        <v>52184</v>
      </c>
      <c r="K8312" s="5" t="s">
        <v>52158</v>
      </c>
      <c r="M8312" s="5" t="s">
        <v>52185</v>
      </c>
      <c r="N8312" s="7" t="s">
        <v>52186</v>
      </c>
      <c r="O8312" s="8" t="str">
        <f>HYPERLINK("https://drive.google.com/file/d/1ctqCMa_toScP5fzVeVxr2Jb1rfXq8BFS/view?usp=drivesdk","8311_ARI TUMASKAP SARI S.KOM,M.M. _ SERTIFIKAT BerAKHLAK")</f>
        <v>8311_ARI TUMASKAP SARI S.KOM,M.M. _ SERTIFIKAT BerAKHLAK</v>
      </c>
      <c r="P8312" s="5" t="s">
        <v>52187</v>
      </c>
    </row>
    <row r="8313">
      <c r="A8313" s="4">
        <v>45534.40007201389</v>
      </c>
      <c r="B8313" s="5" t="s">
        <v>34</v>
      </c>
      <c r="D8313" s="5" t="s">
        <v>9394</v>
      </c>
      <c r="E8313" s="5" t="s">
        <v>52188</v>
      </c>
      <c r="F8313" s="5" t="s">
        <v>524</v>
      </c>
      <c r="G8313" s="5" t="s">
        <v>52189</v>
      </c>
      <c r="H8313" s="6" t="s">
        <v>52190</v>
      </c>
      <c r="K8313" s="5" t="s">
        <v>52191</v>
      </c>
      <c r="M8313" s="5" t="s">
        <v>52192</v>
      </c>
      <c r="N8313" s="7" t="s">
        <v>52193</v>
      </c>
      <c r="O8313" s="8" t="str">
        <f>HYPERLINK("https://drive.google.com/file/d/1-AdAh5Boa_s17dxuLdf_2smR-yCJqmTp/view?usp=drivesdk","8312_YESI AFRIANTI, S.Tr.Par _ SERTIFIKAT BerAKHLAK")</f>
        <v>8312_YESI AFRIANTI, S.Tr.Par _ SERTIFIKAT BerAKHLAK</v>
      </c>
      <c r="P8313" s="5" t="s">
        <v>52194</v>
      </c>
    </row>
    <row r="8314">
      <c r="A8314" s="4">
        <v>45534.40018840278</v>
      </c>
      <c r="B8314" s="5" t="s">
        <v>34</v>
      </c>
      <c r="D8314" s="5" t="s">
        <v>7858</v>
      </c>
      <c r="E8314" s="5" t="s">
        <v>52195</v>
      </c>
      <c r="F8314" s="5" t="s">
        <v>212</v>
      </c>
      <c r="G8314" s="5" t="s">
        <v>52196</v>
      </c>
      <c r="H8314" s="6" t="s">
        <v>52197</v>
      </c>
      <c r="K8314" s="5" t="s">
        <v>52198</v>
      </c>
      <c r="M8314" s="5" t="s">
        <v>52199</v>
      </c>
      <c r="N8314" s="7" t="s">
        <v>52200</v>
      </c>
      <c r="O8314" s="8" t="str">
        <f>HYPERLINK("https://drive.google.com/file/d/156-YDDlJIigOePtwxe5Qaz4HCaOuik1I/view?usp=drivesdk","8313_HADI SUPRIANTO _ SERTIFIKAT BerAKHLAK")</f>
        <v>8313_HADI SUPRIANTO _ SERTIFIKAT BerAKHLAK</v>
      </c>
      <c r="P8314" s="5" t="s">
        <v>52201</v>
      </c>
    </row>
    <row r="8315">
      <c r="A8315" s="4">
        <v>45534.40019351852</v>
      </c>
      <c r="B8315" s="5" t="s">
        <v>34</v>
      </c>
      <c r="D8315" s="5" t="s">
        <v>12978</v>
      </c>
      <c r="E8315" s="5" t="s">
        <v>52202</v>
      </c>
      <c r="F8315" s="5" t="s">
        <v>72</v>
      </c>
      <c r="G8315" s="5" t="s">
        <v>52203</v>
      </c>
      <c r="H8315" s="6" t="s">
        <v>52204</v>
      </c>
      <c r="K8315" s="5" t="s">
        <v>52198</v>
      </c>
      <c r="M8315" s="5" t="s">
        <v>52205</v>
      </c>
      <c r="N8315" s="7" t="s">
        <v>52206</v>
      </c>
      <c r="O8315" s="8" t="str">
        <f>HYPERLINK("https://drive.google.com/file/d/1y6NAMqfG2QkjoG0A6M2LVojMU__6sBKE/view?usp=drivesdk","8314_AMNA BID TIK _ SERTIFIKAT BerAKHLAK")</f>
        <v>8314_AMNA BID TIK _ SERTIFIKAT BerAKHLAK</v>
      </c>
      <c r="P8315" s="5" t="s">
        <v>52207</v>
      </c>
    </row>
    <row r="8316">
      <c r="A8316" s="4">
        <v>45534.400206805556</v>
      </c>
      <c r="B8316" s="5" t="s">
        <v>34</v>
      </c>
      <c r="D8316" s="5" t="s">
        <v>14313</v>
      </c>
      <c r="E8316" s="5" t="s">
        <v>52208</v>
      </c>
      <c r="F8316" s="5" t="s">
        <v>715</v>
      </c>
      <c r="G8316" s="5" t="s">
        <v>52209</v>
      </c>
      <c r="H8316" s="6" t="s">
        <v>52210</v>
      </c>
      <c r="K8316" s="5" t="s">
        <v>52198</v>
      </c>
      <c r="M8316" s="5" t="s">
        <v>52211</v>
      </c>
      <c r="N8316" s="7" t="s">
        <v>52212</v>
      </c>
      <c r="O8316" s="8" t="str">
        <f>HYPERLINK("https://drive.google.com/file/d/1FVHTCm_uZ1drRtmaU_zn_ZiP1KL3adAB/view?usp=drivesdk","8315_ROSMAWATI _ SERTIFIKAT BerAKHLAK")</f>
        <v>8315_ROSMAWATI _ SERTIFIKAT BerAKHLAK</v>
      </c>
      <c r="P8316" s="5" t="s">
        <v>52213</v>
      </c>
    </row>
    <row r="8317">
      <c r="A8317" s="4">
        <v>45534.40025799768</v>
      </c>
      <c r="B8317" s="5" t="s">
        <v>34</v>
      </c>
      <c r="D8317" s="5" t="s">
        <v>267</v>
      </c>
      <c r="E8317" s="5" t="s">
        <v>52214</v>
      </c>
      <c r="F8317" s="5" t="s">
        <v>375</v>
      </c>
      <c r="G8317" s="5" t="s">
        <v>52215</v>
      </c>
      <c r="H8317" s="6" t="s">
        <v>52216</v>
      </c>
      <c r="K8317" s="5" t="s">
        <v>52217</v>
      </c>
      <c r="M8317" s="5" t="s">
        <v>52218</v>
      </c>
      <c r="N8317" s="7" t="s">
        <v>52219</v>
      </c>
      <c r="O8317" s="8" t="str">
        <f>HYPERLINK("https://drive.google.com/file/d/1WRl7hjeq5ZZNQJBDP1VUccNDRYBF-Ghc/view?usp=drivesdk","8316_DEDY ARIRAWATI _ SERTIFIKAT BerAKHLAK")</f>
        <v>8316_DEDY ARIRAWATI _ SERTIFIKAT BerAKHLAK</v>
      </c>
      <c r="P8317" s="5" t="s">
        <v>52220</v>
      </c>
    </row>
    <row r="8318">
      <c r="A8318" s="4">
        <v>45534.40030545139</v>
      </c>
      <c r="B8318" s="5" t="s">
        <v>34</v>
      </c>
      <c r="D8318" s="5" t="s">
        <v>280</v>
      </c>
      <c r="E8318" s="5" t="s">
        <v>52221</v>
      </c>
      <c r="F8318" s="5" t="s">
        <v>212</v>
      </c>
      <c r="G8318" s="5" t="s">
        <v>52222</v>
      </c>
      <c r="H8318" s="6" t="s">
        <v>52223</v>
      </c>
      <c r="K8318" s="5" t="s">
        <v>52224</v>
      </c>
      <c r="M8318" s="5" t="s">
        <v>52225</v>
      </c>
      <c r="N8318" s="7" t="s">
        <v>52226</v>
      </c>
      <c r="O8318" s="8" t="str">
        <f>HYPERLINK("https://drive.google.com/file/d/1c-xmNy0O8ApzLoHYH1q_bKxPwq-yRY73/view?usp=drivesdk","8317_ROBBY NAIBAHO A.Md.Kom. _ SERTIFIKAT BerAKHLAK")</f>
        <v>8317_ROBBY NAIBAHO A.Md.Kom. _ SERTIFIKAT BerAKHLAK</v>
      </c>
      <c r="P8318" s="5" t="s">
        <v>52227</v>
      </c>
    </row>
    <row r="8319">
      <c r="A8319" s="4">
        <v>45534.40035628472</v>
      </c>
      <c r="B8319" s="5" t="s">
        <v>34</v>
      </c>
      <c r="D8319" s="5" t="s">
        <v>6232</v>
      </c>
      <c r="E8319" s="5" t="s">
        <v>52228</v>
      </c>
      <c r="F8319" s="5" t="s">
        <v>37</v>
      </c>
      <c r="G8319" s="5" t="s">
        <v>52229</v>
      </c>
      <c r="H8319" s="6" t="s">
        <v>52230</v>
      </c>
      <c r="K8319" s="5" t="s">
        <v>52231</v>
      </c>
      <c r="M8319" s="5" t="s">
        <v>52232</v>
      </c>
      <c r="N8319" s="7" t="s">
        <v>52233</v>
      </c>
      <c r="O8319" s="8" t="str">
        <f>HYPERLINK("https://drive.google.com/file/d/1pSr3jqb8c6QrAxoqziVhaNSYMXUdUXjo/view?usp=drivesdk","8318_Hikmah Ramadhanti, A.Md.Kes _ SERTIFIKAT BerAKHLAK")</f>
        <v>8318_Hikmah Ramadhanti, A.Md.Kes _ SERTIFIKAT BerAKHLAK</v>
      </c>
      <c r="P8319" s="5" t="s">
        <v>52234</v>
      </c>
    </row>
    <row r="8320">
      <c r="A8320" s="4">
        <v>45534.40036384259</v>
      </c>
      <c r="B8320" s="5" t="s">
        <v>34</v>
      </c>
      <c r="D8320" s="5" t="s">
        <v>267</v>
      </c>
      <c r="E8320" s="5" t="s">
        <v>52235</v>
      </c>
      <c r="F8320" s="5" t="s">
        <v>212</v>
      </c>
      <c r="G8320" s="5" t="s">
        <v>52236</v>
      </c>
      <c r="H8320" s="6" t="s">
        <v>52237</v>
      </c>
      <c r="K8320" s="5" t="s">
        <v>52231</v>
      </c>
      <c r="M8320" s="5" t="s">
        <v>52238</v>
      </c>
      <c r="N8320" s="7" t="s">
        <v>52239</v>
      </c>
      <c r="O8320" s="8" t="str">
        <f>HYPERLINK("https://drive.google.com/file/d/1Xp6Xk0b_Edfc-3-C_005Q8UfVGrP49w-/view?usp=drivesdk","8319_WAJIDI _ SERTIFIKAT BerAKHLAK")</f>
        <v>8319_WAJIDI _ SERTIFIKAT BerAKHLAK</v>
      </c>
      <c r="P8320" s="5" t="s">
        <v>52240</v>
      </c>
    </row>
    <row r="8321">
      <c r="A8321" s="4">
        <v>45534.40037960648</v>
      </c>
      <c r="B8321" s="5" t="s">
        <v>34</v>
      </c>
      <c r="D8321" s="5" t="s">
        <v>280</v>
      </c>
      <c r="E8321" s="5" t="s">
        <v>52241</v>
      </c>
      <c r="F8321" s="5" t="s">
        <v>375</v>
      </c>
      <c r="G8321" s="5" t="s">
        <v>52242</v>
      </c>
      <c r="H8321" s="6" t="s">
        <v>52243</v>
      </c>
      <c r="K8321" s="5" t="s">
        <v>52231</v>
      </c>
      <c r="M8321" s="5" t="s">
        <v>52244</v>
      </c>
      <c r="N8321" s="7" t="s">
        <v>52245</v>
      </c>
      <c r="O8321" s="8" t="str">
        <f>HYPERLINK("https://drive.google.com/file/d/185lpwZaPobB1VhgXauwH2cFvu69Er8C5/view?usp=drivesdk","8320_DINI VERINI LEONITA HARAHAP, S.KL _ SERTIFIKAT BerAKHLAK")</f>
        <v>8320_DINI VERINI LEONITA HARAHAP, S.KL _ SERTIFIKAT BerAKHLAK</v>
      </c>
      <c r="P8321" s="5" t="s">
        <v>52246</v>
      </c>
    </row>
    <row r="8322">
      <c r="A8322" s="4">
        <v>45534.400393749995</v>
      </c>
      <c r="B8322" s="5" t="s">
        <v>34</v>
      </c>
      <c r="D8322" s="5" t="s">
        <v>701</v>
      </c>
      <c r="E8322" s="5" t="s">
        <v>52247</v>
      </c>
      <c r="F8322" s="5" t="s">
        <v>72</v>
      </c>
      <c r="G8322" s="5" t="s">
        <v>52248</v>
      </c>
      <c r="H8322" s="6" t="s">
        <v>52249</v>
      </c>
      <c r="K8322" s="5" t="s">
        <v>52231</v>
      </c>
      <c r="M8322" s="5" t="s">
        <v>52250</v>
      </c>
      <c r="N8322" s="7" t="s">
        <v>52251</v>
      </c>
      <c r="O8322" s="8" t="str">
        <f>HYPERLINK("https://drive.google.com/file/d/1WSpyncoqsORg5PURG6mF2FWS2dfAOUhw/view?usp=drivesdk","8321_RICHA ZULIANA _ SERTIFIKAT BerAKHLAK")</f>
        <v>8321_RICHA ZULIANA _ SERTIFIKAT BerAKHLAK</v>
      </c>
      <c r="P8322" s="5" t="s">
        <v>52252</v>
      </c>
    </row>
    <row r="8323">
      <c r="A8323" s="4">
        <v>45534.400419178244</v>
      </c>
      <c r="B8323" s="5" t="s">
        <v>34</v>
      </c>
      <c r="D8323" s="5" t="s">
        <v>4775</v>
      </c>
      <c r="E8323" s="5" t="s">
        <v>27528</v>
      </c>
      <c r="F8323" s="5" t="s">
        <v>212</v>
      </c>
      <c r="G8323" s="5" t="s">
        <v>52253</v>
      </c>
      <c r="H8323" s="6" t="s">
        <v>52254</v>
      </c>
      <c r="K8323" s="5" t="s">
        <v>52231</v>
      </c>
      <c r="M8323" s="5" t="s">
        <v>52255</v>
      </c>
      <c r="N8323" s="7" t="s">
        <v>52256</v>
      </c>
      <c r="O8323" s="8" t="str">
        <f>HYPERLINK("https://drive.google.com/file/d/1zUiKJEZUVGRTYXtcLBR7EfMm-64B4Fha/view?usp=drivesdk","8322_SUMADI _ SERTIFIKAT BerAKHLAK")</f>
        <v>8322_SUMADI _ SERTIFIKAT BerAKHLAK</v>
      </c>
      <c r="P8323" s="5" t="s">
        <v>52252</v>
      </c>
    </row>
    <row r="8324">
      <c r="A8324" s="4">
        <v>45534.40042398148</v>
      </c>
      <c r="B8324" s="5" t="s">
        <v>34</v>
      </c>
      <c r="D8324" s="5" t="s">
        <v>12978</v>
      </c>
      <c r="E8324" s="5" t="s">
        <v>52257</v>
      </c>
      <c r="F8324" s="5" t="s">
        <v>212</v>
      </c>
      <c r="G8324" s="5" t="s">
        <v>52258</v>
      </c>
      <c r="H8324" s="6" t="s">
        <v>52259</v>
      </c>
      <c r="K8324" s="5" t="s">
        <v>52231</v>
      </c>
      <c r="M8324" s="5" t="s">
        <v>52260</v>
      </c>
      <c r="N8324" s="7" t="s">
        <v>52261</v>
      </c>
      <c r="O8324" s="8" t="str">
        <f>HYPERLINK("https://drive.google.com/file/d/1v4TvHY9Nl0vXh7uNXOkG33XNxGhJJCA4/view?usp=drivesdk","8323_MAULANA JUNAIDI _ SERTIFIKAT BerAKHLAK")</f>
        <v>8323_MAULANA JUNAIDI _ SERTIFIKAT BerAKHLAK</v>
      </c>
      <c r="P8324" s="5" t="s">
        <v>52252</v>
      </c>
    </row>
    <row r="8325">
      <c r="A8325" s="4">
        <v>45534.40045490741</v>
      </c>
      <c r="B8325" s="5" t="s">
        <v>34</v>
      </c>
      <c r="D8325" s="5" t="s">
        <v>4775</v>
      </c>
      <c r="E8325" s="5" t="s">
        <v>52262</v>
      </c>
      <c r="F8325" s="5" t="s">
        <v>375</v>
      </c>
      <c r="G8325" s="5" t="s">
        <v>52263</v>
      </c>
      <c r="H8325" s="6" t="s">
        <v>52264</v>
      </c>
      <c r="K8325" s="5" t="s">
        <v>52231</v>
      </c>
      <c r="M8325" s="5" t="s">
        <v>52265</v>
      </c>
      <c r="N8325" s="7" t="s">
        <v>52266</v>
      </c>
      <c r="O8325" s="8" t="str">
        <f>HYPERLINK("https://drive.google.com/file/d/1yUeGi0oa97vIHaU0TPKg1toRsg5VKWWx/view?usp=drivesdk","8324_YATMI, S.E. _ SERTIFIKAT BerAKHLAK")</f>
        <v>8324_YATMI, S.E. _ SERTIFIKAT BerAKHLAK</v>
      </c>
      <c r="P8325" s="5" t="s">
        <v>52267</v>
      </c>
    </row>
    <row r="8326" hidden="1">
      <c r="A8326" s="4">
        <v>45534.40046725694</v>
      </c>
      <c r="B8326" s="5" t="s">
        <v>19</v>
      </c>
      <c r="C8326" s="5" t="s">
        <v>292</v>
      </c>
      <c r="E8326" s="5" t="s">
        <v>52268</v>
      </c>
      <c r="F8326" s="5" t="s">
        <v>375</v>
      </c>
      <c r="G8326" s="5" t="s">
        <v>52269</v>
      </c>
      <c r="H8326" s="6" t="s">
        <v>52270</v>
      </c>
      <c r="K8326" s="5" t="s">
        <v>52231</v>
      </c>
      <c r="M8326" s="5" t="s">
        <v>52271</v>
      </c>
      <c r="N8326" s="7" t="s">
        <v>52272</v>
      </c>
      <c r="O8326" s="8" t="str">
        <f>HYPERLINK("https://drive.google.com/file/d/1RdCbJsnFZ3LfhvuR8zGw36R6E0wREpw4/view?usp=drivesdk","8325_Drs. OJIH PAHRURROJIH  _ SERTIFIKAT BerAKHLAK")</f>
        <v>8325_Drs. OJIH PAHRURROJIH  _ SERTIFIKAT BerAKHLAK</v>
      </c>
      <c r="P8326" s="5" t="s">
        <v>52267</v>
      </c>
    </row>
    <row r="8327">
      <c r="A8327" s="4">
        <v>45534.40050708334</v>
      </c>
      <c r="B8327" s="5" t="s">
        <v>34</v>
      </c>
      <c r="D8327" s="5" t="s">
        <v>4775</v>
      </c>
      <c r="E8327" s="5" t="s">
        <v>52273</v>
      </c>
      <c r="F8327" s="5" t="s">
        <v>72</v>
      </c>
      <c r="G8327" s="5" t="s">
        <v>52274</v>
      </c>
      <c r="H8327" s="6" t="s">
        <v>52275</v>
      </c>
      <c r="K8327" s="5" t="s">
        <v>52231</v>
      </c>
      <c r="M8327" s="5" t="s">
        <v>52276</v>
      </c>
      <c r="N8327" s="7" t="s">
        <v>52277</v>
      </c>
      <c r="O8327" s="8" t="str">
        <f>HYPERLINK("https://drive.google.com/file/d/1i5Ra2-tRKwGTXMTytff8Wros1iYAPbUh/view?usp=drivesdk","8326_DEWI JULIAWATI, A.Md _ SERTIFIKAT BerAKHLAK")</f>
        <v>8326_DEWI JULIAWATI, A.Md _ SERTIFIKAT BerAKHLAK</v>
      </c>
      <c r="P8327" s="5" t="s">
        <v>52267</v>
      </c>
    </row>
    <row r="8328">
      <c r="A8328" s="4">
        <v>45534.40053596065</v>
      </c>
      <c r="B8328" s="5" t="s">
        <v>34</v>
      </c>
      <c r="D8328" s="5" t="s">
        <v>9020</v>
      </c>
      <c r="E8328" s="5" t="s">
        <v>52278</v>
      </c>
      <c r="F8328" s="5" t="s">
        <v>524</v>
      </c>
      <c r="G8328" s="5" t="s">
        <v>52279</v>
      </c>
      <c r="H8328" s="6" t="s">
        <v>52280</v>
      </c>
      <c r="K8328" s="5" t="s">
        <v>52231</v>
      </c>
      <c r="M8328" s="5" t="s">
        <v>52281</v>
      </c>
      <c r="N8328" s="7" t="s">
        <v>52282</v>
      </c>
      <c r="O8328" s="8" t="str">
        <f>HYPERLINK("https://drive.google.com/file/d/1k3eC6paMd-vSowJt_KgYozMJTg7a-PtH/view?usp=drivesdk","8327_Minaria Kristina B. Sinaga, S H. _ SERTIFIKAT BerAKHLAK")</f>
        <v>8327_Minaria Kristina B. Sinaga, S H. _ SERTIFIKAT BerAKHLAK</v>
      </c>
      <c r="P8328" s="5" t="s">
        <v>52283</v>
      </c>
    </row>
    <row r="8329" hidden="1">
      <c r="A8329" s="4">
        <v>45534.40056511574</v>
      </c>
      <c r="B8329" s="5" t="s">
        <v>19</v>
      </c>
      <c r="C8329" s="5" t="s">
        <v>26187</v>
      </c>
      <c r="E8329" s="5" t="s">
        <v>52284</v>
      </c>
      <c r="F8329" s="5" t="s">
        <v>120</v>
      </c>
      <c r="G8329" s="5" t="s">
        <v>52285</v>
      </c>
      <c r="H8329" s="6" t="s">
        <v>52286</v>
      </c>
      <c r="K8329" s="5" t="s">
        <v>52231</v>
      </c>
      <c r="M8329" s="5" t="s">
        <v>52287</v>
      </c>
      <c r="N8329" s="7" t="s">
        <v>52288</v>
      </c>
      <c r="O8329" s="8" t="str">
        <f>HYPERLINK("https://drive.google.com/file/d/1VhJ01bwSfW9K-pFexKcnXGGqeW610Wfk/view?usp=drivesdk","8328_GUNAWAN, S.SOS _ SERTIFIKAT BerAKHLAK")</f>
        <v>8328_GUNAWAN, S.SOS _ SERTIFIKAT BerAKHLAK</v>
      </c>
      <c r="P8329" s="5" t="s">
        <v>52289</v>
      </c>
    </row>
    <row r="8330" hidden="1">
      <c r="A8330" s="4">
        <v>45534.40058140046</v>
      </c>
      <c r="B8330" s="5" t="s">
        <v>19</v>
      </c>
      <c r="C8330" s="5" t="s">
        <v>5058</v>
      </c>
      <c r="E8330" s="5" t="s">
        <v>52290</v>
      </c>
      <c r="F8330" s="5" t="s">
        <v>375</v>
      </c>
      <c r="G8330" s="5" t="s">
        <v>52291</v>
      </c>
      <c r="H8330" s="6" t="s">
        <v>52292</v>
      </c>
      <c r="K8330" s="5" t="s">
        <v>52231</v>
      </c>
      <c r="M8330" s="5" t="s">
        <v>52293</v>
      </c>
      <c r="N8330" s="7" t="s">
        <v>52294</v>
      </c>
      <c r="O8330" s="8" t="str">
        <f>HYPERLINK("https://drive.google.com/file/d/1IJ65H7HuD6tzYLTmTQT_HcQU_U9qUv6L/view?usp=drivesdk","8329_Abdul Parhan, SE  _ SERTIFIKAT BerAKHLAK")</f>
        <v>8329_Abdul Parhan, SE  _ SERTIFIKAT BerAKHLAK</v>
      </c>
      <c r="P8330" s="5" t="s">
        <v>52289</v>
      </c>
    </row>
    <row r="8331" hidden="1">
      <c r="A8331" s="4">
        <v>45534.40061921296</v>
      </c>
      <c r="B8331" s="5" t="s">
        <v>19</v>
      </c>
      <c r="C8331" s="5" t="s">
        <v>466</v>
      </c>
      <c r="E8331" s="5" t="s">
        <v>52295</v>
      </c>
      <c r="F8331" s="5" t="s">
        <v>524</v>
      </c>
      <c r="G8331" s="5" t="s">
        <v>52296</v>
      </c>
      <c r="H8331" s="6" t="s">
        <v>52297</v>
      </c>
      <c r="K8331" s="5" t="s">
        <v>52231</v>
      </c>
      <c r="M8331" s="5" t="s">
        <v>52298</v>
      </c>
      <c r="N8331" s="7" t="s">
        <v>52299</v>
      </c>
      <c r="O8331" s="8" t="str">
        <f>HYPERLINK("https://drive.google.com/file/d/1iZkdITXe756sR2Sqgb2_S2P2hOsjv73f/view?usp=drivesdk","8330_GINANJAR  _ SERTIFIKAT BerAKHLAK")</f>
        <v>8330_GINANJAR  _ SERTIFIKAT BerAKHLAK</v>
      </c>
      <c r="P8331" s="5" t="s">
        <v>52289</v>
      </c>
    </row>
    <row r="8332">
      <c r="A8332" s="4">
        <v>45534.40062303241</v>
      </c>
      <c r="B8332" s="5" t="s">
        <v>34</v>
      </c>
      <c r="D8332" s="5" t="s">
        <v>12978</v>
      </c>
      <c r="E8332" s="5" t="s">
        <v>52300</v>
      </c>
      <c r="F8332" s="5" t="s">
        <v>375</v>
      </c>
      <c r="G8332" s="5" t="s">
        <v>52301</v>
      </c>
      <c r="H8332" s="6" t="s">
        <v>52302</v>
      </c>
      <c r="K8332" s="5" t="s">
        <v>52231</v>
      </c>
      <c r="M8332" s="5" t="s">
        <v>52303</v>
      </c>
      <c r="N8332" s="7" t="s">
        <v>52304</v>
      </c>
      <c r="O8332" s="8" t="str">
        <f>HYPERLINK("https://drive.google.com/file/d/16a0MqB6Vku-m3nIlN-KWoRhBYlqhT0Xi/view?usp=drivesdk","8331_FHASIMALETY _ SERTIFIKAT BerAKHLAK")</f>
        <v>8331_FHASIMALETY _ SERTIFIKAT BerAKHLAK</v>
      </c>
      <c r="P8332" s="5" t="s">
        <v>52289</v>
      </c>
    </row>
    <row r="8333">
      <c r="A8333" s="4">
        <v>45534.400647002316</v>
      </c>
      <c r="B8333" s="5" t="s">
        <v>34</v>
      </c>
      <c r="D8333" s="5" t="s">
        <v>701</v>
      </c>
      <c r="E8333" s="5" t="s">
        <v>52305</v>
      </c>
      <c r="F8333" s="5" t="s">
        <v>108</v>
      </c>
      <c r="G8333" s="5" t="s">
        <v>52306</v>
      </c>
      <c r="H8333" s="6" t="s">
        <v>52307</v>
      </c>
      <c r="K8333" s="5" t="s">
        <v>52231</v>
      </c>
      <c r="M8333" s="5" t="s">
        <v>52308</v>
      </c>
      <c r="N8333" s="7" t="s">
        <v>52309</v>
      </c>
      <c r="O8333" s="8" t="str">
        <f>HYPERLINK("https://drive.google.com/file/d/1OTDuRYb5FSOvRH8CMDiA2C9H-GTAm3MF/view?usp=drivesdk","8332_NINIK MARLINA  _ SERTIFIKAT BerAKHLAK")</f>
        <v>8332_NINIK MARLINA  _ SERTIFIKAT BerAKHLAK</v>
      </c>
      <c r="P8333" s="5" t="s">
        <v>52289</v>
      </c>
    </row>
    <row r="8334">
      <c r="A8334" s="4">
        <v>45534.4006990162</v>
      </c>
      <c r="B8334" s="5" t="s">
        <v>34</v>
      </c>
      <c r="D8334" s="5" t="s">
        <v>267</v>
      </c>
      <c r="E8334" s="5" t="s">
        <v>52310</v>
      </c>
      <c r="F8334" s="5" t="s">
        <v>524</v>
      </c>
      <c r="G8334" s="5" t="s">
        <v>52311</v>
      </c>
      <c r="H8334" s="6" t="s">
        <v>52312</v>
      </c>
      <c r="K8334" s="5" t="s">
        <v>52231</v>
      </c>
      <c r="M8334" s="5" t="s">
        <v>52313</v>
      </c>
      <c r="N8334" s="7" t="s">
        <v>52314</v>
      </c>
      <c r="O8334" s="8" t="str">
        <f>HYPERLINK("https://drive.google.com/file/d/1-f53PlLcL5w3guvQqT7Ez3yZEBW_OFcm/view?usp=drivesdk","8333_VERA SURYANI PAULINA, A.Md. _ SERTIFIKAT BerAKHLAK")</f>
        <v>8333_VERA SURYANI PAULINA, A.Md. _ SERTIFIKAT BerAKHLAK</v>
      </c>
      <c r="P8334" s="5" t="s">
        <v>52289</v>
      </c>
    </row>
    <row r="8335">
      <c r="A8335" s="4">
        <v>45534.400729409725</v>
      </c>
      <c r="B8335" s="5" t="s">
        <v>34</v>
      </c>
      <c r="D8335" s="5" t="s">
        <v>2903</v>
      </c>
      <c r="E8335" s="5" t="s">
        <v>52315</v>
      </c>
      <c r="F8335" s="5" t="s">
        <v>524</v>
      </c>
      <c r="G8335" s="5" t="s">
        <v>52316</v>
      </c>
      <c r="H8335" s="6" t="s">
        <v>52317</v>
      </c>
      <c r="K8335" s="5" t="s">
        <v>52318</v>
      </c>
      <c r="M8335" s="5" t="s">
        <v>52319</v>
      </c>
      <c r="N8335" s="7" t="s">
        <v>52320</v>
      </c>
      <c r="O8335" s="8" t="str">
        <f>HYPERLINK("https://drive.google.com/file/d/1-Xg38tn1jPLJRJ_BMRkrCRRtlMwO0GHd/view?usp=drivesdk","8334_EFNI APRI JUMIASIH, S.M. _ SERTIFIKAT BerAKHLAK")</f>
        <v>8334_EFNI APRI JUMIASIH, S.M. _ SERTIFIKAT BerAKHLAK</v>
      </c>
      <c r="P8335" s="5" t="s">
        <v>52289</v>
      </c>
    </row>
    <row r="8336">
      <c r="A8336" s="4">
        <v>45534.40073738426</v>
      </c>
      <c r="B8336" s="5" t="s">
        <v>34</v>
      </c>
      <c r="D8336" s="5" t="s">
        <v>12978</v>
      </c>
      <c r="E8336" s="5" t="s">
        <v>52321</v>
      </c>
      <c r="F8336" s="5" t="s">
        <v>72</v>
      </c>
      <c r="G8336" s="5" t="s">
        <v>52322</v>
      </c>
      <c r="H8336" s="6" t="s">
        <v>52323</v>
      </c>
      <c r="K8336" s="5" t="s">
        <v>52318</v>
      </c>
      <c r="M8336" s="5" t="s">
        <v>52324</v>
      </c>
      <c r="N8336" s="7" t="s">
        <v>52325</v>
      </c>
      <c r="O8336" s="8" t="str">
        <f>HYPERLINK("https://drive.google.com/file/d/1rZhznAv5vWBnrGEmX32Wu8BSyq86-ALz/view?usp=drivesdk","8335_ASMARA MURNI _ SERTIFIKAT BerAKHLAK")</f>
        <v>8335_ASMARA MURNI _ SERTIFIKAT BerAKHLAK</v>
      </c>
      <c r="P8336" s="5" t="s">
        <v>52326</v>
      </c>
    </row>
    <row r="8337">
      <c r="A8337" s="4">
        <v>45534.40076052083</v>
      </c>
      <c r="B8337" s="5" t="s">
        <v>34</v>
      </c>
      <c r="D8337" s="5" t="s">
        <v>701</v>
      </c>
      <c r="E8337" s="5" t="s">
        <v>52327</v>
      </c>
      <c r="F8337" s="5" t="s">
        <v>37</v>
      </c>
      <c r="G8337" s="5" t="s">
        <v>52328</v>
      </c>
      <c r="H8337" s="6" t="s">
        <v>52329</v>
      </c>
      <c r="K8337" s="5" t="s">
        <v>52318</v>
      </c>
      <c r="M8337" s="5" t="s">
        <v>52330</v>
      </c>
      <c r="N8337" s="7" t="s">
        <v>52331</v>
      </c>
      <c r="O8337" s="8" t="str">
        <f>HYPERLINK("https://drive.google.com/file/d/1uM68HOZTY_2w1-1JsYu16AuIiJxV7MYK/view?usp=drivesdk","8336_ASNIMAL.M _ SERTIFIKAT BerAKHLAK")</f>
        <v>8336_ASNIMAL.M _ SERTIFIKAT BerAKHLAK</v>
      </c>
      <c r="P8337" s="5" t="s">
        <v>52326</v>
      </c>
    </row>
    <row r="8338" hidden="1">
      <c r="A8338" s="4">
        <v>45534.400773553236</v>
      </c>
      <c r="B8338" s="5" t="s">
        <v>19</v>
      </c>
      <c r="C8338" s="5" t="s">
        <v>292</v>
      </c>
      <c r="E8338" s="5" t="s">
        <v>52332</v>
      </c>
      <c r="F8338" s="5" t="s">
        <v>375</v>
      </c>
      <c r="G8338" s="5" t="s">
        <v>52333</v>
      </c>
      <c r="H8338" s="6" t="s">
        <v>52334</v>
      </c>
      <c r="K8338" s="5" t="s">
        <v>52318</v>
      </c>
      <c r="M8338" s="5" t="s">
        <v>52335</v>
      </c>
      <c r="N8338" s="7" t="s">
        <v>52336</v>
      </c>
      <c r="O8338" s="8" t="str">
        <f>HYPERLINK("https://drive.google.com/file/d/11DV5GpSsICEcHEZecuDpMZ-INjtIzDxA/view?usp=drivesdk","8337_RYNA SETYANINGSIH SUKEMI  _ SERTIFIKAT BerAKHLAK")</f>
        <v>8337_RYNA SETYANINGSIH SUKEMI  _ SERTIFIKAT BerAKHLAK</v>
      </c>
      <c r="P8338" s="5" t="s">
        <v>52326</v>
      </c>
    </row>
    <row r="8339">
      <c r="A8339" s="4">
        <v>45534.400796284724</v>
      </c>
      <c r="B8339" s="5" t="s">
        <v>34</v>
      </c>
      <c r="D8339" s="5" t="s">
        <v>1206</v>
      </c>
      <c r="E8339" s="5" t="s">
        <v>52337</v>
      </c>
      <c r="F8339" s="5" t="s">
        <v>37</v>
      </c>
      <c r="G8339" s="5" t="s">
        <v>52338</v>
      </c>
      <c r="H8339" s="6" t="s">
        <v>52339</v>
      </c>
      <c r="K8339" s="5" t="s">
        <v>52318</v>
      </c>
      <c r="M8339" s="5" t="s">
        <v>52340</v>
      </c>
      <c r="N8339" s="7" t="s">
        <v>52341</v>
      </c>
      <c r="O8339" s="8" t="str">
        <f>HYPERLINK("https://drive.google.com/file/d/1A54Qdbl_bQPvANNLEMhlj0xxq-SkkU1m/view?usp=drivesdk","8338_ARIF BUDI WAHONO _ SERTIFIKAT BerAKHLAK")</f>
        <v>8338_ARIF BUDI WAHONO _ SERTIFIKAT BerAKHLAK</v>
      </c>
      <c r="P8339" s="5" t="s">
        <v>52326</v>
      </c>
    </row>
    <row r="8340">
      <c r="A8340" s="4">
        <v>45534.40080116898</v>
      </c>
      <c r="B8340" s="5" t="s">
        <v>34</v>
      </c>
      <c r="D8340" s="5" t="s">
        <v>9020</v>
      </c>
      <c r="E8340" s="5" t="s">
        <v>52342</v>
      </c>
      <c r="F8340" s="5" t="s">
        <v>72</v>
      </c>
      <c r="G8340" s="5" t="s">
        <v>52343</v>
      </c>
      <c r="H8340" s="6" t="s">
        <v>52344</v>
      </c>
      <c r="K8340" s="5" t="s">
        <v>52318</v>
      </c>
      <c r="M8340" s="5" t="s">
        <v>52345</v>
      </c>
      <c r="N8340" s="7" t="s">
        <v>52346</v>
      </c>
      <c r="O8340" s="8" t="str">
        <f>HYPERLINK("https://drive.google.com/file/d/1zmNV2LeghpQX2PZ3_lb_aTXpAE5m8bq5/view?usp=drivesdk","8339_NUR AZIZAH, S.Pd _ SERTIFIKAT BerAKHLAK")</f>
        <v>8339_NUR AZIZAH, S.Pd _ SERTIFIKAT BerAKHLAK</v>
      </c>
      <c r="P8340" s="5" t="s">
        <v>52326</v>
      </c>
    </row>
    <row r="8341">
      <c r="A8341" s="4">
        <v>45534.40082834491</v>
      </c>
      <c r="B8341" s="5" t="s">
        <v>34</v>
      </c>
      <c r="D8341" s="5" t="s">
        <v>12978</v>
      </c>
      <c r="E8341" s="5" t="s">
        <v>52347</v>
      </c>
      <c r="F8341" s="5" t="s">
        <v>524</v>
      </c>
      <c r="G8341" s="5" t="s">
        <v>52348</v>
      </c>
      <c r="H8341" s="6" t="s">
        <v>52349</v>
      </c>
      <c r="K8341" s="5" t="s">
        <v>52318</v>
      </c>
      <c r="M8341" s="5" t="s">
        <v>52350</v>
      </c>
      <c r="N8341" s="7" t="s">
        <v>52351</v>
      </c>
      <c r="O8341" s="8" t="str">
        <f>HYPERLINK("https://drive.google.com/file/d/1xThmKu5InrwFvsnmUMSuubkHPHRJI5Vb/view?usp=drivesdk","8340_SITI zAHARA,S.Sos _ SERTIFIKAT BerAKHLAK")</f>
        <v>8340_SITI zAHARA,S.Sos _ SERTIFIKAT BerAKHLAK</v>
      </c>
      <c r="P8341" s="5" t="s">
        <v>52326</v>
      </c>
    </row>
    <row r="8342">
      <c r="A8342" s="4">
        <v>45534.40085371528</v>
      </c>
      <c r="B8342" s="5" t="s">
        <v>34</v>
      </c>
      <c r="D8342" s="5" t="s">
        <v>9020</v>
      </c>
      <c r="E8342" s="5" t="s">
        <v>52352</v>
      </c>
      <c r="F8342" s="5" t="s">
        <v>37</v>
      </c>
      <c r="G8342" s="5" t="s">
        <v>52353</v>
      </c>
      <c r="H8342" s="6" t="s">
        <v>52354</v>
      </c>
      <c r="K8342" s="5" t="s">
        <v>52318</v>
      </c>
      <c r="M8342" s="5" t="s">
        <v>52355</v>
      </c>
      <c r="N8342" s="7" t="s">
        <v>52356</v>
      </c>
      <c r="O8342" s="8" t="str">
        <f>HYPERLINK("https://drive.google.com/file/d/1eb59hhb3PPOJnDuFuj-UtQ4iHgOmNvxT/view?usp=drivesdk","8341_Musita Eprida Sinaga _ SERTIFIKAT BerAKHLAK")</f>
        <v>8341_Musita Eprida Sinaga _ SERTIFIKAT BerAKHLAK</v>
      </c>
      <c r="P8342" s="5" t="s">
        <v>52326</v>
      </c>
    </row>
    <row r="8343">
      <c r="A8343" s="4">
        <v>45534.400857569446</v>
      </c>
      <c r="B8343" s="5" t="s">
        <v>34</v>
      </c>
      <c r="D8343" s="5" t="s">
        <v>267</v>
      </c>
      <c r="E8343" s="5" t="s">
        <v>52357</v>
      </c>
      <c r="F8343" s="5" t="s">
        <v>212</v>
      </c>
      <c r="G8343" s="5" t="s">
        <v>52358</v>
      </c>
      <c r="H8343" s="6" t="s">
        <v>52359</v>
      </c>
      <c r="K8343" s="5" t="s">
        <v>52318</v>
      </c>
      <c r="M8343" s="5" t="s">
        <v>52360</v>
      </c>
      <c r="N8343" s="7" t="s">
        <v>52361</v>
      </c>
      <c r="O8343" s="8" t="str">
        <f>HYPERLINK("https://drive.google.com/file/d/1vNvkKoNBohws1gmrTZbMKevuknuK8wg8/view?usp=drivesdk","8342_RODIAH _ SERTIFIKAT BerAKHLAK")</f>
        <v>8342_RODIAH _ SERTIFIKAT BerAKHLAK</v>
      </c>
      <c r="P8343" s="5" t="s">
        <v>52362</v>
      </c>
    </row>
    <row r="8344">
      <c r="A8344" s="4">
        <v>45534.400866944445</v>
      </c>
      <c r="B8344" s="5" t="s">
        <v>34</v>
      </c>
      <c r="D8344" s="5" t="s">
        <v>701</v>
      </c>
      <c r="E8344" s="5" t="s">
        <v>52363</v>
      </c>
      <c r="F8344" s="5" t="s">
        <v>375</v>
      </c>
      <c r="G8344" s="5" t="s">
        <v>52364</v>
      </c>
      <c r="H8344" s="6" t="s">
        <v>52365</v>
      </c>
      <c r="K8344" s="5" t="s">
        <v>52318</v>
      </c>
      <c r="M8344" s="5" t="s">
        <v>52366</v>
      </c>
      <c r="N8344" s="7" t="s">
        <v>52367</v>
      </c>
      <c r="O8344" s="8" t="str">
        <f>HYPERLINK("https://drive.google.com/file/d/1DwvqFllIRQeQytWFeE1zCYSfPdKtdS4S/view?usp=drivesdk","8343_Ns Dien Novita, S.Kep _ SERTIFIKAT BerAKHLAK")</f>
        <v>8343_Ns Dien Novita, S.Kep _ SERTIFIKAT BerAKHLAK</v>
      </c>
      <c r="P8344" s="5" t="s">
        <v>52362</v>
      </c>
    </row>
    <row r="8345">
      <c r="A8345" s="4">
        <v>45534.400878622684</v>
      </c>
      <c r="B8345" s="5" t="s">
        <v>34</v>
      </c>
      <c r="D8345" s="5" t="s">
        <v>9394</v>
      </c>
      <c r="E8345" s="5" t="s">
        <v>52368</v>
      </c>
      <c r="F8345" s="5" t="s">
        <v>524</v>
      </c>
      <c r="G8345" s="5" t="s">
        <v>52369</v>
      </c>
      <c r="H8345" s="6" t="s">
        <v>52370</v>
      </c>
      <c r="K8345" s="5" t="s">
        <v>52318</v>
      </c>
      <c r="M8345" s="5" t="s">
        <v>52371</v>
      </c>
      <c r="N8345" s="7" t="s">
        <v>52372</v>
      </c>
      <c r="O8345" s="8" t="str">
        <f>HYPERLINK("https://drive.google.com/file/d/1r_sV6NTBXPzyMew9uofAsZhdwO8atW14/view?usp=drivesdk","8344_GINA FEPZIAH _ SERTIFIKAT BerAKHLAK")</f>
        <v>8344_GINA FEPZIAH _ SERTIFIKAT BerAKHLAK</v>
      </c>
      <c r="P8345" s="5" t="s">
        <v>52362</v>
      </c>
    </row>
    <row r="8346">
      <c r="A8346" s="4">
        <v>45534.400886296295</v>
      </c>
      <c r="B8346" s="5" t="s">
        <v>34</v>
      </c>
      <c r="D8346" s="5" t="s">
        <v>6232</v>
      </c>
      <c r="E8346" s="5" t="s">
        <v>52373</v>
      </c>
      <c r="F8346" s="5" t="s">
        <v>37</v>
      </c>
      <c r="G8346" s="5" t="s">
        <v>52374</v>
      </c>
      <c r="H8346" s="6" t="s">
        <v>52375</v>
      </c>
      <c r="K8346" s="5" t="s">
        <v>52318</v>
      </c>
      <c r="M8346" s="5" t="s">
        <v>52376</v>
      </c>
      <c r="N8346" s="7" t="s">
        <v>52377</v>
      </c>
      <c r="O8346" s="8" t="str">
        <f>HYPERLINK("https://drive.google.com/file/d/14brldE49JauEKZqN-mt6HYe3WH7iAcMJ/view?usp=drivesdk","8345_TIA MAYLA SARI PUTRI, Am.Kep _ SERTIFIKAT BerAKHLAK")</f>
        <v>8345_TIA MAYLA SARI PUTRI, Am.Kep _ SERTIFIKAT BerAKHLAK</v>
      </c>
      <c r="P8346" s="5" t="s">
        <v>52362</v>
      </c>
    </row>
    <row r="8347">
      <c r="A8347" s="4">
        <v>45534.40090122685</v>
      </c>
      <c r="B8347" s="5" t="s">
        <v>34</v>
      </c>
      <c r="D8347" s="5" t="s">
        <v>9020</v>
      </c>
      <c r="E8347" s="5" t="s">
        <v>52378</v>
      </c>
      <c r="F8347" s="5" t="s">
        <v>715</v>
      </c>
      <c r="G8347" s="5" t="s">
        <v>52379</v>
      </c>
      <c r="H8347" s="6" t="s">
        <v>52380</v>
      </c>
      <c r="K8347" s="5" t="s">
        <v>52318</v>
      </c>
      <c r="M8347" s="5" t="s">
        <v>52381</v>
      </c>
      <c r="N8347" s="7" t="s">
        <v>52382</v>
      </c>
      <c r="O8347" s="8" t="str">
        <f>HYPERLINK("https://drive.google.com/file/d/1G1-KV0SEx9coH8_-fLSViynR0PZr007m/view?usp=drivesdk","8346_MAKHDALENA FRANSISKA LUMBANTOBING, S.Pd _ SERTIFIKAT BerAKHLAK")</f>
        <v>8346_MAKHDALENA FRANSISKA LUMBANTOBING, S.Pd _ SERTIFIKAT BerAKHLAK</v>
      </c>
      <c r="P8347" s="5" t="s">
        <v>52362</v>
      </c>
    </row>
    <row r="8348" hidden="1">
      <c r="A8348" s="4">
        <v>45534.40094878472</v>
      </c>
      <c r="B8348" s="5" t="s">
        <v>19</v>
      </c>
      <c r="C8348" s="5" t="s">
        <v>292</v>
      </c>
      <c r="E8348" s="5" t="s">
        <v>52383</v>
      </c>
      <c r="F8348" s="5" t="s">
        <v>108</v>
      </c>
      <c r="G8348" s="5" t="s">
        <v>52384</v>
      </c>
      <c r="H8348" s="6" t="s">
        <v>52385</v>
      </c>
      <c r="K8348" s="5" t="s">
        <v>52386</v>
      </c>
      <c r="M8348" s="5" t="s">
        <v>52387</v>
      </c>
      <c r="N8348" s="7" t="s">
        <v>52388</v>
      </c>
      <c r="O8348" s="8" t="str">
        <f>HYPERLINK("https://drive.google.com/file/d/1_e5VCi_tIM13O8kN-7bLYmg9mGvcrSI2/view?usp=drivesdk","8347_ICE MAESAROH _ SERTIFIKAT BerAKHLAK")</f>
        <v>8347_ICE MAESAROH _ SERTIFIKAT BerAKHLAK</v>
      </c>
      <c r="P8348" s="5" t="s">
        <v>52362</v>
      </c>
    </row>
    <row r="8349" hidden="1">
      <c r="A8349" s="4">
        <v>45534.40100388889</v>
      </c>
      <c r="B8349" s="5" t="s">
        <v>19</v>
      </c>
      <c r="C8349" s="5" t="s">
        <v>83</v>
      </c>
      <c r="E8349" s="5" t="s">
        <v>52389</v>
      </c>
      <c r="F8349" s="5" t="s">
        <v>108</v>
      </c>
      <c r="G8349" s="5" t="s">
        <v>52390</v>
      </c>
      <c r="H8349" s="6" t="s">
        <v>52391</v>
      </c>
      <c r="K8349" s="5" t="s">
        <v>52386</v>
      </c>
      <c r="M8349" s="5" t="s">
        <v>52392</v>
      </c>
      <c r="N8349" s="7" t="s">
        <v>52393</v>
      </c>
      <c r="O8349" s="8" t="str">
        <f>HYPERLINK("https://drive.google.com/file/d/16jvqJcuhuaoKaw_XT4RuUkWgViloI-Qy/view?usp=drivesdk","8348_TEGAWATI A.Md. _ SERTIFIKAT BerAKHLAK")</f>
        <v>8348_TEGAWATI A.Md. _ SERTIFIKAT BerAKHLAK</v>
      </c>
      <c r="P8349" s="5" t="s">
        <v>52394</v>
      </c>
    </row>
    <row r="8350" hidden="1">
      <c r="A8350" s="4">
        <v>45534.40101905093</v>
      </c>
      <c r="B8350" s="5" t="s">
        <v>19</v>
      </c>
      <c r="C8350" s="5" t="s">
        <v>5058</v>
      </c>
      <c r="E8350" s="5" t="s">
        <v>52395</v>
      </c>
      <c r="F8350" s="5" t="s">
        <v>524</v>
      </c>
      <c r="G8350" s="5" t="s">
        <v>52396</v>
      </c>
      <c r="H8350" s="6" t="s">
        <v>52397</v>
      </c>
      <c r="K8350" s="5" t="s">
        <v>52386</v>
      </c>
      <c r="M8350" s="5" t="s">
        <v>52398</v>
      </c>
      <c r="N8350" s="7" t="s">
        <v>52399</v>
      </c>
      <c r="O8350" s="8" t="str">
        <f>HYPERLINK("https://drive.google.com/file/d/1lsqSVBXNxW7v6LaOy-DRWvi6A_9Ph1U7/view?usp=drivesdk","8349_YUSUF HAMBALI, S.Kom _ SERTIFIKAT BerAKHLAK")</f>
        <v>8349_YUSUF HAMBALI, S.Kom _ SERTIFIKAT BerAKHLAK</v>
      </c>
      <c r="P8350" s="5" t="s">
        <v>52394</v>
      </c>
    </row>
    <row r="8351">
      <c r="A8351" s="4">
        <v>45534.40103289352</v>
      </c>
      <c r="B8351" s="5" t="s">
        <v>34</v>
      </c>
      <c r="D8351" s="5" t="s">
        <v>522</v>
      </c>
      <c r="E8351" s="5" t="s">
        <v>52400</v>
      </c>
      <c r="F8351" s="5" t="s">
        <v>37</v>
      </c>
      <c r="G8351" s="5" t="s">
        <v>52401</v>
      </c>
      <c r="H8351" s="6" t="s">
        <v>52402</v>
      </c>
      <c r="K8351" s="5" t="s">
        <v>52386</v>
      </c>
      <c r="M8351" s="5" t="s">
        <v>52403</v>
      </c>
      <c r="N8351" s="7" t="s">
        <v>52404</v>
      </c>
      <c r="O8351" s="8" t="str">
        <f>HYPERLINK("https://drive.google.com/file/d/1Tfp3KMjoll43CypAQmdQx4xtTR53XRVm/view?usp=drivesdk","8350_LALU IRHAM _ SERTIFIKAT BerAKHLAK")</f>
        <v>8350_LALU IRHAM _ SERTIFIKAT BerAKHLAK</v>
      </c>
      <c r="P8351" s="5" t="s">
        <v>52394</v>
      </c>
    </row>
    <row r="8352">
      <c r="A8352" s="4">
        <v>45534.40108527778</v>
      </c>
      <c r="B8352" s="5" t="s">
        <v>34</v>
      </c>
      <c r="D8352" s="5" t="s">
        <v>9394</v>
      </c>
      <c r="E8352" s="5" t="s">
        <v>52405</v>
      </c>
      <c r="F8352" s="5" t="s">
        <v>524</v>
      </c>
      <c r="G8352" s="5" t="s">
        <v>52406</v>
      </c>
      <c r="H8352" s="6" t="s">
        <v>52407</v>
      </c>
      <c r="K8352" s="5" t="s">
        <v>52386</v>
      </c>
      <c r="M8352" s="5" t="s">
        <v>52408</v>
      </c>
      <c r="N8352" s="7" t="s">
        <v>52409</v>
      </c>
      <c r="O8352" s="8" t="str">
        <f>HYPERLINK("https://drive.google.com/file/d/1ZM1NkVlXaIsQG5HnIqjFO2dYYIfoYIJD/view?usp=drivesdk","8351_SUCI ANNISA KHAIRANI  _ SERTIFIKAT BerAKHLAK")</f>
        <v>8351_SUCI ANNISA KHAIRANI  _ SERTIFIKAT BerAKHLAK</v>
      </c>
      <c r="P8352" s="5" t="s">
        <v>52394</v>
      </c>
    </row>
    <row r="8353" hidden="1">
      <c r="A8353" s="4">
        <v>45534.401085115736</v>
      </c>
      <c r="B8353" s="5" t="s">
        <v>19</v>
      </c>
      <c r="C8353" s="5" t="s">
        <v>38343</v>
      </c>
      <c r="E8353" s="5" t="s">
        <v>52410</v>
      </c>
      <c r="F8353" s="5" t="s">
        <v>328</v>
      </c>
      <c r="G8353" s="5" t="s">
        <v>52411</v>
      </c>
      <c r="H8353" s="6" t="s">
        <v>52412</v>
      </c>
      <c r="K8353" s="5" t="s">
        <v>52386</v>
      </c>
      <c r="M8353" s="5" t="s">
        <v>52413</v>
      </c>
      <c r="N8353" s="7" t="s">
        <v>52414</v>
      </c>
      <c r="O8353" s="8" t="str">
        <f>HYPERLINK("https://drive.google.com/file/d/1oCDwq9_uSgjtzziQ2uTNvz1bM1DBWcs4/view?usp=drivesdk","8352_WASEMIN _ SERTIFIKAT BerAKHLAK")</f>
        <v>8352_WASEMIN _ SERTIFIKAT BerAKHLAK</v>
      </c>
      <c r="P8353" s="5" t="s">
        <v>52394</v>
      </c>
    </row>
    <row r="8354">
      <c r="A8354" s="4">
        <v>45534.40115175926</v>
      </c>
      <c r="B8354" s="5" t="s">
        <v>34</v>
      </c>
      <c r="D8354" s="5" t="s">
        <v>1206</v>
      </c>
      <c r="E8354" s="5" t="s">
        <v>52415</v>
      </c>
      <c r="F8354" s="5" t="s">
        <v>6776</v>
      </c>
      <c r="G8354" s="5" t="s">
        <v>52416</v>
      </c>
      <c r="H8354" s="6" t="s">
        <v>52417</v>
      </c>
      <c r="K8354" s="5" t="s">
        <v>52418</v>
      </c>
      <c r="M8354" s="5" t="s">
        <v>52419</v>
      </c>
      <c r="N8354" s="7" t="s">
        <v>52420</v>
      </c>
      <c r="O8354" s="8" t="str">
        <f>HYPERLINK("https://drive.google.com/file/d/1IABknWR6CN2fRhpMHY3i2XLKk4tnt4fm/view?usp=drivesdk","8353_ABDULLOH _ SERTIFIKAT BerAKHLAK")</f>
        <v>8353_ABDULLOH _ SERTIFIKAT BerAKHLAK</v>
      </c>
      <c r="P8354" s="5" t="s">
        <v>52421</v>
      </c>
    </row>
    <row r="8355">
      <c r="A8355" s="4">
        <v>45534.40115884259</v>
      </c>
      <c r="B8355" s="5" t="s">
        <v>34</v>
      </c>
      <c r="D8355" s="5" t="s">
        <v>14313</v>
      </c>
      <c r="E8355" s="5" t="s">
        <v>52422</v>
      </c>
      <c r="F8355" s="5" t="s">
        <v>108</v>
      </c>
      <c r="G8355" s="5" t="s">
        <v>52423</v>
      </c>
      <c r="H8355" s="6" t="s">
        <v>52424</v>
      </c>
      <c r="K8355" s="5" t="s">
        <v>52418</v>
      </c>
      <c r="M8355" s="5" t="s">
        <v>52425</v>
      </c>
      <c r="N8355" s="7" t="s">
        <v>52426</v>
      </c>
      <c r="O8355" s="8" t="str">
        <f>HYPERLINK("https://drive.google.com/file/d/1IDp4DTWUg5DuzLXF0gA9re1ZLwKhwdu7/view?usp=drivesdk","8354_ISHAQ HAMZAH SE  _ SERTIFIKAT BerAKHLAK")</f>
        <v>8354_ISHAQ HAMZAH SE  _ SERTIFIKAT BerAKHLAK</v>
      </c>
      <c r="P8355" s="5" t="s">
        <v>52421</v>
      </c>
    </row>
    <row r="8356">
      <c r="A8356" s="4">
        <v>45534.40116505787</v>
      </c>
      <c r="B8356" s="5" t="s">
        <v>34</v>
      </c>
      <c r="D8356" s="5" t="s">
        <v>4775</v>
      </c>
      <c r="E8356" s="5" t="s">
        <v>2938</v>
      </c>
      <c r="F8356" s="5" t="s">
        <v>72</v>
      </c>
      <c r="G8356" s="5" t="s">
        <v>52427</v>
      </c>
      <c r="H8356" s="6" t="s">
        <v>52428</v>
      </c>
      <c r="K8356" s="5" t="s">
        <v>52418</v>
      </c>
      <c r="M8356" s="5" t="s">
        <v>52429</v>
      </c>
      <c r="N8356" s="7" t="s">
        <v>52430</v>
      </c>
      <c r="O8356" s="8" t="str">
        <f>HYPERLINK("https://drive.google.com/file/d/1Aa-CindrP6rY0qGakFunTmHVRPgJQyby/view?usp=drivesdk","8355_TRI HANDAYANI _ SERTIFIKAT BerAKHLAK")</f>
        <v>8355_TRI HANDAYANI _ SERTIFIKAT BerAKHLAK</v>
      </c>
      <c r="P8356" s="5" t="s">
        <v>52421</v>
      </c>
    </row>
    <row r="8357">
      <c r="A8357" s="4">
        <v>45534.40117964121</v>
      </c>
      <c r="B8357" s="5" t="s">
        <v>34</v>
      </c>
      <c r="D8357" s="5" t="s">
        <v>12978</v>
      </c>
      <c r="E8357" s="5" t="s">
        <v>52431</v>
      </c>
      <c r="F8357" s="5" t="s">
        <v>72</v>
      </c>
      <c r="G8357" s="5" t="s">
        <v>52432</v>
      </c>
      <c r="H8357" s="6" t="s">
        <v>52433</v>
      </c>
      <c r="K8357" s="5" t="s">
        <v>52418</v>
      </c>
      <c r="M8357" s="5" t="s">
        <v>52434</v>
      </c>
      <c r="N8357" s="7" t="s">
        <v>52435</v>
      </c>
      <c r="O8357" s="8" t="str">
        <f>HYPERLINK("https://drive.google.com/file/d/1I0n2vh_OiL3Q09x2Grv697RjUpvktwll/view?usp=drivesdk","8356_YULISMA AFRIANTI, SKep _ SERTIFIKAT BerAKHLAK")</f>
        <v>8356_YULISMA AFRIANTI, SKep _ SERTIFIKAT BerAKHLAK</v>
      </c>
      <c r="P8357" s="5" t="s">
        <v>49674</v>
      </c>
    </row>
    <row r="8358" hidden="1">
      <c r="A8358" s="4">
        <v>45534.40118451389</v>
      </c>
      <c r="B8358" s="5" t="s">
        <v>19</v>
      </c>
      <c r="C8358" s="5" t="s">
        <v>292</v>
      </c>
      <c r="E8358" s="5" t="s">
        <v>52436</v>
      </c>
      <c r="F8358" s="5" t="s">
        <v>72</v>
      </c>
      <c r="G8358" s="5" t="s">
        <v>52437</v>
      </c>
      <c r="H8358" s="6" t="s">
        <v>52438</v>
      </c>
      <c r="K8358" s="5" t="s">
        <v>52418</v>
      </c>
      <c r="M8358" s="5" t="s">
        <v>52439</v>
      </c>
      <c r="N8358" s="7" t="s">
        <v>52440</v>
      </c>
      <c r="O8358" s="8" t="str">
        <f>HYPERLINK("https://drive.google.com/file/d/1FcaqbMldtgXBjAQj4hmVjpM5yTw5DJPe/view?usp=drivesdk","8357_DR FARAH DIBAH _ SERTIFIKAT BerAKHLAK")</f>
        <v>8357_DR FARAH DIBAH _ SERTIFIKAT BerAKHLAK</v>
      </c>
      <c r="P8358" s="5" t="s">
        <v>49700</v>
      </c>
    </row>
    <row r="8359" hidden="1">
      <c r="A8359" s="4">
        <v>45534.401188749995</v>
      </c>
      <c r="B8359" s="5" t="s">
        <v>19</v>
      </c>
      <c r="C8359" s="5" t="s">
        <v>83</v>
      </c>
      <c r="E8359" s="5" t="s">
        <v>52441</v>
      </c>
      <c r="F8359" s="5" t="s">
        <v>120</v>
      </c>
      <c r="G8359" s="5" t="s">
        <v>52442</v>
      </c>
      <c r="H8359" s="6" t="s">
        <v>52443</v>
      </c>
      <c r="K8359" s="5" t="s">
        <v>52418</v>
      </c>
      <c r="M8359" s="5" t="s">
        <v>52444</v>
      </c>
      <c r="N8359" s="7" t="s">
        <v>52445</v>
      </c>
      <c r="O8359" s="8" t="str">
        <f>HYPERLINK("https://drive.google.com/file/d/1X_WaNs2Wp-80GTJYCWXKsiFjwhH7dqq9/view?usp=drivesdk","8358_WILHELMUS SANGA, S.E., M.M. _ SERTIFIKAT BerAKHLAK")</f>
        <v>8358_WILHELMUS SANGA, S.E., M.M. _ SERTIFIKAT BerAKHLAK</v>
      </c>
      <c r="P8359" s="5" t="s">
        <v>49700</v>
      </c>
    </row>
    <row r="8360">
      <c r="A8360" s="4">
        <v>45534.40118954861</v>
      </c>
      <c r="B8360" s="5" t="s">
        <v>34</v>
      </c>
      <c r="D8360" s="5" t="s">
        <v>35</v>
      </c>
      <c r="E8360" s="5" t="s">
        <v>48266</v>
      </c>
      <c r="F8360" s="5" t="s">
        <v>212</v>
      </c>
      <c r="G8360" s="5" t="s">
        <v>2607</v>
      </c>
      <c r="H8360" s="6" t="s">
        <v>52446</v>
      </c>
      <c r="K8360" s="5" t="s">
        <v>52418</v>
      </c>
      <c r="M8360" s="5" t="s">
        <v>52447</v>
      </c>
      <c r="N8360" s="7" t="s">
        <v>52448</v>
      </c>
      <c r="O8360" s="8" t="str">
        <f>HYPERLINK("https://drive.google.com/file/d/1Rl0NDsuykKE2sisd24rhxaYvQBqbY0Wm/view?usp=drivesdk","8359_LILIS HARTATI _ SERTIFIKAT BerAKHLAK")</f>
        <v>8359_LILIS HARTATI _ SERTIFIKAT BerAKHLAK</v>
      </c>
      <c r="P8360" s="5" t="s">
        <v>49700</v>
      </c>
    </row>
    <row r="8361">
      <c r="A8361" s="4">
        <v>45534.40124207176</v>
      </c>
      <c r="B8361" s="5" t="s">
        <v>34</v>
      </c>
      <c r="D8361" s="5" t="s">
        <v>1206</v>
      </c>
      <c r="E8361" s="5" t="s">
        <v>52449</v>
      </c>
      <c r="F8361" s="5" t="s">
        <v>108</v>
      </c>
      <c r="G8361" s="5" t="s">
        <v>52450</v>
      </c>
      <c r="H8361" s="6" t="s">
        <v>52451</v>
      </c>
      <c r="K8361" s="5" t="s">
        <v>52418</v>
      </c>
      <c r="M8361" s="5" t="s">
        <v>52452</v>
      </c>
      <c r="N8361" s="7" t="s">
        <v>52453</v>
      </c>
      <c r="O8361" s="8" t="str">
        <f>HYPERLINK("https://drive.google.com/file/d/1ie6dG0i6jZ6-eki3DKT5U80-YXC8mp5m/view?usp=drivesdk","8360_ANDRI WALUYO _ SERTIFIKAT BerAKHLAK")</f>
        <v>8360_ANDRI WALUYO _ SERTIFIKAT BerAKHLAK</v>
      </c>
      <c r="P8361" s="5" t="s">
        <v>49700</v>
      </c>
    </row>
    <row r="8362">
      <c r="A8362" s="4">
        <v>45534.401283750005</v>
      </c>
      <c r="B8362" s="5" t="s">
        <v>34</v>
      </c>
      <c r="D8362" s="5" t="s">
        <v>1768</v>
      </c>
      <c r="E8362" s="5" t="s">
        <v>8781</v>
      </c>
      <c r="F8362" s="5" t="s">
        <v>72</v>
      </c>
      <c r="G8362" s="5" t="s">
        <v>52454</v>
      </c>
      <c r="H8362" s="6" t="s">
        <v>52455</v>
      </c>
      <c r="K8362" s="5" t="s">
        <v>52456</v>
      </c>
      <c r="M8362" s="5" t="s">
        <v>52457</v>
      </c>
      <c r="N8362" s="7" t="s">
        <v>52458</v>
      </c>
      <c r="O8362" s="8" t="str">
        <f>HYPERLINK("https://drive.google.com/file/d/1E18KeKvlLXnDnDZIvWJ9cILv4Oc6G54-/view?usp=drivesdk","8361_SRI PUJI NURYANINGSIH _ SERTIFIKAT BerAKHLAK")</f>
        <v>8361_SRI PUJI NURYANINGSIH _ SERTIFIKAT BerAKHLAK</v>
      </c>
      <c r="P8362" s="5" t="s">
        <v>49700</v>
      </c>
    </row>
    <row r="8363">
      <c r="A8363" s="4">
        <v>45534.401303645835</v>
      </c>
      <c r="B8363" s="5" t="s">
        <v>34</v>
      </c>
      <c r="D8363" s="5" t="s">
        <v>9020</v>
      </c>
      <c r="E8363" s="5" t="s">
        <v>52459</v>
      </c>
      <c r="F8363" s="5" t="s">
        <v>37</v>
      </c>
      <c r="G8363" s="5" t="s">
        <v>52460</v>
      </c>
      <c r="H8363" s="6" t="s">
        <v>52461</v>
      </c>
      <c r="K8363" s="5" t="s">
        <v>52462</v>
      </c>
      <c r="M8363" s="5" t="s">
        <v>52463</v>
      </c>
      <c r="N8363" s="7" t="s">
        <v>52464</v>
      </c>
      <c r="O8363" s="8" t="str">
        <f>HYPERLINK("https://drive.google.com/file/d/1NDnXZYVuD99KYJ_aQPvoF2TNhVLoDUFm/view?usp=drivesdk","8362_ANDRIANI, SH _ SERTIFIKAT BerAKHLAK")</f>
        <v>8362_ANDRIANI, SH _ SERTIFIKAT BerAKHLAK</v>
      </c>
      <c r="P8363" s="5" t="s">
        <v>49700</v>
      </c>
    </row>
    <row r="8364">
      <c r="A8364" s="4">
        <v>45534.40136894676</v>
      </c>
      <c r="B8364" s="5" t="s">
        <v>34</v>
      </c>
      <c r="D8364" s="5" t="s">
        <v>4775</v>
      </c>
      <c r="E8364" s="5" t="s">
        <v>52465</v>
      </c>
      <c r="F8364" s="5" t="s">
        <v>37</v>
      </c>
      <c r="G8364" s="5" t="s">
        <v>52466</v>
      </c>
      <c r="H8364" s="6" t="s">
        <v>52467</v>
      </c>
      <c r="K8364" s="5" t="s">
        <v>52468</v>
      </c>
      <c r="M8364" s="5" t="s">
        <v>52469</v>
      </c>
      <c r="N8364" s="7" t="s">
        <v>52470</v>
      </c>
      <c r="O8364" s="8" t="str">
        <f>HYPERLINK("https://drive.google.com/file/d/1Si6uES_HFE3Dfh8t45HgXUkkxYyRJMWI/view?usp=drivesdk","8363_SUDIAMAN _ SERTIFIKAT BerAKHLAK")</f>
        <v>8363_SUDIAMAN _ SERTIFIKAT BerAKHLAK</v>
      </c>
      <c r="P8364" s="5" t="s">
        <v>49722</v>
      </c>
    </row>
    <row r="8365" hidden="1">
      <c r="A8365" s="4">
        <v>45534.401383055556</v>
      </c>
      <c r="B8365" s="5" t="s">
        <v>19</v>
      </c>
      <c r="C8365" s="5" t="s">
        <v>5058</v>
      </c>
      <c r="E8365" s="5" t="s">
        <v>52471</v>
      </c>
      <c r="F8365" s="5" t="s">
        <v>375</v>
      </c>
      <c r="G8365" s="5" t="s">
        <v>52472</v>
      </c>
      <c r="H8365" s="6" t="s">
        <v>52473</v>
      </c>
      <c r="K8365" s="5" t="s">
        <v>52468</v>
      </c>
      <c r="M8365" s="5" t="s">
        <v>52474</v>
      </c>
      <c r="N8365" s="7" t="s">
        <v>52475</v>
      </c>
      <c r="O8365" s="8" t="str">
        <f>HYPERLINK("https://drive.google.com/file/d/1JxWNCF81ViIbNE0ReEZks7Ufqelds-9A/view?usp=drivesdk","8364_TATIK RAHAYU, S.E.M.H _ SERTIFIKAT BerAKHLAK")</f>
        <v>8364_TATIK RAHAYU, S.E.M.H _ SERTIFIKAT BerAKHLAK</v>
      </c>
      <c r="P8365" s="5" t="s">
        <v>49722</v>
      </c>
    </row>
    <row r="8366">
      <c r="A8366" s="4">
        <v>45534.401430983795</v>
      </c>
      <c r="B8366" s="5" t="s">
        <v>34</v>
      </c>
      <c r="D8366" s="5" t="s">
        <v>604</v>
      </c>
      <c r="E8366" s="5" t="s">
        <v>52476</v>
      </c>
      <c r="F8366" s="5" t="s">
        <v>212</v>
      </c>
      <c r="G8366" s="5" t="s">
        <v>52477</v>
      </c>
      <c r="H8366" s="6" t="s">
        <v>52478</v>
      </c>
      <c r="K8366" s="5" t="s">
        <v>52468</v>
      </c>
      <c r="M8366" s="5" t="s">
        <v>52479</v>
      </c>
      <c r="N8366" s="7" t="s">
        <v>52480</v>
      </c>
      <c r="O8366" s="8" t="str">
        <f>HYPERLINK("https://drive.google.com/file/d/1EyvcnDzqunOYaVlrxnzA_JF7g3jYzhjL/view?usp=drivesdk","8365_NELDELA GRESIA BARASA _ SERTIFIKAT BerAKHLAK")</f>
        <v>8365_NELDELA GRESIA BARASA _ SERTIFIKAT BerAKHLAK</v>
      </c>
      <c r="P8366" s="5" t="s">
        <v>49722</v>
      </c>
    </row>
    <row r="8367">
      <c r="A8367" s="4">
        <v>45534.401431817125</v>
      </c>
      <c r="B8367" s="5" t="s">
        <v>34</v>
      </c>
      <c r="D8367" s="5" t="s">
        <v>1206</v>
      </c>
      <c r="E8367" s="5" t="s">
        <v>52481</v>
      </c>
      <c r="F8367" s="5" t="s">
        <v>37</v>
      </c>
      <c r="G8367" s="5" t="s">
        <v>52482</v>
      </c>
      <c r="H8367" s="6" t="s">
        <v>52483</v>
      </c>
      <c r="K8367" s="5" t="s">
        <v>52468</v>
      </c>
      <c r="M8367" s="5" t="s">
        <v>52484</v>
      </c>
      <c r="N8367" s="7" t="s">
        <v>52485</v>
      </c>
      <c r="O8367" s="8" t="str">
        <f>HYPERLINK("https://drive.google.com/file/d/1DMrEVE48DClNxc9bOWOF0qwUmPv1HMwX/view?usp=drivesdk","8366_HINDRAWAN KRISTIYANTO _ SERTIFIKAT BerAKHLAK")</f>
        <v>8366_HINDRAWAN KRISTIYANTO _ SERTIFIKAT BerAKHLAK</v>
      </c>
      <c r="P8367" s="5" t="s">
        <v>49722</v>
      </c>
    </row>
    <row r="8368">
      <c r="A8368" s="4">
        <v>45534.401461828704</v>
      </c>
      <c r="B8368" s="5" t="s">
        <v>34</v>
      </c>
      <c r="D8368" s="5" t="s">
        <v>14313</v>
      </c>
      <c r="E8368" s="5" t="s">
        <v>52486</v>
      </c>
      <c r="F8368" s="5" t="s">
        <v>212</v>
      </c>
      <c r="G8368" s="5" t="s">
        <v>52487</v>
      </c>
      <c r="H8368" s="6" t="s">
        <v>52488</v>
      </c>
      <c r="K8368" s="5" t="s">
        <v>52468</v>
      </c>
      <c r="M8368" s="5" t="s">
        <v>52489</v>
      </c>
      <c r="N8368" s="7" t="s">
        <v>52490</v>
      </c>
      <c r="O8368" s="8" t="str">
        <f>HYPERLINK("https://drive.google.com/file/d/1ycPt_J440zg7hsAdP1MlXy-CfV4wDvrb/view?usp=drivesdk","8367_HIKMAWATI.K _ SERTIFIKAT BerAKHLAK")</f>
        <v>8367_HIKMAWATI.K _ SERTIFIKAT BerAKHLAK</v>
      </c>
      <c r="P8368" s="5" t="s">
        <v>49722</v>
      </c>
    </row>
    <row r="8369">
      <c r="A8369" s="4">
        <v>45534.40147769676</v>
      </c>
      <c r="B8369" s="5" t="s">
        <v>34</v>
      </c>
      <c r="D8369" s="5" t="s">
        <v>9020</v>
      </c>
      <c r="E8369" s="5" t="s">
        <v>22588</v>
      </c>
      <c r="F8369" s="5" t="s">
        <v>524</v>
      </c>
      <c r="G8369" s="5" t="s">
        <v>52491</v>
      </c>
      <c r="H8369" s="6" t="s">
        <v>52492</v>
      </c>
      <c r="K8369" s="5" t="s">
        <v>52468</v>
      </c>
      <c r="M8369" s="5" t="s">
        <v>52493</v>
      </c>
      <c r="N8369" s="7" t="s">
        <v>52494</v>
      </c>
      <c r="O8369" s="8" t="str">
        <f>HYPERLINK("https://drive.google.com/file/d/1oTWfAG0vhUmxQgjL2cnXDA9_fhLeOd-x/view?usp=drivesdk","8368_LISMA WATI SIREGAR _ SERTIFIKAT BerAKHLAK")</f>
        <v>8368_LISMA WATI SIREGAR _ SERTIFIKAT BerAKHLAK</v>
      </c>
      <c r="P8369" s="5" t="s">
        <v>49722</v>
      </c>
    </row>
    <row r="8370">
      <c r="A8370" s="4">
        <v>45534.40151466435</v>
      </c>
      <c r="B8370" s="5" t="s">
        <v>34</v>
      </c>
      <c r="D8370" s="5" t="s">
        <v>267</v>
      </c>
      <c r="E8370" s="5" t="s">
        <v>52495</v>
      </c>
      <c r="F8370" s="5" t="s">
        <v>37</v>
      </c>
      <c r="G8370" s="5" t="s">
        <v>52496</v>
      </c>
      <c r="H8370" s="6" t="s">
        <v>52497</v>
      </c>
      <c r="K8370" s="5" t="s">
        <v>52468</v>
      </c>
      <c r="M8370" s="5" t="s">
        <v>52498</v>
      </c>
      <c r="N8370" s="7" t="s">
        <v>52499</v>
      </c>
      <c r="O8370" s="8" t="str">
        <f>HYPERLINK("https://drive.google.com/file/d/1BnBx2YcfffzUe5UUbO4xsVSp7cLMJyjm/view?usp=drivesdk","8369_ENI HARTATI _ SERTIFIKAT BerAKHLAK")</f>
        <v>8369_ENI HARTATI _ SERTIFIKAT BerAKHLAK</v>
      </c>
      <c r="P8370" s="5" t="s">
        <v>49722</v>
      </c>
    </row>
    <row r="8371" hidden="1">
      <c r="A8371" s="4">
        <v>45534.40154525463</v>
      </c>
      <c r="B8371" s="5" t="s">
        <v>19</v>
      </c>
      <c r="C8371" s="5" t="s">
        <v>24076</v>
      </c>
      <c r="E8371" s="5" t="s">
        <v>52500</v>
      </c>
      <c r="F8371" s="5" t="s">
        <v>375</v>
      </c>
      <c r="G8371" s="5" t="s">
        <v>52501</v>
      </c>
      <c r="H8371" s="6" t="s">
        <v>52502</v>
      </c>
      <c r="K8371" s="5" t="s">
        <v>52503</v>
      </c>
      <c r="M8371" s="5" t="s">
        <v>52504</v>
      </c>
      <c r="N8371" s="7" t="s">
        <v>52505</v>
      </c>
      <c r="O8371" s="8" t="str">
        <f>HYPERLINK("https://drive.google.com/file/d/1yHHm75kzRUAuovkN4ajC-iXew1UKWL25/view?usp=drivesdk","8370_WAHYUNI RANTI PRATIWI, SE, Ak _ SERTIFIKAT BerAKHLAK")</f>
        <v>8370_WAHYUNI RANTI PRATIWI, SE, Ak _ SERTIFIKAT BerAKHLAK</v>
      </c>
      <c r="P8371" s="5" t="s">
        <v>49754</v>
      </c>
    </row>
    <row r="8372">
      <c r="A8372" s="4">
        <v>45534.401573553245</v>
      </c>
      <c r="B8372" s="5" t="s">
        <v>34</v>
      </c>
      <c r="D8372" s="5" t="s">
        <v>4775</v>
      </c>
      <c r="E8372" s="5" t="s">
        <v>52506</v>
      </c>
      <c r="F8372" s="5" t="s">
        <v>375</v>
      </c>
      <c r="G8372" s="5" t="s">
        <v>52507</v>
      </c>
      <c r="H8372" s="6" t="s">
        <v>52508</v>
      </c>
      <c r="K8372" s="5" t="s">
        <v>52509</v>
      </c>
      <c r="M8372" s="5" t="s">
        <v>52510</v>
      </c>
      <c r="N8372" s="7" t="s">
        <v>52511</v>
      </c>
      <c r="O8372" s="8" t="str">
        <f>HYPERLINK("https://drive.google.com/file/d/1ozZQLPI7l6r3GCXqOciWtPLBR-QBq_9o/view?usp=drivesdk","8371_ARIEFDA MUKTI WIJAYA, S.E. _ SERTIFIKAT BerAKHLAK")</f>
        <v>8371_ARIEFDA MUKTI WIJAYA, S.E. _ SERTIFIKAT BerAKHLAK</v>
      </c>
      <c r="P8372" s="5" t="s">
        <v>49754</v>
      </c>
    </row>
    <row r="8373" hidden="1">
      <c r="A8373" s="4">
        <v>45534.4015825463</v>
      </c>
      <c r="B8373" s="5" t="s">
        <v>19</v>
      </c>
      <c r="C8373" s="5" t="s">
        <v>466</v>
      </c>
      <c r="E8373" s="5" t="s">
        <v>52512</v>
      </c>
      <c r="F8373" s="5" t="s">
        <v>375</v>
      </c>
      <c r="G8373" s="5" t="s">
        <v>52513</v>
      </c>
      <c r="H8373" s="6" t="s">
        <v>52514</v>
      </c>
      <c r="K8373" s="5" t="s">
        <v>52509</v>
      </c>
      <c r="M8373" s="5" t="s">
        <v>52515</v>
      </c>
      <c r="N8373" s="7" t="s">
        <v>52516</v>
      </c>
      <c r="O8373" s="8" t="str">
        <f>HYPERLINK("https://drive.google.com/file/d/1dJ0NmOR3T1Apv3mLKhvBe7C1FIxNqc2Q/view?usp=drivesdk","8372_GIRI DRAWARDANA _ SERTIFIKAT BerAKHLAK")</f>
        <v>8372_GIRI DRAWARDANA _ SERTIFIKAT BerAKHLAK</v>
      </c>
      <c r="P8373" s="5" t="s">
        <v>49754</v>
      </c>
    </row>
    <row r="8374">
      <c r="A8374" s="4">
        <v>45534.40160636574</v>
      </c>
      <c r="B8374" s="5" t="s">
        <v>34</v>
      </c>
      <c r="D8374" s="5" t="s">
        <v>3432</v>
      </c>
      <c r="E8374" s="5" t="s">
        <v>52517</v>
      </c>
      <c r="F8374" s="5" t="s">
        <v>375</v>
      </c>
      <c r="G8374" s="5" t="s">
        <v>52518</v>
      </c>
      <c r="H8374" s="6" t="s">
        <v>52519</v>
      </c>
      <c r="K8374" s="5" t="s">
        <v>52509</v>
      </c>
      <c r="M8374" s="5" t="s">
        <v>52520</v>
      </c>
      <c r="N8374" s="7" t="s">
        <v>52521</v>
      </c>
      <c r="O8374" s="8" t="str">
        <f>HYPERLINK("https://drive.google.com/file/d/1PoqI_lI1QEjfhf7VMPT_qm8bzdcUYods/view?usp=drivesdk","8373_BEBRINA MUMAN, S.Kep _ SERTIFIKAT BerAKHLAK")</f>
        <v>8373_BEBRINA MUMAN, S.Kep _ SERTIFIKAT BerAKHLAK</v>
      </c>
      <c r="P8374" s="5" t="s">
        <v>49754</v>
      </c>
    </row>
    <row r="8375" hidden="1">
      <c r="A8375" s="4">
        <v>45534.401612546295</v>
      </c>
      <c r="B8375" s="5" t="s">
        <v>19</v>
      </c>
      <c r="C8375" s="5" t="s">
        <v>442</v>
      </c>
      <c r="E8375" s="5" t="s">
        <v>52522</v>
      </c>
      <c r="F8375" s="5" t="s">
        <v>524</v>
      </c>
      <c r="G8375" s="5" t="s">
        <v>52523</v>
      </c>
      <c r="H8375" s="6" t="s">
        <v>52524</v>
      </c>
      <c r="K8375" s="5" t="s">
        <v>52509</v>
      </c>
      <c r="M8375" s="5" t="s">
        <v>52525</v>
      </c>
      <c r="N8375" s="7" t="s">
        <v>52526</v>
      </c>
      <c r="O8375" s="8" t="str">
        <f>HYPERLINK("https://drive.google.com/file/d/1NCRp4edBCqlM3jR29LMtrZkB6AKrW6WD/view?usp=drivesdk","8374_SRI WALUYANI  _ SERTIFIKAT BerAKHLAK")</f>
        <v>8374_SRI WALUYANI  _ SERTIFIKAT BerAKHLAK</v>
      </c>
      <c r="P8375" s="5" t="s">
        <v>49754</v>
      </c>
    </row>
    <row r="8376">
      <c r="A8376" s="4">
        <v>45534.4016127662</v>
      </c>
      <c r="B8376" s="5" t="s">
        <v>34</v>
      </c>
      <c r="D8376" s="5" t="s">
        <v>2903</v>
      </c>
      <c r="E8376" s="5" t="s">
        <v>52527</v>
      </c>
      <c r="F8376" s="5" t="s">
        <v>524</v>
      </c>
      <c r="G8376" s="5" t="s">
        <v>52528</v>
      </c>
      <c r="H8376" s="6" t="s">
        <v>52529</v>
      </c>
      <c r="K8376" s="5" t="s">
        <v>52509</v>
      </c>
      <c r="M8376" s="5" t="s">
        <v>52530</v>
      </c>
      <c r="N8376" s="7" t="s">
        <v>52531</v>
      </c>
      <c r="O8376" s="8" t="str">
        <f>HYPERLINK("https://drive.google.com/file/d/1J9TRH2L5yUMzyDNTbkEuYKa1l5rA4UT_/view?usp=drivesdk","8375_MUSTIKARENI _ SERTIFIKAT BerAKHLAK")</f>
        <v>8375_MUSTIKARENI _ SERTIFIKAT BerAKHLAK</v>
      </c>
      <c r="P8376" s="5" t="s">
        <v>49754</v>
      </c>
    </row>
    <row r="8377">
      <c r="A8377" s="4">
        <v>45534.4016196875</v>
      </c>
      <c r="B8377" s="5" t="s">
        <v>34</v>
      </c>
      <c r="D8377" s="5" t="s">
        <v>1558</v>
      </c>
      <c r="E8377" s="5" t="s">
        <v>52532</v>
      </c>
      <c r="F8377" s="5" t="s">
        <v>108</v>
      </c>
      <c r="G8377" s="5" t="s">
        <v>52533</v>
      </c>
      <c r="H8377" s="6" t="s">
        <v>52534</v>
      </c>
      <c r="K8377" s="5" t="s">
        <v>52535</v>
      </c>
      <c r="M8377" s="5" t="s">
        <v>52536</v>
      </c>
      <c r="N8377" s="7" t="s">
        <v>52537</v>
      </c>
      <c r="O8377" s="8" t="str">
        <f>HYPERLINK("https://drive.google.com/file/d/1ZUdIDZHVj2H5sqLMOTP1U2CD_L95qGLx/view?usp=drivesdk","8376_IRNA DWI WAHYUNI, AMF., S.Ap. _ SERTIFIKAT BerAKHLAK")</f>
        <v>8376_IRNA DWI WAHYUNI, AMF., S.Ap. _ SERTIFIKAT BerAKHLAK</v>
      </c>
      <c r="P8377" s="5" t="s">
        <v>49776</v>
      </c>
    </row>
    <row r="8378">
      <c r="A8378" s="4">
        <v>45534.40162467593</v>
      </c>
      <c r="B8378" s="5" t="s">
        <v>34</v>
      </c>
      <c r="D8378" s="5" t="s">
        <v>6232</v>
      </c>
      <c r="E8378" s="5" t="s">
        <v>52538</v>
      </c>
      <c r="F8378" s="5" t="s">
        <v>37</v>
      </c>
      <c r="G8378" s="5" t="s">
        <v>52539</v>
      </c>
      <c r="H8378" s="6" t="s">
        <v>52540</v>
      </c>
      <c r="K8378" s="5" t="s">
        <v>52535</v>
      </c>
      <c r="M8378" s="5" t="s">
        <v>52541</v>
      </c>
      <c r="N8378" s="7" t="s">
        <v>52542</v>
      </c>
      <c r="O8378" s="8" t="str">
        <f>HYPERLINK("https://drive.google.com/file/d/1covjbeuCsYH5JWddGQ5AMfmPcO4TZUlB/view?usp=drivesdk","8377_MARSELLA NOFIANTI, A.Md.Kes _ SERTIFIKAT BerAKHLAK")</f>
        <v>8377_MARSELLA NOFIANTI, A.Md.Kes _ SERTIFIKAT BerAKHLAK</v>
      </c>
      <c r="P8378" s="5" t="s">
        <v>49776</v>
      </c>
    </row>
    <row r="8379" hidden="1">
      <c r="A8379" s="4">
        <v>45534.4017130787</v>
      </c>
      <c r="B8379" s="5" t="s">
        <v>19</v>
      </c>
      <c r="C8379" s="5" t="s">
        <v>292</v>
      </c>
      <c r="E8379" s="5" t="s">
        <v>52543</v>
      </c>
      <c r="F8379" s="5" t="s">
        <v>375</v>
      </c>
      <c r="G8379" s="5" t="s">
        <v>52544</v>
      </c>
      <c r="H8379" s="6" t="s">
        <v>52545</v>
      </c>
      <c r="K8379" s="5" t="s">
        <v>52535</v>
      </c>
      <c r="M8379" s="5" t="s">
        <v>52546</v>
      </c>
      <c r="N8379" s="7" t="s">
        <v>52547</v>
      </c>
      <c r="O8379" s="8" t="str">
        <f>HYPERLINK("https://drive.google.com/file/d/1Ag5Y-KteqmdNKggDiBYDuL3SFrzKkg1r/view?usp=drivesdk","8378_SITARESMI,M.Pd _ SERTIFIKAT BerAKHLAK")</f>
        <v>8378_SITARESMI,M.Pd _ SERTIFIKAT BerAKHLAK</v>
      </c>
      <c r="P8379" s="5" t="s">
        <v>49776</v>
      </c>
    </row>
    <row r="8380">
      <c r="A8380" s="4">
        <v>45534.40173429398</v>
      </c>
      <c r="B8380" s="5" t="s">
        <v>34</v>
      </c>
      <c r="D8380" s="5" t="s">
        <v>4775</v>
      </c>
      <c r="E8380" s="5" t="s">
        <v>52548</v>
      </c>
      <c r="F8380" s="5" t="s">
        <v>72</v>
      </c>
      <c r="G8380" s="5" t="s">
        <v>52549</v>
      </c>
      <c r="H8380" s="6" t="s">
        <v>52550</v>
      </c>
      <c r="K8380" s="5" t="s">
        <v>52535</v>
      </c>
      <c r="M8380" s="5" t="s">
        <v>52551</v>
      </c>
      <c r="N8380" s="7" t="s">
        <v>52552</v>
      </c>
      <c r="O8380" s="8" t="str">
        <f>HYPERLINK("https://drive.google.com/file/d/1Avs_8Ujgbh95HTefaT7IIqqnyUDMu6Kd/view?usp=drivesdk","8379_NASRUDIN WIDODO _ SERTIFIKAT BerAKHLAK")</f>
        <v>8379_NASRUDIN WIDODO _ SERTIFIKAT BerAKHLAK</v>
      </c>
      <c r="P8380" s="5" t="s">
        <v>49776</v>
      </c>
    </row>
    <row r="8381">
      <c r="A8381" s="4">
        <v>45534.401756203704</v>
      </c>
      <c r="B8381" s="5" t="s">
        <v>34</v>
      </c>
      <c r="D8381" s="5" t="s">
        <v>12978</v>
      </c>
      <c r="E8381" s="5" t="s">
        <v>52553</v>
      </c>
      <c r="F8381" s="5" t="s">
        <v>37</v>
      </c>
      <c r="G8381" s="5" t="s">
        <v>52554</v>
      </c>
      <c r="H8381" s="6" t="s">
        <v>52555</v>
      </c>
      <c r="K8381" s="5" t="s">
        <v>52535</v>
      </c>
      <c r="M8381" s="5" t="s">
        <v>52556</v>
      </c>
      <c r="N8381" s="7" t="s">
        <v>52557</v>
      </c>
      <c r="O8381" s="8" t="str">
        <f>HYPERLINK("https://drive.google.com/file/d/17QVjBg6-3G2ibu79ScHM_0YkhWxYG15R/view?usp=drivesdk","8380_RITA PURNAMA SARI _ SERTIFIKAT BerAKHLAK")</f>
        <v>8380_RITA PURNAMA SARI _ SERTIFIKAT BerAKHLAK</v>
      </c>
      <c r="P8381" s="5" t="s">
        <v>49776</v>
      </c>
    </row>
    <row r="8382">
      <c r="A8382" s="4">
        <v>45534.40178677083</v>
      </c>
      <c r="B8382" s="5" t="s">
        <v>34</v>
      </c>
      <c r="D8382" s="5" t="s">
        <v>1558</v>
      </c>
      <c r="E8382" s="5" t="s">
        <v>52558</v>
      </c>
      <c r="F8382" s="5" t="s">
        <v>328</v>
      </c>
      <c r="G8382" s="5" t="s">
        <v>52559</v>
      </c>
      <c r="H8382" s="6" t="s">
        <v>52560</v>
      </c>
      <c r="K8382" s="5" t="s">
        <v>52535</v>
      </c>
      <c r="M8382" s="5" t="s">
        <v>52561</v>
      </c>
      <c r="N8382" s="7" t="s">
        <v>52562</v>
      </c>
      <c r="O8382" s="8" t="str">
        <f>HYPERLINK("https://drive.google.com/file/d/1lmL2nUn4xLArnsoI75QSy8kPvDDgodvn/view?usp=drivesdk","8381_SUGIYATI _ SERTIFIKAT BerAKHLAK")</f>
        <v>8381_SUGIYATI _ SERTIFIKAT BerAKHLAK</v>
      </c>
      <c r="P8382" s="5" t="s">
        <v>49776</v>
      </c>
    </row>
    <row r="8383">
      <c r="A8383" s="4">
        <v>45534.40191965278</v>
      </c>
      <c r="B8383" s="5" t="s">
        <v>34</v>
      </c>
      <c r="D8383" s="5" t="s">
        <v>580</v>
      </c>
      <c r="E8383" s="5" t="s">
        <v>52563</v>
      </c>
      <c r="F8383" s="5" t="s">
        <v>72</v>
      </c>
      <c r="G8383" s="5" t="s">
        <v>52564</v>
      </c>
      <c r="H8383" s="6" t="s">
        <v>52565</v>
      </c>
      <c r="K8383" s="5" t="s">
        <v>52566</v>
      </c>
      <c r="M8383" s="5" t="s">
        <v>52567</v>
      </c>
      <c r="N8383" s="7" t="s">
        <v>52568</v>
      </c>
      <c r="O8383" s="8" t="str">
        <f>HYPERLINK("https://drive.google.com/file/d/1topvFxkeTpWKv-c2wrIQgJSV5a45rnaq/view?usp=drivesdk","8382_NI PUTU AYU PUSPALA DEWI, A. Md. Kep.  _ SERTIFIKAT BerAKHLAK")</f>
        <v>8382_NI PUTU AYU PUSPALA DEWI, A. Md. Kep.  _ SERTIFIKAT BerAKHLAK</v>
      </c>
      <c r="P8383" s="5" t="s">
        <v>50331</v>
      </c>
    </row>
    <row r="8384">
      <c r="A8384" s="4">
        <v>45534.4019333912</v>
      </c>
      <c r="B8384" s="5" t="s">
        <v>34</v>
      </c>
      <c r="D8384" s="5" t="s">
        <v>10444</v>
      </c>
      <c r="E8384" s="5" t="s">
        <v>52569</v>
      </c>
      <c r="F8384" s="5" t="s">
        <v>72</v>
      </c>
      <c r="G8384" s="5" t="s">
        <v>52570</v>
      </c>
      <c r="H8384" s="6" t="s">
        <v>52571</v>
      </c>
      <c r="K8384" s="5" t="s">
        <v>52572</v>
      </c>
      <c r="M8384" s="5" t="s">
        <v>52573</v>
      </c>
      <c r="N8384" s="7" t="s">
        <v>52574</v>
      </c>
      <c r="O8384" s="8" t="str">
        <f>HYPERLINK("https://drive.google.com/file/d/1O_mVy_SoExBy60QZ4iDcPRx-tffY59om/view?usp=drivesdk","8383_dr.Satria Nita Pinta Karunia _ SERTIFIKAT BerAKHLAK")</f>
        <v>8383_dr.Satria Nita Pinta Karunia _ SERTIFIKAT BerAKHLAK</v>
      </c>
      <c r="P8384" s="5" t="s">
        <v>50331</v>
      </c>
    </row>
    <row r="8385" hidden="1">
      <c r="A8385" s="4">
        <v>45534.40199009259</v>
      </c>
      <c r="B8385" s="5" t="s">
        <v>19</v>
      </c>
      <c r="C8385" s="5" t="s">
        <v>292</v>
      </c>
      <c r="E8385" s="5" t="s">
        <v>52575</v>
      </c>
      <c r="F8385" s="5" t="s">
        <v>212</v>
      </c>
      <c r="G8385" s="5" t="s">
        <v>52576</v>
      </c>
      <c r="H8385" s="6" t="s">
        <v>52577</v>
      </c>
      <c r="K8385" s="5" t="s">
        <v>52578</v>
      </c>
      <c r="M8385" s="5" t="s">
        <v>52579</v>
      </c>
      <c r="N8385" s="7" t="s">
        <v>52580</v>
      </c>
      <c r="O8385" s="8" t="str">
        <f>HYPERLINK("https://drive.google.com/file/d/1zdgjYBeX9oEpo9Z29MZKpRkk4za3-SCJ/view?usp=drivesdk","8384_SUWARIS _ SERTIFIKAT BerAKHLAK")</f>
        <v>8384_SUWARIS _ SERTIFIKAT BerAKHLAK</v>
      </c>
      <c r="P8385" s="5" t="s">
        <v>50331</v>
      </c>
    </row>
    <row r="8386">
      <c r="A8386" s="4">
        <v>45534.40200127315</v>
      </c>
      <c r="B8386" s="5" t="s">
        <v>34</v>
      </c>
      <c r="D8386" s="5" t="s">
        <v>2903</v>
      </c>
      <c r="E8386" s="5" t="s">
        <v>52581</v>
      </c>
      <c r="F8386" s="5" t="s">
        <v>524</v>
      </c>
      <c r="G8386" s="5" t="s">
        <v>52582</v>
      </c>
      <c r="H8386" s="6" t="s">
        <v>52583</v>
      </c>
      <c r="K8386" s="5" t="s">
        <v>52578</v>
      </c>
      <c r="M8386" s="5" t="s">
        <v>52584</v>
      </c>
      <c r="N8386" s="7" t="s">
        <v>52585</v>
      </c>
      <c r="O8386" s="8" t="str">
        <f>HYPERLINK("https://drive.google.com/file/d/1XLJVBiS6gYQlbqXXRElL0ma6jlw4ZJ69/view?usp=drivesdk","8385_Ns.NIRWANA.S.Kep _ SERTIFIKAT BerAKHLAK")</f>
        <v>8385_Ns.NIRWANA.S.Kep _ SERTIFIKAT BerAKHLAK</v>
      </c>
      <c r="P8386" s="5" t="s">
        <v>50331</v>
      </c>
    </row>
    <row r="8387">
      <c r="A8387" s="4">
        <v>45534.40202417824</v>
      </c>
      <c r="B8387" s="5" t="s">
        <v>34</v>
      </c>
      <c r="D8387" s="5" t="s">
        <v>580</v>
      </c>
      <c r="E8387" s="5" t="s">
        <v>52586</v>
      </c>
      <c r="F8387" s="5" t="s">
        <v>37</v>
      </c>
      <c r="G8387" s="5" t="s">
        <v>52587</v>
      </c>
      <c r="H8387" s="6" t="s">
        <v>52588</v>
      </c>
      <c r="K8387" s="5" t="s">
        <v>52589</v>
      </c>
      <c r="M8387" s="5" t="s">
        <v>52590</v>
      </c>
      <c r="N8387" s="7" t="s">
        <v>52591</v>
      </c>
      <c r="O8387" s="8" t="str">
        <f>HYPERLINK("https://drive.google.com/file/d/18TZmymCRQDzqGrC65kVRmwY8YUC0iZe3/view?usp=drivesdk","8386_NI WAYAN MURTINI _ SERTIFIKAT BerAKHLAK")</f>
        <v>8386_NI WAYAN MURTINI _ SERTIFIKAT BerAKHLAK</v>
      </c>
      <c r="P8387" s="5" t="s">
        <v>52421</v>
      </c>
    </row>
    <row r="8388">
      <c r="A8388" s="4">
        <v>45534.4020637963</v>
      </c>
      <c r="B8388" s="5" t="s">
        <v>34</v>
      </c>
      <c r="D8388" s="5" t="s">
        <v>2903</v>
      </c>
      <c r="E8388" s="5" t="s">
        <v>52592</v>
      </c>
      <c r="F8388" s="5" t="s">
        <v>72</v>
      </c>
      <c r="G8388" s="5" t="s">
        <v>52593</v>
      </c>
      <c r="H8388" s="6" t="s">
        <v>52594</v>
      </c>
      <c r="K8388" s="5" t="s">
        <v>52595</v>
      </c>
      <c r="M8388" s="5" t="s">
        <v>52596</v>
      </c>
      <c r="N8388" s="7" t="s">
        <v>52597</v>
      </c>
      <c r="O8388" s="8" t="str">
        <f>HYPERLINK("https://drive.google.com/file/d/1z2RjX_KVryUGTLTgft921JOoic0w4uEM/view?usp=drivesdk","8387_MARTIKA, S.Sos _ SERTIFIKAT BerAKHLAK")</f>
        <v>8387_MARTIKA, S.Sos _ SERTIFIKAT BerAKHLAK</v>
      </c>
      <c r="P8388" s="5" t="s">
        <v>52598</v>
      </c>
    </row>
    <row r="8389">
      <c r="A8389" s="4">
        <v>45534.40206403935</v>
      </c>
      <c r="B8389" s="5" t="s">
        <v>34</v>
      </c>
      <c r="D8389" s="5" t="s">
        <v>975</v>
      </c>
      <c r="E8389" s="5" t="s">
        <v>52599</v>
      </c>
      <c r="F8389" s="5" t="s">
        <v>37</v>
      </c>
      <c r="G8389" s="5" t="s">
        <v>52600</v>
      </c>
      <c r="H8389" s="6" t="s">
        <v>52601</v>
      </c>
      <c r="K8389" s="5" t="s">
        <v>52595</v>
      </c>
      <c r="M8389" s="5" t="s">
        <v>52602</v>
      </c>
      <c r="N8389" s="7" t="s">
        <v>52603</v>
      </c>
      <c r="O8389" s="8" t="str">
        <f>HYPERLINK("https://drive.google.com/file/d/1-BWobJKjQ3vpM0lAYffccAGyyVbqf4eD/view?usp=drivesdk","8388_NUR SUHAILAH, A. Md. Keb _ SERTIFIKAT BerAKHLAK")</f>
        <v>8388_NUR SUHAILAH, A. Md. Keb _ SERTIFIKAT BerAKHLAK</v>
      </c>
      <c r="P8389" s="5" t="s">
        <v>52598</v>
      </c>
    </row>
    <row r="8390">
      <c r="A8390" s="4">
        <v>45534.40208190972</v>
      </c>
      <c r="B8390" s="5" t="s">
        <v>34</v>
      </c>
      <c r="D8390" s="5" t="s">
        <v>35</v>
      </c>
      <c r="E8390" s="5" t="s">
        <v>52604</v>
      </c>
      <c r="F8390" s="5" t="s">
        <v>120</v>
      </c>
      <c r="G8390" s="5" t="s">
        <v>52605</v>
      </c>
      <c r="H8390" s="6" t="s">
        <v>52606</v>
      </c>
      <c r="K8390" s="5" t="s">
        <v>52595</v>
      </c>
      <c r="M8390" s="5" t="s">
        <v>52607</v>
      </c>
      <c r="N8390" s="7" t="s">
        <v>52608</v>
      </c>
      <c r="O8390" s="8" t="str">
        <f>HYPERLINK("https://drive.google.com/file/d/1eYTbYO4Mpt4rgW8J1G0p9qmktIPBPTEW/view?usp=drivesdk","8389_DR. DENI NUGRAHA SPAN _ SERTIFIKAT BerAKHLAK")</f>
        <v>8389_DR. DENI NUGRAHA SPAN _ SERTIFIKAT BerAKHLAK</v>
      </c>
      <c r="P8390" s="5" t="s">
        <v>52598</v>
      </c>
    </row>
    <row r="8391" hidden="1">
      <c r="A8391" s="4">
        <v>45534.40210027777</v>
      </c>
      <c r="B8391" s="5" t="s">
        <v>19</v>
      </c>
      <c r="C8391" s="5" t="s">
        <v>1498</v>
      </c>
      <c r="E8391" s="5" t="s">
        <v>52609</v>
      </c>
      <c r="F8391" s="5" t="s">
        <v>120</v>
      </c>
      <c r="G8391" s="5" t="s">
        <v>52610</v>
      </c>
      <c r="H8391" s="6" t="s">
        <v>52611</v>
      </c>
      <c r="K8391" s="5" t="s">
        <v>52595</v>
      </c>
      <c r="M8391" s="5" t="s">
        <v>52612</v>
      </c>
      <c r="N8391" s="7" t="s">
        <v>52613</v>
      </c>
      <c r="O8391" s="8" t="str">
        <f>HYPERLINK("https://drive.google.com/file/d/1DSs4DL0GK4n7lkLVQbqCXt2yshs0zbNt/view?usp=drivesdk","8390_MURNIYATI, S.E. _ SERTIFIKAT BerAKHLAK")</f>
        <v>8390_MURNIYATI, S.E. _ SERTIFIKAT BerAKHLAK</v>
      </c>
      <c r="P8391" s="5" t="s">
        <v>52598</v>
      </c>
    </row>
    <row r="8392">
      <c r="A8392" s="4">
        <v>45534.402115868055</v>
      </c>
      <c r="B8392" s="5" t="s">
        <v>34</v>
      </c>
      <c r="D8392" s="5" t="s">
        <v>1206</v>
      </c>
      <c r="E8392" s="5" t="s">
        <v>52614</v>
      </c>
      <c r="F8392" s="5" t="s">
        <v>37</v>
      </c>
      <c r="G8392" s="5" t="s">
        <v>52615</v>
      </c>
      <c r="H8392" s="6" t="s">
        <v>52616</v>
      </c>
      <c r="K8392" s="5" t="s">
        <v>52617</v>
      </c>
      <c r="M8392" s="5" t="s">
        <v>52618</v>
      </c>
      <c r="N8392" s="7" t="s">
        <v>52619</v>
      </c>
      <c r="O8392" s="8" t="str">
        <f>HYPERLINK("https://drive.google.com/file/d/1azTbY6HtDditeKDrN8egaW4IioBFwJx2/view?usp=drivesdk","8391_AGUNG BUDI R _ SERTIFIKAT BerAKHLAK")</f>
        <v>8391_AGUNG BUDI R _ SERTIFIKAT BerAKHLAK</v>
      </c>
      <c r="P8392" s="5" t="s">
        <v>52598</v>
      </c>
    </row>
    <row r="8393">
      <c r="A8393" s="4">
        <v>45534.40219579861</v>
      </c>
      <c r="B8393" s="5" t="s">
        <v>34</v>
      </c>
      <c r="D8393" s="5" t="s">
        <v>9020</v>
      </c>
      <c r="E8393" s="5" t="s">
        <v>52620</v>
      </c>
      <c r="F8393" s="5" t="s">
        <v>108</v>
      </c>
      <c r="G8393" s="5" t="s">
        <v>52621</v>
      </c>
      <c r="H8393" s="6" t="s">
        <v>52622</v>
      </c>
      <c r="K8393" s="5" t="s">
        <v>52623</v>
      </c>
      <c r="M8393" s="5" t="s">
        <v>52624</v>
      </c>
      <c r="N8393" s="7" t="s">
        <v>52625</v>
      </c>
      <c r="O8393" s="8" t="str">
        <f>HYPERLINK("https://drive.google.com/file/d/1-b8H6RNwDL5jvBqaF_xfhUZ_0qev7hVa/view?usp=drivesdk","8392_Pristi Marta Ulina Hasibuan, S.E. _ SERTIFIKAT BerAKHLAK")</f>
        <v>8392_Pristi Marta Ulina Hasibuan, S.E. _ SERTIFIKAT BerAKHLAK</v>
      </c>
      <c r="P8393" s="5" t="s">
        <v>52626</v>
      </c>
    </row>
    <row r="8394">
      <c r="A8394" s="4">
        <v>45534.402213587964</v>
      </c>
      <c r="B8394" s="5" t="s">
        <v>34</v>
      </c>
      <c r="D8394" s="5" t="s">
        <v>4775</v>
      </c>
      <c r="E8394" s="5" t="s">
        <v>52627</v>
      </c>
      <c r="F8394" s="5" t="s">
        <v>524</v>
      </c>
      <c r="G8394" s="5" t="s">
        <v>52628</v>
      </c>
      <c r="H8394" s="6" t="s">
        <v>52629</v>
      </c>
      <c r="K8394" s="5" t="s">
        <v>52630</v>
      </c>
      <c r="M8394" s="5" t="s">
        <v>52631</v>
      </c>
      <c r="N8394" s="7" t="s">
        <v>52632</v>
      </c>
      <c r="O8394" s="8" t="str">
        <f>HYPERLINK("https://drive.google.com/file/d/1XnkBMKB80YqFep9gYPobK8iLTVryMPDr/view?usp=drivesdk","8393_SUDJIYATI _ SERTIFIKAT BerAKHLAK")</f>
        <v>8393_SUDJIYATI _ SERTIFIKAT BerAKHLAK</v>
      </c>
      <c r="P8394" s="5" t="s">
        <v>52626</v>
      </c>
    </row>
    <row r="8395" hidden="1">
      <c r="A8395" s="4">
        <v>45534.402216296294</v>
      </c>
      <c r="B8395" s="5" t="s">
        <v>19</v>
      </c>
      <c r="C8395" s="5" t="s">
        <v>292</v>
      </c>
      <c r="E8395" s="5" t="s">
        <v>52633</v>
      </c>
      <c r="F8395" s="5" t="s">
        <v>72</v>
      </c>
      <c r="G8395" s="5" t="s">
        <v>52634</v>
      </c>
      <c r="H8395" s="6" t="s">
        <v>52635</v>
      </c>
      <c r="K8395" s="5" t="s">
        <v>52630</v>
      </c>
      <c r="M8395" s="5" t="s">
        <v>52636</v>
      </c>
      <c r="N8395" s="7" t="s">
        <v>52637</v>
      </c>
      <c r="O8395" s="8" t="str">
        <f>HYPERLINK("https://drive.google.com/file/d/1rei0oMc6c6hm_QThHmiazHAVFgNRWHna/view?usp=drivesdk","8394_IPAH SARIPAH A.Md,Kep _ SERTIFIKAT BerAKHLAK")</f>
        <v>8394_IPAH SARIPAH A.Md,Kep _ SERTIFIKAT BerAKHLAK</v>
      </c>
      <c r="P8395" s="5" t="s">
        <v>49832</v>
      </c>
    </row>
    <row r="8396">
      <c r="A8396" s="4">
        <v>45534.40225688658</v>
      </c>
      <c r="B8396" s="5" t="s">
        <v>34</v>
      </c>
      <c r="D8396" s="5" t="s">
        <v>2903</v>
      </c>
      <c r="E8396" s="5" t="s">
        <v>52638</v>
      </c>
      <c r="F8396" s="5" t="s">
        <v>108</v>
      </c>
      <c r="G8396" s="5" t="s">
        <v>52639</v>
      </c>
      <c r="H8396" s="6" t="s">
        <v>52640</v>
      </c>
      <c r="K8396" s="5" t="s">
        <v>52641</v>
      </c>
      <c r="M8396" s="5" t="s">
        <v>52642</v>
      </c>
      <c r="N8396" s="7" t="s">
        <v>52643</v>
      </c>
      <c r="O8396" s="8" t="str">
        <f>HYPERLINK("https://drive.google.com/file/d/1qvjgSzIuiQ0Kl2X7ybfN3W66k7qdgwFQ/view?usp=drivesdk","8395_NUR HOLIS, S.E. _ SERTIFIKAT BerAKHLAK")</f>
        <v>8395_NUR HOLIS, S.E. _ SERTIFIKAT BerAKHLAK</v>
      </c>
      <c r="P8396" s="5" t="s">
        <v>49832</v>
      </c>
    </row>
    <row r="8397">
      <c r="A8397" s="4">
        <v>45534.40226754629</v>
      </c>
      <c r="B8397" s="5" t="s">
        <v>34</v>
      </c>
      <c r="D8397" s="5" t="s">
        <v>9020</v>
      </c>
      <c r="E8397" s="5" t="s">
        <v>52644</v>
      </c>
      <c r="F8397" s="5" t="s">
        <v>524</v>
      </c>
      <c r="G8397" s="5" t="s">
        <v>52645</v>
      </c>
      <c r="H8397" s="6" t="s">
        <v>52646</v>
      </c>
      <c r="K8397" s="5" t="s">
        <v>52641</v>
      </c>
      <c r="M8397" s="5" t="s">
        <v>52647</v>
      </c>
      <c r="N8397" s="7" t="s">
        <v>52648</v>
      </c>
      <c r="O8397" s="8" t="str">
        <f>HYPERLINK("https://drive.google.com/file/d/1D8oK8Z5mc2YZap3HdckJkhxZWajAov3R/view?usp=drivesdk","8396_ARMINA BUTAR BUTAR, S.E _ SERTIFIKAT BerAKHLAK")</f>
        <v>8396_ARMINA BUTAR BUTAR, S.E _ SERTIFIKAT BerAKHLAK</v>
      </c>
      <c r="P8397" s="5" t="s">
        <v>49832</v>
      </c>
    </row>
    <row r="8398">
      <c r="A8398" s="4">
        <v>45534.4022735301</v>
      </c>
      <c r="B8398" s="5" t="s">
        <v>34</v>
      </c>
      <c r="D8398" s="5" t="s">
        <v>14313</v>
      </c>
      <c r="E8398" s="5" t="s">
        <v>52649</v>
      </c>
      <c r="F8398" s="5" t="s">
        <v>120</v>
      </c>
      <c r="G8398" s="5" t="s">
        <v>52650</v>
      </c>
      <c r="H8398" s="6" t="s">
        <v>52651</v>
      </c>
      <c r="K8398" s="5" t="s">
        <v>52641</v>
      </c>
      <c r="M8398" s="5" t="s">
        <v>52652</v>
      </c>
      <c r="N8398" s="7" t="s">
        <v>52653</v>
      </c>
      <c r="O8398" s="8" t="str">
        <f>HYPERLINK("https://drive.google.com/file/d/1_bZJOe82vZIRRQJjcjA3LV43-5z2QCG4/view?usp=drivesdk","8397_LINGGA FILONA, S.PSI., M.M. _ SERTIFIKAT BerAKHLAK")</f>
        <v>8397_LINGGA FILONA, S.PSI., M.M. _ SERTIFIKAT BerAKHLAK</v>
      </c>
      <c r="P8398" s="5" t="s">
        <v>49832</v>
      </c>
    </row>
    <row r="8399">
      <c r="A8399" s="4">
        <v>45534.40233849537</v>
      </c>
      <c r="B8399" s="5" t="s">
        <v>34</v>
      </c>
      <c r="D8399" s="5" t="s">
        <v>15401</v>
      </c>
      <c r="E8399" s="5" t="s">
        <v>52654</v>
      </c>
      <c r="F8399" s="5" t="s">
        <v>524</v>
      </c>
      <c r="G8399" s="5" t="s">
        <v>52655</v>
      </c>
      <c r="H8399" s="6" t="s">
        <v>52656</v>
      </c>
      <c r="K8399" s="5" t="s">
        <v>52657</v>
      </c>
      <c r="M8399" s="5" t="s">
        <v>52658</v>
      </c>
      <c r="N8399" s="7" t="s">
        <v>52659</v>
      </c>
      <c r="O8399" s="8" t="str">
        <f>HYPERLINK("https://drive.google.com/file/d/1o03e7RlDb6OpQibfIqeJ_7ZknEdBwVDg/view?usp=drivesdk","8398_NINI GIMAWATI,S.Tr.Keb _ SERTIFIKAT BerAKHLAK")</f>
        <v>8398_NINI GIMAWATI,S.Tr.Keb _ SERTIFIKAT BerAKHLAK</v>
      </c>
      <c r="P8399" s="5" t="s">
        <v>49832</v>
      </c>
    </row>
    <row r="8400">
      <c r="A8400" s="4">
        <v>45534.402354861115</v>
      </c>
      <c r="B8400" s="5" t="s">
        <v>34</v>
      </c>
      <c r="D8400" s="5" t="s">
        <v>267</v>
      </c>
      <c r="E8400" s="5" t="s">
        <v>52660</v>
      </c>
      <c r="F8400" s="5" t="s">
        <v>375</v>
      </c>
      <c r="G8400" s="5" t="s">
        <v>52661</v>
      </c>
      <c r="H8400" s="6" t="s">
        <v>52662</v>
      </c>
      <c r="K8400" s="5" t="s">
        <v>52663</v>
      </c>
      <c r="M8400" s="5" t="s">
        <v>52664</v>
      </c>
      <c r="N8400" s="7" t="s">
        <v>52665</v>
      </c>
      <c r="O8400" s="8" t="str">
        <f>HYPERLINK("https://drive.google.com/file/d/15I2Jf1LjTnZQJXfPFnvk4xv486sOmjQ_/view?usp=drivesdk","8399_WINDY PRASTIWI, S.Kom., M.M. _ SERTIFIKAT BerAKHLAK")</f>
        <v>8399_WINDY PRASTIWI, S.Kom., M.M. _ SERTIFIKAT BerAKHLAK</v>
      </c>
      <c r="P8400" s="5" t="s">
        <v>49853</v>
      </c>
    </row>
    <row r="8401" hidden="1">
      <c r="A8401" s="4">
        <v>45534.40241231481</v>
      </c>
      <c r="B8401" s="5" t="s">
        <v>19</v>
      </c>
      <c r="C8401" s="5" t="s">
        <v>83</v>
      </c>
      <c r="E8401" s="5" t="s">
        <v>52666</v>
      </c>
      <c r="F8401" s="5" t="s">
        <v>72</v>
      </c>
      <c r="G8401" s="5" t="s">
        <v>52667</v>
      </c>
      <c r="H8401" s="6" t="s">
        <v>52668</v>
      </c>
      <c r="K8401" s="5" t="s">
        <v>52669</v>
      </c>
      <c r="M8401" s="5" t="s">
        <v>52670</v>
      </c>
      <c r="N8401" s="7" t="s">
        <v>52671</v>
      </c>
      <c r="O8401" s="8" t="str">
        <f>HYPERLINK("https://drive.google.com/file/d/10ma-2gzmwWDAOZnAbOaGcZG083XETb_N/view?usp=drivesdk","8400_AGUS SISWANTO _ SERTIFIKAT BerAKHLAK")</f>
        <v>8400_AGUS SISWANTO _ SERTIFIKAT BerAKHLAK</v>
      </c>
      <c r="P8401" s="5" t="s">
        <v>49853</v>
      </c>
    </row>
    <row r="8402">
      <c r="A8402" s="4">
        <v>45534.40241646991</v>
      </c>
      <c r="B8402" s="5" t="s">
        <v>34</v>
      </c>
      <c r="D8402" s="5" t="s">
        <v>1558</v>
      </c>
      <c r="E8402" s="5" t="s">
        <v>52672</v>
      </c>
      <c r="F8402" s="5" t="s">
        <v>108</v>
      </c>
      <c r="G8402" s="5" t="s">
        <v>52673</v>
      </c>
      <c r="H8402" s="6" t="s">
        <v>52674</v>
      </c>
      <c r="K8402" s="5" t="s">
        <v>52675</v>
      </c>
      <c r="M8402" s="5" t="s">
        <v>52676</v>
      </c>
      <c r="N8402" s="7" t="s">
        <v>52677</v>
      </c>
      <c r="O8402" s="8" t="str">
        <f>HYPERLINK("https://drive.google.com/file/d/1nYG7JS9MDjwXFiIrbna-fnD-L8klH5vC/view?usp=drivesdk","8401_Tri Endang Widyanti _ SERTIFIKAT BerAKHLAK")</f>
        <v>8401_Tri Endang Widyanti _ SERTIFIKAT BerAKHLAK</v>
      </c>
      <c r="P8402" s="5" t="s">
        <v>49853</v>
      </c>
    </row>
    <row r="8403">
      <c r="A8403" s="4">
        <v>45534.40245609954</v>
      </c>
      <c r="B8403" s="5" t="s">
        <v>34</v>
      </c>
      <c r="D8403" s="5" t="s">
        <v>267</v>
      </c>
      <c r="E8403" s="5" t="s">
        <v>52678</v>
      </c>
      <c r="F8403" s="5" t="s">
        <v>72</v>
      </c>
      <c r="G8403" s="5" t="s">
        <v>52679</v>
      </c>
      <c r="H8403" s="6" t="s">
        <v>52680</v>
      </c>
      <c r="K8403" s="5" t="s">
        <v>52681</v>
      </c>
      <c r="M8403" s="5" t="s">
        <v>52682</v>
      </c>
      <c r="N8403" s="7" t="s">
        <v>52683</v>
      </c>
      <c r="O8403" s="8" t="str">
        <f>HYPERLINK("https://drive.google.com/file/d/1iN8P8_TQGYdTggotuwQM9W53hQ2bI415/view?usp=drivesdk","8402_YULIS ANTARI _ SERTIFIKAT BerAKHLAK")</f>
        <v>8402_YULIS ANTARI _ SERTIFIKAT BerAKHLAK</v>
      </c>
      <c r="P8403" s="5" t="s">
        <v>49853</v>
      </c>
    </row>
    <row r="8404" hidden="1">
      <c r="A8404" s="4">
        <v>45534.40249429399</v>
      </c>
      <c r="B8404" s="5" t="s">
        <v>19</v>
      </c>
      <c r="C8404" s="5" t="s">
        <v>1606</v>
      </c>
      <c r="E8404" s="5" t="s">
        <v>52684</v>
      </c>
      <c r="F8404" s="5" t="s">
        <v>375</v>
      </c>
      <c r="G8404" s="5" t="s">
        <v>52685</v>
      </c>
      <c r="H8404" s="6" t="s">
        <v>52686</v>
      </c>
      <c r="K8404" s="5" t="s">
        <v>52687</v>
      </c>
      <c r="M8404" s="5" t="s">
        <v>52688</v>
      </c>
      <c r="N8404" s="7" t="s">
        <v>52689</v>
      </c>
      <c r="O8404" s="8" t="str">
        <f>HYPERLINK("https://drive.google.com/file/d/1ckxhJCpr80Szu8sUF8eFZWGvaWv2f4Dy/view?usp=drivesdk","8403_NOFRIMAYANTI, S.Kom _ SERTIFIKAT BerAKHLAK")</f>
        <v>8403_NOFRIMAYANTI, S.Kom _ SERTIFIKAT BerAKHLAK</v>
      </c>
      <c r="P8404" s="5" t="s">
        <v>49853</v>
      </c>
    </row>
    <row r="8405">
      <c r="A8405" s="4">
        <v>45534.40250439815</v>
      </c>
      <c r="B8405" s="5" t="s">
        <v>34</v>
      </c>
      <c r="D8405" s="5" t="s">
        <v>4775</v>
      </c>
      <c r="E8405" s="5" t="s">
        <v>52690</v>
      </c>
      <c r="F8405" s="5" t="s">
        <v>37</v>
      </c>
      <c r="G8405" s="5" t="s">
        <v>52691</v>
      </c>
      <c r="H8405" s="6" t="s">
        <v>52692</v>
      </c>
      <c r="K8405" s="5" t="s">
        <v>52693</v>
      </c>
      <c r="M8405" s="5" t="s">
        <v>52694</v>
      </c>
      <c r="N8405" s="7" t="s">
        <v>52695</v>
      </c>
      <c r="O8405" s="8" t="str">
        <f>HYPERLINK("https://drive.google.com/file/d/1-aUFr8DF-dxYx9U0OpOMRykT5xif2741/view?usp=drivesdk","8404_EKA YULIANA HANTINING TYAS, A.Md. KEB _ SERTIFIKAT BerAKHLAK")</f>
        <v>8404_EKA YULIANA HANTINING TYAS, A.Md. KEB _ SERTIFIKAT BerAKHLAK</v>
      </c>
      <c r="P8405" s="5" t="s">
        <v>49880</v>
      </c>
    </row>
    <row r="8406">
      <c r="A8406" s="4">
        <v>45534.402517731476</v>
      </c>
      <c r="B8406" s="5" t="s">
        <v>34</v>
      </c>
      <c r="D8406" s="5" t="s">
        <v>4775</v>
      </c>
      <c r="E8406" s="5" t="s">
        <v>52696</v>
      </c>
      <c r="F8406" s="5" t="s">
        <v>212</v>
      </c>
      <c r="G8406" s="5" t="s">
        <v>52697</v>
      </c>
      <c r="H8406" s="6" t="s">
        <v>52698</v>
      </c>
      <c r="K8406" s="5" t="s">
        <v>52693</v>
      </c>
      <c r="M8406" s="5" t="s">
        <v>52699</v>
      </c>
      <c r="N8406" s="7" t="s">
        <v>52700</v>
      </c>
      <c r="O8406" s="8" t="str">
        <f>HYPERLINK("https://drive.google.com/file/d/1o_LTiXWQr7i-q06ycu4TDaqjQ3_wwehp/view?usp=drivesdk","8405_BAPAK KARNO _ SERTIFIKAT BerAKHLAK")</f>
        <v>8405_BAPAK KARNO _ SERTIFIKAT BerAKHLAK</v>
      </c>
      <c r="P8406" s="5" t="s">
        <v>49880</v>
      </c>
    </row>
    <row r="8407">
      <c r="A8407" s="4">
        <v>45534.40254306713</v>
      </c>
      <c r="B8407" s="5" t="s">
        <v>34</v>
      </c>
      <c r="D8407" s="5" t="s">
        <v>522</v>
      </c>
      <c r="E8407" s="5" t="s">
        <v>52701</v>
      </c>
      <c r="F8407" s="5" t="s">
        <v>715</v>
      </c>
      <c r="G8407" s="5" t="s">
        <v>52702</v>
      </c>
      <c r="H8407" s="6" t="s">
        <v>52703</v>
      </c>
      <c r="K8407" s="5" t="s">
        <v>52693</v>
      </c>
      <c r="M8407" s="5" t="s">
        <v>52704</v>
      </c>
      <c r="N8407" s="7" t="s">
        <v>52705</v>
      </c>
      <c r="O8407" s="8" t="str">
        <f>HYPERLINK("https://drive.google.com/file/d/1jiHt8T6hFHbPuehOQCgSd-xTAcZ60NDH/view?usp=drivesdk","8406_JUNAIDIN,SH _ SERTIFIKAT BerAKHLAK")</f>
        <v>8406_JUNAIDIN,SH _ SERTIFIKAT BerAKHLAK</v>
      </c>
      <c r="P8407" s="5" t="s">
        <v>49880</v>
      </c>
    </row>
    <row r="8408">
      <c r="A8408" s="4">
        <v>45534.4025936574</v>
      </c>
      <c r="B8408" s="5" t="s">
        <v>34</v>
      </c>
      <c r="D8408" s="5" t="s">
        <v>9020</v>
      </c>
      <c r="E8408" s="5" t="s">
        <v>52706</v>
      </c>
      <c r="F8408" s="5" t="s">
        <v>212</v>
      </c>
      <c r="G8408" s="5" t="s">
        <v>52707</v>
      </c>
      <c r="H8408" s="6" t="s">
        <v>52708</v>
      </c>
      <c r="K8408" s="5" t="s">
        <v>52709</v>
      </c>
      <c r="M8408" s="5" t="s">
        <v>52710</v>
      </c>
      <c r="N8408" s="7" t="s">
        <v>52711</v>
      </c>
      <c r="O8408" s="8" t="str">
        <f>HYPERLINK("https://drive.google.com/file/d/1TBqhtHhSbtMp2s3--YV2AHV78o06bZSU/view?usp=drivesdk","8407_DAMERIA SIAGIAN  _ SERTIFIKAT BerAKHLAK")</f>
        <v>8407_DAMERIA SIAGIAN  _ SERTIFIKAT BerAKHLAK</v>
      </c>
      <c r="P8408" s="5" t="s">
        <v>49880</v>
      </c>
    </row>
    <row r="8409" hidden="1">
      <c r="A8409" s="4">
        <v>45534.40259550926</v>
      </c>
      <c r="B8409" s="5" t="s">
        <v>19</v>
      </c>
      <c r="C8409" s="5" t="s">
        <v>5564</v>
      </c>
      <c r="E8409" s="5" t="s">
        <v>52712</v>
      </c>
      <c r="F8409" s="5" t="s">
        <v>375</v>
      </c>
      <c r="G8409" s="5" t="s">
        <v>52713</v>
      </c>
      <c r="H8409" s="6" t="s">
        <v>52714</v>
      </c>
      <c r="K8409" s="5" t="s">
        <v>52709</v>
      </c>
      <c r="M8409" s="5" t="s">
        <v>52715</v>
      </c>
      <c r="N8409" s="7" t="s">
        <v>52716</v>
      </c>
      <c r="O8409" s="8" t="str">
        <f>HYPERLINK("https://drive.google.com/file/d/1HhaA0HzTizREPnx-FlynNpkKCGU1hXIG/view?usp=drivesdk","8408_RITA HERIANI, S.T. _ SERTIFIKAT BerAKHLAK")</f>
        <v>8408_RITA HERIANI, S.T. _ SERTIFIKAT BerAKHLAK</v>
      </c>
      <c r="P8409" s="5" t="s">
        <v>49880</v>
      </c>
    </row>
    <row r="8410">
      <c r="A8410" s="4">
        <v>45534.40260454861</v>
      </c>
      <c r="B8410" s="5" t="s">
        <v>34</v>
      </c>
      <c r="D8410" s="5" t="s">
        <v>14313</v>
      </c>
      <c r="E8410" s="5" t="s">
        <v>52717</v>
      </c>
      <c r="F8410" s="5" t="s">
        <v>120</v>
      </c>
      <c r="G8410" s="5" t="s">
        <v>52718</v>
      </c>
      <c r="H8410" s="6" t="s">
        <v>52719</v>
      </c>
      <c r="K8410" s="5" t="s">
        <v>52720</v>
      </c>
      <c r="M8410" s="5" t="s">
        <v>52721</v>
      </c>
      <c r="N8410" s="7" t="s">
        <v>52722</v>
      </c>
      <c r="O8410" s="8" t="str">
        <f>HYPERLINK("https://drive.google.com/file/d/11bp-emWsJhso-HaHrkWsmGGasQJqdzTU/view?usp=drivesdk","8409_Ratna Yunus, S.Si _ SERTIFIKAT BerAKHLAK")</f>
        <v>8409_Ratna Yunus, S.Si _ SERTIFIKAT BerAKHLAK</v>
      </c>
      <c r="P8410" s="5" t="s">
        <v>52000</v>
      </c>
    </row>
    <row r="8411">
      <c r="A8411" s="4">
        <v>45534.402612129634</v>
      </c>
      <c r="B8411" s="5" t="s">
        <v>34</v>
      </c>
      <c r="D8411" s="5" t="s">
        <v>267</v>
      </c>
      <c r="E8411" s="5" t="s">
        <v>52723</v>
      </c>
      <c r="F8411" s="5" t="s">
        <v>375</v>
      </c>
      <c r="G8411" s="5" t="s">
        <v>52724</v>
      </c>
      <c r="H8411" s="6" t="s">
        <v>52725</v>
      </c>
      <c r="K8411" s="5" t="s">
        <v>52720</v>
      </c>
      <c r="M8411" s="5" t="s">
        <v>52726</v>
      </c>
      <c r="N8411" s="7" t="s">
        <v>52727</v>
      </c>
      <c r="O8411" s="8" t="str">
        <f>HYPERLINK("https://drive.google.com/file/d/1xwvRsB7roFaoYcjXalRM9I8WEwUr3ZZh/view?usp=drivesdk","8410_MULYANI, ST _ SERTIFIKAT BerAKHLAK")</f>
        <v>8410_MULYANI, ST _ SERTIFIKAT BerAKHLAK</v>
      </c>
      <c r="P8411" s="5" t="s">
        <v>52000</v>
      </c>
    </row>
    <row r="8412">
      <c r="A8412" s="4">
        <v>45534.402621863424</v>
      </c>
      <c r="B8412" s="5" t="s">
        <v>34</v>
      </c>
      <c r="D8412" s="5" t="s">
        <v>35</v>
      </c>
      <c r="E8412" s="5" t="s">
        <v>52728</v>
      </c>
      <c r="F8412" s="5" t="s">
        <v>375</v>
      </c>
      <c r="G8412" s="5" t="s">
        <v>52729</v>
      </c>
      <c r="H8412" s="6" t="s">
        <v>52730</v>
      </c>
      <c r="K8412" s="5" t="s">
        <v>52720</v>
      </c>
      <c r="M8412" s="5" t="s">
        <v>52731</v>
      </c>
      <c r="N8412" s="7" t="s">
        <v>52732</v>
      </c>
      <c r="O8412" s="8" t="str">
        <f>HYPERLINK("https://drive.google.com/file/d/1FCqIIRfMzQ7aqGVPHPEojh7sWEM1QQKl/view?usp=drivesdk","8411_YUYUN TRI YUNIARTI, SS _ SERTIFIKAT BerAKHLAK")</f>
        <v>8411_YUYUN TRI YUNIARTI, SS _ SERTIFIKAT BerAKHLAK</v>
      </c>
      <c r="P8412" s="5" t="s">
        <v>52000</v>
      </c>
    </row>
    <row r="8413">
      <c r="A8413" s="4">
        <v>45534.402639583335</v>
      </c>
      <c r="B8413" s="5" t="s">
        <v>34</v>
      </c>
      <c r="D8413" s="5" t="s">
        <v>1206</v>
      </c>
      <c r="E8413" s="5" t="s">
        <v>52733</v>
      </c>
      <c r="F8413" s="5" t="s">
        <v>524</v>
      </c>
      <c r="G8413" s="5" t="s">
        <v>52734</v>
      </c>
      <c r="H8413" s="6" t="s">
        <v>52735</v>
      </c>
      <c r="K8413" s="5" t="s">
        <v>52720</v>
      </c>
      <c r="M8413" s="5" t="s">
        <v>52736</v>
      </c>
      <c r="N8413" s="7" t="s">
        <v>52737</v>
      </c>
      <c r="O8413" s="8" t="str">
        <f>HYPERLINK("https://drive.google.com/file/d/1VVbGVKmmv2mdczEVjHGWIp8p3LnVfaZ7/view?usp=drivesdk","8412_NINIK HANDAYANI, Amd. Kep _ SERTIFIKAT BerAKHLAK")</f>
        <v>8412_NINIK HANDAYANI, Amd. Kep _ SERTIFIKAT BerAKHLAK</v>
      </c>
      <c r="P8413" s="5" t="s">
        <v>52000</v>
      </c>
    </row>
    <row r="8414">
      <c r="A8414" s="4">
        <v>45534.402646365736</v>
      </c>
      <c r="B8414" s="5" t="s">
        <v>34</v>
      </c>
      <c r="D8414" s="5" t="s">
        <v>701</v>
      </c>
      <c r="E8414" s="5" t="s">
        <v>52738</v>
      </c>
      <c r="F8414" s="5" t="s">
        <v>37</v>
      </c>
      <c r="G8414" s="5" t="s">
        <v>52739</v>
      </c>
      <c r="H8414" s="6" t="s">
        <v>52740</v>
      </c>
      <c r="K8414" s="5" t="s">
        <v>52741</v>
      </c>
      <c r="M8414" s="5" t="s">
        <v>52742</v>
      </c>
      <c r="N8414" s="7" t="s">
        <v>52743</v>
      </c>
      <c r="O8414" s="8" t="str">
        <f>HYPERLINK("https://drive.google.com/file/d/1eMpXNoCsHRSbJcs9VXzn7029DwCrn06p/view?usp=drivesdk","8413_YURNI.S.Pd _ SERTIFIKAT BerAKHLAK")</f>
        <v>8413_YURNI.S.Pd _ SERTIFIKAT BerAKHLAK</v>
      </c>
      <c r="P8414" s="5" t="s">
        <v>52000</v>
      </c>
    </row>
    <row r="8415">
      <c r="A8415" s="4">
        <v>45534.4026534838</v>
      </c>
      <c r="B8415" s="5" t="s">
        <v>34</v>
      </c>
      <c r="D8415" s="5" t="s">
        <v>9394</v>
      </c>
      <c r="E8415" s="5" t="s">
        <v>52744</v>
      </c>
      <c r="F8415" s="5" t="s">
        <v>212</v>
      </c>
      <c r="G8415" s="5" t="s">
        <v>52745</v>
      </c>
      <c r="H8415" s="6" t="s">
        <v>52746</v>
      </c>
      <c r="K8415" s="5" t="s">
        <v>52741</v>
      </c>
      <c r="M8415" s="5" t="s">
        <v>52747</v>
      </c>
      <c r="N8415" s="7" t="s">
        <v>52748</v>
      </c>
      <c r="O8415" s="8" t="str">
        <f>HYPERLINK("https://drive.google.com/file/d/1ZXrqoa7NIGnvL9GrFFL3irRX8g9_T4Zn/view?usp=drivesdk","8414_ELIZABETH  _ SERTIFIKAT BerAKHLAK")</f>
        <v>8414_ELIZABETH  _ SERTIFIKAT BerAKHLAK</v>
      </c>
      <c r="P8415" s="5" t="s">
        <v>52016</v>
      </c>
    </row>
    <row r="8416">
      <c r="A8416" s="4">
        <v>45534.40265646991</v>
      </c>
      <c r="B8416" s="5" t="s">
        <v>34</v>
      </c>
      <c r="D8416" s="5" t="s">
        <v>1558</v>
      </c>
      <c r="E8416" s="5" t="s">
        <v>19050</v>
      </c>
      <c r="F8416" s="5" t="s">
        <v>212</v>
      </c>
      <c r="G8416" s="5" t="s">
        <v>52749</v>
      </c>
      <c r="H8416" s="6" t="s">
        <v>52750</v>
      </c>
      <c r="K8416" s="5" t="s">
        <v>52741</v>
      </c>
      <c r="M8416" s="5" t="s">
        <v>52751</v>
      </c>
      <c r="N8416" s="7" t="s">
        <v>52752</v>
      </c>
      <c r="O8416" s="8" t="str">
        <f>HYPERLINK("https://drive.google.com/file/d/11rsMu6Wafey1Df0dTPcIiyYUFTv9CRX1/view?usp=drivesdk","8415_MUNANDAR _ SERTIFIKAT BerAKHLAK")</f>
        <v>8415_MUNANDAR _ SERTIFIKAT BerAKHLAK</v>
      </c>
      <c r="P8416" s="5" t="s">
        <v>52016</v>
      </c>
    </row>
    <row r="8417">
      <c r="A8417" s="4">
        <v>45534.40266521991</v>
      </c>
      <c r="B8417" s="5" t="s">
        <v>34</v>
      </c>
      <c r="D8417" s="5" t="s">
        <v>9020</v>
      </c>
      <c r="E8417" s="5" t="s">
        <v>52753</v>
      </c>
      <c r="F8417" s="5" t="s">
        <v>72</v>
      </c>
      <c r="G8417" s="5" t="s">
        <v>52754</v>
      </c>
      <c r="H8417" s="6" t="s">
        <v>52755</v>
      </c>
      <c r="K8417" s="5" t="s">
        <v>52741</v>
      </c>
      <c r="M8417" s="5" t="s">
        <v>52756</v>
      </c>
      <c r="N8417" s="7" t="s">
        <v>52757</v>
      </c>
      <c r="O8417" s="8" t="str">
        <f>HYPERLINK("https://drive.google.com/file/d/1GA8SW8ImYGin9WvpZQnFB4sEdHZwim9n/view?usp=drivesdk","8416_SUURYANTI MATLINA SILALAHI _ SERTIFIKAT BerAKHLAK")</f>
        <v>8416_SUURYANTI MATLINA SILALAHI _ SERTIFIKAT BerAKHLAK</v>
      </c>
      <c r="P8417" s="5" t="s">
        <v>52016</v>
      </c>
    </row>
    <row r="8418">
      <c r="A8418" s="4">
        <v>45534.40269585648</v>
      </c>
      <c r="B8418" s="5" t="s">
        <v>34</v>
      </c>
      <c r="D8418" s="5" t="s">
        <v>14313</v>
      </c>
      <c r="E8418" s="5" t="s">
        <v>52758</v>
      </c>
      <c r="F8418" s="5" t="s">
        <v>120</v>
      </c>
      <c r="G8418" s="5" t="s">
        <v>52759</v>
      </c>
      <c r="H8418" s="6" t="s">
        <v>52760</v>
      </c>
      <c r="K8418" s="5" t="s">
        <v>52761</v>
      </c>
      <c r="M8418" s="5" t="s">
        <v>52762</v>
      </c>
      <c r="N8418" s="7" t="s">
        <v>52763</v>
      </c>
      <c r="O8418" s="8" t="str">
        <f>HYPERLINK("https://drive.google.com/file/d/1Tksk79Ev32kY_F0Ytx89u_yTExNbmVWJ/view?usp=drivesdk","8417_NURSIANY., S. E., M. M., Ak _ SERTIFIKAT BerAKHLAK")</f>
        <v>8417_NURSIANY., S. E., M. M., Ak _ SERTIFIKAT BerAKHLAK</v>
      </c>
      <c r="P8418" s="5" t="s">
        <v>52626</v>
      </c>
    </row>
    <row r="8419">
      <c r="A8419" s="4">
        <v>45534.40270726852</v>
      </c>
      <c r="B8419" s="5" t="s">
        <v>34</v>
      </c>
      <c r="D8419" s="5" t="s">
        <v>4775</v>
      </c>
      <c r="E8419" s="5" t="s">
        <v>52764</v>
      </c>
      <c r="F8419" s="5" t="s">
        <v>524</v>
      </c>
      <c r="G8419" s="5" t="s">
        <v>52765</v>
      </c>
      <c r="H8419" s="6" t="s">
        <v>52766</v>
      </c>
      <c r="K8419" s="5" t="s">
        <v>52761</v>
      </c>
      <c r="M8419" s="5" t="s">
        <v>52767</v>
      </c>
      <c r="N8419" s="7" t="s">
        <v>52768</v>
      </c>
      <c r="O8419" s="8" t="str">
        <f>HYPERLINK("https://drive.google.com/file/d/1r3MeHj0VTbygA1T3UDg8dbrqqILDm0MQ/view?usp=drivesdk","8418_SRI ARSIH _ SERTIFIKAT BerAKHLAK")</f>
        <v>8418_SRI ARSIH _ SERTIFIKAT BerAKHLAK</v>
      </c>
      <c r="P8419" s="5" t="s">
        <v>52626</v>
      </c>
    </row>
    <row r="8420">
      <c r="A8420" s="4">
        <v>45534.402709849535</v>
      </c>
      <c r="B8420" s="5" t="s">
        <v>34</v>
      </c>
      <c r="D8420" s="5" t="s">
        <v>1558</v>
      </c>
      <c r="E8420" s="5" t="s">
        <v>52769</v>
      </c>
      <c r="F8420" s="5" t="s">
        <v>375</v>
      </c>
      <c r="G8420" s="5" t="s">
        <v>52770</v>
      </c>
      <c r="H8420" s="6" t="s">
        <v>52771</v>
      </c>
      <c r="K8420" s="5" t="s">
        <v>52761</v>
      </c>
      <c r="M8420" s="5" t="s">
        <v>52772</v>
      </c>
      <c r="N8420" s="7" t="s">
        <v>52773</v>
      </c>
      <c r="O8420" s="8" t="str">
        <f>HYPERLINK("https://drive.google.com/file/d/145YqOfNQpsZewQ2rdrMKcIsSajbpFReF/view?usp=drivesdk","8419_Widi Supriyatno, SH _ SERTIFIKAT BerAKHLAK")</f>
        <v>8419_Widi Supriyatno, SH _ SERTIFIKAT BerAKHLAK</v>
      </c>
      <c r="P8420" s="5" t="s">
        <v>52626</v>
      </c>
    </row>
    <row r="8421">
      <c r="A8421" s="4">
        <v>45534.40302903936</v>
      </c>
      <c r="B8421" s="5" t="s">
        <v>34</v>
      </c>
      <c r="D8421" s="5" t="s">
        <v>1456</v>
      </c>
      <c r="E8421" s="5" t="s">
        <v>52774</v>
      </c>
      <c r="F8421" s="5" t="s">
        <v>212</v>
      </c>
      <c r="G8421" s="5" t="s">
        <v>52775</v>
      </c>
      <c r="H8421" s="6" t="s">
        <v>52776</v>
      </c>
      <c r="K8421" s="5" t="s">
        <v>52777</v>
      </c>
      <c r="M8421" s="5" t="s">
        <v>52778</v>
      </c>
      <c r="N8421" s="7" t="s">
        <v>52779</v>
      </c>
      <c r="O8421" s="8" t="str">
        <f>HYPERLINK("https://drive.google.com/file/d/16wmLu1i924qYZDnqGs_qXvIc2yfbZD0e/view?usp=drivesdk","8420_MELAWATI.SAp _ SERTIFIKAT BerAKHLAK")</f>
        <v>8420_MELAWATI.SAp _ SERTIFIKAT BerAKHLAK</v>
      </c>
      <c r="P8421" s="5" t="s">
        <v>52780</v>
      </c>
    </row>
    <row r="8422">
      <c r="A8422" s="4">
        <v>45534.40304769676</v>
      </c>
      <c r="B8422" s="5" t="s">
        <v>34</v>
      </c>
      <c r="D8422" s="5" t="s">
        <v>522</v>
      </c>
      <c r="E8422" s="5" t="s">
        <v>52781</v>
      </c>
      <c r="F8422" s="5" t="s">
        <v>37</v>
      </c>
      <c r="G8422" s="5" t="s">
        <v>52782</v>
      </c>
      <c r="H8422" s="6" t="s">
        <v>52783</v>
      </c>
      <c r="K8422" s="5" t="s">
        <v>52777</v>
      </c>
      <c r="M8422" s="5" t="s">
        <v>52784</v>
      </c>
      <c r="N8422" s="7" t="s">
        <v>52785</v>
      </c>
      <c r="O8422" s="8" t="str">
        <f>HYPERLINK("https://drive.google.com/file/d/1-Dm1U8YSCRG0EF3zBfhmeLSb5MDPKNQI/view?usp=drivesdk","8421_BAIQ NURSEHAN _ SERTIFIKAT BerAKHLAK")</f>
        <v>8421_BAIQ NURSEHAN _ SERTIFIKAT BerAKHLAK</v>
      </c>
      <c r="P8422" s="5" t="s">
        <v>52780</v>
      </c>
    </row>
    <row r="8423">
      <c r="A8423" s="4">
        <v>45534.403065289356</v>
      </c>
      <c r="B8423" s="5" t="s">
        <v>34</v>
      </c>
      <c r="D8423" s="5" t="s">
        <v>1206</v>
      </c>
      <c r="E8423" s="5" t="s">
        <v>52786</v>
      </c>
      <c r="F8423" s="5" t="s">
        <v>212</v>
      </c>
      <c r="G8423" s="5" t="s">
        <v>52787</v>
      </c>
      <c r="H8423" s="6" t="s">
        <v>52788</v>
      </c>
      <c r="K8423" s="5" t="s">
        <v>52777</v>
      </c>
      <c r="M8423" s="5" t="s">
        <v>52789</v>
      </c>
      <c r="N8423" s="7" t="s">
        <v>52790</v>
      </c>
      <c r="O8423" s="8" t="str">
        <f>HYPERLINK("https://drive.google.com/file/d/11w5gBhPUkYPyr9zzBI-D0J8TEOfQBBKx/view?usp=drivesdk","8422_MARIATUL AZKIYA  _ SERTIFIKAT BerAKHLAK")</f>
        <v>8422_MARIATUL AZKIYA  _ SERTIFIKAT BerAKHLAK</v>
      </c>
      <c r="P8423" s="5" t="s">
        <v>52780</v>
      </c>
    </row>
    <row r="8424">
      <c r="A8424" s="4">
        <v>45534.40307758102</v>
      </c>
      <c r="B8424" s="5" t="s">
        <v>34</v>
      </c>
      <c r="D8424" s="5" t="s">
        <v>1206</v>
      </c>
      <c r="E8424" s="5" t="s">
        <v>52791</v>
      </c>
      <c r="F8424" s="5" t="s">
        <v>328</v>
      </c>
      <c r="G8424" s="5" t="s">
        <v>52792</v>
      </c>
      <c r="H8424" s="6" t="s">
        <v>52793</v>
      </c>
      <c r="K8424" s="5" t="s">
        <v>52777</v>
      </c>
      <c r="M8424" s="5" t="s">
        <v>52794</v>
      </c>
      <c r="N8424" s="7" t="s">
        <v>52795</v>
      </c>
      <c r="O8424" s="8" t="str">
        <f>HYPERLINK("https://drive.google.com/file/d/1VEGHASsvcfy0Ux1yR43uiqJLlkVOIOl2/view?usp=drivesdk","8423_TRIYONO _ SERTIFIKAT BerAKHLAK")</f>
        <v>8423_TRIYONO _ SERTIFIKAT BerAKHLAK</v>
      </c>
      <c r="P8424" s="5" t="s">
        <v>52780</v>
      </c>
    </row>
    <row r="8425">
      <c r="A8425" s="4">
        <v>45534.40308365741</v>
      </c>
      <c r="B8425" s="5" t="s">
        <v>34</v>
      </c>
      <c r="D8425" s="5" t="s">
        <v>4775</v>
      </c>
      <c r="E8425" s="5" t="s">
        <v>52796</v>
      </c>
      <c r="F8425" s="5" t="s">
        <v>72</v>
      </c>
      <c r="G8425" s="5" t="s">
        <v>52797</v>
      </c>
      <c r="H8425" s="6" t="s">
        <v>52798</v>
      </c>
      <c r="K8425" s="5" t="s">
        <v>52777</v>
      </c>
      <c r="M8425" s="5" t="s">
        <v>52799</v>
      </c>
      <c r="N8425" s="7" t="s">
        <v>52800</v>
      </c>
      <c r="O8425" s="8" t="str">
        <f>HYPERLINK("https://drive.google.com/file/d/1O_YS5rkVwz5lCXAnUCa5nvqm7-ikC095/view?usp=drivesdk","8424_MUNTAMAH _ SERTIFIKAT BerAKHLAK")</f>
        <v>8424_MUNTAMAH _ SERTIFIKAT BerAKHLAK</v>
      </c>
      <c r="P8425" s="5" t="s">
        <v>52780</v>
      </c>
    </row>
    <row r="8426" hidden="1">
      <c r="A8426" s="4">
        <v>45534.40311924768</v>
      </c>
      <c r="B8426" s="5" t="s">
        <v>19</v>
      </c>
      <c r="C8426" s="5" t="s">
        <v>292</v>
      </c>
      <c r="E8426" s="5" t="s">
        <v>52801</v>
      </c>
      <c r="F8426" s="5" t="s">
        <v>212</v>
      </c>
      <c r="G8426" s="5" t="s">
        <v>52802</v>
      </c>
      <c r="H8426" s="6" t="s">
        <v>52803</v>
      </c>
      <c r="K8426" s="5" t="s">
        <v>52804</v>
      </c>
      <c r="M8426" s="5" t="s">
        <v>52805</v>
      </c>
      <c r="N8426" s="7" t="s">
        <v>52806</v>
      </c>
      <c r="O8426" s="8" t="str">
        <f>HYPERLINK("https://drive.google.com/file/d/1qBgJFNYFJChK-I7qt0NdBYCL1YI_G4mK/view?usp=drivesdk","8425_SUSILAH _ SERTIFIKAT BerAKHLAK")</f>
        <v>8425_SUSILAH _ SERTIFIKAT BerAKHLAK</v>
      </c>
      <c r="P8426" s="5" t="s">
        <v>52780</v>
      </c>
    </row>
    <row r="8427">
      <c r="A8427" s="4">
        <v>45534.40313759259</v>
      </c>
      <c r="B8427" s="5" t="s">
        <v>34</v>
      </c>
      <c r="D8427" s="5" t="s">
        <v>1206</v>
      </c>
      <c r="E8427" s="5" t="s">
        <v>52807</v>
      </c>
      <c r="F8427" s="5" t="s">
        <v>212</v>
      </c>
      <c r="G8427" s="5" t="s">
        <v>52808</v>
      </c>
      <c r="H8427" s="6" t="s">
        <v>52809</v>
      </c>
      <c r="K8427" s="5" t="s">
        <v>52804</v>
      </c>
      <c r="M8427" s="5" t="s">
        <v>52810</v>
      </c>
      <c r="N8427" s="7" t="s">
        <v>52811</v>
      </c>
      <c r="O8427" s="8" t="str">
        <f>HYPERLINK("https://drive.google.com/file/d/1l837ANu7ata9ezTMn7ycucOEUhNIGrH-/view?usp=drivesdk","8426_IMAM GASALI _ SERTIFIKAT BerAKHLAK")</f>
        <v>8426_IMAM GASALI _ SERTIFIKAT BerAKHLAK</v>
      </c>
      <c r="P8427" s="5" t="s">
        <v>52812</v>
      </c>
    </row>
    <row r="8428">
      <c r="A8428" s="4">
        <v>45534.40313760417</v>
      </c>
      <c r="B8428" s="5" t="s">
        <v>34</v>
      </c>
      <c r="D8428" s="5" t="s">
        <v>1456</v>
      </c>
      <c r="E8428" s="5" t="s">
        <v>52813</v>
      </c>
      <c r="F8428" s="5" t="s">
        <v>37</v>
      </c>
      <c r="G8428" s="5" t="s">
        <v>52814</v>
      </c>
      <c r="H8428" s="6" t="s">
        <v>52815</v>
      </c>
      <c r="K8428" s="5" t="s">
        <v>52804</v>
      </c>
      <c r="M8428" s="5" t="s">
        <v>52816</v>
      </c>
      <c r="N8428" s="7" t="s">
        <v>52817</v>
      </c>
      <c r="O8428" s="8" t="str">
        <f>HYPERLINK("https://drive.google.com/file/d/1geRb0xKzOsJkor0UlTxr5gA_UQnNMxoX/view?usp=drivesdk","8427_Titania Faudi Afifah _ SERTIFIKAT BerAKHLAK")</f>
        <v>8427_Titania Faudi Afifah _ SERTIFIKAT BerAKHLAK</v>
      </c>
      <c r="P8428" s="5" t="s">
        <v>52812</v>
      </c>
    </row>
    <row r="8429">
      <c r="A8429" s="4">
        <v>45534.40315665509</v>
      </c>
      <c r="B8429" s="5" t="s">
        <v>34</v>
      </c>
      <c r="D8429" s="5" t="s">
        <v>580</v>
      </c>
      <c r="E8429" s="5" t="s">
        <v>52818</v>
      </c>
      <c r="F8429" s="5" t="s">
        <v>524</v>
      </c>
      <c r="G8429" s="5" t="s">
        <v>52819</v>
      </c>
      <c r="H8429" s="6" t="s">
        <v>52820</v>
      </c>
      <c r="K8429" s="5" t="s">
        <v>52804</v>
      </c>
      <c r="M8429" s="5" t="s">
        <v>52821</v>
      </c>
      <c r="N8429" s="7" t="s">
        <v>52822</v>
      </c>
      <c r="O8429" s="8" t="str">
        <f>HYPERLINK("https://drive.google.com/file/d/1jrP7zIqyqebtj83QwV91lNqrcBYQD0A7/view?usp=drivesdk","8428_KADE NILA KUSUMA DEWI _ SERTIFIKAT BerAKHLAK")</f>
        <v>8428_KADE NILA KUSUMA DEWI _ SERTIFIKAT BerAKHLAK</v>
      </c>
      <c r="P8429" s="5" t="s">
        <v>52812</v>
      </c>
    </row>
    <row r="8430" hidden="1">
      <c r="A8430" s="4">
        <v>45534.4031602662</v>
      </c>
      <c r="B8430" s="5" t="s">
        <v>19</v>
      </c>
      <c r="C8430" s="5" t="s">
        <v>1606</v>
      </c>
      <c r="E8430" s="5" t="s">
        <v>52823</v>
      </c>
      <c r="F8430" s="5" t="s">
        <v>375</v>
      </c>
      <c r="G8430" s="5" t="s">
        <v>52824</v>
      </c>
      <c r="H8430" s="6" t="s">
        <v>52825</v>
      </c>
      <c r="K8430" s="5" t="s">
        <v>52804</v>
      </c>
      <c r="M8430" s="5" t="s">
        <v>52826</v>
      </c>
      <c r="N8430" s="7" t="s">
        <v>52827</v>
      </c>
      <c r="O8430" s="8" t="str">
        <f>HYPERLINK("https://drive.google.com/file/d/1jsqvBZZpteMgy1EB-BiOFTdrNNEyC9XR/view?usp=drivesdk","8429_FIRDAUS AKHIRNE _ SERTIFIKAT BerAKHLAK")</f>
        <v>8429_FIRDAUS AKHIRNE _ SERTIFIKAT BerAKHLAK</v>
      </c>
      <c r="P8430" s="5" t="s">
        <v>52812</v>
      </c>
    </row>
    <row r="8431" hidden="1">
      <c r="A8431" s="4">
        <v>45534.4031628125</v>
      </c>
      <c r="B8431" s="5" t="s">
        <v>19</v>
      </c>
      <c r="C8431" s="5" t="s">
        <v>3471</v>
      </c>
      <c r="E8431" s="5" t="s">
        <v>52828</v>
      </c>
      <c r="F8431" s="5" t="s">
        <v>524</v>
      </c>
      <c r="G8431" s="5" t="s">
        <v>52829</v>
      </c>
      <c r="H8431" s="6" t="s">
        <v>52830</v>
      </c>
      <c r="K8431" s="5" t="s">
        <v>52804</v>
      </c>
      <c r="M8431" s="5" t="s">
        <v>52831</v>
      </c>
      <c r="N8431" s="7" t="s">
        <v>52832</v>
      </c>
      <c r="O8431" s="8" t="str">
        <f>HYPERLINK("https://drive.google.com/file/d/1JyzQOoXXaEFeYYWb3uu91UdKQC6V7M1V/view?usp=drivesdk","8430_Retno Wulan Sari _ SERTIFIKAT BerAKHLAK")</f>
        <v>8430_Retno Wulan Sari _ SERTIFIKAT BerAKHLAK</v>
      </c>
      <c r="P8431" s="5" t="s">
        <v>52833</v>
      </c>
    </row>
    <row r="8432">
      <c r="A8432" s="4">
        <v>45534.4031959375</v>
      </c>
      <c r="B8432" s="5" t="s">
        <v>34</v>
      </c>
      <c r="D8432" s="5" t="s">
        <v>12978</v>
      </c>
      <c r="E8432" s="5" t="s">
        <v>52834</v>
      </c>
      <c r="F8432" s="5" t="s">
        <v>212</v>
      </c>
      <c r="G8432" s="5" t="s">
        <v>52835</v>
      </c>
      <c r="H8432" s="6" t="s">
        <v>52836</v>
      </c>
      <c r="K8432" s="5" t="s">
        <v>52837</v>
      </c>
      <c r="M8432" s="5" t="s">
        <v>52838</v>
      </c>
      <c r="N8432" s="7" t="s">
        <v>52839</v>
      </c>
      <c r="O8432" s="8" t="str">
        <f>HYPERLINK("https://drive.google.com/file/d/1xfC-eNfTL1R-BpGeGnz4oKLLxsAUhqeq/view?usp=drivesdk","8431_TRI WULAN AGUSTINA, A.Md.Kep _ SERTIFIKAT BerAKHLAK")</f>
        <v>8431_TRI WULAN AGUSTINA, A.Md.Kep _ SERTIFIKAT BerAKHLAK</v>
      </c>
      <c r="P8432" s="5" t="s">
        <v>52833</v>
      </c>
    </row>
    <row r="8433">
      <c r="A8433" s="4">
        <v>45534.40320122685</v>
      </c>
      <c r="B8433" s="5" t="s">
        <v>34</v>
      </c>
      <c r="D8433" s="5" t="s">
        <v>14313</v>
      </c>
      <c r="E8433" s="5" t="s">
        <v>52840</v>
      </c>
      <c r="F8433" s="5" t="s">
        <v>375</v>
      </c>
      <c r="G8433" s="5" t="s">
        <v>52841</v>
      </c>
      <c r="H8433" s="6" t="s">
        <v>52842</v>
      </c>
      <c r="K8433" s="5" t="s">
        <v>52837</v>
      </c>
      <c r="M8433" s="5" t="s">
        <v>52843</v>
      </c>
      <c r="N8433" s="7" t="s">
        <v>52844</v>
      </c>
      <c r="O8433" s="8" t="str">
        <f>HYPERLINK("https://drive.google.com/file/d/1rF2ELjF6kEtSPCg4h21F3h57va8UcaDH/view?usp=drivesdk","8432_SRI SURYANTI, SE  _ SERTIFIKAT BerAKHLAK")</f>
        <v>8432_SRI SURYANTI, SE  _ SERTIFIKAT BerAKHLAK</v>
      </c>
      <c r="P8433" s="5" t="s">
        <v>52845</v>
      </c>
    </row>
    <row r="8434">
      <c r="A8434" s="4">
        <v>45534.40322939814</v>
      </c>
      <c r="B8434" s="5" t="s">
        <v>34</v>
      </c>
      <c r="D8434" s="5" t="s">
        <v>1206</v>
      </c>
      <c r="E8434" s="5" t="s">
        <v>52846</v>
      </c>
      <c r="F8434" s="5" t="s">
        <v>212</v>
      </c>
      <c r="G8434" s="5" t="s">
        <v>52847</v>
      </c>
      <c r="H8434" s="6" t="s">
        <v>52848</v>
      </c>
      <c r="K8434" s="5" t="s">
        <v>52849</v>
      </c>
      <c r="M8434" s="5" t="s">
        <v>52850</v>
      </c>
      <c r="N8434" s="7" t="s">
        <v>52851</v>
      </c>
      <c r="O8434" s="8" t="str">
        <f>HYPERLINK("https://drive.google.com/file/d/1USWJfWUnPhOBPHyd7_6jAOFssOgkRTAG/view?usp=drivesdk","8433_TEGUH HARTONO Amd. Kep _ SERTIFIKAT BerAKHLAK")</f>
        <v>8433_TEGUH HARTONO Amd. Kep _ SERTIFIKAT BerAKHLAK</v>
      </c>
      <c r="P8434" s="5" t="s">
        <v>52852</v>
      </c>
    </row>
    <row r="8435">
      <c r="A8435" s="4">
        <v>45534.40326153935</v>
      </c>
      <c r="B8435" s="5" t="s">
        <v>34</v>
      </c>
      <c r="D8435" s="5" t="s">
        <v>1206</v>
      </c>
      <c r="E8435" s="5" t="s">
        <v>52853</v>
      </c>
      <c r="F8435" s="5" t="s">
        <v>37</v>
      </c>
      <c r="G8435" s="5" t="s">
        <v>52854</v>
      </c>
      <c r="H8435" s="6" t="s">
        <v>52855</v>
      </c>
      <c r="K8435" s="5" t="s">
        <v>52856</v>
      </c>
      <c r="M8435" s="5" t="s">
        <v>52857</v>
      </c>
      <c r="N8435" s="7" t="s">
        <v>52858</v>
      </c>
      <c r="O8435" s="8" t="str">
        <f>HYPERLINK("https://drive.google.com/file/d/1e7LIgdVMLx362H8j39abt3UTr07Gljv5/view?usp=drivesdk","8434_ADI KUSUMA, S. Kep. Ners _ SERTIFIKAT BerAKHLAK")</f>
        <v>8434_ADI KUSUMA, S. Kep. Ners _ SERTIFIKAT BerAKHLAK</v>
      </c>
      <c r="P8435" s="5" t="s">
        <v>52852</v>
      </c>
    </row>
    <row r="8436" hidden="1">
      <c r="A8436" s="4">
        <v>45534.403280405095</v>
      </c>
      <c r="B8436" s="5" t="s">
        <v>19</v>
      </c>
      <c r="C8436" s="5" t="s">
        <v>292</v>
      </c>
      <c r="E8436" s="5" t="s">
        <v>52859</v>
      </c>
      <c r="F8436" s="5" t="s">
        <v>212</v>
      </c>
      <c r="G8436" s="5" t="s">
        <v>52860</v>
      </c>
      <c r="H8436" s="6" t="s">
        <v>52861</v>
      </c>
      <c r="K8436" s="5" t="s">
        <v>52862</v>
      </c>
      <c r="M8436" s="5" t="s">
        <v>52863</v>
      </c>
      <c r="N8436" s="7" t="s">
        <v>52864</v>
      </c>
      <c r="O8436" s="8" t="str">
        <f>HYPERLINK("https://drive.google.com/file/d/1gaF0Dem2yo7N5EI63MP_XOwrAtgMUBg-/view?usp=drivesdk","8435_SYARIF HIDAYAT, A.Md.Gz _ SERTIFIKAT BerAKHLAK")</f>
        <v>8435_SYARIF HIDAYAT, A.Md.Gz _ SERTIFIKAT BerAKHLAK</v>
      </c>
      <c r="P8436" s="5" t="s">
        <v>52852</v>
      </c>
    </row>
    <row r="8437">
      <c r="A8437" s="4">
        <v>45534.403321875</v>
      </c>
      <c r="B8437" s="5" t="s">
        <v>34</v>
      </c>
      <c r="D8437" s="5" t="s">
        <v>1206</v>
      </c>
      <c r="E8437" s="5" t="s">
        <v>52865</v>
      </c>
      <c r="F8437" s="5" t="s">
        <v>212</v>
      </c>
      <c r="G8437" s="5" t="s">
        <v>52866</v>
      </c>
      <c r="H8437" s="6" t="s">
        <v>52867</v>
      </c>
      <c r="K8437" s="5" t="s">
        <v>52868</v>
      </c>
      <c r="M8437" s="5" t="s">
        <v>52869</v>
      </c>
      <c r="N8437" s="7" t="s">
        <v>52870</v>
      </c>
      <c r="O8437" s="8" t="str">
        <f>HYPERLINK("https://drive.google.com/file/d/1m-ro6vtPh9EWmFnxaS6GT2a_36hNY3cd/view?usp=drivesdk","8436_MUHAMMAD ZAINURI _ SERTIFIKAT BerAKHLAK")</f>
        <v>8436_MUHAMMAD ZAINURI _ SERTIFIKAT BerAKHLAK</v>
      </c>
      <c r="P8437" s="5" t="s">
        <v>52852</v>
      </c>
    </row>
    <row r="8438" hidden="1">
      <c r="A8438" s="4">
        <v>45534.403326631946</v>
      </c>
      <c r="B8438" s="5" t="s">
        <v>19</v>
      </c>
      <c r="C8438" s="5" t="s">
        <v>292</v>
      </c>
      <c r="E8438" s="5" t="s">
        <v>52871</v>
      </c>
      <c r="F8438" s="5" t="s">
        <v>212</v>
      </c>
      <c r="G8438" s="5" t="s">
        <v>52872</v>
      </c>
      <c r="H8438" s="6" t="s">
        <v>52873</v>
      </c>
      <c r="K8438" s="5" t="s">
        <v>52868</v>
      </c>
      <c r="M8438" s="5" t="s">
        <v>52874</v>
      </c>
      <c r="N8438" s="7" t="s">
        <v>52875</v>
      </c>
      <c r="O8438" s="8" t="str">
        <f>HYPERLINK("https://drive.google.com/file/d/1fzeB5aVfEEo0b8mEvHKJm1ITB_PpxOxj/view?usp=drivesdk","8437_DWI ASTUTIK _ SERTIFIKAT BerAKHLAK")</f>
        <v>8437_DWI ASTUTIK _ SERTIFIKAT BerAKHLAK</v>
      </c>
      <c r="P8438" s="5" t="s">
        <v>52852</v>
      </c>
    </row>
    <row r="8439">
      <c r="A8439" s="4">
        <v>45534.403343252314</v>
      </c>
      <c r="B8439" s="5" t="s">
        <v>34</v>
      </c>
      <c r="D8439" s="5" t="s">
        <v>267</v>
      </c>
      <c r="E8439" s="5" t="s">
        <v>52876</v>
      </c>
      <c r="F8439" s="5" t="s">
        <v>37</v>
      </c>
      <c r="G8439" s="5" t="s">
        <v>52877</v>
      </c>
      <c r="H8439" s="6" t="s">
        <v>52878</v>
      </c>
      <c r="K8439" s="5" t="s">
        <v>52879</v>
      </c>
      <c r="M8439" s="5" t="s">
        <v>52880</v>
      </c>
      <c r="N8439" s="7" t="s">
        <v>52881</v>
      </c>
      <c r="O8439" s="8" t="str">
        <f>HYPERLINK("https://drive.google.com/file/d/1MtbmO4shvQovsJ0BbbkXJmXtufiWnVOH/view?usp=drivesdk","8438_DWI APRILIA FATIMAH _ SERTIFIKAT BerAKHLAK")</f>
        <v>8438_DWI APRILIA FATIMAH _ SERTIFIKAT BerAKHLAK</v>
      </c>
      <c r="P8439" s="5" t="s">
        <v>52882</v>
      </c>
    </row>
    <row r="8440">
      <c r="A8440" s="4">
        <v>45534.403420393515</v>
      </c>
      <c r="B8440" s="5" t="s">
        <v>34</v>
      </c>
      <c r="D8440" s="5" t="s">
        <v>4775</v>
      </c>
      <c r="E8440" s="5" t="s">
        <v>52883</v>
      </c>
      <c r="F8440" s="5" t="s">
        <v>212</v>
      </c>
      <c r="G8440" s="5" t="s">
        <v>52884</v>
      </c>
      <c r="H8440" s="6" t="s">
        <v>52885</v>
      </c>
      <c r="K8440" s="5" t="s">
        <v>52886</v>
      </c>
      <c r="M8440" s="5" t="s">
        <v>52887</v>
      </c>
      <c r="N8440" s="7" t="s">
        <v>52888</v>
      </c>
      <c r="O8440" s="8" t="str">
        <f>HYPERLINK("https://drive.google.com/file/d/1E3Lgu9MY6wzN16C763E1bPvB_PyvYX7H/view?usp=drivesdk","8439_RETNO HIDAYATI _ SERTIFIKAT BerAKHLAK")</f>
        <v>8439_RETNO HIDAYATI _ SERTIFIKAT BerAKHLAK</v>
      </c>
      <c r="P8440" s="5" t="s">
        <v>52882</v>
      </c>
    </row>
    <row r="8441">
      <c r="A8441" s="4">
        <v>45534.403432349536</v>
      </c>
      <c r="B8441" s="5" t="s">
        <v>34</v>
      </c>
      <c r="D8441" s="5" t="s">
        <v>35</v>
      </c>
      <c r="E8441" s="5" t="s">
        <v>52889</v>
      </c>
      <c r="F8441" s="5" t="s">
        <v>524</v>
      </c>
      <c r="G8441" s="5" t="s">
        <v>52890</v>
      </c>
      <c r="H8441" s="6" t="s">
        <v>52891</v>
      </c>
      <c r="K8441" s="5" t="s">
        <v>52886</v>
      </c>
      <c r="M8441" s="5" t="s">
        <v>52892</v>
      </c>
      <c r="N8441" s="7" t="s">
        <v>52893</v>
      </c>
      <c r="O8441" s="8" t="str">
        <f>HYPERLINK("https://drive.google.com/file/d/1Utt8R3EQ5lk4JeVP33w0dY9wKyyTMd0L/view?usp=drivesdk","8440_LILLIS SITI ROHANAH, SE _ SERTIFIKAT BerAKHLAK")</f>
        <v>8440_LILLIS SITI ROHANAH, SE _ SERTIFIKAT BerAKHLAK</v>
      </c>
      <c r="P8441" s="5" t="s">
        <v>52882</v>
      </c>
    </row>
    <row r="8442">
      <c r="A8442" s="4">
        <v>45534.40353996528</v>
      </c>
      <c r="B8442" s="5" t="s">
        <v>34</v>
      </c>
      <c r="D8442" s="5" t="s">
        <v>7858</v>
      </c>
      <c r="E8442" s="5" t="s">
        <v>52894</v>
      </c>
      <c r="F8442" s="5" t="s">
        <v>37</v>
      </c>
      <c r="G8442" s="5" t="s">
        <v>52895</v>
      </c>
      <c r="H8442" s="6" t="s">
        <v>52896</v>
      </c>
      <c r="K8442" s="5" t="s">
        <v>52897</v>
      </c>
      <c r="M8442" s="5" t="s">
        <v>52898</v>
      </c>
      <c r="N8442" s="7" t="s">
        <v>52899</v>
      </c>
      <c r="O8442" s="8" t="str">
        <f>HYPERLINK("https://drive.google.com/file/d/1fq5xv_GKwjL3810BFF1t4RjHo3mTMvG_/view?usp=drivesdk","8441_TATI YULIANI _ SERTIFIKAT BerAKHLAK")</f>
        <v>8441_TATI YULIANI _ SERTIFIKAT BerAKHLAK</v>
      </c>
      <c r="P8442" s="5" t="s">
        <v>52882</v>
      </c>
    </row>
    <row r="8443">
      <c r="A8443" s="4">
        <v>45534.40355256945</v>
      </c>
      <c r="B8443" s="5" t="s">
        <v>34</v>
      </c>
      <c r="D8443" s="5" t="s">
        <v>701</v>
      </c>
      <c r="E8443" s="5" t="s">
        <v>52900</v>
      </c>
      <c r="F8443" s="5" t="s">
        <v>375</v>
      </c>
      <c r="G8443" s="5" t="s">
        <v>52901</v>
      </c>
      <c r="H8443" s="6" t="s">
        <v>52902</v>
      </c>
      <c r="K8443" s="5" t="s">
        <v>52897</v>
      </c>
      <c r="M8443" s="5" t="s">
        <v>52903</v>
      </c>
      <c r="N8443" s="7" t="s">
        <v>52904</v>
      </c>
      <c r="O8443" s="8" t="str">
        <f>HYPERLINK("https://drive.google.com/file/d/1KEwjTDy7RPJgEylYinhd11PQUoypFfcs/view?usp=drivesdk","8442_EFDALINDA _ SERTIFIKAT BerAKHLAK")</f>
        <v>8442_EFDALINDA _ SERTIFIKAT BerAKHLAK</v>
      </c>
      <c r="P8443" s="5" t="s">
        <v>52882</v>
      </c>
    </row>
    <row r="8444">
      <c r="A8444" s="4">
        <v>45534.403574641205</v>
      </c>
      <c r="B8444" s="5" t="s">
        <v>34</v>
      </c>
      <c r="D8444" s="5" t="s">
        <v>1692</v>
      </c>
      <c r="E8444" s="5" t="s">
        <v>52905</v>
      </c>
      <c r="F8444" s="5" t="s">
        <v>72</v>
      </c>
      <c r="G8444" s="5" t="s">
        <v>52906</v>
      </c>
      <c r="H8444" s="6" t="s">
        <v>52907</v>
      </c>
      <c r="K8444" s="5" t="s">
        <v>52908</v>
      </c>
      <c r="M8444" s="5" t="s">
        <v>52909</v>
      </c>
      <c r="N8444" s="7" t="s">
        <v>52910</v>
      </c>
      <c r="O8444" s="8" t="str">
        <f>HYPERLINK("https://drive.google.com/file/d/1_sex9KGtmJMNgQzmzVJT_kGt3BeM5nXp/view?usp=drivesdk","8443_Hadija Duwila Amd _ SERTIFIKAT BerAKHLAK")</f>
        <v>8443_Hadija Duwila Amd _ SERTIFIKAT BerAKHLAK</v>
      </c>
      <c r="P8444" s="5" t="s">
        <v>52882</v>
      </c>
    </row>
    <row r="8445">
      <c r="A8445" s="4">
        <v>45534.40363980324</v>
      </c>
      <c r="B8445" s="5" t="s">
        <v>34</v>
      </c>
      <c r="D8445" s="5" t="s">
        <v>14424</v>
      </c>
      <c r="E8445" s="5" t="s">
        <v>52911</v>
      </c>
      <c r="F8445" s="5" t="s">
        <v>72</v>
      </c>
      <c r="G8445" s="5" t="s">
        <v>52912</v>
      </c>
      <c r="H8445" s="6" t="s">
        <v>52913</v>
      </c>
      <c r="K8445" s="5" t="s">
        <v>52914</v>
      </c>
      <c r="M8445" s="5" t="s">
        <v>52915</v>
      </c>
      <c r="N8445" s="7" t="s">
        <v>52916</v>
      </c>
      <c r="O8445" s="8" t="str">
        <f>HYPERLINK("https://drive.google.com/file/d/1AscDMkxOyMyBaFzdcIKa_pTK5JyaJZRt/view?usp=drivesdk","8444_HASBI, A. Md _ SERTIFIKAT BerAKHLAK")</f>
        <v>8444_HASBI, A. Md _ SERTIFIKAT BerAKHLAK</v>
      </c>
      <c r="P8445" s="5" t="s">
        <v>52917</v>
      </c>
    </row>
    <row r="8446">
      <c r="A8446" s="4">
        <v>45534.40365878472</v>
      </c>
      <c r="B8446" s="5" t="s">
        <v>34</v>
      </c>
      <c r="D8446" s="5" t="s">
        <v>4775</v>
      </c>
      <c r="E8446" s="5" t="s">
        <v>52918</v>
      </c>
      <c r="F8446" s="5" t="s">
        <v>72</v>
      </c>
      <c r="G8446" s="5" t="s">
        <v>52919</v>
      </c>
      <c r="H8446" s="6" t="s">
        <v>52920</v>
      </c>
      <c r="K8446" s="5" t="s">
        <v>52921</v>
      </c>
      <c r="M8446" s="5" t="s">
        <v>52922</v>
      </c>
      <c r="N8446" s="7" t="s">
        <v>52923</v>
      </c>
      <c r="O8446" s="8" t="str">
        <f>HYPERLINK("https://drive.google.com/file/d/1_9PiBvu9fz42b3Ad3zRDbtRyBKMYDkk-/view?usp=drivesdk","8445_SUCI WIDYA ASTUTI  _ SERTIFIKAT BerAKHLAK")</f>
        <v>8445_SUCI WIDYA ASTUTI  _ SERTIFIKAT BerAKHLAK</v>
      </c>
      <c r="P8446" s="5" t="s">
        <v>52917</v>
      </c>
    </row>
    <row r="8447">
      <c r="A8447" s="4">
        <v>45534.40368621528</v>
      </c>
      <c r="B8447" s="5" t="s">
        <v>34</v>
      </c>
      <c r="D8447" s="5" t="s">
        <v>15401</v>
      </c>
      <c r="E8447" s="5" t="s">
        <v>52924</v>
      </c>
      <c r="F8447" s="5" t="s">
        <v>72</v>
      </c>
      <c r="G8447" s="5" t="s">
        <v>52925</v>
      </c>
      <c r="H8447" s="6" t="s">
        <v>52926</v>
      </c>
      <c r="K8447" s="5" t="s">
        <v>52921</v>
      </c>
      <c r="M8447" s="5" t="s">
        <v>52927</v>
      </c>
      <c r="N8447" s="7" t="s">
        <v>52928</v>
      </c>
      <c r="O8447" s="8" t="str">
        <f>HYPERLINK("https://drive.google.com/file/d/1WzJa6kUjHQJ3vdiQ5cShG-z3-hf4ipbw/view?usp=drivesdk","8446_NINIT VIVI PARAMITA _ SERTIFIKAT BerAKHLAK")</f>
        <v>8446_NINIT VIVI PARAMITA _ SERTIFIKAT BerAKHLAK</v>
      </c>
      <c r="P8447" s="5" t="s">
        <v>52917</v>
      </c>
    </row>
    <row r="8448">
      <c r="A8448" s="4">
        <v>45534.40371746528</v>
      </c>
      <c r="B8448" s="5" t="s">
        <v>34</v>
      </c>
      <c r="D8448" s="5" t="s">
        <v>996</v>
      </c>
      <c r="E8448" s="7" t="s">
        <v>52929</v>
      </c>
      <c r="F8448" s="5" t="s">
        <v>72</v>
      </c>
      <c r="G8448" s="5" t="s">
        <v>16126</v>
      </c>
      <c r="H8448" s="6" t="s">
        <v>52930</v>
      </c>
      <c r="K8448" s="5" t="s">
        <v>52931</v>
      </c>
      <c r="M8448" s="5" t="s">
        <v>52932</v>
      </c>
      <c r="N8448" s="7" t="s">
        <v>52933</v>
      </c>
      <c r="O8448" s="8" t="str">
        <f>HYPERLINK("https://drive.google.com/file/d/1vuoqr58FfKuBoN8n9Zy70ggY9xDiqU_V/view?usp=drivesdk","8447_HERAWATI.SM _ SERTIFIKAT BerAKHLAK")</f>
        <v>8447_HERAWATI.SM _ SERTIFIKAT BerAKHLAK</v>
      </c>
      <c r="P8448" s="5" t="s">
        <v>52917</v>
      </c>
    </row>
    <row r="8449">
      <c r="A8449" s="4">
        <v>45534.40374974537</v>
      </c>
      <c r="B8449" s="5" t="s">
        <v>34</v>
      </c>
      <c r="D8449" s="5" t="s">
        <v>10444</v>
      </c>
      <c r="E8449" s="5" t="s">
        <v>24488</v>
      </c>
      <c r="F8449" s="5" t="s">
        <v>108</v>
      </c>
      <c r="G8449" s="5" t="s">
        <v>52934</v>
      </c>
      <c r="H8449" s="6" t="s">
        <v>52935</v>
      </c>
      <c r="K8449" s="5" t="s">
        <v>52931</v>
      </c>
      <c r="M8449" s="5" t="s">
        <v>52936</v>
      </c>
      <c r="N8449" s="7" t="s">
        <v>52937</v>
      </c>
      <c r="O8449" s="8" t="str">
        <f>HYPERLINK("https://drive.google.com/file/d/1i24r0gHRALqZzFFH-ZYE8VLNop82FkV2/view?usp=drivesdk","8448_SURYANI _ SERTIFIKAT BerAKHLAK")</f>
        <v>8448_SURYANI _ SERTIFIKAT BerAKHLAK</v>
      </c>
      <c r="P8449" s="5" t="s">
        <v>52917</v>
      </c>
    </row>
    <row r="8450">
      <c r="A8450" s="4">
        <v>45534.403818506944</v>
      </c>
      <c r="B8450" s="5" t="s">
        <v>34</v>
      </c>
      <c r="D8450" s="5" t="s">
        <v>14424</v>
      </c>
      <c r="E8450" s="5" t="s">
        <v>52938</v>
      </c>
      <c r="F8450" s="5" t="s">
        <v>37</v>
      </c>
      <c r="G8450" s="5" t="s">
        <v>52939</v>
      </c>
      <c r="H8450" s="6" t="s">
        <v>52940</v>
      </c>
      <c r="K8450" s="5" t="s">
        <v>52941</v>
      </c>
      <c r="M8450" s="5" t="s">
        <v>52942</v>
      </c>
      <c r="N8450" s="7" t="s">
        <v>52943</v>
      </c>
      <c r="O8450" s="8" t="str">
        <f>HYPERLINK("https://drive.google.com/file/d/1TJVLle1CpHI6aq4H1V3Homxpbj-e0iLo/view?usp=drivesdk","8449_TRI OKTIGUSTINA, A.Md.Kep _ SERTIFIKAT BerAKHLAK")</f>
        <v>8449_TRI OKTIGUSTINA, A.Md.Kep _ SERTIFIKAT BerAKHLAK</v>
      </c>
      <c r="P8450" s="5" t="s">
        <v>52944</v>
      </c>
    </row>
    <row r="8451" hidden="1">
      <c r="A8451" s="4">
        <v>45534.40386395833</v>
      </c>
      <c r="B8451" s="5" t="s">
        <v>19</v>
      </c>
      <c r="C8451" s="5" t="s">
        <v>292</v>
      </c>
      <c r="E8451" s="5" t="s">
        <v>52945</v>
      </c>
      <c r="F8451" s="5" t="s">
        <v>212</v>
      </c>
      <c r="G8451" s="5" t="s">
        <v>52946</v>
      </c>
      <c r="H8451" s="6" t="s">
        <v>52947</v>
      </c>
      <c r="K8451" s="5" t="s">
        <v>52948</v>
      </c>
      <c r="M8451" s="5" t="s">
        <v>52949</v>
      </c>
      <c r="N8451" s="7" t="s">
        <v>52950</v>
      </c>
      <c r="O8451" s="8" t="str">
        <f>HYPERLINK("https://drive.google.com/file/d/1zsmM1BP2ypNzsTEJQ1ywehFN9Gbg696p/view?usp=drivesdk","8450_RATIH PARLINA, SM _ SERTIFIKAT BerAKHLAK")</f>
        <v>8450_RATIH PARLINA, SM _ SERTIFIKAT BerAKHLAK</v>
      </c>
      <c r="P8451" s="5" t="s">
        <v>52944</v>
      </c>
    </row>
    <row r="8452">
      <c r="A8452" s="4">
        <v>45534.40391090278</v>
      </c>
      <c r="B8452" s="5" t="s">
        <v>34</v>
      </c>
      <c r="D8452" s="5" t="s">
        <v>9020</v>
      </c>
      <c r="E8452" s="5" t="s">
        <v>52951</v>
      </c>
      <c r="F8452" s="5" t="s">
        <v>524</v>
      </c>
      <c r="G8452" s="5" t="s">
        <v>28452</v>
      </c>
      <c r="H8452" s="6" t="s">
        <v>52952</v>
      </c>
      <c r="K8452" s="5" t="s">
        <v>52953</v>
      </c>
      <c r="M8452" s="5" t="s">
        <v>52954</v>
      </c>
      <c r="N8452" s="7" t="s">
        <v>52955</v>
      </c>
      <c r="O8452" s="8" t="str">
        <f>HYPERLINK("https://drive.google.com/file/d/132Mgtqy4BQXPHHUzWUlTPwQORRUMlFJ1/view?usp=drivesdk","8451_ELFRIDA SIJABAT, SKM _ SERTIFIKAT BerAKHLAK")</f>
        <v>8451_ELFRIDA SIJABAT, SKM _ SERTIFIKAT BerAKHLAK</v>
      </c>
      <c r="P8452" s="5" t="s">
        <v>52944</v>
      </c>
    </row>
    <row r="8453">
      <c r="A8453" s="4">
        <v>45534.40392864583</v>
      </c>
      <c r="B8453" s="5" t="s">
        <v>34</v>
      </c>
      <c r="D8453" s="5" t="s">
        <v>267</v>
      </c>
      <c r="E8453" s="5" t="s">
        <v>52956</v>
      </c>
      <c r="F8453" s="5" t="s">
        <v>375</v>
      </c>
      <c r="G8453" s="5" t="s">
        <v>52957</v>
      </c>
      <c r="H8453" s="6" t="s">
        <v>52958</v>
      </c>
      <c r="K8453" s="5" t="s">
        <v>52953</v>
      </c>
      <c r="M8453" s="5" t="s">
        <v>52959</v>
      </c>
      <c r="N8453" s="7" t="s">
        <v>52960</v>
      </c>
      <c r="O8453" s="8" t="str">
        <f>HYPERLINK("https://drive.google.com/file/d/1lK94ZJf1G4dtiWCO-FcJZE5ERYRTgPbk/view?usp=drivesdk","8452_HENY WIJAYANTI S.E _ SERTIFIKAT BerAKHLAK")</f>
        <v>8452_HENY WIJAYANTI S.E _ SERTIFIKAT BerAKHLAK</v>
      </c>
      <c r="P8453" s="5" t="s">
        <v>52944</v>
      </c>
    </row>
    <row r="8454">
      <c r="A8454" s="4">
        <v>45534.403951354165</v>
      </c>
      <c r="B8454" s="5" t="s">
        <v>34</v>
      </c>
      <c r="D8454" s="5" t="s">
        <v>14313</v>
      </c>
      <c r="E8454" s="5" t="s">
        <v>52961</v>
      </c>
      <c r="F8454" s="5" t="s">
        <v>212</v>
      </c>
      <c r="G8454" s="5" t="s">
        <v>52962</v>
      </c>
      <c r="H8454" s="6" t="s">
        <v>52963</v>
      </c>
      <c r="K8454" s="5" t="s">
        <v>52953</v>
      </c>
      <c r="M8454" s="5" t="s">
        <v>52964</v>
      </c>
      <c r="N8454" s="7" t="s">
        <v>52965</v>
      </c>
      <c r="O8454" s="8" t="str">
        <f>HYPERLINK("https://drive.google.com/file/d/1WxKZKQmv1-jnuERHq3JU_PZCRM2-eiFX/view?usp=drivesdk","8453_MAPPIARE _ SERTIFIKAT BerAKHLAK")</f>
        <v>8453_MAPPIARE _ SERTIFIKAT BerAKHLAK</v>
      </c>
      <c r="P8454" s="5" t="s">
        <v>52966</v>
      </c>
    </row>
    <row r="8455">
      <c r="A8455" s="4">
        <v>45534.40397122686</v>
      </c>
      <c r="B8455" s="5" t="s">
        <v>34</v>
      </c>
      <c r="D8455" s="5" t="s">
        <v>35</v>
      </c>
      <c r="E8455" s="5" t="s">
        <v>52967</v>
      </c>
      <c r="F8455" s="5" t="s">
        <v>37</v>
      </c>
      <c r="G8455" s="5" t="s">
        <v>52968</v>
      </c>
      <c r="H8455" s="6" t="s">
        <v>52969</v>
      </c>
      <c r="K8455" s="5" t="s">
        <v>52953</v>
      </c>
      <c r="M8455" s="5" t="s">
        <v>52970</v>
      </c>
      <c r="N8455" s="7" t="s">
        <v>52971</v>
      </c>
      <c r="O8455" s="8" t="str">
        <f>HYPERLINK("https://drive.google.com/file/d/1JyaecfbzOvYea8-7M0qsFZJXXVqWOGCg/view?usp=drivesdk","8454_RUSLI MARKUS _ SERTIFIKAT BerAKHLAK")</f>
        <v>8454_RUSLI MARKUS _ SERTIFIKAT BerAKHLAK</v>
      </c>
      <c r="P8455" s="5" t="s">
        <v>52966</v>
      </c>
    </row>
    <row r="8456">
      <c r="A8456" s="4">
        <v>45534.40400200231</v>
      </c>
      <c r="B8456" s="5" t="s">
        <v>34</v>
      </c>
      <c r="D8456" s="5" t="s">
        <v>4775</v>
      </c>
      <c r="E8456" s="5" t="s">
        <v>52972</v>
      </c>
      <c r="F8456" s="5" t="s">
        <v>375</v>
      </c>
      <c r="G8456" s="5" t="s">
        <v>52973</v>
      </c>
      <c r="H8456" s="6" t="s">
        <v>52974</v>
      </c>
      <c r="K8456" s="5" t="s">
        <v>52953</v>
      </c>
      <c r="M8456" s="5" t="s">
        <v>52975</v>
      </c>
      <c r="N8456" s="7" t="s">
        <v>52976</v>
      </c>
      <c r="O8456" s="8" t="str">
        <f>HYPERLINK("https://drive.google.com/file/d/18wmGtId0ZT1-gh97RsgsQ0xElgPGBwCL/view?usp=drivesdk","8455_HARIS WIYOKO, S.Kom _ SERTIFIKAT BerAKHLAK")</f>
        <v>8455_HARIS WIYOKO, S.Kom _ SERTIFIKAT BerAKHLAK</v>
      </c>
      <c r="P8456" s="5" t="s">
        <v>52977</v>
      </c>
    </row>
    <row r="8457">
      <c r="A8457" s="4">
        <v>45534.404003310185</v>
      </c>
      <c r="B8457" s="5" t="s">
        <v>34</v>
      </c>
      <c r="D8457" s="5" t="s">
        <v>522</v>
      </c>
      <c r="E8457" s="5" t="s">
        <v>52978</v>
      </c>
      <c r="F8457" s="5" t="s">
        <v>37</v>
      </c>
      <c r="G8457" s="5" t="s">
        <v>52979</v>
      </c>
      <c r="H8457" s="6" t="s">
        <v>52980</v>
      </c>
      <c r="K8457" s="5" t="s">
        <v>52953</v>
      </c>
      <c r="M8457" s="5" t="s">
        <v>52981</v>
      </c>
      <c r="N8457" s="7" t="s">
        <v>52982</v>
      </c>
      <c r="O8457" s="8" t="str">
        <f>HYPERLINK("https://drive.google.com/file/d/1ypvnp7gKwdXn3MO7mVwUcgnMG5LnYYog/view?usp=drivesdk","8456_LENI PUSPAWATI _ SERTIFIKAT BerAKHLAK")</f>
        <v>8456_LENI PUSPAWATI _ SERTIFIKAT BerAKHLAK</v>
      </c>
      <c r="P8457" s="5" t="s">
        <v>49700</v>
      </c>
    </row>
    <row r="8458">
      <c r="A8458" s="4">
        <v>45534.404022187504</v>
      </c>
      <c r="B8458" s="5" t="s">
        <v>34</v>
      </c>
      <c r="D8458" s="5" t="s">
        <v>1558</v>
      </c>
      <c r="E8458" s="5" t="s">
        <v>52983</v>
      </c>
      <c r="F8458" s="5" t="s">
        <v>5859</v>
      </c>
      <c r="G8458" s="5" t="s">
        <v>52984</v>
      </c>
      <c r="H8458" s="6" t="s">
        <v>52985</v>
      </c>
      <c r="K8458" s="5" t="s">
        <v>52953</v>
      </c>
      <c r="M8458" s="5" t="s">
        <v>52986</v>
      </c>
      <c r="N8458" s="7" t="s">
        <v>52987</v>
      </c>
      <c r="O8458" s="8" t="str">
        <f>HYPERLINK("https://drive.google.com/file/d/12S9v_nQLYptA-Ma7NgOkE4nLZ0e2S5dG/view?usp=drivesdk","8457_MUHAMAD SUDIRMAN _ SERTIFIKAT BerAKHLAK")</f>
        <v>8457_MUHAMAD SUDIRMAN _ SERTIFIKAT BerAKHLAK</v>
      </c>
      <c r="P8458" s="5" t="s">
        <v>49700</v>
      </c>
    </row>
    <row r="8459">
      <c r="A8459" s="4">
        <v>45534.40411402778</v>
      </c>
      <c r="B8459" s="5" t="s">
        <v>34</v>
      </c>
      <c r="D8459" s="5" t="s">
        <v>4775</v>
      </c>
      <c r="E8459" s="5" t="s">
        <v>43726</v>
      </c>
      <c r="F8459" s="5" t="s">
        <v>212</v>
      </c>
      <c r="G8459" s="5" t="s">
        <v>52988</v>
      </c>
      <c r="H8459" s="6" t="s">
        <v>52989</v>
      </c>
      <c r="K8459" s="5" t="s">
        <v>52990</v>
      </c>
      <c r="M8459" s="5" t="s">
        <v>52991</v>
      </c>
      <c r="N8459" s="7" t="s">
        <v>52992</v>
      </c>
      <c r="O8459" s="8" t="str">
        <f>HYPERLINK("https://drive.google.com/file/d/1uXk3G8psb06AYA_wfr-IQBWYjJlOgXl8/view?usp=drivesdk","8458_BASUKI _ SERTIFIKAT BerAKHLAK")</f>
        <v>8458_BASUKI _ SERTIFIKAT BerAKHLAK</v>
      </c>
      <c r="P8459" s="5" t="s">
        <v>49722</v>
      </c>
    </row>
    <row r="8460">
      <c r="A8460" s="4">
        <v>45534.404121377316</v>
      </c>
      <c r="B8460" s="5" t="s">
        <v>34</v>
      </c>
      <c r="D8460" s="5" t="s">
        <v>14313</v>
      </c>
      <c r="E8460" s="5" t="s">
        <v>52993</v>
      </c>
      <c r="F8460" s="5" t="s">
        <v>212</v>
      </c>
      <c r="G8460" s="5" t="s">
        <v>52994</v>
      </c>
      <c r="H8460" s="6" t="s">
        <v>52995</v>
      </c>
      <c r="K8460" s="5" t="s">
        <v>52990</v>
      </c>
      <c r="M8460" s="5" t="s">
        <v>52996</v>
      </c>
      <c r="N8460" s="7" t="s">
        <v>52997</v>
      </c>
      <c r="O8460" s="8" t="str">
        <f>HYPERLINK("https://drive.google.com/file/d/1A1xpOHBTFcHKtnyjHIFV61QdChYZjlmh/view?usp=drivesdk","8459_SYAHRI BULAN. W _ SERTIFIKAT BerAKHLAK")</f>
        <v>8459_SYAHRI BULAN. W _ SERTIFIKAT BerAKHLAK</v>
      </c>
      <c r="P8460" s="5" t="s">
        <v>49722</v>
      </c>
    </row>
    <row r="8461">
      <c r="A8461" s="4">
        <v>45534.40420394676</v>
      </c>
      <c r="B8461" s="5" t="s">
        <v>34</v>
      </c>
      <c r="D8461" s="5" t="s">
        <v>9020</v>
      </c>
      <c r="E8461" s="5" t="s">
        <v>52998</v>
      </c>
      <c r="F8461" s="5" t="s">
        <v>37</v>
      </c>
      <c r="G8461" s="5" t="s">
        <v>52999</v>
      </c>
      <c r="H8461" s="6" t="s">
        <v>53000</v>
      </c>
      <c r="K8461" s="5" t="s">
        <v>53001</v>
      </c>
      <c r="M8461" s="5" t="s">
        <v>53002</v>
      </c>
      <c r="N8461" s="7" t="s">
        <v>53003</v>
      </c>
      <c r="O8461" s="8" t="str">
        <f>HYPERLINK("https://drive.google.com/file/d/1AO-9eAHnoL39FEdyzTTF7GXVzNYcvHiW/view?usp=drivesdk","8460_SAULINA HUTASOIT SKM _ SERTIFIKAT BerAKHLAK")</f>
        <v>8460_SAULINA HUTASOIT SKM _ SERTIFIKAT BerAKHLAK</v>
      </c>
      <c r="P8461" s="5" t="s">
        <v>49722</v>
      </c>
    </row>
    <row r="8462">
      <c r="A8462" s="4">
        <v>45534.40424675926</v>
      </c>
      <c r="B8462" s="5" t="s">
        <v>34</v>
      </c>
      <c r="D8462" s="5" t="s">
        <v>701</v>
      </c>
      <c r="E8462" s="5" t="s">
        <v>53004</v>
      </c>
      <c r="F8462" s="5" t="s">
        <v>212</v>
      </c>
      <c r="G8462" s="5" t="s">
        <v>53005</v>
      </c>
      <c r="H8462" s="6" t="s">
        <v>53006</v>
      </c>
      <c r="K8462" s="5" t="s">
        <v>53001</v>
      </c>
      <c r="M8462" s="5" t="s">
        <v>53007</v>
      </c>
      <c r="N8462" s="7" t="s">
        <v>53008</v>
      </c>
      <c r="O8462" s="8" t="str">
        <f>HYPERLINK("https://drive.google.com/file/d/1J-GinPgWnlx9VQ6AaFSVU8smnEQXXQtY/view?usp=drivesdk","8461_FADLAN _ SERTIFIKAT BerAKHLAK")</f>
        <v>8461_FADLAN _ SERTIFIKAT BerAKHLAK</v>
      </c>
      <c r="P8462" s="5" t="s">
        <v>49722</v>
      </c>
    </row>
    <row r="8463" hidden="1">
      <c r="A8463" s="4">
        <v>45534.40426876157</v>
      </c>
      <c r="B8463" s="5" t="s">
        <v>19</v>
      </c>
      <c r="C8463" s="5" t="s">
        <v>292</v>
      </c>
      <c r="E8463" s="5" t="s">
        <v>53009</v>
      </c>
      <c r="F8463" s="5" t="s">
        <v>22</v>
      </c>
      <c r="G8463" s="5" t="s">
        <v>53010</v>
      </c>
      <c r="H8463" s="6" t="s">
        <v>53011</v>
      </c>
      <c r="K8463" s="5" t="s">
        <v>53001</v>
      </c>
      <c r="M8463" s="5" t="s">
        <v>53012</v>
      </c>
      <c r="N8463" s="7" t="s">
        <v>53013</v>
      </c>
      <c r="O8463" s="8" t="str">
        <f>HYPERLINK("https://drive.google.com/file/d/1vKwVw_McnI8eRs15pmUuBSKq1YvliWtA/view?usp=drivesdk","8462_Shantie Srie Widowatie, S.S., M.Hum., M.Lit. _ SERTIFIKAT BerAKHLAK")</f>
        <v>8462_Shantie Srie Widowatie, S.S., M.Hum., M.Lit. _ SERTIFIKAT BerAKHLAK</v>
      </c>
      <c r="P8463" s="5" t="s">
        <v>49722</v>
      </c>
    </row>
    <row r="8464" hidden="1">
      <c r="A8464" s="4">
        <v>45534.40428376157</v>
      </c>
      <c r="B8464" s="5" t="s">
        <v>19</v>
      </c>
      <c r="C8464" s="5" t="s">
        <v>11593</v>
      </c>
      <c r="E8464" s="5" t="s">
        <v>53014</v>
      </c>
      <c r="F8464" s="5" t="s">
        <v>120</v>
      </c>
      <c r="G8464" s="5" t="s">
        <v>53015</v>
      </c>
      <c r="H8464" s="6" t="s">
        <v>53016</v>
      </c>
      <c r="K8464" s="5" t="s">
        <v>53001</v>
      </c>
      <c r="M8464" s="5" t="s">
        <v>53017</v>
      </c>
      <c r="N8464" s="7" t="s">
        <v>53018</v>
      </c>
      <c r="O8464" s="8" t="str">
        <f>HYPERLINK("https://drive.google.com/file/d/1AuO7mfig5TGIILC8oC2H19em4RVA7MoF/view?usp=drivesdk","8463_drg. NURUL NUFITRIJANI SUKARJA _ SERTIFIKAT BerAKHLAK")</f>
        <v>8463_drg. NURUL NUFITRIJANI SUKARJA _ SERTIFIKAT BerAKHLAK</v>
      </c>
      <c r="P8464" s="5" t="s">
        <v>49754</v>
      </c>
    </row>
    <row r="8465">
      <c r="A8465" s="4">
        <v>45534.404389918986</v>
      </c>
      <c r="B8465" s="5" t="s">
        <v>34</v>
      </c>
      <c r="D8465" s="5" t="s">
        <v>35</v>
      </c>
      <c r="E8465" s="5" t="s">
        <v>53019</v>
      </c>
      <c r="F8465" s="5" t="s">
        <v>37</v>
      </c>
      <c r="G8465" s="5" t="s">
        <v>53020</v>
      </c>
      <c r="H8465" s="6" t="s">
        <v>53021</v>
      </c>
      <c r="K8465" s="5" t="s">
        <v>53001</v>
      </c>
      <c r="M8465" s="5" t="s">
        <v>53022</v>
      </c>
      <c r="N8465" s="7" t="s">
        <v>53023</v>
      </c>
      <c r="O8465" s="8" t="str">
        <f>HYPERLINK("https://drive.google.com/file/d/17Nh3NSFLDDf3hjSTum0Yd_iWg5ddNoyJ/view?usp=drivesdk","8464_HAMIDAH NUR AJIZAH, A. Md. Rad _ SERTIFIKAT BerAKHLAK")</f>
        <v>8464_HAMIDAH NUR AJIZAH, A. Md. Rad _ SERTIFIKAT BerAKHLAK</v>
      </c>
      <c r="P8465" s="5" t="s">
        <v>49754</v>
      </c>
    </row>
    <row r="8466">
      <c r="A8466" s="4">
        <v>45534.40439144676</v>
      </c>
      <c r="B8466" s="5" t="s">
        <v>34</v>
      </c>
      <c r="D8466" s="5" t="s">
        <v>1206</v>
      </c>
      <c r="E8466" s="5" t="s">
        <v>53024</v>
      </c>
      <c r="F8466" s="5" t="s">
        <v>108</v>
      </c>
      <c r="G8466" s="5" t="s">
        <v>53025</v>
      </c>
      <c r="H8466" s="6" t="s">
        <v>53026</v>
      </c>
      <c r="K8466" s="5" t="s">
        <v>53001</v>
      </c>
      <c r="M8466" s="5" t="s">
        <v>53027</v>
      </c>
      <c r="N8466" s="7" t="s">
        <v>53028</v>
      </c>
      <c r="O8466" s="8" t="str">
        <f>HYPERLINK("https://drive.google.com/file/d/11kOCYaEwqfvVKlQDJ3N6wm4AhQux4Fze/view?usp=drivesdk","8465_SUBAIDA _ SERTIFIKAT BerAKHLAK")</f>
        <v>8465_SUBAIDA _ SERTIFIKAT BerAKHLAK</v>
      </c>
      <c r="P8466" s="5" t="s">
        <v>49754</v>
      </c>
    </row>
    <row r="8467" hidden="1">
      <c r="A8467" s="4">
        <v>45534.40445664352</v>
      </c>
      <c r="B8467" s="5" t="s">
        <v>19</v>
      </c>
      <c r="C8467" s="5" t="s">
        <v>292</v>
      </c>
      <c r="E8467" s="5" t="s">
        <v>53029</v>
      </c>
      <c r="F8467" s="5" t="s">
        <v>524</v>
      </c>
      <c r="G8467" s="5" t="s">
        <v>53030</v>
      </c>
      <c r="H8467" s="6" t="s">
        <v>53031</v>
      </c>
      <c r="K8467" s="5" t="s">
        <v>53001</v>
      </c>
      <c r="M8467" s="5" t="s">
        <v>53032</v>
      </c>
      <c r="N8467" s="7" t="s">
        <v>53033</v>
      </c>
      <c r="O8467" s="8" t="str">
        <f>HYPERLINK("https://drive.google.com/file/d/1cjZ1HynPZOd3g9jYdCLHw3inAcj9V4ZF/view?usp=drivesdk","8466_Nur Badrul Zaman  _ SERTIFIKAT BerAKHLAK")</f>
        <v>8466_Nur Badrul Zaman  _ SERTIFIKAT BerAKHLAK</v>
      </c>
      <c r="P8467" s="5" t="s">
        <v>49754</v>
      </c>
    </row>
    <row r="8468">
      <c r="A8468" s="4">
        <v>45534.404459513884</v>
      </c>
      <c r="B8468" s="5" t="s">
        <v>34</v>
      </c>
      <c r="D8468" s="5" t="s">
        <v>35</v>
      </c>
      <c r="E8468" s="5" t="s">
        <v>53034</v>
      </c>
      <c r="F8468" s="5" t="s">
        <v>375</v>
      </c>
      <c r="G8468" s="5" t="s">
        <v>53035</v>
      </c>
      <c r="H8468" s="6" t="s">
        <v>53036</v>
      </c>
      <c r="K8468" s="5" t="s">
        <v>53001</v>
      </c>
      <c r="M8468" s="5" t="s">
        <v>53037</v>
      </c>
      <c r="N8468" s="7" t="s">
        <v>53038</v>
      </c>
      <c r="O8468" s="8" t="str">
        <f>HYPERLINK("https://drive.google.com/file/d/1Q4hz8QQivzJ7p2bKtWyFGVxnT8hdIxHG/view?usp=drivesdk","8467_Apt. TITIN NURHAYATI, SFarm _ SERTIFIKAT BerAKHLAK")</f>
        <v>8467_Apt. TITIN NURHAYATI, SFarm _ SERTIFIKAT BerAKHLAK</v>
      </c>
      <c r="P8468" s="5" t="s">
        <v>49776</v>
      </c>
    </row>
    <row r="8469">
      <c r="A8469" s="4">
        <v>45534.40445795139</v>
      </c>
      <c r="B8469" s="5" t="s">
        <v>34</v>
      </c>
      <c r="D8469" s="5" t="s">
        <v>267</v>
      </c>
      <c r="E8469" s="5" t="s">
        <v>53039</v>
      </c>
      <c r="F8469" s="5" t="s">
        <v>37</v>
      </c>
      <c r="G8469" s="5" t="s">
        <v>53040</v>
      </c>
      <c r="H8469" s="6" t="s">
        <v>53041</v>
      </c>
      <c r="K8469" s="5" t="s">
        <v>53001</v>
      </c>
      <c r="M8469" s="5" t="s">
        <v>53042</v>
      </c>
      <c r="N8469" s="7" t="s">
        <v>53043</v>
      </c>
      <c r="O8469" s="8" t="str">
        <f>HYPERLINK("https://drive.google.com/file/d/1onbmi1IzZDeLBhBrDObE-2-dCqIUI4N9/view?usp=drivesdk","8468_UNTUNG PRIYONO _ SERTIFIKAT BerAKHLAK")</f>
        <v>8468_UNTUNG PRIYONO _ SERTIFIKAT BerAKHLAK</v>
      </c>
      <c r="P8469" s="5" t="s">
        <v>49776</v>
      </c>
    </row>
    <row r="8470">
      <c r="A8470" s="4">
        <v>45534.40448431713</v>
      </c>
      <c r="B8470" s="5" t="s">
        <v>34</v>
      </c>
      <c r="D8470" s="5" t="s">
        <v>9020</v>
      </c>
      <c r="E8470" s="5" t="s">
        <v>53044</v>
      </c>
      <c r="F8470" s="5" t="s">
        <v>212</v>
      </c>
      <c r="G8470" s="5" t="s">
        <v>53045</v>
      </c>
      <c r="H8470" s="6" t="s">
        <v>53046</v>
      </c>
      <c r="K8470" s="5" t="s">
        <v>53001</v>
      </c>
      <c r="M8470" s="5" t="s">
        <v>53047</v>
      </c>
      <c r="N8470" s="7" t="s">
        <v>53048</v>
      </c>
      <c r="O8470" s="8" t="str">
        <f>HYPERLINK("https://drive.google.com/file/d/1keWFaY2_vrbVY_vRKWvmPpV0CIKj8PCV/view?usp=drivesdk","8469_MARDIATI _ SERTIFIKAT BerAKHLAK")</f>
        <v>8469_MARDIATI _ SERTIFIKAT BerAKHLAK</v>
      </c>
      <c r="P8470" s="5" t="s">
        <v>49776</v>
      </c>
    </row>
    <row r="8471" hidden="1">
      <c r="A8471" s="4">
        <v>45534.404498194446</v>
      </c>
      <c r="B8471" s="5" t="s">
        <v>19</v>
      </c>
      <c r="C8471" s="5" t="s">
        <v>3471</v>
      </c>
      <c r="E8471" s="5" t="s">
        <v>53049</v>
      </c>
      <c r="F8471" s="5" t="s">
        <v>108</v>
      </c>
      <c r="G8471" s="5" t="s">
        <v>53050</v>
      </c>
      <c r="H8471" s="6" t="s">
        <v>53051</v>
      </c>
      <c r="K8471" s="5" t="s">
        <v>53052</v>
      </c>
      <c r="M8471" s="5" t="s">
        <v>53053</v>
      </c>
      <c r="N8471" s="7" t="s">
        <v>53054</v>
      </c>
      <c r="O8471" s="8" t="str">
        <f>HYPERLINK("https://drive.google.com/file/d/1an2u7MKZCOB6M-xDBKjRegV3uUvCjSaL/view?usp=drivesdk","8470_AGUS WIDODO _ SERTIFIKAT BerAKHLAK")</f>
        <v>8470_AGUS WIDODO _ SERTIFIKAT BerAKHLAK</v>
      </c>
      <c r="P8471" s="5" t="s">
        <v>49776</v>
      </c>
    </row>
    <row r="8472">
      <c r="A8472" s="4">
        <v>45534.404550520834</v>
      </c>
      <c r="B8472" s="5" t="s">
        <v>34</v>
      </c>
      <c r="D8472" s="5" t="s">
        <v>9020</v>
      </c>
      <c r="E8472" s="5" t="s">
        <v>53055</v>
      </c>
      <c r="F8472" s="5" t="s">
        <v>108</v>
      </c>
      <c r="G8472" s="5" t="s">
        <v>53056</v>
      </c>
      <c r="H8472" s="6" t="s">
        <v>53057</v>
      </c>
      <c r="K8472" s="5" t="s">
        <v>53058</v>
      </c>
      <c r="M8472" s="5" t="s">
        <v>53059</v>
      </c>
      <c r="N8472" s="7" t="s">
        <v>53060</v>
      </c>
      <c r="O8472" s="8" t="str">
        <f>HYPERLINK("https://drive.google.com/file/d/1LGDEqMGun528TysP96wuAjfzQQApoDP3/view?usp=drivesdk","8471_SUKANDI DAMANIK, A.Md _ SERTIFIKAT BerAKHLAK")</f>
        <v>8471_SUKANDI DAMANIK, A.Md _ SERTIFIKAT BerAKHLAK</v>
      </c>
      <c r="P8472" s="5" t="s">
        <v>49776</v>
      </c>
    </row>
    <row r="8473">
      <c r="A8473" s="4">
        <v>45534.404564386576</v>
      </c>
      <c r="B8473" s="5" t="s">
        <v>34</v>
      </c>
      <c r="D8473" s="5" t="s">
        <v>1206</v>
      </c>
      <c r="E8473" s="5" t="s">
        <v>53061</v>
      </c>
      <c r="F8473" s="5" t="s">
        <v>328</v>
      </c>
      <c r="G8473" s="5" t="s">
        <v>53062</v>
      </c>
      <c r="H8473" s="6" t="s">
        <v>53063</v>
      </c>
      <c r="K8473" s="5" t="s">
        <v>53064</v>
      </c>
      <c r="M8473" s="5" t="s">
        <v>53065</v>
      </c>
      <c r="N8473" s="7" t="s">
        <v>53066</v>
      </c>
      <c r="O8473" s="8" t="str">
        <f>HYPERLINK("https://drive.google.com/file/d/1nOz8Mz5iKnTs1oqe7Dzd1CGOFzjJ5OoZ/view?usp=drivesdk","8472_AGUS MULYONO ABI _ SERTIFIKAT BerAKHLAK")</f>
        <v>8472_AGUS MULYONO ABI _ SERTIFIKAT BerAKHLAK</v>
      </c>
      <c r="P8473" s="5" t="s">
        <v>50331</v>
      </c>
    </row>
    <row r="8474">
      <c r="A8474" s="4">
        <v>45534.404638865744</v>
      </c>
      <c r="B8474" s="5" t="s">
        <v>34</v>
      </c>
      <c r="D8474" s="5" t="s">
        <v>1558</v>
      </c>
      <c r="E8474" s="5" t="s">
        <v>53067</v>
      </c>
      <c r="F8474" s="5" t="s">
        <v>72</v>
      </c>
      <c r="G8474" s="5" t="s">
        <v>53068</v>
      </c>
      <c r="H8474" s="6" t="s">
        <v>53069</v>
      </c>
      <c r="K8474" s="5" t="s">
        <v>53070</v>
      </c>
      <c r="M8474" s="5" t="s">
        <v>53071</v>
      </c>
      <c r="N8474" s="7" t="s">
        <v>53072</v>
      </c>
      <c r="O8474" s="8" t="str">
        <f>HYPERLINK("https://drive.google.com/file/d/1VPEzw2RsZHp3YZCCBHsOVj07AMsVzKEo/view?usp=drivesdk","8473_GATOT SISWADI _ SERTIFIKAT BerAKHLAK")</f>
        <v>8473_GATOT SISWADI _ SERTIFIKAT BerAKHLAK</v>
      </c>
      <c r="P8474" s="5" t="s">
        <v>50331</v>
      </c>
    </row>
    <row r="8475">
      <c r="A8475" s="4">
        <v>45534.404648483796</v>
      </c>
      <c r="B8475" s="5" t="s">
        <v>34</v>
      </c>
      <c r="D8475" s="5" t="s">
        <v>12978</v>
      </c>
      <c r="E8475" s="5" t="s">
        <v>53073</v>
      </c>
      <c r="F8475" s="5" t="s">
        <v>715</v>
      </c>
      <c r="G8475" s="5" t="s">
        <v>53074</v>
      </c>
      <c r="H8475" s="6" t="s">
        <v>53075</v>
      </c>
      <c r="K8475" s="5" t="s">
        <v>53070</v>
      </c>
      <c r="M8475" s="5" t="s">
        <v>53076</v>
      </c>
      <c r="N8475" s="7" t="s">
        <v>53077</v>
      </c>
      <c r="O8475" s="8" t="str">
        <f>HYPERLINK("https://drive.google.com/file/d/1Wpe6Hk1zepw_bDzffrLxVdxDiGq_iWFL/view?usp=drivesdk","8474_PORTEN WERESTY _ SERTIFIKAT BerAKHLAK")</f>
        <v>8474_PORTEN WERESTY _ SERTIFIKAT BerAKHLAK</v>
      </c>
      <c r="P8475" s="5" t="s">
        <v>50331</v>
      </c>
    </row>
    <row r="8476">
      <c r="A8476" s="4">
        <v>45534.40464877315</v>
      </c>
      <c r="B8476" s="5" t="s">
        <v>34</v>
      </c>
      <c r="D8476" s="5" t="s">
        <v>14313</v>
      </c>
      <c r="E8476" s="5" t="s">
        <v>53078</v>
      </c>
      <c r="F8476" s="5" t="s">
        <v>375</v>
      </c>
      <c r="G8476" s="5" t="s">
        <v>53079</v>
      </c>
      <c r="H8476" s="6" t="s">
        <v>53080</v>
      </c>
      <c r="K8476" s="5" t="s">
        <v>53070</v>
      </c>
      <c r="M8476" s="5" t="s">
        <v>53081</v>
      </c>
      <c r="N8476" s="7" t="s">
        <v>53082</v>
      </c>
      <c r="O8476" s="8" t="str">
        <f>HYPERLINK("https://drive.google.com/file/d/1oS_cUq8Z6w2L9Jya_sypb_9U0WALe_YG/view?usp=drivesdk","8475_RISNAWATI LARODDING _ SERTIFIKAT BerAKHLAK")</f>
        <v>8475_RISNAWATI LARODDING _ SERTIFIKAT BerAKHLAK</v>
      </c>
      <c r="P8476" s="5" t="s">
        <v>50331</v>
      </c>
    </row>
    <row r="8477" hidden="1">
      <c r="A8477" s="4">
        <v>45534.40467076389</v>
      </c>
      <c r="B8477" s="5" t="s">
        <v>19</v>
      </c>
      <c r="C8477" s="5" t="s">
        <v>10418</v>
      </c>
      <c r="E8477" s="5" t="s">
        <v>53083</v>
      </c>
      <c r="F8477" s="5" t="s">
        <v>199</v>
      </c>
      <c r="G8477" s="5" t="s">
        <v>53084</v>
      </c>
      <c r="H8477" s="6" t="s">
        <v>53085</v>
      </c>
      <c r="K8477" s="5" t="s">
        <v>53070</v>
      </c>
      <c r="M8477" s="5" t="s">
        <v>53086</v>
      </c>
      <c r="N8477" s="7" t="s">
        <v>53087</v>
      </c>
      <c r="O8477" s="8" t="str">
        <f>HYPERLINK("https://drive.google.com/file/d/1HEQJv7qXTkBi6nTiym27m-XYSMqOnI7d/view?usp=drivesdk","8476_IKE MARDIYATI _ SERTIFIKAT BerAKHLAK")</f>
        <v>8476_IKE MARDIYATI _ SERTIFIKAT BerAKHLAK</v>
      </c>
      <c r="P8477" s="5" t="s">
        <v>50331</v>
      </c>
    </row>
    <row r="8478">
      <c r="A8478" s="4">
        <v>45534.404682569446</v>
      </c>
      <c r="B8478" s="5" t="s">
        <v>34</v>
      </c>
      <c r="D8478" s="5" t="s">
        <v>267</v>
      </c>
      <c r="E8478" s="5" t="s">
        <v>53088</v>
      </c>
      <c r="F8478" s="5" t="s">
        <v>108</v>
      </c>
      <c r="G8478" s="5" t="s">
        <v>53089</v>
      </c>
      <c r="H8478" s="6" t="s">
        <v>53090</v>
      </c>
      <c r="K8478" s="5" t="s">
        <v>53070</v>
      </c>
      <c r="M8478" s="5" t="s">
        <v>53091</v>
      </c>
      <c r="N8478" s="7" t="s">
        <v>53092</v>
      </c>
      <c r="O8478" s="8" t="str">
        <f>HYPERLINK("https://drive.google.com/file/d/1OS5N9OaW5ehYOB5y8JyQTK_-h6osO65F/view?usp=drivesdk","8477_ISTI YUNITA  _ SERTIFIKAT BerAKHLAK")</f>
        <v>8477_ISTI YUNITA  _ SERTIFIKAT BerAKHLAK</v>
      </c>
      <c r="P8478" s="5" t="s">
        <v>52977</v>
      </c>
    </row>
    <row r="8479">
      <c r="A8479" s="4">
        <v>45534.404730891205</v>
      </c>
      <c r="B8479" s="5" t="s">
        <v>34</v>
      </c>
      <c r="D8479" s="5" t="s">
        <v>4775</v>
      </c>
      <c r="E8479" s="5" t="s">
        <v>53093</v>
      </c>
      <c r="F8479" s="5" t="s">
        <v>120</v>
      </c>
      <c r="G8479" s="5" t="s">
        <v>53094</v>
      </c>
      <c r="H8479" s="6" t="s">
        <v>53095</v>
      </c>
      <c r="K8479" s="5" t="s">
        <v>53096</v>
      </c>
      <c r="M8479" s="5" t="s">
        <v>53097</v>
      </c>
      <c r="N8479" s="7" t="s">
        <v>53098</v>
      </c>
      <c r="O8479" s="8" t="str">
        <f>HYPERLINK("https://drive.google.com/file/d/1YlLCiqi48KkipxBGUBy_ZefJDQ6HkCYC/view?usp=drivesdk","8478_KUSUMA WIJAYA, S.KOM. M.M. _ SERTIFIKAT BerAKHLAK")</f>
        <v>8478_KUSUMA WIJAYA, S.KOM. M.M. _ SERTIFIKAT BerAKHLAK</v>
      </c>
      <c r="P8479" s="5" t="s">
        <v>52977</v>
      </c>
    </row>
    <row r="8480">
      <c r="A8480" s="4">
        <v>45534.40477417824</v>
      </c>
      <c r="B8480" s="5" t="s">
        <v>34</v>
      </c>
      <c r="D8480" s="5" t="s">
        <v>1558</v>
      </c>
      <c r="E8480" s="5" t="s">
        <v>53099</v>
      </c>
      <c r="F8480" s="5" t="s">
        <v>212</v>
      </c>
      <c r="G8480" s="5" t="s">
        <v>53100</v>
      </c>
      <c r="H8480" s="6" t="s">
        <v>53101</v>
      </c>
      <c r="K8480" s="5" t="s">
        <v>53102</v>
      </c>
      <c r="M8480" s="5" t="s">
        <v>53103</v>
      </c>
      <c r="N8480" s="7" t="s">
        <v>53104</v>
      </c>
      <c r="O8480" s="8" t="str">
        <f>HYPERLINK("https://drive.google.com/file/d/1IfRLhgCW_pmx2-HSL0w93OaHEbEp04wz/view?usp=drivesdk","8479_WIDODO BUDIDARMA _ SERTIFIKAT BerAKHLAK")</f>
        <v>8479_WIDODO BUDIDARMA _ SERTIFIKAT BerAKHLAK</v>
      </c>
      <c r="P8480" s="5" t="s">
        <v>52977</v>
      </c>
    </row>
    <row r="8481">
      <c r="A8481" s="4">
        <v>45534.40479994213</v>
      </c>
      <c r="B8481" s="5" t="s">
        <v>34</v>
      </c>
      <c r="D8481" s="5" t="s">
        <v>580</v>
      </c>
      <c r="E8481" s="5" t="s">
        <v>53105</v>
      </c>
      <c r="F8481" s="5" t="s">
        <v>72</v>
      </c>
      <c r="G8481" s="5" t="s">
        <v>53106</v>
      </c>
      <c r="H8481" s="6" t="s">
        <v>53107</v>
      </c>
      <c r="K8481" s="5" t="s">
        <v>53108</v>
      </c>
      <c r="M8481" s="5" t="s">
        <v>53109</v>
      </c>
      <c r="N8481" s="7" t="s">
        <v>53110</v>
      </c>
      <c r="O8481" s="8" t="str">
        <f>HYPERLINK("https://drive.google.com/file/d/1zQ2-Q0-JTLv8atnPowJ7GCdYe1MMspYM/view?usp=drivesdk","8480_NI MADE WIDIANTARI _ SERTIFIKAT BerAKHLAK")</f>
        <v>8480_NI MADE WIDIANTARI _ SERTIFIKAT BerAKHLAK</v>
      </c>
      <c r="P8481" s="5" t="s">
        <v>53111</v>
      </c>
    </row>
    <row r="8482">
      <c r="A8482" s="4">
        <v>45534.40482127314</v>
      </c>
      <c r="B8482" s="5" t="s">
        <v>34</v>
      </c>
      <c r="D8482" s="5" t="s">
        <v>4775</v>
      </c>
      <c r="E8482" s="5" t="s">
        <v>53112</v>
      </c>
      <c r="F8482" s="5" t="s">
        <v>108</v>
      </c>
      <c r="G8482" s="5" t="s">
        <v>53113</v>
      </c>
      <c r="H8482" s="6" t="s">
        <v>53114</v>
      </c>
      <c r="K8482" s="5" t="s">
        <v>53108</v>
      </c>
      <c r="M8482" s="5" t="s">
        <v>53115</v>
      </c>
      <c r="N8482" s="7" t="s">
        <v>53116</v>
      </c>
      <c r="O8482" s="8" t="str">
        <f>HYPERLINK("https://drive.google.com/file/d/1LvpbGxNFSZizOSJxgRam4KJTbf1xUZBx/view?usp=drivesdk","8481_GANCAR TRI WICAKSONO _ SERTIFIKAT BerAKHLAK")</f>
        <v>8481_GANCAR TRI WICAKSONO _ SERTIFIKAT BerAKHLAK</v>
      </c>
      <c r="P8482" s="5" t="s">
        <v>53111</v>
      </c>
    </row>
    <row r="8483">
      <c r="A8483" s="4">
        <v>45534.40483194444</v>
      </c>
      <c r="B8483" s="5" t="s">
        <v>34</v>
      </c>
      <c r="D8483" s="5" t="s">
        <v>15401</v>
      </c>
      <c r="E8483" s="5" t="s">
        <v>53117</v>
      </c>
      <c r="F8483" s="5" t="s">
        <v>72</v>
      </c>
      <c r="G8483" s="5" t="s">
        <v>53118</v>
      </c>
      <c r="H8483" s="6" t="s">
        <v>53119</v>
      </c>
      <c r="K8483" s="5" t="s">
        <v>53120</v>
      </c>
      <c r="M8483" s="5" t="s">
        <v>53121</v>
      </c>
      <c r="N8483" s="7" t="s">
        <v>53122</v>
      </c>
      <c r="O8483" s="8" t="str">
        <f>HYPERLINK("https://drive.google.com/file/d/1e3AIUmb7mdC2pWut3UXrM4RIqyjjaE39/view?usp=drivesdk","8482_MISMARINA,S.Kep _ SERTIFIKAT BerAKHLAK")</f>
        <v>8482_MISMARINA,S.Kep _ SERTIFIKAT BerAKHLAK</v>
      </c>
      <c r="P8483" s="5" t="s">
        <v>53111</v>
      </c>
    </row>
    <row r="8484">
      <c r="A8484" s="4">
        <v>45534.404864745375</v>
      </c>
      <c r="B8484" s="5" t="s">
        <v>34</v>
      </c>
      <c r="D8484" s="5" t="s">
        <v>267</v>
      </c>
      <c r="E8484" s="5" t="s">
        <v>53123</v>
      </c>
      <c r="F8484" s="5" t="s">
        <v>72</v>
      </c>
      <c r="G8484" s="5" t="s">
        <v>53124</v>
      </c>
      <c r="H8484" s="6" t="s">
        <v>53125</v>
      </c>
      <c r="K8484" s="5" t="s">
        <v>53120</v>
      </c>
      <c r="M8484" s="5" t="s">
        <v>53126</v>
      </c>
      <c r="N8484" s="7" t="s">
        <v>53127</v>
      </c>
      <c r="O8484" s="8" t="str">
        <f>HYPERLINK("https://drive.google.com/file/d/1TnhI7ZCeDlQ8EIPV18Ka2nhQlCGxS5h1/view?usp=drivesdk","8483_EKO YUDHI WIBIYANTO, SE _ SERTIFIKAT BerAKHLAK")</f>
        <v>8483_EKO YUDHI WIBIYANTO, SE _ SERTIFIKAT BerAKHLAK</v>
      </c>
      <c r="P8484" s="5" t="s">
        <v>53111</v>
      </c>
    </row>
    <row r="8485" hidden="1">
      <c r="A8485" s="4">
        <v>45534.40489564815</v>
      </c>
      <c r="B8485" s="5" t="s">
        <v>19</v>
      </c>
      <c r="C8485" s="5" t="s">
        <v>5058</v>
      </c>
      <c r="E8485" s="5" t="s">
        <v>53128</v>
      </c>
      <c r="F8485" s="5" t="s">
        <v>375</v>
      </c>
      <c r="G8485" s="5" t="s">
        <v>53129</v>
      </c>
      <c r="H8485" s="6" t="s">
        <v>53130</v>
      </c>
      <c r="K8485" s="5" t="s">
        <v>53131</v>
      </c>
      <c r="M8485" s="5" t="s">
        <v>53132</v>
      </c>
      <c r="N8485" s="7" t="s">
        <v>53133</v>
      </c>
      <c r="O8485" s="8" t="str">
        <f>HYPERLINK("https://drive.google.com/file/d/1cLezxOajUbPttvy0x2yvyLHju6Yfq01q/view?usp=drivesdk","8484_DYAH KURNIATI  _ SERTIFIKAT BerAKHLAK")</f>
        <v>8484_DYAH KURNIATI  _ SERTIFIKAT BerAKHLAK</v>
      </c>
      <c r="P8485" s="5" t="s">
        <v>53134</v>
      </c>
    </row>
    <row r="8486" hidden="1">
      <c r="A8486" s="4">
        <v>45534.404928738426</v>
      </c>
      <c r="B8486" s="5" t="s">
        <v>19</v>
      </c>
      <c r="C8486" s="5" t="s">
        <v>1606</v>
      </c>
      <c r="E8486" s="5" t="s">
        <v>53135</v>
      </c>
      <c r="F8486" s="5" t="s">
        <v>108</v>
      </c>
      <c r="G8486" s="5" t="s">
        <v>53136</v>
      </c>
      <c r="H8486" s="6" t="s">
        <v>53137</v>
      </c>
      <c r="K8486" s="5" t="s">
        <v>53138</v>
      </c>
      <c r="M8486" s="5" t="s">
        <v>53139</v>
      </c>
      <c r="N8486" s="7" t="s">
        <v>53140</v>
      </c>
      <c r="O8486" s="8" t="str">
        <f>HYPERLINK("https://drive.google.com/file/d/17RisLCbK7k9iuRtlpud0AEQZtMJev-l_/view?usp=drivesdk","8485_GIANTODI SUNOKA, S.H., M.H. _ SERTIFIKAT BerAKHLAK")</f>
        <v>8485_GIANTODI SUNOKA, S.H., M.H. _ SERTIFIKAT BerAKHLAK</v>
      </c>
      <c r="P8486" s="5" t="s">
        <v>53134</v>
      </c>
    </row>
    <row r="8487">
      <c r="A8487" s="4">
        <v>45534.40493300926</v>
      </c>
      <c r="B8487" s="5" t="s">
        <v>34</v>
      </c>
      <c r="D8487" s="5" t="s">
        <v>1206</v>
      </c>
      <c r="E8487" s="5" t="s">
        <v>19744</v>
      </c>
      <c r="F8487" s="5" t="s">
        <v>199</v>
      </c>
      <c r="G8487" s="5" t="s">
        <v>53141</v>
      </c>
      <c r="H8487" s="6" t="s">
        <v>53142</v>
      </c>
      <c r="K8487" s="5" t="s">
        <v>53138</v>
      </c>
      <c r="M8487" s="5" t="s">
        <v>53143</v>
      </c>
      <c r="N8487" s="7" t="s">
        <v>53144</v>
      </c>
      <c r="O8487" s="8" t="str">
        <f>HYPERLINK("https://drive.google.com/file/d/1TB5KnV1uv0BDXablRQn6U5cVNrIYZcqV/view?usp=drivesdk","8486_SISWANTO _ SERTIFIKAT BerAKHLAK")</f>
        <v>8486_SISWANTO _ SERTIFIKAT BerAKHLAK</v>
      </c>
      <c r="P8487" s="5" t="s">
        <v>53134</v>
      </c>
    </row>
    <row r="8488" hidden="1">
      <c r="A8488" s="4">
        <v>45534.40497969907</v>
      </c>
      <c r="B8488" s="5" t="s">
        <v>19</v>
      </c>
      <c r="C8488" s="5" t="s">
        <v>292</v>
      </c>
      <c r="E8488" s="5" t="s">
        <v>53145</v>
      </c>
      <c r="F8488" s="5" t="s">
        <v>72</v>
      </c>
      <c r="G8488" s="5" t="s">
        <v>53146</v>
      </c>
      <c r="H8488" s="6" t="s">
        <v>53147</v>
      </c>
      <c r="K8488" s="5" t="s">
        <v>53148</v>
      </c>
      <c r="M8488" s="5" t="s">
        <v>53149</v>
      </c>
      <c r="N8488" s="7" t="s">
        <v>53150</v>
      </c>
      <c r="O8488" s="8" t="str">
        <f>HYPERLINK("https://drive.google.com/file/d/1ps3Vd2nkXyvfA4nGFkBeQtOlNcz46OGL/view?usp=drivesdk","8487_dr. Marta Puji Lestari _ SERTIFIKAT BerAKHLAK")</f>
        <v>8487_dr. Marta Puji Lestari _ SERTIFIKAT BerAKHLAK</v>
      </c>
      <c r="P8488" s="5" t="s">
        <v>53134</v>
      </c>
    </row>
    <row r="8489">
      <c r="A8489" s="4">
        <v>45534.40499355324</v>
      </c>
      <c r="B8489" s="5" t="s">
        <v>34</v>
      </c>
      <c r="D8489" s="5" t="s">
        <v>267</v>
      </c>
      <c r="E8489" s="5" t="s">
        <v>53151</v>
      </c>
      <c r="F8489" s="5" t="s">
        <v>375</v>
      </c>
      <c r="G8489" s="5" t="s">
        <v>53152</v>
      </c>
      <c r="H8489" s="6" t="s">
        <v>53153</v>
      </c>
      <c r="K8489" s="5" t="s">
        <v>53154</v>
      </c>
      <c r="M8489" s="5" t="s">
        <v>53155</v>
      </c>
      <c r="N8489" s="7" t="s">
        <v>53156</v>
      </c>
      <c r="O8489" s="8" t="str">
        <f>HYPERLINK("https://drive.google.com/file/d/1mH-FrLzz4vfj4ijro6VhWZa6R4meK2cN/view?usp=drivesdk","8488_MUHAMMAD ARIFUDDIN _ SERTIFIKAT BerAKHLAK")</f>
        <v>8488_MUHAMMAD ARIFUDDIN _ SERTIFIKAT BerAKHLAK</v>
      </c>
      <c r="P8489" s="5" t="s">
        <v>53134</v>
      </c>
    </row>
    <row r="8490">
      <c r="A8490" s="4">
        <v>45534.4050225463</v>
      </c>
      <c r="B8490" s="5" t="s">
        <v>34</v>
      </c>
      <c r="D8490" s="5" t="s">
        <v>9020</v>
      </c>
      <c r="E8490" s="5" t="s">
        <v>53157</v>
      </c>
      <c r="F8490" s="5" t="s">
        <v>108</v>
      </c>
      <c r="G8490" s="5" t="s">
        <v>53158</v>
      </c>
      <c r="H8490" s="6" t="s">
        <v>53159</v>
      </c>
      <c r="K8490" s="5" t="s">
        <v>53160</v>
      </c>
      <c r="M8490" s="5" t="s">
        <v>53161</v>
      </c>
      <c r="N8490" s="7" t="s">
        <v>53162</v>
      </c>
      <c r="O8490" s="8" t="str">
        <f>HYPERLINK("https://drive.google.com/file/d/1dUE1mvgutz15XESHclM5IXjhm_J7FQnT/view?usp=drivesdk","8489_RIKA PURWATI RIKA LUMBAN BATU S.Kom _ SERTIFIKAT BerAKHLAK")</f>
        <v>8489_RIKA PURWATI RIKA LUMBAN BATU S.Kom _ SERTIFIKAT BerAKHLAK</v>
      </c>
      <c r="P8490" s="5" t="s">
        <v>53163</v>
      </c>
    </row>
    <row r="8491">
      <c r="A8491" s="4">
        <v>45534.405029375004</v>
      </c>
      <c r="B8491" s="5" t="s">
        <v>34</v>
      </c>
      <c r="D8491" s="5" t="s">
        <v>10297</v>
      </c>
      <c r="E8491" s="5" t="s">
        <v>53164</v>
      </c>
      <c r="F8491" s="5" t="s">
        <v>108</v>
      </c>
      <c r="G8491" s="5" t="s">
        <v>53165</v>
      </c>
      <c r="H8491" s="6" t="s">
        <v>53166</v>
      </c>
      <c r="K8491" s="5" t="s">
        <v>53160</v>
      </c>
      <c r="M8491" s="5" t="s">
        <v>53167</v>
      </c>
      <c r="N8491" s="7" t="s">
        <v>53168</v>
      </c>
      <c r="O8491" s="8" t="str">
        <f>HYPERLINK("https://drive.google.com/file/d/1v6klET68sSCG5WHTsvI24kE9wG3KjXVF/view?usp=drivesdk","8490_ARFIAN, S.E., M.E. _ SERTIFIKAT BerAKHLAK")</f>
        <v>8490_ARFIAN, S.E., M.E. _ SERTIFIKAT BerAKHLAK</v>
      </c>
      <c r="P8491" s="5" t="s">
        <v>53163</v>
      </c>
    </row>
    <row r="8492">
      <c r="A8492" s="4">
        <v>45534.40505275463</v>
      </c>
      <c r="B8492" s="5" t="s">
        <v>34</v>
      </c>
      <c r="D8492" s="5" t="s">
        <v>267</v>
      </c>
      <c r="E8492" s="5" t="s">
        <v>53169</v>
      </c>
      <c r="F8492" s="5" t="s">
        <v>375</v>
      </c>
      <c r="G8492" s="5" t="s">
        <v>53170</v>
      </c>
      <c r="H8492" s="6" t="s">
        <v>53171</v>
      </c>
      <c r="K8492" s="5" t="s">
        <v>53172</v>
      </c>
      <c r="M8492" s="5" t="s">
        <v>53173</v>
      </c>
      <c r="N8492" s="7" t="s">
        <v>53174</v>
      </c>
      <c r="O8492" s="8" t="str">
        <f>HYPERLINK("https://drive.google.com/file/d/1i36GpwMPWBqkuPhpRFDYyuUZP6AUpFqy/view?usp=drivesdk","8491_KRIS WAHYUDI  _ SERTIFIKAT BerAKHLAK")</f>
        <v>8491_KRIS WAHYUDI  _ SERTIFIKAT BerAKHLAK</v>
      </c>
      <c r="P8492" s="5" t="s">
        <v>53163</v>
      </c>
    </row>
    <row r="8493">
      <c r="A8493" s="4">
        <v>45534.40506585648</v>
      </c>
      <c r="B8493" s="5" t="s">
        <v>34</v>
      </c>
      <c r="D8493" s="5" t="s">
        <v>14313</v>
      </c>
      <c r="E8493" s="5" t="s">
        <v>53175</v>
      </c>
      <c r="F8493" s="5" t="s">
        <v>72</v>
      </c>
      <c r="G8493" s="5" t="s">
        <v>53176</v>
      </c>
      <c r="H8493" s="6" t="s">
        <v>53177</v>
      </c>
      <c r="K8493" s="5" t="s">
        <v>53172</v>
      </c>
      <c r="M8493" s="5" t="s">
        <v>53178</v>
      </c>
      <c r="N8493" s="7" t="s">
        <v>53179</v>
      </c>
      <c r="O8493" s="8" t="str">
        <f>HYPERLINK("https://drive.google.com/file/d/1su193XB9zkWdG5yJ6S1A2KiLXq3ZO0nb/view?usp=drivesdk","8492_ST.KALSUM  _ SERTIFIKAT BerAKHLAK")</f>
        <v>8492_ST.KALSUM  _ SERTIFIKAT BerAKHLAK</v>
      </c>
      <c r="P8493" s="5" t="s">
        <v>53163</v>
      </c>
    </row>
    <row r="8494">
      <c r="A8494" s="4">
        <v>45534.40509137731</v>
      </c>
      <c r="B8494" s="5" t="s">
        <v>34</v>
      </c>
      <c r="D8494" s="5" t="s">
        <v>4775</v>
      </c>
      <c r="E8494" s="5" t="s">
        <v>53180</v>
      </c>
      <c r="F8494" s="5" t="s">
        <v>212</v>
      </c>
      <c r="G8494" s="5" t="s">
        <v>53181</v>
      </c>
      <c r="H8494" s="6" t="s">
        <v>53182</v>
      </c>
      <c r="K8494" s="5" t="s">
        <v>53183</v>
      </c>
      <c r="M8494" s="5" t="s">
        <v>53184</v>
      </c>
      <c r="N8494" s="7" t="s">
        <v>53185</v>
      </c>
      <c r="O8494" s="8" t="str">
        <f>HYPERLINK("https://drive.google.com/file/d/1cTfa17ixHaoRWAK5xTnfv9MaRCa0vPHq/view?usp=drivesdk","8493_SITARMIN _ SERTIFIKAT BerAKHLAK")</f>
        <v>8493_SITARMIN _ SERTIFIKAT BerAKHLAK</v>
      </c>
      <c r="P8494" s="5" t="s">
        <v>53186</v>
      </c>
    </row>
    <row r="8495">
      <c r="A8495" s="4">
        <v>45534.40510065972</v>
      </c>
      <c r="B8495" s="5" t="s">
        <v>34</v>
      </c>
      <c r="D8495" s="5" t="s">
        <v>14313</v>
      </c>
      <c r="E8495" s="5" t="s">
        <v>53187</v>
      </c>
      <c r="F8495" s="5" t="s">
        <v>212</v>
      </c>
      <c r="G8495" s="5" t="s">
        <v>53188</v>
      </c>
      <c r="H8495" s="6" t="s">
        <v>53189</v>
      </c>
      <c r="K8495" s="5" t="s">
        <v>53183</v>
      </c>
      <c r="M8495" s="5" t="s">
        <v>53190</v>
      </c>
      <c r="N8495" s="7" t="s">
        <v>53191</v>
      </c>
      <c r="O8495" s="8" t="str">
        <f>HYPERLINK("https://drive.google.com/file/d/1LWBE5ADE1uMnqPJu6Bs9WKpY6CLF8Ohg/view?usp=drivesdk","8494_ALAMSYAH AHEM _ SERTIFIKAT BerAKHLAK")</f>
        <v>8494_ALAMSYAH AHEM _ SERTIFIKAT BerAKHLAK</v>
      </c>
      <c r="P8495" s="5" t="s">
        <v>53186</v>
      </c>
    </row>
    <row r="8496">
      <c r="A8496" s="4">
        <v>45534.40510087963</v>
      </c>
      <c r="B8496" s="5" t="s">
        <v>34</v>
      </c>
      <c r="D8496" s="5" t="s">
        <v>1206</v>
      </c>
      <c r="E8496" s="5" t="s">
        <v>53192</v>
      </c>
      <c r="F8496" s="5" t="s">
        <v>37</v>
      </c>
      <c r="G8496" s="5" t="s">
        <v>53193</v>
      </c>
      <c r="H8496" s="6" t="s">
        <v>53194</v>
      </c>
      <c r="K8496" s="5" t="s">
        <v>53183</v>
      </c>
      <c r="M8496" s="5" t="s">
        <v>53195</v>
      </c>
      <c r="N8496" s="7" t="s">
        <v>53196</v>
      </c>
      <c r="O8496" s="8" t="str">
        <f>HYPERLINK("https://drive.google.com/file/d/1X4Ar3MoWynBbiqzL4AigYksrNToQtdCj/view?usp=drivesdk","8495_TRIO MARIA ATMIATI  _ SERTIFIKAT BerAKHLAK")</f>
        <v>8495_TRIO MARIA ATMIATI  _ SERTIFIKAT BerAKHLAK</v>
      </c>
      <c r="P8496" s="5" t="s">
        <v>53197</v>
      </c>
    </row>
    <row r="8497">
      <c r="A8497" s="4">
        <v>45534.40514628473</v>
      </c>
      <c r="B8497" s="5" t="s">
        <v>34</v>
      </c>
      <c r="D8497" s="5" t="s">
        <v>580</v>
      </c>
      <c r="E8497" s="5" t="s">
        <v>53198</v>
      </c>
      <c r="F8497" s="5" t="s">
        <v>72</v>
      </c>
      <c r="G8497" s="5" t="s">
        <v>53199</v>
      </c>
      <c r="H8497" s="6" t="s">
        <v>53200</v>
      </c>
      <c r="K8497" s="5" t="s">
        <v>53183</v>
      </c>
      <c r="M8497" s="5" t="s">
        <v>53201</v>
      </c>
      <c r="N8497" s="7" t="s">
        <v>53202</v>
      </c>
      <c r="O8497" s="8" t="str">
        <f>HYPERLINK("https://drive.google.com/file/d/1IrUBzqnUAQQVag7H5BWxLLtRoyktacJv/view?usp=drivesdk","8496_NI KETUT RENGKI _ SERTIFIKAT BerAKHLAK")</f>
        <v>8496_NI KETUT RENGKI _ SERTIFIKAT BerAKHLAK</v>
      </c>
      <c r="P8497" s="5" t="s">
        <v>53197</v>
      </c>
    </row>
    <row r="8498">
      <c r="A8498" s="4">
        <v>45534.4051634375</v>
      </c>
      <c r="B8498" s="5" t="s">
        <v>34</v>
      </c>
      <c r="D8498" s="5" t="s">
        <v>7858</v>
      </c>
      <c r="E8498" s="5" t="s">
        <v>53203</v>
      </c>
      <c r="F8498" s="5" t="s">
        <v>524</v>
      </c>
      <c r="G8498" s="5" t="s">
        <v>53204</v>
      </c>
      <c r="H8498" s="6" t="s">
        <v>53205</v>
      </c>
      <c r="K8498" s="5" t="s">
        <v>53206</v>
      </c>
      <c r="M8498" s="5" t="s">
        <v>53207</v>
      </c>
      <c r="N8498" s="7" t="s">
        <v>53208</v>
      </c>
      <c r="O8498" s="8" t="str">
        <f>HYPERLINK("https://drive.google.com/file/d/1nz6fn_fK4XqH_CZnAhh19nR9tjTZFBIU/view?usp=drivesdk","8497_MUKOWIMAH, Amd. Kep, SKM _ SERTIFIKAT BerAKHLAK")</f>
        <v>8497_MUKOWIMAH, Amd. Kep, SKM _ SERTIFIKAT BerAKHLAK</v>
      </c>
      <c r="P8498" s="5" t="s">
        <v>53197</v>
      </c>
    </row>
    <row r="8499">
      <c r="A8499" s="4">
        <v>45534.40517554399</v>
      </c>
      <c r="B8499" s="5" t="s">
        <v>34</v>
      </c>
      <c r="D8499" s="5" t="s">
        <v>1206</v>
      </c>
      <c r="E8499" s="5" t="s">
        <v>53209</v>
      </c>
      <c r="F8499" s="5" t="s">
        <v>375</v>
      </c>
      <c r="G8499" s="5" t="s">
        <v>53210</v>
      </c>
      <c r="H8499" s="6" t="s">
        <v>53211</v>
      </c>
      <c r="K8499" s="5" t="s">
        <v>53212</v>
      </c>
      <c r="M8499" s="5" t="s">
        <v>53213</v>
      </c>
      <c r="N8499" s="7" t="s">
        <v>53214</v>
      </c>
      <c r="O8499" s="8" t="str">
        <f>HYPERLINK("https://drive.google.com/file/d/1uDYVTU23vgJ6jJ7D0GIJZZ5ZP9HpWG8x/view?usp=drivesdk","8498_DUDUN KARNAWIJAYA  _ SERTIFIKAT BerAKHLAK")</f>
        <v>8498_DUDUN KARNAWIJAYA  _ SERTIFIKAT BerAKHLAK</v>
      </c>
      <c r="P8499" s="5" t="s">
        <v>53197</v>
      </c>
    </row>
    <row r="8500">
      <c r="A8500" s="4">
        <v>45534.4052009375</v>
      </c>
      <c r="B8500" s="5" t="s">
        <v>34</v>
      </c>
      <c r="D8500" s="5" t="s">
        <v>15401</v>
      </c>
      <c r="E8500" s="5" t="s">
        <v>53215</v>
      </c>
      <c r="F8500" s="5" t="s">
        <v>375</v>
      </c>
      <c r="G8500" s="5" t="s">
        <v>53216</v>
      </c>
      <c r="H8500" s="6" t="s">
        <v>53217</v>
      </c>
      <c r="K8500" s="5" t="s">
        <v>53218</v>
      </c>
      <c r="M8500" s="5" t="s">
        <v>53219</v>
      </c>
      <c r="N8500" s="7" t="s">
        <v>53220</v>
      </c>
      <c r="O8500" s="8" t="str">
        <f>HYPERLINK("https://drive.google.com/file/d/1vQfXKAdVdReYbkEUaowBIbX_pCeYsk6X/view?usp=drivesdk","8499_TITI SULASTRI, S.SOS. _ SERTIFIKAT BerAKHLAK")</f>
        <v>8499_TITI SULASTRI, S.SOS. _ SERTIFIKAT BerAKHLAK</v>
      </c>
      <c r="P8500" s="5" t="s">
        <v>53221</v>
      </c>
    </row>
    <row r="8501">
      <c r="A8501" s="4">
        <v>45534.40526854167</v>
      </c>
      <c r="B8501" s="5" t="s">
        <v>34</v>
      </c>
      <c r="D8501" s="5" t="s">
        <v>280</v>
      </c>
      <c r="E8501" s="5" t="s">
        <v>53222</v>
      </c>
      <c r="F8501" s="5" t="s">
        <v>37</v>
      </c>
      <c r="G8501" s="5" t="s">
        <v>53223</v>
      </c>
      <c r="H8501" s="6" t="s">
        <v>53224</v>
      </c>
      <c r="K8501" s="5" t="s">
        <v>53218</v>
      </c>
      <c r="M8501" s="5" t="s">
        <v>53225</v>
      </c>
      <c r="N8501" s="7" t="s">
        <v>53226</v>
      </c>
      <c r="O8501" s="8" t="str">
        <f>HYPERLINK("https://drive.google.com/file/d/1VhgrsXZ0W4y_01I8Em7RtQJ_0C9I62uu/view?usp=drivesdk","8500_SYAIFUL  _ SERTIFIKAT BerAKHLAK")</f>
        <v>8500_SYAIFUL  _ SERTIFIKAT BerAKHLAK</v>
      </c>
      <c r="P8501" s="5" t="s">
        <v>53221</v>
      </c>
    </row>
    <row r="8502">
      <c r="A8502" s="4">
        <v>45534.40530533565</v>
      </c>
      <c r="B8502" s="5" t="s">
        <v>34</v>
      </c>
      <c r="D8502" s="5" t="s">
        <v>12010</v>
      </c>
      <c r="E8502" s="5" t="s">
        <v>53227</v>
      </c>
      <c r="F8502" s="5" t="s">
        <v>524</v>
      </c>
      <c r="G8502" s="5" t="s">
        <v>53228</v>
      </c>
      <c r="H8502" s="6" t="s">
        <v>53229</v>
      </c>
      <c r="K8502" s="5" t="s">
        <v>53230</v>
      </c>
      <c r="M8502" s="5" t="s">
        <v>53231</v>
      </c>
      <c r="N8502" s="7" t="s">
        <v>53232</v>
      </c>
      <c r="O8502" s="8" t="str">
        <f>HYPERLINK("https://drive.google.com/file/d/1NwsgyUFEZyRCoGd91A20Jfjq1dptitGw/view?usp=drivesdk","8501_MELINDA BUDIARTI _ SERTIFIKAT BerAKHLAK")</f>
        <v>8501_MELINDA BUDIARTI _ SERTIFIKAT BerAKHLAK</v>
      </c>
      <c r="P8502" s="5" t="s">
        <v>53221</v>
      </c>
    </row>
    <row r="8503">
      <c r="A8503" s="4">
        <v>45534.40531219907</v>
      </c>
      <c r="B8503" s="5" t="s">
        <v>34</v>
      </c>
      <c r="D8503" s="5" t="s">
        <v>522</v>
      </c>
      <c r="E8503" s="5" t="s">
        <v>53233</v>
      </c>
      <c r="F8503" s="5" t="s">
        <v>37</v>
      </c>
      <c r="G8503" s="5" t="s">
        <v>53234</v>
      </c>
      <c r="H8503" s="6" t="s">
        <v>53235</v>
      </c>
      <c r="K8503" s="5" t="s">
        <v>53230</v>
      </c>
      <c r="M8503" s="5" t="s">
        <v>53236</v>
      </c>
      <c r="N8503" s="7" t="s">
        <v>53237</v>
      </c>
      <c r="O8503" s="8" t="str">
        <f>HYPERLINK("https://drive.google.com/file/d/1SPt8aCnvfH3lPg3xKPZt8HMIUWUPlaZt/view?usp=drivesdk","8502_LENNY HANDAYANI  _ SERTIFIKAT BerAKHLAK")</f>
        <v>8502_LENNY HANDAYANI  _ SERTIFIKAT BerAKHLAK</v>
      </c>
      <c r="P8503" s="5" t="s">
        <v>53221</v>
      </c>
    </row>
    <row r="8504" hidden="1">
      <c r="A8504" s="4">
        <v>45534.40535378472</v>
      </c>
      <c r="B8504" s="5" t="s">
        <v>19</v>
      </c>
      <c r="C8504" s="5" t="s">
        <v>5564</v>
      </c>
      <c r="E8504" s="5" t="s">
        <v>53238</v>
      </c>
      <c r="F8504" s="5" t="s">
        <v>120</v>
      </c>
      <c r="G8504" s="5" t="s">
        <v>53239</v>
      </c>
      <c r="H8504" s="6" t="s">
        <v>53240</v>
      </c>
      <c r="K8504" s="5" t="s">
        <v>53241</v>
      </c>
      <c r="M8504" s="5" t="s">
        <v>53242</v>
      </c>
      <c r="N8504" s="7" t="s">
        <v>53243</v>
      </c>
      <c r="O8504" s="8" t="str">
        <f>HYPERLINK("https://drive.google.com/file/d/1Ynh02ZrHcYYfIGwMc9JubBzihY2mQQwP/view?usp=drivesdk","8503_SUSI NOVI ANDRIYANI, S.E. _ SERTIFIKAT BerAKHLAK")</f>
        <v>8503_SUSI NOVI ANDRIYANI, S.E. _ SERTIFIKAT BerAKHLAK</v>
      </c>
      <c r="P8504" s="5" t="s">
        <v>53244</v>
      </c>
    </row>
    <row r="8505">
      <c r="A8505" s="4">
        <v>45534.405357870375</v>
      </c>
      <c r="B8505" s="5" t="s">
        <v>34</v>
      </c>
      <c r="D8505" s="5" t="s">
        <v>4775</v>
      </c>
      <c r="E8505" s="5" t="s">
        <v>53245</v>
      </c>
      <c r="F8505" s="5" t="s">
        <v>375</v>
      </c>
      <c r="G8505" s="5" t="s">
        <v>53246</v>
      </c>
      <c r="H8505" s="6" t="s">
        <v>53247</v>
      </c>
      <c r="K8505" s="5" t="s">
        <v>53241</v>
      </c>
      <c r="M8505" s="5" t="s">
        <v>53248</v>
      </c>
      <c r="N8505" s="7" t="s">
        <v>53249</v>
      </c>
      <c r="O8505" s="8" t="str">
        <f>HYPERLINK("https://drive.google.com/file/d/1oVy2XmdULyoTeWzM1UvaAOau7n_O3u57/view?usp=drivesdk","8504_MUCHAMAD NURYANTO, S.E. _ SERTIFIKAT BerAKHLAK")</f>
        <v>8504_MUCHAMAD NURYANTO, S.E. _ SERTIFIKAT BerAKHLAK</v>
      </c>
      <c r="P8505" s="5" t="s">
        <v>53244</v>
      </c>
    </row>
    <row r="8506" hidden="1">
      <c r="A8506" s="4">
        <v>45534.40535809028</v>
      </c>
      <c r="B8506" s="5" t="s">
        <v>19</v>
      </c>
      <c r="C8506" s="5" t="s">
        <v>83</v>
      </c>
      <c r="E8506" s="5" t="s">
        <v>53250</v>
      </c>
      <c r="F8506" s="5" t="s">
        <v>375</v>
      </c>
      <c r="G8506" s="5" t="s">
        <v>53251</v>
      </c>
      <c r="H8506" s="6" t="s">
        <v>53252</v>
      </c>
      <c r="K8506" s="5" t="s">
        <v>53241</v>
      </c>
      <c r="M8506" s="5" t="s">
        <v>53253</v>
      </c>
      <c r="N8506" s="7" t="s">
        <v>53254</v>
      </c>
      <c r="O8506" s="8" t="str">
        <f>HYPERLINK("https://drive.google.com/file/d/1nIyDS9UHkpB5jqTmc3OUPIK6-_WvQAZB/view?usp=drivesdk","8505_FAJAR ISTIONO, S.T _ SERTIFIKAT BerAKHLAK")</f>
        <v>8505_FAJAR ISTIONO, S.T _ SERTIFIKAT BerAKHLAK</v>
      </c>
      <c r="P8506" s="5" t="s">
        <v>53244</v>
      </c>
    </row>
    <row r="8507">
      <c r="A8507" s="4">
        <v>45534.405388125</v>
      </c>
      <c r="B8507" s="5" t="s">
        <v>34</v>
      </c>
      <c r="D8507" s="5" t="s">
        <v>1206</v>
      </c>
      <c r="E8507" s="5" t="s">
        <v>53255</v>
      </c>
      <c r="F8507" s="5" t="s">
        <v>37</v>
      </c>
      <c r="G8507" s="5" t="s">
        <v>53256</v>
      </c>
      <c r="H8507" s="6" t="s">
        <v>53257</v>
      </c>
      <c r="K8507" s="5" t="s">
        <v>53258</v>
      </c>
      <c r="M8507" s="5" t="s">
        <v>53259</v>
      </c>
      <c r="N8507" s="7" t="s">
        <v>53260</v>
      </c>
      <c r="O8507" s="8" t="str">
        <f>HYPERLINK("https://drive.google.com/file/d/1Cqc4U7X9QWDLmtSA3H9JFHAjNxfs9nmJ/view?usp=drivesdk","8506_MAMAY AMALIA _ SERTIFIKAT BerAKHLAK")</f>
        <v>8506_MAMAY AMALIA _ SERTIFIKAT BerAKHLAK</v>
      </c>
      <c r="P8507" s="5" t="s">
        <v>53244</v>
      </c>
    </row>
    <row r="8508" hidden="1">
      <c r="A8508" s="4">
        <v>45534.405394409725</v>
      </c>
      <c r="B8508" s="5" t="s">
        <v>19</v>
      </c>
      <c r="C8508" s="5" t="s">
        <v>3301</v>
      </c>
      <c r="E8508" s="5" t="s">
        <v>53261</v>
      </c>
      <c r="F8508" s="5" t="s">
        <v>108</v>
      </c>
      <c r="G8508" s="5" t="s">
        <v>53262</v>
      </c>
      <c r="H8508" s="6" t="s">
        <v>53263</v>
      </c>
      <c r="K8508" s="5" t="s">
        <v>53258</v>
      </c>
      <c r="M8508" s="5" t="s">
        <v>53264</v>
      </c>
      <c r="N8508" s="7" t="s">
        <v>53265</v>
      </c>
      <c r="O8508" s="8" t="str">
        <f>HYPERLINK("https://drive.google.com/file/d/1bKXVlKajtRMuHWjuNFa_eV9t-nJj_GCz/view?usp=drivesdk","8507_DR PRISKILA KRISTIAWAN _ SERTIFIKAT BerAKHLAK")</f>
        <v>8507_DR PRISKILA KRISTIAWAN _ SERTIFIKAT BerAKHLAK</v>
      </c>
      <c r="P8508" s="5" t="s">
        <v>53266</v>
      </c>
    </row>
    <row r="8509" hidden="1">
      <c r="A8509" s="4">
        <v>45534.40540148148</v>
      </c>
      <c r="B8509" s="5" t="s">
        <v>19</v>
      </c>
      <c r="C8509" s="5" t="s">
        <v>3301</v>
      </c>
      <c r="E8509" s="5" t="s">
        <v>53267</v>
      </c>
      <c r="F8509" s="5" t="s">
        <v>120</v>
      </c>
      <c r="G8509" s="5" t="s">
        <v>53268</v>
      </c>
      <c r="H8509" s="6" t="s">
        <v>53269</v>
      </c>
      <c r="K8509" s="5" t="s">
        <v>53258</v>
      </c>
      <c r="M8509" s="5" t="s">
        <v>53270</v>
      </c>
      <c r="N8509" s="7" t="s">
        <v>53271</v>
      </c>
      <c r="O8509" s="8" t="str">
        <f>HYPERLINK("https://drive.google.com/file/d/1c-xvHPRpspPh2wwpDlj01SWIar3LvhIs/view?usp=drivesdk","8508_DRG WAHYU WIRDANINGSIH _ SERTIFIKAT BerAKHLAK")</f>
        <v>8508_DRG WAHYU WIRDANINGSIH _ SERTIFIKAT BerAKHLAK</v>
      </c>
      <c r="P8509" s="5" t="s">
        <v>53266</v>
      </c>
    </row>
    <row r="8510">
      <c r="A8510" s="4">
        <v>45534.4054619213</v>
      </c>
      <c r="B8510" s="5" t="s">
        <v>34</v>
      </c>
      <c r="D8510" s="5" t="s">
        <v>701</v>
      </c>
      <c r="E8510" s="5" t="s">
        <v>53272</v>
      </c>
      <c r="F8510" s="5" t="s">
        <v>37</v>
      </c>
      <c r="G8510" s="5" t="s">
        <v>53273</v>
      </c>
      <c r="H8510" s="6" t="s">
        <v>53274</v>
      </c>
      <c r="K8510" s="5" t="s">
        <v>53275</v>
      </c>
      <c r="M8510" s="5" t="s">
        <v>53276</v>
      </c>
      <c r="N8510" s="7" t="s">
        <v>53277</v>
      </c>
      <c r="O8510" s="8" t="str">
        <f>HYPERLINK("https://drive.google.com/file/d/1iBlo0r6l1AowD2OygN1YHrvwiIMAsK4u/view?usp=drivesdk","8509_REZA FAHLEVI _ SERTIFIKAT BerAKHLAK")</f>
        <v>8509_REZA FAHLEVI _ SERTIFIKAT BerAKHLAK</v>
      </c>
      <c r="P8510" s="5" t="s">
        <v>53266</v>
      </c>
    </row>
    <row r="8511">
      <c r="A8511" s="4">
        <v>45534.40551378472</v>
      </c>
      <c r="B8511" s="5" t="s">
        <v>34</v>
      </c>
      <c r="D8511" s="5" t="s">
        <v>4775</v>
      </c>
      <c r="E8511" s="5" t="s">
        <v>53278</v>
      </c>
      <c r="F8511" s="5" t="s">
        <v>37</v>
      </c>
      <c r="G8511" s="5" t="s">
        <v>53279</v>
      </c>
      <c r="H8511" s="6" t="s">
        <v>53280</v>
      </c>
      <c r="K8511" s="5" t="s">
        <v>53281</v>
      </c>
      <c r="M8511" s="5" t="s">
        <v>53282</v>
      </c>
      <c r="N8511" s="7" t="s">
        <v>53283</v>
      </c>
      <c r="O8511" s="8" t="str">
        <f>HYPERLINK("https://drive.google.com/file/d/1OnLypR9RVuL7waEdHMV8nFTEhf7KIn_2/view?usp=drivesdk","8510_TEGUH PRAMONO  _ SERTIFIKAT BerAKHLAK")</f>
        <v>8510_TEGUH PRAMONO  _ SERTIFIKAT BerAKHLAK</v>
      </c>
      <c r="P8511" s="5" t="s">
        <v>53266</v>
      </c>
    </row>
    <row r="8512">
      <c r="A8512" s="4">
        <v>45534.40555780093</v>
      </c>
      <c r="B8512" s="5" t="s">
        <v>34</v>
      </c>
      <c r="D8512" s="5" t="s">
        <v>1206</v>
      </c>
      <c r="E8512" s="5" t="s">
        <v>53284</v>
      </c>
      <c r="F8512" s="5" t="s">
        <v>212</v>
      </c>
      <c r="G8512" s="5" t="s">
        <v>53285</v>
      </c>
      <c r="H8512" s="6" t="s">
        <v>53286</v>
      </c>
      <c r="K8512" s="5" t="s">
        <v>53287</v>
      </c>
      <c r="M8512" s="5" t="s">
        <v>53288</v>
      </c>
      <c r="N8512" s="7" t="s">
        <v>53289</v>
      </c>
      <c r="O8512" s="8" t="str">
        <f>HYPERLINK("https://drive.google.com/file/d/1vD4yOYvEyNo__h8Vs-piXBBWRMCknh20/view?usp=drivesdk","8511_SUDARMAJI _ SERTIFIKAT BerAKHLAK")</f>
        <v>8511_SUDARMAJI _ SERTIFIKAT BerAKHLAK</v>
      </c>
      <c r="P8512" s="5" t="s">
        <v>53266</v>
      </c>
    </row>
    <row r="8513">
      <c r="A8513" s="4">
        <v>45534.405618460645</v>
      </c>
      <c r="B8513" s="5" t="s">
        <v>34</v>
      </c>
      <c r="D8513" s="5" t="s">
        <v>1456</v>
      </c>
      <c r="E8513" s="5" t="s">
        <v>53290</v>
      </c>
      <c r="F8513" s="5" t="s">
        <v>212</v>
      </c>
      <c r="G8513" s="5" t="s">
        <v>53291</v>
      </c>
      <c r="H8513" s="6" t="s">
        <v>53292</v>
      </c>
      <c r="K8513" s="5" t="s">
        <v>53293</v>
      </c>
      <c r="M8513" s="5" t="s">
        <v>53294</v>
      </c>
      <c r="N8513" s="7" t="s">
        <v>53295</v>
      </c>
      <c r="O8513" s="8" t="str">
        <f>HYPERLINK("https://drive.google.com/file/d/1pQQ9Fv9A8mQyfszBaN9Gyspho7xFarw4/view?usp=drivesdk","8512_SALIMIN _ SERTIFIKAT BerAKHLAK")</f>
        <v>8512_SALIMIN _ SERTIFIKAT BerAKHLAK</v>
      </c>
      <c r="P8513" s="5" t="s">
        <v>53296</v>
      </c>
    </row>
    <row r="8514">
      <c r="A8514" s="4">
        <v>45534.40565861111</v>
      </c>
      <c r="B8514" s="5" t="s">
        <v>34</v>
      </c>
      <c r="D8514" s="5" t="s">
        <v>580</v>
      </c>
      <c r="E8514" s="5" t="s">
        <v>53297</v>
      </c>
      <c r="F8514" s="5" t="s">
        <v>715</v>
      </c>
      <c r="G8514" s="5" t="s">
        <v>53298</v>
      </c>
      <c r="H8514" s="6" t="s">
        <v>53299</v>
      </c>
      <c r="K8514" s="5" t="s">
        <v>53300</v>
      </c>
      <c r="M8514" s="5" t="s">
        <v>53301</v>
      </c>
      <c r="N8514" s="7" t="s">
        <v>53302</v>
      </c>
      <c r="O8514" s="8" t="str">
        <f>HYPERLINK("https://drive.google.com/file/d/1igyvc_DWqtMJyXHfVWj6GNTG2JeGYb9f/view?usp=drivesdk","8513_I PUTU ARIANTA _ SERTIFIKAT BerAKHLAK")</f>
        <v>8513_I PUTU ARIANTA _ SERTIFIKAT BerAKHLAK</v>
      </c>
      <c r="P8514" s="5" t="s">
        <v>53303</v>
      </c>
    </row>
    <row r="8515">
      <c r="A8515" s="4">
        <v>45534.405685879625</v>
      </c>
      <c r="B8515" s="5" t="s">
        <v>34</v>
      </c>
      <c r="D8515" s="5" t="s">
        <v>15401</v>
      </c>
      <c r="E8515" s="5" t="s">
        <v>53304</v>
      </c>
      <c r="F8515" s="5" t="s">
        <v>108</v>
      </c>
      <c r="G8515" s="5" t="s">
        <v>53305</v>
      </c>
      <c r="H8515" s="6" t="s">
        <v>53306</v>
      </c>
      <c r="K8515" s="5" t="s">
        <v>53307</v>
      </c>
      <c r="M8515" s="5" t="s">
        <v>53308</v>
      </c>
      <c r="N8515" s="7" t="s">
        <v>53309</v>
      </c>
      <c r="O8515" s="8" t="str">
        <f>HYPERLINK("https://drive.google.com/file/d/1uwhnW78F8cz8rwL9pmzsPDX15bYY_z3A/view?usp=drivesdk","8514_Bustamil arifin AMD Rad  _ SERTIFIKAT BerAKHLAK")</f>
        <v>8514_Bustamil arifin AMD Rad  _ SERTIFIKAT BerAKHLAK</v>
      </c>
      <c r="P8515" s="5" t="s">
        <v>53310</v>
      </c>
    </row>
    <row r="8516">
      <c r="A8516" s="4">
        <v>45534.405689363426</v>
      </c>
      <c r="B8516" s="5" t="s">
        <v>34</v>
      </c>
      <c r="D8516" s="5" t="s">
        <v>1558</v>
      </c>
      <c r="E8516" s="5" t="s">
        <v>53311</v>
      </c>
      <c r="F8516" s="5" t="s">
        <v>524</v>
      </c>
      <c r="G8516" s="5" t="s">
        <v>53312</v>
      </c>
      <c r="H8516" s="6" t="s">
        <v>53313</v>
      </c>
      <c r="K8516" s="5" t="s">
        <v>53307</v>
      </c>
      <c r="M8516" s="5" t="s">
        <v>53314</v>
      </c>
      <c r="N8516" s="7" t="s">
        <v>53315</v>
      </c>
      <c r="O8516" s="8" t="str">
        <f>HYPERLINK("https://drive.google.com/file/d/1yBtK0MY5eZ6YlekI0G3eI2PRFXgs3pUt/view?usp=drivesdk","8515_NURHAYATI.SKM _ SERTIFIKAT BerAKHLAK")</f>
        <v>8515_NURHAYATI.SKM _ SERTIFIKAT BerAKHLAK</v>
      </c>
      <c r="P8516" s="5" t="s">
        <v>49832</v>
      </c>
    </row>
    <row r="8517">
      <c r="A8517" s="4">
        <v>45534.40570686343</v>
      </c>
      <c r="B8517" s="5" t="s">
        <v>34</v>
      </c>
      <c r="D8517" s="5" t="s">
        <v>6232</v>
      </c>
      <c r="E8517" s="5" t="s">
        <v>53316</v>
      </c>
      <c r="F8517" s="5" t="s">
        <v>212</v>
      </c>
      <c r="G8517" s="5" t="s">
        <v>53317</v>
      </c>
      <c r="H8517" s="6" t="s">
        <v>53318</v>
      </c>
      <c r="K8517" s="5" t="s">
        <v>53319</v>
      </c>
      <c r="M8517" s="5" t="s">
        <v>53320</v>
      </c>
      <c r="N8517" s="7" t="s">
        <v>53321</v>
      </c>
      <c r="O8517" s="8" t="str">
        <f>HYPERLINK("https://drive.google.com/file/d/114G8fNf950Xa50L5b8ym-S7Yosb7qRg6/view?usp=drivesdk","8516_TITIN JULIANA _ SERTIFIKAT BerAKHLAK")</f>
        <v>8516_TITIN JULIANA _ SERTIFIKAT BerAKHLAK</v>
      </c>
      <c r="P8517" s="5" t="s">
        <v>49832</v>
      </c>
    </row>
    <row r="8518">
      <c r="A8518" s="4">
        <v>45534.40570846065</v>
      </c>
      <c r="B8518" s="5" t="s">
        <v>34</v>
      </c>
      <c r="D8518" s="5" t="s">
        <v>14313</v>
      </c>
      <c r="E8518" s="5" t="s">
        <v>53322</v>
      </c>
      <c r="F8518" s="5" t="s">
        <v>715</v>
      </c>
      <c r="G8518" s="5" t="s">
        <v>53323</v>
      </c>
      <c r="H8518" s="6" t="s">
        <v>53324</v>
      </c>
      <c r="K8518" s="5" t="s">
        <v>53319</v>
      </c>
      <c r="M8518" s="5" t="s">
        <v>53325</v>
      </c>
      <c r="N8518" s="7" t="s">
        <v>53326</v>
      </c>
      <c r="O8518" s="8" t="str">
        <f>HYPERLINK("https://drive.google.com/file/d/10uvcYwFExSHPn_qD10ac1WwYaurytk1o/view?usp=drivesdk","8517_ANDI AFIFF RESKY WIDJAYA S,SI M.M _ SERTIFIKAT BerAKHLAK")</f>
        <v>8517_ANDI AFIFF RESKY WIDJAYA S,SI M.M _ SERTIFIKAT BerAKHLAK</v>
      </c>
      <c r="P8518" s="5" t="s">
        <v>49832</v>
      </c>
    </row>
    <row r="8519">
      <c r="A8519" s="4">
        <v>45534.40571373842</v>
      </c>
      <c r="B8519" s="5" t="s">
        <v>34</v>
      </c>
      <c r="D8519" s="5" t="s">
        <v>701</v>
      </c>
      <c r="E8519" s="5" t="s">
        <v>53327</v>
      </c>
      <c r="F8519" s="5" t="s">
        <v>212</v>
      </c>
      <c r="G8519" s="5" t="s">
        <v>53328</v>
      </c>
      <c r="H8519" s="6" t="s">
        <v>53329</v>
      </c>
      <c r="K8519" s="5" t="s">
        <v>53319</v>
      </c>
      <c r="M8519" s="5" t="s">
        <v>53330</v>
      </c>
      <c r="N8519" s="7" t="s">
        <v>53331</v>
      </c>
      <c r="O8519" s="8" t="str">
        <f>HYPERLINK("https://drive.google.com/file/d/1e_7_I32TisdSSjUmPxgECcrWXFnI-eEz/view?usp=drivesdk","8518_ERMANTO _ SERTIFIKAT BerAKHLAK")</f>
        <v>8518_ERMANTO _ SERTIFIKAT BerAKHLAK</v>
      </c>
      <c r="P8519" s="5" t="s">
        <v>49853</v>
      </c>
    </row>
    <row r="8520">
      <c r="A8520" s="4">
        <v>45534.40574717593</v>
      </c>
      <c r="B8520" s="5" t="s">
        <v>34</v>
      </c>
      <c r="D8520" s="5" t="s">
        <v>14424</v>
      </c>
      <c r="E8520" s="5" t="s">
        <v>53332</v>
      </c>
      <c r="F8520" s="5" t="s">
        <v>37</v>
      </c>
      <c r="G8520" s="5" t="s">
        <v>53333</v>
      </c>
      <c r="H8520" s="6" t="s">
        <v>53334</v>
      </c>
      <c r="K8520" s="5" t="s">
        <v>53319</v>
      </c>
      <c r="M8520" s="5" t="s">
        <v>53335</v>
      </c>
      <c r="N8520" s="7" t="s">
        <v>53336</v>
      </c>
      <c r="O8520" s="8" t="str">
        <f>HYPERLINK("https://drive.google.com/file/d/1ho3Ns6cXe9ZWvrjdU74flaastgH7-D2-/view?usp=drivesdk","8519_CUT MERIHANDAYANI _ SERTIFIKAT BerAKHLAK")</f>
        <v>8519_CUT MERIHANDAYANI _ SERTIFIKAT BerAKHLAK</v>
      </c>
      <c r="P8520" s="5" t="s">
        <v>49853</v>
      </c>
    </row>
    <row r="8521">
      <c r="A8521" s="4">
        <v>45534.4057784375</v>
      </c>
      <c r="B8521" s="5" t="s">
        <v>34</v>
      </c>
      <c r="D8521" s="5" t="s">
        <v>14313</v>
      </c>
      <c r="E8521" s="5" t="s">
        <v>53337</v>
      </c>
      <c r="F8521" s="5" t="s">
        <v>37</v>
      </c>
      <c r="G8521" s="5" t="s">
        <v>53338</v>
      </c>
      <c r="H8521" s="6" t="s">
        <v>53339</v>
      </c>
      <c r="K8521" s="5" t="s">
        <v>53340</v>
      </c>
      <c r="M8521" s="5" t="s">
        <v>53341</v>
      </c>
      <c r="N8521" s="7" t="s">
        <v>53342</v>
      </c>
      <c r="O8521" s="8" t="str">
        <f>HYPERLINK("https://drive.google.com/file/d/1KHZgORktRQ54_cePz9Tf400B_qIO08dk/view?usp=drivesdk","8520_MARIA SATTU _ SERTIFIKAT BerAKHLAK")</f>
        <v>8520_MARIA SATTU _ SERTIFIKAT BerAKHLAK</v>
      </c>
      <c r="P8521" s="5" t="s">
        <v>49853</v>
      </c>
    </row>
    <row r="8522">
      <c r="A8522" s="4">
        <v>45534.40578163194</v>
      </c>
      <c r="B8522" s="5" t="s">
        <v>34</v>
      </c>
      <c r="D8522" s="5" t="s">
        <v>267</v>
      </c>
      <c r="E8522" s="5" t="s">
        <v>53343</v>
      </c>
      <c r="F8522" s="5" t="s">
        <v>108</v>
      </c>
      <c r="G8522" s="5" t="s">
        <v>53344</v>
      </c>
      <c r="H8522" s="6" t="s">
        <v>53345</v>
      </c>
      <c r="K8522" s="5" t="s">
        <v>53346</v>
      </c>
      <c r="M8522" s="5" t="s">
        <v>53347</v>
      </c>
      <c r="N8522" s="7" t="s">
        <v>53348</v>
      </c>
      <c r="O8522" s="8" t="str">
        <f>HYPERLINK("https://drive.google.com/file/d/11A5VmnDHAfCL53koOMCcGW7R0KX4zEz1/view?usp=drivesdk","8521_HERU SULISTIYO _ SERTIFIKAT BerAKHLAK")</f>
        <v>8521_HERU SULISTIYO _ SERTIFIKAT BerAKHLAK</v>
      </c>
      <c r="P8522" s="5" t="s">
        <v>49853</v>
      </c>
    </row>
    <row r="8523">
      <c r="A8523" s="4">
        <v>45534.405806469906</v>
      </c>
      <c r="B8523" s="5" t="s">
        <v>34</v>
      </c>
      <c r="D8523" s="5" t="s">
        <v>580</v>
      </c>
      <c r="E8523" s="5" t="s">
        <v>53349</v>
      </c>
      <c r="F8523" s="5" t="s">
        <v>524</v>
      </c>
      <c r="G8523" s="5" t="s">
        <v>53350</v>
      </c>
      <c r="H8523" s="6" t="s">
        <v>53351</v>
      </c>
      <c r="K8523" s="5" t="s">
        <v>53352</v>
      </c>
      <c r="M8523" s="5" t="s">
        <v>53353</v>
      </c>
      <c r="N8523" s="7" t="s">
        <v>53354</v>
      </c>
      <c r="O8523" s="8" t="str">
        <f>HYPERLINK("https://drive.google.com/file/d/1SpK54_aJLZv1kQXnmdhhSNVJOnNj6G1e/view?usp=drivesdk","8522_I MADE SUDIRA SH _ SERTIFIKAT BerAKHLAK")</f>
        <v>8522_I MADE SUDIRA SH _ SERTIFIKAT BerAKHLAK</v>
      </c>
      <c r="P8523" s="5" t="s">
        <v>49853</v>
      </c>
    </row>
    <row r="8524">
      <c r="A8524" s="4">
        <v>45534.40581622685</v>
      </c>
      <c r="B8524" s="5" t="s">
        <v>34</v>
      </c>
      <c r="D8524" s="5" t="s">
        <v>1768</v>
      </c>
      <c r="E8524" s="5" t="s">
        <v>53355</v>
      </c>
      <c r="F8524" s="5" t="s">
        <v>524</v>
      </c>
      <c r="G8524" s="5" t="s">
        <v>53356</v>
      </c>
      <c r="H8524" s="6" t="s">
        <v>53357</v>
      </c>
      <c r="K8524" s="5" t="s">
        <v>53352</v>
      </c>
      <c r="M8524" s="5" t="s">
        <v>53358</v>
      </c>
      <c r="N8524" s="7" t="s">
        <v>53359</v>
      </c>
      <c r="O8524" s="8" t="str">
        <f>HYPERLINK("https://drive.google.com/file/d/1BnVC7fW26p0-e2thzjtWiRdCsUveCIJ8/view?usp=drivesdk","8523_LINAWATI _ SERTIFIKAT BerAKHLAK")</f>
        <v>8523_LINAWATI _ SERTIFIKAT BerAKHLAK</v>
      </c>
      <c r="P8524" s="5" t="s">
        <v>49853</v>
      </c>
    </row>
    <row r="8525">
      <c r="A8525" s="4">
        <v>45534.40586133102</v>
      </c>
      <c r="B8525" s="5" t="s">
        <v>34</v>
      </c>
      <c r="D8525" s="5" t="s">
        <v>4775</v>
      </c>
      <c r="E8525" s="5" t="s">
        <v>53360</v>
      </c>
      <c r="F8525" s="5" t="s">
        <v>120</v>
      </c>
      <c r="G8525" s="5" t="s">
        <v>53361</v>
      </c>
      <c r="H8525" s="6" t="s">
        <v>53362</v>
      </c>
      <c r="K8525" s="5" t="s">
        <v>53363</v>
      </c>
      <c r="M8525" s="5" t="s">
        <v>53364</v>
      </c>
      <c r="N8525" s="7" t="s">
        <v>53365</v>
      </c>
      <c r="O8525" s="8" t="str">
        <f>HYPERLINK("https://drive.google.com/file/d/1sQskw_WcyxpHDJ5sPBT6xCyt1p57Mlh2/view?usp=drivesdk","8524_DR. NANUNG BUDI PRAKOSO SP.N. _ SERTIFIKAT BerAKHLAK")</f>
        <v>8524_DR. NANUNG BUDI PRAKOSO SP.N. _ SERTIFIKAT BerAKHLAK</v>
      </c>
      <c r="P8525" s="5" t="s">
        <v>49853</v>
      </c>
    </row>
    <row r="8526">
      <c r="A8526" s="4">
        <v>45534.40590034722</v>
      </c>
      <c r="B8526" s="5" t="s">
        <v>34</v>
      </c>
      <c r="D8526" s="5" t="s">
        <v>35</v>
      </c>
      <c r="E8526" s="5" t="s">
        <v>53366</v>
      </c>
      <c r="F8526" s="5" t="s">
        <v>37</v>
      </c>
      <c r="G8526" s="5" t="s">
        <v>53367</v>
      </c>
      <c r="H8526" s="6" t="s">
        <v>53368</v>
      </c>
      <c r="K8526" s="5" t="s">
        <v>53369</v>
      </c>
      <c r="M8526" s="5" t="s">
        <v>53370</v>
      </c>
      <c r="N8526" s="7" t="s">
        <v>53371</v>
      </c>
      <c r="O8526" s="8" t="str">
        <f>HYPERLINK("https://drive.google.com/file/d/1aX-vGDBRmk5JlETsqeMFLFSb7MZMESj_/view?usp=drivesdk","8525_HENDRA MULYANA _ SERTIFIKAT BerAKHLAK")</f>
        <v>8525_HENDRA MULYANA _ SERTIFIKAT BerAKHLAK</v>
      </c>
      <c r="P8526" s="5" t="s">
        <v>49853</v>
      </c>
    </row>
    <row r="8527">
      <c r="A8527" s="4">
        <v>45534.40597798611</v>
      </c>
      <c r="B8527" s="5" t="s">
        <v>34</v>
      </c>
      <c r="D8527" s="5" t="s">
        <v>1206</v>
      </c>
      <c r="E8527" s="5" t="s">
        <v>53372</v>
      </c>
      <c r="F8527" s="5" t="s">
        <v>37</v>
      </c>
      <c r="G8527" s="5" t="s">
        <v>53373</v>
      </c>
      <c r="H8527" s="6" t="s">
        <v>53374</v>
      </c>
      <c r="K8527" s="5" t="s">
        <v>53375</v>
      </c>
      <c r="M8527" s="5" t="s">
        <v>53376</v>
      </c>
      <c r="N8527" s="7" t="s">
        <v>53377</v>
      </c>
      <c r="O8527" s="8" t="str">
        <f>HYPERLINK("https://drive.google.com/file/d/1SAdr3iHjkhEXbqjzSvfHcB2bjuVbmHUL/view?usp=drivesdk","8526_EKOSUPRIYANTO _ SERTIFIKAT BerAKHLAK")</f>
        <v>8526_EKOSUPRIYANTO _ SERTIFIKAT BerAKHLAK</v>
      </c>
      <c r="P8527" s="5" t="s">
        <v>49880</v>
      </c>
    </row>
    <row r="8528">
      <c r="A8528" s="4">
        <v>45534.40598325232</v>
      </c>
      <c r="B8528" s="5" t="s">
        <v>34</v>
      </c>
      <c r="D8528" s="5" t="s">
        <v>15401</v>
      </c>
      <c r="E8528" s="5" t="s">
        <v>53378</v>
      </c>
      <c r="F8528" s="5" t="s">
        <v>524</v>
      </c>
      <c r="G8528" s="5" t="s">
        <v>53379</v>
      </c>
      <c r="H8528" s="6" t="s">
        <v>53380</v>
      </c>
      <c r="K8528" s="5" t="s">
        <v>53375</v>
      </c>
      <c r="M8528" s="5" t="s">
        <v>53381</v>
      </c>
      <c r="N8528" s="7" t="s">
        <v>53382</v>
      </c>
      <c r="O8528" s="8" t="str">
        <f>HYPERLINK("https://drive.google.com/file/d/1MjL3uD08klBA0d3_MXpNGOvIdgYSBeYf/view?usp=drivesdk","8527_Riwasni,A.Md.Kep., SKM _ SERTIFIKAT BerAKHLAK")</f>
        <v>8527_Riwasni,A.Md.Kep., SKM _ SERTIFIKAT BerAKHLAK</v>
      </c>
      <c r="P8528" s="5" t="s">
        <v>49880</v>
      </c>
    </row>
    <row r="8529">
      <c r="A8529" s="4">
        <v>45534.405994699075</v>
      </c>
      <c r="B8529" s="5" t="s">
        <v>34</v>
      </c>
      <c r="D8529" s="5" t="s">
        <v>11913</v>
      </c>
      <c r="E8529" s="5" t="s">
        <v>53383</v>
      </c>
      <c r="F8529" s="5" t="s">
        <v>212</v>
      </c>
      <c r="G8529" s="5" t="s">
        <v>53384</v>
      </c>
      <c r="H8529" s="6" t="s">
        <v>53385</v>
      </c>
      <c r="K8529" s="5" t="s">
        <v>53375</v>
      </c>
      <c r="M8529" s="5" t="s">
        <v>53386</v>
      </c>
      <c r="N8529" s="7" t="s">
        <v>53387</v>
      </c>
      <c r="O8529" s="8" t="str">
        <f>HYPERLINK("https://drive.google.com/file/d/1BdH11DpUpQmnMtSMQp4sDhBkyEbPgQAN/view?usp=drivesdk","8528_ASTRY EROSETYAWATI, Amd.Keb _ SERTIFIKAT BerAKHLAK")</f>
        <v>8528_ASTRY EROSETYAWATI, Amd.Keb _ SERTIFIKAT BerAKHLAK</v>
      </c>
      <c r="P8529" s="5" t="s">
        <v>49880</v>
      </c>
    </row>
    <row r="8530">
      <c r="A8530" s="4">
        <v>45534.40603184028</v>
      </c>
      <c r="B8530" s="5" t="s">
        <v>34</v>
      </c>
      <c r="D8530" s="5" t="s">
        <v>701</v>
      </c>
      <c r="E8530" s="5" t="s">
        <v>53388</v>
      </c>
      <c r="F8530" s="5" t="s">
        <v>212</v>
      </c>
      <c r="G8530" s="5" t="s">
        <v>53389</v>
      </c>
      <c r="H8530" s="6" t="s">
        <v>53390</v>
      </c>
      <c r="K8530" s="5" t="s">
        <v>53375</v>
      </c>
      <c r="M8530" s="5" t="s">
        <v>53391</v>
      </c>
      <c r="N8530" s="7" t="s">
        <v>53392</v>
      </c>
      <c r="O8530" s="8" t="str">
        <f>HYPERLINK("https://drive.google.com/file/d/1yrAlgFowNWGWQLCOwNGYCOGc9edokJ4x/view?usp=drivesdk","8529_ISWANDI _ SERTIFIKAT BerAKHLAK")</f>
        <v>8529_ISWANDI _ SERTIFIKAT BerAKHLAK</v>
      </c>
      <c r="P8530" s="5" t="s">
        <v>49880</v>
      </c>
    </row>
    <row r="8531">
      <c r="A8531" s="4">
        <v>45534.40608532407</v>
      </c>
      <c r="B8531" s="5" t="s">
        <v>34</v>
      </c>
      <c r="D8531" s="5" t="s">
        <v>9394</v>
      </c>
      <c r="E8531" s="5" t="s">
        <v>53393</v>
      </c>
      <c r="F8531" s="5" t="s">
        <v>212</v>
      </c>
      <c r="G8531" s="5" t="s">
        <v>53394</v>
      </c>
      <c r="H8531" s="6" t="s">
        <v>53395</v>
      </c>
      <c r="K8531" s="5" t="s">
        <v>53375</v>
      </c>
      <c r="M8531" s="5" t="s">
        <v>53396</v>
      </c>
      <c r="N8531" s="7" t="s">
        <v>53397</v>
      </c>
      <c r="O8531" s="8" t="str">
        <f>HYPERLINK("https://drive.google.com/file/d/1oiu4Yih-yGpc-Ch4E2nH1510z3KIncmX/view?usp=drivesdk","8530_CERIANA  _ SERTIFIKAT BerAKHLAK")</f>
        <v>8530_CERIANA  _ SERTIFIKAT BerAKHLAK</v>
      </c>
      <c r="P8531" s="5" t="s">
        <v>49880</v>
      </c>
    </row>
    <row r="8532">
      <c r="A8532" s="4">
        <v>45534.40609105324</v>
      </c>
      <c r="B8532" s="5" t="s">
        <v>34</v>
      </c>
      <c r="D8532" s="5" t="s">
        <v>15401</v>
      </c>
      <c r="E8532" s="5" t="s">
        <v>53398</v>
      </c>
      <c r="F8532" s="5" t="s">
        <v>37</v>
      </c>
      <c r="G8532" s="5" t="s">
        <v>53399</v>
      </c>
      <c r="H8532" s="6" t="s">
        <v>53400</v>
      </c>
      <c r="K8532" s="5" t="s">
        <v>53375</v>
      </c>
      <c r="M8532" s="5" t="s">
        <v>53401</v>
      </c>
      <c r="N8532" s="7" t="s">
        <v>53402</v>
      </c>
      <c r="O8532" s="8" t="str">
        <f>HYPERLINK("https://drive.google.com/file/d/1kL0nMHnm4ToE85vyBPBwZ93Jm19uuivs/view?usp=drivesdk","8531_SRISENDELY LAOHAN _ SERTIFIKAT BerAKHLAK")</f>
        <v>8531_SRISENDELY LAOHAN _ SERTIFIKAT BerAKHLAK</v>
      </c>
      <c r="P8532" s="5" t="s">
        <v>49880</v>
      </c>
    </row>
    <row r="8533">
      <c r="A8533" s="4">
        <v>45534.40609421296</v>
      </c>
      <c r="B8533" s="5" t="s">
        <v>34</v>
      </c>
      <c r="D8533" s="5" t="s">
        <v>9020</v>
      </c>
      <c r="E8533" s="5" t="s">
        <v>53403</v>
      </c>
      <c r="F8533" s="5" t="s">
        <v>212</v>
      </c>
      <c r="G8533" s="5" t="s">
        <v>49204</v>
      </c>
      <c r="H8533" s="6" t="s">
        <v>53404</v>
      </c>
      <c r="K8533" s="5" t="s">
        <v>53375</v>
      </c>
      <c r="M8533" s="5" t="s">
        <v>53405</v>
      </c>
      <c r="N8533" s="7" t="s">
        <v>53406</v>
      </c>
      <c r="O8533" s="8" t="str">
        <f>HYPERLINK("https://drive.google.com/file/d/11RbFNp50pw4JXnM5AzWpvcmwiovQTVZM/view?usp=drivesdk","8532_HOTMA  LAMRIA  SARMAULI  SIANIPAR _ SERTIFIKAT BerAKHLAK")</f>
        <v>8532_HOTMA  LAMRIA  SARMAULI  SIANIPAR _ SERTIFIKAT BerAKHLAK</v>
      </c>
      <c r="P8533" s="5" t="s">
        <v>52000</v>
      </c>
    </row>
    <row r="8534" hidden="1">
      <c r="A8534" s="4">
        <v>45534.40619327546</v>
      </c>
      <c r="B8534" s="5" t="s">
        <v>19</v>
      </c>
      <c r="C8534" s="5" t="s">
        <v>1606</v>
      </c>
      <c r="E8534" s="5" t="s">
        <v>53407</v>
      </c>
      <c r="F8534" s="5" t="s">
        <v>375</v>
      </c>
      <c r="G8534" s="5" t="s">
        <v>53408</v>
      </c>
      <c r="H8534" s="6" t="s">
        <v>53409</v>
      </c>
      <c r="K8534" s="5" t="s">
        <v>53410</v>
      </c>
      <c r="M8534" s="5" t="s">
        <v>53411</v>
      </c>
      <c r="N8534" s="7" t="s">
        <v>53412</v>
      </c>
      <c r="O8534" s="8" t="str">
        <f>HYPERLINK("https://drive.google.com/file/d/1-_PYoZqpoYz-Oj-EE7pMNIxY0KjSCqg3/view?usp=drivesdk","8533_SAKINAH LISTIARA, S.Kom. _ SERTIFIKAT BerAKHLAK")</f>
        <v>8533_SAKINAH LISTIARA, S.Kom. _ SERTIFIKAT BerAKHLAK</v>
      </c>
      <c r="P8534" s="5" t="s">
        <v>52000</v>
      </c>
    </row>
    <row r="8535">
      <c r="A8535" s="4">
        <v>45534.406215219904</v>
      </c>
      <c r="B8535" s="5" t="s">
        <v>34</v>
      </c>
      <c r="D8535" s="5" t="s">
        <v>35</v>
      </c>
      <c r="E8535" s="5" t="s">
        <v>53413</v>
      </c>
      <c r="F8535" s="5" t="s">
        <v>375</v>
      </c>
      <c r="G8535" s="5" t="s">
        <v>53414</v>
      </c>
      <c r="H8535" s="6" t="s">
        <v>53415</v>
      </c>
      <c r="K8535" s="5" t="s">
        <v>53410</v>
      </c>
      <c r="M8535" s="5" t="s">
        <v>53416</v>
      </c>
      <c r="N8535" s="7" t="s">
        <v>53417</v>
      </c>
      <c r="O8535" s="8" t="str">
        <f>HYPERLINK("https://drive.google.com/file/d/165AYYUDLQiWpHBIaUSok6qD8A1077aA_/view?usp=drivesdk","8534_SINTA KURNIA SARI, SE., MM _ SERTIFIKAT BerAKHLAK")</f>
        <v>8534_SINTA KURNIA SARI, SE., MM _ SERTIFIKAT BerAKHLAK</v>
      </c>
      <c r="P8535" s="5" t="s">
        <v>52000</v>
      </c>
    </row>
    <row r="8536">
      <c r="A8536" s="4">
        <v>45534.40629292824</v>
      </c>
      <c r="B8536" s="5" t="s">
        <v>34</v>
      </c>
      <c r="D8536" s="5" t="s">
        <v>10444</v>
      </c>
      <c r="E8536" s="5" t="s">
        <v>38131</v>
      </c>
      <c r="F8536" s="5" t="s">
        <v>108</v>
      </c>
      <c r="G8536" s="5" t="s">
        <v>53418</v>
      </c>
      <c r="H8536" s="6" t="s">
        <v>53419</v>
      </c>
      <c r="K8536" s="5" t="s">
        <v>53410</v>
      </c>
      <c r="M8536" s="5" t="s">
        <v>53420</v>
      </c>
      <c r="N8536" s="7" t="s">
        <v>53421</v>
      </c>
      <c r="O8536" s="8" t="str">
        <f>HYPERLINK("https://drive.google.com/file/d/1OEYQK1fz_ZcoCXlbKFLNrBUifvbF4dXK/view?usp=drivesdk","8535_SUCI JAMIAH _ SERTIFIKAT BerAKHLAK")</f>
        <v>8535_SUCI JAMIAH _ SERTIFIKAT BerAKHLAK</v>
      </c>
      <c r="P8536" s="5" t="s">
        <v>52000</v>
      </c>
    </row>
    <row r="8537">
      <c r="A8537" s="4">
        <v>45534.406314120366</v>
      </c>
      <c r="B8537" s="5" t="s">
        <v>34</v>
      </c>
      <c r="D8537" s="5" t="s">
        <v>4775</v>
      </c>
      <c r="E8537" s="5" t="s">
        <v>53422</v>
      </c>
      <c r="F8537" s="5" t="s">
        <v>37</v>
      </c>
      <c r="G8537" s="5" t="s">
        <v>53423</v>
      </c>
      <c r="H8537" s="6" t="s">
        <v>53424</v>
      </c>
      <c r="K8537" s="5" t="s">
        <v>53410</v>
      </c>
      <c r="M8537" s="5" t="s">
        <v>53425</v>
      </c>
      <c r="N8537" s="7" t="s">
        <v>53426</v>
      </c>
      <c r="O8537" s="8" t="str">
        <f>HYPERLINK("https://drive.google.com/file/d/1u-v09bt6WrYunZjV_nOQ19Sr_y146ItL/view?usp=drivesdk","8536_DINA ANDRIANI _ SERTIFIKAT BerAKHLAK")</f>
        <v>8536_DINA ANDRIANI _ SERTIFIKAT BerAKHLAK</v>
      </c>
      <c r="P8537" s="5" t="s">
        <v>52000</v>
      </c>
    </row>
    <row r="8538">
      <c r="A8538" s="4">
        <v>45534.40631723379</v>
      </c>
      <c r="B8538" s="5" t="s">
        <v>34</v>
      </c>
      <c r="D8538" s="5" t="s">
        <v>10444</v>
      </c>
      <c r="E8538" s="5" t="s">
        <v>53427</v>
      </c>
      <c r="F8538" s="5" t="s">
        <v>212</v>
      </c>
      <c r="G8538" s="5" t="s">
        <v>53428</v>
      </c>
      <c r="H8538" s="6" t="s">
        <v>53429</v>
      </c>
      <c r="K8538" s="5" t="s">
        <v>53410</v>
      </c>
      <c r="M8538" s="5" t="s">
        <v>53430</v>
      </c>
      <c r="N8538" s="7" t="s">
        <v>53431</v>
      </c>
      <c r="O8538" s="8" t="str">
        <f>HYPERLINK("https://drive.google.com/file/d/1VDK2oFgehMQOJiaRIkymG7fMs59ZA0wf/view?usp=drivesdk","8537_IVAN AGUSTA, S.I.P _ SERTIFIKAT BerAKHLAK")</f>
        <v>8537_IVAN AGUSTA, S.I.P _ SERTIFIKAT BerAKHLAK</v>
      </c>
      <c r="P8538" s="5" t="s">
        <v>52000</v>
      </c>
    </row>
    <row r="8539" hidden="1">
      <c r="A8539" s="4">
        <v>45534.4063284838</v>
      </c>
      <c r="B8539" s="5" t="s">
        <v>19</v>
      </c>
      <c r="C8539" s="5" t="s">
        <v>292</v>
      </c>
      <c r="E8539" s="5" t="s">
        <v>53432</v>
      </c>
      <c r="F8539" s="5" t="s">
        <v>212</v>
      </c>
      <c r="G8539" s="5" t="s">
        <v>53433</v>
      </c>
      <c r="H8539" s="6" t="s">
        <v>53434</v>
      </c>
      <c r="K8539" s="5" t="s">
        <v>53410</v>
      </c>
      <c r="M8539" s="5" t="s">
        <v>53435</v>
      </c>
      <c r="N8539" s="7" t="s">
        <v>53436</v>
      </c>
      <c r="O8539" s="8" t="str">
        <f>HYPERLINK("https://drive.google.com/file/d/1el87JNiGuyofmYErcG7Dh03ix7_LspmP/view?usp=drivesdk","8538_MUSTAQFIRIN _ SERTIFIKAT BerAKHLAK")</f>
        <v>8538_MUSTAQFIRIN _ SERTIFIKAT BerAKHLAK</v>
      </c>
      <c r="P8539" s="5" t="s">
        <v>52016</v>
      </c>
    </row>
    <row r="8540">
      <c r="A8540" s="4">
        <v>45534.40636104166</v>
      </c>
      <c r="B8540" s="5" t="s">
        <v>34</v>
      </c>
      <c r="D8540" s="5" t="s">
        <v>1456</v>
      </c>
      <c r="E8540" s="5" t="s">
        <v>50160</v>
      </c>
      <c r="F8540" s="5" t="s">
        <v>108</v>
      </c>
      <c r="G8540" s="5" t="s">
        <v>53437</v>
      </c>
      <c r="H8540" s="6" t="s">
        <v>53438</v>
      </c>
      <c r="K8540" s="5" t="s">
        <v>53410</v>
      </c>
      <c r="M8540" s="5" t="s">
        <v>53439</v>
      </c>
      <c r="N8540" s="7" t="s">
        <v>53440</v>
      </c>
      <c r="O8540" s="8" t="str">
        <f>HYPERLINK("https://drive.google.com/file/d/1vpA-dZmrTDdHZY-dxYJVEMTYA-2MOMvG/view?usp=drivesdk","8539_NURHAYATI,S.KOM _ SERTIFIKAT BerAKHLAK")</f>
        <v>8539_NURHAYATI,S.KOM _ SERTIFIKAT BerAKHLAK</v>
      </c>
      <c r="P8540" s="5" t="s">
        <v>52016</v>
      </c>
    </row>
    <row r="8541">
      <c r="A8541" s="4">
        <v>45534.406388414354</v>
      </c>
      <c r="B8541" s="5" t="s">
        <v>34</v>
      </c>
      <c r="D8541" s="5" t="s">
        <v>4775</v>
      </c>
      <c r="E8541" s="5" t="s">
        <v>53441</v>
      </c>
      <c r="F8541" s="5" t="s">
        <v>108</v>
      </c>
      <c r="G8541" s="5" t="s">
        <v>53442</v>
      </c>
      <c r="H8541" s="6" t="s">
        <v>53443</v>
      </c>
      <c r="K8541" s="5" t="s">
        <v>53410</v>
      </c>
      <c r="M8541" s="5" t="s">
        <v>53444</v>
      </c>
      <c r="N8541" s="7" t="s">
        <v>53445</v>
      </c>
      <c r="O8541" s="8" t="str">
        <f>HYPERLINK("https://drive.google.com/file/d/1IVzVMwiH4iJZSpOG1L2n-t0dSnX6L1Wh/view?usp=drivesdk","8540_NOVITARIA. S _ SERTIFIKAT BerAKHLAK")</f>
        <v>8540_NOVITARIA. S _ SERTIFIKAT BerAKHLAK</v>
      </c>
      <c r="P8541" s="5" t="s">
        <v>52016</v>
      </c>
    </row>
    <row r="8542">
      <c r="A8542" s="4">
        <v>45534.406397812505</v>
      </c>
      <c r="B8542" s="5" t="s">
        <v>34</v>
      </c>
      <c r="D8542" s="5" t="s">
        <v>4775</v>
      </c>
      <c r="E8542" s="5" t="s">
        <v>53446</v>
      </c>
      <c r="F8542" s="5" t="s">
        <v>212</v>
      </c>
      <c r="G8542" s="5" t="s">
        <v>53447</v>
      </c>
      <c r="H8542" s="6" t="s">
        <v>53448</v>
      </c>
      <c r="K8542" s="5" t="s">
        <v>53410</v>
      </c>
      <c r="M8542" s="5" t="s">
        <v>53449</v>
      </c>
      <c r="N8542" s="7" t="s">
        <v>53450</v>
      </c>
      <c r="O8542" s="8" t="str">
        <f>HYPERLINK("https://drive.google.com/file/d/1t506KitMxK5OpozQ2sPdsrA_C1Ylv1R3/view?usp=drivesdk","8541_ASLIYAH _ SERTIFIKAT BerAKHLAK")</f>
        <v>8541_ASLIYAH _ SERTIFIKAT BerAKHLAK</v>
      </c>
      <c r="P8542" s="5" t="s">
        <v>52016</v>
      </c>
    </row>
    <row r="8543">
      <c r="A8543" s="4">
        <v>45534.40644436343</v>
      </c>
      <c r="B8543" s="5" t="s">
        <v>34</v>
      </c>
      <c r="D8543" s="5" t="s">
        <v>604</v>
      </c>
      <c r="E8543" s="5" t="s">
        <v>53451</v>
      </c>
      <c r="F8543" s="5" t="s">
        <v>212</v>
      </c>
      <c r="G8543" s="5" t="s">
        <v>53452</v>
      </c>
      <c r="H8543" s="6" t="s">
        <v>53453</v>
      </c>
      <c r="K8543" s="5" t="s">
        <v>53454</v>
      </c>
      <c r="M8543" s="5" t="s">
        <v>53455</v>
      </c>
      <c r="N8543" s="7" t="s">
        <v>53456</v>
      </c>
      <c r="O8543" s="8" t="str">
        <f>HYPERLINK("https://drive.google.com/file/d/1QVR1zyw83j4TNQJzfM8mrI58Igcpg39x/view?usp=drivesdk","8542_Andi Ikhmasabaniyah, S.Kep _ SERTIFIKAT BerAKHLAK")</f>
        <v>8542_Andi Ikhmasabaniyah, S.Kep _ SERTIFIKAT BerAKHLAK</v>
      </c>
      <c r="P8543" s="5" t="s">
        <v>52016</v>
      </c>
    </row>
    <row r="8544" hidden="1">
      <c r="A8544" s="4">
        <v>45534.40652226852</v>
      </c>
      <c r="B8544" s="5" t="s">
        <v>19</v>
      </c>
      <c r="C8544" s="5" t="s">
        <v>3301</v>
      </c>
      <c r="E8544" s="5" t="s">
        <v>53457</v>
      </c>
      <c r="F8544" s="5" t="s">
        <v>524</v>
      </c>
      <c r="G8544" s="5" t="s">
        <v>53458</v>
      </c>
      <c r="H8544" s="6" t="s">
        <v>53459</v>
      </c>
      <c r="K8544" s="5" t="s">
        <v>53460</v>
      </c>
      <c r="M8544" s="5" t="s">
        <v>53461</v>
      </c>
      <c r="N8544" s="7" t="s">
        <v>53462</v>
      </c>
      <c r="O8544" s="8" t="str">
        <f>HYPERLINK("https://drive.google.com/file/d/1QmBbPdjT5PkbQmNthYprETFxTEJJjItr/view?usp=drivesdk","8543_DESI CANDRA DEWI, S. Kep _ SERTIFIKAT BerAKHLAK")</f>
        <v>8543_DESI CANDRA DEWI, S. Kep _ SERTIFIKAT BerAKHLAK</v>
      </c>
      <c r="P8544" s="5" t="s">
        <v>49892</v>
      </c>
    </row>
    <row r="8545">
      <c r="A8545" s="4">
        <v>45534.40652916666</v>
      </c>
      <c r="B8545" s="5" t="s">
        <v>34</v>
      </c>
      <c r="D8545" s="5" t="s">
        <v>1558</v>
      </c>
      <c r="E8545" s="5" t="s">
        <v>53463</v>
      </c>
      <c r="F8545" s="5" t="s">
        <v>72</v>
      </c>
      <c r="G8545" s="5" t="s">
        <v>53464</v>
      </c>
      <c r="H8545" s="6" t="s">
        <v>53465</v>
      </c>
      <c r="K8545" s="5" t="s">
        <v>53460</v>
      </c>
      <c r="M8545" s="5" t="s">
        <v>53466</v>
      </c>
      <c r="N8545" s="7" t="s">
        <v>53467</v>
      </c>
      <c r="O8545" s="8" t="str">
        <f>HYPERLINK("https://drive.google.com/file/d/1fTVONI-40-WvoylAkbXlmHEDgtj8PqBs/view?usp=drivesdk","8544_ENDAH ARNINGSIH  _ SERTIFIKAT BerAKHLAK")</f>
        <v>8544_ENDAH ARNINGSIH  _ SERTIFIKAT BerAKHLAK</v>
      </c>
      <c r="P8545" s="5" t="s">
        <v>49892</v>
      </c>
    </row>
    <row r="8546">
      <c r="A8546" s="4">
        <v>45534.406533333335</v>
      </c>
      <c r="B8546" s="5" t="s">
        <v>34</v>
      </c>
      <c r="D8546" s="5" t="s">
        <v>11913</v>
      </c>
      <c r="E8546" s="5" t="s">
        <v>53468</v>
      </c>
      <c r="F8546" s="5" t="s">
        <v>120</v>
      </c>
      <c r="G8546" s="5" t="s">
        <v>53469</v>
      </c>
      <c r="H8546" s="6" t="s">
        <v>53470</v>
      </c>
      <c r="K8546" s="5" t="s">
        <v>53460</v>
      </c>
      <c r="M8546" s="5" t="s">
        <v>53471</v>
      </c>
      <c r="N8546" s="7" t="s">
        <v>53472</v>
      </c>
      <c r="O8546" s="8" t="str">
        <f>HYPERLINK("https://drive.google.com/file/d/1Bs_vsek8lprp4qfkafN32B8YVX8oipnn/view?usp=drivesdk","8545_JANUARI HUTAGAOL, S.T., M.M. _ SERTIFIKAT BerAKHLAK")</f>
        <v>8545_JANUARI HUTAGAOL, S.T., M.M. _ SERTIFIKAT BerAKHLAK</v>
      </c>
      <c r="P8546" s="5" t="s">
        <v>49892</v>
      </c>
    </row>
    <row r="8547">
      <c r="A8547" s="4">
        <v>45534.4065355787</v>
      </c>
      <c r="B8547" s="5" t="s">
        <v>34</v>
      </c>
      <c r="D8547" s="5" t="s">
        <v>14313</v>
      </c>
      <c r="E8547" s="5" t="s">
        <v>53473</v>
      </c>
      <c r="F8547" s="5" t="s">
        <v>72</v>
      </c>
      <c r="G8547" s="5" t="s">
        <v>53474</v>
      </c>
      <c r="H8547" s="6" t="s">
        <v>53475</v>
      </c>
      <c r="K8547" s="5" t="s">
        <v>53460</v>
      </c>
      <c r="M8547" s="5" t="s">
        <v>53476</v>
      </c>
      <c r="N8547" s="7" t="s">
        <v>53477</v>
      </c>
      <c r="O8547" s="8" t="str">
        <f>HYPERLINK("https://drive.google.com/file/d/1rPkkBfeKWPrl341WOe6mY4QuDUDuzu0d/view?usp=drivesdk","8546_HASNAH _ SERTIFIKAT BerAKHLAK")</f>
        <v>8546_HASNAH _ SERTIFIKAT BerAKHLAK</v>
      </c>
      <c r="P8547" s="5" t="s">
        <v>53310</v>
      </c>
    </row>
    <row r="8548">
      <c r="A8548" s="4">
        <v>45534.4065671412</v>
      </c>
      <c r="B8548" s="5" t="s">
        <v>34</v>
      </c>
      <c r="D8548" s="5" t="s">
        <v>4775</v>
      </c>
      <c r="E8548" s="5" t="s">
        <v>19564</v>
      </c>
      <c r="F8548" s="5" t="s">
        <v>212</v>
      </c>
      <c r="G8548" s="5" t="s">
        <v>53478</v>
      </c>
      <c r="H8548" s="6" t="s">
        <v>53479</v>
      </c>
      <c r="K8548" s="5" t="s">
        <v>53460</v>
      </c>
      <c r="M8548" s="5" t="s">
        <v>53480</v>
      </c>
      <c r="N8548" s="7" t="s">
        <v>53481</v>
      </c>
      <c r="O8548" s="8" t="str">
        <f>HYPERLINK("https://drive.google.com/file/d/1DIGJ5eHJbtVjDFsTcPQGk4Hhb49gCEPc/view?usp=drivesdk","8547_HARTINI _ SERTIFIKAT BerAKHLAK")</f>
        <v>8547_HARTINI _ SERTIFIKAT BerAKHLAK</v>
      </c>
      <c r="P8548" s="5" t="s">
        <v>53310</v>
      </c>
    </row>
    <row r="8549">
      <c r="A8549" s="4">
        <v>45534.40671427084</v>
      </c>
      <c r="B8549" s="5" t="s">
        <v>34</v>
      </c>
      <c r="D8549" s="5" t="s">
        <v>1692</v>
      </c>
      <c r="E8549" s="5" t="s">
        <v>53482</v>
      </c>
      <c r="F8549" s="5" t="s">
        <v>37</v>
      </c>
      <c r="G8549" s="5" t="s">
        <v>53483</v>
      </c>
      <c r="H8549" s="6" t="s">
        <v>53484</v>
      </c>
      <c r="K8549" s="5" t="s">
        <v>53485</v>
      </c>
      <c r="M8549" s="5" t="s">
        <v>53486</v>
      </c>
      <c r="N8549" s="7" t="s">
        <v>53487</v>
      </c>
      <c r="O8549" s="8" t="str">
        <f>HYPERLINK("https://drive.google.com/file/d/1sdomlHD4D9TQzz_DuZof_DUxjxnTCw9P/view?usp=drivesdk","8548_JOHN B. KAKISINA _ SERTIFIKAT BerAKHLAK")</f>
        <v>8548_JOHN B. KAKISINA _ SERTIFIKAT BerAKHLAK</v>
      </c>
      <c r="P8549" s="5" t="s">
        <v>53488</v>
      </c>
    </row>
    <row r="8550">
      <c r="A8550" s="4">
        <v>45534.40673113426</v>
      </c>
      <c r="B8550" s="5" t="s">
        <v>34</v>
      </c>
      <c r="D8550" s="5" t="s">
        <v>12978</v>
      </c>
      <c r="E8550" s="5" t="s">
        <v>53489</v>
      </c>
      <c r="F8550" s="5" t="s">
        <v>212</v>
      </c>
      <c r="G8550" s="5" t="s">
        <v>53490</v>
      </c>
      <c r="H8550" s="6" t="s">
        <v>53491</v>
      </c>
      <c r="K8550" s="5" t="s">
        <v>53485</v>
      </c>
      <c r="M8550" s="5" t="s">
        <v>53492</v>
      </c>
      <c r="N8550" s="7" t="s">
        <v>53493</v>
      </c>
      <c r="O8550" s="8" t="str">
        <f>HYPERLINK("https://drive.google.com/file/d/1-M4s0dImYha9uwvRyxieFv07La23b6y3/view?usp=drivesdk","8549_RATNA MIYATI,S.H. _ SERTIFIKAT BerAKHLAK")</f>
        <v>8549_RATNA MIYATI,S.H. _ SERTIFIKAT BerAKHLAK</v>
      </c>
      <c r="P8550" s="5" t="s">
        <v>53488</v>
      </c>
    </row>
    <row r="8551">
      <c r="A8551" s="4">
        <v>45534.406779282406</v>
      </c>
      <c r="B8551" s="5" t="s">
        <v>34</v>
      </c>
      <c r="D8551" s="5" t="s">
        <v>580</v>
      </c>
      <c r="E8551" s="5" t="s">
        <v>53494</v>
      </c>
      <c r="F8551" s="5" t="s">
        <v>212</v>
      </c>
      <c r="G8551" s="5" t="s">
        <v>53495</v>
      </c>
      <c r="H8551" s="6" t="s">
        <v>53496</v>
      </c>
      <c r="K8551" s="5" t="s">
        <v>53485</v>
      </c>
      <c r="M8551" s="5" t="s">
        <v>53497</v>
      </c>
      <c r="N8551" s="7" t="s">
        <v>53498</v>
      </c>
      <c r="O8551" s="8" t="str">
        <f>HYPERLINK("https://drive.google.com/file/d/1OX9AV5RIxl-obSOJWYRQvfVTTY9je24Z/view?usp=drivesdk","8550_NI MADE HERMAYUNI  _ SERTIFIKAT BerAKHLAK")</f>
        <v>8550_NI MADE HERMAYUNI  _ SERTIFIKAT BerAKHLAK</v>
      </c>
      <c r="P8551" s="5" t="s">
        <v>53488</v>
      </c>
    </row>
    <row r="8552">
      <c r="A8552" s="4">
        <v>45534.406805624996</v>
      </c>
      <c r="B8552" s="5" t="s">
        <v>34</v>
      </c>
      <c r="D8552" s="5" t="s">
        <v>15401</v>
      </c>
      <c r="E8552" s="5" t="s">
        <v>53499</v>
      </c>
      <c r="F8552" s="5" t="s">
        <v>108</v>
      </c>
      <c r="G8552" s="5" t="s">
        <v>53500</v>
      </c>
      <c r="H8552" s="6" t="s">
        <v>53501</v>
      </c>
      <c r="K8552" s="5" t="s">
        <v>53502</v>
      </c>
      <c r="M8552" s="5" t="s">
        <v>53503</v>
      </c>
      <c r="N8552" s="7" t="s">
        <v>53504</v>
      </c>
      <c r="O8552" s="8" t="str">
        <f>HYPERLINK("https://drive.google.com/file/d/1dZtlW_zJs4WaaV_77RwnhC5CCYJzzN5q/view?usp=drivesdk","8551_RISKIN ADE PUTRI,Amd.Kep.,SKM _ SERTIFIKAT BerAKHLAK")</f>
        <v>8551_RISKIN ADE PUTRI,Amd.Kep.,SKM _ SERTIFIKAT BerAKHLAK</v>
      </c>
      <c r="P8552" s="5" t="s">
        <v>53488</v>
      </c>
    </row>
    <row r="8553">
      <c r="A8553" s="4">
        <v>45534.40685337963</v>
      </c>
      <c r="B8553" s="5" t="s">
        <v>34</v>
      </c>
      <c r="D8553" s="5" t="s">
        <v>15401</v>
      </c>
      <c r="E8553" s="5" t="s">
        <v>53505</v>
      </c>
      <c r="F8553" s="5" t="s">
        <v>108</v>
      </c>
      <c r="G8553" s="5" t="s">
        <v>53506</v>
      </c>
      <c r="H8553" s="6" t="s">
        <v>53507</v>
      </c>
      <c r="K8553" s="5" t="s">
        <v>53502</v>
      </c>
      <c r="M8553" s="5" t="s">
        <v>53508</v>
      </c>
      <c r="N8553" s="7" t="s">
        <v>53509</v>
      </c>
      <c r="O8553" s="8" t="str">
        <f>HYPERLINK("https://drive.google.com/file/d/17GCXbMlX6SF9N3WR1V322pm5tUP8BCyK/view?usp=drivesdk","8552_Idawati Amd. Keb _ SERTIFIKAT BerAKHLAK")</f>
        <v>8552_Idawati Amd. Keb _ SERTIFIKAT BerAKHLAK</v>
      </c>
      <c r="P8553" s="5" t="s">
        <v>53510</v>
      </c>
    </row>
    <row r="8554">
      <c r="A8554" s="4">
        <v>45534.40689805556</v>
      </c>
      <c r="B8554" s="5" t="s">
        <v>34</v>
      </c>
      <c r="D8554" s="5" t="s">
        <v>12010</v>
      </c>
      <c r="E8554" s="5" t="s">
        <v>53511</v>
      </c>
      <c r="F8554" s="5" t="s">
        <v>212</v>
      </c>
      <c r="G8554" s="5" t="s">
        <v>53512</v>
      </c>
      <c r="H8554" s="6" t="s">
        <v>53513</v>
      </c>
      <c r="K8554" s="5" t="s">
        <v>53514</v>
      </c>
      <c r="M8554" s="5" t="s">
        <v>53515</v>
      </c>
      <c r="N8554" s="7" t="s">
        <v>53516</v>
      </c>
      <c r="O8554" s="8" t="str">
        <f>HYPERLINK("https://drive.google.com/file/d/14epJ5btXJ9H44vWXpyCmgr5tE6C2UtYP/view?usp=drivesdk","8553_RATNA KASIM PANIGORO  _ SERTIFIKAT BerAKHLAK")</f>
        <v>8553_RATNA KASIM PANIGORO  _ SERTIFIKAT BerAKHLAK</v>
      </c>
      <c r="P8554" s="5" t="s">
        <v>53510</v>
      </c>
    </row>
    <row r="8555">
      <c r="A8555" s="4">
        <v>45534.40691731482</v>
      </c>
      <c r="B8555" s="5" t="s">
        <v>34</v>
      </c>
      <c r="D8555" s="5" t="s">
        <v>1206</v>
      </c>
      <c r="E8555" s="5" t="s">
        <v>53517</v>
      </c>
      <c r="F8555" s="5" t="s">
        <v>212</v>
      </c>
      <c r="G8555" s="5" t="s">
        <v>53518</v>
      </c>
      <c r="H8555" s="6" t="s">
        <v>53519</v>
      </c>
      <c r="K8555" s="5" t="s">
        <v>53514</v>
      </c>
      <c r="M8555" s="5" t="s">
        <v>53520</v>
      </c>
      <c r="N8555" s="7" t="s">
        <v>53521</v>
      </c>
      <c r="O8555" s="8" t="str">
        <f>HYPERLINK("https://drive.google.com/file/d/1FGbr0P2gzhf6yYefoBV1wwAt8v_vH3Ty/view?usp=drivesdk","8554_FATHORRAHMAN  _ SERTIFIKAT BerAKHLAK")</f>
        <v>8554_FATHORRAHMAN  _ SERTIFIKAT BerAKHLAK</v>
      </c>
      <c r="P8555" s="5" t="s">
        <v>53510</v>
      </c>
    </row>
    <row r="8556">
      <c r="A8556" s="4">
        <v>45534.4069266088</v>
      </c>
      <c r="B8556" s="5" t="s">
        <v>34</v>
      </c>
      <c r="D8556" s="5" t="s">
        <v>35</v>
      </c>
      <c r="E8556" s="5" t="s">
        <v>53522</v>
      </c>
      <c r="F8556" s="5" t="s">
        <v>72</v>
      </c>
      <c r="G8556" s="5" t="s">
        <v>53523</v>
      </c>
      <c r="H8556" s="6" t="s">
        <v>53524</v>
      </c>
      <c r="K8556" s="5" t="s">
        <v>53514</v>
      </c>
      <c r="M8556" s="5" t="s">
        <v>53525</v>
      </c>
      <c r="N8556" s="7" t="s">
        <v>53526</v>
      </c>
      <c r="O8556" s="8" t="str">
        <f>HYPERLINK("https://drive.google.com/file/d/15-RBVgHgx1H8dGqoqSvUmloE_dn3YYHx/view?usp=drivesdk","8555_SRI MULYANI AMD.AK _ SERTIFIKAT BerAKHLAK")</f>
        <v>8555_SRI MULYANI AMD.AK _ SERTIFIKAT BerAKHLAK</v>
      </c>
      <c r="P8556" s="5" t="s">
        <v>53527</v>
      </c>
    </row>
    <row r="8557" hidden="1">
      <c r="A8557" s="4">
        <v>45534.40695065972</v>
      </c>
      <c r="B8557" s="5" t="s">
        <v>19</v>
      </c>
      <c r="C8557" s="5" t="s">
        <v>20</v>
      </c>
      <c r="E8557" s="5" t="s">
        <v>53528</v>
      </c>
      <c r="F8557" s="5" t="s">
        <v>72</v>
      </c>
      <c r="G8557" s="5" t="s">
        <v>53529</v>
      </c>
      <c r="H8557" s="6" t="s">
        <v>53530</v>
      </c>
      <c r="K8557" s="5" t="s">
        <v>53514</v>
      </c>
      <c r="M8557" s="5" t="s">
        <v>53531</v>
      </c>
      <c r="N8557" s="7" t="s">
        <v>53532</v>
      </c>
      <c r="O8557" s="8" t="str">
        <f>HYPERLINK("https://drive.google.com/file/d/15tRbiZ7M6MTfgAOR3V2ogxcNHdA6oTsy/view?usp=drivesdk","8556_LINDA INDRIYATIE, A.Md. _ SERTIFIKAT BerAKHLAK")</f>
        <v>8556_LINDA INDRIYATIE, A.Md. _ SERTIFIKAT BerAKHLAK</v>
      </c>
      <c r="P8557" s="5" t="s">
        <v>53527</v>
      </c>
    </row>
    <row r="8558" hidden="1">
      <c r="A8558" s="4">
        <v>45534.40699138889</v>
      </c>
      <c r="B8558" s="5" t="s">
        <v>19</v>
      </c>
      <c r="C8558" s="5" t="s">
        <v>30588</v>
      </c>
      <c r="E8558" s="5" t="s">
        <v>53533</v>
      </c>
      <c r="F8558" s="5" t="s">
        <v>108</v>
      </c>
      <c r="G8558" s="5" t="s">
        <v>53534</v>
      </c>
      <c r="H8558" s="6" t="s">
        <v>53535</v>
      </c>
      <c r="K8558" s="5" t="s">
        <v>53514</v>
      </c>
      <c r="M8558" s="5" t="s">
        <v>53536</v>
      </c>
      <c r="N8558" s="7" t="s">
        <v>53537</v>
      </c>
      <c r="O8558" s="8" t="str">
        <f>HYPERLINK("https://drive.google.com/file/d/1EcLcxI7AZ753NLS45FfQ2MB3gGkhcyuR/view?usp=drivesdk","8557_SIHABUDIN _ SERTIFIKAT BerAKHLAK")</f>
        <v>8557_SIHABUDIN _ SERTIFIKAT BerAKHLAK</v>
      </c>
      <c r="P8558" s="5" t="s">
        <v>53527</v>
      </c>
    </row>
    <row r="8559">
      <c r="A8559" s="4">
        <v>45534.40700997685</v>
      </c>
      <c r="B8559" s="5" t="s">
        <v>34</v>
      </c>
      <c r="D8559" s="5" t="s">
        <v>522</v>
      </c>
      <c r="E8559" s="5" t="s">
        <v>53538</v>
      </c>
      <c r="F8559" s="5" t="s">
        <v>37</v>
      </c>
      <c r="G8559" s="5" t="s">
        <v>53539</v>
      </c>
      <c r="H8559" s="6" t="s">
        <v>53540</v>
      </c>
      <c r="K8559" s="5" t="s">
        <v>53514</v>
      </c>
      <c r="M8559" s="5" t="s">
        <v>53541</v>
      </c>
      <c r="N8559" s="7" t="s">
        <v>53542</v>
      </c>
      <c r="O8559" s="8" t="str">
        <f>HYPERLINK("https://drive.google.com/file/d/1Mrc5gRk59f4r2ej7oiukTy805E9tamvj/view?usp=drivesdk","8558_ANASTASIA MITAN _ SERTIFIKAT BerAKHLAK")</f>
        <v>8558_ANASTASIA MITAN _ SERTIFIKAT BerAKHLAK</v>
      </c>
      <c r="P8559" s="5" t="s">
        <v>53527</v>
      </c>
    </row>
    <row r="8560">
      <c r="A8560" s="4">
        <v>45534.407028622685</v>
      </c>
      <c r="B8560" s="5" t="s">
        <v>34</v>
      </c>
      <c r="D8560" s="5" t="s">
        <v>9020</v>
      </c>
      <c r="E8560" s="5" t="s">
        <v>53543</v>
      </c>
      <c r="F8560" s="5" t="s">
        <v>715</v>
      </c>
      <c r="G8560" s="5" t="s">
        <v>53544</v>
      </c>
      <c r="H8560" s="6" t="s">
        <v>53545</v>
      </c>
      <c r="K8560" s="5" t="s">
        <v>53546</v>
      </c>
      <c r="M8560" s="5" t="s">
        <v>53547</v>
      </c>
      <c r="N8560" s="7" t="s">
        <v>53548</v>
      </c>
      <c r="O8560" s="8" t="str">
        <f>HYPERLINK("https://drive.google.com/file/d/1REX-kUpp88huuCKViJS62SR4g2Gj4Hxr/view?usp=drivesdk","8559_SYAH PUTRA PURBA,S.H _ SERTIFIKAT BerAKHLAK")</f>
        <v>8559_SYAH PUTRA PURBA,S.H _ SERTIFIKAT BerAKHLAK</v>
      </c>
      <c r="P8560" s="5" t="s">
        <v>53549</v>
      </c>
    </row>
    <row r="8561">
      <c r="A8561" s="4">
        <v>45534.40704100694</v>
      </c>
      <c r="B8561" s="5" t="s">
        <v>34</v>
      </c>
      <c r="D8561" s="5" t="s">
        <v>9020</v>
      </c>
      <c r="E8561" s="5" t="s">
        <v>53550</v>
      </c>
      <c r="F8561" s="5" t="s">
        <v>212</v>
      </c>
      <c r="G8561" s="5" t="s">
        <v>53551</v>
      </c>
      <c r="H8561" s="6" t="s">
        <v>53552</v>
      </c>
      <c r="K8561" s="5" t="s">
        <v>53546</v>
      </c>
      <c r="M8561" s="5" t="s">
        <v>53553</v>
      </c>
      <c r="N8561" s="7" t="s">
        <v>53554</v>
      </c>
      <c r="O8561" s="8" t="str">
        <f>HYPERLINK("https://drive.google.com/file/d/1WHp6fqtMhU6DAg1X0vYj_m7aQfdwGgx7/view?usp=drivesdk","8560_TRI HARYANTI _ SERTIFIKAT BerAKHLAK")</f>
        <v>8560_TRI HARYANTI _ SERTIFIKAT BerAKHLAK</v>
      </c>
      <c r="P8561" s="5" t="s">
        <v>53555</v>
      </c>
    </row>
    <row r="8562">
      <c r="A8562" s="4">
        <v>45534.40707914352</v>
      </c>
      <c r="B8562" s="5" t="s">
        <v>34</v>
      </c>
      <c r="D8562" s="5" t="s">
        <v>35</v>
      </c>
      <c r="E8562" s="5" t="s">
        <v>53556</v>
      </c>
      <c r="F8562" s="5" t="s">
        <v>37</v>
      </c>
      <c r="G8562" s="5" t="s">
        <v>53557</v>
      </c>
      <c r="H8562" s="6" t="s">
        <v>53558</v>
      </c>
      <c r="K8562" s="5" t="s">
        <v>53559</v>
      </c>
      <c r="M8562" s="5" t="s">
        <v>53560</v>
      </c>
      <c r="N8562" s="7" t="s">
        <v>53561</v>
      </c>
      <c r="O8562" s="8" t="str">
        <f>HYPERLINK("https://drive.google.com/file/d/1wZnZ1HQTA5iCgxQzMmB28l4HQ9vkfjtU/view?usp=drivesdk","8561_GILANG GANTINA _ SERTIFIKAT BerAKHLAK")</f>
        <v>8561_GILANG GANTINA _ SERTIFIKAT BerAKHLAK</v>
      </c>
      <c r="P8562" s="5" t="s">
        <v>53555</v>
      </c>
    </row>
    <row r="8563">
      <c r="A8563" s="4">
        <v>45534.40712574074</v>
      </c>
      <c r="B8563" s="5" t="s">
        <v>34</v>
      </c>
      <c r="D8563" s="5" t="s">
        <v>1206</v>
      </c>
      <c r="E8563" s="5" t="s">
        <v>53562</v>
      </c>
      <c r="F8563" s="5" t="s">
        <v>375</v>
      </c>
      <c r="G8563" s="5" t="s">
        <v>53563</v>
      </c>
      <c r="H8563" s="6" t="s">
        <v>53564</v>
      </c>
      <c r="K8563" s="5" t="s">
        <v>53559</v>
      </c>
      <c r="M8563" s="5" t="s">
        <v>53565</v>
      </c>
      <c r="N8563" s="7" t="s">
        <v>53566</v>
      </c>
      <c r="O8563" s="8" t="str">
        <f>HYPERLINK("https://drive.google.com/file/d/1rxJNz6h_bIhRM4I-1jixFmy0oNHb2_dI/view?usp=drivesdk","8562_MUHIDIN S.Ag _ SERTIFIKAT BerAKHLAK")</f>
        <v>8562_MUHIDIN S.Ag _ SERTIFIKAT BerAKHLAK</v>
      </c>
      <c r="P8563" s="5" t="s">
        <v>53555</v>
      </c>
    </row>
    <row r="8564">
      <c r="A8564" s="4">
        <v>45534.407254606485</v>
      </c>
      <c r="B8564" s="5" t="s">
        <v>34</v>
      </c>
      <c r="D8564" s="5" t="s">
        <v>12978</v>
      </c>
      <c r="E8564" s="5" t="s">
        <v>49134</v>
      </c>
      <c r="F8564" s="5" t="s">
        <v>212</v>
      </c>
      <c r="G8564" s="5" t="s">
        <v>53567</v>
      </c>
      <c r="H8564" s="6" t="s">
        <v>53568</v>
      </c>
      <c r="K8564" s="5" t="s">
        <v>53569</v>
      </c>
      <c r="M8564" s="5" t="s">
        <v>53570</v>
      </c>
      <c r="N8564" s="7" t="s">
        <v>53571</v>
      </c>
      <c r="O8564" s="8" t="str">
        <f>HYPERLINK("https://drive.google.com/file/d/1PPIRq0lIT5GkPrN-9iJu8x-JY_UbuGKG/view?usp=drivesdk","8563_ROSALINA _ SERTIFIKAT BerAKHLAK")</f>
        <v>8563_ROSALINA _ SERTIFIKAT BerAKHLAK</v>
      </c>
      <c r="P8564" s="5" t="s">
        <v>53555</v>
      </c>
    </row>
    <row r="8565" hidden="1">
      <c r="A8565" s="4">
        <v>45534.40727752315</v>
      </c>
      <c r="B8565" s="5" t="s">
        <v>19</v>
      </c>
      <c r="C8565" s="5" t="s">
        <v>292</v>
      </c>
      <c r="E8565" s="5" t="s">
        <v>53572</v>
      </c>
      <c r="F8565" s="5" t="s">
        <v>212</v>
      </c>
      <c r="G8565" s="5" t="s">
        <v>53573</v>
      </c>
      <c r="H8565" s="6" t="s">
        <v>53574</v>
      </c>
      <c r="K8565" s="5" t="s">
        <v>53569</v>
      </c>
      <c r="M8565" s="5" t="s">
        <v>53575</v>
      </c>
      <c r="N8565" s="7" t="s">
        <v>53576</v>
      </c>
      <c r="O8565" s="8" t="str">
        <f>HYPERLINK("https://drive.google.com/file/d/1F5wKqFj3AWvDotSOcvv31TssHTtw_Daz/view?usp=drivesdk","8564_LISTIYO WEDOWATI _ SERTIFIKAT BerAKHLAK")</f>
        <v>8564_LISTIYO WEDOWATI _ SERTIFIKAT BerAKHLAK</v>
      </c>
      <c r="P8565" s="5" t="s">
        <v>53577</v>
      </c>
    </row>
    <row r="8566">
      <c r="A8566" s="4">
        <v>45534.40731740741</v>
      </c>
      <c r="B8566" s="5" t="s">
        <v>34</v>
      </c>
      <c r="D8566" s="5" t="s">
        <v>15401</v>
      </c>
      <c r="E8566" s="5" t="s">
        <v>53578</v>
      </c>
      <c r="F8566" s="5" t="s">
        <v>72</v>
      </c>
      <c r="G8566" s="5" t="s">
        <v>53579</v>
      </c>
      <c r="H8566" s="6" t="s">
        <v>53580</v>
      </c>
      <c r="K8566" s="5" t="s">
        <v>53581</v>
      </c>
      <c r="M8566" s="5" t="s">
        <v>53582</v>
      </c>
      <c r="N8566" s="7" t="s">
        <v>53583</v>
      </c>
      <c r="O8566" s="8" t="str">
        <f>HYPERLINK("https://drive.google.com/file/d/1NyCaAS-wMdAi2jgWv76Q2op2pQv6z4uE/view?usp=drivesdk","8565_SARINI RASYID _ SERTIFIKAT BerAKHLAK")</f>
        <v>8565_SARINI RASYID _ SERTIFIKAT BerAKHLAK</v>
      </c>
      <c r="P8566" s="5" t="s">
        <v>53577</v>
      </c>
    </row>
    <row r="8567">
      <c r="A8567" s="4">
        <v>45534.40732435185</v>
      </c>
      <c r="B8567" s="5" t="s">
        <v>34</v>
      </c>
      <c r="D8567" s="5" t="s">
        <v>11913</v>
      </c>
      <c r="E8567" s="5" t="s">
        <v>53584</v>
      </c>
      <c r="F8567" s="5" t="s">
        <v>37</v>
      </c>
      <c r="G8567" s="5" t="s">
        <v>53585</v>
      </c>
      <c r="H8567" s="6" t="s">
        <v>53586</v>
      </c>
      <c r="K8567" s="5" t="s">
        <v>53581</v>
      </c>
      <c r="M8567" s="5" t="s">
        <v>53587</v>
      </c>
      <c r="N8567" s="7" t="s">
        <v>53588</v>
      </c>
      <c r="O8567" s="8" t="str">
        <f>HYPERLINK("https://drive.google.com/file/d/1q8xs5lwVAPa-EA8ZBa5xKfM6CC8jEBc1/view?usp=drivesdk","8566_MARTINA APRILIA MODA BT, A.MD.T. _ SERTIFIKAT BerAKHLAK")</f>
        <v>8566_MARTINA APRILIA MODA BT, A.MD.T. _ SERTIFIKAT BerAKHLAK</v>
      </c>
      <c r="P8567" s="5" t="s">
        <v>53577</v>
      </c>
    </row>
    <row r="8568">
      <c r="A8568" s="4">
        <v>45534.4073249537</v>
      </c>
      <c r="B8568" s="5" t="s">
        <v>34</v>
      </c>
      <c r="D8568" s="5" t="s">
        <v>10444</v>
      </c>
      <c r="E8568" s="5" t="s">
        <v>53589</v>
      </c>
      <c r="F8568" s="5" t="s">
        <v>212</v>
      </c>
      <c r="G8568" s="5" t="s">
        <v>53590</v>
      </c>
      <c r="H8568" s="6" t="s">
        <v>53591</v>
      </c>
      <c r="K8568" s="5" t="s">
        <v>53581</v>
      </c>
      <c r="M8568" s="5" t="s">
        <v>53592</v>
      </c>
      <c r="N8568" s="7" t="s">
        <v>53593</v>
      </c>
      <c r="O8568" s="8" t="str">
        <f>HYPERLINK("https://drive.google.com/file/d/1i0AK1q9zm0K_CYfFMANvMSS_zLAjhUTp/view?usp=drivesdk","8567_DIDIT PRATIWI _ SERTIFIKAT BerAKHLAK")</f>
        <v>8567_DIDIT PRATIWI _ SERTIFIKAT BerAKHLAK</v>
      </c>
      <c r="P8568" s="5" t="s">
        <v>53594</v>
      </c>
    </row>
    <row r="8569">
      <c r="A8569" s="4">
        <v>45534.40736275463</v>
      </c>
      <c r="B8569" s="5" t="s">
        <v>34</v>
      </c>
      <c r="D8569" s="5" t="s">
        <v>1206</v>
      </c>
      <c r="E8569" s="5" t="s">
        <v>53595</v>
      </c>
      <c r="F8569" s="5" t="s">
        <v>37</v>
      </c>
      <c r="G8569" s="5" t="s">
        <v>53596</v>
      </c>
      <c r="H8569" s="6" t="s">
        <v>53597</v>
      </c>
      <c r="K8569" s="5" t="s">
        <v>53581</v>
      </c>
      <c r="M8569" s="5" t="s">
        <v>53598</v>
      </c>
      <c r="N8569" s="7" t="s">
        <v>53599</v>
      </c>
      <c r="O8569" s="8" t="str">
        <f>HYPERLINK("https://drive.google.com/file/d/1RgeUC1TC_UqsviBybBB5qyj7RTvDm4lb/view?usp=drivesdk","8568_DIANA MUFIDA PUTRI _ SERTIFIKAT BerAKHLAK")</f>
        <v>8568_DIANA MUFIDA PUTRI _ SERTIFIKAT BerAKHLAK</v>
      </c>
      <c r="P8569" s="5" t="s">
        <v>53594</v>
      </c>
    </row>
    <row r="8570">
      <c r="A8570" s="4">
        <v>45534.40736611111</v>
      </c>
      <c r="B8570" s="5" t="s">
        <v>34</v>
      </c>
      <c r="D8570" s="5" t="s">
        <v>1206</v>
      </c>
      <c r="E8570" s="5" t="s">
        <v>53600</v>
      </c>
      <c r="F8570" s="5" t="s">
        <v>120</v>
      </c>
      <c r="G8570" s="5" t="s">
        <v>53601</v>
      </c>
      <c r="H8570" s="6" t="s">
        <v>53602</v>
      </c>
      <c r="K8570" s="5" t="s">
        <v>53603</v>
      </c>
      <c r="M8570" s="5" t="s">
        <v>53604</v>
      </c>
      <c r="N8570" s="7" t="s">
        <v>53605</v>
      </c>
      <c r="O8570" s="8" t="str">
        <f>HYPERLINK("https://drive.google.com/file/d/1Kqo7luCqSs9uueZx4EnK0Y4lU9GM6jAg/view?usp=drivesdk","8569_dr. ARI DEWI SUESTYANI, M.M. _ SERTIFIKAT BerAKHLAK")</f>
        <v>8569_dr. ARI DEWI SUESTYANI, M.M. _ SERTIFIKAT BerAKHLAK</v>
      </c>
      <c r="P8570" s="5" t="s">
        <v>53606</v>
      </c>
    </row>
    <row r="8571">
      <c r="A8571" s="4">
        <v>45534.407372118054</v>
      </c>
      <c r="B8571" s="5" t="s">
        <v>34</v>
      </c>
      <c r="D8571" s="5" t="s">
        <v>11913</v>
      </c>
      <c r="E8571" s="5" t="s">
        <v>53607</v>
      </c>
      <c r="F8571" s="5" t="s">
        <v>212</v>
      </c>
      <c r="G8571" s="5" t="s">
        <v>53608</v>
      </c>
      <c r="H8571" s="6" t="s">
        <v>53609</v>
      </c>
      <c r="K8571" s="5" t="s">
        <v>53603</v>
      </c>
      <c r="M8571" s="5" t="s">
        <v>53610</v>
      </c>
      <c r="N8571" s="7" t="s">
        <v>53611</v>
      </c>
      <c r="O8571" s="8" t="str">
        <f>HYPERLINK("https://drive.google.com/file/d/1ZTXv0EJGjsB0JUWW91wh7d1uR_jK7ExA/view?usp=drivesdk","8570_Johanis Chris Tomy rondonuwu _ SERTIFIKAT BerAKHLAK")</f>
        <v>8570_Johanis Chris Tomy rondonuwu _ SERTIFIKAT BerAKHLAK</v>
      </c>
      <c r="P8571" s="5" t="s">
        <v>53606</v>
      </c>
    </row>
    <row r="8572">
      <c r="A8572" s="4">
        <v>45534.407376585645</v>
      </c>
      <c r="B8572" s="5" t="s">
        <v>34</v>
      </c>
      <c r="D8572" s="5" t="s">
        <v>1206</v>
      </c>
      <c r="E8572" s="5" t="s">
        <v>53612</v>
      </c>
      <c r="F8572" s="5" t="s">
        <v>212</v>
      </c>
      <c r="G8572" s="5" t="s">
        <v>53613</v>
      </c>
      <c r="H8572" s="6" t="s">
        <v>53614</v>
      </c>
      <c r="K8572" s="5" t="s">
        <v>53603</v>
      </c>
      <c r="M8572" s="5" t="s">
        <v>53615</v>
      </c>
      <c r="N8572" s="7" t="s">
        <v>53616</v>
      </c>
      <c r="O8572" s="8" t="str">
        <f>HYPERLINK("https://drive.google.com/file/d/1g9I7iHkzB8kxUAsFaOezK3qUyQJ8C6Eb/view?usp=drivesdk","8571_EDI SASMITO, A.Md.AK _ SERTIFIKAT BerAKHLAK")</f>
        <v>8571_EDI SASMITO, A.Md.AK _ SERTIFIKAT BerAKHLAK</v>
      </c>
      <c r="P8572" s="5" t="s">
        <v>53606</v>
      </c>
    </row>
    <row r="8573" hidden="1">
      <c r="A8573" s="4">
        <v>45534.407395069444</v>
      </c>
      <c r="B8573" s="5" t="s">
        <v>19</v>
      </c>
      <c r="C8573" s="5" t="s">
        <v>1606</v>
      </c>
      <c r="E8573" s="5" t="s">
        <v>53617</v>
      </c>
      <c r="F8573" s="5" t="s">
        <v>108</v>
      </c>
      <c r="G8573" s="5" t="s">
        <v>53618</v>
      </c>
      <c r="H8573" s="6" t="s">
        <v>53619</v>
      </c>
      <c r="K8573" s="5" t="s">
        <v>53603</v>
      </c>
      <c r="M8573" s="5" t="s">
        <v>53620</v>
      </c>
      <c r="N8573" s="7" t="s">
        <v>53621</v>
      </c>
      <c r="O8573" s="8" t="str">
        <f>HYPERLINK("https://drive.google.com/file/d/10YrUjxgSx9o_zL-kqGoUpl4sICX3JPji/view?usp=drivesdk","8572_WENDAH RIANINGSIH _ SERTIFIKAT BerAKHLAK")</f>
        <v>8572_WENDAH RIANINGSIH _ SERTIFIKAT BerAKHLAK</v>
      </c>
      <c r="P8573" s="5" t="s">
        <v>53622</v>
      </c>
    </row>
    <row r="8574">
      <c r="A8574" s="4">
        <v>45534.40740012731</v>
      </c>
      <c r="B8574" s="5" t="s">
        <v>34</v>
      </c>
      <c r="D8574" s="5" t="s">
        <v>4775</v>
      </c>
      <c r="E8574" s="5" t="s">
        <v>53623</v>
      </c>
      <c r="F8574" s="5" t="s">
        <v>72</v>
      </c>
      <c r="G8574" s="5" t="s">
        <v>53624</v>
      </c>
      <c r="H8574" s="6" t="s">
        <v>53625</v>
      </c>
      <c r="K8574" s="5" t="s">
        <v>53603</v>
      </c>
      <c r="M8574" s="5" t="s">
        <v>53626</v>
      </c>
      <c r="N8574" s="7" t="s">
        <v>53627</v>
      </c>
      <c r="O8574" s="8" t="str">
        <f>HYPERLINK("https://drive.google.com/file/d/1Vn4vdkplTm8ojEVX9yfpQBzMEUb88GDm/view?usp=drivesdk","8573_YUNITA TRI PRASETYANINGRUM, S.Ak. _ SERTIFIKAT BerAKHLAK")</f>
        <v>8573_YUNITA TRI PRASETYANINGRUM, S.Ak. _ SERTIFIKAT BerAKHLAK</v>
      </c>
      <c r="P8574" s="5" t="s">
        <v>53622</v>
      </c>
    </row>
    <row r="8575">
      <c r="A8575" s="4">
        <v>45534.40741645833</v>
      </c>
      <c r="B8575" s="5" t="s">
        <v>34</v>
      </c>
      <c r="D8575" s="5" t="s">
        <v>4775</v>
      </c>
      <c r="E8575" s="5" t="s">
        <v>53628</v>
      </c>
      <c r="F8575" s="5" t="s">
        <v>524</v>
      </c>
      <c r="G8575" s="5" t="s">
        <v>53629</v>
      </c>
      <c r="H8575" s="6" t="s">
        <v>53630</v>
      </c>
      <c r="K8575" s="5" t="s">
        <v>53631</v>
      </c>
      <c r="M8575" s="5" t="s">
        <v>53632</v>
      </c>
      <c r="N8575" s="7" t="s">
        <v>53633</v>
      </c>
      <c r="O8575" s="8" t="str">
        <f>HYPERLINK("https://drive.google.com/file/d/1QjAuWxvGfdLUTb5NNtJ2ymGkousDULUR/view?usp=drivesdk","8574_KUSTININGSIH _ SERTIFIKAT BerAKHLAK")</f>
        <v>8574_KUSTININGSIH _ SERTIFIKAT BerAKHLAK</v>
      </c>
      <c r="P8575" s="5" t="s">
        <v>53622</v>
      </c>
    </row>
    <row r="8576">
      <c r="A8576" s="4">
        <v>45534.407421550924</v>
      </c>
      <c r="B8576" s="5" t="s">
        <v>34</v>
      </c>
      <c r="D8576" s="5" t="s">
        <v>701</v>
      </c>
      <c r="E8576" s="5" t="s">
        <v>53634</v>
      </c>
      <c r="F8576" s="5" t="s">
        <v>22</v>
      </c>
      <c r="G8576" s="5" t="s">
        <v>53635</v>
      </c>
      <c r="H8576" s="6" t="s">
        <v>53636</v>
      </c>
      <c r="K8576" s="5" t="s">
        <v>53631</v>
      </c>
      <c r="M8576" s="5" t="s">
        <v>53637</v>
      </c>
      <c r="N8576" s="7" t="s">
        <v>53638</v>
      </c>
      <c r="O8576" s="8" t="str">
        <f>HYPERLINK("https://drive.google.com/file/d/18CFGR6y4IEVRObpjdjZmjbg0ZxJmsTJr/view?usp=drivesdk","8575_JONI R., S.Pd. _ SERTIFIKAT BerAKHLAK")</f>
        <v>8575_JONI R., S.Pd. _ SERTIFIKAT BerAKHLAK</v>
      </c>
      <c r="P8576" s="5" t="s">
        <v>53639</v>
      </c>
    </row>
    <row r="8577">
      <c r="A8577" s="4">
        <v>45534.407444004624</v>
      </c>
      <c r="B8577" s="5" t="s">
        <v>34</v>
      </c>
      <c r="D8577" s="5" t="s">
        <v>11913</v>
      </c>
      <c r="E8577" s="5" t="s">
        <v>53640</v>
      </c>
      <c r="F8577" s="5" t="s">
        <v>375</v>
      </c>
      <c r="G8577" s="5" t="s">
        <v>53641</v>
      </c>
      <c r="H8577" s="6" t="s">
        <v>53642</v>
      </c>
      <c r="K8577" s="5" t="s">
        <v>53631</v>
      </c>
      <c r="M8577" s="5" t="s">
        <v>53643</v>
      </c>
      <c r="N8577" s="7" t="s">
        <v>53644</v>
      </c>
      <c r="O8577" s="8" t="str">
        <f>HYPERLINK("https://drive.google.com/file/d/11bwp3-DNg6rLda8m-tv_PpOHsXJTfmqM/view?usp=drivesdk","8576_INDRAKA WAHYU FITRIANTO SE _ SERTIFIKAT BerAKHLAK")</f>
        <v>8576_INDRAKA WAHYU FITRIANTO SE _ SERTIFIKAT BerAKHLAK</v>
      </c>
      <c r="P8577" s="5" t="s">
        <v>53645</v>
      </c>
    </row>
    <row r="8578">
      <c r="A8578" s="4">
        <v>45534.40748146991</v>
      </c>
      <c r="B8578" s="5" t="s">
        <v>34</v>
      </c>
      <c r="D8578" s="5" t="s">
        <v>1206</v>
      </c>
      <c r="E8578" s="5" t="s">
        <v>53646</v>
      </c>
      <c r="F8578" s="5" t="s">
        <v>524</v>
      </c>
      <c r="G8578" s="5" t="s">
        <v>53647</v>
      </c>
      <c r="H8578" s="6" t="s">
        <v>53648</v>
      </c>
      <c r="K8578" s="5" t="s">
        <v>53649</v>
      </c>
      <c r="M8578" s="5" t="s">
        <v>53650</v>
      </c>
      <c r="N8578" s="7" t="s">
        <v>53651</v>
      </c>
      <c r="O8578" s="8" t="str">
        <f>HYPERLINK("https://drive.google.com/file/d/1CgFYh_ig9i6DoFdZToi99SuwgtDo13Bc/view?usp=drivesdk","8577_SRI WEDARI  _ SERTIFIKAT BerAKHLAK")</f>
        <v>8577_SRI WEDARI  _ SERTIFIKAT BerAKHLAK</v>
      </c>
      <c r="P8578" s="5" t="s">
        <v>53645</v>
      </c>
    </row>
    <row r="8579">
      <c r="A8579" s="4">
        <v>45534.40750799769</v>
      </c>
      <c r="B8579" s="5" t="s">
        <v>34</v>
      </c>
      <c r="D8579" s="5" t="s">
        <v>35</v>
      </c>
      <c r="E8579" s="5" t="s">
        <v>53652</v>
      </c>
      <c r="F8579" s="5" t="s">
        <v>72</v>
      </c>
      <c r="G8579" s="5" t="s">
        <v>53653</v>
      </c>
      <c r="H8579" s="6" t="s">
        <v>53654</v>
      </c>
      <c r="K8579" s="5" t="s">
        <v>53655</v>
      </c>
      <c r="M8579" s="5" t="s">
        <v>53656</v>
      </c>
      <c r="N8579" s="7" t="s">
        <v>53657</v>
      </c>
      <c r="O8579" s="8" t="str">
        <f>HYPERLINK("https://drive.google.com/file/d/1NTfY4uVjW8sA5TQml0KxAktJBi0yXCrE/view?usp=drivesdk","8578_LUKMAN HAKIM _ SERTIFIKAT BerAKHLAK")</f>
        <v>8578_LUKMAN HAKIM _ SERTIFIKAT BerAKHLAK</v>
      </c>
      <c r="P8579" s="5" t="s">
        <v>53645</v>
      </c>
    </row>
    <row r="8580" hidden="1">
      <c r="A8580" s="4">
        <v>45534.40753237269</v>
      </c>
      <c r="B8580" s="5" t="s">
        <v>19</v>
      </c>
      <c r="C8580" s="5" t="s">
        <v>38343</v>
      </c>
      <c r="E8580" s="5" t="s">
        <v>53658</v>
      </c>
      <c r="F8580" s="5" t="s">
        <v>524</v>
      </c>
      <c r="G8580" s="5" t="s">
        <v>53659</v>
      </c>
      <c r="H8580" s="6" t="s">
        <v>53660</v>
      </c>
      <c r="K8580" s="5" t="s">
        <v>53655</v>
      </c>
      <c r="M8580" s="5" t="s">
        <v>53661</v>
      </c>
      <c r="N8580" s="7" t="s">
        <v>53662</v>
      </c>
      <c r="O8580" s="8" t="str">
        <f>HYPERLINK("https://drive.google.com/file/d/1laaO815qCWWSp8f43Z6_HjUxC9Q0sgYb/view?usp=drivesdk","8579_HARY PRAKOSO _ SERTIFIKAT BerAKHLAK")</f>
        <v>8579_HARY PRAKOSO _ SERTIFIKAT BerAKHLAK</v>
      </c>
      <c r="P8580" s="5" t="s">
        <v>53645</v>
      </c>
    </row>
    <row r="8581">
      <c r="A8581" s="4">
        <v>45534.40755783565</v>
      </c>
      <c r="B8581" s="5" t="s">
        <v>34</v>
      </c>
      <c r="D8581" s="5" t="s">
        <v>12978</v>
      </c>
      <c r="E8581" s="5" t="s">
        <v>27083</v>
      </c>
      <c r="F8581" s="5" t="s">
        <v>72</v>
      </c>
      <c r="G8581" s="5" t="s">
        <v>53663</v>
      </c>
      <c r="H8581" s="6" t="s">
        <v>53664</v>
      </c>
      <c r="K8581" s="5" t="s">
        <v>53655</v>
      </c>
      <c r="M8581" s="5" t="s">
        <v>53665</v>
      </c>
      <c r="N8581" s="7" t="s">
        <v>53666</v>
      </c>
      <c r="O8581" s="8" t="str">
        <f>HYPERLINK("https://drive.google.com/file/d/1VeRwNTDk3KRDZxijHbaQpDfsR3r3JBlv/view?usp=drivesdk","8580_JUNAIDI _ SERTIFIKAT BerAKHLAK")</f>
        <v>8580_JUNAIDI _ SERTIFIKAT BerAKHLAK</v>
      </c>
      <c r="P8581" s="5" t="s">
        <v>53645</v>
      </c>
    </row>
    <row r="8582">
      <c r="A8582" s="4">
        <v>45534.40757466435</v>
      </c>
      <c r="B8582" s="5" t="s">
        <v>34</v>
      </c>
      <c r="D8582" s="5" t="s">
        <v>996</v>
      </c>
      <c r="E8582" s="5" t="s">
        <v>53667</v>
      </c>
      <c r="F8582" s="5" t="s">
        <v>212</v>
      </c>
      <c r="G8582" s="5" t="s">
        <v>53668</v>
      </c>
      <c r="H8582" s="6" t="s">
        <v>53669</v>
      </c>
      <c r="K8582" s="5" t="s">
        <v>53655</v>
      </c>
      <c r="M8582" s="5" t="s">
        <v>53670</v>
      </c>
      <c r="N8582" s="7" t="s">
        <v>53671</v>
      </c>
      <c r="O8582" s="8" t="str">
        <f>HYPERLINK("https://drive.google.com/file/d/1HhopmfKkH6aBdJlT9LWLhPxvt3y92MsF/view?usp=drivesdk","8581_SURIPNo _ SERTIFIKAT BerAKHLAK")</f>
        <v>8581_SURIPNo _ SERTIFIKAT BerAKHLAK</v>
      </c>
      <c r="P8582" s="5" t="s">
        <v>53672</v>
      </c>
    </row>
    <row r="8583">
      <c r="A8583" s="4">
        <v>45534.407604444445</v>
      </c>
      <c r="B8583" s="5" t="s">
        <v>34</v>
      </c>
      <c r="D8583" s="5" t="s">
        <v>3849</v>
      </c>
      <c r="E8583" s="5" t="s">
        <v>53673</v>
      </c>
      <c r="F8583" s="5" t="s">
        <v>108</v>
      </c>
      <c r="G8583" s="5" t="s">
        <v>53674</v>
      </c>
      <c r="H8583" s="6" t="s">
        <v>53675</v>
      </c>
      <c r="K8583" s="5" t="s">
        <v>53676</v>
      </c>
      <c r="M8583" s="5" t="s">
        <v>53677</v>
      </c>
      <c r="N8583" s="7" t="s">
        <v>53678</v>
      </c>
      <c r="O8583" s="8" t="str">
        <f>HYPERLINK("https://drive.google.com/file/d/1MtC9OzrhhBILnyi3Nx4eki0md8cqr5SQ/view?usp=drivesdk","8582_FRISKA SANTI _ SERTIFIKAT BerAKHLAK")</f>
        <v>8582_FRISKA SANTI _ SERTIFIKAT BerAKHLAK</v>
      </c>
      <c r="P8583" s="5" t="s">
        <v>53672</v>
      </c>
    </row>
    <row r="8584">
      <c r="A8584" s="4">
        <v>45534.407760347225</v>
      </c>
      <c r="B8584" s="5" t="s">
        <v>34</v>
      </c>
      <c r="D8584" s="5" t="s">
        <v>10297</v>
      </c>
      <c r="E8584" s="5" t="s">
        <v>53679</v>
      </c>
      <c r="F8584" s="5" t="s">
        <v>212</v>
      </c>
      <c r="G8584" s="5" t="s">
        <v>53680</v>
      </c>
      <c r="H8584" s="6" t="s">
        <v>53681</v>
      </c>
      <c r="K8584" s="5" t="s">
        <v>53682</v>
      </c>
      <c r="M8584" s="5" t="s">
        <v>53683</v>
      </c>
      <c r="N8584" s="7" t="s">
        <v>53684</v>
      </c>
      <c r="O8584" s="8" t="str">
        <f>HYPERLINK("https://drive.google.com/file/d/1tX2y2OCAx9kFXLE0mIJDuMDw5izvqzwA/view?usp=drivesdk","8583_LUMIANI, A.Md.Kep _ SERTIFIKAT BerAKHLAK")</f>
        <v>8583_LUMIANI, A.Md.Kep _ SERTIFIKAT BerAKHLAK</v>
      </c>
      <c r="P8584" s="5" t="s">
        <v>53672</v>
      </c>
    </row>
    <row r="8585" hidden="1">
      <c r="A8585" s="4">
        <v>45534.40781398148</v>
      </c>
      <c r="B8585" s="5" t="s">
        <v>19</v>
      </c>
      <c r="C8585" s="5" t="s">
        <v>292</v>
      </c>
      <c r="E8585" s="5" t="s">
        <v>53685</v>
      </c>
      <c r="F8585" s="5" t="s">
        <v>108</v>
      </c>
      <c r="G8585" s="5" t="s">
        <v>53686</v>
      </c>
      <c r="H8585" s="6" t="s">
        <v>53687</v>
      </c>
      <c r="K8585" s="5" t="s">
        <v>53688</v>
      </c>
      <c r="M8585" s="5" t="s">
        <v>53689</v>
      </c>
      <c r="N8585" s="7" t="s">
        <v>53690</v>
      </c>
      <c r="O8585" s="8" t="str">
        <f>HYPERLINK("https://drive.google.com/file/d/1iWXK0a_6F30Gp_AXFlCZTGrJN_jPReo2/view?usp=drivesdk","8584_PUJI RETNANINGSIH _ SERTIFIKAT BerAKHLAK")</f>
        <v>8584_PUJI RETNANINGSIH _ SERTIFIKAT BerAKHLAK</v>
      </c>
      <c r="P8585" s="5" t="s">
        <v>53672</v>
      </c>
    </row>
    <row r="8586">
      <c r="A8586" s="4">
        <v>45534.40785780092</v>
      </c>
      <c r="B8586" s="5" t="s">
        <v>34</v>
      </c>
      <c r="D8586" s="5" t="s">
        <v>4775</v>
      </c>
      <c r="E8586" s="5" t="s">
        <v>34638</v>
      </c>
      <c r="F8586" s="5" t="s">
        <v>37</v>
      </c>
      <c r="G8586" s="5" t="s">
        <v>53691</v>
      </c>
      <c r="H8586" s="6" t="s">
        <v>53692</v>
      </c>
      <c r="K8586" s="5" t="s">
        <v>53693</v>
      </c>
      <c r="M8586" s="5" t="s">
        <v>53694</v>
      </c>
      <c r="N8586" s="7" t="s">
        <v>53695</v>
      </c>
      <c r="O8586" s="8" t="str">
        <f>HYPERLINK("https://drive.google.com/file/d/1KNdiDrZM1eDqH2h8MA3Dar5mwMT5dX8s/view?usp=drivesdk","8585_TUGIYO _ SERTIFIKAT BerAKHLAK")</f>
        <v>8585_TUGIYO _ SERTIFIKAT BerAKHLAK</v>
      </c>
      <c r="P8586" s="5" t="s">
        <v>53672</v>
      </c>
    </row>
    <row r="8587">
      <c r="A8587" s="4">
        <v>45534.40788236111</v>
      </c>
      <c r="B8587" s="5" t="s">
        <v>34</v>
      </c>
      <c r="D8587" s="5" t="s">
        <v>1206</v>
      </c>
      <c r="E8587" s="5" t="s">
        <v>53696</v>
      </c>
      <c r="F8587" s="5" t="s">
        <v>212</v>
      </c>
      <c r="G8587" s="5" t="s">
        <v>53697</v>
      </c>
      <c r="H8587" s="6" t="s">
        <v>53698</v>
      </c>
      <c r="K8587" s="5" t="s">
        <v>53699</v>
      </c>
      <c r="M8587" s="5" t="s">
        <v>53700</v>
      </c>
      <c r="N8587" s="7" t="s">
        <v>53701</v>
      </c>
      <c r="O8587" s="8" t="str">
        <f>HYPERLINK("https://drive.google.com/file/d/1GBpkAE_TbH42ElPaJucp28NPM5SGXdCb/view?usp=drivesdk","8586_LILIS NURHAYATININGSIH  _ SERTIFIKAT BerAKHLAK")</f>
        <v>8586_LILIS NURHAYATININGSIH  _ SERTIFIKAT BerAKHLAK</v>
      </c>
      <c r="P8587" s="5" t="s">
        <v>53702</v>
      </c>
    </row>
    <row r="8588">
      <c r="A8588" s="4">
        <v>45534.40789803241</v>
      </c>
      <c r="B8588" s="5" t="s">
        <v>34</v>
      </c>
      <c r="D8588" s="5" t="s">
        <v>14424</v>
      </c>
      <c r="E8588" s="5" t="s">
        <v>53703</v>
      </c>
      <c r="F8588" s="5" t="s">
        <v>37</v>
      </c>
      <c r="G8588" s="5" t="s">
        <v>53704</v>
      </c>
      <c r="H8588" s="6" t="s">
        <v>53705</v>
      </c>
      <c r="K8588" s="5" t="s">
        <v>53706</v>
      </c>
      <c r="M8588" s="5" t="s">
        <v>53707</v>
      </c>
      <c r="N8588" s="7" t="s">
        <v>53708</v>
      </c>
      <c r="O8588" s="8" t="str">
        <f>HYPERLINK("https://drive.google.com/file/d/1nZ0OfG31h8JBraEVM9PUG1AlXsPH-0BF/view?usp=drivesdk","8587_MIFTA HULJANNAH, A.Md. Kep _ SERTIFIKAT BerAKHLAK")</f>
        <v>8587_MIFTA HULJANNAH, A.Md. Kep _ SERTIFIKAT BerAKHLAK</v>
      </c>
      <c r="P8588" s="5" t="s">
        <v>53702</v>
      </c>
    </row>
    <row r="8589" hidden="1">
      <c r="A8589" s="4">
        <v>45534.40790208333</v>
      </c>
      <c r="B8589" s="5" t="s">
        <v>19</v>
      </c>
      <c r="C8589" s="5" t="s">
        <v>292</v>
      </c>
      <c r="E8589" s="5" t="s">
        <v>53709</v>
      </c>
      <c r="F8589" s="5" t="s">
        <v>212</v>
      </c>
      <c r="G8589" s="5" t="s">
        <v>53710</v>
      </c>
      <c r="H8589" s="6" t="s">
        <v>53711</v>
      </c>
      <c r="K8589" s="5" t="s">
        <v>53706</v>
      </c>
      <c r="M8589" s="5" t="s">
        <v>53712</v>
      </c>
      <c r="N8589" s="7" t="s">
        <v>53713</v>
      </c>
      <c r="O8589" s="8" t="str">
        <f>HYPERLINK("https://drive.google.com/file/d/1-64bF4LmCSH6b11JTNaXV47AZhVIJ6fS/view?usp=drivesdk","8588_J. AGUS PRASETYO _ SERTIFIKAT BerAKHLAK")</f>
        <v>8588_J. AGUS PRASETYO _ SERTIFIKAT BerAKHLAK</v>
      </c>
      <c r="P8589" s="5" t="s">
        <v>53702</v>
      </c>
    </row>
    <row r="8590">
      <c r="A8590" s="4">
        <v>45534.40811878472</v>
      </c>
      <c r="B8590" s="5" t="s">
        <v>34</v>
      </c>
      <c r="D8590" s="5" t="s">
        <v>14313</v>
      </c>
      <c r="E8590" s="5" t="s">
        <v>53714</v>
      </c>
      <c r="F8590" s="5" t="s">
        <v>524</v>
      </c>
      <c r="G8590" s="5" t="s">
        <v>53715</v>
      </c>
      <c r="H8590" s="6" t="s">
        <v>53716</v>
      </c>
      <c r="K8590" s="5" t="s">
        <v>53717</v>
      </c>
      <c r="M8590" s="5" t="s">
        <v>53718</v>
      </c>
      <c r="N8590" s="7" t="s">
        <v>53719</v>
      </c>
      <c r="O8590" s="8" t="str">
        <f>HYPERLINK("https://drive.google.com/file/d/1Z8E-hXiGcd_HjW7vrYHpoooIRKiyAVET/view?usp=drivesdk","8589_RATNA TAHIR _ SERTIFIKAT BerAKHLAK")</f>
        <v>8589_RATNA TAHIR _ SERTIFIKAT BerAKHLAK</v>
      </c>
      <c r="P8590" s="5" t="s">
        <v>53702</v>
      </c>
    </row>
    <row r="8591">
      <c r="A8591" s="4">
        <v>45534.408151261574</v>
      </c>
      <c r="B8591" s="5" t="s">
        <v>34</v>
      </c>
      <c r="D8591" s="5" t="s">
        <v>996</v>
      </c>
      <c r="E8591" s="5" t="s">
        <v>50197</v>
      </c>
      <c r="F8591" s="5" t="s">
        <v>212</v>
      </c>
      <c r="G8591" s="5" t="s">
        <v>53720</v>
      </c>
      <c r="H8591" s="6" t="s">
        <v>53721</v>
      </c>
      <c r="K8591" s="5" t="s">
        <v>53722</v>
      </c>
      <c r="M8591" s="5" t="s">
        <v>53723</v>
      </c>
      <c r="N8591" s="7" t="s">
        <v>53724</v>
      </c>
      <c r="O8591" s="8" t="str">
        <f>HYPERLINK("https://drive.google.com/file/d/1e4U_LOkM7MPa6XpIeb3dK8R7r1_LNR13/view?usp=drivesdk","8590_SUSANTI _ SERTIFIKAT BerAKHLAK")</f>
        <v>8590_SUSANTI _ SERTIFIKAT BerAKHLAK</v>
      </c>
      <c r="P8591" s="5" t="s">
        <v>53702</v>
      </c>
    </row>
    <row r="8592">
      <c r="A8592" s="4">
        <v>45534.40816902778</v>
      </c>
      <c r="B8592" s="5" t="s">
        <v>34</v>
      </c>
      <c r="D8592" s="5" t="s">
        <v>9394</v>
      </c>
      <c r="E8592" s="5" t="s">
        <v>53725</v>
      </c>
      <c r="F8592" s="5" t="s">
        <v>375</v>
      </c>
      <c r="G8592" s="5" t="s">
        <v>53726</v>
      </c>
      <c r="H8592" s="6" t="s">
        <v>53727</v>
      </c>
      <c r="K8592" s="5" t="s">
        <v>53728</v>
      </c>
      <c r="M8592" s="5" t="s">
        <v>53729</v>
      </c>
      <c r="N8592" s="7" t="s">
        <v>53730</v>
      </c>
      <c r="O8592" s="8" t="str">
        <f>HYPERLINK("https://drive.google.com/file/d/1am61q_MFDDu1nvJRp_fxLvgWBCiRoXst/view?usp=drivesdk","8591_HANDAYANI _ SERTIFIKAT BerAKHLAK")</f>
        <v>8591_HANDAYANI _ SERTIFIKAT BerAKHLAK</v>
      </c>
      <c r="P8592" s="5" t="s">
        <v>53731</v>
      </c>
    </row>
    <row r="8593">
      <c r="A8593" s="4">
        <v>45534.40825611111</v>
      </c>
      <c r="B8593" s="5" t="s">
        <v>34</v>
      </c>
      <c r="D8593" s="5" t="s">
        <v>267</v>
      </c>
      <c r="E8593" s="5" t="s">
        <v>53732</v>
      </c>
      <c r="F8593" s="5" t="s">
        <v>72</v>
      </c>
      <c r="G8593" s="5" t="s">
        <v>53733</v>
      </c>
      <c r="H8593" s="6" t="s">
        <v>53734</v>
      </c>
      <c r="K8593" s="5" t="s">
        <v>53735</v>
      </c>
      <c r="M8593" s="5" t="s">
        <v>53736</v>
      </c>
      <c r="N8593" s="7" t="s">
        <v>53737</v>
      </c>
      <c r="O8593" s="8" t="str">
        <f>HYPERLINK("https://drive.google.com/file/d/1ZIdONmWrV1CUFnrXSgXp9p94klqZoTu-/view?usp=drivesdk","8592_SIGIT NENDYO PRANOWO _ SERTIFIKAT BerAKHLAK")</f>
        <v>8592_SIGIT NENDYO PRANOWO _ SERTIFIKAT BerAKHLAK</v>
      </c>
      <c r="P8593" s="5" t="s">
        <v>53731</v>
      </c>
    </row>
    <row r="8594" hidden="1">
      <c r="A8594" s="4">
        <v>45534.40825898148</v>
      </c>
      <c r="B8594" s="5" t="s">
        <v>19</v>
      </c>
      <c r="C8594" s="5" t="s">
        <v>38343</v>
      </c>
      <c r="E8594" s="5" t="s">
        <v>53738</v>
      </c>
      <c r="F8594" s="5" t="s">
        <v>108</v>
      </c>
      <c r="G8594" s="5" t="s">
        <v>53739</v>
      </c>
      <c r="H8594" s="6" t="s">
        <v>53740</v>
      </c>
      <c r="K8594" s="5" t="s">
        <v>53735</v>
      </c>
      <c r="M8594" s="5" t="s">
        <v>53741</v>
      </c>
      <c r="N8594" s="7" t="s">
        <v>53742</v>
      </c>
      <c r="O8594" s="8" t="str">
        <f>HYPERLINK("https://drive.google.com/file/d/1odkZVvC2ph-MxJnwcXavlA4pHGUWunLa/view?usp=drivesdk","8593_RIA DARLIA, A.Md. _ SERTIFIKAT BerAKHLAK")</f>
        <v>8593_RIA DARLIA, A.Md. _ SERTIFIKAT BerAKHLAK</v>
      </c>
      <c r="P8594" s="5" t="s">
        <v>53731</v>
      </c>
    </row>
    <row r="8595">
      <c r="A8595" s="4">
        <v>45534.40827186343</v>
      </c>
      <c r="B8595" s="5" t="s">
        <v>34</v>
      </c>
      <c r="D8595" s="5" t="s">
        <v>1206</v>
      </c>
      <c r="E8595" s="5" t="s">
        <v>53743</v>
      </c>
      <c r="F8595" s="5" t="s">
        <v>212</v>
      </c>
      <c r="G8595" s="5" t="s">
        <v>40653</v>
      </c>
      <c r="H8595" s="6" t="s">
        <v>53744</v>
      </c>
      <c r="K8595" s="5" t="s">
        <v>53735</v>
      </c>
      <c r="M8595" s="5" t="s">
        <v>53745</v>
      </c>
      <c r="N8595" s="7" t="s">
        <v>53746</v>
      </c>
      <c r="O8595" s="8" t="str">
        <f>HYPERLINK("https://drive.google.com/file/d/1AwE78uXb6Cln-1a5JRDbxLKInaLQRLM-/view?usp=drivesdk","8594_HERI SANTOSO _ SERTIFIKAT BerAKHLAK")</f>
        <v>8594_HERI SANTOSO _ SERTIFIKAT BerAKHLAK</v>
      </c>
      <c r="P8595" s="5" t="s">
        <v>53731</v>
      </c>
    </row>
    <row r="8596">
      <c r="A8596" s="4">
        <v>45534.40827827546</v>
      </c>
      <c r="B8596" s="5" t="s">
        <v>34</v>
      </c>
      <c r="D8596" s="5" t="s">
        <v>9394</v>
      </c>
      <c r="E8596" s="5" t="s">
        <v>53747</v>
      </c>
      <c r="F8596" s="5" t="s">
        <v>375</v>
      </c>
      <c r="G8596" s="5" t="s">
        <v>53748</v>
      </c>
      <c r="H8596" s="6" t="s">
        <v>53749</v>
      </c>
      <c r="K8596" s="5" t="s">
        <v>53735</v>
      </c>
      <c r="M8596" s="5" t="s">
        <v>53750</v>
      </c>
      <c r="N8596" s="7" t="s">
        <v>53751</v>
      </c>
      <c r="O8596" s="8" t="str">
        <f>HYPERLINK("https://drive.google.com/file/d/1m0MrmnYPQIEe1epaanfT9Eq2DlEWqwhh/view?usp=drivesdk","8595_SUSI LASTUTI,S.SOS _ SERTIFIKAT BerAKHLAK")</f>
        <v>8595_SUSI LASTUTI,S.SOS _ SERTIFIKAT BerAKHLAK</v>
      </c>
      <c r="P8596" s="5" t="s">
        <v>53752</v>
      </c>
    </row>
    <row r="8597">
      <c r="A8597" s="4">
        <v>45534.40828966435</v>
      </c>
      <c r="B8597" s="5" t="s">
        <v>34</v>
      </c>
      <c r="D8597" s="5" t="s">
        <v>1206</v>
      </c>
      <c r="E8597" s="5" t="s">
        <v>53753</v>
      </c>
      <c r="F8597" s="5" t="s">
        <v>120</v>
      </c>
      <c r="G8597" s="5" t="s">
        <v>53754</v>
      </c>
      <c r="H8597" s="6" t="s">
        <v>53755</v>
      </c>
      <c r="K8597" s="5" t="s">
        <v>53735</v>
      </c>
      <c r="M8597" s="5" t="s">
        <v>53756</v>
      </c>
      <c r="N8597" s="7" t="s">
        <v>53757</v>
      </c>
      <c r="O8597" s="8" t="str">
        <f>HYPERLINK("https://drive.google.com/file/d/1yARJypFaNtTeCsYZMTCodErvScNvMbeY/view?usp=drivesdk","8596_JULI EKO SOEMADIANTO, S.Sos., M.M. _ SERTIFIKAT BerAKHLAK")</f>
        <v>8596_JULI EKO SOEMADIANTO, S.Sos., M.M. _ SERTIFIKAT BerAKHLAK</v>
      </c>
      <c r="P8597" s="5" t="s">
        <v>53752</v>
      </c>
    </row>
    <row r="8598" hidden="1">
      <c r="A8598" s="4">
        <v>45534.408312569445</v>
      </c>
      <c r="B8598" s="5" t="s">
        <v>19</v>
      </c>
      <c r="C8598" s="5" t="s">
        <v>442</v>
      </c>
      <c r="E8598" s="5" t="s">
        <v>53758</v>
      </c>
      <c r="F8598" s="5" t="s">
        <v>715</v>
      </c>
      <c r="G8598" s="5" t="s">
        <v>53759</v>
      </c>
      <c r="H8598" s="6" t="s">
        <v>53760</v>
      </c>
      <c r="K8598" s="5" t="s">
        <v>53761</v>
      </c>
      <c r="M8598" s="5" t="s">
        <v>53762</v>
      </c>
      <c r="N8598" s="7" t="s">
        <v>53763</v>
      </c>
      <c r="O8598" s="8" t="str">
        <f>HYPERLINK("https://drive.google.com/file/d/1Pvd0v-zlrlS2rIP7CB8xr_qqVmXzOWFQ/view?usp=drivesdk","8597_MUHAMMAD NAIM, S.IP, M.H _ SERTIFIKAT BerAKHLAK")</f>
        <v>8597_MUHAMMAD NAIM, S.IP, M.H _ SERTIFIKAT BerAKHLAK</v>
      </c>
      <c r="P8598" s="5" t="s">
        <v>53752</v>
      </c>
    </row>
    <row r="8599">
      <c r="A8599" s="4">
        <v>45534.408317395835</v>
      </c>
      <c r="B8599" s="5" t="s">
        <v>34</v>
      </c>
      <c r="D8599" s="5" t="s">
        <v>12978</v>
      </c>
      <c r="E8599" s="5" t="s">
        <v>53764</v>
      </c>
      <c r="F8599" s="5" t="s">
        <v>212</v>
      </c>
      <c r="G8599" s="5" t="s">
        <v>53765</v>
      </c>
      <c r="H8599" s="6" t="s">
        <v>53766</v>
      </c>
      <c r="K8599" s="5" t="s">
        <v>53761</v>
      </c>
      <c r="M8599" s="5" t="s">
        <v>53767</v>
      </c>
      <c r="N8599" s="7" t="s">
        <v>53768</v>
      </c>
      <c r="O8599" s="8" t="str">
        <f>HYPERLINK("https://drive.google.com/file/d/10TPhy_Z4yEXiQvYhndvlj3ihX3D51y5a/view?usp=drivesdk","8598_JAYA MASBUN _ SERTIFIKAT BerAKHLAK")</f>
        <v>8598_JAYA MASBUN _ SERTIFIKAT BerAKHLAK</v>
      </c>
      <c r="P8599" s="5" t="s">
        <v>53752</v>
      </c>
    </row>
    <row r="8600">
      <c r="A8600" s="4">
        <v>45534.40833520833</v>
      </c>
      <c r="B8600" s="5" t="s">
        <v>34</v>
      </c>
      <c r="D8600" s="5" t="s">
        <v>7858</v>
      </c>
      <c r="E8600" s="5" t="s">
        <v>53769</v>
      </c>
      <c r="F8600" s="5" t="s">
        <v>37</v>
      </c>
      <c r="G8600" s="5" t="s">
        <v>53770</v>
      </c>
      <c r="H8600" s="6" t="s">
        <v>53771</v>
      </c>
      <c r="K8600" s="5" t="s">
        <v>53772</v>
      </c>
      <c r="M8600" s="5" t="s">
        <v>53773</v>
      </c>
      <c r="N8600" s="7" t="s">
        <v>53774</v>
      </c>
      <c r="O8600" s="8" t="str">
        <f>HYPERLINK("https://drive.google.com/file/d/1PfjCAcQglaaCXpXfoAWL6JrW99V-Z_eu/view?usp=drivesdk","8599_SUSI, A.MD _ SERTIFIKAT BerAKHLAK")</f>
        <v>8599_SUSI, A.MD _ SERTIFIKAT BerAKHLAK</v>
      </c>
      <c r="P8600" s="5" t="s">
        <v>53775</v>
      </c>
    </row>
    <row r="8601" hidden="1">
      <c r="A8601" s="4">
        <v>45534.40833659722</v>
      </c>
      <c r="B8601" s="5" t="s">
        <v>19</v>
      </c>
      <c r="C8601" s="5" t="s">
        <v>38343</v>
      </c>
      <c r="E8601" s="5" t="s">
        <v>53776</v>
      </c>
      <c r="F8601" s="5" t="s">
        <v>108</v>
      </c>
      <c r="G8601" s="5" t="s">
        <v>53777</v>
      </c>
      <c r="H8601" s="6" t="s">
        <v>53778</v>
      </c>
      <c r="K8601" s="5" t="s">
        <v>53772</v>
      </c>
      <c r="M8601" s="5" t="s">
        <v>53779</v>
      </c>
      <c r="N8601" s="7" t="s">
        <v>53780</v>
      </c>
      <c r="O8601" s="8" t="str">
        <f>HYPERLINK("https://drive.google.com/file/d/1e1ILKG6Fzi6Vkk3veD8HRHlgIDlYvkwh/view?usp=drivesdk","8600_MERI ARI SAPUTRI  _ SERTIFIKAT BerAKHLAK")</f>
        <v>8600_MERI ARI SAPUTRI  _ SERTIFIKAT BerAKHLAK</v>
      </c>
      <c r="P8601" s="5" t="s">
        <v>53775</v>
      </c>
    </row>
    <row r="8602">
      <c r="A8602" s="4">
        <v>45534.408373611106</v>
      </c>
      <c r="B8602" s="5" t="s">
        <v>34</v>
      </c>
      <c r="D8602" s="5" t="s">
        <v>14313</v>
      </c>
      <c r="E8602" s="5" t="s">
        <v>53781</v>
      </c>
      <c r="F8602" s="5" t="s">
        <v>72</v>
      </c>
      <c r="G8602" s="5" t="s">
        <v>53782</v>
      </c>
      <c r="H8602" s="6" t="s">
        <v>53783</v>
      </c>
      <c r="K8602" s="5" t="s">
        <v>53784</v>
      </c>
      <c r="M8602" s="5" t="s">
        <v>53785</v>
      </c>
      <c r="N8602" s="7" t="s">
        <v>53786</v>
      </c>
      <c r="O8602" s="8" t="str">
        <f>HYPERLINK("https://drive.google.com/file/d/1sVlnzbiz1DqhDCh1Pa7KkcpVgEW31-nb/view?usp=drivesdk","8601_JUNIAR.S.Psi _ SERTIFIKAT BerAKHLAK")</f>
        <v>8601_JUNIAR.S.Psi _ SERTIFIKAT BerAKHLAK</v>
      </c>
      <c r="P8602" s="5" t="s">
        <v>53775</v>
      </c>
    </row>
    <row r="8603">
      <c r="A8603" s="4">
        <v>45534.40839681713</v>
      </c>
      <c r="B8603" s="5" t="s">
        <v>34</v>
      </c>
      <c r="D8603" s="5" t="s">
        <v>14313</v>
      </c>
      <c r="E8603" s="5" t="s">
        <v>53787</v>
      </c>
      <c r="F8603" s="5" t="s">
        <v>72</v>
      </c>
      <c r="G8603" s="5" t="s">
        <v>53788</v>
      </c>
      <c r="H8603" s="6" t="s">
        <v>53789</v>
      </c>
      <c r="K8603" s="5" t="s">
        <v>53784</v>
      </c>
      <c r="M8603" s="5" t="s">
        <v>53790</v>
      </c>
      <c r="N8603" s="7" t="s">
        <v>53791</v>
      </c>
      <c r="O8603" s="8" t="str">
        <f>HYPERLINK("https://drive.google.com/file/d/1Hw1mFoYi5sYhEk5oUFPOP5fQzSGR4ntn/view?usp=drivesdk","8602_HJ. ANGGREATY _ SERTIFIKAT BerAKHLAK")</f>
        <v>8602_HJ. ANGGREATY _ SERTIFIKAT BerAKHLAK</v>
      </c>
      <c r="P8603" s="5" t="s">
        <v>53775</v>
      </c>
    </row>
    <row r="8604">
      <c r="A8604" s="4">
        <v>45534.40842494213</v>
      </c>
      <c r="B8604" s="5" t="s">
        <v>34</v>
      </c>
      <c r="D8604" s="5" t="s">
        <v>11913</v>
      </c>
      <c r="E8604" s="5" t="s">
        <v>53792</v>
      </c>
      <c r="F8604" s="5" t="s">
        <v>37</v>
      </c>
      <c r="G8604" s="5" t="s">
        <v>53793</v>
      </c>
      <c r="H8604" s="6" t="s">
        <v>53794</v>
      </c>
      <c r="K8604" s="5" t="s">
        <v>53795</v>
      </c>
      <c r="M8604" s="5" t="s">
        <v>53796</v>
      </c>
      <c r="N8604" s="7" t="s">
        <v>53797</v>
      </c>
      <c r="O8604" s="8" t="str">
        <f>HYPERLINK("https://drive.google.com/file/d/1f6F5XARwJfrvklknpFEWv8fzYrlp3GJS/view?usp=drivesdk","8603_WILSON YORIMOT DJAMI TUKA, A.Md. _ SERTIFIKAT BerAKHLAK")</f>
        <v>8603_WILSON YORIMOT DJAMI TUKA, A.Md. _ SERTIFIKAT BerAKHLAK</v>
      </c>
      <c r="P8604" s="5" t="s">
        <v>53798</v>
      </c>
    </row>
    <row r="8605">
      <c r="A8605" s="4">
        <v>45534.40845398148</v>
      </c>
      <c r="B8605" s="5" t="s">
        <v>34</v>
      </c>
      <c r="D8605" s="5" t="s">
        <v>701</v>
      </c>
      <c r="E8605" s="5" t="s">
        <v>53799</v>
      </c>
      <c r="F8605" s="5" t="s">
        <v>524</v>
      </c>
      <c r="G8605" s="5" t="s">
        <v>53800</v>
      </c>
      <c r="H8605" s="6" t="s">
        <v>53801</v>
      </c>
      <c r="K8605" s="5" t="s">
        <v>53795</v>
      </c>
      <c r="M8605" s="5" t="s">
        <v>53802</v>
      </c>
      <c r="N8605" s="7" t="s">
        <v>53803</v>
      </c>
      <c r="O8605" s="8" t="str">
        <f>HYPERLINK("https://drive.google.com/file/d/1w8SZELnhl4zDvmyh58NQ697m6doodHtQ/view?usp=drivesdk","8604_ZALHAQKI ALFIN AMD KES.SE _ SERTIFIKAT BerAKHLAK")</f>
        <v>8604_ZALHAQKI ALFIN AMD KES.SE _ SERTIFIKAT BerAKHLAK</v>
      </c>
      <c r="P8605" s="5" t="s">
        <v>53798</v>
      </c>
    </row>
    <row r="8606">
      <c r="A8606" s="4">
        <v>45534.40847751158</v>
      </c>
      <c r="B8606" s="5" t="s">
        <v>34</v>
      </c>
      <c r="D8606" s="5" t="s">
        <v>14313</v>
      </c>
      <c r="E8606" s="5" t="s">
        <v>53804</v>
      </c>
      <c r="F8606" s="5" t="s">
        <v>37</v>
      </c>
      <c r="G8606" s="5" t="s">
        <v>53805</v>
      </c>
      <c r="H8606" s="6" t="s">
        <v>53806</v>
      </c>
      <c r="K8606" s="5" t="s">
        <v>53807</v>
      </c>
      <c r="M8606" s="5" t="s">
        <v>53808</v>
      </c>
      <c r="N8606" s="7" t="s">
        <v>53809</v>
      </c>
      <c r="O8606" s="8" t="str">
        <f>HYPERLINK("https://drive.google.com/file/d/15TvdH-LAg4qxU_YvC4MUI-YjcmtytIYc/view?usp=drivesdk","8605_BURHANUDIN  _ SERTIFIKAT BerAKHLAK")</f>
        <v>8605_BURHANUDIN  _ SERTIFIKAT BerAKHLAK</v>
      </c>
      <c r="P8606" s="5" t="s">
        <v>53798</v>
      </c>
    </row>
    <row r="8607">
      <c r="A8607" s="4">
        <v>45534.40857112268</v>
      </c>
      <c r="B8607" s="5" t="s">
        <v>34</v>
      </c>
      <c r="D8607" s="5" t="s">
        <v>701</v>
      </c>
      <c r="E8607" s="5" t="s">
        <v>53810</v>
      </c>
      <c r="F8607" s="5" t="s">
        <v>212</v>
      </c>
      <c r="G8607" s="5" t="s">
        <v>53811</v>
      </c>
      <c r="H8607" s="6" t="s">
        <v>53812</v>
      </c>
      <c r="K8607" s="5" t="s">
        <v>53813</v>
      </c>
      <c r="M8607" s="5" t="s">
        <v>53814</v>
      </c>
      <c r="N8607" s="7" t="s">
        <v>53815</v>
      </c>
      <c r="O8607" s="8" t="str">
        <f>HYPERLINK("https://drive.google.com/file/d/1IkcEcHPWit-fuyhVYS_gUE39cke9R_3V/view?usp=drivesdk","8606_FAUZIAH ISWANDI A.Md Kep _ SERTIFIKAT BerAKHLAK")</f>
        <v>8606_FAUZIAH ISWANDI A.Md Kep _ SERTIFIKAT BerAKHLAK</v>
      </c>
      <c r="P8607" s="5" t="s">
        <v>53798</v>
      </c>
    </row>
    <row r="8608">
      <c r="A8608" s="4">
        <v>45534.40857883102</v>
      </c>
      <c r="B8608" s="5" t="s">
        <v>34</v>
      </c>
      <c r="D8608" s="5" t="s">
        <v>4775</v>
      </c>
      <c r="E8608" s="5" t="s">
        <v>53816</v>
      </c>
      <c r="F8608" s="5" t="s">
        <v>72</v>
      </c>
      <c r="G8608" s="5" t="s">
        <v>53817</v>
      </c>
      <c r="H8608" s="6" t="s">
        <v>53818</v>
      </c>
      <c r="K8608" s="5" t="s">
        <v>53813</v>
      </c>
      <c r="M8608" s="5" t="s">
        <v>53819</v>
      </c>
      <c r="N8608" s="7" t="s">
        <v>53820</v>
      </c>
      <c r="O8608" s="8" t="str">
        <f>HYPERLINK("https://drive.google.com/file/d/118tTfLr1aXOPWCBjsHlT9Lsi5FvqrNRO/view?usp=drivesdk","8607_NUNUK HARTININGSIH _ SERTIFIKAT BerAKHLAK")</f>
        <v>8607_NUNUK HARTININGSIH _ SERTIFIKAT BerAKHLAK</v>
      </c>
      <c r="P8608" s="5" t="s">
        <v>53798</v>
      </c>
    </row>
    <row r="8609" hidden="1">
      <c r="A8609" s="4">
        <v>45534.40859923611</v>
      </c>
      <c r="B8609" s="5" t="s">
        <v>19</v>
      </c>
      <c r="C8609" s="5" t="s">
        <v>1498</v>
      </c>
      <c r="E8609" s="5" t="s">
        <v>52609</v>
      </c>
      <c r="F8609" s="5" t="s">
        <v>120</v>
      </c>
      <c r="G8609" s="5" t="s">
        <v>53821</v>
      </c>
      <c r="H8609" s="6" t="s">
        <v>53822</v>
      </c>
      <c r="K8609" s="5" t="s">
        <v>53813</v>
      </c>
      <c r="M8609" s="5" t="s">
        <v>53823</v>
      </c>
      <c r="N8609" s="7" t="s">
        <v>53824</v>
      </c>
      <c r="O8609" s="8" t="str">
        <f>HYPERLINK("https://drive.google.com/file/d/1DsbFOfPlV41zqk6lcuf0gahb5un5Ve4O/view?usp=drivesdk","8608_MURNIYATI, S.E. _ SERTIFIKAT BerAKHLAK")</f>
        <v>8608_MURNIYATI, S.E. _ SERTIFIKAT BerAKHLAK</v>
      </c>
      <c r="P8609" s="5" t="s">
        <v>53798</v>
      </c>
    </row>
    <row r="8610">
      <c r="A8610" s="4">
        <v>45534.40860804398</v>
      </c>
      <c r="B8610" s="5" t="s">
        <v>34</v>
      </c>
      <c r="D8610" s="5" t="s">
        <v>580</v>
      </c>
      <c r="E8610" s="5" t="s">
        <v>53825</v>
      </c>
      <c r="F8610" s="5" t="s">
        <v>108</v>
      </c>
      <c r="G8610" s="5" t="s">
        <v>53826</v>
      </c>
      <c r="H8610" s="6" t="s">
        <v>53827</v>
      </c>
      <c r="K8610" s="5" t="s">
        <v>53813</v>
      </c>
      <c r="M8610" s="5" t="s">
        <v>53828</v>
      </c>
      <c r="N8610" s="7" t="s">
        <v>53829</v>
      </c>
      <c r="O8610" s="8" t="str">
        <f>HYPERLINK("https://drive.google.com/file/d/1fmXpux9v0ZUJSP692aRrNc3LJckHLiAm/view?usp=drivesdk","8609_I WAYAN MARDIKA  _ SERTIFIKAT BerAKHLAK")</f>
        <v>8609_I WAYAN MARDIKA  _ SERTIFIKAT BerAKHLAK</v>
      </c>
      <c r="P8610" s="5" t="s">
        <v>53830</v>
      </c>
    </row>
    <row r="8611">
      <c r="A8611" s="4">
        <v>45534.408608495374</v>
      </c>
      <c r="B8611" s="5" t="s">
        <v>34</v>
      </c>
      <c r="D8611" s="5" t="s">
        <v>14313</v>
      </c>
      <c r="E8611" s="5" t="s">
        <v>53831</v>
      </c>
      <c r="F8611" s="5" t="s">
        <v>212</v>
      </c>
      <c r="G8611" s="5" t="s">
        <v>53832</v>
      </c>
      <c r="H8611" s="6" t="s">
        <v>53833</v>
      </c>
      <c r="K8611" s="5" t="s">
        <v>53813</v>
      </c>
      <c r="M8611" s="5" t="s">
        <v>53834</v>
      </c>
      <c r="N8611" s="7" t="s">
        <v>53835</v>
      </c>
      <c r="O8611" s="8" t="str">
        <f>HYPERLINK("https://drive.google.com/file/d/1BpYuWb7MMmubfvRP9ub9FIJtLM2ZrmrX/view?usp=drivesdk","8610_MARYUNI SYAM _ SERTIFIKAT BerAKHLAK")</f>
        <v>8610_MARYUNI SYAM _ SERTIFIKAT BerAKHLAK</v>
      </c>
      <c r="P8611" s="5" t="s">
        <v>53830</v>
      </c>
    </row>
    <row r="8612">
      <c r="A8612" s="4">
        <v>45534.408751979165</v>
      </c>
      <c r="B8612" s="5" t="s">
        <v>34</v>
      </c>
      <c r="D8612" s="5" t="s">
        <v>522</v>
      </c>
      <c r="E8612" s="5" t="s">
        <v>53836</v>
      </c>
      <c r="F8612" s="5" t="s">
        <v>37</v>
      </c>
      <c r="G8612" s="5" t="s">
        <v>53837</v>
      </c>
      <c r="H8612" s="6" t="s">
        <v>53838</v>
      </c>
      <c r="K8612" s="5" t="s">
        <v>53813</v>
      </c>
      <c r="M8612" s="5" t="s">
        <v>53839</v>
      </c>
      <c r="N8612" s="7" t="s">
        <v>53840</v>
      </c>
      <c r="O8612" s="8" t="str">
        <f>HYPERLINK("https://drive.google.com/file/d/1v7D8PrxxwGxuRRmzCHN40Dc_L2vFZ2tz/view?usp=drivesdk","8611_AGUS PRANANDA _ SERTIFIKAT BerAKHLAK")</f>
        <v>8611_AGUS PRANANDA _ SERTIFIKAT BerAKHLAK</v>
      </c>
      <c r="P8612" s="5" t="s">
        <v>53830</v>
      </c>
    </row>
    <row r="8613">
      <c r="A8613" s="4">
        <v>45534.408866944446</v>
      </c>
      <c r="B8613" s="5" t="s">
        <v>34</v>
      </c>
      <c r="D8613" s="5" t="s">
        <v>15401</v>
      </c>
      <c r="E8613" s="5" t="s">
        <v>53841</v>
      </c>
      <c r="F8613" s="5" t="s">
        <v>212</v>
      </c>
      <c r="G8613" s="5" t="s">
        <v>53842</v>
      </c>
      <c r="H8613" s="6" t="s">
        <v>53843</v>
      </c>
      <c r="K8613" s="5" t="s">
        <v>53844</v>
      </c>
      <c r="M8613" s="5" t="s">
        <v>53845</v>
      </c>
      <c r="N8613" s="7" t="s">
        <v>53846</v>
      </c>
      <c r="O8613" s="8" t="str">
        <f>HYPERLINK("https://drive.google.com/file/d/1zc6eG4n2RjhfKCvGKPlHRt4odL19bSoC/view?usp=drivesdk","8612_YEMI RINA LAMBANI _ SERTIFIKAT BerAKHLAK")</f>
        <v>8612_YEMI RINA LAMBANI _ SERTIFIKAT BerAKHLAK</v>
      </c>
      <c r="P8613" s="5" t="s">
        <v>53830</v>
      </c>
    </row>
    <row r="8614">
      <c r="A8614" s="4">
        <v>45534.408963298614</v>
      </c>
      <c r="B8614" s="5" t="s">
        <v>34</v>
      </c>
      <c r="D8614" s="5" t="s">
        <v>1206</v>
      </c>
      <c r="E8614" s="5" t="s">
        <v>53847</v>
      </c>
      <c r="F8614" s="5" t="s">
        <v>375</v>
      </c>
      <c r="G8614" s="5" t="s">
        <v>53848</v>
      </c>
      <c r="H8614" s="6" t="s">
        <v>53849</v>
      </c>
      <c r="K8614" s="5" t="s">
        <v>53850</v>
      </c>
      <c r="M8614" s="5" t="s">
        <v>53851</v>
      </c>
      <c r="N8614" s="7" t="s">
        <v>53852</v>
      </c>
      <c r="O8614" s="8" t="str">
        <f>HYPERLINK("https://drive.google.com/file/d/1IhHVqWWwnfKfBfgF1G9Xd0uFpQzTJDuB/view?usp=drivesdk","8613_PURWANTORO _ SERTIFIKAT BerAKHLAK")</f>
        <v>8613_PURWANTORO _ SERTIFIKAT BerAKHLAK</v>
      </c>
      <c r="P8614" s="5" t="s">
        <v>53830</v>
      </c>
    </row>
    <row r="8615" hidden="1">
      <c r="A8615" s="4">
        <v>45534.408979942134</v>
      </c>
      <c r="B8615" s="5" t="s">
        <v>19</v>
      </c>
      <c r="C8615" s="5" t="s">
        <v>292</v>
      </c>
      <c r="E8615" s="5" t="s">
        <v>53853</v>
      </c>
      <c r="F8615" s="5" t="s">
        <v>212</v>
      </c>
      <c r="G8615" s="5" t="s">
        <v>53854</v>
      </c>
      <c r="H8615" s="6" t="s">
        <v>53855</v>
      </c>
      <c r="K8615" s="5" t="s">
        <v>53850</v>
      </c>
      <c r="M8615" s="5" t="s">
        <v>53856</v>
      </c>
      <c r="N8615" s="7" t="s">
        <v>53857</v>
      </c>
      <c r="O8615" s="8" t="str">
        <f>HYPERLINK("https://drive.google.com/file/d/1u8YMJrYf8KBVoMiosMLktelGwGOFUo9J/view?usp=drivesdk","8614_SUSEKTININGSIH, SH _ SERTIFIKAT BerAKHLAK")</f>
        <v>8614_SUSEKTININGSIH, SH _ SERTIFIKAT BerAKHLAK</v>
      </c>
      <c r="P8615" s="5" t="s">
        <v>53830</v>
      </c>
    </row>
    <row r="8616">
      <c r="A8616" s="4">
        <v>45534.40899310185</v>
      </c>
      <c r="B8616" s="5" t="s">
        <v>34</v>
      </c>
      <c r="D8616" s="5" t="s">
        <v>1558</v>
      </c>
      <c r="E8616" s="5" t="s">
        <v>53858</v>
      </c>
      <c r="F8616" s="5" t="s">
        <v>375</v>
      </c>
      <c r="G8616" s="5" t="s">
        <v>53859</v>
      </c>
      <c r="H8616" s="6" t="s">
        <v>53860</v>
      </c>
      <c r="K8616" s="5" t="s">
        <v>53850</v>
      </c>
      <c r="M8616" s="5" t="s">
        <v>53861</v>
      </c>
      <c r="N8616" s="7" t="s">
        <v>53862</v>
      </c>
      <c r="O8616" s="8" t="str">
        <f>HYPERLINK("https://drive.google.com/file/d/1NsHDBXv7WcTGxdUNM6np6x8BMvW4TpNs/view?usp=drivesdk","8615_OTONG SUWARJO  _ SERTIFIKAT BerAKHLAK")</f>
        <v>8615_OTONG SUWARJO  _ SERTIFIKAT BerAKHLAK</v>
      </c>
      <c r="P8616" s="5" t="s">
        <v>53863</v>
      </c>
    </row>
    <row r="8617">
      <c r="A8617" s="4">
        <v>45534.4090118287</v>
      </c>
      <c r="B8617" s="5" t="s">
        <v>34</v>
      </c>
      <c r="D8617" s="5" t="s">
        <v>35</v>
      </c>
      <c r="E8617" s="5" t="s">
        <v>53864</v>
      </c>
      <c r="F8617" s="5" t="s">
        <v>120</v>
      </c>
      <c r="G8617" s="5" t="s">
        <v>53865</v>
      </c>
      <c r="H8617" s="6" t="s">
        <v>53866</v>
      </c>
      <c r="K8617" s="5" t="s">
        <v>53867</v>
      </c>
      <c r="M8617" s="5" t="s">
        <v>53868</v>
      </c>
      <c r="N8617" s="7" t="s">
        <v>53869</v>
      </c>
      <c r="O8617" s="8" t="str">
        <f>HYPERLINK("https://drive.google.com/file/d/16-qtSrIbLGeD8xoYB1WLeEz-H0eOYon2/view?usp=drivesdk","8616_IRAYANA, dr _ SERTIFIKAT BerAKHLAK")</f>
        <v>8616_IRAYANA, dr _ SERTIFIKAT BerAKHLAK</v>
      </c>
      <c r="P8617" s="5" t="s">
        <v>53863</v>
      </c>
    </row>
    <row r="8618">
      <c r="A8618" s="4">
        <v>45534.40905238426</v>
      </c>
      <c r="B8618" s="5" t="s">
        <v>34</v>
      </c>
      <c r="D8618" s="5" t="s">
        <v>7858</v>
      </c>
      <c r="E8618" s="5" t="s">
        <v>53870</v>
      </c>
      <c r="F8618" s="5" t="s">
        <v>37</v>
      </c>
      <c r="G8618" s="5" t="s">
        <v>53871</v>
      </c>
      <c r="H8618" s="6" t="s">
        <v>53872</v>
      </c>
      <c r="K8618" s="5" t="s">
        <v>53873</v>
      </c>
      <c r="M8618" s="5" t="s">
        <v>53874</v>
      </c>
      <c r="N8618" s="7" t="s">
        <v>53875</v>
      </c>
      <c r="O8618" s="8" t="str">
        <f>HYPERLINK("https://drive.google.com/file/d/1lli4dGehyY-Q4TCy2GHpH7_HORAvsOIu/view?usp=drivesdk","8617_NINING AFRIANI  _ SERTIFIKAT BerAKHLAK")</f>
        <v>8617_NINING AFRIANI  _ SERTIFIKAT BerAKHLAK</v>
      </c>
      <c r="P8618" s="5" t="s">
        <v>53863</v>
      </c>
    </row>
    <row r="8619">
      <c r="A8619" s="4">
        <v>45534.40908991898</v>
      </c>
      <c r="B8619" s="5" t="s">
        <v>34</v>
      </c>
      <c r="D8619" s="5" t="s">
        <v>4775</v>
      </c>
      <c r="E8619" s="5" t="s">
        <v>53876</v>
      </c>
      <c r="F8619" s="5" t="s">
        <v>375</v>
      </c>
      <c r="G8619" s="5" t="s">
        <v>53877</v>
      </c>
      <c r="H8619" s="6" t="s">
        <v>53878</v>
      </c>
      <c r="K8619" s="5" t="s">
        <v>53873</v>
      </c>
      <c r="M8619" s="5" t="s">
        <v>53879</v>
      </c>
      <c r="N8619" s="7" t="s">
        <v>53880</v>
      </c>
      <c r="O8619" s="8" t="str">
        <f>HYPERLINK("https://drive.google.com/file/d/1Vwx2BcalspRZD_kg_CKsghe4fn7jTOLR/view?usp=drivesdk","8618_ERNA SRI ASIH _ SERTIFIKAT BerAKHLAK")</f>
        <v>8618_ERNA SRI ASIH _ SERTIFIKAT BerAKHLAK</v>
      </c>
      <c r="P8619" s="5" t="s">
        <v>53863</v>
      </c>
    </row>
    <row r="8620">
      <c r="A8620" s="4">
        <v>45534.409122881945</v>
      </c>
      <c r="B8620" s="5" t="s">
        <v>34</v>
      </c>
      <c r="D8620" s="5" t="s">
        <v>15401</v>
      </c>
      <c r="E8620" s="5" t="s">
        <v>53881</v>
      </c>
      <c r="F8620" s="5" t="s">
        <v>212</v>
      </c>
      <c r="G8620" s="5" t="s">
        <v>53882</v>
      </c>
      <c r="H8620" s="6" t="s">
        <v>53883</v>
      </c>
      <c r="K8620" s="5" t="s">
        <v>53873</v>
      </c>
      <c r="M8620" s="5" t="s">
        <v>53884</v>
      </c>
      <c r="N8620" s="7" t="s">
        <v>53885</v>
      </c>
      <c r="O8620" s="8" t="str">
        <f>HYPERLINK("https://drive.google.com/file/d/1kJThUpfAus3c7sXLCO4JbEZ39A3qbiwi/view?usp=drivesdk","8619_SELVI U TALIB _ SERTIFIKAT BerAKHLAK")</f>
        <v>8619_SELVI U TALIB _ SERTIFIKAT BerAKHLAK</v>
      </c>
      <c r="P8620" s="5" t="s">
        <v>53863</v>
      </c>
    </row>
    <row r="8621" hidden="1">
      <c r="A8621" s="4">
        <v>45534.409129074076</v>
      </c>
      <c r="B8621" s="5" t="s">
        <v>19</v>
      </c>
      <c r="C8621" s="5" t="s">
        <v>32901</v>
      </c>
      <c r="E8621" s="5" t="s">
        <v>53886</v>
      </c>
      <c r="F8621" s="5" t="s">
        <v>375</v>
      </c>
      <c r="G8621" s="5" t="s">
        <v>53887</v>
      </c>
      <c r="H8621" s="6" t="s">
        <v>53888</v>
      </c>
      <c r="K8621" s="5" t="s">
        <v>53873</v>
      </c>
      <c r="M8621" s="5" t="s">
        <v>53889</v>
      </c>
      <c r="N8621" s="7" t="s">
        <v>53890</v>
      </c>
      <c r="O8621" s="8" t="str">
        <f>HYPERLINK("https://drive.google.com/file/d/1ANNMAS5OHORUF6GHp-ml9pA4e2dnd34y/view?usp=drivesdk","8620_DJUHARWATI _ SERTIFIKAT BerAKHLAK")</f>
        <v>8620_DJUHARWATI _ SERTIFIKAT BerAKHLAK</v>
      </c>
      <c r="P8621" s="5" t="s">
        <v>53891</v>
      </c>
    </row>
    <row r="8622">
      <c r="A8622" s="4">
        <v>45534.40914230324</v>
      </c>
      <c r="B8622" s="5" t="s">
        <v>34</v>
      </c>
      <c r="D8622" s="5" t="s">
        <v>1456</v>
      </c>
      <c r="E8622" s="5" t="s">
        <v>53892</v>
      </c>
      <c r="F8622" s="5" t="s">
        <v>212</v>
      </c>
      <c r="G8622" s="5" t="s">
        <v>53893</v>
      </c>
      <c r="H8622" s="6" t="s">
        <v>53894</v>
      </c>
      <c r="K8622" s="5" t="s">
        <v>53873</v>
      </c>
      <c r="M8622" s="5" t="s">
        <v>53895</v>
      </c>
      <c r="N8622" s="7" t="s">
        <v>53896</v>
      </c>
      <c r="O8622" s="8" t="str">
        <f>HYPERLINK("https://drive.google.com/file/d/1-9FTfZCPML06H0qZ6di-i1tOOgAjAi_9/view?usp=drivesdk","8621_NGATINO, S.E., M.M _ SERTIFIKAT BerAKHLAK")</f>
        <v>8621_NGATINO, S.E., M.M _ SERTIFIKAT BerAKHLAK</v>
      </c>
      <c r="P8622" s="5" t="s">
        <v>53891</v>
      </c>
    </row>
    <row r="8623">
      <c r="A8623" s="4">
        <v>45534.40915743056</v>
      </c>
      <c r="B8623" s="5" t="s">
        <v>34</v>
      </c>
      <c r="D8623" s="5" t="s">
        <v>1768</v>
      </c>
      <c r="E8623" s="5" t="s">
        <v>53897</v>
      </c>
      <c r="F8623" s="5" t="s">
        <v>72</v>
      </c>
      <c r="G8623" s="5" t="s">
        <v>53898</v>
      </c>
      <c r="H8623" s="6" t="s">
        <v>53899</v>
      </c>
      <c r="K8623" s="5" t="s">
        <v>53873</v>
      </c>
      <c r="M8623" s="5" t="s">
        <v>53900</v>
      </c>
      <c r="N8623" s="7" t="s">
        <v>53901</v>
      </c>
      <c r="O8623" s="8" t="str">
        <f>HYPERLINK("https://drive.google.com/file/d/1TCO4wq6e-jzXfAjw1FQWUsSgLc5pbs7H/view?usp=drivesdk","8622_PARDOMUAN SAGALA _ SERTIFIKAT BerAKHLAK")</f>
        <v>8622_PARDOMUAN SAGALA _ SERTIFIKAT BerAKHLAK</v>
      </c>
      <c r="P8623" s="5" t="s">
        <v>53891</v>
      </c>
    </row>
    <row r="8624">
      <c r="A8624" s="4">
        <v>45534.409158703704</v>
      </c>
      <c r="B8624" s="5" t="s">
        <v>34</v>
      </c>
      <c r="D8624" s="5" t="s">
        <v>1206</v>
      </c>
      <c r="E8624" s="5" t="s">
        <v>53902</v>
      </c>
      <c r="F8624" s="5" t="s">
        <v>37</v>
      </c>
      <c r="G8624" s="5" t="s">
        <v>53903</v>
      </c>
      <c r="H8624" s="6" t="s">
        <v>53904</v>
      </c>
      <c r="K8624" s="5" t="s">
        <v>53873</v>
      </c>
      <c r="M8624" s="5" t="s">
        <v>53905</v>
      </c>
      <c r="N8624" s="7" t="s">
        <v>53906</v>
      </c>
      <c r="O8624" s="8" t="str">
        <f>HYPERLINK("https://drive.google.com/file/d/13Li6yUVx_UL_vOSjtVQNK4qFJ_tQoQhJ/view?usp=drivesdk","8623_VINDA ANGGRAENI  _ SERTIFIKAT BerAKHLAK")</f>
        <v>8623_VINDA ANGGRAENI  _ SERTIFIKAT BerAKHLAK</v>
      </c>
      <c r="P8624" s="5" t="s">
        <v>53891</v>
      </c>
    </row>
    <row r="8625">
      <c r="A8625" s="4">
        <v>45534.40920337963</v>
      </c>
      <c r="B8625" s="5" t="s">
        <v>34</v>
      </c>
      <c r="D8625" s="5" t="s">
        <v>701</v>
      </c>
      <c r="E8625" s="5" t="s">
        <v>53907</v>
      </c>
      <c r="F8625" s="5" t="s">
        <v>524</v>
      </c>
      <c r="G8625" s="5" t="s">
        <v>53908</v>
      </c>
      <c r="H8625" s="6" t="s">
        <v>53909</v>
      </c>
      <c r="K8625" s="5" t="s">
        <v>53873</v>
      </c>
      <c r="M8625" s="5" t="s">
        <v>53910</v>
      </c>
      <c r="N8625" s="7" t="s">
        <v>53911</v>
      </c>
      <c r="O8625" s="8" t="str">
        <f>HYPERLINK("https://drive.google.com/file/d/1-qFMESEQTn_RZcEYElXeHCJHYwQkcvqx/view?usp=drivesdk","8624_RAHMADANI, S.H _ SERTIFIKAT BerAKHLAK")</f>
        <v>8624_RAHMADANI, S.H _ SERTIFIKAT BerAKHLAK</v>
      </c>
      <c r="P8625" s="5" t="s">
        <v>53891</v>
      </c>
    </row>
    <row r="8626">
      <c r="A8626" s="4">
        <v>45534.409217673616</v>
      </c>
      <c r="B8626" s="5" t="s">
        <v>34</v>
      </c>
      <c r="D8626" s="5" t="s">
        <v>14424</v>
      </c>
      <c r="E8626" s="5" t="s">
        <v>53912</v>
      </c>
      <c r="F8626" s="5" t="s">
        <v>37</v>
      </c>
      <c r="G8626" s="5" t="s">
        <v>53913</v>
      </c>
      <c r="H8626" s="6" t="s">
        <v>53914</v>
      </c>
      <c r="K8626" s="5" t="s">
        <v>53915</v>
      </c>
      <c r="M8626" s="5" t="s">
        <v>53916</v>
      </c>
      <c r="N8626" s="7" t="s">
        <v>53917</v>
      </c>
      <c r="O8626" s="8" t="str">
        <f>HYPERLINK("https://drive.google.com/file/d/1OVahyO82pCT6u8f4wDQ026EFSkVf8Hq7/view?usp=drivesdk","8625_EKA PUTRI OLVIANI, A.MD.FAR _ SERTIFIKAT BerAKHLAK")</f>
        <v>8625_EKA PUTRI OLVIANI, A.MD.FAR _ SERTIFIKAT BerAKHLAK</v>
      </c>
      <c r="P8626" s="5" t="s">
        <v>53918</v>
      </c>
    </row>
    <row r="8627">
      <c r="A8627" s="4">
        <v>45534.40929300926</v>
      </c>
      <c r="B8627" s="5" t="s">
        <v>34</v>
      </c>
      <c r="D8627" s="5" t="s">
        <v>1206</v>
      </c>
      <c r="E8627" s="5" t="s">
        <v>53919</v>
      </c>
      <c r="F8627" s="5" t="s">
        <v>37</v>
      </c>
      <c r="G8627" s="5" t="s">
        <v>53920</v>
      </c>
      <c r="H8627" s="6" t="s">
        <v>53921</v>
      </c>
      <c r="K8627" s="5" t="s">
        <v>53915</v>
      </c>
      <c r="M8627" s="5" t="s">
        <v>53922</v>
      </c>
      <c r="N8627" s="7" t="s">
        <v>53923</v>
      </c>
      <c r="O8627" s="8" t="str">
        <f>HYPERLINK("https://drive.google.com/file/d/16gTUZ8XMFMWhJuG8_ogGSsRjlgg4Fk_x/view?usp=drivesdk","8626_TEGUH DWIYANTO _ SERTIFIKAT BerAKHLAK")</f>
        <v>8626_TEGUH DWIYANTO _ SERTIFIKAT BerAKHLAK</v>
      </c>
      <c r="P8627" s="5" t="s">
        <v>53924</v>
      </c>
    </row>
    <row r="8628">
      <c r="A8628" s="4">
        <v>45534.40929581018</v>
      </c>
      <c r="B8628" s="5" t="s">
        <v>34</v>
      </c>
      <c r="D8628" s="5" t="s">
        <v>15401</v>
      </c>
      <c r="E8628" s="5" t="s">
        <v>44830</v>
      </c>
      <c r="F8628" s="5" t="s">
        <v>108</v>
      </c>
      <c r="G8628" s="5" t="s">
        <v>53925</v>
      </c>
      <c r="H8628" s="6" t="s">
        <v>53926</v>
      </c>
      <c r="K8628" s="5" t="s">
        <v>53915</v>
      </c>
      <c r="M8628" s="5" t="s">
        <v>53927</v>
      </c>
      <c r="N8628" s="7" t="s">
        <v>53928</v>
      </c>
      <c r="O8628" s="8" t="str">
        <f>HYPERLINK("https://drive.google.com/file/d/1T6SFJaFVdNFaUxVc4Pm9n6kRUuRvfNjN/view?usp=drivesdk","8627_MEITY BAKARY _ SERTIFIKAT BerAKHLAK")</f>
        <v>8627_MEITY BAKARY _ SERTIFIKAT BerAKHLAK</v>
      </c>
      <c r="P8628" s="5" t="s">
        <v>53924</v>
      </c>
    </row>
    <row r="8629">
      <c r="A8629" s="4">
        <v>45534.40929703704</v>
      </c>
      <c r="B8629" s="5" t="s">
        <v>34</v>
      </c>
      <c r="D8629" s="5" t="s">
        <v>580</v>
      </c>
      <c r="E8629" s="5" t="s">
        <v>53929</v>
      </c>
      <c r="F8629" s="5" t="s">
        <v>37</v>
      </c>
      <c r="G8629" s="5" t="s">
        <v>53930</v>
      </c>
      <c r="H8629" s="6" t="s">
        <v>53931</v>
      </c>
      <c r="K8629" s="5" t="s">
        <v>53915</v>
      </c>
      <c r="M8629" s="5" t="s">
        <v>53932</v>
      </c>
      <c r="N8629" s="7" t="s">
        <v>53933</v>
      </c>
      <c r="O8629" s="8" t="str">
        <f>HYPERLINK("https://drive.google.com/file/d/1VZPRxegSQBcsnTJgIBNaT_ptclCSjeap/view?usp=drivesdk","8628_DESAK MADE OKA ANDAYANI _ SERTIFIKAT BerAKHLAK")</f>
        <v>8628_DESAK MADE OKA ANDAYANI _ SERTIFIKAT BerAKHLAK</v>
      </c>
      <c r="P8629" s="5" t="s">
        <v>53924</v>
      </c>
    </row>
    <row r="8630">
      <c r="A8630" s="4">
        <v>45534.409307662034</v>
      </c>
      <c r="B8630" s="5" t="s">
        <v>34</v>
      </c>
      <c r="D8630" s="5" t="s">
        <v>9020</v>
      </c>
      <c r="E8630" s="5" t="s">
        <v>53934</v>
      </c>
      <c r="F8630" s="5" t="s">
        <v>212</v>
      </c>
      <c r="G8630" s="5" t="s">
        <v>53935</v>
      </c>
      <c r="H8630" s="6" t="s">
        <v>53936</v>
      </c>
      <c r="K8630" s="5" t="s">
        <v>53915</v>
      </c>
      <c r="M8630" s="5" t="s">
        <v>53937</v>
      </c>
      <c r="N8630" s="7" t="s">
        <v>53938</v>
      </c>
      <c r="O8630" s="8" t="str">
        <f>HYPERLINK("https://drive.google.com/file/d/1ws5TeMtig6We-tcgoBc2K3jcPiMo5_0m/view?usp=drivesdk","8629_ERIAN DANI _ SERTIFIKAT BerAKHLAK")</f>
        <v>8629_ERIAN DANI _ SERTIFIKAT BerAKHLAK</v>
      </c>
      <c r="P8630" s="5" t="s">
        <v>53924</v>
      </c>
    </row>
    <row r="8631">
      <c r="A8631" s="4">
        <v>45534.409317858794</v>
      </c>
      <c r="B8631" s="5" t="s">
        <v>34</v>
      </c>
      <c r="D8631" s="5" t="s">
        <v>7858</v>
      </c>
      <c r="E8631" s="5" t="s">
        <v>53939</v>
      </c>
      <c r="F8631" s="5" t="s">
        <v>72</v>
      </c>
      <c r="G8631" s="5" t="s">
        <v>53940</v>
      </c>
      <c r="H8631" s="6" t="s">
        <v>53941</v>
      </c>
      <c r="K8631" s="5" t="s">
        <v>53915</v>
      </c>
      <c r="M8631" s="5" t="s">
        <v>53942</v>
      </c>
      <c r="N8631" s="7" t="s">
        <v>53943</v>
      </c>
      <c r="O8631" s="8" t="str">
        <f>HYPERLINK("https://drive.google.com/file/d/1c8wjMb-muPX5xtJjepgpKNu3hQ0_LiHZ/view?usp=drivesdk","8630_ADE SURYATNA AMD KEP _ SERTIFIKAT BerAKHLAK")</f>
        <v>8630_ADE SURYATNA AMD KEP _ SERTIFIKAT BerAKHLAK</v>
      </c>
      <c r="P8631" s="5" t="s">
        <v>53924</v>
      </c>
    </row>
    <row r="8632">
      <c r="A8632" s="4">
        <v>45534.40934679398</v>
      </c>
      <c r="B8632" s="5" t="s">
        <v>34</v>
      </c>
      <c r="D8632" s="5" t="s">
        <v>11913</v>
      </c>
      <c r="E8632" s="5" t="s">
        <v>53944</v>
      </c>
      <c r="F8632" s="5" t="s">
        <v>524</v>
      </c>
      <c r="G8632" s="5" t="s">
        <v>53945</v>
      </c>
      <c r="H8632" s="6" t="s">
        <v>53946</v>
      </c>
      <c r="K8632" s="5" t="s">
        <v>53947</v>
      </c>
      <c r="M8632" s="5" t="s">
        <v>53948</v>
      </c>
      <c r="N8632" s="7" t="s">
        <v>53949</v>
      </c>
      <c r="O8632" s="8" t="str">
        <f>HYPERLINK("https://drive.google.com/file/d/1qM4P765J4zPXL4rvMPPwuZlHzKNAmUIF/view?usp=drivesdk","8631_MARCE LUIN  _ SERTIFIKAT BerAKHLAK")</f>
        <v>8631_MARCE LUIN  _ SERTIFIKAT BerAKHLAK</v>
      </c>
      <c r="P8632" s="5" t="s">
        <v>53950</v>
      </c>
    </row>
    <row r="8633">
      <c r="A8633" s="4">
        <v>45534.409363391205</v>
      </c>
      <c r="B8633" s="5" t="s">
        <v>34</v>
      </c>
      <c r="D8633" s="5" t="s">
        <v>4775</v>
      </c>
      <c r="E8633" s="5" t="s">
        <v>53951</v>
      </c>
      <c r="F8633" s="5" t="s">
        <v>108</v>
      </c>
      <c r="G8633" s="5" t="s">
        <v>53952</v>
      </c>
      <c r="H8633" s="6" t="s">
        <v>53953</v>
      </c>
      <c r="K8633" s="5" t="s">
        <v>53947</v>
      </c>
      <c r="M8633" s="5" t="s">
        <v>53954</v>
      </c>
      <c r="N8633" s="7" t="s">
        <v>53955</v>
      </c>
      <c r="O8633" s="8" t="str">
        <f>HYPERLINK("https://drive.google.com/file/d/10XMjOhmNKKN_tCzG6lH29W4zlp4wB5al/view?usp=drivesdk","8632_DODY PURNAWAN _ SERTIFIKAT BerAKHLAK")</f>
        <v>8632_DODY PURNAWAN _ SERTIFIKAT BerAKHLAK</v>
      </c>
      <c r="P8633" s="5" t="s">
        <v>53950</v>
      </c>
    </row>
    <row r="8634">
      <c r="A8634" s="4">
        <v>45534.40938975694</v>
      </c>
      <c r="B8634" s="5" t="s">
        <v>34</v>
      </c>
      <c r="D8634" s="5" t="s">
        <v>701</v>
      </c>
      <c r="E8634" s="5" t="s">
        <v>53956</v>
      </c>
      <c r="F8634" s="5" t="s">
        <v>212</v>
      </c>
      <c r="G8634" s="5" t="s">
        <v>53957</v>
      </c>
      <c r="H8634" s="6" t="s">
        <v>53958</v>
      </c>
      <c r="K8634" s="5" t="s">
        <v>53947</v>
      </c>
      <c r="M8634" s="5" t="s">
        <v>53959</v>
      </c>
      <c r="N8634" s="7" t="s">
        <v>53960</v>
      </c>
      <c r="O8634" s="8" t="str">
        <f>HYPERLINK("https://drive.google.com/file/d/1cV9X1-s8JlXlNs1oVje3fkMNdfnaXf4Q/view?usp=drivesdk","8633_LUSNA DWIVA _ SERTIFIKAT BerAKHLAK")</f>
        <v>8633_LUSNA DWIVA _ SERTIFIKAT BerAKHLAK</v>
      </c>
      <c r="P8634" s="5" t="s">
        <v>53950</v>
      </c>
    </row>
    <row r="8635">
      <c r="A8635" s="4">
        <v>45534.40948122685</v>
      </c>
      <c r="B8635" s="5" t="s">
        <v>34</v>
      </c>
      <c r="D8635" s="5" t="s">
        <v>4775</v>
      </c>
      <c r="E8635" s="5" t="s">
        <v>53961</v>
      </c>
      <c r="F8635" s="5" t="s">
        <v>37</v>
      </c>
      <c r="G8635" s="5" t="s">
        <v>53962</v>
      </c>
      <c r="H8635" s="6" t="s">
        <v>53963</v>
      </c>
      <c r="K8635" s="5" t="s">
        <v>53964</v>
      </c>
      <c r="M8635" s="5" t="s">
        <v>53965</v>
      </c>
      <c r="N8635" s="7" t="s">
        <v>53966</v>
      </c>
      <c r="O8635" s="8" t="str">
        <f>HYPERLINK("https://drive.google.com/file/d/1eXMFuniy-fzYTzWImo-mONLHBT66WatH/view?usp=drivesdk","8634_LENI MEILINDA, S.M. _ SERTIFIKAT BerAKHLAK")</f>
        <v>8634_LENI MEILINDA, S.M. _ SERTIFIKAT BerAKHLAK</v>
      </c>
      <c r="P8635" s="5" t="s">
        <v>53950</v>
      </c>
    </row>
    <row r="8636">
      <c r="A8636" s="4">
        <v>45534.40950076389</v>
      </c>
      <c r="B8636" s="5" t="s">
        <v>34</v>
      </c>
      <c r="D8636" s="5" t="s">
        <v>1206</v>
      </c>
      <c r="E8636" s="5" t="s">
        <v>53967</v>
      </c>
      <c r="F8636" s="5" t="s">
        <v>524</v>
      </c>
      <c r="G8636" s="5" t="s">
        <v>53968</v>
      </c>
      <c r="H8636" s="6" t="s">
        <v>53969</v>
      </c>
      <c r="K8636" s="5" t="s">
        <v>53964</v>
      </c>
      <c r="M8636" s="5" t="s">
        <v>53970</v>
      </c>
      <c r="N8636" s="7" t="s">
        <v>53971</v>
      </c>
      <c r="O8636" s="8" t="str">
        <f>HYPERLINK("https://drive.google.com/file/d/188z7pBzb4XKSzlI59hr9MGNz-Z5fIrwI/view?usp=drivesdk","8635_NURUL HIDAYATI,A.Md.Kep _ SERTIFIKAT BerAKHLAK")</f>
        <v>8635_NURUL HIDAYATI,A.Md.Kep _ SERTIFIKAT BerAKHLAK</v>
      </c>
      <c r="P8636" s="5" t="s">
        <v>53950</v>
      </c>
    </row>
    <row r="8637">
      <c r="A8637" s="4">
        <v>45534.40952645833</v>
      </c>
      <c r="B8637" s="5" t="s">
        <v>34</v>
      </c>
      <c r="D8637" s="5" t="s">
        <v>1456</v>
      </c>
      <c r="E8637" s="5" t="s">
        <v>53972</v>
      </c>
      <c r="F8637" s="5" t="s">
        <v>212</v>
      </c>
      <c r="G8637" s="5" t="s">
        <v>53973</v>
      </c>
      <c r="H8637" s="6" t="s">
        <v>53974</v>
      </c>
      <c r="K8637" s="5" t="s">
        <v>53975</v>
      </c>
      <c r="M8637" s="5" t="s">
        <v>53976</v>
      </c>
      <c r="N8637" s="7" t="s">
        <v>53977</v>
      </c>
      <c r="O8637" s="8" t="str">
        <f>HYPERLINK("https://drive.google.com/file/d/13oEFaSIEcxCz8WKM8V-3LY0HwA7bhaXb/view?usp=drivesdk","8636_MUHLIS HASIM SIREGAR _ SERTIFIKAT BerAKHLAK")</f>
        <v>8636_MUHLIS HASIM SIREGAR _ SERTIFIKAT BerAKHLAK</v>
      </c>
      <c r="P8637" s="5" t="s">
        <v>53950</v>
      </c>
    </row>
    <row r="8638">
      <c r="A8638" s="4">
        <v>45534.40953376157</v>
      </c>
      <c r="B8638" s="5" t="s">
        <v>34</v>
      </c>
      <c r="D8638" s="5" t="s">
        <v>1206</v>
      </c>
      <c r="E8638" s="5" t="s">
        <v>21144</v>
      </c>
      <c r="F8638" s="5" t="s">
        <v>37</v>
      </c>
      <c r="G8638" s="5" t="s">
        <v>53978</v>
      </c>
      <c r="H8638" s="6" t="s">
        <v>53979</v>
      </c>
      <c r="K8638" s="5" t="s">
        <v>53975</v>
      </c>
      <c r="M8638" s="5" t="s">
        <v>53980</v>
      </c>
      <c r="N8638" s="7" t="s">
        <v>53981</v>
      </c>
      <c r="O8638" s="8" t="str">
        <f>HYPERLINK("https://drive.google.com/file/d/1FAofsrummbMGLQVa91Gxm7qgdC07OSg6/view?usp=drivesdk","8637_TRISNO _ SERTIFIKAT BerAKHLAK")</f>
        <v>8637_TRISNO _ SERTIFIKAT BerAKHLAK</v>
      </c>
      <c r="P8638" s="5" t="s">
        <v>53982</v>
      </c>
    </row>
    <row r="8639" hidden="1">
      <c r="A8639" s="4">
        <v>45534.40953917824</v>
      </c>
      <c r="B8639" s="5" t="s">
        <v>19</v>
      </c>
      <c r="C8639" s="5" t="s">
        <v>292</v>
      </c>
      <c r="E8639" s="5" t="s">
        <v>53983</v>
      </c>
      <c r="F8639" s="5" t="s">
        <v>715</v>
      </c>
      <c r="G8639" s="5" t="s">
        <v>53984</v>
      </c>
      <c r="H8639" s="6" t="s">
        <v>53985</v>
      </c>
      <c r="K8639" s="5" t="s">
        <v>53975</v>
      </c>
      <c r="M8639" s="5" t="s">
        <v>53986</v>
      </c>
      <c r="N8639" s="7" t="s">
        <v>53987</v>
      </c>
      <c r="O8639" s="8" t="str">
        <f>HYPERLINK("https://drive.google.com/file/d/1Vr9vZIOtUWMpE4xJJr9NVyHyFG1fTUyX/view?usp=drivesdk","8638_RINA HANDAYANI,S.Si _ SERTIFIKAT BerAKHLAK")</f>
        <v>8638_RINA HANDAYANI,S.Si _ SERTIFIKAT BerAKHLAK</v>
      </c>
      <c r="P8639" s="5" t="s">
        <v>53982</v>
      </c>
    </row>
    <row r="8640">
      <c r="A8640" s="4">
        <v>45534.409667280095</v>
      </c>
      <c r="B8640" s="5" t="s">
        <v>34</v>
      </c>
      <c r="D8640" s="5" t="s">
        <v>1456</v>
      </c>
      <c r="E8640" s="5" t="s">
        <v>53988</v>
      </c>
      <c r="F8640" s="5" t="s">
        <v>37</v>
      </c>
      <c r="G8640" s="5" t="s">
        <v>53989</v>
      </c>
      <c r="H8640" s="6" t="s">
        <v>53990</v>
      </c>
      <c r="K8640" s="5" t="s">
        <v>53991</v>
      </c>
      <c r="M8640" s="5" t="s">
        <v>53992</v>
      </c>
      <c r="N8640" s="7" t="s">
        <v>53993</v>
      </c>
      <c r="O8640" s="8" t="str">
        <f>HYPERLINK("https://drive.google.com/file/d/12HA2bscG3zsUPzIBj0GeIcKOT4zhCmUJ/view?usp=drivesdk","8639_IDA AYU PUTRI, S.A.P. _ SERTIFIKAT BerAKHLAK")</f>
        <v>8639_IDA AYU PUTRI, S.A.P. _ SERTIFIKAT BerAKHLAK</v>
      </c>
      <c r="P8640" s="5" t="s">
        <v>53982</v>
      </c>
    </row>
    <row r="8641">
      <c r="A8641" s="4">
        <v>45534.40969215278</v>
      </c>
      <c r="B8641" s="5" t="s">
        <v>34</v>
      </c>
      <c r="D8641" s="5" t="s">
        <v>4775</v>
      </c>
      <c r="E8641" s="5" t="s">
        <v>53994</v>
      </c>
      <c r="F8641" s="5" t="s">
        <v>120</v>
      </c>
      <c r="G8641" s="5" t="s">
        <v>53995</v>
      </c>
      <c r="H8641" s="6" t="s">
        <v>53996</v>
      </c>
      <c r="K8641" s="5" t="s">
        <v>53991</v>
      </c>
      <c r="M8641" s="5" t="s">
        <v>53997</v>
      </c>
      <c r="N8641" s="7" t="s">
        <v>53998</v>
      </c>
      <c r="O8641" s="8" t="str">
        <f>HYPERLINK("https://drive.google.com/file/d/1jnwta5IJ5uzEeKgWCQ7OFjFdmSu-6iTS/view?usp=drivesdk","8640_RETNO KUSUMANINGRUM _ SERTIFIKAT BerAKHLAK")</f>
        <v>8640_RETNO KUSUMANINGRUM _ SERTIFIKAT BerAKHLAK</v>
      </c>
      <c r="P8641" s="5" t="s">
        <v>53982</v>
      </c>
    </row>
    <row r="8642">
      <c r="A8642" s="4">
        <v>45534.4097115162</v>
      </c>
      <c r="B8642" s="5" t="s">
        <v>34</v>
      </c>
      <c r="D8642" s="5" t="s">
        <v>4775</v>
      </c>
      <c r="E8642" s="5" t="s">
        <v>53999</v>
      </c>
      <c r="F8642" s="5" t="s">
        <v>37</v>
      </c>
      <c r="G8642" s="5" t="s">
        <v>54000</v>
      </c>
      <c r="H8642" s="6" t="s">
        <v>54001</v>
      </c>
      <c r="K8642" s="5" t="s">
        <v>53991</v>
      </c>
      <c r="M8642" s="5" t="s">
        <v>54002</v>
      </c>
      <c r="N8642" s="7" t="s">
        <v>54003</v>
      </c>
      <c r="O8642" s="8" t="str">
        <f>HYPERLINK("https://drive.google.com/file/d/1jCWi4oQzgkiEiKgM-3nA6VmFbN8TQcJ_/view?usp=drivesdk","8641_HINDUNSEJATI _ SERTIFIKAT BerAKHLAK")</f>
        <v>8641_HINDUNSEJATI _ SERTIFIKAT BerAKHLAK</v>
      </c>
      <c r="P8642" s="5" t="s">
        <v>53982</v>
      </c>
    </row>
    <row r="8643">
      <c r="A8643" s="4">
        <v>45534.4097140625</v>
      </c>
      <c r="B8643" s="5" t="s">
        <v>34</v>
      </c>
      <c r="D8643" s="5" t="s">
        <v>701</v>
      </c>
      <c r="E8643" s="5" t="s">
        <v>16453</v>
      </c>
      <c r="F8643" s="5" t="s">
        <v>72</v>
      </c>
      <c r="G8643" s="5" t="s">
        <v>54004</v>
      </c>
      <c r="H8643" s="6" t="s">
        <v>54005</v>
      </c>
      <c r="K8643" s="5" t="s">
        <v>53991</v>
      </c>
      <c r="M8643" s="5" t="s">
        <v>54006</v>
      </c>
      <c r="N8643" s="7" t="s">
        <v>54007</v>
      </c>
      <c r="O8643" s="8" t="str">
        <f>HYPERLINK("https://drive.google.com/file/d/1Y8WtMSwyOVMurv_UhSzMozeGSQJRoiAG/view?usp=drivesdk","8642_SRI RAHAYU _ SERTIFIKAT BerAKHLAK")</f>
        <v>8642_SRI RAHAYU _ SERTIFIKAT BerAKHLAK</v>
      </c>
      <c r="P8643" s="5" t="s">
        <v>53982</v>
      </c>
    </row>
    <row r="8644">
      <c r="A8644" s="4">
        <v>45534.409764502314</v>
      </c>
      <c r="B8644" s="5" t="s">
        <v>34</v>
      </c>
      <c r="D8644" s="5" t="s">
        <v>9020</v>
      </c>
      <c r="E8644" s="5" t="s">
        <v>54008</v>
      </c>
      <c r="F8644" s="5" t="s">
        <v>524</v>
      </c>
      <c r="G8644" s="5" t="s">
        <v>54009</v>
      </c>
      <c r="H8644" s="6" t="s">
        <v>54010</v>
      </c>
      <c r="K8644" s="5" t="s">
        <v>53991</v>
      </c>
      <c r="M8644" s="5" t="s">
        <v>54011</v>
      </c>
      <c r="N8644" s="7" t="s">
        <v>54012</v>
      </c>
      <c r="O8644" s="8" t="str">
        <f>HYPERLINK("https://drive.google.com/file/d/1c-EqGS4cI939RpPdOPQOjBuPbu0Qj-iA/view?usp=drivesdk","8643_SITI ROSMAWATY PARDEDE _ SERTIFIKAT BerAKHLAK")</f>
        <v>8643_SITI ROSMAWATY PARDEDE _ SERTIFIKAT BerAKHLAK</v>
      </c>
      <c r="P8644" s="5" t="s">
        <v>54013</v>
      </c>
    </row>
    <row r="8645" hidden="1">
      <c r="A8645" s="4">
        <v>45534.40977892361</v>
      </c>
      <c r="B8645" s="5" t="s">
        <v>19</v>
      </c>
      <c r="C8645" s="5" t="s">
        <v>14000</v>
      </c>
      <c r="E8645" s="5" t="s">
        <v>54014</v>
      </c>
      <c r="F8645" s="5" t="s">
        <v>37</v>
      </c>
      <c r="G8645" s="5" t="s">
        <v>54015</v>
      </c>
      <c r="H8645" s="6" t="s">
        <v>54016</v>
      </c>
      <c r="K8645" s="5" t="s">
        <v>53991</v>
      </c>
      <c r="M8645" s="5" t="s">
        <v>54017</v>
      </c>
      <c r="N8645" s="7" t="s">
        <v>54018</v>
      </c>
      <c r="O8645" s="8" t="str">
        <f>HYPERLINK("https://drive.google.com/file/d/1Zz5F-6C6s7xs0NoH0vkziRVwNLGQlu2A/view?usp=drivesdk","8644_SUTINAH _ SERTIFIKAT BerAKHLAK")</f>
        <v>8644_SUTINAH _ SERTIFIKAT BerAKHLAK</v>
      </c>
      <c r="P8645" s="5" t="s">
        <v>54013</v>
      </c>
    </row>
    <row r="8646">
      <c r="A8646" s="4">
        <v>45534.409820879635</v>
      </c>
      <c r="B8646" s="5" t="s">
        <v>34</v>
      </c>
      <c r="D8646" s="5" t="s">
        <v>267</v>
      </c>
      <c r="E8646" s="5" t="s">
        <v>54019</v>
      </c>
      <c r="F8646" s="5" t="s">
        <v>120</v>
      </c>
      <c r="G8646" s="5" t="s">
        <v>54020</v>
      </c>
      <c r="H8646" s="6" t="s">
        <v>54021</v>
      </c>
      <c r="K8646" s="5" t="s">
        <v>53991</v>
      </c>
      <c r="M8646" s="5" t="s">
        <v>54022</v>
      </c>
      <c r="N8646" s="7" t="s">
        <v>54023</v>
      </c>
      <c r="O8646" s="8" t="str">
        <f>HYPERLINK("https://drive.google.com/file/d/1zMwFFPKzb2QFYNIrqzKmhqLZ-HzB7lxA/view?usp=drivesdk","8645_MUHADI, S.T., M.Pd. _ SERTIFIKAT BerAKHLAK")</f>
        <v>8645_MUHADI, S.T., M.Pd. _ SERTIFIKAT BerAKHLAK</v>
      </c>
      <c r="P8646" s="5" t="s">
        <v>54013</v>
      </c>
    </row>
    <row r="8647">
      <c r="A8647" s="4">
        <v>45534.4098237963</v>
      </c>
      <c r="B8647" s="5" t="s">
        <v>34</v>
      </c>
      <c r="D8647" s="5" t="s">
        <v>10444</v>
      </c>
      <c r="E8647" s="5" t="s">
        <v>53589</v>
      </c>
      <c r="F8647" s="5" t="s">
        <v>212</v>
      </c>
      <c r="G8647" s="5" t="s">
        <v>53590</v>
      </c>
      <c r="H8647" s="6" t="s">
        <v>54024</v>
      </c>
      <c r="K8647" s="5" t="s">
        <v>53991</v>
      </c>
      <c r="M8647" s="5" t="s">
        <v>54025</v>
      </c>
      <c r="N8647" s="7" t="s">
        <v>54026</v>
      </c>
      <c r="O8647" s="8" t="str">
        <f>HYPERLINK("https://drive.google.com/file/d/1KOZLhUMw7QygWR1QWPOJ6sD5CVbJj4xs/view?usp=drivesdk","8646_DIDIT PRATIWI _ SERTIFIKAT BerAKHLAK")</f>
        <v>8646_DIDIT PRATIWI _ SERTIFIKAT BerAKHLAK</v>
      </c>
      <c r="P8647" s="5" t="s">
        <v>54013</v>
      </c>
    </row>
    <row r="8648" hidden="1">
      <c r="A8648" s="4">
        <v>45534.409826435185</v>
      </c>
      <c r="B8648" s="5" t="s">
        <v>19</v>
      </c>
      <c r="C8648" s="5" t="s">
        <v>292</v>
      </c>
      <c r="E8648" s="5" t="s">
        <v>54027</v>
      </c>
      <c r="F8648" s="5" t="s">
        <v>120</v>
      </c>
      <c r="G8648" s="5" t="s">
        <v>54028</v>
      </c>
      <c r="H8648" s="6" t="s">
        <v>54029</v>
      </c>
      <c r="K8648" s="5" t="s">
        <v>53991</v>
      </c>
      <c r="M8648" s="5" t="s">
        <v>54030</v>
      </c>
      <c r="N8648" s="7" t="s">
        <v>54031</v>
      </c>
      <c r="O8648" s="8" t="str">
        <f>HYPERLINK("https://drive.google.com/file/d/1-4eBaGkr5p16rrtVZb7nuiZ0jM6FdIxD/view?usp=drivesdk","8647_Edi Narso Agus Indramanto  _ SERTIFIKAT BerAKHLAK")</f>
        <v>8647_Edi Narso Agus Indramanto  _ SERTIFIKAT BerAKHLAK</v>
      </c>
      <c r="P8648" s="5" t="s">
        <v>54013</v>
      </c>
    </row>
    <row r="8649" hidden="1">
      <c r="A8649" s="4">
        <v>45534.409842256944</v>
      </c>
      <c r="B8649" s="5" t="s">
        <v>19</v>
      </c>
      <c r="C8649" s="5" t="s">
        <v>5058</v>
      </c>
      <c r="E8649" s="5" t="s">
        <v>54032</v>
      </c>
      <c r="F8649" s="5" t="s">
        <v>72</v>
      </c>
      <c r="G8649" s="5" t="s">
        <v>54033</v>
      </c>
      <c r="H8649" s="6" t="s">
        <v>54034</v>
      </c>
      <c r="K8649" s="5" t="s">
        <v>54035</v>
      </c>
      <c r="M8649" s="5" t="s">
        <v>54036</v>
      </c>
      <c r="N8649" s="7" t="s">
        <v>54037</v>
      </c>
      <c r="O8649" s="8" t="str">
        <f>HYPERLINK("https://drive.google.com/file/d/1ke0eFWXYHESixQLWJ37fStnMozqVlmd-/view?usp=drivesdk","8648_SRI RAHAYU NINGSIH  _ SERTIFIKAT BerAKHLAK")</f>
        <v>8648_SRI RAHAYU NINGSIH  _ SERTIFIKAT BerAKHLAK</v>
      </c>
      <c r="P8649" s="5" t="s">
        <v>54013</v>
      </c>
    </row>
    <row r="8650">
      <c r="A8650" s="4">
        <v>45534.409868125</v>
      </c>
      <c r="B8650" s="5" t="s">
        <v>34</v>
      </c>
      <c r="D8650" s="5" t="s">
        <v>280</v>
      </c>
      <c r="E8650" s="5" t="s">
        <v>54038</v>
      </c>
      <c r="F8650" s="5" t="s">
        <v>375</v>
      </c>
      <c r="G8650" s="5" t="s">
        <v>54039</v>
      </c>
      <c r="H8650" s="6" t="s">
        <v>54040</v>
      </c>
      <c r="K8650" s="5" t="s">
        <v>54035</v>
      </c>
      <c r="M8650" s="5" t="s">
        <v>54041</v>
      </c>
      <c r="N8650" s="7" t="s">
        <v>54042</v>
      </c>
      <c r="O8650" s="8" t="str">
        <f>HYPERLINK("https://drive.google.com/file/d/1K5wpRSx73RWBa7ccd4Ew9tJwg1WgKN99/view?usp=drivesdk","8649_MARIA B AMBARITA _ SERTIFIKAT BerAKHLAK")</f>
        <v>8649_MARIA B AMBARITA _ SERTIFIKAT BerAKHLAK</v>
      </c>
      <c r="P8650" s="5" t="s">
        <v>54043</v>
      </c>
    </row>
    <row r="8651">
      <c r="A8651" s="4">
        <v>45534.40987336806</v>
      </c>
      <c r="B8651" s="5" t="s">
        <v>34</v>
      </c>
      <c r="D8651" s="5" t="s">
        <v>1558</v>
      </c>
      <c r="E8651" s="5" t="s">
        <v>54044</v>
      </c>
      <c r="F8651" s="5" t="s">
        <v>524</v>
      </c>
      <c r="G8651" s="5" t="s">
        <v>54045</v>
      </c>
      <c r="H8651" s="6" t="s">
        <v>54046</v>
      </c>
      <c r="K8651" s="5" t="s">
        <v>54035</v>
      </c>
      <c r="M8651" s="5" t="s">
        <v>54047</v>
      </c>
      <c r="N8651" s="7" t="s">
        <v>54048</v>
      </c>
      <c r="O8651" s="8" t="str">
        <f>HYPERLINK("https://drive.google.com/file/d/1EmUknVhsbYaTNTV2hkyhHBBtsxGU2N2k/view?usp=drivesdk","8650_ERLIN ESA KURNIA _ SERTIFIKAT BerAKHLAK")</f>
        <v>8650_ERLIN ESA KURNIA _ SERTIFIKAT BerAKHLAK</v>
      </c>
      <c r="P8651" s="5" t="s">
        <v>54043</v>
      </c>
    </row>
    <row r="8652">
      <c r="A8652" s="4">
        <v>45534.40991207176</v>
      </c>
      <c r="B8652" s="5" t="s">
        <v>34</v>
      </c>
      <c r="D8652" s="5" t="s">
        <v>10297</v>
      </c>
      <c r="E8652" s="5" t="s">
        <v>54049</v>
      </c>
      <c r="F8652" s="5" t="s">
        <v>5566</v>
      </c>
      <c r="G8652" s="5" t="s">
        <v>54050</v>
      </c>
      <c r="H8652" s="6" t="s">
        <v>54051</v>
      </c>
      <c r="K8652" s="5" t="s">
        <v>54035</v>
      </c>
      <c r="M8652" s="5" t="s">
        <v>54052</v>
      </c>
      <c r="N8652" s="7" t="s">
        <v>54053</v>
      </c>
      <c r="O8652" s="8" t="str">
        <f>HYPERLINK("https://drive.google.com/file/d/1jBubtHdfKVK0xcDxNzAm-JOJMM1qzLiw/view?usp=drivesdk","8651_HARWATI _ SERTIFIKAT BerAKHLAK")</f>
        <v>8651_HARWATI _ SERTIFIKAT BerAKHLAK</v>
      </c>
      <c r="P8652" s="5" t="s">
        <v>54043</v>
      </c>
    </row>
    <row r="8653">
      <c r="A8653" s="4">
        <v>45534.40992168982</v>
      </c>
      <c r="B8653" s="5" t="s">
        <v>34</v>
      </c>
      <c r="D8653" s="5" t="s">
        <v>1456</v>
      </c>
      <c r="E8653" s="5" t="s">
        <v>54054</v>
      </c>
      <c r="F8653" s="5" t="s">
        <v>212</v>
      </c>
      <c r="G8653" s="5" t="s">
        <v>54055</v>
      </c>
      <c r="H8653" s="6" t="s">
        <v>54056</v>
      </c>
      <c r="K8653" s="5" t="s">
        <v>54035</v>
      </c>
      <c r="M8653" s="5" t="s">
        <v>54057</v>
      </c>
      <c r="N8653" s="7" t="s">
        <v>54058</v>
      </c>
      <c r="O8653" s="8" t="str">
        <f>HYPERLINK("https://drive.google.com/file/d/1x5BUNGNRF6niv_KukW7l_v2yJMpZI3Fi/view?usp=drivesdk","8652_WIWIT WIDIASTUTI  _ SERTIFIKAT BerAKHLAK")</f>
        <v>8652_WIWIT WIDIASTUTI  _ SERTIFIKAT BerAKHLAK</v>
      </c>
      <c r="P8653" s="5" t="s">
        <v>54043</v>
      </c>
    </row>
    <row r="8654">
      <c r="A8654" s="4">
        <v>45534.40992506944</v>
      </c>
      <c r="B8654" s="5" t="s">
        <v>34</v>
      </c>
      <c r="D8654" s="5" t="s">
        <v>4775</v>
      </c>
      <c r="E8654" s="5" t="s">
        <v>54059</v>
      </c>
      <c r="F8654" s="5" t="s">
        <v>375</v>
      </c>
      <c r="G8654" s="5" t="s">
        <v>54060</v>
      </c>
      <c r="H8654" s="6" t="s">
        <v>54061</v>
      </c>
      <c r="K8654" s="5" t="s">
        <v>54035</v>
      </c>
      <c r="M8654" s="5" t="s">
        <v>54062</v>
      </c>
      <c r="N8654" s="7" t="s">
        <v>54063</v>
      </c>
      <c r="O8654" s="8" t="str">
        <f>HYPERLINK("https://drive.google.com/file/d/1y3j2mkVhHoj-hoohYvTvpEvfhflQ5AX6/view?usp=drivesdk","8653_M. SANDOYO, S.Kom, M.H. _ SERTIFIKAT BerAKHLAK")</f>
        <v>8653_M. SANDOYO, S.Kom, M.H. _ SERTIFIKAT BerAKHLAK</v>
      </c>
      <c r="P8654" s="5" t="s">
        <v>54064</v>
      </c>
    </row>
    <row r="8655">
      <c r="A8655" s="4">
        <v>45534.40993872685</v>
      </c>
      <c r="B8655" s="5" t="s">
        <v>34</v>
      </c>
      <c r="D8655" s="5" t="s">
        <v>9020</v>
      </c>
      <c r="E8655" s="5" t="s">
        <v>54065</v>
      </c>
      <c r="F8655" s="5" t="s">
        <v>375</v>
      </c>
      <c r="G8655" s="5" t="s">
        <v>54066</v>
      </c>
      <c r="H8655" s="6" t="s">
        <v>54067</v>
      </c>
      <c r="K8655" s="5" t="s">
        <v>54035</v>
      </c>
      <c r="M8655" s="5" t="s">
        <v>54068</v>
      </c>
      <c r="N8655" s="7" t="s">
        <v>54069</v>
      </c>
      <c r="O8655" s="8" t="str">
        <f>HYPERLINK("https://drive.google.com/file/d/17Srvmawls1_g5aP5uT7PD_8HHFPxg17n/view?usp=drivesdk","8654_AZIZAH, S.H. _ SERTIFIKAT BerAKHLAK")</f>
        <v>8654_AZIZAH, S.H. _ SERTIFIKAT BerAKHLAK</v>
      </c>
      <c r="P8655" s="5" t="s">
        <v>54064</v>
      </c>
    </row>
    <row r="8656">
      <c r="A8656" s="4">
        <v>45534.40995648148</v>
      </c>
      <c r="B8656" s="5" t="s">
        <v>34</v>
      </c>
      <c r="D8656" s="5" t="s">
        <v>580</v>
      </c>
      <c r="E8656" s="5" t="s">
        <v>54070</v>
      </c>
      <c r="F8656" s="5" t="s">
        <v>212</v>
      </c>
      <c r="G8656" s="5" t="s">
        <v>54071</v>
      </c>
      <c r="H8656" s="6" t="s">
        <v>54072</v>
      </c>
      <c r="K8656" s="5" t="s">
        <v>54035</v>
      </c>
      <c r="M8656" s="5" t="s">
        <v>54073</v>
      </c>
      <c r="N8656" s="7" t="s">
        <v>54074</v>
      </c>
      <c r="O8656" s="8" t="str">
        <f>HYPERLINK("https://drive.google.com/file/d/1xJlk9klKUkebyjvtavKar7utprXXHfts/view?usp=drivesdk","8655_Monica Ivony Uly _ SERTIFIKAT BerAKHLAK")</f>
        <v>8655_Monica Ivony Uly _ SERTIFIKAT BerAKHLAK</v>
      </c>
      <c r="P8656" s="5" t="s">
        <v>54064</v>
      </c>
    </row>
    <row r="8657">
      <c r="A8657" s="4">
        <v>45534.41006627315</v>
      </c>
      <c r="B8657" s="5" t="s">
        <v>34</v>
      </c>
      <c r="D8657" s="5" t="s">
        <v>1206</v>
      </c>
      <c r="E8657" s="5" t="s">
        <v>54075</v>
      </c>
      <c r="F8657" s="5" t="s">
        <v>212</v>
      </c>
      <c r="G8657" s="5" t="s">
        <v>54076</v>
      </c>
      <c r="H8657" s="6" t="s">
        <v>54077</v>
      </c>
      <c r="K8657" s="5" t="s">
        <v>54078</v>
      </c>
      <c r="M8657" s="5" t="s">
        <v>54079</v>
      </c>
      <c r="N8657" s="7" t="s">
        <v>54080</v>
      </c>
      <c r="O8657" s="8" t="str">
        <f>HYPERLINK("https://drive.google.com/file/d/1N5OH5J_ht6zx2FZzmjaWWY-TPVZ8NZNl/view?usp=drivesdk","8656_ACHMAD NUR ABIDIN, Amd., Gz _ SERTIFIKAT BerAKHLAK")</f>
        <v>8656_ACHMAD NUR ABIDIN, Amd., Gz _ SERTIFIKAT BerAKHLAK</v>
      </c>
      <c r="P8657" s="5" t="s">
        <v>54081</v>
      </c>
    </row>
    <row r="8658">
      <c r="A8658" s="4">
        <v>45534.410141643515</v>
      </c>
      <c r="B8658" s="5" t="s">
        <v>34</v>
      </c>
      <c r="D8658" s="5" t="s">
        <v>14313</v>
      </c>
      <c r="E8658" s="5" t="s">
        <v>54082</v>
      </c>
      <c r="F8658" s="5" t="s">
        <v>37</v>
      </c>
      <c r="G8658" s="5" t="s">
        <v>54083</v>
      </c>
      <c r="H8658" s="6" t="s">
        <v>54084</v>
      </c>
      <c r="K8658" s="5" t="s">
        <v>54085</v>
      </c>
      <c r="M8658" s="5" t="s">
        <v>54086</v>
      </c>
      <c r="N8658" s="7" t="s">
        <v>54087</v>
      </c>
      <c r="O8658" s="8" t="str">
        <f>HYPERLINK("https://drive.google.com/file/d/1IoUW9MKaMyC789DQW2NQBcm-J86mrRiZ/view?usp=drivesdk","8657_DASTIANI _ SERTIFIKAT BerAKHLAK")</f>
        <v>8657_DASTIANI _ SERTIFIKAT BerAKHLAK</v>
      </c>
      <c r="P8658" s="5" t="s">
        <v>54081</v>
      </c>
    </row>
    <row r="8659" hidden="1">
      <c r="A8659" s="4">
        <v>45534.41014692129</v>
      </c>
      <c r="B8659" s="5" t="s">
        <v>19</v>
      </c>
      <c r="C8659" s="5" t="s">
        <v>292</v>
      </c>
      <c r="E8659" s="5" t="s">
        <v>54088</v>
      </c>
      <c r="F8659" s="5" t="s">
        <v>212</v>
      </c>
      <c r="G8659" s="5" t="s">
        <v>54089</v>
      </c>
      <c r="H8659" s="6" t="s">
        <v>54090</v>
      </c>
      <c r="K8659" s="5" t="s">
        <v>54091</v>
      </c>
      <c r="M8659" s="5" t="s">
        <v>54092</v>
      </c>
      <c r="N8659" s="7" t="s">
        <v>54093</v>
      </c>
      <c r="O8659" s="8" t="str">
        <f>HYPERLINK("https://drive.google.com/file/d/1I0DlQyEcsaCl_Tm7OC8au3a9QzkerB3R/view?usp=drivesdk","8658_SRI TARNI _ SERTIFIKAT BerAKHLAK")</f>
        <v>8658_SRI TARNI _ SERTIFIKAT BerAKHLAK</v>
      </c>
      <c r="P8659" s="5" t="s">
        <v>54081</v>
      </c>
    </row>
    <row r="8660">
      <c r="A8660" s="4">
        <v>45534.410222962964</v>
      </c>
      <c r="B8660" s="5" t="s">
        <v>34</v>
      </c>
      <c r="D8660" s="5" t="s">
        <v>267</v>
      </c>
      <c r="E8660" s="5" t="s">
        <v>54094</v>
      </c>
      <c r="F8660" s="5" t="s">
        <v>212</v>
      </c>
      <c r="G8660" s="5" t="s">
        <v>54095</v>
      </c>
      <c r="H8660" s="6" t="s">
        <v>54096</v>
      </c>
      <c r="K8660" s="5" t="s">
        <v>54097</v>
      </c>
      <c r="M8660" s="5" t="s">
        <v>54098</v>
      </c>
      <c r="N8660" s="7" t="s">
        <v>54099</v>
      </c>
      <c r="O8660" s="8" t="str">
        <f>HYPERLINK("https://drive.google.com/file/d/1cXNpqh5Kp4MoIPjbx1oDh4DZBbjWVGUi/view?usp=drivesdk","8659_BUDOYO _ SERTIFIKAT BerAKHLAK")</f>
        <v>8659_BUDOYO _ SERTIFIKAT BerAKHLAK</v>
      </c>
      <c r="P8660" s="5" t="s">
        <v>54081</v>
      </c>
    </row>
    <row r="8661">
      <c r="A8661" s="4">
        <v>45534.41028394676</v>
      </c>
      <c r="B8661" s="5" t="s">
        <v>34</v>
      </c>
      <c r="D8661" s="5" t="s">
        <v>522</v>
      </c>
      <c r="E8661" s="5" t="s">
        <v>54100</v>
      </c>
      <c r="F8661" s="5" t="s">
        <v>72</v>
      </c>
      <c r="G8661" s="5" t="s">
        <v>54101</v>
      </c>
      <c r="H8661" s="6" t="s">
        <v>54102</v>
      </c>
      <c r="K8661" s="5" t="s">
        <v>54103</v>
      </c>
      <c r="M8661" s="5" t="s">
        <v>54104</v>
      </c>
      <c r="N8661" s="7" t="s">
        <v>54105</v>
      </c>
      <c r="O8661" s="8" t="str">
        <f>HYPERLINK("https://drive.google.com/file/d/1cpFc4JjNP3d3sSEsY9rALccD8xR3jaFC/view?usp=drivesdk","8660_INDRA LIVAYANTI, S.ADM _ SERTIFIKAT BerAKHLAK")</f>
        <v>8660_INDRA LIVAYANTI, S.ADM _ SERTIFIKAT BerAKHLAK</v>
      </c>
      <c r="P8661" s="5" t="s">
        <v>54106</v>
      </c>
    </row>
    <row r="8662">
      <c r="A8662" s="4">
        <v>45534.4102890625</v>
      </c>
      <c r="B8662" s="5" t="s">
        <v>34</v>
      </c>
      <c r="D8662" s="5" t="s">
        <v>1206</v>
      </c>
      <c r="E8662" s="5" t="s">
        <v>54107</v>
      </c>
      <c r="F8662" s="5" t="s">
        <v>37</v>
      </c>
      <c r="G8662" s="5" t="s">
        <v>54108</v>
      </c>
      <c r="H8662" s="6" t="s">
        <v>54109</v>
      </c>
      <c r="K8662" s="5" t="s">
        <v>54103</v>
      </c>
      <c r="M8662" s="5" t="s">
        <v>54110</v>
      </c>
      <c r="N8662" s="7" t="s">
        <v>54111</v>
      </c>
      <c r="O8662" s="8" t="str">
        <f>HYPERLINK("https://drive.google.com/file/d/1-6Dt2_tFtqgoyt2WTNMZ76EfYhe_kLjN/view?usp=drivesdk","8661_ANITA ROCHMAWATI _ SERTIFIKAT BerAKHLAK")</f>
        <v>8661_ANITA ROCHMAWATI _ SERTIFIKAT BerAKHLAK</v>
      </c>
      <c r="P8662" s="5" t="s">
        <v>54106</v>
      </c>
    </row>
    <row r="8663">
      <c r="A8663" s="4">
        <v>45534.41031228009</v>
      </c>
      <c r="B8663" s="5" t="s">
        <v>34</v>
      </c>
      <c r="D8663" s="5" t="s">
        <v>1206</v>
      </c>
      <c r="E8663" s="5" t="s">
        <v>19564</v>
      </c>
      <c r="F8663" s="5" t="s">
        <v>37</v>
      </c>
      <c r="G8663" s="5" t="s">
        <v>54112</v>
      </c>
      <c r="H8663" s="6" t="s">
        <v>54113</v>
      </c>
      <c r="K8663" s="5" t="s">
        <v>54103</v>
      </c>
      <c r="M8663" s="5" t="s">
        <v>54114</v>
      </c>
      <c r="N8663" s="7" t="s">
        <v>54115</v>
      </c>
      <c r="O8663" s="8" t="str">
        <f>HYPERLINK("https://drive.google.com/file/d/134NHDy5nA35hYw7DzEXinsVl-hlcP0vc/view?usp=drivesdk","8662_HARTINI _ SERTIFIKAT BerAKHLAK")</f>
        <v>8662_HARTINI _ SERTIFIKAT BerAKHLAK</v>
      </c>
      <c r="P8663" s="5" t="s">
        <v>54106</v>
      </c>
    </row>
    <row r="8664">
      <c r="A8664" s="4">
        <v>45534.41033991898</v>
      </c>
      <c r="B8664" s="5" t="s">
        <v>34</v>
      </c>
      <c r="D8664" s="5" t="s">
        <v>701</v>
      </c>
      <c r="E8664" s="5" t="s">
        <v>54116</v>
      </c>
      <c r="F8664" s="5" t="s">
        <v>212</v>
      </c>
      <c r="G8664" s="5" t="s">
        <v>54117</v>
      </c>
      <c r="H8664" s="6" t="s">
        <v>54118</v>
      </c>
      <c r="K8664" s="5" t="s">
        <v>54119</v>
      </c>
      <c r="M8664" s="5" t="s">
        <v>54120</v>
      </c>
      <c r="N8664" s="7" t="s">
        <v>54121</v>
      </c>
      <c r="O8664" s="8" t="str">
        <f>HYPERLINK("https://drive.google.com/file/d/1GQaUXLk-QKLIwWTnfClVSZcwffHvQqQe/view?usp=drivesdk","8663_RAIWANSYAH PUTRA _ SERTIFIKAT BerAKHLAK")</f>
        <v>8663_RAIWANSYAH PUTRA _ SERTIFIKAT BerAKHLAK</v>
      </c>
      <c r="P8664" s="5" t="s">
        <v>54106</v>
      </c>
    </row>
    <row r="8665">
      <c r="A8665" s="4">
        <v>45534.41046414352</v>
      </c>
      <c r="B8665" s="5" t="s">
        <v>34</v>
      </c>
      <c r="D8665" s="5" t="s">
        <v>701</v>
      </c>
      <c r="E8665" s="5" t="s">
        <v>54122</v>
      </c>
      <c r="F8665" s="5" t="s">
        <v>375</v>
      </c>
      <c r="G8665" s="5" t="s">
        <v>54123</v>
      </c>
      <c r="H8665" s="6" t="s">
        <v>54124</v>
      </c>
      <c r="K8665" s="5" t="s">
        <v>54125</v>
      </c>
      <c r="M8665" s="5" t="s">
        <v>54126</v>
      </c>
      <c r="N8665" s="7" t="s">
        <v>54127</v>
      </c>
      <c r="O8665" s="8" t="str">
        <f>HYPERLINK("https://drive.google.com/file/d/1cvEcvhk0INYOlgm_QVtwG2DSCK_kX8Bn/view?usp=drivesdk","8664_Yuli Astuti, S.PdI _ SERTIFIKAT BerAKHLAK")</f>
        <v>8664_Yuli Astuti, S.PdI _ SERTIFIKAT BerAKHLAK</v>
      </c>
      <c r="P8665" s="5" t="s">
        <v>54106</v>
      </c>
    </row>
    <row r="8666">
      <c r="A8666" s="4">
        <v>45534.410458645834</v>
      </c>
      <c r="B8666" s="5" t="s">
        <v>34</v>
      </c>
      <c r="D8666" s="5" t="s">
        <v>522</v>
      </c>
      <c r="E8666" s="5" t="s">
        <v>54128</v>
      </c>
      <c r="F8666" s="5" t="s">
        <v>199</v>
      </c>
      <c r="G8666" s="5" t="s">
        <v>54129</v>
      </c>
      <c r="H8666" s="6" t="s">
        <v>54130</v>
      </c>
      <c r="K8666" s="5" t="s">
        <v>54125</v>
      </c>
      <c r="M8666" s="5" t="s">
        <v>54131</v>
      </c>
      <c r="N8666" s="7" t="s">
        <v>54132</v>
      </c>
      <c r="O8666" s="8" t="str">
        <f>HYPERLINK("https://drive.google.com/file/d/1-482JLCMj9iVZLgCFOAhBLsjASMqp7Jk/view?usp=drivesdk","8665_FITRIYSH _ SERTIFIKAT BerAKHLAK")</f>
        <v>8665_FITRIYSH _ SERTIFIKAT BerAKHLAK</v>
      </c>
      <c r="P8666" s="5" t="s">
        <v>54133</v>
      </c>
    </row>
    <row r="8667">
      <c r="A8667" s="4">
        <v>45534.41050131945</v>
      </c>
      <c r="B8667" s="5" t="s">
        <v>34</v>
      </c>
      <c r="D8667" s="5" t="s">
        <v>280</v>
      </c>
      <c r="E8667" s="5" t="s">
        <v>54134</v>
      </c>
      <c r="F8667" s="5" t="s">
        <v>524</v>
      </c>
      <c r="G8667" s="5" t="s">
        <v>54135</v>
      </c>
      <c r="H8667" s="6" t="s">
        <v>54136</v>
      </c>
      <c r="K8667" s="5" t="s">
        <v>54137</v>
      </c>
      <c r="M8667" s="5" t="s">
        <v>54138</v>
      </c>
      <c r="N8667" s="7" t="s">
        <v>54139</v>
      </c>
      <c r="O8667" s="8" t="str">
        <f>HYPERLINK("https://drive.google.com/file/d/1nZWutmem7zaISfMOhPrCu2Ox33ox7ECc/view?usp=drivesdk","8666_NASRUN _ SERTIFIKAT BerAKHLAK")</f>
        <v>8666_NASRUN _ SERTIFIKAT BerAKHLAK</v>
      </c>
      <c r="P8667" s="5" t="s">
        <v>54133</v>
      </c>
    </row>
    <row r="8668">
      <c r="A8668" s="4">
        <v>45534.41051905093</v>
      </c>
      <c r="B8668" s="5" t="s">
        <v>34</v>
      </c>
      <c r="D8668" s="5" t="s">
        <v>1558</v>
      </c>
      <c r="E8668" s="5" t="s">
        <v>54140</v>
      </c>
      <c r="F8668" s="5" t="s">
        <v>108</v>
      </c>
      <c r="G8668" s="5" t="s">
        <v>54141</v>
      </c>
      <c r="H8668" s="6" t="s">
        <v>54142</v>
      </c>
      <c r="K8668" s="5" t="s">
        <v>54137</v>
      </c>
      <c r="M8668" s="5" t="s">
        <v>54143</v>
      </c>
      <c r="N8668" s="7" t="s">
        <v>54144</v>
      </c>
      <c r="O8668" s="8" t="str">
        <f>HYPERLINK("https://drive.google.com/file/d/1f5IPtMyS1LNChYKLZOvkmppN1SoNsWSp/view?usp=drivesdk","8667_EMAH MARLINA _ SERTIFIKAT BerAKHLAK")</f>
        <v>8667_EMAH MARLINA _ SERTIFIKAT BerAKHLAK</v>
      </c>
      <c r="P8668" s="5" t="s">
        <v>54133</v>
      </c>
    </row>
    <row r="8669">
      <c r="A8669" s="4">
        <v>45534.41051969907</v>
      </c>
      <c r="B8669" s="5" t="s">
        <v>34</v>
      </c>
      <c r="D8669" s="5" t="s">
        <v>6232</v>
      </c>
      <c r="E8669" s="5" t="s">
        <v>54145</v>
      </c>
      <c r="F8669" s="5" t="s">
        <v>375</v>
      </c>
      <c r="G8669" s="5" t="s">
        <v>54146</v>
      </c>
      <c r="H8669" s="6" t="s">
        <v>54147</v>
      </c>
      <c r="K8669" s="5" t="s">
        <v>54137</v>
      </c>
      <c r="M8669" s="5" t="s">
        <v>54148</v>
      </c>
      <c r="N8669" s="7" t="s">
        <v>54149</v>
      </c>
      <c r="O8669" s="8" t="str">
        <f>HYPERLINK("https://drive.google.com/file/d/171q8PYtr5Ny1QMU1_n5vB3HToRzV_gHd/view?usp=drivesdk","8668_DEWI LESTARI, S.Pd. _ SERTIFIKAT BerAKHLAK")</f>
        <v>8668_DEWI LESTARI, S.Pd. _ SERTIFIKAT BerAKHLAK</v>
      </c>
      <c r="P8669" s="5" t="s">
        <v>54133</v>
      </c>
    </row>
    <row r="8670">
      <c r="A8670" s="4">
        <v>45534.410520543985</v>
      </c>
      <c r="B8670" s="5" t="s">
        <v>34</v>
      </c>
      <c r="D8670" s="5" t="s">
        <v>1558</v>
      </c>
      <c r="E8670" s="5" t="s">
        <v>54150</v>
      </c>
      <c r="F8670" s="5" t="s">
        <v>212</v>
      </c>
      <c r="G8670" s="5" t="s">
        <v>54151</v>
      </c>
      <c r="H8670" s="6" t="s">
        <v>54152</v>
      </c>
      <c r="K8670" s="5" t="s">
        <v>54137</v>
      </c>
      <c r="M8670" s="5" t="s">
        <v>54153</v>
      </c>
      <c r="N8670" s="7" t="s">
        <v>54154</v>
      </c>
      <c r="O8670" s="8" t="str">
        <f>HYPERLINK("https://drive.google.com/file/d/1cM1bNjtumQ5mLbluwUH4iY2CxxSk1_xM/view?usp=drivesdk","8669_SITI SYACHKOMAH _ SERTIFIKAT BerAKHLAK")</f>
        <v>8669_SITI SYACHKOMAH _ SERTIFIKAT BerAKHLAK</v>
      </c>
      <c r="P8670" s="5" t="s">
        <v>54155</v>
      </c>
    </row>
    <row r="8671">
      <c r="A8671" s="4">
        <v>45534.4105778588</v>
      </c>
      <c r="B8671" s="5" t="s">
        <v>34</v>
      </c>
      <c r="D8671" s="5" t="s">
        <v>4775</v>
      </c>
      <c r="E8671" s="5" t="s">
        <v>54156</v>
      </c>
      <c r="F8671" s="5" t="s">
        <v>524</v>
      </c>
      <c r="G8671" s="5" t="s">
        <v>54157</v>
      </c>
      <c r="H8671" s="6" t="s">
        <v>54158</v>
      </c>
      <c r="K8671" s="5" t="s">
        <v>54159</v>
      </c>
      <c r="M8671" s="5" t="s">
        <v>54160</v>
      </c>
      <c r="N8671" s="7" t="s">
        <v>54161</v>
      </c>
      <c r="O8671" s="8" t="str">
        <f>HYPERLINK("https://drive.google.com/file/d/1KD_SAJ3D5D9jETQOK6zSa-pnycnSvAFR/view?usp=drivesdk","8670_JUARI, S.H. _ SERTIFIKAT BerAKHLAK")</f>
        <v>8670_JUARI, S.H. _ SERTIFIKAT BerAKHLAK</v>
      </c>
      <c r="P8671" s="5" t="s">
        <v>54155</v>
      </c>
    </row>
    <row r="8672">
      <c r="A8672" s="4">
        <v>45534.41060478009</v>
      </c>
      <c r="B8672" s="5" t="s">
        <v>34</v>
      </c>
      <c r="D8672" s="5" t="s">
        <v>6232</v>
      </c>
      <c r="E8672" s="5" t="s">
        <v>54162</v>
      </c>
      <c r="F8672" s="5" t="s">
        <v>120</v>
      </c>
      <c r="G8672" s="5" t="s">
        <v>54163</v>
      </c>
      <c r="H8672" s="6" t="s">
        <v>54164</v>
      </c>
      <c r="K8672" s="5" t="s">
        <v>54159</v>
      </c>
      <c r="M8672" s="5" t="s">
        <v>54165</v>
      </c>
      <c r="N8672" s="7" t="s">
        <v>54166</v>
      </c>
      <c r="O8672" s="8" t="str">
        <f>HYPERLINK("https://drive.google.com/file/d/1dI3cWcUlWts-9KDTvkvShf4rkk--prYH/view?usp=drivesdk","8671_HENY APRIYANTI _ SERTIFIKAT BerAKHLAK")</f>
        <v>8671_HENY APRIYANTI _ SERTIFIKAT BerAKHLAK</v>
      </c>
      <c r="P8672" s="5" t="s">
        <v>54155</v>
      </c>
    </row>
    <row r="8673">
      <c r="A8673" s="4">
        <v>45534.41062119213</v>
      </c>
      <c r="B8673" s="5" t="s">
        <v>34</v>
      </c>
      <c r="D8673" s="5" t="s">
        <v>1206</v>
      </c>
      <c r="E8673" s="5" t="s">
        <v>54167</v>
      </c>
      <c r="F8673" s="5" t="s">
        <v>199</v>
      </c>
      <c r="G8673" s="5" t="s">
        <v>54168</v>
      </c>
      <c r="H8673" s="6" t="s">
        <v>54169</v>
      </c>
      <c r="K8673" s="5" t="s">
        <v>54170</v>
      </c>
      <c r="M8673" s="5" t="s">
        <v>54171</v>
      </c>
      <c r="N8673" s="7" t="s">
        <v>54172</v>
      </c>
      <c r="O8673" s="8" t="str">
        <f>HYPERLINK("https://drive.google.com/file/d/1ao-2nv0k-tPXsjXIRAN0K1OOis7V3acF/view?usp=drivesdk","8672_EDI SISWANTO, S.Sos _ SERTIFIKAT BerAKHLAK")</f>
        <v>8672_EDI SISWANTO, S.Sos _ SERTIFIKAT BerAKHLAK</v>
      </c>
      <c r="P8673" s="5" t="s">
        <v>54155</v>
      </c>
    </row>
    <row r="8674">
      <c r="A8674" s="4">
        <v>45534.41072377315</v>
      </c>
      <c r="B8674" s="5" t="s">
        <v>34</v>
      </c>
      <c r="D8674" s="5" t="s">
        <v>1206</v>
      </c>
      <c r="E8674" s="5" t="s">
        <v>54173</v>
      </c>
      <c r="F8674" s="5" t="s">
        <v>37</v>
      </c>
      <c r="G8674" s="5" t="s">
        <v>54174</v>
      </c>
      <c r="H8674" s="6" t="s">
        <v>54175</v>
      </c>
      <c r="K8674" s="5" t="s">
        <v>54176</v>
      </c>
      <c r="M8674" s="5" t="s">
        <v>54177</v>
      </c>
      <c r="N8674" s="7" t="s">
        <v>54178</v>
      </c>
      <c r="O8674" s="8" t="str">
        <f>HYPERLINK("https://drive.google.com/file/d/1aWcHwPOR5EZK8GbBQ-K7Ne2zeRnzkQXF/view?usp=drivesdk","8673_RIZQAL KHAFIDO RAHMAN _ SERTIFIKAT BerAKHLAK")</f>
        <v>8673_RIZQAL KHAFIDO RAHMAN _ SERTIFIKAT BerAKHLAK</v>
      </c>
      <c r="P8674" s="5" t="s">
        <v>54179</v>
      </c>
    </row>
    <row r="8675">
      <c r="A8675" s="4">
        <v>45534.41074077546</v>
      </c>
      <c r="B8675" s="5" t="s">
        <v>34</v>
      </c>
      <c r="D8675" s="5" t="s">
        <v>522</v>
      </c>
      <c r="E8675" s="5" t="s">
        <v>54180</v>
      </c>
      <c r="F8675" s="5" t="s">
        <v>37</v>
      </c>
      <c r="G8675" s="5" t="s">
        <v>54181</v>
      </c>
      <c r="H8675" s="6" t="s">
        <v>54182</v>
      </c>
      <c r="K8675" s="5" t="s">
        <v>54176</v>
      </c>
      <c r="M8675" s="5" t="s">
        <v>54183</v>
      </c>
      <c r="N8675" s="7" t="s">
        <v>54184</v>
      </c>
      <c r="O8675" s="8" t="str">
        <f>HYPERLINK("https://drive.google.com/file/d/1EzZvXa3PBrgCDRkYhgf0QSLCd-RVNK0Q/view?usp=drivesdk","8674_FAHROZI _ SERTIFIKAT BerAKHLAK")</f>
        <v>8674_FAHROZI _ SERTIFIKAT BerAKHLAK</v>
      </c>
      <c r="P8675" s="5" t="s">
        <v>54179</v>
      </c>
    </row>
    <row r="8676">
      <c r="A8676" s="4">
        <v>45534.41083729167</v>
      </c>
      <c r="B8676" s="5" t="s">
        <v>34</v>
      </c>
      <c r="D8676" s="5" t="s">
        <v>4775</v>
      </c>
      <c r="E8676" s="5" t="s">
        <v>54185</v>
      </c>
      <c r="F8676" s="5" t="s">
        <v>212</v>
      </c>
      <c r="G8676" s="5" t="s">
        <v>54186</v>
      </c>
      <c r="H8676" s="6" t="s">
        <v>54187</v>
      </c>
      <c r="K8676" s="5" t="s">
        <v>54188</v>
      </c>
      <c r="M8676" s="5" t="s">
        <v>54189</v>
      </c>
      <c r="N8676" s="7" t="s">
        <v>54190</v>
      </c>
      <c r="O8676" s="8" t="str">
        <f>HYPERLINK("https://drive.google.com/file/d/1S7pfv8IYxoo49-x6gNpVVA9-eQQ5h-Jr/view?usp=drivesdk","8675_SRI DWIJANTI ANDAYA MUKTI A.Md _ SERTIFIKAT BerAKHLAK")</f>
        <v>8675_SRI DWIJANTI ANDAYA MUKTI A.Md _ SERTIFIKAT BerAKHLAK</v>
      </c>
      <c r="P8676" s="5" t="s">
        <v>54191</v>
      </c>
    </row>
    <row r="8677" hidden="1">
      <c r="A8677" s="4">
        <v>45534.41088292824</v>
      </c>
      <c r="B8677" s="5" t="s">
        <v>19</v>
      </c>
      <c r="C8677" s="5" t="s">
        <v>3301</v>
      </c>
      <c r="E8677" s="5" t="s">
        <v>54192</v>
      </c>
      <c r="F8677" s="5" t="s">
        <v>37</v>
      </c>
      <c r="G8677" s="5" t="s">
        <v>54193</v>
      </c>
      <c r="H8677" s="6" t="s">
        <v>54194</v>
      </c>
      <c r="K8677" s="5" t="s">
        <v>54188</v>
      </c>
      <c r="M8677" s="5" t="s">
        <v>54195</v>
      </c>
      <c r="N8677" s="7" t="s">
        <v>54196</v>
      </c>
      <c r="O8677" s="8" t="str">
        <f>HYPERLINK("https://drive.google.com/file/d/19bd3KLV55-L1UP4vOvJqC3fvoh2x_55q/view?usp=drivesdk","8676_Sumaryati, Amd. Keb _ SERTIFIKAT BerAKHLAK")</f>
        <v>8676_Sumaryati, Amd. Keb _ SERTIFIKAT BerAKHLAK</v>
      </c>
      <c r="P8677" s="5" t="s">
        <v>54191</v>
      </c>
    </row>
    <row r="8678">
      <c r="A8678" s="4">
        <v>45534.410973935184</v>
      </c>
      <c r="B8678" s="5" t="s">
        <v>34</v>
      </c>
      <c r="D8678" s="5" t="s">
        <v>35</v>
      </c>
      <c r="E8678" s="5" t="s">
        <v>54197</v>
      </c>
      <c r="F8678" s="5" t="s">
        <v>72</v>
      </c>
      <c r="G8678" s="5" t="s">
        <v>54198</v>
      </c>
      <c r="H8678" s="6" t="s">
        <v>54199</v>
      </c>
      <c r="K8678" s="5" t="s">
        <v>54200</v>
      </c>
      <c r="M8678" s="5" t="s">
        <v>54201</v>
      </c>
      <c r="N8678" s="7" t="s">
        <v>54202</v>
      </c>
      <c r="O8678" s="8" t="str">
        <f>HYPERLINK("https://drive.google.com/file/d/1Jbt2mCQ4mrzcmY7WR-Ha7gTsGVVkTqMw/view?usp=drivesdk","8677_ASIDO BENARDO PARDAMEAN _ SERTIFIKAT BerAKHLAK")</f>
        <v>8677_ASIDO BENARDO PARDAMEAN _ SERTIFIKAT BerAKHLAK</v>
      </c>
      <c r="P8678" s="5" t="s">
        <v>54191</v>
      </c>
    </row>
    <row r="8679">
      <c r="A8679" s="4">
        <v>45534.410990000004</v>
      </c>
      <c r="B8679" s="5" t="s">
        <v>34</v>
      </c>
      <c r="D8679" s="5" t="s">
        <v>267</v>
      </c>
      <c r="E8679" s="5" t="s">
        <v>54203</v>
      </c>
      <c r="F8679" s="5" t="s">
        <v>72</v>
      </c>
      <c r="G8679" s="5" t="s">
        <v>54204</v>
      </c>
      <c r="H8679" s="6" t="s">
        <v>54205</v>
      </c>
      <c r="K8679" s="5" t="s">
        <v>54200</v>
      </c>
      <c r="M8679" s="5" t="s">
        <v>54206</v>
      </c>
      <c r="N8679" s="7" t="s">
        <v>54207</v>
      </c>
      <c r="O8679" s="8" t="str">
        <f>HYPERLINK("https://drive.google.com/file/d/1juXMpm9CAPFDJjwNvItIGZ5oZ4pa9ZEJ/view?usp=drivesdk","8678_ANANTO PRATIKNO, A.Md. _ SERTIFIKAT BerAKHLAK")</f>
        <v>8678_ANANTO PRATIKNO, A.Md. _ SERTIFIKAT BerAKHLAK</v>
      </c>
      <c r="P8679" s="5" t="s">
        <v>54191</v>
      </c>
    </row>
    <row r="8680">
      <c r="A8680" s="4">
        <v>45534.4110549537</v>
      </c>
      <c r="B8680" s="5" t="s">
        <v>34</v>
      </c>
      <c r="D8680" s="5" t="s">
        <v>7858</v>
      </c>
      <c r="E8680" s="5" t="s">
        <v>54208</v>
      </c>
      <c r="F8680" s="5" t="s">
        <v>72</v>
      </c>
      <c r="G8680" s="5" t="s">
        <v>54209</v>
      </c>
      <c r="H8680" s="6" t="s">
        <v>54210</v>
      </c>
      <c r="K8680" s="5" t="s">
        <v>54211</v>
      </c>
      <c r="M8680" s="5" t="s">
        <v>54212</v>
      </c>
      <c r="N8680" s="7" t="s">
        <v>54213</v>
      </c>
      <c r="O8680" s="8" t="str">
        <f>HYPERLINK("https://drive.google.com/file/d/1smvJIOIOWoLDXMXZ46CCrWMfMfcQVJG5/view?usp=drivesdk","8679_ERITA PIALA SINAGA, Amd.Kep _ SERTIFIKAT BerAKHLAK")</f>
        <v>8679_ERITA PIALA SINAGA, Amd.Kep _ SERTIFIKAT BerAKHLAK</v>
      </c>
      <c r="P8680" s="5" t="s">
        <v>54214</v>
      </c>
    </row>
    <row r="8681">
      <c r="A8681" s="4">
        <v>45534.41114881945</v>
      </c>
      <c r="B8681" s="5" t="s">
        <v>34</v>
      </c>
      <c r="D8681" s="5" t="s">
        <v>522</v>
      </c>
      <c r="E8681" s="5" t="s">
        <v>54215</v>
      </c>
      <c r="F8681" s="5" t="s">
        <v>375</v>
      </c>
      <c r="G8681" s="5" t="s">
        <v>54216</v>
      </c>
      <c r="H8681" s="6" t="s">
        <v>54217</v>
      </c>
      <c r="K8681" s="5" t="s">
        <v>54218</v>
      </c>
      <c r="M8681" s="5" t="s">
        <v>54219</v>
      </c>
      <c r="N8681" s="7" t="s">
        <v>54220</v>
      </c>
      <c r="O8681" s="8" t="str">
        <f>HYPERLINK("https://drive.google.com/file/d/1LCbaphB5Cg9tFLRF1K0Y_hjBQcLVMZDV/view?usp=drivesdk","8680_HULFAH FARIANA S.H. _ SERTIFIKAT BerAKHLAK")</f>
        <v>8680_HULFAH FARIANA S.H. _ SERTIFIKAT BerAKHLAK</v>
      </c>
      <c r="P8681" s="5" t="s">
        <v>54214</v>
      </c>
    </row>
    <row r="8682">
      <c r="A8682" s="4">
        <v>45534.41119666667</v>
      </c>
      <c r="B8682" s="5" t="s">
        <v>34</v>
      </c>
      <c r="D8682" s="5" t="s">
        <v>9020</v>
      </c>
      <c r="E8682" s="5" t="s">
        <v>54221</v>
      </c>
      <c r="F8682" s="5" t="s">
        <v>375</v>
      </c>
      <c r="G8682" s="5" t="s">
        <v>14903</v>
      </c>
      <c r="H8682" s="6" t="s">
        <v>54222</v>
      </c>
      <c r="K8682" s="5" t="s">
        <v>54218</v>
      </c>
      <c r="M8682" s="5" t="s">
        <v>54223</v>
      </c>
      <c r="N8682" s="7" t="s">
        <v>54224</v>
      </c>
      <c r="O8682" s="8" t="str">
        <f>HYPERLINK("https://drive.google.com/file/d/1iZk2zb5m3xpzQrMvoNWaCgDJR-DUCrPZ/view?usp=drivesdk","8681_BALMER VICTOR PANGARIBUAN _ SERTIFIKAT BerAKHLAK")</f>
        <v>8681_BALMER VICTOR PANGARIBUAN _ SERTIFIKAT BerAKHLAK</v>
      </c>
      <c r="P8682" s="5" t="s">
        <v>54214</v>
      </c>
    </row>
    <row r="8683">
      <c r="A8683" s="4">
        <v>45534.41121556713</v>
      </c>
      <c r="B8683" s="5" t="s">
        <v>34</v>
      </c>
      <c r="D8683" s="5" t="s">
        <v>2903</v>
      </c>
      <c r="E8683" s="5" t="s">
        <v>54225</v>
      </c>
      <c r="F8683" s="5" t="s">
        <v>199</v>
      </c>
      <c r="G8683" s="5" t="s">
        <v>54226</v>
      </c>
      <c r="H8683" s="6" t="s">
        <v>54227</v>
      </c>
      <c r="K8683" s="5" t="s">
        <v>54218</v>
      </c>
      <c r="M8683" s="5" t="s">
        <v>54228</v>
      </c>
      <c r="N8683" s="7" t="s">
        <v>54229</v>
      </c>
      <c r="O8683" s="8" t="str">
        <f>HYPERLINK("https://drive.google.com/file/d/1RJlK34g1IYmEmtiLXp4gGv2L49sER2qy/view?usp=drivesdk","8682_RADEN AYU SRI HASTUTI, S.Tr.Keb., SKM _ SERTIFIKAT BerAKHLAK")</f>
        <v>8682_RADEN AYU SRI HASTUTI, S.Tr.Keb., SKM _ SERTIFIKAT BerAKHLAK</v>
      </c>
      <c r="P8683" s="5" t="s">
        <v>54230</v>
      </c>
    </row>
    <row r="8684">
      <c r="A8684" s="4">
        <v>45534.41124292824</v>
      </c>
      <c r="B8684" s="5" t="s">
        <v>34</v>
      </c>
      <c r="D8684" s="5" t="s">
        <v>1206</v>
      </c>
      <c r="E8684" s="5" t="s">
        <v>34359</v>
      </c>
      <c r="F8684" s="5" t="s">
        <v>37</v>
      </c>
      <c r="G8684" s="5" t="s">
        <v>54231</v>
      </c>
      <c r="H8684" s="6" t="s">
        <v>54232</v>
      </c>
      <c r="K8684" s="5" t="s">
        <v>54233</v>
      </c>
      <c r="M8684" s="5" t="s">
        <v>54234</v>
      </c>
      <c r="N8684" s="7" t="s">
        <v>54235</v>
      </c>
      <c r="O8684" s="8" t="str">
        <f>HYPERLINK("https://drive.google.com/file/d/1GoEUAO7JkV-UO0jn_oRtGyR2V_PYncLD/view?usp=drivesdk","8683_SUKARTINI _ SERTIFIKAT BerAKHLAK")</f>
        <v>8683_SUKARTINI _ SERTIFIKAT BerAKHLAK</v>
      </c>
      <c r="P8684" s="5" t="s">
        <v>54230</v>
      </c>
    </row>
    <row r="8685" hidden="1">
      <c r="A8685" s="4">
        <v>45534.41125986111</v>
      </c>
      <c r="B8685" s="5" t="s">
        <v>19</v>
      </c>
      <c r="C8685" s="5" t="s">
        <v>45988</v>
      </c>
      <c r="E8685" s="5" t="s">
        <v>54236</v>
      </c>
      <c r="F8685" s="5" t="s">
        <v>108</v>
      </c>
      <c r="G8685" s="5" t="s">
        <v>54237</v>
      </c>
      <c r="H8685" s="6" t="s">
        <v>54238</v>
      </c>
      <c r="K8685" s="5" t="s">
        <v>54233</v>
      </c>
      <c r="M8685" s="5" t="s">
        <v>54239</v>
      </c>
      <c r="N8685" s="7" t="s">
        <v>54240</v>
      </c>
      <c r="O8685" s="8" t="str">
        <f>HYPERLINK("https://drive.google.com/file/d/1QBQvZIegR2IClgQf9gWMNawgjSKbCzyo/view?usp=drivesdk","8684_DWI PRABAYU NIKENTARI, A.Md.  _ SERTIFIKAT BerAKHLAK")</f>
        <v>8684_DWI PRABAYU NIKENTARI, A.Md.  _ SERTIFIKAT BerAKHLAK</v>
      </c>
      <c r="P8685" s="5" t="s">
        <v>54230</v>
      </c>
    </row>
    <row r="8686">
      <c r="A8686" s="4">
        <v>45534.411570625</v>
      </c>
      <c r="B8686" s="5" t="s">
        <v>34</v>
      </c>
      <c r="D8686" s="5" t="s">
        <v>9020</v>
      </c>
      <c r="E8686" s="5" t="s">
        <v>54241</v>
      </c>
      <c r="F8686" s="5" t="s">
        <v>375</v>
      </c>
      <c r="G8686" s="5" t="s">
        <v>54242</v>
      </c>
      <c r="H8686" s="6" t="s">
        <v>54243</v>
      </c>
      <c r="K8686" s="5" t="s">
        <v>54244</v>
      </c>
      <c r="M8686" s="5" t="s">
        <v>54245</v>
      </c>
      <c r="N8686" s="7" t="s">
        <v>54246</v>
      </c>
      <c r="O8686" s="8" t="str">
        <f>HYPERLINK("https://drive.google.com/file/d/1J9u8LPRFiUNwfmFzoqtkGk19ZNbrSyww/view?usp=drivesdk","8685_DELAVENTA SIMANJUNTAK S.E. _ SERTIFIKAT BerAKHLAK")</f>
        <v>8685_DELAVENTA SIMANJUNTAK S.E. _ SERTIFIKAT BerAKHLAK</v>
      </c>
      <c r="P8686" s="5" t="s">
        <v>54247</v>
      </c>
    </row>
    <row r="8687">
      <c r="A8687" s="4">
        <v>45534.41159265046</v>
      </c>
      <c r="B8687" s="5" t="s">
        <v>34</v>
      </c>
      <c r="D8687" s="5" t="s">
        <v>11913</v>
      </c>
      <c r="E8687" s="5" t="s">
        <v>54248</v>
      </c>
      <c r="F8687" s="5" t="s">
        <v>37</v>
      </c>
      <c r="G8687" s="5" t="s">
        <v>54249</v>
      </c>
      <c r="H8687" s="6" t="s">
        <v>54250</v>
      </c>
      <c r="K8687" s="5" t="s">
        <v>54244</v>
      </c>
      <c r="M8687" s="5" t="s">
        <v>54251</v>
      </c>
      <c r="N8687" s="7" t="s">
        <v>54252</v>
      </c>
      <c r="O8687" s="8" t="str">
        <f>HYPERLINK("https://drive.google.com/file/d/1cKu_a3Zld6md917re23ShrNCOftYN3JV/view?usp=drivesdk","8686_ORDI HABEL KAMLASI, Amd. Kep,  _ SERTIFIKAT BerAKHLAK")</f>
        <v>8686_ORDI HABEL KAMLASI, Amd. Kep,  _ SERTIFIKAT BerAKHLAK</v>
      </c>
      <c r="P8687" s="5" t="s">
        <v>54247</v>
      </c>
    </row>
    <row r="8688">
      <c r="A8688" s="4">
        <v>45534.41164199074</v>
      </c>
      <c r="B8688" s="5" t="s">
        <v>34</v>
      </c>
      <c r="D8688" s="5" t="s">
        <v>522</v>
      </c>
      <c r="E8688" s="5" t="s">
        <v>54253</v>
      </c>
      <c r="F8688" s="5" t="s">
        <v>212</v>
      </c>
      <c r="G8688" s="5" t="s">
        <v>54254</v>
      </c>
      <c r="H8688" s="6" t="s">
        <v>54255</v>
      </c>
      <c r="K8688" s="5" t="s">
        <v>54256</v>
      </c>
      <c r="M8688" s="5" t="s">
        <v>54257</v>
      </c>
      <c r="N8688" s="7" t="s">
        <v>54258</v>
      </c>
      <c r="O8688" s="8" t="str">
        <f>HYPERLINK("https://drive.google.com/file/d/1bdlOZ2lFQBsnpVTw8x3P5FPkWP4KbwNI/view?usp=drivesdk","8687_Made Ngurah Debi Dwipayana Putra _ SERTIFIKAT BerAKHLAK")</f>
        <v>8687_Made Ngurah Debi Dwipayana Putra _ SERTIFIKAT BerAKHLAK</v>
      </c>
      <c r="P8688" s="5" t="s">
        <v>54247</v>
      </c>
    </row>
    <row r="8689">
      <c r="A8689" s="4">
        <v>45534.41167594907</v>
      </c>
      <c r="B8689" s="5" t="s">
        <v>34</v>
      </c>
      <c r="D8689" s="5" t="s">
        <v>522</v>
      </c>
      <c r="E8689" s="5" t="s">
        <v>54259</v>
      </c>
      <c r="F8689" s="5" t="s">
        <v>108</v>
      </c>
      <c r="G8689" s="5" t="s">
        <v>54260</v>
      </c>
      <c r="H8689" s="6" t="s">
        <v>54261</v>
      </c>
      <c r="K8689" s="5" t="s">
        <v>54256</v>
      </c>
      <c r="M8689" s="5" t="s">
        <v>54262</v>
      </c>
      <c r="N8689" s="7" t="s">
        <v>54263</v>
      </c>
      <c r="O8689" s="8" t="str">
        <f>HYPERLINK("https://drive.google.com/file/d/1rVYxinBZ3FkY4dvdmI81VhzUCzIn8rzT/view?usp=drivesdk","8688_DR. NOFITA NORMALASARI _ SERTIFIKAT BerAKHLAK")</f>
        <v>8688_DR. NOFITA NORMALASARI _ SERTIFIKAT BerAKHLAK</v>
      </c>
      <c r="P8689" s="5" t="s">
        <v>54247</v>
      </c>
    </row>
    <row r="8690">
      <c r="A8690" s="4">
        <v>45534.41168002315</v>
      </c>
      <c r="B8690" s="5" t="s">
        <v>34</v>
      </c>
      <c r="D8690" s="5" t="s">
        <v>9020</v>
      </c>
      <c r="E8690" s="5" t="s">
        <v>54264</v>
      </c>
      <c r="F8690" s="5" t="s">
        <v>108</v>
      </c>
      <c r="G8690" s="5" t="s">
        <v>54265</v>
      </c>
      <c r="H8690" s="6" t="s">
        <v>54266</v>
      </c>
      <c r="K8690" s="5" t="s">
        <v>54267</v>
      </c>
      <c r="M8690" s="5" t="s">
        <v>54268</v>
      </c>
      <c r="N8690" s="7" t="s">
        <v>54269</v>
      </c>
      <c r="O8690" s="8" t="str">
        <f>HYPERLINK("https://drive.google.com/file/d/17hUVh1bxoDHtZnw-Wz8CvFA14r1S-srk/view?usp=drivesdk","8689_Evi Irawati Sianturi  _ SERTIFIKAT BerAKHLAK")</f>
        <v>8689_Evi Irawati Sianturi  _ SERTIFIKAT BerAKHLAK</v>
      </c>
      <c r="P8690" s="5" t="s">
        <v>54270</v>
      </c>
    </row>
    <row r="8691">
      <c r="A8691" s="4">
        <v>45534.41168631944</v>
      </c>
      <c r="B8691" s="5" t="s">
        <v>34</v>
      </c>
      <c r="D8691" s="5" t="s">
        <v>522</v>
      </c>
      <c r="E8691" s="5" t="s">
        <v>54271</v>
      </c>
      <c r="F8691" s="5" t="s">
        <v>37</v>
      </c>
      <c r="G8691" s="5" t="s">
        <v>54272</v>
      </c>
      <c r="H8691" s="6" t="s">
        <v>54273</v>
      </c>
      <c r="K8691" s="5" t="s">
        <v>54267</v>
      </c>
      <c r="M8691" s="5" t="s">
        <v>54274</v>
      </c>
      <c r="N8691" s="7" t="s">
        <v>54275</v>
      </c>
      <c r="O8691" s="8" t="str">
        <f>HYPERLINK("https://drive.google.com/file/d/1xRo4mVSSS9NLcJoOatzhu1CHR0o2NO7l/view?usp=drivesdk","8690_HAERIAH _ SERTIFIKAT BerAKHLAK")</f>
        <v>8690_HAERIAH _ SERTIFIKAT BerAKHLAK</v>
      </c>
      <c r="P8691" s="5" t="s">
        <v>54270</v>
      </c>
    </row>
    <row r="8692">
      <c r="A8692" s="4">
        <v>45534.41178811343</v>
      </c>
      <c r="B8692" s="5" t="s">
        <v>34</v>
      </c>
      <c r="D8692" s="5" t="s">
        <v>4775</v>
      </c>
      <c r="E8692" s="5" t="s">
        <v>38554</v>
      </c>
      <c r="F8692" s="5" t="s">
        <v>212</v>
      </c>
      <c r="G8692" s="5" t="s">
        <v>54276</v>
      </c>
      <c r="H8692" s="6" t="s">
        <v>54277</v>
      </c>
      <c r="K8692" s="5" t="s">
        <v>54278</v>
      </c>
      <c r="M8692" s="5" t="s">
        <v>54279</v>
      </c>
      <c r="N8692" s="7" t="s">
        <v>54280</v>
      </c>
      <c r="O8692" s="8" t="str">
        <f>HYPERLINK("https://drive.google.com/file/d/1wqJjbCYMUZDLUvK4TGmRQsaDLw_uZUds/view?usp=drivesdk","8691_SUTARMIN _ SERTIFIKAT BerAKHLAK")</f>
        <v>8691_SUTARMIN _ SERTIFIKAT BerAKHLAK</v>
      </c>
      <c r="P8692" s="5" t="s">
        <v>54270</v>
      </c>
    </row>
    <row r="8693">
      <c r="A8693" s="4">
        <v>45534.411793402774</v>
      </c>
      <c r="B8693" s="5" t="s">
        <v>34</v>
      </c>
      <c r="D8693" s="5" t="s">
        <v>267</v>
      </c>
      <c r="E8693" s="5" t="s">
        <v>54281</v>
      </c>
      <c r="F8693" s="5" t="s">
        <v>108</v>
      </c>
      <c r="G8693" s="5" t="s">
        <v>54282</v>
      </c>
      <c r="H8693" s="6" t="s">
        <v>54283</v>
      </c>
      <c r="K8693" s="5" t="s">
        <v>54278</v>
      </c>
      <c r="M8693" s="5" t="s">
        <v>54284</v>
      </c>
      <c r="N8693" s="7" t="s">
        <v>54285</v>
      </c>
      <c r="O8693" s="8" t="str">
        <f>HYPERLINK("https://drive.google.com/file/d/1-1KYfoBLMJ4x5m6PMWAX8hTrSy_nPFyI/view?usp=drivesdk","8692_WAHYU ESTIKOMAH _ SERTIFIKAT BerAKHLAK")</f>
        <v>8692_WAHYU ESTIKOMAH _ SERTIFIKAT BerAKHLAK</v>
      </c>
      <c r="P8693" s="5" t="s">
        <v>54286</v>
      </c>
    </row>
    <row r="8694" hidden="1">
      <c r="A8694" s="4">
        <v>45534.41180644676</v>
      </c>
      <c r="B8694" s="5" t="s">
        <v>19</v>
      </c>
      <c r="C8694" s="5" t="s">
        <v>292</v>
      </c>
      <c r="E8694" s="5" t="s">
        <v>54287</v>
      </c>
      <c r="F8694" s="5" t="s">
        <v>524</v>
      </c>
      <c r="G8694" s="5" t="s">
        <v>54288</v>
      </c>
      <c r="H8694" s="6" t="s">
        <v>54289</v>
      </c>
      <c r="K8694" s="5" t="s">
        <v>54278</v>
      </c>
      <c r="M8694" s="5" t="s">
        <v>54290</v>
      </c>
      <c r="N8694" s="7" t="s">
        <v>54291</v>
      </c>
      <c r="O8694" s="8" t="str">
        <f>HYPERLINK("https://drive.google.com/file/d/1iNVtZLVm-5gI3yZL8-CrjBemE_CcTcOx/view?usp=drivesdk","8693_DARYANTO, SE _ SERTIFIKAT BerAKHLAK")</f>
        <v>8693_DARYANTO, SE _ SERTIFIKAT BerAKHLAK</v>
      </c>
      <c r="P8694" s="5" t="s">
        <v>54292</v>
      </c>
    </row>
    <row r="8695">
      <c r="A8695" s="4">
        <v>45534.4118409375</v>
      </c>
      <c r="B8695" s="5" t="s">
        <v>34</v>
      </c>
      <c r="D8695" s="5" t="s">
        <v>7858</v>
      </c>
      <c r="E8695" s="5" t="s">
        <v>54293</v>
      </c>
      <c r="F8695" s="5" t="s">
        <v>37</v>
      </c>
      <c r="G8695" s="5" t="s">
        <v>54294</v>
      </c>
      <c r="H8695" s="6" t="s">
        <v>54295</v>
      </c>
      <c r="K8695" s="5" t="s">
        <v>54296</v>
      </c>
      <c r="M8695" s="5" t="s">
        <v>54297</v>
      </c>
      <c r="N8695" s="7" t="s">
        <v>54298</v>
      </c>
      <c r="O8695" s="8" t="str">
        <f>HYPERLINK("https://drive.google.com/file/d/1MuwbJs9nW9eVzDvoVJBsNqPmVb3CUxlp/view?usp=drivesdk","8694_ENDI SUHENDI _ SERTIFIKAT BerAKHLAK")</f>
        <v>8694_ENDI SUHENDI _ SERTIFIKAT BerAKHLAK</v>
      </c>
      <c r="P8695" s="5" t="s">
        <v>54292</v>
      </c>
    </row>
    <row r="8696" hidden="1">
      <c r="A8696" s="4">
        <v>45534.41192560185</v>
      </c>
      <c r="B8696" s="5" t="s">
        <v>19</v>
      </c>
      <c r="C8696" s="5" t="s">
        <v>32901</v>
      </c>
      <c r="E8696" s="5" t="s">
        <v>54299</v>
      </c>
      <c r="F8696" s="5" t="s">
        <v>120</v>
      </c>
      <c r="G8696" s="5" t="s">
        <v>54300</v>
      </c>
      <c r="H8696" s="6" t="s">
        <v>54301</v>
      </c>
      <c r="K8696" s="5" t="s">
        <v>54302</v>
      </c>
      <c r="M8696" s="5" t="s">
        <v>54303</v>
      </c>
      <c r="N8696" s="7" t="s">
        <v>54304</v>
      </c>
      <c r="O8696" s="8" t="str">
        <f>HYPERLINK("https://drive.google.com/file/d/127eLpkUNqFviIrx8I9Crw0RYC_irpkxv/view?usp=drivesdk","8695_IMAM MUQODAR, S.E. _ SERTIFIKAT BerAKHLAK")</f>
        <v>8695_IMAM MUQODAR, S.E. _ SERTIFIKAT BerAKHLAK</v>
      </c>
      <c r="P8696" s="5" t="s">
        <v>54292</v>
      </c>
    </row>
    <row r="8697">
      <c r="A8697" s="4">
        <v>45534.411989409724</v>
      </c>
      <c r="B8697" s="5" t="s">
        <v>34</v>
      </c>
      <c r="D8697" s="5" t="s">
        <v>1206</v>
      </c>
      <c r="E8697" s="5" t="s">
        <v>54305</v>
      </c>
      <c r="F8697" s="5" t="s">
        <v>72</v>
      </c>
      <c r="G8697" s="5" t="s">
        <v>54306</v>
      </c>
      <c r="H8697" s="6" t="s">
        <v>54307</v>
      </c>
      <c r="K8697" s="5" t="s">
        <v>54302</v>
      </c>
      <c r="M8697" s="5" t="s">
        <v>54308</v>
      </c>
      <c r="N8697" s="7" t="s">
        <v>54309</v>
      </c>
      <c r="O8697" s="8" t="str">
        <f>HYPERLINK("https://drive.google.com/file/d/1V77RhePR3Q2cnhNfL8pf4X8Ej3T-XoW-/view?usp=drivesdk","8696_RATNA CHRISDIANA  _ SERTIFIKAT BerAKHLAK")</f>
        <v>8696_RATNA CHRISDIANA  _ SERTIFIKAT BerAKHLAK</v>
      </c>
      <c r="P8697" s="5" t="s">
        <v>54292</v>
      </c>
    </row>
    <row r="8698">
      <c r="A8698" s="4">
        <v>45534.41202163194</v>
      </c>
      <c r="B8698" s="5" t="s">
        <v>34</v>
      </c>
      <c r="D8698" s="5" t="s">
        <v>604</v>
      </c>
      <c r="E8698" s="5" t="s">
        <v>54310</v>
      </c>
      <c r="F8698" s="5" t="s">
        <v>524</v>
      </c>
      <c r="G8698" s="5" t="s">
        <v>54311</v>
      </c>
      <c r="H8698" s="6" t="s">
        <v>54312</v>
      </c>
      <c r="K8698" s="5" t="s">
        <v>54313</v>
      </c>
      <c r="M8698" s="5" t="s">
        <v>54314</v>
      </c>
      <c r="N8698" s="7" t="s">
        <v>54315</v>
      </c>
      <c r="O8698" s="8" t="str">
        <f>HYPERLINK("https://drive.google.com/file/d/19PZSdmjrCDiz4uvBK_dWwrrV0I8N8HDh/view?usp=drivesdk","8697_TRISNA DWI WULANDARIK _ SERTIFIKAT BerAKHLAK")</f>
        <v>8697_TRISNA DWI WULANDARIK _ SERTIFIKAT BerAKHLAK</v>
      </c>
      <c r="P8698" s="5" t="s">
        <v>54316</v>
      </c>
    </row>
    <row r="8699" hidden="1">
      <c r="A8699" s="4">
        <v>45534.41203547454</v>
      </c>
      <c r="B8699" s="5" t="s">
        <v>19</v>
      </c>
      <c r="C8699" s="5" t="s">
        <v>45988</v>
      </c>
      <c r="E8699" s="5" t="s">
        <v>54317</v>
      </c>
      <c r="F8699" s="5" t="s">
        <v>108</v>
      </c>
      <c r="G8699" s="5" t="s">
        <v>54318</v>
      </c>
      <c r="H8699" s="6" t="s">
        <v>54319</v>
      </c>
      <c r="K8699" s="5" t="s">
        <v>54313</v>
      </c>
      <c r="M8699" s="5" t="s">
        <v>54320</v>
      </c>
      <c r="N8699" s="7" t="s">
        <v>54321</v>
      </c>
      <c r="O8699" s="8" t="str">
        <f>HYPERLINK("https://drive.google.com/file/d/1oyl1jBGDxb1zP7pf13-_A__YjE2eTUzY/view?usp=drivesdk","8698_FITRI MARIA SIMANJUNTAK, S.Kom _ SERTIFIKAT BerAKHLAK")</f>
        <v>8698_FITRI MARIA SIMANJUNTAK, S.Kom _ SERTIFIKAT BerAKHLAK</v>
      </c>
      <c r="P8699" s="5" t="s">
        <v>54316</v>
      </c>
    </row>
    <row r="8700">
      <c r="A8700" s="4">
        <v>45534.4120809375</v>
      </c>
      <c r="B8700" s="5" t="s">
        <v>34</v>
      </c>
      <c r="D8700" s="5" t="s">
        <v>701</v>
      </c>
      <c r="E8700" s="5" t="s">
        <v>54322</v>
      </c>
      <c r="F8700" s="5" t="s">
        <v>37</v>
      </c>
      <c r="G8700" s="5" t="s">
        <v>54323</v>
      </c>
      <c r="H8700" s="6" t="s">
        <v>54324</v>
      </c>
      <c r="K8700" s="5" t="s">
        <v>54313</v>
      </c>
      <c r="M8700" s="5" t="s">
        <v>54325</v>
      </c>
      <c r="N8700" s="7" t="s">
        <v>54326</v>
      </c>
      <c r="O8700" s="8" t="str">
        <f>HYPERLINK("https://drive.google.com/file/d/1sZX4elg-8jL4i6JjXqMJ9wpX9mNoxQiN/view?usp=drivesdk","8699_FAHNILA RASYID _ SERTIFIKAT BerAKHLAK")</f>
        <v>8699_FAHNILA RASYID _ SERTIFIKAT BerAKHLAK</v>
      </c>
      <c r="P8700" s="5" t="s">
        <v>53863</v>
      </c>
    </row>
    <row r="8701" hidden="1">
      <c r="A8701" s="4">
        <v>45534.412205960645</v>
      </c>
      <c r="B8701" s="5" t="s">
        <v>19</v>
      </c>
      <c r="C8701" s="5" t="s">
        <v>38343</v>
      </c>
      <c r="E8701" s="5" t="s">
        <v>54327</v>
      </c>
      <c r="F8701" s="5" t="s">
        <v>375</v>
      </c>
      <c r="G8701" s="5" t="s">
        <v>54328</v>
      </c>
      <c r="H8701" s="6" t="s">
        <v>54329</v>
      </c>
      <c r="K8701" s="5" t="s">
        <v>54330</v>
      </c>
      <c r="M8701" s="5" t="s">
        <v>54331</v>
      </c>
      <c r="N8701" s="7" t="s">
        <v>54332</v>
      </c>
      <c r="O8701" s="8" t="str">
        <f>HYPERLINK("https://drive.google.com/file/d/1MO1zvwPZFQr3bqseCk4x5ed1amcJpjo4/view?usp=drivesdk","8700_NURYANA CAHAYAWATI, SE _ SERTIFIKAT BerAKHLAK")</f>
        <v>8700_NURYANA CAHAYAWATI, SE _ SERTIFIKAT BerAKHLAK</v>
      </c>
      <c r="P8701" s="5" t="s">
        <v>53863</v>
      </c>
    </row>
    <row r="8702">
      <c r="A8702" s="4">
        <v>45534.41221267361</v>
      </c>
      <c r="B8702" s="5" t="s">
        <v>34</v>
      </c>
      <c r="D8702" s="5" t="s">
        <v>701</v>
      </c>
      <c r="E8702" s="5" t="s">
        <v>54333</v>
      </c>
      <c r="F8702" s="5" t="s">
        <v>524</v>
      </c>
      <c r="G8702" s="5" t="s">
        <v>54334</v>
      </c>
      <c r="H8702" s="6" t="s">
        <v>54335</v>
      </c>
      <c r="K8702" s="5" t="s">
        <v>54330</v>
      </c>
      <c r="M8702" s="5" t="s">
        <v>54336</v>
      </c>
      <c r="N8702" s="7" t="s">
        <v>54337</v>
      </c>
      <c r="O8702" s="8" t="str">
        <f>HYPERLINK("https://drive.google.com/file/d/1r3uECoiweTW5MTD8JxzBEHO5VarrZ6Fm/view?usp=drivesdk","8701_SANTI EKA MUTIA, S.E. _ SERTIFIKAT BerAKHLAK")</f>
        <v>8701_SANTI EKA MUTIA, S.E. _ SERTIFIKAT BerAKHLAK</v>
      </c>
      <c r="P8702" s="5" t="s">
        <v>53863</v>
      </c>
    </row>
    <row r="8703">
      <c r="A8703" s="4">
        <v>45534.41228059027</v>
      </c>
      <c r="B8703" s="5" t="s">
        <v>34</v>
      </c>
      <c r="D8703" s="5" t="s">
        <v>3849</v>
      </c>
      <c r="E8703" s="5" t="s">
        <v>54338</v>
      </c>
      <c r="F8703" s="5" t="s">
        <v>37</v>
      </c>
      <c r="G8703" s="5" t="s">
        <v>54339</v>
      </c>
      <c r="H8703" s="6" t="s">
        <v>54340</v>
      </c>
      <c r="K8703" s="5" t="s">
        <v>54341</v>
      </c>
      <c r="M8703" s="5" t="s">
        <v>54342</v>
      </c>
      <c r="N8703" s="7" t="s">
        <v>54343</v>
      </c>
      <c r="O8703" s="8" t="str">
        <f>HYPERLINK("https://drive.google.com/file/d/1NfZoEojYo6l__r4M_BZJCY0gsr5HWjkP/view?usp=drivesdk","8702_ERVINA _ SERTIFIKAT BerAKHLAK")</f>
        <v>8702_ERVINA _ SERTIFIKAT BerAKHLAK</v>
      </c>
      <c r="P8703" s="5" t="s">
        <v>53891</v>
      </c>
    </row>
    <row r="8704">
      <c r="A8704" s="4">
        <v>45534.41231332176</v>
      </c>
      <c r="B8704" s="5" t="s">
        <v>34</v>
      </c>
      <c r="D8704" s="5" t="s">
        <v>522</v>
      </c>
      <c r="E8704" s="5" t="s">
        <v>54344</v>
      </c>
      <c r="F8704" s="5" t="s">
        <v>108</v>
      </c>
      <c r="G8704" s="5" t="s">
        <v>54345</v>
      </c>
      <c r="H8704" s="6" t="s">
        <v>54346</v>
      </c>
      <c r="K8704" s="5" t="s">
        <v>54347</v>
      </c>
      <c r="M8704" s="5" t="s">
        <v>54348</v>
      </c>
      <c r="N8704" s="7" t="s">
        <v>54349</v>
      </c>
      <c r="O8704" s="8" t="str">
        <f>HYPERLINK("https://drive.google.com/file/d/13rVOBuv1nK0mqgWwXjgZ_OIWN31mhMYx/view?usp=drivesdk","8703_DR. NISA LADYASARI _ SERTIFIKAT BerAKHLAK")</f>
        <v>8703_DR. NISA LADYASARI _ SERTIFIKAT BerAKHLAK</v>
      </c>
      <c r="P8704" s="5" t="s">
        <v>53891</v>
      </c>
    </row>
    <row r="8705">
      <c r="A8705" s="4">
        <v>45534.412423263886</v>
      </c>
      <c r="B8705" s="5" t="s">
        <v>34</v>
      </c>
      <c r="D8705" s="5" t="s">
        <v>975</v>
      </c>
      <c r="E8705" s="5" t="s">
        <v>54350</v>
      </c>
      <c r="F8705" s="5" t="s">
        <v>199</v>
      </c>
      <c r="G8705" s="5" t="s">
        <v>54351</v>
      </c>
      <c r="H8705" s="6" t="s">
        <v>54352</v>
      </c>
      <c r="K8705" s="5" t="s">
        <v>54353</v>
      </c>
      <c r="M8705" s="5" t="s">
        <v>54354</v>
      </c>
      <c r="N8705" s="7" t="s">
        <v>54355</v>
      </c>
      <c r="O8705" s="8" t="str">
        <f>HYPERLINK("https://drive.google.com/file/d/1NYpO4VzyqmIQPDI_gUQLfolFKUoJvwn-/view?usp=drivesdk","8704_DESSY DAME YANTI.,Amd.Kep _ SERTIFIKAT BerAKHLAK")</f>
        <v>8704_DESSY DAME YANTI.,Amd.Kep _ SERTIFIKAT BerAKHLAK</v>
      </c>
      <c r="P8705" s="5" t="s">
        <v>53891</v>
      </c>
    </row>
    <row r="8706">
      <c r="A8706" s="4">
        <v>45534.41244155093</v>
      </c>
      <c r="B8706" s="5" t="s">
        <v>34</v>
      </c>
      <c r="D8706" s="5" t="s">
        <v>1206</v>
      </c>
      <c r="E8706" s="5" t="s">
        <v>54356</v>
      </c>
      <c r="F8706" s="5" t="s">
        <v>37</v>
      </c>
      <c r="G8706" s="5" t="s">
        <v>54357</v>
      </c>
      <c r="H8706" s="6" t="s">
        <v>54358</v>
      </c>
      <c r="K8706" s="5" t="s">
        <v>54359</v>
      </c>
      <c r="M8706" s="5" t="s">
        <v>54360</v>
      </c>
      <c r="N8706" s="7" t="s">
        <v>54361</v>
      </c>
      <c r="O8706" s="8" t="str">
        <f>HYPERLINK("https://drive.google.com/file/d/1i-MoystIpI9xEN6hdqU_WZdpPOFjZ2aL/view?usp=drivesdk","8705_Faris Adyani Anamisa  _ SERTIFIKAT BerAKHLAK")</f>
        <v>8705_Faris Adyani Anamisa  _ SERTIFIKAT BerAKHLAK</v>
      </c>
      <c r="P8706" s="5" t="s">
        <v>53891</v>
      </c>
    </row>
    <row r="8707">
      <c r="A8707" s="4">
        <v>45534.412504293985</v>
      </c>
      <c r="B8707" s="5" t="s">
        <v>34</v>
      </c>
      <c r="D8707" s="5" t="s">
        <v>580</v>
      </c>
      <c r="E8707" s="5" t="s">
        <v>54362</v>
      </c>
      <c r="F8707" s="5" t="s">
        <v>120</v>
      </c>
      <c r="G8707" s="5" t="s">
        <v>54363</v>
      </c>
      <c r="H8707" s="6" t="s">
        <v>54364</v>
      </c>
      <c r="K8707" s="5" t="s">
        <v>54365</v>
      </c>
      <c r="M8707" s="5" t="s">
        <v>54366</v>
      </c>
      <c r="N8707" s="7" t="s">
        <v>54367</v>
      </c>
      <c r="O8707" s="8" t="str">
        <f>HYPERLINK("https://drive.google.com/file/d/1J0z0FnhcksbUG6kyFDdnXbUf2K6ilUwe/view?usp=drivesdk","8706_dr I NYOMAN DARSANA M BIOMED S.p.N _ SERTIFIKAT BerAKHLAK")</f>
        <v>8706_dr I NYOMAN DARSANA M BIOMED S.p.N _ SERTIFIKAT BerAKHLAK</v>
      </c>
      <c r="P8707" s="5" t="s">
        <v>53891</v>
      </c>
    </row>
    <row r="8708">
      <c r="A8708" s="4">
        <v>45534.41254546297</v>
      </c>
      <c r="B8708" s="5" t="s">
        <v>34</v>
      </c>
      <c r="D8708" s="5" t="s">
        <v>6232</v>
      </c>
      <c r="E8708" s="5" t="s">
        <v>31130</v>
      </c>
      <c r="F8708" s="5" t="s">
        <v>37</v>
      </c>
      <c r="G8708" s="5" t="s">
        <v>54368</v>
      </c>
      <c r="H8708" s="6" t="s">
        <v>54369</v>
      </c>
      <c r="K8708" s="5" t="s">
        <v>54370</v>
      </c>
      <c r="M8708" s="5" t="s">
        <v>54371</v>
      </c>
      <c r="N8708" s="7" t="s">
        <v>54372</v>
      </c>
      <c r="O8708" s="8" t="str">
        <f>HYPERLINK("https://drive.google.com/file/d/1m3HsiFuzTx2fR2NMQ5uln6OuLpZ_JMhv/view?usp=drivesdk","8707_SUNARSIH _ SERTIFIKAT BerAKHLAK")</f>
        <v>8707_SUNARSIH _ SERTIFIKAT BerAKHLAK</v>
      </c>
      <c r="P8708" s="5" t="s">
        <v>53918</v>
      </c>
    </row>
    <row r="8709">
      <c r="A8709" s="4">
        <v>45534.41269114583</v>
      </c>
      <c r="B8709" s="5" t="s">
        <v>34</v>
      </c>
      <c r="D8709" s="5" t="s">
        <v>35</v>
      </c>
      <c r="E8709" s="5" t="s">
        <v>54373</v>
      </c>
      <c r="F8709" s="5" t="s">
        <v>108</v>
      </c>
      <c r="G8709" s="5" t="s">
        <v>54374</v>
      </c>
      <c r="H8709" s="6" t="s">
        <v>54375</v>
      </c>
      <c r="K8709" s="5" t="s">
        <v>54376</v>
      </c>
      <c r="M8709" s="5" t="s">
        <v>54377</v>
      </c>
      <c r="N8709" s="7" t="s">
        <v>54378</v>
      </c>
      <c r="O8709" s="8" t="str">
        <f>HYPERLINK("https://drive.google.com/file/d/1oM47pddroAMcX2LRXMLBDMPZnaY6hl4G/view?usp=drivesdk","8708_ERINA ARIYANI _ SERTIFIKAT BerAKHLAK")</f>
        <v>8708_ERINA ARIYANI _ SERTIFIKAT BerAKHLAK</v>
      </c>
      <c r="P8709" s="5" t="s">
        <v>53918</v>
      </c>
    </row>
    <row r="8710">
      <c r="A8710" s="4">
        <v>45534.41269456019</v>
      </c>
      <c r="B8710" s="5" t="s">
        <v>34</v>
      </c>
      <c r="D8710" s="5" t="s">
        <v>1558</v>
      </c>
      <c r="E8710" s="5" t="s">
        <v>54379</v>
      </c>
      <c r="F8710" s="5" t="s">
        <v>120</v>
      </c>
      <c r="G8710" s="5" t="s">
        <v>54380</v>
      </c>
      <c r="H8710" s="6" t="s">
        <v>54381</v>
      </c>
      <c r="K8710" s="5" t="s">
        <v>54376</v>
      </c>
      <c r="M8710" s="5" t="s">
        <v>54382</v>
      </c>
      <c r="N8710" s="7" t="s">
        <v>54383</v>
      </c>
      <c r="O8710" s="8" t="str">
        <f>HYPERLINK("https://drive.google.com/file/d/1awcNfZk-29oPeQxxIFOovME-PcVs_uJv/view?usp=drivesdk","8709_IRNI HASTUTI, SE.,MM _ SERTIFIKAT BerAKHLAK")</f>
        <v>8709_IRNI HASTUTI, SE.,MM _ SERTIFIKAT BerAKHLAK</v>
      </c>
      <c r="P8710" s="5" t="s">
        <v>53918</v>
      </c>
    </row>
    <row r="8711">
      <c r="A8711" s="4">
        <v>45534.412700671295</v>
      </c>
      <c r="B8711" s="5" t="s">
        <v>34</v>
      </c>
      <c r="D8711" s="5" t="s">
        <v>280</v>
      </c>
      <c r="E8711" s="5" t="s">
        <v>54384</v>
      </c>
      <c r="F8711" s="5" t="s">
        <v>375</v>
      </c>
      <c r="G8711" s="5" t="s">
        <v>54385</v>
      </c>
      <c r="H8711" s="6" t="s">
        <v>54386</v>
      </c>
      <c r="K8711" s="5" t="s">
        <v>54376</v>
      </c>
      <c r="M8711" s="5" t="s">
        <v>54387</v>
      </c>
      <c r="N8711" s="7" t="s">
        <v>54388</v>
      </c>
      <c r="O8711" s="8" t="str">
        <f>HYPERLINK("https://drive.google.com/file/d/1NIxndNnvejIXbNXD72jWZlF8fHqjwYuN/view?usp=drivesdk","8710_RAKHMAD ZENI ATMAKA _ SERTIFIKAT BerAKHLAK")</f>
        <v>8710_RAKHMAD ZENI ATMAKA _ SERTIFIKAT BerAKHLAK</v>
      </c>
      <c r="P8711" s="5" t="s">
        <v>53918</v>
      </c>
    </row>
    <row r="8712">
      <c r="A8712" s="4">
        <v>45534.41277621528</v>
      </c>
      <c r="B8712" s="5" t="s">
        <v>34</v>
      </c>
      <c r="D8712" s="5" t="s">
        <v>1692</v>
      </c>
      <c r="E8712" s="5" t="s">
        <v>54389</v>
      </c>
      <c r="F8712" s="5" t="s">
        <v>37</v>
      </c>
      <c r="G8712" s="5" t="s">
        <v>54390</v>
      </c>
      <c r="H8712" s="6" t="s">
        <v>54391</v>
      </c>
      <c r="K8712" s="5" t="s">
        <v>54392</v>
      </c>
      <c r="M8712" s="5" t="s">
        <v>54393</v>
      </c>
      <c r="N8712" s="7" t="s">
        <v>54394</v>
      </c>
      <c r="O8712" s="8" t="str">
        <f>HYPERLINK("https://drive.google.com/file/d/1bE3LJhEMyQz_A87iTuv3EQ5nlUSB38JN/view?usp=drivesdk","8711_ALVA F. M. MANUPUTTY, S.H. _ SERTIFIKAT BerAKHLAK")</f>
        <v>8711_ALVA F. M. MANUPUTTY, S.H. _ SERTIFIKAT BerAKHLAK</v>
      </c>
      <c r="P8712" s="5" t="s">
        <v>53918</v>
      </c>
    </row>
    <row r="8713">
      <c r="A8713" s="4">
        <v>45534.41279052083</v>
      </c>
      <c r="B8713" s="5" t="s">
        <v>34</v>
      </c>
      <c r="D8713" s="5" t="s">
        <v>4775</v>
      </c>
      <c r="E8713" s="5" t="s">
        <v>54395</v>
      </c>
      <c r="F8713" s="5" t="s">
        <v>72</v>
      </c>
      <c r="G8713" s="5" t="s">
        <v>54396</v>
      </c>
      <c r="H8713" s="6" t="s">
        <v>54397</v>
      </c>
      <c r="K8713" s="5" t="s">
        <v>54398</v>
      </c>
      <c r="M8713" s="5" t="s">
        <v>54399</v>
      </c>
      <c r="N8713" s="7" t="s">
        <v>54400</v>
      </c>
      <c r="O8713" s="8" t="str">
        <f>HYPERLINK("https://drive.google.com/file/d/1ecv7nTIRdmvpQfyULPvNsWSiSewtfi5f/view?usp=drivesdk","8712_ETY KUNTARI _ SERTIFIKAT BerAKHLAK")</f>
        <v>8712_ETY KUNTARI _ SERTIFIKAT BerAKHLAK</v>
      </c>
      <c r="P8713" s="5" t="s">
        <v>54401</v>
      </c>
    </row>
    <row r="8714">
      <c r="A8714" s="4">
        <v>45534.41291539352</v>
      </c>
      <c r="B8714" s="5" t="s">
        <v>34</v>
      </c>
      <c r="D8714" s="5" t="s">
        <v>1206</v>
      </c>
      <c r="E8714" s="5" t="s">
        <v>54402</v>
      </c>
      <c r="F8714" s="5" t="s">
        <v>72</v>
      </c>
      <c r="G8714" s="5" t="s">
        <v>54403</v>
      </c>
      <c r="H8714" s="6" t="s">
        <v>54404</v>
      </c>
      <c r="K8714" s="5" t="s">
        <v>54405</v>
      </c>
      <c r="M8714" s="5" t="s">
        <v>54406</v>
      </c>
      <c r="N8714" s="7" t="s">
        <v>54407</v>
      </c>
      <c r="O8714" s="8" t="str">
        <f>HYPERLINK("https://drive.google.com/file/d/1ZElZOqFHDW7LHW8AES7ycNZYKqTayb7x/view?usp=drivesdk","8713_RADEN AJENG VIVI YUNITASARI, A.Md. Farm _ SERTIFIKAT BerAKHLAK")</f>
        <v>8713_RADEN AJENG VIVI YUNITASARI, A.Md. Farm _ SERTIFIKAT BerAKHLAK</v>
      </c>
      <c r="P8714" s="5" t="s">
        <v>54401</v>
      </c>
    </row>
    <row r="8715">
      <c r="A8715" s="4">
        <v>45534.41299524305</v>
      </c>
      <c r="B8715" s="5" t="s">
        <v>34</v>
      </c>
      <c r="D8715" s="5" t="s">
        <v>1206</v>
      </c>
      <c r="E8715" s="5" t="s">
        <v>54408</v>
      </c>
      <c r="F8715" s="5" t="s">
        <v>375</v>
      </c>
      <c r="G8715" s="5" t="s">
        <v>54409</v>
      </c>
      <c r="H8715" s="6" t="s">
        <v>54410</v>
      </c>
      <c r="K8715" s="5" t="s">
        <v>54411</v>
      </c>
      <c r="M8715" s="5" t="s">
        <v>54412</v>
      </c>
      <c r="N8715" s="7" t="s">
        <v>54413</v>
      </c>
      <c r="O8715" s="8" t="str">
        <f>HYPERLINK("https://drive.google.com/file/d/1j-VQ580H0cR6cn6fTT23tBKfjY7qo6JR/view?usp=drivesdk","8714_MARIANI, S.H. _ SERTIFIKAT BerAKHLAK")</f>
        <v>8714_MARIANI, S.H. _ SERTIFIKAT BerAKHLAK</v>
      </c>
      <c r="P8715" s="5" t="s">
        <v>54401</v>
      </c>
    </row>
    <row r="8716" hidden="1">
      <c r="A8716" s="4">
        <v>45534.413007152776</v>
      </c>
      <c r="B8716" s="5" t="s">
        <v>19</v>
      </c>
      <c r="C8716" s="5" t="s">
        <v>45988</v>
      </c>
      <c r="E8716" s="5" t="s">
        <v>54414</v>
      </c>
      <c r="F8716" s="5" t="s">
        <v>524</v>
      </c>
      <c r="G8716" s="5" t="s">
        <v>54415</v>
      </c>
      <c r="H8716" s="6" t="s">
        <v>54416</v>
      </c>
      <c r="K8716" s="5" t="s">
        <v>54417</v>
      </c>
      <c r="M8716" s="5" t="s">
        <v>54418</v>
      </c>
      <c r="N8716" s="7" t="s">
        <v>54419</v>
      </c>
      <c r="O8716" s="8" t="str">
        <f>HYPERLINK("https://drive.google.com/file/d/1_xuQMugukdNraEC4P-hddzFmRuFXuUCH/view?usp=drivesdk","8715_ARIYANTO, S.KOM  _ SERTIFIKAT BerAKHLAK")</f>
        <v>8715_ARIYANTO, S.KOM  _ SERTIFIKAT BerAKHLAK</v>
      </c>
      <c r="P8716" s="5" t="s">
        <v>54401</v>
      </c>
    </row>
    <row r="8717">
      <c r="A8717" s="4">
        <v>45534.41302983796</v>
      </c>
      <c r="B8717" s="5" t="s">
        <v>34</v>
      </c>
      <c r="D8717" s="5" t="s">
        <v>1206</v>
      </c>
      <c r="E8717" s="5" t="s">
        <v>54420</v>
      </c>
      <c r="F8717" s="5" t="s">
        <v>212</v>
      </c>
      <c r="G8717" s="5" t="s">
        <v>54421</v>
      </c>
      <c r="H8717" s="6" t="s">
        <v>54422</v>
      </c>
      <c r="K8717" s="5" t="s">
        <v>54423</v>
      </c>
      <c r="M8717" s="5" t="s">
        <v>54424</v>
      </c>
      <c r="N8717" s="7" t="s">
        <v>54425</v>
      </c>
      <c r="O8717" s="8" t="str">
        <f>HYPERLINK("https://drive.google.com/file/d/1OLu4v05XmLGl-5PuN-ygxzGUsapOSc-n/view?usp=drivesdk","8716_MOCH PONIMAN _ SERTIFIKAT BerAKHLAK")</f>
        <v>8716_MOCH PONIMAN _ SERTIFIKAT BerAKHLAK</v>
      </c>
      <c r="P8717" s="5" t="s">
        <v>54401</v>
      </c>
    </row>
    <row r="8718">
      <c r="A8718" s="4">
        <v>45534.413046863425</v>
      </c>
      <c r="B8718" s="5" t="s">
        <v>34</v>
      </c>
      <c r="D8718" s="5" t="s">
        <v>15401</v>
      </c>
      <c r="E8718" s="5" t="s">
        <v>54426</v>
      </c>
      <c r="F8718" s="5" t="s">
        <v>37</v>
      </c>
      <c r="G8718" s="5" t="s">
        <v>54427</v>
      </c>
      <c r="H8718" s="6" t="s">
        <v>54428</v>
      </c>
      <c r="K8718" s="5" t="s">
        <v>54423</v>
      </c>
      <c r="M8718" s="5" t="s">
        <v>54429</v>
      </c>
      <c r="N8718" s="7" t="s">
        <v>54430</v>
      </c>
      <c r="O8718" s="8" t="str">
        <f>HYPERLINK("https://drive.google.com/file/d/1SL3By9jTsJ1MwxhOkisC1ZANQvr62Gl6/view?usp=drivesdk","8717_SUWARDI _ SERTIFIKAT BerAKHLAK")</f>
        <v>8717_SUWARDI _ SERTIFIKAT BerAKHLAK</v>
      </c>
      <c r="P8718" s="5" t="s">
        <v>54431</v>
      </c>
    </row>
    <row r="8719" hidden="1">
      <c r="A8719" s="4">
        <v>45534.41306651621</v>
      </c>
      <c r="B8719" s="5" t="s">
        <v>19</v>
      </c>
      <c r="C8719" s="5" t="s">
        <v>38343</v>
      </c>
      <c r="E8719" s="5" t="s">
        <v>54432</v>
      </c>
      <c r="F8719" s="5" t="s">
        <v>72</v>
      </c>
      <c r="G8719" s="5" t="s">
        <v>54433</v>
      </c>
      <c r="H8719" s="6" t="s">
        <v>54434</v>
      </c>
      <c r="K8719" s="5" t="s">
        <v>54435</v>
      </c>
      <c r="M8719" s="5" t="s">
        <v>54436</v>
      </c>
      <c r="N8719" s="7" t="s">
        <v>54437</v>
      </c>
      <c r="O8719" s="8" t="str">
        <f>HYPERLINK("https://drive.google.com/file/d/1zGr62GiqCGAqFgxXsMluoCg9ppfZlmWV/view?usp=drivesdk","8718_Agus Budhi Santoso _ SERTIFIKAT BerAKHLAK")</f>
        <v>8718_Agus Budhi Santoso _ SERTIFIKAT BerAKHLAK</v>
      </c>
      <c r="P8719" s="5" t="s">
        <v>54431</v>
      </c>
    </row>
    <row r="8720">
      <c r="A8720" s="4">
        <v>45534.413084432876</v>
      </c>
      <c r="B8720" s="5" t="s">
        <v>34</v>
      </c>
      <c r="D8720" s="5" t="s">
        <v>9020</v>
      </c>
      <c r="E8720" s="5" t="s">
        <v>35474</v>
      </c>
      <c r="F8720" s="5" t="s">
        <v>22</v>
      </c>
      <c r="G8720" s="5" t="s">
        <v>35475</v>
      </c>
      <c r="H8720" s="6" t="s">
        <v>54438</v>
      </c>
      <c r="K8720" s="5" t="s">
        <v>54439</v>
      </c>
      <c r="M8720" s="5" t="s">
        <v>54440</v>
      </c>
      <c r="N8720" s="7" t="s">
        <v>54441</v>
      </c>
      <c r="O8720" s="8" t="str">
        <f>HYPERLINK("https://drive.google.com/file/d/1-AlPOF7xmnG6ssFbvCg863VKJPgFi79t/view?usp=drivesdk","8719_Dr. AHMAD RUDY SIHALOHO, M.A. _ SERTIFIKAT BerAKHLAK")</f>
        <v>8719_Dr. AHMAD RUDY SIHALOHO, M.A. _ SERTIFIKAT BerAKHLAK</v>
      </c>
      <c r="P8720" s="5" t="s">
        <v>54431</v>
      </c>
    </row>
    <row r="8721">
      <c r="A8721" s="4">
        <v>45534.4131278125</v>
      </c>
      <c r="B8721" s="5" t="s">
        <v>34</v>
      </c>
      <c r="D8721" s="5" t="s">
        <v>15401</v>
      </c>
      <c r="E8721" s="5" t="s">
        <v>54442</v>
      </c>
      <c r="F8721" s="5" t="s">
        <v>524</v>
      </c>
      <c r="G8721" s="5" t="s">
        <v>54443</v>
      </c>
      <c r="H8721" s="6" t="s">
        <v>54444</v>
      </c>
      <c r="K8721" s="5" t="s">
        <v>54445</v>
      </c>
      <c r="M8721" s="5" t="s">
        <v>54446</v>
      </c>
      <c r="N8721" s="7" t="s">
        <v>54447</v>
      </c>
      <c r="O8721" s="8" t="str">
        <f>HYPERLINK("https://drive.google.com/file/d/1EkRRzXuV5d4YYRors3EOA95fCWeqikBz/view?usp=drivesdk","8720_SUPRIANI _ SERTIFIKAT BerAKHLAK")</f>
        <v>8720_SUPRIANI _ SERTIFIKAT BerAKHLAK</v>
      </c>
      <c r="P8721" s="5" t="s">
        <v>54431</v>
      </c>
    </row>
    <row r="8722">
      <c r="A8722" s="4">
        <v>45534.41325429398</v>
      </c>
      <c r="B8722" s="5" t="s">
        <v>34</v>
      </c>
      <c r="D8722" s="5" t="s">
        <v>4775</v>
      </c>
      <c r="E8722" s="5" t="s">
        <v>54448</v>
      </c>
      <c r="F8722" s="5" t="s">
        <v>37</v>
      </c>
      <c r="G8722" s="5" t="s">
        <v>54449</v>
      </c>
      <c r="H8722" s="6" t="s">
        <v>54450</v>
      </c>
      <c r="K8722" s="5" t="s">
        <v>54451</v>
      </c>
      <c r="M8722" s="5" t="s">
        <v>54452</v>
      </c>
      <c r="N8722" s="7" t="s">
        <v>54453</v>
      </c>
      <c r="O8722" s="8" t="str">
        <f>HYPERLINK("https://drive.google.com/file/d/1KxvABr7rk0bB-P8Dxf6uQQEzNnvjUt7Q/view?usp=drivesdk","8721_SRINGATI _ SERTIFIKAT BerAKHLAK")</f>
        <v>8721_SRINGATI _ SERTIFIKAT BerAKHLAK</v>
      </c>
      <c r="P8722" s="5" t="s">
        <v>53924</v>
      </c>
    </row>
    <row r="8723">
      <c r="A8723" s="4">
        <v>45534.41326811342</v>
      </c>
      <c r="B8723" s="5" t="s">
        <v>34</v>
      </c>
      <c r="D8723" s="5" t="s">
        <v>2903</v>
      </c>
      <c r="E8723" s="5" t="s">
        <v>54454</v>
      </c>
      <c r="F8723" s="5" t="s">
        <v>375</v>
      </c>
      <c r="G8723" s="5" t="s">
        <v>54455</v>
      </c>
      <c r="H8723" s="6" t="s">
        <v>54456</v>
      </c>
      <c r="K8723" s="5" t="s">
        <v>54451</v>
      </c>
      <c r="M8723" s="5" t="s">
        <v>54457</v>
      </c>
      <c r="N8723" s="7" t="s">
        <v>54458</v>
      </c>
      <c r="O8723" s="8" t="str">
        <f>HYPERLINK("https://drive.google.com/file/d/1pN7_c6hO5dq0AoZkV3gdU_bxwVookV6_/view?usp=drivesdk","8722_NUR BUJANG ISKANDAR _ SERTIFIKAT BerAKHLAK")</f>
        <v>8722_NUR BUJANG ISKANDAR _ SERTIFIKAT BerAKHLAK</v>
      </c>
      <c r="P8723" s="5" t="s">
        <v>53924</v>
      </c>
    </row>
    <row r="8724">
      <c r="A8724" s="4">
        <v>45534.41330263889</v>
      </c>
      <c r="B8724" s="5" t="s">
        <v>34</v>
      </c>
      <c r="D8724" s="5" t="s">
        <v>267</v>
      </c>
      <c r="E8724" s="5" t="s">
        <v>54459</v>
      </c>
      <c r="F8724" s="5" t="s">
        <v>212</v>
      </c>
      <c r="G8724" s="5" t="s">
        <v>54460</v>
      </c>
      <c r="H8724" s="6" t="s">
        <v>54461</v>
      </c>
      <c r="K8724" s="5" t="s">
        <v>54451</v>
      </c>
      <c r="M8724" s="5" t="s">
        <v>54462</v>
      </c>
      <c r="N8724" s="7" t="s">
        <v>54463</v>
      </c>
      <c r="O8724" s="8" t="str">
        <f>HYPERLINK("https://drive.google.com/file/d/1SuwJeJRHEIlnvEMWthQX8JDO89x1EgRz/view?usp=drivesdk","8723_RINA KURNIAWATI  _ SERTIFIKAT BerAKHLAK")</f>
        <v>8723_RINA KURNIAWATI  _ SERTIFIKAT BerAKHLAK</v>
      </c>
      <c r="P8724" s="5" t="s">
        <v>54316</v>
      </c>
    </row>
    <row r="8725">
      <c r="A8725" s="4">
        <v>45534.41331934028</v>
      </c>
      <c r="B8725" s="5" t="s">
        <v>34</v>
      </c>
      <c r="D8725" s="5" t="s">
        <v>9020</v>
      </c>
      <c r="E8725" s="5" t="s">
        <v>54464</v>
      </c>
      <c r="F8725" s="5" t="s">
        <v>212</v>
      </c>
      <c r="G8725" s="5" t="s">
        <v>54465</v>
      </c>
      <c r="H8725" s="6" t="s">
        <v>54466</v>
      </c>
      <c r="K8725" s="5" t="s">
        <v>54451</v>
      </c>
      <c r="M8725" s="5" t="s">
        <v>54467</v>
      </c>
      <c r="N8725" s="7" t="s">
        <v>54468</v>
      </c>
      <c r="O8725" s="8" t="str">
        <f>HYPERLINK("https://drive.google.com/file/d/1PJ6BI5Nn5JV7e2hU3zRacSVm4ecH6_D3/view?usp=drivesdk","8724_ELPINA RITONGA _ SERTIFIKAT BerAKHLAK")</f>
        <v>8724_ELPINA RITONGA _ SERTIFIKAT BerAKHLAK</v>
      </c>
      <c r="P8725" s="5" t="s">
        <v>54316</v>
      </c>
    </row>
    <row r="8726">
      <c r="A8726" s="4">
        <v>45534.41334215278</v>
      </c>
      <c r="B8726" s="5" t="s">
        <v>34</v>
      </c>
      <c r="D8726" s="5" t="s">
        <v>1456</v>
      </c>
      <c r="E8726" s="5" t="s">
        <v>54469</v>
      </c>
      <c r="F8726" s="5" t="s">
        <v>37</v>
      </c>
      <c r="G8726" s="5" t="s">
        <v>54470</v>
      </c>
      <c r="H8726" s="6" t="s">
        <v>54471</v>
      </c>
      <c r="K8726" s="5" t="s">
        <v>54451</v>
      </c>
      <c r="M8726" s="5" t="s">
        <v>54472</v>
      </c>
      <c r="N8726" s="7" t="s">
        <v>54473</v>
      </c>
      <c r="O8726" s="8" t="str">
        <f>HYPERLINK("https://drive.google.com/file/d/1CThZSc61LSX_QXF87NmvCvOmWT2K8_Ra/view?usp=drivesdk","8725_WIDYA HASTUTI  _ SERTIFIKAT BerAKHLAK")</f>
        <v>8725_WIDYA HASTUTI  _ SERTIFIKAT BerAKHLAK</v>
      </c>
      <c r="P8726" s="5" t="s">
        <v>54474</v>
      </c>
    </row>
    <row r="8727">
      <c r="A8727" s="4">
        <v>45534.41348083333</v>
      </c>
      <c r="B8727" s="5" t="s">
        <v>34</v>
      </c>
      <c r="D8727" s="5" t="s">
        <v>701</v>
      </c>
      <c r="E8727" s="5" t="s">
        <v>54475</v>
      </c>
      <c r="F8727" s="5" t="s">
        <v>108</v>
      </c>
      <c r="G8727" s="5" t="s">
        <v>54476</v>
      </c>
      <c r="H8727" s="6" t="s">
        <v>54477</v>
      </c>
      <c r="K8727" s="5" t="s">
        <v>54451</v>
      </c>
      <c r="M8727" s="5" t="s">
        <v>54478</v>
      </c>
      <c r="N8727" s="7" t="s">
        <v>54479</v>
      </c>
      <c r="O8727" s="8" t="str">
        <f>HYPERLINK("https://drive.google.com/file/d/1YelpAaGN9HS_6Krqjh_2TPj-prxCntb6/view?usp=drivesdk","8726_FITRA HAYATI, S.E. _ SERTIFIKAT BerAKHLAK")</f>
        <v>8726_FITRA HAYATI, S.E. _ SERTIFIKAT BerAKHLAK</v>
      </c>
      <c r="P8727" s="5" t="s">
        <v>54474</v>
      </c>
    </row>
    <row r="8728" hidden="1">
      <c r="A8728" s="4">
        <v>45534.41357311343</v>
      </c>
      <c r="B8728" s="5" t="s">
        <v>19</v>
      </c>
      <c r="C8728" s="5" t="s">
        <v>292</v>
      </c>
      <c r="E8728" s="5" t="s">
        <v>54480</v>
      </c>
      <c r="F8728" s="5" t="s">
        <v>72</v>
      </c>
      <c r="G8728" s="5" t="s">
        <v>54481</v>
      </c>
      <c r="H8728" s="6" t="s">
        <v>54482</v>
      </c>
      <c r="K8728" s="5" t="s">
        <v>54451</v>
      </c>
      <c r="M8728" s="5" t="s">
        <v>54483</v>
      </c>
      <c r="N8728" s="7" t="s">
        <v>54484</v>
      </c>
      <c r="O8728" s="8" t="str">
        <f>HYPERLINK("https://drive.google.com/file/d/1UbsJU2kvW6NXgxuWoD5KznAaQ-yz2WA8/view?usp=drivesdk","8727_SRI SUMARMI _ SERTIFIKAT BerAKHLAK")</f>
        <v>8727_SRI SUMARMI _ SERTIFIKAT BerAKHLAK</v>
      </c>
      <c r="P8728" s="5" t="s">
        <v>54474</v>
      </c>
    </row>
    <row r="8729">
      <c r="A8729" s="4">
        <v>45534.41358320602</v>
      </c>
      <c r="B8729" s="5" t="s">
        <v>34</v>
      </c>
      <c r="D8729" s="5" t="s">
        <v>604</v>
      </c>
      <c r="E8729" s="5" t="s">
        <v>18382</v>
      </c>
      <c r="F8729" s="5" t="s">
        <v>108</v>
      </c>
      <c r="G8729" s="5" t="s">
        <v>18383</v>
      </c>
      <c r="H8729" s="6" t="s">
        <v>54485</v>
      </c>
      <c r="K8729" s="5" t="s">
        <v>54451</v>
      </c>
      <c r="M8729" s="5" t="s">
        <v>54486</v>
      </c>
      <c r="N8729" s="7" t="s">
        <v>54487</v>
      </c>
      <c r="O8729" s="8" t="str">
        <f>HYPERLINK("https://drive.google.com/file/d/1NLLV8vSXgXLQ3QVHObb9Dhi3gKnwSuto/view?usp=drivesdk","8728_AGUSTINA RURU,Amd.Keb _ SERTIFIKAT BerAKHLAK")</f>
        <v>8728_AGUSTINA RURU,Amd.Keb _ SERTIFIKAT BerAKHLAK</v>
      </c>
      <c r="P8729" s="5" t="s">
        <v>54474</v>
      </c>
    </row>
    <row r="8730">
      <c r="A8730" s="4">
        <v>45534.41359278935</v>
      </c>
      <c r="B8730" s="5" t="s">
        <v>34</v>
      </c>
      <c r="D8730" s="5" t="s">
        <v>9020</v>
      </c>
      <c r="E8730" s="5" t="s">
        <v>54488</v>
      </c>
      <c r="F8730" s="5" t="s">
        <v>108</v>
      </c>
      <c r="G8730" s="5" t="s">
        <v>54489</v>
      </c>
      <c r="H8730" s="6" t="s">
        <v>54490</v>
      </c>
      <c r="K8730" s="5" t="s">
        <v>54451</v>
      </c>
      <c r="M8730" s="5" t="s">
        <v>54491</v>
      </c>
      <c r="N8730" s="7" t="s">
        <v>54492</v>
      </c>
      <c r="O8730" s="8" t="str">
        <f>HYPERLINK("https://drive.google.com/file/d/1kcEmE551KYE4JTGk9JfHgchg9NYJmsJb/view?usp=drivesdk","8729_LINCOLN MANALU _ SERTIFIKAT BerAKHLAK")</f>
        <v>8729_LINCOLN MANALU _ SERTIFIKAT BerAKHLAK</v>
      </c>
      <c r="P8730" s="5" t="s">
        <v>54493</v>
      </c>
    </row>
    <row r="8731">
      <c r="A8731" s="4">
        <v>45534.41364947917</v>
      </c>
      <c r="B8731" s="5" t="s">
        <v>34</v>
      </c>
      <c r="D8731" s="5" t="s">
        <v>522</v>
      </c>
      <c r="E8731" s="5" t="s">
        <v>54494</v>
      </c>
      <c r="F8731" s="5" t="s">
        <v>524</v>
      </c>
      <c r="G8731" s="5" t="s">
        <v>54495</v>
      </c>
      <c r="H8731" s="6" t="s">
        <v>54496</v>
      </c>
      <c r="K8731" s="5" t="s">
        <v>54451</v>
      </c>
      <c r="M8731" s="5" t="s">
        <v>54497</v>
      </c>
      <c r="N8731" s="7" t="s">
        <v>54498</v>
      </c>
      <c r="O8731" s="8" t="str">
        <f>HYPERLINK("https://drive.google.com/file/d/1rrQE366EwSQIqUC0N6PWw1paiLEdbTr6/view?usp=drivesdk","8730_FRANSISCUS XAVERIUS CHARLIE GUSTAF NURAK _ SERTIFIKAT BerAKHLAK")</f>
        <v>8730_FRANSISCUS XAVERIUS CHARLIE GUSTAF NURAK _ SERTIFIKAT BerAKHLAK</v>
      </c>
      <c r="P8731" s="5" t="s">
        <v>54493</v>
      </c>
    </row>
    <row r="8732">
      <c r="A8732" s="4">
        <v>45534.413710416666</v>
      </c>
      <c r="B8732" s="5" t="s">
        <v>34</v>
      </c>
      <c r="D8732" s="5" t="s">
        <v>604</v>
      </c>
      <c r="E8732" s="5" t="s">
        <v>54499</v>
      </c>
      <c r="F8732" s="5" t="s">
        <v>375</v>
      </c>
      <c r="G8732" s="5" t="s">
        <v>54500</v>
      </c>
      <c r="H8732" s="6" t="s">
        <v>54501</v>
      </c>
      <c r="K8732" s="5" t="s">
        <v>54451</v>
      </c>
      <c r="M8732" s="5" t="s">
        <v>54502</v>
      </c>
      <c r="N8732" s="7" t="s">
        <v>54503</v>
      </c>
      <c r="O8732" s="8" t="str">
        <f>HYPERLINK("https://drive.google.com/file/d/1gs1MEhH8ByGE55YZx1Y9lOyFgTj2Oajr/view?usp=drivesdk","8731_ASTUTIK, S.E. _ SERTIFIKAT BerAKHLAK")</f>
        <v>8731_ASTUTIK, S.E. _ SERTIFIKAT BerAKHLAK</v>
      </c>
      <c r="P8732" s="5" t="s">
        <v>54493</v>
      </c>
    </row>
    <row r="8733">
      <c r="A8733" s="4">
        <v>45534.41379065972</v>
      </c>
      <c r="B8733" s="5" t="s">
        <v>34</v>
      </c>
      <c r="D8733" s="5" t="s">
        <v>1206</v>
      </c>
      <c r="E8733" s="5" t="s">
        <v>54504</v>
      </c>
      <c r="F8733" s="5" t="s">
        <v>212</v>
      </c>
      <c r="G8733" s="5" t="s">
        <v>54505</v>
      </c>
      <c r="H8733" s="6" t="s">
        <v>54506</v>
      </c>
      <c r="K8733" s="5" t="s">
        <v>54451</v>
      </c>
      <c r="M8733" s="5" t="s">
        <v>54507</v>
      </c>
      <c r="N8733" s="7" t="s">
        <v>54508</v>
      </c>
      <c r="O8733" s="8" t="str">
        <f>HYPERLINK("https://drive.google.com/file/d/1zPNM4b3CfS46_OD2D1i1JF79QjRKKh3h/view?usp=drivesdk","8732_JIRATIN,A.Md.Keb _ SERTIFIKAT BerAKHLAK")</f>
        <v>8732_JIRATIN,A.Md.Keb _ SERTIFIKAT BerAKHLAK</v>
      </c>
      <c r="P8733" s="5" t="s">
        <v>54509</v>
      </c>
    </row>
    <row r="8734">
      <c r="A8734" s="4">
        <v>45534.41385755787</v>
      </c>
      <c r="B8734" s="5" t="s">
        <v>34</v>
      </c>
      <c r="D8734" s="5" t="s">
        <v>12026</v>
      </c>
      <c r="E8734" s="5" t="s">
        <v>54510</v>
      </c>
      <c r="F8734" s="5" t="s">
        <v>37</v>
      </c>
      <c r="G8734" s="5" t="s">
        <v>54511</v>
      </c>
      <c r="H8734" s="6" t="s">
        <v>54512</v>
      </c>
      <c r="K8734" s="5" t="s">
        <v>54451</v>
      </c>
      <c r="M8734" s="5" t="s">
        <v>54513</v>
      </c>
      <c r="N8734" s="7" t="s">
        <v>54514</v>
      </c>
      <c r="O8734" s="8" t="str">
        <f>HYPERLINK("https://drive.google.com/file/d/1cOZVLlbplNPHa2FcBFlOfJ9btv4nkmXq/view?usp=drivesdk","8733_Chalvin Van Duminggus Anugerahno, Amd. Kep _ SERTIFIKAT BerAKHLAK")</f>
        <v>8733_Chalvin Van Duminggus Anugerahno, Amd. Kep _ SERTIFIKAT BerAKHLAK</v>
      </c>
      <c r="P8734" s="5" t="s">
        <v>54509</v>
      </c>
    </row>
    <row r="8735">
      <c r="A8735" s="4">
        <v>45534.41388506944</v>
      </c>
      <c r="B8735" s="5" t="s">
        <v>34</v>
      </c>
      <c r="D8735" s="5" t="s">
        <v>701</v>
      </c>
      <c r="E8735" s="5" t="s">
        <v>54515</v>
      </c>
      <c r="F8735" s="5" t="s">
        <v>37</v>
      </c>
      <c r="G8735" s="5" t="s">
        <v>54516</v>
      </c>
      <c r="H8735" s="6" t="s">
        <v>54517</v>
      </c>
      <c r="K8735" s="5" t="s">
        <v>54451</v>
      </c>
      <c r="M8735" s="5" t="s">
        <v>54518</v>
      </c>
      <c r="N8735" s="7" t="s">
        <v>54519</v>
      </c>
      <c r="O8735" s="8" t="str">
        <f>HYPERLINK("https://drive.google.com/file/d/1gKhx-cMN00PFd3EwqLHbqVksN6HCY0nH/view?usp=drivesdk","8734_DEDI DAHLAN _ SERTIFIKAT BerAKHLAK")</f>
        <v>8734_DEDI DAHLAN _ SERTIFIKAT BerAKHLAK</v>
      </c>
      <c r="P8735" s="5" t="s">
        <v>54509</v>
      </c>
    </row>
    <row r="8736" hidden="1">
      <c r="A8736" s="4">
        <v>45534.41389277778</v>
      </c>
      <c r="B8736" s="5" t="s">
        <v>19</v>
      </c>
      <c r="C8736" s="5" t="s">
        <v>466</v>
      </c>
      <c r="E8736" s="5" t="s">
        <v>54520</v>
      </c>
      <c r="F8736" s="5" t="s">
        <v>375</v>
      </c>
      <c r="G8736" s="5" t="s">
        <v>54521</v>
      </c>
      <c r="H8736" s="6" t="s">
        <v>54522</v>
      </c>
      <c r="K8736" s="5" t="s">
        <v>54451</v>
      </c>
      <c r="M8736" s="5" t="s">
        <v>54523</v>
      </c>
      <c r="N8736" s="7" t="s">
        <v>54524</v>
      </c>
      <c r="O8736" s="8" t="str">
        <f>HYPERLINK("https://drive.google.com/file/d/1dHOUSVp-fb8V_QMf9Oy6ikX4IGe0wUBm/view?usp=drivesdk","8735_TASLIMAH _ SERTIFIKAT BerAKHLAK")</f>
        <v>8735_TASLIMAH _ SERTIFIKAT BerAKHLAK</v>
      </c>
      <c r="P8736" s="5" t="s">
        <v>54525</v>
      </c>
    </row>
    <row r="8737">
      <c r="A8737" s="4">
        <v>45534.41392126157</v>
      </c>
      <c r="B8737" s="5" t="s">
        <v>34</v>
      </c>
      <c r="D8737" s="5" t="s">
        <v>1206</v>
      </c>
      <c r="E8737" s="5" t="s">
        <v>54526</v>
      </c>
      <c r="F8737" s="5" t="s">
        <v>375</v>
      </c>
      <c r="G8737" s="5" t="s">
        <v>54527</v>
      </c>
      <c r="H8737" s="6" t="s">
        <v>54528</v>
      </c>
      <c r="K8737" s="5" t="s">
        <v>54451</v>
      </c>
      <c r="M8737" s="5" t="s">
        <v>54529</v>
      </c>
      <c r="N8737" s="7" t="s">
        <v>54530</v>
      </c>
      <c r="O8737" s="8" t="str">
        <f>HYPERLINK("https://drive.google.com/file/d/1s-5w30MSVHJbb58UVtjf8qglrvujrMBq/view?usp=drivesdk","8736_Sigiet Subiyantoro, Amd.Tek, S.M. _ SERTIFIKAT BerAKHLAK")</f>
        <v>8736_Sigiet Subiyantoro, Amd.Tek, S.M. _ SERTIFIKAT BerAKHLAK</v>
      </c>
      <c r="P8737" s="5" t="s">
        <v>54531</v>
      </c>
    </row>
    <row r="8738">
      <c r="A8738" s="4">
        <v>45534.414169375</v>
      </c>
      <c r="B8738" s="5" t="s">
        <v>34</v>
      </c>
      <c r="D8738" s="5" t="s">
        <v>35</v>
      </c>
      <c r="E8738" s="5" t="s">
        <v>54532</v>
      </c>
      <c r="F8738" s="5" t="s">
        <v>37</v>
      </c>
      <c r="G8738" s="5" t="s">
        <v>54533</v>
      </c>
      <c r="H8738" s="6" t="s">
        <v>54534</v>
      </c>
      <c r="K8738" s="5" t="s">
        <v>54451</v>
      </c>
      <c r="M8738" s="5" t="s">
        <v>54535</v>
      </c>
      <c r="N8738" s="7" t="s">
        <v>54536</v>
      </c>
      <c r="O8738" s="8" t="str">
        <f>HYPERLINK("https://drive.google.com/file/d/1PgQlXMd5dE9tEcaSdmV5C69C8Ln6RXAp/view?usp=drivesdk","8737_ERWIN FATHULLAH HARIWIJAYA _ SERTIFIKAT BerAKHLAK")</f>
        <v>8737_ERWIN FATHULLAH HARIWIJAYA _ SERTIFIKAT BerAKHLAK</v>
      </c>
      <c r="P8738" s="5" t="s">
        <v>54537</v>
      </c>
    </row>
    <row r="8739">
      <c r="A8739" s="4">
        <v>45534.4142196412</v>
      </c>
      <c r="B8739" s="5" t="s">
        <v>34</v>
      </c>
      <c r="D8739" s="5" t="s">
        <v>9020</v>
      </c>
      <c r="E8739" s="5" t="s">
        <v>54538</v>
      </c>
      <c r="F8739" s="5" t="s">
        <v>37</v>
      </c>
      <c r="G8739" s="5" t="s">
        <v>54539</v>
      </c>
      <c r="H8739" s="6" t="s">
        <v>54540</v>
      </c>
      <c r="K8739" s="5" t="s">
        <v>54451</v>
      </c>
      <c r="M8739" s="5" t="s">
        <v>54541</v>
      </c>
      <c r="N8739" s="7" t="s">
        <v>54542</v>
      </c>
      <c r="O8739" s="8" t="str">
        <f>HYPERLINK("https://drive.google.com/file/d/1VmWiSoaMKWPQ_f1MonKXWxR2IaB9cI0C/view?usp=drivesdk","8738_JEFRI SYAM _ SERTIFIKAT BerAKHLAK")</f>
        <v>8738_JEFRI SYAM _ SERTIFIKAT BerAKHLAK</v>
      </c>
      <c r="P8739" s="5" t="s">
        <v>54543</v>
      </c>
    </row>
    <row r="8740">
      <c r="A8740" s="4">
        <v>45534.414237060184</v>
      </c>
      <c r="B8740" s="5" t="s">
        <v>34</v>
      </c>
      <c r="D8740" s="5" t="s">
        <v>1768</v>
      </c>
      <c r="E8740" s="5" t="s">
        <v>54544</v>
      </c>
      <c r="F8740" s="5" t="s">
        <v>37</v>
      </c>
      <c r="G8740" s="5" t="s">
        <v>54545</v>
      </c>
      <c r="H8740" s="6" t="s">
        <v>54546</v>
      </c>
      <c r="K8740" s="5" t="s">
        <v>54451</v>
      </c>
      <c r="M8740" s="5" t="s">
        <v>54547</v>
      </c>
      <c r="N8740" s="7" t="s">
        <v>54548</v>
      </c>
      <c r="O8740" s="8" t="str">
        <f>HYPERLINK("https://drive.google.com/file/d/12TNuoKTBtn-mfPgiGqfe8kUNjpVeeAFG/view?usp=drivesdk","8739_FAJAR HARIYANTO _ SERTIFIKAT BerAKHLAK")</f>
        <v>8739_FAJAR HARIYANTO _ SERTIFIKAT BerAKHLAK</v>
      </c>
      <c r="P8740" s="5" t="s">
        <v>54549</v>
      </c>
    </row>
    <row r="8741">
      <c r="A8741" s="4">
        <v>45534.41424219907</v>
      </c>
      <c r="B8741" s="5" t="s">
        <v>34</v>
      </c>
      <c r="D8741" s="5" t="s">
        <v>9394</v>
      </c>
      <c r="E8741" s="5" t="s">
        <v>54550</v>
      </c>
      <c r="F8741" s="5" t="s">
        <v>72</v>
      </c>
      <c r="G8741" s="5" t="s">
        <v>54551</v>
      </c>
      <c r="H8741" s="6" t="s">
        <v>54552</v>
      </c>
      <c r="K8741" s="5" t="s">
        <v>54451</v>
      </c>
      <c r="M8741" s="5" t="s">
        <v>54553</v>
      </c>
      <c r="N8741" s="7" t="s">
        <v>54554</v>
      </c>
      <c r="O8741" s="8" t="str">
        <f>HYPERLINK("https://drive.google.com/file/d/1_fFnCDOvFd9E1CNxnxxO4VYLIkmvFKUa/view?usp=drivesdk","8740_DENNY, AMK _ SERTIFIKAT BerAKHLAK")</f>
        <v>8740_DENNY, AMK _ SERTIFIKAT BerAKHLAK</v>
      </c>
      <c r="P8741" s="5" t="s">
        <v>54555</v>
      </c>
    </row>
    <row r="8742">
      <c r="A8742" s="4">
        <v>45534.41436306713</v>
      </c>
      <c r="B8742" s="5" t="s">
        <v>34</v>
      </c>
      <c r="D8742" s="5" t="s">
        <v>267</v>
      </c>
      <c r="E8742" s="5" t="s">
        <v>54556</v>
      </c>
      <c r="F8742" s="5" t="s">
        <v>108</v>
      </c>
      <c r="G8742" s="5" t="s">
        <v>54557</v>
      </c>
      <c r="H8742" s="6" t="s">
        <v>54558</v>
      </c>
      <c r="K8742" s="5" t="s">
        <v>54451</v>
      </c>
      <c r="M8742" s="5" t="s">
        <v>54559</v>
      </c>
      <c r="N8742" s="7" t="s">
        <v>54560</v>
      </c>
      <c r="O8742" s="8" t="str">
        <f>HYPERLINK("https://drive.google.com/file/d/1gmTUXXaAz5ST81Ik2fw2LqFF3qyo8s1o/view?usp=drivesdk","8741_PURWINANTI _ SERTIFIKAT BerAKHLAK")</f>
        <v>8741_PURWINANTI _ SERTIFIKAT BerAKHLAK</v>
      </c>
      <c r="P8742" s="5" t="s">
        <v>54561</v>
      </c>
    </row>
    <row r="8743" hidden="1">
      <c r="A8743" s="4">
        <v>45534.414371226856</v>
      </c>
      <c r="B8743" s="5" t="s">
        <v>19</v>
      </c>
      <c r="C8743" s="5" t="s">
        <v>3471</v>
      </c>
      <c r="E8743" s="5" t="s">
        <v>54562</v>
      </c>
      <c r="F8743" s="5" t="s">
        <v>37</v>
      </c>
      <c r="G8743" s="5" t="s">
        <v>54563</v>
      </c>
      <c r="H8743" s="6" t="s">
        <v>54564</v>
      </c>
      <c r="K8743" s="5" t="s">
        <v>54451</v>
      </c>
      <c r="M8743" s="5" t="s">
        <v>54565</v>
      </c>
      <c r="N8743" s="7" t="s">
        <v>54566</v>
      </c>
      <c r="O8743" s="8" t="str">
        <f>HYPERLINK("https://drive.google.com/file/d/19k_bC4ebjOo5duZRGjfvjaQNhPGzSIDP/view?usp=drivesdk","8742_KURNIADI _ SERTIFIKAT BerAKHLAK")</f>
        <v>8742_KURNIADI _ SERTIFIKAT BerAKHLAK</v>
      </c>
      <c r="P8743" s="5" t="s">
        <v>54567</v>
      </c>
    </row>
    <row r="8744">
      <c r="A8744" s="4">
        <v>45534.41439346065</v>
      </c>
      <c r="B8744" s="5" t="s">
        <v>34</v>
      </c>
      <c r="D8744" s="5" t="s">
        <v>4775</v>
      </c>
      <c r="E8744" s="5" t="s">
        <v>54568</v>
      </c>
      <c r="F8744" s="5" t="s">
        <v>72</v>
      </c>
      <c r="G8744" s="5" t="s">
        <v>54569</v>
      </c>
      <c r="H8744" s="6" t="s">
        <v>54570</v>
      </c>
      <c r="K8744" s="5" t="s">
        <v>54451</v>
      </c>
      <c r="M8744" s="5" t="s">
        <v>54571</v>
      </c>
      <c r="N8744" s="7" t="s">
        <v>54572</v>
      </c>
      <c r="O8744" s="8" t="str">
        <f>HYPERLINK("https://drive.google.com/file/d/1JOMDkDMQNAiTHWtjcMDoaX8sBr6qQw1h/view?usp=drivesdk","8743_NILAWATI _ SERTIFIKAT BerAKHLAK")</f>
        <v>8743_NILAWATI _ SERTIFIKAT BerAKHLAK</v>
      </c>
      <c r="P8744" s="5" t="s">
        <v>54573</v>
      </c>
    </row>
    <row r="8745" hidden="1">
      <c r="A8745" s="4">
        <v>45534.41441452546</v>
      </c>
      <c r="B8745" s="5" t="s">
        <v>19</v>
      </c>
      <c r="C8745" s="5" t="s">
        <v>442</v>
      </c>
      <c r="E8745" s="5" t="s">
        <v>54574</v>
      </c>
      <c r="F8745" s="5" t="s">
        <v>715</v>
      </c>
      <c r="G8745" s="5" t="s">
        <v>54575</v>
      </c>
      <c r="H8745" s="6" t="s">
        <v>54576</v>
      </c>
      <c r="K8745" s="5" t="s">
        <v>54451</v>
      </c>
      <c r="M8745" s="5" t="s">
        <v>54577</v>
      </c>
      <c r="N8745" s="7" t="s">
        <v>54578</v>
      </c>
      <c r="O8745" s="8" t="str">
        <f>HYPERLINK("https://drive.google.com/file/d/16IjvnOugomU9_p395o5psVlQcbCceLl_/view?usp=drivesdk","8744_YATI SUMYATI,S.E. _ SERTIFIKAT BerAKHLAK")</f>
        <v>8744_YATI SUMYATI,S.E. _ SERTIFIKAT BerAKHLAK</v>
      </c>
      <c r="P8745" s="5" t="s">
        <v>54579</v>
      </c>
    </row>
    <row r="8746">
      <c r="A8746" s="4">
        <v>45534.41448881944</v>
      </c>
      <c r="B8746" s="5" t="s">
        <v>34</v>
      </c>
      <c r="D8746" s="5" t="s">
        <v>9394</v>
      </c>
      <c r="E8746" s="5" t="s">
        <v>54580</v>
      </c>
      <c r="F8746" s="5" t="s">
        <v>524</v>
      </c>
      <c r="G8746" s="5" t="s">
        <v>54581</v>
      </c>
      <c r="H8746" s="6" t="s">
        <v>54582</v>
      </c>
      <c r="K8746" s="5" t="s">
        <v>54451</v>
      </c>
      <c r="M8746" s="5" t="s">
        <v>54583</v>
      </c>
      <c r="N8746" s="7" t="s">
        <v>54584</v>
      </c>
      <c r="O8746" s="8" t="str">
        <f>HYPERLINK("https://drive.google.com/file/d/1K6Ml8ljzb8acwIVSsApDT2rblAtY41VC/view?usp=drivesdk","8745_LUSIANA _ SERTIFIKAT BerAKHLAK")</f>
        <v>8745_LUSIANA _ SERTIFIKAT BerAKHLAK</v>
      </c>
      <c r="P8746" s="5" t="s">
        <v>54585</v>
      </c>
    </row>
    <row r="8747">
      <c r="A8747" s="4">
        <v>45534.4145231713</v>
      </c>
      <c r="B8747" s="5" t="s">
        <v>34</v>
      </c>
      <c r="D8747" s="5" t="s">
        <v>14313</v>
      </c>
      <c r="E8747" s="5" t="s">
        <v>54586</v>
      </c>
      <c r="F8747" s="5" t="s">
        <v>120</v>
      </c>
      <c r="G8747" s="5" t="s">
        <v>54587</v>
      </c>
      <c r="H8747" s="6" t="s">
        <v>54588</v>
      </c>
      <c r="K8747" s="5" t="s">
        <v>54451</v>
      </c>
      <c r="M8747" s="5" t="s">
        <v>54589</v>
      </c>
      <c r="N8747" s="7" t="s">
        <v>54590</v>
      </c>
      <c r="O8747" s="8" t="str">
        <f>HYPERLINK("https://drive.google.com/file/d/1c1vNvu1qU-vvkYv-Ic90q-nMW4M4-JX5/view?usp=drivesdk","8746_Selvi Ariani, S.H., M.Si. _ SERTIFIKAT BerAKHLAK")</f>
        <v>8746_Selvi Ariani, S.H., M.Si. _ SERTIFIKAT BerAKHLAK</v>
      </c>
      <c r="P8747" s="5" t="s">
        <v>54591</v>
      </c>
    </row>
    <row r="8748">
      <c r="A8748" s="4">
        <v>45534.41454065972</v>
      </c>
      <c r="B8748" s="5" t="s">
        <v>34</v>
      </c>
      <c r="D8748" s="5" t="s">
        <v>10444</v>
      </c>
      <c r="E8748" s="5" t="s">
        <v>54592</v>
      </c>
      <c r="F8748" s="5" t="s">
        <v>212</v>
      </c>
      <c r="G8748" s="5" t="s">
        <v>54593</v>
      </c>
      <c r="H8748" s="6" t="s">
        <v>54594</v>
      </c>
      <c r="K8748" s="5" t="s">
        <v>54451</v>
      </c>
      <c r="M8748" s="5" t="s">
        <v>54595</v>
      </c>
      <c r="N8748" s="7" t="s">
        <v>54596</v>
      </c>
      <c r="O8748" s="8" t="str">
        <f>HYPERLINK("https://drive.google.com/file/d/1-nZekrTkQpRF2iccLMaRKRNh2SadoaFI/view?usp=drivesdk","8747_SURANTO  _ SERTIFIKAT BerAKHLAK")</f>
        <v>8747_SURANTO  _ SERTIFIKAT BerAKHLAK</v>
      </c>
      <c r="P8748" s="5" t="s">
        <v>54597</v>
      </c>
    </row>
    <row r="8749">
      <c r="A8749" s="4">
        <v>45534.4145483912</v>
      </c>
      <c r="B8749" s="5" t="s">
        <v>34</v>
      </c>
      <c r="D8749" s="5" t="s">
        <v>9020</v>
      </c>
      <c r="E8749" s="5" t="s">
        <v>54598</v>
      </c>
      <c r="F8749" s="5" t="s">
        <v>375</v>
      </c>
      <c r="G8749" s="5" t="s">
        <v>54599</v>
      </c>
      <c r="H8749" s="6" t="s">
        <v>54600</v>
      </c>
      <c r="K8749" s="5" t="s">
        <v>54451</v>
      </c>
      <c r="M8749" s="5" t="s">
        <v>54601</v>
      </c>
      <c r="N8749" s="7" t="s">
        <v>54602</v>
      </c>
      <c r="O8749" s="8" t="str">
        <f>HYPERLINK("https://drive.google.com/file/d/1QD4bhAUgVsJOMKRz2sWK3WbRHIXrXhhL/view?usp=drivesdk","8748_SUBRAWADI, S.Sos _ SERTIFIKAT BerAKHLAK")</f>
        <v>8748_SUBRAWADI, S.Sos _ SERTIFIKAT BerAKHLAK</v>
      </c>
      <c r="P8749" s="5" t="s">
        <v>54603</v>
      </c>
    </row>
    <row r="8750">
      <c r="A8750" s="4">
        <v>45534.4145578125</v>
      </c>
      <c r="B8750" s="5" t="s">
        <v>34</v>
      </c>
      <c r="D8750" s="5" t="s">
        <v>1206</v>
      </c>
      <c r="E8750" s="5" t="s">
        <v>54604</v>
      </c>
      <c r="F8750" s="5" t="s">
        <v>37</v>
      </c>
      <c r="G8750" s="5" t="s">
        <v>54605</v>
      </c>
      <c r="H8750" s="6" t="s">
        <v>54606</v>
      </c>
      <c r="K8750" s="5" t="s">
        <v>54451</v>
      </c>
      <c r="M8750" s="5" t="s">
        <v>54607</v>
      </c>
      <c r="N8750" s="7" t="s">
        <v>54608</v>
      </c>
      <c r="O8750" s="8" t="str">
        <f>HYPERLINK("https://drive.google.com/file/d/1NwHPgJFcLyRswjZALB6TOHPH0cHUx29B/view?usp=drivesdk","8749_SUTIYA _ SERTIFIKAT BerAKHLAK")</f>
        <v>8749_SUTIYA _ SERTIFIKAT BerAKHLAK</v>
      </c>
      <c r="P8750" s="5" t="s">
        <v>54609</v>
      </c>
    </row>
    <row r="8751">
      <c r="A8751" s="4">
        <v>45534.41468162037</v>
      </c>
      <c r="B8751" s="5" t="s">
        <v>34</v>
      </c>
      <c r="D8751" s="5" t="s">
        <v>9394</v>
      </c>
      <c r="E8751" s="5" t="s">
        <v>54610</v>
      </c>
      <c r="F8751" s="5" t="s">
        <v>72</v>
      </c>
      <c r="G8751" s="5" t="s">
        <v>54611</v>
      </c>
      <c r="H8751" s="6" t="s">
        <v>54612</v>
      </c>
      <c r="K8751" s="5" t="s">
        <v>54451</v>
      </c>
      <c r="M8751" s="5" t="s">
        <v>54613</v>
      </c>
      <c r="N8751" s="7" t="s">
        <v>54614</v>
      </c>
      <c r="O8751" s="8" t="str">
        <f>HYPERLINK("https://drive.google.com/file/d/1jmPiFpXl_CDQ9Ze6H5FXrruz47JQRWjr/view?usp=drivesdk","8750_APRIANA FAJARWATI _ SERTIFIKAT BerAKHLAK")</f>
        <v>8750_APRIANA FAJARWATI _ SERTIFIKAT BerAKHLAK</v>
      </c>
      <c r="P8751" s="5" t="s">
        <v>54615</v>
      </c>
    </row>
    <row r="8752" hidden="1">
      <c r="A8752" s="4">
        <v>45534.414718252316</v>
      </c>
      <c r="B8752" s="5" t="s">
        <v>19</v>
      </c>
      <c r="C8752" s="5" t="s">
        <v>5058</v>
      </c>
      <c r="E8752" s="5" t="s">
        <v>54616</v>
      </c>
      <c r="F8752" s="5" t="s">
        <v>37</v>
      </c>
      <c r="G8752" s="5" t="s">
        <v>54617</v>
      </c>
      <c r="H8752" s="6" t="s">
        <v>54618</v>
      </c>
      <c r="K8752" s="5" t="s">
        <v>54451</v>
      </c>
      <c r="M8752" s="5" t="s">
        <v>54619</v>
      </c>
      <c r="N8752" s="7" t="s">
        <v>54620</v>
      </c>
      <c r="O8752" s="8" t="str">
        <f>HYPERLINK("https://drive.google.com/file/d/1MILoFsNsAaGdR2U6kmGqhjDJcHe3qKNy/view?usp=drivesdk","8751_YUNIAWAN ISKANDAR  _ SERTIFIKAT BerAKHLAK")</f>
        <v>8751_YUNIAWAN ISKANDAR  _ SERTIFIKAT BerAKHLAK</v>
      </c>
      <c r="P8752" s="5" t="s">
        <v>54621</v>
      </c>
    </row>
    <row r="8753">
      <c r="A8753" s="4">
        <v>45534.41476002315</v>
      </c>
      <c r="B8753" s="5" t="s">
        <v>34</v>
      </c>
      <c r="D8753" s="5" t="s">
        <v>10444</v>
      </c>
      <c r="E8753" s="5" t="s">
        <v>54622</v>
      </c>
      <c r="F8753" s="5" t="s">
        <v>375</v>
      </c>
      <c r="G8753" s="5" t="s">
        <v>54623</v>
      </c>
      <c r="H8753" s="6" t="s">
        <v>54624</v>
      </c>
      <c r="K8753" s="5" t="s">
        <v>54451</v>
      </c>
      <c r="M8753" s="5" t="s">
        <v>54625</v>
      </c>
      <c r="N8753" s="7" t="s">
        <v>54626</v>
      </c>
      <c r="O8753" s="8" t="str">
        <f>HYPERLINK("https://drive.google.com/file/d/1fXIN-mSkeSbtM1zk27RNaMBTcXtNPD1Z/view?usp=drivesdk","8752_ENDANG KUSWATI _ SERTIFIKAT BerAKHLAK")</f>
        <v>8752_ENDANG KUSWATI _ SERTIFIKAT BerAKHLAK</v>
      </c>
      <c r="P8753" s="5" t="s">
        <v>54627</v>
      </c>
    </row>
    <row r="8754">
      <c r="A8754" s="4">
        <v>45534.41484960648</v>
      </c>
      <c r="B8754" s="5" t="s">
        <v>34</v>
      </c>
      <c r="D8754" s="5" t="s">
        <v>11913</v>
      </c>
      <c r="E8754" s="5" t="s">
        <v>54628</v>
      </c>
      <c r="F8754" s="5" t="s">
        <v>72</v>
      </c>
      <c r="G8754" s="5" t="s">
        <v>54629</v>
      </c>
      <c r="H8754" s="6" t="s">
        <v>54630</v>
      </c>
      <c r="K8754" s="5" t="s">
        <v>54631</v>
      </c>
      <c r="M8754" s="5" t="s">
        <v>54632</v>
      </c>
      <c r="N8754" s="7" t="s">
        <v>54633</v>
      </c>
      <c r="O8754" s="8" t="str">
        <f>HYPERLINK("https://drive.google.com/file/d/1MXQwN92_Ss-LmjNd6DGD4R2s8_8S21-z/view?usp=drivesdk","8753_Ni Luh Ketut Komala Dewi,Amd.Kep.,S.Kep _ SERTIFIKAT BerAKHLAK")</f>
        <v>8753_Ni Luh Ketut Komala Dewi,Amd.Kep.,S.Kep _ SERTIFIKAT BerAKHLAK</v>
      </c>
      <c r="P8754" s="5" t="s">
        <v>54634</v>
      </c>
    </row>
    <row r="8755">
      <c r="A8755" s="4">
        <v>45534.41487329861</v>
      </c>
      <c r="B8755" s="5" t="s">
        <v>34</v>
      </c>
      <c r="D8755" s="5" t="s">
        <v>1558</v>
      </c>
      <c r="E8755" s="5" t="s">
        <v>54635</v>
      </c>
      <c r="F8755" s="5" t="s">
        <v>524</v>
      </c>
      <c r="G8755" s="5" t="s">
        <v>54636</v>
      </c>
      <c r="H8755" s="6" t="s">
        <v>54637</v>
      </c>
      <c r="K8755" s="5" t="s">
        <v>54631</v>
      </c>
      <c r="M8755" s="5" t="s">
        <v>54638</v>
      </c>
      <c r="N8755" s="7" t="s">
        <v>54639</v>
      </c>
      <c r="O8755" s="8" t="str">
        <f>HYPERLINK("https://drive.google.com/file/d/1G3r0xiRCfk1CkhrJYINhgAjFn8kInS5D/view?usp=drivesdk","8754_SATORI _ SERTIFIKAT BerAKHLAK")</f>
        <v>8754_SATORI _ SERTIFIKAT BerAKHLAK</v>
      </c>
      <c r="P8755" s="5" t="s">
        <v>54640</v>
      </c>
    </row>
    <row r="8756" hidden="1">
      <c r="A8756" s="4">
        <v>45534.41488642361</v>
      </c>
      <c r="B8756" s="5" t="s">
        <v>19</v>
      </c>
      <c r="C8756" s="5" t="s">
        <v>1606</v>
      </c>
      <c r="E8756" s="5" t="s">
        <v>54641</v>
      </c>
      <c r="F8756" s="5" t="s">
        <v>72</v>
      </c>
      <c r="G8756" s="5" t="s">
        <v>54642</v>
      </c>
      <c r="H8756" s="6" t="s">
        <v>54643</v>
      </c>
      <c r="K8756" s="5" t="s">
        <v>54644</v>
      </c>
      <c r="M8756" s="5" t="s">
        <v>54645</v>
      </c>
      <c r="N8756" s="7" t="s">
        <v>54646</v>
      </c>
      <c r="O8756" s="8" t="str">
        <f>HYPERLINK("https://drive.google.com/file/d/1zzuwbBT7XHTeoQpxrUZHBTzXq5QIY1SP/view?usp=drivesdk","8755_ACHMAD NURCHOLIK, S.SI, M.M. _ SERTIFIKAT BerAKHLAK")</f>
        <v>8755_ACHMAD NURCHOLIK, S.SI, M.M. _ SERTIFIKAT BerAKHLAK</v>
      </c>
      <c r="P8756" s="5" t="s">
        <v>54647</v>
      </c>
    </row>
    <row r="8757" hidden="1">
      <c r="A8757" s="4">
        <v>45534.41502377315</v>
      </c>
      <c r="B8757" s="5" t="s">
        <v>19</v>
      </c>
      <c r="C8757" s="5" t="s">
        <v>20</v>
      </c>
      <c r="E8757" s="5" t="s">
        <v>50181</v>
      </c>
      <c r="F8757" s="5" t="s">
        <v>212</v>
      </c>
      <c r="G8757" s="5" t="s">
        <v>50182</v>
      </c>
      <c r="H8757" s="6" t="s">
        <v>54648</v>
      </c>
      <c r="K8757" s="5" t="s">
        <v>54649</v>
      </c>
      <c r="M8757" s="5" t="s">
        <v>54650</v>
      </c>
      <c r="N8757" s="7" t="s">
        <v>54651</v>
      </c>
      <c r="O8757" s="8" t="str">
        <f>HYPERLINK("https://drive.google.com/file/d/1AR6siu_tIXvLQfC1Kbj6CcQYbjrpSiOs/view?usp=drivesdk","8756_TITIK SULISTYANINGRUM _ SERTIFIKAT BerAKHLAK")</f>
        <v>8756_TITIK SULISTYANINGRUM _ SERTIFIKAT BerAKHLAK</v>
      </c>
      <c r="P8757" s="5" t="s">
        <v>54652</v>
      </c>
    </row>
    <row r="8758" hidden="1">
      <c r="A8758" s="4">
        <v>45534.41506151621</v>
      </c>
      <c r="B8758" s="5" t="s">
        <v>19</v>
      </c>
      <c r="C8758" s="5" t="s">
        <v>315</v>
      </c>
      <c r="E8758" s="5" t="s">
        <v>54653</v>
      </c>
      <c r="F8758" s="5" t="s">
        <v>72</v>
      </c>
      <c r="G8758" s="5" t="s">
        <v>54654</v>
      </c>
      <c r="H8758" s="6" t="s">
        <v>54655</v>
      </c>
      <c r="K8758" s="5" t="s">
        <v>54656</v>
      </c>
      <c r="M8758" s="5" t="s">
        <v>54657</v>
      </c>
      <c r="N8758" s="7" t="s">
        <v>54658</v>
      </c>
      <c r="O8758" s="8" t="str">
        <f>HYPERLINK("https://drive.google.com/file/d/1SaIU6rRHibHMk01H4EJrUQ6wzic0j-SG/view?usp=drivesdk","8757_AHMAD FIKRI HADI, M.Hum _ SERTIFIKAT BerAKHLAK")</f>
        <v>8757_AHMAD FIKRI HADI, M.Hum _ SERTIFIKAT BerAKHLAK</v>
      </c>
      <c r="P8758" s="5" t="s">
        <v>54659</v>
      </c>
    </row>
    <row r="8759">
      <c r="A8759" s="4">
        <v>45534.41506185185</v>
      </c>
      <c r="B8759" s="5" t="s">
        <v>34</v>
      </c>
      <c r="D8759" s="5" t="s">
        <v>12010</v>
      </c>
      <c r="E8759" s="5" t="s">
        <v>54660</v>
      </c>
      <c r="F8759" s="5" t="s">
        <v>715</v>
      </c>
      <c r="G8759" s="5" t="s">
        <v>54661</v>
      </c>
      <c r="H8759" s="6" t="s">
        <v>54662</v>
      </c>
      <c r="K8759" s="5" t="s">
        <v>54656</v>
      </c>
      <c r="M8759" s="5" t="s">
        <v>54663</v>
      </c>
      <c r="N8759" s="7" t="s">
        <v>54664</v>
      </c>
      <c r="O8759" s="8" t="str">
        <f>HYPERLINK("https://drive.google.com/file/d/16uUC-T6xroVQQ-CLP0XeUfki2NrBw--j/view?usp=drivesdk","8758_TITIN CANDRA HANAPI, SE _ SERTIFIKAT BerAKHLAK")</f>
        <v>8758_TITIN CANDRA HANAPI, SE _ SERTIFIKAT BerAKHLAK</v>
      </c>
      <c r="P8759" s="5" t="s">
        <v>54665</v>
      </c>
    </row>
    <row r="8760" hidden="1">
      <c r="A8760" s="4">
        <v>45534.41508795139</v>
      </c>
      <c r="B8760" s="5" t="s">
        <v>19</v>
      </c>
      <c r="C8760" s="5" t="s">
        <v>292</v>
      </c>
      <c r="E8760" s="5" t="s">
        <v>54666</v>
      </c>
      <c r="F8760" s="5" t="s">
        <v>524</v>
      </c>
      <c r="G8760" s="5" t="s">
        <v>54667</v>
      </c>
      <c r="H8760" s="6" t="s">
        <v>54668</v>
      </c>
      <c r="K8760" s="5" t="s">
        <v>54669</v>
      </c>
      <c r="M8760" s="5" t="s">
        <v>54670</v>
      </c>
      <c r="N8760" s="7" t="s">
        <v>54671</v>
      </c>
      <c r="O8760" s="8" t="str">
        <f>HYPERLINK("https://drive.google.com/file/d/19DwqNxIRx7YAursANtXfqDaMlOlCbmOU/view?usp=drivesdk","8759_IKHDA ISWATIN HASANAH _ SERTIFIKAT BerAKHLAK")</f>
        <v>8759_IKHDA ISWATIN HASANAH _ SERTIFIKAT BerAKHLAK</v>
      </c>
      <c r="P8760" s="5" t="s">
        <v>54672</v>
      </c>
    </row>
    <row r="8761">
      <c r="A8761" s="4">
        <v>45534.41510866898</v>
      </c>
      <c r="B8761" s="5" t="s">
        <v>34</v>
      </c>
      <c r="D8761" s="5" t="s">
        <v>3432</v>
      </c>
      <c r="E8761" s="5" t="s">
        <v>54673</v>
      </c>
      <c r="F8761" s="5" t="s">
        <v>108</v>
      </c>
      <c r="G8761" s="5" t="s">
        <v>54674</v>
      </c>
      <c r="H8761" s="6" t="s">
        <v>54675</v>
      </c>
      <c r="K8761" s="5" t="s">
        <v>54676</v>
      </c>
      <c r="M8761" s="5" t="s">
        <v>54677</v>
      </c>
      <c r="N8761" s="7" t="s">
        <v>54678</v>
      </c>
      <c r="O8761" s="8" t="str">
        <f>HYPERLINK("https://drive.google.com/file/d/1OuBdfVQthBGm4EvDA5RIwmIp5LUozrbm/view?usp=drivesdk","8760_RACHMAWATY KURNIASARI, S.Farm.,Apt _ SERTIFIKAT BerAKHLAK")</f>
        <v>8760_RACHMAWATY KURNIASARI, S.Farm.,Apt _ SERTIFIKAT BerAKHLAK</v>
      </c>
      <c r="P8761" s="5" t="s">
        <v>54679</v>
      </c>
    </row>
    <row r="8762" hidden="1">
      <c r="A8762" s="4">
        <v>45534.41511717593</v>
      </c>
      <c r="B8762" s="5" t="s">
        <v>19</v>
      </c>
      <c r="C8762" s="5" t="s">
        <v>292</v>
      </c>
      <c r="E8762" s="5" t="s">
        <v>54680</v>
      </c>
      <c r="F8762" s="5" t="s">
        <v>120</v>
      </c>
      <c r="G8762" s="5" t="s">
        <v>54681</v>
      </c>
      <c r="H8762" s="6" t="s">
        <v>54682</v>
      </c>
      <c r="K8762" s="5" t="s">
        <v>54676</v>
      </c>
      <c r="M8762" s="5" t="s">
        <v>54683</v>
      </c>
      <c r="N8762" s="7" t="s">
        <v>54684</v>
      </c>
      <c r="O8762" s="8" t="str">
        <f>HYPERLINK("https://drive.google.com/file/d/1A-6c6vsiN63Dtr09p9rRJ_amitgIUvQf/view?usp=drivesdk","8761_LENNY FITRIA INDRAYANI _ SERTIFIKAT BerAKHLAK")</f>
        <v>8761_LENNY FITRIA INDRAYANI _ SERTIFIKAT BerAKHLAK</v>
      </c>
      <c r="P8762" s="5" t="s">
        <v>54685</v>
      </c>
    </row>
    <row r="8763">
      <c r="A8763" s="4">
        <v>45534.41513444444</v>
      </c>
      <c r="B8763" s="5" t="s">
        <v>34</v>
      </c>
      <c r="D8763" s="5" t="s">
        <v>14313</v>
      </c>
      <c r="E8763" s="5" t="s">
        <v>54686</v>
      </c>
      <c r="F8763" s="5" t="s">
        <v>120</v>
      </c>
      <c r="G8763" s="5" t="s">
        <v>54687</v>
      </c>
      <c r="H8763" s="6" t="s">
        <v>54688</v>
      </c>
      <c r="K8763" s="5" t="s">
        <v>54689</v>
      </c>
      <c r="M8763" s="5" t="s">
        <v>54690</v>
      </c>
      <c r="N8763" s="7" t="s">
        <v>54691</v>
      </c>
      <c r="O8763" s="8" t="str">
        <f>HYPERLINK("https://drive.google.com/file/d/1BAofIuwW0XXUQbpCoe-wla-3wn5HTkgr/view?usp=drivesdk","8762_HERLINA KARIM, S.Si., Apt.,M.Adm.Kes _ SERTIFIKAT BerAKHLAK")</f>
        <v>8762_HERLINA KARIM, S.Si., Apt.,M.Adm.Kes _ SERTIFIKAT BerAKHLAK</v>
      </c>
      <c r="P8763" s="5" t="s">
        <v>54692</v>
      </c>
    </row>
    <row r="8764">
      <c r="A8764" s="4">
        <v>45534.41514319445</v>
      </c>
      <c r="B8764" s="5" t="s">
        <v>34</v>
      </c>
      <c r="D8764" s="5" t="s">
        <v>35</v>
      </c>
      <c r="E8764" s="5" t="s">
        <v>54693</v>
      </c>
      <c r="F8764" s="5" t="s">
        <v>524</v>
      </c>
      <c r="G8764" s="5" t="s">
        <v>54694</v>
      </c>
      <c r="H8764" s="6" t="s">
        <v>54695</v>
      </c>
      <c r="K8764" s="5" t="s">
        <v>54689</v>
      </c>
      <c r="M8764" s="5" t="s">
        <v>54696</v>
      </c>
      <c r="N8764" s="7" t="s">
        <v>54697</v>
      </c>
      <c r="O8764" s="8" t="str">
        <f>HYPERLINK("https://drive.google.com/file/d/1SMcjsmlIXytK25xkTm1EO6kk2tmOlRvv/view?usp=drivesdk","8763_FERRY RUSTIAWAN, AMd _ SERTIFIKAT BerAKHLAK")</f>
        <v>8763_FERRY RUSTIAWAN, AMd _ SERTIFIKAT BerAKHLAK</v>
      </c>
      <c r="P8764" s="5" t="s">
        <v>54698</v>
      </c>
    </row>
    <row r="8765">
      <c r="A8765" s="4">
        <v>45534.41515877315</v>
      </c>
      <c r="B8765" s="5" t="s">
        <v>34</v>
      </c>
      <c r="D8765" s="5" t="s">
        <v>9020</v>
      </c>
      <c r="E8765" s="5" t="s">
        <v>54699</v>
      </c>
      <c r="F8765" s="5" t="s">
        <v>524</v>
      </c>
      <c r="G8765" s="5" t="s">
        <v>54700</v>
      </c>
      <c r="H8765" s="6" t="s">
        <v>54701</v>
      </c>
      <c r="K8765" s="5" t="s">
        <v>54689</v>
      </c>
      <c r="M8765" s="5" t="s">
        <v>54702</v>
      </c>
      <c r="N8765" s="7" t="s">
        <v>54703</v>
      </c>
      <c r="O8765" s="8" t="str">
        <f>HYPERLINK("https://drive.google.com/file/d/1aYcuUegZb1tqc4cMT1AJ1qLF7A6jpEAd/view?usp=drivesdk","8764_MARLIANA TAMI _ SERTIFIKAT BerAKHLAK")</f>
        <v>8764_MARLIANA TAMI _ SERTIFIKAT BerAKHLAK</v>
      </c>
      <c r="P8765" s="5" t="s">
        <v>54704</v>
      </c>
    </row>
    <row r="8766">
      <c r="A8766" s="4">
        <v>45534.41518314814</v>
      </c>
      <c r="B8766" s="5" t="s">
        <v>34</v>
      </c>
      <c r="D8766" s="5" t="s">
        <v>1558</v>
      </c>
      <c r="E8766" s="5" t="s">
        <v>54705</v>
      </c>
      <c r="F8766" s="5" t="s">
        <v>37</v>
      </c>
      <c r="G8766" s="5" t="s">
        <v>54706</v>
      </c>
      <c r="H8766" s="6" t="s">
        <v>54707</v>
      </c>
      <c r="K8766" s="5" t="s">
        <v>54708</v>
      </c>
      <c r="M8766" s="5" t="s">
        <v>54709</v>
      </c>
      <c r="N8766" s="7" t="s">
        <v>54710</v>
      </c>
      <c r="O8766" s="8" t="str">
        <f>HYPERLINK("https://drive.google.com/file/d/1AvTaNepxL9hrbulpLASQra8S9FSyLO74/view?usp=drivesdk","8765_DIAN ANGGRAINI _ SERTIFIKAT BerAKHLAK")</f>
        <v>8765_DIAN ANGGRAINI _ SERTIFIKAT BerAKHLAK</v>
      </c>
      <c r="P8766" s="5" t="s">
        <v>54711</v>
      </c>
    </row>
    <row r="8767" hidden="1">
      <c r="A8767" s="4">
        <v>45534.41527388889</v>
      </c>
      <c r="B8767" s="5" t="s">
        <v>19</v>
      </c>
      <c r="C8767" s="5" t="s">
        <v>32901</v>
      </c>
      <c r="E8767" s="5" t="s">
        <v>54712</v>
      </c>
      <c r="F8767" s="5" t="s">
        <v>108</v>
      </c>
      <c r="G8767" s="5" t="s">
        <v>54713</v>
      </c>
      <c r="H8767" s="6" t="s">
        <v>54714</v>
      </c>
      <c r="K8767" s="5" t="s">
        <v>54715</v>
      </c>
      <c r="M8767" s="5" t="s">
        <v>54716</v>
      </c>
      <c r="N8767" s="7" t="s">
        <v>54717</v>
      </c>
      <c r="O8767" s="8" t="str">
        <f>HYPERLINK("https://drive.google.com/file/d/1GgGbllta1J3f2YDiHMkCxAZvD8XnnJbr/view?usp=drivesdk","8766_TRIYATNO NUGROHO, A.Md. _ SERTIFIKAT BerAKHLAK")</f>
        <v>8766_TRIYATNO NUGROHO, A.Md. _ SERTIFIKAT BerAKHLAK</v>
      </c>
      <c r="P8767" s="5" t="s">
        <v>54718</v>
      </c>
    </row>
    <row r="8768" hidden="1">
      <c r="A8768" s="4">
        <v>45534.415379004626</v>
      </c>
      <c r="B8768" s="5" t="s">
        <v>19</v>
      </c>
      <c r="C8768" s="5" t="s">
        <v>292</v>
      </c>
      <c r="E8768" s="5" t="s">
        <v>54719</v>
      </c>
      <c r="F8768" s="5" t="s">
        <v>120</v>
      </c>
      <c r="G8768" s="5" t="s">
        <v>54720</v>
      </c>
      <c r="H8768" s="6" t="s">
        <v>54721</v>
      </c>
      <c r="K8768" s="5" t="s">
        <v>54722</v>
      </c>
      <c r="M8768" s="5" t="s">
        <v>54723</v>
      </c>
      <c r="N8768" s="7" t="s">
        <v>54724</v>
      </c>
      <c r="O8768" s="8" t="str">
        <f>HYPERLINK("https://drive.google.com/file/d/1DJ_xAmgqi5Mbz9YIxgsLD-ChkWR-xpBh/view?usp=drivesdk","8767_TOTO PRASETIO  _ SERTIFIKAT BerAKHLAK")</f>
        <v>8767_TOTO PRASETIO  _ SERTIFIKAT BerAKHLAK</v>
      </c>
      <c r="P8768" s="5" t="s">
        <v>54725</v>
      </c>
    </row>
    <row r="8769">
      <c r="A8769" s="4">
        <v>45534.41543298611</v>
      </c>
      <c r="B8769" s="5" t="s">
        <v>34</v>
      </c>
      <c r="D8769" s="5" t="s">
        <v>1692</v>
      </c>
      <c r="E8769" s="5" t="s">
        <v>54726</v>
      </c>
      <c r="F8769" s="5" t="s">
        <v>108</v>
      </c>
      <c r="G8769" s="5" t="s">
        <v>54727</v>
      </c>
      <c r="H8769" s="6" t="s">
        <v>54728</v>
      </c>
      <c r="K8769" s="5" t="s">
        <v>54729</v>
      </c>
      <c r="M8769" s="5" t="s">
        <v>54730</v>
      </c>
      <c r="N8769" s="7" t="s">
        <v>54731</v>
      </c>
      <c r="O8769" s="8" t="str">
        <f>HYPERLINK("https://drive.google.com/file/d/1yRO7YbSNrn6t6Jm-UovQnesPkZUOXvJq/view?usp=drivesdk","8768_Massario Fransano Mairuhu _ SERTIFIKAT BerAKHLAK")</f>
        <v>8768_Massario Fransano Mairuhu _ SERTIFIKAT BerAKHLAK</v>
      </c>
      <c r="P8769" s="5" t="s">
        <v>54732</v>
      </c>
    </row>
    <row r="8770">
      <c r="A8770" s="4">
        <v>45534.41547922454</v>
      </c>
      <c r="B8770" s="5" t="s">
        <v>34</v>
      </c>
      <c r="D8770" s="5" t="s">
        <v>4775</v>
      </c>
      <c r="E8770" s="5" t="s">
        <v>54733</v>
      </c>
      <c r="F8770" s="5" t="s">
        <v>120</v>
      </c>
      <c r="G8770" s="5" t="s">
        <v>54734</v>
      </c>
      <c r="H8770" s="6" t="s">
        <v>54735</v>
      </c>
      <c r="K8770" s="5" t="s">
        <v>54736</v>
      </c>
      <c r="M8770" s="5" t="s">
        <v>54737</v>
      </c>
      <c r="N8770" s="7" t="s">
        <v>54738</v>
      </c>
      <c r="O8770" s="8" t="str">
        <f>HYPERLINK("https://drive.google.com/file/d/1RP5HMojJcPvMjWBXVB4gSEt5bhXYz-je/view?usp=drivesdk","8769_RINI TRI ISMIYATI, S. H., M. M _ SERTIFIKAT BerAKHLAK")</f>
        <v>8769_RINI TRI ISMIYATI, S. H., M. M _ SERTIFIKAT BerAKHLAK</v>
      </c>
      <c r="P8770" s="5" t="s">
        <v>54739</v>
      </c>
    </row>
    <row r="8771">
      <c r="A8771" s="4">
        <v>45534.41548265047</v>
      </c>
      <c r="B8771" s="5" t="s">
        <v>34</v>
      </c>
      <c r="D8771" s="5" t="s">
        <v>1206</v>
      </c>
      <c r="E8771" s="5" t="s">
        <v>54740</v>
      </c>
      <c r="F8771" s="5" t="s">
        <v>375</v>
      </c>
      <c r="G8771" s="5" t="s">
        <v>54741</v>
      </c>
      <c r="H8771" s="6" t="s">
        <v>54742</v>
      </c>
      <c r="K8771" s="5" t="s">
        <v>54736</v>
      </c>
      <c r="M8771" s="5" t="s">
        <v>54743</v>
      </c>
      <c r="N8771" s="7" t="s">
        <v>54744</v>
      </c>
      <c r="O8771" s="8" t="str">
        <f>HYPERLINK("https://drive.google.com/file/d/1p5cUHuwFq35MC-I5yvDyHtd564iEzzsS/view?usp=drivesdk","8770_Drs. AGUNG PURBAWANTO _ SERTIFIKAT BerAKHLAK")</f>
        <v>8770_Drs. AGUNG PURBAWANTO _ SERTIFIKAT BerAKHLAK</v>
      </c>
      <c r="P8771" s="5" t="s">
        <v>54745</v>
      </c>
    </row>
    <row r="8772">
      <c r="A8772" s="4">
        <v>45534.41548273148</v>
      </c>
      <c r="B8772" s="5" t="s">
        <v>34</v>
      </c>
      <c r="D8772" s="5" t="s">
        <v>35</v>
      </c>
      <c r="E8772" s="5" t="s">
        <v>54746</v>
      </c>
      <c r="F8772" s="5" t="s">
        <v>37</v>
      </c>
      <c r="G8772" s="5" t="s">
        <v>54747</v>
      </c>
      <c r="H8772" s="6" t="s">
        <v>54748</v>
      </c>
      <c r="K8772" s="5" t="s">
        <v>54736</v>
      </c>
      <c r="M8772" s="5" t="s">
        <v>54749</v>
      </c>
      <c r="N8772" s="7" t="s">
        <v>54750</v>
      </c>
      <c r="O8772" s="8" t="str">
        <f>HYPERLINK("https://drive.google.com/file/d/1u2aNhwc2760DzGv4pW8_WQ_ZAYbYlSI0/view?usp=drivesdk","8771_AAN MARDJONO _ SERTIFIKAT BerAKHLAK")</f>
        <v>8771_AAN MARDJONO _ SERTIFIKAT BerAKHLAK</v>
      </c>
      <c r="P8772" s="5" t="s">
        <v>54751</v>
      </c>
    </row>
    <row r="8773" hidden="1">
      <c r="A8773" s="4">
        <v>45534.41550192129</v>
      </c>
      <c r="B8773" s="5" t="s">
        <v>19</v>
      </c>
      <c r="C8773" s="5" t="s">
        <v>292</v>
      </c>
      <c r="E8773" s="5" t="s">
        <v>54752</v>
      </c>
      <c r="F8773" s="5" t="s">
        <v>108</v>
      </c>
      <c r="G8773" s="5" t="s">
        <v>54753</v>
      </c>
      <c r="H8773" s="6" t="s">
        <v>54754</v>
      </c>
      <c r="K8773" s="5" t="s">
        <v>54736</v>
      </c>
      <c r="M8773" s="5" t="s">
        <v>54755</v>
      </c>
      <c r="N8773" s="7" t="s">
        <v>54756</v>
      </c>
      <c r="O8773" s="8" t="str">
        <f>HYPERLINK("https://drive.google.com/file/d/1d1NUAmQdUGzozvPS3Qqk82DP5rUaeXo_/view?usp=drivesdk","8772_FITRI PRAMESTI, S.PD _ SERTIFIKAT BerAKHLAK")</f>
        <v>8772_FITRI PRAMESTI, S.PD _ SERTIFIKAT BerAKHLAK</v>
      </c>
      <c r="P8773" s="5" t="s">
        <v>54757</v>
      </c>
    </row>
    <row r="8774">
      <c r="A8774" s="4">
        <v>45534.415520208335</v>
      </c>
      <c r="B8774" s="5" t="s">
        <v>34</v>
      </c>
      <c r="D8774" s="5" t="s">
        <v>35</v>
      </c>
      <c r="E8774" s="5" t="s">
        <v>54758</v>
      </c>
      <c r="F8774" s="5" t="s">
        <v>375</v>
      </c>
      <c r="G8774" s="5" t="s">
        <v>54759</v>
      </c>
      <c r="H8774" s="6" t="s">
        <v>54760</v>
      </c>
      <c r="K8774" s="5" t="s">
        <v>54736</v>
      </c>
      <c r="M8774" s="5" t="s">
        <v>54761</v>
      </c>
      <c r="N8774" s="7" t="s">
        <v>54762</v>
      </c>
      <c r="O8774" s="8" t="str">
        <f>HYPERLINK("https://drive.google.com/file/d/1CBBmUPawXyvkCigjKdZEaSAfSgbRMnXp/view?usp=drivesdk","8773_dr. Indri Aderni, M. Biomed _ SERTIFIKAT BerAKHLAK")</f>
        <v>8773_dr. Indri Aderni, M. Biomed _ SERTIFIKAT BerAKHLAK</v>
      </c>
      <c r="P8774" s="5" t="s">
        <v>54763</v>
      </c>
    </row>
    <row r="8775">
      <c r="A8775" s="4">
        <v>45534.41556084491</v>
      </c>
      <c r="B8775" s="5" t="s">
        <v>34</v>
      </c>
      <c r="D8775" s="5" t="s">
        <v>6232</v>
      </c>
      <c r="E8775" s="5" t="s">
        <v>54764</v>
      </c>
      <c r="F8775" s="5" t="s">
        <v>37</v>
      </c>
      <c r="G8775" s="5" t="s">
        <v>54765</v>
      </c>
      <c r="H8775" s="6" t="s">
        <v>54766</v>
      </c>
      <c r="K8775" s="5" t="s">
        <v>54767</v>
      </c>
      <c r="M8775" s="5" t="s">
        <v>54768</v>
      </c>
      <c r="N8775" s="7" t="s">
        <v>54769</v>
      </c>
      <c r="O8775" s="8" t="str">
        <f>HYPERLINK("https://drive.google.com/file/d/1wHMwtAEFeYBoRU6-Fe1ARL5L8xeMa_7l/view?usp=drivesdk","8774_PARINA  _ SERTIFIKAT BerAKHLAK")</f>
        <v>8774_PARINA  _ SERTIFIKAT BerAKHLAK</v>
      </c>
      <c r="P8775" s="5" t="s">
        <v>54770</v>
      </c>
    </row>
    <row r="8776">
      <c r="A8776" s="4">
        <v>45534.41558318287</v>
      </c>
      <c r="B8776" s="5" t="s">
        <v>34</v>
      </c>
      <c r="D8776" s="5" t="s">
        <v>1206</v>
      </c>
      <c r="E8776" s="5" t="s">
        <v>54771</v>
      </c>
      <c r="F8776" s="5" t="s">
        <v>212</v>
      </c>
      <c r="G8776" s="5" t="s">
        <v>54772</v>
      </c>
      <c r="H8776" s="6" t="s">
        <v>54773</v>
      </c>
      <c r="K8776" s="5" t="s">
        <v>54774</v>
      </c>
      <c r="M8776" s="5" t="s">
        <v>54775</v>
      </c>
      <c r="N8776" s="7" t="s">
        <v>54776</v>
      </c>
      <c r="O8776" s="8" t="str">
        <f>HYPERLINK("https://drive.google.com/file/d/161VXuLUjg-CYm-9V_VkKLw40YsBoWb2U/view?usp=drivesdk","8775_UTAMININGSIH _ SERTIFIKAT BerAKHLAK")</f>
        <v>8775_UTAMININGSIH _ SERTIFIKAT BerAKHLAK</v>
      </c>
      <c r="P8776" s="5" t="s">
        <v>54777</v>
      </c>
    </row>
    <row r="8777">
      <c r="A8777" s="4">
        <v>45534.41560663194</v>
      </c>
      <c r="B8777" s="5" t="s">
        <v>34</v>
      </c>
      <c r="D8777" s="5" t="s">
        <v>1206</v>
      </c>
      <c r="E8777" s="5" t="s">
        <v>54778</v>
      </c>
      <c r="F8777" s="5" t="s">
        <v>37</v>
      </c>
      <c r="G8777" s="5" t="s">
        <v>54779</v>
      </c>
      <c r="H8777" s="6" t="s">
        <v>54780</v>
      </c>
      <c r="K8777" s="5" t="s">
        <v>54781</v>
      </c>
      <c r="M8777" s="5" t="s">
        <v>54782</v>
      </c>
      <c r="N8777" s="7" t="s">
        <v>54783</v>
      </c>
      <c r="O8777" s="8" t="str">
        <f>HYPERLINK("https://drive.google.com/file/d/1dxdTB01muw7Ab9IiNG-s76i3MsYxSv-5/view?usp=drivesdk","8776_LAMODI _ SERTIFIKAT BerAKHLAK")</f>
        <v>8776_LAMODI _ SERTIFIKAT BerAKHLAK</v>
      </c>
      <c r="P8777" s="5" t="s">
        <v>54784</v>
      </c>
    </row>
    <row r="8778">
      <c r="A8778" s="4">
        <v>45534.415636273145</v>
      </c>
      <c r="B8778" s="5" t="s">
        <v>34</v>
      </c>
      <c r="D8778" s="5" t="s">
        <v>1558</v>
      </c>
      <c r="E8778" s="5" t="s">
        <v>14568</v>
      </c>
      <c r="F8778" s="5" t="s">
        <v>212</v>
      </c>
      <c r="G8778" s="5" t="s">
        <v>54785</v>
      </c>
      <c r="H8778" s="6" t="s">
        <v>54786</v>
      </c>
      <c r="K8778" s="5" t="s">
        <v>54781</v>
      </c>
      <c r="M8778" s="5" t="s">
        <v>54787</v>
      </c>
      <c r="N8778" s="7" t="s">
        <v>54788</v>
      </c>
      <c r="O8778" s="8" t="str">
        <f>HYPERLINK("https://drive.google.com/file/d/179HJaefMsRNz9d0fUbd1-RTomsaIW3p0/view?usp=drivesdk","8777_SUHARTINI _ SERTIFIKAT BerAKHLAK")</f>
        <v>8777_SUHARTINI _ SERTIFIKAT BerAKHLAK</v>
      </c>
      <c r="P8778" s="5" t="s">
        <v>54789</v>
      </c>
    </row>
    <row r="8779">
      <c r="A8779" s="4">
        <v>45534.41564597222</v>
      </c>
      <c r="B8779" s="5" t="s">
        <v>34</v>
      </c>
      <c r="D8779" s="5" t="s">
        <v>580</v>
      </c>
      <c r="E8779" s="5" t="s">
        <v>54790</v>
      </c>
      <c r="F8779" s="5" t="s">
        <v>328</v>
      </c>
      <c r="G8779" s="5" t="s">
        <v>54791</v>
      </c>
      <c r="H8779" s="6" t="s">
        <v>54792</v>
      </c>
      <c r="K8779" s="5" t="s">
        <v>54793</v>
      </c>
      <c r="M8779" s="5" t="s">
        <v>54794</v>
      </c>
      <c r="N8779" s="7" t="s">
        <v>54795</v>
      </c>
      <c r="O8779" s="8" t="str">
        <f>HYPERLINK("https://drive.google.com/file/d/1VeT8BvhyCCnYQWJhy7nc9ZWRmgNgScdD/view?usp=drivesdk","8778_I NYOMAN WARDANA _ SERTIFIKAT BerAKHLAK")</f>
        <v>8778_I NYOMAN WARDANA _ SERTIFIKAT BerAKHLAK</v>
      </c>
      <c r="P8779" s="5" t="s">
        <v>54796</v>
      </c>
    </row>
    <row r="8780">
      <c r="A8780" s="4">
        <v>45534.415661921295</v>
      </c>
      <c r="B8780" s="5" t="s">
        <v>34</v>
      </c>
      <c r="D8780" s="5" t="s">
        <v>1558</v>
      </c>
      <c r="E8780" s="5" t="s">
        <v>36540</v>
      </c>
      <c r="F8780" s="5" t="s">
        <v>212</v>
      </c>
      <c r="G8780" s="5" t="s">
        <v>54797</v>
      </c>
      <c r="H8780" s="6" t="s">
        <v>54798</v>
      </c>
      <c r="K8780" s="5" t="s">
        <v>54793</v>
      </c>
      <c r="M8780" s="5" t="s">
        <v>54799</v>
      </c>
      <c r="N8780" s="7" t="s">
        <v>54800</v>
      </c>
      <c r="O8780" s="8" t="str">
        <f>HYPERLINK("https://drive.google.com/file/d/13Q5vnL1bejsTuVkyA4ZQ11JW-uH8emYR/view?usp=drivesdk","8779_SUPRIYANTO _ SERTIFIKAT BerAKHLAK")</f>
        <v>8779_SUPRIYANTO _ SERTIFIKAT BerAKHLAK</v>
      </c>
      <c r="P8780" s="5" t="s">
        <v>54801</v>
      </c>
    </row>
    <row r="8781">
      <c r="A8781" s="4">
        <v>45534.41571792824</v>
      </c>
      <c r="B8781" s="5" t="s">
        <v>34</v>
      </c>
      <c r="D8781" s="5" t="s">
        <v>9020</v>
      </c>
      <c r="E8781" s="5" t="s">
        <v>54802</v>
      </c>
      <c r="F8781" s="5" t="s">
        <v>375</v>
      </c>
      <c r="G8781" s="5" t="s">
        <v>54803</v>
      </c>
      <c r="H8781" s="6" t="s">
        <v>54804</v>
      </c>
      <c r="K8781" s="5" t="s">
        <v>54805</v>
      </c>
      <c r="M8781" s="5" t="s">
        <v>54806</v>
      </c>
      <c r="N8781" s="7" t="s">
        <v>54807</v>
      </c>
      <c r="O8781" s="8" t="str">
        <f>HYPERLINK("https://drive.google.com/file/d/1mLiGWLLHU_1wVBpAtvEoz1mvVviDQmAw/view?usp=drivesdk","8780_NURMALA SITORUS ,SKM.,MKM. _ SERTIFIKAT BerAKHLAK")</f>
        <v>8780_NURMALA SITORUS ,SKM.,MKM. _ SERTIFIKAT BerAKHLAK</v>
      </c>
      <c r="P8781" s="5" t="s">
        <v>54808</v>
      </c>
    </row>
    <row r="8782" hidden="1">
      <c r="A8782" s="4">
        <v>45534.415783460645</v>
      </c>
      <c r="B8782" s="5" t="s">
        <v>19</v>
      </c>
      <c r="C8782" s="5" t="s">
        <v>292</v>
      </c>
      <c r="E8782" s="5" t="s">
        <v>54809</v>
      </c>
      <c r="F8782" s="5" t="s">
        <v>375</v>
      </c>
      <c r="G8782" s="5" t="s">
        <v>54810</v>
      </c>
      <c r="H8782" s="6" t="s">
        <v>54811</v>
      </c>
      <c r="K8782" s="5" t="s">
        <v>54812</v>
      </c>
      <c r="M8782" s="5" t="s">
        <v>54813</v>
      </c>
      <c r="N8782" s="7" t="s">
        <v>54814</v>
      </c>
      <c r="O8782" s="8" t="str">
        <f>HYPERLINK("https://drive.google.com/file/d/1VvTYpEIuPI7GVlPer2DPoztP1-ilEWg6/view?usp=drivesdk","8781_AMBAR KURNIASARI, S.T. _ SERTIFIKAT BerAKHLAK")</f>
        <v>8781_AMBAR KURNIASARI, S.T. _ SERTIFIKAT BerAKHLAK</v>
      </c>
      <c r="P8782" s="5" t="s">
        <v>54815</v>
      </c>
    </row>
    <row r="8783" hidden="1">
      <c r="A8783" s="4">
        <v>45534.4157871412</v>
      </c>
      <c r="B8783" s="5" t="s">
        <v>19</v>
      </c>
      <c r="C8783" s="5" t="s">
        <v>292</v>
      </c>
      <c r="E8783" s="5" t="s">
        <v>54816</v>
      </c>
      <c r="F8783" s="5" t="s">
        <v>120</v>
      </c>
      <c r="G8783" s="5" t="s">
        <v>54817</v>
      </c>
      <c r="H8783" s="6" t="s">
        <v>54818</v>
      </c>
      <c r="K8783" s="5" t="s">
        <v>54812</v>
      </c>
      <c r="M8783" s="5" t="s">
        <v>54819</v>
      </c>
      <c r="N8783" s="7" t="s">
        <v>54820</v>
      </c>
      <c r="O8783" s="8" t="str">
        <f>HYPERLINK("https://drive.google.com/file/d/1l4vAJ1HwSdY098F0XzNFmBjN0CH8Y6US/view?usp=drivesdk","8782_NURJANAH SSI APT  _ SERTIFIKAT BerAKHLAK")</f>
        <v>8782_NURJANAH SSI APT  _ SERTIFIKAT BerAKHLAK</v>
      </c>
      <c r="P8783" s="5" t="s">
        <v>54821</v>
      </c>
    </row>
    <row r="8784">
      <c r="A8784" s="4">
        <v>45534.41587997685</v>
      </c>
      <c r="B8784" s="5" t="s">
        <v>34</v>
      </c>
      <c r="D8784" s="5" t="s">
        <v>35</v>
      </c>
      <c r="E8784" s="5" t="s">
        <v>54822</v>
      </c>
      <c r="F8784" s="5" t="s">
        <v>524</v>
      </c>
      <c r="G8784" s="5" t="s">
        <v>54823</v>
      </c>
      <c r="H8784" s="6" t="s">
        <v>54824</v>
      </c>
      <c r="K8784" s="5" t="s">
        <v>54825</v>
      </c>
      <c r="M8784" s="5" t="s">
        <v>54826</v>
      </c>
      <c r="N8784" s="7" t="s">
        <v>54827</v>
      </c>
      <c r="O8784" s="8" t="str">
        <f>HYPERLINK("https://drive.google.com/file/d/1fG-IzjKgQzQAdASrs1MdEZrADkGtD9dz/view?usp=drivesdk","8783_AISAH,AMK _ SERTIFIKAT BerAKHLAK")</f>
        <v>8783_AISAH,AMK _ SERTIFIKAT BerAKHLAK</v>
      </c>
      <c r="P8784" s="5" t="s">
        <v>54828</v>
      </c>
    </row>
    <row r="8785">
      <c r="A8785" s="4">
        <v>45534.415914791665</v>
      </c>
      <c r="B8785" s="5" t="s">
        <v>34</v>
      </c>
      <c r="D8785" s="5" t="s">
        <v>9394</v>
      </c>
      <c r="E8785" s="5" t="s">
        <v>54829</v>
      </c>
      <c r="F8785" s="5" t="s">
        <v>72</v>
      </c>
      <c r="G8785" s="5" t="s">
        <v>54830</v>
      </c>
      <c r="H8785" s="6" t="s">
        <v>54831</v>
      </c>
      <c r="K8785" s="5" t="s">
        <v>54825</v>
      </c>
      <c r="M8785" s="5" t="s">
        <v>54832</v>
      </c>
      <c r="N8785" s="7" t="s">
        <v>54833</v>
      </c>
      <c r="O8785" s="8" t="str">
        <f>HYPERLINK("https://drive.google.com/file/d/195tzgty_Niy4T11xiLxa_-3319k3xtm5/view?usp=drivesdk","8784_Romega Sri H Sinaga _ SERTIFIKAT BerAKHLAK")</f>
        <v>8784_Romega Sri H Sinaga _ SERTIFIKAT BerAKHLAK</v>
      </c>
      <c r="P8785" s="5" t="s">
        <v>54834</v>
      </c>
    </row>
    <row r="8786">
      <c r="A8786" s="4">
        <v>45534.41592501158</v>
      </c>
      <c r="B8786" s="5" t="s">
        <v>34</v>
      </c>
      <c r="D8786" s="5" t="s">
        <v>35</v>
      </c>
      <c r="E8786" s="5" t="s">
        <v>54835</v>
      </c>
      <c r="F8786" s="5" t="s">
        <v>108</v>
      </c>
      <c r="G8786" s="5" t="s">
        <v>54836</v>
      </c>
      <c r="H8786" s="6" t="s">
        <v>54837</v>
      </c>
      <c r="K8786" s="5" t="s">
        <v>54825</v>
      </c>
      <c r="M8786" s="5" t="s">
        <v>54838</v>
      </c>
      <c r="N8786" s="7" t="s">
        <v>54839</v>
      </c>
      <c r="O8786" s="8" t="str">
        <f>HYPERLINK("https://drive.google.com/file/d/19XzRrXamh2_SF6jm7M5KfDoJlGRwjtWU/view?usp=drivesdk","8785_ROSIDQ BR SITINJAK, AMDKEB _ SERTIFIKAT BerAKHLAK")</f>
        <v>8785_ROSIDQ BR SITINJAK, AMDKEB _ SERTIFIKAT BerAKHLAK</v>
      </c>
      <c r="P8786" s="5" t="s">
        <v>54840</v>
      </c>
    </row>
    <row r="8787">
      <c r="A8787" s="4">
        <v>45534.41593743056</v>
      </c>
      <c r="B8787" s="5" t="s">
        <v>34</v>
      </c>
      <c r="D8787" s="5" t="s">
        <v>4775</v>
      </c>
      <c r="E8787" s="5" t="s">
        <v>54841</v>
      </c>
      <c r="F8787" s="5" t="s">
        <v>37</v>
      </c>
      <c r="G8787" s="5" t="s">
        <v>54842</v>
      </c>
      <c r="H8787" s="6" t="s">
        <v>54843</v>
      </c>
      <c r="K8787" s="5" t="s">
        <v>54825</v>
      </c>
      <c r="M8787" s="5" t="s">
        <v>54844</v>
      </c>
      <c r="N8787" s="7" t="s">
        <v>54845</v>
      </c>
      <c r="O8787" s="8" t="str">
        <f>HYPERLINK("https://drive.google.com/file/d/1YLgJyccUVYTG26QZj9D312JgkXtbnZIw/view?usp=drivesdk","8786_DURJANI _ SERTIFIKAT BerAKHLAK")</f>
        <v>8786_DURJANI _ SERTIFIKAT BerAKHLAK</v>
      </c>
      <c r="P8787" s="5" t="s">
        <v>54846</v>
      </c>
    </row>
    <row r="8788">
      <c r="A8788" s="4">
        <v>45534.416007314816</v>
      </c>
      <c r="B8788" s="5" t="s">
        <v>34</v>
      </c>
      <c r="D8788" s="5" t="s">
        <v>522</v>
      </c>
      <c r="E8788" s="5" t="s">
        <v>51188</v>
      </c>
      <c r="F8788" s="5" t="s">
        <v>328</v>
      </c>
      <c r="G8788" s="5" t="s">
        <v>54847</v>
      </c>
      <c r="H8788" s="6" t="s">
        <v>54848</v>
      </c>
      <c r="K8788" s="5" t="s">
        <v>54825</v>
      </c>
      <c r="M8788" s="5" t="s">
        <v>54849</v>
      </c>
      <c r="N8788" s="7" t="s">
        <v>54850</v>
      </c>
      <c r="O8788" s="8" t="str">
        <f>HYPERLINK("https://drive.google.com/file/d/1imVzo-Dg3bcHFSFGPVSvGqOvu7KIz49E/view?usp=drivesdk","8787_AHMAD JAELANI _ SERTIFIKAT BerAKHLAK")</f>
        <v>8787_AHMAD JAELANI _ SERTIFIKAT BerAKHLAK</v>
      </c>
      <c r="P8788" s="5" t="s">
        <v>54851</v>
      </c>
    </row>
    <row r="8789">
      <c r="A8789" s="4">
        <v>45534.416047824074</v>
      </c>
      <c r="B8789" s="5" t="s">
        <v>34</v>
      </c>
      <c r="D8789" s="5" t="s">
        <v>3432</v>
      </c>
      <c r="E8789" s="5" t="s">
        <v>54852</v>
      </c>
      <c r="F8789" s="5" t="s">
        <v>37</v>
      </c>
      <c r="G8789" s="5" t="s">
        <v>54853</v>
      </c>
      <c r="H8789" s="6" t="s">
        <v>54854</v>
      </c>
      <c r="K8789" s="5" t="s">
        <v>54825</v>
      </c>
      <c r="M8789" s="5" t="s">
        <v>54855</v>
      </c>
      <c r="N8789" s="7" t="s">
        <v>54856</v>
      </c>
      <c r="O8789" s="8" t="str">
        <f>HYPERLINK("https://drive.google.com/file/d/1IG85nnQgt6mEevYf3DnzmWzoB_45UhZ0/view?usp=drivesdk","8788_RASNIATY SAPSUHA _ SERTIFIKAT BerAKHLAK")</f>
        <v>8788_RASNIATY SAPSUHA _ SERTIFIKAT BerAKHLAK</v>
      </c>
      <c r="P8789" s="5" t="s">
        <v>54857</v>
      </c>
    </row>
    <row r="8790">
      <c r="A8790" s="4">
        <v>45534.41615549769</v>
      </c>
      <c r="B8790" s="5" t="s">
        <v>34</v>
      </c>
      <c r="D8790" s="5" t="s">
        <v>1456</v>
      </c>
      <c r="E8790" s="5" t="s">
        <v>54858</v>
      </c>
      <c r="F8790" s="5" t="s">
        <v>212</v>
      </c>
      <c r="G8790" s="5" t="s">
        <v>54859</v>
      </c>
      <c r="H8790" s="6" t="s">
        <v>54860</v>
      </c>
      <c r="K8790" s="5" t="s">
        <v>54825</v>
      </c>
      <c r="M8790" s="5" t="s">
        <v>54861</v>
      </c>
      <c r="N8790" s="7" t="s">
        <v>54862</v>
      </c>
      <c r="O8790" s="8" t="str">
        <f>HYPERLINK("https://drive.google.com/file/d/15awGZ6S7dZY5XwpTR7v8LGtl6hVKqz53/view?usp=drivesdk","8789_ROHMAD AFRIAWAN _ SERTIFIKAT BerAKHLAK")</f>
        <v>8789_ROHMAD AFRIAWAN _ SERTIFIKAT BerAKHLAK</v>
      </c>
      <c r="P8790" s="5" t="s">
        <v>54863</v>
      </c>
    </row>
    <row r="8791">
      <c r="A8791" s="4">
        <v>45534.41624893519</v>
      </c>
      <c r="B8791" s="5" t="s">
        <v>34</v>
      </c>
      <c r="D8791" s="5" t="s">
        <v>1558</v>
      </c>
      <c r="E8791" s="5" t="s">
        <v>54864</v>
      </c>
      <c r="F8791" s="5" t="s">
        <v>37</v>
      </c>
      <c r="G8791" s="5" t="s">
        <v>54865</v>
      </c>
      <c r="H8791" s="6" t="s">
        <v>54866</v>
      </c>
      <c r="K8791" s="5" t="s">
        <v>54867</v>
      </c>
      <c r="M8791" s="5" t="s">
        <v>54868</v>
      </c>
      <c r="N8791" s="7" t="s">
        <v>54869</v>
      </c>
      <c r="O8791" s="8" t="str">
        <f>HYPERLINK("https://drive.google.com/file/d/1slUZGrLCRdpQWWN5EwzUGqOD-PGT_ijI/view?usp=drivesdk","8790_IRA PITRIA, A.Md.Kep _ SERTIFIKAT BerAKHLAK")</f>
        <v>8790_IRA PITRIA, A.Md.Kep _ SERTIFIKAT BerAKHLAK</v>
      </c>
      <c r="P8791" s="5" t="s">
        <v>54870</v>
      </c>
    </row>
    <row r="8792">
      <c r="A8792" s="4">
        <v>45534.41629068287</v>
      </c>
      <c r="B8792" s="5" t="s">
        <v>34</v>
      </c>
      <c r="D8792" s="5" t="s">
        <v>1206</v>
      </c>
      <c r="E8792" s="5" t="s">
        <v>54871</v>
      </c>
      <c r="F8792" s="5" t="s">
        <v>37</v>
      </c>
      <c r="G8792" s="5" t="s">
        <v>54872</v>
      </c>
      <c r="H8792" s="6" t="s">
        <v>54873</v>
      </c>
      <c r="K8792" s="5" t="s">
        <v>54867</v>
      </c>
      <c r="M8792" s="5" t="s">
        <v>54874</v>
      </c>
      <c r="N8792" s="7" t="s">
        <v>54875</v>
      </c>
      <c r="O8792" s="8" t="str">
        <f>HYPERLINK("https://drive.google.com/file/d/1jsUcYnDqAAqV0ppKTM5xBd6hyCrPaTsb/view?usp=drivesdk","8791_IMAM MAKRUF  _ SERTIFIKAT BerAKHLAK")</f>
        <v>8791_IMAM MAKRUF  _ SERTIFIKAT BerAKHLAK</v>
      </c>
      <c r="P8792" s="5" t="s">
        <v>54876</v>
      </c>
    </row>
    <row r="8793">
      <c r="A8793" s="4">
        <v>45534.41629306713</v>
      </c>
      <c r="B8793" s="5" t="s">
        <v>34</v>
      </c>
      <c r="D8793" s="5" t="s">
        <v>267</v>
      </c>
      <c r="E8793" s="5" t="s">
        <v>54877</v>
      </c>
      <c r="F8793" s="5" t="s">
        <v>212</v>
      </c>
      <c r="G8793" s="5" t="s">
        <v>54878</v>
      </c>
      <c r="H8793" s="6" t="s">
        <v>54879</v>
      </c>
      <c r="K8793" s="5" t="s">
        <v>54867</v>
      </c>
      <c r="M8793" s="5" t="s">
        <v>54880</v>
      </c>
      <c r="N8793" s="7" t="s">
        <v>54881</v>
      </c>
      <c r="O8793" s="8" t="str">
        <f>HYPERLINK("https://drive.google.com/file/d/1kZ9JLCkR3K_dSm9QcGMhh5CakHnXOi_f/view?usp=drivesdk","8792_SUCI KURNIAWATI, S.Kep _ SERTIFIKAT BerAKHLAK")</f>
        <v>8792_SUCI KURNIAWATI, S.Kep _ SERTIFIKAT BerAKHLAK</v>
      </c>
      <c r="P8793" s="5" t="s">
        <v>54882</v>
      </c>
    </row>
    <row r="8794">
      <c r="A8794" s="4">
        <v>45534.416342372686</v>
      </c>
      <c r="B8794" s="5" t="s">
        <v>34</v>
      </c>
      <c r="D8794" s="5" t="s">
        <v>4775</v>
      </c>
      <c r="E8794" s="5" t="s">
        <v>30695</v>
      </c>
      <c r="F8794" s="5" t="s">
        <v>37</v>
      </c>
      <c r="G8794" s="5" t="s">
        <v>30696</v>
      </c>
      <c r="H8794" s="6" t="s">
        <v>54883</v>
      </c>
      <c r="K8794" s="5" t="s">
        <v>54884</v>
      </c>
      <c r="M8794" s="5" t="s">
        <v>54885</v>
      </c>
      <c r="N8794" s="7" t="s">
        <v>54886</v>
      </c>
      <c r="O8794" s="8" t="str">
        <f>HYPERLINK("https://drive.google.com/file/d/1qfOx0uL2-BVt0fN6W4vp9_l5zmVrWBbB/view?usp=drivesdk","8793_JULIAN SHADEN MANDANI, A.Md.Kom. _ SERTIFIKAT BerAKHLAK")</f>
        <v>8793_JULIAN SHADEN MANDANI, A.Md.Kom. _ SERTIFIKAT BerAKHLAK</v>
      </c>
      <c r="P8794" s="5" t="s">
        <v>54887</v>
      </c>
    </row>
    <row r="8795">
      <c r="A8795" s="4">
        <v>45534.41634902778</v>
      </c>
      <c r="B8795" s="5" t="s">
        <v>34</v>
      </c>
      <c r="D8795" s="5" t="s">
        <v>6232</v>
      </c>
      <c r="E8795" s="5" t="s">
        <v>54888</v>
      </c>
      <c r="F8795" s="5" t="s">
        <v>108</v>
      </c>
      <c r="G8795" s="5" t="s">
        <v>54889</v>
      </c>
      <c r="H8795" s="6" t="s">
        <v>54890</v>
      </c>
      <c r="K8795" s="5" t="s">
        <v>54884</v>
      </c>
      <c r="M8795" s="5" t="s">
        <v>54891</v>
      </c>
      <c r="N8795" s="7" t="s">
        <v>54892</v>
      </c>
      <c r="O8795" s="8" t="str">
        <f>HYPERLINK("https://drive.google.com/file/d/1SYy3K43GiwPOb-x1aVzTqTMqehhU_pCx/view?usp=drivesdk","8794_BUDI SUSILO _ SERTIFIKAT BerAKHLAK")</f>
        <v>8794_BUDI SUSILO _ SERTIFIKAT BerAKHLAK</v>
      </c>
      <c r="P8795" s="5" t="s">
        <v>54893</v>
      </c>
    </row>
    <row r="8796" hidden="1">
      <c r="A8796" s="4">
        <v>45534.416386655095</v>
      </c>
      <c r="B8796" s="5" t="s">
        <v>19</v>
      </c>
      <c r="C8796" s="5" t="s">
        <v>466</v>
      </c>
      <c r="E8796" s="5" t="s">
        <v>54894</v>
      </c>
      <c r="F8796" s="5" t="s">
        <v>212</v>
      </c>
      <c r="G8796" s="5" t="s">
        <v>54895</v>
      </c>
      <c r="H8796" s="6" t="s">
        <v>54896</v>
      </c>
      <c r="K8796" s="5" t="s">
        <v>54884</v>
      </c>
      <c r="M8796" s="5" t="s">
        <v>54897</v>
      </c>
      <c r="N8796" s="7" t="s">
        <v>54898</v>
      </c>
      <c r="O8796" s="8" t="str">
        <f>HYPERLINK("https://drive.google.com/file/d/1R_03mKUoAvA5Q_9I-FAC_zSHuRKmv45o/view?usp=drivesdk","8795_DIAH AYU _ SERTIFIKAT BerAKHLAK")</f>
        <v>8795_DIAH AYU _ SERTIFIKAT BerAKHLAK</v>
      </c>
      <c r="P8796" s="5" t="s">
        <v>54899</v>
      </c>
    </row>
    <row r="8797" hidden="1">
      <c r="A8797" s="4">
        <v>45534.41640802083</v>
      </c>
      <c r="B8797" s="5" t="s">
        <v>19</v>
      </c>
      <c r="C8797" s="5" t="s">
        <v>45988</v>
      </c>
      <c r="E8797" s="5" t="s">
        <v>54900</v>
      </c>
      <c r="F8797" s="5" t="s">
        <v>524</v>
      </c>
      <c r="G8797" s="5" t="s">
        <v>54901</v>
      </c>
      <c r="H8797" s="6" t="s">
        <v>54902</v>
      </c>
      <c r="K8797" s="5" t="s">
        <v>54884</v>
      </c>
      <c r="M8797" s="5" t="s">
        <v>54903</v>
      </c>
      <c r="N8797" s="7" t="s">
        <v>54904</v>
      </c>
      <c r="O8797" s="8" t="str">
        <f>HYPERLINK("https://drive.google.com/file/d/1VOIABFVMUAfFnSvDSS_He6y1ZuTCZZCD/view?usp=drivesdk","8796_YUDI PERWIRA _ SERTIFIKAT BerAKHLAK")</f>
        <v>8796_YUDI PERWIRA _ SERTIFIKAT BerAKHLAK</v>
      </c>
      <c r="P8797" s="5" t="s">
        <v>54905</v>
      </c>
    </row>
    <row r="8798">
      <c r="A8798" s="4">
        <v>45534.41643150463</v>
      </c>
      <c r="B8798" s="5" t="s">
        <v>34</v>
      </c>
      <c r="D8798" s="5" t="s">
        <v>975</v>
      </c>
      <c r="E8798" s="5" t="s">
        <v>54906</v>
      </c>
      <c r="F8798" s="5" t="s">
        <v>108</v>
      </c>
      <c r="G8798" s="5" t="s">
        <v>54907</v>
      </c>
      <c r="H8798" s="6" t="s">
        <v>54908</v>
      </c>
      <c r="K8798" s="5" t="s">
        <v>54884</v>
      </c>
      <c r="M8798" s="5" t="s">
        <v>54909</v>
      </c>
      <c r="N8798" s="7" t="s">
        <v>54910</v>
      </c>
      <c r="O8798" s="8" t="str">
        <f>HYPERLINK("https://drive.google.com/file/d/17sVHnoaViQTbV1l5pQ9CSNEmYNg-Roi4/view?usp=drivesdk","8797_dr. HANSEL TIMOTHY GINTING _ SERTIFIKAT BerAKHLAK")</f>
        <v>8797_dr. HANSEL TIMOTHY GINTING _ SERTIFIKAT BerAKHLAK</v>
      </c>
      <c r="P8798" s="5" t="s">
        <v>54911</v>
      </c>
    </row>
    <row r="8799">
      <c r="A8799" s="4">
        <v>45534.41643856482</v>
      </c>
      <c r="B8799" s="5" t="s">
        <v>34</v>
      </c>
      <c r="D8799" s="5" t="s">
        <v>1558</v>
      </c>
      <c r="E8799" s="5" t="s">
        <v>54912</v>
      </c>
      <c r="F8799" s="5" t="s">
        <v>108</v>
      </c>
      <c r="G8799" s="5" t="s">
        <v>54913</v>
      </c>
      <c r="H8799" s="6" t="s">
        <v>54914</v>
      </c>
      <c r="K8799" s="5" t="s">
        <v>54884</v>
      </c>
      <c r="M8799" s="5" t="s">
        <v>54915</v>
      </c>
      <c r="N8799" s="7" t="s">
        <v>54916</v>
      </c>
      <c r="O8799" s="8" t="str">
        <f>HYPERLINK("https://drive.google.com/file/d/1XBt0zIjFkZ16EuBI1RJvde2XwmcqJqrA/view?usp=drivesdk","8798_YOTO MARGONO _ SERTIFIKAT BerAKHLAK")</f>
        <v>8798_YOTO MARGONO _ SERTIFIKAT BerAKHLAK</v>
      </c>
      <c r="P8799" s="5" t="s">
        <v>54917</v>
      </c>
    </row>
    <row r="8800">
      <c r="A8800" s="4">
        <v>45534.416453495374</v>
      </c>
      <c r="B8800" s="5" t="s">
        <v>34</v>
      </c>
      <c r="D8800" s="5" t="s">
        <v>1206</v>
      </c>
      <c r="E8800" s="5" t="s">
        <v>54918</v>
      </c>
      <c r="F8800" s="5" t="s">
        <v>212</v>
      </c>
      <c r="G8800" s="5" t="s">
        <v>54919</v>
      </c>
      <c r="H8800" s="6" t="s">
        <v>54920</v>
      </c>
      <c r="K8800" s="5" t="s">
        <v>54884</v>
      </c>
      <c r="M8800" s="5" t="s">
        <v>54921</v>
      </c>
      <c r="N8800" s="7" t="s">
        <v>54922</v>
      </c>
      <c r="O8800" s="8" t="str">
        <f>HYPERLINK("https://drive.google.com/file/d/1W4RxizC_u0BXuxn3YqERA0EZtpWC5mah/view?usp=drivesdk","8799_ZAINUL ARIFIEN _ SERTIFIKAT BerAKHLAK")</f>
        <v>8799_ZAINUL ARIFIEN _ SERTIFIKAT BerAKHLAK</v>
      </c>
      <c r="P8800" s="5" t="s">
        <v>54923</v>
      </c>
    </row>
    <row r="8801">
      <c r="A8801" s="4">
        <v>45534.416508553244</v>
      </c>
      <c r="B8801" s="5" t="s">
        <v>34</v>
      </c>
      <c r="D8801" s="5" t="s">
        <v>3432</v>
      </c>
      <c r="E8801" s="5" t="s">
        <v>54924</v>
      </c>
      <c r="F8801" s="5" t="s">
        <v>524</v>
      </c>
      <c r="G8801" s="5" t="s">
        <v>54925</v>
      </c>
      <c r="H8801" s="6" t="s">
        <v>54926</v>
      </c>
      <c r="K8801" s="5" t="s">
        <v>54884</v>
      </c>
      <c r="M8801" s="5" t="s">
        <v>54927</v>
      </c>
      <c r="N8801" s="7" t="s">
        <v>54928</v>
      </c>
      <c r="O8801" s="8" t="str">
        <f>HYPERLINK("https://drive.google.com/file/d/17p6f0Icxd57rkkPQ04mOazK-LoX23Wud/view?usp=drivesdk","8800_AHMAD ABD RAHMAN  _ SERTIFIKAT BerAKHLAK")</f>
        <v>8800_AHMAD ABD RAHMAN  _ SERTIFIKAT BerAKHLAK</v>
      </c>
      <c r="P8801" s="5" t="s">
        <v>54929</v>
      </c>
    </row>
    <row r="8802" hidden="1">
      <c r="A8802" s="4">
        <v>45534.41657081019</v>
      </c>
      <c r="B8802" s="5" t="s">
        <v>19</v>
      </c>
      <c r="C8802" s="5" t="s">
        <v>292</v>
      </c>
      <c r="E8802" s="5" t="s">
        <v>54930</v>
      </c>
      <c r="F8802" s="5" t="s">
        <v>72</v>
      </c>
      <c r="G8802" s="5" t="s">
        <v>54931</v>
      </c>
      <c r="H8802" s="6" t="s">
        <v>54932</v>
      </c>
      <c r="K8802" s="5" t="s">
        <v>54884</v>
      </c>
      <c r="M8802" s="5" t="s">
        <v>54933</v>
      </c>
      <c r="N8802" s="7" t="s">
        <v>54934</v>
      </c>
      <c r="O8802" s="8" t="str">
        <f>HYPERLINK("https://drive.google.com/file/d/1mj_yi0l98CI5yNS4AnlWRNNn9N7H9vnP/view?usp=drivesdk","8801_SURANI _ SERTIFIKAT BerAKHLAK")</f>
        <v>8801_SURANI _ SERTIFIKAT BerAKHLAK</v>
      </c>
      <c r="P8802" s="5" t="s">
        <v>54935</v>
      </c>
    </row>
    <row r="8803">
      <c r="A8803" s="4">
        <v>45534.41660201389</v>
      </c>
      <c r="B8803" s="5" t="s">
        <v>34</v>
      </c>
      <c r="D8803" s="5" t="s">
        <v>701</v>
      </c>
      <c r="E8803" s="5" t="s">
        <v>54936</v>
      </c>
      <c r="F8803" s="5" t="s">
        <v>37</v>
      </c>
      <c r="G8803" s="5" t="s">
        <v>54937</v>
      </c>
      <c r="H8803" s="6" t="s">
        <v>54938</v>
      </c>
      <c r="K8803" s="5" t="s">
        <v>54884</v>
      </c>
      <c r="M8803" s="5" t="s">
        <v>54939</v>
      </c>
      <c r="N8803" s="7" t="s">
        <v>54940</v>
      </c>
      <c r="O8803" s="8" t="str">
        <f>HYPERLINK("https://drive.google.com/file/d/1YA0iMm4-4zr74Gc_TmM-X-lCzpDNLLuD/view?usp=drivesdk","8802_ASNIDA PUTRI _ SERTIFIKAT BerAKHLAK")</f>
        <v>8802_ASNIDA PUTRI _ SERTIFIKAT BerAKHLAK</v>
      </c>
      <c r="P8803" s="5" t="s">
        <v>54941</v>
      </c>
    </row>
    <row r="8804">
      <c r="A8804" s="4">
        <v>45534.41662954861</v>
      </c>
      <c r="B8804" s="5" t="s">
        <v>34</v>
      </c>
      <c r="D8804" s="5" t="s">
        <v>4775</v>
      </c>
      <c r="E8804" s="5" t="s">
        <v>54942</v>
      </c>
      <c r="F8804" s="5" t="s">
        <v>212</v>
      </c>
      <c r="G8804" s="5" t="s">
        <v>54943</v>
      </c>
      <c r="H8804" s="6" t="s">
        <v>54944</v>
      </c>
      <c r="K8804" s="5" t="s">
        <v>54884</v>
      </c>
      <c r="M8804" s="5" t="s">
        <v>54945</v>
      </c>
      <c r="N8804" s="7" t="s">
        <v>54946</v>
      </c>
      <c r="O8804" s="8" t="str">
        <f>HYPERLINK("https://drive.google.com/file/d/1Ceg0LQTreDPkZXQjxSRUNY3RsDzBAAOq/view?usp=drivesdk","8803_SUHORO _ SERTIFIKAT BerAKHLAK")</f>
        <v>8803_SUHORO _ SERTIFIKAT BerAKHLAK</v>
      </c>
      <c r="P8804" s="5" t="s">
        <v>54947</v>
      </c>
    </row>
    <row r="8805">
      <c r="A8805" s="4">
        <v>45534.41664267361</v>
      </c>
      <c r="B8805" s="5" t="s">
        <v>34</v>
      </c>
      <c r="D8805" s="5" t="s">
        <v>604</v>
      </c>
      <c r="E8805" s="5" t="s">
        <v>54948</v>
      </c>
      <c r="F8805" s="5" t="s">
        <v>375</v>
      </c>
      <c r="G8805" s="5" t="s">
        <v>54949</v>
      </c>
      <c r="H8805" s="6" t="s">
        <v>54950</v>
      </c>
      <c r="K8805" s="5" t="s">
        <v>54884</v>
      </c>
      <c r="M8805" s="5" t="s">
        <v>54951</v>
      </c>
      <c r="N8805" s="7" t="s">
        <v>54952</v>
      </c>
      <c r="O8805" s="8" t="str">
        <f>HYPERLINK("https://drive.google.com/file/d/1NdfJJsvHr8e7yBlundn_rLjY96HPLB3J/view?usp=drivesdk","8804_IKA SULASWATY  _ SERTIFIKAT BerAKHLAK")</f>
        <v>8804_IKA SULASWATY  _ SERTIFIKAT BerAKHLAK</v>
      </c>
      <c r="P8805" s="5" t="s">
        <v>54953</v>
      </c>
    </row>
    <row r="8806" hidden="1">
      <c r="A8806" s="4">
        <v>45534.416695567124</v>
      </c>
      <c r="B8806" s="5" t="s">
        <v>19</v>
      </c>
      <c r="C8806" s="5" t="s">
        <v>83</v>
      </c>
      <c r="E8806" s="5" t="s">
        <v>54954</v>
      </c>
      <c r="F8806" s="5" t="s">
        <v>375</v>
      </c>
      <c r="G8806" s="5" t="s">
        <v>54955</v>
      </c>
      <c r="H8806" s="6" t="s">
        <v>54956</v>
      </c>
      <c r="K8806" s="5" t="s">
        <v>54884</v>
      </c>
      <c r="M8806" s="5" t="s">
        <v>54957</v>
      </c>
      <c r="N8806" s="7" t="s">
        <v>54958</v>
      </c>
      <c r="O8806" s="8" t="str">
        <f>HYPERLINK("https://drive.google.com/file/d/1CzIIVrg9ai8qMo0HDmN2jsp8_fnVdGpk/view?usp=drivesdk","8805_RATNA WAHYUNINGRATI, S.E.,M.Si _ SERTIFIKAT BerAKHLAK")</f>
        <v>8805_RATNA WAHYUNINGRATI, S.E.,M.Si _ SERTIFIKAT BerAKHLAK</v>
      </c>
      <c r="P8806" s="5" t="s">
        <v>54959</v>
      </c>
    </row>
    <row r="8807">
      <c r="A8807" s="4">
        <v>45534.41673548611</v>
      </c>
      <c r="B8807" s="5" t="s">
        <v>34</v>
      </c>
      <c r="D8807" s="5" t="s">
        <v>11913</v>
      </c>
      <c r="E8807" s="5" t="s">
        <v>54960</v>
      </c>
      <c r="F8807" s="5" t="s">
        <v>212</v>
      </c>
      <c r="G8807" s="5" t="s">
        <v>54961</v>
      </c>
      <c r="H8807" s="6" t="s">
        <v>54962</v>
      </c>
      <c r="K8807" s="5" t="s">
        <v>54963</v>
      </c>
      <c r="M8807" s="5" t="s">
        <v>54964</v>
      </c>
      <c r="N8807" s="7" t="s">
        <v>54965</v>
      </c>
      <c r="O8807" s="8" t="str">
        <f>HYPERLINK("https://drive.google.com/file/d/1avGuhu5F47YXFv6VqzmV1Dq_HpfjSIoz/view?usp=drivesdk","8806_I GEDE MADE ARYA RISKI ADITYA PUTRA _ SERTIFIKAT BerAKHLAK")</f>
        <v>8806_I GEDE MADE ARYA RISKI ADITYA PUTRA _ SERTIFIKAT BerAKHLAK</v>
      </c>
      <c r="P8807" s="5" t="s">
        <v>54966</v>
      </c>
    </row>
    <row r="8808" hidden="1">
      <c r="A8808" s="4">
        <v>45534.416746365736</v>
      </c>
      <c r="B8808" s="5" t="s">
        <v>19</v>
      </c>
      <c r="C8808" s="5" t="s">
        <v>38343</v>
      </c>
      <c r="E8808" s="5" t="s">
        <v>54967</v>
      </c>
      <c r="F8808" s="5" t="s">
        <v>212</v>
      </c>
      <c r="G8808" s="5" t="s">
        <v>54968</v>
      </c>
      <c r="H8808" s="6" t="s">
        <v>54969</v>
      </c>
      <c r="K8808" s="5" t="s">
        <v>54963</v>
      </c>
      <c r="M8808" s="5" t="s">
        <v>54970</v>
      </c>
      <c r="N8808" s="7" t="s">
        <v>54971</v>
      </c>
      <c r="O8808" s="8" t="str">
        <f>HYPERLINK("https://drive.google.com/file/d/1g_XtfncyaEYzGOeGMIeOUy-0TlQMHPqM/view?usp=drivesdk","8807_EMY SULISTYOWATI _ SERTIFIKAT BerAKHLAK")</f>
        <v>8807_EMY SULISTYOWATI _ SERTIFIKAT BerAKHLAK</v>
      </c>
      <c r="P8808" s="5" t="s">
        <v>54972</v>
      </c>
    </row>
    <row r="8809">
      <c r="A8809" s="4">
        <v>45534.41688030092</v>
      </c>
      <c r="B8809" s="5" t="s">
        <v>34</v>
      </c>
      <c r="D8809" s="5" t="s">
        <v>1206</v>
      </c>
      <c r="E8809" s="5" t="s">
        <v>54973</v>
      </c>
      <c r="F8809" s="5" t="s">
        <v>212</v>
      </c>
      <c r="G8809" s="5" t="s">
        <v>54974</v>
      </c>
      <c r="H8809" s="6" t="s">
        <v>54975</v>
      </c>
      <c r="K8809" s="5" t="s">
        <v>54963</v>
      </c>
      <c r="M8809" s="5" t="s">
        <v>54976</v>
      </c>
      <c r="N8809" s="7" t="s">
        <v>54977</v>
      </c>
      <c r="O8809" s="8" t="str">
        <f>HYPERLINK("https://drive.google.com/file/d/1Hm40GrVeZi-cF2mPktiEXfPlYm_3Crk4/view?usp=drivesdk","8808_ERWIN DIANA _ SERTIFIKAT BerAKHLAK")</f>
        <v>8808_ERWIN DIANA _ SERTIFIKAT BerAKHLAK</v>
      </c>
      <c r="P8809" s="5" t="s">
        <v>54978</v>
      </c>
    </row>
    <row r="8810">
      <c r="A8810" s="4">
        <v>45534.41690625</v>
      </c>
      <c r="B8810" s="5" t="s">
        <v>34</v>
      </c>
      <c r="D8810" s="5" t="s">
        <v>1206</v>
      </c>
      <c r="E8810" s="5" t="s">
        <v>54979</v>
      </c>
      <c r="F8810" s="5" t="s">
        <v>37</v>
      </c>
      <c r="G8810" s="5" t="s">
        <v>54980</v>
      </c>
      <c r="H8810" s="6" t="s">
        <v>54981</v>
      </c>
      <c r="K8810" s="5" t="s">
        <v>54963</v>
      </c>
      <c r="M8810" s="5" t="s">
        <v>54982</v>
      </c>
      <c r="N8810" s="7" t="s">
        <v>54983</v>
      </c>
      <c r="O8810" s="8" t="str">
        <f>HYPERLINK("https://drive.google.com/file/d/1FVMkjet2ErIaCce-Xfh3vdoMEx-0N6sC/view?usp=drivesdk","8809_SUWONO _ SERTIFIKAT BerAKHLAK")</f>
        <v>8809_SUWONO _ SERTIFIKAT BerAKHLAK</v>
      </c>
      <c r="P8810" s="5" t="s">
        <v>54984</v>
      </c>
    </row>
    <row r="8811">
      <c r="A8811" s="4">
        <v>45534.416912824076</v>
      </c>
      <c r="B8811" s="5" t="s">
        <v>34</v>
      </c>
      <c r="D8811" s="5" t="s">
        <v>1206</v>
      </c>
      <c r="E8811" s="5" t="s">
        <v>22502</v>
      </c>
      <c r="F8811" s="5" t="s">
        <v>212</v>
      </c>
      <c r="G8811" s="5" t="s">
        <v>54985</v>
      </c>
      <c r="H8811" s="6" t="s">
        <v>54986</v>
      </c>
      <c r="K8811" s="5" t="s">
        <v>54963</v>
      </c>
      <c r="M8811" s="5" t="s">
        <v>54987</v>
      </c>
      <c r="N8811" s="7" t="s">
        <v>54988</v>
      </c>
      <c r="O8811" s="8" t="str">
        <f>HYPERLINK("https://drive.google.com/file/d/11XHLhni-hsbBUWpQC7BIirdKX4ZB8a0w/view?usp=drivesdk","8810_SUYATNO _ SERTIFIKAT BerAKHLAK")</f>
        <v>8810_SUYATNO _ SERTIFIKAT BerAKHLAK</v>
      </c>
      <c r="P8811" s="5" t="s">
        <v>54989</v>
      </c>
    </row>
    <row r="8812">
      <c r="A8812" s="4">
        <v>45534.416932430555</v>
      </c>
      <c r="B8812" s="5" t="s">
        <v>34</v>
      </c>
      <c r="D8812" s="5" t="s">
        <v>2903</v>
      </c>
      <c r="E8812" s="5" t="s">
        <v>54990</v>
      </c>
      <c r="F8812" s="5" t="s">
        <v>375</v>
      </c>
      <c r="G8812" s="5" t="s">
        <v>54991</v>
      </c>
      <c r="H8812" s="6" t="s">
        <v>54992</v>
      </c>
      <c r="K8812" s="5" t="s">
        <v>54963</v>
      </c>
      <c r="M8812" s="5" t="s">
        <v>54993</v>
      </c>
      <c r="N8812" s="7" t="s">
        <v>54994</v>
      </c>
      <c r="O8812" s="8" t="str">
        <f>HYPERLINK("https://drive.google.com/file/d/1tjuWFNOYjglVLrL2Tv3PcA_qBR_a852l/view?usp=drivesdk","8811_RISKI TRI SEPTIANITA,SE _ SERTIFIKAT BerAKHLAK")</f>
        <v>8811_RISKI TRI SEPTIANITA,SE _ SERTIFIKAT BerAKHLAK</v>
      </c>
      <c r="P8812" s="5" t="s">
        <v>54995</v>
      </c>
    </row>
    <row r="8813">
      <c r="A8813" s="4">
        <v>45534.41694444444</v>
      </c>
      <c r="B8813" s="5" t="s">
        <v>34</v>
      </c>
      <c r="D8813" s="5" t="s">
        <v>12978</v>
      </c>
      <c r="E8813" s="5" t="s">
        <v>54996</v>
      </c>
      <c r="F8813" s="5" t="s">
        <v>212</v>
      </c>
      <c r="G8813" s="5" t="s">
        <v>54997</v>
      </c>
      <c r="H8813" s="6" t="s">
        <v>54998</v>
      </c>
      <c r="K8813" s="5" t="s">
        <v>54963</v>
      </c>
      <c r="M8813" s="5" t="s">
        <v>54999</v>
      </c>
      <c r="N8813" s="7" t="s">
        <v>55000</v>
      </c>
      <c r="O8813" s="8" t="str">
        <f>HYPERLINK("https://drive.google.com/file/d/1sbjGhBHJsKrIpPFOI-K2dQyChFzDpJEe/view?usp=drivesdk","8812_JULINARTI _ SERTIFIKAT BerAKHLAK")</f>
        <v>8812_JULINARTI _ SERTIFIKAT BerAKHLAK</v>
      </c>
      <c r="P8813" s="5" t="s">
        <v>55001</v>
      </c>
    </row>
    <row r="8814">
      <c r="A8814" s="4">
        <v>45534.41697873843</v>
      </c>
      <c r="B8814" s="5" t="s">
        <v>34</v>
      </c>
      <c r="D8814" s="5" t="s">
        <v>3849</v>
      </c>
      <c r="E8814" s="5" t="s">
        <v>55002</v>
      </c>
      <c r="F8814" s="5" t="s">
        <v>524</v>
      </c>
      <c r="G8814" s="5" t="s">
        <v>55003</v>
      </c>
      <c r="H8814" s="6" t="s">
        <v>55004</v>
      </c>
      <c r="K8814" s="5" t="s">
        <v>54963</v>
      </c>
      <c r="M8814" s="5" t="s">
        <v>55005</v>
      </c>
      <c r="N8814" s="7" t="s">
        <v>55006</v>
      </c>
      <c r="O8814" s="8" t="str">
        <f>HYPERLINK("https://drive.google.com/file/d/1hYsvX6M2JYKevqNSFJS_c2IFaYDssdjf/view?usp=drivesdk","8813_LIA AFRINA _ SERTIFIKAT BerAKHLAK")</f>
        <v>8813_LIA AFRINA _ SERTIFIKAT BerAKHLAK</v>
      </c>
      <c r="P8814" s="5" t="s">
        <v>55007</v>
      </c>
    </row>
    <row r="8815">
      <c r="A8815" s="4">
        <v>45534.41704760416</v>
      </c>
      <c r="B8815" s="5" t="s">
        <v>34</v>
      </c>
      <c r="D8815" s="5" t="s">
        <v>6232</v>
      </c>
      <c r="E8815" s="5" t="s">
        <v>55008</v>
      </c>
      <c r="F8815" s="5" t="s">
        <v>37</v>
      </c>
      <c r="G8815" s="5" t="s">
        <v>55009</v>
      </c>
      <c r="H8815" s="6" t="s">
        <v>55010</v>
      </c>
      <c r="K8815" s="5" t="s">
        <v>54963</v>
      </c>
      <c r="M8815" s="5" t="s">
        <v>55011</v>
      </c>
      <c r="N8815" s="7" t="s">
        <v>55012</v>
      </c>
      <c r="O8815" s="8" t="str">
        <f>HYPERLINK("https://drive.google.com/file/d/1rFa42CtipVYJ7jV9iRfvvultG7NhZjIi/view?usp=drivesdk","8814_REFTA WIJAYA _ SERTIFIKAT BerAKHLAK")</f>
        <v>8814_REFTA WIJAYA _ SERTIFIKAT BerAKHLAK</v>
      </c>
      <c r="P8815" s="5" t="s">
        <v>55013</v>
      </c>
    </row>
    <row r="8816" hidden="1">
      <c r="A8816" s="4">
        <v>45534.41711334491</v>
      </c>
      <c r="B8816" s="5" t="s">
        <v>19</v>
      </c>
      <c r="C8816" s="5" t="s">
        <v>3301</v>
      </c>
      <c r="E8816" s="5" t="s">
        <v>55014</v>
      </c>
      <c r="F8816" s="5" t="s">
        <v>108</v>
      </c>
      <c r="G8816" s="5" t="s">
        <v>55015</v>
      </c>
      <c r="H8816" s="6" t="s">
        <v>55016</v>
      </c>
      <c r="K8816" s="5" t="s">
        <v>54963</v>
      </c>
      <c r="M8816" s="5" t="s">
        <v>55017</v>
      </c>
      <c r="N8816" s="7" t="s">
        <v>55018</v>
      </c>
      <c r="O8816" s="8" t="str">
        <f>HYPERLINK("https://drive.google.com/file/d/156W9GtQNAVIJ-CmUHHNnlVfP9zuK9i4b/view?usp=drivesdk","8815_DRG. WISNU ADHIYOSO _ SERTIFIKAT BerAKHLAK")</f>
        <v>8815_DRG. WISNU ADHIYOSO _ SERTIFIKAT BerAKHLAK</v>
      </c>
      <c r="P8816" s="5" t="s">
        <v>55019</v>
      </c>
    </row>
    <row r="8817">
      <c r="A8817" s="4">
        <v>45534.41712900463</v>
      </c>
      <c r="B8817" s="5" t="s">
        <v>34</v>
      </c>
      <c r="D8817" s="5" t="s">
        <v>35</v>
      </c>
      <c r="E8817" s="5" t="s">
        <v>55020</v>
      </c>
      <c r="F8817" s="5" t="s">
        <v>72</v>
      </c>
      <c r="G8817" s="5" t="s">
        <v>55021</v>
      </c>
      <c r="H8817" s="6" t="s">
        <v>55022</v>
      </c>
      <c r="K8817" s="5" t="s">
        <v>54963</v>
      </c>
      <c r="M8817" s="5" t="s">
        <v>55023</v>
      </c>
      <c r="N8817" s="7" t="s">
        <v>55024</v>
      </c>
      <c r="O8817" s="8" t="str">
        <f>HYPERLINK("https://drive.google.com/file/d/1p1_gKUMf1MLjdu0Nx6qs_gv-H6scpCzi/view?usp=drivesdk","8816_Een Rohaeni Sadily  _ SERTIFIKAT BerAKHLAK")</f>
        <v>8816_Een Rohaeni Sadily  _ SERTIFIKAT BerAKHLAK</v>
      </c>
      <c r="P8817" s="5" t="s">
        <v>55025</v>
      </c>
    </row>
    <row r="8818">
      <c r="A8818" s="4">
        <v>45534.417144872685</v>
      </c>
      <c r="B8818" s="5" t="s">
        <v>34</v>
      </c>
      <c r="D8818" s="5" t="s">
        <v>3849</v>
      </c>
      <c r="E8818" s="5" t="s">
        <v>55026</v>
      </c>
      <c r="F8818" s="5" t="s">
        <v>108</v>
      </c>
      <c r="G8818" s="5" t="s">
        <v>55027</v>
      </c>
      <c r="H8818" s="6" t="s">
        <v>55028</v>
      </c>
      <c r="K8818" s="5" t="s">
        <v>54963</v>
      </c>
      <c r="M8818" s="5" t="s">
        <v>55029</v>
      </c>
      <c r="N8818" s="7" t="s">
        <v>55030</v>
      </c>
      <c r="O8818" s="8" t="str">
        <f>HYPERLINK("https://drive.google.com/file/d/1aVpYt30vp9ZQu64s5G5c_-OvoTyNrsey/view?usp=drivesdk","8817_dr. Adriana Virani Jeumpa  _ SERTIFIKAT BerAKHLAK")</f>
        <v>8817_dr. Adriana Virani Jeumpa  _ SERTIFIKAT BerAKHLAK</v>
      </c>
      <c r="P8818" s="5" t="s">
        <v>55031</v>
      </c>
    </row>
    <row r="8819">
      <c r="A8819" s="4">
        <v>45534.41716221065</v>
      </c>
      <c r="B8819" s="5" t="s">
        <v>34</v>
      </c>
      <c r="D8819" s="5" t="s">
        <v>1456</v>
      </c>
      <c r="E8819" s="5" t="s">
        <v>55032</v>
      </c>
      <c r="F8819" s="5" t="s">
        <v>524</v>
      </c>
      <c r="G8819" s="5" t="s">
        <v>55033</v>
      </c>
      <c r="H8819" s="6" t="s">
        <v>55034</v>
      </c>
      <c r="K8819" s="5" t="s">
        <v>55035</v>
      </c>
      <c r="M8819" s="5" t="s">
        <v>55036</v>
      </c>
      <c r="N8819" s="7" t="s">
        <v>55037</v>
      </c>
      <c r="O8819" s="8" t="str">
        <f>HYPERLINK("https://drive.google.com/file/d/1l9uU0XG7rbw-0rXyp4UpNS-Z-uDskmiy/view?usp=drivesdk","8818_SITI AMANAH, S.Kep _ SERTIFIKAT BerAKHLAK")</f>
        <v>8818_SITI AMANAH, S.Kep _ SERTIFIKAT BerAKHLAK</v>
      </c>
      <c r="P8819" s="5" t="s">
        <v>55038</v>
      </c>
    </row>
    <row r="8820">
      <c r="A8820" s="4">
        <v>45534.417173333335</v>
      </c>
      <c r="B8820" s="5" t="s">
        <v>34</v>
      </c>
      <c r="D8820" s="5" t="s">
        <v>701</v>
      </c>
      <c r="E8820" s="5" t="s">
        <v>55039</v>
      </c>
      <c r="F8820" s="5" t="s">
        <v>37</v>
      </c>
      <c r="G8820" s="5" t="s">
        <v>55040</v>
      </c>
      <c r="H8820" s="6" t="s">
        <v>55041</v>
      </c>
      <c r="K8820" s="5" t="s">
        <v>55035</v>
      </c>
      <c r="M8820" s="5" t="s">
        <v>55042</v>
      </c>
      <c r="N8820" s="7" t="s">
        <v>55043</v>
      </c>
      <c r="O8820" s="8" t="str">
        <f>HYPERLINK("https://drive.google.com/file/d/14CEOBMg0nab8x2GMnYNqxn3fMDABZ96i/view?usp=drivesdk","8819_NORA DWI PUTRI  _ SERTIFIKAT BerAKHLAK")</f>
        <v>8819_NORA DWI PUTRI  _ SERTIFIKAT BerAKHLAK</v>
      </c>
      <c r="P8820" s="5" t="s">
        <v>55044</v>
      </c>
    </row>
    <row r="8821">
      <c r="A8821" s="4">
        <v>45534.41718340278</v>
      </c>
      <c r="B8821" s="5" t="s">
        <v>34</v>
      </c>
      <c r="D8821" s="5" t="s">
        <v>4775</v>
      </c>
      <c r="E8821" s="5" t="s">
        <v>55045</v>
      </c>
      <c r="F8821" s="5" t="s">
        <v>5859</v>
      </c>
      <c r="G8821" s="5" t="s">
        <v>55046</v>
      </c>
      <c r="H8821" s="6" t="s">
        <v>55047</v>
      </c>
      <c r="K8821" s="5" t="s">
        <v>55035</v>
      </c>
      <c r="M8821" s="5" t="s">
        <v>55048</v>
      </c>
      <c r="N8821" s="7" t="s">
        <v>55049</v>
      </c>
      <c r="O8821" s="8" t="str">
        <f>HYPERLINK("https://drive.google.com/file/d/1C6w2djyab8i0fHOtqP8EnTVmm3MF7wsl/view?usp=drivesdk","8820_SUTRISNA _ SERTIFIKAT BerAKHLAK")</f>
        <v>8820_SUTRISNA _ SERTIFIKAT BerAKHLAK</v>
      </c>
      <c r="P8821" s="5" t="s">
        <v>55050</v>
      </c>
    </row>
    <row r="8822" hidden="1">
      <c r="A8822" s="4">
        <v>45534.417192719906</v>
      </c>
      <c r="B8822" s="5" t="s">
        <v>19</v>
      </c>
      <c r="C8822" s="5" t="s">
        <v>1606</v>
      </c>
      <c r="E8822" s="5" t="s">
        <v>55051</v>
      </c>
      <c r="F8822" s="5" t="s">
        <v>72</v>
      </c>
      <c r="G8822" s="5" t="s">
        <v>55052</v>
      </c>
      <c r="H8822" s="6" t="s">
        <v>55053</v>
      </c>
      <c r="K8822" s="5" t="s">
        <v>55035</v>
      </c>
      <c r="M8822" s="5" t="s">
        <v>55054</v>
      </c>
      <c r="N8822" s="7" t="s">
        <v>55055</v>
      </c>
      <c r="O8822" s="8" t="str">
        <f>HYPERLINK("https://drive.google.com/file/d/14VGIkVO_sOLkPlPSSdTY8ysBj2R4ykII/view?usp=drivesdk","8821_AKHMAD RAMDHANI, A.MD  _ SERTIFIKAT BerAKHLAK")</f>
        <v>8821_AKHMAD RAMDHANI, A.MD  _ SERTIFIKAT BerAKHLAK</v>
      </c>
      <c r="P8822" s="5" t="s">
        <v>55056</v>
      </c>
    </row>
    <row r="8823">
      <c r="A8823" s="4">
        <v>45534.41720430556</v>
      </c>
      <c r="B8823" s="5" t="s">
        <v>34</v>
      </c>
      <c r="D8823" s="5" t="s">
        <v>35</v>
      </c>
      <c r="E8823" s="5" t="s">
        <v>55057</v>
      </c>
      <c r="F8823" s="5" t="s">
        <v>37</v>
      </c>
      <c r="G8823" s="5" t="s">
        <v>55058</v>
      </c>
      <c r="H8823" s="6" t="s">
        <v>55059</v>
      </c>
      <c r="K8823" s="5" t="s">
        <v>55035</v>
      </c>
      <c r="M8823" s="5" t="s">
        <v>55060</v>
      </c>
      <c r="N8823" s="7" t="s">
        <v>55061</v>
      </c>
      <c r="O8823" s="8" t="str">
        <f>HYPERLINK("https://drive.google.com/file/d/14DrVTZ7YkFmqsRfBs7OWnHmxDgfiabBI/view?usp=drivesdk","8822_KARTOo _ SERTIFIKAT BerAKHLAK")</f>
        <v>8822_KARTOo _ SERTIFIKAT BerAKHLAK</v>
      </c>
      <c r="P8823" s="5" t="s">
        <v>55062</v>
      </c>
    </row>
    <row r="8824">
      <c r="A8824" s="4">
        <v>45534.41731217592</v>
      </c>
      <c r="B8824" s="5" t="s">
        <v>34</v>
      </c>
      <c r="D8824" s="5" t="s">
        <v>10444</v>
      </c>
      <c r="E8824" s="5" t="s">
        <v>55063</v>
      </c>
      <c r="F8824" s="5" t="s">
        <v>212</v>
      </c>
      <c r="G8824" s="5" t="s">
        <v>55064</v>
      </c>
      <c r="H8824" s="6" t="s">
        <v>55065</v>
      </c>
      <c r="K8824" s="5" t="s">
        <v>55035</v>
      </c>
      <c r="M8824" s="5" t="s">
        <v>55066</v>
      </c>
      <c r="N8824" s="7" t="s">
        <v>55067</v>
      </c>
      <c r="O8824" s="8" t="str">
        <f>HYPERLINK("https://drive.google.com/file/d/1xa-9TxI1FGNrEuL2yme0I9DQGKFQ4WVb/view?usp=drivesdk","8823_SYAHRIL ANWAR  _ SERTIFIKAT BerAKHLAK")</f>
        <v>8823_SYAHRIL ANWAR  _ SERTIFIKAT BerAKHLAK</v>
      </c>
      <c r="P8824" s="5" t="s">
        <v>55068</v>
      </c>
    </row>
    <row r="8825">
      <c r="A8825" s="4">
        <v>45534.41737976852</v>
      </c>
      <c r="B8825" s="5" t="s">
        <v>34</v>
      </c>
      <c r="D8825" s="5" t="s">
        <v>1558</v>
      </c>
      <c r="E8825" s="5" t="s">
        <v>55069</v>
      </c>
      <c r="F8825" s="5" t="s">
        <v>212</v>
      </c>
      <c r="G8825" s="5" t="s">
        <v>55070</v>
      </c>
      <c r="H8825" s="6" t="s">
        <v>55071</v>
      </c>
      <c r="K8825" s="5" t="s">
        <v>55035</v>
      </c>
      <c r="M8825" s="5" t="s">
        <v>55072</v>
      </c>
      <c r="N8825" s="7" t="s">
        <v>55073</v>
      </c>
      <c r="O8825" s="8" t="str">
        <f>HYPERLINK("https://drive.google.com/file/d/163Mrx38SLcRNEl7sS7N1HgxyfgSmPuEX/view?usp=drivesdk","8824_YUSTINA  _ SERTIFIKAT BerAKHLAK")</f>
        <v>8824_YUSTINA  _ SERTIFIKAT BerAKHLAK</v>
      </c>
      <c r="P8825" s="5" t="s">
        <v>55074</v>
      </c>
    </row>
    <row r="8826">
      <c r="A8826" s="4">
        <v>45534.41738905093</v>
      </c>
      <c r="B8826" s="5" t="s">
        <v>34</v>
      </c>
      <c r="D8826" s="5" t="s">
        <v>701</v>
      </c>
      <c r="E8826" s="5" t="s">
        <v>55075</v>
      </c>
      <c r="F8826" s="5" t="s">
        <v>37</v>
      </c>
      <c r="G8826" s="5" t="s">
        <v>55076</v>
      </c>
      <c r="H8826" s="6" t="s">
        <v>55077</v>
      </c>
      <c r="K8826" s="5" t="s">
        <v>55035</v>
      </c>
      <c r="M8826" s="5" t="s">
        <v>55078</v>
      </c>
      <c r="N8826" s="7" t="s">
        <v>55079</v>
      </c>
      <c r="O8826" s="8" t="str">
        <f>HYPERLINK("https://drive.google.com/file/d/1DfwK0FjRpDGot6dyEEJGJBBcVNp4EPNT/view?usp=drivesdk","8825_RINI ANGGRAINI  _ SERTIFIKAT BerAKHLAK")</f>
        <v>8825_RINI ANGGRAINI  _ SERTIFIKAT BerAKHLAK</v>
      </c>
      <c r="P8826" s="5" t="s">
        <v>55080</v>
      </c>
    </row>
    <row r="8827">
      <c r="A8827" s="4">
        <v>45534.417406423614</v>
      </c>
      <c r="B8827" s="5" t="s">
        <v>34</v>
      </c>
      <c r="D8827" s="5" t="s">
        <v>35</v>
      </c>
      <c r="E8827" s="5" t="s">
        <v>55081</v>
      </c>
      <c r="F8827" s="5" t="s">
        <v>375</v>
      </c>
      <c r="G8827" s="5" t="s">
        <v>55082</v>
      </c>
      <c r="H8827" s="6" t="s">
        <v>55083</v>
      </c>
      <c r="K8827" s="5" t="s">
        <v>55035</v>
      </c>
      <c r="M8827" s="5" t="s">
        <v>55084</v>
      </c>
      <c r="N8827" s="7" t="s">
        <v>55085</v>
      </c>
      <c r="O8827" s="8" t="str">
        <f>HYPERLINK("https://drive.google.com/file/d/1CKC7ZvILidU2neENsziP-SdaLifudvEZ/view?usp=drivesdk","8826_Sutrisno, AMK. An _ SERTIFIKAT BerAKHLAK")</f>
        <v>8826_Sutrisno, AMK. An _ SERTIFIKAT BerAKHLAK</v>
      </c>
      <c r="P8827" s="5" t="s">
        <v>55086</v>
      </c>
    </row>
    <row r="8828">
      <c r="A8828" s="4">
        <v>45534.417438206016</v>
      </c>
      <c r="B8828" s="5" t="s">
        <v>34</v>
      </c>
      <c r="D8828" s="5" t="s">
        <v>1558</v>
      </c>
      <c r="E8828" s="5" t="s">
        <v>55087</v>
      </c>
      <c r="F8828" s="5" t="s">
        <v>199</v>
      </c>
      <c r="G8828" s="5" t="s">
        <v>55088</v>
      </c>
      <c r="H8828" s="6" t="s">
        <v>55089</v>
      </c>
      <c r="K8828" s="5" t="s">
        <v>55090</v>
      </c>
      <c r="M8828" s="5" t="s">
        <v>55091</v>
      </c>
      <c r="N8828" s="7" t="s">
        <v>55092</v>
      </c>
      <c r="O8828" s="8" t="str">
        <f>HYPERLINK("https://drive.google.com/file/d/1vSFRH1zXgr_-kc4xmaw_XzQ0DoDz-ew6/view?usp=drivesdk","8827_WARTIWARTI  _ SERTIFIKAT BerAKHLAK")</f>
        <v>8827_WARTIWARTI  _ SERTIFIKAT BerAKHLAK</v>
      </c>
      <c r="P8828" s="5" t="s">
        <v>55093</v>
      </c>
    </row>
    <row r="8829" hidden="1">
      <c r="A8829" s="4">
        <v>45534.4175764699</v>
      </c>
      <c r="B8829" s="5" t="s">
        <v>19</v>
      </c>
      <c r="C8829" s="5" t="s">
        <v>38343</v>
      </c>
      <c r="E8829" s="5" t="s">
        <v>55094</v>
      </c>
      <c r="F8829" s="5" t="s">
        <v>375</v>
      </c>
      <c r="G8829" s="5" t="s">
        <v>55095</v>
      </c>
      <c r="H8829" s="6" t="s">
        <v>55096</v>
      </c>
      <c r="K8829" s="5" t="s">
        <v>55097</v>
      </c>
      <c r="M8829" s="5" t="s">
        <v>55098</v>
      </c>
      <c r="N8829" s="7" t="s">
        <v>55099</v>
      </c>
      <c r="O8829" s="8" t="str">
        <f>HYPERLINK("https://drive.google.com/file/d/1dgdQ7uY6_YqyTaXkiEtZ6LsuKy2oFJy8/view?usp=drivesdk","8828_RIA SUSANTI, S.E. _ SERTIFIKAT BerAKHLAK")</f>
        <v>8828_RIA SUSANTI, S.E. _ SERTIFIKAT BerAKHLAK</v>
      </c>
      <c r="P8829" s="5" t="s">
        <v>55100</v>
      </c>
    </row>
    <row r="8830">
      <c r="A8830" s="4">
        <v>45534.41763966435</v>
      </c>
      <c r="B8830" s="5" t="s">
        <v>34</v>
      </c>
      <c r="D8830" s="5" t="s">
        <v>10444</v>
      </c>
      <c r="E8830" s="5" t="s">
        <v>55101</v>
      </c>
      <c r="F8830" s="5" t="s">
        <v>212</v>
      </c>
      <c r="G8830" s="5" t="s">
        <v>55102</v>
      </c>
      <c r="H8830" s="6" t="s">
        <v>55103</v>
      </c>
      <c r="K8830" s="5" t="s">
        <v>55104</v>
      </c>
      <c r="M8830" s="5" t="s">
        <v>55105</v>
      </c>
      <c r="N8830" s="7" t="s">
        <v>55106</v>
      </c>
      <c r="O8830" s="8" t="str">
        <f>HYPERLINK("https://drive.google.com/file/d/1slfYfoq6ay2BmrNo1EFjNBao0mFtuvJo/view?usp=drivesdk","8829_HERU KARYANTO  _ SERTIFIKAT BerAKHLAK")</f>
        <v>8829_HERU KARYANTO  _ SERTIFIKAT BerAKHLAK</v>
      </c>
      <c r="P8830" s="5" t="s">
        <v>55107</v>
      </c>
    </row>
    <row r="8831">
      <c r="A8831" s="4">
        <v>45534.417689027774</v>
      </c>
      <c r="B8831" s="5" t="s">
        <v>34</v>
      </c>
      <c r="D8831" s="5" t="s">
        <v>1206</v>
      </c>
      <c r="E8831" s="5" t="s">
        <v>55108</v>
      </c>
      <c r="F8831" s="5" t="s">
        <v>37</v>
      </c>
      <c r="G8831" s="5" t="s">
        <v>55109</v>
      </c>
      <c r="H8831" s="6" t="s">
        <v>55110</v>
      </c>
      <c r="K8831" s="5" t="s">
        <v>55111</v>
      </c>
      <c r="M8831" s="5" t="s">
        <v>55112</v>
      </c>
      <c r="N8831" s="7" t="s">
        <v>55113</v>
      </c>
      <c r="O8831" s="8" t="str">
        <f>HYPERLINK("https://drive.google.com/file/d/1v-LlKKAzmHBqIwSohIphrEE3VUFB2Uqu/view?usp=drivesdk","8830_ANA ARDIATI _ SERTIFIKAT BerAKHLAK")</f>
        <v>8830_ANA ARDIATI _ SERTIFIKAT BerAKHLAK</v>
      </c>
      <c r="P8831" s="5" t="s">
        <v>55114</v>
      </c>
    </row>
    <row r="8832">
      <c r="A8832" s="4">
        <v>45534.417826944446</v>
      </c>
      <c r="B8832" s="5" t="s">
        <v>34</v>
      </c>
      <c r="D8832" s="5" t="s">
        <v>9020</v>
      </c>
      <c r="E8832" s="5" t="s">
        <v>55115</v>
      </c>
      <c r="F8832" s="5" t="s">
        <v>212</v>
      </c>
      <c r="G8832" s="5" t="s">
        <v>55116</v>
      </c>
      <c r="H8832" s="6" t="s">
        <v>55117</v>
      </c>
      <c r="K8832" s="5" t="s">
        <v>55118</v>
      </c>
      <c r="M8832" s="5" t="s">
        <v>55119</v>
      </c>
      <c r="N8832" s="7" t="s">
        <v>55120</v>
      </c>
      <c r="O8832" s="8" t="str">
        <f>HYPERLINK("https://drive.google.com/file/d/1yBpLSiLI6UAZ2NE47Hbf-dMs5oDpufUp/view?usp=drivesdk","8831_SYAH PUTRI NAINGGOLAN _ SERTIFIKAT BerAKHLAK")</f>
        <v>8831_SYAH PUTRI NAINGGOLAN _ SERTIFIKAT BerAKHLAK</v>
      </c>
      <c r="P8832" s="5" t="s">
        <v>55121</v>
      </c>
    </row>
    <row r="8833">
      <c r="A8833" s="4">
        <v>45534.41785452546</v>
      </c>
      <c r="B8833" s="5" t="s">
        <v>34</v>
      </c>
      <c r="D8833" s="5" t="s">
        <v>4775</v>
      </c>
      <c r="E8833" s="5" t="s">
        <v>55122</v>
      </c>
      <c r="F8833" s="5" t="s">
        <v>375</v>
      </c>
      <c r="G8833" s="5" t="s">
        <v>55123</v>
      </c>
      <c r="H8833" s="6" t="s">
        <v>55124</v>
      </c>
      <c r="K8833" s="5" t="s">
        <v>55125</v>
      </c>
      <c r="M8833" s="5" t="s">
        <v>55126</v>
      </c>
      <c r="N8833" s="7" t="s">
        <v>55127</v>
      </c>
      <c r="O8833" s="8" t="str">
        <f>HYPERLINK("https://drive.google.com/file/d/1s__1gKK2LpOsxdaUgBNngsDfjgzGcKve/view?usp=drivesdk","8832_Ifqi Nahdliati, SE _ SERTIFIKAT BerAKHLAK")</f>
        <v>8832_Ifqi Nahdliati, SE _ SERTIFIKAT BerAKHLAK</v>
      </c>
      <c r="P8833" s="5" t="s">
        <v>55121</v>
      </c>
    </row>
    <row r="8834">
      <c r="A8834" s="4">
        <v>45534.41786028935</v>
      </c>
      <c r="B8834" s="5" t="s">
        <v>34</v>
      </c>
      <c r="D8834" s="5" t="s">
        <v>6232</v>
      </c>
      <c r="E8834" s="5" t="s">
        <v>55128</v>
      </c>
      <c r="F8834" s="5" t="s">
        <v>72</v>
      </c>
      <c r="G8834" s="5" t="s">
        <v>55129</v>
      </c>
      <c r="H8834" s="6" t="s">
        <v>55130</v>
      </c>
      <c r="K8834" s="5" t="s">
        <v>55125</v>
      </c>
      <c r="M8834" s="5" t="s">
        <v>55131</v>
      </c>
      <c r="N8834" s="7" t="s">
        <v>55132</v>
      </c>
      <c r="O8834" s="8" t="str">
        <f>HYPERLINK("https://drive.google.com/file/d/1jKgFJWKvgoISjFKDrLrbhS0UPDxM73TK/view?usp=drivesdk","8833_DIANA ANDAYANI, S.K.M., M.M. _ SERTIFIKAT BerAKHLAK")</f>
        <v>8833_DIANA ANDAYANI, S.K.M., M.M. _ SERTIFIKAT BerAKHLAK</v>
      </c>
      <c r="P8834" s="5" t="s">
        <v>55121</v>
      </c>
    </row>
    <row r="8835" hidden="1">
      <c r="A8835" s="4">
        <v>45534.41786112268</v>
      </c>
      <c r="B8835" s="5" t="s">
        <v>19</v>
      </c>
      <c r="C8835" s="5" t="s">
        <v>55133</v>
      </c>
      <c r="E8835" s="5" t="s">
        <v>55134</v>
      </c>
      <c r="F8835" s="5" t="s">
        <v>108</v>
      </c>
      <c r="G8835" s="5" t="s">
        <v>55135</v>
      </c>
      <c r="H8835" s="6" t="s">
        <v>55136</v>
      </c>
      <c r="K8835" s="5" t="s">
        <v>55125</v>
      </c>
      <c r="M8835" s="5" t="s">
        <v>55137</v>
      </c>
      <c r="N8835" s="7" t="s">
        <v>55138</v>
      </c>
      <c r="O8835" s="8" t="str">
        <f>HYPERLINK("https://drive.google.com/file/d/1iHCF3-0Ps4gWEzs9ND-UvPeF7-nc9bHH/view?usp=drivesdk","8834_WISNU BUDI KURNIAWAN, S.M. _ SERTIFIKAT BerAKHLAK")</f>
        <v>8834_WISNU BUDI KURNIAWAN, S.M. _ SERTIFIKAT BerAKHLAK</v>
      </c>
      <c r="P8835" s="5" t="s">
        <v>55139</v>
      </c>
    </row>
    <row r="8836">
      <c r="A8836" s="4">
        <v>45534.41789318287</v>
      </c>
      <c r="B8836" s="5" t="s">
        <v>34</v>
      </c>
      <c r="D8836" s="5" t="s">
        <v>4775</v>
      </c>
      <c r="E8836" s="5" t="s">
        <v>55140</v>
      </c>
      <c r="F8836" s="5" t="s">
        <v>375</v>
      </c>
      <c r="G8836" s="5" t="s">
        <v>55141</v>
      </c>
      <c r="H8836" s="6" t="s">
        <v>55142</v>
      </c>
      <c r="K8836" s="5" t="s">
        <v>55143</v>
      </c>
      <c r="M8836" s="5" t="s">
        <v>55144</v>
      </c>
      <c r="N8836" s="7" t="s">
        <v>55145</v>
      </c>
      <c r="O8836" s="8" t="str">
        <f>HYPERLINK("https://drive.google.com/file/d/1G-JKBJvmiAry-xf0JqQ5aCK7BTbbb_5W/view?usp=drivesdk","8835_SUWARNI, S.PD., MH. _ SERTIFIKAT BerAKHLAK")</f>
        <v>8835_SUWARNI, S.PD., MH. _ SERTIFIKAT BerAKHLAK</v>
      </c>
      <c r="P8836" s="5" t="s">
        <v>55139</v>
      </c>
    </row>
    <row r="8837">
      <c r="A8837" s="4">
        <v>45534.41791969907</v>
      </c>
      <c r="B8837" s="5" t="s">
        <v>34</v>
      </c>
      <c r="D8837" s="5" t="s">
        <v>1206</v>
      </c>
      <c r="E8837" s="5" t="s">
        <v>55146</v>
      </c>
      <c r="F8837" s="5" t="s">
        <v>212</v>
      </c>
      <c r="G8837" s="5" t="s">
        <v>55147</v>
      </c>
      <c r="H8837" s="6" t="s">
        <v>55148</v>
      </c>
      <c r="K8837" s="5" t="s">
        <v>55149</v>
      </c>
      <c r="M8837" s="5" t="s">
        <v>55150</v>
      </c>
      <c r="N8837" s="7" t="s">
        <v>55151</v>
      </c>
      <c r="O8837" s="8" t="str">
        <f>HYPERLINK("https://drive.google.com/file/d/11ZX6jbcjuaTFiRGDP_043FP9SexxhWZR/view?usp=drivesdk","8836_HANIFAH _ SERTIFIKAT BerAKHLAK")</f>
        <v>8836_HANIFAH _ SERTIFIKAT BerAKHLAK</v>
      </c>
      <c r="P8837" s="5" t="s">
        <v>55139</v>
      </c>
    </row>
    <row r="8838">
      <c r="A8838" s="4">
        <v>45534.417930868054</v>
      </c>
      <c r="B8838" s="5" t="s">
        <v>34</v>
      </c>
      <c r="D8838" s="5" t="s">
        <v>6232</v>
      </c>
      <c r="E8838" s="5" t="s">
        <v>55152</v>
      </c>
      <c r="F8838" s="5" t="s">
        <v>120</v>
      </c>
      <c r="G8838" s="5" t="s">
        <v>55153</v>
      </c>
      <c r="H8838" s="6" t="s">
        <v>55154</v>
      </c>
      <c r="K8838" s="5" t="s">
        <v>55155</v>
      </c>
      <c r="M8838" s="5" t="s">
        <v>55156</v>
      </c>
      <c r="N8838" s="7" t="s">
        <v>55157</v>
      </c>
      <c r="O8838" s="8" t="str">
        <f>HYPERLINK("https://drive.google.com/file/d/1j63-URK2kKbXpj17NUJRjiwLJjpOmXfu/view?usp=drivesdk","8837_SAMSINAR,S.H _ SERTIFIKAT BerAKHLAK")</f>
        <v>8837_SAMSINAR,S.H _ SERTIFIKAT BerAKHLAK</v>
      </c>
      <c r="P8838" s="5" t="s">
        <v>55139</v>
      </c>
    </row>
    <row r="8839">
      <c r="A8839" s="4">
        <v>45534.417939039355</v>
      </c>
      <c r="B8839" s="5" t="s">
        <v>34</v>
      </c>
      <c r="D8839" s="5" t="s">
        <v>12978</v>
      </c>
      <c r="E8839" s="5" t="s">
        <v>55158</v>
      </c>
      <c r="F8839" s="5" t="s">
        <v>212</v>
      </c>
      <c r="G8839" s="5" t="s">
        <v>55159</v>
      </c>
      <c r="H8839" s="6" t="s">
        <v>55160</v>
      </c>
      <c r="K8839" s="5" t="s">
        <v>55155</v>
      </c>
      <c r="M8839" s="5" t="s">
        <v>55161</v>
      </c>
      <c r="N8839" s="7" t="s">
        <v>55162</v>
      </c>
      <c r="O8839" s="8" t="str">
        <f>HYPERLINK("https://drive.google.com/file/d/12ASovLfZ6deV5bzGjjWZowd8V6-7wiQR/view?usp=drivesdk","8838_DADANG _ SERTIFIKAT BerAKHLAK")</f>
        <v>8838_DADANG _ SERTIFIKAT BerAKHLAK</v>
      </c>
      <c r="P8839" s="5" t="s">
        <v>55163</v>
      </c>
    </row>
    <row r="8840">
      <c r="A8840" s="4">
        <v>45534.417944479166</v>
      </c>
      <c r="B8840" s="5" t="s">
        <v>34</v>
      </c>
      <c r="D8840" s="5" t="s">
        <v>35</v>
      </c>
      <c r="E8840" s="5" t="s">
        <v>55164</v>
      </c>
      <c r="F8840" s="5" t="s">
        <v>524</v>
      </c>
      <c r="G8840" s="5" t="s">
        <v>55165</v>
      </c>
      <c r="H8840" s="6" t="s">
        <v>55166</v>
      </c>
      <c r="K8840" s="5" t="s">
        <v>55167</v>
      </c>
      <c r="M8840" s="5" t="s">
        <v>55168</v>
      </c>
      <c r="N8840" s="7" t="s">
        <v>55169</v>
      </c>
      <c r="O8840" s="8" t="str">
        <f>HYPERLINK("https://drive.google.com/file/d/1hrq0L6INLhvVNxRaIsY0-_EuBKSZou0a/view?usp=drivesdk","8839_AHMAD FAISAL _ SERTIFIKAT BerAKHLAK")</f>
        <v>8839_AHMAD FAISAL _ SERTIFIKAT BerAKHLAK</v>
      </c>
      <c r="P8840" s="5" t="s">
        <v>55163</v>
      </c>
    </row>
    <row r="8841">
      <c r="A8841" s="4">
        <v>45534.41796438658</v>
      </c>
      <c r="B8841" s="5" t="s">
        <v>34</v>
      </c>
      <c r="D8841" s="5" t="s">
        <v>580</v>
      </c>
      <c r="E8841" s="5" t="s">
        <v>55170</v>
      </c>
      <c r="F8841" s="5" t="s">
        <v>375</v>
      </c>
      <c r="G8841" s="5" t="s">
        <v>55171</v>
      </c>
      <c r="H8841" s="6" t="s">
        <v>55172</v>
      </c>
      <c r="K8841" s="5" t="s">
        <v>55167</v>
      </c>
      <c r="M8841" s="5" t="s">
        <v>55173</v>
      </c>
      <c r="N8841" s="7" t="s">
        <v>55174</v>
      </c>
      <c r="O8841" s="8" t="str">
        <f>HYPERLINK("https://drive.google.com/file/d/1Y3OfFvvxkXJCYfYj6YS6HEakGQtHTytn/view?usp=drivesdk","8840_I MADE SARI WIRA ADA _ SERTIFIKAT BerAKHLAK")</f>
        <v>8840_I MADE SARI WIRA ADA _ SERTIFIKAT BerAKHLAK</v>
      </c>
      <c r="P8841" s="5" t="s">
        <v>55163</v>
      </c>
    </row>
    <row r="8842">
      <c r="A8842" s="4">
        <v>45534.41799773148</v>
      </c>
      <c r="B8842" s="5" t="s">
        <v>34</v>
      </c>
      <c r="D8842" s="5" t="s">
        <v>11527</v>
      </c>
      <c r="E8842" s="5" t="s">
        <v>55175</v>
      </c>
      <c r="F8842" s="5" t="s">
        <v>120</v>
      </c>
      <c r="G8842" s="5" t="s">
        <v>55176</v>
      </c>
      <c r="H8842" s="6" t="s">
        <v>55177</v>
      </c>
      <c r="K8842" s="5" t="s">
        <v>55178</v>
      </c>
      <c r="M8842" s="5" t="s">
        <v>55179</v>
      </c>
      <c r="N8842" s="7" t="s">
        <v>55180</v>
      </c>
      <c r="O8842" s="8" t="str">
        <f>HYPERLINK("https://drive.google.com/file/d/1zmNa0b48UmtYjAEkAlU-05v2qb4Frwew/view?usp=drivesdk","8841_AMELIA LUKE  _ SERTIFIKAT BerAKHLAK")</f>
        <v>8841_AMELIA LUKE  _ SERTIFIKAT BerAKHLAK</v>
      </c>
      <c r="P8842" s="5" t="s">
        <v>55163</v>
      </c>
    </row>
    <row r="8843">
      <c r="A8843" s="4">
        <v>45534.418006886575</v>
      </c>
      <c r="B8843" s="5" t="s">
        <v>34</v>
      </c>
      <c r="D8843" s="5" t="s">
        <v>996</v>
      </c>
      <c r="E8843" s="5" t="s">
        <v>55181</v>
      </c>
      <c r="F8843" s="5" t="s">
        <v>375</v>
      </c>
      <c r="G8843" s="5" t="s">
        <v>55182</v>
      </c>
      <c r="H8843" s="6" t="s">
        <v>55183</v>
      </c>
      <c r="K8843" s="5" t="s">
        <v>55184</v>
      </c>
      <c r="M8843" s="5" t="s">
        <v>55185</v>
      </c>
      <c r="N8843" s="7" t="s">
        <v>55186</v>
      </c>
      <c r="O8843" s="8" t="str">
        <f>HYPERLINK("https://drive.google.com/file/d/1Nkt_oJjS10KqSzRjmGclTfFTXG-nu42I/view?usp=drivesdk","8842_NURMINA, S.SOS _ SERTIFIKAT BerAKHLAK")</f>
        <v>8842_NURMINA, S.SOS _ SERTIFIKAT BerAKHLAK</v>
      </c>
      <c r="P8843" s="5" t="s">
        <v>55163</v>
      </c>
    </row>
    <row r="8844">
      <c r="A8844" s="4">
        <v>45534.418009236106</v>
      </c>
      <c r="B8844" s="5" t="s">
        <v>34</v>
      </c>
      <c r="D8844" s="5" t="s">
        <v>1456</v>
      </c>
      <c r="E8844" s="5" t="s">
        <v>55187</v>
      </c>
      <c r="F8844" s="5" t="s">
        <v>37</v>
      </c>
      <c r="G8844" s="5" t="s">
        <v>55188</v>
      </c>
      <c r="H8844" s="6" t="s">
        <v>55189</v>
      </c>
      <c r="K8844" s="5" t="s">
        <v>55184</v>
      </c>
      <c r="M8844" s="5" t="s">
        <v>55190</v>
      </c>
      <c r="N8844" s="7" t="s">
        <v>55191</v>
      </c>
      <c r="O8844" s="8" t="str">
        <f>HYPERLINK("https://drive.google.com/file/d/1yKsBcKIefkkXlVrf-FTHCvWPhnFch43b/view?usp=drivesdk","8843_SIGIT HARIYANTO _ SERTIFIKAT BerAKHLAK")</f>
        <v>8843_SIGIT HARIYANTO _ SERTIFIKAT BerAKHLAK</v>
      </c>
      <c r="P8844" s="5" t="s">
        <v>55192</v>
      </c>
    </row>
    <row r="8845" hidden="1">
      <c r="A8845" s="4">
        <v>45534.418085682875</v>
      </c>
      <c r="B8845" s="5" t="s">
        <v>19</v>
      </c>
      <c r="C8845" s="5" t="s">
        <v>292</v>
      </c>
      <c r="E8845" s="5" t="s">
        <v>55193</v>
      </c>
      <c r="F8845" s="5" t="s">
        <v>120</v>
      </c>
      <c r="G8845" s="5" t="s">
        <v>55194</v>
      </c>
      <c r="H8845" s="6" t="s">
        <v>55195</v>
      </c>
      <c r="K8845" s="5" t="s">
        <v>55196</v>
      </c>
      <c r="M8845" s="5" t="s">
        <v>55197</v>
      </c>
      <c r="N8845" s="7" t="s">
        <v>55198</v>
      </c>
      <c r="O8845" s="8" t="str">
        <f>HYPERLINK("https://drive.google.com/file/d/1QbzYXnIHFCUfX4sHwoxa-6erBCFeS-s0/view?usp=drivesdk","8844_IWAN KURNIAWAN,SE.,M.Ak _ SERTIFIKAT BerAKHLAK")</f>
        <v>8844_IWAN KURNIAWAN,SE.,M.Ak _ SERTIFIKAT BerAKHLAK</v>
      </c>
      <c r="P8845" s="5" t="s">
        <v>55192</v>
      </c>
    </row>
    <row r="8846">
      <c r="A8846" s="4">
        <v>45534.41809037037</v>
      </c>
      <c r="B8846" s="5" t="s">
        <v>34</v>
      </c>
      <c r="D8846" s="5" t="s">
        <v>1206</v>
      </c>
      <c r="E8846" s="5" t="s">
        <v>55199</v>
      </c>
      <c r="F8846" s="5" t="s">
        <v>37</v>
      </c>
      <c r="G8846" s="5" t="s">
        <v>55200</v>
      </c>
      <c r="H8846" s="6" t="s">
        <v>55201</v>
      </c>
      <c r="K8846" s="5" t="s">
        <v>55196</v>
      </c>
      <c r="M8846" s="5" t="s">
        <v>55202</v>
      </c>
      <c r="N8846" s="7" t="s">
        <v>55203</v>
      </c>
      <c r="O8846" s="8" t="str">
        <f>HYPERLINK("https://drive.google.com/file/d/1R509FsfdQfD8QUXgSytYESYwka0hpquh/view?usp=drivesdk","8845_ANIS ULFA _ SERTIFIKAT BerAKHLAK")</f>
        <v>8845_ANIS ULFA _ SERTIFIKAT BerAKHLAK</v>
      </c>
      <c r="P8846" s="5" t="s">
        <v>55192</v>
      </c>
    </row>
    <row r="8847">
      <c r="A8847" s="4">
        <v>45534.41809850694</v>
      </c>
      <c r="B8847" s="5" t="s">
        <v>34</v>
      </c>
      <c r="D8847" s="5" t="s">
        <v>14313</v>
      </c>
      <c r="E8847" s="5" t="s">
        <v>55204</v>
      </c>
      <c r="F8847" s="5" t="s">
        <v>37</v>
      </c>
      <c r="G8847" s="5" t="s">
        <v>55205</v>
      </c>
      <c r="H8847" s="6" t="s">
        <v>55206</v>
      </c>
      <c r="K8847" s="5" t="s">
        <v>55196</v>
      </c>
      <c r="M8847" s="5" t="s">
        <v>55207</v>
      </c>
      <c r="N8847" s="7" t="s">
        <v>55208</v>
      </c>
      <c r="O8847" s="8" t="str">
        <f>HYPERLINK("https://drive.google.com/file/d/1P7mc05EsA0k7FUaixiqzAxbx6k2LrASr/view?usp=drivesdk","8846_PALELLERI _ SERTIFIKAT BerAKHLAK")</f>
        <v>8846_PALELLERI _ SERTIFIKAT BerAKHLAK</v>
      </c>
      <c r="P8847" s="5" t="s">
        <v>55192</v>
      </c>
    </row>
    <row r="8848">
      <c r="A8848" s="4">
        <v>45534.4181827662</v>
      </c>
      <c r="B8848" s="5" t="s">
        <v>34</v>
      </c>
      <c r="D8848" s="5" t="s">
        <v>2903</v>
      </c>
      <c r="E8848" s="5" t="s">
        <v>55209</v>
      </c>
      <c r="F8848" s="5" t="s">
        <v>120</v>
      </c>
      <c r="G8848" s="5" t="s">
        <v>55210</v>
      </c>
      <c r="H8848" s="6" t="s">
        <v>55211</v>
      </c>
      <c r="K8848" s="5" t="s">
        <v>55212</v>
      </c>
      <c r="M8848" s="5" t="s">
        <v>55213</v>
      </c>
      <c r="N8848" s="7" t="s">
        <v>55214</v>
      </c>
      <c r="O8848" s="8" t="str">
        <f>HYPERLINK("https://drive.google.com/file/d/1riIRzhndOoH5NYll3UhDpt-Mdp3Ppaf1/view?usp=drivesdk","8847_KASMA DEWI YANTI _ SERTIFIKAT BerAKHLAK")</f>
        <v>8847_KASMA DEWI YANTI _ SERTIFIKAT BerAKHLAK</v>
      </c>
      <c r="P8848" s="5" t="s">
        <v>55192</v>
      </c>
    </row>
    <row r="8849">
      <c r="A8849" s="4">
        <v>45534.418185601855</v>
      </c>
      <c r="B8849" s="5" t="s">
        <v>34</v>
      </c>
      <c r="D8849" s="5" t="s">
        <v>35</v>
      </c>
      <c r="E8849" s="5" t="s">
        <v>55215</v>
      </c>
      <c r="F8849" s="5" t="s">
        <v>524</v>
      </c>
      <c r="G8849" s="5" t="s">
        <v>55216</v>
      </c>
      <c r="H8849" s="6" t="s">
        <v>55217</v>
      </c>
      <c r="K8849" s="5" t="s">
        <v>55212</v>
      </c>
      <c r="M8849" s="5" t="s">
        <v>55218</v>
      </c>
      <c r="N8849" s="7" t="s">
        <v>55219</v>
      </c>
      <c r="O8849" s="8" t="str">
        <f>HYPERLINK("https://drive.google.com/file/d/1JcoxDDtRHXFAcXyUo040b_DVX1Ql5Qa2/view?usp=drivesdk","8848_YAYAT SUPRIATNA, S.Kep.,Ners _ SERTIFIKAT BerAKHLAK")</f>
        <v>8848_YAYAT SUPRIATNA, S.Kep.,Ners _ SERTIFIKAT BerAKHLAK</v>
      </c>
      <c r="P8849" s="5" t="s">
        <v>55192</v>
      </c>
    </row>
    <row r="8850">
      <c r="A8850" s="4">
        <v>45534.4181865162</v>
      </c>
      <c r="B8850" s="5" t="s">
        <v>34</v>
      </c>
      <c r="D8850" s="5" t="s">
        <v>2903</v>
      </c>
      <c r="E8850" s="5" t="s">
        <v>55220</v>
      </c>
      <c r="F8850" s="5" t="s">
        <v>120</v>
      </c>
      <c r="G8850" s="5" t="s">
        <v>55221</v>
      </c>
      <c r="H8850" s="6" t="s">
        <v>55222</v>
      </c>
      <c r="K8850" s="5" t="s">
        <v>55212</v>
      </c>
      <c r="M8850" s="5" t="s">
        <v>55223</v>
      </c>
      <c r="N8850" s="7" t="s">
        <v>55224</v>
      </c>
      <c r="O8850" s="8" t="str">
        <f>HYPERLINK("https://drive.google.com/file/d/1e9sTPCm6vHNVzVbhVYc1YW4vbSCXCkWB/view?usp=drivesdk","8849_TITI AIZA _ SERTIFIKAT BerAKHLAK")</f>
        <v>8849_TITI AIZA _ SERTIFIKAT BerAKHLAK</v>
      </c>
      <c r="P8850" s="5" t="s">
        <v>55225</v>
      </c>
    </row>
    <row r="8851">
      <c r="A8851" s="4">
        <v>45534.418187812495</v>
      </c>
      <c r="B8851" s="5" t="s">
        <v>34</v>
      </c>
      <c r="D8851" s="5" t="s">
        <v>10444</v>
      </c>
      <c r="E8851" s="5" t="s">
        <v>55226</v>
      </c>
      <c r="F8851" s="5" t="s">
        <v>212</v>
      </c>
      <c r="G8851" s="5" t="s">
        <v>55227</v>
      </c>
      <c r="H8851" s="6" t="s">
        <v>55228</v>
      </c>
      <c r="K8851" s="5" t="s">
        <v>55212</v>
      </c>
      <c r="M8851" s="5" t="s">
        <v>55229</v>
      </c>
      <c r="N8851" s="7" t="s">
        <v>55230</v>
      </c>
      <c r="O8851" s="8" t="str">
        <f>HYPERLINK("https://drive.google.com/file/d/1MQK36iiCAxPTcvSPEG3ELuGA5TtebgDv/view?usp=drivesdk","8850_EEP KOSWARA AMD.KEP _ SERTIFIKAT BerAKHLAK")</f>
        <v>8850_EEP KOSWARA AMD.KEP _ SERTIFIKAT BerAKHLAK</v>
      </c>
      <c r="P8851" s="5" t="s">
        <v>55231</v>
      </c>
    </row>
    <row r="8852">
      <c r="A8852" s="4">
        <v>45534.418290625</v>
      </c>
      <c r="B8852" s="5" t="s">
        <v>34</v>
      </c>
      <c r="D8852" s="5" t="s">
        <v>267</v>
      </c>
      <c r="E8852" s="5" t="s">
        <v>55232</v>
      </c>
      <c r="F8852" s="5" t="s">
        <v>212</v>
      </c>
      <c r="G8852" s="5" t="s">
        <v>55233</v>
      </c>
      <c r="H8852" s="6" t="s">
        <v>55234</v>
      </c>
      <c r="K8852" s="5" t="s">
        <v>55235</v>
      </c>
      <c r="M8852" s="5" t="s">
        <v>55236</v>
      </c>
      <c r="N8852" s="7" t="s">
        <v>55237</v>
      </c>
      <c r="O8852" s="8" t="str">
        <f>HYPERLINK("https://drive.google.com/file/d/1t2kuRtjRJTo5UKbloahpiMt70TRaQpKn/view?usp=drivesdk","8851_TRI MARYANI _ SERTIFIKAT BerAKHLAK")</f>
        <v>8851_TRI MARYANI _ SERTIFIKAT BerAKHLAK</v>
      </c>
      <c r="P8852" s="5" t="s">
        <v>55238</v>
      </c>
    </row>
    <row r="8853">
      <c r="A8853" s="4">
        <v>45534.41829376157</v>
      </c>
      <c r="B8853" s="5" t="s">
        <v>34</v>
      </c>
      <c r="D8853" s="5" t="s">
        <v>1206</v>
      </c>
      <c r="E8853" s="5" t="s">
        <v>55239</v>
      </c>
      <c r="F8853" s="5" t="s">
        <v>72</v>
      </c>
      <c r="G8853" s="5" t="s">
        <v>55240</v>
      </c>
      <c r="H8853" s="6" t="s">
        <v>55241</v>
      </c>
      <c r="K8853" s="5" t="s">
        <v>55235</v>
      </c>
      <c r="M8853" s="5" t="s">
        <v>55242</v>
      </c>
      <c r="N8853" s="7" t="s">
        <v>55243</v>
      </c>
      <c r="O8853" s="8" t="str">
        <f>HYPERLINK("https://drive.google.com/file/d/1OeUp6iypZybtSfPt6yOeuC8a6DVaVKnE/view?usp=drivesdk","8852_CHOLIFAH _ SERTIFIKAT BerAKHLAK")</f>
        <v>8852_CHOLIFAH _ SERTIFIKAT BerAKHLAK</v>
      </c>
      <c r="P8853" s="5" t="s">
        <v>55244</v>
      </c>
    </row>
    <row r="8854">
      <c r="A8854" s="4">
        <v>45534.41829884259</v>
      </c>
      <c r="B8854" s="5" t="s">
        <v>34</v>
      </c>
      <c r="D8854" s="5" t="s">
        <v>1206</v>
      </c>
      <c r="E8854" s="5" t="s">
        <v>55245</v>
      </c>
      <c r="F8854" s="5" t="s">
        <v>120</v>
      </c>
      <c r="G8854" s="5" t="s">
        <v>55246</v>
      </c>
      <c r="H8854" s="6" t="s">
        <v>55247</v>
      </c>
      <c r="K8854" s="5" t="s">
        <v>55235</v>
      </c>
      <c r="M8854" s="5" t="s">
        <v>55248</v>
      </c>
      <c r="N8854" s="7" t="s">
        <v>55249</v>
      </c>
      <c r="O8854" s="8" t="str">
        <f>HYPERLINK("https://drive.google.com/file/d/1QDXzxOmKBhH4sJXTCh_w2gn31urYjLgm/view?usp=drivesdk","8853_dr. Budi Prasetyo Sp.An _ SERTIFIKAT BerAKHLAK")</f>
        <v>8853_dr. Budi Prasetyo Sp.An _ SERTIFIKAT BerAKHLAK</v>
      </c>
      <c r="P8854" s="5" t="s">
        <v>55250</v>
      </c>
    </row>
    <row r="8855">
      <c r="A8855" s="4">
        <v>45534.41831245371</v>
      </c>
      <c r="B8855" s="5" t="s">
        <v>34</v>
      </c>
      <c r="D8855" s="5" t="s">
        <v>580</v>
      </c>
      <c r="E8855" s="5" t="s">
        <v>55251</v>
      </c>
      <c r="F8855" s="5" t="s">
        <v>37</v>
      </c>
      <c r="G8855" s="5" t="s">
        <v>55252</v>
      </c>
      <c r="H8855" s="6" t="s">
        <v>55253</v>
      </c>
      <c r="K8855" s="5" t="s">
        <v>55235</v>
      </c>
      <c r="M8855" s="5" t="s">
        <v>55254</v>
      </c>
      <c r="N8855" s="7" t="s">
        <v>55255</v>
      </c>
      <c r="O8855" s="8" t="str">
        <f>HYPERLINK("https://drive.google.com/file/d/1l5D-LTNOd24hEHBUCsZkDRyYstnpgBv9/view?usp=drivesdk","8854_SITA ARYANTI HARSONO,A.Md,Keb _ SERTIFIKAT BerAKHLAK")</f>
        <v>8854_SITA ARYANTI HARSONO,A.Md,Keb _ SERTIFIKAT BerAKHLAK</v>
      </c>
      <c r="P8855" s="5" t="s">
        <v>55256</v>
      </c>
    </row>
    <row r="8856">
      <c r="A8856" s="4">
        <v>45534.41835604167</v>
      </c>
      <c r="B8856" s="5" t="s">
        <v>34</v>
      </c>
      <c r="D8856" s="5" t="s">
        <v>2903</v>
      </c>
      <c r="E8856" s="5" t="s">
        <v>55257</v>
      </c>
      <c r="F8856" s="5" t="s">
        <v>108</v>
      </c>
      <c r="G8856" s="5" t="s">
        <v>55258</v>
      </c>
      <c r="H8856" s="6" t="s">
        <v>55259</v>
      </c>
      <c r="K8856" s="5" t="s">
        <v>55235</v>
      </c>
      <c r="M8856" s="5" t="s">
        <v>55260</v>
      </c>
      <c r="N8856" s="7" t="s">
        <v>55261</v>
      </c>
      <c r="O8856" s="8" t="str">
        <f>HYPERLINK("https://drive.google.com/file/d/1wJlcIe3lmwgLQRbFUc-bSgzpiGaiAbkn/view?usp=drivesdk","8855_JULI FITRIANI, SKM _ SERTIFIKAT BerAKHLAK")</f>
        <v>8855_JULI FITRIANI, SKM _ SERTIFIKAT BerAKHLAK</v>
      </c>
      <c r="P8856" s="5" t="s">
        <v>55262</v>
      </c>
    </row>
    <row r="8857" hidden="1">
      <c r="A8857" s="4">
        <v>45534.41842857639</v>
      </c>
      <c r="B8857" s="5" t="s">
        <v>19</v>
      </c>
      <c r="C8857" s="5" t="s">
        <v>466</v>
      </c>
      <c r="E8857" s="5" t="s">
        <v>55263</v>
      </c>
      <c r="F8857" s="5" t="s">
        <v>375</v>
      </c>
      <c r="G8857" s="5" t="s">
        <v>55264</v>
      </c>
      <c r="H8857" s="6" t="s">
        <v>55265</v>
      </c>
      <c r="K8857" s="5" t="s">
        <v>55235</v>
      </c>
      <c r="M8857" s="5" t="s">
        <v>55266</v>
      </c>
      <c r="N8857" s="7" t="s">
        <v>55267</v>
      </c>
      <c r="O8857" s="8" t="str">
        <f>HYPERLINK("https://drive.google.com/file/d/1odP9A7axJdzOgf-t-zv23jB4B6OI8xNG/view?usp=drivesdk","8856_WAHYU CIPTO _ SERTIFIKAT BerAKHLAK")</f>
        <v>8856_WAHYU CIPTO _ SERTIFIKAT BerAKHLAK</v>
      </c>
      <c r="P8857" s="5" t="s">
        <v>55268</v>
      </c>
    </row>
    <row r="8858">
      <c r="A8858" s="4">
        <v>45534.41849423611</v>
      </c>
      <c r="B8858" s="5" t="s">
        <v>34</v>
      </c>
      <c r="D8858" s="5" t="s">
        <v>35</v>
      </c>
      <c r="E8858" s="5" t="s">
        <v>55269</v>
      </c>
      <c r="F8858" s="5" t="s">
        <v>37</v>
      </c>
      <c r="G8858" s="5" t="s">
        <v>55270</v>
      </c>
      <c r="H8858" s="6" t="s">
        <v>55271</v>
      </c>
      <c r="K8858" s="5" t="s">
        <v>55235</v>
      </c>
      <c r="M8858" s="5" t="s">
        <v>55272</v>
      </c>
      <c r="N8858" s="7" t="s">
        <v>55273</v>
      </c>
      <c r="O8858" s="8" t="str">
        <f>HYPERLINK("https://drive.google.com/file/d/1RlUTdzEhyJ6h8FRki9EGfeOcEbJY0gi_/view?usp=drivesdk","8857_NOVIYANTI HIDAYAT, SM _ SERTIFIKAT BerAKHLAK")</f>
        <v>8857_NOVIYANTI HIDAYAT, SM _ SERTIFIKAT BerAKHLAK</v>
      </c>
      <c r="P8858" s="5" t="s">
        <v>55274</v>
      </c>
    </row>
    <row r="8859">
      <c r="A8859" s="4">
        <v>45534.41852832176</v>
      </c>
      <c r="B8859" s="5" t="s">
        <v>34</v>
      </c>
      <c r="D8859" s="5" t="s">
        <v>4775</v>
      </c>
      <c r="E8859" s="5" t="s">
        <v>55275</v>
      </c>
      <c r="F8859" s="5" t="s">
        <v>375</v>
      </c>
      <c r="G8859" s="5" t="s">
        <v>55276</v>
      </c>
      <c r="H8859" s="6" t="s">
        <v>55277</v>
      </c>
      <c r="K8859" s="5" t="s">
        <v>55235</v>
      </c>
      <c r="M8859" s="5" t="s">
        <v>55278</v>
      </c>
      <c r="N8859" s="7" t="s">
        <v>55279</v>
      </c>
      <c r="O8859" s="8" t="str">
        <f>HYPERLINK("https://drive.google.com/file/d/13LyTqgd2PEOQHCVWgVcrWAlrfRIWj34Y/view?usp=drivesdk","8858_DEDY TRI HARTOTO, S.KOM., M.H. _ SERTIFIKAT BerAKHLAK")</f>
        <v>8858_DEDY TRI HARTOTO, S.KOM., M.H. _ SERTIFIKAT BerAKHLAK</v>
      </c>
      <c r="P8859" s="5" t="s">
        <v>55280</v>
      </c>
    </row>
    <row r="8860">
      <c r="A8860" s="4">
        <v>45534.418534375</v>
      </c>
      <c r="B8860" s="5" t="s">
        <v>34</v>
      </c>
      <c r="D8860" s="5" t="s">
        <v>9020</v>
      </c>
      <c r="E8860" s="5" t="s">
        <v>55281</v>
      </c>
      <c r="F8860" s="5" t="s">
        <v>108</v>
      </c>
      <c r="G8860" s="5" t="s">
        <v>55282</v>
      </c>
      <c r="H8860" s="6" t="s">
        <v>55283</v>
      </c>
      <c r="K8860" s="5" t="s">
        <v>55235</v>
      </c>
      <c r="M8860" s="5" t="s">
        <v>55284</v>
      </c>
      <c r="N8860" s="7" t="s">
        <v>55285</v>
      </c>
      <c r="O8860" s="8" t="str">
        <f>HYPERLINK("https://drive.google.com/file/d/1KEKcvT-ThAQQyByikTllnjoPkeBZ_XMp/view?usp=drivesdk","8859_FITRI KESUMANTA ANGGRAINI BANGUN,SST _ SERTIFIKAT BerAKHLAK")</f>
        <v>8859_FITRI KESUMANTA ANGGRAINI BANGUN,SST _ SERTIFIKAT BerAKHLAK</v>
      </c>
      <c r="P8860" s="5" t="s">
        <v>55286</v>
      </c>
    </row>
    <row r="8861">
      <c r="A8861" s="4">
        <v>45534.418555543976</v>
      </c>
      <c r="B8861" s="5" t="s">
        <v>34</v>
      </c>
      <c r="D8861" s="5" t="s">
        <v>1206</v>
      </c>
      <c r="E8861" s="5" t="s">
        <v>55287</v>
      </c>
      <c r="F8861" s="5" t="s">
        <v>375</v>
      </c>
      <c r="G8861" s="5" t="s">
        <v>55288</v>
      </c>
      <c r="H8861" s="6" t="s">
        <v>55289</v>
      </c>
      <c r="K8861" s="5" t="s">
        <v>55235</v>
      </c>
      <c r="M8861" s="5" t="s">
        <v>55290</v>
      </c>
      <c r="N8861" s="7" t="s">
        <v>55291</v>
      </c>
      <c r="O8861" s="8" t="str">
        <f>HYPERLINK("https://drive.google.com/file/d/15GaU7MIX7312oQZGz0CgsGRTr1LDsCEl/view?usp=drivesdk","8860_PATRIA TUNGGA DEWA, S.T. _ SERTIFIKAT BerAKHLAK")</f>
        <v>8860_PATRIA TUNGGA DEWA, S.T. _ SERTIFIKAT BerAKHLAK</v>
      </c>
      <c r="P8861" s="5" t="s">
        <v>55292</v>
      </c>
    </row>
    <row r="8862">
      <c r="A8862" s="4">
        <v>45534.41865795139</v>
      </c>
      <c r="B8862" s="5" t="s">
        <v>34</v>
      </c>
      <c r="D8862" s="5" t="s">
        <v>522</v>
      </c>
      <c r="E8862" s="5" t="s">
        <v>55293</v>
      </c>
      <c r="F8862" s="5" t="s">
        <v>375</v>
      </c>
      <c r="G8862" s="5" t="s">
        <v>55294</v>
      </c>
      <c r="H8862" s="6" t="s">
        <v>55295</v>
      </c>
      <c r="K8862" s="5" t="s">
        <v>55235</v>
      </c>
      <c r="M8862" s="5" t="s">
        <v>55296</v>
      </c>
      <c r="N8862" s="7" t="s">
        <v>55297</v>
      </c>
      <c r="O8862" s="8" t="str">
        <f>HYPERLINK("https://drive.google.com/file/d/1Jk6HXBFTKqQRx5sCjk6nrGndBfkd1RUJ/view?usp=drivesdk","8861_RAHMA ELIANA S. Psi _ SERTIFIKAT BerAKHLAK")</f>
        <v>8861_RAHMA ELIANA S. Psi _ SERTIFIKAT BerAKHLAK</v>
      </c>
      <c r="P8862" s="5" t="s">
        <v>55298</v>
      </c>
    </row>
    <row r="8863">
      <c r="A8863" s="4">
        <v>45534.41868726852</v>
      </c>
      <c r="B8863" s="5" t="s">
        <v>34</v>
      </c>
      <c r="D8863" s="5" t="s">
        <v>267</v>
      </c>
      <c r="E8863" s="5" t="s">
        <v>55299</v>
      </c>
      <c r="F8863" s="5" t="s">
        <v>375</v>
      </c>
      <c r="G8863" s="5" t="s">
        <v>55300</v>
      </c>
      <c r="H8863" s="6" t="s">
        <v>55301</v>
      </c>
      <c r="K8863" s="5" t="s">
        <v>55235</v>
      </c>
      <c r="M8863" s="5" t="s">
        <v>55302</v>
      </c>
      <c r="N8863" s="7" t="s">
        <v>55303</v>
      </c>
      <c r="O8863" s="8" t="str">
        <f>HYPERLINK("https://drive.google.com/file/d/1FdrWEenC7FMyZwVa9j-k8yB1OCwnc25b/view?usp=drivesdk","8862_SISWANTORO, S.E. _ SERTIFIKAT BerAKHLAK")</f>
        <v>8862_SISWANTORO, S.E. _ SERTIFIKAT BerAKHLAK</v>
      </c>
      <c r="P8863" s="5" t="s">
        <v>55304</v>
      </c>
    </row>
    <row r="8864">
      <c r="A8864" s="4">
        <v>45534.41871857639</v>
      </c>
      <c r="B8864" s="5" t="s">
        <v>34</v>
      </c>
      <c r="D8864" s="5" t="s">
        <v>1558</v>
      </c>
      <c r="E8864" s="5" t="s">
        <v>55305</v>
      </c>
      <c r="F8864" s="5" t="s">
        <v>108</v>
      </c>
      <c r="G8864" s="5" t="s">
        <v>55306</v>
      </c>
      <c r="H8864" s="6" t="s">
        <v>55307</v>
      </c>
      <c r="K8864" s="5" t="s">
        <v>55235</v>
      </c>
      <c r="M8864" s="5" t="s">
        <v>55308</v>
      </c>
      <c r="N8864" s="7" t="s">
        <v>55309</v>
      </c>
      <c r="O8864" s="8" t="str">
        <f>HYPERLINK("https://drive.google.com/file/d/1y1gC-a2_BFtKH9ktVVnixeVJ8a0smeNg/view?usp=drivesdk","8863_YAYAN CHRISTIAN NUGROHO, A.Md. _ SERTIFIKAT BerAKHLAK")</f>
        <v>8863_YAYAN CHRISTIAN NUGROHO, A.Md. _ SERTIFIKAT BerAKHLAK</v>
      </c>
      <c r="P8864" s="5" t="s">
        <v>55310</v>
      </c>
    </row>
    <row r="8865">
      <c r="A8865" s="4">
        <v>45534.41884362268</v>
      </c>
      <c r="B8865" s="5" t="s">
        <v>34</v>
      </c>
      <c r="D8865" s="5" t="s">
        <v>12978</v>
      </c>
      <c r="E8865" s="5" t="s">
        <v>55311</v>
      </c>
      <c r="F8865" s="5" t="s">
        <v>72</v>
      </c>
      <c r="G8865" s="5" t="s">
        <v>55312</v>
      </c>
      <c r="H8865" s="6" t="s">
        <v>55313</v>
      </c>
      <c r="K8865" s="5" t="s">
        <v>55235</v>
      </c>
      <c r="M8865" s="5" t="s">
        <v>55314</v>
      </c>
      <c r="N8865" s="7" t="s">
        <v>55315</v>
      </c>
      <c r="O8865" s="8" t="str">
        <f>HYPERLINK("https://drive.google.com/file/d/10o9p7XukRB-vbb6ryx_hit4S4lyerY1c/view?usp=drivesdk","8864_SUJIYATI _ SERTIFIKAT BerAKHLAK")</f>
        <v>8864_SUJIYATI _ SERTIFIKAT BerAKHLAK</v>
      </c>
      <c r="P8865" s="5" t="s">
        <v>55316</v>
      </c>
    </row>
    <row r="8866">
      <c r="A8866" s="4">
        <v>45534.418869988425</v>
      </c>
      <c r="B8866" s="5" t="s">
        <v>34</v>
      </c>
      <c r="D8866" s="5" t="s">
        <v>12978</v>
      </c>
      <c r="E8866" s="5" t="s">
        <v>55317</v>
      </c>
      <c r="F8866" s="5" t="s">
        <v>212</v>
      </c>
      <c r="G8866" s="5" t="s">
        <v>55318</v>
      </c>
      <c r="H8866" s="6" t="s">
        <v>55319</v>
      </c>
      <c r="K8866" s="5" t="s">
        <v>55320</v>
      </c>
      <c r="M8866" s="5" t="s">
        <v>55321</v>
      </c>
      <c r="N8866" s="7" t="s">
        <v>55322</v>
      </c>
      <c r="O8866" s="8" t="str">
        <f>HYPERLINK("https://drive.google.com/file/d/16uzz3xle_6yuxr4j-C8SMwT4otDZL553/view?usp=drivesdk","8865_SITMI, A.Md _ SERTIFIKAT BerAKHLAK")</f>
        <v>8865_SITMI, A.Md _ SERTIFIKAT BerAKHLAK</v>
      </c>
      <c r="P8866" s="5" t="s">
        <v>55323</v>
      </c>
    </row>
    <row r="8867">
      <c r="A8867" s="4">
        <v>45534.4188775</v>
      </c>
      <c r="B8867" s="5" t="s">
        <v>34</v>
      </c>
      <c r="D8867" s="5" t="s">
        <v>35</v>
      </c>
      <c r="E8867" s="5" t="s">
        <v>55324</v>
      </c>
      <c r="F8867" s="5" t="s">
        <v>108</v>
      </c>
      <c r="G8867" s="5" t="s">
        <v>55325</v>
      </c>
      <c r="H8867" s="6" t="s">
        <v>55326</v>
      </c>
      <c r="K8867" s="5" t="s">
        <v>55320</v>
      </c>
      <c r="M8867" s="5" t="s">
        <v>55327</v>
      </c>
      <c r="N8867" s="7" t="s">
        <v>55328</v>
      </c>
      <c r="O8867" s="8" t="str">
        <f>HYPERLINK("https://drive.google.com/file/d/1zSc5P0DHmwIHpCqpRiSDYB18xOJP6wF1/view?usp=drivesdk","8866_ANI SURYANI _ SERTIFIKAT BerAKHLAK")</f>
        <v>8866_ANI SURYANI _ SERTIFIKAT BerAKHLAK</v>
      </c>
      <c r="P8867" s="5" t="s">
        <v>55329</v>
      </c>
    </row>
    <row r="8868">
      <c r="A8868" s="4">
        <v>45534.41892869213</v>
      </c>
      <c r="B8868" s="5" t="s">
        <v>34</v>
      </c>
      <c r="D8868" s="5" t="s">
        <v>35</v>
      </c>
      <c r="E8868" s="5" t="s">
        <v>55330</v>
      </c>
      <c r="F8868" s="5" t="s">
        <v>212</v>
      </c>
      <c r="G8868" s="5" t="s">
        <v>55331</v>
      </c>
      <c r="H8868" s="6" t="s">
        <v>55332</v>
      </c>
      <c r="K8868" s="5" t="s">
        <v>55333</v>
      </c>
      <c r="M8868" s="5" t="s">
        <v>55334</v>
      </c>
      <c r="N8868" s="7" t="s">
        <v>55335</v>
      </c>
      <c r="O8868" s="8" t="str">
        <f>HYPERLINK("https://drive.google.com/file/d/1DUhVoNJWIC-7rw19fQzquICpogcu0YJG/view?usp=drivesdk","8867_DADAN EKA HENDRAWAN _ SERTIFIKAT BerAKHLAK")</f>
        <v>8867_DADAN EKA HENDRAWAN _ SERTIFIKAT BerAKHLAK</v>
      </c>
      <c r="P8868" s="5" t="s">
        <v>55336</v>
      </c>
    </row>
    <row r="8869">
      <c r="A8869" s="4">
        <v>45534.41894314815</v>
      </c>
      <c r="B8869" s="5" t="s">
        <v>34</v>
      </c>
      <c r="D8869" s="5" t="s">
        <v>1558</v>
      </c>
      <c r="E8869" s="5" t="s">
        <v>55337</v>
      </c>
      <c r="F8869" s="5" t="s">
        <v>72</v>
      </c>
      <c r="G8869" s="5" t="s">
        <v>55338</v>
      </c>
      <c r="H8869" s="6" t="s">
        <v>55339</v>
      </c>
      <c r="K8869" s="5" t="s">
        <v>55340</v>
      </c>
      <c r="M8869" s="5" t="s">
        <v>55341</v>
      </c>
      <c r="N8869" s="7" t="s">
        <v>55342</v>
      </c>
      <c r="O8869" s="8" t="str">
        <f>HYPERLINK("https://drive.google.com/file/d/12VRo-0EPOHlTn8MIPWcgfz013O1oHREs/view?usp=drivesdk","8868_ASEP RIATMAJA _ SERTIFIKAT BerAKHLAK")</f>
        <v>8868_ASEP RIATMAJA _ SERTIFIKAT BerAKHLAK</v>
      </c>
      <c r="P8869" s="5" t="s">
        <v>55343</v>
      </c>
    </row>
    <row r="8870">
      <c r="A8870" s="4">
        <v>45534.41897304398</v>
      </c>
      <c r="B8870" s="5" t="s">
        <v>34</v>
      </c>
      <c r="D8870" s="5" t="s">
        <v>1206</v>
      </c>
      <c r="E8870" s="5" t="s">
        <v>55344</v>
      </c>
      <c r="F8870" s="5" t="s">
        <v>328</v>
      </c>
      <c r="G8870" s="5" t="s">
        <v>55345</v>
      </c>
      <c r="H8870" s="6" t="s">
        <v>55346</v>
      </c>
      <c r="K8870" s="5" t="s">
        <v>55340</v>
      </c>
      <c r="M8870" s="5" t="s">
        <v>55347</v>
      </c>
      <c r="N8870" s="7" t="s">
        <v>55348</v>
      </c>
      <c r="O8870" s="8" t="str">
        <f>HYPERLINK("https://drive.google.com/file/d/135ypwqxkIfYMVchwMqy-1EJ63WfwRoqI/view?usp=drivesdk","8869_ALI FATARI _ SERTIFIKAT BerAKHLAK")</f>
        <v>8869_ALI FATARI _ SERTIFIKAT BerAKHLAK</v>
      </c>
      <c r="P8870" s="5" t="s">
        <v>55349</v>
      </c>
    </row>
    <row r="8871" hidden="1">
      <c r="A8871" s="4">
        <v>45534.4189940625</v>
      </c>
      <c r="B8871" s="5" t="s">
        <v>19</v>
      </c>
      <c r="C8871" s="5" t="s">
        <v>20</v>
      </c>
      <c r="E8871" s="5" t="s">
        <v>55350</v>
      </c>
      <c r="F8871" s="5" t="s">
        <v>120</v>
      </c>
      <c r="G8871" s="5" t="s">
        <v>55351</v>
      </c>
      <c r="H8871" s="6" t="s">
        <v>55352</v>
      </c>
      <c r="K8871" s="5" t="s">
        <v>55353</v>
      </c>
      <c r="M8871" s="5" t="s">
        <v>55354</v>
      </c>
      <c r="N8871" s="7" t="s">
        <v>55355</v>
      </c>
      <c r="O8871" s="8" t="str">
        <f>HYPERLINK("https://drive.google.com/file/d/1OXRjkRwQ9xgV0RNa9joUg0qM8-DQ8DH6/view?usp=drivesdk","8870_JULISTINA  _ SERTIFIKAT BerAKHLAK")</f>
        <v>8870_JULISTINA  _ SERTIFIKAT BerAKHLAK</v>
      </c>
      <c r="P8871" s="5" t="s">
        <v>55356</v>
      </c>
    </row>
    <row r="8872">
      <c r="A8872" s="4">
        <v>45534.4190050926</v>
      </c>
      <c r="B8872" s="5" t="s">
        <v>34</v>
      </c>
      <c r="D8872" s="5" t="s">
        <v>701</v>
      </c>
      <c r="E8872" s="5" t="s">
        <v>55357</v>
      </c>
      <c r="F8872" s="5" t="s">
        <v>212</v>
      </c>
      <c r="G8872" s="5" t="s">
        <v>55358</v>
      </c>
      <c r="H8872" s="6" t="s">
        <v>55359</v>
      </c>
      <c r="K8872" s="5" t="s">
        <v>55353</v>
      </c>
      <c r="M8872" s="5" t="s">
        <v>55360</v>
      </c>
      <c r="N8872" s="7" t="s">
        <v>55361</v>
      </c>
      <c r="O8872" s="8" t="str">
        <f>HYPERLINK("https://drive.google.com/file/d/1y4cyvCp7BmxOMujVPFQzJU60lNRMYuoO/view?usp=drivesdk","8871_ASRA APRIYANTI _ SERTIFIKAT BerAKHLAK")</f>
        <v>8871_ASRA APRIYANTI _ SERTIFIKAT BerAKHLAK</v>
      </c>
      <c r="P8872" s="5" t="s">
        <v>55362</v>
      </c>
    </row>
    <row r="8873">
      <c r="A8873" s="4">
        <v>45534.419014444444</v>
      </c>
      <c r="B8873" s="5" t="s">
        <v>34</v>
      </c>
      <c r="D8873" s="5" t="s">
        <v>10444</v>
      </c>
      <c r="E8873" s="5" t="s">
        <v>55363</v>
      </c>
      <c r="F8873" s="5" t="s">
        <v>120</v>
      </c>
      <c r="G8873" s="5" t="s">
        <v>55364</v>
      </c>
      <c r="H8873" s="6" t="s">
        <v>55365</v>
      </c>
      <c r="K8873" s="5" t="s">
        <v>55353</v>
      </c>
      <c r="M8873" s="5" t="s">
        <v>55366</v>
      </c>
      <c r="N8873" s="7" t="s">
        <v>55367</v>
      </c>
      <c r="O8873" s="8" t="str">
        <f>HYPERLINK("https://drive.google.com/file/d/1ChETB6G2vCrc0hmFYE3aulmn0X_cGJzP/view?usp=drivesdk","8872_Drg WENY HERAWATI _ SERTIFIKAT BerAKHLAK")</f>
        <v>8872_Drg WENY HERAWATI _ SERTIFIKAT BerAKHLAK</v>
      </c>
      <c r="P8873" s="5" t="s">
        <v>55368</v>
      </c>
    </row>
    <row r="8874">
      <c r="A8874" s="4">
        <v>45534.41909109954</v>
      </c>
      <c r="B8874" s="5" t="s">
        <v>34</v>
      </c>
      <c r="D8874" s="5" t="s">
        <v>9020</v>
      </c>
      <c r="E8874" s="5" t="s">
        <v>55369</v>
      </c>
      <c r="F8874" s="5" t="s">
        <v>212</v>
      </c>
      <c r="G8874" s="5" t="s">
        <v>55370</v>
      </c>
      <c r="H8874" s="6" t="s">
        <v>55371</v>
      </c>
      <c r="K8874" s="5" t="s">
        <v>55372</v>
      </c>
      <c r="M8874" s="5" t="s">
        <v>55373</v>
      </c>
      <c r="N8874" s="7" t="s">
        <v>55374</v>
      </c>
      <c r="O8874" s="8" t="str">
        <f>HYPERLINK("https://drive.google.com/file/d/19BR9Zgrl8TfuYiuTa61J-ibDKKT0yHq5/view?usp=drivesdk","8873_SAGAL SAHARA HUTAGALUNG, SE _ SERTIFIKAT BerAKHLAK")</f>
        <v>8873_SAGAL SAHARA HUTAGALUNG, SE _ SERTIFIKAT BerAKHLAK</v>
      </c>
      <c r="P8874" s="5" t="s">
        <v>55375</v>
      </c>
    </row>
    <row r="8875">
      <c r="A8875" s="4">
        <v>45534.41914893519</v>
      </c>
      <c r="B8875" s="5" t="s">
        <v>34</v>
      </c>
      <c r="D8875" s="5" t="s">
        <v>12010</v>
      </c>
      <c r="E8875" s="5" t="s">
        <v>55376</v>
      </c>
      <c r="F8875" s="5" t="s">
        <v>524</v>
      </c>
      <c r="G8875" s="5" t="s">
        <v>55377</v>
      </c>
      <c r="H8875" s="6" t="s">
        <v>55378</v>
      </c>
      <c r="K8875" s="5" t="s">
        <v>55379</v>
      </c>
      <c r="M8875" s="5" t="s">
        <v>55380</v>
      </c>
      <c r="N8875" s="7" t="s">
        <v>55381</v>
      </c>
      <c r="O8875" s="8" t="str">
        <f>HYPERLINK("https://drive.google.com/file/d/1CFhSRLycjGK81YT5hxMw8rtCFfGxr6NQ/view?usp=drivesdk","8874_HERMAN, S.E. _ SERTIFIKAT BerAKHLAK")</f>
        <v>8874_HERMAN, S.E. _ SERTIFIKAT BerAKHLAK</v>
      </c>
      <c r="P8875" s="5" t="s">
        <v>55382</v>
      </c>
    </row>
    <row r="8876">
      <c r="A8876" s="4">
        <v>45534.419161990736</v>
      </c>
      <c r="B8876" s="5" t="s">
        <v>34</v>
      </c>
      <c r="D8876" s="5" t="s">
        <v>35</v>
      </c>
      <c r="E8876" s="5" t="s">
        <v>55383</v>
      </c>
      <c r="F8876" s="5" t="s">
        <v>524</v>
      </c>
      <c r="G8876" s="5" t="s">
        <v>55384</v>
      </c>
      <c r="H8876" s="6" t="s">
        <v>55385</v>
      </c>
      <c r="K8876" s="5" t="s">
        <v>55379</v>
      </c>
      <c r="M8876" s="5" t="s">
        <v>55386</v>
      </c>
      <c r="N8876" s="7" t="s">
        <v>55387</v>
      </c>
      <c r="O8876" s="8" t="str">
        <f>HYPERLINK("https://drive.google.com/file/d/1mbVEqfBM_f7TOibUl_E4aCRLlR6kHMhK/view?usp=drivesdk","8875_NENENG HERAWATI, Amd.Farm _ SERTIFIKAT BerAKHLAK")</f>
        <v>8875_NENENG HERAWATI, Amd.Farm _ SERTIFIKAT BerAKHLAK</v>
      </c>
      <c r="P8876" s="5" t="s">
        <v>55388</v>
      </c>
    </row>
    <row r="8877">
      <c r="A8877" s="4">
        <v>45534.419199421296</v>
      </c>
      <c r="B8877" s="5" t="s">
        <v>34</v>
      </c>
      <c r="D8877" s="5" t="s">
        <v>10297</v>
      </c>
      <c r="E8877" s="5" t="s">
        <v>55389</v>
      </c>
      <c r="F8877" s="5" t="s">
        <v>37</v>
      </c>
      <c r="G8877" s="5" t="s">
        <v>55390</v>
      </c>
      <c r="H8877" s="6" t="s">
        <v>55391</v>
      </c>
      <c r="K8877" s="5" t="s">
        <v>55379</v>
      </c>
      <c r="M8877" s="5" t="s">
        <v>55392</v>
      </c>
      <c r="N8877" s="7" t="s">
        <v>55393</v>
      </c>
      <c r="O8877" s="8" t="str">
        <f>HYPERLINK("https://drive.google.com/file/d/1p5hng9lpF0-NdP9ROAhfay6YEwzyFnpD/view?usp=drivesdk","8876_NOVA DEWI SULISTIANINGSIH _ SERTIFIKAT BerAKHLAK")</f>
        <v>8876_NOVA DEWI SULISTIANINGSIH _ SERTIFIKAT BerAKHLAK</v>
      </c>
      <c r="P8877" s="5" t="s">
        <v>55394</v>
      </c>
    </row>
    <row r="8878">
      <c r="A8878" s="4">
        <v>45534.419240104166</v>
      </c>
      <c r="B8878" s="5" t="s">
        <v>34</v>
      </c>
      <c r="D8878" s="5" t="s">
        <v>267</v>
      </c>
      <c r="E8878" s="5" t="s">
        <v>55395</v>
      </c>
      <c r="F8878" s="5" t="s">
        <v>120</v>
      </c>
      <c r="G8878" s="5" t="s">
        <v>55396</v>
      </c>
      <c r="H8878" s="6" t="s">
        <v>55397</v>
      </c>
      <c r="K8878" s="5" t="s">
        <v>55398</v>
      </c>
      <c r="M8878" s="5" t="s">
        <v>55399</v>
      </c>
      <c r="N8878" s="7" t="s">
        <v>55400</v>
      </c>
      <c r="O8878" s="8" t="str">
        <f>HYPERLINK("https://drive.google.com/file/d/1SQZZv7Q9xo9s89BFx_i7a0c4p-NYN8yN/view?usp=drivesdk","8877_INDAH PANGASTUTI,SSI.APT _ SERTIFIKAT BerAKHLAK")</f>
        <v>8877_INDAH PANGASTUTI,SSI.APT _ SERTIFIKAT BerAKHLAK</v>
      </c>
      <c r="P8878" s="5" t="s">
        <v>55401</v>
      </c>
    </row>
    <row r="8879">
      <c r="A8879" s="4">
        <v>45534.41924347222</v>
      </c>
      <c r="B8879" s="5" t="s">
        <v>34</v>
      </c>
      <c r="D8879" s="5" t="s">
        <v>1558</v>
      </c>
      <c r="E8879" s="5" t="s">
        <v>55402</v>
      </c>
      <c r="F8879" s="5" t="s">
        <v>108</v>
      </c>
      <c r="G8879" s="5" t="s">
        <v>55403</v>
      </c>
      <c r="H8879" s="6" t="s">
        <v>55404</v>
      </c>
      <c r="K8879" s="5" t="s">
        <v>55398</v>
      </c>
      <c r="M8879" s="5" t="s">
        <v>55405</v>
      </c>
      <c r="N8879" s="7" t="s">
        <v>55406</v>
      </c>
      <c r="O8879" s="8" t="str">
        <f>HYPERLINK("https://drive.google.com/file/d/12KtU8NsGUOPbVkocCMIcEwaXvhLZckbU/view?usp=drivesdk","8878_SRI UTAMI WILUJENG _ SERTIFIKAT BerAKHLAK")</f>
        <v>8878_SRI UTAMI WILUJENG _ SERTIFIKAT BerAKHLAK</v>
      </c>
      <c r="P8879" s="5" t="s">
        <v>55407</v>
      </c>
    </row>
    <row r="8880">
      <c r="A8880" s="4">
        <v>45534.41928335648</v>
      </c>
      <c r="B8880" s="5" t="s">
        <v>34</v>
      </c>
      <c r="D8880" s="5" t="s">
        <v>1558</v>
      </c>
      <c r="E8880" s="5" t="s">
        <v>19744</v>
      </c>
      <c r="F8880" s="5" t="s">
        <v>212</v>
      </c>
      <c r="G8880" s="5" t="s">
        <v>55408</v>
      </c>
      <c r="H8880" s="6" t="s">
        <v>55409</v>
      </c>
      <c r="K8880" s="5" t="s">
        <v>55398</v>
      </c>
      <c r="M8880" s="5" t="s">
        <v>55410</v>
      </c>
      <c r="N8880" s="7" t="s">
        <v>55411</v>
      </c>
      <c r="O8880" s="8" t="str">
        <f>HYPERLINK("https://drive.google.com/file/d/1hc_74s7TlV7w9rP7xDEmKtrQxHBrt1eL/view?usp=drivesdk","8879_SISWANTO _ SERTIFIKAT BerAKHLAK")</f>
        <v>8879_SISWANTO _ SERTIFIKAT BerAKHLAK</v>
      </c>
      <c r="P8880" s="5" t="s">
        <v>55412</v>
      </c>
    </row>
    <row r="8881">
      <c r="A8881" s="4">
        <v>45534.41930145833</v>
      </c>
      <c r="B8881" s="5" t="s">
        <v>34</v>
      </c>
      <c r="D8881" s="5" t="s">
        <v>701</v>
      </c>
      <c r="E8881" s="5" t="s">
        <v>39317</v>
      </c>
      <c r="F8881" s="5" t="s">
        <v>37</v>
      </c>
      <c r="G8881" s="5" t="s">
        <v>55413</v>
      </c>
      <c r="H8881" s="6" t="s">
        <v>55414</v>
      </c>
      <c r="K8881" s="5" t="s">
        <v>55398</v>
      </c>
      <c r="M8881" s="5" t="s">
        <v>55415</v>
      </c>
      <c r="N8881" s="7" t="s">
        <v>55416</v>
      </c>
      <c r="O8881" s="8" t="str">
        <f>HYPERLINK("https://drive.google.com/file/d/15J1E8KeqKQSy3IDcQgQMyR4kESnSj6LL/view?usp=drivesdk","8880_INDRA DAHYANA EKA PUTRA _ SERTIFIKAT BerAKHLAK")</f>
        <v>8880_INDRA DAHYANA EKA PUTRA _ SERTIFIKAT BerAKHLAK</v>
      </c>
      <c r="P8881" s="5" t="s">
        <v>55417</v>
      </c>
    </row>
    <row r="8882">
      <c r="A8882" s="4">
        <v>45534.41930923611</v>
      </c>
      <c r="B8882" s="5" t="s">
        <v>34</v>
      </c>
      <c r="D8882" s="5" t="s">
        <v>267</v>
      </c>
      <c r="E8882" s="5" t="s">
        <v>55418</v>
      </c>
      <c r="F8882" s="5" t="s">
        <v>375</v>
      </c>
      <c r="G8882" s="5" t="s">
        <v>55419</v>
      </c>
      <c r="H8882" s="6" t="s">
        <v>55420</v>
      </c>
      <c r="K8882" s="5" t="s">
        <v>55398</v>
      </c>
      <c r="M8882" s="5" t="s">
        <v>55421</v>
      </c>
      <c r="N8882" s="7" t="s">
        <v>55422</v>
      </c>
      <c r="O8882" s="8" t="str">
        <f>HYPERLINK("https://drive.google.com/file/d/1oy4AgvYZ4kBoQpwHP1qy4cx2fia5CdSc/view?usp=drivesdk","8881_DWI MEGA HANDAYANI, S.E. _ SERTIFIKAT BerAKHLAK")</f>
        <v>8881_DWI MEGA HANDAYANI, S.E. _ SERTIFIKAT BerAKHLAK</v>
      </c>
      <c r="P8882" s="5" t="s">
        <v>55423</v>
      </c>
    </row>
    <row r="8883">
      <c r="A8883" s="4">
        <v>45534.41932511574</v>
      </c>
      <c r="B8883" s="5" t="s">
        <v>34</v>
      </c>
      <c r="D8883" s="5" t="s">
        <v>1206</v>
      </c>
      <c r="E8883" s="5" t="s">
        <v>39845</v>
      </c>
      <c r="F8883" s="5" t="s">
        <v>212</v>
      </c>
      <c r="G8883" s="5" t="s">
        <v>55424</v>
      </c>
      <c r="H8883" s="6" t="s">
        <v>55425</v>
      </c>
      <c r="K8883" s="5" t="s">
        <v>55398</v>
      </c>
      <c r="M8883" s="5" t="s">
        <v>55426</v>
      </c>
      <c r="N8883" s="7" t="s">
        <v>55427</v>
      </c>
      <c r="O8883" s="8" t="str">
        <f>HYPERLINK("https://drive.google.com/file/d/1dI58E-VOJmebpUUdPrTEqu1dDhboatbh/view?usp=drivesdk","8882_AGUS NURCAHYONO _ SERTIFIKAT BerAKHLAK")</f>
        <v>8882_AGUS NURCAHYONO _ SERTIFIKAT BerAKHLAK</v>
      </c>
      <c r="P8883" s="5" t="s">
        <v>55428</v>
      </c>
    </row>
    <row r="8884" hidden="1">
      <c r="A8884" s="4">
        <v>45534.41943401621</v>
      </c>
      <c r="B8884" s="5" t="s">
        <v>19</v>
      </c>
      <c r="C8884" s="5" t="s">
        <v>292</v>
      </c>
      <c r="E8884" s="5" t="s">
        <v>24249</v>
      </c>
      <c r="F8884" s="5" t="s">
        <v>212</v>
      </c>
      <c r="G8884" s="5" t="s">
        <v>55429</v>
      </c>
      <c r="H8884" s="6" t="s">
        <v>55430</v>
      </c>
      <c r="K8884" s="5" t="s">
        <v>55431</v>
      </c>
      <c r="M8884" s="5" t="s">
        <v>55432</v>
      </c>
      <c r="N8884" s="7" t="s">
        <v>55433</v>
      </c>
      <c r="O8884" s="8" t="str">
        <f>HYPERLINK("https://drive.google.com/file/d/1fEXJl0heKS7LaLYWqWkhaHouJkvMlA04/view?usp=drivesdk","8883_HARYANTO _ SERTIFIKAT BerAKHLAK")</f>
        <v>8883_HARYANTO _ SERTIFIKAT BerAKHLAK</v>
      </c>
      <c r="P8884" s="5" t="s">
        <v>55434</v>
      </c>
    </row>
    <row r="8885">
      <c r="A8885" s="4">
        <v>45534.41961697917</v>
      </c>
      <c r="B8885" s="5" t="s">
        <v>34</v>
      </c>
      <c r="D8885" s="5" t="s">
        <v>604</v>
      </c>
      <c r="E8885" s="5" t="s">
        <v>35225</v>
      </c>
      <c r="F8885" s="5" t="s">
        <v>108</v>
      </c>
      <c r="G8885" s="5" t="s">
        <v>55435</v>
      </c>
      <c r="H8885" s="6" t="s">
        <v>55436</v>
      </c>
      <c r="K8885" s="5" t="s">
        <v>55437</v>
      </c>
      <c r="M8885" s="5" t="s">
        <v>55438</v>
      </c>
      <c r="N8885" s="7" t="s">
        <v>55439</v>
      </c>
      <c r="O8885" s="8" t="str">
        <f>HYPERLINK("https://drive.google.com/file/d/1JkWp-b3yD4TfN4Hhm9advbk3k7N4SKNF/view?usp=drivesdk","8884_SRIYANTI _ SERTIFIKAT BerAKHLAK")</f>
        <v>8884_SRIYANTI _ SERTIFIKAT BerAKHLAK</v>
      </c>
      <c r="P8885" s="5" t="s">
        <v>55440</v>
      </c>
    </row>
    <row r="8886">
      <c r="A8886" s="4">
        <v>45534.41966043982</v>
      </c>
      <c r="B8886" s="5" t="s">
        <v>34</v>
      </c>
      <c r="D8886" s="5" t="s">
        <v>35</v>
      </c>
      <c r="E8886" s="5" t="s">
        <v>55441</v>
      </c>
      <c r="F8886" s="5" t="s">
        <v>37</v>
      </c>
      <c r="G8886" s="5" t="s">
        <v>55442</v>
      </c>
      <c r="H8886" s="6" t="s">
        <v>55443</v>
      </c>
      <c r="K8886" s="5" t="s">
        <v>55437</v>
      </c>
      <c r="M8886" s="5" t="s">
        <v>55444</v>
      </c>
      <c r="N8886" s="7" t="s">
        <v>55445</v>
      </c>
      <c r="O8886" s="8" t="str">
        <f>HYPERLINK("https://drive.google.com/file/d/1srG7fMPZqI45dhz25B1nGz_xIvHD2YYL/view?usp=drivesdk","8885_DESY AGUSTINA _ SERTIFIKAT BerAKHLAK")</f>
        <v>8885_DESY AGUSTINA _ SERTIFIKAT BerAKHLAK</v>
      </c>
      <c r="P8886" s="5" t="s">
        <v>55446</v>
      </c>
    </row>
    <row r="8887">
      <c r="A8887" s="4">
        <v>45534.41966130787</v>
      </c>
      <c r="B8887" s="5" t="s">
        <v>34</v>
      </c>
      <c r="D8887" s="5" t="s">
        <v>35</v>
      </c>
      <c r="E8887" s="5" t="s">
        <v>55447</v>
      </c>
      <c r="F8887" s="5" t="s">
        <v>37</v>
      </c>
      <c r="G8887" s="5" t="s">
        <v>55448</v>
      </c>
      <c r="H8887" s="6" t="s">
        <v>55449</v>
      </c>
      <c r="K8887" s="5" t="s">
        <v>55437</v>
      </c>
      <c r="M8887" s="5" t="s">
        <v>55450</v>
      </c>
      <c r="N8887" s="7" t="s">
        <v>55451</v>
      </c>
      <c r="O8887" s="8" t="str">
        <f>HYPERLINK("https://drive.google.com/file/d/1zvuqHXj2NU4T-CyP5dNNBzeJA73H-8OJ/view?usp=drivesdk","8886_Rani Lastriani. AMD.KEP _ SERTIFIKAT BerAKHLAK")</f>
        <v>8886_Rani Lastriani. AMD.KEP _ SERTIFIKAT BerAKHLAK</v>
      </c>
      <c r="P8887" s="5" t="s">
        <v>55452</v>
      </c>
    </row>
    <row r="8888" hidden="1">
      <c r="A8888" s="4">
        <v>45534.41967133102</v>
      </c>
      <c r="B8888" s="5" t="s">
        <v>19</v>
      </c>
      <c r="C8888" s="5" t="s">
        <v>32901</v>
      </c>
      <c r="E8888" s="5" t="s">
        <v>55453</v>
      </c>
      <c r="F8888" s="5" t="s">
        <v>108</v>
      </c>
      <c r="G8888" s="5" t="s">
        <v>55454</v>
      </c>
      <c r="H8888" s="6" t="s">
        <v>55455</v>
      </c>
      <c r="K8888" s="5" t="s">
        <v>55456</v>
      </c>
      <c r="M8888" s="5" t="s">
        <v>55457</v>
      </c>
      <c r="N8888" s="7" t="s">
        <v>55458</v>
      </c>
      <c r="O8888" s="8" t="str">
        <f>HYPERLINK("https://drive.google.com/file/d/10HMu9VE_i6xUBOcZ1TyacUo0oaZ6Ohed/view?usp=drivesdk","8887_TRI MUDJIANTI  _ SERTIFIKAT BerAKHLAK")</f>
        <v>8887_TRI MUDJIANTI  _ SERTIFIKAT BerAKHLAK</v>
      </c>
      <c r="P8888" s="5" t="s">
        <v>55459</v>
      </c>
    </row>
    <row r="8889">
      <c r="A8889" s="4">
        <v>45534.419717129625</v>
      </c>
      <c r="B8889" s="5" t="s">
        <v>34</v>
      </c>
      <c r="D8889" s="5" t="s">
        <v>975</v>
      </c>
      <c r="E8889" s="5" t="s">
        <v>55460</v>
      </c>
      <c r="F8889" s="5" t="s">
        <v>108</v>
      </c>
      <c r="G8889" s="5" t="s">
        <v>55461</v>
      </c>
      <c r="H8889" s="6" t="s">
        <v>55462</v>
      </c>
      <c r="K8889" s="5" t="s">
        <v>55463</v>
      </c>
      <c r="M8889" s="5" t="s">
        <v>55464</v>
      </c>
      <c r="N8889" s="7" t="s">
        <v>55465</v>
      </c>
      <c r="O8889" s="8" t="str">
        <f>HYPERLINK("https://drive.google.com/file/d/1RDqYasszjfdyNEsT-BZlItrLbrojewqO/view?usp=drivesdk","8888_RISKA RAHAYU _ SERTIFIKAT BerAKHLAK")</f>
        <v>8888_RISKA RAHAYU _ SERTIFIKAT BerAKHLAK</v>
      </c>
      <c r="P8889" s="5" t="s">
        <v>55466</v>
      </c>
    </row>
    <row r="8890" hidden="1">
      <c r="A8890" s="4">
        <v>45534.41973543982</v>
      </c>
      <c r="B8890" s="5" t="s">
        <v>19</v>
      </c>
      <c r="C8890" s="5" t="s">
        <v>20</v>
      </c>
      <c r="E8890" s="5" t="s">
        <v>55467</v>
      </c>
      <c r="F8890" s="5" t="s">
        <v>524</v>
      </c>
      <c r="G8890" s="5" t="s">
        <v>55468</v>
      </c>
      <c r="H8890" s="6" t="s">
        <v>55469</v>
      </c>
      <c r="K8890" s="5" t="s">
        <v>55463</v>
      </c>
      <c r="M8890" s="5" t="s">
        <v>55470</v>
      </c>
      <c r="N8890" s="7" t="s">
        <v>55471</v>
      </c>
      <c r="O8890" s="8" t="str">
        <f>HYPERLINK("https://drive.google.com/file/d/1kH2abEGatterjZ36lYGTbTSfQ_ipgcpz/view?usp=drivesdk","8889_IDHA BESARI _ SERTIFIKAT BerAKHLAK")</f>
        <v>8889_IDHA BESARI _ SERTIFIKAT BerAKHLAK</v>
      </c>
      <c r="P8890" s="5" t="s">
        <v>55472</v>
      </c>
    </row>
    <row r="8891">
      <c r="A8891" s="4">
        <v>45534.419831238425</v>
      </c>
      <c r="B8891" s="5" t="s">
        <v>34</v>
      </c>
      <c r="D8891" s="5" t="s">
        <v>9020</v>
      </c>
      <c r="E8891" s="5" t="s">
        <v>55473</v>
      </c>
      <c r="F8891" s="5" t="s">
        <v>199</v>
      </c>
      <c r="G8891" s="5" t="s">
        <v>55474</v>
      </c>
      <c r="H8891" s="6" t="s">
        <v>55475</v>
      </c>
      <c r="K8891" s="5" t="s">
        <v>55463</v>
      </c>
      <c r="M8891" s="5" t="s">
        <v>55476</v>
      </c>
      <c r="N8891" s="7" t="s">
        <v>55477</v>
      </c>
      <c r="O8891" s="8" t="str">
        <f>HYPERLINK("https://drive.google.com/file/d/1Dwp5Gh7Hxh2KfJHuHNYSyH24zqb_5z1W/view?usp=drivesdk","8890_LENNI NIASTI SIHOMBING _ SERTIFIKAT BerAKHLAK")</f>
        <v>8890_LENNI NIASTI SIHOMBING _ SERTIFIKAT BerAKHLAK</v>
      </c>
      <c r="P8891" s="5" t="s">
        <v>55478</v>
      </c>
    </row>
    <row r="8892">
      <c r="A8892" s="4">
        <v>45534.41985063658</v>
      </c>
      <c r="B8892" s="5" t="s">
        <v>34</v>
      </c>
      <c r="D8892" s="5" t="s">
        <v>14313</v>
      </c>
      <c r="E8892" s="5" t="s">
        <v>55479</v>
      </c>
      <c r="F8892" s="5" t="s">
        <v>715</v>
      </c>
      <c r="G8892" s="5" t="s">
        <v>55480</v>
      </c>
      <c r="H8892" s="6" t="s">
        <v>55481</v>
      </c>
      <c r="K8892" s="5" t="s">
        <v>55463</v>
      </c>
      <c r="M8892" s="5" t="s">
        <v>55482</v>
      </c>
      <c r="N8892" s="7" t="s">
        <v>55483</v>
      </c>
      <c r="O8892" s="8" t="str">
        <f>HYPERLINK("https://drive.google.com/file/d/1t93vgRvgMJqq7zaUKpNkbDIOr9sPXS3S/view?usp=drivesdk","8891_DIANA IRNA KRISWAN _ SERTIFIKAT BerAKHLAK")</f>
        <v>8891_DIANA IRNA KRISWAN _ SERTIFIKAT BerAKHLAK</v>
      </c>
      <c r="P8892" s="5" t="s">
        <v>55484</v>
      </c>
    </row>
    <row r="8893">
      <c r="A8893" s="4">
        <v>45534.41987429398</v>
      </c>
      <c r="B8893" s="5" t="s">
        <v>34</v>
      </c>
      <c r="D8893" s="5" t="s">
        <v>35</v>
      </c>
      <c r="E8893" s="5" t="s">
        <v>55485</v>
      </c>
      <c r="F8893" s="5" t="s">
        <v>37</v>
      </c>
      <c r="G8893" s="5" t="s">
        <v>55486</v>
      </c>
      <c r="H8893" s="6" t="s">
        <v>55487</v>
      </c>
      <c r="K8893" s="5" t="s">
        <v>55488</v>
      </c>
      <c r="M8893" s="5" t="s">
        <v>55489</v>
      </c>
      <c r="N8893" s="7" t="s">
        <v>55490</v>
      </c>
      <c r="O8893" s="8" t="str">
        <f>HYPERLINK("https://drive.google.com/file/d/1gPhiZOOaIIgQT-UkZX8dPbDjeTE4jQvw/view?usp=drivesdk","8892_WISNU KRISNAMURTI _ SERTIFIKAT BerAKHLAK")</f>
        <v>8892_WISNU KRISNAMURTI _ SERTIFIKAT BerAKHLAK</v>
      </c>
      <c r="P8893" s="5" t="s">
        <v>55491</v>
      </c>
    </row>
    <row r="8894">
      <c r="A8894" s="4">
        <v>45534.419886944444</v>
      </c>
      <c r="B8894" s="5" t="s">
        <v>34</v>
      </c>
      <c r="D8894" s="5" t="s">
        <v>1206</v>
      </c>
      <c r="E8894" s="5" t="s">
        <v>55492</v>
      </c>
      <c r="F8894" s="5" t="s">
        <v>524</v>
      </c>
      <c r="G8894" s="5" t="s">
        <v>55493</v>
      </c>
      <c r="H8894" s="6" t="s">
        <v>55494</v>
      </c>
      <c r="K8894" s="5" t="s">
        <v>55495</v>
      </c>
      <c r="M8894" s="5" t="s">
        <v>55496</v>
      </c>
      <c r="N8894" s="7" t="s">
        <v>55497</v>
      </c>
      <c r="O8894" s="8" t="str">
        <f>HYPERLINK("https://drive.google.com/file/d/1hTi28lvbl8QD4q5Fh8GDzUimEYdeuhL6/view?usp=drivesdk","8893_ETTY BUDI SETYAWATI, A.Md.Keb _ SERTIFIKAT BerAKHLAK")</f>
        <v>8893_ETTY BUDI SETYAWATI, A.Md.Keb _ SERTIFIKAT BerAKHLAK</v>
      </c>
      <c r="P8894" s="5" t="s">
        <v>55498</v>
      </c>
    </row>
    <row r="8895">
      <c r="A8895" s="4">
        <v>45534.419965787034</v>
      </c>
      <c r="B8895" s="5" t="s">
        <v>34</v>
      </c>
      <c r="D8895" s="5" t="s">
        <v>1206</v>
      </c>
      <c r="E8895" s="5" t="s">
        <v>55499</v>
      </c>
      <c r="F8895" s="5" t="s">
        <v>37</v>
      </c>
      <c r="G8895" s="5" t="s">
        <v>55500</v>
      </c>
      <c r="H8895" s="6" t="s">
        <v>55501</v>
      </c>
      <c r="K8895" s="5" t="s">
        <v>55502</v>
      </c>
      <c r="M8895" s="5" t="s">
        <v>55503</v>
      </c>
      <c r="N8895" s="7" t="s">
        <v>55504</v>
      </c>
      <c r="O8895" s="8" t="str">
        <f>HYPERLINK("https://drive.google.com/file/d/1PvEnVjPL7PBP85IDo7SvZFc5AscBINzu/view?usp=drivesdk","8894_NUR CHOMIS _ SERTIFIKAT BerAKHLAK")</f>
        <v>8894_NUR CHOMIS _ SERTIFIKAT BerAKHLAK</v>
      </c>
      <c r="P8895" s="5" t="s">
        <v>55505</v>
      </c>
    </row>
    <row r="8896">
      <c r="A8896" s="4">
        <v>45534.41997096065</v>
      </c>
      <c r="B8896" s="5" t="s">
        <v>34</v>
      </c>
      <c r="D8896" s="5" t="s">
        <v>1206</v>
      </c>
      <c r="E8896" s="5" t="s">
        <v>55506</v>
      </c>
      <c r="F8896" s="5" t="s">
        <v>37</v>
      </c>
      <c r="G8896" s="5" t="s">
        <v>55507</v>
      </c>
      <c r="H8896" s="6" t="s">
        <v>55508</v>
      </c>
      <c r="K8896" s="5" t="s">
        <v>55502</v>
      </c>
      <c r="M8896" s="5" t="s">
        <v>55509</v>
      </c>
      <c r="N8896" s="7" t="s">
        <v>55510</v>
      </c>
      <c r="O8896" s="8" t="str">
        <f>HYPERLINK("https://drive.google.com/file/d/1zZIGnOvkj1-UhJxgqyWCmOZk-vjTLp6i/view?usp=drivesdk","8895_ALI ROCHMAT  _ SERTIFIKAT BerAKHLAK")</f>
        <v>8895_ALI ROCHMAT  _ SERTIFIKAT BerAKHLAK</v>
      </c>
      <c r="P8896" s="5" t="s">
        <v>55511</v>
      </c>
    </row>
    <row r="8897">
      <c r="A8897" s="4">
        <v>45534.42004254629</v>
      </c>
      <c r="B8897" s="5" t="s">
        <v>34</v>
      </c>
      <c r="D8897" s="5" t="s">
        <v>4775</v>
      </c>
      <c r="E8897" s="5" t="s">
        <v>55512</v>
      </c>
      <c r="F8897" s="5" t="s">
        <v>524</v>
      </c>
      <c r="G8897" s="5" t="s">
        <v>55513</v>
      </c>
      <c r="H8897" s="6" t="s">
        <v>55514</v>
      </c>
      <c r="K8897" s="5" t="s">
        <v>55515</v>
      </c>
      <c r="M8897" s="5" t="s">
        <v>55516</v>
      </c>
      <c r="N8897" s="7" t="s">
        <v>55517</v>
      </c>
      <c r="O8897" s="8" t="str">
        <f>HYPERLINK("https://drive.google.com/file/d/10cqoyaiEwnZoVCMlthJp9wjKdQRSrez-/view?usp=drivesdk","8896_SUSWANINGSIH  _ SERTIFIKAT BerAKHLAK")</f>
        <v>8896_SUSWANINGSIH  _ SERTIFIKAT BerAKHLAK</v>
      </c>
      <c r="P8897" s="5" t="s">
        <v>55518</v>
      </c>
    </row>
    <row r="8898">
      <c r="A8898" s="4">
        <v>45534.42007533565</v>
      </c>
      <c r="B8898" s="5" t="s">
        <v>34</v>
      </c>
      <c r="D8898" s="5" t="s">
        <v>1692</v>
      </c>
      <c r="E8898" s="7" t="s">
        <v>55519</v>
      </c>
      <c r="F8898" s="5" t="s">
        <v>72</v>
      </c>
      <c r="G8898" s="5" t="s">
        <v>55520</v>
      </c>
      <c r="H8898" s="6" t="s">
        <v>55521</v>
      </c>
      <c r="K8898" s="5" t="s">
        <v>55522</v>
      </c>
      <c r="M8898" s="5" t="s">
        <v>55523</v>
      </c>
      <c r="N8898" s="7" t="s">
        <v>55524</v>
      </c>
      <c r="O8898" s="8" t="str">
        <f>HYPERLINK("https://drive.google.com/file/d/1m2palHvZS2-WB-fgVBltqSYDehlDvRc2/view?usp=drivesdk","8897_FITRIANI.SH _ SERTIFIKAT BerAKHLAK")</f>
        <v>8897_FITRIANI.SH _ SERTIFIKAT BerAKHLAK</v>
      </c>
      <c r="P8898" s="5" t="s">
        <v>55525</v>
      </c>
    </row>
    <row r="8899">
      <c r="A8899" s="4">
        <v>45534.420085624995</v>
      </c>
      <c r="B8899" s="5" t="s">
        <v>34</v>
      </c>
      <c r="D8899" s="5" t="s">
        <v>35</v>
      </c>
      <c r="E8899" s="5" t="s">
        <v>55526</v>
      </c>
      <c r="F8899" s="5" t="s">
        <v>375</v>
      </c>
      <c r="G8899" s="5" t="s">
        <v>55527</v>
      </c>
      <c r="H8899" s="6" t="s">
        <v>55528</v>
      </c>
      <c r="K8899" s="5" t="s">
        <v>55522</v>
      </c>
      <c r="M8899" s="5" t="s">
        <v>55529</v>
      </c>
      <c r="N8899" s="7" t="s">
        <v>55530</v>
      </c>
      <c r="O8899" s="8" t="str">
        <f>HYPERLINK("https://drive.google.com/file/d/1c-t8kEAZ77YvKks5SPy3YqKwwWIo4ZvB/view?usp=drivesdk","8898_dr. FX Joko Narwanto _ SERTIFIKAT BerAKHLAK")</f>
        <v>8898_dr. FX Joko Narwanto _ SERTIFIKAT BerAKHLAK</v>
      </c>
      <c r="P8899" s="5" t="s">
        <v>55531</v>
      </c>
    </row>
    <row r="8900">
      <c r="A8900" s="4">
        <v>45534.42012667824</v>
      </c>
      <c r="B8900" s="5" t="s">
        <v>34</v>
      </c>
      <c r="D8900" s="5" t="s">
        <v>2903</v>
      </c>
      <c r="E8900" s="5" t="s">
        <v>55532</v>
      </c>
      <c r="F8900" s="5" t="s">
        <v>108</v>
      </c>
      <c r="G8900" s="5" t="s">
        <v>55533</v>
      </c>
      <c r="H8900" s="6" t="s">
        <v>55534</v>
      </c>
      <c r="K8900" s="5" t="s">
        <v>55535</v>
      </c>
      <c r="M8900" s="5" t="s">
        <v>55536</v>
      </c>
      <c r="N8900" s="7" t="s">
        <v>55537</v>
      </c>
      <c r="O8900" s="8" t="str">
        <f>HYPERLINK("https://drive.google.com/file/d/18Cru1bMa428pe_5xAoxlK7fSpdQF2d1a/view?usp=drivesdk","8899_ARI WULANDARI,S.M _ SERTIFIKAT BerAKHLAK")</f>
        <v>8899_ARI WULANDARI,S.M _ SERTIFIKAT BerAKHLAK</v>
      </c>
      <c r="P8900" s="5" t="s">
        <v>55538</v>
      </c>
    </row>
    <row r="8901">
      <c r="A8901" s="4">
        <v>45534.42026756944</v>
      </c>
      <c r="B8901" s="5" t="s">
        <v>34</v>
      </c>
      <c r="D8901" s="5" t="s">
        <v>7858</v>
      </c>
      <c r="E8901" s="5" t="s">
        <v>55539</v>
      </c>
      <c r="F8901" s="5" t="s">
        <v>37</v>
      </c>
      <c r="G8901" s="5" t="s">
        <v>55540</v>
      </c>
      <c r="H8901" s="6" t="s">
        <v>55541</v>
      </c>
      <c r="K8901" s="5" t="s">
        <v>55542</v>
      </c>
      <c r="M8901" s="5" t="s">
        <v>55543</v>
      </c>
      <c r="N8901" s="7" t="s">
        <v>55544</v>
      </c>
      <c r="O8901" s="8" t="str">
        <f>HYPERLINK("https://drive.google.com/file/d/1Sx9ID8E_wBk62YFtaREQMKOiITvLcP7g/view?usp=drivesdk","8900_DEDEN NURJAYA _ SERTIFIKAT BerAKHLAK")</f>
        <v>8900_DEDEN NURJAYA _ SERTIFIKAT BerAKHLAK</v>
      </c>
      <c r="P8901" s="5" t="s">
        <v>55545</v>
      </c>
    </row>
    <row r="8902" hidden="1">
      <c r="A8902" s="4">
        <v>45534.42028924769</v>
      </c>
      <c r="B8902" s="5" t="s">
        <v>19</v>
      </c>
      <c r="C8902" s="5" t="s">
        <v>292</v>
      </c>
      <c r="E8902" s="5" t="s">
        <v>54014</v>
      </c>
      <c r="F8902" s="5" t="s">
        <v>212</v>
      </c>
      <c r="G8902" s="5" t="s">
        <v>55546</v>
      </c>
      <c r="H8902" s="6" t="s">
        <v>55547</v>
      </c>
      <c r="K8902" s="5" t="s">
        <v>55542</v>
      </c>
      <c r="M8902" s="5" t="s">
        <v>55548</v>
      </c>
      <c r="N8902" s="7" t="s">
        <v>55549</v>
      </c>
      <c r="O8902" s="8" t="str">
        <f>HYPERLINK("https://drive.google.com/file/d/12H7mMi_8ADVO9wNXrXJwAyTqhFLmXivL/view?usp=drivesdk","8901_SUTINAH _ SERTIFIKAT BerAKHLAK")</f>
        <v>8901_SUTINAH _ SERTIFIKAT BerAKHLAK</v>
      </c>
      <c r="P8902" s="5" t="s">
        <v>55550</v>
      </c>
    </row>
    <row r="8903" hidden="1">
      <c r="A8903" s="4">
        <v>45534.420323645834</v>
      </c>
      <c r="B8903" s="5" t="s">
        <v>19</v>
      </c>
      <c r="C8903" s="5" t="s">
        <v>292</v>
      </c>
      <c r="E8903" s="5" t="s">
        <v>55551</v>
      </c>
      <c r="F8903" s="5" t="s">
        <v>524</v>
      </c>
      <c r="G8903" s="5" t="s">
        <v>55552</v>
      </c>
      <c r="H8903" s="6" t="s">
        <v>55553</v>
      </c>
      <c r="K8903" s="5" t="s">
        <v>55542</v>
      </c>
      <c r="M8903" s="5" t="s">
        <v>55554</v>
      </c>
      <c r="N8903" s="7" t="s">
        <v>55555</v>
      </c>
      <c r="O8903" s="8" t="str">
        <f>HYPERLINK("https://drive.google.com/file/d/1IRPVM0c6PGZyIuiVQDl8BnsWV6U-dNF6/view?usp=drivesdk","8902_ARI WIDIANINGRUM,S.H. _ SERTIFIKAT BerAKHLAK")</f>
        <v>8902_ARI WIDIANINGRUM,S.H. _ SERTIFIKAT BerAKHLAK</v>
      </c>
      <c r="P8903" s="5" t="s">
        <v>55556</v>
      </c>
    </row>
    <row r="8904">
      <c r="A8904" s="4">
        <v>45534.42036065972</v>
      </c>
      <c r="B8904" s="5" t="s">
        <v>34</v>
      </c>
      <c r="D8904" s="5" t="s">
        <v>701</v>
      </c>
      <c r="E8904" s="5" t="s">
        <v>55557</v>
      </c>
      <c r="F8904" s="5" t="s">
        <v>72</v>
      </c>
      <c r="G8904" s="5" t="s">
        <v>55558</v>
      </c>
      <c r="H8904" s="6" t="s">
        <v>55559</v>
      </c>
      <c r="K8904" s="5" t="s">
        <v>55560</v>
      </c>
      <c r="M8904" s="5" t="s">
        <v>55561</v>
      </c>
      <c r="N8904" s="7" t="s">
        <v>55562</v>
      </c>
      <c r="O8904" s="8" t="str">
        <f>HYPERLINK("https://drive.google.com/file/d/1TgBeZtyRlSnlyUCOYd8IjM4vJeZfRJyp/view?usp=drivesdk","8903_HERIA UTAMI _ SERTIFIKAT BerAKHLAK")</f>
        <v>8903_HERIA UTAMI _ SERTIFIKAT BerAKHLAK</v>
      </c>
      <c r="P8904" s="5" t="s">
        <v>55563</v>
      </c>
    </row>
    <row r="8905">
      <c r="A8905" s="4">
        <v>45534.420365405094</v>
      </c>
      <c r="B8905" s="5" t="s">
        <v>34</v>
      </c>
      <c r="D8905" s="5" t="s">
        <v>9020</v>
      </c>
      <c r="E8905" s="5" t="s">
        <v>10047</v>
      </c>
      <c r="F8905" s="5" t="s">
        <v>37</v>
      </c>
      <c r="G8905" s="5" t="s">
        <v>10048</v>
      </c>
      <c r="H8905" s="6" t="s">
        <v>55564</v>
      </c>
      <c r="K8905" s="5" t="s">
        <v>55560</v>
      </c>
      <c r="M8905" s="5" t="s">
        <v>55565</v>
      </c>
      <c r="N8905" s="7" t="s">
        <v>55566</v>
      </c>
      <c r="O8905" s="8" t="str">
        <f>HYPERLINK("https://drive.google.com/file/d/1B-Ro_PfAkKbL5EkUEOhw1Zc2zTW81Q4r/view?usp=drivesdk","8904_NOGA KURNIAWAN, S.H. _ SERTIFIKAT BerAKHLAK")</f>
        <v>8904_NOGA KURNIAWAN, S.H. _ SERTIFIKAT BerAKHLAK</v>
      </c>
      <c r="P8905" s="5" t="s">
        <v>55567</v>
      </c>
    </row>
    <row r="8906" hidden="1">
      <c r="A8906" s="4">
        <v>45534.42056570602</v>
      </c>
      <c r="B8906" s="5" t="s">
        <v>19</v>
      </c>
      <c r="C8906" s="5" t="s">
        <v>5058</v>
      </c>
      <c r="E8906" s="5" t="s">
        <v>55568</v>
      </c>
      <c r="F8906" s="5" t="s">
        <v>120</v>
      </c>
      <c r="G8906" s="5" t="s">
        <v>55569</v>
      </c>
      <c r="H8906" s="6" t="s">
        <v>55570</v>
      </c>
      <c r="K8906" s="5" t="s">
        <v>55571</v>
      </c>
      <c r="M8906" s="5" t="s">
        <v>55572</v>
      </c>
      <c r="N8906" s="7" t="s">
        <v>55573</v>
      </c>
      <c r="O8906" s="8" t="str">
        <f>HYPERLINK("https://drive.google.com/file/d/1v_N6_PJt8RHRX-_TovY3Tc1UoK5hHhd0/view?usp=drivesdk","8905_PURWO YUDO WIBOWO _ SERTIFIKAT BerAKHLAK")</f>
        <v>8905_PURWO YUDO WIBOWO _ SERTIFIKAT BerAKHLAK</v>
      </c>
      <c r="P8906" s="5" t="s">
        <v>55574</v>
      </c>
    </row>
    <row r="8907">
      <c r="A8907" s="4">
        <v>45534.42057082176</v>
      </c>
      <c r="B8907" s="5" t="s">
        <v>34</v>
      </c>
      <c r="D8907" s="5" t="s">
        <v>1206</v>
      </c>
      <c r="E8907" s="5" t="s">
        <v>55575</v>
      </c>
      <c r="F8907" s="5" t="s">
        <v>212</v>
      </c>
      <c r="G8907" s="5" t="s">
        <v>55576</v>
      </c>
      <c r="H8907" s="6" t="s">
        <v>55577</v>
      </c>
      <c r="K8907" s="5" t="s">
        <v>55571</v>
      </c>
      <c r="M8907" s="5" t="s">
        <v>55578</v>
      </c>
      <c r="N8907" s="7" t="s">
        <v>55579</v>
      </c>
      <c r="O8907" s="8" t="str">
        <f>HYPERLINK("https://drive.google.com/file/d/1UeCs54xRN4Xahq8Z84UGLKQ9IsHp1gN5/view?usp=drivesdk","8906_SUSIANINGSIH _ SERTIFIKAT BerAKHLAK")</f>
        <v>8906_SUSIANINGSIH _ SERTIFIKAT BerAKHLAK</v>
      </c>
      <c r="P8907" s="5" t="s">
        <v>55580</v>
      </c>
    </row>
    <row r="8908">
      <c r="A8908" s="4">
        <v>45534.42062689815</v>
      </c>
      <c r="B8908" s="5" t="s">
        <v>34</v>
      </c>
      <c r="D8908" s="5" t="s">
        <v>9020</v>
      </c>
      <c r="E8908" s="5" t="s">
        <v>55581</v>
      </c>
      <c r="F8908" s="5" t="s">
        <v>72</v>
      </c>
      <c r="G8908" s="5" t="s">
        <v>55582</v>
      </c>
      <c r="H8908" s="6" t="s">
        <v>55583</v>
      </c>
      <c r="K8908" s="5" t="s">
        <v>55584</v>
      </c>
      <c r="M8908" s="5" t="s">
        <v>55585</v>
      </c>
      <c r="N8908" s="7" t="s">
        <v>55586</v>
      </c>
      <c r="O8908" s="8" t="str">
        <f>HYPERLINK("https://drive.google.com/file/d/1KWsQ5Gs22UoeBAAqe9KOjGf7CWlLfVBP/view?usp=drivesdk","8907_JUNIATI SITUMORANG _ SERTIFIKAT BerAKHLAK")</f>
        <v>8907_JUNIATI SITUMORANG _ SERTIFIKAT BerAKHLAK</v>
      </c>
      <c r="P8908" s="5" t="s">
        <v>55587</v>
      </c>
    </row>
    <row r="8909">
      <c r="A8909" s="4">
        <v>45534.42064684028</v>
      </c>
      <c r="B8909" s="5" t="s">
        <v>34</v>
      </c>
      <c r="D8909" s="5" t="s">
        <v>1558</v>
      </c>
      <c r="E8909" s="5" t="s">
        <v>55588</v>
      </c>
      <c r="F8909" s="5" t="s">
        <v>37</v>
      </c>
      <c r="G8909" s="5" t="s">
        <v>55589</v>
      </c>
      <c r="H8909" s="6" t="s">
        <v>55590</v>
      </c>
      <c r="K8909" s="5" t="s">
        <v>55584</v>
      </c>
      <c r="M8909" s="5" t="s">
        <v>55591</v>
      </c>
      <c r="N8909" s="7" t="s">
        <v>55592</v>
      </c>
      <c r="O8909" s="8" t="str">
        <f>HYPERLINK("https://drive.google.com/file/d/1a88o5UNGaCvOgqlXzOSbNbkjunRZ1rRP/view?usp=drivesdk","8908_DEDI KURNIADI _ SERTIFIKAT BerAKHLAK")</f>
        <v>8908_DEDI KURNIADI _ SERTIFIKAT BerAKHLAK</v>
      </c>
      <c r="P8909" s="5" t="s">
        <v>55593</v>
      </c>
    </row>
    <row r="8910">
      <c r="A8910" s="4">
        <v>45534.42067528935</v>
      </c>
      <c r="B8910" s="5" t="s">
        <v>34</v>
      </c>
      <c r="D8910" s="5" t="s">
        <v>4775</v>
      </c>
      <c r="E8910" s="5" t="s">
        <v>55594</v>
      </c>
      <c r="F8910" s="5" t="s">
        <v>375</v>
      </c>
      <c r="G8910" s="5" t="s">
        <v>55595</v>
      </c>
      <c r="H8910" s="6" t="s">
        <v>55596</v>
      </c>
      <c r="K8910" s="5" t="s">
        <v>55597</v>
      </c>
      <c r="M8910" s="5" t="s">
        <v>55598</v>
      </c>
      <c r="N8910" s="7" t="s">
        <v>55599</v>
      </c>
      <c r="O8910" s="8" t="str">
        <f>HYPERLINK("https://drive.google.com/file/d/1rBfTp6L17oAlKIXxvjOzA_95JZFhYVPY/view?usp=drivesdk","8909_ENI SUSILOWATI, S.E., M.M. _ SERTIFIKAT BerAKHLAK")</f>
        <v>8909_ENI SUSILOWATI, S.E., M.M. _ SERTIFIKAT BerAKHLAK</v>
      </c>
      <c r="P8910" s="5" t="s">
        <v>55600</v>
      </c>
    </row>
    <row r="8911" hidden="1">
      <c r="A8911" s="4">
        <v>45534.420703310185</v>
      </c>
      <c r="B8911" s="5" t="s">
        <v>19</v>
      </c>
      <c r="C8911" s="5" t="s">
        <v>292</v>
      </c>
      <c r="E8911" s="5" t="s">
        <v>55601</v>
      </c>
      <c r="F8911" s="5" t="s">
        <v>37</v>
      </c>
      <c r="G8911" s="5" t="s">
        <v>55602</v>
      </c>
      <c r="H8911" s="6" t="s">
        <v>55603</v>
      </c>
      <c r="K8911" s="5" t="s">
        <v>55597</v>
      </c>
      <c r="M8911" s="5" t="s">
        <v>55604</v>
      </c>
      <c r="N8911" s="7" t="s">
        <v>55605</v>
      </c>
      <c r="O8911" s="8" t="str">
        <f>HYPERLINK("https://drive.google.com/file/d/16K3dVUlWIux_ruOjGpMQvTmLPIpyjpUo/view?usp=drivesdk","8910_MUHAMMAD OGIE SYAPUTRA _ SERTIFIKAT BerAKHLAK")</f>
        <v>8910_MUHAMMAD OGIE SYAPUTRA _ SERTIFIKAT BerAKHLAK</v>
      </c>
      <c r="P8911" s="5" t="s">
        <v>55606</v>
      </c>
    </row>
    <row r="8912">
      <c r="A8912" s="4">
        <v>45534.42083668982</v>
      </c>
      <c r="B8912" s="5" t="s">
        <v>34</v>
      </c>
      <c r="D8912" s="5" t="s">
        <v>14424</v>
      </c>
      <c r="E8912" s="5" t="s">
        <v>55607</v>
      </c>
      <c r="F8912" s="5" t="s">
        <v>375</v>
      </c>
      <c r="G8912" s="5" t="s">
        <v>55608</v>
      </c>
      <c r="H8912" s="6" t="s">
        <v>55609</v>
      </c>
      <c r="K8912" s="5" t="s">
        <v>55610</v>
      </c>
      <c r="M8912" s="5" t="s">
        <v>55611</v>
      </c>
      <c r="N8912" s="7" t="s">
        <v>55612</v>
      </c>
      <c r="O8912" s="8" t="str">
        <f>HYPERLINK("https://drive.google.com/file/d/1jVYli1cSjCra7J2ntvndbMc6w7_NCNBr/view?usp=drivesdk","8911_TURMINI S. K. M _ SERTIFIKAT BerAKHLAK")</f>
        <v>8911_TURMINI S. K. M _ SERTIFIKAT BerAKHLAK</v>
      </c>
      <c r="P8912" s="5" t="s">
        <v>55613</v>
      </c>
    </row>
    <row r="8913">
      <c r="A8913" s="4">
        <v>45534.42084045139</v>
      </c>
      <c r="B8913" s="5" t="s">
        <v>34</v>
      </c>
      <c r="D8913" s="5" t="s">
        <v>6232</v>
      </c>
      <c r="E8913" s="5" t="s">
        <v>15379</v>
      </c>
      <c r="F8913" s="5" t="s">
        <v>524</v>
      </c>
      <c r="G8913" s="5" t="s">
        <v>15380</v>
      </c>
      <c r="H8913" s="6" t="s">
        <v>55614</v>
      </c>
      <c r="K8913" s="5" t="s">
        <v>55610</v>
      </c>
      <c r="M8913" s="5" t="s">
        <v>55615</v>
      </c>
      <c r="N8913" s="7" t="s">
        <v>55616</v>
      </c>
      <c r="O8913" s="8" t="str">
        <f>HYPERLINK("https://drive.google.com/file/d/1LjkzAimXkXo7CX0_o3oxIKvFO87DRtBp/view?usp=drivesdk","8912_DODI MARTONO _ SERTIFIKAT BerAKHLAK")</f>
        <v>8912_DODI MARTONO _ SERTIFIKAT BerAKHLAK</v>
      </c>
      <c r="P8913" s="5" t="s">
        <v>55617</v>
      </c>
    </row>
    <row r="8914">
      <c r="A8914" s="4">
        <v>45534.420864907406</v>
      </c>
      <c r="B8914" s="5" t="s">
        <v>34</v>
      </c>
      <c r="D8914" s="5" t="s">
        <v>522</v>
      </c>
      <c r="E8914" s="5" t="s">
        <v>55618</v>
      </c>
      <c r="F8914" s="5" t="s">
        <v>798</v>
      </c>
      <c r="G8914" s="5" t="s">
        <v>55619</v>
      </c>
      <c r="H8914" s="6" t="s">
        <v>55620</v>
      </c>
      <c r="K8914" s="5" t="s">
        <v>55610</v>
      </c>
      <c r="M8914" s="5" t="s">
        <v>55621</v>
      </c>
      <c r="N8914" s="7" t="s">
        <v>55622</v>
      </c>
      <c r="O8914" s="8" t="str">
        <f>HYPERLINK("https://drive.google.com/file/d/1NXFl4iSNHw-HGIujGhCqHG0g5IaGckuA/view?usp=drivesdk","8913_SARAH DESTIRA SANDI, S.H. _ SERTIFIKAT BerAKHLAK")</f>
        <v>8913_SARAH DESTIRA SANDI, S.H. _ SERTIFIKAT BerAKHLAK</v>
      </c>
      <c r="P8914" s="5" t="s">
        <v>55623</v>
      </c>
    </row>
    <row r="8915">
      <c r="A8915" s="4">
        <v>45534.42098520833</v>
      </c>
      <c r="B8915" s="5" t="s">
        <v>34</v>
      </c>
      <c r="D8915" s="5" t="s">
        <v>12026</v>
      </c>
      <c r="E8915" s="5" t="s">
        <v>55624</v>
      </c>
      <c r="F8915" s="5" t="s">
        <v>375</v>
      </c>
      <c r="G8915" s="5" t="s">
        <v>55625</v>
      </c>
      <c r="H8915" s="6" t="s">
        <v>55626</v>
      </c>
      <c r="K8915" s="5" t="s">
        <v>55627</v>
      </c>
      <c r="M8915" s="5" t="s">
        <v>55628</v>
      </c>
      <c r="N8915" s="7" t="s">
        <v>55629</v>
      </c>
      <c r="O8915" s="8" t="str">
        <f>HYPERLINK("https://drive.google.com/file/d/1p4JoLJVO7-M7-MKJ_BwQhcrpCiy2KzO6/view?usp=drivesdk","8914_SRI RIAHMAYANI,S.S.Kom _ SERTIFIKAT BerAKHLAK")</f>
        <v>8914_SRI RIAHMAYANI,S.S.Kom _ SERTIFIKAT BerAKHLAK</v>
      </c>
      <c r="P8915" s="5" t="s">
        <v>55630</v>
      </c>
    </row>
    <row r="8916">
      <c r="A8916" s="4">
        <v>45534.42104327546</v>
      </c>
      <c r="B8916" s="5" t="s">
        <v>34</v>
      </c>
      <c r="D8916" s="5" t="s">
        <v>1206</v>
      </c>
      <c r="E8916" s="5" t="s">
        <v>55631</v>
      </c>
      <c r="F8916" s="5" t="s">
        <v>524</v>
      </c>
      <c r="G8916" s="5" t="s">
        <v>55632</v>
      </c>
      <c r="H8916" s="6" t="s">
        <v>55633</v>
      </c>
      <c r="K8916" s="5" t="s">
        <v>55634</v>
      </c>
      <c r="M8916" s="5" t="s">
        <v>55635</v>
      </c>
      <c r="N8916" s="7" t="s">
        <v>55636</v>
      </c>
      <c r="O8916" s="8" t="str">
        <f>HYPERLINK("https://drive.google.com/file/d/10Tf5mGt9mq1sOn8n8ouTIk55l0iggi67/view?usp=drivesdk","8915_DEWI SUPRAPTI, S.Tr.Keb, Bdn _ SERTIFIKAT BerAKHLAK")</f>
        <v>8915_DEWI SUPRAPTI, S.Tr.Keb, Bdn _ SERTIFIKAT BerAKHLAK</v>
      </c>
      <c r="P8916" s="5" t="s">
        <v>55637</v>
      </c>
    </row>
    <row r="8917">
      <c r="A8917" s="4">
        <v>45534.42107386574</v>
      </c>
      <c r="B8917" s="5" t="s">
        <v>34</v>
      </c>
      <c r="D8917" s="5" t="s">
        <v>12978</v>
      </c>
      <c r="E8917" s="5" t="s">
        <v>55638</v>
      </c>
      <c r="F8917" s="5" t="s">
        <v>715</v>
      </c>
      <c r="G8917" s="5" t="s">
        <v>55639</v>
      </c>
      <c r="H8917" s="6" t="s">
        <v>55640</v>
      </c>
      <c r="K8917" s="5" t="s">
        <v>55634</v>
      </c>
      <c r="M8917" s="5" t="s">
        <v>55641</v>
      </c>
      <c r="N8917" s="7" t="s">
        <v>55642</v>
      </c>
      <c r="O8917" s="8" t="str">
        <f>HYPERLINK("https://drive.google.com/file/d/1hjYKS1d_9ffhz6Os9XHd5ckKekXHdI2r/view?usp=drivesdk","8916_VIVIT SISWANTY _ SERTIFIKAT BerAKHLAK")</f>
        <v>8916_VIVIT SISWANTY _ SERTIFIKAT BerAKHLAK</v>
      </c>
      <c r="P8917" s="5" t="s">
        <v>55643</v>
      </c>
    </row>
    <row r="8918" hidden="1">
      <c r="A8918" s="4">
        <v>45534.42120619213</v>
      </c>
      <c r="B8918" s="5" t="s">
        <v>19</v>
      </c>
      <c r="C8918" s="5" t="s">
        <v>55133</v>
      </c>
      <c r="E8918" s="5" t="s">
        <v>55644</v>
      </c>
      <c r="F8918" s="5" t="s">
        <v>375</v>
      </c>
      <c r="G8918" s="5" t="s">
        <v>55645</v>
      </c>
      <c r="H8918" s="6" t="s">
        <v>55646</v>
      </c>
      <c r="K8918" s="5" t="s">
        <v>55647</v>
      </c>
      <c r="M8918" s="5" t="s">
        <v>55648</v>
      </c>
      <c r="N8918" s="7" t="s">
        <v>55649</v>
      </c>
      <c r="O8918" s="8" t="str">
        <f>HYPERLINK("https://drive.google.com/file/d/1OTqhaBPbTmcjhDlh-_7U7UkphuC89L0o/view?usp=drivesdk","8917_PUTERA GILANG RAMADHAN, S.KOM _ SERTIFIKAT BerAKHLAK")</f>
        <v>8917_PUTERA GILANG RAMADHAN, S.KOM _ SERTIFIKAT BerAKHLAK</v>
      </c>
      <c r="P8918" s="5" t="s">
        <v>55650</v>
      </c>
    </row>
    <row r="8919">
      <c r="A8919" s="4">
        <v>45534.421274699074</v>
      </c>
      <c r="B8919" s="5" t="s">
        <v>34</v>
      </c>
      <c r="D8919" s="5" t="s">
        <v>12978</v>
      </c>
      <c r="E8919" s="5" t="s">
        <v>28932</v>
      </c>
      <c r="F8919" s="5" t="s">
        <v>212</v>
      </c>
      <c r="G8919" s="5" t="s">
        <v>55651</v>
      </c>
      <c r="H8919" s="6" t="s">
        <v>55652</v>
      </c>
      <c r="K8919" s="5" t="s">
        <v>55647</v>
      </c>
      <c r="M8919" s="5" t="s">
        <v>55653</v>
      </c>
      <c r="N8919" s="7" t="s">
        <v>55654</v>
      </c>
      <c r="O8919" s="8" t="str">
        <f>HYPERLINK("https://drive.google.com/file/d/1VhE9SG6fSSiIDReDgieGeFpAQyrle_fL/view?usp=drivesdk","8918_MEGAWATI _ SERTIFIKAT BerAKHLAK")</f>
        <v>8918_MEGAWATI _ SERTIFIKAT BerAKHLAK</v>
      </c>
      <c r="P8919" s="5" t="s">
        <v>55650</v>
      </c>
    </row>
    <row r="8920">
      <c r="A8920" s="4">
        <v>45534.42133109954</v>
      </c>
      <c r="B8920" s="5" t="s">
        <v>34</v>
      </c>
      <c r="D8920" s="5" t="s">
        <v>14424</v>
      </c>
      <c r="E8920" s="5" t="s">
        <v>55655</v>
      </c>
      <c r="F8920" s="5" t="s">
        <v>212</v>
      </c>
      <c r="G8920" s="5" t="s">
        <v>55656</v>
      </c>
      <c r="H8920" s="6" t="s">
        <v>55657</v>
      </c>
      <c r="K8920" s="5" t="s">
        <v>55658</v>
      </c>
      <c r="M8920" s="5" t="s">
        <v>55659</v>
      </c>
      <c r="N8920" s="7" t="s">
        <v>55660</v>
      </c>
      <c r="O8920" s="8" t="str">
        <f>HYPERLINK("https://drive.google.com/file/d/1cK-u9u8wkwjWv3T3Y5vBBR8VaoNtz-ZZ/view?usp=drivesdk","8919_SEPTI YULIANA TOYIB, A.MK _ SERTIFIKAT BerAKHLAK")</f>
        <v>8919_SEPTI YULIANA TOYIB, A.MK _ SERTIFIKAT BerAKHLAK</v>
      </c>
      <c r="P8920" s="5" t="s">
        <v>55661</v>
      </c>
    </row>
    <row r="8921">
      <c r="A8921" s="4">
        <v>45534.42140880787</v>
      </c>
      <c r="B8921" s="5" t="s">
        <v>34</v>
      </c>
      <c r="D8921" s="5" t="s">
        <v>4775</v>
      </c>
      <c r="E8921" s="5" t="s">
        <v>55662</v>
      </c>
      <c r="F8921" s="5" t="s">
        <v>37</v>
      </c>
      <c r="G8921" s="5" t="s">
        <v>55663</v>
      </c>
      <c r="H8921" s="6" t="s">
        <v>55664</v>
      </c>
      <c r="K8921" s="5" t="s">
        <v>55665</v>
      </c>
      <c r="M8921" s="5" t="s">
        <v>55666</v>
      </c>
      <c r="N8921" s="7" t="s">
        <v>55667</v>
      </c>
      <c r="O8921" s="8" t="str">
        <f>HYPERLINK("https://drive.google.com/file/d/1X_1aLXtZlxQ_YLZHWi29w9I4q35nG00j/view?usp=drivesdk","8920_MIA DESY PUSPITHA _ SERTIFIKAT BerAKHLAK")</f>
        <v>8920_MIA DESY PUSPITHA _ SERTIFIKAT BerAKHLAK</v>
      </c>
      <c r="P8921" s="5" t="s">
        <v>55661</v>
      </c>
    </row>
    <row r="8922">
      <c r="A8922" s="4">
        <v>45534.42142675926</v>
      </c>
      <c r="B8922" s="5" t="s">
        <v>34</v>
      </c>
      <c r="D8922" s="5" t="s">
        <v>1206</v>
      </c>
      <c r="E8922" s="5" t="s">
        <v>55668</v>
      </c>
      <c r="F8922" s="5" t="s">
        <v>524</v>
      </c>
      <c r="G8922" s="5" t="s">
        <v>55669</v>
      </c>
      <c r="H8922" s="6" t="s">
        <v>55670</v>
      </c>
      <c r="K8922" s="5" t="s">
        <v>55665</v>
      </c>
      <c r="M8922" s="5" t="s">
        <v>55671</v>
      </c>
      <c r="N8922" s="7" t="s">
        <v>55672</v>
      </c>
      <c r="O8922" s="8" t="str">
        <f>HYPERLINK("https://drive.google.com/file/d/1JaI7IPLikNP--z2C5o7v2nXbLvoAyxZ8/view?usp=drivesdk","8921_ANIK RIKANAH, Amd.Kep.  _ SERTIFIKAT BerAKHLAK")</f>
        <v>8921_ANIK RIKANAH, Amd.Kep.  _ SERTIFIKAT BerAKHLAK</v>
      </c>
      <c r="P8922" s="5" t="s">
        <v>55673</v>
      </c>
    </row>
    <row r="8923">
      <c r="A8923" s="4">
        <v>45534.42147972222</v>
      </c>
      <c r="B8923" s="5" t="s">
        <v>34</v>
      </c>
      <c r="D8923" s="5" t="s">
        <v>580</v>
      </c>
      <c r="E8923" s="5" t="s">
        <v>55674</v>
      </c>
      <c r="F8923" s="5" t="s">
        <v>108</v>
      </c>
      <c r="G8923" s="5" t="s">
        <v>55675</v>
      </c>
      <c r="H8923" s="6" t="s">
        <v>55676</v>
      </c>
      <c r="K8923" s="5" t="s">
        <v>55665</v>
      </c>
      <c r="M8923" s="5" t="s">
        <v>55677</v>
      </c>
      <c r="N8923" s="7" t="s">
        <v>55678</v>
      </c>
      <c r="O8923" s="8" t="str">
        <f>HYPERLINK("https://drive.google.com/file/d/13hLkTK1iVDr-Ra4ZIVS6NbJQbVwLPehx/view?usp=drivesdk","8922_Ni Ketut Adnyawati, A.Md.Kep. _ SERTIFIKAT BerAKHLAK")</f>
        <v>8922_Ni Ketut Adnyawati, A.Md.Kep. _ SERTIFIKAT BerAKHLAK</v>
      </c>
      <c r="P8923" s="5" t="s">
        <v>55673</v>
      </c>
    </row>
    <row r="8924">
      <c r="A8924" s="4">
        <v>45534.421493726855</v>
      </c>
      <c r="B8924" s="5" t="s">
        <v>34</v>
      </c>
      <c r="D8924" s="5" t="s">
        <v>267</v>
      </c>
      <c r="E8924" s="5" t="s">
        <v>55679</v>
      </c>
      <c r="F8924" s="5" t="s">
        <v>375</v>
      </c>
      <c r="G8924" s="5" t="s">
        <v>55680</v>
      </c>
      <c r="H8924" s="6" t="s">
        <v>55681</v>
      </c>
      <c r="K8924" s="5" t="s">
        <v>55682</v>
      </c>
      <c r="M8924" s="5" t="s">
        <v>55683</v>
      </c>
      <c r="N8924" s="7" t="s">
        <v>55684</v>
      </c>
      <c r="O8924" s="8" t="str">
        <f>HYPERLINK("https://drive.google.com/file/d/1DIzsPsOdb6RelACsVOr03QVBy0iY70Lb/view?usp=drivesdk","8923_RUSMILAH, S.E. _ SERTIFIKAT BerAKHLAK")</f>
        <v>8923_RUSMILAH, S.E. _ SERTIFIKAT BerAKHLAK</v>
      </c>
      <c r="P8924" s="5" t="s">
        <v>55673</v>
      </c>
    </row>
    <row r="8925">
      <c r="A8925" s="4">
        <v>45534.4215150463</v>
      </c>
      <c r="B8925" s="5" t="s">
        <v>34</v>
      </c>
      <c r="D8925" s="5" t="s">
        <v>9020</v>
      </c>
      <c r="E8925" s="5" t="s">
        <v>55685</v>
      </c>
      <c r="F8925" s="5" t="s">
        <v>108</v>
      </c>
      <c r="G8925" s="5" t="s">
        <v>55686</v>
      </c>
      <c r="H8925" s="6" t="s">
        <v>55687</v>
      </c>
      <c r="K8925" s="5" t="s">
        <v>55682</v>
      </c>
      <c r="M8925" s="5" t="s">
        <v>55688</v>
      </c>
      <c r="N8925" s="7" t="s">
        <v>55689</v>
      </c>
      <c r="O8925" s="8" t="str">
        <f>HYPERLINK("https://drive.google.com/file/d/1VQ27RLzlgVx9ZDjCo7DvNTzTFl1zjgi-/view?usp=drivesdk","8924_MURNI SIMANJUNTAK  _ SERTIFIKAT BerAKHLAK")</f>
        <v>8924_MURNI SIMANJUNTAK  _ SERTIFIKAT BerAKHLAK</v>
      </c>
      <c r="P8925" s="5" t="s">
        <v>55673</v>
      </c>
    </row>
    <row r="8926">
      <c r="A8926" s="4">
        <v>45534.42159013889</v>
      </c>
      <c r="B8926" s="5" t="s">
        <v>34</v>
      </c>
      <c r="D8926" s="5" t="s">
        <v>4775</v>
      </c>
      <c r="E8926" s="5" t="s">
        <v>55690</v>
      </c>
      <c r="F8926" s="5" t="s">
        <v>37</v>
      </c>
      <c r="G8926" s="5" t="s">
        <v>55691</v>
      </c>
      <c r="H8926" s="6" t="s">
        <v>55692</v>
      </c>
      <c r="K8926" s="5" t="s">
        <v>55682</v>
      </c>
      <c r="M8926" s="5" t="s">
        <v>55693</v>
      </c>
      <c r="N8926" s="7" t="s">
        <v>55694</v>
      </c>
      <c r="O8926" s="8" t="str">
        <f>HYPERLINK("https://drive.google.com/file/d/1jbuoLq3geE3TJznqH6KF5JWYMMA9uf_G/view?usp=drivesdk","8925_SULIS PRIYONO _ SERTIFIKAT BerAKHLAK")</f>
        <v>8925_SULIS PRIYONO _ SERTIFIKAT BerAKHLAK</v>
      </c>
      <c r="P8926" s="5" t="s">
        <v>55673</v>
      </c>
    </row>
    <row r="8927" hidden="1">
      <c r="A8927" s="4">
        <v>45534.42162194445</v>
      </c>
      <c r="B8927" s="5" t="s">
        <v>19</v>
      </c>
      <c r="C8927" s="5" t="s">
        <v>20</v>
      </c>
      <c r="E8927" s="5" t="s">
        <v>55695</v>
      </c>
      <c r="F8927" s="5" t="s">
        <v>212</v>
      </c>
      <c r="G8927" s="5" t="s">
        <v>55696</v>
      </c>
      <c r="H8927" s="6" t="s">
        <v>55697</v>
      </c>
      <c r="K8927" s="5" t="s">
        <v>55698</v>
      </c>
      <c r="M8927" s="5" t="s">
        <v>55699</v>
      </c>
      <c r="N8927" s="7" t="s">
        <v>55700</v>
      </c>
      <c r="O8927" s="8" t="str">
        <f>HYPERLINK("https://drive.google.com/file/d/11IOWo_7LvW4UlGjyrHWGgVTSDsW3bObn/view?usp=drivesdk","8926_ARY IRMA NURPURI _ SERTIFIKAT BerAKHLAK")</f>
        <v>8926_ARY IRMA NURPURI _ SERTIFIKAT BerAKHLAK</v>
      </c>
      <c r="P8927" s="5" t="s">
        <v>55673</v>
      </c>
    </row>
    <row r="8928">
      <c r="A8928" s="4">
        <v>45534.42164355324</v>
      </c>
      <c r="B8928" s="5" t="s">
        <v>34</v>
      </c>
      <c r="D8928" s="5" t="s">
        <v>1558</v>
      </c>
      <c r="E8928" s="5" t="s">
        <v>55701</v>
      </c>
      <c r="F8928" s="5" t="s">
        <v>37</v>
      </c>
      <c r="G8928" s="5" t="s">
        <v>55702</v>
      </c>
      <c r="H8928" s="6" t="s">
        <v>55703</v>
      </c>
      <c r="K8928" s="5" t="s">
        <v>55704</v>
      </c>
      <c r="M8928" s="5" t="s">
        <v>55705</v>
      </c>
      <c r="N8928" s="7" t="s">
        <v>55706</v>
      </c>
      <c r="O8928" s="8" t="str">
        <f>HYPERLINK("https://drive.google.com/file/d/1kvpXLE8cccy_Un1YfeKGOIT1_99is9Kj/view?usp=drivesdk","8927_UMRONI _ SERTIFIKAT BerAKHLAK")</f>
        <v>8927_UMRONI _ SERTIFIKAT BerAKHLAK</v>
      </c>
      <c r="P8928" s="5" t="s">
        <v>55707</v>
      </c>
    </row>
    <row r="8929">
      <c r="A8929" s="4">
        <v>45534.42164665509</v>
      </c>
      <c r="B8929" s="5" t="s">
        <v>34</v>
      </c>
      <c r="D8929" s="5" t="s">
        <v>4775</v>
      </c>
      <c r="E8929" s="5" t="s">
        <v>55708</v>
      </c>
      <c r="F8929" s="5" t="s">
        <v>524</v>
      </c>
      <c r="G8929" s="5" t="s">
        <v>55709</v>
      </c>
      <c r="H8929" s="6" t="s">
        <v>55710</v>
      </c>
      <c r="K8929" s="5" t="s">
        <v>55704</v>
      </c>
      <c r="M8929" s="5" t="s">
        <v>55711</v>
      </c>
      <c r="N8929" s="7" t="s">
        <v>55712</v>
      </c>
      <c r="O8929" s="8" t="str">
        <f>HYPERLINK("https://drive.google.com/file/d/1Y1EiJRRNBfBi6LjIbi7OgIIyeGcc8GTd/view?usp=drivesdk","8928_NIMATU SHODRI, S.E. _ SERTIFIKAT BerAKHLAK")</f>
        <v>8928_NIMATU SHODRI, S.E. _ SERTIFIKAT BerAKHLAK</v>
      </c>
      <c r="P8929" s="5" t="s">
        <v>55707</v>
      </c>
    </row>
    <row r="8930">
      <c r="A8930" s="4">
        <v>45534.421760613426</v>
      </c>
      <c r="B8930" s="5" t="s">
        <v>34</v>
      </c>
      <c r="D8930" s="5" t="s">
        <v>1206</v>
      </c>
      <c r="E8930" s="5" t="s">
        <v>55713</v>
      </c>
      <c r="F8930" s="5" t="s">
        <v>37</v>
      </c>
      <c r="G8930" s="5" t="s">
        <v>55714</v>
      </c>
      <c r="H8930" s="6" t="s">
        <v>55715</v>
      </c>
      <c r="K8930" s="5" t="s">
        <v>55716</v>
      </c>
      <c r="M8930" s="5" t="s">
        <v>55717</v>
      </c>
      <c r="N8930" s="7" t="s">
        <v>55718</v>
      </c>
      <c r="O8930" s="8" t="str">
        <f>HYPERLINK("https://drive.google.com/file/d/1QOJVtpYi4UeZEexYnuJzmFb0DqQF-kfL/view?usp=drivesdk","8929_HARI SOEBENO _ SERTIFIKAT BerAKHLAK")</f>
        <v>8929_HARI SOEBENO _ SERTIFIKAT BerAKHLAK</v>
      </c>
      <c r="P8930" s="5" t="s">
        <v>55707</v>
      </c>
    </row>
    <row r="8931">
      <c r="A8931" s="4">
        <v>45534.42176116898</v>
      </c>
      <c r="B8931" s="5" t="s">
        <v>34</v>
      </c>
      <c r="D8931" s="5" t="s">
        <v>1206</v>
      </c>
      <c r="E8931" s="5" t="s">
        <v>55719</v>
      </c>
      <c r="F8931" s="5" t="s">
        <v>37</v>
      </c>
      <c r="G8931" s="5" t="s">
        <v>55720</v>
      </c>
      <c r="H8931" s="6" t="s">
        <v>55721</v>
      </c>
      <c r="K8931" s="5" t="s">
        <v>55716</v>
      </c>
      <c r="M8931" s="5" t="s">
        <v>55722</v>
      </c>
      <c r="N8931" s="7" t="s">
        <v>55723</v>
      </c>
      <c r="O8931" s="8" t="str">
        <f>HYPERLINK("https://drive.google.com/file/d/1HeHn7D0vQkdvA8uvxVCWSYsAdYxeV-Qt/view?usp=drivesdk","8930_PUJIATININGSIH _ SERTIFIKAT BerAKHLAK")</f>
        <v>8930_PUJIATININGSIH _ SERTIFIKAT BerAKHLAK</v>
      </c>
      <c r="P8931" s="5" t="s">
        <v>55707</v>
      </c>
    </row>
    <row r="8932">
      <c r="A8932" s="4">
        <v>45534.42181814815</v>
      </c>
      <c r="B8932" s="5" t="s">
        <v>34</v>
      </c>
      <c r="D8932" s="5" t="s">
        <v>4775</v>
      </c>
      <c r="E8932" s="5" t="s">
        <v>55724</v>
      </c>
      <c r="F8932" s="5" t="s">
        <v>375</v>
      </c>
      <c r="G8932" s="5" t="s">
        <v>55725</v>
      </c>
      <c r="H8932" s="6" t="s">
        <v>55726</v>
      </c>
      <c r="K8932" s="5" t="s">
        <v>55727</v>
      </c>
      <c r="M8932" s="5" t="s">
        <v>55728</v>
      </c>
      <c r="N8932" s="7" t="s">
        <v>55729</v>
      </c>
      <c r="O8932" s="8" t="str">
        <f>HYPERLINK("https://drive.google.com/file/d/1JUnpSwnR2WSAdx1ts1Pt3a2TsHnqiAAw/view?usp=drivesdk","8931_SULISTYAWAN  _ SERTIFIKAT BerAKHLAK")</f>
        <v>8931_SULISTYAWAN  _ SERTIFIKAT BerAKHLAK</v>
      </c>
      <c r="P8932" s="5" t="s">
        <v>55707</v>
      </c>
    </row>
    <row r="8933">
      <c r="A8933" s="4">
        <v>45534.42186578704</v>
      </c>
      <c r="B8933" s="5" t="s">
        <v>34</v>
      </c>
      <c r="D8933" s="5" t="s">
        <v>9394</v>
      </c>
      <c r="E8933" s="5" t="s">
        <v>55730</v>
      </c>
      <c r="F8933" s="5" t="s">
        <v>37</v>
      </c>
      <c r="G8933" s="5" t="s">
        <v>55731</v>
      </c>
      <c r="H8933" s="6" t="s">
        <v>55732</v>
      </c>
      <c r="K8933" s="5" t="s">
        <v>55727</v>
      </c>
      <c r="M8933" s="5" t="s">
        <v>55733</v>
      </c>
      <c r="N8933" s="7" t="s">
        <v>55734</v>
      </c>
      <c r="O8933" s="8" t="str">
        <f>HYPERLINK("https://drive.google.com/file/d/15i-nZio1DUcUASOnm4vX7ox2r898KW7j/view?usp=drivesdk","8932_ZAIPUL HANI _ SERTIFIKAT BerAKHLAK")</f>
        <v>8932_ZAIPUL HANI _ SERTIFIKAT BerAKHLAK</v>
      </c>
      <c r="P8933" s="5" t="s">
        <v>55707</v>
      </c>
    </row>
    <row r="8934">
      <c r="A8934" s="4">
        <v>45534.42190166667</v>
      </c>
      <c r="B8934" s="5" t="s">
        <v>34</v>
      </c>
      <c r="D8934" s="5" t="s">
        <v>1206</v>
      </c>
      <c r="E8934" s="5" t="s">
        <v>55735</v>
      </c>
      <c r="F8934" s="5" t="s">
        <v>37</v>
      </c>
      <c r="G8934" s="5" t="s">
        <v>55736</v>
      </c>
      <c r="H8934" s="6" t="s">
        <v>55737</v>
      </c>
      <c r="K8934" s="5" t="s">
        <v>55727</v>
      </c>
      <c r="M8934" s="5" t="s">
        <v>55738</v>
      </c>
      <c r="N8934" s="7" t="s">
        <v>55739</v>
      </c>
      <c r="O8934" s="8" t="str">
        <f>HYPERLINK("https://drive.google.com/file/d/1FDFV7jERUtRSqlLy1q9kjq0tzIUVie_-/view?usp=drivesdk","8933_TUKIJAN _ SERTIFIKAT BerAKHLAK")</f>
        <v>8933_TUKIJAN _ SERTIFIKAT BerAKHLAK</v>
      </c>
      <c r="P8934" s="5" t="s">
        <v>55740</v>
      </c>
    </row>
    <row r="8935">
      <c r="A8935" s="4">
        <v>45534.4220513426</v>
      </c>
      <c r="B8935" s="5" t="s">
        <v>34</v>
      </c>
      <c r="D8935" s="5" t="s">
        <v>2903</v>
      </c>
      <c r="E8935" s="5" t="s">
        <v>55741</v>
      </c>
      <c r="F8935" s="5" t="s">
        <v>524</v>
      </c>
      <c r="G8935" s="5" t="s">
        <v>55742</v>
      </c>
      <c r="H8935" s="6" t="s">
        <v>55743</v>
      </c>
      <c r="K8935" s="5" t="s">
        <v>55744</v>
      </c>
      <c r="M8935" s="5" t="s">
        <v>55745</v>
      </c>
      <c r="N8935" s="7" t="s">
        <v>55746</v>
      </c>
      <c r="O8935" s="8" t="str">
        <f>HYPERLINK("https://drive.google.com/file/d/1c6sSFsKRe0wQIpd0znCFBvx5AJbdHAtw/view?usp=drivesdk","8934_NINI FARTINI, S.Kep., Ners _ SERTIFIKAT BerAKHLAK")</f>
        <v>8934_NINI FARTINI, S.Kep., Ners _ SERTIFIKAT BerAKHLAK</v>
      </c>
      <c r="P8935" s="5" t="s">
        <v>55740</v>
      </c>
    </row>
    <row r="8936">
      <c r="A8936" s="4">
        <v>45534.42206890046</v>
      </c>
      <c r="B8936" s="5" t="s">
        <v>34</v>
      </c>
      <c r="D8936" s="5" t="s">
        <v>267</v>
      </c>
      <c r="E8936" s="5" t="s">
        <v>55747</v>
      </c>
      <c r="F8936" s="5" t="s">
        <v>524</v>
      </c>
      <c r="G8936" s="5" t="s">
        <v>55748</v>
      </c>
      <c r="H8936" s="6" t="s">
        <v>55749</v>
      </c>
      <c r="K8936" s="5" t="s">
        <v>55744</v>
      </c>
      <c r="M8936" s="5" t="s">
        <v>55750</v>
      </c>
      <c r="N8936" s="7" t="s">
        <v>55751</v>
      </c>
      <c r="O8936" s="8" t="str">
        <f>HYPERLINK("https://drive.google.com/file/d/1XYpWqXcA-escrokcqOv3RyPnhNxSl3zg/view?usp=drivesdk","8935_ROSNANDA SUKMAWATI,S.Kep _ SERTIFIKAT BerAKHLAK")</f>
        <v>8935_ROSNANDA SUKMAWATI,S.Kep _ SERTIFIKAT BerAKHLAK</v>
      </c>
      <c r="P8936" s="5" t="s">
        <v>55740</v>
      </c>
    </row>
    <row r="8937">
      <c r="A8937" s="4">
        <v>45534.42216752315</v>
      </c>
      <c r="B8937" s="5" t="s">
        <v>34</v>
      </c>
      <c r="D8937" s="5" t="s">
        <v>2903</v>
      </c>
      <c r="E8937" s="5" t="s">
        <v>55752</v>
      </c>
      <c r="F8937" s="5" t="s">
        <v>108</v>
      </c>
      <c r="G8937" s="5" t="s">
        <v>55753</v>
      </c>
      <c r="H8937" s="6" t="s">
        <v>55754</v>
      </c>
      <c r="K8937" s="5" t="s">
        <v>55755</v>
      </c>
      <c r="M8937" s="5" t="s">
        <v>55756</v>
      </c>
      <c r="N8937" s="7" t="s">
        <v>55757</v>
      </c>
      <c r="O8937" s="8" t="str">
        <f>HYPERLINK("https://drive.google.com/file/d/1OMOq2o49gPXc3qIXijMEwYgRz5aM6pRC/view?usp=drivesdk","8936_Ns.HEPPYARIANI BR SARAGIH S Kep _ SERTIFIKAT BerAKHLAK")</f>
        <v>8936_Ns.HEPPYARIANI BR SARAGIH S Kep _ SERTIFIKAT BerAKHLAK</v>
      </c>
      <c r="P8937" s="5" t="s">
        <v>55740</v>
      </c>
    </row>
    <row r="8938" hidden="1">
      <c r="A8938" s="4">
        <v>45534.42218476852</v>
      </c>
      <c r="B8938" s="5" t="s">
        <v>19</v>
      </c>
      <c r="C8938" s="5" t="s">
        <v>45988</v>
      </c>
      <c r="E8938" s="5" t="s">
        <v>55758</v>
      </c>
      <c r="F8938" s="5" t="s">
        <v>524</v>
      </c>
      <c r="G8938" s="5" t="s">
        <v>55759</v>
      </c>
      <c r="H8938" s="6" t="s">
        <v>55760</v>
      </c>
      <c r="K8938" s="5" t="s">
        <v>55755</v>
      </c>
      <c r="M8938" s="5" t="s">
        <v>55761</v>
      </c>
      <c r="N8938" s="7" t="s">
        <v>55762</v>
      </c>
      <c r="O8938" s="8" t="str">
        <f>HYPERLINK("https://drive.google.com/file/d/1jLBfljcY74vuQ0rswzWTYmb0Y2nX3VOp/view?usp=drivesdk","8937_HARI OKTAPIYANTO _ SERTIFIKAT BerAKHLAK")</f>
        <v>8937_HARI OKTAPIYANTO _ SERTIFIKAT BerAKHLAK</v>
      </c>
      <c r="P8938" s="5" t="s">
        <v>55740</v>
      </c>
    </row>
    <row r="8939">
      <c r="A8939" s="4">
        <v>45534.42232658565</v>
      </c>
      <c r="B8939" s="5" t="s">
        <v>34</v>
      </c>
      <c r="D8939" s="5" t="s">
        <v>1558</v>
      </c>
      <c r="E8939" s="5" t="s">
        <v>55763</v>
      </c>
      <c r="F8939" s="5" t="s">
        <v>37</v>
      </c>
      <c r="G8939" s="5" t="s">
        <v>55764</v>
      </c>
      <c r="H8939" s="6" t="s">
        <v>55765</v>
      </c>
      <c r="K8939" s="5" t="s">
        <v>55766</v>
      </c>
      <c r="M8939" s="5" t="s">
        <v>55767</v>
      </c>
      <c r="N8939" s="7" t="s">
        <v>55768</v>
      </c>
      <c r="O8939" s="8" t="str">
        <f>HYPERLINK("https://drive.google.com/file/d/1NgF6dA_7XZ2fQe0fMWdYea3OzBf5vaB5/view?usp=drivesdk","8938_FERY FEBIARTO _ SERTIFIKAT BerAKHLAK")</f>
        <v>8938_FERY FEBIARTO _ SERTIFIKAT BerAKHLAK</v>
      </c>
      <c r="P8939" s="5" t="s">
        <v>55740</v>
      </c>
    </row>
    <row r="8940">
      <c r="A8940" s="4">
        <v>45534.42236189815</v>
      </c>
      <c r="B8940" s="5" t="s">
        <v>34</v>
      </c>
      <c r="D8940" s="5" t="s">
        <v>1206</v>
      </c>
      <c r="E8940" s="5" t="s">
        <v>19722</v>
      </c>
      <c r="F8940" s="5" t="s">
        <v>37</v>
      </c>
      <c r="G8940" s="5" t="s">
        <v>55769</v>
      </c>
      <c r="H8940" s="6" t="s">
        <v>55770</v>
      </c>
      <c r="K8940" s="5" t="s">
        <v>55771</v>
      </c>
      <c r="M8940" s="5" t="s">
        <v>55772</v>
      </c>
      <c r="N8940" s="7" t="s">
        <v>55773</v>
      </c>
      <c r="O8940" s="8" t="str">
        <f>HYPERLINK("https://drive.google.com/file/d/1Cna8Wxu4UHhNgj2NV5f0KJyypKh-px08/view?usp=drivesdk","8939_SUPARMAN _ SERTIFIKAT BerAKHLAK")</f>
        <v>8939_SUPARMAN _ SERTIFIKAT BerAKHLAK</v>
      </c>
      <c r="P8940" s="5" t="s">
        <v>55774</v>
      </c>
    </row>
    <row r="8941" hidden="1">
      <c r="A8941" s="4">
        <v>45534.42241791666</v>
      </c>
      <c r="B8941" s="5" t="s">
        <v>19</v>
      </c>
      <c r="C8941" s="5" t="s">
        <v>14000</v>
      </c>
      <c r="E8941" s="5" t="s">
        <v>55775</v>
      </c>
      <c r="F8941" s="5" t="s">
        <v>108</v>
      </c>
      <c r="G8941" s="5" t="s">
        <v>55776</v>
      </c>
      <c r="H8941" s="6" t="s">
        <v>55777</v>
      </c>
      <c r="K8941" s="5" t="s">
        <v>55778</v>
      </c>
      <c r="M8941" s="5" t="s">
        <v>55779</v>
      </c>
      <c r="N8941" s="7" t="s">
        <v>55780</v>
      </c>
      <c r="O8941" s="8" t="str">
        <f>HYPERLINK("https://drive.google.com/file/d/1rt7dpVybpH-qHBDqIqQXfDBTuOUtggHo/view?usp=drivesdk","8940_Endang Warni, A.Md _ SERTIFIKAT BerAKHLAK")</f>
        <v>8940_Endang Warni, A.Md _ SERTIFIKAT BerAKHLAK</v>
      </c>
      <c r="P8941" s="5" t="s">
        <v>55781</v>
      </c>
    </row>
    <row r="8942">
      <c r="A8942" s="4">
        <v>45534.422470185185</v>
      </c>
      <c r="B8942" s="5" t="s">
        <v>34</v>
      </c>
      <c r="D8942" s="5" t="s">
        <v>12978</v>
      </c>
      <c r="E8942" s="5" t="s">
        <v>55782</v>
      </c>
      <c r="F8942" s="5" t="s">
        <v>37</v>
      </c>
      <c r="G8942" s="5" t="s">
        <v>55783</v>
      </c>
      <c r="H8942" s="6" t="s">
        <v>55784</v>
      </c>
      <c r="K8942" s="5" t="s">
        <v>55785</v>
      </c>
      <c r="M8942" s="5" t="s">
        <v>55786</v>
      </c>
      <c r="N8942" s="7" t="s">
        <v>55787</v>
      </c>
      <c r="O8942" s="8" t="str">
        <f>HYPERLINK("https://drive.google.com/file/d/1fgGimlBwOEwFl1BBAC2ajfr0cDqTmOqp/view?usp=drivesdk","8941_IIN OKTRI YANTI, A.Md. _ SERTIFIKAT BerAKHLAK")</f>
        <v>8941_IIN OKTRI YANTI, A.Md. _ SERTIFIKAT BerAKHLAK</v>
      </c>
      <c r="P8942" s="5" t="s">
        <v>55774</v>
      </c>
    </row>
    <row r="8943" hidden="1">
      <c r="A8943" s="4">
        <v>45534.42265540509</v>
      </c>
      <c r="B8943" s="5" t="s">
        <v>19</v>
      </c>
      <c r="C8943" s="5" t="s">
        <v>292</v>
      </c>
      <c r="E8943" s="5" t="s">
        <v>55788</v>
      </c>
      <c r="F8943" s="5" t="s">
        <v>212</v>
      </c>
      <c r="G8943" s="5" t="s">
        <v>55789</v>
      </c>
      <c r="H8943" s="6" t="s">
        <v>55790</v>
      </c>
      <c r="K8943" s="5" t="s">
        <v>55791</v>
      </c>
      <c r="M8943" s="5" t="s">
        <v>55792</v>
      </c>
      <c r="N8943" s="7" t="s">
        <v>55793</v>
      </c>
      <c r="O8943" s="8" t="str">
        <f>HYPERLINK("https://drive.google.com/file/d/1hrs8G7Un_EjZ0A5ScSHtyMLtYGBRteG6/view?usp=drivesdk","8942_SITI MASRIFAH _ SERTIFIKAT BerAKHLAK")</f>
        <v>8942_SITI MASRIFAH _ SERTIFIKAT BerAKHLAK</v>
      </c>
      <c r="P8943" s="5" t="s">
        <v>55774</v>
      </c>
    </row>
    <row r="8944" hidden="1">
      <c r="A8944" s="4">
        <v>45534.42266607639</v>
      </c>
      <c r="B8944" s="5" t="s">
        <v>19</v>
      </c>
      <c r="C8944" s="5" t="s">
        <v>292</v>
      </c>
      <c r="E8944" s="5" t="s">
        <v>55794</v>
      </c>
      <c r="F8944" s="5" t="s">
        <v>375</v>
      </c>
      <c r="G8944" s="5" t="s">
        <v>55795</v>
      </c>
      <c r="H8944" s="6" t="s">
        <v>55796</v>
      </c>
      <c r="K8944" s="5" t="s">
        <v>55791</v>
      </c>
      <c r="M8944" s="5" t="s">
        <v>55797</v>
      </c>
      <c r="N8944" s="7" t="s">
        <v>55798</v>
      </c>
      <c r="O8944" s="8" t="str">
        <f>HYPERLINK("https://drive.google.com/file/d/1eMeAAwpAd1LAl1YBAp5zGIaqOJA0TDMx/view?usp=drivesdk","8943_MUHAMMAD HAIKAL, S.E. _ SERTIFIKAT BerAKHLAK")</f>
        <v>8943_MUHAMMAD HAIKAL, S.E. _ SERTIFIKAT BerAKHLAK</v>
      </c>
      <c r="P8944" s="5" t="s">
        <v>55774</v>
      </c>
    </row>
    <row r="8945">
      <c r="A8945" s="4">
        <v>45534.42269121528</v>
      </c>
      <c r="B8945" s="5" t="s">
        <v>34</v>
      </c>
      <c r="D8945" s="5" t="s">
        <v>35</v>
      </c>
      <c r="E8945" s="5" t="s">
        <v>55799</v>
      </c>
      <c r="F8945" s="5" t="s">
        <v>72</v>
      </c>
      <c r="G8945" s="5" t="s">
        <v>55800</v>
      </c>
      <c r="H8945" s="6" t="s">
        <v>55801</v>
      </c>
      <c r="K8945" s="5" t="s">
        <v>55802</v>
      </c>
      <c r="M8945" s="5" t="s">
        <v>55803</v>
      </c>
      <c r="N8945" s="7" t="s">
        <v>55804</v>
      </c>
      <c r="O8945" s="8" t="str">
        <f>HYPERLINK("https://drive.google.com/file/d/1LOPBdvNmQvkZZqGyAzyD_QNWm6qzvBbS/view?usp=drivesdk","8944_EMIYATI SRI WAHYUNI,AMF _ SERTIFIKAT BerAKHLAK")</f>
        <v>8944_EMIYATI SRI WAHYUNI,AMF _ SERTIFIKAT BerAKHLAK</v>
      </c>
      <c r="P8945" s="5" t="s">
        <v>55805</v>
      </c>
    </row>
    <row r="8946">
      <c r="A8946" s="4">
        <v>45534.42278436343</v>
      </c>
      <c r="B8946" s="5" t="s">
        <v>34</v>
      </c>
      <c r="D8946" s="5" t="s">
        <v>9020</v>
      </c>
      <c r="E8946" s="5" t="s">
        <v>55806</v>
      </c>
      <c r="F8946" s="5" t="s">
        <v>212</v>
      </c>
      <c r="G8946" s="5" t="s">
        <v>55807</v>
      </c>
      <c r="H8946" s="6" t="s">
        <v>55808</v>
      </c>
      <c r="K8946" s="5" t="s">
        <v>55809</v>
      </c>
      <c r="M8946" s="5" t="s">
        <v>55810</v>
      </c>
      <c r="N8946" s="7" t="s">
        <v>55811</v>
      </c>
      <c r="O8946" s="8" t="str">
        <f>HYPERLINK("https://drive.google.com/file/d/1B9IBPbdpKyKBcz1nNMMjuiLGyrHFIwg6/view?usp=drivesdk","8945_NUR HAYATI NASUTION  _ SERTIFIKAT BerAKHLAK")</f>
        <v>8945_NUR HAYATI NASUTION  _ SERTIFIKAT BerAKHLAK</v>
      </c>
      <c r="P8946" s="5" t="s">
        <v>55805</v>
      </c>
    </row>
    <row r="8947">
      <c r="A8947" s="4">
        <v>45534.42283186343</v>
      </c>
      <c r="B8947" s="5" t="s">
        <v>34</v>
      </c>
      <c r="D8947" s="5" t="s">
        <v>1558</v>
      </c>
      <c r="E8947" s="5" t="s">
        <v>55812</v>
      </c>
      <c r="F8947" s="5" t="s">
        <v>108</v>
      </c>
      <c r="G8947" s="5" t="s">
        <v>55813</v>
      </c>
      <c r="H8947" s="6" t="s">
        <v>55814</v>
      </c>
      <c r="K8947" s="5" t="s">
        <v>55815</v>
      </c>
      <c r="M8947" s="5" t="s">
        <v>55816</v>
      </c>
      <c r="N8947" s="7" t="s">
        <v>55817</v>
      </c>
      <c r="O8947" s="8" t="str">
        <f>HYPERLINK("https://drive.google.com/file/d/18yuHBAQduMxHCjo3SioS4ACnVRcwTE1L/view?usp=drivesdk","8946_SHANTY CAROLINA, AMK _ SERTIFIKAT BerAKHLAK")</f>
        <v>8946_SHANTY CAROLINA, AMK _ SERTIFIKAT BerAKHLAK</v>
      </c>
      <c r="P8947" s="5" t="s">
        <v>55818</v>
      </c>
    </row>
    <row r="8948">
      <c r="A8948" s="4">
        <v>45534.42283422453</v>
      </c>
      <c r="B8948" s="5" t="s">
        <v>34</v>
      </c>
      <c r="D8948" s="5" t="s">
        <v>35</v>
      </c>
      <c r="E8948" s="5" t="s">
        <v>55819</v>
      </c>
      <c r="F8948" s="5" t="s">
        <v>37</v>
      </c>
      <c r="G8948" s="5" t="s">
        <v>55820</v>
      </c>
      <c r="H8948" s="6" t="s">
        <v>55821</v>
      </c>
      <c r="K8948" s="5" t="s">
        <v>55822</v>
      </c>
      <c r="M8948" s="5" t="s">
        <v>55823</v>
      </c>
      <c r="N8948" s="7" t="s">
        <v>55824</v>
      </c>
      <c r="O8948" s="8" t="str">
        <f>HYPERLINK("https://drive.google.com/file/d/1B4seRZ3pq4kFtvUH0SRWcd2X-m916y70/view?usp=drivesdk","8947_AISAH SOLIHAH  _ SERTIFIKAT BerAKHLAK")</f>
        <v>8947_AISAH SOLIHAH  _ SERTIFIKAT BerAKHLAK</v>
      </c>
      <c r="P8948" s="5" t="s">
        <v>55818</v>
      </c>
    </row>
    <row r="8949" hidden="1">
      <c r="A8949" s="4">
        <v>45534.422915358795</v>
      </c>
      <c r="B8949" s="5" t="s">
        <v>19</v>
      </c>
      <c r="C8949" s="5" t="s">
        <v>292</v>
      </c>
      <c r="E8949" s="5" t="s">
        <v>55825</v>
      </c>
      <c r="F8949" s="5" t="s">
        <v>72</v>
      </c>
      <c r="G8949" s="5" t="s">
        <v>55826</v>
      </c>
      <c r="H8949" s="6" t="s">
        <v>55827</v>
      </c>
      <c r="K8949" s="5" t="s">
        <v>55828</v>
      </c>
      <c r="M8949" s="5" t="s">
        <v>55829</v>
      </c>
      <c r="N8949" s="7" t="s">
        <v>55830</v>
      </c>
      <c r="O8949" s="8" t="str">
        <f>HYPERLINK("https://drive.google.com/file/d/1aU9y9v7i7BZMA-Xl5qGraO4Neo8rKsvf/view?usp=drivesdk","8948_SITI HIKMAH, S.Ak. _ SERTIFIKAT BerAKHLAK")</f>
        <v>8948_SITI HIKMAH, S.Ak. _ SERTIFIKAT BerAKHLAK</v>
      </c>
      <c r="P8949" s="5" t="s">
        <v>55818</v>
      </c>
    </row>
    <row r="8950">
      <c r="A8950" s="4">
        <v>45534.422919143515</v>
      </c>
      <c r="B8950" s="5" t="s">
        <v>34</v>
      </c>
      <c r="D8950" s="5" t="s">
        <v>4775</v>
      </c>
      <c r="E8950" s="5" t="s">
        <v>55831</v>
      </c>
      <c r="F8950" s="5" t="s">
        <v>212</v>
      </c>
      <c r="G8950" s="5" t="s">
        <v>55832</v>
      </c>
      <c r="H8950" s="6" t="s">
        <v>55833</v>
      </c>
      <c r="K8950" s="5" t="s">
        <v>55828</v>
      </c>
      <c r="M8950" s="5" t="s">
        <v>55834</v>
      </c>
      <c r="N8950" s="7" t="s">
        <v>55835</v>
      </c>
      <c r="O8950" s="8" t="str">
        <f>HYPERLINK("https://drive.google.com/file/d/147HEED0LVvqBZVJGsZHz28ueeIaTxNf9/view?usp=drivesdk","8949_SRI HARDJANTO _ SERTIFIKAT BerAKHLAK")</f>
        <v>8949_SRI HARDJANTO _ SERTIFIKAT BerAKHLAK</v>
      </c>
      <c r="P8950" s="5" t="s">
        <v>55818</v>
      </c>
    </row>
    <row r="8951">
      <c r="A8951" s="4">
        <v>45534.42298682871</v>
      </c>
      <c r="B8951" s="5" t="s">
        <v>34</v>
      </c>
      <c r="D8951" s="5" t="s">
        <v>267</v>
      </c>
      <c r="E8951" s="5" t="s">
        <v>55836</v>
      </c>
      <c r="F8951" s="5" t="s">
        <v>72</v>
      </c>
      <c r="G8951" s="5" t="s">
        <v>55837</v>
      </c>
      <c r="H8951" s="6" t="s">
        <v>55838</v>
      </c>
      <c r="K8951" s="5" t="s">
        <v>55828</v>
      </c>
      <c r="M8951" s="5" t="s">
        <v>55839</v>
      </c>
      <c r="N8951" s="7" t="s">
        <v>55840</v>
      </c>
      <c r="O8951" s="8" t="str">
        <f>HYPERLINK("https://drive.google.com/file/d/1LavE3veUkq-qoRtPqw5_BCsXjGTdetMT/view?usp=drivesdk","8950_Tri Atmi Rahayu  _ SERTIFIKAT BerAKHLAK")</f>
        <v>8950_Tri Atmi Rahayu  _ SERTIFIKAT BerAKHLAK</v>
      </c>
      <c r="P8951" s="5" t="s">
        <v>55818</v>
      </c>
    </row>
    <row r="8952" hidden="1">
      <c r="A8952" s="4">
        <v>45534.423034259264</v>
      </c>
      <c r="B8952" s="5" t="s">
        <v>19</v>
      </c>
      <c r="C8952" s="5" t="s">
        <v>55133</v>
      </c>
      <c r="E8952" s="5" t="s">
        <v>55841</v>
      </c>
      <c r="F8952" s="5" t="s">
        <v>212</v>
      </c>
      <c r="G8952" s="5" t="s">
        <v>55842</v>
      </c>
      <c r="H8952" s="6" t="s">
        <v>55843</v>
      </c>
      <c r="K8952" s="5" t="s">
        <v>55828</v>
      </c>
      <c r="M8952" s="5" t="s">
        <v>55844</v>
      </c>
      <c r="N8952" s="7" t="s">
        <v>55845</v>
      </c>
      <c r="O8952" s="8" t="str">
        <f>HYPERLINK("https://drive.google.com/file/d/1tFi8csOsbbW2ADqYtr7BOhTxZGZX-p7e/view?usp=drivesdk","8951_PUAD RIPAUDIN _ SERTIFIKAT BerAKHLAK")</f>
        <v>8951_PUAD RIPAUDIN _ SERTIFIKAT BerAKHLAK</v>
      </c>
      <c r="P8952" s="5" t="s">
        <v>55818</v>
      </c>
    </row>
    <row r="8953">
      <c r="A8953" s="4">
        <v>45534.423075914354</v>
      </c>
      <c r="B8953" s="5" t="s">
        <v>34</v>
      </c>
      <c r="D8953" s="5" t="s">
        <v>12978</v>
      </c>
      <c r="E8953" s="5" t="s">
        <v>55846</v>
      </c>
      <c r="F8953" s="5" t="s">
        <v>212</v>
      </c>
      <c r="G8953" s="5" t="s">
        <v>55847</v>
      </c>
      <c r="H8953" s="6" t="s">
        <v>55848</v>
      </c>
      <c r="K8953" s="5" t="s">
        <v>55828</v>
      </c>
      <c r="M8953" s="5" t="s">
        <v>55849</v>
      </c>
      <c r="N8953" s="7" t="s">
        <v>55850</v>
      </c>
      <c r="O8953" s="8" t="str">
        <f>HYPERLINK("https://drive.google.com/file/d/1fAsisg2uGnCXtI-H4ZsOEqdy6JunvVfU/view?usp=drivesdk","8952_NUSLAH _ SERTIFIKAT BerAKHLAK")</f>
        <v>8952_NUSLAH _ SERTIFIKAT BerAKHLAK</v>
      </c>
      <c r="P8953" s="5" t="s">
        <v>55851</v>
      </c>
    </row>
    <row r="8954">
      <c r="A8954" s="4">
        <v>45534.423128622686</v>
      </c>
      <c r="B8954" s="5" t="s">
        <v>34</v>
      </c>
      <c r="D8954" s="5" t="s">
        <v>4775</v>
      </c>
      <c r="E8954" s="5" t="s">
        <v>55852</v>
      </c>
      <c r="F8954" s="5" t="s">
        <v>212</v>
      </c>
      <c r="G8954" s="5" t="s">
        <v>55853</v>
      </c>
      <c r="H8954" s="6" t="s">
        <v>55854</v>
      </c>
      <c r="K8954" s="5" t="s">
        <v>55828</v>
      </c>
      <c r="M8954" s="5" t="s">
        <v>55855</v>
      </c>
      <c r="N8954" s="7" t="s">
        <v>55856</v>
      </c>
      <c r="O8954" s="8" t="str">
        <f>HYPERLINK("https://drive.google.com/file/d/1zvjJhGs8UYRMA8lJbVu3UgZE27QKLCtO/view?usp=drivesdk","8953_WARSONO _ SERTIFIKAT BerAKHLAK")</f>
        <v>8953_WARSONO _ SERTIFIKAT BerAKHLAK</v>
      </c>
      <c r="P8954" s="5" t="s">
        <v>55851</v>
      </c>
    </row>
    <row r="8955" hidden="1">
      <c r="A8955" s="4">
        <v>45534.42312892361</v>
      </c>
      <c r="B8955" s="5" t="s">
        <v>19</v>
      </c>
      <c r="C8955" s="5" t="s">
        <v>20</v>
      </c>
      <c r="E8955" s="5" t="s">
        <v>55857</v>
      </c>
      <c r="F8955" s="5" t="s">
        <v>72</v>
      </c>
      <c r="G8955" s="5" t="s">
        <v>55858</v>
      </c>
      <c r="H8955" s="6" t="s">
        <v>55859</v>
      </c>
      <c r="K8955" s="5" t="s">
        <v>55828</v>
      </c>
      <c r="M8955" s="5" t="s">
        <v>55860</v>
      </c>
      <c r="N8955" s="7" t="s">
        <v>55861</v>
      </c>
      <c r="O8955" s="8" t="str">
        <f>HYPERLINK("https://drive.google.com/file/d/1pyX0LXOduTnpbhMZqpEOXOp61P9bzjT6/view?usp=drivesdk","8954_APRIANI KARTIKASARI, S.E. _ SERTIFIKAT BerAKHLAK")</f>
        <v>8954_APRIANI KARTIKASARI, S.E. _ SERTIFIKAT BerAKHLAK</v>
      </c>
      <c r="P8955" s="5" t="s">
        <v>55851</v>
      </c>
    </row>
    <row r="8956">
      <c r="A8956" s="4">
        <v>45534.42315821759</v>
      </c>
      <c r="B8956" s="5" t="s">
        <v>34</v>
      </c>
      <c r="D8956" s="5" t="s">
        <v>4775</v>
      </c>
      <c r="E8956" s="5" t="s">
        <v>16208</v>
      </c>
      <c r="F8956" s="5" t="s">
        <v>212</v>
      </c>
      <c r="G8956" s="5" t="s">
        <v>55862</v>
      </c>
      <c r="H8956" s="6" t="s">
        <v>55863</v>
      </c>
      <c r="K8956" s="5" t="s">
        <v>55828</v>
      </c>
      <c r="M8956" s="5" t="s">
        <v>55864</v>
      </c>
      <c r="N8956" s="7" t="s">
        <v>55865</v>
      </c>
      <c r="O8956" s="8" t="str">
        <f>HYPERLINK("https://drive.google.com/file/d/1tAZeeBCpgtwckJXf8cPDD9-ST0XfiKDA/view?usp=drivesdk","8955_SUYOTO _ SERTIFIKAT BerAKHLAK")</f>
        <v>8955_SUYOTO _ SERTIFIKAT BerAKHLAK</v>
      </c>
      <c r="P8956" s="5" t="s">
        <v>55851</v>
      </c>
    </row>
    <row r="8957">
      <c r="A8957" s="4">
        <v>45534.42319872685</v>
      </c>
      <c r="B8957" s="5" t="s">
        <v>34</v>
      </c>
      <c r="D8957" s="5" t="s">
        <v>9020</v>
      </c>
      <c r="E8957" s="5" t="s">
        <v>55866</v>
      </c>
      <c r="F8957" s="5" t="s">
        <v>199</v>
      </c>
      <c r="G8957" s="5" t="s">
        <v>55867</v>
      </c>
      <c r="H8957" s="6" t="s">
        <v>55868</v>
      </c>
      <c r="K8957" s="5" t="s">
        <v>55828</v>
      </c>
      <c r="M8957" s="5" t="s">
        <v>55869</v>
      </c>
      <c r="N8957" s="7" t="s">
        <v>55870</v>
      </c>
      <c r="O8957" s="8" t="str">
        <f>HYPERLINK("https://drive.google.com/file/d/1M3BX56FnGPfZZDLw6_qY4ExWfBaGIs8H/view?usp=drivesdk","8956_EMPINA SILITONGA _ SERTIFIKAT BerAKHLAK")</f>
        <v>8956_EMPINA SILITONGA _ SERTIFIKAT BerAKHLAK</v>
      </c>
      <c r="P8957" s="5" t="s">
        <v>55851</v>
      </c>
    </row>
    <row r="8958">
      <c r="A8958" s="4">
        <v>45534.423328414356</v>
      </c>
      <c r="B8958" s="5" t="s">
        <v>34</v>
      </c>
      <c r="D8958" s="5" t="s">
        <v>4775</v>
      </c>
      <c r="E8958" s="5" t="s">
        <v>55871</v>
      </c>
      <c r="F8958" s="5" t="s">
        <v>524</v>
      </c>
      <c r="G8958" s="5" t="s">
        <v>55872</v>
      </c>
      <c r="H8958" s="6" t="s">
        <v>55873</v>
      </c>
      <c r="K8958" s="5" t="s">
        <v>55828</v>
      </c>
      <c r="M8958" s="5" t="s">
        <v>55874</v>
      </c>
      <c r="N8958" s="7" t="s">
        <v>55875</v>
      </c>
      <c r="O8958" s="8" t="str">
        <f>HYPERLINK("https://drive.google.com/file/d/1CiDo0jqpLEgQxgBjVeJPdfx37jYr959E/view?usp=drivesdk","8957_SAPTAJI TRI RAHADIYANTO, S.M. _ SERTIFIKAT BerAKHLAK")</f>
        <v>8957_SAPTAJI TRI RAHADIYANTO, S.M. _ SERTIFIKAT BerAKHLAK</v>
      </c>
      <c r="P8958" s="5" t="s">
        <v>55851</v>
      </c>
    </row>
    <row r="8959">
      <c r="A8959" s="4">
        <v>45534.423362650465</v>
      </c>
      <c r="B8959" s="5" t="s">
        <v>34</v>
      </c>
      <c r="D8959" s="5" t="s">
        <v>267</v>
      </c>
      <c r="E8959" s="5" t="s">
        <v>55876</v>
      </c>
      <c r="F8959" s="5" t="s">
        <v>375</v>
      </c>
      <c r="G8959" s="5" t="s">
        <v>55877</v>
      </c>
      <c r="H8959" s="6" t="s">
        <v>55878</v>
      </c>
      <c r="K8959" s="5" t="s">
        <v>55828</v>
      </c>
      <c r="M8959" s="5" t="s">
        <v>55879</v>
      </c>
      <c r="N8959" s="7" t="s">
        <v>55880</v>
      </c>
      <c r="O8959" s="8" t="str">
        <f>HYPERLINK("https://drive.google.com/file/d/1NbmsE4L0SPKW9O7s-pzFAQosmeSloCTu/view?usp=drivesdk","8958_DIDIK WAHYU SETYAWAN, S.M. _ SERTIFIKAT BerAKHLAK")</f>
        <v>8958_DIDIK WAHYU SETYAWAN, S.M. _ SERTIFIKAT BerAKHLAK</v>
      </c>
      <c r="P8959" s="5" t="s">
        <v>55851</v>
      </c>
    </row>
    <row r="8960">
      <c r="A8960" s="4">
        <v>45534.42338753473</v>
      </c>
      <c r="B8960" s="5" t="s">
        <v>34</v>
      </c>
      <c r="D8960" s="5" t="s">
        <v>267</v>
      </c>
      <c r="E8960" s="5" t="s">
        <v>55881</v>
      </c>
      <c r="F8960" s="5" t="s">
        <v>120</v>
      </c>
      <c r="G8960" s="5" t="s">
        <v>55882</v>
      </c>
      <c r="H8960" s="6" t="s">
        <v>55883</v>
      </c>
      <c r="K8960" s="5" t="s">
        <v>55828</v>
      </c>
      <c r="M8960" s="5" t="s">
        <v>55884</v>
      </c>
      <c r="N8960" s="7" t="s">
        <v>55885</v>
      </c>
      <c r="O8960" s="8" t="str">
        <f>HYPERLINK("https://drive.google.com/file/d/1t19wuIhEWDgBb3VPHIdB45tjQOk6r6EO/view?usp=drivesdk","8959_HARJANTO, S.T. _ SERTIFIKAT BerAKHLAK")</f>
        <v>8959_HARJANTO, S.T. _ SERTIFIKAT BerAKHLAK</v>
      </c>
      <c r="P8960" s="5" t="s">
        <v>55886</v>
      </c>
    </row>
    <row r="8961">
      <c r="A8961" s="4">
        <v>45534.42344878472</v>
      </c>
      <c r="B8961" s="5" t="s">
        <v>34</v>
      </c>
      <c r="D8961" s="5" t="s">
        <v>1206</v>
      </c>
      <c r="E8961" s="5" t="s">
        <v>52415</v>
      </c>
      <c r="F8961" s="5" t="s">
        <v>6776</v>
      </c>
      <c r="G8961" s="5" t="s">
        <v>55887</v>
      </c>
      <c r="H8961" s="6" t="s">
        <v>55888</v>
      </c>
      <c r="K8961" s="5" t="s">
        <v>55828</v>
      </c>
      <c r="M8961" s="5" t="s">
        <v>55889</v>
      </c>
      <c r="N8961" s="7" t="s">
        <v>55890</v>
      </c>
      <c r="O8961" s="8" t="str">
        <f>HYPERLINK("https://drive.google.com/file/d/1VZXz6w78MLDpVIUzx3qZdGP--7fwwYIX/view?usp=drivesdk","8960_ABDULLOH _ SERTIFIKAT BerAKHLAK")</f>
        <v>8960_ABDULLOH _ SERTIFIKAT BerAKHLAK</v>
      </c>
      <c r="P8961" s="5" t="s">
        <v>55886</v>
      </c>
    </row>
    <row r="8962">
      <c r="A8962" s="4">
        <v>45534.42346041667</v>
      </c>
      <c r="B8962" s="5" t="s">
        <v>34</v>
      </c>
      <c r="D8962" s="5" t="s">
        <v>996</v>
      </c>
      <c r="E8962" s="5" t="s">
        <v>55891</v>
      </c>
      <c r="F8962" s="5" t="s">
        <v>120</v>
      </c>
      <c r="G8962" s="5" t="s">
        <v>55892</v>
      </c>
      <c r="H8962" s="6" t="s">
        <v>55893</v>
      </c>
      <c r="K8962" s="5" t="s">
        <v>55828</v>
      </c>
      <c r="M8962" s="5" t="s">
        <v>55894</v>
      </c>
      <c r="N8962" s="7" t="s">
        <v>55895</v>
      </c>
      <c r="O8962" s="8" t="str">
        <f>HYPERLINK("https://drive.google.com/file/d/1uSnABermSJGWNf1oC3CV8Oha0vuH8zoR/view?usp=drivesdk","8961_MULYO HARTONO _ SERTIFIKAT BerAKHLAK")</f>
        <v>8961_MULYO HARTONO _ SERTIFIKAT BerAKHLAK</v>
      </c>
      <c r="P8962" s="5" t="s">
        <v>55886</v>
      </c>
    </row>
    <row r="8963" hidden="1">
      <c r="A8963" s="4">
        <v>45534.42347335648</v>
      </c>
      <c r="B8963" s="5" t="s">
        <v>19</v>
      </c>
      <c r="C8963" s="5" t="s">
        <v>292</v>
      </c>
      <c r="E8963" s="5" t="s">
        <v>55896</v>
      </c>
      <c r="F8963" s="5" t="s">
        <v>120</v>
      </c>
      <c r="G8963" s="5" t="s">
        <v>55897</v>
      </c>
      <c r="H8963" s="6" t="s">
        <v>55898</v>
      </c>
      <c r="K8963" s="5" t="s">
        <v>55828</v>
      </c>
      <c r="M8963" s="5" t="s">
        <v>55899</v>
      </c>
      <c r="N8963" s="7" t="s">
        <v>55900</v>
      </c>
      <c r="O8963" s="8" t="str">
        <f>HYPERLINK("https://drive.google.com/file/d/1apRpY9HaUWKOaTxy3UkT1gvyv1k4gAOM/view?usp=drivesdk","8962_dr.Ichdinavia Harsaya, Sp.KJ _ SERTIFIKAT BerAKHLAK")</f>
        <v>8962_dr.Ichdinavia Harsaya, Sp.KJ _ SERTIFIKAT BerAKHLAK</v>
      </c>
      <c r="P8963" s="5" t="s">
        <v>55886</v>
      </c>
    </row>
    <row r="8964">
      <c r="A8964" s="4">
        <v>45534.42350427083</v>
      </c>
      <c r="B8964" s="5" t="s">
        <v>34</v>
      </c>
      <c r="D8964" s="5" t="s">
        <v>15401</v>
      </c>
      <c r="E8964" s="5" t="s">
        <v>55901</v>
      </c>
      <c r="F8964" s="5" t="s">
        <v>375</v>
      </c>
      <c r="G8964" s="5" t="s">
        <v>55902</v>
      </c>
      <c r="H8964" s="6" t="s">
        <v>55903</v>
      </c>
      <c r="K8964" s="5" t="s">
        <v>55828</v>
      </c>
      <c r="M8964" s="5" t="s">
        <v>55904</v>
      </c>
      <c r="N8964" s="7" t="s">
        <v>55905</v>
      </c>
      <c r="O8964" s="8" t="str">
        <f>HYPERLINK("https://drive.google.com/file/d/18Hk2kAY3lCaOO6nOu0rOZvrwcmz38YQ9/view?usp=drivesdk","8963_ANWAR AHMAD.S.Pd _ SERTIFIKAT BerAKHLAK")</f>
        <v>8963_ANWAR AHMAD.S.Pd _ SERTIFIKAT BerAKHLAK</v>
      </c>
      <c r="P8964" s="5" t="s">
        <v>55886</v>
      </c>
    </row>
    <row r="8965">
      <c r="A8965" s="4">
        <v>45534.42350321759</v>
      </c>
      <c r="B8965" s="5" t="s">
        <v>34</v>
      </c>
      <c r="D8965" s="5" t="s">
        <v>35</v>
      </c>
      <c r="E8965" s="5" t="s">
        <v>55906</v>
      </c>
      <c r="F8965" s="5" t="s">
        <v>72</v>
      </c>
      <c r="G8965" s="5" t="s">
        <v>55907</v>
      </c>
      <c r="H8965" s="6" t="s">
        <v>55908</v>
      </c>
      <c r="K8965" s="5" t="s">
        <v>55828</v>
      </c>
      <c r="M8965" s="5" t="s">
        <v>55909</v>
      </c>
      <c r="N8965" s="7" t="s">
        <v>55910</v>
      </c>
      <c r="O8965" s="8" t="str">
        <f>HYPERLINK("https://drive.google.com/file/d/1E7RnxSrgaVospjWu1m_b0lR-pyUAPI8k/view?usp=drivesdk","8964_IRYANI ROSMULIA _ SERTIFIKAT BerAKHLAK")</f>
        <v>8964_IRYANI ROSMULIA _ SERTIFIKAT BerAKHLAK</v>
      </c>
      <c r="P8965" s="5" t="s">
        <v>55886</v>
      </c>
    </row>
    <row r="8966">
      <c r="A8966" s="4">
        <v>45534.42352055556</v>
      </c>
      <c r="B8966" s="5" t="s">
        <v>34</v>
      </c>
      <c r="D8966" s="5" t="s">
        <v>4775</v>
      </c>
      <c r="E8966" s="5" t="s">
        <v>55911</v>
      </c>
      <c r="F8966" s="5" t="s">
        <v>72</v>
      </c>
      <c r="G8966" s="5" t="s">
        <v>55912</v>
      </c>
      <c r="H8966" s="6" t="s">
        <v>55913</v>
      </c>
      <c r="K8966" s="5" t="s">
        <v>55828</v>
      </c>
      <c r="M8966" s="5" t="s">
        <v>55914</v>
      </c>
      <c r="N8966" s="7" t="s">
        <v>55915</v>
      </c>
      <c r="O8966" s="8" t="str">
        <f>HYPERLINK("https://drive.google.com/file/d/1ENOCQcUQkF1TU6KrZNbLjSza-b8w-JT5/view?usp=drivesdk","8965_UMIYATUN _ SERTIFIKAT BerAKHLAK")</f>
        <v>8965_UMIYATUN _ SERTIFIKAT BerAKHLAK</v>
      </c>
      <c r="P8966" s="5" t="s">
        <v>55916</v>
      </c>
    </row>
    <row r="8967">
      <c r="A8967" s="4">
        <v>45534.42352946759</v>
      </c>
      <c r="B8967" s="5" t="s">
        <v>34</v>
      </c>
      <c r="D8967" s="5" t="s">
        <v>35</v>
      </c>
      <c r="E8967" s="5" t="s">
        <v>55917</v>
      </c>
      <c r="F8967" s="5" t="s">
        <v>5859</v>
      </c>
      <c r="G8967" s="5" t="s">
        <v>55918</v>
      </c>
      <c r="H8967" s="6" t="s">
        <v>55919</v>
      </c>
      <c r="K8967" s="5" t="s">
        <v>55828</v>
      </c>
      <c r="M8967" s="5" t="s">
        <v>55920</v>
      </c>
      <c r="N8967" s="7" t="s">
        <v>55921</v>
      </c>
      <c r="O8967" s="8" t="str">
        <f>HYPERLINK("https://drive.google.com/file/d/1sZt0Z7o6HD8UUUwPUBOPchW7-KFs06QO/view?usp=drivesdk","8966_UCi SANUSi _ SERTIFIKAT BerAKHLAK")</f>
        <v>8966_UCi SANUSi _ SERTIFIKAT BerAKHLAK</v>
      </c>
      <c r="P8967" s="5" t="s">
        <v>55916</v>
      </c>
    </row>
    <row r="8968">
      <c r="A8968" s="4">
        <v>45534.42354261574</v>
      </c>
      <c r="B8968" s="5" t="s">
        <v>34</v>
      </c>
      <c r="D8968" s="5" t="s">
        <v>1206</v>
      </c>
      <c r="E8968" s="5" t="s">
        <v>55922</v>
      </c>
      <c r="F8968" s="5" t="s">
        <v>212</v>
      </c>
      <c r="G8968" s="5" t="s">
        <v>55923</v>
      </c>
      <c r="H8968" s="6" t="s">
        <v>55924</v>
      </c>
      <c r="K8968" s="5" t="s">
        <v>55828</v>
      </c>
      <c r="M8968" s="5" t="s">
        <v>55925</v>
      </c>
      <c r="N8968" s="7" t="s">
        <v>55926</v>
      </c>
      <c r="O8968" s="8" t="str">
        <f>HYPERLINK("https://drive.google.com/file/d/1Gok57ua3ISYwgKJGszkLx4U4QaVuhgbZ/view?usp=drivesdk","8967_SITI HOTIDJAH _ SERTIFIKAT BerAKHLAK")</f>
        <v>8967_SITI HOTIDJAH _ SERTIFIKAT BerAKHLAK</v>
      </c>
      <c r="P8968" s="5" t="s">
        <v>55916</v>
      </c>
    </row>
    <row r="8969" hidden="1">
      <c r="A8969" s="4">
        <v>45534.42357982638</v>
      </c>
      <c r="B8969" s="5" t="s">
        <v>19</v>
      </c>
      <c r="C8969" s="5" t="s">
        <v>292</v>
      </c>
      <c r="E8969" s="5" t="s">
        <v>55927</v>
      </c>
      <c r="F8969" s="5" t="s">
        <v>524</v>
      </c>
      <c r="G8969" s="5" t="s">
        <v>55928</v>
      </c>
      <c r="H8969" s="6" t="s">
        <v>55929</v>
      </c>
      <c r="K8969" s="5" t="s">
        <v>55930</v>
      </c>
      <c r="M8969" s="5" t="s">
        <v>55931</v>
      </c>
      <c r="N8969" s="7" t="s">
        <v>55932</v>
      </c>
      <c r="O8969" s="8" t="str">
        <f>HYPERLINK("https://drive.google.com/file/d/1Xha9HK_2l3ognxnNn2gHiPDQkycnT1rV/view?usp=drivesdk","8968_NANI PRIHANDARI, A. Md _ SERTIFIKAT BerAKHLAK")</f>
        <v>8968_NANI PRIHANDARI, A. Md _ SERTIFIKAT BerAKHLAK</v>
      </c>
      <c r="P8969" s="5" t="s">
        <v>55916</v>
      </c>
    </row>
    <row r="8970">
      <c r="A8970" s="4">
        <v>45534.42370287037</v>
      </c>
      <c r="B8970" s="5" t="s">
        <v>34</v>
      </c>
      <c r="D8970" s="5" t="s">
        <v>1206</v>
      </c>
      <c r="E8970" s="5" t="s">
        <v>55933</v>
      </c>
      <c r="F8970" s="5" t="s">
        <v>212</v>
      </c>
      <c r="G8970" s="5" t="s">
        <v>55934</v>
      </c>
      <c r="H8970" s="6" t="s">
        <v>55935</v>
      </c>
      <c r="K8970" s="5" t="s">
        <v>55936</v>
      </c>
      <c r="M8970" s="5" t="s">
        <v>55937</v>
      </c>
      <c r="N8970" s="7" t="s">
        <v>55938</v>
      </c>
      <c r="O8970" s="8" t="str">
        <f>HYPERLINK("https://drive.google.com/file/d/1KJIbxJMGT4GPrS8UoSIAGI6rI63AU3mU/view?usp=drivesdk","8969_FITRIYONO _ SERTIFIKAT BerAKHLAK")</f>
        <v>8969_FITRIYONO _ SERTIFIKAT BerAKHLAK</v>
      </c>
      <c r="P8970" s="5" t="s">
        <v>55916</v>
      </c>
    </row>
    <row r="8971">
      <c r="A8971" s="4">
        <v>45534.423713298616</v>
      </c>
      <c r="B8971" s="5" t="s">
        <v>34</v>
      </c>
      <c r="D8971" s="5" t="s">
        <v>12978</v>
      </c>
      <c r="E8971" s="5" t="s">
        <v>55939</v>
      </c>
      <c r="F8971" s="5" t="s">
        <v>212</v>
      </c>
      <c r="G8971" s="5" t="s">
        <v>55940</v>
      </c>
      <c r="H8971" s="6" t="s">
        <v>55941</v>
      </c>
      <c r="K8971" s="5" t="s">
        <v>55936</v>
      </c>
      <c r="M8971" s="5" t="s">
        <v>55942</v>
      </c>
      <c r="N8971" s="7" t="s">
        <v>55943</v>
      </c>
      <c r="O8971" s="8" t="str">
        <f>HYPERLINK("https://drive.google.com/file/d/1Op9PmqwLT22dErVBnnTPYCmcKSQOdBtD/view?usp=drivesdk","8970_ERMA SURYANI _ SERTIFIKAT BerAKHLAK")</f>
        <v>8970_ERMA SURYANI _ SERTIFIKAT BerAKHLAK</v>
      </c>
      <c r="P8971" s="5" t="s">
        <v>55916</v>
      </c>
    </row>
    <row r="8972">
      <c r="A8972" s="4">
        <v>45534.42375099537</v>
      </c>
      <c r="B8972" s="5" t="s">
        <v>34</v>
      </c>
      <c r="D8972" s="5" t="s">
        <v>9020</v>
      </c>
      <c r="E8972" s="5" t="s">
        <v>55944</v>
      </c>
      <c r="F8972" s="5" t="s">
        <v>37</v>
      </c>
      <c r="G8972" s="5" t="s">
        <v>55945</v>
      </c>
      <c r="H8972" s="6" t="s">
        <v>55946</v>
      </c>
      <c r="K8972" s="5" t="s">
        <v>55936</v>
      </c>
      <c r="M8972" s="5" t="s">
        <v>55947</v>
      </c>
      <c r="N8972" s="7" t="s">
        <v>55948</v>
      </c>
      <c r="O8972" s="8" t="str">
        <f>HYPERLINK("https://drive.google.com/file/d/1YpkMTOQnIUm6HfEXhesvIClUKKEn3dX1/view?usp=drivesdk","8971_DAMRI PASARIBU _ SERTIFIKAT BerAKHLAK")</f>
        <v>8971_DAMRI PASARIBU _ SERTIFIKAT BerAKHLAK</v>
      </c>
      <c r="P8972" s="5" t="s">
        <v>55949</v>
      </c>
    </row>
    <row r="8973">
      <c r="A8973" s="4">
        <v>45534.42375609954</v>
      </c>
      <c r="B8973" s="5" t="s">
        <v>34</v>
      </c>
      <c r="D8973" s="5" t="s">
        <v>4775</v>
      </c>
      <c r="E8973" s="5" t="s">
        <v>55950</v>
      </c>
      <c r="F8973" s="5" t="s">
        <v>524</v>
      </c>
      <c r="G8973" s="5" t="s">
        <v>55951</v>
      </c>
      <c r="H8973" s="6" t="s">
        <v>55952</v>
      </c>
      <c r="K8973" s="5" t="s">
        <v>55936</v>
      </c>
      <c r="M8973" s="5" t="s">
        <v>55953</v>
      </c>
      <c r="N8973" s="7" t="s">
        <v>55954</v>
      </c>
      <c r="O8973" s="8" t="str">
        <f>HYPERLINK("https://drive.google.com/file/d/1nGA60H-fpUAfj2ggZD8dL9RIuS9SER6a/view?usp=drivesdk","8972_ELLY AMBAR WINANTI _ SERTIFIKAT BerAKHLAK")</f>
        <v>8972_ELLY AMBAR WINANTI _ SERTIFIKAT BerAKHLAK</v>
      </c>
      <c r="P8973" s="5" t="s">
        <v>55949</v>
      </c>
    </row>
    <row r="8974">
      <c r="A8974" s="4">
        <v>45534.42383972222</v>
      </c>
      <c r="B8974" s="5" t="s">
        <v>34</v>
      </c>
      <c r="D8974" s="5" t="s">
        <v>9394</v>
      </c>
      <c r="E8974" s="5" t="s">
        <v>55955</v>
      </c>
      <c r="F8974" s="5" t="s">
        <v>72</v>
      </c>
      <c r="G8974" s="5" t="s">
        <v>55956</v>
      </c>
      <c r="H8974" s="6" t="s">
        <v>55957</v>
      </c>
      <c r="K8974" s="5" t="s">
        <v>55936</v>
      </c>
      <c r="M8974" s="5" t="s">
        <v>55958</v>
      </c>
      <c r="N8974" s="7" t="s">
        <v>55959</v>
      </c>
      <c r="O8974" s="8" t="str">
        <f>HYPERLINK("https://drive.google.com/file/d/1BjlUt4LxOVf1HJ8B1hIwP13xVLQ_m7dt/view?usp=drivesdk","8973_ELVERIA SILAEN _ SERTIFIKAT BerAKHLAK")</f>
        <v>8973_ELVERIA SILAEN _ SERTIFIKAT BerAKHLAK</v>
      </c>
      <c r="P8974" s="5" t="s">
        <v>55949</v>
      </c>
    </row>
    <row r="8975">
      <c r="A8975" s="4">
        <v>45534.42386292824</v>
      </c>
      <c r="B8975" s="5" t="s">
        <v>34</v>
      </c>
      <c r="D8975" s="5" t="s">
        <v>1456</v>
      </c>
      <c r="E8975" s="5" t="s">
        <v>55960</v>
      </c>
      <c r="F8975" s="5" t="s">
        <v>72</v>
      </c>
      <c r="G8975" s="5" t="s">
        <v>55961</v>
      </c>
      <c r="H8975" s="6" t="s">
        <v>55962</v>
      </c>
      <c r="K8975" s="5" t="s">
        <v>55936</v>
      </c>
      <c r="M8975" s="5" t="s">
        <v>55963</v>
      </c>
      <c r="N8975" s="7" t="s">
        <v>55964</v>
      </c>
      <c r="O8975" s="8" t="str">
        <f>HYPERLINK("https://drive.google.com/file/d/1vebC2z6Xrzw_CKEBi7PVG6O_eik48usv/view?usp=drivesdk","8974_HERLIANAH _ SERTIFIKAT BerAKHLAK")</f>
        <v>8974_HERLIANAH _ SERTIFIKAT BerAKHLAK</v>
      </c>
      <c r="P8975" s="5" t="s">
        <v>55949</v>
      </c>
    </row>
    <row r="8976">
      <c r="A8976" s="4">
        <v>45534.423867777776</v>
      </c>
      <c r="B8976" s="5" t="s">
        <v>34</v>
      </c>
      <c r="D8976" s="5" t="s">
        <v>12978</v>
      </c>
      <c r="E8976" s="5" t="s">
        <v>55965</v>
      </c>
      <c r="F8976" s="5" t="s">
        <v>715</v>
      </c>
      <c r="G8976" s="5" t="s">
        <v>55966</v>
      </c>
      <c r="H8976" s="6" t="s">
        <v>55967</v>
      </c>
      <c r="K8976" s="5" t="s">
        <v>55936</v>
      </c>
      <c r="M8976" s="5" t="s">
        <v>55968</v>
      </c>
      <c r="N8976" s="7" t="s">
        <v>55969</v>
      </c>
      <c r="O8976" s="8" t="str">
        <f>HYPERLINK("https://drive.google.com/file/d/10qJWscwOyptjMiMiecIj1oxg49LMSnKk/view?usp=drivesdk","8975_AVNINAWATI,S.E. _ SERTIFIKAT BerAKHLAK")</f>
        <v>8975_AVNINAWATI,S.E. _ SERTIFIKAT BerAKHLAK</v>
      </c>
      <c r="P8976" s="5" t="s">
        <v>55949</v>
      </c>
    </row>
    <row r="8977">
      <c r="A8977" s="4">
        <v>45534.423873657404</v>
      </c>
      <c r="B8977" s="5" t="s">
        <v>34</v>
      </c>
      <c r="D8977" s="5" t="s">
        <v>701</v>
      </c>
      <c r="E8977" s="5" t="s">
        <v>55970</v>
      </c>
      <c r="F8977" s="5" t="s">
        <v>108</v>
      </c>
      <c r="G8977" s="5" t="s">
        <v>55971</v>
      </c>
      <c r="H8977" s="6" t="s">
        <v>55972</v>
      </c>
      <c r="K8977" s="5" t="s">
        <v>55936</v>
      </c>
      <c r="M8977" s="5" t="s">
        <v>55973</v>
      </c>
      <c r="N8977" s="7" t="s">
        <v>55974</v>
      </c>
      <c r="O8977" s="8" t="str">
        <f>HYPERLINK("https://drive.google.com/file/d/1ZpcBYSfw7GTrHcbFn4eDuovgAI01MyqE/view?usp=drivesdk","8976_Ns Imelda,S Kep _ SERTIFIKAT BerAKHLAK")</f>
        <v>8976_Ns Imelda,S Kep _ SERTIFIKAT BerAKHLAK</v>
      </c>
      <c r="P8977" s="5" t="s">
        <v>55975</v>
      </c>
    </row>
    <row r="8978">
      <c r="A8978" s="4">
        <v>45534.42387922454</v>
      </c>
      <c r="B8978" s="5" t="s">
        <v>34</v>
      </c>
      <c r="D8978" s="5" t="s">
        <v>1558</v>
      </c>
      <c r="E8978" s="5" t="s">
        <v>55976</v>
      </c>
      <c r="F8978" s="5" t="s">
        <v>375</v>
      </c>
      <c r="G8978" s="5" t="s">
        <v>55977</v>
      </c>
      <c r="H8978" s="6" t="s">
        <v>55978</v>
      </c>
      <c r="K8978" s="5" t="s">
        <v>55936</v>
      </c>
      <c r="M8978" s="5" t="s">
        <v>55979</v>
      </c>
      <c r="N8978" s="7" t="s">
        <v>55980</v>
      </c>
      <c r="O8978" s="8" t="str">
        <f>HYPERLINK("https://drive.google.com/file/d/1Q3BtZ0lS6651w72lpFIYOEvbOs_UDbSP/view?usp=drivesdk","8977_ENDANG AGUSTINI _ SERTIFIKAT BerAKHLAK")</f>
        <v>8977_ENDANG AGUSTINI _ SERTIFIKAT BerAKHLAK</v>
      </c>
      <c r="P8978" s="5" t="s">
        <v>55975</v>
      </c>
    </row>
    <row r="8979">
      <c r="A8979" s="4">
        <v>45534.42388908565</v>
      </c>
      <c r="B8979" s="5" t="s">
        <v>34</v>
      </c>
      <c r="D8979" s="5" t="s">
        <v>4775</v>
      </c>
      <c r="E8979" s="5" t="s">
        <v>55981</v>
      </c>
      <c r="F8979" s="5" t="s">
        <v>212</v>
      </c>
      <c r="G8979" s="5" t="s">
        <v>55982</v>
      </c>
      <c r="H8979" s="6" t="s">
        <v>55983</v>
      </c>
      <c r="K8979" s="5" t="s">
        <v>55936</v>
      </c>
      <c r="M8979" s="5" t="s">
        <v>55984</v>
      </c>
      <c r="N8979" s="7" t="s">
        <v>55985</v>
      </c>
      <c r="O8979" s="8" t="str">
        <f>HYPERLINK("https://drive.google.com/file/d/1hHCAwEvQaWAhuBlTj5NAuUvhT7tIlhUl/view?usp=drivesdk","8978_DANI SUGIARTO _ SERTIFIKAT BerAKHLAK")</f>
        <v>8978_DANI SUGIARTO _ SERTIFIKAT BerAKHLAK</v>
      </c>
      <c r="P8979" s="5" t="s">
        <v>55975</v>
      </c>
    </row>
    <row r="8980">
      <c r="A8980" s="4">
        <v>45534.42402152778</v>
      </c>
      <c r="B8980" s="5" t="s">
        <v>34</v>
      </c>
      <c r="D8980" s="5" t="s">
        <v>10444</v>
      </c>
      <c r="E8980" s="5" t="s">
        <v>55986</v>
      </c>
      <c r="F8980" s="5" t="s">
        <v>212</v>
      </c>
      <c r="G8980" s="5" t="s">
        <v>55987</v>
      </c>
      <c r="H8980" s="6" t="s">
        <v>55988</v>
      </c>
      <c r="K8980" s="5" t="s">
        <v>55936</v>
      </c>
      <c r="M8980" s="5" t="s">
        <v>55989</v>
      </c>
      <c r="N8980" s="7" t="s">
        <v>55990</v>
      </c>
      <c r="O8980" s="8" t="str">
        <f>HYPERLINK("https://drive.google.com/file/d/1cVIHbKhV-QbS6fD5173IKpQM1Grc4YR9/view?usp=drivesdk","8979_VINA MARDIANA AMD KEP _ SERTIFIKAT BerAKHLAK")</f>
        <v>8979_VINA MARDIANA AMD KEP _ SERTIFIKAT BerAKHLAK</v>
      </c>
      <c r="P8980" s="5" t="s">
        <v>55975</v>
      </c>
    </row>
    <row r="8981" hidden="1">
      <c r="A8981" s="4">
        <v>45534.42408965278</v>
      </c>
      <c r="B8981" s="5" t="s">
        <v>19</v>
      </c>
      <c r="C8981" s="5" t="s">
        <v>47130</v>
      </c>
      <c r="E8981" s="5" t="s">
        <v>55991</v>
      </c>
      <c r="F8981" s="5" t="s">
        <v>375</v>
      </c>
      <c r="G8981" s="5" t="s">
        <v>55992</v>
      </c>
      <c r="H8981" s="6" t="s">
        <v>55993</v>
      </c>
      <c r="K8981" s="5" t="s">
        <v>55936</v>
      </c>
      <c r="M8981" s="5" t="s">
        <v>55994</v>
      </c>
      <c r="N8981" s="7" t="s">
        <v>55995</v>
      </c>
      <c r="O8981" s="8" t="str">
        <f>HYPERLINK("https://drive.google.com/file/d/10F8wTv_TqMBdCXXPUNsNIxegiPtNvVph/view?usp=drivesdk","8980_LESTARI PRIHATININGSIH, S.E. _ SERTIFIKAT BerAKHLAK")</f>
        <v>8980_LESTARI PRIHATININGSIH, S.E. _ SERTIFIKAT BerAKHLAK</v>
      </c>
      <c r="P8981" s="5" t="s">
        <v>55996</v>
      </c>
    </row>
    <row r="8982">
      <c r="A8982" s="4">
        <v>45534.42427106481</v>
      </c>
      <c r="B8982" s="5" t="s">
        <v>34</v>
      </c>
      <c r="D8982" s="5" t="s">
        <v>522</v>
      </c>
      <c r="E8982" s="5" t="s">
        <v>55997</v>
      </c>
      <c r="F8982" s="5" t="s">
        <v>72</v>
      </c>
      <c r="G8982" s="5" t="s">
        <v>55998</v>
      </c>
      <c r="H8982" s="6" t="s">
        <v>55999</v>
      </c>
      <c r="K8982" s="5" t="s">
        <v>56000</v>
      </c>
      <c r="M8982" s="5" t="s">
        <v>56001</v>
      </c>
      <c r="N8982" s="7" t="s">
        <v>56002</v>
      </c>
      <c r="O8982" s="8" t="str">
        <f>HYPERLINK("https://drive.google.com/file/d/13ipG8kCwfS5CKMaLslutel_3yTqdw5N-/view?usp=drivesdk","8981_Dwi Susanti, SAP _ SERTIFIKAT BerAKHLAK")</f>
        <v>8981_Dwi Susanti, SAP _ SERTIFIKAT BerAKHLAK</v>
      </c>
      <c r="P8982" s="5" t="s">
        <v>55996</v>
      </c>
    </row>
    <row r="8983">
      <c r="A8983" s="4">
        <v>45534.42439929398</v>
      </c>
      <c r="B8983" s="5" t="s">
        <v>34</v>
      </c>
      <c r="D8983" s="5" t="s">
        <v>4775</v>
      </c>
      <c r="E8983" s="5" t="s">
        <v>56003</v>
      </c>
      <c r="F8983" s="5" t="s">
        <v>56004</v>
      </c>
      <c r="G8983" s="5" t="s">
        <v>56005</v>
      </c>
      <c r="H8983" s="6" t="s">
        <v>56006</v>
      </c>
      <c r="K8983" s="5" t="s">
        <v>56007</v>
      </c>
      <c r="M8983" s="5" t="s">
        <v>56008</v>
      </c>
      <c r="N8983" s="7" t="s">
        <v>56009</v>
      </c>
      <c r="O8983" s="8" t="str">
        <f>HYPERLINK("https://drive.google.com/file/d/1LPXsgWAAXZVaCnrlJCshogNX3LwYXdGg/view?usp=drivesdk","8982_W. SETYAJI KUSUMA WARDANI _ SERTIFIKAT BerAKHLAK")</f>
        <v>8982_W. SETYAJI KUSUMA WARDANI _ SERTIFIKAT BerAKHLAK</v>
      </c>
      <c r="P8983" s="5" t="s">
        <v>55996</v>
      </c>
    </row>
    <row r="8984">
      <c r="A8984" s="4">
        <v>45534.42441798611</v>
      </c>
      <c r="B8984" s="5" t="s">
        <v>34</v>
      </c>
      <c r="D8984" s="5" t="s">
        <v>3432</v>
      </c>
      <c r="E8984" s="5" t="s">
        <v>56010</v>
      </c>
      <c r="F8984" s="5" t="s">
        <v>212</v>
      </c>
      <c r="G8984" s="5" t="s">
        <v>56011</v>
      </c>
      <c r="H8984" s="6" t="s">
        <v>56012</v>
      </c>
      <c r="K8984" s="5" t="s">
        <v>56007</v>
      </c>
      <c r="M8984" s="5" t="s">
        <v>56013</v>
      </c>
      <c r="N8984" s="7" t="s">
        <v>56014</v>
      </c>
      <c r="O8984" s="8" t="str">
        <f>HYPERLINK("https://drive.google.com/file/d/1Xz9Cpex39znifPgrD_AiSS0PbDFW78lI/view?usp=drivesdk","8983_JIHAN S KABALMAY, A.Md.Kep _ SERTIFIKAT BerAKHLAK")</f>
        <v>8983_JIHAN S KABALMAY, A.Md.Kep _ SERTIFIKAT BerAKHLAK</v>
      </c>
      <c r="P8984" s="5" t="s">
        <v>55996</v>
      </c>
    </row>
    <row r="8985" hidden="1">
      <c r="A8985" s="4">
        <v>45534.42444445602</v>
      </c>
      <c r="B8985" s="5" t="s">
        <v>19</v>
      </c>
      <c r="C8985" s="5" t="s">
        <v>292</v>
      </c>
      <c r="E8985" s="5" t="s">
        <v>56015</v>
      </c>
      <c r="F8985" s="5" t="s">
        <v>22</v>
      </c>
      <c r="G8985" s="5" t="s">
        <v>56016</v>
      </c>
      <c r="H8985" s="6" t="s">
        <v>56017</v>
      </c>
      <c r="K8985" s="5" t="s">
        <v>56007</v>
      </c>
      <c r="M8985" s="5" t="s">
        <v>56018</v>
      </c>
      <c r="N8985" s="7" t="s">
        <v>56019</v>
      </c>
      <c r="O8985" s="8" t="str">
        <f>HYPERLINK("https://drive.google.com/file/d/1CBScbJmJCOK6hgYF6bZ2mxPLrQ4VQ5W9/view?usp=drivesdk","8984_YUNIANTO PRASETYO,S.E. _ SERTIFIKAT BerAKHLAK")</f>
        <v>8984_YUNIANTO PRASETYO,S.E. _ SERTIFIKAT BerAKHLAK</v>
      </c>
      <c r="P8985" s="5" t="s">
        <v>56020</v>
      </c>
    </row>
    <row r="8986" hidden="1">
      <c r="A8986" s="4">
        <v>45534.42459569444</v>
      </c>
      <c r="B8986" s="5" t="s">
        <v>19</v>
      </c>
      <c r="C8986" s="5" t="s">
        <v>466</v>
      </c>
      <c r="E8986" s="5" t="s">
        <v>56021</v>
      </c>
      <c r="F8986" s="5" t="s">
        <v>375</v>
      </c>
      <c r="G8986" s="5" t="s">
        <v>56022</v>
      </c>
      <c r="H8986" s="6" t="s">
        <v>56023</v>
      </c>
      <c r="K8986" s="5" t="s">
        <v>56024</v>
      </c>
      <c r="M8986" s="5" t="s">
        <v>56025</v>
      </c>
      <c r="N8986" s="7" t="s">
        <v>56026</v>
      </c>
      <c r="O8986" s="8" t="str">
        <f>HYPERLINK("https://drive.google.com/file/d/1F0XlhMP_tKz-rPrWO3weU6wvfWu029DP/view?usp=drivesdk","8985_MUHAMAD HIDAYAT, S.Kom. _ SERTIFIKAT BerAKHLAK")</f>
        <v>8985_MUHAMAD HIDAYAT, S.Kom. _ SERTIFIKAT BerAKHLAK</v>
      </c>
      <c r="P8986" s="5" t="s">
        <v>56020</v>
      </c>
    </row>
    <row r="8987">
      <c r="A8987" s="4">
        <v>45534.42469076389</v>
      </c>
      <c r="B8987" s="5" t="s">
        <v>34</v>
      </c>
      <c r="D8987" s="5" t="s">
        <v>1558</v>
      </c>
      <c r="E8987" s="5" t="s">
        <v>56027</v>
      </c>
      <c r="F8987" s="5" t="s">
        <v>37</v>
      </c>
      <c r="G8987" s="5" t="s">
        <v>56028</v>
      </c>
      <c r="H8987" s="6" t="s">
        <v>56029</v>
      </c>
      <c r="K8987" s="5" t="s">
        <v>56030</v>
      </c>
      <c r="M8987" s="5" t="s">
        <v>56031</v>
      </c>
      <c r="N8987" s="7" t="s">
        <v>56032</v>
      </c>
      <c r="O8987" s="8" t="str">
        <f>HYPERLINK("https://drive.google.com/file/d/1Hl4RrP2VZTJuJc9X1o5OU50_i89374-A/view?usp=drivesdk","8986_ENDA MULYADIN _ SERTIFIKAT BerAKHLAK")</f>
        <v>8986_ENDA MULYADIN _ SERTIFIKAT BerAKHLAK</v>
      </c>
      <c r="P8987" s="5" t="s">
        <v>56020</v>
      </c>
    </row>
    <row r="8988">
      <c r="A8988" s="4">
        <v>45534.424696250004</v>
      </c>
      <c r="B8988" s="5" t="s">
        <v>34</v>
      </c>
      <c r="D8988" s="5" t="s">
        <v>9020</v>
      </c>
      <c r="E8988" s="5" t="s">
        <v>56033</v>
      </c>
      <c r="F8988" s="5" t="s">
        <v>328</v>
      </c>
      <c r="G8988" s="5" t="s">
        <v>56034</v>
      </c>
      <c r="H8988" s="6" t="s">
        <v>56035</v>
      </c>
      <c r="K8988" s="5" t="s">
        <v>56030</v>
      </c>
      <c r="M8988" s="5" t="s">
        <v>56036</v>
      </c>
      <c r="N8988" s="7" t="s">
        <v>56037</v>
      </c>
      <c r="O8988" s="8" t="str">
        <f>HYPERLINK("https://drive.google.com/file/d/15PDryQWSrpsq-z4BPo2-tvwO5BpqRxSn/view?usp=drivesdk","8987_ROSMARIYA NADAPDAP _ SERTIFIKAT BerAKHLAK")</f>
        <v>8987_ROSMARIYA NADAPDAP _ SERTIFIKAT BerAKHLAK</v>
      </c>
      <c r="P8988" s="5" t="s">
        <v>56020</v>
      </c>
    </row>
    <row r="8989" hidden="1">
      <c r="A8989" s="4">
        <v>45534.42471896991</v>
      </c>
      <c r="B8989" s="5" t="s">
        <v>19</v>
      </c>
      <c r="C8989" s="5" t="s">
        <v>292</v>
      </c>
      <c r="E8989" s="5" t="s">
        <v>56038</v>
      </c>
      <c r="F8989" s="5" t="s">
        <v>212</v>
      </c>
      <c r="G8989" s="5" t="s">
        <v>56039</v>
      </c>
      <c r="H8989" s="6" t="s">
        <v>56040</v>
      </c>
      <c r="K8989" s="5" t="s">
        <v>56041</v>
      </c>
      <c r="M8989" s="5" t="s">
        <v>56042</v>
      </c>
      <c r="N8989" s="7" t="s">
        <v>56043</v>
      </c>
      <c r="O8989" s="8" t="str">
        <f>HYPERLINK("https://drive.google.com/file/d/1XouZzWDwkbfrjSplgx5kJiAdSQpFBvEL/view?usp=drivesdk","8988_NGAISAH ROKHAINI _ SERTIFIKAT BerAKHLAK")</f>
        <v>8988_NGAISAH ROKHAINI _ SERTIFIKAT BerAKHLAK</v>
      </c>
      <c r="P8989" s="5" t="s">
        <v>56020</v>
      </c>
    </row>
    <row r="8990" hidden="1">
      <c r="A8990" s="4">
        <v>45534.42477357639</v>
      </c>
      <c r="B8990" s="5" t="s">
        <v>19</v>
      </c>
      <c r="C8990" s="5" t="s">
        <v>292</v>
      </c>
      <c r="E8990" s="5" t="s">
        <v>56044</v>
      </c>
      <c r="F8990" s="5" t="s">
        <v>120</v>
      </c>
      <c r="G8990" s="5" t="s">
        <v>56045</v>
      </c>
      <c r="H8990" s="6" t="s">
        <v>56046</v>
      </c>
      <c r="K8990" s="5" t="s">
        <v>56047</v>
      </c>
      <c r="M8990" s="5" t="s">
        <v>56048</v>
      </c>
      <c r="N8990" s="7" t="s">
        <v>56049</v>
      </c>
      <c r="O8990" s="8" t="str">
        <f>HYPERLINK("https://drive.google.com/file/d/1OnoiKpBRhwnLej1XsMFzAtqBrG_gn3U-/view?usp=drivesdk","8989_dr NANCY BUMBUNAN M. SIRAIT, MARS _ SERTIFIKAT BerAKHLAK")</f>
        <v>8989_dr NANCY BUMBUNAN M. SIRAIT, MARS _ SERTIFIKAT BerAKHLAK</v>
      </c>
      <c r="P8990" s="5" t="s">
        <v>56050</v>
      </c>
    </row>
    <row r="8991">
      <c r="A8991" s="4">
        <v>45534.42477736111</v>
      </c>
      <c r="B8991" s="5" t="s">
        <v>34</v>
      </c>
      <c r="D8991" s="5" t="s">
        <v>15401</v>
      </c>
      <c r="E8991" s="5" t="s">
        <v>56051</v>
      </c>
      <c r="F8991" s="5" t="s">
        <v>524</v>
      </c>
      <c r="G8991" s="5" t="s">
        <v>56052</v>
      </c>
      <c r="H8991" s="6" t="s">
        <v>56053</v>
      </c>
      <c r="K8991" s="5" t="s">
        <v>56054</v>
      </c>
      <c r="M8991" s="5" t="s">
        <v>56055</v>
      </c>
      <c r="N8991" s="7" t="s">
        <v>56056</v>
      </c>
      <c r="O8991" s="8" t="str">
        <f>HYPERLINK("https://drive.google.com/file/d/1gL8bT0ZsRgUGjJol3JIA5MFJbcWJb7Xx/view?usp=drivesdk","8990_NURFAIDAH _ SERTIFIKAT BerAKHLAK")</f>
        <v>8990_NURFAIDAH _ SERTIFIKAT BerAKHLAK</v>
      </c>
      <c r="P8991" s="5" t="s">
        <v>56050</v>
      </c>
    </row>
    <row r="8992">
      <c r="A8992" s="4">
        <v>45534.42487434028</v>
      </c>
      <c r="B8992" s="5" t="s">
        <v>34</v>
      </c>
      <c r="D8992" s="5" t="s">
        <v>35</v>
      </c>
      <c r="E8992" s="5" t="s">
        <v>56057</v>
      </c>
      <c r="F8992" s="5" t="s">
        <v>37</v>
      </c>
      <c r="G8992" s="5" t="s">
        <v>56058</v>
      </c>
      <c r="H8992" s="6" t="s">
        <v>56059</v>
      </c>
      <c r="K8992" s="5" t="s">
        <v>56060</v>
      </c>
      <c r="M8992" s="5" t="s">
        <v>56061</v>
      </c>
      <c r="N8992" s="7" t="s">
        <v>56062</v>
      </c>
      <c r="O8992" s="8" t="str">
        <f>HYPERLINK("https://drive.google.com/file/d/1eEcOlDc_AEgLPycC4KJR75kMI7eww6nU/view?usp=drivesdk","8991_PEPI ALAM MUKTI _ SERTIFIKAT BerAKHLAK")</f>
        <v>8991_PEPI ALAM MUKTI _ SERTIFIKAT BerAKHLAK</v>
      </c>
      <c r="P8992" s="5" t="s">
        <v>56050</v>
      </c>
    </row>
    <row r="8993">
      <c r="A8993" s="4">
        <v>45534.42505658565</v>
      </c>
      <c r="B8993" s="5" t="s">
        <v>34</v>
      </c>
      <c r="D8993" s="5" t="s">
        <v>35</v>
      </c>
      <c r="E8993" s="5" t="s">
        <v>56063</v>
      </c>
      <c r="F8993" s="5" t="s">
        <v>212</v>
      </c>
      <c r="G8993" s="5" t="s">
        <v>56064</v>
      </c>
      <c r="H8993" s="6" t="s">
        <v>56065</v>
      </c>
      <c r="K8993" s="5" t="s">
        <v>56066</v>
      </c>
      <c r="M8993" s="5" t="s">
        <v>56067</v>
      </c>
      <c r="N8993" s="7" t="s">
        <v>56068</v>
      </c>
      <c r="O8993" s="8" t="str">
        <f>HYPERLINK("https://drive.google.com/file/d/1BLgmolgMjY3-odgxnlpaVqWksOdCoaw7/view?usp=drivesdk","8992_IQRARIANI _ SERTIFIKAT BerAKHLAK")</f>
        <v>8992_IQRARIANI _ SERTIFIKAT BerAKHLAK</v>
      </c>
      <c r="P8993" s="5" t="s">
        <v>56050</v>
      </c>
    </row>
    <row r="8994">
      <c r="A8994" s="4">
        <v>45534.42510554398</v>
      </c>
      <c r="B8994" s="5" t="s">
        <v>34</v>
      </c>
      <c r="D8994" s="5" t="s">
        <v>12010</v>
      </c>
      <c r="E8994" s="5" t="s">
        <v>56069</v>
      </c>
      <c r="F8994" s="5" t="s">
        <v>72</v>
      </c>
      <c r="G8994" s="5" t="s">
        <v>56070</v>
      </c>
      <c r="H8994" s="6" t="s">
        <v>56071</v>
      </c>
      <c r="K8994" s="5" t="s">
        <v>56072</v>
      </c>
      <c r="M8994" s="5" t="s">
        <v>56073</v>
      </c>
      <c r="N8994" s="7" t="s">
        <v>56074</v>
      </c>
      <c r="O8994" s="8" t="str">
        <f>HYPERLINK("https://drive.google.com/file/d/1KALztKCvqK4NeujgJvKrLAGzoTCIwDC4/view?usp=drivesdk","8993_MINCE SUS SAMOLA, S.Kom _ SERTIFIKAT BerAKHLAK")</f>
        <v>8993_MINCE SUS SAMOLA, S.Kom _ SERTIFIKAT BerAKHLAK</v>
      </c>
      <c r="P8994" s="5" t="s">
        <v>56075</v>
      </c>
    </row>
    <row r="8995" hidden="1">
      <c r="A8995" s="4">
        <v>45534.425114722224</v>
      </c>
      <c r="B8995" s="5" t="s">
        <v>19</v>
      </c>
      <c r="C8995" s="5" t="s">
        <v>292</v>
      </c>
      <c r="E8995" s="5" t="s">
        <v>56076</v>
      </c>
      <c r="F8995" s="5" t="s">
        <v>212</v>
      </c>
      <c r="G8995" s="5" t="s">
        <v>56077</v>
      </c>
      <c r="H8995" s="6" t="s">
        <v>56078</v>
      </c>
      <c r="K8995" s="5" t="s">
        <v>56072</v>
      </c>
      <c r="M8995" s="5" t="s">
        <v>56079</v>
      </c>
      <c r="N8995" s="7" t="s">
        <v>56080</v>
      </c>
      <c r="O8995" s="8" t="str">
        <f>HYPERLINK("https://drive.google.com/file/d/1TPYS5Wpxd_M_zGHnZLmxgCx0BEQxhany/view?usp=drivesdk","8994_FUAD NUR ISBANDIYAH _ SERTIFIKAT BerAKHLAK")</f>
        <v>8994_FUAD NUR ISBANDIYAH _ SERTIFIKAT BerAKHLAK</v>
      </c>
      <c r="P8995" s="5" t="s">
        <v>56075</v>
      </c>
    </row>
    <row r="8996">
      <c r="A8996" s="4">
        <v>45534.42522321759</v>
      </c>
      <c r="B8996" s="5" t="s">
        <v>34</v>
      </c>
      <c r="D8996" s="5" t="s">
        <v>1206</v>
      </c>
      <c r="E8996" s="5" t="s">
        <v>56081</v>
      </c>
      <c r="F8996" s="5" t="s">
        <v>715</v>
      </c>
      <c r="G8996" s="5" t="s">
        <v>56082</v>
      </c>
      <c r="H8996" s="6" t="s">
        <v>56083</v>
      </c>
      <c r="K8996" s="5" t="s">
        <v>56084</v>
      </c>
      <c r="M8996" s="5" t="s">
        <v>56085</v>
      </c>
      <c r="N8996" s="7" t="s">
        <v>56086</v>
      </c>
      <c r="O8996" s="8" t="str">
        <f>HYPERLINK("https://drive.google.com/file/d/1Lg5hPuc9Y0FQvN9J4jV1VR3VnX9hX_f2/view?usp=drivesdk","8995_Hanna Marfili Aini, A.Md.Kep _ SERTIFIKAT BerAKHLAK")</f>
        <v>8995_Hanna Marfili Aini, A.Md.Kep _ SERTIFIKAT BerAKHLAK</v>
      </c>
      <c r="P8996" s="5" t="s">
        <v>56087</v>
      </c>
    </row>
    <row r="8997">
      <c r="A8997" s="4">
        <v>45534.42528704861</v>
      </c>
      <c r="B8997" s="5" t="s">
        <v>34</v>
      </c>
      <c r="D8997" s="5" t="s">
        <v>701</v>
      </c>
      <c r="E8997" s="5" t="s">
        <v>56088</v>
      </c>
      <c r="F8997" s="5" t="s">
        <v>37</v>
      </c>
      <c r="G8997" s="5" t="s">
        <v>56089</v>
      </c>
      <c r="H8997" s="6" t="s">
        <v>56090</v>
      </c>
      <c r="K8997" s="5" t="s">
        <v>56091</v>
      </c>
      <c r="M8997" s="5" t="s">
        <v>56092</v>
      </c>
      <c r="N8997" s="7" t="s">
        <v>56093</v>
      </c>
      <c r="O8997" s="8" t="str">
        <f>HYPERLINK("https://drive.google.com/file/d/18PJR2HLBZPlFr2En3iumlDp7NbASTDuS/view?usp=drivesdk","8996_NUR AZIZAH,A.MD.KEP _ SERTIFIKAT BerAKHLAK")</f>
        <v>8996_NUR AZIZAH,A.MD.KEP _ SERTIFIKAT BerAKHLAK</v>
      </c>
      <c r="P8997" s="5" t="s">
        <v>56094</v>
      </c>
    </row>
    <row r="8998">
      <c r="A8998" s="4">
        <v>45534.425297951384</v>
      </c>
      <c r="B8998" s="5" t="s">
        <v>34</v>
      </c>
      <c r="D8998" s="5" t="s">
        <v>267</v>
      </c>
      <c r="E8998" s="5" t="s">
        <v>56095</v>
      </c>
      <c r="F8998" s="5" t="s">
        <v>37</v>
      </c>
      <c r="G8998" s="5" t="s">
        <v>56096</v>
      </c>
      <c r="H8998" s="6" t="s">
        <v>56097</v>
      </c>
      <c r="K8998" s="5" t="s">
        <v>56091</v>
      </c>
      <c r="M8998" s="5" t="s">
        <v>56098</v>
      </c>
      <c r="N8998" s="7" t="s">
        <v>56099</v>
      </c>
      <c r="O8998" s="8" t="str">
        <f>HYPERLINK("https://drive.google.com/file/d/1owhBcIIMhkKpmj6-GtoEbTRSFArdi8Sf/view?usp=drivesdk","8997_SAMSU HIDAYAT _ SERTIFIKAT BerAKHLAK")</f>
        <v>8997_SAMSU HIDAYAT _ SERTIFIKAT BerAKHLAK</v>
      </c>
      <c r="P8998" s="5" t="s">
        <v>56100</v>
      </c>
    </row>
    <row r="8999">
      <c r="A8999" s="4">
        <v>45534.425318657406</v>
      </c>
      <c r="B8999" s="5" t="s">
        <v>34</v>
      </c>
      <c r="D8999" s="5" t="s">
        <v>1206</v>
      </c>
      <c r="E8999" s="5" t="s">
        <v>56101</v>
      </c>
      <c r="F8999" s="5" t="s">
        <v>212</v>
      </c>
      <c r="G8999" s="5" t="s">
        <v>56102</v>
      </c>
      <c r="H8999" s="6" t="s">
        <v>56103</v>
      </c>
      <c r="K8999" s="5" t="s">
        <v>56104</v>
      </c>
      <c r="M8999" s="5" t="s">
        <v>56105</v>
      </c>
      <c r="N8999" s="7" t="s">
        <v>56106</v>
      </c>
      <c r="O8999" s="8" t="str">
        <f>HYPERLINK("https://drive.google.com/file/d/1A_PdcEAf1gbmFn1hssWx3PvFreZ4hUWR/view?usp=drivesdk","8998_Erni Mudjijati, S.Pd., S.Sos _ SERTIFIKAT BerAKHLAK")</f>
        <v>8998_Erni Mudjijati, S.Pd., S.Sos _ SERTIFIKAT BerAKHLAK</v>
      </c>
      <c r="P8999" s="5" t="s">
        <v>56107</v>
      </c>
    </row>
    <row r="9000">
      <c r="A9000" s="4">
        <v>45534.42540461806</v>
      </c>
      <c r="B9000" s="5" t="s">
        <v>34</v>
      </c>
      <c r="D9000" s="5" t="s">
        <v>9020</v>
      </c>
      <c r="E9000" s="5" t="s">
        <v>56108</v>
      </c>
      <c r="F9000" s="5" t="s">
        <v>524</v>
      </c>
      <c r="G9000" s="5" t="s">
        <v>56109</v>
      </c>
      <c r="H9000" s="6" t="s">
        <v>56110</v>
      </c>
      <c r="K9000" s="5" t="s">
        <v>56111</v>
      </c>
      <c r="M9000" s="5" t="s">
        <v>56112</v>
      </c>
      <c r="N9000" s="7" t="s">
        <v>56113</v>
      </c>
      <c r="O9000" s="8" t="str">
        <f>HYPERLINK("https://drive.google.com/file/d/1YrFDwhs3zUZ2zdnVch_UI6c-zfMPytQ4/view?usp=drivesdk","8999_MELI IRDAYANI _ SERTIFIKAT BerAKHLAK")</f>
        <v>8999_MELI IRDAYANI _ SERTIFIKAT BerAKHLAK</v>
      </c>
      <c r="P9000" s="5" t="s">
        <v>56114</v>
      </c>
    </row>
    <row r="9001">
      <c r="A9001" s="4">
        <v>45534.42544989583</v>
      </c>
      <c r="B9001" s="5" t="s">
        <v>34</v>
      </c>
      <c r="D9001" s="5" t="s">
        <v>4775</v>
      </c>
      <c r="E9001" s="5" t="s">
        <v>56115</v>
      </c>
      <c r="F9001" s="5" t="s">
        <v>375</v>
      </c>
      <c r="G9001" s="5" t="s">
        <v>56116</v>
      </c>
      <c r="H9001" s="6" t="s">
        <v>56117</v>
      </c>
      <c r="K9001" s="5" t="s">
        <v>56118</v>
      </c>
      <c r="M9001" s="5" t="s">
        <v>56119</v>
      </c>
      <c r="N9001" s="7" t="s">
        <v>56120</v>
      </c>
      <c r="O9001" s="8" t="str">
        <f>HYPERLINK("https://drive.google.com/file/d/13wsKgybJvCw6n5LxzqU_4oyT01zaRKjg/view?usp=drivesdk","9000_SONY GONDO SUTRISNO _ SERTIFIKAT BerAKHLAK")</f>
        <v>9000_SONY GONDO SUTRISNO _ SERTIFIKAT BerAKHLAK</v>
      </c>
      <c r="P9001" s="5" t="s">
        <v>56121</v>
      </c>
    </row>
    <row r="9002">
      <c r="A9002" s="4">
        <v>45534.42548917824</v>
      </c>
      <c r="B9002" s="5" t="s">
        <v>34</v>
      </c>
      <c r="D9002" s="5" t="s">
        <v>2903</v>
      </c>
      <c r="E9002" s="5" t="s">
        <v>56122</v>
      </c>
      <c r="F9002" s="5" t="s">
        <v>212</v>
      </c>
      <c r="G9002" s="5" t="s">
        <v>56123</v>
      </c>
      <c r="H9002" s="6" t="s">
        <v>56124</v>
      </c>
      <c r="K9002" s="5" t="s">
        <v>56118</v>
      </c>
      <c r="M9002" s="5" t="s">
        <v>56125</v>
      </c>
      <c r="N9002" s="7" t="s">
        <v>56126</v>
      </c>
      <c r="O9002" s="8" t="str">
        <f>HYPERLINK("https://drive.google.com/file/d/1MCL_I6eTC3tsOfpaT6wH79X6JAO0gdYz/view?usp=drivesdk","9001_ISWATI _ SERTIFIKAT BerAKHLAK")</f>
        <v>9001_ISWATI _ SERTIFIKAT BerAKHLAK</v>
      </c>
      <c r="P9002" s="5" t="s">
        <v>56127</v>
      </c>
    </row>
    <row r="9003">
      <c r="A9003" s="4">
        <v>45534.42549570602</v>
      </c>
      <c r="B9003" s="5" t="s">
        <v>34</v>
      </c>
      <c r="D9003" s="5" t="s">
        <v>267</v>
      </c>
      <c r="E9003" s="5" t="s">
        <v>56128</v>
      </c>
      <c r="F9003" s="5" t="s">
        <v>37</v>
      </c>
      <c r="G9003" s="5" t="s">
        <v>56129</v>
      </c>
      <c r="H9003" s="6" t="s">
        <v>56130</v>
      </c>
      <c r="K9003" s="5" t="s">
        <v>56118</v>
      </c>
      <c r="M9003" s="5" t="s">
        <v>56131</v>
      </c>
      <c r="N9003" s="7" t="s">
        <v>56132</v>
      </c>
      <c r="O9003" s="8" t="str">
        <f>HYPERLINK("https://drive.google.com/file/d/14uLvfS21tQuflYTv4z4U6e5xOGWU5mh9/view?usp=drivesdk","9002_MUJI PRAYITNO _ SERTIFIKAT BerAKHLAK")</f>
        <v>9002_MUJI PRAYITNO _ SERTIFIKAT BerAKHLAK</v>
      </c>
      <c r="P9003" s="5" t="s">
        <v>56133</v>
      </c>
    </row>
    <row r="9004">
      <c r="A9004" s="4">
        <v>45534.425585324076</v>
      </c>
      <c r="B9004" s="5" t="s">
        <v>34</v>
      </c>
      <c r="D9004" s="5" t="s">
        <v>1692</v>
      </c>
      <c r="E9004" s="5" t="s">
        <v>56134</v>
      </c>
      <c r="F9004" s="5" t="s">
        <v>212</v>
      </c>
      <c r="G9004" s="5" t="s">
        <v>56135</v>
      </c>
      <c r="H9004" s="6" t="s">
        <v>56136</v>
      </c>
      <c r="K9004" s="5" t="s">
        <v>56137</v>
      </c>
      <c r="M9004" s="5" t="s">
        <v>56138</v>
      </c>
      <c r="N9004" s="7" t="s">
        <v>56139</v>
      </c>
      <c r="O9004" s="8" t="str">
        <f>HYPERLINK("https://drive.google.com/file/d/1M2lAim0HEogMCa2PYh21SeUI6DS7oXcG/view?usp=drivesdk","9003_JENEMAN TOMASOA _ SERTIFIKAT BerAKHLAK")</f>
        <v>9003_JENEMAN TOMASOA _ SERTIFIKAT BerAKHLAK</v>
      </c>
      <c r="P9004" s="5" t="s">
        <v>56140</v>
      </c>
    </row>
    <row r="9005">
      <c r="A9005" s="4">
        <v>45534.42558560186</v>
      </c>
      <c r="B9005" s="5" t="s">
        <v>34</v>
      </c>
      <c r="D9005" s="5" t="s">
        <v>6232</v>
      </c>
      <c r="E9005" s="5" t="s">
        <v>56141</v>
      </c>
      <c r="F9005" s="5" t="s">
        <v>37</v>
      </c>
      <c r="G9005" s="5" t="s">
        <v>56142</v>
      </c>
      <c r="H9005" s="6" t="s">
        <v>56143</v>
      </c>
      <c r="K9005" s="5" t="s">
        <v>56137</v>
      </c>
      <c r="M9005" s="5" t="s">
        <v>56144</v>
      </c>
      <c r="N9005" s="7" t="s">
        <v>56145</v>
      </c>
      <c r="O9005" s="8" t="str">
        <f>HYPERLINK("https://drive.google.com/file/d/1Rr3FRiaDOye4A_4eo34GhNsRO1FhQwvs/view?usp=drivesdk","9004_NS PURNAMASARI.S.KEP _ SERTIFIKAT BerAKHLAK")</f>
        <v>9004_NS PURNAMASARI.S.KEP _ SERTIFIKAT BerAKHLAK</v>
      </c>
      <c r="P9005" s="5" t="s">
        <v>56146</v>
      </c>
    </row>
    <row r="9006">
      <c r="A9006" s="4">
        <v>45534.425584791665</v>
      </c>
      <c r="B9006" s="5" t="s">
        <v>34</v>
      </c>
      <c r="D9006" s="5" t="s">
        <v>1206</v>
      </c>
      <c r="E9006" s="5" t="s">
        <v>56147</v>
      </c>
      <c r="F9006" s="5" t="s">
        <v>37</v>
      </c>
      <c r="G9006" s="5" t="s">
        <v>56148</v>
      </c>
      <c r="H9006" s="6" t="s">
        <v>56149</v>
      </c>
      <c r="K9006" s="5" t="s">
        <v>56137</v>
      </c>
      <c r="M9006" s="5" t="s">
        <v>56150</v>
      </c>
      <c r="N9006" s="7" t="s">
        <v>56151</v>
      </c>
      <c r="O9006" s="8" t="str">
        <f>HYPERLINK("https://drive.google.com/file/d/1fs93p6nJfs2_EHNqVrXREdG9dICSa66D/view?usp=drivesdk","9005_AGUSTININGTYAS DWI HARINI, S.H. _ SERTIFIKAT BerAKHLAK")</f>
        <v>9005_AGUSTININGTYAS DWI HARINI, S.H. _ SERTIFIKAT BerAKHLAK</v>
      </c>
      <c r="P9006" s="5" t="s">
        <v>56152</v>
      </c>
    </row>
    <row r="9007">
      <c r="A9007" s="4">
        <v>45534.425627442135</v>
      </c>
      <c r="B9007" s="5" t="s">
        <v>34</v>
      </c>
      <c r="D9007" s="5" t="s">
        <v>701</v>
      </c>
      <c r="E9007" s="5" t="s">
        <v>43431</v>
      </c>
      <c r="F9007" s="5" t="s">
        <v>37</v>
      </c>
      <c r="G9007" s="5" t="s">
        <v>56153</v>
      </c>
      <c r="H9007" s="6" t="s">
        <v>56154</v>
      </c>
      <c r="K9007" s="5" t="s">
        <v>56155</v>
      </c>
      <c r="M9007" s="5" t="s">
        <v>56156</v>
      </c>
      <c r="N9007" s="7" t="s">
        <v>56157</v>
      </c>
      <c r="O9007" s="8" t="str">
        <f>HYPERLINK("https://drive.google.com/file/d/1HWGA-0y1Vr9n74QFRDLOoXuuECETYMXq/view?usp=drivesdk","9006_SAFRUDDIN _ SERTIFIKAT BerAKHLAK")</f>
        <v>9006_SAFRUDDIN _ SERTIFIKAT BerAKHLAK</v>
      </c>
      <c r="P9007" s="5" t="s">
        <v>56158</v>
      </c>
    </row>
    <row r="9008">
      <c r="A9008" s="4">
        <v>45534.42563631944</v>
      </c>
      <c r="B9008" s="5" t="s">
        <v>34</v>
      </c>
      <c r="D9008" s="5" t="s">
        <v>35</v>
      </c>
      <c r="E9008" s="5" t="s">
        <v>56159</v>
      </c>
      <c r="F9008" s="5" t="s">
        <v>37</v>
      </c>
      <c r="G9008" s="5" t="s">
        <v>56160</v>
      </c>
      <c r="H9008" s="6" t="s">
        <v>56161</v>
      </c>
      <c r="K9008" s="5" t="s">
        <v>56162</v>
      </c>
      <c r="M9008" s="5" t="s">
        <v>56163</v>
      </c>
      <c r="N9008" s="7" t="s">
        <v>56164</v>
      </c>
      <c r="O9008" s="8" t="str">
        <f>HYPERLINK("https://drive.google.com/file/d/1jA3UvZKx76bh33d42nA5hjSmTZjgQUjf/view?usp=drivesdk","9007_UDIN WAHYUDIN _ SERTIFIKAT BerAKHLAK")</f>
        <v>9007_UDIN WAHYUDIN _ SERTIFIKAT BerAKHLAK</v>
      </c>
      <c r="P9008" s="5" t="s">
        <v>56165</v>
      </c>
    </row>
    <row r="9009">
      <c r="A9009" s="4">
        <v>45534.425665752315</v>
      </c>
      <c r="B9009" s="5" t="s">
        <v>34</v>
      </c>
      <c r="D9009" s="5" t="s">
        <v>267</v>
      </c>
      <c r="E9009" s="5" t="s">
        <v>56166</v>
      </c>
      <c r="F9009" s="5" t="s">
        <v>375</v>
      </c>
      <c r="G9009" s="5" t="s">
        <v>56167</v>
      </c>
      <c r="H9009" s="6" t="s">
        <v>56168</v>
      </c>
      <c r="K9009" s="5" t="s">
        <v>56169</v>
      </c>
      <c r="M9009" s="5" t="s">
        <v>56170</v>
      </c>
      <c r="N9009" s="7" t="s">
        <v>56171</v>
      </c>
      <c r="O9009" s="8" t="str">
        <f>HYPERLINK("https://drive.google.com/file/d/1vDWw-_nXUJ-NbhwQfSMfVF2_hdjHgr4r/view?usp=drivesdk","9008_Dra. SITI SUHARTININGSIH _ SERTIFIKAT BerAKHLAK")</f>
        <v>9008_Dra. SITI SUHARTININGSIH _ SERTIFIKAT BerAKHLAK</v>
      </c>
      <c r="P9009" s="5" t="s">
        <v>56172</v>
      </c>
    </row>
    <row r="9010">
      <c r="A9010" s="4">
        <v>45534.42569967592</v>
      </c>
      <c r="B9010" s="5" t="s">
        <v>34</v>
      </c>
      <c r="D9010" s="5" t="s">
        <v>1456</v>
      </c>
      <c r="E9010" s="5" t="s">
        <v>56173</v>
      </c>
      <c r="F9010" s="5" t="s">
        <v>37</v>
      </c>
      <c r="G9010" s="5" t="s">
        <v>56174</v>
      </c>
      <c r="H9010" s="6" t="s">
        <v>56175</v>
      </c>
      <c r="K9010" s="5" t="s">
        <v>56176</v>
      </c>
      <c r="M9010" s="5" t="s">
        <v>56177</v>
      </c>
      <c r="N9010" s="7" t="s">
        <v>56178</v>
      </c>
      <c r="O9010" s="8" t="str">
        <f>HYPERLINK("https://drive.google.com/file/d/1Vj-OmDgE4ZcnJJVuajXRCOsaXPwVlZGj/view?usp=drivesdk","9009_DESI ANGGERAINI _ SERTIFIKAT BerAKHLAK")</f>
        <v>9009_DESI ANGGERAINI _ SERTIFIKAT BerAKHLAK</v>
      </c>
      <c r="P9010" s="5" t="s">
        <v>56179</v>
      </c>
    </row>
    <row r="9011" hidden="1">
      <c r="A9011" s="4">
        <v>45534.425724560184</v>
      </c>
      <c r="B9011" s="5" t="s">
        <v>19</v>
      </c>
      <c r="C9011" s="5" t="s">
        <v>292</v>
      </c>
      <c r="E9011" s="5" t="s">
        <v>56180</v>
      </c>
      <c r="F9011" s="5" t="s">
        <v>212</v>
      </c>
      <c r="G9011" s="5" t="s">
        <v>56181</v>
      </c>
      <c r="H9011" s="6" t="s">
        <v>56182</v>
      </c>
      <c r="K9011" s="5" t="s">
        <v>56183</v>
      </c>
      <c r="M9011" s="5" t="s">
        <v>56184</v>
      </c>
      <c r="N9011" s="7" t="s">
        <v>56185</v>
      </c>
      <c r="O9011" s="8" t="str">
        <f>HYPERLINK("https://drive.google.com/file/d/1QXbXGJGcbJpKzRd1PVutWrEWG63S6y5x/view?usp=drivesdk","9010_SRI MARLIANTI _ SERTIFIKAT BerAKHLAK")</f>
        <v>9010_SRI MARLIANTI _ SERTIFIKAT BerAKHLAK</v>
      </c>
      <c r="P9011" s="5" t="s">
        <v>56186</v>
      </c>
    </row>
    <row r="9012">
      <c r="A9012" s="4">
        <v>45534.42572596065</v>
      </c>
      <c r="B9012" s="5" t="s">
        <v>34</v>
      </c>
      <c r="D9012" s="5" t="s">
        <v>604</v>
      </c>
      <c r="E9012" s="5" t="s">
        <v>56187</v>
      </c>
      <c r="F9012" s="5" t="s">
        <v>72</v>
      </c>
      <c r="G9012" s="5" t="s">
        <v>56188</v>
      </c>
      <c r="H9012" s="6" t="s">
        <v>56189</v>
      </c>
      <c r="K9012" s="5" t="s">
        <v>56183</v>
      </c>
      <c r="M9012" s="5" t="s">
        <v>56190</v>
      </c>
      <c r="N9012" s="7" t="s">
        <v>56191</v>
      </c>
      <c r="O9012" s="8" t="str">
        <f>HYPERLINK("https://drive.google.com/file/d/1Ai_PqQY65vhs4af5IPGZO8IyQHOtdiD5/view?usp=drivesdk","9011_NUR MEYNI, A. Md. Kep _ SERTIFIKAT BerAKHLAK")</f>
        <v>9011_NUR MEYNI, A. Md. Kep _ SERTIFIKAT BerAKHLAK</v>
      </c>
      <c r="P9012" s="5" t="s">
        <v>56192</v>
      </c>
    </row>
    <row r="9013">
      <c r="A9013" s="4">
        <v>45534.425737453705</v>
      </c>
      <c r="B9013" s="5" t="s">
        <v>34</v>
      </c>
      <c r="D9013" s="5" t="s">
        <v>701</v>
      </c>
      <c r="E9013" s="5" t="s">
        <v>56193</v>
      </c>
      <c r="F9013" s="5" t="s">
        <v>524</v>
      </c>
      <c r="G9013" s="5" t="s">
        <v>56194</v>
      </c>
      <c r="H9013" s="6" t="s">
        <v>56195</v>
      </c>
      <c r="K9013" s="5" t="s">
        <v>56183</v>
      </c>
      <c r="M9013" s="5" t="s">
        <v>56196</v>
      </c>
      <c r="N9013" s="7" t="s">
        <v>56197</v>
      </c>
      <c r="O9013" s="8" t="str">
        <f>HYPERLINK("https://drive.google.com/file/d/1IPegXUttVGhttO-zEAhgcPlQ4ch1DFm_/view?usp=drivesdk","9012_REFRINALDI _ SERTIFIKAT BerAKHLAK")</f>
        <v>9012_REFRINALDI _ SERTIFIKAT BerAKHLAK</v>
      </c>
      <c r="P9013" s="5" t="s">
        <v>55650</v>
      </c>
    </row>
    <row r="9014" hidden="1">
      <c r="A9014" s="4">
        <v>45534.42574251158</v>
      </c>
      <c r="B9014" s="5" t="s">
        <v>19</v>
      </c>
      <c r="C9014" s="5" t="s">
        <v>55133</v>
      </c>
      <c r="E9014" s="5" t="s">
        <v>56198</v>
      </c>
      <c r="F9014" s="5" t="s">
        <v>212</v>
      </c>
      <c r="G9014" s="5" t="s">
        <v>56199</v>
      </c>
      <c r="H9014" s="6" t="s">
        <v>56200</v>
      </c>
      <c r="K9014" s="5" t="s">
        <v>56183</v>
      </c>
      <c r="M9014" s="5" t="s">
        <v>56201</v>
      </c>
      <c r="N9014" s="7" t="s">
        <v>56202</v>
      </c>
      <c r="O9014" s="8" t="str">
        <f>HYPERLINK("https://drive.google.com/file/d/1IDmpwA-r8tjzFv2z5rKFIR-_sBk4RRs5/view?usp=drivesdk","9013_THERESIA SUSILOWATI  _ SERTIFIKAT BerAKHLAK")</f>
        <v>9013_THERESIA SUSILOWATI  _ SERTIFIKAT BerAKHLAK</v>
      </c>
      <c r="P9014" s="5" t="s">
        <v>55650</v>
      </c>
    </row>
    <row r="9015" hidden="1">
      <c r="A9015" s="4">
        <v>45534.4258333912</v>
      </c>
      <c r="B9015" s="5" t="s">
        <v>19</v>
      </c>
      <c r="C9015" s="5" t="s">
        <v>20</v>
      </c>
      <c r="E9015" s="5" t="s">
        <v>56203</v>
      </c>
      <c r="F9015" s="5" t="s">
        <v>22</v>
      </c>
      <c r="G9015" s="5" t="s">
        <v>56204</v>
      </c>
      <c r="H9015" s="6" t="s">
        <v>56205</v>
      </c>
      <c r="K9015" s="5" t="s">
        <v>56206</v>
      </c>
      <c r="M9015" s="5" t="s">
        <v>56207</v>
      </c>
      <c r="N9015" s="7" t="s">
        <v>56208</v>
      </c>
      <c r="O9015" s="8" t="str">
        <f>HYPERLINK("https://drive.google.com/file/d/14CoHUTtTlfa6yIy4lzGw7ubgyNEN8wxC/view?usp=drivesdk","9014_PURNOMO SULISTYONO PRABOOWO _ SERTIFIKAT BerAKHLAK")</f>
        <v>9014_PURNOMO SULISTYONO PRABOOWO _ SERTIFIKAT BerAKHLAK</v>
      </c>
      <c r="P9015" s="5" t="s">
        <v>56209</v>
      </c>
    </row>
    <row r="9016">
      <c r="A9016" s="4">
        <v>45534.426019085644</v>
      </c>
      <c r="B9016" s="5" t="s">
        <v>34</v>
      </c>
      <c r="D9016" s="5" t="s">
        <v>4775</v>
      </c>
      <c r="E9016" s="5" t="s">
        <v>56210</v>
      </c>
      <c r="F9016" s="5" t="s">
        <v>212</v>
      </c>
      <c r="G9016" s="5" t="s">
        <v>56211</v>
      </c>
      <c r="H9016" s="6" t="s">
        <v>56212</v>
      </c>
      <c r="K9016" s="5" t="s">
        <v>56213</v>
      </c>
      <c r="M9016" s="5" t="s">
        <v>56214</v>
      </c>
      <c r="N9016" s="7" t="s">
        <v>56215</v>
      </c>
      <c r="O9016" s="8" t="str">
        <f>HYPERLINK("https://drive.google.com/file/d/1mLIm2eKsi6Y1PpEl4--5ZSlas_IW9KfB/view?usp=drivesdk","9015_RIASARI, A.Md. _ SERTIFIKAT BerAKHLAK")</f>
        <v>9015_RIASARI, A.Md. _ SERTIFIKAT BerAKHLAK</v>
      </c>
      <c r="P9016" s="5" t="s">
        <v>56209</v>
      </c>
    </row>
    <row r="9017" hidden="1">
      <c r="A9017" s="4">
        <v>45534.426053414354</v>
      </c>
      <c r="B9017" s="5" t="s">
        <v>19</v>
      </c>
      <c r="C9017" s="5" t="s">
        <v>466</v>
      </c>
      <c r="E9017" s="5" t="s">
        <v>56216</v>
      </c>
      <c r="F9017" s="5" t="s">
        <v>108</v>
      </c>
      <c r="G9017" s="5" t="s">
        <v>56217</v>
      </c>
      <c r="H9017" s="6" t="s">
        <v>56218</v>
      </c>
      <c r="K9017" s="5" t="s">
        <v>56213</v>
      </c>
      <c r="M9017" s="5" t="s">
        <v>56219</v>
      </c>
      <c r="N9017" s="7" t="s">
        <v>56220</v>
      </c>
      <c r="O9017" s="8" t="str">
        <f>HYPERLINK("https://drive.google.com/file/d/1qLhLL2w67yNx9YLZaIshO7ereAyfIT-M/view?usp=drivesdk","9016_ENDANG SEDAYU _ SERTIFIKAT BerAKHLAK")</f>
        <v>9016_ENDANG SEDAYU _ SERTIFIKAT BerAKHLAK</v>
      </c>
      <c r="P9017" s="5" t="s">
        <v>56209</v>
      </c>
    </row>
    <row r="9018">
      <c r="A9018" s="4">
        <v>45534.42618378472</v>
      </c>
      <c r="B9018" s="5" t="s">
        <v>34</v>
      </c>
      <c r="D9018" s="5" t="s">
        <v>7858</v>
      </c>
      <c r="E9018" s="5" t="s">
        <v>56221</v>
      </c>
      <c r="F9018" s="5" t="s">
        <v>72</v>
      </c>
      <c r="G9018" s="5" t="s">
        <v>56222</v>
      </c>
      <c r="H9018" s="6" t="s">
        <v>56223</v>
      </c>
      <c r="K9018" s="5" t="s">
        <v>56213</v>
      </c>
      <c r="M9018" s="5" t="s">
        <v>56224</v>
      </c>
      <c r="N9018" s="7" t="s">
        <v>56225</v>
      </c>
      <c r="O9018" s="8" t="str">
        <f>HYPERLINK("https://drive.google.com/file/d/1C0JRbQvq22h1UkpXo6jGxOGOr2jjhwbn/view?usp=drivesdk","9017_JEKSON MELVIN TAMBUNAN, Amd FT _ SERTIFIKAT BerAKHLAK")</f>
        <v>9017_JEKSON MELVIN TAMBUNAN, Amd FT _ SERTIFIKAT BerAKHLAK</v>
      </c>
      <c r="P9018" s="5" t="s">
        <v>56209</v>
      </c>
    </row>
    <row r="9019">
      <c r="A9019" s="4">
        <v>45534.42622144676</v>
      </c>
      <c r="B9019" s="5" t="s">
        <v>34</v>
      </c>
      <c r="D9019" s="5" t="s">
        <v>1558</v>
      </c>
      <c r="E9019" s="5" t="s">
        <v>56226</v>
      </c>
      <c r="F9019" s="5" t="s">
        <v>212</v>
      </c>
      <c r="G9019" s="5" t="s">
        <v>56227</v>
      </c>
      <c r="H9019" s="6" t="s">
        <v>56228</v>
      </c>
      <c r="K9019" s="5" t="s">
        <v>56213</v>
      </c>
      <c r="M9019" s="5" t="s">
        <v>56229</v>
      </c>
      <c r="N9019" s="7" t="s">
        <v>56230</v>
      </c>
      <c r="O9019" s="8" t="str">
        <f>HYPERLINK("https://drive.google.com/file/d/1vINY1CEXfk5w87gdvBTcBxYTVepXXX0z/view?usp=drivesdk","9018_SORAYAH _ SERTIFIKAT BerAKHLAK")</f>
        <v>9018_SORAYAH _ SERTIFIKAT BerAKHLAK</v>
      </c>
      <c r="P9019" s="5" t="s">
        <v>56209</v>
      </c>
    </row>
    <row r="9020">
      <c r="A9020" s="4">
        <v>45534.4262269676</v>
      </c>
      <c r="B9020" s="5" t="s">
        <v>34</v>
      </c>
      <c r="D9020" s="5" t="s">
        <v>15401</v>
      </c>
      <c r="E9020" s="5" t="s">
        <v>56231</v>
      </c>
      <c r="F9020" s="5" t="s">
        <v>37</v>
      </c>
      <c r="G9020" s="5" t="s">
        <v>56232</v>
      </c>
      <c r="H9020" s="6" t="s">
        <v>56233</v>
      </c>
      <c r="K9020" s="5" t="s">
        <v>56213</v>
      </c>
      <c r="M9020" s="5" t="s">
        <v>56234</v>
      </c>
      <c r="N9020" s="7" t="s">
        <v>56235</v>
      </c>
      <c r="O9020" s="8" t="str">
        <f>HYPERLINK("https://drive.google.com/file/d/1B3NlT5rXlwdHVuV5Ea4MHQlnjMg3KTXy/view?usp=drivesdk","9019_I MADE SUMERTA _ SERTIFIKAT BerAKHLAK")</f>
        <v>9019_I MADE SUMERTA _ SERTIFIKAT BerAKHLAK</v>
      </c>
      <c r="P9020" s="5" t="s">
        <v>56209</v>
      </c>
    </row>
    <row r="9021">
      <c r="A9021" s="4">
        <v>45534.426267118055</v>
      </c>
      <c r="B9021" s="5" t="s">
        <v>34</v>
      </c>
      <c r="D9021" s="5" t="s">
        <v>12978</v>
      </c>
      <c r="E9021" s="5" t="s">
        <v>56236</v>
      </c>
      <c r="F9021" s="5" t="s">
        <v>375</v>
      </c>
      <c r="G9021" s="5" t="s">
        <v>56237</v>
      </c>
      <c r="H9021" s="6" t="s">
        <v>56238</v>
      </c>
      <c r="K9021" s="5" t="s">
        <v>56213</v>
      </c>
      <c r="M9021" s="5" t="s">
        <v>56239</v>
      </c>
      <c r="N9021" s="7" t="s">
        <v>56240</v>
      </c>
      <c r="O9021" s="8" t="str">
        <f>HYPERLINK("https://drive.google.com/file/d/1hh2_gy3AG994bumgKfhqUB2MDI5cyudA/view?usp=drivesdk","9020_ZURWANA _ SERTIFIKAT BerAKHLAK")</f>
        <v>9020_ZURWANA _ SERTIFIKAT BerAKHLAK</v>
      </c>
      <c r="P9021" s="5" t="s">
        <v>56241</v>
      </c>
    </row>
    <row r="9022">
      <c r="A9022" s="4">
        <v>45534.426333194446</v>
      </c>
      <c r="B9022" s="5" t="s">
        <v>34</v>
      </c>
      <c r="D9022" s="5" t="s">
        <v>9020</v>
      </c>
      <c r="E9022" s="5" t="s">
        <v>56242</v>
      </c>
      <c r="F9022" s="5" t="s">
        <v>524</v>
      </c>
      <c r="G9022" s="5" t="s">
        <v>56243</v>
      </c>
      <c r="H9022" s="6" t="s">
        <v>56244</v>
      </c>
      <c r="K9022" s="5" t="s">
        <v>56213</v>
      </c>
      <c r="M9022" s="5" t="s">
        <v>56245</v>
      </c>
      <c r="N9022" s="7" t="s">
        <v>56246</v>
      </c>
      <c r="O9022" s="8" t="str">
        <f>HYPERLINK("https://drive.google.com/file/d/1bpeE69p65I4jFJ7BYcjkLreDIQbgBTP5/view?usp=drivesdk","9021_FATISOKHI GEA _ SERTIFIKAT BerAKHLAK")</f>
        <v>9021_FATISOKHI GEA _ SERTIFIKAT BerAKHLAK</v>
      </c>
      <c r="P9022" s="5" t="s">
        <v>56075</v>
      </c>
    </row>
    <row r="9023">
      <c r="A9023" s="4">
        <v>45534.42636940972</v>
      </c>
      <c r="B9023" s="5" t="s">
        <v>34</v>
      </c>
      <c r="D9023" s="5" t="s">
        <v>4775</v>
      </c>
      <c r="E9023" s="5" t="s">
        <v>56247</v>
      </c>
      <c r="F9023" s="5" t="s">
        <v>715</v>
      </c>
      <c r="G9023" s="5" t="s">
        <v>56248</v>
      </c>
      <c r="H9023" s="6" t="s">
        <v>56249</v>
      </c>
      <c r="K9023" s="5" t="s">
        <v>56213</v>
      </c>
      <c r="M9023" s="5" t="s">
        <v>56250</v>
      </c>
      <c r="N9023" s="7" t="s">
        <v>56251</v>
      </c>
      <c r="O9023" s="8" t="str">
        <f>HYPERLINK("https://drive.google.com/file/d/1b-r1k-ZL16UxmK14UW-bArV7yh3-UJnK/view?usp=drivesdk","9022_MENIK PRIHATINNINGSIH,AMK _ SERTIFIKAT BerAKHLAK")</f>
        <v>9022_MENIK PRIHATINNINGSIH,AMK _ SERTIFIKAT BerAKHLAK</v>
      </c>
      <c r="P9023" s="5" t="s">
        <v>56252</v>
      </c>
    </row>
    <row r="9024">
      <c r="A9024" s="4">
        <v>45534.426381296296</v>
      </c>
      <c r="B9024" s="5" t="s">
        <v>34</v>
      </c>
      <c r="D9024" s="5" t="s">
        <v>580</v>
      </c>
      <c r="E9024" s="5" t="s">
        <v>56253</v>
      </c>
      <c r="F9024" s="5" t="s">
        <v>108</v>
      </c>
      <c r="G9024" s="5" t="s">
        <v>56254</v>
      </c>
      <c r="H9024" s="6" t="s">
        <v>56255</v>
      </c>
      <c r="K9024" s="5" t="s">
        <v>56213</v>
      </c>
      <c r="M9024" s="5" t="s">
        <v>56256</v>
      </c>
      <c r="N9024" s="7" t="s">
        <v>56257</v>
      </c>
      <c r="O9024" s="8" t="str">
        <f>HYPERLINK("https://drive.google.com/file/d/1Ynb7ZD_jbZ9f1nFXHJpkkb9DjSHna784/view?usp=drivesdk","9023_NI PUTU JULI KUSUMA DEWI _ SERTIFIKAT BerAKHLAK")</f>
        <v>9023_NI PUTU JULI KUSUMA DEWI _ SERTIFIKAT BerAKHLAK</v>
      </c>
      <c r="P9024" s="5" t="s">
        <v>56258</v>
      </c>
    </row>
    <row r="9025">
      <c r="A9025" s="4">
        <v>45534.426386736115</v>
      </c>
      <c r="B9025" s="5" t="s">
        <v>34</v>
      </c>
      <c r="D9025" s="5" t="s">
        <v>7858</v>
      </c>
      <c r="E9025" s="5" t="s">
        <v>56259</v>
      </c>
      <c r="F9025" s="5" t="s">
        <v>212</v>
      </c>
      <c r="G9025" s="5" t="s">
        <v>56260</v>
      </c>
      <c r="H9025" s="6" t="s">
        <v>56261</v>
      </c>
      <c r="K9025" s="5" t="s">
        <v>56213</v>
      </c>
      <c r="M9025" s="5" t="s">
        <v>56262</v>
      </c>
      <c r="N9025" s="7" t="s">
        <v>56263</v>
      </c>
      <c r="O9025" s="8" t="str">
        <f>HYPERLINK("https://drive.google.com/file/d/1b3pH_lN2UTJ9Qx9MVtva7n5UrMNz_mYp/view?usp=drivesdk","9024_EDIH KUSYADI _ SERTIFIKAT BerAKHLAK")</f>
        <v>9024_EDIH KUSYADI _ SERTIFIKAT BerAKHLAK</v>
      </c>
      <c r="P9025" s="5" t="s">
        <v>56264</v>
      </c>
    </row>
    <row r="9026">
      <c r="A9026" s="4">
        <v>45534.426391712965</v>
      </c>
      <c r="B9026" s="5" t="s">
        <v>34</v>
      </c>
      <c r="D9026" s="5" t="s">
        <v>1456</v>
      </c>
      <c r="E9026" s="5" t="s">
        <v>56265</v>
      </c>
      <c r="F9026" s="5" t="s">
        <v>120</v>
      </c>
      <c r="G9026" s="5" t="s">
        <v>56266</v>
      </c>
      <c r="H9026" s="6" t="s">
        <v>56267</v>
      </c>
      <c r="K9026" s="5" t="s">
        <v>56213</v>
      </c>
      <c r="M9026" s="5" t="s">
        <v>56268</v>
      </c>
      <c r="N9026" s="7" t="s">
        <v>56269</v>
      </c>
      <c r="O9026" s="8" t="str">
        <f>HYPERLINK("https://drive.google.com/file/d/1wC2EjV_8U_NHxj8TzjaiZsbTVD4Uj7OJ/view?usp=drivesdk","9025_Ahmad Lutfi, S.I.Kom  _ SERTIFIKAT BerAKHLAK")</f>
        <v>9025_Ahmad Lutfi, S.I.Kom  _ SERTIFIKAT BerAKHLAK</v>
      </c>
      <c r="P9026" s="5" t="s">
        <v>56270</v>
      </c>
    </row>
    <row r="9027">
      <c r="A9027" s="4">
        <v>45534.426479456015</v>
      </c>
      <c r="B9027" s="5" t="s">
        <v>34</v>
      </c>
      <c r="D9027" s="5" t="s">
        <v>15401</v>
      </c>
      <c r="E9027" s="5" t="s">
        <v>56271</v>
      </c>
      <c r="F9027" s="5" t="s">
        <v>524</v>
      </c>
      <c r="G9027" s="5" t="s">
        <v>56272</v>
      </c>
      <c r="H9027" s="6" t="s">
        <v>56273</v>
      </c>
      <c r="K9027" s="5" t="s">
        <v>56213</v>
      </c>
      <c r="M9027" s="5" t="s">
        <v>56274</v>
      </c>
      <c r="N9027" s="7" t="s">
        <v>56275</v>
      </c>
      <c r="O9027" s="8" t="str">
        <f>HYPERLINK("https://drive.google.com/file/d/1Ib6jCdX59RP_MXF8aS0gspllZswFOtPM/view?usp=drivesdk","9026_NOFLIN AMD KEP _ SERTIFIKAT BerAKHLAK")</f>
        <v>9026_NOFLIN AMD KEP _ SERTIFIKAT BerAKHLAK</v>
      </c>
      <c r="P9027" s="5" t="s">
        <v>56276</v>
      </c>
    </row>
    <row r="9028">
      <c r="A9028" s="4">
        <v>45534.4265028125</v>
      </c>
      <c r="B9028" s="5" t="s">
        <v>34</v>
      </c>
      <c r="D9028" s="5" t="s">
        <v>10444</v>
      </c>
      <c r="E9028" s="5" t="s">
        <v>56277</v>
      </c>
      <c r="F9028" s="5" t="s">
        <v>108</v>
      </c>
      <c r="G9028" s="5" t="s">
        <v>56278</v>
      </c>
      <c r="H9028" s="6" t="s">
        <v>56279</v>
      </c>
      <c r="K9028" s="5" t="s">
        <v>56213</v>
      </c>
      <c r="M9028" s="5" t="s">
        <v>56280</v>
      </c>
      <c r="N9028" s="7" t="s">
        <v>56281</v>
      </c>
      <c r="O9028" s="8" t="str">
        <f>HYPERLINK("https://drive.google.com/file/d/1lvxfsh9cPC0NasEelLDNhxAMf1gobrLq/view?usp=drivesdk","9027_YANIZAR _ SERTIFIKAT BerAKHLAK")</f>
        <v>9027_YANIZAR _ SERTIFIKAT BerAKHLAK</v>
      </c>
      <c r="P9028" s="5" t="s">
        <v>56282</v>
      </c>
    </row>
    <row r="9029">
      <c r="A9029" s="4">
        <v>45534.42664881944</v>
      </c>
      <c r="B9029" s="5" t="s">
        <v>34</v>
      </c>
      <c r="D9029" s="5" t="s">
        <v>1768</v>
      </c>
      <c r="E9029" s="5" t="s">
        <v>56283</v>
      </c>
      <c r="F9029" s="5" t="s">
        <v>108</v>
      </c>
      <c r="G9029" s="5" t="s">
        <v>56284</v>
      </c>
      <c r="H9029" s="6" t="s">
        <v>56285</v>
      </c>
      <c r="K9029" s="5" t="s">
        <v>56213</v>
      </c>
      <c r="M9029" s="5" t="s">
        <v>56286</v>
      </c>
      <c r="N9029" s="7" t="s">
        <v>56287</v>
      </c>
      <c r="O9029" s="8" t="str">
        <f>HYPERLINK("https://drive.google.com/file/d/1fycOQ5sIGR1FG-JH80b72ZizBHzqjbye/view?usp=drivesdk","9028_NURLELA ANDRIANI _ SERTIFIKAT BerAKHLAK")</f>
        <v>9028_NURLELA ANDRIANI _ SERTIFIKAT BerAKHLAK</v>
      </c>
      <c r="P9029" s="5" t="s">
        <v>56288</v>
      </c>
    </row>
    <row r="9030">
      <c r="A9030" s="4">
        <v>45534.42671684027</v>
      </c>
      <c r="B9030" s="5" t="s">
        <v>34</v>
      </c>
      <c r="D9030" s="5" t="s">
        <v>9394</v>
      </c>
      <c r="E9030" s="5" t="s">
        <v>56289</v>
      </c>
      <c r="F9030" s="5" t="s">
        <v>524</v>
      </c>
      <c r="G9030" s="5" t="s">
        <v>56290</v>
      </c>
      <c r="H9030" s="6" t="s">
        <v>56291</v>
      </c>
      <c r="K9030" s="5" t="s">
        <v>56213</v>
      </c>
      <c r="M9030" s="5" t="s">
        <v>56292</v>
      </c>
      <c r="N9030" s="7" t="s">
        <v>56293</v>
      </c>
      <c r="O9030" s="8" t="str">
        <f>HYPERLINK("https://drive.google.com/file/d/1f8T_q4wiaQ__EjYb1wdtZt9B7uSHxE-f/view?usp=drivesdk","9029_SASRI NOLA SUGESTY  _ SERTIFIKAT BerAKHLAK")</f>
        <v>9029_SASRI NOLA SUGESTY  _ SERTIFIKAT BerAKHLAK</v>
      </c>
      <c r="P9030" s="5" t="s">
        <v>56294</v>
      </c>
    </row>
    <row r="9031" hidden="1">
      <c r="A9031" s="4">
        <v>45534.42673341435</v>
      </c>
      <c r="B9031" s="5" t="s">
        <v>19</v>
      </c>
      <c r="C9031" s="5" t="s">
        <v>292</v>
      </c>
      <c r="E9031" s="5" t="s">
        <v>56295</v>
      </c>
      <c r="F9031" s="5" t="s">
        <v>212</v>
      </c>
      <c r="G9031" s="5" t="s">
        <v>56296</v>
      </c>
      <c r="H9031" s="6" t="s">
        <v>56297</v>
      </c>
      <c r="K9031" s="5" t="s">
        <v>56213</v>
      </c>
      <c r="M9031" s="5" t="s">
        <v>56298</v>
      </c>
      <c r="N9031" s="7" t="s">
        <v>56299</v>
      </c>
      <c r="O9031" s="8" t="str">
        <f>HYPERLINK("https://drive.google.com/file/d/1x-nwAX_ijwFlfnoyH3-evAzHiAotOsNg/view?usp=drivesdk","9030_Rosi Nur Laila, AMd.Keb _ SERTIFIKAT BerAKHLAK")</f>
        <v>9030_Rosi Nur Laila, AMd.Keb _ SERTIFIKAT BerAKHLAK</v>
      </c>
      <c r="P9031" s="5" t="s">
        <v>56300</v>
      </c>
    </row>
    <row r="9032" hidden="1">
      <c r="A9032" s="4">
        <v>45534.42673527778</v>
      </c>
      <c r="B9032" s="5" t="s">
        <v>19</v>
      </c>
      <c r="C9032" s="5" t="s">
        <v>20</v>
      </c>
      <c r="E9032" s="5" t="s">
        <v>56301</v>
      </c>
      <c r="F9032" s="5" t="s">
        <v>37</v>
      </c>
      <c r="G9032" s="5" t="s">
        <v>56302</v>
      </c>
      <c r="H9032" s="6" t="s">
        <v>56303</v>
      </c>
      <c r="K9032" s="5" t="s">
        <v>56213</v>
      </c>
      <c r="M9032" s="5" t="s">
        <v>56304</v>
      </c>
      <c r="N9032" s="7" t="s">
        <v>56305</v>
      </c>
      <c r="O9032" s="8" t="str">
        <f>HYPERLINK("https://drive.google.com/file/d/1ZH3xWb0dwaOvy-KGNSSFv8kUOf_9Ec5m/view?usp=drivesdk","9031_ZULIFANDRO DHARMA PURBA, A.Md. _ SERTIFIKAT BerAKHLAK")</f>
        <v>9031_ZULIFANDRO DHARMA PURBA, A.Md. _ SERTIFIKAT BerAKHLAK</v>
      </c>
      <c r="P9032" s="5" t="s">
        <v>56306</v>
      </c>
    </row>
    <row r="9033" hidden="1">
      <c r="A9033" s="4">
        <v>45534.4267371875</v>
      </c>
      <c r="B9033" s="5" t="s">
        <v>19</v>
      </c>
      <c r="C9033" s="5" t="s">
        <v>292</v>
      </c>
      <c r="E9033" s="5" t="s">
        <v>56307</v>
      </c>
      <c r="F9033" s="5" t="s">
        <v>212</v>
      </c>
      <c r="G9033" s="5" t="s">
        <v>56308</v>
      </c>
      <c r="H9033" s="6" t="s">
        <v>56309</v>
      </c>
      <c r="K9033" s="5" t="s">
        <v>56213</v>
      </c>
      <c r="M9033" s="5" t="s">
        <v>56310</v>
      </c>
      <c r="N9033" s="7" t="s">
        <v>56311</v>
      </c>
      <c r="O9033" s="8" t="str">
        <f>HYPERLINK("https://drive.google.com/file/d/14t-ZVbKc3u_pXi2hBLrHJURfpJf__CCS/view?usp=drivesdk","9032_DWI MUJI RAHAYU _ SERTIFIKAT BerAKHLAK")</f>
        <v>9032_DWI MUJI RAHAYU _ SERTIFIKAT BerAKHLAK</v>
      </c>
      <c r="P9033" s="5" t="s">
        <v>56312</v>
      </c>
    </row>
    <row r="9034">
      <c r="A9034" s="4">
        <v>45534.42679434028</v>
      </c>
      <c r="B9034" s="5" t="s">
        <v>34</v>
      </c>
      <c r="D9034" s="5" t="s">
        <v>267</v>
      </c>
      <c r="E9034" s="5" t="s">
        <v>56313</v>
      </c>
      <c r="F9034" s="5" t="s">
        <v>375</v>
      </c>
      <c r="G9034" s="5" t="s">
        <v>56314</v>
      </c>
      <c r="H9034" s="6" t="s">
        <v>56315</v>
      </c>
      <c r="K9034" s="5" t="s">
        <v>56213</v>
      </c>
      <c r="M9034" s="5" t="s">
        <v>56316</v>
      </c>
      <c r="N9034" s="7" t="s">
        <v>56317</v>
      </c>
      <c r="O9034" s="8" t="str">
        <f>HYPERLINK("https://drive.google.com/file/d/1x_-lcduVUKIH_h_rLwOgMFDOqWsNXAL0/view?usp=drivesdk","9033_BAMBANG SUHARJA, S.T. _ SERTIFIKAT BerAKHLAK")</f>
        <v>9033_BAMBANG SUHARJA, S.T. _ SERTIFIKAT BerAKHLAK</v>
      </c>
      <c r="P9034" s="5" t="s">
        <v>56318</v>
      </c>
    </row>
    <row r="9035">
      <c r="A9035" s="4">
        <v>45534.42687523148</v>
      </c>
      <c r="B9035" s="5" t="s">
        <v>34</v>
      </c>
      <c r="D9035" s="5" t="s">
        <v>1558</v>
      </c>
      <c r="E9035" s="5" t="s">
        <v>56319</v>
      </c>
      <c r="F9035" s="5" t="s">
        <v>108</v>
      </c>
      <c r="G9035" s="5" t="s">
        <v>56320</v>
      </c>
      <c r="H9035" s="6" t="s">
        <v>56321</v>
      </c>
      <c r="K9035" s="5" t="s">
        <v>56213</v>
      </c>
      <c r="M9035" s="5" t="s">
        <v>56322</v>
      </c>
      <c r="N9035" s="7" t="s">
        <v>56323</v>
      </c>
      <c r="O9035" s="8" t="str">
        <f>HYPERLINK("https://drive.google.com/file/d/1-RDyrmNK2tRs0xut119PJ69QOT59_FAP/view?usp=drivesdk","9034_ERI KARTIKA, A.Md _ SERTIFIKAT BerAKHLAK")</f>
        <v>9034_ERI KARTIKA, A.Md _ SERTIFIKAT BerAKHLAK</v>
      </c>
      <c r="P9035" s="5" t="s">
        <v>56324</v>
      </c>
    </row>
    <row r="9036">
      <c r="A9036" s="4">
        <v>45534.426977615745</v>
      </c>
      <c r="B9036" s="5" t="s">
        <v>34</v>
      </c>
      <c r="D9036" s="5" t="s">
        <v>1206</v>
      </c>
      <c r="E9036" s="5" t="s">
        <v>56325</v>
      </c>
      <c r="F9036" s="5" t="s">
        <v>212</v>
      </c>
      <c r="G9036" s="5" t="s">
        <v>56326</v>
      </c>
      <c r="H9036" s="6" t="s">
        <v>56327</v>
      </c>
      <c r="K9036" s="5" t="s">
        <v>56213</v>
      </c>
      <c r="M9036" s="5" t="s">
        <v>56328</v>
      </c>
      <c r="N9036" s="7" t="s">
        <v>56329</v>
      </c>
      <c r="O9036" s="8" t="str">
        <f>HYPERLINK("https://drive.google.com/file/d/1m8y8prWDrZj9ZfiIN6eAZjB7BLlp10Sw/view?usp=drivesdk","9035_EKO HENDRA CIPTA _ SERTIFIKAT BerAKHLAK")</f>
        <v>9035_EKO HENDRA CIPTA _ SERTIFIKAT BerAKHLAK</v>
      </c>
      <c r="P9036" s="5" t="s">
        <v>56330</v>
      </c>
    </row>
    <row r="9037">
      <c r="A9037" s="4">
        <v>45534.426985729166</v>
      </c>
      <c r="B9037" s="5" t="s">
        <v>34</v>
      </c>
      <c r="D9037" s="5" t="s">
        <v>1206</v>
      </c>
      <c r="E9037" s="5" t="s">
        <v>49640</v>
      </c>
      <c r="F9037" s="5" t="s">
        <v>37</v>
      </c>
      <c r="G9037" s="5" t="s">
        <v>56331</v>
      </c>
      <c r="H9037" s="6" t="s">
        <v>56332</v>
      </c>
      <c r="K9037" s="5" t="s">
        <v>56213</v>
      </c>
      <c r="M9037" s="5" t="s">
        <v>56333</v>
      </c>
      <c r="N9037" s="7" t="s">
        <v>56334</v>
      </c>
      <c r="O9037" s="8" t="str">
        <f>HYPERLINK("https://drive.google.com/file/d/10qDoC7yoNOXwS2pJUinvbZWfraJ1nzwF/view?usp=drivesdk","9036_MOHAMAD MALIK _ SERTIFIKAT BerAKHLAK")</f>
        <v>9036_MOHAMAD MALIK _ SERTIFIKAT BerAKHLAK</v>
      </c>
      <c r="P9037" s="5" t="s">
        <v>56335</v>
      </c>
    </row>
    <row r="9038">
      <c r="A9038" s="4">
        <v>45534.42705003472</v>
      </c>
      <c r="B9038" s="5" t="s">
        <v>34</v>
      </c>
      <c r="D9038" s="5" t="s">
        <v>4775</v>
      </c>
      <c r="E9038" s="5" t="s">
        <v>56336</v>
      </c>
      <c r="F9038" s="5" t="s">
        <v>212</v>
      </c>
      <c r="G9038" s="5" t="s">
        <v>56337</v>
      </c>
      <c r="H9038" s="6" t="s">
        <v>56338</v>
      </c>
      <c r="K9038" s="5" t="s">
        <v>56213</v>
      </c>
      <c r="M9038" s="5" t="s">
        <v>56339</v>
      </c>
      <c r="N9038" s="7" t="s">
        <v>56340</v>
      </c>
      <c r="O9038" s="8" t="str">
        <f>HYPERLINK("https://drive.google.com/file/d/1T-X5aaCCj725mckjuw5niMI_aRj8JfEA/view?usp=drivesdk","9037_MULATIFAH _ SERTIFIKAT BerAKHLAK")</f>
        <v>9037_MULATIFAH _ SERTIFIKAT BerAKHLAK</v>
      </c>
      <c r="P9038" s="5" t="s">
        <v>56341</v>
      </c>
    </row>
    <row r="9039">
      <c r="A9039" s="4">
        <v>45534.4271203588</v>
      </c>
      <c r="B9039" s="5" t="s">
        <v>34</v>
      </c>
      <c r="D9039" s="5" t="s">
        <v>1206</v>
      </c>
      <c r="E9039" s="5" t="s">
        <v>56342</v>
      </c>
      <c r="F9039" s="5" t="s">
        <v>212</v>
      </c>
      <c r="G9039" s="5" t="s">
        <v>56343</v>
      </c>
      <c r="H9039" s="6" t="s">
        <v>56344</v>
      </c>
      <c r="K9039" s="5" t="s">
        <v>56213</v>
      </c>
      <c r="M9039" s="5" t="s">
        <v>56345</v>
      </c>
      <c r="N9039" s="7" t="s">
        <v>56346</v>
      </c>
      <c r="O9039" s="8" t="str">
        <f>HYPERLINK("https://drive.google.com/file/d/1Ixnc6RsBbnT9xO5Lxpd_x8IESxdfgDLN/view?usp=drivesdk","9038_ABDUL AZIS _ SERTIFIKAT BerAKHLAK")</f>
        <v>9038_ABDUL AZIS _ SERTIFIKAT BerAKHLAK</v>
      </c>
      <c r="P9039" s="5" t="s">
        <v>56347</v>
      </c>
    </row>
    <row r="9040">
      <c r="A9040" s="4">
        <v>45534.427178935184</v>
      </c>
      <c r="B9040" s="5" t="s">
        <v>34</v>
      </c>
      <c r="D9040" s="5" t="s">
        <v>2903</v>
      </c>
      <c r="E9040" s="5" t="s">
        <v>56348</v>
      </c>
      <c r="F9040" s="5" t="s">
        <v>375</v>
      </c>
      <c r="G9040" s="5" t="s">
        <v>56349</v>
      </c>
      <c r="H9040" s="6" t="s">
        <v>56350</v>
      </c>
      <c r="K9040" s="5" t="s">
        <v>56213</v>
      </c>
      <c r="M9040" s="5" t="s">
        <v>56351</v>
      </c>
      <c r="N9040" s="7" t="s">
        <v>56352</v>
      </c>
      <c r="O9040" s="8" t="str">
        <f>HYPERLINK("https://drive.google.com/file/d/1QN-gAEOYQOUtlMLuqkEKG9wDt3NE_YQY/view?usp=drivesdk","9039_MAGDALENA MARDIANI MANURUNG, SKM _ SERTIFIKAT BerAKHLAK")</f>
        <v>9039_MAGDALENA MARDIANI MANURUNG, SKM _ SERTIFIKAT BerAKHLAK</v>
      </c>
      <c r="P9040" s="5" t="s">
        <v>56353</v>
      </c>
    </row>
    <row r="9041" hidden="1">
      <c r="A9041" s="4">
        <v>45534.427205370375</v>
      </c>
      <c r="B9041" s="5" t="s">
        <v>19</v>
      </c>
      <c r="C9041" s="5" t="s">
        <v>3301</v>
      </c>
      <c r="E9041" s="5" t="s">
        <v>56354</v>
      </c>
      <c r="F9041" s="5" t="s">
        <v>120</v>
      </c>
      <c r="G9041" s="5" t="s">
        <v>56355</v>
      </c>
      <c r="H9041" s="6" t="s">
        <v>56356</v>
      </c>
      <c r="K9041" s="5" t="s">
        <v>56213</v>
      </c>
      <c r="M9041" s="5" t="s">
        <v>56357</v>
      </c>
      <c r="N9041" s="7" t="s">
        <v>56358</v>
      </c>
      <c r="O9041" s="8" t="str">
        <f>HYPERLINK("https://drive.google.com/file/d/1HHx-qdFIyn2TI_qVtgwtbbjqVqAxQia9/view?usp=drivesdk","9040_HARYADI ICHSAN, S.Kom _ SERTIFIKAT BerAKHLAK")</f>
        <v>9040_HARYADI ICHSAN, S.Kom _ SERTIFIKAT BerAKHLAK</v>
      </c>
      <c r="P9041" s="5" t="s">
        <v>56359</v>
      </c>
    </row>
    <row r="9042">
      <c r="A9042" s="4">
        <v>45534.427206782406</v>
      </c>
      <c r="B9042" s="5" t="s">
        <v>34</v>
      </c>
      <c r="D9042" s="5" t="s">
        <v>35</v>
      </c>
      <c r="E9042" s="5" t="s">
        <v>56360</v>
      </c>
      <c r="F9042" s="5" t="s">
        <v>37</v>
      </c>
      <c r="G9042" s="5" t="s">
        <v>56361</v>
      </c>
      <c r="H9042" s="6" t="s">
        <v>56362</v>
      </c>
      <c r="K9042" s="5" t="s">
        <v>56213</v>
      </c>
      <c r="M9042" s="5" t="s">
        <v>56363</v>
      </c>
      <c r="N9042" s="7" t="s">
        <v>56364</v>
      </c>
      <c r="O9042" s="8" t="str">
        <f>HYPERLINK("https://drive.google.com/file/d/1uksfAUD7m9Ms8YjI9bftDHY4VsPAGF7g/view?usp=drivesdk","9041_PITRIA AGUSTINA, S.M _ SERTIFIKAT BerAKHLAK")</f>
        <v>9041_PITRIA AGUSTINA, S.M _ SERTIFIKAT BerAKHLAK</v>
      </c>
      <c r="P9042" s="5" t="s">
        <v>56365</v>
      </c>
    </row>
    <row r="9043">
      <c r="A9043" s="4">
        <v>45534.42724619213</v>
      </c>
      <c r="B9043" s="5" t="s">
        <v>34</v>
      </c>
      <c r="D9043" s="5" t="s">
        <v>10444</v>
      </c>
      <c r="E9043" s="5" t="s">
        <v>56366</v>
      </c>
      <c r="F9043" s="5" t="s">
        <v>715</v>
      </c>
      <c r="G9043" s="5" t="s">
        <v>56367</v>
      </c>
      <c r="H9043" s="6" t="s">
        <v>56368</v>
      </c>
      <c r="K9043" s="5" t="s">
        <v>56213</v>
      </c>
      <c r="M9043" s="5" t="s">
        <v>56369</v>
      </c>
      <c r="N9043" s="7" t="s">
        <v>56370</v>
      </c>
      <c r="O9043" s="8" t="str">
        <f>HYPERLINK("https://drive.google.com/file/d/1agprY4Bj5twsjbODaZzWYuVuiGd5T_94/view?usp=drivesdk","9042_Septi Ryana Andaresta _ SERTIFIKAT BerAKHLAK")</f>
        <v>9042_Septi Ryana Andaresta _ SERTIFIKAT BerAKHLAK</v>
      </c>
      <c r="P9043" s="5" t="s">
        <v>51203</v>
      </c>
    </row>
    <row r="9044" hidden="1">
      <c r="A9044" s="4">
        <v>45534.427339814814</v>
      </c>
      <c r="B9044" s="5" t="s">
        <v>19</v>
      </c>
      <c r="C9044" s="5" t="s">
        <v>292</v>
      </c>
      <c r="E9044" s="5" t="s">
        <v>56371</v>
      </c>
      <c r="F9044" s="5" t="s">
        <v>37</v>
      </c>
      <c r="G9044" s="5" t="s">
        <v>56372</v>
      </c>
      <c r="H9044" s="6" t="s">
        <v>56373</v>
      </c>
      <c r="K9044" s="5" t="s">
        <v>56213</v>
      </c>
      <c r="M9044" s="5" t="s">
        <v>56374</v>
      </c>
      <c r="N9044" s="7" t="s">
        <v>56375</v>
      </c>
      <c r="O9044" s="8" t="str">
        <f>HYPERLINK("https://drive.google.com/file/d/1duhdA1h-ID5LjHQmCx_D-nZI-TyIWd-Q/view?usp=drivesdk","9043_ANNISA ISTIQOMAH, A.Md. Kep _ SERTIFIKAT BerAKHLAK")</f>
        <v>9043_ANNISA ISTIQOMAH, A.Md. Kep _ SERTIFIKAT BerAKHLAK</v>
      </c>
      <c r="P9044" s="5" t="s">
        <v>51203</v>
      </c>
    </row>
    <row r="9045">
      <c r="A9045" s="4">
        <v>45534.42734071759</v>
      </c>
      <c r="B9045" s="5" t="s">
        <v>34</v>
      </c>
      <c r="D9045" s="5" t="s">
        <v>9020</v>
      </c>
      <c r="E9045" s="5" t="s">
        <v>56376</v>
      </c>
      <c r="F9045" s="5" t="s">
        <v>212</v>
      </c>
      <c r="G9045" s="5" t="s">
        <v>56377</v>
      </c>
      <c r="H9045" s="6" t="s">
        <v>56378</v>
      </c>
      <c r="K9045" s="5" t="s">
        <v>56213</v>
      </c>
      <c r="M9045" s="5" t="s">
        <v>56379</v>
      </c>
      <c r="N9045" s="7" t="s">
        <v>56380</v>
      </c>
      <c r="O9045" s="8" t="str">
        <f>HYPERLINK("https://drive.google.com/file/d/1ovm6Eygydh03d0AU1Sbodia6loROuERo/view?usp=drivesdk","9044_ALASTA TARIGAN _ SERTIFIKAT BerAKHLAK")</f>
        <v>9044_ALASTA TARIGAN _ SERTIFIKAT BerAKHLAK</v>
      </c>
      <c r="P9045" s="5" t="s">
        <v>56381</v>
      </c>
    </row>
    <row r="9046">
      <c r="A9046" s="4">
        <v>45534.42742782408</v>
      </c>
      <c r="B9046" s="5" t="s">
        <v>34</v>
      </c>
      <c r="D9046" s="5" t="s">
        <v>1206</v>
      </c>
      <c r="E9046" s="5" t="s">
        <v>56382</v>
      </c>
      <c r="F9046" s="5" t="s">
        <v>212</v>
      </c>
      <c r="G9046" s="5" t="s">
        <v>56383</v>
      </c>
      <c r="H9046" s="6" t="s">
        <v>56384</v>
      </c>
      <c r="K9046" s="5" t="s">
        <v>56213</v>
      </c>
      <c r="M9046" s="5" t="s">
        <v>56385</v>
      </c>
      <c r="N9046" s="7" t="s">
        <v>56386</v>
      </c>
      <c r="O9046" s="8" t="str">
        <f>HYPERLINK("https://drive.google.com/file/d/1fjGd-qGykAJIFNk37P3Y8B5DkB6bFJU8/view?usp=drivesdk","9045_ISNAINI DAMAYANTI _ SERTIFIKAT BerAKHLAK")</f>
        <v>9045_ISNAINI DAMAYANTI _ SERTIFIKAT BerAKHLAK</v>
      </c>
      <c r="P9046" s="5" t="s">
        <v>56381</v>
      </c>
    </row>
    <row r="9047">
      <c r="A9047" s="4">
        <v>45534.42743627315</v>
      </c>
      <c r="B9047" s="5" t="s">
        <v>34</v>
      </c>
      <c r="D9047" s="5" t="s">
        <v>9394</v>
      </c>
      <c r="E9047" s="5" t="s">
        <v>56387</v>
      </c>
      <c r="F9047" s="5" t="s">
        <v>37</v>
      </c>
      <c r="G9047" s="5" t="s">
        <v>56388</v>
      </c>
      <c r="H9047" s="6" t="s">
        <v>56389</v>
      </c>
      <c r="K9047" s="5" t="s">
        <v>56213</v>
      </c>
      <c r="M9047" s="5" t="s">
        <v>56390</v>
      </c>
      <c r="N9047" s="7" t="s">
        <v>56391</v>
      </c>
      <c r="O9047" s="8" t="str">
        <f>HYPERLINK("https://drive.google.com/file/d/1qQCKfIk0O8b7xVrKzvr5IzPB8PXikMt5/view?usp=drivesdk","9046_TIO MARIANA  _ SERTIFIKAT BerAKHLAK")</f>
        <v>9046_TIO MARIANA  _ SERTIFIKAT BerAKHLAK</v>
      </c>
      <c r="P9047" s="5" t="s">
        <v>56381</v>
      </c>
    </row>
    <row r="9048">
      <c r="A9048" s="4">
        <v>45534.42752896991</v>
      </c>
      <c r="B9048" s="5" t="s">
        <v>34</v>
      </c>
      <c r="D9048" s="5" t="s">
        <v>1456</v>
      </c>
      <c r="E9048" s="5" t="s">
        <v>49926</v>
      </c>
      <c r="F9048" s="5" t="s">
        <v>37</v>
      </c>
      <c r="G9048" s="5" t="s">
        <v>56392</v>
      </c>
      <c r="H9048" s="6" t="s">
        <v>56393</v>
      </c>
      <c r="K9048" s="5" t="s">
        <v>56213</v>
      </c>
      <c r="M9048" s="5" t="s">
        <v>56394</v>
      </c>
      <c r="N9048" s="7" t="s">
        <v>56395</v>
      </c>
      <c r="O9048" s="8" t="str">
        <f>HYPERLINK("https://drive.google.com/file/d/1hAC40M1wHjO9aaNEVEb8meSKxr0k3uQ-/view?usp=drivesdk","9047_MUGIONO _ SERTIFIKAT BerAKHLAK")</f>
        <v>9047_MUGIONO _ SERTIFIKAT BerAKHLAK</v>
      </c>
      <c r="P9048" s="5" t="s">
        <v>56381</v>
      </c>
    </row>
    <row r="9049" hidden="1">
      <c r="A9049" s="4">
        <v>45534.427574166664</v>
      </c>
      <c r="B9049" s="5" t="s">
        <v>19</v>
      </c>
      <c r="C9049" s="5" t="s">
        <v>20</v>
      </c>
      <c r="E9049" s="5" t="s">
        <v>56396</v>
      </c>
      <c r="F9049" s="5" t="s">
        <v>108</v>
      </c>
      <c r="G9049" s="5" t="s">
        <v>56397</v>
      </c>
      <c r="H9049" s="6" t="s">
        <v>56398</v>
      </c>
      <c r="K9049" s="5" t="s">
        <v>56399</v>
      </c>
      <c r="M9049" s="5" t="s">
        <v>56400</v>
      </c>
      <c r="N9049" s="7" t="s">
        <v>56401</v>
      </c>
      <c r="O9049" s="8" t="str">
        <f>HYPERLINK("https://drive.google.com/file/d/1XbFP3jD3bcp6xWAF1NDCTAEeiTBsvJuB/view?usp=drivesdk","9048_ADENAN _ SERTIFIKAT BerAKHLAK")</f>
        <v>9048_ADENAN _ SERTIFIKAT BerAKHLAK</v>
      </c>
      <c r="P9049" s="5" t="s">
        <v>56381</v>
      </c>
    </row>
    <row r="9050">
      <c r="A9050" s="4">
        <v>45534.42763020833</v>
      </c>
      <c r="B9050" s="5" t="s">
        <v>34</v>
      </c>
      <c r="D9050" s="5" t="s">
        <v>701</v>
      </c>
      <c r="E9050" s="5" t="s">
        <v>56402</v>
      </c>
      <c r="F9050" s="5" t="s">
        <v>375</v>
      </c>
      <c r="G9050" s="5" t="s">
        <v>56403</v>
      </c>
      <c r="H9050" s="6" t="s">
        <v>56404</v>
      </c>
      <c r="K9050" s="5" t="s">
        <v>56405</v>
      </c>
      <c r="M9050" s="5" t="s">
        <v>56406</v>
      </c>
      <c r="N9050" s="7" t="s">
        <v>56407</v>
      </c>
      <c r="O9050" s="8" t="str">
        <f>HYPERLINK("https://drive.google.com/file/d/1zyFMqjyuSPG-kkvo7bu_fmLxJ64WQfyq/view?usp=drivesdk","9049_DARIUS _ SERTIFIKAT BerAKHLAK")</f>
        <v>9049_DARIUS _ SERTIFIKAT BerAKHLAK</v>
      </c>
      <c r="P9050" s="5" t="s">
        <v>56408</v>
      </c>
    </row>
    <row r="9051">
      <c r="A9051" s="4">
        <v>45534.427683842594</v>
      </c>
      <c r="B9051" s="5" t="s">
        <v>34</v>
      </c>
      <c r="D9051" s="5" t="s">
        <v>9020</v>
      </c>
      <c r="E9051" s="5" t="s">
        <v>36570</v>
      </c>
      <c r="F9051" s="5" t="s">
        <v>212</v>
      </c>
      <c r="G9051" s="5" t="s">
        <v>56409</v>
      </c>
      <c r="H9051" s="6" t="s">
        <v>56410</v>
      </c>
      <c r="K9051" s="5" t="s">
        <v>56411</v>
      </c>
      <c r="M9051" s="5" t="s">
        <v>56412</v>
      </c>
      <c r="N9051" s="7" t="s">
        <v>56413</v>
      </c>
      <c r="O9051" s="8" t="str">
        <f>HYPERLINK("https://drive.google.com/file/d/1uhzqawluHzTnnE4nHFkwBBs_HnbATBQJ/view?usp=drivesdk","9050_JOKO SANTOSO _ SERTIFIKAT BerAKHLAK")</f>
        <v>9050_JOKO SANTOSO _ SERTIFIKAT BerAKHLAK</v>
      </c>
      <c r="P9051" s="5" t="s">
        <v>56408</v>
      </c>
    </row>
    <row r="9052" hidden="1">
      <c r="A9052" s="4">
        <v>45534.427775902775</v>
      </c>
      <c r="B9052" s="5" t="s">
        <v>19</v>
      </c>
      <c r="C9052" s="5" t="s">
        <v>292</v>
      </c>
      <c r="E9052" s="5" t="s">
        <v>56414</v>
      </c>
      <c r="F9052" s="5" t="s">
        <v>524</v>
      </c>
      <c r="G9052" s="5" t="s">
        <v>56415</v>
      </c>
      <c r="H9052" s="6" t="s">
        <v>56416</v>
      </c>
      <c r="K9052" s="5" t="s">
        <v>56417</v>
      </c>
      <c r="M9052" s="5" t="s">
        <v>56418</v>
      </c>
      <c r="N9052" s="7" t="s">
        <v>56419</v>
      </c>
      <c r="O9052" s="8" t="str">
        <f>HYPERLINK("https://drive.google.com/file/d/1BIT6HI68PHCNqhjra2oH3auiHzrQ0Dr_/view?usp=drivesdk","9051_TRIONO, S.E. _ SERTIFIKAT BerAKHLAK")</f>
        <v>9051_TRIONO, S.E. _ SERTIFIKAT BerAKHLAK</v>
      </c>
      <c r="P9052" s="5" t="s">
        <v>56408</v>
      </c>
    </row>
    <row r="9053">
      <c r="A9053" s="4">
        <v>45534.427790601854</v>
      </c>
      <c r="B9053" s="5" t="s">
        <v>34</v>
      </c>
      <c r="D9053" s="5" t="s">
        <v>4775</v>
      </c>
      <c r="E9053" s="5" t="s">
        <v>46198</v>
      </c>
      <c r="F9053" s="5" t="s">
        <v>212</v>
      </c>
      <c r="G9053" s="5" t="s">
        <v>56420</v>
      </c>
      <c r="H9053" s="6" t="s">
        <v>56421</v>
      </c>
      <c r="K9053" s="5" t="s">
        <v>56422</v>
      </c>
      <c r="M9053" s="5" t="s">
        <v>56423</v>
      </c>
      <c r="N9053" s="7" t="s">
        <v>56424</v>
      </c>
      <c r="O9053" s="8" t="str">
        <f>HYPERLINK("https://drive.google.com/file/d/1X5c2JPIHpWRqDCcs96_6HMPGWZw7EAkT/view?usp=drivesdk","9052_ADY PRASETYO _ SERTIFIKAT BerAKHLAK")</f>
        <v>9052_ADY PRASETYO _ SERTIFIKAT BerAKHLAK</v>
      </c>
      <c r="P9053" s="5" t="s">
        <v>56408</v>
      </c>
    </row>
    <row r="9054">
      <c r="A9054" s="4">
        <v>45534.42790815972</v>
      </c>
      <c r="B9054" s="5" t="s">
        <v>34</v>
      </c>
      <c r="D9054" s="5" t="s">
        <v>9394</v>
      </c>
      <c r="E9054" s="5" t="s">
        <v>56425</v>
      </c>
      <c r="F9054" s="5" t="s">
        <v>72</v>
      </c>
      <c r="G9054" s="5" t="s">
        <v>56426</v>
      </c>
      <c r="H9054" s="6" t="s">
        <v>56427</v>
      </c>
      <c r="K9054" s="5" t="s">
        <v>56428</v>
      </c>
      <c r="M9054" s="5" t="s">
        <v>56429</v>
      </c>
      <c r="N9054" s="7" t="s">
        <v>56430</v>
      </c>
      <c r="O9054" s="8" t="str">
        <f>HYPERLINK("https://drive.google.com/file/d/1AnPMpdlCEmeRFJEZxtTynzO--E6qgUFB/view?usp=drivesdk","9053_MINARIA SIAHAAN AMR. _ SERTIFIKAT BerAKHLAK")</f>
        <v>9053_MINARIA SIAHAAN AMR. _ SERTIFIKAT BerAKHLAK</v>
      </c>
      <c r="P9054" s="5" t="s">
        <v>56431</v>
      </c>
    </row>
    <row r="9055">
      <c r="A9055" s="4">
        <v>45534.427942395836</v>
      </c>
      <c r="B9055" s="5" t="s">
        <v>34</v>
      </c>
      <c r="D9055" s="5" t="s">
        <v>35</v>
      </c>
      <c r="E9055" s="5" t="s">
        <v>56432</v>
      </c>
      <c r="F9055" s="5" t="s">
        <v>37</v>
      </c>
      <c r="G9055" s="5" t="s">
        <v>56433</v>
      </c>
      <c r="H9055" s="6" t="s">
        <v>56434</v>
      </c>
      <c r="K9055" s="5" t="s">
        <v>56428</v>
      </c>
      <c r="M9055" s="5" t="s">
        <v>56435</v>
      </c>
      <c r="N9055" s="7" t="s">
        <v>56436</v>
      </c>
      <c r="O9055" s="8" t="str">
        <f>HYPERLINK("https://drive.google.com/file/d/1qu4nOG_zwQ9MG29rdjIdN-VE2chj8Vbt/view?usp=drivesdk","9054_DERRY FAIZAL, A.Md. _ SERTIFIKAT BerAKHLAK")</f>
        <v>9054_DERRY FAIZAL, A.Md. _ SERTIFIKAT BerAKHLAK</v>
      </c>
      <c r="P9055" s="5" t="s">
        <v>56431</v>
      </c>
    </row>
    <row r="9056">
      <c r="A9056" s="4">
        <v>45534.42798201389</v>
      </c>
      <c r="B9056" s="5" t="s">
        <v>34</v>
      </c>
      <c r="D9056" s="5" t="s">
        <v>2903</v>
      </c>
      <c r="E9056" s="5" t="s">
        <v>56437</v>
      </c>
      <c r="F9056" s="5" t="s">
        <v>37</v>
      </c>
      <c r="G9056" s="5" t="s">
        <v>56438</v>
      </c>
      <c r="H9056" s="6" t="s">
        <v>56439</v>
      </c>
      <c r="K9056" s="5" t="s">
        <v>56440</v>
      </c>
      <c r="M9056" s="5" t="s">
        <v>56441</v>
      </c>
      <c r="N9056" s="7" t="s">
        <v>56442</v>
      </c>
      <c r="O9056" s="8" t="str">
        <f>HYPERLINK("https://drive.google.com/file/d/134aftjCWRRp9Qb3B9XEL3KSJbJdY0KR7/view?usp=drivesdk","9055_BASRIYANTO _ SERTIFIKAT BerAKHLAK")</f>
        <v>9055_BASRIYANTO _ SERTIFIKAT BerAKHLAK</v>
      </c>
      <c r="P9056" s="5" t="s">
        <v>56431</v>
      </c>
    </row>
    <row r="9057">
      <c r="A9057" s="4">
        <v>45534.42807460648</v>
      </c>
      <c r="B9057" s="5" t="s">
        <v>34</v>
      </c>
      <c r="D9057" s="5" t="s">
        <v>35</v>
      </c>
      <c r="E9057" s="5" t="s">
        <v>56443</v>
      </c>
      <c r="F9057" s="5" t="s">
        <v>37</v>
      </c>
      <c r="G9057" s="5" t="s">
        <v>56444</v>
      </c>
      <c r="H9057" s="6" t="s">
        <v>56445</v>
      </c>
      <c r="K9057" s="5" t="s">
        <v>56446</v>
      </c>
      <c r="M9057" s="5" t="s">
        <v>56447</v>
      </c>
      <c r="N9057" s="7" t="s">
        <v>56448</v>
      </c>
      <c r="O9057" s="8" t="str">
        <f>HYPERLINK("https://drive.google.com/file/d/1T59FBCYebe5ztDrUumzcWbcBgds20kkC/view?usp=drivesdk","9056_UDIN SAPRUDIN _ SERTIFIKAT BerAKHLAK")</f>
        <v>9056_UDIN SAPRUDIN _ SERTIFIKAT BerAKHLAK</v>
      </c>
      <c r="P9057" s="5" t="s">
        <v>56431</v>
      </c>
    </row>
    <row r="9058">
      <c r="A9058" s="4">
        <v>45534.42809458333</v>
      </c>
      <c r="B9058" s="5" t="s">
        <v>34</v>
      </c>
      <c r="D9058" s="5" t="s">
        <v>1206</v>
      </c>
      <c r="E9058" s="5" t="s">
        <v>56449</v>
      </c>
      <c r="F9058" s="5" t="s">
        <v>120</v>
      </c>
      <c r="G9058" s="5" t="s">
        <v>56450</v>
      </c>
      <c r="H9058" s="6" t="s">
        <v>56451</v>
      </c>
      <c r="K9058" s="5" t="s">
        <v>56452</v>
      </c>
      <c r="M9058" s="5" t="s">
        <v>56453</v>
      </c>
      <c r="N9058" s="7" t="s">
        <v>56454</v>
      </c>
      <c r="O9058" s="8" t="str">
        <f>HYPERLINK("https://drive.google.com/file/d/1busYYbtOZPMLgRIGWck1LsfLI2q4Z_L5/view?usp=drivesdk","9057_ERIK PUSPITA SARI _ SERTIFIKAT BerAKHLAK")</f>
        <v>9057_ERIK PUSPITA SARI _ SERTIFIKAT BerAKHLAK</v>
      </c>
      <c r="P9058" s="5" t="s">
        <v>56431</v>
      </c>
    </row>
    <row r="9059">
      <c r="A9059" s="4">
        <v>45534.42812113426</v>
      </c>
      <c r="B9059" s="5" t="s">
        <v>34</v>
      </c>
      <c r="D9059" s="5" t="s">
        <v>1206</v>
      </c>
      <c r="E9059" s="5" t="s">
        <v>56455</v>
      </c>
      <c r="F9059" s="5" t="s">
        <v>212</v>
      </c>
      <c r="G9059" s="5" t="s">
        <v>56456</v>
      </c>
      <c r="H9059" s="6" t="s">
        <v>56457</v>
      </c>
      <c r="K9059" s="5" t="s">
        <v>56452</v>
      </c>
      <c r="M9059" s="5" t="s">
        <v>56458</v>
      </c>
      <c r="N9059" s="7" t="s">
        <v>56459</v>
      </c>
      <c r="O9059" s="8" t="str">
        <f>HYPERLINK("https://drive.google.com/file/d/1vnIruCc0S9YL881EaL2cQ5HgeAbO74gl/view?usp=drivesdk","9058_PNS SANTO _ SERTIFIKAT BerAKHLAK")</f>
        <v>9058_PNS SANTO _ SERTIFIKAT BerAKHLAK</v>
      </c>
      <c r="P9059" s="5" t="s">
        <v>56460</v>
      </c>
    </row>
    <row r="9060">
      <c r="A9060" s="4">
        <v>45534.428182592594</v>
      </c>
      <c r="B9060" s="5" t="s">
        <v>34</v>
      </c>
      <c r="D9060" s="5" t="s">
        <v>580</v>
      </c>
      <c r="E9060" s="5" t="s">
        <v>56461</v>
      </c>
      <c r="F9060" s="5" t="s">
        <v>212</v>
      </c>
      <c r="G9060" s="5" t="s">
        <v>56462</v>
      </c>
      <c r="H9060" s="6" t="s">
        <v>56463</v>
      </c>
      <c r="K9060" s="5" t="s">
        <v>56464</v>
      </c>
      <c r="M9060" s="5" t="s">
        <v>56465</v>
      </c>
      <c r="N9060" s="7" t="s">
        <v>56466</v>
      </c>
      <c r="O9060" s="8" t="str">
        <f>HYPERLINK("https://drive.google.com/file/d/1Kmmr8vxq05RmKPlgaTAuEs9FoJIb-Bmi/view?usp=drivesdk","9059_I WAYAN MUDASTRA _ SERTIFIKAT BerAKHLAK")</f>
        <v>9059_I WAYAN MUDASTRA _ SERTIFIKAT BerAKHLAK</v>
      </c>
      <c r="P9060" s="5" t="s">
        <v>56460</v>
      </c>
    </row>
    <row r="9061">
      <c r="A9061" s="4">
        <v>45534.42819799768</v>
      </c>
      <c r="B9061" s="5" t="s">
        <v>34</v>
      </c>
      <c r="D9061" s="5" t="s">
        <v>1206</v>
      </c>
      <c r="E9061" s="5" t="s">
        <v>56467</v>
      </c>
      <c r="F9061" s="5" t="s">
        <v>72</v>
      </c>
      <c r="G9061" s="5" t="s">
        <v>56468</v>
      </c>
      <c r="H9061" s="6" t="s">
        <v>56469</v>
      </c>
      <c r="K9061" s="5" t="s">
        <v>56464</v>
      </c>
      <c r="M9061" s="5" t="s">
        <v>56470</v>
      </c>
      <c r="N9061" s="7" t="s">
        <v>56471</v>
      </c>
      <c r="O9061" s="8" t="str">
        <f>HYPERLINK("https://drive.google.com/file/d/1r8BOw5lk376G7_Xn7D3xOXqVFykjFobM/view?usp=drivesdk","9060_HERI SETYONO _ SERTIFIKAT BerAKHLAK")</f>
        <v>9060_HERI SETYONO _ SERTIFIKAT BerAKHLAK</v>
      </c>
      <c r="P9061" s="5" t="s">
        <v>56460</v>
      </c>
    </row>
    <row r="9062" hidden="1">
      <c r="A9062" s="4">
        <v>45534.42825078704</v>
      </c>
      <c r="B9062" s="5" t="s">
        <v>19</v>
      </c>
      <c r="C9062" s="5" t="s">
        <v>40230</v>
      </c>
      <c r="E9062" s="5" t="s">
        <v>56472</v>
      </c>
      <c r="F9062" s="5" t="s">
        <v>120</v>
      </c>
      <c r="G9062" s="5" t="s">
        <v>56473</v>
      </c>
      <c r="H9062" s="6" t="s">
        <v>56474</v>
      </c>
      <c r="K9062" s="5" t="s">
        <v>56475</v>
      </c>
      <c r="M9062" s="5" t="s">
        <v>56476</v>
      </c>
      <c r="N9062" s="7" t="s">
        <v>56477</v>
      </c>
      <c r="O9062" s="8" t="str">
        <f>HYPERLINK("https://drive.google.com/file/d/1GcX4frV9UptUtCBwzPXizbM29-PnjiiF/view?usp=drivesdk","9061_HENDI SUKOCO, S. Hum.  _ SERTIFIKAT BerAKHLAK")</f>
        <v>9061_HENDI SUKOCO, S. Hum.  _ SERTIFIKAT BerAKHLAK</v>
      </c>
      <c r="P9062" s="5" t="s">
        <v>56460</v>
      </c>
    </row>
    <row r="9063">
      <c r="A9063" s="4">
        <v>45534.42832097222</v>
      </c>
      <c r="B9063" s="5" t="s">
        <v>34</v>
      </c>
      <c r="D9063" s="5" t="s">
        <v>1558</v>
      </c>
      <c r="E9063" s="5" t="s">
        <v>56478</v>
      </c>
      <c r="F9063" s="5" t="s">
        <v>212</v>
      </c>
      <c r="G9063" s="5" t="s">
        <v>56479</v>
      </c>
      <c r="H9063" s="6" t="s">
        <v>56480</v>
      </c>
      <c r="K9063" s="5" t="s">
        <v>56475</v>
      </c>
      <c r="M9063" s="5" t="s">
        <v>56481</v>
      </c>
      <c r="N9063" s="7" t="s">
        <v>56482</v>
      </c>
      <c r="O9063" s="8" t="str">
        <f>HYPERLINK("https://drive.google.com/file/d/18UKLJ0jzXcNsYQN_5YEw539zg2-701TU/view?usp=drivesdk","9062_ANI SULISTIOWATI _ SERTIFIKAT BerAKHLAK")</f>
        <v>9062_ANI SULISTIOWATI _ SERTIFIKAT BerAKHLAK</v>
      </c>
      <c r="P9063" s="5" t="s">
        <v>56483</v>
      </c>
    </row>
    <row r="9064">
      <c r="A9064" s="4">
        <v>45534.42837181713</v>
      </c>
      <c r="B9064" s="5" t="s">
        <v>34</v>
      </c>
      <c r="D9064" s="5" t="s">
        <v>267</v>
      </c>
      <c r="E9064" s="5" t="s">
        <v>56484</v>
      </c>
      <c r="F9064" s="5" t="s">
        <v>120</v>
      </c>
      <c r="G9064" s="5" t="s">
        <v>56485</v>
      </c>
      <c r="H9064" s="6" t="s">
        <v>56486</v>
      </c>
      <c r="K9064" s="5" t="s">
        <v>56475</v>
      </c>
      <c r="M9064" s="5" t="s">
        <v>56487</v>
      </c>
      <c r="N9064" s="7" t="s">
        <v>56488</v>
      </c>
      <c r="O9064" s="8" t="str">
        <f>HYPERLINK("https://drive.google.com/file/d/1XwBhiZivntdExw0WAmrXR6kOsp8-3M12/view?usp=drivesdk","9063_drg. INTARTININGSIH _ SERTIFIKAT BerAKHLAK")</f>
        <v>9063_drg. INTARTININGSIH _ SERTIFIKAT BerAKHLAK</v>
      </c>
      <c r="P9064" s="5" t="s">
        <v>56483</v>
      </c>
    </row>
    <row r="9065">
      <c r="A9065" s="4">
        <v>45534.42837202546</v>
      </c>
      <c r="B9065" s="5" t="s">
        <v>34</v>
      </c>
      <c r="D9065" s="5" t="s">
        <v>1206</v>
      </c>
      <c r="E9065" s="5" t="s">
        <v>56489</v>
      </c>
      <c r="F9065" s="5" t="s">
        <v>524</v>
      </c>
      <c r="G9065" s="5" t="s">
        <v>56490</v>
      </c>
      <c r="H9065" s="6" t="s">
        <v>56491</v>
      </c>
      <c r="K9065" s="5" t="s">
        <v>56475</v>
      </c>
      <c r="M9065" s="5" t="s">
        <v>56492</v>
      </c>
      <c r="N9065" s="7" t="s">
        <v>56493</v>
      </c>
      <c r="O9065" s="8" t="str">
        <f>HYPERLINK("https://drive.google.com/file/d/13DLnmBqsQw7XuW8onKSP1VMHIoS1MhE0/view?usp=drivesdk","9064_NUR WAHYUDI  _ SERTIFIKAT BerAKHLAK")</f>
        <v>9064_NUR WAHYUDI  _ SERTIFIKAT BerAKHLAK</v>
      </c>
      <c r="P9065" s="5" t="s">
        <v>56483</v>
      </c>
    </row>
    <row r="9066" hidden="1">
      <c r="A9066" s="4">
        <v>45534.42844971065</v>
      </c>
      <c r="B9066" s="5" t="s">
        <v>19</v>
      </c>
      <c r="C9066" s="5" t="s">
        <v>292</v>
      </c>
      <c r="E9066" s="5" t="s">
        <v>56494</v>
      </c>
      <c r="F9066" s="5" t="s">
        <v>524</v>
      </c>
      <c r="G9066" s="5" t="s">
        <v>56495</v>
      </c>
      <c r="H9066" s="6" t="s">
        <v>56496</v>
      </c>
      <c r="K9066" s="5" t="s">
        <v>56475</v>
      </c>
      <c r="M9066" s="5" t="s">
        <v>56497</v>
      </c>
      <c r="N9066" s="7" t="s">
        <v>56498</v>
      </c>
      <c r="O9066" s="8" t="str">
        <f>HYPERLINK("https://drive.google.com/file/d/1Wf9KebKE2K7apr17fySgtFmN-4nm-wIy/view?usp=drivesdk","9065_FABIAN DWARA HENDRA ADI  _ SERTIFIKAT BerAKHLAK")</f>
        <v>9065_FABIAN DWARA HENDRA ADI  _ SERTIFIKAT BerAKHLAK</v>
      </c>
      <c r="P9066" s="5" t="s">
        <v>56483</v>
      </c>
    </row>
    <row r="9067" hidden="1">
      <c r="A9067" s="4">
        <v>45534.42846648148</v>
      </c>
      <c r="B9067" s="5" t="s">
        <v>19</v>
      </c>
      <c r="C9067" s="5" t="s">
        <v>14000</v>
      </c>
      <c r="E9067" s="5" t="s">
        <v>56499</v>
      </c>
      <c r="F9067" s="5" t="s">
        <v>108</v>
      </c>
      <c r="G9067" s="5" t="s">
        <v>56500</v>
      </c>
      <c r="H9067" s="6" t="s">
        <v>56501</v>
      </c>
      <c r="K9067" s="5" t="s">
        <v>56475</v>
      </c>
      <c r="M9067" s="5" t="s">
        <v>56502</v>
      </c>
      <c r="N9067" s="7" t="s">
        <v>56503</v>
      </c>
      <c r="O9067" s="8" t="str">
        <f>HYPERLINK("https://drive.google.com/file/d/1KuVb32yDYZ_9GAcf5dm7659eVryD6arZ/view?usp=drivesdk","9066_VICY DIANTO, S.KOM _ SERTIFIKAT BerAKHLAK")</f>
        <v>9066_VICY DIANTO, S.KOM _ SERTIFIKAT BerAKHLAK</v>
      </c>
      <c r="P9067" s="5" t="s">
        <v>56483</v>
      </c>
    </row>
    <row r="9068">
      <c r="A9068" s="4">
        <v>45534.42859766204</v>
      </c>
      <c r="B9068" s="5" t="s">
        <v>34</v>
      </c>
      <c r="D9068" s="5" t="s">
        <v>14313</v>
      </c>
      <c r="E9068" s="5" t="s">
        <v>56504</v>
      </c>
      <c r="F9068" s="5" t="s">
        <v>375</v>
      </c>
      <c r="G9068" s="5" t="s">
        <v>56505</v>
      </c>
      <c r="H9068" s="6" t="s">
        <v>56506</v>
      </c>
      <c r="K9068" s="5" t="s">
        <v>56507</v>
      </c>
      <c r="M9068" s="5" t="s">
        <v>56508</v>
      </c>
      <c r="N9068" s="7" t="s">
        <v>56509</v>
      </c>
      <c r="O9068" s="8" t="str">
        <f>HYPERLINK("https://drive.google.com/file/d/1FFH1TeODorkHqAszk0q-XsdpRFCph5r3/view?usp=drivesdk","9067_MUHAMMAD SUAEB SUNUSI, S.AG. _ SERTIFIKAT BerAKHLAK")</f>
        <v>9067_MUHAMMAD SUAEB SUNUSI, S.AG. _ SERTIFIKAT BerAKHLAK</v>
      </c>
      <c r="P9068" s="5" t="s">
        <v>56510</v>
      </c>
    </row>
    <row r="9069">
      <c r="A9069" s="4">
        <v>45534.42873690972</v>
      </c>
      <c r="B9069" s="5" t="s">
        <v>34</v>
      </c>
      <c r="D9069" s="5" t="s">
        <v>9020</v>
      </c>
      <c r="E9069" s="5" t="s">
        <v>56511</v>
      </c>
      <c r="F9069" s="5" t="s">
        <v>212</v>
      </c>
      <c r="G9069" s="5" t="s">
        <v>56512</v>
      </c>
      <c r="H9069" s="6" t="s">
        <v>56513</v>
      </c>
      <c r="K9069" s="5" t="s">
        <v>56514</v>
      </c>
      <c r="M9069" s="5" t="s">
        <v>56515</v>
      </c>
      <c r="N9069" s="7" t="s">
        <v>56516</v>
      </c>
      <c r="O9069" s="8" t="str">
        <f>HYPERLINK("https://drive.google.com/file/d/1bXicCWTXNqpSyPQuMFIyZi3ac0k1nDJD/view?usp=drivesdk","9068_RAHMAWATY MARPAUNG _ SERTIFIKAT BerAKHLAK")</f>
        <v>9068_RAHMAWATY MARPAUNG _ SERTIFIKAT BerAKHLAK</v>
      </c>
      <c r="P9069" s="5" t="s">
        <v>56510</v>
      </c>
    </row>
    <row r="9070">
      <c r="A9070" s="4">
        <v>45534.42874746528</v>
      </c>
      <c r="B9070" s="5" t="s">
        <v>34</v>
      </c>
      <c r="D9070" s="5" t="s">
        <v>522</v>
      </c>
      <c r="E9070" s="5" t="s">
        <v>56517</v>
      </c>
      <c r="F9070" s="5" t="s">
        <v>212</v>
      </c>
      <c r="G9070" s="5" t="s">
        <v>56518</v>
      </c>
      <c r="H9070" s="6" t="s">
        <v>56519</v>
      </c>
      <c r="K9070" s="5" t="s">
        <v>56514</v>
      </c>
      <c r="M9070" s="5" t="s">
        <v>56520</v>
      </c>
      <c r="N9070" s="7" t="s">
        <v>56521</v>
      </c>
      <c r="O9070" s="8" t="str">
        <f>HYPERLINK("https://drive.google.com/file/d/1pnK_kJVdGZgFIgPqYnNGgh4Hvgv-tabJ/view?usp=drivesdk","9069_EMILDA _ SERTIFIKAT BerAKHLAK")</f>
        <v>9069_EMILDA _ SERTIFIKAT BerAKHLAK</v>
      </c>
      <c r="P9070" s="5" t="s">
        <v>56510</v>
      </c>
    </row>
    <row r="9071">
      <c r="A9071" s="4">
        <v>45534.42890237269</v>
      </c>
      <c r="B9071" s="5" t="s">
        <v>34</v>
      </c>
      <c r="D9071" s="5" t="s">
        <v>3849</v>
      </c>
      <c r="E9071" s="5" t="s">
        <v>56522</v>
      </c>
      <c r="F9071" s="5" t="s">
        <v>524</v>
      </c>
      <c r="G9071" s="5" t="s">
        <v>56523</v>
      </c>
      <c r="H9071" s="6" t="s">
        <v>56524</v>
      </c>
      <c r="K9071" s="5" t="s">
        <v>56525</v>
      </c>
      <c r="M9071" s="5" t="s">
        <v>56526</v>
      </c>
      <c r="N9071" s="7" t="s">
        <v>56527</v>
      </c>
      <c r="O9071" s="8" t="str">
        <f>HYPERLINK("https://drive.google.com/file/d/1xcYOboJ8Y__Kw_oZbYIPG_6WJz_OOXbS/view?usp=drivesdk","9070_PERATEWI _ SERTIFIKAT BerAKHLAK")</f>
        <v>9070_PERATEWI _ SERTIFIKAT BerAKHLAK</v>
      </c>
      <c r="P9071" s="5" t="s">
        <v>56528</v>
      </c>
    </row>
    <row r="9072">
      <c r="A9072" s="4">
        <v>45534.4289053588</v>
      </c>
      <c r="B9072" s="5" t="s">
        <v>34</v>
      </c>
      <c r="D9072" s="5" t="s">
        <v>1558</v>
      </c>
      <c r="E9072" s="5" t="s">
        <v>56529</v>
      </c>
      <c r="F9072" s="5" t="s">
        <v>37</v>
      </c>
      <c r="G9072" s="5" t="s">
        <v>56530</v>
      </c>
      <c r="H9072" s="6" t="s">
        <v>56531</v>
      </c>
      <c r="K9072" s="5" t="s">
        <v>56525</v>
      </c>
      <c r="M9072" s="5" t="s">
        <v>56532</v>
      </c>
      <c r="N9072" s="7" t="s">
        <v>56533</v>
      </c>
      <c r="O9072" s="8" t="str">
        <f>HYPERLINK("https://drive.google.com/file/d/1I24qX8PBhjZXiusO0quca7JEITHFy4te/view?usp=drivesdk","9071_AHMAD ROHIYAT _ SERTIFIKAT BerAKHLAK")</f>
        <v>9071_AHMAD ROHIYAT _ SERTIFIKAT BerAKHLAK</v>
      </c>
      <c r="P9072" s="5" t="s">
        <v>56534</v>
      </c>
    </row>
    <row r="9073">
      <c r="A9073" s="4">
        <v>45534.428920046295</v>
      </c>
      <c r="B9073" s="5" t="s">
        <v>34</v>
      </c>
      <c r="D9073" s="5" t="s">
        <v>9394</v>
      </c>
      <c r="E9073" s="5" t="s">
        <v>56535</v>
      </c>
      <c r="F9073" s="5" t="s">
        <v>715</v>
      </c>
      <c r="G9073" s="5" t="s">
        <v>56536</v>
      </c>
      <c r="H9073" s="6" t="s">
        <v>56537</v>
      </c>
      <c r="K9073" s="5" t="s">
        <v>56525</v>
      </c>
      <c r="M9073" s="5" t="s">
        <v>56538</v>
      </c>
      <c r="N9073" s="7" t="s">
        <v>56539</v>
      </c>
      <c r="O9073" s="8" t="str">
        <f>HYPERLINK("https://drive.google.com/file/d/1TgTyimK4bKzT0z4dxtzmAbl5EayayYXH/view?usp=drivesdk","9072_VERA OKTAVIA,S.sos _ SERTIFIKAT BerAKHLAK")</f>
        <v>9072_VERA OKTAVIA,S.sos _ SERTIFIKAT BerAKHLAK</v>
      </c>
      <c r="P9073" s="5" t="s">
        <v>56534</v>
      </c>
    </row>
    <row r="9074">
      <c r="A9074" s="4">
        <v>45534.42896211805</v>
      </c>
      <c r="B9074" s="5" t="s">
        <v>34</v>
      </c>
      <c r="D9074" s="5" t="s">
        <v>6232</v>
      </c>
      <c r="E9074" s="5" t="s">
        <v>56540</v>
      </c>
      <c r="F9074" s="5" t="s">
        <v>37</v>
      </c>
      <c r="G9074" s="5" t="s">
        <v>56541</v>
      </c>
      <c r="H9074" s="6" t="s">
        <v>56542</v>
      </c>
      <c r="K9074" s="5" t="s">
        <v>56543</v>
      </c>
      <c r="M9074" s="5" t="s">
        <v>56544</v>
      </c>
      <c r="N9074" s="7" t="s">
        <v>56545</v>
      </c>
      <c r="O9074" s="8" t="str">
        <f>HYPERLINK("https://drive.google.com/file/d/1UA-0VJUNbbQWvVGOTWiM7Y4W6zeF4uB_/view?usp=drivesdk","9073_WAGINAH _ SERTIFIKAT BerAKHLAK")</f>
        <v>9073_WAGINAH _ SERTIFIKAT BerAKHLAK</v>
      </c>
      <c r="P9074" s="5" t="s">
        <v>56534</v>
      </c>
    </row>
    <row r="9075">
      <c r="A9075" s="4">
        <v>45534.429035567126</v>
      </c>
      <c r="B9075" s="5" t="s">
        <v>34</v>
      </c>
      <c r="D9075" s="5" t="s">
        <v>522</v>
      </c>
      <c r="E9075" s="5" t="s">
        <v>56546</v>
      </c>
      <c r="F9075" s="5" t="s">
        <v>375</v>
      </c>
      <c r="G9075" s="5" t="s">
        <v>56547</v>
      </c>
      <c r="H9075" s="6" t="s">
        <v>56548</v>
      </c>
      <c r="K9075" s="5" t="s">
        <v>56543</v>
      </c>
      <c r="M9075" s="5" t="s">
        <v>56549</v>
      </c>
      <c r="N9075" s="7" t="s">
        <v>56550</v>
      </c>
      <c r="O9075" s="8" t="str">
        <f>HYPERLINK("https://drive.google.com/file/d/1vrIMhf5Koh3peHwKp20KXH3_gqv0GFrH/view?usp=drivesdk","9074_LUIS EKATISKAYUNITA S.Kom _ SERTIFIKAT BerAKHLAK")</f>
        <v>9074_LUIS EKATISKAYUNITA S.Kom _ SERTIFIKAT BerAKHLAK</v>
      </c>
      <c r="P9075" s="5" t="s">
        <v>56534</v>
      </c>
    </row>
    <row r="9076">
      <c r="A9076" s="4">
        <v>45534.4290858912</v>
      </c>
      <c r="B9076" s="5" t="s">
        <v>34</v>
      </c>
      <c r="D9076" s="5" t="s">
        <v>10297</v>
      </c>
      <c r="E9076" s="5" t="s">
        <v>56551</v>
      </c>
      <c r="F9076" s="5" t="s">
        <v>120</v>
      </c>
      <c r="G9076" s="5" t="s">
        <v>56552</v>
      </c>
      <c r="H9076" s="6" t="s">
        <v>56553</v>
      </c>
      <c r="K9076" s="5" t="s">
        <v>56543</v>
      </c>
      <c r="M9076" s="5" t="s">
        <v>56554</v>
      </c>
      <c r="N9076" s="7" t="s">
        <v>56555</v>
      </c>
      <c r="O9076" s="8" t="str">
        <f>HYPERLINK("https://drive.google.com/file/d/16j9Z6voINrhFdtB8TwJxvqRul-mIYip8/view?usp=drivesdk","9075_ASTRID ANNISA, S.E., M.E. _ SERTIFIKAT BerAKHLAK")</f>
        <v>9075_ASTRID ANNISA, S.E., M.E. _ SERTIFIKAT BerAKHLAK</v>
      </c>
      <c r="P9076" s="5" t="s">
        <v>56556</v>
      </c>
    </row>
    <row r="9077" hidden="1">
      <c r="A9077" s="4">
        <v>45534.429113136575</v>
      </c>
      <c r="B9077" s="5" t="s">
        <v>19</v>
      </c>
      <c r="C9077" s="5" t="s">
        <v>55133</v>
      </c>
      <c r="E9077" s="5" t="s">
        <v>56557</v>
      </c>
      <c r="F9077" s="5" t="s">
        <v>108</v>
      </c>
      <c r="G9077" s="5" t="s">
        <v>56558</v>
      </c>
      <c r="H9077" s="6" t="s">
        <v>56559</v>
      </c>
      <c r="K9077" s="5" t="s">
        <v>56543</v>
      </c>
      <c r="M9077" s="5" t="s">
        <v>56560</v>
      </c>
      <c r="N9077" s="7" t="s">
        <v>56561</v>
      </c>
      <c r="O9077" s="8" t="str">
        <f>HYPERLINK("https://drive.google.com/file/d/1yBF72gi6I0t3jF_fF3g2KY9C4Fvc_RUp/view?usp=drivesdk","9076_ADITYA ARIE WIBOWO, SE _ SERTIFIKAT BerAKHLAK")</f>
        <v>9076_ADITYA ARIE WIBOWO, SE _ SERTIFIKAT BerAKHLAK</v>
      </c>
      <c r="P9077" s="5" t="s">
        <v>56556</v>
      </c>
    </row>
    <row r="9078" hidden="1">
      <c r="A9078" s="4">
        <v>45534.429230821755</v>
      </c>
      <c r="B9078" s="5" t="s">
        <v>19</v>
      </c>
      <c r="C9078" s="5" t="s">
        <v>292</v>
      </c>
      <c r="E9078" s="5" t="s">
        <v>56562</v>
      </c>
      <c r="F9078" s="5" t="s">
        <v>108</v>
      </c>
      <c r="G9078" s="5" t="s">
        <v>56563</v>
      </c>
      <c r="H9078" s="6" t="s">
        <v>56564</v>
      </c>
      <c r="K9078" s="5" t="s">
        <v>56565</v>
      </c>
      <c r="M9078" s="5" t="s">
        <v>56566</v>
      </c>
      <c r="N9078" s="7" t="s">
        <v>56567</v>
      </c>
      <c r="O9078" s="8" t="str">
        <f>HYPERLINK("https://drive.google.com/file/d/1IJgjrm5RcBrKVbeSdlvFmX-JIZgRS2KO/view?usp=drivesdk","9077_HENNY HARTANTY _ SERTIFIKAT BerAKHLAK")</f>
        <v>9077_HENNY HARTANTY _ SERTIFIKAT BerAKHLAK</v>
      </c>
      <c r="P9078" s="5" t="s">
        <v>56556</v>
      </c>
    </row>
    <row r="9079" hidden="1">
      <c r="A9079" s="4">
        <v>45534.42931552083</v>
      </c>
      <c r="B9079" s="5" t="s">
        <v>19</v>
      </c>
      <c r="C9079" s="5" t="s">
        <v>5564</v>
      </c>
      <c r="E9079" s="5" t="s">
        <v>56568</v>
      </c>
      <c r="F9079" s="5" t="s">
        <v>108</v>
      </c>
      <c r="G9079" s="5" t="s">
        <v>56569</v>
      </c>
      <c r="H9079" s="6" t="s">
        <v>56570</v>
      </c>
      <c r="K9079" s="5" t="s">
        <v>56571</v>
      </c>
      <c r="M9079" s="5" t="s">
        <v>56572</v>
      </c>
      <c r="N9079" s="7" t="s">
        <v>56573</v>
      </c>
      <c r="O9079" s="8" t="str">
        <f>HYPERLINK("https://drive.google.com/file/d/1hwhn_fgl5x7YDE1L2A8tJpuDl6tRt-VL/view?usp=drivesdk","9078_drh Grace Tabitha Tenggi Olihta _ SERTIFIKAT BerAKHLAK")</f>
        <v>9078_drh Grace Tabitha Tenggi Olihta _ SERTIFIKAT BerAKHLAK</v>
      </c>
      <c r="P9079" s="5" t="s">
        <v>56574</v>
      </c>
    </row>
    <row r="9080" hidden="1">
      <c r="A9080" s="4">
        <v>45534.429355162036</v>
      </c>
      <c r="B9080" s="5" t="s">
        <v>19</v>
      </c>
      <c r="C9080" s="5" t="s">
        <v>292</v>
      </c>
      <c r="E9080" s="5" t="s">
        <v>56575</v>
      </c>
      <c r="F9080" s="5" t="s">
        <v>212</v>
      </c>
      <c r="G9080" s="5" t="s">
        <v>56576</v>
      </c>
      <c r="H9080" s="6" t="s">
        <v>56577</v>
      </c>
      <c r="K9080" s="5" t="s">
        <v>56578</v>
      </c>
      <c r="M9080" s="5" t="s">
        <v>56579</v>
      </c>
      <c r="N9080" s="7" t="s">
        <v>56580</v>
      </c>
      <c r="O9080" s="8" t="str">
        <f>HYPERLINK("https://drive.google.com/file/d/1Y7R_SLd8ygLd0gzepyCY88hCQ7KN3RkW/view?usp=drivesdk","9079_BAYU DWI ARDI WIDODO _ SERTIFIKAT BerAKHLAK")</f>
        <v>9079_BAYU DWI ARDI WIDODO _ SERTIFIKAT BerAKHLAK</v>
      </c>
      <c r="P9080" s="5" t="s">
        <v>56574</v>
      </c>
    </row>
    <row r="9081">
      <c r="A9081" s="4">
        <v>45534.42937503472</v>
      </c>
      <c r="B9081" s="5" t="s">
        <v>34</v>
      </c>
      <c r="D9081" s="5" t="s">
        <v>580</v>
      </c>
      <c r="E9081" s="5" t="s">
        <v>56581</v>
      </c>
      <c r="F9081" s="5" t="s">
        <v>37</v>
      </c>
      <c r="G9081" s="5" t="s">
        <v>56582</v>
      </c>
      <c r="H9081" s="6" t="s">
        <v>56583</v>
      </c>
      <c r="K9081" s="5" t="s">
        <v>56578</v>
      </c>
      <c r="M9081" s="5" t="s">
        <v>56584</v>
      </c>
      <c r="N9081" s="7" t="s">
        <v>56585</v>
      </c>
      <c r="O9081" s="8" t="str">
        <f>HYPERLINK("https://drive.google.com/file/d/1Ix3Z47A0GGsjGIX0OH9Ja63V9x1cxr1q/view?usp=drivesdk","9080_GUSTI AYU WATI DIANTARI _ SERTIFIKAT BerAKHLAK")</f>
        <v>9080_GUSTI AYU WATI DIANTARI _ SERTIFIKAT BerAKHLAK</v>
      </c>
      <c r="P9081" s="5" t="s">
        <v>56574</v>
      </c>
    </row>
    <row r="9082">
      <c r="A9082" s="4">
        <v>45534.42943887731</v>
      </c>
      <c r="B9082" s="5" t="s">
        <v>34</v>
      </c>
      <c r="D9082" s="5" t="s">
        <v>701</v>
      </c>
      <c r="E9082" s="5" t="s">
        <v>41579</v>
      </c>
      <c r="F9082" s="5" t="s">
        <v>37</v>
      </c>
      <c r="G9082" s="5" t="s">
        <v>41580</v>
      </c>
      <c r="H9082" s="6" t="s">
        <v>56586</v>
      </c>
      <c r="K9082" s="5" t="s">
        <v>56587</v>
      </c>
      <c r="M9082" s="5" t="s">
        <v>56588</v>
      </c>
      <c r="N9082" s="7" t="s">
        <v>56589</v>
      </c>
      <c r="O9082" s="8" t="str">
        <f>HYPERLINK("https://drive.google.com/file/d/1LOEmUeEc5zgAGFJCVUTs06zi43VlzXgj/view?usp=drivesdk","9081_PRIHATININGSIH _ SERTIFIKAT BerAKHLAK")</f>
        <v>9081_PRIHATININGSIH _ SERTIFIKAT BerAKHLAK</v>
      </c>
      <c r="P9082" s="5" t="s">
        <v>56574</v>
      </c>
    </row>
    <row r="9083">
      <c r="A9083" s="4">
        <v>45534.42949947917</v>
      </c>
      <c r="B9083" s="5" t="s">
        <v>34</v>
      </c>
      <c r="D9083" s="5" t="s">
        <v>4775</v>
      </c>
      <c r="E9083" s="5" t="s">
        <v>56590</v>
      </c>
      <c r="F9083" s="5" t="s">
        <v>524</v>
      </c>
      <c r="G9083" s="5" t="s">
        <v>56591</v>
      </c>
      <c r="H9083" s="6" t="s">
        <v>56592</v>
      </c>
      <c r="K9083" s="5" t="s">
        <v>56593</v>
      </c>
      <c r="M9083" s="5" t="s">
        <v>56594</v>
      </c>
      <c r="N9083" s="7" t="s">
        <v>56595</v>
      </c>
      <c r="O9083" s="8" t="str">
        <f>HYPERLINK("https://drive.google.com/file/d/1SEc6sLcWSgyv1VuQ0rXISDdQnXYGxiT5/view?usp=drivesdk","9082_RETNO PUDJI LESTARI, AMK  _ SERTIFIKAT BerAKHLAK")</f>
        <v>9082_RETNO PUDJI LESTARI, AMK  _ SERTIFIKAT BerAKHLAK</v>
      </c>
      <c r="P9083" s="5" t="s">
        <v>56596</v>
      </c>
    </row>
    <row r="9084">
      <c r="A9084" s="4">
        <v>45534.42950456019</v>
      </c>
      <c r="B9084" s="5" t="s">
        <v>34</v>
      </c>
      <c r="D9084" s="5" t="s">
        <v>267</v>
      </c>
      <c r="E9084" s="5" t="s">
        <v>56597</v>
      </c>
      <c r="F9084" s="5" t="s">
        <v>108</v>
      </c>
      <c r="G9084" s="5" t="s">
        <v>56598</v>
      </c>
      <c r="H9084" s="6" t="s">
        <v>56599</v>
      </c>
      <c r="K9084" s="5" t="s">
        <v>56600</v>
      </c>
      <c r="M9084" s="5" t="s">
        <v>56601</v>
      </c>
      <c r="N9084" s="7" t="s">
        <v>56602</v>
      </c>
      <c r="O9084" s="8" t="str">
        <f>HYPERLINK("https://drive.google.com/file/d/1NrZIqMBJK9IXgB-dig2GGeJF-svood_2/view?usp=drivesdk","9083_HERRY TRI HANDOKO _ SERTIFIKAT BerAKHLAK")</f>
        <v>9083_HERRY TRI HANDOKO _ SERTIFIKAT BerAKHLAK</v>
      </c>
      <c r="P9084" s="5" t="s">
        <v>56596</v>
      </c>
    </row>
    <row r="9085" hidden="1">
      <c r="A9085" s="4">
        <v>45534.42953100694</v>
      </c>
      <c r="B9085" s="5" t="s">
        <v>19</v>
      </c>
      <c r="C9085" s="5" t="s">
        <v>3301</v>
      </c>
      <c r="E9085" s="5" t="s">
        <v>56603</v>
      </c>
      <c r="F9085" s="5" t="s">
        <v>120</v>
      </c>
      <c r="G9085" s="5" t="s">
        <v>56604</v>
      </c>
      <c r="H9085" s="6" t="s">
        <v>56605</v>
      </c>
      <c r="K9085" s="5" t="s">
        <v>56600</v>
      </c>
      <c r="M9085" s="5" t="s">
        <v>56606</v>
      </c>
      <c r="N9085" s="7" t="s">
        <v>56607</v>
      </c>
      <c r="O9085" s="8" t="str">
        <f>HYPERLINK("https://drive.google.com/file/d/1aW40L0cvFn3DzY4pQIU-q5JsyhAnjZP9/view?usp=drivesdk","9084_dr. DIEN SUSANDIENI WANUDYOJATI _ SERTIFIKAT BerAKHLAK")</f>
        <v>9084_dr. DIEN SUSANDIENI WANUDYOJATI _ SERTIFIKAT BerAKHLAK</v>
      </c>
      <c r="P9085" s="5" t="s">
        <v>56596</v>
      </c>
    </row>
    <row r="9086">
      <c r="A9086" s="4">
        <v>45534.4296945949</v>
      </c>
      <c r="B9086" s="5" t="s">
        <v>34</v>
      </c>
      <c r="D9086" s="5" t="s">
        <v>35</v>
      </c>
      <c r="E9086" s="5" t="s">
        <v>56608</v>
      </c>
      <c r="F9086" s="5" t="s">
        <v>524</v>
      </c>
      <c r="G9086" s="5" t="s">
        <v>56609</v>
      </c>
      <c r="H9086" s="6" t="s">
        <v>56610</v>
      </c>
      <c r="K9086" s="5" t="s">
        <v>56611</v>
      </c>
      <c r="M9086" s="5" t="s">
        <v>56612</v>
      </c>
      <c r="N9086" s="7" t="s">
        <v>56613</v>
      </c>
      <c r="O9086" s="8" t="str">
        <f>HYPERLINK("https://drive.google.com/file/d/1B_wTCeQ0yfpq62R1jJw2OUVIVSM7Se2D/view?usp=drivesdk","9085_DEDI MULYADI AMD AK _ SERTIFIKAT BerAKHLAK")</f>
        <v>9085_DEDI MULYADI AMD AK _ SERTIFIKAT BerAKHLAK</v>
      </c>
      <c r="P9086" s="5" t="s">
        <v>56596</v>
      </c>
    </row>
    <row r="9087" hidden="1">
      <c r="A9087" s="4">
        <v>45534.429701574074</v>
      </c>
      <c r="B9087" s="5" t="s">
        <v>19</v>
      </c>
      <c r="C9087" s="5" t="s">
        <v>292</v>
      </c>
      <c r="E9087" s="5" t="s">
        <v>56614</v>
      </c>
      <c r="F9087" s="5" t="s">
        <v>72</v>
      </c>
      <c r="G9087" s="5" t="s">
        <v>56615</v>
      </c>
      <c r="H9087" s="6" t="s">
        <v>56616</v>
      </c>
      <c r="K9087" s="5" t="s">
        <v>56617</v>
      </c>
      <c r="M9087" s="5" t="s">
        <v>56618</v>
      </c>
      <c r="N9087" s="7" t="s">
        <v>56619</v>
      </c>
      <c r="O9087" s="8" t="str">
        <f>HYPERLINK("https://drive.google.com/file/d/1mWiNL_0nABMPoxqZWpnYOxBTeTnwj6ul/view?usp=drivesdk","9086_SHYNTA _ SERTIFIKAT BerAKHLAK")</f>
        <v>9086_SHYNTA _ SERTIFIKAT BerAKHLAK</v>
      </c>
      <c r="P9087" s="5" t="s">
        <v>56596</v>
      </c>
    </row>
    <row r="9088">
      <c r="A9088" s="4">
        <v>45534.4298312037</v>
      </c>
      <c r="B9088" s="5" t="s">
        <v>34</v>
      </c>
      <c r="D9088" s="5" t="s">
        <v>267</v>
      </c>
      <c r="E9088" s="5" t="s">
        <v>56620</v>
      </c>
      <c r="F9088" s="5" t="s">
        <v>37</v>
      </c>
      <c r="G9088" s="5" t="s">
        <v>56621</v>
      </c>
      <c r="H9088" s="6" t="s">
        <v>56622</v>
      </c>
      <c r="K9088" s="5" t="s">
        <v>56623</v>
      </c>
      <c r="M9088" s="5" t="s">
        <v>56624</v>
      </c>
      <c r="N9088" s="7" t="s">
        <v>56625</v>
      </c>
      <c r="O9088" s="8" t="str">
        <f>HYPERLINK("https://drive.google.com/file/d/1T0zcQN46khhXly2xU3NBD9EZGssVKDPn/view?usp=drivesdk","9087_HERNINGTYAS PUSPA KUMALA, A.Md _ SERTIFIKAT BerAKHLAK")</f>
        <v>9087_HERNINGTYAS PUSPA KUMALA, A.Md _ SERTIFIKAT BerAKHLAK</v>
      </c>
      <c r="P9088" s="5" t="s">
        <v>56626</v>
      </c>
    </row>
    <row r="9089">
      <c r="A9089" s="4">
        <v>45534.43008071759</v>
      </c>
      <c r="B9089" s="5" t="s">
        <v>34</v>
      </c>
      <c r="D9089" s="5" t="s">
        <v>9394</v>
      </c>
      <c r="E9089" s="5" t="s">
        <v>56627</v>
      </c>
      <c r="F9089" s="5" t="s">
        <v>524</v>
      </c>
      <c r="G9089" s="5" t="s">
        <v>56628</v>
      </c>
      <c r="H9089" s="6" t="s">
        <v>56629</v>
      </c>
      <c r="K9089" s="5" t="s">
        <v>56623</v>
      </c>
      <c r="M9089" s="5" t="s">
        <v>56630</v>
      </c>
      <c r="N9089" s="7" t="s">
        <v>56631</v>
      </c>
      <c r="O9089" s="8" t="str">
        <f>HYPERLINK("https://drive.google.com/file/d/11s075Utx5W4Hbet5uX_o6BjNai_JQ5YV/view?usp=drivesdk","9088_SHILVIA SOLVARINA, SKM _ SERTIFIKAT BerAKHLAK")</f>
        <v>9088_SHILVIA SOLVARINA, SKM _ SERTIFIKAT BerAKHLAK</v>
      </c>
      <c r="P9089" s="5" t="s">
        <v>56626</v>
      </c>
    </row>
    <row r="9090">
      <c r="A9090" s="4">
        <v>45534.4302564699</v>
      </c>
      <c r="B9090" s="5" t="s">
        <v>34</v>
      </c>
      <c r="D9090" s="5" t="s">
        <v>15401</v>
      </c>
      <c r="E9090" s="5" t="s">
        <v>56632</v>
      </c>
      <c r="F9090" s="5" t="s">
        <v>524</v>
      </c>
      <c r="G9090" s="5" t="s">
        <v>56633</v>
      </c>
      <c r="H9090" s="6" t="s">
        <v>56634</v>
      </c>
      <c r="K9090" s="5" t="s">
        <v>56635</v>
      </c>
      <c r="M9090" s="5" t="s">
        <v>56636</v>
      </c>
      <c r="N9090" s="7" t="s">
        <v>56637</v>
      </c>
      <c r="O9090" s="8" t="str">
        <f>HYPERLINK("https://drive.google.com/file/d/1Ee_1cAV1UE-Fy76zwIL92vcs_87Rnp-G/view?usp=drivesdk","9089_Werawati. Popondo, s. Farm _ SERTIFIKAT BerAKHLAK")</f>
        <v>9089_Werawati. Popondo, s. Farm _ SERTIFIKAT BerAKHLAK</v>
      </c>
      <c r="P9090" s="5" t="s">
        <v>56626</v>
      </c>
    </row>
    <row r="9091" hidden="1">
      <c r="A9091" s="4">
        <v>45534.430270983794</v>
      </c>
      <c r="B9091" s="5" t="s">
        <v>19</v>
      </c>
      <c r="C9091" s="5" t="s">
        <v>292</v>
      </c>
      <c r="E9091" s="5" t="s">
        <v>56638</v>
      </c>
      <c r="F9091" s="5" t="s">
        <v>72</v>
      </c>
      <c r="G9091" s="5" t="s">
        <v>56639</v>
      </c>
      <c r="H9091" s="6" t="s">
        <v>56640</v>
      </c>
      <c r="K9091" s="5" t="s">
        <v>56635</v>
      </c>
      <c r="M9091" s="5" t="s">
        <v>56641</v>
      </c>
      <c r="N9091" s="7" t="s">
        <v>56642</v>
      </c>
      <c r="O9091" s="8" t="str">
        <f>HYPERLINK("https://drive.google.com/file/d/145h6Lgl1HRWIJrXU8bRoesrWqyTHDNwy/view?usp=drivesdk","9090_SONAJI,AMF _ SERTIFIKAT BerAKHLAK")</f>
        <v>9090_SONAJI,AMF _ SERTIFIKAT BerAKHLAK</v>
      </c>
      <c r="P9091" s="5" t="s">
        <v>56626</v>
      </c>
    </row>
    <row r="9092">
      <c r="A9092" s="4">
        <v>45534.430273564816</v>
      </c>
      <c r="B9092" s="5" t="s">
        <v>34</v>
      </c>
      <c r="D9092" s="5" t="s">
        <v>701</v>
      </c>
      <c r="E9092" s="5" t="s">
        <v>56643</v>
      </c>
      <c r="F9092" s="5" t="s">
        <v>524</v>
      </c>
      <c r="G9092" s="5" t="s">
        <v>56644</v>
      </c>
      <c r="H9092" s="6" t="s">
        <v>56645</v>
      </c>
      <c r="K9092" s="5" t="s">
        <v>56635</v>
      </c>
      <c r="M9092" s="5" t="s">
        <v>56646</v>
      </c>
      <c r="N9092" s="7" t="s">
        <v>56647</v>
      </c>
      <c r="O9092" s="8" t="str">
        <f>HYPERLINK("https://drive.google.com/file/d/1TwlWqcpfysfYDWN2kwlZxrFvONyANspC/view?usp=drivesdk","9091_JUNAIDI,S.H _ SERTIFIKAT BerAKHLAK")</f>
        <v>9091_JUNAIDI,S.H _ SERTIFIKAT BerAKHLAK</v>
      </c>
      <c r="P9092" s="5" t="s">
        <v>56626</v>
      </c>
    </row>
    <row r="9093">
      <c r="A9093" s="4">
        <v>45534.4302771875</v>
      </c>
      <c r="B9093" s="5" t="s">
        <v>34</v>
      </c>
      <c r="D9093" s="5" t="s">
        <v>267</v>
      </c>
      <c r="E9093" s="5" t="s">
        <v>56648</v>
      </c>
      <c r="F9093" s="5" t="s">
        <v>524</v>
      </c>
      <c r="G9093" s="5" t="s">
        <v>56649</v>
      </c>
      <c r="H9093" s="6" t="s">
        <v>56650</v>
      </c>
      <c r="K9093" s="5" t="s">
        <v>56635</v>
      </c>
      <c r="M9093" s="5" t="s">
        <v>56651</v>
      </c>
      <c r="N9093" s="7" t="s">
        <v>56652</v>
      </c>
      <c r="O9093" s="8" t="str">
        <f>HYPERLINK("https://drive.google.com/file/d/1cs7hUTcseN15cqWCZXSXAlG0wjOtiD20/view?usp=drivesdk","9092_RISNANINGSIH, AMK _ SERTIFIKAT BerAKHLAK")</f>
        <v>9092_RISNANINGSIH, AMK _ SERTIFIKAT BerAKHLAK</v>
      </c>
      <c r="P9093" s="5" t="s">
        <v>56653</v>
      </c>
    </row>
    <row r="9094">
      <c r="A9094" s="4">
        <v>45534.430315949074</v>
      </c>
      <c r="B9094" s="5" t="s">
        <v>34</v>
      </c>
      <c r="D9094" s="5" t="s">
        <v>1206</v>
      </c>
      <c r="E9094" s="5" t="s">
        <v>56654</v>
      </c>
      <c r="F9094" s="5" t="s">
        <v>120</v>
      </c>
      <c r="G9094" s="5" t="s">
        <v>56655</v>
      </c>
      <c r="H9094" s="6" t="s">
        <v>56656</v>
      </c>
      <c r="K9094" s="5" t="s">
        <v>56635</v>
      </c>
      <c r="M9094" s="5" t="s">
        <v>56657</v>
      </c>
      <c r="N9094" s="7" t="s">
        <v>56658</v>
      </c>
      <c r="O9094" s="8" t="str">
        <f>HYPERLINK("https://drive.google.com/file/d/1Iq0oGMxQNB8x7kVTkTmoQKONNiBY7sl7/view?usp=drivesdk","9093_drg. AKHMADI PRABOWO, MMRS _ SERTIFIKAT BerAKHLAK")</f>
        <v>9093_drg. AKHMADI PRABOWO, MMRS _ SERTIFIKAT BerAKHLAK</v>
      </c>
      <c r="P9094" s="5" t="s">
        <v>56653</v>
      </c>
    </row>
    <row r="9095">
      <c r="A9095" s="4">
        <v>45534.43046153935</v>
      </c>
      <c r="B9095" s="5" t="s">
        <v>34</v>
      </c>
      <c r="D9095" s="5" t="s">
        <v>12978</v>
      </c>
      <c r="E9095" s="5" t="s">
        <v>56659</v>
      </c>
      <c r="F9095" s="5" t="s">
        <v>72</v>
      </c>
      <c r="G9095" s="5" t="s">
        <v>56660</v>
      </c>
      <c r="H9095" s="6" t="s">
        <v>56661</v>
      </c>
      <c r="K9095" s="5" t="s">
        <v>56662</v>
      </c>
      <c r="M9095" s="5" t="s">
        <v>56663</v>
      </c>
      <c r="N9095" s="7" t="s">
        <v>56664</v>
      </c>
      <c r="O9095" s="8" t="str">
        <f>HYPERLINK("https://drive.google.com/file/d/19MNzH9ueHKPukwUMia-aQ4K8SJ1Woipa/view?usp=drivesdk","9094_DRA. MARJALENA  _ SERTIFIKAT BerAKHLAK")</f>
        <v>9094_DRA. MARJALENA  _ SERTIFIKAT BerAKHLAK</v>
      </c>
      <c r="P9095" s="5" t="s">
        <v>56653</v>
      </c>
    </row>
    <row r="9096">
      <c r="A9096" s="4">
        <v>45534.43046957176</v>
      </c>
      <c r="B9096" s="5" t="s">
        <v>34</v>
      </c>
      <c r="D9096" s="5" t="s">
        <v>1206</v>
      </c>
      <c r="E9096" s="5" t="s">
        <v>46339</v>
      </c>
      <c r="F9096" s="5" t="s">
        <v>328</v>
      </c>
      <c r="G9096" s="5" t="s">
        <v>56665</v>
      </c>
      <c r="H9096" s="6" t="s">
        <v>56666</v>
      </c>
      <c r="K9096" s="5" t="s">
        <v>56662</v>
      </c>
      <c r="M9096" s="5" t="s">
        <v>56667</v>
      </c>
      <c r="N9096" s="7" t="s">
        <v>56668</v>
      </c>
      <c r="O9096" s="8" t="str">
        <f>HYPERLINK("https://drive.google.com/file/d/1BXSChwGTwPogfiodegboOVQzh_F11X9o/view?usp=drivesdk","9095_SUNDARIYANTO _ SERTIFIKAT BerAKHLAK")</f>
        <v>9095_SUNDARIYANTO _ SERTIFIKAT BerAKHLAK</v>
      </c>
      <c r="P9096" s="5" t="s">
        <v>56669</v>
      </c>
    </row>
    <row r="9097">
      <c r="A9097" s="4">
        <v>45534.43058143518</v>
      </c>
      <c r="B9097" s="5" t="s">
        <v>34</v>
      </c>
      <c r="D9097" s="5" t="s">
        <v>4775</v>
      </c>
      <c r="E9097" s="5" t="s">
        <v>56670</v>
      </c>
      <c r="F9097" s="5" t="s">
        <v>524</v>
      </c>
      <c r="G9097" s="5" t="s">
        <v>56671</v>
      </c>
      <c r="H9097" s="6" t="s">
        <v>56672</v>
      </c>
      <c r="K9097" s="5" t="s">
        <v>56673</v>
      </c>
      <c r="M9097" s="5" t="s">
        <v>56674</v>
      </c>
      <c r="N9097" s="7" t="s">
        <v>56675</v>
      </c>
      <c r="O9097" s="8" t="str">
        <f>HYPERLINK("https://drive.google.com/file/d/1AjpCHMRKH5SJAMmJzfBjGLBgh9ncX1CW/view?usp=drivesdk","9096_EFVI APRIANTI, A.Md., S.Ak. _ SERTIFIKAT BerAKHLAK")</f>
        <v>9096_EFVI APRIANTI, A.Md., S.Ak. _ SERTIFIKAT BerAKHLAK</v>
      </c>
      <c r="P9097" s="5" t="s">
        <v>56676</v>
      </c>
    </row>
    <row r="9098">
      <c r="A9098" s="4">
        <v>45534.43061534722</v>
      </c>
      <c r="B9098" s="5" t="s">
        <v>34</v>
      </c>
      <c r="D9098" s="5" t="s">
        <v>1206</v>
      </c>
      <c r="E9098" s="5" t="s">
        <v>56677</v>
      </c>
      <c r="F9098" s="5" t="s">
        <v>328</v>
      </c>
      <c r="G9098" s="5" t="s">
        <v>56678</v>
      </c>
      <c r="H9098" s="6" t="s">
        <v>56679</v>
      </c>
      <c r="K9098" s="5" t="s">
        <v>56673</v>
      </c>
      <c r="M9098" s="5" t="s">
        <v>56680</v>
      </c>
      <c r="N9098" s="7" t="s">
        <v>56681</v>
      </c>
      <c r="O9098" s="8" t="str">
        <f>HYPERLINK("https://drive.google.com/file/d/1mlPFE_5yaiyS7CRLrRQgio3-NJsb-YKb/view?usp=drivesdk","9097_MUHAMMAD HUSEN _ SERTIFIKAT BerAKHLAK")</f>
        <v>9097_MUHAMMAD HUSEN _ SERTIFIKAT BerAKHLAK</v>
      </c>
      <c r="P9098" s="5" t="s">
        <v>56682</v>
      </c>
    </row>
    <row r="9099">
      <c r="A9099" s="4">
        <v>45534.43067835648</v>
      </c>
      <c r="B9099" s="5" t="s">
        <v>34</v>
      </c>
      <c r="D9099" s="5" t="s">
        <v>14313</v>
      </c>
      <c r="E9099" s="5" t="s">
        <v>14853</v>
      </c>
      <c r="F9099" s="5" t="s">
        <v>715</v>
      </c>
      <c r="G9099" s="5" t="s">
        <v>56683</v>
      </c>
      <c r="H9099" s="6" t="s">
        <v>56684</v>
      </c>
      <c r="K9099" s="5" t="s">
        <v>56673</v>
      </c>
      <c r="M9099" s="5" t="s">
        <v>56685</v>
      </c>
      <c r="N9099" s="7" t="s">
        <v>56686</v>
      </c>
      <c r="O9099" s="8" t="str">
        <f>HYPERLINK("https://drive.google.com/file/d/17dHAveHmHmbBv9ZuvCiZohOtQ0t7kyL4/view?usp=drivesdk","9098_SURIATI _ SERTIFIKAT BerAKHLAK")</f>
        <v>9098_SURIATI _ SERTIFIKAT BerAKHLAK</v>
      </c>
      <c r="P9099" s="5" t="s">
        <v>56687</v>
      </c>
    </row>
    <row r="9100">
      <c r="A9100" s="4">
        <v>45534.43073277778</v>
      </c>
      <c r="B9100" s="5" t="s">
        <v>34</v>
      </c>
      <c r="D9100" s="5" t="s">
        <v>1206</v>
      </c>
      <c r="E9100" s="5" t="s">
        <v>56688</v>
      </c>
      <c r="F9100" s="5" t="s">
        <v>6625</v>
      </c>
      <c r="G9100" s="5" t="s">
        <v>56689</v>
      </c>
      <c r="H9100" s="6" t="s">
        <v>56690</v>
      </c>
      <c r="K9100" s="5" t="s">
        <v>56691</v>
      </c>
      <c r="M9100" s="5" t="s">
        <v>56692</v>
      </c>
      <c r="N9100" s="7" t="s">
        <v>56693</v>
      </c>
      <c r="O9100" s="8" t="str">
        <f>HYPERLINK("https://drive.google.com/file/d/1v8uRJPIy8x5zoLbHUMOUEU8ftKwygAyn/view?usp=drivesdk","9099_HERI SUSANTO, S.H., M.A.P. _ SERTIFIKAT BerAKHLAK")</f>
        <v>9099_HERI SUSANTO, S.H., M.A.P. _ SERTIFIKAT BerAKHLAK</v>
      </c>
      <c r="P9100" s="5" t="s">
        <v>56694</v>
      </c>
    </row>
    <row r="9101">
      <c r="A9101" s="4">
        <v>45534.430744745376</v>
      </c>
      <c r="B9101" s="5" t="s">
        <v>34</v>
      </c>
      <c r="D9101" s="5" t="s">
        <v>12978</v>
      </c>
      <c r="E9101" s="5" t="s">
        <v>56695</v>
      </c>
      <c r="F9101" s="5" t="s">
        <v>715</v>
      </c>
      <c r="G9101" s="5" t="s">
        <v>56696</v>
      </c>
      <c r="H9101" s="6" t="s">
        <v>56697</v>
      </c>
      <c r="K9101" s="5" t="s">
        <v>56691</v>
      </c>
      <c r="M9101" s="5" t="s">
        <v>56698</v>
      </c>
      <c r="N9101" s="7" t="s">
        <v>56699</v>
      </c>
      <c r="O9101" s="8" t="str">
        <f>HYPERLINK("https://drive.google.com/file/d/1s5hRuKSkQbFCAJ6aybfxgChNviA3od8x/view?usp=drivesdk","9100_RINO SETIYADI, S.E. _ SERTIFIKAT BerAKHLAK")</f>
        <v>9100_RINO SETIYADI, S.E. _ SERTIFIKAT BerAKHLAK</v>
      </c>
      <c r="P9101" s="5" t="s">
        <v>56700</v>
      </c>
    </row>
    <row r="9102">
      <c r="A9102" s="4">
        <v>45534.43087292824</v>
      </c>
      <c r="B9102" s="5" t="s">
        <v>34</v>
      </c>
      <c r="D9102" s="5" t="s">
        <v>280</v>
      </c>
      <c r="E9102" s="5" t="s">
        <v>56701</v>
      </c>
      <c r="F9102" s="5" t="s">
        <v>212</v>
      </c>
      <c r="G9102" s="5" t="s">
        <v>56702</v>
      </c>
      <c r="H9102" s="6" t="s">
        <v>56703</v>
      </c>
      <c r="K9102" s="5" t="s">
        <v>56704</v>
      </c>
      <c r="M9102" s="5" t="s">
        <v>56705</v>
      </c>
      <c r="N9102" s="7" t="s">
        <v>56706</v>
      </c>
      <c r="O9102" s="8" t="str">
        <f>HYPERLINK("https://drive.google.com/file/d/1w9L94RzmSR_X2GNyz7HUFOutQt_O6sax/view?usp=drivesdk","9101_SAUT PANGIHUTAN SIMANGUNSONG _ SERTIFIKAT BerAKHLAK")</f>
        <v>9101_SAUT PANGIHUTAN SIMANGUNSONG _ SERTIFIKAT BerAKHLAK</v>
      </c>
      <c r="P9102" s="5" t="s">
        <v>56707</v>
      </c>
    </row>
    <row r="9103">
      <c r="A9103" s="4">
        <v>45534.430962604165</v>
      </c>
      <c r="B9103" s="5" t="s">
        <v>34</v>
      </c>
      <c r="D9103" s="5" t="s">
        <v>4775</v>
      </c>
      <c r="E9103" s="7" t="s">
        <v>56708</v>
      </c>
      <c r="F9103" s="5" t="s">
        <v>328</v>
      </c>
      <c r="G9103" s="5" t="s">
        <v>56709</v>
      </c>
      <c r="H9103" s="6" t="s">
        <v>56710</v>
      </c>
      <c r="K9103" s="5" t="s">
        <v>56711</v>
      </c>
      <c r="M9103" s="5" t="s">
        <v>56712</v>
      </c>
      <c r="N9103" s="7" t="s">
        <v>56713</v>
      </c>
      <c r="O9103" s="8" t="str">
        <f>HYPERLINK("https://drive.google.com/file/d/1EgF2tgEzvBOWwuGQFbnDsxoBA0zM6YfP/view?usp=drivesdk","9102_KURDI.SH  _ SERTIFIKAT BerAKHLAK")</f>
        <v>9102_KURDI.SH  _ SERTIFIKAT BerAKHLAK</v>
      </c>
      <c r="P9103" s="5" t="s">
        <v>56714</v>
      </c>
    </row>
    <row r="9104">
      <c r="A9104" s="4">
        <v>45534.43097053241</v>
      </c>
      <c r="B9104" s="5" t="s">
        <v>34</v>
      </c>
      <c r="D9104" s="5" t="s">
        <v>522</v>
      </c>
      <c r="E9104" s="5" t="s">
        <v>56715</v>
      </c>
      <c r="F9104" s="5" t="s">
        <v>72</v>
      </c>
      <c r="G9104" s="5" t="s">
        <v>56716</v>
      </c>
      <c r="H9104" s="6" t="s">
        <v>56717</v>
      </c>
      <c r="K9104" s="5" t="s">
        <v>56711</v>
      </c>
      <c r="M9104" s="5" t="s">
        <v>56718</v>
      </c>
      <c r="N9104" s="7" t="s">
        <v>56719</v>
      </c>
      <c r="O9104" s="8" t="str">
        <f>HYPERLINK("https://drive.google.com/file/d/1tJYpdEEqB7K9MzAZADTrwOk7cDazC1-P/view?usp=drivesdk","9103_PENDA DETI YULIAWATI, S.Kom., M.Cs _ SERTIFIKAT BerAKHLAK")</f>
        <v>9103_PENDA DETI YULIAWATI, S.Kom., M.Cs _ SERTIFIKAT BerAKHLAK</v>
      </c>
      <c r="P9104" s="5" t="s">
        <v>56720</v>
      </c>
    </row>
    <row r="9105">
      <c r="A9105" s="4">
        <v>45534.43101071759</v>
      </c>
      <c r="B9105" s="5" t="s">
        <v>34</v>
      </c>
      <c r="D9105" s="5" t="s">
        <v>1206</v>
      </c>
      <c r="E9105" s="5" t="s">
        <v>56721</v>
      </c>
      <c r="F9105" s="5" t="s">
        <v>212</v>
      </c>
      <c r="G9105" s="5" t="s">
        <v>56722</v>
      </c>
      <c r="H9105" s="6" t="s">
        <v>56723</v>
      </c>
      <c r="K9105" s="5" t="s">
        <v>56711</v>
      </c>
      <c r="M9105" s="5" t="s">
        <v>56724</v>
      </c>
      <c r="N9105" s="7" t="s">
        <v>56725</v>
      </c>
      <c r="O9105" s="8" t="str">
        <f>HYPERLINK("https://drive.google.com/file/d/1X37IhLM-o-MX_P2z8n3ydjhjLqSOGbeL/view?usp=drivesdk","9104_DIDIK SUHARTONO _ SERTIFIKAT BerAKHLAK")</f>
        <v>9104_DIDIK SUHARTONO _ SERTIFIKAT BerAKHLAK</v>
      </c>
      <c r="P9105" s="5" t="s">
        <v>56726</v>
      </c>
    </row>
    <row r="9106">
      <c r="A9106" s="4">
        <v>45534.43105344907</v>
      </c>
      <c r="B9106" s="5" t="s">
        <v>34</v>
      </c>
      <c r="D9106" s="5" t="s">
        <v>10444</v>
      </c>
      <c r="E9106" s="5" t="s">
        <v>56727</v>
      </c>
      <c r="F9106" s="5" t="s">
        <v>72</v>
      </c>
      <c r="G9106" s="5" t="s">
        <v>56728</v>
      </c>
      <c r="H9106" s="6" t="s">
        <v>56729</v>
      </c>
      <c r="K9106" s="5" t="s">
        <v>56711</v>
      </c>
      <c r="M9106" s="5" t="s">
        <v>56730</v>
      </c>
      <c r="N9106" s="7" t="s">
        <v>56731</v>
      </c>
      <c r="O9106" s="8" t="str">
        <f>HYPERLINK("https://drive.google.com/file/d/1A9vpZJT2hA6DHts2i7BeD7FM6g7B5ftc/view?usp=drivesdk","9105_SANGKOT HUMISAR NAINGGOLAN, S.H. _ SERTIFIKAT BerAKHLAK")</f>
        <v>9105_SANGKOT HUMISAR NAINGGOLAN, S.H. _ SERTIFIKAT BerAKHLAK</v>
      </c>
      <c r="P9106" s="5" t="s">
        <v>56732</v>
      </c>
    </row>
    <row r="9107">
      <c r="A9107" s="4">
        <v>45534.4311538426</v>
      </c>
      <c r="B9107" s="5" t="s">
        <v>34</v>
      </c>
      <c r="D9107" s="5" t="s">
        <v>10444</v>
      </c>
      <c r="E9107" s="5" t="s">
        <v>56733</v>
      </c>
      <c r="F9107" s="5" t="s">
        <v>212</v>
      </c>
      <c r="G9107" s="5" t="s">
        <v>56734</v>
      </c>
      <c r="H9107" s="6" t="s">
        <v>56735</v>
      </c>
      <c r="K9107" s="5" t="s">
        <v>56711</v>
      </c>
      <c r="M9107" s="5" t="s">
        <v>56736</v>
      </c>
      <c r="N9107" s="7" t="s">
        <v>56737</v>
      </c>
      <c r="O9107" s="8" t="str">
        <f>HYPERLINK("https://drive.google.com/file/d/1m0aDGZiawLYot1CPpfgX8XYPCgvxNp_p/view?usp=drivesdk","9106_BUDI YANTO _ SERTIFIKAT BerAKHLAK")</f>
        <v>9106_BUDI YANTO _ SERTIFIKAT BerAKHLAK</v>
      </c>
      <c r="P9107" s="5" t="s">
        <v>56738</v>
      </c>
    </row>
    <row r="9108">
      <c r="A9108" s="4">
        <v>45534.431163263886</v>
      </c>
      <c r="B9108" s="5" t="s">
        <v>34</v>
      </c>
      <c r="D9108" s="5" t="s">
        <v>35</v>
      </c>
      <c r="E9108" s="5" t="s">
        <v>56739</v>
      </c>
      <c r="F9108" s="5" t="s">
        <v>37</v>
      </c>
      <c r="G9108" s="5" t="s">
        <v>56740</v>
      </c>
      <c r="H9108" s="6" t="s">
        <v>56741</v>
      </c>
      <c r="K9108" s="5" t="s">
        <v>56711</v>
      </c>
      <c r="M9108" s="5" t="s">
        <v>56742</v>
      </c>
      <c r="N9108" s="7" t="s">
        <v>56743</v>
      </c>
      <c r="O9108" s="8" t="str">
        <f>HYPERLINK("https://drive.google.com/file/d/1z3Vew_ZNJeIK0EOgaW6_UbW2sTHdGIYT/view?usp=drivesdk","9107_RUDI PRASETIA.,AMD.AK _ SERTIFIKAT BerAKHLAK")</f>
        <v>9107_RUDI PRASETIA.,AMD.AK _ SERTIFIKAT BerAKHLAK</v>
      </c>
      <c r="P9108" s="5" t="s">
        <v>55650</v>
      </c>
    </row>
    <row r="9109">
      <c r="A9109" s="4">
        <v>45534.43117306713</v>
      </c>
      <c r="B9109" s="5" t="s">
        <v>34</v>
      </c>
      <c r="D9109" s="5" t="s">
        <v>2903</v>
      </c>
      <c r="E9109" s="5" t="s">
        <v>56744</v>
      </c>
      <c r="F9109" s="5" t="s">
        <v>37</v>
      </c>
      <c r="G9109" s="5" t="s">
        <v>56745</v>
      </c>
      <c r="H9109" s="6" t="s">
        <v>56746</v>
      </c>
      <c r="K9109" s="5" t="s">
        <v>56711</v>
      </c>
      <c r="M9109" s="5" t="s">
        <v>56747</v>
      </c>
      <c r="N9109" s="7" t="s">
        <v>56748</v>
      </c>
      <c r="O9109" s="8" t="str">
        <f>HYPERLINK("https://drive.google.com/file/d/1IXyBO1vUfqSY5kRefORrESiCuQZYWzsu/view?usp=drivesdk","9108_HERU PRABOWO _ SERTIFIKAT BerAKHLAK")</f>
        <v>9108_HERU PRABOWO _ SERTIFIKAT BerAKHLAK</v>
      </c>
      <c r="P9109" s="5" t="s">
        <v>56209</v>
      </c>
    </row>
    <row r="9110">
      <c r="A9110" s="4">
        <v>45534.43126653935</v>
      </c>
      <c r="B9110" s="5" t="s">
        <v>34</v>
      </c>
      <c r="D9110" s="5" t="s">
        <v>1558</v>
      </c>
      <c r="E9110" s="5" t="s">
        <v>56749</v>
      </c>
      <c r="F9110" s="5" t="s">
        <v>72</v>
      </c>
      <c r="G9110" s="5" t="s">
        <v>56750</v>
      </c>
      <c r="H9110" s="6" t="s">
        <v>56751</v>
      </c>
      <c r="K9110" s="5" t="s">
        <v>56711</v>
      </c>
      <c r="M9110" s="5" t="s">
        <v>56752</v>
      </c>
      <c r="N9110" s="7" t="s">
        <v>56753</v>
      </c>
      <c r="O9110" s="8" t="str">
        <f>HYPERLINK("https://drive.google.com/file/d/1JFcu8zQg8pmxIS96mL3UfGBXhfFxFbPW/view?usp=drivesdk","9109_BENGKY DEWI AGUSTINa _ SERTIFIKAT BerAKHLAK")</f>
        <v>9109_BENGKY DEWI AGUSTINa _ SERTIFIKAT BerAKHLAK</v>
      </c>
      <c r="P9110" s="5" t="s">
        <v>56209</v>
      </c>
    </row>
    <row r="9111">
      <c r="A9111" s="4">
        <v>45534.4313</v>
      </c>
      <c r="B9111" s="5" t="s">
        <v>34</v>
      </c>
      <c r="D9111" s="5" t="s">
        <v>3849</v>
      </c>
      <c r="E9111" s="5" t="s">
        <v>56754</v>
      </c>
      <c r="F9111" s="5" t="s">
        <v>212</v>
      </c>
      <c r="G9111" s="5" t="s">
        <v>56755</v>
      </c>
      <c r="H9111" s="6" t="s">
        <v>56756</v>
      </c>
      <c r="K9111" s="5" t="s">
        <v>56757</v>
      </c>
      <c r="M9111" s="5" t="s">
        <v>56758</v>
      </c>
      <c r="N9111" s="7" t="s">
        <v>56759</v>
      </c>
      <c r="O9111" s="8" t="str">
        <f>HYPERLINK("https://drive.google.com/file/d/1KU9b0DH0qydIyPDJvM-Y5QS5mxnkWUO7/view?usp=drivesdk","9110_SYAFARYANTO _ SERTIFIKAT BerAKHLAK")</f>
        <v>9110_SYAFARYANTO _ SERTIFIKAT BerAKHLAK</v>
      </c>
      <c r="P9111" s="5" t="s">
        <v>56209</v>
      </c>
    </row>
    <row r="9112">
      <c r="A9112" s="4">
        <v>45534.43143846065</v>
      </c>
      <c r="B9112" s="5" t="s">
        <v>34</v>
      </c>
      <c r="D9112" s="5" t="s">
        <v>1558</v>
      </c>
      <c r="E9112" s="5" t="s">
        <v>56760</v>
      </c>
      <c r="F9112" s="5" t="s">
        <v>108</v>
      </c>
      <c r="G9112" s="5" t="s">
        <v>56761</v>
      </c>
      <c r="H9112" s="6" t="s">
        <v>56762</v>
      </c>
      <c r="K9112" s="5" t="s">
        <v>56763</v>
      </c>
      <c r="M9112" s="5" t="s">
        <v>56764</v>
      </c>
      <c r="N9112" s="7" t="s">
        <v>56765</v>
      </c>
      <c r="O9112" s="8" t="str">
        <f>HYPERLINK("https://drive.google.com/file/d/132gA2nlgpBoCZX3WzQTQifbnyDe0YPp8/view?usp=drivesdk","9111_ITA NURIYAH  _ SERTIFIKAT BerAKHLAK")</f>
        <v>9111_ITA NURIYAH  _ SERTIFIKAT BerAKHLAK</v>
      </c>
      <c r="P9112" s="5" t="s">
        <v>56209</v>
      </c>
    </row>
    <row r="9113" hidden="1">
      <c r="A9113" s="4">
        <v>45534.4314459375</v>
      </c>
      <c r="B9113" s="5" t="s">
        <v>19</v>
      </c>
      <c r="C9113" s="5" t="s">
        <v>292</v>
      </c>
      <c r="E9113" s="5" t="s">
        <v>56766</v>
      </c>
      <c r="F9113" s="5" t="s">
        <v>199</v>
      </c>
      <c r="G9113" s="5" t="s">
        <v>52946</v>
      </c>
      <c r="H9113" s="6" t="s">
        <v>56767</v>
      </c>
      <c r="K9113" s="5" t="s">
        <v>56763</v>
      </c>
      <c r="M9113" s="5" t="s">
        <v>56768</v>
      </c>
      <c r="N9113" s="7" t="s">
        <v>56769</v>
      </c>
      <c r="O9113" s="8" t="str">
        <f>HYPERLINK("https://drive.google.com/file/d/11f3qNan_v-rStZZDniy03A_6FoF4UUsh/view?usp=drivesdk","9112_RATIH PARLINA. SM _ SERTIFIKAT BerAKHLAK")</f>
        <v>9112_RATIH PARLINA. SM _ SERTIFIKAT BerAKHLAK</v>
      </c>
      <c r="P9113" s="5" t="s">
        <v>56209</v>
      </c>
    </row>
    <row r="9114" hidden="1">
      <c r="A9114" s="4">
        <v>45534.43154222222</v>
      </c>
      <c r="B9114" s="5" t="s">
        <v>19</v>
      </c>
      <c r="C9114" s="5" t="s">
        <v>466</v>
      </c>
      <c r="E9114" s="5" t="s">
        <v>56770</v>
      </c>
      <c r="F9114" s="5" t="s">
        <v>120</v>
      </c>
      <c r="G9114" s="5" t="s">
        <v>56771</v>
      </c>
      <c r="H9114" s="6" t="s">
        <v>56772</v>
      </c>
      <c r="K9114" s="5" t="s">
        <v>56773</v>
      </c>
      <c r="M9114" s="5" t="s">
        <v>56774</v>
      </c>
      <c r="N9114" s="7" t="s">
        <v>56775</v>
      </c>
      <c r="O9114" s="8" t="str">
        <f>HYPERLINK("https://drive.google.com/file/d/1bvXOUdhSu4uCbBTSjXJi_nU9KiDdKQUi/view?usp=drivesdk","9113_HENI ZULIANA _ SERTIFIKAT BerAKHLAK")</f>
        <v>9113_HENI ZULIANA _ SERTIFIKAT BerAKHLAK</v>
      </c>
      <c r="P9114" s="5" t="s">
        <v>56209</v>
      </c>
    </row>
    <row r="9115">
      <c r="A9115" s="4">
        <v>45534.431608935185</v>
      </c>
      <c r="B9115" s="5" t="s">
        <v>34</v>
      </c>
      <c r="D9115" s="5" t="s">
        <v>4775</v>
      </c>
      <c r="E9115" s="5" t="s">
        <v>56776</v>
      </c>
      <c r="F9115" s="5" t="s">
        <v>212</v>
      </c>
      <c r="G9115" s="5" t="s">
        <v>56777</v>
      </c>
      <c r="H9115" s="6" t="s">
        <v>56778</v>
      </c>
      <c r="K9115" s="5" t="s">
        <v>56779</v>
      </c>
      <c r="M9115" s="5" t="s">
        <v>56780</v>
      </c>
      <c r="N9115" s="7" t="s">
        <v>56781</v>
      </c>
      <c r="O9115" s="8" t="str">
        <f>HYPERLINK("https://drive.google.com/file/d/1IY_getbo0813rRwyGfXJM-jzgbgtuJv3/view?usp=drivesdk","9114_YULIANTI SRI MINDARTI _ SERTIFIKAT BerAKHLAK")</f>
        <v>9114_YULIANTI SRI MINDARTI _ SERTIFIKAT BerAKHLAK</v>
      </c>
      <c r="P9115" s="5" t="s">
        <v>56241</v>
      </c>
    </row>
    <row r="9116">
      <c r="A9116" s="4">
        <v>45534.431624756944</v>
      </c>
      <c r="B9116" s="5" t="s">
        <v>34</v>
      </c>
      <c r="D9116" s="5" t="s">
        <v>4775</v>
      </c>
      <c r="E9116" s="5" t="s">
        <v>56782</v>
      </c>
      <c r="F9116" s="5" t="s">
        <v>375</v>
      </c>
      <c r="G9116" s="5" t="s">
        <v>56783</v>
      </c>
      <c r="H9116" s="6" t="s">
        <v>56784</v>
      </c>
      <c r="K9116" s="5" t="s">
        <v>56779</v>
      </c>
      <c r="M9116" s="5" t="s">
        <v>56785</v>
      </c>
      <c r="N9116" s="7" t="s">
        <v>56786</v>
      </c>
      <c r="O9116" s="8" t="str">
        <f>HYPERLINK("https://drive.google.com/file/d/1mDGgAr6uqR9Di1No3NcHPJKF4Wrj5iq0/view?usp=drivesdk","9115_SAPTO SETYO WIBOWO S.Ak _ SERTIFIKAT BerAKHLAK")</f>
        <v>9115_SAPTO SETYO WIBOWO S.Ak _ SERTIFIKAT BerAKHLAK</v>
      </c>
      <c r="P9116" s="5" t="s">
        <v>56241</v>
      </c>
    </row>
    <row r="9117">
      <c r="A9117" s="4">
        <v>45534.431655532404</v>
      </c>
      <c r="B9117" s="5" t="s">
        <v>34</v>
      </c>
      <c r="D9117" s="5" t="s">
        <v>701</v>
      </c>
      <c r="E9117" s="5" t="s">
        <v>56787</v>
      </c>
      <c r="F9117" s="5" t="s">
        <v>72</v>
      </c>
      <c r="G9117" s="5" t="s">
        <v>56788</v>
      </c>
      <c r="H9117" s="6" t="s">
        <v>56789</v>
      </c>
      <c r="K9117" s="5" t="s">
        <v>56790</v>
      </c>
      <c r="M9117" s="5" t="s">
        <v>56791</v>
      </c>
      <c r="N9117" s="7" t="s">
        <v>56792</v>
      </c>
      <c r="O9117" s="8" t="str">
        <f>HYPERLINK("https://drive.google.com/file/d/1ri-tyfyqF8hI4lcgBZooUjDJWn85q58R/view?usp=drivesdk","9116_RESKI MUHARLIS, AMK _ SERTIFIKAT BerAKHLAK")</f>
        <v>9116_RESKI MUHARLIS, AMK _ SERTIFIKAT BerAKHLAK</v>
      </c>
      <c r="P9117" s="5" t="s">
        <v>56241</v>
      </c>
    </row>
    <row r="9118">
      <c r="A9118" s="4">
        <v>45534.43166674768</v>
      </c>
      <c r="B9118" s="5" t="s">
        <v>34</v>
      </c>
      <c r="D9118" s="5" t="s">
        <v>701</v>
      </c>
      <c r="E9118" s="5" t="s">
        <v>56793</v>
      </c>
      <c r="F9118" s="5" t="s">
        <v>108</v>
      </c>
      <c r="G9118" s="5" t="s">
        <v>56794</v>
      </c>
      <c r="H9118" s="6" t="s">
        <v>56795</v>
      </c>
      <c r="K9118" s="5" t="s">
        <v>56790</v>
      </c>
      <c r="M9118" s="5" t="s">
        <v>56796</v>
      </c>
      <c r="N9118" s="7" t="s">
        <v>56797</v>
      </c>
      <c r="O9118" s="8" t="str">
        <f>HYPERLINK("https://drive.google.com/file/d/1T1aG-6SV_K2tSwyRnCkCC-pAcbASmgN-/view?usp=drivesdk","9117_HASBUL AZIZI _ SERTIFIKAT BerAKHLAK")</f>
        <v>9117_HASBUL AZIZI _ SERTIFIKAT BerAKHLAK</v>
      </c>
      <c r="P9118" s="5" t="s">
        <v>56241</v>
      </c>
    </row>
    <row r="9119" hidden="1">
      <c r="A9119" s="4">
        <v>45534.4316771875</v>
      </c>
      <c r="B9119" s="5" t="s">
        <v>19</v>
      </c>
      <c r="C9119" s="5" t="s">
        <v>292</v>
      </c>
      <c r="E9119" s="5" t="s">
        <v>56798</v>
      </c>
      <c r="F9119" s="5" t="s">
        <v>37</v>
      </c>
      <c r="G9119" s="5" t="s">
        <v>56799</v>
      </c>
      <c r="H9119" s="6" t="s">
        <v>56800</v>
      </c>
      <c r="K9119" s="5" t="s">
        <v>56790</v>
      </c>
      <c r="M9119" s="5" t="s">
        <v>56801</v>
      </c>
      <c r="N9119" s="7" t="s">
        <v>56802</v>
      </c>
      <c r="O9119" s="8" t="str">
        <f>HYPERLINK("https://drive.google.com/file/d/1q2N6JZpOuTBEBF7IiQnpGgQT0pY_BBQ3/view?usp=drivesdk","9118_ARMI APRILA, A.Md.Kes. _ SERTIFIKAT BerAKHLAK")</f>
        <v>9118_ARMI APRILA, A.Md.Kes. _ SERTIFIKAT BerAKHLAK</v>
      </c>
      <c r="P9119" s="5" t="s">
        <v>56241</v>
      </c>
    </row>
    <row r="9120">
      <c r="A9120" s="4">
        <v>45534.43174072917</v>
      </c>
      <c r="B9120" s="5" t="s">
        <v>34</v>
      </c>
      <c r="D9120" s="5" t="s">
        <v>522</v>
      </c>
      <c r="E9120" s="5" t="s">
        <v>18319</v>
      </c>
      <c r="F9120" s="5" t="s">
        <v>108</v>
      </c>
      <c r="G9120" s="5" t="s">
        <v>56803</v>
      </c>
      <c r="H9120" s="6" t="s">
        <v>56804</v>
      </c>
      <c r="K9120" s="5" t="s">
        <v>56805</v>
      </c>
      <c r="M9120" s="5" t="s">
        <v>56806</v>
      </c>
      <c r="N9120" s="7" t="s">
        <v>56807</v>
      </c>
      <c r="O9120" s="8" t="str">
        <f>HYPERLINK("https://drive.google.com/file/d/1FCc1a9Oi6o-qBE7uKl5P70OU27Ta9mCj/view?usp=drivesdk","9119_KURNI ARIANTO _ SERTIFIKAT BerAKHLAK")</f>
        <v>9119_KURNI ARIANTO _ SERTIFIKAT BerAKHLAK</v>
      </c>
      <c r="P9120" s="5" t="s">
        <v>56808</v>
      </c>
    </row>
    <row r="9121" hidden="1">
      <c r="A9121" s="4">
        <v>45534.431833599534</v>
      </c>
      <c r="B9121" s="5" t="s">
        <v>19</v>
      </c>
      <c r="C9121" s="5" t="s">
        <v>3301</v>
      </c>
      <c r="E9121" s="5" t="s">
        <v>56809</v>
      </c>
      <c r="F9121" s="5" t="s">
        <v>37</v>
      </c>
      <c r="G9121" s="5" t="s">
        <v>56810</v>
      </c>
      <c r="H9121" s="6" t="s">
        <v>56811</v>
      </c>
      <c r="K9121" s="5" t="s">
        <v>56812</v>
      </c>
      <c r="M9121" s="5" t="s">
        <v>56813</v>
      </c>
      <c r="N9121" s="7" t="s">
        <v>56814</v>
      </c>
      <c r="O9121" s="8" t="str">
        <f>HYPERLINK("https://drive.google.com/file/d/1D_Xp-LMdAZUnOmwYAzcdoFoKXpw76x09/view?usp=drivesdk","9120_PUPUT WIJAYANTI,AMD,FARM _ SERTIFIKAT BerAKHLAK")</f>
        <v>9120_PUPUT WIJAYANTI,AMD,FARM _ SERTIFIKAT BerAKHLAK</v>
      </c>
      <c r="P9121" s="5" t="s">
        <v>56808</v>
      </c>
    </row>
    <row r="9122">
      <c r="A9122" s="4">
        <v>45534.43198871528</v>
      </c>
      <c r="B9122" s="5" t="s">
        <v>34</v>
      </c>
      <c r="D9122" s="5" t="s">
        <v>267</v>
      </c>
      <c r="E9122" s="5" t="s">
        <v>56815</v>
      </c>
      <c r="F9122" s="5" t="s">
        <v>375</v>
      </c>
      <c r="G9122" s="5" t="s">
        <v>56816</v>
      </c>
      <c r="H9122" s="6" t="s">
        <v>56817</v>
      </c>
      <c r="K9122" s="5" t="s">
        <v>56818</v>
      </c>
      <c r="M9122" s="5" t="s">
        <v>56819</v>
      </c>
      <c r="N9122" s="7" t="s">
        <v>56820</v>
      </c>
      <c r="O9122" s="8" t="str">
        <f>HYPERLINK("https://drive.google.com/file/d/1PLDhFIwnriA922qiapCImAROO_uNX_nw/view?usp=drivesdk","9121_RIZKI SETIADI, S.E. _ SERTIFIKAT BerAKHLAK")</f>
        <v>9121_RIZKI SETIADI, S.E. _ SERTIFIKAT BerAKHLAK</v>
      </c>
      <c r="P9122" s="5" t="s">
        <v>56808</v>
      </c>
    </row>
    <row r="9123">
      <c r="A9123" s="4">
        <v>45534.43211658565</v>
      </c>
      <c r="B9123" s="5" t="s">
        <v>34</v>
      </c>
      <c r="D9123" s="5" t="s">
        <v>6232</v>
      </c>
      <c r="E9123" s="5" t="s">
        <v>51924</v>
      </c>
      <c r="F9123" s="5" t="s">
        <v>212</v>
      </c>
      <c r="G9123" s="5" t="s">
        <v>56821</v>
      </c>
      <c r="H9123" s="6" t="s">
        <v>56822</v>
      </c>
      <c r="K9123" s="5" t="s">
        <v>56823</v>
      </c>
      <c r="M9123" s="5" t="s">
        <v>56824</v>
      </c>
      <c r="N9123" s="7" t="s">
        <v>56825</v>
      </c>
      <c r="O9123" s="8" t="str">
        <f>HYPERLINK("https://drive.google.com/file/d/1gneAdioE2WFNTfAksoXba--0ufi-oZI6/view?usp=drivesdk","9122_DIAN MAYASARI, Am.Far _ SERTIFIKAT BerAKHLAK")</f>
        <v>9122_DIAN MAYASARI, Am.Far _ SERTIFIKAT BerAKHLAK</v>
      </c>
      <c r="P9123" s="5" t="s">
        <v>56653</v>
      </c>
    </row>
    <row r="9124">
      <c r="A9124" s="4">
        <v>45534.43218885417</v>
      </c>
      <c r="B9124" s="5" t="s">
        <v>34</v>
      </c>
      <c r="D9124" s="5" t="s">
        <v>267</v>
      </c>
      <c r="E9124" s="5" t="s">
        <v>56826</v>
      </c>
      <c r="F9124" s="5" t="s">
        <v>715</v>
      </c>
      <c r="G9124" s="5" t="s">
        <v>56827</v>
      </c>
      <c r="H9124" s="6" t="s">
        <v>56828</v>
      </c>
      <c r="K9124" s="5" t="s">
        <v>56823</v>
      </c>
      <c r="M9124" s="5" t="s">
        <v>56829</v>
      </c>
      <c r="N9124" s="7" t="s">
        <v>56830</v>
      </c>
      <c r="O9124" s="8" t="str">
        <f>HYPERLINK("https://drive.google.com/file/d/16ydT1OI6eDtqoO5OrNNmm3MzwJauFwD5/view?usp=drivesdk","9123_KURNIA DEWI, AMD. KEP _ SERTIFIKAT BerAKHLAK")</f>
        <v>9123_KURNIA DEWI, AMD. KEP _ SERTIFIKAT BerAKHLAK</v>
      </c>
      <c r="P9124" s="5" t="s">
        <v>56831</v>
      </c>
    </row>
    <row r="9125">
      <c r="A9125" s="4">
        <v>45534.43239215278</v>
      </c>
      <c r="B9125" s="5" t="s">
        <v>34</v>
      </c>
      <c r="D9125" s="5" t="s">
        <v>11913</v>
      </c>
      <c r="E9125" s="5" t="s">
        <v>56832</v>
      </c>
      <c r="F9125" s="5" t="s">
        <v>524</v>
      </c>
      <c r="G9125" s="5" t="s">
        <v>56833</v>
      </c>
      <c r="H9125" s="6" t="s">
        <v>56834</v>
      </c>
      <c r="K9125" s="5" t="s">
        <v>56823</v>
      </c>
      <c r="M9125" s="5" t="s">
        <v>56835</v>
      </c>
      <c r="N9125" s="7" t="s">
        <v>56836</v>
      </c>
      <c r="O9125" s="8" t="str">
        <f>HYPERLINK("https://drive.google.com/file/d/1rq0iv5LAqImgWHSOTY2-d7V5GcI3BlF5/view?usp=drivesdk","9124_JULIANA M. P. BARU BENGNGU  _ SERTIFIKAT BerAKHLAK")</f>
        <v>9124_JULIANA M. P. BARU BENGNGU  _ SERTIFIKAT BerAKHLAK</v>
      </c>
      <c r="P9125" s="5" t="s">
        <v>56831</v>
      </c>
    </row>
    <row r="9126">
      <c r="A9126" s="4">
        <v>45534.43249854167</v>
      </c>
      <c r="B9126" s="5" t="s">
        <v>34</v>
      </c>
      <c r="D9126" s="5" t="s">
        <v>35</v>
      </c>
      <c r="E9126" s="5" t="s">
        <v>56837</v>
      </c>
      <c r="F9126" s="5" t="s">
        <v>72</v>
      </c>
      <c r="G9126" s="5" t="s">
        <v>56838</v>
      </c>
      <c r="H9126" s="6" t="s">
        <v>56839</v>
      </c>
      <c r="K9126" s="5" t="s">
        <v>56823</v>
      </c>
      <c r="M9126" s="5" t="s">
        <v>56840</v>
      </c>
      <c r="N9126" s="7" t="s">
        <v>56841</v>
      </c>
      <c r="O9126" s="8" t="str">
        <f>HYPERLINK("https://drive.google.com/file/d/1Yx2hp9ys9obVAuPM3QDUumOXpBkabX8q/view?usp=drivesdk","9125_YATI NURHAYATI, AMD.AK _ SERTIFIKAT BerAKHLAK")</f>
        <v>9125_YATI NURHAYATI, AMD.AK _ SERTIFIKAT BerAKHLAK</v>
      </c>
      <c r="P9126" s="5" t="s">
        <v>56831</v>
      </c>
    </row>
    <row r="9127" hidden="1">
      <c r="A9127" s="4">
        <v>45534.432504375</v>
      </c>
      <c r="B9127" s="5" t="s">
        <v>19</v>
      </c>
      <c r="C9127" s="5" t="s">
        <v>292</v>
      </c>
      <c r="E9127" s="5" t="s">
        <v>56842</v>
      </c>
      <c r="F9127" s="5" t="s">
        <v>5566</v>
      </c>
      <c r="G9127" s="5" t="s">
        <v>56843</v>
      </c>
      <c r="H9127" s="6" t="s">
        <v>56844</v>
      </c>
      <c r="K9127" s="5" t="s">
        <v>56823</v>
      </c>
      <c r="M9127" s="5" t="s">
        <v>56845</v>
      </c>
      <c r="N9127" s="7" t="s">
        <v>56846</v>
      </c>
      <c r="O9127" s="8" t="str">
        <f>HYPERLINK("https://drive.google.com/file/d/1nCzSIFFDZlcGyPB-ZsUp1_uD8FLp6bl6/view?usp=drivesdk","9126_AULIA RAHMI CANIAGO  _ SERTIFIKAT BerAKHLAK")</f>
        <v>9126_AULIA RAHMI CANIAGO  _ SERTIFIKAT BerAKHLAK</v>
      </c>
      <c r="P9127" s="5" t="s">
        <v>56831</v>
      </c>
    </row>
    <row r="9128">
      <c r="A9128" s="4">
        <v>45534.43254332176</v>
      </c>
      <c r="B9128" s="5" t="s">
        <v>34</v>
      </c>
      <c r="D9128" s="5" t="s">
        <v>4775</v>
      </c>
      <c r="E9128" s="5" t="s">
        <v>56847</v>
      </c>
      <c r="F9128" s="5" t="s">
        <v>37</v>
      </c>
      <c r="G9128" s="5" t="s">
        <v>56848</v>
      </c>
      <c r="H9128" s="6" t="s">
        <v>56849</v>
      </c>
      <c r="K9128" s="5" t="s">
        <v>56823</v>
      </c>
      <c r="M9128" s="5" t="s">
        <v>56850</v>
      </c>
      <c r="N9128" s="7" t="s">
        <v>56851</v>
      </c>
      <c r="O9128" s="8" t="str">
        <f>HYPERLINK("https://drive.google.com/file/d/1uh0p_vNfqrr3FuCq5zcUpb1mT0bRibYi/view?usp=drivesdk","9127_SUPANGAT _ SERTIFIKAT BerAKHLAK")</f>
        <v>9127_SUPANGAT _ SERTIFIKAT BerAKHLAK</v>
      </c>
      <c r="P9128" s="5" t="s">
        <v>56852</v>
      </c>
    </row>
    <row r="9129">
      <c r="A9129" s="4">
        <v>45534.432576203704</v>
      </c>
      <c r="B9129" s="5" t="s">
        <v>34</v>
      </c>
      <c r="D9129" s="5" t="s">
        <v>9020</v>
      </c>
      <c r="E9129" s="5" t="s">
        <v>56853</v>
      </c>
      <c r="F9129" s="5" t="s">
        <v>524</v>
      </c>
      <c r="G9129" s="5" t="s">
        <v>56854</v>
      </c>
      <c r="H9129" s="6" t="s">
        <v>56855</v>
      </c>
      <c r="K9129" s="5" t="s">
        <v>56823</v>
      </c>
      <c r="M9129" s="5" t="s">
        <v>56856</v>
      </c>
      <c r="N9129" s="7" t="s">
        <v>56857</v>
      </c>
      <c r="O9129" s="8" t="str">
        <f>HYPERLINK("https://drive.google.com/file/d/1PT21SFd9gp3jTWmXSAPASbUCr2dHGFxJ/view?usp=drivesdk","9128_DEDY CHANDRA _ SERTIFIKAT BerAKHLAK")</f>
        <v>9128_DEDY CHANDRA _ SERTIFIKAT BerAKHLAK</v>
      </c>
      <c r="P9129" s="5" t="s">
        <v>56852</v>
      </c>
    </row>
    <row r="9130">
      <c r="A9130" s="4">
        <v>45534.43263274306</v>
      </c>
      <c r="B9130" s="5" t="s">
        <v>34</v>
      </c>
      <c r="D9130" s="5" t="s">
        <v>4775</v>
      </c>
      <c r="E9130" s="5" t="s">
        <v>56858</v>
      </c>
      <c r="F9130" s="5" t="s">
        <v>524</v>
      </c>
      <c r="G9130" s="5" t="s">
        <v>56859</v>
      </c>
      <c r="H9130" s="6" t="s">
        <v>56860</v>
      </c>
      <c r="K9130" s="5" t="s">
        <v>56823</v>
      </c>
      <c r="M9130" s="5" t="s">
        <v>56861</v>
      </c>
      <c r="N9130" s="7" t="s">
        <v>56862</v>
      </c>
      <c r="O9130" s="8" t="str">
        <f>HYPERLINK("https://drive.google.com/file/d/1LuOMQ3RxHuaoeaUVzQ9wJMv1mMZ6VNXi/view?usp=drivesdk","9129_SRI RAHMADANI, S.M. _ SERTIFIKAT BerAKHLAK")</f>
        <v>9129_SRI RAHMADANI, S.M. _ SERTIFIKAT BerAKHLAK</v>
      </c>
      <c r="P9130" s="5" t="s">
        <v>56852</v>
      </c>
    </row>
    <row r="9131" hidden="1">
      <c r="A9131" s="4">
        <v>45534.43265340278</v>
      </c>
      <c r="B9131" s="5" t="s">
        <v>19</v>
      </c>
      <c r="C9131" s="5" t="s">
        <v>442</v>
      </c>
      <c r="E9131" s="5" t="s">
        <v>56863</v>
      </c>
      <c r="F9131" s="5" t="s">
        <v>375</v>
      </c>
      <c r="G9131" s="5" t="s">
        <v>56864</v>
      </c>
      <c r="H9131" s="6" t="s">
        <v>56865</v>
      </c>
      <c r="K9131" s="5" t="s">
        <v>56823</v>
      </c>
      <c r="M9131" s="5" t="s">
        <v>56866</v>
      </c>
      <c r="N9131" s="7" t="s">
        <v>56867</v>
      </c>
      <c r="O9131" s="8" t="str">
        <f>HYPERLINK("https://drive.google.com/file/d/1bM9Plhx9G-YLaiXchleDkjNBtejBSFE_/view?usp=drivesdk","9130_AGUNG RIADI _ SERTIFIKAT BerAKHLAK")</f>
        <v>9130_AGUNG RIADI _ SERTIFIKAT BerAKHLAK</v>
      </c>
      <c r="P9131" s="5" t="s">
        <v>56852</v>
      </c>
    </row>
    <row r="9132">
      <c r="A9132" s="4">
        <v>45534.432688761575</v>
      </c>
      <c r="B9132" s="5" t="s">
        <v>34</v>
      </c>
      <c r="D9132" s="5" t="s">
        <v>975</v>
      </c>
      <c r="E9132" s="5" t="s">
        <v>56868</v>
      </c>
      <c r="F9132" s="5" t="s">
        <v>524</v>
      </c>
      <c r="G9132" s="5" t="s">
        <v>56869</v>
      </c>
      <c r="H9132" s="6" t="s">
        <v>56870</v>
      </c>
      <c r="K9132" s="5" t="s">
        <v>56823</v>
      </c>
      <c r="M9132" s="5" t="s">
        <v>56871</v>
      </c>
      <c r="N9132" s="7" t="s">
        <v>56872</v>
      </c>
      <c r="O9132" s="8" t="str">
        <f>HYPERLINK("https://drive.google.com/file/d/1w7sdl0DzjyJ05cKZiBjbBub-WF-2Lprz/view?usp=drivesdk","9131_LIANA GORETTIE ILAN, S.E. _ SERTIFIKAT BerAKHLAK")</f>
        <v>9131_LIANA GORETTIE ILAN, S.E. _ SERTIFIKAT BerAKHLAK</v>
      </c>
      <c r="P9132" s="5" t="s">
        <v>56852</v>
      </c>
    </row>
    <row r="9133">
      <c r="A9133" s="4">
        <v>45534.432695868054</v>
      </c>
      <c r="B9133" s="5" t="s">
        <v>34</v>
      </c>
      <c r="D9133" s="5" t="s">
        <v>1206</v>
      </c>
      <c r="E9133" s="5" t="s">
        <v>56873</v>
      </c>
      <c r="F9133" s="5" t="s">
        <v>37</v>
      </c>
      <c r="G9133" s="5" t="s">
        <v>56874</v>
      </c>
      <c r="H9133" s="6" t="s">
        <v>56875</v>
      </c>
      <c r="K9133" s="5" t="s">
        <v>56823</v>
      </c>
      <c r="M9133" s="5" t="s">
        <v>56876</v>
      </c>
      <c r="N9133" s="7" t="s">
        <v>56877</v>
      </c>
      <c r="O9133" s="8" t="str">
        <f>HYPERLINK("https://drive.google.com/file/d/1KiwLPqG_TLcAM0jhriez0ZBAyI98hrZZ/view?usp=drivesdk","9132_NGASIRAN _ SERTIFIKAT BerAKHLAK")</f>
        <v>9132_NGASIRAN _ SERTIFIKAT BerAKHLAK</v>
      </c>
      <c r="P9133" s="5" t="s">
        <v>56878</v>
      </c>
    </row>
    <row r="9134" hidden="1">
      <c r="A9134" s="4">
        <v>45534.43269664352</v>
      </c>
      <c r="B9134" s="5" t="s">
        <v>19</v>
      </c>
      <c r="C9134" s="5" t="s">
        <v>292</v>
      </c>
      <c r="E9134" s="5" t="s">
        <v>56879</v>
      </c>
      <c r="F9134" s="5" t="s">
        <v>37</v>
      </c>
      <c r="G9134" s="5" t="s">
        <v>56880</v>
      </c>
      <c r="H9134" s="6" t="s">
        <v>56881</v>
      </c>
      <c r="K9134" s="5" t="s">
        <v>56823</v>
      </c>
      <c r="M9134" s="5" t="s">
        <v>56882</v>
      </c>
      <c r="N9134" s="7" t="s">
        <v>56883</v>
      </c>
      <c r="O9134" s="8" t="str">
        <f>HYPERLINK("https://drive.google.com/file/d/1jHeS-On8M1KjcH9gIUYOQupSoTHVNkDI/view?usp=drivesdk","9133_DEPRI MUHARAM ADIYANTO _ SERTIFIKAT BerAKHLAK")</f>
        <v>9133_DEPRI MUHARAM ADIYANTO _ SERTIFIKAT BerAKHLAK</v>
      </c>
      <c r="P9134" s="5" t="s">
        <v>56878</v>
      </c>
    </row>
    <row r="9135" hidden="1">
      <c r="A9135" s="4">
        <v>45534.43279875</v>
      </c>
      <c r="B9135" s="5" t="s">
        <v>19</v>
      </c>
      <c r="C9135" s="5" t="s">
        <v>3301</v>
      </c>
      <c r="E9135" s="5" t="s">
        <v>56884</v>
      </c>
      <c r="F9135" s="5" t="s">
        <v>524</v>
      </c>
      <c r="G9135" s="5" t="s">
        <v>56885</v>
      </c>
      <c r="H9135" s="6" t="s">
        <v>56886</v>
      </c>
      <c r="K9135" s="5" t="s">
        <v>56823</v>
      </c>
      <c r="M9135" s="5" t="s">
        <v>56887</v>
      </c>
      <c r="N9135" s="7" t="s">
        <v>56888</v>
      </c>
      <c r="O9135" s="8" t="str">
        <f>HYPERLINK("https://drive.google.com/file/d/1C6oMw2P7uIxGvuXyk_u1yUW5Nz2XK5Cd/view?usp=drivesdk","9134_KHAIRUNNISA ZURIYATULKARIMAH, S.Tr.Kes _ SERTIFIKAT BerAKHLAK")</f>
        <v>9134_KHAIRUNNISA ZURIYATULKARIMAH, S.Tr.Kes _ SERTIFIKAT BerAKHLAK</v>
      </c>
      <c r="P9135" s="5" t="s">
        <v>56878</v>
      </c>
    </row>
    <row r="9136" hidden="1">
      <c r="A9136" s="4">
        <v>45534.432799629634</v>
      </c>
      <c r="B9136" s="5" t="s">
        <v>19</v>
      </c>
      <c r="C9136" s="5" t="s">
        <v>45988</v>
      </c>
      <c r="E9136" s="5" t="s">
        <v>56889</v>
      </c>
      <c r="F9136" s="5" t="s">
        <v>15386</v>
      </c>
      <c r="G9136" s="5" t="s">
        <v>56890</v>
      </c>
      <c r="H9136" s="6" t="s">
        <v>56891</v>
      </c>
      <c r="K9136" s="5" t="s">
        <v>56823</v>
      </c>
      <c r="M9136" s="5" t="s">
        <v>56892</v>
      </c>
      <c r="N9136" s="7" t="s">
        <v>56893</v>
      </c>
      <c r="O9136" s="8" t="str">
        <f>HYPERLINK("https://drive.google.com/file/d/1Xy2n9ICe-jSVUkiR0rQn1-cY_igQYWt9/view?usp=drivesdk","9135_BUNYAMIN _ SERTIFIKAT BerAKHLAK")</f>
        <v>9135_BUNYAMIN _ SERTIFIKAT BerAKHLAK</v>
      </c>
      <c r="P9136" s="5" t="s">
        <v>56878</v>
      </c>
    </row>
    <row r="9137">
      <c r="A9137" s="4">
        <v>45534.43280226852</v>
      </c>
      <c r="B9137" s="5" t="s">
        <v>34</v>
      </c>
      <c r="D9137" s="5" t="s">
        <v>1558</v>
      </c>
      <c r="E9137" s="5" t="s">
        <v>56894</v>
      </c>
      <c r="F9137" s="5" t="s">
        <v>212</v>
      </c>
      <c r="G9137" s="5" t="s">
        <v>56895</v>
      </c>
      <c r="H9137" s="6" t="s">
        <v>56896</v>
      </c>
      <c r="K9137" s="5" t="s">
        <v>56823</v>
      </c>
      <c r="M9137" s="5" t="s">
        <v>56897</v>
      </c>
      <c r="N9137" s="7" t="s">
        <v>56898</v>
      </c>
      <c r="O9137" s="8" t="str">
        <f>HYPERLINK("https://drive.google.com/file/d/1_PO3eXWujKE1ikquQfgmWlj8hEnOo9MU/view?usp=drivesdk","9136_MUKIYO _ SERTIFIKAT BerAKHLAK")</f>
        <v>9136_MUKIYO _ SERTIFIKAT BerAKHLAK</v>
      </c>
      <c r="P9137" s="5" t="s">
        <v>56878</v>
      </c>
    </row>
    <row r="9138">
      <c r="A9138" s="4">
        <v>45534.432863483795</v>
      </c>
      <c r="B9138" s="5" t="s">
        <v>34</v>
      </c>
      <c r="D9138" s="5" t="s">
        <v>6232</v>
      </c>
      <c r="E9138" s="5" t="s">
        <v>56899</v>
      </c>
      <c r="F9138" s="5" t="s">
        <v>212</v>
      </c>
      <c r="G9138" s="5" t="s">
        <v>56900</v>
      </c>
      <c r="H9138" s="6" t="s">
        <v>56901</v>
      </c>
      <c r="K9138" s="5" t="s">
        <v>56823</v>
      </c>
      <c r="M9138" s="5" t="s">
        <v>56902</v>
      </c>
      <c r="N9138" s="7" t="s">
        <v>56903</v>
      </c>
      <c r="O9138" s="8" t="str">
        <f>HYPERLINK("https://drive.google.com/file/d/1msg7Kqp5l8jtnUsTLZnvMarLHRSudlqH/view?usp=drivesdk","9137_AZUAN FERRY _ SERTIFIKAT BerAKHLAK")</f>
        <v>9137_AZUAN FERRY _ SERTIFIKAT BerAKHLAK</v>
      </c>
      <c r="P9138" s="5" t="s">
        <v>56904</v>
      </c>
    </row>
    <row r="9139">
      <c r="A9139" s="4">
        <v>45534.43288104166</v>
      </c>
      <c r="B9139" s="5" t="s">
        <v>34</v>
      </c>
      <c r="D9139" s="5" t="s">
        <v>9020</v>
      </c>
      <c r="E9139" s="5" t="s">
        <v>56905</v>
      </c>
      <c r="F9139" s="5" t="s">
        <v>524</v>
      </c>
      <c r="G9139" s="5" t="s">
        <v>56906</v>
      </c>
      <c r="H9139" s="6" t="s">
        <v>56907</v>
      </c>
      <c r="K9139" s="5" t="s">
        <v>56823</v>
      </c>
      <c r="M9139" s="5" t="s">
        <v>56908</v>
      </c>
      <c r="N9139" s="7" t="s">
        <v>56909</v>
      </c>
      <c r="O9139" s="8" t="str">
        <f>HYPERLINK("https://drive.google.com/file/d/1Obur4MK75L-8HU4EzNyUSv2sFsOhi6NL/view?usp=drivesdk","9138_ELFRIDA HUTAPEA. S. Sos _ SERTIFIKAT BerAKHLAK")</f>
        <v>9138_ELFRIDA HUTAPEA. S. Sos _ SERTIFIKAT BerAKHLAK</v>
      </c>
      <c r="P9139" s="5" t="s">
        <v>56904</v>
      </c>
    </row>
    <row r="9140">
      <c r="A9140" s="4">
        <v>45534.432987962966</v>
      </c>
      <c r="B9140" s="5" t="s">
        <v>34</v>
      </c>
      <c r="D9140" s="5" t="s">
        <v>9020</v>
      </c>
      <c r="E9140" s="5" t="s">
        <v>28839</v>
      </c>
      <c r="F9140" s="5" t="s">
        <v>212</v>
      </c>
      <c r="G9140" s="5" t="s">
        <v>56910</v>
      </c>
      <c r="H9140" s="6" t="s">
        <v>56911</v>
      </c>
      <c r="K9140" s="5" t="s">
        <v>56823</v>
      </c>
      <c r="M9140" s="5" t="s">
        <v>56912</v>
      </c>
      <c r="N9140" s="7" t="s">
        <v>56913</v>
      </c>
      <c r="O9140" s="8" t="str">
        <f>HYPERLINK("https://drive.google.com/file/d/1eg8dWkazpMRkn2pqW2d4tegyC-65DpoI/view?usp=drivesdk","9139_SRI HARTATI  _ SERTIFIKAT BerAKHLAK")</f>
        <v>9139_SRI HARTATI  _ SERTIFIKAT BerAKHLAK</v>
      </c>
      <c r="P9140" s="5" t="s">
        <v>56904</v>
      </c>
    </row>
    <row r="9141" hidden="1">
      <c r="A9141" s="4">
        <v>45534.43308887731</v>
      </c>
      <c r="B9141" s="5" t="s">
        <v>19</v>
      </c>
      <c r="C9141" s="5" t="s">
        <v>292</v>
      </c>
      <c r="E9141" s="5" t="s">
        <v>56914</v>
      </c>
      <c r="F9141" s="5" t="s">
        <v>108</v>
      </c>
      <c r="G9141" s="5" t="s">
        <v>56915</v>
      </c>
      <c r="H9141" s="6" t="s">
        <v>56916</v>
      </c>
      <c r="K9141" s="5" t="s">
        <v>56823</v>
      </c>
      <c r="M9141" s="5" t="s">
        <v>56917</v>
      </c>
      <c r="N9141" s="7" t="s">
        <v>56918</v>
      </c>
      <c r="O9141" s="8" t="str">
        <f>HYPERLINK("https://drive.google.com/file/d/1tgAV7TuhxwacykijDOX5QGsJs4_3147Q/view?usp=drivesdk","9140_RENI YULIANTI _ SERTIFIKAT BerAKHLAK")</f>
        <v>9140_RENI YULIANTI _ SERTIFIKAT BerAKHLAK</v>
      </c>
      <c r="P9141" s="5" t="s">
        <v>56904</v>
      </c>
    </row>
    <row r="9142">
      <c r="A9142" s="4">
        <v>45534.43312487268</v>
      </c>
      <c r="B9142" s="5" t="s">
        <v>34</v>
      </c>
      <c r="D9142" s="5" t="s">
        <v>4775</v>
      </c>
      <c r="E9142" s="5" t="s">
        <v>56919</v>
      </c>
      <c r="F9142" s="5" t="s">
        <v>212</v>
      </c>
      <c r="G9142" s="5" t="s">
        <v>56920</v>
      </c>
      <c r="H9142" s="6" t="s">
        <v>56921</v>
      </c>
      <c r="K9142" s="5" t="s">
        <v>56823</v>
      </c>
      <c r="M9142" s="5" t="s">
        <v>56922</v>
      </c>
      <c r="N9142" s="7" t="s">
        <v>56923</v>
      </c>
      <c r="O9142" s="8" t="str">
        <f>HYPERLINK("https://drive.google.com/file/d/1Lc_ZJBdkd9WWX3kTELWYYHUt6yiYq0tp/view?usp=drivesdk","9141_TRI KARTININGSIH _ SERTIFIKAT BerAKHLAK")</f>
        <v>9141_TRI KARTININGSIH _ SERTIFIKAT BerAKHLAK</v>
      </c>
      <c r="P9142" s="5" t="s">
        <v>56924</v>
      </c>
    </row>
    <row r="9143">
      <c r="A9143" s="4">
        <v>45534.43326232639</v>
      </c>
      <c r="B9143" s="5" t="s">
        <v>34</v>
      </c>
      <c r="D9143" s="5" t="s">
        <v>701</v>
      </c>
      <c r="E9143" s="5" t="s">
        <v>56925</v>
      </c>
      <c r="F9143" s="5" t="s">
        <v>108</v>
      </c>
      <c r="G9143" s="5" t="s">
        <v>56926</v>
      </c>
      <c r="H9143" s="6" t="s">
        <v>56927</v>
      </c>
      <c r="K9143" s="5" t="s">
        <v>56928</v>
      </c>
      <c r="M9143" s="5" t="s">
        <v>56929</v>
      </c>
      <c r="N9143" s="7" t="s">
        <v>56930</v>
      </c>
      <c r="O9143" s="8" t="str">
        <f>HYPERLINK("https://drive.google.com/file/d/14ZzBC9s47E8qgoMfHacFCpsZCZbVTyXp/view?usp=drivesdk","9142_GUSTIMAR MURNI _ SERTIFIKAT BerAKHLAK")</f>
        <v>9142_GUSTIMAR MURNI _ SERTIFIKAT BerAKHLAK</v>
      </c>
      <c r="P9143" s="5" t="s">
        <v>56924</v>
      </c>
    </row>
    <row r="9144">
      <c r="A9144" s="4">
        <v>45534.4332771412</v>
      </c>
      <c r="B9144" s="5" t="s">
        <v>34</v>
      </c>
      <c r="D9144" s="5" t="s">
        <v>10297</v>
      </c>
      <c r="E9144" s="5" t="s">
        <v>56931</v>
      </c>
      <c r="F9144" s="5" t="s">
        <v>108</v>
      </c>
      <c r="G9144" s="5" t="s">
        <v>56932</v>
      </c>
      <c r="H9144" s="6" t="s">
        <v>56933</v>
      </c>
      <c r="K9144" s="5" t="s">
        <v>56928</v>
      </c>
      <c r="M9144" s="5" t="s">
        <v>56934</v>
      </c>
      <c r="N9144" s="7" t="s">
        <v>56935</v>
      </c>
      <c r="O9144" s="8" t="str">
        <f>HYPERLINK("https://drive.google.com/file/d/1vSLB4XBvPM1PF0m5ilbiadFTfdNLowo6/view?usp=drivesdk","9143_DRG FADILA KEMALA DWI RAMADHANI RUSLAN _ SERTIFIKAT BerAKHLAK")</f>
        <v>9143_DRG FADILA KEMALA DWI RAMADHANI RUSLAN _ SERTIFIKAT BerAKHLAK</v>
      </c>
      <c r="P9144" s="5" t="s">
        <v>56924</v>
      </c>
    </row>
    <row r="9145" hidden="1">
      <c r="A9145" s="4">
        <v>45534.43333859954</v>
      </c>
      <c r="B9145" s="5" t="s">
        <v>19</v>
      </c>
      <c r="C9145" s="5" t="s">
        <v>292</v>
      </c>
      <c r="E9145" s="5" t="s">
        <v>56936</v>
      </c>
      <c r="F9145" s="5" t="s">
        <v>524</v>
      </c>
      <c r="G9145" s="5" t="s">
        <v>56937</v>
      </c>
      <c r="H9145" s="6" t="s">
        <v>56938</v>
      </c>
      <c r="K9145" s="5" t="s">
        <v>56928</v>
      </c>
      <c r="M9145" s="5" t="s">
        <v>56939</v>
      </c>
      <c r="N9145" s="7" t="s">
        <v>56940</v>
      </c>
      <c r="O9145" s="8" t="str">
        <f>HYPERLINK("https://drive.google.com/file/d/1uQgGyezpDevKdy3zAauUve19JBcMJuPr/view?usp=drivesdk","9144_RETNO ANDAYANI,A.Md.Kep _ SERTIFIKAT BerAKHLAK")</f>
        <v>9144_RETNO ANDAYANI,A.Md.Kep _ SERTIFIKAT BerAKHLAK</v>
      </c>
      <c r="P9145" s="5" t="s">
        <v>56924</v>
      </c>
    </row>
    <row r="9146">
      <c r="A9146" s="4">
        <v>45534.43341486111</v>
      </c>
      <c r="B9146" s="5" t="s">
        <v>34</v>
      </c>
      <c r="D9146" s="5" t="s">
        <v>701</v>
      </c>
      <c r="E9146" s="5" t="s">
        <v>56941</v>
      </c>
      <c r="F9146" s="5" t="s">
        <v>212</v>
      </c>
      <c r="G9146" s="5" t="s">
        <v>56942</v>
      </c>
      <c r="H9146" s="6" t="s">
        <v>56943</v>
      </c>
      <c r="K9146" s="5" t="s">
        <v>56928</v>
      </c>
      <c r="M9146" s="5" t="s">
        <v>56944</v>
      </c>
      <c r="N9146" s="7" t="s">
        <v>56945</v>
      </c>
      <c r="O9146" s="8" t="str">
        <f>HYPERLINK("https://drive.google.com/file/d/1X5e9hFZllqPDNU5Zw60FlGpRSPvm1PgX/view?usp=drivesdk","9145_HAJRUL ABDILLAH _ SERTIFIKAT BerAKHLAK")</f>
        <v>9145_HAJRUL ABDILLAH _ SERTIFIKAT BerAKHLAK</v>
      </c>
      <c r="P9146" s="5" t="s">
        <v>56924</v>
      </c>
    </row>
    <row r="9147">
      <c r="A9147" s="4">
        <v>45534.43344083334</v>
      </c>
      <c r="B9147" s="5" t="s">
        <v>34</v>
      </c>
      <c r="D9147" s="5" t="s">
        <v>1456</v>
      </c>
      <c r="E9147" s="5" t="s">
        <v>56946</v>
      </c>
      <c r="F9147" s="5" t="s">
        <v>212</v>
      </c>
      <c r="G9147" s="5" t="s">
        <v>56947</v>
      </c>
      <c r="H9147" s="6" t="s">
        <v>56948</v>
      </c>
      <c r="K9147" s="5" t="s">
        <v>56928</v>
      </c>
      <c r="M9147" s="5" t="s">
        <v>56949</v>
      </c>
      <c r="N9147" s="7" t="s">
        <v>56950</v>
      </c>
      <c r="O9147" s="8" t="str">
        <f>HYPERLINK("https://drive.google.com/file/d/1r7Oc_FlRTdHkJYxTLq4tNAMJmXoQD_Q6/view?usp=drivesdk","9146_AGUSTINAWATI _ SERTIFIKAT BerAKHLAK")</f>
        <v>9146_AGUSTINAWATI _ SERTIFIKAT BerAKHLAK</v>
      </c>
      <c r="P9147" s="5" t="s">
        <v>56951</v>
      </c>
    </row>
    <row r="9148">
      <c r="A9148" s="4">
        <v>45534.43351074074</v>
      </c>
      <c r="B9148" s="5" t="s">
        <v>34</v>
      </c>
      <c r="D9148" s="5" t="s">
        <v>1558</v>
      </c>
      <c r="E9148" s="5" t="s">
        <v>56952</v>
      </c>
      <c r="F9148" s="5" t="s">
        <v>212</v>
      </c>
      <c r="G9148" s="5" t="s">
        <v>56953</v>
      </c>
      <c r="H9148" s="6" t="s">
        <v>56954</v>
      </c>
      <c r="K9148" s="5" t="s">
        <v>56928</v>
      </c>
      <c r="M9148" s="5" t="s">
        <v>56955</v>
      </c>
      <c r="N9148" s="7" t="s">
        <v>56956</v>
      </c>
      <c r="O9148" s="8" t="str">
        <f>HYPERLINK("https://drive.google.com/file/d/1FUFvS03nJk7TEix8fk_2ZI2VKNYodABn/view?usp=drivesdk","9147_RAHAYU WIDYASTUTI, A.Md. _ SERTIFIKAT BerAKHLAK")</f>
        <v>9147_RAHAYU WIDYASTUTI, A.Md. _ SERTIFIKAT BerAKHLAK</v>
      </c>
      <c r="P9148" s="5" t="s">
        <v>56951</v>
      </c>
    </row>
    <row r="9149">
      <c r="A9149" s="4">
        <v>45534.43357710648</v>
      </c>
      <c r="B9149" s="5" t="s">
        <v>34</v>
      </c>
      <c r="D9149" s="5" t="s">
        <v>1558</v>
      </c>
      <c r="E9149" s="5" t="s">
        <v>56957</v>
      </c>
      <c r="F9149" s="5" t="s">
        <v>212</v>
      </c>
      <c r="G9149" s="5" t="s">
        <v>56958</v>
      </c>
      <c r="H9149" s="6" t="s">
        <v>56959</v>
      </c>
      <c r="K9149" s="5" t="s">
        <v>56928</v>
      </c>
      <c r="M9149" s="5" t="s">
        <v>56960</v>
      </c>
      <c r="N9149" s="7" t="s">
        <v>56961</v>
      </c>
      <c r="O9149" s="8" t="str">
        <f>HYPERLINK("https://drive.google.com/file/d/1pqGb7e5vq3mivA7-tgRbmfc7D4_Cor1Y/view?usp=drivesdk","9148_BAMBANG PRIHONO _ SERTIFIKAT BerAKHLAK")</f>
        <v>9148_BAMBANG PRIHONO _ SERTIFIKAT BerAKHLAK</v>
      </c>
      <c r="P9149" s="5" t="s">
        <v>56951</v>
      </c>
    </row>
    <row r="9150">
      <c r="A9150" s="4">
        <v>45534.4336253588</v>
      </c>
      <c r="B9150" s="5" t="s">
        <v>34</v>
      </c>
      <c r="D9150" s="5" t="s">
        <v>9020</v>
      </c>
      <c r="E9150" s="5" t="s">
        <v>56962</v>
      </c>
      <c r="F9150" s="5" t="s">
        <v>37</v>
      </c>
      <c r="G9150" s="5" t="s">
        <v>37675</v>
      </c>
      <c r="H9150" s="6" t="s">
        <v>56963</v>
      </c>
      <c r="K9150" s="5" t="s">
        <v>56928</v>
      </c>
      <c r="M9150" s="5" t="s">
        <v>56964</v>
      </c>
      <c r="N9150" s="7" t="s">
        <v>56965</v>
      </c>
      <c r="O9150" s="8" t="str">
        <f>HYPERLINK("https://drive.google.com/file/d/17Bme0lVSkxeNN3aX4BXip1NA2kVqel-o/view?usp=drivesdk","9149_ISMAINI _ SERTIFIKAT BerAKHLAK")</f>
        <v>9149_ISMAINI _ SERTIFIKAT BerAKHLAK</v>
      </c>
      <c r="P9150" s="5" t="s">
        <v>56966</v>
      </c>
    </row>
    <row r="9151">
      <c r="A9151" s="4">
        <v>45534.43365136574</v>
      </c>
      <c r="B9151" s="5" t="s">
        <v>34</v>
      </c>
      <c r="D9151" s="5" t="s">
        <v>1206</v>
      </c>
      <c r="E9151" s="5" t="s">
        <v>56967</v>
      </c>
      <c r="F9151" s="5" t="s">
        <v>37</v>
      </c>
      <c r="G9151" s="5" t="s">
        <v>56968</v>
      </c>
      <c r="H9151" s="6" t="s">
        <v>56969</v>
      </c>
      <c r="K9151" s="5" t="s">
        <v>56970</v>
      </c>
      <c r="M9151" s="5" t="s">
        <v>56971</v>
      </c>
      <c r="N9151" s="7" t="s">
        <v>56972</v>
      </c>
      <c r="O9151" s="8" t="str">
        <f>HYPERLINK("https://drive.google.com/file/d/18RBpYbvTuxo9xQmYtxRdVcc_gRy78R6E/view?usp=drivesdk","9150_NURUL WIDIYAWATI _ SERTIFIKAT BerAKHLAK")</f>
        <v>9150_NURUL WIDIYAWATI _ SERTIFIKAT BerAKHLAK</v>
      </c>
      <c r="P9151" s="5" t="s">
        <v>56973</v>
      </c>
    </row>
    <row r="9152">
      <c r="A9152" s="4">
        <v>45534.43370768518</v>
      </c>
      <c r="B9152" s="5" t="s">
        <v>34</v>
      </c>
      <c r="D9152" s="5" t="s">
        <v>1558</v>
      </c>
      <c r="E9152" s="5" t="s">
        <v>56974</v>
      </c>
      <c r="F9152" s="5" t="s">
        <v>72</v>
      </c>
      <c r="G9152" s="5" t="s">
        <v>56975</v>
      </c>
      <c r="H9152" s="6" t="s">
        <v>56976</v>
      </c>
      <c r="K9152" s="5" t="s">
        <v>56977</v>
      </c>
      <c r="M9152" s="5" t="s">
        <v>56978</v>
      </c>
      <c r="N9152" s="7" t="s">
        <v>56979</v>
      </c>
      <c r="O9152" s="8" t="str">
        <f>HYPERLINK("https://drive.google.com/file/d/1-u4_znnFwdwUD0QmDFnV8fHRLTcNQLVj/view?usp=drivesdk","9151_MOH. SHOLEH, S.AG., MH _ SERTIFIKAT BerAKHLAK")</f>
        <v>9151_MOH. SHOLEH, S.AG., MH _ SERTIFIKAT BerAKHLAK</v>
      </c>
      <c r="P9152" s="5" t="s">
        <v>56980</v>
      </c>
    </row>
    <row r="9153">
      <c r="A9153" s="4">
        <v>45534.43379859954</v>
      </c>
      <c r="B9153" s="5" t="s">
        <v>34</v>
      </c>
      <c r="D9153" s="5" t="s">
        <v>3849</v>
      </c>
      <c r="E9153" s="5" t="s">
        <v>56981</v>
      </c>
      <c r="F9153" s="5" t="s">
        <v>37</v>
      </c>
      <c r="G9153" s="5" t="s">
        <v>56982</v>
      </c>
      <c r="H9153" s="6" t="s">
        <v>56983</v>
      </c>
      <c r="K9153" s="5" t="s">
        <v>56984</v>
      </c>
      <c r="M9153" s="5" t="s">
        <v>56985</v>
      </c>
      <c r="N9153" s="7" t="s">
        <v>56986</v>
      </c>
      <c r="O9153" s="8" t="str">
        <f>HYPERLINK("https://drive.google.com/file/d/1MTPvYfNYxIBJEEncF_kNJlsEcRd-AIfl/view?usp=drivesdk","9152_PRATIWI KUSUMAWARDANI, A.Md, Farm _ SERTIFIKAT BerAKHLAK")</f>
        <v>9152_PRATIWI KUSUMAWARDANI, A.Md, Farm _ SERTIFIKAT BerAKHLAK</v>
      </c>
      <c r="P9153" s="5" t="s">
        <v>56987</v>
      </c>
    </row>
    <row r="9154">
      <c r="A9154" s="4">
        <v>45534.43386236111</v>
      </c>
      <c r="B9154" s="5" t="s">
        <v>34</v>
      </c>
      <c r="D9154" s="5" t="s">
        <v>9020</v>
      </c>
      <c r="E9154" s="5" t="s">
        <v>34123</v>
      </c>
      <c r="F9154" s="5" t="s">
        <v>72</v>
      </c>
      <c r="G9154" s="5" t="s">
        <v>34124</v>
      </c>
      <c r="H9154" s="6" t="s">
        <v>56988</v>
      </c>
      <c r="K9154" s="5" t="s">
        <v>56989</v>
      </c>
      <c r="M9154" s="5" t="s">
        <v>56990</v>
      </c>
      <c r="N9154" s="7" t="s">
        <v>56991</v>
      </c>
      <c r="O9154" s="8" t="str">
        <f>HYPERLINK("https://drive.google.com/file/d/1wgH1MzNA0v31VFIBQNu7GH1GU6HxDmAS/view?usp=drivesdk","9153_ROBBY IRWANSYAH, S.Pd _ SERTIFIKAT BerAKHLAK")</f>
        <v>9153_ROBBY IRWANSYAH, S.Pd _ SERTIFIKAT BerAKHLAK</v>
      </c>
      <c r="P9154" s="5" t="s">
        <v>56992</v>
      </c>
    </row>
    <row r="9155">
      <c r="A9155" s="4">
        <v>45534.433969571764</v>
      </c>
      <c r="B9155" s="5" t="s">
        <v>34</v>
      </c>
      <c r="D9155" s="5" t="s">
        <v>35</v>
      </c>
      <c r="E9155" s="5" t="s">
        <v>56993</v>
      </c>
      <c r="F9155" s="5" t="s">
        <v>375</v>
      </c>
      <c r="G9155" s="5" t="s">
        <v>56994</v>
      </c>
      <c r="H9155" s="6" t="s">
        <v>56995</v>
      </c>
      <c r="K9155" s="5" t="s">
        <v>56996</v>
      </c>
      <c r="M9155" s="5" t="s">
        <v>56997</v>
      </c>
      <c r="N9155" s="7" t="s">
        <v>56998</v>
      </c>
      <c r="O9155" s="8" t="str">
        <f>HYPERLINK("https://drive.google.com/file/d/11p0QQs2QQv_qQ0uFDqmbw4fZFbu2oRFO/view?usp=drivesdk","9154_DEWI MAULANI FAJAR, S.KOM _ SERTIFIKAT BerAKHLAK")</f>
        <v>9154_DEWI MAULANI FAJAR, S.KOM _ SERTIFIKAT BerAKHLAK</v>
      </c>
      <c r="P9155" s="5" t="s">
        <v>56999</v>
      </c>
    </row>
    <row r="9156">
      <c r="A9156" s="4">
        <v>45534.43404075231</v>
      </c>
      <c r="B9156" s="5" t="s">
        <v>34</v>
      </c>
      <c r="D9156" s="5" t="s">
        <v>1206</v>
      </c>
      <c r="E9156" s="5" t="s">
        <v>57000</v>
      </c>
      <c r="F9156" s="5" t="s">
        <v>375</v>
      </c>
      <c r="G9156" s="5" t="s">
        <v>57001</v>
      </c>
      <c r="H9156" s="6" t="s">
        <v>57002</v>
      </c>
      <c r="K9156" s="5" t="s">
        <v>57003</v>
      </c>
      <c r="M9156" s="5" t="s">
        <v>57004</v>
      </c>
      <c r="N9156" s="7" t="s">
        <v>57005</v>
      </c>
      <c r="O9156" s="8" t="str">
        <f>HYPERLINK("https://drive.google.com/file/d/1suW9M_qp6Pqrcy_qWbbpN70H8A33pkjp/view?usp=drivesdk","9155_NOR HANDIAH ROUSITA, SE _ SERTIFIKAT BerAKHLAK")</f>
        <v>9155_NOR HANDIAH ROUSITA, SE _ SERTIFIKAT BerAKHLAK</v>
      </c>
      <c r="P9156" s="5" t="s">
        <v>57006</v>
      </c>
    </row>
    <row r="9157">
      <c r="A9157" s="4">
        <v>45534.43405077547</v>
      </c>
      <c r="B9157" s="5" t="s">
        <v>34</v>
      </c>
      <c r="D9157" s="5" t="s">
        <v>522</v>
      </c>
      <c r="E9157" s="5" t="s">
        <v>57007</v>
      </c>
      <c r="F9157" s="5" t="s">
        <v>37</v>
      </c>
      <c r="G9157" s="5" t="s">
        <v>57008</v>
      </c>
      <c r="H9157" s="6" t="s">
        <v>57009</v>
      </c>
      <c r="K9157" s="5" t="s">
        <v>57010</v>
      </c>
      <c r="M9157" s="5" t="s">
        <v>57011</v>
      </c>
      <c r="N9157" s="7" t="s">
        <v>57012</v>
      </c>
      <c r="O9157" s="8" t="str">
        <f>HYPERLINK("https://drive.google.com/file/d/1VD1A08IXYMWqUuh5DG6ceWfkWEYiLCKk/view?usp=drivesdk","9156_LALU SIRHU ATMA, A.MD _ SERTIFIKAT BerAKHLAK")</f>
        <v>9156_LALU SIRHU ATMA, A.MD _ SERTIFIKAT BerAKHLAK</v>
      </c>
      <c r="P9157" s="5" t="s">
        <v>57013</v>
      </c>
    </row>
    <row r="9158">
      <c r="A9158" s="4">
        <v>45534.434084374996</v>
      </c>
      <c r="B9158" s="5" t="s">
        <v>34</v>
      </c>
      <c r="D9158" s="5" t="s">
        <v>9020</v>
      </c>
      <c r="E9158" s="5" t="s">
        <v>57014</v>
      </c>
      <c r="F9158" s="5" t="s">
        <v>375</v>
      </c>
      <c r="G9158" s="5" t="s">
        <v>57015</v>
      </c>
      <c r="H9158" s="6" t="s">
        <v>57016</v>
      </c>
      <c r="K9158" s="5" t="s">
        <v>57010</v>
      </c>
      <c r="M9158" s="5" t="s">
        <v>57017</v>
      </c>
      <c r="N9158" s="7" t="s">
        <v>57018</v>
      </c>
      <c r="O9158" s="8" t="str">
        <f>HYPERLINK("https://drive.google.com/file/d/1mfIob9dHVUjsfxAUtQKkF1O9Qv2jYgE7/view?usp=drivesdk","9157_BETTY HUTAGAOL, SKM _ SERTIFIKAT BerAKHLAK")</f>
        <v>9157_BETTY HUTAGAOL, SKM _ SERTIFIKAT BerAKHLAK</v>
      </c>
      <c r="P9158" s="5" t="s">
        <v>57019</v>
      </c>
    </row>
    <row r="9159">
      <c r="A9159" s="4">
        <v>45534.43413032407</v>
      </c>
      <c r="B9159" s="5" t="s">
        <v>34</v>
      </c>
      <c r="D9159" s="5" t="s">
        <v>35</v>
      </c>
      <c r="E9159" s="5" t="s">
        <v>57020</v>
      </c>
      <c r="F9159" s="5" t="s">
        <v>72</v>
      </c>
      <c r="G9159" s="5" t="s">
        <v>57021</v>
      </c>
      <c r="H9159" s="6" t="s">
        <v>57022</v>
      </c>
      <c r="K9159" s="5" t="s">
        <v>57023</v>
      </c>
      <c r="M9159" s="5" t="s">
        <v>57024</v>
      </c>
      <c r="N9159" s="7" t="s">
        <v>57025</v>
      </c>
      <c r="O9159" s="8" t="str">
        <f>HYPERLINK("https://drive.google.com/file/d/1mEveDgHS2LYctE_XZ73bfpQFbbabPzI1/view?usp=drivesdk","9158_TUTI SULISTIAWATI  _ SERTIFIKAT BerAKHLAK")</f>
        <v>9158_TUTI SULISTIAWATI  _ SERTIFIKAT BerAKHLAK</v>
      </c>
      <c r="P9159" s="5" t="s">
        <v>57026</v>
      </c>
    </row>
    <row r="9160">
      <c r="A9160" s="4">
        <v>45534.43413700232</v>
      </c>
      <c r="B9160" s="5" t="s">
        <v>34</v>
      </c>
      <c r="D9160" s="5" t="s">
        <v>35</v>
      </c>
      <c r="E9160" s="5" t="s">
        <v>57027</v>
      </c>
      <c r="F9160" s="5" t="s">
        <v>108</v>
      </c>
      <c r="G9160" s="5" t="s">
        <v>57028</v>
      </c>
      <c r="H9160" s="6" t="s">
        <v>57029</v>
      </c>
      <c r="K9160" s="5" t="s">
        <v>57023</v>
      </c>
      <c r="M9160" s="5" t="s">
        <v>57030</v>
      </c>
      <c r="N9160" s="7" t="s">
        <v>57031</v>
      </c>
      <c r="O9160" s="8" t="str">
        <f>HYPERLINK("https://drive.google.com/file/d/1P_Dt1gr388AmdVym-V67clpWc0scrI7o/view?usp=drivesdk","9159_AHMAD BUDIMAN  _ SERTIFIKAT BerAKHLAK")</f>
        <v>9159_AHMAD BUDIMAN  _ SERTIFIKAT BerAKHLAK</v>
      </c>
      <c r="P9160" s="5" t="s">
        <v>57032</v>
      </c>
    </row>
    <row r="9161" hidden="1">
      <c r="A9161" s="4">
        <v>45534.4342328125</v>
      </c>
      <c r="B9161" s="5" t="s">
        <v>19</v>
      </c>
      <c r="C9161" s="5" t="s">
        <v>3301</v>
      </c>
      <c r="E9161" s="5" t="s">
        <v>57033</v>
      </c>
      <c r="F9161" s="5" t="s">
        <v>524</v>
      </c>
      <c r="G9161" s="5" t="s">
        <v>57034</v>
      </c>
      <c r="H9161" s="6" t="s">
        <v>57035</v>
      </c>
      <c r="K9161" s="5" t="s">
        <v>57036</v>
      </c>
      <c r="M9161" s="5" t="s">
        <v>57037</v>
      </c>
      <c r="N9161" s="7" t="s">
        <v>57038</v>
      </c>
      <c r="O9161" s="8" t="str">
        <f>HYPERLINK("https://drive.google.com/file/d/1sZu_a5TDBfitevGqBDHPYsoJ6yjCvM-v/view?usp=drivesdk","9160_AISYAH NURAINI PRAMANA PUTRI, S.Tr.Kes _ SERTIFIKAT BerAKHLAK")</f>
        <v>9160_AISYAH NURAINI PRAMANA PUTRI, S.Tr.Kes _ SERTIFIKAT BerAKHLAK</v>
      </c>
      <c r="P9161" s="5" t="s">
        <v>57039</v>
      </c>
    </row>
    <row r="9162">
      <c r="A9162" s="4">
        <v>45534.43427733796</v>
      </c>
      <c r="B9162" s="5" t="s">
        <v>34</v>
      </c>
      <c r="D9162" s="5" t="s">
        <v>1206</v>
      </c>
      <c r="E9162" s="5" t="s">
        <v>57040</v>
      </c>
      <c r="F9162" s="5" t="s">
        <v>524</v>
      </c>
      <c r="G9162" s="5" t="s">
        <v>57041</v>
      </c>
      <c r="H9162" s="6" t="s">
        <v>57042</v>
      </c>
      <c r="K9162" s="5" t="s">
        <v>57036</v>
      </c>
      <c r="M9162" s="5" t="s">
        <v>57043</v>
      </c>
      <c r="N9162" s="7" t="s">
        <v>57044</v>
      </c>
      <c r="O9162" s="8" t="str">
        <f>HYPERLINK("https://drive.google.com/file/d/1w3bBhGXOWCa5hgDUy5luZI8XnAtgGoKB/view?usp=drivesdk","9161_SITI SAMSUL HIDAYATI, _ SERTIFIKAT BerAKHLAK")</f>
        <v>9161_SITI SAMSUL HIDAYATI, _ SERTIFIKAT BerAKHLAK</v>
      </c>
      <c r="P9162" s="5" t="s">
        <v>57045</v>
      </c>
    </row>
    <row r="9163">
      <c r="A9163" s="4">
        <v>45534.43432509259</v>
      </c>
      <c r="B9163" s="5" t="s">
        <v>34</v>
      </c>
      <c r="D9163" s="5" t="s">
        <v>9020</v>
      </c>
      <c r="E9163" s="5" t="s">
        <v>25570</v>
      </c>
      <c r="F9163" s="5" t="s">
        <v>212</v>
      </c>
      <c r="G9163" s="5" t="s">
        <v>25571</v>
      </c>
      <c r="H9163" s="6" t="s">
        <v>57046</v>
      </c>
      <c r="K9163" s="5" t="s">
        <v>57036</v>
      </c>
      <c r="M9163" s="5" t="s">
        <v>57047</v>
      </c>
      <c r="N9163" s="7" t="s">
        <v>57048</v>
      </c>
      <c r="O9163" s="8" t="str">
        <f>HYPERLINK("https://drive.google.com/file/d/1athul8e5Yb_gFOUkrvpWLmAcpkjUKk3m/view?usp=drivesdk","9162_SUGIYANTI _ SERTIFIKAT BerAKHLAK")</f>
        <v>9162_SUGIYANTI _ SERTIFIKAT BerAKHLAK</v>
      </c>
      <c r="P9163" s="5" t="s">
        <v>57049</v>
      </c>
    </row>
    <row r="9164" hidden="1">
      <c r="A9164" s="4">
        <v>45534.43433488426</v>
      </c>
      <c r="B9164" s="5" t="s">
        <v>19</v>
      </c>
      <c r="C9164" s="5" t="s">
        <v>3301</v>
      </c>
      <c r="E9164" s="5" t="s">
        <v>57050</v>
      </c>
      <c r="F9164" s="5" t="s">
        <v>37</v>
      </c>
      <c r="G9164" s="5" t="s">
        <v>57051</v>
      </c>
      <c r="H9164" s="6" t="s">
        <v>57052</v>
      </c>
      <c r="K9164" s="5" t="s">
        <v>57036</v>
      </c>
      <c r="M9164" s="5" t="s">
        <v>57053</v>
      </c>
      <c r="N9164" s="7" t="s">
        <v>57054</v>
      </c>
      <c r="O9164" s="8" t="str">
        <f>HYPERLINK("https://drive.google.com/file/d/1SDZzyPg0eQx8NjjnpiWOiXXOEFqwvu69/view?usp=drivesdk","9163_FERI WATTIMURI _ SERTIFIKAT BerAKHLAK")</f>
        <v>9163_FERI WATTIMURI _ SERTIFIKAT BerAKHLAK</v>
      </c>
      <c r="P9164" s="5" t="s">
        <v>57055</v>
      </c>
    </row>
    <row r="9165">
      <c r="A9165" s="4">
        <v>45534.43437423611</v>
      </c>
      <c r="B9165" s="5" t="s">
        <v>34</v>
      </c>
      <c r="D9165" s="5" t="s">
        <v>1206</v>
      </c>
      <c r="E9165" s="5" t="s">
        <v>57056</v>
      </c>
      <c r="F9165" s="5" t="s">
        <v>37</v>
      </c>
      <c r="G9165" s="5" t="s">
        <v>57057</v>
      </c>
      <c r="H9165" s="6" t="s">
        <v>57058</v>
      </c>
      <c r="K9165" s="5" t="s">
        <v>57036</v>
      </c>
      <c r="M9165" s="5" t="s">
        <v>57059</v>
      </c>
      <c r="N9165" s="7" t="s">
        <v>57060</v>
      </c>
      <c r="O9165" s="8" t="str">
        <f>HYPERLINK("https://drive.google.com/file/d/1DNnvOrFKittl-SUjcSn0YKB2bp_JrVu_/view?usp=drivesdk","9164_KUSWITO _ SERTIFIKAT BerAKHLAK")</f>
        <v>9164_KUSWITO _ SERTIFIKAT BerAKHLAK</v>
      </c>
      <c r="P9165" s="5" t="s">
        <v>57061</v>
      </c>
    </row>
    <row r="9166">
      <c r="A9166" s="4">
        <v>45534.43447039352</v>
      </c>
      <c r="B9166" s="5" t="s">
        <v>34</v>
      </c>
      <c r="D9166" s="5" t="s">
        <v>1206</v>
      </c>
      <c r="E9166" s="5" t="s">
        <v>57062</v>
      </c>
      <c r="F9166" s="5" t="s">
        <v>108</v>
      </c>
      <c r="G9166" s="5" t="s">
        <v>57063</v>
      </c>
      <c r="H9166" s="6" t="s">
        <v>57064</v>
      </c>
      <c r="K9166" s="5" t="s">
        <v>57036</v>
      </c>
      <c r="M9166" s="5" t="s">
        <v>57065</v>
      </c>
      <c r="N9166" s="7" t="s">
        <v>57066</v>
      </c>
      <c r="O9166" s="8" t="str">
        <f>HYPERLINK("https://drive.google.com/file/d/12fixV6d-fE94Hs-yDrqQXuim3n7j6ick/view?usp=drivesdk","9165_KRISTINA YULIANA KURNIAWATI,AMd.Far _ SERTIFIKAT BerAKHLAK")</f>
        <v>9165_KRISTINA YULIANA KURNIAWATI,AMd.Far _ SERTIFIKAT BerAKHLAK</v>
      </c>
      <c r="P9166" s="5" t="s">
        <v>57067</v>
      </c>
    </row>
    <row r="9167">
      <c r="A9167" s="4">
        <v>45534.434479375</v>
      </c>
      <c r="B9167" s="5" t="s">
        <v>34</v>
      </c>
      <c r="D9167" s="5" t="s">
        <v>1558</v>
      </c>
      <c r="E9167" s="5" t="s">
        <v>57068</v>
      </c>
      <c r="F9167" s="5" t="s">
        <v>37</v>
      </c>
      <c r="G9167" s="5" t="s">
        <v>57069</v>
      </c>
      <c r="H9167" s="6" t="s">
        <v>57070</v>
      </c>
      <c r="K9167" s="5" t="s">
        <v>57036</v>
      </c>
      <c r="M9167" s="5" t="s">
        <v>57071</v>
      </c>
      <c r="N9167" s="7" t="s">
        <v>57072</v>
      </c>
      <c r="O9167" s="8" t="str">
        <f>HYPERLINK("https://drive.google.com/file/d/1JZVp2S2-OafbDMg0kKKL6M-YFe7B-tTV/view?usp=drivesdk","9166_Mochamad Alif Mulyanto  _ SERTIFIKAT BerAKHLAK")</f>
        <v>9166_Mochamad Alif Mulyanto  _ SERTIFIKAT BerAKHLAK</v>
      </c>
      <c r="P9167" s="5" t="s">
        <v>57073</v>
      </c>
    </row>
    <row r="9168">
      <c r="A9168" s="4">
        <v>45534.434528032405</v>
      </c>
      <c r="B9168" s="5" t="s">
        <v>34</v>
      </c>
      <c r="D9168" s="5" t="s">
        <v>280</v>
      </c>
      <c r="E9168" s="5" t="s">
        <v>57074</v>
      </c>
      <c r="F9168" s="5" t="s">
        <v>22</v>
      </c>
      <c r="G9168" s="5" t="s">
        <v>57075</v>
      </c>
      <c r="H9168" s="6" t="s">
        <v>57076</v>
      </c>
      <c r="K9168" s="5" t="s">
        <v>57036</v>
      </c>
      <c r="M9168" s="5" t="s">
        <v>57077</v>
      </c>
      <c r="N9168" s="7" t="s">
        <v>57078</v>
      </c>
      <c r="O9168" s="8" t="str">
        <f>HYPERLINK("https://drive.google.com/file/d/1M3YpN9rUmZ5chuPalT_NnAaHuqexYeST/view?usp=drivesdk","9167_drg. HIDHA LILY AFINA _ SERTIFIKAT BerAKHLAK")</f>
        <v>9167_drg. HIDHA LILY AFINA _ SERTIFIKAT BerAKHLAK</v>
      </c>
      <c r="P9168" s="5" t="s">
        <v>57079</v>
      </c>
    </row>
    <row r="9169">
      <c r="A9169" s="4">
        <v>45534.43467628473</v>
      </c>
      <c r="B9169" s="5" t="s">
        <v>34</v>
      </c>
      <c r="D9169" s="5" t="s">
        <v>11527</v>
      </c>
      <c r="E9169" s="5" t="s">
        <v>57080</v>
      </c>
      <c r="F9169" s="5" t="s">
        <v>37</v>
      </c>
      <c r="G9169" s="5" t="s">
        <v>57081</v>
      </c>
      <c r="H9169" s="6" t="s">
        <v>57082</v>
      </c>
      <c r="K9169" s="5" t="s">
        <v>57036</v>
      </c>
      <c r="M9169" s="5" t="s">
        <v>57083</v>
      </c>
      <c r="N9169" s="7" t="s">
        <v>57084</v>
      </c>
      <c r="O9169" s="8" t="str">
        <f>HYPERLINK("https://drive.google.com/file/d/1EMdIt_D-TVGi-OJGOcQZcuFkcM2FXxyF/view?usp=drivesdk","9168_RULLY JANRY WOWOR _ SERTIFIKAT BerAKHLAK")</f>
        <v>9168_RULLY JANRY WOWOR _ SERTIFIKAT BerAKHLAK</v>
      </c>
      <c r="P9169" s="5" t="s">
        <v>57085</v>
      </c>
    </row>
    <row r="9170">
      <c r="A9170" s="4">
        <v>45534.43469790509</v>
      </c>
      <c r="B9170" s="5" t="s">
        <v>34</v>
      </c>
      <c r="D9170" s="5" t="s">
        <v>267</v>
      </c>
      <c r="E9170" s="5" t="s">
        <v>57086</v>
      </c>
      <c r="F9170" s="5" t="s">
        <v>375</v>
      </c>
      <c r="G9170" s="5" t="s">
        <v>57087</v>
      </c>
      <c r="H9170" s="6" t="s">
        <v>57088</v>
      </c>
      <c r="K9170" s="5" t="s">
        <v>57036</v>
      </c>
      <c r="M9170" s="5" t="s">
        <v>57089</v>
      </c>
      <c r="N9170" s="7" t="s">
        <v>57090</v>
      </c>
      <c r="O9170" s="8" t="str">
        <f>HYPERLINK("https://drive.google.com/file/d/1PoTzdleN1OveSCnAIiwn7nYHM-8sFHiz/view?usp=drivesdk","9169_UPIK SUMENI _ SERTIFIKAT BerAKHLAK")</f>
        <v>9169_UPIK SUMENI _ SERTIFIKAT BerAKHLAK</v>
      </c>
      <c r="P9170" s="5" t="s">
        <v>57091</v>
      </c>
    </row>
    <row r="9171">
      <c r="A9171" s="4">
        <v>45534.43470846065</v>
      </c>
      <c r="B9171" s="5" t="s">
        <v>34</v>
      </c>
      <c r="D9171" s="5" t="s">
        <v>1558</v>
      </c>
      <c r="E9171" s="5" t="s">
        <v>57092</v>
      </c>
      <c r="F9171" s="5" t="s">
        <v>212</v>
      </c>
      <c r="G9171" s="5" t="s">
        <v>57093</v>
      </c>
      <c r="H9171" s="6" t="s">
        <v>57094</v>
      </c>
      <c r="K9171" s="5" t="s">
        <v>57036</v>
      </c>
      <c r="M9171" s="5" t="s">
        <v>57095</v>
      </c>
      <c r="N9171" s="7" t="s">
        <v>57096</v>
      </c>
      <c r="O9171" s="8" t="str">
        <f>HYPERLINK("https://drive.google.com/file/d/1rivtJuFeNTs7qK2C3eFtB8o4pE0cfFiB/view?usp=drivesdk","9170_SITI MULYANINGSIH _ SERTIFIKAT BerAKHLAK")</f>
        <v>9170_SITI MULYANINGSIH _ SERTIFIKAT BerAKHLAK</v>
      </c>
      <c r="P9171" s="5" t="s">
        <v>57097</v>
      </c>
    </row>
    <row r="9172">
      <c r="A9172" s="4">
        <v>45534.43474563658</v>
      </c>
      <c r="B9172" s="5" t="s">
        <v>34</v>
      </c>
      <c r="D9172" s="5" t="s">
        <v>14313</v>
      </c>
      <c r="E9172" s="5" t="s">
        <v>57098</v>
      </c>
      <c r="F9172" s="5" t="s">
        <v>212</v>
      </c>
      <c r="G9172" s="5" t="s">
        <v>57099</v>
      </c>
      <c r="H9172" s="6" t="s">
        <v>57100</v>
      </c>
      <c r="K9172" s="5" t="s">
        <v>57036</v>
      </c>
      <c r="M9172" s="5" t="s">
        <v>57101</v>
      </c>
      <c r="N9172" s="7" t="s">
        <v>57102</v>
      </c>
      <c r="O9172" s="8" t="str">
        <f>HYPERLINK("https://drive.google.com/file/d/1kbBZA4lVVitcIG3Z0YtZqauw98UaQscn/view?usp=drivesdk","9171_HERMAN, S.H. _ SERTIFIKAT BerAKHLAK")</f>
        <v>9171_HERMAN, S.H. _ SERTIFIKAT BerAKHLAK</v>
      </c>
      <c r="P9172" s="5" t="s">
        <v>57103</v>
      </c>
    </row>
    <row r="9173">
      <c r="A9173" s="4">
        <v>45534.43502778935</v>
      </c>
      <c r="B9173" s="5" t="s">
        <v>34</v>
      </c>
      <c r="D9173" s="5" t="s">
        <v>701</v>
      </c>
      <c r="E9173" s="5" t="s">
        <v>57104</v>
      </c>
      <c r="F9173" s="5" t="s">
        <v>375</v>
      </c>
      <c r="G9173" s="5" t="s">
        <v>57105</v>
      </c>
      <c r="H9173" s="6" t="s">
        <v>57106</v>
      </c>
      <c r="K9173" s="5" t="s">
        <v>57107</v>
      </c>
      <c r="M9173" s="5" t="s">
        <v>57108</v>
      </c>
      <c r="N9173" s="7" t="s">
        <v>57109</v>
      </c>
      <c r="O9173" s="8" t="str">
        <f>HYPERLINK("https://drive.google.com/file/d/1c4qZttJg9jxzZEZhtDonBaq1RvBcKcRO/view?usp=drivesdk","9172_YIMMI MIMARIA _ SERTIFIKAT BerAKHLAK")</f>
        <v>9172_YIMMI MIMARIA _ SERTIFIKAT BerAKHLAK</v>
      </c>
      <c r="P9173" s="5" t="s">
        <v>57110</v>
      </c>
    </row>
    <row r="9174">
      <c r="A9174" s="4">
        <v>45534.435102511576</v>
      </c>
      <c r="B9174" s="5" t="s">
        <v>34</v>
      </c>
      <c r="D9174" s="5" t="s">
        <v>10444</v>
      </c>
      <c r="E9174" s="5" t="s">
        <v>57111</v>
      </c>
      <c r="F9174" s="5" t="s">
        <v>212</v>
      </c>
      <c r="G9174" s="5" t="s">
        <v>57112</v>
      </c>
      <c r="H9174" s="6" t="s">
        <v>57113</v>
      </c>
      <c r="K9174" s="5" t="s">
        <v>57107</v>
      </c>
      <c r="M9174" s="5" t="s">
        <v>57114</v>
      </c>
      <c r="N9174" s="7" t="s">
        <v>57115</v>
      </c>
      <c r="O9174" s="8" t="str">
        <f>HYPERLINK("https://drive.google.com/file/d/1sLRUKj9QxSFox0xQkh8qeYWH_-dBtXVw/view?usp=drivesdk","9173_TITIN SARTINA _ SERTIFIKAT BerAKHLAK")</f>
        <v>9173_TITIN SARTINA _ SERTIFIKAT BerAKHLAK</v>
      </c>
      <c r="P9174" s="5" t="s">
        <v>57116</v>
      </c>
    </row>
    <row r="9175">
      <c r="A9175" s="4">
        <v>45534.43512555555</v>
      </c>
      <c r="B9175" s="5" t="s">
        <v>34</v>
      </c>
      <c r="D9175" s="5" t="s">
        <v>14313</v>
      </c>
      <c r="E9175" s="5" t="s">
        <v>57117</v>
      </c>
      <c r="F9175" s="5" t="s">
        <v>375</v>
      </c>
      <c r="G9175" s="5" t="s">
        <v>57118</v>
      </c>
      <c r="H9175" s="6" t="s">
        <v>57119</v>
      </c>
      <c r="K9175" s="5" t="s">
        <v>57107</v>
      </c>
      <c r="M9175" s="5" t="s">
        <v>57120</v>
      </c>
      <c r="N9175" s="7" t="s">
        <v>57121</v>
      </c>
      <c r="O9175" s="8" t="str">
        <f>HYPERLINK("https://drive.google.com/file/d/1eZZmmAMTrWILHRttHUuLvF90jKGZaTYg/view?usp=drivesdk","9174_IRMAWATI MASSE, S.Farm,M.Tr.A.P _ SERTIFIKAT BerAKHLAK")</f>
        <v>9174_IRMAWATI MASSE, S.Farm,M.Tr.A.P _ SERTIFIKAT BerAKHLAK</v>
      </c>
      <c r="P9175" s="5" t="s">
        <v>57122</v>
      </c>
    </row>
    <row r="9176">
      <c r="A9176" s="4">
        <v>45534.43516966436</v>
      </c>
      <c r="B9176" s="5" t="s">
        <v>34</v>
      </c>
      <c r="D9176" s="5" t="s">
        <v>35</v>
      </c>
      <c r="E9176" s="5" t="s">
        <v>57123</v>
      </c>
      <c r="F9176" s="5" t="s">
        <v>37</v>
      </c>
      <c r="G9176" s="5" t="s">
        <v>57124</v>
      </c>
      <c r="H9176" s="6" t="s">
        <v>57125</v>
      </c>
      <c r="K9176" s="5" t="s">
        <v>57107</v>
      </c>
      <c r="M9176" s="5" t="s">
        <v>57126</v>
      </c>
      <c r="N9176" s="7" t="s">
        <v>57127</v>
      </c>
      <c r="O9176" s="8" t="str">
        <f>HYPERLINK("https://drive.google.com/file/d/1Di54R8jB0UStfaCCUN9t9O5-kXkq0GPq/view?usp=drivesdk","9175_DEWI NURDINI,AMD. FARM _ SERTIFIKAT BerAKHLAK")</f>
        <v>9175_DEWI NURDINI,AMD. FARM _ SERTIFIKAT BerAKHLAK</v>
      </c>
      <c r="P9176" s="5" t="s">
        <v>57128</v>
      </c>
    </row>
    <row r="9177">
      <c r="A9177" s="4">
        <v>45534.43544821759</v>
      </c>
      <c r="B9177" s="5" t="s">
        <v>34</v>
      </c>
      <c r="D9177" s="5" t="s">
        <v>10444</v>
      </c>
      <c r="E9177" s="5" t="s">
        <v>57129</v>
      </c>
      <c r="F9177" s="5" t="s">
        <v>212</v>
      </c>
      <c r="G9177" s="5" t="s">
        <v>57130</v>
      </c>
      <c r="H9177" s="6" t="s">
        <v>57131</v>
      </c>
      <c r="K9177" s="5" t="s">
        <v>57132</v>
      </c>
      <c r="M9177" s="5" t="s">
        <v>57133</v>
      </c>
      <c r="N9177" s="7" t="s">
        <v>57134</v>
      </c>
      <c r="O9177" s="8" t="str">
        <f>HYPERLINK("https://drive.google.com/file/d/1SAiNdRoexqR3zHn3WszaNd8Fao5CSzVo/view?usp=drivesdk","9176_SRI HIKMAH, A.Md.Kep _ SERTIFIKAT BerAKHLAK")</f>
        <v>9176_SRI HIKMAH, A.Md.Kep _ SERTIFIKAT BerAKHLAK</v>
      </c>
      <c r="P9177" s="5" t="s">
        <v>57135</v>
      </c>
    </row>
    <row r="9178">
      <c r="A9178" s="4">
        <v>45534.435601087964</v>
      </c>
      <c r="B9178" s="5" t="s">
        <v>34</v>
      </c>
      <c r="D9178" s="5" t="s">
        <v>280</v>
      </c>
      <c r="E9178" s="5" t="s">
        <v>281</v>
      </c>
      <c r="F9178" s="5" t="s">
        <v>212</v>
      </c>
      <c r="G9178" s="5" t="s">
        <v>57136</v>
      </c>
      <c r="H9178" s="6" t="s">
        <v>57137</v>
      </c>
      <c r="K9178" s="5" t="s">
        <v>57138</v>
      </c>
      <c r="M9178" s="5" t="s">
        <v>57139</v>
      </c>
      <c r="N9178" s="7" t="s">
        <v>57140</v>
      </c>
      <c r="O9178" s="8" t="str">
        <f>HYPERLINK("https://drive.google.com/file/d/1X7AZ9ZiVC6r1qBxjAaT0kxLAp9XDm-Oj/view?usp=drivesdk","9177_DIMAS ALFIATNO S.KOM _ SERTIFIKAT BerAKHLAK")</f>
        <v>9177_DIMAS ALFIATNO S.KOM _ SERTIFIKAT BerAKHLAK</v>
      </c>
      <c r="P9178" s="5" t="s">
        <v>57141</v>
      </c>
    </row>
    <row r="9179" hidden="1">
      <c r="A9179" s="4">
        <v>45534.4357790162</v>
      </c>
      <c r="B9179" s="5" t="s">
        <v>19</v>
      </c>
      <c r="C9179" s="5" t="s">
        <v>38343</v>
      </c>
      <c r="E9179" s="5" t="s">
        <v>57142</v>
      </c>
      <c r="F9179" s="5" t="s">
        <v>108</v>
      </c>
      <c r="G9179" s="5" t="s">
        <v>57143</v>
      </c>
      <c r="H9179" s="6" t="s">
        <v>57144</v>
      </c>
      <c r="K9179" s="5" t="s">
        <v>57145</v>
      </c>
      <c r="M9179" s="5" t="s">
        <v>57146</v>
      </c>
      <c r="N9179" s="7" t="s">
        <v>57147</v>
      </c>
      <c r="O9179" s="8" t="str">
        <f>HYPERLINK("https://drive.google.com/file/d/1jEZIWZdzmUxrlUlOo8NLFfp6VLe9uhsY/view?usp=drivesdk","9178_PRIMA ABRIAN, S.Kom _ SERTIFIKAT BerAKHLAK")</f>
        <v>9178_PRIMA ABRIAN, S.Kom _ SERTIFIKAT BerAKHLAK</v>
      </c>
      <c r="P9179" s="5" t="s">
        <v>57148</v>
      </c>
    </row>
    <row r="9180">
      <c r="A9180" s="4">
        <v>45534.43582270833</v>
      </c>
      <c r="B9180" s="5" t="s">
        <v>34</v>
      </c>
      <c r="D9180" s="5" t="s">
        <v>1206</v>
      </c>
      <c r="E9180" s="5" t="s">
        <v>57149</v>
      </c>
      <c r="F9180" s="5" t="s">
        <v>798</v>
      </c>
      <c r="G9180" s="5" t="s">
        <v>57150</v>
      </c>
      <c r="H9180" s="6" t="s">
        <v>57151</v>
      </c>
      <c r="K9180" s="5" t="s">
        <v>57152</v>
      </c>
      <c r="M9180" s="5" t="s">
        <v>57153</v>
      </c>
      <c r="N9180" s="7" t="s">
        <v>57154</v>
      </c>
      <c r="O9180" s="8" t="str">
        <f>HYPERLINK("https://drive.google.com/file/d/166n89KehPwuUZwiNdOsTc_Y6DiW48pCg/view?usp=drivesdk","9179_ISNAINI DWI NOVIANTO _ SERTIFIKAT BerAKHLAK")</f>
        <v>9179_ISNAINI DWI NOVIANTO _ SERTIFIKAT BerAKHLAK</v>
      </c>
      <c r="P9180" s="5" t="s">
        <v>57155</v>
      </c>
    </row>
    <row r="9181">
      <c r="A9181" s="4">
        <v>45534.43588101852</v>
      </c>
      <c r="B9181" s="5" t="s">
        <v>34</v>
      </c>
      <c r="D9181" s="5" t="s">
        <v>701</v>
      </c>
      <c r="E9181" s="5" t="s">
        <v>57156</v>
      </c>
      <c r="F9181" s="5" t="s">
        <v>108</v>
      </c>
      <c r="G9181" s="5" t="s">
        <v>57157</v>
      </c>
      <c r="H9181" s="6" t="s">
        <v>57158</v>
      </c>
      <c r="K9181" s="5" t="s">
        <v>57159</v>
      </c>
      <c r="M9181" s="5" t="s">
        <v>57160</v>
      </c>
      <c r="N9181" s="7" t="s">
        <v>57161</v>
      </c>
      <c r="O9181" s="8" t="str">
        <f>HYPERLINK("https://drive.google.com/file/d/1Gh-mpdIYFVlFcQbdX5hNXI166SQYhJe8/view?usp=drivesdk","9180_Kurnia Widia Nova  _ SERTIFIKAT BerAKHLAK")</f>
        <v>9180_Kurnia Widia Nova  _ SERTIFIKAT BerAKHLAK</v>
      </c>
      <c r="P9181" s="5" t="s">
        <v>57162</v>
      </c>
    </row>
    <row r="9182">
      <c r="A9182" s="4">
        <v>45534.43598546296</v>
      </c>
      <c r="B9182" s="5" t="s">
        <v>34</v>
      </c>
      <c r="D9182" s="5" t="s">
        <v>1206</v>
      </c>
      <c r="E9182" s="5" t="s">
        <v>57163</v>
      </c>
      <c r="F9182" s="5" t="s">
        <v>212</v>
      </c>
      <c r="G9182" s="5" t="s">
        <v>57164</v>
      </c>
      <c r="H9182" s="6" t="s">
        <v>57165</v>
      </c>
      <c r="K9182" s="5" t="s">
        <v>57166</v>
      </c>
      <c r="M9182" s="5" t="s">
        <v>57167</v>
      </c>
      <c r="N9182" s="7" t="s">
        <v>57168</v>
      </c>
      <c r="O9182" s="8" t="str">
        <f>HYPERLINK("https://drive.google.com/file/d/1WH5odjdPAf__BzMebrGP6I8E9WuZ1NwS/view?usp=drivesdk","9181_TEGUH PRIONO _ SERTIFIKAT BerAKHLAK")</f>
        <v>9181_TEGUH PRIONO _ SERTIFIKAT BerAKHLAK</v>
      </c>
      <c r="P9182" s="5" t="s">
        <v>57169</v>
      </c>
    </row>
    <row r="9183">
      <c r="A9183" s="4">
        <v>45534.43598649306</v>
      </c>
      <c r="B9183" s="5" t="s">
        <v>34</v>
      </c>
      <c r="D9183" s="5" t="s">
        <v>35</v>
      </c>
      <c r="E9183" s="5" t="s">
        <v>57170</v>
      </c>
      <c r="F9183" s="5" t="s">
        <v>375</v>
      </c>
      <c r="G9183" s="5" t="s">
        <v>20637</v>
      </c>
      <c r="H9183" s="6" t="s">
        <v>57171</v>
      </c>
      <c r="K9183" s="5" t="s">
        <v>57166</v>
      </c>
      <c r="M9183" s="5" t="s">
        <v>57172</v>
      </c>
      <c r="N9183" s="7" t="s">
        <v>57173</v>
      </c>
      <c r="O9183" s="8" t="str">
        <f>HYPERLINK("https://drive.google.com/file/d/16dEaBXuGLBOEsPnq9wIRqzx5ovOWTFBF/view?usp=drivesdk","9182_DR IKRIMA _ SERTIFIKAT BerAKHLAK")</f>
        <v>9182_DR IKRIMA _ SERTIFIKAT BerAKHLAK</v>
      </c>
      <c r="P9183" s="5" t="s">
        <v>57174</v>
      </c>
    </row>
    <row r="9184" hidden="1">
      <c r="A9184" s="4">
        <v>45534.436111180556</v>
      </c>
      <c r="B9184" s="5" t="s">
        <v>19</v>
      </c>
      <c r="C9184" s="5" t="s">
        <v>20</v>
      </c>
      <c r="E9184" s="5" t="s">
        <v>57175</v>
      </c>
      <c r="F9184" s="5" t="s">
        <v>375</v>
      </c>
      <c r="G9184" s="5" t="s">
        <v>57176</v>
      </c>
      <c r="H9184" s="6" t="s">
        <v>57177</v>
      </c>
      <c r="K9184" s="5" t="s">
        <v>57178</v>
      </c>
      <c r="M9184" s="5" t="s">
        <v>57179</v>
      </c>
      <c r="N9184" s="7" t="s">
        <v>57180</v>
      </c>
      <c r="O9184" s="8" t="str">
        <f>HYPERLINK("https://drive.google.com/file/d/16bnU28pXoMULRM5y9UZXCH1G4H5reZIG/view?usp=drivesdk","9183_SRI YUNIARTI, S.E. _ SERTIFIKAT BerAKHLAK")</f>
        <v>9183_SRI YUNIARTI, S.E. _ SERTIFIKAT BerAKHLAK</v>
      </c>
      <c r="P9184" s="5" t="s">
        <v>57181</v>
      </c>
    </row>
    <row r="9185">
      <c r="A9185" s="4">
        <v>45534.436175358795</v>
      </c>
      <c r="B9185" s="5" t="s">
        <v>34</v>
      </c>
      <c r="D9185" s="5" t="s">
        <v>4775</v>
      </c>
      <c r="E9185" s="5" t="s">
        <v>57182</v>
      </c>
      <c r="F9185" s="5" t="s">
        <v>524</v>
      </c>
      <c r="G9185" s="5" t="s">
        <v>57183</v>
      </c>
      <c r="H9185" s="6" t="s">
        <v>57184</v>
      </c>
      <c r="K9185" s="5" t="s">
        <v>57185</v>
      </c>
      <c r="M9185" s="5" t="s">
        <v>57186</v>
      </c>
      <c r="N9185" s="7" t="s">
        <v>57187</v>
      </c>
      <c r="O9185" s="8" t="str">
        <f>HYPERLINK("https://drive.google.com/file/d/1o9RMNw-AagVgs1rFhEKfLRVd93kC0uDj/view?usp=drivesdk","9184_KUSAERI _ SERTIFIKAT BerAKHLAK")</f>
        <v>9184_KUSAERI _ SERTIFIKAT BerAKHLAK</v>
      </c>
      <c r="P9185" s="5" t="s">
        <v>57188</v>
      </c>
    </row>
    <row r="9186">
      <c r="A9186" s="4">
        <v>45534.4362309375</v>
      </c>
      <c r="B9186" s="5" t="s">
        <v>34</v>
      </c>
      <c r="D9186" s="5" t="s">
        <v>604</v>
      </c>
      <c r="E9186" s="5" t="s">
        <v>37433</v>
      </c>
      <c r="F9186" s="5" t="s">
        <v>108</v>
      </c>
      <c r="G9186" s="5" t="s">
        <v>57189</v>
      </c>
      <c r="H9186" s="6" t="s">
        <v>57190</v>
      </c>
      <c r="K9186" s="5" t="s">
        <v>57191</v>
      </c>
      <c r="M9186" s="5" t="s">
        <v>57192</v>
      </c>
      <c r="N9186" s="7" t="s">
        <v>57193</v>
      </c>
      <c r="O9186" s="8" t="str">
        <f>HYPERLINK("https://drive.google.com/file/d/18ofEoH-SZolxkVmTJGTDfyJzZo8fZzrJ/view?usp=drivesdk","9185_ISMAIL _ SERTIFIKAT BerAKHLAK")</f>
        <v>9185_ISMAIL _ SERTIFIKAT BerAKHLAK</v>
      </c>
      <c r="P9186" s="5" t="s">
        <v>57194</v>
      </c>
    </row>
    <row r="9187">
      <c r="A9187" s="4">
        <v>45534.43623511574</v>
      </c>
      <c r="B9187" s="5" t="s">
        <v>34</v>
      </c>
      <c r="D9187" s="5" t="s">
        <v>10444</v>
      </c>
      <c r="E9187" s="5" t="s">
        <v>57195</v>
      </c>
      <c r="F9187" s="5" t="s">
        <v>37</v>
      </c>
      <c r="G9187" s="5" t="s">
        <v>57196</v>
      </c>
      <c r="H9187" s="6" t="s">
        <v>57197</v>
      </c>
      <c r="K9187" s="5" t="s">
        <v>57191</v>
      </c>
      <c r="M9187" s="5" t="s">
        <v>57198</v>
      </c>
      <c r="N9187" s="7" t="s">
        <v>57199</v>
      </c>
      <c r="O9187" s="8" t="str">
        <f>HYPERLINK("https://drive.google.com/file/d/1AWUZ7ZYnbBXAchhG9M3m51feDgXDJqKS/view?usp=drivesdk","9186_FARAH AURELA, A.Md.Kom. _ SERTIFIKAT BerAKHLAK")</f>
        <v>9186_FARAH AURELA, A.Md.Kom. _ SERTIFIKAT BerAKHLAK</v>
      </c>
      <c r="P9187" s="5" t="s">
        <v>57200</v>
      </c>
    </row>
    <row r="9188">
      <c r="A9188" s="4">
        <v>45534.43624900463</v>
      </c>
      <c r="B9188" s="5" t="s">
        <v>34</v>
      </c>
      <c r="D9188" s="5" t="s">
        <v>1663</v>
      </c>
      <c r="E9188" s="5" t="s">
        <v>57201</v>
      </c>
      <c r="F9188" s="5" t="s">
        <v>108</v>
      </c>
      <c r="G9188" s="5" t="s">
        <v>57202</v>
      </c>
      <c r="H9188" s="6" t="s">
        <v>57203</v>
      </c>
      <c r="K9188" s="5" t="s">
        <v>57204</v>
      </c>
      <c r="M9188" s="5" t="s">
        <v>57205</v>
      </c>
      <c r="N9188" s="7" t="s">
        <v>57206</v>
      </c>
      <c r="O9188" s="8" t="str">
        <f>HYPERLINK("https://drive.google.com/file/d/1CqiUdMqv5Y9H3jnRXicZOW0Lq3AaqKdD/view?usp=drivesdk","9187_YENI SARLIJA  _ SERTIFIKAT BerAKHLAK")</f>
        <v>9187_YENI SARLIJA  _ SERTIFIKAT BerAKHLAK</v>
      </c>
      <c r="P9188" s="5" t="s">
        <v>57207</v>
      </c>
    </row>
    <row r="9189">
      <c r="A9189" s="4">
        <v>45534.43628365741</v>
      </c>
      <c r="B9189" s="5" t="s">
        <v>34</v>
      </c>
      <c r="D9189" s="5" t="s">
        <v>35</v>
      </c>
      <c r="E9189" s="5" t="s">
        <v>57208</v>
      </c>
      <c r="F9189" s="5" t="s">
        <v>375</v>
      </c>
      <c r="G9189" s="5" t="s">
        <v>57209</v>
      </c>
      <c r="H9189" s="6" t="s">
        <v>57210</v>
      </c>
      <c r="K9189" s="5" t="s">
        <v>57204</v>
      </c>
      <c r="M9189" s="5" t="s">
        <v>57211</v>
      </c>
      <c r="N9189" s="7" t="s">
        <v>57212</v>
      </c>
      <c r="O9189" s="8" t="str">
        <f>HYPERLINK("https://drive.google.com/file/d/1SFMhrLpbwCTQRw_thseoKhWvdM4YAeJv/view?usp=drivesdk","9188_RAMDANI _ SERTIFIKAT BerAKHLAK")</f>
        <v>9188_RAMDANI _ SERTIFIKAT BerAKHLAK</v>
      </c>
      <c r="P9189" s="5" t="s">
        <v>57213</v>
      </c>
    </row>
    <row r="9190">
      <c r="A9190" s="4">
        <v>45534.43640733796</v>
      </c>
      <c r="B9190" s="5" t="s">
        <v>34</v>
      </c>
      <c r="D9190" s="5" t="s">
        <v>522</v>
      </c>
      <c r="E9190" s="5" t="s">
        <v>57214</v>
      </c>
      <c r="F9190" s="5" t="s">
        <v>328</v>
      </c>
      <c r="G9190" s="5" t="s">
        <v>57215</v>
      </c>
      <c r="H9190" s="6" t="s">
        <v>57216</v>
      </c>
      <c r="K9190" s="5" t="s">
        <v>57217</v>
      </c>
      <c r="M9190" s="5" t="s">
        <v>57218</v>
      </c>
      <c r="N9190" s="7" t="s">
        <v>57219</v>
      </c>
      <c r="O9190" s="8" t="str">
        <f>HYPERLINK("https://drive.google.com/file/d/1aoShLTapmBxPPGVD7RngZxHN3smVUolv/view?usp=drivesdk","9189_PENGDA AYUB _ SERTIFIKAT BerAKHLAK")</f>
        <v>9189_PENGDA AYUB _ SERTIFIKAT BerAKHLAK</v>
      </c>
      <c r="P9190" s="5" t="s">
        <v>57220</v>
      </c>
    </row>
    <row r="9191" hidden="1">
      <c r="A9191" s="4">
        <v>45534.43645710648</v>
      </c>
      <c r="B9191" s="5" t="s">
        <v>19</v>
      </c>
      <c r="C9191" s="5" t="s">
        <v>1498</v>
      </c>
      <c r="E9191" s="5" t="s">
        <v>57221</v>
      </c>
      <c r="F9191" s="5" t="s">
        <v>108</v>
      </c>
      <c r="G9191" s="5" t="s">
        <v>57222</v>
      </c>
      <c r="H9191" s="6" t="s">
        <v>57223</v>
      </c>
      <c r="K9191" s="5" t="s">
        <v>57217</v>
      </c>
      <c r="M9191" s="5" t="s">
        <v>57224</v>
      </c>
      <c r="N9191" s="7" t="s">
        <v>57225</v>
      </c>
      <c r="O9191" s="8" t="str">
        <f>HYPERLINK("https://drive.google.com/file/d/1O4ZyviVg6tpsQ1u37DMQMgnE0EQkfQ5v/view?usp=drivesdk","9190_ARIF HIDAYANTO, S.E., M.Ak. _ SERTIFIKAT BerAKHLAK")</f>
        <v>9190_ARIF HIDAYANTO, S.E., M.Ak. _ SERTIFIKAT BerAKHLAK</v>
      </c>
      <c r="P9191" s="5" t="s">
        <v>57226</v>
      </c>
    </row>
    <row r="9192">
      <c r="A9192" s="4">
        <v>45534.43646636574</v>
      </c>
      <c r="B9192" s="5" t="s">
        <v>34</v>
      </c>
      <c r="D9192" s="5" t="s">
        <v>9020</v>
      </c>
      <c r="E9192" s="5" t="s">
        <v>57227</v>
      </c>
      <c r="F9192" s="5" t="s">
        <v>212</v>
      </c>
      <c r="G9192" s="5" t="s">
        <v>57228</v>
      </c>
      <c r="H9192" s="6" t="s">
        <v>57229</v>
      </c>
      <c r="K9192" s="5" t="s">
        <v>57217</v>
      </c>
      <c r="M9192" s="5" t="s">
        <v>57230</v>
      </c>
      <c r="N9192" s="7" t="s">
        <v>57231</v>
      </c>
      <c r="O9192" s="8" t="str">
        <f>HYPERLINK("https://drive.google.com/file/d/1iB9I7OUilXnDNME9qvIAeCVTGmPnCMaK/view?usp=drivesdk","9191_REYMESTA AMBARITA, S. KOM _ SERTIFIKAT BerAKHLAK")</f>
        <v>9191_REYMESTA AMBARITA, S. KOM _ SERTIFIKAT BerAKHLAK</v>
      </c>
      <c r="P9192" s="5" t="s">
        <v>57232</v>
      </c>
    </row>
    <row r="9193">
      <c r="A9193" s="4">
        <v>45534.43657106481</v>
      </c>
      <c r="B9193" s="5" t="s">
        <v>34</v>
      </c>
      <c r="D9193" s="5" t="s">
        <v>15401</v>
      </c>
      <c r="E9193" s="5" t="s">
        <v>57233</v>
      </c>
      <c r="F9193" s="5" t="s">
        <v>72</v>
      </c>
      <c r="G9193" s="5" t="s">
        <v>57234</v>
      </c>
      <c r="H9193" s="6" t="s">
        <v>57235</v>
      </c>
      <c r="K9193" s="5" t="s">
        <v>57217</v>
      </c>
      <c r="M9193" s="5" t="s">
        <v>57236</v>
      </c>
      <c r="N9193" s="7" t="s">
        <v>57237</v>
      </c>
      <c r="O9193" s="8" t="str">
        <f>HYPERLINK("https://drive.google.com/file/d/1Z4om66aCSanVQsSgPq98K08iB_P7krUo/view?usp=drivesdk","9192_Ns.Kartini,S.Kep _ SERTIFIKAT BerAKHLAK")</f>
        <v>9192_Ns.Kartini,S.Kep _ SERTIFIKAT BerAKHLAK</v>
      </c>
      <c r="P9193" s="5" t="s">
        <v>57238</v>
      </c>
    </row>
    <row r="9194" hidden="1">
      <c r="A9194" s="4">
        <v>45534.43667248843</v>
      </c>
      <c r="B9194" s="5" t="s">
        <v>19</v>
      </c>
      <c r="C9194" s="5" t="s">
        <v>292</v>
      </c>
      <c r="E9194" s="5" t="s">
        <v>57239</v>
      </c>
      <c r="F9194" s="5" t="s">
        <v>37</v>
      </c>
      <c r="G9194" s="5" t="s">
        <v>57240</v>
      </c>
      <c r="H9194" s="6" t="s">
        <v>57241</v>
      </c>
      <c r="K9194" s="5" t="s">
        <v>57217</v>
      </c>
      <c r="M9194" s="5" t="s">
        <v>57242</v>
      </c>
      <c r="N9194" s="7" t="s">
        <v>57243</v>
      </c>
      <c r="O9194" s="8" t="str">
        <f>HYPERLINK("https://drive.google.com/file/d/1YYNfs0YDsda_1R-C7JaMI5MyBXcb1MZH/view?usp=drivesdk","9193_RIZKYA RAMADHANTI, A.Md. Kep. _ SERTIFIKAT BerAKHLAK")</f>
        <v>9193_RIZKYA RAMADHANTI, A.Md. Kep. _ SERTIFIKAT BerAKHLAK</v>
      </c>
      <c r="P9194" s="5" t="s">
        <v>57244</v>
      </c>
    </row>
    <row r="9195">
      <c r="A9195" s="4">
        <v>45534.4368793287</v>
      </c>
      <c r="B9195" s="5" t="s">
        <v>34</v>
      </c>
      <c r="D9195" s="5" t="s">
        <v>522</v>
      </c>
      <c r="E9195" s="5" t="s">
        <v>57245</v>
      </c>
      <c r="F9195" s="5" t="s">
        <v>212</v>
      </c>
      <c r="G9195" s="5" t="s">
        <v>57246</v>
      </c>
      <c r="H9195" s="6" t="s">
        <v>57247</v>
      </c>
      <c r="K9195" s="5" t="s">
        <v>57248</v>
      </c>
      <c r="M9195" s="5" t="s">
        <v>57249</v>
      </c>
      <c r="N9195" s="7" t="s">
        <v>57250</v>
      </c>
      <c r="O9195" s="8" t="str">
        <f>HYPERLINK("https://drive.google.com/file/d/1kChTI2XOqUBXZQSPeRzfJp89aYzojhH0/view?usp=drivesdk","9194_NUR FARIDA SURYANI _ SERTIFIKAT BerAKHLAK")</f>
        <v>9194_NUR FARIDA SURYANI _ SERTIFIKAT BerAKHLAK</v>
      </c>
      <c r="P9195" s="5" t="s">
        <v>57251</v>
      </c>
    </row>
    <row r="9196" hidden="1">
      <c r="A9196" s="4">
        <v>45534.43695981482</v>
      </c>
      <c r="B9196" s="5" t="s">
        <v>19</v>
      </c>
      <c r="C9196" s="5" t="s">
        <v>3301</v>
      </c>
      <c r="E9196" s="5" t="s">
        <v>57252</v>
      </c>
      <c r="F9196" s="5" t="s">
        <v>108</v>
      </c>
      <c r="G9196" s="5" t="s">
        <v>57253</v>
      </c>
      <c r="H9196" s="6" t="s">
        <v>57254</v>
      </c>
      <c r="K9196" s="5" t="s">
        <v>57248</v>
      </c>
      <c r="M9196" s="5" t="s">
        <v>57255</v>
      </c>
      <c r="N9196" s="7" t="s">
        <v>57256</v>
      </c>
      <c r="O9196" s="8" t="str">
        <f>HYPERLINK("https://drive.google.com/file/d/1Hmay7_jZ9u4YQ7fl7ceaYZk6wQSFrQk-/view?usp=drivesdk","9195_dr. DIAH DEWI ANGGRAENI _ SERTIFIKAT BerAKHLAK")</f>
        <v>9195_dr. DIAH DEWI ANGGRAENI _ SERTIFIKAT BerAKHLAK</v>
      </c>
      <c r="P9196" s="5" t="s">
        <v>57257</v>
      </c>
    </row>
    <row r="9197">
      <c r="A9197" s="4">
        <v>45534.437039745375</v>
      </c>
      <c r="B9197" s="5" t="s">
        <v>34</v>
      </c>
      <c r="D9197" s="5" t="s">
        <v>4775</v>
      </c>
      <c r="E9197" s="5" t="s">
        <v>57258</v>
      </c>
      <c r="F9197" s="5" t="s">
        <v>212</v>
      </c>
      <c r="G9197" s="5" t="s">
        <v>57259</v>
      </c>
      <c r="H9197" s="6" t="s">
        <v>57260</v>
      </c>
      <c r="K9197" s="5" t="s">
        <v>57261</v>
      </c>
      <c r="M9197" s="5" t="s">
        <v>57262</v>
      </c>
      <c r="N9197" s="7" t="s">
        <v>57263</v>
      </c>
      <c r="O9197" s="8" t="str">
        <f>HYPERLINK("https://drive.google.com/file/d/1LiBpz8-O0q_p5-JNjdaL0vlrqjIOvJON/view?usp=drivesdk","9196_KABUL ABADI _ SERTIFIKAT BerAKHLAK")</f>
        <v>9196_KABUL ABADI _ SERTIFIKAT BerAKHLAK</v>
      </c>
      <c r="P9197" s="5" t="s">
        <v>57264</v>
      </c>
    </row>
    <row r="9198">
      <c r="A9198" s="4">
        <v>45534.43708011574</v>
      </c>
      <c r="B9198" s="5" t="s">
        <v>34</v>
      </c>
      <c r="D9198" s="5" t="s">
        <v>9020</v>
      </c>
      <c r="E9198" s="5" t="s">
        <v>57265</v>
      </c>
      <c r="F9198" s="5" t="s">
        <v>212</v>
      </c>
      <c r="G9198" s="5" t="s">
        <v>57266</v>
      </c>
      <c r="H9198" s="6" t="s">
        <v>57267</v>
      </c>
      <c r="K9198" s="5" t="s">
        <v>57261</v>
      </c>
      <c r="M9198" s="5" t="s">
        <v>57268</v>
      </c>
      <c r="N9198" s="7" t="s">
        <v>57269</v>
      </c>
      <c r="O9198" s="8" t="str">
        <f>HYPERLINK("https://drive.google.com/file/d/1fbkC35b_UdCVu-nTqSSq1EmjtKDIMaIq/view?usp=drivesdk","9197_PURNAMA MANIK _ SERTIFIKAT BerAKHLAK")</f>
        <v>9197_PURNAMA MANIK _ SERTIFIKAT BerAKHLAK</v>
      </c>
      <c r="P9198" s="5" t="s">
        <v>57270</v>
      </c>
    </row>
    <row r="9199">
      <c r="A9199" s="4">
        <v>45534.437081446755</v>
      </c>
      <c r="B9199" s="5" t="s">
        <v>34</v>
      </c>
      <c r="D9199" s="5" t="s">
        <v>11527</v>
      </c>
      <c r="E9199" s="5" t="s">
        <v>36540</v>
      </c>
      <c r="F9199" s="5" t="s">
        <v>375</v>
      </c>
      <c r="G9199" s="5" t="s">
        <v>57271</v>
      </c>
      <c r="H9199" s="6" t="s">
        <v>57272</v>
      </c>
      <c r="K9199" s="5" t="s">
        <v>57261</v>
      </c>
      <c r="M9199" s="5" t="s">
        <v>57273</v>
      </c>
      <c r="N9199" s="7" t="s">
        <v>57274</v>
      </c>
      <c r="O9199" s="8" t="str">
        <f>HYPERLINK("https://drive.google.com/file/d/15LE5MzSOfvQE2menmYSnuzxxPt0P0tty/view?usp=drivesdk","9198_SUPRIYANTO _ SERTIFIKAT BerAKHLAK")</f>
        <v>9198_SUPRIYANTO _ SERTIFIKAT BerAKHLAK</v>
      </c>
      <c r="P9199" s="5" t="s">
        <v>57275</v>
      </c>
    </row>
    <row r="9200">
      <c r="A9200" s="4">
        <v>45534.437101296295</v>
      </c>
      <c r="B9200" s="5" t="s">
        <v>34</v>
      </c>
      <c r="D9200" s="5" t="s">
        <v>1206</v>
      </c>
      <c r="E9200" s="5" t="s">
        <v>57276</v>
      </c>
      <c r="F9200" s="5" t="s">
        <v>524</v>
      </c>
      <c r="G9200" s="5" t="s">
        <v>57277</v>
      </c>
      <c r="H9200" s="6" t="s">
        <v>57278</v>
      </c>
      <c r="K9200" s="5" t="s">
        <v>57261</v>
      </c>
      <c r="M9200" s="5" t="s">
        <v>57279</v>
      </c>
      <c r="N9200" s="7" t="s">
        <v>57280</v>
      </c>
      <c r="O9200" s="8" t="str">
        <f>HYPERLINK("https://drive.google.com/file/d/1FHy-m5v1X3aJGy8Rw0rt17OHvwNzmLzg/view?usp=drivesdk","9199_SUNARTI,S.Kep.Ners _ SERTIFIKAT BerAKHLAK")</f>
        <v>9199_SUNARTI,S.Kep.Ners _ SERTIFIKAT BerAKHLAK</v>
      </c>
      <c r="P9200" s="5" t="s">
        <v>57281</v>
      </c>
    </row>
    <row r="9201">
      <c r="A9201" s="4">
        <v>45534.43710311342</v>
      </c>
      <c r="B9201" s="5" t="s">
        <v>34</v>
      </c>
      <c r="D9201" s="5" t="s">
        <v>1558</v>
      </c>
      <c r="E9201" s="5" t="s">
        <v>57282</v>
      </c>
      <c r="F9201" s="5" t="s">
        <v>72</v>
      </c>
      <c r="G9201" s="5" t="s">
        <v>57283</v>
      </c>
      <c r="H9201" s="6" t="s">
        <v>57284</v>
      </c>
      <c r="K9201" s="5" t="s">
        <v>57261</v>
      </c>
      <c r="M9201" s="5" t="s">
        <v>57285</v>
      </c>
      <c r="N9201" s="7" t="s">
        <v>57286</v>
      </c>
      <c r="O9201" s="8" t="str">
        <f>HYPERLINK("https://drive.google.com/file/d/15usX331Vl0gtVB_q1z_meR1S7XEKAULS/view?usp=drivesdk","9200_Dian Anggraeni, S.Sos _ SERTIFIKAT BerAKHLAK")</f>
        <v>9200_Dian Anggraeni, S.Sos _ SERTIFIKAT BerAKHLAK</v>
      </c>
      <c r="P9201" s="5" t="s">
        <v>57287</v>
      </c>
    </row>
    <row r="9202">
      <c r="A9202" s="4">
        <v>45534.43715570602</v>
      </c>
      <c r="B9202" s="5" t="s">
        <v>34</v>
      </c>
      <c r="D9202" s="5" t="s">
        <v>11527</v>
      </c>
      <c r="E9202" s="5" t="s">
        <v>57288</v>
      </c>
      <c r="F9202" s="5" t="s">
        <v>375</v>
      </c>
      <c r="G9202" s="5" t="s">
        <v>57289</v>
      </c>
      <c r="H9202" s="6" t="s">
        <v>57290</v>
      </c>
      <c r="K9202" s="5" t="s">
        <v>57261</v>
      </c>
      <c r="M9202" s="5" t="s">
        <v>57291</v>
      </c>
      <c r="N9202" s="7" t="s">
        <v>57292</v>
      </c>
      <c r="O9202" s="8" t="str">
        <f>HYPERLINK("https://drive.google.com/file/d/1raj6EJUXzAW7X6LpMwrIKT6gRF8YHosD/view?usp=drivesdk","9201_EUNIKE CHRISTINA ELFARINI, S.E. _ SERTIFIKAT BerAKHLAK")</f>
        <v>9201_EUNIKE CHRISTINA ELFARINI, S.E. _ SERTIFIKAT BerAKHLAK</v>
      </c>
      <c r="P9202" s="5" t="s">
        <v>57293</v>
      </c>
    </row>
    <row r="9203" hidden="1">
      <c r="A9203" s="4">
        <v>45534.43716490741</v>
      </c>
      <c r="B9203" s="5" t="s">
        <v>19</v>
      </c>
      <c r="C9203" s="5" t="s">
        <v>5564</v>
      </c>
      <c r="E9203" s="5" t="s">
        <v>57294</v>
      </c>
      <c r="F9203" s="5" t="s">
        <v>212</v>
      </c>
      <c r="G9203" s="5" t="s">
        <v>57295</v>
      </c>
      <c r="H9203" s="6" t="s">
        <v>57296</v>
      </c>
      <c r="K9203" s="5" t="s">
        <v>57261</v>
      </c>
      <c r="M9203" s="5" t="s">
        <v>57297</v>
      </c>
      <c r="N9203" s="7" t="s">
        <v>57298</v>
      </c>
      <c r="O9203" s="8" t="str">
        <f>HYPERLINK("https://drive.google.com/file/d/1749iVMf_TOLmCpf_5gnuBhCebUPZDQRt/view?usp=drivesdk","9202_MAMAN NUROHMAN _ SERTIFIKAT BerAKHLAK")</f>
        <v>9202_MAMAN NUROHMAN _ SERTIFIKAT BerAKHLAK</v>
      </c>
      <c r="P9203" s="5" t="s">
        <v>57299</v>
      </c>
    </row>
    <row r="9204" hidden="1">
      <c r="A9204" s="4">
        <v>45534.43716722222</v>
      </c>
      <c r="B9204" s="5" t="s">
        <v>19</v>
      </c>
      <c r="C9204" s="5" t="s">
        <v>466</v>
      </c>
      <c r="E9204" s="5" t="s">
        <v>57300</v>
      </c>
      <c r="F9204" s="5" t="s">
        <v>6776</v>
      </c>
      <c r="G9204" s="5" t="s">
        <v>57301</v>
      </c>
      <c r="H9204" s="6" t="s">
        <v>57302</v>
      </c>
      <c r="K9204" s="5" t="s">
        <v>57261</v>
      </c>
      <c r="M9204" s="5" t="s">
        <v>57303</v>
      </c>
      <c r="N9204" s="7" t="s">
        <v>57304</v>
      </c>
      <c r="O9204" s="8" t="str">
        <f>HYPERLINK("https://drive.google.com/file/d/1g_YiGggyH6rHZiue2VCdJQJW1zW5l1xg/view?usp=drivesdk","9203_AMBRANSYAH _ SERTIFIKAT BerAKHLAK")</f>
        <v>9203_AMBRANSYAH _ SERTIFIKAT BerAKHLAK</v>
      </c>
      <c r="P9204" s="5" t="s">
        <v>57305</v>
      </c>
    </row>
    <row r="9205">
      <c r="A9205" s="4">
        <v>45534.437182037036</v>
      </c>
      <c r="B9205" s="5" t="s">
        <v>34</v>
      </c>
      <c r="D9205" s="5" t="s">
        <v>9020</v>
      </c>
      <c r="E9205" s="5" t="s">
        <v>57306</v>
      </c>
      <c r="F9205" s="5" t="s">
        <v>524</v>
      </c>
      <c r="G9205" s="5" t="s">
        <v>57307</v>
      </c>
      <c r="H9205" s="6" t="s">
        <v>57308</v>
      </c>
      <c r="K9205" s="5" t="s">
        <v>57309</v>
      </c>
      <c r="M9205" s="5" t="s">
        <v>57310</v>
      </c>
      <c r="N9205" s="7" t="s">
        <v>57311</v>
      </c>
      <c r="O9205" s="8" t="str">
        <f>HYPERLINK("https://drive.google.com/file/d/13i4XzU8wYsEAAvop-nXuug6WDxBi1PmU/view?usp=drivesdk","9204_MITA SIRINGO RINGO S. Kep. Ners _ SERTIFIKAT BerAKHLAK")</f>
        <v>9204_MITA SIRINGO RINGO S. Kep. Ners _ SERTIFIKAT BerAKHLAK</v>
      </c>
      <c r="P9205" s="5" t="s">
        <v>57312</v>
      </c>
    </row>
    <row r="9206" hidden="1">
      <c r="A9206" s="4">
        <v>45534.437290173606</v>
      </c>
      <c r="B9206" s="5" t="s">
        <v>19</v>
      </c>
      <c r="C9206" s="5" t="s">
        <v>32901</v>
      </c>
      <c r="E9206" s="5" t="s">
        <v>57313</v>
      </c>
      <c r="F9206" s="5" t="s">
        <v>72</v>
      </c>
      <c r="G9206" s="5" t="s">
        <v>57314</v>
      </c>
      <c r="H9206" s="6" t="s">
        <v>57315</v>
      </c>
      <c r="K9206" s="5" t="s">
        <v>57309</v>
      </c>
      <c r="M9206" s="5" t="s">
        <v>57316</v>
      </c>
      <c r="N9206" s="7" t="s">
        <v>57317</v>
      </c>
      <c r="O9206" s="8" t="str">
        <f>HYPERLINK("https://drive.google.com/file/d/1HmkE0WG87GNUoSWg5V3N6e6HDMiFFmAm/view?usp=drivesdk","9205_DWI AMBARWATI  _ SERTIFIKAT BerAKHLAK")</f>
        <v>9205_DWI AMBARWATI  _ SERTIFIKAT BerAKHLAK</v>
      </c>
      <c r="P9206" s="5" t="s">
        <v>57318</v>
      </c>
    </row>
    <row r="9207">
      <c r="A9207" s="4">
        <v>45534.437382696764</v>
      </c>
      <c r="B9207" s="5" t="s">
        <v>34</v>
      </c>
      <c r="D9207" s="5" t="s">
        <v>4775</v>
      </c>
      <c r="E9207" s="5" t="s">
        <v>57319</v>
      </c>
      <c r="F9207" s="5" t="s">
        <v>375</v>
      </c>
      <c r="G9207" s="5" t="s">
        <v>57320</v>
      </c>
      <c r="H9207" s="6" t="s">
        <v>57321</v>
      </c>
      <c r="K9207" s="5" t="s">
        <v>57309</v>
      </c>
      <c r="M9207" s="5" t="s">
        <v>57322</v>
      </c>
      <c r="N9207" s="7" t="s">
        <v>57323</v>
      </c>
      <c r="O9207" s="8" t="str">
        <f>HYPERLINK("https://drive.google.com/file/d/1jx1tbf6skMe6_br2uscONmade9XPcUpo/view?usp=drivesdk","9206_NASYIR, S. Sos _ SERTIFIKAT BerAKHLAK")</f>
        <v>9206_NASYIR, S. Sos _ SERTIFIKAT BerAKHLAK</v>
      </c>
      <c r="P9207" s="5" t="s">
        <v>57324</v>
      </c>
    </row>
    <row r="9208">
      <c r="A9208" s="4">
        <v>45534.43745373843</v>
      </c>
      <c r="B9208" s="5" t="s">
        <v>34</v>
      </c>
      <c r="D9208" s="5" t="s">
        <v>4775</v>
      </c>
      <c r="E9208" s="5" t="s">
        <v>57325</v>
      </c>
      <c r="F9208" s="5" t="s">
        <v>72</v>
      </c>
      <c r="G9208" s="5" t="s">
        <v>57326</v>
      </c>
      <c r="H9208" s="6" t="s">
        <v>57327</v>
      </c>
      <c r="K9208" s="5" t="s">
        <v>57309</v>
      </c>
      <c r="M9208" s="5" t="s">
        <v>57328</v>
      </c>
      <c r="N9208" s="7" t="s">
        <v>57329</v>
      </c>
      <c r="O9208" s="8" t="str">
        <f>HYPERLINK("https://drive.google.com/file/d/1oqLxs_12ntTmW9hEdQma_opZiXbHmoC_/view?usp=drivesdk","9207_SINTA ARI WATININGSIH, A.Md. _ SERTIFIKAT BerAKHLAK")</f>
        <v>9207_SINTA ARI WATININGSIH, A.Md. _ SERTIFIKAT BerAKHLAK</v>
      </c>
      <c r="P9208" s="5" t="s">
        <v>57324</v>
      </c>
    </row>
    <row r="9209">
      <c r="A9209" s="4">
        <v>45534.43746527778</v>
      </c>
      <c r="B9209" s="5" t="s">
        <v>34</v>
      </c>
      <c r="D9209" s="5" t="s">
        <v>11527</v>
      </c>
      <c r="E9209" s="5" t="s">
        <v>57330</v>
      </c>
      <c r="F9209" s="5" t="s">
        <v>375</v>
      </c>
      <c r="G9209" s="5" t="s">
        <v>57331</v>
      </c>
      <c r="H9209" s="6" t="s">
        <v>57332</v>
      </c>
      <c r="K9209" s="5" t="s">
        <v>57309</v>
      </c>
      <c r="M9209" s="5" t="s">
        <v>57333</v>
      </c>
      <c r="N9209" s="7" t="s">
        <v>57334</v>
      </c>
      <c r="O9209" s="8" t="str">
        <f>HYPERLINK("https://drive.google.com/file/d/1MHi6zZB_aZbTQ9fX1kmFjsIxPZM36HtT/view?usp=drivesdk","9208_RONY SIAGIAN _ SERTIFIKAT BerAKHLAK")</f>
        <v>9208_RONY SIAGIAN _ SERTIFIKAT BerAKHLAK</v>
      </c>
      <c r="P9209" s="5" t="s">
        <v>57324</v>
      </c>
    </row>
    <row r="9210">
      <c r="A9210" s="4">
        <v>45534.43753850694</v>
      </c>
      <c r="B9210" s="5" t="s">
        <v>34</v>
      </c>
      <c r="D9210" s="5" t="s">
        <v>267</v>
      </c>
      <c r="E9210" s="5" t="s">
        <v>57335</v>
      </c>
      <c r="F9210" s="5" t="s">
        <v>375</v>
      </c>
      <c r="G9210" s="5" t="s">
        <v>57336</v>
      </c>
      <c r="H9210" s="6" t="s">
        <v>57337</v>
      </c>
      <c r="K9210" s="5" t="s">
        <v>57309</v>
      </c>
      <c r="M9210" s="5" t="s">
        <v>57338</v>
      </c>
      <c r="N9210" s="7" t="s">
        <v>57339</v>
      </c>
      <c r="O9210" s="8" t="str">
        <f>HYPERLINK("https://drive.google.com/file/d/14kvYiuRJCnv8Y__iye1kTvIfKnKN1z9W/view?usp=drivesdk","9209_EKO MISWONO, S. Kom _ SERTIFIKAT BerAKHLAK")</f>
        <v>9209_EKO MISWONO, S. Kom _ SERTIFIKAT BerAKHLAK</v>
      </c>
      <c r="P9210" s="5" t="s">
        <v>57324</v>
      </c>
    </row>
    <row r="9211">
      <c r="A9211" s="4">
        <v>45534.4375993287</v>
      </c>
      <c r="B9211" s="5" t="s">
        <v>34</v>
      </c>
      <c r="D9211" s="5" t="s">
        <v>11913</v>
      </c>
      <c r="E9211" s="5" t="s">
        <v>57340</v>
      </c>
      <c r="F9211" s="5" t="s">
        <v>524</v>
      </c>
      <c r="G9211" s="5" t="s">
        <v>57341</v>
      </c>
      <c r="H9211" s="6" t="s">
        <v>57342</v>
      </c>
      <c r="K9211" s="5" t="s">
        <v>57309</v>
      </c>
      <c r="M9211" s="5" t="s">
        <v>57343</v>
      </c>
      <c r="N9211" s="7" t="s">
        <v>57344</v>
      </c>
      <c r="O9211" s="8" t="str">
        <f>HYPERLINK("https://drive.google.com/file/d/1wzLjzQ23q3uqpP8I1ZwDjbWrmvQQ4vSa/view?usp=drivesdk","9210_SIPRIANUS DESA. AMD. KEP _ SERTIFIKAT BerAKHLAK")</f>
        <v>9210_SIPRIANUS DESA. AMD. KEP _ SERTIFIKAT BerAKHLAK</v>
      </c>
      <c r="P9211" s="5" t="s">
        <v>57324</v>
      </c>
    </row>
    <row r="9212">
      <c r="A9212" s="4">
        <v>45534.43761946759</v>
      </c>
      <c r="B9212" s="5" t="s">
        <v>34</v>
      </c>
      <c r="D9212" s="5" t="s">
        <v>35</v>
      </c>
      <c r="E9212" s="5" t="s">
        <v>57345</v>
      </c>
      <c r="F9212" s="5" t="s">
        <v>72</v>
      </c>
      <c r="G9212" s="5" t="s">
        <v>57346</v>
      </c>
      <c r="H9212" s="6" t="s">
        <v>57347</v>
      </c>
      <c r="K9212" s="5" t="s">
        <v>57309</v>
      </c>
      <c r="M9212" s="5" t="s">
        <v>57348</v>
      </c>
      <c r="N9212" s="7" t="s">
        <v>57349</v>
      </c>
      <c r="O9212" s="8" t="str">
        <f>HYPERLINK("https://drive.google.com/file/d/13WP4XDJ_NKFolR6JB5EUI17LcOJf3E1s/view?usp=drivesdk","9211_ALAMSAH _ SERTIFIKAT BerAKHLAK")</f>
        <v>9211_ALAMSAH _ SERTIFIKAT BerAKHLAK</v>
      </c>
      <c r="P9212" s="5" t="s">
        <v>57350</v>
      </c>
    </row>
    <row r="9213">
      <c r="A9213" s="4">
        <v>45534.43770931713</v>
      </c>
      <c r="B9213" s="5" t="s">
        <v>34</v>
      </c>
      <c r="D9213" s="5" t="s">
        <v>9020</v>
      </c>
      <c r="E9213" s="5" t="s">
        <v>57351</v>
      </c>
      <c r="F9213" s="5" t="s">
        <v>212</v>
      </c>
      <c r="G9213" s="5" t="s">
        <v>57352</v>
      </c>
      <c r="H9213" s="6" t="s">
        <v>57353</v>
      </c>
      <c r="K9213" s="5" t="s">
        <v>57354</v>
      </c>
      <c r="M9213" s="5" t="s">
        <v>57355</v>
      </c>
      <c r="N9213" s="7" t="s">
        <v>57356</v>
      </c>
      <c r="O9213" s="8" t="str">
        <f>HYPERLINK("https://drive.google.com/file/d/15FRs_Bi68U8S7iRWH9lj8Mhtambyfsmx/view?usp=drivesdk","9212_CAHAYA MELATI HUTABARAT, Am.Keb _ SERTIFIKAT BerAKHLAK")</f>
        <v>9212_CAHAYA MELATI HUTABARAT, Am.Keb _ SERTIFIKAT BerAKHLAK</v>
      </c>
      <c r="P9213" s="5" t="s">
        <v>57350</v>
      </c>
    </row>
    <row r="9214" hidden="1">
      <c r="A9214" s="4">
        <v>45534.43777045139</v>
      </c>
      <c r="B9214" s="5" t="s">
        <v>19</v>
      </c>
      <c r="C9214" s="5" t="s">
        <v>292</v>
      </c>
      <c r="E9214" s="5" t="s">
        <v>57357</v>
      </c>
      <c r="F9214" s="5" t="s">
        <v>72</v>
      </c>
      <c r="G9214" s="5" t="s">
        <v>57358</v>
      </c>
      <c r="H9214" s="6" t="s">
        <v>57359</v>
      </c>
      <c r="K9214" s="5" t="s">
        <v>57354</v>
      </c>
      <c r="M9214" s="5" t="s">
        <v>57360</v>
      </c>
      <c r="N9214" s="7" t="s">
        <v>57361</v>
      </c>
      <c r="O9214" s="8" t="str">
        <f>HYPERLINK("https://drive.google.com/file/d/1dcvZZSABC-EiYjFPpB-WRjqF0wXZRrgS/view?usp=drivesdk","9213_dr SITI ANUGERAH SARAH MULIAWATI N _ SERTIFIKAT BerAKHLAK")</f>
        <v>9213_dr SITI ANUGERAH SARAH MULIAWATI N _ SERTIFIKAT BerAKHLAK</v>
      </c>
      <c r="P9214" s="5" t="s">
        <v>57350</v>
      </c>
    </row>
    <row r="9215">
      <c r="A9215" s="4">
        <v>45534.43792364583</v>
      </c>
      <c r="B9215" s="5" t="s">
        <v>34</v>
      </c>
      <c r="D9215" s="5" t="s">
        <v>12978</v>
      </c>
      <c r="E9215" s="5" t="s">
        <v>57362</v>
      </c>
      <c r="F9215" s="5" t="s">
        <v>375</v>
      </c>
      <c r="G9215" s="5" t="s">
        <v>57363</v>
      </c>
      <c r="H9215" s="6" t="s">
        <v>57364</v>
      </c>
      <c r="K9215" s="5" t="s">
        <v>57354</v>
      </c>
      <c r="M9215" s="5" t="s">
        <v>57365</v>
      </c>
      <c r="N9215" s="7" t="s">
        <v>57366</v>
      </c>
      <c r="O9215" s="8" t="str">
        <f>HYPERLINK("https://drive.google.com/file/d/1072fxuj7ZDhd3DUPK1KjUUufnUmxO7ES/view?usp=drivesdk","9214_MARTINI HANDAYANI, S.E. _ SERTIFIKAT BerAKHLAK")</f>
        <v>9214_MARTINI HANDAYANI, S.E. _ SERTIFIKAT BerAKHLAK</v>
      </c>
      <c r="P9215" s="5" t="s">
        <v>57350</v>
      </c>
    </row>
    <row r="9216">
      <c r="A9216" s="4">
        <v>45534.43813384259</v>
      </c>
      <c r="B9216" s="5" t="s">
        <v>34</v>
      </c>
      <c r="D9216" s="5" t="s">
        <v>4775</v>
      </c>
      <c r="E9216" s="5" t="s">
        <v>57367</v>
      </c>
      <c r="F9216" s="5" t="s">
        <v>212</v>
      </c>
      <c r="G9216" s="5" t="s">
        <v>57368</v>
      </c>
      <c r="H9216" s="6" t="s">
        <v>57369</v>
      </c>
      <c r="K9216" s="5" t="s">
        <v>57370</v>
      </c>
      <c r="M9216" s="5" t="s">
        <v>57371</v>
      </c>
      <c r="N9216" s="7" t="s">
        <v>57372</v>
      </c>
      <c r="O9216" s="8" t="str">
        <f>HYPERLINK("https://drive.google.com/file/d/1AcFbIEBcKczvemvEEaReVy8Bgzn4aZDR/view?usp=drivesdk","9215_AKHMAD MA'MUN  _ SERTIFIKAT BerAKHLAK")</f>
        <v>9215_AKHMAD MA'MUN  _ SERTIFIKAT BerAKHLAK</v>
      </c>
      <c r="P9216" s="5" t="s">
        <v>48320</v>
      </c>
    </row>
    <row r="9217" hidden="1">
      <c r="A9217" s="4">
        <v>45534.438217268515</v>
      </c>
      <c r="B9217" s="5" t="s">
        <v>19</v>
      </c>
      <c r="C9217" s="5" t="s">
        <v>292</v>
      </c>
      <c r="E9217" s="5" t="s">
        <v>57373</v>
      </c>
      <c r="F9217" s="5" t="s">
        <v>37</v>
      </c>
      <c r="G9217" s="5" t="s">
        <v>57374</v>
      </c>
      <c r="H9217" s="6" t="s">
        <v>57375</v>
      </c>
      <c r="K9217" s="5" t="s">
        <v>57376</v>
      </c>
      <c r="M9217" s="5" t="s">
        <v>57377</v>
      </c>
      <c r="N9217" s="7" t="s">
        <v>57378</v>
      </c>
      <c r="O9217" s="8" t="str">
        <f>HYPERLINK("https://drive.google.com/file/d/1Mjjg9Enfp0ruBsO9VyKG1Zhr2100adAZ/view?usp=drivesdk","9216_AIDA RATNAWATI, A.Md.Kep _ SERTIFIKAT BerAKHLAK")</f>
        <v>9216_AIDA RATNAWATI, A.Md.Kep _ SERTIFIKAT BerAKHLAK</v>
      </c>
      <c r="P9217" s="5" t="s">
        <v>48320</v>
      </c>
    </row>
    <row r="9218">
      <c r="A9218" s="4">
        <v>45534.43824590278</v>
      </c>
      <c r="B9218" s="5" t="s">
        <v>34</v>
      </c>
      <c r="D9218" s="5" t="s">
        <v>12978</v>
      </c>
      <c r="E9218" s="5" t="s">
        <v>57379</v>
      </c>
      <c r="F9218" s="5" t="s">
        <v>212</v>
      </c>
      <c r="G9218" s="5" t="s">
        <v>57380</v>
      </c>
      <c r="H9218" s="6" t="s">
        <v>57381</v>
      </c>
      <c r="K9218" s="5" t="s">
        <v>57382</v>
      </c>
      <c r="M9218" s="5" t="s">
        <v>57383</v>
      </c>
      <c r="N9218" s="7" t="s">
        <v>57384</v>
      </c>
      <c r="O9218" s="8" t="str">
        <f>HYPERLINK("https://drive.google.com/file/d/1nDLzQVFJDnuW0kxt8E5K8f2COePOsQm3/view?usp=drivesdk","9217_ADNAN SYARIF  _ SERTIFIKAT BerAKHLAK")</f>
        <v>9217_ADNAN SYARIF  _ SERTIFIKAT BerAKHLAK</v>
      </c>
      <c r="P9218" s="5" t="s">
        <v>56951</v>
      </c>
    </row>
    <row r="9219">
      <c r="A9219" s="4">
        <v>45534.43830925926</v>
      </c>
      <c r="B9219" s="5" t="s">
        <v>34</v>
      </c>
      <c r="D9219" s="5" t="s">
        <v>3849</v>
      </c>
      <c r="E9219" s="5" t="s">
        <v>57385</v>
      </c>
      <c r="F9219" s="5" t="s">
        <v>37</v>
      </c>
      <c r="G9219" s="5" t="s">
        <v>57386</v>
      </c>
      <c r="H9219" s="6" t="s">
        <v>57387</v>
      </c>
      <c r="K9219" s="5" t="s">
        <v>57388</v>
      </c>
      <c r="M9219" s="5" t="s">
        <v>57389</v>
      </c>
      <c r="N9219" s="7" t="s">
        <v>57390</v>
      </c>
      <c r="O9219" s="8" t="str">
        <f>HYPERLINK("https://drive.google.com/file/d/1hYxL0c04jZyU2AXeV47SObd1cynNgnKa/view?usp=drivesdk","9218_NOVIA ANDINI, A. Md. Farm _ SERTIFIKAT BerAKHLAK")</f>
        <v>9218_NOVIA ANDINI, A. Md. Farm _ SERTIFIKAT BerAKHLAK</v>
      </c>
      <c r="P9219" s="5" t="s">
        <v>57391</v>
      </c>
    </row>
    <row r="9220">
      <c r="A9220" s="4">
        <v>45534.43835993056</v>
      </c>
      <c r="B9220" s="5" t="s">
        <v>34</v>
      </c>
      <c r="D9220" s="5" t="s">
        <v>14424</v>
      </c>
      <c r="E9220" s="5" t="s">
        <v>57392</v>
      </c>
      <c r="F9220" s="5" t="s">
        <v>108</v>
      </c>
      <c r="G9220" s="5" t="s">
        <v>57393</v>
      </c>
      <c r="H9220" s="6" t="s">
        <v>57394</v>
      </c>
      <c r="K9220" s="5" t="s">
        <v>57395</v>
      </c>
      <c r="M9220" s="5" t="s">
        <v>57396</v>
      </c>
      <c r="N9220" s="7" t="s">
        <v>57397</v>
      </c>
      <c r="O9220" s="8" t="str">
        <f>HYPERLINK("https://drive.google.com/file/d/1ldOTP-7hEFMMMggWv0oM6MWz9vTKlmCF/view?usp=drivesdk","9219_WARSIAH _ SERTIFIKAT BerAKHLAK")</f>
        <v>9219_WARSIAH _ SERTIFIKAT BerAKHLAK</v>
      </c>
      <c r="P9220" s="5" t="s">
        <v>57391</v>
      </c>
    </row>
    <row r="9221">
      <c r="A9221" s="4">
        <v>45534.438370902775</v>
      </c>
      <c r="B9221" s="5" t="s">
        <v>34</v>
      </c>
      <c r="D9221" s="5" t="s">
        <v>7858</v>
      </c>
      <c r="E9221" s="5" t="s">
        <v>57398</v>
      </c>
      <c r="F9221" s="5" t="s">
        <v>375</v>
      </c>
      <c r="G9221" s="5" t="s">
        <v>57399</v>
      </c>
      <c r="H9221" s="6" t="s">
        <v>57400</v>
      </c>
      <c r="K9221" s="5" t="s">
        <v>57395</v>
      </c>
      <c r="M9221" s="5" t="s">
        <v>57401</v>
      </c>
      <c r="N9221" s="7" t="s">
        <v>57402</v>
      </c>
      <c r="O9221" s="8" t="str">
        <f>HYPERLINK("https://drive.google.com/file/d/1KYdZ1HkBYdIKmuxuLsQgBmrrRuZkGg8e/view?usp=drivesdk","9220_DR. DIEN SUSANDIENA WANUDYOJATI _ SERTIFIKAT BerAKHLAK")</f>
        <v>9220_DR. DIEN SUSANDIENA WANUDYOJATI _ SERTIFIKAT BerAKHLAK</v>
      </c>
      <c r="P9221" s="5" t="s">
        <v>57403</v>
      </c>
    </row>
    <row r="9222">
      <c r="A9222" s="4">
        <v>45534.43838630787</v>
      </c>
      <c r="B9222" s="5" t="s">
        <v>34</v>
      </c>
      <c r="D9222" s="5" t="s">
        <v>580</v>
      </c>
      <c r="E9222" s="5" t="s">
        <v>57404</v>
      </c>
      <c r="F9222" s="5" t="s">
        <v>212</v>
      </c>
      <c r="G9222" s="5" t="s">
        <v>57405</v>
      </c>
      <c r="H9222" s="6" t="s">
        <v>57406</v>
      </c>
      <c r="K9222" s="5" t="s">
        <v>57407</v>
      </c>
      <c r="M9222" s="5" t="s">
        <v>57408</v>
      </c>
      <c r="N9222" s="7" t="s">
        <v>57409</v>
      </c>
      <c r="O9222" s="8" t="str">
        <f>HYPERLINK("https://drive.google.com/file/d/1kXdjF17cDPT5PV4TShSrw3kbEgQ1caN7/view?usp=drivesdk","9221_IDA BAGUS PUTRA ADNYANA _ SERTIFIKAT BerAKHLAK")</f>
        <v>9221_IDA BAGUS PUTRA ADNYANA _ SERTIFIKAT BerAKHLAK</v>
      </c>
      <c r="P9222" s="5" t="s">
        <v>57410</v>
      </c>
    </row>
    <row r="9223">
      <c r="A9223" s="4">
        <v>45534.43849771991</v>
      </c>
      <c r="B9223" s="5" t="s">
        <v>34</v>
      </c>
      <c r="D9223" s="5" t="s">
        <v>267</v>
      </c>
      <c r="E9223" s="5" t="s">
        <v>57411</v>
      </c>
      <c r="F9223" s="5" t="s">
        <v>120</v>
      </c>
      <c r="G9223" s="5" t="s">
        <v>57412</v>
      </c>
      <c r="H9223" s="6" t="s">
        <v>57413</v>
      </c>
      <c r="K9223" s="5" t="s">
        <v>57414</v>
      </c>
      <c r="M9223" s="5" t="s">
        <v>57415</v>
      </c>
      <c r="N9223" s="7" t="s">
        <v>57416</v>
      </c>
      <c r="O9223" s="8" t="str">
        <f>HYPERLINK("https://drive.google.com/file/d/1iTX0BFA55CADRwoE0aPxcddRlG1VrBZM/view?usp=drivesdk","9222_DRH. RAHAYU WIDIANINGSIH _ SERTIFIKAT BerAKHLAK")</f>
        <v>9222_DRH. RAHAYU WIDIANINGSIH _ SERTIFIKAT BerAKHLAK</v>
      </c>
      <c r="P9223" s="5" t="s">
        <v>57417</v>
      </c>
    </row>
    <row r="9224" hidden="1">
      <c r="A9224" s="4">
        <v>45534.43850939815</v>
      </c>
      <c r="B9224" s="5" t="s">
        <v>19</v>
      </c>
      <c r="C9224" s="5" t="s">
        <v>292</v>
      </c>
      <c r="E9224" s="5" t="s">
        <v>57418</v>
      </c>
      <c r="F9224" s="5" t="s">
        <v>212</v>
      </c>
      <c r="G9224" s="5" t="s">
        <v>57419</v>
      </c>
      <c r="H9224" s="6" t="s">
        <v>57420</v>
      </c>
      <c r="K9224" s="5" t="s">
        <v>57421</v>
      </c>
      <c r="M9224" s="5" t="s">
        <v>57422</v>
      </c>
      <c r="N9224" s="7" t="s">
        <v>57423</v>
      </c>
      <c r="O9224" s="8" t="str">
        <f>HYPERLINK("https://drive.google.com/file/d/1PdlDIKULBkwC5qWSlM6LrFf7N8GjNL8V/view?usp=drivesdk","9223_IBU YANI  _ SERTIFIKAT BerAKHLAK")</f>
        <v>9223_IBU YANI  _ SERTIFIKAT BerAKHLAK</v>
      </c>
      <c r="P9224" s="5" t="s">
        <v>57424</v>
      </c>
    </row>
    <row r="9225">
      <c r="A9225" s="4">
        <v>45534.43858652777</v>
      </c>
      <c r="B9225" s="5" t="s">
        <v>34</v>
      </c>
      <c r="D9225" s="5" t="s">
        <v>15401</v>
      </c>
      <c r="E9225" s="5" t="s">
        <v>57425</v>
      </c>
      <c r="F9225" s="5" t="s">
        <v>375</v>
      </c>
      <c r="G9225" s="5" t="s">
        <v>57426</v>
      </c>
      <c r="H9225" s="6" t="s">
        <v>57427</v>
      </c>
      <c r="K9225" s="5" t="s">
        <v>57428</v>
      </c>
      <c r="M9225" s="5" t="s">
        <v>57429</v>
      </c>
      <c r="N9225" s="7" t="s">
        <v>57430</v>
      </c>
      <c r="O9225" s="8" t="str">
        <f>HYPERLINK("https://drive.google.com/file/d/1IPlFnLqKxTNEk5OEgxYvg7O6t7RwMOPB/view?usp=drivesdk","9224_AFNI ANGGRIANI JACOB, S.Kep _ SERTIFIKAT BerAKHLAK")</f>
        <v>9224_AFNI ANGGRIANI JACOB, S.Kep _ SERTIFIKAT BerAKHLAK</v>
      </c>
      <c r="P9225" s="5" t="s">
        <v>57431</v>
      </c>
    </row>
    <row r="9226">
      <c r="A9226" s="4">
        <v>45534.438732106486</v>
      </c>
      <c r="B9226" s="5" t="s">
        <v>34</v>
      </c>
      <c r="D9226" s="5" t="s">
        <v>1558</v>
      </c>
      <c r="E9226" s="5" t="s">
        <v>57432</v>
      </c>
      <c r="F9226" s="5" t="s">
        <v>37</v>
      </c>
      <c r="G9226" s="5" t="s">
        <v>57433</v>
      </c>
      <c r="H9226" s="6" t="s">
        <v>57434</v>
      </c>
      <c r="K9226" s="5" t="s">
        <v>57435</v>
      </c>
      <c r="M9226" s="5" t="s">
        <v>57436</v>
      </c>
      <c r="N9226" s="7" t="s">
        <v>57437</v>
      </c>
      <c r="O9226" s="8" t="str">
        <f>HYPERLINK("https://drive.google.com/file/d/10v_UujDy0KhILOb3-dtZ7yVrH078L7Dy/view?usp=drivesdk","9225_SANTI NURSUSANTI _ SERTIFIKAT BerAKHLAK")</f>
        <v>9225_SANTI NURSUSANTI _ SERTIFIKAT BerAKHLAK</v>
      </c>
      <c r="P9226" s="5" t="s">
        <v>57438</v>
      </c>
    </row>
    <row r="9227">
      <c r="A9227" s="4">
        <v>45534.43885439815</v>
      </c>
      <c r="B9227" s="5" t="s">
        <v>34</v>
      </c>
      <c r="D9227" s="5" t="s">
        <v>1206</v>
      </c>
      <c r="E9227" s="5" t="s">
        <v>57439</v>
      </c>
      <c r="F9227" s="5" t="s">
        <v>328</v>
      </c>
      <c r="G9227" s="5" t="s">
        <v>57440</v>
      </c>
      <c r="H9227" s="6" t="s">
        <v>57441</v>
      </c>
      <c r="K9227" s="5" t="s">
        <v>57442</v>
      </c>
      <c r="M9227" s="5" t="s">
        <v>57443</v>
      </c>
      <c r="N9227" s="7" t="s">
        <v>57444</v>
      </c>
      <c r="O9227" s="8" t="str">
        <f>HYPERLINK("https://drive.google.com/file/d/1XMFDr5P3IP4rsiajPTx2EfO31x3gZEMJ/view?usp=drivesdk","9226_SARMUN _ SERTIFIKAT BerAKHLAK")</f>
        <v>9226_SARMUN _ SERTIFIKAT BerAKHLAK</v>
      </c>
      <c r="P9227" s="5" t="s">
        <v>57445</v>
      </c>
    </row>
    <row r="9228">
      <c r="A9228" s="4">
        <v>45534.438856099536</v>
      </c>
      <c r="B9228" s="5" t="s">
        <v>34</v>
      </c>
      <c r="D9228" s="5" t="s">
        <v>701</v>
      </c>
      <c r="E9228" s="5" t="s">
        <v>57446</v>
      </c>
      <c r="F9228" s="5" t="s">
        <v>375</v>
      </c>
      <c r="G9228" s="5" t="s">
        <v>57447</v>
      </c>
      <c r="H9228" s="6" t="s">
        <v>57448</v>
      </c>
      <c r="K9228" s="5" t="s">
        <v>57442</v>
      </c>
      <c r="M9228" s="5" t="s">
        <v>57449</v>
      </c>
      <c r="N9228" s="7" t="s">
        <v>57450</v>
      </c>
      <c r="O9228" s="8" t="str">
        <f>HYPERLINK("https://drive.google.com/file/d/1cjsJ1sq2O829x90cza8eZlbbUhEt-FF6/view?usp=drivesdk","9227_ERIZAL K _ SERTIFIKAT BerAKHLAK")</f>
        <v>9227_ERIZAL K _ SERTIFIKAT BerAKHLAK</v>
      </c>
      <c r="P9228" s="5" t="s">
        <v>57451</v>
      </c>
    </row>
    <row r="9229">
      <c r="A9229" s="4">
        <v>45534.43895052084</v>
      </c>
      <c r="B9229" s="5" t="s">
        <v>34</v>
      </c>
      <c r="D9229" s="5" t="s">
        <v>12978</v>
      </c>
      <c r="E9229" s="5" t="s">
        <v>57452</v>
      </c>
      <c r="F9229" s="5" t="s">
        <v>212</v>
      </c>
      <c r="G9229" s="5" t="s">
        <v>57453</v>
      </c>
      <c r="H9229" s="6" t="s">
        <v>57454</v>
      </c>
      <c r="K9229" s="5" t="s">
        <v>57455</v>
      </c>
      <c r="M9229" s="5" t="s">
        <v>57456</v>
      </c>
      <c r="N9229" s="7" t="s">
        <v>57457</v>
      </c>
      <c r="O9229" s="8" t="str">
        <f>HYPERLINK("https://drive.google.com/file/d/1Lx_xYCASmIwiMJ7BXbpiGsX6-i4_RHd0/view?usp=drivesdk","9228_BETTY APRIANI,SE _ SERTIFIKAT BerAKHLAK")</f>
        <v>9228_BETTY APRIANI,SE _ SERTIFIKAT BerAKHLAK</v>
      </c>
      <c r="P9229" s="5" t="s">
        <v>57458</v>
      </c>
    </row>
    <row r="9230" hidden="1">
      <c r="A9230" s="4">
        <v>45534.439015509255</v>
      </c>
      <c r="B9230" s="5" t="s">
        <v>19</v>
      </c>
      <c r="C9230" s="5" t="s">
        <v>292</v>
      </c>
      <c r="E9230" s="5" t="s">
        <v>57459</v>
      </c>
      <c r="F9230" s="5" t="s">
        <v>108</v>
      </c>
      <c r="G9230" s="5" t="s">
        <v>57460</v>
      </c>
      <c r="H9230" s="6" t="s">
        <v>57461</v>
      </c>
      <c r="K9230" s="5" t="s">
        <v>57462</v>
      </c>
      <c r="M9230" s="5" t="s">
        <v>57463</v>
      </c>
      <c r="N9230" s="7" t="s">
        <v>57464</v>
      </c>
      <c r="O9230" s="8" t="str">
        <f>HYPERLINK("https://drive.google.com/file/d/1QUpS9QYO6LbEJDG19tUGNRTDVp9GphbY/view?usp=drivesdk","9229_DADANG SULAEMAN _ SERTIFIKAT BerAKHLAK")</f>
        <v>9229_DADANG SULAEMAN _ SERTIFIKAT BerAKHLAK</v>
      </c>
      <c r="P9230" s="5" t="s">
        <v>57465</v>
      </c>
    </row>
    <row r="9231">
      <c r="A9231" s="4">
        <v>45534.43911866898</v>
      </c>
      <c r="B9231" s="5" t="s">
        <v>34</v>
      </c>
      <c r="D9231" s="5" t="s">
        <v>1206</v>
      </c>
      <c r="E9231" s="5" t="s">
        <v>57466</v>
      </c>
      <c r="F9231" s="5" t="s">
        <v>37</v>
      </c>
      <c r="G9231" s="5" t="s">
        <v>57467</v>
      </c>
      <c r="H9231" s="6" t="s">
        <v>57468</v>
      </c>
      <c r="K9231" s="5" t="s">
        <v>57469</v>
      </c>
      <c r="M9231" s="5" t="s">
        <v>57470</v>
      </c>
      <c r="N9231" s="7" t="s">
        <v>57471</v>
      </c>
      <c r="O9231" s="8" t="str">
        <f>HYPERLINK("https://drive.google.com/file/d/1CNQ6lF07LoJam73DJzyzFbskXrRlqB_T/view?usp=drivesdk","9230_ISTIQOMAH _ SERTIFIKAT BerAKHLAK")</f>
        <v>9230_ISTIQOMAH _ SERTIFIKAT BerAKHLAK</v>
      </c>
      <c r="P9231" s="5" t="s">
        <v>57472</v>
      </c>
    </row>
    <row r="9232">
      <c r="A9232" s="4">
        <v>45534.43918185185</v>
      </c>
      <c r="B9232" s="5" t="s">
        <v>34</v>
      </c>
      <c r="D9232" s="5" t="s">
        <v>35</v>
      </c>
      <c r="E9232" s="5" t="s">
        <v>57473</v>
      </c>
      <c r="F9232" s="5" t="s">
        <v>212</v>
      </c>
      <c r="G9232" s="5" t="s">
        <v>57474</v>
      </c>
      <c r="H9232" s="6" t="s">
        <v>57475</v>
      </c>
      <c r="K9232" s="5" t="s">
        <v>57476</v>
      </c>
      <c r="M9232" s="5" t="s">
        <v>57477</v>
      </c>
      <c r="N9232" s="7" t="s">
        <v>57478</v>
      </c>
      <c r="O9232" s="8" t="str">
        <f>HYPERLINK("https://drive.google.com/file/d/1r0msmJ0EFP5KtJoYI3r03cGyocBUu9C4/view?usp=drivesdk","9231_FITRI ROMADANTI _ SERTIFIKAT BerAKHLAK")</f>
        <v>9231_FITRI ROMADANTI _ SERTIFIKAT BerAKHLAK</v>
      </c>
      <c r="P9232" s="5" t="s">
        <v>57479</v>
      </c>
    </row>
    <row r="9233" hidden="1">
      <c r="A9233" s="4">
        <v>45534.43928331019</v>
      </c>
      <c r="B9233" s="5" t="s">
        <v>19</v>
      </c>
      <c r="C9233" s="5" t="s">
        <v>5058</v>
      </c>
      <c r="E9233" s="5" t="s">
        <v>57480</v>
      </c>
      <c r="F9233" s="5" t="s">
        <v>108</v>
      </c>
      <c r="G9233" s="5" t="s">
        <v>57481</v>
      </c>
      <c r="H9233" s="6" t="s">
        <v>57482</v>
      </c>
      <c r="K9233" s="5" t="s">
        <v>57483</v>
      </c>
      <c r="M9233" s="5" t="s">
        <v>57484</v>
      </c>
      <c r="N9233" s="7" t="s">
        <v>57485</v>
      </c>
      <c r="O9233" s="8" t="str">
        <f>HYPERLINK("https://drive.google.com/file/d/1d0v-dXz8W-xOXg0rNJz6FQs1hzdXU8j1/view?usp=drivesdk","9232_RATNA MULIANI _ SERTIFIKAT BerAKHLAK")</f>
        <v>9232_RATNA MULIANI _ SERTIFIKAT BerAKHLAK</v>
      </c>
      <c r="P9233" s="5" t="s">
        <v>57486</v>
      </c>
    </row>
    <row r="9234">
      <c r="A9234" s="4">
        <v>45534.43933491898</v>
      </c>
      <c r="B9234" s="5" t="s">
        <v>34</v>
      </c>
      <c r="D9234" s="5" t="s">
        <v>12026</v>
      </c>
      <c r="E9234" s="5" t="s">
        <v>57487</v>
      </c>
      <c r="F9234" s="5" t="s">
        <v>37</v>
      </c>
      <c r="G9234" s="5" t="s">
        <v>57488</v>
      </c>
      <c r="H9234" s="6" t="s">
        <v>57489</v>
      </c>
      <c r="K9234" s="5" t="s">
        <v>57490</v>
      </c>
      <c r="M9234" s="5" t="s">
        <v>57491</v>
      </c>
      <c r="N9234" s="7" t="s">
        <v>57492</v>
      </c>
      <c r="O9234" s="8" t="str">
        <f>HYPERLINK("https://drive.google.com/file/d/1B2MYdVlXozHhQyaSbP_zpu1cmmUHvmra/view?usp=drivesdk","9233_MARGARETA ELIN _ SERTIFIKAT BerAKHLAK")</f>
        <v>9233_MARGARETA ELIN _ SERTIFIKAT BerAKHLAK</v>
      </c>
      <c r="P9234" s="5" t="s">
        <v>57493</v>
      </c>
    </row>
    <row r="9235">
      <c r="A9235" s="4">
        <v>45534.43940123843</v>
      </c>
      <c r="B9235" s="5" t="s">
        <v>34</v>
      </c>
      <c r="D9235" s="5" t="s">
        <v>9020</v>
      </c>
      <c r="E9235" s="5" t="s">
        <v>57494</v>
      </c>
      <c r="F9235" s="5" t="s">
        <v>37</v>
      </c>
      <c r="G9235" s="5" t="s">
        <v>57495</v>
      </c>
      <c r="H9235" s="6" t="s">
        <v>57496</v>
      </c>
      <c r="K9235" s="5" t="s">
        <v>57497</v>
      </c>
      <c r="M9235" s="5" t="s">
        <v>57498</v>
      </c>
      <c r="N9235" s="7" t="s">
        <v>57499</v>
      </c>
      <c r="O9235" s="8" t="str">
        <f>HYPERLINK("https://drive.google.com/file/d/1J9pm39-TVpiyFC6WIaNzHhZb4n5IM0RI/view?usp=drivesdk","9234_ENGLIS PANDIANGAN _ SERTIFIKAT BerAKHLAK")</f>
        <v>9234_ENGLIS PANDIANGAN _ SERTIFIKAT BerAKHLAK</v>
      </c>
      <c r="P9235" s="5" t="s">
        <v>57500</v>
      </c>
    </row>
    <row r="9236">
      <c r="A9236" s="4">
        <v>45534.439436932866</v>
      </c>
      <c r="B9236" s="5" t="s">
        <v>34</v>
      </c>
      <c r="D9236" s="5" t="s">
        <v>1206</v>
      </c>
      <c r="E9236" s="5" t="s">
        <v>57501</v>
      </c>
      <c r="F9236" s="5" t="s">
        <v>108</v>
      </c>
      <c r="G9236" s="5" t="s">
        <v>57502</v>
      </c>
      <c r="H9236" s="6" t="s">
        <v>57503</v>
      </c>
      <c r="K9236" s="5" t="s">
        <v>57504</v>
      </c>
      <c r="M9236" s="5" t="s">
        <v>57505</v>
      </c>
      <c r="N9236" s="7" t="s">
        <v>57506</v>
      </c>
      <c r="O9236" s="8" t="str">
        <f>HYPERLINK("https://drive.google.com/file/d/10rV0HmJc_pU5eKWP_6LXejOoKq59ldAY/view?usp=drivesdk","9235_DITA SURYA AGUNG WIJAYA _ SERTIFIKAT BerAKHLAK")</f>
        <v>9235_DITA SURYA AGUNG WIJAYA _ SERTIFIKAT BerAKHLAK</v>
      </c>
      <c r="P9236" s="5" t="s">
        <v>57507</v>
      </c>
    </row>
    <row r="9237">
      <c r="A9237" s="4">
        <v>45534.43945465278</v>
      </c>
      <c r="B9237" s="5" t="s">
        <v>34</v>
      </c>
      <c r="D9237" s="5" t="s">
        <v>1558</v>
      </c>
      <c r="E9237" s="5" t="s">
        <v>57508</v>
      </c>
      <c r="F9237" s="5" t="s">
        <v>212</v>
      </c>
      <c r="G9237" s="5" t="s">
        <v>57509</v>
      </c>
      <c r="H9237" s="6" t="s">
        <v>57510</v>
      </c>
      <c r="K9237" s="5" t="s">
        <v>57504</v>
      </c>
      <c r="M9237" s="5" t="s">
        <v>57511</v>
      </c>
      <c r="N9237" s="7" t="s">
        <v>57512</v>
      </c>
      <c r="O9237" s="8" t="str">
        <f>HYPERLINK("https://drive.google.com/file/d/14SQ7FdmnegHAtGmA4pz34sQSmanh6JKN/view?usp=drivesdk","9236_ELIS SUHARTINI  _ SERTIFIKAT BerAKHLAK")</f>
        <v>9236_ELIS SUHARTINI  _ SERTIFIKAT BerAKHLAK</v>
      </c>
      <c r="P9237" s="5" t="s">
        <v>57513</v>
      </c>
    </row>
    <row r="9238" hidden="1">
      <c r="A9238" s="4">
        <v>45534.43946171296</v>
      </c>
      <c r="B9238" s="5" t="s">
        <v>19</v>
      </c>
      <c r="C9238" s="5" t="s">
        <v>292</v>
      </c>
      <c r="E9238" s="5" t="s">
        <v>57514</v>
      </c>
      <c r="F9238" s="5" t="s">
        <v>212</v>
      </c>
      <c r="G9238" s="5" t="s">
        <v>57515</v>
      </c>
      <c r="H9238" s="6" t="s">
        <v>57516</v>
      </c>
      <c r="K9238" s="5" t="s">
        <v>57504</v>
      </c>
      <c r="M9238" s="5" t="s">
        <v>57517</v>
      </c>
      <c r="N9238" s="7" t="s">
        <v>57518</v>
      </c>
      <c r="O9238" s="8" t="str">
        <f>HYPERLINK("https://drive.google.com/file/d/1oiT_0dwQe0Oq6e0n4tixmXh27fsalEDk/view?usp=drivesdk","9237_VAIS FEBRI PRANGGONO _ SERTIFIKAT BerAKHLAK")</f>
        <v>9237_VAIS FEBRI PRANGGONO _ SERTIFIKAT BerAKHLAK</v>
      </c>
      <c r="P9238" s="5" t="s">
        <v>57519</v>
      </c>
    </row>
    <row r="9239">
      <c r="A9239" s="4">
        <v>45534.43946238426</v>
      </c>
      <c r="B9239" s="5" t="s">
        <v>34</v>
      </c>
      <c r="D9239" s="5" t="s">
        <v>1558</v>
      </c>
      <c r="E9239" s="5" t="s">
        <v>57520</v>
      </c>
      <c r="F9239" s="5" t="s">
        <v>375</v>
      </c>
      <c r="G9239" s="5" t="s">
        <v>57521</v>
      </c>
      <c r="H9239" s="6" t="s">
        <v>57522</v>
      </c>
      <c r="K9239" s="5" t="s">
        <v>57504</v>
      </c>
      <c r="M9239" s="5" t="s">
        <v>57523</v>
      </c>
      <c r="N9239" s="7" t="s">
        <v>57524</v>
      </c>
      <c r="O9239" s="8" t="str">
        <f>HYPERLINK("https://drive.google.com/file/d/1iFVDu4v4Ss8p3_hVtvY8C5dwtniCx3di/view?usp=drivesdk","9238_JULI ELFRIDA SITEPU _ SERTIFIKAT BerAKHLAK")</f>
        <v>9238_JULI ELFRIDA SITEPU _ SERTIFIKAT BerAKHLAK</v>
      </c>
      <c r="P9239" s="5" t="s">
        <v>57525</v>
      </c>
    </row>
    <row r="9240">
      <c r="A9240" s="4">
        <v>45534.43956083333</v>
      </c>
      <c r="B9240" s="5" t="s">
        <v>34</v>
      </c>
      <c r="D9240" s="5" t="s">
        <v>35</v>
      </c>
      <c r="E9240" s="5" t="s">
        <v>57526</v>
      </c>
      <c r="F9240" s="5" t="s">
        <v>120</v>
      </c>
      <c r="G9240" s="5" t="s">
        <v>57527</v>
      </c>
      <c r="H9240" s="6" t="s">
        <v>57528</v>
      </c>
      <c r="K9240" s="5" t="s">
        <v>57529</v>
      </c>
      <c r="M9240" s="5" t="s">
        <v>57530</v>
      </c>
      <c r="N9240" s="7" t="s">
        <v>57531</v>
      </c>
      <c r="O9240" s="8" t="str">
        <f>HYPERLINK("https://drive.google.com/file/d/12EL0hOvBEEaWV-Jw_ibSgll4Hl4wHrKC/view?usp=drivesdk","9239_DR. RIO ADI SARIDEWI _ SERTIFIKAT BerAKHLAK")</f>
        <v>9239_DR. RIO ADI SARIDEWI _ SERTIFIKAT BerAKHLAK</v>
      </c>
      <c r="P9240" s="5" t="s">
        <v>57532</v>
      </c>
    </row>
    <row r="9241">
      <c r="A9241" s="4">
        <v>45534.43970739583</v>
      </c>
      <c r="B9241" s="5" t="s">
        <v>34</v>
      </c>
      <c r="D9241" s="5" t="s">
        <v>14424</v>
      </c>
      <c r="E9241" s="5" t="s">
        <v>57533</v>
      </c>
      <c r="F9241" s="5" t="s">
        <v>375</v>
      </c>
      <c r="G9241" s="5" t="s">
        <v>57534</v>
      </c>
      <c r="H9241" s="6" t="s">
        <v>57535</v>
      </c>
      <c r="K9241" s="5" t="s">
        <v>57536</v>
      </c>
      <c r="M9241" s="5" t="s">
        <v>57537</v>
      </c>
      <c r="N9241" s="7" t="s">
        <v>57538</v>
      </c>
      <c r="O9241" s="8" t="str">
        <f>HYPERLINK("https://drive.google.com/file/d/1F5c8MG8xpQCv5NgZg-xFpvZeXCvU_-yg/view?usp=drivesdk","9240_SAFRIZAL _ SERTIFIKAT BerAKHLAK")</f>
        <v>9240_SAFRIZAL _ SERTIFIKAT BerAKHLAK</v>
      </c>
      <c r="P9241" s="5" t="s">
        <v>57539</v>
      </c>
    </row>
    <row r="9242">
      <c r="A9242" s="4">
        <v>45534.43975226852</v>
      </c>
      <c r="B9242" s="5" t="s">
        <v>34</v>
      </c>
      <c r="D9242" s="5" t="s">
        <v>522</v>
      </c>
      <c r="E9242" s="5" t="s">
        <v>57540</v>
      </c>
      <c r="F9242" s="5" t="s">
        <v>212</v>
      </c>
      <c r="G9242" s="5" t="s">
        <v>57541</v>
      </c>
      <c r="H9242" s="6" t="s">
        <v>57542</v>
      </c>
      <c r="K9242" s="5" t="s">
        <v>57536</v>
      </c>
      <c r="M9242" s="5" t="s">
        <v>57543</v>
      </c>
      <c r="N9242" s="7" t="s">
        <v>57544</v>
      </c>
      <c r="O9242" s="8" t="str">
        <f>HYPERLINK("https://drive.google.com/file/d/1hIR62CVmU7rlUKciAj7E3LrksST5Bnqo/view?usp=drivesdk","9241_JUHAINI  _ SERTIFIKAT BerAKHLAK")</f>
        <v>9241_JUHAINI  _ SERTIFIKAT BerAKHLAK</v>
      </c>
      <c r="P9242" s="5" t="s">
        <v>57545</v>
      </c>
    </row>
    <row r="9243" hidden="1">
      <c r="A9243" s="4">
        <v>45534.43990832176</v>
      </c>
      <c r="B9243" s="5" t="s">
        <v>19</v>
      </c>
      <c r="C9243" s="5" t="s">
        <v>292</v>
      </c>
      <c r="E9243" s="5" t="s">
        <v>57546</v>
      </c>
      <c r="F9243" s="5" t="s">
        <v>37</v>
      </c>
      <c r="G9243" s="5" t="s">
        <v>57547</v>
      </c>
      <c r="H9243" s="6" t="s">
        <v>57548</v>
      </c>
      <c r="K9243" s="5" t="s">
        <v>57536</v>
      </c>
      <c r="M9243" s="5" t="s">
        <v>57549</v>
      </c>
      <c r="N9243" s="7" t="s">
        <v>57550</v>
      </c>
      <c r="O9243" s="8" t="str">
        <f>HYPERLINK("https://drive.google.com/file/d/1jaOhdtCPXYgj5Gk3kQhDP6ceDK2cAMHw/view?usp=drivesdk","9242_ASTI SYAHIDA RIDWAN, A.Md.Kep _ SERTIFIKAT BerAKHLAK")</f>
        <v>9242_ASTI SYAHIDA RIDWAN, A.Md.Kep _ SERTIFIKAT BerAKHLAK</v>
      </c>
      <c r="P9243" s="5" t="s">
        <v>57551</v>
      </c>
    </row>
    <row r="9244">
      <c r="A9244" s="4">
        <v>45534.43994542824</v>
      </c>
      <c r="B9244" s="5" t="s">
        <v>34</v>
      </c>
      <c r="D9244" s="5" t="s">
        <v>12978</v>
      </c>
      <c r="E9244" s="5" t="s">
        <v>57552</v>
      </c>
      <c r="F9244" s="5" t="s">
        <v>375</v>
      </c>
      <c r="G9244" s="5" t="s">
        <v>57553</v>
      </c>
      <c r="H9244" s="6" t="s">
        <v>57554</v>
      </c>
      <c r="K9244" s="5" t="s">
        <v>57536</v>
      </c>
      <c r="M9244" s="5" t="s">
        <v>57555</v>
      </c>
      <c r="N9244" s="7" t="s">
        <v>57556</v>
      </c>
      <c r="O9244" s="8" t="str">
        <f>HYPERLINK("https://drive.google.com/file/d/1egezC04C__b3RaeTOzYmsT8bDLxIHxyC/view?usp=drivesdk","9243_WIDYA WATI, SKM.,MM _ SERTIFIKAT BerAKHLAK")</f>
        <v>9243_WIDYA WATI, SKM.,MM _ SERTIFIKAT BerAKHLAK</v>
      </c>
      <c r="P9244" s="5" t="s">
        <v>57557</v>
      </c>
    </row>
    <row r="9245" hidden="1">
      <c r="A9245" s="4">
        <v>45534.43995251157</v>
      </c>
      <c r="B9245" s="5" t="s">
        <v>19</v>
      </c>
      <c r="C9245" s="5" t="s">
        <v>292</v>
      </c>
      <c r="E9245" s="5" t="s">
        <v>57558</v>
      </c>
      <c r="F9245" s="5" t="s">
        <v>5566</v>
      </c>
      <c r="G9245" s="5" t="s">
        <v>57559</v>
      </c>
      <c r="H9245" s="6" t="s">
        <v>57560</v>
      </c>
      <c r="K9245" s="5" t="s">
        <v>57536</v>
      </c>
      <c r="M9245" s="5" t="s">
        <v>57561</v>
      </c>
      <c r="N9245" s="7" t="s">
        <v>57562</v>
      </c>
      <c r="O9245" s="8" t="str">
        <f>HYPERLINK("https://drive.google.com/file/d/1XZjhyAEFL9pK-yc3GOo8mRO4v8qyVOYp/view?usp=drivesdk","9244_DYAN ARYA MAULANA _ SERTIFIKAT BerAKHLAK")</f>
        <v>9244_DYAN ARYA MAULANA _ SERTIFIKAT BerAKHLAK</v>
      </c>
      <c r="P9245" s="5" t="s">
        <v>57563</v>
      </c>
    </row>
    <row r="9246">
      <c r="A9246" s="4">
        <v>45534.440246620376</v>
      </c>
      <c r="B9246" s="5" t="s">
        <v>34</v>
      </c>
      <c r="D9246" s="5" t="s">
        <v>1206</v>
      </c>
      <c r="E9246" s="5" t="s">
        <v>57564</v>
      </c>
      <c r="F9246" s="5" t="s">
        <v>212</v>
      </c>
      <c r="G9246" s="5" t="s">
        <v>57565</v>
      </c>
      <c r="H9246" s="6" t="s">
        <v>57566</v>
      </c>
      <c r="K9246" s="5" t="s">
        <v>57536</v>
      </c>
      <c r="M9246" s="5" t="s">
        <v>57567</v>
      </c>
      <c r="N9246" s="7" t="s">
        <v>57568</v>
      </c>
      <c r="O9246" s="8" t="str">
        <f>HYPERLINK("https://drive.google.com/file/d/1e5MqBkS9dH0XhLKbfE1hsk13D9vAcAPB/view?usp=drivesdk","9245_ADI UTOMO _ SERTIFIKAT BerAKHLAK")</f>
        <v>9245_ADI UTOMO _ SERTIFIKAT BerAKHLAK</v>
      </c>
      <c r="P9246" s="5" t="s">
        <v>57569</v>
      </c>
    </row>
    <row r="9247">
      <c r="A9247" s="4">
        <v>45534.44038869213</v>
      </c>
      <c r="B9247" s="5" t="s">
        <v>34</v>
      </c>
      <c r="D9247" s="5" t="s">
        <v>1206</v>
      </c>
      <c r="E9247" s="5" t="s">
        <v>57570</v>
      </c>
      <c r="F9247" s="5" t="s">
        <v>37</v>
      </c>
      <c r="G9247" s="5" t="s">
        <v>57571</v>
      </c>
      <c r="H9247" s="6" t="s">
        <v>57572</v>
      </c>
      <c r="K9247" s="5" t="s">
        <v>57536</v>
      </c>
      <c r="M9247" s="5" t="s">
        <v>57573</v>
      </c>
      <c r="N9247" s="7" t="s">
        <v>57574</v>
      </c>
      <c r="O9247" s="8" t="str">
        <f>HYPERLINK("https://drive.google.com/file/d/1Uwn0kc1_9O5iTmJF9oQ3zegqAH1LKZ-0/view?usp=drivesdk","9246_GAGUK ANDIK SUCAHYO _ SERTIFIKAT BerAKHLAK")</f>
        <v>9246_GAGUK ANDIK SUCAHYO _ SERTIFIKAT BerAKHLAK</v>
      </c>
      <c r="P9247" s="5" t="s">
        <v>57575</v>
      </c>
    </row>
    <row r="9248">
      <c r="A9248" s="4">
        <v>45534.44054484954</v>
      </c>
      <c r="B9248" s="5" t="s">
        <v>34</v>
      </c>
      <c r="D9248" s="5" t="s">
        <v>996</v>
      </c>
      <c r="E9248" s="5" t="s">
        <v>57576</v>
      </c>
      <c r="F9248" s="5" t="s">
        <v>37</v>
      </c>
      <c r="G9248" s="5" t="s">
        <v>57577</v>
      </c>
      <c r="H9248" s="6" t="s">
        <v>57578</v>
      </c>
      <c r="K9248" s="5" t="s">
        <v>57536</v>
      </c>
      <c r="M9248" s="5" t="s">
        <v>57579</v>
      </c>
      <c r="N9248" s="7" t="s">
        <v>57580</v>
      </c>
      <c r="O9248" s="8" t="str">
        <f>HYPERLINK("https://drive.google.com/file/d/1RgKeb32Mt_I-bRp4Rrb4-bTU6c7VL738/view?usp=drivesdk","9247_NOOR ISNAWATI _ SERTIFIKAT BerAKHLAK")</f>
        <v>9247_NOOR ISNAWATI _ SERTIFIKAT BerAKHLAK</v>
      </c>
      <c r="P9248" s="5" t="s">
        <v>57581</v>
      </c>
    </row>
    <row r="9249">
      <c r="A9249" s="4">
        <v>45534.44058303241</v>
      </c>
      <c r="B9249" s="5" t="s">
        <v>34</v>
      </c>
      <c r="D9249" s="5" t="s">
        <v>9020</v>
      </c>
      <c r="E9249" s="5" t="s">
        <v>57582</v>
      </c>
      <c r="F9249" s="5" t="s">
        <v>37</v>
      </c>
      <c r="G9249" s="5" t="s">
        <v>57583</v>
      </c>
      <c r="H9249" s="6" t="s">
        <v>57584</v>
      </c>
      <c r="K9249" s="5" t="s">
        <v>57536</v>
      </c>
      <c r="M9249" s="5" t="s">
        <v>57585</v>
      </c>
      <c r="N9249" s="7" t="s">
        <v>57586</v>
      </c>
      <c r="O9249" s="8" t="str">
        <f>HYPERLINK("https://drive.google.com/file/d/1jAQIb93WKV3eSgdEiAN-rfN7ZfMI0a5A/view?usp=drivesdk","9248_HILDA VERA BR. LUMBAN GAOL _ SERTIFIKAT BerAKHLAK")</f>
        <v>9248_HILDA VERA BR. LUMBAN GAOL _ SERTIFIKAT BerAKHLAK</v>
      </c>
      <c r="P9249" s="5" t="s">
        <v>57587</v>
      </c>
    </row>
    <row r="9250">
      <c r="A9250" s="4">
        <v>45534.440692222226</v>
      </c>
      <c r="B9250" s="5" t="s">
        <v>34</v>
      </c>
      <c r="D9250" s="5" t="s">
        <v>9020</v>
      </c>
      <c r="E9250" s="5" t="s">
        <v>57588</v>
      </c>
      <c r="F9250" s="5" t="s">
        <v>524</v>
      </c>
      <c r="G9250" s="5" t="s">
        <v>57589</v>
      </c>
      <c r="H9250" s="6" t="s">
        <v>57590</v>
      </c>
      <c r="K9250" s="5" t="s">
        <v>57536</v>
      </c>
      <c r="M9250" s="5" t="s">
        <v>57591</v>
      </c>
      <c r="N9250" s="7" t="s">
        <v>57592</v>
      </c>
      <c r="O9250" s="8" t="str">
        <f>HYPERLINK("https://drive.google.com/file/d/1GlQ-7m5K7Zsj0zAUxmcBPAb7-cnLcGu9/view?usp=drivesdk","9249_Yanti Enita Br Ginting,S.Kep.Ners _ SERTIFIKAT BerAKHLAK")</f>
        <v>9249_Yanti Enita Br Ginting,S.Kep.Ners _ SERTIFIKAT BerAKHLAK</v>
      </c>
      <c r="P9250" s="5" t="s">
        <v>57593</v>
      </c>
    </row>
    <row r="9251" hidden="1">
      <c r="A9251" s="4">
        <v>45534.440697858794</v>
      </c>
      <c r="B9251" s="5" t="s">
        <v>19</v>
      </c>
      <c r="C9251" s="5" t="s">
        <v>83</v>
      </c>
      <c r="E9251" s="5" t="s">
        <v>57594</v>
      </c>
      <c r="F9251" s="5" t="s">
        <v>212</v>
      </c>
      <c r="G9251" s="5" t="s">
        <v>57595</v>
      </c>
      <c r="H9251" s="6" t="s">
        <v>57596</v>
      </c>
      <c r="K9251" s="5" t="s">
        <v>57536</v>
      </c>
      <c r="M9251" s="5" t="s">
        <v>57597</v>
      </c>
      <c r="N9251" s="7" t="s">
        <v>57598</v>
      </c>
      <c r="O9251" s="8" t="str">
        <f>HYPERLINK("https://drive.google.com/file/d/1ZEOawJkIQ8dIbkE74uds2qeJWPvq8D9-/view?usp=drivesdk","9250_FIRMAN MAULIDI _ SERTIFIKAT BerAKHLAK")</f>
        <v>9250_FIRMAN MAULIDI _ SERTIFIKAT BerAKHLAK</v>
      </c>
      <c r="P9251" s="5" t="s">
        <v>57599</v>
      </c>
    </row>
    <row r="9252">
      <c r="A9252" s="4">
        <v>45534.440826875</v>
      </c>
      <c r="B9252" s="5" t="s">
        <v>34</v>
      </c>
      <c r="D9252" s="5" t="s">
        <v>701</v>
      </c>
      <c r="E9252" s="5" t="s">
        <v>57600</v>
      </c>
      <c r="F9252" s="5" t="s">
        <v>108</v>
      </c>
      <c r="G9252" s="5" t="s">
        <v>57601</v>
      </c>
      <c r="H9252" s="6" t="s">
        <v>57602</v>
      </c>
      <c r="K9252" s="5" t="s">
        <v>57536</v>
      </c>
      <c r="M9252" s="5" t="s">
        <v>57603</v>
      </c>
      <c r="N9252" s="7" t="s">
        <v>57604</v>
      </c>
      <c r="O9252" s="8" t="str">
        <f>HYPERLINK("https://drive.google.com/file/d/1BFgbB4zQj5s_Vn_MC1GrZDnax7NXkeN5/view?usp=drivesdk","9251_SYOFIA HASAN  _ SERTIFIKAT BerAKHLAK")</f>
        <v>9251_SYOFIA HASAN  _ SERTIFIKAT BerAKHLAK</v>
      </c>
      <c r="P9252" s="5" t="s">
        <v>57605</v>
      </c>
    </row>
    <row r="9253">
      <c r="A9253" s="4">
        <v>45534.44084689815</v>
      </c>
      <c r="B9253" s="5" t="s">
        <v>34</v>
      </c>
      <c r="D9253" s="5" t="s">
        <v>2903</v>
      </c>
      <c r="E9253" s="5" t="s">
        <v>57606</v>
      </c>
      <c r="F9253" s="5" t="s">
        <v>108</v>
      </c>
      <c r="G9253" s="5" t="s">
        <v>57607</v>
      </c>
      <c r="H9253" s="6" t="s">
        <v>57608</v>
      </c>
      <c r="K9253" s="5" t="s">
        <v>57536</v>
      </c>
      <c r="P9253" s="5" t="s">
        <v>57609</v>
      </c>
    </row>
    <row r="9254" hidden="1">
      <c r="A9254" s="4">
        <v>45534.440852314816</v>
      </c>
      <c r="B9254" s="5" t="s">
        <v>19</v>
      </c>
      <c r="C9254" s="5" t="s">
        <v>5058</v>
      </c>
      <c r="E9254" s="5" t="s">
        <v>57610</v>
      </c>
      <c r="F9254" s="5" t="s">
        <v>37</v>
      </c>
      <c r="G9254" s="5" t="s">
        <v>57611</v>
      </c>
      <c r="H9254" s="6" t="s">
        <v>57612</v>
      </c>
      <c r="K9254" s="5" t="s">
        <v>57536</v>
      </c>
      <c r="P9254" s="5" t="s">
        <v>57609</v>
      </c>
    </row>
    <row r="9255">
      <c r="A9255" s="4">
        <v>45534.44088603009</v>
      </c>
      <c r="B9255" s="5" t="s">
        <v>34</v>
      </c>
      <c r="D9255" s="5" t="s">
        <v>267</v>
      </c>
      <c r="E9255" s="5" t="s">
        <v>57613</v>
      </c>
      <c r="F9255" s="5" t="s">
        <v>120</v>
      </c>
      <c r="G9255" s="5" t="s">
        <v>57614</v>
      </c>
      <c r="H9255" s="6" t="s">
        <v>57615</v>
      </c>
      <c r="K9255" s="5" t="s">
        <v>57536</v>
      </c>
      <c r="P9255" s="5" t="s">
        <v>57609</v>
      </c>
    </row>
    <row r="9256">
      <c r="A9256" s="4">
        <v>45534.44124771991</v>
      </c>
      <c r="B9256" s="5" t="s">
        <v>34</v>
      </c>
      <c r="D9256" s="5" t="s">
        <v>10297</v>
      </c>
      <c r="E9256" s="5" t="s">
        <v>57616</v>
      </c>
      <c r="F9256" s="5" t="s">
        <v>375</v>
      </c>
      <c r="G9256" s="5" t="s">
        <v>57617</v>
      </c>
      <c r="H9256" s="6" t="s">
        <v>57618</v>
      </c>
      <c r="K9256" s="5" t="s">
        <v>57619</v>
      </c>
      <c r="P9256" s="5" t="s">
        <v>57609</v>
      </c>
    </row>
    <row r="9257">
      <c r="A9257" s="4">
        <v>45534.44130871528</v>
      </c>
      <c r="B9257" s="5" t="s">
        <v>34</v>
      </c>
      <c r="D9257" s="5" t="s">
        <v>4775</v>
      </c>
      <c r="E9257" s="5" t="s">
        <v>57620</v>
      </c>
      <c r="F9257" s="5" t="s">
        <v>212</v>
      </c>
      <c r="G9257" s="5" t="s">
        <v>57621</v>
      </c>
      <c r="H9257" s="6" t="s">
        <v>57622</v>
      </c>
      <c r="K9257" s="5" t="s">
        <v>57623</v>
      </c>
      <c r="P9257" s="5" t="s">
        <v>57609</v>
      </c>
    </row>
    <row r="9258">
      <c r="A9258" s="4">
        <v>45534.441336840275</v>
      </c>
      <c r="B9258" s="5" t="s">
        <v>34</v>
      </c>
      <c r="D9258" s="5" t="s">
        <v>9020</v>
      </c>
      <c r="E9258" s="5" t="s">
        <v>57624</v>
      </c>
      <c r="F9258" s="5" t="s">
        <v>37</v>
      </c>
      <c r="G9258" s="5" t="s">
        <v>57625</v>
      </c>
      <c r="H9258" s="6" t="s">
        <v>57626</v>
      </c>
      <c r="K9258" s="5" t="s">
        <v>57623</v>
      </c>
      <c r="P9258" s="5" t="s">
        <v>57609</v>
      </c>
    </row>
    <row r="9259">
      <c r="A9259" s="4">
        <v>45534.44141053241</v>
      </c>
      <c r="B9259" s="5" t="s">
        <v>34</v>
      </c>
      <c r="D9259" s="5" t="s">
        <v>35</v>
      </c>
      <c r="E9259" s="5" t="s">
        <v>57627</v>
      </c>
      <c r="F9259" s="5" t="s">
        <v>120</v>
      </c>
      <c r="G9259" s="5" t="s">
        <v>57628</v>
      </c>
      <c r="H9259" s="6" t="s">
        <v>57629</v>
      </c>
      <c r="K9259" s="5" t="s">
        <v>57630</v>
      </c>
      <c r="P9259" s="5" t="s">
        <v>57609</v>
      </c>
    </row>
    <row r="9260">
      <c r="A9260" s="4">
        <v>45534.44158618056</v>
      </c>
      <c r="B9260" s="5" t="s">
        <v>34</v>
      </c>
      <c r="D9260" s="5" t="s">
        <v>12978</v>
      </c>
      <c r="E9260" s="5" t="s">
        <v>57631</v>
      </c>
      <c r="F9260" s="5" t="s">
        <v>37</v>
      </c>
      <c r="G9260" s="5" t="s">
        <v>57632</v>
      </c>
      <c r="H9260" s="6" t="s">
        <v>57633</v>
      </c>
      <c r="K9260" s="5" t="s">
        <v>57630</v>
      </c>
      <c r="P9260" s="5" t="s">
        <v>57609</v>
      </c>
    </row>
    <row r="9261" hidden="1">
      <c r="A9261" s="4">
        <v>45534.441616192125</v>
      </c>
      <c r="B9261" s="5" t="s">
        <v>19</v>
      </c>
      <c r="C9261" s="5" t="s">
        <v>83</v>
      </c>
      <c r="E9261" s="5" t="s">
        <v>57634</v>
      </c>
      <c r="F9261" s="5" t="s">
        <v>72</v>
      </c>
      <c r="G9261" s="5" t="s">
        <v>57635</v>
      </c>
      <c r="H9261" s="6" t="s">
        <v>57636</v>
      </c>
      <c r="K9261" s="5" t="s">
        <v>57630</v>
      </c>
      <c r="P9261" s="5" t="s">
        <v>57609</v>
      </c>
    </row>
    <row r="9262">
      <c r="A9262" s="4">
        <v>45534.44172569444</v>
      </c>
      <c r="B9262" s="5" t="s">
        <v>34</v>
      </c>
      <c r="D9262" s="5" t="s">
        <v>4775</v>
      </c>
      <c r="E9262" s="5" t="s">
        <v>57637</v>
      </c>
      <c r="F9262" s="5" t="s">
        <v>212</v>
      </c>
      <c r="G9262" s="5" t="s">
        <v>57638</v>
      </c>
      <c r="H9262" s="6" t="s">
        <v>57639</v>
      </c>
      <c r="K9262" s="5" t="s">
        <v>57630</v>
      </c>
      <c r="P9262" s="5" t="s">
        <v>57609</v>
      </c>
    </row>
    <row r="9263">
      <c r="A9263" s="4">
        <v>45534.441789930555</v>
      </c>
      <c r="B9263" s="5" t="s">
        <v>34</v>
      </c>
      <c r="D9263" s="5" t="s">
        <v>11527</v>
      </c>
      <c r="E9263" s="5" t="s">
        <v>57640</v>
      </c>
      <c r="F9263" s="5" t="s">
        <v>375</v>
      </c>
      <c r="G9263" s="5" t="s">
        <v>57641</v>
      </c>
      <c r="H9263" s="6" t="s">
        <v>57642</v>
      </c>
      <c r="K9263" s="5" t="s">
        <v>57630</v>
      </c>
      <c r="P9263" s="5" t="s">
        <v>57609</v>
      </c>
    </row>
    <row r="9264">
      <c r="A9264" s="4">
        <v>45534.44180017361</v>
      </c>
      <c r="B9264" s="5" t="s">
        <v>34</v>
      </c>
      <c r="D9264" s="5" t="s">
        <v>2903</v>
      </c>
      <c r="E9264" s="5" t="s">
        <v>57643</v>
      </c>
      <c r="F9264" s="5" t="s">
        <v>715</v>
      </c>
      <c r="G9264" s="5" t="s">
        <v>57644</v>
      </c>
      <c r="H9264" s="6" t="s">
        <v>57645</v>
      </c>
      <c r="K9264" s="5" t="s">
        <v>57630</v>
      </c>
      <c r="P9264" s="5" t="s">
        <v>57609</v>
      </c>
    </row>
    <row r="9265">
      <c r="A9265" s="4">
        <v>45534.44195959491</v>
      </c>
      <c r="B9265" s="5" t="s">
        <v>34</v>
      </c>
      <c r="D9265" s="5" t="s">
        <v>10297</v>
      </c>
      <c r="E9265" s="5" t="s">
        <v>57646</v>
      </c>
      <c r="F9265" s="5" t="s">
        <v>375</v>
      </c>
      <c r="G9265" s="5" t="s">
        <v>57647</v>
      </c>
      <c r="H9265" s="6" t="s">
        <v>57648</v>
      </c>
      <c r="K9265" s="5" t="s">
        <v>57630</v>
      </c>
      <c r="P9265" s="5" t="s">
        <v>57609</v>
      </c>
    </row>
    <row r="9266">
      <c r="A9266" s="4">
        <v>45534.442017696754</v>
      </c>
      <c r="B9266" s="5" t="s">
        <v>34</v>
      </c>
      <c r="D9266" s="5" t="s">
        <v>701</v>
      </c>
      <c r="E9266" s="5" t="s">
        <v>57649</v>
      </c>
      <c r="F9266" s="5" t="s">
        <v>212</v>
      </c>
      <c r="G9266" s="5" t="s">
        <v>57650</v>
      </c>
      <c r="H9266" s="6" t="s">
        <v>57651</v>
      </c>
      <c r="K9266" s="5" t="s">
        <v>57630</v>
      </c>
      <c r="P9266" s="5" t="s">
        <v>57609</v>
      </c>
    </row>
    <row r="9267">
      <c r="A9267" s="4">
        <v>45534.44202241898</v>
      </c>
      <c r="B9267" s="5" t="s">
        <v>34</v>
      </c>
      <c r="D9267" s="5" t="s">
        <v>1206</v>
      </c>
      <c r="E9267" s="5" t="s">
        <v>57652</v>
      </c>
      <c r="F9267" s="5" t="s">
        <v>37</v>
      </c>
      <c r="G9267" s="5" t="s">
        <v>57653</v>
      </c>
      <c r="H9267" s="6" t="s">
        <v>57654</v>
      </c>
      <c r="K9267" s="5" t="s">
        <v>57630</v>
      </c>
      <c r="P9267" s="5" t="s">
        <v>57609</v>
      </c>
    </row>
    <row r="9268">
      <c r="A9268" s="4">
        <v>45534.44221317129</v>
      </c>
      <c r="B9268" s="5" t="s">
        <v>34</v>
      </c>
      <c r="D9268" s="5" t="s">
        <v>12010</v>
      </c>
      <c r="E9268" s="5" t="s">
        <v>57655</v>
      </c>
      <c r="F9268" s="5" t="s">
        <v>37</v>
      </c>
      <c r="G9268" s="5" t="s">
        <v>57656</v>
      </c>
      <c r="H9268" s="6" t="s">
        <v>57657</v>
      </c>
      <c r="K9268" s="5" t="s">
        <v>57630</v>
      </c>
      <c r="P9268" s="5" t="s">
        <v>57609</v>
      </c>
    </row>
    <row r="9269">
      <c r="A9269" s="4">
        <v>45534.44223756944</v>
      </c>
      <c r="B9269" s="5" t="s">
        <v>34</v>
      </c>
      <c r="D9269" s="5" t="s">
        <v>10297</v>
      </c>
      <c r="E9269" s="5" t="s">
        <v>57658</v>
      </c>
      <c r="F9269" s="5" t="s">
        <v>108</v>
      </c>
      <c r="G9269" s="5" t="s">
        <v>57659</v>
      </c>
      <c r="H9269" s="6" t="s">
        <v>57660</v>
      </c>
      <c r="K9269" s="5" t="s">
        <v>57630</v>
      </c>
      <c r="P9269" s="5" t="s">
        <v>57609</v>
      </c>
    </row>
    <row r="9270">
      <c r="A9270" s="4">
        <v>45534.44227677083</v>
      </c>
      <c r="B9270" s="5" t="s">
        <v>34</v>
      </c>
      <c r="D9270" s="5" t="s">
        <v>15401</v>
      </c>
      <c r="E9270" s="5" t="s">
        <v>57661</v>
      </c>
      <c r="F9270" s="5" t="s">
        <v>328</v>
      </c>
      <c r="G9270" s="5" t="s">
        <v>57662</v>
      </c>
      <c r="H9270" s="6" t="s">
        <v>57663</v>
      </c>
      <c r="K9270" s="5" t="s">
        <v>57630</v>
      </c>
      <c r="P9270" s="5" t="s">
        <v>57609</v>
      </c>
    </row>
    <row r="9271">
      <c r="A9271" s="4">
        <v>45534.44230743055</v>
      </c>
      <c r="B9271" s="5" t="s">
        <v>34</v>
      </c>
      <c r="D9271" s="5" t="s">
        <v>4775</v>
      </c>
      <c r="E9271" s="5" t="s">
        <v>57664</v>
      </c>
      <c r="F9271" s="5" t="s">
        <v>375</v>
      </c>
      <c r="G9271" s="5" t="s">
        <v>57665</v>
      </c>
      <c r="H9271" s="6" t="s">
        <v>57666</v>
      </c>
      <c r="K9271" s="5" t="s">
        <v>57630</v>
      </c>
      <c r="P9271" s="5" t="s">
        <v>57609</v>
      </c>
    </row>
    <row r="9272">
      <c r="A9272" s="4">
        <v>45534.44238429399</v>
      </c>
      <c r="B9272" s="5" t="s">
        <v>34</v>
      </c>
      <c r="D9272" s="5" t="s">
        <v>1206</v>
      </c>
      <c r="E9272" s="5" t="s">
        <v>57667</v>
      </c>
      <c r="F9272" s="5" t="s">
        <v>524</v>
      </c>
      <c r="G9272" s="5" t="s">
        <v>57668</v>
      </c>
      <c r="H9272" s="6" t="s">
        <v>57669</v>
      </c>
      <c r="K9272" s="5" t="s">
        <v>57630</v>
      </c>
      <c r="P9272" s="5" t="s">
        <v>57609</v>
      </c>
    </row>
    <row r="9273">
      <c r="A9273" s="4">
        <v>45534.44246747685</v>
      </c>
      <c r="B9273" s="5" t="s">
        <v>34</v>
      </c>
      <c r="D9273" s="5" t="s">
        <v>1456</v>
      </c>
      <c r="E9273" s="5" t="s">
        <v>57670</v>
      </c>
      <c r="F9273" s="5" t="s">
        <v>212</v>
      </c>
      <c r="G9273" s="5" t="s">
        <v>57671</v>
      </c>
      <c r="H9273" s="6" t="s">
        <v>57672</v>
      </c>
      <c r="K9273" s="5" t="s">
        <v>57630</v>
      </c>
      <c r="P9273" s="5" t="s">
        <v>57609</v>
      </c>
    </row>
    <row r="9274" hidden="1">
      <c r="A9274" s="4">
        <v>45534.44250444444</v>
      </c>
      <c r="B9274" s="5" t="s">
        <v>19</v>
      </c>
      <c r="C9274" s="5" t="s">
        <v>3301</v>
      </c>
      <c r="E9274" s="5" t="s">
        <v>57673</v>
      </c>
      <c r="F9274" s="5" t="s">
        <v>524</v>
      </c>
      <c r="G9274" s="5" t="s">
        <v>57674</v>
      </c>
      <c r="H9274" s="6" t="s">
        <v>57675</v>
      </c>
      <c r="K9274" s="5" t="s">
        <v>57630</v>
      </c>
      <c r="P9274" s="5" t="s">
        <v>57609</v>
      </c>
    </row>
    <row r="9275">
      <c r="A9275" s="4">
        <v>45534.44251043981</v>
      </c>
      <c r="B9275" s="5" t="s">
        <v>34</v>
      </c>
      <c r="D9275" s="5" t="s">
        <v>701</v>
      </c>
      <c r="E9275" s="5" t="s">
        <v>57676</v>
      </c>
      <c r="F9275" s="5" t="s">
        <v>108</v>
      </c>
      <c r="G9275" s="5" t="s">
        <v>57677</v>
      </c>
      <c r="H9275" s="6" t="s">
        <v>57678</v>
      </c>
      <c r="K9275" s="5" t="s">
        <v>57630</v>
      </c>
      <c r="P9275" s="5" t="s">
        <v>57609</v>
      </c>
    </row>
    <row r="9276">
      <c r="A9276" s="4">
        <v>45534.442542476856</v>
      </c>
      <c r="B9276" s="5" t="s">
        <v>34</v>
      </c>
      <c r="D9276" s="5" t="s">
        <v>7858</v>
      </c>
      <c r="E9276" s="5" t="s">
        <v>57679</v>
      </c>
      <c r="F9276" s="5" t="s">
        <v>72</v>
      </c>
      <c r="G9276" s="5" t="s">
        <v>57680</v>
      </c>
      <c r="H9276" s="6" t="s">
        <v>57681</v>
      </c>
      <c r="K9276" s="5" t="s">
        <v>57630</v>
      </c>
      <c r="P9276" s="5" t="s">
        <v>57609</v>
      </c>
    </row>
    <row r="9277">
      <c r="A9277" s="4">
        <v>45534.442575</v>
      </c>
      <c r="B9277" s="5" t="s">
        <v>34</v>
      </c>
      <c r="D9277" s="5" t="s">
        <v>1206</v>
      </c>
      <c r="E9277" s="5" t="s">
        <v>57682</v>
      </c>
      <c r="F9277" s="5" t="s">
        <v>212</v>
      </c>
      <c r="G9277" s="5" t="s">
        <v>57683</v>
      </c>
      <c r="H9277" s="6" t="s">
        <v>57684</v>
      </c>
      <c r="K9277" s="5" t="s">
        <v>57630</v>
      </c>
      <c r="P9277" s="5" t="s">
        <v>57609</v>
      </c>
    </row>
    <row r="9278">
      <c r="A9278" s="4">
        <v>45534.44270912037</v>
      </c>
      <c r="B9278" s="5" t="s">
        <v>34</v>
      </c>
      <c r="D9278" s="5" t="s">
        <v>4775</v>
      </c>
      <c r="E9278" s="5" t="s">
        <v>29043</v>
      </c>
      <c r="F9278" s="5" t="s">
        <v>328</v>
      </c>
      <c r="G9278" s="5" t="s">
        <v>29044</v>
      </c>
      <c r="H9278" s="6" t="s">
        <v>57685</v>
      </c>
      <c r="K9278" s="5" t="s">
        <v>57630</v>
      </c>
      <c r="P9278" s="5" t="s">
        <v>57609</v>
      </c>
    </row>
    <row r="9279">
      <c r="A9279" s="4">
        <v>45534.44295251157</v>
      </c>
      <c r="B9279" s="5" t="s">
        <v>34</v>
      </c>
      <c r="D9279" s="5" t="s">
        <v>701</v>
      </c>
      <c r="E9279" s="5" t="s">
        <v>57686</v>
      </c>
      <c r="F9279" s="5" t="s">
        <v>212</v>
      </c>
      <c r="G9279" s="5" t="s">
        <v>57687</v>
      </c>
      <c r="H9279" s="6" t="s">
        <v>57688</v>
      </c>
      <c r="K9279" s="5" t="s">
        <v>57630</v>
      </c>
      <c r="P9279" s="5" t="s">
        <v>57609</v>
      </c>
    </row>
    <row r="9280">
      <c r="A9280" s="4">
        <v>45534.44308104167</v>
      </c>
      <c r="B9280" s="5" t="s">
        <v>34</v>
      </c>
      <c r="D9280" s="5" t="s">
        <v>1206</v>
      </c>
      <c r="E9280" s="5" t="s">
        <v>57689</v>
      </c>
      <c r="F9280" s="5" t="s">
        <v>212</v>
      </c>
      <c r="G9280" s="5" t="s">
        <v>57690</v>
      </c>
      <c r="H9280" s="6" t="s">
        <v>57691</v>
      </c>
      <c r="K9280" s="5" t="s">
        <v>57692</v>
      </c>
      <c r="P9280" s="5" t="s">
        <v>57609</v>
      </c>
    </row>
    <row r="9281" hidden="1">
      <c r="A9281" s="4">
        <v>45534.443142731485</v>
      </c>
      <c r="B9281" s="5" t="s">
        <v>19</v>
      </c>
      <c r="C9281" s="5" t="s">
        <v>3471</v>
      </c>
      <c r="E9281" s="5" t="s">
        <v>57693</v>
      </c>
      <c r="F9281" s="5" t="s">
        <v>37</v>
      </c>
      <c r="G9281" s="5" t="s">
        <v>57694</v>
      </c>
      <c r="H9281" s="6" t="s">
        <v>57695</v>
      </c>
      <c r="K9281" s="5" t="s">
        <v>57696</v>
      </c>
      <c r="P9281" s="5" t="s">
        <v>57609</v>
      </c>
    </row>
    <row r="9282" hidden="1">
      <c r="A9282" s="4">
        <v>45534.44314466435</v>
      </c>
      <c r="B9282" s="5" t="s">
        <v>19</v>
      </c>
      <c r="C9282" s="5" t="s">
        <v>292</v>
      </c>
      <c r="E9282" s="5" t="s">
        <v>57697</v>
      </c>
      <c r="F9282" s="5" t="s">
        <v>37</v>
      </c>
      <c r="G9282" s="5" t="s">
        <v>57698</v>
      </c>
      <c r="H9282" s="6" t="s">
        <v>57699</v>
      </c>
      <c r="K9282" s="5" t="s">
        <v>57696</v>
      </c>
      <c r="P9282" s="5" t="s">
        <v>57609</v>
      </c>
    </row>
    <row r="9283">
      <c r="A9283" s="4">
        <v>45534.44320231481</v>
      </c>
      <c r="B9283" s="5" t="s">
        <v>34</v>
      </c>
      <c r="D9283" s="5" t="s">
        <v>10444</v>
      </c>
      <c r="E9283" s="5" t="s">
        <v>57700</v>
      </c>
      <c r="F9283" s="5" t="s">
        <v>22</v>
      </c>
      <c r="G9283" s="5" t="s">
        <v>57701</v>
      </c>
      <c r="H9283" s="6" t="s">
        <v>57702</v>
      </c>
      <c r="K9283" s="5" t="s">
        <v>57703</v>
      </c>
      <c r="P9283" s="5" t="s">
        <v>57609</v>
      </c>
    </row>
    <row r="9284">
      <c r="A9284" s="4">
        <v>45534.443208819444</v>
      </c>
      <c r="B9284" s="5" t="s">
        <v>34</v>
      </c>
      <c r="D9284" s="5" t="s">
        <v>604</v>
      </c>
      <c r="E9284" s="5" t="s">
        <v>57704</v>
      </c>
      <c r="F9284" s="5" t="s">
        <v>120</v>
      </c>
      <c r="G9284" s="5" t="s">
        <v>57705</v>
      </c>
      <c r="H9284" s="6" t="s">
        <v>57706</v>
      </c>
      <c r="K9284" s="5" t="s">
        <v>57703</v>
      </c>
      <c r="P9284" s="5" t="s">
        <v>57609</v>
      </c>
    </row>
    <row r="9285">
      <c r="A9285" s="4">
        <v>45534.443321597224</v>
      </c>
      <c r="B9285" s="5" t="s">
        <v>34</v>
      </c>
      <c r="D9285" s="5" t="s">
        <v>701</v>
      </c>
      <c r="E9285" s="5" t="s">
        <v>57707</v>
      </c>
      <c r="F9285" s="5" t="s">
        <v>108</v>
      </c>
      <c r="G9285" s="5" t="s">
        <v>57708</v>
      </c>
      <c r="H9285" s="6" t="s">
        <v>57709</v>
      </c>
      <c r="K9285" s="5" t="s">
        <v>57710</v>
      </c>
      <c r="P9285" s="5" t="s">
        <v>57609</v>
      </c>
    </row>
    <row r="9286" hidden="1">
      <c r="A9286" s="4">
        <v>45534.443329201385</v>
      </c>
      <c r="B9286" s="5" t="s">
        <v>19</v>
      </c>
      <c r="C9286" s="5" t="s">
        <v>466</v>
      </c>
      <c r="E9286" s="5" t="s">
        <v>57711</v>
      </c>
      <c r="F9286" s="5" t="s">
        <v>212</v>
      </c>
      <c r="G9286" s="5" t="s">
        <v>57712</v>
      </c>
      <c r="H9286" s="6" t="s">
        <v>57713</v>
      </c>
      <c r="K9286" s="5" t="s">
        <v>57710</v>
      </c>
      <c r="P9286" s="5" t="s">
        <v>57609</v>
      </c>
    </row>
    <row r="9287">
      <c r="A9287" s="4">
        <v>45534.44342256944</v>
      </c>
      <c r="B9287" s="5" t="s">
        <v>34</v>
      </c>
      <c r="D9287" s="5" t="s">
        <v>11913</v>
      </c>
      <c r="E9287" s="5" t="s">
        <v>57714</v>
      </c>
      <c r="F9287" s="5" t="s">
        <v>37</v>
      </c>
      <c r="G9287" s="5" t="s">
        <v>57715</v>
      </c>
      <c r="H9287" s="6" t="s">
        <v>57716</v>
      </c>
      <c r="K9287" s="5" t="s">
        <v>57717</v>
      </c>
      <c r="P9287" s="5" t="s">
        <v>57609</v>
      </c>
    </row>
    <row r="9288">
      <c r="A9288" s="4">
        <v>45534.4435055787</v>
      </c>
      <c r="B9288" s="5" t="s">
        <v>34</v>
      </c>
      <c r="D9288" s="5" t="s">
        <v>35</v>
      </c>
      <c r="E9288" s="5" t="s">
        <v>57718</v>
      </c>
      <c r="F9288" s="5" t="s">
        <v>524</v>
      </c>
      <c r="G9288" s="5" t="s">
        <v>57719</v>
      </c>
      <c r="H9288" s="6" t="s">
        <v>57720</v>
      </c>
      <c r="K9288" s="5" t="s">
        <v>57721</v>
      </c>
      <c r="P9288" s="5" t="s">
        <v>57609</v>
      </c>
    </row>
    <row r="9289">
      <c r="A9289" s="4">
        <v>45534.44351913195</v>
      </c>
      <c r="B9289" s="5" t="s">
        <v>34</v>
      </c>
      <c r="D9289" s="5" t="s">
        <v>1558</v>
      </c>
      <c r="E9289" s="5" t="s">
        <v>57722</v>
      </c>
      <c r="F9289" s="5" t="s">
        <v>37</v>
      </c>
      <c r="G9289" s="5" t="s">
        <v>57723</v>
      </c>
      <c r="H9289" s="6" t="s">
        <v>57724</v>
      </c>
      <c r="K9289" s="5" t="s">
        <v>57721</v>
      </c>
      <c r="P9289" s="5" t="s">
        <v>57609</v>
      </c>
    </row>
    <row r="9290">
      <c r="A9290" s="4">
        <v>45534.44353988426</v>
      </c>
      <c r="B9290" s="5" t="s">
        <v>34</v>
      </c>
      <c r="D9290" s="5" t="s">
        <v>12978</v>
      </c>
      <c r="E9290" s="5" t="s">
        <v>57725</v>
      </c>
      <c r="F9290" s="5" t="s">
        <v>72</v>
      </c>
      <c r="G9290" s="5" t="s">
        <v>57726</v>
      </c>
      <c r="H9290" s="6" t="s">
        <v>57727</v>
      </c>
      <c r="K9290" s="5" t="s">
        <v>57728</v>
      </c>
      <c r="P9290" s="5" t="s">
        <v>57609</v>
      </c>
    </row>
    <row r="9291">
      <c r="A9291" s="4">
        <v>45534.44355074074</v>
      </c>
      <c r="B9291" s="5" t="s">
        <v>34</v>
      </c>
      <c r="D9291" s="5" t="s">
        <v>4775</v>
      </c>
      <c r="E9291" s="5" t="s">
        <v>57729</v>
      </c>
      <c r="F9291" s="5" t="s">
        <v>37</v>
      </c>
      <c r="G9291" s="5" t="s">
        <v>57730</v>
      </c>
      <c r="H9291" s="6" t="s">
        <v>57731</v>
      </c>
      <c r="K9291" s="5" t="s">
        <v>57732</v>
      </c>
      <c r="P9291" s="5" t="s">
        <v>57609</v>
      </c>
    </row>
    <row r="9292" hidden="1">
      <c r="A9292" s="4">
        <v>45534.44357392361</v>
      </c>
      <c r="B9292" s="5" t="s">
        <v>19</v>
      </c>
      <c r="C9292" s="5" t="s">
        <v>45988</v>
      </c>
      <c r="E9292" s="5" t="s">
        <v>57733</v>
      </c>
      <c r="F9292" s="5" t="s">
        <v>108</v>
      </c>
      <c r="G9292" s="5" t="s">
        <v>57734</v>
      </c>
      <c r="H9292" s="6" t="s">
        <v>57735</v>
      </c>
      <c r="K9292" s="5" t="s">
        <v>57732</v>
      </c>
      <c r="P9292" s="5" t="s">
        <v>57609</v>
      </c>
    </row>
    <row r="9293">
      <c r="A9293" s="4">
        <v>45534.44374296296</v>
      </c>
      <c r="B9293" s="5" t="s">
        <v>34</v>
      </c>
      <c r="D9293" s="5" t="s">
        <v>6232</v>
      </c>
      <c r="E9293" s="5" t="s">
        <v>57736</v>
      </c>
      <c r="F9293" s="5" t="s">
        <v>524</v>
      </c>
      <c r="G9293" s="5" t="s">
        <v>57737</v>
      </c>
      <c r="H9293" s="6" t="s">
        <v>57738</v>
      </c>
      <c r="K9293" s="5" t="s">
        <v>57739</v>
      </c>
      <c r="P9293" s="5" t="s">
        <v>57609</v>
      </c>
    </row>
    <row r="9294">
      <c r="A9294" s="4">
        <v>45534.44384893519</v>
      </c>
      <c r="B9294" s="5" t="s">
        <v>34</v>
      </c>
      <c r="D9294" s="5" t="s">
        <v>11913</v>
      </c>
      <c r="E9294" s="5" t="s">
        <v>57740</v>
      </c>
      <c r="F9294" s="5" t="s">
        <v>37</v>
      </c>
      <c r="G9294" s="5" t="s">
        <v>57741</v>
      </c>
      <c r="H9294" s="6" t="s">
        <v>57742</v>
      </c>
      <c r="K9294" s="5" t="s">
        <v>57739</v>
      </c>
      <c r="P9294" s="5" t="s">
        <v>57609</v>
      </c>
    </row>
    <row r="9295">
      <c r="A9295" s="4">
        <v>45534.444036597226</v>
      </c>
      <c r="B9295" s="5" t="s">
        <v>34</v>
      </c>
      <c r="D9295" s="5" t="s">
        <v>1206</v>
      </c>
      <c r="E9295" s="5" t="s">
        <v>57743</v>
      </c>
      <c r="F9295" s="5" t="s">
        <v>37</v>
      </c>
      <c r="G9295" s="5" t="s">
        <v>57744</v>
      </c>
      <c r="H9295" s="6" t="s">
        <v>57745</v>
      </c>
      <c r="K9295" s="5" t="s">
        <v>57739</v>
      </c>
      <c r="P9295" s="5" t="s">
        <v>57609</v>
      </c>
    </row>
    <row r="9296" hidden="1">
      <c r="A9296" s="4">
        <v>45534.44413849537</v>
      </c>
      <c r="B9296" s="5" t="s">
        <v>19</v>
      </c>
      <c r="C9296" s="5" t="s">
        <v>3471</v>
      </c>
      <c r="E9296" s="5" t="s">
        <v>57746</v>
      </c>
      <c r="F9296" s="5" t="s">
        <v>120</v>
      </c>
      <c r="G9296" s="5" t="s">
        <v>57747</v>
      </c>
      <c r="H9296" s="6" t="s">
        <v>57748</v>
      </c>
      <c r="K9296" s="5" t="s">
        <v>57739</v>
      </c>
      <c r="P9296" s="5" t="s">
        <v>57609</v>
      </c>
    </row>
    <row r="9297">
      <c r="A9297" s="4">
        <v>45534.44420921296</v>
      </c>
      <c r="B9297" s="5" t="s">
        <v>34</v>
      </c>
      <c r="D9297" s="5" t="s">
        <v>9020</v>
      </c>
      <c r="E9297" s="5" t="s">
        <v>57749</v>
      </c>
      <c r="F9297" s="5" t="s">
        <v>212</v>
      </c>
      <c r="G9297" s="5" t="s">
        <v>57750</v>
      </c>
      <c r="H9297" s="6" t="s">
        <v>57751</v>
      </c>
      <c r="K9297" s="5" t="s">
        <v>57739</v>
      </c>
      <c r="P9297" s="5" t="s">
        <v>57609</v>
      </c>
    </row>
    <row r="9298">
      <c r="A9298" s="4">
        <v>45534.44439081018</v>
      </c>
      <c r="B9298" s="5" t="s">
        <v>34</v>
      </c>
      <c r="D9298" s="5" t="s">
        <v>4775</v>
      </c>
      <c r="E9298" s="5" t="s">
        <v>57752</v>
      </c>
      <c r="F9298" s="5" t="s">
        <v>120</v>
      </c>
      <c r="G9298" s="5" t="s">
        <v>57753</v>
      </c>
      <c r="H9298" s="6" t="s">
        <v>57754</v>
      </c>
      <c r="K9298" s="5" t="s">
        <v>57739</v>
      </c>
      <c r="P9298" s="5" t="s">
        <v>57609</v>
      </c>
    </row>
    <row r="9299">
      <c r="A9299" s="4">
        <v>45534.44439160879</v>
      </c>
      <c r="B9299" s="5" t="s">
        <v>34</v>
      </c>
      <c r="D9299" s="5" t="s">
        <v>9394</v>
      </c>
      <c r="E9299" s="5" t="s">
        <v>57755</v>
      </c>
      <c r="F9299" s="5" t="s">
        <v>212</v>
      </c>
      <c r="G9299" s="5" t="s">
        <v>57756</v>
      </c>
      <c r="H9299" s="6" t="s">
        <v>57757</v>
      </c>
      <c r="K9299" s="5" t="s">
        <v>57739</v>
      </c>
      <c r="P9299" s="5" t="s">
        <v>57609</v>
      </c>
    </row>
    <row r="9300" hidden="1">
      <c r="A9300" s="4">
        <v>45534.444510960646</v>
      </c>
      <c r="B9300" s="5" t="s">
        <v>19</v>
      </c>
      <c r="C9300" s="5" t="s">
        <v>3301</v>
      </c>
      <c r="E9300" s="5" t="s">
        <v>57758</v>
      </c>
      <c r="F9300" s="5" t="s">
        <v>375</v>
      </c>
      <c r="G9300" s="5" t="s">
        <v>57759</v>
      </c>
      <c r="H9300" s="6" t="s">
        <v>57760</v>
      </c>
      <c r="K9300" s="5" t="s">
        <v>57761</v>
      </c>
      <c r="P9300" s="5" t="s">
        <v>57609</v>
      </c>
    </row>
    <row r="9301">
      <c r="A9301" s="4">
        <v>45534.44460615741</v>
      </c>
      <c r="B9301" s="5" t="s">
        <v>34</v>
      </c>
      <c r="D9301" s="5" t="s">
        <v>9020</v>
      </c>
      <c r="E9301" s="5" t="s">
        <v>57762</v>
      </c>
      <c r="F9301" s="5" t="s">
        <v>524</v>
      </c>
      <c r="G9301" s="5" t="s">
        <v>57763</v>
      </c>
      <c r="H9301" s="6" t="s">
        <v>57764</v>
      </c>
      <c r="K9301" s="5" t="s">
        <v>57761</v>
      </c>
      <c r="P9301" s="5" t="s">
        <v>57609</v>
      </c>
    </row>
    <row r="9302">
      <c r="A9302" s="4">
        <v>45534.44469037037</v>
      </c>
      <c r="B9302" s="5" t="s">
        <v>34</v>
      </c>
      <c r="D9302" s="5" t="s">
        <v>14424</v>
      </c>
      <c r="E9302" s="5" t="s">
        <v>57765</v>
      </c>
      <c r="F9302" s="5" t="s">
        <v>212</v>
      </c>
      <c r="G9302" s="5" t="s">
        <v>57766</v>
      </c>
      <c r="H9302" s="6" t="s">
        <v>57767</v>
      </c>
      <c r="K9302" s="5" t="s">
        <v>57761</v>
      </c>
      <c r="P9302" s="5" t="s">
        <v>57609</v>
      </c>
    </row>
    <row r="9303">
      <c r="A9303" s="4">
        <v>45534.44470810185</v>
      </c>
      <c r="B9303" s="5" t="s">
        <v>34</v>
      </c>
      <c r="D9303" s="5" t="s">
        <v>996</v>
      </c>
      <c r="E9303" s="5" t="s">
        <v>57768</v>
      </c>
      <c r="F9303" s="5" t="s">
        <v>375</v>
      </c>
      <c r="G9303" s="5" t="s">
        <v>57769</v>
      </c>
      <c r="H9303" s="6" t="s">
        <v>57770</v>
      </c>
      <c r="K9303" s="5" t="s">
        <v>57761</v>
      </c>
      <c r="P9303" s="5" t="s">
        <v>57609</v>
      </c>
    </row>
    <row r="9304">
      <c r="A9304" s="4">
        <v>45534.44476293982</v>
      </c>
      <c r="B9304" s="5" t="s">
        <v>34</v>
      </c>
      <c r="D9304" s="5" t="s">
        <v>1558</v>
      </c>
      <c r="E9304" s="5" t="s">
        <v>57771</v>
      </c>
      <c r="F9304" s="5" t="s">
        <v>212</v>
      </c>
      <c r="G9304" s="5" t="s">
        <v>57772</v>
      </c>
      <c r="H9304" s="6" t="s">
        <v>57773</v>
      </c>
      <c r="K9304" s="5" t="s">
        <v>57761</v>
      </c>
      <c r="P9304" s="5" t="s">
        <v>57609</v>
      </c>
    </row>
    <row r="9305">
      <c r="A9305" s="4">
        <v>45534.44491711806</v>
      </c>
      <c r="B9305" s="5" t="s">
        <v>34</v>
      </c>
      <c r="D9305" s="5" t="s">
        <v>267</v>
      </c>
      <c r="E9305" s="5" t="s">
        <v>57774</v>
      </c>
      <c r="F9305" s="5" t="s">
        <v>212</v>
      </c>
      <c r="G9305" s="5" t="s">
        <v>57775</v>
      </c>
      <c r="H9305" s="6" t="s">
        <v>57776</v>
      </c>
      <c r="K9305" s="5" t="s">
        <v>57761</v>
      </c>
      <c r="P9305" s="5" t="s">
        <v>57609</v>
      </c>
    </row>
    <row r="9306">
      <c r="A9306" s="4">
        <v>45534.44496980324</v>
      </c>
      <c r="B9306" s="5" t="s">
        <v>34</v>
      </c>
      <c r="D9306" s="5" t="s">
        <v>1206</v>
      </c>
      <c r="E9306" s="5" t="s">
        <v>40721</v>
      </c>
      <c r="F9306" s="5" t="s">
        <v>212</v>
      </c>
      <c r="G9306" s="5" t="s">
        <v>57777</v>
      </c>
      <c r="H9306" s="6" t="s">
        <v>57778</v>
      </c>
      <c r="K9306" s="5" t="s">
        <v>57761</v>
      </c>
      <c r="P9306" s="5" t="s">
        <v>57609</v>
      </c>
    </row>
    <row r="9307" hidden="1">
      <c r="A9307" s="4">
        <v>45534.4450084375</v>
      </c>
      <c r="B9307" s="5" t="s">
        <v>19</v>
      </c>
      <c r="C9307" s="5" t="s">
        <v>20</v>
      </c>
      <c r="E9307" s="5" t="s">
        <v>50181</v>
      </c>
      <c r="F9307" s="5" t="s">
        <v>212</v>
      </c>
      <c r="G9307" s="5" t="s">
        <v>57779</v>
      </c>
      <c r="H9307" s="6" t="s">
        <v>57780</v>
      </c>
      <c r="K9307" s="5" t="s">
        <v>57761</v>
      </c>
      <c r="P9307" s="5" t="s">
        <v>57609</v>
      </c>
    </row>
    <row r="9308">
      <c r="A9308" s="4">
        <v>45534.44502834491</v>
      </c>
      <c r="B9308" s="5" t="s">
        <v>34</v>
      </c>
      <c r="D9308" s="5" t="s">
        <v>12010</v>
      </c>
      <c r="E9308" s="5" t="s">
        <v>57781</v>
      </c>
      <c r="F9308" s="5" t="s">
        <v>37</v>
      </c>
      <c r="G9308" s="5" t="s">
        <v>57782</v>
      </c>
      <c r="H9308" s="6" t="s">
        <v>57783</v>
      </c>
      <c r="K9308" s="5" t="s">
        <v>57761</v>
      </c>
      <c r="P9308" s="5" t="s">
        <v>57609</v>
      </c>
    </row>
    <row r="9309">
      <c r="A9309" s="4">
        <v>45534.445150740736</v>
      </c>
      <c r="B9309" s="5" t="s">
        <v>34</v>
      </c>
      <c r="D9309" s="5" t="s">
        <v>12010</v>
      </c>
      <c r="E9309" s="5" t="s">
        <v>57784</v>
      </c>
      <c r="F9309" s="5" t="s">
        <v>524</v>
      </c>
      <c r="G9309" s="5" t="s">
        <v>57785</v>
      </c>
      <c r="H9309" s="6" t="s">
        <v>57786</v>
      </c>
      <c r="K9309" s="5" t="s">
        <v>57761</v>
      </c>
      <c r="P9309" s="5" t="s">
        <v>57609</v>
      </c>
    </row>
    <row r="9310">
      <c r="A9310" s="4">
        <v>45534.44517850694</v>
      </c>
      <c r="B9310" s="5" t="s">
        <v>34</v>
      </c>
      <c r="D9310" s="5" t="s">
        <v>580</v>
      </c>
      <c r="E9310" s="5" t="s">
        <v>57787</v>
      </c>
      <c r="F9310" s="5" t="s">
        <v>37</v>
      </c>
      <c r="G9310" s="5" t="s">
        <v>57788</v>
      </c>
      <c r="H9310" s="6" t="s">
        <v>57789</v>
      </c>
      <c r="K9310" s="5" t="s">
        <v>57761</v>
      </c>
      <c r="P9310" s="5" t="s">
        <v>57609</v>
      </c>
    </row>
    <row r="9311">
      <c r="A9311" s="4">
        <v>45534.445243090275</v>
      </c>
      <c r="B9311" s="5" t="s">
        <v>34</v>
      </c>
      <c r="D9311" s="5" t="s">
        <v>9020</v>
      </c>
      <c r="E9311" s="5" t="s">
        <v>57790</v>
      </c>
      <c r="F9311" s="5" t="s">
        <v>212</v>
      </c>
      <c r="G9311" s="5" t="s">
        <v>57791</v>
      </c>
      <c r="H9311" s="6" t="s">
        <v>57792</v>
      </c>
      <c r="K9311" s="5" t="s">
        <v>57793</v>
      </c>
      <c r="P9311" s="5" t="s">
        <v>57609</v>
      </c>
    </row>
    <row r="9312">
      <c r="A9312" s="4">
        <v>45534.44541695602</v>
      </c>
      <c r="B9312" s="5" t="s">
        <v>34</v>
      </c>
      <c r="D9312" s="5" t="s">
        <v>10297</v>
      </c>
      <c r="E9312" s="5" t="s">
        <v>57794</v>
      </c>
      <c r="F9312" s="5" t="s">
        <v>108</v>
      </c>
      <c r="G9312" s="5" t="s">
        <v>57795</v>
      </c>
      <c r="H9312" s="6" t="s">
        <v>57796</v>
      </c>
      <c r="K9312" s="5" t="s">
        <v>57797</v>
      </c>
      <c r="M9312" s="5" t="s">
        <v>57798</v>
      </c>
      <c r="N9312" s="7" t="s">
        <v>57799</v>
      </c>
      <c r="O9312" s="8" t="str">
        <f>HYPERLINK("https://drive.google.com/file/d/11vnGgLVebASHlBdxwCtCpofZij6DaMqo/view?usp=drivesdk","9311_dr. Ellen Seprilia Sujiman _ SERTIFIKAT BerAKHLAK")</f>
        <v>9311_dr. Ellen Seprilia Sujiman _ SERTIFIKAT BerAKHLAK</v>
      </c>
      <c r="P9312" s="5" t="s">
        <v>57800</v>
      </c>
    </row>
    <row r="9313">
      <c r="A9313" s="4">
        <v>45534.445457662034</v>
      </c>
      <c r="B9313" s="5" t="s">
        <v>34</v>
      </c>
      <c r="D9313" s="5" t="s">
        <v>15401</v>
      </c>
      <c r="E9313" s="5" t="s">
        <v>57801</v>
      </c>
      <c r="F9313" s="5" t="s">
        <v>72</v>
      </c>
      <c r="G9313" s="5" t="s">
        <v>57802</v>
      </c>
      <c r="H9313" s="6" t="s">
        <v>57803</v>
      </c>
      <c r="K9313" s="5" t="s">
        <v>57797</v>
      </c>
      <c r="M9313" s="5" t="s">
        <v>57804</v>
      </c>
      <c r="N9313" s="7" t="s">
        <v>57805</v>
      </c>
      <c r="O9313" s="8" t="str">
        <f>HYPERLINK("https://drive.google.com/file/d/1YzvycmT3RDZwfqN86GDdNQbZLUz33p4e/view?usp=drivesdk","9312_ANAK AGUNG GEDE ALANGKAJENG _ SERTIFIKAT BerAKHLAK")</f>
        <v>9312_ANAK AGUNG GEDE ALANGKAJENG _ SERTIFIKAT BerAKHLAK</v>
      </c>
      <c r="P9313" s="5" t="s">
        <v>57800</v>
      </c>
    </row>
    <row r="9314" hidden="1">
      <c r="A9314" s="4">
        <v>45534.44577769676</v>
      </c>
      <c r="B9314" s="5" t="s">
        <v>19</v>
      </c>
      <c r="C9314" s="5" t="s">
        <v>292</v>
      </c>
      <c r="E9314" s="5" t="s">
        <v>57806</v>
      </c>
      <c r="F9314" s="5" t="s">
        <v>37</v>
      </c>
      <c r="G9314" s="5" t="s">
        <v>57807</v>
      </c>
      <c r="H9314" s="6" t="s">
        <v>57808</v>
      </c>
      <c r="K9314" s="5" t="s">
        <v>57809</v>
      </c>
      <c r="M9314" s="5" t="s">
        <v>57810</v>
      </c>
      <c r="N9314" s="7" t="s">
        <v>57811</v>
      </c>
      <c r="O9314" s="8" t="str">
        <f>HYPERLINK("https://drive.google.com/file/d/12BcQqhJa8RsJZs-aGivRDw1MuLzVqM2c/view?usp=drivesdk","9313_RIKA NURWANTI A.Md.Kep _ SERTIFIKAT BerAKHLAK")</f>
        <v>9313_RIKA NURWANTI A.Md.Kep _ SERTIFIKAT BerAKHLAK</v>
      </c>
      <c r="P9314" s="5" t="s">
        <v>57800</v>
      </c>
    </row>
    <row r="9315">
      <c r="A9315" s="4">
        <v>45534.44582502315</v>
      </c>
      <c r="B9315" s="5" t="s">
        <v>34</v>
      </c>
      <c r="D9315" s="5" t="s">
        <v>9020</v>
      </c>
      <c r="E9315" s="5" t="s">
        <v>57812</v>
      </c>
      <c r="F9315" s="5" t="s">
        <v>212</v>
      </c>
      <c r="G9315" s="5" t="s">
        <v>57813</v>
      </c>
      <c r="H9315" s="6" t="s">
        <v>57814</v>
      </c>
      <c r="K9315" s="5" t="s">
        <v>57815</v>
      </c>
      <c r="M9315" s="5" t="s">
        <v>57816</v>
      </c>
      <c r="N9315" s="7" t="s">
        <v>57817</v>
      </c>
      <c r="O9315" s="8" t="str">
        <f>HYPERLINK("https://drive.google.com/file/d/1JqlBfAXoi3lxUfd6sKQ7V6oFtCLOOSln/view?usp=drivesdk","9314_RIDAWATI LIMBONG _ SERTIFIKAT BerAKHLAK")</f>
        <v>9314_RIDAWATI LIMBONG _ SERTIFIKAT BerAKHLAK</v>
      </c>
      <c r="P9315" s="5" t="s">
        <v>57800</v>
      </c>
    </row>
    <row r="9316">
      <c r="A9316" s="4">
        <v>45534.44586762731</v>
      </c>
      <c r="B9316" s="5" t="s">
        <v>34</v>
      </c>
      <c r="D9316" s="5" t="s">
        <v>701</v>
      </c>
      <c r="E9316" s="5" t="s">
        <v>57818</v>
      </c>
      <c r="F9316" s="5" t="s">
        <v>524</v>
      </c>
      <c r="G9316" s="5" t="s">
        <v>57819</v>
      </c>
      <c r="H9316" s="6" t="s">
        <v>57820</v>
      </c>
      <c r="K9316" s="5" t="s">
        <v>57821</v>
      </c>
      <c r="M9316" s="5" t="s">
        <v>57822</v>
      </c>
      <c r="N9316" s="7" t="s">
        <v>57823</v>
      </c>
      <c r="O9316" s="8" t="str">
        <f>HYPERLINK("https://drive.google.com/file/d/15F3NSYMAlKGhKJfjedp67yTAwmaT821e/view?usp=drivesdk","9315_ARLISNA, S.E. _ SERTIFIKAT BerAKHLAK")</f>
        <v>9315_ARLISNA, S.E. _ SERTIFIKAT BerAKHLAK</v>
      </c>
      <c r="P9316" s="5" t="s">
        <v>57800</v>
      </c>
    </row>
    <row r="9317" hidden="1">
      <c r="A9317" s="4">
        <v>45534.44596629629</v>
      </c>
      <c r="B9317" s="5" t="s">
        <v>19</v>
      </c>
      <c r="C9317" s="5" t="s">
        <v>292</v>
      </c>
      <c r="E9317" s="5" t="s">
        <v>57824</v>
      </c>
      <c r="F9317" s="5" t="s">
        <v>72</v>
      </c>
      <c r="G9317" s="5" t="s">
        <v>57825</v>
      </c>
      <c r="H9317" s="6" t="s">
        <v>57826</v>
      </c>
      <c r="K9317" s="5" t="s">
        <v>57827</v>
      </c>
      <c r="M9317" s="5" t="s">
        <v>57828</v>
      </c>
      <c r="N9317" s="7" t="s">
        <v>57829</v>
      </c>
      <c r="O9317" s="8" t="str">
        <f>HYPERLINK("https://drive.google.com/file/d/1A1NFVX_oWx9MFS0r40VDvmciBs_za3Eb/view?usp=drivesdk","9316_SYAADAH, S.E. _ SERTIFIKAT BerAKHLAK")</f>
        <v>9316_SYAADAH, S.E. _ SERTIFIKAT BerAKHLAK</v>
      </c>
      <c r="P9317" s="5" t="s">
        <v>57830</v>
      </c>
    </row>
    <row r="9318">
      <c r="A9318" s="4">
        <v>45534.44597269676</v>
      </c>
      <c r="B9318" s="5" t="s">
        <v>34</v>
      </c>
      <c r="D9318" s="5" t="s">
        <v>35</v>
      </c>
      <c r="E9318" s="5" t="s">
        <v>57831</v>
      </c>
      <c r="F9318" s="5" t="s">
        <v>524</v>
      </c>
      <c r="G9318" s="5" t="s">
        <v>50753</v>
      </c>
      <c r="H9318" s="6" t="s">
        <v>57832</v>
      </c>
      <c r="K9318" s="5" t="s">
        <v>57827</v>
      </c>
      <c r="M9318" s="5" t="s">
        <v>57833</v>
      </c>
      <c r="N9318" s="7" t="s">
        <v>57834</v>
      </c>
      <c r="O9318" s="8" t="str">
        <f>HYPERLINK("https://drive.google.com/file/d/1_7Tqz414S34SEEvl0I_UtIhDHQ3a5Xy-/view?usp=drivesdk","9317_DUDI IHSAN _ SERTIFIKAT BerAKHLAK")</f>
        <v>9317_DUDI IHSAN _ SERTIFIKAT BerAKHLAK</v>
      </c>
      <c r="P9318" s="5" t="s">
        <v>57830</v>
      </c>
    </row>
    <row r="9319">
      <c r="A9319" s="4">
        <v>45534.44606322917</v>
      </c>
      <c r="B9319" s="5" t="s">
        <v>34</v>
      </c>
      <c r="D9319" s="5" t="s">
        <v>996</v>
      </c>
      <c r="E9319" s="5" t="s">
        <v>57835</v>
      </c>
      <c r="F9319" s="5" t="s">
        <v>212</v>
      </c>
      <c r="G9319" s="5" t="s">
        <v>57836</v>
      </c>
      <c r="H9319" s="6" t="s">
        <v>57837</v>
      </c>
      <c r="K9319" s="5" t="s">
        <v>57838</v>
      </c>
      <c r="M9319" s="5" t="s">
        <v>57839</v>
      </c>
      <c r="N9319" s="7" t="s">
        <v>57840</v>
      </c>
      <c r="O9319" s="8" t="str">
        <f>HYPERLINK("https://drive.google.com/file/d/1TEvbO5sx2b9DBwIs0_ooW0-rqc1XdQN1/view?usp=drivesdk","9318_MUHAMMAD RIFANI, A. Md.Kep _ SERTIFIKAT BerAKHLAK")</f>
        <v>9318_MUHAMMAD RIFANI, A. Md.Kep _ SERTIFIKAT BerAKHLAK</v>
      </c>
      <c r="P9319" s="5" t="s">
        <v>57830</v>
      </c>
    </row>
    <row r="9320">
      <c r="A9320" s="4">
        <v>45534.44606340278</v>
      </c>
      <c r="B9320" s="5" t="s">
        <v>34</v>
      </c>
      <c r="D9320" s="5" t="s">
        <v>12978</v>
      </c>
      <c r="E9320" s="5" t="s">
        <v>57841</v>
      </c>
      <c r="F9320" s="5" t="s">
        <v>212</v>
      </c>
      <c r="G9320" s="5" t="s">
        <v>57842</v>
      </c>
      <c r="H9320" s="6" t="s">
        <v>57843</v>
      </c>
      <c r="K9320" s="5" t="s">
        <v>57838</v>
      </c>
      <c r="M9320" s="5" t="s">
        <v>57844</v>
      </c>
      <c r="N9320" s="7" t="s">
        <v>57845</v>
      </c>
      <c r="O9320" s="8" t="str">
        <f>HYPERLINK("https://drive.google.com/file/d/1meTzR0vkPlvFsFcihprC0Qq9i4sWsp_m/view?usp=drivesdk","9319_EDI AMANTO _ SERTIFIKAT BerAKHLAK")</f>
        <v>9319_EDI AMANTO _ SERTIFIKAT BerAKHLAK</v>
      </c>
      <c r="P9320" s="5" t="s">
        <v>57830</v>
      </c>
    </row>
    <row r="9321">
      <c r="A9321" s="4">
        <v>45534.44613027778</v>
      </c>
      <c r="B9321" s="5" t="s">
        <v>34</v>
      </c>
      <c r="D9321" s="5" t="s">
        <v>580</v>
      </c>
      <c r="E9321" s="5" t="s">
        <v>57846</v>
      </c>
      <c r="F9321" s="5" t="s">
        <v>212</v>
      </c>
      <c r="G9321" s="5" t="s">
        <v>57847</v>
      </c>
      <c r="H9321" s="6" t="s">
        <v>57848</v>
      </c>
      <c r="K9321" s="5" t="s">
        <v>57838</v>
      </c>
      <c r="M9321" s="5" t="s">
        <v>57849</v>
      </c>
      <c r="N9321" s="7" t="s">
        <v>57850</v>
      </c>
      <c r="O9321" s="8" t="str">
        <f>HYPERLINK("https://drive.google.com/file/d/1Ehw-nrDhskdsX3uot5L5yz6NRn4zrWa2/view?usp=drivesdk","9320_SAFARUDDIN _ SERTIFIKAT BerAKHLAK")</f>
        <v>9320_SAFARUDDIN _ SERTIFIKAT BerAKHLAK</v>
      </c>
      <c r="P9321" s="5" t="s">
        <v>57830</v>
      </c>
    </row>
    <row r="9322">
      <c r="A9322" s="4">
        <v>45534.44615856481</v>
      </c>
      <c r="B9322" s="5" t="s">
        <v>34</v>
      </c>
      <c r="D9322" s="5" t="s">
        <v>1206</v>
      </c>
      <c r="E9322" s="5" t="s">
        <v>57851</v>
      </c>
      <c r="F9322" s="5" t="s">
        <v>37</v>
      </c>
      <c r="G9322" s="5" t="s">
        <v>57852</v>
      </c>
      <c r="H9322" s="6" t="s">
        <v>57853</v>
      </c>
      <c r="K9322" s="5" t="s">
        <v>57838</v>
      </c>
      <c r="M9322" s="5" t="s">
        <v>57854</v>
      </c>
      <c r="N9322" s="7" t="s">
        <v>57855</v>
      </c>
      <c r="O9322" s="8" t="str">
        <f>HYPERLINK("https://drive.google.com/file/d/11oa6GoZlG7EzQ0BeriCs-OypLpuinH4B/view?usp=drivesdk","9321_NGASIRAN  _ SERTIFIKAT BerAKHLAK")</f>
        <v>9321_NGASIRAN  _ SERTIFIKAT BerAKHLAK</v>
      </c>
      <c r="P9322" s="5" t="s">
        <v>57830</v>
      </c>
    </row>
    <row r="9323">
      <c r="A9323" s="4">
        <v>45534.44626570602</v>
      </c>
      <c r="B9323" s="5" t="s">
        <v>34</v>
      </c>
      <c r="D9323" s="5" t="s">
        <v>35</v>
      </c>
      <c r="E9323" s="5" t="s">
        <v>57856</v>
      </c>
      <c r="F9323" s="5" t="s">
        <v>37</v>
      </c>
      <c r="G9323" s="5" t="s">
        <v>57857</v>
      </c>
      <c r="H9323" s="6" t="s">
        <v>57858</v>
      </c>
      <c r="K9323" s="5" t="s">
        <v>57838</v>
      </c>
      <c r="M9323" s="5" t="s">
        <v>57859</v>
      </c>
      <c r="N9323" s="7" t="s">
        <v>57860</v>
      </c>
      <c r="O9323" s="8" t="str">
        <f>HYPERLINK("https://drive.google.com/file/d/1VBSQlP0wrT0EWxP9NaTEF534zw6bC5N4/view?usp=drivesdk","9322_Ilham Bahtiar, S.Kep., Ners _ SERTIFIKAT BerAKHLAK")</f>
        <v>9322_Ilham Bahtiar, S.Kep., Ners _ SERTIFIKAT BerAKHLAK</v>
      </c>
      <c r="P9323" s="5" t="s">
        <v>57830</v>
      </c>
    </row>
    <row r="9324">
      <c r="A9324" s="4">
        <v>45534.44635534722</v>
      </c>
      <c r="B9324" s="5" t="s">
        <v>34</v>
      </c>
      <c r="D9324" s="5" t="s">
        <v>10297</v>
      </c>
      <c r="E9324" s="5" t="s">
        <v>57861</v>
      </c>
      <c r="F9324" s="5" t="s">
        <v>524</v>
      </c>
      <c r="G9324" s="5" t="s">
        <v>57862</v>
      </c>
      <c r="H9324" s="6" t="s">
        <v>57863</v>
      </c>
      <c r="K9324" s="5" t="s">
        <v>57864</v>
      </c>
      <c r="M9324" s="5" t="s">
        <v>57865</v>
      </c>
      <c r="N9324" s="7" t="s">
        <v>57866</v>
      </c>
      <c r="O9324" s="8" t="str">
        <f>HYPERLINK("https://drive.google.com/file/d/1EThAW19njPOYbjLw3AL92ySDr_TwBeZU/view?usp=drivesdk","9323_ESSI SANTIDJA, S.AK _ SERTIFIKAT BerAKHLAK")</f>
        <v>9323_ESSI SANTIDJA, S.AK _ SERTIFIKAT BerAKHLAK</v>
      </c>
      <c r="P9324" s="5" t="s">
        <v>57867</v>
      </c>
    </row>
    <row r="9325">
      <c r="A9325" s="4">
        <v>45534.44635716435</v>
      </c>
      <c r="B9325" s="5" t="s">
        <v>34</v>
      </c>
      <c r="D9325" s="5" t="s">
        <v>1558</v>
      </c>
      <c r="E9325" s="5" t="s">
        <v>57868</v>
      </c>
      <c r="F9325" s="5" t="s">
        <v>524</v>
      </c>
      <c r="G9325" s="5" t="s">
        <v>57869</v>
      </c>
      <c r="H9325" s="6" t="s">
        <v>57870</v>
      </c>
      <c r="K9325" s="5" t="s">
        <v>57864</v>
      </c>
      <c r="M9325" s="5" t="s">
        <v>57871</v>
      </c>
      <c r="N9325" s="7" t="s">
        <v>57872</v>
      </c>
      <c r="O9325" s="8" t="str">
        <f>HYPERLINK("https://drive.google.com/file/d/1_SkPLPMhO4l16CHq0eGRcNg7i1QeQbZF/view?usp=drivesdk","9324_SURATMAN _ SERTIFIKAT BerAKHLAK")</f>
        <v>9324_SURATMAN _ SERTIFIKAT BerAKHLAK</v>
      </c>
      <c r="P9325" s="5" t="s">
        <v>57867</v>
      </c>
    </row>
    <row r="9326">
      <c r="A9326" s="4">
        <v>45534.4463609838</v>
      </c>
      <c r="B9326" s="5" t="s">
        <v>34</v>
      </c>
      <c r="D9326" s="5" t="s">
        <v>701</v>
      </c>
      <c r="E9326" s="5" t="s">
        <v>57873</v>
      </c>
      <c r="F9326" s="5" t="s">
        <v>212</v>
      </c>
      <c r="G9326" s="5" t="s">
        <v>57874</v>
      </c>
      <c r="H9326" s="6" t="s">
        <v>57875</v>
      </c>
      <c r="K9326" s="5" t="s">
        <v>57864</v>
      </c>
      <c r="M9326" s="5" t="s">
        <v>57876</v>
      </c>
      <c r="N9326" s="7" t="s">
        <v>57877</v>
      </c>
      <c r="O9326" s="8" t="str">
        <f>HYPERLINK("https://drive.google.com/file/d/1hNiEIwFUXcUw8YQaAllveAlvF0aa9tuJ/view?usp=drivesdk","9325_DENI HAFNI _ SERTIFIKAT BerAKHLAK")</f>
        <v>9325_DENI HAFNI _ SERTIFIKAT BerAKHLAK</v>
      </c>
      <c r="P9326" s="5" t="s">
        <v>57867</v>
      </c>
    </row>
    <row r="9327">
      <c r="A9327" s="4">
        <v>45534.44661451389</v>
      </c>
      <c r="B9327" s="5" t="s">
        <v>34</v>
      </c>
      <c r="D9327" s="5" t="s">
        <v>1206</v>
      </c>
      <c r="E9327" s="5" t="s">
        <v>57878</v>
      </c>
      <c r="F9327" s="5" t="s">
        <v>798</v>
      </c>
      <c r="G9327" s="5" t="s">
        <v>57879</v>
      </c>
      <c r="H9327" s="6" t="s">
        <v>57880</v>
      </c>
      <c r="K9327" s="5" t="s">
        <v>57881</v>
      </c>
      <c r="M9327" s="5" t="s">
        <v>57882</v>
      </c>
      <c r="N9327" s="7" t="s">
        <v>57883</v>
      </c>
      <c r="O9327" s="8" t="str">
        <f>HYPERLINK("https://drive.google.com/file/d/1LqVBUUb6vSLaOaPMGohEkqxe7lDBLOiX/view?usp=drivesdk","9326_RIZKIYANTO _ SERTIFIKAT BerAKHLAK")</f>
        <v>9326_RIZKIYANTO _ SERTIFIKAT BerAKHLAK</v>
      </c>
      <c r="P9327" s="5" t="s">
        <v>57867</v>
      </c>
    </row>
    <row r="9328" hidden="1">
      <c r="A9328" s="4">
        <v>45534.446670439815</v>
      </c>
      <c r="B9328" s="5" t="s">
        <v>19</v>
      </c>
      <c r="C9328" s="5" t="s">
        <v>292</v>
      </c>
      <c r="E9328" s="5" t="s">
        <v>57884</v>
      </c>
      <c r="F9328" s="5" t="s">
        <v>212</v>
      </c>
      <c r="G9328" s="5" t="s">
        <v>57885</v>
      </c>
      <c r="H9328" s="6" t="s">
        <v>57886</v>
      </c>
      <c r="K9328" s="5" t="s">
        <v>57881</v>
      </c>
      <c r="M9328" s="5" t="s">
        <v>57887</v>
      </c>
      <c r="N9328" s="7" t="s">
        <v>57888</v>
      </c>
      <c r="O9328" s="8" t="str">
        <f>HYPERLINK("https://drive.google.com/file/d/1xZXclYvPmW2eOkR9yheov8NRucq1tX4Y/view?usp=drivesdk","9327_MUHAMMAD IHSAN HILMI, A. Md. Kep _ SERTIFIKAT BerAKHLAK")</f>
        <v>9327_MUHAMMAD IHSAN HILMI, A. Md. Kep _ SERTIFIKAT BerAKHLAK</v>
      </c>
      <c r="P9328" s="5" t="s">
        <v>57867</v>
      </c>
    </row>
    <row r="9329">
      <c r="A9329" s="4">
        <v>45534.4467446875</v>
      </c>
      <c r="B9329" s="5" t="s">
        <v>34</v>
      </c>
      <c r="D9329" s="5" t="s">
        <v>701</v>
      </c>
      <c r="E9329" s="5" t="s">
        <v>57889</v>
      </c>
      <c r="F9329" s="5" t="s">
        <v>72</v>
      </c>
      <c r="G9329" s="5" t="s">
        <v>23086</v>
      </c>
      <c r="H9329" s="6" t="s">
        <v>57890</v>
      </c>
      <c r="K9329" s="5" t="s">
        <v>57881</v>
      </c>
      <c r="M9329" s="5" t="s">
        <v>57891</v>
      </c>
      <c r="N9329" s="7" t="s">
        <v>57892</v>
      </c>
      <c r="O9329" s="8" t="str">
        <f>HYPERLINK("https://drive.google.com/file/d/181517NkRN8wxkmEL8tAnhO4JSF_5_nCn/view?usp=drivesdk","9328_Dian Nilasari, AMd. Keb _ SERTIFIKAT BerAKHLAK")</f>
        <v>9328_Dian Nilasari, AMd. Keb _ SERTIFIKAT BerAKHLAK</v>
      </c>
      <c r="P9329" s="5" t="s">
        <v>57867</v>
      </c>
    </row>
    <row r="9330">
      <c r="A9330" s="4">
        <v>45534.44677476852</v>
      </c>
      <c r="B9330" s="5" t="s">
        <v>34</v>
      </c>
      <c r="D9330" s="5" t="s">
        <v>1456</v>
      </c>
      <c r="E9330" s="5" t="s">
        <v>57893</v>
      </c>
      <c r="F9330" s="5" t="s">
        <v>37</v>
      </c>
      <c r="G9330" s="5" t="s">
        <v>57894</v>
      </c>
      <c r="H9330" s="6" t="s">
        <v>57895</v>
      </c>
      <c r="K9330" s="5" t="s">
        <v>57881</v>
      </c>
      <c r="M9330" s="5" t="s">
        <v>57896</v>
      </c>
      <c r="N9330" s="7" t="s">
        <v>57897</v>
      </c>
      <c r="O9330" s="8" t="str">
        <f>HYPERLINK("https://drive.google.com/file/d/10r8ofs7c8vMy0NqAWlIsqnw05wGVJBCj/view?usp=drivesdk","9329_LLUSYANA _ SERTIFIKAT BerAKHLAK")</f>
        <v>9329_LLUSYANA _ SERTIFIKAT BerAKHLAK</v>
      </c>
      <c r="P9330" s="5" t="s">
        <v>57867</v>
      </c>
    </row>
    <row r="9331">
      <c r="A9331" s="4">
        <v>45534.44680751157</v>
      </c>
      <c r="B9331" s="5" t="s">
        <v>34</v>
      </c>
      <c r="D9331" s="5" t="s">
        <v>6232</v>
      </c>
      <c r="E9331" s="5" t="s">
        <v>57898</v>
      </c>
      <c r="F9331" s="5" t="s">
        <v>37</v>
      </c>
      <c r="G9331" s="5" t="s">
        <v>57899</v>
      </c>
      <c r="H9331" s="6" t="s">
        <v>57900</v>
      </c>
      <c r="K9331" s="5" t="s">
        <v>57881</v>
      </c>
      <c r="M9331" s="5" t="s">
        <v>57901</v>
      </c>
      <c r="N9331" s="7" t="s">
        <v>57902</v>
      </c>
      <c r="O9331" s="8" t="str">
        <f>HYPERLINK("https://drive.google.com/file/d/1w6ZE3puBHNVuhg_s_niYj-jYcObx6ICo/view?usp=drivesdk","9330_FIRDAUS, A.Md. _ SERTIFIKAT BerAKHLAK")</f>
        <v>9330_FIRDAUS, A.Md. _ SERTIFIKAT BerAKHLAK</v>
      </c>
      <c r="P9331" s="5" t="s">
        <v>57903</v>
      </c>
    </row>
    <row r="9332">
      <c r="A9332" s="4">
        <v>45534.4468942824</v>
      </c>
      <c r="B9332" s="5" t="s">
        <v>34</v>
      </c>
      <c r="D9332" s="5" t="s">
        <v>9394</v>
      </c>
      <c r="E9332" s="5" t="s">
        <v>57904</v>
      </c>
      <c r="F9332" s="5" t="s">
        <v>72</v>
      </c>
      <c r="G9332" s="5" t="s">
        <v>57905</v>
      </c>
      <c r="H9332" s="6" t="s">
        <v>57906</v>
      </c>
      <c r="K9332" s="5" t="s">
        <v>57881</v>
      </c>
      <c r="M9332" s="5" t="s">
        <v>57907</v>
      </c>
      <c r="N9332" s="7" t="s">
        <v>57908</v>
      </c>
      <c r="O9332" s="8" t="str">
        <f>HYPERLINK("https://drive.google.com/file/d/1JiFayqfOyWyCqAc8pHnOUupTrD3TCIzX/view?usp=drivesdk","9331_TETTI KOMARIA SIREGAR _ SERTIFIKAT BerAKHLAK")</f>
        <v>9331_TETTI KOMARIA SIREGAR _ SERTIFIKAT BerAKHLAK</v>
      </c>
      <c r="P9332" s="5" t="s">
        <v>57903</v>
      </c>
    </row>
    <row r="9333">
      <c r="A9333" s="4">
        <v>45534.44703859954</v>
      </c>
      <c r="B9333" s="5" t="s">
        <v>34</v>
      </c>
      <c r="D9333" s="5" t="s">
        <v>7858</v>
      </c>
      <c r="E9333" s="5" t="s">
        <v>57909</v>
      </c>
      <c r="F9333" s="5" t="s">
        <v>375</v>
      </c>
      <c r="G9333" s="5" t="s">
        <v>57910</v>
      </c>
      <c r="H9333" s="6" t="s">
        <v>57911</v>
      </c>
      <c r="K9333" s="5" t="s">
        <v>57881</v>
      </c>
      <c r="M9333" s="5" t="s">
        <v>57912</v>
      </c>
      <c r="N9333" s="7" t="s">
        <v>57913</v>
      </c>
      <c r="O9333" s="8" t="str">
        <f>HYPERLINK("https://drive.google.com/file/d/1xMtj-ezmrq0PB26D7RF2f03x662keZhZ/view?usp=drivesdk","9332_DEWI IRVAYANI HARIANASTUTI, SE _ SERTIFIKAT BerAKHLAK")</f>
        <v>9332_DEWI IRVAYANI HARIANASTUTI, SE _ SERTIFIKAT BerAKHLAK</v>
      </c>
      <c r="P9333" s="5" t="s">
        <v>57903</v>
      </c>
    </row>
    <row r="9334" hidden="1">
      <c r="A9334" s="4">
        <v>45534.44718263889</v>
      </c>
      <c r="B9334" s="5" t="s">
        <v>19</v>
      </c>
      <c r="C9334" s="5" t="s">
        <v>292</v>
      </c>
      <c r="E9334" s="5" t="s">
        <v>57914</v>
      </c>
      <c r="F9334" s="5" t="s">
        <v>375</v>
      </c>
      <c r="G9334" s="5" t="s">
        <v>57915</v>
      </c>
      <c r="H9334" s="6" t="s">
        <v>57916</v>
      </c>
      <c r="K9334" s="5" t="s">
        <v>57881</v>
      </c>
      <c r="M9334" s="5" t="s">
        <v>57917</v>
      </c>
      <c r="N9334" s="7" t="s">
        <v>57918</v>
      </c>
      <c r="O9334" s="8" t="str">
        <f>HYPERLINK("https://drive.google.com/file/d/12ikxmQw02kQ7de9TrRDW-QIdOk0jQR5i/view?usp=drivesdk","9333_WESTINUGROHO.SP.d _ SERTIFIKAT BerAKHLAK")</f>
        <v>9333_WESTINUGROHO.SP.d _ SERTIFIKAT BerAKHLAK</v>
      </c>
      <c r="P9334" s="5" t="s">
        <v>57903</v>
      </c>
    </row>
    <row r="9335">
      <c r="A9335" s="4">
        <v>45534.447263043985</v>
      </c>
      <c r="B9335" s="5" t="s">
        <v>34</v>
      </c>
      <c r="D9335" s="5" t="s">
        <v>1206</v>
      </c>
      <c r="E9335" s="5" t="s">
        <v>54107</v>
      </c>
      <c r="F9335" s="5" t="s">
        <v>37</v>
      </c>
      <c r="G9335" s="5" t="s">
        <v>57919</v>
      </c>
      <c r="H9335" s="6" t="s">
        <v>57920</v>
      </c>
      <c r="K9335" s="5" t="s">
        <v>57881</v>
      </c>
      <c r="M9335" s="5" t="s">
        <v>57921</v>
      </c>
      <c r="N9335" s="7" t="s">
        <v>57922</v>
      </c>
      <c r="O9335" s="8" t="str">
        <f>HYPERLINK("https://drive.google.com/file/d/1zNY_uf2dSz2g75pXKE1XQXb9Oho_Jmak/view?usp=drivesdk","9334_ANITA ROCHMAWATI _ SERTIFIKAT BerAKHLAK")</f>
        <v>9334_ANITA ROCHMAWATI _ SERTIFIKAT BerAKHLAK</v>
      </c>
      <c r="P9335" s="5" t="s">
        <v>57903</v>
      </c>
    </row>
    <row r="9336">
      <c r="A9336" s="4">
        <v>45534.44763336805</v>
      </c>
      <c r="B9336" s="5" t="s">
        <v>34</v>
      </c>
      <c r="D9336" s="5" t="s">
        <v>4775</v>
      </c>
      <c r="E9336" s="5" t="s">
        <v>57923</v>
      </c>
      <c r="F9336" s="5" t="s">
        <v>108</v>
      </c>
      <c r="G9336" s="5" t="s">
        <v>57924</v>
      </c>
      <c r="H9336" s="6" t="s">
        <v>57925</v>
      </c>
      <c r="K9336" s="5" t="s">
        <v>57881</v>
      </c>
      <c r="M9336" s="5" t="s">
        <v>57926</v>
      </c>
      <c r="N9336" s="7" t="s">
        <v>57927</v>
      </c>
      <c r="O9336" s="8" t="str">
        <f>HYPERLINK("https://drive.google.com/file/d/1WTBpKVJS4-WS6MMhH0KvwoGzm2vvbQi_/view?usp=drivesdk","9335_ROSITA DIAN PURNA _ SERTIFIKAT BerAKHLAK")</f>
        <v>9335_ROSITA DIAN PURNA _ SERTIFIKAT BerAKHLAK</v>
      </c>
      <c r="P9336" s="5" t="s">
        <v>57903</v>
      </c>
    </row>
    <row r="9337">
      <c r="A9337" s="4">
        <v>45534.447644988424</v>
      </c>
      <c r="B9337" s="5" t="s">
        <v>34</v>
      </c>
      <c r="D9337" s="5" t="s">
        <v>4775</v>
      </c>
      <c r="E9337" s="5" t="s">
        <v>57928</v>
      </c>
      <c r="F9337" s="5" t="s">
        <v>524</v>
      </c>
      <c r="G9337" s="5" t="s">
        <v>57929</v>
      </c>
      <c r="H9337" s="6" t="s">
        <v>57930</v>
      </c>
      <c r="K9337" s="5" t="s">
        <v>57881</v>
      </c>
      <c r="M9337" s="5" t="s">
        <v>57931</v>
      </c>
      <c r="N9337" s="7" t="s">
        <v>57932</v>
      </c>
      <c r="O9337" s="8" t="str">
        <f>HYPERLINK("https://drive.google.com/file/d/10yiKAMJnsqIXc47i8Rq9nsMiU-ncdtob/view?usp=drivesdk","9336_ERIK WAHYU AGUNG WIBOWO, S.M. _ SERTIFIKAT BerAKHLAK")</f>
        <v>9336_ERIK WAHYU AGUNG WIBOWO, S.M. _ SERTIFIKAT BerAKHLAK</v>
      </c>
      <c r="P9337" s="5" t="s">
        <v>57933</v>
      </c>
    </row>
    <row r="9338">
      <c r="A9338" s="4">
        <v>45534.447801076385</v>
      </c>
      <c r="B9338" s="5" t="s">
        <v>34</v>
      </c>
      <c r="D9338" s="5" t="s">
        <v>9020</v>
      </c>
      <c r="E9338" s="5" t="s">
        <v>57934</v>
      </c>
      <c r="F9338" s="5" t="s">
        <v>375</v>
      </c>
      <c r="G9338" s="5" t="s">
        <v>57935</v>
      </c>
      <c r="H9338" s="6" t="s">
        <v>57936</v>
      </c>
      <c r="K9338" s="5" t="s">
        <v>57881</v>
      </c>
      <c r="M9338" s="5" t="s">
        <v>57937</v>
      </c>
      <c r="N9338" s="7" t="s">
        <v>57938</v>
      </c>
      <c r="O9338" s="8" t="str">
        <f>HYPERLINK("https://drive.google.com/file/d/11wb5ui5j-OvAmmqI4V19C1QlhjIukCLQ/view?usp=drivesdk","9337_JULIANI HASIBUAN, S.E. _ SERTIFIKAT BerAKHLAK")</f>
        <v>9337_JULIANI HASIBUAN, S.E. _ SERTIFIKAT BerAKHLAK</v>
      </c>
      <c r="P9338" s="5" t="s">
        <v>57933</v>
      </c>
    </row>
    <row r="9339" hidden="1">
      <c r="A9339" s="4">
        <v>45534.447803958334</v>
      </c>
      <c r="B9339" s="5" t="s">
        <v>19</v>
      </c>
      <c r="C9339" s="5" t="s">
        <v>20</v>
      </c>
      <c r="E9339" s="5" t="s">
        <v>57939</v>
      </c>
      <c r="F9339" s="5" t="s">
        <v>375</v>
      </c>
      <c r="G9339" s="5" t="s">
        <v>57940</v>
      </c>
      <c r="H9339" s="6" t="s">
        <v>57941</v>
      </c>
      <c r="K9339" s="5" t="s">
        <v>57881</v>
      </c>
      <c r="M9339" s="5" t="s">
        <v>57942</v>
      </c>
      <c r="N9339" s="7" t="s">
        <v>57943</v>
      </c>
      <c r="O9339" s="8" t="str">
        <f>HYPERLINK("https://drive.google.com/file/d/1IMrE8vByFWOfk3nf0I1wu8s5zoiF2Ey6/view?usp=drivesdk","9338_Nurhayani Lubis, S.Sos. _ SERTIFIKAT BerAKHLAK")</f>
        <v>9338_Nurhayani Lubis, S.Sos. _ SERTIFIKAT BerAKHLAK</v>
      </c>
      <c r="P9339" s="5" t="s">
        <v>57933</v>
      </c>
    </row>
    <row r="9340">
      <c r="A9340" s="4">
        <v>45534.44795634259</v>
      </c>
      <c r="B9340" s="5" t="s">
        <v>34</v>
      </c>
      <c r="D9340" s="5" t="s">
        <v>1206</v>
      </c>
      <c r="E9340" s="5" t="s">
        <v>57944</v>
      </c>
      <c r="F9340" s="5" t="s">
        <v>37</v>
      </c>
      <c r="G9340" s="5" t="s">
        <v>57945</v>
      </c>
      <c r="H9340" s="6" t="s">
        <v>57946</v>
      </c>
      <c r="K9340" s="5" t="s">
        <v>57881</v>
      </c>
      <c r="M9340" s="5" t="s">
        <v>57947</v>
      </c>
      <c r="N9340" s="7" t="s">
        <v>57948</v>
      </c>
      <c r="O9340" s="8" t="str">
        <f>HYPERLINK("https://drive.google.com/file/d/1sV-HfLQXH0Y6U_eUE4tM1JU5UROQ7fDG/view?usp=drivesdk","9339_JODI RYAN SETYAWAN  _ SERTIFIKAT BerAKHLAK")</f>
        <v>9339_JODI RYAN SETYAWAN  _ SERTIFIKAT BerAKHLAK</v>
      </c>
      <c r="P9340" s="5" t="s">
        <v>57933</v>
      </c>
    </row>
    <row r="9341">
      <c r="A9341" s="4">
        <v>45534.4479881713</v>
      </c>
      <c r="B9341" s="5" t="s">
        <v>34</v>
      </c>
      <c r="D9341" s="5" t="s">
        <v>15401</v>
      </c>
      <c r="E9341" s="5" t="s">
        <v>57949</v>
      </c>
      <c r="F9341" s="5" t="s">
        <v>212</v>
      </c>
      <c r="G9341" s="5" t="s">
        <v>57950</v>
      </c>
      <c r="H9341" s="6" t="s">
        <v>57951</v>
      </c>
      <c r="K9341" s="5" t="s">
        <v>57881</v>
      </c>
      <c r="M9341" s="5" t="s">
        <v>57952</v>
      </c>
      <c r="N9341" s="7" t="s">
        <v>57953</v>
      </c>
      <c r="O9341" s="8" t="str">
        <f>HYPERLINK("https://drive.google.com/file/d/1rGMZcjq8iEy-UwztVlez_wh2DHRDrQPv/view?usp=drivesdk","9340_Ns.Rikawati,S.Kep _ SERTIFIKAT BerAKHLAK")</f>
        <v>9340_Ns.Rikawati,S.Kep _ SERTIFIKAT BerAKHLAK</v>
      </c>
      <c r="P9341" s="5" t="s">
        <v>57933</v>
      </c>
    </row>
    <row r="9342">
      <c r="A9342" s="4">
        <v>45534.448135416664</v>
      </c>
      <c r="B9342" s="5" t="s">
        <v>34</v>
      </c>
      <c r="D9342" s="5" t="s">
        <v>6232</v>
      </c>
      <c r="E9342" s="5" t="s">
        <v>57954</v>
      </c>
      <c r="F9342" s="5" t="s">
        <v>212</v>
      </c>
      <c r="G9342" s="5" t="s">
        <v>57955</v>
      </c>
      <c r="H9342" s="6" t="s">
        <v>57956</v>
      </c>
      <c r="K9342" s="5" t="s">
        <v>57957</v>
      </c>
      <c r="M9342" s="5" t="s">
        <v>57958</v>
      </c>
      <c r="N9342" s="7" t="s">
        <v>57959</v>
      </c>
      <c r="O9342" s="8" t="str">
        <f>HYPERLINK("https://drive.google.com/file/d/1XM5ED4iqBJWwTzw2VfUd-IlMoPUpII-5/view?usp=drivesdk","9341_PENGATUR TK I ASIAH  _ SERTIFIKAT BerAKHLAK")</f>
        <v>9341_PENGATUR TK I ASIAH  _ SERTIFIKAT BerAKHLAK</v>
      </c>
      <c r="P9342" s="5" t="s">
        <v>57960</v>
      </c>
    </row>
    <row r="9343">
      <c r="A9343" s="4">
        <v>45534.44824341435</v>
      </c>
      <c r="B9343" s="5" t="s">
        <v>34</v>
      </c>
      <c r="D9343" s="5" t="s">
        <v>9394</v>
      </c>
      <c r="E9343" s="5" t="s">
        <v>57961</v>
      </c>
      <c r="F9343" s="5" t="s">
        <v>108</v>
      </c>
      <c r="G9343" s="5" t="s">
        <v>57962</v>
      </c>
      <c r="H9343" s="6" t="s">
        <v>57963</v>
      </c>
      <c r="K9343" s="5" t="s">
        <v>57964</v>
      </c>
      <c r="M9343" s="5" t="s">
        <v>57965</v>
      </c>
      <c r="N9343" s="7" t="s">
        <v>57966</v>
      </c>
      <c r="O9343" s="8" t="str">
        <f>HYPERLINK("https://drive.google.com/file/d/15JcUb2OFPb-CoKRsXTje59NxfMTYLuTq/view?usp=drivesdk","9342_INRENO SELVI NOVERIA, SKM _ SERTIFIKAT BerAKHLAK")</f>
        <v>9342_INRENO SELVI NOVERIA, SKM _ SERTIFIKAT BerAKHLAK</v>
      </c>
      <c r="P9343" s="5" t="s">
        <v>57960</v>
      </c>
    </row>
    <row r="9344">
      <c r="A9344" s="4">
        <v>45534.44827554398</v>
      </c>
      <c r="B9344" s="5" t="s">
        <v>34</v>
      </c>
      <c r="D9344" s="5" t="s">
        <v>14424</v>
      </c>
      <c r="E9344" s="5" t="s">
        <v>57967</v>
      </c>
      <c r="F9344" s="5" t="s">
        <v>37</v>
      </c>
      <c r="G9344" s="5" t="s">
        <v>57968</v>
      </c>
      <c r="H9344" s="6" t="s">
        <v>57969</v>
      </c>
      <c r="K9344" s="5" t="s">
        <v>57970</v>
      </c>
      <c r="M9344" s="5" t="s">
        <v>57971</v>
      </c>
      <c r="N9344" s="7" t="s">
        <v>57972</v>
      </c>
      <c r="O9344" s="8" t="str">
        <f>HYPERLINK("https://drive.google.com/file/d/1yac-SL2DCFjZk6EoV8FfPrBWAf5tBzSJ/view?usp=drivesdk","9343_MARIATI  _ SERTIFIKAT BerAKHLAK")</f>
        <v>9343_MARIATI  _ SERTIFIKAT BerAKHLAK</v>
      </c>
      <c r="P9344" s="5" t="s">
        <v>57973</v>
      </c>
    </row>
    <row r="9345">
      <c r="A9345" s="4">
        <v>45534.4483106713</v>
      </c>
      <c r="B9345" s="5" t="s">
        <v>34</v>
      </c>
      <c r="D9345" s="5" t="s">
        <v>9020</v>
      </c>
      <c r="E9345" s="5" t="s">
        <v>57974</v>
      </c>
      <c r="F9345" s="5" t="s">
        <v>212</v>
      </c>
      <c r="G9345" s="5" t="s">
        <v>57975</v>
      </c>
      <c r="H9345" s="6" t="s">
        <v>57976</v>
      </c>
      <c r="K9345" s="5" t="s">
        <v>57977</v>
      </c>
      <c r="M9345" s="5" t="s">
        <v>57978</v>
      </c>
      <c r="N9345" s="7" t="s">
        <v>57979</v>
      </c>
      <c r="O9345" s="8" t="str">
        <f>HYPERLINK("https://drive.google.com/file/d/1ukpWMOdjDcd7LKzaR4B58_8kf_9SupI8/view?usp=drivesdk","9344_LILIS SIHOMBING  _ SERTIFIKAT BerAKHLAK")</f>
        <v>9344_LILIS SIHOMBING  _ SERTIFIKAT BerAKHLAK</v>
      </c>
      <c r="P9345" s="5" t="s">
        <v>57973</v>
      </c>
    </row>
    <row r="9346" hidden="1">
      <c r="A9346" s="4">
        <v>45534.448335196765</v>
      </c>
      <c r="B9346" s="5" t="s">
        <v>19</v>
      </c>
      <c r="C9346" s="5" t="s">
        <v>3471</v>
      </c>
      <c r="E9346" s="5" t="s">
        <v>57980</v>
      </c>
      <c r="F9346" s="5" t="s">
        <v>72</v>
      </c>
      <c r="G9346" s="5" t="s">
        <v>57981</v>
      </c>
      <c r="H9346" s="6" t="s">
        <v>57982</v>
      </c>
      <c r="K9346" s="5" t="s">
        <v>57983</v>
      </c>
      <c r="M9346" s="5" t="s">
        <v>57984</v>
      </c>
      <c r="N9346" s="7" t="s">
        <v>57985</v>
      </c>
      <c r="O9346" s="8" t="str">
        <f>HYPERLINK("https://drive.google.com/file/d/1I-klxc_VpZRgoWMwj86P1T_EvGGVbLbh/view?usp=drivesdk","9345_BERNARDUS RATNA SETYAWARDOYO, S.E. _ SERTIFIKAT BerAKHLAK")</f>
        <v>9345_BERNARDUS RATNA SETYAWARDOYO, S.E. _ SERTIFIKAT BerAKHLAK</v>
      </c>
      <c r="P9346" s="5" t="s">
        <v>57986</v>
      </c>
    </row>
    <row r="9347">
      <c r="A9347" s="4">
        <v>45534.448386435186</v>
      </c>
      <c r="B9347" s="5" t="s">
        <v>34</v>
      </c>
      <c r="D9347" s="5" t="s">
        <v>4775</v>
      </c>
      <c r="E9347" s="5" t="s">
        <v>57987</v>
      </c>
      <c r="F9347" s="5" t="s">
        <v>212</v>
      </c>
      <c r="G9347" s="5" t="s">
        <v>57988</v>
      </c>
      <c r="H9347" s="6" t="s">
        <v>57989</v>
      </c>
      <c r="K9347" s="5" t="s">
        <v>57990</v>
      </c>
      <c r="M9347" s="5" t="s">
        <v>57991</v>
      </c>
      <c r="N9347" s="7" t="s">
        <v>57992</v>
      </c>
      <c r="O9347" s="8" t="str">
        <f>HYPERLINK("https://drive.google.com/file/d/1vp2LStJqpz7aiQTclma0JfzjoZm_F98U/view?usp=drivesdk","9346_IIN INDRI TRIYANA _ SERTIFIKAT BerAKHLAK")</f>
        <v>9346_IIN INDRI TRIYANA _ SERTIFIKAT BerAKHLAK</v>
      </c>
      <c r="P9347" s="5" t="s">
        <v>57986</v>
      </c>
    </row>
    <row r="9348">
      <c r="A9348" s="4">
        <v>45534.44841618056</v>
      </c>
      <c r="B9348" s="5" t="s">
        <v>34</v>
      </c>
      <c r="D9348" s="5" t="s">
        <v>1206</v>
      </c>
      <c r="E9348" s="5" t="s">
        <v>57993</v>
      </c>
      <c r="F9348" s="5" t="s">
        <v>37</v>
      </c>
      <c r="G9348" s="5" t="s">
        <v>57994</v>
      </c>
      <c r="H9348" s="6" t="s">
        <v>57995</v>
      </c>
      <c r="K9348" s="5" t="s">
        <v>57996</v>
      </c>
      <c r="M9348" s="5" t="s">
        <v>57997</v>
      </c>
      <c r="N9348" s="7" t="s">
        <v>57998</v>
      </c>
      <c r="O9348" s="8" t="str">
        <f>HYPERLINK("https://drive.google.com/file/d/18KF1gzZU6XJk3408EVvD-I9KtmLyml-d/view?usp=drivesdk","9347_ANDRIAS DWI S _ SERTIFIKAT BerAKHLAK")</f>
        <v>9347_ANDRIAS DWI S _ SERTIFIKAT BerAKHLAK</v>
      </c>
      <c r="P9348" s="5" t="s">
        <v>57986</v>
      </c>
    </row>
    <row r="9349">
      <c r="A9349" s="4">
        <v>45534.44842565972</v>
      </c>
      <c r="B9349" s="5" t="s">
        <v>34</v>
      </c>
      <c r="D9349" s="5" t="s">
        <v>14313</v>
      </c>
      <c r="E9349" s="5" t="s">
        <v>57999</v>
      </c>
      <c r="F9349" s="5" t="s">
        <v>524</v>
      </c>
      <c r="G9349" s="5" t="s">
        <v>58000</v>
      </c>
      <c r="H9349" s="6" t="s">
        <v>58001</v>
      </c>
      <c r="K9349" s="5" t="s">
        <v>58002</v>
      </c>
      <c r="M9349" s="5" t="s">
        <v>58003</v>
      </c>
      <c r="N9349" s="7" t="s">
        <v>58004</v>
      </c>
      <c r="O9349" s="8" t="str">
        <f>HYPERLINK("https://drive.google.com/file/d/1xdat1-mv9FOPKcke-Pd1D4hZMWKjmDfh/view?usp=drivesdk","9348_WAHIDA TAHIR _ SERTIFIKAT BerAKHLAK")</f>
        <v>9348_WAHIDA TAHIR _ SERTIFIKAT BerAKHLAK</v>
      </c>
      <c r="P9349" s="5" t="s">
        <v>57986</v>
      </c>
    </row>
    <row r="9350">
      <c r="A9350" s="4">
        <v>45534.44847791667</v>
      </c>
      <c r="B9350" s="5" t="s">
        <v>34</v>
      </c>
      <c r="D9350" s="5" t="s">
        <v>35</v>
      </c>
      <c r="E9350" s="5" t="s">
        <v>58005</v>
      </c>
      <c r="F9350" s="5" t="s">
        <v>524</v>
      </c>
      <c r="G9350" s="5" t="s">
        <v>58006</v>
      </c>
      <c r="H9350" s="6" t="s">
        <v>58007</v>
      </c>
      <c r="K9350" s="5" t="s">
        <v>58008</v>
      </c>
      <c r="M9350" s="5" t="s">
        <v>58009</v>
      </c>
      <c r="N9350" s="7" t="s">
        <v>58010</v>
      </c>
      <c r="O9350" s="8" t="str">
        <f>HYPERLINK("https://drive.google.com/file/d/1dNjMBHUOPOc2CoNBEcoechA_6wTtrywO/view?usp=drivesdk","9349_NANI YULIANI, AMD AK  _ SERTIFIKAT BerAKHLAK")</f>
        <v>9349_NANI YULIANI, AMD AK  _ SERTIFIKAT BerAKHLAK</v>
      </c>
      <c r="P9350" s="5" t="s">
        <v>58011</v>
      </c>
    </row>
    <row r="9351">
      <c r="A9351" s="4">
        <v>45534.44848640046</v>
      </c>
      <c r="B9351" s="5" t="s">
        <v>34</v>
      </c>
      <c r="D9351" s="5" t="s">
        <v>35</v>
      </c>
      <c r="E9351" s="5" t="s">
        <v>58012</v>
      </c>
      <c r="F9351" s="5" t="s">
        <v>72</v>
      </c>
      <c r="G9351" s="5" t="s">
        <v>58013</v>
      </c>
      <c r="H9351" s="6" t="s">
        <v>58014</v>
      </c>
      <c r="K9351" s="5" t="s">
        <v>58008</v>
      </c>
      <c r="M9351" s="5" t="s">
        <v>58015</v>
      </c>
      <c r="N9351" s="7" t="s">
        <v>58016</v>
      </c>
      <c r="O9351" s="8" t="str">
        <f>HYPERLINK("https://drive.google.com/file/d/1ZsJw9tUOxxp8gM7sovWVJtKjTNWyg0cn/view?usp=drivesdk","9350_Agus Kusnadi Skep Ners  _ SERTIFIKAT BerAKHLAK")</f>
        <v>9350_Agus Kusnadi Skep Ners  _ SERTIFIKAT BerAKHLAK</v>
      </c>
      <c r="P9351" s="5" t="s">
        <v>58011</v>
      </c>
    </row>
    <row r="9352">
      <c r="A9352" s="4">
        <v>45534.44882119213</v>
      </c>
      <c r="B9352" s="5" t="s">
        <v>34</v>
      </c>
      <c r="D9352" s="5" t="s">
        <v>10297</v>
      </c>
      <c r="E9352" s="5" t="s">
        <v>58017</v>
      </c>
      <c r="F9352" s="5" t="s">
        <v>524</v>
      </c>
      <c r="G9352" s="5" t="s">
        <v>58018</v>
      </c>
      <c r="H9352" s="6" t="s">
        <v>58019</v>
      </c>
      <c r="K9352" s="5" t="s">
        <v>58020</v>
      </c>
      <c r="M9352" s="5" t="s">
        <v>58021</v>
      </c>
      <c r="N9352" s="7" t="s">
        <v>58022</v>
      </c>
      <c r="O9352" s="8" t="str">
        <f>HYPERLINK("https://drive.google.com/file/d/1H8XCcqBe7dHGY1hrd3Wxl-CkLZygGnUh/view?usp=drivesdk","9351_ESSI SANTIDJA _ SERTIFIKAT BerAKHLAK")</f>
        <v>9351_ESSI SANTIDJA _ SERTIFIKAT BerAKHLAK</v>
      </c>
      <c r="P9352" s="5" t="s">
        <v>58011</v>
      </c>
    </row>
    <row r="9353">
      <c r="A9353" s="4">
        <v>45534.44889222222</v>
      </c>
      <c r="B9353" s="5" t="s">
        <v>34</v>
      </c>
      <c r="D9353" s="5" t="s">
        <v>1558</v>
      </c>
      <c r="E9353" s="5" t="s">
        <v>58023</v>
      </c>
      <c r="F9353" s="5" t="s">
        <v>199</v>
      </c>
      <c r="G9353" s="5" t="s">
        <v>58024</v>
      </c>
      <c r="H9353" s="6" t="s">
        <v>58025</v>
      </c>
      <c r="K9353" s="5" t="s">
        <v>58020</v>
      </c>
      <c r="M9353" s="5" t="s">
        <v>58026</v>
      </c>
      <c r="N9353" s="7" t="s">
        <v>58027</v>
      </c>
      <c r="O9353" s="8" t="str">
        <f>HYPERLINK("https://drive.google.com/file/d/1kjEYGyZpkaL2NLPU7tz_hBk_rhx4kLI0/view?usp=drivesdk","9352_Ns. ICHSANI HARLIANTI, S.Kep. _ SERTIFIKAT BerAKHLAK")</f>
        <v>9352_Ns. ICHSANI HARLIANTI, S.Kep. _ SERTIFIKAT BerAKHLAK</v>
      </c>
      <c r="P9353" s="5" t="s">
        <v>58011</v>
      </c>
    </row>
    <row r="9354" hidden="1">
      <c r="A9354" s="4">
        <v>45534.44893341435</v>
      </c>
      <c r="B9354" s="5" t="s">
        <v>19</v>
      </c>
      <c r="C9354" s="5" t="s">
        <v>292</v>
      </c>
      <c r="E9354" s="5" t="s">
        <v>58028</v>
      </c>
      <c r="F9354" s="5" t="s">
        <v>120</v>
      </c>
      <c r="G9354" s="5" t="s">
        <v>58029</v>
      </c>
      <c r="H9354" s="6" t="s">
        <v>58030</v>
      </c>
      <c r="K9354" s="5" t="s">
        <v>58020</v>
      </c>
      <c r="M9354" s="5" t="s">
        <v>58031</v>
      </c>
      <c r="N9354" s="7" t="s">
        <v>58032</v>
      </c>
      <c r="O9354" s="8" t="str">
        <f>HYPERLINK("https://drive.google.com/file/d/1My_glytp87gY-c0oQwbfmFJU2Ylo7-xk/view?usp=drivesdk","9353_ERMA MARDIANA _ SERTIFIKAT BerAKHLAK")</f>
        <v>9353_ERMA MARDIANA _ SERTIFIKAT BerAKHLAK</v>
      </c>
      <c r="P9354" s="5" t="s">
        <v>58033</v>
      </c>
    </row>
    <row r="9355">
      <c r="A9355" s="4">
        <v>45534.44904841435</v>
      </c>
      <c r="B9355" s="5" t="s">
        <v>34</v>
      </c>
      <c r="D9355" s="5" t="s">
        <v>4775</v>
      </c>
      <c r="E9355" s="5" t="s">
        <v>58034</v>
      </c>
      <c r="F9355" s="5" t="s">
        <v>524</v>
      </c>
      <c r="G9355" s="5" t="s">
        <v>58035</v>
      </c>
      <c r="H9355" s="6" t="s">
        <v>58036</v>
      </c>
      <c r="K9355" s="5" t="s">
        <v>58020</v>
      </c>
      <c r="M9355" s="5" t="s">
        <v>58037</v>
      </c>
      <c r="N9355" s="7" t="s">
        <v>58038</v>
      </c>
      <c r="O9355" s="8" t="str">
        <f>HYPERLINK("https://drive.google.com/file/d/17TJNwHBYnAFc0XVaPWWDXqx26dHoy8nF/view?usp=drivesdk","9354_SUBAGIYO _ SERTIFIKAT BerAKHLAK")</f>
        <v>9354_SUBAGIYO _ SERTIFIKAT BerAKHLAK</v>
      </c>
      <c r="P9355" s="5" t="s">
        <v>58033</v>
      </c>
    </row>
    <row r="9356">
      <c r="A9356" s="4">
        <v>45534.44909840278</v>
      </c>
      <c r="B9356" s="5" t="s">
        <v>34</v>
      </c>
      <c r="D9356" s="5" t="s">
        <v>35</v>
      </c>
      <c r="E9356" s="5" t="s">
        <v>58039</v>
      </c>
      <c r="F9356" s="5" t="s">
        <v>72</v>
      </c>
      <c r="G9356" s="5" t="s">
        <v>58040</v>
      </c>
      <c r="H9356" s="6" t="s">
        <v>58041</v>
      </c>
      <c r="K9356" s="5" t="s">
        <v>58020</v>
      </c>
      <c r="M9356" s="5" t="s">
        <v>58042</v>
      </c>
      <c r="N9356" s="7" t="s">
        <v>58043</v>
      </c>
      <c r="O9356" s="8" t="str">
        <f>HYPERLINK("https://drive.google.com/file/d/1vR0NWnI0zZxzYe1Z930ShhBIxFI-7rSf/view?usp=drivesdk","9355_EFI KARTIKASARI _ SERTIFIKAT BerAKHLAK")</f>
        <v>9355_EFI KARTIKASARI _ SERTIFIKAT BerAKHLAK</v>
      </c>
      <c r="P9356" s="5" t="s">
        <v>58033</v>
      </c>
    </row>
    <row r="9357" hidden="1">
      <c r="A9357" s="4">
        <v>45534.44911935185</v>
      </c>
      <c r="B9357" s="5" t="s">
        <v>19</v>
      </c>
      <c r="C9357" s="5" t="s">
        <v>20</v>
      </c>
      <c r="E9357" s="5" t="s">
        <v>58044</v>
      </c>
      <c r="F9357" s="5" t="s">
        <v>120</v>
      </c>
      <c r="G9357" s="5" t="s">
        <v>58045</v>
      </c>
      <c r="H9357" s="6" t="s">
        <v>58046</v>
      </c>
      <c r="K9357" s="5" t="s">
        <v>58020</v>
      </c>
      <c r="M9357" s="5" t="s">
        <v>58047</v>
      </c>
      <c r="N9357" s="7" t="s">
        <v>58048</v>
      </c>
      <c r="O9357" s="8" t="str">
        <f>HYPERLINK("https://drive.google.com/file/d/1rSkx0be2MjN-b6ZCWzA3PjaN_4zCfTA8/view?usp=drivesdk","9356_Afrinny Roesmawaty, S.Si., M.A. _ SERTIFIKAT BerAKHLAK")</f>
        <v>9356_Afrinny Roesmawaty, S.Si., M.A. _ SERTIFIKAT BerAKHLAK</v>
      </c>
      <c r="P9357" s="5" t="s">
        <v>58033</v>
      </c>
    </row>
    <row r="9358">
      <c r="A9358" s="4">
        <v>45534.44943920139</v>
      </c>
      <c r="B9358" s="5" t="s">
        <v>34</v>
      </c>
      <c r="D9358" s="5" t="s">
        <v>1206</v>
      </c>
      <c r="E9358" s="5" t="s">
        <v>58049</v>
      </c>
      <c r="F9358" s="5" t="s">
        <v>199</v>
      </c>
      <c r="G9358" s="5" t="s">
        <v>58050</v>
      </c>
      <c r="H9358" s="6" t="s">
        <v>58051</v>
      </c>
      <c r="K9358" s="5" t="s">
        <v>58020</v>
      </c>
      <c r="M9358" s="5" t="s">
        <v>58052</v>
      </c>
      <c r="N9358" s="7" t="s">
        <v>58053</v>
      </c>
      <c r="O9358" s="8" t="str">
        <f>HYPERLINK("https://drive.google.com/file/d/1YnDCaFEUoavD7tfuUwRWP0_k_qTNc3do/view?usp=drivesdk","9357_HANDONO  _ SERTIFIKAT BerAKHLAK")</f>
        <v>9357_HANDONO  _ SERTIFIKAT BerAKHLAK</v>
      </c>
      <c r="P9358" s="5" t="s">
        <v>58033</v>
      </c>
    </row>
    <row r="9359">
      <c r="A9359" s="4">
        <v>45534.44945512732</v>
      </c>
      <c r="B9359" s="5" t="s">
        <v>34</v>
      </c>
      <c r="D9359" s="5" t="s">
        <v>35</v>
      </c>
      <c r="E9359" s="5" t="s">
        <v>58054</v>
      </c>
      <c r="F9359" s="5" t="s">
        <v>120</v>
      </c>
      <c r="G9359" s="5" t="s">
        <v>58055</v>
      </c>
      <c r="H9359" s="6" t="s">
        <v>58056</v>
      </c>
      <c r="K9359" s="5" t="s">
        <v>58020</v>
      </c>
      <c r="M9359" s="5" t="s">
        <v>58057</v>
      </c>
      <c r="N9359" s="7" t="s">
        <v>58058</v>
      </c>
      <c r="O9359" s="8" t="str">
        <f>HYPERLINK("https://drive.google.com/file/d/1aiQRrvPUDehGu1QHjG1BLgmncZwsLGKe/view?usp=drivesdk","9358_ANANG PRASETYO,W DRG _ SERTIFIKAT BerAKHLAK")</f>
        <v>9358_ANANG PRASETYO,W DRG _ SERTIFIKAT BerAKHLAK</v>
      </c>
      <c r="P9359" s="5" t="s">
        <v>58059</v>
      </c>
    </row>
    <row r="9360">
      <c r="A9360" s="4">
        <v>45534.44958359953</v>
      </c>
      <c r="B9360" s="5" t="s">
        <v>34</v>
      </c>
      <c r="D9360" s="5" t="s">
        <v>1558</v>
      </c>
      <c r="E9360" s="5" t="s">
        <v>58060</v>
      </c>
      <c r="F9360" s="5" t="s">
        <v>212</v>
      </c>
      <c r="G9360" s="5" t="s">
        <v>58061</v>
      </c>
      <c r="H9360" s="6" t="s">
        <v>58062</v>
      </c>
      <c r="K9360" s="5" t="s">
        <v>58020</v>
      </c>
      <c r="M9360" s="5" t="s">
        <v>58063</v>
      </c>
      <c r="N9360" s="7" t="s">
        <v>58064</v>
      </c>
      <c r="O9360" s="8" t="str">
        <f>HYPERLINK("https://drive.google.com/file/d/1rIG7YTtk608LIKR7ZLv6tgg3eH5AsSs1/view?usp=drivesdk","9359_PAGIARTO _ SERTIFIKAT BerAKHLAK")</f>
        <v>9359_PAGIARTO _ SERTIFIKAT BerAKHLAK</v>
      </c>
      <c r="P9360" s="5" t="s">
        <v>58059</v>
      </c>
    </row>
    <row r="9361">
      <c r="A9361" s="4">
        <v>45534.449584201386</v>
      </c>
      <c r="B9361" s="5" t="s">
        <v>34</v>
      </c>
      <c r="D9361" s="5" t="s">
        <v>9020</v>
      </c>
      <c r="E9361" s="5" t="s">
        <v>58065</v>
      </c>
      <c r="F9361" s="5" t="s">
        <v>212</v>
      </c>
      <c r="G9361" s="5" t="s">
        <v>58066</v>
      </c>
      <c r="H9361" s="6" t="s">
        <v>58067</v>
      </c>
      <c r="K9361" s="5" t="s">
        <v>58020</v>
      </c>
      <c r="M9361" s="5" t="s">
        <v>58068</v>
      </c>
      <c r="N9361" s="7" t="s">
        <v>58069</v>
      </c>
      <c r="O9361" s="8" t="str">
        <f>HYPERLINK("https://drive.google.com/file/d/1Jq7S2fMTqupSY1pg_EBHr6UYwUqSKwa-/view?usp=drivesdk","9360_DESMAN HALAWA _ SERTIFIKAT BerAKHLAK")</f>
        <v>9360_DESMAN HALAWA _ SERTIFIKAT BerAKHLAK</v>
      </c>
      <c r="P9361" s="5" t="s">
        <v>58059</v>
      </c>
    </row>
    <row r="9362">
      <c r="A9362" s="4">
        <v>45534.44961112268</v>
      </c>
      <c r="B9362" s="5" t="s">
        <v>34</v>
      </c>
      <c r="D9362" s="5" t="s">
        <v>9020</v>
      </c>
      <c r="E9362" s="5" t="s">
        <v>58070</v>
      </c>
      <c r="F9362" s="5" t="s">
        <v>212</v>
      </c>
      <c r="G9362" s="5" t="s">
        <v>58071</v>
      </c>
      <c r="H9362" s="6" t="s">
        <v>58072</v>
      </c>
      <c r="K9362" s="5" t="s">
        <v>58020</v>
      </c>
      <c r="M9362" s="5" t="s">
        <v>58073</v>
      </c>
      <c r="N9362" s="7" t="s">
        <v>58074</v>
      </c>
      <c r="O9362" s="8" t="str">
        <f>HYPERLINK("https://drive.google.com/file/d/1k99jkVimOdSujBGANtiCRu3AYMqI5Wr7/view?usp=drivesdk","9361_MERDIANA TAMBUN _ SERTIFIKAT BerAKHLAK")</f>
        <v>9361_MERDIANA TAMBUN _ SERTIFIKAT BerAKHLAK</v>
      </c>
      <c r="P9362" s="5" t="s">
        <v>58059</v>
      </c>
    </row>
    <row r="9363">
      <c r="A9363" s="4">
        <v>45534.44965274306</v>
      </c>
      <c r="B9363" s="5" t="s">
        <v>34</v>
      </c>
      <c r="D9363" s="5" t="s">
        <v>1206</v>
      </c>
      <c r="E9363" s="5" t="s">
        <v>58075</v>
      </c>
      <c r="F9363" s="5" t="s">
        <v>37</v>
      </c>
      <c r="G9363" s="5" t="s">
        <v>58076</v>
      </c>
      <c r="H9363" s="6" t="s">
        <v>58077</v>
      </c>
      <c r="K9363" s="5" t="s">
        <v>58020</v>
      </c>
      <c r="M9363" s="5" t="s">
        <v>58078</v>
      </c>
      <c r="N9363" s="7" t="s">
        <v>58079</v>
      </c>
      <c r="O9363" s="8" t="str">
        <f>HYPERLINK("https://drive.google.com/file/d/1AqDZf7eYUWAAhKggagspmxOH36cydZdq/view?usp=drivesdk","9362_FITRI MUDJI ANDRIJANI _ SERTIFIKAT BerAKHLAK")</f>
        <v>9362_FITRI MUDJI ANDRIJANI _ SERTIFIKAT BerAKHLAK</v>
      </c>
      <c r="P9363" s="5" t="s">
        <v>58080</v>
      </c>
    </row>
    <row r="9364">
      <c r="A9364" s="4">
        <v>45534.4496994213</v>
      </c>
      <c r="B9364" s="5" t="s">
        <v>34</v>
      </c>
      <c r="D9364" s="5" t="s">
        <v>14424</v>
      </c>
      <c r="E9364" s="5" t="s">
        <v>58081</v>
      </c>
      <c r="F9364" s="5" t="s">
        <v>22</v>
      </c>
      <c r="G9364" s="5" t="s">
        <v>58082</v>
      </c>
      <c r="H9364" s="6" t="s">
        <v>58083</v>
      </c>
      <c r="K9364" s="5" t="s">
        <v>58020</v>
      </c>
      <c r="M9364" s="5" t="s">
        <v>58084</v>
      </c>
      <c r="N9364" s="7" t="s">
        <v>58085</v>
      </c>
      <c r="O9364" s="8" t="str">
        <f>HYPERLINK("https://drive.google.com/file/d/1gGI9RYz85qG-F73k8NmuuRUoX7cw2UFg/view?usp=drivesdk","9363_ERNAWATI  _ SERTIFIKAT BerAKHLAK")</f>
        <v>9363_ERNAWATI  _ SERTIFIKAT BerAKHLAK</v>
      </c>
      <c r="P9364" s="5" t="s">
        <v>58086</v>
      </c>
    </row>
    <row r="9365">
      <c r="A9365" s="4">
        <v>45534.44972232639</v>
      </c>
      <c r="B9365" s="5" t="s">
        <v>34</v>
      </c>
      <c r="D9365" s="5" t="s">
        <v>10444</v>
      </c>
      <c r="E9365" s="5" t="s">
        <v>58087</v>
      </c>
      <c r="F9365" s="5" t="s">
        <v>108</v>
      </c>
      <c r="G9365" s="5" t="s">
        <v>58088</v>
      </c>
      <c r="H9365" s="6" t="s">
        <v>58089</v>
      </c>
      <c r="K9365" s="5" t="s">
        <v>58020</v>
      </c>
      <c r="M9365" s="5" t="s">
        <v>58090</v>
      </c>
      <c r="N9365" s="7" t="s">
        <v>58091</v>
      </c>
      <c r="O9365" s="8" t="str">
        <f>HYPERLINK("https://drive.google.com/file/d/1Ep7pKc2m1N6ewWWFGPkk1vbP7PKvDZPR/view?usp=drivesdk","9364_BALUNIKA,S.TH _ SERTIFIKAT BerAKHLAK")</f>
        <v>9364_BALUNIKA,S.TH _ SERTIFIKAT BerAKHLAK</v>
      </c>
      <c r="P9365" s="5" t="s">
        <v>58086</v>
      </c>
    </row>
    <row r="9366">
      <c r="A9366" s="4">
        <v>45534.44972949074</v>
      </c>
      <c r="B9366" s="5" t="s">
        <v>34</v>
      </c>
      <c r="D9366" s="5" t="s">
        <v>9020</v>
      </c>
      <c r="E9366" s="5" t="s">
        <v>58092</v>
      </c>
      <c r="F9366" s="5" t="s">
        <v>375</v>
      </c>
      <c r="G9366" s="5" t="s">
        <v>58093</v>
      </c>
      <c r="H9366" s="6" t="s">
        <v>58094</v>
      </c>
      <c r="K9366" s="5" t="s">
        <v>58020</v>
      </c>
      <c r="M9366" s="5" t="s">
        <v>58095</v>
      </c>
      <c r="N9366" s="7" t="s">
        <v>58096</v>
      </c>
      <c r="O9366" s="8" t="str">
        <f>HYPERLINK("https://drive.google.com/file/d/1WOSDgCk2qFzvh6IRFSOUnD_wEUEJoof0/view?usp=drivesdk","9365_SYAHRASMITA, SPd _ SERTIFIKAT BerAKHLAK")</f>
        <v>9365_SYAHRASMITA, SPd _ SERTIFIKAT BerAKHLAK</v>
      </c>
      <c r="P9366" s="5" t="s">
        <v>58086</v>
      </c>
    </row>
    <row r="9367" hidden="1">
      <c r="A9367" s="4">
        <v>45534.44985359954</v>
      </c>
      <c r="B9367" s="5" t="s">
        <v>19</v>
      </c>
      <c r="C9367" s="5" t="s">
        <v>20</v>
      </c>
      <c r="E9367" s="5" t="s">
        <v>58097</v>
      </c>
      <c r="F9367" s="5" t="s">
        <v>798</v>
      </c>
      <c r="G9367" s="5" t="s">
        <v>58098</v>
      </c>
      <c r="H9367" s="6" t="s">
        <v>58099</v>
      </c>
      <c r="K9367" s="5" t="s">
        <v>58020</v>
      </c>
      <c r="M9367" s="5" t="s">
        <v>58100</v>
      </c>
      <c r="N9367" s="7" t="s">
        <v>58101</v>
      </c>
      <c r="O9367" s="8" t="str">
        <f>HYPERLINK("https://drive.google.com/file/d/158HMQOwGLhVgKyvPdp4W8KnVhi_hnrKV/view?usp=drivesdk","9366_HANIFAN FARID AFIFI _ SERTIFIKAT BerAKHLAK")</f>
        <v>9366_HANIFAN FARID AFIFI _ SERTIFIKAT BerAKHLAK</v>
      </c>
      <c r="P9367" s="5" t="s">
        <v>58086</v>
      </c>
    </row>
    <row r="9368">
      <c r="A9368" s="4">
        <v>45534.44991322917</v>
      </c>
      <c r="B9368" s="5" t="s">
        <v>34</v>
      </c>
      <c r="D9368" s="5" t="s">
        <v>9020</v>
      </c>
      <c r="E9368" s="5" t="s">
        <v>13548</v>
      </c>
      <c r="F9368" s="5" t="s">
        <v>120</v>
      </c>
      <c r="G9368" s="5" t="s">
        <v>13549</v>
      </c>
      <c r="H9368" s="6" t="s">
        <v>58102</v>
      </c>
      <c r="K9368" s="5" t="s">
        <v>58020</v>
      </c>
      <c r="M9368" s="5" t="s">
        <v>58103</v>
      </c>
      <c r="N9368" s="7" t="s">
        <v>58104</v>
      </c>
      <c r="O9368" s="8" t="str">
        <f>HYPERLINK("https://drive.google.com/file/d/16W9ZUj5FYM5yu-tVekS1k1_ntG3cTwy7/view?usp=drivesdk","9367_Dra. SRI MULIYANI, M. M. _ SERTIFIKAT BerAKHLAK")</f>
        <v>9367_Dra. SRI MULIYANI, M. M. _ SERTIFIKAT BerAKHLAK</v>
      </c>
      <c r="P9368" s="5" t="s">
        <v>58086</v>
      </c>
    </row>
    <row r="9369">
      <c r="A9369" s="4">
        <v>45534.44997190972</v>
      </c>
      <c r="B9369" s="5" t="s">
        <v>34</v>
      </c>
      <c r="D9369" s="5" t="s">
        <v>14313</v>
      </c>
      <c r="E9369" s="5" t="s">
        <v>58105</v>
      </c>
      <c r="F9369" s="5" t="s">
        <v>120</v>
      </c>
      <c r="G9369" s="5" t="s">
        <v>58106</v>
      </c>
      <c r="H9369" s="6" t="s">
        <v>58107</v>
      </c>
      <c r="K9369" s="5" t="s">
        <v>58020</v>
      </c>
      <c r="M9369" s="5" t="s">
        <v>58108</v>
      </c>
      <c r="N9369" s="7" t="s">
        <v>58109</v>
      </c>
      <c r="O9369" s="8" t="str">
        <f>HYPERLINK("https://drive.google.com/file/d/1imlRX8z-rzhum68Q6as4ZxqEhE9v_sIZ/view?usp=drivesdk","9368_Haslianah.S.Si.,Apt, M.Adm.Kes  _ SERTIFIKAT BerAKHLAK")</f>
        <v>9368_Haslianah.S.Si.,Apt, M.Adm.Kes  _ SERTIFIKAT BerAKHLAK</v>
      </c>
      <c r="P9369" s="5" t="s">
        <v>58110</v>
      </c>
    </row>
    <row r="9370" hidden="1">
      <c r="A9370" s="4">
        <v>45534.45007612268</v>
      </c>
      <c r="B9370" s="5" t="s">
        <v>19</v>
      </c>
      <c r="C9370" s="5" t="s">
        <v>292</v>
      </c>
      <c r="E9370" s="5" t="s">
        <v>58111</v>
      </c>
      <c r="F9370" s="5" t="s">
        <v>37</v>
      </c>
      <c r="G9370" s="5" t="s">
        <v>58112</v>
      </c>
      <c r="H9370" s="6" t="s">
        <v>58113</v>
      </c>
      <c r="K9370" s="5" t="s">
        <v>58020</v>
      </c>
      <c r="M9370" s="5" t="s">
        <v>58114</v>
      </c>
      <c r="N9370" s="7" t="s">
        <v>58115</v>
      </c>
      <c r="O9370" s="8" t="str">
        <f>HYPERLINK("https://drive.google.com/file/d/1m63dkUVm1UfMyUCVcb0zZKa1ul65-HvU/view?usp=drivesdk","9369_GIPAR HAMDANI, A.Md.Ak. _ SERTIFIKAT BerAKHLAK")</f>
        <v>9369_GIPAR HAMDANI, A.Md.Ak. _ SERTIFIKAT BerAKHLAK</v>
      </c>
      <c r="P9370" s="5" t="s">
        <v>58110</v>
      </c>
    </row>
    <row r="9371">
      <c r="A9371" s="4">
        <v>45534.45033400463</v>
      </c>
      <c r="B9371" s="5" t="s">
        <v>34</v>
      </c>
      <c r="D9371" s="5" t="s">
        <v>1206</v>
      </c>
      <c r="E9371" s="5" t="s">
        <v>58116</v>
      </c>
      <c r="F9371" s="5" t="s">
        <v>375</v>
      </c>
      <c r="G9371" s="5" t="s">
        <v>58117</v>
      </c>
      <c r="H9371" s="6" t="s">
        <v>58118</v>
      </c>
      <c r="K9371" s="5" t="s">
        <v>58119</v>
      </c>
      <c r="M9371" s="5" t="s">
        <v>58120</v>
      </c>
      <c r="N9371" s="7" t="s">
        <v>58121</v>
      </c>
      <c r="O9371" s="8" t="str">
        <f>HYPERLINK("https://drive.google.com/file/d/1dvCL2URw8k7-70tJSlCiSgEQyZK5rRjo/view?usp=drivesdk","9370_Sony Arifin SH MM _ SERTIFIKAT BerAKHLAK")</f>
        <v>9370_Sony Arifin SH MM _ SERTIFIKAT BerAKHLAK</v>
      </c>
      <c r="P9371" s="5" t="s">
        <v>58110</v>
      </c>
    </row>
    <row r="9372">
      <c r="A9372" s="4">
        <v>45534.450733680555</v>
      </c>
      <c r="B9372" s="5" t="s">
        <v>34</v>
      </c>
      <c r="D9372" s="5" t="s">
        <v>15401</v>
      </c>
      <c r="E9372" s="5" t="s">
        <v>58122</v>
      </c>
      <c r="F9372" s="5" t="s">
        <v>212</v>
      </c>
      <c r="G9372" s="5" t="s">
        <v>58123</v>
      </c>
      <c r="H9372" s="6" t="s">
        <v>58124</v>
      </c>
      <c r="K9372" s="5" t="s">
        <v>58125</v>
      </c>
      <c r="M9372" s="5" t="s">
        <v>58126</v>
      </c>
      <c r="N9372" s="7" t="s">
        <v>58127</v>
      </c>
      <c r="O9372" s="8" t="str">
        <f>HYPERLINK("https://drive.google.com/file/d/1gG8aBu0xsrlTyZ8gMkUqhCKFzeH9rpEm/view?usp=drivesdk","9371_AGUSRIANI A PUROKO _ SERTIFIKAT BerAKHLAK")</f>
        <v>9371_AGUSRIANI A PUROKO _ SERTIFIKAT BerAKHLAK</v>
      </c>
      <c r="P9372" s="5" t="s">
        <v>58110</v>
      </c>
    </row>
    <row r="9373">
      <c r="A9373" s="4">
        <v>45534.4507869213</v>
      </c>
      <c r="B9373" s="5" t="s">
        <v>34</v>
      </c>
      <c r="D9373" s="5" t="s">
        <v>1206</v>
      </c>
      <c r="E9373" s="5" t="s">
        <v>58128</v>
      </c>
      <c r="F9373" s="5" t="s">
        <v>37</v>
      </c>
      <c r="G9373" s="5" t="s">
        <v>58129</v>
      </c>
      <c r="H9373" s="6" t="s">
        <v>58130</v>
      </c>
      <c r="K9373" s="5" t="s">
        <v>58125</v>
      </c>
      <c r="M9373" s="5" t="s">
        <v>58131</v>
      </c>
      <c r="N9373" s="7" t="s">
        <v>58132</v>
      </c>
      <c r="O9373" s="8" t="str">
        <f>HYPERLINK("https://drive.google.com/file/d/18FwMShaiNbjU3tGqvvQ0SKRiS2FAOecZ/view?usp=drivesdk","9372_DIAN AFFANA _ SERTIFIKAT BerAKHLAK")</f>
        <v>9372_DIAN AFFANA _ SERTIFIKAT BerAKHLAK</v>
      </c>
      <c r="P9373" s="5" t="s">
        <v>58110</v>
      </c>
    </row>
    <row r="9374">
      <c r="A9374" s="4">
        <v>45534.45091962963</v>
      </c>
      <c r="B9374" s="5" t="s">
        <v>34</v>
      </c>
      <c r="D9374" s="5" t="s">
        <v>4775</v>
      </c>
      <c r="E9374" s="5" t="s">
        <v>58133</v>
      </c>
      <c r="F9374" s="5" t="s">
        <v>72</v>
      </c>
      <c r="G9374" s="5" t="s">
        <v>58134</v>
      </c>
      <c r="H9374" s="6" t="s">
        <v>58135</v>
      </c>
      <c r="K9374" s="5" t="s">
        <v>58136</v>
      </c>
      <c r="M9374" s="5" t="s">
        <v>58137</v>
      </c>
      <c r="N9374" s="7" t="s">
        <v>58138</v>
      </c>
      <c r="O9374" s="8" t="str">
        <f>HYPERLINK("https://drive.google.com/file/d/1tkTY9ABjznhp6Fg7uGHyQYVClogL-s01/view?usp=drivesdk","9373_ENDANG SRI HARTINI S. Pd _ SERTIFIKAT BerAKHLAK")</f>
        <v>9373_ENDANG SRI HARTINI S. Pd _ SERTIFIKAT BerAKHLAK</v>
      </c>
      <c r="P9374" s="5" t="s">
        <v>58110</v>
      </c>
    </row>
    <row r="9375" hidden="1">
      <c r="A9375" s="4">
        <v>45534.450920625</v>
      </c>
      <c r="B9375" s="5" t="s">
        <v>19</v>
      </c>
      <c r="C9375" s="5" t="s">
        <v>83</v>
      </c>
      <c r="E9375" s="5" t="s">
        <v>58139</v>
      </c>
      <c r="F9375" s="5" t="s">
        <v>72</v>
      </c>
      <c r="G9375" s="5" t="s">
        <v>58140</v>
      </c>
      <c r="H9375" s="6" t="s">
        <v>58141</v>
      </c>
      <c r="K9375" s="5" t="s">
        <v>58136</v>
      </c>
      <c r="M9375" s="5" t="s">
        <v>58142</v>
      </c>
      <c r="N9375" s="7" t="s">
        <v>58143</v>
      </c>
      <c r="O9375" s="8" t="str">
        <f>HYPERLINK("https://drive.google.com/file/d/1fmojyKLKhMZ4ptGy_LfPZEx2LpDyvMns/view?usp=drivesdk","9374_LINDANINGSIH  _ SERTIFIKAT BerAKHLAK")</f>
        <v>9374_LINDANINGSIH  _ SERTIFIKAT BerAKHLAK</v>
      </c>
      <c r="P9375" s="5" t="s">
        <v>58144</v>
      </c>
    </row>
    <row r="9376" hidden="1">
      <c r="A9376" s="4">
        <v>45534.450933541666</v>
      </c>
      <c r="B9376" s="5" t="s">
        <v>19</v>
      </c>
      <c r="C9376" s="5" t="s">
        <v>3301</v>
      </c>
      <c r="E9376" s="5" t="s">
        <v>58145</v>
      </c>
      <c r="F9376" s="5" t="s">
        <v>37</v>
      </c>
      <c r="G9376" s="5" t="s">
        <v>58146</v>
      </c>
      <c r="H9376" s="6" t="s">
        <v>58147</v>
      </c>
      <c r="K9376" s="5" t="s">
        <v>58136</v>
      </c>
      <c r="M9376" s="5" t="s">
        <v>58148</v>
      </c>
      <c r="N9376" s="7" t="s">
        <v>58149</v>
      </c>
      <c r="O9376" s="8" t="str">
        <f>HYPERLINK("https://drive.google.com/file/d/1tHcxJuIzs3Uqwmpgaj-_92qJ4u4ZrmKm/view?usp=drivesdk","9375_DESYA APRILIA SARI, AMK _ SERTIFIKAT BerAKHLAK")</f>
        <v>9375_DESYA APRILIA SARI, AMK _ SERTIFIKAT BerAKHLAK</v>
      </c>
      <c r="P9376" s="5" t="s">
        <v>58144</v>
      </c>
    </row>
    <row r="9377">
      <c r="A9377" s="4">
        <v>45534.45095542824</v>
      </c>
      <c r="B9377" s="5" t="s">
        <v>34</v>
      </c>
      <c r="D9377" s="5" t="s">
        <v>15401</v>
      </c>
      <c r="E9377" s="5" t="s">
        <v>58150</v>
      </c>
      <c r="F9377" s="5" t="s">
        <v>212</v>
      </c>
      <c r="G9377" s="5" t="s">
        <v>58151</v>
      </c>
      <c r="H9377" s="6" t="s">
        <v>58152</v>
      </c>
      <c r="K9377" s="5" t="s">
        <v>58153</v>
      </c>
      <c r="M9377" s="5" t="s">
        <v>58154</v>
      </c>
      <c r="N9377" s="7" t="s">
        <v>58155</v>
      </c>
      <c r="O9377" s="8" t="str">
        <f>HYPERLINK("https://drive.google.com/file/d/1dh3Zeix4KGnFQZKnZzS6DV7at960610Y/view?usp=drivesdk","9376_SANDHY ADITYA ARSADANA,S.Kep _ SERTIFIKAT BerAKHLAK")</f>
        <v>9376_SANDHY ADITYA ARSADANA,S.Kep _ SERTIFIKAT BerAKHLAK</v>
      </c>
      <c r="P9377" s="5" t="s">
        <v>58144</v>
      </c>
    </row>
    <row r="9378">
      <c r="A9378" s="4">
        <v>45534.45101737269</v>
      </c>
      <c r="B9378" s="5" t="s">
        <v>34</v>
      </c>
      <c r="D9378" s="5" t="s">
        <v>522</v>
      </c>
      <c r="E9378" s="5" t="s">
        <v>58156</v>
      </c>
      <c r="F9378" s="5" t="s">
        <v>72</v>
      </c>
      <c r="G9378" s="5" t="s">
        <v>58157</v>
      </c>
      <c r="H9378" s="6" t="s">
        <v>58158</v>
      </c>
      <c r="K9378" s="5" t="s">
        <v>58153</v>
      </c>
      <c r="M9378" s="5" t="s">
        <v>58159</v>
      </c>
      <c r="N9378" s="7" t="s">
        <v>58160</v>
      </c>
      <c r="O9378" s="8" t="str">
        <f>HYPERLINK("https://drive.google.com/file/d/1lKdS8ufO81j4dNTBoNiFN4Mma_IO__P7/view?usp=drivesdk","9377_NAZARIZAL, AMd _ SERTIFIKAT BerAKHLAK")</f>
        <v>9377_NAZARIZAL, AMd _ SERTIFIKAT BerAKHLAK</v>
      </c>
      <c r="P9378" s="5" t="s">
        <v>58144</v>
      </c>
    </row>
    <row r="9379" hidden="1">
      <c r="A9379" s="4">
        <v>45534.45110175926</v>
      </c>
      <c r="B9379" s="5" t="s">
        <v>19</v>
      </c>
      <c r="C9379" s="5" t="s">
        <v>20</v>
      </c>
      <c r="E9379" s="5" t="s">
        <v>58161</v>
      </c>
      <c r="F9379" s="5" t="s">
        <v>120</v>
      </c>
      <c r="G9379" s="5" t="s">
        <v>58162</v>
      </c>
      <c r="H9379" s="6" t="s">
        <v>58163</v>
      </c>
      <c r="K9379" s="5" t="s">
        <v>58153</v>
      </c>
      <c r="M9379" s="5" t="s">
        <v>58164</v>
      </c>
      <c r="N9379" s="7" t="s">
        <v>58165</v>
      </c>
      <c r="O9379" s="8" t="str">
        <f>HYPERLINK("https://drive.google.com/file/d/1QR7Nf5VrePes2H1Eu8wC7fao2vUYBmKL/view?usp=drivesdk","9378_Dra. MUNARTI EMALIA _ SERTIFIKAT BerAKHLAK")</f>
        <v>9378_Dra. MUNARTI EMALIA _ SERTIFIKAT BerAKHLAK</v>
      </c>
      <c r="P9379" s="5" t="s">
        <v>58144</v>
      </c>
    </row>
    <row r="9380">
      <c r="A9380" s="4">
        <v>45534.45113233796</v>
      </c>
      <c r="B9380" s="5" t="s">
        <v>34</v>
      </c>
      <c r="D9380" s="5" t="s">
        <v>701</v>
      </c>
      <c r="E9380" s="5" t="s">
        <v>58166</v>
      </c>
      <c r="F9380" s="5" t="s">
        <v>524</v>
      </c>
      <c r="G9380" s="5" t="s">
        <v>53908</v>
      </c>
      <c r="H9380" s="6" t="s">
        <v>58167</v>
      </c>
      <c r="K9380" s="5" t="s">
        <v>58153</v>
      </c>
      <c r="M9380" s="5" t="s">
        <v>58168</v>
      </c>
      <c r="N9380" s="7" t="s">
        <v>58169</v>
      </c>
      <c r="O9380" s="8" t="str">
        <f>HYPERLINK("https://drive.google.com/file/d/1f1W8hjzPIAAWOrUq1z2e1tBOthWh66tt/view?usp=drivesdk","9379_PENDA RAHMADANI,S.H _ SERTIFIKAT BerAKHLAK")</f>
        <v>9379_PENDA RAHMADANI,S.H _ SERTIFIKAT BerAKHLAK</v>
      </c>
      <c r="P9380" s="5" t="s">
        <v>58170</v>
      </c>
    </row>
    <row r="9381" hidden="1">
      <c r="A9381" s="4">
        <v>45534.451268171295</v>
      </c>
      <c r="B9381" s="5" t="s">
        <v>19</v>
      </c>
      <c r="C9381" s="5" t="s">
        <v>20</v>
      </c>
      <c r="E9381" s="5" t="s">
        <v>50181</v>
      </c>
      <c r="F9381" s="5" t="s">
        <v>212</v>
      </c>
      <c r="G9381" s="5" t="s">
        <v>57779</v>
      </c>
      <c r="H9381" s="6" t="s">
        <v>58171</v>
      </c>
      <c r="K9381" s="5" t="s">
        <v>58153</v>
      </c>
      <c r="M9381" s="5" t="s">
        <v>58172</v>
      </c>
      <c r="N9381" s="7" t="s">
        <v>58173</v>
      </c>
      <c r="O9381" s="8" t="str">
        <f>HYPERLINK("https://drive.google.com/file/d/11VgLgsgiWIBKKUCycsDtQU94laVOW9uf/view?usp=drivesdk","9380_TITIK SULISTYANINGRUM _ SERTIFIKAT BerAKHLAK")</f>
        <v>9380_TITIK SULISTYANINGRUM _ SERTIFIKAT BerAKHLAK</v>
      </c>
      <c r="P9381" s="5" t="s">
        <v>58170</v>
      </c>
    </row>
    <row r="9382">
      <c r="A9382" s="4">
        <v>45534.45135120371</v>
      </c>
      <c r="B9382" s="5" t="s">
        <v>34</v>
      </c>
      <c r="D9382" s="5" t="s">
        <v>701</v>
      </c>
      <c r="E9382" s="5" t="s">
        <v>58174</v>
      </c>
      <c r="F9382" s="5" t="s">
        <v>524</v>
      </c>
      <c r="G9382" s="5" t="s">
        <v>58175</v>
      </c>
      <c r="H9382" s="6" t="s">
        <v>58176</v>
      </c>
      <c r="K9382" s="5" t="s">
        <v>58177</v>
      </c>
      <c r="M9382" s="5" t="s">
        <v>58178</v>
      </c>
      <c r="N9382" s="7" t="s">
        <v>58179</v>
      </c>
      <c r="O9382" s="8" t="str">
        <f>HYPERLINK("https://drive.google.com/file/d/1bSPLUmnWCc7YrIwNRoTMJ7MqxQChrUqQ/view?usp=drivesdk","9381_YULI FITRI YANTI, S.Psi _ SERTIFIKAT BerAKHLAK")</f>
        <v>9381_YULI FITRI YANTI, S.Psi _ SERTIFIKAT BerAKHLAK</v>
      </c>
      <c r="P9382" s="5" t="s">
        <v>58170</v>
      </c>
    </row>
    <row r="9383">
      <c r="A9383" s="4">
        <v>45534.45139638889</v>
      </c>
      <c r="B9383" s="5" t="s">
        <v>34</v>
      </c>
      <c r="D9383" s="5" t="s">
        <v>14313</v>
      </c>
      <c r="E9383" s="5" t="s">
        <v>58180</v>
      </c>
      <c r="F9383" s="5" t="s">
        <v>524</v>
      </c>
      <c r="G9383" s="5" t="s">
        <v>58181</v>
      </c>
      <c r="H9383" s="6" t="s">
        <v>58182</v>
      </c>
      <c r="K9383" s="5" t="s">
        <v>58183</v>
      </c>
      <c r="M9383" s="5" t="s">
        <v>58184</v>
      </c>
      <c r="N9383" s="7" t="s">
        <v>58185</v>
      </c>
      <c r="O9383" s="8" t="str">
        <f>HYPERLINK("https://drive.google.com/file/d/1jqbsZjY70gLPuDIe6igLtKEfRJrNHRHy/view?usp=drivesdk","9382_JULIARNI SALEH  _ SERTIFIKAT BerAKHLAK")</f>
        <v>9382_JULIARNI SALEH  _ SERTIFIKAT BerAKHLAK</v>
      </c>
      <c r="P9383" s="5" t="s">
        <v>58170</v>
      </c>
    </row>
    <row r="9384">
      <c r="A9384" s="4">
        <v>45534.451446770836</v>
      </c>
      <c r="B9384" s="5" t="s">
        <v>34</v>
      </c>
      <c r="D9384" s="5" t="s">
        <v>9020</v>
      </c>
      <c r="E9384" s="5" t="s">
        <v>23159</v>
      </c>
      <c r="F9384" s="5" t="s">
        <v>37</v>
      </c>
      <c r="G9384" s="5" t="s">
        <v>58186</v>
      </c>
      <c r="H9384" s="6" t="s">
        <v>58187</v>
      </c>
      <c r="K9384" s="5" t="s">
        <v>58188</v>
      </c>
      <c r="M9384" s="5" t="s">
        <v>58189</v>
      </c>
      <c r="N9384" s="7" t="s">
        <v>58190</v>
      </c>
      <c r="O9384" s="8" t="str">
        <f>HYPERLINK("https://drive.google.com/file/d/1-rFRD1Y844iHK-BDaRysmOxD7CtCMm0e/view?usp=drivesdk","9383_DEWI WAHYUNI _ SERTIFIKAT BerAKHLAK")</f>
        <v>9383_DEWI WAHYUNI _ SERTIFIKAT BerAKHLAK</v>
      </c>
      <c r="P9384" s="5" t="s">
        <v>58170</v>
      </c>
    </row>
    <row r="9385">
      <c r="A9385" s="4">
        <v>45534.45148113426</v>
      </c>
      <c r="B9385" s="5" t="s">
        <v>34</v>
      </c>
      <c r="D9385" s="5" t="s">
        <v>6232</v>
      </c>
      <c r="E9385" s="5" t="s">
        <v>58191</v>
      </c>
      <c r="F9385" s="5" t="s">
        <v>108</v>
      </c>
      <c r="G9385" s="5" t="s">
        <v>58192</v>
      </c>
      <c r="H9385" s="6" t="s">
        <v>58193</v>
      </c>
      <c r="K9385" s="5" t="s">
        <v>58188</v>
      </c>
      <c r="M9385" s="5" t="s">
        <v>58194</v>
      </c>
      <c r="N9385" s="7" t="s">
        <v>58195</v>
      </c>
      <c r="O9385" s="8" t="str">
        <f>HYPERLINK("https://drive.google.com/file/d/1yId1JWWuj2eSOfp_SEByXqPaJjtNt1Ff/view?usp=drivesdk","9384_EVI Hikmawati, S.Kep _ SERTIFIKAT BerAKHLAK")</f>
        <v>9384_EVI Hikmawati, S.Kep _ SERTIFIKAT BerAKHLAK</v>
      </c>
      <c r="P9385" s="5" t="s">
        <v>58196</v>
      </c>
    </row>
    <row r="9386">
      <c r="A9386" s="4">
        <v>45534.45158603009</v>
      </c>
      <c r="B9386" s="5" t="s">
        <v>34</v>
      </c>
      <c r="D9386" s="5" t="s">
        <v>1206</v>
      </c>
      <c r="E9386" s="5" t="s">
        <v>29084</v>
      </c>
      <c r="F9386" s="5" t="s">
        <v>199</v>
      </c>
      <c r="G9386" s="5" t="s">
        <v>58197</v>
      </c>
      <c r="H9386" s="6" t="s">
        <v>58198</v>
      </c>
      <c r="K9386" s="5" t="s">
        <v>58199</v>
      </c>
      <c r="M9386" s="5" t="s">
        <v>58200</v>
      </c>
      <c r="N9386" s="7" t="s">
        <v>58201</v>
      </c>
      <c r="O9386" s="8" t="str">
        <f>HYPERLINK("https://drive.google.com/file/d/1le8rysiPMGHg1824V1CMtP2qT-28PP0M/view?usp=drivesdk","9385_SUGIARTO _ SERTIFIKAT BerAKHLAK")</f>
        <v>9385_SUGIARTO _ SERTIFIKAT BerAKHLAK</v>
      </c>
      <c r="P9386" s="5" t="s">
        <v>58196</v>
      </c>
    </row>
    <row r="9387">
      <c r="A9387" s="4">
        <v>45534.45162710648</v>
      </c>
      <c r="B9387" s="5" t="s">
        <v>34</v>
      </c>
      <c r="D9387" s="5" t="s">
        <v>9394</v>
      </c>
      <c r="E9387" s="5" t="s">
        <v>58202</v>
      </c>
      <c r="F9387" s="5" t="s">
        <v>715</v>
      </c>
      <c r="G9387" s="5" t="s">
        <v>58203</v>
      </c>
      <c r="H9387" s="6" t="s">
        <v>58204</v>
      </c>
      <c r="K9387" s="5" t="s">
        <v>58199</v>
      </c>
      <c r="M9387" s="5" t="s">
        <v>58205</v>
      </c>
      <c r="N9387" s="7" t="s">
        <v>58206</v>
      </c>
      <c r="O9387" s="8" t="str">
        <f>HYPERLINK("https://drive.google.com/file/d/1PMR74LzqanVcbZHkalaqqdAE5whh81UX/view?usp=drivesdk","9386_EVA FARIDA, SE _ SERTIFIKAT BerAKHLAK")</f>
        <v>9386_EVA FARIDA, SE _ SERTIFIKAT BerAKHLAK</v>
      </c>
      <c r="P9387" s="5" t="s">
        <v>58196</v>
      </c>
    </row>
    <row r="9388">
      <c r="A9388" s="4">
        <v>45534.45176109954</v>
      </c>
      <c r="B9388" s="5" t="s">
        <v>34</v>
      </c>
      <c r="D9388" s="5" t="s">
        <v>9020</v>
      </c>
      <c r="E9388" s="5" t="s">
        <v>58207</v>
      </c>
      <c r="F9388" s="5" t="s">
        <v>212</v>
      </c>
      <c r="G9388" s="5" t="s">
        <v>58208</v>
      </c>
      <c r="H9388" s="6" t="s">
        <v>58209</v>
      </c>
      <c r="K9388" s="5" t="s">
        <v>58199</v>
      </c>
      <c r="M9388" s="5" t="s">
        <v>58210</v>
      </c>
      <c r="N9388" s="7" t="s">
        <v>58211</v>
      </c>
      <c r="O9388" s="8" t="str">
        <f>HYPERLINK("https://drive.google.com/file/d/1EssF8syqMPwy2oBr0aAHKCO143Mwbynt/view?usp=drivesdk","9387_ASMARANI BR GINTING  _ SERTIFIKAT BerAKHLAK")</f>
        <v>9387_ASMARANI BR GINTING  _ SERTIFIKAT BerAKHLAK</v>
      </c>
      <c r="P9388" s="5" t="s">
        <v>58196</v>
      </c>
    </row>
    <row r="9389">
      <c r="A9389" s="4">
        <v>45534.451836238426</v>
      </c>
      <c r="B9389" s="5" t="s">
        <v>34</v>
      </c>
      <c r="D9389" s="5" t="s">
        <v>6232</v>
      </c>
      <c r="E9389" s="5" t="s">
        <v>58212</v>
      </c>
      <c r="F9389" s="5" t="s">
        <v>37</v>
      </c>
      <c r="G9389" s="5" t="s">
        <v>58213</v>
      </c>
      <c r="H9389" s="6" t="s">
        <v>58214</v>
      </c>
      <c r="K9389" s="5" t="s">
        <v>58199</v>
      </c>
      <c r="M9389" s="5" t="s">
        <v>58215</v>
      </c>
      <c r="N9389" s="7" t="s">
        <v>58216</v>
      </c>
      <c r="O9389" s="8" t="str">
        <f>HYPERLINK("https://drive.google.com/file/d/1RmRw-a2PpCwIA9mf_Er2vJz8N9YDktJo/view?usp=drivesdk","9388_TITIK NUR RAMADHON, A. Md. Kom. _ SERTIFIKAT BerAKHLAK")</f>
        <v>9388_TITIK NUR RAMADHON, A. Md. Kom. _ SERTIFIKAT BerAKHLAK</v>
      </c>
      <c r="P9389" s="5" t="s">
        <v>58196</v>
      </c>
    </row>
    <row r="9390">
      <c r="A9390" s="4">
        <v>45534.45198837963</v>
      </c>
      <c r="B9390" s="5" t="s">
        <v>34</v>
      </c>
      <c r="D9390" s="5" t="s">
        <v>14313</v>
      </c>
      <c r="E9390" s="5" t="s">
        <v>58217</v>
      </c>
      <c r="F9390" s="5" t="s">
        <v>524</v>
      </c>
      <c r="G9390" s="5" t="s">
        <v>58218</v>
      </c>
      <c r="H9390" s="6" t="s">
        <v>58219</v>
      </c>
      <c r="K9390" s="5" t="s">
        <v>58220</v>
      </c>
      <c r="M9390" s="5" t="s">
        <v>58221</v>
      </c>
      <c r="N9390" s="7" t="s">
        <v>58222</v>
      </c>
      <c r="O9390" s="8" t="str">
        <f>HYPERLINK("https://drive.google.com/file/d/1CD6DEErRJP1E6JvxVbvtvjIfiXZzeoYu/view?usp=drivesdk","9389_HASDAENAH, S. farm _ SERTIFIKAT BerAKHLAK")</f>
        <v>9389_HASDAENAH, S. farm _ SERTIFIKAT BerAKHLAK</v>
      </c>
      <c r="P9390" s="5" t="s">
        <v>58223</v>
      </c>
    </row>
    <row r="9391">
      <c r="A9391" s="4">
        <v>45534.45206181713</v>
      </c>
      <c r="B9391" s="5" t="s">
        <v>34</v>
      </c>
      <c r="D9391" s="5" t="s">
        <v>9394</v>
      </c>
      <c r="E9391" s="5" t="s">
        <v>58224</v>
      </c>
      <c r="F9391" s="5" t="s">
        <v>108</v>
      </c>
      <c r="G9391" s="5" t="s">
        <v>58225</v>
      </c>
      <c r="H9391" s="6" t="s">
        <v>58226</v>
      </c>
      <c r="K9391" s="5" t="s">
        <v>58227</v>
      </c>
      <c r="M9391" s="5" t="s">
        <v>58228</v>
      </c>
      <c r="N9391" s="7" t="s">
        <v>58229</v>
      </c>
      <c r="O9391" s="8" t="str">
        <f>HYPERLINK("https://drive.google.com/file/d/1H7WBJXPKqwysg9XVd-6utHvwbHQGh9oq/view?usp=drivesdk","9390_MIRA BUDIARTI, SE _ SERTIFIKAT BerAKHLAK")</f>
        <v>9390_MIRA BUDIARTI, SE _ SERTIFIKAT BerAKHLAK</v>
      </c>
      <c r="P9391" s="5" t="s">
        <v>58230</v>
      </c>
    </row>
    <row r="9392">
      <c r="A9392" s="4">
        <v>45534.4520834838</v>
      </c>
      <c r="B9392" s="5" t="s">
        <v>34</v>
      </c>
      <c r="D9392" s="5" t="s">
        <v>7858</v>
      </c>
      <c r="E9392" s="5" t="s">
        <v>58231</v>
      </c>
      <c r="F9392" s="5" t="s">
        <v>37</v>
      </c>
      <c r="G9392" s="5" t="s">
        <v>58232</v>
      </c>
      <c r="H9392" s="6" t="s">
        <v>58233</v>
      </c>
      <c r="K9392" s="5" t="s">
        <v>58234</v>
      </c>
      <c r="M9392" s="5" t="s">
        <v>58235</v>
      </c>
      <c r="N9392" s="7" t="s">
        <v>58236</v>
      </c>
      <c r="O9392" s="8" t="str">
        <f>HYPERLINK("https://drive.google.com/file/d/1rOaboaoIwYFTICfZmMvvFw06vhQOy6J8/view?usp=drivesdk","9391_ADI SURYADININGRAT _ SERTIFIKAT BerAKHLAK")</f>
        <v>9391_ADI SURYADININGRAT _ SERTIFIKAT BerAKHLAK</v>
      </c>
      <c r="P9392" s="5" t="s">
        <v>58237</v>
      </c>
    </row>
    <row r="9393">
      <c r="A9393" s="4">
        <v>45534.45223997685</v>
      </c>
      <c r="B9393" s="5" t="s">
        <v>34</v>
      </c>
      <c r="D9393" s="5" t="s">
        <v>14313</v>
      </c>
      <c r="E9393" s="5" t="s">
        <v>58238</v>
      </c>
      <c r="F9393" s="5" t="s">
        <v>524</v>
      </c>
      <c r="G9393" s="5" t="s">
        <v>58239</v>
      </c>
      <c r="H9393" s="6" t="s">
        <v>58240</v>
      </c>
      <c r="K9393" s="5" t="s">
        <v>58241</v>
      </c>
      <c r="M9393" s="5" t="s">
        <v>58242</v>
      </c>
      <c r="N9393" s="7" t="s">
        <v>58243</v>
      </c>
      <c r="O9393" s="8" t="str">
        <f>HYPERLINK("https://drive.google.com/file/d/1CVqVp_AVSyVkJxLdS_K1Brl_uqfpAEu1/view?usp=drivesdk","9392_DIAN HERAWATI _ SERTIFIKAT BerAKHLAK")</f>
        <v>9392_DIAN HERAWATI _ SERTIFIKAT BerAKHLAK</v>
      </c>
      <c r="P9393" s="5" t="s">
        <v>58244</v>
      </c>
    </row>
    <row r="9394">
      <c r="A9394" s="4">
        <v>45534.45234870371</v>
      </c>
      <c r="B9394" s="5" t="s">
        <v>34</v>
      </c>
      <c r="D9394" s="5" t="s">
        <v>2903</v>
      </c>
      <c r="E9394" s="5" t="s">
        <v>43754</v>
      </c>
      <c r="F9394" s="5" t="s">
        <v>199</v>
      </c>
      <c r="G9394" s="5" t="s">
        <v>58245</v>
      </c>
      <c r="H9394" s="6" t="s">
        <v>58246</v>
      </c>
      <c r="K9394" s="5" t="s">
        <v>58241</v>
      </c>
      <c r="M9394" s="5" t="s">
        <v>58247</v>
      </c>
      <c r="N9394" s="7" t="s">
        <v>58248</v>
      </c>
      <c r="O9394" s="8" t="str">
        <f>HYPERLINK("https://drive.google.com/file/d/1ctZmBidz1L1FBapuKZndLiQq-c2H3vUL/view?usp=drivesdk","9393_ZULKURNAIN, S.I.P. _ SERTIFIKAT BerAKHLAK")</f>
        <v>9393_ZULKURNAIN, S.I.P. _ SERTIFIKAT BerAKHLAK</v>
      </c>
      <c r="P9394" s="5" t="s">
        <v>58249</v>
      </c>
    </row>
    <row r="9395">
      <c r="A9395" s="4">
        <v>45534.45244450231</v>
      </c>
      <c r="B9395" s="5" t="s">
        <v>34</v>
      </c>
      <c r="D9395" s="5" t="s">
        <v>14313</v>
      </c>
      <c r="E9395" s="5" t="s">
        <v>58250</v>
      </c>
      <c r="F9395" s="5" t="s">
        <v>72</v>
      </c>
      <c r="G9395" s="5" t="s">
        <v>58251</v>
      </c>
      <c r="H9395" s="6" t="s">
        <v>58252</v>
      </c>
      <c r="K9395" s="5" t="s">
        <v>58241</v>
      </c>
      <c r="M9395" s="5" t="s">
        <v>58253</v>
      </c>
      <c r="N9395" s="7" t="s">
        <v>58254</v>
      </c>
      <c r="O9395" s="8" t="str">
        <f>HYPERLINK("https://drive.google.com/file/d/1jKhkER2hgmNDBULhSvihUt8BfFKoKDQA/view?usp=drivesdk","9394_Hj.NURAINI S.kep Ns _ SERTIFIKAT BerAKHLAK")</f>
        <v>9394_Hj.NURAINI S.kep Ns _ SERTIFIKAT BerAKHLAK</v>
      </c>
      <c r="P9395" s="5" t="s">
        <v>58255</v>
      </c>
    </row>
    <row r="9396">
      <c r="A9396" s="4">
        <v>45534.452728715274</v>
      </c>
      <c r="B9396" s="5" t="s">
        <v>34</v>
      </c>
      <c r="D9396" s="5" t="s">
        <v>701</v>
      </c>
      <c r="E9396" s="5" t="s">
        <v>58256</v>
      </c>
      <c r="F9396" s="5" t="s">
        <v>108</v>
      </c>
      <c r="G9396" s="5" t="s">
        <v>58257</v>
      </c>
      <c r="H9396" s="6" t="s">
        <v>58258</v>
      </c>
      <c r="K9396" s="5" t="s">
        <v>58259</v>
      </c>
      <c r="M9396" s="5" t="s">
        <v>58260</v>
      </c>
      <c r="N9396" s="7" t="s">
        <v>58261</v>
      </c>
      <c r="O9396" s="8" t="str">
        <f>HYPERLINK("https://drive.google.com/file/d/1FEhbr3CHIVYSkIwt1EpQ-p1pZSDpufJZ/view?usp=drivesdk","9395_Titin Rachmiyati Asril _ SERTIFIKAT BerAKHLAK")</f>
        <v>9395_Titin Rachmiyati Asril _ SERTIFIKAT BerAKHLAK</v>
      </c>
      <c r="P9396" s="5" t="s">
        <v>58262</v>
      </c>
    </row>
    <row r="9397">
      <c r="A9397" s="4">
        <v>45534.45277625</v>
      </c>
      <c r="B9397" s="5" t="s">
        <v>34</v>
      </c>
      <c r="D9397" s="5" t="s">
        <v>1206</v>
      </c>
      <c r="E9397" s="7" t="s">
        <v>19671</v>
      </c>
      <c r="F9397" s="5" t="s">
        <v>715</v>
      </c>
      <c r="G9397" s="5" t="s">
        <v>19672</v>
      </c>
      <c r="H9397" s="6" t="s">
        <v>58263</v>
      </c>
      <c r="K9397" s="5" t="s">
        <v>58259</v>
      </c>
      <c r="M9397" s="5" t="s">
        <v>58264</v>
      </c>
      <c r="N9397" s="7" t="s">
        <v>58265</v>
      </c>
      <c r="O9397" s="8" t="str">
        <f>HYPERLINK("https://drive.google.com/file/d/1VdO52XsUvx2Ii6ofnVaQAiEIxONMrKPV/view?usp=drivesdk","9396_SULASTUTIK.SH _ SERTIFIKAT BerAKHLAK")</f>
        <v>9396_SULASTUTIK.SH _ SERTIFIKAT BerAKHLAK</v>
      </c>
      <c r="P9397" s="5" t="s">
        <v>58266</v>
      </c>
    </row>
    <row r="9398">
      <c r="A9398" s="4">
        <v>45534.45284709491</v>
      </c>
      <c r="B9398" s="5" t="s">
        <v>34</v>
      </c>
      <c r="D9398" s="5" t="s">
        <v>4775</v>
      </c>
      <c r="E9398" s="5" t="s">
        <v>58267</v>
      </c>
      <c r="F9398" s="5" t="s">
        <v>212</v>
      </c>
      <c r="G9398" s="5" t="s">
        <v>58268</v>
      </c>
      <c r="H9398" s="6" t="s">
        <v>58269</v>
      </c>
      <c r="K9398" s="5" t="s">
        <v>58259</v>
      </c>
      <c r="M9398" s="5" t="s">
        <v>58270</v>
      </c>
      <c r="N9398" s="7" t="s">
        <v>58271</v>
      </c>
      <c r="O9398" s="8" t="str">
        <f>HYPERLINK("https://drive.google.com/file/d/1KB37CO8HBemjGZuwFkSVNC2LQXmC1_DE/view?usp=drivesdk","9397_SRIYANI _ SERTIFIKAT BerAKHLAK")</f>
        <v>9397_SRIYANI _ SERTIFIKAT BerAKHLAK</v>
      </c>
      <c r="P9398" s="5" t="s">
        <v>58272</v>
      </c>
    </row>
    <row r="9399">
      <c r="A9399" s="4">
        <v>45534.45287550926</v>
      </c>
      <c r="B9399" s="5" t="s">
        <v>34</v>
      </c>
      <c r="D9399" s="5" t="s">
        <v>1206</v>
      </c>
      <c r="E9399" s="5" t="s">
        <v>58273</v>
      </c>
      <c r="F9399" s="5" t="s">
        <v>37</v>
      </c>
      <c r="G9399" s="5" t="s">
        <v>58274</v>
      </c>
      <c r="H9399" s="6" t="s">
        <v>58275</v>
      </c>
      <c r="K9399" s="5" t="s">
        <v>58259</v>
      </c>
      <c r="M9399" s="5" t="s">
        <v>58276</v>
      </c>
      <c r="N9399" s="7" t="s">
        <v>58277</v>
      </c>
      <c r="O9399" s="8" t="str">
        <f>HYPERLINK("https://drive.google.com/file/d/15wPPFgGV3Qv2mO8_K_j9ZRYdwkH5Omll/view?usp=drivesdk","9398_Sandi Ika Fitrianto  _ SERTIFIKAT BerAKHLAK")</f>
        <v>9398_Sandi Ika Fitrianto  _ SERTIFIKAT BerAKHLAK</v>
      </c>
      <c r="P9399" s="5" t="s">
        <v>58278</v>
      </c>
    </row>
    <row r="9400" hidden="1">
      <c r="A9400" s="4">
        <v>45534.45290434027</v>
      </c>
      <c r="B9400" s="5" t="s">
        <v>19</v>
      </c>
      <c r="C9400" s="5" t="s">
        <v>38343</v>
      </c>
      <c r="E9400" s="5" t="s">
        <v>58279</v>
      </c>
      <c r="F9400" s="5" t="s">
        <v>72</v>
      </c>
      <c r="G9400" s="5" t="s">
        <v>58280</v>
      </c>
      <c r="H9400" s="6" t="s">
        <v>58281</v>
      </c>
      <c r="K9400" s="5" t="s">
        <v>58259</v>
      </c>
      <c r="M9400" s="5" t="s">
        <v>58282</v>
      </c>
      <c r="N9400" s="7" t="s">
        <v>58283</v>
      </c>
      <c r="O9400" s="8" t="str">
        <f>HYPERLINK("https://drive.google.com/file/d/1Dk-YpP4XS_GrwBgDEiBWV97WQqyt2wcP/view?usp=drivesdk","9399_ERVA YUNITA, S.H _ SERTIFIKAT BerAKHLAK")</f>
        <v>9399_ERVA YUNITA, S.H _ SERTIFIKAT BerAKHLAK</v>
      </c>
      <c r="P9400" s="5" t="s">
        <v>58284</v>
      </c>
    </row>
    <row r="9401">
      <c r="A9401" s="4">
        <v>45534.45295396991</v>
      </c>
      <c r="B9401" s="5" t="s">
        <v>34</v>
      </c>
      <c r="D9401" s="5" t="s">
        <v>580</v>
      </c>
      <c r="E9401" s="5" t="s">
        <v>58285</v>
      </c>
      <c r="F9401" s="5" t="s">
        <v>524</v>
      </c>
      <c r="G9401" s="5" t="s">
        <v>58286</v>
      </c>
      <c r="H9401" s="6" t="s">
        <v>58287</v>
      </c>
      <c r="K9401" s="5" t="s">
        <v>58259</v>
      </c>
      <c r="M9401" s="5" t="s">
        <v>58288</v>
      </c>
      <c r="N9401" s="7" t="s">
        <v>58289</v>
      </c>
      <c r="O9401" s="8" t="str">
        <f>HYPERLINK("https://drive.google.com/file/d/1G-4UoLinjB9X48_haBMVTsaaHhJV-14T/view?usp=drivesdk","9400_NI PUTU YUNI ASTUTI _ SERTIFIKAT BerAKHLAK")</f>
        <v>9400_NI PUTU YUNI ASTUTI _ SERTIFIKAT BerAKHLAK</v>
      </c>
      <c r="P9401" s="5" t="s">
        <v>58290</v>
      </c>
    </row>
    <row r="9402">
      <c r="A9402" s="4">
        <v>45534.4530591088</v>
      </c>
      <c r="B9402" s="5" t="s">
        <v>34</v>
      </c>
      <c r="D9402" s="5" t="s">
        <v>14313</v>
      </c>
      <c r="E9402" s="5" t="s">
        <v>58291</v>
      </c>
      <c r="F9402" s="5" t="s">
        <v>22</v>
      </c>
      <c r="G9402" s="5" t="s">
        <v>58292</v>
      </c>
      <c r="H9402" s="6" t="s">
        <v>58293</v>
      </c>
      <c r="K9402" s="5" t="s">
        <v>58259</v>
      </c>
      <c r="M9402" s="5" t="s">
        <v>58294</v>
      </c>
      <c r="N9402" s="7" t="s">
        <v>58295</v>
      </c>
      <c r="O9402" s="8" t="str">
        <f>HYPERLINK("https://drive.google.com/file/d/1_AbXPv3-CeCp_4Qd1WUWmAqz0kAx8IJ2/view?usp=drivesdk","9401_Asnaeni, S.Si. Apt. M. Adm. Kes _ SERTIFIKAT BerAKHLAK")</f>
        <v>9401_Asnaeni, S.Si. Apt. M. Adm. Kes _ SERTIFIKAT BerAKHLAK</v>
      </c>
      <c r="P9402" s="5" t="s">
        <v>58296</v>
      </c>
    </row>
    <row r="9403">
      <c r="A9403" s="4">
        <v>45534.45308767361</v>
      </c>
      <c r="B9403" s="5" t="s">
        <v>34</v>
      </c>
      <c r="D9403" s="5" t="s">
        <v>14313</v>
      </c>
      <c r="E9403" s="5" t="s">
        <v>58297</v>
      </c>
      <c r="F9403" s="5" t="s">
        <v>524</v>
      </c>
      <c r="G9403" s="5" t="s">
        <v>58298</v>
      </c>
      <c r="H9403" s="6" t="s">
        <v>58299</v>
      </c>
      <c r="K9403" s="5" t="s">
        <v>58259</v>
      </c>
      <c r="M9403" s="5" t="s">
        <v>58300</v>
      </c>
      <c r="N9403" s="7" t="s">
        <v>58301</v>
      </c>
      <c r="O9403" s="8" t="str">
        <f>HYPERLINK("https://drive.google.com/file/d/1ZAoTEyqapyU-lLEwRbWLCWS4M1H6wvhA/view?usp=drivesdk","9402_CHRISTINA SUARNINGSIH, S. Kep, Ns _ SERTIFIKAT BerAKHLAK")</f>
        <v>9402_CHRISTINA SUARNINGSIH, S. Kep, Ns _ SERTIFIKAT BerAKHLAK</v>
      </c>
      <c r="P9403" s="5" t="s">
        <v>58302</v>
      </c>
    </row>
    <row r="9404">
      <c r="A9404" s="4">
        <v>45534.45318894676</v>
      </c>
      <c r="B9404" s="5" t="s">
        <v>34</v>
      </c>
      <c r="D9404" s="5" t="s">
        <v>12978</v>
      </c>
      <c r="E9404" s="5" t="s">
        <v>58303</v>
      </c>
      <c r="F9404" s="5" t="s">
        <v>212</v>
      </c>
      <c r="G9404" s="5" t="s">
        <v>58304</v>
      </c>
      <c r="H9404" s="6" t="s">
        <v>58305</v>
      </c>
      <c r="K9404" s="5" t="s">
        <v>58259</v>
      </c>
      <c r="M9404" s="5" t="s">
        <v>58306</v>
      </c>
      <c r="N9404" s="7" t="s">
        <v>58307</v>
      </c>
      <c r="O9404" s="8" t="str">
        <f>HYPERLINK("https://drive.google.com/file/d/1lksuISqqyKzGO6I1xyaUgB_r6_gnEmek/view?usp=drivesdk","9403_YULIANI _ SERTIFIKAT BerAKHLAK")</f>
        <v>9403_YULIANI _ SERTIFIKAT BerAKHLAK</v>
      </c>
      <c r="P9404" s="5" t="s">
        <v>58308</v>
      </c>
    </row>
    <row r="9405">
      <c r="A9405" s="4">
        <v>45534.453214837966</v>
      </c>
      <c r="B9405" s="5" t="s">
        <v>34</v>
      </c>
      <c r="D9405" s="5" t="s">
        <v>6232</v>
      </c>
      <c r="E9405" s="5" t="s">
        <v>58309</v>
      </c>
      <c r="F9405" s="5" t="s">
        <v>72</v>
      </c>
      <c r="G9405" s="5" t="s">
        <v>58310</v>
      </c>
      <c r="H9405" s="6" t="s">
        <v>58311</v>
      </c>
      <c r="K9405" s="5" t="s">
        <v>58259</v>
      </c>
      <c r="M9405" s="5" t="s">
        <v>58312</v>
      </c>
      <c r="N9405" s="7" t="s">
        <v>58313</v>
      </c>
      <c r="O9405" s="8" t="str">
        <f>HYPERLINK("https://drive.google.com/file/d/1nCn7sJoowjHUSisY7x0-ZvqXBWgmZc1m/view?usp=drivesdk","9404_HENDRIWATI _ SERTIFIKAT BerAKHLAK")</f>
        <v>9404_HENDRIWATI _ SERTIFIKAT BerAKHLAK</v>
      </c>
      <c r="P9405" s="5" t="s">
        <v>58314</v>
      </c>
    </row>
    <row r="9406">
      <c r="A9406" s="4">
        <v>45534.453365532405</v>
      </c>
      <c r="B9406" s="5" t="s">
        <v>34</v>
      </c>
      <c r="D9406" s="5" t="s">
        <v>14313</v>
      </c>
      <c r="E9406" s="5" t="s">
        <v>58315</v>
      </c>
      <c r="F9406" s="5" t="s">
        <v>212</v>
      </c>
      <c r="G9406" s="5" t="s">
        <v>58316</v>
      </c>
      <c r="H9406" s="6" t="s">
        <v>58317</v>
      </c>
      <c r="K9406" s="5" t="s">
        <v>58318</v>
      </c>
      <c r="M9406" s="5" t="s">
        <v>58319</v>
      </c>
      <c r="N9406" s="7" t="s">
        <v>58320</v>
      </c>
      <c r="O9406" s="8" t="str">
        <f>HYPERLINK("https://drive.google.com/file/d/1aXV4a8-w4vdgGT5BEQ-pKMlpbU43oqD4/view?usp=drivesdk","9405_NUR RAHMA HASAN _ SERTIFIKAT BerAKHLAK")</f>
        <v>9405_NUR RAHMA HASAN _ SERTIFIKAT BerAKHLAK</v>
      </c>
      <c r="P9406" s="5" t="s">
        <v>58321</v>
      </c>
    </row>
    <row r="9407">
      <c r="A9407" s="4">
        <v>45534.45362509259</v>
      </c>
      <c r="B9407" s="5" t="s">
        <v>34</v>
      </c>
      <c r="D9407" s="5" t="s">
        <v>604</v>
      </c>
      <c r="E9407" s="5" t="s">
        <v>58322</v>
      </c>
      <c r="F9407" s="5" t="s">
        <v>212</v>
      </c>
      <c r="G9407" s="5" t="s">
        <v>58323</v>
      </c>
      <c r="H9407" s="6" t="s">
        <v>58324</v>
      </c>
      <c r="K9407" s="5" t="s">
        <v>58325</v>
      </c>
      <c r="M9407" s="5" t="s">
        <v>58326</v>
      </c>
      <c r="N9407" s="7" t="s">
        <v>58327</v>
      </c>
      <c r="O9407" s="8" t="str">
        <f>HYPERLINK("https://drive.google.com/file/d/15Apf8FM_QFrkYLA9hkv4UvneISsje4Lf/view?usp=drivesdk","9406_NUR KHAMZIH ACHMAD _ SERTIFIKAT BerAKHLAK")</f>
        <v>9406_NUR KHAMZIH ACHMAD _ SERTIFIKAT BerAKHLAK</v>
      </c>
      <c r="P9407" s="5" t="s">
        <v>58328</v>
      </c>
    </row>
    <row r="9408">
      <c r="A9408" s="4">
        <v>45534.453726458334</v>
      </c>
      <c r="B9408" s="5" t="s">
        <v>34</v>
      </c>
      <c r="D9408" s="5" t="s">
        <v>4775</v>
      </c>
      <c r="E9408" s="5" t="s">
        <v>58329</v>
      </c>
      <c r="F9408" s="5" t="s">
        <v>37</v>
      </c>
      <c r="G9408" s="5" t="s">
        <v>58330</v>
      </c>
      <c r="H9408" s="6" t="s">
        <v>58331</v>
      </c>
      <c r="K9408" s="5" t="s">
        <v>58332</v>
      </c>
      <c r="M9408" s="5" t="s">
        <v>58333</v>
      </c>
      <c r="N9408" s="7" t="s">
        <v>58334</v>
      </c>
      <c r="O9408" s="8" t="str">
        <f>HYPERLINK("https://drive.google.com/file/d/1PiKCLCBc83iRUYfBUB9MqrumNBll7ijV/view?usp=drivesdk","9407_MEILAN SARI  _ SERTIFIKAT BerAKHLAK")</f>
        <v>9407_MEILAN SARI  _ SERTIFIKAT BerAKHLAK</v>
      </c>
      <c r="P9408" s="5" t="s">
        <v>58335</v>
      </c>
    </row>
    <row r="9409">
      <c r="A9409" s="4">
        <v>45534.453813368054</v>
      </c>
      <c r="B9409" s="5" t="s">
        <v>34</v>
      </c>
      <c r="D9409" s="5" t="s">
        <v>4775</v>
      </c>
      <c r="E9409" s="5" t="s">
        <v>58336</v>
      </c>
      <c r="F9409" s="5" t="s">
        <v>72</v>
      </c>
      <c r="G9409" s="5" t="s">
        <v>58337</v>
      </c>
      <c r="H9409" s="6" t="s">
        <v>58338</v>
      </c>
      <c r="K9409" s="5" t="s">
        <v>58339</v>
      </c>
      <c r="M9409" s="5" t="s">
        <v>58340</v>
      </c>
      <c r="N9409" s="7" t="s">
        <v>58341</v>
      </c>
      <c r="O9409" s="8" t="str">
        <f>HYPERLINK("https://drive.google.com/file/d/1V7i7C2ltuZEpYAKzeFn17Rg79JZ7Z4oB/view?usp=drivesdk","9408_NUR EKOWATI _ SERTIFIKAT BerAKHLAK")</f>
        <v>9408_NUR EKOWATI _ SERTIFIKAT BerAKHLAK</v>
      </c>
      <c r="P9409" s="5" t="s">
        <v>58342</v>
      </c>
    </row>
    <row r="9410" hidden="1">
      <c r="A9410" s="4">
        <v>45534.453876875</v>
      </c>
      <c r="B9410" s="5" t="s">
        <v>19</v>
      </c>
      <c r="C9410" s="5" t="s">
        <v>466</v>
      </c>
      <c r="E9410" s="5" t="s">
        <v>33887</v>
      </c>
      <c r="F9410" s="5" t="s">
        <v>199</v>
      </c>
      <c r="G9410" s="5" t="s">
        <v>58343</v>
      </c>
      <c r="H9410" s="6" t="s">
        <v>58344</v>
      </c>
      <c r="K9410" s="5" t="s">
        <v>58345</v>
      </c>
      <c r="M9410" s="5" t="s">
        <v>58346</v>
      </c>
      <c r="N9410" s="7" t="s">
        <v>58347</v>
      </c>
      <c r="O9410" s="8" t="str">
        <f>HYPERLINK("https://drive.google.com/file/d/17PXUGHcTZpvNrPXBsA5YEmDediTk_VxA/view?usp=drivesdk","9409_SURYANA _ SERTIFIKAT BerAKHLAK")</f>
        <v>9409_SURYANA _ SERTIFIKAT BerAKHLAK</v>
      </c>
      <c r="P9410" s="5" t="s">
        <v>58348</v>
      </c>
    </row>
    <row r="9411">
      <c r="A9411" s="4">
        <v>45534.45412520833</v>
      </c>
      <c r="B9411" s="5" t="s">
        <v>34</v>
      </c>
      <c r="D9411" s="5" t="s">
        <v>4775</v>
      </c>
      <c r="E9411" s="5" t="s">
        <v>32053</v>
      </c>
      <c r="F9411" s="5" t="s">
        <v>37</v>
      </c>
      <c r="G9411" s="5" t="s">
        <v>58349</v>
      </c>
      <c r="H9411" s="6" t="s">
        <v>58350</v>
      </c>
      <c r="K9411" s="5" t="s">
        <v>58351</v>
      </c>
      <c r="M9411" s="5" t="s">
        <v>58352</v>
      </c>
      <c r="N9411" s="7" t="s">
        <v>58353</v>
      </c>
      <c r="O9411" s="8" t="str">
        <f>HYPERLINK("https://drive.google.com/file/d/1VtL8U5EYfX9xEkafm1Tz-_Ofi2ECKsuN/view?usp=drivesdk","9410_DANNANG SAPUTRO  _ SERTIFIKAT BerAKHLAK")</f>
        <v>9410_DANNANG SAPUTRO  _ SERTIFIKAT BerAKHLAK</v>
      </c>
      <c r="P9411" s="5" t="s">
        <v>58354</v>
      </c>
    </row>
    <row r="9412">
      <c r="A9412" s="4">
        <v>45534.45417696759</v>
      </c>
      <c r="B9412" s="5" t="s">
        <v>34</v>
      </c>
      <c r="D9412" s="5" t="s">
        <v>1692</v>
      </c>
      <c r="E9412" s="5" t="s">
        <v>58355</v>
      </c>
      <c r="F9412" s="5" t="s">
        <v>375</v>
      </c>
      <c r="G9412" s="5" t="s">
        <v>58356</v>
      </c>
      <c r="H9412" s="6" t="s">
        <v>58357</v>
      </c>
      <c r="K9412" s="5" t="s">
        <v>58358</v>
      </c>
      <c r="M9412" s="5" t="s">
        <v>58359</v>
      </c>
      <c r="N9412" s="7" t="s">
        <v>58360</v>
      </c>
      <c r="O9412" s="8" t="str">
        <f>HYPERLINK("https://drive.google.com/file/d/1sk6EYJaxi6wCs2bEjYUHuLeC82Tknwc-/view?usp=drivesdk","9411_SUHARNO, S.E. _ SERTIFIKAT BerAKHLAK")</f>
        <v>9411_SUHARNO, S.E. _ SERTIFIKAT BerAKHLAK</v>
      </c>
      <c r="P9412" s="5" t="s">
        <v>58361</v>
      </c>
    </row>
    <row r="9413">
      <c r="A9413" s="4">
        <v>45534.45430091435</v>
      </c>
      <c r="B9413" s="5" t="s">
        <v>34</v>
      </c>
      <c r="D9413" s="5" t="s">
        <v>35</v>
      </c>
      <c r="E9413" s="5" t="s">
        <v>58362</v>
      </c>
      <c r="F9413" s="5" t="s">
        <v>37</v>
      </c>
      <c r="G9413" s="5" t="s">
        <v>58363</v>
      </c>
      <c r="H9413" s="6" t="s">
        <v>58364</v>
      </c>
      <c r="K9413" s="5" t="s">
        <v>58365</v>
      </c>
      <c r="M9413" s="5" t="s">
        <v>58366</v>
      </c>
      <c r="N9413" s="7" t="s">
        <v>58367</v>
      </c>
      <c r="O9413" s="8" t="str">
        <f>HYPERLINK("https://drive.google.com/file/d/1YEpoKJuAfovkmwZHlWqwT4-iw9GDa_rj/view?usp=drivesdk","9412_DEVI MARLIANA S.M _ SERTIFIKAT BerAKHLAK")</f>
        <v>9412_DEVI MARLIANA S.M _ SERTIFIKAT BerAKHLAK</v>
      </c>
      <c r="P9413" s="5" t="s">
        <v>58368</v>
      </c>
    </row>
    <row r="9414">
      <c r="A9414" s="4">
        <v>45534.45435021991</v>
      </c>
      <c r="B9414" s="5" t="s">
        <v>34</v>
      </c>
      <c r="D9414" s="5" t="s">
        <v>2903</v>
      </c>
      <c r="E9414" s="5" t="s">
        <v>58369</v>
      </c>
      <c r="F9414" s="5" t="s">
        <v>108</v>
      </c>
      <c r="G9414" s="5" t="s">
        <v>58370</v>
      </c>
      <c r="H9414" s="6" t="s">
        <v>58371</v>
      </c>
      <c r="K9414" s="5" t="s">
        <v>58365</v>
      </c>
      <c r="M9414" s="5" t="s">
        <v>58372</v>
      </c>
      <c r="N9414" s="7" t="s">
        <v>58373</v>
      </c>
      <c r="O9414" s="8" t="str">
        <f>HYPERLINK("https://drive.google.com/file/d/1SDYYGSVquasRIb65Pw01XJQoIDQUBYcZ/view?usp=drivesdk","9413_DEWI MEMMY HALOHO, A.Md _ SERTIFIKAT BerAKHLAK")</f>
        <v>9413_DEWI MEMMY HALOHO, A.Md _ SERTIFIKAT BerAKHLAK</v>
      </c>
      <c r="P9414" s="5" t="s">
        <v>58374</v>
      </c>
    </row>
    <row r="9415">
      <c r="A9415" s="4">
        <v>45534.45438216435</v>
      </c>
      <c r="B9415" s="5" t="s">
        <v>34</v>
      </c>
      <c r="D9415" s="5" t="s">
        <v>9020</v>
      </c>
      <c r="E9415" s="5" t="s">
        <v>58375</v>
      </c>
      <c r="F9415" s="5" t="s">
        <v>72</v>
      </c>
      <c r="G9415" s="5" t="s">
        <v>58376</v>
      </c>
      <c r="H9415" s="6" t="s">
        <v>58377</v>
      </c>
      <c r="K9415" s="5" t="s">
        <v>58365</v>
      </c>
      <c r="M9415" s="5" t="s">
        <v>58378</v>
      </c>
      <c r="N9415" s="7" t="s">
        <v>58379</v>
      </c>
      <c r="O9415" s="8" t="str">
        <f>HYPERLINK("https://drive.google.com/file/d/1eZCIPY7m3MxJdrMexR1GYbXNYGr6fbPd/view?usp=drivesdk","9414_ELMI YUMNAH, S.K.M _ SERTIFIKAT BerAKHLAK")</f>
        <v>9414_ELMI YUMNAH, S.K.M _ SERTIFIKAT BerAKHLAK</v>
      </c>
      <c r="P9415" s="5" t="s">
        <v>58380</v>
      </c>
    </row>
    <row r="9416" hidden="1">
      <c r="A9416" s="4">
        <v>45534.45457599537</v>
      </c>
      <c r="B9416" s="5" t="s">
        <v>19</v>
      </c>
      <c r="C9416" s="5" t="s">
        <v>20</v>
      </c>
      <c r="E9416" s="5" t="s">
        <v>58381</v>
      </c>
      <c r="F9416" s="5" t="s">
        <v>375</v>
      </c>
      <c r="G9416" s="5" t="s">
        <v>58382</v>
      </c>
      <c r="H9416" s="6" t="s">
        <v>58383</v>
      </c>
      <c r="K9416" s="5" t="s">
        <v>58365</v>
      </c>
      <c r="M9416" s="5" t="s">
        <v>58384</v>
      </c>
      <c r="N9416" s="7" t="s">
        <v>58385</v>
      </c>
      <c r="O9416" s="8" t="str">
        <f>HYPERLINK("https://drive.google.com/file/d/1A_odFt5jrJAkFOAcm90d2efOD4DPdly2/view?usp=drivesdk","9415_NUR ISTIQOMARIYAH _ SERTIFIKAT BerAKHLAK")</f>
        <v>9415_NUR ISTIQOMARIYAH _ SERTIFIKAT BerAKHLAK</v>
      </c>
      <c r="P9416" s="5" t="s">
        <v>58386</v>
      </c>
    </row>
    <row r="9417">
      <c r="A9417" s="4">
        <v>45534.45511121528</v>
      </c>
      <c r="B9417" s="5" t="s">
        <v>34</v>
      </c>
      <c r="D9417" s="5" t="s">
        <v>14313</v>
      </c>
      <c r="E9417" s="5" t="s">
        <v>58387</v>
      </c>
      <c r="F9417" s="5" t="s">
        <v>37</v>
      </c>
      <c r="G9417" s="5" t="s">
        <v>58388</v>
      </c>
      <c r="H9417" s="6" t="s">
        <v>58389</v>
      </c>
      <c r="K9417" s="5" t="s">
        <v>58365</v>
      </c>
      <c r="M9417" s="5" t="s">
        <v>58390</v>
      </c>
      <c r="N9417" s="7" t="s">
        <v>58391</v>
      </c>
      <c r="O9417" s="8" t="str">
        <f>HYPERLINK("https://drive.google.com/file/d/1a8bq53rG3C-gUexka4j13FP7aS2ASVSd/view?usp=drivesdk","9416_IQBAL TEGUH _ SERTIFIKAT BerAKHLAK")</f>
        <v>9416_IQBAL TEGUH _ SERTIFIKAT BerAKHLAK</v>
      </c>
      <c r="P9417" s="5" t="s">
        <v>58392</v>
      </c>
    </row>
    <row r="9418" hidden="1">
      <c r="A9418" s="4">
        <v>45534.45512201389</v>
      </c>
      <c r="B9418" s="5" t="s">
        <v>19</v>
      </c>
      <c r="C9418" s="5" t="s">
        <v>292</v>
      </c>
      <c r="E9418" s="5" t="s">
        <v>58393</v>
      </c>
      <c r="F9418" s="5" t="s">
        <v>37</v>
      </c>
      <c r="G9418" s="5" t="s">
        <v>58394</v>
      </c>
      <c r="H9418" s="6" t="s">
        <v>58395</v>
      </c>
      <c r="K9418" s="5" t="s">
        <v>58365</v>
      </c>
      <c r="M9418" s="5" t="s">
        <v>58396</v>
      </c>
      <c r="N9418" s="7" t="s">
        <v>58397</v>
      </c>
      <c r="O9418" s="8" t="str">
        <f>HYPERLINK("https://drive.google.com/file/d/15pPK0mToGTmjj-Ei8gpsffELZOODITMU/view?usp=drivesdk","9417_Oktaviana Risma Putri _ SERTIFIKAT BerAKHLAK")</f>
        <v>9417_Oktaviana Risma Putri _ SERTIFIKAT BerAKHLAK</v>
      </c>
      <c r="P9418" s="5" t="s">
        <v>58398</v>
      </c>
    </row>
    <row r="9419" hidden="1">
      <c r="A9419" s="4">
        <v>45534.45514496528</v>
      </c>
      <c r="B9419" s="5" t="s">
        <v>19</v>
      </c>
      <c r="C9419" s="5" t="s">
        <v>292</v>
      </c>
      <c r="E9419" s="5" t="s">
        <v>58399</v>
      </c>
      <c r="F9419" s="5" t="s">
        <v>37</v>
      </c>
      <c r="G9419" s="5" t="s">
        <v>58400</v>
      </c>
      <c r="H9419" s="6" t="s">
        <v>58401</v>
      </c>
      <c r="K9419" s="5" t="s">
        <v>58365</v>
      </c>
      <c r="M9419" s="5" t="s">
        <v>58402</v>
      </c>
      <c r="N9419" s="7" t="s">
        <v>58403</v>
      </c>
      <c r="O9419" s="8" t="str">
        <f>HYPERLINK("https://drive.google.com/file/d/1rH4ZI6Nv9Ups9uQh42PPyJKqd8ooczkP/view?usp=drivesdk","9418_PUTRI ADITA WAHONO A.Md.Kep. _ SERTIFIKAT BerAKHLAK")</f>
        <v>9418_PUTRI ADITA WAHONO A.Md.Kep. _ SERTIFIKAT BerAKHLAK</v>
      </c>
      <c r="P9419" s="5" t="s">
        <v>58404</v>
      </c>
    </row>
    <row r="9420">
      <c r="A9420" s="4">
        <v>45534.45519114583</v>
      </c>
      <c r="B9420" s="5" t="s">
        <v>34</v>
      </c>
      <c r="D9420" s="5" t="s">
        <v>280</v>
      </c>
      <c r="E9420" s="5" t="s">
        <v>16105</v>
      </c>
      <c r="F9420" s="5" t="s">
        <v>375</v>
      </c>
      <c r="G9420" s="5" t="s">
        <v>16106</v>
      </c>
      <c r="H9420" s="6" t="s">
        <v>58405</v>
      </c>
      <c r="K9420" s="5" t="s">
        <v>58365</v>
      </c>
      <c r="M9420" s="5" t="s">
        <v>58406</v>
      </c>
      <c r="N9420" s="7" t="s">
        <v>58407</v>
      </c>
      <c r="O9420" s="8" t="str">
        <f>HYPERLINK("https://drive.google.com/file/d/1ucRHAbDlcNkI5cgzbv5ViXHQnyG22-jN/view?usp=drivesdk","9419_MELLY RUSWIDA _ SERTIFIKAT BerAKHLAK")</f>
        <v>9419_MELLY RUSWIDA _ SERTIFIKAT BerAKHLAK</v>
      </c>
      <c r="P9420" s="5" t="s">
        <v>58408</v>
      </c>
    </row>
    <row r="9421">
      <c r="A9421" s="4">
        <v>45534.45523466435</v>
      </c>
      <c r="B9421" s="5" t="s">
        <v>34</v>
      </c>
      <c r="D9421" s="5" t="s">
        <v>9020</v>
      </c>
      <c r="E9421" s="5" t="s">
        <v>58409</v>
      </c>
      <c r="F9421" s="5" t="s">
        <v>524</v>
      </c>
      <c r="G9421" s="5" t="s">
        <v>58410</v>
      </c>
      <c r="H9421" s="6" t="s">
        <v>58411</v>
      </c>
      <c r="K9421" s="5" t="s">
        <v>58365</v>
      </c>
      <c r="M9421" s="5" t="s">
        <v>58412</v>
      </c>
      <c r="N9421" s="7" t="s">
        <v>58413</v>
      </c>
      <c r="O9421" s="8" t="str">
        <f>HYPERLINK("https://drive.google.com/file/d/10SYWKqwsBQlGAO9IW0WKqtzXjn2Xn36d/view?usp=drivesdk","9420_NURMALA SARI _ SERTIFIKAT BerAKHLAK")</f>
        <v>9420_NURMALA SARI _ SERTIFIKAT BerAKHLAK</v>
      </c>
      <c r="P9421" s="5" t="s">
        <v>58414</v>
      </c>
    </row>
    <row r="9422">
      <c r="A9422" s="4">
        <v>45534.455237118054</v>
      </c>
      <c r="B9422" s="5" t="s">
        <v>34</v>
      </c>
      <c r="D9422" s="5" t="s">
        <v>14313</v>
      </c>
      <c r="E9422" s="5" t="s">
        <v>58415</v>
      </c>
      <c r="F9422" s="5" t="s">
        <v>715</v>
      </c>
      <c r="G9422" s="5" t="s">
        <v>58416</v>
      </c>
      <c r="H9422" s="6" t="s">
        <v>58417</v>
      </c>
      <c r="K9422" s="5" t="s">
        <v>58365</v>
      </c>
      <c r="M9422" s="5" t="s">
        <v>58418</v>
      </c>
      <c r="N9422" s="7" t="s">
        <v>58419</v>
      </c>
      <c r="O9422" s="8" t="str">
        <f>HYPERLINK("https://drive.google.com/file/d/1dDcrRb341HvjB_vdzIcOz7EwbQ_NeY52/view?usp=drivesdk","9421_ALMANAR. SE _ SERTIFIKAT BerAKHLAK")</f>
        <v>9421_ALMANAR. SE _ SERTIFIKAT BerAKHLAK</v>
      </c>
      <c r="P9422" s="5" t="s">
        <v>58420</v>
      </c>
    </row>
    <row r="9423">
      <c r="A9423" s="4">
        <v>45534.45531754629</v>
      </c>
      <c r="B9423" s="5" t="s">
        <v>34</v>
      </c>
      <c r="D9423" s="5" t="s">
        <v>1206</v>
      </c>
      <c r="E9423" s="5" t="s">
        <v>58421</v>
      </c>
      <c r="F9423" s="5" t="s">
        <v>199</v>
      </c>
      <c r="G9423" s="5" t="s">
        <v>58422</v>
      </c>
      <c r="H9423" s="6" t="s">
        <v>58423</v>
      </c>
      <c r="K9423" s="5" t="s">
        <v>58365</v>
      </c>
      <c r="M9423" s="5" t="s">
        <v>58424</v>
      </c>
      <c r="N9423" s="7" t="s">
        <v>58425</v>
      </c>
      <c r="O9423" s="8" t="str">
        <f>HYPERLINK("https://drive.google.com/file/d/1-YBU97XEM4ykDwYQc6EiZZJh7oT02AqG/view?usp=drivesdk","9422_AAN SULISTIYORINI _ SERTIFIKAT BerAKHLAK")</f>
        <v>9422_AAN SULISTIYORINI _ SERTIFIKAT BerAKHLAK</v>
      </c>
      <c r="P9423" s="5" t="s">
        <v>58426</v>
      </c>
    </row>
    <row r="9424" hidden="1">
      <c r="A9424" s="4">
        <v>45534.45533445602</v>
      </c>
      <c r="B9424" s="5" t="s">
        <v>19</v>
      </c>
      <c r="C9424" s="5" t="s">
        <v>292</v>
      </c>
      <c r="E9424" s="5" t="s">
        <v>58427</v>
      </c>
      <c r="F9424" s="5" t="s">
        <v>37</v>
      </c>
      <c r="G9424" s="5" t="s">
        <v>58428</v>
      </c>
      <c r="H9424" s="6" t="s">
        <v>58429</v>
      </c>
      <c r="K9424" s="5" t="s">
        <v>58365</v>
      </c>
      <c r="M9424" s="5" t="s">
        <v>58430</v>
      </c>
      <c r="N9424" s="7" t="s">
        <v>58431</v>
      </c>
      <c r="O9424" s="8" t="str">
        <f>HYPERLINK("https://drive.google.com/file/d/1Ll0sTMRaN4c9MogWrWYnMzgcbv0JOUCJ/view?usp=drivesdk","9423_NUR FILDZAH HIDAYATI, A.Md KES _ SERTIFIKAT BerAKHLAK")</f>
        <v>9423_NUR FILDZAH HIDAYATI, A.Md KES _ SERTIFIKAT BerAKHLAK</v>
      </c>
      <c r="P9424" s="5" t="s">
        <v>58432</v>
      </c>
    </row>
    <row r="9425">
      <c r="A9425" s="4">
        <v>45534.45539152778</v>
      </c>
      <c r="B9425" s="5" t="s">
        <v>34</v>
      </c>
      <c r="D9425" s="5" t="s">
        <v>580</v>
      </c>
      <c r="E9425" s="5" t="s">
        <v>58433</v>
      </c>
      <c r="F9425" s="5" t="s">
        <v>212</v>
      </c>
      <c r="G9425" s="5" t="s">
        <v>58434</v>
      </c>
      <c r="H9425" s="6" t="s">
        <v>58435</v>
      </c>
      <c r="K9425" s="5" t="s">
        <v>58365</v>
      </c>
      <c r="M9425" s="5" t="s">
        <v>58436</v>
      </c>
      <c r="N9425" s="7" t="s">
        <v>58437</v>
      </c>
      <c r="O9425" s="8" t="str">
        <f>HYPERLINK("https://drive.google.com/file/d/1qHpfcvI4pzrzTBDYCu7awRUmNjtNcdJP/view?usp=drivesdk","9424_Anak Agung Sri Agung Eka Ratna Dewi _ SERTIFIKAT BerAKHLAK")</f>
        <v>9424_Anak Agung Sri Agung Eka Ratna Dewi _ SERTIFIKAT BerAKHLAK</v>
      </c>
      <c r="P9425" s="5" t="s">
        <v>58438</v>
      </c>
    </row>
    <row r="9426" hidden="1">
      <c r="A9426" s="4">
        <v>45534.45539965278</v>
      </c>
      <c r="B9426" s="5" t="s">
        <v>19</v>
      </c>
      <c r="C9426" s="5" t="s">
        <v>292</v>
      </c>
      <c r="E9426" s="5" t="s">
        <v>58439</v>
      </c>
      <c r="F9426" s="5" t="s">
        <v>37</v>
      </c>
      <c r="G9426" s="5" t="s">
        <v>58440</v>
      </c>
      <c r="H9426" s="6" t="s">
        <v>58441</v>
      </c>
      <c r="K9426" s="5" t="s">
        <v>58365</v>
      </c>
      <c r="M9426" s="5" t="s">
        <v>58442</v>
      </c>
      <c r="N9426" s="7" t="s">
        <v>58443</v>
      </c>
      <c r="O9426" s="8" t="str">
        <f>HYPERLINK("https://drive.google.com/file/d/1D2FviEnS15fEBLS-tuXeJLZcYx2wtHZl/view?usp=drivesdk","9425_Wuln Anggarini Wahyu Safitri _ SERTIFIKAT BerAKHLAK")</f>
        <v>9425_Wuln Anggarini Wahyu Safitri _ SERTIFIKAT BerAKHLAK</v>
      </c>
      <c r="P9426" s="5" t="s">
        <v>58444</v>
      </c>
    </row>
    <row r="9427">
      <c r="A9427" s="4">
        <v>45534.45542670139</v>
      </c>
      <c r="B9427" s="5" t="s">
        <v>34</v>
      </c>
      <c r="D9427" s="5" t="s">
        <v>14313</v>
      </c>
      <c r="E9427" s="5" t="s">
        <v>58445</v>
      </c>
      <c r="F9427" s="5" t="s">
        <v>108</v>
      </c>
      <c r="G9427" s="5" t="s">
        <v>58446</v>
      </c>
      <c r="H9427" s="6" t="s">
        <v>58447</v>
      </c>
      <c r="K9427" s="5" t="s">
        <v>58365</v>
      </c>
      <c r="M9427" s="5" t="s">
        <v>58448</v>
      </c>
      <c r="N9427" s="7" t="s">
        <v>58449</v>
      </c>
      <c r="O9427" s="8" t="str">
        <f>HYPERLINK("https://drive.google.com/file/d/1XEkj9N6yR8LrkAsfzF68j4tdzRTAQ4K5/view?usp=drivesdk","9426_ANDI ATIKA _ SERTIFIKAT BerAKHLAK")</f>
        <v>9426_ANDI ATIKA _ SERTIFIKAT BerAKHLAK</v>
      </c>
      <c r="P9427" s="5" t="s">
        <v>58450</v>
      </c>
    </row>
    <row r="9428">
      <c r="A9428" s="4">
        <v>45534.45554820602</v>
      </c>
      <c r="B9428" s="5" t="s">
        <v>34</v>
      </c>
      <c r="D9428" s="5" t="s">
        <v>9020</v>
      </c>
      <c r="E9428" s="5" t="s">
        <v>58451</v>
      </c>
      <c r="F9428" s="5" t="s">
        <v>72</v>
      </c>
      <c r="G9428" s="5" t="s">
        <v>58452</v>
      </c>
      <c r="H9428" s="6" t="s">
        <v>58453</v>
      </c>
      <c r="K9428" s="5" t="s">
        <v>58365</v>
      </c>
      <c r="M9428" s="5" t="s">
        <v>58454</v>
      </c>
      <c r="N9428" s="7" t="s">
        <v>58455</v>
      </c>
      <c r="O9428" s="8" t="str">
        <f>HYPERLINK("https://drive.google.com/file/d/1zVYfuXg_nE-GIC606vgDQsV7cscO2f0E/view?usp=drivesdk","9427_ATILISA GEA _ SERTIFIKAT BerAKHLAK")</f>
        <v>9427_ATILISA GEA _ SERTIFIKAT BerAKHLAK</v>
      </c>
      <c r="P9428" s="5" t="s">
        <v>58456</v>
      </c>
    </row>
    <row r="9429" hidden="1">
      <c r="A9429" s="4">
        <v>45534.45559873842</v>
      </c>
      <c r="B9429" s="5" t="s">
        <v>19</v>
      </c>
      <c r="C9429" s="5" t="s">
        <v>292</v>
      </c>
      <c r="E9429" s="5" t="s">
        <v>58457</v>
      </c>
      <c r="F9429" s="5" t="s">
        <v>37</v>
      </c>
      <c r="G9429" s="5" t="s">
        <v>58458</v>
      </c>
      <c r="H9429" s="6" t="s">
        <v>58459</v>
      </c>
      <c r="K9429" s="5" t="s">
        <v>58460</v>
      </c>
      <c r="M9429" s="5" t="s">
        <v>58461</v>
      </c>
      <c r="N9429" s="7" t="s">
        <v>58462</v>
      </c>
      <c r="O9429" s="8" t="str">
        <f>HYPERLINK("https://drive.google.com/file/d/1IQJ4GN5S8YbL4vR_F7lLLwuvFcm7INFe/view?usp=drivesdk","9428_MUHAMMAD ILMI HIDAYATULLAH A.Md.Kep. _ SERTIFIKAT BerAKHLAK")</f>
        <v>9428_MUHAMMAD ILMI HIDAYATULLAH A.Md.Kep. _ SERTIFIKAT BerAKHLAK</v>
      </c>
      <c r="P9429" s="5" t="s">
        <v>58463</v>
      </c>
    </row>
    <row r="9430">
      <c r="A9430" s="4">
        <v>45534.455653125</v>
      </c>
      <c r="B9430" s="5" t="s">
        <v>34</v>
      </c>
      <c r="D9430" s="5" t="s">
        <v>9020</v>
      </c>
      <c r="E9430" s="5" t="s">
        <v>58464</v>
      </c>
      <c r="F9430" s="5" t="s">
        <v>37</v>
      </c>
      <c r="G9430" s="5" t="s">
        <v>58465</v>
      </c>
      <c r="H9430" s="6" t="s">
        <v>58466</v>
      </c>
      <c r="K9430" s="5" t="s">
        <v>58460</v>
      </c>
      <c r="M9430" s="5" t="s">
        <v>58467</v>
      </c>
      <c r="N9430" s="7" t="s">
        <v>58468</v>
      </c>
      <c r="O9430" s="8" t="str">
        <f>HYPERLINK("https://drive.google.com/file/d/1SSgaJNuw_svGOdbKIp3gBt7aSIWBsPyB/view?usp=drivesdk","9429_ELISABETH HERAWATI SIAHAAN _ SERTIFIKAT BerAKHLAK")</f>
        <v>9429_ELISABETH HERAWATI SIAHAAN _ SERTIFIKAT BerAKHLAK</v>
      </c>
      <c r="P9430" s="5" t="s">
        <v>58469</v>
      </c>
    </row>
    <row r="9431" hidden="1">
      <c r="A9431" s="4">
        <v>45534.45570846065</v>
      </c>
      <c r="B9431" s="5" t="s">
        <v>19</v>
      </c>
      <c r="C9431" s="5" t="s">
        <v>292</v>
      </c>
      <c r="E9431" s="5" t="s">
        <v>58470</v>
      </c>
      <c r="F9431" s="5" t="s">
        <v>37</v>
      </c>
      <c r="G9431" s="5" t="s">
        <v>58471</v>
      </c>
      <c r="H9431" s="6" t="s">
        <v>58472</v>
      </c>
      <c r="K9431" s="5" t="s">
        <v>58460</v>
      </c>
      <c r="M9431" s="5" t="s">
        <v>58473</v>
      </c>
      <c r="N9431" s="7" t="s">
        <v>58474</v>
      </c>
      <c r="O9431" s="8" t="str">
        <f>HYPERLINK("https://drive.google.com/file/d/1TPh-PNF88JR0iGIAj56_EpnznImujnJ1/view?usp=drivesdk","9430_TRI AINUN UMAIYAH, A.Md.Kep. _ SERTIFIKAT BerAKHLAK")</f>
        <v>9430_TRI AINUN UMAIYAH, A.Md.Kep. _ SERTIFIKAT BerAKHLAK</v>
      </c>
      <c r="P9431" s="5" t="s">
        <v>58475</v>
      </c>
    </row>
    <row r="9432">
      <c r="A9432" s="4">
        <v>45534.455717731485</v>
      </c>
      <c r="B9432" s="5" t="s">
        <v>34</v>
      </c>
      <c r="D9432" s="5" t="s">
        <v>6232</v>
      </c>
      <c r="E9432" s="5" t="s">
        <v>58476</v>
      </c>
      <c r="F9432" s="5" t="s">
        <v>108</v>
      </c>
      <c r="G9432" s="5" t="s">
        <v>58477</v>
      </c>
      <c r="H9432" s="6" t="s">
        <v>58478</v>
      </c>
      <c r="K9432" s="5" t="s">
        <v>58460</v>
      </c>
      <c r="M9432" s="5" t="s">
        <v>58479</v>
      </c>
      <c r="N9432" s="7" t="s">
        <v>58480</v>
      </c>
      <c r="O9432" s="8" t="str">
        <f>HYPERLINK("https://drive.google.com/file/d/1IR51C8RY8pGhCcpOZra5T7DUThv6J9YI/view?usp=drivesdk","9431_NURBAYA _ SERTIFIKAT BerAKHLAK")</f>
        <v>9431_NURBAYA _ SERTIFIKAT BerAKHLAK</v>
      </c>
      <c r="P9432" s="5" t="s">
        <v>58481</v>
      </c>
    </row>
    <row r="9433" hidden="1">
      <c r="A9433" s="4">
        <v>45534.45578581018</v>
      </c>
      <c r="B9433" s="5" t="s">
        <v>19</v>
      </c>
      <c r="C9433" s="5" t="s">
        <v>292</v>
      </c>
      <c r="E9433" s="5" t="s">
        <v>58482</v>
      </c>
      <c r="F9433" s="5" t="s">
        <v>37</v>
      </c>
      <c r="G9433" s="5" t="s">
        <v>58483</v>
      </c>
      <c r="H9433" s="6" t="s">
        <v>58484</v>
      </c>
      <c r="K9433" s="5" t="s">
        <v>58460</v>
      </c>
      <c r="M9433" s="5" t="s">
        <v>58485</v>
      </c>
      <c r="N9433" s="7" t="s">
        <v>58486</v>
      </c>
      <c r="O9433" s="8" t="str">
        <f>HYPERLINK("https://drive.google.com/file/d/1F0UcychVGeroVTkseurWx_b-RSLrOWUK/view?usp=drivesdk","9432_RACHMA ULFA AFNI, A.Md. Kep _ SERTIFIKAT BerAKHLAK")</f>
        <v>9432_RACHMA ULFA AFNI, A.Md. Kep _ SERTIFIKAT BerAKHLAK</v>
      </c>
      <c r="P9433" s="5" t="s">
        <v>58487</v>
      </c>
    </row>
    <row r="9434">
      <c r="A9434" s="4">
        <v>45534.45585190972</v>
      </c>
      <c r="B9434" s="5" t="s">
        <v>34</v>
      </c>
      <c r="D9434" s="5" t="s">
        <v>15401</v>
      </c>
      <c r="E9434" s="5" t="s">
        <v>58488</v>
      </c>
      <c r="F9434" s="5" t="s">
        <v>37</v>
      </c>
      <c r="G9434" s="5" t="s">
        <v>58489</v>
      </c>
      <c r="H9434" s="6" t="s">
        <v>58490</v>
      </c>
      <c r="K9434" s="5" t="s">
        <v>58491</v>
      </c>
      <c r="M9434" s="5" t="s">
        <v>58492</v>
      </c>
      <c r="N9434" s="7" t="s">
        <v>58493</v>
      </c>
      <c r="O9434" s="8" t="str">
        <f>HYPERLINK("https://drive.google.com/file/d/1RuBfLn8jRWi2IIHcYEdbEI9ePVjbJDU_/view?usp=drivesdk","9433_JAMES PATMOS YONGGULEMBA, S.Sos _ SERTIFIKAT BerAKHLAK")</f>
        <v>9433_JAMES PATMOS YONGGULEMBA, S.Sos _ SERTIFIKAT BerAKHLAK</v>
      </c>
      <c r="P9434" s="5" t="s">
        <v>58494</v>
      </c>
    </row>
    <row r="9435">
      <c r="A9435" s="4">
        <v>45534.4559356713</v>
      </c>
      <c r="B9435" s="5" t="s">
        <v>34</v>
      </c>
      <c r="D9435" s="5" t="s">
        <v>11527</v>
      </c>
      <c r="E9435" s="5" t="s">
        <v>58495</v>
      </c>
      <c r="F9435" s="5" t="s">
        <v>108</v>
      </c>
      <c r="G9435" s="5" t="s">
        <v>58496</v>
      </c>
      <c r="H9435" s="6" t="s">
        <v>58497</v>
      </c>
      <c r="K9435" s="5" t="s">
        <v>58498</v>
      </c>
      <c r="M9435" s="5" t="s">
        <v>58499</v>
      </c>
      <c r="N9435" s="7" t="s">
        <v>58500</v>
      </c>
      <c r="O9435" s="8" t="str">
        <f>HYPERLINK("https://drive.google.com/file/d/1VpiNHOsXQAmcjL63u0iqnAa0xvyHTvJC/view?usp=drivesdk","9434_OLVIE PANGKEREGO _ SERTIFIKAT BerAKHLAK")</f>
        <v>9434_OLVIE PANGKEREGO _ SERTIFIKAT BerAKHLAK</v>
      </c>
      <c r="P9435" s="5" t="s">
        <v>58501</v>
      </c>
    </row>
    <row r="9436">
      <c r="A9436" s="4">
        <v>45534.45594635417</v>
      </c>
      <c r="B9436" s="5" t="s">
        <v>34</v>
      </c>
      <c r="D9436" s="5" t="s">
        <v>9394</v>
      </c>
      <c r="E9436" s="5" t="s">
        <v>58502</v>
      </c>
      <c r="F9436" s="5" t="s">
        <v>72</v>
      </c>
      <c r="G9436" s="5" t="s">
        <v>58503</v>
      </c>
      <c r="H9436" s="6" t="s">
        <v>58504</v>
      </c>
      <c r="K9436" s="5" t="s">
        <v>58498</v>
      </c>
      <c r="M9436" s="5" t="s">
        <v>58505</v>
      </c>
      <c r="N9436" s="7" t="s">
        <v>58506</v>
      </c>
      <c r="O9436" s="8" t="str">
        <f>HYPERLINK("https://drive.google.com/file/d/17G38SU-j1cdFOEg1pnXYI82bc0kr3JMQ/view?usp=drivesdk","9435_DESI MULIYANA, S.Pi _ SERTIFIKAT BerAKHLAK")</f>
        <v>9435_DESI MULIYANA, S.Pi _ SERTIFIKAT BerAKHLAK</v>
      </c>
      <c r="P9436" s="5" t="s">
        <v>58507</v>
      </c>
    </row>
    <row r="9437" hidden="1">
      <c r="A9437" s="4">
        <v>45534.456037199074</v>
      </c>
      <c r="B9437" s="5" t="s">
        <v>19</v>
      </c>
      <c r="C9437" s="5" t="s">
        <v>292</v>
      </c>
      <c r="E9437" s="5" t="s">
        <v>58508</v>
      </c>
      <c r="F9437" s="5" t="s">
        <v>37</v>
      </c>
      <c r="G9437" s="5" t="s">
        <v>58509</v>
      </c>
      <c r="H9437" s="6" t="s">
        <v>58510</v>
      </c>
      <c r="K9437" s="5" t="s">
        <v>58511</v>
      </c>
      <c r="M9437" s="5" t="s">
        <v>58512</v>
      </c>
      <c r="N9437" s="7" t="s">
        <v>58513</v>
      </c>
      <c r="O9437" s="8" t="str">
        <f>HYPERLINK("https://drive.google.com/file/d/15QTfueGEHWk1ocBM0SWZKn35dziM6g3Y/view?usp=drivesdk","9436_FARAH TIFANNY AISYAH ANINDYA PUTRI, A.Md.Kes _ SERTIFIKAT BerAKHLAK")</f>
        <v>9436_FARAH TIFANNY AISYAH ANINDYA PUTRI, A.Md.Kes _ SERTIFIKAT BerAKHLAK</v>
      </c>
      <c r="P9437" s="5" t="s">
        <v>58514</v>
      </c>
    </row>
    <row r="9438">
      <c r="A9438" s="4">
        <v>45534.45610228009</v>
      </c>
      <c r="B9438" s="5" t="s">
        <v>34</v>
      </c>
      <c r="D9438" s="5" t="s">
        <v>267</v>
      </c>
      <c r="E9438" s="5" t="s">
        <v>58515</v>
      </c>
      <c r="F9438" s="5" t="s">
        <v>37</v>
      </c>
      <c r="G9438" s="5" t="s">
        <v>58516</v>
      </c>
      <c r="H9438" s="6" t="s">
        <v>58517</v>
      </c>
      <c r="K9438" s="5" t="s">
        <v>58518</v>
      </c>
      <c r="M9438" s="5" t="s">
        <v>58519</v>
      </c>
      <c r="N9438" s="7" t="s">
        <v>58520</v>
      </c>
      <c r="O9438" s="8" t="str">
        <f>HYPERLINK("https://drive.google.com/file/d/14uvL3C4pEmVOZkgWN_bm999GRBBGjtOt/view?usp=drivesdk","9437_TEUKU RIZKY HADIPUTRA  _ SERTIFIKAT BerAKHLAK")</f>
        <v>9437_TEUKU RIZKY HADIPUTRA  _ SERTIFIKAT BerAKHLAK</v>
      </c>
      <c r="P9438" s="5" t="s">
        <v>58521</v>
      </c>
    </row>
    <row r="9439" hidden="1">
      <c r="A9439" s="4">
        <v>45534.456174328705</v>
      </c>
      <c r="B9439" s="5" t="s">
        <v>19</v>
      </c>
      <c r="C9439" s="5" t="s">
        <v>292</v>
      </c>
      <c r="E9439" s="5" t="s">
        <v>58522</v>
      </c>
      <c r="F9439" s="5" t="s">
        <v>37</v>
      </c>
      <c r="G9439" s="5" t="s">
        <v>58523</v>
      </c>
      <c r="H9439" s="6" t="s">
        <v>58524</v>
      </c>
      <c r="K9439" s="5" t="s">
        <v>58525</v>
      </c>
      <c r="M9439" s="5" t="s">
        <v>58526</v>
      </c>
      <c r="N9439" s="7" t="s">
        <v>58527</v>
      </c>
      <c r="O9439" s="8" t="str">
        <f>HYPERLINK("https://drive.google.com/file/d/1abvnA1q0PRcCSUhNH3yDZvM0ndhL8aEn/view?usp=drivesdk","9438_NIMAS AYU PUSPITA SARI _ SERTIFIKAT BerAKHLAK")</f>
        <v>9438_NIMAS AYU PUSPITA SARI _ SERTIFIKAT BerAKHLAK</v>
      </c>
      <c r="P9439" s="5" t="s">
        <v>58528</v>
      </c>
    </row>
    <row r="9440">
      <c r="A9440" s="4">
        <v>45534.45635270834</v>
      </c>
      <c r="B9440" s="5" t="s">
        <v>34</v>
      </c>
      <c r="D9440" s="5" t="s">
        <v>4775</v>
      </c>
      <c r="E9440" s="5" t="s">
        <v>16878</v>
      </c>
      <c r="F9440" s="5" t="s">
        <v>37</v>
      </c>
      <c r="G9440" s="5" t="s">
        <v>58529</v>
      </c>
      <c r="H9440" s="6" t="s">
        <v>58530</v>
      </c>
      <c r="K9440" s="5" t="s">
        <v>58531</v>
      </c>
      <c r="M9440" s="5" t="s">
        <v>58532</v>
      </c>
      <c r="N9440" s="7" t="s">
        <v>58533</v>
      </c>
      <c r="O9440" s="8" t="str">
        <f>HYPERLINK("https://drive.google.com/file/d/1p5X0W5Dikw-n9TIpWOQ7sMXSYBxENkP5/view?usp=drivesdk","9439_SLAMET _ SERTIFIKAT BerAKHLAK")</f>
        <v>9439_SLAMET _ SERTIFIKAT BerAKHLAK</v>
      </c>
      <c r="P9440" s="5" t="s">
        <v>58534</v>
      </c>
    </row>
    <row r="9441">
      <c r="A9441" s="4">
        <v>45534.45640740741</v>
      </c>
      <c r="B9441" s="5" t="s">
        <v>34</v>
      </c>
      <c r="D9441" s="5" t="s">
        <v>15401</v>
      </c>
      <c r="E9441" s="5" t="s">
        <v>58535</v>
      </c>
      <c r="F9441" s="5" t="s">
        <v>524</v>
      </c>
      <c r="G9441" s="5" t="s">
        <v>58536</v>
      </c>
      <c r="H9441" s="6" t="s">
        <v>58537</v>
      </c>
      <c r="K9441" s="5" t="s">
        <v>58538</v>
      </c>
      <c r="M9441" s="5" t="s">
        <v>58539</v>
      </c>
      <c r="N9441" s="7" t="s">
        <v>58540</v>
      </c>
      <c r="O9441" s="8" t="str">
        <f>HYPERLINK("https://drive.google.com/file/d/1IVslTXkhkvbZ-mbrHxM8Bfoetxp-vYG7/view?usp=drivesdk","9440_Hermyta Yuniawaty Labaka _ SERTIFIKAT BerAKHLAK")</f>
        <v>9440_Hermyta Yuniawaty Labaka _ SERTIFIKAT BerAKHLAK</v>
      </c>
      <c r="P9441" s="5" t="s">
        <v>58541</v>
      </c>
    </row>
    <row r="9442">
      <c r="A9442" s="4">
        <v>45534.45649225694</v>
      </c>
      <c r="B9442" s="5" t="s">
        <v>34</v>
      </c>
      <c r="D9442" s="5" t="s">
        <v>14313</v>
      </c>
      <c r="E9442" s="5" t="s">
        <v>58542</v>
      </c>
      <c r="F9442" s="5" t="s">
        <v>5859</v>
      </c>
      <c r="G9442" s="5" t="s">
        <v>58543</v>
      </c>
      <c r="H9442" s="6" t="s">
        <v>58544</v>
      </c>
      <c r="K9442" s="5" t="s">
        <v>58545</v>
      </c>
      <c r="M9442" s="5" t="s">
        <v>58546</v>
      </c>
      <c r="N9442" s="7" t="s">
        <v>58547</v>
      </c>
      <c r="O9442" s="8" t="str">
        <f>HYPERLINK("https://drive.google.com/file/d/1c5Ew2mIktxc06fjMB9o_WY6vLvkR3moy/view?usp=drivesdk","9441_MARTHEN TANGGO  _ SERTIFIKAT BerAKHLAK")</f>
        <v>9441_MARTHEN TANGGO  _ SERTIFIKAT BerAKHLAK</v>
      </c>
      <c r="P9442" s="5" t="s">
        <v>58548</v>
      </c>
    </row>
    <row r="9443">
      <c r="A9443" s="4">
        <v>45534.456493391204</v>
      </c>
      <c r="B9443" s="5" t="s">
        <v>34</v>
      </c>
      <c r="D9443" s="5" t="s">
        <v>996</v>
      </c>
      <c r="E9443" s="5" t="s">
        <v>58549</v>
      </c>
      <c r="F9443" s="5" t="s">
        <v>212</v>
      </c>
      <c r="G9443" s="5" t="s">
        <v>58550</v>
      </c>
      <c r="H9443" s="6" t="s">
        <v>58551</v>
      </c>
      <c r="K9443" s="5" t="s">
        <v>58545</v>
      </c>
      <c r="M9443" s="5" t="s">
        <v>58552</v>
      </c>
      <c r="N9443" s="7" t="s">
        <v>58553</v>
      </c>
      <c r="O9443" s="8" t="str">
        <f>HYPERLINK("https://drive.google.com/file/d/19lluNMkcGyba3duDWTx6WJTddPhmtntx/view?usp=drivesdk","9442_INA SETIAWATI  _ SERTIFIKAT BerAKHLAK")</f>
        <v>9442_INA SETIAWATI  _ SERTIFIKAT BerAKHLAK</v>
      </c>
      <c r="P9443" s="5" t="s">
        <v>58554</v>
      </c>
    </row>
    <row r="9444">
      <c r="A9444" s="4">
        <v>45534.45650891204</v>
      </c>
      <c r="B9444" s="5" t="s">
        <v>34</v>
      </c>
      <c r="D9444" s="5" t="s">
        <v>15401</v>
      </c>
      <c r="E9444" s="5" t="s">
        <v>58555</v>
      </c>
      <c r="F9444" s="5" t="s">
        <v>375</v>
      </c>
      <c r="G9444" s="5" t="s">
        <v>58556</v>
      </c>
      <c r="H9444" s="6" t="s">
        <v>58557</v>
      </c>
      <c r="K9444" s="5" t="s">
        <v>58545</v>
      </c>
      <c r="M9444" s="5" t="s">
        <v>58558</v>
      </c>
      <c r="N9444" s="7" t="s">
        <v>58559</v>
      </c>
      <c r="O9444" s="8" t="str">
        <f>HYPERLINK("https://drive.google.com/file/d/11wdHYUEcTWN1kRaDrrkaPLz7JhSJIIgQ/view?usp=drivesdk","9443_Ni Wayan Arikusnadi  _ SERTIFIKAT BerAKHLAK")</f>
        <v>9443_Ni Wayan Arikusnadi  _ SERTIFIKAT BerAKHLAK</v>
      </c>
      <c r="P9444" s="5" t="s">
        <v>58560</v>
      </c>
    </row>
    <row r="9445">
      <c r="A9445" s="4">
        <v>45534.45651722222</v>
      </c>
      <c r="B9445" s="5" t="s">
        <v>34</v>
      </c>
      <c r="D9445" s="5" t="s">
        <v>9020</v>
      </c>
      <c r="E9445" s="5" t="s">
        <v>58561</v>
      </c>
      <c r="F9445" s="5" t="s">
        <v>212</v>
      </c>
      <c r="G9445" s="5" t="s">
        <v>58562</v>
      </c>
      <c r="H9445" s="6" t="s">
        <v>58563</v>
      </c>
      <c r="K9445" s="5" t="s">
        <v>58545</v>
      </c>
      <c r="M9445" s="5" t="s">
        <v>58564</v>
      </c>
      <c r="N9445" s="7" t="s">
        <v>58565</v>
      </c>
      <c r="O9445" s="8" t="str">
        <f>HYPERLINK("https://drive.google.com/file/d/1GI7mVHaOjZSJitv10X5ie5niWZr7B3xb/view?usp=drivesdk","9444_FRIDA FUJIASTUTI _ SERTIFIKAT BerAKHLAK")</f>
        <v>9444_FRIDA FUJIASTUTI _ SERTIFIKAT BerAKHLAK</v>
      </c>
      <c r="P9445" s="5" t="s">
        <v>58566</v>
      </c>
    </row>
    <row r="9446">
      <c r="A9446" s="4">
        <v>45534.456528703704</v>
      </c>
      <c r="B9446" s="5" t="s">
        <v>34</v>
      </c>
      <c r="D9446" s="5" t="s">
        <v>1558</v>
      </c>
      <c r="E9446" s="5" t="s">
        <v>18759</v>
      </c>
      <c r="F9446" s="5" t="s">
        <v>37</v>
      </c>
      <c r="G9446" s="5" t="s">
        <v>58567</v>
      </c>
      <c r="H9446" s="6" t="s">
        <v>58568</v>
      </c>
      <c r="K9446" s="5" t="s">
        <v>58545</v>
      </c>
      <c r="M9446" s="5" t="s">
        <v>58569</v>
      </c>
      <c r="N9446" s="7" t="s">
        <v>58570</v>
      </c>
      <c r="O9446" s="8" t="str">
        <f>HYPERLINK("https://drive.google.com/file/d/1Wq7LZgyearf_shdFJ_asIlR5SIqN2ONl/view?usp=drivesdk","9445_KOMARUDIN _ SERTIFIKAT BerAKHLAK")</f>
        <v>9445_KOMARUDIN _ SERTIFIKAT BerAKHLAK</v>
      </c>
      <c r="P9446" s="5" t="s">
        <v>58571</v>
      </c>
    </row>
    <row r="9447" hidden="1">
      <c r="A9447" s="4">
        <v>45534.45661388889</v>
      </c>
      <c r="B9447" s="5" t="s">
        <v>19</v>
      </c>
      <c r="C9447" s="5" t="s">
        <v>5058</v>
      </c>
      <c r="E9447" s="5" t="s">
        <v>58572</v>
      </c>
      <c r="F9447" s="5" t="s">
        <v>37</v>
      </c>
      <c r="G9447" s="5" t="s">
        <v>58573</v>
      </c>
      <c r="H9447" s="6" t="s">
        <v>58574</v>
      </c>
      <c r="K9447" s="5" t="s">
        <v>58545</v>
      </c>
      <c r="M9447" s="5" t="s">
        <v>58575</v>
      </c>
      <c r="N9447" s="7" t="s">
        <v>58576</v>
      </c>
      <c r="O9447" s="8" t="str">
        <f>HYPERLINK("https://drive.google.com/file/d/1K_9dQtC9M1uZrAD8yQHbLSM7PaEoqrlV/view?usp=drivesdk","9446_COSMAS SENO PRASETYO, A.Md.Ak. _ SERTIFIKAT BerAKHLAK")</f>
        <v>9446_COSMAS SENO PRASETYO, A.Md.Ak. _ SERTIFIKAT BerAKHLAK</v>
      </c>
      <c r="P9447" s="5" t="s">
        <v>58577</v>
      </c>
    </row>
    <row r="9448">
      <c r="A9448" s="4">
        <v>45534.456666377315</v>
      </c>
      <c r="B9448" s="5" t="s">
        <v>34</v>
      </c>
      <c r="D9448" s="5" t="s">
        <v>35</v>
      </c>
      <c r="E9448" s="5" t="s">
        <v>58578</v>
      </c>
      <c r="F9448" s="5" t="s">
        <v>212</v>
      </c>
      <c r="G9448" s="5" t="s">
        <v>58579</v>
      </c>
      <c r="H9448" s="6" t="s">
        <v>58580</v>
      </c>
      <c r="K9448" s="5" t="s">
        <v>58545</v>
      </c>
      <c r="M9448" s="5" t="s">
        <v>58581</v>
      </c>
      <c r="N9448" s="7" t="s">
        <v>58582</v>
      </c>
      <c r="O9448" s="8" t="str">
        <f>HYPERLINK("https://drive.google.com/file/d/1p-UOb-L_708hnx1xQOvCqAX8JFWw4ZHn/view?usp=drivesdk","9447_UJANG KURNIAWAN JAYA _ SERTIFIKAT BerAKHLAK")</f>
        <v>9447_UJANG KURNIAWAN JAYA _ SERTIFIKAT BerAKHLAK</v>
      </c>
      <c r="P9448" s="5" t="s">
        <v>58583</v>
      </c>
    </row>
    <row r="9449">
      <c r="A9449" s="4">
        <v>45534.45670008102</v>
      </c>
      <c r="B9449" s="5" t="s">
        <v>34</v>
      </c>
      <c r="D9449" s="5" t="s">
        <v>14313</v>
      </c>
      <c r="E9449" s="5" t="s">
        <v>58584</v>
      </c>
      <c r="F9449" s="5" t="s">
        <v>72</v>
      </c>
      <c r="G9449" s="5" t="s">
        <v>58585</v>
      </c>
      <c r="H9449" s="6" t="s">
        <v>58586</v>
      </c>
      <c r="K9449" s="5" t="s">
        <v>58545</v>
      </c>
      <c r="M9449" s="5" t="s">
        <v>58587</v>
      </c>
      <c r="N9449" s="7" t="s">
        <v>58588</v>
      </c>
      <c r="O9449" s="8" t="str">
        <f>HYPERLINK("https://drive.google.com/file/d/1KfLM5I6oOZs6Mhw1xeeuL9PR-xY0Cb0U/view?usp=drivesdk","9448_IRFAN S KOM _ SERTIFIKAT BerAKHLAK")</f>
        <v>9448_IRFAN S KOM _ SERTIFIKAT BerAKHLAK</v>
      </c>
      <c r="P9449" s="5" t="s">
        <v>58589</v>
      </c>
    </row>
    <row r="9450" hidden="1">
      <c r="A9450" s="4">
        <v>45534.45671524305</v>
      </c>
      <c r="B9450" s="5" t="s">
        <v>19</v>
      </c>
      <c r="C9450" s="5" t="s">
        <v>11593</v>
      </c>
      <c r="E9450" s="5" t="s">
        <v>58590</v>
      </c>
      <c r="F9450" s="5" t="s">
        <v>37</v>
      </c>
      <c r="G9450" s="5" t="s">
        <v>58591</v>
      </c>
      <c r="H9450" s="6" t="s">
        <v>58592</v>
      </c>
      <c r="K9450" s="5" t="s">
        <v>58545</v>
      </c>
      <c r="M9450" s="5" t="s">
        <v>58593</v>
      </c>
      <c r="N9450" s="7" t="s">
        <v>58594</v>
      </c>
      <c r="O9450" s="8" t="str">
        <f>HYPERLINK("https://drive.google.com/file/d/1btkiOK2xBa6q1gjDlgtD9Ox3Vs60EIke/view?usp=drivesdk","9449_TRIAS RATNA SARI.,A.Md.KG _ SERTIFIKAT BerAKHLAK")</f>
        <v>9449_TRIAS RATNA SARI.,A.Md.KG _ SERTIFIKAT BerAKHLAK</v>
      </c>
      <c r="P9450" s="5" t="s">
        <v>58595</v>
      </c>
    </row>
    <row r="9451">
      <c r="A9451" s="4">
        <v>45534.45679458333</v>
      </c>
      <c r="B9451" s="5" t="s">
        <v>34</v>
      </c>
      <c r="D9451" s="5" t="s">
        <v>580</v>
      </c>
      <c r="E9451" s="5" t="s">
        <v>58596</v>
      </c>
      <c r="F9451" s="5" t="s">
        <v>120</v>
      </c>
      <c r="G9451" s="5" t="s">
        <v>58597</v>
      </c>
      <c r="H9451" s="6" t="s">
        <v>58598</v>
      </c>
      <c r="K9451" s="5" t="s">
        <v>58545</v>
      </c>
      <c r="M9451" s="5" t="s">
        <v>58599</v>
      </c>
      <c r="N9451" s="7" t="s">
        <v>58600</v>
      </c>
      <c r="O9451" s="8" t="str">
        <f>HYPERLINK("https://drive.google.com/file/d/1GExuV1jOLwJLul5sysp1qZUkDwSSWq0r/view?usp=drivesdk","9450_DRG. I MADE YUDHA ASMARA, MM. _ SERTIFIKAT BerAKHLAK")</f>
        <v>9450_DRG. I MADE YUDHA ASMARA, MM. _ SERTIFIKAT BerAKHLAK</v>
      </c>
      <c r="P9451" s="5" t="s">
        <v>58601</v>
      </c>
    </row>
    <row r="9452" hidden="1">
      <c r="A9452" s="4">
        <v>45534.457040925925</v>
      </c>
      <c r="B9452" s="5" t="s">
        <v>19</v>
      </c>
      <c r="C9452" s="5" t="s">
        <v>442</v>
      </c>
      <c r="E9452" s="5" t="s">
        <v>58602</v>
      </c>
      <c r="F9452" s="5" t="s">
        <v>108</v>
      </c>
      <c r="G9452" s="5" t="s">
        <v>58603</v>
      </c>
      <c r="H9452" s="6" t="s">
        <v>58604</v>
      </c>
      <c r="K9452" s="5" t="s">
        <v>58545</v>
      </c>
      <c r="M9452" s="5" t="s">
        <v>58605</v>
      </c>
      <c r="N9452" s="7" t="s">
        <v>58606</v>
      </c>
      <c r="O9452" s="8" t="str">
        <f>HYPERLINK("https://drive.google.com/file/d/1eKtRGTW6VNviK3hXeUcrlT8FHfKnFzbN/view?usp=drivesdk","9451_CAHYA ISTIANA PRATIWI SUWARNO _ SERTIFIKAT BerAKHLAK")</f>
        <v>9451_CAHYA ISTIANA PRATIWI SUWARNO _ SERTIFIKAT BerAKHLAK</v>
      </c>
      <c r="P9452" s="5" t="s">
        <v>58607</v>
      </c>
    </row>
    <row r="9453">
      <c r="A9453" s="4">
        <v>45534.457051840276</v>
      </c>
      <c r="B9453" s="5" t="s">
        <v>34</v>
      </c>
      <c r="D9453" s="5" t="s">
        <v>35</v>
      </c>
      <c r="E9453" s="5" t="s">
        <v>58608</v>
      </c>
      <c r="F9453" s="5" t="s">
        <v>108</v>
      </c>
      <c r="G9453" s="5" t="s">
        <v>58609</v>
      </c>
      <c r="H9453" s="6" t="s">
        <v>58610</v>
      </c>
      <c r="K9453" s="5" t="s">
        <v>58545</v>
      </c>
      <c r="M9453" s="5" t="s">
        <v>58611</v>
      </c>
      <c r="N9453" s="7" t="s">
        <v>58612</v>
      </c>
      <c r="O9453" s="8" t="str">
        <f>HYPERLINK("https://drive.google.com/file/d/1YX6lI1oX3EXcudjB6VNY6aDZRKnoaiip/view?usp=drivesdk","9452_DADAN RAMDANI, A.Md. _ SERTIFIKAT BerAKHLAK")</f>
        <v>9452_DADAN RAMDANI, A.Md. _ SERTIFIKAT BerAKHLAK</v>
      </c>
      <c r="P9453" s="5" t="s">
        <v>58613</v>
      </c>
    </row>
    <row r="9454">
      <c r="A9454" s="4">
        <v>45534.45708627315</v>
      </c>
      <c r="B9454" s="5" t="s">
        <v>34</v>
      </c>
      <c r="D9454" s="5" t="s">
        <v>9020</v>
      </c>
      <c r="E9454" s="5" t="s">
        <v>58614</v>
      </c>
      <c r="F9454" s="5" t="s">
        <v>212</v>
      </c>
      <c r="G9454" s="5" t="s">
        <v>58615</v>
      </c>
      <c r="H9454" s="6" t="s">
        <v>58616</v>
      </c>
      <c r="K9454" s="5" t="s">
        <v>58545</v>
      </c>
      <c r="M9454" s="5" t="s">
        <v>58617</v>
      </c>
      <c r="N9454" s="7" t="s">
        <v>58618</v>
      </c>
      <c r="O9454" s="8" t="str">
        <f>HYPERLINK("https://drive.google.com/file/d/1UnFCf5MFEjHDlzQ3tsptImBhpOqBmyf3/view?usp=drivesdk","9453_TUTI KARMILASARI _ SERTIFIKAT BerAKHLAK")</f>
        <v>9453_TUTI KARMILASARI _ SERTIFIKAT BerAKHLAK</v>
      </c>
      <c r="P9454" s="5" t="s">
        <v>58619</v>
      </c>
    </row>
    <row r="9455">
      <c r="A9455" s="4">
        <v>45534.45720424769</v>
      </c>
      <c r="B9455" s="5" t="s">
        <v>34</v>
      </c>
      <c r="D9455" s="5" t="s">
        <v>6232</v>
      </c>
      <c r="E9455" s="5" t="s">
        <v>15379</v>
      </c>
      <c r="F9455" s="5" t="s">
        <v>72</v>
      </c>
      <c r="G9455" s="5" t="s">
        <v>58620</v>
      </c>
      <c r="H9455" s="6" t="s">
        <v>58621</v>
      </c>
      <c r="K9455" s="5" t="s">
        <v>58545</v>
      </c>
      <c r="M9455" s="5" t="s">
        <v>58622</v>
      </c>
      <c r="N9455" s="7" t="s">
        <v>58623</v>
      </c>
      <c r="O9455" s="8" t="str">
        <f>HYPERLINK("https://drive.google.com/file/d/1St0h2FJvtzSPGwB6BnUNZPns6faW8d8Q/view?usp=drivesdk","9454_DODI MARTONO _ SERTIFIKAT BerAKHLAK")</f>
        <v>9454_DODI MARTONO _ SERTIFIKAT BerAKHLAK</v>
      </c>
      <c r="P9455" s="5" t="s">
        <v>58624</v>
      </c>
    </row>
    <row r="9456">
      <c r="A9456" s="4">
        <v>45534.457295520835</v>
      </c>
      <c r="B9456" s="5" t="s">
        <v>34</v>
      </c>
      <c r="D9456" s="5" t="s">
        <v>6232</v>
      </c>
      <c r="E9456" s="5" t="s">
        <v>58625</v>
      </c>
      <c r="F9456" s="5" t="s">
        <v>212</v>
      </c>
      <c r="G9456" s="5" t="s">
        <v>58626</v>
      </c>
      <c r="H9456" s="6" t="s">
        <v>58627</v>
      </c>
      <c r="K9456" s="5" t="s">
        <v>58545</v>
      </c>
      <c r="M9456" s="5" t="s">
        <v>58628</v>
      </c>
      <c r="N9456" s="7" t="s">
        <v>58629</v>
      </c>
      <c r="O9456" s="8" t="str">
        <f>HYPERLINK("https://drive.google.com/file/d/1F8AlLKccQCbbVyUqj58DX85YXt56v26r/view?usp=drivesdk","9455_DESMILINDA _ SERTIFIKAT BerAKHLAK")</f>
        <v>9455_DESMILINDA _ SERTIFIKAT BerAKHLAK</v>
      </c>
      <c r="P9456" s="5" t="s">
        <v>58630</v>
      </c>
    </row>
    <row r="9457">
      <c r="A9457" s="4">
        <v>45534.45729854167</v>
      </c>
      <c r="B9457" s="5" t="s">
        <v>34</v>
      </c>
      <c r="D9457" s="5" t="s">
        <v>10297</v>
      </c>
      <c r="E9457" s="5" t="s">
        <v>58017</v>
      </c>
      <c r="F9457" s="5" t="s">
        <v>524</v>
      </c>
      <c r="G9457" s="5" t="s">
        <v>58631</v>
      </c>
      <c r="H9457" s="6" t="s">
        <v>58632</v>
      </c>
      <c r="K9457" s="5" t="s">
        <v>58545</v>
      </c>
      <c r="M9457" s="5" t="s">
        <v>58633</v>
      </c>
      <c r="N9457" s="7" t="s">
        <v>58634</v>
      </c>
      <c r="O9457" s="8" t="str">
        <f>HYPERLINK("https://drive.google.com/file/d/18GBDWLTcxctzC4eI7Yye7Cp8LpRZi7fU/view?usp=drivesdk","9456_ESSI SANTIDJA _ SERTIFIKAT BerAKHLAK")</f>
        <v>9456_ESSI SANTIDJA _ SERTIFIKAT BerAKHLAK</v>
      </c>
      <c r="P9457" s="5" t="s">
        <v>58635</v>
      </c>
    </row>
    <row r="9458">
      <c r="A9458" s="4">
        <v>45534.457445196764</v>
      </c>
      <c r="B9458" s="5" t="s">
        <v>34</v>
      </c>
      <c r="D9458" s="5" t="s">
        <v>6232</v>
      </c>
      <c r="E9458" s="5" t="s">
        <v>12151</v>
      </c>
      <c r="F9458" s="5" t="s">
        <v>212</v>
      </c>
      <c r="G9458" s="5" t="s">
        <v>12152</v>
      </c>
      <c r="H9458" s="6" t="s">
        <v>58636</v>
      </c>
      <c r="K9458" s="5" t="s">
        <v>58545</v>
      </c>
      <c r="M9458" s="5" t="s">
        <v>58637</v>
      </c>
      <c r="N9458" s="7" t="s">
        <v>58638</v>
      </c>
      <c r="O9458" s="8" t="str">
        <f>HYPERLINK("https://drive.google.com/file/d/125lAU3TzfjMMs0RvKux7KBavyKJg5j6I/view?usp=drivesdk","9457_FRAYOGI YULIANTORO RUSDI  _ SERTIFIKAT BerAKHLAK")</f>
        <v>9457_FRAYOGI YULIANTORO RUSDI  _ SERTIFIKAT BerAKHLAK</v>
      </c>
      <c r="P9458" s="5" t="s">
        <v>58639</v>
      </c>
    </row>
    <row r="9459">
      <c r="A9459" s="4">
        <v>45534.457513263886</v>
      </c>
      <c r="B9459" s="5" t="s">
        <v>34</v>
      </c>
      <c r="D9459" s="5" t="s">
        <v>35</v>
      </c>
      <c r="E9459" s="5" t="s">
        <v>58640</v>
      </c>
      <c r="F9459" s="5" t="s">
        <v>524</v>
      </c>
      <c r="G9459" s="5" t="s">
        <v>58641</v>
      </c>
      <c r="H9459" s="6" t="s">
        <v>58642</v>
      </c>
      <c r="K9459" s="5" t="s">
        <v>58545</v>
      </c>
      <c r="M9459" s="5" t="s">
        <v>58643</v>
      </c>
      <c r="N9459" s="7" t="s">
        <v>58644</v>
      </c>
      <c r="O9459" s="8" t="str">
        <f>HYPERLINK("https://drive.google.com/file/d/1xvy1JkYzn3FlQFx9ofYwsegbdStjdp6p/view?usp=drivesdk","9458_MERRY AFNI AFRIANNI,AMK _ SERTIFIKAT BerAKHLAK")</f>
        <v>9458_MERRY AFNI AFRIANNI,AMK _ SERTIFIKAT BerAKHLAK</v>
      </c>
      <c r="P9459" s="5" t="s">
        <v>58645</v>
      </c>
    </row>
    <row r="9460">
      <c r="A9460" s="4">
        <v>45534.457515891205</v>
      </c>
      <c r="B9460" s="5" t="s">
        <v>34</v>
      </c>
      <c r="D9460" s="5" t="s">
        <v>9020</v>
      </c>
      <c r="E9460" s="5" t="s">
        <v>58646</v>
      </c>
      <c r="F9460" s="5" t="s">
        <v>72</v>
      </c>
      <c r="G9460" s="5" t="s">
        <v>58647</v>
      </c>
      <c r="H9460" s="6" t="s">
        <v>58648</v>
      </c>
      <c r="K9460" s="5" t="s">
        <v>58545</v>
      </c>
      <c r="M9460" s="5" t="s">
        <v>58649</v>
      </c>
      <c r="N9460" s="7" t="s">
        <v>58650</v>
      </c>
      <c r="O9460" s="8" t="str">
        <f>HYPERLINK("https://drive.google.com/file/d/1aAqeds2LSUvu8GYpA5CVsh5QHOtxdFGt/view?usp=drivesdk","9459_BETTY TAMBUNAN _ SERTIFIKAT BerAKHLAK")</f>
        <v>9459_BETTY TAMBUNAN _ SERTIFIKAT BerAKHLAK</v>
      </c>
      <c r="P9460" s="5" t="s">
        <v>58651</v>
      </c>
    </row>
    <row r="9461">
      <c r="A9461" s="4">
        <v>45534.457615543986</v>
      </c>
      <c r="B9461" s="5" t="s">
        <v>34</v>
      </c>
      <c r="D9461" s="5" t="s">
        <v>9020</v>
      </c>
      <c r="E9461" s="5" t="s">
        <v>58652</v>
      </c>
      <c r="F9461" s="5" t="s">
        <v>524</v>
      </c>
      <c r="G9461" s="5" t="s">
        <v>58653</v>
      </c>
      <c r="H9461" s="6" t="s">
        <v>58654</v>
      </c>
      <c r="K9461" s="5" t="s">
        <v>58545</v>
      </c>
      <c r="M9461" s="5" t="s">
        <v>58655</v>
      </c>
      <c r="N9461" s="7" t="s">
        <v>58656</v>
      </c>
      <c r="O9461" s="8" t="str">
        <f>HYPERLINK("https://drive.google.com/file/d/1jIjv2S1TBPwyoMxHR9oBx9rd-K-g_DQT/view?usp=drivesdk","9460_ELISABETH ELSE _ SERTIFIKAT BerAKHLAK")</f>
        <v>9460_ELISABETH ELSE _ SERTIFIKAT BerAKHLAK</v>
      </c>
      <c r="P9461" s="5" t="s">
        <v>58657</v>
      </c>
    </row>
    <row r="9462">
      <c r="A9462" s="4">
        <v>45534.457655</v>
      </c>
      <c r="B9462" s="5" t="s">
        <v>34</v>
      </c>
      <c r="D9462" s="5" t="s">
        <v>14313</v>
      </c>
      <c r="E9462" s="5" t="s">
        <v>58658</v>
      </c>
      <c r="F9462" s="5" t="s">
        <v>524</v>
      </c>
      <c r="G9462" s="5" t="s">
        <v>58659</v>
      </c>
      <c r="H9462" s="6" t="s">
        <v>58660</v>
      </c>
      <c r="K9462" s="5" t="s">
        <v>58545</v>
      </c>
      <c r="M9462" s="5" t="s">
        <v>58661</v>
      </c>
      <c r="N9462" s="7" t="s">
        <v>58662</v>
      </c>
      <c r="O9462" s="8" t="str">
        <f>HYPERLINK("https://drive.google.com/file/d/1_JiD5zeorwqeYwEx-SuY8mUFtOSolitE/view?usp=drivesdk","9461_ERLY NIRA SUGIARTI _ SERTIFIKAT BerAKHLAK")</f>
        <v>9461_ERLY NIRA SUGIARTI _ SERTIFIKAT BerAKHLAK</v>
      </c>
      <c r="P9462" s="5" t="s">
        <v>58663</v>
      </c>
    </row>
    <row r="9463">
      <c r="A9463" s="4">
        <v>45534.45776892361</v>
      </c>
      <c r="B9463" s="5" t="s">
        <v>34</v>
      </c>
      <c r="D9463" s="5" t="s">
        <v>35</v>
      </c>
      <c r="E9463" s="5" t="s">
        <v>58664</v>
      </c>
      <c r="F9463" s="5" t="s">
        <v>5859</v>
      </c>
      <c r="G9463" s="5" t="s">
        <v>58665</v>
      </c>
      <c r="H9463" s="6" t="s">
        <v>58666</v>
      </c>
      <c r="K9463" s="5" t="s">
        <v>58545</v>
      </c>
      <c r="M9463" s="5" t="s">
        <v>58667</v>
      </c>
      <c r="N9463" s="7" t="s">
        <v>58668</v>
      </c>
      <c r="O9463" s="8" t="str">
        <f>HYPERLINK("https://drive.google.com/file/d/1v8aEf2w0imcSl0kqHJNLRO-Q2sJB98F6/view?usp=drivesdk","9462_WANDI AJA _ SERTIFIKAT BerAKHLAK")</f>
        <v>9462_WANDI AJA _ SERTIFIKAT BerAKHLAK</v>
      </c>
      <c r="P9463" s="5" t="s">
        <v>58669</v>
      </c>
    </row>
    <row r="9464" hidden="1">
      <c r="A9464" s="4">
        <v>45534.45779126158</v>
      </c>
      <c r="B9464" s="5" t="s">
        <v>19</v>
      </c>
      <c r="C9464" s="5" t="s">
        <v>292</v>
      </c>
      <c r="E9464" s="5" t="s">
        <v>35000</v>
      </c>
      <c r="F9464" s="5" t="s">
        <v>37</v>
      </c>
      <c r="G9464" s="5" t="s">
        <v>58670</v>
      </c>
      <c r="H9464" s="6" t="s">
        <v>58671</v>
      </c>
      <c r="K9464" s="5" t="s">
        <v>58545</v>
      </c>
      <c r="M9464" s="5" t="s">
        <v>58672</v>
      </c>
      <c r="N9464" s="7" t="s">
        <v>58673</v>
      </c>
      <c r="O9464" s="8" t="str">
        <f>HYPERLINK("https://drive.google.com/file/d/1O--B7XzLSOu-PqMHQIgKoRByTtu82zvQ/view?usp=drivesdk","9463_MARYANI _ SERTIFIKAT BerAKHLAK")</f>
        <v>9463_MARYANI _ SERTIFIKAT BerAKHLAK</v>
      </c>
      <c r="P9464" s="5" t="s">
        <v>58674</v>
      </c>
    </row>
    <row r="9465">
      <c r="A9465" s="4">
        <v>45534.45780769676</v>
      </c>
      <c r="B9465" s="5" t="s">
        <v>34</v>
      </c>
      <c r="D9465" s="5" t="s">
        <v>1206</v>
      </c>
      <c r="E9465" s="5" t="s">
        <v>58675</v>
      </c>
      <c r="F9465" s="5" t="s">
        <v>120</v>
      </c>
      <c r="G9465" s="5" t="s">
        <v>58676</v>
      </c>
      <c r="H9465" s="6" t="s">
        <v>58677</v>
      </c>
      <c r="K9465" s="5" t="s">
        <v>58545</v>
      </c>
      <c r="M9465" s="5" t="s">
        <v>58678</v>
      </c>
      <c r="N9465" s="7" t="s">
        <v>58679</v>
      </c>
      <c r="O9465" s="8" t="str">
        <f>HYPERLINK("https://drive.google.com/file/d/1jjR8ilu4PEQ1E63uHeUT9LQIRqOaQ8a6/view?usp=drivesdk","9464_HERU ANDI PURNOMO _ SERTIFIKAT BerAKHLAK")</f>
        <v>9464_HERU ANDI PURNOMO _ SERTIFIKAT BerAKHLAK</v>
      </c>
      <c r="P9465" s="5" t="s">
        <v>58680</v>
      </c>
    </row>
    <row r="9466">
      <c r="A9466" s="4">
        <v>45534.457808356485</v>
      </c>
      <c r="B9466" s="5" t="s">
        <v>34</v>
      </c>
      <c r="D9466" s="5" t="s">
        <v>4775</v>
      </c>
      <c r="E9466" s="5" t="s">
        <v>58681</v>
      </c>
      <c r="F9466" s="5" t="s">
        <v>120</v>
      </c>
      <c r="G9466" s="5" t="s">
        <v>58682</v>
      </c>
      <c r="H9466" s="6" t="s">
        <v>58683</v>
      </c>
      <c r="K9466" s="5" t="s">
        <v>58545</v>
      </c>
      <c r="M9466" s="5" t="s">
        <v>58684</v>
      </c>
      <c r="N9466" s="7" t="s">
        <v>58685</v>
      </c>
      <c r="O9466" s="8" t="str">
        <f>HYPERLINK("https://drive.google.com/file/d/1bi3oXM7nVuGbJuA4tqcJ2OyqNd9tRW1w/view?usp=drivesdk","9465_THOHARI, S.Ag, M.Pd _ SERTIFIKAT BerAKHLAK")</f>
        <v>9465_THOHARI, S.Ag, M.Pd _ SERTIFIKAT BerAKHLAK</v>
      </c>
      <c r="P9466" s="5" t="s">
        <v>58686</v>
      </c>
    </row>
    <row r="9467">
      <c r="A9467" s="4">
        <v>45534.457833368055</v>
      </c>
      <c r="B9467" s="5" t="s">
        <v>34</v>
      </c>
      <c r="D9467" s="5" t="s">
        <v>9394</v>
      </c>
      <c r="E9467" s="5" t="s">
        <v>15336</v>
      </c>
      <c r="F9467" s="5" t="s">
        <v>715</v>
      </c>
      <c r="G9467" s="5" t="s">
        <v>15337</v>
      </c>
      <c r="H9467" s="6" t="s">
        <v>58687</v>
      </c>
      <c r="K9467" s="5" t="s">
        <v>58545</v>
      </c>
      <c r="M9467" s="5" t="s">
        <v>58688</v>
      </c>
      <c r="N9467" s="7" t="s">
        <v>58689</v>
      </c>
      <c r="O9467" s="8" t="str">
        <f>HYPERLINK("https://drive.google.com/file/d/1cyOsxwvr0_WmUCeYhUODiLq_hAZbErK-/view?usp=drivesdk","9466_ALI RIAD, S.Kom _ SERTIFIKAT BerAKHLAK")</f>
        <v>9466_ALI RIAD, S.Kom _ SERTIFIKAT BerAKHLAK</v>
      </c>
      <c r="P9467" s="5" t="s">
        <v>58690</v>
      </c>
    </row>
    <row r="9468">
      <c r="A9468" s="4">
        <v>45534.45793549769</v>
      </c>
      <c r="B9468" s="5" t="s">
        <v>34</v>
      </c>
      <c r="D9468" s="5" t="s">
        <v>1206</v>
      </c>
      <c r="E9468" s="5" t="s">
        <v>58691</v>
      </c>
      <c r="F9468" s="5" t="s">
        <v>72</v>
      </c>
      <c r="G9468" s="5" t="s">
        <v>58692</v>
      </c>
      <c r="H9468" s="6" t="s">
        <v>58693</v>
      </c>
      <c r="K9468" s="5" t="s">
        <v>58545</v>
      </c>
      <c r="M9468" s="5" t="s">
        <v>58694</v>
      </c>
      <c r="N9468" s="7" t="s">
        <v>58695</v>
      </c>
      <c r="O9468" s="8" t="str">
        <f>HYPERLINK("https://drive.google.com/file/d/1s5NluK7xCdRnR1LgdaIO6KNbtUHQb5En/view?usp=drivesdk","9467_BELLA WAHYUNIATI A.Md.Kep _ SERTIFIKAT BerAKHLAK")</f>
        <v>9467_BELLA WAHYUNIATI A.Md.Kep _ SERTIFIKAT BerAKHLAK</v>
      </c>
      <c r="P9468" s="5" t="s">
        <v>58696</v>
      </c>
    </row>
    <row r="9469">
      <c r="A9469" s="4">
        <v>45534.45796493055</v>
      </c>
      <c r="B9469" s="5" t="s">
        <v>34</v>
      </c>
      <c r="D9469" s="5" t="s">
        <v>10297</v>
      </c>
      <c r="E9469" s="5" t="s">
        <v>58697</v>
      </c>
      <c r="F9469" s="5" t="s">
        <v>212</v>
      </c>
      <c r="G9469" s="5" t="s">
        <v>58698</v>
      </c>
      <c r="H9469" s="6" t="s">
        <v>58699</v>
      </c>
      <c r="K9469" s="5" t="s">
        <v>58545</v>
      </c>
      <c r="M9469" s="5" t="s">
        <v>58700</v>
      </c>
      <c r="N9469" s="7" t="s">
        <v>58701</v>
      </c>
      <c r="O9469" s="8" t="str">
        <f>HYPERLINK("https://drive.google.com/file/d/106dJdzHF3ZKU8LsZcog2Bq2_3w9AvNzW/view?usp=drivesdk","9468_HABSAH JUMIATI. M, S.SOS _ SERTIFIKAT BerAKHLAK")</f>
        <v>9468_HABSAH JUMIATI. M, S.SOS _ SERTIFIKAT BerAKHLAK</v>
      </c>
      <c r="P9469" s="5" t="s">
        <v>58702</v>
      </c>
    </row>
    <row r="9470">
      <c r="A9470" s="4">
        <v>45534.45811118056</v>
      </c>
      <c r="B9470" s="5" t="s">
        <v>34</v>
      </c>
      <c r="D9470" s="5" t="s">
        <v>4775</v>
      </c>
      <c r="E9470" s="5" t="s">
        <v>58703</v>
      </c>
      <c r="F9470" s="5" t="s">
        <v>72</v>
      </c>
      <c r="G9470" s="5" t="s">
        <v>58704</v>
      </c>
      <c r="H9470" s="6" t="s">
        <v>58705</v>
      </c>
      <c r="K9470" s="5" t="s">
        <v>58706</v>
      </c>
      <c r="M9470" s="5" t="s">
        <v>58707</v>
      </c>
      <c r="N9470" s="7" t="s">
        <v>58708</v>
      </c>
      <c r="O9470" s="8" t="str">
        <f>HYPERLINK("https://drive.google.com/file/d/1994OuevZojR0BSRWMsjawPkiTOzprm_i/view?usp=drivesdk","9469_METANIA HERMAWATI ISTANTO, AMD _ SERTIFIKAT BerAKHLAK")</f>
        <v>9469_METANIA HERMAWATI ISTANTO, AMD _ SERTIFIKAT BerAKHLAK</v>
      </c>
      <c r="P9470" s="5" t="s">
        <v>58709</v>
      </c>
    </row>
    <row r="9471">
      <c r="A9471" s="4">
        <v>45534.4582027662</v>
      </c>
      <c r="B9471" s="5" t="s">
        <v>34</v>
      </c>
      <c r="D9471" s="5" t="s">
        <v>4775</v>
      </c>
      <c r="E9471" s="5" t="s">
        <v>58710</v>
      </c>
      <c r="F9471" s="5" t="s">
        <v>72</v>
      </c>
      <c r="G9471" s="5" t="s">
        <v>58711</v>
      </c>
      <c r="H9471" s="6" t="s">
        <v>58712</v>
      </c>
      <c r="K9471" s="5" t="s">
        <v>58713</v>
      </c>
      <c r="M9471" s="5" t="s">
        <v>58714</v>
      </c>
      <c r="N9471" s="7" t="s">
        <v>58715</v>
      </c>
      <c r="O9471" s="8" t="str">
        <f>HYPERLINK("https://drive.google.com/file/d/1Von1u5xKdxX6tmhELntUM49EX9bjBJlX/view?usp=drivesdk","9470_AGUS SUPRIYADI, ST., MM _ SERTIFIKAT BerAKHLAK")</f>
        <v>9470_AGUS SUPRIYADI, ST., MM _ SERTIFIKAT BerAKHLAK</v>
      </c>
      <c r="P9471" s="5" t="s">
        <v>58716</v>
      </c>
    </row>
    <row r="9472">
      <c r="A9472" s="4">
        <v>45534.45842642361</v>
      </c>
      <c r="B9472" s="5" t="s">
        <v>34</v>
      </c>
      <c r="D9472" s="5" t="s">
        <v>6232</v>
      </c>
      <c r="E9472" s="5" t="s">
        <v>58717</v>
      </c>
      <c r="F9472" s="5" t="s">
        <v>524</v>
      </c>
      <c r="G9472" s="5" t="s">
        <v>58718</v>
      </c>
      <c r="H9472" s="6" t="s">
        <v>58719</v>
      </c>
      <c r="K9472" s="5" t="s">
        <v>58720</v>
      </c>
      <c r="M9472" s="5" t="s">
        <v>58721</v>
      </c>
      <c r="N9472" s="7" t="s">
        <v>58722</v>
      </c>
      <c r="O9472" s="8" t="str">
        <f>HYPERLINK("https://drive.google.com/file/d/1Z0kOECW2Hg_8JyMBaKxuLIM1WhbZBhkc/view?usp=drivesdk","9471_SUPRIANI,S.FARM _ SERTIFIKAT BerAKHLAK")</f>
        <v>9471_SUPRIANI,S.FARM _ SERTIFIKAT BerAKHLAK</v>
      </c>
      <c r="P9472" s="5" t="s">
        <v>58723</v>
      </c>
    </row>
    <row r="9473">
      <c r="A9473" s="4">
        <v>45534.45849462963</v>
      </c>
      <c r="B9473" s="5" t="s">
        <v>34</v>
      </c>
      <c r="D9473" s="5" t="s">
        <v>9020</v>
      </c>
      <c r="E9473" s="5" t="s">
        <v>58724</v>
      </c>
      <c r="F9473" s="5" t="s">
        <v>72</v>
      </c>
      <c r="G9473" s="5" t="s">
        <v>58725</v>
      </c>
      <c r="H9473" s="6" t="s">
        <v>58726</v>
      </c>
      <c r="K9473" s="5" t="s">
        <v>58727</v>
      </c>
      <c r="M9473" s="5" t="s">
        <v>58728</v>
      </c>
      <c r="N9473" s="7" t="s">
        <v>58729</v>
      </c>
      <c r="O9473" s="8" t="str">
        <f>HYPERLINK("https://drive.google.com/file/d/1MWlI8oPGdqV8i0Ih5bvcZX8Ub3ftbzJB/view?usp=drivesdk","9472_SRI MAHDALENA _ SERTIFIKAT BerAKHLAK")</f>
        <v>9472_SRI MAHDALENA _ SERTIFIKAT BerAKHLAK</v>
      </c>
      <c r="P9473" s="5" t="s">
        <v>58730</v>
      </c>
    </row>
    <row r="9474">
      <c r="A9474" s="4">
        <v>45534.458633993054</v>
      </c>
      <c r="B9474" s="5" t="s">
        <v>34</v>
      </c>
      <c r="D9474" s="5" t="s">
        <v>701</v>
      </c>
      <c r="E9474" s="5" t="s">
        <v>24249</v>
      </c>
      <c r="F9474" s="5" t="s">
        <v>212</v>
      </c>
      <c r="G9474" s="5" t="s">
        <v>58731</v>
      </c>
      <c r="H9474" s="6" t="s">
        <v>58732</v>
      </c>
      <c r="K9474" s="5" t="s">
        <v>58733</v>
      </c>
      <c r="M9474" s="5" t="s">
        <v>58734</v>
      </c>
      <c r="N9474" s="7" t="s">
        <v>58735</v>
      </c>
      <c r="O9474" s="8" t="str">
        <f>HYPERLINK("https://drive.google.com/file/d/1gSb2BXvg7723FlSZqtrNMdaKf_Ha_q6q/view?usp=drivesdk","9473_HARYANTO _ SERTIFIKAT BerAKHLAK")</f>
        <v>9473_HARYANTO _ SERTIFIKAT BerAKHLAK</v>
      </c>
      <c r="P9474" s="5" t="s">
        <v>58736</v>
      </c>
    </row>
    <row r="9475">
      <c r="A9475" s="4">
        <v>45534.45876409722</v>
      </c>
      <c r="B9475" s="5" t="s">
        <v>34</v>
      </c>
      <c r="D9475" s="5" t="s">
        <v>14313</v>
      </c>
      <c r="E9475" s="5" t="s">
        <v>58737</v>
      </c>
      <c r="F9475" s="5" t="s">
        <v>72</v>
      </c>
      <c r="G9475" s="5" t="s">
        <v>58738</v>
      </c>
      <c r="H9475" s="6" t="s">
        <v>58739</v>
      </c>
      <c r="K9475" s="5" t="s">
        <v>58740</v>
      </c>
      <c r="M9475" s="5" t="s">
        <v>58741</v>
      </c>
      <c r="N9475" s="7" t="s">
        <v>58742</v>
      </c>
      <c r="O9475" s="8" t="str">
        <f>HYPERLINK("https://drive.google.com/file/d/19KJGKesEJmZKoylLkHJX1PN3RMGUUHhe/view?usp=drivesdk","9474_SYAMSIAH S KEP NS _ SERTIFIKAT BerAKHLAK")</f>
        <v>9474_SYAMSIAH S KEP NS _ SERTIFIKAT BerAKHLAK</v>
      </c>
      <c r="P9475" s="5" t="s">
        <v>58743</v>
      </c>
    </row>
    <row r="9476">
      <c r="A9476" s="4">
        <v>45534.458768125</v>
      </c>
      <c r="B9476" s="5" t="s">
        <v>34</v>
      </c>
      <c r="D9476" s="5" t="s">
        <v>9020</v>
      </c>
      <c r="E9476" s="5" t="s">
        <v>58744</v>
      </c>
      <c r="F9476" s="5" t="s">
        <v>212</v>
      </c>
      <c r="G9476" s="5" t="s">
        <v>58745</v>
      </c>
      <c r="H9476" s="6" t="s">
        <v>58746</v>
      </c>
      <c r="K9476" s="5" t="s">
        <v>58740</v>
      </c>
      <c r="M9476" s="5" t="s">
        <v>58747</v>
      </c>
      <c r="N9476" s="7" t="s">
        <v>58748</v>
      </c>
      <c r="O9476" s="8" t="str">
        <f>HYPERLINK("https://drive.google.com/file/d/1udGpicr89syXSA3KlCWv3HLS8FpQM1A_/view?usp=drivesdk","9475_NURMASITI _ SERTIFIKAT BerAKHLAK")</f>
        <v>9475_NURMASITI _ SERTIFIKAT BerAKHLAK</v>
      </c>
      <c r="P9476" s="5" t="s">
        <v>58749</v>
      </c>
    </row>
    <row r="9477" hidden="1">
      <c r="A9477" s="4">
        <v>45534.45880574074</v>
      </c>
      <c r="B9477" s="5" t="s">
        <v>19</v>
      </c>
      <c r="C9477" s="5" t="s">
        <v>292</v>
      </c>
      <c r="E9477" s="5" t="s">
        <v>58750</v>
      </c>
      <c r="F9477" s="5" t="s">
        <v>108</v>
      </c>
      <c r="G9477" s="5" t="s">
        <v>58751</v>
      </c>
      <c r="H9477" s="6" t="s">
        <v>58752</v>
      </c>
      <c r="K9477" s="5" t="s">
        <v>58740</v>
      </c>
      <c r="M9477" s="5" t="s">
        <v>58753</v>
      </c>
      <c r="N9477" s="7" t="s">
        <v>58754</v>
      </c>
      <c r="O9477" s="8" t="str">
        <f>HYPERLINK("https://drive.google.com/file/d/1T626IAel4zUgU2gtgAatdFHJ_acgrHsj/view?usp=drivesdk","9476_SUGENG _ SERTIFIKAT BerAKHLAK")</f>
        <v>9476_SUGENG _ SERTIFIKAT BerAKHLAK</v>
      </c>
      <c r="P9477" s="5" t="s">
        <v>58755</v>
      </c>
    </row>
    <row r="9478">
      <c r="A9478" s="4">
        <v>45534.45888722222</v>
      </c>
      <c r="B9478" s="5" t="s">
        <v>34</v>
      </c>
      <c r="D9478" s="5" t="s">
        <v>1768</v>
      </c>
      <c r="E9478" s="5" t="s">
        <v>58756</v>
      </c>
      <c r="F9478" s="5" t="s">
        <v>524</v>
      </c>
      <c r="G9478" s="5" t="s">
        <v>58757</v>
      </c>
      <c r="H9478" s="6" t="s">
        <v>58758</v>
      </c>
      <c r="K9478" s="5" t="s">
        <v>58759</v>
      </c>
      <c r="M9478" s="5" t="s">
        <v>58760</v>
      </c>
      <c r="N9478" s="7" t="s">
        <v>58761</v>
      </c>
      <c r="O9478" s="8" t="str">
        <f>HYPERLINK("https://drive.google.com/file/d/13qrZpSggw0OgCa3C4gjg-I2yq5IAZyI8/view?usp=drivesdk","9477_SRI MUSTIANI _ SERTIFIKAT BerAKHLAK")</f>
        <v>9477_SRI MUSTIANI _ SERTIFIKAT BerAKHLAK</v>
      </c>
      <c r="P9478" s="5" t="s">
        <v>58762</v>
      </c>
    </row>
    <row r="9479">
      <c r="A9479" s="4">
        <v>45534.458901226855</v>
      </c>
      <c r="B9479" s="5" t="s">
        <v>34</v>
      </c>
      <c r="D9479" s="5" t="s">
        <v>1558</v>
      </c>
      <c r="E9479" s="5" t="s">
        <v>58763</v>
      </c>
      <c r="F9479" s="5" t="s">
        <v>108</v>
      </c>
      <c r="G9479" s="5" t="s">
        <v>58764</v>
      </c>
      <c r="H9479" s="6" t="s">
        <v>58765</v>
      </c>
      <c r="K9479" s="5" t="s">
        <v>58759</v>
      </c>
      <c r="M9479" s="5" t="s">
        <v>58766</v>
      </c>
      <c r="N9479" s="7" t="s">
        <v>58767</v>
      </c>
      <c r="O9479" s="8" t="str">
        <f>HYPERLINK("https://drive.google.com/file/d/14vA733Tr6wPhW951-MZD9-WRFcb5EQzI/view?usp=drivesdk","9478_RESA SAPARIYAH, S.E. _ SERTIFIKAT BerAKHLAK")</f>
        <v>9478_RESA SAPARIYAH, S.E. _ SERTIFIKAT BerAKHLAK</v>
      </c>
      <c r="P9479" s="5" t="s">
        <v>58768</v>
      </c>
    </row>
    <row r="9480">
      <c r="A9480" s="4">
        <v>45534.45893971065</v>
      </c>
      <c r="B9480" s="5" t="s">
        <v>34</v>
      </c>
      <c r="D9480" s="5" t="s">
        <v>9020</v>
      </c>
      <c r="E9480" s="5" t="s">
        <v>58769</v>
      </c>
      <c r="F9480" s="5" t="s">
        <v>37</v>
      </c>
      <c r="G9480" s="5" t="s">
        <v>58770</v>
      </c>
      <c r="H9480" s="6" t="s">
        <v>58771</v>
      </c>
      <c r="K9480" s="5" t="s">
        <v>58772</v>
      </c>
      <c r="M9480" s="5" t="s">
        <v>58773</v>
      </c>
      <c r="N9480" s="7" t="s">
        <v>58774</v>
      </c>
      <c r="O9480" s="8" t="str">
        <f>HYPERLINK("https://drive.google.com/file/d/1qeONQfzaVIAgC21ywG0ZBFuJeBEjdYDe/view?usp=drivesdk","9479_SRI MARLINA KAROKARO _ SERTIFIKAT BerAKHLAK")</f>
        <v>9479_SRI MARLINA KAROKARO _ SERTIFIKAT BerAKHLAK</v>
      </c>
      <c r="P9480" s="5" t="s">
        <v>58775</v>
      </c>
    </row>
    <row r="9481">
      <c r="A9481" s="4">
        <v>45534.45894325231</v>
      </c>
      <c r="B9481" s="5" t="s">
        <v>34</v>
      </c>
      <c r="D9481" s="5" t="s">
        <v>1558</v>
      </c>
      <c r="E9481" s="5" t="s">
        <v>17766</v>
      </c>
      <c r="F9481" s="5" t="s">
        <v>524</v>
      </c>
      <c r="G9481" s="5" t="s">
        <v>58776</v>
      </c>
      <c r="H9481" s="6" t="s">
        <v>58777</v>
      </c>
      <c r="K9481" s="5" t="s">
        <v>58772</v>
      </c>
      <c r="M9481" s="5" t="s">
        <v>58778</v>
      </c>
      <c r="N9481" s="7" t="s">
        <v>58779</v>
      </c>
      <c r="O9481" s="8" t="str">
        <f>HYPERLINK("https://drive.google.com/file/d/1dfbexrkTGAKd3socg7_PTQvaN6h9DU32/view?usp=drivesdk","9480_MAWARDI _ SERTIFIKAT BerAKHLAK")</f>
        <v>9480_MAWARDI _ SERTIFIKAT BerAKHLAK</v>
      </c>
      <c r="P9481" s="5" t="s">
        <v>58780</v>
      </c>
    </row>
    <row r="9482" hidden="1">
      <c r="A9482" s="4">
        <v>45534.458989328705</v>
      </c>
      <c r="B9482" s="5" t="s">
        <v>19</v>
      </c>
      <c r="C9482" s="5" t="s">
        <v>292</v>
      </c>
      <c r="E9482" s="5" t="s">
        <v>58781</v>
      </c>
      <c r="F9482" s="5" t="s">
        <v>375</v>
      </c>
      <c r="G9482" s="5" t="s">
        <v>58782</v>
      </c>
      <c r="H9482" s="6" t="s">
        <v>58783</v>
      </c>
      <c r="K9482" s="5" t="s">
        <v>58784</v>
      </c>
      <c r="M9482" s="5" t="s">
        <v>58785</v>
      </c>
      <c r="N9482" s="7" t="s">
        <v>58786</v>
      </c>
      <c r="O9482" s="8" t="str">
        <f>HYPERLINK("https://drive.google.com/file/d/1b0N_27_fmOAqbh02grc4Nd_EnliPSJhp/view?usp=drivesdk","9481_MUJAYADAH, S.H. _ SERTIFIKAT BerAKHLAK")</f>
        <v>9481_MUJAYADAH, S.H. _ SERTIFIKAT BerAKHLAK</v>
      </c>
      <c r="P9482" s="5" t="s">
        <v>58787</v>
      </c>
    </row>
    <row r="9483" hidden="1">
      <c r="A9483" s="4">
        <v>45534.45914416667</v>
      </c>
      <c r="B9483" s="5" t="s">
        <v>19</v>
      </c>
      <c r="C9483" s="5" t="s">
        <v>292</v>
      </c>
      <c r="E9483" s="5" t="s">
        <v>58788</v>
      </c>
      <c r="F9483" s="5" t="s">
        <v>37</v>
      </c>
      <c r="G9483" s="5" t="s">
        <v>58789</v>
      </c>
      <c r="H9483" s="6" t="s">
        <v>58790</v>
      </c>
      <c r="K9483" s="5" t="s">
        <v>58791</v>
      </c>
      <c r="M9483" s="5" t="s">
        <v>58792</v>
      </c>
      <c r="N9483" s="7" t="s">
        <v>58793</v>
      </c>
      <c r="O9483" s="8" t="str">
        <f>HYPERLINK("https://drive.google.com/file/d/1ZxVYp74MiMQfj9YswSdsLntEIu8u0dn5/view?usp=drivesdk","9482_Hilda Afni Alindia _ SERTIFIKAT BerAKHLAK")</f>
        <v>9482_Hilda Afni Alindia _ SERTIFIKAT BerAKHLAK</v>
      </c>
      <c r="P9483" s="5" t="s">
        <v>58794</v>
      </c>
    </row>
    <row r="9484" hidden="1">
      <c r="A9484" s="4">
        <v>45534.45917498843</v>
      </c>
      <c r="B9484" s="5" t="s">
        <v>19</v>
      </c>
      <c r="C9484" s="5" t="s">
        <v>442</v>
      </c>
      <c r="E9484" s="5" t="s">
        <v>58795</v>
      </c>
      <c r="F9484" s="5" t="s">
        <v>524</v>
      </c>
      <c r="G9484" s="5" t="s">
        <v>58796</v>
      </c>
      <c r="H9484" s="6" t="s">
        <v>58797</v>
      </c>
      <c r="K9484" s="5" t="s">
        <v>58791</v>
      </c>
      <c r="M9484" s="5" t="s">
        <v>58798</v>
      </c>
      <c r="N9484" s="7" t="s">
        <v>58799</v>
      </c>
      <c r="O9484" s="8" t="str">
        <f>HYPERLINK("https://drive.google.com/file/d/1wYmXYpfYxhzm8616FDzSMSHA2QMLCiyn/view?usp=drivesdk","9483_ANDRI WINOTO _ SERTIFIKAT BerAKHLAK")</f>
        <v>9483_ANDRI WINOTO _ SERTIFIKAT BerAKHLAK</v>
      </c>
      <c r="P9484" s="5" t="s">
        <v>58800</v>
      </c>
    </row>
    <row r="9485">
      <c r="A9485" s="4">
        <v>45534.45924710648</v>
      </c>
      <c r="B9485" s="5" t="s">
        <v>34</v>
      </c>
      <c r="D9485" s="5" t="s">
        <v>4775</v>
      </c>
      <c r="E9485" s="5" t="s">
        <v>58801</v>
      </c>
      <c r="F9485" s="5" t="s">
        <v>212</v>
      </c>
      <c r="G9485" s="5" t="s">
        <v>58802</v>
      </c>
      <c r="H9485" s="6" t="s">
        <v>58803</v>
      </c>
      <c r="K9485" s="5" t="s">
        <v>58791</v>
      </c>
      <c r="M9485" s="5" t="s">
        <v>58804</v>
      </c>
      <c r="N9485" s="7" t="s">
        <v>58805</v>
      </c>
      <c r="O9485" s="8" t="str">
        <f>HYPERLINK("https://drive.google.com/file/d/1gVv3RKOoOEbrApd7QzR1Swo2L68OSkTp/view?usp=drivesdk","9484_ANITA YULIANTI _ SERTIFIKAT BerAKHLAK")</f>
        <v>9484_ANITA YULIANTI _ SERTIFIKAT BerAKHLAK</v>
      </c>
      <c r="P9485" s="5" t="s">
        <v>58800</v>
      </c>
    </row>
    <row r="9486">
      <c r="A9486" s="4">
        <v>45534.45926497685</v>
      </c>
      <c r="B9486" s="5" t="s">
        <v>34</v>
      </c>
      <c r="D9486" s="5" t="s">
        <v>1206</v>
      </c>
      <c r="E9486" s="5" t="s">
        <v>58806</v>
      </c>
      <c r="F9486" s="5" t="s">
        <v>37</v>
      </c>
      <c r="G9486" s="5" t="s">
        <v>58807</v>
      </c>
      <c r="H9486" s="6" t="s">
        <v>58808</v>
      </c>
      <c r="K9486" s="5" t="s">
        <v>58791</v>
      </c>
      <c r="M9486" s="5" t="s">
        <v>58809</v>
      </c>
      <c r="N9486" s="7" t="s">
        <v>58810</v>
      </c>
      <c r="O9486" s="8" t="str">
        <f>HYPERLINK("https://drive.google.com/file/d/1q_fcmWwLGT9qBbrEVeTXA3rMP4vJ8bC1/view?usp=drivesdk","9485_SRIWULAN FEBRIANI HADININGSIH _ SERTIFIKAT BerAKHLAK")</f>
        <v>9485_SRIWULAN FEBRIANI HADININGSIH _ SERTIFIKAT BerAKHLAK</v>
      </c>
      <c r="P9486" s="5" t="s">
        <v>58800</v>
      </c>
    </row>
    <row r="9487">
      <c r="A9487" s="4">
        <v>45534.45931107639</v>
      </c>
      <c r="B9487" s="5" t="s">
        <v>34</v>
      </c>
      <c r="D9487" s="5" t="s">
        <v>1206</v>
      </c>
      <c r="E9487" s="5" t="s">
        <v>58811</v>
      </c>
      <c r="F9487" s="5" t="s">
        <v>37</v>
      </c>
      <c r="G9487" s="5" t="s">
        <v>58812</v>
      </c>
      <c r="H9487" s="6" t="s">
        <v>58813</v>
      </c>
      <c r="K9487" s="5" t="s">
        <v>58791</v>
      </c>
      <c r="M9487" s="5" t="s">
        <v>58814</v>
      </c>
      <c r="N9487" s="7" t="s">
        <v>58815</v>
      </c>
      <c r="O9487" s="8" t="str">
        <f>HYPERLINK("https://drive.google.com/file/d/1S0tC_KGXuSebD3V30_qW7FyW2w-Gc_Mg/view?usp=drivesdk","9486_TOTOK HARTANTO _ SERTIFIKAT BerAKHLAK")</f>
        <v>9486_TOTOK HARTANTO _ SERTIFIKAT BerAKHLAK</v>
      </c>
      <c r="P9487" s="5" t="s">
        <v>58816</v>
      </c>
    </row>
    <row r="9488">
      <c r="A9488" s="4">
        <v>45534.45932740741</v>
      </c>
      <c r="B9488" s="5" t="s">
        <v>34</v>
      </c>
      <c r="D9488" s="5" t="s">
        <v>14313</v>
      </c>
      <c r="E9488" s="5" t="s">
        <v>58817</v>
      </c>
      <c r="F9488" s="5" t="s">
        <v>524</v>
      </c>
      <c r="G9488" s="5" t="s">
        <v>58818</v>
      </c>
      <c r="H9488" s="6" t="s">
        <v>58819</v>
      </c>
      <c r="K9488" s="5" t="s">
        <v>58791</v>
      </c>
      <c r="M9488" s="5" t="s">
        <v>58820</v>
      </c>
      <c r="N9488" s="7" t="s">
        <v>58821</v>
      </c>
      <c r="O9488" s="8" t="str">
        <f>HYPERLINK("https://drive.google.com/file/d/1En4ESGLc8y-wRLZwuDqRZ2wr9ZlDWzc6/view?usp=drivesdk","9487_ISYE NURSAMKA, S.Si _ SERTIFIKAT BerAKHLAK")</f>
        <v>9487_ISYE NURSAMKA, S.Si _ SERTIFIKAT BerAKHLAK</v>
      </c>
      <c r="P9488" s="5" t="s">
        <v>58822</v>
      </c>
    </row>
    <row r="9489">
      <c r="A9489" s="4">
        <v>45534.45933891204</v>
      </c>
      <c r="B9489" s="5" t="s">
        <v>34</v>
      </c>
      <c r="D9489" s="5" t="s">
        <v>14424</v>
      </c>
      <c r="E9489" s="5" t="s">
        <v>58823</v>
      </c>
      <c r="F9489" s="5" t="s">
        <v>375</v>
      </c>
      <c r="G9489" s="5" t="s">
        <v>58824</v>
      </c>
      <c r="H9489" s="6" t="s">
        <v>58825</v>
      </c>
      <c r="K9489" s="5" t="s">
        <v>58791</v>
      </c>
      <c r="M9489" s="5" t="s">
        <v>58826</v>
      </c>
      <c r="N9489" s="7" t="s">
        <v>58827</v>
      </c>
      <c r="O9489" s="8" t="str">
        <f>HYPERLINK("https://drive.google.com/file/d/1cPcWs5wUEqTvwQKQ1pv0SWTmIef2X8Kz/view?usp=drivesdk","9488_BENGET _ SERTIFIKAT BerAKHLAK")</f>
        <v>9488_BENGET _ SERTIFIKAT BerAKHLAK</v>
      </c>
      <c r="P9489" s="5" t="s">
        <v>58828</v>
      </c>
    </row>
    <row r="9490" hidden="1">
      <c r="A9490" s="4">
        <v>45534.459410069445</v>
      </c>
      <c r="B9490" s="5" t="s">
        <v>19</v>
      </c>
      <c r="C9490" s="5" t="s">
        <v>442</v>
      </c>
      <c r="E9490" s="5" t="s">
        <v>58829</v>
      </c>
      <c r="F9490" s="5" t="s">
        <v>72</v>
      </c>
      <c r="G9490" s="5" t="s">
        <v>58830</v>
      </c>
      <c r="H9490" s="6" t="s">
        <v>58831</v>
      </c>
      <c r="K9490" s="5" t="s">
        <v>58791</v>
      </c>
      <c r="M9490" s="5" t="s">
        <v>58832</v>
      </c>
      <c r="N9490" s="7" t="s">
        <v>58833</v>
      </c>
      <c r="O9490" s="8" t="str">
        <f>HYPERLINK("https://drive.google.com/file/d/1kJD0EeQQ-hAEgCc0xQGUXRTmEwNTxSzD/view?usp=drivesdk","9489_DANIELI LAOLI _ SERTIFIKAT BerAKHLAK")</f>
        <v>9489_DANIELI LAOLI _ SERTIFIKAT BerAKHLAK</v>
      </c>
      <c r="P9490" s="5" t="s">
        <v>58828</v>
      </c>
    </row>
    <row r="9491">
      <c r="A9491" s="4">
        <v>45534.45957337963</v>
      </c>
      <c r="B9491" s="5" t="s">
        <v>34</v>
      </c>
      <c r="D9491" s="5" t="s">
        <v>15401</v>
      </c>
      <c r="E9491" s="5" t="s">
        <v>58834</v>
      </c>
      <c r="F9491" s="5" t="s">
        <v>375</v>
      </c>
      <c r="G9491" s="5" t="s">
        <v>58835</v>
      </c>
      <c r="H9491" s="6" t="s">
        <v>58836</v>
      </c>
      <c r="K9491" s="5" t="s">
        <v>58791</v>
      </c>
      <c r="M9491" s="5" t="s">
        <v>58837</v>
      </c>
      <c r="N9491" s="7" t="s">
        <v>58838</v>
      </c>
      <c r="O9491" s="8" t="str">
        <f>HYPERLINK("https://drive.google.com/file/d/1EWtHC9qjWDqYYmg60gKtJAvi6z_981n-/view?usp=drivesdk","9490_AGUNG NUGROHO S, S.Kom _ SERTIFIKAT BerAKHLAK")</f>
        <v>9490_AGUNG NUGROHO S, S.Kom _ SERTIFIKAT BerAKHLAK</v>
      </c>
      <c r="P9491" s="5" t="s">
        <v>58828</v>
      </c>
    </row>
    <row r="9492" hidden="1">
      <c r="A9492" s="4">
        <v>45534.45969142361</v>
      </c>
      <c r="B9492" s="5" t="s">
        <v>19</v>
      </c>
      <c r="C9492" s="5" t="s">
        <v>292</v>
      </c>
      <c r="E9492" s="5" t="s">
        <v>58839</v>
      </c>
      <c r="F9492" s="5" t="s">
        <v>22</v>
      </c>
      <c r="G9492" s="5" t="s">
        <v>58840</v>
      </c>
      <c r="H9492" s="6" t="s">
        <v>58841</v>
      </c>
      <c r="K9492" s="5" t="s">
        <v>58791</v>
      </c>
      <c r="M9492" s="5" t="s">
        <v>58842</v>
      </c>
      <c r="N9492" s="7" t="s">
        <v>58843</v>
      </c>
      <c r="O9492" s="8" t="str">
        <f>HYPERLINK("https://drive.google.com/file/d/1d7RvZoYCnBMrS04yZ2xyVR1u8guO92px/view?usp=drivesdk","9491_dr. CANTI WIDHARISASTRA, Sp.Rad _ SERTIFIKAT BerAKHLAK")</f>
        <v>9491_dr. CANTI WIDHARISASTRA, Sp.Rad _ SERTIFIKAT BerAKHLAK</v>
      </c>
      <c r="P9492" s="5" t="s">
        <v>58844</v>
      </c>
    </row>
    <row r="9493" hidden="1">
      <c r="A9493" s="4">
        <v>45534.45975858797</v>
      </c>
      <c r="B9493" s="5" t="s">
        <v>19</v>
      </c>
      <c r="C9493" s="5" t="s">
        <v>442</v>
      </c>
      <c r="E9493" s="5" t="s">
        <v>58845</v>
      </c>
      <c r="F9493" s="5" t="s">
        <v>212</v>
      </c>
      <c r="G9493" s="5" t="s">
        <v>58846</v>
      </c>
      <c r="H9493" s="6" t="s">
        <v>58847</v>
      </c>
      <c r="K9493" s="5" t="s">
        <v>58791</v>
      </c>
      <c r="M9493" s="5" t="s">
        <v>58848</v>
      </c>
      <c r="N9493" s="7" t="s">
        <v>58849</v>
      </c>
      <c r="O9493" s="8" t="str">
        <f>HYPERLINK("https://drive.google.com/file/d/1PacZtBBJLAdcB5I7NhUAwKMtAvSURSbF/view?usp=drivesdk","9492_APIDIN _ SERTIFIKAT BerAKHLAK")</f>
        <v>9492_APIDIN _ SERTIFIKAT BerAKHLAK</v>
      </c>
      <c r="P9493" s="5" t="s">
        <v>58844</v>
      </c>
    </row>
    <row r="9494">
      <c r="A9494" s="4">
        <v>45534.459761446764</v>
      </c>
      <c r="B9494" s="5" t="s">
        <v>34</v>
      </c>
      <c r="D9494" s="5" t="s">
        <v>1206</v>
      </c>
      <c r="E9494" s="5" t="s">
        <v>58850</v>
      </c>
      <c r="F9494" s="5" t="s">
        <v>375</v>
      </c>
      <c r="G9494" s="5" t="s">
        <v>58851</v>
      </c>
      <c r="H9494" s="6" t="s">
        <v>58852</v>
      </c>
      <c r="K9494" s="5" t="s">
        <v>58791</v>
      </c>
      <c r="M9494" s="5" t="s">
        <v>58853</v>
      </c>
      <c r="N9494" s="7" t="s">
        <v>58854</v>
      </c>
      <c r="O9494" s="8" t="str">
        <f>HYPERLINK("https://drive.google.com/file/d/1bznKs6PUrlnpXu7QlxvQbSiLD9uyIJB7/view?usp=drivesdk","9493_DAMETIAR NOVASTI SILITONGA, S.E.,M.M. _ SERTIFIKAT BerAKHLAK")</f>
        <v>9493_DAMETIAR NOVASTI SILITONGA, S.E.,M.M. _ SERTIFIKAT BerAKHLAK</v>
      </c>
      <c r="P9494" s="5" t="s">
        <v>58844</v>
      </c>
    </row>
    <row r="9495">
      <c r="A9495" s="4">
        <v>45534.45989695602</v>
      </c>
      <c r="B9495" s="5" t="s">
        <v>34</v>
      </c>
      <c r="D9495" s="5" t="s">
        <v>14313</v>
      </c>
      <c r="E9495" s="5" t="s">
        <v>58855</v>
      </c>
      <c r="F9495" s="5" t="s">
        <v>120</v>
      </c>
      <c r="G9495" s="5" t="s">
        <v>58856</v>
      </c>
      <c r="H9495" s="6" t="s">
        <v>58857</v>
      </c>
      <c r="K9495" s="5" t="s">
        <v>58791</v>
      </c>
      <c r="M9495" s="5" t="s">
        <v>58858</v>
      </c>
      <c r="N9495" s="7" t="s">
        <v>58859</v>
      </c>
      <c r="O9495" s="8" t="str">
        <f>HYPERLINK("https://drive.google.com/file/d/1N_326jHbTSQH8FDMVyPAl3BV1FCwdvTE/view?usp=drivesdk","9494_DR MARYAM M.ADM KES SPGK _ SERTIFIKAT BerAKHLAK")</f>
        <v>9494_DR MARYAM M.ADM KES SPGK _ SERTIFIKAT BerAKHLAK</v>
      </c>
      <c r="P9495" s="5" t="s">
        <v>58844</v>
      </c>
    </row>
    <row r="9496" hidden="1">
      <c r="A9496" s="4">
        <v>45534.46016471065</v>
      </c>
      <c r="B9496" s="5" t="s">
        <v>19</v>
      </c>
      <c r="C9496" s="5" t="s">
        <v>3301</v>
      </c>
      <c r="E9496" s="5" t="s">
        <v>58860</v>
      </c>
      <c r="F9496" s="5" t="s">
        <v>120</v>
      </c>
      <c r="G9496" s="5" t="s">
        <v>58861</v>
      </c>
      <c r="H9496" s="6" t="s">
        <v>58862</v>
      </c>
      <c r="K9496" s="5" t="s">
        <v>58791</v>
      </c>
      <c r="M9496" s="5" t="s">
        <v>58863</v>
      </c>
      <c r="N9496" s="7" t="s">
        <v>58864</v>
      </c>
      <c r="O9496" s="8" t="str">
        <f>HYPERLINK("https://drive.google.com/file/d/18opzeC6zKUc8x1BT-ez3aEEtwaDcrfB3/view?usp=drivesdk","9495_FIRDAUS YAHYA, SE, MM _ SERTIFIKAT BerAKHLAK")</f>
        <v>9495_FIRDAUS YAHYA, SE, MM _ SERTIFIKAT BerAKHLAK</v>
      </c>
      <c r="P9496" s="5" t="s">
        <v>58865</v>
      </c>
    </row>
    <row r="9497" hidden="1">
      <c r="A9497" s="4">
        <v>45534.46019844907</v>
      </c>
      <c r="B9497" s="5" t="s">
        <v>19</v>
      </c>
      <c r="C9497" s="5" t="s">
        <v>292</v>
      </c>
      <c r="E9497" s="5" t="s">
        <v>58866</v>
      </c>
      <c r="F9497" s="5" t="s">
        <v>37</v>
      </c>
      <c r="G9497" s="5" t="s">
        <v>58867</v>
      </c>
      <c r="H9497" s="6" t="s">
        <v>58868</v>
      </c>
      <c r="K9497" s="5" t="s">
        <v>58791</v>
      </c>
      <c r="M9497" s="5" t="s">
        <v>58869</v>
      </c>
      <c r="N9497" s="7" t="s">
        <v>58870</v>
      </c>
      <c r="O9497" s="8" t="str">
        <f>HYPERLINK("https://drive.google.com/file/d/1le9m0djSbeJ-VshDu8mKLoe4tTC8yGti/view?usp=drivesdk","9496_SITI ALIYATUL IMAMAH, S.Tr.Kes _ SERTIFIKAT BerAKHLAK")</f>
        <v>9496_SITI ALIYATUL IMAMAH, S.Tr.Kes _ SERTIFIKAT BerAKHLAK</v>
      </c>
      <c r="P9497" s="5" t="s">
        <v>58865</v>
      </c>
    </row>
    <row r="9498">
      <c r="A9498" s="4">
        <v>45534.460217037034</v>
      </c>
      <c r="B9498" s="5" t="s">
        <v>34</v>
      </c>
      <c r="D9498" s="5" t="s">
        <v>14313</v>
      </c>
      <c r="E9498" s="5" t="s">
        <v>58871</v>
      </c>
      <c r="F9498" s="5" t="s">
        <v>524</v>
      </c>
      <c r="G9498" s="5" t="s">
        <v>58872</v>
      </c>
      <c r="H9498" s="6" t="s">
        <v>58873</v>
      </c>
      <c r="K9498" s="5" t="s">
        <v>58791</v>
      </c>
      <c r="M9498" s="5" t="s">
        <v>58874</v>
      </c>
      <c r="N9498" s="7" t="s">
        <v>58875</v>
      </c>
      <c r="O9498" s="8" t="str">
        <f>HYPERLINK("https://drive.google.com/file/d/1ARHFv38QdADTkcBYeqGar-sBQw7xLEvY/view?usp=drivesdk","9497_ELVI SANTOE S.KM _ SERTIFIKAT BerAKHLAK")</f>
        <v>9497_ELVI SANTOE S.KM _ SERTIFIKAT BerAKHLAK</v>
      </c>
      <c r="P9498" s="5" t="s">
        <v>58865</v>
      </c>
    </row>
    <row r="9499">
      <c r="A9499" s="4">
        <v>45534.46021982639</v>
      </c>
      <c r="B9499" s="5" t="s">
        <v>34</v>
      </c>
      <c r="D9499" s="5" t="s">
        <v>35</v>
      </c>
      <c r="E9499" s="5" t="s">
        <v>58578</v>
      </c>
      <c r="F9499" s="5" t="s">
        <v>212</v>
      </c>
      <c r="G9499" s="5" t="s">
        <v>58579</v>
      </c>
      <c r="H9499" s="6" t="s">
        <v>58876</v>
      </c>
      <c r="K9499" s="5" t="s">
        <v>58791</v>
      </c>
      <c r="M9499" s="5" t="s">
        <v>58877</v>
      </c>
      <c r="N9499" s="7" t="s">
        <v>58878</v>
      </c>
      <c r="O9499" s="8" t="str">
        <f>HYPERLINK("https://drive.google.com/file/d/1CnJe1BX_8Gy8IeSd-UdeodpnjqzmYZ6b/view?usp=drivesdk","9498_UJANG KURNIAWAN JAYA _ SERTIFIKAT BerAKHLAK")</f>
        <v>9498_UJANG KURNIAWAN JAYA _ SERTIFIKAT BerAKHLAK</v>
      </c>
      <c r="P9499" s="5" t="s">
        <v>58865</v>
      </c>
    </row>
    <row r="9500">
      <c r="A9500" s="4">
        <v>45534.46025185185</v>
      </c>
      <c r="B9500" s="5" t="s">
        <v>34</v>
      </c>
      <c r="D9500" s="5" t="s">
        <v>14313</v>
      </c>
      <c r="E9500" s="5" t="s">
        <v>58879</v>
      </c>
      <c r="F9500" s="5" t="s">
        <v>72</v>
      </c>
      <c r="G9500" s="5" t="s">
        <v>58880</v>
      </c>
      <c r="H9500" s="6" t="s">
        <v>58881</v>
      </c>
      <c r="K9500" s="5" t="s">
        <v>58791</v>
      </c>
      <c r="M9500" s="5" t="s">
        <v>58882</v>
      </c>
      <c r="N9500" s="7" t="s">
        <v>58883</v>
      </c>
      <c r="O9500" s="8" t="str">
        <f>HYPERLINK("https://drive.google.com/file/d/1ZfU6ZOfZUw4nN60kZ0_6uE4aQ3lQWjlx/view?usp=drivesdk","9499_Masna, S. Kep, Ns _ SERTIFIKAT BerAKHLAK")</f>
        <v>9499_Masna, S. Kep, Ns _ SERTIFIKAT BerAKHLAK</v>
      </c>
      <c r="P9500" s="5" t="s">
        <v>58865</v>
      </c>
    </row>
    <row r="9501" hidden="1">
      <c r="A9501" s="4">
        <v>45534.460263622685</v>
      </c>
      <c r="B9501" s="5" t="s">
        <v>19</v>
      </c>
      <c r="C9501" s="5" t="s">
        <v>292</v>
      </c>
      <c r="E9501" s="5" t="s">
        <v>58884</v>
      </c>
      <c r="F9501" s="5" t="s">
        <v>524</v>
      </c>
      <c r="G9501" s="5" t="s">
        <v>58885</v>
      </c>
      <c r="H9501" s="6" t="s">
        <v>58886</v>
      </c>
      <c r="K9501" s="5" t="s">
        <v>58791</v>
      </c>
      <c r="M9501" s="5" t="s">
        <v>58887</v>
      </c>
      <c r="N9501" s="7" t="s">
        <v>58888</v>
      </c>
      <c r="O9501" s="8" t="str">
        <f>HYPERLINK("https://drive.google.com/file/d/1BvJHvBHkD5E2p7viDqEAfXMNF_bktYuo/view?usp=drivesdk","9500_HERLINDA DWI ARISKA, S.Tr.Kes. _ SERTIFIKAT BerAKHLAK")</f>
        <v>9500_HERLINDA DWI ARISKA, S.Tr.Kes. _ SERTIFIKAT BerAKHLAK</v>
      </c>
      <c r="P9501" s="5" t="s">
        <v>58889</v>
      </c>
    </row>
    <row r="9502">
      <c r="A9502" s="4">
        <v>45534.46030677084</v>
      </c>
      <c r="B9502" s="5" t="s">
        <v>34</v>
      </c>
      <c r="D9502" s="5" t="s">
        <v>3849</v>
      </c>
      <c r="E9502" s="5" t="s">
        <v>58890</v>
      </c>
      <c r="F9502" s="5" t="s">
        <v>37</v>
      </c>
      <c r="G9502" s="5" t="s">
        <v>58891</v>
      </c>
      <c r="H9502" s="6" t="s">
        <v>58892</v>
      </c>
      <c r="K9502" s="5" t="s">
        <v>58791</v>
      </c>
      <c r="M9502" s="5" t="s">
        <v>58893</v>
      </c>
      <c r="N9502" s="7" t="s">
        <v>58894</v>
      </c>
      <c r="O9502" s="8" t="str">
        <f>HYPERLINK("https://drive.google.com/file/d/1M2OCvAof946OzwFGL8gSdyw2O55Ndo86/view?usp=drivesdk","9501_HERI SAMSURI, AMK _ SERTIFIKAT BerAKHLAK")</f>
        <v>9501_HERI SAMSURI, AMK _ SERTIFIKAT BerAKHLAK</v>
      </c>
      <c r="P9502" s="5" t="s">
        <v>58889</v>
      </c>
    </row>
    <row r="9503">
      <c r="A9503" s="4">
        <v>45534.46037680555</v>
      </c>
      <c r="B9503" s="5" t="s">
        <v>34</v>
      </c>
      <c r="D9503" s="5" t="s">
        <v>4775</v>
      </c>
      <c r="E9503" s="5" t="s">
        <v>24213</v>
      </c>
      <c r="F9503" s="5" t="s">
        <v>375</v>
      </c>
      <c r="G9503" s="5" t="s">
        <v>24214</v>
      </c>
      <c r="H9503" s="6" t="s">
        <v>58895</v>
      </c>
      <c r="K9503" s="5" t="s">
        <v>58791</v>
      </c>
      <c r="M9503" s="5" t="s">
        <v>58896</v>
      </c>
      <c r="N9503" s="7" t="s">
        <v>58897</v>
      </c>
      <c r="O9503" s="8" t="str">
        <f>HYPERLINK("https://drive.google.com/file/d/19BlhKo5vFdTO34Ss-eU3YYSAgoCyl3Dc/view?usp=drivesdk","9502_PANUWUN PRIO HUTOMO, S.Kom _ SERTIFIKAT BerAKHLAK")</f>
        <v>9502_PANUWUN PRIO HUTOMO, S.Kom _ SERTIFIKAT BerAKHLAK</v>
      </c>
      <c r="P9503" s="5" t="s">
        <v>58889</v>
      </c>
    </row>
    <row r="9504">
      <c r="A9504" s="4">
        <v>45534.4604575</v>
      </c>
      <c r="B9504" s="5" t="s">
        <v>34</v>
      </c>
      <c r="D9504" s="5" t="s">
        <v>14424</v>
      </c>
      <c r="E9504" s="5" t="s">
        <v>58898</v>
      </c>
      <c r="F9504" s="5" t="s">
        <v>108</v>
      </c>
      <c r="G9504" s="5" t="s">
        <v>58899</v>
      </c>
      <c r="H9504" s="6" t="s">
        <v>58900</v>
      </c>
      <c r="K9504" s="5" t="s">
        <v>58791</v>
      </c>
      <c r="M9504" s="5" t="s">
        <v>58901</v>
      </c>
      <c r="N9504" s="7" t="s">
        <v>58902</v>
      </c>
      <c r="O9504" s="8" t="str">
        <f>HYPERLINK("https://drive.google.com/file/d/1nWOoCYKs-KUMHhfIC3MiGwlrxfEi5keB/view?usp=drivesdk","9503_NOOR AINY KHAIRIYAH _ SERTIFIKAT BerAKHLAK")</f>
        <v>9503_NOOR AINY KHAIRIYAH _ SERTIFIKAT BerAKHLAK</v>
      </c>
      <c r="P9504" s="5" t="s">
        <v>58889</v>
      </c>
    </row>
    <row r="9505">
      <c r="A9505" s="4">
        <v>45534.46046891204</v>
      </c>
      <c r="B9505" s="5" t="s">
        <v>34</v>
      </c>
      <c r="D9505" s="5" t="s">
        <v>10444</v>
      </c>
      <c r="E9505" s="5" t="s">
        <v>58903</v>
      </c>
      <c r="F9505" s="5" t="s">
        <v>108</v>
      </c>
      <c r="G9505" s="5" t="s">
        <v>58904</v>
      </c>
      <c r="H9505" s="6" t="s">
        <v>58905</v>
      </c>
      <c r="K9505" s="5" t="s">
        <v>58791</v>
      </c>
      <c r="M9505" s="5" t="s">
        <v>58906</v>
      </c>
      <c r="N9505" s="7" t="s">
        <v>58907</v>
      </c>
      <c r="O9505" s="8" t="str">
        <f>HYPERLINK("https://drive.google.com/file/d/1jBw-K8E-bMysWLCMJOqfXZxTgv6NpMLe/view?usp=drivesdk","9504_apt. FAHLI ARFIMAZ _ SERTIFIKAT BerAKHLAK")</f>
        <v>9504_apt. FAHLI ARFIMAZ _ SERTIFIKAT BerAKHLAK</v>
      </c>
      <c r="P9505" s="5" t="s">
        <v>58908</v>
      </c>
    </row>
    <row r="9506">
      <c r="A9506" s="4">
        <v>45534.46050855324</v>
      </c>
      <c r="B9506" s="5" t="s">
        <v>34</v>
      </c>
      <c r="D9506" s="5" t="s">
        <v>9020</v>
      </c>
      <c r="E9506" s="5" t="s">
        <v>58909</v>
      </c>
      <c r="F9506" s="5" t="s">
        <v>37</v>
      </c>
      <c r="G9506" s="5" t="s">
        <v>58910</v>
      </c>
      <c r="H9506" s="6" t="s">
        <v>58911</v>
      </c>
      <c r="K9506" s="5" t="s">
        <v>58791</v>
      </c>
      <c r="M9506" s="5" t="s">
        <v>58912</v>
      </c>
      <c r="N9506" s="7" t="s">
        <v>58913</v>
      </c>
      <c r="O9506" s="8" t="str">
        <f>HYPERLINK("https://drive.google.com/file/d/1rLEHcUUqr-lx77mPztBiX8kmXBOJWjdw/view?usp=drivesdk","9505_LUSIANS _ SERTIFIKAT BerAKHLAK")</f>
        <v>9505_LUSIANS _ SERTIFIKAT BerAKHLAK</v>
      </c>
      <c r="P9506" s="5" t="s">
        <v>58908</v>
      </c>
    </row>
    <row r="9507">
      <c r="A9507" s="4">
        <v>45534.46063934028</v>
      </c>
      <c r="B9507" s="5" t="s">
        <v>34</v>
      </c>
      <c r="D9507" s="5" t="s">
        <v>14424</v>
      </c>
      <c r="E9507" s="5" t="s">
        <v>58914</v>
      </c>
      <c r="F9507" s="5" t="s">
        <v>37</v>
      </c>
      <c r="G9507" s="5" t="s">
        <v>58915</v>
      </c>
      <c r="H9507" s="6" t="s">
        <v>58916</v>
      </c>
      <c r="K9507" s="5" t="s">
        <v>58791</v>
      </c>
      <c r="M9507" s="5" t="s">
        <v>58917</v>
      </c>
      <c r="N9507" s="7" t="s">
        <v>58918</v>
      </c>
      <c r="O9507" s="8" t="str">
        <f>HYPERLINK("https://drive.google.com/file/d/1_YRILD57NsOCGMbOPSrKallo_x_BrKfQ/view?usp=drivesdk","9506_JOHAN,S.Pd _ SERTIFIKAT BerAKHLAK")</f>
        <v>9506_JOHAN,S.Pd _ SERTIFIKAT BerAKHLAK</v>
      </c>
      <c r="P9507" s="5" t="s">
        <v>58919</v>
      </c>
    </row>
    <row r="9508">
      <c r="A9508" s="4">
        <v>45534.46067356481</v>
      </c>
      <c r="B9508" s="5" t="s">
        <v>34</v>
      </c>
      <c r="D9508" s="5" t="s">
        <v>701</v>
      </c>
      <c r="E9508" s="5" t="s">
        <v>18493</v>
      </c>
      <c r="F9508" s="5" t="s">
        <v>212</v>
      </c>
      <c r="G9508" s="5" t="s">
        <v>58920</v>
      </c>
      <c r="H9508" s="6" t="s">
        <v>58921</v>
      </c>
      <c r="K9508" s="5" t="s">
        <v>58922</v>
      </c>
      <c r="M9508" s="5" t="s">
        <v>58923</v>
      </c>
      <c r="N9508" s="7" t="s">
        <v>58924</v>
      </c>
      <c r="O9508" s="8" t="str">
        <f>HYPERLINK("https://drive.google.com/file/d/1_x6su0ZbpT01RBv34C5f7GEWvg6SLrDe/view?usp=drivesdk","9507_GUNADI _ SERTIFIKAT BerAKHLAK")</f>
        <v>9507_GUNADI _ SERTIFIKAT BerAKHLAK</v>
      </c>
      <c r="P9508" s="5" t="s">
        <v>58925</v>
      </c>
    </row>
    <row r="9509">
      <c r="A9509" s="4">
        <v>45534.4607354051</v>
      </c>
      <c r="B9509" s="5" t="s">
        <v>34</v>
      </c>
      <c r="D9509" s="5" t="s">
        <v>975</v>
      </c>
      <c r="E9509" s="5" t="s">
        <v>58926</v>
      </c>
      <c r="F9509" s="5" t="s">
        <v>108</v>
      </c>
      <c r="G9509" s="5" t="s">
        <v>58927</v>
      </c>
      <c r="H9509" s="6" t="s">
        <v>58928</v>
      </c>
      <c r="K9509" s="5" t="s">
        <v>58929</v>
      </c>
      <c r="M9509" s="5" t="s">
        <v>58930</v>
      </c>
      <c r="N9509" s="7" t="s">
        <v>58931</v>
      </c>
      <c r="O9509" s="8" t="str">
        <f>HYPERLINK("https://drive.google.com/file/d/1yhF6rThJbHfiUFh9GVIKdY6RqAmkECE4/view?usp=drivesdk","9508_apt. FEMY LINGGI ALLO, S.Farm _ SERTIFIKAT BerAKHLAK")</f>
        <v>9508_apt. FEMY LINGGI ALLO, S.Farm _ SERTIFIKAT BerAKHLAK</v>
      </c>
      <c r="P9509" s="5" t="s">
        <v>58932</v>
      </c>
    </row>
    <row r="9510" hidden="1">
      <c r="A9510" s="4">
        <v>45534.46076622685</v>
      </c>
      <c r="B9510" s="5" t="s">
        <v>19</v>
      </c>
      <c r="C9510" s="5" t="s">
        <v>292</v>
      </c>
      <c r="E9510" s="5" t="s">
        <v>58933</v>
      </c>
      <c r="F9510" s="5" t="s">
        <v>37</v>
      </c>
      <c r="G9510" s="5" t="s">
        <v>58934</v>
      </c>
      <c r="H9510" s="6" t="s">
        <v>58935</v>
      </c>
      <c r="K9510" s="5" t="s">
        <v>58936</v>
      </c>
      <c r="M9510" s="5" t="s">
        <v>58937</v>
      </c>
      <c r="N9510" s="7" t="s">
        <v>58938</v>
      </c>
      <c r="O9510" s="8" t="str">
        <f>HYPERLINK("https://drive.google.com/file/d/1anNN-GUxDHuX7T8M6Tl4Frboo_3bPCnq/view?usp=drivesdk","9509_Yunnita Retno Wulan, A.Md.Keb. _ SERTIFIKAT BerAKHLAK")</f>
        <v>9509_Yunnita Retno Wulan, A.Md.Keb. _ SERTIFIKAT BerAKHLAK</v>
      </c>
      <c r="P9510" s="5" t="s">
        <v>58939</v>
      </c>
    </row>
    <row r="9511" hidden="1">
      <c r="A9511" s="4">
        <v>45534.46091927083</v>
      </c>
      <c r="B9511" s="5" t="s">
        <v>19</v>
      </c>
      <c r="C9511" s="5" t="s">
        <v>292</v>
      </c>
      <c r="E9511" s="5" t="s">
        <v>58940</v>
      </c>
      <c r="F9511" s="5" t="s">
        <v>524</v>
      </c>
      <c r="G9511" s="5" t="s">
        <v>58941</v>
      </c>
      <c r="H9511" s="6" t="s">
        <v>58942</v>
      </c>
      <c r="K9511" s="5" t="s">
        <v>58943</v>
      </c>
      <c r="M9511" s="5" t="s">
        <v>58944</v>
      </c>
      <c r="N9511" s="7" t="s">
        <v>58945</v>
      </c>
      <c r="O9511" s="8" t="str">
        <f>HYPERLINK("https://drive.google.com/file/d/1FhwzLN1OLwDT3p4qihtkgGaCOLCmf5qs/view?usp=drivesdk","9510_WIWIK DWI YULIWANTI _ SERTIFIKAT BerAKHLAK")</f>
        <v>9510_WIWIK DWI YULIWANTI _ SERTIFIKAT BerAKHLAK</v>
      </c>
      <c r="P9511" s="5" t="s">
        <v>58946</v>
      </c>
    </row>
    <row r="9512">
      <c r="A9512" s="4">
        <v>45534.46096976852</v>
      </c>
      <c r="B9512" s="5" t="s">
        <v>34</v>
      </c>
      <c r="D9512" s="5" t="s">
        <v>1206</v>
      </c>
      <c r="E9512" s="5" t="s">
        <v>8180</v>
      </c>
      <c r="F9512" s="5" t="s">
        <v>120</v>
      </c>
      <c r="G9512" s="5" t="s">
        <v>58676</v>
      </c>
      <c r="H9512" s="6" t="s">
        <v>58947</v>
      </c>
      <c r="K9512" s="5" t="s">
        <v>58943</v>
      </c>
      <c r="M9512" s="5" t="s">
        <v>58948</v>
      </c>
      <c r="N9512" s="7" t="s">
        <v>58949</v>
      </c>
      <c r="O9512" s="8" t="str">
        <f>HYPERLINK("https://drive.google.com/file/d/1BxrlZOgejSw1X8CbrSu1DPM4_c6diPJZ/view?usp=drivesdk","9511_UMMI MAISAROH _ SERTIFIKAT BerAKHLAK")</f>
        <v>9511_UMMI MAISAROH _ SERTIFIKAT BerAKHLAK</v>
      </c>
      <c r="P9512" s="5" t="s">
        <v>58950</v>
      </c>
    </row>
    <row r="9513" hidden="1">
      <c r="A9513" s="4">
        <v>45534.461080636574</v>
      </c>
      <c r="B9513" s="5" t="s">
        <v>19</v>
      </c>
      <c r="C9513" s="5" t="s">
        <v>32901</v>
      </c>
      <c r="E9513" s="5" t="s">
        <v>58951</v>
      </c>
      <c r="F9513" s="5" t="s">
        <v>108</v>
      </c>
      <c r="G9513" s="5" t="s">
        <v>58952</v>
      </c>
      <c r="H9513" s="6" t="s">
        <v>58953</v>
      </c>
      <c r="K9513" s="5" t="s">
        <v>58954</v>
      </c>
      <c r="M9513" s="5" t="s">
        <v>58955</v>
      </c>
      <c r="N9513" s="7" t="s">
        <v>58956</v>
      </c>
      <c r="O9513" s="8" t="str">
        <f>HYPERLINK("https://drive.google.com/file/d/1-KwQGrejXoX3t2MbRvVHAgOQ3N2LyjN2/view?usp=drivesdk","9512_SITI JULIASTUTI _ SERTIFIKAT BerAKHLAK")</f>
        <v>9512_SITI JULIASTUTI _ SERTIFIKAT BerAKHLAK</v>
      </c>
      <c r="P9513" s="5" t="s">
        <v>58957</v>
      </c>
    </row>
    <row r="9514">
      <c r="A9514" s="4">
        <v>45534.46121864583</v>
      </c>
      <c r="B9514" s="5" t="s">
        <v>34</v>
      </c>
      <c r="D9514" s="5" t="s">
        <v>14313</v>
      </c>
      <c r="E9514" s="5" t="s">
        <v>58958</v>
      </c>
      <c r="F9514" s="5" t="s">
        <v>108</v>
      </c>
      <c r="G9514" s="5" t="s">
        <v>58959</v>
      </c>
      <c r="H9514" s="6" t="s">
        <v>58960</v>
      </c>
      <c r="K9514" s="5" t="s">
        <v>58954</v>
      </c>
      <c r="M9514" s="5" t="s">
        <v>58961</v>
      </c>
      <c r="N9514" s="7" t="s">
        <v>58962</v>
      </c>
      <c r="O9514" s="8" t="str">
        <f>HYPERLINK("https://drive.google.com/file/d/1wioftHKrUn31MOjgDgigCE2_rfs-K-L_/view?usp=drivesdk","9513_HAMRIANI R _ SERTIFIKAT BerAKHLAK")</f>
        <v>9513_HAMRIANI R _ SERTIFIKAT BerAKHLAK</v>
      </c>
      <c r="P9514" s="5" t="s">
        <v>58963</v>
      </c>
    </row>
    <row r="9515" hidden="1">
      <c r="A9515" s="4">
        <v>45534.461302627315</v>
      </c>
      <c r="B9515" s="5" t="s">
        <v>19</v>
      </c>
      <c r="C9515" s="5" t="s">
        <v>292</v>
      </c>
      <c r="E9515" s="5" t="s">
        <v>58964</v>
      </c>
      <c r="F9515" s="5" t="s">
        <v>37</v>
      </c>
      <c r="G9515" s="5" t="s">
        <v>58965</v>
      </c>
      <c r="H9515" s="6" t="s">
        <v>58966</v>
      </c>
      <c r="K9515" s="5" t="s">
        <v>58954</v>
      </c>
      <c r="M9515" s="5" t="s">
        <v>58967</v>
      </c>
      <c r="N9515" s="7" t="s">
        <v>58968</v>
      </c>
      <c r="O9515" s="8" t="str">
        <f>HYPERLINK("https://drive.google.com/file/d/1E8ZwCFrPX9G_qaPZBeFDvYoSg9EeIACL/view?usp=drivesdk","9514_AWANG RIA FARIDA _ SERTIFIKAT BerAKHLAK")</f>
        <v>9514_AWANG RIA FARIDA _ SERTIFIKAT BerAKHLAK</v>
      </c>
      <c r="P9515" s="5" t="s">
        <v>58969</v>
      </c>
    </row>
    <row r="9516" hidden="1">
      <c r="A9516" s="4">
        <v>45534.46130778935</v>
      </c>
      <c r="B9516" s="5" t="s">
        <v>19</v>
      </c>
      <c r="C9516" s="5" t="s">
        <v>292</v>
      </c>
      <c r="E9516" s="5" t="s">
        <v>58970</v>
      </c>
      <c r="F9516" s="5" t="s">
        <v>212</v>
      </c>
      <c r="G9516" s="5" t="s">
        <v>58971</v>
      </c>
      <c r="H9516" s="6" t="s">
        <v>58972</v>
      </c>
      <c r="K9516" s="5" t="s">
        <v>58954</v>
      </c>
      <c r="M9516" s="5" t="s">
        <v>58973</v>
      </c>
      <c r="N9516" s="7" t="s">
        <v>58974</v>
      </c>
      <c r="O9516" s="8" t="str">
        <f>HYPERLINK("https://drive.google.com/file/d/1CjEoaG0cCbqK5pZgMHJfeqTlZ30QMmCT/view?usp=drivesdk","9515_ARDIAN FIRMANSYAH, AMd.Kep _ SERTIFIKAT BerAKHLAK")</f>
        <v>9515_ARDIAN FIRMANSYAH, AMd.Kep _ SERTIFIKAT BerAKHLAK</v>
      </c>
      <c r="P9516" s="5" t="s">
        <v>58975</v>
      </c>
    </row>
    <row r="9517">
      <c r="A9517" s="4">
        <v>45534.461329328704</v>
      </c>
      <c r="B9517" s="5" t="s">
        <v>34</v>
      </c>
      <c r="D9517" s="5" t="s">
        <v>9020</v>
      </c>
      <c r="E9517" s="5" t="s">
        <v>58976</v>
      </c>
      <c r="F9517" s="5" t="s">
        <v>37</v>
      </c>
      <c r="G9517" s="5" t="s">
        <v>58977</v>
      </c>
      <c r="H9517" s="6" t="s">
        <v>58978</v>
      </c>
      <c r="K9517" s="5" t="s">
        <v>58954</v>
      </c>
      <c r="M9517" s="5" t="s">
        <v>58979</v>
      </c>
      <c r="N9517" s="7" t="s">
        <v>58980</v>
      </c>
      <c r="O9517" s="8" t="str">
        <f>HYPERLINK("https://drive.google.com/file/d/1UYEhw02BdogytnmLU20M4fnHzMXpTcJF/view?usp=drivesdk","9516_LENI IRMAYANTI _ SERTIFIKAT BerAKHLAK")</f>
        <v>9516_LENI IRMAYANTI _ SERTIFIKAT BerAKHLAK</v>
      </c>
      <c r="P9517" s="5" t="s">
        <v>58981</v>
      </c>
    </row>
    <row r="9518" hidden="1">
      <c r="A9518" s="4">
        <v>45534.461355879626</v>
      </c>
      <c r="B9518" s="5" t="s">
        <v>19</v>
      </c>
      <c r="C9518" s="5" t="s">
        <v>292</v>
      </c>
      <c r="E9518" s="5" t="s">
        <v>58982</v>
      </c>
      <c r="F9518" s="5" t="s">
        <v>199</v>
      </c>
      <c r="G9518" s="5" t="s">
        <v>58983</v>
      </c>
      <c r="H9518" s="6" t="s">
        <v>58984</v>
      </c>
      <c r="K9518" s="5" t="s">
        <v>58954</v>
      </c>
      <c r="M9518" s="5" t="s">
        <v>58985</v>
      </c>
      <c r="N9518" s="7" t="s">
        <v>58986</v>
      </c>
      <c r="O9518" s="8" t="str">
        <f>HYPERLINK("https://drive.google.com/file/d/1YPRFr9Q9oob41ETq7e8uzgLKZbY99RLo/view?usp=drivesdk","9517_SONADI _ SERTIFIKAT BerAKHLAK")</f>
        <v>9517_SONADI _ SERTIFIKAT BerAKHLAK</v>
      </c>
      <c r="P9518" s="5" t="s">
        <v>58987</v>
      </c>
    </row>
    <row r="9519">
      <c r="A9519" s="4">
        <v>45534.46163827546</v>
      </c>
      <c r="B9519" s="5" t="s">
        <v>34</v>
      </c>
      <c r="D9519" s="5" t="s">
        <v>9020</v>
      </c>
      <c r="E9519" s="5" t="s">
        <v>58988</v>
      </c>
      <c r="F9519" s="5" t="s">
        <v>37</v>
      </c>
      <c r="G9519" s="5" t="s">
        <v>58989</v>
      </c>
      <c r="H9519" s="6" t="s">
        <v>58990</v>
      </c>
      <c r="K9519" s="5" t="s">
        <v>58991</v>
      </c>
      <c r="M9519" s="5" t="s">
        <v>58992</v>
      </c>
      <c r="N9519" s="7" t="s">
        <v>58993</v>
      </c>
      <c r="O9519" s="8" t="str">
        <f>HYPERLINK("https://drive.google.com/file/d/15yEaLAKclQRZJoPr-kC7rGXoXUoqcsrj/view?usp=drivesdk","9518_INDRA PUTRA SISWA _ SERTIFIKAT BerAKHLAK")</f>
        <v>9518_INDRA PUTRA SISWA _ SERTIFIKAT BerAKHLAK</v>
      </c>
      <c r="P9519" s="5" t="s">
        <v>58994</v>
      </c>
    </row>
    <row r="9520">
      <c r="A9520" s="4">
        <v>45534.461688298616</v>
      </c>
      <c r="B9520" s="5" t="s">
        <v>34</v>
      </c>
      <c r="D9520" s="5" t="s">
        <v>6232</v>
      </c>
      <c r="E9520" s="5" t="s">
        <v>58995</v>
      </c>
      <c r="F9520" s="5" t="s">
        <v>37</v>
      </c>
      <c r="G9520" s="5" t="s">
        <v>58996</v>
      </c>
      <c r="H9520" s="6" t="s">
        <v>58997</v>
      </c>
      <c r="K9520" s="5" t="s">
        <v>58991</v>
      </c>
      <c r="M9520" s="5" t="s">
        <v>58998</v>
      </c>
      <c r="N9520" s="7" t="s">
        <v>58999</v>
      </c>
      <c r="O9520" s="8" t="str">
        <f>HYPERLINK("https://drive.google.com/file/d/1j3J7ndpOW_OIFAu9uyZeORJMnywcIYc4/view?usp=drivesdk","9519_Krissantus Genapan Tukan _ SERTIFIKAT BerAKHLAK")</f>
        <v>9519_Krissantus Genapan Tukan _ SERTIFIKAT BerAKHLAK</v>
      </c>
      <c r="P9520" s="5" t="s">
        <v>59000</v>
      </c>
    </row>
    <row r="9521">
      <c r="A9521" s="4">
        <v>45534.46176913194</v>
      </c>
      <c r="B9521" s="5" t="s">
        <v>34</v>
      </c>
      <c r="D9521" s="5" t="s">
        <v>4775</v>
      </c>
      <c r="E9521" s="5" t="s">
        <v>59001</v>
      </c>
      <c r="F9521" s="5" t="s">
        <v>375</v>
      </c>
      <c r="G9521" s="5" t="s">
        <v>59002</v>
      </c>
      <c r="H9521" s="6" t="s">
        <v>59003</v>
      </c>
      <c r="K9521" s="5" t="s">
        <v>59004</v>
      </c>
      <c r="M9521" s="5" t="s">
        <v>59005</v>
      </c>
      <c r="N9521" s="7" t="s">
        <v>59006</v>
      </c>
      <c r="O9521" s="8" t="str">
        <f>HYPERLINK("https://drive.google.com/file/d/1Jbvi6m6sTWZdKY_v0W4tPV83i6uj2obB/view?usp=drivesdk","9520_RORY TRI YUDHA PANSERA, SE, MH. _ SERTIFIKAT BerAKHLAK")</f>
        <v>9520_RORY TRI YUDHA PANSERA, SE, MH. _ SERTIFIKAT BerAKHLAK</v>
      </c>
      <c r="P9521" s="5" t="s">
        <v>59007</v>
      </c>
    </row>
    <row r="9522" hidden="1">
      <c r="A9522" s="4">
        <v>45534.461776550925</v>
      </c>
      <c r="B9522" s="5" t="s">
        <v>19</v>
      </c>
      <c r="C9522" s="5" t="s">
        <v>292</v>
      </c>
      <c r="E9522" s="5" t="s">
        <v>59008</v>
      </c>
      <c r="F9522" s="5" t="s">
        <v>37</v>
      </c>
      <c r="G9522" s="5" t="s">
        <v>59009</v>
      </c>
      <c r="H9522" s="6" t="s">
        <v>59010</v>
      </c>
      <c r="K9522" s="5" t="s">
        <v>59004</v>
      </c>
      <c r="M9522" s="5" t="s">
        <v>59011</v>
      </c>
      <c r="N9522" s="7" t="s">
        <v>59012</v>
      </c>
      <c r="O9522" s="8" t="str">
        <f>HYPERLINK("https://drive.google.com/file/d/1kkQecQUjjZQqiLj-Z8-dFVLxtss1Clx9/view?usp=drivesdk","9521_ALVIAN FEBRYANTO, A.Md. _ SERTIFIKAT BerAKHLAK")</f>
        <v>9521_ALVIAN FEBRYANTO, A.Md. _ SERTIFIKAT BerAKHLAK</v>
      </c>
      <c r="P9522" s="5" t="s">
        <v>59013</v>
      </c>
    </row>
    <row r="9523">
      <c r="A9523" s="4">
        <v>45534.46178457176</v>
      </c>
      <c r="B9523" s="5" t="s">
        <v>34</v>
      </c>
      <c r="D9523" s="5" t="s">
        <v>1768</v>
      </c>
      <c r="E9523" s="5" t="s">
        <v>59014</v>
      </c>
      <c r="F9523" s="5" t="s">
        <v>212</v>
      </c>
      <c r="G9523" s="5" t="s">
        <v>59015</v>
      </c>
      <c r="H9523" s="6" t="s">
        <v>59016</v>
      </c>
      <c r="K9523" s="5" t="s">
        <v>59004</v>
      </c>
      <c r="M9523" s="5" t="s">
        <v>59017</v>
      </c>
      <c r="N9523" s="7" t="s">
        <v>59018</v>
      </c>
      <c r="O9523" s="8" t="str">
        <f>HYPERLINK("https://drive.google.com/file/d/1TX8IDUY1quBM8ly8NjA_YcBp5ITb2qPo/view?usp=drivesdk","9522_INDRIYANTI  _ SERTIFIKAT BerAKHLAK")</f>
        <v>9522_INDRIYANTI  _ SERTIFIKAT BerAKHLAK</v>
      </c>
      <c r="P9523" s="5" t="s">
        <v>59019</v>
      </c>
    </row>
    <row r="9524" hidden="1">
      <c r="A9524" s="4">
        <v>45534.46178540509</v>
      </c>
      <c r="B9524" s="5" t="s">
        <v>19</v>
      </c>
      <c r="C9524" s="5" t="s">
        <v>292</v>
      </c>
      <c r="E9524" s="5" t="s">
        <v>59020</v>
      </c>
      <c r="F9524" s="5" t="s">
        <v>375</v>
      </c>
      <c r="G9524" s="5" t="s">
        <v>59021</v>
      </c>
      <c r="H9524" s="6" t="s">
        <v>59022</v>
      </c>
      <c r="K9524" s="5" t="s">
        <v>59004</v>
      </c>
      <c r="M9524" s="5" t="s">
        <v>59023</v>
      </c>
      <c r="N9524" s="7" t="s">
        <v>59024</v>
      </c>
      <c r="O9524" s="8" t="str">
        <f>HYPERLINK("https://drive.google.com/file/d/1FSu2gqAzGua2tFNebAL2WFAFRiKZH-gs/view?usp=drivesdk","9523_AFFAN KUSRIANTO, S.H.  _ SERTIFIKAT BerAKHLAK")</f>
        <v>9523_AFFAN KUSRIANTO, S.H.  _ SERTIFIKAT BerAKHLAK</v>
      </c>
      <c r="P9524" s="5" t="s">
        <v>59025</v>
      </c>
    </row>
    <row r="9525">
      <c r="A9525" s="4">
        <v>45534.46187734954</v>
      </c>
      <c r="B9525" s="5" t="s">
        <v>34</v>
      </c>
      <c r="D9525" s="5" t="s">
        <v>14313</v>
      </c>
      <c r="E9525" s="5" t="s">
        <v>59026</v>
      </c>
      <c r="F9525" s="5" t="s">
        <v>37</v>
      </c>
      <c r="G9525" s="5" t="s">
        <v>59027</v>
      </c>
      <c r="H9525" s="6" t="s">
        <v>59028</v>
      </c>
      <c r="K9525" s="5" t="s">
        <v>59029</v>
      </c>
      <c r="M9525" s="5" t="s">
        <v>59030</v>
      </c>
      <c r="N9525" s="7" t="s">
        <v>59031</v>
      </c>
      <c r="O9525" s="8" t="str">
        <f>HYPERLINK("https://drive.google.com/file/d/1WHZpB_i-5VIdDBEWo3nCVX4y0RJF2U0T/view?usp=drivesdk","9524_SAHARUDDIN  _ SERTIFIKAT BerAKHLAK")</f>
        <v>9524_SAHARUDDIN  _ SERTIFIKAT BerAKHLAK</v>
      </c>
      <c r="P9525" s="5" t="s">
        <v>59032</v>
      </c>
    </row>
    <row r="9526">
      <c r="A9526" s="4">
        <v>45534.461886377314</v>
      </c>
      <c r="B9526" s="5" t="s">
        <v>34</v>
      </c>
      <c r="D9526" s="5" t="s">
        <v>9020</v>
      </c>
      <c r="E9526" s="5" t="s">
        <v>13905</v>
      </c>
      <c r="F9526" s="5" t="s">
        <v>212</v>
      </c>
      <c r="G9526" s="5" t="s">
        <v>13906</v>
      </c>
      <c r="H9526" s="6" t="s">
        <v>59033</v>
      </c>
      <c r="K9526" s="5" t="s">
        <v>59029</v>
      </c>
      <c r="M9526" s="5" t="s">
        <v>59034</v>
      </c>
      <c r="N9526" s="7" t="s">
        <v>59035</v>
      </c>
      <c r="O9526" s="8" t="str">
        <f>HYPERLINK("https://drive.google.com/file/d/1JxAyqXiX_IPrsoDz0ie4slvp8LeQf4lS/view?usp=drivesdk","9525_MUHAMMAD YAMIN  _ SERTIFIKAT BerAKHLAK")</f>
        <v>9525_MUHAMMAD YAMIN  _ SERTIFIKAT BerAKHLAK</v>
      </c>
      <c r="P9526" s="5" t="s">
        <v>59036</v>
      </c>
    </row>
    <row r="9527">
      <c r="A9527" s="4">
        <v>45534.461990462965</v>
      </c>
      <c r="B9527" s="5" t="s">
        <v>34</v>
      </c>
      <c r="D9527" s="5" t="s">
        <v>580</v>
      </c>
      <c r="E9527" s="5" t="s">
        <v>59037</v>
      </c>
      <c r="F9527" s="5" t="s">
        <v>37</v>
      </c>
      <c r="G9527" s="5" t="s">
        <v>59038</v>
      </c>
      <c r="H9527" s="6" t="s">
        <v>59039</v>
      </c>
      <c r="K9527" s="5" t="s">
        <v>59029</v>
      </c>
      <c r="P9527" s="5" t="s">
        <v>57609</v>
      </c>
    </row>
    <row r="9528">
      <c r="A9528" s="4">
        <v>45534.46214591435</v>
      </c>
      <c r="B9528" s="5" t="s">
        <v>34</v>
      </c>
      <c r="D9528" s="5" t="s">
        <v>4775</v>
      </c>
      <c r="E9528" s="5" t="s">
        <v>59040</v>
      </c>
      <c r="F9528" s="5" t="s">
        <v>37</v>
      </c>
      <c r="G9528" s="5" t="s">
        <v>59041</v>
      </c>
      <c r="H9528" s="6" t="s">
        <v>59042</v>
      </c>
      <c r="K9528" s="5" t="s">
        <v>59029</v>
      </c>
      <c r="P9528" s="5" t="s">
        <v>57609</v>
      </c>
    </row>
    <row r="9529">
      <c r="A9529" s="4">
        <v>45534.4622224537</v>
      </c>
      <c r="B9529" s="5" t="s">
        <v>34</v>
      </c>
      <c r="D9529" s="5" t="s">
        <v>267</v>
      </c>
      <c r="E9529" s="5" t="s">
        <v>59043</v>
      </c>
      <c r="F9529" s="5" t="s">
        <v>524</v>
      </c>
      <c r="G9529" s="5" t="s">
        <v>59044</v>
      </c>
      <c r="H9529" s="6" t="s">
        <v>59045</v>
      </c>
      <c r="K9529" s="5" t="s">
        <v>59029</v>
      </c>
      <c r="P9529" s="5" t="s">
        <v>57609</v>
      </c>
    </row>
    <row r="9530">
      <c r="A9530" s="4">
        <v>45534.46223725694</v>
      </c>
      <c r="B9530" s="5" t="s">
        <v>34</v>
      </c>
      <c r="D9530" s="5" t="s">
        <v>12026</v>
      </c>
      <c r="E9530" s="5" t="s">
        <v>59046</v>
      </c>
      <c r="F9530" s="5" t="s">
        <v>37</v>
      </c>
      <c r="G9530" s="5" t="s">
        <v>59047</v>
      </c>
      <c r="H9530" s="6" t="s">
        <v>59048</v>
      </c>
      <c r="K9530" s="5" t="s">
        <v>59029</v>
      </c>
      <c r="P9530" s="5" t="s">
        <v>57609</v>
      </c>
    </row>
    <row r="9531">
      <c r="A9531" s="4">
        <v>45534.4622737037</v>
      </c>
      <c r="B9531" s="5" t="s">
        <v>34</v>
      </c>
      <c r="D9531" s="5" t="s">
        <v>35</v>
      </c>
      <c r="E9531" s="5" t="s">
        <v>59049</v>
      </c>
      <c r="F9531" s="5" t="s">
        <v>375</v>
      </c>
      <c r="G9531" s="5" t="s">
        <v>59050</v>
      </c>
      <c r="H9531" s="6" t="s">
        <v>59051</v>
      </c>
      <c r="K9531" s="5" t="s">
        <v>59052</v>
      </c>
      <c r="P9531" s="5" t="s">
        <v>57609</v>
      </c>
    </row>
    <row r="9532" hidden="1">
      <c r="A9532" s="4">
        <v>45534.46228467593</v>
      </c>
      <c r="B9532" s="5" t="s">
        <v>19</v>
      </c>
      <c r="C9532" s="5" t="s">
        <v>292</v>
      </c>
      <c r="E9532" s="5" t="s">
        <v>59053</v>
      </c>
      <c r="F9532" s="5" t="s">
        <v>37</v>
      </c>
      <c r="G9532" s="5" t="s">
        <v>59054</v>
      </c>
      <c r="H9532" s="6" t="s">
        <v>59055</v>
      </c>
      <c r="K9532" s="5" t="s">
        <v>59052</v>
      </c>
      <c r="P9532" s="5" t="s">
        <v>57609</v>
      </c>
    </row>
    <row r="9533" hidden="1">
      <c r="A9533" s="4">
        <v>45534.46230709491</v>
      </c>
      <c r="B9533" s="5" t="s">
        <v>19</v>
      </c>
      <c r="C9533" s="5" t="s">
        <v>292</v>
      </c>
      <c r="E9533" s="5" t="s">
        <v>59056</v>
      </c>
      <c r="F9533" s="5" t="s">
        <v>37</v>
      </c>
      <c r="G9533" s="5" t="s">
        <v>59057</v>
      </c>
      <c r="H9533" s="6" t="s">
        <v>59058</v>
      </c>
      <c r="K9533" s="5" t="s">
        <v>59052</v>
      </c>
      <c r="P9533" s="5" t="s">
        <v>57609</v>
      </c>
    </row>
    <row r="9534">
      <c r="A9534" s="4">
        <v>45534.46238733796</v>
      </c>
      <c r="B9534" s="5" t="s">
        <v>34</v>
      </c>
      <c r="D9534" s="5" t="s">
        <v>701</v>
      </c>
      <c r="E9534" s="5" t="s">
        <v>59059</v>
      </c>
      <c r="F9534" s="5" t="s">
        <v>524</v>
      </c>
      <c r="G9534" s="5" t="s">
        <v>59060</v>
      </c>
      <c r="H9534" s="6" t="s">
        <v>59061</v>
      </c>
      <c r="K9534" s="5" t="s">
        <v>59062</v>
      </c>
      <c r="P9534" s="5" t="s">
        <v>57609</v>
      </c>
    </row>
    <row r="9535">
      <c r="A9535" s="4">
        <v>45534.46240267361</v>
      </c>
      <c r="B9535" s="5" t="s">
        <v>34</v>
      </c>
      <c r="D9535" s="5" t="s">
        <v>35</v>
      </c>
      <c r="E9535" s="5" t="s">
        <v>59063</v>
      </c>
      <c r="F9535" s="5" t="s">
        <v>72</v>
      </c>
      <c r="G9535" s="5" t="s">
        <v>59064</v>
      </c>
      <c r="H9535" s="6" t="s">
        <v>59065</v>
      </c>
      <c r="K9535" s="5" t="s">
        <v>59062</v>
      </c>
      <c r="P9535" s="5" t="s">
        <v>57609</v>
      </c>
    </row>
    <row r="9536">
      <c r="A9536" s="4">
        <v>45534.46249077546</v>
      </c>
      <c r="B9536" s="5" t="s">
        <v>34</v>
      </c>
      <c r="D9536" s="5" t="s">
        <v>14313</v>
      </c>
      <c r="E9536" s="5" t="s">
        <v>59066</v>
      </c>
      <c r="F9536" s="5" t="s">
        <v>72</v>
      </c>
      <c r="G9536" s="5" t="s">
        <v>59067</v>
      </c>
      <c r="H9536" s="6" t="s">
        <v>59068</v>
      </c>
      <c r="K9536" s="5" t="s">
        <v>59069</v>
      </c>
      <c r="P9536" s="5" t="s">
        <v>57609</v>
      </c>
    </row>
    <row r="9537">
      <c r="A9537" s="4">
        <v>45534.46251894676</v>
      </c>
      <c r="B9537" s="5" t="s">
        <v>34</v>
      </c>
      <c r="D9537" s="5" t="s">
        <v>9020</v>
      </c>
      <c r="E9537" s="5" t="s">
        <v>59070</v>
      </c>
      <c r="F9537" s="5" t="s">
        <v>72</v>
      </c>
      <c r="G9537" s="5" t="s">
        <v>59071</v>
      </c>
      <c r="H9537" s="6" t="s">
        <v>59072</v>
      </c>
      <c r="K9537" s="5" t="s">
        <v>59069</v>
      </c>
      <c r="P9537" s="5" t="s">
        <v>57609</v>
      </c>
    </row>
    <row r="9538" hidden="1">
      <c r="A9538" s="4">
        <v>45534.46254383102</v>
      </c>
      <c r="B9538" s="5" t="s">
        <v>19</v>
      </c>
      <c r="C9538" s="5" t="s">
        <v>20</v>
      </c>
      <c r="E9538" s="5" t="s">
        <v>59073</v>
      </c>
      <c r="F9538" s="5" t="s">
        <v>5566</v>
      </c>
      <c r="G9538" s="5" t="s">
        <v>59074</v>
      </c>
      <c r="H9538" s="6" t="s">
        <v>59075</v>
      </c>
      <c r="K9538" s="5" t="s">
        <v>59069</v>
      </c>
      <c r="P9538" s="5" t="s">
        <v>57609</v>
      </c>
    </row>
    <row r="9539">
      <c r="A9539" s="4">
        <v>45534.46265440973</v>
      </c>
      <c r="B9539" s="5" t="s">
        <v>34</v>
      </c>
      <c r="D9539" s="5" t="s">
        <v>35</v>
      </c>
      <c r="E9539" s="5" t="s">
        <v>54693</v>
      </c>
      <c r="F9539" s="5" t="s">
        <v>524</v>
      </c>
      <c r="G9539" s="5" t="s">
        <v>54694</v>
      </c>
      <c r="H9539" s="6" t="s">
        <v>59076</v>
      </c>
      <c r="K9539" s="5" t="s">
        <v>59069</v>
      </c>
      <c r="P9539" s="5" t="s">
        <v>57609</v>
      </c>
    </row>
    <row r="9540">
      <c r="A9540" s="4">
        <v>45534.462659930556</v>
      </c>
      <c r="B9540" s="5" t="s">
        <v>34</v>
      </c>
      <c r="D9540" s="5" t="s">
        <v>15401</v>
      </c>
      <c r="E9540" s="5" t="s">
        <v>59077</v>
      </c>
      <c r="F9540" s="5" t="s">
        <v>108</v>
      </c>
      <c r="G9540" s="5" t="s">
        <v>59078</v>
      </c>
      <c r="H9540" s="6" t="s">
        <v>59079</v>
      </c>
      <c r="K9540" s="5" t="s">
        <v>59069</v>
      </c>
      <c r="P9540" s="5" t="s">
        <v>57609</v>
      </c>
    </row>
    <row r="9541">
      <c r="A9541" s="4">
        <v>45534.46271076389</v>
      </c>
      <c r="B9541" s="5" t="s">
        <v>34</v>
      </c>
      <c r="D9541" s="5" t="s">
        <v>1692</v>
      </c>
      <c r="E9541" s="5" t="s">
        <v>59080</v>
      </c>
      <c r="F9541" s="5" t="s">
        <v>798</v>
      </c>
      <c r="G9541" s="5" t="s">
        <v>59081</v>
      </c>
      <c r="H9541" s="6" t="s">
        <v>59082</v>
      </c>
      <c r="K9541" s="5" t="s">
        <v>59083</v>
      </c>
      <c r="P9541" s="5" t="s">
        <v>57609</v>
      </c>
    </row>
    <row r="9542" hidden="1">
      <c r="A9542" s="4">
        <v>45534.462726446756</v>
      </c>
      <c r="B9542" s="5" t="s">
        <v>19</v>
      </c>
      <c r="C9542" s="5" t="s">
        <v>292</v>
      </c>
      <c r="E9542" s="5" t="s">
        <v>59084</v>
      </c>
      <c r="F9542" s="5" t="s">
        <v>212</v>
      </c>
      <c r="G9542" s="5" t="s">
        <v>59085</v>
      </c>
      <c r="H9542" s="6" t="s">
        <v>59086</v>
      </c>
      <c r="K9542" s="5" t="s">
        <v>59083</v>
      </c>
      <c r="P9542" s="5" t="s">
        <v>57609</v>
      </c>
    </row>
    <row r="9543" hidden="1">
      <c r="A9543" s="4">
        <v>45534.46275358796</v>
      </c>
      <c r="B9543" s="5" t="s">
        <v>19</v>
      </c>
      <c r="C9543" s="5" t="s">
        <v>292</v>
      </c>
      <c r="E9543" s="5" t="s">
        <v>59087</v>
      </c>
      <c r="F9543" s="5" t="s">
        <v>375</v>
      </c>
      <c r="G9543" s="5" t="s">
        <v>59088</v>
      </c>
      <c r="H9543" s="6" t="s">
        <v>59089</v>
      </c>
      <c r="K9543" s="5" t="s">
        <v>59090</v>
      </c>
      <c r="P9543" s="5" t="s">
        <v>57609</v>
      </c>
    </row>
    <row r="9544">
      <c r="A9544" s="4">
        <v>45534.46285293982</v>
      </c>
      <c r="B9544" s="5" t="s">
        <v>34</v>
      </c>
      <c r="D9544" s="5" t="s">
        <v>9020</v>
      </c>
      <c r="E9544" s="5" t="s">
        <v>59091</v>
      </c>
      <c r="F9544" s="5" t="s">
        <v>212</v>
      </c>
      <c r="G9544" s="5" t="s">
        <v>59092</v>
      </c>
      <c r="H9544" s="6" t="s">
        <v>59093</v>
      </c>
      <c r="K9544" s="5" t="s">
        <v>59094</v>
      </c>
      <c r="P9544" s="5" t="s">
        <v>57609</v>
      </c>
    </row>
    <row r="9545">
      <c r="A9545" s="4">
        <v>45534.46289462963</v>
      </c>
      <c r="B9545" s="5" t="s">
        <v>34</v>
      </c>
      <c r="D9545" s="5" t="s">
        <v>35</v>
      </c>
      <c r="E9545" s="5" t="s">
        <v>59095</v>
      </c>
      <c r="F9545" s="5" t="s">
        <v>37</v>
      </c>
      <c r="G9545" s="5" t="s">
        <v>59096</v>
      </c>
      <c r="H9545" s="6" t="s">
        <v>59097</v>
      </c>
      <c r="K9545" s="5" t="s">
        <v>59094</v>
      </c>
      <c r="P9545" s="5" t="s">
        <v>57609</v>
      </c>
    </row>
    <row r="9546">
      <c r="A9546" s="4">
        <v>45534.46291012732</v>
      </c>
      <c r="B9546" s="5" t="s">
        <v>34</v>
      </c>
      <c r="D9546" s="5" t="s">
        <v>14313</v>
      </c>
      <c r="E9546" s="5" t="s">
        <v>59098</v>
      </c>
      <c r="F9546" s="5" t="s">
        <v>212</v>
      </c>
      <c r="G9546" s="5" t="s">
        <v>59099</v>
      </c>
      <c r="H9546" s="6" t="s">
        <v>59100</v>
      </c>
      <c r="K9546" s="5" t="s">
        <v>59094</v>
      </c>
      <c r="P9546" s="5" t="s">
        <v>57609</v>
      </c>
    </row>
    <row r="9547">
      <c r="A9547" s="4">
        <v>45534.463061689814</v>
      </c>
      <c r="B9547" s="5" t="s">
        <v>34</v>
      </c>
      <c r="D9547" s="5" t="s">
        <v>4775</v>
      </c>
      <c r="E9547" s="5" t="s">
        <v>11768</v>
      </c>
      <c r="F9547" s="5" t="s">
        <v>72</v>
      </c>
      <c r="G9547" s="5" t="s">
        <v>59101</v>
      </c>
      <c r="H9547" s="6" t="s">
        <v>59102</v>
      </c>
      <c r="K9547" s="5" t="s">
        <v>59103</v>
      </c>
      <c r="P9547" s="5" t="s">
        <v>57609</v>
      </c>
    </row>
    <row r="9548">
      <c r="A9548" s="4">
        <v>45534.463080243055</v>
      </c>
      <c r="B9548" s="5" t="s">
        <v>34</v>
      </c>
      <c r="D9548" s="5" t="s">
        <v>12978</v>
      </c>
      <c r="E9548" s="5" t="s">
        <v>59104</v>
      </c>
      <c r="F9548" s="5" t="s">
        <v>212</v>
      </c>
      <c r="G9548" s="5" t="s">
        <v>59105</v>
      </c>
      <c r="H9548" s="6" t="s">
        <v>59106</v>
      </c>
      <c r="K9548" s="5" t="s">
        <v>59103</v>
      </c>
      <c r="P9548" s="5" t="s">
        <v>57609</v>
      </c>
    </row>
    <row r="9549">
      <c r="A9549" s="4">
        <v>45534.463157777776</v>
      </c>
      <c r="B9549" s="5" t="s">
        <v>34</v>
      </c>
      <c r="D9549" s="5" t="s">
        <v>9020</v>
      </c>
      <c r="E9549" s="5" t="s">
        <v>59107</v>
      </c>
      <c r="F9549" s="5" t="s">
        <v>212</v>
      </c>
      <c r="G9549" s="5" t="s">
        <v>59108</v>
      </c>
      <c r="H9549" s="6" t="s">
        <v>59109</v>
      </c>
      <c r="K9549" s="5" t="s">
        <v>59110</v>
      </c>
      <c r="P9549" s="5" t="s">
        <v>57609</v>
      </c>
    </row>
    <row r="9550" hidden="1">
      <c r="A9550" s="4">
        <v>45534.46320982639</v>
      </c>
      <c r="B9550" s="5" t="s">
        <v>19</v>
      </c>
      <c r="C9550" s="5" t="s">
        <v>292</v>
      </c>
      <c r="E9550" s="5" t="s">
        <v>59111</v>
      </c>
      <c r="F9550" s="5" t="s">
        <v>37</v>
      </c>
      <c r="G9550" s="5" t="s">
        <v>59112</v>
      </c>
      <c r="H9550" s="6" t="s">
        <v>59113</v>
      </c>
      <c r="K9550" s="5" t="s">
        <v>59110</v>
      </c>
      <c r="P9550" s="5" t="s">
        <v>57609</v>
      </c>
    </row>
    <row r="9551" hidden="1">
      <c r="A9551" s="4">
        <v>45534.46320945602</v>
      </c>
      <c r="B9551" s="5" t="s">
        <v>19</v>
      </c>
      <c r="C9551" s="5" t="s">
        <v>442</v>
      </c>
      <c r="E9551" s="5" t="s">
        <v>59114</v>
      </c>
      <c r="F9551" s="5" t="s">
        <v>375</v>
      </c>
      <c r="G9551" s="5" t="s">
        <v>59115</v>
      </c>
      <c r="H9551" s="6" t="s">
        <v>59116</v>
      </c>
      <c r="K9551" s="5" t="s">
        <v>59110</v>
      </c>
      <c r="P9551" s="5" t="s">
        <v>59117</v>
      </c>
    </row>
    <row r="9552">
      <c r="A9552" s="4">
        <v>45534.46334980324</v>
      </c>
      <c r="B9552" s="5" t="s">
        <v>34</v>
      </c>
      <c r="D9552" s="5" t="s">
        <v>10444</v>
      </c>
      <c r="E9552" s="5" t="s">
        <v>59118</v>
      </c>
      <c r="F9552" s="5" t="s">
        <v>212</v>
      </c>
      <c r="G9552" s="5" t="s">
        <v>59119</v>
      </c>
      <c r="H9552" s="6" t="s">
        <v>59120</v>
      </c>
      <c r="K9552" s="5" t="s">
        <v>59121</v>
      </c>
      <c r="P9552" s="5" t="s">
        <v>59117</v>
      </c>
    </row>
    <row r="9553">
      <c r="A9553" s="4">
        <v>45534.46336537037</v>
      </c>
      <c r="B9553" s="5" t="s">
        <v>34</v>
      </c>
      <c r="D9553" s="5" t="s">
        <v>1558</v>
      </c>
      <c r="E9553" s="5" t="s">
        <v>59122</v>
      </c>
      <c r="F9553" s="5" t="s">
        <v>108</v>
      </c>
      <c r="G9553" s="5" t="s">
        <v>59123</v>
      </c>
      <c r="H9553" s="6" t="s">
        <v>59124</v>
      </c>
      <c r="K9553" s="5" t="s">
        <v>59121</v>
      </c>
      <c r="P9553" s="5" t="s">
        <v>59117</v>
      </c>
    </row>
    <row r="9554" hidden="1">
      <c r="A9554" s="4">
        <v>45534.46336681713</v>
      </c>
      <c r="B9554" s="5" t="s">
        <v>19</v>
      </c>
      <c r="C9554" s="5" t="s">
        <v>292</v>
      </c>
      <c r="E9554" s="5" t="s">
        <v>59125</v>
      </c>
      <c r="F9554" s="5" t="s">
        <v>524</v>
      </c>
      <c r="G9554" s="5" t="s">
        <v>59126</v>
      </c>
      <c r="H9554" s="6" t="s">
        <v>59127</v>
      </c>
      <c r="K9554" s="5" t="s">
        <v>59121</v>
      </c>
      <c r="P9554" s="5" t="s">
        <v>59117</v>
      </c>
    </row>
    <row r="9555">
      <c r="A9555" s="4">
        <v>45534.46357049768</v>
      </c>
      <c r="B9555" s="5" t="s">
        <v>34</v>
      </c>
      <c r="D9555" s="5" t="s">
        <v>1558</v>
      </c>
      <c r="E9555" s="5" t="s">
        <v>59128</v>
      </c>
      <c r="F9555" s="5" t="s">
        <v>72</v>
      </c>
      <c r="G9555" s="5" t="s">
        <v>59129</v>
      </c>
      <c r="H9555" s="6" t="s">
        <v>59130</v>
      </c>
      <c r="K9555" s="5" t="s">
        <v>59131</v>
      </c>
      <c r="P9555" s="5" t="s">
        <v>59117</v>
      </c>
    </row>
    <row r="9556">
      <c r="A9556" s="4">
        <v>45534.463642013885</v>
      </c>
      <c r="B9556" s="5" t="s">
        <v>34</v>
      </c>
      <c r="D9556" s="5" t="s">
        <v>4775</v>
      </c>
      <c r="E9556" s="5" t="s">
        <v>59132</v>
      </c>
      <c r="F9556" s="5" t="s">
        <v>120</v>
      </c>
      <c r="G9556" s="5" t="s">
        <v>59133</v>
      </c>
      <c r="H9556" s="6" t="s">
        <v>59134</v>
      </c>
      <c r="K9556" s="5" t="s">
        <v>59131</v>
      </c>
      <c r="P9556" s="5" t="s">
        <v>59117</v>
      </c>
    </row>
    <row r="9557">
      <c r="A9557" s="4">
        <v>45534.46393064815</v>
      </c>
      <c r="B9557" s="5" t="s">
        <v>34</v>
      </c>
      <c r="D9557" s="5" t="s">
        <v>14313</v>
      </c>
      <c r="E9557" s="5" t="s">
        <v>59135</v>
      </c>
      <c r="F9557" s="5" t="s">
        <v>524</v>
      </c>
      <c r="G9557" s="5" t="s">
        <v>59136</v>
      </c>
      <c r="H9557" s="6" t="s">
        <v>59137</v>
      </c>
      <c r="K9557" s="5" t="s">
        <v>59138</v>
      </c>
      <c r="P9557" s="5" t="s">
        <v>59117</v>
      </c>
    </row>
    <row r="9558">
      <c r="A9558" s="4">
        <v>45534.463935231484</v>
      </c>
      <c r="B9558" s="5" t="s">
        <v>34</v>
      </c>
      <c r="D9558" s="5" t="s">
        <v>280</v>
      </c>
      <c r="E9558" s="5" t="s">
        <v>59139</v>
      </c>
      <c r="F9558" s="5" t="s">
        <v>212</v>
      </c>
      <c r="G9558" s="5" t="s">
        <v>59140</v>
      </c>
      <c r="H9558" s="6" t="s">
        <v>59141</v>
      </c>
      <c r="K9558" s="5" t="s">
        <v>59138</v>
      </c>
      <c r="P9558" s="5" t="s">
        <v>59117</v>
      </c>
    </row>
    <row r="9559">
      <c r="A9559" s="4">
        <v>45534.46395038195</v>
      </c>
      <c r="B9559" s="5" t="s">
        <v>34</v>
      </c>
      <c r="D9559" s="5" t="s">
        <v>14313</v>
      </c>
      <c r="E9559" s="5" t="s">
        <v>59142</v>
      </c>
      <c r="F9559" s="5" t="s">
        <v>328</v>
      </c>
      <c r="G9559" s="5" t="s">
        <v>59143</v>
      </c>
      <c r="H9559" s="6" t="s">
        <v>59144</v>
      </c>
      <c r="K9559" s="5" t="s">
        <v>59138</v>
      </c>
      <c r="P9559" s="5" t="s">
        <v>59117</v>
      </c>
    </row>
    <row r="9560" hidden="1">
      <c r="A9560" s="4">
        <v>45534.464175960646</v>
      </c>
      <c r="B9560" s="5" t="s">
        <v>19</v>
      </c>
      <c r="C9560" s="5" t="s">
        <v>3301</v>
      </c>
      <c r="E9560" s="5" t="s">
        <v>59145</v>
      </c>
      <c r="F9560" s="5" t="s">
        <v>72</v>
      </c>
      <c r="G9560" s="5" t="s">
        <v>59146</v>
      </c>
      <c r="H9560" s="6" t="s">
        <v>59147</v>
      </c>
      <c r="K9560" s="5" t="s">
        <v>59148</v>
      </c>
      <c r="P9560" s="5" t="s">
        <v>59117</v>
      </c>
    </row>
    <row r="9561">
      <c r="A9561" s="4">
        <v>45534.46417678241</v>
      </c>
      <c r="B9561" s="5" t="s">
        <v>34</v>
      </c>
      <c r="D9561" s="5" t="s">
        <v>975</v>
      </c>
      <c r="E9561" s="5" t="s">
        <v>59149</v>
      </c>
      <c r="F9561" s="5" t="s">
        <v>37</v>
      </c>
      <c r="G9561" s="5" t="s">
        <v>59150</v>
      </c>
      <c r="H9561" s="6" t="s">
        <v>59151</v>
      </c>
      <c r="K9561" s="5" t="s">
        <v>59148</v>
      </c>
      <c r="P9561" s="5" t="s">
        <v>59117</v>
      </c>
    </row>
    <row r="9562">
      <c r="A9562" s="4">
        <v>45534.46418137732</v>
      </c>
      <c r="B9562" s="5" t="s">
        <v>34</v>
      </c>
      <c r="D9562" s="5" t="s">
        <v>1206</v>
      </c>
      <c r="E9562" s="5" t="s">
        <v>59152</v>
      </c>
      <c r="F9562" s="5" t="s">
        <v>212</v>
      </c>
      <c r="G9562" s="5" t="s">
        <v>59153</v>
      </c>
      <c r="H9562" s="6" t="s">
        <v>59154</v>
      </c>
      <c r="K9562" s="5" t="s">
        <v>59148</v>
      </c>
      <c r="P9562" s="5" t="s">
        <v>59117</v>
      </c>
    </row>
    <row r="9563" hidden="1">
      <c r="A9563" s="4">
        <v>45534.464249571756</v>
      </c>
      <c r="B9563" s="5" t="s">
        <v>19</v>
      </c>
      <c r="C9563" s="5" t="s">
        <v>292</v>
      </c>
      <c r="E9563" s="5" t="s">
        <v>59155</v>
      </c>
      <c r="F9563" s="5" t="s">
        <v>524</v>
      </c>
      <c r="G9563" s="5" t="s">
        <v>59156</v>
      </c>
      <c r="H9563" s="6" t="s">
        <v>59157</v>
      </c>
      <c r="K9563" s="5" t="s">
        <v>59158</v>
      </c>
      <c r="P9563" s="5" t="s">
        <v>59117</v>
      </c>
    </row>
    <row r="9564">
      <c r="A9564" s="4">
        <v>45534.46425203704</v>
      </c>
      <c r="B9564" s="5" t="s">
        <v>34</v>
      </c>
      <c r="D9564" s="5" t="s">
        <v>9020</v>
      </c>
      <c r="E9564" s="5" t="s">
        <v>59159</v>
      </c>
      <c r="F9564" s="5" t="s">
        <v>212</v>
      </c>
      <c r="G9564" s="5" t="s">
        <v>59160</v>
      </c>
      <c r="H9564" s="6" t="s">
        <v>59161</v>
      </c>
      <c r="K9564" s="5" t="s">
        <v>59158</v>
      </c>
      <c r="P9564" s="5" t="s">
        <v>59117</v>
      </c>
    </row>
    <row r="9565">
      <c r="A9565" s="4">
        <v>45534.464288981486</v>
      </c>
      <c r="B9565" s="5" t="s">
        <v>34</v>
      </c>
      <c r="D9565" s="5" t="s">
        <v>580</v>
      </c>
      <c r="E9565" s="5" t="s">
        <v>59162</v>
      </c>
      <c r="F9565" s="5" t="s">
        <v>72</v>
      </c>
      <c r="G9565" s="5" t="s">
        <v>59163</v>
      </c>
      <c r="H9565" s="6" t="s">
        <v>59164</v>
      </c>
      <c r="K9565" s="5" t="s">
        <v>59165</v>
      </c>
      <c r="P9565" s="5" t="s">
        <v>59117</v>
      </c>
    </row>
    <row r="9566">
      <c r="A9566" s="4">
        <v>45534.46432428241</v>
      </c>
      <c r="B9566" s="5" t="s">
        <v>34</v>
      </c>
      <c r="D9566" s="5" t="s">
        <v>1206</v>
      </c>
      <c r="E9566" s="5" t="s">
        <v>59166</v>
      </c>
      <c r="F9566" s="5" t="s">
        <v>212</v>
      </c>
      <c r="G9566" s="5" t="s">
        <v>59167</v>
      </c>
      <c r="H9566" s="6" t="s">
        <v>59168</v>
      </c>
      <c r="K9566" s="5" t="s">
        <v>59169</v>
      </c>
      <c r="P9566" s="5" t="s">
        <v>59117</v>
      </c>
    </row>
    <row r="9567" hidden="1">
      <c r="A9567" s="4">
        <v>45534.46435445602</v>
      </c>
      <c r="B9567" s="5" t="s">
        <v>19</v>
      </c>
      <c r="C9567" s="5" t="s">
        <v>292</v>
      </c>
      <c r="E9567" s="5" t="s">
        <v>59170</v>
      </c>
      <c r="F9567" s="5" t="s">
        <v>212</v>
      </c>
      <c r="G9567" s="5" t="s">
        <v>59171</v>
      </c>
      <c r="H9567" s="6" t="s">
        <v>59172</v>
      </c>
      <c r="K9567" s="5" t="s">
        <v>59173</v>
      </c>
      <c r="P9567" s="5" t="s">
        <v>59117</v>
      </c>
    </row>
    <row r="9568">
      <c r="A9568" s="4">
        <v>45534.4643806713</v>
      </c>
      <c r="B9568" s="5" t="s">
        <v>34</v>
      </c>
      <c r="D9568" s="5" t="s">
        <v>4775</v>
      </c>
      <c r="E9568" s="5" t="s">
        <v>59174</v>
      </c>
      <c r="F9568" s="5" t="s">
        <v>524</v>
      </c>
      <c r="G9568" s="5" t="s">
        <v>59175</v>
      </c>
      <c r="H9568" s="6" t="s">
        <v>59176</v>
      </c>
      <c r="K9568" s="5" t="s">
        <v>59173</v>
      </c>
      <c r="P9568" s="5" t="s">
        <v>59117</v>
      </c>
    </row>
    <row r="9569">
      <c r="A9569" s="4">
        <v>45534.46440490741</v>
      </c>
      <c r="B9569" s="5" t="s">
        <v>34</v>
      </c>
      <c r="D9569" s="5" t="s">
        <v>15401</v>
      </c>
      <c r="E9569" s="5" t="s">
        <v>59177</v>
      </c>
      <c r="F9569" s="5" t="s">
        <v>375</v>
      </c>
      <c r="G9569" s="5" t="s">
        <v>59178</v>
      </c>
      <c r="H9569" s="6" t="s">
        <v>59179</v>
      </c>
      <c r="K9569" s="5" t="s">
        <v>59180</v>
      </c>
      <c r="P9569" s="5" t="s">
        <v>59117</v>
      </c>
    </row>
    <row r="9570" hidden="1">
      <c r="A9570" s="4">
        <v>45534.464494733795</v>
      </c>
      <c r="B9570" s="5" t="s">
        <v>19</v>
      </c>
      <c r="C9570" s="5" t="s">
        <v>442</v>
      </c>
      <c r="E9570" s="5" t="s">
        <v>59181</v>
      </c>
      <c r="F9570" s="5" t="s">
        <v>72</v>
      </c>
      <c r="G9570" s="5" t="s">
        <v>59182</v>
      </c>
      <c r="H9570" s="6" t="s">
        <v>59183</v>
      </c>
      <c r="K9570" s="5" t="s">
        <v>59184</v>
      </c>
      <c r="P9570" s="5" t="s">
        <v>59117</v>
      </c>
    </row>
    <row r="9571">
      <c r="A9571" s="4">
        <v>45534.46451554398</v>
      </c>
      <c r="B9571" s="5" t="s">
        <v>34</v>
      </c>
      <c r="D9571" s="5" t="s">
        <v>4775</v>
      </c>
      <c r="E9571" s="5" t="s">
        <v>59185</v>
      </c>
      <c r="F9571" s="5" t="s">
        <v>212</v>
      </c>
      <c r="G9571" s="5" t="s">
        <v>59186</v>
      </c>
      <c r="H9571" s="6" t="s">
        <v>59187</v>
      </c>
      <c r="K9571" s="5" t="s">
        <v>59188</v>
      </c>
      <c r="P9571" s="5" t="s">
        <v>59117</v>
      </c>
    </row>
    <row r="9572" hidden="1">
      <c r="A9572" s="4">
        <v>45534.46451543982</v>
      </c>
      <c r="B9572" s="5" t="s">
        <v>19</v>
      </c>
      <c r="C9572" s="5" t="s">
        <v>292</v>
      </c>
      <c r="E9572" s="5" t="s">
        <v>59189</v>
      </c>
      <c r="F9572" s="5" t="s">
        <v>524</v>
      </c>
      <c r="G9572" s="5" t="s">
        <v>59190</v>
      </c>
      <c r="H9572" s="6" t="s">
        <v>59191</v>
      </c>
      <c r="K9572" s="5" t="s">
        <v>59188</v>
      </c>
      <c r="P9572" s="5" t="s">
        <v>59117</v>
      </c>
    </row>
    <row r="9573" hidden="1">
      <c r="A9573" s="4">
        <v>45534.46474019676</v>
      </c>
      <c r="B9573" s="5" t="s">
        <v>19</v>
      </c>
      <c r="C9573" s="5" t="s">
        <v>45988</v>
      </c>
      <c r="E9573" s="5" t="s">
        <v>59192</v>
      </c>
      <c r="F9573" s="5" t="s">
        <v>375</v>
      </c>
      <c r="G9573" s="5" t="s">
        <v>59193</v>
      </c>
      <c r="H9573" s="6" t="s">
        <v>59194</v>
      </c>
      <c r="K9573" s="5" t="s">
        <v>59195</v>
      </c>
      <c r="P9573" s="5" t="s">
        <v>59117</v>
      </c>
    </row>
    <row r="9574">
      <c r="A9574" s="4">
        <v>45534.46479641204</v>
      </c>
      <c r="B9574" s="5" t="s">
        <v>34</v>
      </c>
      <c r="D9574" s="5" t="s">
        <v>701</v>
      </c>
      <c r="E9574" s="5" t="s">
        <v>59196</v>
      </c>
      <c r="F9574" s="5" t="s">
        <v>37</v>
      </c>
      <c r="G9574" s="5" t="s">
        <v>59197</v>
      </c>
      <c r="H9574" s="6" t="s">
        <v>59198</v>
      </c>
      <c r="K9574" s="5" t="s">
        <v>59199</v>
      </c>
      <c r="P9574" s="5" t="s">
        <v>59117</v>
      </c>
    </row>
    <row r="9575">
      <c r="A9575" s="4">
        <v>45534.465058125</v>
      </c>
      <c r="B9575" s="5" t="s">
        <v>34</v>
      </c>
      <c r="D9575" s="5" t="s">
        <v>9020</v>
      </c>
      <c r="E9575" s="5" t="s">
        <v>14365</v>
      </c>
      <c r="F9575" s="5" t="s">
        <v>212</v>
      </c>
      <c r="G9575" s="5" t="s">
        <v>14366</v>
      </c>
      <c r="H9575" s="6" t="s">
        <v>59200</v>
      </c>
      <c r="K9575" s="5" t="s">
        <v>59201</v>
      </c>
      <c r="P9575" s="5" t="s">
        <v>59117</v>
      </c>
    </row>
    <row r="9576">
      <c r="A9576" s="4">
        <v>45534.46515012732</v>
      </c>
      <c r="B9576" s="5" t="s">
        <v>34</v>
      </c>
      <c r="D9576" s="5" t="s">
        <v>14313</v>
      </c>
      <c r="E9576" s="5" t="s">
        <v>33497</v>
      </c>
      <c r="F9576" s="5" t="s">
        <v>212</v>
      </c>
      <c r="G9576" s="5" t="s">
        <v>59202</v>
      </c>
      <c r="H9576" s="6" t="s">
        <v>59203</v>
      </c>
      <c r="K9576" s="5" t="s">
        <v>59201</v>
      </c>
      <c r="P9576" s="5" t="s">
        <v>59117</v>
      </c>
    </row>
    <row r="9577">
      <c r="A9577" s="4">
        <v>45534.4652975</v>
      </c>
      <c r="B9577" s="5" t="s">
        <v>34</v>
      </c>
      <c r="D9577" s="5" t="s">
        <v>9020</v>
      </c>
      <c r="E9577" s="5" t="s">
        <v>59204</v>
      </c>
      <c r="F9577" s="5" t="s">
        <v>37</v>
      </c>
      <c r="G9577" s="5" t="s">
        <v>59205</v>
      </c>
      <c r="H9577" s="6" t="s">
        <v>59206</v>
      </c>
      <c r="K9577" s="5" t="s">
        <v>59207</v>
      </c>
      <c r="P9577" s="5" t="s">
        <v>59117</v>
      </c>
    </row>
    <row r="9578" hidden="1">
      <c r="A9578" s="4">
        <v>45534.46531295139</v>
      </c>
      <c r="B9578" s="5" t="s">
        <v>19</v>
      </c>
      <c r="C9578" s="5" t="s">
        <v>292</v>
      </c>
      <c r="E9578" s="5" t="s">
        <v>59208</v>
      </c>
      <c r="F9578" s="5" t="s">
        <v>120</v>
      </c>
      <c r="G9578" s="5" t="s">
        <v>59209</v>
      </c>
      <c r="H9578" s="6" t="s">
        <v>59210</v>
      </c>
      <c r="K9578" s="5" t="s">
        <v>59207</v>
      </c>
      <c r="P9578" s="5" t="s">
        <v>59117</v>
      </c>
    </row>
    <row r="9579">
      <c r="A9579" s="4">
        <v>45534.46533114584</v>
      </c>
      <c r="B9579" s="5" t="s">
        <v>34</v>
      </c>
      <c r="D9579" s="5" t="s">
        <v>14313</v>
      </c>
      <c r="E9579" s="5" t="s">
        <v>59211</v>
      </c>
      <c r="F9579" s="5" t="s">
        <v>524</v>
      </c>
      <c r="G9579" s="5" t="s">
        <v>59212</v>
      </c>
      <c r="H9579" s="6" t="s">
        <v>59213</v>
      </c>
      <c r="K9579" s="5" t="s">
        <v>59207</v>
      </c>
      <c r="P9579" s="5" t="s">
        <v>59117</v>
      </c>
    </row>
    <row r="9580">
      <c r="A9580" s="4">
        <v>45534.465393391205</v>
      </c>
      <c r="B9580" s="5" t="s">
        <v>34</v>
      </c>
      <c r="D9580" s="5" t="s">
        <v>1206</v>
      </c>
      <c r="E9580" s="5" t="s">
        <v>59214</v>
      </c>
      <c r="F9580" s="5" t="s">
        <v>375</v>
      </c>
      <c r="G9580" s="5" t="s">
        <v>59215</v>
      </c>
      <c r="H9580" s="6" t="s">
        <v>59216</v>
      </c>
      <c r="K9580" s="5" t="s">
        <v>59217</v>
      </c>
      <c r="P9580" s="5" t="s">
        <v>59117</v>
      </c>
    </row>
    <row r="9581" hidden="1">
      <c r="A9581" s="4">
        <v>45534.46563060185</v>
      </c>
      <c r="B9581" s="5" t="s">
        <v>19</v>
      </c>
      <c r="C9581" s="5" t="s">
        <v>1606</v>
      </c>
      <c r="E9581" s="5" t="s">
        <v>59218</v>
      </c>
      <c r="F9581" s="5" t="s">
        <v>524</v>
      </c>
      <c r="G9581" s="5" t="s">
        <v>59219</v>
      </c>
      <c r="H9581" s="6" t="s">
        <v>59220</v>
      </c>
      <c r="K9581" s="5" t="s">
        <v>59221</v>
      </c>
      <c r="P9581" s="5" t="s">
        <v>59117</v>
      </c>
    </row>
    <row r="9582" hidden="1">
      <c r="A9582" s="4">
        <v>45534.46569696759</v>
      </c>
      <c r="B9582" s="5" t="s">
        <v>19</v>
      </c>
      <c r="C9582" s="5" t="s">
        <v>292</v>
      </c>
      <c r="E9582" s="5" t="s">
        <v>59222</v>
      </c>
      <c r="F9582" s="5" t="s">
        <v>37</v>
      </c>
      <c r="G9582" s="5" t="s">
        <v>59223</v>
      </c>
      <c r="H9582" s="6" t="s">
        <v>59224</v>
      </c>
      <c r="K9582" s="5" t="s">
        <v>59225</v>
      </c>
      <c r="P9582" s="5" t="s">
        <v>59117</v>
      </c>
    </row>
    <row r="9583">
      <c r="A9583" s="4">
        <v>45534.46576506944</v>
      </c>
      <c r="B9583" s="5" t="s">
        <v>34</v>
      </c>
      <c r="D9583" s="5" t="s">
        <v>1558</v>
      </c>
      <c r="E9583" s="5" t="s">
        <v>59226</v>
      </c>
      <c r="F9583" s="5" t="s">
        <v>37</v>
      </c>
      <c r="G9583" s="5" t="s">
        <v>59227</v>
      </c>
      <c r="H9583" s="6" t="s">
        <v>59228</v>
      </c>
      <c r="K9583" s="5" t="s">
        <v>59225</v>
      </c>
      <c r="P9583" s="5" t="s">
        <v>59117</v>
      </c>
    </row>
    <row r="9584">
      <c r="A9584" s="4">
        <v>45534.46579722222</v>
      </c>
      <c r="B9584" s="5" t="s">
        <v>34</v>
      </c>
      <c r="D9584" s="5" t="s">
        <v>11913</v>
      </c>
      <c r="E9584" s="5" t="s">
        <v>59229</v>
      </c>
      <c r="F9584" s="5" t="s">
        <v>212</v>
      </c>
      <c r="G9584" s="5" t="s">
        <v>59230</v>
      </c>
      <c r="H9584" s="6" t="s">
        <v>59231</v>
      </c>
      <c r="K9584" s="5" t="s">
        <v>59225</v>
      </c>
      <c r="P9584" s="5" t="s">
        <v>59117</v>
      </c>
    </row>
    <row r="9585">
      <c r="A9585" s="4">
        <v>45534.46583318287</v>
      </c>
      <c r="B9585" s="5" t="s">
        <v>34</v>
      </c>
      <c r="D9585" s="5" t="s">
        <v>12978</v>
      </c>
      <c r="E9585" s="5" t="s">
        <v>59232</v>
      </c>
      <c r="F9585" s="5" t="s">
        <v>108</v>
      </c>
      <c r="G9585" s="5" t="s">
        <v>59233</v>
      </c>
      <c r="H9585" s="6" t="s">
        <v>59234</v>
      </c>
      <c r="K9585" s="5" t="s">
        <v>59235</v>
      </c>
      <c r="P9585" s="5" t="s">
        <v>59117</v>
      </c>
    </row>
    <row r="9586">
      <c r="A9586" s="4">
        <v>45534.46587219907</v>
      </c>
      <c r="B9586" s="5" t="s">
        <v>34</v>
      </c>
      <c r="D9586" s="5" t="s">
        <v>580</v>
      </c>
      <c r="E9586" s="5" t="s">
        <v>59236</v>
      </c>
      <c r="F9586" s="5" t="s">
        <v>108</v>
      </c>
      <c r="G9586" s="5" t="s">
        <v>59237</v>
      </c>
      <c r="H9586" s="6" t="s">
        <v>59238</v>
      </c>
      <c r="K9586" s="5" t="s">
        <v>59239</v>
      </c>
      <c r="P9586" s="5" t="s">
        <v>59117</v>
      </c>
    </row>
    <row r="9587">
      <c r="A9587" s="4">
        <v>45534.465903425924</v>
      </c>
      <c r="B9587" s="5" t="s">
        <v>34</v>
      </c>
      <c r="D9587" s="5" t="s">
        <v>701</v>
      </c>
      <c r="E9587" s="5" t="s">
        <v>59240</v>
      </c>
      <c r="F9587" s="5" t="s">
        <v>524</v>
      </c>
      <c r="G9587" s="5" t="s">
        <v>59241</v>
      </c>
      <c r="H9587" s="6" t="s">
        <v>59242</v>
      </c>
      <c r="K9587" s="5" t="s">
        <v>59239</v>
      </c>
      <c r="P9587" s="5" t="s">
        <v>59117</v>
      </c>
    </row>
    <row r="9588">
      <c r="A9588" s="4">
        <v>45534.46593958333</v>
      </c>
      <c r="B9588" s="5" t="s">
        <v>34</v>
      </c>
      <c r="D9588" s="5" t="s">
        <v>14424</v>
      </c>
      <c r="E9588" s="5" t="s">
        <v>59243</v>
      </c>
      <c r="F9588" s="5" t="s">
        <v>212</v>
      </c>
      <c r="G9588" s="5" t="s">
        <v>59244</v>
      </c>
      <c r="H9588" s="6" t="s">
        <v>59245</v>
      </c>
      <c r="K9588" s="5" t="s">
        <v>59239</v>
      </c>
      <c r="P9588" s="5" t="s">
        <v>59117</v>
      </c>
    </row>
    <row r="9589">
      <c r="A9589" s="4">
        <v>45534.46597659722</v>
      </c>
      <c r="B9589" s="5" t="s">
        <v>34</v>
      </c>
      <c r="D9589" s="5" t="s">
        <v>1558</v>
      </c>
      <c r="E9589" s="5" t="s">
        <v>49305</v>
      </c>
      <c r="F9589" s="5" t="s">
        <v>108</v>
      </c>
      <c r="G9589" s="5" t="s">
        <v>49306</v>
      </c>
      <c r="H9589" s="6" t="s">
        <v>59246</v>
      </c>
      <c r="K9589" s="5" t="s">
        <v>59239</v>
      </c>
      <c r="P9589" s="5" t="s">
        <v>59117</v>
      </c>
    </row>
    <row r="9590">
      <c r="A9590" s="4">
        <v>45534.46601016204</v>
      </c>
      <c r="B9590" s="5" t="s">
        <v>34</v>
      </c>
      <c r="D9590" s="5" t="s">
        <v>4775</v>
      </c>
      <c r="E9590" s="5" t="s">
        <v>59247</v>
      </c>
      <c r="F9590" s="5" t="s">
        <v>328</v>
      </c>
      <c r="G9590" s="5" t="s">
        <v>59248</v>
      </c>
      <c r="H9590" s="6" t="s">
        <v>59249</v>
      </c>
      <c r="K9590" s="5" t="s">
        <v>59239</v>
      </c>
      <c r="P9590" s="5" t="s">
        <v>59117</v>
      </c>
    </row>
    <row r="9591">
      <c r="A9591" s="4">
        <v>45534.466342245374</v>
      </c>
      <c r="B9591" s="5" t="s">
        <v>34</v>
      </c>
      <c r="D9591" s="5" t="s">
        <v>701</v>
      </c>
      <c r="E9591" s="5" t="s">
        <v>59250</v>
      </c>
      <c r="F9591" s="5" t="s">
        <v>108</v>
      </c>
      <c r="G9591" s="5" t="s">
        <v>59251</v>
      </c>
      <c r="H9591" s="6" t="s">
        <v>59252</v>
      </c>
      <c r="K9591" s="5" t="s">
        <v>59253</v>
      </c>
      <c r="P9591" s="5" t="s">
        <v>59117</v>
      </c>
    </row>
    <row r="9592">
      <c r="A9592" s="4">
        <v>45534.46642144676</v>
      </c>
      <c r="B9592" s="5" t="s">
        <v>34</v>
      </c>
      <c r="D9592" s="5" t="s">
        <v>701</v>
      </c>
      <c r="E9592" s="5" t="s">
        <v>59254</v>
      </c>
      <c r="F9592" s="5" t="s">
        <v>212</v>
      </c>
      <c r="G9592" s="5" t="s">
        <v>59255</v>
      </c>
      <c r="H9592" s="6" t="s">
        <v>59256</v>
      </c>
      <c r="K9592" s="5" t="s">
        <v>59257</v>
      </c>
      <c r="P9592" s="5" t="s">
        <v>59117</v>
      </c>
    </row>
    <row r="9593" hidden="1">
      <c r="A9593" s="4">
        <v>45534.46653336806</v>
      </c>
      <c r="B9593" s="5" t="s">
        <v>19</v>
      </c>
      <c r="C9593" s="5" t="s">
        <v>47130</v>
      </c>
      <c r="E9593" s="5" t="s">
        <v>36540</v>
      </c>
      <c r="F9593" s="5" t="s">
        <v>108</v>
      </c>
      <c r="G9593" s="5" t="s">
        <v>59258</v>
      </c>
      <c r="H9593" s="6" t="s">
        <v>59259</v>
      </c>
      <c r="K9593" s="5" t="s">
        <v>59260</v>
      </c>
      <c r="P9593" s="5" t="s">
        <v>59117</v>
      </c>
    </row>
    <row r="9594" hidden="1">
      <c r="A9594" s="4">
        <v>45534.46663630787</v>
      </c>
      <c r="B9594" s="5" t="s">
        <v>19</v>
      </c>
      <c r="C9594" s="5" t="s">
        <v>292</v>
      </c>
      <c r="E9594" s="5" t="s">
        <v>59261</v>
      </c>
      <c r="F9594" s="5" t="s">
        <v>37</v>
      </c>
      <c r="G9594" s="5" t="s">
        <v>59262</v>
      </c>
      <c r="H9594" s="6" t="s">
        <v>59263</v>
      </c>
      <c r="K9594" s="5" t="s">
        <v>59264</v>
      </c>
      <c r="P9594" s="5" t="s">
        <v>59117</v>
      </c>
    </row>
    <row r="9595">
      <c r="A9595" s="4">
        <v>45534.46664273148</v>
      </c>
      <c r="B9595" s="5" t="s">
        <v>34</v>
      </c>
      <c r="D9595" s="5" t="s">
        <v>11913</v>
      </c>
      <c r="E9595" s="5" t="s">
        <v>59265</v>
      </c>
      <c r="F9595" s="5" t="s">
        <v>328</v>
      </c>
      <c r="G9595" s="5" t="s">
        <v>59266</v>
      </c>
      <c r="H9595" s="6" t="s">
        <v>59267</v>
      </c>
      <c r="K9595" s="5" t="s">
        <v>59264</v>
      </c>
      <c r="P9595" s="5" t="s">
        <v>59117</v>
      </c>
    </row>
    <row r="9596" hidden="1">
      <c r="A9596" s="4">
        <v>45534.46674574074</v>
      </c>
      <c r="B9596" s="5" t="s">
        <v>19</v>
      </c>
      <c r="C9596" s="5" t="s">
        <v>292</v>
      </c>
      <c r="E9596" s="5" t="s">
        <v>59268</v>
      </c>
      <c r="F9596" s="5" t="s">
        <v>212</v>
      </c>
      <c r="G9596" s="5" t="s">
        <v>59269</v>
      </c>
      <c r="H9596" s="6" t="s">
        <v>59270</v>
      </c>
      <c r="K9596" s="5" t="s">
        <v>59271</v>
      </c>
      <c r="P9596" s="5" t="s">
        <v>59117</v>
      </c>
    </row>
    <row r="9597" hidden="1">
      <c r="A9597" s="4">
        <v>45534.46689054398</v>
      </c>
      <c r="B9597" s="5" t="s">
        <v>19</v>
      </c>
      <c r="C9597" s="5" t="s">
        <v>292</v>
      </c>
      <c r="E9597" s="5" t="s">
        <v>59272</v>
      </c>
      <c r="F9597" s="5" t="s">
        <v>37</v>
      </c>
      <c r="G9597" s="5" t="s">
        <v>59273</v>
      </c>
      <c r="H9597" s="6" t="s">
        <v>59274</v>
      </c>
      <c r="K9597" s="5" t="s">
        <v>59271</v>
      </c>
      <c r="P9597" s="5" t="s">
        <v>59117</v>
      </c>
    </row>
    <row r="9598">
      <c r="A9598" s="4">
        <v>45534.46690107639</v>
      </c>
      <c r="B9598" s="5" t="s">
        <v>34</v>
      </c>
      <c r="D9598" s="5" t="s">
        <v>1206</v>
      </c>
      <c r="E9598" s="5" t="s">
        <v>59275</v>
      </c>
      <c r="F9598" s="5" t="s">
        <v>328</v>
      </c>
      <c r="G9598" s="5" t="s">
        <v>59276</v>
      </c>
      <c r="H9598" s="6" t="s">
        <v>59277</v>
      </c>
      <c r="K9598" s="5" t="s">
        <v>59271</v>
      </c>
      <c r="P9598" s="5" t="s">
        <v>59117</v>
      </c>
    </row>
    <row r="9599" hidden="1">
      <c r="A9599" s="4">
        <v>45534.466922569445</v>
      </c>
      <c r="B9599" s="5" t="s">
        <v>19</v>
      </c>
      <c r="C9599" s="5" t="s">
        <v>292</v>
      </c>
      <c r="E9599" s="5" t="s">
        <v>59278</v>
      </c>
      <c r="F9599" s="5" t="s">
        <v>120</v>
      </c>
      <c r="G9599" s="5" t="s">
        <v>59279</v>
      </c>
      <c r="H9599" s="6" t="s">
        <v>59280</v>
      </c>
      <c r="K9599" s="5" t="s">
        <v>59271</v>
      </c>
      <c r="P9599" s="5" t="s">
        <v>59117</v>
      </c>
    </row>
    <row r="9600">
      <c r="A9600" s="4">
        <v>45534.467045625</v>
      </c>
      <c r="B9600" s="5" t="s">
        <v>34</v>
      </c>
      <c r="D9600" s="5" t="s">
        <v>35</v>
      </c>
      <c r="E9600" s="5" t="s">
        <v>59281</v>
      </c>
      <c r="F9600" s="5" t="s">
        <v>37</v>
      </c>
      <c r="G9600" s="5" t="s">
        <v>59282</v>
      </c>
      <c r="H9600" s="6" t="s">
        <v>59283</v>
      </c>
      <c r="K9600" s="5" t="s">
        <v>59284</v>
      </c>
      <c r="P9600" s="5" t="s">
        <v>59117</v>
      </c>
    </row>
    <row r="9601" hidden="1">
      <c r="A9601" s="4">
        <v>45534.467051388885</v>
      </c>
      <c r="B9601" s="5" t="s">
        <v>19</v>
      </c>
      <c r="C9601" s="5" t="s">
        <v>292</v>
      </c>
      <c r="E9601" s="5" t="s">
        <v>59285</v>
      </c>
      <c r="F9601" s="5" t="s">
        <v>212</v>
      </c>
      <c r="G9601" s="5" t="s">
        <v>59286</v>
      </c>
      <c r="H9601" s="6" t="s">
        <v>59287</v>
      </c>
      <c r="K9601" s="5" t="s">
        <v>59284</v>
      </c>
      <c r="P9601" s="5" t="s">
        <v>59117</v>
      </c>
    </row>
    <row r="9602">
      <c r="A9602" s="4">
        <v>45534.46716438657</v>
      </c>
      <c r="B9602" s="5" t="s">
        <v>34</v>
      </c>
      <c r="D9602" s="5" t="s">
        <v>14313</v>
      </c>
      <c r="E9602" s="5" t="s">
        <v>59288</v>
      </c>
      <c r="F9602" s="5" t="s">
        <v>212</v>
      </c>
      <c r="G9602" s="5" t="s">
        <v>59289</v>
      </c>
      <c r="H9602" s="6" t="s">
        <v>59290</v>
      </c>
      <c r="K9602" s="5" t="s">
        <v>59284</v>
      </c>
      <c r="P9602" s="5" t="s">
        <v>59117</v>
      </c>
    </row>
    <row r="9603">
      <c r="A9603" s="4">
        <v>45534.46718450231</v>
      </c>
      <c r="B9603" s="5" t="s">
        <v>34</v>
      </c>
      <c r="D9603" s="5" t="s">
        <v>35</v>
      </c>
      <c r="E9603" s="5" t="s">
        <v>59291</v>
      </c>
      <c r="F9603" s="5" t="s">
        <v>37</v>
      </c>
      <c r="G9603" s="5" t="s">
        <v>59292</v>
      </c>
      <c r="H9603" s="6" t="s">
        <v>59293</v>
      </c>
      <c r="K9603" s="5" t="s">
        <v>59284</v>
      </c>
      <c r="P9603" s="5" t="s">
        <v>59117</v>
      </c>
    </row>
    <row r="9604">
      <c r="A9604" s="4">
        <v>45534.46730185185</v>
      </c>
      <c r="B9604" s="5" t="s">
        <v>34</v>
      </c>
      <c r="D9604" s="5" t="s">
        <v>35</v>
      </c>
      <c r="E9604" s="5" t="s">
        <v>51243</v>
      </c>
      <c r="F9604" s="5" t="s">
        <v>199</v>
      </c>
      <c r="G9604" s="5" t="s">
        <v>59294</v>
      </c>
      <c r="H9604" s="6" t="s">
        <v>59295</v>
      </c>
      <c r="K9604" s="5" t="s">
        <v>59284</v>
      </c>
      <c r="P9604" s="5" t="s">
        <v>59117</v>
      </c>
    </row>
    <row r="9605">
      <c r="A9605" s="4">
        <v>45534.46740664352</v>
      </c>
      <c r="B9605" s="5" t="s">
        <v>34</v>
      </c>
      <c r="D9605" s="5" t="s">
        <v>1206</v>
      </c>
      <c r="E9605" s="5" t="s">
        <v>59296</v>
      </c>
      <c r="F9605" s="5" t="s">
        <v>72</v>
      </c>
      <c r="G9605" s="5" t="s">
        <v>59297</v>
      </c>
      <c r="H9605" s="6" t="s">
        <v>59298</v>
      </c>
      <c r="K9605" s="5" t="s">
        <v>59284</v>
      </c>
      <c r="P9605" s="5" t="s">
        <v>59117</v>
      </c>
    </row>
    <row r="9606">
      <c r="A9606" s="4">
        <v>45534.46742865741</v>
      </c>
      <c r="B9606" s="5" t="s">
        <v>34</v>
      </c>
      <c r="D9606" s="5" t="s">
        <v>4775</v>
      </c>
      <c r="E9606" s="5" t="s">
        <v>59299</v>
      </c>
      <c r="F9606" s="5" t="s">
        <v>72</v>
      </c>
      <c r="G9606" s="5" t="s">
        <v>59300</v>
      </c>
      <c r="H9606" s="6" t="s">
        <v>59301</v>
      </c>
      <c r="K9606" s="5" t="s">
        <v>59284</v>
      </c>
      <c r="P9606" s="5" t="s">
        <v>59117</v>
      </c>
    </row>
    <row r="9607">
      <c r="A9607" s="4">
        <v>45534.467432453705</v>
      </c>
      <c r="B9607" s="5" t="s">
        <v>34</v>
      </c>
      <c r="D9607" s="5" t="s">
        <v>12978</v>
      </c>
      <c r="E9607" s="5" t="s">
        <v>59302</v>
      </c>
      <c r="F9607" s="5" t="s">
        <v>108</v>
      </c>
      <c r="G9607" s="5" t="s">
        <v>59303</v>
      </c>
      <c r="H9607" s="6" t="s">
        <v>59304</v>
      </c>
      <c r="K9607" s="5" t="s">
        <v>59284</v>
      </c>
      <c r="M9607" s="5" t="s">
        <v>59305</v>
      </c>
      <c r="N9607" s="7" t="s">
        <v>59306</v>
      </c>
      <c r="O9607" s="8" t="str">
        <f>HYPERLINK("https://drive.google.com/file/d/1GFUNbHbiQynRI2ep9km8Dp8e5Kr5E7U-/view?usp=drivesdk","9606_JUFRISON  _ SERTIFIKAT BerAKHLAK")</f>
        <v>9606_JUFRISON  _ SERTIFIKAT BerAKHLAK</v>
      </c>
      <c r="P9607" s="5" t="s">
        <v>59307</v>
      </c>
    </row>
    <row r="9608">
      <c r="A9608" s="4">
        <v>45534.46757806713</v>
      </c>
      <c r="B9608" s="5" t="s">
        <v>34</v>
      </c>
      <c r="D9608" s="5" t="s">
        <v>1206</v>
      </c>
      <c r="E9608" s="5" t="s">
        <v>59308</v>
      </c>
      <c r="F9608" s="5" t="s">
        <v>212</v>
      </c>
      <c r="G9608" s="5" t="s">
        <v>59309</v>
      </c>
      <c r="H9608" s="6" t="s">
        <v>59310</v>
      </c>
      <c r="K9608" s="5" t="s">
        <v>59284</v>
      </c>
      <c r="M9608" s="5" t="s">
        <v>59311</v>
      </c>
      <c r="N9608" s="7" t="s">
        <v>59312</v>
      </c>
      <c r="O9608" s="8" t="str">
        <f>HYPERLINK("https://drive.google.com/file/d/1N67V27TDPa4L1T3MRCwtZPxCp5q7ZXIn/view?usp=drivesdk","9607_SUJONO _ SERTIFIKAT BerAKHLAK")</f>
        <v>9607_SUJONO _ SERTIFIKAT BerAKHLAK</v>
      </c>
      <c r="P9608" s="5" t="s">
        <v>59313</v>
      </c>
    </row>
    <row r="9609">
      <c r="A9609" s="4">
        <v>45534.46764138889</v>
      </c>
      <c r="B9609" s="5" t="s">
        <v>34</v>
      </c>
      <c r="D9609" s="5" t="s">
        <v>14313</v>
      </c>
      <c r="E9609" s="5" t="s">
        <v>59314</v>
      </c>
      <c r="F9609" s="5" t="s">
        <v>5566</v>
      </c>
      <c r="G9609" s="5" t="s">
        <v>59315</v>
      </c>
      <c r="H9609" s="6" t="s">
        <v>59316</v>
      </c>
      <c r="K9609" s="5" t="s">
        <v>59284</v>
      </c>
      <c r="M9609" s="5" t="s">
        <v>59317</v>
      </c>
      <c r="N9609" s="7" t="s">
        <v>59318</v>
      </c>
      <c r="O9609" s="8" t="str">
        <f>HYPERLINK("https://drive.google.com/file/d/16yKO-ngNkd0413hUZdlzy2jEByqzfGel/view?usp=drivesdk","9608_YUSMAN NUR ADIYAKSA _ SERTIFIKAT BerAKHLAK")</f>
        <v>9608_YUSMAN NUR ADIYAKSA _ SERTIFIKAT BerAKHLAK</v>
      </c>
      <c r="P9609" s="5" t="s">
        <v>59319</v>
      </c>
    </row>
    <row r="9610">
      <c r="A9610" s="4">
        <v>45534.467650879626</v>
      </c>
      <c r="B9610" s="5" t="s">
        <v>34</v>
      </c>
      <c r="D9610" s="5" t="s">
        <v>1558</v>
      </c>
      <c r="E9610" s="5" t="s">
        <v>59320</v>
      </c>
      <c r="F9610" s="5" t="s">
        <v>715</v>
      </c>
      <c r="G9610" s="5" t="s">
        <v>59321</v>
      </c>
      <c r="H9610" s="6" t="s">
        <v>59322</v>
      </c>
      <c r="K9610" s="5" t="s">
        <v>59284</v>
      </c>
      <c r="M9610" s="5" t="s">
        <v>59323</v>
      </c>
      <c r="N9610" s="7" t="s">
        <v>59324</v>
      </c>
      <c r="O9610" s="8" t="str">
        <f>HYPERLINK("https://drive.google.com/file/d/1pC4zPjEsaXmx0NGuMLVdL_IG88k6ImPO/view?usp=drivesdk","9609_RATNA DEWI KOMALA, S.Ak _ SERTIFIKAT BerAKHLAK")</f>
        <v>9609_RATNA DEWI KOMALA, S.Ak _ SERTIFIKAT BerAKHLAK</v>
      </c>
      <c r="P9610" s="5" t="s">
        <v>59325</v>
      </c>
    </row>
    <row r="9611" hidden="1">
      <c r="A9611" s="4">
        <v>45534.46766189815</v>
      </c>
      <c r="B9611" s="5" t="s">
        <v>19</v>
      </c>
      <c r="C9611" s="5" t="s">
        <v>24076</v>
      </c>
      <c r="E9611" s="5" t="s">
        <v>59326</v>
      </c>
      <c r="F9611" s="5" t="s">
        <v>375</v>
      </c>
      <c r="G9611" s="5" t="s">
        <v>59327</v>
      </c>
      <c r="H9611" s="6" t="s">
        <v>59328</v>
      </c>
      <c r="K9611" s="5" t="s">
        <v>59284</v>
      </c>
      <c r="M9611" s="5" t="s">
        <v>59329</v>
      </c>
      <c r="N9611" s="7" t="s">
        <v>59330</v>
      </c>
      <c r="O9611" s="8" t="str">
        <f>HYPERLINK("https://drive.google.com/file/d/1Y1Bh5aM2zJ1ylI_E52xVJfdEpV4xWkWE/view?usp=drivesdk","9610_ERNA SURISGIANTI _ SERTIFIKAT BerAKHLAK")</f>
        <v>9610_ERNA SURISGIANTI _ SERTIFIKAT BerAKHLAK</v>
      </c>
      <c r="P9611" s="5" t="s">
        <v>59331</v>
      </c>
    </row>
    <row r="9612">
      <c r="A9612" s="4">
        <v>45534.467788657406</v>
      </c>
      <c r="B9612" s="5" t="s">
        <v>34</v>
      </c>
      <c r="D9612" s="5" t="s">
        <v>1206</v>
      </c>
      <c r="E9612" s="5" t="s">
        <v>59332</v>
      </c>
      <c r="F9612" s="5" t="s">
        <v>212</v>
      </c>
      <c r="G9612" s="5" t="s">
        <v>59333</v>
      </c>
      <c r="H9612" s="6" t="s">
        <v>59334</v>
      </c>
      <c r="K9612" s="5" t="s">
        <v>59284</v>
      </c>
      <c r="M9612" s="5" t="s">
        <v>59335</v>
      </c>
      <c r="N9612" s="7" t="s">
        <v>59336</v>
      </c>
      <c r="O9612" s="8" t="str">
        <f>HYPERLINK("https://drive.google.com/file/d/18VzIek__lUisHLwjmFlkmguXTsP9eUau/view?usp=drivesdk","9611_DIANDRA ARISTANA _ SERTIFIKAT BerAKHLAK")</f>
        <v>9611_DIANDRA ARISTANA _ SERTIFIKAT BerAKHLAK</v>
      </c>
      <c r="P9612" s="5" t="s">
        <v>59337</v>
      </c>
    </row>
    <row r="9613" hidden="1">
      <c r="A9613" s="4">
        <v>45534.46788519676</v>
      </c>
      <c r="B9613" s="5" t="s">
        <v>19</v>
      </c>
      <c r="C9613" s="5" t="s">
        <v>292</v>
      </c>
      <c r="E9613" s="5" t="s">
        <v>59338</v>
      </c>
      <c r="F9613" s="5" t="s">
        <v>37</v>
      </c>
      <c r="G9613" s="5" t="s">
        <v>59339</v>
      </c>
      <c r="H9613" s="6" t="s">
        <v>59340</v>
      </c>
      <c r="K9613" s="5" t="s">
        <v>59284</v>
      </c>
      <c r="M9613" s="5" t="s">
        <v>59341</v>
      </c>
      <c r="N9613" s="7" t="s">
        <v>59342</v>
      </c>
      <c r="O9613" s="8" t="str">
        <f>HYPERLINK("https://drive.google.com/file/d/10Yho3GFLWEZhm2Sh3njNalGI94AKdgnz/view?usp=drivesdk","9612_ARIF SETYANTO, AMD. KES _ SERTIFIKAT BerAKHLAK")</f>
        <v>9612_ARIF SETYANTO, AMD. KES _ SERTIFIKAT BerAKHLAK</v>
      </c>
      <c r="P9613" s="5" t="s">
        <v>59343</v>
      </c>
    </row>
    <row r="9614">
      <c r="A9614" s="4">
        <v>45534.46808439815</v>
      </c>
      <c r="B9614" s="5" t="s">
        <v>34</v>
      </c>
      <c r="D9614" s="5" t="s">
        <v>1206</v>
      </c>
      <c r="E9614" s="5" t="s">
        <v>59344</v>
      </c>
      <c r="F9614" s="5" t="s">
        <v>328</v>
      </c>
      <c r="G9614" s="5" t="s">
        <v>59345</v>
      </c>
      <c r="H9614" s="6" t="s">
        <v>59346</v>
      </c>
      <c r="K9614" s="5" t="s">
        <v>59284</v>
      </c>
      <c r="M9614" s="5" t="s">
        <v>59347</v>
      </c>
      <c r="N9614" s="7" t="s">
        <v>59348</v>
      </c>
      <c r="O9614" s="8" t="str">
        <f>HYPERLINK("https://drive.google.com/file/d/1sM-HTz-mNCgF4mNalDs2DC8wO7CIOpNt/view?usp=drivesdk","9613_RONI SUMITRO _ SERTIFIKAT BerAKHLAK")</f>
        <v>9613_RONI SUMITRO _ SERTIFIKAT BerAKHLAK</v>
      </c>
      <c r="P9614" s="5" t="s">
        <v>59349</v>
      </c>
    </row>
    <row r="9615">
      <c r="A9615" s="4">
        <v>45534.46815444445</v>
      </c>
      <c r="B9615" s="5" t="s">
        <v>34</v>
      </c>
      <c r="D9615" s="5" t="s">
        <v>9020</v>
      </c>
      <c r="E9615" s="5" t="s">
        <v>50069</v>
      </c>
      <c r="F9615" s="5" t="s">
        <v>212</v>
      </c>
      <c r="G9615" s="5" t="s">
        <v>50070</v>
      </c>
      <c r="H9615" s="6" t="s">
        <v>59350</v>
      </c>
      <c r="K9615" s="5" t="s">
        <v>59284</v>
      </c>
      <c r="M9615" s="5" t="s">
        <v>59351</v>
      </c>
      <c r="N9615" s="7" t="s">
        <v>59352</v>
      </c>
      <c r="O9615" s="8" t="str">
        <f>HYPERLINK("https://drive.google.com/file/d/1UCOEkWvaRIQNBOY3vrG_SPErWDHZjDgc/view?usp=drivesdk","9614_SERI MURTI SIREGAR _ SERTIFIKAT BerAKHLAK")</f>
        <v>9614_SERI MURTI SIREGAR _ SERTIFIKAT BerAKHLAK</v>
      </c>
      <c r="P9615" s="5" t="s">
        <v>59353</v>
      </c>
    </row>
    <row r="9616">
      <c r="A9616" s="4">
        <v>45534.46817972222</v>
      </c>
      <c r="B9616" s="5" t="s">
        <v>34</v>
      </c>
      <c r="D9616" s="5" t="s">
        <v>580</v>
      </c>
      <c r="E9616" s="5" t="s">
        <v>59354</v>
      </c>
      <c r="F9616" s="5" t="s">
        <v>72</v>
      </c>
      <c r="G9616" s="5" t="s">
        <v>59355</v>
      </c>
      <c r="H9616" s="6" t="s">
        <v>59356</v>
      </c>
      <c r="K9616" s="5" t="s">
        <v>59284</v>
      </c>
      <c r="M9616" s="5" t="s">
        <v>59357</v>
      </c>
      <c r="N9616" s="7" t="s">
        <v>59358</v>
      </c>
      <c r="O9616" s="8" t="str">
        <f>HYPERLINK("https://drive.google.com/file/d/1iAtzxjxWDg6e3LvjucoM_W_h3jgyzyLc/view?usp=drivesdk","9615_I GUSTI AGUNG AYU SRIASTUTI, A. Md. Kep _ SERTIFIKAT BerAKHLAK")</f>
        <v>9615_I GUSTI AGUNG AYU SRIASTUTI, A. Md. Kep _ SERTIFIKAT BerAKHLAK</v>
      </c>
      <c r="P9616" s="5" t="s">
        <v>59359</v>
      </c>
    </row>
    <row r="9617" hidden="1">
      <c r="A9617" s="4">
        <v>45534.46821173611</v>
      </c>
      <c r="B9617" s="5" t="s">
        <v>19</v>
      </c>
      <c r="C9617" s="5" t="s">
        <v>292</v>
      </c>
      <c r="E9617" s="5" t="s">
        <v>59360</v>
      </c>
      <c r="F9617" s="5" t="s">
        <v>37</v>
      </c>
      <c r="G9617" s="5" t="s">
        <v>59361</v>
      </c>
      <c r="H9617" s="6" t="s">
        <v>59362</v>
      </c>
      <c r="K9617" s="5" t="s">
        <v>59284</v>
      </c>
      <c r="M9617" s="5" t="s">
        <v>59363</v>
      </c>
      <c r="N9617" s="7" t="s">
        <v>59364</v>
      </c>
      <c r="O9617" s="8" t="str">
        <f>HYPERLINK("https://drive.google.com/file/d/1titxqF_VJNSZn9rd9G_o_gc1N1yfBiMp/view?usp=drivesdk","9616_HERI SETIAWAN, A.Md.Ft _ SERTIFIKAT BerAKHLAK")</f>
        <v>9616_HERI SETIAWAN, A.Md.Ft _ SERTIFIKAT BerAKHLAK</v>
      </c>
      <c r="P9617" s="5" t="s">
        <v>59365</v>
      </c>
    </row>
    <row r="9618">
      <c r="A9618" s="4">
        <v>45534.46821652778</v>
      </c>
      <c r="B9618" s="5" t="s">
        <v>34</v>
      </c>
      <c r="D9618" s="5" t="s">
        <v>1206</v>
      </c>
      <c r="E9618" s="5" t="s">
        <v>59366</v>
      </c>
      <c r="F9618" s="5" t="s">
        <v>37</v>
      </c>
      <c r="G9618" s="5" t="s">
        <v>59367</v>
      </c>
      <c r="H9618" s="6" t="s">
        <v>59368</v>
      </c>
      <c r="K9618" s="5" t="s">
        <v>59284</v>
      </c>
      <c r="M9618" s="5" t="s">
        <v>59369</v>
      </c>
      <c r="N9618" s="7" t="s">
        <v>59370</v>
      </c>
      <c r="O9618" s="8" t="str">
        <f>HYPERLINK("https://drive.google.com/file/d/1iB_eqQ4605PGFgtj85vyqrxo2t4lOxXx/view?usp=drivesdk","9617_UMMI IRAWATI A.Md.Keb _ SERTIFIKAT BerAKHLAK")</f>
        <v>9617_UMMI IRAWATI A.Md.Keb _ SERTIFIKAT BerAKHLAK</v>
      </c>
      <c r="P9618" s="5" t="s">
        <v>59371</v>
      </c>
    </row>
    <row r="9619">
      <c r="A9619" s="4">
        <v>45534.4682566088</v>
      </c>
      <c r="B9619" s="5" t="s">
        <v>34</v>
      </c>
      <c r="D9619" s="5" t="s">
        <v>9020</v>
      </c>
      <c r="E9619" s="5" t="s">
        <v>59372</v>
      </c>
      <c r="F9619" s="5" t="s">
        <v>212</v>
      </c>
      <c r="G9619" s="5" t="s">
        <v>59373</v>
      </c>
      <c r="H9619" s="6" t="s">
        <v>59374</v>
      </c>
      <c r="K9619" s="5" t="s">
        <v>59284</v>
      </c>
      <c r="M9619" s="5" t="s">
        <v>59375</v>
      </c>
      <c r="N9619" s="7" t="s">
        <v>59376</v>
      </c>
      <c r="O9619" s="8" t="str">
        <f>HYPERLINK("https://drive.google.com/file/d/1HPsJugCnC9egQ293Hg6gYZMGnTgl4ku7/view?usp=drivesdk","9618_ROMA ULI SITUMORANG _ SERTIFIKAT BerAKHLAK")</f>
        <v>9618_ROMA ULI SITUMORANG _ SERTIFIKAT BerAKHLAK</v>
      </c>
      <c r="P9619" s="5" t="s">
        <v>59377</v>
      </c>
    </row>
    <row r="9620">
      <c r="A9620" s="4">
        <v>45534.46832849537</v>
      </c>
      <c r="B9620" s="5" t="s">
        <v>34</v>
      </c>
      <c r="D9620" s="5" t="s">
        <v>1456</v>
      </c>
      <c r="E9620" s="5" t="s">
        <v>59378</v>
      </c>
      <c r="F9620" s="5" t="s">
        <v>212</v>
      </c>
      <c r="G9620" s="5" t="s">
        <v>59379</v>
      </c>
      <c r="H9620" s="6" t="s">
        <v>59380</v>
      </c>
      <c r="K9620" s="5" t="s">
        <v>59381</v>
      </c>
      <c r="M9620" s="5" t="s">
        <v>59382</v>
      </c>
      <c r="N9620" s="7" t="s">
        <v>59383</v>
      </c>
      <c r="O9620" s="8" t="str">
        <f>HYPERLINK("https://drive.google.com/file/d/1wiVZJfPaANmH_vN4ZSFMXfLepkWmmO74/view?usp=drivesdk","9619_MURNI MARMIATI _ SERTIFIKAT BerAKHLAK")</f>
        <v>9619_MURNI MARMIATI _ SERTIFIKAT BerAKHLAK</v>
      </c>
      <c r="P9620" s="5" t="s">
        <v>59384</v>
      </c>
    </row>
    <row r="9621">
      <c r="A9621" s="4">
        <v>45534.46842006945</v>
      </c>
      <c r="B9621" s="5" t="s">
        <v>34</v>
      </c>
      <c r="D9621" s="5" t="s">
        <v>12026</v>
      </c>
      <c r="E9621" s="5" t="s">
        <v>59385</v>
      </c>
      <c r="F9621" s="5" t="s">
        <v>37</v>
      </c>
      <c r="G9621" s="5" t="s">
        <v>59386</v>
      </c>
      <c r="H9621" s="6" t="s">
        <v>59387</v>
      </c>
      <c r="K9621" s="5" t="s">
        <v>59388</v>
      </c>
      <c r="M9621" s="5" t="s">
        <v>59389</v>
      </c>
      <c r="N9621" s="7" t="s">
        <v>59390</v>
      </c>
      <c r="O9621" s="8" t="str">
        <f>HYPERLINK("https://drive.google.com/file/d/1aPFx3rI2sZUgMft2sSe62mNSg9uoDWNJ/view?usp=drivesdk","9620_KHANISYAH ISTIQOMAH, A.Md.Kep _ SERTIFIKAT BerAKHLAK")</f>
        <v>9620_KHANISYAH ISTIQOMAH, A.Md.Kep _ SERTIFIKAT BerAKHLAK</v>
      </c>
      <c r="P9621" s="5" t="s">
        <v>59391</v>
      </c>
    </row>
    <row r="9622">
      <c r="A9622" s="4">
        <v>45534.4686075</v>
      </c>
      <c r="B9622" s="5" t="s">
        <v>34</v>
      </c>
      <c r="D9622" s="5" t="s">
        <v>10444</v>
      </c>
      <c r="E9622" s="5" t="s">
        <v>22398</v>
      </c>
      <c r="F9622" s="5" t="s">
        <v>72</v>
      </c>
      <c r="G9622" s="5" t="s">
        <v>22399</v>
      </c>
      <c r="H9622" s="6" t="s">
        <v>59392</v>
      </c>
      <c r="K9622" s="5" t="s">
        <v>59393</v>
      </c>
      <c r="M9622" s="5" t="s">
        <v>59394</v>
      </c>
      <c r="N9622" s="7" t="s">
        <v>59395</v>
      </c>
      <c r="O9622" s="8" t="str">
        <f>HYPERLINK("https://drive.google.com/file/d/1zrk7Wzwbgd8Sdsl8RApTGoyCdm7a5pQa/view?usp=drivesdk","9621_SRI NURHAYATI _ SERTIFIKAT BerAKHLAK")</f>
        <v>9621_SRI NURHAYATI _ SERTIFIKAT BerAKHLAK</v>
      </c>
      <c r="P9622" s="5" t="s">
        <v>59396</v>
      </c>
    </row>
    <row r="9623">
      <c r="A9623" s="4">
        <v>45534.46867914352</v>
      </c>
      <c r="B9623" s="5" t="s">
        <v>34</v>
      </c>
      <c r="D9623" s="5" t="s">
        <v>10444</v>
      </c>
      <c r="E9623" s="5" t="s">
        <v>38131</v>
      </c>
      <c r="F9623" s="5" t="s">
        <v>108</v>
      </c>
      <c r="G9623" s="5" t="s">
        <v>53418</v>
      </c>
      <c r="H9623" s="6" t="s">
        <v>59397</v>
      </c>
      <c r="K9623" s="5" t="s">
        <v>59393</v>
      </c>
      <c r="M9623" s="5" t="s">
        <v>59398</v>
      </c>
      <c r="N9623" s="7" t="s">
        <v>59399</v>
      </c>
      <c r="O9623" s="8" t="str">
        <f>HYPERLINK("https://drive.google.com/file/d/1Zh7Exq_3Wbala_sQ24RXUkyG_cvyqeXL/view?usp=drivesdk","9622_SUCI JAMIAH _ SERTIFIKAT BerAKHLAK")</f>
        <v>9622_SUCI JAMIAH _ SERTIFIKAT BerAKHLAK</v>
      </c>
      <c r="P9623" s="5" t="s">
        <v>59400</v>
      </c>
    </row>
    <row r="9624">
      <c r="A9624" s="4">
        <v>45534.468733726855</v>
      </c>
      <c r="B9624" s="5" t="s">
        <v>34</v>
      </c>
      <c r="D9624" s="5" t="s">
        <v>1206</v>
      </c>
      <c r="E9624" s="5" t="s">
        <v>59401</v>
      </c>
      <c r="F9624" s="5" t="s">
        <v>37</v>
      </c>
      <c r="G9624" s="5" t="s">
        <v>59402</v>
      </c>
      <c r="H9624" s="6" t="s">
        <v>59403</v>
      </c>
      <c r="K9624" s="5" t="s">
        <v>59393</v>
      </c>
      <c r="M9624" s="5" t="s">
        <v>59404</v>
      </c>
      <c r="N9624" s="7" t="s">
        <v>59405</v>
      </c>
      <c r="O9624" s="8" t="str">
        <f>HYPERLINK("https://drive.google.com/file/d/1FxvNm0MpQyPo0_-pZUoC8D6fznf56Y1o/view?usp=drivesdk","9623_SIGIT WIDYANTORO _ SERTIFIKAT BerAKHLAK")</f>
        <v>9623_SIGIT WIDYANTORO _ SERTIFIKAT BerAKHLAK</v>
      </c>
      <c r="P9624" s="5" t="s">
        <v>59406</v>
      </c>
    </row>
    <row r="9625">
      <c r="A9625" s="4">
        <v>45534.46873893519</v>
      </c>
      <c r="B9625" s="5" t="s">
        <v>34</v>
      </c>
      <c r="D9625" s="5" t="s">
        <v>604</v>
      </c>
      <c r="E9625" s="5" t="s">
        <v>59407</v>
      </c>
      <c r="F9625" s="5" t="s">
        <v>72</v>
      </c>
      <c r="G9625" s="5" t="s">
        <v>59408</v>
      </c>
      <c r="H9625" s="6" t="s">
        <v>59409</v>
      </c>
      <c r="K9625" s="5" t="s">
        <v>59393</v>
      </c>
      <c r="M9625" s="5" t="s">
        <v>59410</v>
      </c>
      <c r="N9625" s="7" t="s">
        <v>59411</v>
      </c>
      <c r="O9625" s="8" t="str">
        <f>HYPERLINK("https://drive.google.com/file/d/1eSadTG1tXugOdxbmKq1mILsMWS_iX6H0/view?usp=drivesdk","9624_HUDMAN _ SERTIFIKAT BerAKHLAK")</f>
        <v>9624_HUDMAN _ SERTIFIKAT BerAKHLAK</v>
      </c>
      <c r="P9625" s="5" t="s">
        <v>59412</v>
      </c>
    </row>
    <row r="9626">
      <c r="A9626" s="4">
        <v>45534.46878872685</v>
      </c>
      <c r="B9626" s="5" t="s">
        <v>34</v>
      </c>
      <c r="D9626" s="5" t="s">
        <v>9020</v>
      </c>
      <c r="E9626" s="5" t="s">
        <v>59413</v>
      </c>
      <c r="F9626" s="5" t="s">
        <v>212</v>
      </c>
      <c r="G9626" s="5" t="s">
        <v>59414</v>
      </c>
      <c r="H9626" s="6" t="s">
        <v>59415</v>
      </c>
      <c r="K9626" s="5" t="s">
        <v>59393</v>
      </c>
      <c r="M9626" s="5" t="s">
        <v>59416</v>
      </c>
      <c r="N9626" s="7" t="s">
        <v>59417</v>
      </c>
      <c r="O9626" s="8" t="str">
        <f>HYPERLINK("https://drive.google.com/file/d/15ZmmzxOHS3eqd4kzOu21jxchJuxosXAf/view?usp=drivesdk","9625_CAMELIA DERITA _ SERTIFIKAT BerAKHLAK")</f>
        <v>9625_CAMELIA DERITA _ SERTIFIKAT BerAKHLAK</v>
      </c>
      <c r="P9626" s="5" t="s">
        <v>59418</v>
      </c>
    </row>
    <row r="9627" hidden="1">
      <c r="A9627" s="4">
        <v>45534.46879349537</v>
      </c>
      <c r="B9627" s="5" t="s">
        <v>19</v>
      </c>
      <c r="C9627" s="5" t="s">
        <v>38343</v>
      </c>
      <c r="E9627" s="5" t="s">
        <v>59419</v>
      </c>
      <c r="F9627" s="5" t="s">
        <v>524</v>
      </c>
      <c r="G9627" s="5" t="s">
        <v>59420</v>
      </c>
      <c r="H9627" s="6" t="s">
        <v>59421</v>
      </c>
      <c r="K9627" s="5" t="s">
        <v>59393</v>
      </c>
      <c r="M9627" s="5" t="s">
        <v>59422</v>
      </c>
      <c r="N9627" s="7" t="s">
        <v>59423</v>
      </c>
      <c r="O9627" s="8" t="str">
        <f>HYPERLINK("https://drive.google.com/file/d/12Qtoj20MtZwPEJY6yi_M_lL5o8gpx7Hm/view?usp=drivesdk","9626_FUAD NGAZIZ SANTOSA, S.KOM. _ SERTIFIKAT BerAKHLAK")</f>
        <v>9626_FUAD NGAZIZ SANTOSA, S.KOM. _ SERTIFIKAT BerAKHLAK</v>
      </c>
      <c r="P9627" s="5" t="s">
        <v>59424</v>
      </c>
    </row>
    <row r="9628" hidden="1">
      <c r="A9628" s="4">
        <v>45534.46879605324</v>
      </c>
      <c r="B9628" s="5" t="s">
        <v>19</v>
      </c>
      <c r="C9628" s="5" t="s">
        <v>292</v>
      </c>
      <c r="E9628" s="5" t="s">
        <v>59425</v>
      </c>
      <c r="F9628" s="5" t="s">
        <v>120</v>
      </c>
      <c r="G9628" s="5" t="s">
        <v>59426</v>
      </c>
      <c r="H9628" s="6" t="s">
        <v>59427</v>
      </c>
      <c r="K9628" s="5" t="s">
        <v>59393</v>
      </c>
      <c r="M9628" s="5" t="s">
        <v>59428</v>
      </c>
      <c r="N9628" s="7" t="s">
        <v>59429</v>
      </c>
      <c r="O9628" s="8" t="str">
        <f>HYPERLINK("https://drive.google.com/file/d/1QR_ma6kPOR8C0AmQXsaEXRVxJ4sHCU3W/view?usp=drivesdk","9627_Drg NOVI RATNA KUSUMAWATI _ SERTIFIKAT BerAKHLAK")</f>
        <v>9627_Drg NOVI RATNA KUSUMAWATI _ SERTIFIKAT BerAKHLAK</v>
      </c>
      <c r="P9628" s="5" t="s">
        <v>59430</v>
      </c>
    </row>
    <row r="9629" hidden="1">
      <c r="A9629" s="4">
        <v>45534.4687987963</v>
      </c>
      <c r="B9629" s="5" t="s">
        <v>19</v>
      </c>
      <c r="C9629" s="5" t="s">
        <v>292</v>
      </c>
      <c r="E9629" s="5" t="s">
        <v>59431</v>
      </c>
      <c r="F9629" s="5" t="s">
        <v>120</v>
      </c>
      <c r="G9629" s="5" t="s">
        <v>59432</v>
      </c>
      <c r="H9629" s="6" t="s">
        <v>59433</v>
      </c>
      <c r="K9629" s="5" t="s">
        <v>59393</v>
      </c>
      <c r="M9629" s="5" t="s">
        <v>59434</v>
      </c>
      <c r="N9629" s="7" t="s">
        <v>59435</v>
      </c>
      <c r="O9629" s="8" t="str">
        <f>HYPERLINK("https://drive.google.com/file/d/1T02St_sqnZ13zwRoBuRSmi3Pma_89nJP/view?usp=drivesdk","9628_dr. YENI SEFFIYANTI _ SERTIFIKAT BerAKHLAK")</f>
        <v>9628_dr. YENI SEFFIYANTI _ SERTIFIKAT BerAKHLAK</v>
      </c>
      <c r="P9629" s="5" t="s">
        <v>59436</v>
      </c>
    </row>
    <row r="9630">
      <c r="A9630" s="4">
        <v>45534.46880664352</v>
      </c>
      <c r="B9630" s="5" t="s">
        <v>34</v>
      </c>
      <c r="D9630" s="5" t="s">
        <v>701</v>
      </c>
      <c r="E9630" s="5" t="s">
        <v>59437</v>
      </c>
      <c r="F9630" s="5" t="s">
        <v>212</v>
      </c>
      <c r="G9630" s="5" t="s">
        <v>59438</v>
      </c>
      <c r="H9630" s="6" t="s">
        <v>59439</v>
      </c>
      <c r="K9630" s="5" t="s">
        <v>59393</v>
      </c>
      <c r="M9630" s="5" t="s">
        <v>59440</v>
      </c>
      <c r="N9630" s="7" t="s">
        <v>59441</v>
      </c>
      <c r="O9630" s="8" t="str">
        <f>HYPERLINK("https://drive.google.com/file/d/1mdoTNiYZ3l5FGGLiLJMF4UOJZxihUosO/view?usp=drivesdk","9629_RETNO ARIANTI.A.Md.Far _ SERTIFIKAT BerAKHLAK")</f>
        <v>9629_RETNO ARIANTI.A.Md.Far _ SERTIFIKAT BerAKHLAK</v>
      </c>
      <c r="P9630" s="5" t="s">
        <v>59442</v>
      </c>
    </row>
    <row r="9631">
      <c r="A9631" s="4">
        <v>45534.468934131946</v>
      </c>
      <c r="B9631" s="5" t="s">
        <v>34</v>
      </c>
      <c r="D9631" s="5" t="s">
        <v>35</v>
      </c>
      <c r="E9631" s="5" t="s">
        <v>59443</v>
      </c>
      <c r="F9631" s="5" t="s">
        <v>328</v>
      </c>
      <c r="G9631" s="5" t="s">
        <v>59444</v>
      </c>
      <c r="H9631" s="6" t="s">
        <v>59445</v>
      </c>
      <c r="K9631" s="5" t="s">
        <v>59393</v>
      </c>
      <c r="M9631" s="5" t="s">
        <v>59446</v>
      </c>
      <c r="N9631" s="7" t="s">
        <v>59447</v>
      </c>
      <c r="O9631" s="8" t="str">
        <f>HYPERLINK("https://drive.google.com/file/d/1kHzD53h7u8y0AEEnlOa3pBM_yJQEBpuD/view?usp=drivesdk","9630_OMA JUANDA  _ SERTIFIKAT BerAKHLAK")</f>
        <v>9630_OMA JUANDA  _ SERTIFIKAT BerAKHLAK</v>
      </c>
      <c r="P9631" s="5" t="s">
        <v>59448</v>
      </c>
    </row>
    <row r="9632">
      <c r="A9632" s="4">
        <v>45534.46909465278</v>
      </c>
      <c r="B9632" s="5" t="s">
        <v>34</v>
      </c>
      <c r="D9632" s="5" t="s">
        <v>4775</v>
      </c>
      <c r="E9632" s="5" t="s">
        <v>59449</v>
      </c>
      <c r="F9632" s="5" t="s">
        <v>37</v>
      </c>
      <c r="G9632" s="5" t="s">
        <v>59450</v>
      </c>
      <c r="H9632" s="6" t="s">
        <v>59451</v>
      </c>
      <c r="K9632" s="5" t="s">
        <v>59393</v>
      </c>
      <c r="M9632" s="5" t="s">
        <v>59452</v>
      </c>
      <c r="N9632" s="7" t="s">
        <v>59453</v>
      </c>
      <c r="O9632" s="8" t="str">
        <f>HYPERLINK("https://drive.google.com/file/d/1AFvtzXmGK7AazbMG6Y80VGHPqirnGX0E/view?usp=drivesdk","9631_EMYDIATI TRIWANINGRUM NEGARAWATI, AMD _ SERTIFIKAT BerAKHLAK")</f>
        <v>9631_EMYDIATI TRIWANINGRUM NEGARAWATI, AMD _ SERTIFIKAT BerAKHLAK</v>
      </c>
      <c r="P9632" s="5" t="s">
        <v>59454</v>
      </c>
    </row>
    <row r="9633">
      <c r="A9633" s="4">
        <v>45534.46910238426</v>
      </c>
      <c r="B9633" s="5" t="s">
        <v>34</v>
      </c>
      <c r="D9633" s="5" t="s">
        <v>4775</v>
      </c>
      <c r="E9633" s="5" t="s">
        <v>59455</v>
      </c>
      <c r="F9633" s="5" t="s">
        <v>108</v>
      </c>
      <c r="G9633" s="5" t="s">
        <v>59456</v>
      </c>
      <c r="H9633" s="6" t="s">
        <v>59457</v>
      </c>
      <c r="K9633" s="5" t="s">
        <v>59393</v>
      </c>
      <c r="M9633" s="5" t="s">
        <v>59458</v>
      </c>
      <c r="N9633" s="7" t="s">
        <v>59459</v>
      </c>
      <c r="O9633" s="8" t="str">
        <f>HYPERLINK("https://drive.google.com/file/d/1HBA6AHxaJc7us7xXdQ_NsXVpoYIe4B3n/view?usp=drivesdk","9632_SARMAN _ SERTIFIKAT BerAKHLAK")</f>
        <v>9632_SARMAN _ SERTIFIKAT BerAKHLAK</v>
      </c>
      <c r="P9633" s="5" t="s">
        <v>59460</v>
      </c>
    </row>
    <row r="9634">
      <c r="A9634" s="4">
        <v>45534.46913508102</v>
      </c>
      <c r="B9634" s="5" t="s">
        <v>34</v>
      </c>
      <c r="D9634" s="5" t="s">
        <v>9020</v>
      </c>
      <c r="E9634" s="5" t="s">
        <v>59461</v>
      </c>
      <c r="F9634" s="5" t="s">
        <v>212</v>
      </c>
      <c r="G9634" s="5" t="s">
        <v>59462</v>
      </c>
      <c r="H9634" s="6" t="s">
        <v>59463</v>
      </c>
      <c r="K9634" s="5" t="s">
        <v>59464</v>
      </c>
      <c r="M9634" s="5" t="s">
        <v>59465</v>
      </c>
      <c r="N9634" s="7" t="s">
        <v>59466</v>
      </c>
      <c r="O9634" s="8" t="str">
        <f>HYPERLINK("https://drive.google.com/file/d/1GJ28HLCaIF92V3NtQrzZtwebvVcX-TI3/view?usp=drivesdk","9633_TUTI WARDANI _ SERTIFIKAT BerAKHLAK")</f>
        <v>9633_TUTI WARDANI _ SERTIFIKAT BerAKHLAK</v>
      </c>
      <c r="P9634" s="5" t="s">
        <v>59467</v>
      </c>
    </row>
    <row r="9635">
      <c r="A9635" s="4">
        <v>45534.46914855324</v>
      </c>
      <c r="B9635" s="5" t="s">
        <v>34</v>
      </c>
      <c r="D9635" s="5" t="s">
        <v>1206</v>
      </c>
      <c r="E9635" s="5" t="s">
        <v>59468</v>
      </c>
      <c r="F9635" s="5" t="s">
        <v>108</v>
      </c>
      <c r="G9635" s="5" t="s">
        <v>59469</v>
      </c>
      <c r="H9635" s="6" t="s">
        <v>59470</v>
      </c>
      <c r="K9635" s="5" t="s">
        <v>59464</v>
      </c>
      <c r="M9635" s="5" t="s">
        <v>59471</v>
      </c>
      <c r="N9635" s="7" t="s">
        <v>59472</v>
      </c>
      <c r="O9635" s="8" t="str">
        <f>HYPERLINK("https://drive.google.com/file/d/1FGwfHO2x-EtvxOwb5fL1gk_jR4nPelY7/view?usp=drivesdk","9634_WIWIN PURBIANTO SKep.Ns _ SERTIFIKAT BerAKHLAK")</f>
        <v>9634_WIWIN PURBIANTO SKep.Ns _ SERTIFIKAT BerAKHLAK</v>
      </c>
      <c r="P9635" s="5" t="s">
        <v>59473</v>
      </c>
    </row>
    <row r="9636" hidden="1">
      <c r="A9636" s="4">
        <v>45534.46928533565</v>
      </c>
      <c r="B9636" s="5" t="s">
        <v>19</v>
      </c>
      <c r="C9636" s="5" t="s">
        <v>292</v>
      </c>
      <c r="E9636" s="5" t="s">
        <v>59474</v>
      </c>
      <c r="F9636" s="5" t="s">
        <v>37</v>
      </c>
      <c r="G9636" s="5" t="s">
        <v>59475</v>
      </c>
      <c r="H9636" s="6" t="s">
        <v>59476</v>
      </c>
      <c r="K9636" s="5" t="s">
        <v>59477</v>
      </c>
      <c r="M9636" s="5" t="s">
        <v>59478</v>
      </c>
      <c r="N9636" s="7" t="s">
        <v>59479</v>
      </c>
      <c r="O9636" s="8" t="str">
        <f>HYPERLINK("https://drive.google.com/file/d/1i6DUau_P79sXr8aSIUrWuKcK0KFJtikv/view?usp=drivesdk","9635_MEY NUR ANNISA _ SERTIFIKAT BerAKHLAK")</f>
        <v>9635_MEY NUR ANNISA _ SERTIFIKAT BerAKHLAK</v>
      </c>
      <c r="P9636" s="5" t="s">
        <v>59480</v>
      </c>
    </row>
    <row r="9637">
      <c r="A9637" s="4">
        <v>45534.46936326389</v>
      </c>
      <c r="B9637" s="5" t="s">
        <v>34</v>
      </c>
      <c r="D9637" s="5" t="s">
        <v>9020</v>
      </c>
      <c r="E9637" s="5" t="s">
        <v>59481</v>
      </c>
      <c r="F9637" s="5" t="s">
        <v>212</v>
      </c>
      <c r="G9637" s="5" t="s">
        <v>59482</v>
      </c>
      <c r="H9637" s="6" t="s">
        <v>59483</v>
      </c>
      <c r="K9637" s="5" t="s">
        <v>59484</v>
      </c>
      <c r="M9637" s="5" t="s">
        <v>59485</v>
      </c>
      <c r="N9637" s="7" t="s">
        <v>59486</v>
      </c>
      <c r="O9637" s="8" t="str">
        <f>HYPERLINK("https://drive.google.com/file/d/1dFjVzZghHlAhoTdun2VmyCP-r45uQ8sV/view?usp=drivesdk","9636_DALAN MULI TARIGAN _ SERTIFIKAT BerAKHLAK")</f>
        <v>9636_DALAN MULI TARIGAN _ SERTIFIKAT BerAKHLAK</v>
      </c>
      <c r="P9637" s="5" t="s">
        <v>59487</v>
      </c>
    </row>
    <row r="9638" hidden="1">
      <c r="A9638" s="4">
        <v>45534.46936396991</v>
      </c>
      <c r="B9638" s="5" t="s">
        <v>19</v>
      </c>
      <c r="C9638" s="5" t="s">
        <v>292</v>
      </c>
      <c r="E9638" s="5" t="s">
        <v>59488</v>
      </c>
      <c r="F9638" s="5" t="s">
        <v>37</v>
      </c>
      <c r="G9638" s="5" t="s">
        <v>59489</v>
      </c>
      <c r="H9638" s="6" t="s">
        <v>59490</v>
      </c>
      <c r="K9638" s="5" t="s">
        <v>59484</v>
      </c>
      <c r="M9638" s="5" t="s">
        <v>59491</v>
      </c>
      <c r="N9638" s="7" t="s">
        <v>59492</v>
      </c>
      <c r="O9638" s="8" t="str">
        <f>HYPERLINK("https://drive.google.com/file/d/1RJeSF0QNcVPwSgt_Zq64kKnjKzPbzcoi/view?usp=drivesdk","9637_WIYANTO  _ SERTIFIKAT BerAKHLAK")</f>
        <v>9637_WIYANTO  _ SERTIFIKAT BerAKHLAK</v>
      </c>
      <c r="P9638" s="5" t="s">
        <v>59493</v>
      </c>
    </row>
    <row r="9639">
      <c r="A9639" s="4">
        <v>45534.46963266203</v>
      </c>
      <c r="B9639" s="5" t="s">
        <v>34</v>
      </c>
      <c r="D9639" s="5" t="s">
        <v>10444</v>
      </c>
      <c r="E9639" s="5" t="s">
        <v>59494</v>
      </c>
      <c r="F9639" s="5" t="s">
        <v>108</v>
      </c>
      <c r="G9639" s="5" t="s">
        <v>59495</v>
      </c>
      <c r="H9639" s="6" t="s">
        <v>59496</v>
      </c>
      <c r="K9639" s="5" t="s">
        <v>59497</v>
      </c>
      <c r="M9639" s="5" t="s">
        <v>59498</v>
      </c>
      <c r="N9639" s="7" t="s">
        <v>59499</v>
      </c>
      <c r="O9639" s="8" t="str">
        <f>HYPERLINK("https://drive.google.com/file/d/1mw7rdkF0jfDuoze3OYVB5j5UJ3DW06_4/view?usp=drivesdk","9638_LYA NOVYA _ SERTIFIKAT BerAKHLAK")</f>
        <v>9638_LYA NOVYA _ SERTIFIKAT BerAKHLAK</v>
      </c>
      <c r="P9639" s="5" t="s">
        <v>59500</v>
      </c>
    </row>
    <row r="9640" hidden="1">
      <c r="A9640" s="4">
        <v>45534.46973561343</v>
      </c>
      <c r="B9640" s="5" t="s">
        <v>19</v>
      </c>
      <c r="C9640" s="5" t="s">
        <v>292</v>
      </c>
      <c r="E9640" s="5" t="s">
        <v>59501</v>
      </c>
      <c r="F9640" s="5" t="s">
        <v>37</v>
      </c>
      <c r="G9640" s="5" t="s">
        <v>59502</v>
      </c>
      <c r="H9640" s="6" t="s">
        <v>59503</v>
      </c>
      <c r="K9640" s="5" t="s">
        <v>59504</v>
      </c>
      <c r="M9640" s="5" t="s">
        <v>59505</v>
      </c>
      <c r="N9640" s="7" t="s">
        <v>59506</v>
      </c>
      <c r="O9640" s="8" t="str">
        <f>HYPERLINK("https://drive.google.com/file/d/10BVsBJy8NtIjdoZMf2339OcOfpeeVf9T/view?usp=drivesdk","9639_ANITA KUMALASARI _ SERTIFIKAT BerAKHLAK")</f>
        <v>9639_ANITA KUMALASARI _ SERTIFIKAT BerAKHLAK</v>
      </c>
      <c r="P9640" s="5" t="s">
        <v>59500</v>
      </c>
    </row>
    <row r="9641">
      <c r="A9641" s="4">
        <v>45534.46973762731</v>
      </c>
      <c r="B9641" s="5" t="s">
        <v>34</v>
      </c>
      <c r="D9641" s="5" t="s">
        <v>1456</v>
      </c>
      <c r="E9641" s="5" t="s">
        <v>59507</v>
      </c>
      <c r="F9641" s="5" t="s">
        <v>715</v>
      </c>
      <c r="G9641" s="5" t="s">
        <v>59508</v>
      </c>
      <c r="H9641" s="6" t="s">
        <v>59509</v>
      </c>
      <c r="K9641" s="5" t="s">
        <v>59504</v>
      </c>
      <c r="M9641" s="5" t="s">
        <v>59510</v>
      </c>
      <c r="N9641" s="7" t="s">
        <v>59511</v>
      </c>
      <c r="O9641" s="8" t="str">
        <f>HYPERLINK("https://drive.google.com/file/d/1ELQrWc8GWoZt2fDc-efkQcwmIZIXgLY0/view?usp=drivesdk","9640_BINTANG ARFIS TANI, Amd. Kep _ SERTIFIKAT BerAKHLAK")</f>
        <v>9640_BINTANG ARFIS TANI, Amd. Kep _ SERTIFIKAT BerAKHLAK</v>
      </c>
      <c r="P9641" s="5" t="s">
        <v>59512</v>
      </c>
    </row>
    <row r="9642">
      <c r="A9642" s="4">
        <v>45534.46974890046</v>
      </c>
      <c r="B9642" s="5" t="s">
        <v>34</v>
      </c>
      <c r="D9642" s="5" t="s">
        <v>15401</v>
      </c>
      <c r="E9642" s="5" t="s">
        <v>59513</v>
      </c>
      <c r="F9642" s="5" t="s">
        <v>524</v>
      </c>
      <c r="G9642" s="5" t="s">
        <v>59514</v>
      </c>
      <c r="H9642" s="6" t="s">
        <v>59515</v>
      </c>
      <c r="K9642" s="5" t="s">
        <v>59504</v>
      </c>
      <c r="M9642" s="5" t="s">
        <v>59516</v>
      </c>
      <c r="N9642" s="7" t="s">
        <v>59517</v>
      </c>
      <c r="O9642" s="8" t="str">
        <f>HYPERLINK("https://drive.google.com/file/d/1wtzRZpFs6v08xPptfTHShz8pPI62zkvi/view?usp=drivesdk","9641_Jeanne Suryani Waha, S.Kep.,Ns _ SERTIFIKAT BerAKHLAK")</f>
        <v>9641_Jeanne Suryani Waha, S.Kep.,Ns _ SERTIFIKAT BerAKHLAK</v>
      </c>
      <c r="P9642" s="5" t="s">
        <v>59512</v>
      </c>
    </row>
    <row r="9643" hidden="1">
      <c r="A9643" s="4">
        <v>45534.469753125</v>
      </c>
      <c r="B9643" s="5" t="s">
        <v>19</v>
      </c>
      <c r="C9643" s="5" t="s">
        <v>292</v>
      </c>
      <c r="E9643" s="5" t="s">
        <v>59518</v>
      </c>
      <c r="F9643" s="5" t="s">
        <v>120</v>
      </c>
      <c r="G9643" s="5" t="s">
        <v>59519</v>
      </c>
      <c r="H9643" s="6" t="s">
        <v>59520</v>
      </c>
      <c r="K9643" s="5" t="s">
        <v>59504</v>
      </c>
      <c r="M9643" s="5" t="s">
        <v>59521</v>
      </c>
      <c r="N9643" s="7" t="s">
        <v>59522</v>
      </c>
      <c r="O9643" s="8" t="str">
        <f>HYPERLINK("https://drive.google.com/file/d/1KApX4h2X9JsTFXcNn558BC6KO9Y3u86h/view?usp=drivesdk","9642_drg HADI WIJOYO M.Kes. _ SERTIFIKAT BerAKHLAK")</f>
        <v>9642_drg HADI WIJOYO M.Kes. _ SERTIFIKAT BerAKHLAK</v>
      </c>
      <c r="P9643" s="5" t="s">
        <v>59512</v>
      </c>
    </row>
    <row r="9644">
      <c r="A9644" s="4">
        <v>45534.46982324074</v>
      </c>
      <c r="B9644" s="5" t="s">
        <v>34</v>
      </c>
      <c r="D9644" s="5" t="s">
        <v>996</v>
      </c>
      <c r="E9644" s="5" t="s">
        <v>59523</v>
      </c>
      <c r="F9644" s="5" t="s">
        <v>85</v>
      </c>
      <c r="G9644" s="5" t="s">
        <v>59524</v>
      </c>
      <c r="H9644" s="6" t="s">
        <v>59525</v>
      </c>
      <c r="K9644" s="5" t="s">
        <v>59526</v>
      </c>
      <c r="M9644" s="5" t="s">
        <v>59527</v>
      </c>
      <c r="N9644" s="7" t="s">
        <v>59528</v>
      </c>
      <c r="O9644" s="8" t="str">
        <f>HYPERLINK("https://drive.google.com/file/d/1Gq3XIe_mPw4PDSW5xLf7FH0SPPV-rZVQ/view?usp=drivesdk","9643_NADIA SEPTY DYANI _ SERTIFIKAT BerAKHLAK")</f>
        <v>9643_NADIA SEPTY DYANI _ SERTIFIKAT BerAKHLAK</v>
      </c>
      <c r="P9644" s="5" t="s">
        <v>59512</v>
      </c>
    </row>
    <row r="9645">
      <c r="A9645" s="4">
        <v>45534.46983403935</v>
      </c>
      <c r="B9645" s="5" t="s">
        <v>34</v>
      </c>
      <c r="D9645" s="5" t="s">
        <v>9020</v>
      </c>
      <c r="E9645" s="5" t="s">
        <v>26675</v>
      </c>
      <c r="F9645" s="5" t="s">
        <v>108</v>
      </c>
      <c r="G9645" s="5" t="s">
        <v>26676</v>
      </c>
      <c r="H9645" s="6" t="s">
        <v>59529</v>
      </c>
      <c r="K9645" s="5" t="s">
        <v>59526</v>
      </c>
      <c r="M9645" s="5" t="s">
        <v>59530</v>
      </c>
      <c r="N9645" s="7" t="s">
        <v>59531</v>
      </c>
      <c r="O9645" s="8" t="str">
        <f>HYPERLINK("https://drive.google.com/file/d/18-OLquMwpGVgVc0dgtariYzD2yxLl_r_/view?usp=drivesdk","9644_BERTHA M SIANTURI _ SERTIFIKAT BerAKHLAK")</f>
        <v>9644_BERTHA M SIANTURI _ SERTIFIKAT BerAKHLAK</v>
      </c>
      <c r="P9645" s="5" t="s">
        <v>59532</v>
      </c>
    </row>
    <row r="9646">
      <c r="A9646" s="4">
        <v>45534.47007141204</v>
      </c>
      <c r="B9646" s="5" t="s">
        <v>34</v>
      </c>
      <c r="D9646" s="5" t="s">
        <v>1206</v>
      </c>
      <c r="E9646" s="5" t="s">
        <v>59533</v>
      </c>
      <c r="F9646" s="5" t="s">
        <v>37</v>
      </c>
      <c r="G9646" s="5" t="s">
        <v>59534</v>
      </c>
      <c r="H9646" s="6" t="s">
        <v>59535</v>
      </c>
      <c r="K9646" s="5" t="s">
        <v>59536</v>
      </c>
      <c r="M9646" s="5" t="s">
        <v>59537</v>
      </c>
      <c r="N9646" s="7" t="s">
        <v>59538</v>
      </c>
      <c r="O9646" s="8" t="str">
        <f>HYPERLINK("https://drive.google.com/file/d/1RuxCBj88yKGEsBxBr29kznHMZoHU1iil/view?usp=drivesdk","9645_DARMANSAH _ SERTIFIKAT BerAKHLAK")</f>
        <v>9645_DARMANSAH _ SERTIFIKAT BerAKHLAK</v>
      </c>
      <c r="P9646" s="5" t="s">
        <v>59532</v>
      </c>
    </row>
    <row r="9647" hidden="1">
      <c r="A9647" s="4">
        <v>45534.47015405093</v>
      </c>
      <c r="B9647" s="5" t="s">
        <v>19</v>
      </c>
      <c r="C9647" s="5" t="s">
        <v>292</v>
      </c>
      <c r="E9647" s="5" t="s">
        <v>59539</v>
      </c>
      <c r="F9647" s="5" t="s">
        <v>72</v>
      </c>
      <c r="G9647" s="5" t="s">
        <v>59540</v>
      </c>
      <c r="H9647" s="6" t="s">
        <v>59541</v>
      </c>
      <c r="K9647" s="5" t="s">
        <v>59542</v>
      </c>
      <c r="M9647" s="5" t="s">
        <v>59543</v>
      </c>
      <c r="N9647" s="7" t="s">
        <v>59544</v>
      </c>
      <c r="O9647" s="8" t="str">
        <f>HYPERLINK("https://drive.google.com/file/d/1KMABFr59IqyPDCadY5bwB2cFs49YPyQx/view?usp=drivesdk","9646_NUR ANISAH, S. Kep. Ns _ SERTIFIKAT BerAKHLAK")</f>
        <v>9646_NUR ANISAH, S. Kep. Ns _ SERTIFIKAT BerAKHLAK</v>
      </c>
      <c r="P9647" s="5" t="s">
        <v>59532</v>
      </c>
    </row>
    <row r="9648">
      <c r="A9648" s="4">
        <v>45534.47032364583</v>
      </c>
      <c r="B9648" s="5" t="s">
        <v>34</v>
      </c>
      <c r="D9648" s="5" t="s">
        <v>701</v>
      </c>
      <c r="E9648" s="5" t="s">
        <v>59545</v>
      </c>
      <c r="F9648" s="5" t="s">
        <v>120</v>
      </c>
      <c r="G9648" s="5" t="s">
        <v>59546</v>
      </c>
      <c r="H9648" s="6" t="s">
        <v>59547</v>
      </c>
      <c r="K9648" s="5" t="s">
        <v>59548</v>
      </c>
      <c r="M9648" s="5" t="s">
        <v>59549</v>
      </c>
      <c r="N9648" s="7" t="s">
        <v>59550</v>
      </c>
      <c r="O9648" s="8" t="str">
        <f>HYPERLINK("https://drive.google.com/file/d/1sXQD4oc1KpqVpwyD_kbZRT_bh_1rl9BT/view?usp=drivesdk","9647_DRG HABIBAH  _ SERTIFIKAT BerAKHLAK")</f>
        <v>9647_DRG HABIBAH  _ SERTIFIKAT BerAKHLAK</v>
      </c>
      <c r="P9648" s="5" t="s">
        <v>59532</v>
      </c>
    </row>
    <row r="9649">
      <c r="A9649" s="4">
        <v>45534.47033710648</v>
      </c>
      <c r="B9649" s="5" t="s">
        <v>34</v>
      </c>
      <c r="D9649" s="5" t="s">
        <v>12026</v>
      </c>
      <c r="E9649" s="5" t="s">
        <v>59551</v>
      </c>
      <c r="F9649" s="5" t="s">
        <v>375</v>
      </c>
      <c r="G9649" s="5" t="s">
        <v>59552</v>
      </c>
      <c r="H9649" s="6" t="s">
        <v>59553</v>
      </c>
      <c r="K9649" s="5" t="s">
        <v>59548</v>
      </c>
      <c r="M9649" s="5" t="s">
        <v>59554</v>
      </c>
      <c r="N9649" s="7" t="s">
        <v>59555</v>
      </c>
      <c r="O9649" s="8" t="str">
        <f>HYPERLINK("https://drive.google.com/file/d/1gcwgq608wkwSy3RvIHTGfwhauCRTeheg/view?usp=drivesdk","9648_KHAIRIL ANWAR, S.T _ SERTIFIKAT BerAKHLAK")</f>
        <v>9648_KHAIRIL ANWAR, S.T _ SERTIFIKAT BerAKHLAK</v>
      </c>
      <c r="P9649" s="5" t="s">
        <v>59532</v>
      </c>
    </row>
    <row r="9650">
      <c r="A9650" s="4">
        <v>45534.47038997685</v>
      </c>
      <c r="B9650" s="5" t="s">
        <v>34</v>
      </c>
      <c r="D9650" s="5" t="s">
        <v>604</v>
      </c>
      <c r="E9650" s="5" t="s">
        <v>59556</v>
      </c>
      <c r="F9650" s="5" t="s">
        <v>22</v>
      </c>
      <c r="G9650" s="5" t="s">
        <v>59557</v>
      </c>
      <c r="H9650" s="6" t="s">
        <v>59558</v>
      </c>
      <c r="K9650" s="5" t="s">
        <v>59548</v>
      </c>
      <c r="M9650" s="5" t="s">
        <v>59559</v>
      </c>
      <c r="N9650" s="7" t="s">
        <v>59560</v>
      </c>
      <c r="O9650" s="8" t="str">
        <f>HYPERLINK("https://drive.google.com/file/d/1RKM3-ptOPglQWa8KcqaVJvVBqTIJkd-D/view?usp=drivesdk","9649_Drs. LUTHER TANDIARA _ SERTIFIKAT BerAKHLAK")</f>
        <v>9649_Drs. LUTHER TANDIARA _ SERTIFIKAT BerAKHLAK</v>
      </c>
      <c r="P9650" s="5" t="s">
        <v>59561</v>
      </c>
    </row>
    <row r="9651" hidden="1">
      <c r="A9651" s="4">
        <v>45534.470394143515</v>
      </c>
      <c r="B9651" s="5" t="s">
        <v>19</v>
      </c>
      <c r="C9651" s="5" t="s">
        <v>292</v>
      </c>
      <c r="E9651" s="5" t="s">
        <v>59562</v>
      </c>
      <c r="F9651" s="5" t="s">
        <v>524</v>
      </c>
      <c r="G9651" s="5" t="s">
        <v>59563</v>
      </c>
      <c r="H9651" s="6" t="s">
        <v>59564</v>
      </c>
      <c r="K9651" s="5" t="s">
        <v>59548</v>
      </c>
      <c r="M9651" s="5" t="s">
        <v>59565</v>
      </c>
      <c r="N9651" s="7" t="s">
        <v>59566</v>
      </c>
      <c r="O9651" s="8" t="str">
        <f>HYPERLINK("https://drive.google.com/file/d/1Hh9IbcSj1bOcE0UQ1UUt3AvHPZoGxbUb/view?usp=drivesdk","9650_NURUL YULIDA RAHMATIKA, STr. Kes _ SERTIFIKAT BerAKHLAK")</f>
        <v>9650_NURUL YULIDA RAHMATIKA, STr. Kes _ SERTIFIKAT BerAKHLAK</v>
      </c>
      <c r="P9651" s="5" t="s">
        <v>59561</v>
      </c>
    </row>
    <row r="9652">
      <c r="A9652" s="4">
        <v>45534.47040818287</v>
      </c>
      <c r="B9652" s="5" t="s">
        <v>34</v>
      </c>
      <c r="D9652" s="5" t="s">
        <v>267</v>
      </c>
      <c r="E9652" s="5" t="s">
        <v>59567</v>
      </c>
      <c r="F9652" s="5" t="s">
        <v>524</v>
      </c>
      <c r="G9652" s="5" t="s">
        <v>59568</v>
      </c>
      <c r="H9652" s="6" t="s">
        <v>59569</v>
      </c>
      <c r="K9652" s="5" t="s">
        <v>59548</v>
      </c>
      <c r="M9652" s="5" t="s">
        <v>59570</v>
      </c>
      <c r="N9652" s="7" t="s">
        <v>59571</v>
      </c>
      <c r="O9652" s="8" t="str">
        <f>HYPERLINK("https://drive.google.com/file/d/1n-HFGFbkOFQyZmhK_nA6zVLxyxfVslQR/view?usp=drivesdk","9651_SISWATI, S. KEP _ SERTIFIKAT BerAKHLAK")</f>
        <v>9651_SISWATI, S. KEP _ SERTIFIKAT BerAKHLAK</v>
      </c>
      <c r="P9652" s="5" t="s">
        <v>59572</v>
      </c>
    </row>
    <row r="9653" hidden="1">
      <c r="A9653" s="4">
        <v>45534.470458344906</v>
      </c>
      <c r="B9653" s="5" t="s">
        <v>19</v>
      </c>
      <c r="C9653" s="5" t="s">
        <v>292</v>
      </c>
      <c r="E9653" s="5" t="s">
        <v>59573</v>
      </c>
      <c r="F9653" s="5" t="s">
        <v>375</v>
      </c>
      <c r="G9653" s="5" t="s">
        <v>59574</v>
      </c>
      <c r="H9653" s="6" t="s">
        <v>59575</v>
      </c>
      <c r="K9653" s="5" t="s">
        <v>59548</v>
      </c>
      <c r="M9653" s="5" t="s">
        <v>59576</v>
      </c>
      <c r="N9653" s="7" t="s">
        <v>59577</v>
      </c>
      <c r="O9653" s="8" t="str">
        <f>HYPERLINK("https://drive.google.com/file/d/1wqP8FarDZ-lhaSWeDH3CICqwBe5x9859/view?usp=drivesdk","9652_MISBACHUL MUNIR, S.KOM _ SERTIFIKAT BerAKHLAK")</f>
        <v>9652_MISBACHUL MUNIR, S.KOM _ SERTIFIKAT BerAKHLAK</v>
      </c>
      <c r="P9653" s="5" t="s">
        <v>59572</v>
      </c>
    </row>
    <row r="9654" hidden="1">
      <c r="A9654" s="4">
        <v>45534.47046755787</v>
      </c>
      <c r="B9654" s="5" t="s">
        <v>19</v>
      </c>
      <c r="C9654" s="5" t="s">
        <v>292</v>
      </c>
      <c r="E9654" s="5" t="s">
        <v>59578</v>
      </c>
      <c r="F9654" s="5" t="s">
        <v>524</v>
      </c>
      <c r="G9654" s="5" t="s">
        <v>59579</v>
      </c>
      <c r="H9654" s="6" t="s">
        <v>59580</v>
      </c>
      <c r="K9654" s="5" t="s">
        <v>59548</v>
      </c>
      <c r="M9654" s="5" t="s">
        <v>59581</v>
      </c>
      <c r="N9654" s="7" t="s">
        <v>59582</v>
      </c>
      <c r="O9654" s="8" t="str">
        <f>HYPERLINK("https://drive.google.com/file/d/1qeNA8mPBz8GrGFfvwrzIFg1r6g3OLgGV/view?usp=drivesdk","9653_NANIK SULISTIYOWATI,S.Kep.Ns _ SERTIFIKAT BerAKHLAK")</f>
        <v>9653_NANIK SULISTIYOWATI,S.Kep.Ns _ SERTIFIKAT BerAKHLAK</v>
      </c>
      <c r="P9654" s="5" t="s">
        <v>59572</v>
      </c>
    </row>
    <row r="9655" hidden="1">
      <c r="A9655" s="4">
        <v>45534.47051542824</v>
      </c>
      <c r="B9655" s="5" t="s">
        <v>19</v>
      </c>
      <c r="C9655" s="5" t="s">
        <v>292</v>
      </c>
      <c r="E9655" s="5" t="s">
        <v>59583</v>
      </c>
      <c r="F9655" s="5" t="s">
        <v>524</v>
      </c>
      <c r="G9655" s="5" t="s">
        <v>59584</v>
      </c>
      <c r="H9655" s="6" t="s">
        <v>59585</v>
      </c>
      <c r="K9655" s="5" t="s">
        <v>59548</v>
      </c>
      <c r="M9655" s="5" t="s">
        <v>59586</v>
      </c>
      <c r="N9655" s="7" t="s">
        <v>59587</v>
      </c>
      <c r="O9655" s="8" t="str">
        <f>HYPERLINK("https://drive.google.com/file/d/14PER_BA_lGvdwnqcZjLTUis_UbSV-tkG/view?usp=drivesdk","9654_DESY PUJIATININGTYAS  _ SERTIFIKAT BerAKHLAK")</f>
        <v>9654_DESY PUJIATININGTYAS  _ SERTIFIKAT BerAKHLAK</v>
      </c>
      <c r="P9655" s="5" t="s">
        <v>59572</v>
      </c>
    </row>
    <row r="9656">
      <c r="A9656" s="4">
        <v>45534.470553692125</v>
      </c>
      <c r="B9656" s="5" t="s">
        <v>34</v>
      </c>
      <c r="D9656" s="5" t="s">
        <v>6232</v>
      </c>
      <c r="E9656" s="5" t="s">
        <v>59588</v>
      </c>
      <c r="F9656" s="5" t="s">
        <v>524</v>
      </c>
      <c r="G9656" s="5" t="s">
        <v>59589</v>
      </c>
      <c r="H9656" s="6" t="s">
        <v>59590</v>
      </c>
      <c r="K9656" s="5" t="s">
        <v>59548</v>
      </c>
      <c r="M9656" s="5" t="s">
        <v>59591</v>
      </c>
      <c r="N9656" s="7" t="s">
        <v>59592</v>
      </c>
      <c r="O9656" s="8" t="str">
        <f>HYPERLINK("https://drive.google.com/file/d/18dcPdH_j43diuDNwsIKiLpTeoXc_aJu9/view?usp=drivesdk","9655_SRI SUNDARI, S. Farm _ SERTIFIKAT BerAKHLAK")</f>
        <v>9655_SRI SUNDARI, S. Farm _ SERTIFIKAT BerAKHLAK</v>
      </c>
      <c r="P9656" s="5" t="s">
        <v>59593</v>
      </c>
    </row>
    <row r="9657">
      <c r="A9657" s="4">
        <v>45534.47060962963</v>
      </c>
      <c r="B9657" s="5" t="s">
        <v>34</v>
      </c>
      <c r="D9657" s="5" t="s">
        <v>1456</v>
      </c>
      <c r="E9657" s="5" t="s">
        <v>59594</v>
      </c>
      <c r="F9657" s="5" t="s">
        <v>72</v>
      </c>
      <c r="G9657" s="5" t="s">
        <v>59595</v>
      </c>
      <c r="H9657" s="6" t="s">
        <v>59596</v>
      </c>
      <c r="K9657" s="5" t="s">
        <v>59548</v>
      </c>
      <c r="M9657" s="5" t="s">
        <v>59597</v>
      </c>
      <c r="N9657" s="7" t="s">
        <v>59598</v>
      </c>
      <c r="O9657" s="8" t="str">
        <f>HYPERLINK("https://drive.google.com/file/d/1hzvrGeYCBxcu0C_bUFUcVIR6ylgjVDP4/view?usp=drivesdk","9656_SITI AISYAH _ SERTIFIKAT BerAKHLAK")</f>
        <v>9656_SITI AISYAH _ SERTIFIKAT BerAKHLAK</v>
      </c>
      <c r="P9657" s="5" t="s">
        <v>59593</v>
      </c>
    </row>
    <row r="9658" hidden="1">
      <c r="A9658" s="4">
        <v>45534.470644710644</v>
      </c>
      <c r="B9658" s="5" t="s">
        <v>19</v>
      </c>
      <c r="C9658" s="5" t="s">
        <v>292</v>
      </c>
      <c r="E9658" s="5" t="s">
        <v>59599</v>
      </c>
      <c r="F9658" s="5" t="s">
        <v>212</v>
      </c>
      <c r="G9658" s="5" t="s">
        <v>59600</v>
      </c>
      <c r="H9658" s="6" t="s">
        <v>59601</v>
      </c>
      <c r="K9658" s="5" t="s">
        <v>59548</v>
      </c>
      <c r="M9658" s="5" t="s">
        <v>59602</v>
      </c>
      <c r="N9658" s="7" t="s">
        <v>59603</v>
      </c>
      <c r="O9658" s="8" t="str">
        <f>HYPERLINK("https://drive.google.com/file/d/1akthBqN5TgktVrVkdsUi-1ChczNtooev/view?usp=drivesdk","9657_SITI SYADIAH _ SERTIFIKAT BerAKHLAK")</f>
        <v>9657_SITI SYADIAH _ SERTIFIKAT BerAKHLAK</v>
      </c>
      <c r="P9658" s="5" t="s">
        <v>59593</v>
      </c>
    </row>
    <row r="9659" hidden="1">
      <c r="A9659" s="4">
        <v>45534.470645532405</v>
      </c>
      <c r="B9659" s="5" t="s">
        <v>19</v>
      </c>
      <c r="C9659" s="5" t="s">
        <v>292</v>
      </c>
      <c r="E9659" s="5" t="s">
        <v>59604</v>
      </c>
      <c r="F9659" s="5" t="s">
        <v>37</v>
      </c>
      <c r="G9659" s="5" t="s">
        <v>59605</v>
      </c>
      <c r="H9659" s="6" t="s">
        <v>59606</v>
      </c>
      <c r="K9659" s="5" t="s">
        <v>59548</v>
      </c>
      <c r="M9659" s="5" t="s">
        <v>59607</v>
      </c>
      <c r="N9659" s="7" t="s">
        <v>59608</v>
      </c>
      <c r="O9659" s="8" t="str">
        <f>HYPERLINK("https://drive.google.com/file/d/1vTG0o95v_228WgGEjzGqMKJiHImpyEm8/view?usp=drivesdk","9658_SITI NURUL FAUZIAH, A. Md. Kep _ SERTIFIKAT BerAKHLAK")</f>
        <v>9658_SITI NURUL FAUZIAH, A. Md. Kep _ SERTIFIKAT BerAKHLAK</v>
      </c>
      <c r="P9659" s="5" t="s">
        <v>59593</v>
      </c>
    </row>
    <row r="9660">
      <c r="A9660" s="4">
        <v>45534.470769374995</v>
      </c>
      <c r="B9660" s="5" t="s">
        <v>34</v>
      </c>
      <c r="D9660" s="5" t="s">
        <v>1206</v>
      </c>
      <c r="E9660" s="5" t="s">
        <v>59609</v>
      </c>
      <c r="F9660" s="5" t="s">
        <v>375</v>
      </c>
      <c r="G9660" s="5" t="s">
        <v>59610</v>
      </c>
      <c r="H9660" s="6" t="s">
        <v>59611</v>
      </c>
      <c r="K9660" s="5" t="s">
        <v>59612</v>
      </c>
      <c r="M9660" s="5" t="s">
        <v>59613</v>
      </c>
      <c r="N9660" s="7" t="s">
        <v>59614</v>
      </c>
      <c r="O9660" s="8" t="str">
        <f>HYPERLINK("https://drive.google.com/file/d/10bPUNeVGjxMfzkBlgx-DfdQxAo2PrYh2/view?usp=drivesdk","9659_NYENYEP MUDIARTI, S.E., M.M. _ SERTIFIKAT BerAKHLAK")</f>
        <v>9659_NYENYEP MUDIARTI, S.E., M.M. _ SERTIFIKAT BerAKHLAK</v>
      </c>
      <c r="P9660" s="5" t="s">
        <v>59593</v>
      </c>
    </row>
    <row r="9661">
      <c r="A9661" s="4">
        <v>45534.47080628472</v>
      </c>
      <c r="B9661" s="5" t="s">
        <v>34</v>
      </c>
      <c r="D9661" s="5" t="s">
        <v>35</v>
      </c>
      <c r="E9661" s="5" t="s">
        <v>59615</v>
      </c>
      <c r="F9661" s="5" t="s">
        <v>37</v>
      </c>
      <c r="G9661" s="5" t="s">
        <v>59616</v>
      </c>
      <c r="H9661" s="6" t="s">
        <v>59617</v>
      </c>
      <c r="K9661" s="5" t="s">
        <v>59612</v>
      </c>
      <c r="M9661" s="5" t="s">
        <v>59618</v>
      </c>
      <c r="N9661" s="7" t="s">
        <v>59619</v>
      </c>
      <c r="O9661" s="8" t="str">
        <f>HYPERLINK("https://drive.google.com/file/d/1SdEm1zrd9vdO0sUAFhLkaPAopGeFXyFg/view?usp=drivesdk","9660_EVI JULIANINGSIH  _ SERTIFIKAT BerAKHLAK")</f>
        <v>9660_EVI JULIANINGSIH  _ SERTIFIKAT BerAKHLAK</v>
      </c>
      <c r="P9661" s="5" t="s">
        <v>59620</v>
      </c>
    </row>
    <row r="9662">
      <c r="A9662" s="4">
        <v>45534.47088263889</v>
      </c>
      <c r="B9662" s="5" t="s">
        <v>34</v>
      </c>
      <c r="D9662" s="5" t="s">
        <v>1206</v>
      </c>
      <c r="E9662" s="5" t="s">
        <v>59621</v>
      </c>
      <c r="F9662" s="5" t="s">
        <v>37</v>
      </c>
      <c r="G9662" s="5" t="s">
        <v>59622</v>
      </c>
      <c r="H9662" s="6" t="s">
        <v>59623</v>
      </c>
      <c r="K9662" s="5" t="s">
        <v>59612</v>
      </c>
      <c r="M9662" s="5" t="s">
        <v>59624</v>
      </c>
      <c r="N9662" s="7" t="s">
        <v>59625</v>
      </c>
      <c r="O9662" s="8" t="str">
        <f>HYPERLINK("https://drive.google.com/file/d/11Yh5j7QrRy03cHQ-hOdrsqSR7u9JreeZ/view?usp=drivesdk","9661_AMADON MORFIANO  _ SERTIFIKAT BerAKHLAK")</f>
        <v>9661_AMADON MORFIANO  _ SERTIFIKAT BerAKHLAK</v>
      </c>
      <c r="P9662" s="5" t="s">
        <v>59620</v>
      </c>
    </row>
    <row r="9663">
      <c r="A9663" s="4">
        <v>45534.47091625</v>
      </c>
      <c r="B9663" s="5" t="s">
        <v>34</v>
      </c>
      <c r="D9663" s="5" t="s">
        <v>14424</v>
      </c>
      <c r="E9663" s="5" t="s">
        <v>59626</v>
      </c>
      <c r="F9663" s="5" t="s">
        <v>72</v>
      </c>
      <c r="G9663" s="5" t="s">
        <v>59627</v>
      </c>
      <c r="H9663" s="6" t="s">
        <v>59628</v>
      </c>
      <c r="K9663" s="5" t="s">
        <v>59612</v>
      </c>
      <c r="M9663" s="5" t="s">
        <v>59629</v>
      </c>
      <c r="N9663" s="7" t="s">
        <v>59630</v>
      </c>
      <c r="O9663" s="8" t="str">
        <f>HYPERLINK("https://drive.google.com/file/d/1R9llylEdXxuNi-vykyF4IeVRJ8a3JRbz/view?usp=drivesdk","9662_AIDA ROMAINA, A.Md. Keb., S.K.M _ SERTIFIKAT BerAKHLAK")</f>
        <v>9662_AIDA ROMAINA, A.Md. Keb., S.K.M _ SERTIFIKAT BerAKHLAK</v>
      </c>
      <c r="P9663" s="5" t="s">
        <v>59620</v>
      </c>
    </row>
    <row r="9664">
      <c r="A9664" s="4">
        <v>45534.470968912035</v>
      </c>
      <c r="B9664" s="5" t="s">
        <v>34</v>
      </c>
      <c r="D9664" s="5" t="s">
        <v>1558</v>
      </c>
      <c r="E9664" s="5" t="s">
        <v>59631</v>
      </c>
      <c r="F9664" s="5" t="s">
        <v>212</v>
      </c>
      <c r="G9664" s="5" t="s">
        <v>59632</v>
      </c>
      <c r="H9664" s="6" t="s">
        <v>59633</v>
      </c>
      <c r="K9664" s="5" t="s">
        <v>59612</v>
      </c>
      <c r="M9664" s="5" t="s">
        <v>59634</v>
      </c>
      <c r="N9664" s="7" t="s">
        <v>59635</v>
      </c>
      <c r="O9664" s="8" t="str">
        <f>HYPERLINK("https://drive.google.com/file/d/1aCxStzt7EDirWSBuiaCVpQ5YRNBtqavm/view?usp=drivesdk","9663_NOORMAN RUDIMAN _ SERTIFIKAT BerAKHLAK")</f>
        <v>9663_NOORMAN RUDIMAN _ SERTIFIKAT BerAKHLAK</v>
      </c>
      <c r="P9664" s="5" t="s">
        <v>59620</v>
      </c>
    </row>
    <row r="9665">
      <c r="A9665" s="4">
        <v>45534.47104582176</v>
      </c>
      <c r="B9665" s="5" t="s">
        <v>34</v>
      </c>
      <c r="D9665" s="5" t="s">
        <v>15401</v>
      </c>
      <c r="E9665" s="5" t="s">
        <v>59636</v>
      </c>
      <c r="F9665" s="5" t="s">
        <v>37</v>
      </c>
      <c r="G9665" s="5" t="s">
        <v>59637</v>
      </c>
      <c r="H9665" s="6" t="s">
        <v>59638</v>
      </c>
      <c r="K9665" s="5" t="s">
        <v>59612</v>
      </c>
      <c r="M9665" s="5" t="s">
        <v>59639</v>
      </c>
      <c r="N9665" s="7" t="s">
        <v>59640</v>
      </c>
      <c r="O9665" s="8" t="str">
        <f>HYPERLINK("https://drive.google.com/file/d/1O2Fbirulr095rU5HyjsVOxjsMcWuA-d0/view?usp=drivesdk","9664_ANDI RINI ANGRIANI  _ SERTIFIKAT BerAKHLAK")</f>
        <v>9664_ANDI RINI ANGRIANI  _ SERTIFIKAT BerAKHLAK</v>
      </c>
      <c r="P9665" s="5" t="s">
        <v>59641</v>
      </c>
    </row>
    <row r="9666">
      <c r="A9666" s="4">
        <v>45534.47104952546</v>
      </c>
      <c r="B9666" s="5" t="s">
        <v>34</v>
      </c>
      <c r="D9666" s="5" t="s">
        <v>35</v>
      </c>
      <c r="E9666" s="5" t="s">
        <v>59642</v>
      </c>
      <c r="F9666" s="5" t="s">
        <v>524</v>
      </c>
      <c r="G9666" s="5" t="s">
        <v>59643</v>
      </c>
      <c r="H9666" s="6" t="s">
        <v>59644</v>
      </c>
      <c r="K9666" s="5" t="s">
        <v>59612</v>
      </c>
      <c r="M9666" s="5" t="s">
        <v>59645</v>
      </c>
      <c r="N9666" s="7" t="s">
        <v>59646</v>
      </c>
      <c r="O9666" s="8" t="str">
        <f>HYPERLINK("https://drive.google.com/file/d/1Fh80GNriE5npiWpUudI9Yr6SM_ENah18/view?usp=drivesdk","9665_LULU LESTARI AMD _ SERTIFIKAT BerAKHLAK")</f>
        <v>9665_LULU LESTARI AMD _ SERTIFIKAT BerAKHLAK</v>
      </c>
      <c r="P9666" s="5" t="s">
        <v>59641</v>
      </c>
    </row>
    <row r="9667">
      <c r="A9667" s="4">
        <v>45534.47125055555</v>
      </c>
      <c r="B9667" s="5" t="s">
        <v>34</v>
      </c>
      <c r="D9667" s="5" t="s">
        <v>1768</v>
      </c>
      <c r="E9667" s="5" t="s">
        <v>59647</v>
      </c>
      <c r="F9667" s="5" t="s">
        <v>375</v>
      </c>
      <c r="G9667" s="5" t="s">
        <v>59648</v>
      </c>
      <c r="H9667" s="6" t="s">
        <v>59649</v>
      </c>
      <c r="K9667" s="5" t="s">
        <v>59650</v>
      </c>
      <c r="M9667" s="5" t="s">
        <v>59651</v>
      </c>
      <c r="N9667" s="7" t="s">
        <v>59652</v>
      </c>
      <c r="O9667" s="8" t="str">
        <f>HYPERLINK("https://drive.google.com/file/d/1grtz2q67jdnRe5YaImSn-bdfpwflCLLa/view?usp=drivesdk","9666_ROHANI,SKM _ SERTIFIKAT BerAKHLAK")</f>
        <v>9666_ROHANI,SKM _ SERTIFIKAT BerAKHLAK</v>
      </c>
      <c r="P9667" s="5" t="s">
        <v>59641</v>
      </c>
    </row>
    <row r="9668" hidden="1">
      <c r="A9668" s="4">
        <v>45534.47129390047</v>
      </c>
      <c r="B9668" s="5" t="s">
        <v>19</v>
      </c>
      <c r="C9668" s="5" t="s">
        <v>292</v>
      </c>
      <c r="E9668" s="5" t="s">
        <v>59653</v>
      </c>
      <c r="F9668" s="5" t="s">
        <v>120</v>
      </c>
      <c r="G9668" s="5" t="s">
        <v>59654</v>
      </c>
      <c r="H9668" s="6" t="s">
        <v>59655</v>
      </c>
      <c r="K9668" s="5" t="s">
        <v>59656</v>
      </c>
      <c r="M9668" s="5" t="s">
        <v>59657</v>
      </c>
      <c r="N9668" s="7" t="s">
        <v>59658</v>
      </c>
      <c r="O9668" s="8" t="str">
        <f>HYPERLINK("https://drive.google.com/file/d/1pPqconJFTNJ5BGIoe_0bh2555nq4Hj-b/view?usp=drivesdk","9667_DEWI MARIYA ULFAH SE MM _ SERTIFIKAT BerAKHLAK")</f>
        <v>9667_DEWI MARIYA ULFAH SE MM _ SERTIFIKAT BerAKHLAK</v>
      </c>
      <c r="P9668" s="5" t="s">
        <v>59641</v>
      </c>
    </row>
    <row r="9669" hidden="1">
      <c r="A9669" s="4">
        <v>45534.471296550924</v>
      </c>
      <c r="B9669" s="5" t="s">
        <v>19</v>
      </c>
      <c r="C9669" s="5" t="s">
        <v>14000</v>
      </c>
      <c r="E9669" s="5" t="s">
        <v>59659</v>
      </c>
      <c r="F9669" s="5" t="s">
        <v>72</v>
      </c>
      <c r="G9669" s="5" t="s">
        <v>59660</v>
      </c>
      <c r="H9669" s="6" t="s">
        <v>59661</v>
      </c>
      <c r="K9669" s="5" t="s">
        <v>59656</v>
      </c>
      <c r="M9669" s="5" t="s">
        <v>59662</v>
      </c>
      <c r="N9669" s="7" t="s">
        <v>59663</v>
      </c>
      <c r="O9669" s="8" t="str">
        <f>HYPERLINK("https://drive.google.com/file/d/13d0Ee7RntrXc3ysY22_R7KfGNhANbaxA/view?usp=drivesdk","9668_NURDIN ABDULLAH _ SERTIFIKAT BerAKHLAK")</f>
        <v>9668_NURDIN ABDULLAH _ SERTIFIKAT BerAKHLAK</v>
      </c>
      <c r="P9669" s="5" t="s">
        <v>59664</v>
      </c>
    </row>
    <row r="9670">
      <c r="A9670" s="4">
        <v>45534.471442511574</v>
      </c>
      <c r="B9670" s="5" t="s">
        <v>34</v>
      </c>
      <c r="D9670" s="5" t="s">
        <v>701</v>
      </c>
      <c r="E9670" s="5" t="s">
        <v>59665</v>
      </c>
      <c r="F9670" s="5" t="s">
        <v>212</v>
      </c>
      <c r="G9670" s="5" t="s">
        <v>59666</v>
      </c>
      <c r="H9670" s="6" t="s">
        <v>59667</v>
      </c>
      <c r="K9670" s="5" t="s">
        <v>59668</v>
      </c>
      <c r="M9670" s="5" t="s">
        <v>59669</v>
      </c>
      <c r="N9670" s="7" t="s">
        <v>59670</v>
      </c>
      <c r="O9670" s="8" t="str">
        <f>HYPERLINK("https://drive.google.com/file/d/1k2U_wHqDGYDKS06IKZMa_FTX06Ouq2Wm/view?usp=drivesdk","9669_RITA VICOLAWATI _ SERTIFIKAT BerAKHLAK")</f>
        <v>9669_RITA VICOLAWATI _ SERTIFIKAT BerAKHLAK</v>
      </c>
      <c r="P9670" s="5" t="s">
        <v>59664</v>
      </c>
    </row>
    <row r="9671">
      <c r="A9671" s="4">
        <v>45534.47144384259</v>
      </c>
      <c r="B9671" s="5" t="s">
        <v>34</v>
      </c>
      <c r="D9671" s="5" t="s">
        <v>522</v>
      </c>
      <c r="E9671" s="5" t="s">
        <v>59671</v>
      </c>
      <c r="F9671" s="5" t="s">
        <v>212</v>
      </c>
      <c r="G9671" s="5" t="s">
        <v>59672</v>
      </c>
      <c r="H9671" s="6" t="s">
        <v>59673</v>
      </c>
      <c r="K9671" s="5" t="s">
        <v>59668</v>
      </c>
      <c r="M9671" s="5" t="s">
        <v>59674</v>
      </c>
      <c r="N9671" s="7" t="s">
        <v>59675</v>
      </c>
      <c r="O9671" s="8" t="str">
        <f>HYPERLINK("https://drive.google.com/file/d/1HTyHDkQvU3bEifi_Z8tT9hK-XhNTbt6y/view?usp=drivesdk","9670_L RAHMAD KURNIADI _ SERTIFIKAT BerAKHLAK")</f>
        <v>9670_L RAHMAD KURNIADI _ SERTIFIKAT BerAKHLAK</v>
      </c>
      <c r="P9671" s="5" t="s">
        <v>59676</v>
      </c>
    </row>
    <row r="9672">
      <c r="A9672" s="4">
        <v>45534.47145776621</v>
      </c>
      <c r="B9672" s="5" t="s">
        <v>34</v>
      </c>
      <c r="D9672" s="5" t="s">
        <v>15401</v>
      </c>
      <c r="E9672" s="5" t="s">
        <v>59677</v>
      </c>
      <c r="F9672" s="5" t="s">
        <v>108</v>
      </c>
      <c r="G9672" s="5" t="s">
        <v>59678</v>
      </c>
      <c r="H9672" s="6" t="s">
        <v>59679</v>
      </c>
      <c r="K9672" s="5" t="s">
        <v>59668</v>
      </c>
      <c r="M9672" s="5" t="s">
        <v>59680</v>
      </c>
      <c r="N9672" s="7" t="s">
        <v>59681</v>
      </c>
      <c r="O9672" s="8" t="str">
        <f>HYPERLINK("https://drive.google.com/file/d/1-wEpulQEHuRv7tkQsm6w6I1BgEF1rQ_a/view?usp=drivesdk","9671_Cytra Aneka Sari, S.T. Gz _ SERTIFIKAT BerAKHLAK")</f>
        <v>9671_Cytra Aneka Sari, S.T. Gz _ SERTIFIKAT BerAKHLAK</v>
      </c>
      <c r="P9672" s="5" t="s">
        <v>59682</v>
      </c>
    </row>
    <row r="9673">
      <c r="A9673" s="4">
        <v>45534.471601666664</v>
      </c>
      <c r="B9673" s="5" t="s">
        <v>34</v>
      </c>
      <c r="D9673" s="5" t="s">
        <v>1692</v>
      </c>
      <c r="E9673" s="5" t="s">
        <v>59683</v>
      </c>
      <c r="F9673" s="5" t="s">
        <v>199</v>
      </c>
      <c r="G9673" s="5" t="s">
        <v>59684</v>
      </c>
      <c r="H9673" s="6" t="s">
        <v>59685</v>
      </c>
      <c r="K9673" s="5" t="s">
        <v>59686</v>
      </c>
      <c r="M9673" s="5" t="s">
        <v>59687</v>
      </c>
      <c r="N9673" s="7" t="s">
        <v>59688</v>
      </c>
      <c r="O9673" s="8" t="str">
        <f>HYPERLINK("https://drive.google.com/file/d/1ijg-Ba2VU_MR14z8vYaqo0WM0po_5Lg9/view?usp=drivesdk","9672_MARTHINUS.SALMON SH _ SERTIFIKAT BerAKHLAK")</f>
        <v>9672_MARTHINUS.SALMON SH _ SERTIFIKAT BerAKHLAK</v>
      </c>
      <c r="P9673" s="5" t="s">
        <v>59682</v>
      </c>
    </row>
    <row r="9674">
      <c r="A9674" s="4">
        <v>45534.47195774305</v>
      </c>
      <c r="B9674" s="5" t="s">
        <v>34</v>
      </c>
      <c r="D9674" s="5" t="s">
        <v>9020</v>
      </c>
      <c r="E9674" s="5" t="s">
        <v>59689</v>
      </c>
      <c r="F9674" s="5" t="s">
        <v>212</v>
      </c>
      <c r="G9674" s="5" t="s">
        <v>59690</v>
      </c>
      <c r="H9674" s="6" t="s">
        <v>59691</v>
      </c>
      <c r="K9674" s="5" t="s">
        <v>59692</v>
      </c>
      <c r="M9674" s="5" t="s">
        <v>59693</v>
      </c>
      <c r="N9674" s="7" t="s">
        <v>59694</v>
      </c>
      <c r="O9674" s="8" t="str">
        <f>HYPERLINK("https://drive.google.com/file/d/1seCHFA3syc-yPUbKvEtM1w7zN-oFaVIE/view?usp=drivesdk","9673_TIODOR SILABAN _ SERTIFIKAT BerAKHLAK")</f>
        <v>9673_TIODOR SILABAN _ SERTIFIKAT BerAKHLAK</v>
      </c>
      <c r="P9674" s="5" t="s">
        <v>59682</v>
      </c>
    </row>
    <row r="9675">
      <c r="A9675" s="4">
        <v>45534.472001875</v>
      </c>
      <c r="B9675" s="5" t="s">
        <v>34</v>
      </c>
      <c r="D9675" s="5" t="s">
        <v>15401</v>
      </c>
      <c r="E9675" s="5" t="s">
        <v>59695</v>
      </c>
      <c r="F9675" s="5" t="s">
        <v>212</v>
      </c>
      <c r="G9675" s="5" t="s">
        <v>59696</v>
      </c>
      <c r="H9675" s="6" t="s">
        <v>59697</v>
      </c>
      <c r="K9675" s="5" t="s">
        <v>59698</v>
      </c>
      <c r="M9675" s="5" t="s">
        <v>59699</v>
      </c>
      <c r="N9675" s="7" t="s">
        <v>59700</v>
      </c>
      <c r="O9675" s="8" t="str">
        <f>HYPERLINK("https://drive.google.com/file/d/1e65xOZy_WFS5C5LOs_-sjdy8MVvrh1dr/view?usp=drivesdk","9674_IMELDA PRATIWI _ SERTIFIKAT BerAKHLAK")</f>
        <v>9674_IMELDA PRATIWI _ SERTIFIKAT BerAKHLAK</v>
      </c>
      <c r="P9675" s="5" t="s">
        <v>59682</v>
      </c>
    </row>
    <row r="9676">
      <c r="A9676" s="4">
        <v>45534.47206085648</v>
      </c>
      <c r="B9676" s="5" t="s">
        <v>34</v>
      </c>
      <c r="D9676" s="5" t="s">
        <v>4775</v>
      </c>
      <c r="E9676" s="5" t="s">
        <v>59701</v>
      </c>
      <c r="F9676" s="5" t="s">
        <v>375</v>
      </c>
      <c r="G9676" s="5" t="s">
        <v>59702</v>
      </c>
      <c r="H9676" s="6" t="s">
        <v>59703</v>
      </c>
      <c r="K9676" s="5" t="s">
        <v>59704</v>
      </c>
      <c r="M9676" s="5" t="s">
        <v>59705</v>
      </c>
      <c r="N9676" s="7" t="s">
        <v>59706</v>
      </c>
      <c r="O9676" s="8" t="str">
        <f>HYPERLINK("https://drive.google.com/file/d/1iF6-J6Ww3jGkxSc2rn6nSpDWJXH5-0Aj/view?usp=drivesdk","9675_KURNIA DEWI ERNAWATI,SPd _ SERTIFIKAT BerAKHLAK")</f>
        <v>9675_KURNIA DEWI ERNAWATI,SPd _ SERTIFIKAT BerAKHLAK</v>
      </c>
      <c r="P9676" s="5" t="s">
        <v>59682</v>
      </c>
    </row>
    <row r="9677">
      <c r="A9677" s="4">
        <v>45534.47237990741</v>
      </c>
      <c r="B9677" s="5" t="s">
        <v>34</v>
      </c>
      <c r="D9677" s="5" t="s">
        <v>1206</v>
      </c>
      <c r="E9677" s="5" t="s">
        <v>59707</v>
      </c>
      <c r="F9677" s="5" t="s">
        <v>37</v>
      </c>
      <c r="G9677" s="5" t="s">
        <v>59708</v>
      </c>
      <c r="H9677" s="6" t="s">
        <v>59709</v>
      </c>
      <c r="K9677" s="5" t="s">
        <v>59710</v>
      </c>
      <c r="M9677" s="5" t="s">
        <v>59711</v>
      </c>
      <c r="N9677" s="7" t="s">
        <v>59712</v>
      </c>
      <c r="O9677" s="8" t="str">
        <f>HYPERLINK("https://drive.google.com/file/d/1X8RKjH2y5PEMWrhCs9JoXWUcdjv9tSiO/view?usp=drivesdk","9676_LASIDI  _ SERTIFIKAT BerAKHLAK")</f>
        <v>9676_LASIDI  _ SERTIFIKAT BerAKHLAK</v>
      </c>
      <c r="P9677" s="5" t="s">
        <v>59713</v>
      </c>
    </row>
    <row r="9678">
      <c r="A9678" s="4">
        <v>45534.47256525463</v>
      </c>
      <c r="B9678" s="5" t="s">
        <v>34</v>
      </c>
      <c r="D9678" s="5" t="s">
        <v>9020</v>
      </c>
      <c r="E9678" s="5" t="s">
        <v>16572</v>
      </c>
      <c r="F9678" s="5" t="s">
        <v>5859</v>
      </c>
      <c r="G9678" s="5" t="s">
        <v>59714</v>
      </c>
      <c r="H9678" s="6" t="s">
        <v>59715</v>
      </c>
      <c r="K9678" s="5" t="s">
        <v>59716</v>
      </c>
      <c r="M9678" s="5" t="s">
        <v>59717</v>
      </c>
      <c r="N9678" s="7" t="s">
        <v>59718</v>
      </c>
      <c r="O9678" s="8" t="str">
        <f>HYPERLINK("https://drive.google.com/file/d/1ZtrZunyE6nX3ez-I7QySbxeazGWQVN2D/view?usp=drivesdk","9677_RAHMAWATI _ SERTIFIKAT BerAKHLAK")</f>
        <v>9677_RAHMAWATI _ SERTIFIKAT BerAKHLAK</v>
      </c>
      <c r="P9678" s="5" t="s">
        <v>59713</v>
      </c>
    </row>
    <row r="9679">
      <c r="A9679" s="4">
        <v>45534.47257104167</v>
      </c>
      <c r="B9679" s="5" t="s">
        <v>34</v>
      </c>
      <c r="D9679" s="5" t="s">
        <v>1456</v>
      </c>
      <c r="E9679" s="5" t="s">
        <v>59719</v>
      </c>
      <c r="F9679" s="5" t="s">
        <v>37</v>
      </c>
      <c r="G9679" s="5" t="s">
        <v>14706</v>
      </c>
      <c r="H9679" s="6" t="s">
        <v>59720</v>
      </c>
      <c r="K9679" s="5" t="s">
        <v>59721</v>
      </c>
      <c r="M9679" s="5" t="s">
        <v>59722</v>
      </c>
      <c r="N9679" s="7" t="s">
        <v>59723</v>
      </c>
      <c r="O9679" s="8" t="str">
        <f>HYPERLINK("https://drive.google.com/file/d/1ZwjD0LFZRph1J4KR6_WLv3g0y7icnjby/view?usp=drivesdk","9678_YUNITA SARIDEWI _ SERTIFIKAT BerAKHLAK")</f>
        <v>9678_YUNITA SARIDEWI _ SERTIFIKAT BerAKHLAK</v>
      </c>
      <c r="P9679" s="5" t="s">
        <v>59713</v>
      </c>
    </row>
    <row r="9680">
      <c r="A9680" s="4">
        <v>45534.47258137731</v>
      </c>
      <c r="B9680" s="5" t="s">
        <v>34</v>
      </c>
      <c r="D9680" s="5" t="s">
        <v>9020</v>
      </c>
      <c r="E9680" s="5" t="s">
        <v>59724</v>
      </c>
      <c r="F9680" s="5" t="s">
        <v>108</v>
      </c>
      <c r="G9680" s="5" t="s">
        <v>59725</v>
      </c>
      <c r="H9680" s="6" t="s">
        <v>59726</v>
      </c>
      <c r="K9680" s="5" t="s">
        <v>59721</v>
      </c>
      <c r="M9680" s="5" t="s">
        <v>59727</v>
      </c>
      <c r="N9680" s="7" t="s">
        <v>59728</v>
      </c>
      <c r="O9680" s="8" t="str">
        <f>HYPERLINK("https://drive.google.com/file/d/1uu29M2Krc7srm4q0-xeD7szH9XmtxTk1/view?usp=drivesdk","9679_MEGA PERWARNI _ SERTIFIKAT BerAKHLAK")</f>
        <v>9679_MEGA PERWARNI _ SERTIFIKAT BerAKHLAK</v>
      </c>
      <c r="P9680" s="5" t="s">
        <v>59713</v>
      </c>
    </row>
    <row r="9681" hidden="1">
      <c r="A9681" s="4">
        <v>45534.47260349537</v>
      </c>
      <c r="B9681" s="5" t="s">
        <v>19</v>
      </c>
      <c r="C9681" s="5" t="s">
        <v>292</v>
      </c>
      <c r="E9681" s="5" t="s">
        <v>59729</v>
      </c>
      <c r="F9681" s="5" t="s">
        <v>212</v>
      </c>
      <c r="G9681" s="5" t="s">
        <v>59730</v>
      </c>
      <c r="H9681" s="6" t="s">
        <v>59731</v>
      </c>
      <c r="K9681" s="5" t="s">
        <v>59721</v>
      </c>
      <c r="M9681" s="5" t="s">
        <v>59732</v>
      </c>
      <c r="N9681" s="7" t="s">
        <v>59733</v>
      </c>
      <c r="O9681" s="8" t="str">
        <f>HYPERLINK("https://drive.google.com/file/d/1T9aAwZGzQ_rJhFAKg5J0FI5-xIJAcIkJ/view?usp=drivesdk","9680_AKHMAD SODIKIN _ SERTIFIKAT BerAKHLAK")</f>
        <v>9680_AKHMAD SODIKIN _ SERTIFIKAT BerAKHLAK</v>
      </c>
      <c r="P9681" s="5" t="s">
        <v>59713</v>
      </c>
    </row>
    <row r="9682">
      <c r="A9682" s="4">
        <v>45534.472605856485</v>
      </c>
      <c r="B9682" s="5" t="s">
        <v>34</v>
      </c>
      <c r="D9682" s="5" t="s">
        <v>15401</v>
      </c>
      <c r="E9682" s="5" t="s">
        <v>59734</v>
      </c>
      <c r="F9682" s="5" t="s">
        <v>524</v>
      </c>
      <c r="G9682" s="5" t="s">
        <v>59735</v>
      </c>
      <c r="H9682" s="6" t="s">
        <v>59736</v>
      </c>
      <c r="K9682" s="5" t="s">
        <v>59721</v>
      </c>
      <c r="M9682" s="5" t="s">
        <v>59737</v>
      </c>
      <c r="N9682" s="7" t="s">
        <v>59738</v>
      </c>
      <c r="O9682" s="8" t="str">
        <f>HYPERLINK("https://drive.google.com/file/d/1I9aLlD9ohs2Bk69Q0NODxPzCuyVs5m8y/view?usp=drivesdk","9681_HANDIKA MURTI,A. MF _ SERTIFIKAT BerAKHLAK")</f>
        <v>9681_HANDIKA MURTI,A. MF _ SERTIFIKAT BerAKHLAK</v>
      </c>
      <c r="P9682" s="5" t="s">
        <v>59739</v>
      </c>
    </row>
    <row r="9683" hidden="1">
      <c r="A9683" s="4">
        <v>45534.47272883102</v>
      </c>
      <c r="B9683" s="5" t="s">
        <v>19</v>
      </c>
      <c r="C9683" s="5" t="s">
        <v>292</v>
      </c>
      <c r="E9683" s="5" t="s">
        <v>59740</v>
      </c>
      <c r="F9683" s="5" t="s">
        <v>524</v>
      </c>
      <c r="G9683" s="5" t="s">
        <v>59741</v>
      </c>
      <c r="H9683" s="6" t="s">
        <v>59742</v>
      </c>
      <c r="K9683" s="5" t="s">
        <v>59743</v>
      </c>
      <c r="M9683" s="5" t="s">
        <v>59744</v>
      </c>
      <c r="N9683" s="7" t="s">
        <v>59745</v>
      </c>
      <c r="O9683" s="8" t="str">
        <f>HYPERLINK("https://drive.google.com/file/d/1patcZpejSl3vuy7hg4KcEQjltZsDthh2/view?usp=drivesdk","9682_BUANG SISWANDI _ SERTIFIKAT BerAKHLAK")</f>
        <v>9682_BUANG SISWANDI _ SERTIFIKAT BerAKHLAK</v>
      </c>
      <c r="P9683" s="5" t="s">
        <v>59739</v>
      </c>
    </row>
    <row r="9684">
      <c r="A9684" s="4">
        <v>45534.47273299769</v>
      </c>
      <c r="B9684" s="5" t="s">
        <v>34</v>
      </c>
      <c r="D9684" s="5" t="s">
        <v>1206</v>
      </c>
      <c r="E9684" s="5" t="s">
        <v>59746</v>
      </c>
      <c r="F9684" s="5" t="s">
        <v>37</v>
      </c>
      <c r="G9684" s="5" t="s">
        <v>59747</v>
      </c>
      <c r="H9684" s="6" t="s">
        <v>59748</v>
      </c>
      <c r="K9684" s="5" t="s">
        <v>59743</v>
      </c>
      <c r="M9684" s="5" t="s">
        <v>59749</v>
      </c>
      <c r="N9684" s="7" t="s">
        <v>59750</v>
      </c>
      <c r="O9684" s="8" t="str">
        <f>HYPERLINK("https://drive.google.com/file/d/1rXPxp46pP1Ss8_5EuHleamvNuzaaUhty/view?usp=drivesdk","9683_BAMBANG SURYANTO  _ SERTIFIKAT BerAKHLAK")</f>
        <v>9683_BAMBANG SURYANTO  _ SERTIFIKAT BerAKHLAK</v>
      </c>
      <c r="P9684" s="5" t="s">
        <v>59739</v>
      </c>
    </row>
    <row r="9685" hidden="1">
      <c r="A9685" s="4">
        <v>45534.47282621528</v>
      </c>
      <c r="B9685" s="5" t="s">
        <v>19</v>
      </c>
      <c r="C9685" s="5" t="s">
        <v>292</v>
      </c>
      <c r="E9685" s="5" t="s">
        <v>59751</v>
      </c>
      <c r="F9685" s="5" t="s">
        <v>212</v>
      </c>
      <c r="G9685" s="5" t="s">
        <v>59752</v>
      </c>
      <c r="H9685" s="6" t="s">
        <v>59753</v>
      </c>
      <c r="K9685" s="5" t="s">
        <v>59754</v>
      </c>
      <c r="M9685" s="5" t="s">
        <v>59755</v>
      </c>
      <c r="N9685" s="7" t="s">
        <v>59756</v>
      </c>
      <c r="O9685" s="8" t="str">
        <f>HYPERLINK("https://drive.google.com/file/d/1ZGoi78lNF9FuSWngUwtWYnSf6eJeZnK7/view?usp=drivesdk","9684_EKA MISDIHANTINI Amd keb  _ SERTIFIKAT BerAKHLAK")</f>
        <v>9684_EKA MISDIHANTINI Amd keb  _ SERTIFIKAT BerAKHLAK</v>
      </c>
      <c r="P9685" s="5" t="s">
        <v>59739</v>
      </c>
    </row>
    <row r="9686">
      <c r="A9686" s="4">
        <v>45534.47313587963</v>
      </c>
      <c r="B9686" s="5" t="s">
        <v>34</v>
      </c>
      <c r="D9686" s="5" t="s">
        <v>580</v>
      </c>
      <c r="E9686" s="5" t="s">
        <v>59757</v>
      </c>
      <c r="F9686" s="5" t="s">
        <v>37</v>
      </c>
      <c r="G9686" s="5" t="s">
        <v>59758</v>
      </c>
      <c r="H9686" s="6" t="s">
        <v>59759</v>
      </c>
      <c r="K9686" s="5" t="s">
        <v>59760</v>
      </c>
      <c r="M9686" s="5" t="s">
        <v>59761</v>
      </c>
      <c r="N9686" s="7" t="s">
        <v>59762</v>
      </c>
      <c r="O9686" s="8" t="str">
        <f>HYPERLINK("https://drive.google.com/file/d/1yTUJjgBhmTcPvUrOHKuGphfT9iyW06Cl/view?usp=drivesdk","9685_NYOMAN AYU MUSTIKA PUTRI _ SERTIFIKAT BerAKHLAK")</f>
        <v>9685_NYOMAN AYU MUSTIKA PUTRI _ SERTIFIKAT BerAKHLAK</v>
      </c>
      <c r="P9686" s="5" t="s">
        <v>59763</v>
      </c>
    </row>
    <row r="9687">
      <c r="A9687" s="4">
        <v>45534.473139375</v>
      </c>
      <c r="B9687" s="5" t="s">
        <v>34</v>
      </c>
      <c r="D9687" s="5" t="s">
        <v>1206</v>
      </c>
      <c r="E9687" s="5" t="s">
        <v>59764</v>
      </c>
      <c r="F9687" s="5" t="s">
        <v>37</v>
      </c>
      <c r="G9687" s="5" t="s">
        <v>59765</v>
      </c>
      <c r="H9687" s="6" t="s">
        <v>59766</v>
      </c>
      <c r="K9687" s="5" t="s">
        <v>59760</v>
      </c>
      <c r="M9687" s="5" t="s">
        <v>59767</v>
      </c>
      <c r="N9687" s="7" t="s">
        <v>59768</v>
      </c>
      <c r="O9687" s="8" t="str">
        <f>HYPERLINK("https://drive.google.com/file/d/1Nydvtk9Ajp0MnvmsfyywFuuzbmvosYTC/view?usp=drivesdk","9686_NITO PRIYO SAPUTRO _ SERTIFIKAT BerAKHLAK")</f>
        <v>9686_NITO PRIYO SAPUTRO _ SERTIFIKAT BerAKHLAK</v>
      </c>
      <c r="P9687" s="5" t="s">
        <v>59763</v>
      </c>
    </row>
    <row r="9688">
      <c r="A9688" s="4">
        <v>45534.47322252315</v>
      </c>
      <c r="B9688" s="5" t="s">
        <v>34</v>
      </c>
      <c r="D9688" s="5" t="s">
        <v>1558</v>
      </c>
      <c r="E9688" s="5" t="s">
        <v>59769</v>
      </c>
      <c r="F9688" s="5" t="s">
        <v>212</v>
      </c>
      <c r="G9688" s="5" t="s">
        <v>59770</v>
      </c>
      <c r="H9688" s="6" t="s">
        <v>59771</v>
      </c>
      <c r="K9688" s="5" t="s">
        <v>59772</v>
      </c>
      <c r="M9688" s="5" t="s">
        <v>59773</v>
      </c>
      <c r="N9688" s="7" t="s">
        <v>59774</v>
      </c>
      <c r="O9688" s="8" t="str">
        <f>HYPERLINK("https://drive.google.com/file/d/1iwCdG7ynfS8JUP4Fk_4qS2SG-APtm26Q/view?usp=drivesdk","9687_RESMI PRIYANTI  _ SERTIFIKAT BerAKHLAK")</f>
        <v>9687_RESMI PRIYANTI  _ SERTIFIKAT BerAKHLAK</v>
      </c>
      <c r="P9688" s="5" t="s">
        <v>59763</v>
      </c>
    </row>
    <row r="9689">
      <c r="A9689" s="4">
        <v>45534.473236342594</v>
      </c>
      <c r="B9689" s="5" t="s">
        <v>34</v>
      </c>
      <c r="D9689" s="5" t="s">
        <v>1206</v>
      </c>
      <c r="E9689" s="5" t="s">
        <v>59775</v>
      </c>
      <c r="F9689" s="5" t="s">
        <v>37</v>
      </c>
      <c r="G9689" s="5" t="s">
        <v>59776</v>
      </c>
      <c r="H9689" s="6" t="s">
        <v>59777</v>
      </c>
      <c r="K9689" s="5" t="s">
        <v>59772</v>
      </c>
      <c r="M9689" s="5" t="s">
        <v>59778</v>
      </c>
      <c r="N9689" s="7" t="s">
        <v>59779</v>
      </c>
      <c r="O9689" s="8" t="str">
        <f>HYPERLINK("https://drive.google.com/file/d/1J_fGbnQ5SLSXrd0GFjpjmoRnsn1eVoMA/view?usp=drivesdk","9688_ISTIQOMAH NUR WAHYUNI, A.Md.Kom. _ SERTIFIKAT BerAKHLAK")</f>
        <v>9688_ISTIQOMAH NUR WAHYUNI, A.Md.Kom. _ SERTIFIKAT BerAKHLAK</v>
      </c>
      <c r="P9689" s="5" t="s">
        <v>59763</v>
      </c>
    </row>
    <row r="9690">
      <c r="A9690" s="4">
        <v>45534.47329540509</v>
      </c>
      <c r="B9690" s="5" t="s">
        <v>34</v>
      </c>
      <c r="D9690" s="5" t="s">
        <v>9020</v>
      </c>
      <c r="E9690" s="5" t="s">
        <v>59780</v>
      </c>
      <c r="F9690" s="5" t="s">
        <v>37</v>
      </c>
      <c r="G9690" s="5" t="s">
        <v>59781</v>
      </c>
      <c r="H9690" s="6" t="s">
        <v>59782</v>
      </c>
      <c r="K9690" s="5" t="s">
        <v>59783</v>
      </c>
      <c r="M9690" s="5" t="s">
        <v>59784</v>
      </c>
      <c r="N9690" s="7" t="s">
        <v>59785</v>
      </c>
      <c r="O9690" s="8" t="str">
        <f>HYPERLINK("https://drive.google.com/file/d/1YXLt12HzoF58la4ldeG1UWr5_G9hJuMW/view?usp=drivesdk","9689_FRANSEDA EFENDI _ SERTIFIKAT BerAKHLAK")</f>
        <v>9689_FRANSEDA EFENDI _ SERTIFIKAT BerAKHLAK</v>
      </c>
      <c r="P9690" s="5" t="s">
        <v>59763</v>
      </c>
    </row>
    <row r="9691">
      <c r="A9691" s="4">
        <v>45534.473445578704</v>
      </c>
      <c r="B9691" s="5" t="s">
        <v>34</v>
      </c>
      <c r="D9691" s="5" t="s">
        <v>1206</v>
      </c>
      <c r="E9691" s="5" t="s">
        <v>59786</v>
      </c>
      <c r="F9691" s="5" t="s">
        <v>375</v>
      </c>
      <c r="G9691" s="5" t="s">
        <v>59787</v>
      </c>
      <c r="H9691" s="6" t="s">
        <v>59788</v>
      </c>
      <c r="K9691" s="5" t="s">
        <v>59789</v>
      </c>
      <c r="M9691" s="5" t="s">
        <v>59790</v>
      </c>
      <c r="N9691" s="7" t="s">
        <v>59791</v>
      </c>
      <c r="O9691" s="8" t="str">
        <f>HYPERLINK("https://drive.google.com/file/d/12WegLIY_zo3ZTmO9rjmmn5fQ1i8sCREC/view?usp=drivesdk","9690_JETRI ISMAWATI, ST _ SERTIFIKAT BerAKHLAK")</f>
        <v>9690_JETRI ISMAWATI, ST _ SERTIFIKAT BerAKHLAK</v>
      </c>
      <c r="P9691" s="5" t="s">
        <v>59792</v>
      </c>
    </row>
    <row r="9692">
      <c r="A9692" s="4">
        <v>45534.47357545139</v>
      </c>
      <c r="B9692" s="5" t="s">
        <v>34</v>
      </c>
      <c r="D9692" s="5" t="s">
        <v>12978</v>
      </c>
      <c r="E9692" s="5" t="s">
        <v>59793</v>
      </c>
      <c r="F9692" s="5" t="s">
        <v>212</v>
      </c>
      <c r="G9692" s="5" t="s">
        <v>59794</v>
      </c>
      <c r="H9692" s="6" t="s">
        <v>59795</v>
      </c>
      <c r="K9692" s="5" t="s">
        <v>59789</v>
      </c>
      <c r="M9692" s="5" t="s">
        <v>59796</v>
      </c>
      <c r="N9692" s="7" t="s">
        <v>59797</v>
      </c>
      <c r="O9692" s="8" t="str">
        <f>HYPERLINK("https://drive.google.com/file/d/1Lv1ZBWeV42S7kMxRTHJ83QEkTG911cte/view?usp=drivesdk","9691_MARJUDIN _ SERTIFIKAT BerAKHLAK")</f>
        <v>9691_MARJUDIN _ SERTIFIKAT BerAKHLAK</v>
      </c>
      <c r="P9692" s="5" t="s">
        <v>59792</v>
      </c>
    </row>
    <row r="9693">
      <c r="A9693" s="4">
        <v>45534.47360712963</v>
      </c>
      <c r="B9693" s="5" t="s">
        <v>34</v>
      </c>
      <c r="D9693" s="5" t="s">
        <v>11527</v>
      </c>
      <c r="E9693" s="5" t="s">
        <v>59798</v>
      </c>
      <c r="F9693" s="5" t="s">
        <v>22</v>
      </c>
      <c r="G9693" s="5" t="s">
        <v>59799</v>
      </c>
      <c r="H9693" s="6" t="s">
        <v>59800</v>
      </c>
      <c r="K9693" s="5" t="s">
        <v>59789</v>
      </c>
      <c r="M9693" s="5" t="s">
        <v>59801</v>
      </c>
      <c r="N9693" s="7" t="s">
        <v>59802</v>
      </c>
      <c r="O9693" s="8" t="str">
        <f>HYPERLINK("https://drive.google.com/file/d/1CBDlJ0kT9pMMaYcxXk4ajK5qVDi7btJ5/view?usp=drivesdk","9692_Dr. WENDA ANTHONIE. S.Psi.,MARS _ SERTIFIKAT BerAKHLAK")</f>
        <v>9692_Dr. WENDA ANTHONIE. S.Psi.,MARS _ SERTIFIKAT BerAKHLAK</v>
      </c>
      <c r="P9693" s="5" t="s">
        <v>59792</v>
      </c>
    </row>
    <row r="9694">
      <c r="A9694" s="4">
        <v>45534.473782905094</v>
      </c>
      <c r="B9694" s="5" t="s">
        <v>34</v>
      </c>
      <c r="D9694" s="5" t="s">
        <v>9020</v>
      </c>
      <c r="E9694" s="5" t="s">
        <v>59689</v>
      </c>
      <c r="F9694" s="5" t="s">
        <v>212</v>
      </c>
      <c r="G9694" s="5" t="s">
        <v>59803</v>
      </c>
      <c r="H9694" s="6" t="s">
        <v>59804</v>
      </c>
      <c r="K9694" s="5" t="s">
        <v>59789</v>
      </c>
      <c r="M9694" s="5" t="s">
        <v>59805</v>
      </c>
      <c r="N9694" s="7" t="s">
        <v>59806</v>
      </c>
      <c r="O9694" s="8" t="str">
        <f>HYPERLINK("https://drive.google.com/file/d/1mkqU8bXYZ8vEl6EreTDyJ_sufiER0Xvz/view?usp=drivesdk","9693_TIODOR SILABAN _ SERTIFIKAT BerAKHLAK")</f>
        <v>9693_TIODOR SILABAN _ SERTIFIKAT BerAKHLAK</v>
      </c>
      <c r="P9694" s="5" t="s">
        <v>59807</v>
      </c>
    </row>
    <row r="9695">
      <c r="A9695" s="4">
        <v>45534.474128738424</v>
      </c>
      <c r="B9695" s="5" t="s">
        <v>34</v>
      </c>
      <c r="D9695" s="5" t="s">
        <v>580</v>
      </c>
      <c r="E9695" s="5" t="s">
        <v>59808</v>
      </c>
      <c r="F9695" s="5" t="s">
        <v>108</v>
      </c>
      <c r="G9695" s="5" t="s">
        <v>59809</v>
      </c>
      <c r="H9695" s="6" t="s">
        <v>59810</v>
      </c>
      <c r="K9695" s="5" t="s">
        <v>59789</v>
      </c>
      <c r="M9695" s="5" t="s">
        <v>59811</v>
      </c>
      <c r="N9695" s="7" t="s">
        <v>59812</v>
      </c>
      <c r="O9695" s="8" t="str">
        <f>HYPERLINK("https://drive.google.com/file/d/16JWY3rGiXgN70Kwyzwqzo_owzFmE_zjG/view?usp=drivesdk","9694_NYOMAN BUDIASIH _ SERTIFIKAT BerAKHLAK")</f>
        <v>9694_NYOMAN BUDIASIH _ SERTIFIKAT BerAKHLAK</v>
      </c>
      <c r="P9695" s="5" t="s">
        <v>59807</v>
      </c>
    </row>
    <row r="9696" hidden="1">
      <c r="A9696" s="4">
        <v>45534.474265219906</v>
      </c>
      <c r="B9696" s="5" t="s">
        <v>19</v>
      </c>
      <c r="C9696" s="5" t="s">
        <v>292</v>
      </c>
      <c r="E9696" s="5" t="s">
        <v>59813</v>
      </c>
      <c r="F9696" s="5" t="s">
        <v>212</v>
      </c>
      <c r="G9696" s="5" t="s">
        <v>59814</v>
      </c>
      <c r="H9696" s="6" t="s">
        <v>59815</v>
      </c>
      <c r="K9696" s="5" t="s">
        <v>59789</v>
      </c>
      <c r="M9696" s="5" t="s">
        <v>59816</v>
      </c>
      <c r="N9696" s="7" t="s">
        <v>59817</v>
      </c>
      <c r="O9696" s="8" t="str">
        <f>HYPERLINK("https://drive.google.com/file/d/1EAMiwfS39d-NnVVPIqOMII_LrP0_BEbA/view?usp=drivesdk","9695_ROCHMAN KURNIANTO  _ SERTIFIKAT BerAKHLAK")</f>
        <v>9695_ROCHMAN KURNIANTO  _ SERTIFIKAT BerAKHLAK</v>
      </c>
      <c r="P9696" s="5" t="s">
        <v>59818</v>
      </c>
    </row>
    <row r="9697">
      <c r="A9697" s="4">
        <v>45534.474321076385</v>
      </c>
      <c r="B9697" s="5" t="s">
        <v>34</v>
      </c>
      <c r="D9697" s="5" t="s">
        <v>10297</v>
      </c>
      <c r="E9697" s="5" t="s">
        <v>59819</v>
      </c>
      <c r="F9697" s="5" t="s">
        <v>37</v>
      </c>
      <c r="G9697" s="5" t="s">
        <v>59820</v>
      </c>
      <c r="H9697" s="6" t="s">
        <v>59821</v>
      </c>
      <c r="K9697" s="5" t="s">
        <v>59789</v>
      </c>
      <c r="M9697" s="5" t="s">
        <v>59822</v>
      </c>
      <c r="N9697" s="7" t="s">
        <v>59823</v>
      </c>
      <c r="O9697" s="8" t="str">
        <f>HYPERLINK("https://drive.google.com/file/d/1NqtIxNGbRBCzlhUzjaSnYvZgSuCOva6-/view?usp=drivesdk","9696_TENRI SANNA. A.Md. Akun. _ SERTIFIKAT BerAKHLAK")</f>
        <v>9696_TENRI SANNA. A.Md. Akun. _ SERTIFIKAT BerAKHLAK</v>
      </c>
      <c r="P9697" s="5" t="s">
        <v>59818</v>
      </c>
    </row>
    <row r="9698" hidden="1">
      <c r="A9698" s="4">
        <v>45534.474346041665</v>
      </c>
      <c r="B9698" s="5" t="s">
        <v>19</v>
      </c>
      <c r="C9698" s="5" t="s">
        <v>292</v>
      </c>
      <c r="E9698" s="5" t="s">
        <v>59824</v>
      </c>
      <c r="F9698" s="5" t="s">
        <v>37</v>
      </c>
      <c r="G9698" s="5" t="s">
        <v>59825</v>
      </c>
      <c r="H9698" s="6" t="s">
        <v>59826</v>
      </c>
      <c r="K9698" s="5" t="s">
        <v>59789</v>
      </c>
      <c r="M9698" s="5" t="s">
        <v>59827</v>
      </c>
      <c r="N9698" s="7" t="s">
        <v>59828</v>
      </c>
      <c r="O9698" s="8" t="str">
        <f>HYPERLINK("https://drive.google.com/file/d/13khMI5_VYe4oUjF0YaRzZ2GNdiYcZqA0/view?usp=drivesdk","9697_ALDI SETYA BUDI _ SERTIFIKAT BerAKHLAK")</f>
        <v>9697_ALDI SETYA BUDI _ SERTIFIKAT BerAKHLAK</v>
      </c>
      <c r="P9698" s="5" t="s">
        <v>59818</v>
      </c>
    </row>
    <row r="9699">
      <c r="A9699" s="4">
        <v>45534.47442269676</v>
      </c>
      <c r="B9699" s="5" t="s">
        <v>34</v>
      </c>
      <c r="D9699" s="5" t="s">
        <v>1558</v>
      </c>
      <c r="E9699" s="5" t="s">
        <v>59829</v>
      </c>
      <c r="F9699" s="5" t="s">
        <v>328</v>
      </c>
      <c r="G9699" s="5" t="s">
        <v>59830</v>
      </c>
      <c r="H9699" s="6" t="s">
        <v>59831</v>
      </c>
      <c r="K9699" s="5" t="s">
        <v>59789</v>
      </c>
      <c r="M9699" s="5" t="s">
        <v>59832</v>
      </c>
      <c r="N9699" s="7" t="s">
        <v>59833</v>
      </c>
      <c r="O9699" s="8" t="str">
        <f>HYPERLINK("https://drive.google.com/file/d/1Rjc4cTMXBeoDKlimqPLeR7SGslxJui7m/view?usp=drivesdk","9698_SUDARTO WIDODO _ SERTIFIKAT BerAKHLAK")</f>
        <v>9698_SUDARTO WIDODO _ SERTIFIKAT BerAKHLAK</v>
      </c>
      <c r="P9699" s="5" t="s">
        <v>59818</v>
      </c>
    </row>
    <row r="9700" hidden="1">
      <c r="A9700" s="4">
        <v>45534.47442655092</v>
      </c>
      <c r="B9700" s="5" t="s">
        <v>19</v>
      </c>
      <c r="C9700" s="5" t="s">
        <v>292</v>
      </c>
      <c r="E9700" s="5" t="s">
        <v>59834</v>
      </c>
      <c r="F9700" s="5" t="s">
        <v>524</v>
      </c>
      <c r="G9700" s="5" t="s">
        <v>59835</v>
      </c>
      <c r="H9700" s="6" t="s">
        <v>59836</v>
      </c>
      <c r="K9700" s="5" t="s">
        <v>59789</v>
      </c>
      <c r="M9700" s="5" t="s">
        <v>59837</v>
      </c>
      <c r="N9700" s="7" t="s">
        <v>59838</v>
      </c>
      <c r="O9700" s="8" t="str">
        <f>HYPERLINK("https://drive.google.com/file/d/1JKs3zUMMSOkIspFZg7kHgyYarwZPbu14/view?usp=drivesdk","9699_MASHUDI, S.kep, Ns, S.H _ SERTIFIKAT BerAKHLAK")</f>
        <v>9699_MASHUDI, S.kep, Ns, S.H _ SERTIFIKAT BerAKHLAK</v>
      </c>
      <c r="P9700" s="5" t="s">
        <v>59839</v>
      </c>
    </row>
    <row r="9701">
      <c r="A9701" s="4">
        <v>45534.474459143516</v>
      </c>
      <c r="B9701" s="5" t="s">
        <v>34</v>
      </c>
      <c r="D9701" s="5" t="s">
        <v>4775</v>
      </c>
      <c r="E9701" s="5" t="s">
        <v>59840</v>
      </c>
      <c r="F9701" s="5" t="s">
        <v>375</v>
      </c>
      <c r="G9701" s="5" t="s">
        <v>59841</v>
      </c>
      <c r="H9701" s="6" t="s">
        <v>59842</v>
      </c>
      <c r="K9701" s="5" t="s">
        <v>59789</v>
      </c>
      <c r="M9701" s="5" t="s">
        <v>59843</v>
      </c>
      <c r="N9701" s="7" t="s">
        <v>59844</v>
      </c>
      <c r="O9701" s="8" t="str">
        <f>HYPERLINK("https://drive.google.com/file/d/13MVaji6C6by8v1Qif-TqUh88AA7MjhBD/view?usp=drivesdk","9700_PASKALIS YENINOVITA SARI _ SERTIFIKAT BerAKHLAK")</f>
        <v>9700_PASKALIS YENINOVITA SARI _ SERTIFIKAT BerAKHLAK</v>
      </c>
      <c r="P9701" s="5" t="s">
        <v>59839</v>
      </c>
    </row>
    <row r="9702">
      <c r="A9702" s="4">
        <v>45534.47459865741</v>
      </c>
      <c r="B9702" s="5" t="s">
        <v>34</v>
      </c>
      <c r="D9702" s="5" t="s">
        <v>4775</v>
      </c>
      <c r="E9702" s="5" t="s">
        <v>57923</v>
      </c>
      <c r="F9702" s="5" t="s">
        <v>108</v>
      </c>
      <c r="G9702" s="5" t="s">
        <v>59845</v>
      </c>
      <c r="H9702" s="6" t="s">
        <v>59846</v>
      </c>
      <c r="K9702" s="5" t="s">
        <v>59789</v>
      </c>
      <c r="M9702" s="5" t="s">
        <v>59847</v>
      </c>
      <c r="N9702" s="7" t="s">
        <v>59848</v>
      </c>
      <c r="O9702" s="8" t="str">
        <f>HYPERLINK("https://drive.google.com/file/d/1YKwJFiE0tCe1Bm0fg8_maKHB-z1HwfDu/view?usp=drivesdk","9701_ROSITA DIAN PURNA _ SERTIFIKAT BerAKHLAK")</f>
        <v>9701_ROSITA DIAN PURNA _ SERTIFIKAT BerAKHLAK</v>
      </c>
      <c r="P9702" s="5" t="s">
        <v>59839</v>
      </c>
    </row>
    <row r="9703">
      <c r="A9703" s="4">
        <v>45534.47477861111</v>
      </c>
      <c r="B9703" s="5" t="s">
        <v>34</v>
      </c>
      <c r="D9703" s="5" t="s">
        <v>10444</v>
      </c>
      <c r="E9703" s="5" t="s">
        <v>19846</v>
      </c>
      <c r="F9703" s="5" t="s">
        <v>328</v>
      </c>
      <c r="G9703" s="5" t="s">
        <v>59849</v>
      </c>
      <c r="H9703" s="6" t="s">
        <v>59850</v>
      </c>
      <c r="K9703" s="5" t="s">
        <v>59789</v>
      </c>
      <c r="M9703" s="5" t="s">
        <v>59851</v>
      </c>
      <c r="N9703" s="7" t="s">
        <v>59852</v>
      </c>
      <c r="O9703" s="8" t="str">
        <f>HYPERLINK("https://drive.google.com/file/d/1mCPpIzrN-_8anjjbWTjWoit-seA4jkvy/view?usp=drivesdk","9702_SUSILO _ SERTIFIKAT BerAKHLAK")</f>
        <v>9702_SUSILO _ SERTIFIKAT BerAKHLAK</v>
      </c>
      <c r="P9703" s="5" t="s">
        <v>59839</v>
      </c>
    </row>
    <row r="9704">
      <c r="A9704" s="4">
        <v>45534.47481392361</v>
      </c>
      <c r="B9704" s="5" t="s">
        <v>34</v>
      </c>
      <c r="D9704" s="5" t="s">
        <v>1206</v>
      </c>
      <c r="E9704" s="5" t="s">
        <v>59853</v>
      </c>
      <c r="F9704" s="5" t="s">
        <v>375</v>
      </c>
      <c r="G9704" s="5" t="s">
        <v>59854</v>
      </c>
      <c r="H9704" s="6" t="s">
        <v>59855</v>
      </c>
      <c r="K9704" s="5" t="s">
        <v>59789</v>
      </c>
      <c r="M9704" s="5" t="s">
        <v>59856</v>
      </c>
      <c r="N9704" s="7" t="s">
        <v>59857</v>
      </c>
      <c r="O9704" s="8" t="str">
        <f>HYPERLINK("https://drive.google.com/file/d/1izUZDdVesmBzMVTrod8wSR6l5k_19hGa/view?usp=drivesdk","9703_FARID HALIMI, S.I.P, M.Sos _ SERTIFIKAT BerAKHLAK")</f>
        <v>9703_FARID HALIMI, S.I.P, M.Sos _ SERTIFIKAT BerAKHLAK</v>
      </c>
      <c r="P9704" s="5" t="s">
        <v>59858</v>
      </c>
    </row>
    <row r="9705">
      <c r="A9705" s="4">
        <v>45534.47504016204</v>
      </c>
      <c r="B9705" s="5" t="s">
        <v>34</v>
      </c>
      <c r="D9705" s="5" t="s">
        <v>7858</v>
      </c>
      <c r="E9705" s="5" t="s">
        <v>59859</v>
      </c>
      <c r="F9705" s="5" t="s">
        <v>37</v>
      </c>
      <c r="G9705" s="5" t="s">
        <v>59860</v>
      </c>
      <c r="H9705" s="6" t="s">
        <v>59861</v>
      </c>
      <c r="K9705" s="5" t="s">
        <v>59862</v>
      </c>
      <c r="M9705" s="5" t="s">
        <v>59863</v>
      </c>
      <c r="N9705" s="7" t="s">
        <v>59864</v>
      </c>
      <c r="O9705" s="8" t="str">
        <f>HYPERLINK("https://drive.google.com/file/d/1b9gEvtqUBCdEY001Vl366P5lvYPHvlh9/view?usp=drivesdk","9704_ATI SURYATI  _ SERTIFIKAT BerAKHLAK")</f>
        <v>9704_ATI SURYATI  _ SERTIFIKAT BerAKHLAK</v>
      </c>
      <c r="P9705" s="5" t="s">
        <v>59858</v>
      </c>
    </row>
    <row r="9706">
      <c r="A9706" s="4">
        <v>45534.47505620371</v>
      </c>
      <c r="B9706" s="5" t="s">
        <v>34</v>
      </c>
      <c r="D9706" s="5" t="s">
        <v>1206</v>
      </c>
      <c r="E9706" s="5" t="s">
        <v>47069</v>
      </c>
      <c r="F9706" s="5" t="s">
        <v>375</v>
      </c>
      <c r="G9706" s="5" t="s">
        <v>59865</v>
      </c>
      <c r="H9706" s="6" t="s">
        <v>59866</v>
      </c>
      <c r="K9706" s="5" t="s">
        <v>59867</v>
      </c>
      <c r="M9706" s="5" t="s">
        <v>59868</v>
      </c>
      <c r="N9706" s="7" t="s">
        <v>59869</v>
      </c>
      <c r="O9706" s="8" t="str">
        <f>HYPERLINK("https://drive.google.com/file/d/1zPR4YwZxFe6bFHsE0TROxw9YGVkzl5eh/view?usp=drivesdk","9705_PUGUH DWI SANTOSO, S.T. _ SERTIFIKAT BerAKHLAK")</f>
        <v>9705_PUGUH DWI SANTOSO, S.T. _ SERTIFIKAT BerAKHLAK</v>
      </c>
      <c r="P9706" s="5" t="s">
        <v>59870</v>
      </c>
    </row>
    <row r="9707">
      <c r="A9707" s="4">
        <v>45534.47508261574</v>
      </c>
      <c r="B9707" s="5" t="s">
        <v>34</v>
      </c>
      <c r="D9707" s="5" t="s">
        <v>1206</v>
      </c>
      <c r="E9707" s="5" t="s">
        <v>59871</v>
      </c>
      <c r="F9707" s="5" t="s">
        <v>37</v>
      </c>
      <c r="G9707" s="5" t="s">
        <v>59872</v>
      </c>
      <c r="H9707" s="6" t="s">
        <v>59873</v>
      </c>
      <c r="K9707" s="5" t="s">
        <v>59874</v>
      </c>
      <c r="M9707" s="5" t="s">
        <v>59875</v>
      </c>
      <c r="N9707" s="7" t="s">
        <v>59876</v>
      </c>
      <c r="O9707" s="8" t="str">
        <f>HYPERLINK("https://drive.google.com/file/d/1QB1sB0yuZHf-5r5MkaRuGDglzWDwL1Lp/view?usp=drivesdk","9706_SRI ANDAYANI _ SERTIFIKAT BerAKHLAK")</f>
        <v>9706_SRI ANDAYANI _ SERTIFIKAT BerAKHLAK</v>
      </c>
      <c r="P9707" s="5" t="s">
        <v>59870</v>
      </c>
    </row>
    <row r="9708" hidden="1">
      <c r="A9708" s="4">
        <v>45534.475159803245</v>
      </c>
      <c r="B9708" s="5" t="s">
        <v>19</v>
      </c>
      <c r="C9708" s="5" t="s">
        <v>292</v>
      </c>
      <c r="E9708" s="5" t="s">
        <v>59877</v>
      </c>
      <c r="F9708" s="5" t="s">
        <v>37</v>
      </c>
      <c r="G9708" s="5" t="s">
        <v>59878</v>
      </c>
      <c r="H9708" s="6" t="s">
        <v>59879</v>
      </c>
      <c r="K9708" s="5" t="s">
        <v>59880</v>
      </c>
      <c r="M9708" s="5" t="s">
        <v>59881</v>
      </c>
      <c r="N9708" s="7" t="s">
        <v>59882</v>
      </c>
      <c r="O9708" s="8" t="str">
        <f>HYPERLINK("https://drive.google.com/file/d/1DB2ssmNtq3StTldij8rLoQII9hco2fiO/view?usp=drivesdk","9707_SUPRIYATIN _ SERTIFIKAT BerAKHLAK")</f>
        <v>9707_SUPRIYATIN _ SERTIFIKAT BerAKHLAK</v>
      </c>
      <c r="P9708" s="5" t="s">
        <v>59870</v>
      </c>
    </row>
    <row r="9709">
      <c r="A9709" s="4">
        <v>45534.47556850694</v>
      </c>
      <c r="B9709" s="5" t="s">
        <v>34</v>
      </c>
      <c r="D9709" s="5" t="s">
        <v>35</v>
      </c>
      <c r="E9709" s="5" t="s">
        <v>59883</v>
      </c>
      <c r="F9709" s="5" t="s">
        <v>120</v>
      </c>
      <c r="G9709" s="5" t="s">
        <v>59884</v>
      </c>
      <c r="H9709" s="6" t="s">
        <v>59885</v>
      </c>
      <c r="K9709" s="5" t="s">
        <v>59886</v>
      </c>
      <c r="M9709" s="5" t="s">
        <v>59887</v>
      </c>
      <c r="N9709" s="7" t="s">
        <v>59888</v>
      </c>
      <c r="O9709" s="8" t="str">
        <f>HYPERLINK("https://drive.google.com/file/d/1bUY_QJPI2mEaZ-e5uc7zUcR5xdXlK6lQ/view?usp=drivesdk","9708_Yusi Hariyumanti HS _ SERTIFIKAT BerAKHLAK")</f>
        <v>9708_Yusi Hariyumanti HS _ SERTIFIKAT BerAKHLAK</v>
      </c>
      <c r="P9709" s="5" t="s">
        <v>59870</v>
      </c>
    </row>
    <row r="9710">
      <c r="A9710" s="4">
        <v>45534.475673078705</v>
      </c>
      <c r="B9710" s="5" t="s">
        <v>34</v>
      </c>
      <c r="D9710" s="5" t="s">
        <v>1206</v>
      </c>
      <c r="E9710" s="5" t="s">
        <v>47477</v>
      </c>
      <c r="F9710" s="5" t="s">
        <v>37</v>
      </c>
      <c r="G9710" s="5" t="s">
        <v>59889</v>
      </c>
      <c r="H9710" s="6" t="s">
        <v>59890</v>
      </c>
      <c r="K9710" s="5" t="s">
        <v>59886</v>
      </c>
      <c r="M9710" s="5" t="s">
        <v>59891</v>
      </c>
      <c r="N9710" s="7" t="s">
        <v>59892</v>
      </c>
      <c r="O9710" s="8" t="str">
        <f>HYPERLINK("https://drive.google.com/file/d/178I2RlZeV105TY6icwZJ8yLrIP7DQapS/view?usp=drivesdk","9709_AGUNG SETIAWAN _ SERTIFIKAT BerAKHLAK")</f>
        <v>9709_AGUNG SETIAWAN _ SERTIFIKAT BerAKHLAK</v>
      </c>
      <c r="P9710" s="5" t="s">
        <v>59893</v>
      </c>
    </row>
    <row r="9711">
      <c r="A9711" s="4">
        <v>45534.47581430555</v>
      </c>
      <c r="B9711" s="5" t="s">
        <v>34</v>
      </c>
      <c r="D9711" s="5" t="s">
        <v>1206</v>
      </c>
      <c r="E9711" s="5" t="s">
        <v>59894</v>
      </c>
      <c r="F9711" s="5" t="s">
        <v>72</v>
      </c>
      <c r="G9711" s="5" t="s">
        <v>59895</v>
      </c>
      <c r="H9711" s="6" t="s">
        <v>59896</v>
      </c>
      <c r="K9711" s="5" t="s">
        <v>59886</v>
      </c>
      <c r="M9711" s="5" t="s">
        <v>59897</v>
      </c>
      <c r="N9711" s="7" t="s">
        <v>59898</v>
      </c>
      <c r="O9711" s="8" t="str">
        <f>HYPERLINK("https://drive.google.com/file/d/1SULyH-bZMt1fkDc8J-P45Y7jx9d5XYQ0/view?usp=drivesdk","9710_ENDAH TETI YULIANI. S.H _ SERTIFIKAT BerAKHLAK")</f>
        <v>9710_ENDAH TETI YULIANI. S.H _ SERTIFIKAT BerAKHLAK</v>
      </c>
      <c r="P9711" s="5" t="s">
        <v>59899</v>
      </c>
    </row>
    <row r="9712">
      <c r="A9712" s="4">
        <v>45534.47590416667</v>
      </c>
      <c r="B9712" s="5" t="s">
        <v>34</v>
      </c>
      <c r="D9712" s="5" t="s">
        <v>7858</v>
      </c>
      <c r="E9712" s="5" t="s">
        <v>59900</v>
      </c>
      <c r="F9712" s="5" t="s">
        <v>37</v>
      </c>
      <c r="G9712" s="5" t="s">
        <v>59901</v>
      </c>
      <c r="H9712" s="6" t="s">
        <v>59902</v>
      </c>
      <c r="K9712" s="5" t="s">
        <v>59886</v>
      </c>
      <c r="M9712" s="5" t="s">
        <v>59903</v>
      </c>
      <c r="N9712" s="7" t="s">
        <v>59904</v>
      </c>
      <c r="O9712" s="8" t="str">
        <f>HYPERLINK("https://drive.google.com/file/d/15UO3Y8lWI8M8a5WopexMOambSxc6bU1E/view?usp=drivesdk","9711_ADE SOLEHA EKAWATI _ SERTIFIKAT BerAKHLAK")</f>
        <v>9711_ADE SOLEHA EKAWATI _ SERTIFIKAT BerAKHLAK</v>
      </c>
      <c r="P9712" s="5" t="s">
        <v>59899</v>
      </c>
    </row>
    <row r="9713">
      <c r="A9713" s="4">
        <v>45534.47591079861</v>
      </c>
      <c r="B9713" s="5" t="s">
        <v>34</v>
      </c>
      <c r="D9713" s="5" t="s">
        <v>280</v>
      </c>
      <c r="E9713" s="5" t="s">
        <v>59139</v>
      </c>
      <c r="F9713" s="5" t="s">
        <v>212</v>
      </c>
      <c r="G9713" s="5" t="s">
        <v>59905</v>
      </c>
      <c r="H9713" s="6" t="s">
        <v>59906</v>
      </c>
      <c r="K9713" s="5" t="s">
        <v>59886</v>
      </c>
      <c r="M9713" s="5" t="s">
        <v>59907</v>
      </c>
      <c r="N9713" s="7" t="s">
        <v>59908</v>
      </c>
      <c r="O9713" s="8" t="str">
        <f>HYPERLINK("https://drive.google.com/file/d/1DVOmNbmEn2q2umvoShiACWqxBKN_-wZS/view?usp=drivesdk","9712_RIDO RISKI _ SERTIFIKAT BerAKHLAK")</f>
        <v>9712_RIDO RISKI _ SERTIFIKAT BerAKHLAK</v>
      </c>
      <c r="P9713" s="5" t="s">
        <v>59899</v>
      </c>
    </row>
    <row r="9714">
      <c r="A9714" s="4">
        <v>45534.47591934028</v>
      </c>
      <c r="B9714" s="5" t="s">
        <v>34</v>
      </c>
      <c r="D9714" s="5" t="s">
        <v>14313</v>
      </c>
      <c r="E9714" s="5" t="s">
        <v>59909</v>
      </c>
      <c r="F9714" s="5" t="s">
        <v>108</v>
      </c>
      <c r="G9714" s="5" t="s">
        <v>59910</v>
      </c>
      <c r="H9714" s="6" t="s">
        <v>59911</v>
      </c>
      <c r="K9714" s="5" t="s">
        <v>59886</v>
      </c>
      <c r="M9714" s="5" t="s">
        <v>59912</v>
      </c>
      <c r="N9714" s="7" t="s">
        <v>59913</v>
      </c>
      <c r="O9714" s="8" t="str">
        <f>HYPERLINK("https://drive.google.com/file/d/1RlNGhU1rCueVMDsa7hu1uL9mtv3A0Hpm/view?usp=drivesdk","9713_ANDI TENRI CITRA LATIFA, S. Tr. Rad _ SERTIFIKAT BerAKHLAK")</f>
        <v>9713_ANDI TENRI CITRA LATIFA, S. Tr. Rad _ SERTIFIKAT BerAKHLAK</v>
      </c>
      <c r="P9714" s="5" t="s">
        <v>59914</v>
      </c>
    </row>
    <row r="9715">
      <c r="A9715" s="4">
        <v>45534.476015416665</v>
      </c>
      <c r="B9715" s="5" t="s">
        <v>34</v>
      </c>
      <c r="D9715" s="5" t="s">
        <v>2903</v>
      </c>
      <c r="E9715" s="5" t="s">
        <v>18403</v>
      </c>
      <c r="F9715" s="5" t="s">
        <v>524</v>
      </c>
      <c r="G9715" s="5" t="s">
        <v>59915</v>
      </c>
      <c r="H9715" s="6" t="s">
        <v>59916</v>
      </c>
      <c r="K9715" s="5" t="s">
        <v>59886</v>
      </c>
      <c r="M9715" s="5" t="s">
        <v>59917</v>
      </c>
      <c r="N9715" s="7" t="s">
        <v>59918</v>
      </c>
      <c r="O9715" s="8" t="str">
        <f>HYPERLINK("https://drive.google.com/file/d/1-KG6SbpeeCGP32DCUTom-xPjRuj9oytb/view?usp=drivesdk","9714_TITIN SISMIARTI SKM  _ SERTIFIKAT BerAKHLAK")</f>
        <v>9714_TITIN SISMIARTI SKM  _ SERTIFIKAT BerAKHLAK</v>
      </c>
      <c r="P9715" s="5" t="s">
        <v>59914</v>
      </c>
    </row>
    <row r="9716" hidden="1">
      <c r="A9716" s="4">
        <v>45534.476034074076</v>
      </c>
      <c r="B9716" s="5" t="s">
        <v>19</v>
      </c>
      <c r="C9716" s="5" t="s">
        <v>292</v>
      </c>
      <c r="E9716" s="5" t="s">
        <v>59919</v>
      </c>
      <c r="F9716" s="5" t="s">
        <v>72</v>
      </c>
      <c r="G9716" s="5" t="s">
        <v>59920</v>
      </c>
      <c r="H9716" s="6" t="s">
        <v>59921</v>
      </c>
      <c r="K9716" s="5" t="s">
        <v>59886</v>
      </c>
      <c r="M9716" s="5" t="s">
        <v>59922</v>
      </c>
      <c r="N9716" s="7" t="s">
        <v>59923</v>
      </c>
      <c r="O9716" s="8" t="str">
        <f>HYPERLINK("https://drive.google.com/file/d/1Hh3hoSHMEmPg69rTEcZLnIYJth6Cww7L/view?usp=drivesdk","9715_dr. SHERA NADHILA SETYO BISONO _ SERTIFIKAT BerAKHLAK")</f>
        <v>9715_dr. SHERA NADHILA SETYO BISONO _ SERTIFIKAT BerAKHLAK</v>
      </c>
      <c r="P9716" s="5" t="s">
        <v>59914</v>
      </c>
    </row>
    <row r="9717">
      <c r="A9717" s="4">
        <v>45534.47648239583</v>
      </c>
      <c r="B9717" s="5" t="s">
        <v>34</v>
      </c>
      <c r="D9717" s="5" t="s">
        <v>996</v>
      </c>
      <c r="E9717" s="5" t="s">
        <v>59924</v>
      </c>
      <c r="F9717" s="5" t="s">
        <v>375</v>
      </c>
      <c r="G9717" s="5" t="s">
        <v>59925</v>
      </c>
      <c r="H9717" s="6" t="s">
        <v>59926</v>
      </c>
      <c r="K9717" s="5" t="s">
        <v>59886</v>
      </c>
      <c r="M9717" s="5" t="s">
        <v>59927</v>
      </c>
      <c r="N9717" s="7" t="s">
        <v>59928</v>
      </c>
      <c r="O9717" s="8" t="str">
        <f>HYPERLINK("https://drive.google.com/file/d/1rEJ1HmNOE5vB5dcKHPch3hwrsn9CRyQ3/view?usp=drivesdk","9716_SALASIAH YAHYA, S.Sos _ SERTIFIKAT BerAKHLAK")</f>
        <v>9716_SALASIAH YAHYA, S.Sos _ SERTIFIKAT BerAKHLAK</v>
      </c>
      <c r="P9717" s="5" t="s">
        <v>59914</v>
      </c>
    </row>
    <row r="9718">
      <c r="A9718" s="4">
        <v>45534.4765447338</v>
      </c>
      <c r="B9718" s="5" t="s">
        <v>34</v>
      </c>
      <c r="D9718" s="5" t="s">
        <v>10297</v>
      </c>
      <c r="E9718" s="5" t="s">
        <v>58017</v>
      </c>
      <c r="F9718" s="5" t="s">
        <v>524</v>
      </c>
      <c r="G9718" s="5" t="s">
        <v>59929</v>
      </c>
      <c r="H9718" s="6" t="s">
        <v>59930</v>
      </c>
      <c r="K9718" s="5" t="s">
        <v>59886</v>
      </c>
      <c r="M9718" s="5" t="s">
        <v>59931</v>
      </c>
      <c r="N9718" s="7" t="s">
        <v>59932</v>
      </c>
      <c r="O9718" s="8" t="str">
        <f>HYPERLINK("https://drive.google.com/file/d/15y3eKyT6MCXvG7eSvAv6hQYJSCBjr0ph/view?usp=drivesdk","9717_ESSI SANTIDJA _ SERTIFIKAT BerAKHLAK")</f>
        <v>9717_ESSI SANTIDJA _ SERTIFIKAT BerAKHLAK</v>
      </c>
      <c r="P9718" s="5" t="s">
        <v>59933</v>
      </c>
    </row>
    <row r="9719">
      <c r="A9719" s="4">
        <v>45534.47701123843</v>
      </c>
      <c r="B9719" s="5" t="s">
        <v>34</v>
      </c>
      <c r="D9719" s="5" t="s">
        <v>7858</v>
      </c>
      <c r="E9719" s="5" t="s">
        <v>59934</v>
      </c>
      <c r="F9719" s="5" t="s">
        <v>37</v>
      </c>
      <c r="G9719" s="5" t="s">
        <v>59935</v>
      </c>
      <c r="H9719" s="6" t="s">
        <v>59936</v>
      </c>
      <c r="K9719" s="5" t="s">
        <v>59937</v>
      </c>
      <c r="M9719" s="5" t="s">
        <v>59938</v>
      </c>
      <c r="N9719" s="7" t="s">
        <v>59939</v>
      </c>
      <c r="O9719" s="8" t="str">
        <f>HYPERLINK("https://drive.google.com/file/d/1T8KUxFA47qL7KPDI05iwKJg5NP1gruXW/view?usp=drivesdk","9718_ARI RIZKIAH  _ SERTIFIKAT BerAKHLAK")</f>
        <v>9718_ARI RIZKIAH  _ SERTIFIKAT BerAKHLAK</v>
      </c>
      <c r="P9719" s="5" t="s">
        <v>59933</v>
      </c>
    </row>
    <row r="9720" hidden="1">
      <c r="A9720" s="4">
        <v>45534.47711744213</v>
      </c>
      <c r="B9720" s="5" t="s">
        <v>19</v>
      </c>
      <c r="C9720" s="5" t="s">
        <v>442</v>
      </c>
      <c r="E9720" s="5" t="s">
        <v>59940</v>
      </c>
      <c r="F9720" s="5" t="s">
        <v>72</v>
      </c>
      <c r="G9720" s="5" t="s">
        <v>59941</v>
      </c>
      <c r="H9720" s="6" t="s">
        <v>59942</v>
      </c>
      <c r="K9720" s="5" t="s">
        <v>59943</v>
      </c>
      <c r="M9720" s="5" t="s">
        <v>59944</v>
      </c>
      <c r="N9720" s="7" t="s">
        <v>59945</v>
      </c>
      <c r="O9720" s="8" t="str">
        <f>HYPERLINK("https://drive.google.com/file/d/1fDRa22L-sjHTvcCEbJsPx38IdHC8h1q7/view?usp=drivesdk","9719_NONO APRIANTO _ SERTIFIKAT BerAKHLAK")</f>
        <v>9719_NONO APRIANTO _ SERTIFIKAT BerAKHLAK</v>
      </c>
      <c r="P9720" s="5" t="s">
        <v>59933</v>
      </c>
    </row>
    <row r="9721">
      <c r="A9721" s="4">
        <v>45534.47723675926</v>
      </c>
      <c r="B9721" s="5" t="s">
        <v>34</v>
      </c>
      <c r="D9721" s="5" t="s">
        <v>11527</v>
      </c>
      <c r="E9721" s="5" t="s">
        <v>59946</v>
      </c>
      <c r="F9721" s="5" t="s">
        <v>72</v>
      </c>
      <c r="G9721" s="5" t="s">
        <v>59947</v>
      </c>
      <c r="H9721" s="6" t="s">
        <v>59948</v>
      </c>
      <c r="K9721" s="5" t="s">
        <v>59949</v>
      </c>
      <c r="M9721" s="5" t="s">
        <v>59950</v>
      </c>
      <c r="N9721" s="7" t="s">
        <v>59951</v>
      </c>
      <c r="O9721" s="8" t="str">
        <f>HYPERLINK("https://drive.google.com/file/d/1mw770XLT01P-bPuRXIxMHYxc-hWXsRUe/view?usp=drivesdk","9720_NS ADRIANI WUISAN, S.KEP _ SERTIFIKAT BerAKHLAK")</f>
        <v>9720_NS ADRIANI WUISAN, S.KEP _ SERTIFIKAT BerAKHLAK</v>
      </c>
      <c r="P9721" s="5" t="s">
        <v>59933</v>
      </c>
    </row>
    <row r="9722">
      <c r="A9722" s="4">
        <v>45534.47731099537</v>
      </c>
      <c r="B9722" s="5" t="s">
        <v>34</v>
      </c>
      <c r="D9722" s="5" t="s">
        <v>9020</v>
      </c>
      <c r="E9722" s="5" t="s">
        <v>59952</v>
      </c>
      <c r="F9722" s="5" t="s">
        <v>72</v>
      </c>
      <c r="G9722" s="5" t="s">
        <v>59953</v>
      </c>
      <c r="H9722" s="6" t="s">
        <v>59954</v>
      </c>
      <c r="K9722" s="5" t="s">
        <v>59955</v>
      </c>
      <c r="M9722" s="5" t="s">
        <v>59956</v>
      </c>
      <c r="N9722" s="7" t="s">
        <v>59957</v>
      </c>
      <c r="O9722" s="8" t="str">
        <f>HYPERLINK("https://drive.google.com/file/d/1-xpPMOpkA_6MKRJI2C1gxEu9JrFC2ErF/view?usp=drivesdk","9721_EFIE FRANSINA OTAY _ SERTIFIKAT BerAKHLAK")</f>
        <v>9721_EFIE FRANSINA OTAY _ SERTIFIKAT BerAKHLAK</v>
      </c>
      <c r="P9722" s="5" t="s">
        <v>59958</v>
      </c>
    </row>
    <row r="9723">
      <c r="A9723" s="4">
        <v>45534.47733068287</v>
      </c>
      <c r="B9723" s="5" t="s">
        <v>34</v>
      </c>
      <c r="D9723" s="5" t="s">
        <v>11527</v>
      </c>
      <c r="E9723" s="5" t="s">
        <v>59959</v>
      </c>
      <c r="F9723" s="5" t="s">
        <v>37</v>
      </c>
      <c r="G9723" s="5" t="s">
        <v>59960</v>
      </c>
      <c r="H9723" s="6" t="s">
        <v>59961</v>
      </c>
      <c r="K9723" s="5" t="s">
        <v>59955</v>
      </c>
      <c r="M9723" s="5" t="s">
        <v>59962</v>
      </c>
      <c r="N9723" s="7" t="s">
        <v>59963</v>
      </c>
      <c r="O9723" s="8" t="str">
        <f>HYPERLINK("https://drive.google.com/file/d/1pSEOTDP38lhIE35FkgGvdzipmZErVXUp/view?usp=drivesdk","9722_RINA SUKARTI TAMARARIHA _ SERTIFIKAT BerAKHLAK")</f>
        <v>9722_RINA SUKARTI TAMARARIHA _ SERTIFIKAT BerAKHLAK</v>
      </c>
      <c r="P9723" s="5" t="s">
        <v>59958</v>
      </c>
    </row>
    <row r="9724">
      <c r="A9724" s="4">
        <v>45534.47748151621</v>
      </c>
      <c r="B9724" s="5" t="s">
        <v>34</v>
      </c>
      <c r="D9724" s="5" t="s">
        <v>14313</v>
      </c>
      <c r="E9724" s="5" t="s">
        <v>59964</v>
      </c>
      <c r="F9724" s="5" t="s">
        <v>212</v>
      </c>
      <c r="G9724" s="5" t="s">
        <v>59965</v>
      </c>
      <c r="H9724" s="6" t="s">
        <v>59966</v>
      </c>
      <c r="K9724" s="5" t="s">
        <v>59967</v>
      </c>
      <c r="M9724" s="5" t="s">
        <v>59968</v>
      </c>
      <c r="N9724" s="7" t="s">
        <v>59969</v>
      </c>
      <c r="O9724" s="8" t="str">
        <f>HYPERLINK("https://drive.google.com/file/d/1RsjZ9TqqL_SHB8GNCvKLJe66YPwWRQLv/view?usp=drivesdk","9723_JOHARIA, S E _ SERTIFIKAT BerAKHLAK")</f>
        <v>9723_JOHARIA, S E _ SERTIFIKAT BerAKHLAK</v>
      </c>
      <c r="P9724" s="5" t="s">
        <v>59958</v>
      </c>
    </row>
    <row r="9725" hidden="1">
      <c r="A9725" s="4">
        <v>45534.47763959491</v>
      </c>
      <c r="B9725" s="5" t="s">
        <v>19</v>
      </c>
      <c r="C9725" s="5" t="s">
        <v>292</v>
      </c>
      <c r="E9725" s="5" t="s">
        <v>59970</v>
      </c>
      <c r="F9725" s="5" t="s">
        <v>37</v>
      </c>
      <c r="G9725" s="5" t="s">
        <v>59971</v>
      </c>
      <c r="H9725" s="6" t="s">
        <v>59972</v>
      </c>
      <c r="K9725" s="5" t="s">
        <v>59967</v>
      </c>
      <c r="M9725" s="5" t="s">
        <v>59973</v>
      </c>
      <c r="N9725" s="7" t="s">
        <v>59974</v>
      </c>
      <c r="O9725" s="8" t="str">
        <f>HYPERLINK("https://drive.google.com/file/d/1QUgpDZxn6SGJkP5gS5Aou5fnlAz1r3DR/view?usp=drivesdk","9724_YOVIE SISCHASARI _ SERTIFIKAT BerAKHLAK")</f>
        <v>9724_YOVIE SISCHASARI _ SERTIFIKAT BerAKHLAK</v>
      </c>
      <c r="P9725" s="5" t="s">
        <v>59958</v>
      </c>
    </row>
    <row r="9726" hidden="1">
      <c r="A9726" s="4">
        <v>45534.47784965277</v>
      </c>
      <c r="B9726" s="5" t="s">
        <v>19</v>
      </c>
      <c r="C9726" s="5" t="s">
        <v>3301</v>
      </c>
      <c r="E9726" s="5" t="s">
        <v>59975</v>
      </c>
      <c r="F9726" s="5" t="s">
        <v>72</v>
      </c>
      <c r="G9726" s="5" t="s">
        <v>59976</v>
      </c>
      <c r="H9726" s="6" t="s">
        <v>59977</v>
      </c>
      <c r="K9726" s="5" t="s">
        <v>59978</v>
      </c>
      <c r="M9726" s="5" t="s">
        <v>59979</v>
      </c>
      <c r="N9726" s="7" t="s">
        <v>59980</v>
      </c>
      <c r="O9726" s="8" t="str">
        <f>HYPERLINK("https://drive.google.com/file/d/1_FPYf6XJB4keJbOPsgRZp91VbMbq2hAO/view?usp=drivesdk","9725_SRI SULISTIYOWATI _ SERTIFIKAT BerAKHLAK")</f>
        <v>9725_SRI SULISTIYOWATI _ SERTIFIKAT BerAKHLAK</v>
      </c>
      <c r="P9726" s="5" t="s">
        <v>59981</v>
      </c>
    </row>
    <row r="9727">
      <c r="A9727" s="4">
        <v>45534.47785186343</v>
      </c>
      <c r="B9727" s="5" t="s">
        <v>34</v>
      </c>
      <c r="D9727" s="5" t="s">
        <v>1206</v>
      </c>
      <c r="E9727" s="5" t="s">
        <v>59982</v>
      </c>
      <c r="F9727" s="5" t="s">
        <v>212</v>
      </c>
      <c r="G9727" s="5" t="s">
        <v>59983</v>
      </c>
      <c r="H9727" s="6" t="s">
        <v>59984</v>
      </c>
      <c r="K9727" s="5" t="s">
        <v>59978</v>
      </c>
      <c r="M9727" s="5" t="s">
        <v>59985</v>
      </c>
      <c r="N9727" s="7" t="s">
        <v>59986</v>
      </c>
      <c r="O9727" s="8" t="str">
        <f>HYPERLINK("https://drive.google.com/file/d/1pDhqwm9bYPggW1Y7MI5ciUr4qsNojsyC/view?usp=drivesdk","9726_SRI WAHYUNI, S.Sos. _ SERTIFIKAT BerAKHLAK")</f>
        <v>9726_SRI WAHYUNI, S.Sos. _ SERTIFIKAT BerAKHLAK</v>
      </c>
      <c r="P9727" s="5" t="s">
        <v>59981</v>
      </c>
    </row>
    <row r="9728">
      <c r="A9728" s="4">
        <v>45534.47796773148</v>
      </c>
      <c r="B9728" s="5" t="s">
        <v>34</v>
      </c>
      <c r="D9728" s="5" t="s">
        <v>14313</v>
      </c>
      <c r="E9728" s="5" t="s">
        <v>59987</v>
      </c>
      <c r="F9728" s="5" t="s">
        <v>375</v>
      </c>
      <c r="G9728" s="5" t="s">
        <v>59988</v>
      </c>
      <c r="H9728" s="6" t="s">
        <v>59989</v>
      </c>
      <c r="K9728" s="5" t="s">
        <v>59990</v>
      </c>
      <c r="M9728" s="5" t="s">
        <v>59991</v>
      </c>
      <c r="N9728" s="7" t="s">
        <v>59992</v>
      </c>
      <c r="O9728" s="8" t="str">
        <f>HYPERLINK("https://drive.google.com/file/d/1HKHkkSWsF4P4-XNzBMTXTz4hUCGzkwcI/view?usp=drivesdk","9727_RASNI BASRI SST. SKM.MKES _ SERTIFIKAT BerAKHLAK")</f>
        <v>9727_RASNI BASRI SST. SKM.MKES _ SERTIFIKAT BerAKHLAK</v>
      </c>
      <c r="P9728" s="5" t="s">
        <v>59993</v>
      </c>
    </row>
    <row r="9729" hidden="1">
      <c r="A9729" s="4">
        <v>45534.47797251157</v>
      </c>
      <c r="B9729" s="5" t="s">
        <v>19</v>
      </c>
      <c r="C9729" s="5" t="s">
        <v>3301</v>
      </c>
      <c r="E9729" s="5" t="s">
        <v>59994</v>
      </c>
      <c r="F9729" s="5" t="s">
        <v>108</v>
      </c>
      <c r="G9729" s="5" t="s">
        <v>59995</v>
      </c>
      <c r="H9729" s="6" t="s">
        <v>59996</v>
      </c>
      <c r="K9729" s="5" t="s">
        <v>59990</v>
      </c>
      <c r="M9729" s="5" t="s">
        <v>59997</v>
      </c>
      <c r="N9729" s="7" t="s">
        <v>59998</v>
      </c>
      <c r="O9729" s="8" t="str">
        <f>HYPERLINK("https://drive.google.com/file/d/1ErjPoKlPSIpfanmShnW7EYyxl-wnyrzy/view?usp=drivesdk","9728_ANI FITASARI SUHARYATI  _ SERTIFIKAT BerAKHLAK")</f>
        <v>9728_ANI FITASARI SUHARYATI  _ SERTIFIKAT BerAKHLAK</v>
      </c>
      <c r="P9729" s="5" t="s">
        <v>59999</v>
      </c>
    </row>
    <row r="9730">
      <c r="A9730" s="4">
        <v>45534.47799479167</v>
      </c>
      <c r="B9730" s="5" t="s">
        <v>34</v>
      </c>
      <c r="D9730" s="5" t="s">
        <v>1206</v>
      </c>
      <c r="E9730" s="5" t="s">
        <v>60000</v>
      </c>
      <c r="F9730" s="5" t="s">
        <v>212</v>
      </c>
      <c r="G9730" s="5" t="s">
        <v>60001</v>
      </c>
      <c r="H9730" s="6" t="s">
        <v>60002</v>
      </c>
      <c r="K9730" s="5" t="s">
        <v>59990</v>
      </c>
      <c r="M9730" s="5" t="s">
        <v>60003</v>
      </c>
      <c r="N9730" s="7" t="s">
        <v>60004</v>
      </c>
      <c r="O9730" s="8" t="str">
        <f>HYPERLINK("https://drive.google.com/file/d/1SM7uh1XNi0u3Xzl4QhVLXGG8lhozzvch/view?usp=drivesdk","9729_BEBIKA ZULKARNAEN  _ SERTIFIKAT BerAKHLAK")</f>
        <v>9729_BEBIKA ZULKARNAEN  _ SERTIFIKAT BerAKHLAK</v>
      </c>
      <c r="P9730" s="5" t="s">
        <v>60005</v>
      </c>
    </row>
    <row r="9731" hidden="1">
      <c r="A9731" s="4">
        <v>45534.478228391206</v>
      </c>
      <c r="B9731" s="5" t="s">
        <v>19</v>
      </c>
      <c r="C9731" s="5" t="s">
        <v>442</v>
      </c>
      <c r="E9731" s="5" t="s">
        <v>60006</v>
      </c>
      <c r="F9731" s="5" t="s">
        <v>375</v>
      </c>
      <c r="G9731" s="5" t="s">
        <v>60007</v>
      </c>
      <c r="H9731" s="6" t="s">
        <v>60008</v>
      </c>
      <c r="K9731" s="5" t="s">
        <v>60009</v>
      </c>
      <c r="M9731" s="5" t="s">
        <v>60010</v>
      </c>
      <c r="N9731" s="7" t="s">
        <v>60011</v>
      </c>
      <c r="O9731" s="8" t="str">
        <f>HYPERLINK("https://drive.google.com/file/d/1Bx0ohRzODZtHWbwPlaqNWlSoPf_uyXjP/view?usp=drivesdk","9730_AFANDI S.KOM _ SERTIFIKAT BerAKHLAK")</f>
        <v>9730_AFANDI S.KOM _ SERTIFIKAT BerAKHLAK</v>
      </c>
      <c r="P9731" s="5" t="s">
        <v>60012</v>
      </c>
    </row>
    <row r="9732">
      <c r="A9732" s="4">
        <v>45534.478325625</v>
      </c>
      <c r="B9732" s="5" t="s">
        <v>34</v>
      </c>
      <c r="D9732" s="5" t="s">
        <v>4775</v>
      </c>
      <c r="E9732" s="5" t="s">
        <v>60013</v>
      </c>
      <c r="F9732" s="5" t="s">
        <v>212</v>
      </c>
      <c r="G9732" s="5" t="s">
        <v>60014</v>
      </c>
      <c r="H9732" s="6" t="s">
        <v>60015</v>
      </c>
      <c r="K9732" s="5" t="s">
        <v>60016</v>
      </c>
      <c r="M9732" s="5" t="s">
        <v>60017</v>
      </c>
      <c r="N9732" s="7" t="s">
        <v>60018</v>
      </c>
      <c r="O9732" s="8" t="str">
        <f>HYPERLINK("https://drive.google.com/file/d/1Nl7ZG40uyKHf5j6cDAc3m3tdl1N8IkfB/view?usp=drivesdk","9731_FANY FRISTIKA VERA, A.Md.Kep _ SERTIFIKAT BerAKHLAK")</f>
        <v>9731_FANY FRISTIKA VERA, A.Md.Kep _ SERTIFIKAT BerAKHLAK</v>
      </c>
      <c r="P9732" s="5" t="s">
        <v>60019</v>
      </c>
    </row>
    <row r="9733">
      <c r="A9733" s="4">
        <v>45534.478395983795</v>
      </c>
      <c r="B9733" s="5" t="s">
        <v>34</v>
      </c>
      <c r="D9733" s="5" t="s">
        <v>6232</v>
      </c>
      <c r="E9733" s="5" t="s">
        <v>60020</v>
      </c>
      <c r="F9733" s="5" t="s">
        <v>212</v>
      </c>
      <c r="G9733" s="5" t="s">
        <v>60021</v>
      </c>
      <c r="H9733" s="6" t="s">
        <v>60022</v>
      </c>
      <c r="K9733" s="5" t="s">
        <v>60023</v>
      </c>
      <c r="M9733" s="5" t="s">
        <v>60024</v>
      </c>
      <c r="N9733" s="7" t="s">
        <v>60025</v>
      </c>
      <c r="O9733" s="8" t="str">
        <f>HYPERLINK("https://drive.google.com/file/d/1b6NwIq2jfLdVukWwe7iRxDWhQIthSKTK/view?usp=drivesdk","9732_SYAMSUAR  _ SERTIFIKAT BerAKHLAK")</f>
        <v>9732_SYAMSUAR  _ SERTIFIKAT BerAKHLAK</v>
      </c>
      <c r="P9733" s="5" t="s">
        <v>60026</v>
      </c>
    </row>
    <row r="9734" hidden="1">
      <c r="A9734" s="4">
        <v>45534.47840260417</v>
      </c>
      <c r="B9734" s="5" t="s">
        <v>19</v>
      </c>
      <c r="C9734" s="5" t="s">
        <v>292</v>
      </c>
      <c r="E9734" s="5" t="s">
        <v>60027</v>
      </c>
      <c r="F9734" s="5" t="s">
        <v>37</v>
      </c>
      <c r="G9734" s="5" t="s">
        <v>60028</v>
      </c>
      <c r="H9734" s="6" t="s">
        <v>60029</v>
      </c>
      <c r="K9734" s="5" t="s">
        <v>60023</v>
      </c>
      <c r="M9734" s="5" t="s">
        <v>60030</v>
      </c>
      <c r="N9734" s="7" t="s">
        <v>60031</v>
      </c>
      <c r="O9734" s="8" t="str">
        <f>HYPERLINK("https://drive.google.com/file/d/1REfzFlWYLaOUWyFfrHhAcIG85FePkOVi/view?usp=drivesdk","9733_SYARIFUDIN ABDILLAH, A.Md. TEM. _ SERTIFIKAT BerAKHLAK")</f>
        <v>9733_SYARIFUDIN ABDILLAH, A.Md. TEM. _ SERTIFIKAT BerAKHLAK</v>
      </c>
      <c r="P9734" s="5" t="s">
        <v>60032</v>
      </c>
    </row>
    <row r="9735" hidden="1">
      <c r="A9735" s="4">
        <v>45534.47859475695</v>
      </c>
      <c r="B9735" s="5" t="s">
        <v>19</v>
      </c>
      <c r="C9735" s="5" t="s">
        <v>466</v>
      </c>
      <c r="E9735" s="5" t="s">
        <v>60033</v>
      </c>
      <c r="F9735" s="5" t="s">
        <v>375</v>
      </c>
      <c r="G9735" s="5" t="s">
        <v>60034</v>
      </c>
      <c r="H9735" s="6" t="s">
        <v>60035</v>
      </c>
      <c r="K9735" s="5" t="s">
        <v>60036</v>
      </c>
      <c r="M9735" s="5" t="s">
        <v>60037</v>
      </c>
      <c r="N9735" s="7" t="s">
        <v>60038</v>
      </c>
      <c r="O9735" s="8" t="str">
        <f>HYPERLINK("https://drive.google.com/file/d/1vDn-hlpNfZZHkuuzJf5t8N7Nuz0_kTYu/view?usp=drivesdk","9734_PAULUS RENARDI SITORUS, S.E. _ SERTIFIKAT BerAKHLAK")</f>
        <v>9734_PAULUS RENARDI SITORUS, S.E. _ SERTIFIKAT BerAKHLAK</v>
      </c>
      <c r="P9735" s="5" t="s">
        <v>60039</v>
      </c>
    </row>
    <row r="9736">
      <c r="A9736" s="4">
        <v>45534.47864393519</v>
      </c>
      <c r="B9736" s="5" t="s">
        <v>34</v>
      </c>
      <c r="D9736" s="5" t="s">
        <v>9020</v>
      </c>
      <c r="E9736" s="5" t="s">
        <v>60040</v>
      </c>
      <c r="F9736" s="5" t="s">
        <v>212</v>
      </c>
      <c r="G9736" s="5" t="s">
        <v>60041</v>
      </c>
      <c r="H9736" s="6" t="s">
        <v>60042</v>
      </c>
      <c r="K9736" s="5" t="s">
        <v>60036</v>
      </c>
      <c r="M9736" s="5" t="s">
        <v>60043</v>
      </c>
      <c r="N9736" s="7" t="s">
        <v>60044</v>
      </c>
      <c r="O9736" s="8" t="str">
        <f>HYPERLINK("https://drive.google.com/file/d/1RBV6dMkITdJMN-fYCzPsl7mwnESTKBoQ/view?usp=drivesdk","9735_DESMIWATI _ SERTIFIKAT BerAKHLAK")</f>
        <v>9735_DESMIWATI _ SERTIFIKAT BerAKHLAK</v>
      </c>
      <c r="P9736" s="5" t="s">
        <v>60045</v>
      </c>
    </row>
    <row r="9737">
      <c r="A9737" s="4">
        <v>45534.47872032407</v>
      </c>
      <c r="B9737" s="5" t="s">
        <v>34</v>
      </c>
      <c r="D9737" s="5" t="s">
        <v>14313</v>
      </c>
      <c r="E9737" s="5" t="s">
        <v>60046</v>
      </c>
      <c r="F9737" s="5" t="s">
        <v>72</v>
      </c>
      <c r="G9737" s="5" t="s">
        <v>60047</v>
      </c>
      <c r="H9737" s="6" t="s">
        <v>60048</v>
      </c>
      <c r="K9737" s="5" t="s">
        <v>60049</v>
      </c>
      <c r="M9737" s="5" t="s">
        <v>60050</v>
      </c>
      <c r="N9737" s="7" t="s">
        <v>60051</v>
      </c>
      <c r="O9737" s="8" t="str">
        <f>HYPERLINK("https://drive.google.com/file/d/1Pg5zUcIC-HeGL1LqS3YCaDExRIVe6KhA/view?usp=drivesdk","9736_SYAHRIA.L SKM _ SERTIFIKAT BerAKHLAK")</f>
        <v>9736_SYAHRIA.L SKM _ SERTIFIKAT BerAKHLAK</v>
      </c>
      <c r="P9737" s="5" t="s">
        <v>60052</v>
      </c>
    </row>
    <row r="9738">
      <c r="A9738" s="4">
        <v>45534.478767685185</v>
      </c>
      <c r="B9738" s="5" t="s">
        <v>34</v>
      </c>
      <c r="D9738" s="5" t="s">
        <v>14313</v>
      </c>
      <c r="E9738" s="5" t="s">
        <v>60053</v>
      </c>
      <c r="F9738" s="5" t="s">
        <v>524</v>
      </c>
      <c r="G9738" s="5" t="s">
        <v>60054</v>
      </c>
      <c r="H9738" s="6" t="s">
        <v>60055</v>
      </c>
      <c r="K9738" s="5" t="s">
        <v>60056</v>
      </c>
      <c r="M9738" s="5" t="s">
        <v>60057</v>
      </c>
      <c r="N9738" s="7" t="s">
        <v>60058</v>
      </c>
      <c r="O9738" s="8" t="str">
        <f>HYPERLINK("https://drive.google.com/file/d/1uRqwztma2UEhxGHlzMS0cFEjxKKCeuU2/view?usp=drivesdk","9737_PATAHUDDIN,S.Kep,NS _ SERTIFIKAT BerAKHLAK")</f>
        <v>9737_PATAHUDDIN,S.Kep,NS _ SERTIFIKAT BerAKHLAK</v>
      </c>
      <c r="P9738" s="5" t="s">
        <v>60059</v>
      </c>
    </row>
    <row r="9739">
      <c r="A9739" s="4">
        <v>45534.47877627314</v>
      </c>
      <c r="B9739" s="5" t="s">
        <v>34</v>
      </c>
      <c r="D9739" s="5" t="s">
        <v>9020</v>
      </c>
      <c r="E9739" s="5" t="s">
        <v>60060</v>
      </c>
      <c r="F9739" s="5" t="s">
        <v>37</v>
      </c>
      <c r="G9739" s="5" t="s">
        <v>60061</v>
      </c>
      <c r="H9739" s="6" t="s">
        <v>60062</v>
      </c>
      <c r="K9739" s="5" t="s">
        <v>60056</v>
      </c>
      <c r="M9739" s="5" t="s">
        <v>60063</v>
      </c>
      <c r="N9739" s="7" t="s">
        <v>60064</v>
      </c>
      <c r="O9739" s="8" t="str">
        <f>HYPERLINK("https://drive.google.com/file/d/1nC7kRnLL6Hzbh6b4Y0S1K0xHV3IjBdJn/view?usp=drivesdk","9738_ADI GUNAWAN _ SERTIFIKAT BerAKHLAK")</f>
        <v>9738_ADI GUNAWAN _ SERTIFIKAT BerAKHLAK</v>
      </c>
      <c r="P9739" s="5" t="s">
        <v>60065</v>
      </c>
    </row>
    <row r="9740">
      <c r="A9740" s="4">
        <v>45534.47899956019</v>
      </c>
      <c r="B9740" s="5" t="s">
        <v>34</v>
      </c>
      <c r="D9740" s="5" t="s">
        <v>9020</v>
      </c>
      <c r="E9740" s="5" t="s">
        <v>60066</v>
      </c>
      <c r="F9740" s="5" t="s">
        <v>212</v>
      </c>
      <c r="G9740" s="5" t="s">
        <v>60067</v>
      </c>
      <c r="H9740" s="6" t="s">
        <v>60068</v>
      </c>
      <c r="K9740" s="5" t="s">
        <v>60056</v>
      </c>
      <c r="M9740" s="5" t="s">
        <v>60069</v>
      </c>
      <c r="N9740" s="7" t="s">
        <v>60070</v>
      </c>
      <c r="O9740" s="8" t="str">
        <f>HYPERLINK("https://drive.google.com/file/d/1p7TTGJojjIFJLBF-8Oa1IhGSsPW5B2cx/view?usp=drivesdk","9739_JOHANNES SIHALOHO _ SERTIFIKAT BerAKHLAK")</f>
        <v>9739_JOHANNES SIHALOHO _ SERTIFIKAT BerAKHLAK</v>
      </c>
      <c r="P9740" s="5" t="s">
        <v>60071</v>
      </c>
    </row>
    <row r="9741" hidden="1">
      <c r="A9741" s="4">
        <v>45534.47903059028</v>
      </c>
      <c r="B9741" s="5" t="s">
        <v>19</v>
      </c>
      <c r="C9741" s="5" t="s">
        <v>292</v>
      </c>
      <c r="E9741" s="5" t="s">
        <v>60072</v>
      </c>
      <c r="F9741" s="5" t="s">
        <v>212</v>
      </c>
      <c r="G9741" s="5" t="s">
        <v>60073</v>
      </c>
      <c r="H9741" s="6" t="s">
        <v>60074</v>
      </c>
      <c r="K9741" s="5" t="s">
        <v>60056</v>
      </c>
      <c r="M9741" s="5" t="s">
        <v>60075</v>
      </c>
      <c r="N9741" s="7" t="s">
        <v>60076</v>
      </c>
      <c r="O9741" s="8" t="str">
        <f>HYPERLINK("https://drive.google.com/file/d/19zRcDwN0ydaznY5B7m9ZYENmhTIR4VvF/view?usp=drivesdk","9740_YULI KISTIYANI _ SERTIFIKAT BerAKHLAK")</f>
        <v>9740_YULI KISTIYANI _ SERTIFIKAT BerAKHLAK</v>
      </c>
      <c r="P9741" s="5" t="s">
        <v>60077</v>
      </c>
    </row>
    <row r="9742">
      <c r="A9742" s="4">
        <v>45534.47907909722</v>
      </c>
      <c r="B9742" s="5" t="s">
        <v>34</v>
      </c>
      <c r="D9742" s="5" t="s">
        <v>1206</v>
      </c>
      <c r="E9742" s="5" t="s">
        <v>14568</v>
      </c>
      <c r="F9742" s="5" t="s">
        <v>5859</v>
      </c>
      <c r="G9742" s="5" t="s">
        <v>60078</v>
      </c>
      <c r="H9742" s="6" t="s">
        <v>60079</v>
      </c>
      <c r="K9742" s="5" t="s">
        <v>60080</v>
      </c>
      <c r="M9742" s="5" t="s">
        <v>60081</v>
      </c>
      <c r="N9742" s="7" t="s">
        <v>60082</v>
      </c>
      <c r="O9742" s="8" t="str">
        <f>HYPERLINK("https://drive.google.com/file/d/146LCQcrtciQnqp69wzq8q57Rh-cXeczV/view?usp=drivesdk","9741_SUHARTINI _ SERTIFIKAT BerAKHLAK")</f>
        <v>9741_SUHARTINI _ SERTIFIKAT BerAKHLAK</v>
      </c>
      <c r="P9742" s="5" t="s">
        <v>60083</v>
      </c>
    </row>
    <row r="9743">
      <c r="A9743" s="4">
        <v>45534.479180532406</v>
      </c>
      <c r="B9743" s="5" t="s">
        <v>34</v>
      </c>
      <c r="D9743" s="5" t="s">
        <v>9020</v>
      </c>
      <c r="E9743" s="5" t="s">
        <v>60084</v>
      </c>
      <c r="F9743" s="5" t="s">
        <v>37</v>
      </c>
      <c r="G9743" s="5" t="s">
        <v>60085</v>
      </c>
      <c r="H9743" s="6" t="s">
        <v>60086</v>
      </c>
      <c r="K9743" s="5" t="s">
        <v>60087</v>
      </c>
      <c r="M9743" s="5" t="s">
        <v>60088</v>
      </c>
      <c r="N9743" s="7" t="s">
        <v>60089</v>
      </c>
      <c r="O9743" s="8" t="str">
        <f>HYPERLINK("https://drive.google.com/file/d/1L-lvidxZMdyzo520z-CGAAY66lqoBiZE/view?usp=drivesdk","9742_SULASTRI MANULLANG _ SERTIFIKAT BerAKHLAK")</f>
        <v>9742_SULASTRI MANULLANG _ SERTIFIKAT BerAKHLAK</v>
      </c>
      <c r="P9743" s="5" t="s">
        <v>59512</v>
      </c>
    </row>
    <row r="9744" hidden="1">
      <c r="A9744" s="4">
        <v>45534.479324155094</v>
      </c>
      <c r="B9744" s="5" t="s">
        <v>19</v>
      </c>
      <c r="C9744" s="5" t="s">
        <v>3301</v>
      </c>
      <c r="E9744" s="5" t="s">
        <v>60090</v>
      </c>
      <c r="F9744" s="5" t="s">
        <v>108</v>
      </c>
      <c r="G9744" s="5" t="s">
        <v>60091</v>
      </c>
      <c r="H9744" s="6" t="s">
        <v>60092</v>
      </c>
      <c r="K9744" s="5" t="s">
        <v>60093</v>
      </c>
      <c r="M9744" s="5" t="s">
        <v>60094</v>
      </c>
      <c r="N9744" s="7" t="s">
        <v>60095</v>
      </c>
      <c r="O9744" s="8" t="str">
        <f>HYPERLINK("https://drive.google.com/file/d/1mdxSgAF-YVi8wwre3WeS9O2FtZONQAs0/view?usp=drivesdk","9743_WIWI ANGGRAENI _ SERTIFIKAT BerAKHLAK")</f>
        <v>9743_WIWI ANGGRAENI _ SERTIFIKAT BerAKHLAK</v>
      </c>
      <c r="P9744" s="5" t="s">
        <v>59512</v>
      </c>
    </row>
    <row r="9745">
      <c r="A9745" s="4">
        <v>45534.479478078705</v>
      </c>
      <c r="B9745" s="5" t="s">
        <v>34</v>
      </c>
      <c r="D9745" s="5" t="s">
        <v>3849</v>
      </c>
      <c r="E9745" s="5" t="s">
        <v>60096</v>
      </c>
      <c r="F9745" s="5" t="s">
        <v>108</v>
      </c>
      <c r="G9745" s="5" t="s">
        <v>60097</v>
      </c>
      <c r="H9745" s="6" t="s">
        <v>60098</v>
      </c>
      <c r="K9745" s="5" t="s">
        <v>60093</v>
      </c>
      <c r="M9745" s="5" t="s">
        <v>60099</v>
      </c>
      <c r="N9745" s="7" t="s">
        <v>60100</v>
      </c>
      <c r="O9745" s="8" t="str">
        <f>HYPERLINK("https://drive.google.com/file/d/18Mf_PKFM2jSnEjjpfXZAgUqVSjzRbOMs/view?usp=drivesdk","9744_ANDRORI MAYA GITA SARI _ SERTIFIKAT BerAKHLAK")</f>
        <v>9744_ANDRORI MAYA GITA SARI _ SERTIFIKAT BerAKHLAK</v>
      </c>
      <c r="P9745" s="5" t="s">
        <v>59512</v>
      </c>
    </row>
    <row r="9746" hidden="1">
      <c r="A9746" s="4">
        <v>45534.479588437505</v>
      </c>
      <c r="B9746" s="5" t="s">
        <v>19</v>
      </c>
      <c r="C9746" s="5" t="s">
        <v>292</v>
      </c>
      <c r="E9746" s="5" t="s">
        <v>60101</v>
      </c>
      <c r="F9746" s="5" t="s">
        <v>524</v>
      </c>
      <c r="G9746" s="5" t="s">
        <v>60102</v>
      </c>
      <c r="H9746" s="6" t="s">
        <v>60103</v>
      </c>
      <c r="K9746" s="5" t="s">
        <v>60104</v>
      </c>
      <c r="M9746" s="5" t="s">
        <v>60105</v>
      </c>
      <c r="N9746" s="7" t="s">
        <v>60106</v>
      </c>
      <c r="O9746" s="8" t="str">
        <f>HYPERLINK("https://drive.google.com/file/d/1SGM8u3QaZAtqvIY0PUZPAVVR_BRvPGtw/view?usp=drivesdk","9745_Al ICHMALA _ SERTIFIKAT BerAKHLAK")</f>
        <v>9745_Al ICHMALA _ SERTIFIKAT BerAKHLAK</v>
      </c>
      <c r="P9746" s="5" t="s">
        <v>59512</v>
      </c>
    </row>
    <row r="9747" hidden="1">
      <c r="A9747" s="4">
        <v>45534.47960050926</v>
      </c>
      <c r="B9747" s="5" t="s">
        <v>19</v>
      </c>
      <c r="C9747" s="5" t="s">
        <v>292</v>
      </c>
      <c r="E9747" s="5" t="s">
        <v>60107</v>
      </c>
      <c r="F9747" s="5" t="s">
        <v>212</v>
      </c>
      <c r="G9747" s="5" t="s">
        <v>60108</v>
      </c>
      <c r="H9747" s="6" t="s">
        <v>60109</v>
      </c>
      <c r="K9747" s="5" t="s">
        <v>60104</v>
      </c>
      <c r="M9747" s="5" t="s">
        <v>60110</v>
      </c>
      <c r="N9747" s="7" t="s">
        <v>60111</v>
      </c>
      <c r="O9747" s="8" t="str">
        <f>HYPERLINK("https://drive.google.com/file/d/1c5KLBWWD6jP-FoaJinxBC40z6McAwe2E/view?usp=drivesdk","9746_YODELA NURMALASARI, A.Md. Kep. _ SERTIFIKAT BerAKHLAK")</f>
        <v>9746_YODELA NURMALASARI, A.Md. Kep. _ SERTIFIKAT BerAKHLAK</v>
      </c>
      <c r="P9747" s="5" t="s">
        <v>59512</v>
      </c>
    </row>
    <row r="9748">
      <c r="A9748" s="4">
        <v>45534.479609629634</v>
      </c>
      <c r="B9748" s="5" t="s">
        <v>34</v>
      </c>
      <c r="D9748" s="5" t="s">
        <v>1206</v>
      </c>
      <c r="E9748" s="5" t="s">
        <v>59166</v>
      </c>
      <c r="F9748" s="5" t="s">
        <v>212</v>
      </c>
      <c r="G9748" s="5" t="s">
        <v>59167</v>
      </c>
      <c r="H9748" s="6" t="s">
        <v>60112</v>
      </c>
      <c r="K9748" s="5" t="s">
        <v>60104</v>
      </c>
      <c r="M9748" s="5" t="s">
        <v>60113</v>
      </c>
      <c r="N9748" s="7" t="s">
        <v>60114</v>
      </c>
      <c r="O9748" s="8" t="str">
        <f>HYPERLINK("https://drive.google.com/file/d/10ADheCU2QByFKF96vqkO3Y0szpS9-ij8/view?usp=drivesdk","9747_ENDRA BAYU _ SERTIFIKAT BerAKHLAK")</f>
        <v>9747_ENDRA BAYU _ SERTIFIKAT BerAKHLAK</v>
      </c>
      <c r="P9748" s="5" t="s">
        <v>59512</v>
      </c>
    </row>
    <row r="9749" hidden="1">
      <c r="A9749" s="4">
        <v>45534.47962479167</v>
      </c>
      <c r="B9749" s="5" t="s">
        <v>19</v>
      </c>
      <c r="C9749" s="5" t="s">
        <v>24076</v>
      </c>
      <c r="E9749" s="5" t="s">
        <v>60115</v>
      </c>
      <c r="F9749" s="5" t="s">
        <v>375</v>
      </c>
      <c r="G9749" s="5" t="s">
        <v>60116</v>
      </c>
      <c r="H9749" s="6" t="s">
        <v>60117</v>
      </c>
      <c r="K9749" s="5" t="s">
        <v>60104</v>
      </c>
      <c r="M9749" s="5" t="s">
        <v>60118</v>
      </c>
      <c r="N9749" s="7" t="s">
        <v>60119</v>
      </c>
      <c r="O9749" s="8" t="str">
        <f>HYPERLINK("https://drive.google.com/file/d/1Bt09jCpkl2vI8DAmiDmN6vaUS_HoEw1G/view?usp=drivesdk","9748_EFI KURNIAWATI, S.I.P., M.H _ SERTIFIKAT BerAKHLAK")</f>
        <v>9748_EFI KURNIAWATI, S.I.P., M.H _ SERTIFIKAT BerAKHLAK</v>
      </c>
      <c r="P9749" s="5" t="s">
        <v>59532</v>
      </c>
    </row>
    <row r="9750">
      <c r="A9750" s="4">
        <v>45534.479685451384</v>
      </c>
      <c r="B9750" s="5" t="s">
        <v>34</v>
      </c>
      <c r="D9750" s="5" t="s">
        <v>1206</v>
      </c>
      <c r="E9750" s="5" t="s">
        <v>60120</v>
      </c>
      <c r="F9750" s="5" t="s">
        <v>37</v>
      </c>
      <c r="G9750" s="5" t="s">
        <v>44183</v>
      </c>
      <c r="H9750" s="6" t="s">
        <v>60121</v>
      </c>
      <c r="K9750" s="5" t="s">
        <v>60104</v>
      </c>
      <c r="M9750" s="5" t="s">
        <v>60122</v>
      </c>
      <c r="N9750" s="7" t="s">
        <v>60123</v>
      </c>
      <c r="O9750" s="8" t="str">
        <f>HYPERLINK("https://drive.google.com/file/d/1oRY3b1NxGpqKLE80TrEN8vcMzVvermN7/view?usp=drivesdk","9749_WINDI MEISA ROSELLINI, Amd.Kom _ SERTIFIKAT BerAKHLAK")</f>
        <v>9749_WINDI MEISA ROSELLINI, Amd.Kom _ SERTIFIKAT BerAKHLAK</v>
      </c>
      <c r="P9750" s="5" t="s">
        <v>59532</v>
      </c>
    </row>
    <row r="9751">
      <c r="A9751" s="4">
        <v>45534.479799374996</v>
      </c>
      <c r="B9751" s="5" t="s">
        <v>34</v>
      </c>
      <c r="D9751" s="5" t="s">
        <v>1206</v>
      </c>
      <c r="E9751" s="5" t="s">
        <v>60124</v>
      </c>
      <c r="F9751" s="5" t="s">
        <v>37</v>
      </c>
      <c r="G9751" s="5" t="s">
        <v>60125</v>
      </c>
      <c r="H9751" s="6" t="s">
        <v>60126</v>
      </c>
      <c r="K9751" s="5" t="s">
        <v>60127</v>
      </c>
      <c r="M9751" s="5" t="s">
        <v>60128</v>
      </c>
      <c r="N9751" s="7" t="s">
        <v>60129</v>
      </c>
      <c r="O9751" s="8" t="str">
        <f>HYPERLINK("https://drive.google.com/file/d/1QNLILaLsM38RIFVFV1gnKd78kECiboLk/view?usp=drivesdk","9750_TIWI WULANDARI LUMATO _ SERTIFIKAT BerAKHLAK")</f>
        <v>9750_TIWI WULANDARI LUMATO _ SERTIFIKAT BerAKHLAK</v>
      </c>
      <c r="P9751" s="5" t="s">
        <v>59532</v>
      </c>
    </row>
    <row r="9752">
      <c r="A9752" s="4">
        <v>45534.47982403935</v>
      </c>
      <c r="B9752" s="5" t="s">
        <v>34</v>
      </c>
      <c r="D9752" s="5" t="s">
        <v>9020</v>
      </c>
      <c r="E9752" s="5" t="s">
        <v>60130</v>
      </c>
      <c r="F9752" s="5" t="s">
        <v>85</v>
      </c>
      <c r="G9752" s="5" t="s">
        <v>60131</v>
      </c>
      <c r="H9752" s="6" t="s">
        <v>60132</v>
      </c>
      <c r="K9752" s="5" t="s">
        <v>60133</v>
      </c>
      <c r="M9752" s="5" t="s">
        <v>60134</v>
      </c>
      <c r="N9752" s="7" t="s">
        <v>60135</v>
      </c>
      <c r="O9752" s="8" t="str">
        <f>HYPERLINK("https://drive.google.com/file/d/1GitWMZ65GdtkB_EowBXC96ng1fVokucW/view?usp=drivesdk","9751_GIAN BASKARA. S.H. _ SERTIFIKAT BerAKHLAK")</f>
        <v>9751_GIAN BASKARA. S.H. _ SERTIFIKAT BerAKHLAK</v>
      </c>
      <c r="P9752" s="5" t="s">
        <v>59532</v>
      </c>
    </row>
    <row r="9753">
      <c r="A9753" s="4">
        <v>45534.47996986111</v>
      </c>
      <c r="B9753" s="5" t="s">
        <v>34</v>
      </c>
      <c r="D9753" s="5" t="s">
        <v>12026</v>
      </c>
      <c r="E9753" s="5" t="s">
        <v>60136</v>
      </c>
      <c r="F9753" s="5" t="s">
        <v>37</v>
      </c>
      <c r="G9753" s="5" t="s">
        <v>60137</v>
      </c>
      <c r="H9753" s="6" t="s">
        <v>60138</v>
      </c>
      <c r="K9753" s="5" t="s">
        <v>60139</v>
      </c>
      <c r="M9753" s="5" t="s">
        <v>60140</v>
      </c>
      <c r="N9753" s="7" t="s">
        <v>60141</v>
      </c>
      <c r="O9753" s="8" t="str">
        <f>HYPERLINK("https://drive.google.com/file/d/1SJKSaeiM_t2GJPC6CKPqvzNDyklhVbVp/view?usp=drivesdk","9752_ADITYA PRATAMA PUTRA _ SERTIFIKAT BerAKHLAK")</f>
        <v>9752_ADITYA PRATAMA PUTRA _ SERTIFIKAT BerAKHLAK</v>
      </c>
      <c r="P9753" s="5" t="s">
        <v>59532</v>
      </c>
    </row>
    <row r="9754">
      <c r="A9754" s="4">
        <v>45534.48005409722</v>
      </c>
      <c r="B9754" s="5" t="s">
        <v>34</v>
      </c>
      <c r="D9754" s="5" t="s">
        <v>35</v>
      </c>
      <c r="E9754" s="5" t="s">
        <v>60142</v>
      </c>
      <c r="F9754" s="5" t="s">
        <v>524</v>
      </c>
      <c r="G9754" s="5" t="s">
        <v>60143</v>
      </c>
      <c r="H9754" s="6" t="s">
        <v>60144</v>
      </c>
      <c r="K9754" s="5" t="s">
        <v>60139</v>
      </c>
      <c r="M9754" s="5" t="s">
        <v>60145</v>
      </c>
      <c r="N9754" s="7" t="s">
        <v>60146</v>
      </c>
      <c r="O9754" s="8" t="str">
        <f>HYPERLINK("https://drive.google.com/file/d/1JqekOTag68OlPzJPe2BDa_cgWNpEfIj0/view?usp=drivesdk","9753_NUR QOMARIAH S.ST _ SERTIFIKAT BerAKHLAK")</f>
        <v>9753_NUR QOMARIAH S.ST _ SERTIFIKAT BerAKHLAK</v>
      </c>
      <c r="P9754" s="5" t="s">
        <v>59532</v>
      </c>
    </row>
    <row r="9755">
      <c r="A9755" s="4">
        <v>45534.48005761574</v>
      </c>
      <c r="B9755" s="5" t="s">
        <v>34</v>
      </c>
      <c r="D9755" s="5" t="s">
        <v>9394</v>
      </c>
      <c r="E9755" s="5" t="s">
        <v>60147</v>
      </c>
      <c r="F9755" s="5" t="s">
        <v>212</v>
      </c>
      <c r="G9755" s="5" t="s">
        <v>60148</v>
      </c>
      <c r="H9755" s="6" t="s">
        <v>60149</v>
      </c>
      <c r="K9755" s="5" t="s">
        <v>60139</v>
      </c>
      <c r="M9755" s="5" t="s">
        <v>60150</v>
      </c>
      <c r="N9755" s="7" t="s">
        <v>60151</v>
      </c>
      <c r="O9755" s="8" t="str">
        <f>HYPERLINK("https://drive.google.com/file/d/1Tlxicc1lHxfOZuLbZDL4K9VoU9haJUev/view?usp=drivesdk","9754_RIZA ANENDA _ SERTIFIKAT BerAKHLAK")</f>
        <v>9754_RIZA ANENDA _ SERTIFIKAT BerAKHLAK</v>
      </c>
      <c r="P9755" s="5" t="s">
        <v>59981</v>
      </c>
    </row>
    <row r="9756" hidden="1">
      <c r="A9756" s="4">
        <v>45534.4801412963</v>
      </c>
      <c r="B9756" s="5" t="s">
        <v>19</v>
      </c>
      <c r="C9756" s="5" t="s">
        <v>292</v>
      </c>
      <c r="E9756" s="5" t="s">
        <v>60152</v>
      </c>
      <c r="F9756" s="5" t="s">
        <v>212</v>
      </c>
      <c r="G9756" s="5" t="s">
        <v>60153</v>
      </c>
      <c r="H9756" s="6" t="s">
        <v>60154</v>
      </c>
      <c r="K9756" s="5" t="s">
        <v>60139</v>
      </c>
      <c r="M9756" s="5" t="s">
        <v>60155</v>
      </c>
      <c r="N9756" s="7" t="s">
        <v>60156</v>
      </c>
      <c r="O9756" s="8" t="str">
        <f>HYPERLINK("https://drive.google.com/file/d/1LD68EyoghvTXa17mDXPGDN4srS8iDGOv/view?usp=drivesdk","9755_MOHAMAD HARYANTO _ SERTIFIKAT BerAKHLAK")</f>
        <v>9755_MOHAMAD HARYANTO _ SERTIFIKAT BerAKHLAK</v>
      </c>
      <c r="P9756" s="5" t="s">
        <v>59981</v>
      </c>
    </row>
    <row r="9757">
      <c r="A9757" s="4">
        <v>45534.480231134265</v>
      </c>
      <c r="B9757" s="5" t="s">
        <v>34</v>
      </c>
      <c r="D9757" s="5" t="s">
        <v>1206</v>
      </c>
      <c r="E9757" s="5" t="s">
        <v>60157</v>
      </c>
      <c r="F9757" s="5" t="s">
        <v>37</v>
      </c>
      <c r="G9757" s="5" t="s">
        <v>60158</v>
      </c>
      <c r="H9757" s="6" t="s">
        <v>60159</v>
      </c>
      <c r="K9757" s="5" t="s">
        <v>60139</v>
      </c>
      <c r="M9757" s="5" t="s">
        <v>60160</v>
      </c>
      <c r="N9757" s="7" t="s">
        <v>60161</v>
      </c>
      <c r="O9757" s="8" t="str">
        <f>HYPERLINK("https://drive.google.com/file/d/1DbDaGn5wdW98fRSbj1Xo4TOS-iR1w08a/view?usp=drivesdk","9756_YUNI YUROISAH _ SERTIFIKAT BerAKHLAK")</f>
        <v>9756_YUNI YUROISAH _ SERTIFIKAT BerAKHLAK</v>
      </c>
      <c r="P9757" s="5" t="s">
        <v>59981</v>
      </c>
    </row>
    <row r="9758">
      <c r="A9758" s="4">
        <v>45534.48026193287</v>
      </c>
      <c r="B9758" s="5" t="s">
        <v>34</v>
      </c>
      <c r="D9758" s="5" t="s">
        <v>7858</v>
      </c>
      <c r="E9758" s="5" t="s">
        <v>60162</v>
      </c>
      <c r="F9758" s="5" t="s">
        <v>212</v>
      </c>
      <c r="G9758" s="5" t="s">
        <v>60163</v>
      </c>
      <c r="H9758" s="6" t="s">
        <v>60164</v>
      </c>
      <c r="K9758" s="5" t="s">
        <v>60139</v>
      </c>
      <c r="M9758" s="5" t="s">
        <v>60165</v>
      </c>
      <c r="N9758" s="7" t="s">
        <v>60166</v>
      </c>
      <c r="O9758" s="8" t="str">
        <f>HYPERLINK("https://drive.google.com/file/d/1l4HHPlkyWLx-V7absjs2NjLKLpusgWzK/view?usp=drivesdk","9757_Indra Mulyawan, A.Md. _ SERTIFIKAT BerAKHLAK")</f>
        <v>9757_Indra Mulyawan, A.Md. _ SERTIFIKAT BerAKHLAK</v>
      </c>
      <c r="P9758" s="5" t="s">
        <v>60167</v>
      </c>
    </row>
    <row r="9759">
      <c r="A9759" s="4">
        <v>45534.480283599536</v>
      </c>
      <c r="B9759" s="5" t="s">
        <v>34</v>
      </c>
      <c r="D9759" s="5" t="s">
        <v>9020</v>
      </c>
      <c r="E9759" s="5" t="s">
        <v>60168</v>
      </c>
      <c r="F9759" s="5" t="s">
        <v>72</v>
      </c>
      <c r="G9759" s="5" t="s">
        <v>60169</v>
      </c>
      <c r="H9759" s="6" t="s">
        <v>60170</v>
      </c>
      <c r="K9759" s="5" t="s">
        <v>60139</v>
      </c>
      <c r="M9759" s="5" t="s">
        <v>60171</v>
      </c>
      <c r="N9759" s="7" t="s">
        <v>60172</v>
      </c>
      <c r="O9759" s="8" t="str">
        <f>HYPERLINK("https://drive.google.com/file/d/1LZ0N0AA6vmXNCqylzKCNXm50n3tqjB_L/view?usp=drivesdk","9758_TINCE SIBORO, S.Kom, M.Si _ SERTIFIKAT BerAKHLAK")</f>
        <v>9758_TINCE SIBORO, S.Kom, M.Si _ SERTIFIKAT BerAKHLAK</v>
      </c>
      <c r="P9759" s="5" t="s">
        <v>60173</v>
      </c>
    </row>
    <row r="9760">
      <c r="A9760" s="4">
        <v>45534.48049104167</v>
      </c>
      <c r="B9760" s="5" t="s">
        <v>34</v>
      </c>
      <c r="D9760" s="5" t="s">
        <v>12010</v>
      </c>
      <c r="E9760" s="5" t="s">
        <v>60174</v>
      </c>
      <c r="F9760" s="5" t="s">
        <v>524</v>
      </c>
      <c r="G9760" s="5" t="s">
        <v>60175</v>
      </c>
      <c r="H9760" s="6" t="s">
        <v>60176</v>
      </c>
      <c r="K9760" s="5" t="s">
        <v>60139</v>
      </c>
      <c r="M9760" s="5" t="s">
        <v>60177</v>
      </c>
      <c r="N9760" s="7" t="s">
        <v>60178</v>
      </c>
      <c r="O9760" s="8" t="str">
        <f>HYPERLINK("https://drive.google.com/file/d/1sCPqeRchm0y_7Xid8v7qBHxLjbENS-8a/view?usp=drivesdk","9759_HAIRUNNISA ALI, S.FARM., M.SI _ SERTIFIKAT BerAKHLAK")</f>
        <v>9759_HAIRUNNISA ALI, S.FARM., M.SI _ SERTIFIKAT BerAKHLAK</v>
      </c>
      <c r="P9760" s="5" t="s">
        <v>60179</v>
      </c>
    </row>
    <row r="9761">
      <c r="A9761" s="4">
        <v>45534.48058105324</v>
      </c>
      <c r="B9761" s="5" t="s">
        <v>34</v>
      </c>
      <c r="D9761" s="5" t="s">
        <v>1558</v>
      </c>
      <c r="E9761" s="5" t="s">
        <v>15428</v>
      </c>
      <c r="F9761" s="5" t="s">
        <v>212</v>
      </c>
      <c r="G9761" s="5" t="s">
        <v>60180</v>
      </c>
      <c r="H9761" s="6" t="s">
        <v>60181</v>
      </c>
      <c r="K9761" s="5" t="s">
        <v>60139</v>
      </c>
      <c r="M9761" s="5" t="s">
        <v>60182</v>
      </c>
      <c r="N9761" s="7" t="s">
        <v>60183</v>
      </c>
      <c r="O9761" s="8" t="str">
        <f>HYPERLINK("https://drive.google.com/file/d/1gsucMFZ774P7ThzmpyZWN2DjdZL7miZb/view?usp=drivesdk","9760_SUTRISNO _ SERTIFIKAT BerAKHLAK")</f>
        <v>9760_SUTRISNO _ SERTIFIKAT BerAKHLAK</v>
      </c>
      <c r="P9761" s="5" t="s">
        <v>60179</v>
      </c>
    </row>
    <row r="9762">
      <c r="A9762" s="4">
        <v>45534.48115791667</v>
      </c>
      <c r="B9762" s="5" t="s">
        <v>34</v>
      </c>
      <c r="D9762" s="5" t="s">
        <v>996</v>
      </c>
      <c r="E9762" s="5" t="s">
        <v>60184</v>
      </c>
      <c r="F9762" s="5" t="s">
        <v>212</v>
      </c>
      <c r="G9762" s="5" t="s">
        <v>60185</v>
      </c>
      <c r="H9762" s="6" t="s">
        <v>60186</v>
      </c>
      <c r="K9762" s="5" t="s">
        <v>60139</v>
      </c>
      <c r="M9762" s="5" t="s">
        <v>60187</v>
      </c>
      <c r="N9762" s="7" t="s">
        <v>60188</v>
      </c>
      <c r="O9762" s="8" t="str">
        <f>HYPERLINK("https://drive.google.com/file/d/1M2VKYOEL3eExDYfR6u0HC_KKwdQg-PBX/view?usp=drivesdk","9761_RUSITA  _ SERTIFIKAT BerAKHLAK")</f>
        <v>9761_RUSITA  _ SERTIFIKAT BerAKHLAK</v>
      </c>
      <c r="P9762" s="5" t="s">
        <v>60179</v>
      </c>
    </row>
    <row r="9763">
      <c r="A9763" s="4">
        <v>45534.48130086805</v>
      </c>
      <c r="B9763" s="5" t="s">
        <v>34</v>
      </c>
      <c r="D9763" s="5" t="s">
        <v>1206</v>
      </c>
      <c r="E9763" s="5" t="s">
        <v>30658</v>
      </c>
      <c r="F9763" s="5" t="s">
        <v>524</v>
      </c>
      <c r="G9763" s="5" t="s">
        <v>30659</v>
      </c>
      <c r="H9763" s="6" t="s">
        <v>60189</v>
      </c>
      <c r="K9763" s="5" t="s">
        <v>60139</v>
      </c>
      <c r="M9763" s="5" t="s">
        <v>60190</v>
      </c>
      <c r="N9763" s="7" t="s">
        <v>60191</v>
      </c>
      <c r="O9763" s="8" t="str">
        <f>HYPERLINK("https://drive.google.com/file/d/1J-WpBdYHST35Wbr61QJs5zEjzJSv4Xgx/view?usp=drivesdk","9762_RATNA SETYANI _ SERTIFIKAT BerAKHLAK")</f>
        <v>9762_RATNA SETYANI _ SERTIFIKAT BerAKHLAK</v>
      </c>
      <c r="P9763" s="5" t="s">
        <v>60179</v>
      </c>
    </row>
    <row r="9764">
      <c r="A9764" s="4">
        <v>45534.481507766206</v>
      </c>
      <c r="B9764" s="5" t="s">
        <v>34</v>
      </c>
      <c r="D9764" s="5" t="s">
        <v>1206</v>
      </c>
      <c r="E9764" s="5" t="s">
        <v>60192</v>
      </c>
      <c r="F9764" s="5" t="s">
        <v>328</v>
      </c>
      <c r="G9764" s="5" t="s">
        <v>60193</v>
      </c>
      <c r="H9764" s="6" t="s">
        <v>60194</v>
      </c>
      <c r="K9764" s="5" t="s">
        <v>60139</v>
      </c>
      <c r="M9764" s="5" t="s">
        <v>60195</v>
      </c>
      <c r="N9764" s="7" t="s">
        <v>60196</v>
      </c>
      <c r="O9764" s="8" t="str">
        <f>HYPERLINK("https://drive.google.com/file/d/1YG3EINFGZ_CqU7W82pF1PrXbHj9lVPHm/view?usp=drivesdk","9763_LILIK SUHARTATIK _ SERTIFIKAT BerAKHLAK")</f>
        <v>9763_LILIK SUHARTATIK _ SERTIFIKAT BerAKHLAK</v>
      </c>
      <c r="P9764" s="5" t="s">
        <v>60179</v>
      </c>
    </row>
    <row r="9765">
      <c r="A9765" s="4">
        <v>45534.48177974537</v>
      </c>
      <c r="B9765" s="5" t="s">
        <v>34</v>
      </c>
      <c r="D9765" s="5" t="s">
        <v>11527</v>
      </c>
      <c r="E9765" s="5" t="s">
        <v>60197</v>
      </c>
      <c r="F9765" s="5" t="s">
        <v>212</v>
      </c>
      <c r="G9765" s="5" t="s">
        <v>60198</v>
      </c>
      <c r="H9765" s="6" t="s">
        <v>60199</v>
      </c>
      <c r="K9765" s="5" t="s">
        <v>60200</v>
      </c>
      <c r="M9765" s="5" t="s">
        <v>60201</v>
      </c>
      <c r="N9765" s="7" t="s">
        <v>60202</v>
      </c>
      <c r="O9765" s="8" t="str">
        <f>HYPERLINK("https://drive.google.com/file/d/1i5AwJCi9c_5e8HfBjUQQuTAdio7fUycR/view?usp=drivesdk","9764_HELVITA MASUNENENG _ SERTIFIKAT BerAKHLAK")</f>
        <v>9764_HELVITA MASUNENENG _ SERTIFIKAT BerAKHLAK</v>
      </c>
      <c r="P9765" s="5" t="s">
        <v>60203</v>
      </c>
    </row>
    <row r="9766">
      <c r="A9766" s="4">
        <v>45534.48179082176</v>
      </c>
      <c r="B9766" s="5" t="s">
        <v>34</v>
      </c>
      <c r="D9766" s="5" t="s">
        <v>35</v>
      </c>
      <c r="E9766" s="5" t="s">
        <v>60204</v>
      </c>
      <c r="F9766" s="5" t="s">
        <v>524</v>
      </c>
      <c r="G9766" s="5" t="s">
        <v>60205</v>
      </c>
      <c r="H9766" s="6" t="s">
        <v>60206</v>
      </c>
      <c r="K9766" s="5" t="s">
        <v>60207</v>
      </c>
      <c r="M9766" s="5" t="s">
        <v>60208</v>
      </c>
      <c r="N9766" s="7" t="s">
        <v>60209</v>
      </c>
      <c r="O9766" s="8" t="str">
        <f>HYPERLINK("https://drive.google.com/file/d/1PS0hutbJF-O7q5K8el9v-F-kztzQVMzM/view?usp=drivesdk","9765_NANA RUSMANA _ SERTIFIKAT BerAKHLAK")</f>
        <v>9765_NANA RUSMANA _ SERTIFIKAT BerAKHLAK</v>
      </c>
      <c r="P9766" s="5" t="s">
        <v>60203</v>
      </c>
    </row>
    <row r="9767">
      <c r="A9767" s="4">
        <v>45534.48183768518</v>
      </c>
      <c r="B9767" s="5" t="s">
        <v>34</v>
      </c>
      <c r="D9767" s="5" t="s">
        <v>9020</v>
      </c>
      <c r="E9767" s="5" t="s">
        <v>50598</v>
      </c>
      <c r="F9767" s="5" t="s">
        <v>212</v>
      </c>
      <c r="G9767" s="5" t="s">
        <v>60210</v>
      </c>
      <c r="H9767" s="6" t="s">
        <v>60211</v>
      </c>
      <c r="K9767" s="5" t="s">
        <v>60212</v>
      </c>
      <c r="M9767" s="5" t="s">
        <v>60213</v>
      </c>
      <c r="N9767" s="7" t="s">
        <v>60214</v>
      </c>
      <c r="O9767" s="8" t="str">
        <f>HYPERLINK("https://drive.google.com/file/d/1eC3ov8UZizoSKJL6mjpdUTDYKegWgFZS/view?usp=drivesdk","9766_SANTA BERLIANA _ SERTIFIKAT BerAKHLAK")</f>
        <v>9766_SANTA BERLIANA _ SERTIFIKAT BerAKHLAK</v>
      </c>
      <c r="P9767" s="5" t="s">
        <v>60203</v>
      </c>
    </row>
    <row r="9768">
      <c r="A9768" s="4">
        <v>45534.481841064815</v>
      </c>
      <c r="B9768" s="5" t="s">
        <v>34</v>
      </c>
      <c r="D9768" s="5" t="s">
        <v>580</v>
      </c>
      <c r="E9768" s="5" t="s">
        <v>60215</v>
      </c>
      <c r="F9768" s="5" t="s">
        <v>212</v>
      </c>
      <c r="G9768" s="5" t="s">
        <v>60216</v>
      </c>
      <c r="H9768" s="6" t="s">
        <v>60217</v>
      </c>
      <c r="K9768" s="5" t="s">
        <v>60212</v>
      </c>
      <c r="M9768" s="5" t="s">
        <v>60218</v>
      </c>
      <c r="N9768" s="7" t="s">
        <v>60219</v>
      </c>
      <c r="O9768" s="8" t="str">
        <f>HYPERLINK("https://drive.google.com/file/d/1qhyf6ZHX_E5KMMvdK8iyKhnZRjSv5ou0/view?usp=drivesdk","9767_LPUH PUTU ARI LESTARI _ SERTIFIKAT BerAKHLAK")</f>
        <v>9767_LPUH PUTU ARI LESTARI _ SERTIFIKAT BerAKHLAK</v>
      </c>
      <c r="P9768" s="5" t="s">
        <v>60203</v>
      </c>
    </row>
    <row r="9769">
      <c r="A9769" s="4">
        <v>45534.481881458334</v>
      </c>
      <c r="B9769" s="5" t="s">
        <v>34</v>
      </c>
      <c r="D9769" s="5" t="s">
        <v>35</v>
      </c>
      <c r="E9769" s="5" t="s">
        <v>60220</v>
      </c>
      <c r="F9769" s="5" t="s">
        <v>37</v>
      </c>
      <c r="G9769" s="5" t="s">
        <v>60221</v>
      </c>
      <c r="H9769" s="6" t="s">
        <v>60222</v>
      </c>
      <c r="K9769" s="5" t="s">
        <v>60223</v>
      </c>
      <c r="M9769" s="5" t="s">
        <v>60224</v>
      </c>
      <c r="N9769" s="7" t="s">
        <v>60225</v>
      </c>
      <c r="O9769" s="8" t="str">
        <f>HYPERLINK("https://drive.google.com/file/d/1rlhJXCuN4KsoyeHaoPsVz2DieabbAcIA/view?usp=drivesdk","9768_ASTRIA SARI _ SERTIFIKAT BerAKHLAK")</f>
        <v>9768_ASTRIA SARI _ SERTIFIKAT BerAKHLAK</v>
      </c>
      <c r="P9769" s="5" t="s">
        <v>60203</v>
      </c>
    </row>
    <row r="9770">
      <c r="A9770" s="4">
        <v>45534.48227728009</v>
      </c>
      <c r="B9770" s="5" t="s">
        <v>34</v>
      </c>
      <c r="D9770" s="5" t="s">
        <v>6232</v>
      </c>
      <c r="E9770" s="5" t="s">
        <v>60226</v>
      </c>
      <c r="F9770" s="5" t="s">
        <v>120</v>
      </c>
      <c r="G9770" s="5" t="s">
        <v>60227</v>
      </c>
      <c r="H9770" s="6" t="s">
        <v>60228</v>
      </c>
      <c r="K9770" s="5" t="s">
        <v>60229</v>
      </c>
      <c r="M9770" s="5" t="s">
        <v>60230</v>
      </c>
      <c r="N9770" s="7" t="s">
        <v>60231</v>
      </c>
      <c r="O9770" s="8" t="str">
        <f>HYPERLINK("https://drive.google.com/file/d/1PWGalsUYts_EyUgcAZEdcLOI444g7pQH/view?usp=drivesdk","9769_ZAITUN RAHMAWATI  _ SERTIFIKAT BerAKHLAK")</f>
        <v>9769_ZAITUN RAHMAWATI  _ SERTIFIKAT BerAKHLAK</v>
      </c>
      <c r="P9770" s="5" t="s">
        <v>60232</v>
      </c>
    </row>
    <row r="9771">
      <c r="A9771" s="4">
        <v>45534.48230053241</v>
      </c>
      <c r="B9771" s="5" t="s">
        <v>34</v>
      </c>
      <c r="D9771" s="5" t="s">
        <v>1206</v>
      </c>
      <c r="E9771" s="5" t="s">
        <v>60233</v>
      </c>
      <c r="F9771" s="5" t="s">
        <v>37</v>
      </c>
      <c r="G9771" s="5" t="s">
        <v>60234</v>
      </c>
      <c r="H9771" s="6" t="s">
        <v>60235</v>
      </c>
      <c r="K9771" s="5" t="s">
        <v>60229</v>
      </c>
      <c r="M9771" s="5" t="s">
        <v>60236</v>
      </c>
      <c r="N9771" s="7" t="s">
        <v>60237</v>
      </c>
      <c r="O9771" s="8" t="str">
        <f>HYPERLINK("https://drive.google.com/file/d/1t52qN2uHtbIi5cmyiI_uUs3mZJD7Zpi6/view?usp=drivesdk","9770_DONI SISWANTO _ SERTIFIKAT BerAKHLAK")</f>
        <v>9770_DONI SISWANTO _ SERTIFIKAT BerAKHLAK</v>
      </c>
      <c r="P9771" s="5" t="s">
        <v>60232</v>
      </c>
    </row>
    <row r="9772">
      <c r="A9772" s="4">
        <v>45534.48239497685</v>
      </c>
      <c r="B9772" s="5" t="s">
        <v>34</v>
      </c>
      <c r="D9772" s="5" t="s">
        <v>1206</v>
      </c>
      <c r="E9772" s="5" t="s">
        <v>60238</v>
      </c>
      <c r="F9772" s="5" t="s">
        <v>72</v>
      </c>
      <c r="G9772" s="5" t="s">
        <v>60239</v>
      </c>
      <c r="H9772" s="6" t="s">
        <v>60240</v>
      </c>
      <c r="K9772" s="5" t="s">
        <v>60229</v>
      </c>
      <c r="M9772" s="5" t="s">
        <v>60241</v>
      </c>
      <c r="N9772" s="7" t="s">
        <v>60242</v>
      </c>
      <c r="O9772" s="8" t="str">
        <f>HYPERLINK("https://drive.google.com/file/d/1dqS8rgbp7VIvm2Go1oNOxdg9uWlZm-PW/view?usp=drivesdk","9771_Ns. IRA TRIO WAHYUNI, M.Tr.kEP _ SERTIFIKAT BerAKHLAK")</f>
        <v>9771_Ns. IRA TRIO WAHYUNI, M.Tr.kEP _ SERTIFIKAT BerAKHLAK</v>
      </c>
      <c r="P9772" s="5" t="s">
        <v>60243</v>
      </c>
    </row>
    <row r="9773">
      <c r="A9773" s="4">
        <v>45534.482775185184</v>
      </c>
      <c r="B9773" s="5" t="s">
        <v>34</v>
      </c>
      <c r="D9773" s="5" t="s">
        <v>1206</v>
      </c>
      <c r="E9773" s="5" t="s">
        <v>60244</v>
      </c>
      <c r="F9773" s="5" t="s">
        <v>37</v>
      </c>
      <c r="G9773" s="5" t="s">
        <v>60245</v>
      </c>
      <c r="H9773" s="6" t="s">
        <v>60246</v>
      </c>
      <c r="K9773" s="5" t="s">
        <v>60229</v>
      </c>
      <c r="M9773" s="5" t="s">
        <v>60247</v>
      </c>
      <c r="N9773" s="7" t="s">
        <v>60248</v>
      </c>
      <c r="O9773" s="8" t="str">
        <f>HYPERLINK("https://drive.google.com/file/d/1b44y5-hz-qrhatAsKNJex2qa8QzALaeC/view?usp=drivesdk","9772_SRI ANIK, S.H., M.H. _ SERTIFIKAT BerAKHLAK")</f>
        <v>9772_SRI ANIK, S.H., M.H. _ SERTIFIKAT BerAKHLAK</v>
      </c>
      <c r="P9773" s="5" t="s">
        <v>60243</v>
      </c>
    </row>
    <row r="9774">
      <c r="A9774" s="4">
        <v>45534.48281261574</v>
      </c>
      <c r="B9774" s="5" t="s">
        <v>34</v>
      </c>
      <c r="D9774" s="5" t="s">
        <v>9020</v>
      </c>
      <c r="E9774" s="5" t="s">
        <v>60249</v>
      </c>
      <c r="F9774" s="5" t="s">
        <v>108</v>
      </c>
      <c r="G9774" s="5" t="s">
        <v>60250</v>
      </c>
      <c r="H9774" s="6" t="s">
        <v>60251</v>
      </c>
      <c r="K9774" s="5" t="s">
        <v>60229</v>
      </c>
      <c r="M9774" s="5" t="s">
        <v>60252</v>
      </c>
      <c r="N9774" s="7" t="s">
        <v>60253</v>
      </c>
      <c r="O9774" s="8" t="str">
        <f>HYPERLINK("https://drive.google.com/file/d/1Nozpdfx8W7NTmnX5iCZ6m1RI0zA3j2j2/view?usp=drivesdk","9773_AGUS SUMBODO _ SERTIFIKAT BerAKHLAK")</f>
        <v>9773_AGUS SUMBODO _ SERTIFIKAT BerAKHLAK</v>
      </c>
      <c r="P9774" s="5" t="s">
        <v>60243</v>
      </c>
    </row>
    <row r="9775">
      <c r="A9775" s="4">
        <v>45534.483217175926</v>
      </c>
      <c r="B9775" s="5" t="s">
        <v>34</v>
      </c>
      <c r="D9775" s="5" t="s">
        <v>14313</v>
      </c>
      <c r="E9775" s="5" t="s">
        <v>52166</v>
      </c>
      <c r="F9775" s="5" t="s">
        <v>524</v>
      </c>
      <c r="G9775" s="5" t="s">
        <v>60254</v>
      </c>
      <c r="H9775" s="6" t="s">
        <v>60255</v>
      </c>
      <c r="K9775" s="5" t="s">
        <v>60229</v>
      </c>
      <c r="M9775" s="5" t="s">
        <v>60256</v>
      </c>
      <c r="N9775" s="7" t="s">
        <v>60257</v>
      </c>
      <c r="O9775" s="8" t="str">
        <f>HYPERLINK("https://drive.google.com/file/d/1XZUgufUMsE1FR34Yf1deRtP5gIs8mguX/view?usp=drivesdk","9774_ROSDIANA _ SERTIFIKAT BerAKHLAK")</f>
        <v>9774_ROSDIANA _ SERTIFIKAT BerAKHLAK</v>
      </c>
      <c r="P9775" s="5" t="s">
        <v>60243</v>
      </c>
    </row>
    <row r="9776">
      <c r="A9776" s="4">
        <v>45534.483293067125</v>
      </c>
      <c r="B9776" s="5" t="s">
        <v>34</v>
      </c>
      <c r="D9776" s="5" t="s">
        <v>1206</v>
      </c>
      <c r="E9776" s="5" t="s">
        <v>60258</v>
      </c>
      <c r="F9776" s="5" t="s">
        <v>72</v>
      </c>
      <c r="G9776" s="5" t="s">
        <v>60259</v>
      </c>
      <c r="H9776" s="6" t="s">
        <v>60260</v>
      </c>
      <c r="K9776" s="5" t="s">
        <v>60229</v>
      </c>
      <c r="M9776" s="5" t="s">
        <v>60261</v>
      </c>
      <c r="N9776" s="7" t="s">
        <v>60262</v>
      </c>
      <c r="O9776" s="8" t="str">
        <f>HYPERLINK("https://drive.google.com/file/d/1wvLR7qtT_o5-Y-AFTpaPVd4ndTP_Pc8O/view?usp=drivesdk","9775_DIDIK SUPRIYANTO  _ SERTIFIKAT BerAKHLAK")</f>
        <v>9775_DIDIK SUPRIYANTO  _ SERTIFIKAT BerAKHLAK</v>
      </c>
      <c r="P9776" s="5" t="s">
        <v>60263</v>
      </c>
    </row>
    <row r="9777">
      <c r="A9777" s="4">
        <v>45534.483303263885</v>
      </c>
      <c r="B9777" s="5" t="s">
        <v>34</v>
      </c>
      <c r="D9777" s="5" t="s">
        <v>580</v>
      </c>
      <c r="E9777" s="5" t="s">
        <v>60264</v>
      </c>
      <c r="F9777" s="5" t="s">
        <v>37</v>
      </c>
      <c r="G9777" s="5" t="s">
        <v>60265</v>
      </c>
      <c r="H9777" s="6" t="s">
        <v>60266</v>
      </c>
      <c r="K9777" s="5" t="s">
        <v>60229</v>
      </c>
      <c r="M9777" s="5" t="s">
        <v>60267</v>
      </c>
      <c r="N9777" s="7" t="s">
        <v>60268</v>
      </c>
      <c r="O9777" s="8" t="str">
        <f>HYPERLINK("https://drive.google.com/file/d/1Rt1eljeoPkk5nX0TelNqxwzB7TZYy5l4/view?usp=drivesdk","9776_NI KETUT ARTINI _ SERTIFIKAT BerAKHLAK")</f>
        <v>9776_NI KETUT ARTINI _ SERTIFIKAT BerAKHLAK</v>
      </c>
      <c r="P9777" s="5" t="s">
        <v>60263</v>
      </c>
    </row>
    <row r="9778">
      <c r="A9778" s="4">
        <v>45534.48341835648</v>
      </c>
      <c r="B9778" s="5" t="s">
        <v>34</v>
      </c>
      <c r="D9778" s="5" t="s">
        <v>14313</v>
      </c>
      <c r="E9778" s="5" t="s">
        <v>60269</v>
      </c>
      <c r="F9778" s="5" t="s">
        <v>524</v>
      </c>
      <c r="G9778" s="5" t="s">
        <v>60270</v>
      </c>
      <c r="H9778" s="6" t="s">
        <v>60271</v>
      </c>
      <c r="K9778" s="5" t="s">
        <v>60229</v>
      </c>
      <c r="M9778" s="5" t="s">
        <v>60272</v>
      </c>
      <c r="N9778" s="7" t="s">
        <v>60273</v>
      </c>
      <c r="O9778" s="8" t="str">
        <f>HYPERLINK("https://drive.google.com/file/d/1PtllOCo_2G6LtpiHzU2Fqay019AmI322/view?usp=drivesdk","9777_HASRAWATY DAMAN.SKEP.NS _ SERTIFIKAT BerAKHLAK")</f>
        <v>9777_HASRAWATY DAMAN.SKEP.NS _ SERTIFIKAT BerAKHLAK</v>
      </c>
      <c r="P9778" s="5" t="s">
        <v>60274</v>
      </c>
    </row>
    <row r="9779">
      <c r="A9779" s="4">
        <v>45534.48356479166</v>
      </c>
      <c r="B9779" s="5" t="s">
        <v>34</v>
      </c>
      <c r="D9779" s="5" t="s">
        <v>1206</v>
      </c>
      <c r="E9779" s="5" t="s">
        <v>60275</v>
      </c>
      <c r="F9779" s="5" t="s">
        <v>37</v>
      </c>
      <c r="G9779" s="5" t="s">
        <v>60276</v>
      </c>
      <c r="H9779" s="6" t="s">
        <v>60277</v>
      </c>
      <c r="K9779" s="5" t="s">
        <v>60229</v>
      </c>
      <c r="M9779" s="5" t="s">
        <v>60278</v>
      </c>
      <c r="N9779" s="7" t="s">
        <v>60279</v>
      </c>
      <c r="O9779" s="8" t="str">
        <f>HYPERLINK("https://drive.google.com/file/d/1kF0o2cLgfC-xDv6zi6FFL-vwX_5y6izH/view?usp=drivesdk","9778_DWI SUHARYOTO _ SERTIFIKAT BerAKHLAK")</f>
        <v>9778_DWI SUHARYOTO _ SERTIFIKAT BerAKHLAK</v>
      </c>
      <c r="P9779" s="5" t="s">
        <v>60280</v>
      </c>
    </row>
    <row r="9780">
      <c r="A9780" s="4">
        <v>45534.483645</v>
      </c>
      <c r="B9780" s="5" t="s">
        <v>34</v>
      </c>
      <c r="D9780" s="5" t="s">
        <v>9020</v>
      </c>
      <c r="E9780" s="5" t="s">
        <v>60281</v>
      </c>
      <c r="F9780" s="5" t="s">
        <v>37</v>
      </c>
      <c r="G9780" s="5" t="s">
        <v>60282</v>
      </c>
      <c r="H9780" s="6" t="s">
        <v>60283</v>
      </c>
      <c r="K9780" s="5" t="s">
        <v>60284</v>
      </c>
      <c r="M9780" s="5" t="s">
        <v>60285</v>
      </c>
      <c r="N9780" s="7" t="s">
        <v>60286</v>
      </c>
      <c r="O9780" s="8" t="str">
        <f>HYPERLINK("https://drive.google.com/file/d/1QYU_J7n2hkVaqABvc2hP6BmpI9gQQxQO/view?usp=drivesdk","9779_TIURLINA NAPITUPULU _ SERTIFIKAT BerAKHLAK")</f>
        <v>9779_TIURLINA NAPITUPULU _ SERTIFIKAT BerAKHLAK</v>
      </c>
      <c r="P9780" s="5" t="s">
        <v>60280</v>
      </c>
    </row>
    <row r="9781">
      <c r="A9781" s="4">
        <v>45534.48380686343</v>
      </c>
      <c r="B9781" s="5" t="s">
        <v>34</v>
      </c>
      <c r="D9781" s="5" t="s">
        <v>267</v>
      </c>
      <c r="E9781" s="5" t="s">
        <v>5498</v>
      </c>
      <c r="F9781" s="5" t="s">
        <v>212</v>
      </c>
      <c r="G9781" s="5" t="s">
        <v>60287</v>
      </c>
      <c r="H9781" s="6" t="s">
        <v>60288</v>
      </c>
      <c r="K9781" s="5" t="s">
        <v>60289</v>
      </c>
      <c r="M9781" s="5" t="s">
        <v>60290</v>
      </c>
      <c r="N9781" s="7" t="s">
        <v>60291</v>
      </c>
      <c r="O9781" s="8" t="str">
        <f>HYPERLINK("https://drive.google.com/file/d/1XQmLIG-4tujyOfGqLnIE3-huesx9NfCD/view?usp=drivesdk","9780_SULISTYOWATI _ SERTIFIKAT BerAKHLAK")</f>
        <v>9780_SULISTYOWATI _ SERTIFIKAT BerAKHLAK</v>
      </c>
      <c r="P9781" s="5" t="s">
        <v>60280</v>
      </c>
    </row>
    <row r="9782">
      <c r="A9782" s="4">
        <v>45534.483846793984</v>
      </c>
      <c r="B9782" s="5" t="s">
        <v>34</v>
      </c>
      <c r="D9782" s="5" t="s">
        <v>1206</v>
      </c>
      <c r="E9782" s="5" t="s">
        <v>60292</v>
      </c>
      <c r="F9782" s="5" t="s">
        <v>37</v>
      </c>
      <c r="G9782" s="5" t="s">
        <v>60293</v>
      </c>
      <c r="H9782" s="6" t="s">
        <v>60294</v>
      </c>
      <c r="K9782" s="5" t="s">
        <v>60295</v>
      </c>
      <c r="M9782" s="5" t="s">
        <v>60296</v>
      </c>
      <c r="N9782" s="7" t="s">
        <v>60297</v>
      </c>
      <c r="O9782" s="8" t="str">
        <f>HYPERLINK("https://drive.google.com/file/d/1-oZeibk8VSeb7Mwct1PEdF58Kv79yEfA/view?usp=drivesdk","9781_RIRIN DWI NURYANTI  _ SERTIFIKAT BerAKHLAK")</f>
        <v>9781_RIRIN DWI NURYANTI  _ SERTIFIKAT BerAKHLAK</v>
      </c>
      <c r="P9782" s="5" t="s">
        <v>60280</v>
      </c>
    </row>
    <row r="9783">
      <c r="A9783" s="4">
        <v>45534.48385386574</v>
      </c>
      <c r="B9783" s="5" t="s">
        <v>34</v>
      </c>
      <c r="D9783" s="5" t="s">
        <v>1692</v>
      </c>
      <c r="E9783" s="5" t="s">
        <v>60298</v>
      </c>
      <c r="F9783" s="5" t="s">
        <v>72</v>
      </c>
      <c r="G9783" s="5" t="s">
        <v>60299</v>
      </c>
      <c r="H9783" s="6" t="s">
        <v>60300</v>
      </c>
      <c r="K9783" s="5" t="s">
        <v>60295</v>
      </c>
      <c r="M9783" s="5" t="s">
        <v>60301</v>
      </c>
      <c r="N9783" s="7" t="s">
        <v>60302</v>
      </c>
      <c r="O9783" s="8" t="str">
        <f>HYPERLINK("https://drive.google.com/file/d/1kXE4c1zQkv0iZ98Q-0NvirTEbPhQqdxt/view?usp=drivesdk","9782_THEOPHILIA P. PETTA, AMD _ SERTIFIKAT BerAKHLAK")</f>
        <v>9782_THEOPHILIA P. PETTA, AMD _ SERTIFIKAT BerAKHLAK</v>
      </c>
      <c r="P9783" s="5" t="s">
        <v>60303</v>
      </c>
    </row>
    <row r="9784">
      <c r="A9784" s="4">
        <v>45534.48410306713</v>
      </c>
      <c r="B9784" s="5" t="s">
        <v>34</v>
      </c>
      <c r="D9784" s="5" t="s">
        <v>14313</v>
      </c>
      <c r="E9784" s="5" t="s">
        <v>60304</v>
      </c>
      <c r="F9784" s="5" t="s">
        <v>524</v>
      </c>
      <c r="G9784" s="5" t="s">
        <v>60305</v>
      </c>
      <c r="H9784" s="6" t="s">
        <v>60306</v>
      </c>
      <c r="K9784" s="5" t="s">
        <v>60307</v>
      </c>
      <c r="M9784" s="5" t="s">
        <v>60308</v>
      </c>
      <c r="N9784" s="7" t="s">
        <v>60309</v>
      </c>
      <c r="O9784" s="8" t="str">
        <f>HYPERLINK("https://drive.google.com/file/d/1mbAP_4vJwASW7Jh5Vr9Yrwh1HCL_KWrf/view?usp=drivesdk","9783_SUNARTI  _ SERTIFIKAT BerAKHLAK")</f>
        <v>9783_SUNARTI  _ SERTIFIKAT BerAKHLAK</v>
      </c>
      <c r="P9784" s="5" t="s">
        <v>60303</v>
      </c>
    </row>
    <row r="9785">
      <c r="A9785" s="4">
        <v>45534.48466109954</v>
      </c>
      <c r="B9785" s="5" t="s">
        <v>34</v>
      </c>
      <c r="D9785" s="5" t="s">
        <v>1206</v>
      </c>
      <c r="E9785" s="5" t="s">
        <v>60310</v>
      </c>
      <c r="F9785" s="5" t="s">
        <v>328</v>
      </c>
      <c r="G9785" s="5" t="s">
        <v>60311</v>
      </c>
      <c r="H9785" s="6" t="s">
        <v>60312</v>
      </c>
      <c r="K9785" s="5" t="s">
        <v>60313</v>
      </c>
      <c r="M9785" s="5" t="s">
        <v>60314</v>
      </c>
      <c r="N9785" s="7" t="s">
        <v>60315</v>
      </c>
      <c r="O9785" s="8" t="str">
        <f>HYPERLINK("https://drive.google.com/file/d/1tCU7vN7E_L4PH1shpwzo_eaeKTXVR3IF/view?usp=drivesdk","9784_KARTIKA PRIHATINING TYAS _ SERTIFIKAT BerAKHLAK")</f>
        <v>9784_KARTIKA PRIHATINING TYAS _ SERTIFIKAT BerAKHLAK</v>
      </c>
      <c r="P9785" s="5" t="s">
        <v>60303</v>
      </c>
    </row>
    <row r="9786">
      <c r="A9786" s="4">
        <v>45534.48469346065</v>
      </c>
      <c r="B9786" s="5" t="s">
        <v>34</v>
      </c>
      <c r="D9786" s="5" t="s">
        <v>1206</v>
      </c>
      <c r="E9786" s="5" t="s">
        <v>60316</v>
      </c>
      <c r="F9786" s="5" t="s">
        <v>328</v>
      </c>
      <c r="G9786" s="5" t="s">
        <v>60317</v>
      </c>
      <c r="H9786" s="6" t="s">
        <v>60318</v>
      </c>
      <c r="K9786" s="5" t="s">
        <v>60313</v>
      </c>
      <c r="M9786" s="5" t="s">
        <v>60319</v>
      </c>
      <c r="N9786" s="7" t="s">
        <v>60320</v>
      </c>
      <c r="O9786" s="8" t="str">
        <f>HYPERLINK("https://drive.google.com/file/d/104AW4BYKrJeblz_keEYazXrsLcwa9Evi/view?usp=drivesdk","9785_M. SYAFI'I _ SERTIFIKAT BerAKHLAK")</f>
        <v>9785_M. SYAFI'I _ SERTIFIKAT BerAKHLAK</v>
      </c>
      <c r="P9786" s="5" t="s">
        <v>60303</v>
      </c>
    </row>
    <row r="9787">
      <c r="A9787" s="4">
        <v>45534.48472681713</v>
      </c>
      <c r="B9787" s="5" t="s">
        <v>34</v>
      </c>
      <c r="D9787" s="5" t="s">
        <v>9020</v>
      </c>
      <c r="E9787" s="5" t="s">
        <v>60321</v>
      </c>
      <c r="F9787" s="5" t="s">
        <v>375</v>
      </c>
      <c r="G9787" s="5" t="s">
        <v>60322</v>
      </c>
      <c r="H9787" s="6" t="s">
        <v>60323</v>
      </c>
      <c r="K9787" s="5" t="s">
        <v>60313</v>
      </c>
      <c r="M9787" s="5" t="s">
        <v>60324</v>
      </c>
      <c r="N9787" s="7" t="s">
        <v>60325</v>
      </c>
      <c r="O9787" s="8" t="str">
        <f>HYPERLINK("https://drive.google.com/file/d/1zTCZlZJnNxaG3h50Gta8vIwC1h5bhfgo/view?usp=drivesdk","9786_BUSMAN, S. E _ SERTIFIKAT BerAKHLAK")</f>
        <v>9786_BUSMAN, S. E _ SERTIFIKAT BerAKHLAK</v>
      </c>
      <c r="P9787" s="5" t="s">
        <v>60303</v>
      </c>
    </row>
    <row r="9788">
      <c r="A9788" s="4">
        <v>45534.48495409722</v>
      </c>
      <c r="B9788" s="5" t="s">
        <v>34</v>
      </c>
      <c r="D9788" s="5" t="s">
        <v>12978</v>
      </c>
      <c r="E9788" s="5" t="s">
        <v>60326</v>
      </c>
      <c r="F9788" s="5" t="s">
        <v>108</v>
      </c>
      <c r="G9788" s="5" t="s">
        <v>60327</v>
      </c>
      <c r="H9788" s="6" t="s">
        <v>60328</v>
      </c>
      <c r="K9788" s="5" t="s">
        <v>60329</v>
      </c>
      <c r="M9788" s="5" t="s">
        <v>60330</v>
      </c>
      <c r="N9788" s="7" t="s">
        <v>60331</v>
      </c>
      <c r="O9788" s="8" t="str">
        <f>HYPERLINK("https://drive.google.com/file/d/16rBCydHPCQjxr89gq8qbW4oEWYjzeLG-/view?usp=drivesdk","9787_JUMIANA _ SERTIFIKAT BerAKHLAK")</f>
        <v>9787_JUMIANA _ SERTIFIKAT BerAKHLAK</v>
      </c>
      <c r="P9788" s="5" t="s">
        <v>60332</v>
      </c>
    </row>
    <row r="9789">
      <c r="A9789" s="4">
        <v>45534.48503008102</v>
      </c>
      <c r="B9789" s="5" t="s">
        <v>34</v>
      </c>
      <c r="D9789" s="5" t="s">
        <v>6232</v>
      </c>
      <c r="E9789" s="5" t="s">
        <v>60333</v>
      </c>
      <c r="F9789" s="5" t="s">
        <v>72</v>
      </c>
      <c r="G9789" s="5" t="s">
        <v>60334</v>
      </c>
      <c r="H9789" s="6" t="s">
        <v>60335</v>
      </c>
      <c r="K9789" s="5" t="s">
        <v>60329</v>
      </c>
      <c r="M9789" s="5" t="s">
        <v>60336</v>
      </c>
      <c r="N9789" s="7" t="s">
        <v>60337</v>
      </c>
      <c r="O9789" s="8" t="str">
        <f>HYPERLINK("https://drive.google.com/file/d/10QmKzt-zVrmQK7yHI-1_2ZWAUg2gKt9H/view?usp=drivesdk","9788_MARGA LICHU HISTORYA, S. E _ SERTIFIKAT BerAKHLAK")</f>
        <v>9788_MARGA LICHU HISTORYA, S. E _ SERTIFIKAT BerAKHLAK</v>
      </c>
      <c r="P9789" s="5" t="s">
        <v>60332</v>
      </c>
    </row>
    <row r="9790">
      <c r="A9790" s="4">
        <v>45534.48530324074</v>
      </c>
      <c r="B9790" s="5" t="s">
        <v>34</v>
      </c>
      <c r="D9790" s="5" t="s">
        <v>35</v>
      </c>
      <c r="E9790" s="5" t="s">
        <v>60338</v>
      </c>
      <c r="F9790" s="5" t="s">
        <v>524</v>
      </c>
      <c r="G9790" s="5" t="s">
        <v>60339</v>
      </c>
      <c r="H9790" s="6" t="s">
        <v>60340</v>
      </c>
      <c r="K9790" s="5" t="s">
        <v>60329</v>
      </c>
      <c r="M9790" s="5" t="s">
        <v>60341</v>
      </c>
      <c r="N9790" s="7" t="s">
        <v>60342</v>
      </c>
      <c r="O9790" s="8" t="str">
        <f>HYPERLINK("https://drive.google.com/file/d/1MSKvhDaXZrZQXOeKmZgKCsDvZLksj9a6/view?usp=drivesdk","9789_SANTI SRI WIDAYANTI _ SERTIFIKAT BerAKHLAK")</f>
        <v>9789_SANTI SRI WIDAYANTI _ SERTIFIKAT BerAKHLAK</v>
      </c>
      <c r="P9790" s="5" t="s">
        <v>60332</v>
      </c>
    </row>
    <row r="9791">
      <c r="A9791" s="4">
        <v>45534.485350208335</v>
      </c>
      <c r="B9791" s="5" t="s">
        <v>34</v>
      </c>
      <c r="D9791" s="5" t="s">
        <v>4775</v>
      </c>
      <c r="E9791" s="5" t="s">
        <v>60343</v>
      </c>
      <c r="F9791" s="5" t="s">
        <v>375</v>
      </c>
      <c r="G9791" s="5" t="s">
        <v>60344</v>
      </c>
      <c r="H9791" s="6" t="s">
        <v>60345</v>
      </c>
      <c r="K9791" s="5" t="s">
        <v>60346</v>
      </c>
      <c r="M9791" s="5" t="s">
        <v>60347</v>
      </c>
      <c r="N9791" s="7" t="s">
        <v>60348</v>
      </c>
      <c r="O9791" s="8" t="str">
        <f>HYPERLINK("https://drive.google.com/file/d/1llFxqiRyZBlzG1lPCCGhpCb4Teje2fZ8/view?usp=drivesdk","9790_ENDAH DIDIK TRIASTUTI,S.E.,M.H _ SERTIFIKAT BerAKHLAK")</f>
        <v>9790_ENDAH DIDIK TRIASTUTI,S.E.,M.H _ SERTIFIKAT BerAKHLAK</v>
      </c>
      <c r="P9791" s="5" t="s">
        <v>60332</v>
      </c>
    </row>
    <row r="9792">
      <c r="A9792" s="4">
        <v>45534.485472326385</v>
      </c>
      <c r="B9792" s="5" t="s">
        <v>34</v>
      </c>
      <c r="D9792" s="5" t="s">
        <v>11527</v>
      </c>
      <c r="E9792" s="5" t="s">
        <v>60349</v>
      </c>
      <c r="F9792" s="5" t="s">
        <v>212</v>
      </c>
      <c r="G9792" s="5" t="s">
        <v>60350</v>
      </c>
      <c r="H9792" s="6" t="s">
        <v>60351</v>
      </c>
      <c r="K9792" s="5" t="s">
        <v>60352</v>
      </c>
      <c r="M9792" s="5" t="s">
        <v>60353</v>
      </c>
      <c r="N9792" s="7" t="s">
        <v>60354</v>
      </c>
      <c r="O9792" s="8" t="str">
        <f>HYPERLINK("https://drive.google.com/file/d/1htuFCXfMnWafThPG8Gbk-WIi-33eq9gD/view?usp=drivesdk","9791_YENNY DEBY JANIS _ SERTIFIKAT BerAKHLAK")</f>
        <v>9791_YENNY DEBY JANIS _ SERTIFIKAT BerAKHLAK</v>
      </c>
      <c r="P9792" s="5" t="s">
        <v>60355</v>
      </c>
    </row>
    <row r="9793" hidden="1">
      <c r="A9793" s="4">
        <v>45534.48576759259</v>
      </c>
      <c r="B9793" s="5" t="s">
        <v>19</v>
      </c>
      <c r="C9793" s="5" t="s">
        <v>292</v>
      </c>
      <c r="E9793" s="5" t="s">
        <v>60356</v>
      </c>
      <c r="F9793" s="5" t="s">
        <v>108</v>
      </c>
      <c r="G9793" s="5" t="s">
        <v>60357</v>
      </c>
      <c r="H9793" s="6" t="s">
        <v>60358</v>
      </c>
      <c r="K9793" s="5" t="s">
        <v>60359</v>
      </c>
      <c r="M9793" s="5" t="s">
        <v>60360</v>
      </c>
      <c r="N9793" s="7" t="s">
        <v>60361</v>
      </c>
      <c r="O9793" s="8" t="str">
        <f>HYPERLINK("https://drive.google.com/file/d/1paEPedp66BgDNw3OvpaJ8NNp0SydlXaB/view?usp=drivesdk","9792_Apt. Vinach Anggriyani, S. Farm _ SERTIFIKAT BerAKHLAK")</f>
        <v>9792_Apt. Vinach Anggriyani, S. Farm _ SERTIFIKAT BerAKHLAK</v>
      </c>
      <c r="P9793" s="5" t="s">
        <v>60355</v>
      </c>
    </row>
    <row r="9794">
      <c r="A9794" s="4">
        <v>45534.485912662036</v>
      </c>
      <c r="B9794" s="5" t="s">
        <v>34</v>
      </c>
      <c r="D9794" s="5" t="s">
        <v>604</v>
      </c>
      <c r="E9794" s="5" t="s">
        <v>60362</v>
      </c>
      <c r="F9794" s="5" t="s">
        <v>72</v>
      </c>
      <c r="G9794" s="5" t="s">
        <v>60363</v>
      </c>
      <c r="H9794" s="6" t="s">
        <v>60364</v>
      </c>
      <c r="K9794" s="5" t="s">
        <v>60365</v>
      </c>
      <c r="M9794" s="5" t="s">
        <v>60366</v>
      </c>
      <c r="N9794" s="7" t="s">
        <v>60367</v>
      </c>
      <c r="O9794" s="8" t="str">
        <f>HYPERLINK("https://drive.google.com/file/d/1u9gh-aAm9KGHlbvXVWwRI1gtVft07dpB/view?usp=drivesdk","9793_DAMARIS DATU RANTE _ SERTIFIKAT BerAKHLAK")</f>
        <v>9793_DAMARIS DATU RANTE _ SERTIFIKAT BerAKHLAK</v>
      </c>
      <c r="P9794" s="5" t="s">
        <v>60355</v>
      </c>
    </row>
    <row r="9795">
      <c r="A9795" s="4">
        <v>45534.48620172453</v>
      </c>
      <c r="B9795" s="5" t="s">
        <v>34</v>
      </c>
      <c r="D9795" s="5" t="s">
        <v>14313</v>
      </c>
      <c r="E9795" s="5" t="s">
        <v>60368</v>
      </c>
      <c r="F9795" s="5" t="s">
        <v>212</v>
      </c>
      <c r="G9795" s="5" t="s">
        <v>60369</v>
      </c>
      <c r="H9795" s="6" t="s">
        <v>60370</v>
      </c>
      <c r="K9795" s="5" t="s">
        <v>60371</v>
      </c>
      <c r="M9795" s="5" t="s">
        <v>60372</v>
      </c>
      <c r="N9795" s="7" t="s">
        <v>60373</v>
      </c>
      <c r="O9795" s="8" t="str">
        <f>HYPERLINK("https://drive.google.com/file/d/12b07Th97FsALErUPMu1MuKvWj92zKSPH/view?usp=drivesdk","9794_HENFRIK _ SERTIFIKAT BerAKHLAK")</f>
        <v>9794_HENFRIK _ SERTIFIKAT BerAKHLAK</v>
      </c>
      <c r="P9795" s="5" t="s">
        <v>60355</v>
      </c>
    </row>
    <row r="9796">
      <c r="A9796" s="4">
        <v>45534.48649912037</v>
      </c>
      <c r="B9796" s="5" t="s">
        <v>34</v>
      </c>
      <c r="D9796" s="5" t="s">
        <v>1206</v>
      </c>
      <c r="E9796" s="5" t="s">
        <v>60374</v>
      </c>
      <c r="F9796" s="5" t="s">
        <v>212</v>
      </c>
      <c r="G9796" s="5" t="s">
        <v>60375</v>
      </c>
      <c r="H9796" s="6" t="s">
        <v>60376</v>
      </c>
      <c r="K9796" s="5" t="s">
        <v>60377</v>
      </c>
      <c r="M9796" s="5" t="s">
        <v>60378</v>
      </c>
      <c r="N9796" s="7" t="s">
        <v>60379</v>
      </c>
      <c r="O9796" s="8" t="str">
        <f>HYPERLINK("https://drive.google.com/file/d/1TnQzxIyN376HQCUZeI5FTuZmS7k2MHg8/view?usp=drivesdk","9795_ISTICHOMAH _ SERTIFIKAT BerAKHLAK")</f>
        <v>9795_ISTICHOMAH _ SERTIFIKAT BerAKHLAK</v>
      </c>
      <c r="P9796" s="5" t="s">
        <v>60355</v>
      </c>
    </row>
    <row r="9797" hidden="1">
      <c r="A9797" s="4">
        <v>45534.48704841435</v>
      </c>
      <c r="B9797" s="5" t="s">
        <v>19</v>
      </c>
      <c r="C9797" s="5" t="s">
        <v>3301</v>
      </c>
      <c r="E9797" s="5" t="s">
        <v>60380</v>
      </c>
      <c r="F9797" s="5" t="s">
        <v>375</v>
      </c>
      <c r="G9797" s="5" t="s">
        <v>60381</v>
      </c>
      <c r="H9797" s="6" t="s">
        <v>60382</v>
      </c>
      <c r="K9797" s="5" t="s">
        <v>60377</v>
      </c>
      <c r="M9797" s="5" t="s">
        <v>60383</v>
      </c>
      <c r="N9797" s="7" t="s">
        <v>60384</v>
      </c>
      <c r="O9797" s="8" t="str">
        <f>HYPERLINK("https://drive.google.com/file/d/1YkuW6DcZeE26tFATklH4YBu8dhDKu3VE/view?usp=drivesdk","9796_Nur Asiah Jamil  _ SERTIFIKAT BerAKHLAK")</f>
        <v>9796_Nur Asiah Jamil  _ SERTIFIKAT BerAKHLAK</v>
      </c>
      <c r="P9797" s="5" t="s">
        <v>60385</v>
      </c>
    </row>
    <row r="9798">
      <c r="A9798" s="4">
        <v>45534.48716542824</v>
      </c>
      <c r="B9798" s="5" t="s">
        <v>34</v>
      </c>
      <c r="D9798" s="5" t="s">
        <v>267</v>
      </c>
      <c r="E9798" s="5" t="s">
        <v>60386</v>
      </c>
      <c r="F9798" s="5" t="s">
        <v>108</v>
      </c>
      <c r="G9798" s="5" t="s">
        <v>60387</v>
      </c>
      <c r="H9798" s="6" t="s">
        <v>60388</v>
      </c>
      <c r="K9798" s="5" t="s">
        <v>60389</v>
      </c>
      <c r="M9798" s="5" t="s">
        <v>60390</v>
      </c>
      <c r="N9798" s="7" t="s">
        <v>60391</v>
      </c>
      <c r="O9798" s="8" t="str">
        <f>HYPERLINK("https://drive.google.com/file/d/1luRk8iJBq3WwSAMxCp84hhdIPCeJ2Ft3/view?usp=drivesdk","9797_ZUHARIYAH SALIM _ SERTIFIKAT BerAKHLAK")</f>
        <v>9797_ZUHARIYAH SALIM _ SERTIFIKAT BerAKHLAK</v>
      </c>
      <c r="P9798" s="5" t="s">
        <v>60385</v>
      </c>
    </row>
    <row r="9799">
      <c r="A9799" s="4">
        <v>45534.48720693287</v>
      </c>
      <c r="B9799" s="5" t="s">
        <v>34</v>
      </c>
      <c r="D9799" s="5" t="s">
        <v>14313</v>
      </c>
      <c r="E9799" s="5" t="s">
        <v>41389</v>
      </c>
      <c r="F9799" s="5" t="s">
        <v>108</v>
      </c>
      <c r="G9799" s="5" t="s">
        <v>60392</v>
      </c>
      <c r="H9799" s="6" t="s">
        <v>60393</v>
      </c>
      <c r="K9799" s="5" t="s">
        <v>60394</v>
      </c>
      <c r="M9799" s="5" t="s">
        <v>60395</v>
      </c>
      <c r="N9799" s="7" t="s">
        <v>60396</v>
      </c>
      <c r="O9799" s="8" t="str">
        <f>HYPERLINK("https://drive.google.com/file/d/1SFF9QpoBBMXf65Ke9zcAA8-P7cMYfL-r/view?usp=drivesdk","9798_ASTINI, SH _ SERTIFIKAT BerAKHLAK")</f>
        <v>9798_ASTINI, SH _ SERTIFIKAT BerAKHLAK</v>
      </c>
      <c r="P9799" s="5" t="s">
        <v>60397</v>
      </c>
    </row>
    <row r="9800">
      <c r="A9800" s="4">
        <v>45534.48722096065</v>
      </c>
      <c r="B9800" s="5" t="s">
        <v>34</v>
      </c>
      <c r="D9800" s="5" t="s">
        <v>1206</v>
      </c>
      <c r="E9800" s="5" t="s">
        <v>60398</v>
      </c>
      <c r="F9800" s="5" t="s">
        <v>212</v>
      </c>
      <c r="G9800" s="5" t="s">
        <v>60399</v>
      </c>
      <c r="H9800" s="6" t="s">
        <v>60400</v>
      </c>
      <c r="K9800" s="5" t="s">
        <v>60394</v>
      </c>
      <c r="M9800" s="5" t="s">
        <v>60401</v>
      </c>
      <c r="N9800" s="7" t="s">
        <v>60402</v>
      </c>
      <c r="O9800" s="8" t="str">
        <f>HYPERLINK("https://drive.google.com/file/d/1dOh12FzdCGTFFkwccuw0O97Ili0X2CRK/view?usp=drivesdk","9799_MAHADI JAYA SUHENDRA _ SERTIFIKAT BerAKHLAK")</f>
        <v>9799_MAHADI JAYA SUHENDRA _ SERTIFIKAT BerAKHLAK</v>
      </c>
      <c r="P9800" s="5" t="s">
        <v>60403</v>
      </c>
    </row>
    <row r="9801">
      <c r="A9801" s="4">
        <v>45534.487932187505</v>
      </c>
      <c r="B9801" s="5" t="s">
        <v>34</v>
      </c>
      <c r="D9801" s="5" t="s">
        <v>1206</v>
      </c>
      <c r="E9801" s="5" t="s">
        <v>60404</v>
      </c>
      <c r="F9801" s="5" t="s">
        <v>5859</v>
      </c>
      <c r="G9801" s="5" t="s">
        <v>60405</v>
      </c>
      <c r="H9801" s="6" t="s">
        <v>60406</v>
      </c>
      <c r="K9801" s="5" t="s">
        <v>60407</v>
      </c>
      <c r="M9801" s="5" t="s">
        <v>60408</v>
      </c>
      <c r="N9801" s="7" t="s">
        <v>60409</v>
      </c>
      <c r="O9801" s="8" t="str">
        <f>HYPERLINK("https://drive.google.com/file/d/1_jnM9uOEOECBdTXdlCBU_s7478xdJHLX/view?usp=drivesdk","9800_MOCHAMAD YUSUP _ SERTIFIKAT BerAKHLAK")</f>
        <v>9800_MOCHAMAD YUSUP _ SERTIFIKAT BerAKHLAK</v>
      </c>
      <c r="P9801" s="5" t="s">
        <v>60403</v>
      </c>
    </row>
    <row r="9802">
      <c r="A9802" s="4">
        <v>45534.48793293981</v>
      </c>
      <c r="B9802" s="5" t="s">
        <v>34</v>
      </c>
      <c r="D9802" s="5" t="s">
        <v>6232</v>
      </c>
      <c r="E9802" s="5" t="s">
        <v>60410</v>
      </c>
      <c r="F9802" s="5" t="s">
        <v>524</v>
      </c>
      <c r="G9802" s="5" t="s">
        <v>60411</v>
      </c>
      <c r="H9802" s="6" t="s">
        <v>60412</v>
      </c>
      <c r="K9802" s="5" t="s">
        <v>60407</v>
      </c>
      <c r="M9802" s="5" t="s">
        <v>60413</v>
      </c>
      <c r="N9802" s="7" t="s">
        <v>60414</v>
      </c>
      <c r="O9802" s="8" t="str">
        <f>HYPERLINK("https://drive.google.com/file/d/1611SOIfHiVhBSf--UsHikp84kOQUOd3P/view?usp=drivesdk","9801_SUSILAWATI, SKM _ SERTIFIKAT BerAKHLAK")</f>
        <v>9801_SUSILAWATI, SKM _ SERTIFIKAT BerAKHLAK</v>
      </c>
      <c r="P9802" s="5" t="s">
        <v>60403</v>
      </c>
    </row>
    <row r="9803" hidden="1">
      <c r="A9803" s="4">
        <v>45534.48831043982</v>
      </c>
      <c r="B9803" s="5" t="s">
        <v>19</v>
      </c>
      <c r="C9803" s="5" t="s">
        <v>11593</v>
      </c>
      <c r="E9803" s="5" t="s">
        <v>60415</v>
      </c>
      <c r="F9803" s="5" t="s">
        <v>108</v>
      </c>
      <c r="G9803" s="5" t="s">
        <v>60416</v>
      </c>
      <c r="H9803" s="6" t="s">
        <v>60417</v>
      </c>
      <c r="K9803" s="5" t="s">
        <v>60418</v>
      </c>
      <c r="M9803" s="5" t="s">
        <v>60419</v>
      </c>
      <c r="N9803" s="7" t="s">
        <v>60420</v>
      </c>
      <c r="O9803" s="8" t="str">
        <f>HYPERLINK("https://drive.google.com/file/d/1avih9kzT-SGHr7i1Du0gqEPr6RzN_bjR/view?usp=drivesdk","9802_MARIA ULFAH _ SERTIFIKAT BerAKHLAK")</f>
        <v>9802_MARIA ULFAH _ SERTIFIKAT BerAKHLAK</v>
      </c>
      <c r="P9803" s="5" t="s">
        <v>60403</v>
      </c>
    </row>
    <row r="9804">
      <c r="A9804" s="4">
        <v>45534.488333622685</v>
      </c>
      <c r="B9804" s="5" t="s">
        <v>34</v>
      </c>
      <c r="D9804" s="5" t="s">
        <v>9394</v>
      </c>
      <c r="E9804" s="5" t="s">
        <v>60421</v>
      </c>
      <c r="F9804" s="5" t="s">
        <v>120</v>
      </c>
      <c r="G9804" s="5" t="s">
        <v>60422</v>
      </c>
      <c r="H9804" s="6" t="s">
        <v>60423</v>
      </c>
      <c r="K9804" s="5" t="s">
        <v>60418</v>
      </c>
      <c r="M9804" s="5" t="s">
        <v>60424</v>
      </c>
      <c r="N9804" s="7" t="s">
        <v>60425</v>
      </c>
      <c r="O9804" s="8" t="str">
        <f>HYPERLINK("https://drive.google.com/file/d/1PCn1VQghIgij12gi1fieYTuKcUxrK48b/view?usp=drivesdk","9803_YOSSY ZULVIANTI H _ SERTIFIKAT BerAKHLAK")</f>
        <v>9803_YOSSY ZULVIANTI H _ SERTIFIKAT BerAKHLAK</v>
      </c>
      <c r="P9804" s="5" t="s">
        <v>60426</v>
      </c>
    </row>
    <row r="9805">
      <c r="A9805" s="4">
        <v>45534.48836005787</v>
      </c>
      <c r="B9805" s="5" t="s">
        <v>34</v>
      </c>
      <c r="D9805" s="5" t="s">
        <v>9020</v>
      </c>
      <c r="E9805" s="5" t="s">
        <v>60427</v>
      </c>
      <c r="F9805" s="5" t="s">
        <v>212</v>
      </c>
      <c r="G9805" s="5" t="s">
        <v>60428</v>
      </c>
      <c r="H9805" s="6" t="s">
        <v>60429</v>
      </c>
      <c r="K9805" s="5" t="s">
        <v>60430</v>
      </c>
      <c r="M9805" s="5" t="s">
        <v>60431</v>
      </c>
      <c r="N9805" s="7" t="s">
        <v>60432</v>
      </c>
      <c r="O9805" s="8" t="str">
        <f>HYPERLINK("https://drive.google.com/file/d/1zpz1Efaariv5Ia17xgLZKGvnn7zKHmE4/view?usp=drivesdk","9804_ANISAH _ SERTIFIKAT BerAKHLAK")</f>
        <v>9804_ANISAH _ SERTIFIKAT BerAKHLAK</v>
      </c>
      <c r="P9805" s="5" t="s">
        <v>60426</v>
      </c>
    </row>
    <row r="9806">
      <c r="A9806" s="4">
        <v>45534.48863253472</v>
      </c>
      <c r="B9806" s="5" t="s">
        <v>34</v>
      </c>
      <c r="D9806" s="5" t="s">
        <v>9394</v>
      </c>
      <c r="E9806" s="5" t="s">
        <v>60433</v>
      </c>
      <c r="F9806" s="5" t="s">
        <v>72</v>
      </c>
      <c r="G9806" s="5" t="s">
        <v>60434</v>
      </c>
      <c r="H9806" s="6" t="s">
        <v>60435</v>
      </c>
      <c r="K9806" s="5" t="s">
        <v>60436</v>
      </c>
      <c r="M9806" s="5" t="s">
        <v>60437</v>
      </c>
      <c r="N9806" s="7" t="s">
        <v>60438</v>
      </c>
      <c r="O9806" s="8" t="str">
        <f>HYPERLINK("https://drive.google.com/file/d/1zWcQtOIBnNgUem2cgyka0PofNC6jP8Eh/view?usp=drivesdk","9805_YURNITA, S.M. M.Si _ SERTIFIKAT BerAKHLAK")</f>
        <v>9805_YURNITA, S.M. M.Si _ SERTIFIKAT BerAKHLAK</v>
      </c>
      <c r="P9806" s="5" t="s">
        <v>60426</v>
      </c>
    </row>
    <row r="9807">
      <c r="A9807" s="4">
        <v>45534.48866998842</v>
      </c>
      <c r="B9807" s="5" t="s">
        <v>34</v>
      </c>
      <c r="D9807" s="5" t="s">
        <v>9020</v>
      </c>
      <c r="E9807" s="5" t="s">
        <v>60439</v>
      </c>
      <c r="F9807" s="5" t="s">
        <v>72</v>
      </c>
      <c r="G9807" s="5" t="s">
        <v>60440</v>
      </c>
      <c r="H9807" s="6" t="s">
        <v>60441</v>
      </c>
      <c r="K9807" s="5" t="s">
        <v>60436</v>
      </c>
      <c r="M9807" s="5" t="s">
        <v>60442</v>
      </c>
      <c r="N9807" s="7" t="s">
        <v>60443</v>
      </c>
      <c r="O9807" s="8" t="str">
        <f>HYPERLINK("https://drive.google.com/file/d/1j0E5OahA2mofAbGMscytsV96vFS9hy5L/view?usp=drivesdk","9806_AMELIA POHAN _ SERTIFIKAT BerAKHLAK")</f>
        <v>9806_AMELIA POHAN _ SERTIFIKAT BerAKHLAK</v>
      </c>
      <c r="P9807" s="5" t="s">
        <v>60426</v>
      </c>
    </row>
    <row r="9808">
      <c r="A9808" s="4">
        <v>45534.48874178241</v>
      </c>
      <c r="B9808" s="5" t="s">
        <v>34</v>
      </c>
      <c r="D9808" s="5" t="s">
        <v>1206</v>
      </c>
      <c r="E9808" s="5" t="s">
        <v>60444</v>
      </c>
      <c r="F9808" s="5" t="s">
        <v>37</v>
      </c>
      <c r="G9808" s="5" t="s">
        <v>60445</v>
      </c>
      <c r="H9808" s="6" t="s">
        <v>60446</v>
      </c>
      <c r="K9808" s="5" t="s">
        <v>60447</v>
      </c>
      <c r="M9808" s="5" t="s">
        <v>60448</v>
      </c>
      <c r="N9808" s="7" t="s">
        <v>60449</v>
      </c>
      <c r="O9808" s="8" t="str">
        <f>HYPERLINK("https://drive.google.com/file/d/1rvqgFf-akoK7XBxZBWMO44HhgiqpMJPM/view?usp=drivesdk","9807_Denik Isnu Wardani _ SERTIFIKAT BerAKHLAK")</f>
        <v>9807_Denik Isnu Wardani _ SERTIFIKAT BerAKHLAK</v>
      </c>
      <c r="P9808" s="5" t="s">
        <v>60426</v>
      </c>
    </row>
    <row r="9809">
      <c r="A9809" s="4">
        <v>45534.48887876158</v>
      </c>
      <c r="B9809" s="5" t="s">
        <v>34</v>
      </c>
      <c r="D9809" s="5" t="s">
        <v>1206</v>
      </c>
      <c r="E9809" s="5" t="s">
        <v>60450</v>
      </c>
      <c r="F9809" s="5" t="s">
        <v>524</v>
      </c>
      <c r="G9809" s="5" t="s">
        <v>60451</v>
      </c>
      <c r="H9809" s="6" t="s">
        <v>60452</v>
      </c>
      <c r="K9809" s="5" t="s">
        <v>60453</v>
      </c>
      <c r="M9809" s="5" t="s">
        <v>60454</v>
      </c>
      <c r="N9809" s="7" t="s">
        <v>60455</v>
      </c>
      <c r="O9809" s="8" t="str">
        <f>HYPERLINK("https://drive.google.com/file/d/16tqWIwer_mNCJ2cXyR0a0mx5haX8Y_H_/view?usp=drivesdk","9808_SUPATMIATI,S.K.M _ SERTIFIKAT BerAKHLAK")</f>
        <v>9808_SUPATMIATI,S.K.M _ SERTIFIKAT BerAKHLAK</v>
      </c>
      <c r="P9809" s="5" t="s">
        <v>60456</v>
      </c>
    </row>
    <row r="9810">
      <c r="A9810" s="4">
        <v>45534.488982905095</v>
      </c>
      <c r="B9810" s="5" t="s">
        <v>34</v>
      </c>
      <c r="D9810" s="5" t="s">
        <v>9020</v>
      </c>
      <c r="E9810" s="5" t="s">
        <v>48786</v>
      </c>
      <c r="F9810" s="5" t="s">
        <v>524</v>
      </c>
      <c r="G9810" s="5" t="s">
        <v>60457</v>
      </c>
      <c r="H9810" s="6" t="s">
        <v>60458</v>
      </c>
      <c r="K9810" s="5" t="s">
        <v>60459</v>
      </c>
      <c r="M9810" s="5" t="s">
        <v>60460</v>
      </c>
      <c r="N9810" s="7" t="s">
        <v>60461</v>
      </c>
      <c r="O9810" s="8" t="str">
        <f>HYPERLINK("https://drive.google.com/file/d/1P_e9Qwr8t_OFctt2KRC0GpdVvR0U9Fon/view?usp=drivesdk","9809_EFRIKA MANURUNG, S.KOM _ SERTIFIKAT BerAKHLAK")</f>
        <v>9809_EFRIKA MANURUNG, S.KOM _ SERTIFIKAT BerAKHLAK</v>
      </c>
      <c r="P9810" s="5" t="s">
        <v>60456</v>
      </c>
    </row>
    <row r="9811">
      <c r="A9811" s="4">
        <v>45534.48903668982</v>
      </c>
      <c r="B9811" s="5" t="s">
        <v>34</v>
      </c>
      <c r="D9811" s="5" t="s">
        <v>580</v>
      </c>
      <c r="E9811" s="5" t="s">
        <v>60462</v>
      </c>
      <c r="F9811" s="5" t="s">
        <v>524</v>
      </c>
      <c r="G9811" s="5" t="s">
        <v>60463</v>
      </c>
      <c r="H9811" s="6" t="s">
        <v>60464</v>
      </c>
      <c r="K9811" s="5" t="s">
        <v>60459</v>
      </c>
      <c r="M9811" s="5" t="s">
        <v>60465</v>
      </c>
      <c r="N9811" s="7" t="s">
        <v>60466</v>
      </c>
      <c r="O9811" s="8" t="str">
        <f>HYPERLINK("https://drive.google.com/file/d/1esrccPMN83XAEevO3C_pm2HBSQspUjTE/view?usp=drivesdk","9810_NI NYOMAN SUNDARIANTI,S.Sos _ SERTIFIKAT BerAKHLAK")</f>
        <v>9810_NI NYOMAN SUNDARIANTI,S.Sos _ SERTIFIKAT BerAKHLAK</v>
      </c>
      <c r="P9811" s="5" t="s">
        <v>60456</v>
      </c>
    </row>
    <row r="9812">
      <c r="A9812" s="4">
        <v>45534.489060023145</v>
      </c>
      <c r="B9812" s="5" t="s">
        <v>34</v>
      </c>
      <c r="D9812" s="5" t="s">
        <v>1206</v>
      </c>
      <c r="E9812" s="5" t="s">
        <v>60467</v>
      </c>
      <c r="F9812" s="5" t="s">
        <v>37</v>
      </c>
      <c r="G9812" s="5" t="s">
        <v>60468</v>
      </c>
      <c r="H9812" s="6" t="s">
        <v>60469</v>
      </c>
      <c r="K9812" s="5" t="s">
        <v>60459</v>
      </c>
      <c r="M9812" s="5" t="s">
        <v>60470</v>
      </c>
      <c r="N9812" s="7" t="s">
        <v>60471</v>
      </c>
      <c r="O9812" s="8" t="str">
        <f>HYPERLINK("https://drive.google.com/file/d/1Iv6-yEImvXbzEFaVc0vcaIym6MCePeU1/view?usp=drivesdk","9811_LAILIYAH _ SERTIFIKAT BerAKHLAK")</f>
        <v>9811_LAILIYAH _ SERTIFIKAT BerAKHLAK</v>
      </c>
      <c r="P9812" s="5" t="s">
        <v>60456</v>
      </c>
    </row>
    <row r="9813">
      <c r="A9813" s="4">
        <v>45534.48924215278</v>
      </c>
      <c r="B9813" s="5" t="s">
        <v>34</v>
      </c>
      <c r="D9813" s="5" t="s">
        <v>9394</v>
      </c>
      <c r="E9813" s="5" t="s">
        <v>60472</v>
      </c>
      <c r="F9813" s="5" t="s">
        <v>375</v>
      </c>
      <c r="G9813" s="5" t="s">
        <v>60473</v>
      </c>
      <c r="H9813" s="6" t="s">
        <v>60474</v>
      </c>
      <c r="K9813" s="5" t="s">
        <v>60475</v>
      </c>
      <c r="M9813" s="5" t="s">
        <v>60476</v>
      </c>
      <c r="N9813" s="7" t="s">
        <v>60477</v>
      </c>
      <c r="O9813" s="8" t="str">
        <f>HYPERLINK("https://drive.google.com/file/d/1SV1ZklxqAyCSjYs_MDTWM_ptXcYX78yx/view?usp=drivesdk","9812_DARTI, S.E. _ SERTIFIKAT BerAKHLAK")</f>
        <v>9812_DARTI, S.E. _ SERTIFIKAT BerAKHLAK</v>
      </c>
      <c r="P9813" s="5" t="s">
        <v>60478</v>
      </c>
    </row>
    <row r="9814">
      <c r="A9814" s="4">
        <v>45534.489256875</v>
      </c>
      <c r="B9814" s="5" t="s">
        <v>34</v>
      </c>
      <c r="D9814" s="5" t="s">
        <v>9020</v>
      </c>
      <c r="E9814" s="5" t="s">
        <v>48327</v>
      </c>
      <c r="F9814" s="5" t="s">
        <v>524</v>
      </c>
      <c r="G9814" s="5" t="s">
        <v>48328</v>
      </c>
      <c r="H9814" s="6" t="s">
        <v>60479</v>
      </c>
      <c r="K9814" s="5" t="s">
        <v>60475</v>
      </c>
      <c r="M9814" s="5" t="s">
        <v>60480</v>
      </c>
      <c r="N9814" s="7" t="s">
        <v>60481</v>
      </c>
      <c r="O9814" s="8" t="str">
        <f>HYPERLINK("https://drive.google.com/file/d/1Qdt9dPOJMjWfeRBvuBbBAW6LVBq_o7ps/view?usp=drivesdk","9813_KRISTINA DESLIANA SIREGAR, SKM _ SERTIFIKAT BerAKHLAK")</f>
        <v>9813_KRISTINA DESLIANA SIREGAR, SKM _ SERTIFIKAT BerAKHLAK</v>
      </c>
      <c r="P9814" s="5" t="s">
        <v>60478</v>
      </c>
    </row>
    <row r="9815">
      <c r="A9815" s="4">
        <v>45534.48969811342</v>
      </c>
      <c r="B9815" s="5" t="s">
        <v>34</v>
      </c>
      <c r="D9815" s="5" t="s">
        <v>9020</v>
      </c>
      <c r="E9815" s="5" t="s">
        <v>60482</v>
      </c>
      <c r="F9815" s="5" t="s">
        <v>375</v>
      </c>
      <c r="G9815" s="5" t="s">
        <v>60483</v>
      </c>
      <c r="H9815" s="6" t="s">
        <v>60484</v>
      </c>
      <c r="K9815" s="5" t="s">
        <v>60485</v>
      </c>
      <c r="M9815" s="5" t="s">
        <v>60486</v>
      </c>
      <c r="N9815" s="7" t="s">
        <v>60487</v>
      </c>
      <c r="O9815" s="8" t="str">
        <f>HYPERLINK("https://drive.google.com/file/d/1aoGlFzO8M8DL-6-ahzwKKJApf6Bu8ThI/view?usp=drivesdk","9814_ZUL ELMI _ SERTIFIKAT BerAKHLAK")</f>
        <v>9814_ZUL ELMI _ SERTIFIKAT BerAKHLAK</v>
      </c>
      <c r="P9815" s="5" t="s">
        <v>60478</v>
      </c>
    </row>
    <row r="9816">
      <c r="A9816" s="4">
        <v>45534.48971708333</v>
      </c>
      <c r="B9816" s="5" t="s">
        <v>34</v>
      </c>
      <c r="D9816" s="5" t="s">
        <v>1206</v>
      </c>
      <c r="E9816" s="5" t="s">
        <v>60488</v>
      </c>
      <c r="F9816" s="5" t="s">
        <v>212</v>
      </c>
      <c r="G9816" s="5" t="s">
        <v>60489</v>
      </c>
      <c r="H9816" s="6" t="s">
        <v>60490</v>
      </c>
      <c r="K9816" s="5" t="s">
        <v>60485</v>
      </c>
      <c r="M9816" s="5" t="s">
        <v>60491</v>
      </c>
      <c r="N9816" s="7" t="s">
        <v>60492</v>
      </c>
      <c r="O9816" s="8" t="str">
        <f>HYPERLINK("https://drive.google.com/file/d/1SCvA_R_xVYU9pJG6shFhjWGWcF2kF85O/view?usp=drivesdk","9815_SOEGENG WAHJUDI _ SERTIFIKAT BerAKHLAK")</f>
        <v>9815_SOEGENG WAHJUDI _ SERTIFIKAT BerAKHLAK</v>
      </c>
      <c r="P9816" s="5" t="s">
        <v>60478</v>
      </c>
    </row>
    <row r="9817">
      <c r="A9817" s="4">
        <v>45534.48977482639</v>
      </c>
      <c r="B9817" s="5" t="s">
        <v>34</v>
      </c>
      <c r="D9817" s="5" t="s">
        <v>3432</v>
      </c>
      <c r="E9817" s="5" t="s">
        <v>60493</v>
      </c>
      <c r="F9817" s="5" t="s">
        <v>375</v>
      </c>
      <c r="G9817" s="5" t="s">
        <v>60494</v>
      </c>
      <c r="H9817" s="6" t="s">
        <v>60495</v>
      </c>
      <c r="K9817" s="5" t="s">
        <v>60496</v>
      </c>
      <c r="M9817" s="5" t="s">
        <v>60497</v>
      </c>
      <c r="N9817" s="7" t="s">
        <v>60498</v>
      </c>
      <c r="O9817" s="8" t="str">
        <f>HYPERLINK("https://drive.google.com/file/d/1YEBDb-3w1vuIJyNKXXVPNhchh3OwuS2Z/view?usp=drivesdk","9816_RUSTANI SIRAIT, S.KM _ SERTIFIKAT BerAKHLAK")</f>
        <v>9816_RUSTANI SIRAIT, S.KM _ SERTIFIKAT BerAKHLAK</v>
      </c>
      <c r="P9817" s="5" t="s">
        <v>60499</v>
      </c>
    </row>
    <row r="9818">
      <c r="A9818" s="4">
        <v>45534.490085428246</v>
      </c>
      <c r="B9818" s="5" t="s">
        <v>34</v>
      </c>
      <c r="D9818" s="5" t="s">
        <v>35</v>
      </c>
      <c r="E9818" s="5" t="s">
        <v>60500</v>
      </c>
      <c r="F9818" s="5" t="s">
        <v>375</v>
      </c>
      <c r="G9818" s="5" t="s">
        <v>60501</v>
      </c>
      <c r="H9818" s="6" t="s">
        <v>60502</v>
      </c>
      <c r="K9818" s="5" t="s">
        <v>60503</v>
      </c>
      <c r="M9818" s="5" t="s">
        <v>60504</v>
      </c>
      <c r="N9818" s="7" t="s">
        <v>60505</v>
      </c>
      <c r="O9818" s="8" t="str">
        <f>HYPERLINK("https://drive.google.com/file/d/1Ki6k6qMvduBDJkF4qd1kHdOOf9oZBF5V/view?usp=drivesdk","9817_ADI ROSADIAN, SE _ SERTIFIKAT BerAKHLAK")</f>
        <v>9817_ADI ROSADIAN, SE _ SERTIFIKAT BerAKHLAK</v>
      </c>
      <c r="P9818" s="5" t="s">
        <v>60499</v>
      </c>
    </row>
    <row r="9819">
      <c r="A9819" s="4">
        <v>45534.49013295139</v>
      </c>
      <c r="B9819" s="5" t="s">
        <v>34</v>
      </c>
      <c r="D9819" s="5" t="s">
        <v>1206</v>
      </c>
      <c r="E9819" s="5" t="s">
        <v>60506</v>
      </c>
      <c r="F9819" s="5" t="s">
        <v>524</v>
      </c>
      <c r="G9819" s="5" t="s">
        <v>60507</v>
      </c>
      <c r="H9819" s="6" t="s">
        <v>60508</v>
      </c>
      <c r="K9819" s="5" t="s">
        <v>60503</v>
      </c>
      <c r="M9819" s="5" t="s">
        <v>60509</v>
      </c>
      <c r="N9819" s="7" t="s">
        <v>60510</v>
      </c>
      <c r="O9819" s="8" t="str">
        <f>HYPERLINK("https://drive.google.com/file/d/15QhPVWHIvaurNqK63ICqXowa2-SBs-Ud/view?usp=drivesdk","9818_Intan Cahyanti Sugianto, S.Kep.,Ns _ SERTIFIKAT BerAKHLAK")</f>
        <v>9818_Intan Cahyanti Sugianto, S.Kep.,Ns _ SERTIFIKAT BerAKHLAK</v>
      </c>
      <c r="P9819" s="5" t="s">
        <v>60511</v>
      </c>
    </row>
    <row r="9820">
      <c r="A9820" s="4">
        <v>45534.490199907406</v>
      </c>
      <c r="B9820" s="5" t="s">
        <v>34</v>
      </c>
      <c r="D9820" s="5" t="s">
        <v>14424</v>
      </c>
      <c r="E9820" s="5" t="s">
        <v>60512</v>
      </c>
      <c r="F9820" s="5" t="s">
        <v>37</v>
      </c>
      <c r="G9820" s="5" t="s">
        <v>28629</v>
      </c>
      <c r="H9820" s="6" t="s">
        <v>60513</v>
      </c>
      <c r="K9820" s="5" t="s">
        <v>60514</v>
      </c>
      <c r="M9820" s="5" t="s">
        <v>60515</v>
      </c>
      <c r="N9820" s="7" t="s">
        <v>60516</v>
      </c>
      <c r="O9820" s="8" t="str">
        <f>HYPERLINK("https://drive.google.com/file/d/1UahZRZYgkoy3BDr5IHKANROa5IlKTUx8/view?usp=drivesdk","9819_MAKHFIRAH  _ SERTIFIKAT BerAKHLAK")</f>
        <v>9819_MAKHFIRAH  _ SERTIFIKAT BerAKHLAK</v>
      </c>
      <c r="P9820" s="5" t="s">
        <v>60511</v>
      </c>
    </row>
    <row r="9821">
      <c r="A9821" s="4">
        <v>45534.49037366898</v>
      </c>
      <c r="B9821" s="5" t="s">
        <v>34</v>
      </c>
      <c r="D9821" s="5" t="s">
        <v>1206</v>
      </c>
      <c r="E9821" s="5" t="s">
        <v>60517</v>
      </c>
      <c r="F9821" s="5" t="s">
        <v>328</v>
      </c>
      <c r="G9821" s="5" t="s">
        <v>60518</v>
      </c>
      <c r="H9821" s="6" t="s">
        <v>60519</v>
      </c>
      <c r="K9821" s="5" t="s">
        <v>60520</v>
      </c>
      <c r="M9821" s="5" t="s">
        <v>60521</v>
      </c>
      <c r="N9821" s="7" t="s">
        <v>60522</v>
      </c>
      <c r="O9821" s="8" t="str">
        <f>HYPERLINK("https://drive.google.com/file/d/1tJlZmFrclUQJcKXqv8WZ5hUIjtwyXAm3/view?usp=drivesdk","9820_BAKRI BAKRI _ SERTIFIKAT BerAKHLAK")</f>
        <v>9820_BAKRI BAKRI _ SERTIFIKAT BerAKHLAK</v>
      </c>
      <c r="P9821" s="5" t="s">
        <v>60511</v>
      </c>
    </row>
    <row r="9822">
      <c r="A9822" s="4">
        <v>45534.49067945602</v>
      </c>
      <c r="B9822" s="5" t="s">
        <v>34</v>
      </c>
      <c r="D9822" s="5" t="s">
        <v>1206</v>
      </c>
      <c r="E9822" s="5" t="s">
        <v>60523</v>
      </c>
      <c r="F9822" s="5" t="s">
        <v>37</v>
      </c>
      <c r="G9822" s="5" t="s">
        <v>60524</v>
      </c>
      <c r="H9822" s="6" t="s">
        <v>60525</v>
      </c>
      <c r="K9822" s="5" t="s">
        <v>60526</v>
      </c>
      <c r="M9822" s="5" t="s">
        <v>60527</v>
      </c>
      <c r="N9822" s="7" t="s">
        <v>60528</v>
      </c>
      <c r="O9822" s="8" t="str">
        <f>HYPERLINK("https://drive.google.com/file/d/1a8DRPZX1SnSeTTz5Bh_KXoYKLL8pPCqj/view?usp=drivesdk","9821_MOHAMMAD KHOIRUL, S.H. _ SERTIFIKAT BerAKHLAK")</f>
        <v>9821_MOHAMMAD KHOIRUL, S.H. _ SERTIFIKAT BerAKHLAK</v>
      </c>
      <c r="P9822" s="5" t="s">
        <v>60511</v>
      </c>
    </row>
    <row r="9823">
      <c r="A9823" s="4">
        <v>45534.49069777778</v>
      </c>
      <c r="B9823" s="5" t="s">
        <v>34</v>
      </c>
      <c r="D9823" s="5" t="s">
        <v>10297</v>
      </c>
      <c r="E9823" s="5" t="s">
        <v>60529</v>
      </c>
      <c r="F9823" s="5" t="s">
        <v>524</v>
      </c>
      <c r="G9823" s="5" t="s">
        <v>60530</v>
      </c>
      <c r="H9823" s="6" t="s">
        <v>60531</v>
      </c>
      <c r="K9823" s="5" t="s">
        <v>60526</v>
      </c>
      <c r="M9823" s="5" t="s">
        <v>60532</v>
      </c>
      <c r="N9823" s="7" t="s">
        <v>60533</v>
      </c>
      <c r="O9823" s="8" t="str">
        <f>HYPERLINK("https://drive.google.com/file/d/1g8wCWUiDuIakCOV45NCRmTxv8URCBaaN/view?usp=drivesdk","9822_PERDIN _ SERTIFIKAT BerAKHLAK")</f>
        <v>9822_PERDIN _ SERTIFIKAT BerAKHLAK</v>
      </c>
      <c r="P9823" s="5" t="s">
        <v>60534</v>
      </c>
    </row>
    <row r="9824">
      <c r="A9824" s="4">
        <v>45534.49071835648</v>
      </c>
      <c r="B9824" s="5" t="s">
        <v>34</v>
      </c>
      <c r="D9824" s="5" t="s">
        <v>1206</v>
      </c>
      <c r="E9824" s="5" t="s">
        <v>60535</v>
      </c>
      <c r="F9824" s="5" t="s">
        <v>37</v>
      </c>
      <c r="G9824" s="5" t="s">
        <v>60536</v>
      </c>
      <c r="H9824" s="6" t="s">
        <v>60537</v>
      </c>
      <c r="K9824" s="5" t="s">
        <v>60538</v>
      </c>
      <c r="M9824" s="5" t="s">
        <v>60539</v>
      </c>
      <c r="N9824" s="7" t="s">
        <v>60540</v>
      </c>
      <c r="O9824" s="8" t="str">
        <f>HYPERLINK("https://drive.google.com/file/d/1X0apLeRgB6IhZRtb2Z-AZJOrexTK-ASc/view?usp=drivesdk","9823_SITI MUNAWAROH  _ SERTIFIKAT BerAKHLAK")</f>
        <v>9823_SITI MUNAWAROH  _ SERTIFIKAT BerAKHLAK</v>
      </c>
      <c r="P9824" s="5" t="s">
        <v>60534</v>
      </c>
    </row>
    <row r="9825">
      <c r="A9825" s="4">
        <v>45534.49096778935</v>
      </c>
      <c r="B9825" s="5" t="s">
        <v>34</v>
      </c>
      <c r="D9825" s="5" t="s">
        <v>9394</v>
      </c>
      <c r="E9825" s="5" t="s">
        <v>60541</v>
      </c>
      <c r="F9825" s="5" t="s">
        <v>375</v>
      </c>
      <c r="G9825" s="5" t="s">
        <v>60542</v>
      </c>
      <c r="H9825" s="6" t="s">
        <v>60543</v>
      </c>
      <c r="K9825" s="5" t="s">
        <v>60544</v>
      </c>
      <c r="M9825" s="5" t="s">
        <v>60545</v>
      </c>
      <c r="N9825" s="7" t="s">
        <v>60546</v>
      </c>
      <c r="O9825" s="8" t="str">
        <f>HYPERLINK("https://drive.google.com/file/d/1gmW9FegJU-10RWeXPgRs-aVvSS9Ud7Y3/view?usp=drivesdk","9824_AGUS WALUYO _ SERTIFIKAT BerAKHLAK")</f>
        <v>9824_AGUS WALUYO _ SERTIFIKAT BerAKHLAK</v>
      </c>
      <c r="P9825" s="5" t="s">
        <v>60534</v>
      </c>
    </row>
    <row r="9826" hidden="1">
      <c r="A9826" s="4">
        <v>45534.49101603009</v>
      </c>
      <c r="B9826" s="5" t="s">
        <v>19</v>
      </c>
      <c r="C9826" s="5" t="s">
        <v>3301</v>
      </c>
      <c r="E9826" s="5" t="s">
        <v>60547</v>
      </c>
      <c r="F9826" s="5" t="s">
        <v>37</v>
      </c>
      <c r="G9826" s="5" t="s">
        <v>60548</v>
      </c>
      <c r="H9826" s="6" t="s">
        <v>60549</v>
      </c>
      <c r="K9826" s="5" t="s">
        <v>60544</v>
      </c>
      <c r="M9826" s="5" t="s">
        <v>60550</v>
      </c>
      <c r="N9826" s="7" t="s">
        <v>60551</v>
      </c>
      <c r="O9826" s="8" t="str">
        <f>HYPERLINK("https://drive.google.com/file/d/1vnPOj5TPqzblIfGiM51-Sr6PwrL0FidF/view?usp=drivesdk","9825_PRATIWI AGUSTINE, A.Md.A.K _ SERTIFIKAT BerAKHLAK")</f>
        <v>9825_PRATIWI AGUSTINE, A.Md.A.K _ SERTIFIKAT BerAKHLAK</v>
      </c>
      <c r="P9826" s="5" t="s">
        <v>60552</v>
      </c>
    </row>
    <row r="9827">
      <c r="A9827" s="4">
        <v>45534.49115052083</v>
      </c>
      <c r="B9827" s="5" t="s">
        <v>34</v>
      </c>
      <c r="D9827" s="5" t="s">
        <v>1663</v>
      </c>
      <c r="E9827" s="5" t="s">
        <v>60553</v>
      </c>
      <c r="F9827" s="5" t="s">
        <v>375</v>
      </c>
      <c r="G9827" s="5" t="s">
        <v>60554</v>
      </c>
      <c r="H9827" s="6" t="s">
        <v>60555</v>
      </c>
      <c r="K9827" s="5" t="s">
        <v>60556</v>
      </c>
      <c r="M9827" s="5" t="s">
        <v>60557</v>
      </c>
      <c r="N9827" s="7" t="s">
        <v>60558</v>
      </c>
      <c r="O9827" s="8" t="str">
        <f>HYPERLINK("https://drive.google.com/file/d/1dFmgi9cnSda6eznvQkeBYJAw3V5aUJjj/view?usp=drivesdk","9826_LAPARDI PADANG _ SERTIFIKAT BerAKHLAK")</f>
        <v>9826_LAPARDI PADANG _ SERTIFIKAT BerAKHLAK</v>
      </c>
      <c r="P9827" s="5" t="s">
        <v>60552</v>
      </c>
    </row>
    <row r="9828">
      <c r="A9828" s="4">
        <v>45534.491234664354</v>
      </c>
      <c r="B9828" s="5" t="s">
        <v>34</v>
      </c>
      <c r="D9828" s="5" t="s">
        <v>9020</v>
      </c>
      <c r="E9828" s="5" t="s">
        <v>32618</v>
      </c>
      <c r="F9828" s="5" t="s">
        <v>212</v>
      </c>
      <c r="G9828" s="5" t="s">
        <v>32619</v>
      </c>
      <c r="H9828" s="6" t="s">
        <v>60559</v>
      </c>
      <c r="K9828" s="5" t="s">
        <v>60560</v>
      </c>
      <c r="M9828" s="5" t="s">
        <v>60561</v>
      </c>
      <c r="N9828" s="7" t="s">
        <v>60562</v>
      </c>
      <c r="O9828" s="8" t="str">
        <f>HYPERLINK("https://drive.google.com/file/d/1y6lyfaAbKBHLJw0Wp-A-sPQi-43oGhOw/view?usp=drivesdk","9827_RIDWAN PANJAITAN _ SERTIFIKAT BerAKHLAK")</f>
        <v>9827_RIDWAN PANJAITAN _ SERTIFIKAT BerAKHLAK</v>
      </c>
      <c r="P9828" s="5" t="s">
        <v>60552</v>
      </c>
    </row>
    <row r="9829">
      <c r="A9829" s="4">
        <v>45534.49158371528</v>
      </c>
      <c r="B9829" s="5" t="s">
        <v>34</v>
      </c>
      <c r="D9829" s="5" t="s">
        <v>14313</v>
      </c>
      <c r="E9829" s="5" t="s">
        <v>60563</v>
      </c>
      <c r="F9829" s="5" t="s">
        <v>72</v>
      </c>
      <c r="G9829" s="5" t="s">
        <v>60564</v>
      </c>
      <c r="H9829" s="6" t="s">
        <v>60565</v>
      </c>
      <c r="K9829" s="5" t="s">
        <v>60566</v>
      </c>
      <c r="M9829" s="5" t="s">
        <v>60567</v>
      </c>
      <c r="N9829" s="7" t="s">
        <v>60568</v>
      </c>
      <c r="O9829" s="8" t="str">
        <f>HYPERLINK("https://drive.google.com/file/d/1munHMwlqW_GaesOTR_DVePeuVgzXBH34/view?usp=drivesdk","9828_Hj.ASNIA SAIS, S.ST.M.Kes _ SERTIFIKAT BerAKHLAK")</f>
        <v>9828_Hj.ASNIA SAIS, S.ST.M.Kes _ SERTIFIKAT BerAKHLAK</v>
      </c>
      <c r="P9829" s="5" t="s">
        <v>60552</v>
      </c>
    </row>
    <row r="9830">
      <c r="A9830" s="4">
        <v>45534.491713854164</v>
      </c>
      <c r="B9830" s="5" t="s">
        <v>34</v>
      </c>
      <c r="D9830" s="5" t="s">
        <v>1456</v>
      </c>
      <c r="E9830" s="5" t="s">
        <v>60569</v>
      </c>
      <c r="F9830" s="5" t="s">
        <v>72</v>
      </c>
      <c r="G9830" s="5" t="s">
        <v>60570</v>
      </c>
      <c r="H9830" s="6" t="s">
        <v>60571</v>
      </c>
      <c r="K9830" s="5" t="s">
        <v>60566</v>
      </c>
      <c r="M9830" s="5" t="s">
        <v>60572</v>
      </c>
      <c r="N9830" s="7" t="s">
        <v>60573</v>
      </c>
      <c r="O9830" s="8" t="str">
        <f>HYPERLINK("https://drive.google.com/file/d/1FdZEpZOu-qEO3SziEpnoPEoDoQqtSyFy/view?usp=drivesdk","9829_dr. RATNA MINANDA FITRYANI _ SERTIFIKAT BerAKHLAK")</f>
        <v>9829_dr. RATNA MINANDA FITRYANI _ SERTIFIKAT BerAKHLAK</v>
      </c>
      <c r="P9830" s="5" t="s">
        <v>60552</v>
      </c>
    </row>
    <row r="9831">
      <c r="A9831" s="4">
        <v>45534.49194628472</v>
      </c>
      <c r="B9831" s="5" t="s">
        <v>34</v>
      </c>
      <c r="D9831" s="5" t="s">
        <v>1206</v>
      </c>
      <c r="E9831" s="5" t="s">
        <v>60574</v>
      </c>
      <c r="F9831" s="5" t="s">
        <v>37</v>
      </c>
      <c r="G9831" s="5" t="s">
        <v>60575</v>
      </c>
      <c r="H9831" s="6" t="s">
        <v>60576</v>
      </c>
      <c r="K9831" s="5" t="s">
        <v>60577</v>
      </c>
      <c r="M9831" s="5" t="s">
        <v>60578</v>
      </c>
      <c r="N9831" s="7" t="s">
        <v>60579</v>
      </c>
      <c r="O9831" s="8" t="str">
        <f>HYPERLINK("https://drive.google.com/file/d/199Vg770XUX1aP2NcmLtRTVWt-2sR7aKi/view?usp=drivesdk","9830_RISTIANA WIDHIASTUTI, S.E., M.M. _ SERTIFIKAT BerAKHLAK")</f>
        <v>9830_RISTIANA WIDHIASTUTI, S.E., M.M. _ SERTIFIKAT BerAKHLAK</v>
      </c>
      <c r="P9831" s="5" t="s">
        <v>60580</v>
      </c>
    </row>
    <row r="9832">
      <c r="A9832" s="4">
        <v>45534.49220490741</v>
      </c>
      <c r="B9832" s="5" t="s">
        <v>34</v>
      </c>
      <c r="D9832" s="5" t="s">
        <v>1206</v>
      </c>
      <c r="E9832" s="5" t="s">
        <v>60581</v>
      </c>
      <c r="F9832" s="5" t="s">
        <v>37</v>
      </c>
      <c r="G9832" s="5" t="s">
        <v>17103</v>
      </c>
      <c r="H9832" s="6" t="s">
        <v>60582</v>
      </c>
      <c r="K9832" s="5" t="s">
        <v>60583</v>
      </c>
      <c r="M9832" s="5" t="s">
        <v>60584</v>
      </c>
      <c r="N9832" s="7" t="s">
        <v>60585</v>
      </c>
      <c r="O9832" s="8" t="str">
        <f>HYPERLINK("https://drive.google.com/file/d/1XrtYKVhMFZVuDrEKcLBK_R2QDAASvTqW/view?usp=drivesdk","9831_SUHATIMA,S.H. _ SERTIFIKAT BerAKHLAK")</f>
        <v>9831_SUHATIMA,S.H. _ SERTIFIKAT BerAKHLAK</v>
      </c>
      <c r="P9832" s="5" t="s">
        <v>60580</v>
      </c>
    </row>
    <row r="9833">
      <c r="A9833" s="4">
        <v>45534.492241527776</v>
      </c>
      <c r="B9833" s="5" t="s">
        <v>34</v>
      </c>
      <c r="D9833" s="5" t="s">
        <v>701</v>
      </c>
      <c r="E9833" s="5" t="s">
        <v>60586</v>
      </c>
      <c r="F9833" s="5" t="s">
        <v>212</v>
      </c>
      <c r="G9833" s="5" t="s">
        <v>60587</v>
      </c>
      <c r="H9833" s="6" t="s">
        <v>60588</v>
      </c>
      <c r="K9833" s="5" t="s">
        <v>60583</v>
      </c>
      <c r="M9833" s="5" t="s">
        <v>60589</v>
      </c>
      <c r="N9833" s="7" t="s">
        <v>60590</v>
      </c>
      <c r="O9833" s="8" t="str">
        <f>HYPERLINK("https://drive.google.com/file/d/1mAp4-4RhLr_NJ-j4fr7YzyOw2iaMgc4R/view?usp=drivesdk","9832_SYNTIA EMILYA, A.MK _ SERTIFIKAT BerAKHLAK")</f>
        <v>9832_SYNTIA EMILYA, A.MK _ SERTIFIKAT BerAKHLAK</v>
      </c>
      <c r="P9833" s="5" t="s">
        <v>60580</v>
      </c>
    </row>
    <row r="9834">
      <c r="A9834" s="4">
        <v>45534.49229310185</v>
      </c>
      <c r="B9834" s="5" t="s">
        <v>34</v>
      </c>
      <c r="D9834" s="5" t="s">
        <v>1206</v>
      </c>
      <c r="E9834" s="5" t="s">
        <v>60591</v>
      </c>
      <c r="F9834" s="5" t="s">
        <v>37</v>
      </c>
      <c r="G9834" s="5" t="s">
        <v>60592</v>
      </c>
      <c r="H9834" s="6" t="s">
        <v>60593</v>
      </c>
      <c r="K9834" s="5" t="s">
        <v>60594</v>
      </c>
      <c r="M9834" s="5" t="s">
        <v>60595</v>
      </c>
      <c r="N9834" s="7" t="s">
        <v>60596</v>
      </c>
      <c r="O9834" s="8" t="str">
        <f>HYPERLINK("https://drive.google.com/file/d/1v2qielo-cwy_FoavxSFMAG36ell3fsu_/view?usp=drivesdk","9833_Dyah Retno Palupi _ SERTIFIKAT BerAKHLAK")</f>
        <v>9833_Dyah Retno Palupi _ SERTIFIKAT BerAKHLAK</v>
      </c>
      <c r="P9834" s="5" t="s">
        <v>60580</v>
      </c>
    </row>
    <row r="9835">
      <c r="A9835" s="4">
        <v>45534.49249116898</v>
      </c>
      <c r="B9835" s="5" t="s">
        <v>34</v>
      </c>
      <c r="D9835" s="5" t="s">
        <v>35</v>
      </c>
      <c r="E9835" s="5" t="s">
        <v>60597</v>
      </c>
      <c r="F9835" s="5" t="s">
        <v>375</v>
      </c>
      <c r="G9835" s="5" t="s">
        <v>60598</v>
      </c>
      <c r="H9835" s="6" t="s">
        <v>60599</v>
      </c>
      <c r="K9835" s="5" t="s">
        <v>60594</v>
      </c>
      <c r="M9835" s="5" t="s">
        <v>60600</v>
      </c>
      <c r="N9835" s="7" t="s">
        <v>60601</v>
      </c>
      <c r="O9835" s="8" t="str">
        <f>HYPERLINK("https://drive.google.com/file/d/16dtzYl6h2kn08pbmTbEd_qtwz6_5rGAl/view?usp=drivesdk","9834_MARITA GRATIA ALLEINE RIRY, S.E. _ SERTIFIKAT BerAKHLAK")</f>
        <v>9834_MARITA GRATIA ALLEINE RIRY, S.E. _ SERTIFIKAT BerAKHLAK</v>
      </c>
      <c r="P9835" s="5" t="s">
        <v>60602</v>
      </c>
    </row>
    <row r="9836">
      <c r="A9836" s="4">
        <v>45534.4928516088</v>
      </c>
      <c r="B9836" s="5" t="s">
        <v>34</v>
      </c>
      <c r="D9836" s="5" t="s">
        <v>35</v>
      </c>
      <c r="E9836" s="5" t="s">
        <v>60603</v>
      </c>
      <c r="F9836" s="5" t="s">
        <v>72</v>
      </c>
      <c r="G9836" s="5" t="s">
        <v>60604</v>
      </c>
      <c r="H9836" s="6" t="s">
        <v>60605</v>
      </c>
      <c r="K9836" s="5" t="s">
        <v>60594</v>
      </c>
      <c r="M9836" s="5" t="s">
        <v>60606</v>
      </c>
      <c r="N9836" s="7" t="s">
        <v>60607</v>
      </c>
      <c r="O9836" s="8" t="str">
        <f>HYPERLINK("https://drive.google.com/file/d/1OmHURoZi6dKeUA0Fahnr9wXRtHI2_BG0/view?usp=drivesdk","9835_LYNA MARLYNA DIPL.RAD _ SERTIFIKAT BerAKHLAK")</f>
        <v>9835_LYNA MARLYNA DIPL.RAD _ SERTIFIKAT BerAKHLAK</v>
      </c>
      <c r="P9836" s="5" t="s">
        <v>60602</v>
      </c>
    </row>
    <row r="9837">
      <c r="A9837" s="4">
        <v>45534.49310486111</v>
      </c>
      <c r="B9837" s="5" t="s">
        <v>34</v>
      </c>
      <c r="D9837" s="5" t="s">
        <v>35</v>
      </c>
      <c r="E9837" s="5" t="s">
        <v>60608</v>
      </c>
      <c r="F9837" s="5" t="s">
        <v>37</v>
      </c>
      <c r="G9837" s="5" t="s">
        <v>60609</v>
      </c>
      <c r="H9837" s="6" t="s">
        <v>60610</v>
      </c>
      <c r="K9837" s="5" t="s">
        <v>60594</v>
      </c>
      <c r="M9837" s="5" t="s">
        <v>60611</v>
      </c>
      <c r="N9837" s="7" t="s">
        <v>60612</v>
      </c>
      <c r="O9837" s="8" t="str">
        <f>HYPERLINK("https://drive.google.com/file/d/1BeigvsIfOLtzEqP7JqYOjMGp8QjN-xCz/view?usp=drivesdk","9836_MITA YULIAWATI, A.Md.Gizi _ SERTIFIKAT BerAKHLAK")</f>
        <v>9836_MITA YULIAWATI, A.Md.Gizi _ SERTIFIKAT BerAKHLAK</v>
      </c>
      <c r="P9837" s="5" t="s">
        <v>60602</v>
      </c>
    </row>
    <row r="9838">
      <c r="A9838" s="4">
        <v>45534.493329930556</v>
      </c>
      <c r="B9838" s="5" t="s">
        <v>34</v>
      </c>
      <c r="D9838" s="5" t="s">
        <v>14313</v>
      </c>
      <c r="E9838" s="5" t="s">
        <v>60613</v>
      </c>
      <c r="F9838" s="5" t="s">
        <v>72</v>
      </c>
      <c r="G9838" s="5" t="s">
        <v>60614</v>
      </c>
      <c r="H9838" s="6" t="s">
        <v>60615</v>
      </c>
      <c r="K9838" s="5" t="s">
        <v>60594</v>
      </c>
      <c r="M9838" s="5" t="s">
        <v>60616</v>
      </c>
      <c r="N9838" s="7" t="s">
        <v>60617</v>
      </c>
      <c r="O9838" s="8" t="str">
        <f>HYPERLINK("https://drive.google.com/file/d/1ltTKJ30Z9H5m_P4JOCs0DTCdwwNoMX_2/view?usp=drivesdk","9837_JENNI KALLOLANGI _ SERTIFIKAT BerAKHLAK")</f>
        <v>9837_JENNI KALLOLANGI _ SERTIFIKAT BerAKHLAK</v>
      </c>
      <c r="P9838" s="5" t="s">
        <v>60618</v>
      </c>
    </row>
    <row r="9839" hidden="1">
      <c r="A9839" s="4">
        <v>45534.49351946759</v>
      </c>
      <c r="B9839" s="5" t="s">
        <v>19</v>
      </c>
      <c r="C9839" s="5" t="s">
        <v>442</v>
      </c>
      <c r="E9839" s="5" t="s">
        <v>60619</v>
      </c>
      <c r="F9839" s="5" t="s">
        <v>72</v>
      </c>
      <c r="G9839" s="5" t="s">
        <v>60620</v>
      </c>
      <c r="H9839" s="6" t="s">
        <v>60621</v>
      </c>
      <c r="K9839" s="5" t="s">
        <v>60594</v>
      </c>
      <c r="M9839" s="5" t="s">
        <v>60622</v>
      </c>
      <c r="N9839" s="7" t="s">
        <v>60623</v>
      </c>
      <c r="O9839" s="8" t="str">
        <f>HYPERLINK("https://drive.google.com/file/d/1fvg0gq38OWncWXguBWZ5CfUk34thisaV/view?usp=drivesdk","9838_Retno Dharmayanti A. Md _ SERTIFIKAT BerAKHLAK")</f>
        <v>9838_Retno Dharmayanti A. Md _ SERTIFIKAT BerAKHLAK</v>
      </c>
      <c r="P9839" s="5" t="s">
        <v>60624</v>
      </c>
    </row>
    <row r="9840">
      <c r="A9840" s="4">
        <v>45534.493579490736</v>
      </c>
      <c r="B9840" s="5" t="s">
        <v>34</v>
      </c>
      <c r="D9840" s="5" t="s">
        <v>14313</v>
      </c>
      <c r="E9840" s="5" t="s">
        <v>60625</v>
      </c>
      <c r="F9840" s="5" t="s">
        <v>524</v>
      </c>
      <c r="G9840" s="5" t="s">
        <v>60626</v>
      </c>
      <c r="H9840" s="6" t="s">
        <v>60627</v>
      </c>
      <c r="K9840" s="5" t="s">
        <v>60594</v>
      </c>
      <c r="M9840" s="5" t="s">
        <v>60628</v>
      </c>
      <c r="N9840" s="7" t="s">
        <v>60629</v>
      </c>
      <c r="O9840" s="8" t="str">
        <f>HYPERLINK("https://drive.google.com/file/d/1OKqtVtqulBdpUcVtrIjSYOT1s5_iDzND/view?usp=drivesdk","9839_SITTI ARAFAH _ SERTIFIKAT BerAKHLAK")</f>
        <v>9839_SITTI ARAFAH _ SERTIFIKAT BerAKHLAK</v>
      </c>
      <c r="P9840" s="5" t="s">
        <v>60630</v>
      </c>
    </row>
    <row r="9841">
      <c r="A9841" s="4">
        <v>45534.49384846065</v>
      </c>
      <c r="B9841" s="5" t="s">
        <v>34</v>
      </c>
      <c r="D9841" s="5" t="s">
        <v>14313</v>
      </c>
      <c r="E9841" s="7" t="s">
        <v>60631</v>
      </c>
      <c r="F9841" s="5" t="s">
        <v>715</v>
      </c>
      <c r="G9841" s="5" t="s">
        <v>60632</v>
      </c>
      <c r="H9841" s="6" t="s">
        <v>60633</v>
      </c>
      <c r="K9841" s="5" t="s">
        <v>60594</v>
      </c>
      <c r="M9841" s="5" t="s">
        <v>60634</v>
      </c>
      <c r="N9841" s="7" t="s">
        <v>60635</v>
      </c>
      <c r="O9841" s="8" t="str">
        <f>HYPERLINK("https://drive.google.com/file/d/1PdTtZLNn_zQOxlDdegHSKnB-ZSerQ154/view?usp=drivesdk","9840_ILHAM.SE _ SERTIFIKAT BerAKHLAK")</f>
        <v>9840_ILHAM.SE _ SERTIFIKAT BerAKHLAK</v>
      </c>
      <c r="P9841" s="5" t="s">
        <v>60636</v>
      </c>
    </row>
    <row r="9842">
      <c r="A9842" s="4">
        <v>45534.49396275463</v>
      </c>
      <c r="B9842" s="5" t="s">
        <v>34</v>
      </c>
      <c r="D9842" s="5" t="s">
        <v>12026</v>
      </c>
      <c r="E9842" s="5" t="s">
        <v>60637</v>
      </c>
      <c r="F9842" s="5" t="s">
        <v>37</v>
      </c>
      <c r="G9842" s="5" t="s">
        <v>60638</v>
      </c>
      <c r="H9842" s="6" t="s">
        <v>60639</v>
      </c>
      <c r="K9842" s="5" t="s">
        <v>60640</v>
      </c>
      <c r="M9842" s="5" t="s">
        <v>60641</v>
      </c>
      <c r="N9842" s="7" t="s">
        <v>60642</v>
      </c>
      <c r="O9842" s="8" t="str">
        <f>HYPERLINK("https://drive.google.com/file/d/1TV3CVgh_VOWJWgH54SkS1ZFyabvIQJBt/view?usp=drivesdk","9841_Abdul Rokim, Amd.kep _ SERTIFIKAT BerAKHLAK")</f>
        <v>9841_Abdul Rokim, Amd.kep _ SERTIFIKAT BerAKHLAK</v>
      </c>
      <c r="P9842" s="5" t="s">
        <v>60643</v>
      </c>
    </row>
    <row r="9843">
      <c r="A9843" s="4">
        <v>45534.49397826389</v>
      </c>
      <c r="B9843" s="5" t="s">
        <v>34</v>
      </c>
      <c r="D9843" s="5" t="s">
        <v>4775</v>
      </c>
      <c r="E9843" s="5" t="s">
        <v>60644</v>
      </c>
      <c r="F9843" s="5" t="s">
        <v>108</v>
      </c>
      <c r="G9843" s="5" t="s">
        <v>60645</v>
      </c>
      <c r="H9843" s="6" t="s">
        <v>60646</v>
      </c>
      <c r="K9843" s="5" t="s">
        <v>60640</v>
      </c>
      <c r="M9843" s="5" t="s">
        <v>60647</v>
      </c>
      <c r="N9843" s="7" t="s">
        <v>60648</v>
      </c>
      <c r="O9843" s="8" t="str">
        <f>HYPERLINK("https://drive.google.com/file/d/1tE9B0cIdrwOZzB2reRtAuonpAF3kX-nZ/view?usp=drivesdk","9842_SULIT STYONO BUDI PRAKOSO, A.Md _ SERTIFIKAT BerAKHLAK")</f>
        <v>9842_SULIT STYONO BUDI PRAKOSO, A.Md _ SERTIFIKAT BerAKHLAK</v>
      </c>
      <c r="P9843" s="5" t="s">
        <v>60649</v>
      </c>
    </row>
    <row r="9844">
      <c r="A9844" s="4">
        <v>45534.49411009259</v>
      </c>
      <c r="B9844" s="5" t="s">
        <v>34</v>
      </c>
      <c r="D9844" s="5" t="s">
        <v>1206</v>
      </c>
      <c r="E9844" s="5" t="s">
        <v>22578</v>
      </c>
      <c r="F9844" s="5" t="s">
        <v>212</v>
      </c>
      <c r="G9844" s="5" t="s">
        <v>60650</v>
      </c>
      <c r="H9844" s="6" t="s">
        <v>60651</v>
      </c>
      <c r="K9844" s="5" t="s">
        <v>60640</v>
      </c>
      <c r="M9844" s="5" t="s">
        <v>60652</v>
      </c>
      <c r="N9844" s="7" t="s">
        <v>60653</v>
      </c>
      <c r="O9844" s="8" t="str">
        <f>HYPERLINK("https://drive.google.com/file/d/18eR0ni2KbFfQwuEBz2Ox0ngD85QqfrPR/view?usp=drivesdk","9843_HANDIKA DIAN OKTARINA _ SERTIFIKAT BerAKHLAK")</f>
        <v>9843_HANDIKA DIAN OKTARINA _ SERTIFIKAT BerAKHLAK</v>
      </c>
      <c r="P9844" s="5" t="s">
        <v>60654</v>
      </c>
    </row>
    <row r="9845">
      <c r="A9845" s="4">
        <v>45534.494587141206</v>
      </c>
      <c r="B9845" s="5" t="s">
        <v>34</v>
      </c>
      <c r="D9845" s="5" t="s">
        <v>14313</v>
      </c>
      <c r="E9845" s="5" t="s">
        <v>60655</v>
      </c>
      <c r="F9845" s="5" t="s">
        <v>375</v>
      </c>
      <c r="G9845" s="5" t="s">
        <v>60656</v>
      </c>
      <c r="H9845" s="6" t="s">
        <v>60657</v>
      </c>
      <c r="K9845" s="5" t="s">
        <v>60640</v>
      </c>
      <c r="M9845" s="5" t="s">
        <v>60658</v>
      </c>
      <c r="N9845" s="7" t="s">
        <v>60659</v>
      </c>
      <c r="O9845" s="8" t="str">
        <f>HYPERLINK("https://drive.google.com/file/d/1X0y8Cc5616qddQ9ypXVitco8gW5sSfOr/view?usp=drivesdk","9844_DARMIATI,SKM _ SERTIFIKAT BerAKHLAK")</f>
        <v>9844_DARMIATI,SKM _ SERTIFIKAT BerAKHLAK</v>
      </c>
      <c r="P9845" s="5" t="s">
        <v>60660</v>
      </c>
    </row>
    <row r="9846">
      <c r="A9846" s="4">
        <v>45534.49464824074</v>
      </c>
      <c r="B9846" s="5" t="s">
        <v>34</v>
      </c>
      <c r="D9846" s="5" t="s">
        <v>14313</v>
      </c>
      <c r="E9846" s="5" t="s">
        <v>60661</v>
      </c>
      <c r="F9846" s="5" t="s">
        <v>375</v>
      </c>
      <c r="G9846" s="5" t="s">
        <v>60662</v>
      </c>
      <c r="H9846" s="6" t="s">
        <v>60663</v>
      </c>
      <c r="K9846" s="5" t="s">
        <v>60640</v>
      </c>
      <c r="M9846" s="5" t="s">
        <v>60664</v>
      </c>
      <c r="N9846" s="7" t="s">
        <v>60665</v>
      </c>
      <c r="O9846" s="8" t="str">
        <f>HYPERLINK("https://drive.google.com/file/d/1oROcjcCA92cDFiMeX86SWjK3T8I-fZBe/view?usp=drivesdk","9845_ASMIYATI,SKM _ SERTIFIKAT BerAKHLAK")</f>
        <v>9845_ASMIYATI,SKM _ SERTIFIKAT BerAKHLAK</v>
      </c>
      <c r="P9846" s="5" t="s">
        <v>60666</v>
      </c>
    </row>
    <row r="9847">
      <c r="A9847" s="4">
        <v>45534.494877523146</v>
      </c>
      <c r="B9847" s="5" t="s">
        <v>34</v>
      </c>
      <c r="D9847" s="5" t="s">
        <v>35</v>
      </c>
      <c r="E9847" s="5" t="s">
        <v>60667</v>
      </c>
      <c r="F9847" s="5" t="s">
        <v>37</v>
      </c>
      <c r="G9847" s="5" t="s">
        <v>60668</v>
      </c>
      <c r="H9847" s="6" t="s">
        <v>60669</v>
      </c>
      <c r="K9847" s="5" t="s">
        <v>60640</v>
      </c>
      <c r="M9847" s="5" t="s">
        <v>60670</v>
      </c>
      <c r="N9847" s="7" t="s">
        <v>60671</v>
      </c>
      <c r="O9847" s="8" t="str">
        <f>HYPERLINK("https://drive.google.com/file/d/1Df9URegSS_xuyUrjaC5IhG2zhz2Rbr_g/view?usp=drivesdk","9846_RINI MUTIARAWATI _ SERTIFIKAT BerAKHLAK")</f>
        <v>9846_RINI MUTIARAWATI _ SERTIFIKAT BerAKHLAK</v>
      </c>
      <c r="P9847" s="5" t="s">
        <v>60672</v>
      </c>
    </row>
    <row r="9848">
      <c r="A9848" s="4">
        <v>45534.49496034722</v>
      </c>
      <c r="B9848" s="5" t="s">
        <v>34</v>
      </c>
      <c r="D9848" s="5" t="s">
        <v>35</v>
      </c>
      <c r="E9848" s="5" t="s">
        <v>60673</v>
      </c>
      <c r="F9848" s="5" t="s">
        <v>37</v>
      </c>
      <c r="G9848" s="5" t="s">
        <v>60674</v>
      </c>
      <c r="H9848" s="6" t="s">
        <v>60675</v>
      </c>
      <c r="K9848" s="5" t="s">
        <v>60640</v>
      </c>
      <c r="M9848" s="5" t="s">
        <v>60676</v>
      </c>
      <c r="N9848" s="7" t="s">
        <v>60677</v>
      </c>
      <c r="O9848" s="8" t="str">
        <f>HYPERLINK("https://drive.google.com/file/d/15RjU9ZzcwXD_dM90Mfql9LmE90M-YqH5/view?usp=drivesdk","9847_ELVANA LAELASARI, SE _ SERTIFIKAT BerAKHLAK")</f>
        <v>9847_ELVANA LAELASARI, SE _ SERTIFIKAT BerAKHLAK</v>
      </c>
      <c r="P9848" s="5" t="s">
        <v>60678</v>
      </c>
    </row>
    <row r="9849">
      <c r="A9849" s="4">
        <v>45534.49507887731</v>
      </c>
      <c r="B9849" s="5" t="s">
        <v>34</v>
      </c>
      <c r="D9849" s="5" t="s">
        <v>35</v>
      </c>
      <c r="E9849" s="5" t="s">
        <v>60679</v>
      </c>
      <c r="F9849" s="5" t="s">
        <v>22</v>
      </c>
      <c r="G9849" s="5" t="s">
        <v>60680</v>
      </c>
      <c r="H9849" s="6" t="s">
        <v>60681</v>
      </c>
      <c r="K9849" s="5" t="s">
        <v>60682</v>
      </c>
      <c r="M9849" s="5" t="s">
        <v>60683</v>
      </c>
      <c r="N9849" s="7" t="s">
        <v>60684</v>
      </c>
      <c r="O9849" s="8" t="str">
        <f>HYPERLINK("https://drive.google.com/file/d/1KKQTyV_8xEt959N5KNDSQXVM1oZBTpvD/view?usp=drivesdk","9848_dr. Fitri Yusnitasari, Sp. Rad. MM _ SERTIFIKAT BerAKHLAK")</f>
        <v>9848_dr. Fitri Yusnitasari, Sp. Rad. MM _ SERTIFIKAT BerAKHLAK</v>
      </c>
      <c r="P9849" s="5" t="s">
        <v>60685</v>
      </c>
    </row>
    <row r="9850">
      <c r="A9850" s="4">
        <v>45534.49515290509</v>
      </c>
      <c r="B9850" s="5" t="s">
        <v>34</v>
      </c>
      <c r="D9850" s="5" t="s">
        <v>14313</v>
      </c>
      <c r="E9850" s="5" t="s">
        <v>60686</v>
      </c>
      <c r="F9850" s="5" t="s">
        <v>524</v>
      </c>
      <c r="G9850" s="5" t="s">
        <v>60687</v>
      </c>
      <c r="H9850" s="6" t="s">
        <v>60688</v>
      </c>
      <c r="K9850" s="5" t="s">
        <v>60682</v>
      </c>
      <c r="M9850" s="5" t="s">
        <v>60689</v>
      </c>
      <c r="N9850" s="7" t="s">
        <v>60690</v>
      </c>
      <c r="O9850" s="8" t="str">
        <f>HYPERLINK("https://drive.google.com/file/d/1HrY6U_vk8_f8U6YmrWoY40hp41mGQE17/view?usp=drivesdk","9849_DWI YUSRIANI YUSUF _ SERTIFIKAT BerAKHLAK")</f>
        <v>9849_DWI YUSRIANI YUSUF _ SERTIFIKAT BerAKHLAK</v>
      </c>
      <c r="P9850" s="5" t="s">
        <v>60691</v>
      </c>
    </row>
    <row r="9851" hidden="1">
      <c r="A9851" s="4">
        <v>45534.4952216088</v>
      </c>
      <c r="B9851" s="5" t="s">
        <v>19</v>
      </c>
      <c r="C9851" s="5" t="s">
        <v>292</v>
      </c>
      <c r="E9851" s="5" t="s">
        <v>60692</v>
      </c>
      <c r="F9851" s="5" t="s">
        <v>524</v>
      </c>
      <c r="G9851" s="5" t="s">
        <v>60693</v>
      </c>
      <c r="H9851" s="6" t="s">
        <v>60694</v>
      </c>
      <c r="K9851" s="5" t="s">
        <v>60682</v>
      </c>
      <c r="M9851" s="5" t="s">
        <v>60695</v>
      </c>
      <c r="N9851" s="7" t="s">
        <v>60696</v>
      </c>
      <c r="O9851" s="8" t="str">
        <f>HYPERLINK("https://drive.google.com/file/d/1Quu82EnQR_K6GyGYaFKDf5MpGdRhUgZU/view?usp=drivesdk","9850_ELI NURAENI _ SERTIFIKAT BerAKHLAK")</f>
        <v>9850_ELI NURAENI _ SERTIFIKAT BerAKHLAK</v>
      </c>
      <c r="P9851" s="5" t="s">
        <v>60697</v>
      </c>
    </row>
    <row r="9852">
      <c r="A9852" s="4">
        <v>45534.4952268287</v>
      </c>
      <c r="B9852" s="5" t="s">
        <v>34</v>
      </c>
      <c r="D9852" s="5" t="s">
        <v>35</v>
      </c>
      <c r="E9852" s="5" t="s">
        <v>60698</v>
      </c>
      <c r="F9852" s="5" t="s">
        <v>37</v>
      </c>
      <c r="G9852" s="5" t="s">
        <v>60699</v>
      </c>
      <c r="H9852" s="6" t="s">
        <v>60700</v>
      </c>
      <c r="K9852" s="5" t="s">
        <v>60682</v>
      </c>
      <c r="M9852" s="5" t="s">
        <v>60701</v>
      </c>
      <c r="N9852" s="7" t="s">
        <v>60702</v>
      </c>
      <c r="O9852" s="8" t="str">
        <f>HYPERLINK("https://drive.google.com/file/d/1RHCK9z4goLDovAbU8cKssbO9otgbIEt4/view?usp=drivesdk","9851_DEWI MERDEKA WATI _ SERTIFIKAT BerAKHLAK")</f>
        <v>9851_DEWI MERDEKA WATI _ SERTIFIKAT BerAKHLAK</v>
      </c>
      <c r="P9852" s="5" t="s">
        <v>60703</v>
      </c>
    </row>
    <row r="9853">
      <c r="A9853" s="4">
        <v>45534.495438819446</v>
      </c>
      <c r="B9853" s="5" t="s">
        <v>34</v>
      </c>
      <c r="D9853" s="5" t="s">
        <v>10297</v>
      </c>
      <c r="E9853" s="5" t="s">
        <v>60704</v>
      </c>
      <c r="F9853" s="5" t="s">
        <v>715</v>
      </c>
      <c r="G9853" s="5" t="s">
        <v>60705</v>
      </c>
      <c r="H9853" s="6" t="s">
        <v>60706</v>
      </c>
      <c r="K9853" s="5" t="s">
        <v>60682</v>
      </c>
      <c r="M9853" s="5" t="s">
        <v>60707</v>
      </c>
      <c r="N9853" s="7" t="s">
        <v>60708</v>
      </c>
      <c r="O9853" s="8" t="str">
        <f>HYPERLINK("https://drive.google.com/file/d/1n4wp8UHbIyPzS-uoeqsEFORm1Tggqnkw/view?usp=drivesdk","9852_FERNIDA SUSIYANTI. S. E.  _ SERTIFIKAT BerAKHLAK")</f>
        <v>9852_FERNIDA SUSIYANTI. S. E.  _ SERTIFIKAT BerAKHLAK</v>
      </c>
      <c r="P9853" s="5" t="s">
        <v>60709</v>
      </c>
    </row>
    <row r="9854">
      <c r="A9854" s="4">
        <v>45534.495652199075</v>
      </c>
      <c r="B9854" s="5" t="s">
        <v>34</v>
      </c>
      <c r="D9854" s="5" t="s">
        <v>35</v>
      </c>
      <c r="E9854" s="5" t="s">
        <v>60597</v>
      </c>
      <c r="F9854" s="5" t="s">
        <v>375</v>
      </c>
      <c r="G9854" s="5" t="s">
        <v>60710</v>
      </c>
      <c r="H9854" s="6" t="s">
        <v>60711</v>
      </c>
      <c r="K9854" s="5" t="s">
        <v>60712</v>
      </c>
      <c r="M9854" s="5" t="s">
        <v>60713</v>
      </c>
      <c r="N9854" s="7" t="s">
        <v>60714</v>
      </c>
      <c r="O9854" s="8" t="str">
        <f>HYPERLINK("https://drive.google.com/file/d/1Yt9V6pwCshB06W3zqfuETAdRCnfVuKDZ/view?usp=drivesdk","9853_MARITA GRATIA ALLEINE RIRY, S.E. _ SERTIFIKAT BerAKHLAK")</f>
        <v>9853_MARITA GRATIA ALLEINE RIRY, S.E. _ SERTIFIKAT BerAKHLAK</v>
      </c>
      <c r="P9854" s="5" t="s">
        <v>60715</v>
      </c>
    </row>
    <row r="9855">
      <c r="A9855" s="4">
        <v>45534.49573833334</v>
      </c>
      <c r="B9855" s="5" t="s">
        <v>34</v>
      </c>
      <c r="D9855" s="5" t="s">
        <v>1206</v>
      </c>
      <c r="E9855" s="5" t="s">
        <v>60716</v>
      </c>
      <c r="F9855" s="5" t="s">
        <v>37</v>
      </c>
      <c r="G9855" s="5" t="s">
        <v>60717</v>
      </c>
      <c r="H9855" s="6" t="s">
        <v>60718</v>
      </c>
      <c r="K9855" s="5" t="s">
        <v>60719</v>
      </c>
      <c r="M9855" s="5" t="s">
        <v>60720</v>
      </c>
      <c r="N9855" s="7" t="s">
        <v>60721</v>
      </c>
      <c r="O9855" s="8" t="str">
        <f>HYPERLINK("https://drive.google.com/file/d/16RiwGZhEoQrmfYfJAWTUwCDyc6aRzoIl/view?usp=drivesdk","9854_AGUS BASUKI _ SERTIFIKAT BerAKHLAK")</f>
        <v>9854_AGUS BASUKI _ SERTIFIKAT BerAKHLAK</v>
      </c>
      <c r="P9855" s="5" t="s">
        <v>60722</v>
      </c>
    </row>
    <row r="9856">
      <c r="A9856" s="4">
        <v>45534.49602814815</v>
      </c>
      <c r="B9856" s="5" t="s">
        <v>34</v>
      </c>
      <c r="D9856" s="5" t="s">
        <v>6232</v>
      </c>
      <c r="E9856" s="5" t="s">
        <v>60723</v>
      </c>
      <c r="F9856" s="5" t="s">
        <v>72</v>
      </c>
      <c r="G9856" s="5" t="s">
        <v>60724</v>
      </c>
      <c r="H9856" s="6" t="s">
        <v>60725</v>
      </c>
      <c r="K9856" s="5" t="s">
        <v>60726</v>
      </c>
      <c r="M9856" s="5" t="s">
        <v>60727</v>
      </c>
      <c r="N9856" s="7" t="s">
        <v>60728</v>
      </c>
      <c r="O9856" s="8" t="str">
        <f>HYPERLINK("https://drive.google.com/file/d/1xnvEaABJh2yNMSWcE-wZQfn15Mg6NmKt/view?usp=drivesdk","9855_STEVANIA SANDRELY SE _ SERTIFIKAT BerAKHLAK")</f>
        <v>9855_STEVANIA SANDRELY SE _ SERTIFIKAT BerAKHLAK</v>
      </c>
      <c r="P9856" s="5" t="s">
        <v>60729</v>
      </c>
    </row>
    <row r="9857">
      <c r="A9857" s="4">
        <v>45534.49608561343</v>
      </c>
      <c r="B9857" s="5" t="s">
        <v>34</v>
      </c>
      <c r="D9857" s="5" t="s">
        <v>4775</v>
      </c>
      <c r="E9857" s="5" t="s">
        <v>60730</v>
      </c>
      <c r="F9857" s="5" t="s">
        <v>199</v>
      </c>
      <c r="G9857" s="5" t="s">
        <v>60731</v>
      </c>
      <c r="H9857" s="6" t="s">
        <v>60732</v>
      </c>
      <c r="K9857" s="5" t="s">
        <v>60733</v>
      </c>
      <c r="M9857" s="5" t="s">
        <v>60734</v>
      </c>
      <c r="N9857" s="7" t="s">
        <v>60735</v>
      </c>
      <c r="O9857" s="8" t="str">
        <f>HYPERLINK("https://drive.google.com/file/d/1eUftBEhuOgYCn0O-MIqC9yvu1ZC0RzML/view?usp=drivesdk","9856_SUPRIHATIN _ SERTIFIKAT BerAKHLAK")</f>
        <v>9856_SUPRIHATIN _ SERTIFIKAT BerAKHLAK</v>
      </c>
      <c r="P9857" s="5" t="s">
        <v>60736</v>
      </c>
    </row>
    <row r="9858">
      <c r="A9858" s="4">
        <v>45534.49653289352</v>
      </c>
      <c r="B9858" s="5" t="s">
        <v>34</v>
      </c>
      <c r="D9858" s="5" t="s">
        <v>14313</v>
      </c>
      <c r="E9858" s="5" t="s">
        <v>60737</v>
      </c>
      <c r="F9858" s="5" t="s">
        <v>212</v>
      </c>
      <c r="G9858" s="5" t="s">
        <v>60738</v>
      </c>
      <c r="H9858" s="6" t="s">
        <v>60739</v>
      </c>
      <c r="K9858" s="5" t="s">
        <v>60740</v>
      </c>
      <c r="M9858" s="5" t="s">
        <v>60741</v>
      </c>
      <c r="N9858" s="7" t="s">
        <v>60742</v>
      </c>
      <c r="O9858" s="8" t="str">
        <f>HYPERLINK("https://drive.google.com/file/d/1M-Q4W71sdaFQrKuWzoun4V4vGRAD3m-7/view?usp=drivesdk","9857_ANDAREAS _ SERTIFIKAT BerAKHLAK")</f>
        <v>9857_ANDAREAS _ SERTIFIKAT BerAKHLAK</v>
      </c>
      <c r="P9858" s="5" t="s">
        <v>60743</v>
      </c>
    </row>
    <row r="9859">
      <c r="A9859" s="4">
        <v>45534.496578680555</v>
      </c>
      <c r="B9859" s="5" t="s">
        <v>34</v>
      </c>
      <c r="D9859" s="5" t="s">
        <v>604</v>
      </c>
      <c r="E9859" s="5" t="s">
        <v>60744</v>
      </c>
      <c r="F9859" s="5" t="s">
        <v>212</v>
      </c>
      <c r="G9859" s="5" t="s">
        <v>60745</v>
      </c>
      <c r="H9859" s="6" t="s">
        <v>60746</v>
      </c>
      <c r="K9859" s="5" t="s">
        <v>60747</v>
      </c>
      <c r="M9859" s="5" t="s">
        <v>60748</v>
      </c>
      <c r="N9859" s="7" t="s">
        <v>60749</v>
      </c>
      <c r="O9859" s="8" t="str">
        <f>HYPERLINK("https://drive.google.com/file/d/1Oy23x4Yvq-eqh_Cyta_R6LOJkPsKEdBD/view?usp=drivesdk","9858_FRITSANNA FONATABA _ SERTIFIKAT BerAKHLAK")</f>
        <v>9858_FRITSANNA FONATABA _ SERTIFIKAT BerAKHLAK</v>
      </c>
      <c r="P9859" s="5" t="s">
        <v>60750</v>
      </c>
    </row>
    <row r="9860">
      <c r="A9860" s="4">
        <v>45534.49717880787</v>
      </c>
      <c r="B9860" s="5" t="s">
        <v>34</v>
      </c>
      <c r="D9860" s="5" t="s">
        <v>1206</v>
      </c>
      <c r="E9860" s="5" t="s">
        <v>60751</v>
      </c>
      <c r="F9860" s="5" t="s">
        <v>37</v>
      </c>
      <c r="G9860" s="5" t="s">
        <v>60752</v>
      </c>
      <c r="H9860" s="6" t="s">
        <v>60753</v>
      </c>
      <c r="K9860" s="5" t="s">
        <v>60754</v>
      </c>
      <c r="M9860" s="5" t="s">
        <v>60755</v>
      </c>
      <c r="N9860" s="7" t="s">
        <v>60756</v>
      </c>
      <c r="O9860" s="8" t="str">
        <f>HYPERLINK("https://drive.google.com/file/d/1UQ71ZFENL0xjrdhFLbv3sWc-IhsIDPJs/view?usp=drivesdk","9859_GANJAR AROHMAN, AMK _ SERTIFIKAT BerAKHLAK")</f>
        <v>9859_GANJAR AROHMAN, AMK _ SERTIFIKAT BerAKHLAK</v>
      </c>
      <c r="P9860" s="5" t="s">
        <v>60757</v>
      </c>
    </row>
    <row r="9861">
      <c r="A9861" s="4">
        <v>45534.49740211805</v>
      </c>
      <c r="B9861" s="5" t="s">
        <v>34</v>
      </c>
      <c r="D9861" s="5" t="s">
        <v>4775</v>
      </c>
      <c r="E9861" s="5" t="s">
        <v>37433</v>
      </c>
      <c r="F9861" s="5" t="s">
        <v>5859</v>
      </c>
      <c r="G9861" s="5" t="s">
        <v>60758</v>
      </c>
      <c r="H9861" s="6" t="s">
        <v>60759</v>
      </c>
      <c r="K9861" s="5" t="s">
        <v>60754</v>
      </c>
      <c r="M9861" s="5" t="s">
        <v>60760</v>
      </c>
      <c r="N9861" s="7" t="s">
        <v>60761</v>
      </c>
      <c r="O9861" s="8" t="str">
        <f>HYPERLINK("https://drive.google.com/file/d/1D5PxJ8S4XFCJJeyjMcrRl8lTNsfVh22u/view?usp=drivesdk","9860_ISMAIL _ SERTIFIKAT BerAKHLAK")</f>
        <v>9860_ISMAIL _ SERTIFIKAT BerAKHLAK</v>
      </c>
      <c r="P9861" s="5" t="s">
        <v>60762</v>
      </c>
    </row>
    <row r="9862">
      <c r="A9862" s="4">
        <v>45534.49741106482</v>
      </c>
      <c r="B9862" s="5" t="s">
        <v>34</v>
      </c>
      <c r="D9862" s="5" t="s">
        <v>14313</v>
      </c>
      <c r="E9862" s="5" t="s">
        <v>60763</v>
      </c>
      <c r="F9862" s="5" t="s">
        <v>524</v>
      </c>
      <c r="G9862" s="5" t="s">
        <v>60764</v>
      </c>
      <c r="H9862" s="6" t="s">
        <v>60765</v>
      </c>
      <c r="K9862" s="5" t="s">
        <v>60754</v>
      </c>
      <c r="M9862" s="5" t="s">
        <v>60766</v>
      </c>
      <c r="N9862" s="7" t="s">
        <v>60767</v>
      </c>
      <c r="O9862" s="8" t="str">
        <f>HYPERLINK("https://drive.google.com/file/d/1WEoYPIl30wPslaqt7h0PGnXre6zBnNzC/view?usp=drivesdk","9861_SATRIANI S.KEP.NS _ SERTIFIKAT BerAKHLAK")</f>
        <v>9861_SATRIANI S.KEP.NS _ SERTIFIKAT BerAKHLAK</v>
      </c>
      <c r="P9862" s="5" t="s">
        <v>60768</v>
      </c>
    </row>
    <row r="9863">
      <c r="A9863" s="4">
        <v>45534.49744854167</v>
      </c>
      <c r="B9863" s="5" t="s">
        <v>34</v>
      </c>
      <c r="D9863" s="5" t="s">
        <v>14313</v>
      </c>
      <c r="E9863" s="5" t="s">
        <v>60769</v>
      </c>
      <c r="F9863" s="5" t="s">
        <v>72</v>
      </c>
      <c r="G9863" s="5" t="s">
        <v>60770</v>
      </c>
      <c r="H9863" s="6" t="s">
        <v>60771</v>
      </c>
      <c r="K9863" s="5" t="s">
        <v>60772</v>
      </c>
      <c r="M9863" s="5" t="s">
        <v>60773</v>
      </c>
      <c r="N9863" s="7" t="s">
        <v>60774</v>
      </c>
      <c r="O9863" s="8" t="str">
        <f>HYPERLINK("https://drive.google.com/file/d/15K0RHQaF9SYliwOtAeD4S-Sd67lsrb-v/view?usp=drivesdk","9862_NS. AZRIDA AFRIANA ISHAK, SKM, S.KEP _ SERTIFIKAT BerAKHLAK")</f>
        <v>9862_NS. AZRIDA AFRIANA ISHAK, SKM, S.KEP _ SERTIFIKAT BerAKHLAK</v>
      </c>
      <c r="P9863" s="5" t="s">
        <v>60775</v>
      </c>
    </row>
    <row r="9864">
      <c r="A9864" s="4">
        <v>45534.497546886574</v>
      </c>
      <c r="B9864" s="5" t="s">
        <v>34</v>
      </c>
      <c r="D9864" s="5" t="s">
        <v>4775</v>
      </c>
      <c r="E9864" s="5" t="s">
        <v>60776</v>
      </c>
      <c r="F9864" s="5" t="s">
        <v>524</v>
      </c>
      <c r="G9864" s="5" t="s">
        <v>60777</v>
      </c>
      <c r="H9864" s="6" t="s">
        <v>60778</v>
      </c>
      <c r="K9864" s="5" t="s">
        <v>60779</v>
      </c>
      <c r="M9864" s="5" t="s">
        <v>60780</v>
      </c>
      <c r="N9864" s="7" t="s">
        <v>60781</v>
      </c>
      <c r="O9864" s="8" t="str">
        <f>HYPERLINK("https://drive.google.com/file/d/1j-eVLaEf4RHQyeBR3KoRUd1rDdFfWfat/view?usp=drivesdk","9863_HERRY POERWANTO _ SERTIFIKAT BerAKHLAK")</f>
        <v>9863_HERRY POERWANTO _ SERTIFIKAT BerAKHLAK</v>
      </c>
      <c r="P9864" s="5" t="s">
        <v>60782</v>
      </c>
    </row>
    <row r="9865">
      <c r="A9865" s="4">
        <v>45534.49760993056</v>
      </c>
      <c r="B9865" s="5" t="s">
        <v>34</v>
      </c>
      <c r="D9865" s="5" t="s">
        <v>15401</v>
      </c>
      <c r="E9865" s="5" t="s">
        <v>60783</v>
      </c>
      <c r="F9865" s="5" t="s">
        <v>37</v>
      </c>
      <c r="G9865" s="5" t="s">
        <v>60784</v>
      </c>
      <c r="H9865" s="6" t="s">
        <v>60785</v>
      </c>
      <c r="K9865" s="5" t="s">
        <v>60786</v>
      </c>
      <c r="M9865" s="5" t="s">
        <v>60787</v>
      </c>
      <c r="N9865" s="7" t="s">
        <v>60788</v>
      </c>
      <c r="O9865" s="8" t="str">
        <f>HYPERLINK("https://drive.google.com/file/d/1jsCr4Jxlu14ElhS76M8dlL4lRLx23Ybl/view?usp=drivesdk","9864_NURSALAM SATARAL _ SERTIFIKAT BerAKHLAK")</f>
        <v>9864_NURSALAM SATARAL _ SERTIFIKAT BerAKHLAK</v>
      </c>
      <c r="P9865" s="5" t="s">
        <v>60789</v>
      </c>
    </row>
    <row r="9866">
      <c r="A9866" s="4">
        <v>45534.49792732639</v>
      </c>
      <c r="B9866" s="5" t="s">
        <v>34</v>
      </c>
      <c r="D9866" s="5" t="s">
        <v>9020</v>
      </c>
      <c r="E9866" s="5" t="s">
        <v>60790</v>
      </c>
      <c r="F9866" s="5" t="s">
        <v>199</v>
      </c>
      <c r="G9866" s="5" t="s">
        <v>60791</v>
      </c>
      <c r="H9866" s="6" t="s">
        <v>60792</v>
      </c>
      <c r="K9866" s="5" t="s">
        <v>60793</v>
      </c>
      <c r="M9866" s="5" t="s">
        <v>60794</v>
      </c>
      <c r="N9866" s="7" t="s">
        <v>60795</v>
      </c>
      <c r="O9866" s="8" t="str">
        <f>HYPERLINK("https://drive.google.com/file/d/1ACnJ8FDV4D0kmvZJ54YnRHK2jj8KHXcW/view?usp=drivesdk","9865_HERTINA LUMBANTORUAN _ SERTIFIKAT BerAKHLAK")</f>
        <v>9865_HERTINA LUMBANTORUAN _ SERTIFIKAT BerAKHLAK</v>
      </c>
      <c r="P9866" s="5" t="s">
        <v>60796</v>
      </c>
    </row>
    <row r="9867" hidden="1">
      <c r="A9867" s="4">
        <v>45534.49808517361</v>
      </c>
      <c r="B9867" s="5" t="s">
        <v>19</v>
      </c>
      <c r="C9867" s="5" t="s">
        <v>292</v>
      </c>
      <c r="E9867" s="5" t="s">
        <v>60797</v>
      </c>
      <c r="F9867" s="5" t="s">
        <v>212</v>
      </c>
      <c r="G9867" s="5" t="s">
        <v>60798</v>
      </c>
      <c r="H9867" s="6" t="s">
        <v>60799</v>
      </c>
      <c r="K9867" s="5" t="s">
        <v>60800</v>
      </c>
      <c r="M9867" s="5" t="s">
        <v>60801</v>
      </c>
      <c r="N9867" s="7" t="s">
        <v>60802</v>
      </c>
      <c r="O9867" s="8" t="str">
        <f>HYPERLINK("https://drive.google.com/file/d/1F_KgVfSb_SkMSVQ6GCgSJ5RLA55o5ss4/view?usp=drivesdk","9866_ACHMAD YUSUP _ SERTIFIKAT BerAKHLAK")</f>
        <v>9866_ACHMAD YUSUP _ SERTIFIKAT BerAKHLAK</v>
      </c>
      <c r="P9867" s="5" t="s">
        <v>60803</v>
      </c>
    </row>
    <row r="9868">
      <c r="A9868" s="4">
        <v>45534.49809525463</v>
      </c>
      <c r="B9868" s="5" t="s">
        <v>34</v>
      </c>
      <c r="D9868" s="5" t="s">
        <v>14313</v>
      </c>
      <c r="E9868" s="5" t="s">
        <v>60804</v>
      </c>
      <c r="F9868" s="5" t="s">
        <v>37</v>
      </c>
      <c r="G9868" s="5" t="s">
        <v>60805</v>
      </c>
      <c r="H9868" s="6" t="s">
        <v>60806</v>
      </c>
      <c r="K9868" s="5" t="s">
        <v>60800</v>
      </c>
      <c r="M9868" s="5" t="s">
        <v>60807</v>
      </c>
      <c r="N9868" s="7" t="s">
        <v>60808</v>
      </c>
      <c r="O9868" s="8" t="str">
        <f>HYPERLINK("https://drive.google.com/file/d/1_oQ7fKCvUZIhCdG9pSy6mUOT6Q_e2Axq/view?usp=drivesdk","9867_HASMAWATI  S.KEP.NS _ SERTIFIKAT BerAKHLAK")</f>
        <v>9867_HASMAWATI  S.KEP.NS _ SERTIFIKAT BerAKHLAK</v>
      </c>
      <c r="P9868" s="5" t="s">
        <v>60809</v>
      </c>
    </row>
    <row r="9869" hidden="1">
      <c r="A9869" s="4">
        <v>45534.498231817124</v>
      </c>
      <c r="B9869" s="5" t="s">
        <v>19</v>
      </c>
      <c r="C9869" s="5" t="s">
        <v>292</v>
      </c>
      <c r="E9869" s="5" t="s">
        <v>60810</v>
      </c>
      <c r="F9869" s="5" t="s">
        <v>37</v>
      </c>
      <c r="G9869" s="5" t="s">
        <v>60811</v>
      </c>
      <c r="H9869" s="6" t="s">
        <v>60812</v>
      </c>
      <c r="K9869" s="5" t="s">
        <v>60800</v>
      </c>
      <c r="M9869" s="5" t="s">
        <v>60813</v>
      </c>
      <c r="N9869" s="7" t="s">
        <v>60814</v>
      </c>
      <c r="O9869" s="8" t="str">
        <f>HYPERLINK("https://drive.google.com/file/d/1mNKmRULF2qYv-yhdZmAwAsVaIPAS-9od/view?usp=drivesdk","9868_IRSYA TITIS ZURACHMAN,A.Md.Kes.Gi. _ SERTIFIKAT BerAKHLAK")</f>
        <v>9868_IRSYA TITIS ZURACHMAN,A.Md.Kes.Gi. _ SERTIFIKAT BerAKHLAK</v>
      </c>
      <c r="P9869" s="5" t="s">
        <v>60815</v>
      </c>
    </row>
    <row r="9870">
      <c r="A9870" s="4">
        <v>45534.498316516205</v>
      </c>
      <c r="B9870" s="5" t="s">
        <v>34</v>
      </c>
      <c r="D9870" s="5" t="s">
        <v>12978</v>
      </c>
      <c r="E9870" s="5" t="s">
        <v>60816</v>
      </c>
      <c r="F9870" s="5" t="s">
        <v>108</v>
      </c>
      <c r="G9870" s="5" t="s">
        <v>60817</v>
      </c>
      <c r="H9870" s="6" t="s">
        <v>60818</v>
      </c>
      <c r="K9870" s="5" t="s">
        <v>60800</v>
      </c>
      <c r="M9870" s="5" t="s">
        <v>60819</v>
      </c>
      <c r="N9870" s="7" t="s">
        <v>60820</v>
      </c>
      <c r="O9870" s="8" t="str">
        <f>HYPERLINK("https://drive.google.com/file/d/1B5w1bgdHw0mkR6UDhULPTqB4PLNjTDlh/view?usp=drivesdk","9869_ARSELARINDANG S,S.Gz _ SERTIFIKAT BerAKHLAK")</f>
        <v>9869_ARSELARINDANG S,S.Gz _ SERTIFIKAT BerAKHLAK</v>
      </c>
      <c r="P9870" s="5" t="s">
        <v>60821</v>
      </c>
    </row>
    <row r="9871">
      <c r="A9871" s="4">
        <v>45534.49845054398</v>
      </c>
      <c r="B9871" s="5" t="s">
        <v>34</v>
      </c>
      <c r="D9871" s="5" t="s">
        <v>9020</v>
      </c>
      <c r="E9871" s="5" t="s">
        <v>15428</v>
      </c>
      <c r="F9871" s="5" t="s">
        <v>212</v>
      </c>
      <c r="G9871" s="5" t="s">
        <v>60822</v>
      </c>
      <c r="H9871" s="6" t="s">
        <v>60823</v>
      </c>
      <c r="K9871" s="5" t="s">
        <v>60824</v>
      </c>
      <c r="M9871" s="5" t="s">
        <v>60825</v>
      </c>
      <c r="N9871" s="7" t="s">
        <v>60826</v>
      </c>
      <c r="O9871" s="8" t="str">
        <f>HYPERLINK("https://drive.google.com/file/d/1588WOwifW1z3ks_m3fjk-HCi9Au0QL_-/view?usp=drivesdk","9870_SUTRISNO _ SERTIFIKAT BerAKHLAK")</f>
        <v>9870_SUTRISNO _ SERTIFIKAT BerAKHLAK</v>
      </c>
      <c r="P9871" s="5" t="s">
        <v>60827</v>
      </c>
    </row>
    <row r="9872">
      <c r="A9872" s="4">
        <v>45534.498619861115</v>
      </c>
      <c r="B9872" s="5" t="s">
        <v>34</v>
      </c>
      <c r="D9872" s="5" t="s">
        <v>1206</v>
      </c>
      <c r="E9872" s="5" t="s">
        <v>60828</v>
      </c>
      <c r="F9872" s="5" t="s">
        <v>72</v>
      </c>
      <c r="G9872" s="5" t="s">
        <v>60829</v>
      </c>
      <c r="H9872" s="6" t="s">
        <v>60830</v>
      </c>
      <c r="K9872" s="5" t="s">
        <v>60831</v>
      </c>
      <c r="M9872" s="5" t="s">
        <v>60832</v>
      </c>
      <c r="N9872" s="7" t="s">
        <v>60833</v>
      </c>
      <c r="O9872" s="8" t="str">
        <f>HYPERLINK("https://drive.google.com/file/d/18wLbmirSVJoVU4T0-K6eAkr_VGpHmHey/view?usp=drivesdk","9871_FAJAR RIKE PRATIWI,S.Kep.Ns _ SERTIFIKAT BerAKHLAK")</f>
        <v>9871_FAJAR RIKE PRATIWI,S.Kep.Ns _ SERTIFIKAT BerAKHLAK</v>
      </c>
      <c r="P9872" s="5" t="s">
        <v>60834</v>
      </c>
    </row>
    <row r="9873" hidden="1">
      <c r="A9873" s="4">
        <v>45534.49930239584</v>
      </c>
      <c r="B9873" s="5" t="s">
        <v>19</v>
      </c>
      <c r="C9873" s="5" t="s">
        <v>1606</v>
      </c>
      <c r="E9873" s="5" t="s">
        <v>60835</v>
      </c>
      <c r="F9873" s="5" t="s">
        <v>212</v>
      </c>
      <c r="G9873" s="5" t="s">
        <v>60836</v>
      </c>
      <c r="H9873" s="6" t="s">
        <v>60837</v>
      </c>
      <c r="K9873" s="5" t="s">
        <v>60838</v>
      </c>
      <c r="M9873" s="5" t="s">
        <v>60839</v>
      </c>
      <c r="N9873" s="7" t="s">
        <v>60840</v>
      </c>
      <c r="O9873" s="8" t="str">
        <f>HYPERLINK("https://drive.google.com/file/d/1IP9vIAMA4iYcd0vkxo-Ml63P6KtespGj/view?usp=drivesdk","9872_SAPTO WAHYU NUGROHO _ SERTIFIKAT BerAKHLAK")</f>
        <v>9872_SAPTO WAHYU NUGROHO _ SERTIFIKAT BerAKHLAK</v>
      </c>
      <c r="P9873" s="5" t="s">
        <v>60841</v>
      </c>
    </row>
    <row r="9874">
      <c r="A9874" s="4">
        <v>45534.49942201389</v>
      </c>
      <c r="B9874" s="5" t="s">
        <v>34</v>
      </c>
      <c r="D9874" s="5" t="s">
        <v>9020</v>
      </c>
      <c r="E9874" s="5" t="s">
        <v>60842</v>
      </c>
      <c r="F9874" s="5" t="s">
        <v>108</v>
      </c>
      <c r="G9874" s="5" t="s">
        <v>60843</v>
      </c>
      <c r="H9874" s="6" t="s">
        <v>60844</v>
      </c>
      <c r="K9874" s="5" t="s">
        <v>60845</v>
      </c>
      <c r="M9874" s="5" t="s">
        <v>60846</v>
      </c>
      <c r="N9874" s="7" t="s">
        <v>60847</v>
      </c>
      <c r="O9874" s="8" t="str">
        <f>HYPERLINK("https://drive.google.com/file/d/1eVn1uJOSuZM9i06tlZ-a-5f8WWPlneH8/view?usp=drivesdk","9873_RAJA OLOAN DAULAY, S. Kom _ SERTIFIKAT BerAKHLAK")</f>
        <v>9873_RAJA OLOAN DAULAY, S. Kom _ SERTIFIKAT BerAKHLAK</v>
      </c>
      <c r="P9874" s="5" t="s">
        <v>60848</v>
      </c>
    </row>
    <row r="9875">
      <c r="A9875" s="4">
        <v>45534.49944</v>
      </c>
      <c r="B9875" s="5" t="s">
        <v>34</v>
      </c>
      <c r="D9875" s="5" t="s">
        <v>604</v>
      </c>
      <c r="E9875" s="5" t="s">
        <v>60849</v>
      </c>
      <c r="F9875" s="5" t="s">
        <v>72</v>
      </c>
      <c r="G9875" s="5" t="s">
        <v>60850</v>
      </c>
      <c r="H9875" s="6" t="s">
        <v>60851</v>
      </c>
      <c r="K9875" s="5" t="s">
        <v>60845</v>
      </c>
      <c r="M9875" s="5" t="s">
        <v>60852</v>
      </c>
      <c r="N9875" s="7" t="s">
        <v>60853</v>
      </c>
      <c r="O9875" s="8" t="str">
        <f>HYPERLINK("https://drive.google.com/file/d/1XJ8DbUtwfClA8tjTi-CuMUOIjAJuRmby/view?usp=drivesdk","9874_ELBINA NAPITUPULU _ SERTIFIKAT BerAKHLAK")</f>
        <v>9874_ELBINA NAPITUPULU _ SERTIFIKAT BerAKHLAK</v>
      </c>
      <c r="P9875" s="5" t="s">
        <v>60854</v>
      </c>
    </row>
    <row r="9876">
      <c r="A9876" s="4">
        <v>45534.49953122685</v>
      </c>
      <c r="B9876" s="5" t="s">
        <v>34</v>
      </c>
      <c r="D9876" s="5" t="s">
        <v>10297</v>
      </c>
      <c r="E9876" s="5" t="s">
        <v>60855</v>
      </c>
      <c r="F9876" s="5" t="s">
        <v>108</v>
      </c>
      <c r="G9876" s="5" t="s">
        <v>60856</v>
      </c>
      <c r="H9876" s="6" t="s">
        <v>60857</v>
      </c>
      <c r="K9876" s="5" t="s">
        <v>60858</v>
      </c>
      <c r="M9876" s="5" t="s">
        <v>60859</v>
      </c>
      <c r="N9876" s="7" t="s">
        <v>60860</v>
      </c>
      <c r="O9876" s="8" t="str">
        <f>HYPERLINK("https://drive.google.com/file/d/1pDecx0XeTl2LFUfUKe76-xKf441QArRI/view?usp=drivesdk","9875_ARFIAN, S.E., M.E _ SERTIFIKAT BerAKHLAK")</f>
        <v>9875_ARFIAN, S.E., M.E _ SERTIFIKAT BerAKHLAK</v>
      </c>
      <c r="P9876" s="5" t="s">
        <v>60861</v>
      </c>
    </row>
    <row r="9877">
      <c r="A9877" s="4">
        <v>45534.4997334375</v>
      </c>
      <c r="B9877" s="5" t="s">
        <v>34</v>
      </c>
      <c r="D9877" s="5" t="s">
        <v>9020</v>
      </c>
      <c r="E9877" s="5" t="s">
        <v>60862</v>
      </c>
      <c r="F9877" s="5" t="s">
        <v>212</v>
      </c>
      <c r="G9877" s="5" t="s">
        <v>60863</v>
      </c>
      <c r="H9877" s="6" t="s">
        <v>60864</v>
      </c>
      <c r="K9877" s="5" t="s">
        <v>60865</v>
      </c>
      <c r="M9877" s="5" t="s">
        <v>60866</v>
      </c>
      <c r="N9877" s="7" t="s">
        <v>60867</v>
      </c>
      <c r="O9877" s="8" t="str">
        <f>HYPERLINK("https://drive.google.com/file/d/1QKNprk_xYxJw1RG7VSGJ8pzT8P--fNEo/view?usp=drivesdk","9876_EVA NURMAWANI SIMANJUNTAK _ SERTIFIKAT BerAKHLAK")</f>
        <v>9876_EVA NURMAWANI SIMANJUNTAK _ SERTIFIKAT BerAKHLAK</v>
      </c>
      <c r="P9877" s="5" t="s">
        <v>60868</v>
      </c>
    </row>
    <row r="9878">
      <c r="A9878" s="4">
        <v>45534.499736944446</v>
      </c>
      <c r="B9878" s="5" t="s">
        <v>34</v>
      </c>
      <c r="D9878" s="5" t="s">
        <v>14313</v>
      </c>
      <c r="E9878" s="5" t="s">
        <v>60869</v>
      </c>
      <c r="F9878" s="5" t="s">
        <v>22</v>
      </c>
      <c r="G9878" s="5" t="s">
        <v>60870</v>
      </c>
      <c r="H9878" s="6" t="s">
        <v>60871</v>
      </c>
      <c r="K9878" s="5" t="s">
        <v>60865</v>
      </c>
      <c r="M9878" s="5" t="s">
        <v>60872</v>
      </c>
      <c r="N9878" s="7" t="s">
        <v>60873</v>
      </c>
      <c r="O9878" s="8" t="str">
        <f>HYPERLINK("https://drive.google.com/file/d/1WnLj3Q0o--otuLe7fUxci02WzRG0AYgQ/view?usp=drivesdk","9877_TAUFAN EKA PUTRA, S.Kom., M.Adm.SDA _ SERTIFIKAT BerAKHLAK")</f>
        <v>9877_TAUFAN EKA PUTRA, S.Kom., M.Adm.SDA _ SERTIFIKAT BerAKHLAK</v>
      </c>
      <c r="P9878" s="5" t="s">
        <v>60874</v>
      </c>
    </row>
    <row r="9879">
      <c r="A9879" s="4">
        <v>45534.49981130787</v>
      </c>
      <c r="B9879" s="5" t="s">
        <v>34</v>
      </c>
      <c r="D9879" s="5" t="s">
        <v>1206</v>
      </c>
      <c r="E9879" s="5" t="s">
        <v>60875</v>
      </c>
      <c r="F9879" s="5" t="s">
        <v>120</v>
      </c>
      <c r="G9879" s="5" t="s">
        <v>60876</v>
      </c>
      <c r="H9879" s="6" t="s">
        <v>60877</v>
      </c>
      <c r="K9879" s="5" t="s">
        <v>60878</v>
      </c>
      <c r="M9879" s="5" t="s">
        <v>60879</v>
      </c>
      <c r="N9879" s="7" t="s">
        <v>60880</v>
      </c>
      <c r="O9879" s="8" t="str">
        <f>HYPERLINK("https://drive.google.com/file/d/1E11goQby61Cy6gJUM5vDvPQUhruMpCMC/view?usp=drivesdk","9878_BREVMANA ANUGRAH PRIMULYANTO _ SERTIFIKAT BerAKHLAK")</f>
        <v>9878_BREVMANA ANUGRAH PRIMULYANTO _ SERTIFIKAT BerAKHLAK</v>
      </c>
      <c r="P9879" s="5" t="s">
        <v>60881</v>
      </c>
    </row>
    <row r="9880">
      <c r="A9880" s="4">
        <v>45534.49992083333</v>
      </c>
      <c r="B9880" s="5" t="s">
        <v>34</v>
      </c>
      <c r="D9880" s="5" t="s">
        <v>35</v>
      </c>
      <c r="E9880" s="5" t="s">
        <v>60882</v>
      </c>
      <c r="F9880" s="5" t="s">
        <v>524</v>
      </c>
      <c r="G9880" s="5" t="s">
        <v>60883</v>
      </c>
      <c r="H9880" s="6" t="s">
        <v>60884</v>
      </c>
      <c r="K9880" s="5" t="s">
        <v>60885</v>
      </c>
      <c r="M9880" s="5" t="s">
        <v>60886</v>
      </c>
      <c r="N9880" s="7" t="s">
        <v>60887</v>
      </c>
      <c r="O9880" s="8" t="str">
        <f>HYPERLINK("https://drive.google.com/file/d/1SmnUN4ABjA36a53lVGToJQZ4i-V-rUUC/view?usp=drivesdk","9879_IIM IMAS MUNAWAROH,S.KEP., NERS _ SERTIFIKAT BerAKHLAK")</f>
        <v>9879_IIM IMAS MUNAWAROH,S.KEP., NERS _ SERTIFIKAT BerAKHLAK</v>
      </c>
      <c r="P9880" s="5" t="s">
        <v>60888</v>
      </c>
    </row>
    <row r="9881">
      <c r="A9881" s="4">
        <v>45534.50043630787</v>
      </c>
      <c r="B9881" s="5" t="s">
        <v>34</v>
      </c>
      <c r="D9881" s="5" t="s">
        <v>14313</v>
      </c>
      <c r="E9881" s="5" t="s">
        <v>60889</v>
      </c>
      <c r="F9881" s="5" t="s">
        <v>108</v>
      </c>
      <c r="G9881" s="5" t="s">
        <v>60890</v>
      </c>
      <c r="H9881" s="6" t="s">
        <v>60891</v>
      </c>
      <c r="K9881" s="5" t="s">
        <v>60892</v>
      </c>
      <c r="M9881" s="5" t="s">
        <v>60893</v>
      </c>
      <c r="N9881" s="7" t="s">
        <v>60894</v>
      </c>
      <c r="O9881" s="8" t="str">
        <f>HYPERLINK("https://drive.google.com/file/d/10ISnDfw6vuBQYtBYWF0QS3HfHYXw1De3/view?usp=drivesdk","9880_HADI PURBAYA. AMK _ SERTIFIKAT BerAKHLAK")</f>
        <v>9880_HADI PURBAYA. AMK _ SERTIFIKAT BerAKHLAK</v>
      </c>
      <c r="P9881" s="5" t="s">
        <v>60895</v>
      </c>
    </row>
    <row r="9882">
      <c r="A9882" s="4">
        <v>45534.500750983796</v>
      </c>
      <c r="B9882" s="5" t="s">
        <v>34</v>
      </c>
      <c r="D9882" s="5" t="s">
        <v>2903</v>
      </c>
      <c r="E9882" s="5" t="s">
        <v>60896</v>
      </c>
      <c r="F9882" s="5" t="s">
        <v>375</v>
      </c>
      <c r="G9882" s="5" t="s">
        <v>60897</v>
      </c>
      <c r="H9882" s="6" t="s">
        <v>60898</v>
      </c>
      <c r="K9882" s="5" t="s">
        <v>60899</v>
      </c>
      <c r="M9882" s="5" t="s">
        <v>60900</v>
      </c>
      <c r="N9882" s="7" t="s">
        <v>60901</v>
      </c>
      <c r="O9882" s="8" t="str">
        <f>HYPERLINK("https://drive.google.com/file/d/1-o-ArNgqeo3OZnd2o2z92V1FE1aQN1vp/view?usp=drivesdk","9881_SRI SUNDARI, S.IKom _ SERTIFIKAT BerAKHLAK")</f>
        <v>9881_SRI SUNDARI, S.IKom _ SERTIFIKAT BerAKHLAK</v>
      </c>
      <c r="P9882" s="5" t="s">
        <v>60902</v>
      </c>
    </row>
    <row r="9883">
      <c r="A9883" s="4">
        <v>45534.50093909723</v>
      </c>
      <c r="B9883" s="5" t="s">
        <v>34</v>
      </c>
      <c r="D9883" s="5" t="s">
        <v>9394</v>
      </c>
      <c r="E9883" s="5" t="s">
        <v>60903</v>
      </c>
      <c r="F9883" s="5" t="s">
        <v>72</v>
      </c>
      <c r="G9883" s="5" t="s">
        <v>60904</v>
      </c>
      <c r="H9883" s="6" t="s">
        <v>60905</v>
      </c>
      <c r="K9883" s="5" t="s">
        <v>60906</v>
      </c>
      <c r="M9883" s="5" t="s">
        <v>60907</v>
      </c>
      <c r="N9883" s="7" t="s">
        <v>60908</v>
      </c>
      <c r="O9883" s="8" t="str">
        <f>HYPERLINK("https://drive.google.com/file/d/1WaeNHAOshps9Teq7JUrXN1tAydgDmZ4c/view?usp=drivesdk","9882_ALTIKA MITVASARI PULUNGAN _ SERTIFIKAT BerAKHLAK")</f>
        <v>9882_ALTIKA MITVASARI PULUNGAN _ SERTIFIKAT BerAKHLAK</v>
      </c>
      <c r="P9883" s="5" t="s">
        <v>60909</v>
      </c>
    </row>
    <row r="9884">
      <c r="A9884" s="4">
        <v>45534.50114980324</v>
      </c>
      <c r="B9884" s="5" t="s">
        <v>34</v>
      </c>
      <c r="D9884" s="5" t="s">
        <v>701</v>
      </c>
      <c r="E9884" s="5" t="s">
        <v>60910</v>
      </c>
      <c r="F9884" s="5" t="s">
        <v>108</v>
      </c>
      <c r="G9884" s="5" t="s">
        <v>60911</v>
      </c>
      <c r="H9884" s="6" t="s">
        <v>60912</v>
      </c>
      <c r="K9884" s="5" t="s">
        <v>60913</v>
      </c>
      <c r="M9884" s="5" t="s">
        <v>60914</v>
      </c>
      <c r="N9884" s="7" t="s">
        <v>60915</v>
      </c>
      <c r="O9884" s="8" t="str">
        <f>HYPERLINK("https://drive.google.com/file/d/1-92IhgcZz9qfiSf5clp4kPzN9Wjg451z/view?usp=drivesdk","9883_DR. RANY WAISYA _ SERTIFIKAT BerAKHLAK")</f>
        <v>9883_DR. RANY WAISYA _ SERTIFIKAT BerAKHLAK</v>
      </c>
      <c r="P9884" s="5" t="s">
        <v>60916</v>
      </c>
    </row>
    <row r="9885">
      <c r="A9885" s="4">
        <v>45534.50121996528</v>
      </c>
      <c r="B9885" s="5" t="s">
        <v>34</v>
      </c>
      <c r="D9885" s="5" t="s">
        <v>701</v>
      </c>
      <c r="E9885" s="5" t="s">
        <v>60917</v>
      </c>
      <c r="F9885" s="5" t="s">
        <v>375</v>
      </c>
      <c r="G9885" s="5" t="s">
        <v>60918</v>
      </c>
      <c r="H9885" s="6" t="s">
        <v>60919</v>
      </c>
      <c r="K9885" s="5" t="s">
        <v>60920</v>
      </c>
      <c r="M9885" s="5" t="s">
        <v>60921</v>
      </c>
      <c r="N9885" s="7" t="s">
        <v>60922</v>
      </c>
      <c r="O9885" s="8" t="str">
        <f>HYPERLINK("https://drive.google.com/file/d/1gjxbvjFl5bu1jCUQV2lfk5lWRtu7ZCu0/view?usp=drivesdk","9884_PARNI HARIYANTI _ SERTIFIKAT BerAKHLAK")</f>
        <v>9884_PARNI HARIYANTI _ SERTIFIKAT BerAKHLAK</v>
      </c>
      <c r="P9885" s="5" t="s">
        <v>60923</v>
      </c>
    </row>
    <row r="9886">
      <c r="A9886" s="4">
        <v>45534.50140758102</v>
      </c>
      <c r="B9886" s="5" t="s">
        <v>34</v>
      </c>
      <c r="D9886" s="5" t="s">
        <v>14313</v>
      </c>
      <c r="E9886" s="5" t="s">
        <v>60924</v>
      </c>
      <c r="F9886" s="5" t="s">
        <v>37</v>
      </c>
      <c r="G9886" s="5" t="s">
        <v>60925</v>
      </c>
      <c r="H9886" s="6" t="s">
        <v>60926</v>
      </c>
      <c r="K9886" s="5" t="s">
        <v>60927</v>
      </c>
      <c r="M9886" s="5" t="s">
        <v>60928</v>
      </c>
      <c r="N9886" s="7" t="s">
        <v>60929</v>
      </c>
      <c r="O9886" s="8" t="str">
        <f>HYPERLINK("https://drive.google.com/file/d/1ZK4gNBP92ifdAGP1ESejC9V_MRs1N9AQ/view?usp=drivesdk","9885_FAUZIAH _ SERTIFIKAT BerAKHLAK")</f>
        <v>9885_FAUZIAH _ SERTIFIKAT BerAKHLAK</v>
      </c>
      <c r="P9886" s="5" t="s">
        <v>60930</v>
      </c>
    </row>
    <row r="9887">
      <c r="A9887" s="4">
        <v>45534.50170908565</v>
      </c>
      <c r="B9887" s="5" t="s">
        <v>34</v>
      </c>
      <c r="D9887" s="5" t="s">
        <v>580</v>
      </c>
      <c r="E9887" s="5" t="s">
        <v>60931</v>
      </c>
      <c r="F9887" s="5" t="s">
        <v>37</v>
      </c>
      <c r="G9887" s="5" t="s">
        <v>60932</v>
      </c>
      <c r="H9887" s="6" t="s">
        <v>60933</v>
      </c>
      <c r="K9887" s="5" t="s">
        <v>60934</v>
      </c>
      <c r="M9887" s="5" t="s">
        <v>60935</v>
      </c>
      <c r="N9887" s="7" t="s">
        <v>60936</v>
      </c>
      <c r="O9887" s="8" t="str">
        <f>HYPERLINK("https://drive.google.com/file/d/1d69OxxQIVcTC0C3kbPnjKf3ST4tNnLem/view?usp=drivesdk","9886_NI PUTU SRI RAHAYU, A.Md.Keb _ SERTIFIKAT BerAKHLAK")</f>
        <v>9886_NI PUTU SRI RAHAYU, A.Md.Keb _ SERTIFIKAT BerAKHLAK</v>
      </c>
      <c r="P9887" s="5" t="s">
        <v>60937</v>
      </c>
    </row>
    <row r="9888" hidden="1">
      <c r="A9888" s="4">
        <v>45534.502968506946</v>
      </c>
      <c r="B9888" s="5" t="s">
        <v>19</v>
      </c>
      <c r="C9888" s="5" t="s">
        <v>292</v>
      </c>
      <c r="E9888" s="5" t="s">
        <v>36419</v>
      </c>
      <c r="F9888" s="5" t="s">
        <v>37</v>
      </c>
      <c r="G9888" s="5" t="s">
        <v>60938</v>
      </c>
      <c r="H9888" s="6" t="s">
        <v>60939</v>
      </c>
      <c r="K9888" s="5" t="s">
        <v>60940</v>
      </c>
      <c r="M9888" s="5" t="s">
        <v>60941</v>
      </c>
      <c r="N9888" s="7" t="s">
        <v>60942</v>
      </c>
      <c r="O9888" s="8" t="str">
        <f>HYPERLINK("https://drive.google.com/file/d/1xfybhhFeZbxKg4_a4cFOjLgZwsti2Ggt/view?usp=drivesdk","9887_NURHAYATI  _ SERTIFIKAT BerAKHLAK")</f>
        <v>9887_NURHAYATI  _ SERTIFIKAT BerAKHLAK</v>
      </c>
      <c r="P9888" s="5" t="s">
        <v>60943</v>
      </c>
    </row>
    <row r="9889">
      <c r="A9889" s="4">
        <v>45534.50298104167</v>
      </c>
      <c r="B9889" s="5" t="s">
        <v>34</v>
      </c>
      <c r="D9889" s="5" t="s">
        <v>2903</v>
      </c>
      <c r="E9889" s="5" t="s">
        <v>60944</v>
      </c>
      <c r="F9889" s="5" t="s">
        <v>22</v>
      </c>
      <c r="G9889" s="5" t="s">
        <v>60945</v>
      </c>
      <c r="H9889" s="6" t="s">
        <v>60946</v>
      </c>
      <c r="K9889" s="5" t="s">
        <v>60940</v>
      </c>
      <c r="M9889" s="5" t="s">
        <v>60947</v>
      </c>
      <c r="N9889" s="7" t="s">
        <v>60948</v>
      </c>
      <c r="O9889" s="8" t="str">
        <f>HYPERLINK("https://drive.google.com/file/d/15ZIJbWkaQZ7d5h38ZSj0yNTe2Y6yqpoq/view?usp=drivesdk","9888_APT. NERRY ANDRIYANI, S.SI. _ SERTIFIKAT BerAKHLAK")</f>
        <v>9888_APT. NERRY ANDRIYANI, S.SI. _ SERTIFIKAT BerAKHLAK</v>
      </c>
      <c r="P9889" s="5" t="s">
        <v>60949</v>
      </c>
    </row>
    <row r="9890">
      <c r="A9890" s="4">
        <v>45534.50298689815</v>
      </c>
      <c r="B9890" s="5" t="s">
        <v>34</v>
      </c>
      <c r="D9890" s="5" t="s">
        <v>35</v>
      </c>
      <c r="E9890" s="5" t="s">
        <v>60950</v>
      </c>
      <c r="F9890" s="5" t="s">
        <v>212</v>
      </c>
      <c r="G9890" s="5" t="s">
        <v>60951</v>
      </c>
      <c r="H9890" s="6" t="s">
        <v>60952</v>
      </c>
      <c r="K9890" s="5" t="s">
        <v>60940</v>
      </c>
      <c r="M9890" s="5" t="s">
        <v>60953</v>
      </c>
      <c r="N9890" s="7" t="s">
        <v>60954</v>
      </c>
      <c r="O9890" s="8" t="str">
        <f>HYPERLINK("https://drive.google.com/file/d/1otB6W91Mx53W6hH22MnT4B1CrvQj8HOM/view?usp=drivesdk","9889_RESIANA WIDYA UTAMI, AMD. KEP _ SERTIFIKAT BerAKHLAK")</f>
        <v>9889_RESIANA WIDYA UTAMI, AMD. KEP _ SERTIFIKAT BerAKHLAK</v>
      </c>
      <c r="P9890" s="5" t="s">
        <v>60955</v>
      </c>
    </row>
    <row r="9891">
      <c r="A9891" s="4">
        <v>45534.50307414352</v>
      </c>
      <c r="B9891" s="5" t="s">
        <v>34</v>
      </c>
      <c r="D9891" s="5" t="s">
        <v>4775</v>
      </c>
      <c r="E9891" s="5" t="s">
        <v>60956</v>
      </c>
      <c r="F9891" s="5" t="s">
        <v>199</v>
      </c>
      <c r="G9891" s="5" t="s">
        <v>60957</v>
      </c>
      <c r="H9891" s="6" t="s">
        <v>60958</v>
      </c>
      <c r="K9891" s="5" t="s">
        <v>60959</v>
      </c>
      <c r="M9891" s="5" t="s">
        <v>60960</v>
      </c>
      <c r="N9891" s="7" t="s">
        <v>60961</v>
      </c>
      <c r="O9891" s="8" t="str">
        <f>HYPERLINK("https://drive.google.com/file/d/11WOogM_bNiZCELNhltFY4iB7-ENUoJja/view?usp=drivesdk","9890_IMAM MARIYO _ SERTIFIKAT BerAKHLAK")</f>
        <v>9890_IMAM MARIYO _ SERTIFIKAT BerAKHLAK</v>
      </c>
      <c r="P9891" s="5" t="s">
        <v>60962</v>
      </c>
    </row>
    <row r="9892">
      <c r="A9892" s="4">
        <v>45534.50382358796</v>
      </c>
      <c r="B9892" s="5" t="s">
        <v>34</v>
      </c>
      <c r="D9892" s="5" t="s">
        <v>35</v>
      </c>
      <c r="E9892" s="5" t="s">
        <v>60963</v>
      </c>
      <c r="F9892" s="5" t="s">
        <v>37</v>
      </c>
      <c r="G9892" s="5" t="s">
        <v>60964</v>
      </c>
      <c r="H9892" s="6" t="s">
        <v>60965</v>
      </c>
      <c r="K9892" s="5" t="s">
        <v>60966</v>
      </c>
      <c r="M9892" s="5" t="s">
        <v>60967</v>
      </c>
      <c r="N9892" s="7" t="s">
        <v>60968</v>
      </c>
      <c r="O9892" s="8" t="str">
        <f>HYPERLINK("https://drive.google.com/file/d/1tlX2IK1CpRsAKPoCwcYhDG82qXz1qdxc/view?usp=drivesdk","9891_JUNAENA _ SERTIFIKAT BerAKHLAK")</f>
        <v>9891_JUNAENA _ SERTIFIKAT BerAKHLAK</v>
      </c>
      <c r="P9892" s="5" t="s">
        <v>60969</v>
      </c>
    </row>
    <row r="9893">
      <c r="A9893" s="4">
        <v>45534.50406160879</v>
      </c>
      <c r="B9893" s="5" t="s">
        <v>34</v>
      </c>
      <c r="D9893" s="5" t="s">
        <v>9020</v>
      </c>
      <c r="E9893" s="5" t="s">
        <v>60970</v>
      </c>
      <c r="F9893" s="5" t="s">
        <v>199</v>
      </c>
      <c r="G9893" s="5" t="s">
        <v>60971</v>
      </c>
      <c r="H9893" s="6" t="s">
        <v>60972</v>
      </c>
      <c r="K9893" s="5" t="s">
        <v>60973</v>
      </c>
      <c r="M9893" s="5" t="s">
        <v>60974</v>
      </c>
      <c r="N9893" s="7" t="s">
        <v>60975</v>
      </c>
      <c r="O9893" s="8" t="str">
        <f>HYPERLINK("https://drive.google.com/file/d/1OnHiVNDOvBo1nMxtORbLxN-zJYBoZ5K8/view?usp=drivesdk","9892_NUMMER RISWAN GULTOM _ SERTIFIKAT BerAKHLAK")</f>
        <v>9892_NUMMER RISWAN GULTOM _ SERTIFIKAT BerAKHLAK</v>
      </c>
      <c r="P9893" s="5" t="s">
        <v>60976</v>
      </c>
    </row>
    <row r="9894">
      <c r="A9894" s="4">
        <v>45534.50437196759</v>
      </c>
      <c r="B9894" s="5" t="s">
        <v>34</v>
      </c>
      <c r="D9894" s="5" t="s">
        <v>12010</v>
      </c>
      <c r="E9894" s="5" t="s">
        <v>60977</v>
      </c>
      <c r="F9894" s="5" t="s">
        <v>72</v>
      </c>
      <c r="G9894" s="5" t="s">
        <v>60978</v>
      </c>
      <c r="H9894" s="6" t="s">
        <v>60979</v>
      </c>
      <c r="K9894" s="5" t="s">
        <v>60980</v>
      </c>
      <c r="M9894" s="5" t="s">
        <v>60981</v>
      </c>
      <c r="N9894" s="7" t="s">
        <v>60982</v>
      </c>
      <c r="O9894" s="8" t="str">
        <f>HYPERLINK("https://drive.google.com/file/d/1DOX7LGEa77OioIPVCwVChVLEjxdLdGhL/view?usp=drivesdk","9893_NURAIN BAKARI, A.MD  _ SERTIFIKAT BerAKHLAK")</f>
        <v>9893_NURAIN BAKARI, A.MD  _ SERTIFIKAT BerAKHLAK</v>
      </c>
      <c r="P9894" s="5" t="s">
        <v>60983</v>
      </c>
    </row>
    <row r="9895" hidden="1">
      <c r="A9895" s="4">
        <v>45534.50477697917</v>
      </c>
      <c r="B9895" s="5" t="s">
        <v>19</v>
      </c>
      <c r="C9895" s="5" t="s">
        <v>24076</v>
      </c>
      <c r="E9895" s="5" t="s">
        <v>60984</v>
      </c>
      <c r="F9895" s="5" t="s">
        <v>108</v>
      </c>
      <c r="G9895" s="5" t="s">
        <v>60985</v>
      </c>
      <c r="H9895" s="6" t="s">
        <v>60986</v>
      </c>
      <c r="K9895" s="5" t="s">
        <v>60987</v>
      </c>
      <c r="M9895" s="5" t="s">
        <v>60988</v>
      </c>
      <c r="N9895" s="7" t="s">
        <v>60989</v>
      </c>
      <c r="O9895" s="8" t="str">
        <f>HYPERLINK("https://drive.google.com/file/d/1IQncWnjgfWq7UGZnpqROdnuRROLQW6Re/view?usp=drivesdk","9894_TARMINTO _ SERTIFIKAT BerAKHLAK")</f>
        <v>9894_TARMINTO _ SERTIFIKAT BerAKHLAK</v>
      </c>
      <c r="P9895" s="5" t="s">
        <v>60990</v>
      </c>
    </row>
    <row r="9896">
      <c r="A9896" s="4">
        <v>45534.50491715278</v>
      </c>
      <c r="B9896" s="5" t="s">
        <v>34</v>
      </c>
      <c r="D9896" s="5" t="s">
        <v>15401</v>
      </c>
      <c r="E9896" s="5" t="s">
        <v>60991</v>
      </c>
      <c r="F9896" s="5" t="s">
        <v>108</v>
      </c>
      <c r="G9896" s="5" t="s">
        <v>60992</v>
      </c>
      <c r="H9896" s="6" t="s">
        <v>60993</v>
      </c>
      <c r="K9896" s="5" t="s">
        <v>60994</v>
      </c>
      <c r="M9896" s="5" t="s">
        <v>60995</v>
      </c>
      <c r="N9896" s="7" t="s">
        <v>60996</v>
      </c>
      <c r="O9896" s="8" t="str">
        <f>HYPERLINK("https://drive.google.com/file/d/1cRCNE2gt5-XMPpV1gXWRuvPgfURkmOf4/view?usp=drivesdk","9895_DEBBY CYNTIA _ SERTIFIKAT BerAKHLAK")</f>
        <v>9895_DEBBY CYNTIA _ SERTIFIKAT BerAKHLAK</v>
      </c>
      <c r="P9896" s="5" t="s">
        <v>60997</v>
      </c>
    </row>
    <row r="9897">
      <c r="A9897" s="4">
        <v>45534.50513239583</v>
      </c>
      <c r="B9897" s="5" t="s">
        <v>34</v>
      </c>
      <c r="D9897" s="5" t="s">
        <v>14313</v>
      </c>
      <c r="E9897" s="5" t="s">
        <v>60998</v>
      </c>
      <c r="F9897" s="5" t="s">
        <v>212</v>
      </c>
      <c r="G9897" s="5" t="s">
        <v>60999</v>
      </c>
      <c r="H9897" s="6" t="s">
        <v>61000</v>
      </c>
      <c r="K9897" s="5" t="s">
        <v>61001</v>
      </c>
      <c r="M9897" s="5" t="s">
        <v>61002</v>
      </c>
      <c r="N9897" s="7" t="s">
        <v>61003</v>
      </c>
      <c r="O9897" s="8" t="str">
        <f>HYPERLINK("https://drive.google.com/file/d/1Wp6gJyjNWapCOemP0FET2scLflnl6dbG/view?usp=drivesdk","9896_HASNA BIRANA, S.S _ SERTIFIKAT BerAKHLAK")</f>
        <v>9896_HASNA BIRANA, S.S _ SERTIFIKAT BerAKHLAK</v>
      </c>
      <c r="P9897" s="5" t="s">
        <v>61004</v>
      </c>
    </row>
    <row r="9898">
      <c r="A9898" s="4">
        <v>45534.50562202546</v>
      </c>
      <c r="B9898" s="5" t="s">
        <v>34</v>
      </c>
      <c r="D9898" s="5" t="s">
        <v>9020</v>
      </c>
      <c r="E9898" s="5" t="s">
        <v>61005</v>
      </c>
      <c r="F9898" s="5" t="s">
        <v>212</v>
      </c>
      <c r="G9898" s="5" t="s">
        <v>61006</v>
      </c>
      <c r="H9898" s="6" t="s">
        <v>61007</v>
      </c>
      <c r="K9898" s="5" t="s">
        <v>61001</v>
      </c>
      <c r="M9898" s="5" t="s">
        <v>61008</v>
      </c>
      <c r="N9898" s="7" t="s">
        <v>61009</v>
      </c>
      <c r="O9898" s="8" t="str">
        <f>HYPERLINK("https://drive.google.com/file/d/1LVIDIw0jSsLfzLKVC1aRraSlbr9RkFbf/view?usp=drivesdk","9897_LISBET DORNITA MARPAUNG _ SERTIFIKAT BerAKHLAK")</f>
        <v>9897_LISBET DORNITA MARPAUNG _ SERTIFIKAT BerAKHLAK</v>
      </c>
      <c r="P9898" s="5" t="s">
        <v>61010</v>
      </c>
    </row>
    <row r="9899">
      <c r="A9899" s="4">
        <v>45534.505782106484</v>
      </c>
      <c r="B9899" s="5" t="s">
        <v>34</v>
      </c>
      <c r="D9899" s="5" t="s">
        <v>975</v>
      </c>
      <c r="E9899" s="5" t="s">
        <v>61011</v>
      </c>
      <c r="F9899" s="5" t="s">
        <v>37</v>
      </c>
      <c r="G9899" s="5" t="s">
        <v>61012</v>
      </c>
      <c r="H9899" s="6" t="s">
        <v>61013</v>
      </c>
      <c r="K9899" s="5" t="s">
        <v>61014</v>
      </c>
      <c r="M9899" s="5" t="s">
        <v>61015</v>
      </c>
      <c r="N9899" s="7" t="s">
        <v>61016</v>
      </c>
      <c r="O9899" s="8" t="str">
        <f>HYPERLINK("https://drive.google.com/file/d/1xNoOzJ8v6f7C0BGm7whGAMMcYeuEv5jy/view?usp=drivesdk","9898_RIMA DEWI MAWARNI A. Md. Kes _ SERTIFIKAT BerAKHLAK")</f>
        <v>9898_RIMA DEWI MAWARNI A. Md. Kes _ SERTIFIKAT BerAKHLAK</v>
      </c>
      <c r="P9899" s="5" t="s">
        <v>61017</v>
      </c>
    </row>
    <row r="9900">
      <c r="A9900" s="4">
        <v>45534.505844907406</v>
      </c>
      <c r="B9900" s="5" t="s">
        <v>34</v>
      </c>
      <c r="D9900" s="5" t="s">
        <v>1206</v>
      </c>
      <c r="E9900" s="5" t="s">
        <v>61018</v>
      </c>
      <c r="F9900" s="5" t="s">
        <v>37</v>
      </c>
      <c r="G9900" s="5" t="s">
        <v>61019</v>
      </c>
      <c r="H9900" s="6" t="s">
        <v>61020</v>
      </c>
      <c r="K9900" s="5" t="s">
        <v>61014</v>
      </c>
      <c r="M9900" s="5" t="s">
        <v>61021</v>
      </c>
      <c r="N9900" s="7" t="s">
        <v>61022</v>
      </c>
      <c r="O9900" s="8" t="str">
        <f>HYPERLINK("https://drive.google.com/file/d/1HCLqQZ9x-h0JNjEGTXKvsKG9eOX1VKgW/view?usp=drivesdk","9899_TUTY ERNAWATY _ SERTIFIKAT BerAKHLAK")</f>
        <v>9899_TUTY ERNAWATY _ SERTIFIKAT BerAKHLAK</v>
      </c>
      <c r="P9900" s="5" t="s">
        <v>61023</v>
      </c>
    </row>
    <row r="9901" hidden="1">
      <c r="A9901" s="4">
        <v>45534.50592645833</v>
      </c>
      <c r="B9901" s="5" t="s">
        <v>19</v>
      </c>
      <c r="C9901" s="5" t="s">
        <v>292</v>
      </c>
      <c r="E9901" s="5" t="s">
        <v>61024</v>
      </c>
      <c r="F9901" s="5" t="s">
        <v>524</v>
      </c>
      <c r="G9901" s="5" t="s">
        <v>61025</v>
      </c>
      <c r="H9901" s="6" t="s">
        <v>61026</v>
      </c>
      <c r="K9901" s="5" t="s">
        <v>61027</v>
      </c>
      <c r="M9901" s="5" t="s">
        <v>61028</v>
      </c>
      <c r="N9901" s="7" t="s">
        <v>61029</v>
      </c>
      <c r="O9901" s="8" t="str">
        <f>HYPERLINK("https://drive.google.com/file/d/1BLlJfrrniORBPb9DcWYfLLeltTkiqARm/view?usp=drivesdk","9900_KRISTANTI , S.Sos _ SERTIFIKAT BerAKHLAK")</f>
        <v>9900_KRISTANTI , S.Sos _ SERTIFIKAT BerAKHLAK</v>
      </c>
      <c r="P9901" s="5" t="s">
        <v>61030</v>
      </c>
    </row>
    <row r="9902">
      <c r="A9902" s="4">
        <v>45534.506078819446</v>
      </c>
      <c r="B9902" s="5" t="s">
        <v>34</v>
      </c>
      <c r="D9902" s="5" t="s">
        <v>10297</v>
      </c>
      <c r="E9902" s="5" t="s">
        <v>61031</v>
      </c>
      <c r="F9902" s="5" t="s">
        <v>72</v>
      </c>
      <c r="G9902" s="5" t="s">
        <v>31273</v>
      </c>
      <c r="H9902" s="6" t="s">
        <v>61032</v>
      </c>
      <c r="K9902" s="5" t="s">
        <v>61027</v>
      </c>
      <c r="M9902" s="5" t="s">
        <v>61033</v>
      </c>
      <c r="N9902" s="7" t="s">
        <v>61034</v>
      </c>
      <c r="O9902" s="8" t="str">
        <f>HYPERLINK("https://drive.google.com/file/d/1nXPQ_wgzsi9G4d7M3opXGX0xZGoGPKdn/view?usp=drivesdk","9901_SYARIF HAFANDI _ SERTIFIKAT BerAKHLAK")</f>
        <v>9901_SYARIF HAFANDI _ SERTIFIKAT BerAKHLAK</v>
      </c>
      <c r="P9902" s="5" t="s">
        <v>61035</v>
      </c>
    </row>
    <row r="9903">
      <c r="A9903" s="4">
        <v>45534.506995069445</v>
      </c>
      <c r="B9903" s="5" t="s">
        <v>34</v>
      </c>
      <c r="D9903" s="5" t="s">
        <v>35</v>
      </c>
      <c r="E9903" s="5" t="s">
        <v>61036</v>
      </c>
      <c r="F9903" s="5" t="s">
        <v>524</v>
      </c>
      <c r="G9903" s="5" t="s">
        <v>61037</v>
      </c>
      <c r="H9903" s="6" t="s">
        <v>61038</v>
      </c>
      <c r="K9903" s="5" t="s">
        <v>61039</v>
      </c>
      <c r="M9903" s="5" t="s">
        <v>61040</v>
      </c>
      <c r="N9903" s="7" t="s">
        <v>61041</v>
      </c>
      <c r="O9903" s="8" t="str">
        <f>HYPERLINK("https://drive.google.com/file/d/1bpPTt1TzxUoPdRFVj1TzJvPKU2TTRXRj/view?usp=drivesdk","9902_NARSIYUSTI, AMG _ SERTIFIKAT BerAKHLAK")</f>
        <v>9902_NARSIYUSTI, AMG _ SERTIFIKAT BerAKHLAK</v>
      </c>
      <c r="P9903" s="5" t="s">
        <v>61042</v>
      </c>
    </row>
    <row r="9904">
      <c r="A9904" s="4">
        <v>45534.50706928241</v>
      </c>
      <c r="B9904" s="5" t="s">
        <v>34</v>
      </c>
      <c r="D9904" s="5" t="s">
        <v>14313</v>
      </c>
      <c r="E9904" s="5" t="s">
        <v>61043</v>
      </c>
      <c r="F9904" s="5" t="s">
        <v>524</v>
      </c>
      <c r="G9904" s="5" t="s">
        <v>61044</v>
      </c>
      <c r="H9904" s="6" t="s">
        <v>61045</v>
      </c>
      <c r="K9904" s="5" t="s">
        <v>61046</v>
      </c>
      <c r="M9904" s="5" t="s">
        <v>61047</v>
      </c>
      <c r="N9904" s="7" t="s">
        <v>61048</v>
      </c>
      <c r="O9904" s="8" t="str">
        <f>HYPERLINK("https://drive.google.com/file/d/1WGgYCHstjditwqkP1tn4-nKJvf9UuWi8/view?usp=drivesdk","9903_MARIA ENDA _ SERTIFIKAT BerAKHLAK")</f>
        <v>9903_MARIA ENDA _ SERTIFIKAT BerAKHLAK</v>
      </c>
      <c r="P9904" s="5" t="s">
        <v>61049</v>
      </c>
    </row>
    <row r="9905">
      <c r="A9905" s="4">
        <v>45534.50751105324</v>
      </c>
      <c r="B9905" s="5" t="s">
        <v>34</v>
      </c>
      <c r="D9905" s="5" t="s">
        <v>1558</v>
      </c>
      <c r="E9905" s="5" t="s">
        <v>61050</v>
      </c>
      <c r="F9905" s="5" t="s">
        <v>72</v>
      </c>
      <c r="G9905" s="5" t="s">
        <v>61051</v>
      </c>
      <c r="H9905" s="6" t="s">
        <v>61052</v>
      </c>
      <c r="K9905" s="5" t="s">
        <v>61053</v>
      </c>
      <c r="M9905" s="5" t="s">
        <v>61054</v>
      </c>
      <c r="N9905" s="7" t="s">
        <v>61055</v>
      </c>
      <c r="O9905" s="8" t="str">
        <f>HYPERLINK("https://drive.google.com/file/d/1afgu2GeyfV8U3l3Zv79tySLI6htNa6q3/view?usp=drivesdk","9904_DIYAH PRASETIYORINI,A.Md _ SERTIFIKAT BerAKHLAK")</f>
        <v>9904_DIYAH PRASETIYORINI,A.Md _ SERTIFIKAT BerAKHLAK</v>
      </c>
      <c r="P9905" s="5" t="s">
        <v>61056</v>
      </c>
    </row>
    <row r="9906">
      <c r="A9906" s="4">
        <v>45534.50751571759</v>
      </c>
      <c r="B9906" s="5" t="s">
        <v>34</v>
      </c>
      <c r="D9906" s="5" t="s">
        <v>1206</v>
      </c>
      <c r="E9906" s="5" t="s">
        <v>61057</v>
      </c>
      <c r="F9906" s="5" t="s">
        <v>120</v>
      </c>
      <c r="G9906" s="5" t="s">
        <v>61058</v>
      </c>
      <c r="H9906" s="6" t="s">
        <v>61059</v>
      </c>
      <c r="K9906" s="5" t="s">
        <v>61053</v>
      </c>
      <c r="M9906" s="5" t="s">
        <v>61060</v>
      </c>
      <c r="N9906" s="7" t="s">
        <v>61061</v>
      </c>
      <c r="O9906" s="8" t="str">
        <f>HYPERLINK("https://drive.google.com/file/d/1QUm7-X5Q0vf9i4w4CYtFc9OsauHSmpS-/view?usp=drivesdk","9905_drg. ESKA DIANTI, Sp.KG _ SERTIFIKAT BerAKHLAK")</f>
        <v>9905_drg. ESKA DIANTI, Sp.KG _ SERTIFIKAT BerAKHLAK</v>
      </c>
      <c r="P9906" s="5" t="s">
        <v>61062</v>
      </c>
    </row>
    <row r="9907">
      <c r="A9907" s="4">
        <v>45534.50755945602</v>
      </c>
      <c r="B9907" s="5" t="s">
        <v>34</v>
      </c>
      <c r="D9907" s="5" t="s">
        <v>1206</v>
      </c>
      <c r="E9907" s="5" t="s">
        <v>61063</v>
      </c>
      <c r="F9907" s="5" t="s">
        <v>72</v>
      </c>
      <c r="G9907" s="5" t="s">
        <v>61064</v>
      </c>
      <c r="H9907" s="6" t="s">
        <v>61065</v>
      </c>
      <c r="K9907" s="5" t="s">
        <v>61066</v>
      </c>
      <c r="M9907" s="5" t="s">
        <v>61067</v>
      </c>
      <c r="N9907" s="7" t="s">
        <v>61068</v>
      </c>
      <c r="O9907" s="8" t="str">
        <f>HYPERLINK("https://drive.google.com/file/d/11huj-ft1fuMfk-rZcG_rZC-_Rbea2-ah/view?usp=drivesdk","9906_Anita Sari, A.Md.Kep _ SERTIFIKAT BerAKHLAK")</f>
        <v>9906_Anita Sari, A.Md.Kep _ SERTIFIKAT BerAKHLAK</v>
      </c>
      <c r="P9907" s="5" t="s">
        <v>61069</v>
      </c>
    </row>
    <row r="9908">
      <c r="A9908" s="4">
        <v>45534.507571574075</v>
      </c>
      <c r="B9908" s="5" t="s">
        <v>34</v>
      </c>
      <c r="D9908" s="5" t="s">
        <v>35</v>
      </c>
      <c r="E9908" s="5" t="s">
        <v>27411</v>
      </c>
      <c r="F9908" s="5" t="s">
        <v>524</v>
      </c>
      <c r="G9908" s="5" t="s">
        <v>27412</v>
      </c>
      <c r="H9908" s="6" t="s">
        <v>61070</v>
      </c>
      <c r="K9908" s="5" t="s">
        <v>61066</v>
      </c>
      <c r="M9908" s="5" t="s">
        <v>61071</v>
      </c>
      <c r="N9908" s="7" t="s">
        <v>61072</v>
      </c>
      <c r="O9908" s="8" t="str">
        <f>HYPERLINK("https://drive.google.com/file/d/1mVSy68dQ8tBAEGfjmzBrimxte5igQYjT/view?usp=drivesdk","9907_NUGRAHA BANU SAPTANA _ SERTIFIKAT BerAKHLAK")</f>
        <v>9907_NUGRAHA BANU SAPTANA _ SERTIFIKAT BerAKHLAK</v>
      </c>
      <c r="P9908" s="5" t="s">
        <v>61073</v>
      </c>
    </row>
    <row r="9909">
      <c r="A9909" s="4">
        <v>45534.507568807865</v>
      </c>
      <c r="B9909" s="5" t="s">
        <v>34</v>
      </c>
      <c r="D9909" s="5" t="s">
        <v>9020</v>
      </c>
      <c r="E9909" s="5" t="s">
        <v>61074</v>
      </c>
      <c r="F9909" s="5" t="s">
        <v>375</v>
      </c>
      <c r="G9909" s="5" t="s">
        <v>61075</v>
      </c>
      <c r="H9909" s="6" t="s">
        <v>61076</v>
      </c>
      <c r="K9909" s="5" t="s">
        <v>61066</v>
      </c>
      <c r="M9909" s="5" t="s">
        <v>61077</v>
      </c>
      <c r="N9909" s="7" t="s">
        <v>61078</v>
      </c>
      <c r="O9909" s="8" t="str">
        <f>HYPERLINK("https://drive.google.com/file/d/1jfjyY0RDNZ1Os_cB_IqbGkdsIyNeijIX/view?usp=drivesdk","9908_SUYATLI, S.AG _ SERTIFIKAT BerAKHLAK")</f>
        <v>9908_SUYATLI, S.AG _ SERTIFIKAT BerAKHLAK</v>
      </c>
      <c r="P9909" s="5" t="s">
        <v>61079</v>
      </c>
    </row>
    <row r="9910">
      <c r="A9910" s="4">
        <v>45534.50815637731</v>
      </c>
      <c r="B9910" s="5" t="s">
        <v>34</v>
      </c>
      <c r="D9910" s="5" t="s">
        <v>1206</v>
      </c>
      <c r="E9910" s="5" t="s">
        <v>61080</v>
      </c>
      <c r="F9910" s="5" t="s">
        <v>524</v>
      </c>
      <c r="G9910" s="5" t="s">
        <v>61081</v>
      </c>
      <c r="H9910" s="6" t="s">
        <v>61082</v>
      </c>
      <c r="K9910" s="5" t="s">
        <v>61083</v>
      </c>
      <c r="M9910" s="5" t="s">
        <v>61084</v>
      </c>
      <c r="N9910" s="7" t="s">
        <v>61085</v>
      </c>
      <c r="O9910" s="8" t="str">
        <f>HYPERLINK("https://drive.google.com/file/d/113U_4h79I2k8UnMIlacgnB70aBLQDepQ/view?usp=drivesdk","9909_NITA WITARI _ SERTIFIKAT BerAKHLAK")</f>
        <v>9909_NITA WITARI _ SERTIFIKAT BerAKHLAK</v>
      </c>
      <c r="P9910" s="5" t="s">
        <v>61086</v>
      </c>
    </row>
    <row r="9911">
      <c r="A9911" s="4">
        <v>45534.509321018515</v>
      </c>
      <c r="B9911" s="5" t="s">
        <v>34</v>
      </c>
      <c r="D9911" s="5" t="s">
        <v>1206</v>
      </c>
      <c r="E9911" s="5" t="s">
        <v>61087</v>
      </c>
      <c r="F9911" s="5" t="s">
        <v>37</v>
      </c>
      <c r="G9911" s="5" t="s">
        <v>61088</v>
      </c>
      <c r="H9911" s="6" t="s">
        <v>61089</v>
      </c>
      <c r="K9911" s="5" t="s">
        <v>61090</v>
      </c>
      <c r="M9911" s="5" t="s">
        <v>61091</v>
      </c>
      <c r="N9911" s="7" t="s">
        <v>61092</v>
      </c>
      <c r="O9911" s="8" t="str">
        <f>HYPERLINK("https://drive.google.com/file/d/1rkQWch3iv_3bQkF-rexAOaU56_AActbG/view?usp=drivesdk","9910_EMI WULANDARI _ SERTIFIKAT BerAKHLAK")</f>
        <v>9910_EMI WULANDARI _ SERTIFIKAT BerAKHLAK</v>
      </c>
      <c r="P9911" s="5" t="s">
        <v>61093</v>
      </c>
    </row>
    <row r="9912">
      <c r="A9912" s="4">
        <v>45534.509323969905</v>
      </c>
      <c r="B9912" s="5" t="s">
        <v>34</v>
      </c>
      <c r="D9912" s="5" t="s">
        <v>1206</v>
      </c>
      <c r="E9912" s="5" t="s">
        <v>61094</v>
      </c>
      <c r="F9912" s="5" t="s">
        <v>37</v>
      </c>
      <c r="G9912" s="5" t="s">
        <v>61095</v>
      </c>
      <c r="H9912" s="6" t="s">
        <v>61096</v>
      </c>
      <c r="K9912" s="5" t="s">
        <v>61090</v>
      </c>
      <c r="M9912" s="5" t="s">
        <v>61097</v>
      </c>
      <c r="N9912" s="7" t="s">
        <v>61098</v>
      </c>
      <c r="O9912" s="8" t="str">
        <f>HYPERLINK("https://drive.google.com/file/d/13V5tmodJN7Kjy2vWk9V2N4BCoCQ2hf_b/view?usp=drivesdk","9911_SITI NUR HALIMAH _ SERTIFIKAT BerAKHLAK")</f>
        <v>9911_SITI NUR HALIMAH _ SERTIFIKAT BerAKHLAK</v>
      </c>
      <c r="P9912" s="5" t="s">
        <v>61099</v>
      </c>
    </row>
    <row r="9913">
      <c r="A9913" s="4">
        <v>45534.509411886575</v>
      </c>
      <c r="B9913" s="5" t="s">
        <v>34</v>
      </c>
      <c r="D9913" s="5" t="s">
        <v>14313</v>
      </c>
      <c r="E9913" s="5" t="s">
        <v>61100</v>
      </c>
      <c r="F9913" s="5" t="s">
        <v>212</v>
      </c>
      <c r="G9913" s="5" t="s">
        <v>61101</v>
      </c>
      <c r="H9913" s="6" t="s">
        <v>61102</v>
      </c>
      <c r="K9913" s="5" t="s">
        <v>61103</v>
      </c>
      <c r="M9913" s="5" t="s">
        <v>61104</v>
      </c>
      <c r="N9913" s="7" t="s">
        <v>61105</v>
      </c>
      <c r="O9913" s="8" t="str">
        <f>HYPERLINK("https://drive.google.com/file/d/1XSu7s1uEKNAnd3YOLgwh_0TVm7h_ai1k/view?usp=drivesdk","9912_NiA KURNIATI Amd Kep _ SERTIFIKAT BerAKHLAK")</f>
        <v>9912_NiA KURNIATI Amd Kep _ SERTIFIKAT BerAKHLAK</v>
      </c>
      <c r="P9913" s="5" t="s">
        <v>61106</v>
      </c>
    </row>
    <row r="9914">
      <c r="A9914" s="4">
        <v>45534.50949966435</v>
      </c>
      <c r="B9914" s="5" t="s">
        <v>34</v>
      </c>
      <c r="D9914" s="5" t="s">
        <v>4775</v>
      </c>
      <c r="E9914" s="5" t="s">
        <v>61107</v>
      </c>
      <c r="F9914" s="5" t="s">
        <v>212</v>
      </c>
      <c r="G9914" s="5" t="s">
        <v>61108</v>
      </c>
      <c r="H9914" s="6" t="s">
        <v>61109</v>
      </c>
      <c r="K9914" s="5" t="s">
        <v>61110</v>
      </c>
      <c r="M9914" s="5" t="s">
        <v>61111</v>
      </c>
      <c r="N9914" s="7" t="s">
        <v>61112</v>
      </c>
      <c r="O9914" s="8" t="str">
        <f>HYPERLINK("https://drive.google.com/file/d/1BDExTEh5AFxXU4-F4XlonKyXv46XPCsV/view?usp=drivesdk","9913_SRI INDAYATI _ SERTIFIKAT BerAKHLAK")</f>
        <v>9913_SRI INDAYATI _ SERTIFIKAT BerAKHLAK</v>
      </c>
      <c r="P9914" s="5" t="s">
        <v>61106</v>
      </c>
    </row>
    <row r="9915" hidden="1">
      <c r="A9915" s="4">
        <v>45534.509565671295</v>
      </c>
      <c r="B9915" s="5" t="s">
        <v>19</v>
      </c>
      <c r="C9915" s="5" t="s">
        <v>5564</v>
      </c>
      <c r="E9915" s="5" t="s">
        <v>61113</v>
      </c>
      <c r="F9915" s="5" t="s">
        <v>375</v>
      </c>
      <c r="G9915" s="5" t="s">
        <v>61114</v>
      </c>
      <c r="H9915" s="6" t="s">
        <v>61115</v>
      </c>
      <c r="K9915" s="5" t="s">
        <v>61110</v>
      </c>
      <c r="M9915" s="5" t="s">
        <v>61116</v>
      </c>
      <c r="N9915" s="7" t="s">
        <v>61117</v>
      </c>
      <c r="O9915" s="8" t="str">
        <f>HYPERLINK("https://drive.google.com/file/d/1zeip2tBW9ouHw3mYbOFO31cthjy9SuXl/view?usp=drivesdk","9914_DONNY ARYANSYAH, S.E. _ SERTIFIKAT BerAKHLAK")</f>
        <v>9914_DONNY ARYANSYAH, S.E. _ SERTIFIKAT BerAKHLAK</v>
      </c>
      <c r="P9915" s="5" t="s">
        <v>61106</v>
      </c>
    </row>
    <row r="9916" hidden="1">
      <c r="A9916" s="4">
        <v>45534.50967134259</v>
      </c>
      <c r="B9916" s="5" t="s">
        <v>19</v>
      </c>
      <c r="C9916" s="5" t="s">
        <v>292</v>
      </c>
      <c r="E9916" s="5" t="s">
        <v>61118</v>
      </c>
      <c r="F9916" s="5" t="s">
        <v>212</v>
      </c>
      <c r="G9916" s="5" t="s">
        <v>61119</v>
      </c>
      <c r="H9916" s="6" t="s">
        <v>61120</v>
      </c>
      <c r="K9916" s="5" t="s">
        <v>61110</v>
      </c>
      <c r="M9916" s="5" t="s">
        <v>61121</v>
      </c>
      <c r="N9916" s="7" t="s">
        <v>61122</v>
      </c>
      <c r="O9916" s="8" t="str">
        <f>HYPERLINK("https://drive.google.com/file/d/1LvwAh3vlwM9zMbzjP7C3OaYB6sCTIGX7/view?usp=drivesdk","9915_PRIMA IRFAN YUSMANTO _ SERTIFIKAT BerAKHLAK")</f>
        <v>9915_PRIMA IRFAN YUSMANTO _ SERTIFIKAT BerAKHLAK</v>
      </c>
      <c r="P9916" s="5" t="s">
        <v>61106</v>
      </c>
    </row>
    <row r="9917">
      <c r="A9917" s="4">
        <v>45534.5098330787</v>
      </c>
      <c r="B9917" s="5" t="s">
        <v>34</v>
      </c>
      <c r="D9917" s="5" t="s">
        <v>522</v>
      </c>
      <c r="E9917" s="5" t="s">
        <v>61123</v>
      </c>
      <c r="F9917" s="5" t="s">
        <v>524</v>
      </c>
      <c r="G9917" s="5" t="s">
        <v>61124</v>
      </c>
      <c r="H9917" s="6" t="s">
        <v>61125</v>
      </c>
      <c r="K9917" s="5" t="s">
        <v>61126</v>
      </c>
      <c r="M9917" s="5" t="s">
        <v>61127</v>
      </c>
      <c r="N9917" s="7" t="s">
        <v>61128</v>
      </c>
      <c r="O9917" s="8" t="str">
        <f>HYPERLINK("https://drive.google.com/file/d/1bjFYivT70Sbdzahhldn6N8V_YWia6eUQ/view?usp=drivesdk","9916_MAULINA PURNAMAWATI, S.Adm _ SERTIFIKAT BerAKHLAK")</f>
        <v>9916_MAULINA PURNAMAWATI, S.Adm _ SERTIFIKAT BerAKHLAK</v>
      </c>
      <c r="P9917" s="5" t="s">
        <v>61129</v>
      </c>
    </row>
    <row r="9918">
      <c r="A9918" s="4">
        <v>45534.51006572916</v>
      </c>
      <c r="B9918" s="5" t="s">
        <v>34</v>
      </c>
      <c r="D9918" s="5" t="s">
        <v>14313</v>
      </c>
      <c r="E9918" s="5" t="s">
        <v>61130</v>
      </c>
      <c r="F9918" s="5" t="s">
        <v>524</v>
      </c>
      <c r="G9918" s="5" t="s">
        <v>61131</v>
      </c>
      <c r="H9918" s="6" t="s">
        <v>61132</v>
      </c>
      <c r="K9918" s="5" t="s">
        <v>61126</v>
      </c>
      <c r="M9918" s="5" t="s">
        <v>61133</v>
      </c>
      <c r="N9918" s="7" t="s">
        <v>61134</v>
      </c>
      <c r="O9918" s="8" t="str">
        <f>HYPERLINK("https://drive.google.com/file/d/12a-NFARf0VR-lpinM9VeL5oPRD7FENVz/view?usp=drivesdk","9917_SULVIANA, S.KEP, NS _ SERTIFIKAT BerAKHLAK")</f>
        <v>9917_SULVIANA, S.KEP, NS _ SERTIFIKAT BerAKHLAK</v>
      </c>
      <c r="P9918" s="5" t="s">
        <v>61129</v>
      </c>
    </row>
    <row r="9919">
      <c r="A9919" s="4">
        <v>45534.51033954861</v>
      </c>
      <c r="B9919" s="5" t="s">
        <v>34</v>
      </c>
      <c r="D9919" s="5" t="s">
        <v>280</v>
      </c>
      <c r="E9919" s="5" t="s">
        <v>61135</v>
      </c>
      <c r="F9919" s="5" t="s">
        <v>375</v>
      </c>
      <c r="G9919" s="5" t="s">
        <v>61136</v>
      </c>
      <c r="H9919" s="6" t="s">
        <v>61137</v>
      </c>
      <c r="K9919" s="5" t="s">
        <v>61126</v>
      </c>
      <c r="M9919" s="5" t="s">
        <v>61138</v>
      </c>
      <c r="N9919" s="7" t="s">
        <v>61139</v>
      </c>
      <c r="O9919" s="8" t="str">
        <f>HYPERLINK("https://drive.google.com/file/d/1qTC7Rl4QbjEwiQqxeD17rIm0uImUYv8v/view?usp=drivesdk","9918_Juliana Manik, S. Sos _ SERTIFIKAT BerAKHLAK")</f>
        <v>9918_Juliana Manik, S. Sos _ SERTIFIKAT BerAKHLAK</v>
      </c>
      <c r="P9919" s="5" t="s">
        <v>61129</v>
      </c>
    </row>
    <row r="9920">
      <c r="A9920" s="4">
        <v>45534.51046142361</v>
      </c>
      <c r="B9920" s="5" t="s">
        <v>34</v>
      </c>
      <c r="D9920" s="5" t="s">
        <v>3432</v>
      </c>
      <c r="E9920" s="5" t="s">
        <v>61140</v>
      </c>
      <c r="F9920" s="5" t="s">
        <v>37</v>
      </c>
      <c r="G9920" s="5" t="s">
        <v>61141</v>
      </c>
      <c r="H9920" s="6" t="s">
        <v>61142</v>
      </c>
      <c r="K9920" s="5" t="s">
        <v>61126</v>
      </c>
      <c r="M9920" s="5" t="s">
        <v>61143</v>
      </c>
      <c r="N9920" s="7" t="s">
        <v>61144</v>
      </c>
      <c r="O9920" s="8" t="str">
        <f>HYPERLINK("https://drive.google.com/file/d/1Z4aOhUH-_zHwZgsnmn1pC6qvYU9uxUnj/view?usp=drivesdk","9919_FIRDA RAHMATULHUSNA S KAMALUDDIN, A.Md.Kep _ SERTIFIKAT BerAKHLAK")</f>
        <v>9919_FIRDA RAHMATULHUSNA S KAMALUDDIN, A.Md.Kep _ SERTIFIKAT BerAKHLAK</v>
      </c>
      <c r="P9920" s="5" t="s">
        <v>61129</v>
      </c>
    </row>
    <row r="9921">
      <c r="A9921" s="4">
        <v>45534.51081334491</v>
      </c>
      <c r="B9921" s="5" t="s">
        <v>34</v>
      </c>
      <c r="D9921" s="5" t="s">
        <v>1206</v>
      </c>
      <c r="E9921" s="5" t="s">
        <v>61145</v>
      </c>
      <c r="F9921" s="5" t="s">
        <v>212</v>
      </c>
      <c r="G9921" s="5" t="s">
        <v>61146</v>
      </c>
      <c r="H9921" s="6" t="s">
        <v>61147</v>
      </c>
      <c r="K9921" s="5" t="s">
        <v>61148</v>
      </c>
      <c r="M9921" s="5" t="s">
        <v>61149</v>
      </c>
      <c r="N9921" s="7" t="s">
        <v>61150</v>
      </c>
      <c r="O9921" s="8" t="str">
        <f>HYPERLINK("https://drive.google.com/file/d/1LLEJfKI7C66hJavhSKGWCbYTXFPDkQW6/view?usp=drivesdk","9920_YUNI ROMELA _ SERTIFIKAT BerAKHLAK")</f>
        <v>9920_YUNI ROMELA _ SERTIFIKAT BerAKHLAK</v>
      </c>
      <c r="P9921" s="5" t="s">
        <v>61151</v>
      </c>
    </row>
    <row r="9922">
      <c r="A9922" s="4">
        <v>45534.51099767361</v>
      </c>
      <c r="B9922" s="5" t="s">
        <v>34</v>
      </c>
      <c r="D9922" s="5" t="s">
        <v>580</v>
      </c>
      <c r="E9922" s="5" t="s">
        <v>61152</v>
      </c>
      <c r="F9922" s="5" t="s">
        <v>375</v>
      </c>
      <c r="G9922" s="5" t="s">
        <v>61153</v>
      </c>
      <c r="H9922" s="6" t="s">
        <v>61154</v>
      </c>
      <c r="K9922" s="5" t="s">
        <v>61155</v>
      </c>
      <c r="M9922" s="5" t="s">
        <v>61156</v>
      </c>
      <c r="N9922" s="7" t="s">
        <v>61157</v>
      </c>
      <c r="O9922" s="8" t="str">
        <f>HYPERLINK("https://drive.google.com/file/d/1jsVqYLpbC2PIut12g2mePW8bE-9zsMNd/view?usp=drivesdk","9921_NI WAYAN BAGIARI _ SERTIFIKAT BerAKHLAK")</f>
        <v>9921_NI WAYAN BAGIARI _ SERTIFIKAT BerAKHLAK</v>
      </c>
      <c r="P9922" s="5" t="s">
        <v>61151</v>
      </c>
    </row>
    <row r="9923">
      <c r="A9923" s="4">
        <v>45534.51138310185</v>
      </c>
      <c r="B9923" s="5" t="s">
        <v>34</v>
      </c>
      <c r="D9923" s="5" t="s">
        <v>1206</v>
      </c>
      <c r="E9923" s="5" t="s">
        <v>61158</v>
      </c>
      <c r="F9923" s="5" t="s">
        <v>212</v>
      </c>
      <c r="G9923" s="5" t="s">
        <v>61159</v>
      </c>
      <c r="H9923" s="6" t="s">
        <v>61160</v>
      </c>
      <c r="K9923" s="5" t="s">
        <v>61161</v>
      </c>
      <c r="M9923" s="5" t="s">
        <v>61162</v>
      </c>
      <c r="N9923" s="7" t="s">
        <v>61163</v>
      </c>
      <c r="O9923" s="8" t="str">
        <f>HYPERLINK("https://drive.google.com/file/d/19szWrPVBMov-wGpSmg4tpPHc2woHopiH/view?usp=drivesdk","9922_ENIK YULIANI  _ SERTIFIKAT BerAKHLAK")</f>
        <v>9922_ENIK YULIANI  _ SERTIFIKAT BerAKHLAK</v>
      </c>
      <c r="P9923" s="5" t="s">
        <v>61164</v>
      </c>
    </row>
    <row r="9924">
      <c r="A9924" s="4">
        <v>45534.512358402775</v>
      </c>
      <c r="B9924" s="5" t="s">
        <v>34</v>
      </c>
      <c r="D9924" s="5" t="s">
        <v>996</v>
      </c>
      <c r="E9924" s="5" t="s">
        <v>15931</v>
      </c>
      <c r="F9924" s="5" t="s">
        <v>108</v>
      </c>
      <c r="G9924" s="5" t="s">
        <v>61165</v>
      </c>
      <c r="H9924" s="6" t="s">
        <v>61166</v>
      </c>
      <c r="K9924" s="5" t="s">
        <v>61167</v>
      </c>
      <c r="M9924" s="5" t="s">
        <v>61168</v>
      </c>
      <c r="N9924" s="7" t="s">
        <v>61169</v>
      </c>
      <c r="O9924" s="8" t="str">
        <f>HYPERLINK("https://drive.google.com/file/d/1Vt3f4QZ1ULJVQhP1OskicOtZu5DNTXLb/view?usp=drivesdk","9923_SUHARTI _ SERTIFIKAT BerAKHLAK")</f>
        <v>9923_SUHARTI _ SERTIFIKAT BerAKHLAK</v>
      </c>
      <c r="P9924" s="5" t="s">
        <v>61164</v>
      </c>
    </row>
    <row r="9925">
      <c r="A9925" s="4">
        <v>45534.512411180556</v>
      </c>
      <c r="B9925" s="5" t="s">
        <v>34</v>
      </c>
      <c r="D9925" s="5" t="s">
        <v>1206</v>
      </c>
      <c r="E9925" s="5" t="s">
        <v>48116</v>
      </c>
      <c r="F9925" s="5" t="s">
        <v>328</v>
      </c>
      <c r="G9925" s="5" t="s">
        <v>61170</v>
      </c>
      <c r="H9925" s="6" t="s">
        <v>61171</v>
      </c>
      <c r="K9925" s="5" t="s">
        <v>61167</v>
      </c>
      <c r="M9925" s="5" t="s">
        <v>61172</v>
      </c>
      <c r="N9925" s="7" t="s">
        <v>61173</v>
      </c>
      <c r="O9925" s="8" t="str">
        <f>HYPERLINK("https://drive.google.com/file/d/1oJ6snn9HUTLfoyv81E3lBBC4cZywRF0F/view?usp=drivesdk","9924_NURYATI _ SERTIFIKAT BerAKHLAK")</f>
        <v>9924_NURYATI _ SERTIFIKAT BerAKHLAK</v>
      </c>
      <c r="P9925" s="5" t="s">
        <v>61164</v>
      </c>
    </row>
    <row r="9926">
      <c r="A9926" s="4">
        <v>45534.512628020835</v>
      </c>
      <c r="B9926" s="5" t="s">
        <v>34</v>
      </c>
      <c r="D9926" s="5" t="s">
        <v>1206</v>
      </c>
      <c r="E9926" s="5" t="s">
        <v>61174</v>
      </c>
      <c r="F9926" s="5" t="s">
        <v>37</v>
      </c>
      <c r="G9926" s="5" t="s">
        <v>61175</v>
      </c>
      <c r="H9926" s="6" t="s">
        <v>61176</v>
      </c>
      <c r="K9926" s="5" t="s">
        <v>61167</v>
      </c>
      <c r="M9926" s="5" t="s">
        <v>61177</v>
      </c>
      <c r="N9926" s="7" t="s">
        <v>61178</v>
      </c>
      <c r="O9926" s="8" t="str">
        <f>HYPERLINK("https://drive.google.com/file/d/1ldLq6SJIb8JAcJfnyz7T42E_txjQ8wW_/view?usp=drivesdk","9925_ELITA ISTYOWATI _ SERTIFIKAT BerAKHLAK")</f>
        <v>9925_ELITA ISTYOWATI _ SERTIFIKAT BerAKHLAK</v>
      </c>
      <c r="P9926" s="5" t="s">
        <v>61164</v>
      </c>
    </row>
    <row r="9927">
      <c r="A9927" s="4">
        <v>45534.513004988425</v>
      </c>
      <c r="B9927" s="5" t="s">
        <v>34</v>
      </c>
      <c r="D9927" s="5" t="s">
        <v>1206</v>
      </c>
      <c r="E9927" s="5" t="s">
        <v>61179</v>
      </c>
      <c r="F9927" s="5" t="s">
        <v>37</v>
      </c>
      <c r="G9927" s="5" t="s">
        <v>61180</v>
      </c>
      <c r="H9927" s="6" t="s">
        <v>61181</v>
      </c>
      <c r="K9927" s="5" t="s">
        <v>61182</v>
      </c>
      <c r="M9927" s="5" t="s">
        <v>61183</v>
      </c>
      <c r="N9927" s="7" t="s">
        <v>61184</v>
      </c>
      <c r="O9927" s="8" t="str">
        <f>HYPERLINK("https://drive.google.com/file/d/1tIxHirys1lti5iTer2yae2ZZCq8Kn93N/view?usp=drivesdk","9926_ZAHROH _ SERTIFIKAT BerAKHLAK")</f>
        <v>9926_ZAHROH _ SERTIFIKAT BerAKHLAK</v>
      </c>
      <c r="P9927" s="5" t="s">
        <v>61164</v>
      </c>
    </row>
    <row r="9928" hidden="1">
      <c r="A9928" s="4">
        <v>45534.513406087965</v>
      </c>
      <c r="B9928" s="5" t="s">
        <v>19</v>
      </c>
      <c r="C9928" s="5" t="s">
        <v>442</v>
      </c>
      <c r="E9928" s="5" t="s">
        <v>61185</v>
      </c>
      <c r="F9928" s="5" t="s">
        <v>375</v>
      </c>
      <c r="G9928" s="5" t="s">
        <v>61186</v>
      </c>
      <c r="H9928" s="6" t="s">
        <v>61187</v>
      </c>
      <c r="K9928" s="5" t="s">
        <v>61188</v>
      </c>
      <c r="M9928" s="5" t="s">
        <v>61189</v>
      </c>
      <c r="N9928" s="7" t="s">
        <v>61190</v>
      </c>
      <c r="O9928" s="8" t="str">
        <f>HYPERLINK("https://drive.google.com/file/d/1vn3i35Z_vn5ID77b-LsFwNPE4SU_WGdY/view?usp=drivesdk","9927_Ikha Tyas Miatiyanti _ SERTIFIKAT BerAKHLAK")</f>
        <v>9927_Ikha Tyas Miatiyanti _ SERTIFIKAT BerAKHLAK</v>
      </c>
      <c r="P9928" s="5" t="s">
        <v>61191</v>
      </c>
    </row>
    <row r="9929" hidden="1">
      <c r="A9929" s="4">
        <v>45534.51484546297</v>
      </c>
      <c r="B9929" s="5" t="s">
        <v>19</v>
      </c>
      <c r="C9929" s="5" t="s">
        <v>442</v>
      </c>
      <c r="E9929" s="5" t="s">
        <v>61192</v>
      </c>
      <c r="F9929" s="5" t="s">
        <v>120</v>
      </c>
      <c r="G9929" s="5" t="s">
        <v>61193</v>
      </c>
      <c r="H9929" s="6" t="s">
        <v>61194</v>
      </c>
      <c r="K9929" s="5" t="s">
        <v>61188</v>
      </c>
      <c r="M9929" s="5" t="s">
        <v>61195</v>
      </c>
      <c r="N9929" s="7" t="s">
        <v>61196</v>
      </c>
      <c r="O9929" s="8" t="str">
        <f>HYPERLINK("https://drive.google.com/file/d/1aDiUt-SPDb2VtMIdHvfT16oieulJLQkh/view?usp=drivesdk","9928_NURUL TRISTIATI., S.T., M.H _ SERTIFIKAT BerAKHLAK")</f>
        <v>9928_NURUL TRISTIATI., S.T., M.H _ SERTIFIKAT BerAKHLAK</v>
      </c>
      <c r="P9929" s="5" t="s">
        <v>61191</v>
      </c>
    </row>
    <row r="9930">
      <c r="A9930" s="4">
        <v>45534.515338275465</v>
      </c>
      <c r="B9930" s="5" t="s">
        <v>34</v>
      </c>
      <c r="D9930" s="5" t="s">
        <v>11913</v>
      </c>
      <c r="E9930" s="5" t="s">
        <v>61197</v>
      </c>
      <c r="F9930" s="5" t="s">
        <v>22</v>
      </c>
      <c r="G9930" s="5" t="s">
        <v>61198</v>
      </c>
      <c r="H9930" s="6" t="s">
        <v>61199</v>
      </c>
      <c r="K9930" s="5" t="s">
        <v>61188</v>
      </c>
      <c r="M9930" s="5" t="s">
        <v>61200</v>
      </c>
      <c r="N9930" s="7" t="s">
        <v>61201</v>
      </c>
      <c r="O9930" s="8" t="str">
        <f>HYPERLINK("https://drive.google.com/file/d/1Lo-lpg5tjt2iO_BOhKvEdJUpMU0qW0Ub/view?usp=drivesdk","9929_DELYANA KANA KADJA,S.H _ SERTIFIKAT BerAKHLAK")</f>
        <v>9929_DELYANA KANA KADJA,S.H _ SERTIFIKAT BerAKHLAK</v>
      </c>
      <c r="P9930" s="5" t="s">
        <v>61191</v>
      </c>
    </row>
    <row r="9931">
      <c r="A9931" s="4">
        <v>45534.515389618056</v>
      </c>
      <c r="B9931" s="5" t="s">
        <v>34</v>
      </c>
      <c r="D9931" s="5" t="s">
        <v>1206</v>
      </c>
      <c r="E9931" s="5" t="s">
        <v>61202</v>
      </c>
      <c r="F9931" s="5" t="s">
        <v>199</v>
      </c>
      <c r="G9931" s="5" t="s">
        <v>61203</v>
      </c>
      <c r="H9931" s="6" t="s">
        <v>61204</v>
      </c>
      <c r="K9931" s="5" t="s">
        <v>61205</v>
      </c>
      <c r="M9931" s="5" t="s">
        <v>61206</v>
      </c>
      <c r="N9931" s="7" t="s">
        <v>61207</v>
      </c>
      <c r="O9931" s="8" t="str">
        <f>HYPERLINK("https://drive.google.com/file/d/1F_cb5Rf28_LIyrTr6kFD17qI88JPQX6P/view?usp=drivesdk","9930_RISBOWO _ SERTIFIKAT BerAKHLAK")</f>
        <v>9930_RISBOWO _ SERTIFIKAT BerAKHLAK</v>
      </c>
      <c r="P9931" s="5" t="s">
        <v>61208</v>
      </c>
    </row>
    <row r="9932">
      <c r="A9932" s="4">
        <v>45534.5154890625</v>
      </c>
      <c r="B9932" s="5" t="s">
        <v>34</v>
      </c>
      <c r="D9932" s="5" t="s">
        <v>701</v>
      </c>
      <c r="E9932" s="5" t="s">
        <v>20560</v>
      </c>
      <c r="F9932" s="5" t="s">
        <v>72</v>
      </c>
      <c r="G9932" s="5" t="s">
        <v>50858</v>
      </c>
      <c r="H9932" s="6" t="s">
        <v>61209</v>
      </c>
      <c r="K9932" s="5" t="s">
        <v>61210</v>
      </c>
      <c r="M9932" s="5" t="s">
        <v>61211</v>
      </c>
      <c r="N9932" s="7" t="s">
        <v>61212</v>
      </c>
      <c r="O9932" s="8" t="str">
        <f>HYPERLINK("https://drive.google.com/file/d/1jyznXzV0Cp02lzkjQHZw88oH9eTIH0X5/view?usp=drivesdk","9931_NURHAYATI _ SERTIFIKAT BerAKHLAK")</f>
        <v>9931_NURHAYATI _ SERTIFIKAT BerAKHLAK</v>
      </c>
      <c r="P9932" s="5" t="s">
        <v>61208</v>
      </c>
    </row>
    <row r="9933">
      <c r="A9933" s="4">
        <v>45534.515480601855</v>
      </c>
      <c r="B9933" s="5" t="s">
        <v>34</v>
      </c>
      <c r="D9933" s="5" t="s">
        <v>35</v>
      </c>
      <c r="E9933" s="5" t="s">
        <v>61213</v>
      </c>
      <c r="F9933" s="5" t="s">
        <v>72</v>
      </c>
      <c r="G9933" s="5" t="s">
        <v>61214</v>
      </c>
      <c r="H9933" s="6" t="s">
        <v>61215</v>
      </c>
      <c r="K9933" s="5" t="s">
        <v>61210</v>
      </c>
      <c r="M9933" s="5" t="s">
        <v>61216</v>
      </c>
      <c r="N9933" s="7" t="s">
        <v>61217</v>
      </c>
      <c r="O9933" s="8" t="str">
        <f>HYPERLINK("https://drive.google.com/file/d/12FO0-WeomhUfhD1ulKjuqLLUpHHsBJrY/view?usp=drivesdk","9932_R. Irma Nofiana K.,AMKG _ SERTIFIKAT BerAKHLAK")</f>
        <v>9932_R. Irma Nofiana K.,AMKG _ SERTIFIKAT BerAKHLAK</v>
      </c>
      <c r="P9933" s="5" t="s">
        <v>61208</v>
      </c>
    </row>
    <row r="9934">
      <c r="A9934" s="4">
        <v>45534.51563081019</v>
      </c>
      <c r="B9934" s="5" t="s">
        <v>34</v>
      </c>
      <c r="D9934" s="5" t="s">
        <v>267</v>
      </c>
      <c r="E9934" s="5" t="s">
        <v>61218</v>
      </c>
      <c r="F9934" s="5" t="s">
        <v>212</v>
      </c>
      <c r="G9934" s="5" t="s">
        <v>61219</v>
      </c>
      <c r="H9934" s="6" t="s">
        <v>61220</v>
      </c>
      <c r="K9934" s="5" t="s">
        <v>61221</v>
      </c>
      <c r="M9934" s="5" t="s">
        <v>61222</v>
      </c>
      <c r="N9934" s="7" t="s">
        <v>61223</v>
      </c>
      <c r="O9934" s="8" t="str">
        <f>HYPERLINK("https://drive.google.com/file/d/1cwdq3EIECBV8nbdDyFsWDrSKS59febz1/view?usp=drivesdk","9933_IKA TRIMAKNA _ SERTIFIKAT BerAKHLAK")</f>
        <v>9933_IKA TRIMAKNA _ SERTIFIKAT BerAKHLAK</v>
      </c>
      <c r="P9934" s="5" t="s">
        <v>61224</v>
      </c>
    </row>
    <row r="9935">
      <c r="A9935" s="4">
        <v>45534.515822789355</v>
      </c>
      <c r="B9935" s="5" t="s">
        <v>34</v>
      </c>
      <c r="D9935" s="5" t="s">
        <v>975</v>
      </c>
      <c r="E9935" s="5" t="s">
        <v>61225</v>
      </c>
      <c r="F9935" s="5" t="s">
        <v>375</v>
      </c>
      <c r="G9935" s="5" t="s">
        <v>61226</v>
      </c>
      <c r="H9935" s="6" t="s">
        <v>61227</v>
      </c>
      <c r="K9935" s="5" t="s">
        <v>61228</v>
      </c>
      <c r="M9935" s="5" t="s">
        <v>61229</v>
      </c>
      <c r="N9935" s="7" t="s">
        <v>61230</v>
      </c>
      <c r="O9935" s="8" t="str">
        <f>HYPERLINK("https://drive.google.com/file/d/1KkT6d-LvHUi6WnUkTulte-1zmRaDsCFk/view?usp=drivesdk","9934_APRIDA, SE _ SERTIFIKAT BerAKHLAK")</f>
        <v>9934_APRIDA, SE _ SERTIFIKAT BerAKHLAK</v>
      </c>
      <c r="P9935" s="5" t="s">
        <v>61224</v>
      </c>
    </row>
    <row r="9936">
      <c r="A9936" s="4">
        <v>45534.5159387037</v>
      </c>
      <c r="B9936" s="5" t="s">
        <v>34</v>
      </c>
      <c r="D9936" s="5" t="s">
        <v>35</v>
      </c>
      <c r="E9936" s="5" t="s">
        <v>61231</v>
      </c>
      <c r="F9936" s="5" t="s">
        <v>524</v>
      </c>
      <c r="G9936" s="5" t="s">
        <v>61232</v>
      </c>
      <c r="H9936" s="6" t="s">
        <v>61233</v>
      </c>
      <c r="K9936" s="5" t="s">
        <v>61234</v>
      </c>
      <c r="M9936" s="5" t="s">
        <v>61235</v>
      </c>
      <c r="N9936" s="7" t="s">
        <v>61236</v>
      </c>
      <c r="O9936" s="8" t="str">
        <f>HYPERLINK("https://drive.google.com/file/d/16dvvQBLkY4u2X-vdL7dhLTLnkJsucruT/view?usp=drivesdk","9935_OKTAVIA JUMIATI SOMANTRI. AMKG _ SERTIFIKAT BerAKHLAK")</f>
        <v>9935_OKTAVIA JUMIATI SOMANTRI. AMKG _ SERTIFIKAT BerAKHLAK</v>
      </c>
      <c r="P9936" s="5" t="s">
        <v>61224</v>
      </c>
    </row>
    <row r="9937">
      <c r="A9937" s="4">
        <v>45534.51633835648</v>
      </c>
      <c r="B9937" s="5" t="s">
        <v>34</v>
      </c>
      <c r="D9937" s="5" t="s">
        <v>3432</v>
      </c>
      <c r="E9937" s="5" t="s">
        <v>61237</v>
      </c>
      <c r="F9937" s="5" t="s">
        <v>37</v>
      </c>
      <c r="G9937" s="5" t="s">
        <v>61238</v>
      </c>
      <c r="H9937" s="6" t="s">
        <v>61239</v>
      </c>
      <c r="K9937" s="5" t="s">
        <v>61240</v>
      </c>
      <c r="M9937" s="5" t="s">
        <v>61241</v>
      </c>
      <c r="N9937" s="7" t="s">
        <v>61242</v>
      </c>
      <c r="O9937" s="8" t="str">
        <f>HYPERLINK("https://drive.google.com/file/d/14updcOKe-5C14WI555Kj5ninUHg_dCCS/view?usp=drivesdk","9936_SITI WASLIA ADE, A.Md.Kep _ SERTIFIKAT BerAKHLAK")</f>
        <v>9936_SITI WASLIA ADE, A.Md.Kep _ SERTIFIKAT BerAKHLAK</v>
      </c>
      <c r="P9937" s="5" t="s">
        <v>61224</v>
      </c>
    </row>
    <row r="9938">
      <c r="A9938" s="4">
        <v>45534.51668327546</v>
      </c>
      <c r="B9938" s="5" t="s">
        <v>34</v>
      </c>
      <c r="D9938" s="5" t="s">
        <v>1206</v>
      </c>
      <c r="E9938" s="5" t="s">
        <v>20187</v>
      </c>
      <c r="F9938" s="5" t="s">
        <v>37</v>
      </c>
      <c r="G9938" s="5" t="s">
        <v>61243</v>
      </c>
      <c r="H9938" s="6" t="s">
        <v>61244</v>
      </c>
      <c r="K9938" s="5" t="s">
        <v>61245</v>
      </c>
      <c r="M9938" s="5" t="s">
        <v>61246</v>
      </c>
      <c r="N9938" s="7" t="s">
        <v>61247</v>
      </c>
      <c r="O9938" s="8" t="str">
        <f>HYPERLINK("https://drive.google.com/file/d/12jo7-EBVDHKdA1a_FEloBVaKMrLTfgE6/view?usp=drivesdk","9937_EFFENDI _ SERTIFIKAT BerAKHLAK")</f>
        <v>9937_EFFENDI _ SERTIFIKAT BerAKHLAK</v>
      </c>
      <c r="P9938" s="5" t="s">
        <v>61248</v>
      </c>
    </row>
    <row r="9939">
      <c r="A9939" s="4">
        <v>45534.51684434028</v>
      </c>
      <c r="B9939" s="5" t="s">
        <v>34</v>
      </c>
      <c r="D9939" s="5" t="s">
        <v>4775</v>
      </c>
      <c r="E9939" s="5" t="s">
        <v>61249</v>
      </c>
      <c r="F9939" s="5" t="s">
        <v>524</v>
      </c>
      <c r="G9939" s="5" t="s">
        <v>61250</v>
      </c>
      <c r="H9939" s="6" t="s">
        <v>61251</v>
      </c>
      <c r="K9939" s="5" t="s">
        <v>61245</v>
      </c>
      <c r="M9939" s="5" t="s">
        <v>61252</v>
      </c>
      <c r="N9939" s="7" t="s">
        <v>61253</v>
      </c>
      <c r="O9939" s="8" t="str">
        <f>HYPERLINK("https://drive.google.com/file/d/1G8nNqjX9jyv4rrYmyNCD3sft0ooM63yI/view?usp=drivesdk","9938_APT.DWI YUNIATI,S.FARM _ SERTIFIKAT BerAKHLAK")</f>
        <v>9938_APT.DWI YUNIATI,S.FARM _ SERTIFIKAT BerAKHLAK</v>
      </c>
      <c r="P9939" s="5" t="s">
        <v>61254</v>
      </c>
    </row>
    <row r="9940">
      <c r="A9940" s="4">
        <v>45534.51791201389</v>
      </c>
      <c r="B9940" s="5" t="s">
        <v>34</v>
      </c>
      <c r="D9940" s="5" t="s">
        <v>1206</v>
      </c>
      <c r="E9940" s="5" t="s">
        <v>61255</v>
      </c>
      <c r="F9940" s="5" t="s">
        <v>37</v>
      </c>
      <c r="G9940" s="5" t="s">
        <v>61256</v>
      </c>
      <c r="H9940" s="6" t="s">
        <v>61257</v>
      </c>
      <c r="K9940" s="5" t="s">
        <v>61245</v>
      </c>
      <c r="M9940" s="5" t="s">
        <v>61258</v>
      </c>
      <c r="N9940" s="7" t="s">
        <v>61259</v>
      </c>
      <c r="O9940" s="8" t="str">
        <f>HYPERLINK("https://drive.google.com/file/d/140WVRQ3H_h2Nc_OMOWkGQ5D6jrnf4pgk/view?usp=drivesdk","9939_WITONO _ SERTIFIKAT BerAKHLAK")</f>
        <v>9939_WITONO _ SERTIFIKAT BerAKHLAK</v>
      </c>
      <c r="P9940" s="5" t="s">
        <v>61260</v>
      </c>
    </row>
    <row r="9941">
      <c r="A9941" s="4">
        <v>45534.517999131946</v>
      </c>
      <c r="B9941" s="5" t="s">
        <v>34</v>
      </c>
      <c r="D9941" s="5" t="s">
        <v>10297</v>
      </c>
      <c r="E9941" s="5" t="s">
        <v>61261</v>
      </c>
      <c r="F9941" s="5" t="s">
        <v>108</v>
      </c>
      <c r="G9941" s="5" t="s">
        <v>61262</v>
      </c>
      <c r="H9941" s="6" t="s">
        <v>61263</v>
      </c>
      <c r="K9941" s="5" t="s">
        <v>61264</v>
      </c>
      <c r="M9941" s="5" t="s">
        <v>61265</v>
      </c>
      <c r="N9941" s="7" t="s">
        <v>61266</v>
      </c>
      <c r="O9941" s="8" t="str">
        <f>HYPERLINK("https://drive.google.com/file/d/13q540xnxpAUX4xa8GM0rNKZlHGgZCZ2S/view?usp=drivesdk","9940_SRI HARDANI _ SERTIFIKAT BerAKHLAK")</f>
        <v>9940_SRI HARDANI _ SERTIFIKAT BerAKHLAK</v>
      </c>
      <c r="P9941" s="5" t="s">
        <v>61267</v>
      </c>
    </row>
    <row r="9942">
      <c r="A9942" s="4">
        <v>45534.51836342593</v>
      </c>
      <c r="B9942" s="5" t="s">
        <v>34</v>
      </c>
      <c r="D9942" s="5" t="s">
        <v>1206</v>
      </c>
      <c r="E9942" s="5" t="s">
        <v>61268</v>
      </c>
      <c r="F9942" s="5" t="s">
        <v>37</v>
      </c>
      <c r="G9942" s="5" t="s">
        <v>61269</v>
      </c>
      <c r="H9942" s="6" t="s">
        <v>61270</v>
      </c>
      <c r="K9942" s="5" t="s">
        <v>61271</v>
      </c>
      <c r="M9942" s="5" t="s">
        <v>61272</v>
      </c>
      <c r="N9942" s="7" t="s">
        <v>61273</v>
      </c>
      <c r="O9942" s="8" t="str">
        <f>HYPERLINK("https://drive.google.com/file/d/1LAq137wsUeCgG6mBVUnWAmA8Ah7qF07o/view?usp=drivesdk","9941_SONI DWI CAHYONO _ SERTIFIKAT BerAKHLAK")</f>
        <v>9941_SONI DWI CAHYONO _ SERTIFIKAT BerAKHLAK</v>
      </c>
      <c r="P9942" s="5" t="s">
        <v>61274</v>
      </c>
    </row>
    <row r="9943">
      <c r="A9943" s="4">
        <v>45534.518529085646</v>
      </c>
      <c r="B9943" s="5" t="s">
        <v>34</v>
      </c>
      <c r="D9943" s="5" t="s">
        <v>6232</v>
      </c>
      <c r="E9943" s="5" t="s">
        <v>61275</v>
      </c>
      <c r="F9943" s="5" t="s">
        <v>72</v>
      </c>
      <c r="G9943" s="5" t="s">
        <v>61276</v>
      </c>
      <c r="H9943" s="6" t="s">
        <v>61277</v>
      </c>
      <c r="K9943" s="5" t="s">
        <v>61271</v>
      </c>
      <c r="M9943" s="5" t="s">
        <v>61278</v>
      </c>
      <c r="N9943" s="7" t="s">
        <v>61279</v>
      </c>
      <c r="O9943" s="8" t="str">
        <f>HYPERLINK("https://drive.google.com/file/d/1wgKXaU6mphD83c8yMNdj04Ecm_U6ni3B/view?usp=drivesdk","9942_RAHMADINAR  _ SERTIFIKAT BerAKHLAK")</f>
        <v>9942_RAHMADINAR  _ SERTIFIKAT BerAKHLAK</v>
      </c>
      <c r="P9943" s="5" t="s">
        <v>61280</v>
      </c>
    </row>
    <row r="9944" hidden="1">
      <c r="A9944" s="4">
        <v>45534.518655381944</v>
      </c>
      <c r="B9944" s="5" t="s">
        <v>19</v>
      </c>
      <c r="C9944" s="5" t="s">
        <v>20</v>
      </c>
      <c r="E9944" s="5" t="s">
        <v>61281</v>
      </c>
      <c r="F9944" s="5" t="s">
        <v>120</v>
      </c>
      <c r="G9944" s="5" t="s">
        <v>61282</v>
      </c>
      <c r="H9944" s="6" t="s">
        <v>61283</v>
      </c>
      <c r="K9944" s="5" t="s">
        <v>61284</v>
      </c>
      <c r="M9944" s="5" t="s">
        <v>61285</v>
      </c>
      <c r="N9944" s="7" t="s">
        <v>61286</v>
      </c>
      <c r="O9944" s="8" t="str">
        <f>HYPERLINK("https://drive.google.com/file/d/1br90xvH4VCGgpsmItsWn1sSxWa9fa4GU/view?usp=drivesdk","9943_SULISTYOWATI, S.E., M.M. _ SERTIFIKAT BerAKHLAK")</f>
        <v>9943_SULISTYOWATI, S.E., M.M. _ SERTIFIKAT BerAKHLAK</v>
      </c>
      <c r="P9944" s="5" t="s">
        <v>61287</v>
      </c>
    </row>
    <row r="9945">
      <c r="A9945" s="4">
        <v>45534.51878616898</v>
      </c>
      <c r="B9945" s="5" t="s">
        <v>34</v>
      </c>
      <c r="D9945" s="5" t="s">
        <v>9020</v>
      </c>
      <c r="E9945" s="5" t="s">
        <v>52459</v>
      </c>
      <c r="F9945" s="5" t="s">
        <v>37</v>
      </c>
      <c r="G9945" s="5" t="s">
        <v>61288</v>
      </c>
      <c r="H9945" s="6" t="s">
        <v>61289</v>
      </c>
      <c r="K9945" s="5" t="s">
        <v>61290</v>
      </c>
      <c r="M9945" s="5" t="s">
        <v>61291</v>
      </c>
      <c r="N9945" s="7" t="s">
        <v>61292</v>
      </c>
      <c r="O9945" s="8" t="str">
        <f>HYPERLINK("https://drive.google.com/file/d/1qT6-W-Dc_Y5oBRNcXlylXW7usTUp7bhy/view?usp=drivesdk","9944_ANDRIANI, SH _ SERTIFIKAT BerAKHLAK")</f>
        <v>9944_ANDRIANI, SH _ SERTIFIKAT BerAKHLAK</v>
      </c>
      <c r="P9945" s="5" t="s">
        <v>61293</v>
      </c>
    </row>
    <row r="9946">
      <c r="A9946" s="4">
        <v>45534.520039166666</v>
      </c>
      <c r="B9946" s="5" t="s">
        <v>34</v>
      </c>
      <c r="D9946" s="5" t="s">
        <v>9020</v>
      </c>
      <c r="E9946" s="5" t="s">
        <v>61294</v>
      </c>
      <c r="F9946" s="5" t="s">
        <v>212</v>
      </c>
      <c r="G9946" s="5" t="s">
        <v>61295</v>
      </c>
      <c r="H9946" s="6" t="s">
        <v>61296</v>
      </c>
      <c r="K9946" s="5" t="s">
        <v>61297</v>
      </c>
      <c r="M9946" s="5" t="s">
        <v>61298</v>
      </c>
      <c r="N9946" s="7" t="s">
        <v>61299</v>
      </c>
      <c r="O9946" s="8" t="str">
        <f>HYPERLINK("https://drive.google.com/file/d/1aqdyuphAjCzcQ84zvg_X2UX2ioFhSTVS/view?usp=drivesdk","9945_YUSMAINAR _ SERTIFIKAT BerAKHLAK")</f>
        <v>9945_YUSMAINAR _ SERTIFIKAT BerAKHLAK</v>
      </c>
      <c r="P9946" s="5" t="s">
        <v>61300</v>
      </c>
    </row>
    <row r="9947">
      <c r="A9947" s="4">
        <v>45534.520244467596</v>
      </c>
      <c r="B9947" s="5" t="s">
        <v>34</v>
      </c>
      <c r="D9947" s="5" t="s">
        <v>9020</v>
      </c>
      <c r="E9947" s="5" t="s">
        <v>60842</v>
      </c>
      <c r="F9947" s="5" t="s">
        <v>108</v>
      </c>
      <c r="G9947" s="5" t="s">
        <v>60843</v>
      </c>
      <c r="H9947" s="6" t="s">
        <v>61301</v>
      </c>
      <c r="K9947" s="5" t="s">
        <v>61302</v>
      </c>
      <c r="M9947" s="5" t="s">
        <v>61303</v>
      </c>
      <c r="N9947" s="7" t="s">
        <v>61304</v>
      </c>
      <c r="O9947" s="8" t="str">
        <f>HYPERLINK("https://drive.google.com/file/d/1tMRlcN7ARlon3K-pLOC9JTfiD-nRtEZl/view?usp=drivesdk","9946_RAJA OLOAN DAULAY, S. Kom _ SERTIFIKAT BerAKHLAK")</f>
        <v>9946_RAJA OLOAN DAULAY, S. Kom _ SERTIFIKAT BerAKHLAK</v>
      </c>
      <c r="P9947" s="5" t="s">
        <v>61305</v>
      </c>
    </row>
    <row r="9948">
      <c r="A9948" s="4">
        <v>45534.5203831713</v>
      </c>
      <c r="B9948" s="5" t="s">
        <v>34</v>
      </c>
      <c r="D9948" s="5" t="s">
        <v>1206</v>
      </c>
      <c r="E9948" s="5" t="s">
        <v>61306</v>
      </c>
      <c r="F9948" s="5" t="s">
        <v>212</v>
      </c>
      <c r="G9948" s="5" t="s">
        <v>61307</v>
      </c>
      <c r="H9948" s="6" t="s">
        <v>61308</v>
      </c>
      <c r="K9948" s="5" t="s">
        <v>61302</v>
      </c>
      <c r="M9948" s="5" t="s">
        <v>61309</v>
      </c>
      <c r="N9948" s="7" t="s">
        <v>61310</v>
      </c>
      <c r="O9948" s="8" t="str">
        <f>HYPERLINK("https://drive.google.com/file/d/1oCHacW90jdHb71pO1Ejp-hX1k3n-rVzU/view?usp=drivesdk","9947_ENI PUJI LESTARI _ SERTIFIKAT BerAKHLAK")</f>
        <v>9947_ENI PUJI LESTARI _ SERTIFIKAT BerAKHLAK</v>
      </c>
      <c r="P9948" s="5" t="s">
        <v>61311</v>
      </c>
    </row>
    <row r="9949">
      <c r="A9949" s="4">
        <v>45534.52038480324</v>
      </c>
      <c r="B9949" s="5" t="s">
        <v>34</v>
      </c>
      <c r="D9949" s="5" t="s">
        <v>9020</v>
      </c>
      <c r="E9949" s="5" t="s">
        <v>61312</v>
      </c>
      <c r="F9949" s="5" t="s">
        <v>375</v>
      </c>
      <c r="G9949" s="5" t="s">
        <v>61313</v>
      </c>
      <c r="H9949" s="6" t="s">
        <v>61314</v>
      </c>
      <c r="K9949" s="5" t="s">
        <v>61302</v>
      </c>
      <c r="M9949" s="5" t="s">
        <v>61315</v>
      </c>
      <c r="N9949" s="7" t="s">
        <v>61316</v>
      </c>
      <c r="O9949" s="8" t="str">
        <f>HYPERLINK("https://drive.google.com/file/d/1Z6nUmZPHor1-F-cI0ae00VuyaU1nbDtC/view?usp=drivesdk","9948_ROULINA SINAGA, S.H. _ SERTIFIKAT BerAKHLAK")</f>
        <v>9948_ROULINA SINAGA, S.H. _ SERTIFIKAT BerAKHLAK</v>
      </c>
      <c r="P9949" s="5" t="s">
        <v>61317</v>
      </c>
    </row>
    <row r="9950">
      <c r="A9950" s="4">
        <v>45534.520657546294</v>
      </c>
      <c r="B9950" s="5" t="s">
        <v>34</v>
      </c>
      <c r="D9950" s="5" t="s">
        <v>35</v>
      </c>
      <c r="E9950" s="5" t="s">
        <v>61318</v>
      </c>
      <c r="F9950" s="5" t="s">
        <v>524</v>
      </c>
      <c r="G9950" s="5" t="s">
        <v>61319</v>
      </c>
      <c r="H9950" s="6" t="s">
        <v>61320</v>
      </c>
      <c r="K9950" s="5" t="s">
        <v>61321</v>
      </c>
      <c r="M9950" s="5" t="s">
        <v>61322</v>
      </c>
      <c r="N9950" s="7" t="s">
        <v>61323</v>
      </c>
      <c r="O9950" s="8" t="str">
        <f>HYPERLINK("https://drive.google.com/file/d/1Cj3NL0VsRAvtw8mOx4wvpdpKJQhK2Lvk/view?usp=drivesdk","9949_ANGGUN MULYANA S.KEP.,NERS _ SERTIFIKAT BerAKHLAK")</f>
        <v>9949_ANGGUN MULYANA S.KEP.,NERS _ SERTIFIKAT BerAKHLAK</v>
      </c>
      <c r="P9950" s="5" t="s">
        <v>61324</v>
      </c>
    </row>
    <row r="9951">
      <c r="A9951" s="4">
        <v>45534.52085569444</v>
      </c>
      <c r="B9951" s="5" t="s">
        <v>34</v>
      </c>
      <c r="D9951" s="5" t="s">
        <v>580</v>
      </c>
      <c r="E9951" s="5" t="s">
        <v>61325</v>
      </c>
      <c r="F9951" s="5" t="s">
        <v>37</v>
      </c>
      <c r="G9951" s="5" t="s">
        <v>61326</v>
      </c>
      <c r="H9951" s="6" t="s">
        <v>61327</v>
      </c>
      <c r="K9951" s="5" t="s">
        <v>61328</v>
      </c>
      <c r="M9951" s="5" t="s">
        <v>61329</v>
      </c>
      <c r="N9951" s="7" t="s">
        <v>61330</v>
      </c>
      <c r="O9951" s="8" t="str">
        <f>HYPERLINK("https://drive.google.com/file/d/1EyCEfyWAuWRTKN3sXQNTIoHH-5e34vXa/view?usp=drivesdk","9950_NI LUH GEDE CANDRA ASTUTI _ SERTIFIKAT BerAKHLAK")</f>
        <v>9950_NI LUH GEDE CANDRA ASTUTI _ SERTIFIKAT BerAKHLAK</v>
      </c>
      <c r="P9951" s="5" t="s">
        <v>61331</v>
      </c>
    </row>
    <row r="9952">
      <c r="A9952" s="4">
        <v>45534.52125716435</v>
      </c>
      <c r="B9952" s="5" t="s">
        <v>34</v>
      </c>
      <c r="D9952" s="5" t="s">
        <v>267</v>
      </c>
      <c r="E9952" s="5" t="s">
        <v>61332</v>
      </c>
      <c r="F9952" s="5" t="s">
        <v>375</v>
      </c>
      <c r="G9952" s="5" t="s">
        <v>61333</v>
      </c>
      <c r="H9952" s="6" t="s">
        <v>61334</v>
      </c>
      <c r="K9952" s="5" t="s">
        <v>61335</v>
      </c>
      <c r="M9952" s="5" t="s">
        <v>61336</v>
      </c>
      <c r="N9952" s="7" t="s">
        <v>61337</v>
      </c>
      <c r="O9952" s="8" t="str">
        <f>HYPERLINK("https://drive.google.com/file/d/165uxRcHpqdYKgG7q6cTUccVTAoFAL7M6/view?usp=drivesdk","9951_YANU ARIYANTO _ SERTIFIKAT BerAKHLAK")</f>
        <v>9951_YANU ARIYANTO _ SERTIFIKAT BerAKHLAK</v>
      </c>
      <c r="P9952" s="5" t="s">
        <v>61338</v>
      </c>
    </row>
    <row r="9953">
      <c r="A9953" s="4">
        <v>45534.521361203704</v>
      </c>
      <c r="B9953" s="5" t="s">
        <v>34</v>
      </c>
      <c r="D9953" s="5" t="s">
        <v>3849</v>
      </c>
      <c r="E9953" s="5" t="s">
        <v>61339</v>
      </c>
      <c r="F9953" s="5" t="s">
        <v>37</v>
      </c>
      <c r="G9953" s="5" t="s">
        <v>61340</v>
      </c>
      <c r="H9953" s="6" t="s">
        <v>61341</v>
      </c>
      <c r="K9953" s="5" t="s">
        <v>61342</v>
      </c>
      <c r="M9953" s="5" t="s">
        <v>61343</v>
      </c>
      <c r="N9953" s="7" t="s">
        <v>61344</v>
      </c>
      <c r="O9953" s="8" t="str">
        <f>HYPERLINK("https://drive.google.com/file/d/1VNxsCEnZiiDTyJ4ZrDtVB0Y3fg9BVLGw/view?usp=drivesdk","9952_BELLINA, Amd. Kep _ SERTIFIKAT BerAKHLAK")</f>
        <v>9952_BELLINA, Amd. Kep _ SERTIFIKAT BerAKHLAK</v>
      </c>
      <c r="P9953" s="5" t="s">
        <v>61345</v>
      </c>
    </row>
    <row r="9954">
      <c r="A9954" s="4">
        <v>45534.52158800926</v>
      </c>
      <c r="B9954" s="5" t="s">
        <v>34</v>
      </c>
      <c r="D9954" s="5" t="s">
        <v>9020</v>
      </c>
      <c r="E9954" s="5" t="s">
        <v>61346</v>
      </c>
      <c r="F9954" s="5" t="s">
        <v>72</v>
      </c>
      <c r="G9954" s="5" t="s">
        <v>61347</v>
      </c>
      <c r="H9954" s="6" t="s">
        <v>61348</v>
      </c>
      <c r="K9954" s="5" t="s">
        <v>61349</v>
      </c>
      <c r="M9954" s="5" t="s">
        <v>61350</v>
      </c>
      <c r="N9954" s="7" t="s">
        <v>61351</v>
      </c>
      <c r="O9954" s="8" t="str">
        <f>HYPERLINK("https://drive.google.com/file/d/1gzuWZqpW-J6yLHAhYN1dUWrzrznKC-b3/view?usp=drivesdk","9953_ASN DARMAWANTI _ SERTIFIKAT BerAKHLAK")</f>
        <v>9953_ASN DARMAWANTI _ SERTIFIKAT BerAKHLAK</v>
      </c>
      <c r="P9954" s="5" t="s">
        <v>61352</v>
      </c>
    </row>
    <row r="9955">
      <c r="A9955" s="4">
        <v>45534.521982743056</v>
      </c>
      <c r="B9955" s="5" t="s">
        <v>34</v>
      </c>
      <c r="D9955" s="5" t="s">
        <v>2903</v>
      </c>
      <c r="E9955" s="5" t="s">
        <v>61353</v>
      </c>
      <c r="F9955" s="5" t="s">
        <v>524</v>
      </c>
      <c r="G9955" s="5" t="s">
        <v>61354</v>
      </c>
      <c r="H9955" s="6" t="s">
        <v>61355</v>
      </c>
      <c r="K9955" s="5" t="s">
        <v>61356</v>
      </c>
      <c r="M9955" s="5" t="s">
        <v>61357</v>
      </c>
      <c r="N9955" s="7" t="s">
        <v>61358</v>
      </c>
      <c r="O9955" s="8" t="str">
        <f>HYPERLINK("https://drive.google.com/file/d/1Omr0I0N6ZyqkC7jbcLfdwHjXpw-193z-/view?usp=drivesdk","9954_JUWINARTI _ SERTIFIKAT BerAKHLAK")</f>
        <v>9954_JUWINARTI _ SERTIFIKAT BerAKHLAK</v>
      </c>
      <c r="P9955" s="5" t="s">
        <v>61359</v>
      </c>
    </row>
    <row r="9956" hidden="1">
      <c r="A9956" s="4">
        <v>45534.522994583334</v>
      </c>
      <c r="B9956" s="5" t="s">
        <v>19</v>
      </c>
      <c r="C9956" s="5" t="s">
        <v>292</v>
      </c>
      <c r="E9956" s="5" t="s">
        <v>61360</v>
      </c>
      <c r="F9956" s="5" t="s">
        <v>524</v>
      </c>
      <c r="G9956" s="5" t="s">
        <v>61361</v>
      </c>
      <c r="H9956" s="6" t="s">
        <v>61362</v>
      </c>
      <c r="K9956" s="5" t="s">
        <v>61356</v>
      </c>
      <c r="M9956" s="5" t="s">
        <v>61363</v>
      </c>
      <c r="N9956" s="7" t="s">
        <v>61364</v>
      </c>
      <c r="O9956" s="8" t="str">
        <f>HYPERLINK("https://drive.google.com/file/d/1YXQFMXvTwRoLHZ7P4gCX16iS5oeeHV8-/view?usp=drivesdk","9955_WIWIK TRINIINGSIH,S.Kep.Ns _ SERTIFIKAT BerAKHLAK")</f>
        <v>9955_WIWIK TRINIINGSIH,S.Kep.Ns _ SERTIFIKAT BerAKHLAK</v>
      </c>
      <c r="P9956" s="5" t="s">
        <v>61365</v>
      </c>
    </row>
    <row r="9957">
      <c r="A9957" s="4">
        <v>45534.523245185184</v>
      </c>
      <c r="B9957" s="5" t="s">
        <v>34</v>
      </c>
      <c r="D9957" s="5" t="s">
        <v>9020</v>
      </c>
      <c r="E9957" s="5" t="s">
        <v>61366</v>
      </c>
      <c r="F9957" s="5" t="s">
        <v>72</v>
      </c>
      <c r="G9957" s="5" t="s">
        <v>61367</v>
      </c>
      <c r="H9957" s="6" t="s">
        <v>61368</v>
      </c>
      <c r="K9957" s="5" t="s">
        <v>61369</v>
      </c>
      <c r="M9957" s="5" t="s">
        <v>61370</v>
      </c>
      <c r="N9957" s="7" t="s">
        <v>61371</v>
      </c>
      <c r="O9957" s="8" t="str">
        <f>HYPERLINK("https://drive.google.com/file/d/1n3oQZOLM0jIQY8cdlz8ujLjCQGbXT1qT/view?usp=drivesdk","9956_WUZAR, S.Ag _ SERTIFIKAT BerAKHLAK")</f>
        <v>9956_WUZAR, S.Ag _ SERTIFIKAT BerAKHLAK</v>
      </c>
      <c r="P9957" s="5" t="s">
        <v>61372</v>
      </c>
    </row>
    <row r="9958" hidden="1">
      <c r="A9958" s="4">
        <v>45534.52325209491</v>
      </c>
      <c r="B9958" s="5" t="s">
        <v>19</v>
      </c>
      <c r="C9958" s="5" t="s">
        <v>20</v>
      </c>
      <c r="E9958" s="5" t="s">
        <v>61373</v>
      </c>
      <c r="F9958" s="5" t="s">
        <v>798</v>
      </c>
      <c r="G9958" s="5" t="s">
        <v>61374</v>
      </c>
      <c r="H9958" s="6" t="s">
        <v>61375</v>
      </c>
      <c r="K9958" s="5" t="s">
        <v>61369</v>
      </c>
      <c r="M9958" s="5" t="s">
        <v>61376</v>
      </c>
      <c r="N9958" s="7" t="s">
        <v>61377</v>
      </c>
      <c r="O9958" s="8" t="str">
        <f>HYPERLINK("https://drive.google.com/file/d/1DVC_ItrAy9eU67j6kKZHgMvRhv5wVJYd/view?usp=drivesdk","9957_ANDRYAN PRASETYO _ SERTIFIKAT BerAKHLAK")</f>
        <v>9957_ANDRYAN PRASETYO _ SERTIFIKAT BerAKHLAK</v>
      </c>
      <c r="P9958" s="5" t="s">
        <v>61378</v>
      </c>
    </row>
    <row r="9959">
      <c r="A9959" s="4">
        <v>45534.523407754634</v>
      </c>
      <c r="B9959" s="5" t="s">
        <v>34</v>
      </c>
      <c r="D9959" s="5" t="s">
        <v>14313</v>
      </c>
      <c r="E9959" s="5" t="s">
        <v>61379</v>
      </c>
      <c r="F9959" s="5" t="s">
        <v>212</v>
      </c>
      <c r="G9959" s="5" t="s">
        <v>61380</v>
      </c>
      <c r="H9959" s="6" t="s">
        <v>61381</v>
      </c>
      <c r="K9959" s="5" t="s">
        <v>61382</v>
      </c>
      <c r="M9959" s="5" t="s">
        <v>61383</v>
      </c>
      <c r="N9959" s="7" t="s">
        <v>61384</v>
      </c>
      <c r="O9959" s="8" t="str">
        <f>HYPERLINK("https://drive.google.com/file/d/1k33Ya9hIn2w2y_k4CgBlJdWYKywYxJKE/view?usp=drivesdk","9958_ABDUL  RAHIM _ SERTIFIKAT BerAKHLAK")</f>
        <v>9958_ABDUL  RAHIM _ SERTIFIKAT BerAKHLAK</v>
      </c>
      <c r="P9959" s="5" t="s">
        <v>61224</v>
      </c>
    </row>
    <row r="9960" hidden="1">
      <c r="A9960" s="4">
        <v>45534.52357908565</v>
      </c>
      <c r="B9960" s="5" t="s">
        <v>19</v>
      </c>
      <c r="C9960" s="5" t="s">
        <v>292</v>
      </c>
      <c r="E9960" s="5" t="s">
        <v>61385</v>
      </c>
      <c r="F9960" s="5" t="s">
        <v>524</v>
      </c>
      <c r="G9960" s="5" t="s">
        <v>61386</v>
      </c>
      <c r="H9960" s="6" t="s">
        <v>61387</v>
      </c>
      <c r="K9960" s="5" t="s">
        <v>61388</v>
      </c>
      <c r="M9960" s="5" t="s">
        <v>61389</v>
      </c>
      <c r="N9960" s="7" t="s">
        <v>61390</v>
      </c>
      <c r="O9960" s="8" t="str">
        <f>HYPERLINK("https://drive.google.com/file/d/1Z3BQvEvfsI0MaxbT4Cqf1-ViJks8B19g/view?usp=drivesdk","9959_Titik Wahyu Agustiningsih S. Kep, Ners _ SERTIFIKAT BerAKHLAK")</f>
        <v>9959_Titik Wahyu Agustiningsih S. Kep, Ners _ SERTIFIKAT BerAKHLAK</v>
      </c>
      <c r="P9960" s="5" t="s">
        <v>61391</v>
      </c>
    </row>
    <row r="9961">
      <c r="A9961" s="4">
        <v>45534.52423201389</v>
      </c>
      <c r="B9961" s="5" t="s">
        <v>34</v>
      </c>
      <c r="D9961" s="5" t="s">
        <v>9020</v>
      </c>
      <c r="E9961" s="5" t="s">
        <v>52342</v>
      </c>
      <c r="F9961" s="5" t="s">
        <v>72</v>
      </c>
      <c r="G9961" s="5" t="s">
        <v>52343</v>
      </c>
      <c r="H9961" s="6" t="s">
        <v>61392</v>
      </c>
      <c r="K9961" s="5" t="s">
        <v>61388</v>
      </c>
      <c r="M9961" s="5" t="s">
        <v>61393</v>
      </c>
      <c r="N9961" s="7" t="s">
        <v>61394</v>
      </c>
      <c r="O9961" s="8" t="str">
        <f>HYPERLINK("https://drive.google.com/file/d/1GxYYSZt6taZw5DQrlEmcpg5rFZBhis8X/view?usp=drivesdk","9960_NUR AZIZAH, S.Pd _ SERTIFIKAT BerAKHLAK")</f>
        <v>9960_NUR AZIZAH, S.Pd _ SERTIFIKAT BerAKHLAK</v>
      </c>
      <c r="P9961" s="5" t="s">
        <v>61391</v>
      </c>
    </row>
    <row r="9962">
      <c r="A9962" s="4">
        <v>45534.52491929398</v>
      </c>
      <c r="B9962" s="5" t="s">
        <v>34</v>
      </c>
      <c r="D9962" s="5" t="s">
        <v>701</v>
      </c>
      <c r="E9962" s="5" t="s">
        <v>61395</v>
      </c>
      <c r="F9962" s="5" t="s">
        <v>212</v>
      </c>
      <c r="G9962" s="5" t="s">
        <v>61396</v>
      </c>
      <c r="H9962" s="6" t="s">
        <v>61397</v>
      </c>
      <c r="K9962" s="5" t="s">
        <v>61398</v>
      </c>
      <c r="M9962" s="5" t="s">
        <v>61399</v>
      </c>
      <c r="N9962" s="7" t="s">
        <v>61400</v>
      </c>
      <c r="O9962" s="8" t="str">
        <f>HYPERLINK("https://drive.google.com/file/d/1We0dESepj7tx13SbyQCncAmJ1cxHCQNL/view?usp=drivesdk","9961_ASWELMI _ SERTIFIKAT BerAKHLAK")</f>
        <v>9961_ASWELMI _ SERTIFIKAT BerAKHLAK</v>
      </c>
      <c r="P9962" s="5" t="s">
        <v>61391</v>
      </c>
    </row>
    <row r="9963" hidden="1">
      <c r="A9963" s="4">
        <v>45534.525231377316</v>
      </c>
      <c r="B9963" s="5" t="s">
        <v>19</v>
      </c>
      <c r="C9963" s="5" t="s">
        <v>292</v>
      </c>
      <c r="E9963" s="5" t="s">
        <v>61401</v>
      </c>
      <c r="F9963" s="5" t="s">
        <v>212</v>
      </c>
      <c r="G9963" s="5" t="s">
        <v>61402</v>
      </c>
      <c r="H9963" s="6" t="s">
        <v>61403</v>
      </c>
      <c r="K9963" s="5" t="s">
        <v>61404</v>
      </c>
      <c r="M9963" s="5" t="s">
        <v>61405</v>
      </c>
      <c r="N9963" s="7" t="s">
        <v>61406</v>
      </c>
      <c r="O9963" s="8" t="str">
        <f>HYPERLINK("https://drive.google.com/file/d/1Xb2RWXjaqON1IAUTFB3kntTQsQ4urS47/view?usp=drivesdk","9962_SRI SUPRAPTI _ SERTIFIKAT BerAKHLAK")</f>
        <v>9962_SRI SUPRAPTI _ SERTIFIKAT BerAKHLAK</v>
      </c>
      <c r="P9963" s="5" t="s">
        <v>61391</v>
      </c>
    </row>
    <row r="9964">
      <c r="A9964" s="4">
        <v>45534.52547861111</v>
      </c>
      <c r="B9964" s="5" t="s">
        <v>34</v>
      </c>
      <c r="D9964" s="5" t="s">
        <v>4775</v>
      </c>
      <c r="E9964" s="5" t="s">
        <v>61407</v>
      </c>
      <c r="F9964" s="5" t="s">
        <v>524</v>
      </c>
      <c r="G9964" s="5" t="s">
        <v>61408</v>
      </c>
      <c r="H9964" s="6" t="s">
        <v>61409</v>
      </c>
      <c r="K9964" s="5" t="s">
        <v>61404</v>
      </c>
      <c r="M9964" s="5" t="s">
        <v>61410</v>
      </c>
      <c r="N9964" s="7" t="s">
        <v>61411</v>
      </c>
      <c r="O9964" s="8" t="str">
        <f>HYPERLINK("https://drive.google.com/file/d/1KO6ZS_lq3q2cV1VXHwXTZQNP4-ctlPLc/view?usp=drivesdk","9963_NASIRIN _ SERTIFIKAT BerAKHLAK")</f>
        <v>9963_NASIRIN _ SERTIFIKAT BerAKHLAK</v>
      </c>
      <c r="P9964" s="5" t="s">
        <v>61412</v>
      </c>
    </row>
    <row r="9965">
      <c r="A9965" s="4">
        <v>45534.52565456019</v>
      </c>
      <c r="B9965" s="5" t="s">
        <v>34</v>
      </c>
      <c r="D9965" s="5" t="s">
        <v>35</v>
      </c>
      <c r="E9965" s="5" t="s">
        <v>61413</v>
      </c>
      <c r="F9965" s="5" t="s">
        <v>37</v>
      </c>
      <c r="G9965" s="5" t="s">
        <v>61414</v>
      </c>
      <c r="H9965" s="6" t="s">
        <v>61415</v>
      </c>
      <c r="K9965" s="5" t="s">
        <v>61416</v>
      </c>
      <c r="M9965" s="5" t="s">
        <v>61417</v>
      </c>
      <c r="N9965" s="7" t="s">
        <v>61418</v>
      </c>
      <c r="O9965" s="8" t="str">
        <f>HYPERLINK("https://drive.google.com/file/d/1k9z-gXHlGFsfP-amv5_nsLb9mJA5cfcx/view?usp=drivesdk","9964_RININURJANAH _ SERTIFIKAT BerAKHLAK")</f>
        <v>9964_RININURJANAH _ SERTIFIKAT BerAKHLAK</v>
      </c>
      <c r="P9965" s="5" t="s">
        <v>61412</v>
      </c>
    </row>
    <row r="9966">
      <c r="A9966" s="4">
        <v>45534.52572480324</v>
      </c>
      <c r="B9966" s="5" t="s">
        <v>34</v>
      </c>
      <c r="D9966" s="5" t="s">
        <v>11527</v>
      </c>
      <c r="E9966" s="5" t="s">
        <v>61419</v>
      </c>
      <c r="F9966" s="5" t="s">
        <v>212</v>
      </c>
      <c r="G9966" s="5" t="s">
        <v>61420</v>
      </c>
      <c r="H9966" s="6" t="s">
        <v>61421</v>
      </c>
      <c r="K9966" s="5" t="s">
        <v>61422</v>
      </c>
      <c r="M9966" s="5" t="s">
        <v>61423</v>
      </c>
      <c r="N9966" s="7" t="s">
        <v>61424</v>
      </c>
      <c r="O9966" s="8" t="str">
        <f>HYPERLINK("https://drive.google.com/file/d/14nUMyQz7NVQ7rqtrMmbzl5e6eFVjTFC4/view?usp=drivesdk","9965_MARNO MENAUNG _ SERTIFIKAT BerAKHLAK")</f>
        <v>9965_MARNO MENAUNG _ SERTIFIKAT BerAKHLAK</v>
      </c>
      <c r="P9966" s="5" t="s">
        <v>61412</v>
      </c>
    </row>
    <row r="9967">
      <c r="A9967" s="4">
        <v>45534.526765787035</v>
      </c>
      <c r="B9967" s="5" t="s">
        <v>34</v>
      </c>
      <c r="D9967" s="5" t="s">
        <v>522</v>
      </c>
      <c r="E9967" s="5" t="s">
        <v>61425</v>
      </c>
      <c r="F9967" s="5" t="s">
        <v>524</v>
      </c>
      <c r="G9967" s="5" t="s">
        <v>61426</v>
      </c>
      <c r="H9967" s="6" t="s">
        <v>61427</v>
      </c>
      <c r="K9967" s="5" t="s">
        <v>61422</v>
      </c>
      <c r="M9967" s="5" t="s">
        <v>61428</v>
      </c>
      <c r="N9967" s="7" t="s">
        <v>61429</v>
      </c>
      <c r="O9967" s="8" t="str">
        <f>HYPERLINK("https://drive.google.com/file/d/1Bx_SDAAB-zBIVbVEXWBW_YNl4l7KUcc4/view?usp=drivesdk","9966_REGINA HERMINA NDADA DARA  _ SERTIFIKAT BerAKHLAK")</f>
        <v>9966_REGINA HERMINA NDADA DARA  _ SERTIFIKAT BerAKHLAK</v>
      </c>
      <c r="P9967" s="5" t="s">
        <v>61412</v>
      </c>
    </row>
    <row r="9968">
      <c r="A9968" s="4">
        <v>45534.526891828704</v>
      </c>
      <c r="B9968" s="5" t="s">
        <v>34</v>
      </c>
      <c r="D9968" s="5" t="s">
        <v>6232</v>
      </c>
      <c r="E9968" s="5" t="s">
        <v>61430</v>
      </c>
      <c r="F9968" s="5" t="s">
        <v>212</v>
      </c>
      <c r="G9968" s="5" t="s">
        <v>61431</v>
      </c>
      <c r="H9968" s="6" t="s">
        <v>61432</v>
      </c>
      <c r="K9968" s="5" t="s">
        <v>61433</v>
      </c>
      <c r="M9968" s="5" t="s">
        <v>61434</v>
      </c>
      <c r="N9968" s="7" t="s">
        <v>61435</v>
      </c>
      <c r="O9968" s="8" t="str">
        <f>HYPERLINK("https://drive.google.com/file/d/1mSdJAuVsRUTkMty9wQLBwIv3ycUlHALz/view?usp=drivesdk","9967_Cut Desy Abdiyani, A. Md. Kep _ SERTIFIKAT BerAKHLAK")</f>
        <v>9967_Cut Desy Abdiyani, A. Md. Kep _ SERTIFIKAT BerAKHLAK</v>
      </c>
      <c r="P9968" s="5" t="s">
        <v>61412</v>
      </c>
    </row>
    <row r="9969" hidden="1">
      <c r="A9969" s="4">
        <v>45534.52733319445</v>
      </c>
      <c r="B9969" s="5" t="s">
        <v>19</v>
      </c>
      <c r="C9969" s="5" t="s">
        <v>292</v>
      </c>
      <c r="E9969" s="5" t="s">
        <v>61436</v>
      </c>
      <c r="F9969" s="5" t="s">
        <v>524</v>
      </c>
      <c r="G9969" s="5" t="s">
        <v>61437</v>
      </c>
      <c r="H9969" s="6" t="s">
        <v>61438</v>
      </c>
      <c r="K9969" s="5" t="s">
        <v>61439</v>
      </c>
      <c r="M9969" s="5" t="s">
        <v>61440</v>
      </c>
      <c r="N9969" s="7" t="s">
        <v>61441</v>
      </c>
      <c r="O9969" s="8" t="str">
        <f>HYPERLINK("https://drive.google.com/file/d/19b9LaH1ZbIZElfhcZPreL2sVZleUOOmW/view?usp=drivesdk","9968_KURNIATIN _ SERTIFIKAT BerAKHLAK")</f>
        <v>9968_KURNIATIN _ SERTIFIKAT BerAKHLAK</v>
      </c>
      <c r="P9969" s="5" t="s">
        <v>61442</v>
      </c>
    </row>
    <row r="9970">
      <c r="A9970" s="4">
        <v>45534.52850325231</v>
      </c>
      <c r="B9970" s="5" t="s">
        <v>34</v>
      </c>
      <c r="D9970" s="5" t="s">
        <v>996</v>
      </c>
      <c r="E9970" s="5" t="s">
        <v>61443</v>
      </c>
      <c r="F9970" s="5" t="s">
        <v>524</v>
      </c>
      <c r="G9970" s="5" t="s">
        <v>61444</v>
      </c>
      <c r="H9970" s="6" t="s">
        <v>61445</v>
      </c>
      <c r="K9970" s="5" t="s">
        <v>61446</v>
      </c>
      <c r="M9970" s="5" t="s">
        <v>61447</v>
      </c>
      <c r="N9970" s="7" t="s">
        <v>61448</v>
      </c>
      <c r="O9970" s="8" t="str">
        <f>HYPERLINK("https://drive.google.com/file/d/1TTdxOadx0DdY-g-D-2IxI7-YtrhB59JU/view?usp=drivesdk","9969_SOFYAN EFFENDY, SE., MM _ SERTIFIKAT BerAKHLAK")</f>
        <v>9969_SOFYAN EFFENDY, SE., MM _ SERTIFIKAT BerAKHLAK</v>
      </c>
      <c r="P9970" s="5" t="s">
        <v>61442</v>
      </c>
    </row>
    <row r="9971">
      <c r="A9971" s="4">
        <v>45534.52903796296</v>
      </c>
      <c r="B9971" s="5" t="s">
        <v>34</v>
      </c>
      <c r="D9971" s="5" t="s">
        <v>4775</v>
      </c>
      <c r="E9971" s="5" t="s">
        <v>23335</v>
      </c>
      <c r="F9971" s="5" t="s">
        <v>375</v>
      </c>
      <c r="G9971" s="5" t="s">
        <v>23336</v>
      </c>
      <c r="H9971" s="6" t="s">
        <v>61449</v>
      </c>
      <c r="K9971" s="5" t="s">
        <v>61450</v>
      </c>
      <c r="M9971" s="5" t="s">
        <v>61451</v>
      </c>
      <c r="N9971" s="7" t="s">
        <v>61452</v>
      </c>
      <c r="O9971" s="8" t="str">
        <f>HYPERLINK("https://drive.google.com/file/d/1vPe2KI7lEij5eiborgst0i684Z8Yr8oB/view?usp=drivesdk","9970_DWI SANTOSO, S.E. _ SERTIFIKAT BerAKHLAK")</f>
        <v>9970_DWI SANTOSO, S.E. _ SERTIFIKAT BerAKHLAK</v>
      </c>
      <c r="P9971" s="5" t="s">
        <v>61442</v>
      </c>
    </row>
    <row r="9972">
      <c r="A9972" s="4">
        <v>45534.52906744213</v>
      </c>
      <c r="B9972" s="5" t="s">
        <v>34</v>
      </c>
      <c r="D9972" s="5" t="s">
        <v>12978</v>
      </c>
      <c r="E9972" s="5" t="s">
        <v>61453</v>
      </c>
      <c r="F9972" s="5" t="s">
        <v>37</v>
      </c>
      <c r="G9972" s="5" t="s">
        <v>61454</v>
      </c>
      <c r="H9972" s="6" t="s">
        <v>61455</v>
      </c>
      <c r="K9972" s="5" t="s">
        <v>61450</v>
      </c>
      <c r="M9972" s="5" t="s">
        <v>61456</v>
      </c>
      <c r="N9972" s="7" t="s">
        <v>61457</v>
      </c>
      <c r="O9972" s="8" t="str">
        <f>HYPERLINK("https://drive.google.com/file/d/1nv1d7HbcvFZmSml35KpPbVu3mMujJz-G/view?usp=drivesdk","9971_RUSTAM EFFENDI _ SERTIFIKAT BerAKHLAK")</f>
        <v>9971_RUSTAM EFFENDI _ SERTIFIKAT BerAKHLAK</v>
      </c>
      <c r="P9972" s="5" t="s">
        <v>61442</v>
      </c>
    </row>
    <row r="9973">
      <c r="A9973" s="4">
        <v>45534.529188217595</v>
      </c>
      <c r="B9973" s="5" t="s">
        <v>34</v>
      </c>
      <c r="D9973" s="5" t="s">
        <v>1558</v>
      </c>
      <c r="E9973" s="5" t="s">
        <v>61458</v>
      </c>
      <c r="F9973" s="5" t="s">
        <v>375</v>
      </c>
      <c r="G9973" s="5" t="s">
        <v>61459</v>
      </c>
      <c r="H9973" s="6" t="s">
        <v>61460</v>
      </c>
      <c r="K9973" s="5" t="s">
        <v>61461</v>
      </c>
      <c r="M9973" s="5" t="s">
        <v>61462</v>
      </c>
      <c r="N9973" s="7" t="s">
        <v>61463</v>
      </c>
      <c r="O9973" s="8" t="str">
        <f>HYPERLINK("https://drive.google.com/file/d/1SKk3p1G54gx6zNvpSyq9VFAYsv8cYYwI/view?usp=drivesdk","9972_AGUS SANTOSO.S.T. _ SERTIFIKAT BerAKHLAK")</f>
        <v>9972_AGUS SANTOSO.S.T. _ SERTIFIKAT BerAKHLAK</v>
      </c>
      <c r="P9973" s="5" t="s">
        <v>61464</v>
      </c>
    </row>
    <row r="9974">
      <c r="A9974" s="4">
        <v>45534.52958185185</v>
      </c>
      <c r="B9974" s="5" t="s">
        <v>34</v>
      </c>
      <c r="D9974" s="5" t="s">
        <v>35</v>
      </c>
      <c r="E9974" s="5" t="s">
        <v>60597</v>
      </c>
      <c r="F9974" s="5" t="s">
        <v>375</v>
      </c>
      <c r="G9974" s="5" t="s">
        <v>60598</v>
      </c>
      <c r="H9974" s="6" t="s">
        <v>61465</v>
      </c>
      <c r="K9974" s="5" t="s">
        <v>61466</v>
      </c>
      <c r="M9974" s="5" t="s">
        <v>61467</v>
      </c>
      <c r="N9974" s="7" t="s">
        <v>61468</v>
      </c>
      <c r="O9974" s="8" t="str">
        <f>HYPERLINK("https://drive.google.com/file/d/1eKOoY-btjOEhNeJhQkXLObAtrnxwjNyP/view?usp=drivesdk","9973_MARITA GRATIA ALLEINE RIRY, S.E. _ SERTIFIKAT BerAKHLAK")</f>
        <v>9973_MARITA GRATIA ALLEINE RIRY, S.E. _ SERTIFIKAT BerAKHLAK</v>
      </c>
      <c r="P9974" s="5" t="s">
        <v>61464</v>
      </c>
    </row>
    <row r="9975">
      <c r="A9975" s="4">
        <v>45534.5303003588</v>
      </c>
      <c r="B9975" s="5" t="s">
        <v>34</v>
      </c>
      <c r="D9975" s="5" t="s">
        <v>1206</v>
      </c>
      <c r="E9975" s="5" t="s">
        <v>61469</v>
      </c>
      <c r="F9975" s="5" t="s">
        <v>37</v>
      </c>
      <c r="G9975" s="5" t="s">
        <v>61470</v>
      </c>
      <c r="H9975" s="6" t="s">
        <v>61471</v>
      </c>
      <c r="K9975" s="5" t="s">
        <v>61472</v>
      </c>
      <c r="M9975" s="5" t="s">
        <v>61473</v>
      </c>
      <c r="N9975" s="7" t="s">
        <v>61474</v>
      </c>
      <c r="O9975" s="8" t="str">
        <f>HYPERLINK("https://drive.google.com/file/d/12a8-LJB98zLqyIFyL-nQy0bcgmQ5mVeP/view?usp=drivesdk","9974_CHOMSATUN URIFAH _ SERTIFIKAT BerAKHLAK")</f>
        <v>9974_CHOMSATUN URIFAH _ SERTIFIKAT BerAKHLAK</v>
      </c>
      <c r="P9975" s="5" t="s">
        <v>61464</v>
      </c>
    </row>
    <row r="9976">
      <c r="A9976" s="4">
        <v>45534.53039063657</v>
      </c>
      <c r="B9976" s="5" t="s">
        <v>34</v>
      </c>
      <c r="D9976" s="5" t="s">
        <v>12978</v>
      </c>
      <c r="E9976" s="5" t="s">
        <v>61475</v>
      </c>
      <c r="F9976" s="5" t="s">
        <v>108</v>
      </c>
      <c r="G9976" s="5" t="s">
        <v>61476</v>
      </c>
      <c r="H9976" s="6" t="s">
        <v>61477</v>
      </c>
      <c r="K9976" s="5" t="s">
        <v>61478</v>
      </c>
      <c r="M9976" s="5" t="s">
        <v>61479</v>
      </c>
      <c r="N9976" s="7" t="s">
        <v>61480</v>
      </c>
      <c r="O9976" s="8" t="str">
        <f>HYPERLINK("https://drive.google.com/file/d/1P5FaY1LTWQksFmNiwSDHdvRUmcLiHwSW/view?usp=drivesdk","9975_FARIDA ARYANI _ SERTIFIKAT BerAKHLAK")</f>
        <v>9975_FARIDA ARYANI _ SERTIFIKAT BerAKHLAK</v>
      </c>
      <c r="P9976" s="5" t="s">
        <v>61481</v>
      </c>
    </row>
    <row r="9977">
      <c r="A9977" s="4">
        <v>45534.53055981481</v>
      </c>
      <c r="B9977" s="5" t="s">
        <v>34</v>
      </c>
      <c r="D9977" s="5" t="s">
        <v>996</v>
      </c>
      <c r="E9977" s="5" t="s">
        <v>27491</v>
      </c>
      <c r="F9977" s="5" t="s">
        <v>72</v>
      </c>
      <c r="G9977" s="5" t="s">
        <v>61482</v>
      </c>
      <c r="H9977" s="6" t="s">
        <v>61483</v>
      </c>
      <c r="K9977" s="5" t="s">
        <v>61484</v>
      </c>
      <c r="M9977" s="5" t="s">
        <v>61485</v>
      </c>
      <c r="N9977" s="7" t="s">
        <v>61486</v>
      </c>
      <c r="O9977" s="8" t="str">
        <f>HYPERLINK("https://drive.google.com/file/d/1N9p3B011bSU1Tmi2RfM7I7K0Xq2UWI4M/view?usp=drivesdk","9976_HARLINA _ SERTIFIKAT BerAKHLAK")</f>
        <v>9976_HARLINA _ SERTIFIKAT BerAKHLAK</v>
      </c>
      <c r="P9977" s="5" t="s">
        <v>61481</v>
      </c>
    </row>
    <row r="9978" hidden="1">
      <c r="A9978" s="4">
        <v>45534.53104523148</v>
      </c>
      <c r="B9978" s="5" t="s">
        <v>19</v>
      </c>
      <c r="C9978" s="5" t="s">
        <v>20</v>
      </c>
      <c r="E9978" s="5" t="s">
        <v>61487</v>
      </c>
      <c r="F9978" s="5" t="s">
        <v>37</v>
      </c>
      <c r="G9978" s="5" t="s">
        <v>61488</v>
      </c>
      <c r="H9978" s="6" t="s">
        <v>61489</v>
      </c>
      <c r="K9978" s="5" t="s">
        <v>61484</v>
      </c>
      <c r="M9978" s="5" t="s">
        <v>61490</v>
      </c>
      <c r="N9978" s="7" t="s">
        <v>61491</v>
      </c>
      <c r="O9978" s="8" t="str">
        <f>HYPERLINK("https://drive.google.com/file/d/1SVY25ILy86OrKnzJmGpRkg8NWfv2yjEi/view?usp=drivesdk","9977_TONI BUSTONI  _ SERTIFIKAT BerAKHLAK")</f>
        <v>9977_TONI BUSTONI  _ SERTIFIKAT BerAKHLAK</v>
      </c>
      <c r="P9978" s="5" t="s">
        <v>61481</v>
      </c>
    </row>
    <row r="9979" hidden="1">
      <c r="A9979" s="4">
        <v>45534.531197222226</v>
      </c>
      <c r="B9979" s="5" t="s">
        <v>19</v>
      </c>
      <c r="C9979" s="5" t="s">
        <v>292</v>
      </c>
      <c r="E9979" s="5" t="s">
        <v>61492</v>
      </c>
      <c r="F9979" s="5" t="s">
        <v>37</v>
      </c>
      <c r="G9979" s="5" t="s">
        <v>61493</v>
      </c>
      <c r="H9979" s="6" t="s">
        <v>61494</v>
      </c>
      <c r="K9979" s="5" t="s">
        <v>61495</v>
      </c>
      <c r="M9979" s="5" t="s">
        <v>61496</v>
      </c>
      <c r="N9979" s="7" t="s">
        <v>61497</v>
      </c>
      <c r="O9979" s="8" t="str">
        <f>HYPERLINK("https://drive.google.com/file/d/1JOJucVHs_EhmxKNf1D3sxBFlZgdXfmPh/view?usp=drivesdk","9978_AGUS JUNIANTO _ SERTIFIKAT BerAKHLAK")</f>
        <v>9978_AGUS JUNIANTO _ SERTIFIKAT BerAKHLAK</v>
      </c>
      <c r="P9979" s="5" t="s">
        <v>61481</v>
      </c>
    </row>
    <row r="9980" hidden="1">
      <c r="A9980" s="4">
        <v>45534.53121902778</v>
      </c>
      <c r="B9980" s="5" t="s">
        <v>19</v>
      </c>
      <c r="C9980" s="5" t="s">
        <v>20</v>
      </c>
      <c r="E9980" s="5" t="s">
        <v>61498</v>
      </c>
      <c r="F9980" s="5" t="s">
        <v>72</v>
      </c>
      <c r="G9980" s="5" t="s">
        <v>61499</v>
      </c>
      <c r="H9980" s="6" t="s">
        <v>61500</v>
      </c>
      <c r="K9980" s="5" t="s">
        <v>61495</v>
      </c>
      <c r="M9980" s="5" t="s">
        <v>61501</v>
      </c>
      <c r="N9980" s="7" t="s">
        <v>61502</v>
      </c>
      <c r="O9980" s="8" t="str">
        <f>HYPERLINK("https://drive.google.com/file/d/19tEPC2uULVZRDMyWZCZQoKmgBKtyVpQM/view?usp=drivesdk","9979_FARIDA HAERANI, A.Md. _ SERTIFIKAT BerAKHLAK")</f>
        <v>9979_FARIDA HAERANI, A.Md. _ SERTIFIKAT BerAKHLAK</v>
      </c>
      <c r="P9980" s="5" t="s">
        <v>61481</v>
      </c>
    </row>
    <row r="9981">
      <c r="A9981" s="4">
        <v>45534.53151645833</v>
      </c>
      <c r="B9981" s="5" t="s">
        <v>34</v>
      </c>
      <c r="D9981" s="5" t="s">
        <v>4775</v>
      </c>
      <c r="E9981" s="5" t="s">
        <v>61503</v>
      </c>
      <c r="F9981" s="5" t="s">
        <v>72</v>
      </c>
      <c r="G9981" s="5" t="s">
        <v>61504</v>
      </c>
      <c r="H9981" s="6" t="s">
        <v>61505</v>
      </c>
      <c r="K9981" s="5" t="s">
        <v>61506</v>
      </c>
      <c r="M9981" s="5" t="s">
        <v>61507</v>
      </c>
      <c r="N9981" s="7" t="s">
        <v>61508</v>
      </c>
      <c r="O9981" s="8" t="str">
        <f>HYPERLINK("https://drive.google.com/file/d/1UJyOzodnB5tBWWSzm6biPLAerZn-A1vi/view?usp=drivesdk","9980_OKTARINA S.Kep _ SERTIFIKAT BerAKHLAK")</f>
        <v>9980_OKTARINA S.Kep _ SERTIFIKAT BerAKHLAK</v>
      </c>
      <c r="P9981" s="5" t="s">
        <v>61509</v>
      </c>
    </row>
    <row r="9982">
      <c r="A9982" s="4">
        <v>45534.53179511574</v>
      </c>
      <c r="B9982" s="5" t="s">
        <v>34</v>
      </c>
      <c r="D9982" s="5" t="s">
        <v>11527</v>
      </c>
      <c r="E9982" s="5" t="s">
        <v>61510</v>
      </c>
      <c r="F9982" s="5" t="s">
        <v>212</v>
      </c>
      <c r="G9982" s="5" t="s">
        <v>61511</v>
      </c>
      <c r="H9982" s="6" t="s">
        <v>61512</v>
      </c>
      <c r="K9982" s="5" t="s">
        <v>61513</v>
      </c>
      <c r="M9982" s="5" t="s">
        <v>61514</v>
      </c>
      <c r="N9982" s="7" t="s">
        <v>61515</v>
      </c>
      <c r="O9982" s="8" t="str">
        <f>HYPERLINK("https://drive.google.com/file/d/1TpwLBwk9_7uGsZuSvheRtcb-OsnPpmaC/view?usp=drivesdk","9981_Rinny Aprilianty Mokodompit, Amd. Far _ SERTIFIKAT BerAKHLAK")</f>
        <v>9981_Rinny Aprilianty Mokodompit, Amd. Far _ SERTIFIKAT BerAKHLAK</v>
      </c>
      <c r="P9982" s="5" t="s">
        <v>61509</v>
      </c>
    </row>
    <row r="9983">
      <c r="A9983" s="4">
        <v>45534.531912164355</v>
      </c>
      <c r="B9983" s="5" t="s">
        <v>34</v>
      </c>
      <c r="D9983" s="5" t="s">
        <v>10297</v>
      </c>
      <c r="E9983" s="5" t="s">
        <v>61516</v>
      </c>
      <c r="F9983" s="5" t="s">
        <v>37</v>
      </c>
      <c r="G9983" s="5" t="s">
        <v>61517</v>
      </c>
      <c r="H9983" s="6" t="s">
        <v>61518</v>
      </c>
      <c r="K9983" s="5" t="s">
        <v>61519</v>
      </c>
      <c r="M9983" s="5" t="s">
        <v>61520</v>
      </c>
      <c r="N9983" s="7" t="s">
        <v>61521</v>
      </c>
      <c r="O9983" s="8" t="str">
        <f>HYPERLINK("https://drive.google.com/file/d/1C6ONuO8YDkM5sUqGRx48NWlmWX8gUs53/view?usp=drivesdk","9982_FARIDA HERMANSYAH. Am. Keb _ SERTIFIKAT BerAKHLAK")</f>
        <v>9982_FARIDA HERMANSYAH. Am. Keb _ SERTIFIKAT BerAKHLAK</v>
      </c>
      <c r="P9983" s="5" t="s">
        <v>61509</v>
      </c>
    </row>
    <row r="9984">
      <c r="A9984" s="4">
        <v>45534.533080532405</v>
      </c>
      <c r="B9984" s="5" t="s">
        <v>34</v>
      </c>
      <c r="D9984" s="5" t="s">
        <v>1206</v>
      </c>
      <c r="E9984" s="5" t="s">
        <v>61522</v>
      </c>
      <c r="F9984" s="5" t="s">
        <v>375</v>
      </c>
      <c r="G9984" s="5" t="s">
        <v>28447</v>
      </c>
      <c r="H9984" s="6" t="s">
        <v>61523</v>
      </c>
      <c r="K9984" s="5" t="s">
        <v>61524</v>
      </c>
      <c r="M9984" s="5" t="s">
        <v>61525</v>
      </c>
      <c r="N9984" s="7" t="s">
        <v>61526</v>
      </c>
      <c r="O9984" s="8" t="str">
        <f>HYPERLINK("https://drive.google.com/file/d/1vrVxlFZhlvOpB0qXy91PqPyfdYQtuFxP/view?usp=drivesdk","9983_Ns. NYOTO, S.Kep.,M.Tr.Kep _ SERTIFIKAT BerAKHLAK")</f>
        <v>9983_Ns. NYOTO, S.Kep.,M.Tr.Kep _ SERTIFIKAT BerAKHLAK</v>
      </c>
      <c r="P9984" s="5" t="s">
        <v>61509</v>
      </c>
    </row>
    <row r="9985">
      <c r="A9985" s="4">
        <v>45534.53362556713</v>
      </c>
      <c r="B9985" s="5" t="s">
        <v>34</v>
      </c>
      <c r="D9985" s="5" t="s">
        <v>1692</v>
      </c>
      <c r="E9985" s="5" t="s">
        <v>61527</v>
      </c>
      <c r="F9985" s="5" t="s">
        <v>212</v>
      </c>
      <c r="G9985" s="5" t="s">
        <v>61528</v>
      </c>
      <c r="H9985" s="6" t="s">
        <v>61529</v>
      </c>
      <c r="K9985" s="5" t="s">
        <v>61524</v>
      </c>
      <c r="M9985" s="5" t="s">
        <v>61530</v>
      </c>
      <c r="N9985" s="7" t="s">
        <v>61531</v>
      </c>
      <c r="O9985" s="8" t="str">
        <f>HYPERLINK("https://drive.google.com/file/d/1WA3y0L-fc08OIducLXCfeCFqENAbEa_S/view?usp=drivesdk","9984_JUNEDI F. SAHETAPY _ SERTIFIKAT BerAKHLAK")</f>
        <v>9984_JUNEDI F. SAHETAPY _ SERTIFIKAT BerAKHLAK</v>
      </c>
      <c r="P9985" s="5" t="s">
        <v>61509</v>
      </c>
    </row>
    <row r="9986">
      <c r="A9986" s="4">
        <v>45534.533735578705</v>
      </c>
      <c r="B9986" s="5" t="s">
        <v>34</v>
      </c>
      <c r="D9986" s="5" t="s">
        <v>1768</v>
      </c>
      <c r="E9986" s="5" t="s">
        <v>61532</v>
      </c>
      <c r="F9986" s="5" t="s">
        <v>212</v>
      </c>
      <c r="G9986" s="5" t="s">
        <v>61533</v>
      </c>
      <c r="H9986" s="6" t="s">
        <v>61534</v>
      </c>
      <c r="K9986" s="5" t="s">
        <v>61535</v>
      </c>
      <c r="M9986" s="5" t="s">
        <v>61536</v>
      </c>
      <c r="N9986" s="7" t="s">
        <v>61537</v>
      </c>
      <c r="O9986" s="8" t="str">
        <f>HYPERLINK("https://drive.google.com/file/d/1bpEw3P3J_-XzfcMRoTvI7MRKWiRuNupW/view?usp=drivesdk","9985_S A L M I N I _ SERTIFIKAT BerAKHLAK")</f>
        <v>9985_S A L M I N I _ SERTIFIKAT BerAKHLAK</v>
      </c>
      <c r="P9986" s="5" t="s">
        <v>61538</v>
      </c>
    </row>
    <row r="9987">
      <c r="A9987" s="4">
        <v>45534.53391787037</v>
      </c>
      <c r="B9987" s="5" t="s">
        <v>34</v>
      </c>
      <c r="D9987" s="5" t="s">
        <v>4775</v>
      </c>
      <c r="E9987" s="5" t="s">
        <v>61539</v>
      </c>
      <c r="F9987" s="5" t="s">
        <v>37</v>
      </c>
      <c r="G9987" s="5" t="s">
        <v>61540</v>
      </c>
      <c r="H9987" s="6" t="s">
        <v>61541</v>
      </c>
      <c r="K9987" s="5" t="s">
        <v>61535</v>
      </c>
      <c r="M9987" s="5" t="s">
        <v>61542</v>
      </c>
      <c r="N9987" s="7" t="s">
        <v>61543</v>
      </c>
      <c r="O9987" s="8" t="str">
        <f>HYPERLINK("https://drive.google.com/file/d/1CprQR1CmYasUEbcJyDsQmm2KDT6z4jcY/view?usp=drivesdk","9986_KUSMIYATUN _ SERTIFIKAT BerAKHLAK")</f>
        <v>9986_KUSMIYATUN _ SERTIFIKAT BerAKHLAK</v>
      </c>
      <c r="P9987" s="5" t="s">
        <v>61538</v>
      </c>
    </row>
    <row r="9988">
      <c r="A9988" s="4">
        <v>45534.53394782408</v>
      </c>
      <c r="B9988" s="5" t="s">
        <v>34</v>
      </c>
      <c r="D9988" s="5" t="s">
        <v>6232</v>
      </c>
      <c r="E9988" s="5" t="s">
        <v>61544</v>
      </c>
      <c r="F9988" s="5" t="s">
        <v>212</v>
      </c>
      <c r="G9988" s="5" t="s">
        <v>61545</v>
      </c>
      <c r="H9988" s="6" t="s">
        <v>61546</v>
      </c>
      <c r="K9988" s="5" t="s">
        <v>61535</v>
      </c>
      <c r="M9988" s="5" t="s">
        <v>61547</v>
      </c>
      <c r="N9988" s="7" t="s">
        <v>61548</v>
      </c>
      <c r="O9988" s="8" t="str">
        <f>HYPERLINK("https://drive.google.com/file/d/1YzxfF9DPjzWOTuLhBQaUX04csHVbD1UH/view?usp=drivesdk","9987_JUMARDI _ SERTIFIKAT BerAKHLAK")</f>
        <v>9987_JUMARDI _ SERTIFIKAT BerAKHLAK</v>
      </c>
      <c r="P9988" s="5" t="s">
        <v>61538</v>
      </c>
    </row>
    <row r="9989">
      <c r="A9989" s="4">
        <v>45534.53466184028</v>
      </c>
      <c r="B9989" s="5" t="s">
        <v>34</v>
      </c>
      <c r="D9989" s="5" t="s">
        <v>4775</v>
      </c>
      <c r="E9989" s="5" t="s">
        <v>61549</v>
      </c>
      <c r="F9989" s="5" t="s">
        <v>37</v>
      </c>
      <c r="G9989" s="5" t="s">
        <v>61550</v>
      </c>
      <c r="H9989" s="6" t="s">
        <v>61551</v>
      </c>
      <c r="K9989" s="5" t="s">
        <v>61552</v>
      </c>
      <c r="M9989" s="5" t="s">
        <v>61553</v>
      </c>
      <c r="N9989" s="7" t="s">
        <v>61554</v>
      </c>
      <c r="O9989" s="8" t="str">
        <f>HYPERLINK("https://drive.google.com/file/d/1Bv1aTBXrpZXE2c5yJFnf3_xYibK9n8aD/view?usp=drivesdk","9988_MIA DESY PUSPITHA, AMK  _ SERTIFIKAT BerAKHLAK")</f>
        <v>9988_MIA DESY PUSPITHA, AMK  _ SERTIFIKAT BerAKHLAK</v>
      </c>
      <c r="P9989" s="5" t="s">
        <v>61538</v>
      </c>
    </row>
    <row r="9990">
      <c r="A9990" s="4">
        <v>45534.534910937495</v>
      </c>
      <c r="B9990" s="5" t="s">
        <v>34</v>
      </c>
      <c r="D9990" s="5" t="s">
        <v>1692</v>
      </c>
      <c r="E9990" s="5" t="s">
        <v>61555</v>
      </c>
      <c r="F9990" s="5" t="s">
        <v>108</v>
      </c>
      <c r="G9990" s="5" t="s">
        <v>61556</v>
      </c>
      <c r="H9990" s="6" t="s">
        <v>61557</v>
      </c>
      <c r="K9990" s="5" t="s">
        <v>61558</v>
      </c>
      <c r="M9990" s="5" t="s">
        <v>61559</v>
      </c>
      <c r="N9990" s="7" t="s">
        <v>61560</v>
      </c>
      <c r="O9990" s="8" t="str">
        <f>HYPERLINK("https://drive.google.com/file/d/1UXOZ6kXJD_yo0dri0C0PQnhKg9WtM-Wr/view?usp=drivesdk","9989_AGUSTINA LATUIHAMALLO _ SERTIFIKAT BerAKHLAK")</f>
        <v>9989_AGUSTINA LATUIHAMALLO _ SERTIFIKAT BerAKHLAK</v>
      </c>
      <c r="P9990" s="5" t="s">
        <v>61538</v>
      </c>
    </row>
    <row r="9991">
      <c r="A9991" s="4">
        <v>45534.53572299768</v>
      </c>
      <c r="B9991" s="5" t="s">
        <v>34</v>
      </c>
      <c r="D9991" s="5" t="s">
        <v>522</v>
      </c>
      <c r="E9991" s="5" t="s">
        <v>61561</v>
      </c>
      <c r="F9991" s="5" t="s">
        <v>72</v>
      </c>
      <c r="G9991" s="5" t="s">
        <v>61562</v>
      </c>
      <c r="H9991" s="6" t="s">
        <v>61563</v>
      </c>
      <c r="K9991" s="5" t="s">
        <v>61558</v>
      </c>
      <c r="M9991" s="5" t="s">
        <v>61564</v>
      </c>
      <c r="N9991" s="7" t="s">
        <v>61565</v>
      </c>
      <c r="O9991" s="8" t="str">
        <f>HYPERLINK("https://drive.google.com/file/d/1mVUz7Kg3oxEQOG1EP4K6Z5wrSHwFSPp1/view?usp=drivesdk","9990_dr. WENI SANTIWI _ SERTIFIKAT BerAKHLAK")</f>
        <v>9990_dr. WENI SANTIWI _ SERTIFIKAT BerAKHLAK</v>
      </c>
      <c r="P9991" s="5" t="s">
        <v>61566</v>
      </c>
    </row>
    <row r="9992">
      <c r="A9992" s="4">
        <v>45534.53616148148</v>
      </c>
      <c r="B9992" s="5" t="s">
        <v>34</v>
      </c>
      <c r="D9992" s="5" t="s">
        <v>1206</v>
      </c>
      <c r="E9992" s="5" t="s">
        <v>55922</v>
      </c>
      <c r="F9992" s="5" t="s">
        <v>37</v>
      </c>
      <c r="G9992" s="5" t="s">
        <v>61567</v>
      </c>
      <c r="H9992" s="6" t="s">
        <v>61568</v>
      </c>
      <c r="K9992" s="5" t="s">
        <v>61569</v>
      </c>
      <c r="M9992" s="5" t="s">
        <v>61570</v>
      </c>
      <c r="N9992" s="7" t="s">
        <v>61571</v>
      </c>
      <c r="O9992" s="8" t="str">
        <f>HYPERLINK("https://drive.google.com/file/d/1DiVxYwm4z3LXo0Z0EAxAu0j3qIDBywMv/view?usp=drivesdk","9991_SITI HOTIDJAH _ SERTIFIKAT BerAKHLAK")</f>
        <v>9991_SITI HOTIDJAH _ SERTIFIKAT BerAKHLAK</v>
      </c>
      <c r="P9992" s="5" t="s">
        <v>61566</v>
      </c>
    </row>
    <row r="9993">
      <c r="A9993" s="4">
        <v>45534.53620541666</v>
      </c>
      <c r="B9993" s="5" t="s">
        <v>34</v>
      </c>
      <c r="D9993" s="5" t="s">
        <v>14313</v>
      </c>
      <c r="E9993" s="5" t="s">
        <v>61572</v>
      </c>
      <c r="F9993" s="5" t="s">
        <v>212</v>
      </c>
      <c r="G9993" s="5" t="s">
        <v>61573</v>
      </c>
      <c r="H9993" s="6" t="s">
        <v>61574</v>
      </c>
      <c r="K9993" s="5" t="s">
        <v>61569</v>
      </c>
      <c r="M9993" s="5" t="s">
        <v>61575</v>
      </c>
      <c r="N9993" s="7" t="s">
        <v>61576</v>
      </c>
      <c r="O9993" s="8" t="str">
        <f>HYPERLINK("https://drive.google.com/file/d/1UOumIZ2SVAAt1mHrX8Q98s1CLjBK7FwB/view?usp=drivesdk","9992_KARMILA _ SERTIFIKAT BerAKHLAK")</f>
        <v>9992_KARMILA _ SERTIFIKAT BerAKHLAK</v>
      </c>
      <c r="P9993" s="5" t="s">
        <v>61566</v>
      </c>
    </row>
    <row r="9994">
      <c r="A9994" s="4">
        <v>45534.537678402776</v>
      </c>
      <c r="B9994" s="5" t="s">
        <v>34</v>
      </c>
      <c r="D9994" s="5" t="s">
        <v>6232</v>
      </c>
      <c r="E9994" s="5" t="s">
        <v>61577</v>
      </c>
      <c r="F9994" s="5" t="s">
        <v>108</v>
      </c>
      <c r="G9994" s="5" t="s">
        <v>61578</v>
      </c>
      <c r="H9994" s="6" t="s">
        <v>61579</v>
      </c>
      <c r="K9994" s="5" t="s">
        <v>61580</v>
      </c>
      <c r="M9994" s="5" t="s">
        <v>61581</v>
      </c>
      <c r="N9994" s="7" t="s">
        <v>61582</v>
      </c>
      <c r="O9994" s="8" t="str">
        <f>HYPERLINK("https://drive.google.com/file/d/1RWIL1K9JKG7uJb6hs0S4hX-2RXxxyjIz/view?usp=drivesdk","9993_dr. Nadya Nurbany Rafman _ SERTIFIKAT BerAKHLAK")</f>
        <v>9993_dr. Nadya Nurbany Rafman _ SERTIFIKAT BerAKHLAK</v>
      </c>
      <c r="P9994" s="5" t="s">
        <v>61566</v>
      </c>
    </row>
    <row r="9995">
      <c r="A9995" s="4">
        <v>45534.537798935184</v>
      </c>
      <c r="B9995" s="5" t="s">
        <v>34</v>
      </c>
      <c r="D9995" s="5" t="s">
        <v>4775</v>
      </c>
      <c r="E9995" s="5" t="s">
        <v>61583</v>
      </c>
      <c r="F9995" s="5" t="s">
        <v>37</v>
      </c>
      <c r="G9995" s="5" t="s">
        <v>31039</v>
      </c>
      <c r="H9995" s="6" t="s">
        <v>61584</v>
      </c>
      <c r="K9995" s="5" t="s">
        <v>61580</v>
      </c>
      <c r="M9995" s="5" t="s">
        <v>61585</v>
      </c>
      <c r="N9995" s="7" t="s">
        <v>61586</v>
      </c>
      <c r="O9995" s="8" t="str">
        <f>HYPERLINK("https://drive.google.com/file/d/103vxCnDBUhTkY1CT6NMoSJ3wg5Jemopo/view?usp=drivesdk","9994_TIKA CHANDRA VIJAYANTI, A. Md. Kep _ SERTIFIKAT BerAKHLAK")</f>
        <v>9994_TIKA CHANDRA VIJAYANTI, A. Md. Kep _ SERTIFIKAT BerAKHLAK</v>
      </c>
      <c r="P9995" s="5" t="s">
        <v>61587</v>
      </c>
    </row>
    <row r="9996">
      <c r="A9996" s="4">
        <v>45534.53785277778</v>
      </c>
      <c r="B9996" s="5" t="s">
        <v>34</v>
      </c>
      <c r="D9996" s="5" t="s">
        <v>522</v>
      </c>
      <c r="E9996" s="5" t="s">
        <v>22530</v>
      </c>
      <c r="F9996" s="5" t="s">
        <v>72</v>
      </c>
      <c r="G9996" s="5" t="s">
        <v>22531</v>
      </c>
      <c r="H9996" s="6" t="s">
        <v>61588</v>
      </c>
      <c r="K9996" s="5" t="s">
        <v>61580</v>
      </c>
      <c r="M9996" s="5" t="s">
        <v>61589</v>
      </c>
      <c r="N9996" s="7" t="s">
        <v>61590</v>
      </c>
      <c r="O9996" s="8" t="str">
        <f>HYPERLINK("https://drive.google.com/file/d/1ZABm6iNw528AB9fLtW-zfzBRU9VC1hb3/view?usp=drivesdk","9995_SUHARI WIDODO, A.MD _ SERTIFIKAT BerAKHLAK")</f>
        <v>9995_SUHARI WIDODO, A.MD _ SERTIFIKAT BerAKHLAK</v>
      </c>
      <c r="P9996" s="5" t="s">
        <v>61591</v>
      </c>
    </row>
    <row r="9997">
      <c r="A9997" s="4">
        <v>45534.53804274306</v>
      </c>
      <c r="B9997" s="5" t="s">
        <v>34</v>
      </c>
      <c r="D9997" s="5" t="s">
        <v>11527</v>
      </c>
      <c r="E9997" s="5" t="s">
        <v>61592</v>
      </c>
      <c r="F9997" s="5" t="s">
        <v>524</v>
      </c>
      <c r="G9997" s="5" t="s">
        <v>61593</v>
      </c>
      <c r="H9997" s="6" t="s">
        <v>61594</v>
      </c>
      <c r="K9997" s="5" t="s">
        <v>61595</v>
      </c>
      <c r="M9997" s="5" t="s">
        <v>61596</v>
      </c>
      <c r="N9997" s="7" t="s">
        <v>61597</v>
      </c>
      <c r="O9997" s="8" t="str">
        <f>HYPERLINK("https://drive.google.com/file/d/1d9eIOX-Y4tph3WiPSbcF3zyKrPAemGCc/view?usp=drivesdk","9996_SAHARIA SAMSU, S.E. _ SERTIFIKAT BerAKHLAK")</f>
        <v>9996_SAHARIA SAMSU, S.E. _ SERTIFIKAT BerAKHLAK</v>
      </c>
      <c r="P9997" s="5" t="s">
        <v>61591</v>
      </c>
    </row>
    <row r="9998" hidden="1">
      <c r="A9998" s="4">
        <v>45534.5384393287</v>
      </c>
      <c r="B9998" s="5" t="s">
        <v>19</v>
      </c>
      <c r="C9998" s="5" t="s">
        <v>466</v>
      </c>
      <c r="E9998" s="5" t="s">
        <v>61598</v>
      </c>
      <c r="F9998" s="5" t="s">
        <v>212</v>
      </c>
      <c r="G9998" s="5" t="s">
        <v>61599</v>
      </c>
      <c r="H9998" s="6" t="s">
        <v>61600</v>
      </c>
      <c r="K9998" s="5" t="s">
        <v>61601</v>
      </c>
      <c r="M9998" s="5" t="s">
        <v>61602</v>
      </c>
      <c r="N9998" s="7" t="s">
        <v>61603</v>
      </c>
      <c r="O9998" s="8" t="str">
        <f>HYPERLINK("https://drive.google.com/file/d/17IAbbDX9PVvoTXzxkKBkGKGw1wiTKkh1/view?usp=drivesdk","9997_BASUKI BASTIAR _ SERTIFIKAT BerAKHLAK")</f>
        <v>9997_BASUKI BASTIAR _ SERTIFIKAT BerAKHLAK</v>
      </c>
      <c r="P9998" s="5" t="s">
        <v>61604</v>
      </c>
    </row>
    <row r="9999">
      <c r="A9999" s="4">
        <v>45534.53845723379</v>
      </c>
      <c r="B9999" s="5" t="s">
        <v>34</v>
      </c>
      <c r="D9999" s="5" t="s">
        <v>6232</v>
      </c>
      <c r="E9999" s="5" t="s">
        <v>30648</v>
      </c>
      <c r="F9999" s="5" t="s">
        <v>37</v>
      </c>
      <c r="G9999" s="5" t="s">
        <v>61605</v>
      </c>
      <c r="H9999" s="6" t="s">
        <v>61606</v>
      </c>
      <c r="K9999" s="5" t="s">
        <v>61601</v>
      </c>
      <c r="M9999" s="5" t="s">
        <v>61607</v>
      </c>
      <c r="N9999" s="7" t="s">
        <v>61608</v>
      </c>
      <c r="O9999" s="8" t="str">
        <f>HYPERLINK("https://drive.google.com/file/d/1qGKBBHiVxm5URU5CqXn5s8Jh1f7vFYd9/view?usp=drivesdk","9998_ARYANI _ SERTIFIKAT BerAKHLAK")</f>
        <v>9998_ARYANI _ SERTIFIKAT BerAKHLAK</v>
      </c>
      <c r="P9999" s="5" t="s">
        <v>61604</v>
      </c>
    </row>
    <row r="10000">
      <c r="A10000" s="4">
        <v>45534.53901136574</v>
      </c>
      <c r="B10000" s="5" t="s">
        <v>34</v>
      </c>
      <c r="D10000" s="5" t="s">
        <v>4775</v>
      </c>
      <c r="E10000" s="5" t="s">
        <v>61609</v>
      </c>
      <c r="F10000" s="5" t="s">
        <v>37</v>
      </c>
      <c r="G10000" s="5" t="s">
        <v>61610</v>
      </c>
      <c r="H10000" s="6" t="s">
        <v>61611</v>
      </c>
      <c r="K10000" s="5" t="s">
        <v>61612</v>
      </c>
      <c r="M10000" s="5" t="s">
        <v>61613</v>
      </c>
      <c r="N10000" s="7" t="s">
        <v>61614</v>
      </c>
      <c r="O10000" s="8" t="str">
        <f>HYPERLINK("https://drive.google.com/file/d/1Xsd1FsCpsbblZdTF5mgxvJPlQ2ILKkR4/view?usp=drivesdk","9999_MOHAMAD AYUB  _ SERTIFIKAT BerAKHLAK")</f>
        <v>9999_MOHAMAD AYUB  _ SERTIFIKAT BerAKHLAK</v>
      </c>
      <c r="P10000" s="5" t="s">
        <v>61604</v>
      </c>
    </row>
    <row r="10001">
      <c r="A10001" s="4">
        <v>45534.539061469906</v>
      </c>
      <c r="B10001" s="5" t="s">
        <v>34</v>
      </c>
      <c r="D10001" s="5" t="s">
        <v>35</v>
      </c>
      <c r="E10001" s="5" t="s">
        <v>61615</v>
      </c>
      <c r="F10001" s="5" t="s">
        <v>120</v>
      </c>
      <c r="G10001" s="5" t="s">
        <v>50238</v>
      </c>
      <c r="H10001" s="6" t="s">
        <v>61616</v>
      </c>
      <c r="K10001" s="5" t="s">
        <v>61612</v>
      </c>
      <c r="M10001" s="5" t="s">
        <v>61617</v>
      </c>
      <c r="N10001" s="7" t="s">
        <v>61618</v>
      </c>
      <c r="O10001" s="8" t="str">
        <f>HYPERLINK("https://drive.google.com/file/d/1OOdvlCMXHm-nEuIuPXdgWIynZlsTRAi4/view?usp=drivesdk","10000_HARIYANI,SE.MM _ SERTIFIKAT BerAKHLAK")</f>
        <v>10000_HARIYANI,SE.MM _ SERTIFIKAT BerAKHLAK</v>
      </c>
      <c r="P10001" s="5" t="s">
        <v>61604</v>
      </c>
    </row>
    <row r="10002">
      <c r="A10002" s="4">
        <v>45534.53998688658</v>
      </c>
      <c r="B10002" s="5" t="s">
        <v>34</v>
      </c>
      <c r="D10002" s="5" t="s">
        <v>604</v>
      </c>
      <c r="E10002" s="5" t="s">
        <v>61619</v>
      </c>
      <c r="F10002" s="5" t="s">
        <v>212</v>
      </c>
      <c r="G10002" s="5" t="s">
        <v>61620</v>
      </c>
      <c r="H10002" s="6" t="s">
        <v>61621</v>
      </c>
      <c r="K10002" s="5" t="s">
        <v>61612</v>
      </c>
      <c r="M10002" s="5" t="s">
        <v>61622</v>
      </c>
      <c r="N10002" s="7" t="s">
        <v>61623</v>
      </c>
      <c r="O10002" s="8" t="str">
        <f>HYPERLINK("https://drive.google.com/file/d/1HLI6ldHDB_H1cz-LJeU3tADaHdyp_cLG/view?usp=drivesdk","10001_Ni Putu Desy Puspitasari, Amd. Kep _ SERTIFIKAT BerAKHLAK")</f>
        <v>10001_Ni Putu Desy Puspitasari, Amd. Kep _ SERTIFIKAT BerAKHLAK</v>
      </c>
      <c r="P10002" s="5" t="s">
        <v>61624</v>
      </c>
    </row>
    <row r="10003">
      <c r="A10003" s="4">
        <v>45534.540998599536</v>
      </c>
      <c r="B10003" s="5" t="s">
        <v>34</v>
      </c>
      <c r="D10003" s="5" t="s">
        <v>1558</v>
      </c>
      <c r="E10003" s="5" t="s">
        <v>61625</v>
      </c>
      <c r="F10003" s="5" t="s">
        <v>212</v>
      </c>
      <c r="G10003" s="5" t="s">
        <v>61626</v>
      </c>
      <c r="H10003" s="6" t="s">
        <v>61627</v>
      </c>
      <c r="K10003" s="5" t="s">
        <v>61628</v>
      </c>
      <c r="M10003" s="5" t="s">
        <v>61629</v>
      </c>
      <c r="N10003" s="7" t="s">
        <v>61630</v>
      </c>
      <c r="O10003" s="8" t="str">
        <f>HYPERLINK("https://drive.google.com/file/d/1Y-BspwvSNZcqR3FfdGncmmyOM-X0fjIw/view?usp=drivesdk","10002_NUNUNG KOMALASARI _ SERTIFIKAT BerAKHLAK")</f>
        <v>10002_NUNUNG KOMALASARI _ SERTIFIKAT BerAKHLAK</v>
      </c>
      <c r="P10003" s="5" t="s">
        <v>61624</v>
      </c>
    </row>
    <row r="10004">
      <c r="A10004" s="4">
        <v>45534.54159489583</v>
      </c>
      <c r="B10004" s="5" t="s">
        <v>34</v>
      </c>
      <c r="D10004" s="5" t="s">
        <v>3432</v>
      </c>
      <c r="E10004" s="5" t="s">
        <v>36493</v>
      </c>
      <c r="F10004" s="5" t="s">
        <v>524</v>
      </c>
      <c r="G10004" s="5" t="s">
        <v>61631</v>
      </c>
      <c r="H10004" s="6" t="s">
        <v>61632</v>
      </c>
      <c r="K10004" s="5" t="s">
        <v>61633</v>
      </c>
      <c r="M10004" s="5" t="s">
        <v>61634</v>
      </c>
      <c r="N10004" s="7" t="s">
        <v>61635</v>
      </c>
      <c r="O10004" s="8" t="str">
        <f>HYPERLINK("https://drive.google.com/file/d/1UyYy-63vUTfM3dpm-5krCHeiiQIYXMnM/view?usp=drivesdk","10003_NUR SUMARDI _ SERTIFIKAT BerAKHLAK")</f>
        <v>10003_NUR SUMARDI _ SERTIFIKAT BerAKHLAK</v>
      </c>
      <c r="P10004" s="5" t="s">
        <v>61624</v>
      </c>
    </row>
    <row r="10005">
      <c r="A10005" s="4">
        <v>45534.54170693287</v>
      </c>
      <c r="B10005" s="5" t="s">
        <v>34</v>
      </c>
      <c r="D10005" s="5" t="s">
        <v>604</v>
      </c>
      <c r="E10005" s="5" t="s">
        <v>37433</v>
      </c>
      <c r="F10005" s="5" t="s">
        <v>108</v>
      </c>
      <c r="G10005" s="5" t="s">
        <v>5135</v>
      </c>
      <c r="H10005" s="6" t="s">
        <v>61636</v>
      </c>
      <c r="K10005" s="5" t="s">
        <v>61637</v>
      </c>
      <c r="M10005" s="5" t="s">
        <v>61638</v>
      </c>
      <c r="N10005" s="7" t="s">
        <v>61639</v>
      </c>
      <c r="O10005" s="8" t="str">
        <f>HYPERLINK("https://drive.google.com/file/d/1RCo9fptBrdkwLKZpWEyX7LgeugLgMTpB/view?usp=drivesdk","10004_ISMAIL _ SERTIFIKAT BerAKHLAK")</f>
        <v>10004_ISMAIL _ SERTIFIKAT BerAKHLAK</v>
      </c>
      <c r="P10005" s="5" t="s">
        <v>61624</v>
      </c>
    </row>
    <row r="10006" hidden="1">
      <c r="A10006" s="4">
        <v>45534.54172542824</v>
      </c>
      <c r="B10006" s="5" t="s">
        <v>19</v>
      </c>
      <c r="C10006" s="5" t="s">
        <v>466</v>
      </c>
      <c r="E10006" s="5" t="s">
        <v>61640</v>
      </c>
      <c r="F10006" s="5" t="s">
        <v>120</v>
      </c>
      <c r="G10006" s="5" t="s">
        <v>61641</v>
      </c>
      <c r="H10006" s="6" t="s">
        <v>61642</v>
      </c>
      <c r="K10006" s="5" t="s">
        <v>61637</v>
      </c>
      <c r="M10006" s="5" t="s">
        <v>61643</v>
      </c>
      <c r="N10006" s="7" t="s">
        <v>61644</v>
      </c>
      <c r="O10006" s="8" t="str">
        <f>HYPERLINK("https://drive.google.com/file/d/1pi4__i4YlcTVdIhNUaz0UirtFFEwa189/view?usp=drivesdk","10005_IKA MEITY KAMALIA DOENI _ SERTIFIKAT BerAKHLAK")</f>
        <v>10005_IKA MEITY KAMALIA DOENI _ SERTIFIKAT BerAKHLAK</v>
      </c>
      <c r="P10006" s="5" t="s">
        <v>61645</v>
      </c>
    </row>
    <row r="10007" hidden="1">
      <c r="A10007" s="4">
        <v>45534.54186467592</v>
      </c>
      <c r="B10007" s="5" t="s">
        <v>19</v>
      </c>
      <c r="C10007" s="5" t="s">
        <v>292</v>
      </c>
      <c r="E10007" s="5" t="s">
        <v>61646</v>
      </c>
      <c r="F10007" s="5" t="s">
        <v>212</v>
      </c>
      <c r="G10007" s="5" t="s">
        <v>61647</v>
      </c>
      <c r="H10007" s="6" t="s">
        <v>61648</v>
      </c>
      <c r="K10007" s="5" t="s">
        <v>61649</v>
      </c>
      <c r="M10007" s="5" t="s">
        <v>61650</v>
      </c>
      <c r="N10007" s="7" t="s">
        <v>61651</v>
      </c>
      <c r="O10007" s="8" t="str">
        <f>HYPERLINK("https://drive.google.com/file/d/18brSVyUlPF_xJslDD89CpvmW50SK0xBb/view?usp=drivesdk","10006_RINA MARITASARI, AMK _ SERTIFIKAT BerAKHLAK")</f>
        <v>10006_RINA MARITASARI, AMK _ SERTIFIKAT BerAKHLAK</v>
      </c>
      <c r="P10007" s="5" t="s">
        <v>61645</v>
      </c>
    </row>
    <row r="10008">
      <c r="A10008" s="4">
        <v>45534.54264789352</v>
      </c>
      <c r="B10008" s="5" t="s">
        <v>34</v>
      </c>
      <c r="D10008" s="5" t="s">
        <v>4775</v>
      </c>
      <c r="E10008" s="5" t="s">
        <v>61652</v>
      </c>
      <c r="F10008" s="5" t="s">
        <v>524</v>
      </c>
      <c r="G10008" s="5" t="s">
        <v>19288</v>
      </c>
      <c r="H10008" s="6" t="s">
        <v>61653</v>
      </c>
      <c r="K10008" s="5" t="s">
        <v>61654</v>
      </c>
      <c r="M10008" s="5" t="s">
        <v>61655</v>
      </c>
      <c r="N10008" s="7" t="s">
        <v>61656</v>
      </c>
      <c r="O10008" s="8" t="str">
        <f>HYPERLINK("https://drive.google.com/file/d/1Rf_XgSw9rvYnM25oKb52puPn8AayUBX0/view?usp=drivesdk","10007_DJUMAIN _ SERTIFIKAT BerAKHLAK")</f>
        <v>10007_DJUMAIN _ SERTIFIKAT BerAKHLAK</v>
      </c>
      <c r="P10008" s="5" t="s">
        <v>61645</v>
      </c>
    </row>
    <row r="10009" hidden="1">
      <c r="A10009" s="4">
        <v>45534.544739907404</v>
      </c>
      <c r="B10009" s="5" t="s">
        <v>19</v>
      </c>
      <c r="C10009" s="5" t="s">
        <v>3301</v>
      </c>
      <c r="E10009" s="5" t="s">
        <v>61657</v>
      </c>
      <c r="F10009" s="5" t="s">
        <v>37</v>
      </c>
      <c r="G10009" s="5" t="s">
        <v>61658</v>
      </c>
      <c r="H10009" s="6" t="s">
        <v>61659</v>
      </c>
      <c r="K10009" s="5" t="s">
        <v>61660</v>
      </c>
      <c r="M10009" s="5" t="s">
        <v>61661</v>
      </c>
      <c r="N10009" s="7" t="s">
        <v>61662</v>
      </c>
      <c r="O10009" s="8" t="str">
        <f>HYPERLINK("https://drive.google.com/file/d/1VjWbdqBWed_2DWSuLdNuiu3juYqz9deC/view?usp=drivesdk","10008_CHRISTINE PERMATA SARIDEWI, A. Md. Farm.  _ SERTIFIKAT BerAKHLAK")</f>
        <v>10008_CHRISTINE PERMATA SARIDEWI, A. Md. Farm.  _ SERTIFIKAT BerAKHLAK</v>
      </c>
      <c r="P10009" s="5" t="s">
        <v>61645</v>
      </c>
    </row>
    <row r="10010">
      <c r="A10010" s="4">
        <v>45534.54608140046</v>
      </c>
      <c r="B10010" s="5" t="s">
        <v>34</v>
      </c>
      <c r="D10010" s="5" t="s">
        <v>35</v>
      </c>
      <c r="E10010" s="5" t="s">
        <v>10320</v>
      </c>
      <c r="F10010" s="5" t="s">
        <v>108</v>
      </c>
      <c r="G10010" s="5" t="s">
        <v>10321</v>
      </c>
      <c r="H10010" s="6" t="s">
        <v>61663</v>
      </c>
      <c r="K10010" s="5" t="s">
        <v>61664</v>
      </c>
      <c r="M10010" s="5" t="s">
        <v>61665</v>
      </c>
      <c r="N10010" s="7" t="s">
        <v>61666</v>
      </c>
      <c r="O10010" s="8" t="str">
        <f>HYPERLINK("https://drive.google.com/file/d/1hjl5GpZG7o_F0KUov7MFKhH735TqU27P/view?usp=drivesdk","10009_SIGIT HARYANTO _ SERTIFIKAT BerAKHLAK")</f>
        <v>10009_SIGIT HARYANTO _ SERTIFIKAT BerAKHLAK</v>
      </c>
      <c r="P10010" s="5" t="s">
        <v>61645</v>
      </c>
    </row>
    <row r="10011">
      <c r="A10011" s="4">
        <v>45534.546498483796</v>
      </c>
      <c r="B10011" s="5" t="s">
        <v>34</v>
      </c>
      <c r="D10011" s="5" t="s">
        <v>9020</v>
      </c>
      <c r="E10011" s="5" t="s">
        <v>61667</v>
      </c>
      <c r="F10011" s="5" t="s">
        <v>212</v>
      </c>
      <c r="G10011" s="5" t="s">
        <v>61668</v>
      </c>
      <c r="H10011" s="6" t="s">
        <v>61669</v>
      </c>
      <c r="K10011" s="5" t="s">
        <v>61670</v>
      </c>
      <c r="M10011" s="5" t="s">
        <v>61671</v>
      </c>
      <c r="N10011" s="7" t="s">
        <v>61672</v>
      </c>
      <c r="O10011" s="8" t="str">
        <f>HYPERLINK("https://drive.google.com/file/d/11v6wuX2yURHjjqfemzMqi2po9z9ulgLI/view?usp=drivesdk","10010_SITI ROHANNUM  _ SERTIFIKAT BerAKHLAK")</f>
        <v>10010_SITI ROHANNUM  _ SERTIFIKAT BerAKHLAK</v>
      </c>
      <c r="P10011" s="5" t="s">
        <v>61673</v>
      </c>
    </row>
    <row r="10012">
      <c r="A10012" s="4">
        <v>45534.54698663195</v>
      </c>
      <c r="B10012" s="5" t="s">
        <v>34</v>
      </c>
      <c r="D10012" s="5" t="s">
        <v>10297</v>
      </c>
      <c r="E10012" s="5" t="s">
        <v>61674</v>
      </c>
      <c r="F10012" s="5" t="s">
        <v>108</v>
      </c>
      <c r="G10012" s="5" t="s">
        <v>61675</v>
      </c>
      <c r="H10012" s="6" t="s">
        <v>61676</v>
      </c>
      <c r="K10012" s="5" t="s">
        <v>61677</v>
      </c>
      <c r="M10012" s="5" t="s">
        <v>61678</v>
      </c>
      <c r="N10012" s="7" t="s">
        <v>61679</v>
      </c>
      <c r="O10012" s="8" t="str">
        <f>HYPERLINK("https://drive.google.com/file/d/18bRPYW_vj636URVCOcMim3CzDm1rOMf7/view?usp=drivesdk","10011_DESI ANDRIANI, S.GZ., M.M. _ SERTIFIKAT BerAKHLAK")</f>
        <v>10011_DESI ANDRIANI, S.GZ., M.M. _ SERTIFIKAT BerAKHLAK</v>
      </c>
      <c r="P10012" s="5" t="s">
        <v>61673</v>
      </c>
    </row>
    <row r="10013">
      <c r="A10013" s="4">
        <v>45534.54732090278</v>
      </c>
      <c r="B10013" s="5" t="s">
        <v>34</v>
      </c>
      <c r="D10013" s="5" t="s">
        <v>1692</v>
      </c>
      <c r="E10013" s="5" t="s">
        <v>61680</v>
      </c>
      <c r="F10013" s="5" t="s">
        <v>328</v>
      </c>
      <c r="G10013" s="5" t="s">
        <v>61681</v>
      </c>
      <c r="H10013" s="6" t="s">
        <v>61682</v>
      </c>
      <c r="K10013" s="5" t="s">
        <v>61683</v>
      </c>
      <c r="M10013" s="5" t="s">
        <v>61684</v>
      </c>
      <c r="N10013" s="7" t="s">
        <v>61685</v>
      </c>
      <c r="O10013" s="8" t="str">
        <f>HYPERLINK("https://drive.google.com/file/d/1OQ5NZzB7MYX-SDmZtPwpCGH6rfqoE3Ew/view?usp=drivesdk","10012_NEELTJE JEHUBJANAN _ SERTIFIKAT BerAKHLAK")</f>
        <v>10012_NEELTJE JEHUBJANAN _ SERTIFIKAT BerAKHLAK</v>
      </c>
      <c r="P10013" s="5" t="s">
        <v>61673</v>
      </c>
    </row>
    <row r="10014" hidden="1">
      <c r="A10014" s="4">
        <v>45534.54759947916</v>
      </c>
      <c r="B10014" s="5" t="s">
        <v>19</v>
      </c>
      <c r="C10014" s="5" t="s">
        <v>292</v>
      </c>
      <c r="E10014" s="5" t="s">
        <v>61686</v>
      </c>
      <c r="F10014" s="5" t="s">
        <v>212</v>
      </c>
      <c r="G10014" s="5" t="s">
        <v>61687</v>
      </c>
      <c r="H10014" s="6" t="s">
        <v>61688</v>
      </c>
      <c r="K10014" s="5" t="s">
        <v>61689</v>
      </c>
      <c r="M10014" s="5" t="s">
        <v>61690</v>
      </c>
      <c r="N10014" s="7" t="s">
        <v>61691</v>
      </c>
      <c r="O10014" s="8" t="str">
        <f>HYPERLINK("https://drive.google.com/file/d/1JBt95dbimMTckliqyfPWUUa7s-5JSVxs/view?usp=drivesdk","10013_JULI NUR CHUMALAH, A.Md.,Kep. _ SERTIFIKAT BerAKHLAK")</f>
        <v>10013_JULI NUR CHUMALAH, A.Md.,Kep. _ SERTIFIKAT BerAKHLAK</v>
      </c>
      <c r="P10014" s="5" t="s">
        <v>61673</v>
      </c>
    </row>
    <row r="10015" hidden="1">
      <c r="A10015" s="4">
        <v>45534.54814122686</v>
      </c>
      <c r="B10015" s="5" t="s">
        <v>19</v>
      </c>
      <c r="C10015" s="5" t="s">
        <v>14000</v>
      </c>
      <c r="E10015" s="5" t="s">
        <v>61692</v>
      </c>
      <c r="F10015" s="5" t="s">
        <v>37</v>
      </c>
      <c r="G10015" s="5" t="s">
        <v>61693</v>
      </c>
      <c r="H10015" s="6" t="s">
        <v>61694</v>
      </c>
      <c r="K10015" s="5" t="s">
        <v>61695</v>
      </c>
      <c r="M10015" s="5" t="s">
        <v>61696</v>
      </c>
      <c r="N10015" s="7" t="s">
        <v>61697</v>
      </c>
      <c r="O10015" s="8" t="str">
        <f>HYPERLINK("https://drive.google.com/file/d/1oVrGj2P_GR3iKBd40p5lWkJnc9ZSU7ks/view?usp=drivesdk","10014_YALESTRI SETYOWATI _ SERTIFIKAT BerAKHLAK")</f>
        <v>10014_YALESTRI SETYOWATI _ SERTIFIKAT BerAKHLAK</v>
      </c>
      <c r="P10015" s="5" t="s">
        <v>61698</v>
      </c>
    </row>
    <row r="10016">
      <c r="A10016" s="4">
        <v>45534.548532245375</v>
      </c>
      <c r="B10016" s="5" t="s">
        <v>34</v>
      </c>
      <c r="D10016" s="5" t="s">
        <v>1206</v>
      </c>
      <c r="E10016" s="5" t="s">
        <v>61699</v>
      </c>
      <c r="F10016" s="5" t="s">
        <v>37</v>
      </c>
      <c r="G10016" s="5" t="s">
        <v>61700</v>
      </c>
      <c r="H10016" s="6" t="s">
        <v>61701</v>
      </c>
      <c r="K10016" s="5" t="s">
        <v>61702</v>
      </c>
      <c r="M10016" s="5" t="s">
        <v>61703</v>
      </c>
      <c r="N10016" s="7" t="s">
        <v>61704</v>
      </c>
      <c r="O10016" s="8" t="str">
        <f>HYPERLINK("https://drive.google.com/file/d/1FvYygIxHplBexdT66hLIPgG5vT49PV24/view?usp=drivesdk","10015_IMAM TAUFIQ _ SERTIFIKAT BerAKHLAK")</f>
        <v>10015_IMAM TAUFIQ _ SERTIFIKAT BerAKHLAK</v>
      </c>
      <c r="P10016" s="5" t="s">
        <v>61705</v>
      </c>
    </row>
    <row r="10017">
      <c r="A10017" s="4">
        <v>45534.54887971065</v>
      </c>
      <c r="B10017" s="5" t="s">
        <v>34</v>
      </c>
      <c r="D10017" s="5" t="s">
        <v>9020</v>
      </c>
      <c r="E10017" s="5" t="s">
        <v>61706</v>
      </c>
      <c r="F10017" s="5" t="s">
        <v>120</v>
      </c>
      <c r="G10017" s="5" t="s">
        <v>61707</v>
      </c>
      <c r="H10017" s="6" t="s">
        <v>61708</v>
      </c>
      <c r="K10017" s="5" t="s">
        <v>61709</v>
      </c>
      <c r="M10017" s="5" t="s">
        <v>61710</v>
      </c>
      <c r="N10017" s="7" t="s">
        <v>61711</v>
      </c>
      <c r="O10017" s="8" t="str">
        <f>HYPERLINK("https://drive.google.com/file/d/1L110i6GAAQop3xbVBg0XQ0ism3ROB-hl/view?usp=drivesdk","10016_ELISMAN GINTING _ SERTIFIKAT BerAKHLAK")</f>
        <v>10016_ELISMAN GINTING _ SERTIFIKAT BerAKHLAK</v>
      </c>
      <c r="P10017" s="5" t="s">
        <v>61712</v>
      </c>
    </row>
    <row r="10018">
      <c r="A10018" s="4">
        <v>45534.549416643524</v>
      </c>
      <c r="B10018" s="5" t="s">
        <v>34</v>
      </c>
      <c r="D10018" s="5" t="s">
        <v>996</v>
      </c>
      <c r="E10018" s="5" t="s">
        <v>61713</v>
      </c>
      <c r="F10018" s="5" t="s">
        <v>22</v>
      </c>
      <c r="G10018" s="5" t="s">
        <v>61714</v>
      </c>
      <c r="H10018" s="6" t="s">
        <v>61715</v>
      </c>
      <c r="K10018" s="5" t="s">
        <v>61709</v>
      </c>
      <c r="M10018" s="5" t="s">
        <v>61716</v>
      </c>
      <c r="N10018" s="7" t="s">
        <v>61717</v>
      </c>
      <c r="O10018" s="8" t="str">
        <f>HYPERLINK("https://drive.google.com/file/d/1E1VZGg8CbxU2g62O3NKsUY2F0bhFmTv1/view?usp=drivesdk","10017_AGUS DWI SASONO _ SERTIFIKAT BerAKHLAK")</f>
        <v>10017_AGUS DWI SASONO _ SERTIFIKAT BerAKHLAK</v>
      </c>
      <c r="P10018" s="5" t="s">
        <v>61718</v>
      </c>
    </row>
    <row r="10019">
      <c r="A10019" s="4">
        <v>45534.549461504634</v>
      </c>
      <c r="B10019" s="5" t="s">
        <v>34</v>
      </c>
      <c r="D10019" s="5" t="s">
        <v>9020</v>
      </c>
      <c r="E10019" s="5" t="s">
        <v>61719</v>
      </c>
      <c r="F10019" s="5" t="s">
        <v>212</v>
      </c>
      <c r="G10019" s="5" t="s">
        <v>61720</v>
      </c>
      <c r="H10019" s="6" t="s">
        <v>61721</v>
      </c>
      <c r="K10019" s="5" t="s">
        <v>61709</v>
      </c>
      <c r="M10019" s="5" t="s">
        <v>61722</v>
      </c>
      <c r="N10019" s="7" t="s">
        <v>61723</v>
      </c>
      <c r="O10019" s="8" t="str">
        <f>HYPERLINK("https://drive.google.com/file/d/1J3S33N33JDQKXYf18GD4LRPMsapIPfAQ/view?usp=drivesdk","10018_HALIMAH TUSSAKDIAH _ SERTIFIKAT BerAKHLAK")</f>
        <v>10018_HALIMAH TUSSAKDIAH _ SERTIFIKAT BerAKHLAK</v>
      </c>
      <c r="P10019" s="5" t="s">
        <v>61724</v>
      </c>
    </row>
    <row r="10020">
      <c r="A10020" s="4">
        <v>45534.54978025463</v>
      </c>
      <c r="B10020" s="5" t="s">
        <v>34</v>
      </c>
      <c r="D10020" s="5" t="s">
        <v>701</v>
      </c>
      <c r="E10020" s="5" t="s">
        <v>61725</v>
      </c>
      <c r="F10020" s="5" t="s">
        <v>212</v>
      </c>
      <c r="G10020" s="5" t="s">
        <v>61726</v>
      </c>
      <c r="H10020" s="6" t="s">
        <v>61727</v>
      </c>
      <c r="K10020" s="5" t="s">
        <v>61728</v>
      </c>
      <c r="M10020" s="5" t="s">
        <v>61729</v>
      </c>
      <c r="N10020" s="7" t="s">
        <v>61730</v>
      </c>
      <c r="O10020" s="8" t="str">
        <f>HYPERLINK("https://drive.google.com/file/d/1OI9JxM4dgcD7mS5f0legUowzL4WaPz34/view?usp=drivesdk","10019_LIZA WARMAIDA _ SERTIFIKAT BerAKHLAK")</f>
        <v>10019_LIZA WARMAIDA _ SERTIFIKAT BerAKHLAK</v>
      </c>
      <c r="P10020" s="5" t="s">
        <v>61731</v>
      </c>
    </row>
    <row r="10021">
      <c r="A10021" s="4">
        <v>45534.55125438658</v>
      </c>
      <c r="B10021" s="5" t="s">
        <v>34</v>
      </c>
      <c r="D10021" s="5" t="s">
        <v>10297</v>
      </c>
      <c r="E10021" s="5" t="s">
        <v>61732</v>
      </c>
      <c r="F10021" s="5" t="s">
        <v>524</v>
      </c>
      <c r="G10021" s="5" t="s">
        <v>39474</v>
      </c>
      <c r="H10021" s="6" t="s">
        <v>61733</v>
      </c>
      <c r="K10021" s="5" t="s">
        <v>61734</v>
      </c>
      <c r="M10021" s="5" t="s">
        <v>61735</v>
      </c>
      <c r="N10021" s="7" t="s">
        <v>61736</v>
      </c>
      <c r="O10021" s="8" t="str">
        <f>HYPERLINK("https://drive.google.com/file/d/1_8WLEkeJfJAHyQ65OCn9-pyxO55RRuZT/view?usp=drivesdk","10020_MASYITAH _ SERTIFIKAT BerAKHLAK")</f>
        <v>10020_MASYITAH _ SERTIFIKAT BerAKHLAK</v>
      </c>
      <c r="P10021" s="5" t="s">
        <v>61737</v>
      </c>
    </row>
    <row r="10022">
      <c r="A10022" s="4">
        <v>45534.55131388889</v>
      </c>
      <c r="B10022" s="5" t="s">
        <v>34</v>
      </c>
      <c r="D10022" s="5" t="s">
        <v>10297</v>
      </c>
      <c r="E10022" s="5" t="s">
        <v>51740</v>
      </c>
      <c r="F10022" s="5" t="s">
        <v>524</v>
      </c>
      <c r="G10022" s="5" t="s">
        <v>61738</v>
      </c>
      <c r="H10022" s="6" t="s">
        <v>61739</v>
      </c>
      <c r="K10022" s="5" t="s">
        <v>61734</v>
      </c>
      <c r="M10022" s="5" t="s">
        <v>61740</v>
      </c>
      <c r="N10022" s="7" t="s">
        <v>61741</v>
      </c>
      <c r="O10022" s="8" t="str">
        <f>HYPERLINK("https://drive.google.com/file/d/1_Zd8kzy2MgpwUQ-WD3VvgYEiXm1vOJr6/view?usp=drivesdk","10021_RAHMAWATY _ SERTIFIKAT BerAKHLAK")</f>
        <v>10021_RAHMAWATY _ SERTIFIKAT BerAKHLAK</v>
      </c>
      <c r="P10022" s="5" t="s">
        <v>61742</v>
      </c>
    </row>
    <row r="10023">
      <c r="A10023" s="4">
        <v>45534.55133199074</v>
      </c>
      <c r="B10023" s="5" t="s">
        <v>34</v>
      </c>
      <c r="D10023" s="5" t="s">
        <v>6232</v>
      </c>
      <c r="E10023" s="5" t="s">
        <v>61743</v>
      </c>
      <c r="F10023" s="5" t="s">
        <v>524</v>
      </c>
      <c r="G10023" s="5" t="s">
        <v>61744</v>
      </c>
      <c r="H10023" s="6" t="s">
        <v>61745</v>
      </c>
      <c r="K10023" s="5" t="s">
        <v>61734</v>
      </c>
      <c r="M10023" s="5" t="s">
        <v>61746</v>
      </c>
      <c r="N10023" s="7" t="s">
        <v>61747</v>
      </c>
      <c r="O10023" s="8" t="str">
        <f>HYPERLINK("https://drive.google.com/file/d/1cseBMln5K9eqDsesPToBiMlDgxCkqWKB/view?usp=drivesdk","10022_YULI TERIANI  _ SERTIFIKAT BerAKHLAK")</f>
        <v>10022_YULI TERIANI  _ SERTIFIKAT BerAKHLAK</v>
      </c>
      <c r="P10023" s="5" t="s">
        <v>61748</v>
      </c>
    </row>
    <row r="10024">
      <c r="A10024" s="4">
        <v>45534.55161384259</v>
      </c>
      <c r="B10024" s="5" t="s">
        <v>34</v>
      </c>
      <c r="D10024" s="5" t="s">
        <v>11527</v>
      </c>
      <c r="E10024" s="5" t="s">
        <v>61749</v>
      </c>
      <c r="F10024" s="5" t="s">
        <v>37</v>
      </c>
      <c r="G10024" s="5" t="s">
        <v>61750</v>
      </c>
      <c r="H10024" s="6" t="s">
        <v>61751</v>
      </c>
      <c r="K10024" s="5" t="s">
        <v>61752</v>
      </c>
      <c r="M10024" s="5" t="s">
        <v>61753</v>
      </c>
      <c r="N10024" s="7" t="s">
        <v>61754</v>
      </c>
      <c r="O10024" s="8" t="str">
        <f>HYPERLINK("https://drive.google.com/file/d/1hVw_P73CkGmv-PjDagwHqiLEIagV5I9V/view?usp=drivesdk","10023_FREIN PARIS MOTARA _ SERTIFIKAT BerAKHLAK")</f>
        <v>10023_FREIN PARIS MOTARA _ SERTIFIKAT BerAKHLAK</v>
      </c>
      <c r="P10024" s="5" t="s">
        <v>61755</v>
      </c>
    </row>
    <row r="10025">
      <c r="A10025" s="4">
        <v>45534.55180743056</v>
      </c>
      <c r="B10025" s="5" t="s">
        <v>34</v>
      </c>
      <c r="D10025" s="5" t="s">
        <v>1206</v>
      </c>
      <c r="E10025" s="5" t="s">
        <v>61756</v>
      </c>
      <c r="F10025" s="5" t="s">
        <v>524</v>
      </c>
      <c r="G10025" s="5" t="s">
        <v>61757</v>
      </c>
      <c r="H10025" s="6" t="s">
        <v>61758</v>
      </c>
      <c r="K10025" s="5" t="s">
        <v>61752</v>
      </c>
      <c r="M10025" s="5" t="s">
        <v>61759</v>
      </c>
      <c r="N10025" s="7" t="s">
        <v>61760</v>
      </c>
      <c r="O10025" s="8" t="str">
        <f>HYPERLINK("https://drive.google.com/file/d/1NifuG9PmJk6QlgzNVedTV7NyvP10aZPn/view?usp=drivesdk","10024_RAKHMAD BANGUN WISMANTO, S.M _ SERTIFIKAT BerAKHLAK")</f>
        <v>10024_RAKHMAD BANGUN WISMANTO, S.M _ SERTIFIKAT BerAKHLAK</v>
      </c>
      <c r="P10025" s="5" t="s">
        <v>61761</v>
      </c>
    </row>
    <row r="10026" hidden="1">
      <c r="A10026" s="4">
        <v>45534.551920729165</v>
      </c>
      <c r="B10026" s="5" t="s">
        <v>19</v>
      </c>
      <c r="C10026" s="5" t="s">
        <v>55133</v>
      </c>
      <c r="E10026" s="5" t="s">
        <v>61762</v>
      </c>
      <c r="F10026" s="5" t="s">
        <v>108</v>
      </c>
      <c r="G10026" s="5" t="s">
        <v>61763</v>
      </c>
      <c r="H10026" s="6" t="s">
        <v>61764</v>
      </c>
      <c r="K10026" s="5" t="s">
        <v>61765</v>
      </c>
      <c r="M10026" s="5" t="s">
        <v>61766</v>
      </c>
      <c r="N10026" s="7" t="s">
        <v>61767</v>
      </c>
      <c r="O10026" s="8" t="str">
        <f>HYPERLINK("https://drive.google.com/file/d/1RdDQMIEoqgIxjM4CwmWRUrzmv2iVr0Eu/view?usp=drivesdk","10025_MULIA SANI _ SERTIFIKAT BerAKHLAK")</f>
        <v>10025_MULIA SANI _ SERTIFIKAT BerAKHLAK</v>
      </c>
      <c r="P10026" s="5" t="s">
        <v>61768</v>
      </c>
    </row>
    <row r="10027">
      <c r="A10027" s="4">
        <v>45534.55240726852</v>
      </c>
      <c r="B10027" s="5" t="s">
        <v>34</v>
      </c>
      <c r="D10027" s="5" t="s">
        <v>1456</v>
      </c>
      <c r="E10027" s="5" t="s">
        <v>61769</v>
      </c>
      <c r="F10027" s="5" t="s">
        <v>375</v>
      </c>
      <c r="G10027" s="5" t="s">
        <v>61770</v>
      </c>
      <c r="H10027" s="6" t="s">
        <v>61771</v>
      </c>
      <c r="K10027" s="5" t="s">
        <v>61765</v>
      </c>
      <c r="M10027" s="5" t="s">
        <v>61772</v>
      </c>
      <c r="N10027" s="7" t="s">
        <v>61773</v>
      </c>
      <c r="O10027" s="8" t="str">
        <f>HYPERLINK("https://drive.google.com/file/d/1QEiGqMj6I3wCiIna1_zxj0V1OOnKVvGC/view?usp=drivesdk","10026_RINI LESTARI. SE.MM _ SERTIFIKAT BerAKHLAK")</f>
        <v>10026_RINI LESTARI. SE.MM _ SERTIFIKAT BerAKHLAK</v>
      </c>
      <c r="P10027" s="5" t="s">
        <v>61774</v>
      </c>
    </row>
    <row r="10028" hidden="1">
      <c r="A10028" s="4">
        <v>45534.55284638889</v>
      </c>
      <c r="B10028" s="5" t="s">
        <v>19</v>
      </c>
      <c r="C10028" s="5" t="s">
        <v>14000</v>
      </c>
      <c r="E10028" s="5" t="s">
        <v>61775</v>
      </c>
      <c r="F10028" s="5" t="s">
        <v>37</v>
      </c>
      <c r="G10028" s="5" t="s">
        <v>61776</v>
      </c>
      <c r="H10028" s="6" t="s">
        <v>61777</v>
      </c>
      <c r="K10028" s="5" t="s">
        <v>61778</v>
      </c>
      <c r="M10028" s="5" t="s">
        <v>61779</v>
      </c>
      <c r="N10028" s="7" t="s">
        <v>61780</v>
      </c>
      <c r="O10028" s="8" t="str">
        <f>HYPERLINK("https://drive.google.com/file/d/1ghU4WJ8bjYYu2UICOEGmfLjZh9OIHP6R/view?usp=drivesdk","10027_TUTIK HARIANI _ SERTIFIKAT BerAKHLAK")</f>
        <v>10027_TUTIK HARIANI _ SERTIFIKAT BerAKHLAK</v>
      </c>
      <c r="P10028" s="5" t="s">
        <v>61781</v>
      </c>
    </row>
    <row r="10029" hidden="1">
      <c r="A10029" s="4">
        <v>45534.55481001157</v>
      </c>
      <c r="B10029" s="5" t="s">
        <v>19</v>
      </c>
      <c r="C10029" s="5" t="s">
        <v>14000</v>
      </c>
      <c r="E10029" s="5" t="s">
        <v>61782</v>
      </c>
      <c r="F10029" s="5" t="s">
        <v>37</v>
      </c>
      <c r="G10029" s="5" t="s">
        <v>61783</v>
      </c>
      <c r="H10029" s="6" t="s">
        <v>61784</v>
      </c>
      <c r="K10029" s="5" t="s">
        <v>61785</v>
      </c>
      <c r="M10029" s="5" t="s">
        <v>61786</v>
      </c>
      <c r="N10029" s="7" t="s">
        <v>61787</v>
      </c>
      <c r="O10029" s="8" t="str">
        <f>HYPERLINK("https://drive.google.com/file/d/1Virq1jQoelIo6wc2-ZZGQ6FTptRTvYnN/view?usp=drivesdk","10028_SINTA DEWI IRAWATY _ SERTIFIKAT BerAKHLAK")</f>
        <v>10028_SINTA DEWI IRAWATY _ SERTIFIKAT BerAKHLAK</v>
      </c>
      <c r="P10029" s="5" t="s">
        <v>61788</v>
      </c>
    </row>
    <row r="10030">
      <c r="A10030" s="4">
        <v>45534.554972673606</v>
      </c>
      <c r="B10030" s="5" t="s">
        <v>34</v>
      </c>
      <c r="D10030" s="5" t="s">
        <v>996</v>
      </c>
      <c r="E10030" s="5" t="s">
        <v>61789</v>
      </c>
      <c r="F10030" s="5" t="s">
        <v>72</v>
      </c>
      <c r="G10030" s="5" t="s">
        <v>61790</v>
      </c>
      <c r="H10030" s="6" t="s">
        <v>61791</v>
      </c>
      <c r="K10030" s="5" t="s">
        <v>61792</v>
      </c>
      <c r="M10030" s="5" t="s">
        <v>61793</v>
      </c>
      <c r="N10030" s="7" t="s">
        <v>61794</v>
      </c>
      <c r="O10030" s="8" t="str">
        <f>HYPERLINK("https://drive.google.com/file/d/1KfzTe6ivy5P2FEAjDRrSx_JYGZjf7uPH/view?usp=drivesdk","10029_DR R WIKEN PRAMUDITA S _ SERTIFIKAT BerAKHLAK")</f>
        <v>10029_DR R WIKEN PRAMUDITA S _ SERTIFIKAT BerAKHLAK</v>
      </c>
      <c r="P10030" s="5" t="s">
        <v>61795</v>
      </c>
    </row>
    <row r="10031">
      <c r="A10031" s="4">
        <v>45534.55514976852</v>
      </c>
      <c r="B10031" s="5" t="s">
        <v>34</v>
      </c>
      <c r="D10031" s="5" t="s">
        <v>6232</v>
      </c>
      <c r="E10031" s="5" t="s">
        <v>61796</v>
      </c>
      <c r="F10031" s="5" t="s">
        <v>37</v>
      </c>
      <c r="G10031" s="5" t="s">
        <v>61797</v>
      </c>
      <c r="H10031" s="6" t="s">
        <v>61798</v>
      </c>
      <c r="K10031" s="5" t="s">
        <v>61799</v>
      </c>
      <c r="M10031" s="5" t="s">
        <v>61800</v>
      </c>
      <c r="N10031" s="7" t="s">
        <v>61801</v>
      </c>
      <c r="O10031" s="8" t="str">
        <f>HYPERLINK("https://drive.google.com/file/d/1Zg88hpEXRbz7GOj5q6OkUWOgp8ptIfiF/view?usp=drivesdk","10030_JENRI SUSANTO GULO, Am. Kep _ SERTIFIKAT BerAKHLAK")</f>
        <v>10030_JENRI SUSANTO GULO, Am. Kep _ SERTIFIKAT BerAKHLAK</v>
      </c>
      <c r="P10031" s="5" t="s">
        <v>61802</v>
      </c>
    </row>
    <row r="10032">
      <c r="A10032" s="4">
        <v>45534.55523450232</v>
      </c>
      <c r="B10032" s="5" t="s">
        <v>34</v>
      </c>
      <c r="D10032" s="5" t="s">
        <v>1558</v>
      </c>
      <c r="E10032" s="5" t="s">
        <v>61803</v>
      </c>
      <c r="F10032" s="5" t="s">
        <v>212</v>
      </c>
      <c r="G10032" s="5" t="s">
        <v>61804</v>
      </c>
      <c r="H10032" s="6" t="s">
        <v>61805</v>
      </c>
      <c r="K10032" s="5" t="s">
        <v>61806</v>
      </c>
      <c r="M10032" s="5" t="s">
        <v>61807</v>
      </c>
      <c r="N10032" s="7" t="s">
        <v>61808</v>
      </c>
      <c r="O10032" s="8" t="str">
        <f>HYPERLINK("https://drive.google.com/file/d/1HIvk_0_jFUe7obr_OxWIxmgAVRR2R6rD/view?usp=drivesdk","10031_RR DHIKA PUTRI NUGRAHANI, A.Md.Kep _ SERTIFIKAT BerAKHLAK")</f>
        <v>10031_RR DHIKA PUTRI NUGRAHANI, A.Md.Kep _ SERTIFIKAT BerAKHLAK</v>
      </c>
      <c r="P10032" s="5" t="s">
        <v>61809</v>
      </c>
    </row>
    <row r="10033">
      <c r="A10033" s="4">
        <v>45534.555461655094</v>
      </c>
      <c r="B10033" s="5" t="s">
        <v>34</v>
      </c>
      <c r="D10033" s="5" t="s">
        <v>12978</v>
      </c>
      <c r="E10033" s="5" t="s">
        <v>32839</v>
      </c>
      <c r="F10033" s="5" t="s">
        <v>375</v>
      </c>
      <c r="G10033" s="5" t="s">
        <v>61810</v>
      </c>
      <c r="H10033" s="6" t="s">
        <v>61811</v>
      </c>
      <c r="K10033" s="5" t="s">
        <v>61812</v>
      </c>
      <c r="M10033" s="5" t="s">
        <v>61813</v>
      </c>
      <c r="N10033" s="7" t="s">
        <v>61814</v>
      </c>
      <c r="O10033" s="8" t="str">
        <f>HYPERLINK("https://drive.google.com/file/d/1khTbUMV_68AnT5MrX-Lt-9TV2SYZCWB4/view?usp=drivesdk","10032_DAFREL.S.Sos _ SERTIFIKAT BerAKHLAK")</f>
        <v>10032_DAFREL.S.Sos _ SERTIFIKAT BerAKHLAK</v>
      </c>
      <c r="P10033" s="5" t="s">
        <v>61815</v>
      </c>
    </row>
    <row r="10034">
      <c r="A10034" s="4">
        <v>45534.555829687495</v>
      </c>
      <c r="B10034" s="5" t="s">
        <v>34</v>
      </c>
      <c r="D10034" s="5" t="s">
        <v>6232</v>
      </c>
      <c r="E10034" s="5" t="s">
        <v>61816</v>
      </c>
      <c r="F10034" s="5" t="s">
        <v>37</v>
      </c>
      <c r="G10034" s="5" t="s">
        <v>61817</v>
      </c>
      <c r="H10034" s="6" t="s">
        <v>61818</v>
      </c>
      <c r="K10034" s="5" t="s">
        <v>61819</v>
      </c>
      <c r="M10034" s="5" t="s">
        <v>61820</v>
      </c>
      <c r="N10034" s="7" t="s">
        <v>61821</v>
      </c>
      <c r="O10034" s="8" t="str">
        <f>HYPERLINK("https://drive.google.com/file/d/1gZN9ZmmvWJsqkOKRJSshSCXmY49DGHfa/view?usp=drivesdk","10033_RIA DAKHIRAH, AMd.RM _ SERTIFIKAT BerAKHLAK")</f>
        <v>10033_RIA DAKHIRAH, AMd.RM _ SERTIFIKAT BerAKHLAK</v>
      </c>
      <c r="P10034" s="5" t="s">
        <v>61822</v>
      </c>
    </row>
    <row r="10035">
      <c r="A10035" s="4">
        <v>45534.55664732639</v>
      </c>
      <c r="B10035" s="5" t="s">
        <v>34</v>
      </c>
      <c r="D10035" s="5" t="s">
        <v>1206</v>
      </c>
      <c r="E10035" s="5" t="s">
        <v>61823</v>
      </c>
      <c r="F10035" s="5" t="s">
        <v>37</v>
      </c>
      <c r="G10035" s="5" t="s">
        <v>61824</v>
      </c>
      <c r="H10035" s="6" t="s">
        <v>61825</v>
      </c>
      <c r="K10035" s="5" t="s">
        <v>61826</v>
      </c>
      <c r="M10035" s="5" t="s">
        <v>61827</v>
      </c>
      <c r="N10035" s="7" t="s">
        <v>61828</v>
      </c>
      <c r="O10035" s="8" t="str">
        <f>HYPERLINK("https://drive.google.com/file/d/1V19iS_QVxMIjADkV731lvPCLjltVOPlF/view?usp=drivesdk","10034_SRI UTARI _ SERTIFIKAT BerAKHLAK")</f>
        <v>10034_SRI UTARI _ SERTIFIKAT BerAKHLAK</v>
      </c>
      <c r="P10035" s="5" t="s">
        <v>61829</v>
      </c>
    </row>
    <row r="10036">
      <c r="A10036" s="4">
        <v>45534.557095833334</v>
      </c>
      <c r="B10036" s="5" t="s">
        <v>34</v>
      </c>
      <c r="D10036" s="5" t="s">
        <v>2903</v>
      </c>
      <c r="E10036" s="5" t="s">
        <v>61830</v>
      </c>
      <c r="F10036" s="5" t="s">
        <v>375</v>
      </c>
      <c r="G10036" s="5" t="s">
        <v>61831</v>
      </c>
      <c r="H10036" s="6" t="s">
        <v>61832</v>
      </c>
      <c r="K10036" s="5" t="s">
        <v>61826</v>
      </c>
      <c r="M10036" s="5" t="s">
        <v>61833</v>
      </c>
      <c r="N10036" s="7" t="s">
        <v>61834</v>
      </c>
      <c r="O10036" s="8" t="str">
        <f>HYPERLINK("https://drive.google.com/file/d/1Mcb2zfDPGoOkhvtlgrUGofn2QKWnqDvQ/view?usp=drivesdk","10035_NOVITA HERLIANA, S.Trb.Keb., S.K.M. _ SERTIFIKAT BerAKHLAK")</f>
        <v>10035_NOVITA HERLIANA, S.Trb.Keb., S.K.M. _ SERTIFIKAT BerAKHLAK</v>
      </c>
      <c r="P10036" s="5" t="s">
        <v>61835</v>
      </c>
    </row>
    <row r="10037" hidden="1">
      <c r="A10037" s="4">
        <v>45534.557368229165</v>
      </c>
      <c r="B10037" s="5" t="s">
        <v>19</v>
      </c>
      <c r="C10037" s="5" t="s">
        <v>292</v>
      </c>
      <c r="E10037" s="5" t="s">
        <v>61836</v>
      </c>
      <c r="F10037" s="5" t="s">
        <v>524</v>
      </c>
      <c r="G10037" s="5" t="s">
        <v>61837</v>
      </c>
      <c r="H10037" s="6" t="s">
        <v>61838</v>
      </c>
      <c r="K10037" s="5" t="s">
        <v>61839</v>
      </c>
      <c r="M10037" s="5" t="s">
        <v>61840</v>
      </c>
      <c r="N10037" s="7" t="s">
        <v>61841</v>
      </c>
      <c r="O10037" s="8" t="str">
        <f>HYPERLINK("https://drive.google.com/file/d/116AucOXP84HTTkxD6R2kTyDwDYbSavpF/view?usp=drivesdk","10036_SRI YULIAWATI  _ SERTIFIKAT BerAKHLAK")</f>
        <v>10036_SRI YULIAWATI  _ SERTIFIKAT BerAKHLAK</v>
      </c>
      <c r="P10037" s="5" t="s">
        <v>61842</v>
      </c>
    </row>
    <row r="10038">
      <c r="A10038" s="4">
        <v>45534.55755733796</v>
      </c>
      <c r="B10038" s="5" t="s">
        <v>34</v>
      </c>
      <c r="D10038" s="5" t="s">
        <v>1206</v>
      </c>
      <c r="E10038" s="5" t="s">
        <v>24624</v>
      </c>
      <c r="F10038" s="5" t="s">
        <v>37</v>
      </c>
      <c r="G10038" s="5" t="s">
        <v>61843</v>
      </c>
      <c r="H10038" s="6" t="s">
        <v>61844</v>
      </c>
      <c r="K10038" s="5" t="s">
        <v>61845</v>
      </c>
      <c r="M10038" s="5" t="s">
        <v>61846</v>
      </c>
      <c r="N10038" s="7" t="s">
        <v>61847</v>
      </c>
      <c r="O10038" s="8" t="str">
        <f>HYPERLINK("https://drive.google.com/file/d/14lSyIVgMr4LDg6VoBUOEFImQTMFBR_Zi/view?usp=drivesdk","10037_SUGIONO _ SERTIFIKAT BerAKHLAK")</f>
        <v>10037_SUGIONO _ SERTIFIKAT BerAKHLAK</v>
      </c>
      <c r="P10038" s="5" t="s">
        <v>61848</v>
      </c>
    </row>
    <row r="10039">
      <c r="A10039" s="4">
        <v>45534.558484594905</v>
      </c>
      <c r="B10039" s="5" t="s">
        <v>34</v>
      </c>
      <c r="D10039" s="5" t="s">
        <v>4775</v>
      </c>
      <c r="E10039" s="5" t="s">
        <v>61849</v>
      </c>
      <c r="F10039" s="5" t="s">
        <v>212</v>
      </c>
      <c r="G10039" s="5" t="s">
        <v>61850</v>
      </c>
      <c r="H10039" s="6" t="s">
        <v>61851</v>
      </c>
      <c r="K10039" s="5" t="s">
        <v>61852</v>
      </c>
      <c r="M10039" s="5" t="s">
        <v>61853</v>
      </c>
      <c r="N10039" s="7" t="s">
        <v>61854</v>
      </c>
      <c r="O10039" s="8" t="str">
        <f>HYPERLINK("https://drive.google.com/file/d/12QTwgzGV98Fz5Rg7qXjxNEBEivL7f7sz/view?usp=drivesdk","10038_Linda Wiji Astuti _ SERTIFIKAT BerAKHLAK")</f>
        <v>10038_Linda Wiji Astuti _ SERTIFIKAT BerAKHLAK</v>
      </c>
      <c r="P10039" s="5" t="s">
        <v>61855</v>
      </c>
    </row>
    <row r="10040">
      <c r="A10040" s="4">
        <v>45534.558606412036</v>
      </c>
      <c r="B10040" s="5" t="s">
        <v>34</v>
      </c>
      <c r="D10040" s="5" t="s">
        <v>1206</v>
      </c>
      <c r="E10040" s="5" t="s">
        <v>61856</v>
      </c>
      <c r="F10040" s="5" t="s">
        <v>212</v>
      </c>
      <c r="G10040" s="5" t="s">
        <v>61857</v>
      </c>
      <c r="H10040" s="6" t="s">
        <v>61858</v>
      </c>
      <c r="K10040" s="5" t="s">
        <v>61859</v>
      </c>
      <c r="M10040" s="5" t="s">
        <v>61860</v>
      </c>
      <c r="N10040" s="7" t="s">
        <v>61861</v>
      </c>
      <c r="O10040" s="8" t="str">
        <f>HYPERLINK("https://drive.google.com/file/d/1CTnHrjzj4zpmajD65S00Qw_xEjND4AvM/view?usp=drivesdk","10039_WELAS SUDJATMIKO _ SERTIFIKAT BerAKHLAK")</f>
        <v>10039_WELAS SUDJATMIKO _ SERTIFIKAT BerAKHLAK</v>
      </c>
      <c r="P10040" s="5" t="s">
        <v>61862</v>
      </c>
    </row>
    <row r="10041">
      <c r="A10041" s="4">
        <v>45534.55910646991</v>
      </c>
      <c r="B10041" s="5" t="s">
        <v>34</v>
      </c>
      <c r="D10041" s="5" t="s">
        <v>580</v>
      </c>
      <c r="E10041" s="5" t="s">
        <v>61863</v>
      </c>
      <c r="F10041" s="5" t="s">
        <v>375</v>
      </c>
      <c r="G10041" s="5" t="s">
        <v>61864</v>
      </c>
      <c r="H10041" s="6" t="s">
        <v>61865</v>
      </c>
      <c r="K10041" s="5" t="s">
        <v>61866</v>
      </c>
      <c r="M10041" s="5" t="s">
        <v>61867</v>
      </c>
      <c r="N10041" s="7" t="s">
        <v>61868</v>
      </c>
      <c r="O10041" s="8" t="str">
        <f>HYPERLINK("https://drive.google.com/file/d/12qRwi-N-IW68P2aA_Bdx-m-hxuMusAaG/view?usp=drivesdk","10040_SRI WIRATNI _ SERTIFIKAT BerAKHLAK")</f>
        <v>10040_SRI WIRATNI _ SERTIFIKAT BerAKHLAK</v>
      </c>
      <c r="P10041" s="5" t="s">
        <v>61869</v>
      </c>
    </row>
    <row r="10042">
      <c r="A10042" s="4">
        <v>45534.559177013885</v>
      </c>
      <c r="B10042" s="5" t="s">
        <v>34</v>
      </c>
      <c r="D10042" s="5" t="s">
        <v>12978</v>
      </c>
      <c r="E10042" s="5" t="s">
        <v>61870</v>
      </c>
      <c r="F10042" s="5" t="s">
        <v>120</v>
      </c>
      <c r="G10042" s="5" t="s">
        <v>61871</v>
      </c>
      <c r="H10042" s="6" t="s">
        <v>61872</v>
      </c>
      <c r="K10042" s="5" t="s">
        <v>61873</v>
      </c>
      <c r="M10042" s="5" t="s">
        <v>61874</v>
      </c>
      <c r="N10042" s="7" t="s">
        <v>61875</v>
      </c>
      <c r="O10042" s="8" t="str">
        <f>HYPERLINK("https://drive.google.com/file/d/1yg4XHe18xKpYeaeuA08Cy2QpyjsnVtKS/view?usp=drivesdk","10041_MUHAMMAD TAUFIK,S.T.,M.T. _ SERTIFIKAT BerAKHLAK")</f>
        <v>10041_MUHAMMAD TAUFIK,S.T.,M.T. _ SERTIFIKAT BerAKHLAK</v>
      </c>
      <c r="P10042" s="5" t="s">
        <v>61876</v>
      </c>
    </row>
    <row r="10043">
      <c r="A10043" s="4">
        <v>45534.559378715276</v>
      </c>
      <c r="B10043" s="5" t="s">
        <v>34</v>
      </c>
      <c r="D10043" s="5" t="s">
        <v>2903</v>
      </c>
      <c r="E10043" s="5" t="s">
        <v>61877</v>
      </c>
      <c r="F10043" s="5" t="s">
        <v>375</v>
      </c>
      <c r="G10043" s="5" t="s">
        <v>61878</v>
      </c>
      <c r="H10043" s="6" t="s">
        <v>61879</v>
      </c>
      <c r="K10043" s="5" t="s">
        <v>61880</v>
      </c>
      <c r="M10043" s="5" t="s">
        <v>61881</v>
      </c>
      <c r="N10043" s="7" t="s">
        <v>61882</v>
      </c>
      <c r="O10043" s="8" t="str">
        <f>HYPERLINK("https://drive.google.com/file/d/1tMqQ_J1CyPYj06z4aQm_PDQPnzdu4uXC/view?usp=drivesdk","10042_ZARDI DARMAWAN, S.T _ SERTIFIKAT BerAKHLAK")</f>
        <v>10042_ZARDI DARMAWAN, S.T _ SERTIFIKAT BerAKHLAK</v>
      </c>
      <c r="P10043" s="5" t="s">
        <v>61883</v>
      </c>
    </row>
    <row r="10044">
      <c r="A10044" s="4">
        <v>45534.55980278935</v>
      </c>
      <c r="B10044" s="5" t="s">
        <v>34</v>
      </c>
      <c r="D10044" s="5" t="s">
        <v>1206</v>
      </c>
      <c r="E10044" s="5" t="s">
        <v>61884</v>
      </c>
      <c r="F10044" s="5" t="s">
        <v>37</v>
      </c>
      <c r="G10044" s="5" t="s">
        <v>61885</v>
      </c>
      <c r="H10044" s="6" t="s">
        <v>61886</v>
      </c>
      <c r="K10044" s="5" t="s">
        <v>61880</v>
      </c>
      <c r="M10044" s="5" t="s">
        <v>61887</v>
      </c>
      <c r="N10044" s="7" t="s">
        <v>61888</v>
      </c>
      <c r="O10044" s="8" t="str">
        <f>HYPERLINK("https://drive.google.com/file/d/1MX-xzR2Y-jUriYd560J6NzyeUhhNgXB2/view?usp=drivesdk","10043_HERY DJOKO SISWOJO _ SERTIFIKAT BerAKHLAK")</f>
        <v>10043_HERY DJOKO SISWOJO _ SERTIFIKAT BerAKHLAK</v>
      </c>
      <c r="P10044" s="5" t="s">
        <v>61889</v>
      </c>
    </row>
    <row r="10045">
      <c r="A10045" s="4">
        <v>45534.56019320602</v>
      </c>
      <c r="B10045" s="5" t="s">
        <v>34</v>
      </c>
      <c r="D10045" s="5" t="s">
        <v>2903</v>
      </c>
      <c r="E10045" s="5" t="s">
        <v>61890</v>
      </c>
      <c r="F10045" s="5" t="s">
        <v>524</v>
      </c>
      <c r="G10045" s="5" t="s">
        <v>61891</v>
      </c>
      <c r="H10045" s="6" t="s">
        <v>61892</v>
      </c>
      <c r="K10045" s="5" t="s">
        <v>61893</v>
      </c>
      <c r="M10045" s="5" t="s">
        <v>61894</v>
      </c>
      <c r="N10045" s="7" t="s">
        <v>61895</v>
      </c>
      <c r="O10045" s="8" t="str">
        <f>HYPERLINK("https://drive.google.com/file/d/1RJAbjhs0X7eIQ7z9XujO6xi8KvXjkJF6/view?usp=drivesdk","10044_Ns.TITIN SUHERTATI, S.Kep _ SERTIFIKAT BerAKHLAK")</f>
        <v>10044_Ns.TITIN SUHERTATI, S.Kep _ SERTIFIKAT BerAKHLAK</v>
      </c>
      <c r="P10045" s="5" t="s">
        <v>61896</v>
      </c>
    </row>
    <row r="10046">
      <c r="A10046" s="4">
        <v>45534.56107967593</v>
      </c>
      <c r="B10046" s="5" t="s">
        <v>34</v>
      </c>
      <c r="D10046" s="5" t="s">
        <v>9394</v>
      </c>
      <c r="E10046" s="5" t="s">
        <v>61897</v>
      </c>
      <c r="F10046" s="5" t="s">
        <v>37</v>
      </c>
      <c r="G10046" s="5" t="s">
        <v>61898</v>
      </c>
      <c r="H10046" s="6" t="s">
        <v>61899</v>
      </c>
      <c r="K10046" s="5" t="s">
        <v>61900</v>
      </c>
      <c r="M10046" s="5" t="s">
        <v>61901</v>
      </c>
      <c r="N10046" s="7" t="s">
        <v>61902</v>
      </c>
      <c r="O10046" s="8" t="str">
        <f>HYPERLINK("https://drive.google.com/file/d/13Ppgev8s2BUlBKWOEHTnuDWmGPHhQGpt/view?usp=drivesdk","10045_YESSI ILFIRAHMI. S.PSI _ SERTIFIKAT BerAKHLAK")</f>
        <v>10045_YESSI ILFIRAHMI. S.PSI _ SERTIFIKAT BerAKHLAK</v>
      </c>
      <c r="P10046" s="5" t="s">
        <v>61903</v>
      </c>
    </row>
    <row r="10047">
      <c r="A10047" s="4">
        <v>45534.56220284722</v>
      </c>
      <c r="B10047" s="5" t="s">
        <v>34</v>
      </c>
      <c r="D10047" s="5" t="s">
        <v>12978</v>
      </c>
      <c r="E10047" s="5" t="s">
        <v>61904</v>
      </c>
      <c r="F10047" s="5" t="s">
        <v>212</v>
      </c>
      <c r="G10047" s="5" t="s">
        <v>61905</v>
      </c>
      <c r="H10047" s="6" t="s">
        <v>61906</v>
      </c>
      <c r="K10047" s="5" t="s">
        <v>61900</v>
      </c>
      <c r="M10047" s="5" t="s">
        <v>61907</v>
      </c>
      <c r="N10047" s="7" t="s">
        <v>61908</v>
      </c>
      <c r="O10047" s="8" t="str">
        <f>HYPERLINK("https://drive.google.com/file/d/1PdGZB4hdxqGuhSw5GuH1rJ310jMQlAta/view?usp=drivesdk","10046_MAPINDI _ SERTIFIKAT BerAKHLAK")</f>
        <v>10046_MAPINDI _ SERTIFIKAT BerAKHLAK</v>
      </c>
      <c r="P10047" s="5" t="s">
        <v>61909</v>
      </c>
    </row>
    <row r="10048">
      <c r="A10048" s="4">
        <v>45534.56233502315</v>
      </c>
      <c r="B10048" s="5" t="s">
        <v>34</v>
      </c>
      <c r="D10048" s="5" t="s">
        <v>1206</v>
      </c>
      <c r="E10048" s="5" t="s">
        <v>61910</v>
      </c>
      <c r="F10048" s="5" t="s">
        <v>199</v>
      </c>
      <c r="G10048" s="5" t="s">
        <v>61911</v>
      </c>
      <c r="H10048" s="6" t="s">
        <v>61912</v>
      </c>
      <c r="K10048" s="5" t="s">
        <v>61913</v>
      </c>
      <c r="M10048" s="5" t="s">
        <v>61914</v>
      </c>
      <c r="N10048" s="7" t="s">
        <v>61915</v>
      </c>
      <c r="O10048" s="8" t="str">
        <f>HYPERLINK("https://drive.google.com/file/d/1anZBoiodTqdJwXDyDGCvFb3P3g9yg7U2/view?usp=drivesdk","10047_HARI WAHYUDI _ SERTIFIKAT BerAKHLAK")</f>
        <v>10047_HARI WAHYUDI _ SERTIFIKAT BerAKHLAK</v>
      </c>
      <c r="P10048" s="5" t="s">
        <v>61916</v>
      </c>
    </row>
    <row r="10049" hidden="1">
      <c r="A10049" s="4">
        <v>45534.56366252315</v>
      </c>
      <c r="B10049" s="5" t="s">
        <v>19</v>
      </c>
      <c r="C10049" s="5" t="s">
        <v>466</v>
      </c>
      <c r="E10049" s="5" t="s">
        <v>61917</v>
      </c>
      <c r="F10049" s="5" t="s">
        <v>212</v>
      </c>
      <c r="G10049" s="5" t="s">
        <v>61918</v>
      </c>
      <c r="H10049" s="6" t="s">
        <v>61919</v>
      </c>
      <c r="K10049" s="5" t="s">
        <v>61920</v>
      </c>
      <c r="M10049" s="5" t="s">
        <v>61921</v>
      </c>
      <c r="N10049" s="7" t="s">
        <v>61922</v>
      </c>
      <c r="O10049" s="8" t="str">
        <f>HYPERLINK("https://drive.google.com/file/d/193fJyc3mOHakyDXG_4JuhP8GLAJKv5io/view?usp=drivesdk","10048_SUGIHARTO ADIBOWONO _ SERTIFIKAT BerAKHLAK")</f>
        <v>10048_SUGIHARTO ADIBOWONO _ SERTIFIKAT BerAKHLAK</v>
      </c>
      <c r="P10049" s="5" t="s">
        <v>61923</v>
      </c>
    </row>
    <row r="10050">
      <c r="A10050" s="4">
        <v>45534.56376149306</v>
      </c>
      <c r="B10050" s="5" t="s">
        <v>34</v>
      </c>
      <c r="D10050" s="5" t="s">
        <v>35</v>
      </c>
      <c r="E10050" s="5" t="s">
        <v>61924</v>
      </c>
      <c r="F10050" s="5" t="s">
        <v>108</v>
      </c>
      <c r="G10050" s="5" t="s">
        <v>61925</v>
      </c>
      <c r="H10050" s="6" t="s">
        <v>61926</v>
      </c>
      <c r="K10050" s="5" t="s">
        <v>61920</v>
      </c>
      <c r="M10050" s="5" t="s">
        <v>61927</v>
      </c>
      <c r="N10050" s="7" t="s">
        <v>61928</v>
      </c>
      <c r="O10050" s="8" t="str">
        <f>HYPERLINK("https://drive.google.com/file/d/1idUAG38TJYuSeTkxasXyZkTxaz2YaGCb/view?usp=drivesdk","10049_SRI ANDRIANI _ SERTIFIKAT BerAKHLAK")</f>
        <v>10049_SRI ANDRIANI _ SERTIFIKAT BerAKHLAK</v>
      </c>
      <c r="P10050" s="5" t="s">
        <v>61929</v>
      </c>
    </row>
    <row r="10051" hidden="1">
      <c r="A10051" s="4">
        <v>45534.56389091435</v>
      </c>
      <c r="B10051" s="5" t="s">
        <v>19</v>
      </c>
      <c r="C10051" s="5" t="s">
        <v>3301</v>
      </c>
      <c r="E10051" s="5" t="s">
        <v>61930</v>
      </c>
      <c r="F10051" s="5" t="s">
        <v>375</v>
      </c>
      <c r="G10051" s="5" t="s">
        <v>61931</v>
      </c>
      <c r="H10051" s="6" t="s">
        <v>61932</v>
      </c>
      <c r="K10051" s="5" t="s">
        <v>61933</v>
      </c>
      <c r="M10051" s="5" t="s">
        <v>61934</v>
      </c>
      <c r="N10051" s="7" t="s">
        <v>61935</v>
      </c>
      <c r="O10051" s="8" t="str">
        <f>HYPERLINK("https://drive.google.com/file/d/1uxGFVbkLVGGE_rlzco-Hv0jivUGHil1_/view?usp=drivesdk","10050_LINDAWATI  Amd RO _ SERTIFIKAT BerAKHLAK")</f>
        <v>10050_LINDAWATI  Amd RO _ SERTIFIKAT BerAKHLAK</v>
      </c>
      <c r="P10051" s="5" t="s">
        <v>61936</v>
      </c>
    </row>
    <row r="10052">
      <c r="A10052" s="4">
        <v>45534.564245393514</v>
      </c>
      <c r="B10052" s="5" t="s">
        <v>34</v>
      </c>
      <c r="D10052" s="5" t="s">
        <v>996</v>
      </c>
      <c r="E10052" s="5" t="s">
        <v>61937</v>
      </c>
      <c r="F10052" s="5" t="s">
        <v>72</v>
      </c>
      <c r="G10052" s="5" t="s">
        <v>61938</v>
      </c>
      <c r="H10052" s="6" t="s">
        <v>61939</v>
      </c>
      <c r="K10052" s="5" t="s">
        <v>61940</v>
      </c>
      <c r="M10052" s="5" t="s">
        <v>61941</v>
      </c>
      <c r="N10052" s="7" t="s">
        <v>61942</v>
      </c>
      <c r="O10052" s="8" t="str">
        <f>HYPERLINK("https://drive.google.com/file/d/1wDlG8D8BiAUTSEfviqqIdbJTlK7ZXF_Z/view?usp=drivesdk","10051_RUSMINI  _ SERTIFIKAT BerAKHLAK")</f>
        <v>10051_RUSMINI  _ SERTIFIKAT BerAKHLAK</v>
      </c>
      <c r="P10052" s="5" t="s">
        <v>61943</v>
      </c>
    </row>
    <row r="10053" hidden="1">
      <c r="A10053" s="4">
        <v>45534.56426856482</v>
      </c>
      <c r="B10053" s="5" t="s">
        <v>19</v>
      </c>
      <c r="C10053" s="5" t="s">
        <v>3301</v>
      </c>
      <c r="E10053" s="5" t="s">
        <v>61944</v>
      </c>
      <c r="F10053" s="5" t="s">
        <v>524</v>
      </c>
      <c r="G10053" s="5" t="s">
        <v>61945</v>
      </c>
      <c r="H10053" s="6" t="s">
        <v>61946</v>
      </c>
      <c r="K10053" s="5" t="s">
        <v>61940</v>
      </c>
      <c r="M10053" s="5" t="s">
        <v>61947</v>
      </c>
      <c r="N10053" s="7" t="s">
        <v>61948</v>
      </c>
      <c r="O10053" s="8" t="str">
        <f>HYPERLINK("https://drive.google.com/file/d/1E8pQ-huUVoEgyNOodqQfUSzrdVZuuiK8/view?usp=drivesdk","10052_Engkar Karda Firdaus _ SERTIFIKAT BerAKHLAK")</f>
        <v>10052_Engkar Karda Firdaus _ SERTIFIKAT BerAKHLAK</v>
      </c>
      <c r="P10053" s="5" t="s">
        <v>61949</v>
      </c>
    </row>
    <row r="10054">
      <c r="A10054" s="4">
        <v>45534.564504131944</v>
      </c>
      <c r="B10054" s="5" t="s">
        <v>34</v>
      </c>
      <c r="D10054" s="5" t="s">
        <v>11527</v>
      </c>
      <c r="E10054" s="5" t="s">
        <v>61749</v>
      </c>
      <c r="F10054" s="5" t="s">
        <v>37</v>
      </c>
      <c r="G10054" s="5" t="s">
        <v>61750</v>
      </c>
      <c r="H10054" s="6" t="s">
        <v>61950</v>
      </c>
      <c r="K10054" s="5" t="s">
        <v>61951</v>
      </c>
      <c r="M10054" s="5" t="s">
        <v>61952</v>
      </c>
      <c r="N10054" s="7" t="s">
        <v>61953</v>
      </c>
      <c r="O10054" s="8" t="str">
        <f>HYPERLINK("https://drive.google.com/file/d/1WkclHjbBGAKGLnWacCa34FSmaKJEOUGA/view?usp=drivesdk","10053_FREIN PARIS MOTARA _ SERTIFIKAT BerAKHLAK")</f>
        <v>10053_FREIN PARIS MOTARA _ SERTIFIKAT BerAKHLAK</v>
      </c>
      <c r="P10054" s="5" t="s">
        <v>61954</v>
      </c>
    </row>
    <row r="10055">
      <c r="A10055" s="4">
        <v>45534.56564296296</v>
      </c>
      <c r="B10055" s="5" t="s">
        <v>34</v>
      </c>
      <c r="D10055" s="5" t="s">
        <v>604</v>
      </c>
      <c r="E10055" s="5" t="s">
        <v>61955</v>
      </c>
      <c r="F10055" s="5" t="s">
        <v>5566</v>
      </c>
      <c r="G10055" s="5" t="s">
        <v>61956</v>
      </c>
      <c r="H10055" s="6" t="s">
        <v>61957</v>
      </c>
      <c r="K10055" s="5" t="s">
        <v>61958</v>
      </c>
      <c r="M10055" s="5" t="s">
        <v>61959</v>
      </c>
      <c r="N10055" s="7" t="s">
        <v>61960</v>
      </c>
      <c r="O10055" s="8" t="str">
        <f>HYPERLINK("https://drive.google.com/file/d/1V6amPIUhPv3w0123eae1gec4rX4o8T8u/view?usp=drivesdk","10054_MUHAMMAD DZULHAIDAR  _ SERTIFIKAT BerAKHLAK")</f>
        <v>10054_MUHAMMAD DZULHAIDAR  _ SERTIFIKAT BerAKHLAK</v>
      </c>
      <c r="P10055" s="5" t="s">
        <v>61961</v>
      </c>
    </row>
    <row r="10056" hidden="1">
      <c r="A10056" s="4">
        <v>45534.56632278935</v>
      </c>
      <c r="B10056" s="5" t="s">
        <v>19</v>
      </c>
      <c r="C10056" s="5" t="s">
        <v>292</v>
      </c>
      <c r="E10056" s="5" t="s">
        <v>61962</v>
      </c>
      <c r="F10056" s="5" t="s">
        <v>375</v>
      </c>
      <c r="G10056" s="5" t="s">
        <v>61963</v>
      </c>
      <c r="H10056" s="6" t="s">
        <v>61964</v>
      </c>
      <c r="K10056" s="5" t="s">
        <v>61965</v>
      </c>
      <c r="M10056" s="5" t="s">
        <v>61966</v>
      </c>
      <c r="N10056" s="7" t="s">
        <v>61967</v>
      </c>
      <c r="O10056" s="8" t="str">
        <f>HYPERLINK("https://drive.google.com/file/d/1JRUehZXHon-vluaunv4Rtqly9sDE-7-o/view?usp=drivesdk","10055_Drs Ananto Pardijono _ SERTIFIKAT BerAKHLAK")</f>
        <v>10055_Drs Ananto Pardijono _ SERTIFIKAT BerAKHLAK</v>
      </c>
      <c r="P10056" s="5" t="s">
        <v>61968</v>
      </c>
    </row>
    <row r="10057">
      <c r="A10057" s="4">
        <v>45534.56697298611</v>
      </c>
      <c r="B10057" s="5" t="s">
        <v>34</v>
      </c>
      <c r="D10057" s="5" t="s">
        <v>1206</v>
      </c>
      <c r="E10057" s="5" t="s">
        <v>61969</v>
      </c>
      <c r="F10057" s="5" t="s">
        <v>212</v>
      </c>
      <c r="G10057" s="5" t="s">
        <v>61970</v>
      </c>
      <c r="H10057" s="6" t="s">
        <v>61971</v>
      </c>
      <c r="K10057" s="5" t="s">
        <v>61972</v>
      </c>
      <c r="M10057" s="5" t="s">
        <v>61973</v>
      </c>
      <c r="N10057" s="7" t="s">
        <v>61974</v>
      </c>
      <c r="O10057" s="8" t="str">
        <f>HYPERLINK("https://drive.google.com/file/d/1bUulKWaMV7nVnumw62nz-Koe240xANqO/view?usp=drivesdk","10056_SJAIFUL BACHRI _ SERTIFIKAT BerAKHLAK")</f>
        <v>10056_SJAIFUL BACHRI _ SERTIFIKAT BerAKHLAK</v>
      </c>
      <c r="P10057" s="5" t="s">
        <v>61975</v>
      </c>
    </row>
    <row r="10058">
      <c r="A10058" s="4">
        <v>45534.56793833333</v>
      </c>
      <c r="B10058" s="5" t="s">
        <v>34</v>
      </c>
      <c r="D10058" s="5" t="s">
        <v>35</v>
      </c>
      <c r="E10058" s="5" t="s">
        <v>61976</v>
      </c>
      <c r="F10058" s="5" t="s">
        <v>199</v>
      </c>
      <c r="G10058" s="5" t="s">
        <v>61977</v>
      </c>
      <c r="H10058" s="6" t="s">
        <v>61978</v>
      </c>
      <c r="K10058" s="5" t="s">
        <v>61979</v>
      </c>
      <c r="M10058" s="5" t="s">
        <v>61980</v>
      </c>
      <c r="N10058" s="7" t="s">
        <v>61981</v>
      </c>
      <c r="O10058" s="8" t="str">
        <f>HYPERLINK("https://drive.google.com/file/d/1wI8A9uP8widrnIJVO7Yab4Yjtpr_bJYW/view?usp=drivesdk","10057_ELIS JULAEHA, S.E., M.I.P _ SERTIFIKAT BerAKHLAK")</f>
        <v>10057_ELIS JULAEHA, S.E., M.I.P _ SERTIFIKAT BerAKHLAK</v>
      </c>
      <c r="P10058" s="5" t="s">
        <v>61982</v>
      </c>
    </row>
    <row r="10059" hidden="1">
      <c r="A10059" s="4">
        <v>45534.56797875</v>
      </c>
      <c r="B10059" s="5" t="s">
        <v>19</v>
      </c>
      <c r="C10059" s="5" t="s">
        <v>292</v>
      </c>
      <c r="E10059" s="5" t="s">
        <v>61983</v>
      </c>
      <c r="F10059" s="5" t="s">
        <v>120</v>
      </c>
      <c r="G10059" s="5" t="s">
        <v>61984</v>
      </c>
      <c r="H10059" s="6" t="s">
        <v>61985</v>
      </c>
      <c r="K10059" s="5" t="s">
        <v>61979</v>
      </c>
      <c r="M10059" s="5" t="s">
        <v>61986</v>
      </c>
      <c r="N10059" s="7" t="s">
        <v>61987</v>
      </c>
      <c r="O10059" s="8" t="str">
        <f>HYPERLINK("https://drive.google.com/file/d/1Flm3G-4foheYaKtREfm4oz6ssDlKsJtU/view?usp=drivesdk","10058_NOLIK DWI ATMONO, S.E., M.E. _ SERTIFIKAT BerAKHLAK")</f>
        <v>10058_NOLIK DWI ATMONO, S.E., M.E. _ SERTIFIKAT BerAKHLAK</v>
      </c>
      <c r="P10059" s="5" t="s">
        <v>61988</v>
      </c>
    </row>
    <row r="10060">
      <c r="A10060" s="4">
        <v>45534.56809832176</v>
      </c>
      <c r="B10060" s="5" t="s">
        <v>34</v>
      </c>
      <c r="D10060" s="5" t="s">
        <v>1558</v>
      </c>
      <c r="E10060" s="5" t="s">
        <v>61989</v>
      </c>
      <c r="F10060" s="5" t="s">
        <v>375</v>
      </c>
      <c r="G10060" s="5" t="s">
        <v>61990</v>
      </c>
      <c r="H10060" s="6" t="s">
        <v>61991</v>
      </c>
      <c r="K10060" s="5" t="s">
        <v>61992</v>
      </c>
      <c r="M10060" s="5" t="s">
        <v>61993</v>
      </c>
      <c r="N10060" s="7" t="s">
        <v>61994</v>
      </c>
      <c r="O10060" s="8" t="str">
        <f>HYPERLINK("https://drive.google.com/file/d/1QfZUe9XAVWtysmstVQ5UcS09CbmY-Jln/view?usp=drivesdk","10059_HANDRIANSYAH, S.E. _ SERTIFIKAT BerAKHLAK")</f>
        <v>10059_HANDRIANSYAH, S.E. _ SERTIFIKAT BerAKHLAK</v>
      </c>
      <c r="P10060" s="5" t="s">
        <v>61995</v>
      </c>
    </row>
    <row r="10061" hidden="1">
      <c r="A10061" s="4">
        <v>45534.56814372685</v>
      </c>
      <c r="B10061" s="5" t="s">
        <v>19</v>
      </c>
      <c r="C10061" s="5" t="s">
        <v>292</v>
      </c>
      <c r="E10061" s="5" t="s">
        <v>61996</v>
      </c>
      <c r="F10061" s="5" t="s">
        <v>199</v>
      </c>
      <c r="G10061" s="5" t="s">
        <v>61997</v>
      </c>
      <c r="H10061" s="6" t="s">
        <v>61998</v>
      </c>
      <c r="K10061" s="5" t="s">
        <v>61999</v>
      </c>
      <c r="M10061" s="5" t="s">
        <v>62000</v>
      </c>
      <c r="N10061" s="7" t="s">
        <v>62001</v>
      </c>
      <c r="O10061" s="8" t="str">
        <f>HYPERLINK("https://drive.google.com/file/d/1jJANCoUIsv46lzIjaUpNwCsxDOeTH1ln/view?usp=drivesdk","10060_MUHAMMAD AROFIQ _ SERTIFIKAT BerAKHLAK")</f>
        <v>10060_MUHAMMAD AROFIQ _ SERTIFIKAT BerAKHLAK</v>
      </c>
      <c r="P10061" s="5" t="s">
        <v>62002</v>
      </c>
    </row>
    <row r="10062">
      <c r="A10062" s="4">
        <v>45534.56823295139</v>
      </c>
      <c r="B10062" s="5" t="s">
        <v>34</v>
      </c>
      <c r="D10062" s="5" t="s">
        <v>14313</v>
      </c>
      <c r="E10062" s="5" t="s">
        <v>62003</v>
      </c>
      <c r="F10062" s="5" t="s">
        <v>120</v>
      </c>
      <c r="G10062" s="5" t="s">
        <v>62004</v>
      </c>
      <c r="H10062" s="6" t="s">
        <v>62005</v>
      </c>
      <c r="K10062" s="5" t="s">
        <v>62006</v>
      </c>
      <c r="M10062" s="5" t="s">
        <v>62007</v>
      </c>
      <c r="N10062" s="7" t="s">
        <v>62008</v>
      </c>
      <c r="O10062" s="8" t="str">
        <f>HYPERLINK("https://drive.google.com/file/d/17IbSQ3_y2vOQFmxQYjo0uflFJzvUkF7U/view?usp=drivesdk","10061_H. RUSTAN, S. H. I., M. H.  _ SERTIFIKAT BerAKHLAK")</f>
        <v>10061_H. RUSTAN, S. H. I., M. H.  _ SERTIFIKAT BerAKHLAK</v>
      </c>
      <c r="P10062" s="5" t="s">
        <v>62009</v>
      </c>
    </row>
    <row r="10063" hidden="1">
      <c r="A10063" s="4">
        <v>45534.56931097222</v>
      </c>
      <c r="B10063" s="5" t="s">
        <v>19</v>
      </c>
      <c r="C10063" s="5" t="s">
        <v>292</v>
      </c>
      <c r="E10063" s="5" t="s">
        <v>62010</v>
      </c>
      <c r="F10063" s="5" t="s">
        <v>212</v>
      </c>
      <c r="G10063" s="5" t="s">
        <v>62011</v>
      </c>
      <c r="H10063" s="6" t="s">
        <v>62012</v>
      </c>
      <c r="K10063" s="5" t="s">
        <v>62013</v>
      </c>
      <c r="M10063" s="5" t="s">
        <v>62014</v>
      </c>
      <c r="N10063" s="7" t="s">
        <v>62015</v>
      </c>
      <c r="O10063" s="8" t="str">
        <f>HYPERLINK("https://drive.google.com/file/d/188aJzUDpYjf7UHWzEd9aUKsq7z6Th2ED/view?usp=drivesdk","10062_RETNA WULAN _ SERTIFIKAT BerAKHLAK")</f>
        <v>10062_RETNA WULAN _ SERTIFIKAT BerAKHLAK</v>
      </c>
      <c r="P10063" s="5" t="s">
        <v>62016</v>
      </c>
    </row>
    <row r="10064">
      <c r="A10064" s="4">
        <v>45534.569794745374</v>
      </c>
      <c r="B10064" s="5" t="s">
        <v>34</v>
      </c>
      <c r="D10064" s="5" t="s">
        <v>1206</v>
      </c>
      <c r="E10064" s="5" t="s">
        <v>28834</v>
      </c>
      <c r="F10064" s="5" t="s">
        <v>212</v>
      </c>
      <c r="G10064" s="5" t="s">
        <v>62017</v>
      </c>
      <c r="H10064" s="6" t="s">
        <v>62018</v>
      </c>
      <c r="K10064" s="5" t="s">
        <v>62019</v>
      </c>
      <c r="M10064" s="5" t="s">
        <v>62020</v>
      </c>
      <c r="N10064" s="7" t="s">
        <v>62021</v>
      </c>
      <c r="O10064" s="8" t="str">
        <f>HYPERLINK("https://drive.google.com/file/d/13HC1syFRKkU7d6HOx2gZRK7vfixtfYK1/view?usp=drivesdk","10063_HERI SUGIARTO _ SERTIFIKAT BerAKHLAK")</f>
        <v>10063_HERI SUGIARTO _ SERTIFIKAT BerAKHLAK</v>
      </c>
      <c r="P10064" s="5" t="s">
        <v>62022</v>
      </c>
    </row>
    <row r="10065">
      <c r="A10065" s="4">
        <v>45534.57218181713</v>
      </c>
      <c r="B10065" s="5" t="s">
        <v>34</v>
      </c>
      <c r="D10065" s="5" t="s">
        <v>1456</v>
      </c>
      <c r="E10065" s="5" t="s">
        <v>62023</v>
      </c>
      <c r="F10065" s="5" t="s">
        <v>715</v>
      </c>
      <c r="G10065" s="5" t="s">
        <v>62024</v>
      </c>
      <c r="H10065" s="6" t="s">
        <v>62025</v>
      </c>
      <c r="K10065" s="5" t="s">
        <v>62026</v>
      </c>
      <c r="M10065" s="5" t="s">
        <v>62027</v>
      </c>
      <c r="N10065" s="7" t="s">
        <v>62028</v>
      </c>
      <c r="O10065" s="8" t="str">
        <f>HYPERLINK("https://drive.google.com/file/d/1EjkvmO0vR5AKxNU9gCllHtMIqAU_w4sp/view?usp=drivesdk","10064_EFI KUSUMAWATI, S.T. _ SERTIFIKAT BerAKHLAK")</f>
        <v>10064_EFI KUSUMAWATI, S.T. _ SERTIFIKAT BerAKHLAK</v>
      </c>
      <c r="P10065" s="5" t="s">
        <v>62029</v>
      </c>
    </row>
    <row r="10066" hidden="1">
      <c r="A10066" s="4">
        <v>45534.57355931713</v>
      </c>
      <c r="B10066" s="5" t="s">
        <v>19</v>
      </c>
      <c r="C10066" s="5" t="s">
        <v>442</v>
      </c>
      <c r="E10066" s="5" t="s">
        <v>62030</v>
      </c>
      <c r="F10066" s="5" t="s">
        <v>212</v>
      </c>
      <c r="G10066" s="5" t="s">
        <v>62031</v>
      </c>
      <c r="H10066" s="6" t="s">
        <v>62032</v>
      </c>
      <c r="K10066" s="5" t="s">
        <v>62026</v>
      </c>
      <c r="M10066" s="5" t="s">
        <v>62033</v>
      </c>
      <c r="N10066" s="7" t="s">
        <v>62034</v>
      </c>
      <c r="O10066" s="8" t="str">
        <f>HYPERLINK("https://drive.google.com/file/d/1HI8TnXume9Aa4p7rionFh1anbfK8NAuw/view?usp=drivesdk","10065_BIMO PRIOTOMO  _ SERTIFIKAT BerAKHLAK")</f>
        <v>10065_BIMO PRIOTOMO  _ SERTIFIKAT BerAKHLAK</v>
      </c>
      <c r="P10066" s="5" t="s">
        <v>62035</v>
      </c>
    </row>
    <row r="10067">
      <c r="A10067" s="4">
        <v>45534.57378333333</v>
      </c>
      <c r="B10067" s="5" t="s">
        <v>34</v>
      </c>
      <c r="D10067" s="5" t="s">
        <v>35</v>
      </c>
      <c r="E10067" s="5" t="s">
        <v>62036</v>
      </c>
      <c r="F10067" s="5" t="s">
        <v>375</v>
      </c>
      <c r="G10067" s="5" t="s">
        <v>62037</v>
      </c>
      <c r="H10067" s="6" t="s">
        <v>62038</v>
      </c>
      <c r="K10067" s="5" t="s">
        <v>62039</v>
      </c>
      <c r="M10067" s="5" t="s">
        <v>62040</v>
      </c>
      <c r="N10067" s="7" t="s">
        <v>62041</v>
      </c>
      <c r="O10067" s="8" t="str">
        <f>HYPERLINK("https://drive.google.com/file/d/1eFSpNL5i6NznJH1nyZmvU7bLE6H6Do-a/view?usp=drivesdk","10066_AHKMAD HERMAWAN, S. KOM _ SERTIFIKAT BerAKHLAK")</f>
        <v>10066_AHKMAD HERMAWAN, S. KOM _ SERTIFIKAT BerAKHLAK</v>
      </c>
      <c r="P10067" s="5" t="s">
        <v>62042</v>
      </c>
    </row>
    <row r="10068">
      <c r="A10068" s="4">
        <v>45534.57483974537</v>
      </c>
      <c r="B10068" s="5" t="s">
        <v>34</v>
      </c>
      <c r="D10068" s="5" t="s">
        <v>267</v>
      </c>
      <c r="E10068" s="5" t="s">
        <v>62043</v>
      </c>
      <c r="F10068" s="5" t="s">
        <v>72</v>
      </c>
      <c r="G10068" s="5" t="s">
        <v>62044</v>
      </c>
      <c r="H10068" s="6" t="s">
        <v>62045</v>
      </c>
      <c r="K10068" s="5" t="s">
        <v>62039</v>
      </c>
      <c r="M10068" s="5" t="s">
        <v>62046</v>
      </c>
      <c r="N10068" s="7" t="s">
        <v>62047</v>
      </c>
      <c r="O10068" s="8" t="str">
        <f>HYPERLINK("https://drive.google.com/file/d/1uFdcDgXEaI7PCrMttR1pfpLYN1V9R2Er/view?usp=drivesdk","10067_NOORITASARI, S.H. _ SERTIFIKAT BerAKHLAK")</f>
        <v>10067_NOORITASARI, S.H. _ SERTIFIKAT BerAKHLAK</v>
      </c>
      <c r="P10068" s="5" t="s">
        <v>62048</v>
      </c>
    </row>
    <row r="10069">
      <c r="A10069" s="4">
        <v>45534.575440416666</v>
      </c>
      <c r="B10069" s="5" t="s">
        <v>34</v>
      </c>
      <c r="D10069" s="5" t="s">
        <v>9020</v>
      </c>
      <c r="E10069" s="5" t="s">
        <v>62049</v>
      </c>
      <c r="F10069" s="5" t="s">
        <v>212</v>
      </c>
      <c r="G10069" s="5" t="s">
        <v>62050</v>
      </c>
      <c r="H10069" s="6" t="s">
        <v>62051</v>
      </c>
      <c r="K10069" s="5" t="s">
        <v>62039</v>
      </c>
      <c r="M10069" s="5" t="s">
        <v>62052</v>
      </c>
      <c r="N10069" s="7" t="s">
        <v>62053</v>
      </c>
      <c r="O10069" s="8" t="str">
        <f>HYPERLINK("https://drive.google.com/file/d/1nSHV4do0EAKzn6HsiS9tH8JRj6L-4I-9/view?usp=drivesdk","10068_RADENA ZALUKHU _ SERTIFIKAT BerAKHLAK")</f>
        <v>10068_RADENA ZALUKHU _ SERTIFIKAT BerAKHLAK</v>
      </c>
      <c r="P10069" s="5" t="s">
        <v>62054</v>
      </c>
    </row>
    <row r="10070">
      <c r="A10070" s="4">
        <v>45534.576284849536</v>
      </c>
      <c r="B10070" s="5" t="s">
        <v>34</v>
      </c>
      <c r="D10070" s="5" t="s">
        <v>4775</v>
      </c>
      <c r="E10070" s="5" t="s">
        <v>62055</v>
      </c>
      <c r="F10070" s="5" t="s">
        <v>524</v>
      </c>
      <c r="G10070" s="5" t="s">
        <v>62056</v>
      </c>
      <c r="H10070" s="6" t="s">
        <v>62057</v>
      </c>
      <c r="K10070" s="5" t="s">
        <v>62058</v>
      </c>
      <c r="M10070" s="5" t="s">
        <v>62059</v>
      </c>
      <c r="N10070" s="7" t="s">
        <v>62060</v>
      </c>
      <c r="O10070" s="8" t="str">
        <f>HYPERLINK("https://drive.google.com/file/d/1n5gYIHsg1lZcxOIUAJdDS7MVj-OCzdFd/view?usp=drivesdk","10069_SAEFFA SARIFAH, SKep _ SERTIFIKAT BerAKHLAK")</f>
        <v>10069_SAEFFA SARIFAH, SKep _ SERTIFIKAT BerAKHLAK</v>
      </c>
      <c r="P10070" s="5" t="s">
        <v>62061</v>
      </c>
    </row>
    <row r="10071">
      <c r="A10071" s="4">
        <v>45534.576457256946</v>
      </c>
      <c r="B10071" s="5" t="s">
        <v>34</v>
      </c>
      <c r="D10071" s="5" t="s">
        <v>1456</v>
      </c>
      <c r="E10071" s="5" t="s">
        <v>62062</v>
      </c>
      <c r="F10071" s="5" t="s">
        <v>72</v>
      </c>
      <c r="G10071" s="5" t="s">
        <v>62063</v>
      </c>
      <c r="H10071" s="6" t="s">
        <v>62064</v>
      </c>
      <c r="K10071" s="5" t="s">
        <v>62058</v>
      </c>
      <c r="M10071" s="5" t="s">
        <v>62065</v>
      </c>
      <c r="N10071" s="7" t="s">
        <v>62066</v>
      </c>
      <c r="O10071" s="8" t="str">
        <f>HYPERLINK("https://drive.google.com/file/d/1zjCFq0M_tI6cVELe8CI-MCc7VWD-5R1t/view?usp=drivesdk","10070_KARLINA, S.I.Kom _ SERTIFIKAT BerAKHLAK")</f>
        <v>10070_KARLINA, S.I.Kom _ SERTIFIKAT BerAKHLAK</v>
      </c>
      <c r="P10071" s="5" t="s">
        <v>62067</v>
      </c>
    </row>
    <row r="10072">
      <c r="A10072" s="4">
        <v>45534.57662083334</v>
      </c>
      <c r="B10072" s="5" t="s">
        <v>34</v>
      </c>
      <c r="D10072" s="5" t="s">
        <v>4775</v>
      </c>
      <c r="E10072" s="5" t="s">
        <v>62068</v>
      </c>
      <c r="F10072" s="5" t="s">
        <v>375</v>
      </c>
      <c r="G10072" s="5" t="s">
        <v>62069</v>
      </c>
      <c r="H10072" s="6" t="s">
        <v>62070</v>
      </c>
      <c r="K10072" s="5" t="s">
        <v>62071</v>
      </c>
      <c r="M10072" s="5" t="s">
        <v>62072</v>
      </c>
      <c r="N10072" s="7" t="s">
        <v>62073</v>
      </c>
      <c r="O10072" s="8" t="str">
        <f>HYPERLINK("https://drive.google.com/file/d/1Qu0C-VlGshES6Pf8TOEMFHyIWgEQtVpV/view?usp=drivesdk","10071_WELI MARJONO, ST _ SERTIFIKAT BerAKHLAK")</f>
        <v>10071_WELI MARJONO, ST _ SERTIFIKAT BerAKHLAK</v>
      </c>
      <c r="P10072" s="5" t="s">
        <v>62074</v>
      </c>
    </row>
    <row r="10073" hidden="1">
      <c r="A10073" s="4">
        <v>45534.57698131945</v>
      </c>
      <c r="B10073" s="5" t="s">
        <v>19</v>
      </c>
      <c r="C10073" s="5" t="s">
        <v>292</v>
      </c>
      <c r="E10073" s="5" t="s">
        <v>62075</v>
      </c>
      <c r="F10073" s="5" t="s">
        <v>72</v>
      </c>
      <c r="G10073" s="5" t="s">
        <v>62076</v>
      </c>
      <c r="H10073" s="6" t="s">
        <v>62077</v>
      </c>
      <c r="K10073" s="5" t="s">
        <v>62078</v>
      </c>
      <c r="M10073" s="5" t="s">
        <v>62079</v>
      </c>
      <c r="N10073" s="7" t="s">
        <v>62080</v>
      </c>
      <c r="O10073" s="8" t="str">
        <f>HYPERLINK("https://drive.google.com/file/d/1vEiw0kmcoHn6kid2x_IBdteMHSnwgyIl/view?usp=drivesdk","10072_MUHAMMAD ICHWAN,SS., MPd. _ SERTIFIKAT BerAKHLAK")</f>
        <v>10072_MUHAMMAD ICHWAN,SS., MPd. _ SERTIFIKAT BerAKHLAK</v>
      </c>
      <c r="P10073" s="5" t="s">
        <v>62081</v>
      </c>
    </row>
    <row r="10074">
      <c r="A10074" s="4">
        <v>45534.577301087964</v>
      </c>
      <c r="B10074" s="5" t="s">
        <v>34</v>
      </c>
      <c r="D10074" s="5" t="s">
        <v>9020</v>
      </c>
      <c r="E10074" s="5" t="s">
        <v>62082</v>
      </c>
      <c r="F10074" s="5" t="s">
        <v>212</v>
      </c>
      <c r="G10074" s="5" t="s">
        <v>62083</v>
      </c>
      <c r="H10074" s="6" t="s">
        <v>62084</v>
      </c>
      <c r="K10074" s="5" t="s">
        <v>62085</v>
      </c>
      <c r="M10074" s="5" t="s">
        <v>62086</v>
      </c>
      <c r="N10074" s="7" t="s">
        <v>62087</v>
      </c>
      <c r="O10074" s="8" t="str">
        <f>HYPERLINK("https://drive.google.com/file/d/10HQik9MjrZwPfdbV8FIxN_TEMXtOb7eJ/view?usp=drivesdk","10073_RAZALI _ SERTIFIKAT BerAKHLAK")</f>
        <v>10073_RAZALI _ SERTIFIKAT BerAKHLAK</v>
      </c>
      <c r="P10074" s="5" t="s">
        <v>62088</v>
      </c>
    </row>
    <row r="10075">
      <c r="A10075" s="4">
        <v>45534.577640034724</v>
      </c>
      <c r="B10075" s="5" t="s">
        <v>34</v>
      </c>
      <c r="D10075" s="5" t="s">
        <v>1206</v>
      </c>
      <c r="E10075" s="5" t="s">
        <v>62089</v>
      </c>
      <c r="F10075" s="5" t="s">
        <v>524</v>
      </c>
      <c r="G10075" s="5" t="s">
        <v>26803</v>
      </c>
      <c r="H10075" s="6" t="s">
        <v>62090</v>
      </c>
      <c r="K10075" s="5" t="s">
        <v>62091</v>
      </c>
      <c r="M10075" s="5" t="s">
        <v>62092</v>
      </c>
      <c r="N10075" s="7" t="s">
        <v>62093</v>
      </c>
      <c r="O10075" s="8" t="str">
        <f>HYPERLINK("https://drive.google.com/file/d/1XtwxGhceuBXsDNmQcDvebPkgoGnAr-DM/view?usp=drivesdk","10074_SUKARTI _ SERTIFIKAT BerAKHLAK")</f>
        <v>10074_SUKARTI _ SERTIFIKAT BerAKHLAK</v>
      </c>
      <c r="P10075" s="5" t="s">
        <v>62094</v>
      </c>
    </row>
    <row r="10076">
      <c r="A10076" s="4">
        <v>45534.57773331019</v>
      </c>
      <c r="B10076" s="5" t="s">
        <v>34</v>
      </c>
      <c r="D10076" s="5" t="s">
        <v>701</v>
      </c>
      <c r="E10076" s="5" t="s">
        <v>62095</v>
      </c>
      <c r="F10076" s="5" t="s">
        <v>72</v>
      </c>
      <c r="G10076" s="5" t="s">
        <v>62096</v>
      </c>
      <c r="H10076" s="6" t="s">
        <v>62097</v>
      </c>
      <c r="K10076" s="5" t="s">
        <v>62091</v>
      </c>
      <c r="M10076" s="5" t="s">
        <v>62098</v>
      </c>
      <c r="N10076" s="7" t="s">
        <v>62099</v>
      </c>
      <c r="O10076" s="8" t="str">
        <f>HYPERLINK("https://drive.google.com/file/d/1QvLrxPQPLnvGEd3eA4EJAhidzNx-mn80/view?usp=drivesdk","10075_FRANIKA VIONA, ST _ SERTIFIKAT BerAKHLAK")</f>
        <v>10075_FRANIKA VIONA, ST _ SERTIFIKAT BerAKHLAK</v>
      </c>
      <c r="P10076" s="5" t="s">
        <v>62100</v>
      </c>
    </row>
    <row r="10077">
      <c r="A10077" s="4">
        <v>45534.57774821759</v>
      </c>
      <c r="B10077" s="5" t="s">
        <v>34</v>
      </c>
      <c r="D10077" s="5" t="s">
        <v>1206</v>
      </c>
      <c r="E10077" s="5" t="s">
        <v>28682</v>
      </c>
      <c r="F10077" s="5" t="s">
        <v>37</v>
      </c>
      <c r="G10077" s="5" t="s">
        <v>62101</v>
      </c>
      <c r="H10077" s="6" t="s">
        <v>62102</v>
      </c>
      <c r="K10077" s="5" t="s">
        <v>62091</v>
      </c>
      <c r="M10077" s="5" t="s">
        <v>62103</v>
      </c>
      <c r="N10077" s="7" t="s">
        <v>62104</v>
      </c>
      <c r="O10077" s="8" t="str">
        <f>HYPERLINK("https://drive.google.com/file/d/17c_Qjoc9w86g9xZ6KBI3eXos23jQnm7g/view?usp=drivesdk","10076_NURHADI _ SERTIFIKAT BerAKHLAK")</f>
        <v>10076_NURHADI _ SERTIFIKAT BerAKHLAK</v>
      </c>
      <c r="P10077" s="5" t="s">
        <v>62105</v>
      </c>
    </row>
    <row r="10078">
      <c r="A10078" s="4">
        <v>45534.57849421296</v>
      </c>
      <c r="B10078" s="5" t="s">
        <v>34</v>
      </c>
      <c r="D10078" s="5" t="s">
        <v>4775</v>
      </c>
      <c r="E10078" s="5" t="s">
        <v>62106</v>
      </c>
      <c r="F10078" s="5" t="s">
        <v>37</v>
      </c>
      <c r="G10078" s="5" t="s">
        <v>62107</v>
      </c>
      <c r="H10078" s="6" t="s">
        <v>62108</v>
      </c>
      <c r="K10078" s="5" t="s">
        <v>62109</v>
      </c>
      <c r="M10078" s="5" t="s">
        <v>62110</v>
      </c>
      <c r="N10078" s="7" t="s">
        <v>62111</v>
      </c>
      <c r="O10078" s="8" t="str">
        <f>HYPERLINK("https://drive.google.com/file/d/11ikXzKa3yFFuflaO07GoDDMoL6paU_U2/view?usp=drivesdk","10077_LINDA WIJI ASTUTI, SPd _ SERTIFIKAT BerAKHLAK")</f>
        <v>10077_LINDA WIJI ASTUTI, SPd _ SERTIFIKAT BerAKHLAK</v>
      </c>
      <c r="P10078" s="5" t="s">
        <v>62112</v>
      </c>
    </row>
    <row r="10079">
      <c r="A10079" s="4">
        <v>45534.57855818287</v>
      </c>
      <c r="B10079" s="5" t="s">
        <v>34</v>
      </c>
      <c r="D10079" s="5" t="s">
        <v>2903</v>
      </c>
      <c r="E10079" s="5" t="s">
        <v>62113</v>
      </c>
      <c r="F10079" s="5" t="s">
        <v>37</v>
      </c>
      <c r="G10079" s="5" t="s">
        <v>62114</v>
      </c>
      <c r="H10079" s="6" t="s">
        <v>62115</v>
      </c>
      <c r="K10079" s="5" t="s">
        <v>62116</v>
      </c>
      <c r="M10079" s="5" t="s">
        <v>62117</v>
      </c>
      <c r="N10079" s="7" t="s">
        <v>62118</v>
      </c>
      <c r="O10079" s="8" t="str">
        <f>HYPERLINK("https://drive.google.com/file/d/1GzzSge-fkir1QNHA6o_P4MKU2clNsTTe/view?usp=drivesdk","10078_VHIRA NURJUMARETA, A.Md.Kes _ SERTIFIKAT BerAKHLAK")</f>
        <v>10078_VHIRA NURJUMARETA, A.Md.Kes _ SERTIFIKAT BerAKHLAK</v>
      </c>
      <c r="P10079" s="5" t="s">
        <v>62119</v>
      </c>
    </row>
    <row r="10080" hidden="1">
      <c r="A10080" s="4">
        <v>45534.578818865746</v>
      </c>
      <c r="B10080" s="5" t="s">
        <v>19</v>
      </c>
      <c r="C10080" s="5" t="s">
        <v>292</v>
      </c>
      <c r="E10080" s="5" t="s">
        <v>62120</v>
      </c>
      <c r="F10080" s="5" t="s">
        <v>108</v>
      </c>
      <c r="G10080" s="5" t="s">
        <v>62121</v>
      </c>
      <c r="H10080" s="6" t="s">
        <v>62122</v>
      </c>
      <c r="K10080" s="5" t="s">
        <v>62116</v>
      </c>
      <c r="M10080" s="5" t="s">
        <v>62123</v>
      </c>
      <c r="N10080" s="7" t="s">
        <v>62124</v>
      </c>
      <c r="O10080" s="8" t="str">
        <f>HYPERLINK("https://drive.google.com/file/d/1yOcj4TK2ttsS7-kq4fMvXY2PFLRHCB6j/view?usp=drivesdk","10079_dr. SAVITRI WULAN AGUSTIN _ SERTIFIKAT BerAKHLAK")</f>
        <v>10079_dr. SAVITRI WULAN AGUSTIN _ SERTIFIKAT BerAKHLAK</v>
      </c>
      <c r="P10080" s="5" t="s">
        <v>62125</v>
      </c>
    </row>
    <row r="10081">
      <c r="A10081" s="4">
        <v>45534.579708969904</v>
      </c>
      <c r="B10081" s="5" t="s">
        <v>34</v>
      </c>
      <c r="D10081" s="5" t="s">
        <v>1206</v>
      </c>
      <c r="E10081" s="5" t="s">
        <v>62126</v>
      </c>
      <c r="F10081" s="5" t="s">
        <v>524</v>
      </c>
      <c r="G10081" s="5" t="s">
        <v>62127</v>
      </c>
      <c r="H10081" s="6" t="s">
        <v>62128</v>
      </c>
      <c r="K10081" s="5" t="s">
        <v>62129</v>
      </c>
      <c r="M10081" s="5" t="s">
        <v>62130</v>
      </c>
      <c r="N10081" s="7" t="s">
        <v>62131</v>
      </c>
      <c r="O10081" s="8" t="str">
        <f>HYPERLINK("https://drive.google.com/file/d/1PiAKzACps3S-QgjF0b-yf0wsUnsf-H6z/view?usp=drivesdk","10080_ARISTA TRI LESTARI,S.KEP.,NS _ SERTIFIKAT BerAKHLAK")</f>
        <v>10080_ARISTA TRI LESTARI,S.KEP.,NS _ SERTIFIKAT BerAKHLAK</v>
      </c>
      <c r="P10081" s="5" t="s">
        <v>62132</v>
      </c>
    </row>
    <row r="10082">
      <c r="A10082" s="4">
        <v>45534.580069895834</v>
      </c>
      <c r="B10082" s="5" t="s">
        <v>34</v>
      </c>
      <c r="D10082" s="5" t="s">
        <v>580</v>
      </c>
      <c r="E10082" s="5" t="s">
        <v>62133</v>
      </c>
      <c r="F10082" s="5" t="s">
        <v>524</v>
      </c>
      <c r="G10082" s="5" t="s">
        <v>62134</v>
      </c>
      <c r="H10082" s="6" t="s">
        <v>62135</v>
      </c>
      <c r="K10082" s="5" t="s">
        <v>62136</v>
      </c>
      <c r="M10082" s="5" t="s">
        <v>62137</v>
      </c>
      <c r="N10082" s="7" t="s">
        <v>62138</v>
      </c>
      <c r="O10082" s="8" t="str">
        <f>HYPERLINK("https://drive.google.com/file/d/16z9jbmmFqI2bP7os54QPFr3UgmbKJNGX/view?usp=drivesdk","10081_Ni Ketut Suardani _ SERTIFIKAT BerAKHLAK")</f>
        <v>10081_Ni Ketut Suardani _ SERTIFIKAT BerAKHLAK</v>
      </c>
      <c r="P10082" s="5" t="s">
        <v>62139</v>
      </c>
    </row>
    <row r="10083">
      <c r="A10083" s="4">
        <v>45534.580644456015</v>
      </c>
      <c r="B10083" s="5" t="s">
        <v>34</v>
      </c>
      <c r="D10083" s="5" t="s">
        <v>6232</v>
      </c>
      <c r="E10083" s="5" t="s">
        <v>62140</v>
      </c>
      <c r="F10083" s="5" t="s">
        <v>524</v>
      </c>
      <c r="G10083" s="5" t="s">
        <v>62141</v>
      </c>
      <c r="H10083" s="6" t="s">
        <v>62142</v>
      </c>
      <c r="K10083" s="5" t="s">
        <v>62143</v>
      </c>
      <c r="M10083" s="5" t="s">
        <v>62144</v>
      </c>
      <c r="N10083" s="7" t="s">
        <v>62145</v>
      </c>
      <c r="O10083" s="8" t="str">
        <f>HYPERLINK("https://drive.google.com/file/d/1sGPcZTpYL6Hi1S_8CJ70RKxEeXUUm6_d/view?usp=drivesdk","10082_YULIANTI, S.E. _ SERTIFIKAT BerAKHLAK")</f>
        <v>10082_YULIANTI, S.E. _ SERTIFIKAT BerAKHLAK</v>
      </c>
      <c r="P10083" s="5" t="s">
        <v>62146</v>
      </c>
    </row>
    <row r="10084">
      <c r="A10084" s="4">
        <v>45534.58086728009</v>
      </c>
      <c r="B10084" s="5" t="s">
        <v>34</v>
      </c>
      <c r="D10084" s="5" t="s">
        <v>15401</v>
      </c>
      <c r="E10084" s="5" t="s">
        <v>62147</v>
      </c>
      <c r="F10084" s="5" t="s">
        <v>212</v>
      </c>
      <c r="G10084" s="5" t="s">
        <v>62148</v>
      </c>
      <c r="H10084" s="6" t="s">
        <v>62149</v>
      </c>
      <c r="K10084" s="5" t="s">
        <v>62143</v>
      </c>
      <c r="M10084" s="5" t="s">
        <v>62150</v>
      </c>
      <c r="N10084" s="7" t="s">
        <v>62151</v>
      </c>
      <c r="O10084" s="8" t="str">
        <f>HYPERLINK("https://drive.google.com/file/d/10S8xvaA-EyAw4ZnznjdXj4gVn65cpPDT/view?usp=drivesdk","10083_MASRIL _ SERTIFIKAT BerAKHLAK")</f>
        <v>10083_MASRIL _ SERTIFIKAT BerAKHLAK</v>
      </c>
      <c r="P10084" s="5" t="s">
        <v>62152</v>
      </c>
    </row>
    <row r="10085">
      <c r="A10085" s="4">
        <v>45534.58111846064</v>
      </c>
      <c r="B10085" s="5" t="s">
        <v>34</v>
      </c>
      <c r="D10085" s="5" t="s">
        <v>4775</v>
      </c>
      <c r="E10085" s="5" t="s">
        <v>61255</v>
      </c>
      <c r="F10085" s="5" t="s">
        <v>212</v>
      </c>
      <c r="G10085" s="5" t="s">
        <v>62153</v>
      </c>
      <c r="H10085" s="6" t="s">
        <v>62154</v>
      </c>
      <c r="K10085" s="5" t="s">
        <v>62155</v>
      </c>
      <c r="M10085" s="5" t="s">
        <v>62156</v>
      </c>
      <c r="N10085" s="7" t="s">
        <v>62157</v>
      </c>
      <c r="O10085" s="8" t="str">
        <f>HYPERLINK("https://drive.google.com/file/d/1x08tA4bYdr8Bq6kxmHs6IHdbmNa7k9mW/view?usp=drivesdk","10084_WITONO _ SERTIFIKAT BerAKHLAK")</f>
        <v>10084_WITONO _ SERTIFIKAT BerAKHLAK</v>
      </c>
      <c r="P10085" s="5" t="s">
        <v>62158</v>
      </c>
    </row>
    <row r="10086" hidden="1">
      <c r="A10086" s="4">
        <v>45534.58210917824</v>
      </c>
      <c r="B10086" s="5" t="s">
        <v>19</v>
      </c>
      <c r="C10086" s="5" t="s">
        <v>292</v>
      </c>
      <c r="E10086" s="5" t="s">
        <v>62159</v>
      </c>
      <c r="F10086" s="5" t="s">
        <v>524</v>
      </c>
      <c r="G10086" s="5" t="s">
        <v>62160</v>
      </c>
      <c r="H10086" s="6" t="s">
        <v>62161</v>
      </c>
      <c r="K10086" s="5" t="s">
        <v>62162</v>
      </c>
      <c r="M10086" s="5" t="s">
        <v>62163</v>
      </c>
      <c r="N10086" s="7" t="s">
        <v>62164</v>
      </c>
      <c r="O10086" s="8" t="str">
        <f>HYPERLINK("https://drive.google.com/file/d/1ffGJzfbMVHGcWPoZToZSW-sC-AEE5uK1/view?usp=drivesdk","10085_TJUTJU SUARSA _ SERTIFIKAT BerAKHLAK")</f>
        <v>10085_TJUTJU SUARSA _ SERTIFIKAT BerAKHLAK</v>
      </c>
      <c r="P10086" s="5" t="s">
        <v>62165</v>
      </c>
    </row>
    <row r="10087">
      <c r="A10087" s="4">
        <v>45534.58237446759</v>
      </c>
      <c r="B10087" s="5" t="s">
        <v>34</v>
      </c>
      <c r="D10087" s="5" t="s">
        <v>1206</v>
      </c>
      <c r="E10087" s="5" t="s">
        <v>62166</v>
      </c>
      <c r="F10087" s="5" t="s">
        <v>212</v>
      </c>
      <c r="G10087" s="5" t="s">
        <v>62167</v>
      </c>
      <c r="H10087" s="6" t="s">
        <v>62168</v>
      </c>
      <c r="K10087" s="5" t="s">
        <v>62169</v>
      </c>
      <c r="M10087" s="5" t="s">
        <v>62170</v>
      </c>
      <c r="N10087" s="7" t="s">
        <v>62171</v>
      </c>
      <c r="O10087" s="8" t="str">
        <f>HYPERLINK("https://drive.google.com/file/d/1GJmyytPAKpU9X0V6ScPQn6b1eaqSBx4b/view?usp=drivesdk","10086_SUSI RUMAYANTI _ SERTIFIKAT BerAKHLAK")</f>
        <v>10086_SUSI RUMAYANTI _ SERTIFIKAT BerAKHLAK</v>
      </c>
      <c r="P10087" s="5" t="s">
        <v>62172</v>
      </c>
    </row>
    <row r="10088">
      <c r="A10088" s="4">
        <v>45534.58280819445</v>
      </c>
      <c r="B10088" s="5" t="s">
        <v>34</v>
      </c>
      <c r="D10088" s="5" t="s">
        <v>1206</v>
      </c>
      <c r="E10088" s="5" t="s">
        <v>62173</v>
      </c>
      <c r="F10088" s="5" t="s">
        <v>108</v>
      </c>
      <c r="G10088" s="5" t="s">
        <v>62174</v>
      </c>
      <c r="H10088" s="6" t="s">
        <v>62175</v>
      </c>
      <c r="K10088" s="5" t="s">
        <v>62169</v>
      </c>
      <c r="M10088" s="5" t="s">
        <v>62176</v>
      </c>
      <c r="N10088" s="7" t="s">
        <v>62177</v>
      </c>
      <c r="O10088" s="8" t="str">
        <f>HYPERLINK("https://drive.google.com/file/d/1cdQKFl_hv_RfnIs9rfVDkfh09JI2LPPm/view?usp=drivesdk","10087_HARI PRASETYO UMAR  _ SERTIFIKAT BerAKHLAK")</f>
        <v>10087_HARI PRASETYO UMAR  _ SERTIFIKAT BerAKHLAK</v>
      </c>
      <c r="P10088" s="5" t="s">
        <v>62178</v>
      </c>
    </row>
    <row r="10089">
      <c r="A10089" s="4">
        <v>45534.582979733794</v>
      </c>
      <c r="B10089" s="5" t="s">
        <v>34</v>
      </c>
      <c r="D10089" s="5" t="s">
        <v>1206</v>
      </c>
      <c r="E10089" s="5" t="s">
        <v>62179</v>
      </c>
      <c r="F10089" s="5" t="s">
        <v>37</v>
      </c>
      <c r="G10089" s="5" t="s">
        <v>62180</v>
      </c>
      <c r="H10089" s="6" t="s">
        <v>62181</v>
      </c>
      <c r="K10089" s="5" t="s">
        <v>62182</v>
      </c>
      <c r="M10089" s="5" t="s">
        <v>62183</v>
      </c>
      <c r="N10089" s="7" t="s">
        <v>62184</v>
      </c>
      <c r="O10089" s="8" t="str">
        <f>HYPERLINK("https://drive.google.com/file/d/12JvXMvjDNKJ61BflzjbknH0HFOCdub5t/view?usp=drivesdk","10088_ARI DWI SURYANDARI _ SERTIFIKAT BerAKHLAK")</f>
        <v>10088_ARI DWI SURYANDARI _ SERTIFIKAT BerAKHLAK</v>
      </c>
      <c r="P10089" s="5" t="s">
        <v>62185</v>
      </c>
    </row>
    <row r="10090">
      <c r="A10090" s="4">
        <v>45534.5835621875</v>
      </c>
      <c r="B10090" s="5" t="s">
        <v>34</v>
      </c>
      <c r="D10090" s="5" t="s">
        <v>4775</v>
      </c>
      <c r="E10090" s="5" t="s">
        <v>62186</v>
      </c>
      <c r="F10090" s="5" t="s">
        <v>212</v>
      </c>
      <c r="G10090" s="5" t="s">
        <v>62187</v>
      </c>
      <c r="H10090" s="6" t="s">
        <v>62188</v>
      </c>
      <c r="K10090" s="5" t="s">
        <v>62189</v>
      </c>
      <c r="M10090" s="5" t="s">
        <v>62190</v>
      </c>
      <c r="N10090" s="7" t="s">
        <v>62191</v>
      </c>
      <c r="O10090" s="8" t="str">
        <f>HYPERLINK("https://drive.google.com/file/d/1qxEvA0q4QJiv4teifYSDgKLBLqf45cDB/view?usp=drivesdk","10089_HERI SARWAKA _ SERTIFIKAT BerAKHLAK")</f>
        <v>10089_HERI SARWAKA _ SERTIFIKAT BerAKHLAK</v>
      </c>
      <c r="P10090" s="5" t="s">
        <v>62192</v>
      </c>
    </row>
    <row r="10091">
      <c r="A10091" s="4">
        <v>45534.58450297454</v>
      </c>
      <c r="B10091" s="5" t="s">
        <v>34</v>
      </c>
      <c r="D10091" s="5" t="s">
        <v>1206</v>
      </c>
      <c r="E10091" s="5" t="s">
        <v>62193</v>
      </c>
      <c r="F10091" s="5" t="s">
        <v>37</v>
      </c>
      <c r="G10091" s="5" t="s">
        <v>62194</v>
      </c>
      <c r="H10091" s="6" t="s">
        <v>62195</v>
      </c>
      <c r="K10091" s="5" t="s">
        <v>62196</v>
      </c>
      <c r="M10091" s="5" t="s">
        <v>62197</v>
      </c>
      <c r="N10091" s="7" t="s">
        <v>62198</v>
      </c>
      <c r="O10091" s="8" t="str">
        <f>HYPERLINK("https://drive.google.com/file/d/1bLKkA_hcX-LQEVbD7dsRTj7mlIIBCoZK/view?usp=drivesdk","10090_EDY KUSNADI  _ SERTIFIKAT BerAKHLAK")</f>
        <v>10090_EDY KUSNADI  _ SERTIFIKAT BerAKHLAK</v>
      </c>
      <c r="P10091" s="5" t="s">
        <v>62199</v>
      </c>
    </row>
    <row r="10092">
      <c r="A10092" s="4">
        <v>45534.58464773148</v>
      </c>
      <c r="B10092" s="5" t="s">
        <v>34</v>
      </c>
      <c r="D10092" s="5" t="s">
        <v>15401</v>
      </c>
      <c r="E10092" s="5" t="s">
        <v>44154</v>
      </c>
      <c r="F10092" s="5" t="s">
        <v>37</v>
      </c>
      <c r="G10092" s="5" t="s">
        <v>62200</v>
      </c>
      <c r="H10092" s="6" t="s">
        <v>62201</v>
      </c>
      <c r="K10092" s="5" t="s">
        <v>62202</v>
      </c>
      <c r="M10092" s="5" t="s">
        <v>62203</v>
      </c>
      <c r="N10092" s="7" t="s">
        <v>62204</v>
      </c>
      <c r="O10092" s="8" t="str">
        <f>HYPERLINK("https://drive.google.com/file/d/1qUqCBVkBgfXeuvzY233WrDzYTelp26t_/view?usp=drivesdk","10091_IMAM SAFI'I _ SERTIFIKAT BerAKHLAK")</f>
        <v>10091_IMAM SAFI'I _ SERTIFIKAT BerAKHLAK</v>
      </c>
      <c r="P10092" s="5" t="s">
        <v>62205</v>
      </c>
    </row>
    <row r="10093">
      <c r="A10093" s="4">
        <v>45534.58474644676</v>
      </c>
      <c r="B10093" s="5" t="s">
        <v>34</v>
      </c>
      <c r="D10093" s="5" t="s">
        <v>1206</v>
      </c>
      <c r="E10093" s="5" t="s">
        <v>62206</v>
      </c>
      <c r="F10093" s="5" t="s">
        <v>108</v>
      </c>
      <c r="G10093" s="5" t="s">
        <v>62207</v>
      </c>
      <c r="H10093" s="6" t="s">
        <v>62208</v>
      </c>
      <c r="K10093" s="5" t="s">
        <v>62209</v>
      </c>
      <c r="M10093" s="5" t="s">
        <v>62210</v>
      </c>
      <c r="N10093" s="7" t="s">
        <v>62211</v>
      </c>
      <c r="O10093" s="8" t="str">
        <f>HYPERLINK("https://drive.google.com/file/d/1uf9UyfDxfzmm8XisyfkA7a88R7nCHz1U/view?usp=drivesdk","10092_LULUK KHOLIFAH,SE _ SERTIFIKAT BerAKHLAK")</f>
        <v>10092_LULUK KHOLIFAH,SE _ SERTIFIKAT BerAKHLAK</v>
      </c>
      <c r="P10093" s="5" t="s">
        <v>62212</v>
      </c>
    </row>
    <row r="10094">
      <c r="A10094" s="4">
        <v>45534.58609328704</v>
      </c>
      <c r="B10094" s="5" t="s">
        <v>34</v>
      </c>
      <c r="D10094" s="5" t="s">
        <v>996</v>
      </c>
      <c r="E10094" s="5" t="s">
        <v>18159</v>
      </c>
      <c r="F10094" s="5" t="s">
        <v>212</v>
      </c>
      <c r="G10094" s="5" t="s">
        <v>62213</v>
      </c>
      <c r="H10094" s="6" t="s">
        <v>62214</v>
      </c>
      <c r="K10094" s="5" t="s">
        <v>62215</v>
      </c>
      <c r="M10094" s="5" t="s">
        <v>62216</v>
      </c>
      <c r="N10094" s="7" t="s">
        <v>62217</v>
      </c>
      <c r="O10094" s="8" t="str">
        <f>HYPERLINK("https://drive.google.com/file/d/1x3TtXmfO2Due27Vlfk92auLzTNWD0BEF/view?usp=drivesdk","10093_NUR HANDAYANI _ SERTIFIKAT BerAKHLAK")</f>
        <v>10093_NUR HANDAYANI _ SERTIFIKAT BerAKHLAK</v>
      </c>
      <c r="P10094" s="5" t="s">
        <v>62218</v>
      </c>
    </row>
    <row r="10095">
      <c r="A10095" s="4">
        <v>45534.587750983796</v>
      </c>
      <c r="B10095" s="5" t="s">
        <v>34</v>
      </c>
      <c r="D10095" s="5" t="s">
        <v>35</v>
      </c>
      <c r="E10095" s="5" t="s">
        <v>17966</v>
      </c>
      <c r="F10095" s="5" t="s">
        <v>375</v>
      </c>
      <c r="G10095" s="5" t="s">
        <v>62219</v>
      </c>
      <c r="H10095" s="6" t="s">
        <v>62220</v>
      </c>
      <c r="K10095" s="5" t="s">
        <v>62221</v>
      </c>
      <c r="M10095" s="5" t="s">
        <v>62222</v>
      </c>
      <c r="N10095" s="7" t="s">
        <v>62223</v>
      </c>
      <c r="O10095" s="8" t="str">
        <f>HYPERLINK("https://drive.google.com/file/d/1KmtfpXeS_tDZiaylfJFy6tgusPAF2mtm/view?usp=drivesdk","10094_HASAN BISRI, SAG _ SERTIFIKAT BerAKHLAK")</f>
        <v>10094_HASAN BISRI, SAG _ SERTIFIKAT BerAKHLAK</v>
      </c>
      <c r="P10095" s="5" t="s">
        <v>62224</v>
      </c>
    </row>
    <row r="10096" hidden="1">
      <c r="A10096" s="4">
        <v>45534.587911608796</v>
      </c>
      <c r="B10096" s="5" t="s">
        <v>19</v>
      </c>
      <c r="C10096" s="5" t="s">
        <v>292</v>
      </c>
      <c r="E10096" s="5" t="s">
        <v>62225</v>
      </c>
      <c r="F10096" s="5" t="s">
        <v>212</v>
      </c>
      <c r="G10096" s="5" t="s">
        <v>62226</v>
      </c>
      <c r="H10096" s="6" t="s">
        <v>62227</v>
      </c>
      <c r="K10096" s="5" t="s">
        <v>62221</v>
      </c>
      <c r="M10096" s="5" t="s">
        <v>62228</v>
      </c>
      <c r="N10096" s="7" t="s">
        <v>62229</v>
      </c>
      <c r="O10096" s="8" t="str">
        <f>HYPERLINK("https://drive.google.com/file/d/1xp4QNg3QWxwiv3u6JfxEJNVxgkX3GPyX/view?usp=drivesdk","10095_AYI MAHPUDIN _ SERTIFIKAT BerAKHLAK")</f>
        <v>10095_AYI MAHPUDIN _ SERTIFIKAT BerAKHLAK</v>
      </c>
      <c r="P10096" s="5" t="s">
        <v>62230</v>
      </c>
    </row>
    <row r="10097">
      <c r="A10097" s="4">
        <v>45534.58798175926</v>
      </c>
      <c r="B10097" s="5" t="s">
        <v>34</v>
      </c>
      <c r="D10097" s="5" t="s">
        <v>9020</v>
      </c>
      <c r="E10097" s="5" t="s">
        <v>54464</v>
      </c>
      <c r="F10097" s="5" t="s">
        <v>212</v>
      </c>
      <c r="G10097" s="5" t="s">
        <v>62231</v>
      </c>
      <c r="H10097" s="6" t="s">
        <v>62232</v>
      </c>
      <c r="K10097" s="5" t="s">
        <v>62233</v>
      </c>
      <c r="M10097" s="5" t="s">
        <v>62234</v>
      </c>
      <c r="N10097" s="7" t="s">
        <v>62235</v>
      </c>
      <c r="O10097" s="8" t="str">
        <f>HYPERLINK("https://drive.google.com/file/d/1t8_JAWhhp8wjVqZ3cjT3L4exLw7q98F5/view?usp=drivesdk","10096_ELPINA RITONGA _ SERTIFIKAT BerAKHLAK")</f>
        <v>10096_ELPINA RITONGA _ SERTIFIKAT BerAKHLAK</v>
      </c>
      <c r="P10097" s="5" t="s">
        <v>62236</v>
      </c>
    </row>
    <row r="10098" hidden="1">
      <c r="A10098" s="4">
        <v>45534.58895934028</v>
      </c>
      <c r="B10098" s="5" t="s">
        <v>19</v>
      </c>
      <c r="C10098" s="5" t="s">
        <v>292</v>
      </c>
      <c r="E10098" s="5" t="s">
        <v>62237</v>
      </c>
      <c r="F10098" s="5" t="s">
        <v>375</v>
      </c>
      <c r="G10098" s="5" t="s">
        <v>62238</v>
      </c>
      <c r="H10098" s="6" t="s">
        <v>62239</v>
      </c>
      <c r="K10098" s="5" t="s">
        <v>62240</v>
      </c>
      <c r="M10098" s="5" t="s">
        <v>62241</v>
      </c>
      <c r="N10098" s="7" t="s">
        <v>62242</v>
      </c>
      <c r="O10098" s="8" t="str">
        <f>HYPERLINK("https://drive.google.com/file/d/1baoogEjWJqYDGdUw_i8sgqsDUILo3sMq/view?usp=drivesdk","10097_IDA RIANA _ SERTIFIKAT BerAKHLAK")</f>
        <v>10097_IDA RIANA _ SERTIFIKAT BerAKHLAK</v>
      </c>
      <c r="P10098" s="5" t="s">
        <v>62243</v>
      </c>
    </row>
    <row r="10099">
      <c r="A10099" s="4">
        <v>45534.58945743056</v>
      </c>
      <c r="B10099" s="5" t="s">
        <v>34</v>
      </c>
      <c r="D10099" s="5" t="s">
        <v>1768</v>
      </c>
      <c r="E10099" s="5" t="s">
        <v>62244</v>
      </c>
      <c r="F10099" s="5" t="s">
        <v>375</v>
      </c>
      <c r="G10099" s="5" t="s">
        <v>62245</v>
      </c>
      <c r="H10099" s="6" t="s">
        <v>62246</v>
      </c>
      <c r="K10099" s="5" t="s">
        <v>62247</v>
      </c>
      <c r="M10099" s="5" t="s">
        <v>62248</v>
      </c>
      <c r="N10099" s="7" t="s">
        <v>62249</v>
      </c>
      <c r="O10099" s="8" t="str">
        <f>HYPERLINK("https://drive.google.com/file/d/1bXSDxF8Y9mQJHo8wGT5IKxPEj2dTHF-y/view?usp=drivesdk","10098_drg. LILY SHARON TAMPUBOLON _ SERTIFIKAT BerAKHLAK")</f>
        <v>10098_drg. LILY SHARON TAMPUBOLON _ SERTIFIKAT BerAKHLAK</v>
      </c>
      <c r="P10099" s="5" t="s">
        <v>62250</v>
      </c>
    </row>
    <row r="10100">
      <c r="A10100" s="4">
        <v>45534.591278761574</v>
      </c>
      <c r="B10100" s="5" t="s">
        <v>34</v>
      </c>
      <c r="D10100" s="5" t="s">
        <v>1206</v>
      </c>
      <c r="E10100" s="5" t="s">
        <v>62251</v>
      </c>
      <c r="F10100" s="5" t="s">
        <v>212</v>
      </c>
      <c r="G10100" s="5" t="s">
        <v>62252</v>
      </c>
      <c r="H10100" s="6" t="s">
        <v>62253</v>
      </c>
      <c r="K10100" s="5" t="s">
        <v>62254</v>
      </c>
      <c r="M10100" s="5" t="s">
        <v>62255</v>
      </c>
      <c r="N10100" s="7" t="s">
        <v>62256</v>
      </c>
      <c r="O10100" s="8" t="str">
        <f>HYPERLINK("https://drive.google.com/file/d/1y5mvRKLUTJ2505vR5dWc581psTs-pGXe/view?usp=drivesdk","10099_EVI IRAWATI _ SERTIFIKAT BerAKHLAK")</f>
        <v>10099_EVI IRAWATI _ SERTIFIKAT BerAKHLAK</v>
      </c>
      <c r="P10100" s="5" t="s">
        <v>62257</v>
      </c>
    </row>
    <row r="10101">
      <c r="A10101" s="4">
        <v>45534.59178427083</v>
      </c>
      <c r="B10101" s="5" t="s">
        <v>34</v>
      </c>
      <c r="D10101" s="5" t="s">
        <v>14313</v>
      </c>
      <c r="E10101" s="5" t="s">
        <v>62258</v>
      </c>
      <c r="F10101" s="5" t="s">
        <v>715</v>
      </c>
      <c r="G10101" s="5" t="s">
        <v>62259</v>
      </c>
      <c r="H10101" s="6" t="s">
        <v>62260</v>
      </c>
      <c r="K10101" s="5" t="s">
        <v>62261</v>
      </c>
      <c r="M10101" s="5" t="s">
        <v>62262</v>
      </c>
      <c r="N10101" s="7" t="s">
        <v>62263</v>
      </c>
      <c r="O10101" s="8" t="str">
        <f>HYPERLINK("https://drive.google.com/file/d/196uJ-Dp-4wqJdfuiQKJ46gXkOADpLIN0/view?usp=drivesdk","10100_SURIATI, SH _ SERTIFIKAT BerAKHLAK")</f>
        <v>10100_SURIATI, SH _ SERTIFIKAT BerAKHLAK</v>
      </c>
      <c r="P10101" s="5" t="s">
        <v>62264</v>
      </c>
    </row>
    <row r="10102">
      <c r="A10102" s="4">
        <v>45534.59228386574</v>
      </c>
      <c r="B10102" s="5" t="s">
        <v>34</v>
      </c>
      <c r="D10102" s="5" t="s">
        <v>10444</v>
      </c>
      <c r="E10102" s="5" t="s">
        <v>38131</v>
      </c>
      <c r="F10102" s="5" t="s">
        <v>108</v>
      </c>
      <c r="G10102" s="5" t="s">
        <v>53418</v>
      </c>
      <c r="H10102" s="6" t="s">
        <v>62265</v>
      </c>
      <c r="K10102" s="5" t="s">
        <v>62266</v>
      </c>
      <c r="M10102" s="5" t="s">
        <v>62267</v>
      </c>
      <c r="N10102" s="7" t="s">
        <v>62268</v>
      </c>
      <c r="O10102" s="8" t="str">
        <f>HYPERLINK("https://drive.google.com/file/d/1XQwNEDwfbxpVvkzV64T4xPnu9aCUVWPw/view?usp=drivesdk","10101_SUCI JAMIAH _ SERTIFIKAT BerAKHLAK")</f>
        <v>10101_SUCI JAMIAH _ SERTIFIKAT BerAKHLAK</v>
      </c>
      <c r="P10102" s="5" t="s">
        <v>62269</v>
      </c>
    </row>
    <row r="10103" hidden="1">
      <c r="A10103" s="4">
        <v>45534.5926634375</v>
      </c>
      <c r="B10103" s="5" t="s">
        <v>19</v>
      </c>
      <c r="C10103" s="5" t="s">
        <v>292</v>
      </c>
      <c r="E10103" s="5" t="s">
        <v>62270</v>
      </c>
      <c r="F10103" s="5" t="s">
        <v>212</v>
      </c>
      <c r="G10103" s="5" t="s">
        <v>62271</v>
      </c>
      <c r="H10103" s="6" t="s">
        <v>62272</v>
      </c>
      <c r="K10103" s="5" t="s">
        <v>62273</v>
      </c>
      <c r="M10103" s="5" t="s">
        <v>62274</v>
      </c>
      <c r="N10103" s="7" t="s">
        <v>62275</v>
      </c>
      <c r="O10103" s="8" t="str">
        <f>HYPERLINK("https://drive.google.com/file/d/1UXnMVy83L2ia7gpxyS5YiL_WTsj07zoa/view?usp=drivesdk","10102_LUKMAN NURHALIM _ SERTIFIKAT BerAKHLAK")</f>
        <v>10102_LUKMAN NURHALIM _ SERTIFIKAT BerAKHLAK</v>
      </c>
      <c r="P10103" s="5" t="s">
        <v>62276</v>
      </c>
    </row>
    <row r="10104">
      <c r="A10104" s="4">
        <v>45534.59297381944</v>
      </c>
      <c r="B10104" s="5" t="s">
        <v>34</v>
      </c>
      <c r="D10104" s="5" t="s">
        <v>701</v>
      </c>
      <c r="E10104" s="5" t="s">
        <v>62277</v>
      </c>
      <c r="F10104" s="5" t="s">
        <v>524</v>
      </c>
      <c r="G10104" s="5" t="s">
        <v>62278</v>
      </c>
      <c r="H10104" s="6" t="s">
        <v>62279</v>
      </c>
      <c r="K10104" s="5" t="s">
        <v>62280</v>
      </c>
      <c r="M10104" s="5" t="s">
        <v>62281</v>
      </c>
      <c r="N10104" s="7" t="s">
        <v>62282</v>
      </c>
      <c r="O10104" s="8" t="str">
        <f>HYPERLINK("https://drive.google.com/file/d/141x65cZgslcCRycfGmPlDJPMhcIcDeTy/view?usp=drivesdk","10103_TATI JULITA, S.E _ SERTIFIKAT BerAKHLAK")</f>
        <v>10103_TATI JULITA, S.E _ SERTIFIKAT BerAKHLAK</v>
      </c>
      <c r="P10104" s="5" t="s">
        <v>62283</v>
      </c>
    </row>
    <row r="10105">
      <c r="A10105" s="4">
        <v>45534.59301810185</v>
      </c>
      <c r="B10105" s="5" t="s">
        <v>34</v>
      </c>
      <c r="D10105" s="5" t="s">
        <v>6232</v>
      </c>
      <c r="E10105" s="5" t="s">
        <v>62284</v>
      </c>
      <c r="F10105" s="5" t="s">
        <v>37</v>
      </c>
      <c r="G10105" s="5" t="s">
        <v>62285</v>
      </c>
      <c r="H10105" s="6" t="s">
        <v>62286</v>
      </c>
      <c r="K10105" s="5" t="s">
        <v>62280</v>
      </c>
      <c r="M10105" s="5" t="s">
        <v>62287</v>
      </c>
      <c r="N10105" s="7" t="s">
        <v>62288</v>
      </c>
      <c r="O10105" s="8" t="str">
        <f>HYPERLINK("https://drive.google.com/file/d/1bR-MQhefz467oBwJxTMLusjloUkeWqiM/view?usp=drivesdk","10104_RISDA ERVINA, A. Md. Kep _ SERTIFIKAT BerAKHLAK")</f>
        <v>10104_RISDA ERVINA, A. Md. Kep _ SERTIFIKAT BerAKHLAK</v>
      </c>
      <c r="P10105" s="5" t="s">
        <v>62289</v>
      </c>
    </row>
    <row r="10106">
      <c r="A10106" s="4">
        <v>45534.59371158565</v>
      </c>
      <c r="B10106" s="5" t="s">
        <v>34</v>
      </c>
      <c r="D10106" s="5" t="s">
        <v>1206</v>
      </c>
      <c r="E10106" s="5" t="s">
        <v>62290</v>
      </c>
      <c r="F10106" s="5" t="s">
        <v>375</v>
      </c>
      <c r="G10106" s="5" t="s">
        <v>62291</v>
      </c>
      <c r="H10106" s="6" t="s">
        <v>62292</v>
      </c>
      <c r="K10106" s="5" t="s">
        <v>62293</v>
      </c>
      <c r="M10106" s="5" t="s">
        <v>62294</v>
      </c>
      <c r="N10106" s="7" t="s">
        <v>62295</v>
      </c>
      <c r="O10106" s="8" t="str">
        <f>HYPERLINK("https://drive.google.com/file/d/1shrnnhTtUTIqBpvANirr29l3Iw_j6J8l/view?usp=drivesdk","10105_SRI ASTUTI, S.Kep.Ns _ SERTIFIKAT BerAKHLAK")</f>
        <v>10105_SRI ASTUTI, S.Kep.Ns _ SERTIFIKAT BerAKHLAK</v>
      </c>
      <c r="P10106" s="5" t="s">
        <v>62296</v>
      </c>
    </row>
    <row r="10107" hidden="1">
      <c r="A10107" s="4">
        <v>45534.59497651621</v>
      </c>
      <c r="B10107" s="5" t="s">
        <v>19</v>
      </c>
      <c r="C10107" s="5" t="s">
        <v>292</v>
      </c>
      <c r="E10107" s="5" t="s">
        <v>62297</v>
      </c>
      <c r="F10107" s="5" t="s">
        <v>72</v>
      </c>
      <c r="G10107" s="5" t="s">
        <v>62298</v>
      </c>
      <c r="H10107" s="6" t="s">
        <v>62299</v>
      </c>
      <c r="K10107" s="5" t="s">
        <v>62300</v>
      </c>
      <c r="M10107" s="5" t="s">
        <v>62301</v>
      </c>
      <c r="N10107" s="7" t="s">
        <v>62302</v>
      </c>
      <c r="O10107" s="8" t="str">
        <f>HYPERLINK("https://drive.google.com/file/d/1eYUhZdWJRGLoOEE6lE2xl8avYvZCc67p/view?usp=drivesdk","10106_TATANG SURYANA _ SERTIFIKAT BerAKHLAK")</f>
        <v>10106_TATANG SURYANA _ SERTIFIKAT BerAKHLAK</v>
      </c>
      <c r="P10107" s="5" t="s">
        <v>62303</v>
      </c>
    </row>
    <row r="10108">
      <c r="A10108" s="4">
        <v>45534.59567414352</v>
      </c>
      <c r="B10108" s="5" t="s">
        <v>34</v>
      </c>
      <c r="D10108" s="5" t="s">
        <v>580</v>
      </c>
      <c r="E10108" s="5" t="s">
        <v>62304</v>
      </c>
      <c r="F10108" s="5" t="s">
        <v>37</v>
      </c>
      <c r="G10108" s="5" t="s">
        <v>62305</v>
      </c>
      <c r="H10108" s="6" t="s">
        <v>62306</v>
      </c>
      <c r="K10108" s="5" t="s">
        <v>62307</v>
      </c>
      <c r="M10108" s="5" t="s">
        <v>62308</v>
      </c>
      <c r="N10108" s="7" t="s">
        <v>62309</v>
      </c>
      <c r="O10108" s="8" t="str">
        <f>HYPERLINK("https://drive.google.com/file/d/1LL5MGvRmhKPGjEPfWf9dn9ki43g84G3v/view?usp=drivesdk","10107_NI NYOMAN ARI TRI WAHYUNI _ SERTIFIKAT BerAKHLAK")</f>
        <v>10107_NI NYOMAN ARI TRI WAHYUNI _ SERTIFIKAT BerAKHLAK</v>
      </c>
      <c r="P10108" s="5" t="s">
        <v>62310</v>
      </c>
    </row>
    <row r="10109">
      <c r="A10109" s="4">
        <v>45534.59609443287</v>
      </c>
      <c r="B10109" s="5" t="s">
        <v>34</v>
      </c>
      <c r="D10109" s="5" t="s">
        <v>35</v>
      </c>
      <c r="E10109" s="5" t="s">
        <v>62311</v>
      </c>
      <c r="F10109" s="5" t="s">
        <v>524</v>
      </c>
      <c r="G10109" s="5" t="s">
        <v>62312</v>
      </c>
      <c r="H10109" s="6" t="s">
        <v>62313</v>
      </c>
      <c r="K10109" s="5" t="s">
        <v>62314</v>
      </c>
      <c r="M10109" s="5" t="s">
        <v>62315</v>
      </c>
      <c r="N10109" s="7" t="s">
        <v>62316</v>
      </c>
      <c r="O10109" s="8" t="str">
        <f>HYPERLINK("https://drive.google.com/file/d/1W5mrsA7EjSvnWTfb5XoDwGD5tuvRwKb0/view?usp=drivesdk","10108_MEILINA WULANDARI, A.Md _ SERTIFIKAT BerAKHLAK")</f>
        <v>10108_MEILINA WULANDARI, A.Md _ SERTIFIKAT BerAKHLAK</v>
      </c>
      <c r="P10109" s="5" t="s">
        <v>62317</v>
      </c>
    </row>
    <row r="10110">
      <c r="A10110" s="4">
        <v>45534.59720546297</v>
      </c>
      <c r="B10110" s="5" t="s">
        <v>34</v>
      </c>
      <c r="D10110" s="5" t="s">
        <v>522</v>
      </c>
      <c r="E10110" s="5" t="s">
        <v>17826</v>
      </c>
      <c r="F10110" s="5" t="s">
        <v>37</v>
      </c>
      <c r="G10110" s="5" t="s">
        <v>17827</v>
      </c>
      <c r="H10110" s="6" t="s">
        <v>62318</v>
      </c>
      <c r="K10110" s="5" t="s">
        <v>62314</v>
      </c>
      <c r="M10110" s="5" t="s">
        <v>62319</v>
      </c>
      <c r="N10110" s="7" t="s">
        <v>62320</v>
      </c>
      <c r="O10110" s="8" t="str">
        <f>HYPERLINK("https://drive.google.com/file/d/1M7BQbxdV00wmT5Ah28Jfb_4gsnGTFvfl/view?usp=drivesdk","10109_YAYAH ERMIKA SAPUTRI, A.Md. _ SERTIFIKAT BerAKHLAK")</f>
        <v>10109_YAYAH ERMIKA SAPUTRI, A.Md. _ SERTIFIKAT BerAKHLAK</v>
      </c>
      <c r="P10110" s="5" t="s">
        <v>62321</v>
      </c>
    </row>
    <row r="10111">
      <c r="A10111" s="4">
        <v>45534.59753254629</v>
      </c>
      <c r="B10111" s="5" t="s">
        <v>34</v>
      </c>
      <c r="D10111" s="5" t="s">
        <v>1206</v>
      </c>
      <c r="E10111" s="5" t="s">
        <v>62322</v>
      </c>
      <c r="F10111" s="5" t="s">
        <v>37</v>
      </c>
      <c r="G10111" s="5" t="s">
        <v>62323</v>
      </c>
      <c r="H10111" s="6" t="s">
        <v>62324</v>
      </c>
      <c r="K10111" s="5" t="s">
        <v>62325</v>
      </c>
      <c r="M10111" s="5" t="s">
        <v>62326</v>
      </c>
      <c r="N10111" s="7" t="s">
        <v>62327</v>
      </c>
      <c r="O10111" s="8" t="str">
        <f>HYPERLINK("https://drive.google.com/file/d/1gOoO69224yVETYZKV_8a2EWv6-D6ianG/view?usp=drivesdk","10110_MAY DIYAH SETYO RINI  _ SERTIFIKAT BerAKHLAK")</f>
        <v>10110_MAY DIYAH SETYO RINI  _ SERTIFIKAT BerAKHLAK</v>
      </c>
      <c r="P10111" s="5" t="s">
        <v>62328</v>
      </c>
    </row>
    <row r="10112" hidden="1">
      <c r="A10112" s="4">
        <v>45534.59770931713</v>
      </c>
      <c r="B10112" s="5" t="s">
        <v>19</v>
      </c>
      <c r="C10112" s="5" t="s">
        <v>292</v>
      </c>
      <c r="E10112" s="5" t="s">
        <v>41628</v>
      </c>
      <c r="F10112" s="5" t="s">
        <v>375</v>
      </c>
      <c r="G10112" s="5" t="s">
        <v>62329</v>
      </c>
      <c r="H10112" s="6" t="s">
        <v>62330</v>
      </c>
      <c r="K10112" s="5" t="s">
        <v>62331</v>
      </c>
      <c r="M10112" s="5" t="s">
        <v>62332</v>
      </c>
      <c r="N10112" s="7" t="s">
        <v>62333</v>
      </c>
      <c r="O10112" s="8" t="str">
        <f>HYPERLINK("https://drive.google.com/file/d/1lEXuEj_lH1fc0PWtAsgLXJKBmOWEt6gu/view?usp=drivesdk","10111_SURATNO _ SERTIFIKAT BerAKHLAK")</f>
        <v>10111_SURATNO _ SERTIFIKAT BerAKHLAK</v>
      </c>
      <c r="P10112" s="5" t="s">
        <v>62334</v>
      </c>
    </row>
    <row r="10113" hidden="1">
      <c r="A10113" s="4">
        <v>45534.59796122686</v>
      </c>
      <c r="B10113" s="5" t="s">
        <v>19</v>
      </c>
      <c r="C10113" s="5" t="s">
        <v>292</v>
      </c>
      <c r="E10113" s="5" t="s">
        <v>62335</v>
      </c>
      <c r="F10113" s="5" t="s">
        <v>375</v>
      </c>
      <c r="G10113" s="5" t="s">
        <v>62336</v>
      </c>
      <c r="H10113" s="6" t="s">
        <v>62337</v>
      </c>
      <c r="K10113" s="5" t="s">
        <v>62338</v>
      </c>
      <c r="M10113" s="5" t="s">
        <v>62339</v>
      </c>
      <c r="N10113" s="7" t="s">
        <v>62340</v>
      </c>
      <c r="O10113" s="8" t="str">
        <f>HYPERLINK("https://drive.google.com/file/d/1OitBj5r_66z-NZsTC4Hut270LcDU6I0r/view?usp=drivesdk","10112_SERVA MUTHIA.SH.MM _ SERTIFIKAT BerAKHLAK")</f>
        <v>10112_SERVA MUTHIA.SH.MM _ SERTIFIKAT BerAKHLAK</v>
      </c>
      <c r="P10113" s="5" t="s">
        <v>62341</v>
      </c>
    </row>
    <row r="10114">
      <c r="A10114" s="4">
        <v>45534.59884769676</v>
      </c>
      <c r="B10114" s="5" t="s">
        <v>34</v>
      </c>
      <c r="D10114" s="5" t="s">
        <v>1206</v>
      </c>
      <c r="E10114" s="5" t="s">
        <v>62342</v>
      </c>
      <c r="F10114" s="5" t="s">
        <v>37</v>
      </c>
      <c r="G10114" s="5" t="s">
        <v>62343</v>
      </c>
      <c r="H10114" s="6" t="s">
        <v>62344</v>
      </c>
      <c r="K10114" s="5" t="s">
        <v>62345</v>
      </c>
      <c r="M10114" s="5" t="s">
        <v>62346</v>
      </c>
      <c r="N10114" s="7" t="s">
        <v>62347</v>
      </c>
      <c r="O10114" s="8" t="str">
        <f>HYPERLINK("https://drive.google.com/file/d/1IIoLajTrjufyWciJUbl2hG4yo_DTQjmm/view?usp=drivesdk","10113_LEMBANG SUKO BINARTO  _ SERTIFIKAT BerAKHLAK")</f>
        <v>10113_LEMBANG SUKO BINARTO  _ SERTIFIKAT BerAKHLAK</v>
      </c>
      <c r="P10114" s="5" t="s">
        <v>62341</v>
      </c>
    </row>
    <row r="10115">
      <c r="A10115" s="4">
        <v>45534.60042928241</v>
      </c>
      <c r="B10115" s="5" t="s">
        <v>34</v>
      </c>
      <c r="D10115" s="5" t="s">
        <v>2903</v>
      </c>
      <c r="E10115" s="5" t="s">
        <v>62348</v>
      </c>
      <c r="F10115" s="5" t="s">
        <v>524</v>
      </c>
      <c r="G10115" s="5" t="s">
        <v>47200</v>
      </c>
      <c r="H10115" s="6" t="s">
        <v>62349</v>
      </c>
      <c r="K10115" s="5" t="s">
        <v>62350</v>
      </c>
      <c r="M10115" s="5" t="s">
        <v>62351</v>
      </c>
      <c r="N10115" s="7" t="s">
        <v>62352</v>
      </c>
      <c r="O10115" s="8" t="str">
        <f>HYPERLINK("https://drive.google.com/file/d/1DfL5_yN1-wNZ2BdZ0hQTBx9xcl9y3ODJ/view?usp=drivesdk","10114_PRAMONO DWI SASMITO.S.Gz _ SERTIFIKAT BerAKHLAK")</f>
        <v>10114_PRAMONO DWI SASMITO.S.Gz _ SERTIFIKAT BerAKHLAK</v>
      </c>
      <c r="P10115" s="5" t="s">
        <v>62341</v>
      </c>
    </row>
    <row r="10116">
      <c r="A10116" s="4">
        <v>45534.60061905092</v>
      </c>
      <c r="B10116" s="5" t="s">
        <v>34</v>
      </c>
      <c r="D10116" s="5" t="s">
        <v>10444</v>
      </c>
      <c r="E10116" s="5" t="s">
        <v>38131</v>
      </c>
      <c r="F10116" s="5" t="s">
        <v>108</v>
      </c>
      <c r="G10116" s="5" t="s">
        <v>53418</v>
      </c>
      <c r="H10116" s="6" t="s">
        <v>62353</v>
      </c>
      <c r="K10116" s="5" t="s">
        <v>62354</v>
      </c>
      <c r="M10116" s="5" t="s">
        <v>62355</v>
      </c>
      <c r="N10116" s="7" t="s">
        <v>62356</v>
      </c>
      <c r="O10116" s="8" t="str">
        <f>HYPERLINK("https://drive.google.com/file/d/1INTS5npI24cvpIVUgvzrwISkGu1hpHQl/view?usp=drivesdk","10115_SUCI JAMIAH _ SERTIFIKAT BerAKHLAK")</f>
        <v>10115_SUCI JAMIAH _ SERTIFIKAT BerAKHLAK</v>
      </c>
      <c r="P10116" s="5" t="s">
        <v>62357</v>
      </c>
    </row>
    <row r="10117">
      <c r="A10117" s="4">
        <v>45534.60083660879</v>
      </c>
      <c r="B10117" s="5" t="s">
        <v>34</v>
      </c>
      <c r="D10117" s="5" t="s">
        <v>522</v>
      </c>
      <c r="E10117" s="5" t="s">
        <v>62358</v>
      </c>
      <c r="F10117" s="5" t="s">
        <v>72</v>
      </c>
      <c r="G10117" s="5" t="s">
        <v>62359</v>
      </c>
      <c r="H10117" s="6" t="s">
        <v>62360</v>
      </c>
      <c r="K10117" s="5" t="s">
        <v>62354</v>
      </c>
      <c r="M10117" s="5" t="s">
        <v>62361</v>
      </c>
      <c r="N10117" s="7" t="s">
        <v>62362</v>
      </c>
      <c r="O10117" s="8" t="str">
        <f>HYPERLINK("https://drive.google.com/file/d/1cK5BXMaD_eAybt9duqmpcVWOOel0ABAz/view?usp=drivesdk","10116_SITI AISYAH INDRAYANI _ SERTIFIKAT BerAKHLAK")</f>
        <v>10116_SITI AISYAH INDRAYANI _ SERTIFIKAT BerAKHLAK</v>
      </c>
      <c r="P10117" s="5" t="s">
        <v>62357</v>
      </c>
    </row>
    <row r="10118">
      <c r="A10118" s="4">
        <v>45534.60110637732</v>
      </c>
      <c r="B10118" s="5" t="s">
        <v>34</v>
      </c>
      <c r="D10118" s="5" t="s">
        <v>1206</v>
      </c>
      <c r="E10118" s="5" t="s">
        <v>62363</v>
      </c>
      <c r="F10118" s="5" t="s">
        <v>72</v>
      </c>
      <c r="G10118" s="5" t="s">
        <v>62364</v>
      </c>
      <c r="H10118" s="6" t="s">
        <v>62365</v>
      </c>
      <c r="K10118" s="5" t="s">
        <v>62366</v>
      </c>
      <c r="M10118" s="5" t="s">
        <v>62367</v>
      </c>
      <c r="N10118" s="7" t="s">
        <v>62368</v>
      </c>
      <c r="O10118" s="8" t="str">
        <f>HYPERLINK("https://drive.google.com/file/d/1Ap-eRiBOEmioEifd7mTMndlGyUwbXYMM/view?usp=drivesdk","10117_AGUS BUDIYANTO Amd.Kep _ SERTIFIKAT BerAKHLAK")</f>
        <v>10117_AGUS BUDIYANTO Amd.Kep _ SERTIFIKAT BerAKHLAK</v>
      </c>
      <c r="P10118" s="5" t="s">
        <v>62357</v>
      </c>
    </row>
    <row r="10119">
      <c r="A10119" s="4">
        <v>45534.601870555554</v>
      </c>
      <c r="B10119" s="5" t="s">
        <v>34</v>
      </c>
      <c r="D10119" s="5" t="s">
        <v>267</v>
      </c>
      <c r="E10119" s="5" t="s">
        <v>62369</v>
      </c>
      <c r="F10119" s="5" t="s">
        <v>120</v>
      </c>
      <c r="G10119" s="5" t="s">
        <v>62370</v>
      </c>
      <c r="H10119" s="6" t="s">
        <v>62371</v>
      </c>
      <c r="K10119" s="5" t="s">
        <v>62372</v>
      </c>
      <c r="M10119" s="5" t="s">
        <v>62373</v>
      </c>
      <c r="N10119" s="7" t="s">
        <v>62374</v>
      </c>
      <c r="O10119" s="8" t="str">
        <f>HYPERLINK("https://drive.google.com/file/d/13jGPjLHfH50QLVZn91gsaBYmrpASGyLG/view?usp=drivesdk","10118_FINE ANISA HANDAYATI, S.Farm, Apt. _ SERTIFIKAT BerAKHLAK")</f>
        <v>10118_FINE ANISA HANDAYATI, S.Farm, Apt. _ SERTIFIKAT BerAKHLAK</v>
      </c>
      <c r="P10119" s="5" t="s">
        <v>62357</v>
      </c>
    </row>
    <row r="10120">
      <c r="A10120" s="4">
        <v>45534.602051249996</v>
      </c>
      <c r="B10120" s="5" t="s">
        <v>34</v>
      </c>
      <c r="D10120" s="5" t="s">
        <v>996</v>
      </c>
      <c r="E10120" s="5" t="s">
        <v>31789</v>
      </c>
      <c r="F10120" s="5" t="s">
        <v>37</v>
      </c>
      <c r="G10120" s="5" t="s">
        <v>62375</v>
      </c>
      <c r="H10120" s="6" t="s">
        <v>62376</v>
      </c>
      <c r="K10120" s="5" t="s">
        <v>62377</v>
      </c>
      <c r="M10120" s="5" t="s">
        <v>62378</v>
      </c>
      <c r="N10120" s="7" t="s">
        <v>62379</v>
      </c>
      <c r="O10120" s="8" t="str">
        <f>HYPERLINK("https://drive.google.com/file/d/16kzCKhxQXuVcgANMrTfe1syG_JibwxJb/view?usp=drivesdk","10119_SITI NOOR HIDAYATI, S.E. _ SERTIFIKAT BerAKHLAK")</f>
        <v>10119_SITI NOOR HIDAYATI, S.E. _ SERTIFIKAT BerAKHLAK</v>
      </c>
      <c r="P10120" s="5" t="s">
        <v>62357</v>
      </c>
    </row>
    <row r="10121">
      <c r="A10121" s="4">
        <v>45534.60312979166</v>
      </c>
      <c r="B10121" s="5" t="s">
        <v>34</v>
      </c>
      <c r="D10121" s="5" t="s">
        <v>10297</v>
      </c>
      <c r="E10121" s="5" t="s">
        <v>62380</v>
      </c>
      <c r="F10121" s="5" t="s">
        <v>715</v>
      </c>
      <c r="G10121" s="5" t="s">
        <v>62381</v>
      </c>
      <c r="H10121" s="6" t="s">
        <v>62382</v>
      </c>
      <c r="K10121" s="5" t="s">
        <v>62383</v>
      </c>
      <c r="M10121" s="5" t="s">
        <v>62384</v>
      </c>
      <c r="N10121" s="7" t="s">
        <v>62385</v>
      </c>
      <c r="O10121" s="8" t="str">
        <f>HYPERLINK("https://drive.google.com/file/d/1ru6w7rtY-strEupPRjKEhOwTBNJDLQPP/view?usp=drivesdk","10120_INDRA MAWALDI PRATAM, S.M. _ SERTIFIKAT BerAKHLAK")</f>
        <v>10120_INDRA MAWALDI PRATAM, S.M. _ SERTIFIKAT BerAKHLAK</v>
      </c>
      <c r="P10121" s="5" t="s">
        <v>62357</v>
      </c>
    </row>
    <row r="10122">
      <c r="A10122" s="4">
        <v>45534.60405171296</v>
      </c>
      <c r="B10122" s="5" t="s">
        <v>34</v>
      </c>
      <c r="D10122" s="5" t="s">
        <v>4775</v>
      </c>
      <c r="E10122" s="5" t="s">
        <v>62386</v>
      </c>
      <c r="F10122" s="5" t="s">
        <v>120</v>
      </c>
      <c r="G10122" s="5" t="s">
        <v>62387</v>
      </c>
      <c r="H10122" s="6" t="s">
        <v>62388</v>
      </c>
      <c r="K10122" s="5" t="s">
        <v>62389</v>
      </c>
      <c r="M10122" s="5" t="s">
        <v>62390</v>
      </c>
      <c r="N10122" s="7" t="s">
        <v>62391</v>
      </c>
      <c r="O10122" s="8" t="str">
        <f>HYPERLINK("https://drive.google.com/file/d/15qkc4PP1lH6_4jAokjyUr5zZMWIaP-b2/view?usp=drivesdk","10121_RAHMAT SUPRIYANTO, S.Farm., Apt. _ SERTIFIKAT BerAKHLAK")</f>
        <v>10121_RAHMAT SUPRIYANTO, S.Farm., Apt. _ SERTIFIKAT BerAKHLAK</v>
      </c>
      <c r="P10122" s="5" t="s">
        <v>62392</v>
      </c>
    </row>
    <row r="10123">
      <c r="A10123" s="4">
        <v>45534.60473274306</v>
      </c>
      <c r="B10123" s="5" t="s">
        <v>34</v>
      </c>
      <c r="D10123" s="5" t="s">
        <v>9020</v>
      </c>
      <c r="E10123" s="5" t="s">
        <v>62393</v>
      </c>
      <c r="F10123" s="5" t="s">
        <v>375</v>
      </c>
      <c r="G10123" s="5" t="s">
        <v>62394</v>
      </c>
      <c r="H10123" s="6" t="s">
        <v>62395</v>
      </c>
      <c r="K10123" s="5" t="s">
        <v>62396</v>
      </c>
      <c r="M10123" s="5" t="s">
        <v>62397</v>
      </c>
      <c r="N10123" s="7" t="s">
        <v>62398</v>
      </c>
      <c r="O10123" s="8" t="str">
        <f>HYPERLINK("https://drive.google.com/file/d/1jCMpIq1mZpHifO4JORuL3ZAQdSVxwwVN/view?usp=drivesdk","10122_DESY IDA TOBING _ SERTIFIKAT BerAKHLAK")</f>
        <v>10122_DESY IDA TOBING _ SERTIFIKAT BerAKHLAK</v>
      </c>
      <c r="P10123" s="5" t="s">
        <v>62392</v>
      </c>
    </row>
    <row r="10124">
      <c r="A10124" s="4">
        <v>45534.60548861111</v>
      </c>
      <c r="B10124" s="5" t="s">
        <v>34</v>
      </c>
      <c r="D10124" s="5" t="s">
        <v>1456</v>
      </c>
      <c r="E10124" s="5" t="s">
        <v>62399</v>
      </c>
      <c r="F10124" s="5" t="s">
        <v>37</v>
      </c>
      <c r="G10124" s="5" t="s">
        <v>62400</v>
      </c>
      <c r="H10124" s="6" t="s">
        <v>62401</v>
      </c>
      <c r="K10124" s="5" t="s">
        <v>62396</v>
      </c>
      <c r="M10124" s="5" t="s">
        <v>62402</v>
      </c>
      <c r="N10124" s="7" t="s">
        <v>62403</v>
      </c>
      <c r="O10124" s="8" t="str">
        <f>HYPERLINK("https://drive.google.com/file/d/1cjquqb80Q268RtCOFbUkZghszuZKYBuQ/view?usp=drivesdk","10123_NI GD EKA SAPUTRI, A.Md.Kep _ SERTIFIKAT BerAKHLAK")</f>
        <v>10123_NI GD EKA SAPUTRI, A.Md.Kep _ SERTIFIKAT BerAKHLAK</v>
      </c>
      <c r="P10124" s="5" t="s">
        <v>62392</v>
      </c>
    </row>
    <row r="10125" hidden="1">
      <c r="A10125" s="4">
        <v>45534.60583134259</v>
      </c>
      <c r="B10125" s="5" t="s">
        <v>19</v>
      </c>
      <c r="C10125" s="5" t="s">
        <v>292</v>
      </c>
      <c r="E10125" s="5" t="s">
        <v>62404</v>
      </c>
      <c r="F10125" s="5" t="s">
        <v>199</v>
      </c>
      <c r="G10125" s="5" t="s">
        <v>62405</v>
      </c>
      <c r="H10125" s="6" t="s">
        <v>62406</v>
      </c>
      <c r="K10125" s="5" t="s">
        <v>62396</v>
      </c>
      <c r="M10125" s="5" t="s">
        <v>62407</v>
      </c>
      <c r="N10125" s="7" t="s">
        <v>62408</v>
      </c>
      <c r="O10125" s="8" t="str">
        <f>HYPERLINK("https://drive.google.com/file/d/1dk8cUAUJavj6A_p8W6intqjRArzlSWa4/view?usp=drivesdk","10124_ETIK MARGIYATI _ SERTIFIKAT BerAKHLAK")</f>
        <v>10124_ETIK MARGIYATI _ SERTIFIKAT BerAKHLAK</v>
      </c>
      <c r="P10125" s="5" t="s">
        <v>62392</v>
      </c>
    </row>
    <row r="10126">
      <c r="A10126" s="4">
        <v>45534.60608554399</v>
      </c>
      <c r="B10126" s="5" t="s">
        <v>34</v>
      </c>
      <c r="D10126" s="5" t="s">
        <v>10297</v>
      </c>
      <c r="E10126" s="5" t="s">
        <v>62409</v>
      </c>
      <c r="F10126" s="5" t="s">
        <v>212</v>
      </c>
      <c r="G10126" s="5" t="s">
        <v>62410</v>
      </c>
      <c r="H10126" s="6" t="s">
        <v>62411</v>
      </c>
      <c r="K10126" s="5" t="s">
        <v>62412</v>
      </c>
      <c r="M10126" s="5" t="s">
        <v>62413</v>
      </c>
      <c r="N10126" s="7" t="s">
        <v>62414</v>
      </c>
      <c r="O10126" s="8" t="str">
        <f>HYPERLINK("https://drive.google.com/file/d/1T9FHNprlzSKP3mIt5-HLtxqOgunc6e0v/view?usp=drivesdk","10125_SURIADI _ SERTIFIKAT BerAKHLAK")</f>
        <v>10125_SURIADI _ SERTIFIKAT BerAKHLAK</v>
      </c>
      <c r="P10126" s="5" t="s">
        <v>62392</v>
      </c>
    </row>
    <row r="10127">
      <c r="A10127" s="4">
        <v>45534.606869560186</v>
      </c>
      <c r="B10127" s="5" t="s">
        <v>34</v>
      </c>
      <c r="D10127" s="5" t="s">
        <v>1456</v>
      </c>
      <c r="E10127" s="5" t="s">
        <v>62415</v>
      </c>
      <c r="F10127" s="5" t="s">
        <v>37</v>
      </c>
      <c r="G10127" s="5" t="s">
        <v>62416</v>
      </c>
      <c r="H10127" s="6" t="s">
        <v>62417</v>
      </c>
      <c r="K10127" s="5" t="s">
        <v>62418</v>
      </c>
      <c r="M10127" s="5" t="s">
        <v>62419</v>
      </c>
      <c r="N10127" s="7" t="s">
        <v>62420</v>
      </c>
      <c r="O10127" s="8" t="str">
        <f>HYPERLINK("https://drive.google.com/file/d/172So-nLC2vihU_GmhEXGCk_uWv8E-Eyn/view?usp=drivesdk","10126_KRIS VEDYASTUTI, A.Md.Kep _ SERTIFIKAT BerAKHLAK")</f>
        <v>10126_KRIS VEDYASTUTI, A.Md.Kep _ SERTIFIKAT BerAKHLAK</v>
      </c>
      <c r="P10127" s="5" t="s">
        <v>62421</v>
      </c>
    </row>
    <row r="10128">
      <c r="A10128" s="4">
        <v>45534.606985185186</v>
      </c>
      <c r="B10128" s="5" t="s">
        <v>34</v>
      </c>
      <c r="D10128" s="5" t="s">
        <v>522</v>
      </c>
      <c r="E10128" s="5" t="s">
        <v>62422</v>
      </c>
      <c r="F10128" s="5" t="s">
        <v>37</v>
      </c>
      <c r="G10128" s="5" t="s">
        <v>62423</v>
      </c>
      <c r="H10128" s="6" t="s">
        <v>62424</v>
      </c>
      <c r="K10128" s="5" t="s">
        <v>62425</v>
      </c>
      <c r="M10128" s="5" t="s">
        <v>62426</v>
      </c>
      <c r="N10128" s="7" t="s">
        <v>62427</v>
      </c>
      <c r="O10128" s="8" t="str">
        <f>HYPERLINK("https://drive.google.com/file/d/1WSVJTOTKGoYGRgkg28vI95bd1ByrJTmk/view?usp=drivesdk","10127_NURUL HIDAYATI _ SERTIFIKAT BerAKHLAK")</f>
        <v>10127_NURUL HIDAYATI _ SERTIFIKAT BerAKHLAK</v>
      </c>
      <c r="P10128" s="5" t="s">
        <v>62421</v>
      </c>
    </row>
    <row r="10129" hidden="1">
      <c r="A10129" s="4">
        <v>45534.607530381945</v>
      </c>
      <c r="B10129" s="5" t="s">
        <v>19</v>
      </c>
      <c r="C10129" s="5" t="s">
        <v>292</v>
      </c>
      <c r="E10129" s="5" t="s">
        <v>62428</v>
      </c>
      <c r="F10129" s="5" t="s">
        <v>72</v>
      </c>
      <c r="G10129" s="5" t="s">
        <v>62429</v>
      </c>
      <c r="H10129" s="6" t="s">
        <v>62430</v>
      </c>
      <c r="K10129" s="5" t="s">
        <v>62431</v>
      </c>
      <c r="M10129" s="5" t="s">
        <v>62432</v>
      </c>
      <c r="N10129" s="7" t="s">
        <v>62433</v>
      </c>
      <c r="O10129" s="8" t="str">
        <f>HYPERLINK("https://drive.google.com/file/d/1BWFsz_NydKc-38-TbMaSXnT1zWMswACU/view?usp=drivesdk","10128_WITA SITI FAUZIAH, S.Pd _ SERTIFIKAT BerAKHLAK")</f>
        <v>10128_WITA SITI FAUZIAH, S.Pd _ SERTIFIKAT BerAKHLAK</v>
      </c>
      <c r="P10129" s="5" t="s">
        <v>62421</v>
      </c>
    </row>
    <row r="10130">
      <c r="A10130" s="4">
        <v>45534.608833171296</v>
      </c>
      <c r="B10130" s="5" t="s">
        <v>34</v>
      </c>
      <c r="D10130" s="5" t="s">
        <v>15401</v>
      </c>
      <c r="E10130" s="5" t="s">
        <v>55376</v>
      </c>
      <c r="F10130" s="5" t="s">
        <v>108</v>
      </c>
      <c r="G10130" s="5" t="s">
        <v>62434</v>
      </c>
      <c r="H10130" s="6" t="s">
        <v>62435</v>
      </c>
      <c r="K10130" s="5" t="s">
        <v>62436</v>
      </c>
      <c r="M10130" s="5" t="s">
        <v>62437</v>
      </c>
      <c r="N10130" s="7" t="s">
        <v>62438</v>
      </c>
      <c r="O10130" s="8" t="str">
        <f>HYPERLINK("https://drive.google.com/file/d/1FFFYhaozQcwWLRkM8RKR0u_aRiYT7IJS/view?usp=drivesdk","10129_HERMAN, S.E. _ SERTIFIKAT BerAKHLAK")</f>
        <v>10129_HERMAN, S.E. _ SERTIFIKAT BerAKHLAK</v>
      </c>
      <c r="P10130" s="5" t="s">
        <v>62421</v>
      </c>
    </row>
    <row r="10131">
      <c r="A10131" s="4">
        <v>45534.60982145833</v>
      </c>
      <c r="B10131" s="5" t="s">
        <v>34</v>
      </c>
      <c r="D10131" s="5" t="s">
        <v>2903</v>
      </c>
      <c r="E10131" s="5" t="s">
        <v>62439</v>
      </c>
      <c r="F10131" s="5" t="s">
        <v>715</v>
      </c>
      <c r="G10131" s="5" t="s">
        <v>62440</v>
      </c>
      <c r="H10131" s="6" t="s">
        <v>62441</v>
      </c>
      <c r="K10131" s="5" t="s">
        <v>62442</v>
      </c>
      <c r="M10131" s="5" t="s">
        <v>62443</v>
      </c>
      <c r="N10131" s="7" t="s">
        <v>62444</v>
      </c>
      <c r="O10131" s="8" t="str">
        <f>HYPERLINK("https://drive.google.com/file/d/1QNwlOBlQtUduvZZ4EuW1olPo2xJ9sJ82/view?usp=drivesdk","10130_WIJI RAHAYU AMD. KEP _ SERTIFIKAT BerAKHLAK")</f>
        <v>10130_WIJI RAHAYU AMD. KEP _ SERTIFIKAT BerAKHLAK</v>
      </c>
      <c r="P10131" s="5" t="s">
        <v>62421</v>
      </c>
    </row>
    <row r="10132" hidden="1">
      <c r="A10132" s="4">
        <v>45534.61049851852</v>
      </c>
      <c r="B10132" s="5" t="s">
        <v>19</v>
      </c>
      <c r="C10132" s="5" t="s">
        <v>442</v>
      </c>
      <c r="E10132" s="5" t="s">
        <v>62445</v>
      </c>
      <c r="F10132" s="5" t="s">
        <v>108</v>
      </c>
      <c r="G10132" s="5" t="s">
        <v>62446</v>
      </c>
      <c r="H10132" s="6" t="s">
        <v>62447</v>
      </c>
      <c r="K10132" s="5" t="s">
        <v>62442</v>
      </c>
      <c r="M10132" s="5" t="s">
        <v>62448</v>
      </c>
      <c r="N10132" s="7" t="s">
        <v>62449</v>
      </c>
      <c r="O10132" s="8" t="str">
        <f>HYPERLINK("https://drive.google.com/file/d/1OOIIh_Ibn4pvPBjTwflQmt4PdlzzYFVl/view?usp=drivesdk","10131_DINA HINDAYANI, SE _ SERTIFIKAT BerAKHLAK")</f>
        <v>10131_DINA HINDAYANI, SE _ SERTIFIKAT BerAKHLAK</v>
      </c>
      <c r="P10132" s="5" t="s">
        <v>62421</v>
      </c>
    </row>
    <row r="10133">
      <c r="A10133" s="4">
        <v>45534.612768611114</v>
      </c>
      <c r="B10133" s="5" t="s">
        <v>34</v>
      </c>
      <c r="D10133" s="5" t="s">
        <v>1206</v>
      </c>
      <c r="E10133" s="5" t="s">
        <v>18938</v>
      </c>
      <c r="F10133" s="5" t="s">
        <v>212</v>
      </c>
      <c r="G10133" s="5" t="s">
        <v>62450</v>
      </c>
      <c r="H10133" s="6" t="s">
        <v>62451</v>
      </c>
      <c r="K10133" s="5" t="s">
        <v>62452</v>
      </c>
      <c r="M10133" s="5" t="s">
        <v>62453</v>
      </c>
      <c r="N10133" s="7" t="s">
        <v>62454</v>
      </c>
      <c r="O10133" s="8" t="str">
        <f>HYPERLINK("https://drive.google.com/file/d/1zlR-sY88kqn-d7WWdLPl_E5N2io_e8e1/view?usp=drivesdk","10132_FATMAWATI _ SERTIFIKAT BerAKHLAK")</f>
        <v>10132_FATMAWATI _ SERTIFIKAT BerAKHLAK</v>
      </c>
      <c r="P10133" s="5" t="s">
        <v>62455</v>
      </c>
    </row>
    <row r="10134">
      <c r="A10134" s="4">
        <v>45534.6129728588</v>
      </c>
      <c r="B10134" s="5" t="s">
        <v>34</v>
      </c>
      <c r="D10134" s="5" t="s">
        <v>4775</v>
      </c>
      <c r="E10134" s="5" t="s">
        <v>62456</v>
      </c>
      <c r="F10134" s="5" t="s">
        <v>212</v>
      </c>
      <c r="G10134" s="5" t="s">
        <v>62457</v>
      </c>
      <c r="H10134" s="6" t="s">
        <v>62458</v>
      </c>
      <c r="K10134" s="5" t="s">
        <v>62459</v>
      </c>
      <c r="M10134" s="5" t="s">
        <v>62460</v>
      </c>
      <c r="N10134" s="7" t="s">
        <v>62461</v>
      </c>
      <c r="O10134" s="8" t="str">
        <f>HYPERLINK("https://drive.google.com/file/d/1c7N4jsFFGgr96fSs_xmI3W06EwxauY_i/view?usp=drivesdk","10133_RIZKA ADELLA MUTIARA, A.Md.Kep _ SERTIFIKAT BerAKHLAK")</f>
        <v>10133_RIZKA ADELLA MUTIARA, A.Md.Kep _ SERTIFIKAT BerAKHLAK</v>
      </c>
      <c r="P10134" s="5" t="s">
        <v>62455</v>
      </c>
    </row>
    <row r="10135">
      <c r="A10135" s="4">
        <v>45534.614203749996</v>
      </c>
      <c r="B10135" s="5" t="s">
        <v>34</v>
      </c>
      <c r="D10135" s="5" t="s">
        <v>522</v>
      </c>
      <c r="E10135" s="5" t="s">
        <v>62462</v>
      </c>
      <c r="F10135" s="5" t="s">
        <v>72</v>
      </c>
      <c r="G10135" s="5" t="s">
        <v>62463</v>
      </c>
      <c r="H10135" s="6" t="s">
        <v>62464</v>
      </c>
      <c r="K10135" s="5" t="s">
        <v>62465</v>
      </c>
      <c r="M10135" s="5" t="s">
        <v>62466</v>
      </c>
      <c r="N10135" s="7" t="s">
        <v>62467</v>
      </c>
      <c r="O10135" s="8" t="str">
        <f>HYPERLINK("https://drive.google.com/file/d/1MgC8NHPsXvdgHP8dWHWqSQOszaTJC9k8/view?usp=drivesdk","10134_PUTU NOPI SUARTATI, A.Md.Kep. _ SERTIFIKAT BerAKHLAK")</f>
        <v>10134_PUTU NOPI SUARTATI, A.Md.Kep. _ SERTIFIKAT BerAKHLAK</v>
      </c>
      <c r="P10135" s="5" t="s">
        <v>62455</v>
      </c>
    </row>
    <row r="10136" hidden="1">
      <c r="A10136" s="4">
        <v>45534.61423789352</v>
      </c>
      <c r="B10136" s="5" t="s">
        <v>19</v>
      </c>
      <c r="C10136" s="5" t="s">
        <v>14000</v>
      </c>
      <c r="E10136" s="5" t="s">
        <v>33755</v>
      </c>
      <c r="F10136" s="5" t="s">
        <v>37</v>
      </c>
      <c r="G10136" s="5" t="s">
        <v>62468</v>
      </c>
      <c r="H10136" s="6" t="s">
        <v>62469</v>
      </c>
      <c r="K10136" s="5" t="s">
        <v>62465</v>
      </c>
      <c r="M10136" s="5" t="s">
        <v>62470</v>
      </c>
      <c r="N10136" s="7" t="s">
        <v>62471</v>
      </c>
      <c r="O10136" s="8" t="str">
        <f>HYPERLINK("https://drive.google.com/file/d/1l9gryjWbbcrUdTqCrq-1lkMRZkAjCfA_/view?usp=drivesdk","10135_NURJANAH _ SERTIFIKAT BerAKHLAK")</f>
        <v>10135_NURJANAH _ SERTIFIKAT BerAKHLAK</v>
      </c>
      <c r="P10136" s="5" t="s">
        <v>62472</v>
      </c>
    </row>
    <row r="10137">
      <c r="A10137" s="4">
        <v>45534.61486045139</v>
      </c>
      <c r="B10137" s="5" t="s">
        <v>34</v>
      </c>
      <c r="D10137" s="5" t="s">
        <v>4775</v>
      </c>
      <c r="E10137" s="5" t="s">
        <v>62473</v>
      </c>
      <c r="F10137" s="5" t="s">
        <v>212</v>
      </c>
      <c r="G10137" s="5" t="s">
        <v>62474</v>
      </c>
      <c r="H10137" s="6" t="s">
        <v>62475</v>
      </c>
      <c r="K10137" s="5" t="s">
        <v>62476</v>
      </c>
      <c r="M10137" s="5" t="s">
        <v>62477</v>
      </c>
      <c r="N10137" s="7" t="s">
        <v>62478</v>
      </c>
      <c r="O10137" s="8" t="str">
        <f>HYPERLINK("https://drive.google.com/file/d/1yYMh75nNQCRvMgbicZaDOrbFXgIQKe2n/view?usp=drivesdk","10136_DADANG VIVIT LUKIYANTO _ SERTIFIKAT BerAKHLAK")</f>
        <v>10136_DADANG VIVIT LUKIYANTO _ SERTIFIKAT BerAKHLAK</v>
      </c>
      <c r="P10137" s="5" t="s">
        <v>62479</v>
      </c>
    </row>
    <row r="10138">
      <c r="A10138" s="4">
        <v>45534.61525915509</v>
      </c>
      <c r="B10138" s="5" t="s">
        <v>34</v>
      </c>
      <c r="D10138" s="5" t="s">
        <v>9020</v>
      </c>
      <c r="E10138" s="5" t="s">
        <v>62480</v>
      </c>
      <c r="F10138" s="5" t="s">
        <v>212</v>
      </c>
      <c r="G10138" s="5" t="s">
        <v>62481</v>
      </c>
      <c r="H10138" s="6" t="s">
        <v>62482</v>
      </c>
      <c r="K10138" s="5" t="s">
        <v>62483</v>
      </c>
      <c r="M10138" s="5" t="s">
        <v>62484</v>
      </c>
      <c r="N10138" s="7" t="s">
        <v>62485</v>
      </c>
      <c r="O10138" s="8" t="str">
        <f>HYPERLINK("https://drive.google.com/file/d/1a_zkLpqRXd0Xqt5-3prxAdkm7aFkjQkY/view?usp=drivesdk","10137_LAMRIA HASUDUNGAN br. TUMANGGOR _ SERTIFIKAT BerAKHLAK")</f>
        <v>10137_LAMRIA HASUDUNGAN br. TUMANGGOR _ SERTIFIKAT BerAKHLAK</v>
      </c>
      <c r="P10138" s="5" t="s">
        <v>62479</v>
      </c>
    </row>
    <row r="10139">
      <c r="A10139" s="4">
        <v>45534.61543287037</v>
      </c>
      <c r="B10139" s="5" t="s">
        <v>34</v>
      </c>
      <c r="D10139" s="5" t="s">
        <v>9020</v>
      </c>
      <c r="E10139" s="5" t="s">
        <v>62486</v>
      </c>
      <c r="F10139" s="5" t="s">
        <v>212</v>
      </c>
      <c r="G10139" s="5" t="s">
        <v>62487</v>
      </c>
      <c r="H10139" s="6" t="s">
        <v>62488</v>
      </c>
      <c r="K10139" s="5" t="s">
        <v>62489</v>
      </c>
      <c r="M10139" s="5" t="s">
        <v>62490</v>
      </c>
      <c r="N10139" s="7" t="s">
        <v>62491</v>
      </c>
      <c r="O10139" s="8" t="str">
        <f>HYPERLINK("https://drive.google.com/file/d/1HuWWGY9OsOJj2WcM6dvQGAK4QsGgqg_t/view?usp=drivesdk","10138_DEWI ULFAH  _ SERTIFIKAT BerAKHLAK")</f>
        <v>10138_DEWI ULFAH  _ SERTIFIKAT BerAKHLAK</v>
      </c>
      <c r="P10139" s="5" t="s">
        <v>62479</v>
      </c>
    </row>
    <row r="10140" hidden="1">
      <c r="A10140" s="4">
        <v>45534.61638425926</v>
      </c>
      <c r="B10140" s="5" t="s">
        <v>19</v>
      </c>
      <c r="C10140" s="5" t="s">
        <v>466</v>
      </c>
      <c r="E10140" s="5" t="s">
        <v>62492</v>
      </c>
      <c r="F10140" s="5" t="s">
        <v>72</v>
      </c>
      <c r="G10140" s="5" t="s">
        <v>62493</v>
      </c>
      <c r="H10140" s="6" t="s">
        <v>62494</v>
      </c>
      <c r="K10140" s="5" t="s">
        <v>62495</v>
      </c>
      <c r="M10140" s="5" t="s">
        <v>62496</v>
      </c>
      <c r="N10140" s="7" t="s">
        <v>62497</v>
      </c>
      <c r="O10140" s="8" t="str">
        <f>HYPERLINK("https://drive.google.com/file/d/1lJ6HSyAnWxDb113sfr_utbJE4CL8B4p4/view?usp=drivesdk","10139_ISHAK A _ SERTIFIKAT BerAKHLAK")</f>
        <v>10139_ISHAK A _ SERTIFIKAT BerAKHLAK</v>
      </c>
      <c r="P10140" s="5" t="s">
        <v>62479</v>
      </c>
    </row>
    <row r="10141">
      <c r="A10141" s="4">
        <v>45534.61691488426</v>
      </c>
      <c r="B10141" s="5" t="s">
        <v>34</v>
      </c>
      <c r="D10141" s="5" t="s">
        <v>9394</v>
      </c>
      <c r="E10141" s="5" t="s">
        <v>62498</v>
      </c>
      <c r="F10141" s="5" t="s">
        <v>72</v>
      </c>
      <c r="G10141" s="5" t="s">
        <v>62499</v>
      </c>
      <c r="H10141" s="6" t="s">
        <v>62500</v>
      </c>
      <c r="K10141" s="5" t="s">
        <v>62495</v>
      </c>
      <c r="M10141" s="5" t="s">
        <v>62501</v>
      </c>
      <c r="N10141" s="7" t="s">
        <v>62502</v>
      </c>
      <c r="O10141" s="8" t="str">
        <f>HYPERLINK("https://drive.google.com/file/d/1RUdIjCa4ThDyGp8pU9pad2LTNLJucvQf/view?usp=drivesdk","10140_MAINUR  _ SERTIFIKAT BerAKHLAK")</f>
        <v>10140_MAINUR  _ SERTIFIKAT BerAKHLAK</v>
      </c>
      <c r="P10141" s="5" t="s">
        <v>62479</v>
      </c>
    </row>
    <row r="10142">
      <c r="A10142" s="4">
        <v>45534.61904535879</v>
      </c>
      <c r="B10142" s="5" t="s">
        <v>34</v>
      </c>
      <c r="D10142" s="5" t="s">
        <v>9020</v>
      </c>
      <c r="E10142" s="5" t="s">
        <v>62503</v>
      </c>
      <c r="F10142" s="5" t="s">
        <v>524</v>
      </c>
      <c r="G10142" s="5" t="s">
        <v>62504</v>
      </c>
      <c r="H10142" s="6" t="s">
        <v>62505</v>
      </c>
      <c r="K10142" s="5" t="s">
        <v>62506</v>
      </c>
      <c r="M10142" s="5" t="s">
        <v>62507</v>
      </c>
      <c r="N10142" s="7" t="s">
        <v>62508</v>
      </c>
      <c r="O10142" s="8" t="str">
        <f>HYPERLINK("https://drive.google.com/file/d/1S1w9vYL-akSEJ0R7vToFQWxuXnWkGhB2/view?usp=drivesdk","10141_ANITA SRI WAHYUNI DAULAY _ SERTIFIKAT BerAKHLAK")</f>
        <v>10141_ANITA SRI WAHYUNI DAULAY _ SERTIFIKAT BerAKHLAK</v>
      </c>
      <c r="P10142" s="5" t="s">
        <v>62509</v>
      </c>
    </row>
    <row r="10143" hidden="1">
      <c r="A10143" s="4">
        <v>45534.620402685185</v>
      </c>
      <c r="B10143" s="5" t="s">
        <v>19</v>
      </c>
      <c r="C10143" s="5" t="s">
        <v>14000</v>
      </c>
      <c r="E10143" s="5" t="s">
        <v>62510</v>
      </c>
      <c r="F10143" s="5" t="s">
        <v>37</v>
      </c>
      <c r="G10143" s="5" t="s">
        <v>62511</v>
      </c>
      <c r="H10143" s="6" t="s">
        <v>62512</v>
      </c>
      <c r="K10143" s="5" t="s">
        <v>62506</v>
      </c>
      <c r="M10143" s="5" t="s">
        <v>62513</v>
      </c>
      <c r="N10143" s="7" t="s">
        <v>62514</v>
      </c>
      <c r="O10143" s="8" t="str">
        <f>HYPERLINK("https://drive.google.com/file/d/1fi8YQESJ9E7QJ2GvXarfpcu_noovuo5W/view?usp=drivesdk","10142_KUSWANTO  _ SERTIFIKAT BerAKHLAK")</f>
        <v>10142_KUSWANTO  _ SERTIFIKAT BerAKHLAK</v>
      </c>
      <c r="P10143" s="5" t="s">
        <v>62509</v>
      </c>
    </row>
    <row r="10144">
      <c r="A10144" s="4">
        <v>45534.62107043981</v>
      </c>
      <c r="B10144" s="5" t="s">
        <v>34</v>
      </c>
      <c r="D10144" s="5" t="s">
        <v>4775</v>
      </c>
      <c r="E10144" s="5" t="s">
        <v>62515</v>
      </c>
      <c r="F10144" s="5" t="s">
        <v>375</v>
      </c>
      <c r="G10144" s="5" t="s">
        <v>62516</v>
      </c>
      <c r="H10144" s="6" t="s">
        <v>62517</v>
      </c>
      <c r="K10144" s="5" t="s">
        <v>62518</v>
      </c>
      <c r="M10144" s="5" t="s">
        <v>62519</v>
      </c>
      <c r="N10144" s="7" t="s">
        <v>62520</v>
      </c>
      <c r="O10144" s="8" t="str">
        <f>HYPERLINK("https://drive.google.com/file/d/1VuwWwGgq9v77MC2RGGd-C-cGFqFl4HGm/view?usp=drivesdk","10143_NI WAYAN WEDA KUSUMAWATI, S E. _ SERTIFIKAT BerAKHLAK")</f>
        <v>10143_NI WAYAN WEDA KUSUMAWATI, S E. _ SERTIFIKAT BerAKHLAK</v>
      </c>
      <c r="P10144" s="5" t="s">
        <v>62509</v>
      </c>
    </row>
    <row r="10145">
      <c r="A10145" s="4">
        <v>45534.62169083333</v>
      </c>
      <c r="B10145" s="5" t="s">
        <v>34</v>
      </c>
      <c r="D10145" s="5" t="s">
        <v>522</v>
      </c>
      <c r="E10145" s="5" t="s">
        <v>19050</v>
      </c>
      <c r="F10145" s="5" t="s">
        <v>120</v>
      </c>
      <c r="G10145" s="5" t="s">
        <v>62521</v>
      </c>
      <c r="H10145" s="6" t="s">
        <v>62522</v>
      </c>
      <c r="K10145" s="5" t="s">
        <v>62518</v>
      </c>
      <c r="M10145" s="5" t="s">
        <v>62523</v>
      </c>
      <c r="N10145" s="7" t="s">
        <v>62524</v>
      </c>
      <c r="O10145" s="8" t="str">
        <f>HYPERLINK("https://drive.google.com/file/d/1MrVsAT_8ydkHFDobiaCrmhcIKYErXQZf/view?usp=drivesdk","10144_MUNANDAR _ SERTIFIKAT BerAKHLAK")</f>
        <v>10144_MUNANDAR _ SERTIFIKAT BerAKHLAK</v>
      </c>
      <c r="P10145" s="5" t="s">
        <v>62509</v>
      </c>
    </row>
    <row r="10146">
      <c r="A10146" s="4">
        <v>45534.62187857639</v>
      </c>
      <c r="B10146" s="5" t="s">
        <v>34</v>
      </c>
      <c r="D10146" s="5" t="s">
        <v>522</v>
      </c>
      <c r="E10146" s="5" t="s">
        <v>62525</v>
      </c>
      <c r="F10146" s="5" t="s">
        <v>108</v>
      </c>
      <c r="G10146" s="5" t="s">
        <v>62526</v>
      </c>
      <c r="H10146" s="6" t="s">
        <v>62527</v>
      </c>
      <c r="K10146" s="5" t="s">
        <v>62518</v>
      </c>
      <c r="M10146" s="5" t="s">
        <v>62528</v>
      </c>
      <c r="N10146" s="7" t="s">
        <v>62529</v>
      </c>
      <c r="O10146" s="8" t="str">
        <f>HYPERLINK("https://drive.google.com/file/d/15m1kM7w_2w-y2HBUMWTjwz2TVCdxP70U/view?usp=drivesdk","10145_dr. I DESAK KAYAN LESTI DINIARI _ SERTIFIKAT BerAKHLAK")</f>
        <v>10145_dr. I DESAK KAYAN LESTI DINIARI _ SERTIFIKAT BerAKHLAK</v>
      </c>
      <c r="P10146" s="5" t="s">
        <v>62509</v>
      </c>
    </row>
    <row r="10147">
      <c r="A10147" s="4">
        <v>45534.62230116898</v>
      </c>
      <c r="B10147" s="5" t="s">
        <v>34</v>
      </c>
      <c r="D10147" s="5" t="s">
        <v>580</v>
      </c>
      <c r="E10147" s="5" t="s">
        <v>62530</v>
      </c>
      <c r="F10147" s="5" t="s">
        <v>37</v>
      </c>
      <c r="G10147" s="5" t="s">
        <v>62531</v>
      </c>
      <c r="H10147" s="6" t="s">
        <v>62532</v>
      </c>
      <c r="K10147" s="5" t="s">
        <v>62533</v>
      </c>
      <c r="M10147" s="5" t="s">
        <v>62534</v>
      </c>
      <c r="N10147" s="7" t="s">
        <v>62535</v>
      </c>
      <c r="O10147" s="8" t="str">
        <f>HYPERLINK("https://drive.google.com/file/d/1k7uQZcAS2uBel5OFnTjJrn7JCrpYjg1I/view?usp=drivesdk","10146_ANGGRAINI _ SERTIFIKAT BerAKHLAK")</f>
        <v>10146_ANGGRAINI _ SERTIFIKAT BerAKHLAK</v>
      </c>
      <c r="P10147" s="5" t="s">
        <v>62509</v>
      </c>
    </row>
    <row r="10148">
      <c r="A10148" s="4">
        <v>45534.622701782406</v>
      </c>
      <c r="B10148" s="5" t="s">
        <v>34</v>
      </c>
      <c r="D10148" s="5" t="s">
        <v>14313</v>
      </c>
      <c r="E10148" s="5" t="s">
        <v>62536</v>
      </c>
      <c r="F10148" s="5" t="s">
        <v>715</v>
      </c>
      <c r="G10148" s="5" t="s">
        <v>62537</v>
      </c>
      <c r="H10148" s="6" t="s">
        <v>62538</v>
      </c>
      <c r="K10148" s="5" t="s">
        <v>62539</v>
      </c>
      <c r="M10148" s="5" t="s">
        <v>62540</v>
      </c>
      <c r="N10148" s="7" t="s">
        <v>62541</v>
      </c>
      <c r="O10148" s="8" t="str">
        <f>HYPERLINK("https://drive.google.com/file/d/1GEePeR8HkdLlUo6LA7zS1xQju7mQJkqf/view?usp=drivesdk","10147_SURIATI,SH _ SERTIFIKAT BerAKHLAK")</f>
        <v>10147_SURIATI,SH _ SERTIFIKAT BerAKHLAK</v>
      </c>
      <c r="P10148" s="5" t="s">
        <v>62542</v>
      </c>
    </row>
    <row r="10149">
      <c r="A10149" s="4">
        <v>45534.62370177083</v>
      </c>
      <c r="B10149" s="5" t="s">
        <v>34</v>
      </c>
      <c r="D10149" s="5" t="s">
        <v>580</v>
      </c>
      <c r="E10149" s="5" t="s">
        <v>62543</v>
      </c>
      <c r="F10149" s="5" t="s">
        <v>37</v>
      </c>
      <c r="G10149" s="5" t="s">
        <v>62544</v>
      </c>
      <c r="H10149" s="6" t="s">
        <v>62545</v>
      </c>
      <c r="K10149" s="5" t="s">
        <v>62546</v>
      </c>
      <c r="M10149" s="5" t="s">
        <v>62547</v>
      </c>
      <c r="N10149" s="7" t="s">
        <v>62548</v>
      </c>
      <c r="O10149" s="8" t="str">
        <f>HYPERLINK("https://drive.google.com/file/d/1mdUAPTIFDADeLLQpaFNWzOC5DtOESGY0/view?usp=drivesdk","10148_I WAYAN KAWIARTA _ SERTIFIKAT BerAKHLAK")</f>
        <v>10148_I WAYAN KAWIARTA _ SERTIFIKAT BerAKHLAK</v>
      </c>
      <c r="P10149" s="5" t="s">
        <v>62542</v>
      </c>
    </row>
    <row r="10150">
      <c r="A10150" s="4">
        <v>45534.62406663194</v>
      </c>
      <c r="B10150" s="5" t="s">
        <v>34</v>
      </c>
      <c r="D10150" s="5" t="s">
        <v>1692</v>
      </c>
      <c r="E10150" s="5" t="s">
        <v>62549</v>
      </c>
      <c r="F10150" s="5" t="s">
        <v>72</v>
      </c>
      <c r="G10150" s="5" t="s">
        <v>62550</v>
      </c>
      <c r="H10150" s="6" t="s">
        <v>62551</v>
      </c>
      <c r="K10150" s="5" t="s">
        <v>62552</v>
      </c>
      <c r="M10150" s="5" t="s">
        <v>62553</v>
      </c>
      <c r="N10150" s="7" t="s">
        <v>62554</v>
      </c>
      <c r="O10150" s="8" t="str">
        <f>HYPERLINK("https://drive.google.com/file/d/1TqQ2mnir8qfSj9LAjkf0bDAofSIgYAgG/view?usp=drivesdk","10149_dr Urai Rani Fatmawasi _ SERTIFIKAT BerAKHLAK")</f>
        <v>10149_dr Urai Rani Fatmawasi _ SERTIFIKAT BerAKHLAK</v>
      </c>
      <c r="P10150" s="5" t="s">
        <v>62542</v>
      </c>
    </row>
    <row r="10151">
      <c r="A10151" s="4">
        <v>45534.62460701389</v>
      </c>
      <c r="B10151" s="5" t="s">
        <v>34</v>
      </c>
      <c r="D10151" s="5" t="s">
        <v>522</v>
      </c>
      <c r="E10151" s="5" t="s">
        <v>62555</v>
      </c>
      <c r="F10151" s="5" t="s">
        <v>72</v>
      </c>
      <c r="G10151" s="5" t="s">
        <v>62556</v>
      </c>
      <c r="H10151" s="6" t="s">
        <v>62557</v>
      </c>
      <c r="K10151" s="5" t="s">
        <v>62558</v>
      </c>
      <c r="M10151" s="5" t="s">
        <v>62559</v>
      </c>
      <c r="N10151" s="7" t="s">
        <v>62560</v>
      </c>
      <c r="O10151" s="8" t="str">
        <f>HYPERLINK("https://drive.google.com/file/d/18XPlQkUCqkCJWJJR1AHKpx800JwdS-lO/view?usp=drivesdk","10150_HENI HURIYANTI  AMK.KEP S.AP _ SERTIFIKAT BerAKHLAK")</f>
        <v>10150_HENI HURIYANTI  AMK.KEP S.AP _ SERTIFIKAT BerAKHLAK</v>
      </c>
      <c r="P10151" s="5" t="s">
        <v>62542</v>
      </c>
    </row>
    <row r="10152">
      <c r="A10152" s="4">
        <v>45534.626592002314</v>
      </c>
      <c r="B10152" s="5" t="s">
        <v>34</v>
      </c>
      <c r="D10152" s="5" t="s">
        <v>522</v>
      </c>
      <c r="E10152" s="5" t="s">
        <v>62561</v>
      </c>
      <c r="F10152" s="5" t="s">
        <v>37</v>
      </c>
      <c r="G10152" s="5" t="s">
        <v>62562</v>
      </c>
      <c r="H10152" s="6" t="s">
        <v>62563</v>
      </c>
      <c r="K10152" s="5" t="s">
        <v>62564</v>
      </c>
      <c r="M10152" s="5" t="s">
        <v>62565</v>
      </c>
      <c r="N10152" s="7" t="s">
        <v>62566</v>
      </c>
      <c r="O10152" s="8" t="str">
        <f>HYPERLINK("https://drive.google.com/file/d/1pGo8qcr75qxtKbjdxKQtA_WKDyLfjudL/view?usp=drivesdk","10151_ZUHARI ARDHIANSYAH  _ SERTIFIKAT BerAKHLAK")</f>
        <v>10151_ZUHARI ARDHIANSYAH  _ SERTIFIKAT BerAKHLAK</v>
      </c>
      <c r="P10152" s="5" t="s">
        <v>62542</v>
      </c>
    </row>
    <row r="10153">
      <c r="A10153" s="4">
        <v>45534.62704665509</v>
      </c>
      <c r="B10153" s="5" t="s">
        <v>34</v>
      </c>
      <c r="D10153" s="5" t="s">
        <v>522</v>
      </c>
      <c r="E10153" s="5" t="s">
        <v>62567</v>
      </c>
      <c r="F10153" s="5" t="s">
        <v>524</v>
      </c>
      <c r="G10153" s="5" t="s">
        <v>62568</v>
      </c>
      <c r="H10153" s="6" t="s">
        <v>62569</v>
      </c>
      <c r="K10153" s="5" t="s">
        <v>62570</v>
      </c>
      <c r="M10153" s="5" t="s">
        <v>62571</v>
      </c>
      <c r="N10153" s="7" t="s">
        <v>62572</v>
      </c>
      <c r="O10153" s="8" t="str">
        <f>HYPERLINK("https://drive.google.com/file/d/1TrHIZfrZfuHewnehoUg014Q3fVZzRhBt/view?usp=drivesdk","10152_NANANG KASIM, S.Kom. _ SERTIFIKAT BerAKHLAK")</f>
        <v>10152_NANANG KASIM, S.Kom. _ SERTIFIKAT BerAKHLAK</v>
      </c>
      <c r="P10153" s="5" t="s">
        <v>62542</v>
      </c>
    </row>
    <row r="10154">
      <c r="A10154" s="4">
        <v>45534.62725472222</v>
      </c>
      <c r="B10154" s="5" t="s">
        <v>34</v>
      </c>
      <c r="D10154" s="5" t="s">
        <v>35</v>
      </c>
      <c r="E10154" s="5" t="s">
        <v>62573</v>
      </c>
      <c r="F10154" s="5" t="s">
        <v>72</v>
      </c>
      <c r="G10154" s="5" t="s">
        <v>62574</v>
      </c>
      <c r="H10154" s="6" t="s">
        <v>62575</v>
      </c>
      <c r="K10154" s="5" t="s">
        <v>62576</v>
      </c>
      <c r="M10154" s="5" t="s">
        <v>62577</v>
      </c>
      <c r="N10154" s="7" t="s">
        <v>62578</v>
      </c>
      <c r="O10154" s="8" t="str">
        <f>HYPERLINK("https://drive.google.com/file/d/1xXIMKdwLlEniE8im-_LLpGDy6-GXZfCh/view?usp=drivesdk","10153_dr. IKHSAN MAULANA _ SERTIFIKAT BerAKHLAK")</f>
        <v>10153_dr. IKHSAN MAULANA _ SERTIFIKAT BerAKHLAK</v>
      </c>
      <c r="P10154" s="5" t="s">
        <v>62579</v>
      </c>
    </row>
    <row r="10155">
      <c r="A10155" s="4">
        <v>45534.6294490625</v>
      </c>
      <c r="B10155" s="5" t="s">
        <v>34</v>
      </c>
      <c r="D10155" s="5" t="s">
        <v>1206</v>
      </c>
      <c r="E10155" s="5" t="s">
        <v>62580</v>
      </c>
      <c r="F10155" s="5" t="s">
        <v>212</v>
      </c>
      <c r="G10155" s="5" t="s">
        <v>62581</v>
      </c>
      <c r="H10155" s="6" t="s">
        <v>62582</v>
      </c>
      <c r="K10155" s="5" t="s">
        <v>62583</v>
      </c>
      <c r="M10155" s="5" t="s">
        <v>62584</v>
      </c>
      <c r="N10155" s="7" t="s">
        <v>62585</v>
      </c>
      <c r="O10155" s="8" t="str">
        <f>HYPERLINK("https://drive.google.com/file/d/1xcjapjReT6Q7oAL4XnbodcVb788ifpAC/view?usp=drivesdk","10154_SLAMET BUDIYANTO _ SERTIFIKAT BerAKHLAK")</f>
        <v>10154_SLAMET BUDIYANTO _ SERTIFIKAT BerAKHLAK</v>
      </c>
      <c r="P10155" s="5" t="s">
        <v>62579</v>
      </c>
    </row>
    <row r="10156">
      <c r="A10156" s="4">
        <v>45534.6306315625</v>
      </c>
      <c r="B10156" s="5" t="s">
        <v>34</v>
      </c>
      <c r="D10156" s="5" t="s">
        <v>9394</v>
      </c>
      <c r="E10156" s="5" t="s">
        <v>62586</v>
      </c>
      <c r="F10156" s="5" t="s">
        <v>524</v>
      </c>
      <c r="G10156" s="5" t="s">
        <v>62587</v>
      </c>
      <c r="H10156" s="6" t="s">
        <v>62588</v>
      </c>
      <c r="K10156" s="5" t="s">
        <v>62583</v>
      </c>
      <c r="M10156" s="5" t="s">
        <v>62589</v>
      </c>
      <c r="N10156" s="7" t="s">
        <v>62590</v>
      </c>
      <c r="O10156" s="8" t="str">
        <f>HYPERLINK("https://drive.google.com/file/d/1yfT77rEo4nPGDsRntN2nRjl8NntqakR4/view?usp=drivesdk","10155_GLORIA DIANA PRICILIA MATONDANG,A.Md _ SERTIFIKAT BerAKHLAK")</f>
        <v>10155_GLORIA DIANA PRICILIA MATONDANG,A.Md _ SERTIFIKAT BerAKHLAK</v>
      </c>
      <c r="P10156" s="5" t="s">
        <v>62579</v>
      </c>
    </row>
    <row r="10157">
      <c r="A10157" s="4">
        <v>45534.63417042824</v>
      </c>
      <c r="B10157" s="5" t="s">
        <v>34</v>
      </c>
      <c r="D10157" s="5" t="s">
        <v>9394</v>
      </c>
      <c r="E10157" s="5" t="s">
        <v>62591</v>
      </c>
      <c r="F10157" s="5" t="s">
        <v>120</v>
      </c>
      <c r="G10157" s="5" t="s">
        <v>62592</v>
      </c>
      <c r="H10157" s="6" t="s">
        <v>62593</v>
      </c>
      <c r="K10157" s="5" t="s">
        <v>62594</v>
      </c>
      <c r="M10157" s="5" t="s">
        <v>62595</v>
      </c>
      <c r="N10157" s="7" t="s">
        <v>62596</v>
      </c>
      <c r="O10157" s="8" t="str">
        <f>HYPERLINK("https://drive.google.com/file/d/1hsMfWcEHwl5qUoAuJ9jNaqFsI4uFB5BW/view?usp=drivesdk","10156_NOVEMARIL, S.Kom. M.M _ SERTIFIKAT BerAKHLAK")</f>
        <v>10156_NOVEMARIL, S.Kom. M.M _ SERTIFIKAT BerAKHLAK</v>
      </c>
      <c r="P10157" s="5" t="s">
        <v>62579</v>
      </c>
    </row>
    <row r="10158">
      <c r="A10158" s="4">
        <v>45534.63553114583</v>
      </c>
      <c r="B10158" s="5" t="s">
        <v>34</v>
      </c>
      <c r="D10158" s="5" t="s">
        <v>11527</v>
      </c>
      <c r="E10158" s="5" t="s">
        <v>62597</v>
      </c>
      <c r="F10158" s="5" t="s">
        <v>212</v>
      </c>
      <c r="G10158" s="5" t="s">
        <v>62598</v>
      </c>
      <c r="H10158" s="6" t="s">
        <v>62599</v>
      </c>
      <c r="K10158" s="5" t="s">
        <v>62600</v>
      </c>
      <c r="M10158" s="5" t="s">
        <v>62601</v>
      </c>
      <c r="N10158" s="7" t="s">
        <v>62602</v>
      </c>
      <c r="O10158" s="8" t="str">
        <f>HYPERLINK("https://drive.google.com/file/d/1PBnHJwp2BdS5bTviKeZsKpIY4pVSFmEp/view?usp=drivesdk","10157_YESREEL KEN MOCODASER _ SERTIFIKAT BerAKHLAK")</f>
        <v>10157_YESREEL KEN MOCODASER _ SERTIFIKAT BerAKHLAK</v>
      </c>
      <c r="P10158" s="5" t="s">
        <v>62579</v>
      </c>
    </row>
    <row r="10159">
      <c r="A10159" s="4">
        <v>45534.63681814815</v>
      </c>
      <c r="B10159" s="5" t="s">
        <v>34</v>
      </c>
      <c r="D10159" s="5" t="s">
        <v>14313</v>
      </c>
      <c r="E10159" s="5" t="s">
        <v>62603</v>
      </c>
      <c r="F10159" s="5" t="s">
        <v>72</v>
      </c>
      <c r="G10159" s="5" t="s">
        <v>62604</v>
      </c>
      <c r="H10159" s="6" t="s">
        <v>62605</v>
      </c>
      <c r="K10159" s="5" t="s">
        <v>62606</v>
      </c>
      <c r="M10159" s="5" t="s">
        <v>62607</v>
      </c>
      <c r="N10159" s="7" t="s">
        <v>62608</v>
      </c>
      <c r="O10159" s="8" t="str">
        <f>HYPERLINK("https://drive.google.com/file/d/1HhcHXqwGlUDhWyDUgTCgUTmRItmKyXZp/view?usp=drivesdk","10158_HJ. MEGAWATY. W _ SERTIFIKAT BerAKHLAK")</f>
        <v>10158_HJ. MEGAWATY. W _ SERTIFIKAT BerAKHLAK</v>
      </c>
      <c r="P10159" s="5" t="s">
        <v>62609</v>
      </c>
    </row>
    <row r="10160">
      <c r="A10160" s="4">
        <v>45534.63735846065</v>
      </c>
      <c r="B10160" s="5" t="s">
        <v>34</v>
      </c>
      <c r="D10160" s="5" t="s">
        <v>1206</v>
      </c>
      <c r="E10160" s="5" t="s">
        <v>62610</v>
      </c>
      <c r="F10160" s="5" t="s">
        <v>72</v>
      </c>
      <c r="G10160" s="5" t="s">
        <v>62611</v>
      </c>
      <c r="H10160" s="6" t="s">
        <v>62612</v>
      </c>
      <c r="K10160" s="5" t="s">
        <v>62613</v>
      </c>
      <c r="M10160" s="5" t="s">
        <v>62614</v>
      </c>
      <c r="N10160" s="7" t="s">
        <v>62615</v>
      </c>
      <c r="O10160" s="8" t="str">
        <f>HYPERLINK("https://drive.google.com/file/d/1LXgC0F39zAM1yIb7vBEPROSyI0v-G0NX/view?usp=drivesdk","10159_DYAH PERTAMASARI _ SERTIFIKAT BerAKHLAK")</f>
        <v>10159_DYAH PERTAMASARI _ SERTIFIKAT BerAKHLAK</v>
      </c>
      <c r="P10160" s="5" t="s">
        <v>62609</v>
      </c>
    </row>
    <row r="10161">
      <c r="A10161" s="4">
        <v>45534.63950929398</v>
      </c>
      <c r="B10161" s="5" t="s">
        <v>34</v>
      </c>
      <c r="D10161" s="5" t="s">
        <v>4775</v>
      </c>
      <c r="E10161" s="5" t="s">
        <v>62616</v>
      </c>
      <c r="F10161" s="5" t="s">
        <v>120</v>
      </c>
      <c r="G10161" s="5" t="s">
        <v>54734</v>
      </c>
      <c r="H10161" s="6" t="s">
        <v>62617</v>
      </c>
      <c r="K10161" s="5" t="s">
        <v>62613</v>
      </c>
      <c r="M10161" s="5" t="s">
        <v>62618</v>
      </c>
      <c r="N10161" s="7" t="s">
        <v>62619</v>
      </c>
      <c r="O10161" s="8" t="str">
        <f>HYPERLINK("https://drive.google.com/file/d/1MUya6Fjps_yowD7ePsLwljbS0LUSer6H/view?usp=drivesdk","10160_RINI TRI ISMIYATI, S.H., M.M _ SERTIFIKAT BerAKHLAK")</f>
        <v>10160_RINI TRI ISMIYATI, S.H., M.M _ SERTIFIKAT BerAKHLAK</v>
      </c>
      <c r="P10161" s="5" t="s">
        <v>62609</v>
      </c>
    </row>
    <row r="10162">
      <c r="A10162" s="4">
        <v>45534.6403866551</v>
      </c>
      <c r="B10162" s="5" t="s">
        <v>34</v>
      </c>
      <c r="D10162" s="5" t="s">
        <v>3849</v>
      </c>
      <c r="E10162" s="5" t="s">
        <v>55002</v>
      </c>
      <c r="F10162" s="5" t="s">
        <v>72</v>
      </c>
      <c r="G10162" s="5" t="s">
        <v>62620</v>
      </c>
      <c r="H10162" s="6" t="s">
        <v>62621</v>
      </c>
      <c r="K10162" s="5" t="s">
        <v>62622</v>
      </c>
      <c r="M10162" s="5" t="s">
        <v>62623</v>
      </c>
      <c r="N10162" s="7" t="s">
        <v>62624</v>
      </c>
      <c r="O10162" s="8" t="str">
        <f>HYPERLINK("https://drive.google.com/file/d/1By-zxiOWH4zHWanTpstHGqa285ZfnKG6/view?usp=drivesdk","10161_LIA AFRINA _ SERTIFIKAT BerAKHLAK")</f>
        <v>10161_LIA AFRINA _ SERTIFIKAT BerAKHLAK</v>
      </c>
      <c r="P10162" s="5" t="s">
        <v>62609</v>
      </c>
    </row>
    <row r="10163">
      <c r="A10163" s="4">
        <v>45534.642877025464</v>
      </c>
      <c r="B10163" s="5" t="s">
        <v>34</v>
      </c>
      <c r="D10163" s="5" t="s">
        <v>11527</v>
      </c>
      <c r="E10163" s="5" t="s">
        <v>62625</v>
      </c>
      <c r="F10163" s="5" t="s">
        <v>212</v>
      </c>
      <c r="G10163" s="5" t="s">
        <v>62626</v>
      </c>
      <c r="H10163" s="6" t="s">
        <v>62627</v>
      </c>
      <c r="K10163" s="5" t="s">
        <v>62628</v>
      </c>
      <c r="M10163" s="5" t="s">
        <v>62629</v>
      </c>
      <c r="N10163" s="7" t="s">
        <v>62630</v>
      </c>
      <c r="O10163" s="8" t="str">
        <f>HYPERLINK("https://drive.google.com/file/d/1uE3aOe6TVdEZZaFxgOQzqTVKPW3Yrfy7/view?usp=drivesdk","10162_IWAN CARTENS BUIDA _ SERTIFIKAT BerAKHLAK")</f>
        <v>10162_IWAN CARTENS BUIDA _ SERTIFIKAT BerAKHLAK</v>
      </c>
      <c r="P10163" s="5" t="s">
        <v>62631</v>
      </c>
    </row>
    <row r="10164">
      <c r="A10164" s="4">
        <v>45534.643479756945</v>
      </c>
      <c r="B10164" s="5" t="s">
        <v>34</v>
      </c>
      <c r="D10164" s="5" t="s">
        <v>522</v>
      </c>
      <c r="E10164" s="5" t="s">
        <v>62632</v>
      </c>
      <c r="F10164" s="5" t="s">
        <v>37</v>
      </c>
      <c r="G10164" s="5" t="s">
        <v>62633</v>
      </c>
      <c r="H10164" s="6" t="s">
        <v>62634</v>
      </c>
      <c r="K10164" s="5" t="s">
        <v>62635</v>
      </c>
      <c r="M10164" s="5" t="s">
        <v>62636</v>
      </c>
      <c r="N10164" s="7" t="s">
        <v>62637</v>
      </c>
      <c r="O10164" s="8" t="str">
        <f>HYPERLINK("https://drive.google.com/file/d/1CB42-YENI5gSOLzMazxsb-5eEY87yQ1r/view?usp=drivesdk","10163_ZUBIYAN MUNANDAR, A.Md.Kep.  _ SERTIFIKAT BerAKHLAK")</f>
        <v>10163_ZUBIYAN MUNANDAR, A.Md.Kep.  _ SERTIFIKAT BerAKHLAK</v>
      </c>
      <c r="P10164" s="5" t="s">
        <v>62631</v>
      </c>
    </row>
    <row r="10165">
      <c r="A10165" s="4">
        <v>45534.64365407407</v>
      </c>
      <c r="B10165" s="5" t="s">
        <v>34</v>
      </c>
      <c r="D10165" s="5" t="s">
        <v>35</v>
      </c>
      <c r="E10165" s="5" t="s">
        <v>18801</v>
      </c>
      <c r="F10165" s="5" t="s">
        <v>37</v>
      </c>
      <c r="G10165" s="5" t="s">
        <v>62638</v>
      </c>
      <c r="H10165" s="6" t="s">
        <v>62639</v>
      </c>
      <c r="K10165" s="5" t="s">
        <v>62640</v>
      </c>
      <c r="M10165" s="5" t="s">
        <v>62641</v>
      </c>
      <c r="N10165" s="7" t="s">
        <v>62642</v>
      </c>
      <c r="O10165" s="8" t="str">
        <f>HYPERLINK("https://drive.google.com/file/d/1M31J_SC8_cSm9uHAgQ3B2J5QQElit7jj/view?usp=drivesdk","10164_DIAN MILHAN YASSIR _ SERTIFIKAT BerAKHLAK")</f>
        <v>10164_DIAN MILHAN YASSIR _ SERTIFIKAT BerAKHLAK</v>
      </c>
      <c r="P10165" s="5" t="s">
        <v>62631</v>
      </c>
    </row>
    <row r="10166" hidden="1">
      <c r="A10166" s="4">
        <v>45534.64451745371</v>
      </c>
      <c r="B10166" s="5" t="s">
        <v>19</v>
      </c>
      <c r="C10166" s="5" t="s">
        <v>466</v>
      </c>
      <c r="E10166" s="5" t="s">
        <v>62643</v>
      </c>
      <c r="F10166" s="5" t="s">
        <v>108</v>
      </c>
      <c r="G10166" s="5" t="s">
        <v>62644</v>
      </c>
      <c r="H10166" s="6" t="s">
        <v>62645</v>
      </c>
      <c r="K10166" s="5" t="s">
        <v>62646</v>
      </c>
      <c r="M10166" s="5" t="s">
        <v>62647</v>
      </c>
      <c r="N10166" s="7" t="s">
        <v>62648</v>
      </c>
      <c r="O10166" s="8" t="str">
        <f>HYPERLINK("https://drive.google.com/file/d/19-Ob08sA9LotqOc79BeBAvafzsy2_fVV/view?usp=drivesdk","10165_SUNENGSIH _ SERTIFIKAT BerAKHLAK")</f>
        <v>10165_SUNENGSIH _ SERTIFIKAT BerAKHLAK</v>
      </c>
      <c r="P10166" s="5" t="s">
        <v>62649</v>
      </c>
    </row>
    <row r="10167">
      <c r="A10167" s="4">
        <v>45534.644840787034</v>
      </c>
      <c r="B10167" s="5" t="s">
        <v>34</v>
      </c>
      <c r="D10167" s="5" t="s">
        <v>522</v>
      </c>
      <c r="E10167" s="5" t="s">
        <v>62650</v>
      </c>
      <c r="F10167" s="5" t="s">
        <v>37</v>
      </c>
      <c r="G10167" s="5" t="s">
        <v>62651</v>
      </c>
      <c r="H10167" s="6" t="s">
        <v>62652</v>
      </c>
      <c r="K10167" s="5" t="s">
        <v>62653</v>
      </c>
      <c r="M10167" s="5" t="s">
        <v>62654</v>
      </c>
      <c r="N10167" s="7" t="s">
        <v>62655</v>
      </c>
      <c r="O10167" s="8" t="str">
        <f>HYPERLINK("https://drive.google.com/file/d/1m2wd32g_ZXaniI9DGQlKAM3qDs6jAaEx/view?usp=drivesdk","10166_ZARKAWI SATRIA AKBAR _ SERTIFIKAT BerAKHLAK")</f>
        <v>10166_ZARKAWI SATRIA AKBAR _ SERTIFIKAT BerAKHLAK</v>
      </c>
      <c r="P10167" s="5" t="s">
        <v>62649</v>
      </c>
    </row>
    <row r="10168">
      <c r="A10168" s="4">
        <v>45534.64529369213</v>
      </c>
      <c r="B10168" s="5" t="s">
        <v>34</v>
      </c>
      <c r="D10168" s="5" t="s">
        <v>4775</v>
      </c>
      <c r="E10168" s="5" t="s">
        <v>62656</v>
      </c>
      <c r="F10168" s="5" t="s">
        <v>212</v>
      </c>
      <c r="G10168" s="5" t="s">
        <v>62657</v>
      </c>
      <c r="H10168" s="6" t="s">
        <v>62658</v>
      </c>
      <c r="K10168" s="5" t="s">
        <v>62659</v>
      </c>
      <c r="M10168" s="5" t="s">
        <v>62660</v>
      </c>
      <c r="N10168" s="7" t="s">
        <v>62661</v>
      </c>
      <c r="O10168" s="8" t="str">
        <f>HYPERLINK("https://drive.google.com/file/d/1ak7kULlw3S4Bt-AqkUENbRIaEPnFS820/view?usp=drivesdk","10167_TRI WIGATI _ SERTIFIKAT BerAKHLAK")</f>
        <v>10167_TRI WIGATI _ SERTIFIKAT BerAKHLAK</v>
      </c>
      <c r="P10168" s="5" t="s">
        <v>62649</v>
      </c>
    </row>
    <row r="10169">
      <c r="A10169" s="4">
        <v>45534.645774756944</v>
      </c>
      <c r="B10169" s="5" t="s">
        <v>34</v>
      </c>
      <c r="D10169" s="5" t="s">
        <v>1206</v>
      </c>
      <c r="E10169" s="5" t="s">
        <v>62662</v>
      </c>
      <c r="F10169" s="5" t="s">
        <v>120</v>
      </c>
      <c r="G10169" s="5" t="s">
        <v>62663</v>
      </c>
      <c r="H10169" s="6" t="s">
        <v>62664</v>
      </c>
      <c r="K10169" s="5" t="s">
        <v>62665</v>
      </c>
      <c r="M10169" s="5" t="s">
        <v>62666</v>
      </c>
      <c r="N10169" s="7" t="s">
        <v>62667</v>
      </c>
      <c r="O10169" s="8" t="str">
        <f>HYPERLINK("https://drive.google.com/file/d/1EOIXrdBgy7oArzdAPj392eM7cR-UtIS4/view?usp=drivesdk","10168_KASDONO,SE,MH _ SERTIFIKAT BerAKHLAK")</f>
        <v>10168_KASDONO,SE,MH _ SERTIFIKAT BerAKHLAK</v>
      </c>
      <c r="P10169" s="5" t="s">
        <v>62649</v>
      </c>
    </row>
    <row r="10170">
      <c r="A10170" s="4">
        <v>45534.65033046296</v>
      </c>
      <c r="B10170" s="5" t="s">
        <v>34</v>
      </c>
      <c r="D10170" s="5" t="s">
        <v>522</v>
      </c>
      <c r="E10170" s="5" t="s">
        <v>62668</v>
      </c>
      <c r="F10170" s="5" t="s">
        <v>212</v>
      </c>
      <c r="G10170" s="5" t="s">
        <v>62669</v>
      </c>
      <c r="H10170" s="6" t="s">
        <v>62670</v>
      </c>
      <c r="K10170" s="5" t="s">
        <v>62671</v>
      </c>
      <c r="M10170" s="5" t="s">
        <v>62672</v>
      </c>
      <c r="N10170" s="7" t="s">
        <v>62673</v>
      </c>
      <c r="O10170" s="8" t="str">
        <f>HYPERLINK("https://drive.google.com/file/d/1Iar-40bJX_WsLTzNL9IMTZ7nh9IiBPfa/view?usp=drivesdk","10169_Baiq Misra Hidayati _ SERTIFIKAT BerAKHLAK")</f>
        <v>10169_Baiq Misra Hidayati _ SERTIFIKAT BerAKHLAK</v>
      </c>
      <c r="P10170" s="5" t="s">
        <v>62674</v>
      </c>
    </row>
    <row r="10171">
      <c r="A10171" s="4">
        <v>45534.65244653935</v>
      </c>
      <c r="B10171" s="5" t="s">
        <v>34</v>
      </c>
      <c r="D10171" s="5" t="s">
        <v>1206</v>
      </c>
      <c r="E10171" s="5" t="s">
        <v>62675</v>
      </c>
      <c r="F10171" s="5" t="s">
        <v>212</v>
      </c>
      <c r="G10171" s="5" t="s">
        <v>62676</v>
      </c>
      <c r="H10171" s="6" t="s">
        <v>62677</v>
      </c>
      <c r="K10171" s="5" t="s">
        <v>62678</v>
      </c>
      <c r="M10171" s="5" t="s">
        <v>62679</v>
      </c>
      <c r="N10171" s="7" t="s">
        <v>62680</v>
      </c>
      <c r="O10171" s="8" t="str">
        <f>HYPERLINK("https://drive.google.com/file/d/1Srbk9G63q3ZLGbXCOox2VQZ_lvgdBOyZ/view?usp=drivesdk","10170_SRIJATI _ SERTIFIKAT BerAKHLAK")</f>
        <v>10170_SRIJATI _ SERTIFIKAT BerAKHLAK</v>
      </c>
      <c r="P10171" s="5" t="s">
        <v>62674</v>
      </c>
    </row>
    <row r="10172">
      <c r="A10172" s="4">
        <v>45534.653893483795</v>
      </c>
      <c r="B10172" s="5" t="s">
        <v>34</v>
      </c>
      <c r="D10172" s="5" t="s">
        <v>6232</v>
      </c>
      <c r="E10172" s="5" t="s">
        <v>62681</v>
      </c>
      <c r="F10172" s="5" t="s">
        <v>37</v>
      </c>
      <c r="G10172" s="5" t="s">
        <v>62682</v>
      </c>
      <c r="H10172" s="6" t="s">
        <v>62683</v>
      </c>
      <c r="K10172" s="5" t="s">
        <v>62684</v>
      </c>
      <c r="M10172" s="5" t="s">
        <v>62685</v>
      </c>
      <c r="N10172" s="7" t="s">
        <v>62686</v>
      </c>
      <c r="O10172" s="8" t="str">
        <f>HYPERLINK("https://drive.google.com/file/d/1rMjZIwvJ7TTLcSAAdjlwU3Udeg4Q2hG1/view?usp=drivesdk","10171_MUHAIMI _ SERTIFIKAT BerAKHLAK")</f>
        <v>10171_MUHAIMI _ SERTIFIKAT BerAKHLAK</v>
      </c>
      <c r="P10172" s="5" t="s">
        <v>62674</v>
      </c>
    </row>
    <row r="10173">
      <c r="A10173" s="4">
        <v>45534.656555532405</v>
      </c>
      <c r="B10173" s="5" t="s">
        <v>34</v>
      </c>
      <c r="D10173" s="5" t="s">
        <v>11527</v>
      </c>
      <c r="E10173" s="5" t="s">
        <v>62687</v>
      </c>
      <c r="F10173" s="5" t="s">
        <v>524</v>
      </c>
      <c r="G10173" s="5" t="s">
        <v>62688</v>
      </c>
      <c r="H10173" s="6" t="s">
        <v>62689</v>
      </c>
      <c r="K10173" s="5" t="s">
        <v>62690</v>
      </c>
      <c r="M10173" s="5" t="s">
        <v>62691</v>
      </c>
      <c r="N10173" s="7" t="s">
        <v>62692</v>
      </c>
      <c r="O10173" s="8" t="str">
        <f>HYPERLINK("https://drive.google.com/file/d/1xYJcG3tKHWk4n0Dl4HUEbZjhs35JdYK7/view?usp=drivesdk","10172_PUPUT LESTARI _ SERTIFIKAT BerAKHLAK")</f>
        <v>10172_PUPUT LESTARI _ SERTIFIKAT BerAKHLAK</v>
      </c>
      <c r="P10173" s="5" t="s">
        <v>62693</v>
      </c>
    </row>
    <row r="10174">
      <c r="A10174" s="4">
        <v>45534.658648055556</v>
      </c>
      <c r="B10174" s="5" t="s">
        <v>34</v>
      </c>
      <c r="D10174" s="5" t="s">
        <v>9020</v>
      </c>
      <c r="E10174" s="5" t="s">
        <v>35474</v>
      </c>
      <c r="F10174" s="5" t="s">
        <v>22</v>
      </c>
      <c r="G10174" s="5" t="s">
        <v>62694</v>
      </c>
      <c r="H10174" s="6" t="s">
        <v>62695</v>
      </c>
      <c r="K10174" s="5" t="s">
        <v>62696</v>
      </c>
      <c r="M10174" s="5" t="s">
        <v>62697</v>
      </c>
      <c r="N10174" s="7" t="s">
        <v>62698</v>
      </c>
      <c r="O10174" s="8" t="str">
        <f>HYPERLINK("https://drive.google.com/file/d/1jRumkoX9a6_qFr9vJljKx1GqUsKDrhIf/view?usp=drivesdk","10173_Dr. AHMAD RUDY SIHALOHO, M.A. _ SERTIFIKAT BerAKHLAK")</f>
        <v>10173_Dr. AHMAD RUDY SIHALOHO, M.A. _ SERTIFIKAT BerAKHLAK</v>
      </c>
      <c r="P10174" s="5" t="s">
        <v>62693</v>
      </c>
    </row>
    <row r="10175">
      <c r="A10175" s="4">
        <v>45534.66017604167</v>
      </c>
      <c r="B10175" s="5" t="s">
        <v>34</v>
      </c>
      <c r="D10175" s="5" t="s">
        <v>11527</v>
      </c>
      <c r="E10175" s="5" t="s">
        <v>62699</v>
      </c>
      <c r="F10175" s="5" t="s">
        <v>37</v>
      </c>
      <c r="G10175" s="5" t="s">
        <v>62700</v>
      </c>
      <c r="H10175" s="6" t="s">
        <v>62701</v>
      </c>
      <c r="K10175" s="5" t="s">
        <v>62702</v>
      </c>
      <c r="M10175" s="5" t="s">
        <v>62703</v>
      </c>
      <c r="N10175" s="7" t="s">
        <v>62704</v>
      </c>
      <c r="O10175" s="8" t="str">
        <f>HYPERLINK("https://drive.google.com/file/d/1qqFFv1Vqw38oPMdx0l3FZVbAfRgLk_U-/view?usp=drivesdk","10174_DORTHEA E S. SASOENG _ SERTIFIKAT BerAKHLAK")</f>
        <v>10174_DORTHEA E S. SASOENG _ SERTIFIKAT BerAKHLAK</v>
      </c>
      <c r="P10175" s="5" t="s">
        <v>62693</v>
      </c>
    </row>
    <row r="10176">
      <c r="A10176" s="4">
        <v>45534.660218634264</v>
      </c>
      <c r="B10176" s="5" t="s">
        <v>34</v>
      </c>
      <c r="D10176" s="5" t="s">
        <v>11527</v>
      </c>
      <c r="E10176" s="5" t="s">
        <v>62705</v>
      </c>
      <c r="F10176" s="5" t="s">
        <v>108</v>
      </c>
      <c r="G10176" s="5" t="s">
        <v>62706</v>
      </c>
      <c r="H10176" s="6" t="s">
        <v>62707</v>
      </c>
      <c r="K10176" s="5" t="s">
        <v>62708</v>
      </c>
      <c r="M10176" s="5" t="s">
        <v>62709</v>
      </c>
      <c r="N10176" s="7" t="s">
        <v>62710</v>
      </c>
      <c r="O10176" s="8" t="str">
        <f>HYPERLINK("https://drive.google.com/file/d/1dBOfuBJ9WXujwzhgIFIszCHV9m0i37_G/view?usp=drivesdk","10175_ROMMELS LOKONGBANUA BAWOLE _ SERTIFIKAT BerAKHLAK")</f>
        <v>10175_ROMMELS LOKONGBANUA BAWOLE _ SERTIFIKAT BerAKHLAK</v>
      </c>
      <c r="P10176" s="5" t="s">
        <v>62693</v>
      </c>
    </row>
    <row r="10177">
      <c r="A10177" s="4">
        <v>45534.66026884259</v>
      </c>
      <c r="B10177" s="5" t="s">
        <v>34</v>
      </c>
      <c r="D10177" s="5" t="s">
        <v>3849</v>
      </c>
      <c r="E10177" s="5" t="s">
        <v>62711</v>
      </c>
      <c r="F10177" s="5" t="s">
        <v>37</v>
      </c>
      <c r="G10177" s="5" t="s">
        <v>62712</v>
      </c>
      <c r="H10177" s="6" t="s">
        <v>62713</v>
      </c>
      <c r="K10177" s="5" t="s">
        <v>62708</v>
      </c>
      <c r="M10177" s="5" t="s">
        <v>62714</v>
      </c>
      <c r="N10177" s="7" t="s">
        <v>62715</v>
      </c>
      <c r="O10177" s="8" t="str">
        <f>HYPERLINK("https://drive.google.com/file/d/1qtvfZ10yAo5uSBcbpk0fvAhR0zXaqhwR/view?usp=drivesdk","10176_ZULAIKA APRIYANTI, AMD.KEB _ SERTIFIKAT BerAKHLAK")</f>
        <v>10176_ZULAIKA APRIYANTI, AMD.KEB _ SERTIFIKAT BerAKHLAK</v>
      </c>
      <c r="P10177" s="5" t="s">
        <v>62716</v>
      </c>
    </row>
    <row r="10178">
      <c r="A10178" s="4">
        <v>45534.66058074074</v>
      </c>
      <c r="B10178" s="5" t="s">
        <v>34</v>
      </c>
      <c r="D10178" s="5" t="s">
        <v>35</v>
      </c>
      <c r="E10178" s="5" t="s">
        <v>62717</v>
      </c>
      <c r="F10178" s="5" t="s">
        <v>120</v>
      </c>
      <c r="G10178" s="5" t="s">
        <v>62718</v>
      </c>
      <c r="H10178" s="6" t="s">
        <v>62719</v>
      </c>
      <c r="K10178" s="5" t="s">
        <v>62720</v>
      </c>
      <c r="M10178" s="5" t="s">
        <v>62721</v>
      </c>
      <c r="N10178" s="7" t="s">
        <v>62722</v>
      </c>
      <c r="O10178" s="8" t="str">
        <f>HYPERLINK("https://drive.google.com/file/d/1sXtrp8FL3xlbxskOx95WSWt4ApXd0uh2/view?usp=drivesdk","10177_DRG. PUSPA YUWI, M.H. _ SERTIFIKAT BerAKHLAK")</f>
        <v>10177_DRG. PUSPA YUWI, M.H. _ SERTIFIKAT BerAKHLAK</v>
      </c>
      <c r="P10178" s="5" t="s">
        <v>62716</v>
      </c>
    </row>
    <row r="10179">
      <c r="A10179" s="4">
        <v>45534.66145136574</v>
      </c>
      <c r="B10179" s="5" t="s">
        <v>34</v>
      </c>
      <c r="D10179" s="5" t="s">
        <v>6232</v>
      </c>
      <c r="E10179" s="5" t="s">
        <v>62723</v>
      </c>
      <c r="F10179" s="5" t="s">
        <v>37</v>
      </c>
      <c r="G10179" s="5" t="s">
        <v>62724</v>
      </c>
      <c r="H10179" s="6" t="s">
        <v>62725</v>
      </c>
      <c r="K10179" s="5" t="s">
        <v>62726</v>
      </c>
      <c r="M10179" s="5" t="s">
        <v>62727</v>
      </c>
      <c r="N10179" s="7" t="s">
        <v>62728</v>
      </c>
      <c r="O10179" s="8" t="str">
        <f>HYPERLINK("https://drive.google.com/file/d/16wPVGyOrF5v3uuk907OpRoeK3y9djWHi/view?usp=drivesdk","10178_Suci Juwainah, A. Md. Kep _ SERTIFIKAT BerAKHLAK")</f>
        <v>10178_Suci Juwainah, A. Md. Kep _ SERTIFIKAT BerAKHLAK</v>
      </c>
      <c r="P10179" s="5" t="s">
        <v>62716</v>
      </c>
    </row>
    <row r="10180">
      <c r="A10180" s="4">
        <v>45534.66613684028</v>
      </c>
      <c r="B10180" s="5" t="s">
        <v>34</v>
      </c>
      <c r="D10180" s="5" t="s">
        <v>14313</v>
      </c>
      <c r="E10180" s="5" t="s">
        <v>62729</v>
      </c>
      <c r="F10180" s="5" t="s">
        <v>37</v>
      </c>
      <c r="G10180" s="5" t="s">
        <v>62730</v>
      </c>
      <c r="H10180" s="6" t="s">
        <v>62731</v>
      </c>
      <c r="K10180" s="5" t="s">
        <v>62732</v>
      </c>
      <c r="M10180" s="5" t="s">
        <v>62733</v>
      </c>
      <c r="N10180" s="7" t="s">
        <v>62734</v>
      </c>
      <c r="O10180" s="8" t="str">
        <f>HYPERLINK("https://drive.google.com/file/d/1vnLLduUyWRvLlGaRrphbJp5lfN34as50/view?usp=drivesdk","10179_IDA FARIDA _ SERTIFIKAT BerAKHLAK")</f>
        <v>10179_IDA FARIDA _ SERTIFIKAT BerAKHLAK</v>
      </c>
      <c r="P10180" s="5" t="s">
        <v>62735</v>
      </c>
    </row>
    <row r="10181">
      <c r="A10181" s="4">
        <v>45534.66636390046</v>
      </c>
      <c r="B10181" s="5" t="s">
        <v>34</v>
      </c>
      <c r="D10181" s="5" t="s">
        <v>996</v>
      </c>
      <c r="E10181" s="5" t="s">
        <v>62736</v>
      </c>
      <c r="F10181" s="5" t="s">
        <v>212</v>
      </c>
      <c r="G10181" s="5" t="s">
        <v>62737</v>
      </c>
      <c r="H10181" s="6" t="s">
        <v>62738</v>
      </c>
      <c r="K10181" s="5" t="s">
        <v>62739</v>
      </c>
      <c r="M10181" s="5" t="s">
        <v>62740</v>
      </c>
      <c r="N10181" s="7" t="s">
        <v>62741</v>
      </c>
      <c r="O10181" s="8" t="str">
        <f>HYPERLINK("https://drive.google.com/file/d/1UUQ2oNGY9iPebx4xl7Am_UVclv2MtuTe/view?usp=drivesdk","10180_MAR I MAR I _ SERTIFIKAT BerAKHLAK")</f>
        <v>10180_MAR I MAR I _ SERTIFIKAT BerAKHLAK</v>
      </c>
      <c r="P10181" s="5" t="s">
        <v>62735</v>
      </c>
    </row>
    <row r="10182">
      <c r="A10182" s="4">
        <v>45534.668251759256</v>
      </c>
      <c r="B10182" s="5" t="s">
        <v>34</v>
      </c>
      <c r="D10182" s="5" t="s">
        <v>1206</v>
      </c>
      <c r="E10182" s="5" t="s">
        <v>50186</v>
      </c>
      <c r="F10182" s="5" t="s">
        <v>328</v>
      </c>
      <c r="G10182" s="5" t="s">
        <v>50187</v>
      </c>
      <c r="H10182" s="6" t="s">
        <v>62742</v>
      </c>
      <c r="K10182" s="5" t="s">
        <v>62743</v>
      </c>
      <c r="M10182" s="5" t="s">
        <v>62744</v>
      </c>
      <c r="N10182" s="7" t="s">
        <v>62745</v>
      </c>
      <c r="O10182" s="8" t="str">
        <f>HYPERLINK("https://drive.google.com/file/d/1-0JBD8L7W0kbICS8uRt4ZuZVgElPTRBp/view?usp=drivesdk","10181_HARTOJO _ SERTIFIKAT BerAKHLAK")</f>
        <v>10181_HARTOJO _ SERTIFIKAT BerAKHLAK</v>
      </c>
      <c r="P10182" s="5" t="s">
        <v>62746</v>
      </c>
    </row>
    <row r="10183" hidden="1">
      <c r="A10183" s="4">
        <v>45534.674159490736</v>
      </c>
      <c r="B10183" s="5" t="s">
        <v>19</v>
      </c>
      <c r="C10183" s="5" t="s">
        <v>466</v>
      </c>
      <c r="E10183" s="5" t="s">
        <v>62747</v>
      </c>
      <c r="F10183" s="5" t="s">
        <v>120</v>
      </c>
      <c r="G10183" s="5" t="s">
        <v>62748</v>
      </c>
      <c r="H10183" s="6" t="s">
        <v>62749</v>
      </c>
      <c r="K10183" s="5" t="s">
        <v>62750</v>
      </c>
      <c r="M10183" s="5" t="s">
        <v>62751</v>
      </c>
      <c r="N10183" s="7" t="s">
        <v>62752</v>
      </c>
      <c r="O10183" s="8" t="str">
        <f>HYPERLINK("https://drive.google.com/file/d/1ja7ClfiVqPkW1PGe4snHeN7cClbJsSOJ/view?usp=drivesdk","10182_YOANOVITA, S. KOM _ SERTIFIKAT BerAKHLAK")</f>
        <v>10182_YOANOVITA, S. KOM _ SERTIFIKAT BerAKHLAK</v>
      </c>
      <c r="P10183" s="5" t="s">
        <v>62746</v>
      </c>
    </row>
    <row r="10184">
      <c r="A10184" s="4">
        <v>45534.67539365741</v>
      </c>
      <c r="B10184" s="5" t="s">
        <v>34</v>
      </c>
      <c r="D10184" s="5" t="s">
        <v>4775</v>
      </c>
      <c r="E10184" s="5" t="s">
        <v>62753</v>
      </c>
      <c r="F10184" s="5" t="s">
        <v>212</v>
      </c>
      <c r="G10184" s="5" t="s">
        <v>31848</v>
      </c>
      <c r="H10184" s="6" t="s">
        <v>62754</v>
      </c>
      <c r="K10184" s="5" t="s">
        <v>62755</v>
      </c>
      <c r="M10184" s="5" t="s">
        <v>62756</v>
      </c>
      <c r="N10184" s="7" t="s">
        <v>62757</v>
      </c>
      <c r="O10184" s="8" t="str">
        <f>HYPERLINK("https://drive.google.com/file/d/1Ax0GVvGku9uqthLDSwsDU7R2fEA6pMHK/view?usp=drivesdk","10183_AKHMAD MA'MUN _ SERTIFIKAT BerAKHLAK")</f>
        <v>10183_AKHMAD MA'MUN _ SERTIFIKAT BerAKHLAK</v>
      </c>
      <c r="P10184" s="5" t="s">
        <v>62746</v>
      </c>
    </row>
    <row r="10185" hidden="1">
      <c r="A10185" s="4">
        <v>45534.68505753472</v>
      </c>
      <c r="B10185" s="5" t="s">
        <v>19</v>
      </c>
      <c r="C10185" s="5" t="s">
        <v>292</v>
      </c>
      <c r="E10185" s="5" t="s">
        <v>10560</v>
      </c>
      <c r="F10185" s="5" t="s">
        <v>212</v>
      </c>
      <c r="G10185" s="5" t="s">
        <v>62758</v>
      </c>
      <c r="H10185" s="6" t="s">
        <v>62759</v>
      </c>
      <c r="K10185" s="5" t="s">
        <v>62760</v>
      </c>
      <c r="M10185" s="5" t="s">
        <v>62761</v>
      </c>
      <c r="N10185" s="7" t="s">
        <v>62762</v>
      </c>
      <c r="O10185" s="8" t="str">
        <f>HYPERLINK("https://drive.google.com/file/d/1mdXf4-Lsj9VD6e_pht_EHXq2W7d_j4QO/view?usp=drivesdk","10184_AJAT SUDRAJAT _ SERTIFIKAT BerAKHLAK")</f>
        <v>10184_AJAT SUDRAJAT _ SERTIFIKAT BerAKHLAK</v>
      </c>
      <c r="P10185" s="5" t="s">
        <v>62746</v>
      </c>
    </row>
    <row r="10186">
      <c r="A10186" s="4">
        <v>45534.68513636574</v>
      </c>
      <c r="B10186" s="5" t="s">
        <v>34</v>
      </c>
      <c r="D10186" s="5" t="s">
        <v>9020</v>
      </c>
      <c r="E10186" s="5" t="s">
        <v>44006</v>
      </c>
      <c r="F10186" s="5" t="s">
        <v>375</v>
      </c>
      <c r="G10186" s="5" t="s">
        <v>44007</v>
      </c>
      <c r="H10186" s="6" t="s">
        <v>62763</v>
      </c>
      <c r="K10186" s="5" t="s">
        <v>62764</v>
      </c>
      <c r="M10186" s="5" t="s">
        <v>62765</v>
      </c>
      <c r="N10186" s="7" t="s">
        <v>62766</v>
      </c>
      <c r="O10186" s="8" t="str">
        <f>HYPERLINK("https://drive.google.com/file/d/1rRl4xRjsXpF7Hv0j2fI7FfunkaHxE4kI/view?usp=drivesdk","10185_FLORA ELPRITA HUTABARAT, S.E. _ SERTIFIKAT BerAKHLAK")</f>
        <v>10185_FLORA ELPRITA HUTABARAT, S.E. _ SERTIFIKAT BerAKHLAK</v>
      </c>
      <c r="P10186" s="5" t="s">
        <v>62746</v>
      </c>
    </row>
    <row r="10187" hidden="1">
      <c r="A10187" s="4">
        <v>45534.686465543986</v>
      </c>
      <c r="B10187" s="5" t="s">
        <v>19</v>
      </c>
      <c r="C10187" s="5" t="s">
        <v>14000</v>
      </c>
      <c r="E10187" s="5" t="s">
        <v>62767</v>
      </c>
      <c r="F10187" s="5" t="s">
        <v>37</v>
      </c>
      <c r="G10187" s="5" t="s">
        <v>62768</v>
      </c>
      <c r="H10187" s="6" t="s">
        <v>62769</v>
      </c>
      <c r="K10187" s="5" t="s">
        <v>62770</v>
      </c>
      <c r="M10187" s="5" t="s">
        <v>62771</v>
      </c>
      <c r="N10187" s="7" t="s">
        <v>62772</v>
      </c>
      <c r="O10187" s="8" t="str">
        <f>HYPERLINK("https://drive.google.com/file/d/1LLYXsW1aQHWyZsIrupExRZ8GIlKfW2jg/view?usp=drivesdk","10186_Yogi Agung Purnomo _ SERTIFIKAT BerAKHLAK")</f>
        <v>10186_Yogi Agung Purnomo _ SERTIFIKAT BerAKHLAK</v>
      </c>
      <c r="P10187" s="5" t="s">
        <v>62746</v>
      </c>
    </row>
    <row r="10188">
      <c r="A10188" s="4">
        <v>45534.68647880787</v>
      </c>
      <c r="B10188" s="5" t="s">
        <v>34</v>
      </c>
      <c r="D10188" s="5" t="s">
        <v>3849</v>
      </c>
      <c r="E10188" s="5" t="s">
        <v>62773</v>
      </c>
      <c r="F10188" s="5" t="s">
        <v>37</v>
      </c>
      <c r="G10188" s="5" t="s">
        <v>62774</v>
      </c>
      <c r="H10188" s="6" t="s">
        <v>62775</v>
      </c>
      <c r="K10188" s="5" t="s">
        <v>62770</v>
      </c>
      <c r="M10188" s="5" t="s">
        <v>62776</v>
      </c>
      <c r="N10188" s="7" t="s">
        <v>62777</v>
      </c>
      <c r="O10188" s="8" t="str">
        <f>HYPERLINK("https://drive.google.com/file/d/1NK2KAbrn-fxl4gG1L4m2EOvNGkSURFDr/view?usp=drivesdk","10187_HENTIYA WAHYUNI _ SERTIFIKAT BerAKHLAK")</f>
        <v>10187_HENTIYA WAHYUNI _ SERTIFIKAT BerAKHLAK</v>
      </c>
      <c r="P10188" s="5" t="s">
        <v>62778</v>
      </c>
    </row>
    <row r="10189">
      <c r="A10189" s="4">
        <v>45534.68736141204</v>
      </c>
      <c r="B10189" s="5" t="s">
        <v>34</v>
      </c>
      <c r="D10189" s="5" t="s">
        <v>14313</v>
      </c>
      <c r="E10189" s="5" t="s">
        <v>62779</v>
      </c>
      <c r="F10189" s="5" t="s">
        <v>72</v>
      </c>
      <c r="G10189" s="5" t="s">
        <v>62780</v>
      </c>
      <c r="H10189" s="6" t="s">
        <v>62781</v>
      </c>
      <c r="K10189" s="5" t="s">
        <v>62782</v>
      </c>
      <c r="M10189" s="5" t="s">
        <v>62783</v>
      </c>
      <c r="N10189" s="7" t="s">
        <v>62784</v>
      </c>
      <c r="O10189" s="8" t="str">
        <f>HYPERLINK("https://drive.google.com/file/d/1Hf0WHhiNd443HByMEDYR16oTH63veuFP/view?usp=drivesdk","10188_HAJRAHWATI _ SERTIFIKAT BerAKHLAK")</f>
        <v>10188_HAJRAHWATI _ SERTIFIKAT BerAKHLAK</v>
      </c>
      <c r="P10189" s="5" t="s">
        <v>62778</v>
      </c>
    </row>
    <row r="10190">
      <c r="A10190" s="4">
        <v>45534.68813197917</v>
      </c>
      <c r="B10190" s="5" t="s">
        <v>34</v>
      </c>
      <c r="D10190" s="5" t="s">
        <v>701</v>
      </c>
      <c r="E10190" s="5" t="s">
        <v>62785</v>
      </c>
      <c r="F10190" s="5" t="s">
        <v>37</v>
      </c>
      <c r="G10190" s="5" t="s">
        <v>62786</v>
      </c>
      <c r="H10190" s="6" t="s">
        <v>62787</v>
      </c>
      <c r="K10190" s="5" t="s">
        <v>62788</v>
      </c>
      <c r="M10190" s="5" t="s">
        <v>62789</v>
      </c>
      <c r="N10190" s="7" t="s">
        <v>62790</v>
      </c>
      <c r="O10190" s="8" t="str">
        <f>HYPERLINK("https://drive.google.com/file/d/1tPicw_Qfz2PZn_eqvFbbExpojbICF5mV/view?usp=drivesdk","10189_DESI BUKARI _ SERTIFIKAT BerAKHLAK")</f>
        <v>10189_DESI BUKARI _ SERTIFIKAT BerAKHLAK</v>
      </c>
      <c r="P10190" s="5" t="s">
        <v>62778</v>
      </c>
    </row>
    <row r="10191" hidden="1">
      <c r="A10191" s="4">
        <v>45534.68814034722</v>
      </c>
      <c r="B10191" s="5" t="s">
        <v>19</v>
      </c>
      <c r="C10191" s="5" t="s">
        <v>83</v>
      </c>
      <c r="E10191" s="5" t="s">
        <v>62791</v>
      </c>
      <c r="F10191" s="5" t="s">
        <v>328</v>
      </c>
      <c r="G10191" s="5" t="s">
        <v>62792</v>
      </c>
      <c r="H10191" s="6" t="s">
        <v>62793</v>
      </c>
      <c r="K10191" s="5" t="s">
        <v>62788</v>
      </c>
      <c r="M10191" s="5" t="s">
        <v>62794</v>
      </c>
      <c r="N10191" s="7" t="s">
        <v>62795</v>
      </c>
      <c r="O10191" s="8" t="str">
        <f>HYPERLINK("https://drive.google.com/file/d/1jyhoxDJOXVBAHnV6UsP2L1ErLUQKkfHW/view?usp=drivesdk","10190_DEDI HIDAYAT _ SERTIFIKAT BerAKHLAK")</f>
        <v>10190_DEDI HIDAYAT _ SERTIFIKAT BerAKHLAK</v>
      </c>
      <c r="P10191" s="5" t="s">
        <v>62778</v>
      </c>
    </row>
    <row r="10192" hidden="1">
      <c r="A10192" s="4">
        <v>45534.6886353588</v>
      </c>
      <c r="B10192" s="5" t="s">
        <v>19</v>
      </c>
      <c r="C10192" s="5" t="s">
        <v>292</v>
      </c>
      <c r="E10192" s="5" t="s">
        <v>62796</v>
      </c>
      <c r="F10192" s="5" t="s">
        <v>120</v>
      </c>
      <c r="G10192" s="5" t="s">
        <v>62797</v>
      </c>
      <c r="H10192" s="6" t="s">
        <v>62798</v>
      </c>
      <c r="K10192" s="5" t="s">
        <v>62799</v>
      </c>
      <c r="M10192" s="5" t="s">
        <v>62800</v>
      </c>
      <c r="N10192" s="7" t="s">
        <v>62801</v>
      </c>
      <c r="O10192" s="8" t="str">
        <f>HYPERLINK("https://drive.google.com/file/d/163PyQKNyndyxtO9-S_526_-_-n3db_6q/view?usp=drivesdk","10191_ASEP SUHENDI. S.Pd.MMPd. M.Si _ SERTIFIKAT BerAKHLAK")</f>
        <v>10191_ASEP SUHENDI. S.Pd.MMPd. M.Si _ SERTIFIKAT BerAKHLAK</v>
      </c>
      <c r="P10192" s="5" t="s">
        <v>62778</v>
      </c>
    </row>
    <row r="10193">
      <c r="A10193" s="4">
        <v>45534.69129697917</v>
      </c>
      <c r="B10193" s="5" t="s">
        <v>34</v>
      </c>
      <c r="D10193" s="5" t="s">
        <v>10444</v>
      </c>
      <c r="E10193" s="5" t="s">
        <v>62802</v>
      </c>
      <c r="F10193" s="5" t="s">
        <v>212</v>
      </c>
      <c r="G10193" s="5" t="s">
        <v>62803</v>
      </c>
      <c r="H10193" s="6" t="s">
        <v>62804</v>
      </c>
      <c r="K10193" s="5" t="s">
        <v>62805</v>
      </c>
      <c r="M10193" s="5" t="s">
        <v>62806</v>
      </c>
      <c r="N10193" s="7" t="s">
        <v>62807</v>
      </c>
      <c r="O10193" s="8" t="str">
        <f>HYPERLINK("https://drive.google.com/file/d/1ntO-8lwatqOlkJQMMH_aqz0o-dvnHl1H/view?usp=drivesdk","10192_IVAN AGUSTA _ SERTIFIKAT BerAKHLAK")</f>
        <v>10192_IVAN AGUSTA _ SERTIFIKAT BerAKHLAK</v>
      </c>
      <c r="P10193" s="5" t="s">
        <v>62808</v>
      </c>
    </row>
    <row r="10194">
      <c r="A10194" s="4">
        <v>45534.69623430556</v>
      </c>
      <c r="B10194" s="5" t="s">
        <v>34</v>
      </c>
      <c r="D10194" s="5" t="s">
        <v>14313</v>
      </c>
      <c r="E10194" s="5" t="s">
        <v>62809</v>
      </c>
      <c r="F10194" s="5" t="s">
        <v>72</v>
      </c>
      <c r="G10194" s="5" t="s">
        <v>62810</v>
      </c>
      <c r="H10194" s="6" t="s">
        <v>62811</v>
      </c>
      <c r="K10194" s="5" t="s">
        <v>62812</v>
      </c>
      <c r="M10194" s="5" t="s">
        <v>62813</v>
      </c>
      <c r="N10194" s="7" t="s">
        <v>62814</v>
      </c>
      <c r="O10194" s="8" t="str">
        <f>HYPERLINK("https://drive.google.com/file/d/1Gm_HmhanKQnbGxCOSdtKZLKqklAhDlm0/view?usp=drivesdk","10193_SARI MIRAYANTI SAHLAN, SE, MM _ SERTIFIKAT BerAKHLAK")</f>
        <v>10193_SARI MIRAYANTI SAHLAN, SE, MM _ SERTIFIKAT BerAKHLAK</v>
      </c>
      <c r="P10194" s="5" t="s">
        <v>62808</v>
      </c>
    </row>
    <row r="10195">
      <c r="A10195" s="4">
        <v>45534.70941289351</v>
      </c>
      <c r="B10195" s="5" t="s">
        <v>34</v>
      </c>
      <c r="D10195" s="5" t="s">
        <v>1456</v>
      </c>
      <c r="E10195" s="5" t="s">
        <v>62815</v>
      </c>
      <c r="F10195" s="5" t="s">
        <v>524</v>
      </c>
      <c r="G10195" s="5" t="s">
        <v>62816</v>
      </c>
      <c r="H10195" s="6" t="s">
        <v>62817</v>
      </c>
      <c r="K10195" s="5" t="s">
        <v>62818</v>
      </c>
      <c r="M10195" s="5" t="s">
        <v>62819</v>
      </c>
      <c r="N10195" s="7" t="s">
        <v>62820</v>
      </c>
      <c r="O10195" s="8" t="str">
        <f>HYPERLINK("https://drive.google.com/file/d/1Mw-_dZEYqI1wQ-x_cvaKK9IiniKl1_91/view?usp=drivesdk","10194_UMMI MUAIMAN FADLILAH  _ SERTIFIKAT BerAKHLAK")</f>
        <v>10194_UMMI MUAIMAN FADLILAH  _ SERTIFIKAT BerAKHLAK</v>
      </c>
      <c r="P10195" s="5" t="s">
        <v>62808</v>
      </c>
    </row>
    <row r="10196">
      <c r="A10196" s="4">
        <v>45534.71303239583</v>
      </c>
      <c r="B10196" s="5" t="s">
        <v>34</v>
      </c>
      <c r="D10196" s="5" t="s">
        <v>14313</v>
      </c>
      <c r="E10196" s="5" t="s">
        <v>62821</v>
      </c>
      <c r="F10196" s="5" t="s">
        <v>375</v>
      </c>
      <c r="G10196" s="5" t="s">
        <v>62822</v>
      </c>
      <c r="H10196" s="6" t="s">
        <v>62823</v>
      </c>
      <c r="K10196" s="5" t="s">
        <v>62824</v>
      </c>
      <c r="M10196" s="5" t="s">
        <v>62825</v>
      </c>
      <c r="N10196" s="7" t="s">
        <v>62826</v>
      </c>
      <c r="O10196" s="8" t="str">
        <f>HYPERLINK("https://drive.google.com/file/d/1i3897EopXGYaQF1yehYR41Gmm-FpRCBP/view?usp=drivesdk","10195_MULIATI SKM  _ SERTIFIKAT BerAKHLAK")</f>
        <v>10195_MULIATI SKM  _ SERTIFIKAT BerAKHLAK</v>
      </c>
      <c r="P10196" s="5" t="s">
        <v>62808</v>
      </c>
    </row>
    <row r="10197">
      <c r="A10197" s="4">
        <v>45534.714869664356</v>
      </c>
      <c r="B10197" s="5" t="s">
        <v>34</v>
      </c>
      <c r="D10197" s="5" t="s">
        <v>12978</v>
      </c>
      <c r="E10197" s="5" t="s">
        <v>62827</v>
      </c>
      <c r="F10197" s="5" t="s">
        <v>212</v>
      </c>
      <c r="G10197" s="5" t="s">
        <v>62828</v>
      </c>
      <c r="H10197" s="6" t="s">
        <v>62829</v>
      </c>
      <c r="K10197" s="5" t="s">
        <v>62830</v>
      </c>
      <c r="M10197" s="5" t="s">
        <v>62831</v>
      </c>
      <c r="N10197" s="7" t="s">
        <v>62832</v>
      </c>
      <c r="O10197" s="8" t="str">
        <f>HYPERLINK("https://drive.google.com/file/d/1omzx-PLxrTdAds9umQTC_djXt4t8QWtF/view?usp=drivesdk","10196_MERI WIJAYA _ SERTIFIKAT BerAKHLAK")</f>
        <v>10196_MERI WIJAYA _ SERTIFIKAT BerAKHLAK</v>
      </c>
      <c r="P10197" s="5" t="s">
        <v>62808</v>
      </c>
    </row>
    <row r="10198">
      <c r="A10198" s="4">
        <v>45534.716789143524</v>
      </c>
      <c r="B10198" s="5" t="s">
        <v>34</v>
      </c>
      <c r="D10198" s="5" t="s">
        <v>4775</v>
      </c>
      <c r="E10198" s="5" t="s">
        <v>62833</v>
      </c>
      <c r="F10198" s="5" t="s">
        <v>212</v>
      </c>
      <c r="G10198" s="5" t="s">
        <v>62834</v>
      </c>
      <c r="H10198" s="6" t="s">
        <v>62835</v>
      </c>
      <c r="K10198" s="5" t="s">
        <v>62836</v>
      </c>
      <c r="M10198" s="5" t="s">
        <v>62837</v>
      </c>
      <c r="N10198" s="7" t="s">
        <v>62838</v>
      </c>
      <c r="O10198" s="8" t="str">
        <f>HYPERLINK("https://drive.google.com/file/d/1eBqVu2Jy6l7v4Rk7acNbMD7aiX63IG-g/view?usp=drivesdk","10197_SARIO SUHARI,AMR _ SERTIFIKAT BerAKHLAK")</f>
        <v>10197_SARIO SUHARI,AMR _ SERTIFIKAT BerAKHLAK</v>
      </c>
      <c r="P10198" s="5" t="s">
        <v>62808</v>
      </c>
    </row>
    <row r="10199">
      <c r="A10199" s="4">
        <v>45534.72079561342</v>
      </c>
      <c r="B10199" s="5" t="s">
        <v>34</v>
      </c>
      <c r="D10199" s="5" t="s">
        <v>35</v>
      </c>
      <c r="E10199" s="5" t="s">
        <v>62839</v>
      </c>
      <c r="F10199" s="5" t="s">
        <v>37</v>
      </c>
      <c r="G10199" s="5" t="s">
        <v>62840</v>
      </c>
      <c r="H10199" s="6" t="s">
        <v>62841</v>
      </c>
      <c r="K10199" s="5" t="s">
        <v>62842</v>
      </c>
      <c r="M10199" s="5" t="s">
        <v>62843</v>
      </c>
      <c r="N10199" s="7" t="s">
        <v>62844</v>
      </c>
      <c r="O10199" s="8" t="str">
        <f>HYPERLINK("https://drive.google.com/file/d/1_ePn3bVdHQeiGGsTFbTlMEnz1padcvzZ/view?usp=drivesdk","10198_Riska Intania Sofwan _ SERTIFIKAT BerAKHLAK")</f>
        <v>10198_Riska Intania Sofwan _ SERTIFIKAT BerAKHLAK</v>
      </c>
      <c r="P10199" s="5" t="s">
        <v>62845</v>
      </c>
    </row>
    <row r="10200">
      <c r="A10200" s="4">
        <v>45534.72390239583</v>
      </c>
      <c r="B10200" s="5" t="s">
        <v>34</v>
      </c>
      <c r="D10200" s="5" t="s">
        <v>580</v>
      </c>
      <c r="E10200" s="5" t="s">
        <v>62846</v>
      </c>
      <c r="F10200" s="5" t="s">
        <v>715</v>
      </c>
      <c r="G10200" s="5" t="s">
        <v>62847</v>
      </c>
      <c r="H10200" s="6" t="s">
        <v>62848</v>
      </c>
      <c r="K10200" s="5" t="s">
        <v>62849</v>
      </c>
      <c r="M10200" s="5" t="s">
        <v>62850</v>
      </c>
      <c r="N10200" s="7" t="s">
        <v>62851</v>
      </c>
      <c r="O10200" s="8" t="str">
        <f>HYPERLINK("https://drive.google.com/file/d/1amYmdjfgyIRBxlk-kdvccWBfN9N-T5v0/view?usp=drivesdk","10199_Ni Nyoman Suharti, SE. _ SERTIFIKAT BerAKHLAK")</f>
        <v>10199_Ni Nyoman Suharti, SE. _ SERTIFIKAT BerAKHLAK</v>
      </c>
      <c r="P10200" s="5" t="s">
        <v>62845</v>
      </c>
    </row>
    <row r="10201">
      <c r="A10201" s="4">
        <v>45534.72443150463</v>
      </c>
      <c r="B10201" s="5" t="s">
        <v>34</v>
      </c>
      <c r="D10201" s="5" t="s">
        <v>1206</v>
      </c>
      <c r="E10201" s="5" t="s">
        <v>62852</v>
      </c>
      <c r="F10201" s="5" t="s">
        <v>375</v>
      </c>
      <c r="G10201" s="5" t="s">
        <v>40613</v>
      </c>
      <c r="H10201" s="6" t="s">
        <v>62853</v>
      </c>
      <c r="K10201" s="5" t="s">
        <v>62854</v>
      </c>
      <c r="M10201" s="5" t="s">
        <v>62855</v>
      </c>
      <c r="N10201" s="7" t="s">
        <v>62856</v>
      </c>
      <c r="O10201" s="8" t="str">
        <f>HYPERLINK("https://drive.google.com/file/d/1JH4Ze5cSyrXF-ihHIBPTNQ9oiOtp_uc1/view?usp=drivesdk","10200_SAPARUDDIN _ SERTIFIKAT BerAKHLAK")</f>
        <v>10200_SAPARUDDIN _ SERTIFIKAT BerAKHLAK</v>
      </c>
      <c r="P10201" s="5" t="s">
        <v>62845</v>
      </c>
    </row>
    <row r="10202">
      <c r="A10202" s="4">
        <v>45534.724542627315</v>
      </c>
      <c r="B10202" s="5" t="s">
        <v>34</v>
      </c>
      <c r="D10202" s="5" t="s">
        <v>9394</v>
      </c>
      <c r="E10202" s="5" t="s">
        <v>62857</v>
      </c>
      <c r="F10202" s="5" t="s">
        <v>375</v>
      </c>
      <c r="G10202" s="5" t="s">
        <v>62858</v>
      </c>
      <c r="H10202" s="6" t="s">
        <v>62859</v>
      </c>
      <c r="K10202" s="5" t="s">
        <v>62854</v>
      </c>
      <c r="M10202" s="5" t="s">
        <v>62860</v>
      </c>
      <c r="N10202" s="7" t="s">
        <v>62861</v>
      </c>
      <c r="O10202" s="8" t="str">
        <f>HYPERLINK("https://drive.google.com/file/d/1zFMpQglcfeQu4el-o_aO0gtqoVThPuOa/view?usp=drivesdk","10201_IRA PUSPITAWATI, S.Kom _ SERTIFIKAT BerAKHLAK")</f>
        <v>10201_IRA PUSPITAWATI, S.Kom _ SERTIFIKAT BerAKHLAK</v>
      </c>
      <c r="P10202" s="5" t="s">
        <v>62845</v>
      </c>
    </row>
    <row r="10203">
      <c r="A10203" s="4">
        <v>45534.73249539352</v>
      </c>
      <c r="B10203" s="5" t="s">
        <v>34</v>
      </c>
      <c r="D10203" s="5" t="s">
        <v>1558</v>
      </c>
      <c r="E10203" s="5" t="s">
        <v>62862</v>
      </c>
      <c r="F10203" s="5" t="s">
        <v>120</v>
      </c>
      <c r="G10203" s="5" t="s">
        <v>62863</v>
      </c>
      <c r="H10203" s="6" t="s">
        <v>62864</v>
      </c>
      <c r="K10203" s="5" t="s">
        <v>62865</v>
      </c>
      <c r="M10203" s="5" t="s">
        <v>62866</v>
      </c>
      <c r="N10203" s="7" t="s">
        <v>62867</v>
      </c>
      <c r="O10203" s="8" t="str">
        <f>HYPERLINK("https://drive.google.com/file/d/1lawC2B9IuesOEHMU1LjJkkPyyHnFu-6L/view?usp=drivesdk","10202_SUCI PRIHATINI,SE _ SERTIFIKAT BerAKHLAK")</f>
        <v>10202_SUCI PRIHATINI,SE _ SERTIFIKAT BerAKHLAK</v>
      </c>
      <c r="P10203" s="5" t="s">
        <v>62845</v>
      </c>
    </row>
    <row r="10204">
      <c r="A10204" s="4">
        <v>45534.734080277776</v>
      </c>
      <c r="B10204" s="5" t="s">
        <v>34</v>
      </c>
      <c r="D10204" s="5" t="s">
        <v>9020</v>
      </c>
      <c r="E10204" s="5" t="s">
        <v>62868</v>
      </c>
      <c r="F10204" s="5" t="s">
        <v>212</v>
      </c>
      <c r="G10204" s="5" t="s">
        <v>62869</v>
      </c>
      <c r="H10204" s="6" t="s">
        <v>62870</v>
      </c>
      <c r="K10204" s="5" t="s">
        <v>62871</v>
      </c>
      <c r="M10204" s="5" t="s">
        <v>62872</v>
      </c>
      <c r="N10204" s="7" t="s">
        <v>62873</v>
      </c>
      <c r="O10204" s="8" t="str">
        <f>HYPERLINK("https://drive.google.com/file/d/1PywUogS7PmpPsVjtJrPVDeK3mj8a793Z/view?usp=drivesdk","10203_GIDIO MARBUN _ SERTIFIKAT BerAKHLAK")</f>
        <v>10203_GIDIO MARBUN _ SERTIFIKAT BerAKHLAK</v>
      </c>
      <c r="P10204" s="5" t="s">
        <v>62874</v>
      </c>
    </row>
    <row r="10205">
      <c r="A10205" s="4">
        <v>45534.73447423612</v>
      </c>
      <c r="B10205" s="5" t="s">
        <v>34</v>
      </c>
      <c r="D10205" s="5" t="s">
        <v>6232</v>
      </c>
      <c r="E10205" s="5" t="s">
        <v>62875</v>
      </c>
      <c r="F10205" s="5" t="s">
        <v>120</v>
      </c>
      <c r="G10205" s="5" t="s">
        <v>62876</v>
      </c>
      <c r="H10205" s="6" t="s">
        <v>62877</v>
      </c>
      <c r="K10205" s="5" t="s">
        <v>62878</v>
      </c>
      <c r="M10205" s="5" t="s">
        <v>62879</v>
      </c>
      <c r="N10205" s="7" t="s">
        <v>62880</v>
      </c>
      <c r="O10205" s="8" t="str">
        <f>HYPERLINK("https://drive.google.com/file/d/11d99ziNBLoeNI2QyQltZKEFQBWhDj3JZ/view?usp=drivesdk","10204_ARTAULI SILALAHI, S.E. _ SERTIFIKAT BerAKHLAK")</f>
        <v>10204_ARTAULI SILALAHI, S.E. _ SERTIFIKAT BerAKHLAK</v>
      </c>
      <c r="P10205" s="5" t="s">
        <v>62874</v>
      </c>
    </row>
    <row r="10206">
      <c r="A10206" s="4">
        <v>45534.74021827546</v>
      </c>
      <c r="B10206" s="5" t="s">
        <v>34</v>
      </c>
      <c r="D10206" s="5" t="s">
        <v>9020</v>
      </c>
      <c r="E10206" s="5" t="s">
        <v>16390</v>
      </c>
      <c r="F10206" s="5" t="s">
        <v>72</v>
      </c>
      <c r="G10206" s="5" t="s">
        <v>16391</v>
      </c>
      <c r="H10206" s="6" t="s">
        <v>62881</v>
      </c>
      <c r="K10206" s="5" t="s">
        <v>62882</v>
      </c>
      <c r="M10206" s="5" t="s">
        <v>62883</v>
      </c>
      <c r="N10206" s="7" t="s">
        <v>62884</v>
      </c>
      <c r="O10206" s="8" t="str">
        <f>HYPERLINK("https://drive.google.com/file/d/19gVjVyV5klQQovU5RzTtntTku-vb4AGP/view?usp=drivesdk","10205_SITI YANTI HULU _ SERTIFIKAT BerAKHLAK")</f>
        <v>10205_SITI YANTI HULU _ SERTIFIKAT BerAKHLAK</v>
      </c>
      <c r="P10206" s="5" t="s">
        <v>62874</v>
      </c>
    </row>
    <row r="10207">
      <c r="A10207" s="4">
        <v>45534.740837453704</v>
      </c>
      <c r="B10207" s="5" t="s">
        <v>34</v>
      </c>
      <c r="D10207" s="5" t="s">
        <v>604</v>
      </c>
      <c r="E10207" s="5" t="s">
        <v>62885</v>
      </c>
      <c r="F10207" s="5" t="s">
        <v>108</v>
      </c>
      <c r="G10207" s="5" t="s">
        <v>62886</v>
      </c>
      <c r="H10207" s="6" t="s">
        <v>62887</v>
      </c>
      <c r="K10207" s="5" t="s">
        <v>62888</v>
      </c>
      <c r="M10207" s="5" t="s">
        <v>62889</v>
      </c>
      <c r="N10207" s="7" t="s">
        <v>62890</v>
      </c>
      <c r="O10207" s="8" t="str">
        <f>HYPERLINK("https://drive.google.com/file/d/1FE_AO_kKFNVHiQJBpkbkmPPCuMhk15ft/view?usp=drivesdk","10206_UMRAH, S.E _ SERTIFIKAT BerAKHLAK")</f>
        <v>10206_UMRAH, S.E _ SERTIFIKAT BerAKHLAK</v>
      </c>
      <c r="P10207" s="5" t="s">
        <v>62874</v>
      </c>
    </row>
    <row r="10208" hidden="1">
      <c r="A10208" s="4">
        <v>45534.74378862268</v>
      </c>
      <c r="B10208" s="5" t="s">
        <v>19</v>
      </c>
      <c r="C10208" s="5" t="s">
        <v>292</v>
      </c>
      <c r="E10208" s="5" t="s">
        <v>27970</v>
      </c>
      <c r="F10208" s="5" t="s">
        <v>199</v>
      </c>
      <c r="G10208" s="5" t="s">
        <v>62891</v>
      </c>
      <c r="H10208" s="6" t="s">
        <v>62892</v>
      </c>
      <c r="K10208" s="5" t="s">
        <v>62888</v>
      </c>
      <c r="M10208" s="5" t="s">
        <v>62893</v>
      </c>
      <c r="N10208" s="7" t="s">
        <v>62894</v>
      </c>
      <c r="O10208" s="8" t="str">
        <f>HYPERLINK("https://drive.google.com/file/d/1VpOf6e5nYt600nhbUmeGGpL3frmcMfJC/view?usp=drivesdk","10207_ROSMIATI _ SERTIFIKAT BerAKHLAK")</f>
        <v>10207_ROSMIATI _ SERTIFIKAT BerAKHLAK</v>
      </c>
      <c r="P10208" s="5" t="s">
        <v>62895</v>
      </c>
    </row>
    <row r="10209">
      <c r="A10209" s="4">
        <v>45534.745318078705</v>
      </c>
      <c r="B10209" s="5" t="s">
        <v>34</v>
      </c>
      <c r="D10209" s="5" t="s">
        <v>1768</v>
      </c>
      <c r="E10209" s="5" t="s">
        <v>62896</v>
      </c>
      <c r="F10209" s="5" t="s">
        <v>375</v>
      </c>
      <c r="G10209" s="5" t="s">
        <v>62897</v>
      </c>
      <c r="H10209" s="6" t="s">
        <v>62898</v>
      </c>
      <c r="K10209" s="5" t="s">
        <v>62899</v>
      </c>
      <c r="M10209" s="5" t="s">
        <v>62900</v>
      </c>
      <c r="N10209" s="7" t="s">
        <v>62901</v>
      </c>
      <c r="O10209" s="8" t="str">
        <f>HYPERLINK("https://drive.google.com/file/d/1_6tiDEd1HVrqNwL6kre6iRtvFDpyy6Yl/view?usp=drivesdk","10208_NURUL ISLAMIAH,SE _ SERTIFIKAT BerAKHLAK")</f>
        <v>10208_NURUL ISLAMIAH,SE _ SERTIFIKAT BerAKHLAK</v>
      </c>
      <c r="P10209" s="5" t="s">
        <v>62895</v>
      </c>
    </row>
    <row r="10210">
      <c r="A10210" s="4">
        <v>45534.748645011576</v>
      </c>
      <c r="B10210" s="5" t="s">
        <v>34</v>
      </c>
      <c r="D10210" s="5" t="s">
        <v>35</v>
      </c>
      <c r="E10210" s="5" t="s">
        <v>21805</v>
      </c>
      <c r="F10210" s="5" t="s">
        <v>37</v>
      </c>
      <c r="G10210" s="5" t="s">
        <v>62902</v>
      </c>
      <c r="H10210" s="6" t="s">
        <v>62903</v>
      </c>
      <c r="K10210" s="5" t="s">
        <v>62904</v>
      </c>
      <c r="M10210" s="5" t="s">
        <v>62905</v>
      </c>
      <c r="N10210" s="7" t="s">
        <v>62906</v>
      </c>
      <c r="O10210" s="8" t="str">
        <f>HYPERLINK("https://drive.google.com/file/d/13tHyabeLlzo4bLw4M4J6vHc8249zjVER/view?usp=drivesdk","10209_WILDAN N. NASUTION _ SERTIFIKAT BerAKHLAK")</f>
        <v>10209_WILDAN N. NASUTION _ SERTIFIKAT BerAKHLAK</v>
      </c>
      <c r="P10210" s="5" t="s">
        <v>62895</v>
      </c>
    </row>
    <row r="10211">
      <c r="A10211" s="4">
        <v>45534.751803611114</v>
      </c>
      <c r="B10211" s="5" t="s">
        <v>34</v>
      </c>
      <c r="D10211" s="5" t="s">
        <v>9394</v>
      </c>
      <c r="E10211" s="5" t="s">
        <v>62907</v>
      </c>
      <c r="F10211" s="5" t="s">
        <v>72</v>
      </c>
      <c r="G10211" s="5" t="s">
        <v>62908</v>
      </c>
      <c r="H10211" s="6" t="s">
        <v>62909</v>
      </c>
      <c r="K10211" s="5" t="s">
        <v>62910</v>
      </c>
      <c r="M10211" s="5" t="s">
        <v>62911</v>
      </c>
      <c r="N10211" s="7" t="s">
        <v>62912</v>
      </c>
      <c r="O10211" s="8" t="str">
        <f>HYPERLINK("https://drive.google.com/file/d/1MSK-FwYMQvp_jHZh4tnob1PpyRGbUaTw/view?usp=drivesdk","10210_JURINAH _ SERTIFIKAT BerAKHLAK")</f>
        <v>10210_JURINAH _ SERTIFIKAT BerAKHLAK</v>
      </c>
      <c r="P10211" s="5" t="s">
        <v>62895</v>
      </c>
    </row>
    <row r="10212">
      <c r="A10212" s="4">
        <v>45534.75312795139</v>
      </c>
      <c r="B10212" s="5" t="s">
        <v>34</v>
      </c>
      <c r="D10212" s="5" t="s">
        <v>12010</v>
      </c>
      <c r="E10212" s="5" t="s">
        <v>62913</v>
      </c>
      <c r="F10212" s="5" t="s">
        <v>37</v>
      </c>
      <c r="G10212" s="5" t="s">
        <v>62914</v>
      </c>
      <c r="H10212" s="6" t="s">
        <v>62915</v>
      </c>
      <c r="K10212" s="5" t="s">
        <v>62916</v>
      </c>
      <c r="M10212" s="5" t="s">
        <v>62917</v>
      </c>
      <c r="N10212" s="7" t="s">
        <v>62918</v>
      </c>
      <c r="O10212" s="8" t="str">
        <f>HYPERLINK("https://drive.google.com/file/d/1_gdEmYo4bzQwJVizezF2kRFmrN3PuEuX/view?usp=drivesdk","10211_ZENAB BAKARI DUE  _ SERTIFIKAT BerAKHLAK")</f>
        <v>10211_ZENAB BAKARI DUE  _ SERTIFIKAT BerAKHLAK</v>
      </c>
      <c r="P10212" s="5" t="s">
        <v>62895</v>
      </c>
    </row>
    <row r="10213">
      <c r="A10213" s="4">
        <v>45534.753666585646</v>
      </c>
      <c r="B10213" s="5" t="s">
        <v>34</v>
      </c>
      <c r="D10213" s="5" t="s">
        <v>14313</v>
      </c>
      <c r="E10213" s="5" t="s">
        <v>62919</v>
      </c>
      <c r="F10213" s="5" t="s">
        <v>120</v>
      </c>
      <c r="G10213" s="5" t="s">
        <v>62920</v>
      </c>
      <c r="H10213" s="6" t="s">
        <v>62921</v>
      </c>
      <c r="K10213" s="5" t="s">
        <v>62922</v>
      </c>
      <c r="M10213" s="5" t="s">
        <v>62923</v>
      </c>
      <c r="N10213" s="7" t="s">
        <v>62924</v>
      </c>
      <c r="O10213" s="8" t="str">
        <f>HYPERLINK("https://drive.google.com/file/d/1bG1Exg61thRjWqG5N6iRDzK2dgyEWTa4/view?usp=drivesdk","10212_DRG. TAN FONNY _ SERTIFIKAT BerAKHLAK")</f>
        <v>10212_DRG. TAN FONNY _ SERTIFIKAT BerAKHLAK</v>
      </c>
      <c r="P10213" s="5" t="s">
        <v>62925</v>
      </c>
    </row>
    <row r="10214">
      <c r="A10214" s="4">
        <v>45534.76508679398</v>
      </c>
      <c r="B10214" s="5" t="s">
        <v>34</v>
      </c>
      <c r="D10214" s="5" t="s">
        <v>9020</v>
      </c>
      <c r="E10214" s="5" t="s">
        <v>62926</v>
      </c>
      <c r="F10214" s="5" t="s">
        <v>212</v>
      </c>
      <c r="G10214" s="5" t="s">
        <v>62927</v>
      </c>
      <c r="H10214" s="6" t="s">
        <v>62928</v>
      </c>
      <c r="K10214" s="5" t="s">
        <v>62929</v>
      </c>
      <c r="M10214" s="5" t="s">
        <v>62930</v>
      </c>
      <c r="N10214" s="7" t="s">
        <v>62931</v>
      </c>
      <c r="O10214" s="8" t="str">
        <f>HYPERLINK("https://drive.google.com/file/d/1eD5xWPdK7N4FSr-NCuTTMnu7oSwmFYxM/view?usp=drivesdk","10213_AFRINAL NASUTION  _ SERTIFIKAT BerAKHLAK")</f>
        <v>10213_AFRINAL NASUTION  _ SERTIFIKAT BerAKHLAK</v>
      </c>
      <c r="P10214" s="5" t="s">
        <v>62925</v>
      </c>
    </row>
    <row r="10215" hidden="1">
      <c r="A10215" s="4">
        <v>45534.772895057875</v>
      </c>
      <c r="B10215" s="5" t="s">
        <v>19</v>
      </c>
      <c r="C10215" s="5" t="s">
        <v>292</v>
      </c>
      <c r="E10215" s="5" t="s">
        <v>62335</v>
      </c>
      <c r="F10215" s="5" t="s">
        <v>375</v>
      </c>
      <c r="G10215" s="5" t="s">
        <v>62932</v>
      </c>
      <c r="H10215" s="6" t="s">
        <v>62933</v>
      </c>
      <c r="K10215" s="5" t="s">
        <v>62934</v>
      </c>
      <c r="M10215" s="5" t="s">
        <v>62935</v>
      </c>
      <c r="N10215" s="7" t="s">
        <v>62936</v>
      </c>
      <c r="O10215" s="8" t="str">
        <f>HYPERLINK("https://drive.google.com/file/d/17aFmn_aSiDlsbFQ4QFhHfcIJSzOYCZf6/view?usp=drivesdk","10214_SERVA MUTHIA.SH.MM _ SERTIFIKAT BerAKHLAK")</f>
        <v>10214_SERVA MUTHIA.SH.MM _ SERTIFIKAT BerAKHLAK</v>
      </c>
      <c r="P10215" s="5" t="s">
        <v>62925</v>
      </c>
    </row>
    <row r="10216">
      <c r="A10216" s="4">
        <v>45534.77429019676</v>
      </c>
      <c r="B10216" s="5" t="s">
        <v>34</v>
      </c>
      <c r="D10216" s="5" t="s">
        <v>1558</v>
      </c>
      <c r="E10216" s="5" t="s">
        <v>62937</v>
      </c>
      <c r="F10216" s="5" t="s">
        <v>72</v>
      </c>
      <c r="G10216" s="5" t="s">
        <v>62938</v>
      </c>
      <c r="H10216" s="6" t="s">
        <v>62939</v>
      </c>
      <c r="I10216" s="7" t="s">
        <v>62940</v>
      </c>
      <c r="J10216" s="8" t="str">
        <f>HYPERLINK("https://drive.google.com/file/d/10ocHAcLM4ZnFxvgQ8HXvCawg6WqLIx7F/view?usp=drivesdk","10215_GUNAWAN HARIYANTO SE SERTIFIKAT BerAKHLAK")</f>
        <v>10215_GUNAWAN HARIYANTO SE SERTIFIKAT BerAKHLAK</v>
      </c>
      <c r="K10216" s="5" t="s">
        <v>62941</v>
      </c>
      <c r="L10216" s="5" t="s">
        <v>62942</v>
      </c>
      <c r="M10216" s="5" t="s">
        <v>62943</v>
      </c>
      <c r="N10216" s="7" t="s">
        <v>62944</v>
      </c>
      <c r="O10216" s="8" t="str">
        <f>HYPERLINK("https://drive.google.com/file/d/1uk58lRuimV1NbFkA1FqMa1NK2voLQs6s/view?usp=drivesdk","10215_GUNAWAN HARIYANTO SE _ SERTIFIKAT BerAKHLAK")</f>
        <v>10215_GUNAWAN HARIYANTO SE _ SERTIFIKAT BerAKHLAK</v>
      </c>
      <c r="P10216" s="5" t="s">
        <v>62925</v>
      </c>
    </row>
    <row r="10217">
      <c r="A10217" s="4">
        <v>45534.784203310184</v>
      </c>
      <c r="B10217" s="5" t="s">
        <v>34</v>
      </c>
      <c r="D10217" s="5" t="s">
        <v>4775</v>
      </c>
      <c r="E10217" s="5" t="s">
        <v>55831</v>
      </c>
      <c r="F10217" s="5" t="s">
        <v>212</v>
      </c>
      <c r="G10217" s="5" t="s">
        <v>55832</v>
      </c>
      <c r="H10217" s="6" t="s">
        <v>62945</v>
      </c>
      <c r="K10217" s="5" t="s">
        <v>62946</v>
      </c>
      <c r="M10217" s="5" t="s">
        <v>62947</v>
      </c>
      <c r="N10217" s="7" t="s">
        <v>62948</v>
      </c>
      <c r="O10217" s="8" t="str">
        <f>HYPERLINK("https://drive.google.com/file/d/1-jXd25pluLD6Ip7PySJCXA9aYeMSgKGR/view?usp=drivesdk","10216_SRI HARDJANTO _ SERTIFIKAT BerAKHLAK")</f>
        <v>10216_SRI HARDJANTO _ SERTIFIKAT BerAKHLAK</v>
      </c>
      <c r="P10217" s="5" t="s">
        <v>62949</v>
      </c>
    </row>
    <row r="10218">
      <c r="A10218" s="4">
        <v>45534.78654699074</v>
      </c>
      <c r="B10218" s="5" t="s">
        <v>34</v>
      </c>
      <c r="D10218" s="5" t="s">
        <v>10297</v>
      </c>
      <c r="E10218" s="5" t="s">
        <v>62950</v>
      </c>
      <c r="F10218" s="5" t="s">
        <v>120</v>
      </c>
      <c r="G10218" s="5" t="s">
        <v>62951</v>
      </c>
      <c r="H10218" s="6" t="s">
        <v>62952</v>
      </c>
      <c r="K10218" s="5" t="s">
        <v>62953</v>
      </c>
      <c r="M10218" s="5" t="s">
        <v>62954</v>
      </c>
      <c r="N10218" s="7" t="s">
        <v>62955</v>
      </c>
      <c r="O10218" s="8" t="str">
        <f>HYPERLINK("https://drive.google.com/file/d/1_Nu3x1LM8C99GR78KynBlDPdlzMRU1Cw/view?usp=drivesdk","10217_BAIS ADIPUTRA, S.Pd., M.H. _ SERTIFIKAT BerAKHLAK")</f>
        <v>10217_BAIS ADIPUTRA, S.Pd., M.H. _ SERTIFIKAT BerAKHLAK</v>
      </c>
      <c r="P10218" s="5" t="s">
        <v>62949</v>
      </c>
    </row>
    <row r="10219">
      <c r="A10219" s="4">
        <v>45534.79702679398</v>
      </c>
      <c r="B10219" s="5" t="s">
        <v>34</v>
      </c>
      <c r="D10219" s="5" t="s">
        <v>9020</v>
      </c>
      <c r="E10219" s="5" t="s">
        <v>62956</v>
      </c>
      <c r="F10219" s="5" t="s">
        <v>72</v>
      </c>
      <c r="G10219" s="5" t="s">
        <v>62957</v>
      </c>
      <c r="H10219" s="6" t="s">
        <v>62958</v>
      </c>
      <c r="K10219" s="5" t="s">
        <v>62959</v>
      </c>
      <c r="M10219" s="5" t="s">
        <v>62960</v>
      </c>
      <c r="N10219" s="7" t="s">
        <v>62961</v>
      </c>
      <c r="O10219" s="8" t="str">
        <f>HYPERLINK("https://drive.google.com/file/d/14Eu_DHp-wc4QYD52FWlEm7mgMDrtSRye/view?usp=drivesdk","10218_RISMA BARIMBING _ SERTIFIKAT BerAKHLAK")</f>
        <v>10218_RISMA BARIMBING _ SERTIFIKAT BerAKHLAK</v>
      </c>
      <c r="P10219" s="5" t="s">
        <v>62949</v>
      </c>
    </row>
    <row r="10220">
      <c r="A10220" s="4">
        <v>45534.79945236111</v>
      </c>
      <c r="B10220" s="5" t="s">
        <v>34</v>
      </c>
      <c r="D10220" s="5" t="s">
        <v>604</v>
      </c>
      <c r="E10220" s="5" t="s">
        <v>62962</v>
      </c>
      <c r="F10220" s="5" t="s">
        <v>37</v>
      </c>
      <c r="G10220" s="5" t="s">
        <v>62963</v>
      </c>
      <c r="H10220" s="6" t="s">
        <v>62964</v>
      </c>
      <c r="K10220" s="5" t="s">
        <v>62959</v>
      </c>
      <c r="M10220" s="5" t="s">
        <v>62965</v>
      </c>
      <c r="N10220" s="7" t="s">
        <v>62966</v>
      </c>
      <c r="O10220" s="8" t="str">
        <f>HYPERLINK("https://drive.google.com/file/d/1FNp7YnSmo972h6_fCmA4CcYXmdvhNlsx/view?usp=drivesdk","10219_EKO UTOMO, S.H _ SERTIFIKAT BerAKHLAK")</f>
        <v>10219_EKO UTOMO, S.H _ SERTIFIKAT BerAKHLAK</v>
      </c>
      <c r="P10220" s="5" t="s">
        <v>62949</v>
      </c>
    </row>
    <row r="10221">
      <c r="A10221" s="4">
        <v>45534.80332803241</v>
      </c>
      <c r="B10221" s="5" t="s">
        <v>34</v>
      </c>
      <c r="D10221" s="5" t="s">
        <v>996</v>
      </c>
      <c r="E10221" s="5" t="s">
        <v>62967</v>
      </c>
      <c r="F10221" s="5" t="s">
        <v>212</v>
      </c>
      <c r="G10221" s="5" t="s">
        <v>62968</v>
      </c>
      <c r="H10221" s="6" t="s">
        <v>62969</v>
      </c>
      <c r="K10221" s="5" t="s">
        <v>62959</v>
      </c>
      <c r="M10221" s="5" t="s">
        <v>62970</v>
      </c>
      <c r="N10221" s="7" t="s">
        <v>62971</v>
      </c>
      <c r="O10221" s="8" t="str">
        <f>HYPERLINK("https://drive.google.com/file/d/1zeqzodaKudHM_SX1mR-ovCklu09IqzoT/view?usp=drivesdk","10220_BADERAINI _ SERTIFIKAT BerAKHLAK")</f>
        <v>10220_BADERAINI _ SERTIFIKAT BerAKHLAK</v>
      </c>
      <c r="P10221" s="5" t="s">
        <v>62949</v>
      </c>
    </row>
    <row r="10222">
      <c r="A10222" s="4">
        <v>45534.80351081019</v>
      </c>
      <c r="B10222" s="5" t="s">
        <v>34</v>
      </c>
      <c r="D10222" s="5" t="s">
        <v>14313</v>
      </c>
      <c r="E10222" s="5" t="s">
        <v>62972</v>
      </c>
      <c r="F10222" s="5" t="s">
        <v>18875</v>
      </c>
      <c r="G10222" s="5" t="s">
        <v>62973</v>
      </c>
      <c r="H10222" s="6" t="s">
        <v>62974</v>
      </c>
      <c r="K10222" s="5" t="s">
        <v>62975</v>
      </c>
      <c r="M10222" s="5" t="s">
        <v>62976</v>
      </c>
      <c r="N10222" s="7" t="s">
        <v>62977</v>
      </c>
      <c r="O10222" s="8" t="str">
        <f>HYPERLINK("https://drive.google.com/file/d/1Nknj9a0u1gnUnpkuDEo2UVbEzwtC64eQ/view?usp=drivesdk","10221_JUHARDIN, S.H. _ SERTIFIKAT BerAKHLAK")</f>
        <v>10221_JUHARDIN, S.H. _ SERTIFIKAT BerAKHLAK</v>
      </c>
      <c r="P10222" s="5" t="s">
        <v>62978</v>
      </c>
    </row>
    <row r="10223">
      <c r="A10223" s="4">
        <v>45534.80649127315</v>
      </c>
      <c r="B10223" s="5" t="s">
        <v>34</v>
      </c>
      <c r="D10223" s="5" t="s">
        <v>9020</v>
      </c>
      <c r="E10223" s="5" t="s">
        <v>22023</v>
      </c>
      <c r="F10223" s="5" t="s">
        <v>72</v>
      </c>
      <c r="G10223" s="5" t="s">
        <v>62979</v>
      </c>
      <c r="H10223" s="6" t="s">
        <v>62980</v>
      </c>
      <c r="K10223" s="5" t="s">
        <v>62975</v>
      </c>
      <c r="M10223" s="5" t="s">
        <v>62981</v>
      </c>
      <c r="N10223" s="7" t="s">
        <v>62982</v>
      </c>
      <c r="O10223" s="8" t="str">
        <f>HYPERLINK("https://drive.google.com/file/d/1kHDY-lRym3xKKlV1J1NUvrQaavFz-Jqy/view?usp=drivesdk","10222_Dahniar Fatimah Harahap  _ SERTIFIKAT BerAKHLAK")</f>
        <v>10222_Dahniar Fatimah Harahap  _ SERTIFIKAT BerAKHLAK</v>
      </c>
      <c r="P10223" s="5" t="s">
        <v>62978</v>
      </c>
    </row>
    <row r="10224">
      <c r="A10224" s="4">
        <v>45534.80814453703</v>
      </c>
      <c r="B10224" s="5" t="s">
        <v>34</v>
      </c>
      <c r="D10224" s="5" t="s">
        <v>701</v>
      </c>
      <c r="E10224" s="5" t="s">
        <v>62983</v>
      </c>
      <c r="F10224" s="5" t="s">
        <v>212</v>
      </c>
      <c r="G10224" s="5" t="s">
        <v>58731</v>
      </c>
      <c r="H10224" s="6" t="s">
        <v>62984</v>
      </c>
      <c r="K10224" s="5" t="s">
        <v>62985</v>
      </c>
      <c r="M10224" s="5" t="s">
        <v>62986</v>
      </c>
      <c r="N10224" s="7" t="s">
        <v>62987</v>
      </c>
      <c r="O10224" s="8" t="str">
        <f>HYPERLINK("https://drive.google.com/file/d/1JgMI3i7jtAR5RR2yeBr07xvRm-6gdtzk/view?usp=drivesdk","10223_HARYANTO  _ SERTIFIKAT BerAKHLAK")</f>
        <v>10223_HARYANTO  _ SERTIFIKAT BerAKHLAK</v>
      </c>
      <c r="P10224" s="5" t="s">
        <v>62978</v>
      </c>
    </row>
    <row r="10225">
      <c r="A10225" s="4">
        <v>45534.81391357639</v>
      </c>
      <c r="B10225" s="5" t="s">
        <v>34</v>
      </c>
      <c r="D10225" s="5" t="s">
        <v>1558</v>
      </c>
      <c r="E10225" s="5" t="s">
        <v>62988</v>
      </c>
      <c r="F10225" s="5" t="s">
        <v>715</v>
      </c>
      <c r="G10225" s="5" t="s">
        <v>62989</v>
      </c>
      <c r="H10225" s="6" t="s">
        <v>62990</v>
      </c>
      <c r="K10225" s="5" t="s">
        <v>62985</v>
      </c>
      <c r="M10225" s="5" t="s">
        <v>62991</v>
      </c>
      <c r="N10225" s="7" t="s">
        <v>62992</v>
      </c>
      <c r="O10225" s="8" t="str">
        <f>HYPERLINK("https://drive.google.com/file/d/1n-2Ss9s4DdXj8AAVdGQKmHrXEdVuECYv/view?usp=drivesdk","10224_PARIJAL _ SERTIFIKAT BerAKHLAK")</f>
        <v>10224_PARIJAL _ SERTIFIKAT BerAKHLAK</v>
      </c>
      <c r="P10225" s="5" t="s">
        <v>62978</v>
      </c>
    </row>
    <row r="10226">
      <c r="A10226" s="4">
        <v>45534.82334351852</v>
      </c>
      <c r="B10226" s="5" t="s">
        <v>34</v>
      </c>
      <c r="D10226" s="5" t="s">
        <v>9394</v>
      </c>
      <c r="E10226" s="5" t="s">
        <v>62993</v>
      </c>
      <c r="F10226" s="5" t="s">
        <v>328</v>
      </c>
      <c r="G10226" s="5" t="s">
        <v>62994</v>
      </c>
      <c r="H10226" s="6" t="s">
        <v>62995</v>
      </c>
      <c r="K10226" s="5" t="s">
        <v>62996</v>
      </c>
      <c r="M10226" s="5" t="s">
        <v>62997</v>
      </c>
      <c r="N10226" s="7" t="s">
        <v>62998</v>
      </c>
      <c r="O10226" s="8" t="str">
        <f>HYPERLINK("https://drive.google.com/file/d/1rRiA-4IIISAMKQXa0pfm4uSmNTO1V06W/view?usp=drivesdk","10225_DARPIN SIPAHUTAR _ SERTIFIKAT BerAKHLAK")</f>
        <v>10225_DARPIN SIPAHUTAR _ SERTIFIKAT BerAKHLAK</v>
      </c>
      <c r="P10226" s="5" t="s">
        <v>62999</v>
      </c>
    </row>
    <row r="10227">
      <c r="A10227" s="4">
        <v>45534.85218324074</v>
      </c>
      <c r="B10227" s="5" t="s">
        <v>34</v>
      </c>
      <c r="D10227" s="5" t="s">
        <v>12010</v>
      </c>
      <c r="E10227" s="5" t="s">
        <v>63000</v>
      </c>
      <c r="F10227" s="5" t="s">
        <v>37</v>
      </c>
      <c r="G10227" s="5" t="s">
        <v>63001</v>
      </c>
      <c r="H10227" s="6" t="s">
        <v>63002</v>
      </c>
      <c r="K10227" s="5" t="s">
        <v>63003</v>
      </c>
      <c r="M10227" s="5" t="s">
        <v>63004</v>
      </c>
      <c r="N10227" s="7" t="s">
        <v>63005</v>
      </c>
      <c r="O10227" s="8" t="str">
        <f>HYPERLINK("https://drive.google.com/file/d/1A1kG120hksvI4yJEI2wOO2IezJTDhWXG/view?usp=drivesdk","10226_MINHAR B. _ SERTIFIKAT BerAKHLAK")</f>
        <v>10226_MINHAR B. _ SERTIFIKAT BerAKHLAK</v>
      </c>
      <c r="P10227" s="5" t="s">
        <v>62999</v>
      </c>
    </row>
    <row r="10228">
      <c r="A10228" s="4">
        <v>45534.86012849537</v>
      </c>
      <c r="B10228" s="5" t="s">
        <v>34</v>
      </c>
      <c r="D10228" s="5" t="s">
        <v>10444</v>
      </c>
      <c r="E10228" s="5" t="s">
        <v>63006</v>
      </c>
      <c r="F10228" s="5" t="s">
        <v>108</v>
      </c>
      <c r="G10228" s="5" t="s">
        <v>63007</v>
      </c>
      <c r="H10228" s="6" t="s">
        <v>63008</v>
      </c>
      <c r="K10228" s="5" t="s">
        <v>63003</v>
      </c>
      <c r="M10228" s="5" t="s">
        <v>63009</v>
      </c>
      <c r="N10228" s="7" t="s">
        <v>63010</v>
      </c>
      <c r="O10228" s="8" t="str">
        <f>HYPERLINK("https://drive.google.com/file/d/1OZ1bVQkvB0Rvw6bIjKYzHybuGwHVXLi5/view?usp=drivesdk","10227_dr. JESSICA CHRISTIEN SIHOTANG _ SERTIFIKAT BerAKHLAK")</f>
        <v>10227_dr. JESSICA CHRISTIEN SIHOTANG _ SERTIFIKAT BerAKHLAK</v>
      </c>
      <c r="P10228" s="5" t="s">
        <v>62999</v>
      </c>
    </row>
    <row r="10229" hidden="1">
      <c r="A10229" s="4">
        <v>45534.861042847224</v>
      </c>
      <c r="B10229" s="5" t="s">
        <v>19</v>
      </c>
      <c r="C10229" s="5" t="s">
        <v>292</v>
      </c>
      <c r="E10229" s="5" t="s">
        <v>63011</v>
      </c>
      <c r="F10229" s="5" t="s">
        <v>212</v>
      </c>
      <c r="G10229" s="5" t="s">
        <v>63012</v>
      </c>
      <c r="H10229" s="6" t="s">
        <v>63013</v>
      </c>
      <c r="K10229" s="5" t="s">
        <v>63014</v>
      </c>
      <c r="M10229" s="5" t="s">
        <v>63015</v>
      </c>
      <c r="N10229" s="7" t="s">
        <v>63016</v>
      </c>
      <c r="O10229" s="8" t="str">
        <f>HYPERLINK("https://drive.google.com/file/d/1BLQYh1ZBqqhFQ5-YHE47RA624y4VKUoi/view?usp=drivesdk","10228_SRI YUNIATI _ SERTIFIKAT BerAKHLAK")</f>
        <v>10228_SRI YUNIATI _ SERTIFIKAT BerAKHLAK</v>
      </c>
      <c r="P10229" s="5" t="s">
        <v>62999</v>
      </c>
    </row>
    <row r="10230">
      <c r="A10230" s="4">
        <v>45534.8638990162</v>
      </c>
      <c r="B10230" s="5" t="s">
        <v>34</v>
      </c>
      <c r="D10230" s="5" t="s">
        <v>996</v>
      </c>
      <c r="E10230" s="5" t="s">
        <v>26403</v>
      </c>
      <c r="F10230" s="5" t="s">
        <v>108</v>
      </c>
      <c r="G10230" s="5" t="s">
        <v>63017</v>
      </c>
      <c r="H10230" s="6" t="s">
        <v>63018</v>
      </c>
      <c r="K10230" s="5" t="s">
        <v>63019</v>
      </c>
      <c r="P10230" s="5"/>
    </row>
    <row r="10231">
      <c r="A10231" s="4">
        <v>45534.86722777778</v>
      </c>
      <c r="B10231" s="5" t="s">
        <v>34</v>
      </c>
      <c r="D10231" s="5" t="s">
        <v>12978</v>
      </c>
      <c r="E10231" s="5" t="s">
        <v>63020</v>
      </c>
      <c r="F10231" s="5" t="s">
        <v>212</v>
      </c>
      <c r="G10231" s="5" t="s">
        <v>63021</v>
      </c>
      <c r="H10231" s="6" t="s">
        <v>63022</v>
      </c>
      <c r="K10231" s="5" t="s">
        <v>63019</v>
      </c>
      <c r="P10231" s="5"/>
    </row>
    <row r="10232">
      <c r="A10232" s="4">
        <v>45534.871379062504</v>
      </c>
      <c r="B10232" s="5" t="s">
        <v>34</v>
      </c>
      <c r="D10232" s="5" t="s">
        <v>4775</v>
      </c>
      <c r="E10232" s="5" t="s">
        <v>34431</v>
      </c>
      <c r="F10232" s="5" t="s">
        <v>37</v>
      </c>
      <c r="G10232" s="5" t="s">
        <v>63023</v>
      </c>
      <c r="H10232" s="6" t="s">
        <v>63024</v>
      </c>
      <c r="K10232" s="5" t="s">
        <v>63025</v>
      </c>
      <c r="P10232" s="5"/>
    </row>
    <row r="10233">
      <c r="A10233" s="4">
        <v>45534.8899646875</v>
      </c>
      <c r="B10233" s="5" t="s">
        <v>34</v>
      </c>
      <c r="D10233" s="5" t="s">
        <v>701</v>
      </c>
      <c r="E10233" s="5" t="s">
        <v>63026</v>
      </c>
      <c r="F10233" s="5" t="s">
        <v>212</v>
      </c>
      <c r="G10233" s="5" t="s">
        <v>63027</v>
      </c>
      <c r="H10233" s="6" t="s">
        <v>63028</v>
      </c>
      <c r="K10233" s="5" t="s">
        <v>63025</v>
      </c>
      <c r="P10233" s="5"/>
    </row>
    <row r="10234">
      <c r="A10234" s="4">
        <v>45534.90626377315</v>
      </c>
      <c r="B10234" s="5" t="s">
        <v>34</v>
      </c>
      <c r="D10234" s="5" t="s">
        <v>701</v>
      </c>
      <c r="E10234" s="5" t="s">
        <v>63029</v>
      </c>
      <c r="F10234" s="5" t="s">
        <v>72</v>
      </c>
      <c r="G10234" s="5" t="s">
        <v>40881</v>
      </c>
      <c r="H10234" s="6" t="s">
        <v>63030</v>
      </c>
      <c r="K10234" s="5" t="s">
        <v>63031</v>
      </c>
      <c r="P10234" s="5"/>
    </row>
    <row r="10235">
      <c r="A10235" s="4">
        <v>45534.91710553241</v>
      </c>
      <c r="B10235" s="5" t="s">
        <v>34</v>
      </c>
      <c r="D10235" s="5" t="s">
        <v>12978</v>
      </c>
      <c r="E10235" s="5" t="s">
        <v>63032</v>
      </c>
      <c r="F10235" s="5" t="s">
        <v>375</v>
      </c>
      <c r="G10235" s="5" t="s">
        <v>63033</v>
      </c>
      <c r="H10235" s="6" t="s">
        <v>63034</v>
      </c>
      <c r="K10235" s="5" t="s">
        <v>63035</v>
      </c>
      <c r="P10235" s="5"/>
    </row>
    <row r="10236">
      <c r="A10236" s="4">
        <v>45534.92550305555</v>
      </c>
      <c r="B10236" s="5" t="s">
        <v>34</v>
      </c>
      <c r="D10236" s="5" t="s">
        <v>12978</v>
      </c>
      <c r="E10236" s="5" t="s">
        <v>63032</v>
      </c>
      <c r="F10236" s="5" t="s">
        <v>375</v>
      </c>
      <c r="G10236" s="5" t="s">
        <v>63036</v>
      </c>
      <c r="H10236" s="6" t="s">
        <v>63037</v>
      </c>
      <c r="K10236" s="5" t="s">
        <v>63035</v>
      </c>
      <c r="P10236" s="5"/>
    </row>
    <row r="10237" hidden="1">
      <c r="A10237" s="4">
        <v>45534.99251837963</v>
      </c>
      <c r="B10237" s="5" t="s">
        <v>19</v>
      </c>
      <c r="C10237" s="5" t="s">
        <v>292</v>
      </c>
      <c r="E10237" s="5" t="s">
        <v>63038</v>
      </c>
      <c r="F10237" s="5" t="s">
        <v>212</v>
      </c>
      <c r="G10237" s="5" t="s">
        <v>63039</v>
      </c>
      <c r="H10237" s="6" t="s">
        <v>63040</v>
      </c>
      <c r="K10237" s="5" t="s">
        <v>63035</v>
      </c>
      <c r="P10237" s="5"/>
    </row>
    <row r="10238">
      <c r="A10238" s="4">
        <v>45535.17642354166</v>
      </c>
      <c r="B10238" s="5" t="s">
        <v>34</v>
      </c>
      <c r="D10238" s="5" t="s">
        <v>10297</v>
      </c>
      <c r="E10238" s="5" t="s">
        <v>63041</v>
      </c>
      <c r="F10238" s="5" t="s">
        <v>37</v>
      </c>
      <c r="G10238" s="5" t="s">
        <v>63042</v>
      </c>
      <c r="H10238" s="6" t="s">
        <v>63043</v>
      </c>
      <c r="I10238" s="7" t="s">
        <v>63044</v>
      </c>
      <c r="J10238" s="8" t="str">
        <f>HYPERLINK("https://drive.google.com/file/d/1Q6xq1eljUtN1vgSm9LHxm9-grEw9zI4w/view?usp=drivesdk","10237_HANA ERVINA, A.Md.,Farm SERTIFIKAT BerAKHLAK")</f>
        <v>10237_HANA ERVINA, A.Md.,Farm SERTIFIKAT BerAKHLAK</v>
      </c>
      <c r="K10238" s="5" t="s">
        <v>63045</v>
      </c>
      <c r="L10238" s="5" t="s">
        <v>63046</v>
      </c>
      <c r="P10238" s="5"/>
    </row>
    <row r="10239">
      <c r="A10239" s="4">
        <v>45535.20909621527</v>
      </c>
      <c r="B10239" s="5" t="s">
        <v>34</v>
      </c>
      <c r="D10239" s="5" t="s">
        <v>1768</v>
      </c>
      <c r="E10239" s="5" t="s">
        <v>63047</v>
      </c>
      <c r="F10239" s="5" t="s">
        <v>524</v>
      </c>
      <c r="G10239" s="5" t="s">
        <v>63048</v>
      </c>
      <c r="H10239" s="6" t="s">
        <v>63049</v>
      </c>
      <c r="I10239" s="7" t="s">
        <v>63050</v>
      </c>
      <c r="J10239" s="8" t="str">
        <f>HYPERLINK("https://drive.google.com/file/d/1BcwDlHyD05JB_7DvMUXVR075qim9zJvj/view?usp=drivesdk","10238_NILA KURNIA SERTIFIKAT BerAKHLAK")</f>
        <v>10238_NILA KURNIA SERTIFIKAT BerAKHLAK</v>
      </c>
      <c r="K10239" s="5" t="s">
        <v>63051</v>
      </c>
      <c r="L10239" s="5" t="s">
        <v>63052</v>
      </c>
      <c r="P10239" s="5"/>
    </row>
    <row r="10240">
      <c r="A10240" s="4">
        <v>45535.217499328704</v>
      </c>
      <c r="B10240" s="5" t="s">
        <v>34</v>
      </c>
      <c r="D10240" s="5" t="s">
        <v>12978</v>
      </c>
      <c r="E10240" s="5" t="s">
        <v>63053</v>
      </c>
      <c r="F10240" s="5" t="s">
        <v>37</v>
      </c>
      <c r="G10240" s="5" t="s">
        <v>63054</v>
      </c>
      <c r="H10240" s="6" t="s">
        <v>63055</v>
      </c>
      <c r="I10240" s="7" t="s">
        <v>63056</v>
      </c>
      <c r="J10240" s="8" t="str">
        <f>HYPERLINK("https://drive.google.com/file/d/1E6-70qwOy69rKmA7xj83i0qXeWky55z-/view?usp=drivesdk","10239_EKO BUDIYANTO SERTIFIKAT BerAKHLAK")</f>
        <v>10239_EKO BUDIYANTO SERTIFIKAT BerAKHLAK</v>
      </c>
      <c r="K10240" s="5" t="s">
        <v>63057</v>
      </c>
      <c r="L10240" s="5" t="s">
        <v>63058</v>
      </c>
      <c r="P10240" s="5"/>
    </row>
    <row r="10241">
      <c r="A10241" s="4">
        <v>45535.285001145836</v>
      </c>
      <c r="B10241" s="5" t="s">
        <v>34</v>
      </c>
      <c r="D10241" s="5" t="s">
        <v>9020</v>
      </c>
      <c r="E10241" s="5" t="s">
        <v>30962</v>
      </c>
      <c r="F10241" s="5" t="s">
        <v>72</v>
      </c>
      <c r="G10241" s="5" t="s">
        <v>30963</v>
      </c>
      <c r="H10241" s="6" t="s">
        <v>63059</v>
      </c>
      <c r="I10241" s="7" t="s">
        <v>63060</v>
      </c>
      <c r="J10241" s="8" t="str">
        <f>HYPERLINK("https://drive.google.com/file/d/1TzVicaLRbzFqxBbFXAGO3tb81Cgf4EWc/view?usp=drivesdk","10240_NURHAPPI PASARIBU S.KEP SERTIFIKAT BerAKHLAK")</f>
        <v>10240_NURHAPPI PASARIBU S.KEP SERTIFIKAT BerAKHLAK</v>
      </c>
      <c r="K10241" s="5" t="s">
        <v>63061</v>
      </c>
      <c r="L10241" s="5" t="s">
        <v>63062</v>
      </c>
      <c r="P10241" s="5"/>
    </row>
    <row r="10242">
      <c r="A10242" s="4">
        <v>45535.29122054398</v>
      </c>
      <c r="B10242" s="5" t="s">
        <v>34</v>
      </c>
      <c r="D10242" s="5" t="s">
        <v>35</v>
      </c>
      <c r="E10242" s="5" t="s">
        <v>63063</v>
      </c>
      <c r="F10242" s="5" t="s">
        <v>37</v>
      </c>
      <c r="G10242" s="5" t="s">
        <v>63064</v>
      </c>
      <c r="H10242" s="6" t="s">
        <v>63065</v>
      </c>
      <c r="I10242" s="7" t="s">
        <v>63066</v>
      </c>
      <c r="J10242" s="8" t="str">
        <f>HYPERLINK("https://drive.google.com/file/d/1_kWyM2x_b2WFFjka9FvHjh6WdoaQLGgj/view?usp=drivesdk","10241_HERI SUSIANTO SERTIFIKAT BerAKHLAK")</f>
        <v>10241_HERI SUSIANTO SERTIFIKAT BerAKHLAK</v>
      </c>
      <c r="K10242" s="5" t="s">
        <v>63067</v>
      </c>
      <c r="L10242" s="5" t="s">
        <v>63068</v>
      </c>
      <c r="P10242" s="5"/>
    </row>
    <row r="10243">
      <c r="A10243" s="4">
        <v>45535.32959113426</v>
      </c>
      <c r="B10243" s="5" t="s">
        <v>34</v>
      </c>
      <c r="D10243" s="5" t="s">
        <v>3849</v>
      </c>
      <c r="E10243" s="5" t="s">
        <v>63069</v>
      </c>
      <c r="F10243" s="5" t="s">
        <v>108</v>
      </c>
      <c r="G10243" s="5" t="s">
        <v>63070</v>
      </c>
      <c r="H10243" s="6" t="s">
        <v>63071</v>
      </c>
      <c r="I10243" s="7" t="s">
        <v>63072</v>
      </c>
      <c r="J10243" s="8" t="str">
        <f>HYPERLINK("https://drive.google.com/file/d/1zHGBs-k25s1QzZTutNVxpiiTv-lz_zNB/view?usp=drivesdk","10242_apt. MUHAMMAD FAISHAL AKBAR, S. Farm SERTIFIKAT BerAKHLAK")</f>
        <v>10242_apt. MUHAMMAD FAISHAL AKBAR, S. Farm SERTIFIKAT BerAKHLAK</v>
      </c>
      <c r="K10243" s="5" t="s">
        <v>63073</v>
      </c>
      <c r="L10243" s="5" t="s">
        <v>63074</v>
      </c>
      <c r="P10243" s="5"/>
    </row>
    <row r="10244">
      <c r="A10244" s="4">
        <v>45535.33922753472</v>
      </c>
      <c r="B10244" s="5" t="s">
        <v>34</v>
      </c>
      <c r="D10244" s="5" t="s">
        <v>10297</v>
      </c>
      <c r="E10244" s="5" t="s">
        <v>63075</v>
      </c>
      <c r="F10244" s="5" t="s">
        <v>524</v>
      </c>
      <c r="G10244" s="5" t="s">
        <v>63076</v>
      </c>
      <c r="H10244" s="6" t="s">
        <v>63077</v>
      </c>
      <c r="I10244" s="7" t="s">
        <v>63078</v>
      </c>
      <c r="J10244" s="8" t="str">
        <f>HYPERLINK("https://drive.google.com/file/d/1EWz-iOC2SltDLXS2zxIm7_ejQfoqLiAm/view?usp=drivesdk","10243_USMAN HIDAYAT, S.H., M.A.P SERTIFIKAT BerAKHLAK")</f>
        <v>10243_USMAN HIDAYAT, S.H., M.A.P SERTIFIKAT BerAKHLAK</v>
      </c>
      <c r="K10244" s="5" t="s">
        <v>63079</v>
      </c>
      <c r="L10244" s="5" t="s">
        <v>63080</v>
      </c>
      <c r="P10244" s="5"/>
    </row>
    <row r="10245">
      <c r="A10245" s="4">
        <v>45535.343321747685</v>
      </c>
      <c r="B10245" s="5" t="s">
        <v>34</v>
      </c>
      <c r="D10245" s="5" t="s">
        <v>701</v>
      </c>
      <c r="E10245" s="5" t="s">
        <v>63081</v>
      </c>
      <c r="F10245" s="5" t="s">
        <v>108</v>
      </c>
      <c r="G10245" s="5" t="s">
        <v>63082</v>
      </c>
      <c r="H10245" s="6" t="s">
        <v>63083</v>
      </c>
      <c r="I10245" s="7" t="s">
        <v>63084</v>
      </c>
      <c r="J10245" s="8" t="str">
        <f>HYPERLINK("https://drive.google.com/file/d/1cIxK7Rm_tFCBTaelwnRDPIngI6pj0Ioq/view?usp=drivesdk","10244_SYOFYAN SERTIFIKAT BerAKHLAK")</f>
        <v>10244_SYOFYAN SERTIFIKAT BerAKHLAK</v>
      </c>
      <c r="K10245" s="5" t="s">
        <v>63085</v>
      </c>
      <c r="L10245" s="5" t="s">
        <v>63086</v>
      </c>
      <c r="P10245" s="5"/>
    </row>
    <row r="10246">
      <c r="A10246" s="4">
        <v>45535.34888668981</v>
      </c>
      <c r="B10246" s="5" t="s">
        <v>34</v>
      </c>
      <c r="D10246" s="5" t="s">
        <v>522</v>
      </c>
      <c r="E10246" s="5" t="s">
        <v>63087</v>
      </c>
      <c r="F10246" s="5" t="s">
        <v>37</v>
      </c>
      <c r="G10246" s="5" t="s">
        <v>63088</v>
      </c>
      <c r="H10246" s="6" t="s">
        <v>63089</v>
      </c>
      <c r="I10246" s="7" t="s">
        <v>63090</v>
      </c>
      <c r="J10246" s="8" t="str">
        <f>HYPERLINK("https://drive.google.com/file/d/1UpoUXYfwkmcgwd7XoXKyanGss5N7Zs1d/view?usp=drivesdk","10245_I GDE BAYU PRATAMA, A.MD.KEP. SERTIFIKAT BerAKHLAK")</f>
        <v>10245_I GDE BAYU PRATAMA, A.MD.KEP. SERTIFIKAT BerAKHLAK</v>
      </c>
      <c r="K10246" s="5" t="s">
        <v>63091</v>
      </c>
      <c r="L10246" s="5" t="s">
        <v>63092</v>
      </c>
      <c r="P10246" s="5"/>
    </row>
    <row r="10247">
      <c r="A10247" s="4">
        <v>45535.35204454861</v>
      </c>
      <c r="B10247" s="5" t="s">
        <v>34</v>
      </c>
      <c r="D10247" s="5" t="s">
        <v>2903</v>
      </c>
      <c r="E10247" s="5" t="s">
        <v>63093</v>
      </c>
      <c r="F10247" s="5" t="s">
        <v>524</v>
      </c>
      <c r="G10247" s="5" t="s">
        <v>63094</v>
      </c>
      <c r="H10247" s="6" t="s">
        <v>63095</v>
      </c>
      <c r="I10247" s="7" t="s">
        <v>63096</v>
      </c>
      <c r="J10247" s="8" t="str">
        <f>HYPERLINK("https://drive.google.com/file/d/1ZPJ7GVUXlSUEp1CxKqKnDPTAuISWaabC/view?usp=drivesdk","10246_EDDY SYAHPUTRA. S.AP SERTIFIKAT BerAKHLAK")</f>
        <v>10246_EDDY SYAHPUTRA. S.AP SERTIFIKAT BerAKHLAK</v>
      </c>
      <c r="K10247" s="5" t="s">
        <v>63097</v>
      </c>
      <c r="L10247" s="5" t="s">
        <v>63098</v>
      </c>
      <c r="P10247" s="5"/>
    </row>
    <row r="10248">
      <c r="A10248" s="4">
        <v>45535.35828834491</v>
      </c>
      <c r="B10248" s="5" t="s">
        <v>34</v>
      </c>
      <c r="D10248" s="5" t="s">
        <v>4775</v>
      </c>
      <c r="E10248" s="5" t="s">
        <v>34255</v>
      </c>
      <c r="F10248" s="5" t="s">
        <v>212</v>
      </c>
      <c r="G10248" s="5" t="s">
        <v>34256</v>
      </c>
      <c r="H10248" s="6" t="s">
        <v>63099</v>
      </c>
      <c r="I10248" s="7" t="s">
        <v>63100</v>
      </c>
      <c r="J10248" s="8" t="str">
        <f>HYPERLINK("https://drive.google.com/file/d/1px7_LyhA98yt3sjxaulXGuIx7bsnNQ04/view?usp=drivesdk","10247_DARMONO SERTIFIKAT BerAKHLAK")</f>
        <v>10247_DARMONO SERTIFIKAT BerAKHLAK</v>
      </c>
      <c r="K10248" s="5" t="s">
        <v>3563</v>
      </c>
      <c r="L10248" s="5" t="s">
        <v>63101</v>
      </c>
      <c r="P10248" s="5"/>
    </row>
    <row r="10249">
      <c r="A10249" s="4">
        <v>45535.35837328703</v>
      </c>
      <c r="B10249" s="5" t="s">
        <v>34</v>
      </c>
      <c r="D10249" s="5" t="s">
        <v>35</v>
      </c>
      <c r="E10249" s="5" t="s">
        <v>63102</v>
      </c>
      <c r="F10249" s="5" t="s">
        <v>72</v>
      </c>
      <c r="G10249" s="5" t="s">
        <v>63103</v>
      </c>
      <c r="H10249" s="6" t="s">
        <v>63104</v>
      </c>
      <c r="I10249" s="7" t="s">
        <v>63105</v>
      </c>
      <c r="J10249" s="8" t="str">
        <f>HYPERLINK("https://drive.google.com/file/d/1HzUcRCo389fYvQ8kMGa5-O_JWAq5RCg1/view?usp=drivesdk","10248_ROLANIA.S.E SERTIFIKAT BerAKHLAK")</f>
        <v>10248_ROLANIA.S.E SERTIFIKAT BerAKHLAK</v>
      </c>
      <c r="K10249" s="5" t="s">
        <v>3563</v>
      </c>
      <c r="L10249" s="5" t="s">
        <v>63106</v>
      </c>
      <c r="P10249" s="5"/>
    </row>
    <row r="10250">
      <c r="A10250" s="4">
        <v>45535.40326259259</v>
      </c>
      <c r="B10250" s="5" t="s">
        <v>34</v>
      </c>
      <c r="D10250" s="5" t="s">
        <v>12978</v>
      </c>
      <c r="E10250" s="5" t="s">
        <v>63107</v>
      </c>
      <c r="F10250" s="5" t="s">
        <v>37</v>
      </c>
      <c r="G10250" s="5" t="s">
        <v>63108</v>
      </c>
      <c r="H10250" s="6" t="s">
        <v>63109</v>
      </c>
      <c r="I10250" s="7" t="s">
        <v>63110</v>
      </c>
      <c r="J10250" s="8" t="str">
        <f>HYPERLINK("https://drive.google.com/file/d/1oRmWP4quj6mwyLRuw1EkNf5GPHqOw0on/view?usp=drivesdk","10249_PONTINAWATI, SE SERTIFIKAT BerAKHLAK")</f>
        <v>10249_PONTINAWATI, SE SERTIFIKAT BerAKHLAK</v>
      </c>
      <c r="K10250" s="5" t="s">
        <v>63111</v>
      </c>
      <c r="L10250" s="5" t="s">
        <v>63112</v>
      </c>
      <c r="P10250" s="5"/>
    </row>
    <row r="10251">
      <c r="A10251" s="4">
        <v>45535.423460000005</v>
      </c>
      <c r="B10251" s="5" t="s">
        <v>34</v>
      </c>
      <c r="D10251" s="5" t="s">
        <v>701</v>
      </c>
      <c r="E10251" s="5" t="s">
        <v>63113</v>
      </c>
      <c r="F10251" s="5" t="s">
        <v>212</v>
      </c>
      <c r="G10251" s="5" t="s">
        <v>63114</v>
      </c>
      <c r="H10251" s="6" t="s">
        <v>63115</v>
      </c>
      <c r="I10251" s="7" t="s">
        <v>63116</v>
      </c>
      <c r="J10251" s="8" t="str">
        <f>HYPERLINK("https://drive.google.com/file/d/1VM1bha237xuc02EP8kSze6PPrqUf-1OL/view?usp=drivesdk","10250_ZAINAL P SERTIFIKAT BerAKHLAK")</f>
        <v>10250_ZAINAL P SERTIFIKAT BerAKHLAK</v>
      </c>
      <c r="K10251" s="5" t="s">
        <v>8270</v>
      </c>
      <c r="L10251" s="5" t="s">
        <v>63117</v>
      </c>
      <c r="P10251" s="5"/>
    </row>
    <row r="10252">
      <c r="A10252" s="4">
        <v>45535.43566711806</v>
      </c>
      <c r="B10252" s="5" t="s">
        <v>34</v>
      </c>
      <c r="D10252" s="5" t="s">
        <v>12978</v>
      </c>
      <c r="E10252" s="5" t="s">
        <v>63118</v>
      </c>
      <c r="F10252" s="5" t="s">
        <v>212</v>
      </c>
      <c r="G10252" s="5" t="s">
        <v>63119</v>
      </c>
      <c r="H10252" s="6" t="s">
        <v>63120</v>
      </c>
      <c r="I10252" s="7" t="s">
        <v>63121</v>
      </c>
      <c r="J10252" s="8" t="str">
        <f>HYPERLINK("https://drive.google.com/file/d/1ijJw0NPS0Nn_M6qlM7lEjATJP_MoEMU3/view?usp=drivesdk","10251_SUJOKO SERTIFIKAT BerAKHLAK")</f>
        <v>10251_SUJOKO SERTIFIKAT BerAKHLAK</v>
      </c>
      <c r="K10252" s="5" t="s">
        <v>63122</v>
      </c>
      <c r="L10252" s="5" t="s">
        <v>63123</v>
      </c>
      <c r="P10252" s="5"/>
    </row>
    <row r="10253">
      <c r="A10253" s="4">
        <v>45535.46344508102</v>
      </c>
      <c r="B10253" s="5" t="s">
        <v>34</v>
      </c>
      <c r="D10253" s="5" t="s">
        <v>4775</v>
      </c>
      <c r="E10253" s="5" t="s">
        <v>63124</v>
      </c>
      <c r="F10253" s="5" t="s">
        <v>375</v>
      </c>
      <c r="G10253" s="5" t="s">
        <v>63125</v>
      </c>
      <c r="H10253" s="6" t="s">
        <v>63126</v>
      </c>
      <c r="I10253" s="7" t="s">
        <v>63127</v>
      </c>
      <c r="J10253" s="8" t="str">
        <f>HYPERLINK("https://drive.google.com/file/d/1GOA3sfK5sBqw5qZIro_I32MIag-kg3K1/view?usp=drivesdk","10252_MARYANTO SERTIFIKAT BerAKHLAK")</f>
        <v>10252_MARYANTO SERTIFIKAT BerAKHLAK</v>
      </c>
      <c r="K10253" s="5" t="s">
        <v>10870</v>
      </c>
      <c r="L10253" s="5" t="s">
        <v>63128</v>
      </c>
      <c r="P10253" s="5"/>
    </row>
    <row r="10254">
      <c r="A10254" s="4">
        <v>45535.475184016206</v>
      </c>
      <c r="B10254" s="5" t="s">
        <v>34</v>
      </c>
      <c r="D10254" s="5" t="s">
        <v>12978</v>
      </c>
      <c r="E10254" s="5" t="s">
        <v>63129</v>
      </c>
      <c r="F10254" s="5" t="s">
        <v>37</v>
      </c>
      <c r="G10254" s="5" t="s">
        <v>63130</v>
      </c>
      <c r="H10254" s="6" t="s">
        <v>63131</v>
      </c>
      <c r="I10254" s="7" t="s">
        <v>63132</v>
      </c>
      <c r="J10254" s="8" t="str">
        <f>HYPERLINK("https://drive.google.com/file/d/1QfsFosOtlHgjMSkTy62gANCdz8NjCFz7/view?usp=drivesdk","10253_MARGARETA SANTA NIAGA SERTIFIKAT BerAKHLAK")</f>
        <v>10253_MARGARETA SANTA NIAGA SERTIFIKAT BerAKHLAK</v>
      </c>
      <c r="K10254" s="5" t="s">
        <v>11644</v>
      </c>
      <c r="L10254" s="5" t="s">
        <v>63133</v>
      </c>
      <c r="P10254" s="5"/>
    </row>
    <row r="10255">
      <c r="A10255" s="4">
        <v>45535.477585995366</v>
      </c>
      <c r="B10255" s="5" t="s">
        <v>34</v>
      </c>
      <c r="D10255" s="5" t="s">
        <v>701</v>
      </c>
      <c r="E10255" s="5" t="s">
        <v>63134</v>
      </c>
      <c r="F10255" s="5" t="s">
        <v>375</v>
      </c>
      <c r="G10255" s="5" t="s">
        <v>63135</v>
      </c>
      <c r="H10255" s="6" t="s">
        <v>63136</v>
      </c>
      <c r="I10255" s="7" t="s">
        <v>63137</v>
      </c>
      <c r="J10255" s="8" t="str">
        <f>HYPERLINK("https://drive.google.com/file/d/1YvW57mHbXO41GRs8YlmP_1uKS5NCukm8/view?usp=drivesdk","10254_ELFIAGUSTIAN  SERTIFIKAT BerAKHLAK")</f>
        <v>10254_ELFIAGUSTIAN  SERTIFIKAT BerAKHLAK</v>
      </c>
      <c r="K10255" s="5" t="s">
        <v>63138</v>
      </c>
      <c r="L10255" s="5" t="s">
        <v>63139</v>
      </c>
      <c r="P10255" s="5"/>
    </row>
    <row r="10256">
      <c r="A10256" s="4">
        <v>45535.50985935185</v>
      </c>
      <c r="B10256" s="5" t="s">
        <v>34</v>
      </c>
      <c r="D10256" s="5" t="s">
        <v>522</v>
      </c>
      <c r="E10256" s="5" t="s">
        <v>63140</v>
      </c>
      <c r="F10256" s="5" t="s">
        <v>212</v>
      </c>
      <c r="G10256" s="5" t="s">
        <v>63141</v>
      </c>
      <c r="H10256" s="6" t="s">
        <v>63142</v>
      </c>
      <c r="I10256" s="7" t="s">
        <v>63143</v>
      </c>
      <c r="J10256" s="8" t="str">
        <f>HYPERLINK("https://drive.google.com/file/d/1EOdz_dSxHb8g3-MLOwvAs9nI554BfU0B/view?usp=drivesdk","10255_NI MADE RASMITA OKTAVIANI, A.Md.Kep. SERTIFIKAT BerAKHLAK")</f>
        <v>10255_NI MADE RASMITA OKTAVIANI, A.Md.Kep. SERTIFIKAT BerAKHLAK</v>
      </c>
      <c r="K10256" s="5" t="s">
        <v>63144</v>
      </c>
      <c r="L10256" s="5" t="s">
        <v>63145</v>
      </c>
      <c r="P10256" s="5"/>
    </row>
    <row r="10257">
      <c r="A10257" s="4">
        <v>45535.55650232639</v>
      </c>
      <c r="B10257" s="5" t="s">
        <v>34</v>
      </c>
      <c r="D10257" s="5" t="s">
        <v>35</v>
      </c>
      <c r="E10257" s="5" t="s">
        <v>63146</v>
      </c>
      <c r="F10257" s="5" t="s">
        <v>108</v>
      </c>
      <c r="G10257" s="5" t="s">
        <v>63147</v>
      </c>
      <c r="H10257" s="6" t="s">
        <v>63148</v>
      </c>
      <c r="I10257" s="7" t="s">
        <v>63149</v>
      </c>
      <c r="J10257" s="8" t="str">
        <f>HYPERLINK("https://drive.google.com/file/d/1GGO9a7lud2-e1wEh8jwIT6xWIzjjeBSB/view?usp=drivesdk","10256_ERINA ARIYANI, Amd.Keb SERTIFIKAT BerAKHLAK")</f>
        <v>10256_ERINA ARIYANI, Amd.Keb SERTIFIKAT BerAKHLAK</v>
      </c>
      <c r="K10257" s="5" t="s">
        <v>14924</v>
      </c>
      <c r="L10257" s="5" t="s">
        <v>63150</v>
      </c>
      <c r="P10257" s="5"/>
    </row>
    <row r="10258">
      <c r="A10258" s="4">
        <v>45535.56704873843</v>
      </c>
      <c r="B10258" s="5" t="s">
        <v>34</v>
      </c>
      <c r="D10258" s="5" t="s">
        <v>6232</v>
      </c>
      <c r="E10258" s="5" t="s">
        <v>63151</v>
      </c>
      <c r="F10258" s="5" t="s">
        <v>37</v>
      </c>
      <c r="G10258" s="5" t="s">
        <v>63152</v>
      </c>
      <c r="H10258" s="6" t="s">
        <v>63153</v>
      </c>
      <c r="I10258" s="7" t="s">
        <v>63154</v>
      </c>
      <c r="J10258" s="8" t="str">
        <f>HYPERLINK("https://drive.google.com/file/d/1ooh415FM2Wz6KX05quDljlZ8s4YetSzm/view?usp=drivesdk","10257_MUHAMMAD DONNY KUSUMA, A.Md.Kep SERTIFIKAT BerAKHLAK")</f>
        <v>10257_MUHAMMAD DONNY KUSUMA, A.Md.Kep SERTIFIKAT BerAKHLAK</v>
      </c>
      <c r="K10258" s="5" t="s">
        <v>63155</v>
      </c>
      <c r="L10258" s="5" t="s">
        <v>63156</v>
      </c>
      <c r="P10258" s="5"/>
    </row>
    <row r="10259">
      <c r="A10259" s="4">
        <v>45535.62188824074</v>
      </c>
      <c r="B10259" s="5" t="s">
        <v>34</v>
      </c>
      <c r="D10259" s="5" t="s">
        <v>35</v>
      </c>
      <c r="E10259" s="5" t="s">
        <v>63157</v>
      </c>
      <c r="F10259" s="5" t="s">
        <v>22</v>
      </c>
      <c r="G10259" s="5" t="s">
        <v>63158</v>
      </c>
      <c r="H10259" s="6" t="s">
        <v>63159</v>
      </c>
      <c r="I10259" s="7" t="s">
        <v>63160</v>
      </c>
      <c r="J10259" s="8" t="str">
        <f>HYPERLINK("https://drive.google.com/file/d/1eiu44uPsfkvKXPR85rPun-QZkZwiwM-9/view?usp=drivesdk","10258_dr TRIANA HERMEILASIH SERTIFIKAT BerAKHLAK")</f>
        <v>10258_dr TRIANA HERMEILASIH SERTIFIKAT BerAKHLAK</v>
      </c>
      <c r="K10259" s="5" t="s">
        <v>63161</v>
      </c>
      <c r="L10259" s="5" t="s">
        <v>63162</v>
      </c>
      <c r="P10259" s="5"/>
    </row>
    <row r="10260">
      <c r="A10260" s="4">
        <v>45535.66428275463</v>
      </c>
      <c r="B10260" s="5" t="s">
        <v>34</v>
      </c>
      <c r="D10260" s="5" t="s">
        <v>701</v>
      </c>
      <c r="E10260" s="5" t="s">
        <v>63163</v>
      </c>
      <c r="F10260" s="5" t="s">
        <v>212</v>
      </c>
      <c r="G10260" s="5" t="s">
        <v>63164</v>
      </c>
      <c r="H10260" s="6" t="s">
        <v>63165</v>
      </c>
      <c r="I10260" s="7" t="s">
        <v>63166</v>
      </c>
      <c r="J10260" s="8" t="str">
        <f>HYPERLINK("https://drive.google.com/file/d/1ET_4TXJ4Ty8SKGSjG2awUq325DFhKZuY/view?usp=drivesdk","10259_ZULDARMI SERTIFIKAT BerAKHLAK")</f>
        <v>10259_ZULDARMI SERTIFIKAT BerAKHLAK</v>
      </c>
      <c r="K10260" s="5" t="s">
        <v>19304</v>
      </c>
      <c r="L10260" s="5" t="s">
        <v>63167</v>
      </c>
      <c r="P10260" s="5"/>
    </row>
    <row r="10261">
      <c r="A10261" s="4">
        <v>45535.672720925926</v>
      </c>
      <c r="B10261" s="5" t="s">
        <v>34</v>
      </c>
      <c r="D10261" s="5" t="s">
        <v>1768</v>
      </c>
      <c r="E10261" s="5" t="s">
        <v>63168</v>
      </c>
      <c r="F10261" s="5" t="s">
        <v>37</v>
      </c>
      <c r="G10261" s="5" t="s">
        <v>63169</v>
      </c>
      <c r="H10261" s="6" t="s">
        <v>63170</v>
      </c>
      <c r="I10261" s="7" t="s">
        <v>63171</v>
      </c>
      <c r="J10261" s="8" t="str">
        <f>HYPERLINK("https://drive.google.com/file/d/1N3gaLi7Wi0StEJ_qhcO_5cuxK61Blxob/view?usp=drivesdk","10260_FELLYCIA DEWI INTAN KRISTIANI, A.Md.Ak. SERTIFIKAT BerAKHLAK")</f>
        <v>10260_FELLYCIA DEWI INTAN KRISTIANI, A.Md.Ak. SERTIFIKAT BerAKHLAK</v>
      </c>
      <c r="K10261" s="5" t="s">
        <v>19413</v>
      </c>
      <c r="L10261" s="5" t="s">
        <v>63172</v>
      </c>
      <c r="P10261" s="5"/>
    </row>
    <row r="10262">
      <c r="A10262" s="4">
        <v>45535.817005335644</v>
      </c>
      <c r="B10262" s="5" t="s">
        <v>34</v>
      </c>
      <c r="D10262" s="5" t="s">
        <v>12978</v>
      </c>
      <c r="E10262" s="5" t="s">
        <v>63173</v>
      </c>
      <c r="F10262" s="5" t="s">
        <v>108</v>
      </c>
      <c r="G10262" s="5" t="s">
        <v>63174</v>
      </c>
      <c r="H10262" s="6" t="s">
        <v>63175</v>
      </c>
      <c r="I10262" s="7" t="s">
        <v>63176</v>
      </c>
      <c r="J10262" s="8" t="str">
        <f>HYPERLINK("https://drive.google.com/file/d/1lcL1qKK0g5CKlGk99UfriTOAvUesa9pZ/view?usp=drivesdk","10261_MARDIANA, SE SERTIFIKAT BerAKHLAK")</f>
        <v>10261_MARDIANA, SE SERTIFIKAT BerAKHLAK</v>
      </c>
      <c r="K10262" s="5" t="s">
        <v>63177</v>
      </c>
      <c r="L10262" s="5" t="s">
        <v>63178</v>
      </c>
      <c r="P10262" s="5"/>
    </row>
    <row r="10263">
      <c r="A10263" s="4">
        <v>45535.8201791551</v>
      </c>
      <c r="B10263" s="5" t="s">
        <v>34</v>
      </c>
      <c r="D10263" s="5" t="s">
        <v>604</v>
      </c>
      <c r="E10263" s="5" t="s">
        <v>16431</v>
      </c>
      <c r="F10263" s="5" t="s">
        <v>212</v>
      </c>
      <c r="G10263" s="5" t="s">
        <v>63179</v>
      </c>
      <c r="H10263" s="6" t="s">
        <v>63180</v>
      </c>
      <c r="I10263" s="7" t="s">
        <v>63181</v>
      </c>
      <c r="J10263" s="8" t="str">
        <f>HYPERLINK("https://drive.google.com/file/d/1QTxTwt5DpkCYzgwIdttPUQL8JeMNcHiY/view?usp=drivesdk","10262_SUGIATI SERTIFIKAT BerAKHLAK")</f>
        <v>10262_SUGIATI SERTIFIKAT BerAKHLAK</v>
      </c>
      <c r="K10263" s="5" t="s">
        <v>19644</v>
      </c>
      <c r="L10263" s="5" t="s">
        <v>63182</v>
      </c>
      <c r="P10263" s="5"/>
    </row>
    <row r="10264" hidden="1">
      <c r="A10264" s="4">
        <v>45535.881511064814</v>
      </c>
      <c r="B10264" s="5" t="s">
        <v>19</v>
      </c>
      <c r="C10264" s="5" t="s">
        <v>292</v>
      </c>
      <c r="E10264" s="5" t="s">
        <v>63183</v>
      </c>
      <c r="F10264" s="5" t="s">
        <v>37</v>
      </c>
      <c r="G10264" s="5" t="s">
        <v>63184</v>
      </c>
      <c r="H10264" s="6" t="s">
        <v>63185</v>
      </c>
      <c r="I10264" s="7" t="s">
        <v>63186</v>
      </c>
      <c r="J10264" s="8" t="str">
        <f>HYPERLINK("https://drive.google.com/file/d/1b64pZmHINavTCho9JqtKZKYOrdC0v5YS/view?usp=drivesdk","10263_YUNNITA RETNO WULAN, A.MD.KEB. SERTIFIKAT BerAKHLAK")</f>
        <v>10263_YUNNITA RETNO WULAN, A.MD.KEB. SERTIFIKAT BerAKHLAK</v>
      </c>
      <c r="K10264" s="5" t="s">
        <v>19660</v>
      </c>
      <c r="L10264" s="5" t="s">
        <v>63187</v>
      </c>
      <c r="P10264" s="5"/>
    </row>
    <row r="10265">
      <c r="A10265" s="4">
        <v>45536.29595417824</v>
      </c>
      <c r="B10265" s="5" t="s">
        <v>34</v>
      </c>
      <c r="D10265" s="5" t="s">
        <v>701</v>
      </c>
      <c r="E10265" s="5" t="s">
        <v>63188</v>
      </c>
      <c r="F10265" s="5" t="s">
        <v>108</v>
      </c>
      <c r="G10265" s="5" t="s">
        <v>63189</v>
      </c>
      <c r="H10265" s="6" t="s">
        <v>63190</v>
      </c>
      <c r="I10265" s="7" t="s">
        <v>63191</v>
      </c>
      <c r="J10265" s="8" t="str">
        <f>HYPERLINK("https://drive.google.com/file/d/1OcGL2gq5RpfltrFbF14VQd9JbOqTU9W5/view?usp=drivesdk","10264_dr. Vina Nofian Tomi SERTIFIKAT BerAKHLAK")</f>
        <v>10264_dr. Vina Nofian Tomi SERTIFIKAT BerAKHLAK</v>
      </c>
      <c r="K10265" s="5" t="s">
        <v>63192</v>
      </c>
      <c r="L10265" s="5" t="s">
        <v>63193</v>
      </c>
      <c r="P10265" s="5"/>
    </row>
    <row r="10266">
      <c r="A10266" s="4">
        <v>45536.538785937504</v>
      </c>
      <c r="B10266" s="5" t="s">
        <v>34</v>
      </c>
      <c r="D10266" s="5" t="s">
        <v>1206</v>
      </c>
      <c r="E10266" s="5" t="s">
        <v>63194</v>
      </c>
      <c r="F10266" s="5" t="s">
        <v>212</v>
      </c>
      <c r="G10266" s="5" t="s">
        <v>63195</v>
      </c>
      <c r="H10266" s="6" t="s">
        <v>63196</v>
      </c>
      <c r="I10266" s="7" t="s">
        <v>63197</v>
      </c>
      <c r="J10266" s="8" t="str">
        <f>HYPERLINK("https://drive.google.com/file/d/17cqmYxlLLXZmD4dmZ9tBT1F7CqEDFGgG/view?usp=drivesdk","10265_ATIK SETYORINI  SERTIFIKAT BerAKHLAK")</f>
        <v>10265_ATIK SETYORINI  SERTIFIKAT BerAKHLAK</v>
      </c>
      <c r="K10266" s="5" t="s">
        <v>63198</v>
      </c>
      <c r="L10266" s="5" t="s">
        <v>63199</v>
      </c>
      <c r="P10266" s="5"/>
    </row>
    <row r="10267">
      <c r="A10267" s="4">
        <v>45536.56879510416</v>
      </c>
      <c r="B10267" s="5" t="s">
        <v>34</v>
      </c>
      <c r="D10267" s="5" t="s">
        <v>35</v>
      </c>
      <c r="E10267" s="5" t="s">
        <v>63200</v>
      </c>
      <c r="F10267" s="5" t="s">
        <v>524</v>
      </c>
      <c r="G10267" s="5" t="s">
        <v>63201</v>
      </c>
      <c r="H10267" s="6" t="s">
        <v>63202</v>
      </c>
      <c r="I10267" s="7" t="s">
        <v>63203</v>
      </c>
      <c r="J10267" s="8" t="str">
        <f>HYPERLINK("https://drive.google.com/file/d/1B6eoD2J7TKnbGc7jLHG1eVk2YSb-qZGz/view?usp=drivesdk","10266_SISTHA PRATISTHA, A.MD, SE SERTIFIKAT BerAKHLAK")</f>
        <v>10266_SISTHA PRATISTHA, A.MD, SE SERTIFIKAT BerAKHLAK</v>
      </c>
      <c r="K10267" s="5" t="s">
        <v>63204</v>
      </c>
      <c r="L10267" s="5" t="s">
        <v>63205</v>
      </c>
      <c r="P10267" s="5"/>
    </row>
    <row r="10268">
      <c r="A10268" s="4">
        <v>45536.59146459491</v>
      </c>
      <c r="B10268" s="5" t="s">
        <v>34</v>
      </c>
      <c r="D10268" s="5" t="s">
        <v>2903</v>
      </c>
      <c r="E10268" s="5" t="s">
        <v>63206</v>
      </c>
      <c r="F10268" s="5" t="s">
        <v>375</v>
      </c>
      <c r="G10268" s="5" t="s">
        <v>63207</v>
      </c>
      <c r="H10268" s="6" t="s">
        <v>63208</v>
      </c>
      <c r="I10268" s="7" t="s">
        <v>63209</v>
      </c>
      <c r="J10268" s="8" t="str">
        <f>HYPERLINK("https://drive.google.com/file/d/15BNeGkzoBHtgOHosEK7ReZho7G9HtzB7/view?usp=drivesdk","10267_RENI YUNITA SERTIFIKAT BerAKHLAK")</f>
        <v>10267_RENI YUNITA SERTIFIKAT BerAKHLAK</v>
      </c>
      <c r="K10268" s="5" t="s">
        <v>63210</v>
      </c>
      <c r="L10268" s="5" t="s">
        <v>63211</v>
      </c>
      <c r="P10268" s="5"/>
    </row>
    <row r="10269">
      <c r="A10269" s="4">
        <v>45536.68838709491</v>
      </c>
      <c r="B10269" s="5" t="s">
        <v>34</v>
      </c>
      <c r="D10269" s="5" t="s">
        <v>12978</v>
      </c>
      <c r="E10269" s="5" t="s">
        <v>63212</v>
      </c>
      <c r="F10269" s="5" t="s">
        <v>524</v>
      </c>
      <c r="G10269" s="5" t="s">
        <v>63213</v>
      </c>
      <c r="H10269" s="6" t="s">
        <v>63214</v>
      </c>
      <c r="I10269" s="7" t="s">
        <v>63215</v>
      </c>
      <c r="J10269" s="8" t="str">
        <f>HYPERLINK("https://drive.google.com/file/d/1TJnJAwX5q1mr0qPwiiPTUYd1U_Kiv-kr/view?usp=drivesdk","10268_MASYHURI, SIP SERTIFIKAT BerAKHLAK")</f>
        <v>10268_MASYHURI, SIP SERTIFIKAT BerAKHLAK</v>
      </c>
      <c r="K10269" s="5" t="s">
        <v>63216</v>
      </c>
      <c r="L10269" s="5" t="s">
        <v>63217</v>
      </c>
      <c r="P10269" s="5"/>
    </row>
    <row r="10270">
      <c r="A10270" s="4">
        <v>45537.291030196764</v>
      </c>
      <c r="B10270" s="5" t="s">
        <v>34</v>
      </c>
      <c r="D10270" s="5" t="s">
        <v>604</v>
      </c>
      <c r="E10270" s="5" t="s">
        <v>63218</v>
      </c>
      <c r="F10270" s="5" t="s">
        <v>375</v>
      </c>
      <c r="G10270" s="5" t="s">
        <v>63219</v>
      </c>
      <c r="H10270" s="6" t="s">
        <v>63220</v>
      </c>
      <c r="I10270" s="7" t="s">
        <v>63221</v>
      </c>
      <c r="J10270" s="8" t="str">
        <f>HYPERLINK("https://drive.google.com/file/d/1pmhhh9-sN0atmCU_hmGd_Yh3A9TRmZwY/view?usp=drivesdk","10269_HAMZAH CHUSAENI,SH SERTIFIKAT BerAKHLAK")</f>
        <v>10269_HAMZAH CHUSAENI,SH SERTIFIKAT BerAKHLAK</v>
      </c>
      <c r="K10270" s="5" t="s">
        <v>63222</v>
      </c>
      <c r="L10270" s="5" t="s">
        <v>63223</v>
      </c>
      <c r="P10270" s="5"/>
    </row>
    <row r="10271">
      <c r="A10271" s="4">
        <v>45537.38559042824</v>
      </c>
      <c r="B10271" s="5" t="s">
        <v>34</v>
      </c>
      <c r="D10271" s="5" t="s">
        <v>12978</v>
      </c>
      <c r="E10271" s="5" t="s">
        <v>41646</v>
      </c>
      <c r="F10271" s="5" t="s">
        <v>375</v>
      </c>
      <c r="G10271" s="5" t="s">
        <v>63224</v>
      </c>
      <c r="H10271" s="6" t="s">
        <v>63225</v>
      </c>
      <c r="I10271" s="7" t="s">
        <v>63226</v>
      </c>
      <c r="J10271" s="8" t="str">
        <f>HYPERLINK("https://drive.google.com/file/d/1K1mDpN1pqcsvfv42xWHq9sfqV_eCR_VC/view?usp=drivesdk","10270_TRI YANTI, S.H. SERTIFIKAT BerAKHLAK")</f>
        <v>10270_TRI YANTI, S.H. SERTIFIKAT BerAKHLAK</v>
      </c>
      <c r="K10271" s="5" t="s">
        <v>63227</v>
      </c>
      <c r="L10271" s="5" t="s">
        <v>63228</v>
      </c>
      <c r="P10271" s="5"/>
    </row>
    <row r="10272">
      <c r="A10272" s="4">
        <v>45537.40666710648</v>
      </c>
      <c r="B10272" s="5" t="s">
        <v>34</v>
      </c>
      <c r="D10272" s="5" t="s">
        <v>9020</v>
      </c>
      <c r="E10272" s="5" t="s">
        <v>12539</v>
      </c>
      <c r="F10272" s="5" t="s">
        <v>37</v>
      </c>
      <c r="G10272" s="5" t="s">
        <v>63229</v>
      </c>
      <c r="H10272" s="6" t="s">
        <v>63230</v>
      </c>
      <c r="I10272" s="7" t="s">
        <v>63231</v>
      </c>
      <c r="J10272" s="8" t="str">
        <f>HYPERLINK("https://drive.google.com/file/d/1SKISsAEB-k8mF0gK9rCmq8Qt4FEwd3v-/view?usp=drivesdk","10271_DOSTI SIMANJUNTAK SERTIFIKAT BerAKHLAK")</f>
        <v>10271_DOSTI SIMANJUNTAK SERTIFIKAT BerAKHLAK</v>
      </c>
      <c r="K10272" s="5" t="s">
        <v>63232</v>
      </c>
      <c r="L10272" s="5" t="s">
        <v>63233</v>
      </c>
      <c r="P10272" s="5"/>
    </row>
    <row r="10273">
      <c r="A10273" s="4">
        <v>45537.411227268516</v>
      </c>
      <c r="B10273" s="5" t="s">
        <v>34</v>
      </c>
      <c r="D10273" s="5" t="s">
        <v>2903</v>
      </c>
      <c r="E10273" s="5" t="s">
        <v>45023</v>
      </c>
      <c r="F10273" s="5" t="s">
        <v>108</v>
      </c>
      <c r="G10273" s="5" t="s">
        <v>63234</v>
      </c>
      <c r="H10273" s="6" t="s">
        <v>63235</v>
      </c>
      <c r="I10273" s="7" t="s">
        <v>63236</v>
      </c>
      <c r="J10273" s="8" t="str">
        <f>HYPERLINK("https://drive.google.com/file/d/1-qlsZTIvHr3I_ZwI6s_uV30a0nvHv1I0/view?usp=drivesdk","10272_HERLAINI SERTIFIKAT BerAKHLAK")</f>
        <v>10272_HERLAINI SERTIFIKAT BerAKHLAK</v>
      </c>
      <c r="K10273" s="5" t="s">
        <v>63237</v>
      </c>
      <c r="L10273" s="5" t="s">
        <v>63238</v>
      </c>
      <c r="P10273" s="5"/>
    </row>
    <row r="10274">
      <c r="A10274" s="4">
        <v>45537.448973923616</v>
      </c>
      <c r="B10274" s="5" t="s">
        <v>34</v>
      </c>
      <c r="D10274" s="5" t="s">
        <v>35</v>
      </c>
      <c r="E10274" s="5" t="s">
        <v>19088</v>
      </c>
      <c r="F10274" s="5" t="s">
        <v>375</v>
      </c>
      <c r="G10274" s="5" t="s">
        <v>63239</v>
      </c>
      <c r="H10274" s="6" t="s">
        <v>63240</v>
      </c>
      <c r="I10274" s="7" t="s">
        <v>63241</v>
      </c>
      <c r="J10274" s="8" t="str">
        <f>HYPERLINK("https://drive.google.com/file/d/1OvcPY91lPM8YjNhb7VoHe9o6vZH3H2_1/view?usp=drivesdk","10273_WAWAN SH SERTIFIKAT BerAKHLAK")</f>
        <v>10273_WAWAN SH SERTIFIKAT BerAKHLAK</v>
      </c>
      <c r="K10274" s="5" t="s">
        <v>63242</v>
      </c>
      <c r="L10274" s="5" t="s">
        <v>63243</v>
      </c>
      <c r="P10274" s="5"/>
    </row>
    <row r="10275">
      <c r="A10275" s="4">
        <v>45537.51809615741</v>
      </c>
      <c r="B10275" s="5" t="s">
        <v>34</v>
      </c>
      <c r="D10275" s="5" t="s">
        <v>35</v>
      </c>
      <c r="E10275" s="5" t="s">
        <v>63244</v>
      </c>
      <c r="F10275" s="5" t="s">
        <v>212</v>
      </c>
      <c r="G10275" s="5" t="s">
        <v>63245</v>
      </c>
      <c r="H10275" s="6" t="s">
        <v>63246</v>
      </c>
      <c r="I10275" s="7" t="s">
        <v>63247</v>
      </c>
      <c r="J10275" s="8" t="str">
        <f>HYPERLINK("https://drive.google.com/file/d/1_hHcid4pbJO8LmN7djSdFYFKYQsNFcrj/view?usp=drivesdk","10274_ASIH KUSWIATIN SERTIFIKAT BerAKHLAK")</f>
        <v>10274_ASIH KUSWIATIN SERTIFIKAT BerAKHLAK</v>
      </c>
      <c r="K10275" s="5" t="s">
        <v>63248</v>
      </c>
      <c r="L10275" s="5" t="s">
        <v>63249</v>
      </c>
      <c r="P10275" s="5"/>
    </row>
    <row r="10276">
      <c r="A10276" s="4">
        <v>45537.54417237268</v>
      </c>
      <c r="B10276" s="5" t="s">
        <v>34</v>
      </c>
      <c r="D10276" s="5" t="s">
        <v>9020</v>
      </c>
      <c r="E10276" s="5" t="s">
        <v>62503</v>
      </c>
      <c r="F10276" s="5" t="s">
        <v>524</v>
      </c>
      <c r="G10276" s="5" t="s">
        <v>63250</v>
      </c>
      <c r="H10276" s="6" t="s">
        <v>63251</v>
      </c>
      <c r="I10276" s="7" t="s">
        <v>63252</v>
      </c>
      <c r="J10276" s="8" t="str">
        <f>HYPERLINK("https://drive.google.com/file/d/171VTtElhyYi9CSZOmBdW47VewjiDrfKq/view?usp=drivesdk","10275_ANITA SRI WAHYUNI DAULAY SERTIFIKAT BerAKHLAK")</f>
        <v>10275_ANITA SRI WAHYUNI DAULAY SERTIFIKAT BerAKHLAK</v>
      </c>
      <c r="K10276" s="5" t="s">
        <v>63253</v>
      </c>
      <c r="L10276" s="5" t="s">
        <v>63254</v>
      </c>
      <c r="P10276" s="5"/>
    </row>
    <row r="10277">
      <c r="A10277" s="4">
        <v>45537.668344375</v>
      </c>
      <c r="B10277" s="5" t="s">
        <v>34</v>
      </c>
      <c r="D10277" s="5" t="s">
        <v>1558</v>
      </c>
      <c r="E10277" s="5" t="s">
        <v>63255</v>
      </c>
      <c r="F10277" s="5" t="s">
        <v>120</v>
      </c>
      <c r="G10277" s="5" t="s">
        <v>63256</v>
      </c>
      <c r="H10277" s="6" t="s">
        <v>63257</v>
      </c>
      <c r="I10277" s="7" t="s">
        <v>63258</v>
      </c>
      <c r="J10277" s="8" t="str">
        <f>HYPERLINK("https://drive.google.com/file/d/1PGdjePcujwELyp_YmGaMBxik2dOyPQBA/view?usp=drivesdk","10276_HENDRA EKA PRASTYAWAN, S.Farm,Apt SERTIFIKAT BerAKHLAK")</f>
        <v>10276_HENDRA EKA PRASTYAWAN, S.Farm,Apt SERTIFIKAT BerAKHLAK</v>
      </c>
      <c r="K10277" s="5" t="s">
        <v>63259</v>
      </c>
      <c r="L10277" s="5" t="s">
        <v>63260</v>
      </c>
      <c r="P10277" s="5"/>
    </row>
    <row r="10278">
      <c r="A10278" s="4">
        <v>45537.76108943287</v>
      </c>
      <c r="B10278" s="5" t="s">
        <v>34</v>
      </c>
      <c r="D10278" s="5" t="s">
        <v>35</v>
      </c>
      <c r="E10278" s="5" t="s">
        <v>27411</v>
      </c>
      <c r="F10278" s="5" t="s">
        <v>524</v>
      </c>
      <c r="G10278" s="5" t="s">
        <v>63261</v>
      </c>
      <c r="H10278" s="6" t="s">
        <v>63262</v>
      </c>
      <c r="I10278" s="7" t="s">
        <v>63263</v>
      </c>
      <c r="J10278" s="8" t="str">
        <f>HYPERLINK("https://drive.google.com/file/d/1xRIaTghkLuJx21POGDiS5qQwCHQ7lRIP/view?usp=drivesdk","10277_NUGRAHA BANU SAPTANA SERTIFIKAT BerAKHLAK")</f>
        <v>10277_NUGRAHA BANU SAPTANA SERTIFIKAT BerAKHLAK</v>
      </c>
      <c r="K10278" s="5" t="s">
        <v>63264</v>
      </c>
      <c r="L10278" s="5" t="s">
        <v>63265</v>
      </c>
      <c r="P10278" s="5"/>
    </row>
    <row r="10279">
      <c r="A10279" s="4">
        <v>45538.340119155095</v>
      </c>
      <c r="B10279" s="5" t="s">
        <v>34</v>
      </c>
      <c r="D10279" s="5" t="s">
        <v>35</v>
      </c>
      <c r="E10279" s="5" t="s">
        <v>60963</v>
      </c>
      <c r="F10279" s="5" t="s">
        <v>37</v>
      </c>
      <c r="G10279" s="5" t="s">
        <v>63266</v>
      </c>
      <c r="H10279" s="6" t="s">
        <v>63267</v>
      </c>
      <c r="I10279" s="7" t="s">
        <v>63268</v>
      </c>
      <c r="J10279" s="8" t="str">
        <f>HYPERLINK("https://drive.google.com/file/d/1lZW6csHlWB-k25ydAB6i_4pjMlcP9Fpf/view?usp=drivesdk","10278_JUNAENA SERTIFIKAT BerAKHLAK")</f>
        <v>10278_JUNAENA SERTIFIKAT BerAKHLAK</v>
      </c>
      <c r="K10279" s="5" t="s">
        <v>29187</v>
      </c>
      <c r="L10279" s="5" t="s">
        <v>63269</v>
      </c>
      <c r="P10279" s="5"/>
    </row>
    <row r="10280">
      <c r="A10280" s="4">
        <v>45538.351487465276</v>
      </c>
      <c r="B10280" s="5" t="s">
        <v>34</v>
      </c>
      <c r="D10280" s="5" t="s">
        <v>9020</v>
      </c>
      <c r="E10280" s="5" t="s">
        <v>63270</v>
      </c>
      <c r="F10280" s="5" t="s">
        <v>212</v>
      </c>
      <c r="G10280" s="5" t="s">
        <v>63271</v>
      </c>
      <c r="H10280" s="6" t="s">
        <v>63272</v>
      </c>
      <c r="I10280" s="7" t="s">
        <v>63273</v>
      </c>
      <c r="J10280" s="8" t="str">
        <f>HYPERLINK("https://drive.google.com/file/d/1Cn42-2wWThEQ8out0yB7K2NCQr6i7PzH/view?usp=drivesdk","10279_HULMAN SIDAURUK SERTIFIKAT BerAKHLAK")</f>
        <v>10279_HULMAN SIDAURUK SERTIFIKAT BerAKHLAK</v>
      </c>
      <c r="K10280" s="5" t="s">
        <v>29355</v>
      </c>
      <c r="L10280" s="5" t="s">
        <v>63274</v>
      </c>
      <c r="P10280" s="5"/>
    </row>
    <row r="10281" hidden="1">
      <c r="A10281" s="4">
        <v>45538.35617241898</v>
      </c>
      <c r="B10281" s="5" t="s">
        <v>19</v>
      </c>
      <c r="C10281" s="5" t="s">
        <v>1606</v>
      </c>
      <c r="E10281" s="5" t="s">
        <v>63275</v>
      </c>
      <c r="F10281" s="5" t="s">
        <v>108</v>
      </c>
      <c r="G10281" s="5" t="s">
        <v>53136</v>
      </c>
      <c r="H10281" s="6" t="s">
        <v>63276</v>
      </c>
      <c r="I10281" s="7" t="s">
        <v>63277</v>
      </c>
      <c r="J10281" s="8" t="str">
        <f>HYPERLINK("https://drive.google.com/file/d/1OEcAlfhvC6mMuGjZcLNWq4gawr9xDRgT/view?usp=drivesdk","10280_GIANTODI SUNOKA SERTIFIKAT BerAKHLAK")</f>
        <v>10280_GIANTODI SUNOKA SERTIFIKAT BerAKHLAK</v>
      </c>
      <c r="K10281" s="5" t="s">
        <v>63278</v>
      </c>
      <c r="L10281" s="5" t="s">
        <v>63279</v>
      </c>
      <c r="P10281" s="5"/>
    </row>
    <row r="10282">
      <c r="A10282" s="4">
        <v>45538.375794479165</v>
      </c>
      <c r="B10282" s="5" t="s">
        <v>34</v>
      </c>
      <c r="D10282" s="5" t="s">
        <v>4775</v>
      </c>
      <c r="E10282" s="5" t="s">
        <v>63280</v>
      </c>
      <c r="F10282" s="5" t="s">
        <v>524</v>
      </c>
      <c r="G10282" s="5" t="s">
        <v>63281</v>
      </c>
      <c r="H10282" s="6" t="s">
        <v>63282</v>
      </c>
      <c r="I10282" s="7" t="s">
        <v>63283</v>
      </c>
      <c r="J10282" s="8" t="str">
        <f>HYPERLINK("https://drive.google.com/file/d/1u-EdbeM2CbM9HjLXG5HZdNJOqOG-hJ_1/view?usp=drivesdk","10281_MARVITA PUJIASTUTI,S.Kep.,Ns SERTIFIKAT BerAKHLAK")</f>
        <v>10281_MARVITA PUJIASTUTI,S.Kep.,Ns SERTIFIKAT BerAKHLAK</v>
      </c>
      <c r="K10282" s="5" t="s">
        <v>63284</v>
      </c>
      <c r="L10282" s="5" t="s">
        <v>63285</v>
      </c>
      <c r="P10282" s="5"/>
    </row>
    <row r="10283" hidden="1">
      <c r="A10283" s="4">
        <v>45538.481590497686</v>
      </c>
      <c r="B10283" s="5" t="s">
        <v>19</v>
      </c>
      <c r="C10283" s="5" t="s">
        <v>38343</v>
      </c>
      <c r="E10283" s="5" t="s">
        <v>53658</v>
      </c>
      <c r="F10283" s="5" t="s">
        <v>524</v>
      </c>
      <c r="G10283" s="5" t="s">
        <v>53659</v>
      </c>
      <c r="H10283" s="6" t="s">
        <v>63286</v>
      </c>
      <c r="I10283" s="7" t="s">
        <v>63287</v>
      </c>
      <c r="J10283" s="8" t="str">
        <f>HYPERLINK("https://drive.google.com/file/d/18T0g8OWvMRWcQeVV_g-WshsuYjIGgajU/view?usp=drivesdk","10282_HARY PRAKOSO SERTIFIKAT BerAKHLAK")</f>
        <v>10282_HARY PRAKOSO SERTIFIKAT BerAKHLAK</v>
      </c>
      <c r="K10283" s="5" t="s">
        <v>63288</v>
      </c>
      <c r="L10283" s="5" t="s">
        <v>63289</v>
      </c>
      <c r="P10283" s="5"/>
    </row>
    <row r="10284">
      <c r="A10284" s="4">
        <v>45538.575540185186</v>
      </c>
      <c r="B10284" s="5" t="s">
        <v>34</v>
      </c>
      <c r="D10284" s="5" t="s">
        <v>9020</v>
      </c>
      <c r="E10284" s="5" t="s">
        <v>63290</v>
      </c>
      <c r="F10284" s="5" t="s">
        <v>37</v>
      </c>
      <c r="G10284" s="5" t="s">
        <v>63291</v>
      </c>
      <c r="H10284" s="6" t="s">
        <v>63292</v>
      </c>
      <c r="I10284" s="7" t="s">
        <v>63293</v>
      </c>
      <c r="J10284" s="8" t="str">
        <f>HYPERLINK("https://drive.google.com/file/d/1ItPQQdnNIpns1s4GTo_i98AxsPjI8TZ3/view?usp=drivesdk","10283_NURHADIJAH SERTIFIKAT BerAKHLAK")</f>
        <v>10283_NURHADIJAH SERTIFIKAT BerAKHLAK</v>
      </c>
      <c r="K10284" s="5" t="s">
        <v>38036</v>
      </c>
      <c r="L10284" s="5" t="s">
        <v>63294</v>
      </c>
      <c r="P10284" s="5"/>
    </row>
    <row r="10285">
      <c r="A10285" s="4">
        <v>45538.625092581016</v>
      </c>
      <c r="B10285" s="5" t="s">
        <v>34</v>
      </c>
      <c r="D10285" s="5" t="s">
        <v>10297</v>
      </c>
      <c r="E10285" s="5" t="s">
        <v>63295</v>
      </c>
      <c r="F10285" s="5" t="s">
        <v>120</v>
      </c>
      <c r="G10285" s="5" t="s">
        <v>63296</v>
      </c>
      <c r="H10285" s="6" t="s">
        <v>63297</v>
      </c>
      <c r="I10285" s="7" t="s">
        <v>63298</v>
      </c>
      <c r="J10285" s="8" t="str">
        <f>HYPERLINK("https://drive.google.com/file/d/1ZIwsa4D4XYVZ088oHyrXwx_BAC2pTwXM/view?usp=drivesdk","10284_ASTRID ANNISA, S. E., M.E. SERTIFIKAT BerAKHLAK")</f>
        <v>10284_ASTRID ANNISA, S. E., M.E. SERTIFIKAT BerAKHLAK</v>
      </c>
      <c r="K10285" s="5" t="s">
        <v>63299</v>
      </c>
      <c r="L10285" s="5" t="s">
        <v>63300</v>
      </c>
      <c r="P10285" s="5"/>
    </row>
    <row r="10286">
      <c r="A10286" s="4">
        <v>45538.687236701386</v>
      </c>
      <c r="B10286" s="5" t="s">
        <v>34</v>
      </c>
      <c r="D10286" s="5" t="s">
        <v>3432</v>
      </c>
      <c r="E10286" s="5" t="s">
        <v>63301</v>
      </c>
      <c r="F10286" s="5" t="s">
        <v>524</v>
      </c>
      <c r="G10286" s="5" t="s">
        <v>63302</v>
      </c>
      <c r="H10286" s="6" t="s">
        <v>63303</v>
      </c>
      <c r="I10286" s="7" t="s">
        <v>63304</v>
      </c>
      <c r="J10286" s="8" t="str">
        <f>HYPERLINK("https://drive.google.com/file/d/1afygtB8yeg9qlcqyQbmCZLQiqg6oSNeb/view?usp=drivesdk","10285_BUDIMAN USIA SERTIFIKAT BerAKHLAK")</f>
        <v>10285_BUDIMAN USIA SERTIFIKAT BerAKHLAK</v>
      </c>
      <c r="K10286" s="5" t="s">
        <v>63305</v>
      </c>
      <c r="L10286" s="5" t="s">
        <v>63306</v>
      </c>
      <c r="P10286" s="5"/>
    </row>
    <row r="10287">
      <c r="A10287" s="4">
        <v>45538.72892688657</v>
      </c>
      <c r="B10287" s="5" t="s">
        <v>34</v>
      </c>
      <c r="D10287" s="5" t="s">
        <v>4775</v>
      </c>
      <c r="E10287" s="5" t="s">
        <v>63307</v>
      </c>
      <c r="F10287" s="5" t="s">
        <v>22</v>
      </c>
      <c r="G10287" s="5" t="s">
        <v>63308</v>
      </c>
      <c r="H10287" s="6" t="s">
        <v>63309</v>
      </c>
      <c r="I10287" s="7" t="s">
        <v>63310</v>
      </c>
      <c r="J10287" s="8" t="str">
        <f>HYPERLINK("https://drive.google.com/file/d/1hipwmJJHOUWHlz1WxyqJgKJQPBnG6SWG/view?usp=drivesdk","10286_dr. SHINTA YULIANA SERTIFIKAT BerAKHLAK")</f>
        <v>10286_dr. SHINTA YULIANA SERTIFIKAT BerAKHLAK</v>
      </c>
      <c r="K10287" s="5" t="s">
        <v>63311</v>
      </c>
      <c r="L10287" s="5" t="s">
        <v>63312</v>
      </c>
      <c r="P10287" s="5"/>
    </row>
    <row r="10288">
      <c r="A10288" s="4">
        <v>45539.03099976852</v>
      </c>
      <c r="B10288" s="5" t="s">
        <v>34</v>
      </c>
      <c r="D10288" s="5" t="s">
        <v>522</v>
      </c>
      <c r="E10288" s="5" t="s">
        <v>44583</v>
      </c>
      <c r="F10288" s="5" t="s">
        <v>72</v>
      </c>
      <c r="G10288" s="5" t="s">
        <v>44584</v>
      </c>
      <c r="H10288" s="6" t="s">
        <v>63313</v>
      </c>
      <c r="I10288" s="7" t="s">
        <v>63314</v>
      </c>
      <c r="J10288" s="8" t="str">
        <f>HYPERLINK("https://drive.google.com/file/d/16IIfrrKqicT2-BDZ8UshRRjvfVv3SMlz/view?usp=drivesdk","10287_YAN HERMAWAN PRASETYO, A.Md SERTIFIKAT BerAKHLAK")</f>
        <v>10287_YAN HERMAWAN PRASETYO, A.Md SERTIFIKAT BerAKHLAK</v>
      </c>
      <c r="K10288" s="5" t="s">
        <v>42365</v>
      </c>
      <c r="L10288" s="5" t="s">
        <v>63315</v>
      </c>
      <c r="P10288" s="5"/>
    </row>
    <row r="10289">
      <c r="A10289" s="4">
        <v>45539.223901481484</v>
      </c>
      <c r="B10289" s="5" t="s">
        <v>34</v>
      </c>
      <c r="D10289" s="5" t="s">
        <v>3432</v>
      </c>
      <c r="E10289" s="5" t="s">
        <v>63316</v>
      </c>
      <c r="F10289" s="5" t="s">
        <v>524</v>
      </c>
      <c r="G10289" s="5" t="s">
        <v>63317</v>
      </c>
      <c r="H10289" s="6" t="s">
        <v>63318</v>
      </c>
      <c r="I10289" s="7" t="s">
        <v>63319</v>
      </c>
      <c r="J10289" s="8" t="str">
        <f>HYPERLINK("https://drive.google.com/file/d/1VPTQAo4aMYDjUmDWz6IAbO9Vlhi0kgIp/view?usp=drivesdk","10288_WAHYUDI,SE SERTIFIKAT BerAKHLAK")</f>
        <v>10288_WAHYUDI,SE SERTIFIKAT BerAKHLAK</v>
      </c>
      <c r="K10289" s="5" t="s">
        <v>63320</v>
      </c>
      <c r="L10289" s="5" t="s">
        <v>63321</v>
      </c>
      <c r="P10289" s="5"/>
    </row>
    <row r="10290">
      <c r="A10290" s="4">
        <v>45539.30001398148</v>
      </c>
      <c r="B10290" s="5" t="s">
        <v>34</v>
      </c>
      <c r="D10290" s="5" t="s">
        <v>3432</v>
      </c>
      <c r="E10290" s="5" t="s">
        <v>63322</v>
      </c>
      <c r="F10290" s="5" t="s">
        <v>524</v>
      </c>
      <c r="G10290" s="5" t="s">
        <v>63323</v>
      </c>
      <c r="H10290" s="6" t="s">
        <v>63324</v>
      </c>
      <c r="I10290" s="7" t="s">
        <v>63325</v>
      </c>
      <c r="J10290" s="8" t="str">
        <f>HYPERLINK("https://drive.google.com/file/d/1NmYnekAXT0Mzk0X1zIJNKKKS4Ayjbvp7/view?usp=drivesdk","10289_MARIYANI, S.E. SERTIFIKAT BerAKHLAK")</f>
        <v>10289_MARIYANI, S.E. SERTIFIKAT BerAKHLAK</v>
      </c>
      <c r="K10290" s="5" t="s">
        <v>63326</v>
      </c>
      <c r="L10290" s="5" t="s">
        <v>63327</v>
      </c>
      <c r="P10290" s="5"/>
    </row>
    <row r="10291">
      <c r="A10291" s="4">
        <v>45539.38011297454</v>
      </c>
      <c r="B10291" s="5" t="s">
        <v>34</v>
      </c>
      <c r="D10291" s="5" t="s">
        <v>1692</v>
      </c>
      <c r="E10291" s="5" t="s">
        <v>63328</v>
      </c>
      <c r="F10291" s="5" t="s">
        <v>108</v>
      </c>
      <c r="G10291" s="5" t="s">
        <v>63329</v>
      </c>
      <c r="H10291" s="6" t="s">
        <v>63330</v>
      </c>
      <c r="I10291" s="7" t="s">
        <v>63331</v>
      </c>
      <c r="J10291" s="8" t="str">
        <f>HYPERLINK("https://drive.google.com/file/d/105O_sHT1k_ukJWe_pVXALDC2beV9tvtt/view?usp=drivesdk","10290_DEDI SUPRIADI SERTIFIKAT BerAKHLAK")</f>
        <v>10290_DEDI SUPRIADI SERTIFIKAT BerAKHLAK</v>
      </c>
      <c r="K10291" s="5" t="s">
        <v>43248</v>
      </c>
      <c r="L10291" s="5" t="s">
        <v>63332</v>
      </c>
      <c r="P10291" s="5"/>
    </row>
    <row r="10292" hidden="1">
      <c r="A10292" s="4">
        <v>45539.48293039352</v>
      </c>
      <c r="B10292" s="5" t="s">
        <v>19</v>
      </c>
      <c r="C10292" s="5" t="s">
        <v>292</v>
      </c>
      <c r="E10292" s="5" t="s">
        <v>42080</v>
      </c>
      <c r="F10292" s="5" t="s">
        <v>37</v>
      </c>
      <c r="G10292" s="5" t="s">
        <v>42081</v>
      </c>
      <c r="H10292" s="6" t="s">
        <v>63333</v>
      </c>
      <c r="I10292" s="7" t="s">
        <v>63334</v>
      </c>
      <c r="J10292" s="8" t="str">
        <f>HYPERLINK("https://drive.google.com/file/d/1uYk7U1Kjh_D954J8zbyYNGNPCgYdxgjr/view?usp=drivesdk","10291_ARIYANTO SARYONO, S.IP SERTIFIKAT BerAKHLAK")</f>
        <v>10291_ARIYANTO SARYONO, S.IP SERTIFIKAT BerAKHLAK</v>
      </c>
      <c r="K10292" s="5" t="s">
        <v>63335</v>
      </c>
      <c r="L10292" s="5" t="s">
        <v>63336</v>
      </c>
      <c r="P10292" s="5"/>
    </row>
    <row r="10293">
      <c r="A10293" s="4">
        <v>45539.49478013889</v>
      </c>
      <c r="B10293" s="5" t="s">
        <v>34</v>
      </c>
      <c r="D10293" s="5" t="s">
        <v>6232</v>
      </c>
      <c r="E10293" s="5" t="s">
        <v>63337</v>
      </c>
      <c r="F10293" s="5" t="s">
        <v>37</v>
      </c>
      <c r="G10293" s="5" t="s">
        <v>63338</v>
      </c>
      <c r="H10293" s="6" t="s">
        <v>63339</v>
      </c>
      <c r="I10293" s="7" t="s">
        <v>63340</v>
      </c>
      <c r="J10293" s="8" t="str">
        <f>HYPERLINK("https://drive.google.com/file/d/1J4pKijyXBU-pmadatXRrg6uSIKxFXBDF/view?usp=drivesdk","10292_TITIK NUR RAMADHON, A.Md., Kom. SERTIFIKAT BerAKHLAK")</f>
        <v>10292_TITIK NUR RAMADHON, A.Md., Kom. SERTIFIKAT BerAKHLAK</v>
      </c>
      <c r="K10293" s="5" t="s">
        <v>63341</v>
      </c>
      <c r="L10293" s="5" t="s">
        <v>63342</v>
      </c>
      <c r="P10293" s="5"/>
    </row>
    <row r="10294">
      <c r="A10294" s="4">
        <v>45539.50745454861</v>
      </c>
      <c r="B10294" s="5" t="s">
        <v>34</v>
      </c>
      <c r="D10294" s="5" t="s">
        <v>1663</v>
      </c>
      <c r="E10294" s="5" t="s">
        <v>63343</v>
      </c>
      <c r="F10294" s="5" t="s">
        <v>108</v>
      </c>
      <c r="G10294" s="5" t="s">
        <v>63344</v>
      </c>
      <c r="H10294" s="6" t="s">
        <v>63345</v>
      </c>
      <c r="I10294" s="7" t="s">
        <v>63346</v>
      </c>
      <c r="J10294" s="8" t="str">
        <f>HYPERLINK("https://drive.google.com/file/d/11d-IMD4aYKn6NT-gmJ3sIaCOX5xJy1pg/view?usp=drivesdk","10293_dr.YENNY RIANI SERTIFIKAT BerAKHLAK")</f>
        <v>10293_dr.YENNY RIANI SERTIFIKAT BerAKHLAK</v>
      </c>
      <c r="K10294" s="5" t="s">
        <v>44925</v>
      </c>
      <c r="L10294" s="5" t="s">
        <v>63347</v>
      </c>
      <c r="P10294" s="5"/>
    </row>
    <row r="10295">
      <c r="A10295" s="4">
        <v>45539.51167746528</v>
      </c>
      <c r="B10295" s="5" t="s">
        <v>34</v>
      </c>
      <c r="D10295" s="5" t="s">
        <v>9020</v>
      </c>
      <c r="E10295" s="5" t="s">
        <v>16390</v>
      </c>
      <c r="F10295" s="5" t="s">
        <v>375</v>
      </c>
      <c r="G10295" s="5" t="s">
        <v>63348</v>
      </c>
      <c r="H10295" s="6" t="s">
        <v>63349</v>
      </c>
      <c r="I10295" s="7" t="s">
        <v>63350</v>
      </c>
      <c r="J10295" s="8" t="str">
        <f>HYPERLINK("https://drive.google.com/file/d/1eHrvNFRi0MSquX1r1pBd1mRhNHE211Wk/view?usp=drivesdk","10294_SITI YANTI HULU SERTIFIKAT BerAKHLAK")</f>
        <v>10294_SITI YANTI HULU SERTIFIKAT BerAKHLAK</v>
      </c>
      <c r="K10295" s="5" t="s">
        <v>45034</v>
      </c>
      <c r="L10295" s="5" t="s">
        <v>63351</v>
      </c>
      <c r="P10295" s="5"/>
    </row>
    <row r="10296">
      <c r="A10296" s="4">
        <v>45540.37862693287</v>
      </c>
      <c r="B10296" s="5" t="s">
        <v>34</v>
      </c>
      <c r="D10296" s="5" t="s">
        <v>12978</v>
      </c>
      <c r="E10296" s="5" t="s">
        <v>63352</v>
      </c>
      <c r="F10296" s="5" t="s">
        <v>375</v>
      </c>
      <c r="G10296" s="5" t="s">
        <v>42989</v>
      </c>
      <c r="H10296" s="6" t="s">
        <v>63353</v>
      </c>
      <c r="I10296" s="7" t="s">
        <v>63354</v>
      </c>
      <c r="J10296" s="8" t="str">
        <f>HYPERLINK("https://drive.google.com/file/d/1AZdHmBzRb8gAeSXeRDrnCL5rYAoDe7aj/view?usp=drivesdk","10295_Apt. Romlan, S. Farm SERTIFIKAT BerAKHLAK")</f>
        <v>10295_Apt. Romlan, S. Farm SERTIFIKAT BerAKHLAK</v>
      </c>
      <c r="K10296" s="5" t="s">
        <v>63355</v>
      </c>
      <c r="L10296" s="5" t="s">
        <v>63356</v>
      </c>
      <c r="P10296" s="5"/>
    </row>
    <row r="10297">
      <c r="A10297" s="4">
        <v>45540.39818253472</v>
      </c>
      <c r="B10297" s="5" t="s">
        <v>34</v>
      </c>
      <c r="D10297" s="5" t="s">
        <v>3432</v>
      </c>
      <c r="E10297" s="5" t="s">
        <v>63322</v>
      </c>
      <c r="F10297" s="5" t="s">
        <v>524</v>
      </c>
      <c r="G10297" s="5" t="s">
        <v>63357</v>
      </c>
      <c r="H10297" s="6" t="s">
        <v>63358</v>
      </c>
      <c r="I10297" s="7" t="s">
        <v>63359</v>
      </c>
      <c r="J10297" s="8" t="str">
        <f>HYPERLINK("https://drive.google.com/file/d/1MAZ07TautdAZIZk15D5I5mhppHuXthP3/view?usp=drivesdk","10296_MARIYANI, S.E. SERTIFIKAT BerAKHLAK")</f>
        <v>10296_MARIYANI, S.E. SERTIFIKAT BerAKHLAK</v>
      </c>
      <c r="K10297" s="5" t="s">
        <v>63360</v>
      </c>
      <c r="L10297" s="5" t="s">
        <v>63361</v>
      </c>
      <c r="P10297" s="5"/>
    </row>
    <row r="10298">
      <c r="A10298" s="4">
        <v>45540.4374874537</v>
      </c>
      <c r="B10298" s="5" t="s">
        <v>34</v>
      </c>
      <c r="D10298" s="5" t="s">
        <v>3432</v>
      </c>
      <c r="E10298" s="5" t="s">
        <v>63362</v>
      </c>
      <c r="F10298" s="5" t="s">
        <v>72</v>
      </c>
      <c r="G10298" s="5" t="s">
        <v>63363</v>
      </c>
      <c r="H10298" s="6" t="s">
        <v>63364</v>
      </c>
      <c r="I10298" s="7" t="s">
        <v>63365</v>
      </c>
      <c r="J10298" s="8" t="str">
        <f>HYPERLINK("https://drive.google.com/file/d/1mdc_fAiCkn_WxnInjIUCCuYbYGbR559T/view?usp=drivesdk","10297_Febiola Hesty Amanupunyo SERTIFIKAT BerAKHLAK")</f>
        <v>10297_Febiola Hesty Amanupunyo SERTIFIKAT BerAKHLAK</v>
      </c>
      <c r="K10298" s="5" t="s">
        <v>63366</v>
      </c>
      <c r="L10298" s="5" t="s">
        <v>63367</v>
      </c>
      <c r="P10298" s="5"/>
    </row>
    <row r="10299">
      <c r="A10299" s="4">
        <v>45540.442335879634</v>
      </c>
      <c r="B10299" s="5" t="s">
        <v>34</v>
      </c>
      <c r="D10299" s="5" t="s">
        <v>9020</v>
      </c>
      <c r="E10299" s="5" t="s">
        <v>63368</v>
      </c>
      <c r="F10299" s="5" t="s">
        <v>212</v>
      </c>
      <c r="G10299" s="5" t="s">
        <v>63369</v>
      </c>
      <c r="H10299" s="6" t="s">
        <v>63370</v>
      </c>
      <c r="I10299" s="7" t="s">
        <v>63371</v>
      </c>
      <c r="J10299" s="8" t="str">
        <f>HYPERLINK("https://drive.google.com/file/d/1nJ784Xc4KWmojBDbsccWpnqS986TCP_8/view?usp=drivesdk","10298_OKVIANTI, S.Pd SERTIFIKAT BerAKHLAK")</f>
        <v>10298_OKVIANTI, S.Pd SERTIFIKAT BerAKHLAK</v>
      </c>
      <c r="K10299" s="5" t="s">
        <v>49567</v>
      </c>
      <c r="L10299" s="5" t="s">
        <v>63372</v>
      </c>
      <c r="P10299" s="5"/>
    </row>
    <row r="10300">
      <c r="A10300" s="4">
        <v>45540.44366975695</v>
      </c>
      <c r="B10300" s="5" t="s">
        <v>34</v>
      </c>
      <c r="D10300" s="5" t="s">
        <v>9020</v>
      </c>
      <c r="E10300" s="5" t="s">
        <v>63373</v>
      </c>
      <c r="F10300" s="5" t="s">
        <v>120</v>
      </c>
      <c r="G10300" s="5" t="s">
        <v>26547</v>
      </c>
      <c r="H10300" s="6" t="s">
        <v>63374</v>
      </c>
      <c r="I10300" s="7" t="s">
        <v>63375</v>
      </c>
      <c r="J10300" s="8" t="str">
        <f>HYPERLINK("https://drive.google.com/file/d/1zy485e4ygp8vNB6SenHH47RK5FThooaO/view?usp=drivesdk","10299_EDDY WIJAYA SUKATENDEL, SE,MM SERTIFIKAT BerAKHLAK")</f>
        <v>10299_EDDY WIJAYA SUKATENDEL, SE,MM SERTIFIKAT BerAKHLAK</v>
      </c>
      <c r="K10300" s="5" t="s">
        <v>63376</v>
      </c>
      <c r="L10300" s="5" t="s">
        <v>63377</v>
      </c>
      <c r="P10300" s="5"/>
    </row>
    <row r="10301">
      <c r="A10301" s="4">
        <v>45540.44452109953</v>
      </c>
      <c r="B10301" s="5" t="s">
        <v>34</v>
      </c>
      <c r="D10301" s="5" t="s">
        <v>9020</v>
      </c>
      <c r="E10301" s="5" t="s">
        <v>63378</v>
      </c>
      <c r="F10301" s="5" t="s">
        <v>524</v>
      </c>
      <c r="G10301" s="5" t="s">
        <v>63379</v>
      </c>
      <c r="H10301" s="6" t="s">
        <v>63380</v>
      </c>
      <c r="I10301" s="7" t="s">
        <v>63381</v>
      </c>
      <c r="J10301" s="8" t="str">
        <f>HYPERLINK("https://drive.google.com/file/d/1OuuFTljBrHjwwa4QIrQ_CJ6Qra44QC8j/view?usp=drivesdk","10300_EMMIRIDAWATI BR BUKIT SKM,MKM SERTIFIKAT BerAKHLAK")</f>
        <v>10300_EMMIRIDAWATI BR BUKIT SKM,MKM SERTIFIKAT BerAKHLAK</v>
      </c>
      <c r="K10301" s="5" t="s">
        <v>49622</v>
      </c>
      <c r="L10301" s="5" t="s">
        <v>63382</v>
      </c>
      <c r="P10301" s="5"/>
    </row>
    <row r="10302">
      <c r="A10302" s="4">
        <v>45540.44573697916</v>
      </c>
      <c r="B10302" s="5" t="s">
        <v>34</v>
      </c>
      <c r="D10302" s="5" t="s">
        <v>9020</v>
      </c>
      <c r="E10302" s="5" t="s">
        <v>63383</v>
      </c>
      <c r="F10302" s="5" t="s">
        <v>375</v>
      </c>
      <c r="G10302" s="5" t="s">
        <v>63384</v>
      </c>
      <c r="H10302" s="6" t="s">
        <v>63385</v>
      </c>
      <c r="I10302" s="7" t="s">
        <v>63386</v>
      </c>
      <c r="J10302" s="8" t="str">
        <f>HYPERLINK("https://drive.google.com/file/d/1aQfTG4EgoRVmXanLMb3AxfGJw_dNSluk/view?usp=drivesdk","10301_MUHAMMAD KIKI ARDIANSYAH SE SERTIFIKAT BerAKHLAK")</f>
        <v>10301_MUHAMMAD KIKI ARDIANSYAH SE SERTIFIKAT BerAKHLAK</v>
      </c>
      <c r="K10302" s="5" t="s">
        <v>49652</v>
      </c>
      <c r="L10302" s="5" t="s">
        <v>63387</v>
      </c>
      <c r="P10302" s="5"/>
    </row>
    <row r="10303">
      <c r="A10303" s="4">
        <v>45540.44622253472</v>
      </c>
      <c r="B10303" s="5" t="s">
        <v>34</v>
      </c>
      <c r="D10303" s="5" t="s">
        <v>3432</v>
      </c>
      <c r="E10303" s="5" t="s">
        <v>63388</v>
      </c>
      <c r="F10303" s="5" t="s">
        <v>524</v>
      </c>
      <c r="G10303" s="5" t="s">
        <v>63389</v>
      </c>
      <c r="H10303" s="6" t="s">
        <v>63390</v>
      </c>
      <c r="I10303" s="7" t="s">
        <v>63391</v>
      </c>
      <c r="J10303" s="8" t="str">
        <f>HYPERLINK("https://drive.google.com/file/d/1axh3FIw2tVuNwtkCnkV_dbeW6u5xafya/view?usp=drivesdk","10302_MELDA AGNES MANUHUTU SERTIFIKAT BerAKHLAK")</f>
        <v>10302_MELDA AGNES MANUHUTU SERTIFIKAT BerAKHLAK</v>
      </c>
      <c r="K10303" s="5" t="s">
        <v>49674</v>
      </c>
      <c r="L10303" s="5" t="s">
        <v>63392</v>
      </c>
      <c r="P10303" s="5"/>
    </row>
    <row r="10304">
      <c r="A10304" s="4">
        <v>45540.44650099537</v>
      </c>
      <c r="B10304" s="5" t="s">
        <v>34</v>
      </c>
      <c r="D10304" s="5" t="s">
        <v>9020</v>
      </c>
      <c r="E10304" s="5" t="s">
        <v>63393</v>
      </c>
      <c r="F10304" s="5" t="s">
        <v>375</v>
      </c>
      <c r="G10304" s="5" t="s">
        <v>63394</v>
      </c>
      <c r="H10304" s="6" t="s">
        <v>63395</v>
      </c>
      <c r="I10304" s="7" t="s">
        <v>63396</v>
      </c>
      <c r="J10304" s="8" t="str">
        <f>HYPERLINK("https://drive.google.com/file/d/14_XKHbDfdTa45MZwNTtmXFOtqO3BG5s7/view?usp=drivesdk","10303_YULI RAHMI, S.S. SERTIFIKAT BerAKHLAK")</f>
        <v>10303_YULI RAHMI, S.S. SERTIFIKAT BerAKHLAK</v>
      </c>
      <c r="K10304" s="5" t="s">
        <v>49674</v>
      </c>
      <c r="L10304" s="5" t="s">
        <v>63397</v>
      </c>
      <c r="P10304" s="5"/>
    </row>
    <row r="10305">
      <c r="A10305" s="4">
        <v>45540.446805671294</v>
      </c>
      <c r="B10305" s="5" t="s">
        <v>34</v>
      </c>
      <c r="D10305" s="5" t="s">
        <v>9020</v>
      </c>
      <c r="E10305" s="5" t="s">
        <v>63398</v>
      </c>
      <c r="F10305" s="5" t="s">
        <v>37</v>
      </c>
      <c r="G10305" s="5" t="s">
        <v>63399</v>
      </c>
      <c r="H10305" s="6" t="s">
        <v>63400</v>
      </c>
      <c r="I10305" s="7" t="s">
        <v>63401</v>
      </c>
      <c r="J10305" s="8" t="str">
        <f>HYPERLINK("https://drive.google.com/file/d/1Zomuq_LMH0iP1rkhKThehwyKVIIt3Z7y/view?usp=drivesdk","10304_MUHAMMAD ILHAM AMINNULLAH LUBIS SERTIFIKAT BerAKHLAK")</f>
        <v>10304_MUHAMMAD ILHAM AMINNULLAH LUBIS SERTIFIKAT BerAKHLAK</v>
      </c>
      <c r="K10305" s="5" t="s">
        <v>63402</v>
      </c>
      <c r="L10305" s="5" t="s">
        <v>63403</v>
      </c>
      <c r="P10305" s="5"/>
    </row>
    <row r="10306">
      <c r="A10306" s="4">
        <v>45540.446923599535</v>
      </c>
      <c r="B10306" s="5" t="s">
        <v>34</v>
      </c>
      <c r="D10306" s="5" t="s">
        <v>9020</v>
      </c>
      <c r="E10306" s="5" t="s">
        <v>63404</v>
      </c>
      <c r="F10306" s="5" t="s">
        <v>37</v>
      </c>
      <c r="G10306" s="5" t="s">
        <v>63405</v>
      </c>
      <c r="H10306" s="6" t="s">
        <v>63406</v>
      </c>
      <c r="I10306" s="7" t="s">
        <v>63407</v>
      </c>
      <c r="J10306" s="8" t="str">
        <f>HYPERLINK("https://drive.google.com/file/d/1o5cPwb1OoTqpWOo5x3Alm7-_DNKfh2OX/view?usp=drivesdk","10305_MELFA FARIDA PANGARIBUAN, SKEP  SERTIFIKAT BerAKHLAK")</f>
        <v>10305_MELFA FARIDA PANGARIBUAN, SKEP  SERTIFIKAT BerAKHLAK</v>
      </c>
      <c r="K10306" s="5" t="s">
        <v>49700</v>
      </c>
      <c r="L10306" s="5" t="s">
        <v>63408</v>
      </c>
      <c r="P10306" s="5"/>
    </row>
    <row r="10307">
      <c r="A10307" s="4">
        <v>45540.447205115735</v>
      </c>
      <c r="B10307" s="5" t="s">
        <v>34</v>
      </c>
      <c r="D10307" s="5" t="s">
        <v>9020</v>
      </c>
      <c r="E10307" s="5" t="s">
        <v>14741</v>
      </c>
      <c r="F10307" s="5" t="s">
        <v>37</v>
      </c>
      <c r="G10307" s="5" t="s">
        <v>14742</v>
      </c>
      <c r="H10307" s="6" t="s">
        <v>63409</v>
      </c>
      <c r="I10307" s="7" t="s">
        <v>63410</v>
      </c>
      <c r="J10307" s="8" t="str">
        <f>HYPERLINK("https://drive.google.com/file/d/1ibhL9EZnWf4cn7l5auCjU1kdbL7amdAx/view?usp=drivesdk","10306_MAHARANI SERTIFIKAT BerAKHLAK")</f>
        <v>10306_MAHARANI SERTIFIKAT BerAKHLAK</v>
      </c>
      <c r="K10307" s="5" t="s">
        <v>49700</v>
      </c>
      <c r="L10307" s="5" t="s">
        <v>63411</v>
      </c>
      <c r="P10307" s="5"/>
    </row>
    <row r="10308">
      <c r="A10308" s="4">
        <v>45540.45205423611</v>
      </c>
      <c r="B10308" s="5" t="s">
        <v>34</v>
      </c>
      <c r="D10308" s="5" t="s">
        <v>9020</v>
      </c>
      <c r="E10308" s="5" t="s">
        <v>63412</v>
      </c>
      <c r="F10308" s="5" t="s">
        <v>524</v>
      </c>
      <c r="G10308" s="5" t="s">
        <v>63413</v>
      </c>
      <c r="H10308" s="6" t="s">
        <v>63414</v>
      </c>
      <c r="I10308" s="7" t="s">
        <v>63415</v>
      </c>
      <c r="J10308" s="8" t="str">
        <f>HYPERLINK("https://drive.google.com/file/d/1dhoFHvt2N28AQa3TgXxUIaDMbf2FKdoa/view?usp=drivesdk","10307_Ririn Pebrina Br Marpaung, S.Kom SERTIFIKAT BerAKHLAK")</f>
        <v>10307_Ririn Pebrina Br Marpaung, S.Kom SERTIFIKAT BerAKHLAK</v>
      </c>
      <c r="K10308" s="5" t="s">
        <v>49783</v>
      </c>
      <c r="L10308" s="5" t="s">
        <v>63416</v>
      </c>
    </row>
    <row r="10309">
      <c r="A10309" s="4">
        <v>45540.45236862269</v>
      </c>
      <c r="B10309" s="5" t="s">
        <v>34</v>
      </c>
      <c r="D10309" s="5" t="s">
        <v>3432</v>
      </c>
      <c r="E10309" s="5" t="s">
        <v>63417</v>
      </c>
      <c r="F10309" s="5" t="s">
        <v>72</v>
      </c>
      <c r="G10309" s="5" t="s">
        <v>63418</v>
      </c>
      <c r="H10309" s="6" t="s">
        <v>63419</v>
      </c>
      <c r="I10309" s="7" t="s">
        <v>63420</v>
      </c>
      <c r="J10309" s="8" t="str">
        <f>HYPERLINK("https://drive.google.com/file/d/17qNRnj3RIKCJoONK-02nsSoLwHWeVvKl/view?usp=drivesdk","10308_Mariafu Ladede, S.Kep., S.H SERTIFIKAT BerAKHLAK")</f>
        <v>10308_Mariafu Ladede, S.Kep., S.H SERTIFIKAT BerAKHLAK</v>
      </c>
      <c r="K10309" s="5" t="s">
        <v>63421</v>
      </c>
      <c r="L10309" s="5" t="s">
        <v>63422</v>
      </c>
    </row>
    <row r="10310">
      <c r="A10310" s="4">
        <v>45540.45329427083</v>
      </c>
      <c r="B10310" s="5" t="s">
        <v>34</v>
      </c>
      <c r="D10310" s="5" t="s">
        <v>9020</v>
      </c>
      <c r="E10310" s="5" t="s">
        <v>63423</v>
      </c>
      <c r="F10310" s="5" t="s">
        <v>212</v>
      </c>
      <c r="G10310" s="5" t="s">
        <v>63424</v>
      </c>
      <c r="H10310" s="6" t="s">
        <v>63425</v>
      </c>
      <c r="I10310" s="7" t="s">
        <v>63426</v>
      </c>
      <c r="J10310" s="8" t="str">
        <f>HYPERLINK("https://drive.google.com/file/d/1RZ3M7uNi0K1sUy__9jBsx2hM6AwmaTTc/view?usp=drivesdk","10309_Betty Nuriani Saragih  SERTIFIKAT BerAKHLAK")</f>
        <v>10309_Betty Nuriani Saragih  SERTIFIKAT BerAKHLAK</v>
      </c>
      <c r="K10310" s="5" t="s">
        <v>49816</v>
      </c>
      <c r="L10310" s="5" t="s">
        <v>63427</v>
      </c>
    </row>
    <row r="10311">
      <c r="A10311" s="4">
        <v>45540.453621458335</v>
      </c>
      <c r="B10311" s="5" t="s">
        <v>34</v>
      </c>
      <c r="D10311" s="5" t="s">
        <v>9020</v>
      </c>
      <c r="E10311" s="5" t="s">
        <v>63428</v>
      </c>
      <c r="F10311" s="5" t="s">
        <v>212</v>
      </c>
      <c r="G10311" s="5" t="s">
        <v>63429</v>
      </c>
      <c r="H10311" s="6" t="s">
        <v>63430</v>
      </c>
      <c r="I10311" s="7" t="s">
        <v>63431</v>
      </c>
      <c r="J10311" s="8" t="str">
        <f>HYPERLINK("https://drive.google.com/file/d/12JDVgYhNRK8iXpsPCTjDL-l3V94QTVXl/view?usp=drivesdk","10310_DHARMA BAKTI AMD.Kep SERTIFIKAT BerAKHLAK")</f>
        <v>10310_DHARMA BAKTI AMD.Kep SERTIFIKAT BerAKHLAK</v>
      </c>
      <c r="K10311" s="5" t="s">
        <v>49816</v>
      </c>
      <c r="L10311" s="5" t="s">
        <v>63432</v>
      </c>
    </row>
    <row r="10312">
      <c r="A10312" s="4">
        <v>45540.454240266205</v>
      </c>
      <c r="B10312" s="5" t="s">
        <v>34</v>
      </c>
      <c r="D10312" s="5" t="s">
        <v>9020</v>
      </c>
      <c r="E10312" s="5" t="s">
        <v>44836</v>
      </c>
      <c r="F10312" s="5" t="s">
        <v>212</v>
      </c>
      <c r="G10312" s="5" t="s">
        <v>63433</v>
      </c>
      <c r="H10312" s="6" t="s">
        <v>63434</v>
      </c>
      <c r="I10312" s="7" t="s">
        <v>63435</v>
      </c>
      <c r="J10312" s="8" t="str">
        <f>HYPERLINK("https://drive.google.com/file/d/1IKCI_N8ePo1cLoJ2iNTujKwSXnuHjWYT/view?usp=drivesdk","10311_RUSNI PENGATUR TK SERTIFIKAT BerAKHLAK")</f>
        <v>10311_RUSNI PENGATUR TK SERTIFIKAT BerAKHLAK</v>
      </c>
      <c r="K10312" s="5" t="s">
        <v>49832</v>
      </c>
      <c r="L10312" s="5" t="s">
        <v>63436</v>
      </c>
    </row>
    <row r="10313">
      <c r="A10313" s="4">
        <v>45540.457440115744</v>
      </c>
      <c r="B10313" s="5" t="s">
        <v>34</v>
      </c>
      <c r="D10313" s="5" t="s">
        <v>9020</v>
      </c>
      <c r="E10313" s="5" t="s">
        <v>33431</v>
      </c>
      <c r="F10313" s="5" t="s">
        <v>37</v>
      </c>
      <c r="G10313" s="5" t="s">
        <v>33432</v>
      </c>
      <c r="H10313" s="6" t="s">
        <v>63437</v>
      </c>
      <c r="I10313" s="7" t="s">
        <v>63438</v>
      </c>
      <c r="J10313" s="8" t="str">
        <f>HYPERLINK("https://drive.google.com/file/d/18tvLHDE0rQLD832JRK4BbMHFswjo-wTv/view?usp=drivesdk","10312_ROSNIATI GEA SERTIFIKAT BerAKHLAK")</f>
        <v>10312_ROSNIATI GEA SERTIFIKAT BerAKHLAK</v>
      </c>
      <c r="K10313" s="5" t="s">
        <v>49892</v>
      </c>
      <c r="L10313" s="5" t="s">
        <v>63439</v>
      </c>
    </row>
    <row r="10314">
      <c r="A10314" s="4">
        <v>45540.4581127662</v>
      </c>
      <c r="B10314" s="5" t="s">
        <v>34</v>
      </c>
      <c r="D10314" s="5" t="s">
        <v>9020</v>
      </c>
      <c r="E10314" s="5" t="s">
        <v>59871</v>
      </c>
      <c r="F10314" s="5" t="s">
        <v>212</v>
      </c>
      <c r="G10314" s="5" t="s">
        <v>63440</v>
      </c>
      <c r="H10314" s="6" t="s">
        <v>63441</v>
      </c>
      <c r="I10314" s="7" t="s">
        <v>63442</v>
      </c>
      <c r="J10314" s="8" t="str">
        <f>HYPERLINK("https://drive.google.com/file/d/19jPtx5o9VsP531OVNNmXvrKw5soo8paG/view?usp=drivesdk","10313_SRI ANDAYANI SERTIFIKAT BerAKHLAK")</f>
        <v>10313_SRI ANDAYANI SERTIFIKAT BerAKHLAK</v>
      </c>
      <c r="K10314" s="5" t="s">
        <v>63443</v>
      </c>
      <c r="L10314" s="5" t="s">
        <v>63444</v>
      </c>
    </row>
    <row r="10315">
      <c r="A10315" s="4">
        <v>45540.46039910879</v>
      </c>
      <c r="B10315" s="5" t="s">
        <v>34</v>
      </c>
      <c r="D10315" s="5" t="s">
        <v>9020</v>
      </c>
      <c r="E10315" s="5" t="s">
        <v>63445</v>
      </c>
      <c r="F10315" s="5" t="s">
        <v>212</v>
      </c>
      <c r="G10315" s="5" t="s">
        <v>63446</v>
      </c>
      <c r="H10315" s="6" t="s">
        <v>63447</v>
      </c>
      <c r="I10315" s="7" t="s">
        <v>63448</v>
      </c>
      <c r="J10315" s="8" t="str">
        <f>HYPERLINK("https://drive.google.com/file/d/10kwQBV7Bgq72KL-S-2vEPl9pCvjvCDJO/view?usp=drivesdk","10314_ABDI DARMA SERTIFIKAT BerAKHLAK")</f>
        <v>10314_ABDI DARMA SERTIFIKAT BerAKHLAK</v>
      </c>
      <c r="K10315" s="5" t="s">
        <v>50036</v>
      </c>
      <c r="L10315" s="5" t="s">
        <v>63449</v>
      </c>
    </row>
    <row r="10316">
      <c r="A10316" s="4">
        <v>45540.46225831019</v>
      </c>
      <c r="B10316" s="5" t="s">
        <v>34</v>
      </c>
      <c r="D10316" s="5" t="s">
        <v>9020</v>
      </c>
      <c r="E10316" s="5" t="s">
        <v>63450</v>
      </c>
      <c r="F10316" s="5" t="s">
        <v>212</v>
      </c>
      <c r="G10316" s="5" t="s">
        <v>63429</v>
      </c>
      <c r="H10316" s="6" t="s">
        <v>63451</v>
      </c>
      <c r="I10316" s="7" t="s">
        <v>63452</v>
      </c>
      <c r="J10316" s="8" t="str">
        <f>HYPERLINK("https://drive.google.com/file/d/1Uo2sUeA6L0jnoahmslCcE6mlEBb6LaWo/view?usp=drivesdk","10315_DHARMA BAKTI Amd.Kep SERTIFIKAT BerAKHLAK")</f>
        <v>10315_DHARMA BAKTI Amd.Kep SERTIFIKAT BerAKHLAK</v>
      </c>
      <c r="K10316" s="5" t="s">
        <v>50036</v>
      </c>
      <c r="L10316" s="5" t="s">
        <v>63453</v>
      </c>
    </row>
    <row r="10317">
      <c r="A10317" s="4">
        <v>45540.46299712963</v>
      </c>
      <c r="B10317" s="5" t="s">
        <v>34</v>
      </c>
      <c r="D10317" s="5" t="s">
        <v>9020</v>
      </c>
      <c r="E10317" s="5" t="s">
        <v>63454</v>
      </c>
      <c r="F10317" s="5" t="s">
        <v>212</v>
      </c>
      <c r="G10317" s="5" t="s">
        <v>63455</v>
      </c>
      <c r="H10317" s="6" t="s">
        <v>63456</v>
      </c>
      <c r="I10317" s="7" t="s">
        <v>63457</v>
      </c>
      <c r="J10317" s="8" t="str">
        <f>HYPERLINK("https://drive.google.com/file/d/1_qeLt2mpdypykQ_criKSYqp3HkcSt3AY/view?usp=drivesdk","10316_JURAIDA MATONDANG SERTIFIKAT BerAKHLAK")</f>
        <v>10316_JURAIDA MATONDANG SERTIFIKAT BerAKHLAK</v>
      </c>
      <c r="K10317" s="5" t="s">
        <v>50036</v>
      </c>
      <c r="L10317" s="5" t="s">
        <v>63458</v>
      </c>
    </row>
    <row r="10318">
      <c r="A10318" s="4">
        <v>45540.46322642361</v>
      </c>
      <c r="B10318" s="5" t="s">
        <v>34</v>
      </c>
      <c r="D10318" s="5" t="s">
        <v>3432</v>
      </c>
      <c r="E10318" s="5" t="s">
        <v>63459</v>
      </c>
      <c r="F10318" s="5" t="s">
        <v>37</v>
      </c>
      <c r="G10318" s="5" t="s">
        <v>63460</v>
      </c>
      <c r="H10318" s="6" t="s">
        <v>63461</v>
      </c>
      <c r="I10318" s="7" t="s">
        <v>63462</v>
      </c>
      <c r="J10318" s="8" t="str">
        <f>HYPERLINK("https://drive.google.com/file/d/1zLaLcZlDzSst1reimRy8LPSCu1ZwIWn1/view?usp=drivesdk","10317_TAUFIK SUYONO, A.MD. KEP SERTIFIKAT BerAKHLAK")</f>
        <v>10317_TAUFIK SUYONO, A.MD. KEP SERTIFIKAT BerAKHLAK</v>
      </c>
      <c r="K10318" s="5" t="s">
        <v>50036</v>
      </c>
      <c r="L10318" s="5" t="s">
        <v>63463</v>
      </c>
    </row>
    <row r="10319">
      <c r="A10319" s="4">
        <v>45540.46436949074</v>
      </c>
      <c r="B10319" s="5" t="s">
        <v>34</v>
      </c>
      <c r="D10319" s="5" t="s">
        <v>9020</v>
      </c>
      <c r="E10319" s="5" t="s">
        <v>63464</v>
      </c>
      <c r="F10319" s="5" t="s">
        <v>37</v>
      </c>
      <c r="G10319" s="5" t="s">
        <v>33989</v>
      </c>
      <c r="H10319" s="6" t="s">
        <v>63465</v>
      </c>
      <c r="I10319" s="7" t="s">
        <v>63466</v>
      </c>
      <c r="J10319" s="8" t="str">
        <f>HYPERLINK("https://drive.google.com/file/d/1WT9kHBW3Bn2K1JRR6kqeDhZhEAhQdqcR/view?usp=drivesdk","10318_LAMTIUR HOTMARIANAINGGOLAN SERTIFIKAT BerAKHLAK")</f>
        <v>10318_LAMTIUR HOTMARIANAINGGOLAN SERTIFIKAT BerAKHLAK</v>
      </c>
      <c r="K10319" s="5" t="s">
        <v>50036</v>
      </c>
      <c r="L10319" s="5" t="s">
        <v>63467</v>
      </c>
    </row>
    <row r="10320">
      <c r="A10320" s="4">
        <v>45540.46612240741</v>
      </c>
      <c r="B10320" s="5" t="s">
        <v>34</v>
      </c>
      <c r="D10320" s="5" t="s">
        <v>9020</v>
      </c>
      <c r="E10320" s="5" t="s">
        <v>63468</v>
      </c>
      <c r="F10320" s="5" t="s">
        <v>37</v>
      </c>
      <c r="G10320" s="5" t="s">
        <v>63469</v>
      </c>
      <c r="H10320" s="6" t="s">
        <v>63470</v>
      </c>
      <c r="I10320" s="7" t="s">
        <v>63471</v>
      </c>
      <c r="J10320" s="8" t="str">
        <f>HYPERLINK("https://drive.google.com/file/d/11Zrqrvdpmm_iJMVLc_L5vGaoeclx_jtf/view?usp=drivesdk","10319_TONY IRAWAN SERTIFIKAT BerAKHLAK")</f>
        <v>10319_TONY IRAWAN SERTIFIKAT BerAKHLAK</v>
      </c>
      <c r="K10320" s="5" t="s">
        <v>63472</v>
      </c>
      <c r="L10320" s="5" t="s">
        <v>63473</v>
      </c>
    </row>
    <row r="10321">
      <c r="A10321" s="4">
        <v>45540.46637083333</v>
      </c>
      <c r="B10321" s="5" t="s">
        <v>34</v>
      </c>
      <c r="D10321" s="5" t="s">
        <v>9020</v>
      </c>
      <c r="E10321" s="5" t="s">
        <v>51809</v>
      </c>
      <c r="F10321" s="5" t="s">
        <v>37</v>
      </c>
      <c r="G10321" s="5" t="s">
        <v>63474</v>
      </c>
      <c r="H10321" s="6" t="s">
        <v>63475</v>
      </c>
      <c r="I10321" s="7" t="s">
        <v>63476</v>
      </c>
      <c r="J10321" s="8" t="str">
        <f>HYPERLINK("https://drive.google.com/file/d/10Cmx1e8sLuq5Puoi7V8D9kFK-8TUt159/view?usp=drivesdk","10320_DEWI SARTIKA SILALAHI SERTIFIKAT BerAKHLAK")</f>
        <v>10320_DEWI SARTIKA SILALAHI SERTIFIKAT BerAKHLAK</v>
      </c>
      <c r="K10321" s="5" t="s">
        <v>63472</v>
      </c>
      <c r="L10321" s="5" t="s">
        <v>63477</v>
      </c>
    </row>
    <row r="10322">
      <c r="A10322" s="4">
        <v>45540.46715011574</v>
      </c>
      <c r="B10322" s="5" t="s">
        <v>34</v>
      </c>
      <c r="D10322" s="5" t="s">
        <v>9020</v>
      </c>
      <c r="E10322" s="5" t="s">
        <v>49216</v>
      </c>
      <c r="F10322" s="5" t="s">
        <v>212</v>
      </c>
      <c r="G10322" s="5" t="s">
        <v>49217</v>
      </c>
      <c r="H10322" s="6" t="s">
        <v>63478</v>
      </c>
      <c r="I10322" s="7" t="s">
        <v>63479</v>
      </c>
      <c r="J10322" s="8" t="str">
        <f>HYPERLINK("https://drive.google.com/file/d/1f7AxZDAZyGvKxvV-LtzZKKNoMES6eG_R/view?usp=drivesdk","10321_RAHMADIANA SERTIFIKAT BerAKHLAK")</f>
        <v>10321_RAHMADIANA SERTIFIKAT BerAKHLAK</v>
      </c>
      <c r="K10322" s="5" t="s">
        <v>63472</v>
      </c>
      <c r="L10322" s="5" t="s">
        <v>63480</v>
      </c>
    </row>
    <row r="10323">
      <c r="A10323" s="4">
        <v>45540.467247719906</v>
      </c>
      <c r="B10323" s="5" t="s">
        <v>34</v>
      </c>
      <c r="D10323" s="5" t="s">
        <v>9020</v>
      </c>
      <c r="E10323" s="5" t="s">
        <v>63481</v>
      </c>
      <c r="F10323" s="5" t="s">
        <v>37</v>
      </c>
      <c r="G10323" s="5" t="s">
        <v>63482</v>
      </c>
      <c r="H10323" s="6" t="s">
        <v>63483</v>
      </c>
      <c r="I10323" s="7" t="s">
        <v>63484</v>
      </c>
      <c r="J10323" s="8" t="str">
        <f>HYPERLINK("https://drive.google.com/file/d/1s9sWgdPXYnmcnEoC3Ju_V23QeCvQ4rxo/view?usp=drivesdk","10322_SRI MUJIATI, S.H SERTIFIKAT BerAKHLAK")</f>
        <v>10322_SRI MUJIATI, S.H SERTIFIKAT BerAKHLAK</v>
      </c>
      <c r="K10323" s="5" t="s">
        <v>63472</v>
      </c>
      <c r="L10323" s="5" t="s">
        <v>63485</v>
      </c>
    </row>
    <row r="10324">
      <c r="A10324" s="4">
        <v>45540.467527789355</v>
      </c>
      <c r="B10324" s="5" t="s">
        <v>34</v>
      </c>
      <c r="D10324" s="5" t="s">
        <v>9020</v>
      </c>
      <c r="E10324" s="5" t="s">
        <v>63486</v>
      </c>
      <c r="F10324" s="5" t="s">
        <v>212</v>
      </c>
      <c r="G10324" s="5" t="s">
        <v>63487</v>
      </c>
      <c r="H10324" s="6" t="s">
        <v>63488</v>
      </c>
      <c r="I10324" s="7" t="s">
        <v>63489</v>
      </c>
      <c r="J10324" s="8" t="str">
        <f>HYPERLINK("https://drive.google.com/file/d/1GWmZI-V7QImJhL5AfSgrlVrngn0HrTJR/view?usp=drivesdk","10323_RUPI'AH DAMANIK SERTIFIKAT BerAKHLAK")</f>
        <v>10323_RUPI'AH DAMANIK SERTIFIKAT BerAKHLAK</v>
      </c>
      <c r="K10324" s="5" t="s">
        <v>63472</v>
      </c>
      <c r="L10324" s="5" t="s">
        <v>63490</v>
      </c>
    </row>
    <row r="10325">
      <c r="A10325" s="4">
        <v>45540.469923807876</v>
      </c>
      <c r="B10325" s="5" t="s">
        <v>34</v>
      </c>
      <c r="D10325" s="5" t="s">
        <v>9020</v>
      </c>
      <c r="E10325" s="5" t="s">
        <v>63454</v>
      </c>
      <c r="F10325" s="5" t="s">
        <v>212</v>
      </c>
      <c r="G10325" s="5" t="s">
        <v>63455</v>
      </c>
      <c r="H10325" s="6" t="s">
        <v>63491</v>
      </c>
      <c r="I10325" s="7" t="s">
        <v>63492</v>
      </c>
      <c r="J10325" s="8" t="str">
        <f>HYPERLINK("https://drive.google.com/file/d/1QG_TGlRRHHwHsDpBJ2LBmvwANZnVeokX/view?usp=drivesdk","10324_JURAIDA MATONDANG SERTIFIKAT BerAKHLAK")</f>
        <v>10324_JURAIDA MATONDANG SERTIFIKAT BerAKHLAK</v>
      </c>
      <c r="K10325" s="5" t="s">
        <v>63472</v>
      </c>
      <c r="L10325" s="5" t="s">
        <v>63493</v>
      </c>
    </row>
    <row r="10326">
      <c r="A10326" s="4">
        <v>45540.46994313657</v>
      </c>
      <c r="B10326" s="5" t="s">
        <v>34</v>
      </c>
      <c r="D10326" s="5" t="s">
        <v>9020</v>
      </c>
      <c r="E10326" s="5" t="s">
        <v>15109</v>
      </c>
      <c r="F10326" s="5" t="s">
        <v>524</v>
      </c>
      <c r="G10326" s="5" t="s">
        <v>63494</v>
      </c>
      <c r="H10326" s="6" t="s">
        <v>63495</v>
      </c>
      <c r="I10326" s="7" t="s">
        <v>63496</v>
      </c>
      <c r="J10326" s="8" t="str">
        <f>HYPERLINK("https://drive.google.com/file/d/1kEkUyoD9oH15MxCgCpphygFIpkF4nn0j/view?usp=drivesdk","10325_AFRIYANTI RAMBE SERTIFIKAT BerAKHLAK")</f>
        <v>10325_AFRIYANTI RAMBE SERTIFIKAT BerAKHLAK</v>
      </c>
      <c r="K10326" s="5" t="s">
        <v>63497</v>
      </c>
      <c r="L10326" s="5" t="s">
        <v>63498</v>
      </c>
    </row>
    <row r="10327">
      <c r="A10327" s="4">
        <v>45540.47143333333</v>
      </c>
      <c r="B10327" s="5" t="s">
        <v>34</v>
      </c>
      <c r="D10327" s="5" t="s">
        <v>9020</v>
      </c>
      <c r="E10327" s="5" t="s">
        <v>39892</v>
      </c>
      <c r="F10327" s="5" t="s">
        <v>524</v>
      </c>
      <c r="G10327" s="5" t="s">
        <v>39893</v>
      </c>
      <c r="H10327" s="6" t="s">
        <v>63499</v>
      </c>
      <c r="I10327" s="7" t="s">
        <v>63500</v>
      </c>
      <c r="J10327" s="8" t="str">
        <f>HYPERLINK("https://drive.google.com/file/d/12szsR75Nm5JlXDDEqgA6mdlgWrgP-JA3/view?usp=drivesdk","10326_AGUS WAHYU EDI SERTIFIKAT BerAKHLAK")</f>
        <v>10326_AGUS WAHYU EDI SERTIFIKAT BerAKHLAK</v>
      </c>
      <c r="K10327" s="5" t="s">
        <v>63497</v>
      </c>
      <c r="L10327" s="5" t="s">
        <v>63501</v>
      </c>
    </row>
    <row r="10328">
      <c r="A10328" s="4">
        <v>45540.4721490625</v>
      </c>
      <c r="B10328" s="5" t="s">
        <v>34</v>
      </c>
      <c r="D10328" s="5" t="s">
        <v>9020</v>
      </c>
      <c r="E10328" s="5" t="s">
        <v>63502</v>
      </c>
      <c r="F10328" s="5" t="s">
        <v>212</v>
      </c>
      <c r="G10328" s="5" t="s">
        <v>63503</v>
      </c>
      <c r="H10328" s="6" t="s">
        <v>63504</v>
      </c>
      <c r="I10328" s="7" t="s">
        <v>63505</v>
      </c>
      <c r="J10328" s="8" t="str">
        <f>HYPERLINK("https://drive.google.com/file/d/1oyC8SH7zf7dJIVBqsd19xcjMwGf59vy6/view?usp=drivesdk","10327_TIMTINA DEWI SARI  SERTIFIKAT BerAKHLAK")</f>
        <v>10327_TIMTINA DEWI SARI  SERTIFIKAT BerAKHLAK</v>
      </c>
      <c r="K10328" s="5" t="s">
        <v>63497</v>
      </c>
      <c r="L10328" s="5" t="s">
        <v>63506</v>
      </c>
    </row>
    <row r="10329">
      <c r="A10329" s="4">
        <v>45540.472688449074</v>
      </c>
      <c r="B10329" s="5" t="s">
        <v>34</v>
      </c>
      <c r="D10329" s="5" t="s">
        <v>9020</v>
      </c>
      <c r="E10329" s="5" t="s">
        <v>48552</v>
      </c>
      <c r="F10329" s="5" t="s">
        <v>72</v>
      </c>
      <c r="G10329" s="5" t="s">
        <v>48553</v>
      </c>
      <c r="H10329" s="6" t="s">
        <v>63507</v>
      </c>
      <c r="I10329" s="7" t="s">
        <v>63508</v>
      </c>
      <c r="J10329" s="8" t="str">
        <f>HYPERLINK("https://drive.google.com/file/d/1XcdElY_olHz117PtnsrGXsI4-4NFVqao/view?usp=drivesdk","10328_AGAM MAGDALENA SITORUS, S.KOM SERTIFIKAT BerAKHLAK")</f>
        <v>10328_AGAM MAGDALENA SITORUS, S.KOM SERTIFIKAT BerAKHLAK</v>
      </c>
      <c r="K10329" s="5" t="s">
        <v>63497</v>
      </c>
      <c r="L10329" s="5" t="s">
        <v>63509</v>
      </c>
    </row>
    <row r="10330">
      <c r="A10330" s="4">
        <v>45540.47343034722</v>
      </c>
      <c r="B10330" s="5" t="s">
        <v>34</v>
      </c>
      <c r="D10330" s="5" t="s">
        <v>9020</v>
      </c>
      <c r="E10330" s="5" t="s">
        <v>58976</v>
      </c>
      <c r="F10330" s="5" t="s">
        <v>37</v>
      </c>
      <c r="G10330" s="5" t="s">
        <v>58977</v>
      </c>
      <c r="H10330" s="6" t="s">
        <v>63510</v>
      </c>
      <c r="I10330" s="7" t="s">
        <v>63511</v>
      </c>
      <c r="J10330" s="8" t="str">
        <f>HYPERLINK("https://drive.google.com/file/d/11JXGxuH4AkP186pMVJN1hVHrznPx7aXZ/view?usp=drivesdk","10329_LENI IRMAYANTI SERTIFIKAT BerAKHLAK")</f>
        <v>10329_LENI IRMAYANTI SERTIFIKAT BerAKHLAK</v>
      </c>
      <c r="K10330" s="5" t="s">
        <v>63497</v>
      </c>
      <c r="L10330" s="5" t="s">
        <v>63512</v>
      </c>
    </row>
    <row r="10331">
      <c r="A10331" s="4">
        <v>45540.47349354166</v>
      </c>
      <c r="B10331" s="5" t="s">
        <v>34</v>
      </c>
      <c r="D10331" s="5" t="s">
        <v>9020</v>
      </c>
      <c r="E10331" s="5" t="s">
        <v>63513</v>
      </c>
      <c r="F10331" s="5" t="s">
        <v>212</v>
      </c>
      <c r="G10331" s="5" t="s">
        <v>63514</v>
      </c>
      <c r="H10331" s="6" t="s">
        <v>63515</v>
      </c>
      <c r="I10331" s="7" t="s">
        <v>63516</v>
      </c>
      <c r="J10331" s="8" t="str">
        <f>HYPERLINK("https://drive.google.com/file/d/1rdLuHAaW2PuXIqqOHv8vUw4KteqqBdLT/view?usp=drivesdk","10330_TONGGO C SITORUS SERTIFIKAT BerAKHLAK")</f>
        <v>10330_TONGGO C SITORUS SERTIFIKAT BerAKHLAK</v>
      </c>
      <c r="K10331" s="5" t="s">
        <v>63497</v>
      </c>
      <c r="L10331" s="5" t="s">
        <v>63517</v>
      </c>
    </row>
    <row r="10332">
      <c r="A10332" s="4">
        <v>45540.4808733449</v>
      </c>
      <c r="B10332" s="5" t="s">
        <v>34</v>
      </c>
      <c r="D10332" s="5" t="s">
        <v>9020</v>
      </c>
      <c r="E10332" s="5" t="s">
        <v>63518</v>
      </c>
      <c r="F10332" s="5" t="s">
        <v>37</v>
      </c>
      <c r="G10332" s="5" t="s">
        <v>63519</v>
      </c>
      <c r="H10332" s="6" t="s">
        <v>63520</v>
      </c>
      <c r="I10332" s="7" t="s">
        <v>63521</v>
      </c>
      <c r="J10332" s="8" t="str">
        <f>HYPERLINK("https://drive.google.com/file/d/12Sb7F_2h7IA5REOfTY_-16db2jbtFylU/view?usp=drivesdk","10331_SILVI KHAIRANI SERTIFIKAT BerAKHLAK")</f>
        <v>10331_SILVI KHAIRANI SERTIFIKAT BerAKHLAK</v>
      </c>
      <c r="K10332" s="5" t="s">
        <v>63497</v>
      </c>
      <c r="L10332" s="5" t="s">
        <v>63522</v>
      </c>
    </row>
    <row r="10333">
      <c r="A10333" s="4">
        <v>45540.48115663194</v>
      </c>
      <c r="B10333" s="5" t="s">
        <v>34</v>
      </c>
      <c r="D10333" s="5" t="s">
        <v>9020</v>
      </c>
      <c r="E10333" s="5" t="s">
        <v>24137</v>
      </c>
      <c r="F10333" s="5" t="s">
        <v>375</v>
      </c>
      <c r="G10333" s="5" t="s">
        <v>63523</v>
      </c>
      <c r="H10333" s="6" t="s">
        <v>63524</v>
      </c>
      <c r="I10333" s="7" t="s">
        <v>63525</v>
      </c>
      <c r="J10333" s="8" t="str">
        <f>HYPERLINK("https://drive.google.com/file/d/1P9fuPvgX9NkCEhQKC0lNqo_WrWdOJ-z_/view?usp=drivesdk","10332_Tatang Windianto, SE SERTIFIKAT BerAKHLAK")</f>
        <v>10332_Tatang Windianto, SE SERTIFIKAT BerAKHLAK</v>
      </c>
      <c r="K10333" s="5" t="s">
        <v>50429</v>
      </c>
      <c r="L10333" s="5" t="s">
        <v>63526</v>
      </c>
    </row>
    <row r="10334">
      <c r="A10334" s="4">
        <v>45540.4834156713</v>
      </c>
      <c r="B10334" s="5" t="s">
        <v>34</v>
      </c>
      <c r="D10334" s="5" t="s">
        <v>9020</v>
      </c>
      <c r="E10334" s="5" t="s">
        <v>63527</v>
      </c>
      <c r="F10334" s="5" t="s">
        <v>72</v>
      </c>
      <c r="G10334" s="5" t="s">
        <v>63528</v>
      </c>
      <c r="H10334" s="6" t="s">
        <v>63529</v>
      </c>
      <c r="I10334" s="7" t="s">
        <v>63530</v>
      </c>
      <c r="J10334" s="8" t="str">
        <f>HYPERLINK("https://drive.google.com/file/d/1RFfnYuRMY1lTFDVMuUWuVs2WOVF3m5vI/view?usp=drivesdk","10333_SELFI DIANA SINAGA SERTIFIKAT BerAKHLAK")</f>
        <v>10333_SELFI DIANA SINAGA SERTIFIKAT BerAKHLAK</v>
      </c>
      <c r="K10334" s="5" t="s">
        <v>50456</v>
      </c>
      <c r="L10334" s="5" t="s">
        <v>63531</v>
      </c>
    </row>
    <row r="10335">
      <c r="A10335" s="4">
        <v>45540.4836484838</v>
      </c>
      <c r="B10335" s="5" t="s">
        <v>34</v>
      </c>
      <c r="D10335" s="5" t="s">
        <v>9020</v>
      </c>
      <c r="E10335" s="5" t="s">
        <v>63532</v>
      </c>
      <c r="F10335" s="5" t="s">
        <v>120</v>
      </c>
      <c r="G10335" s="5" t="s">
        <v>63533</v>
      </c>
      <c r="H10335" s="6" t="s">
        <v>63534</v>
      </c>
      <c r="I10335" s="7" t="s">
        <v>63535</v>
      </c>
      <c r="J10335" s="8" t="str">
        <f>HYPERLINK("https://drive.google.com/file/d/1qqBQ6dd-A4CTCauJMOgxzmmSiR7lyHUt/view?usp=drivesdk","10334_SUBUR, S.Ag., M.Pd. SERTIFIKAT BerAKHLAK")</f>
        <v>10334_SUBUR, S.Ag., M.Pd. SERTIFIKAT BerAKHLAK</v>
      </c>
      <c r="K10335" s="5" t="s">
        <v>50456</v>
      </c>
      <c r="L10335" s="5" t="s">
        <v>63536</v>
      </c>
    </row>
    <row r="10336">
      <c r="A10336" s="4">
        <v>45540.488289444445</v>
      </c>
      <c r="B10336" s="5" t="s">
        <v>34</v>
      </c>
      <c r="D10336" s="5" t="s">
        <v>9020</v>
      </c>
      <c r="E10336" s="5" t="s">
        <v>63537</v>
      </c>
      <c r="F10336" s="5" t="s">
        <v>524</v>
      </c>
      <c r="G10336" s="5" t="s">
        <v>63538</v>
      </c>
      <c r="H10336" s="6" t="s">
        <v>63539</v>
      </c>
      <c r="I10336" s="7" t="s">
        <v>63540</v>
      </c>
      <c r="J10336" s="8" t="str">
        <f>HYPERLINK("https://drive.google.com/file/d/1V6xI59HDf_9Hmn59TfrxZhBSlN9epCp_/view?usp=drivesdk","10335_EVILINA MUNTHE SERTIFIKAT BerAKHLAK")</f>
        <v>10335_EVILINA MUNTHE SERTIFIKAT BerAKHLAK</v>
      </c>
      <c r="K10336" s="5" t="s">
        <v>63541</v>
      </c>
      <c r="L10336" s="5" t="s">
        <v>63542</v>
      </c>
    </row>
    <row r="10337">
      <c r="A10337" s="4">
        <v>45540.49087570602</v>
      </c>
      <c r="B10337" s="5" t="s">
        <v>34</v>
      </c>
      <c r="D10337" s="5" t="s">
        <v>9020</v>
      </c>
      <c r="E10337" s="5" t="s">
        <v>60084</v>
      </c>
      <c r="F10337" s="5" t="s">
        <v>37</v>
      </c>
      <c r="G10337" s="5" t="s">
        <v>63543</v>
      </c>
      <c r="H10337" s="6" t="s">
        <v>63544</v>
      </c>
      <c r="I10337" s="7" t="s">
        <v>63545</v>
      </c>
      <c r="J10337" s="8" t="str">
        <f>HYPERLINK("https://drive.google.com/file/d/1dExloF7g6SbJDBU-kFqizbnPArv77nBY/view?usp=drivesdk","10336_SULASTRI MANULLANG SERTIFIKAT BerAKHLAK")</f>
        <v>10336_SULASTRI MANULLANG SERTIFIKAT BerAKHLAK</v>
      </c>
      <c r="K10337" s="5" t="s">
        <v>63541</v>
      </c>
      <c r="L10337" s="5" t="s">
        <v>63546</v>
      </c>
    </row>
    <row r="10338">
      <c r="A10338" s="4">
        <v>45540.49222170139</v>
      </c>
      <c r="B10338" s="5" t="s">
        <v>34</v>
      </c>
      <c r="D10338" s="5" t="s">
        <v>9020</v>
      </c>
      <c r="E10338" s="5" t="s">
        <v>63547</v>
      </c>
      <c r="F10338" s="5" t="s">
        <v>120</v>
      </c>
      <c r="G10338" s="5" t="s">
        <v>63548</v>
      </c>
      <c r="H10338" s="6" t="s">
        <v>63549</v>
      </c>
      <c r="I10338" s="7" t="s">
        <v>63550</v>
      </c>
      <c r="J10338" s="8" t="str">
        <f>HYPERLINK("https://drive.google.com/file/d/1GMKPWr5RWiE3lhJhiV6n5xkeAN3HK-rh/view?usp=drivesdk","10337_NINIK WAHYUNI, S.E., M.M. SERTIFIKAT BerAKHLAK")</f>
        <v>10337_NINIK WAHYUNI, S.E., M.M. SERTIFIKAT BerAKHLAK</v>
      </c>
      <c r="K10338" s="5" t="s">
        <v>63541</v>
      </c>
      <c r="L10338" s="5" t="s">
        <v>63551</v>
      </c>
    </row>
    <row r="10339">
      <c r="A10339" s="4">
        <v>45540.494235185186</v>
      </c>
      <c r="B10339" s="5" t="s">
        <v>34</v>
      </c>
      <c r="D10339" s="5" t="s">
        <v>9020</v>
      </c>
      <c r="E10339" s="5" t="s">
        <v>63552</v>
      </c>
      <c r="F10339" s="5" t="s">
        <v>524</v>
      </c>
      <c r="G10339" s="5" t="s">
        <v>63553</v>
      </c>
      <c r="H10339" s="6" t="s">
        <v>63554</v>
      </c>
      <c r="I10339" s="7" t="s">
        <v>63555</v>
      </c>
      <c r="J10339" s="8" t="str">
        <f>HYPERLINK("https://drive.google.com/file/d/1M0OAGT740U2XTTMCkuJUV8EwpGQHmcj_/view?usp=drivesdk","10338_ARIFIN HUTASOIT  SERTIFIKAT BerAKHLAK")</f>
        <v>10338_ARIFIN HUTASOIT  SERTIFIKAT BerAKHLAK</v>
      </c>
      <c r="K10339" s="5" t="s">
        <v>50522</v>
      </c>
      <c r="L10339" s="5" t="s">
        <v>63556</v>
      </c>
    </row>
    <row r="10340">
      <c r="A10340" s="4">
        <v>45540.496109942134</v>
      </c>
      <c r="B10340" s="5" t="s">
        <v>34</v>
      </c>
      <c r="D10340" s="5" t="s">
        <v>9020</v>
      </c>
      <c r="E10340" s="5" t="s">
        <v>21102</v>
      </c>
      <c r="F10340" s="5" t="s">
        <v>37</v>
      </c>
      <c r="G10340" s="5" t="s">
        <v>63557</v>
      </c>
      <c r="H10340" s="6" t="s">
        <v>63558</v>
      </c>
      <c r="I10340" s="7" t="s">
        <v>63559</v>
      </c>
      <c r="J10340" s="8" t="str">
        <f>HYPERLINK("https://drive.google.com/file/d/1U9NwoJtdcx4ThnbGodyYvSnCzWAc5J8j/view?usp=drivesdk","10339_DARWINA TANJUNG, S.H. SERTIFIKAT BerAKHLAK")</f>
        <v>10339_DARWINA TANJUNG, S.H. SERTIFIKAT BerAKHLAK</v>
      </c>
      <c r="K10340" s="5" t="s">
        <v>50522</v>
      </c>
      <c r="L10340" s="5" t="s">
        <v>63560</v>
      </c>
    </row>
    <row r="10341">
      <c r="A10341" s="4">
        <v>45540.4962446875</v>
      </c>
      <c r="B10341" s="5" t="s">
        <v>34</v>
      </c>
      <c r="D10341" s="5" t="s">
        <v>9020</v>
      </c>
      <c r="E10341" s="5" t="s">
        <v>63561</v>
      </c>
      <c r="F10341" s="5" t="s">
        <v>212</v>
      </c>
      <c r="G10341" s="5" t="s">
        <v>63562</v>
      </c>
      <c r="H10341" s="6" t="s">
        <v>63563</v>
      </c>
      <c r="I10341" s="7" t="s">
        <v>63564</v>
      </c>
      <c r="J10341" s="8" t="str">
        <f>HYPERLINK("https://drive.google.com/file/d/1TyS4-syRX5KjqWsu4vB4DJNaik1aEBrd/view?usp=drivesdk","10340_TIODOR M. SILABAN SERTIFIKAT BerAKHLAK")</f>
        <v>10340_TIODOR M. SILABAN SERTIFIKAT BerAKHLAK</v>
      </c>
      <c r="K10341" s="5" t="s">
        <v>50522</v>
      </c>
      <c r="L10341" s="5" t="s">
        <v>63565</v>
      </c>
    </row>
    <row r="10342">
      <c r="A10342" s="4">
        <v>45540.49631883102</v>
      </c>
      <c r="B10342" s="5" t="s">
        <v>34</v>
      </c>
      <c r="D10342" s="5" t="s">
        <v>9020</v>
      </c>
      <c r="E10342" s="5" t="s">
        <v>63566</v>
      </c>
      <c r="F10342" s="5" t="s">
        <v>212</v>
      </c>
      <c r="G10342" s="5" t="s">
        <v>62869</v>
      </c>
      <c r="H10342" s="6" t="s">
        <v>63567</v>
      </c>
      <c r="I10342" s="7" t="s">
        <v>63568</v>
      </c>
      <c r="J10342" s="8" t="str">
        <f>HYPERLINK("https://drive.google.com/file/d/16l9Jvb2WkvN-gVLpFopcVaFtZ0R3VAld/view?usp=drivesdk","10341_GIDION MARBUN SERTIFIKAT BerAKHLAK")</f>
        <v>10341_GIDION MARBUN SERTIFIKAT BerAKHLAK</v>
      </c>
      <c r="K10342" s="5" t="s">
        <v>50522</v>
      </c>
      <c r="L10342" s="5" t="s">
        <v>63569</v>
      </c>
    </row>
    <row r="10343">
      <c r="A10343" s="4">
        <v>45540.49680583333</v>
      </c>
      <c r="B10343" s="5" t="s">
        <v>34</v>
      </c>
      <c r="D10343" s="5" t="s">
        <v>9020</v>
      </c>
      <c r="E10343" s="5" t="s">
        <v>59091</v>
      </c>
      <c r="F10343" s="5" t="s">
        <v>212</v>
      </c>
      <c r="G10343" s="5" t="s">
        <v>63570</v>
      </c>
      <c r="H10343" s="6" t="s">
        <v>63571</v>
      </c>
      <c r="I10343" s="7" t="s">
        <v>63572</v>
      </c>
      <c r="J10343" s="8" t="str">
        <f>HYPERLINK("https://drive.google.com/file/d/1B7BcOzNQtRUldy_v4e7mNH1bcDulRFz-/view?usp=drivesdk","10342_SITTI RAHMAH SERTIFIKAT BerAKHLAK")</f>
        <v>10342_SITTI RAHMAH SERTIFIKAT BerAKHLAK</v>
      </c>
      <c r="K10343" s="5" t="s">
        <v>50522</v>
      </c>
      <c r="L10343" s="5" t="s">
        <v>63573</v>
      </c>
    </row>
    <row r="10344">
      <c r="A10344" s="4">
        <v>45540.50043804398</v>
      </c>
      <c r="B10344" s="5" t="s">
        <v>34</v>
      </c>
      <c r="D10344" s="5" t="s">
        <v>9020</v>
      </c>
      <c r="E10344" s="5" t="s">
        <v>63574</v>
      </c>
      <c r="F10344" s="5" t="s">
        <v>375</v>
      </c>
      <c r="G10344" s="5" t="s">
        <v>63575</v>
      </c>
      <c r="H10344" s="6" t="s">
        <v>63576</v>
      </c>
      <c r="I10344" s="7" t="s">
        <v>63577</v>
      </c>
      <c r="J10344" s="8" t="str">
        <f>HYPERLINK("https://drive.google.com/file/d/13Sx1Ab3laL9T_kIKRvVSnzeZp6IxJuzq/view?usp=drivesdk","10343_RAHMA YUSRO BATUBARA,S.S SERTIFIKAT BerAKHLAK")</f>
        <v>10343_RAHMA YUSRO BATUBARA,S.S SERTIFIKAT BerAKHLAK</v>
      </c>
      <c r="K10344" s="5" t="s">
        <v>63578</v>
      </c>
      <c r="L10344" s="5" t="s">
        <v>63579</v>
      </c>
    </row>
    <row r="10345">
      <c r="A10345" s="4">
        <v>45540.50199034723</v>
      </c>
      <c r="B10345" s="5" t="s">
        <v>34</v>
      </c>
      <c r="D10345" s="5" t="s">
        <v>9020</v>
      </c>
      <c r="E10345" s="5" t="s">
        <v>63580</v>
      </c>
      <c r="F10345" s="5" t="s">
        <v>212</v>
      </c>
      <c r="G10345" s="5" t="s">
        <v>63581</v>
      </c>
      <c r="H10345" s="6" t="s">
        <v>63582</v>
      </c>
      <c r="I10345" s="7" t="s">
        <v>63583</v>
      </c>
      <c r="J10345" s="8" t="str">
        <f>HYPERLINK("https://drive.google.com/file/d/1-kp5KbILBjV_YFPlIgC-H27IObgKI-AO/view?usp=drivesdk","10344_LELI HASTUTI, S.E. SERTIFIKAT BerAKHLAK")</f>
        <v>10344_LELI HASTUTI, S.E. SERTIFIKAT BerAKHLAK</v>
      </c>
      <c r="K10345" s="5" t="s">
        <v>63584</v>
      </c>
      <c r="L10345" s="5" t="s">
        <v>63585</v>
      </c>
    </row>
    <row r="10346">
      <c r="A10346" s="4">
        <v>45540.50598266204</v>
      </c>
      <c r="B10346" s="5" t="s">
        <v>34</v>
      </c>
      <c r="D10346" s="5" t="s">
        <v>9020</v>
      </c>
      <c r="E10346" s="5" t="s">
        <v>63586</v>
      </c>
      <c r="F10346" s="5" t="s">
        <v>37</v>
      </c>
      <c r="G10346" s="5" t="s">
        <v>63587</v>
      </c>
      <c r="H10346" s="6" t="s">
        <v>63588</v>
      </c>
      <c r="I10346" s="7" t="s">
        <v>63589</v>
      </c>
      <c r="J10346" s="8" t="str">
        <f>HYPERLINK("https://drive.google.com/file/d/1E-ktRzJHv3mbB3ArJCpk82ML_B1iMDiD/view?usp=drivesdk","10345_YUSNAN SEPRIADI GINTING SERTIFIKAT BerAKHLAK")</f>
        <v>10345_YUSNAN SEPRIADI GINTING SERTIFIKAT BerAKHLAK</v>
      </c>
      <c r="K10346" s="5" t="s">
        <v>63590</v>
      </c>
      <c r="L10346" s="5" t="s">
        <v>63591</v>
      </c>
    </row>
    <row r="10347">
      <c r="A10347" s="4">
        <v>45540.50760116898</v>
      </c>
      <c r="B10347" s="5" t="s">
        <v>34</v>
      </c>
      <c r="D10347" s="5" t="s">
        <v>9020</v>
      </c>
      <c r="E10347" s="5" t="s">
        <v>63592</v>
      </c>
      <c r="F10347" s="5" t="s">
        <v>212</v>
      </c>
      <c r="G10347" s="5" t="s">
        <v>63429</v>
      </c>
      <c r="H10347" s="6" t="s">
        <v>63593</v>
      </c>
      <c r="I10347" s="7" t="s">
        <v>63594</v>
      </c>
      <c r="J10347" s="8" t="str">
        <f>HYPERLINK("https://drive.google.com/file/d/1DRko8JzLrHrcr6dBZPrtwqAY4vtmgbbV/view?usp=drivesdk","10346_DHARMA BAKTI, Amd.Kep SERTIFIKAT BerAKHLAK")</f>
        <v>10346_DHARMA BAKTI, Amd.Kep SERTIFIKAT BerAKHLAK</v>
      </c>
      <c r="K10347" s="5" t="s">
        <v>63595</v>
      </c>
      <c r="L10347" s="5" t="s">
        <v>63596</v>
      </c>
    </row>
    <row r="10348">
      <c r="A10348" s="4">
        <v>45540.51090486111</v>
      </c>
      <c r="B10348" s="5" t="s">
        <v>34</v>
      </c>
      <c r="D10348" s="5" t="s">
        <v>9020</v>
      </c>
      <c r="E10348" s="5" t="s">
        <v>63597</v>
      </c>
      <c r="F10348" s="5" t="s">
        <v>37</v>
      </c>
      <c r="G10348" s="5" t="s">
        <v>63598</v>
      </c>
      <c r="H10348" s="6" t="s">
        <v>63599</v>
      </c>
      <c r="I10348" s="7" t="s">
        <v>63600</v>
      </c>
      <c r="J10348" s="8" t="str">
        <f>HYPERLINK("https://drive.google.com/file/d/1D1KoKE0WDW4xsxCV5PxKIP-7eB82-KSG/view?usp=drivesdk","10347_ANDRIANI,SH SERTIFIKAT BerAKHLAK")</f>
        <v>10347_ANDRIANI,SH SERTIFIKAT BerAKHLAK</v>
      </c>
      <c r="K10348" s="5" t="s">
        <v>63601</v>
      </c>
      <c r="L10348" s="5" t="s">
        <v>63602</v>
      </c>
    </row>
    <row r="10349">
      <c r="A10349" s="4">
        <v>45540.51423699074</v>
      </c>
      <c r="B10349" s="5" t="s">
        <v>34</v>
      </c>
      <c r="D10349" s="5" t="s">
        <v>9020</v>
      </c>
      <c r="E10349" s="5" t="s">
        <v>16754</v>
      </c>
      <c r="F10349" s="5" t="s">
        <v>212</v>
      </c>
      <c r="G10349" s="5" t="s">
        <v>16755</v>
      </c>
      <c r="H10349" s="6" t="s">
        <v>63603</v>
      </c>
      <c r="I10349" s="7" t="s">
        <v>63604</v>
      </c>
      <c r="J10349" s="8" t="str">
        <f>HYPERLINK("https://drive.google.com/file/d/1oSgtdURCcCn9h3mhLQYKT1e6V4TdAKx2/view?usp=drivesdk","10348_ERMA SUTI NASUTION SERTIFIKAT BerAKHLAK")</f>
        <v>10348_ERMA SUTI NASUTION SERTIFIKAT BerAKHLAK</v>
      </c>
      <c r="K10349" s="5" t="s">
        <v>63605</v>
      </c>
      <c r="L10349" s="5" t="s">
        <v>63606</v>
      </c>
    </row>
    <row r="10350">
      <c r="A10350" s="4">
        <v>45540.51498263889</v>
      </c>
      <c r="B10350" s="5" t="s">
        <v>34</v>
      </c>
      <c r="D10350" s="5" t="s">
        <v>9020</v>
      </c>
      <c r="E10350" s="5" t="s">
        <v>60084</v>
      </c>
      <c r="F10350" s="5" t="s">
        <v>37</v>
      </c>
      <c r="G10350" s="5" t="s">
        <v>63543</v>
      </c>
      <c r="H10350" s="6" t="s">
        <v>63607</v>
      </c>
      <c r="I10350" s="7" t="s">
        <v>63608</v>
      </c>
      <c r="J10350" s="8" t="str">
        <f>HYPERLINK("https://drive.google.com/file/d/1h-88jWmXA2dvHgIxmemBlbJ1trSJgWBK/view?usp=drivesdk","10349_SULASTRI MANULLANG SERTIFIKAT BerAKHLAK")</f>
        <v>10349_SULASTRI MANULLANG SERTIFIKAT BerAKHLAK</v>
      </c>
      <c r="K10350" s="5" t="s">
        <v>63609</v>
      </c>
      <c r="L10350" s="5" t="s">
        <v>63610</v>
      </c>
    </row>
    <row r="10351">
      <c r="A10351" s="4">
        <v>45540.515918958336</v>
      </c>
      <c r="B10351" s="5" t="s">
        <v>34</v>
      </c>
      <c r="D10351" s="5" t="s">
        <v>9020</v>
      </c>
      <c r="E10351" s="5" t="s">
        <v>63611</v>
      </c>
      <c r="F10351" s="5" t="s">
        <v>212</v>
      </c>
      <c r="G10351" s="5" t="s">
        <v>63612</v>
      </c>
      <c r="H10351" s="6" t="s">
        <v>63613</v>
      </c>
      <c r="I10351" s="7" t="s">
        <v>63614</v>
      </c>
      <c r="J10351" s="8" t="str">
        <f>HYPERLINK("https://drive.google.com/file/d/17KtAXNK-VJUMDgvVEEBTLGcTYbHLD_SQ/view?usp=drivesdk","10350_LUCIANA ADELINA HASIBUAN SERTIFIKAT BerAKHLAK")</f>
        <v>10350_LUCIANA ADELINA HASIBUAN SERTIFIKAT BerAKHLAK</v>
      </c>
      <c r="K10351" s="5" t="s">
        <v>63615</v>
      </c>
      <c r="L10351" s="5" t="s">
        <v>63616</v>
      </c>
    </row>
    <row r="10352">
      <c r="A10352" s="4">
        <v>45540.51943240741</v>
      </c>
      <c r="B10352" s="5" t="s">
        <v>34</v>
      </c>
      <c r="D10352" s="5" t="s">
        <v>9020</v>
      </c>
      <c r="E10352" s="5" t="s">
        <v>63617</v>
      </c>
      <c r="F10352" s="5" t="s">
        <v>524</v>
      </c>
      <c r="G10352" s="5" t="s">
        <v>63618</v>
      </c>
      <c r="H10352" s="6" t="s">
        <v>63619</v>
      </c>
      <c r="I10352" s="7" t="s">
        <v>63620</v>
      </c>
      <c r="J10352" s="8" t="str">
        <f>HYPERLINK("https://drive.google.com/file/d/1sI5Yq3nJE1xYG1-zQxkgXizFYK5wsMPa/view?usp=drivesdk","10351_IMELDA SIREGAR,SKM SERTIFIKAT BerAKHLAK")</f>
        <v>10351_IMELDA SIREGAR,SKM SERTIFIKAT BerAKHLAK</v>
      </c>
      <c r="K10352" s="5" t="s">
        <v>63621</v>
      </c>
      <c r="L10352" s="5" t="s">
        <v>63622</v>
      </c>
    </row>
    <row r="10353">
      <c r="A10353" s="4">
        <v>45540.53495501158</v>
      </c>
      <c r="B10353" s="5" t="s">
        <v>34</v>
      </c>
      <c r="D10353" s="5" t="s">
        <v>9020</v>
      </c>
      <c r="E10353" s="5" t="s">
        <v>63623</v>
      </c>
      <c r="F10353" s="5" t="s">
        <v>37</v>
      </c>
      <c r="G10353" s="5" t="s">
        <v>63624</v>
      </c>
      <c r="H10353" s="6" t="s">
        <v>63625</v>
      </c>
      <c r="I10353" s="7" t="s">
        <v>63626</v>
      </c>
      <c r="J10353" s="8" t="str">
        <f>HYPERLINK("https://drive.google.com/file/d/1UHn5bMyar6rgrJuCluuiNS_aHGOgCjY9/view?usp=drivesdk","10352_LENGGA SARI LUBIS SERTIFIKAT BerAKHLAK")</f>
        <v>10352_LENGGA SARI LUBIS SERTIFIKAT BerAKHLAK</v>
      </c>
      <c r="K10353" s="5" t="s">
        <v>63627</v>
      </c>
      <c r="L10353" s="5" t="s">
        <v>63628</v>
      </c>
    </row>
    <row r="10354">
      <c r="A10354" s="4">
        <v>45540.539529444446</v>
      </c>
      <c r="B10354" s="5" t="s">
        <v>34</v>
      </c>
      <c r="D10354" s="5" t="s">
        <v>3432</v>
      </c>
      <c r="E10354" s="5" t="s">
        <v>63629</v>
      </c>
      <c r="F10354" s="5" t="s">
        <v>212</v>
      </c>
      <c r="G10354" s="5" t="s">
        <v>63630</v>
      </c>
      <c r="H10354" s="6" t="s">
        <v>63631</v>
      </c>
      <c r="I10354" s="7" t="s">
        <v>63632</v>
      </c>
      <c r="J10354" s="8" t="str">
        <f>HYPERLINK("https://drive.google.com/file/d/1b7HPvviHq39SA3Ko3K_FuwGM3engF5yt/view?usp=drivesdk","10353_WAHYUDIN JAFAR SERTIFIKAT BerAKHLAK")</f>
        <v>10353_WAHYUDIN JAFAR SERTIFIKAT BerAKHLAK</v>
      </c>
      <c r="K10354" s="5" t="s">
        <v>63633</v>
      </c>
      <c r="L10354" s="5" t="s">
        <v>63634</v>
      </c>
    </row>
    <row r="10355">
      <c r="A10355" s="4">
        <v>45540.54228361111</v>
      </c>
      <c r="B10355" s="5" t="s">
        <v>34</v>
      </c>
      <c r="D10355" s="5" t="s">
        <v>9020</v>
      </c>
      <c r="E10355" s="5" t="s">
        <v>63635</v>
      </c>
      <c r="F10355" s="5" t="s">
        <v>212</v>
      </c>
      <c r="G10355" s="5" t="s">
        <v>61668</v>
      </c>
      <c r="H10355" s="6" t="s">
        <v>63636</v>
      </c>
      <c r="I10355" s="7" t="s">
        <v>63637</v>
      </c>
      <c r="J10355" s="8" t="str">
        <f>HYPERLINK("https://drive.google.com/file/d/1rqFyEiIZTq4zWE0bcSxW5b9JmkukUuel/view?usp=drivesdk","10354_SITI ROHANNUM SERTIFIKAT BerAKHLAK")</f>
        <v>10354_SITI ROHANNUM SERTIFIKAT BerAKHLAK</v>
      </c>
      <c r="K10355" s="5" t="s">
        <v>63638</v>
      </c>
      <c r="L10355" s="5" t="s">
        <v>63639</v>
      </c>
    </row>
    <row r="10356">
      <c r="A10356" s="4">
        <v>45540.545784155096</v>
      </c>
      <c r="B10356" s="5" t="s">
        <v>34</v>
      </c>
      <c r="D10356" s="5" t="s">
        <v>580</v>
      </c>
      <c r="E10356" s="5" t="s">
        <v>63640</v>
      </c>
      <c r="F10356" s="5" t="s">
        <v>212</v>
      </c>
      <c r="G10356" s="5" t="s">
        <v>63641</v>
      </c>
      <c r="H10356" s="6" t="s">
        <v>63642</v>
      </c>
      <c r="I10356" s="7" t="s">
        <v>63643</v>
      </c>
      <c r="J10356" s="8" t="str">
        <f>HYPERLINK("https://drive.google.com/file/d/16Ybm8Lgbn1kp1R9x0ryA5Ufj68DC5ce0/view?usp=drivesdk","10355_NUR NAILAH SERTIFIKAT BerAKHLAK")</f>
        <v>10355_NUR NAILAH SERTIFIKAT BerAKHLAK</v>
      </c>
      <c r="K10356" s="5" t="s">
        <v>63644</v>
      </c>
      <c r="L10356" s="5" t="s">
        <v>63645</v>
      </c>
    </row>
    <row r="10357">
      <c r="A10357" s="4">
        <v>45540.551962349535</v>
      </c>
      <c r="B10357" s="5" t="s">
        <v>34</v>
      </c>
      <c r="D10357" s="5" t="s">
        <v>580</v>
      </c>
      <c r="E10357" s="5" t="s">
        <v>51273</v>
      </c>
      <c r="F10357" s="5" t="s">
        <v>5566</v>
      </c>
      <c r="G10357" s="5" t="s">
        <v>63646</v>
      </c>
      <c r="H10357" s="6" t="s">
        <v>63647</v>
      </c>
      <c r="I10357" s="7" t="s">
        <v>63648</v>
      </c>
      <c r="J10357" s="8" t="str">
        <f>HYPERLINK("https://drive.google.com/file/d/1YnV22bT05uK6XzNcVKWWRGyC2EGIGAIl/view?usp=drivesdk","10356_KADEK ANGGA SATRIAWAN WIGUNA SERTIFIKAT BerAKHLAK")</f>
        <v>10356_KADEK ANGGA SATRIAWAN WIGUNA SERTIFIKAT BerAKHLAK</v>
      </c>
      <c r="K10357" s="5" t="s">
        <v>63649</v>
      </c>
      <c r="L10357" s="5" t="s">
        <v>63650</v>
      </c>
    </row>
    <row r="10358">
      <c r="A10358" s="4">
        <v>45540.56559353009</v>
      </c>
      <c r="B10358" s="5" t="s">
        <v>34</v>
      </c>
      <c r="D10358" s="5" t="s">
        <v>9020</v>
      </c>
      <c r="E10358" s="5" t="s">
        <v>63651</v>
      </c>
      <c r="F10358" s="5" t="s">
        <v>37</v>
      </c>
      <c r="G10358" s="5" t="s">
        <v>63652</v>
      </c>
      <c r="H10358" s="6" t="s">
        <v>63653</v>
      </c>
      <c r="I10358" s="7" t="s">
        <v>63654</v>
      </c>
      <c r="J10358" s="8" t="str">
        <f>HYPERLINK("https://drive.google.com/file/d/1jRxKsULr2bFo71yjs_6A3WyGP83ry0dB/view?usp=drivesdk","10357_JAN SABARMEN SARAGIH  SERTIFIKAT BerAKHLAK")</f>
        <v>10357_JAN SABARMEN SARAGIH  SERTIFIKAT BerAKHLAK</v>
      </c>
      <c r="K10358" s="5" t="s">
        <v>63655</v>
      </c>
      <c r="L10358" s="5" t="s">
        <v>63656</v>
      </c>
    </row>
    <row r="10359">
      <c r="A10359" s="4">
        <v>45540.56768280093</v>
      </c>
      <c r="B10359" s="5" t="s">
        <v>34</v>
      </c>
      <c r="D10359" s="5" t="s">
        <v>9020</v>
      </c>
      <c r="E10359" s="5" t="s">
        <v>63398</v>
      </c>
      <c r="F10359" s="5" t="s">
        <v>37</v>
      </c>
      <c r="G10359" s="5" t="s">
        <v>63399</v>
      </c>
      <c r="H10359" s="6" t="s">
        <v>63657</v>
      </c>
      <c r="I10359" s="7" t="s">
        <v>63658</v>
      </c>
      <c r="J10359" s="8" t="str">
        <f>HYPERLINK("https://drive.google.com/file/d/14abLvuI6ZWvSIVGmXGxL1v9Nz0dH-yqY/view?usp=drivesdk","10358_MUHAMMAD ILHAM AMINNULLAH LUBIS SERTIFIKAT BerAKHLAK")</f>
        <v>10358_MUHAMMAD ILHAM AMINNULLAH LUBIS SERTIFIKAT BerAKHLAK</v>
      </c>
      <c r="K10359" s="5" t="s">
        <v>63659</v>
      </c>
      <c r="L10359" s="5" t="s">
        <v>63660</v>
      </c>
    </row>
    <row r="10360">
      <c r="A10360" s="4">
        <v>45540.56898261574</v>
      </c>
      <c r="B10360" s="5" t="s">
        <v>34</v>
      </c>
      <c r="D10360" s="5" t="s">
        <v>9020</v>
      </c>
      <c r="E10360" s="5" t="s">
        <v>63661</v>
      </c>
      <c r="F10360" s="5" t="s">
        <v>375</v>
      </c>
      <c r="G10360" s="5" t="s">
        <v>63662</v>
      </c>
      <c r="H10360" s="6" t="s">
        <v>63663</v>
      </c>
      <c r="I10360" s="7" t="s">
        <v>63664</v>
      </c>
      <c r="J10360" s="8" t="str">
        <f>HYPERLINK("https://drive.google.com/file/d/1LUYspi6CaB_ewaMqqeAqY79GuFHSZm7s/view?usp=drivesdk","10359_ERNI AIDA TUMANGGOR SERTIFIKAT BerAKHLAK")</f>
        <v>10359_ERNI AIDA TUMANGGOR SERTIFIKAT BerAKHLAK</v>
      </c>
      <c r="K10360" s="5" t="s">
        <v>63665</v>
      </c>
      <c r="L10360" s="5" t="s">
        <v>63666</v>
      </c>
    </row>
    <row r="10361">
      <c r="A10361" s="4">
        <v>45540.57397684028</v>
      </c>
      <c r="B10361" s="5" t="s">
        <v>34</v>
      </c>
      <c r="D10361" s="5" t="s">
        <v>9020</v>
      </c>
      <c r="E10361" s="5" t="s">
        <v>42665</v>
      </c>
      <c r="F10361" s="5" t="s">
        <v>212</v>
      </c>
      <c r="G10361" s="5" t="s">
        <v>42666</v>
      </c>
      <c r="H10361" s="6" t="s">
        <v>63667</v>
      </c>
      <c r="I10361" s="7" t="s">
        <v>63668</v>
      </c>
      <c r="J10361" s="8" t="str">
        <f>HYPERLINK("https://drive.google.com/file/d/12vwpDUA-KfAyYQLCdNyMJqyqyOzZk_e_/view?usp=drivesdk","10360_RUKIANI MARPAUNG SERTIFIKAT BerAKHLAK")</f>
        <v>10360_RUKIANI MARPAUNG SERTIFIKAT BerAKHLAK</v>
      </c>
      <c r="K10361" s="5" t="s">
        <v>63669</v>
      </c>
      <c r="L10361" s="5" t="s">
        <v>63670</v>
      </c>
    </row>
    <row r="10362">
      <c r="A10362" s="4">
        <v>45540.58987943287</v>
      </c>
      <c r="B10362" s="5" t="s">
        <v>34</v>
      </c>
      <c r="D10362" s="5" t="s">
        <v>9020</v>
      </c>
      <c r="E10362" s="5" t="s">
        <v>63671</v>
      </c>
      <c r="F10362" s="5" t="s">
        <v>72</v>
      </c>
      <c r="G10362" s="5" t="s">
        <v>63672</v>
      </c>
      <c r="H10362" s="6" t="s">
        <v>63673</v>
      </c>
      <c r="I10362" s="7" t="s">
        <v>63674</v>
      </c>
      <c r="J10362" s="8" t="str">
        <f>HYPERLINK("https://drive.google.com/file/d/1R8dJkyrWRQLSZxP_cTOJRelCL9c1RiUM/view?usp=drivesdk","10361_NURSIAH MANIK SERTIFIKAT BerAKHLAK")</f>
        <v>10361_NURSIAH MANIK SERTIFIKAT BerAKHLAK</v>
      </c>
      <c r="K10362" s="5" t="s">
        <v>63675</v>
      </c>
      <c r="L10362" s="5" t="s">
        <v>63676</v>
      </c>
    </row>
    <row r="10363">
      <c r="A10363" s="4">
        <v>45540.590956099535</v>
      </c>
      <c r="B10363" s="5" t="s">
        <v>34</v>
      </c>
      <c r="D10363" s="5" t="s">
        <v>9020</v>
      </c>
      <c r="E10363" s="5" t="s">
        <v>63677</v>
      </c>
      <c r="F10363" s="5" t="s">
        <v>212</v>
      </c>
      <c r="G10363" s="5" t="s">
        <v>63678</v>
      </c>
      <c r="H10363" s="6" t="s">
        <v>63679</v>
      </c>
      <c r="I10363" s="7" t="s">
        <v>63680</v>
      </c>
      <c r="J10363" s="8" t="str">
        <f>HYPERLINK("https://drive.google.com/file/d/17i0oiD2f_M7v5r8KPO692duy31qEr_Y8/view?usp=drivesdk","10362_DESITA SARI SERTIFIKAT BerAKHLAK")</f>
        <v>10362_DESITA SARI SERTIFIKAT BerAKHLAK</v>
      </c>
      <c r="K10363" s="5" t="s">
        <v>63681</v>
      </c>
      <c r="L10363" s="5" t="s">
        <v>63682</v>
      </c>
    </row>
    <row r="10364">
      <c r="A10364" s="4">
        <v>45540.59901805555</v>
      </c>
      <c r="B10364" s="5" t="s">
        <v>34</v>
      </c>
      <c r="D10364" s="5" t="s">
        <v>9020</v>
      </c>
      <c r="E10364" s="5" t="s">
        <v>63683</v>
      </c>
      <c r="F10364" s="5" t="s">
        <v>212</v>
      </c>
      <c r="G10364" s="5" t="s">
        <v>26093</v>
      </c>
      <c r="H10364" s="6" t="s">
        <v>63684</v>
      </c>
      <c r="I10364" s="7" t="s">
        <v>63685</v>
      </c>
      <c r="J10364" s="8" t="str">
        <f>HYPERLINK("https://drive.google.com/file/d/18hS5xAzHJzSZpAQ71n7OlUt9M_0mP0pf/view?usp=drivesdk","10363_JUMPA MALEM GINTING SERTIFIKAT BerAKHLAK")</f>
        <v>10363_JUMPA MALEM GINTING SERTIFIKAT BerAKHLAK</v>
      </c>
      <c r="K10364" s="5" t="s">
        <v>63686</v>
      </c>
      <c r="L10364" s="5" t="s">
        <v>63687</v>
      </c>
    </row>
    <row r="10365">
      <c r="A10365" s="4">
        <v>45540.60155810185</v>
      </c>
      <c r="B10365" s="5" t="s">
        <v>34</v>
      </c>
      <c r="D10365" s="5" t="s">
        <v>9020</v>
      </c>
      <c r="E10365" s="5" t="s">
        <v>63688</v>
      </c>
      <c r="F10365" s="5" t="s">
        <v>212</v>
      </c>
      <c r="G10365" s="5" t="s">
        <v>63689</v>
      </c>
      <c r="H10365" s="6" t="s">
        <v>63690</v>
      </c>
      <c r="I10365" s="7" t="s">
        <v>63691</v>
      </c>
      <c r="J10365" s="8" t="str">
        <f>HYPERLINK("https://drive.google.com/file/d/1YBDFS1g3e-w4QbtQhlezL3uJ5gV9xTal/view?usp=drivesdk","10364_RISWANUDDIN HARAHAP  SERTIFIKAT BerAKHLAK")</f>
        <v>10364_RISWANUDDIN HARAHAP  SERTIFIKAT BerAKHLAK</v>
      </c>
      <c r="K10365" s="5" t="s">
        <v>63692</v>
      </c>
      <c r="L10365" s="5" t="s">
        <v>63693</v>
      </c>
    </row>
    <row r="10366">
      <c r="A10366" s="4">
        <v>45540.60505719908</v>
      </c>
      <c r="B10366" s="5" t="s">
        <v>34</v>
      </c>
      <c r="D10366" s="5" t="s">
        <v>9020</v>
      </c>
      <c r="E10366" s="5" t="s">
        <v>63694</v>
      </c>
      <c r="F10366" s="5" t="s">
        <v>212</v>
      </c>
      <c r="G10366" s="5" t="s">
        <v>63695</v>
      </c>
      <c r="H10366" s="6" t="s">
        <v>63696</v>
      </c>
      <c r="I10366" s="7" t="s">
        <v>63697</v>
      </c>
      <c r="J10366" s="8" t="str">
        <f>HYPERLINK("https://drive.google.com/file/d/1q6o_Qxbi6atqYT8ybz6scNpUxEAKM04q/view?usp=drivesdk","10365_HERRI SULISTIONO SERTIFIKAT BerAKHLAK")</f>
        <v>10365_HERRI SULISTIONO SERTIFIKAT BerAKHLAK</v>
      </c>
      <c r="K10366" s="5" t="s">
        <v>63698</v>
      </c>
      <c r="L10366" s="5" t="s">
        <v>63699</v>
      </c>
    </row>
    <row r="10367">
      <c r="A10367" s="4">
        <v>45540.61624261574</v>
      </c>
      <c r="B10367" s="5" t="s">
        <v>34</v>
      </c>
      <c r="D10367" s="5" t="s">
        <v>9020</v>
      </c>
      <c r="E10367" s="5" t="s">
        <v>63700</v>
      </c>
      <c r="F10367" s="5" t="s">
        <v>120</v>
      </c>
      <c r="G10367" s="5" t="s">
        <v>63701</v>
      </c>
      <c r="H10367" s="6" t="s">
        <v>63702</v>
      </c>
      <c r="I10367" s="7" t="s">
        <v>63703</v>
      </c>
      <c r="J10367" s="8" t="str">
        <f>HYPERLINK("https://drive.google.com/file/d/1HY3OPtCzWgPBY6Pb6LZettsuNZcKfa3-/view?usp=drivesdk","10366_dr LAILATUSY SYIFA SERTIFIKAT BerAKHLAK")</f>
        <v>10366_dr LAILATUSY SYIFA SERTIFIKAT BerAKHLAK</v>
      </c>
      <c r="K10367" s="5" t="s">
        <v>63704</v>
      </c>
      <c r="L10367" s="5" t="s">
        <v>63705</v>
      </c>
    </row>
    <row r="10368">
      <c r="A10368" s="4">
        <v>45540.61692793982</v>
      </c>
      <c r="B10368" s="5" t="s">
        <v>34</v>
      </c>
      <c r="D10368" s="5" t="s">
        <v>9020</v>
      </c>
      <c r="E10368" s="5" t="s">
        <v>57812</v>
      </c>
      <c r="F10368" s="5" t="s">
        <v>212</v>
      </c>
      <c r="G10368" s="5" t="s">
        <v>63706</v>
      </c>
      <c r="H10368" s="6" t="s">
        <v>63707</v>
      </c>
      <c r="I10368" s="7" t="s">
        <v>63708</v>
      </c>
      <c r="J10368" s="8" t="str">
        <f>HYPERLINK("https://drive.google.com/file/d/1wZVIljWXLHy5x2Om6CMr9R5ou8-c460m/view?usp=drivesdk","10367_RIDAWATI LIMBONG SERTIFIKAT BerAKHLAK")</f>
        <v>10367_RIDAWATI LIMBONG SERTIFIKAT BerAKHLAK</v>
      </c>
      <c r="K10368" s="5" t="s">
        <v>63709</v>
      </c>
      <c r="L10368" s="5" t="s">
        <v>63710</v>
      </c>
    </row>
    <row r="10369">
      <c r="A10369" s="4">
        <v>45540.61703596065</v>
      </c>
      <c r="B10369" s="5" t="s">
        <v>34</v>
      </c>
      <c r="D10369" s="5" t="s">
        <v>9020</v>
      </c>
      <c r="E10369" s="5" t="s">
        <v>56376</v>
      </c>
      <c r="F10369" s="5" t="s">
        <v>212</v>
      </c>
      <c r="G10369" s="5" t="s">
        <v>63711</v>
      </c>
      <c r="H10369" s="6" t="s">
        <v>63712</v>
      </c>
      <c r="I10369" s="7" t="s">
        <v>63713</v>
      </c>
      <c r="J10369" s="8" t="str">
        <f>HYPERLINK("https://drive.google.com/file/d/1mkfG79E9ZBFREebtTOALzl0OYSx9e2vK/view?usp=drivesdk","10368_ALASTA TARIGAN SERTIFIKAT BerAKHLAK")</f>
        <v>10368_ALASTA TARIGAN SERTIFIKAT BerAKHLAK</v>
      </c>
      <c r="K10369" s="5" t="s">
        <v>63714</v>
      </c>
      <c r="L10369" s="5" t="s">
        <v>63715</v>
      </c>
    </row>
    <row r="10370">
      <c r="A10370" s="4">
        <v>45540.62661043982</v>
      </c>
      <c r="B10370" s="5" t="s">
        <v>34</v>
      </c>
      <c r="D10370" s="5" t="s">
        <v>9020</v>
      </c>
      <c r="E10370" s="5" t="s">
        <v>63716</v>
      </c>
      <c r="F10370" s="5" t="s">
        <v>375</v>
      </c>
      <c r="G10370" s="5" t="s">
        <v>14903</v>
      </c>
      <c r="H10370" s="6" t="s">
        <v>63717</v>
      </c>
      <c r="I10370" s="7" t="s">
        <v>63718</v>
      </c>
      <c r="J10370" s="8" t="str">
        <f>HYPERLINK("https://drive.google.com/file/d/1YIm-hET3jDExiWkpK8qENwb0vqIpno-E/view?usp=drivesdk","10369_BALMER VICTOR PANGARIBUAN SE SERTIFIKAT BerAKHLAK")</f>
        <v>10369_BALMER VICTOR PANGARIBUAN SE SERTIFIKAT BerAKHLAK</v>
      </c>
      <c r="K10370" s="5" t="s">
        <v>63719</v>
      </c>
      <c r="L10370" s="5" t="s">
        <v>63720</v>
      </c>
    </row>
    <row r="10371">
      <c r="A10371" s="4">
        <v>45540.63288456018</v>
      </c>
      <c r="B10371" s="5" t="s">
        <v>34</v>
      </c>
      <c r="D10371" s="5" t="s">
        <v>9020</v>
      </c>
      <c r="E10371" s="5" t="s">
        <v>63677</v>
      </c>
      <c r="F10371" s="5" t="s">
        <v>199</v>
      </c>
      <c r="G10371" s="5" t="s">
        <v>63721</v>
      </c>
      <c r="H10371" s="6" t="s">
        <v>63722</v>
      </c>
      <c r="I10371" s="7" t="s">
        <v>63723</v>
      </c>
      <c r="J10371" s="8" t="str">
        <f>HYPERLINK("https://drive.google.com/file/d/1j6XaOJgEuC1B6WofSEYET4IoT7mRZBcU/view?usp=drivesdk","10370_DESITA SARI SERTIFIKAT BerAKHLAK")</f>
        <v>10370_DESITA SARI SERTIFIKAT BerAKHLAK</v>
      </c>
      <c r="K10371" s="5" t="s">
        <v>63724</v>
      </c>
      <c r="L10371" s="5" t="s">
        <v>63725</v>
      </c>
    </row>
    <row r="10372">
      <c r="A10372" s="4">
        <v>45540.637574953704</v>
      </c>
      <c r="B10372" s="5" t="s">
        <v>34</v>
      </c>
      <c r="D10372" s="5" t="s">
        <v>9020</v>
      </c>
      <c r="E10372" s="5" t="s">
        <v>63726</v>
      </c>
      <c r="F10372" s="5" t="s">
        <v>37</v>
      </c>
      <c r="G10372" s="5" t="s">
        <v>63727</v>
      </c>
      <c r="H10372" s="6" t="s">
        <v>63728</v>
      </c>
      <c r="I10372" s="7" t="s">
        <v>63729</v>
      </c>
      <c r="J10372" s="8" t="str">
        <f>HYPERLINK("https://drive.google.com/file/d/1TviQccfzZ8TnddOo5pmCy5vXOvMN2L7r/view?usp=drivesdk","10371_RAMLAN SARAGIH SERTIFIKAT BerAKHLAK")</f>
        <v>10371_RAMLAN SARAGIH SERTIFIKAT BerAKHLAK</v>
      </c>
      <c r="K10372" s="5" t="s">
        <v>63730</v>
      </c>
      <c r="L10372" s="5" t="s">
        <v>63731</v>
      </c>
    </row>
    <row r="10373">
      <c r="A10373" s="4">
        <v>45540.643879930554</v>
      </c>
      <c r="B10373" s="5" t="s">
        <v>34</v>
      </c>
      <c r="D10373" s="5" t="s">
        <v>9020</v>
      </c>
      <c r="E10373" s="5" t="s">
        <v>63732</v>
      </c>
      <c r="F10373" s="5" t="s">
        <v>37</v>
      </c>
      <c r="G10373" s="5" t="s">
        <v>63727</v>
      </c>
      <c r="H10373" s="6" t="s">
        <v>63733</v>
      </c>
      <c r="I10373" s="7" t="s">
        <v>63734</v>
      </c>
      <c r="J10373" s="8" t="str">
        <f>HYPERLINK("https://drive.google.com/file/d/1fTG1bXtcFDth63UCJwDdS-kCmCBw6WEI/view?usp=drivesdk","10372_RAMLAN SAEAGIH SERTIFIKAT BerAKHLAK")</f>
        <v>10372_RAMLAN SAEAGIH SERTIFIKAT BerAKHLAK</v>
      </c>
      <c r="K10373" s="5" t="s">
        <v>63730</v>
      </c>
      <c r="L10373" s="5" t="s">
        <v>63735</v>
      </c>
    </row>
    <row r="10374">
      <c r="A10374" s="4">
        <v>45540.65773895833</v>
      </c>
      <c r="B10374" s="5" t="s">
        <v>34</v>
      </c>
      <c r="D10374" s="5" t="s">
        <v>9020</v>
      </c>
      <c r="E10374" s="5" t="s">
        <v>63736</v>
      </c>
      <c r="F10374" s="5" t="s">
        <v>212</v>
      </c>
      <c r="G10374" s="5" t="s">
        <v>63737</v>
      </c>
      <c r="H10374" s="6" t="s">
        <v>63738</v>
      </c>
      <c r="I10374" s="7" t="s">
        <v>63739</v>
      </c>
      <c r="J10374" s="8" t="str">
        <f>HYPERLINK("https://drive.google.com/file/d/1B5-VBu5r9RI9hYYq7Hr7CFx-qgwg26Al/view?usp=drivesdk","10373_SYAHPUTRI NAINGGOLAN SERTIFIKAT BerAKHLAK")</f>
        <v>10373_SYAHPUTRI NAINGGOLAN SERTIFIKAT BerAKHLAK</v>
      </c>
      <c r="K10374" s="5" t="s">
        <v>63740</v>
      </c>
      <c r="L10374" s="5" t="s">
        <v>63741</v>
      </c>
    </row>
    <row r="10375">
      <c r="A10375" s="4">
        <v>45540.663577824074</v>
      </c>
      <c r="B10375" s="5" t="s">
        <v>34</v>
      </c>
      <c r="D10375" s="5" t="s">
        <v>9020</v>
      </c>
      <c r="E10375" s="5" t="s">
        <v>63742</v>
      </c>
      <c r="F10375" s="5" t="s">
        <v>328</v>
      </c>
      <c r="G10375" s="5" t="s">
        <v>63743</v>
      </c>
      <c r="H10375" s="6" t="s">
        <v>63744</v>
      </c>
      <c r="I10375" s="7" t="s">
        <v>63745</v>
      </c>
      <c r="J10375" s="8" t="str">
        <f>HYPERLINK("https://drive.google.com/file/d/1HmY_US1WPNul9ZKwW96xnSxSQaf7NXdU/view?usp=drivesdk","10374_DANIEL SEMBIRING SERTIFIKAT BerAKHLAK")</f>
        <v>10374_DANIEL SEMBIRING SERTIFIKAT BerAKHLAK</v>
      </c>
      <c r="K10375" s="5" t="s">
        <v>63746</v>
      </c>
      <c r="L10375" s="5" t="s">
        <v>63747</v>
      </c>
    </row>
    <row r="10376">
      <c r="A10376" s="4">
        <v>45540.679724953705</v>
      </c>
      <c r="B10376" s="5" t="s">
        <v>34</v>
      </c>
      <c r="D10376" s="5" t="s">
        <v>3432</v>
      </c>
      <c r="E10376" s="5" t="s">
        <v>63748</v>
      </c>
      <c r="F10376" s="5" t="s">
        <v>375</v>
      </c>
      <c r="G10376" s="5" t="s">
        <v>63749</v>
      </c>
      <c r="H10376" s="6" t="s">
        <v>63750</v>
      </c>
      <c r="I10376" s="7" t="s">
        <v>63751</v>
      </c>
      <c r="J10376" s="8" t="str">
        <f>HYPERLINK("https://drive.google.com/file/d/1TE7opshS4jR2F0pMCrQrL3KsFIvmgtA6/view?usp=drivesdk","10375_AGUS SUTANTO, A.Md SERTIFIKAT BerAKHLAK")</f>
        <v>10375_AGUS SUTANTO, A.Md SERTIFIKAT BerAKHLAK</v>
      </c>
      <c r="K10376" s="5" t="s">
        <v>52283</v>
      </c>
      <c r="L10376" s="5" t="s">
        <v>63752</v>
      </c>
    </row>
    <row r="10377">
      <c r="A10377" s="4">
        <v>45540.6873462963</v>
      </c>
      <c r="B10377" s="5" t="s">
        <v>34</v>
      </c>
      <c r="D10377" s="5" t="s">
        <v>3432</v>
      </c>
      <c r="E10377" s="5" t="s">
        <v>63753</v>
      </c>
      <c r="F10377" s="5" t="s">
        <v>108</v>
      </c>
      <c r="G10377" s="5" t="s">
        <v>63754</v>
      </c>
      <c r="H10377" s="6" t="s">
        <v>63755</v>
      </c>
      <c r="I10377" s="7" t="s">
        <v>63756</v>
      </c>
      <c r="J10377" s="8" t="str">
        <f>HYPERLINK("https://drive.google.com/file/d/1m1v7QYTUSUqijrZgyOz8-BnymI2AW166/view?usp=drivesdk","10376_drg. Dian Rickyrianto Azis SERTIFIKAT BerAKHLAK")</f>
        <v>10376_drg. Dian Rickyrianto Azis SERTIFIKAT BerAKHLAK</v>
      </c>
      <c r="K10377" s="5" t="s">
        <v>52283</v>
      </c>
      <c r="L10377" s="5" t="s">
        <v>63757</v>
      </c>
    </row>
    <row r="10378">
      <c r="A10378" s="4">
        <v>45540.69067909722</v>
      </c>
      <c r="B10378" s="5" t="s">
        <v>34</v>
      </c>
      <c r="D10378" s="5" t="s">
        <v>580</v>
      </c>
      <c r="E10378" s="5" t="s">
        <v>63758</v>
      </c>
      <c r="F10378" s="5" t="s">
        <v>212</v>
      </c>
      <c r="G10378" s="5" t="s">
        <v>57847</v>
      </c>
      <c r="H10378" s="6" t="s">
        <v>63759</v>
      </c>
      <c r="I10378" s="7" t="s">
        <v>63760</v>
      </c>
      <c r="J10378" s="8" t="str">
        <f>HYPERLINK("https://drive.google.com/file/d/1J0OmGdBWSvdMd_I33W5ngHjI-WcjRMrt/view?usp=drivesdk","10377_SAFARUDDIM SERTIFIKAT BerAKHLAK")</f>
        <v>10377_SAFARUDDIM SERTIFIKAT BerAKHLAK</v>
      </c>
      <c r="K10378" s="5" t="s">
        <v>52283</v>
      </c>
      <c r="L10378" s="5" t="s">
        <v>63761</v>
      </c>
    </row>
    <row r="10379">
      <c r="A10379" s="4">
        <v>45540.71091025463</v>
      </c>
      <c r="B10379" s="5" t="s">
        <v>34</v>
      </c>
      <c r="D10379" s="5" t="s">
        <v>9020</v>
      </c>
      <c r="E10379" s="5" t="s">
        <v>63762</v>
      </c>
      <c r="F10379" s="5" t="s">
        <v>37</v>
      </c>
      <c r="G10379" s="5" t="s">
        <v>25677</v>
      </c>
      <c r="H10379" s="6" t="s">
        <v>63763</v>
      </c>
      <c r="I10379" s="7" t="s">
        <v>63764</v>
      </c>
      <c r="J10379" s="8" t="str">
        <f>HYPERLINK("https://drive.google.com/file/d/11o8aidWPR6HXWaUT-VjhvO1GDzeSOM_f/view?usp=drivesdk","10378_AHMAD NURIADIN SERTIFIKAT BerAKHLAK")</f>
        <v>10378_AHMAD NURIADIN SERTIFIKAT BerAKHLAK</v>
      </c>
      <c r="K10379" s="5" t="s">
        <v>52283</v>
      </c>
      <c r="L10379" s="5" t="s">
        <v>63765</v>
      </c>
    </row>
    <row r="10380">
      <c r="A10380" s="4">
        <v>45540.71464</v>
      </c>
      <c r="B10380" s="5" t="s">
        <v>34</v>
      </c>
      <c r="D10380" s="5" t="s">
        <v>9020</v>
      </c>
      <c r="E10380" s="5" t="s">
        <v>63766</v>
      </c>
      <c r="F10380" s="5" t="s">
        <v>375</v>
      </c>
      <c r="G10380" s="5" t="s">
        <v>63767</v>
      </c>
      <c r="H10380" s="6" t="s">
        <v>63768</v>
      </c>
      <c r="I10380" s="7" t="s">
        <v>63769</v>
      </c>
      <c r="J10380" s="8" t="str">
        <f>HYPERLINK("https://drive.google.com/file/d/1dHroSgdBV7HqhI6HBR0RD01Oi1mug4cS/view?usp=drivesdk","10379_LUMA SURYANI SIMANGUNSONG SERTIFIKAT BerAKHLAK")</f>
        <v>10379_LUMA SURYANI SIMANGUNSONG SERTIFIKAT BerAKHLAK</v>
      </c>
      <c r="K10380" s="5" t="s">
        <v>63770</v>
      </c>
      <c r="L10380" s="5" t="s">
        <v>63771</v>
      </c>
    </row>
    <row r="10381">
      <c r="A10381" s="4">
        <v>45540.74489173611</v>
      </c>
      <c r="B10381" s="5" t="s">
        <v>34</v>
      </c>
      <c r="D10381" s="5" t="s">
        <v>9020</v>
      </c>
      <c r="E10381" s="5" t="s">
        <v>63772</v>
      </c>
      <c r="F10381" s="5" t="s">
        <v>212</v>
      </c>
      <c r="G10381" s="5" t="s">
        <v>56377</v>
      </c>
      <c r="H10381" s="6" t="s">
        <v>63773</v>
      </c>
      <c r="I10381" s="7" t="s">
        <v>63774</v>
      </c>
      <c r="J10381" s="8" t="str">
        <f>HYPERLINK("https://drive.google.com/file/d/1AMZmKHj-fzLzTNfOHS0kshdxE4tAj16R/view?usp=drivesdk","10380_Alasta Br Tarigan SERTIFIKAT BerAKHLAK")</f>
        <v>10380_Alasta Br Tarigan SERTIFIKAT BerAKHLAK</v>
      </c>
      <c r="K10381" s="5" t="s">
        <v>63775</v>
      </c>
      <c r="L10381" s="5" t="s">
        <v>63776</v>
      </c>
    </row>
    <row r="10382">
      <c r="A10382" s="4">
        <v>45540.74489298611</v>
      </c>
      <c r="B10382" s="5" t="s">
        <v>34</v>
      </c>
      <c r="D10382" s="5" t="s">
        <v>9020</v>
      </c>
      <c r="E10382" s="5" t="s">
        <v>63777</v>
      </c>
      <c r="F10382" s="5" t="s">
        <v>212</v>
      </c>
      <c r="G10382" s="5" t="s">
        <v>63778</v>
      </c>
      <c r="H10382" s="6" t="s">
        <v>63779</v>
      </c>
      <c r="I10382" s="7" t="s">
        <v>63780</v>
      </c>
      <c r="J10382" s="8" t="str">
        <f>HYPERLINK("https://drive.google.com/file/d/1r10AosIhFd1I0uXbZnAykF-CtTi2bo2Q/view?usp=drivesdk","10381_LELI HASTUTI,SE SERTIFIKAT BerAKHLAK")</f>
        <v>10381_LELI HASTUTI,SE SERTIFIKAT BerAKHLAK</v>
      </c>
      <c r="K10382" s="5" t="s">
        <v>63775</v>
      </c>
      <c r="L10382" s="5" t="s">
        <v>63781</v>
      </c>
    </row>
    <row r="10383">
      <c r="A10383" s="4">
        <v>45540.749420231485</v>
      </c>
      <c r="B10383" s="5" t="s">
        <v>34</v>
      </c>
      <c r="D10383" s="5" t="s">
        <v>9020</v>
      </c>
      <c r="E10383" s="5" t="s">
        <v>63782</v>
      </c>
      <c r="F10383" s="5" t="s">
        <v>212</v>
      </c>
      <c r="G10383" s="5" t="s">
        <v>63783</v>
      </c>
      <c r="H10383" s="6" t="s">
        <v>63784</v>
      </c>
      <c r="I10383" s="7" t="s">
        <v>63785</v>
      </c>
      <c r="J10383" s="8" t="str">
        <f>HYPERLINK("https://drive.google.com/file/d/1-a4vERTaGtLz3cBPQxmgXKRsk8bO7RLI/view?usp=drivesdk","10382_YUSNIAR AFNI LUBIS SERTIFIKAT BerAKHLAK")</f>
        <v>10382_YUSNIAR AFNI LUBIS SERTIFIKAT BerAKHLAK</v>
      </c>
      <c r="K10383" s="5" t="s">
        <v>52845</v>
      </c>
      <c r="L10383" s="5" t="s">
        <v>63786</v>
      </c>
    </row>
    <row r="10384">
      <c r="A10384" s="4">
        <v>45540.754877326384</v>
      </c>
      <c r="B10384" s="5" t="s">
        <v>34</v>
      </c>
      <c r="D10384" s="5" t="s">
        <v>3432</v>
      </c>
      <c r="E10384" s="5" t="s">
        <v>63787</v>
      </c>
      <c r="F10384" s="5" t="s">
        <v>108</v>
      </c>
      <c r="G10384" s="5" t="s">
        <v>63788</v>
      </c>
      <c r="H10384" s="6" t="s">
        <v>63789</v>
      </c>
      <c r="I10384" s="7" t="s">
        <v>63790</v>
      </c>
      <c r="J10384" s="8" t="str">
        <f>HYPERLINK("https://drive.google.com/file/d/1Y1CXShwsWSWEs95NFZ-_o5S8QE5Yy2vJ/view?usp=drivesdk","10383_APT. RACHMAWATY KURNIASARI, S.FARM SERTIFIKAT BerAKHLAK")</f>
        <v>10383_APT. RACHMAWATY KURNIASARI, S.FARM SERTIFIKAT BerAKHLAK</v>
      </c>
      <c r="K10384" s="5" t="s">
        <v>52845</v>
      </c>
      <c r="L10384" s="5" t="s">
        <v>63791</v>
      </c>
    </row>
    <row r="10385">
      <c r="A10385" s="4">
        <v>45540.764589756945</v>
      </c>
      <c r="B10385" s="5" t="s">
        <v>34</v>
      </c>
      <c r="D10385" s="5" t="s">
        <v>9020</v>
      </c>
      <c r="E10385" s="5" t="s">
        <v>63792</v>
      </c>
      <c r="F10385" s="5" t="s">
        <v>37</v>
      </c>
      <c r="G10385" s="5" t="s">
        <v>63793</v>
      </c>
      <c r="H10385" s="6" t="s">
        <v>63794</v>
      </c>
      <c r="I10385" s="7" t="s">
        <v>63795</v>
      </c>
      <c r="J10385" s="8" t="str">
        <f>HYPERLINK("https://drive.google.com/file/d/12YZ2FLMrTAft0ryMxj-rE6RC3nyBtjmd/view?usp=drivesdk","10384_Roida Krisanty Hutasoit SERTIFIKAT BerAKHLAK")</f>
        <v>10384_Roida Krisanty Hutasoit SERTIFIKAT BerAKHLAK</v>
      </c>
      <c r="K10385" s="5" t="s">
        <v>52845</v>
      </c>
      <c r="L10385" s="5" t="s">
        <v>63796</v>
      </c>
    </row>
    <row r="10386">
      <c r="A10386" s="4">
        <v>45540.778450949074</v>
      </c>
      <c r="B10386" s="5" t="s">
        <v>34</v>
      </c>
      <c r="D10386" s="5" t="s">
        <v>3432</v>
      </c>
      <c r="E10386" s="5" t="s">
        <v>63797</v>
      </c>
      <c r="F10386" s="5" t="s">
        <v>108</v>
      </c>
      <c r="G10386" s="5" t="s">
        <v>63798</v>
      </c>
      <c r="H10386" s="6" t="s">
        <v>63799</v>
      </c>
      <c r="I10386" s="7" t="s">
        <v>63800</v>
      </c>
      <c r="J10386" s="8" t="str">
        <f>HYPERLINK("https://drive.google.com/file/d/1drfbfmZm-XZMbOcOEpdYcW3EYQlgugJe/view?usp=drivesdk","10385_APT RACHMAWATY KURNIASARI, S.FARM SERTIFIKAT BerAKHLAK")</f>
        <v>10385_APT RACHMAWATY KURNIASARI, S.FARM SERTIFIKAT BerAKHLAK</v>
      </c>
      <c r="K10386" s="5" t="s">
        <v>52845</v>
      </c>
      <c r="L10386" s="5" t="s">
        <v>63801</v>
      </c>
    </row>
    <row r="10387">
      <c r="A10387" s="4">
        <v>45540.81900708334</v>
      </c>
      <c r="B10387" s="5" t="s">
        <v>34</v>
      </c>
      <c r="D10387" s="5" t="s">
        <v>9020</v>
      </c>
      <c r="E10387" s="5" t="s">
        <v>63802</v>
      </c>
      <c r="F10387" s="5" t="s">
        <v>212</v>
      </c>
      <c r="G10387" s="5" t="s">
        <v>63803</v>
      </c>
      <c r="H10387" s="6" t="s">
        <v>63804</v>
      </c>
      <c r="I10387" s="7" t="s">
        <v>63805</v>
      </c>
      <c r="J10387" s="8" t="str">
        <f>HYPERLINK("https://drive.google.com/file/d/1ac1_HIHAjAi8cAZ-ZbSc-FJKdRvyO3QY/view?usp=drivesdk","10386_NURHAWARI NASUTION  SERTIFIKAT BerAKHLAK")</f>
        <v>10386_NURHAWARI NASUTION  SERTIFIKAT BerAKHLAK</v>
      </c>
      <c r="K10387" s="5" t="s">
        <v>52845</v>
      </c>
      <c r="L10387" s="5" t="s">
        <v>63806</v>
      </c>
    </row>
    <row r="10388">
      <c r="A10388" s="4">
        <v>45540.84465670139</v>
      </c>
      <c r="B10388" s="5" t="s">
        <v>34</v>
      </c>
      <c r="D10388" s="5" t="s">
        <v>9020</v>
      </c>
      <c r="E10388" s="5" t="s">
        <v>63807</v>
      </c>
      <c r="F10388" s="5" t="s">
        <v>524</v>
      </c>
      <c r="G10388" s="5" t="s">
        <v>48328</v>
      </c>
      <c r="H10388" s="6" t="s">
        <v>63808</v>
      </c>
      <c r="I10388" s="7" t="s">
        <v>63809</v>
      </c>
      <c r="J10388" s="8" t="str">
        <f>HYPERLINK("https://drive.google.com/file/d/19bkfFCWZilKKwOnHsgl5o14xDIXrV_Ht/view?usp=drivesdk","10387_KRISTINA DESLIANA SIEGAR, SKM SERTIFIKAT BerAKHLAK")</f>
        <v>10387_KRISTINA DESLIANA SIEGAR, SKM SERTIFIKAT BerAKHLAK</v>
      </c>
      <c r="K10388" s="5" t="s">
        <v>63810</v>
      </c>
      <c r="L10388" s="5" t="s">
        <v>63811</v>
      </c>
    </row>
    <row r="10389">
      <c r="A10389" s="4">
        <v>45540.914797777776</v>
      </c>
      <c r="B10389" s="5" t="s">
        <v>34</v>
      </c>
      <c r="D10389" s="5" t="s">
        <v>9020</v>
      </c>
      <c r="E10389" s="5" t="s">
        <v>63812</v>
      </c>
      <c r="F10389" s="5" t="s">
        <v>72</v>
      </c>
      <c r="G10389" s="5" t="s">
        <v>63813</v>
      </c>
      <c r="H10389" s="6" t="s">
        <v>63814</v>
      </c>
      <c r="I10389" s="7" t="s">
        <v>63815</v>
      </c>
      <c r="J10389" s="8" t="str">
        <f>HYPERLINK("https://drive.google.com/file/d/11gn1hSgmBE8MgVJQNI60Be5RxiYjMiim/view?usp=drivesdk","10388_ROSANNY PURBA SERTIFIKAT BerAKHLAK")</f>
        <v>10388_ROSANNY PURBA SERTIFIKAT BerAKHLAK</v>
      </c>
      <c r="K10389" s="5" t="s">
        <v>52966</v>
      </c>
      <c r="L10389" s="5" t="s">
        <v>63816</v>
      </c>
    </row>
    <row r="10390">
      <c r="A10390" s="4">
        <v>45540.94563453704</v>
      </c>
      <c r="B10390" s="5" t="s">
        <v>34</v>
      </c>
      <c r="D10390" s="5" t="s">
        <v>9020</v>
      </c>
      <c r="E10390" s="5" t="s">
        <v>63817</v>
      </c>
      <c r="F10390" s="5" t="s">
        <v>375</v>
      </c>
      <c r="G10390" s="5" t="s">
        <v>63818</v>
      </c>
      <c r="H10390" s="6" t="s">
        <v>63819</v>
      </c>
      <c r="I10390" s="7" t="s">
        <v>63820</v>
      </c>
      <c r="J10390" s="8" t="str">
        <f>HYPERLINK("https://drive.google.com/file/d/1NN2lY1oC7gM9UITgdGm6mIbY4gbph4V6/view?usp=drivesdk","10389_Mesni Waty Purba  SERTIFIKAT BerAKHLAK")</f>
        <v>10389_Mesni Waty Purba  SERTIFIKAT BerAKHLAK</v>
      </c>
      <c r="K10390" s="5" t="s">
        <v>63821</v>
      </c>
      <c r="L10390" s="5" t="s">
        <v>63822</v>
      </c>
    </row>
    <row r="10391">
      <c r="A10391" s="4">
        <v>45540.95729583333</v>
      </c>
      <c r="B10391" s="5" t="s">
        <v>34</v>
      </c>
      <c r="D10391" s="5" t="s">
        <v>9020</v>
      </c>
      <c r="E10391" s="5" t="s">
        <v>63823</v>
      </c>
      <c r="F10391" s="5" t="s">
        <v>212</v>
      </c>
      <c r="G10391" s="5" t="s">
        <v>63824</v>
      </c>
      <c r="H10391" s="6" t="s">
        <v>63825</v>
      </c>
      <c r="I10391" s="7" t="s">
        <v>63826</v>
      </c>
      <c r="J10391" s="8" t="str">
        <f>HYPERLINK("https://drive.google.com/file/d/1ZuS9HnVVhsRbRhCsfU-BsTrQ6-N3DWut/view?usp=drivesdk","10390_ANDI YOSEP ARISTON SERTIFIKAT BerAKHLAK")</f>
        <v>10390_ANDI YOSEP ARISTON SERTIFIKAT BerAKHLAK</v>
      </c>
      <c r="K10391" s="5" t="s">
        <v>63827</v>
      </c>
      <c r="L10391" s="5" t="s">
        <v>63828</v>
      </c>
    </row>
    <row r="10392">
      <c r="A10392" s="4">
        <v>45541.28585635417</v>
      </c>
      <c r="B10392" s="5" t="s">
        <v>34</v>
      </c>
      <c r="D10392" s="5" t="s">
        <v>9020</v>
      </c>
      <c r="E10392" s="5" t="s">
        <v>63829</v>
      </c>
      <c r="F10392" s="5" t="s">
        <v>328</v>
      </c>
      <c r="G10392" s="5" t="s">
        <v>63830</v>
      </c>
      <c r="H10392" s="6" t="s">
        <v>63831</v>
      </c>
      <c r="I10392" s="7" t="s">
        <v>63832</v>
      </c>
      <c r="J10392" s="8" t="str">
        <f>HYPERLINK("https://drive.google.com/file/d/1HnkGK6_4_qLCbSidnqDPc4n1DeemZFqA/view?usp=drivesdk","10391_ARIANTO SERTIFIKAT BerAKHLAK")</f>
        <v>10391_ARIANTO SERTIFIKAT BerAKHLAK</v>
      </c>
      <c r="K10392" s="5" t="s">
        <v>53303</v>
      </c>
      <c r="L10392" s="5" t="s">
        <v>63833</v>
      </c>
    </row>
    <row r="10393">
      <c r="A10393" s="4">
        <v>45541.37254056713</v>
      </c>
      <c r="B10393" s="5" t="s">
        <v>34</v>
      </c>
      <c r="D10393" s="5" t="s">
        <v>9020</v>
      </c>
      <c r="E10393" s="5" t="s">
        <v>57494</v>
      </c>
      <c r="F10393" s="5" t="s">
        <v>37</v>
      </c>
      <c r="G10393" s="5" t="s">
        <v>57495</v>
      </c>
      <c r="H10393" s="6" t="s">
        <v>63834</v>
      </c>
      <c r="I10393" s="7" t="s">
        <v>63835</v>
      </c>
      <c r="J10393" s="8" t="str">
        <f>HYPERLINK("https://drive.google.com/file/d/1Ox6o-N3xWhR5TC0JKGjkRckzWDuGMP-M/view?usp=drivesdk","10392_ENGLIS PANDIANGAN SERTIFIKAT BerAKHLAK")</f>
        <v>10392_ENGLIS PANDIANGAN SERTIFIKAT BerAKHLAK</v>
      </c>
      <c r="K10393" s="5" t="s">
        <v>63836</v>
      </c>
      <c r="L10393" s="5" t="s">
        <v>63837</v>
      </c>
    </row>
    <row r="10394">
      <c r="A10394" s="4">
        <v>45541.39048180556</v>
      </c>
      <c r="B10394" s="5" t="s">
        <v>34</v>
      </c>
      <c r="D10394" s="5" t="s">
        <v>9020</v>
      </c>
      <c r="E10394" s="5" t="s">
        <v>63838</v>
      </c>
      <c r="F10394" s="5" t="s">
        <v>212</v>
      </c>
      <c r="G10394" s="5" t="s">
        <v>63839</v>
      </c>
      <c r="H10394" s="6" t="s">
        <v>63840</v>
      </c>
      <c r="I10394" s="7" t="s">
        <v>63841</v>
      </c>
      <c r="J10394" s="8" t="str">
        <f>HYPERLINK("https://drive.google.com/file/d/1-U3uV7iAaDPGAufJoQM5F9h5sziEltlN/view?usp=drivesdk","10393_NURSANTI SIAGIAN SERTIFIKAT BerAKHLAK")</f>
        <v>10393_NURSANTI SIAGIAN SERTIFIKAT BerAKHLAK</v>
      </c>
      <c r="K10394" s="5" t="s">
        <v>63842</v>
      </c>
      <c r="L10394" s="5" t="s">
        <v>63843</v>
      </c>
    </row>
    <row r="10395">
      <c r="A10395" s="4">
        <v>45541.45048679398</v>
      </c>
      <c r="B10395" s="5" t="s">
        <v>34</v>
      </c>
      <c r="D10395" s="5" t="s">
        <v>9020</v>
      </c>
      <c r="E10395" s="5" t="s">
        <v>63844</v>
      </c>
      <c r="F10395" s="5" t="s">
        <v>72</v>
      </c>
      <c r="G10395" s="5" t="s">
        <v>63845</v>
      </c>
      <c r="H10395" s="6" t="s">
        <v>63846</v>
      </c>
      <c r="I10395" s="7" t="s">
        <v>63847</v>
      </c>
      <c r="J10395" s="8" t="str">
        <f>HYPERLINK("https://drive.google.com/file/d/14HaFNIpteqRIqKxZ81dZgGqAJYA0s4pz/view?usp=drivesdk","10394_ELMI YUMNAH.S.K.M SERTIFIKAT BerAKHLAK")</f>
        <v>10394_ELMI YUMNAH.S.K.M SERTIFIKAT BerAKHLAK</v>
      </c>
      <c r="K10395" s="5" t="s">
        <v>53775</v>
      </c>
      <c r="L10395" s="5" t="s">
        <v>63848</v>
      </c>
    </row>
    <row r="10396">
      <c r="A10396" s="4">
        <v>45541.45269333333</v>
      </c>
      <c r="B10396" s="5" t="s">
        <v>34</v>
      </c>
      <c r="D10396" s="5" t="s">
        <v>9020</v>
      </c>
      <c r="E10396" s="5" t="s">
        <v>59107</v>
      </c>
      <c r="F10396" s="5" t="s">
        <v>212</v>
      </c>
      <c r="G10396" s="5" t="s">
        <v>63849</v>
      </c>
      <c r="H10396" s="6" t="s">
        <v>63850</v>
      </c>
      <c r="I10396" s="7" t="s">
        <v>63851</v>
      </c>
      <c r="J10396" s="8" t="str">
        <f>HYPERLINK("https://drive.google.com/file/d/1u1-PBjWaSeRE40CVSWrAO00F0rHY9pPE/view?usp=drivesdk","10395_AINA LUBIS SERTIFIKAT BerAKHLAK")</f>
        <v>10395_AINA LUBIS SERTIFIKAT BerAKHLAK</v>
      </c>
      <c r="K10396" s="5" t="s">
        <v>53863</v>
      </c>
      <c r="L10396" s="5" t="s">
        <v>63852</v>
      </c>
    </row>
    <row r="10397">
      <c r="A10397" s="4">
        <v>45541.45608887731</v>
      </c>
      <c r="B10397" s="5" t="s">
        <v>34</v>
      </c>
      <c r="D10397" s="5" t="s">
        <v>9020</v>
      </c>
      <c r="E10397" s="5" t="s">
        <v>47182</v>
      </c>
      <c r="F10397" s="5" t="s">
        <v>37</v>
      </c>
      <c r="G10397" s="5" t="s">
        <v>63853</v>
      </c>
      <c r="H10397" s="6" t="s">
        <v>63854</v>
      </c>
      <c r="I10397" s="7" t="s">
        <v>63855</v>
      </c>
      <c r="J10397" s="8" t="str">
        <f>HYPERLINK("https://drive.google.com/file/d/1QqljdlY56qYcorteAiGc95TDQwn3_u5a/view?usp=drivesdk","10396_HAMIDAH SERTIFIKAT BerAKHLAK")</f>
        <v>10396_HAMIDAH SERTIFIKAT BerAKHLAK</v>
      </c>
      <c r="K10397" s="5" t="s">
        <v>53924</v>
      </c>
      <c r="L10397" s="5" t="s">
        <v>63856</v>
      </c>
    </row>
    <row r="10398">
      <c r="A10398" s="4">
        <v>45541.45969885417</v>
      </c>
      <c r="B10398" s="5" t="s">
        <v>34</v>
      </c>
      <c r="D10398" s="5" t="s">
        <v>9394</v>
      </c>
      <c r="E10398" s="5" t="s">
        <v>63857</v>
      </c>
      <c r="F10398" s="5" t="s">
        <v>212</v>
      </c>
      <c r="G10398" s="5" t="s">
        <v>63858</v>
      </c>
      <c r="H10398" s="6" t="s">
        <v>63859</v>
      </c>
      <c r="I10398" s="7" t="s">
        <v>63860</v>
      </c>
      <c r="J10398" s="8" t="str">
        <f>HYPERLINK("https://drive.google.com/file/d/1JFqCBAUUrTznf1mt5-eJEKnTWCtpw8iL/view?usp=drivesdk","10397_MASHURI AR  SERTIFIKAT BerAKHLAK")</f>
        <v>10397_MASHURI AR  SERTIFIKAT BerAKHLAK</v>
      </c>
      <c r="K10398" s="5" t="s">
        <v>54064</v>
      </c>
      <c r="L10398" s="5" t="s">
        <v>63861</v>
      </c>
    </row>
    <row r="10399">
      <c r="A10399" s="4">
        <v>45541.46844009259</v>
      </c>
      <c r="B10399" s="5" t="s">
        <v>34</v>
      </c>
      <c r="D10399" s="5" t="s">
        <v>9020</v>
      </c>
      <c r="E10399" s="5" t="s">
        <v>58769</v>
      </c>
      <c r="F10399" s="5" t="s">
        <v>37</v>
      </c>
      <c r="G10399" s="5" t="s">
        <v>58770</v>
      </c>
      <c r="H10399" s="6" t="s">
        <v>63862</v>
      </c>
      <c r="I10399" s="7" t="s">
        <v>63863</v>
      </c>
      <c r="J10399" s="8" t="str">
        <f>HYPERLINK("https://drive.google.com/file/d/1kv6KaLBbQXbY6bQRqEIhvYgNZs261ERn/view?usp=drivesdk","10398_SRI MARLINA KAROKARO SERTIFIKAT BerAKHLAK")</f>
        <v>10398_SRI MARLINA KAROKARO SERTIFIKAT BerAKHLAK</v>
      </c>
      <c r="K10399" s="5" t="s">
        <v>63864</v>
      </c>
      <c r="L10399" s="5" t="s">
        <v>63865</v>
      </c>
    </row>
    <row r="10400">
      <c r="A10400" s="4">
        <v>45541.494581203704</v>
      </c>
      <c r="B10400" s="5" t="s">
        <v>34</v>
      </c>
      <c r="D10400" s="5" t="s">
        <v>9020</v>
      </c>
      <c r="E10400" s="5" t="s">
        <v>58561</v>
      </c>
      <c r="F10400" s="5" t="s">
        <v>212</v>
      </c>
      <c r="G10400" s="5" t="s">
        <v>63866</v>
      </c>
      <c r="H10400" s="6" t="s">
        <v>63867</v>
      </c>
      <c r="I10400" s="7" t="s">
        <v>63868</v>
      </c>
      <c r="J10400" s="8" t="str">
        <f>HYPERLINK("https://drive.google.com/file/d/1_CtBLfZGfRbVCRFGao7caBnPP6Cpc1j0/view?usp=drivesdk","10399_FRIDA FUJIASTUTI SERTIFIKAT BerAKHLAK")</f>
        <v>10399_FRIDA FUJIASTUTI SERTIFIKAT BerAKHLAK</v>
      </c>
      <c r="K10400" s="5" t="s">
        <v>63869</v>
      </c>
      <c r="L10400" s="5" t="s">
        <v>63870</v>
      </c>
    </row>
    <row r="10401">
      <c r="A10401" s="4">
        <v>45541.56714875</v>
      </c>
      <c r="B10401" s="5" t="s">
        <v>34</v>
      </c>
      <c r="D10401" s="5" t="s">
        <v>1456</v>
      </c>
      <c r="E10401" s="5" t="s">
        <v>63871</v>
      </c>
      <c r="F10401" s="5" t="s">
        <v>37</v>
      </c>
      <c r="G10401" s="5" t="s">
        <v>63872</v>
      </c>
      <c r="H10401" s="6" t="s">
        <v>63873</v>
      </c>
      <c r="I10401" s="7" t="s">
        <v>63874</v>
      </c>
      <c r="J10401" s="8" t="str">
        <f>HYPERLINK("https://drive.google.com/file/d/1DgsOvyhyjghNyK4Z0FM1Sq7Ju33pZISg/view?usp=drivesdk","10400_BUDI SANTOSO  SERTIFIKAT BerAKHLAK")</f>
        <v>10400_BUDI SANTOSO  SERTIFIKAT BerAKHLAK</v>
      </c>
      <c r="K10401" s="5" t="s">
        <v>63875</v>
      </c>
      <c r="L10401" s="5" t="s">
        <v>63876</v>
      </c>
    </row>
    <row r="10402">
      <c r="A10402" s="4">
        <v>45541.58239700232</v>
      </c>
      <c r="B10402" s="5" t="s">
        <v>34</v>
      </c>
      <c r="D10402" s="5" t="s">
        <v>9020</v>
      </c>
      <c r="E10402" s="5" t="s">
        <v>60040</v>
      </c>
      <c r="F10402" s="5" t="s">
        <v>212</v>
      </c>
      <c r="G10402" s="5" t="s">
        <v>63877</v>
      </c>
      <c r="H10402" s="6" t="s">
        <v>63878</v>
      </c>
      <c r="I10402" s="7" t="s">
        <v>63879</v>
      </c>
      <c r="J10402" s="8" t="str">
        <f>HYPERLINK("https://drive.google.com/file/d/1OOL7QStCzoCVHUFaUTaDOsyNjcG5zeIi/view?usp=drivesdk","10401_DESMIWATI SERTIFIKAT BerAKHLAK")</f>
        <v>10401_DESMIWATI SERTIFIKAT BerAKHLAK</v>
      </c>
      <c r="K10402" s="5" t="s">
        <v>63880</v>
      </c>
      <c r="L10402" s="5" t="s">
        <v>63881</v>
      </c>
    </row>
    <row r="10403">
      <c r="A10403" s="4">
        <v>45541.60035350695</v>
      </c>
      <c r="B10403" s="5" t="s">
        <v>34</v>
      </c>
      <c r="D10403" s="5" t="s">
        <v>9020</v>
      </c>
      <c r="E10403" s="5" t="s">
        <v>58070</v>
      </c>
      <c r="F10403" s="5" t="s">
        <v>212</v>
      </c>
      <c r="G10403" s="5" t="s">
        <v>63882</v>
      </c>
      <c r="H10403" s="6" t="s">
        <v>63883</v>
      </c>
      <c r="I10403" s="7" t="s">
        <v>63884</v>
      </c>
      <c r="J10403" s="8" t="str">
        <f>HYPERLINK("https://drive.google.com/file/d/1vY8IHOtGQtBg7taQGa1vftajBIbIVwEE/view?usp=drivesdk","10402_MERDIANA TAMBUN SERTIFIKAT BerAKHLAK")</f>
        <v>10402_MERDIANA TAMBUN SERTIFIKAT BerAKHLAK</v>
      </c>
      <c r="K10403" s="5" t="s">
        <v>63885</v>
      </c>
      <c r="L10403" s="5" t="s">
        <v>63886</v>
      </c>
    </row>
    <row r="10404">
      <c r="A10404" s="4">
        <v>45541.64452798611</v>
      </c>
      <c r="B10404" s="5" t="s">
        <v>34</v>
      </c>
      <c r="D10404" s="5" t="s">
        <v>9020</v>
      </c>
      <c r="E10404" s="5" t="s">
        <v>60862</v>
      </c>
      <c r="F10404" s="5" t="s">
        <v>212</v>
      </c>
      <c r="G10404" s="5" t="s">
        <v>60863</v>
      </c>
      <c r="H10404" s="6" t="s">
        <v>63887</v>
      </c>
      <c r="I10404" s="7" t="s">
        <v>63888</v>
      </c>
      <c r="J10404" s="8" t="str">
        <f>HYPERLINK("https://drive.google.com/file/d/189U7IMssRWuZe4O4g93qzLKvowVzX1Vw/view?usp=drivesdk","10403_EVA NURMAWANI SIMANJUNTAK SERTIFIKAT BerAKHLAK")</f>
        <v>10403_EVA NURMAWANI SIMANJUNTAK SERTIFIKAT BerAKHLAK</v>
      </c>
      <c r="K10404" s="5" t="s">
        <v>63889</v>
      </c>
      <c r="L10404" s="5" t="s">
        <v>63890</v>
      </c>
    </row>
    <row r="10405">
      <c r="A10405" s="4">
        <v>45541.87881731481</v>
      </c>
      <c r="B10405" s="5" t="s">
        <v>34</v>
      </c>
      <c r="D10405" s="5" t="s">
        <v>9020</v>
      </c>
      <c r="E10405" s="5" t="s">
        <v>47176</v>
      </c>
      <c r="F10405" s="5" t="s">
        <v>524</v>
      </c>
      <c r="G10405" s="5" t="s">
        <v>47177</v>
      </c>
      <c r="H10405" s="6" t="s">
        <v>63891</v>
      </c>
      <c r="I10405" s="7" t="s">
        <v>63892</v>
      </c>
      <c r="J10405" s="8" t="str">
        <f>HYPERLINK("https://drive.google.com/file/d/1d7IvZ7ilrtla81UdRWREyEY-RHT9nMvx/view?usp=drivesdk","10404_RITA JENNI BR KARO SERTIFIKAT BerAKHLAK")</f>
        <v>10404_RITA JENNI BR KARO SERTIFIKAT BerAKHLAK</v>
      </c>
      <c r="K10405" s="5" t="s">
        <v>63893</v>
      </c>
      <c r="L10405" s="5" t="s">
        <v>63894</v>
      </c>
    </row>
    <row r="10406">
      <c r="A10406" s="4">
        <v>45543.68487334491</v>
      </c>
      <c r="B10406" s="5" t="s">
        <v>34</v>
      </c>
      <c r="D10406" s="5" t="s">
        <v>9020</v>
      </c>
      <c r="E10406" s="5" t="s">
        <v>63895</v>
      </c>
      <c r="F10406" s="5" t="s">
        <v>37</v>
      </c>
      <c r="G10406" s="5" t="s">
        <v>63896</v>
      </c>
      <c r="H10406" s="6" t="s">
        <v>63897</v>
      </c>
      <c r="I10406" s="7" t="s">
        <v>63898</v>
      </c>
      <c r="J10406" s="8" t="str">
        <f>HYPERLINK("https://drive.google.com/file/d/1p4D9YEjdoU58KKZ6Lag9v9lXR6aGMY0C/view?usp=drivesdk","10405_HILDA VERA Br LUMBAN GAOL SERTIFIKAT BerAKHLAK")</f>
        <v>10405_HILDA VERA Br LUMBAN GAOL SERTIFIKAT BerAKHLAK</v>
      </c>
      <c r="K10406" s="5" t="s">
        <v>63899</v>
      </c>
      <c r="L10406" s="5" t="s">
        <v>63900</v>
      </c>
    </row>
    <row r="10407">
      <c r="A10407" s="4">
        <v>45544.291787511575</v>
      </c>
      <c r="B10407" s="5" t="s">
        <v>34</v>
      </c>
      <c r="D10407" s="5" t="s">
        <v>3432</v>
      </c>
      <c r="E10407" s="5" t="s">
        <v>63901</v>
      </c>
      <c r="F10407" s="5" t="s">
        <v>37</v>
      </c>
      <c r="G10407" s="5" t="s">
        <v>63902</v>
      </c>
      <c r="H10407" s="6" t="s">
        <v>63903</v>
      </c>
      <c r="I10407" s="7" t="s">
        <v>63904</v>
      </c>
      <c r="J10407" s="8" t="str">
        <f>HYPERLINK("https://drive.google.com/file/d/1JDKL5cto8QGhTUK_rpbbka-VccrsIWm2/view?usp=drivesdk","10406_ALDINA NURALIM SERTIFIKAT BerAKHLAK")</f>
        <v>10406_ALDINA NURALIM SERTIFIKAT BerAKHLAK</v>
      </c>
      <c r="K10407" s="5" t="s">
        <v>63905</v>
      </c>
      <c r="L10407" s="5" t="s">
        <v>63906</v>
      </c>
    </row>
    <row r="10408">
      <c r="A10408" s="4">
        <v>45544.29825248843</v>
      </c>
      <c r="B10408" s="5" t="s">
        <v>34</v>
      </c>
      <c r="D10408" s="5" t="s">
        <v>3432</v>
      </c>
      <c r="E10408" s="5" t="s">
        <v>63907</v>
      </c>
      <c r="F10408" s="5" t="s">
        <v>37</v>
      </c>
      <c r="G10408" s="5" t="s">
        <v>63908</v>
      </c>
      <c r="H10408" s="6" t="s">
        <v>63909</v>
      </c>
      <c r="I10408" s="7" t="s">
        <v>63910</v>
      </c>
      <c r="J10408" s="8" t="str">
        <f>HYPERLINK("https://drive.google.com/file/d/1A0Cpm50IGVm5p5tJXFwHNKPhmNhvEIL4/view?usp=drivesdk","10407_ADRIANTO A. IBRAHIM, A.Md.Kep SERTIFIKAT BerAKHLAK")</f>
        <v>10407_ADRIANTO A. IBRAHIM, A.Md.Kep SERTIFIKAT BerAKHLAK</v>
      </c>
      <c r="K10408" s="5" t="s">
        <v>63911</v>
      </c>
      <c r="L10408" s="5" t="s">
        <v>63912</v>
      </c>
    </row>
    <row r="10409">
      <c r="A10409" s="4">
        <v>45544.299123425924</v>
      </c>
      <c r="B10409" s="5" t="s">
        <v>34</v>
      </c>
      <c r="D10409" s="5" t="s">
        <v>3432</v>
      </c>
      <c r="E10409" s="5" t="s">
        <v>63913</v>
      </c>
      <c r="F10409" s="5" t="s">
        <v>375</v>
      </c>
      <c r="G10409" s="5" t="s">
        <v>63914</v>
      </c>
      <c r="H10409" s="6" t="s">
        <v>63915</v>
      </c>
      <c r="I10409" s="7" t="s">
        <v>63916</v>
      </c>
      <c r="J10409" s="8" t="str">
        <f>HYPERLINK("https://drive.google.com/file/d/1zn31q2hl7ly4j97y7xSb9MCJhVUI6hA3/view?usp=drivesdk","10408_SAHID Hi. AHMAD, S.Kep., Ns. SERTIFIKAT BerAKHLAK")</f>
        <v>10408_SAHID Hi. AHMAD, S.Kep., Ns. SERTIFIKAT BerAKHLAK</v>
      </c>
      <c r="K10409" s="5" t="s">
        <v>63917</v>
      </c>
      <c r="L10409" s="5" t="s">
        <v>63918</v>
      </c>
    </row>
    <row r="10410">
      <c r="A10410" s="4">
        <v>45544.30002734954</v>
      </c>
      <c r="B10410" s="5" t="s">
        <v>34</v>
      </c>
      <c r="D10410" s="5" t="s">
        <v>3432</v>
      </c>
      <c r="E10410" s="5" t="s">
        <v>63919</v>
      </c>
      <c r="F10410" s="5" t="s">
        <v>37</v>
      </c>
      <c r="G10410" s="5" t="s">
        <v>63920</v>
      </c>
      <c r="H10410" s="6" t="s">
        <v>63921</v>
      </c>
      <c r="I10410" s="7" t="s">
        <v>63922</v>
      </c>
      <c r="J10410" s="8" t="str">
        <f>HYPERLINK("https://drive.google.com/file/d/1K_Dmw0aXBzl1sY7Jsw0G18TsahVDkrmC/view?usp=drivesdk","10409_SITI MARWA SERTIFIKAT BerAKHLAK")</f>
        <v>10409_SITI MARWA SERTIFIKAT BerAKHLAK</v>
      </c>
      <c r="K10410" s="5" t="s">
        <v>63923</v>
      </c>
      <c r="L10410" s="5" t="s">
        <v>63924</v>
      </c>
    </row>
    <row r="10411">
      <c r="A10411" s="4">
        <v>45544.304945358796</v>
      </c>
      <c r="B10411" s="5" t="s">
        <v>34</v>
      </c>
      <c r="D10411" s="5" t="s">
        <v>3432</v>
      </c>
      <c r="E10411" s="5" t="s">
        <v>63925</v>
      </c>
      <c r="F10411" s="5" t="s">
        <v>108</v>
      </c>
      <c r="G10411" s="5" t="s">
        <v>63926</v>
      </c>
      <c r="H10411" s="6" t="s">
        <v>63927</v>
      </c>
      <c r="I10411" s="7" t="s">
        <v>63928</v>
      </c>
      <c r="J10411" s="8" t="str">
        <f>HYPERLINK("https://drive.google.com/file/d/1PWBtnoGo8trXqI0lEg3Jie9QxUmLwVzF/view?usp=drivesdk","10410_apt. TRISNO SAPUTRA, S.Farm. SERTIFIKAT BerAKHLAK")</f>
        <v>10410_apt. TRISNO SAPUTRA, S.Farm. SERTIFIKAT BerAKHLAK</v>
      </c>
      <c r="K10411" s="5" t="s">
        <v>63929</v>
      </c>
      <c r="L10411" s="5" t="s">
        <v>63930</v>
      </c>
    </row>
    <row r="10412">
      <c r="A10412" s="4">
        <v>45544.38792489583</v>
      </c>
      <c r="B10412" s="5" t="s">
        <v>34</v>
      </c>
      <c r="D10412" s="5" t="s">
        <v>996</v>
      </c>
      <c r="E10412" s="5" t="s">
        <v>48798</v>
      </c>
      <c r="F10412" s="5" t="s">
        <v>72</v>
      </c>
      <c r="G10412" s="5" t="s">
        <v>63931</v>
      </c>
      <c r="H10412" s="6" t="s">
        <v>63932</v>
      </c>
      <c r="I10412" s="7" t="s">
        <v>63933</v>
      </c>
      <c r="J10412" s="8" t="str">
        <f>HYPERLINK("https://drive.google.com/file/d/1wyufUA3xN58MDj2udAtj50cDM59SkFU1/view?usp=drivesdk","10411_GURDANI SERTIFIKAT BerAKHLAK")</f>
        <v>10411_GURDANI SERTIFIKAT BerAKHLAK</v>
      </c>
      <c r="K10412" s="5" t="s">
        <v>63934</v>
      </c>
      <c r="L10412" s="5" t="s">
        <v>63935</v>
      </c>
    </row>
    <row r="10413">
      <c r="A10413" s="4">
        <v>45544.45284194444</v>
      </c>
      <c r="B10413" s="5" t="s">
        <v>34</v>
      </c>
      <c r="D10413" s="5" t="s">
        <v>9020</v>
      </c>
      <c r="E10413" s="5" t="s">
        <v>60790</v>
      </c>
      <c r="F10413" s="5" t="s">
        <v>212</v>
      </c>
      <c r="G10413" s="5" t="s">
        <v>63936</v>
      </c>
      <c r="H10413" s="6" t="s">
        <v>63937</v>
      </c>
      <c r="I10413" s="7" t="s">
        <v>63938</v>
      </c>
      <c r="J10413" s="8" t="str">
        <f>HYPERLINK("https://drive.google.com/file/d/1mN1OuHmaPvYN-zI8aGQb2FzIHpOyWqxb/view?usp=drivesdk","10412_HERTINA LUMBANTORUAN SERTIFIKAT BerAKHLAK")</f>
        <v>10412_HERTINA LUMBANTORUAN SERTIFIKAT BerAKHLAK</v>
      </c>
      <c r="K10413" s="5" t="s">
        <v>63939</v>
      </c>
      <c r="L10413" s="5" t="s">
        <v>63940</v>
      </c>
    </row>
    <row r="10414">
      <c r="A10414" s="4">
        <v>45545.62577078704</v>
      </c>
      <c r="B10414" s="5" t="s">
        <v>34</v>
      </c>
      <c r="D10414" s="5" t="s">
        <v>9020</v>
      </c>
      <c r="E10414" s="5" t="s">
        <v>23944</v>
      </c>
      <c r="F10414" s="5" t="s">
        <v>212</v>
      </c>
      <c r="G10414" s="5" t="s">
        <v>23945</v>
      </c>
      <c r="H10414" s="6" t="s">
        <v>63941</v>
      </c>
      <c r="I10414" s="7" t="s">
        <v>63942</v>
      </c>
      <c r="J10414" s="8" t="str">
        <f>HYPERLINK("https://drive.google.com/file/d/1JgOdXBeCmEG4vYzeuTATM31gl_Z5XXQ1/view?usp=drivesdk","10413_PORMAIDA SIMANJUNTAK SERTIFIKAT BerAKHLAK")</f>
        <v>10413_PORMAIDA SIMANJUNTAK SERTIFIKAT BerAKHLAK</v>
      </c>
      <c r="K10414" s="5" t="s">
        <v>63943</v>
      </c>
      <c r="L10414" s="5" t="s">
        <v>63944</v>
      </c>
    </row>
    <row r="10415">
      <c r="A10415" s="4">
        <v>45545.84458362269</v>
      </c>
      <c r="B10415" s="5" t="s">
        <v>34</v>
      </c>
      <c r="D10415" s="5" t="s">
        <v>9020</v>
      </c>
      <c r="E10415" s="5" t="s">
        <v>63574</v>
      </c>
      <c r="F10415" s="5" t="s">
        <v>375</v>
      </c>
      <c r="G10415" s="5" t="s">
        <v>63575</v>
      </c>
      <c r="H10415" s="6" t="s">
        <v>63945</v>
      </c>
      <c r="I10415" s="7" t="s">
        <v>63946</v>
      </c>
      <c r="J10415" s="8" t="str">
        <f>HYPERLINK("https://drive.google.com/file/d/1-_Sf7hZUDKzq_5N0_xq4O6J_4Fi-_9fs/view?usp=drivesdk","10414_RAHMA YUSRO BATUBARA,S.S SERTIFIKAT BerAKHLAK")</f>
        <v>10414_RAHMA YUSRO BATUBARA,S.S SERTIFIKAT BerAKHLAK</v>
      </c>
      <c r="K10415" s="5" t="s">
        <v>63947</v>
      </c>
      <c r="L10415" s="5" t="s">
        <v>63948</v>
      </c>
    </row>
    <row r="10416">
      <c r="A10416" s="4">
        <v>45546.389403124995</v>
      </c>
      <c r="B10416" s="5" t="s">
        <v>34</v>
      </c>
      <c r="D10416" s="5" t="s">
        <v>4775</v>
      </c>
      <c r="E10416" s="5" t="s">
        <v>60644</v>
      </c>
      <c r="F10416" s="5" t="s">
        <v>108</v>
      </c>
      <c r="G10416" s="5" t="s">
        <v>63949</v>
      </c>
      <c r="H10416" s="6" t="s">
        <v>63950</v>
      </c>
      <c r="I10416" s="7" t="s">
        <v>63951</v>
      </c>
      <c r="J10416" s="8" t="str">
        <f>HYPERLINK("https://drive.google.com/file/d/1FbkKiHJ3jmr-OjXhsury4QnfWf_D-iFJ/view?usp=drivesdk","10415_SULIT STYONO BUDI PRAKOSO, A.Md SERTIFIKAT BerAKHLAK")</f>
        <v>10415_SULIT STYONO BUDI PRAKOSO, A.Md SERTIFIKAT BerAKHLAK</v>
      </c>
      <c r="K10416" s="5" t="s">
        <v>63952</v>
      </c>
      <c r="L10416" s="5" t="s">
        <v>63953</v>
      </c>
    </row>
    <row r="10417">
      <c r="A10417" s="4">
        <v>45546.40107905093</v>
      </c>
      <c r="B10417" s="5" t="s">
        <v>34</v>
      </c>
      <c r="D10417" s="5" t="s">
        <v>9020</v>
      </c>
      <c r="E10417" s="5" t="s">
        <v>63954</v>
      </c>
      <c r="F10417" s="5" t="s">
        <v>715</v>
      </c>
      <c r="G10417" s="5" t="s">
        <v>63955</v>
      </c>
      <c r="H10417" s="6" t="s">
        <v>63956</v>
      </c>
      <c r="I10417" s="7" t="s">
        <v>63957</v>
      </c>
      <c r="J10417" s="8" t="str">
        <f>HYPERLINK("https://drive.google.com/file/d/1IjnIJ2FWA6smprIqAsIatgtYOT12qCrG/view?usp=drivesdk","10416_FRIZA ALFARID SERTIFIKAT BerAKHLAK")</f>
        <v>10416_FRIZA ALFARID SERTIFIKAT BerAKHLAK</v>
      </c>
      <c r="K10417" s="5" t="s">
        <v>63958</v>
      </c>
      <c r="L10417" s="5" t="s">
        <v>63959</v>
      </c>
    </row>
    <row r="10418" hidden="1">
      <c r="A10418" s="4">
        <v>45546.78853164351</v>
      </c>
      <c r="B10418" s="5" t="s">
        <v>19</v>
      </c>
      <c r="C10418" s="5" t="s">
        <v>55133</v>
      </c>
      <c r="E10418" s="5" t="s">
        <v>63960</v>
      </c>
      <c r="F10418" s="5" t="s">
        <v>375</v>
      </c>
      <c r="G10418" s="5" t="s">
        <v>63961</v>
      </c>
      <c r="H10418" s="6" t="s">
        <v>63962</v>
      </c>
      <c r="I10418" s="7" t="s">
        <v>63963</v>
      </c>
      <c r="J10418" s="8" t="str">
        <f>HYPERLINK("https://drive.google.com/file/d/1K6f_jUwwFJ3Aj3GLY6PQC6Xp66-VmtKZ/view?usp=drivesdk","10417_GUNTUR WIJAYA KESUMA, S.T., M.Si SERTIFIKAT BerAKHLAK")</f>
        <v>10417_GUNTUR WIJAYA KESUMA, S.T., M.Si SERTIFIKAT BerAKHLAK</v>
      </c>
      <c r="K10418" s="5" t="s">
        <v>63964</v>
      </c>
      <c r="L10418" s="5" t="s">
        <v>63965</v>
      </c>
    </row>
    <row r="10419">
      <c r="A10419" s="4">
        <v>45547.40751152778</v>
      </c>
      <c r="B10419" s="5" t="s">
        <v>34</v>
      </c>
      <c r="D10419" s="5" t="s">
        <v>14424</v>
      </c>
      <c r="E10419" s="5" t="s">
        <v>63966</v>
      </c>
      <c r="F10419" s="5" t="s">
        <v>199</v>
      </c>
      <c r="G10419" s="5" t="s">
        <v>63967</v>
      </c>
      <c r="H10419" s="6" t="s">
        <v>63968</v>
      </c>
      <c r="I10419" s="7" t="s">
        <v>63969</v>
      </c>
      <c r="J10419" s="8" t="str">
        <f>HYPERLINK("https://drive.google.com/file/d/1Z6LO8Gqv8fxdYmoqMJtMHnS2GVuKsZPU/view?usp=drivesdk","10418_KAMISARI, S.H. SERTIFIKAT BerAKHLAK")</f>
        <v>10418_KAMISARI, S.H. SERTIFIKAT BerAKHLAK</v>
      </c>
      <c r="K10419" s="5" t="s">
        <v>63970</v>
      </c>
      <c r="L10419" s="5" t="s">
        <v>63971</v>
      </c>
    </row>
    <row r="10420">
      <c r="A10420" s="4">
        <v>45547.42617835648</v>
      </c>
      <c r="B10420" s="5" t="s">
        <v>34</v>
      </c>
      <c r="D10420" s="5" t="s">
        <v>4775</v>
      </c>
      <c r="E10420" s="5" t="s">
        <v>63972</v>
      </c>
      <c r="F10420" s="5" t="s">
        <v>212</v>
      </c>
      <c r="G10420" s="5" t="s">
        <v>63973</v>
      </c>
      <c r="H10420" s="6" t="s">
        <v>63974</v>
      </c>
      <c r="I10420" s="7" t="s">
        <v>63975</v>
      </c>
      <c r="J10420" s="8" t="str">
        <f>HYPERLINK("https://drive.google.com/file/d/1i3eUrnGf8x9sWMHLkvxxNNHGdEu11wlS/view?usp=drivesdk","10419_SABAR PRASTOWO SERTIFIKAT BerAKHLAK")</f>
        <v>10419_SABAR PRASTOWO SERTIFIKAT BerAKHLAK</v>
      </c>
      <c r="K10420" s="5" t="s">
        <v>63976</v>
      </c>
      <c r="L10420" s="5" t="s">
        <v>63977</v>
      </c>
    </row>
    <row r="10421">
      <c r="A10421" s="4">
        <v>45547.437328831016</v>
      </c>
      <c r="B10421" s="5" t="s">
        <v>34</v>
      </c>
      <c r="D10421" s="5" t="s">
        <v>4775</v>
      </c>
      <c r="E10421" s="5" t="s">
        <v>63978</v>
      </c>
      <c r="F10421" s="5" t="s">
        <v>328</v>
      </c>
      <c r="G10421" s="5" t="s">
        <v>63979</v>
      </c>
      <c r="H10421" s="6" t="s">
        <v>63980</v>
      </c>
      <c r="I10421" s="7" t="s">
        <v>63981</v>
      </c>
      <c r="J10421" s="8" t="str">
        <f>HYPERLINK("https://drive.google.com/file/d/1VObxIFXxk21EPs-hIzrg_mzTjVnTvI5Z/view?usp=drivesdk","10420_TARKOo SERTIFIKAT BerAKHLAK")</f>
        <v>10420_TARKOo SERTIFIKAT BerAKHLAK</v>
      </c>
      <c r="K10421" s="5" t="s">
        <v>63982</v>
      </c>
      <c r="L10421" s="5" t="s">
        <v>63983</v>
      </c>
    </row>
    <row r="10422">
      <c r="A10422" s="4">
        <v>45547.44337690972</v>
      </c>
      <c r="B10422" s="5" t="s">
        <v>34</v>
      </c>
      <c r="D10422" s="5" t="s">
        <v>4775</v>
      </c>
      <c r="E10422" s="5" t="s">
        <v>63984</v>
      </c>
      <c r="F10422" s="5" t="s">
        <v>524</v>
      </c>
      <c r="G10422" s="5" t="s">
        <v>63985</v>
      </c>
      <c r="H10422" s="6" t="s">
        <v>63986</v>
      </c>
      <c r="I10422" s="7" t="s">
        <v>63987</v>
      </c>
      <c r="J10422" s="8" t="str">
        <f>HYPERLINK("https://drive.google.com/file/d/1BnwSqm1cv4LUmjLR87HrG-FiQPHGvPaJ/view?usp=drivesdk","10421_YUSUF FATKHUROHMAN SERTIFIKAT BerAKHLAK")</f>
        <v>10421_YUSUF FATKHUROHMAN SERTIFIKAT BerAKHLAK</v>
      </c>
      <c r="K10422" s="5" t="s">
        <v>63988</v>
      </c>
      <c r="L10422" s="5" t="s">
        <v>63989</v>
      </c>
    </row>
    <row r="10423">
      <c r="A10423" s="4">
        <v>45547.44917277778</v>
      </c>
      <c r="B10423" s="5" t="s">
        <v>34</v>
      </c>
      <c r="D10423" s="5" t="s">
        <v>4775</v>
      </c>
      <c r="E10423" s="5" t="s">
        <v>63990</v>
      </c>
      <c r="F10423" s="5" t="s">
        <v>524</v>
      </c>
      <c r="G10423" s="5" t="s">
        <v>63991</v>
      </c>
      <c r="H10423" s="6" t="s">
        <v>63992</v>
      </c>
      <c r="I10423" s="7" t="s">
        <v>63993</v>
      </c>
      <c r="J10423" s="8" t="str">
        <f>HYPERLINK("https://drive.google.com/file/d/1ZCgTR0i7fyFI1QRx9Xpc0uStn6g38RKT/view?usp=drivesdk","10422_HASYIM ADNAN SERTIFIKAT BerAKHLAK")</f>
        <v>10422_HASYIM ADNAN SERTIFIKAT BerAKHLAK</v>
      </c>
      <c r="K10423" s="5" t="s">
        <v>63994</v>
      </c>
      <c r="L10423" s="5" t="s">
        <v>63995</v>
      </c>
    </row>
    <row r="10424">
      <c r="A10424" s="4">
        <v>45547.69519466435</v>
      </c>
      <c r="B10424" s="5" t="s">
        <v>34</v>
      </c>
      <c r="D10424" s="5" t="s">
        <v>580</v>
      </c>
      <c r="E10424" s="5" t="s">
        <v>63996</v>
      </c>
      <c r="F10424" s="5" t="s">
        <v>715</v>
      </c>
      <c r="G10424" s="5" t="s">
        <v>63997</v>
      </c>
      <c r="H10424" s="6" t="s">
        <v>63998</v>
      </c>
      <c r="I10424" s="7" t="s">
        <v>63999</v>
      </c>
      <c r="J10424" s="8" t="str">
        <f>HYPERLINK("https://drive.google.com/file/d/1qmQwjYjQoRoFvWqUyLUIoSKYOEiNAKjc/view?usp=drivesdk","10423_UDA BGS ARTHA JAYA, S. PD. H.  SERTIFIKAT BerAKHLAK")</f>
        <v>10423_UDA BGS ARTHA JAYA, S. PD. H.  SERTIFIKAT BerAKHLAK</v>
      </c>
      <c r="K10424" s="5" t="s">
        <v>64000</v>
      </c>
      <c r="L10424" s="5" t="s">
        <v>64001</v>
      </c>
    </row>
    <row r="10425">
      <c r="A10425" s="4">
        <v>45552.36390275463</v>
      </c>
      <c r="B10425" s="5" t="s">
        <v>34</v>
      </c>
      <c r="D10425" s="5" t="s">
        <v>1206</v>
      </c>
      <c r="E10425" s="5" t="s">
        <v>64002</v>
      </c>
      <c r="F10425" s="5" t="s">
        <v>37</v>
      </c>
      <c r="G10425" s="5" t="s">
        <v>64003</v>
      </c>
      <c r="H10425" s="6" t="s">
        <v>64004</v>
      </c>
      <c r="I10425" s="7" t="s">
        <v>64005</v>
      </c>
      <c r="J10425" s="8" t="str">
        <f>HYPERLINK("https://drive.google.com/file/d/1GTHkbdKyR0Ej4FaUTnSjy1kuqgCZvwmJ/view?usp=drivesdk","10424_SAFARI SERTIFIKAT BerAKHLAK")</f>
        <v>10424_SAFARI SERTIFIKAT BerAKHLAK</v>
      </c>
      <c r="K10425" s="5" t="s">
        <v>64006</v>
      </c>
      <c r="L10425" s="5" t="s">
        <v>64007</v>
      </c>
    </row>
    <row r="10426">
      <c r="A10426" s="4">
        <v>45552.375194837965</v>
      </c>
      <c r="B10426" s="5" t="s">
        <v>34</v>
      </c>
      <c r="D10426" s="5" t="s">
        <v>1206</v>
      </c>
      <c r="E10426" s="5" t="s">
        <v>39721</v>
      </c>
      <c r="F10426" s="5" t="s">
        <v>37</v>
      </c>
      <c r="G10426" s="5" t="s">
        <v>64008</v>
      </c>
      <c r="H10426" s="6" t="s">
        <v>64009</v>
      </c>
      <c r="I10426" s="7" t="s">
        <v>64010</v>
      </c>
      <c r="J10426" s="8" t="str">
        <f>HYPERLINK("https://drive.google.com/file/d/1Oowyz4GBDCC3TKlj4eBbZwHqMDbwRodm/view?usp=drivesdk","10425_HARIYANTO SERTIFIKAT BerAKHLAK")</f>
        <v>10425_HARIYANTO SERTIFIKAT BerAKHLAK</v>
      </c>
      <c r="K10426" s="5" t="s">
        <v>64011</v>
      </c>
      <c r="L10426" s="5" t="s">
        <v>64012</v>
      </c>
    </row>
    <row r="10427">
      <c r="A10427" s="4">
        <v>45552.3770672338</v>
      </c>
      <c r="B10427" s="5" t="s">
        <v>34</v>
      </c>
      <c r="D10427" s="5" t="s">
        <v>6232</v>
      </c>
      <c r="E10427" s="5" t="s">
        <v>64013</v>
      </c>
      <c r="F10427" s="5" t="s">
        <v>37</v>
      </c>
      <c r="G10427" s="5" t="s">
        <v>64014</v>
      </c>
      <c r="H10427" s="6" t="s">
        <v>64015</v>
      </c>
      <c r="I10427" s="7" t="s">
        <v>64016</v>
      </c>
      <c r="J10427" s="8" t="str">
        <f>HYPERLINK("https://drive.google.com/file/d/1QsuOyaBhA3EU7d6XsN4KkvDZRmFl05s8/view?usp=drivesdk","10426_FUJI ASTUTI  SERTIFIKAT BerAKHLAK")</f>
        <v>10426_FUJI ASTUTI  SERTIFIKAT BerAKHLAK</v>
      </c>
      <c r="K10427" s="5" t="s">
        <v>64017</v>
      </c>
      <c r="L10427" s="5" t="s">
        <v>64018</v>
      </c>
    </row>
    <row r="10428">
      <c r="A10428" s="4">
        <v>45552.39061377315</v>
      </c>
      <c r="B10428" s="5" t="s">
        <v>34</v>
      </c>
      <c r="D10428" s="5" t="s">
        <v>4775</v>
      </c>
      <c r="E10428" s="5" t="s">
        <v>64019</v>
      </c>
      <c r="F10428" s="5" t="s">
        <v>212</v>
      </c>
      <c r="G10428" s="5" t="s">
        <v>64020</v>
      </c>
      <c r="H10428" s="6" t="s">
        <v>64021</v>
      </c>
      <c r="I10428" s="7" t="s">
        <v>64022</v>
      </c>
      <c r="J10428" s="8" t="str">
        <f>HYPERLINK("https://drive.google.com/file/d/1TLOuWU2dqdHIJz4KQOrjLSL1nPDLFYgc/view?usp=drivesdk","10427_NARTOo SERTIFIKAT BerAKHLAK")</f>
        <v>10427_NARTOo SERTIFIKAT BerAKHLAK</v>
      </c>
      <c r="K10428" s="5" t="s">
        <v>64023</v>
      </c>
      <c r="L10428" s="5" t="s">
        <v>64024</v>
      </c>
    </row>
    <row r="10429">
      <c r="A10429" s="4">
        <v>45552.40356416667</v>
      </c>
      <c r="B10429" s="5" t="s">
        <v>34</v>
      </c>
      <c r="D10429" s="5" t="s">
        <v>1206</v>
      </c>
      <c r="E10429" s="5" t="s">
        <v>64025</v>
      </c>
      <c r="F10429" s="5" t="s">
        <v>212</v>
      </c>
      <c r="G10429" s="5" t="s">
        <v>64026</v>
      </c>
      <c r="H10429" s="6" t="s">
        <v>64027</v>
      </c>
      <c r="I10429" s="7" t="s">
        <v>64028</v>
      </c>
      <c r="J10429" s="8" t="str">
        <f>HYPERLINK("https://drive.google.com/file/d/16dYPi5T5nerUWWemi1i7IhS2pWHPQjyX/view?usp=drivesdk","10428_ADI SUBERKAT SERTIFIKAT BerAKHLAK")</f>
        <v>10428_ADI SUBERKAT SERTIFIKAT BerAKHLAK</v>
      </c>
      <c r="K10429" s="5" t="s">
        <v>59676</v>
      </c>
      <c r="L10429" s="5" t="s">
        <v>64029</v>
      </c>
    </row>
    <row r="10430">
      <c r="A10430" s="4">
        <v>45552.4109483912</v>
      </c>
      <c r="B10430" s="5" t="s">
        <v>34</v>
      </c>
      <c r="D10430" s="5" t="s">
        <v>9020</v>
      </c>
      <c r="E10430" s="5" t="s">
        <v>24137</v>
      </c>
      <c r="F10430" s="5" t="s">
        <v>375</v>
      </c>
      <c r="G10430" s="5" t="s">
        <v>64030</v>
      </c>
      <c r="H10430" s="6" t="s">
        <v>64031</v>
      </c>
      <c r="I10430" s="7" t="s">
        <v>64032</v>
      </c>
      <c r="J10430" s="8" t="str">
        <f>HYPERLINK("https://drive.google.com/file/d/1hNvTWVkedWPTVSaFq5aioeTjY0MfxcWw/view?usp=drivesdk","10429_Tatang Windianto, SE SERTIFIKAT BerAKHLAK")</f>
        <v>10429_Tatang Windianto, SE SERTIFIKAT BerAKHLAK</v>
      </c>
      <c r="K10430" s="5" t="s">
        <v>64033</v>
      </c>
      <c r="L10430" s="5" t="s">
        <v>64034</v>
      </c>
    </row>
    <row r="10431">
      <c r="A10431" s="4">
        <v>45552.426902708336</v>
      </c>
      <c r="B10431" s="5" t="s">
        <v>34</v>
      </c>
      <c r="D10431" s="5" t="s">
        <v>1206</v>
      </c>
      <c r="E10431" s="5" t="s">
        <v>59053</v>
      </c>
      <c r="F10431" s="5" t="s">
        <v>37</v>
      </c>
      <c r="G10431" s="5" t="s">
        <v>64035</v>
      </c>
      <c r="H10431" s="6" t="s">
        <v>64036</v>
      </c>
      <c r="I10431" s="7" t="s">
        <v>64037</v>
      </c>
      <c r="J10431" s="8" t="str">
        <f>HYPERLINK("https://drive.google.com/file/d/16AmIm8EZsxJVOeR1JfHn6W0L7o0XA_YM/view?usp=drivesdk","10430_INDAH PUJI LESTARI SERTIFIKAT BerAKHLAK")</f>
        <v>10430_INDAH PUJI LESTARI SERTIFIKAT BerAKHLAK</v>
      </c>
      <c r="K10431" s="5" t="s">
        <v>64038</v>
      </c>
      <c r="L10431" s="5" t="s">
        <v>64039</v>
      </c>
    </row>
    <row r="10432">
      <c r="A10432" s="4">
        <v>45552.435101828705</v>
      </c>
      <c r="B10432" s="5" t="s">
        <v>34</v>
      </c>
      <c r="D10432" s="5" t="s">
        <v>1768</v>
      </c>
      <c r="E10432" s="5" t="s">
        <v>64040</v>
      </c>
      <c r="F10432" s="5" t="s">
        <v>108</v>
      </c>
      <c r="G10432" s="5" t="s">
        <v>64041</v>
      </c>
      <c r="H10432" s="6" t="s">
        <v>64042</v>
      </c>
      <c r="I10432" s="7" t="s">
        <v>64043</v>
      </c>
      <c r="J10432" s="8" t="str">
        <f>HYPERLINK("https://drive.google.com/file/d/1fKBcgr-1FXfBxrSo1bv_JiLmq_8Inx5I/view?usp=drivesdk","10431_SARJIYANTI SERTIFIKAT BerAKHLAK")</f>
        <v>10431_SARJIYANTI SERTIFIKAT BerAKHLAK</v>
      </c>
      <c r="K10432" s="5" t="s">
        <v>64044</v>
      </c>
      <c r="L10432" s="5" t="s">
        <v>64045</v>
      </c>
    </row>
    <row r="10433">
      <c r="A10433" s="4">
        <v>45552.48335321759</v>
      </c>
      <c r="B10433" s="5" t="s">
        <v>34</v>
      </c>
      <c r="D10433" s="5" t="s">
        <v>9020</v>
      </c>
      <c r="E10433" s="5" t="s">
        <v>45775</v>
      </c>
      <c r="F10433" s="5" t="s">
        <v>524</v>
      </c>
      <c r="G10433" s="5" t="s">
        <v>45776</v>
      </c>
      <c r="H10433" s="6" t="s">
        <v>64046</v>
      </c>
      <c r="I10433" s="7" t="s">
        <v>64047</v>
      </c>
      <c r="J10433" s="8" t="str">
        <f>HYPERLINK("https://drive.google.com/file/d/1nLQJhczYmTy7Zj7snY8X05CJR6PyZj1w/view?usp=drivesdk","10432_MARULAK MP TAMBA, S.E. SERTIFIKAT BerAKHLAK")</f>
        <v>10432_MARULAK MP TAMBA, S.E. SERTIFIKAT BerAKHLAK</v>
      </c>
      <c r="K10433" s="5" t="s">
        <v>60173</v>
      </c>
      <c r="L10433" s="5" t="s">
        <v>64048</v>
      </c>
    </row>
    <row r="10434">
      <c r="A10434" s="4">
        <v>45552.528467384254</v>
      </c>
      <c r="B10434" s="5" t="s">
        <v>34</v>
      </c>
      <c r="D10434" s="5" t="s">
        <v>1206</v>
      </c>
      <c r="E10434" s="5" t="s">
        <v>21924</v>
      </c>
      <c r="F10434" s="5" t="s">
        <v>212</v>
      </c>
      <c r="G10434" s="5" t="s">
        <v>64049</v>
      </c>
      <c r="H10434" s="6" t="s">
        <v>64050</v>
      </c>
      <c r="I10434" s="7" t="s">
        <v>64051</v>
      </c>
      <c r="J10434" s="8" t="str">
        <f>HYPERLINK("https://drive.google.com/file/d/1GHZkbtXX5Pa60zLmak63h3llGDEnLLbg/view?usp=drivesdk","10433_YUSTRIYANI SERTIFIKAT BerAKHLAK")</f>
        <v>10433_YUSTRIYANI SERTIFIKAT BerAKHLAK</v>
      </c>
      <c r="K10434" s="5" t="s">
        <v>64052</v>
      </c>
      <c r="L10434" s="5" t="s">
        <v>64053</v>
      </c>
    </row>
    <row r="10435">
      <c r="A10435" s="4">
        <v>45552.611066111116</v>
      </c>
      <c r="B10435" s="5" t="s">
        <v>34</v>
      </c>
      <c r="D10435" s="5" t="s">
        <v>3432</v>
      </c>
      <c r="E10435" s="5" t="s">
        <v>64054</v>
      </c>
      <c r="F10435" s="5" t="s">
        <v>524</v>
      </c>
      <c r="G10435" s="5" t="s">
        <v>64055</v>
      </c>
      <c r="H10435" s="6" t="s">
        <v>64056</v>
      </c>
      <c r="I10435" s="7" t="s">
        <v>64057</v>
      </c>
      <c r="J10435" s="8" t="str">
        <f>HYPERLINK("https://drive.google.com/file/d/1On0WuoBvjqM9ATBCaPJurAEzYDwtotpj/view?usp=drivesdk","10434_ALFIA LUDU SERTIFIKAT BerAKHLAK")</f>
        <v>10434_ALFIA LUDU SERTIFIKAT BerAKHLAK</v>
      </c>
      <c r="K10435" s="5" t="s">
        <v>60397</v>
      </c>
      <c r="L10435" s="5" t="s">
        <v>64058</v>
      </c>
    </row>
    <row r="10436">
      <c r="A10436" s="4">
        <v>45552.86190365741</v>
      </c>
      <c r="B10436" s="5" t="s">
        <v>34</v>
      </c>
      <c r="D10436" s="5" t="s">
        <v>9020</v>
      </c>
      <c r="E10436" s="5" t="s">
        <v>64059</v>
      </c>
      <c r="F10436" s="5" t="s">
        <v>212</v>
      </c>
      <c r="G10436" s="5" t="s">
        <v>64060</v>
      </c>
      <c r="H10436" s="6" t="s">
        <v>64061</v>
      </c>
      <c r="I10436" s="7" t="s">
        <v>64062</v>
      </c>
      <c r="J10436" s="8" t="str">
        <f>HYPERLINK("https://drive.google.com/file/d/1TjVKhRFcWhRzSgwxGnH1kDyiZDiameXk/view?usp=drivesdk","10435_BASMALENTA SERTIFIKAT BerAKHLAK")</f>
        <v>10435_BASMALENTA SERTIFIKAT BerAKHLAK</v>
      </c>
      <c r="K10436" s="5" t="s">
        <v>64063</v>
      </c>
      <c r="L10436" s="5" t="s">
        <v>64064</v>
      </c>
    </row>
    <row r="10437">
      <c r="A10437" s="4">
        <v>45553.36830069445</v>
      </c>
      <c r="B10437" s="5" t="s">
        <v>34</v>
      </c>
      <c r="D10437" s="5" t="s">
        <v>14424</v>
      </c>
      <c r="E10437" s="5" t="s">
        <v>34964</v>
      </c>
      <c r="F10437" s="5" t="s">
        <v>108</v>
      </c>
      <c r="G10437" s="5" t="s">
        <v>34965</v>
      </c>
      <c r="H10437" s="6" t="s">
        <v>64065</v>
      </c>
      <c r="I10437" s="7" t="s">
        <v>64066</v>
      </c>
      <c r="J10437" s="8" t="str">
        <f>HYPERLINK("https://drive.google.com/file/d/1wb6eYwWmHDIkhxAoAJvL3IQRYcr0uEva/view?usp=drivesdk","10436_WERLY DARINTAH, A.Md. SERTIFIKAT BerAKHLAK")</f>
        <v>10436_WERLY DARINTAH, A.Md. SERTIFIKAT BerAKHLAK</v>
      </c>
      <c r="K10437" s="5" t="s">
        <v>64067</v>
      </c>
      <c r="L10437" s="5" t="s">
        <v>64068</v>
      </c>
    </row>
    <row r="10438">
      <c r="A10438" s="4">
        <v>45553.36968959491</v>
      </c>
      <c r="B10438" s="5" t="s">
        <v>34</v>
      </c>
      <c r="D10438" s="5" t="s">
        <v>14424</v>
      </c>
      <c r="E10438" s="5" t="s">
        <v>64069</v>
      </c>
      <c r="F10438" s="5" t="s">
        <v>108</v>
      </c>
      <c r="G10438" s="5" t="s">
        <v>64070</v>
      </c>
      <c r="H10438" s="6" t="s">
        <v>64071</v>
      </c>
      <c r="I10438" s="7" t="s">
        <v>64072</v>
      </c>
      <c r="J10438" s="8" t="str">
        <f>HYPERLINK("https://drive.google.com/file/d/14xUo0qMalJrOSXnMDfEkhDQCiPyKaRNE/view?usp=drivesdk","10437_ARMIA, A. SERTIFIKAT BerAKHLAK")</f>
        <v>10437_ARMIA, A. SERTIFIKAT BerAKHLAK</v>
      </c>
      <c r="K10438" s="5" t="s">
        <v>64073</v>
      </c>
      <c r="L10438" s="5" t="s">
        <v>64074</v>
      </c>
    </row>
    <row r="10439">
      <c r="A10439" s="4">
        <v>45553.37511641203</v>
      </c>
      <c r="B10439" s="5" t="s">
        <v>34</v>
      </c>
      <c r="D10439" s="5" t="s">
        <v>580</v>
      </c>
      <c r="E10439" s="5" t="s">
        <v>64075</v>
      </c>
      <c r="F10439" s="5" t="s">
        <v>37</v>
      </c>
      <c r="G10439" s="5" t="s">
        <v>59758</v>
      </c>
      <c r="H10439" s="6" t="s">
        <v>64076</v>
      </c>
      <c r="I10439" s="7" t="s">
        <v>64077</v>
      </c>
      <c r="J10439" s="8" t="str">
        <f>HYPERLINK("https://drive.google.com/file/d/1qdMsEAJ1FJgSCc6cS5--FSJKbp6ZGzvv/view?usp=drivesdk","10438_NYOMAN AYU MUSTIKA PUTRI, A.Md. Ak. SERTIFIKAT BerAKHLAK")</f>
        <v>10438_NYOMAN AYU MUSTIKA PUTRI, A.Md. Ak. SERTIFIKAT BerAKHLAK</v>
      </c>
      <c r="K10439" s="5" t="s">
        <v>64078</v>
      </c>
      <c r="L10439" s="5" t="s">
        <v>64079</v>
      </c>
    </row>
    <row r="10440">
      <c r="A10440" s="4">
        <v>45553.39565003473</v>
      </c>
      <c r="B10440" s="5" t="s">
        <v>34</v>
      </c>
      <c r="D10440" s="5" t="s">
        <v>1206</v>
      </c>
      <c r="E10440" s="5" t="s">
        <v>64080</v>
      </c>
      <c r="F10440" s="5" t="s">
        <v>37</v>
      </c>
      <c r="G10440" s="5" t="s">
        <v>64081</v>
      </c>
      <c r="H10440" s="6" t="s">
        <v>64082</v>
      </c>
      <c r="I10440" s="7" t="s">
        <v>64083</v>
      </c>
      <c r="J10440" s="8" t="str">
        <f>HYPERLINK("https://drive.google.com/file/d/1FsqJjVAqtIEBmoF1IwDie_2uy8uikhii/view?usp=drivesdk","10439_Sella Novalia Risakotta, Amd.Kep SERTIFIKAT BerAKHLAK")</f>
        <v>10439_Sella Novalia Risakotta, Amd.Kep SERTIFIKAT BerAKHLAK</v>
      </c>
      <c r="K10440" s="5" t="s">
        <v>64084</v>
      </c>
      <c r="L10440" s="5" t="s">
        <v>64085</v>
      </c>
    </row>
    <row r="10441">
      <c r="A10441" s="4">
        <v>45553.400901076384</v>
      </c>
      <c r="B10441" s="5" t="s">
        <v>34</v>
      </c>
      <c r="D10441" s="5" t="s">
        <v>1206</v>
      </c>
      <c r="E10441" s="5" t="s">
        <v>64086</v>
      </c>
      <c r="F10441" s="5" t="s">
        <v>212</v>
      </c>
      <c r="G10441" s="5" t="s">
        <v>64087</v>
      </c>
      <c r="H10441" s="6" t="s">
        <v>64088</v>
      </c>
      <c r="I10441" s="7" t="s">
        <v>64089</v>
      </c>
      <c r="J10441" s="8" t="str">
        <f>HYPERLINK("https://drive.google.com/file/d/1LVZCja1s0cwUsKGZIlCVxOA0MqQgui1u/view?usp=drivesdk","10440_IRA AGUSTINA SERTIFIKAT BerAKHLAK")</f>
        <v>10440_IRA AGUSTINA SERTIFIKAT BerAKHLAK</v>
      </c>
      <c r="K10441" s="5" t="s">
        <v>64090</v>
      </c>
      <c r="L10441" s="5" t="s">
        <v>64091</v>
      </c>
    </row>
    <row r="10442">
      <c r="A10442" s="4">
        <v>45553.50933775463</v>
      </c>
      <c r="B10442" s="5" t="s">
        <v>34</v>
      </c>
      <c r="D10442" s="5" t="s">
        <v>1558</v>
      </c>
      <c r="E10442" s="5" t="s">
        <v>64092</v>
      </c>
      <c r="F10442" s="5" t="s">
        <v>715</v>
      </c>
      <c r="G10442" s="5" t="s">
        <v>64093</v>
      </c>
      <c r="H10442" s="6" t="s">
        <v>64094</v>
      </c>
      <c r="I10442" s="7" t="s">
        <v>64095</v>
      </c>
      <c r="J10442" s="8" t="str">
        <f>HYPERLINK("https://drive.google.com/file/d/1YONc6XJ-l2HhGoGa4uRgbvu6A3oG3mFc/view?usp=drivesdk","10441_Ratna Dewi Komala, S.Ak. SERTIFIKAT BerAKHLAK")</f>
        <v>10441_Ratna Dewi Komala, S.Ak. SERTIFIKAT BerAKHLAK</v>
      </c>
      <c r="K10442" s="5" t="s">
        <v>64096</v>
      </c>
      <c r="L10442" s="5" t="s">
        <v>64097</v>
      </c>
    </row>
    <row r="10443">
      <c r="A10443" s="4">
        <v>45553.51302142361</v>
      </c>
      <c r="B10443" s="5" t="s">
        <v>34</v>
      </c>
      <c r="D10443" s="5" t="s">
        <v>701</v>
      </c>
      <c r="E10443" s="5" t="s">
        <v>64098</v>
      </c>
      <c r="F10443" s="5" t="s">
        <v>715</v>
      </c>
      <c r="G10443" s="5" t="s">
        <v>64099</v>
      </c>
      <c r="H10443" s="6" t="s">
        <v>64100</v>
      </c>
      <c r="I10443" s="7" t="s">
        <v>64101</v>
      </c>
      <c r="J10443" s="8" t="str">
        <f>HYPERLINK("https://drive.google.com/file/d/18Ecwar5oXw4E2JD1Wq5HHFgdUBeY2mc4/view?usp=drivesdk","10442_REFMA ZULINA SERTIFIKAT BerAKHLAK")</f>
        <v>10442_REFMA ZULINA SERTIFIKAT BerAKHLAK</v>
      </c>
      <c r="K10443" s="5" t="s">
        <v>64102</v>
      </c>
      <c r="L10443" s="5" t="s">
        <v>64103</v>
      </c>
    </row>
    <row r="10444">
      <c r="A10444" s="4">
        <v>45553.59137962963</v>
      </c>
      <c r="B10444" s="5" t="s">
        <v>34</v>
      </c>
      <c r="D10444" s="5" t="s">
        <v>1206</v>
      </c>
      <c r="E10444" s="5" t="s">
        <v>27296</v>
      </c>
      <c r="F10444" s="5" t="s">
        <v>212</v>
      </c>
      <c r="G10444" s="5" t="s">
        <v>27297</v>
      </c>
      <c r="H10444" s="6" t="s">
        <v>64104</v>
      </c>
      <c r="I10444" s="7" t="s">
        <v>64105</v>
      </c>
      <c r="J10444" s="8" t="str">
        <f>HYPERLINK("https://drive.google.com/file/d/1TqPmEHqqYH8FqNcoBFaVKkFpDUwzHR2W/view?usp=drivesdk","10443_DARYANI SERTIFIKAT BerAKHLAK")</f>
        <v>10443_DARYANI SERTIFIKAT BerAKHLAK</v>
      </c>
      <c r="K10444" s="5" t="s">
        <v>64106</v>
      </c>
      <c r="L10444" s="5" t="s">
        <v>64107</v>
      </c>
    </row>
    <row r="10445">
      <c r="A10445" s="4">
        <v>45554.42693047454</v>
      </c>
      <c r="B10445" s="5" t="s">
        <v>34</v>
      </c>
      <c r="D10445" s="5" t="s">
        <v>701</v>
      </c>
      <c r="E10445" s="5" t="s">
        <v>15761</v>
      </c>
      <c r="F10445" s="5" t="s">
        <v>37</v>
      </c>
      <c r="G10445" s="5" t="s">
        <v>15762</v>
      </c>
      <c r="H10445" s="6" t="s">
        <v>64108</v>
      </c>
      <c r="I10445" s="7" t="s">
        <v>64109</v>
      </c>
      <c r="J10445" s="8" t="str">
        <f>HYPERLINK("https://drive.google.com/file/d/121TvihU2n5ah0Uu9tMIHBIoOTnALxTl4/view?usp=drivesdk","10444_ELA SUMARNI SERTIFIKAT BerAKHLAK")</f>
        <v>10444_ELA SUMARNI SERTIFIKAT BerAKHLAK</v>
      </c>
      <c r="K10445" s="5" t="s">
        <v>64110</v>
      </c>
      <c r="L10445" s="5" t="s">
        <v>64111</v>
      </c>
    </row>
    <row r="10446">
      <c r="A10446" s="4">
        <v>45554.442099259264</v>
      </c>
      <c r="B10446" s="5" t="s">
        <v>34</v>
      </c>
      <c r="D10446" s="5" t="s">
        <v>4775</v>
      </c>
      <c r="E10446" s="5" t="s">
        <v>64112</v>
      </c>
      <c r="F10446" s="5" t="s">
        <v>212</v>
      </c>
      <c r="G10446" s="5" t="s">
        <v>64113</v>
      </c>
      <c r="H10446" s="6" t="s">
        <v>64114</v>
      </c>
      <c r="I10446" s="7" t="s">
        <v>64115</v>
      </c>
      <c r="J10446" s="8" t="str">
        <f>HYPERLINK("https://drive.google.com/file/d/1iQbBWWT4zvQvIPyoPTRRHA7ykr29VwBl/view?usp=drivesdk","10445_ENTIN WISMARIATIN, S.SOS SERTIFIKAT BerAKHLAK")</f>
        <v>10445_ENTIN WISMARIATIN, S.SOS SERTIFIKAT BerAKHLAK</v>
      </c>
      <c r="K10446" s="5" t="s">
        <v>64116</v>
      </c>
      <c r="L10446" s="5" t="s">
        <v>64117</v>
      </c>
    </row>
    <row r="10447">
      <c r="A10447" s="4">
        <v>45554.50643709491</v>
      </c>
      <c r="B10447" s="5" t="s">
        <v>34</v>
      </c>
      <c r="D10447" s="5" t="s">
        <v>4775</v>
      </c>
      <c r="E10447" s="5" t="s">
        <v>64118</v>
      </c>
      <c r="F10447" s="5" t="s">
        <v>199</v>
      </c>
      <c r="G10447" s="5" t="s">
        <v>64119</v>
      </c>
      <c r="H10447" s="6" t="s">
        <v>64120</v>
      </c>
      <c r="I10447" s="7" t="s">
        <v>64121</v>
      </c>
      <c r="J10447" s="8" t="str">
        <f>HYPERLINK("https://drive.google.com/file/d/1XhFvac1pseKYEaNqzL1b0QCS2aEJCDzH/view?usp=drivesdk","10446_KARIMUN  SERTIFIKAT BerAKHLAK")</f>
        <v>10446_KARIMUN  SERTIFIKAT BerAKHLAK</v>
      </c>
      <c r="K10447" s="5" t="s">
        <v>64122</v>
      </c>
      <c r="L10447" s="5" t="s">
        <v>64123</v>
      </c>
    </row>
    <row r="10448">
      <c r="A10448" s="4">
        <v>45554.58407164352</v>
      </c>
      <c r="B10448" s="5" t="s">
        <v>34</v>
      </c>
      <c r="D10448" s="5" t="s">
        <v>4775</v>
      </c>
      <c r="E10448" s="5" t="s">
        <v>64124</v>
      </c>
      <c r="F10448" s="5" t="s">
        <v>375</v>
      </c>
      <c r="G10448" s="5" t="s">
        <v>64125</v>
      </c>
      <c r="H10448" s="6" t="s">
        <v>64126</v>
      </c>
      <c r="I10448" s="7" t="s">
        <v>64127</v>
      </c>
      <c r="J10448" s="8" t="str">
        <f>HYPERLINK("https://drive.google.com/file/d/1K4Dhp7wgt6a_H7oRuFs2vlqLAVeQ7aXw/view?usp=drivesdk","10447_DRS TURUT SERTIFIKAT BerAKHLAK")</f>
        <v>10447_DRS TURUT SERTIFIKAT BerAKHLAK</v>
      </c>
      <c r="K10448" s="5" t="s">
        <v>64128</v>
      </c>
      <c r="L10448" s="5" t="s">
        <v>64129</v>
      </c>
    </row>
    <row r="10449">
      <c r="A10449" s="4">
        <v>45554.86181030092</v>
      </c>
      <c r="B10449" s="5" t="s">
        <v>34</v>
      </c>
      <c r="D10449" s="5" t="s">
        <v>4775</v>
      </c>
      <c r="E10449" s="5" t="s">
        <v>64130</v>
      </c>
      <c r="F10449" s="5" t="s">
        <v>375</v>
      </c>
      <c r="G10449" s="5" t="s">
        <v>64131</v>
      </c>
      <c r="H10449" s="6" t="s">
        <v>64132</v>
      </c>
      <c r="I10449" s="7" t="s">
        <v>64133</v>
      </c>
      <c r="J10449" s="8" t="str">
        <f>HYPERLINK("https://drive.google.com/file/d/1oyrbYM3AdwY_ZLV3EuuFs4XmggtqztuA/view?usp=drivesdk","10448_SOKHIBI, S.Ag. SERTIFIKAT BerAKHLAK")</f>
        <v>10448_SOKHIBI, S.Ag. SERTIFIKAT BerAKHLAK</v>
      </c>
      <c r="K10449" s="5" t="s">
        <v>64134</v>
      </c>
      <c r="L10449" s="5" t="s">
        <v>64135</v>
      </c>
    </row>
    <row r="10450">
      <c r="A10450" s="4">
        <v>45555.265385729166</v>
      </c>
      <c r="B10450" s="5" t="s">
        <v>34</v>
      </c>
      <c r="D10450" s="5" t="s">
        <v>9020</v>
      </c>
      <c r="E10450" s="5" t="s">
        <v>64136</v>
      </c>
      <c r="F10450" s="5" t="s">
        <v>37</v>
      </c>
      <c r="G10450" s="5" t="s">
        <v>64137</v>
      </c>
      <c r="H10450" s="6" t="s">
        <v>64138</v>
      </c>
      <c r="I10450" s="7" t="s">
        <v>64139</v>
      </c>
      <c r="J10450" s="8" t="str">
        <f>HYPERLINK("https://drive.google.com/file/d/145WY8GLCTYu9KF-MeC5x1QCsCvrhcD0T/view?usp=drivesdk","10449_SYAHRIAL FEEFNDI SERTIFIKAT BerAKHLAK")</f>
        <v>10449_SYAHRIAL FEEFNDI SERTIFIKAT BerAKHLAK</v>
      </c>
      <c r="K10450" s="5" t="s">
        <v>62472</v>
      </c>
      <c r="L10450" s="5" t="s">
        <v>64140</v>
      </c>
    </row>
    <row r="10451">
      <c r="A10451" s="4">
        <v>45555.34845373842</v>
      </c>
      <c r="B10451" s="5" t="s">
        <v>34</v>
      </c>
      <c r="D10451" s="5" t="s">
        <v>4775</v>
      </c>
      <c r="E10451" s="5" t="s">
        <v>64019</v>
      </c>
      <c r="F10451" s="5" t="s">
        <v>212</v>
      </c>
      <c r="G10451" s="5" t="s">
        <v>64141</v>
      </c>
      <c r="H10451" s="6" t="s">
        <v>64142</v>
      </c>
      <c r="I10451" s="7" t="s">
        <v>64143</v>
      </c>
      <c r="J10451" s="8" t="str">
        <f>HYPERLINK("https://drive.google.com/file/d/1vCQjnp-h_KtuL2UhH64c4kd9qGylUytA/view?usp=drivesdk","10450_NARTOo SERTIFIKAT BerAKHLAK")</f>
        <v>10450_NARTOo SERTIFIKAT BerAKHLAK</v>
      </c>
      <c r="K10451" s="5" t="s">
        <v>64144</v>
      </c>
      <c r="L10451" s="5" t="s">
        <v>64145</v>
      </c>
    </row>
    <row r="10452">
      <c r="A10452" s="4">
        <v>45555.37455658565</v>
      </c>
      <c r="B10452" s="5" t="s">
        <v>34</v>
      </c>
      <c r="D10452" s="5" t="s">
        <v>4775</v>
      </c>
      <c r="E10452" s="5" t="s">
        <v>64146</v>
      </c>
      <c r="F10452" s="5" t="s">
        <v>120</v>
      </c>
      <c r="G10452" s="5" t="s">
        <v>64147</v>
      </c>
      <c r="H10452" s="6" t="s">
        <v>64148</v>
      </c>
      <c r="I10452" s="7" t="s">
        <v>64149</v>
      </c>
      <c r="J10452" s="8" t="str">
        <f>HYPERLINK("https://drive.google.com/file/d/10KlW4VoebeX0hOakuch_8j5L9xlha3Vk/view?usp=drivesdk","10451_HARI SOEBAGYA, S.S. SERTIFIKAT BerAKHLAK")</f>
        <v>10451_HARI SOEBAGYA, S.S. SERTIFIKAT BerAKHLAK</v>
      </c>
      <c r="K10452" s="5" t="s">
        <v>64150</v>
      </c>
      <c r="L10452" s="5" t="s">
        <v>64151</v>
      </c>
    </row>
    <row r="10453">
      <c r="A10453" s="4">
        <v>45555.39811616898</v>
      </c>
      <c r="B10453" s="5" t="s">
        <v>34</v>
      </c>
      <c r="D10453" s="5" t="s">
        <v>4775</v>
      </c>
      <c r="E10453" s="5" t="s">
        <v>63990</v>
      </c>
      <c r="F10453" s="5" t="s">
        <v>120</v>
      </c>
      <c r="G10453" s="5" t="s">
        <v>64152</v>
      </c>
      <c r="H10453" s="6" t="s">
        <v>64153</v>
      </c>
      <c r="I10453" s="7" t="s">
        <v>64154</v>
      </c>
      <c r="J10453" s="8" t="str">
        <f>HYPERLINK("https://drive.google.com/file/d/1wRqSlt5_wtQHKM5KJwxREq6021s0S8VF/view?usp=drivesdk","10452_HASYIM ADNAN SERTIFIKAT BerAKHLAK")</f>
        <v>10452_HASYIM ADNAN SERTIFIKAT BerAKHLAK</v>
      </c>
      <c r="K10453" s="5" t="s">
        <v>64155</v>
      </c>
      <c r="L10453" s="5" t="s">
        <v>64156</v>
      </c>
    </row>
    <row r="10454">
      <c r="H10454" s="6"/>
    </row>
    <row r="10455">
      <c r="H10455" s="6"/>
    </row>
    <row r="10456">
      <c r="H10456" s="6"/>
    </row>
    <row r="10457">
      <c r="H10457" s="6"/>
    </row>
    <row r="10458">
      <c r="H10458" s="6"/>
    </row>
    <row r="10459">
      <c r="H10459" s="6"/>
    </row>
    <row r="10460">
      <c r="H10460" s="6"/>
    </row>
    <row r="10461">
      <c r="H10461" s="6"/>
    </row>
    <row r="10462">
      <c r="H10462" s="6"/>
    </row>
    <row r="10463">
      <c r="H10463" s="6"/>
    </row>
    <row r="10464">
      <c r="H10464" s="6"/>
    </row>
    <row r="10465">
      <c r="H10465" s="6"/>
    </row>
    <row r="10466">
      <c r="H10466" s="6"/>
    </row>
    <row r="10467">
      <c r="H10467" s="6"/>
    </row>
    <row r="10468">
      <c r="H10468" s="6"/>
    </row>
    <row r="10469">
      <c r="H10469" s="6"/>
    </row>
    <row r="10470">
      <c r="H10470" s="6"/>
    </row>
    <row r="10471">
      <c r="H10471" s="6"/>
    </row>
    <row r="10472">
      <c r="H10472" s="6"/>
    </row>
    <row r="10473">
      <c r="H10473" s="6"/>
    </row>
    <row r="10474">
      <c r="H10474" s="6"/>
    </row>
    <row r="10475">
      <c r="H10475" s="6"/>
    </row>
    <row r="10476">
      <c r="H10476" s="6"/>
    </row>
    <row r="10477">
      <c r="H10477" s="6"/>
    </row>
    <row r="10478">
      <c r="H10478" s="6"/>
    </row>
    <row r="10479">
      <c r="H10479" s="6"/>
    </row>
    <row r="10480">
      <c r="H10480" s="6"/>
    </row>
    <row r="10481">
      <c r="H10481" s="6"/>
    </row>
    <row r="10482">
      <c r="H10482" s="6"/>
    </row>
    <row r="10483">
      <c r="H10483" s="6"/>
    </row>
    <row r="10484">
      <c r="H10484" s="6"/>
    </row>
    <row r="10485">
      <c r="H10485" s="6"/>
    </row>
    <row r="10486">
      <c r="H10486" s="6"/>
    </row>
    <row r="10487">
      <c r="H10487" s="6"/>
    </row>
    <row r="10488">
      <c r="H10488" s="6"/>
    </row>
    <row r="10489">
      <c r="H10489" s="6"/>
    </row>
    <row r="10490">
      <c r="H10490" s="6"/>
    </row>
    <row r="10491">
      <c r="H10491" s="6"/>
    </row>
    <row r="10492">
      <c r="H10492" s="6"/>
    </row>
    <row r="10493">
      <c r="H10493" s="6"/>
    </row>
    <row r="10494">
      <c r="H10494" s="6"/>
    </row>
    <row r="10495">
      <c r="H10495" s="6"/>
    </row>
    <row r="10496">
      <c r="H10496" s="6"/>
    </row>
    <row r="10497">
      <c r="H10497" s="6"/>
    </row>
    <row r="10498">
      <c r="H10498" s="6"/>
    </row>
    <row r="10499">
      <c r="H10499" s="6"/>
    </row>
    <row r="10500">
      <c r="H10500" s="6"/>
    </row>
    <row r="10501">
      <c r="H10501" s="6"/>
    </row>
    <row r="10502">
      <c r="H10502" s="6"/>
    </row>
    <row r="10503">
      <c r="H10503" s="6"/>
    </row>
    <row r="10504">
      <c r="H10504" s="6"/>
    </row>
    <row r="10505">
      <c r="H10505" s="6"/>
    </row>
    <row r="10506">
      <c r="H10506" s="6"/>
    </row>
    <row r="10507">
      <c r="H10507" s="6"/>
    </row>
    <row r="10508">
      <c r="H10508" s="6"/>
    </row>
    <row r="10509">
      <c r="H10509" s="6"/>
    </row>
    <row r="10510">
      <c r="H10510" s="6"/>
    </row>
    <row r="10511">
      <c r="H10511" s="6"/>
    </row>
    <row r="10512">
      <c r="H10512" s="6"/>
    </row>
    <row r="10513">
      <c r="H10513" s="6"/>
    </row>
    <row r="10514">
      <c r="H10514" s="6"/>
    </row>
    <row r="10515">
      <c r="H10515" s="6"/>
    </row>
    <row r="10516">
      <c r="H10516" s="6"/>
    </row>
    <row r="10517">
      <c r="H10517" s="6"/>
    </row>
    <row r="10518">
      <c r="H10518" s="6"/>
    </row>
    <row r="10519">
      <c r="H10519" s="6"/>
    </row>
    <row r="10520">
      <c r="H10520" s="6"/>
    </row>
    <row r="10521">
      <c r="H10521" s="6"/>
    </row>
    <row r="10522">
      <c r="H10522" s="6"/>
    </row>
    <row r="10523">
      <c r="H10523" s="6"/>
    </row>
    <row r="10524">
      <c r="H10524" s="6"/>
    </row>
    <row r="10525">
      <c r="H10525" s="6"/>
    </row>
    <row r="10526">
      <c r="H10526" s="6"/>
    </row>
    <row r="10527">
      <c r="H10527" s="6"/>
    </row>
    <row r="10528">
      <c r="H10528" s="6"/>
    </row>
    <row r="10529">
      <c r="H10529" s="6"/>
    </row>
    <row r="10530">
      <c r="H10530" s="6"/>
    </row>
    <row r="10531">
      <c r="H10531" s="6"/>
    </row>
    <row r="10532">
      <c r="H10532" s="6"/>
    </row>
    <row r="10533">
      <c r="H10533" s="6"/>
    </row>
    <row r="10534">
      <c r="H10534" s="6"/>
    </row>
    <row r="10535">
      <c r="H10535" s="6"/>
    </row>
    <row r="10536">
      <c r="H10536" s="6"/>
    </row>
    <row r="10537">
      <c r="H10537" s="6"/>
    </row>
    <row r="10538">
      <c r="H10538" s="6"/>
    </row>
    <row r="10539">
      <c r="H10539" s="6"/>
    </row>
    <row r="10540">
      <c r="H10540" s="6"/>
    </row>
    <row r="10541">
      <c r="H10541" s="6"/>
    </row>
    <row r="10542">
      <c r="H10542" s="6"/>
    </row>
    <row r="10543">
      <c r="H10543" s="6"/>
    </row>
    <row r="10544">
      <c r="H10544" s="6"/>
    </row>
    <row r="10545">
      <c r="H10545" s="6"/>
    </row>
    <row r="10546">
      <c r="H10546" s="6"/>
    </row>
    <row r="10547">
      <c r="H10547" s="6"/>
    </row>
    <row r="10548">
      <c r="H10548" s="6"/>
    </row>
    <row r="10549">
      <c r="H10549" s="6"/>
    </row>
    <row r="10550">
      <c r="H10550" s="6"/>
    </row>
    <row r="10551">
      <c r="H10551" s="6"/>
    </row>
    <row r="10552">
      <c r="H10552" s="6"/>
    </row>
    <row r="10553">
      <c r="H10553" s="6"/>
    </row>
  </sheetData>
  <autoFilter ref="$B$1:$B$10553">
    <filterColumn colId="0">
      <filters blank="1">
        <filter val="POLDA"/>
      </filters>
    </filterColumn>
  </autoFilter>
  <hyperlinks>
    <hyperlink r:id="rId1" ref="I2"/>
    <hyperlink r:id="rId2" ref="N2"/>
    <hyperlink r:id="rId3" ref="R2"/>
    <hyperlink r:id="rId4" ref="I3"/>
    <hyperlink r:id="rId5" ref="N3"/>
    <hyperlink r:id="rId6" ref="R3"/>
    <hyperlink r:id="rId7" ref="I4"/>
    <hyperlink r:id="rId8" ref="N4"/>
    <hyperlink r:id="rId9" ref="R4"/>
    <hyperlink r:id="rId10" ref="I5"/>
    <hyperlink r:id="rId11" ref="N5"/>
    <hyperlink r:id="rId12" ref="R5"/>
    <hyperlink r:id="rId13" ref="I6"/>
    <hyperlink r:id="rId14" ref="N6"/>
    <hyperlink r:id="rId15" ref="R6"/>
    <hyperlink r:id="rId16" ref="I7"/>
    <hyperlink r:id="rId17" ref="N7"/>
    <hyperlink r:id="rId18" ref="R7"/>
    <hyperlink r:id="rId19" ref="I8"/>
    <hyperlink r:id="rId20" ref="N8"/>
    <hyperlink r:id="rId21" ref="R8"/>
    <hyperlink r:id="rId22" ref="I9"/>
    <hyperlink r:id="rId23" ref="N9"/>
    <hyperlink r:id="rId24" ref="R9"/>
    <hyperlink r:id="rId25" ref="I10"/>
    <hyperlink r:id="rId26" ref="N10"/>
    <hyperlink r:id="rId27" ref="R10"/>
    <hyperlink r:id="rId28" ref="I11"/>
    <hyperlink r:id="rId29" ref="N11"/>
    <hyperlink r:id="rId30" ref="R11"/>
    <hyperlink r:id="rId31" ref="I12"/>
    <hyperlink r:id="rId32" ref="N12"/>
    <hyperlink r:id="rId33" ref="R12"/>
    <hyperlink r:id="rId34" ref="I13"/>
    <hyperlink r:id="rId35" ref="N13"/>
    <hyperlink r:id="rId36" ref="R13"/>
    <hyperlink r:id="rId37" ref="I14"/>
    <hyperlink r:id="rId38" ref="N14"/>
    <hyperlink r:id="rId39" ref="R14"/>
    <hyperlink r:id="rId40" ref="I15"/>
    <hyperlink r:id="rId41" ref="N15"/>
    <hyperlink r:id="rId42" ref="R15"/>
    <hyperlink r:id="rId43" ref="I16"/>
    <hyperlink r:id="rId44" ref="N16"/>
    <hyperlink r:id="rId45" ref="R16"/>
    <hyperlink r:id="rId46" ref="I17"/>
    <hyperlink r:id="rId47" ref="N17"/>
    <hyperlink r:id="rId48" ref="R17"/>
    <hyperlink r:id="rId49" ref="I18"/>
    <hyperlink r:id="rId50" ref="N18"/>
    <hyperlink r:id="rId51" ref="R18"/>
    <hyperlink r:id="rId52" ref="I19"/>
    <hyperlink r:id="rId53" ref="N19"/>
    <hyperlink r:id="rId54" ref="R19"/>
    <hyperlink r:id="rId55" ref="I20"/>
    <hyperlink r:id="rId56" ref="N20"/>
    <hyperlink r:id="rId57" ref="R20"/>
    <hyperlink r:id="rId58" ref="I21"/>
    <hyperlink r:id="rId59" ref="N21"/>
    <hyperlink r:id="rId60" ref="R21"/>
    <hyperlink r:id="rId61" ref="I22"/>
    <hyperlink r:id="rId62" ref="N22"/>
    <hyperlink r:id="rId63" ref="R22"/>
    <hyperlink r:id="rId64" ref="I23"/>
    <hyperlink r:id="rId65" ref="N23"/>
    <hyperlink r:id="rId66" ref="R23"/>
    <hyperlink r:id="rId67" ref="I24"/>
    <hyperlink r:id="rId68" ref="N24"/>
    <hyperlink r:id="rId69" ref="R24"/>
    <hyperlink r:id="rId70" ref="I25"/>
    <hyperlink r:id="rId71" ref="N25"/>
    <hyperlink r:id="rId72" ref="R25"/>
    <hyperlink r:id="rId73" ref="I26"/>
    <hyperlink r:id="rId74" ref="N26"/>
    <hyperlink r:id="rId75" ref="R26"/>
    <hyperlink r:id="rId76" ref="I27"/>
    <hyperlink r:id="rId77" ref="N27"/>
    <hyperlink r:id="rId78" ref="R27"/>
    <hyperlink r:id="rId79" ref="I28"/>
    <hyperlink r:id="rId80" ref="N28"/>
    <hyperlink r:id="rId81" ref="R28"/>
    <hyperlink r:id="rId82" ref="I29"/>
    <hyperlink r:id="rId83" ref="N29"/>
    <hyperlink r:id="rId84" ref="R29"/>
    <hyperlink r:id="rId85" ref="I30"/>
    <hyperlink r:id="rId86" ref="N30"/>
    <hyperlink r:id="rId87" ref="R30"/>
    <hyperlink r:id="rId88" ref="I31"/>
    <hyperlink r:id="rId89" ref="N31"/>
    <hyperlink r:id="rId90" ref="R31"/>
    <hyperlink r:id="rId91" ref="I32"/>
    <hyperlink r:id="rId92" ref="N32"/>
    <hyperlink r:id="rId93" ref="R32"/>
    <hyperlink r:id="rId94" ref="I33"/>
    <hyperlink r:id="rId95" ref="N33"/>
    <hyperlink r:id="rId96" ref="R33"/>
    <hyperlink r:id="rId97" ref="I34"/>
    <hyperlink r:id="rId98" ref="N34"/>
    <hyperlink r:id="rId99" ref="R34"/>
    <hyperlink r:id="rId100" ref="I35"/>
    <hyperlink r:id="rId101" ref="N35"/>
    <hyperlink r:id="rId102" ref="R35"/>
    <hyperlink r:id="rId103" ref="I36"/>
    <hyperlink r:id="rId104" ref="N36"/>
    <hyperlink r:id="rId105" ref="R36"/>
    <hyperlink r:id="rId106" ref="I37"/>
    <hyperlink r:id="rId107" ref="N37"/>
    <hyperlink r:id="rId108" ref="R37"/>
    <hyperlink r:id="rId109" ref="I38"/>
    <hyperlink r:id="rId110" ref="N38"/>
    <hyperlink r:id="rId111" ref="R38"/>
    <hyperlink r:id="rId112" ref="I39"/>
    <hyperlink r:id="rId113" ref="N39"/>
    <hyperlink r:id="rId114" ref="R39"/>
    <hyperlink r:id="rId115" ref="I40"/>
    <hyperlink r:id="rId116" ref="N40"/>
    <hyperlink r:id="rId117" ref="R40"/>
    <hyperlink r:id="rId118" ref="I41"/>
    <hyperlink r:id="rId119" ref="N41"/>
    <hyperlink r:id="rId120" ref="R41"/>
    <hyperlink r:id="rId121" ref="I42"/>
    <hyperlink r:id="rId122" ref="N42"/>
    <hyperlink r:id="rId123" ref="R42"/>
    <hyperlink r:id="rId124" ref="I43"/>
    <hyperlink r:id="rId125" ref="N43"/>
    <hyperlink r:id="rId126" ref="R43"/>
    <hyperlink r:id="rId127" ref="I44"/>
    <hyperlink r:id="rId128" ref="N44"/>
    <hyperlink r:id="rId129" ref="R44"/>
    <hyperlink r:id="rId130" ref="I45"/>
    <hyperlink r:id="rId131" ref="N45"/>
    <hyperlink r:id="rId132" ref="R45"/>
    <hyperlink r:id="rId133" ref="I46"/>
    <hyperlink r:id="rId134" ref="N46"/>
    <hyperlink r:id="rId135" ref="R46"/>
    <hyperlink r:id="rId136" ref="I47"/>
    <hyperlink r:id="rId137" ref="N47"/>
    <hyperlink r:id="rId138" ref="R47"/>
    <hyperlink r:id="rId139" ref="I48"/>
    <hyperlink r:id="rId140" ref="N48"/>
    <hyperlink r:id="rId141" ref="R48"/>
    <hyperlink r:id="rId142" ref="I49"/>
    <hyperlink r:id="rId143" ref="N49"/>
    <hyperlink r:id="rId144" ref="R49"/>
    <hyperlink r:id="rId145" ref="I50"/>
    <hyperlink r:id="rId146" ref="N50"/>
    <hyperlink r:id="rId147" ref="R50"/>
    <hyperlink r:id="rId148" ref="I51"/>
    <hyperlink r:id="rId149" ref="N51"/>
    <hyperlink r:id="rId150" ref="R51"/>
    <hyperlink r:id="rId151" ref="I52"/>
    <hyperlink r:id="rId152" ref="N52"/>
    <hyperlink r:id="rId153" ref="R52"/>
    <hyperlink r:id="rId154" ref="I53"/>
    <hyperlink r:id="rId155" ref="N53"/>
    <hyperlink r:id="rId156" ref="R53"/>
    <hyperlink r:id="rId157" ref="I54"/>
    <hyperlink r:id="rId158" ref="N54"/>
    <hyperlink r:id="rId159" ref="R54"/>
    <hyperlink r:id="rId160" ref="I55"/>
    <hyperlink r:id="rId161" ref="N55"/>
    <hyperlink r:id="rId162" ref="R55"/>
    <hyperlink r:id="rId163" ref="I56"/>
    <hyperlink r:id="rId164" ref="N56"/>
    <hyperlink r:id="rId165" ref="R56"/>
    <hyperlink r:id="rId166" ref="I57"/>
    <hyperlink r:id="rId167" ref="N57"/>
    <hyperlink r:id="rId168" ref="R57"/>
    <hyperlink r:id="rId169" ref="I58"/>
    <hyperlink r:id="rId170" ref="N58"/>
    <hyperlink r:id="rId171" ref="R58"/>
    <hyperlink r:id="rId172" ref="I59"/>
    <hyperlink r:id="rId173" ref="N59"/>
    <hyperlink r:id="rId174" ref="R59"/>
    <hyperlink r:id="rId175" ref="I60"/>
    <hyperlink r:id="rId176" ref="N60"/>
    <hyperlink r:id="rId177" ref="R60"/>
    <hyperlink r:id="rId178" ref="I61"/>
    <hyperlink r:id="rId179" ref="N61"/>
    <hyperlink r:id="rId180" ref="R61"/>
    <hyperlink r:id="rId181" ref="I62"/>
    <hyperlink r:id="rId182" ref="N62"/>
    <hyperlink r:id="rId183" ref="R62"/>
    <hyperlink r:id="rId184" ref="I63"/>
    <hyperlink r:id="rId185" ref="N63"/>
    <hyperlink r:id="rId186" ref="R63"/>
    <hyperlink r:id="rId187" ref="I64"/>
    <hyperlink r:id="rId188" ref="N64"/>
    <hyperlink r:id="rId189" ref="R64"/>
    <hyperlink r:id="rId190" ref="I65"/>
    <hyperlink r:id="rId191" ref="N65"/>
    <hyperlink r:id="rId192" ref="R65"/>
    <hyperlink r:id="rId193" ref="I66"/>
    <hyperlink r:id="rId194" ref="N66"/>
    <hyperlink r:id="rId195" ref="R66"/>
    <hyperlink r:id="rId196" ref="I67"/>
    <hyperlink r:id="rId197" ref="N67"/>
    <hyperlink r:id="rId198" ref="R67"/>
    <hyperlink r:id="rId199" ref="I68"/>
    <hyperlink r:id="rId200" ref="N68"/>
    <hyperlink r:id="rId201" ref="R68"/>
    <hyperlink r:id="rId202" ref="I69"/>
    <hyperlink r:id="rId203" ref="N69"/>
    <hyperlink r:id="rId204" ref="R69"/>
    <hyperlink r:id="rId205" ref="I70"/>
    <hyperlink r:id="rId206" ref="N70"/>
    <hyperlink r:id="rId207" ref="R70"/>
    <hyperlink r:id="rId208" ref="I71"/>
    <hyperlink r:id="rId209" ref="N71"/>
    <hyperlink r:id="rId210" ref="R71"/>
    <hyperlink r:id="rId211" ref="I72"/>
    <hyperlink r:id="rId212" ref="N72"/>
    <hyperlink r:id="rId213" ref="R72"/>
    <hyperlink r:id="rId214" ref="I73"/>
    <hyperlink r:id="rId215" ref="N73"/>
    <hyperlink r:id="rId216" ref="R73"/>
    <hyperlink r:id="rId217" ref="I74"/>
    <hyperlink r:id="rId218" ref="N74"/>
    <hyperlink r:id="rId219" ref="R74"/>
    <hyperlink r:id="rId220" ref="I75"/>
    <hyperlink r:id="rId221" ref="N75"/>
    <hyperlink r:id="rId222" ref="R75"/>
    <hyperlink r:id="rId223" ref="I76"/>
    <hyperlink r:id="rId224" ref="N76"/>
    <hyperlink r:id="rId225" ref="R76"/>
    <hyperlink r:id="rId226" ref="I77"/>
    <hyperlink r:id="rId227" ref="N77"/>
    <hyperlink r:id="rId228" ref="R77"/>
    <hyperlink r:id="rId229" ref="I78"/>
    <hyperlink r:id="rId230" ref="N78"/>
    <hyperlink r:id="rId231" ref="R78"/>
    <hyperlink r:id="rId232" ref="I79"/>
    <hyperlink r:id="rId233" ref="N79"/>
    <hyperlink r:id="rId234" ref="R79"/>
    <hyperlink r:id="rId235" ref="I80"/>
    <hyperlink r:id="rId236" ref="N80"/>
    <hyperlink r:id="rId237" ref="R80"/>
    <hyperlink r:id="rId238" ref="I81"/>
    <hyperlink r:id="rId239" ref="N81"/>
    <hyperlink r:id="rId240" ref="R81"/>
    <hyperlink r:id="rId241" ref="I82"/>
    <hyperlink r:id="rId242" ref="N82"/>
    <hyperlink r:id="rId243" ref="R82"/>
    <hyperlink r:id="rId244" ref="I83"/>
    <hyperlink r:id="rId245" ref="N83"/>
    <hyperlink r:id="rId246" ref="R83"/>
    <hyperlink r:id="rId247" ref="I84"/>
    <hyperlink r:id="rId248" ref="N84"/>
    <hyperlink r:id="rId249" ref="R84"/>
    <hyperlink r:id="rId250" ref="I85"/>
    <hyperlink r:id="rId251" ref="N85"/>
    <hyperlink r:id="rId252" ref="R85"/>
    <hyperlink r:id="rId253" ref="I86"/>
    <hyperlink r:id="rId254" ref="N86"/>
    <hyperlink r:id="rId255" ref="R86"/>
    <hyperlink r:id="rId256" ref="I87"/>
    <hyperlink r:id="rId257" ref="N87"/>
    <hyperlink r:id="rId258" ref="R87"/>
    <hyperlink r:id="rId259" ref="I88"/>
    <hyperlink r:id="rId260" ref="N88"/>
    <hyperlink r:id="rId261" ref="R88"/>
    <hyperlink r:id="rId262" ref="I89"/>
    <hyperlink r:id="rId263" ref="N89"/>
    <hyperlink r:id="rId264" ref="R89"/>
    <hyperlink r:id="rId265" ref="I90"/>
    <hyperlink r:id="rId266" ref="N90"/>
    <hyperlink r:id="rId267" ref="R90"/>
    <hyperlink r:id="rId268" ref="I91"/>
    <hyperlink r:id="rId269" ref="N91"/>
    <hyperlink r:id="rId270" ref="R91"/>
    <hyperlink r:id="rId271" ref="I92"/>
    <hyperlink r:id="rId272" ref="N92"/>
    <hyperlink r:id="rId273" ref="R92"/>
    <hyperlink r:id="rId274" ref="I93"/>
    <hyperlink r:id="rId275" ref="N93"/>
    <hyperlink r:id="rId276" ref="R93"/>
    <hyperlink r:id="rId277" ref="I94"/>
    <hyperlink r:id="rId278" ref="N94"/>
    <hyperlink r:id="rId279" ref="R94"/>
    <hyperlink r:id="rId280" ref="I95"/>
    <hyperlink r:id="rId281" ref="N95"/>
    <hyperlink r:id="rId282" ref="R95"/>
    <hyperlink r:id="rId283" ref="I96"/>
    <hyperlink r:id="rId284" ref="N96"/>
    <hyperlink r:id="rId285" ref="R96"/>
    <hyperlink r:id="rId286" ref="I97"/>
    <hyperlink r:id="rId287" ref="N97"/>
    <hyperlink r:id="rId288" ref="R97"/>
    <hyperlink r:id="rId289" ref="I98"/>
    <hyperlink r:id="rId290" ref="N98"/>
    <hyperlink r:id="rId291" ref="R98"/>
    <hyperlink r:id="rId292" ref="I99"/>
    <hyperlink r:id="rId293" ref="N99"/>
    <hyperlink r:id="rId294" ref="R99"/>
    <hyperlink r:id="rId295" ref="I100"/>
    <hyperlink r:id="rId296" ref="N100"/>
    <hyperlink r:id="rId297" ref="R100"/>
    <hyperlink r:id="rId298" ref="I101"/>
    <hyperlink r:id="rId299" ref="N101"/>
    <hyperlink r:id="rId300" ref="R101"/>
    <hyperlink r:id="rId301" ref="I102"/>
    <hyperlink r:id="rId302" ref="N102"/>
    <hyperlink r:id="rId303" ref="R102"/>
    <hyperlink r:id="rId304" ref="I103"/>
    <hyperlink r:id="rId305" ref="N103"/>
    <hyperlink r:id="rId306" ref="R103"/>
    <hyperlink r:id="rId307" ref="I104"/>
    <hyperlink r:id="rId308" ref="N104"/>
    <hyperlink r:id="rId309" ref="R104"/>
    <hyperlink r:id="rId310" ref="I105"/>
    <hyperlink r:id="rId311" ref="N105"/>
    <hyperlink r:id="rId312" ref="R105"/>
    <hyperlink r:id="rId313" ref="I106"/>
    <hyperlink r:id="rId314" ref="N106"/>
    <hyperlink r:id="rId315" ref="R106"/>
    <hyperlink r:id="rId316" ref="I107"/>
    <hyperlink r:id="rId317" ref="N107"/>
    <hyperlink r:id="rId318" ref="R107"/>
    <hyperlink r:id="rId319" ref="I108"/>
    <hyperlink r:id="rId320" ref="N108"/>
    <hyperlink r:id="rId321" ref="R108"/>
    <hyperlink r:id="rId322" ref="I109"/>
    <hyperlink r:id="rId323" ref="N109"/>
    <hyperlink r:id="rId324" ref="R109"/>
    <hyperlink r:id="rId325" ref="I110"/>
    <hyperlink r:id="rId326" ref="N110"/>
    <hyperlink r:id="rId327" ref="R110"/>
    <hyperlink r:id="rId328" ref="I111"/>
    <hyperlink r:id="rId329" ref="N111"/>
    <hyperlink r:id="rId330" ref="R111"/>
    <hyperlink r:id="rId331" ref="I112"/>
    <hyperlink r:id="rId332" ref="N112"/>
    <hyperlink r:id="rId333" ref="R112"/>
    <hyperlink r:id="rId334" ref="I113"/>
    <hyperlink r:id="rId335" ref="N113"/>
    <hyperlink r:id="rId336" ref="R113"/>
    <hyperlink r:id="rId337" ref="I114"/>
    <hyperlink r:id="rId338" ref="N114"/>
    <hyperlink r:id="rId339" ref="R114"/>
    <hyperlink r:id="rId340" ref="I115"/>
    <hyperlink r:id="rId341" ref="N115"/>
    <hyperlink r:id="rId342" ref="R115"/>
    <hyperlink r:id="rId343" ref="I116"/>
    <hyperlink r:id="rId344" ref="N116"/>
    <hyperlink r:id="rId345" ref="R116"/>
    <hyperlink r:id="rId346" ref="I117"/>
    <hyperlink r:id="rId347" ref="N117"/>
    <hyperlink r:id="rId348" ref="R117"/>
    <hyperlink r:id="rId349" ref="I118"/>
    <hyperlink r:id="rId350" ref="N118"/>
    <hyperlink r:id="rId351" ref="R118"/>
    <hyperlink r:id="rId352" ref="I119"/>
    <hyperlink r:id="rId353" ref="N119"/>
    <hyperlink r:id="rId354" ref="R119"/>
    <hyperlink r:id="rId355" ref="I120"/>
    <hyperlink r:id="rId356" ref="N120"/>
    <hyperlink r:id="rId357" ref="R120"/>
    <hyperlink r:id="rId358" ref="I121"/>
    <hyperlink r:id="rId359" ref="N121"/>
    <hyperlink r:id="rId360" ref="R121"/>
    <hyperlink r:id="rId361" ref="I122"/>
    <hyperlink r:id="rId362" ref="N122"/>
    <hyperlink r:id="rId363" ref="R122"/>
    <hyperlink r:id="rId364" ref="I123"/>
    <hyperlink r:id="rId365" ref="N123"/>
    <hyperlink r:id="rId366" ref="R123"/>
    <hyperlink r:id="rId367" ref="I124"/>
    <hyperlink r:id="rId368" ref="N124"/>
    <hyperlink r:id="rId369" ref="R124"/>
    <hyperlink r:id="rId370" ref="I125"/>
    <hyperlink r:id="rId371" ref="N125"/>
    <hyperlink r:id="rId372" ref="R125"/>
    <hyperlink r:id="rId373" ref="I126"/>
    <hyperlink r:id="rId374" ref="N126"/>
    <hyperlink r:id="rId375" ref="R126"/>
    <hyperlink r:id="rId376" ref="I127"/>
    <hyperlink r:id="rId377" ref="N127"/>
    <hyperlink r:id="rId378" ref="R127"/>
    <hyperlink r:id="rId379" ref="I128"/>
    <hyperlink r:id="rId380" ref="N128"/>
    <hyperlink r:id="rId381" ref="R128"/>
    <hyperlink r:id="rId382" ref="I129"/>
    <hyperlink r:id="rId383" ref="N129"/>
    <hyperlink r:id="rId384" ref="R129"/>
    <hyperlink r:id="rId385" ref="I130"/>
    <hyperlink r:id="rId386" ref="N130"/>
    <hyperlink r:id="rId387" ref="R130"/>
    <hyperlink r:id="rId388" ref="I131"/>
    <hyperlink r:id="rId389" ref="N131"/>
    <hyperlink r:id="rId390" ref="R131"/>
    <hyperlink r:id="rId391" ref="I132"/>
    <hyperlink r:id="rId392" ref="N132"/>
    <hyperlink r:id="rId393" ref="R132"/>
    <hyperlink r:id="rId394" ref="I133"/>
    <hyperlink r:id="rId395" ref="N133"/>
    <hyperlink r:id="rId396" ref="R133"/>
    <hyperlink r:id="rId397" ref="I134"/>
    <hyperlink r:id="rId398" ref="N134"/>
    <hyperlink r:id="rId399" ref="R134"/>
    <hyperlink r:id="rId400" ref="I135"/>
    <hyperlink r:id="rId401" ref="N135"/>
    <hyperlink r:id="rId402" ref="R135"/>
    <hyperlink r:id="rId403" ref="I136"/>
    <hyperlink r:id="rId404" ref="N136"/>
    <hyperlink r:id="rId405" ref="R136"/>
    <hyperlink r:id="rId406" ref="I137"/>
    <hyperlink r:id="rId407" ref="N137"/>
    <hyperlink r:id="rId408" ref="R137"/>
    <hyperlink r:id="rId409" ref="I138"/>
    <hyperlink r:id="rId410" ref="N138"/>
    <hyperlink r:id="rId411" ref="R138"/>
    <hyperlink r:id="rId412" ref="I139"/>
    <hyperlink r:id="rId413" ref="N139"/>
    <hyperlink r:id="rId414" ref="R139"/>
    <hyperlink r:id="rId415" ref="I140"/>
    <hyperlink r:id="rId416" ref="N140"/>
    <hyperlink r:id="rId417" ref="R140"/>
    <hyperlink r:id="rId418" ref="I141"/>
    <hyperlink r:id="rId419" ref="N141"/>
    <hyperlink r:id="rId420" ref="R141"/>
    <hyperlink r:id="rId421" ref="I142"/>
    <hyperlink r:id="rId422" ref="N142"/>
    <hyperlink r:id="rId423" ref="R142"/>
    <hyperlink r:id="rId424" ref="I143"/>
    <hyperlink r:id="rId425" ref="N143"/>
    <hyperlink r:id="rId426" ref="R143"/>
    <hyperlink r:id="rId427" ref="I144"/>
    <hyperlink r:id="rId428" ref="N144"/>
    <hyperlink r:id="rId429" ref="R144"/>
    <hyperlink r:id="rId430" ref="I145"/>
    <hyperlink r:id="rId431" ref="N145"/>
    <hyperlink r:id="rId432" ref="R145"/>
    <hyperlink r:id="rId433" ref="I146"/>
    <hyperlink r:id="rId434" ref="N146"/>
    <hyperlink r:id="rId435" ref="R146"/>
    <hyperlink r:id="rId436" ref="I147"/>
    <hyperlink r:id="rId437" ref="N147"/>
    <hyperlink r:id="rId438" ref="R147"/>
    <hyperlink r:id="rId439" ref="I148"/>
    <hyperlink r:id="rId440" ref="N148"/>
    <hyperlink r:id="rId441" ref="R148"/>
    <hyperlink r:id="rId442" ref="I149"/>
    <hyperlink r:id="rId443" ref="N149"/>
    <hyperlink r:id="rId444" ref="R149"/>
    <hyperlink r:id="rId445" ref="I150"/>
    <hyperlink r:id="rId446" ref="N150"/>
    <hyperlink r:id="rId447" ref="R150"/>
    <hyperlink r:id="rId448" ref="I151"/>
    <hyperlink r:id="rId449" ref="N151"/>
    <hyperlink r:id="rId450" ref="R151"/>
    <hyperlink r:id="rId451" ref="I152"/>
    <hyperlink r:id="rId452" ref="N152"/>
    <hyperlink r:id="rId453" ref="R152"/>
    <hyperlink r:id="rId454" ref="I153"/>
    <hyperlink r:id="rId455" ref="N153"/>
    <hyperlink r:id="rId456" ref="R153"/>
    <hyperlink r:id="rId457" ref="I154"/>
    <hyperlink r:id="rId458" ref="N154"/>
    <hyperlink r:id="rId459" ref="R154"/>
    <hyperlink r:id="rId460" ref="I155"/>
    <hyperlink r:id="rId461" ref="N155"/>
    <hyperlink r:id="rId462" ref="R155"/>
    <hyperlink r:id="rId463" ref="I156"/>
    <hyperlink r:id="rId464" ref="N156"/>
    <hyperlink r:id="rId465" ref="R156"/>
    <hyperlink r:id="rId466" ref="I157"/>
    <hyperlink r:id="rId467" ref="N157"/>
    <hyperlink r:id="rId468" ref="R157"/>
    <hyperlink r:id="rId469" ref="I158"/>
    <hyperlink r:id="rId470" ref="N158"/>
    <hyperlink r:id="rId471" ref="R158"/>
    <hyperlink r:id="rId472" ref="I159"/>
    <hyperlink r:id="rId473" ref="N159"/>
    <hyperlink r:id="rId474" ref="R159"/>
    <hyperlink r:id="rId475" ref="I160"/>
    <hyperlink r:id="rId476" ref="N160"/>
    <hyperlink r:id="rId477" ref="R160"/>
    <hyperlink r:id="rId478" ref="I161"/>
    <hyperlink r:id="rId479" ref="N161"/>
    <hyperlink r:id="rId480" ref="R161"/>
    <hyperlink r:id="rId481" ref="I162"/>
    <hyperlink r:id="rId482" ref="N162"/>
    <hyperlink r:id="rId483" ref="R162"/>
    <hyperlink r:id="rId484" ref="I163"/>
    <hyperlink r:id="rId485" ref="N163"/>
    <hyperlink r:id="rId486" ref="R163"/>
    <hyperlink r:id="rId487" ref="I164"/>
    <hyperlink r:id="rId488" ref="N164"/>
    <hyperlink r:id="rId489" ref="R164"/>
    <hyperlink r:id="rId490" ref="I165"/>
    <hyperlink r:id="rId491" ref="N165"/>
    <hyperlink r:id="rId492" ref="R165"/>
    <hyperlink r:id="rId493" ref="I166"/>
    <hyperlink r:id="rId494" ref="N166"/>
    <hyperlink r:id="rId495" ref="R166"/>
    <hyperlink r:id="rId496" ref="I167"/>
    <hyperlink r:id="rId497" ref="N167"/>
    <hyperlink r:id="rId498" ref="R167"/>
    <hyperlink r:id="rId499" ref="I168"/>
    <hyperlink r:id="rId500" ref="N168"/>
    <hyperlink r:id="rId501" ref="R168"/>
    <hyperlink r:id="rId502" ref="I169"/>
    <hyperlink r:id="rId503" ref="N169"/>
    <hyperlink r:id="rId504" ref="R169"/>
    <hyperlink r:id="rId505" ref="I170"/>
    <hyperlink r:id="rId506" ref="N170"/>
    <hyperlink r:id="rId507" ref="R170"/>
    <hyperlink r:id="rId508" ref="I171"/>
    <hyperlink r:id="rId509" ref="N171"/>
    <hyperlink r:id="rId510" ref="R171"/>
    <hyperlink r:id="rId511" ref="I172"/>
    <hyperlink r:id="rId512" ref="N172"/>
    <hyperlink r:id="rId513" ref="R172"/>
    <hyperlink r:id="rId514" ref="I173"/>
    <hyperlink r:id="rId515" ref="N173"/>
    <hyperlink r:id="rId516" ref="R173"/>
    <hyperlink r:id="rId517" ref="I174"/>
    <hyperlink r:id="rId518" ref="N174"/>
    <hyperlink r:id="rId519" ref="R174"/>
    <hyperlink r:id="rId520" ref="I175"/>
    <hyperlink r:id="rId521" ref="N175"/>
    <hyperlink r:id="rId522" ref="R175"/>
    <hyperlink r:id="rId523" ref="I176"/>
    <hyperlink r:id="rId524" ref="N176"/>
    <hyperlink r:id="rId525" ref="R176"/>
    <hyperlink r:id="rId526" ref="I177"/>
    <hyperlink r:id="rId527" ref="N177"/>
    <hyperlink r:id="rId528" ref="R177"/>
    <hyperlink r:id="rId529" ref="I178"/>
    <hyperlink r:id="rId530" ref="N178"/>
    <hyperlink r:id="rId531" ref="R178"/>
    <hyperlink r:id="rId532" ref="I179"/>
    <hyperlink r:id="rId533" ref="N179"/>
    <hyperlink r:id="rId534" ref="R179"/>
    <hyperlink r:id="rId535" ref="I180"/>
    <hyperlink r:id="rId536" ref="N180"/>
    <hyperlink r:id="rId537" ref="R180"/>
    <hyperlink r:id="rId538" ref="I181"/>
    <hyperlink r:id="rId539" ref="N181"/>
    <hyperlink r:id="rId540" ref="R181"/>
    <hyperlink r:id="rId541" ref="I182"/>
    <hyperlink r:id="rId542" ref="N182"/>
    <hyperlink r:id="rId543" ref="R182"/>
    <hyperlink r:id="rId544" ref="I183"/>
    <hyperlink r:id="rId545" ref="N183"/>
    <hyperlink r:id="rId546" ref="R183"/>
    <hyperlink r:id="rId547" ref="I184"/>
    <hyperlink r:id="rId548" ref="N184"/>
    <hyperlink r:id="rId549" ref="R184"/>
    <hyperlink r:id="rId550" ref="I185"/>
    <hyperlink r:id="rId551" ref="N185"/>
    <hyperlink r:id="rId552" ref="R185"/>
    <hyperlink r:id="rId553" ref="I186"/>
    <hyperlink r:id="rId554" ref="N186"/>
    <hyperlink r:id="rId555" ref="R186"/>
    <hyperlink r:id="rId556" ref="I187"/>
    <hyperlink r:id="rId557" ref="N187"/>
    <hyperlink r:id="rId558" ref="R187"/>
    <hyperlink r:id="rId559" ref="I188"/>
    <hyperlink r:id="rId560" ref="N188"/>
    <hyperlink r:id="rId561" ref="R188"/>
    <hyperlink r:id="rId562" ref="I189"/>
    <hyperlink r:id="rId563" ref="N189"/>
    <hyperlink r:id="rId564" ref="R189"/>
    <hyperlink r:id="rId565" ref="I190"/>
    <hyperlink r:id="rId566" ref="N190"/>
    <hyperlink r:id="rId567" ref="R190"/>
    <hyperlink r:id="rId568" ref="I191"/>
    <hyperlink r:id="rId569" ref="N191"/>
    <hyperlink r:id="rId570" ref="R191"/>
    <hyperlink r:id="rId571" ref="I192"/>
    <hyperlink r:id="rId572" ref="N192"/>
    <hyperlink r:id="rId573" ref="R192"/>
    <hyperlink r:id="rId574" ref="I193"/>
    <hyperlink r:id="rId575" ref="N193"/>
    <hyperlink r:id="rId576" ref="R193"/>
    <hyperlink r:id="rId577" ref="I194"/>
    <hyperlink r:id="rId578" ref="N194"/>
    <hyperlink r:id="rId579" ref="R194"/>
    <hyperlink r:id="rId580" ref="I195"/>
    <hyperlink r:id="rId581" ref="N195"/>
    <hyperlink r:id="rId582" ref="R195"/>
    <hyperlink r:id="rId583" ref="I196"/>
    <hyperlink r:id="rId584" ref="N196"/>
    <hyperlink r:id="rId585" ref="R196"/>
    <hyperlink r:id="rId586" ref="I197"/>
    <hyperlink r:id="rId587" ref="N197"/>
    <hyperlink r:id="rId588" ref="R197"/>
    <hyperlink r:id="rId589" ref="I198"/>
    <hyperlink r:id="rId590" ref="N198"/>
    <hyperlink r:id="rId591" ref="R198"/>
    <hyperlink r:id="rId592" ref="I199"/>
    <hyperlink r:id="rId593" ref="N199"/>
    <hyperlink r:id="rId594" ref="R199"/>
    <hyperlink r:id="rId595" ref="I200"/>
    <hyperlink r:id="rId596" ref="N200"/>
    <hyperlink r:id="rId597" ref="R200"/>
    <hyperlink r:id="rId598" ref="I201"/>
    <hyperlink r:id="rId599" ref="N201"/>
    <hyperlink r:id="rId600" ref="R201"/>
    <hyperlink r:id="rId601" ref="I202"/>
    <hyperlink r:id="rId602" ref="N202"/>
    <hyperlink r:id="rId603" ref="R202"/>
    <hyperlink r:id="rId604" ref="I203"/>
    <hyperlink r:id="rId605" ref="N203"/>
    <hyperlink r:id="rId606" ref="R203"/>
    <hyperlink r:id="rId607" ref="I204"/>
    <hyperlink r:id="rId608" ref="N204"/>
    <hyperlink r:id="rId609" ref="R204"/>
    <hyperlink r:id="rId610" ref="I205"/>
    <hyperlink r:id="rId611" ref="N205"/>
    <hyperlink r:id="rId612" ref="R205"/>
    <hyperlink r:id="rId613" ref="I206"/>
    <hyperlink r:id="rId614" ref="N206"/>
    <hyperlink r:id="rId615" ref="R206"/>
    <hyperlink r:id="rId616" ref="I207"/>
    <hyperlink r:id="rId617" ref="N207"/>
    <hyperlink r:id="rId618" ref="R207"/>
    <hyperlink r:id="rId619" ref="I208"/>
    <hyperlink r:id="rId620" ref="N208"/>
    <hyperlink r:id="rId621" ref="R208"/>
    <hyperlink r:id="rId622" ref="I209"/>
    <hyperlink r:id="rId623" ref="N209"/>
    <hyperlink r:id="rId624" ref="R209"/>
    <hyperlink r:id="rId625" ref="I210"/>
    <hyperlink r:id="rId626" ref="N210"/>
    <hyperlink r:id="rId627" ref="R210"/>
    <hyperlink r:id="rId628" ref="I211"/>
    <hyperlink r:id="rId629" ref="N211"/>
    <hyperlink r:id="rId630" ref="R211"/>
    <hyperlink r:id="rId631" ref="I212"/>
    <hyperlink r:id="rId632" ref="N212"/>
    <hyperlink r:id="rId633" ref="R212"/>
    <hyperlink r:id="rId634" ref="I213"/>
    <hyperlink r:id="rId635" ref="N213"/>
    <hyperlink r:id="rId636" ref="R213"/>
    <hyperlink r:id="rId637" ref="I214"/>
    <hyperlink r:id="rId638" ref="N214"/>
    <hyperlink r:id="rId639" ref="R214"/>
    <hyperlink r:id="rId640" ref="I215"/>
    <hyperlink r:id="rId641" ref="N215"/>
    <hyperlink r:id="rId642" ref="R215"/>
    <hyperlink r:id="rId643" ref="I216"/>
    <hyperlink r:id="rId644" ref="N216"/>
    <hyperlink r:id="rId645" ref="R216"/>
    <hyperlink r:id="rId646" ref="I217"/>
    <hyperlink r:id="rId647" ref="N217"/>
    <hyperlink r:id="rId648" ref="R217"/>
    <hyperlink r:id="rId649" ref="I218"/>
    <hyperlink r:id="rId650" ref="N218"/>
    <hyperlink r:id="rId651" ref="R218"/>
    <hyperlink r:id="rId652" ref="I219"/>
    <hyperlink r:id="rId653" ref="N219"/>
    <hyperlink r:id="rId654" ref="R219"/>
    <hyperlink r:id="rId655" ref="I220"/>
    <hyperlink r:id="rId656" ref="N220"/>
    <hyperlink r:id="rId657" ref="R220"/>
    <hyperlink r:id="rId658" ref="I221"/>
    <hyperlink r:id="rId659" ref="N221"/>
    <hyperlink r:id="rId660" ref="R221"/>
    <hyperlink r:id="rId661" ref="I222"/>
    <hyperlink r:id="rId662" ref="N222"/>
    <hyperlink r:id="rId663" ref="R222"/>
    <hyperlink r:id="rId664" ref="I223"/>
    <hyperlink r:id="rId665" ref="N223"/>
    <hyperlink r:id="rId666" ref="R223"/>
    <hyperlink r:id="rId667" ref="I224"/>
    <hyperlink r:id="rId668" ref="N224"/>
    <hyperlink r:id="rId669" ref="R224"/>
    <hyperlink r:id="rId670" ref="I225"/>
    <hyperlink r:id="rId671" ref="N225"/>
    <hyperlink r:id="rId672" ref="R225"/>
    <hyperlink r:id="rId673" ref="I226"/>
    <hyperlink r:id="rId674" ref="N226"/>
    <hyperlink r:id="rId675" ref="R226"/>
    <hyperlink r:id="rId676" ref="I227"/>
    <hyperlink r:id="rId677" ref="N227"/>
    <hyperlink r:id="rId678" ref="R227"/>
    <hyperlink r:id="rId679" ref="I228"/>
    <hyperlink r:id="rId680" ref="N228"/>
    <hyperlink r:id="rId681" ref="R228"/>
    <hyperlink r:id="rId682" ref="I229"/>
    <hyperlink r:id="rId683" ref="N229"/>
    <hyperlink r:id="rId684" ref="R229"/>
    <hyperlink r:id="rId685" ref="I230"/>
    <hyperlink r:id="rId686" ref="N230"/>
    <hyperlink r:id="rId687" ref="R230"/>
    <hyperlink r:id="rId688" ref="I231"/>
    <hyperlink r:id="rId689" ref="N231"/>
    <hyperlink r:id="rId690" ref="R231"/>
    <hyperlink r:id="rId691" ref="I232"/>
    <hyperlink r:id="rId692" ref="N232"/>
    <hyperlink r:id="rId693" ref="R232"/>
    <hyperlink r:id="rId694" ref="I233"/>
    <hyperlink r:id="rId695" ref="N233"/>
    <hyperlink r:id="rId696" ref="R233"/>
    <hyperlink r:id="rId697" ref="I234"/>
    <hyperlink r:id="rId698" ref="N234"/>
    <hyperlink r:id="rId699" ref="R234"/>
    <hyperlink r:id="rId700" ref="I235"/>
    <hyperlink r:id="rId701" ref="N235"/>
    <hyperlink r:id="rId702" ref="R235"/>
    <hyperlink r:id="rId703" ref="I236"/>
    <hyperlink r:id="rId704" ref="N236"/>
    <hyperlink r:id="rId705" ref="R236"/>
    <hyperlink r:id="rId706" ref="I237"/>
    <hyperlink r:id="rId707" ref="N237"/>
    <hyperlink r:id="rId708" ref="R237"/>
    <hyperlink r:id="rId709" ref="I238"/>
    <hyperlink r:id="rId710" ref="N238"/>
    <hyperlink r:id="rId711" ref="R238"/>
    <hyperlink r:id="rId712" ref="I239"/>
    <hyperlink r:id="rId713" ref="N239"/>
    <hyperlink r:id="rId714" ref="R239"/>
    <hyperlink r:id="rId715" ref="I240"/>
    <hyperlink r:id="rId716" ref="N240"/>
    <hyperlink r:id="rId717" ref="R240"/>
    <hyperlink r:id="rId718" ref="I241"/>
    <hyperlink r:id="rId719" ref="N241"/>
    <hyperlink r:id="rId720" ref="R241"/>
    <hyperlink r:id="rId721" ref="I242"/>
    <hyperlink r:id="rId722" ref="N242"/>
    <hyperlink r:id="rId723" ref="R242"/>
    <hyperlink r:id="rId724" ref="I243"/>
    <hyperlink r:id="rId725" ref="N243"/>
    <hyperlink r:id="rId726" ref="R243"/>
    <hyperlink r:id="rId727" ref="I244"/>
    <hyperlink r:id="rId728" ref="N244"/>
    <hyperlink r:id="rId729" ref="R244"/>
    <hyperlink r:id="rId730" ref="I245"/>
    <hyperlink r:id="rId731" ref="N245"/>
    <hyperlink r:id="rId732" ref="R245"/>
    <hyperlink r:id="rId733" ref="I246"/>
    <hyperlink r:id="rId734" ref="N246"/>
    <hyperlink r:id="rId735" ref="R246"/>
    <hyperlink r:id="rId736" ref="I247"/>
    <hyperlink r:id="rId737" ref="N247"/>
    <hyperlink r:id="rId738" ref="R247"/>
    <hyperlink r:id="rId739" ref="I248"/>
    <hyperlink r:id="rId740" ref="N248"/>
    <hyperlink r:id="rId741" ref="R248"/>
    <hyperlink r:id="rId742" ref="I249"/>
    <hyperlink r:id="rId743" ref="N249"/>
    <hyperlink r:id="rId744" ref="R249"/>
    <hyperlink r:id="rId745" ref="I250"/>
    <hyperlink r:id="rId746" ref="N250"/>
    <hyperlink r:id="rId747" ref="R250"/>
    <hyperlink r:id="rId748" ref="I251"/>
    <hyperlink r:id="rId749" ref="N251"/>
    <hyperlink r:id="rId750" ref="R251"/>
    <hyperlink r:id="rId751" ref="I252"/>
    <hyperlink r:id="rId752" ref="N252"/>
    <hyperlink r:id="rId753" ref="R252"/>
    <hyperlink r:id="rId754" ref="I253"/>
    <hyperlink r:id="rId755" ref="N253"/>
    <hyperlink r:id="rId756" ref="R253"/>
    <hyperlink r:id="rId757" ref="I254"/>
    <hyperlink r:id="rId758" ref="N254"/>
    <hyperlink r:id="rId759" ref="R254"/>
    <hyperlink r:id="rId760" ref="I255"/>
    <hyperlink r:id="rId761" ref="N255"/>
    <hyperlink r:id="rId762" ref="R255"/>
    <hyperlink r:id="rId763" ref="I256"/>
    <hyperlink r:id="rId764" ref="N256"/>
    <hyperlink r:id="rId765" ref="R256"/>
    <hyperlink r:id="rId766" ref="I257"/>
    <hyperlink r:id="rId767" ref="N257"/>
    <hyperlink r:id="rId768" ref="R257"/>
    <hyperlink r:id="rId769" ref="I258"/>
    <hyperlink r:id="rId770" ref="N258"/>
    <hyperlink r:id="rId771" ref="R258"/>
    <hyperlink r:id="rId772" ref="I259"/>
    <hyperlink r:id="rId773" ref="N259"/>
    <hyperlink r:id="rId774" ref="R259"/>
    <hyperlink r:id="rId775" ref="I260"/>
    <hyperlink r:id="rId776" ref="N260"/>
    <hyperlink r:id="rId777" ref="R260"/>
    <hyperlink r:id="rId778" ref="I261"/>
    <hyperlink r:id="rId779" ref="N261"/>
    <hyperlink r:id="rId780" ref="R261"/>
    <hyperlink r:id="rId781" ref="I262"/>
    <hyperlink r:id="rId782" ref="N262"/>
    <hyperlink r:id="rId783" ref="R262"/>
    <hyperlink r:id="rId784" ref="I263"/>
    <hyperlink r:id="rId785" ref="N263"/>
    <hyperlink r:id="rId786" ref="R263"/>
    <hyperlink r:id="rId787" ref="I264"/>
    <hyperlink r:id="rId788" ref="N264"/>
    <hyperlink r:id="rId789" ref="R264"/>
    <hyperlink r:id="rId790" ref="I265"/>
    <hyperlink r:id="rId791" ref="N265"/>
    <hyperlink r:id="rId792" ref="R265"/>
    <hyperlink r:id="rId793" ref="I266"/>
    <hyperlink r:id="rId794" ref="N266"/>
    <hyperlink r:id="rId795" ref="R266"/>
    <hyperlink r:id="rId796" ref="I267"/>
    <hyperlink r:id="rId797" ref="N267"/>
    <hyperlink r:id="rId798" ref="R267"/>
    <hyperlink r:id="rId799" ref="I268"/>
    <hyperlink r:id="rId800" ref="N268"/>
    <hyperlink r:id="rId801" ref="R268"/>
    <hyperlink r:id="rId802" ref="I269"/>
    <hyperlink r:id="rId803" ref="N269"/>
    <hyperlink r:id="rId804" ref="R269"/>
    <hyperlink r:id="rId805" ref="I270"/>
    <hyperlink r:id="rId806" ref="N270"/>
    <hyperlink r:id="rId807" ref="R270"/>
    <hyperlink r:id="rId808" ref="I271"/>
    <hyperlink r:id="rId809" ref="N271"/>
    <hyperlink r:id="rId810" ref="R271"/>
    <hyperlink r:id="rId811" ref="I272"/>
    <hyperlink r:id="rId812" ref="N272"/>
    <hyperlink r:id="rId813" ref="R272"/>
    <hyperlink r:id="rId814" ref="I273"/>
    <hyperlink r:id="rId815" ref="N273"/>
    <hyperlink r:id="rId816" ref="R273"/>
    <hyperlink r:id="rId817" ref="I274"/>
    <hyperlink r:id="rId818" ref="N274"/>
    <hyperlink r:id="rId819" ref="R274"/>
    <hyperlink r:id="rId820" ref="I275"/>
    <hyperlink r:id="rId821" ref="N275"/>
    <hyperlink r:id="rId822" ref="R275"/>
    <hyperlink r:id="rId823" ref="I276"/>
    <hyperlink r:id="rId824" ref="N276"/>
    <hyperlink r:id="rId825" ref="R276"/>
    <hyperlink r:id="rId826" ref="I277"/>
    <hyperlink r:id="rId827" ref="N277"/>
    <hyperlink r:id="rId828" ref="R277"/>
    <hyperlink r:id="rId829" ref="I278"/>
    <hyperlink r:id="rId830" ref="N278"/>
    <hyperlink r:id="rId831" ref="R278"/>
    <hyperlink r:id="rId832" ref="I279"/>
    <hyperlink r:id="rId833" ref="N279"/>
    <hyperlink r:id="rId834" ref="R279"/>
    <hyperlink r:id="rId835" ref="I280"/>
    <hyperlink r:id="rId836" ref="N280"/>
    <hyperlink r:id="rId837" ref="R280"/>
    <hyperlink r:id="rId838" ref="I281"/>
    <hyperlink r:id="rId839" ref="N281"/>
    <hyperlink r:id="rId840" ref="R281"/>
    <hyperlink r:id="rId841" ref="I282"/>
    <hyperlink r:id="rId842" ref="N282"/>
    <hyperlink r:id="rId843" ref="R282"/>
    <hyperlink r:id="rId844" ref="I283"/>
    <hyperlink r:id="rId845" ref="N283"/>
    <hyperlink r:id="rId846" ref="R283"/>
    <hyperlink r:id="rId847" ref="I284"/>
    <hyperlink r:id="rId848" ref="N284"/>
    <hyperlink r:id="rId849" ref="R284"/>
    <hyperlink r:id="rId850" ref="I285"/>
    <hyperlink r:id="rId851" ref="N285"/>
    <hyperlink r:id="rId852" ref="R285"/>
    <hyperlink r:id="rId853" ref="I286"/>
    <hyperlink r:id="rId854" ref="N286"/>
    <hyperlink r:id="rId855" ref="R286"/>
    <hyperlink r:id="rId856" ref="I287"/>
    <hyperlink r:id="rId857" ref="N287"/>
    <hyperlink r:id="rId858" ref="R287"/>
    <hyperlink r:id="rId859" ref="N288"/>
    <hyperlink r:id="rId860" ref="R288"/>
    <hyperlink r:id="rId861" ref="N289"/>
    <hyperlink r:id="rId862" ref="R289"/>
    <hyperlink r:id="rId863" ref="I290"/>
    <hyperlink r:id="rId864" ref="N290"/>
    <hyperlink r:id="rId865" ref="R290"/>
    <hyperlink r:id="rId866" ref="I291"/>
    <hyperlink r:id="rId867" ref="N291"/>
    <hyperlink r:id="rId868" ref="R291"/>
    <hyperlink r:id="rId869" ref="I292"/>
    <hyperlink r:id="rId870" ref="N292"/>
    <hyperlink r:id="rId871" ref="R292"/>
    <hyperlink r:id="rId872" ref="I293"/>
    <hyperlink r:id="rId873" ref="N293"/>
    <hyperlink r:id="rId874" ref="R293"/>
    <hyperlink r:id="rId875" ref="I294"/>
    <hyperlink r:id="rId876" ref="N294"/>
    <hyperlink r:id="rId877" ref="R294"/>
    <hyperlink r:id="rId878" ref="I295"/>
    <hyperlink r:id="rId879" ref="N295"/>
    <hyperlink r:id="rId880" ref="R295"/>
    <hyperlink r:id="rId881" ref="I296"/>
    <hyperlink r:id="rId882" ref="N296"/>
    <hyperlink r:id="rId883" ref="R296"/>
    <hyperlink r:id="rId884" ref="I297"/>
    <hyperlink r:id="rId885" ref="N297"/>
    <hyperlink r:id="rId886" ref="R297"/>
    <hyperlink r:id="rId887" ref="I298"/>
    <hyperlink r:id="rId888" ref="N298"/>
    <hyperlink r:id="rId889" ref="R298"/>
    <hyperlink r:id="rId890" ref="I299"/>
    <hyperlink r:id="rId891" ref="N299"/>
    <hyperlink r:id="rId892" ref="R299"/>
    <hyperlink r:id="rId893" ref="I300"/>
    <hyperlink r:id="rId894" ref="N300"/>
    <hyperlink r:id="rId895" ref="R300"/>
    <hyperlink r:id="rId896" ref="I301"/>
    <hyperlink r:id="rId897" ref="N301"/>
    <hyperlink r:id="rId898" ref="R301"/>
    <hyperlink r:id="rId899" ref="I302"/>
    <hyperlink r:id="rId900" ref="N302"/>
    <hyperlink r:id="rId901" ref="R302"/>
    <hyperlink r:id="rId902" ref="I303"/>
    <hyperlink r:id="rId903" ref="N303"/>
    <hyperlink r:id="rId904" ref="R303"/>
    <hyperlink r:id="rId905" ref="I304"/>
    <hyperlink r:id="rId906" ref="N304"/>
    <hyperlink r:id="rId907" ref="R304"/>
    <hyperlink r:id="rId908" ref="I305"/>
    <hyperlink r:id="rId909" ref="N305"/>
    <hyperlink r:id="rId910" ref="R305"/>
    <hyperlink r:id="rId911" ref="I306"/>
    <hyperlink r:id="rId912" ref="N306"/>
    <hyperlink r:id="rId913" ref="R306"/>
    <hyperlink r:id="rId914" ref="I307"/>
    <hyperlink r:id="rId915" ref="N307"/>
    <hyperlink r:id="rId916" ref="R307"/>
    <hyperlink r:id="rId917" ref="I308"/>
    <hyperlink r:id="rId918" ref="N308"/>
    <hyperlink r:id="rId919" ref="R308"/>
    <hyperlink r:id="rId920" ref="I309"/>
    <hyperlink r:id="rId921" ref="N309"/>
    <hyperlink r:id="rId922" ref="R309"/>
    <hyperlink r:id="rId923" ref="I310"/>
    <hyperlink r:id="rId924" ref="N310"/>
    <hyperlink r:id="rId925" ref="R310"/>
    <hyperlink r:id="rId926" ref="I311"/>
    <hyperlink r:id="rId927" ref="N311"/>
    <hyperlink r:id="rId928" ref="R311"/>
    <hyperlink r:id="rId929" ref="I312"/>
    <hyperlink r:id="rId930" ref="N312"/>
    <hyperlink r:id="rId931" ref="R312"/>
    <hyperlink r:id="rId932" ref="I313"/>
    <hyperlink r:id="rId933" ref="N313"/>
    <hyperlink r:id="rId934" ref="R313"/>
    <hyperlink r:id="rId935" ref="I314"/>
    <hyperlink r:id="rId936" ref="N314"/>
    <hyperlink r:id="rId937" ref="R314"/>
    <hyperlink r:id="rId938" ref="I315"/>
    <hyperlink r:id="rId939" ref="N315"/>
    <hyperlink r:id="rId940" ref="R315"/>
    <hyperlink r:id="rId941" ref="I316"/>
    <hyperlink r:id="rId942" ref="N316"/>
    <hyperlink r:id="rId943" ref="R316"/>
    <hyperlink r:id="rId944" ref="I317"/>
    <hyperlink r:id="rId945" ref="N317"/>
    <hyperlink r:id="rId946" ref="R317"/>
    <hyperlink r:id="rId947" ref="I318"/>
    <hyperlink r:id="rId948" ref="N318"/>
    <hyperlink r:id="rId949" ref="R318"/>
    <hyperlink r:id="rId950" ref="N319"/>
    <hyperlink r:id="rId951" ref="R319"/>
    <hyperlink r:id="rId952" ref="N320"/>
    <hyperlink r:id="rId953" ref="R320"/>
    <hyperlink r:id="rId954" ref="N321"/>
    <hyperlink r:id="rId955" ref="R321"/>
    <hyperlink r:id="rId956" ref="I322"/>
    <hyperlink r:id="rId957" ref="N322"/>
    <hyperlink r:id="rId958" ref="R322"/>
    <hyperlink r:id="rId959" ref="I323"/>
    <hyperlink r:id="rId960" ref="N323"/>
    <hyperlink r:id="rId961" ref="R323"/>
    <hyperlink r:id="rId962" ref="I324"/>
    <hyperlink r:id="rId963" ref="N324"/>
    <hyperlink r:id="rId964" ref="R324"/>
    <hyperlink r:id="rId965" ref="I325"/>
    <hyperlink r:id="rId966" ref="N325"/>
    <hyperlink r:id="rId967" ref="R325"/>
    <hyperlink r:id="rId968" ref="I326"/>
    <hyperlink r:id="rId969" ref="N326"/>
    <hyperlink r:id="rId970" ref="R326"/>
    <hyperlink r:id="rId971" ref="I327"/>
    <hyperlink r:id="rId972" ref="N327"/>
    <hyperlink r:id="rId973" ref="R327"/>
    <hyperlink r:id="rId974" ref="I328"/>
    <hyperlink r:id="rId975" ref="N328"/>
    <hyperlink r:id="rId976" ref="R328"/>
    <hyperlink r:id="rId977" ref="I329"/>
    <hyperlink r:id="rId978" ref="N329"/>
    <hyperlink r:id="rId979" ref="R329"/>
    <hyperlink r:id="rId980" ref="I330"/>
    <hyperlink r:id="rId981" ref="N330"/>
    <hyperlink r:id="rId982" ref="R330"/>
    <hyperlink r:id="rId983" ref="I331"/>
    <hyperlink r:id="rId984" ref="N331"/>
    <hyperlink r:id="rId985" ref="R331"/>
    <hyperlink r:id="rId986" ref="I332"/>
    <hyperlink r:id="rId987" ref="N332"/>
    <hyperlink r:id="rId988" ref="R332"/>
    <hyperlink r:id="rId989" ref="I333"/>
    <hyperlink r:id="rId990" ref="N333"/>
    <hyperlink r:id="rId991" ref="R333"/>
    <hyperlink r:id="rId992" ref="I334"/>
    <hyperlink r:id="rId993" ref="N334"/>
    <hyperlink r:id="rId994" ref="R334"/>
    <hyperlink r:id="rId995" ref="I335"/>
    <hyperlink r:id="rId996" ref="N335"/>
    <hyperlink r:id="rId997" ref="R335"/>
    <hyperlink r:id="rId998" ref="I336"/>
    <hyperlink r:id="rId999" ref="N336"/>
    <hyperlink r:id="rId1000" ref="R336"/>
    <hyperlink r:id="rId1001" ref="I337"/>
    <hyperlink r:id="rId1002" ref="N337"/>
    <hyperlink r:id="rId1003" ref="R337"/>
    <hyperlink r:id="rId1004" ref="I338"/>
    <hyperlink r:id="rId1005" ref="N338"/>
    <hyperlink r:id="rId1006" ref="R338"/>
    <hyperlink r:id="rId1007" ref="I339"/>
    <hyperlink r:id="rId1008" ref="N339"/>
    <hyperlink r:id="rId1009" ref="R339"/>
    <hyperlink r:id="rId1010" ref="I340"/>
    <hyperlink r:id="rId1011" ref="N340"/>
    <hyperlink r:id="rId1012" ref="R340"/>
    <hyperlink r:id="rId1013" ref="I341"/>
    <hyperlink r:id="rId1014" ref="N341"/>
    <hyperlink r:id="rId1015" ref="R341"/>
    <hyperlink r:id="rId1016" ref="I342"/>
    <hyperlink r:id="rId1017" ref="N342"/>
    <hyperlink r:id="rId1018" ref="R342"/>
    <hyperlink r:id="rId1019" ref="I343"/>
    <hyperlink r:id="rId1020" ref="N343"/>
    <hyperlink r:id="rId1021" ref="R343"/>
    <hyperlink r:id="rId1022" ref="I344"/>
    <hyperlink r:id="rId1023" ref="N344"/>
    <hyperlink r:id="rId1024" ref="R344"/>
    <hyperlink r:id="rId1025" ref="I345"/>
    <hyperlink r:id="rId1026" ref="N345"/>
    <hyperlink r:id="rId1027" ref="R345"/>
    <hyperlink r:id="rId1028" ref="I346"/>
    <hyperlink r:id="rId1029" ref="N346"/>
    <hyperlink r:id="rId1030" ref="R346"/>
    <hyperlink r:id="rId1031" ref="I347"/>
    <hyperlink r:id="rId1032" ref="N347"/>
    <hyperlink r:id="rId1033" ref="R347"/>
    <hyperlink r:id="rId1034" ref="I348"/>
    <hyperlink r:id="rId1035" ref="N348"/>
    <hyperlink r:id="rId1036" ref="R348"/>
    <hyperlink r:id="rId1037" ref="I349"/>
    <hyperlink r:id="rId1038" ref="N349"/>
    <hyperlink r:id="rId1039" ref="R349"/>
    <hyperlink r:id="rId1040" ref="I350"/>
    <hyperlink r:id="rId1041" ref="N350"/>
    <hyperlink r:id="rId1042" ref="R350"/>
    <hyperlink r:id="rId1043" ref="I351"/>
    <hyperlink r:id="rId1044" ref="N351"/>
    <hyperlink r:id="rId1045" ref="R351"/>
    <hyperlink r:id="rId1046" ref="I352"/>
    <hyperlink r:id="rId1047" ref="N352"/>
    <hyperlink r:id="rId1048" ref="R352"/>
    <hyperlink r:id="rId1049" ref="I353"/>
    <hyperlink r:id="rId1050" ref="N353"/>
    <hyperlink r:id="rId1051" ref="R353"/>
    <hyperlink r:id="rId1052" ref="I354"/>
    <hyperlink r:id="rId1053" ref="N354"/>
    <hyperlink r:id="rId1054" ref="R354"/>
    <hyperlink r:id="rId1055" ref="I355"/>
    <hyperlink r:id="rId1056" ref="N355"/>
    <hyperlink r:id="rId1057" ref="R355"/>
    <hyperlink r:id="rId1058" ref="I356"/>
    <hyperlink r:id="rId1059" ref="N356"/>
    <hyperlink r:id="rId1060" ref="R356"/>
    <hyperlink r:id="rId1061" ref="I357"/>
    <hyperlink r:id="rId1062" ref="N357"/>
    <hyperlink r:id="rId1063" ref="R357"/>
    <hyperlink r:id="rId1064" ref="I358"/>
    <hyperlink r:id="rId1065" ref="N358"/>
    <hyperlink r:id="rId1066" ref="R358"/>
    <hyperlink r:id="rId1067" ref="I359"/>
    <hyperlink r:id="rId1068" ref="N359"/>
    <hyperlink r:id="rId1069" ref="R359"/>
    <hyperlink r:id="rId1070" ref="I360"/>
    <hyperlink r:id="rId1071" ref="N360"/>
    <hyperlink r:id="rId1072" ref="R360"/>
    <hyperlink r:id="rId1073" ref="I361"/>
    <hyperlink r:id="rId1074" ref="N361"/>
    <hyperlink r:id="rId1075" ref="R361"/>
    <hyperlink r:id="rId1076" ref="I362"/>
    <hyperlink r:id="rId1077" ref="N362"/>
    <hyperlink r:id="rId1078" ref="R362"/>
    <hyperlink r:id="rId1079" ref="I363"/>
    <hyperlink r:id="rId1080" ref="N363"/>
    <hyperlink r:id="rId1081" ref="R363"/>
    <hyperlink r:id="rId1082" ref="I364"/>
    <hyperlink r:id="rId1083" ref="N364"/>
    <hyperlink r:id="rId1084" ref="R364"/>
    <hyperlink r:id="rId1085" ref="I365"/>
    <hyperlink r:id="rId1086" ref="N365"/>
    <hyperlink r:id="rId1087" ref="R365"/>
    <hyperlink r:id="rId1088" ref="I366"/>
    <hyperlink r:id="rId1089" ref="N366"/>
    <hyperlink r:id="rId1090" ref="R366"/>
    <hyperlink r:id="rId1091" ref="I367"/>
    <hyperlink r:id="rId1092" ref="N367"/>
    <hyperlink r:id="rId1093" ref="R367"/>
    <hyperlink r:id="rId1094" ref="I368"/>
    <hyperlink r:id="rId1095" ref="N368"/>
    <hyperlink r:id="rId1096" ref="R368"/>
    <hyperlink r:id="rId1097" ref="I369"/>
    <hyperlink r:id="rId1098" ref="N369"/>
    <hyperlink r:id="rId1099" ref="R369"/>
    <hyperlink r:id="rId1100" ref="I370"/>
    <hyperlink r:id="rId1101" ref="N370"/>
    <hyperlink r:id="rId1102" ref="R370"/>
    <hyperlink r:id="rId1103" ref="I371"/>
    <hyperlink r:id="rId1104" ref="N371"/>
    <hyperlink r:id="rId1105" ref="R371"/>
    <hyperlink r:id="rId1106" ref="I372"/>
    <hyperlink r:id="rId1107" ref="N372"/>
    <hyperlink r:id="rId1108" ref="R372"/>
    <hyperlink r:id="rId1109" ref="I373"/>
    <hyperlink r:id="rId1110" ref="N373"/>
    <hyperlink r:id="rId1111" ref="R373"/>
    <hyperlink r:id="rId1112" ref="I374"/>
    <hyperlink r:id="rId1113" ref="N374"/>
    <hyperlink r:id="rId1114" ref="R374"/>
    <hyperlink r:id="rId1115" ref="I375"/>
    <hyperlink r:id="rId1116" ref="N375"/>
    <hyperlink r:id="rId1117" ref="R375"/>
    <hyperlink r:id="rId1118" ref="I376"/>
    <hyperlink r:id="rId1119" ref="N376"/>
    <hyperlink r:id="rId1120" ref="R376"/>
    <hyperlink r:id="rId1121" ref="I377"/>
    <hyperlink r:id="rId1122" ref="N377"/>
    <hyperlink r:id="rId1123" ref="R377"/>
    <hyperlink r:id="rId1124" ref="I378"/>
    <hyperlink r:id="rId1125" ref="N378"/>
    <hyperlink r:id="rId1126" ref="R378"/>
    <hyperlink r:id="rId1127" ref="I379"/>
    <hyperlink r:id="rId1128" ref="N379"/>
    <hyperlink r:id="rId1129" ref="R379"/>
    <hyperlink r:id="rId1130" ref="I380"/>
    <hyperlink r:id="rId1131" ref="N380"/>
    <hyperlink r:id="rId1132" ref="R380"/>
    <hyperlink r:id="rId1133" ref="I381"/>
    <hyperlink r:id="rId1134" ref="N381"/>
    <hyperlink r:id="rId1135" ref="R381"/>
    <hyperlink r:id="rId1136" ref="I382"/>
    <hyperlink r:id="rId1137" ref="N382"/>
    <hyperlink r:id="rId1138" ref="R382"/>
    <hyperlink r:id="rId1139" ref="I383"/>
    <hyperlink r:id="rId1140" ref="N383"/>
    <hyperlink r:id="rId1141" ref="R383"/>
    <hyperlink r:id="rId1142" ref="I384"/>
    <hyperlink r:id="rId1143" ref="N384"/>
    <hyperlink r:id="rId1144" ref="R384"/>
    <hyperlink r:id="rId1145" ref="I385"/>
    <hyperlink r:id="rId1146" ref="N385"/>
    <hyperlink r:id="rId1147" ref="R385"/>
    <hyperlink r:id="rId1148" ref="I386"/>
    <hyperlink r:id="rId1149" ref="N386"/>
    <hyperlink r:id="rId1150" ref="R386"/>
    <hyperlink r:id="rId1151" ref="I387"/>
    <hyperlink r:id="rId1152" ref="N387"/>
    <hyperlink r:id="rId1153" ref="R387"/>
    <hyperlink r:id="rId1154" ref="I388"/>
    <hyperlink r:id="rId1155" ref="N388"/>
    <hyperlink r:id="rId1156" ref="R388"/>
    <hyperlink r:id="rId1157" ref="I389"/>
    <hyperlink r:id="rId1158" ref="N389"/>
    <hyperlink r:id="rId1159" ref="R389"/>
    <hyperlink r:id="rId1160" ref="I390"/>
    <hyperlink r:id="rId1161" ref="N390"/>
    <hyperlink r:id="rId1162" ref="R390"/>
    <hyperlink r:id="rId1163" ref="I391"/>
    <hyperlink r:id="rId1164" ref="N391"/>
    <hyperlink r:id="rId1165" ref="R391"/>
    <hyperlink r:id="rId1166" ref="I392"/>
    <hyperlink r:id="rId1167" ref="N392"/>
    <hyperlink r:id="rId1168" ref="R392"/>
    <hyperlink r:id="rId1169" ref="I393"/>
    <hyperlink r:id="rId1170" ref="N393"/>
    <hyperlink r:id="rId1171" ref="R393"/>
    <hyperlink r:id="rId1172" ref="I394"/>
    <hyperlink r:id="rId1173" ref="N394"/>
    <hyperlink r:id="rId1174" ref="R394"/>
    <hyperlink r:id="rId1175" ref="I395"/>
    <hyperlink r:id="rId1176" ref="N395"/>
    <hyperlink r:id="rId1177" ref="R395"/>
    <hyperlink r:id="rId1178" ref="I396"/>
    <hyperlink r:id="rId1179" ref="N396"/>
    <hyperlink r:id="rId1180" ref="R396"/>
    <hyperlink r:id="rId1181" ref="I397"/>
    <hyperlink r:id="rId1182" ref="N397"/>
    <hyperlink r:id="rId1183" ref="R397"/>
    <hyperlink r:id="rId1184" ref="I398"/>
    <hyperlink r:id="rId1185" ref="N398"/>
    <hyperlink r:id="rId1186" ref="R398"/>
    <hyperlink r:id="rId1187" ref="I399"/>
    <hyperlink r:id="rId1188" ref="N399"/>
    <hyperlink r:id="rId1189" ref="R399"/>
    <hyperlink r:id="rId1190" ref="I400"/>
    <hyperlink r:id="rId1191" ref="N400"/>
    <hyperlink r:id="rId1192" ref="R400"/>
    <hyperlink r:id="rId1193" ref="I401"/>
    <hyperlink r:id="rId1194" ref="N401"/>
    <hyperlink r:id="rId1195" ref="R401"/>
    <hyperlink r:id="rId1196" ref="I402"/>
    <hyperlink r:id="rId1197" ref="N402"/>
    <hyperlink r:id="rId1198" ref="R402"/>
    <hyperlink r:id="rId1199" ref="I403"/>
    <hyperlink r:id="rId1200" ref="N403"/>
    <hyperlink r:id="rId1201" ref="R403"/>
    <hyperlink r:id="rId1202" ref="I404"/>
    <hyperlink r:id="rId1203" ref="N404"/>
    <hyperlink r:id="rId1204" ref="R404"/>
    <hyperlink r:id="rId1205" ref="I405"/>
    <hyperlink r:id="rId1206" ref="N405"/>
    <hyperlink r:id="rId1207" ref="R405"/>
    <hyperlink r:id="rId1208" ref="I406"/>
    <hyperlink r:id="rId1209" ref="N406"/>
    <hyperlink r:id="rId1210" ref="R406"/>
    <hyperlink r:id="rId1211" ref="I407"/>
    <hyperlink r:id="rId1212" ref="N407"/>
    <hyperlink r:id="rId1213" ref="R407"/>
    <hyperlink r:id="rId1214" ref="I408"/>
    <hyperlink r:id="rId1215" ref="N408"/>
    <hyperlink r:id="rId1216" ref="R408"/>
    <hyperlink r:id="rId1217" ref="I409"/>
    <hyperlink r:id="rId1218" ref="N409"/>
    <hyperlink r:id="rId1219" ref="R409"/>
    <hyperlink r:id="rId1220" ref="I410"/>
    <hyperlink r:id="rId1221" ref="N410"/>
    <hyperlink r:id="rId1222" ref="R410"/>
    <hyperlink r:id="rId1223" ref="I411"/>
    <hyperlink r:id="rId1224" ref="N411"/>
    <hyperlink r:id="rId1225" ref="R411"/>
    <hyperlink r:id="rId1226" ref="I412"/>
    <hyperlink r:id="rId1227" ref="N412"/>
    <hyperlink r:id="rId1228" ref="R412"/>
    <hyperlink r:id="rId1229" ref="I413"/>
    <hyperlink r:id="rId1230" ref="N413"/>
    <hyperlink r:id="rId1231" ref="R413"/>
    <hyperlink r:id="rId1232" ref="I414"/>
    <hyperlink r:id="rId1233" ref="N414"/>
    <hyperlink r:id="rId1234" ref="R414"/>
    <hyperlink r:id="rId1235" ref="I415"/>
    <hyperlink r:id="rId1236" ref="N415"/>
    <hyperlink r:id="rId1237" ref="R415"/>
    <hyperlink r:id="rId1238" ref="I416"/>
    <hyperlink r:id="rId1239" ref="N416"/>
    <hyperlink r:id="rId1240" ref="R416"/>
    <hyperlink r:id="rId1241" ref="I417"/>
    <hyperlink r:id="rId1242" ref="N417"/>
    <hyperlink r:id="rId1243" ref="R417"/>
    <hyperlink r:id="rId1244" ref="I418"/>
    <hyperlink r:id="rId1245" ref="N418"/>
    <hyperlink r:id="rId1246" ref="R418"/>
    <hyperlink r:id="rId1247" ref="I419"/>
    <hyperlink r:id="rId1248" ref="N419"/>
    <hyperlink r:id="rId1249" ref="R419"/>
    <hyperlink r:id="rId1250" ref="I420"/>
    <hyperlink r:id="rId1251" ref="N420"/>
    <hyperlink r:id="rId1252" ref="R420"/>
    <hyperlink r:id="rId1253" ref="I421"/>
    <hyperlink r:id="rId1254" ref="N421"/>
    <hyperlink r:id="rId1255" ref="R421"/>
    <hyperlink r:id="rId1256" ref="I422"/>
    <hyperlink r:id="rId1257" ref="N422"/>
    <hyperlink r:id="rId1258" ref="R422"/>
    <hyperlink r:id="rId1259" ref="I423"/>
    <hyperlink r:id="rId1260" ref="N423"/>
    <hyperlink r:id="rId1261" ref="R423"/>
    <hyperlink r:id="rId1262" ref="I424"/>
    <hyperlink r:id="rId1263" ref="N424"/>
    <hyperlink r:id="rId1264" ref="R424"/>
    <hyperlink r:id="rId1265" ref="I425"/>
    <hyperlink r:id="rId1266" ref="N425"/>
    <hyperlink r:id="rId1267" ref="R425"/>
    <hyperlink r:id="rId1268" ref="I426"/>
    <hyperlink r:id="rId1269" ref="N426"/>
    <hyperlink r:id="rId1270" ref="R426"/>
    <hyperlink r:id="rId1271" ref="I427"/>
    <hyperlink r:id="rId1272" ref="N427"/>
    <hyperlink r:id="rId1273" ref="R427"/>
    <hyperlink r:id="rId1274" ref="I428"/>
    <hyperlink r:id="rId1275" ref="N428"/>
    <hyperlink r:id="rId1276" ref="R428"/>
    <hyperlink r:id="rId1277" ref="I429"/>
    <hyperlink r:id="rId1278" ref="N429"/>
    <hyperlink r:id="rId1279" ref="R429"/>
    <hyperlink r:id="rId1280" ref="I430"/>
    <hyperlink r:id="rId1281" ref="N430"/>
    <hyperlink r:id="rId1282" ref="R430"/>
    <hyperlink r:id="rId1283" ref="I431"/>
    <hyperlink r:id="rId1284" ref="N431"/>
    <hyperlink r:id="rId1285" ref="R431"/>
    <hyperlink r:id="rId1286" ref="I432"/>
    <hyperlink r:id="rId1287" ref="N432"/>
    <hyperlink r:id="rId1288" ref="R432"/>
    <hyperlink r:id="rId1289" ref="I433"/>
    <hyperlink r:id="rId1290" ref="N433"/>
    <hyperlink r:id="rId1291" ref="R433"/>
    <hyperlink r:id="rId1292" ref="I434"/>
    <hyperlink r:id="rId1293" ref="N434"/>
    <hyperlink r:id="rId1294" ref="R434"/>
    <hyperlink r:id="rId1295" ref="I435"/>
    <hyperlink r:id="rId1296" ref="N435"/>
    <hyperlink r:id="rId1297" ref="R435"/>
    <hyperlink r:id="rId1298" ref="I436"/>
    <hyperlink r:id="rId1299" ref="N436"/>
    <hyperlink r:id="rId1300" ref="R436"/>
    <hyperlink r:id="rId1301" ref="I437"/>
    <hyperlink r:id="rId1302" ref="N437"/>
    <hyperlink r:id="rId1303" ref="R437"/>
    <hyperlink r:id="rId1304" ref="I438"/>
    <hyperlink r:id="rId1305" ref="N438"/>
    <hyperlink r:id="rId1306" ref="R438"/>
    <hyperlink r:id="rId1307" ref="I439"/>
    <hyperlink r:id="rId1308" ref="N439"/>
    <hyperlink r:id="rId1309" ref="R439"/>
    <hyperlink r:id="rId1310" ref="I440"/>
    <hyperlink r:id="rId1311" ref="N440"/>
    <hyperlink r:id="rId1312" ref="R440"/>
    <hyperlink r:id="rId1313" ref="I441"/>
    <hyperlink r:id="rId1314" ref="N441"/>
    <hyperlink r:id="rId1315" ref="R441"/>
    <hyperlink r:id="rId1316" ref="I442"/>
    <hyperlink r:id="rId1317" ref="N442"/>
    <hyperlink r:id="rId1318" ref="R442"/>
    <hyperlink r:id="rId1319" ref="I443"/>
    <hyperlink r:id="rId1320" ref="N443"/>
    <hyperlink r:id="rId1321" ref="R443"/>
    <hyperlink r:id="rId1322" ref="I444"/>
    <hyperlink r:id="rId1323" ref="N444"/>
    <hyperlink r:id="rId1324" ref="R444"/>
    <hyperlink r:id="rId1325" ref="I445"/>
    <hyperlink r:id="rId1326" ref="N445"/>
    <hyperlink r:id="rId1327" ref="R445"/>
    <hyperlink r:id="rId1328" ref="I446"/>
    <hyperlink r:id="rId1329" ref="N446"/>
    <hyperlink r:id="rId1330" ref="R446"/>
    <hyperlink r:id="rId1331" ref="I447"/>
    <hyperlink r:id="rId1332" ref="N447"/>
    <hyperlink r:id="rId1333" ref="R447"/>
    <hyperlink r:id="rId1334" ref="I448"/>
    <hyperlink r:id="rId1335" ref="N448"/>
    <hyperlink r:id="rId1336" ref="R448"/>
    <hyperlink r:id="rId1337" ref="I449"/>
    <hyperlink r:id="rId1338" ref="N449"/>
    <hyperlink r:id="rId1339" ref="R449"/>
    <hyperlink r:id="rId1340" ref="I450"/>
    <hyperlink r:id="rId1341" ref="N450"/>
    <hyperlink r:id="rId1342" ref="R450"/>
    <hyperlink r:id="rId1343" ref="I451"/>
    <hyperlink r:id="rId1344" ref="N451"/>
    <hyperlink r:id="rId1345" ref="R451"/>
    <hyperlink r:id="rId1346" ref="I452"/>
    <hyperlink r:id="rId1347" ref="N452"/>
    <hyperlink r:id="rId1348" ref="R452"/>
    <hyperlink r:id="rId1349" ref="I453"/>
    <hyperlink r:id="rId1350" ref="N453"/>
    <hyperlink r:id="rId1351" ref="R453"/>
    <hyperlink r:id="rId1352" ref="I454"/>
    <hyperlink r:id="rId1353" ref="N454"/>
    <hyperlink r:id="rId1354" ref="R454"/>
    <hyperlink r:id="rId1355" ref="I455"/>
    <hyperlink r:id="rId1356" ref="N455"/>
    <hyperlink r:id="rId1357" ref="R455"/>
    <hyperlink r:id="rId1358" ref="I456"/>
    <hyperlink r:id="rId1359" ref="N456"/>
    <hyperlink r:id="rId1360" ref="R456"/>
    <hyperlink r:id="rId1361" ref="I457"/>
    <hyperlink r:id="rId1362" ref="N457"/>
    <hyperlink r:id="rId1363" ref="R457"/>
    <hyperlink r:id="rId1364" ref="I458"/>
    <hyperlink r:id="rId1365" ref="N458"/>
    <hyperlink r:id="rId1366" ref="R458"/>
    <hyperlink r:id="rId1367" ref="I459"/>
    <hyperlink r:id="rId1368" ref="N459"/>
    <hyperlink r:id="rId1369" ref="R459"/>
    <hyperlink r:id="rId1370" ref="I460"/>
    <hyperlink r:id="rId1371" ref="N460"/>
    <hyperlink r:id="rId1372" ref="R460"/>
    <hyperlink r:id="rId1373" ref="I461"/>
    <hyperlink r:id="rId1374" ref="N461"/>
    <hyperlink r:id="rId1375" ref="R461"/>
    <hyperlink r:id="rId1376" ref="I462"/>
    <hyperlink r:id="rId1377" ref="N462"/>
    <hyperlink r:id="rId1378" ref="R462"/>
    <hyperlink r:id="rId1379" ref="I463"/>
    <hyperlink r:id="rId1380" ref="N463"/>
    <hyperlink r:id="rId1381" ref="R463"/>
    <hyperlink r:id="rId1382" ref="I464"/>
    <hyperlink r:id="rId1383" ref="N464"/>
    <hyperlink r:id="rId1384" ref="R464"/>
    <hyperlink r:id="rId1385" ref="I465"/>
    <hyperlink r:id="rId1386" ref="N465"/>
    <hyperlink r:id="rId1387" ref="R465"/>
    <hyperlink r:id="rId1388" ref="I466"/>
    <hyperlink r:id="rId1389" ref="N466"/>
    <hyperlink r:id="rId1390" ref="R466"/>
    <hyperlink r:id="rId1391" ref="I467"/>
    <hyperlink r:id="rId1392" ref="N467"/>
    <hyperlink r:id="rId1393" ref="R467"/>
    <hyperlink r:id="rId1394" ref="I468"/>
    <hyperlink r:id="rId1395" ref="N468"/>
    <hyperlink r:id="rId1396" ref="R468"/>
    <hyperlink r:id="rId1397" ref="I469"/>
    <hyperlink r:id="rId1398" ref="N469"/>
    <hyperlink r:id="rId1399" ref="R469"/>
    <hyperlink r:id="rId1400" ref="I470"/>
    <hyperlink r:id="rId1401" ref="N470"/>
    <hyperlink r:id="rId1402" ref="R470"/>
    <hyperlink r:id="rId1403" ref="I471"/>
    <hyperlink r:id="rId1404" ref="N471"/>
    <hyperlink r:id="rId1405" ref="R471"/>
    <hyperlink r:id="rId1406" ref="I472"/>
    <hyperlink r:id="rId1407" ref="N472"/>
    <hyperlink r:id="rId1408" ref="R472"/>
    <hyperlink r:id="rId1409" ref="I473"/>
    <hyperlink r:id="rId1410" ref="N473"/>
    <hyperlink r:id="rId1411" ref="R473"/>
    <hyperlink r:id="rId1412" ref="I474"/>
    <hyperlink r:id="rId1413" ref="N474"/>
    <hyperlink r:id="rId1414" ref="R474"/>
    <hyperlink r:id="rId1415" ref="I475"/>
    <hyperlink r:id="rId1416" ref="N475"/>
    <hyperlink r:id="rId1417" ref="R475"/>
    <hyperlink r:id="rId1418" ref="I476"/>
    <hyperlink r:id="rId1419" ref="N476"/>
    <hyperlink r:id="rId1420" ref="R476"/>
    <hyperlink r:id="rId1421" ref="I477"/>
    <hyperlink r:id="rId1422" ref="N477"/>
    <hyperlink r:id="rId1423" ref="R477"/>
    <hyperlink r:id="rId1424" ref="I478"/>
    <hyperlink r:id="rId1425" ref="N478"/>
    <hyperlink r:id="rId1426" ref="R478"/>
    <hyperlink r:id="rId1427" ref="I479"/>
    <hyperlink r:id="rId1428" ref="N479"/>
    <hyperlink r:id="rId1429" ref="R479"/>
    <hyperlink r:id="rId1430" ref="I480"/>
    <hyperlink r:id="rId1431" ref="N480"/>
    <hyperlink r:id="rId1432" ref="R480"/>
    <hyperlink r:id="rId1433" ref="I481"/>
    <hyperlink r:id="rId1434" ref="N481"/>
    <hyperlink r:id="rId1435" ref="R481"/>
    <hyperlink r:id="rId1436" ref="I482"/>
    <hyperlink r:id="rId1437" ref="N482"/>
    <hyperlink r:id="rId1438" ref="R482"/>
    <hyperlink r:id="rId1439" ref="I483"/>
    <hyperlink r:id="rId1440" ref="N483"/>
    <hyperlink r:id="rId1441" ref="R483"/>
    <hyperlink r:id="rId1442" ref="I484"/>
    <hyperlink r:id="rId1443" ref="N484"/>
    <hyperlink r:id="rId1444" ref="R484"/>
    <hyperlink r:id="rId1445" ref="I485"/>
    <hyperlink r:id="rId1446" ref="N485"/>
    <hyperlink r:id="rId1447" ref="R485"/>
    <hyperlink r:id="rId1448" ref="I486"/>
    <hyperlink r:id="rId1449" ref="N486"/>
    <hyperlink r:id="rId1450" ref="R486"/>
    <hyperlink r:id="rId1451" ref="I487"/>
    <hyperlink r:id="rId1452" ref="N487"/>
    <hyperlink r:id="rId1453" ref="R487"/>
    <hyperlink r:id="rId1454" ref="I488"/>
    <hyperlink r:id="rId1455" ref="N488"/>
    <hyperlink r:id="rId1456" ref="R488"/>
    <hyperlink r:id="rId1457" ref="I489"/>
    <hyperlink r:id="rId1458" ref="N489"/>
    <hyperlink r:id="rId1459" ref="R489"/>
    <hyperlink r:id="rId1460" ref="I490"/>
    <hyperlink r:id="rId1461" ref="N490"/>
    <hyperlink r:id="rId1462" ref="R490"/>
    <hyperlink r:id="rId1463" ref="I491"/>
    <hyperlink r:id="rId1464" ref="N491"/>
    <hyperlink r:id="rId1465" ref="R491"/>
    <hyperlink r:id="rId1466" ref="I492"/>
    <hyperlink r:id="rId1467" ref="N492"/>
    <hyperlink r:id="rId1468" ref="R492"/>
    <hyperlink r:id="rId1469" ref="I493"/>
    <hyperlink r:id="rId1470" ref="N493"/>
    <hyperlink r:id="rId1471" ref="R493"/>
    <hyperlink r:id="rId1472" ref="I494"/>
    <hyperlink r:id="rId1473" ref="N494"/>
    <hyperlink r:id="rId1474" ref="R494"/>
    <hyperlink r:id="rId1475" ref="I495"/>
    <hyperlink r:id="rId1476" ref="N495"/>
    <hyperlink r:id="rId1477" ref="R495"/>
    <hyperlink r:id="rId1478" ref="I496"/>
    <hyperlink r:id="rId1479" ref="N496"/>
    <hyperlink r:id="rId1480" ref="R496"/>
    <hyperlink r:id="rId1481" ref="I497"/>
    <hyperlink r:id="rId1482" ref="N497"/>
    <hyperlink r:id="rId1483" ref="R497"/>
    <hyperlink r:id="rId1484" ref="I498"/>
    <hyperlink r:id="rId1485" ref="N498"/>
    <hyperlink r:id="rId1486" ref="R498"/>
    <hyperlink r:id="rId1487" ref="I499"/>
    <hyperlink r:id="rId1488" ref="N499"/>
    <hyperlink r:id="rId1489" ref="R499"/>
    <hyperlink r:id="rId1490" ref="I500"/>
    <hyperlink r:id="rId1491" ref="N500"/>
    <hyperlink r:id="rId1492" ref="R500"/>
    <hyperlink r:id="rId1493" ref="I501"/>
    <hyperlink r:id="rId1494" ref="N501"/>
    <hyperlink r:id="rId1495" ref="R501"/>
    <hyperlink r:id="rId1496" ref="I502"/>
    <hyperlink r:id="rId1497" ref="N502"/>
    <hyperlink r:id="rId1498" ref="R502"/>
    <hyperlink r:id="rId1499" ref="I503"/>
    <hyperlink r:id="rId1500" ref="N503"/>
    <hyperlink r:id="rId1501" ref="R503"/>
    <hyperlink r:id="rId1502" ref="I504"/>
    <hyperlink r:id="rId1503" ref="N504"/>
    <hyperlink r:id="rId1504" ref="R504"/>
    <hyperlink r:id="rId1505" ref="I505"/>
    <hyperlink r:id="rId1506" ref="N505"/>
    <hyperlink r:id="rId1507" ref="R505"/>
    <hyperlink r:id="rId1508" ref="I506"/>
    <hyperlink r:id="rId1509" ref="N506"/>
    <hyperlink r:id="rId1510" ref="R506"/>
    <hyperlink r:id="rId1511" ref="I507"/>
    <hyperlink r:id="rId1512" ref="N507"/>
    <hyperlink r:id="rId1513" ref="R507"/>
    <hyperlink r:id="rId1514" ref="I508"/>
    <hyperlink r:id="rId1515" ref="N508"/>
    <hyperlink r:id="rId1516" ref="R508"/>
    <hyperlink r:id="rId1517" ref="I509"/>
    <hyperlink r:id="rId1518" ref="N509"/>
    <hyperlink r:id="rId1519" ref="R509"/>
    <hyperlink r:id="rId1520" ref="I510"/>
    <hyperlink r:id="rId1521" ref="N510"/>
    <hyperlink r:id="rId1522" ref="R510"/>
    <hyperlink r:id="rId1523" ref="I511"/>
    <hyperlink r:id="rId1524" ref="N511"/>
    <hyperlink r:id="rId1525" ref="R511"/>
    <hyperlink r:id="rId1526" ref="I512"/>
    <hyperlink r:id="rId1527" ref="N512"/>
    <hyperlink r:id="rId1528" ref="R512"/>
    <hyperlink r:id="rId1529" ref="N513"/>
    <hyperlink r:id="rId1530" ref="R513"/>
    <hyperlink r:id="rId1531" ref="N514"/>
    <hyperlink r:id="rId1532" ref="R514"/>
    <hyperlink r:id="rId1533" ref="N515"/>
    <hyperlink r:id="rId1534" ref="R515"/>
    <hyperlink r:id="rId1535" ref="I516"/>
    <hyperlink r:id="rId1536" ref="N516"/>
    <hyperlink r:id="rId1537" ref="R516"/>
    <hyperlink r:id="rId1538" ref="I517"/>
    <hyperlink r:id="rId1539" ref="N517"/>
    <hyperlink r:id="rId1540" ref="R517"/>
    <hyperlink r:id="rId1541" ref="I518"/>
    <hyperlink r:id="rId1542" ref="N518"/>
    <hyperlink r:id="rId1543" ref="R518"/>
    <hyperlink r:id="rId1544" ref="I519"/>
    <hyperlink r:id="rId1545" ref="N519"/>
    <hyperlink r:id="rId1546" ref="R519"/>
    <hyperlink r:id="rId1547" ref="I520"/>
    <hyperlink r:id="rId1548" ref="N520"/>
    <hyperlink r:id="rId1549" ref="R520"/>
    <hyperlink r:id="rId1550" ref="I521"/>
    <hyperlink r:id="rId1551" ref="N521"/>
    <hyperlink r:id="rId1552" ref="R521"/>
    <hyperlink r:id="rId1553" ref="I522"/>
    <hyperlink r:id="rId1554" ref="N522"/>
    <hyperlink r:id="rId1555" ref="R522"/>
    <hyperlink r:id="rId1556" ref="I523"/>
    <hyperlink r:id="rId1557" ref="N523"/>
    <hyperlink r:id="rId1558" ref="R523"/>
    <hyperlink r:id="rId1559" ref="I524"/>
    <hyperlink r:id="rId1560" ref="N524"/>
    <hyperlink r:id="rId1561" ref="R524"/>
    <hyperlink r:id="rId1562" ref="I525"/>
    <hyperlink r:id="rId1563" ref="N525"/>
    <hyperlink r:id="rId1564" ref="R525"/>
    <hyperlink r:id="rId1565" ref="I526"/>
    <hyperlink r:id="rId1566" ref="N526"/>
    <hyperlink r:id="rId1567" ref="R526"/>
    <hyperlink r:id="rId1568" ref="I527"/>
    <hyperlink r:id="rId1569" ref="N527"/>
    <hyperlink r:id="rId1570" ref="R527"/>
    <hyperlink r:id="rId1571" ref="I528"/>
    <hyperlink r:id="rId1572" ref="N528"/>
    <hyperlink r:id="rId1573" ref="R528"/>
    <hyperlink r:id="rId1574" ref="I529"/>
    <hyperlink r:id="rId1575" ref="N529"/>
    <hyperlink r:id="rId1576" ref="R529"/>
    <hyperlink r:id="rId1577" ref="I530"/>
    <hyperlink r:id="rId1578" ref="N530"/>
    <hyperlink r:id="rId1579" ref="R530"/>
    <hyperlink r:id="rId1580" ref="I531"/>
    <hyperlink r:id="rId1581" ref="N531"/>
    <hyperlink r:id="rId1582" ref="R531"/>
    <hyperlink r:id="rId1583" ref="I532"/>
    <hyperlink r:id="rId1584" ref="N532"/>
    <hyperlink r:id="rId1585" ref="R532"/>
    <hyperlink r:id="rId1586" ref="I533"/>
    <hyperlink r:id="rId1587" ref="N533"/>
    <hyperlink r:id="rId1588" ref="R533"/>
    <hyperlink r:id="rId1589" ref="I534"/>
    <hyperlink r:id="rId1590" ref="N534"/>
    <hyperlink r:id="rId1591" ref="R534"/>
    <hyperlink r:id="rId1592" ref="N535"/>
    <hyperlink r:id="rId1593" ref="R535"/>
    <hyperlink r:id="rId1594" ref="N536"/>
    <hyperlink r:id="rId1595" ref="R536"/>
    <hyperlink r:id="rId1596" ref="N537"/>
    <hyperlink r:id="rId1597" ref="R537"/>
    <hyperlink r:id="rId1598" ref="N538"/>
    <hyperlink r:id="rId1599" ref="R538"/>
    <hyperlink r:id="rId1600" ref="N539"/>
    <hyperlink r:id="rId1601" ref="R539"/>
    <hyperlink r:id="rId1602" ref="I540"/>
    <hyperlink r:id="rId1603" ref="N540"/>
    <hyperlink r:id="rId1604" ref="R540"/>
    <hyperlink r:id="rId1605" ref="I541"/>
    <hyperlink r:id="rId1606" ref="N541"/>
    <hyperlink r:id="rId1607" ref="R541"/>
    <hyperlink r:id="rId1608" ref="I542"/>
    <hyperlink r:id="rId1609" ref="N542"/>
    <hyperlink r:id="rId1610" ref="R542"/>
    <hyperlink r:id="rId1611" ref="I543"/>
    <hyperlink r:id="rId1612" ref="N543"/>
    <hyperlink r:id="rId1613" ref="R543"/>
    <hyperlink r:id="rId1614" ref="I544"/>
    <hyperlink r:id="rId1615" ref="N544"/>
    <hyperlink r:id="rId1616" ref="R544"/>
    <hyperlink r:id="rId1617" ref="I545"/>
    <hyperlink r:id="rId1618" ref="N545"/>
    <hyperlink r:id="rId1619" ref="R545"/>
    <hyperlink r:id="rId1620" ref="I546"/>
    <hyperlink r:id="rId1621" ref="N546"/>
    <hyperlink r:id="rId1622" ref="R546"/>
    <hyperlink r:id="rId1623" ref="I547"/>
    <hyperlink r:id="rId1624" ref="N547"/>
    <hyperlink r:id="rId1625" ref="R547"/>
    <hyperlink r:id="rId1626" ref="I548"/>
    <hyperlink r:id="rId1627" ref="N548"/>
    <hyperlink r:id="rId1628" ref="R548"/>
    <hyperlink r:id="rId1629" ref="I549"/>
    <hyperlink r:id="rId1630" ref="N549"/>
    <hyperlink r:id="rId1631" ref="R549"/>
    <hyperlink r:id="rId1632" ref="I550"/>
    <hyperlink r:id="rId1633" ref="N550"/>
    <hyperlink r:id="rId1634" ref="R550"/>
    <hyperlink r:id="rId1635" ref="I551"/>
    <hyperlink r:id="rId1636" ref="N551"/>
    <hyperlink r:id="rId1637" ref="R551"/>
    <hyperlink r:id="rId1638" ref="I552"/>
    <hyperlink r:id="rId1639" ref="N552"/>
    <hyperlink r:id="rId1640" ref="R552"/>
    <hyperlink r:id="rId1641" ref="I553"/>
    <hyperlink r:id="rId1642" ref="N553"/>
    <hyperlink r:id="rId1643" ref="R553"/>
    <hyperlink r:id="rId1644" ref="I554"/>
    <hyperlink r:id="rId1645" ref="N554"/>
    <hyperlink r:id="rId1646" ref="R554"/>
    <hyperlink r:id="rId1647" ref="I555"/>
    <hyperlink r:id="rId1648" ref="N555"/>
    <hyperlink r:id="rId1649" ref="R555"/>
    <hyperlink r:id="rId1650" ref="I556"/>
    <hyperlink r:id="rId1651" ref="N556"/>
    <hyperlink r:id="rId1652" ref="R556"/>
    <hyperlink r:id="rId1653" ref="I557"/>
    <hyperlink r:id="rId1654" ref="N557"/>
    <hyperlink r:id="rId1655" ref="R557"/>
    <hyperlink r:id="rId1656" ref="I558"/>
    <hyperlink r:id="rId1657" ref="N558"/>
    <hyperlink r:id="rId1658" ref="R558"/>
    <hyperlink r:id="rId1659" ref="I559"/>
    <hyperlink r:id="rId1660" ref="N559"/>
    <hyperlink r:id="rId1661" ref="R559"/>
    <hyperlink r:id="rId1662" ref="I560"/>
    <hyperlink r:id="rId1663" ref="N560"/>
    <hyperlink r:id="rId1664" ref="R560"/>
    <hyperlink r:id="rId1665" ref="I561"/>
    <hyperlink r:id="rId1666" ref="N561"/>
    <hyperlink r:id="rId1667" ref="R561"/>
    <hyperlink r:id="rId1668" ref="N562"/>
    <hyperlink r:id="rId1669" ref="R562"/>
    <hyperlink r:id="rId1670" ref="I563"/>
    <hyperlink r:id="rId1671" ref="N563"/>
    <hyperlink r:id="rId1672" ref="R563"/>
    <hyperlink r:id="rId1673" ref="I564"/>
    <hyperlink r:id="rId1674" ref="N564"/>
    <hyperlink r:id="rId1675" ref="R564"/>
    <hyperlink r:id="rId1676" ref="I565"/>
    <hyperlink r:id="rId1677" ref="N565"/>
    <hyperlink r:id="rId1678" ref="R565"/>
    <hyperlink r:id="rId1679" ref="I566"/>
    <hyperlink r:id="rId1680" ref="N566"/>
    <hyperlink r:id="rId1681" ref="R566"/>
    <hyperlink r:id="rId1682" ref="I567"/>
    <hyperlink r:id="rId1683" ref="N567"/>
    <hyperlink r:id="rId1684" ref="R567"/>
    <hyperlink r:id="rId1685" ref="I568"/>
    <hyperlink r:id="rId1686" ref="N568"/>
    <hyperlink r:id="rId1687" ref="R568"/>
    <hyperlink r:id="rId1688" ref="I569"/>
    <hyperlink r:id="rId1689" ref="N569"/>
    <hyperlink r:id="rId1690" ref="R569"/>
    <hyperlink r:id="rId1691" ref="I570"/>
    <hyperlink r:id="rId1692" ref="N570"/>
    <hyperlink r:id="rId1693" ref="R570"/>
    <hyperlink r:id="rId1694" ref="I571"/>
    <hyperlink r:id="rId1695" ref="N571"/>
    <hyperlink r:id="rId1696" ref="R571"/>
    <hyperlink r:id="rId1697" ref="I572"/>
    <hyperlink r:id="rId1698" ref="N572"/>
    <hyperlink r:id="rId1699" ref="R572"/>
    <hyperlink r:id="rId1700" ref="I573"/>
    <hyperlink r:id="rId1701" ref="N573"/>
    <hyperlink r:id="rId1702" ref="R573"/>
    <hyperlink r:id="rId1703" ref="I574"/>
    <hyperlink r:id="rId1704" ref="N574"/>
    <hyperlink r:id="rId1705" ref="R574"/>
    <hyperlink r:id="rId1706" ref="I575"/>
    <hyperlink r:id="rId1707" ref="N575"/>
    <hyperlink r:id="rId1708" ref="R575"/>
    <hyperlink r:id="rId1709" ref="I576"/>
    <hyperlink r:id="rId1710" ref="N576"/>
    <hyperlink r:id="rId1711" ref="R576"/>
    <hyperlink r:id="rId1712" ref="I577"/>
    <hyperlink r:id="rId1713" ref="N577"/>
    <hyperlink r:id="rId1714" ref="R577"/>
    <hyperlink r:id="rId1715" ref="I578"/>
    <hyperlink r:id="rId1716" ref="N578"/>
    <hyperlink r:id="rId1717" ref="R578"/>
    <hyperlink r:id="rId1718" ref="I579"/>
    <hyperlink r:id="rId1719" ref="N579"/>
    <hyperlink r:id="rId1720" ref="R579"/>
    <hyperlink r:id="rId1721" ref="I580"/>
    <hyperlink r:id="rId1722" ref="N580"/>
    <hyperlink r:id="rId1723" ref="R580"/>
    <hyperlink r:id="rId1724" ref="I581"/>
    <hyperlink r:id="rId1725" ref="N581"/>
    <hyperlink r:id="rId1726" ref="R581"/>
    <hyperlink r:id="rId1727" ref="I582"/>
    <hyperlink r:id="rId1728" ref="N582"/>
    <hyperlink r:id="rId1729" ref="R582"/>
    <hyperlink r:id="rId1730" ref="I583"/>
    <hyperlink r:id="rId1731" ref="N583"/>
    <hyperlink r:id="rId1732" ref="R583"/>
    <hyperlink r:id="rId1733" ref="I584"/>
    <hyperlink r:id="rId1734" ref="N584"/>
    <hyperlink r:id="rId1735" ref="R584"/>
    <hyperlink r:id="rId1736" ref="I585"/>
    <hyperlink r:id="rId1737" ref="N585"/>
    <hyperlink r:id="rId1738" ref="R585"/>
    <hyperlink r:id="rId1739" ref="I586"/>
    <hyperlink r:id="rId1740" ref="N586"/>
    <hyperlink r:id="rId1741" ref="R586"/>
    <hyperlink r:id="rId1742" ref="I587"/>
    <hyperlink r:id="rId1743" ref="N587"/>
    <hyperlink r:id="rId1744" ref="R587"/>
    <hyperlink r:id="rId1745" ref="I588"/>
    <hyperlink r:id="rId1746" ref="N588"/>
    <hyperlink r:id="rId1747" ref="R588"/>
    <hyperlink r:id="rId1748" ref="I589"/>
    <hyperlink r:id="rId1749" ref="N589"/>
    <hyperlink r:id="rId1750" ref="R589"/>
    <hyperlink r:id="rId1751" ref="I590"/>
    <hyperlink r:id="rId1752" ref="N590"/>
    <hyperlink r:id="rId1753" ref="R590"/>
    <hyperlink r:id="rId1754" ref="I591"/>
    <hyperlink r:id="rId1755" ref="N591"/>
    <hyperlink r:id="rId1756" ref="R591"/>
    <hyperlink r:id="rId1757" ref="I592"/>
    <hyperlink r:id="rId1758" ref="N592"/>
    <hyperlink r:id="rId1759" ref="R592"/>
    <hyperlink r:id="rId1760" ref="I593"/>
    <hyperlink r:id="rId1761" ref="N593"/>
    <hyperlink r:id="rId1762" ref="R593"/>
    <hyperlink r:id="rId1763" ref="I594"/>
    <hyperlink r:id="rId1764" ref="N594"/>
    <hyperlink r:id="rId1765" ref="R594"/>
    <hyperlink r:id="rId1766" ref="I595"/>
    <hyperlink r:id="rId1767" ref="N595"/>
    <hyperlink r:id="rId1768" ref="R595"/>
    <hyperlink r:id="rId1769" ref="I596"/>
    <hyperlink r:id="rId1770" ref="N596"/>
    <hyperlink r:id="rId1771" ref="R596"/>
    <hyperlink r:id="rId1772" ref="I597"/>
    <hyperlink r:id="rId1773" ref="N597"/>
    <hyperlink r:id="rId1774" ref="R597"/>
    <hyperlink r:id="rId1775" ref="I598"/>
    <hyperlink r:id="rId1776" ref="N598"/>
    <hyperlink r:id="rId1777" ref="R598"/>
    <hyperlink r:id="rId1778" ref="I599"/>
    <hyperlink r:id="rId1779" ref="N599"/>
    <hyperlink r:id="rId1780" ref="R599"/>
    <hyperlink r:id="rId1781" ref="I600"/>
    <hyperlink r:id="rId1782" ref="N600"/>
    <hyperlink r:id="rId1783" ref="R600"/>
    <hyperlink r:id="rId1784" ref="I601"/>
    <hyperlink r:id="rId1785" ref="N601"/>
    <hyperlink r:id="rId1786" ref="R601"/>
    <hyperlink r:id="rId1787" ref="I602"/>
    <hyperlink r:id="rId1788" ref="N602"/>
    <hyperlink r:id="rId1789" ref="R602"/>
    <hyperlink r:id="rId1790" ref="I603"/>
    <hyperlink r:id="rId1791" ref="N603"/>
    <hyperlink r:id="rId1792" ref="R603"/>
    <hyperlink r:id="rId1793" ref="I604"/>
    <hyperlink r:id="rId1794" ref="N604"/>
    <hyperlink r:id="rId1795" ref="R604"/>
    <hyperlink r:id="rId1796" ref="I605"/>
    <hyperlink r:id="rId1797" ref="N605"/>
    <hyperlink r:id="rId1798" ref="R605"/>
    <hyperlink r:id="rId1799" ref="I606"/>
    <hyperlink r:id="rId1800" ref="N606"/>
    <hyperlink r:id="rId1801" ref="R606"/>
    <hyperlink r:id="rId1802" ref="I607"/>
    <hyperlink r:id="rId1803" ref="N607"/>
    <hyperlink r:id="rId1804" ref="R607"/>
    <hyperlink r:id="rId1805" ref="I608"/>
    <hyperlink r:id="rId1806" ref="N608"/>
    <hyperlink r:id="rId1807" ref="R608"/>
    <hyperlink r:id="rId1808" ref="I609"/>
    <hyperlink r:id="rId1809" ref="N609"/>
    <hyperlink r:id="rId1810" ref="R609"/>
    <hyperlink r:id="rId1811" ref="I610"/>
    <hyperlink r:id="rId1812" ref="N610"/>
    <hyperlink r:id="rId1813" ref="R610"/>
    <hyperlink r:id="rId1814" ref="I611"/>
    <hyperlink r:id="rId1815" ref="N611"/>
    <hyperlink r:id="rId1816" ref="R611"/>
    <hyperlink r:id="rId1817" ref="I612"/>
    <hyperlink r:id="rId1818" ref="N612"/>
    <hyperlink r:id="rId1819" ref="R612"/>
    <hyperlink r:id="rId1820" ref="I613"/>
    <hyperlink r:id="rId1821" ref="N613"/>
    <hyperlink r:id="rId1822" ref="R613"/>
    <hyperlink r:id="rId1823" ref="I614"/>
    <hyperlink r:id="rId1824" ref="N614"/>
    <hyperlink r:id="rId1825" ref="R614"/>
    <hyperlink r:id="rId1826" ref="I615"/>
    <hyperlink r:id="rId1827" ref="N615"/>
    <hyperlink r:id="rId1828" ref="R615"/>
    <hyperlink r:id="rId1829" ref="I616"/>
    <hyperlink r:id="rId1830" ref="N616"/>
    <hyperlink r:id="rId1831" ref="R616"/>
    <hyperlink r:id="rId1832" ref="I617"/>
    <hyperlink r:id="rId1833" ref="N617"/>
    <hyperlink r:id="rId1834" ref="R617"/>
    <hyperlink r:id="rId1835" ref="I618"/>
    <hyperlink r:id="rId1836" ref="N618"/>
    <hyperlink r:id="rId1837" ref="R618"/>
    <hyperlink r:id="rId1838" ref="I619"/>
    <hyperlink r:id="rId1839" ref="N619"/>
    <hyperlink r:id="rId1840" ref="R619"/>
    <hyperlink r:id="rId1841" ref="I620"/>
    <hyperlink r:id="rId1842" ref="N620"/>
    <hyperlink r:id="rId1843" ref="R620"/>
    <hyperlink r:id="rId1844" ref="I621"/>
    <hyperlink r:id="rId1845" ref="N621"/>
    <hyperlink r:id="rId1846" ref="R621"/>
    <hyperlink r:id="rId1847" ref="I622"/>
    <hyperlink r:id="rId1848" ref="N622"/>
    <hyperlink r:id="rId1849" ref="R622"/>
    <hyperlink r:id="rId1850" ref="I623"/>
    <hyperlink r:id="rId1851" ref="N623"/>
    <hyperlink r:id="rId1852" ref="R623"/>
    <hyperlink r:id="rId1853" ref="I624"/>
    <hyperlink r:id="rId1854" ref="N624"/>
    <hyperlink r:id="rId1855" ref="R624"/>
    <hyperlink r:id="rId1856" ref="I625"/>
    <hyperlink r:id="rId1857" ref="N625"/>
    <hyperlink r:id="rId1858" ref="R625"/>
    <hyperlink r:id="rId1859" ref="I626"/>
    <hyperlink r:id="rId1860" ref="N626"/>
    <hyperlink r:id="rId1861" ref="R626"/>
    <hyperlink r:id="rId1862" ref="I627"/>
    <hyperlink r:id="rId1863" ref="N627"/>
    <hyperlink r:id="rId1864" ref="R627"/>
    <hyperlink r:id="rId1865" ref="I628"/>
    <hyperlink r:id="rId1866" ref="N628"/>
    <hyperlink r:id="rId1867" ref="R628"/>
    <hyperlink r:id="rId1868" ref="I629"/>
    <hyperlink r:id="rId1869" ref="N629"/>
    <hyperlink r:id="rId1870" ref="R629"/>
    <hyperlink r:id="rId1871" ref="I630"/>
    <hyperlink r:id="rId1872" ref="N630"/>
    <hyperlink r:id="rId1873" ref="R630"/>
    <hyperlink r:id="rId1874" ref="I631"/>
    <hyperlink r:id="rId1875" ref="N631"/>
    <hyperlink r:id="rId1876" ref="R631"/>
    <hyperlink r:id="rId1877" ref="I632"/>
    <hyperlink r:id="rId1878" ref="N632"/>
    <hyperlink r:id="rId1879" ref="R632"/>
    <hyperlink r:id="rId1880" ref="I633"/>
    <hyperlink r:id="rId1881" ref="N633"/>
    <hyperlink r:id="rId1882" ref="R633"/>
    <hyperlink r:id="rId1883" ref="I634"/>
    <hyperlink r:id="rId1884" ref="N634"/>
    <hyperlink r:id="rId1885" ref="R634"/>
    <hyperlink r:id="rId1886" ref="N635"/>
    <hyperlink r:id="rId1887" ref="R635"/>
    <hyperlink r:id="rId1888" ref="N636"/>
    <hyperlink r:id="rId1889" ref="R636"/>
    <hyperlink r:id="rId1890" ref="I637"/>
    <hyperlink r:id="rId1891" ref="N637"/>
    <hyperlink r:id="rId1892" ref="R637"/>
    <hyperlink r:id="rId1893" ref="I638"/>
    <hyperlink r:id="rId1894" ref="N638"/>
    <hyperlink r:id="rId1895" ref="R638"/>
    <hyperlink r:id="rId1896" ref="I639"/>
    <hyperlink r:id="rId1897" ref="N639"/>
    <hyperlink r:id="rId1898" ref="R639"/>
    <hyperlink r:id="rId1899" ref="I640"/>
    <hyperlink r:id="rId1900" ref="N640"/>
    <hyperlink r:id="rId1901" ref="R640"/>
    <hyperlink r:id="rId1902" ref="I641"/>
    <hyperlink r:id="rId1903" ref="N641"/>
    <hyperlink r:id="rId1904" ref="R641"/>
    <hyperlink r:id="rId1905" ref="I642"/>
    <hyperlink r:id="rId1906" ref="N642"/>
    <hyperlink r:id="rId1907" ref="R642"/>
    <hyperlink r:id="rId1908" ref="I643"/>
    <hyperlink r:id="rId1909" ref="N643"/>
    <hyperlink r:id="rId1910" ref="R643"/>
    <hyperlink r:id="rId1911" ref="I644"/>
    <hyperlink r:id="rId1912" ref="N644"/>
    <hyperlink r:id="rId1913" ref="R644"/>
    <hyperlink r:id="rId1914" ref="I645"/>
    <hyperlink r:id="rId1915" ref="N645"/>
    <hyperlink r:id="rId1916" ref="R645"/>
    <hyperlink r:id="rId1917" ref="I646"/>
    <hyperlink r:id="rId1918" ref="N646"/>
    <hyperlink r:id="rId1919" ref="R646"/>
    <hyperlink r:id="rId1920" ref="I647"/>
    <hyperlink r:id="rId1921" ref="N647"/>
    <hyperlink r:id="rId1922" ref="R647"/>
    <hyperlink r:id="rId1923" ref="I648"/>
    <hyperlink r:id="rId1924" ref="N648"/>
    <hyperlink r:id="rId1925" ref="R648"/>
    <hyperlink r:id="rId1926" ref="I649"/>
    <hyperlink r:id="rId1927" ref="N649"/>
    <hyperlink r:id="rId1928" ref="R649"/>
    <hyperlink r:id="rId1929" ref="I650"/>
    <hyperlink r:id="rId1930" ref="N650"/>
    <hyperlink r:id="rId1931" ref="R650"/>
    <hyperlink r:id="rId1932" ref="I651"/>
    <hyperlink r:id="rId1933" ref="N651"/>
    <hyperlink r:id="rId1934" ref="R651"/>
    <hyperlink r:id="rId1935" ref="I652"/>
    <hyperlink r:id="rId1936" ref="N652"/>
    <hyperlink r:id="rId1937" ref="R652"/>
    <hyperlink r:id="rId1938" ref="I653"/>
    <hyperlink r:id="rId1939" ref="N653"/>
    <hyperlink r:id="rId1940" ref="R653"/>
    <hyperlink r:id="rId1941" ref="I654"/>
    <hyperlink r:id="rId1942" ref="N654"/>
    <hyperlink r:id="rId1943" ref="R654"/>
    <hyperlink r:id="rId1944" ref="I655"/>
    <hyperlink r:id="rId1945" ref="N655"/>
    <hyperlink r:id="rId1946" ref="R655"/>
    <hyperlink r:id="rId1947" ref="I656"/>
    <hyperlink r:id="rId1948" ref="N656"/>
    <hyperlink r:id="rId1949" ref="R656"/>
    <hyperlink r:id="rId1950" ref="I657"/>
    <hyperlink r:id="rId1951" ref="N657"/>
    <hyperlink r:id="rId1952" ref="R657"/>
    <hyperlink r:id="rId1953" ref="I658"/>
    <hyperlink r:id="rId1954" ref="N658"/>
    <hyperlink r:id="rId1955" ref="I659"/>
    <hyperlink r:id="rId1956" ref="N659"/>
    <hyperlink r:id="rId1957" ref="I660"/>
    <hyperlink r:id="rId1958" ref="N660"/>
    <hyperlink r:id="rId1959" ref="I661"/>
    <hyperlink r:id="rId1960" ref="N661"/>
    <hyperlink r:id="rId1961" ref="I662"/>
    <hyperlink r:id="rId1962" ref="N662"/>
    <hyperlink r:id="rId1963" ref="I663"/>
    <hyperlink r:id="rId1964" ref="N663"/>
    <hyperlink r:id="rId1965" ref="I664"/>
    <hyperlink r:id="rId1966" ref="N664"/>
    <hyperlink r:id="rId1967" ref="I665"/>
    <hyperlink r:id="rId1968" ref="N665"/>
    <hyperlink r:id="rId1969" ref="I666"/>
    <hyperlink r:id="rId1970" ref="N666"/>
    <hyperlink r:id="rId1971" ref="I667"/>
    <hyperlink r:id="rId1972" ref="N667"/>
    <hyperlink r:id="rId1973" ref="I668"/>
    <hyperlink r:id="rId1974" ref="N668"/>
    <hyperlink r:id="rId1975" ref="I669"/>
    <hyperlink r:id="rId1976" ref="N669"/>
    <hyperlink r:id="rId1977" ref="I670"/>
    <hyperlink r:id="rId1978" ref="N670"/>
    <hyperlink r:id="rId1979" ref="I671"/>
    <hyperlink r:id="rId1980" ref="N671"/>
    <hyperlink r:id="rId1981" ref="I672"/>
    <hyperlink r:id="rId1982" ref="N672"/>
    <hyperlink r:id="rId1983" ref="I673"/>
    <hyperlink r:id="rId1984" ref="N673"/>
    <hyperlink r:id="rId1985" ref="I674"/>
    <hyperlink r:id="rId1986" ref="N674"/>
    <hyperlink r:id="rId1987" ref="I675"/>
    <hyperlink r:id="rId1988" ref="N675"/>
    <hyperlink r:id="rId1989" ref="N676"/>
    <hyperlink r:id="rId1990" ref="I677"/>
    <hyperlink r:id="rId1991" ref="N677"/>
    <hyperlink r:id="rId1992" ref="I678"/>
    <hyperlink r:id="rId1993" ref="N678"/>
    <hyperlink r:id="rId1994" ref="I679"/>
    <hyperlink r:id="rId1995" ref="N679"/>
    <hyperlink r:id="rId1996" ref="I680"/>
    <hyperlink r:id="rId1997" ref="N680"/>
    <hyperlink r:id="rId1998" ref="I681"/>
    <hyperlink r:id="rId1999" ref="N681"/>
    <hyperlink r:id="rId2000" ref="I682"/>
    <hyperlink r:id="rId2001" ref="N682"/>
    <hyperlink r:id="rId2002" ref="I683"/>
    <hyperlink r:id="rId2003" ref="N683"/>
    <hyperlink r:id="rId2004" ref="I684"/>
    <hyperlink r:id="rId2005" ref="N684"/>
    <hyperlink r:id="rId2006" ref="I685"/>
    <hyperlink r:id="rId2007" ref="N685"/>
    <hyperlink r:id="rId2008" ref="I686"/>
    <hyperlink r:id="rId2009" ref="N686"/>
    <hyperlink r:id="rId2010" ref="I687"/>
    <hyperlink r:id="rId2011" ref="N687"/>
    <hyperlink r:id="rId2012" ref="I688"/>
    <hyperlink r:id="rId2013" ref="N688"/>
    <hyperlink r:id="rId2014" ref="I689"/>
    <hyperlink r:id="rId2015" ref="N689"/>
    <hyperlink r:id="rId2016" ref="I690"/>
    <hyperlink r:id="rId2017" ref="N690"/>
    <hyperlink r:id="rId2018" ref="I691"/>
    <hyperlink r:id="rId2019" ref="N691"/>
    <hyperlink r:id="rId2020" ref="I692"/>
    <hyperlink r:id="rId2021" ref="N692"/>
    <hyperlink r:id="rId2022" ref="I693"/>
    <hyperlink r:id="rId2023" ref="N693"/>
    <hyperlink r:id="rId2024" ref="I694"/>
    <hyperlink r:id="rId2025" ref="N694"/>
    <hyperlink r:id="rId2026" ref="I695"/>
    <hyperlink r:id="rId2027" ref="N695"/>
    <hyperlink r:id="rId2028" ref="I696"/>
    <hyperlink r:id="rId2029" ref="N696"/>
    <hyperlink r:id="rId2030" ref="I697"/>
    <hyperlink r:id="rId2031" ref="N697"/>
    <hyperlink r:id="rId2032" ref="I698"/>
    <hyperlink r:id="rId2033" ref="N698"/>
    <hyperlink r:id="rId2034" ref="I699"/>
    <hyperlink r:id="rId2035" ref="N699"/>
    <hyperlink r:id="rId2036" ref="I700"/>
    <hyperlink r:id="rId2037" ref="N700"/>
    <hyperlink r:id="rId2038" ref="I701"/>
    <hyperlink r:id="rId2039" ref="N701"/>
    <hyperlink r:id="rId2040" ref="I702"/>
    <hyperlink r:id="rId2041" ref="N702"/>
    <hyperlink r:id="rId2042" ref="I703"/>
    <hyperlink r:id="rId2043" ref="N703"/>
    <hyperlink r:id="rId2044" ref="I704"/>
    <hyperlink r:id="rId2045" ref="N704"/>
    <hyperlink r:id="rId2046" ref="I705"/>
    <hyperlink r:id="rId2047" ref="N705"/>
    <hyperlink r:id="rId2048" ref="I706"/>
    <hyperlink r:id="rId2049" ref="N706"/>
    <hyperlink r:id="rId2050" ref="I707"/>
    <hyperlink r:id="rId2051" ref="N707"/>
    <hyperlink r:id="rId2052" ref="I708"/>
    <hyperlink r:id="rId2053" ref="N708"/>
    <hyperlink r:id="rId2054" ref="I709"/>
    <hyperlink r:id="rId2055" ref="N709"/>
    <hyperlink r:id="rId2056" ref="I710"/>
    <hyperlink r:id="rId2057" ref="N710"/>
    <hyperlink r:id="rId2058" ref="I711"/>
    <hyperlink r:id="rId2059" ref="N711"/>
    <hyperlink r:id="rId2060" ref="I712"/>
    <hyperlink r:id="rId2061" ref="N712"/>
    <hyperlink r:id="rId2062" ref="I713"/>
    <hyperlink r:id="rId2063" ref="N713"/>
    <hyperlink r:id="rId2064" ref="I714"/>
    <hyperlink r:id="rId2065" ref="N714"/>
    <hyperlink r:id="rId2066" ref="I715"/>
    <hyperlink r:id="rId2067" ref="N715"/>
    <hyperlink r:id="rId2068" ref="I716"/>
    <hyperlink r:id="rId2069" ref="N716"/>
    <hyperlink r:id="rId2070" ref="I717"/>
    <hyperlink r:id="rId2071" ref="N717"/>
    <hyperlink r:id="rId2072" ref="I718"/>
    <hyperlink r:id="rId2073" ref="N718"/>
    <hyperlink r:id="rId2074" ref="I719"/>
    <hyperlink r:id="rId2075" ref="N719"/>
    <hyperlink r:id="rId2076" ref="I720"/>
    <hyperlink r:id="rId2077" ref="N720"/>
    <hyperlink r:id="rId2078" ref="I721"/>
    <hyperlink r:id="rId2079" ref="N721"/>
    <hyperlink r:id="rId2080" ref="I722"/>
    <hyperlink r:id="rId2081" ref="N722"/>
    <hyperlink r:id="rId2082" ref="I723"/>
    <hyperlink r:id="rId2083" ref="N723"/>
    <hyperlink r:id="rId2084" ref="I724"/>
    <hyperlink r:id="rId2085" ref="N724"/>
    <hyperlink r:id="rId2086" ref="I725"/>
    <hyperlink r:id="rId2087" ref="N725"/>
    <hyperlink r:id="rId2088" ref="I726"/>
    <hyperlink r:id="rId2089" ref="N726"/>
    <hyperlink r:id="rId2090" ref="N727"/>
    <hyperlink r:id="rId2091" ref="I728"/>
    <hyperlink r:id="rId2092" ref="N728"/>
    <hyperlink r:id="rId2093" ref="R728"/>
    <hyperlink r:id="rId2094" ref="I729"/>
    <hyperlink r:id="rId2095" ref="N729"/>
    <hyperlink r:id="rId2096" ref="R729"/>
    <hyperlink r:id="rId2097" ref="I730"/>
    <hyperlink r:id="rId2098" ref="N730"/>
    <hyperlink r:id="rId2099" ref="R730"/>
    <hyperlink r:id="rId2100" ref="I731"/>
    <hyperlink r:id="rId2101" ref="N731"/>
    <hyperlink r:id="rId2102" ref="R731"/>
    <hyperlink r:id="rId2103" ref="I732"/>
    <hyperlink r:id="rId2104" ref="N732"/>
    <hyperlink r:id="rId2105" ref="R732"/>
    <hyperlink r:id="rId2106" ref="N733"/>
    <hyperlink r:id="rId2107" ref="R733"/>
    <hyperlink r:id="rId2108" ref="I734"/>
    <hyperlink r:id="rId2109" ref="N734"/>
    <hyperlink r:id="rId2110" ref="R734"/>
    <hyperlink r:id="rId2111" ref="I735"/>
    <hyperlink r:id="rId2112" ref="N735"/>
    <hyperlink r:id="rId2113" ref="R735"/>
    <hyperlink r:id="rId2114" ref="I736"/>
    <hyperlink r:id="rId2115" ref="N736"/>
    <hyperlink r:id="rId2116" ref="R736"/>
    <hyperlink r:id="rId2117" ref="I737"/>
    <hyperlink r:id="rId2118" ref="N737"/>
    <hyperlink r:id="rId2119" ref="R737"/>
    <hyperlink r:id="rId2120" ref="I738"/>
    <hyperlink r:id="rId2121" ref="N738"/>
    <hyperlink r:id="rId2122" ref="R738"/>
    <hyperlink r:id="rId2123" ref="I739"/>
    <hyperlink r:id="rId2124" ref="N739"/>
    <hyperlink r:id="rId2125" ref="R739"/>
    <hyperlink r:id="rId2126" ref="I740"/>
    <hyperlink r:id="rId2127" ref="N740"/>
    <hyperlink r:id="rId2128" ref="R740"/>
    <hyperlink r:id="rId2129" ref="I741"/>
    <hyperlink r:id="rId2130" ref="N741"/>
    <hyperlink r:id="rId2131" ref="R741"/>
    <hyperlink r:id="rId2132" ref="I742"/>
    <hyperlink r:id="rId2133" ref="N742"/>
    <hyperlink r:id="rId2134" ref="R742"/>
    <hyperlink r:id="rId2135" ref="I743"/>
    <hyperlink r:id="rId2136" ref="N743"/>
    <hyperlink r:id="rId2137" ref="R743"/>
    <hyperlink r:id="rId2138" ref="I744"/>
    <hyperlink r:id="rId2139" ref="N744"/>
    <hyperlink r:id="rId2140" ref="R744"/>
    <hyperlink r:id="rId2141" ref="I745"/>
    <hyperlink r:id="rId2142" ref="N745"/>
    <hyperlink r:id="rId2143" ref="R745"/>
    <hyperlink r:id="rId2144" ref="I746"/>
    <hyperlink r:id="rId2145" ref="N746"/>
    <hyperlink r:id="rId2146" ref="R746"/>
    <hyperlink r:id="rId2147" ref="I747"/>
    <hyperlink r:id="rId2148" ref="N747"/>
    <hyperlink r:id="rId2149" ref="R747"/>
    <hyperlink r:id="rId2150" ref="I748"/>
    <hyperlink r:id="rId2151" ref="N748"/>
    <hyperlink r:id="rId2152" ref="R748"/>
    <hyperlink r:id="rId2153" ref="I749"/>
    <hyperlink r:id="rId2154" ref="N749"/>
    <hyperlink r:id="rId2155" ref="R749"/>
    <hyperlink r:id="rId2156" ref="I750"/>
    <hyperlink r:id="rId2157" ref="N750"/>
    <hyperlink r:id="rId2158" ref="R750"/>
    <hyperlink r:id="rId2159" ref="I751"/>
    <hyperlink r:id="rId2160" ref="N751"/>
    <hyperlink r:id="rId2161" ref="R751"/>
    <hyperlink r:id="rId2162" ref="I752"/>
    <hyperlink r:id="rId2163" ref="N752"/>
    <hyperlink r:id="rId2164" ref="R752"/>
    <hyperlink r:id="rId2165" ref="I753"/>
    <hyperlink r:id="rId2166" ref="N753"/>
    <hyperlink r:id="rId2167" ref="R753"/>
    <hyperlink r:id="rId2168" ref="I754"/>
    <hyperlink r:id="rId2169" ref="N754"/>
    <hyperlink r:id="rId2170" ref="R754"/>
    <hyperlink r:id="rId2171" ref="I755"/>
    <hyperlink r:id="rId2172" ref="N755"/>
    <hyperlink r:id="rId2173" ref="I756"/>
    <hyperlink r:id="rId2174" ref="N756"/>
    <hyperlink r:id="rId2175" ref="I757"/>
    <hyperlink r:id="rId2176" ref="N757"/>
    <hyperlink r:id="rId2177" ref="I758"/>
    <hyperlink r:id="rId2178" ref="N758"/>
    <hyperlink r:id="rId2179" ref="I759"/>
    <hyperlink r:id="rId2180" ref="N759"/>
    <hyperlink r:id="rId2181" ref="I760"/>
    <hyperlink r:id="rId2182" ref="N760"/>
    <hyperlink r:id="rId2183" ref="I761"/>
    <hyperlink r:id="rId2184" ref="N761"/>
    <hyperlink r:id="rId2185" ref="I762"/>
    <hyperlink r:id="rId2186" ref="N762"/>
    <hyperlink r:id="rId2187" ref="I763"/>
    <hyperlink r:id="rId2188" ref="N763"/>
    <hyperlink r:id="rId2189" ref="I764"/>
    <hyperlink r:id="rId2190" ref="N764"/>
    <hyperlink r:id="rId2191" ref="I765"/>
    <hyperlink r:id="rId2192" ref="N765"/>
    <hyperlink r:id="rId2193" ref="I766"/>
    <hyperlink r:id="rId2194" ref="N766"/>
    <hyperlink r:id="rId2195" ref="I767"/>
    <hyperlink r:id="rId2196" ref="N767"/>
    <hyperlink r:id="rId2197" ref="I768"/>
    <hyperlink r:id="rId2198" ref="N768"/>
    <hyperlink r:id="rId2199" ref="I769"/>
    <hyperlink r:id="rId2200" ref="N769"/>
    <hyperlink r:id="rId2201" ref="I770"/>
    <hyperlink r:id="rId2202" ref="N770"/>
    <hyperlink r:id="rId2203" ref="I771"/>
    <hyperlink r:id="rId2204" ref="N771"/>
    <hyperlink r:id="rId2205" ref="I772"/>
    <hyperlink r:id="rId2206" ref="N772"/>
    <hyperlink r:id="rId2207" ref="I773"/>
    <hyperlink r:id="rId2208" ref="N773"/>
    <hyperlink r:id="rId2209" ref="I774"/>
    <hyperlink r:id="rId2210" ref="N774"/>
    <hyperlink r:id="rId2211" ref="N775"/>
    <hyperlink r:id="rId2212" ref="N776"/>
    <hyperlink r:id="rId2213" ref="I777"/>
    <hyperlink r:id="rId2214" ref="N777"/>
    <hyperlink r:id="rId2215" ref="I778"/>
    <hyperlink r:id="rId2216" ref="N778"/>
    <hyperlink r:id="rId2217" ref="I779"/>
    <hyperlink r:id="rId2218" ref="N779"/>
    <hyperlink r:id="rId2219" ref="I780"/>
    <hyperlink r:id="rId2220" ref="N780"/>
    <hyperlink r:id="rId2221" ref="I781"/>
    <hyperlink r:id="rId2222" ref="N781"/>
    <hyperlink r:id="rId2223" ref="I782"/>
    <hyperlink r:id="rId2224" ref="N782"/>
    <hyperlink r:id="rId2225" ref="I783"/>
    <hyperlink r:id="rId2226" ref="N783"/>
    <hyperlink r:id="rId2227" ref="I784"/>
    <hyperlink r:id="rId2228" ref="N784"/>
    <hyperlink r:id="rId2229" ref="I785"/>
    <hyperlink r:id="rId2230" ref="N785"/>
    <hyperlink r:id="rId2231" ref="I786"/>
    <hyperlink r:id="rId2232" ref="N786"/>
    <hyperlink r:id="rId2233" ref="I787"/>
    <hyperlink r:id="rId2234" ref="N787"/>
    <hyperlink r:id="rId2235" ref="I788"/>
    <hyperlink r:id="rId2236" ref="N788"/>
    <hyperlink r:id="rId2237" ref="I789"/>
    <hyperlink r:id="rId2238" ref="N789"/>
    <hyperlink r:id="rId2239" ref="I790"/>
    <hyperlink r:id="rId2240" ref="N790"/>
    <hyperlink r:id="rId2241" ref="I791"/>
    <hyperlink r:id="rId2242" ref="N791"/>
    <hyperlink r:id="rId2243" ref="I792"/>
    <hyperlink r:id="rId2244" ref="N792"/>
    <hyperlink r:id="rId2245" ref="I793"/>
    <hyperlink r:id="rId2246" ref="N793"/>
    <hyperlink r:id="rId2247" ref="I794"/>
    <hyperlink r:id="rId2248" ref="N794"/>
    <hyperlink r:id="rId2249" ref="N795"/>
    <hyperlink r:id="rId2250" ref="N796"/>
    <hyperlink r:id="rId2251" ref="N797"/>
    <hyperlink r:id="rId2252" ref="N798"/>
    <hyperlink r:id="rId2253" ref="N799"/>
    <hyperlink r:id="rId2254" ref="I800"/>
    <hyperlink r:id="rId2255" ref="N800"/>
    <hyperlink r:id="rId2256" ref="I801"/>
    <hyperlink r:id="rId2257" ref="N801"/>
    <hyperlink r:id="rId2258" ref="I802"/>
    <hyperlink r:id="rId2259" ref="N802"/>
    <hyperlink r:id="rId2260" ref="I803"/>
    <hyperlink r:id="rId2261" ref="N803"/>
    <hyperlink r:id="rId2262" ref="I804"/>
    <hyperlink r:id="rId2263" ref="N804"/>
    <hyperlink r:id="rId2264" ref="I805"/>
    <hyperlink r:id="rId2265" ref="N805"/>
    <hyperlink r:id="rId2266" ref="I806"/>
    <hyperlink r:id="rId2267" ref="N806"/>
    <hyperlink r:id="rId2268" ref="I807"/>
    <hyperlink r:id="rId2269" ref="N807"/>
    <hyperlink r:id="rId2270" ref="I808"/>
    <hyperlink r:id="rId2271" ref="N808"/>
    <hyperlink r:id="rId2272" ref="I809"/>
    <hyperlink r:id="rId2273" ref="N809"/>
    <hyperlink r:id="rId2274" ref="I810"/>
    <hyperlink r:id="rId2275" ref="N810"/>
    <hyperlink r:id="rId2276" ref="I811"/>
    <hyperlink r:id="rId2277" ref="N811"/>
    <hyperlink r:id="rId2278" ref="I812"/>
    <hyperlink r:id="rId2279" ref="N812"/>
    <hyperlink r:id="rId2280" ref="I813"/>
    <hyperlink r:id="rId2281" ref="N813"/>
    <hyperlink r:id="rId2282" ref="I814"/>
    <hyperlink r:id="rId2283" ref="N814"/>
    <hyperlink r:id="rId2284" ref="I815"/>
    <hyperlink r:id="rId2285" ref="N815"/>
    <hyperlink r:id="rId2286" ref="I816"/>
    <hyperlink r:id="rId2287" ref="N816"/>
    <hyperlink r:id="rId2288" ref="I817"/>
    <hyperlink r:id="rId2289" ref="N817"/>
    <hyperlink r:id="rId2290" ref="I818"/>
    <hyperlink r:id="rId2291" ref="N818"/>
    <hyperlink r:id="rId2292" ref="I819"/>
    <hyperlink r:id="rId2293" ref="N819"/>
    <hyperlink r:id="rId2294" ref="I820"/>
    <hyperlink r:id="rId2295" ref="N820"/>
    <hyperlink r:id="rId2296" ref="I821"/>
    <hyperlink r:id="rId2297" ref="N821"/>
    <hyperlink r:id="rId2298" ref="I822"/>
    <hyperlink r:id="rId2299" ref="N822"/>
    <hyperlink r:id="rId2300" ref="I823"/>
    <hyperlink r:id="rId2301" ref="N823"/>
    <hyperlink r:id="rId2302" ref="I824"/>
    <hyperlink r:id="rId2303" ref="N824"/>
    <hyperlink r:id="rId2304" ref="I825"/>
    <hyperlink r:id="rId2305" ref="N825"/>
    <hyperlink r:id="rId2306" ref="I826"/>
    <hyperlink r:id="rId2307" ref="N826"/>
    <hyperlink r:id="rId2308" ref="I827"/>
    <hyperlink r:id="rId2309" ref="N827"/>
    <hyperlink r:id="rId2310" ref="I828"/>
    <hyperlink r:id="rId2311" ref="N828"/>
    <hyperlink r:id="rId2312" ref="I829"/>
    <hyperlink r:id="rId2313" ref="N829"/>
    <hyperlink r:id="rId2314" ref="I830"/>
    <hyperlink r:id="rId2315" ref="N830"/>
    <hyperlink r:id="rId2316" ref="N831"/>
    <hyperlink r:id="rId2317" ref="I832"/>
    <hyperlink r:id="rId2318" ref="N832"/>
    <hyperlink r:id="rId2319" ref="I833"/>
    <hyperlink r:id="rId2320" ref="N833"/>
    <hyperlink r:id="rId2321" ref="I834"/>
    <hyperlink r:id="rId2322" ref="N834"/>
    <hyperlink r:id="rId2323" ref="I835"/>
    <hyperlink r:id="rId2324" ref="N835"/>
    <hyperlink r:id="rId2325" ref="I836"/>
    <hyperlink r:id="rId2326" ref="N836"/>
    <hyperlink r:id="rId2327" ref="I837"/>
    <hyperlink r:id="rId2328" ref="N837"/>
    <hyperlink r:id="rId2329" ref="I838"/>
    <hyperlink r:id="rId2330" ref="N838"/>
    <hyperlink r:id="rId2331" ref="I839"/>
    <hyperlink r:id="rId2332" ref="N839"/>
    <hyperlink r:id="rId2333" ref="I840"/>
    <hyperlink r:id="rId2334" ref="N840"/>
    <hyperlink r:id="rId2335" ref="I841"/>
    <hyperlink r:id="rId2336" ref="N841"/>
    <hyperlink r:id="rId2337" ref="I842"/>
    <hyperlink r:id="rId2338" ref="N842"/>
    <hyperlink r:id="rId2339" ref="I843"/>
    <hyperlink r:id="rId2340" ref="N843"/>
    <hyperlink r:id="rId2341" ref="I844"/>
    <hyperlink r:id="rId2342" ref="N844"/>
    <hyperlink r:id="rId2343" ref="I845"/>
    <hyperlink r:id="rId2344" ref="N845"/>
    <hyperlink r:id="rId2345" ref="I846"/>
    <hyperlink r:id="rId2346" ref="N846"/>
    <hyperlink r:id="rId2347" ref="I847"/>
    <hyperlink r:id="rId2348" ref="N847"/>
    <hyperlink r:id="rId2349" ref="I848"/>
    <hyperlink r:id="rId2350" ref="N848"/>
    <hyperlink r:id="rId2351" ref="I849"/>
    <hyperlink r:id="rId2352" ref="N849"/>
    <hyperlink r:id="rId2353" ref="I850"/>
    <hyperlink r:id="rId2354" ref="N850"/>
    <hyperlink r:id="rId2355" ref="I851"/>
    <hyperlink r:id="rId2356" ref="N851"/>
    <hyperlink r:id="rId2357" ref="I852"/>
    <hyperlink r:id="rId2358" ref="N852"/>
    <hyperlink r:id="rId2359" ref="I853"/>
    <hyperlink r:id="rId2360" ref="N853"/>
    <hyperlink r:id="rId2361" ref="I854"/>
    <hyperlink r:id="rId2362" ref="N854"/>
    <hyperlink r:id="rId2363" ref="I855"/>
    <hyperlink r:id="rId2364" ref="N855"/>
    <hyperlink r:id="rId2365" ref="I856"/>
    <hyperlink r:id="rId2366" ref="N856"/>
    <hyperlink r:id="rId2367" ref="I857"/>
    <hyperlink r:id="rId2368" ref="N857"/>
    <hyperlink r:id="rId2369" ref="I858"/>
    <hyperlink r:id="rId2370" ref="N858"/>
    <hyperlink r:id="rId2371" ref="I859"/>
    <hyperlink r:id="rId2372" ref="N859"/>
    <hyperlink r:id="rId2373" ref="I860"/>
    <hyperlink r:id="rId2374" ref="N860"/>
    <hyperlink r:id="rId2375" ref="I861"/>
    <hyperlink r:id="rId2376" ref="N861"/>
    <hyperlink r:id="rId2377" ref="I862"/>
    <hyperlink r:id="rId2378" ref="N862"/>
    <hyperlink r:id="rId2379" ref="I863"/>
    <hyperlink r:id="rId2380" ref="N863"/>
    <hyperlink r:id="rId2381" ref="N864"/>
    <hyperlink r:id="rId2382" ref="N865"/>
    <hyperlink r:id="rId2383" ref="N866"/>
    <hyperlink r:id="rId2384" ref="N867"/>
    <hyperlink r:id="rId2385" ref="N868"/>
    <hyperlink r:id="rId2386" ref="I869"/>
    <hyperlink r:id="rId2387" ref="N869"/>
    <hyperlink r:id="rId2388" ref="I870"/>
    <hyperlink r:id="rId2389" ref="N870"/>
    <hyperlink r:id="rId2390" ref="I871"/>
    <hyperlink r:id="rId2391" ref="N871"/>
    <hyperlink r:id="rId2392" ref="I872"/>
    <hyperlink r:id="rId2393" ref="N872"/>
    <hyperlink r:id="rId2394" ref="I873"/>
    <hyperlink r:id="rId2395" ref="N873"/>
    <hyperlink r:id="rId2396" ref="N874"/>
    <hyperlink r:id="rId2397" ref="N875"/>
    <hyperlink r:id="rId2398" ref="N876"/>
    <hyperlink r:id="rId2399" ref="N877"/>
    <hyperlink r:id="rId2400" ref="N878"/>
    <hyperlink r:id="rId2401" ref="N879"/>
    <hyperlink r:id="rId2402" ref="N880"/>
    <hyperlink r:id="rId2403" ref="I881"/>
    <hyperlink r:id="rId2404" ref="N881"/>
    <hyperlink r:id="rId2405" ref="I882"/>
    <hyperlink r:id="rId2406" ref="N882"/>
    <hyperlink r:id="rId2407" ref="I883"/>
    <hyperlink r:id="rId2408" ref="N883"/>
    <hyperlink r:id="rId2409" ref="I884"/>
    <hyperlink r:id="rId2410" ref="N884"/>
    <hyperlink r:id="rId2411" ref="I885"/>
    <hyperlink r:id="rId2412" ref="N885"/>
    <hyperlink r:id="rId2413" ref="I886"/>
    <hyperlink r:id="rId2414" ref="N886"/>
    <hyperlink r:id="rId2415" ref="I887"/>
    <hyperlink r:id="rId2416" ref="N887"/>
    <hyperlink r:id="rId2417" ref="I888"/>
    <hyperlink r:id="rId2418" ref="N888"/>
    <hyperlink r:id="rId2419" ref="I889"/>
    <hyperlink r:id="rId2420" ref="N889"/>
    <hyperlink r:id="rId2421" ref="I890"/>
    <hyperlink r:id="rId2422" ref="N890"/>
    <hyperlink r:id="rId2423" ref="I891"/>
    <hyperlink r:id="rId2424" ref="N891"/>
    <hyperlink r:id="rId2425" ref="I892"/>
    <hyperlink r:id="rId2426" ref="N892"/>
    <hyperlink r:id="rId2427" ref="I893"/>
    <hyperlink r:id="rId2428" ref="N893"/>
    <hyperlink r:id="rId2429" ref="I894"/>
    <hyperlink r:id="rId2430" ref="N894"/>
    <hyperlink r:id="rId2431" ref="I895"/>
    <hyperlink r:id="rId2432" ref="N895"/>
    <hyperlink r:id="rId2433" ref="I896"/>
    <hyperlink r:id="rId2434" ref="N896"/>
    <hyperlink r:id="rId2435" ref="I897"/>
    <hyperlink r:id="rId2436" ref="N897"/>
    <hyperlink r:id="rId2437" ref="I898"/>
    <hyperlink r:id="rId2438" ref="N898"/>
    <hyperlink r:id="rId2439" ref="I899"/>
    <hyperlink r:id="rId2440" ref="N899"/>
    <hyperlink r:id="rId2441" ref="I900"/>
    <hyperlink r:id="rId2442" ref="N900"/>
    <hyperlink r:id="rId2443" ref="I901"/>
    <hyperlink r:id="rId2444" ref="N901"/>
    <hyperlink r:id="rId2445" ref="I902"/>
    <hyperlink r:id="rId2446" ref="N902"/>
    <hyperlink r:id="rId2447" ref="I903"/>
    <hyperlink r:id="rId2448" ref="N903"/>
    <hyperlink r:id="rId2449" ref="I904"/>
    <hyperlink r:id="rId2450" ref="N904"/>
    <hyperlink r:id="rId2451" ref="I905"/>
    <hyperlink r:id="rId2452" ref="N905"/>
    <hyperlink r:id="rId2453" ref="I906"/>
    <hyperlink r:id="rId2454" ref="N906"/>
    <hyperlink r:id="rId2455" ref="I907"/>
    <hyperlink r:id="rId2456" ref="N907"/>
    <hyperlink r:id="rId2457" ref="I908"/>
    <hyperlink r:id="rId2458" ref="N908"/>
    <hyperlink r:id="rId2459" ref="I909"/>
    <hyperlink r:id="rId2460" ref="N909"/>
    <hyperlink r:id="rId2461" ref="I910"/>
    <hyperlink r:id="rId2462" ref="N910"/>
    <hyperlink r:id="rId2463" ref="N911"/>
    <hyperlink r:id="rId2464" ref="N912"/>
    <hyperlink r:id="rId2465" ref="I913"/>
    <hyperlink r:id="rId2466" ref="N913"/>
    <hyperlink r:id="rId2467" ref="I914"/>
    <hyperlink r:id="rId2468" ref="N914"/>
    <hyperlink r:id="rId2469" ref="I915"/>
    <hyperlink r:id="rId2470" ref="N915"/>
    <hyperlink r:id="rId2471" ref="I916"/>
    <hyperlink r:id="rId2472" ref="N916"/>
    <hyperlink r:id="rId2473" ref="I917"/>
    <hyperlink r:id="rId2474" ref="N917"/>
    <hyperlink r:id="rId2475" ref="I918"/>
    <hyperlink r:id="rId2476" ref="N918"/>
    <hyperlink r:id="rId2477" ref="I919"/>
    <hyperlink r:id="rId2478" ref="N919"/>
    <hyperlink r:id="rId2479" ref="I920"/>
    <hyperlink r:id="rId2480" ref="N920"/>
    <hyperlink r:id="rId2481" ref="I921"/>
    <hyperlink r:id="rId2482" ref="N921"/>
    <hyperlink r:id="rId2483" ref="I922"/>
    <hyperlink r:id="rId2484" ref="N922"/>
    <hyperlink r:id="rId2485" ref="I923"/>
    <hyperlink r:id="rId2486" ref="N923"/>
    <hyperlink r:id="rId2487" ref="I924"/>
    <hyperlink r:id="rId2488" ref="N924"/>
    <hyperlink r:id="rId2489" ref="I925"/>
    <hyperlink r:id="rId2490" ref="N925"/>
    <hyperlink r:id="rId2491" ref="I926"/>
    <hyperlink r:id="rId2492" ref="N926"/>
    <hyperlink r:id="rId2493" ref="I927"/>
    <hyperlink r:id="rId2494" ref="N927"/>
    <hyperlink r:id="rId2495" ref="I928"/>
    <hyperlink r:id="rId2496" ref="N928"/>
    <hyperlink r:id="rId2497" ref="N929"/>
    <hyperlink r:id="rId2498" ref="N930"/>
    <hyperlink r:id="rId2499" ref="N931"/>
    <hyperlink r:id="rId2500" ref="N932"/>
    <hyperlink r:id="rId2501" ref="N933"/>
    <hyperlink r:id="rId2502" ref="N934"/>
    <hyperlink r:id="rId2503" ref="N935"/>
    <hyperlink r:id="rId2504" ref="N936"/>
    <hyperlink r:id="rId2505" ref="N937"/>
    <hyperlink r:id="rId2506" ref="N938"/>
    <hyperlink r:id="rId2507" ref="N939"/>
    <hyperlink r:id="rId2508" ref="I940"/>
    <hyperlink r:id="rId2509" ref="N940"/>
    <hyperlink r:id="rId2510" ref="I941"/>
    <hyperlink r:id="rId2511" ref="N941"/>
    <hyperlink r:id="rId2512" ref="I942"/>
    <hyperlink r:id="rId2513" ref="N942"/>
    <hyperlink r:id="rId2514" ref="I943"/>
    <hyperlink r:id="rId2515" ref="N943"/>
    <hyperlink r:id="rId2516" ref="I944"/>
    <hyperlink r:id="rId2517" ref="N944"/>
    <hyperlink r:id="rId2518" ref="N945"/>
    <hyperlink r:id="rId2519" ref="I946"/>
    <hyperlink r:id="rId2520" ref="N946"/>
    <hyperlink r:id="rId2521" ref="I947"/>
    <hyperlink r:id="rId2522" ref="N947"/>
    <hyperlink r:id="rId2523" ref="I948"/>
    <hyperlink r:id="rId2524" ref="N948"/>
    <hyperlink r:id="rId2525" ref="I949"/>
    <hyperlink r:id="rId2526" ref="N949"/>
    <hyperlink r:id="rId2527" ref="I950"/>
    <hyperlink r:id="rId2528" ref="N950"/>
    <hyperlink r:id="rId2529" ref="I951"/>
    <hyperlink r:id="rId2530" ref="N951"/>
    <hyperlink r:id="rId2531" ref="I952"/>
    <hyperlink r:id="rId2532" ref="N952"/>
    <hyperlink r:id="rId2533" ref="I953"/>
    <hyperlink r:id="rId2534" ref="N953"/>
    <hyperlink r:id="rId2535" ref="I954"/>
    <hyperlink r:id="rId2536" ref="N954"/>
    <hyperlink r:id="rId2537" ref="I955"/>
    <hyperlink r:id="rId2538" ref="N955"/>
    <hyperlink r:id="rId2539" ref="I956"/>
    <hyperlink r:id="rId2540" ref="N956"/>
    <hyperlink r:id="rId2541" ref="I957"/>
    <hyperlink r:id="rId2542" ref="N957"/>
    <hyperlink r:id="rId2543" ref="I958"/>
    <hyperlink r:id="rId2544" ref="N958"/>
    <hyperlink r:id="rId2545" ref="I959"/>
    <hyperlink r:id="rId2546" ref="N959"/>
    <hyperlink r:id="rId2547" ref="I960"/>
    <hyperlink r:id="rId2548" ref="N960"/>
    <hyperlink r:id="rId2549" ref="I961"/>
    <hyperlink r:id="rId2550" ref="N961"/>
    <hyperlink r:id="rId2551" ref="I962"/>
    <hyperlink r:id="rId2552" ref="N962"/>
    <hyperlink r:id="rId2553" ref="I963"/>
    <hyperlink r:id="rId2554" ref="N963"/>
    <hyperlink r:id="rId2555" ref="I964"/>
    <hyperlink r:id="rId2556" ref="N964"/>
    <hyperlink r:id="rId2557" ref="I965"/>
    <hyperlink r:id="rId2558" ref="N965"/>
    <hyperlink r:id="rId2559" ref="I966"/>
    <hyperlink r:id="rId2560" ref="N966"/>
    <hyperlink r:id="rId2561" ref="I967"/>
    <hyperlink r:id="rId2562" ref="N967"/>
    <hyperlink r:id="rId2563" ref="I968"/>
    <hyperlink r:id="rId2564" ref="N968"/>
    <hyperlink r:id="rId2565" ref="I969"/>
    <hyperlink r:id="rId2566" ref="N969"/>
    <hyperlink r:id="rId2567" ref="I970"/>
    <hyperlink r:id="rId2568" ref="N970"/>
    <hyperlink r:id="rId2569" ref="I971"/>
    <hyperlink r:id="rId2570" ref="N971"/>
    <hyperlink r:id="rId2571" ref="I972"/>
    <hyperlink r:id="rId2572" ref="N972"/>
    <hyperlink r:id="rId2573" ref="I973"/>
    <hyperlink r:id="rId2574" ref="N973"/>
    <hyperlink r:id="rId2575" ref="I974"/>
    <hyperlink r:id="rId2576" ref="N974"/>
    <hyperlink r:id="rId2577" ref="I975"/>
    <hyperlink r:id="rId2578" ref="N975"/>
    <hyperlink r:id="rId2579" ref="I976"/>
    <hyperlink r:id="rId2580" ref="N976"/>
    <hyperlink r:id="rId2581" ref="I977"/>
    <hyperlink r:id="rId2582" ref="N977"/>
    <hyperlink r:id="rId2583" ref="I978"/>
    <hyperlink r:id="rId2584" ref="N978"/>
    <hyperlink r:id="rId2585" ref="I979"/>
    <hyperlink r:id="rId2586" ref="N979"/>
    <hyperlink r:id="rId2587" ref="I980"/>
    <hyperlink r:id="rId2588" ref="N980"/>
    <hyperlink r:id="rId2589" ref="I981"/>
    <hyperlink r:id="rId2590" ref="N981"/>
    <hyperlink r:id="rId2591" ref="I982"/>
    <hyperlink r:id="rId2592" ref="N982"/>
    <hyperlink r:id="rId2593" ref="I983"/>
    <hyperlink r:id="rId2594" ref="N983"/>
    <hyperlink r:id="rId2595" ref="I984"/>
    <hyperlink r:id="rId2596" ref="N984"/>
    <hyperlink r:id="rId2597" ref="N985"/>
    <hyperlink r:id="rId2598" ref="I986"/>
    <hyperlink r:id="rId2599" ref="N986"/>
    <hyperlink r:id="rId2600" ref="I987"/>
    <hyperlink r:id="rId2601" ref="N987"/>
    <hyperlink r:id="rId2602" ref="I988"/>
    <hyperlink r:id="rId2603" ref="N988"/>
    <hyperlink r:id="rId2604" ref="I989"/>
    <hyperlink r:id="rId2605" ref="N989"/>
    <hyperlink r:id="rId2606" ref="I990"/>
    <hyperlink r:id="rId2607" ref="N990"/>
    <hyperlink r:id="rId2608" ref="I991"/>
    <hyperlink r:id="rId2609" ref="N991"/>
    <hyperlink r:id="rId2610" ref="I992"/>
    <hyperlink r:id="rId2611" ref="N992"/>
    <hyperlink r:id="rId2612" ref="I993"/>
    <hyperlink r:id="rId2613" ref="N993"/>
    <hyperlink r:id="rId2614" ref="I994"/>
    <hyperlink r:id="rId2615" ref="N994"/>
    <hyperlink r:id="rId2616" ref="I995"/>
    <hyperlink r:id="rId2617" ref="N995"/>
    <hyperlink r:id="rId2618" ref="I996"/>
    <hyperlink r:id="rId2619" ref="N996"/>
    <hyperlink r:id="rId2620" ref="I997"/>
    <hyperlink r:id="rId2621" ref="N997"/>
    <hyperlink r:id="rId2622" ref="I998"/>
    <hyperlink r:id="rId2623" ref="N998"/>
    <hyperlink r:id="rId2624" ref="I999"/>
    <hyperlink r:id="rId2625" ref="N999"/>
    <hyperlink r:id="rId2626" ref="I1000"/>
    <hyperlink r:id="rId2627" ref="N1000"/>
    <hyperlink r:id="rId2628" ref="I1001"/>
    <hyperlink r:id="rId2629" ref="N1001"/>
    <hyperlink r:id="rId2630" ref="I1002"/>
    <hyperlink r:id="rId2631" ref="N1002"/>
    <hyperlink r:id="rId2632" ref="I1003"/>
    <hyperlink r:id="rId2633" ref="N1003"/>
    <hyperlink r:id="rId2634" ref="I1004"/>
    <hyperlink r:id="rId2635" ref="N1004"/>
    <hyperlink r:id="rId2636" ref="N1005"/>
    <hyperlink r:id="rId2637" ref="N1006"/>
    <hyperlink r:id="rId2638" ref="N1007"/>
    <hyperlink r:id="rId2639" ref="N1008"/>
    <hyperlink r:id="rId2640" ref="N1009"/>
    <hyperlink r:id="rId2641" ref="I1010"/>
    <hyperlink r:id="rId2642" ref="N1010"/>
    <hyperlink r:id="rId2643" ref="I1011"/>
    <hyperlink r:id="rId2644" ref="N1011"/>
    <hyperlink r:id="rId2645" ref="I1012"/>
    <hyperlink r:id="rId2646" ref="N1012"/>
    <hyperlink r:id="rId2647" ref="I1013"/>
    <hyperlink r:id="rId2648" ref="N1013"/>
    <hyperlink r:id="rId2649" ref="I1014"/>
    <hyperlink r:id="rId2650" ref="N1014"/>
    <hyperlink r:id="rId2651" ref="I1015"/>
    <hyperlink r:id="rId2652" ref="N1015"/>
    <hyperlink r:id="rId2653" ref="I1016"/>
    <hyperlink r:id="rId2654" ref="N1016"/>
    <hyperlink r:id="rId2655" ref="I1017"/>
    <hyperlink r:id="rId2656" ref="N1017"/>
    <hyperlink r:id="rId2657" ref="I1018"/>
    <hyperlink r:id="rId2658" ref="N1018"/>
    <hyperlink r:id="rId2659" ref="I1019"/>
    <hyperlink r:id="rId2660" ref="N1019"/>
    <hyperlink r:id="rId2661" ref="I1020"/>
    <hyperlink r:id="rId2662" ref="N1020"/>
    <hyperlink r:id="rId2663" ref="I1021"/>
    <hyperlink r:id="rId2664" ref="N1021"/>
    <hyperlink r:id="rId2665" ref="I1022"/>
    <hyperlink r:id="rId2666" ref="N1022"/>
    <hyperlink r:id="rId2667" ref="N1023"/>
    <hyperlink r:id="rId2668" ref="N1024"/>
    <hyperlink r:id="rId2669" ref="I1025"/>
    <hyperlink r:id="rId2670" ref="N1025"/>
    <hyperlink r:id="rId2671" ref="I1026"/>
    <hyperlink r:id="rId2672" ref="N1026"/>
    <hyperlink r:id="rId2673" ref="I1027"/>
    <hyperlink r:id="rId2674" ref="N1027"/>
    <hyperlink r:id="rId2675" ref="I1028"/>
    <hyperlink r:id="rId2676" ref="N1028"/>
    <hyperlink r:id="rId2677" ref="I1029"/>
    <hyperlink r:id="rId2678" ref="N1029"/>
    <hyperlink r:id="rId2679" ref="I1030"/>
    <hyperlink r:id="rId2680" ref="N1030"/>
    <hyperlink r:id="rId2681" ref="I1031"/>
    <hyperlink r:id="rId2682" ref="N1031"/>
    <hyperlink r:id="rId2683" ref="I1032"/>
    <hyperlink r:id="rId2684" ref="N1032"/>
    <hyperlink r:id="rId2685" ref="I1033"/>
    <hyperlink r:id="rId2686" ref="N1033"/>
    <hyperlink r:id="rId2687" ref="I1034"/>
    <hyperlink r:id="rId2688" ref="N1034"/>
    <hyperlink r:id="rId2689" ref="I1035"/>
    <hyperlink r:id="rId2690" ref="N1035"/>
    <hyperlink r:id="rId2691" ref="I1036"/>
    <hyperlink r:id="rId2692" ref="N1036"/>
    <hyperlink r:id="rId2693" ref="I1037"/>
    <hyperlink r:id="rId2694" ref="N1037"/>
    <hyperlink r:id="rId2695" ref="I1038"/>
    <hyperlink r:id="rId2696" ref="N1038"/>
    <hyperlink r:id="rId2697" ref="I1039"/>
    <hyperlink r:id="rId2698" ref="N1039"/>
    <hyperlink r:id="rId2699" ref="I1040"/>
    <hyperlink r:id="rId2700" ref="N1040"/>
    <hyperlink r:id="rId2701" ref="I1041"/>
    <hyperlink r:id="rId2702" ref="N1041"/>
    <hyperlink r:id="rId2703" ref="I1042"/>
    <hyperlink r:id="rId2704" ref="N1042"/>
    <hyperlink r:id="rId2705" ref="I1043"/>
    <hyperlink r:id="rId2706" ref="N1043"/>
    <hyperlink r:id="rId2707" ref="I1044"/>
    <hyperlink r:id="rId2708" ref="N1044"/>
    <hyperlink r:id="rId2709" ref="I1045"/>
    <hyperlink r:id="rId2710" ref="N1045"/>
    <hyperlink r:id="rId2711" ref="I1046"/>
    <hyperlink r:id="rId2712" ref="N1046"/>
    <hyperlink r:id="rId2713" ref="I1047"/>
    <hyperlink r:id="rId2714" ref="N1047"/>
    <hyperlink r:id="rId2715" ref="I1048"/>
    <hyperlink r:id="rId2716" ref="N1048"/>
    <hyperlink r:id="rId2717" ref="I1049"/>
    <hyperlink r:id="rId2718" ref="N1049"/>
    <hyperlink r:id="rId2719" ref="N1050"/>
    <hyperlink r:id="rId2720" ref="N1051"/>
    <hyperlink r:id="rId2721" ref="N1052"/>
    <hyperlink r:id="rId2722" ref="N1053"/>
    <hyperlink r:id="rId2723" ref="N1054"/>
    <hyperlink r:id="rId2724" ref="N1055"/>
    <hyperlink r:id="rId2725" ref="N1056"/>
    <hyperlink r:id="rId2726" ref="I1057"/>
    <hyperlink r:id="rId2727" ref="N1057"/>
    <hyperlink r:id="rId2728" ref="N1058"/>
    <hyperlink r:id="rId2729" ref="N1059"/>
    <hyperlink r:id="rId2730" ref="N1060"/>
    <hyperlink r:id="rId2731" ref="I1061"/>
    <hyperlink r:id="rId2732" ref="N1061"/>
    <hyperlink r:id="rId2733" ref="N1062"/>
    <hyperlink r:id="rId2734" ref="N1063"/>
    <hyperlink r:id="rId2735" ref="N1064"/>
    <hyperlink r:id="rId2736" ref="N1065"/>
    <hyperlink r:id="rId2737" ref="I1066"/>
    <hyperlink r:id="rId2738" ref="N1066"/>
    <hyperlink r:id="rId2739" ref="N1067"/>
    <hyperlink r:id="rId2740" ref="N1068"/>
    <hyperlink r:id="rId2741" ref="N1069"/>
    <hyperlink r:id="rId2742" ref="N1070"/>
    <hyperlink r:id="rId2743" ref="N1071"/>
    <hyperlink r:id="rId2744" ref="N1072"/>
    <hyperlink r:id="rId2745" ref="N1073"/>
    <hyperlink r:id="rId2746" ref="I1074"/>
    <hyperlink r:id="rId2747" ref="N1074"/>
    <hyperlink r:id="rId2748" ref="I1075"/>
    <hyperlink r:id="rId2749" ref="N1075"/>
    <hyperlink r:id="rId2750" ref="I1076"/>
    <hyperlink r:id="rId2751" ref="N1076"/>
    <hyperlink r:id="rId2752" ref="I1077"/>
    <hyperlink r:id="rId2753" ref="N1077"/>
    <hyperlink r:id="rId2754" ref="I1078"/>
    <hyperlink r:id="rId2755" ref="N1078"/>
    <hyperlink r:id="rId2756" ref="I1079"/>
    <hyperlink r:id="rId2757" ref="N1079"/>
    <hyperlink r:id="rId2758" ref="I1080"/>
    <hyperlink r:id="rId2759" ref="N1080"/>
    <hyperlink r:id="rId2760" ref="I1081"/>
    <hyperlink r:id="rId2761" ref="N1081"/>
    <hyperlink r:id="rId2762" ref="I1082"/>
    <hyperlink r:id="rId2763" ref="N1082"/>
    <hyperlink r:id="rId2764" ref="I1083"/>
    <hyperlink r:id="rId2765" ref="N1083"/>
    <hyperlink r:id="rId2766" ref="I1084"/>
    <hyperlink r:id="rId2767" ref="N1084"/>
    <hyperlink r:id="rId2768" ref="I1085"/>
    <hyperlink r:id="rId2769" ref="N1085"/>
    <hyperlink r:id="rId2770" ref="I1086"/>
    <hyperlink r:id="rId2771" ref="N1086"/>
    <hyperlink r:id="rId2772" ref="I1087"/>
    <hyperlink r:id="rId2773" ref="N1087"/>
    <hyperlink r:id="rId2774" ref="I1088"/>
    <hyperlink r:id="rId2775" ref="N1088"/>
    <hyperlink r:id="rId2776" ref="I1089"/>
    <hyperlink r:id="rId2777" ref="N1089"/>
    <hyperlink r:id="rId2778" ref="I1090"/>
    <hyperlink r:id="rId2779" ref="N1090"/>
    <hyperlink r:id="rId2780" ref="I1091"/>
    <hyperlink r:id="rId2781" ref="N1091"/>
    <hyperlink r:id="rId2782" ref="I1092"/>
    <hyperlink r:id="rId2783" ref="N1092"/>
    <hyperlink r:id="rId2784" ref="I1093"/>
    <hyperlink r:id="rId2785" ref="N1093"/>
    <hyperlink r:id="rId2786" ref="I1094"/>
    <hyperlink r:id="rId2787" ref="N1094"/>
    <hyperlink r:id="rId2788" ref="I1095"/>
    <hyperlink r:id="rId2789" ref="N1095"/>
    <hyperlink r:id="rId2790" ref="I1096"/>
    <hyperlink r:id="rId2791" ref="N1096"/>
    <hyperlink r:id="rId2792" ref="I1097"/>
    <hyperlink r:id="rId2793" ref="N1097"/>
    <hyperlink r:id="rId2794" ref="I1098"/>
    <hyperlink r:id="rId2795" ref="N1098"/>
    <hyperlink r:id="rId2796" ref="I1099"/>
    <hyperlink r:id="rId2797" ref="N1099"/>
    <hyperlink r:id="rId2798" ref="I1100"/>
    <hyperlink r:id="rId2799" ref="N1100"/>
    <hyperlink r:id="rId2800" ref="I1101"/>
    <hyperlink r:id="rId2801" ref="N1101"/>
    <hyperlink r:id="rId2802" ref="I1102"/>
    <hyperlink r:id="rId2803" ref="N1102"/>
    <hyperlink r:id="rId2804" ref="I1103"/>
    <hyperlink r:id="rId2805" ref="N1103"/>
    <hyperlink r:id="rId2806" ref="I1104"/>
    <hyperlink r:id="rId2807" ref="N1104"/>
    <hyperlink r:id="rId2808" ref="I1105"/>
    <hyperlink r:id="rId2809" ref="N1105"/>
    <hyperlink r:id="rId2810" ref="I1106"/>
    <hyperlink r:id="rId2811" ref="N1106"/>
    <hyperlink r:id="rId2812" ref="I1107"/>
    <hyperlink r:id="rId2813" ref="N1107"/>
    <hyperlink r:id="rId2814" ref="I1108"/>
    <hyperlink r:id="rId2815" ref="N1108"/>
    <hyperlink r:id="rId2816" ref="I1109"/>
    <hyperlink r:id="rId2817" ref="N1109"/>
    <hyperlink r:id="rId2818" ref="I1110"/>
    <hyperlink r:id="rId2819" ref="N1110"/>
    <hyperlink r:id="rId2820" ref="I1111"/>
    <hyperlink r:id="rId2821" ref="N1111"/>
    <hyperlink r:id="rId2822" ref="I1112"/>
    <hyperlink r:id="rId2823" ref="N1112"/>
    <hyperlink r:id="rId2824" ref="I1113"/>
    <hyperlink r:id="rId2825" ref="N1113"/>
    <hyperlink r:id="rId2826" ref="I1114"/>
    <hyperlink r:id="rId2827" ref="N1114"/>
    <hyperlink r:id="rId2828" ref="I1115"/>
    <hyperlink r:id="rId2829" ref="N1115"/>
    <hyperlink r:id="rId2830" ref="I1116"/>
    <hyperlink r:id="rId2831" ref="N1116"/>
    <hyperlink r:id="rId2832" ref="I1117"/>
    <hyperlink r:id="rId2833" ref="N1117"/>
    <hyperlink r:id="rId2834" ref="I1118"/>
    <hyperlink r:id="rId2835" ref="N1118"/>
    <hyperlink r:id="rId2836" ref="I1119"/>
    <hyperlink r:id="rId2837" ref="N1119"/>
    <hyperlink r:id="rId2838" ref="N1120"/>
    <hyperlink r:id="rId2839" ref="I1121"/>
    <hyperlink r:id="rId2840" ref="N1121"/>
    <hyperlink r:id="rId2841" ref="I1122"/>
    <hyperlink r:id="rId2842" ref="N1122"/>
    <hyperlink r:id="rId2843" ref="I1123"/>
    <hyperlink r:id="rId2844" ref="N1123"/>
    <hyperlink r:id="rId2845" ref="I1124"/>
    <hyperlink r:id="rId2846" ref="N1124"/>
    <hyperlink r:id="rId2847" ref="I1125"/>
    <hyperlink r:id="rId2848" ref="N1125"/>
    <hyperlink r:id="rId2849" ref="I1126"/>
    <hyperlink r:id="rId2850" ref="N1126"/>
    <hyperlink r:id="rId2851" ref="I1127"/>
    <hyperlink r:id="rId2852" ref="N1127"/>
    <hyperlink r:id="rId2853" ref="I1128"/>
    <hyperlink r:id="rId2854" ref="N1128"/>
    <hyperlink r:id="rId2855" ref="I1129"/>
    <hyperlink r:id="rId2856" ref="N1129"/>
    <hyperlink r:id="rId2857" ref="I1130"/>
    <hyperlink r:id="rId2858" ref="N1130"/>
    <hyperlink r:id="rId2859" ref="I1131"/>
    <hyperlink r:id="rId2860" ref="N1131"/>
    <hyperlink r:id="rId2861" ref="N1132"/>
    <hyperlink r:id="rId2862" ref="N1133"/>
    <hyperlink r:id="rId2863" ref="N1134"/>
    <hyperlink r:id="rId2864" ref="N1135"/>
    <hyperlink r:id="rId2865" ref="N1136"/>
    <hyperlink r:id="rId2866" ref="N1137"/>
    <hyperlink r:id="rId2867" ref="I1138"/>
    <hyperlink r:id="rId2868" ref="N1138"/>
    <hyperlink r:id="rId2869" ref="I1139"/>
    <hyperlink r:id="rId2870" ref="N1139"/>
    <hyperlink r:id="rId2871" ref="I1140"/>
    <hyperlink r:id="rId2872" ref="N1140"/>
    <hyperlink r:id="rId2873" ref="I1141"/>
    <hyperlink r:id="rId2874" ref="N1141"/>
    <hyperlink r:id="rId2875" ref="I1142"/>
    <hyperlink r:id="rId2876" ref="N1142"/>
    <hyperlink r:id="rId2877" ref="I1143"/>
    <hyperlink r:id="rId2878" ref="N1143"/>
    <hyperlink r:id="rId2879" ref="I1144"/>
    <hyperlink r:id="rId2880" ref="N1144"/>
    <hyperlink r:id="rId2881" ref="I1145"/>
    <hyperlink r:id="rId2882" ref="N1145"/>
    <hyperlink r:id="rId2883" ref="I1146"/>
    <hyperlink r:id="rId2884" ref="N1146"/>
    <hyperlink r:id="rId2885" ref="I1147"/>
    <hyperlink r:id="rId2886" ref="N1147"/>
    <hyperlink r:id="rId2887" ref="I1148"/>
    <hyperlink r:id="rId2888" ref="N1148"/>
    <hyperlink r:id="rId2889" ref="I1149"/>
    <hyperlink r:id="rId2890" ref="N1149"/>
    <hyperlink r:id="rId2891" ref="N1150"/>
    <hyperlink r:id="rId2892" ref="I1151"/>
    <hyperlink r:id="rId2893" ref="N1151"/>
    <hyperlink r:id="rId2894" ref="I1152"/>
    <hyperlink r:id="rId2895" ref="N1152"/>
    <hyperlink r:id="rId2896" ref="I1153"/>
    <hyperlink r:id="rId2897" ref="N1153"/>
    <hyperlink r:id="rId2898" ref="I1154"/>
    <hyperlink r:id="rId2899" ref="N1154"/>
    <hyperlink r:id="rId2900" ref="N1155"/>
    <hyperlink r:id="rId2901" ref="I1156"/>
    <hyperlink r:id="rId2902" ref="N1156"/>
    <hyperlink r:id="rId2903" ref="I1157"/>
    <hyperlink r:id="rId2904" ref="N1157"/>
    <hyperlink r:id="rId2905" ref="I1158"/>
    <hyperlink r:id="rId2906" ref="N1158"/>
    <hyperlink r:id="rId2907" ref="N1159"/>
    <hyperlink r:id="rId2908" ref="I1160"/>
    <hyperlink r:id="rId2909" ref="N1160"/>
    <hyperlink r:id="rId2910" ref="I1161"/>
    <hyperlink r:id="rId2911" ref="N1161"/>
    <hyperlink r:id="rId2912" ref="N1162"/>
    <hyperlink r:id="rId2913" ref="I1163"/>
    <hyperlink r:id="rId2914" ref="N1163"/>
    <hyperlink r:id="rId2915" ref="I1164"/>
    <hyperlink r:id="rId2916" ref="N1164"/>
    <hyperlink r:id="rId2917" ref="I1165"/>
    <hyperlink r:id="rId2918" ref="N1165"/>
    <hyperlink r:id="rId2919" ref="I1166"/>
    <hyperlink r:id="rId2920" ref="N1166"/>
    <hyperlink r:id="rId2921" ref="I1167"/>
    <hyperlink r:id="rId2922" ref="N1167"/>
    <hyperlink r:id="rId2923" ref="I1168"/>
    <hyperlink r:id="rId2924" ref="N1168"/>
    <hyperlink r:id="rId2925" ref="I1169"/>
    <hyperlink r:id="rId2926" ref="N1169"/>
    <hyperlink r:id="rId2927" ref="I1170"/>
    <hyperlink r:id="rId2928" ref="N1170"/>
    <hyperlink r:id="rId2929" ref="I1171"/>
    <hyperlink r:id="rId2930" ref="N1171"/>
    <hyperlink r:id="rId2931" ref="I1172"/>
    <hyperlink r:id="rId2932" ref="N1172"/>
    <hyperlink r:id="rId2933" ref="I1173"/>
    <hyperlink r:id="rId2934" ref="N1173"/>
    <hyperlink r:id="rId2935" ref="I1174"/>
    <hyperlink r:id="rId2936" ref="N1174"/>
    <hyperlink r:id="rId2937" ref="I1175"/>
    <hyperlink r:id="rId2938" ref="N1175"/>
    <hyperlink r:id="rId2939" ref="I1176"/>
    <hyperlink r:id="rId2940" ref="N1176"/>
    <hyperlink r:id="rId2941" ref="I1177"/>
    <hyperlink r:id="rId2942" ref="N1177"/>
    <hyperlink r:id="rId2943" ref="I1178"/>
    <hyperlink r:id="rId2944" ref="N1178"/>
    <hyperlink r:id="rId2945" ref="I1179"/>
    <hyperlink r:id="rId2946" ref="N1179"/>
    <hyperlink r:id="rId2947" ref="I1180"/>
    <hyperlink r:id="rId2948" ref="N1180"/>
    <hyperlink r:id="rId2949" ref="I1181"/>
    <hyperlink r:id="rId2950" ref="N1181"/>
    <hyperlink r:id="rId2951" ref="N1182"/>
    <hyperlink r:id="rId2952" ref="N1183"/>
    <hyperlink r:id="rId2953" ref="N1184"/>
    <hyperlink r:id="rId2954" ref="N1185"/>
    <hyperlink r:id="rId2955" ref="N1186"/>
    <hyperlink r:id="rId2956" ref="N1187"/>
    <hyperlink r:id="rId2957" ref="N1188"/>
    <hyperlink r:id="rId2958" ref="N1189"/>
    <hyperlink r:id="rId2959" ref="I1190"/>
    <hyperlink r:id="rId2960" ref="N1190"/>
    <hyperlink r:id="rId2961" ref="I1191"/>
    <hyperlink r:id="rId2962" ref="N1191"/>
    <hyperlink r:id="rId2963" ref="I1192"/>
    <hyperlink r:id="rId2964" ref="N1192"/>
    <hyperlink r:id="rId2965" ref="N1193"/>
    <hyperlink r:id="rId2966" ref="I1194"/>
    <hyperlink r:id="rId2967" ref="N1194"/>
    <hyperlink r:id="rId2968" ref="I1195"/>
    <hyperlink r:id="rId2969" ref="N1195"/>
    <hyperlink r:id="rId2970" ref="I1196"/>
    <hyperlink r:id="rId2971" ref="N1196"/>
    <hyperlink r:id="rId2972" ref="I1197"/>
    <hyperlink r:id="rId2973" ref="N1197"/>
    <hyperlink r:id="rId2974" ref="I1198"/>
    <hyperlink r:id="rId2975" ref="N1198"/>
    <hyperlink r:id="rId2976" ref="I1199"/>
    <hyperlink r:id="rId2977" ref="N1199"/>
    <hyperlink r:id="rId2978" ref="I1200"/>
    <hyperlink r:id="rId2979" ref="N1200"/>
    <hyperlink r:id="rId2980" ref="I1201"/>
    <hyperlink r:id="rId2981" ref="N1201"/>
    <hyperlink r:id="rId2982" ref="I1202"/>
    <hyperlink r:id="rId2983" ref="N1202"/>
    <hyperlink r:id="rId2984" ref="I1203"/>
    <hyperlink r:id="rId2985" ref="N1203"/>
    <hyperlink r:id="rId2986" ref="N1204"/>
    <hyperlink r:id="rId2987" ref="N1205"/>
    <hyperlink r:id="rId2988" ref="N1206"/>
    <hyperlink r:id="rId2989" ref="N1207"/>
    <hyperlink r:id="rId2990" ref="I1208"/>
    <hyperlink r:id="rId2991" ref="N1208"/>
    <hyperlink r:id="rId2992" ref="I1209"/>
    <hyperlink r:id="rId2993" ref="N1209"/>
    <hyperlink r:id="rId2994" ref="N1210"/>
    <hyperlink r:id="rId2995" ref="N1211"/>
    <hyperlink r:id="rId2996" ref="N1212"/>
    <hyperlink r:id="rId2997" ref="N1213"/>
    <hyperlink r:id="rId2998" ref="I1214"/>
    <hyperlink r:id="rId2999" ref="N1214"/>
    <hyperlink r:id="rId3000" ref="I1215"/>
    <hyperlink r:id="rId3001" ref="N1215"/>
    <hyperlink r:id="rId3002" ref="I1216"/>
    <hyperlink r:id="rId3003" ref="N1216"/>
    <hyperlink r:id="rId3004" ref="I1217"/>
    <hyperlink r:id="rId3005" ref="N1217"/>
    <hyperlink r:id="rId3006" ref="I1218"/>
    <hyperlink r:id="rId3007" ref="N1218"/>
    <hyperlink r:id="rId3008" ref="N1219"/>
    <hyperlink r:id="rId3009" ref="N1220"/>
    <hyperlink r:id="rId3010" ref="N1221"/>
    <hyperlink r:id="rId3011" ref="N1222"/>
    <hyperlink r:id="rId3012" ref="N1223"/>
    <hyperlink r:id="rId3013" ref="N1224"/>
    <hyperlink r:id="rId3014" ref="N1225"/>
    <hyperlink r:id="rId3015" ref="I1226"/>
    <hyperlink r:id="rId3016" ref="N1226"/>
    <hyperlink r:id="rId3017" ref="I1227"/>
    <hyperlink r:id="rId3018" ref="N1227"/>
    <hyperlink r:id="rId3019" ref="I1228"/>
    <hyperlink r:id="rId3020" ref="N1228"/>
    <hyperlink r:id="rId3021" ref="N1229"/>
    <hyperlink r:id="rId3022" ref="N1230"/>
    <hyperlink r:id="rId3023" ref="N1231"/>
    <hyperlink r:id="rId3024" ref="N1232"/>
    <hyperlink r:id="rId3025" ref="N1233"/>
    <hyperlink r:id="rId3026" ref="N1234"/>
    <hyperlink r:id="rId3027" ref="N1235"/>
    <hyperlink r:id="rId3028" ref="N1236"/>
    <hyperlink r:id="rId3029" ref="N1237"/>
    <hyperlink r:id="rId3030" ref="I1238"/>
    <hyperlink r:id="rId3031" ref="N1238"/>
    <hyperlink r:id="rId3032" ref="I1239"/>
    <hyperlink r:id="rId3033" ref="N1239"/>
    <hyperlink r:id="rId3034" ref="I1240"/>
    <hyperlink r:id="rId3035" ref="N1240"/>
    <hyperlink r:id="rId3036" ref="I1241"/>
    <hyperlink r:id="rId3037" ref="N1241"/>
    <hyperlink r:id="rId3038" ref="I1242"/>
    <hyperlink r:id="rId3039" ref="N1242"/>
    <hyperlink r:id="rId3040" ref="I1243"/>
    <hyperlink r:id="rId3041" ref="N1243"/>
    <hyperlink r:id="rId3042" ref="I1244"/>
    <hyperlink r:id="rId3043" ref="N1244"/>
    <hyperlink r:id="rId3044" ref="I1245"/>
    <hyperlink r:id="rId3045" ref="N1245"/>
    <hyperlink r:id="rId3046" ref="N1246"/>
    <hyperlink r:id="rId3047" ref="N1247"/>
    <hyperlink r:id="rId3048" ref="N1248"/>
    <hyperlink r:id="rId3049" ref="N1249"/>
    <hyperlink r:id="rId3050" ref="N1250"/>
    <hyperlink r:id="rId3051" ref="N1251"/>
    <hyperlink r:id="rId3052" ref="N1252"/>
    <hyperlink r:id="rId3053" ref="N1253"/>
    <hyperlink r:id="rId3054" ref="N1254"/>
    <hyperlink r:id="rId3055" ref="N1255"/>
    <hyperlink r:id="rId3056" ref="N1256"/>
    <hyperlink r:id="rId3057" ref="N1257"/>
    <hyperlink r:id="rId3058" ref="N1258"/>
    <hyperlink r:id="rId3059" ref="N1259"/>
    <hyperlink r:id="rId3060" ref="N1260"/>
    <hyperlink r:id="rId3061" ref="N1261"/>
    <hyperlink r:id="rId3062" ref="N1262"/>
    <hyperlink r:id="rId3063" ref="N1263"/>
    <hyperlink r:id="rId3064" ref="N1264"/>
    <hyperlink r:id="rId3065" ref="I1265"/>
    <hyperlink r:id="rId3066" ref="N1265"/>
    <hyperlink r:id="rId3067" ref="I1266"/>
    <hyperlink r:id="rId3068" ref="N1266"/>
    <hyperlink r:id="rId3069" ref="I1267"/>
    <hyperlink r:id="rId3070" ref="N1267"/>
    <hyperlink r:id="rId3071" ref="I1268"/>
    <hyperlink r:id="rId3072" ref="N1268"/>
    <hyperlink r:id="rId3073" ref="I1269"/>
    <hyperlink r:id="rId3074" ref="N1269"/>
    <hyperlink r:id="rId3075" ref="I1270"/>
    <hyperlink r:id="rId3076" ref="N1270"/>
    <hyperlink r:id="rId3077" ref="I1271"/>
    <hyperlink r:id="rId3078" ref="N1271"/>
    <hyperlink r:id="rId3079" ref="I1272"/>
    <hyperlink r:id="rId3080" ref="N1272"/>
    <hyperlink r:id="rId3081" ref="I1273"/>
    <hyperlink r:id="rId3082" ref="N1273"/>
    <hyperlink r:id="rId3083" ref="I1274"/>
    <hyperlink r:id="rId3084" ref="N1274"/>
    <hyperlink r:id="rId3085" ref="I1275"/>
    <hyperlink r:id="rId3086" ref="N1275"/>
    <hyperlink r:id="rId3087" ref="I1276"/>
    <hyperlink r:id="rId3088" ref="N1276"/>
    <hyperlink r:id="rId3089" ref="I1277"/>
    <hyperlink r:id="rId3090" ref="N1277"/>
    <hyperlink r:id="rId3091" ref="I1278"/>
    <hyperlink r:id="rId3092" ref="N1278"/>
    <hyperlink r:id="rId3093" ref="I1279"/>
    <hyperlink r:id="rId3094" ref="N1279"/>
    <hyperlink r:id="rId3095" ref="I1280"/>
    <hyperlink r:id="rId3096" ref="N1280"/>
    <hyperlink r:id="rId3097" ref="I1281"/>
    <hyperlink r:id="rId3098" ref="N1281"/>
    <hyperlink r:id="rId3099" ref="I1282"/>
    <hyperlink r:id="rId3100" ref="N1282"/>
    <hyperlink r:id="rId3101" ref="I1283"/>
    <hyperlink r:id="rId3102" ref="N1283"/>
    <hyperlink r:id="rId3103" ref="I1284"/>
    <hyperlink r:id="rId3104" ref="N1284"/>
    <hyperlink r:id="rId3105" ref="I1285"/>
    <hyperlink r:id="rId3106" ref="N1285"/>
    <hyperlink r:id="rId3107" ref="I1286"/>
    <hyperlink r:id="rId3108" ref="N1286"/>
    <hyperlink r:id="rId3109" ref="I1287"/>
    <hyperlink r:id="rId3110" ref="N1287"/>
    <hyperlink r:id="rId3111" ref="I1288"/>
    <hyperlink r:id="rId3112" ref="N1288"/>
    <hyperlink r:id="rId3113" ref="I1289"/>
    <hyperlink r:id="rId3114" ref="N1289"/>
    <hyperlink r:id="rId3115" ref="I1290"/>
    <hyperlink r:id="rId3116" ref="N1290"/>
    <hyperlink r:id="rId3117" ref="I1291"/>
    <hyperlink r:id="rId3118" ref="N1291"/>
    <hyperlink r:id="rId3119" ref="I1292"/>
    <hyperlink r:id="rId3120" ref="N1292"/>
    <hyperlink r:id="rId3121" ref="I1293"/>
    <hyperlink r:id="rId3122" ref="N1293"/>
    <hyperlink r:id="rId3123" ref="I1294"/>
    <hyperlink r:id="rId3124" ref="N1294"/>
    <hyperlink r:id="rId3125" ref="I1295"/>
    <hyperlink r:id="rId3126" ref="N1295"/>
    <hyperlink r:id="rId3127" ref="I1296"/>
    <hyperlink r:id="rId3128" ref="N1296"/>
    <hyperlink r:id="rId3129" ref="I1297"/>
    <hyperlink r:id="rId3130" ref="N1297"/>
    <hyperlink r:id="rId3131" ref="N1298"/>
    <hyperlink r:id="rId3132" ref="N1299"/>
    <hyperlink r:id="rId3133" ref="I1300"/>
    <hyperlink r:id="rId3134" ref="N1300"/>
    <hyperlink r:id="rId3135" ref="I1301"/>
    <hyperlink r:id="rId3136" ref="N1301"/>
    <hyperlink r:id="rId3137" ref="I1302"/>
    <hyperlink r:id="rId3138" ref="N1302"/>
    <hyperlink r:id="rId3139" ref="I1303"/>
    <hyperlink r:id="rId3140" ref="N1303"/>
    <hyperlink r:id="rId3141" ref="I1304"/>
    <hyperlink r:id="rId3142" ref="N1304"/>
    <hyperlink r:id="rId3143" ref="I1305"/>
    <hyperlink r:id="rId3144" ref="N1305"/>
    <hyperlink r:id="rId3145" ref="I1306"/>
    <hyperlink r:id="rId3146" ref="N1306"/>
    <hyperlink r:id="rId3147" ref="I1307"/>
    <hyperlink r:id="rId3148" ref="N1307"/>
    <hyperlink r:id="rId3149" ref="N1308"/>
    <hyperlink r:id="rId3150" ref="N1309"/>
    <hyperlink r:id="rId3151" ref="N1310"/>
    <hyperlink r:id="rId3152" ref="N1311"/>
    <hyperlink r:id="rId3153" ref="N1312"/>
    <hyperlink r:id="rId3154" ref="N1313"/>
    <hyperlink r:id="rId3155" ref="I1314"/>
    <hyperlink r:id="rId3156" ref="N1314"/>
    <hyperlink r:id="rId3157" ref="I1315"/>
    <hyperlink r:id="rId3158" ref="N1315"/>
    <hyperlink r:id="rId3159" ref="I1316"/>
    <hyperlink r:id="rId3160" ref="N1316"/>
    <hyperlink r:id="rId3161" ref="I1317"/>
    <hyperlink r:id="rId3162" ref="N1317"/>
    <hyperlink r:id="rId3163" ref="I1318"/>
    <hyperlink r:id="rId3164" ref="N1318"/>
    <hyperlink r:id="rId3165" ref="N1319"/>
    <hyperlink r:id="rId3166" ref="I1320"/>
    <hyperlink r:id="rId3167" ref="N1320"/>
    <hyperlink r:id="rId3168" ref="I1321"/>
    <hyperlink r:id="rId3169" ref="N1321"/>
    <hyperlink r:id="rId3170" ref="I1322"/>
    <hyperlink r:id="rId3171" ref="N1322"/>
    <hyperlink r:id="rId3172" ref="I1323"/>
    <hyperlink r:id="rId3173" ref="N1323"/>
    <hyperlink r:id="rId3174" ref="I1324"/>
    <hyperlink r:id="rId3175" ref="N1324"/>
    <hyperlink r:id="rId3176" ref="I1325"/>
    <hyperlink r:id="rId3177" ref="N1325"/>
    <hyperlink r:id="rId3178" ref="I1326"/>
    <hyperlink r:id="rId3179" ref="N1326"/>
    <hyperlink r:id="rId3180" ref="I1327"/>
    <hyperlink r:id="rId3181" ref="N1327"/>
    <hyperlink r:id="rId3182" ref="I1328"/>
    <hyperlink r:id="rId3183" ref="N1328"/>
    <hyperlink r:id="rId3184" ref="I1329"/>
    <hyperlink r:id="rId3185" ref="N1329"/>
    <hyperlink r:id="rId3186" ref="I1330"/>
    <hyperlink r:id="rId3187" ref="N1330"/>
    <hyperlink r:id="rId3188" ref="N1331"/>
    <hyperlink r:id="rId3189" ref="N1332"/>
    <hyperlink r:id="rId3190" ref="N1333"/>
    <hyperlink r:id="rId3191" ref="N1334"/>
    <hyperlink r:id="rId3192" ref="N1335"/>
    <hyperlink r:id="rId3193" ref="N1336"/>
    <hyperlink r:id="rId3194" ref="N1337"/>
    <hyperlink r:id="rId3195" ref="N1338"/>
    <hyperlink r:id="rId3196" ref="N1339"/>
    <hyperlink r:id="rId3197" ref="I1340"/>
    <hyperlink r:id="rId3198" ref="N1340"/>
    <hyperlink r:id="rId3199" ref="I1341"/>
    <hyperlink r:id="rId3200" ref="N1341"/>
    <hyperlink r:id="rId3201" ref="I1342"/>
    <hyperlink r:id="rId3202" ref="N1342"/>
    <hyperlink r:id="rId3203" ref="I1343"/>
    <hyperlink r:id="rId3204" ref="N1343"/>
    <hyperlink r:id="rId3205" ref="I1344"/>
    <hyperlink r:id="rId3206" ref="N1344"/>
    <hyperlink r:id="rId3207" ref="I1345"/>
    <hyperlink r:id="rId3208" ref="N1345"/>
    <hyperlink r:id="rId3209" ref="I1346"/>
    <hyperlink r:id="rId3210" ref="N1346"/>
    <hyperlink r:id="rId3211" ref="I1347"/>
    <hyperlink r:id="rId3212" ref="N1347"/>
    <hyperlink r:id="rId3213" ref="I1348"/>
    <hyperlink r:id="rId3214" ref="N1348"/>
    <hyperlink r:id="rId3215" ref="I1349"/>
    <hyperlink r:id="rId3216" ref="N1349"/>
    <hyperlink r:id="rId3217" ref="I1350"/>
    <hyperlink r:id="rId3218" ref="N1350"/>
    <hyperlink r:id="rId3219" ref="I1351"/>
    <hyperlink r:id="rId3220" ref="N1351"/>
    <hyperlink r:id="rId3221" ref="I1352"/>
    <hyperlink r:id="rId3222" ref="N1352"/>
    <hyperlink r:id="rId3223" ref="I1353"/>
    <hyperlink r:id="rId3224" ref="N1353"/>
    <hyperlink r:id="rId3225" ref="I1354"/>
    <hyperlink r:id="rId3226" ref="N1354"/>
    <hyperlink r:id="rId3227" ref="N1355"/>
    <hyperlink r:id="rId3228" ref="N1356"/>
    <hyperlink r:id="rId3229" ref="N1357"/>
    <hyperlink r:id="rId3230" ref="N1358"/>
    <hyperlink r:id="rId3231" ref="N1359"/>
    <hyperlink r:id="rId3232" ref="I1360"/>
    <hyperlink r:id="rId3233" ref="N1360"/>
    <hyperlink r:id="rId3234" ref="I1361"/>
    <hyperlink r:id="rId3235" ref="N1361"/>
    <hyperlink r:id="rId3236" ref="I1362"/>
    <hyperlink r:id="rId3237" ref="N1362"/>
    <hyperlink r:id="rId3238" ref="N1363"/>
    <hyperlink r:id="rId3239" ref="N1364"/>
    <hyperlink r:id="rId3240" ref="N1365"/>
    <hyperlink r:id="rId3241" ref="I1366"/>
    <hyperlink r:id="rId3242" ref="N1366"/>
    <hyperlink r:id="rId3243" ref="N1367"/>
    <hyperlink r:id="rId3244" ref="N1368"/>
    <hyperlink r:id="rId3245" ref="N1369"/>
    <hyperlink r:id="rId3246" ref="N1370"/>
    <hyperlink r:id="rId3247" ref="I1371"/>
    <hyperlink r:id="rId3248" ref="N1371"/>
    <hyperlink r:id="rId3249" ref="N1372"/>
    <hyperlink r:id="rId3250" ref="N1373"/>
    <hyperlink r:id="rId3251" ref="N1374"/>
    <hyperlink r:id="rId3252" ref="N1375"/>
    <hyperlink r:id="rId3253" ref="N1376"/>
    <hyperlink r:id="rId3254" ref="N1377"/>
    <hyperlink r:id="rId3255" ref="N1378"/>
    <hyperlink r:id="rId3256" ref="N1379"/>
    <hyperlink r:id="rId3257" ref="N1380"/>
    <hyperlink r:id="rId3258" ref="N1381"/>
    <hyperlink r:id="rId3259" ref="I1382"/>
    <hyperlink r:id="rId3260" ref="N1382"/>
    <hyperlink r:id="rId3261" ref="N1383"/>
    <hyperlink r:id="rId3262" ref="N1384"/>
    <hyperlink r:id="rId3263" ref="N1385"/>
    <hyperlink r:id="rId3264" ref="N1386"/>
    <hyperlink r:id="rId3265" ref="N1387"/>
    <hyperlink r:id="rId3266" ref="N1388"/>
    <hyperlink r:id="rId3267" ref="N1389"/>
    <hyperlink r:id="rId3268" ref="N1390"/>
    <hyperlink r:id="rId3269" ref="N1391"/>
    <hyperlink r:id="rId3270" ref="N1392"/>
    <hyperlink r:id="rId3271" ref="N1393"/>
    <hyperlink r:id="rId3272" ref="N1394"/>
    <hyperlink r:id="rId3273" ref="N1395"/>
    <hyperlink r:id="rId3274" ref="N1396"/>
    <hyperlink r:id="rId3275" ref="N1397"/>
    <hyperlink r:id="rId3276" ref="N1398"/>
    <hyperlink r:id="rId3277" ref="N1399"/>
    <hyperlink r:id="rId3278" ref="N1400"/>
    <hyperlink r:id="rId3279" ref="N1401"/>
    <hyperlink r:id="rId3280" ref="N1402"/>
    <hyperlink r:id="rId3281" ref="N1403"/>
    <hyperlink r:id="rId3282" ref="N1404"/>
    <hyperlink r:id="rId3283" ref="I1405"/>
    <hyperlink r:id="rId3284" ref="N1405"/>
    <hyperlink r:id="rId3285" ref="I1406"/>
    <hyperlink r:id="rId3286" ref="N1406"/>
    <hyperlink r:id="rId3287" ref="I1407"/>
    <hyperlink r:id="rId3288" ref="N1407"/>
    <hyperlink r:id="rId3289" ref="I1408"/>
    <hyperlink r:id="rId3290" ref="N1408"/>
    <hyperlink r:id="rId3291" ref="I1409"/>
    <hyperlink r:id="rId3292" ref="N1409"/>
    <hyperlink r:id="rId3293" ref="I1410"/>
    <hyperlink r:id="rId3294" ref="N1410"/>
    <hyperlink r:id="rId3295" ref="I1411"/>
    <hyperlink r:id="rId3296" ref="N1411"/>
    <hyperlink r:id="rId3297" ref="I1412"/>
    <hyperlink r:id="rId3298" ref="N1412"/>
    <hyperlink r:id="rId3299" ref="I1413"/>
    <hyperlink r:id="rId3300" ref="N1413"/>
    <hyperlink r:id="rId3301" ref="I1414"/>
    <hyperlink r:id="rId3302" ref="N1414"/>
    <hyperlink r:id="rId3303" ref="I1415"/>
    <hyperlink r:id="rId3304" ref="N1415"/>
    <hyperlink r:id="rId3305" ref="I1416"/>
    <hyperlink r:id="rId3306" ref="N1416"/>
    <hyperlink r:id="rId3307" ref="I1417"/>
    <hyperlink r:id="rId3308" ref="N1417"/>
    <hyperlink r:id="rId3309" ref="I1418"/>
    <hyperlink r:id="rId3310" ref="N1418"/>
    <hyperlink r:id="rId3311" ref="I1419"/>
    <hyperlink r:id="rId3312" ref="N1419"/>
    <hyperlink r:id="rId3313" ref="I1420"/>
    <hyperlink r:id="rId3314" ref="N1420"/>
    <hyperlink r:id="rId3315" ref="I1421"/>
    <hyperlink r:id="rId3316" ref="N1421"/>
    <hyperlink r:id="rId3317" ref="I1422"/>
    <hyperlink r:id="rId3318" ref="N1422"/>
    <hyperlink r:id="rId3319" ref="I1423"/>
    <hyperlink r:id="rId3320" ref="N1423"/>
    <hyperlink r:id="rId3321" ref="I1424"/>
    <hyperlink r:id="rId3322" ref="N1424"/>
    <hyperlink r:id="rId3323" ref="I1425"/>
    <hyperlink r:id="rId3324" ref="N1425"/>
    <hyperlink r:id="rId3325" ref="I1426"/>
    <hyperlink r:id="rId3326" ref="N1426"/>
    <hyperlink r:id="rId3327" ref="I1427"/>
    <hyperlink r:id="rId3328" ref="N1427"/>
    <hyperlink r:id="rId3329" ref="I1428"/>
    <hyperlink r:id="rId3330" ref="N1428"/>
    <hyperlink r:id="rId3331" ref="I1429"/>
    <hyperlink r:id="rId3332" ref="N1429"/>
    <hyperlink r:id="rId3333" ref="I1430"/>
    <hyperlink r:id="rId3334" ref="N1430"/>
    <hyperlink r:id="rId3335" ref="I1431"/>
    <hyperlink r:id="rId3336" ref="N1431"/>
    <hyperlink r:id="rId3337" ref="I1432"/>
    <hyperlink r:id="rId3338" ref="N1432"/>
    <hyperlink r:id="rId3339" ref="I1433"/>
    <hyperlink r:id="rId3340" ref="N1433"/>
    <hyperlink r:id="rId3341" ref="I1434"/>
    <hyperlink r:id="rId3342" ref="N1434"/>
    <hyperlink r:id="rId3343" ref="I1435"/>
    <hyperlink r:id="rId3344" ref="N1435"/>
    <hyperlink r:id="rId3345" ref="I1436"/>
    <hyperlink r:id="rId3346" ref="N1436"/>
    <hyperlink r:id="rId3347" ref="I1437"/>
    <hyperlink r:id="rId3348" ref="N1437"/>
    <hyperlink r:id="rId3349" ref="I1438"/>
    <hyperlink r:id="rId3350" ref="N1438"/>
    <hyperlink r:id="rId3351" ref="I1439"/>
    <hyperlink r:id="rId3352" ref="N1439"/>
    <hyperlink r:id="rId3353" ref="N1440"/>
    <hyperlink r:id="rId3354" ref="I1441"/>
    <hyperlink r:id="rId3355" ref="N1441"/>
    <hyperlink r:id="rId3356" ref="I1442"/>
    <hyperlink r:id="rId3357" ref="N1442"/>
    <hyperlink r:id="rId3358" ref="N1443"/>
    <hyperlink r:id="rId3359" ref="I1444"/>
    <hyperlink r:id="rId3360" ref="N1444"/>
    <hyperlink r:id="rId3361" ref="I1445"/>
    <hyperlink r:id="rId3362" ref="N1445"/>
    <hyperlink r:id="rId3363" ref="I1446"/>
    <hyperlink r:id="rId3364" ref="N1446"/>
    <hyperlink r:id="rId3365" ref="I1447"/>
    <hyperlink r:id="rId3366" ref="N1447"/>
    <hyperlink r:id="rId3367" ref="I1448"/>
    <hyperlink r:id="rId3368" ref="N1448"/>
    <hyperlink r:id="rId3369" ref="I1449"/>
    <hyperlink r:id="rId3370" ref="N1449"/>
    <hyperlink r:id="rId3371" ref="I1450"/>
    <hyperlink r:id="rId3372" ref="N1450"/>
    <hyperlink r:id="rId3373" ref="N1451"/>
    <hyperlink r:id="rId3374" ref="I1452"/>
    <hyperlink r:id="rId3375" ref="N1452"/>
    <hyperlink r:id="rId3376" ref="N1453"/>
    <hyperlink r:id="rId3377" ref="N1454"/>
    <hyperlink r:id="rId3378" ref="N1455"/>
    <hyperlink r:id="rId3379" ref="N1456"/>
    <hyperlink r:id="rId3380" ref="N1457"/>
    <hyperlink r:id="rId3381" ref="I1458"/>
    <hyperlink r:id="rId3382" ref="N1458"/>
    <hyperlink r:id="rId3383" ref="I1459"/>
    <hyperlink r:id="rId3384" ref="N1459"/>
    <hyperlink r:id="rId3385" ref="N1460"/>
    <hyperlink r:id="rId3386" ref="N1461"/>
    <hyperlink r:id="rId3387" ref="I1462"/>
    <hyperlink r:id="rId3388" ref="N1462"/>
    <hyperlink r:id="rId3389" ref="I1463"/>
    <hyperlink r:id="rId3390" ref="N1463"/>
    <hyperlink r:id="rId3391" ref="I1464"/>
    <hyperlink r:id="rId3392" ref="N1464"/>
    <hyperlink r:id="rId3393" ref="I1465"/>
    <hyperlink r:id="rId3394" ref="N1465"/>
    <hyperlink r:id="rId3395" ref="I1466"/>
    <hyperlink r:id="rId3396" ref="N1466"/>
    <hyperlink r:id="rId3397" ref="I1467"/>
    <hyperlink r:id="rId3398" ref="N1467"/>
    <hyperlink r:id="rId3399" ref="I1468"/>
    <hyperlink r:id="rId3400" ref="N1468"/>
    <hyperlink r:id="rId3401" ref="I1469"/>
    <hyperlink r:id="rId3402" ref="N1469"/>
    <hyperlink r:id="rId3403" ref="I1470"/>
    <hyperlink r:id="rId3404" ref="N1470"/>
    <hyperlink r:id="rId3405" ref="I1471"/>
    <hyperlink r:id="rId3406" ref="N1471"/>
    <hyperlink r:id="rId3407" ref="N1472"/>
    <hyperlink r:id="rId3408" ref="N1473"/>
    <hyperlink r:id="rId3409" ref="N1474"/>
    <hyperlink r:id="rId3410" ref="I1475"/>
    <hyperlink r:id="rId3411" ref="N1475"/>
    <hyperlink r:id="rId3412" ref="I1476"/>
    <hyperlink r:id="rId3413" ref="N1476"/>
    <hyperlink r:id="rId3414" ref="I1477"/>
    <hyperlink r:id="rId3415" ref="N1477"/>
    <hyperlink r:id="rId3416" ref="I1478"/>
    <hyperlink r:id="rId3417" ref="N1478"/>
    <hyperlink r:id="rId3418" ref="I1479"/>
    <hyperlink r:id="rId3419" ref="N1479"/>
    <hyperlink r:id="rId3420" ref="N1480"/>
    <hyperlink r:id="rId3421" ref="I1481"/>
    <hyperlink r:id="rId3422" ref="N1481"/>
    <hyperlink r:id="rId3423" ref="I1482"/>
    <hyperlink r:id="rId3424" ref="N1482"/>
    <hyperlink r:id="rId3425" ref="I1483"/>
    <hyperlink r:id="rId3426" ref="N1483"/>
    <hyperlink r:id="rId3427" ref="I1484"/>
    <hyperlink r:id="rId3428" ref="N1484"/>
    <hyperlink r:id="rId3429" ref="I1485"/>
    <hyperlink r:id="rId3430" ref="N1485"/>
    <hyperlink r:id="rId3431" ref="I1486"/>
    <hyperlink r:id="rId3432" ref="N1486"/>
    <hyperlink r:id="rId3433" ref="I1487"/>
    <hyperlink r:id="rId3434" ref="N1487"/>
    <hyperlink r:id="rId3435" ref="I1488"/>
    <hyperlink r:id="rId3436" ref="N1488"/>
    <hyperlink r:id="rId3437" ref="I1489"/>
    <hyperlink r:id="rId3438" ref="N1489"/>
    <hyperlink r:id="rId3439" ref="I1490"/>
    <hyperlink r:id="rId3440" ref="N1490"/>
    <hyperlink r:id="rId3441" ref="I1491"/>
    <hyperlink r:id="rId3442" ref="N1491"/>
    <hyperlink r:id="rId3443" ref="N1492"/>
    <hyperlink r:id="rId3444" ref="N1493"/>
    <hyperlink r:id="rId3445" ref="N1494"/>
    <hyperlink r:id="rId3446" ref="I1495"/>
    <hyperlink r:id="rId3447" ref="N1495"/>
    <hyperlink r:id="rId3448" ref="N1496"/>
    <hyperlink r:id="rId3449" ref="N1497"/>
    <hyperlink r:id="rId3450" ref="N1498"/>
    <hyperlink r:id="rId3451" ref="N1499"/>
    <hyperlink r:id="rId3452" ref="N1500"/>
    <hyperlink r:id="rId3453" ref="N1501"/>
    <hyperlink r:id="rId3454" ref="N1502"/>
    <hyperlink r:id="rId3455" ref="I1503"/>
    <hyperlink r:id="rId3456" ref="N1503"/>
    <hyperlink r:id="rId3457" ref="I1504"/>
    <hyperlink r:id="rId3458" ref="N1504"/>
    <hyperlink r:id="rId3459" ref="I1505"/>
    <hyperlink r:id="rId3460" ref="N1505"/>
    <hyperlink r:id="rId3461" ref="I1506"/>
    <hyperlink r:id="rId3462" ref="N1506"/>
    <hyperlink r:id="rId3463" ref="I1507"/>
    <hyperlink r:id="rId3464" ref="N1507"/>
    <hyperlink r:id="rId3465" ref="I1508"/>
    <hyperlink r:id="rId3466" ref="N1508"/>
    <hyperlink r:id="rId3467" ref="I1509"/>
    <hyperlink r:id="rId3468" ref="N1509"/>
    <hyperlink r:id="rId3469" ref="I1510"/>
    <hyperlink r:id="rId3470" ref="N1510"/>
    <hyperlink r:id="rId3471" ref="N1511"/>
    <hyperlink r:id="rId3472" ref="N1512"/>
    <hyperlink r:id="rId3473" ref="I1513"/>
    <hyperlink r:id="rId3474" ref="N1513"/>
    <hyperlink r:id="rId3475" ref="I1514"/>
    <hyperlink r:id="rId3476" ref="N1514"/>
    <hyperlink r:id="rId3477" ref="I1515"/>
    <hyperlink r:id="rId3478" ref="N1515"/>
    <hyperlink r:id="rId3479" ref="I1516"/>
    <hyperlink r:id="rId3480" ref="N1516"/>
    <hyperlink r:id="rId3481" ref="I1517"/>
    <hyperlink r:id="rId3482" ref="N1517"/>
    <hyperlink r:id="rId3483" ref="I1518"/>
    <hyperlink r:id="rId3484" ref="N1518"/>
    <hyperlink r:id="rId3485" ref="I1519"/>
    <hyperlink r:id="rId3486" ref="N1519"/>
    <hyperlink r:id="rId3487" ref="I1520"/>
    <hyperlink r:id="rId3488" ref="N1520"/>
    <hyperlink r:id="rId3489" ref="I1521"/>
    <hyperlink r:id="rId3490" ref="N1521"/>
    <hyperlink r:id="rId3491" ref="I1522"/>
    <hyperlink r:id="rId3492" ref="N1522"/>
    <hyperlink r:id="rId3493" ref="I1523"/>
    <hyperlink r:id="rId3494" ref="N1523"/>
    <hyperlink r:id="rId3495" ref="N1524"/>
    <hyperlink r:id="rId3496" ref="N1525"/>
    <hyperlink r:id="rId3497" ref="N1526"/>
    <hyperlink r:id="rId3498" ref="N1527"/>
    <hyperlink r:id="rId3499" ref="N1528"/>
    <hyperlink r:id="rId3500" ref="I1529"/>
    <hyperlink r:id="rId3501" ref="N1529"/>
    <hyperlink r:id="rId3502" ref="I1530"/>
    <hyperlink r:id="rId3503" ref="N1530"/>
    <hyperlink r:id="rId3504" ref="I1531"/>
    <hyperlink r:id="rId3505" ref="N1531"/>
    <hyperlink r:id="rId3506" ref="I1532"/>
    <hyperlink r:id="rId3507" ref="N1532"/>
    <hyperlink r:id="rId3508" ref="I1533"/>
    <hyperlink r:id="rId3509" ref="N1533"/>
    <hyperlink r:id="rId3510" ref="I1534"/>
    <hyperlink r:id="rId3511" ref="N1534"/>
    <hyperlink r:id="rId3512" ref="I1535"/>
    <hyperlink r:id="rId3513" ref="N1535"/>
    <hyperlink r:id="rId3514" ref="N1536"/>
    <hyperlink r:id="rId3515" ref="N1537"/>
    <hyperlink r:id="rId3516" ref="N1538"/>
    <hyperlink r:id="rId3517" ref="N1539"/>
    <hyperlink r:id="rId3518" ref="N1540"/>
    <hyperlink r:id="rId3519" ref="I1541"/>
    <hyperlink r:id="rId3520" ref="N1541"/>
    <hyperlink r:id="rId3521" ref="I1542"/>
    <hyperlink r:id="rId3522" ref="N1542"/>
    <hyperlink r:id="rId3523" ref="I1543"/>
    <hyperlink r:id="rId3524" ref="N1543"/>
    <hyperlink r:id="rId3525" ref="N1544"/>
    <hyperlink r:id="rId3526" ref="N1545"/>
    <hyperlink r:id="rId3527" ref="I1546"/>
    <hyperlink r:id="rId3528" ref="N1546"/>
    <hyperlink r:id="rId3529" ref="I1547"/>
    <hyperlink r:id="rId3530" ref="N1547"/>
    <hyperlink r:id="rId3531" ref="N1548"/>
    <hyperlink r:id="rId3532" ref="N1549"/>
    <hyperlink r:id="rId3533" ref="N1550"/>
    <hyperlink r:id="rId3534" ref="N1551"/>
    <hyperlink r:id="rId3535" ref="N1552"/>
    <hyperlink r:id="rId3536" ref="I1553"/>
    <hyperlink r:id="rId3537" ref="N1553"/>
    <hyperlink r:id="rId3538" ref="I1554"/>
    <hyperlink r:id="rId3539" ref="N1554"/>
    <hyperlink r:id="rId3540" ref="N1555"/>
    <hyperlink r:id="rId3541" ref="N1556"/>
    <hyperlink r:id="rId3542" ref="N1557"/>
    <hyperlink r:id="rId3543" ref="I1558"/>
    <hyperlink r:id="rId3544" ref="N1558"/>
    <hyperlink r:id="rId3545" ref="I1559"/>
    <hyperlink r:id="rId3546" ref="N1559"/>
    <hyperlink r:id="rId3547" ref="I1560"/>
    <hyperlink r:id="rId3548" ref="N1560"/>
    <hyperlink r:id="rId3549" ref="N1561"/>
    <hyperlink r:id="rId3550" ref="N1562"/>
    <hyperlink r:id="rId3551" ref="N1563"/>
    <hyperlink r:id="rId3552" ref="N1564"/>
    <hyperlink r:id="rId3553" ref="N1565"/>
    <hyperlink r:id="rId3554" ref="N1566"/>
    <hyperlink r:id="rId3555" ref="I1567"/>
    <hyperlink r:id="rId3556" ref="N1567"/>
    <hyperlink r:id="rId3557" ref="N1568"/>
    <hyperlink r:id="rId3558" ref="N1569"/>
    <hyperlink r:id="rId3559" ref="N1570"/>
    <hyperlink r:id="rId3560" ref="N1571"/>
    <hyperlink r:id="rId3561" ref="N1572"/>
    <hyperlink r:id="rId3562" ref="N1573"/>
    <hyperlink r:id="rId3563" ref="N1574"/>
    <hyperlink r:id="rId3564" ref="N1575"/>
    <hyperlink r:id="rId3565" ref="N1576"/>
    <hyperlink r:id="rId3566" ref="N1577"/>
    <hyperlink r:id="rId3567" ref="N1578"/>
    <hyperlink r:id="rId3568" ref="N1579"/>
    <hyperlink r:id="rId3569" ref="N1580"/>
    <hyperlink r:id="rId3570" ref="N1581"/>
    <hyperlink r:id="rId3571" ref="N1582"/>
    <hyperlink r:id="rId3572" ref="N1583"/>
    <hyperlink r:id="rId3573" ref="N1584"/>
    <hyperlink r:id="rId3574" ref="N1585"/>
    <hyperlink r:id="rId3575" ref="N1586"/>
    <hyperlink r:id="rId3576" ref="N1587"/>
    <hyperlink r:id="rId3577" ref="N1588"/>
    <hyperlink r:id="rId3578" ref="N1589"/>
    <hyperlink r:id="rId3579" ref="N1590"/>
    <hyperlink r:id="rId3580" ref="N1591"/>
    <hyperlink r:id="rId3581" ref="N1592"/>
    <hyperlink r:id="rId3582" ref="N1593"/>
    <hyperlink r:id="rId3583" ref="N1594"/>
    <hyperlink r:id="rId3584" ref="N1595"/>
    <hyperlink r:id="rId3585" ref="N1596"/>
    <hyperlink r:id="rId3586" ref="N1597"/>
    <hyperlink r:id="rId3587" ref="N1598"/>
    <hyperlink r:id="rId3588" ref="N1599"/>
    <hyperlink r:id="rId3589" ref="N1600"/>
    <hyperlink r:id="rId3590" ref="I1601"/>
    <hyperlink r:id="rId3591" ref="N1601"/>
    <hyperlink r:id="rId3592" ref="N1602"/>
    <hyperlink r:id="rId3593" ref="N1603"/>
    <hyperlink r:id="rId3594" ref="N1604"/>
    <hyperlink r:id="rId3595" ref="I1605"/>
    <hyperlink r:id="rId3596" ref="N1605"/>
    <hyperlink r:id="rId3597" ref="I1606"/>
    <hyperlink r:id="rId3598" ref="N1606"/>
    <hyperlink r:id="rId3599" ref="I1607"/>
    <hyperlink r:id="rId3600" ref="N1607"/>
    <hyperlink r:id="rId3601" ref="I1608"/>
    <hyperlink r:id="rId3602" ref="N1608"/>
    <hyperlink r:id="rId3603" ref="I1609"/>
    <hyperlink r:id="rId3604" ref="N1609"/>
    <hyperlink r:id="rId3605" ref="I1610"/>
    <hyperlink r:id="rId3606" ref="N1610"/>
    <hyperlink r:id="rId3607" ref="I1611"/>
    <hyperlink r:id="rId3608" ref="N1611"/>
    <hyperlink r:id="rId3609" ref="I1612"/>
    <hyperlink r:id="rId3610" ref="N1612"/>
    <hyperlink r:id="rId3611" ref="I1613"/>
    <hyperlink r:id="rId3612" ref="N1613"/>
    <hyperlink r:id="rId3613" ref="I1614"/>
    <hyperlink r:id="rId3614" ref="N1614"/>
    <hyperlink r:id="rId3615" ref="I1615"/>
    <hyperlink r:id="rId3616" ref="N1615"/>
    <hyperlink r:id="rId3617" ref="I1616"/>
    <hyperlink r:id="rId3618" ref="N1616"/>
    <hyperlink r:id="rId3619" ref="I1617"/>
    <hyperlink r:id="rId3620" ref="N1617"/>
    <hyperlink r:id="rId3621" ref="I1618"/>
    <hyperlink r:id="rId3622" ref="N1618"/>
    <hyperlink r:id="rId3623" ref="I1619"/>
    <hyperlink r:id="rId3624" ref="N1619"/>
    <hyperlink r:id="rId3625" ref="I1620"/>
    <hyperlink r:id="rId3626" ref="N1620"/>
    <hyperlink r:id="rId3627" ref="I1621"/>
    <hyperlink r:id="rId3628" ref="N1621"/>
    <hyperlink r:id="rId3629" ref="I1622"/>
    <hyperlink r:id="rId3630" ref="N1622"/>
    <hyperlink r:id="rId3631" ref="I1623"/>
    <hyperlink r:id="rId3632" ref="N1623"/>
    <hyperlink r:id="rId3633" ref="N1624"/>
    <hyperlink r:id="rId3634" ref="I1625"/>
    <hyperlink r:id="rId3635" ref="N1625"/>
    <hyperlink r:id="rId3636" ref="I1626"/>
    <hyperlink r:id="rId3637" ref="N1626"/>
    <hyperlink r:id="rId3638" ref="I1627"/>
    <hyperlink r:id="rId3639" ref="N1627"/>
    <hyperlink r:id="rId3640" ref="I1628"/>
    <hyperlink r:id="rId3641" ref="N1628"/>
    <hyperlink r:id="rId3642" ref="I1629"/>
    <hyperlink r:id="rId3643" ref="N1629"/>
    <hyperlink r:id="rId3644" ref="N1630"/>
    <hyperlink r:id="rId3645" ref="I1631"/>
    <hyperlink r:id="rId3646" ref="N1631"/>
    <hyperlink r:id="rId3647" ref="I1632"/>
    <hyperlink r:id="rId3648" ref="N1632"/>
    <hyperlink r:id="rId3649" ref="I1633"/>
    <hyperlink r:id="rId3650" ref="N1633"/>
    <hyperlink r:id="rId3651" ref="I1634"/>
    <hyperlink r:id="rId3652" ref="N1634"/>
    <hyperlink r:id="rId3653" ref="I1635"/>
    <hyperlink r:id="rId3654" ref="N1635"/>
    <hyperlink r:id="rId3655" ref="N1636"/>
    <hyperlink r:id="rId3656" ref="N1637"/>
    <hyperlink r:id="rId3657" ref="N1638"/>
    <hyperlink r:id="rId3658" ref="I1639"/>
    <hyperlink r:id="rId3659" ref="N1639"/>
    <hyperlink r:id="rId3660" ref="I1640"/>
    <hyperlink r:id="rId3661" ref="N1640"/>
    <hyperlink r:id="rId3662" ref="I1641"/>
    <hyperlink r:id="rId3663" ref="N1641"/>
    <hyperlink r:id="rId3664" ref="I1642"/>
    <hyperlink r:id="rId3665" ref="N1642"/>
    <hyperlink r:id="rId3666" ref="I1643"/>
    <hyperlink r:id="rId3667" ref="N1643"/>
    <hyperlink r:id="rId3668" ref="I1644"/>
    <hyperlink r:id="rId3669" ref="N1644"/>
    <hyperlink r:id="rId3670" ref="I1645"/>
    <hyperlink r:id="rId3671" ref="N1645"/>
    <hyperlink r:id="rId3672" ref="I1646"/>
    <hyperlink r:id="rId3673" ref="N1646"/>
    <hyperlink r:id="rId3674" ref="I1647"/>
    <hyperlink r:id="rId3675" ref="N1647"/>
    <hyperlink r:id="rId3676" ref="I1648"/>
    <hyperlink r:id="rId3677" ref="N1648"/>
    <hyperlink r:id="rId3678" ref="I1649"/>
    <hyperlink r:id="rId3679" ref="N1649"/>
    <hyperlink r:id="rId3680" ref="I1650"/>
    <hyperlink r:id="rId3681" ref="N1650"/>
    <hyperlink r:id="rId3682" ref="I1651"/>
    <hyperlink r:id="rId3683" ref="N1651"/>
    <hyperlink r:id="rId3684" ref="N1652"/>
    <hyperlink r:id="rId3685" ref="N1653"/>
    <hyperlink r:id="rId3686" ref="N1654"/>
    <hyperlink r:id="rId3687" ref="N1655"/>
    <hyperlink r:id="rId3688" ref="N1656"/>
    <hyperlink r:id="rId3689" ref="I1657"/>
    <hyperlink r:id="rId3690" ref="N1657"/>
    <hyperlink r:id="rId3691" ref="I1658"/>
    <hyperlink r:id="rId3692" ref="N1658"/>
    <hyperlink r:id="rId3693" ref="I1659"/>
    <hyperlink r:id="rId3694" ref="N1659"/>
    <hyperlink r:id="rId3695" ref="I1660"/>
    <hyperlink r:id="rId3696" ref="N1660"/>
    <hyperlink r:id="rId3697" ref="I1661"/>
    <hyperlink r:id="rId3698" ref="N1661"/>
    <hyperlink r:id="rId3699" ref="I1662"/>
    <hyperlink r:id="rId3700" ref="N1662"/>
    <hyperlink r:id="rId3701" ref="I1663"/>
    <hyperlink r:id="rId3702" ref="N1663"/>
    <hyperlink r:id="rId3703" ref="I1664"/>
    <hyperlink r:id="rId3704" ref="N1664"/>
    <hyperlink r:id="rId3705" ref="I1665"/>
    <hyperlink r:id="rId3706" ref="N1665"/>
    <hyperlink r:id="rId3707" ref="I1666"/>
    <hyperlink r:id="rId3708" ref="N1666"/>
    <hyperlink r:id="rId3709" ref="I1667"/>
    <hyperlink r:id="rId3710" ref="N1667"/>
    <hyperlink r:id="rId3711" ref="N1668"/>
    <hyperlink r:id="rId3712" ref="N1669"/>
    <hyperlink r:id="rId3713" ref="N1670"/>
    <hyperlink r:id="rId3714" ref="N1671"/>
    <hyperlink r:id="rId3715" ref="N1672"/>
    <hyperlink r:id="rId3716" ref="N1673"/>
    <hyperlink r:id="rId3717" ref="N1674"/>
    <hyperlink r:id="rId3718" ref="N1675"/>
    <hyperlink r:id="rId3719" ref="N1676"/>
    <hyperlink r:id="rId3720" ref="N1677"/>
    <hyperlink r:id="rId3721" ref="I1678"/>
    <hyperlink r:id="rId3722" ref="N1678"/>
    <hyperlink r:id="rId3723" ref="I1679"/>
    <hyperlink r:id="rId3724" ref="N1679"/>
    <hyperlink r:id="rId3725" ref="I1680"/>
    <hyperlink r:id="rId3726" ref="N1680"/>
    <hyperlink r:id="rId3727" ref="I1681"/>
    <hyperlink r:id="rId3728" ref="N1681"/>
    <hyperlink r:id="rId3729" ref="I1682"/>
    <hyperlink r:id="rId3730" ref="N1682"/>
    <hyperlink r:id="rId3731" ref="I1683"/>
    <hyperlink r:id="rId3732" ref="N1683"/>
    <hyperlink r:id="rId3733" ref="I1684"/>
    <hyperlink r:id="rId3734" ref="N1684"/>
    <hyperlink r:id="rId3735" ref="I1685"/>
    <hyperlink r:id="rId3736" ref="N1685"/>
    <hyperlink r:id="rId3737" ref="I1686"/>
    <hyperlink r:id="rId3738" ref="N1686"/>
    <hyperlink r:id="rId3739" ref="I1687"/>
    <hyperlink r:id="rId3740" ref="N1687"/>
    <hyperlink r:id="rId3741" ref="I1688"/>
    <hyperlink r:id="rId3742" ref="N1688"/>
    <hyperlink r:id="rId3743" ref="I1689"/>
    <hyperlink r:id="rId3744" ref="N1689"/>
    <hyperlink r:id="rId3745" ref="I1690"/>
    <hyperlink r:id="rId3746" ref="N1690"/>
    <hyperlink r:id="rId3747" ref="I1691"/>
    <hyperlink r:id="rId3748" ref="N1691"/>
    <hyperlink r:id="rId3749" ref="I1692"/>
    <hyperlink r:id="rId3750" ref="N1692"/>
    <hyperlink r:id="rId3751" ref="I1693"/>
    <hyperlink r:id="rId3752" ref="N1693"/>
    <hyperlink r:id="rId3753" ref="I1694"/>
    <hyperlink r:id="rId3754" ref="N1694"/>
    <hyperlink r:id="rId3755" ref="I1695"/>
    <hyperlink r:id="rId3756" ref="N1695"/>
    <hyperlink r:id="rId3757" ref="N1696"/>
    <hyperlink r:id="rId3758" ref="N1697"/>
    <hyperlink r:id="rId3759" ref="N1698"/>
    <hyperlink r:id="rId3760" ref="N1699"/>
    <hyperlink r:id="rId3761" ref="I1700"/>
    <hyperlink r:id="rId3762" ref="N1700"/>
    <hyperlink r:id="rId3763" ref="I1701"/>
    <hyperlink r:id="rId3764" ref="N1701"/>
    <hyperlink r:id="rId3765" ref="I1702"/>
    <hyperlink r:id="rId3766" ref="N1702"/>
    <hyperlink r:id="rId3767" ref="N1703"/>
    <hyperlink r:id="rId3768" ref="N1704"/>
    <hyperlink r:id="rId3769" ref="N1705"/>
    <hyperlink r:id="rId3770" ref="I1706"/>
    <hyperlink r:id="rId3771" ref="N1706"/>
    <hyperlink r:id="rId3772" ref="I1707"/>
    <hyperlink r:id="rId3773" ref="N1707"/>
    <hyperlink r:id="rId3774" ref="I1708"/>
    <hyperlink r:id="rId3775" ref="N1708"/>
    <hyperlink r:id="rId3776" ref="N1709"/>
    <hyperlink r:id="rId3777" ref="N1710"/>
    <hyperlink r:id="rId3778" ref="I1711"/>
    <hyperlink r:id="rId3779" ref="N1711"/>
    <hyperlink r:id="rId3780" ref="I1712"/>
    <hyperlink r:id="rId3781" ref="N1712"/>
    <hyperlink r:id="rId3782" ref="I1713"/>
    <hyperlink r:id="rId3783" ref="N1713"/>
    <hyperlink r:id="rId3784" ref="I1714"/>
    <hyperlink r:id="rId3785" ref="N1714"/>
    <hyperlink r:id="rId3786" ref="I1715"/>
    <hyperlink r:id="rId3787" ref="N1715"/>
    <hyperlink r:id="rId3788" ref="I1716"/>
    <hyperlink r:id="rId3789" ref="N1716"/>
    <hyperlink r:id="rId3790" ref="I1717"/>
    <hyperlink r:id="rId3791" ref="N1717"/>
    <hyperlink r:id="rId3792" ref="I1718"/>
    <hyperlink r:id="rId3793" ref="N1718"/>
    <hyperlink r:id="rId3794" ref="I1719"/>
    <hyperlink r:id="rId3795" ref="N1719"/>
    <hyperlink r:id="rId3796" ref="N1720"/>
    <hyperlink r:id="rId3797" ref="N1721"/>
    <hyperlink r:id="rId3798" ref="I1722"/>
    <hyperlink r:id="rId3799" ref="N1722"/>
    <hyperlink r:id="rId3800" ref="I1723"/>
    <hyperlink r:id="rId3801" ref="N1723"/>
    <hyperlink r:id="rId3802" ref="N1724"/>
    <hyperlink r:id="rId3803" ref="N1725"/>
    <hyperlink r:id="rId3804" ref="I1726"/>
    <hyperlink r:id="rId3805" ref="N1726"/>
    <hyperlink r:id="rId3806" ref="I1727"/>
    <hyperlink r:id="rId3807" ref="N1727"/>
    <hyperlink r:id="rId3808" ref="I1728"/>
    <hyperlink r:id="rId3809" ref="N1728"/>
    <hyperlink r:id="rId3810" ref="N1729"/>
    <hyperlink r:id="rId3811" ref="N1730"/>
    <hyperlink r:id="rId3812" ref="N1731"/>
    <hyperlink r:id="rId3813" ref="N1732"/>
    <hyperlink r:id="rId3814" ref="N1733"/>
    <hyperlink r:id="rId3815" ref="N1734"/>
    <hyperlink r:id="rId3816" ref="N1735"/>
    <hyperlink r:id="rId3817" ref="I1736"/>
    <hyperlink r:id="rId3818" ref="N1736"/>
    <hyperlink r:id="rId3819" ref="I1737"/>
    <hyperlink r:id="rId3820" ref="N1737"/>
    <hyperlink r:id="rId3821" ref="I1738"/>
    <hyperlink r:id="rId3822" ref="N1738"/>
    <hyperlink r:id="rId3823" ref="I1739"/>
    <hyperlink r:id="rId3824" ref="N1739"/>
    <hyperlink r:id="rId3825" ref="I1740"/>
    <hyperlink r:id="rId3826" ref="N1740"/>
    <hyperlink r:id="rId3827" ref="I1741"/>
    <hyperlink r:id="rId3828" ref="N1741"/>
    <hyperlink r:id="rId3829" ref="I1742"/>
    <hyperlink r:id="rId3830" ref="N1742"/>
    <hyperlink r:id="rId3831" ref="I1743"/>
    <hyperlink r:id="rId3832" ref="N1743"/>
    <hyperlink r:id="rId3833" ref="I1744"/>
    <hyperlink r:id="rId3834" ref="N1744"/>
    <hyperlink r:id="rId3835" ref="I1745"/>
    <hyperlink r:id="rId3836" ref="N1745"/>
    <hyperlink r:id="rId3837" ref="I1746"/>
    <hyperlink r:id="rId3838" ref="N1746"/>
    <hyperlink r:id="rId3839" ref="I1747"/>
    <hyperlink r:id="rId3840" ref="N1747"/>
    <hyperlink r:id="rId3841" ref="I1748"/>
    <hyperlink r:id="rId3842" ref="N1748"/>
    <hyperlink r:id="rId3843" ref="I1749"/>
    <hyperlink r:id="rId3844" ref="N1749"/>
    <hyperlink r:id="rId3845" ref="I1750"/>
    <hyperlink r:id="rId3846" ref="N1750"/>
    <hyperlink r:id="rId3847" ref="I1751"/>
    <hyperlink r:id="rId3848" ref="N1751"/>
    <hyperlink r:id="rId3849" ref="I1752"/>
    <hyperlink r:id="rId3850" ref="N1752"/>
    <hyperlink r:id="rId3851" ref="I1753"/>
    <hyperlink r:id="rId3852" ref="N1753"/>
    <hyperlink r:id="rId3853" ref="N1754"/>
    <hyperlink r:id="rId3854" ref="I1755"/>
    <hyperlink r:id="rId3855" ref="N1755"/>
    <hyperlink r:id="rId3856" ref="I1756"/>
    <hyperlink r:id="rId3857" ref="N1756"/>
    <hyperlink r:id="rId3858" ref="I1757"/>
    <hyperlink r:id="rId3859" ref="N1757"/>
    <hyperlink r:id="rId3860" ref="I1758"/>
    <hyperlink r:id="rId3861" ref="N1758"/>
    <hyperlink r:id="rId3862" ref="I1759"/>
    <hyperlink r:id="rId3863" ref="N1759"/>
    <hyperlink r:id="rId3864" ref="I1760"/>
    <hyperlink r:id="rId3865" ref="N1760"/>
    <hyperlink r:id="rId3866" ref="N1761"/>
    <hyperlink r:id="rId3867" ref="N1762"/>
    <hyperlink r:id="rId3868" ref="I1763"/>
    <hyperlink r:id="rId3869" ref="N1763"/>
    <hyperlink r:id="rId3870" ref="I1764"/>
    <hyperlink r:id="rId3871" ref="N1764"/>
    <hyperlink r:id="rId3872" ref="I1765"/>
    <hyperlink r:id="rId3873" ref="N1765"/>
    <hyperlink r:id="rId3874" ref="I1766"/>
    <hyperlink r:id="rId3875" ref="N1766"/>
    <hyperlink r:id="rId3876" ref="I1767"/>
    <hyperlink r:id="rId3877" ref="N1767"/>
    <hyperlink r:id="rId3878" ref="N1768"/>
    <hyperlink r:id="rId3879" ref="N1769"/>
    <hyperlink r:id="rId3880" ref="N1770"/>
    <hyperlink r:id="rId3881" ref="I1771"/>
    <hyperlink r:id="rId3882" ref="N1771"/>
    <hyperlink r:id="rId3883" ref="I1772"/>
    <hyperlink r:id="rId3884" ref="N1772"/>
    <hyperlink r:id="rId3885" ref="N1773"/>
    <hyperlink r:id="rId3886" ref="I1774"/>
    <hyperlink r:id="rId3887" ref="N1774"/>
    <hyperlink r:id="rId3888" ref="I1775"/>
    <hyperlink r:id="rId3889" ref="N1775"/>
    <hyperlink r:id="rId3890" ref="N1776"/>
    <hyperlink r:id="rId3891" ref="N1777"/>
    <hyperlink r:id="rId3892" ref="N1778"/>
    <hyperlink r:id="rId3893" ref="I1779"/>
    <hyperlink r:id="rId3894" ref="N1779"/>
    <hyperlink r:id="rId3895" ref="N1780"/>
    <hyperlink r:id="rId3896" ref="N1781"/>
    <hyperlink r:id="rId3897" ref="I1782"/>
    <hyperlink r:id="rId3898" ref="N1782"/>
    <hyperlink r:id="rId3899" ref="I1783"/>
    <hyperlink r:id="rId3900" ref="N1783"/>
    <hyperlink r:id="rId3901" ref="N1784"/>
    <hyperlink r:id="rId3902" ref="N1785"/>
    <hyperlink r:id="rId3903" ref="I1786"/>
    <hyperlink r:id="rId3904" ref="N1786"/>
    <hyperlink r:id="rId3905" ref="I1787"/>
    <hyperlink r:id="rId3906" ref="N1787"/>
    <hyperlink r:id="rId3907" ref="N1788"/>
    <hyperlink r:id="rId3908" ref="N1789"/>
    <hyperlink r:id="rId3909" ref="N1790"/>
    <hyperlink r:id="rId3910" ref="I1791"/>
    <hyperlink r:id="rId3911" ref="N1791"/>
    <hyperlink r:id="rId3912" ref="I1792"/>
    <hyperlink r:id="rId3913" ref="N1792"/>
    <hyperlink r:id="rId3914" ref="I1793"/>
    <hyperlink r:id="rId3915" ref="N1793"/>
    <hyperlink r:id="rId3916" ref="I1794"/>
    <hyperlink r:id="rId3917" ref="N1794"/>
    <hyperlink r:id="rId3918" ref="I1795"/>
    <hyperlink r:id="rId3919" ref="N1795"/>
    <hyperlink r:id="rId3920" ref="I1796"/>
    <hyperlink r:id="rId3921" ref="N1796"/>
    <hyperlink r:id="rId3922" ref="I1797"/>
    <hyperlink r:id="rId3923" ref="N1797"/>
    <hyperlink r:id="rId3924" ref="I1798"/>
    <hyperlink r:id="rId3925" ref="N1798"/>
    <hyperlink r:id="rId3926" ref="I1799"/>
    <hyperlink r:id="rId3927" ref="N1799"/>
    <hyperlink r:id="rId3928" ref="I1800"/>
    <hyperlink r:id="rId3929" ref="N1800"/>
    <hyperlink r:id="rId3930" ref="I1801"/>
    <hyperlink r:id="rId3931" ref="N1801"/>
    <hyperlink r:id="rId3932" ref="I1802"/>
    <hyperlink r:id="rId3933" ref="N1802"/>
    <hyperlink r:id="rId3934" ref="I1803"/>
    <hyperlink r:id="rId3935" ref="N1803"/>
    <hyperlink r:id="rId3936" ref="I1804"/>
    <hyperlink r:id="rId3937" ref="N1804"/>
    <hyperlink r:id="rId3938" ref="I1805"/>
    <hyperlink r:id="rId3939" ref="N1805"/>
    <hyperlink r:id="rId3940" ref="I1806"/>
    <hyperlink r:id="rId3941" ref="N1806"/>
    <hyperlink r:id="rId3942" ref="I1807"/>
    <hyperlink r:id="rId3943" ref="N1807"/>
    <hyperlink r:id="rId3944" ref="I1808"/>
    <hyperlink r:id="rId3945" ref="N1808"/>
    <hyperlink r:id="rId3946" ref="I1809"/>
    <hyperlink r:id="rId3947" ref="N1809"/>
    <hyperlink r:id="rId3948" ref="I1810"/>
    <hyperlink r:id="rId3949" ref="N1810"/>
    <hyperlink r:id="rId3950" ref="I1811"/>
    <hyperlink r:id="rId3951" ref="N1811"/>
    <hyperlink r:id="rId3952" ref="I1812"/>
    <hyperlink r:id="rId3953" ref="N1812"/>
    <hyperlink r:id="rId3954" ref="I1813"/>
    <hyperlink r:id="rId3955" ref="N1813"/>
    <hyperlink r:id="rId3956" ref="I1814"/>
    <hyperlink r:id="rId3957" ref="N1814"/>
    <hyperlink r:id="rId3958" ref="I1815"/>
    <hyperlink r:id="rId3959" ref="N1815"/>
    <hyperlink r:id="rId3960" ref="I1816"/>
    <hyperlink r:id="rId3961" ref="N1816"/>
    <hyperlink r:id="rId3962" ref="I1817"/>
    <hyperlink r:id="rId3963" ref="N1817"/>
    <hyperlink r:id="rId3964" ref="I1818"/>
    <hyperlink r:id="rId3965" ref="N1818"/>
    <hyperlink r:id="rId3966" ref="I1819"/>
    <hyperlink r:id="rId3967" ref="N1819"/>
    <hyperlink r:id="rId3968" ref="I1820"/>
    <hyperlink r:id="rId3969" ref="N1820"/>
    <hyperlink r:id="rId3970" ref="I1821"/>
    <hyperlink r:id="rId3971" ref="N1821"/>
    <hyperlink r:id="rId3972" ref="I1822"/>
    <hyperlink r:id="rId3973" ref="N1822"/>
    <hyperlink r:id="rId3974" ref="I1823"/>
    <hyperlink r:id="rId3975" ref="N1823"/>
    <hyperlink r:id="rId3976" ref="I1824"/>
    <hyperlink r:id="rId3977" ref="N1824"/>
    <hyperlink r:id="rId3978" ref="I1825"/>
    <hyperlink r:id="rId3979" ref="N1825"/>
    <hyperlink r:id="rId3980" ref="I1826"/>
    <hyperlink r:id="rId3981" ref="N1826"/>
    <hyperlink r:id="rId3982" ref="I1827"/>
    <hyperlink r:id="rId3983" ref="N1827"/>
    <hyperlink r:id="rId3984" ref="I1828"/>
    <hyperlink r:id="rId3985" ref="N1828"/>
    <hyperlink r:id="rId3986" ref="I1829"/>
    <hyperlink r:id="rId3987" ref="N1829"/>
    <hyperlink r:id="rId3988" ref="I1830"/>
    <hyperlink r:id="rId3989" ref="N1830"/>
    <hyperlink r:id="rId3990" ref="N1831"/>
    <hyperlink r:id="rId3991" ref="N1832"/>
    <hyperlink r:id="rId3992" ref="N1833"/>
    <hyperlink r:id="rId3993" ref="N1834"/>
    <hyperlink r:id="rId3994" ref="N1835"/>
    <hyperlink r:id="rId3995" ref="N1836"/>
    <hyperlink r:id="rId3996" ref="N1837"/>
    <hyperlink r:id="rId3997" ref="N1838"/>
    <hyperlink r:id="rId3998" ref="N1839"/>
    <hyperlink r:id="rId3999" ref="I1840"/>
    <hyperlink r:id="rId4000" ref="N1840"/>
    <hyperlink r:id="rId4001" ref="I1841"/>
    <hyperlink r:id="rId4002" ref="N1841"/>
    <hyperlink r:id="rId4003" ref="I1842"/>
    <hyperlink r:id="rId4004" ref="N1842"/>
    <hyperlink r:id="rId4005" ref="I1843"/>
    <hyperlink r:id="rId4006" ref="N1843"/>
    <hyperlink r:id="rId4007" ref="I1844"/>
    <hyperlink r:id="rId4008" ref="N1844"/>
    <hyperlink r:id="rId4009" ref="I1845"/>
    <hyperlink r:id="rId4010" ref="N1845"/>
    <hyperlink r:id="rId4011" ref="I1846"/>
    <hyperlink r:id="rId4012" ref="N1846"/>
    <hyperlink r:id="rId4013" ref="I1847"/>
    <hyperlink r:id="rId4014" ref="N1847"/>
    <hyperlink r:id="rId4015" ref="I1848"/>
    <hyperlink r:id="rId4016" ref="N1848"/>
    <hyperlink r:id="rId4017" ref="I1849"/>
    <hyperlink r:id="rId4018" ref="N1849"/>
    <hyperlink r:id="rId4019" ref="I1850"/>
    <hyperlink r:id="rId4020" ref="N1850"/>
    <hyperlink r:id="rId4021" ref="I1851"/>
    <hyperlink r:id="rId4022" ref="N1851"/>
    <hyperlink r:id="rId4023" ref="I1852"/>
    <hyperlink r:id="rId4024" ref="N1852"/>
    <hyperlink r:id="rId4025" ref="I1853"/>
    <hyperlink r:id="rId4026" ref="N1853"/>
    <hyperlink r:id="rId4027" ref="I1854"/>
    <hyperlink r:id="rId4028" ref="N1854"/>
    <hyperlink r:id="rId4029" ref="I1855"/>
    <hyperlink r:id="rId4030" ref="N1855"/>
    <hyperlink r:id="rId4031" ref="N1856"/>
    <hyperlink r:id="rId4032" ref="N1857"/>
    <hyperlink r:id="rId4033" ref="N1858"/>
    <hyperlink r:id="rId4034" ref="N1859"/>
    <hyperlink r:id="rId4035" ref="N1860"/>
    <hyperlink r:id="rId4036" ref="N1861"/>
    <hyperlink r:id="rId4037" ref="N1862"/>
    <hyperlink r:id="rId4038" ref="N1863"/>
    <hyperlink r:id="rId4039" ref="N1864"/>
    <hyperlink r:id="rId4040" ref="N1865"/>
    <hyperlink r:id="rId4041" ref="N1866"/>
    <hyperlink r:id="rId4042" ref="N1867"/>
    <hyperlink r:id="rId4043" ref="N1868"/>
    <hyperlink r:id="rId4044" ref="N1869"/>
    <hyperlink r:id="rId4045" ref="N1870"/>
    <hyperlink r:id="rId4046" ref="N1871"/>
    <hyperlink r:id="rId4047" ref="N1872"/>
    <hyperlink r:id="rId4048" ref="N1873"/>
    <hyperlink r:id="rId4049" ref="I1874"/>
    <hyperlink r:id="rId4050" ref="N1874"/>
    <hyperlink r:id="rId4051" ref="I1875"/>
    <hyperlink r:id="rId4052" ref="N1875"/>
    <hyperlink r:id="rId4053" ref="I1876"/>
    <hyperlink r:id="rId4054" ref="N1876"/>
    <hyperlink r:id="rId4055" ref="I1877"/>
    <hyperlink r:id="rId4056" ref="N1877"/>
    <hyperlink r:id="rId4057" ref="I1878"/>
    <hyperlink r:id="rId4058" ref="N1878"/>
    <hyperlink r:id="rId4059" ref="I1879"/>
    <hyperlink r:id="rId4060" ref="N1879"/>
    <hyperlink r:id="rId4061" ref="I1880"/>
    <hyperlink r:id="rId4062" ref="N1880"/>
    <hyperlink r:id="rId4063" ref="I1881"/>
    <hyperlink r:id="rId4064" ref="N1881"/>
    <hyperlink r:id="rId4065" ref="N1882"/>
    <hyperlink r:id="rId4066" ref="N1883"/>
    <hyperlink r:id="rId4067" ref="N1884"/>
    <hyperlink r:id="rId4068" ref="N1885"/>
    <hyperlink r:id="rId4069" ref="N1886"/>
    <hyperlink r:id="rId4070" ref="N1887"/>
    <hyperlink r:id="rId4071" ref="N1888"/>
    <hyperlink r:id="rId4072" ref="N1889"/>
    <hyperlink r:id="rId4073" ref="N1890"/>
    <hyperlink r:id="rId4074" ref="N1891"/>
    <hyperlink r:id="rId4075" ref="N1892"/>
    <hyperlink r:id="rId4076" ref="N1893"/>
    <hyperlink r:id="rId4077" ref="N1894"/>
    <hyperlink r:id="rId4078" ref="N1895"/>
    <hyperlink r:id="rId4079" ref="N1896"/>
    <hyperlink r:id="rId4080" ref="N1897"/>
    <hyperlink r:id="rId4081" ref="N1898"/>
    <hyperlink r:id="rId4082" ref="N1899"/>
    <hyperlink r:id="rId4083" ref="N1900"/>
    <hyperlink r:id="rId4084" ref="N1901"/>
    <hyperlink r:id="rId4085" ref="N1902"/>
    <hyperlink r:id="rId4086" ref="N1903"/>
    <hyperlink r:id="rId4087" ref="N1904"/>
    <hyperlink r:id="rId4088" ref="N1905"/>
    <hyperlink r:id="rId4089" ref="N1906"/>
    <hyperlink r:id="rId4090" ref="N1907"/>
    <hyperlink r:id="rId4091" ref="N1908"/>
    <hyperlink r:id="rId4092" ref="N1909"/>
    <hyperlink r:id="rId4093" ref="N1910"/>
    <hyperlink r:id="rId4094" ref="N1911"/>
    <hyperlink r:id="rId4095" ref="N1912"/>
    <hyperlink r:id="rId4096" ref="N1913"/>
    <hyperlink r:id="rId4097" ref="N1914"/>
    <hyperlink r:id="rId4098" ref="N1915"/>
    <hyperlink r:id="rId4099" ref="N1916"/>
    <hyperlink r:id="rId4100" ref="N1917"/>
    <hyperlink r:id="rId4101" ref="N1918"/>
    <hyperlink r:id="rId4102" ref="N1919"/>
    <hyperlink r:id="rId4103" ref="N1920"/>
    <hyperlink r:id="rId4104" ref="I1921"/>
    <hyperlink r:id="rId4105" ref="N1921"/>
    <hyperlink r:id="rId4106" ref="N1922"/>
    <hyperlink r:id="rId4107" ref="I1923"/>
    <hyperlink r:id="rId4108" ref="N1923"/>
    <hyperlink r:id="rId4109" ref="I1924"/>
    <hyperlink r:id="rId4110" ref="N1924"/>
    <hyperlink r:id="rId4111" ref="I1925"/>
    <hyperlink r:id="rId4112" ref="N1925"/>
    <hyperlink r:id="rId4113" ref="I1926"/>
    <hyperlink r:id="rId4114" ref="N1926"/>
    <hyperlink r:id="rId4115" ref="I1927"/>
    <hyperlink r:id="rId4116" ref="N1927"/>
    <hyperlink r:id="rId4117" ref="I1928"/>
    <hyperlink r:id="rId4118" ref="N1928"/>
    <hyperlink r:id="rId4119" ref="I1929"/>
    <hyperlink r:id="rId4120" ref="N1929"/>
    <hyperlink r:id="rId4121" ref="I1930"/>
    <hyperlink r:id="rId4122" ref="N1930"/>
    <hyperlink r:id="rId4123" ref="I1931"/>
    <hyperlink r:id="rId4124" ref="N1931"/>
    <hyperlink r:id="rId4125" ref="I1932"/>
    <hyperlink r:id="rId4126" ref="N1932"/>
    <hyperlink r:id="rId4127" ref="I1933"/>
    <hyperlink r:id="rId4128" ref="N1933"/>
    <hyperlink r:id="rId4129" ref="N1934"/>
    <hyperlink r:id="rId4130" ref="N1935"/>
    <hyperlink r:id="rId4131" ref="N1936"/>
    <hyperlink r:id="rId4132" ref="N1937"/>
    <hyperlink r:id="rId4133" ref="N1938"/>
    <hyperlink r:id="rId4134" ref="N1939"/>
    <hyperlink r:id="rId4135" ref="N1940"/>
    <hyperlink r:id="rId4136" ref="N1941"/>
    <hyperlink r:id="rId4137" ref="N1942"/>
    <hyperlink r:id="rId4138" ref="I1943"/>
    <hyperlink r:id="rId4139" ref="N1943"/>
    <hyperlink r:id="rId4140" ref="I1944"/>
    <hyperlink r:id="rId4141" ref="N1944"/>
    <hyperlink r:id="rId4142" ref="I1945"/>
    <hyperlink r:id="rId4143" ref="N1945"/>
    <hyperlink r:id="rId4144" ref="I1946"/>
    <hyperlink r:id="rId4145" ref="N1946"/>
    <hyperlink r:id="rId4146" ref="I1947"/>
    <hyperlink r:id="rId4147" ref="N1947"/>
    <hyperlink r:id="rId4148" ref="I1948"/>
    <hyperlink r:id="rId4149" ref="N1948"/>
    <hyperlink r:id="rId4150" ref="I1949"/>
    <hyperlink r:id="rId4151" ref="N1949"/>
    <hyperlink r:id="rId4152" ref="I1950"/>
    <hyperlink r:id="rId4153" ref="N1950"/>
    <hyperlink r:id="rId4154" ref="I1951"/>
    <hyperlink r:id="rId4155" ref="N1951"/>
    <hyperlink r:id="rId4156" ref="I1952"/>
    <hyperlink r:id="rId4157" ref="N1952"/>
    <hyperlink r:id="rId4158" ref="I1953"/>
    <hyperlink r:id="rId4159" ref="N1953"/>
    <hyperlink r:id="rId4160" ref="I1954"/>
    <hyperlink r:id="rId4161" ref="N1954"/>
    <hyperlink r:id="rId4162" ref="I1955"/>
    <hyperlink r:id="rId4163" ref="N1955"/>
    <hyperlink r:id="rId4164" ref="N1956"/>
    <hyperlink r:id="rId4165" ref="N1957"/>
    <hyperlink r:id="rId4166" ref="N1958"/>
    <hyperlink r:id="rId4167" ref="N1959"/>
    <hyperlink r:id="rId4168" ref="I1960"/>
    <hyperlink r:id="rId4169" ref="N1960"/>
    <hyperlink r:id="rId4170" ref="I1961"/>
    <hyperlink r:id="rId4171" ref="N1961"/>
    <hyperlink r:id="rId4172" ref="I1962"/>
    <hyperlink r:id="rId4173" ref="N1962"/>
    <hyperlink r:id="rId4174" ref="I1963"/>
    <hyperlink r:id="rId4175" ref="N1963"/>
    <hyperlink r:id="rId4176" ref="I1964"/>
    <hyperlink r:id="rId4177" ref="N1964"/>
    <hyperlink r:id="rId4178" ref="I1965"/>
    <hyperlink r:id="rId4179" ref="N1965"/>
    <hyperlink r:id="rId4180" ref="I1966"/>
    <hyperlink r:id="rId4181" ref="N1966"/>
    <hyperlink r:id="rId4182" ref="I1967"/>
    <hyperlink r:id="rId4183" ref="N1967"/>
    <hyperlink r:id="rId4184" ref="I1968"/>
    <hyperlink r:id="rId4185" ref="N1968"/>
    <hyperlink r:id="rId4186" ref="I1969"/>
    <hyperlink r:id="rId4187" ref="N1969"/>
    <hyperlink r:id="rId4188" ref="I1970"/>
    <hyperlink r:id="rId4189" ref="N1970"/>
    <hyperlink r:id="rId4190" ref="N1971"/>
    <hyperlink r:id="rId4191" ref="N1972"/>
    <hyperlink r:id="rId4192" ref="N1973"/>
    <hyperlink r:id="rId4193" ref="N1974"/>
    <hyperlink r:id="rId4194" ref="N1975"/>
    <hyperlink r:id="rId4195" ref="N1976"/>
    <hyperlink r:id="rId4196" ref="N1977"/>
    <hyperlink r:id="rId4197" ref="N1978"/>
    <hyperlink r:id="rId4198" ref="N1979"/>
    <hyperlink r:id="rId4199" ref="N1980"/>
    <hyperlink r:id="rId4200" ref="N1981"/>
    <hyperlink r:id="rId4201" ref="N1982"/>
    <hyperlink r:id="rId4202" ref="N1983"/>
    <hyperlink r:id="rId4203" ref="N1984"/>
    <hyperlink r:id="rId4204" ref="N1985"/>
    <hyperlink r:id="rId4205" ref="N1986"/>
    <hyperlink r:id="rId4206" ref="I1987"/>
    <hyperlink r:id="rId4207" ref="N1987"/>
    <hyperlink r:id="rId4208" ref="I1988"/>
    <hyperlink r:id="rId4209" ref="N1988"/>
    <hyperlink r:id="rId4210" ref="I1989"/>
    <hyperlink r:id="rId4211" ref="N1989"/>
    <hyperlink r:id="rId4212" ref="I1990"/>
    <hyperlink r:id="rId4213" ref="N1990"/>
    <hyperlink r:id="rId4214" ref="I1991"/>
    <hyperlink r:id="rId4215" ref="N1991"/>
    <hyperlink r:id="rId4216" ref="N1992"/>
    <hyperlink r:id="rId4217" ref="N1993"/>
    <hyperlink r:id="rId4218" ref="N1994"/>
    <hyperlink r:id="rId4219" ref="N1995"/>
    <hyperlink r:id="rId4220" ref="N1996"/>
    <hyperlink r:id="rId4221" ref="N1997"/>
    <hyperlink r:id="rId4222" ref="N1998"/>
    <hyperlink r:id="rId4223" ref="N1999"/>
    <hyperlink r:id="rId4224" ref="N2000"/>
    <hyperlink r:id="rId4225" ref="N2001"/>
    <hyperlink r:id="rId4226" ref="I2002"/>
    <hyperlink r:id="rId4227" ref="N2002"/>
    <hyperlink r:id="rId4228" ref="I2003"/>
    <hyperlink r:id="rId4229" ref="N2003"/>
    <hyperlink r:id="rId4230" ref="I2004"/>
    <hyperlink r:id="rId4231" ref="N2004"/>
    <hyperlink r:id="rId4232" ref="N2005"/>
    <hyperlink r:id="rId4233" ref="N2006"/>
    <hyperlink r:id="rId4234" ref="N2007"/>
    <hyperlink r:id="rId4235" ref="N2008"/>
    <hyperlink r:id="rId4236" ref="N2009"/>
    <hyperlink r:id="rId4237" ref="N2010"/>
    <hyperlink r:id="rId4238" ref="N2011"/>
    <hyperlink r:id="rId4239" ref="N2012"/>
    <hyperlink r:id="rId4240" ref="N2013"/>
    <hyperlink r:id="rId4241" ref="N2014"/>
    <hyperlink r:id="rId4242" ref="N2015"/>
    <hyperlink r:id="rId4243" ref="N2016"/>
    <hyperlink r:id="rId4244" ref="N2017"/>
    <hyperlink r:id="rId4245" ref="N2018"/>
    <hyperlink r:id="rId4246" ref="N2019"/>
    <hyperlink r:id="rId4247" ref="N2020"/>
    <hyperlink r:id="rId4248" ref="N2021"/>
    <hyperlink r:id="rId4249" ref="N2022"/>
    <hyperlink r:id="rId4250" ref="N2023"/>
    <hyperlink r:id="rId4251" ref="N2024"/>
    <hyperlink r:id="rId4252" ref="N2025"/>
    <hyperlink r:id="rId4253" ref="N2026"/>
    <hyperlink r:id="rId4254" ref="N2027"/>
    <hyperlink r:id="rId4255" ref="N2028"/>
    <hyperlink r:id="rId4256" ref="N2029"/>
    <hyperlink r:id="rId4257" ref="N2030"/>
    <hyperlink r:id="rId4258" ref="N2031"/>
    <hyperlink r:id="rId4259" ref="N2032"/>
    <hyperlink r:id="rId4260" ref="N2033"/>
    <hyperlink r:id="rId4261" ref="N2034"/>
    <hyperlink r:id="rId4262" ref="N2035"/>
    <hyperlink r:id="rId4263" ref="N2036"/>
    <hyperlink r:id="rId4264" ref="N2037"/>
    <hyperlink r:id="rId4265" ref="N2038"/>
    <hyperlink r:id="rId4266" ref="N2039"/>
    <hyperlink r:id="rId4267" ref="N2040"/>
    <hyperlink r:id="rId4268" ref="N2041"/>
    <hyperlink r:id="rId4269" ref="N2042"/>
    <hyperlink r:id="rId4270" ref="N2043"/>
    <hyperlink r:id="rId4271" ref="N2044"/>
    <hyperlink r:id="rId4272" ref="N2045"/>
    <hyperlink r:id="rId4273" ref="N2046"/>
    <hyperlink r:id="rId4274" ref="N2047"/>
    <hyperlink r:id="rId4275" ref="N2048"/>
    <hyperlink r:id="rId4276" ref="I2049"/>
    <hyperlink r:id="rId4277" ref="N2049"/>
    <hyperlink r:id="rId4278" ref="I2050"/>
    <hyperlink r:id="rId4279" ref="N2050"/>
    <hyperlink r:id="rId4280" ref="I2051"/>
    <hyperlink r:id="rId4281" ref="N2051"/>
    <hyperlink r:id="rId4282" ref="I2052"/>
    <hyperlink r:id="rId4283" ref="N2052"/>
    <hyperlink r:id="rId4284" ref="I2053"/>
    <hyperlink r:id="rId4285" ref="N2053"/>
    <hyperlink r:id="rId4286" ref="I2054"/>
    <hyperlink r:id="rId4287" ref="N2054"/>
    <hyperlink r:id="rId4288" ref="N2055"/>
    <hyperlink r:id="rId4289" ref="N2056"/>
    <hyperlink r:id="rId4290" ref="N2057"/>
    <hyperlink r:id="rId4291" ref="N2058"/>
    <hyperlink r:id="rId4292" ref="N2059"/>
    <hyperlink r:id="rId4293" ref="N2060"/>
    <hyperlink r:id="rId4294" ref="N2061"/>
    <hyperlink r:id="rId4295" ref="N2062"/>
    <hyperlink r:id="rId4296" ref="N2063"/>
    <hyperlink r:id="rId4297" ref="N2064"/>
    <hyperlink r:id="rId4298" ref="N2065"/>
    <hyperlink r:id="rId4299" ref="N2066"/>
    <hyperlink r:id="rId4300" ref="N2067"/>
    <hyperlink r:id="rId4301" ref="I2068"/>
    <hyperlink r:id="rId4302" ref="N2068"/>
    <hyperlink r:id="rId4303" ref="I2069"/>
    <hyperlink r:id="rId4304" ref="N2069"/>
    <hyperlink r:id="rId4305" ref="I2070"/>
    <hyperlink r:id="rId4306" ref="N2070"/>
    <hyperlink r:id="rId4307" ref="I2071"/>
    <hyperlink r:id="rId4308" ref="N2071"/>
    <hyperlink r:id="rId4309" ref="I2072"/>
    <hyperlink r:id="rId4310" ref="N2072"/>
    <hyperlink r:id="rId4311" ref="I2073"/>
    <hyperlink r:id="rId4312" ref="N2073"/>
    <hyperlink r:id="rId4313" ref="I2074"/>
    <hyperlink r:id="rId4314" ref="N2074"/>
    <hyperlink r:id="rId4315" ref="I2075"/>
    <hyperlink r:id="rId4316" ref="N2075"/>
    <hyperlink r:id="rId4317" ref="I2076"/>
    <hyperlink r:id="rId4318" ref="N2076"/>
    <hyperlink r:id="rId4319" ref="I2077"/>
    <hyperlink r:id="rId4320" ref="N2077"/>
    <hyperlink r:id="rId4321" ref="I2078"/>
    <hyperlink r:id="rId4322" ref="N2078"/>
    <hyperlink r:id="rId4323" ref="I2079"/>
    <hyperlink r:id="rId4324" ref="N2079"/>
    <hyperlink r:id="rId4325" ref="N2080"/>
    <hyperlink r:id="rId4326" ref="N2081"/>
    <hyperlink r:id="rId4327" ref="N2082"/>
    <hyperlink r:id="rId4328" ref="N2083"/>
    <hyperlink r:id="rId4329" ref="N2084"/>
    <hyperlink r:id="rId4330" ref="N2085"/>
    <hyperlink r:id="rId4331" ref="N2086"/>
    <hyperlink r:id="rId4332" ref="N2087"/>
    <hyperlink r:id="rId4333" ref="N2088"/>
    <hyperlink r:id="rId4334" ref="N2089"/>
    <hyperlink r:id="rId4335" ref="N2090"/>
    <hyperlink r:id="rId4336" ref="N2091"/>
    <hyperlink r:id="rId4337" ref="N2092"/>
    <hyperlink r:id="rId4338" ref="N2093"/>
    <hyperlink r:id="rId4339" ref="N2094"/>
    <hyperlink r:id="rId4340" ref="N2095"/>
    <hyperlink r:id="rId4341" ref="I2096"/>
    <hyperlink r:id="rId4342" ref="N2096"/>
    <hyperlink r:id="rId4343" ref="I2097"/>
    <hyperlink r:id="rId4344" ref="N2097"/>
    <hyperlink r:id="rId4345" ref="I2098"/>
    <hyperlink r:id="rId4346" ref="N2098"/>
    <hyperlink r:id="rId4347" ref="I2099"/>
    <hyperlink r:id="rId4348" ref="N2099"/>
    <hyperlink r:id="rId4349" ref="I2100"/>
    <hyperlink r:id="rId4350" ref="N2100"/>
    <hyperlink r:id="rId4351" ref="I2101"/>
    <hyperlink r:id="rId4352" ref="N2101"/>
    <hyperlink r:id="rId4353" ref="I2102"/>
    <hyperlink r:id="rId4354" ref="N2102"/>
    <hyperlink r:id="rId4355" ref="I2103"/>
    <hyperlink r:id="rId4356" ref="N2103"/>
    <hyperlink r:id="rId4357" ref="I2104"/>
    <hyperlink r:id="rId4358" ref="N2104"/>
    <hyperlink r:id="rId4359" ref="N2105"/>
    <hyperlink r:id="rId4360" ref="N2106"/>
    <hyperlink r:id="rId4361" ref="N2107"/>
    <hyperlink r:id="rId4362" ref="N2108"/>
    <hyperlink r:id="rId4363" ref="N2109"/>
    <hyperlink r:id="rId4364" ref="N2110"/>
    <hyperlink r:id="rId4365" ref="N2111"/>
    <hyperlink r:id="rId4366" ref="N2112"/>
    <hyperlink r:id="rId4367" ref="N2113"/>
    <hyperlink r:id="rId4368" ref="N2114"/>
    <hyperlink r:id="rId4369" ref="N2115"/>
    <hyperlink r:id="rId4370" ref="N2116"/>
    <hyperlink r:id="rId4371" ref="N2117"/>
    <hyperlink r:id="rId4372" ref="N2118"/>
    <hyperlink r:id="rId4373" ref="N2119"/>
    <hyperlink r:id="rId4374" ref="N2120"/>
    <hyperlink r:id="rId4375" ref="N2121"/>
    <hyperlink r:id="rId4376" ref="N2122"/>
    <hyperlink r:id="rId4377" ref="N2123"/>
    <hyperlink r:id="rId4378" ref="N2124"/>
    <hyperlink r:id="rId4379" ref="N2125"/>
    <hyperlink r:id="rId4380" ref="N2126"/>
    <hyperlink r:id="rId4381" ref="N2127"/>
    <hyperlink r:id="rId4382" ref="N2128"/>
    <hyperlink r:id="rId4383" ref="N2129"/>
    <hyperlink r:id="rId4384" ref="N2130"/>
    <hyperlink r:id="rId4385" ref="N2131"/>
    <hyperlink r:id="rId4386" ref="N2132"/>
    <hyperlink r:id="rId4387" ref="N2133"/>
    <hyperlink r:id="rId4388" ref="N2134"/>
    <hyperlink r:id="rId4389" ref="N2135"/>
    <hyperlink r:id="rId4390" ref="N2136"/>
    <hyperlink r:id="rId4391" ref="N2137"/>
    <hyperlink r:id="rId4392" ref="N2138"/>
    <hyperlink r:id="rId4393" ref="N2139"/>
    <hyperlink r:id="rId4394" ref="N2140"/>
    <hyperlink r:id="rId4395" ref="N2141"/>
    <hyperlink r:id="rId4396" ref="N2142"/>
    <hyperlink r:id="rId4397" ref="N2143"/>
    <hyperlink r:id="rId4398" ref="N2144"/>
    <hyperlink r:id="rId4399" ref="N2145"/>
    <hyperlink r:id="rId4400" ref="N2146"/>
    <hyperlink r:id="rId4401" ref="N2147"/>
    <hyperlink r:id="rId4402" ref="N2148"/>
    <hyperlink r:id="rId4403" ref="N2149"/>
    <hyperlink r:id="rId4404" ref="N2150"/>
    <hyperlink r:id="rId4405" ref="N2151"/>
    <hyperlink r:id="rId4406" ref="N2152"/>
    <hyperlink r:id="rId4407" ref="N2153"/>
    <hyperlink r:id="rId4408" ref="N2154"/>
    <hyperlink r:id="rId4409" ref="N2155"/>
    <hyperlink r:id="rId4410" ref="N2156"/>
    <hyperlink r:id="rId4411" ref="N2157"/>
    <hyperlink r:id="rId4412" ref="N2158"/>
    <hyperlink r:id="rId4413" ref="N2159"/>
    <hyperlink r:id="rId4414" ref="N2160"/>
    <hyperlink r:id="rId4415" ref="N2161"/>
    <hyperlink r:id="rId4416" ref="N2162"/>
    <hyperlink r:id="rId4417" ref="N2163"/>
    <hyperlink r:id="rId4418" ref="N2164"/>
    <hyperlink r:id="rId4419" ref="N2165"/>
    <hyperlink r:id="rId4420" ref="N2166"/>
    <hyperlink r:id="rId4421" ref="N2167"/>
    <hyperlink r:id="rId4422" ref="N2168"/>
    <hyperlink r:id="rId4423" ref="N2169"/>
    <hyperlink r:id="rId4424" ref="N2170"/>
    <hyperlink r:id="rId4425" ref="N2171"/>
    <hyperlink r:id="rId4426" ref="N2172"/>
    <hyperlink r:id="rId4427" ref="N2173"/>
    <hyperlink r:id="rId4428" ref="N2174"/>
    <hyperlink r:id="rId4429" ref="N2175"/>
    <hyperlink r:id="rId4430" ref="N2176"/>
    <hyperlink r:id="rId4431" ref="N2177"/>
    <hyperlink r:id="rId4432" ref="N2178"/>
    <hyperlink r:id="rId4433" ref="N2179"/>
    <hyperlink r:id="rId4434" ref="N2180"/>
    <hyperlink r:id="rId4435" ref="N2181"/>
    <hyperlink r:id="rId4436" ref="N2182"/>
    <hyperlink r:id="rId4437" ref="N2183"/>
    <hyperlink r:id="rId4438" ref="N2184"/>
    <hyperlink r:id="rId4439" ref="N2185"/>
    <hyperlink r:id="rId4440" ref="N2186"/>
    <hyperlink r:id="rId4441" ref="N2187"/>
    <hyperlink r:id="rId4442" ref="N2188"/>
    <hyperlink r:id="rId4443" ref="N2189"/>
    <hyperlink r:id="rId4444" ref="N2190"/>
    <hyperlink r:id="rId4445" ref="N2191"/>
    <hyperlink r:id="rId4446" ref="N2192"/>
    <hyperlink r:id="rId4447" ref="N2193"/>
    <hyperlink r:id="rId4448" ref="N2194"/>
    <hyperlink r:id="rId4449" ref="N2195"/>
    <hyperlink r:id="rId4450" ref="N2196"/>
    <hyperlink r:id="rId4451" ref="N2197"/>
    <hyperlink r:id="rId4452" ref="N2198"/>
    <hyperlink r:id="rId4453" ref="N2199"/>
    <hyperlink r:id="rId4454" ref="N2200"/>
    <hyperlink r:id="rId4455" ref="N2201"/>
    <hyperlink r:id="rId4456" ref="N2202"/>
    <hyperlink r:id="rId4457" ref="N2203"/>
    <hyperlink r:id="rId4458" ref="N2204"/>
    <hyperlink r:id="rId4459" ref="N2205"/>
    <hyperlink r:id="rId4460" ref="N2206"/>
    <hyperlink r:id="rId4461" ref="N2207"/>
    <hyperlink r:id="rId4462" ref="N2208"/>
    <hyperlink r:id="rId4463" ref="N2209"/>
    <hyperlink r:id="rId4464" ref="N2210"/>
    <hyperlink r:id="rId4465" ref="N2211"/>
    <hyperlink r:id="rId4466" ref="N2212"/>
    <hyperlink r:id="rId4467" ref="N2213"/>
    <hyperlink r:id="rId4468" ref="N2214"/>
    <hyperlink r:id="rId4469" ref="N2215"/>
    <hyperlink r:id="rId4470" ref="N2216"/>
    <hyperlink r:id="rId4471" ref="N2217"/>
    <hyperlink r:id="rId4472" ref="N2218"/>
    <hyperlink r:id="rId4473" ref="N2219"/>
    <hyperlink r:id="rId4474" ref="N2220"/>
    <hyperlink r:id="rId4475" ref="N2221"/>
    <hyperlink r:id="rId4476" ref="N2222"/>
    <hyperlink r:id="rId4477" ref="N2223"/>
    <hyperlink r:id="rId4478" ref="N2224"/>
    <hyperlink r:id="rId4479" ref="N2225"/>
    <hyperlink r:id="rId4480" ref="N2226"/>
    <hyperlink r:id="rId4481" ref="N2227"/>
    <hyperlink r:id="rId4482" ref="N2228"/>
    <hyperlink r:id="rId4483" ref="N2229"/>
    <hyperlink r:id="rId4484" ref="N2230"/>
    <hyperlink r:id="rId4485" ref="N2231"/>
    <hyperlink r:id="rId4486" ref="N2232"/>
    <hyperlink r:id="rId4487" ref="N2233"/>
    <hyperlink r:id="rId4488" ref="N2234"/>
    <hyperlink r:id="rId4489" ref="N2235"/>
    <hyperlink r:id="rId4490" ref="N2236"/>
    <hyperlink r:id="rId4491" ref="N2237"/>
    <hyperlink r:id="rId4492" ref="N2238"/>
    <hyperlink r:id="rId4493" ref="N2239"/>
    <hyperlink r:id="rId4494" ref="N2240"/>
    <hyperlink r:id="rId4495" ref="N2241"/>
    <hyperlink r:id="rId4496" ref="N2242"/>
    <hyperlink r:id="rId4497" ref="N2243"/>
    <hyperlink r:id="rId4498" ref="N2244"/>
    <hyperlink r:id="rId4499" ref="N2245"/>
    <hyperlink r:id="rId4500" ref="N2246"/>
    <hyperlink r:id="rId4501" ref="N2247"/>
    <hyperlink r:id="rId4502" ref="N2248"/>
    <hyperlink r:id="rId4503" ref="N2249"/>
    <hyperlink r:id="rId4504" ref="N2250"/>
    <hyperlink r:id="rId4505" ref="N2251"/>
    <hyperlink r:id="rId4506" ref="N2252"/>
    <hyperlink r:id="rId4507" ref="N2253"/>
    <hyperlink r:id="rId4508" ref="N2254"/>
    <hyperlink r:id="rId4509" ref="N2255"/>
    <hyperlink r:id="rId4510" ref="N2256"/>
    <hyperlink r:id="rId4511" ref="N2257"/>
    <hyperlink r:id="rId4512" ref="N2258"/>
    <hyperlink r:id="rId4513" ref="N2259"/>
    <hyperlink r:id="rId4514" ref="N2260"/>
    <hyperlink r:id="rId4515" ref="N2261"/>
    <hyperlink r:id="rId4516" ref="I2262"/>
    <hyperlink r:id="rId4517" ref="N2262"/>
    <hyperlink r:id="rId4518" ref="I2263"/>
    <hyperlink r:id="rId4519" ref="N2263"/>
    <hyperlink r:id="rId4520" ref="I2264"/>
    <hyperlink r:id="rId4521" ref="N2264"/>
    <hyperlink r:id="rId4522" ref="I2265"/>
    <hyperlink r:id="rId4523" ref="N2265"/>
    <hyperlink r:id="rId4524" ref="N2266"/>
    <hyperlink r:id="rId4525" ref="N2267"/>
    <hyperlink r:id="rId4526" ref="N2268"/>
    <hyperlink r:id="rId4527" ref="N2269"/>
    <hyperlink r:id="rId4528" ref="I2270"/>
    <hyperlink r:id="rId4529" ref="N2270"/>
    <hyperlink r:id="rId4530" ref="I2271"/>
    <hyperlink r:id="rId4531" ref="N2271"/>
    <hyperlink r:id="rId4532" ref="I2272"/>
    <hyperlink r:id="rId4533" ref="N2272"/>
    <hyperlink r:id="rId4534" ref="I2273"/>
    <hyperlink r:id="rId4535" ref="N2273"/>
    <hyperlink r:id="rId4536" ref="I2274"/>
    <hyperlink r:id="rId4537" ref="N2274"/>
    <hyperlink r:id="rId4538" ref="I2275"/>
    <hyperlink r:id="rId4539" ref="N2275"/>
    <hyperlink r:id="rId4540" ref="N2276"/>
    <hyperlink r:id="rId4541" ref="N2277"/>
    <hyperlink r:id="rId4542" ref="N2278"/>
    <hyperlink r:id="rId4543" ref="N2279"/>
    <hyperlink r:id="rId4544" ref="N2280"/>
    <hyperlink r:id="rId4545" ref="N2281"/>
    <hyperlink r:id="rId4546" ref="N2282"/>
    <hyperlink r:id="rId4547" ref="N2283"/>
    <hyperlink r:id="rId4548" ref="N2284"/>
    <hyperlink r:id="rId4549" ref="N2285"/>
    <hyperlink r:id="rId4550" ref="N2286"/>
    <hyperlink r:id="rId4551" ref="N2287"/>
    <hyperlink r:id="rId4552" ref="N2288"/>
    <hyperlink r:id="rId4553" ref="N2289"/>
    <hyperlink r:id="rId4554" ref="N2290"/>
    <hyperlink r:id="rId4555" ref="N2291"/>
    <hyperlink r:id="rId4556" ref="N2292"/>
    <hyperlink r:id="rId4557" ref="N2293"/>
    <hyperlink r:id="rId4558" ref="N2294"/>
    <hyperlink r:id="rId4559" ref="I2295"/>
    <hyperlink r:id="rId4560" ref="N2295"/>
    <hyperlink r:id="rId4561" ref="I2296"/>
    <hyperlink r:id="rId4562" ref="N2296"/>
    <hyperlink r:id="rId4563" ref="I2297"/>
    <hyperlink r:id="rId4564" ref="N2297"/>
    <hyperlink r:id="rId4565" ref="I2298"/>
    <hyperlink r:id="rId4566" ref="N2298"/>
    <hyperlink r:id="rId4567" ref="I2299"/>
    <hyperlink r:id="rId4568" ref="N2299"/>
    <hyperlink r:id="rId4569" ref="I2300"/>
    <hyperlink r:id="rId4570" ref="N2300"/>
    <hyperlink r:id="rId4571" ref="N2301"/>
    <hyperlink r:id="rId4572" ref="N2302"/>
    <hyperlink r:id="rId4573" ref="N2303"/>
    <hyperlink r:id="rId4574" ref="N2304"/>
    <hyperlink r:id="rId4575" ref="N2305"/>
    <hyperlink r:id="rId4576" ref="N2306"/>
    <hyperlink r:id="rId4577" ref="N2307"/>
    <hyperlink r:id="rId4578" ref="N2308"/>
    <hyperlink r:id="rId4579" ref="N2309"/>
    <hyperlink r:id="rId4580" ref="N2310"/>
    <hyperlink r:id="rId4581" ref="N2311"/>
    <hyperlink r:id="rId4582" ref="N2312"/>
    <hyperlink r:id="rId4583" ref="N2313"/>
    <hyperlink r:id="rId4584" ref="N2314"/>
    <hyperlink r:id="rId4585" ref="N2315"/>
    <hyperlink r:id="rId4586" ref="N2316"/>
    <hyperlink r:id="rId4587" ref="N2317"/>
    <hyperlink r:id="rId4588" ref="N2318"/>
    <hyperlink r:id="rId4589" ref="N2319"/>
    <hyperlink r:id="rId4590" ref="N2320"/>
    <hyperlink r:id="rId4591" ref="N2321"/>
    <hyperlink r:id="rId4592" ref="N2322"/>
    <hyperlink r:id="rId4593" ref="N2323"/>
    <hyperlink r:id="rId4594" ref="N2324"/>
    <hyperlink r:id="rId4595" ref="N2325"/>
    <hyperlink r:id="rId4596" ref="N2326"/>
    <hyperlink r:id="rId4597" ref="N2327"/>
    <hyperlink r:id="rId4598" ref="N2328"/>
    <hyperlink r:id="rId4599" ref="N2329"/>
    <hyperlink r:id="rId4600" ref="N2330"/>
    <hyperlink r:id="rId4601" ref="N2331"/>
    <hyperlink r:id="rId4602" ref="N2332"/>
    <hyperlink r:id="rId4603" ref="N2333"/>
    <hyperlink r:id="rId4604" ref="N2334"/>
    <hyperlink r:id="rId4605" ref="N2335"/>
    <hyperlink r:id="rId4606" ref="N2336"/>
    <hyperlink r:id="rId4607" ref="N2337"/>
    <hyperlink r:id="rId4608" ref="N2338"/>
    <hyperlink r:id="rId4609" ref="N2339"/>
    <hyperlink r:id="rId4610" ref="N2340"/>
    <hyperlink r:id="rId4611" ref="N2341"/>
    <hyperlink r:id="rId4612" ref="N2342"/>
    <hyperlink r:id="rId4613" ref="N2343"/>
    <hyperlink r:id="rId4614" ref="N2344"/>
    <hyperlink r:id="rId4615" ref="N2345"/>
    <hyperlink r:id="rId4616" ref="N2346"/>
    <hyperlink r:id="rId4617" ref="N2347"/>
    <hyperlink r:id="rId4618" ref="N2348"/>
    <hyperlink r:id="rId4619" ref="N2349"/>
    <hyperlink r:id="rId4620" ref="N2350"/>
    <hyperlink r:id="rId4621" ref="N2351"/>
    <hyperlink r:id="rId4622" ref="N2352"/>
    <hyperlink r:id="rId4623" ref="N2353"/>
    <hyperlink r:id="rId4624" ref="N2354"/>
    <hyperlink r:id="rId4625" ref="N2355"/>
    <hyperlink r:id="rId4626" ref="N2356"/>
    <hyperlink r:id="rId4627" ref="N2357"/>
    <hyperlink r:id="rId4628" ref="N2358"/>
    <hyperlink r:id="rId4629" ref="N2359"/>
    <hyperlink r:id="rId4630" ref="N2360"/>
    <hyperlink r:id="rId4631" ref="N2361"/>
    <hyperlink r:id="rId4632" ref="N2362"/>
    <hyperlink r:id="rId4633" ref="N2363"/>
    <hyperlink r:id="rId4634" ref="I2364"/>
    <hyperlink r:id="rId4635" ref="N2364"/>
    <hyperlink r:id="rId4636" ref="I2365"/>
    <hyperlink r:id="rId4637" ref="N2365"/>
    <hyperlink r:id="rId4638" ref="N2366"/>
    <hyperlink r:id="rId4639" ref="N2367"/>
    <hyperlink r:id="rId4640" ref="N2368"/>
    <hyperlink r:id="rId4641" ref="N2369"/>
    <hyperlink r:id="rId4642" ref="N2370"/>
    <hyperlink r:id="rId4643" ref="N2371"/>
    <hyperlink r:id="rId4644" ref="N2372"/>
    <hyperlink r:id="rId4645" ref="N2373"/>
    <hyperlink r:id="rId4646" ref="N2374"/>
    <hyperlink r:id="rId4647" ref="N2375"/>
    <hyperlink r:id="rId4648" ref="N2376"/>
    <hyperlink r:id="rId4649" ref="N2377"/>
    <hyperlink r:id="rId4650" ref="N2378"/>
    <hyperlink r:id="rId4651" ref="N2379"/>
    <hyperlink r:id="rId4652" ref="N2380"/>
    <hyperlink r:id="rId4653" ref="N2381"/>
    <hyperlink r:id="rId4654" ref="N2382"/>
    <hyperlink r:id="rId4655" ref="N2383"/>
    <hyperlink r:id="rId4656" ref="N2384"/>
    <hyperlink r:id="rId4657" ref="N2385"/>
    <hyperlink r:id="rId4658" ref="N2386"/>
    <hyperlink r:id="rId4659" ref="N2387"/>
    <hyperlink r:id="rId4660" ref="N2388"/>
    <hyperlink r:id="rId4661" ref="N2389"/>
    <hyperlink r:id="rId4662" ref="N2390"/>
    <hyperlink r:id="rId4663" ref="N2391"/>
    <hyperlink r:id="rId4664" ref="N2392"/>
    <hyperlink r:id="rId4665" ref="N2393"/>
    <hyperlink r:id="rId4666" ref="N2394"/>
    <hyperlink r:id="rId4667" ref="N2395"/>
    <hyperlink r:id="rId4668" ref="N2396"/>
    <hyperlink r:id="rId4669" ref="N2397"/>
    <hyperlink r:id="rId4670" ref="I2398"/>
    <hyperlink r:id="rId4671" ref="N2398"/>
    <hyperlink r:id="rId4672" ref="I2399"/>
    <hyperlink r:id="rId4673" ref="N2399"/>
    <hyperlink r:id="rId4674" ref="N2400"/>
    <hyperlink r:id="rId4675" ref="N2401"/>
    <hyperlink r:id="rId4676" ref="N2402"/>
    <hyperlink r:id="rId4677" ref="N2403"/>
    <hyperlink r:id="rId4678" ref="N2404"/>
    <hyperlink r:id="rId4679" ref="N2405"/>
    <hyperlink r:id="rId4680" ref="N2406"/>
    <hyperlink r:id="rId4681" ref="N2407"/>
    <hyperlink r:id="rId4682" ref="N2408"/>
    <hyperlink r:id="rId4683" ref="N2409"/>
    <hyperlink r:id="rId4684" ref="N2410"/>
    <hyperlink r:id="rId4685" ref="N2411"/>
    <hyperlink r:id="rId4686" ref="N2412"/>
    <hyperlink r:id="rId4687" ref="N2413"/>
    <hyperlink r:id="rId4688" ref="N2414"/>
    <hyperlink r:id="rId4689" ref="N2415"/>
    <hyperlink r:id="rId4690" ref="N2416"/>
    <hyperlink r:id="rId4691" ref="N2417"/>
    <hyperlink r:id="rId4692" ref="N2418"/>
    <hyperlink r:id="rId4693" ref="N2419"/>
    <hyperlink r:id="rId4694" ref="N2420"/>
    <hyperlink r:id="rId4695" ref="N2421"/>
    <hyperlink r:id="rId4696" ref="N2422"/>
    <hyperlink r:id="rId4697" ref="N2423"/>
    <hyperlink r:id="rId4698" ref="N2424"/>
    <hyperlink r:id="rId4699" ref="N2425"/>
    <hyperlink r:id="rId4700" ref="N2426"/>
    <hyperlink r:id="rId4701" ref="N2427"/>
    <hyperlink r:id="rId4702" ref="N2428"/>
    <hyperlink r:id="rId4703" ref="N2429"/>
    <hyperlink r:id="rId4704" ref="N2430"/>
    <hyperlink r:id="rId4705" ref="N2431"/>
    <hyperlink r:id="rId4706" ref="N2432"/>
    <hyperlink r:id="rId4707" ref="N2433"/>
    <hyperlink r:id="rId4708" ref="N2434"/>
    <hyperlink r:id="rId4709" ref="N2435"/>
    <hyperlink r:id="rId4710" ref="N2436"/>
    <hyperlink r:id="rId4711" ref="N2437"/>
    <hyperlink r:id="rId4712" ref="N2438"/>
    <hyperlink r:id="rId4713" ref="N2439"/>
    <hyperlink r:id="rId4714" ref="N2440"/>
    <hyperlink r:id="rId4715" ref="N2441"/>
    <hyperlink r:id="rId4716" ref="N2442"/>
    <hyperlink r:id="rId4717" ref="N2443"/>
    <hyperlink r:id="rId4718" ref="N2444"/>
    <hyperlink r:id="rId4719" ref="N2445"/>
    <hyperlink r:id="rId4720" ref="N2446"/>
    <hyperlink r:id="rId4721" ref="N2447"/>
    <hyperlink r:id="rId4722" ref="N2448"/>
    <hyperlink r:id="rId4723" ref="N2449"/>
    <hyperlink r:id="rId4724" ref="N2450"/>
    <hyperlink r:id="rId4725" ref="N2451"/>
    <hyperlink r:id="rId4726" ref="N2452"/>
    <hyperlink r:id="rId4727" ref="N2453"/>
    <hyperlink r:id="rId4728" ref="N2454"/>
    <hyperlink r:id="rId4729" ref="N2455"/>
    <hyperlink r:id="rId4730" ref="N2456"/>
    <hyperlink r:id="rId4731" ref="N2457"/>
    <hyperlink r:id="rId4732" ref="N2458"/>
    <hyperlink r:id="rId4733" ref="N2459"/>
    <hyperlink r:id="rId4734" ref="N2460"/>
    <hyperlink r:id="rId4735" ref="N2461"/>
    <hyperlink r:id="rId4736" ref="N2462"/>
    <hyperlink r:id="rId4737" ref="N2463"/>
    <hyperlink r:id="rId4738" ref="N2464"/>
    <hyperlink r:id="rId4739" ref="N2465"/>
    <hyperlink r:id="rId4740" ref="N2466"/>
    <hyperlink r:id="rId4741" ref="N2467"/>
    <hyperlink r:id="rId4742" ref="N2468"/>
    <hyperlink r:id="rId4743" ref="N2469"/>
    <hyperlink r:id="rId4744" ref="N2470"/>
    <hyperlink r:id="rId4745" ref="N2471"/>
    <hyperlink r:id="rId4746" ref="N2472"/>
    <hyperlink r:id="rId4747" ref="N2473"/>
    <hyperlink r:id="rId4748" ref="N2474"/>
    <hyperlink r:id="rId4749" ref="N2475"/>
    <hyperlink r:id="rId4750" ref="N2476"/>
    <hyperlink r:id="rId4751" ref="N2477"/>
    <hyperlink r:id="rId4752" ref="N2478"/>
    <hyperlink r:id="rId4753" ref="N2479"/>
    <hyperlink r:id="rId4754" ref="N2480"/>
    <hyperlink r:id="rId4755" ref="N2481"/>
    <hyperlink r:id="rId4756" ref="N2482"/>
    <hyperlink r:id="rId4757" ref="N2483"/>
    <hyperlink r:id="rId4758" ref="N2484"/>
    <hyperlink r:id="rId4759" ref="N2485"/>
    <hyperlink r:id="rId4760" ref="N2486"/>
    <hyperlink r:id="rId4761" ref="N2487"/>
    <hyperlink r:id="rId4762" ref="N2488"/>
    <hyperlink r:id="rId4763" ref="N2489"/>
    <hyperlink r:id="rId4764" ref="N2490"/>
    <hyperlink r:id="rId4765" ref="N2491"/>
    <hyperlink r:id="rId4766" ref="N2492"/>
    <hyperlink r:id="rId4767" ref="N2493"/>
    <hyperlink r:id="rId4768" ref="N2494"/>
    <hyperlink r:id="rId4769" ref="N2495"/>
    <hyperlink r:id="rId4770" ref="N2496"/>
    <hyperlink r:id="rId4771" ref="N2497"/>
    <hyperlink r:id="rId4772" ref="N2498"/>
    <hyperlink r:id="rId4773" ref="N2499"/>
    <hyperlink r:id="rId4774" ref="N2500"/>
    <hyperlink r:id="rId4775" ref="N2501"/>
    <hyperlink r:id="rId4776" ref="N2502"/>
    <hyperlink r:id="rId4777" ref="N2503"/>
    <hyperlink r:id="rId4778" ref="N2504"/>
    <hyperlink r:id="rId4779" ref="N2505"/>
    <hyperlink r:id="rId4780" ref="N2506"/>
    <hyperlink r:id="rId4781" ref="N2507"/>
    <hyperlink r:id="rId4782" ref="N2508"/>
    <hyperlink r:id="rId4783" ref="N2509"/>
    <hyperlink r:id="rId4784" ref="N2510"/>
    <hyperlink r:id="rId4785" ref="N2511"/>
    <hyperlink r:id="rId4786" ref="N2512"/>
    <hyperlink r:id="rId4787" ref="N2513"/>
    <hyperlink r:id="rId4788" ref="N2514"/>
    <hyperlink r:id="rId4789" ref="N2515"/>
    <hyperlink r:id="rId4790" ref="N2516"/>
    <hyperlink r:id="rId4791" ref="N2517"/>
    <hyperlink r:id="rId4792" ref="N2518"/>
    <hyperlink r:id="rId4793" ref="N2519"/>
    <hyperlink r:id="rId4794" ref="N2520"/>
    <hyperlink r:id="rId4795" ref="N2521"/>
    <hyperlink r:id="rId4796" ref="N2522"/>
    <hyperlink r:id="rId4797" ref="N2523"/>
    <hyperlink r:id="rId4798" ref="N2524"/>
    <hyperlink r:id="rId4799" ref="N2525"/>
    <hyperlink r:id="rId4800" ref="N2526"/>
    <hyperlink r:id="rId4801" ref="N2527"/>
    <hyperlink r:id="rId4802" ref="N2528"/>
    <hyperlink r:id="rId4803" ref="N2529"/>
    <hyperlink r:id="rId4804" ref="N2530"/>
    <hyperlink r:id="rId4805" ref="N2531"/>
    <hyperlink r:id="rId4806" ref="N2532"/>
    <hyperlink r:id="rId4807" ref="N2533"/>
    <hyperlink r:id="rId4808" ref="N2534"/>
    <hyperlink r:id="rId4809" ref="N2535"/>
    <hyperlink r:id="rId4810" ref="N2536"/>
    <hyperlink r:id="rId4811" ref="I2537"/>
    <hyperlink r:id="rId4812" ref="N2537"/>
    <hyperlink r:id="rId4813" ref="I2538"/>
    <hyperlink r:id="rId4814" ref="N2538"/>
    <hyperlink r:id="rId4815" ref="N2539"/>
    <hyperlink r:id="rId4816" ref="N2540"/>
    <hyperlink r:id="rId4817" ref="N2541"/>
    <hyperlink r:id="rId4818" ref="N2542"/>
    <hyperlink r:id="rId4819" ref="N2543"/>
    <hyperlink r:id="rId4820" ref="N2544"/>
    <hyperlink r:id="rId4821" ref="N2545"/>
    <hyperlink r:id="rId4822" ref="N2546"/>
    <hyperlink r:id="rId4823" ref="N2547"/>
    <hyperlink r:id="rId4824" ref="N2548"/>
    <hyperlink r:id="rId4825" ref="N2549"/>
    <hyperlink r:id="rId4826" ref="N2550"/>
    <hyperlink r:id="rId4827" ref="N2551"/>
    <hyperlink r:id="rId4828" ref="N2552"/>
    <hyperlink r:id="rId4829" ref="N2553"/>
    <hyperlink r:id="rId4830" ref="N2554"/>
    <hyperlink r:id="rId4831" ref="N2555"/>
    <hyperlink r:id="rId4832" ref="N2556"/>
    <hyperlink r:id="rId4833" ref="N2557"/>
    <hyperlink r:id="rId4834" ref="N2558"/>
    <hyperlink r:id="rId4835" ref="N2559"/>
    <hyperlink r:id="rId4836" ref="N2560"/>
    <hyperlink r:id="rId4837" ref="N2561"/>
    <hyperlink r:id="rId4838" ref="N2562"/>
    <hyperlink r:id="rId4839" ref="N2563"/>
    <hyperlink r:id="rId4840" ref="N2564"/>
    <hyperlink r:id="rId4841" ref="N2565"/>
    <hyperlink r:id="rId4842" ref="N2566"/>
    <hyperlink r:id="rId4843" ref="N2567"/>
    <hyperlink r:id="rId4844" ref="N2568"/>
    <hyperlink r:id="rId4845" ref="N2569"/>
    <hyperlink r:id="rId4846" ref="N2570"/>
    <hyperlink r:id="rId4847" ref="N2571"/>
    <hyperlink r:id="rId4848" ref="N2572"/>
    <hyperlink r:id="rId4849" ref="N2573"/>
    <hyperlink r:id="rId4850" ref="N2574"/>
    <hyperlink r:id="rId4851" ref="N2575"/>
    <hyperlink r:id="rId4852" ref="N2576"/>
    <hyperlink r:id="rId4853" ref="N2577"/>
    <hyperlink r:id="rId4854" ref="N2578"/>
    <hyperlink r:id="rId4855" ref="N2579"/>
    <hyperlink r:id="rId4856" ref="N2580"/>
    <hyperlink r:id="rId4857" ref="N2581"/>
    <hyperlink r:id="rId4858" ref="N2582"/>
    <hyperlink r:id="rId4859" ref="N2583"/>
    <hyperlink r:id="rId4860" ref="N2584"/>
    <hyperlink r:id="rId4861" ref="N2585"/>
    <hyperlink r:id="rId4862" ref="N2586"/>
    <hyperlink r:id="rId4863" ref="N2587"/>
    <hyperlink r:id="rId4864" ref="N2588"/>
    <hyperlink r:id="rId4865" ref="N2589"/>
    <hyperlink r:id="rId4866" ref="N2590"/>
    <hyperlink r:id="rId4867" ref="N2591"/>
    <hyperlink r:id="rId4868" ref="N2592"/>
    <hyperlink r:id="rId4869" ref="N2593"/>
    <hyperlink r:id="rId4870" ref="N2594"/>
    <hyperlink r:id="rId4871" ref="N2595"/>
    <hyperlink r:id="rId4872" ref="N2596"/>
    <hyperlink r:id="rId4873" ref="N2597"/>
    <hyperlink r:id="rId4874" ref="N2598"/>
    <hyperlink r:id="rId4875" ref="N2599"/>
    <hyperlink r:id="rId4876" ref="N2600"/>
    <hyperlink r:id="rId4877" ref="N2601"/>
    <hyperlink r:id="rId4878" ref="N2602"/>
    <hyperlink r:id="rId4879" ref="N2603"/>
    <hyperlink r:id="rId4880" ref="N2604"/>
    <hyperlink r:id="rId4881" ref="N2605"/>
    <hyperlink r:id="rId4882" ref="N2606"/>
    <hyperlink r:id="rId4883" ref="N2607"/>
    <hyperlink r:id="rId4884" ref="N2608"/>
    <hyperlink r:id="rId4885" ref="N2609"/>
    <hyperlink r:id="rId4886" ref="N2610"/>
    <hyperlink r:id="rId4887" ref="I2611"/>
    <hyperlink r:id="rId4888" ref="N2611"/>
    <hyperlink r:id="rId4889" ref="I2612"/>
    <hyperlink r:id="rId4890" ref="N2612"/>
    <hyperlink r:id="rId4891" ref="I2613"/>
    <hyperlink r:id="rId4892" ref="N2613"/>
    <hyperlink r:id="rId4893" ref="I2614"/>
    <hyperlink r:id="rId4894" ref="N2614"/>
    <hyperlink r:id="rId4895" ref="I2615"/>
    <hyperlink r:id="rId4896" ref="N2615"/>
    <hyperlink r:id="rId4897" ref="I2616"/>
    <hyperlink r:id="rId4898" ref="N2616"/>
    <hyperlink r:id="rId4899" ref="I2617"/>
    <hyperlink r:id="rId4900" ref="N2617"/>
    <hyperlink r:id="rId4901" ref="I2618"/>
    <hyperlink r:id="rId4902" ref="N2618"/>
    <hyperlink r:id="rId4903" ref="I2619"/>
    <hyperlink r:id="rId4904" ref="N2619"/>
    <hyperlink r:id="rId4905" ref="I2620"/>
    <hyperlink r:id="rId4906" ref="N2620"/>
    <hyperlink r:id="rId4907" ref="I2621"/>
    <hyperlink r:id="rId4908" ref="N2621"/>
    <hyperlink r:id="rId4909" ref="N2622"/>
    <hyperlink r:id="rId4910" ref="N2623"/>
    <hyperlink r:id="rId4911" ref="N2624"/>
    <hyperlink r:id="rId4912" ref="N2625"/>
    <hyperlink r:id="rId4913" ref="N2626"/>
    <hyperlink r:id="rId4914" ref="N2627"/>
    <hyperlink r:id="rId4915" ref="N2628"/>
    <hyperlink r:id="rId4916" ref="N2629"/>
    <hyperlink r:id="rId4917" ref="N2630"/>
    <hyperlink r:id="rId4918" ref="N2631"/>
    <hyperlink r:id="rId4919" ref="N2632"/>
    <hyperlink r:id="rId4920" ref="N2633"/>
    <hyperlink r:id="rId4921" ref="N2634"/>
    <hyperlink r:id="rId4922" ref="N2635"/>
    <hyperlink r:id="rId4923" ref="N2636"/>
    <hyperlink r:id="rId4924" ref="N2637"/>
    <hyperlink r:id="rId4925" ref="N2638"/>
    <hyperlink r:id="rId4926" ref="N2639"/>
    <hyperlink r:id="rId4927" ref="N2640"/>
    <hyperlink r:id="rId4928" ref="N2641"/>
    <hyperlink r:id="rId4929" ref="N2642"/>
    <hyperlink r:id="rId4930" ref="N2643"/>
    <hyperlink r:id="rId4931" ref="N2644"/>
    <hyperlink r:id="rId4932" ref="N2645"/>
    <hyperlink r:id="rId4933" ref="N2646"/>
    <hyperlink r:id="rId4934" ref="N2647"/>
    <hyperlink r:id="rId4935" ref="N2648"/>
    <hyperlink r:id="rId4936" ref="N2649"/>
    <hyperlink r:id="rId4937" ref="N2650"/>
    <hyperlink r:id="rId4938" ref="N2651"/>
    <hyperlink r:id="rId4939" ref="N2652"/>
    <hyperlink r:id="rId4940" ref="N2653"/>
    <hyperlink r:id="rId4941" ref="N2654"/>
    <hyperlink r:id="rId4942" ref="N2655"/>
    <hyperlink r:id="rId4943" ref="N2656"/>
    <hyperlink r:id="rId4944" ref="N2657"/>
    <hyperlink r:id="rId4945" ref="N2658"/>
    <hyperlink r:id="rId4946" ref="N2659"/>
    <hyperlink r:id="rId4947" ref="N2660"/>
    <hyperlink r:id="rId4948" ref="N2661"/>
    <hyperlink r:id="rId4949" ref="N2662"/>
    <hyperlink r:id="rId4950" ref="N2663"/>
    <hyperlink r:id="rId4951" ref="N2664"/>
    <hyperlink r:id="rId4952" ref="N2665"/>
    <hyperlink r:id="rId4953" ref="N2666"/>
    <hyperlink r:id="rId4954" ref="N2667"/>
    <hyperlink r:id="rId4955" ref="N2668"/>
    <hyperlink r:id="rId4956" ref="N2669"/>
    <hyperlink r:id="rId4957" ref="N2670"/>
    <hyperlink r:id="rId4958" ref="N2671"/>
    <hyperlink r:id="rId4959" ref="N2672"/>
    <hyperlink r:id="rId4960" ref="N2673"/>
    <hyperlink r:id="rId4961" ref="N2674"/>
    <hyperlink r:id="rId4962" ref="N2675"/>
    <hyperlink r:id="rId4963" ref="N2676"/>
    <hyperlink r:id="rId4964" ref="N2677"/>
    <hyperlink r:id="rId4965" ref="N2678"/>
    <hyperlink r:id="rId4966" ref="N2679"/>
    <hyperlink r:id="rId4967" ref="N2680"/>
    <hyperlink r:id="rId4968" ref="N2681"/>
    <hyperlink r:id="rId4969" ref="N2682"/>
    <hyperlink r:id="rId4970" ref="N2683"/>
    <hyperlink r:id="rId4971" ref="N2684"/>
    <hyperlink r:id="rId4972" ref="I2685"/>
    <hyperlink r:id="rId4973" ref="N2685"/>
    <hyperlink r:id="rId4974" ref="N2686"/>
    <hyperlink r:id="rId4975" ref="N2687"/>
    <hyperlink r:id="rId4976" ref="N2688"/>
    <hyperlink r:id="rId4977" ref="N2689"/>
    <hyperlink r:id="rId4978" ref="N2690"/>
    <hyperlink r:id="rId4979" ref="N2691"/>
    <hyperlink r:id="rId4980" ref="N2692"/>
    <hyperlink r:id="rId4981" ref="N2693"/>
    <hyperlink r:id="rId4982" ref="N2694"/>
    <hyperlink r:id="rId4983" ref="N2695"/>
    <hyperlink r:id="rId4984" ref="N2696"/>
    <hyperlink r:id="rId4985" ref="N2697"/>
    <hyperlink r:id="rId4986" ref="N2698"/>
    <hyperlink r:id="rId4987" ref="N2699"/>
    <hyperlink r:id="rId4988" ref="N2700"/>
    <hyperlink r:id="rId4989" ref="N2701"/>
    <hyperlink r:id="rId4990" ref="N2702"/>
    <hyperlink r:id="rId4991" ref="I2703"/>
    <hyperlink r:id="rId4992" ref="N2703"/>
    <hyperlink r:id="rId4993" ref="I2704"/>
    <hyperlink r:id="rId4994" ref="N2704"/>
    <hyperlink r:id="rId4995" ref="I2705"/>
    <hyperlink r:id="rId4996" ref="N2705"/>
    <hyperlink r:id="rId4997" ref="I2706"/>
    <hyperlink r:id="rId4998" ref="N2706"/>
    <hyperlink r:id="rId4999" ref="I2707"/>
    <hyperlink r:id="rId5000" ref="N2707"/>
    <hyperlink r:id="rId5001" ref="I2708"/>
    <hyperlink r:id="rId5002" ref="N2708"/>
    <hyperlink r:id="rId5003" ref="I2709"/>
    <hyperlink r:id="rId5004" ref="N2709"/>
    <hyperlink r:id="rId5005" ref="I2710"/>
    <hyperlink r:id="rId5006" ref="N2710"/>
    <hyperlink r:id="rId5007" ref="N2711"/>
    <hyperlink r:id="rId5008" ref="N2712"/>
    <hyperlink r:id="rId5009" ref="N2713"/>
    <hyperlink r:id="rId5010" ref="N2714"/>
    <hyperlink r:id="rId5011" ref="N2715"/>
    <hyperlink r:id="rId5012" ref="N2716"/>
    <hyperlink r:id="rId5013" ref="N2717"/>
    <hyperlink r:id="rId5014" ref="N2718"/>
    <hyperlink r:id="rId5015" ref="N2719"/>
    <hyperlink r:id="rId5016" ref="N2720"/>
    <hyperlink r:id="rId5017" ref="N2721"/>
    <hyperlink r:id="rId5018" ref="N2722"/>
    <hyperlink r:id="rId5019" ref="N2723"/>
    <hyperlink r:id="rId5020" ref="N2724"/>
    <hyperlink r:id="rId5021" ref="N2725"/>
    <hyperlink r:id="rId5022" ref="N2726"/>
    <hyperlink r:id="rId5023" ref="N2727"/>
    <hyperlink r:id="rId5024" ref="N2728"/>
    <hyperlink r:id="rId5025" ref="N2729"/>
    <hyperlink r:id="rId5026" ref="N2730"/>
    <hyperlink r:id="rId5027" ref="N2731"/>
    <hyperlink r:id="rId5028" ref="N2732"/>
    <hyperlink r:id="rId5029" ref="N2733"/>
    <hyperlink r:id="rId5030" ref="N2734"/>
    <hyperlink r:id="rId5031" ref="I2735"/>
    <hyperlink r:id="rId5032" ref="N2735"/>
    <hyperlink r:id="rId5033" ref="N2736"/>
    <hyperlink r:id="rId5034" ref="N2737"/>
    <hyperlink r:id="rId5035" ref="N2738"/>
    <hyperlink r:id="rId5036" ref="N2739"/>
    <hyperlink r:id="rId5037" ref="N2740"/>
    <hyperlink r:id="rId5038" ref="N2741"/>
    <hyperlink r:id="rId5039" ref="N2742"/>
    <hyperlink r:id="rId5040" ref="N2743"/>
    <hyperlink r:id="rId5041" ref="N2744"/>
    <hyperlink r:id="rId5042" ref="N2745"/>
    <hyperlink r:id="rId5043" ref="N2746"/>
    <hyperlink r:id="rId5044" ref="N2747"/>
    <hyperlink r:id="rId5045" ref="N2748"/>
    <hyperlink r:id="rId5046" ref="N2749"/>
    <hyperlink r:id="rId5047" ref="N2750"/>
    <hyperlink r:id="rId5048" ref="N2751"/>
    <hyperlink r:id="rId5049" ref="N2752"/>
    <hyperlink r:id="rId5050" ref="N2753"/>
    <hyperlink r:id="rId5051" ref="N2754"/>
    <hyperlink r:id="rId5052" ref="N2755"/>
    <hyperlink r:id="rId5053" ref="N2756"/>
    <hyperlink r:id="rId5054" ref="N2757"/>
    <hyperlink r:id="rId5055" ref="N2758"/>
    <hyperlink r:id="rId5056" ref="N2759"/>
    <hyperlink r:id="rId5057" ref="N2760"/>
    <hyperlink r:id="rId5058" ref="N2761"/>
    <hyperlink r:id="rId5059" ref="N2762"/>
    <hyperlink r:id="rId5060" ref="N2763"/>
    <hyperlink r:id="rId5061" ref="N2764"/>
    <hyperlink r:id="rId5062" ref="N2765"/>
    <hyperlink r:id="rId5063" ref="N2766"/>
    <hyperlink r:id="rId5064" ref="N2767"/>
    <hyperlink r:id="rId5065" ref="I2768"/>
    <hyperlink r:id="rId5066" ref="N2768"/>
    <hyperlink r:id="rId5067" ref="I2769"/>
    <hyperlink r:id="rId5068" ref="N2769"/>
    <hyperlink r:id="rId5069" ref="I2770"/>
    <hyperlink r:id="rId5070" ref="N2770"/>
    <hyperlink r:id="rId5071" ref="I2771"/>
    <hyperlink r:id="rId5072" ref="N2771"/>
    <hyperlink r:id="rId5073" ref="I2772"/>
    <hyperlink r:id="rId5074" ref="N2772"/>
    <hyperlink r:id="rId5075" ref="I2773"/>
    <hyperlink r:id="rId5076" ref="N2773"/>
    <hyperlink r:id="rId5077" ref="I2774"/>
    <hyperlink r:id="rId5078" ref="N2774"/>
    <hyperlink r:id="rId5079" ref="I2775"/>
    <hyperlink r:id="rId5080" ref="N2775"/>
    <hyperlink r:id="rId5081" ref="N2776"/>
    <hyperlink r:id="rId5082" ref="N2777"/>
    <hyperlink r:id="rId5083" ref="N2778"/>
    <hyperlink r:id="rId5084" ref="N2779"/>
    <hyperlink r:id="rId5085" ref="N2780"/>
    <hyperlink r:id="rId5086" ref="N2781"/>
    <hyperlink r:id="rId5087" ref="N2782"/>
    <hyperlink r:id="rId5088" ref="N2783"/>
    <hyperlink r:id="rId5089" ref="E2784"/>
    <hyperlink r:id="rId5090" ref="N2784"/>
    <hyperlink r:id="rId5091" ref="N2785"/>
    <hyperlink r:id="rId5092" ref="N2786"/>
    <hyperlink r:id="rId5093" ref="N2787"/>
    <hyperlink r:id="rId5094" ref="N2788"/>
    <hyperlink r:id="rId5095" ref="N2789"/>
    <hyperlink r:id="rId5096" ref="N2790"/>
    <hyperlink r:id="rId5097" ref="N2791"/>
    <hyperlink r:id="rId5098" ref="N2792"/>
    <hyperlink r:id="rId5099" ref="N2793"/>
    <hyperlink r:id="rId5100" ref="N2794"/>
    <hyperlink r:id="rId5101" ref="E2795"/>
    <hyperlink r:id="rId5102" ref="I2795"/>
    <hyperlink r:id="rId5103" ref="N2795"/>
    <hyperlink r:id="rId5104" ref="I2796"/>
    <hyperlink r:id="rId5105" ref="N2796"/>
    <hyperlink r:id="rId5106" ref="I2797"/>
    <hyperlink r:id="rId5107" ref="N2797"/>
    <hyperlink r:id="rId5108" ref="I2798"/>
    <hyperlink r:id="rId5109" ref="N2798"/>
    <hyperlink r:id="rId5110" ref="I2799"/>
    <hyperlink r:id="rId5111" ref="N2799"/>
    <hyperlink r:id="rId5112" ref="I2800"/>
    <hyperlink r:id="rId5113" ref="N2800"/>
    <hyperlink r:id="rId5114" ref="I2801"/>
    <hyperlink r:id="rId5115" ref="N2801"/>
    <hyperlink r:id="rId5116" ref="I2802"/>
    <hyperlink r:id="rId5117" ref="N2802"/>
    <hyperlink r:id="rId5118" ref="I2803"/>
    <hyperlink r:id="rId5119" ref="N2803"/>
    <hyperlink r:id="rId5120" ref="I2804"/>
    <hyperlink r:id="rId5121" ref="N2804"/>
    <hyperlink r:id="rId5122" ref="N2805"/>
    <hyperlink r:id="rId5123" ref="N2806"/>
    <hyperlink r:id="rId5124" ref="N2807"/>
    <hyperlink r:id="rId5125" ref="N2808"/>
    <hyperlink r:id="rId5126" ref="N2809"/>
    <hyperlink r:id="rId5127" ref="N2810"/>
    <hyperlink r:id="rId5128" ref="N2811"/>
    <hyperlink r:id="rId5129" ref="N2812"/>
    <hyperlink r:id="rId5130" ref="I2813"/>
    <hyperlink r:id="rId5131" ref="N2813"/>
    <hyperlink r:id="rId5132" ref="I2814"/>
    <hyperlink r:id="rId5133" ref="N2814"/>
    <hyperlink r:id="rId5134" ref="I2815"/>
    <hyperlink r:id="rId5135" ref="N2815"/>
    <hyperlink r:id="rId5136" ref="I2816"/>
    <hyperlink r:id="rId5137" ref="N2816"/>
    <hyperlink r:id="rId5138" ref="I2817"/>
    <hyperlink r:id="rId5139" ref="N2817"/>
    <hyperlink r:id="rId5140" ref="I2818"/>
    <hyperlink r:id="rId5141" ref="N2818"/>
    <hyperlink r:id="rId5142" ref="I2819"/>
    <hyperlink r:id="rId5143" ref="N2819"/>
    <hyperlink r:id="rId5144" ref="I2820"/>
    <hyperlink r:id="rId5145" ref="N2820"/>
    <hyperlink r:id="rId5146" ref="N2821"/>
    <hyperlink r:id="rId5147" ref="I2822"/>
    <hyperlink r:id="rId5148" ref="N2822"/>
    <hyperlink r:id="rId5149" ref="I2823"/>
    <hyperlink r:id="rId5150" ref="N2823"/>
    <hyperlink r:id="rId5151" ref="I2824"/>
    <hyperlink r:id="rId5152" ref="N2824"/>
    <hyperlink r:id="rId5153" ref="I2825"/>
    <hyperlink r:id="rId5154" ref="N2825"/>
    <hyperlink r:id="rId5155" ref="I2826"/>
    <hyperlink r:id="rId5156" ref="N2826"/>
    <hyperlink r:id="rId5157" ref="I2827"/>
    <hyperlink r:id="rId5158" ref="N2827"/>
    <hyperlink r:id="rId5159" ref="I2828"/>
    <hyperlink r:id="rId5160" ref="N2828"/>
    <hyperlink r:id="rId5161" ref="I2829"/>
    <hyperlink r:id="rId5162" ref="N2829"/>
    <hyperlink r:id="rId5163" ref="I2830"/>
    <hyperlink r:id="rId5164" ref="N2830"/>
    <hyperlink r:id="rId5165" ref="I2831"/>
    <hyperlink r:id="rId5166" ref="N2831"/>
    <hyperlink r:id="rId5167" ref="I2832"/>
    <hyperlink r:id="rId5168" ref="N2832"/>
    <hyperlink r:id="rId5169" ref="N2833"/>
    <hyperlink r:id="rId5170" ref="N2834"/>
    <hyperlink r:id="rId5171" ref="N2835"/>
    <hyperlink r:id="rId5172" ref="N2836"/>
    <hyperlink r:id="rId5173" ref="N2837"/>
    <hyperlink r:id="rId5174" ref="N2838"/>
    <hyperlink r:id="rId5175" ref="N2839"/>
    <hyperlink r:id="rId5176" ref="N2840"/>
    <hyperlink r:id="rId5177" ref="I2841"/>
    <hyperlink r:id="rId5178" ref="N2841"/>
    <hyperlink r:id="rId5179" ref="I2842"/>
    <hyperlink r:id="rId5180" ref="N2842"/>
    <hyperlink r:id="rId5181" ref="I2843"/>
    <hyperlink r:id="rId5182" ref="N2843"/>
    <hyperlink r:id="rId5183" ref="I2844"/>
    <hyperlink r:id="rId5184" ref="N2844"/>
    <hyperlink r:id="rId5185" ref="N2845"/>
    <hyperlink r:id="rId5186" ref="N2846"/>
    <hyperlink r:id="rId5187" ref="N2847"/>
    <hyperlink r:id="rId5188" ref="N2848"/>
    <hyperlink r:id="rId5189" ref="N2849"/>
    <hyperlink r:id="rId5190" ref="N2850"/>
    <hyperlink r:id="rId5191" ref="N2851"/>
    <hyperlink r:id="rId5192" ref="N2852"/>
    <hyperlink r:id="rId5193" ref="N2853"/>
    <hyperlink r:id="rId5194" ref="N2854"/>
    <hyperlink r:id="rId5195" ref="N2855"/>
    <hyperlink r:id="rId5196" ref="N2856"/>
    <hyperlink r:id="rId5197" ref="I2857"/>
    <hyperlink r:id="rId5198" ref="N2857"/>
    <hyperlink r:id="rId5199" ref="I2858"/>
    <hyperlink r:id="rId5200" ref="N2858"/>
    <hyperlink r:id="rId5201" ref="I2859"/>
    <hyperlink r:id="rId5202" ref="N2859"/>
    <hyperlink r:id="rId5203" ref="I2860"/>
    <hyperlink r:id="rId5204" ref="N2860"/>
    <hyperlink r:id="rId5205" ref="I2861"/>
    <hyperlink r:id="rId5206" ref="N2861"/>
    <hyperlink r:id="rId5207" ref="I2862"/>
    <hyperlink r:id="rId5208" ref="N2862"/>
    <hyperlink r:id="rId5209" ref="I2863"/>
    <hyperlink r:id="rId5210" ref="N2863"/>
    <hyperlink r:id="rId5211" ref="I2864"/>
    <hyperlink r:id="rId5212" ref="N2864"/>
    <hyperlink r:id="rId5213" ref="N2865"/>
    <hyperlink r:id="rId5214" ref="N2866"/>
    <hyperlink r:id="rId5215" ref="I2867"/>
    <hyperlink r:id="rId5216" ref="N2867"/>
    <hyperlink r:id="rId5217" ref="I2868"/>
    <hyperlink r:id="rId5218" ref="N2868"/>
    <hyperlink r:id="rId5219" ref="I2869"/>
    <hyperlink r:id="rId5220" ref="N2869"/>
    <hyperlink r:id="rId5221" ref="I2870"/>
    <hyperlink r:id="rId5222" ref="N2870"/>
    <hyperlink r:id="rId5223" ref="I2871"/>
    <hyperlink r:id="rId5224" ref="N2871"/>
    <hyperlink r:id="rId5225" ref="N2872"/>
    <hyperlink r:id="rId5226" ref="N2873"/>
    <hyperlink r:id="rId5227" ref="N2874"/>
    <hyperlink r:id="rId5228" ref="N2875"/>
    <hyperlink r:id="rId5229" ref="N2876"/>
    <hyperlink r:id="rId5230" ref="I2877"/>
    <hyperlink r:id="rId5231" ref="N2877"/>
    <hyperlink r:id="rId5232" ref="I2878"/>
    <hyperlink r:id="rId5233" ref="N2878"/>
    <hyperlink r:id="rId5234" ref="I2879"/>
    <hyperlink r:id="rId5235" ref="N2879"/>
    <hyperlink r:id="rId5236" ref="I2880"/>
    <hyperlink r:id="rId5237" ref="N2880"/>
    <hyperlink r:id="rId5238" ref="I2881"/>
    <hyperlink r:id="rId5239" ref="N2881"/>
    <hyperlink r:id="rId5240" ref="I2882"/>
    <hyperlink r:id="rId5241" ref="N2882"/>
    <hyperlink r:id="rId5242" ref="I2883"/>
    <hyperlink r:id="rId5243" ref="N2883"/>
    <hyperlink r:id="rId5244" ref="I2884"/>
    <hyperlink r:id="rId5245" ref="N2884"/>
    <hyperlink r:id="rId5246" ref="N2885"/>
    <hyperlink r:id="rId5247" ref="N2886"/>
    <hyperlink r:id="rId5248" ref="N2887"/>
    <hyperlink r:id="rId5249" ref="N2888"/>
    <hyperlink r:id="rId5250" ref="N2889"/>
    <hyperlink r:id="rId5251" ref="N2890"/>
    <hyperlink r:id="rId5252" ref="N2891"/>
    <hyperlink r:id="rId5253" ref="N2892"/>
    <hyperlink r:id="rId5254" ref="N2893"/>
    <hyperlink r:id="rId5255" ref="N2894"/>
    <hyperlink r:id="rId5256" ref="N2895"/>
    <hyperlink r:id="rId5257" ref="I2896"/>
    <hyperlink r:id="rId5258" ref="N2896"/>
    <hyperlink r:id="rId5259" ref="I2897"/>
    <hyperlink r:id="rId5260" ref="N2897"/>
    <hyperlink r:id="rId5261" ref="I2898"/>
    <hyperlink r:id="rId5262" ref="N2898"/>
    <hyperlink r:id="rId5263" ref="I2899"/>
    <hyperlink r:id="rId5264" ref="N2899"/>
    <hyperlink r:id="rId5265" ref="I2900"/>
    <hyperlink r:id="rId5266" ref="N2900"/>
    <hyperlink r:id="rId5267" ref="I2901"/>
    <hyperlink r:id="rId5268" ref="N2901"/>
    <hyperlink r:id="rId5269" ref="N2902"/>
    <hyperlink r:id="rId5270" ref="N2903"/>
    <hyperlink r:id="rId5271" ref="N2904"/>
    <hyperlink r:id="rId5272" ref="N2905"/>
    <hyperlink r:id="rId5273" ref="I2906"/>
    <hyperlink r:id="rId5274" ref="N2906"/>
    <hyperlink r:id="rId5275" ref="I2907"/>
    <hyperlink r:id="rId5276" ref="N2907"/>
    <hyperlink r:id="rId5277" ref="I2908"/>
    <hyperlink r:id="rId5278" ref="N2908"/>
    <hyperlink r:id="rId5279" ref="I2909"/>
    <hyperlink r:id="rId5280" ref="N2909"/>
    <hyperlink r:id="rId5281" ref="I2910"/>
    <hyperlink r:id="rId5282" ref="N2910"/>
    <hyperlink r:id="rId5283" ref="I2911"/>
    <hyperlink r:id="rId5284" ref="N2911"/>
    <hyperlink r:id="rId5285" ref="I2912"/>
    <hyperlink r:id="rId5286" ref="N2912"/>
    <hyperlink r:id="rId5287" ref="N2913"/>
    <hyperlink r:id="rId5288" ref="N2914"/>
    <hyperlink r:id="rId5289" ref="N2915"/>
    <hyperlink r:id="rId5290" ref="N2916"/>
    <hyperlink r:id="rId5291" ref="N2917"/>
    <hyperlink r:id="rId5292" ref="N2918"/>
    <hyperlink r:id="rId5293" ref="N2919"/>
    <hyperlink r:id="rId5294" ref="N2920"/>
    <hyperlink r:id="rId5295" ref="N2921"/>
    <hyperlink r:id="rId5296" ref="N2922"/>
    <hyperlink r:id="rId5297" ref="N2923"/>
    <hyperlink r:id="rId5298" ref="I2924"/>
    <hyperlink r:id="rId5299" ref="N2924"/>
    <hyperlink r:id="rId5300" ref="I2925"/>
    <hyperlink r:id="rId5301" ref="N2925"/>
    <hyperlink r:id="rId5302" ref="I2926"/>
    <hyperlink r:id="rId5303" ref="N2926"/>
    <hyperlink r:id="rId5304" ref="I2927"/>
    <hyperlink r:id="rId5305" ref="N2927"/>
    <hyperlink r:id="rId5306" ref="I2928"/>
    <hyperlink r:id="rId5307" ref="N2928"/>
    <hyperlink r:id="rId5308" ref="N2929"/>
    <hyperlink r:id="rId5309" ref="N2930"/>
    <hyperlink r:id="rId5310" ref="N2931"/>
    <hyperlink r:id="rId5311" ref="N2932"/>
    <hyperlink r:id="rId5312" ref="N2933"/>
    <hyperlink r:id="rId5313" ref="I2934"/>
    <hyperlink r:id="rId5314" ref="N2934"/>
    <hyperlink r:id="rId5315" ref="N2935"/>
    <hyperlink r:id="rId5316" ref="N2936"/>
    <hyperlink r:id="rId5317" ref="N2937"/>
    <hyperlink r:id="rId5318" ref="N2938"/>
    <hyperlink r:id="rId5319" ref="N2939"/>
    <hyperlink r:id="rId5320" ref="N2940"/>
    <hyperlink r:id="rId5321" ref="N2941"/>
    <hyperlink r:id="rId5322" ref="N2942"/>
    <hyperlink r:id="rId5323" ref="I2943"/>
    <hyperlink r:id="rId5324" ref="N2943"/>
    <hyperlink r:id="rId5325" ref="I2944"/>
    <hyperlink r:id="rId5326" ref="N2944"/>
    <hyperlink r:id="rId5327" ref="I2945"/>
    <hyperlink r:id="rId5328" ref="N2945"/>
    <hyperlink r:id="rId5329" ref="N2946"/>
    <hyperlink r:id="rId5330" ref="I2947"/>
    <hyperlink r:id="rId5331" ref="N2947"/>
    <hyperlink r:id="rId5332" ref="I2948"/>
    <hyperlink r:id="rId5333" ref="N2948"/>
    <hyperlink r:id="rId5334" ref="I2949"/>
    <hyperlink r:id="rId5335" ref="N2949"/>
    <hyperlink r:id="rId5336" ref="I2950"/>
    <hyperlink r:id="rId5337" ref="N2950"/>
    <hyperlink r:id="rId5338" ref="I2951"/>
    <hyperlink r:id="rId5339" ref="N2951"/>
    <hyperlink r:id="rId5340" ref="N2952"/>
    <hyperlink r:id="rId5341" ref="N2953"/>
    <hyperlink r:id="rId5342" ref="N2954"/>
    <hyperlink r:id="rId5343" ref="N2955"/>
    <hyperlink r:id="rId5344" ref="N2956"/>
    <hyperlink r:id="rId5345" ref="I2957"/>
    <hyperlink r:id="rId5346" ref="N2957"/>
    <hyperlink r:id="rId5347" ref="I2958"/>
    <hyperlink r:id="rId5348" ref="N2958"/>
    <hyperlink r:id="rId5349" ref="N2959"/>
    <hyperlink r:id="rId5350" ref="N2960"/>
    <hyperlink r:id="rId5351" ref="N2961"/>
    <hyperlink r:id="rId5352" ref="N2962"/>
    <hyperlink r:id="rId5353" ref="N2963"/>
    <hyperlink r:id="rId5354" ref="N2964"/>
    <hyperlink r:id="rId5355" ref="N2965"/>
    <hyperlink r:id="rId5356" ref="I2966"/>
    <hyperlink r:id="rId5357" ref="N2966"/>
    <hyperlink r:id="rId5358" ref="N2967"/>
    <hyperlink r:id="rId5359" ref="N2968"/>
    <hyperlink r:id="rId5360" ref="I2969"/>
    <hyperlink r:id="rId5361" ref="N2969"/>
    <hyperlink r:id="rId5362" ref="I2970"/>
    <hyperlink r:id="rId5363" ref="N2970"/>
    <hyperlink r:id="rId5364" ref="N2971"/>
    <hyperlink r:id="rId5365" ref="N2972"/>
    <hyperlink r:id="rId5366" ref="N2973"/>
    <hyperlink r:id="rId5367" ref="N2974"/>
    <hyperlink r:id="rId5368" ref="N2975"/>
    <hyperlink r:id="rId5369" ref="N2976"/>
    <hyperlink r:id="rId5370" ref="N2977"/>
    <hyperlink r:id="rId5371" ref="N2978"/>
    <hyperlink r:id="rId5372" ref="N2979"/>
    <hyperlink r:id="rId5373" ref="N2980"/>
    <hyperlink r:id="rId5374" ref="N2981"/>
    <hyperlink r:id="rId5375" ref="N2982"/>
    <hyperlink r:id="rId5376" ref="N2983"/>
    <hyperlink r:id="rId5377" ref="I2984"/>
    <hyperlink r:id="rId5378" ref="N2984"/>
    <hyperlink r:id="rId5379" ref="N2985"/>
    <hyperlink r:id="rId5380" ref="N2986"/>
    <hyperlink r:id="rId5381" ref="N2987"/>
    <hyperlink r:id="rId5382" ref="N2988"/>
    <hyperlink r:id="rId5383" ref="N2989"/>
    <hyperlink r:id="rId5384" ref="N2990"/>
    <hyperlink r:id="rId5385" ref="N2991"/>
    <hyperlink r:id="rId5386" ref="N2992"/>
    <hyperlink r:id="rId5387" ref="N2993"/>
    <hyperlink r:id="rId5388" ref="N2994"/>
    <hyperlink r:id="rId5389" ref="N2995"/>
    <hyperlink r:id="rId5390" ref="N2996"/>
    <hyperlink r:id="rId5391" ref="N2997"/>
    <hyperlink r:id="rId5392" ref="I2998"/>
    <hyperlink r:id="rId5393" ref="N2998"/>
    <hyperlink r:id="rId5394" ref="N2999"/>
    <hyperlink r:id="rId5395" ref="N3000"/>
    <hyperlink r:id="rId5396" ref="N3001"/>
    <hyperlink r:id="rId5397" ref="N3002"/>
    <hyperlink r:id="rId5398" ref="N3003"/>
    <hyperlink r:id="rId5399" ref="N3004"/>
    <hyperlink r:id="rId5400" ref="N3005"/>
    <hyperlink r:id="rId5401" ref="N3006"/>
    <hyperlink r:id="rId5402" ref="N3007"/>
    <hyperlink r:id="rId5403" ref="N3008"/>
    <hyperlink r:id="rId5404" ref="N3009"/>
    <hyperlink r:id="rId5405" ref="N3010"/>
    <hyperlink r:id="rId5406" ref="N3011"/>
    <hyperlink r:id="rId5407" ref="N3012"/>
    <hyperlink r:id="rId5408" ref="N3013"/>
    <hyperlink r:id="rId5409" ref="N3014"/>
    <hyperlink r:id="rId5410" ref="N3015"/>
    <hyperlink r:id="rId5411" ref="N3016"/>
    <hyperlink r:id="rId5412" ref="N3017"/>
    <hyperlink r:id="rId5413" ref="N3018"/>
    <hyperlink r:id="rId5414" ref="N3019"/>
    <hyperlink r:id="rId5415" ref="N3020"/>
    <hyperlink r:id="rId5416" ref="N3021"/>
    <hyperlink r:id="rId5417" ref="N3022"/>
    <hyperlink r:id="rId5418" ref="N3023"/>
    <hyperlink r:id="rId5419" ref="N3024"/>
    <hyperlink r:id="rId5420" ref="N3025"/>
    <hyperlink r:id="rId5421" ref="N3026"/>
    <hyperlink r:id="rId5422" ref="N3027"/>
    <hyperlink r:id="rId5423" ref="N3028"/>
    <hyperlink r:id="rId5424" ref="N3029"/>
    <hyperlink r:id="rId5425" ref="I3030"/>
    <hyperlink r:id="rId5426" ref="N3030"/>
    <hyperlink r:id="rId5427" ref="I3031"/>
    <hyperlink r:id="rId5428" ref="N3031"/>
    <hyperlink r:id="rId5429" ref="I3032"/>
    <hyperlink r:id="rId5430" ref="N3032"/>
    <hyperlink r:id="rId5431" ref="I3033"/>
    <hyperlink r:id="rId5432" ref="N3033"/>
    <hyperlink r:id="rId5433" ref="I3034"/>
    <hyperlink r:id="rId5434" ref="N3034"/>
    <hyperlink r:id="rId5435" ref="I3035"/>
    <hyperlink r:id="rId5436" ref="N3035"/>
    <hyperlink r:id="rId5437" ref="I3036"/>
    <hyperlink r:id="rId5438" ref="N3036"/>
    <hyperlink r:id="rId5439" ref="N3037"/>
    <hyperlink r:id="rId5440" ref="N3038"/>
    <hyperlink r:id="rId5441" ref="N3039"/>
    <hyperlink r:id="rId5442" ref="N3040"/>
    <hyperlink r:id="rId5443" ref="N3041"/>
    <hyperlink r:id="rId5444" ref="N3042"/>
    <hyperlink r:id="rId5445" ref="I3043"/>
    <hyperlink r:id="rId5446" ref="N3043"/>
    <hyperlink r:id="rId5447" ref="I3044"/>
    <hyperlink r:id="rId5448" ref="N3044"/>
    <hyperlink r:id="rId5449" ref="I3045"/>
    <hyperlink r:id="rId5450" ref="N3045"/>
    <hyperlink r:id="rId5451" ref="I3046"/>
    <hyperlink r:id="rId5452" ref="N3046"/>
    <hyperlink r:id="rId5453" ref="I3047"/>
    <hyperlink r:id="rId5454" ref="N3047"/>
    <hyperlink r:id="rId5455" ref="I3048"/>
    <hyperlink r:id="rId5456" ref="N3048"/>
    <hyperlink r:id="rId5457" ref="I3049"/>
    <hyperlink r:id="rId5458" ref="N3049"/>
    <hyperlink r:id="rId5459" ref="I3050"/>
    <hyperlink r:id="rId5460" ref="N3050"/>
    <hyperlink r:id="rId5461" ref="I3051"/>
    <hyperlink r:id="rId5462" ref="N3051"/>
    <hyperlink r:id="rId5463" ref="I3052"/>
    <hyperlink r:id="rId5464" ref="N3052"/>
    <hyperlink r:id="rId5465" ref="N3053"/>
    <hyperlink r:id="rId5466" ref="N3054"/>
    <hyperlink r:id="rId5467" ref="I3055"/>
    <hyperlink r:id="rId5468" ref="N3055"/>
    <hyperlink r:id="rId5469" ref="I3056"/>
    <hyperlink r:id="rId5470" ref="N3056"/>
    <hyperlink r:id="rId5471" ref="I3057"/>
    <hyperlink r:id="rId5472" ref="N3057"/>
    <hyperlink r:id="rId5473" ref="I3058"/>
    <hyperlink r:id="rId5474" ref="N3058"/>
    <hyperlink r:id="rId5475" ref="I3059"/>
    <hyperlink r:id="rId5476" ref="N3059"/>
    <hyperlink r:id="rId5477" ref="I3060"/>
    <hyperlink r:id="rId5478" ref="N3060"/>
    <hyperlink r:id="rId5479" ref="I3061"/>
    <hyperlink r:id="rId5480" ref="N3061"/>
    <hyperlink r:id="rId5481" ref="I3062"/>
    <hyperlink r:id="rId5482" ref="N3062"/>
    <hyperlink r:id="rId5483" ref="I3063"/>
    <hyperlink r:id="rId5484" ref="N3063"/>
    <hyperlink r:id="rId5485" ref="I3064"/>
    <hyperlink r:id="rId5486" ref="N3064"/>
    <hyperlink r:id="rId5487" ref="I3065"/>
    <hyperlink r:id="rId5488" ref="N3065"/>
    <hyperlink r:id="rId5489" ref="I3066"/>
    <hyperlink r:id="rId5490" ref="N3066"/>
    <hyperlink r:id="rId5491" ref="I3067"/>
    <hyperlink r:id="rId5492" ref="N3067"/>
    <hyperlink r:id="rId5493" ref="N3068"/>
    <hyperlink r:id="rId5494" ref="N3069"/>
    <hyperlink r:id="rId5495" ref="N3070"/>
    <hyperlink r:id="rId5496" ref="N3071"/>
    <hyperlink r:id="rId5497" ref="I3072"/>
    <hyperlink r:id="rId5498" ref="N3072"/>
    <hyperlink r:id="rId5499" ref="I3073"/>
    <hyperlink r:id="rId5500" ref="N3073"/>
    <hyperlink r:id="rId5501" ref="N3074"/>
    <hyperlink r:id="rId5502" ref="N3075"/>
    <hyperlink r:id="rId5503" ref="N3076"/>
    <hyperlink r:id="rId5504" ref="N3077"/>
    <hyperlink r:id="rId5505" ref="I3078"/>
    <hyperlink r:id="rId5506" ref="N3078"/>
    <hyperlink r:id="rId5507" ref="I3079"/>
    <hyperlink r:id="rId5508" ref="N3079"/>
    <hyperlink r:id="rId5509" ref="I3080"/>
    <hyperlink r:id="rId5510" ref="N3080"/>
    <hyperlink r:id="rId5511" ref="N3081"/>
    <hyperlink r:id="rId5512" ref="N3082"/>
    <hyperlink r:id="rId5513" ref="N3083"/>
    <hyperlink r:id="rId5514" ref="I3084"/>
    <hyperlink r:id="rId5515" ref="N3084"/>
    <hyperlink r:id="rId5516" ref="I3085"/>
    <hyperlink r:id="rId5517" ref="N3085"/>
    <hyperlink r:id="rId5518" ref="I3086"/>
    <hyperlink r:id="rId5519" ref="N3086"/>
    <hyperlink r:id="rId5520" ref="N3087"/>
    <hyperlink r:id="rId5521" ref="N3088"/>
    <hyperlink r:id="rId5522" ref="N3089"/>
    <hyperlink r:id="rId5523" ref="I3090"/>
    <hyperlink r:id="rId5524" ref="N3090"/>
    <hyperlink r:id="rId5525" ref="I3091"/>
    <hyperlink r:id="rId5526" ref="N3091"/>
    <hyperlink r:id="rId5527" ref="I3092"/>
    <hyperlink r:id="rId5528" ref="N3092"/>
    <hyperlink r:id="rId5529" ref="I3093"/>
    <hyperlink r:id="rId5530" ref="N3093"/>
    <hyperlink r:id="rId5531" ref="I3094"/>
    <hyperlink r:id="rId5532" ref="N3094"/>
    <hyperlink r:id="rId5533" ref="N3095"/>
    <hyperlink r:id="rId5534" ref="N3096"/>
    <hyperlink r:id="rId5535" ref="N3097"/>
    <hyperlink r:id="rId5536" ref="N3098"/>
    <hyperlink r:id="rId5537" ref="N3099"/>
    <hyperlink r:id="rId5538" ref="I3100"/>
    <hyperlink r:id="rId5539" ref="N3100"/>
    <hyperlink r:id="rId5540" ref="N3101"/>
    <hyperlink r:id="rId5541" ref="N3102"/>
    <hyperlink r:id="rId5542" ref="N3103"/>
    <hyperlink r:id="rId5543" ref="I3104"/>
    <hyperlink r:id="rId5544" ref="N3104"/>
    <hyperlink r:id="rId5545" ref="I3105"/>
    <hyperlink r:id="rId5546" ref="N3105"/>
    <hyperlink r:id="rId5547" ref="I3106"/>
    <hyperlink r:id="rId5548" ref="N3106"/>
    <hyperlink r:id="rId5549" ref="N3107"/>
    <hyperlink r:id="rId5550" ref="N3108"/>
    <hyperlink r:id="rId5551" ref="N3109"/>
    <hyperlink r:id="rId5552" ref="N3110"/>
    <hyperlink r:id="rId5553" ref="N3111"/>
    <hyperlink r:id="rId5554" ref="N3112"/>
    <hyperlink r:id="rId5555" ref="N3113"/>
    <hyperlink r:id="rId5556" ref="N3114"/>
    <hyperlink r:id="rId5557" ref="N3115"/>
    <hyperlink r:id="rId5558" ref="N3116"/>
    <hyperlink r:id="rId5559" ref="I3117"/>
    <hyperlink r:id="rId5560" ref="N3117"/>
    <hyperlink r:id="rId5561" ref="N3118"/>
    <hyperlink r:id="rId5562" ref="N3119"/>
    <hyperlink r:id="rId5563" ref="N3120"/>
    <hyperlink r:id="rId5564" ref="N3121"/>
    <hyperlink r:id="rId5565" ref="I3122"/>
    <hyperlink r:id="rId5566" ref="N3122"/>
    <hyperlink r:id="rId5567" ref="N3123"/>
    <hyperlink r:id="rId5568" ref="N3124"/>
    <hyperlink r:id="rId5569" ref="N3125"/>
    <hyperlink r:id="rId5570" ref="N3126"/>
    <hyperlink r:id="rId5571" ref="N3127"/>
    <hyperlink r:id="rId5572" ref="N3128"/>
    <hyperlink r:id="rId5573" ref="N3129"/>
    <hyperlink r:id="rId5574" ref="N3130"/>
    <hyperlink r:id="rId5575" ref="N3131"/>
    <hyperlink r:id="rId5576" ref="N3132"/>
    <hyperlink r:id="rId5577" ref="N3133"/>
    <hyperlink r:id="rId5578" ref="N3134"/>
    <hyperlink r:id="rId5579" ref="N3135"/>
    <hyperlink r:id="rId5580" ref="N3136"/>
    <hyperlink r:id="rId5581" ref="N3137"/>
    <hyperlink r:id="rId5582" ref="N3138"/>
    <hyperlink r:id="rId5583" ref="N3139"/>
    <hyperlink r:id="rId5584" ref="N3140"/>
    <hyperlink r:id="rId5585" ref="N3141"/>
    <hyperlink r:id="rId5586" ref="N3142"/>
    <hyperlink r:id="rId5587" ref="N3143"/>
    <hyperlink r:id="rId5588" ref="N3144"/>
    <hyperlink r:id="rId5589" ref="N3145"/>
    <hyperlink r:id="rId5590" ref="N3146"/>
    <hyperlink r:id="rId5591" ref="N3147"/>
    <hyperlink r:id="rId5592" ref="N3148"/>
    <hyperlink r:id="rId5593" ref="N3149"/>
    <hyperlink r:id="rId5594" ref="N3150"/>
    <hyperlink r:id="rId5595" ref="N3151"/>
    <hyperlink r:id="rId5596" ref="N3152"/>
    <hyperlink r:id="rId5597" ref="N3153"/>
    <hyperlink r:id="rId5598" ref="N3154"/>
    <hyperlink r:id="rId5599" ref="N3155"/>
    <hyperlink r:id="rId5600" ref="N3156"/>
    <hyperlink r:id="rId5601" ref="N3157"/>
    <hyperlink r:id="rId5602" ref="N3158"/>
    <hyperlink r:id="rId5603" ref="N3159"/>
    <hyperlink r:id="rId5604" ref="N3160"/>
    <hyperlink r:id="rId5605" ref="N3161"/>
    <hyperlink r:id="rId5606" ref="N3162"/>
    <hyperlink r:id="rId5607" ref="N3163"/>
    <hyperlink r:id="rId5608" ref="N3164"/>
    <hyperlink r:id="rId5609" ref="I3165"/>
    <hyperlink r:id="rId5610" ref="N3165"/>
    <hyperlink r:id="rId5611" ref="I3166"/>
    <hyperlink r:id="rId5612" ref="N3166"/>
    <hyperlink r:id="rId5613" ref="I3167"/>
    <hyperlink r:id="rId5614" ref="N3167"/>
    <hyperlink r:id="rId5615" ref="I3168"/>
    <hyperlink r:id="rId5616" ref="N3168"/>
    <hyperlink r:id="rId5617" ref="N3169"/>
    <hyperlink r:id="rId5618" ref="N3170"/>
    <hyperlink r:id="rId5619" ref="N3171"/>
    <hyperlink r:id="rId5620" ref="I3172"/>
    <hyperlink r:id="rId5621" ref="N3172"/>
    <hyperlink r:id="rId5622" ref="I3173"/>
    <hyperlink r:id="rId5623" ref="N3173"/>
    <hyperlink r:id="rId5624" ref="N3174"/>
    <hyperlink r:id="rId5625" ref="N3175"/>
    <hyperlink r:id="rId5626" ref="N3176"/>
    <hyperlink r:id="rId5627" ref="N3177"/>
    <hyperlink r:id="rId5628" ref="I3178"/>
    <hyperlink r:id="rId5629" ref="N3178"/>
    <hyperlink r:id="rId5630" ref="I3179"/>
    <hyperlink r:id="rId5631" ref="N3179"/>
    <hyperlink r:id="rId5632" ref="I3180"/>
    <hyperlink r:id="rId5633" ref="N3180"/>
    <hyperlink r:id="rId5634" ref="N3181"/>
    <hyperlink r:id="rId5635" ref="N3182"/>
    <hyperlink r:id="rId5636" ref="N3183"/>
    <hyperlink r:id="rId5637" ref="N3184"/>
    <hyperlink r:id="rId5638" ref="I3185"/>
    <hyperlink r:id="rId5639" ref="N3185"/>
    <hyperlink r:id="rId5640" ref="I3186"/>
    <hyperlink r:id="rId5641" ref="N3186"/>
    <hyperlink r:id="rId5642" ref="N3187"/>
    <hyperlink r:id="rId5643" ref="N3188"/>
    <hyperlink r:id="rId5644" ref="N3189"/>
    <hyperlink r:id="rId5645" ref="N3190"/>
    <hyperlink r:id="rId5646" ref="N3191"/>
    <hyperlink r:id="rId5647" ref="N3192"/>
    <hyperlink r:id="rId5648" ref="N3193"/>
    <hyperlink r:id="rId5649" ref="N3194"/>
    <hyperlink r:id="rId5650" ref="N3195"/>
    <hyperlink r:id="rId5651" ref="N3196"/>
    <hyperlink r:id="rId5652" ref="N3197"/>
    <hyperlink r:id="rId5653" ref="N3198"/>
    <hyperlink r:id="rId5654" ref="N3199"/>
    <hyperlink r:id="rId5655" ref="N3200"/>
    <hyperlink r:id="rId5656" ref="N3201"/>
    <hyperlink r:id="rId5657" ref="N3202"/>
    <hyperlink r:id="rId5658" ref="N3203"/>
    <hyperlink r:id="rId5659" ref="N3204"/>
    <hyperlink r:id="rId5660" ref="N3205"/>
    <hyperlink r:id="rId5661" ref="N3206"/>
    <hyperlink r:id="rId5662" ref="N3207"/>
    <hyperlink r:id="rId5663" ref="N3208"/>
    <hyperlink r:id="rId5664" ref="N3209"/>
    <hyperlink r:id="rId5665" ref="N3210"/>
    <hyperlink r:id="rId5666" ref="N3211"/>
    <hyperlink r:id="rId5667" ref="N3212"/>
    <hyperlink r:id="rId5668" ref="N3213"/>
    <hyperlink r:id="rId5669" ref="N3214"/>
    <hyperlink r:id="rId5670" ref="N3215"/>
    <hyperlink r:id="rId5671" ref="N3216"/>
    <hyperlink r:id="rId5672" ref="N3217"/>
    <hyperlink r:id="rId5673" ref="N3218"/>
    <hyperlink r:id="rId5674" ref="N3219"/>
    <hyperlink r:id="rId5675" ref="N3220"/>
    <hyperlink r:id="rId5676" ref="N3221"/>
    <hyperlink r:id="rId5677" ref="N3222"/>
    <hyperlink r:id="rId5678" ref="N3223"/>
    <hyperlink r:id="rId5679" ref="N3224"/>
    <hyperlink r:id="rId5680" ref="N3225"/>
    <hyperlink r:id="rId5681" ref="N3226"/>
    <hyperlink r:id="rId5682" ref="N3227"/>
    <hyperlink r:id="rId5683" ref="N3228"/>
    <hyperlink r:id="rId5684" ref="N3229"/>
    <hyperlink r:id="rId5685" ref="N3230"/>
    <hyperlink r:id="rId5686" ref="N3231"/>
    <hyperlink r:id="rId5687" ref="N3232"/>
    <hyperlink r:id="rId5688" ref="N3233"/>
    <hyperlink r:id="rId5689" ref="N3234"/>
    <hyperlink r:id="rId5690" ref="N3235"/>
    <hyperlink r:id="rId5691" ref="N3236"/>
    <hyperlink r:id="rId5692" ref="N3237"/>
    <hyperlink r:id="rId5693" ref="N3238"/>
    <hyperlink r:id="rId5694" ref="N3239"/>
    <hyperlink r:id="rId5695" ref="N3240"/>
    <hyperlink r:id="rId5696" ref="N3241"/>
    <hyperlink r:id="rId5697" ref="N3242"/>
    <hyperlink r:id="rId5698" ref="N3243"/>
    <hyperlink r:id="rId5699" ref="N3244"/>
    <hyperlink r:id="rId5700" ref="N3245"/>
    <hyperlink r:id="rId5701" ref="N3246"/>
    <hyperlink r:id="rId5702" ref="N3247"/>
    <hyperlink r:id="rId5703" ref="N3248"/>
    <hyperlink r:id="rId5704" ref="N3249"/>
    <hyperlink r:id="rId5705" ref="I3250"/>
    <hyperlink r:id="rId5706" ref="N3250"/>
    <hyperlink r:id="rId5707" ref="I3251"/>
    <hyperlink r:id="rId5708" ref="N3251"/>
    <hyperlink r:id="rId5709" ref="N3252"/>
    <hyperlink r:id="rId5710" ref="N3253"/>
    <hyperlink r:id="rId5711" ref="N3254"/>
    <hyperlink r:id="rId5712" ref="N3255"/>
    <hyperlink r:id="rId5713" ref="N3256"/>
    <hyperlink r:id="rId5714" ref="N3257"/>
    <hyperlink r:id="rId5715" ref="N3258"/>
    <hyperlink r:id="rId5716" ref="N3259"/>
    <hyperlink r:id="rId5717" ref="I3260"/>
    <hyperlink r:id="rId5718" ref="N3260"/>
    <hyperlink r:id="rId5719" ref="I3261"/>
    <hyperlink r:id="rId5720" ref="N3261"/>
    <hyperlink r:id="rId5721" ref="N3262"/>
    <hyperlink r:id="rId5722" ref="N3263"/>
    <hyperlink r:id="rId5723" ref="N3264"/>
    <hyperlink r:id="rId5724" ref="N3265"/>
    <hyperlink r:id="rId5725" ref="I3266"/>
    <hyperlink r:id="rId5726" ref="N3266"/>
    <hyperlink r:id="rId5727" ref="I3267"/>
    <hyperlink r:id="rId5728" ref="N3267"/>
    <hyperlink r:id="rId5729" ref="I3268"/>
    <hyperlink r:id="rId5730" ref="N3268"/>
    <hyperlink r:id="rId5731" ref="I3269"/>
    <hyperlink r:id="rId5732" ref="N3269"/>
    <hyperlink r:id="rId5733" ref="N3270"/>
    <hyperlink r:id="rId5734" ref="N3271"/>
    <hyperlink r:id="rId5735" ref="N3272"/>
    <hyperlink r:id="rId5736" ref="N3273"/>
    <hyperlink r:id="rId5737" ref="N3274"/>
    <hyperlink r:id="rId5738" ref="N3275"/>
    <hyperlink r:id="rId5739" ref="I3276"/>
    <hyperlink r:id="rId5740" ref="N3276"/>
    <hyperlink r:id="rId5741" ref="I3277"/>
    <hyperlink r:id="rId5742" ref="N3277"/>
    <hyperlink r:id="rId5743" ref="I3278"/>
    <hyperlink r:id="rId5744" ref="N3278"/>
    <hyperlink r:id="rId5745" ref="I3279"/>
    <hyperlink r:id="rId5746" ref="N3279"/>
    <hyperlink r:id="rId5747" ref="I3280"/>
    <hyperlink r:id="rId5748" ref="N3280"/>
    <hyperlink r:id="rId5749" ref="N3281"/>
    <hyperlink r:id="rId5750" ref="N3282"/>
    <hyperlink r:id="rId5751" ref="N3283"/>
    <hyperlink r:id="rId5752" ref="N3284"/>
    <hyperlink r:id="rId5753" ref="I3285"/>
    <hyperlink r:id="rId5754" ref="N3285"/>
    <hyperlink r:id="rId5755" ref="I3286"/>
    <hyperlink r:id="rId5756" ref="N3286"/>
    <hyperlink r:id="rId5757" ref="N3287"/>
    <hyperlink r:id="rId5758" ref="N3288"/>
    <hyperlink r:id="rId5759" ref="N3289"/>
    <hyperlink r:id="rId5760" ref="I3290"/>
    <hyperlink r:id="rId5761" ref="N3290"/>
    <hyperlink r:id="rId5762" ref="I3291"/>
    <hyperlink r:id="rId5763" ref="N3291"/>
    <hyperlink r:id="rId5764" ref="N3292"/>
    <hyperlink r:id="rId5765" ref="N3293"/>
    <hyperlink r:id="rId5766" ref="N3294"/>
    <hyperlink r:id="rId5767" ref="N3295"/>
    <hyperlink r:id="rId5768" ref="N3296"/>
    <hyperlink r:id="rId5769" ref="I3297"/>
    <hyperlink r:id="rId5770" ref="N3297"/>
    <hyperlink r:id="rId5771" ref="N3298"/>
    <hyperlink r:id="rId5772" ref="N3299"/>
    <hyperlink r:id="rId5773" ref="N3300"/>
    <hyperlink r:id="rId5774" ref="I3301"/>
    <hyperlink r:id="rId5775" ref="N3301"/>
    <hyperlink r:id="rId5776" ref="N3302"/>
    <hyperlink r:id="rId5777" ref="N3303"/>
    <hyperlink r:id="rId5778" ref="I3304"/>
    <hyperlink r:id="rId5779" ref="N3304"/>
    <hyperlink r:id="rId5780" ref="N3305"/>
    <hyperlink r:id="rId5781" ref="N3306"/>
    <hyperlink r:id="rId5782" ref="N3307"/>
    <hyperlink r:id="rId5783" ref="N3308"/>
    <hyperlink r:id="rId5784" ref="N3309"/>
    <hyperlink r:id="rId5785" ref="N3310"/>
    <hyperlink r:id="rId5786" ref="I3311"/>
    <hyperlink r:id="rId5787" ref="N3311"/>
    <hyperlink r:id="rId5788" ref="N3312"/>
    <hyperlink r:id="rId5789" ref="N3313"/>
    <hyperlink r:id="rId5790" ref="N3314"/>
    <hyperlink r:id="rId5791" ref="N3315"/>
    <hyperlink r:id="rId5792" ref="N3316"/>
    <hyperlink r:id="rId5793" ref="N3317"/>
    <hyperlink r:id="rId5794" ref="N3318"/>
    <hyperlink r:id="rId5795" ref="N3319"/>
    <hyperlink r:id="rId5796" ref="N3320"/>
    <hyperlink r:id="rId5797" ref="N3321"/>
    <hyperlink r:id="rId5798" ref="N3322"/>
    <hyperlink r:id="rId5799" ref="N3323"/>
    <hyperlink r:id="rId5800" ref="N3324"/>
    <hyperlink r:id="rId5801" ref="N3325"/>
    <hyperlink r:id="rId5802" ref="N3326"/>
    <hyperlink r:id="rId5803" ref="N3327"/>
    <hyperlink r:id="rId5804" ref="N3328"/>
    <hyperlink r:id="rId5805" ref="N3329"/>
    <hyperlink r:id="rId5806" ref="N3330"/>
    <hyperlink r:id="rId5807" ref="N3331"/>
    <hyperlink r:id="rId5808" ref="N3332"/>
    <hyperlink r:id="rId5809" ref="N3333"/>
    <hyperlink r:id="rId5810" ref="N3334"/>
    <hyperlink r:id="rId5811" ref="N3335"/>
    <hyperlink r:id="rId5812" ref="N3336"/>
    <hyperlink r:id="rId5813" ref="N3337"/>
    <hyperlink r:id="rId5814" ref="N3338"/>
    <hyperlink r:id="rId5815" ref="N3339"/>
    <hyperlink r:id="rId5816" ref="N3340"/>
    <hyperlink r:id="rId5817" ref="N3341"/>
    <hyperlink r:id="rId5818" ref="N3342"/>
    <hyperlink r:id="rId5819" ref="N3343"/>
    <hyperlink r:id="rId5820" ref="N3344"/>
    <hyperlink r:id="rId5821" ref="N3345"/>
    <hyperlink r:id="rId5822" ref="N3346"/>
    <hyperlink r:id="rId5823" ref="N3347"/>
    <hyperlink r:id="rId5824" ref="N3348"/>
    <hyperlink r:id="rId5825" ref="N3349"/>
    <hyperlink r:id="rId5826" ref="N3350"/>
    <hyperlink r:id="rId5827" ref="N3351"/>
    <hyperlink r:id="rId5828" ref="N3352"/>
    <hyperlink r:id="rId5829" ref="N3353"/>
    <hyperlink r:id="rId5830" ref="N3354"/>
    <hyperlink r:id="rId5831" ref="N3355"/>
    <hyperlink r:id="rId5832" ref="N3356"/>
    <hyperlink r:id="rId5833" ref="N3357"/>
    <hyperlink r:id="rId5834" ref="N3358"/>
    <hyperlink r:id="rId5835" ref="N3359"/>
    <hyperlink r:id="rId5836" ref="N3360"/>
    <hyperlink r:id="rId5837" ref="N3361"/>
    <hyperlink r:id="rId5838" ref="N3362"/>
    <hyperlink r:id="rId5839" ref="N3363"/>
    <hyperlink r:id="rId5840" ref="N3364"/>
    <hyperlink r:id="rId5841" ref="N3365"/>
    <hyperlink r:id="rId5842" ref="N3366"/>
    <hyperlink r:id="rId5843" ref="N3367"/>
    <hyperlink r:id="rId5844" ref="N3368"/>
    <hyperlink r:id="rId5845" ref="N3369"/>
    <hyperlink r:id="rId5846" ref="N3370"/>
    <hyperlink r:id="rId5847" ref="N3371"/>
    <hyperlink r:id="rId5848" ref="N3372"/>
    <hyperlink r:id="rId5849" ref="N3373"/>
    <hyperlink r:id="rId5850" ref="N3374"/>
    <hyperlink r:id="rId5851" ref="N3375"/>
    <hyperlink r:id="rId5852" ref="N3376"/>
    <hyperlink r:id="rId5853" ref="N3377"/>
    <hyperlink r:id="rId5854" ref="I3378"/>
    <hyperlink r:id="rId5855" ref="N3378"/>
    <hyperlink r:id="rId5856" ref="I3379"/>
    <hyperlink r:id="rId5857" ref="N3379"/>
    <hyperlink r:id="rId5858" ref="N3380"/>
    <hyperlink r:id="rId5859" ref="N3381"/>
    <hyperlink r:id="rId5860" ref="N3382"/>
    <hyperlink r:id="rId5861" ref="N3383"/>
    <hyperlink r:id="rId5862" ref="N3384"/>
    <hyperlink r:id="rId5863" ref="I3385"/>
    <hyperlink r:id="rId5864" ref="N3385"/>
    <hyperlink r:id="rId5865" ref="I3386"/>
    <hyperlink r:id="rId5866" ref="N3386"/>
    <hyperlink r:id="rId5867" ref="I3387"/>
    <hyperlink r:id="rId5868" ref="N3387"/>
    <hyperlink r:id="rId5869" ref="N3388"/>
    <hyperlink r:id="rId5870" ref="N3389"/>
    <hyperlink r:id="rId5871" ref="N3390"/>
    <hyperlink r:id="rId5872" ref="N3391"/>
    <hyperlink r:id="rId5873" ref="N3392"/>
    <hyperlink r:id="rId5874" ref="I3393"/>
    <hyperlink r:id="rId5875" ref="N3393"/>
    <hyperlink r:id="rId5876" ref="I3394"/>
    <hyperlink r:id="rId5877" ref="N3394"/>
    <hyperlink r:id="rId5878" ref="I3395"/>
    <hyperlink r:id="rId5879" ref="N3395"/>
    <hyperlink r:id="rId5880" ref="N3396"/>
    <hyperlink r:id="rId5881" ref="I3397"/>
    <hyperlink r:id="rId5882" ref="N3397"/>
    <hyperlink r:id="rId5883" ref="I3398"/>
    <hyperlink r:id="rId5884" ref="N3398"/>
    <hyperlink r:id="rId5885" ref="I3399"/>
    <hyperlink r:id="rId5886" ref="N3399"/>
    <hyperlink r:id="rId5887" ref="I3400"/>
    <hyperlink r:id="rId5888" ref="N3400"/>
    <hyperlink r:id="rId5889" ref="I3401"/>
    <hyperlink r:id="rId5890" ref="N3401"/>
    <hyperlink r:id="rId5891" ref="I3402"/>
    <hyperlink r:id="rId5892" ref="N3402"/>
    <hyperlink r:id="rId5893" ref="I3403"/>
    <hyperlink r:id="rId5894" ref="N3403"/>
    <hyperlink r:id="rId5895" ref="I3404"/>
    <hyperlink r:id="rId5896" ref="N3404"/>
    <hyperlink r:id="rId5897" ref="I3405"/>
    <hyperlink r:id="rId5898" ref="N3405"/>
    <hyperlink r:id="rId5899" ref="N3406"/>
    <hyperlink r:id="rId5900" ref="N3407"/>
    <hyperlink r:id="rId5901" ref="N3408"/>
    <hyperlink r:id="rId5902" ref="I3409"/>
    <hyperlink r:id="rId5903" ref="N3409"/>
    <hyperlink r:id="rId5904" ref="I3410"/>
    <hyperlink r:id="rId5905" ref="N3410"/>
    <hyperlink r:id="rId5906" ref="I3411"/>
    <hyperlink r:id="rId5907" ref="N3411"/>
    <hyperlink r:id="rId5908" ref="I3412"/>
    <hyperlink r:id="rId5909" ref="N3412"/>
    <hyperlink r:id="rId5910" ref="I3413"/>
    <hyperlink r:id="rId5911" ref="N3413"/>
    <hyperlink r:id="rId5912" ref="I3414"/>
    <hyperlink r:id="rId5913" ref="N3414"/>
    <hyperlink r:id="rId5914" ref="N3415"/>
    <hyperlink r:id="rId5915" ref="N3416"/>
    <hyperlink r:id="rId5916" ref="N3417"/>
    <hyperlink r:id="rId5917" ref="I3418"/>
    <hyperlink r:id="rId5918" ref="N3418"/>
    <hyperlink r:id="rId5919" ref="N3419"/>
    <hyperlink r:id="rId5920" ref="N3420"/>
    <hyperlink r:id="rId5921" ref="N3421"/>
    <hyperlink r:id="rId5922" ref="N3422"/>
    <hyperlink r:id="rId5923" ref="N3423"/>
    <hyperlink r:id="rId5924" ref="N3424"/>
    <hyperlink r:id="rId5925" ref="I3425"/>
    <hyperlink r:id="rId5926" ref="N3425"/>
    <hyperlink r:id="rId5927" ref="N3426"/>
    <hyperlink r:id="rId5928" ref="N3427"/>
    <hyperlink r:id="rId5929" ref="N3428"/>
    <hyperlink r:id="rId5930" ref="N3429"/>
    <hyperlink r:id="rId5931" ref="N3430"/>
    <hyperlink r:id="rId5932" ref="N3431"/>
    <hyperlink r:id="rId5933" ref="N3432"/>
    <hyperlink r:id="rId5934" ref="I3433"/>
    <hyperlink r:id="rId5935" ref="N3433"/>
    <hyperlink r:id="rId5936" ref="I3434"/>
    <hyperlink r:id="rId5937" ref="N3434"/>
    <hyperlink r:id="rId5938" ref="I3435"/>
    <hyperlink r:id="rId5939" ref="N3435"/>
    <hyperlink r:id="rId5940" ref="N3436"/>
    <hyperlink r:id="rId5941" ref="N3437"/>
    <hyperlink r:id="rId5942" ref="N3438"/>
    <hyperlink r:id="rId5943" ref="N3439"/>
    <hyperlink r:id="rId5944" ref="N3440"/>
    <hyperlink r:id="rId5945" ref="N3441"/>
    <hyperlink r:id="rId5946" ref="N3442"/>
    <hyperlink r:id="rId5947" ref="N3443"/>
    <hyperlink r:id="rId5948" ref="N3444"/>
    <hyperlink r:id="rId5949" ref="N3445"/>
    <hyperlink r:id="rId5950" ref="N3446"/>
    <hyperlink r:id="rId5951" ref="N3447"/>
    <hyperlink r:id="rId5952" ref="N3448"/>
    <hyperlink r:id="rId5953" ref="N3449"/>
    <hyperlink r:id="rId5954" ref="N3450"/>
    <hyperlink r:id="rId5955" ref="N3451"/>
    <hyperlink r:id="rId5956" ref="N3452"/>
    <hyperlink r:id="rId5957" ref="N3453"/>
    <hyperlink r:id="rId5958" ref="N3454"/>
    <hyperlink r:id="rId5959" ref="N3455"/>
    <hyperlink r:id="rId5960" ref="N3456"/>
    <hyperlink r:id="rId5961" ref="N3457"/>
    <hyperlink r:id="rId5962" ref="N3458"/>
    <hyperlink r:id="rId5963" ref="N3459"/>
    <hyperlink r:id="rId5964" ref="N3460"/>
    <hyperlink r:id="rId5965" ref="N3461"/>
    <hyperlink r:id="rId5966" ref="N3462"/>
    <hyperlink r:id="rId5967" ref="N3463"/>
    <hyperlink r:id="rId5968" ref="N3464"/>
    <hyperlink r:id="rId5969" ref="N3465"/>
    <hyperlink r:id="rId5970" ref="N3466"/>
    <hyperlink r:id="rId5971" ref="N3467"/>
    <hyperlink r:id="rId5972" ref="N3468"/>
    <hyperlink r:id="rId5973" ref="N3469"/>
    <hyperlink r:id="rId5974" ref="N3470"/>
    <hyperlink r:id="rId5975" ref="N3471"/>
    <hyperlink r:id="rId5976" ref="N3472"/>
    <hyperlink r:id="rId5977" ref="N3473"/>
    <hyperlink r:id="rId5978" ref="N3474"/>
    <hyperlink r:id="rId5979" ref="N3475"/>
    <hyperlink r:id="rId5980" ref="N3476"/>
    <hyperlink r:id="rId5981" ref="N3477"/>
    <hyperlink r:id="rId5982" ref="N3478"/>
    <hyperlink r:id="rId5983" ref="N3479"/>
    <hyperlink r:id="rId5984" ref="N3480"/>
    <hyperlink r:id="rId5985" ref="N3481"/>
    <hyperlink r:id="rId5986" ref="N3482"/>
    <hyperlink r:id="rId5987" ref="N3483"/>
    <hyperlink r:id="rId5988" ref="N3484"/>
    <hyperlink r:id="rId5989" ref="N3485"/>
    <hyperlink r:id="rId5990" ref="N3486"/>
    <hyperlink r:id="rId5991" ref="N3487"/>
    <hyperlink r:id="rId5992" ref="N3488"/>
    <hyperlink r:id="rId5993" ref="N3489"/>
    <hyperlink r:id="rId5994" ref="N3490"/>
    <hyperlink r:id="rId5995" ref="N3491"/>
    <hyperlink r:id="rId5996" ref="N3492"/>
    <hyperlink r:id="rId5997" ref="N3493"/>
    <hyperlink r:id="rId5998" ref="N3494"/>
    <hyperlink r:id="rId5999" ref="N3495"/>
    <hyperlink r:id="rId6000" ref="N3496"/>
    <hyperlink r:id="rId6001" ref="N3497"/>
    <hyperlink r:id="rId6002" ref="N3498"/>
    <hyperlink r:id="rId6003" ref="N3499"/>
    <hyperlink r:id="rId6004" ref="N3500"/>
    <hyperlink r:id="rId6005" ref="N3501"/>
    <hyperlink r:id="rId6006" ref="I3502"/>
    <hyperlink r:id="rId6007" ref="N3502"/>
    <hyperlink r:id="rId6008" ref="N3503"/>
    <hyperlink r:id="rId6009" ref="I3504"/>
    <hyperlink r:id="rId6010" ref="N3504"/>
    <hyperlink r:id="rId6011" ref="I3505"/>
    <hyperlink r:id="rId6012" ref="N3505"/>
    <hyperlink r:id="rId6013" ref="I3506"/>
    <hyperlink r:id="rId6014" ref="N3506"/>
    <hyperlink r:id="rId6015" ref="I3507"/>
    <hyperlink r:id="rId6016" ref="N3507"/>
    <hyperlink r:id="rId6017" ref="I3508"/>
    <hyperlink r:id="rId6018" ref="N3508"/>
    <hyperlink r:id="rId6019" ref="I3509"/>
    <hyperlink r:id="rId6020" ref="N3509"/>
    <hyperlink r:id="rId6021" ref="N3510"/>
    <hyperlink r:id="rId6022" ref="N3511"/>
    <hyperlink r:id="rId6023" ref="N3512"/>
    <hyperlink r:id="rId6024" ref="N3513"/>
    <hyperlink r:id="rId6025" ref="N3514"/>
    <hyperlink r:id="rId6026" ref="N3515"/>
    <hyperlink r:id="rId6027" ref="N3516"/>
    <hyperlink r:id="rId6028" ref="I3517"/>
    <hyperlink r:id="rId6029" ref="N3517"/>
    <hyperlink r:id="rId6030" ref="I3518"/>
    <hyperlink r:id="rId6031" ref="N3518"/>
    <hyperlink r:id="rId6032" ref="I3519"/>
    <hyperlink r:id="rId6033" ref="N3519"/>
    <hyperlink r:id="rId6034" ref="I3520"/>
    <hyperlink r:id="rId6035" ref="N3520"/>
    <hyperlink r:id="rId6036" ref="N3521"/>
    <hyperlink r:id="rId6037" ref="N3522"/>
    <hyperlink r:id="rId6038" ref="N3523"/>
    <hyperlink r:id="rId6039" ref="N3524"/>
    <hyperlink r:id="rId6040" ref="I3525"/>
    <hyperlink r:id="rId6041" ref="N3525"/>
    <hyperlink r:id="rId6042" ref="I3526"/>
    <hyperlink r:id="rId6043" ref="N3526"/>
    <hyperlink r:id="rId6044" ref="I3527"/>
    <hyperlink r:id="rId6045" ref="N3527"/>
    <hyperlink r:id="rId6046" ref="I3528"/>
    <hyperlink r:id="rId6047" ref="N3528"/>
    <hyperlink r:id="rId6048" ref="N3529"/>
    <hyperlink r:id="rId6049" ref="N3530"/>
    <hyperlink r:id="rId6050" ref="N3531"/>
    <hyperlink r:id="rId6051" ref="I3532"/>
    <hyperlink r:id="rId6052" ref="N3532"/>
    <hyperlink r:id="rId6053" ref="I3533"/>
    <hyperlink r:id="rId6054" ref="N3533"/>
    <hyperlink r:id="rId6055" ref="I3534"/>
    <hyperlink r:id="rId6056" ref="N3534"/>
    <hyperlink r:id="rId6057" ref="I3535"/>
    <hyperlink r:id="rId6058" ref="N3535"/>
    <hyperlink r:id="rId6059" ref="E3536"/>
    <hyperlink r:id="rId6060" ref="I3536"/>
    <hyperlink r:id="rId6061" ref="N3536"/>
    <hyperlink r:id="rId6062" ref="I3537"/>
    <hyperlink r:id="rId6063" ref="N3537"/>
    <hyperlink r:id="rId6064" ref="I3538"/>
    <hyperlink r:id="rId6065" ref="N3538"/>
    <hyperlink r:id="rId6066" ref="I3539"/>
    <hyperlink r:id="rId6067" ref="N3539"/>
    <hyperlink r:id="rId6068" ref="N3540"/>
    <hyperlink r:id="rId6069" ref="N3541"/>
    <hyperlink r:id="rId6070" ref="N3542"/>
    <hyperlink r:id="rId6071" ref="I3543"/>
    <hyperlink r:id="rId6072" ref="N3543"/>
    <hyperlink r:id="rId6073" ref="I3544"/>
    <hyperlink r:id="rId6074" ref="N3544"/>
    <hyperlink r:id="rId6075" ref="I3545"/>
    <hyperlink r:id="rId6076" ref="N3545"/>
    <hyperlink r:id="rId6077" ref="I3546"/>
    <hyperlink r:id="rId6078" ref="N3546"/>
    <hyperlink r:id="rId6079" ref="N3547"/>
    <hyperlink r:id="rId6080" ref="I3548"/>
    <hyperlink r:id="rId6081" ref="N3548"/>
    <hyperlink r:id="rId6082" ref="I3549"/>
    <hyperlink r:id="rId6083" ref="N3549"/>
    <hyperlink r:id="rId6084" ref="N3550"/>
    <hyperlink r:id="rId6085" ref="N3551"/>
    <hyperlink r:id="rId6086" ref="N3552"/>
    <hyperlink r:id="rId6087" ref="I3553"/>
    <hyperlink r:id="rId6088" ref="N3553"/>
    <hyperlink r:id="rId6089" ref="I3554"/>
    <hyperlink r:id="rId6090" ref="N3554"/>
    <hyperlink r:id="rId6091" ref="I3555"/>
    <hyperlink r:id="rId6092" ref="N3555"/>
    <hyperlink r:id="rId6093" ref="N3556"/>
    <hyperlink r:id="rId6094" ref="N3557"/>
    <hyperlink r:id="rId6095" ref="N3558"/>
    <hyperlink r:id="rId6096" ref="N3559"/>
    <hyperlink r:id="rId6097" ref="I3560"/>
    <hyperlink r:id="rId6098" ref="N3560"/>
    <hyperlink r:id="rId6099" ref="N3561"/>
    <hyperlink r:id="rId6100" ref="N3562"/>
    <hyperlink r:id="rId6101" ref="N3563"/>
    <hyperlink r:id="rId6102" ref="N3564"/>
    <hyperlink r:id="rId6103" ref="N3565"/>
    <hyperlink r:id="rId6104" ref="N3566"/>
    <hyperlink r:id="rId6105" ref="N3567"/>
    <hyperlink r:id="rId6106" ref="N3568"/>
    <hyperlink r:id="rId6107" ref="N3569"/>
    <hyperlink r:id="rId6108" ref="N3570"/>
    <hyperlink r:id="rId6109" ref="N3571"/>
    <hyperlink r:id="rId6110" ref="N3572"/>
    <hyperlink r:id="rId6111" ref="N3573"/>
    <hyperlink r:id="rId6112" ref="N3574"/>
    <hyperlink r:id="rId6113" ref="N3575"/>
    <hyperlink r:id="rId6114" ref="N3576"/>
    <hyperlink r:id="rId6115" ref="N3577"/>
    <hyperlink r:id="rId6116" ref="N3578"/>
    <hyperlink r:id="rId6117" ref="N3579"/>
    <hyperlink r:id="rId6118" ref="N3580"/>
    <hyperlink r:id="rId6119" ref="N3581"/>
    <hyperlink r:id="rId6120" ref="N3582"/>
    <hyperlink r:id="rId6121" ref="N3583"/>
    <hyperlink r:id="rId6122" ref="N3584"/>
    <hyperlink r:id="rId6123" ref="N3585"/>
    <hyperlink r:id="rId6124" ref="N3586"/>
    <hyperlink r:id="rId6125" ref="N3587"/>
    <hyperlink r:id="rId6126" ref="N3588"/>
    <hyperlink r:id="rId6127" ref="N3589"/>
    <hyperlink r:id="rId6128" ref="N3590"/>
    <hyperlink r:id="rId6129" ref="N3591"/>
    <hyperlink r:id="rId6130" ref="N3592"/>
    <hyperlink r:id="rId6131" ref="N3593"/>
    <hyperlink r:id="rId6132" ref="N3594"/>
    <hyperlink r:id="rId6133" ref="N3595"/>
    <hyperlink r:id="rId6134" ref="N3596"/>
    <hyperlink r:id="rId6135" ref="N3597"/>
    <hyperlink r:id="rId6136" ref="N3598"/>
    <hyperlink r:id="rId6137" ref="I3599"/>
    <hyperlink r:id="rId6138" ref="N3599"/>
    <hyperlink r:id="rId6139" ref="I3600"/>
    <hyperlink r:id="rId6140" ref="N3600"/>
    <hyperlink r:id="rId6141" ref="I3601"/>
    <hyperlink r:id="rId6142" ref="N3601"/>
    <hyperlink r:id="rId6143" ref="I3602"/>
    <hyperlink r:id="rId6144" ref="N3602"/>
    <hyperlink r:id="rId6145" ref="I3603"/>
    <hyperlink r:id="rId6146" ref="N3603"/>
    <hyperlink r:id="rId6147" ref="N3604"/>
    <hyperlink r:id="rId6148" ref="N3605"/>
    <hyperlink r:id="rId6149" ref="N3606"/>
    <hyperlink r:id="rId6150" ref="N3607"/>
    <hyperlink r:id="rId6151" ref="I3608"/>
    <hyperlink r:id="rId6152" ref="N3608"/>
    <hyperlink r:id="rId6153" ref="I3609"/>
    <hyperlink r:id="rId6154" ref="N3609"/>
    <hyperlink r:id="rId6155" ref="I3610"/>
    <hyperlink r:id="rId6156" ref="N3610"/>
    <hyperlink r:id="rId6157" ref="N3611"/>
    <hyperlink r:id="rId6158" ref="N3612"/>
    <hyperlink r:id="rId6159" ref="I3613"/>
    <hyperlink r:id="rId6160" ref="N3613"/>
    <hyperlink r:id="rId6161" ref="I3614"/>
    <hyperlink r:id="rId6162" ref="N3614"/>
    <hyperlink r:id="rId6163" ref="N3615"/>
    <hyperlink r:id="rId6164" ref="I3616"/>
    <hyperlink r:id="rId6165" ref="N3616"/>
    <hyperlink r:id="rId6166" ref="N3617"/>
    <hyperlink r:id="rId6167" ref="N3618"/>
    <hyperlink r:id="rId6168" ref="N3619"/>
    <hyperlink r:id="rId6169" ref="N3620"/>
    <hyperlink r:id="rId6170" ref="N3621"/>
    <hyperlink r:id="rId6171" ref="N3622"/>
    <hyperlink r:id="rId6172" ref="N3623"/>
    <hyperlink r:id="rId6173" ref="N3624"/>
    <hyperlink r:id="rId6174" ref="N3625"/>
    <hyperlink r:id="rId6175" ref="I3626"/>
    <hyperlink r:id="rId6176" ref="N3626"/>
    <hyperlink r:id="rId6177" ref="N3627"/>
    <hyperlink r:id="rId6178" ref="N3628"/>
    <hyperlink r:id="rId6179" ref="N3629"/>
    <hyperlink r:id="rId6180" ref="N3630"/>
    <hyperlink r:id="rId6181" ref="N3631"/>
    <hyperlink r:id="rId6182" ref="N3632"/>
    <hyperlink r:id="rId6183" ref="N3633"/>
    <hyperlink r:id="rId6184" ref="N3634"/>
    <hyperlink r:id="rId6185" ref="N3635"/>
    <hyperlink r:id="rId6186" ref="N3636"/>
    <hyperlink r:id="rId6187" ref="N3637"/>
    <hyperlink r:id="rId6188" ref="N3638"/>
    <hyperlink r:id="rId6189" ref="N3639"/>
    <hyperlink r:id="rId6190" ref="N3640"/>
    <hyperlink r:id="rId6191" ref="N3641"/>
    <hyperlink r:id="rId6192" ref="N3642"/>
    <hyperlink r:id="rId6193" ref="N3643"/>
    <hyperlink r:id="rId6194" ref="N3644"/>
    <hyperlink r:id="rId6195" ref="N3645"/>
    <hyperlink r:id="rId6196" ref="N3646"/>
    <hyperlink r:id="rId6197" ref="N3647"/>
    <hyperlink r:id="rId6198" ref="N3648"/>
    <hyperlink r:id="rId6199" ref="N3649"/>
    <hyperlink r:id="rId6200" ref="N3650"/>
    <hyperlink r:id="rId6201" ref="N3651"/>
    <hyperlink r:id="rId6202" ref="N3652"/>
    <hyperlink r:id="rId6203" ref="N3653"/>
    <hyperlink r:id="rId6204" ref="N3654"/>
    <hyperlink r:id="rId6205" ref="N3655"/>
    <hyperlink r:id="rId6206" ref="N3656"/>
    <hyperlink r:id="rId6207" ref="N3657"/>
    <hyperlink r:id="rId6208" ref="N3658"/>
    <hyperlink r:id="rId6209" ref="N3659"/>
    <hyperlink r:id="rId6210" ref="N3660"/>
    <hyperlink r:id="rId6211" ref="N3661"/>
    <hyperlink r:id="rId6212" ref="N3662"/>
    <hyperlink r:id="rId6213" ref="N3663"/>
    <hyperlink r:id="rId6214" ref="N3664"/>
    <hyperlink r:id="rId6215" ref="N3665"/>
    <hyperlink r:id="rId6216" ref="N3666"/>
    <hyperlink r:id="rId6217" ref="N3667"/>
    <hyperlink r:id="rId6218" ref="N3668"/>
    <hyperlink r:id="rId6219" ref="N3669"/>
    <hyperlink r:id="rId6220" ref="N3670"/>
    <hyperlink r:id="rId6221" ref="N3671"/>
    <hyperlink r:id="rId6222" ref="N3672"/>
    <hyperlink r:id="rId6223" ref="N3673"/>
    <hyperlink r:id="rId6224" ref="N3674"/>
    <hyperlink r:id="rId6225" ref="N3675"/>
    <hyperlink r:id="rId6226" ref="N3676"/>
    <hyperlink r:id="rId6227" ref="N3677"/>
    <hyperlink r:id="rId6228" ref="N3678"/>
    <hyperlink r:id="rId6229" ref="N3679"/>
    <hyperlink r:id="rId6230" ref="N3680"/>
    <hyperlink r:id="rId6231" ref="N3681"/>
    <hyperlink r:id="rId6232" ref="N3682"/>
    <hyperlink r:id="rId6233" ref="N3683"/>
    <hyperlink r:id="rId6234" ref="N3684"/>
    <hyperlink r:id="rId6235" ref="N3685"/>
    <hyperlink r:id="rId6236" ref="N3686"/>
    <hyperlink r:id="rId6237" ref="N3687"/>
    <hyperlink r:id="rId6238" ref="N3688"/>
    <hyperlink r:id="rId6239" ref="N3689"/>
    <hyperlink r:id="rId6240" ref="N3690"/>
    <hyperlink r:id="rId6241" ref="N3691"/>
    <hyperlink r:id="rId6242" ref="N3692"/>
    <hyperlink r:id="rId6243" ref="N3693"/>
    <hyperlink r:id="rId6244" ref="N3694"/>
    <hyperlink r:id="rId6245" ref="N3695"/>
    <hyperlink r:id="rId6246" ref="N3696"/>
    <hyperlink r:id="rId6247" ref="N3697"/>
    <hyperlink r:id="rId6248" ref="N3698"/>
    <hyperlink r:id="rId6249" ref="N3699"/>
    <hyperlink r:id="rId6250" ref="N3700"/>
    <hyperlink r:id="rId6251" ref="N3701"/>
    <hyperlink r:id="rId6252" ref="N3702"/>
    <hyperlink r:id="rId6253" ref="N3703"/>
    <hyperlink r:id="rId6254" ref="I3704"/>
    <hyperlink r:id="rId6255" ref="N3704"/>
    <hyperlink r:id="rId6256" ref="I3705"/>
    <hyperlink r:id="rId6257" ref="N3705"/>
    <hyperlink r:id="rId6258" ref="N3706"/>
    <hyperlink r:id="rId6259" ref="I3707"/>
    <hyperlink r:id="rId6260" ref="N3707"/>
    <hyperlink r:id="rId6261" ref="I3708"/>
    <hyperlink r:id="rId6262" ref="N3708"/>
    <hyperlink r:id="rId6263" ref="I3709"/>
    <hyperlink r:id="rId6264" ref="N3709"/>
    <hyperlink r:id="rId6265" ref="I3710"/>
    <hyperlink r:id="rId6266" ref="N3710"/>
    <hyperlink r:id="rId6267" ref="N3711"/>
    <hyperlink r:id="rId6268" ref="N3712"/>
    <hyperlink r:id="rId6269" ref="I3713"/>
    <hyperlink r:id="rId6270" ref="N3713"/>
    <hyperlink r:id="rId6271" ref="I3714"/>
    <hyperlink r:id="rId6272" ref="N3714"/>
    <hyperlink r:id="rId6273" ref="I3715"/>
    <hyperlink r:id="rId6274" ref="N3715"/>
    <hyperlink r:id="rId6275" ref="I3716"/>
    <hyperlink r:id="rId6276" ref="N3716"/>
    <hyperlink r:id="rId6277" ref="I3717"/>
    <hyperlink r:id="rId6278" ref="N3717"/>
    <hyperlink r:id="rId6279" ref="I3718"/>
    <hyperlink r:id="rId6280" ref="N3718"/>
    <hyperlink r:id="rId6281" ref="I3719"/>
    <hyperlink r:id="rId6282" ref="N3719"/>
    <hyperlink r:id="rId6283" ref="I3720"/>
    <hyperlink r:id="rId6284" ref="N3720"/>
    <hyperlink r:id="rId6285" ref="I3721"/>
    <hyperlink r:id="rId6286" ref="N3721"/>
    <hyperlink r:id="rId6287" ref="I3722"/>
    <hyperlink r:id="rId6288" ref="N3722"/>
    <hyperlink r:id="rId6289" ref="N3723"/>
    <hyperlink r:id="rId6290" ref="N3724"/>
    <hyperlink r:id="rId6291" ref="N3725"/>
    <hyperlink r:id="rId6292" ref="I3726"/>
    <hyperlink r:id="rId6293" ref="N3726"/>
    <hyperlink r:id="rId6294" ref="I3727"/>
    <hyperlink r:id="rId6295" ref="N3727"/>
    <hyperlink r:id="rId6296" ref="N3728"/>
    <hyperlink r:id="rId6297" ref="N3729"/>
    <hyperlink r:id="rId6298" ref="I3730"/>
    <hyperlink r:id="rId6299" ref="N3730"/>
    <hyperlink r:id="rId6300" ref="I3731"/>
    <hyperlink r:id="rId6301" ref="N3731"/>
    <hyperlink r:id="rId6302" ref="I3732"/>
    <hyperlink r:id="rId6303" ref="N3732"/>
    <hyperlink r:id="rId6304" ref="N3733"/>
    <hyperlink r:id="rId6305" ref="I3734"/>
    <hyperlink r:id="rId6306" ref="N3734"/>
    <hyperlink r:id="rId6307" ref="I3735"/>
    <hyperlink r:id="rId6308" ref="N3735"/>
    <hyperlink r:id="rId6309" ref="I3736"/>
    <hyperlink r:id="rId6310" ref="N3736"/>
    <hyperlink r:id="rId6311" ref="N3737"/>
    <hyperlink r:id="rId6312" ref="N3738"/>
    <hyperlink r:id="rId6313" ref="N3739"/>
    <hyperlink r:id="rId6314" ref="I3740"/>
    <hyperlink r:id="rId6315" ref="N3740"/>
    <hyperlink r:id="rId6316" ref="I3741"/>
    <hyperlink r:id="rId6317" ref="N3741"/>
    <hyperlink r:id="rId6318" ref="N3742"/>
    <hyperlink r:id="rId6319" ref="I3743"/>
    <hyperlink r:id="rId6320" ref="N3743"/>
    <hyperlink r:id="rId6321" ref="I3744"/>
    <hyperlink r:id="rId6322" ref="N3744"/>
    <hyperlink r:id="rId6323" ref="I3745"/>
    <hyperlink r:id="rId6324" ref="N3745"/>
    <hyperlink r:id="rId6325" ref="I3746"/>
    <hyperlink r:id="rId6326" ref="N3746"/>
    <hyperlink r:id="rId6327" ref="I3747"/>
    <hyperlink r:id="rId6328" ref="N3747"/>
    <hyperlink r:id="rId6329" ref="N3748"/>
    <hyperlink r:id="rId6330" ref="I3749"/>
    <hyperlink r:id="rId6331" ref="N3749"/>
    <hyperlink r:id="rId6332" ref="I3750"/>
    <hyperlink r:id="rId6333" ref="N3750"/>
    <hyperlink r:id="rId6334" ref="I3751"/>
    <hyperlink r:id="rId6335" ref="N3751"/>
    <hyperlink r:id="rId6336" ref="I3752"/>
    <hyperlink r:id="rId6337" ref="N3752"/>
    <hyperlink r:id="rId6338" ref="N3753"/>
    <hyperlink r:id="rId6339" ref="N3754"/>
    <hyperlink r:id="rId6340" ref="I3755"/>
    <hyperlink r:id="rId6341" ref="N3755"/>
    <hyperlink r:id="rId6342" ref="I3756"/>
    <hyperlink r:id="rId6343" ref="N3756"/>
    <hyperlink r:id="rId6344" ref="I3757"/>
    <hyperlink r:id="rId6345" ref="N3757"/>
    <hyperlink r:id="rId6346" ref="N3758"/>
    <hyperlink r:id="rId6347" ref="N3759"/>
    <hyperlink r:id="rId6348" ref="N3760"/>
    <hyperlink r:id="rId6349" ref="N3761"/>
    <hyperlink r:id="rId6350" ref="N3762"/>
    <hyperlink r:id="rId6351" ref="N3763"/>
    <hyperlink r:id="rId6352" ref="N3764"/>
    <hyperlink r:id="rId6353" ref="N3765"/>
    <hyperlink r:id="rId6354" ref="N3766"/>
    <hyperlink r:id="rId6355" ref="N3767"/>
    <hyperlink r:id="rId6356" ref="N3768"/>
    <hyperlink r:id="rId6357" ref="N3769"/>
    <hyperlink r:id="rId6358" ref="N3770"/>
    <hyperlink r:id="rId6359" ref="I3771"/>
    <hyperlink r:id="rId6360" ref="N3771"/>
    <hyperlink r:id="rId6361" ref="I3772"/>
    <hyperlink r:id="rId6362" ref="N3772"/>
    <hyperlink r:id="rId6363" ref="I3773"/>
    <hyperlink r:id="rId6364" ref="N3773"/>
    <hyperlink r:id="rId6365" ref="N3774"/>
    <hyperlink r:id="rId6366" ref="N3775"/>
    <hyperlink r:id="rId6367" ref="N3776"/>
    <hyperlink r:id="rId6368" ref="N3777"/>
    <hyperlink r:id="rId6369" ref="N3778"/>
    <hyperlink r:id="rId6370" ref="N3779"/>
    <hyperlink r:id="rId6371" ref="N3780"/>
    <hyperlink r:id="rId6372" ref="N3781"/>
    <hyperlink r:id="rId6373" ref="N3782"/>
    <hyperlink r:id="rId6374" ref="N3783"/>
    <hyperlink r:id="rId6375" ref="N3784"/>
    <hyperlink r:id="rId6376" ref="N3785"/>
    <hyperlink r:id="rId6377" ref="N3786"/>
    <hyperlink r:id="rId6378" ref="N3787"/>
    <hyperlink r:id="rId6379" ref="N3788"/>
    <hyperlink r:id="rId6380" ref="N3789"/>
    <hyperlink r:id="rId6381" ref="N3790"/>
    <hyperlink r:id="rId6382" ref="N3791"/>
    <hyperlink r:id="rId6383" ref="N3792"/>
    <hyperlink r:id="rId6384" ref="N3793"/>
    <hyperlink r:id="rId6385" ref="N3794"/>
    <hyperlink r:id="rId6386" ref="I3795"/>
    <hyperlink r:id="rId6387" ref="N3795"/>
    <hyperlink r:id="rId6388" ref="I3796"/>
    <hyperlink r:id="rId6389" ref="N3796"/>
    <hyperlink r:id="rId6390" ref="I3797"/>
    <hyperlink r:id="rId6391" ref="N3797"/>
    <hyperlink r:id="rId6392" ref="N3798"/>
    <hyperlink r:id="rId6393" ref="I3799"/>
    <hyperlink r:id="rId6394" ref="N3799"/>
    <hyperlink r:id="rId6395" ref="I3800"/>
    <hyperlink r:id="rId6396" ref="N3800"/>
    <hyperlink r:id="rId6397" ref="I3801"/>
    <hyperlink r:id="rId6398" ref="N3801"/>
    <hyperlink r:id="rId6399" ref="N3802"/>
    <hyperlink r:id="rId6400" ref="N3803"/>
    <hyperlink r:id="rId6401" ref="I3804"/>
    <hyperlink r:id="rId6402" ref="N3804"/>
    <hyperlink r:id="rId6403" ref="I3805"/>
    <hyperlink r:id="rId6404" ref="N3805"/>
    <hyperlink r:id="rId6405" ref="I3806"/>
    <hyperlink r:id="rId6406" ref="N3806"/>
    <hyperlink r:id="rId6407" ref="I3807"/>
    <hyperlink r:id="rId6408" ref="N3807"/>
    <hyperlink r:id="rId6409" ref="I3808"/>
    <hyperlink r:id="rId6410" ref="N3808"/>
    <hyperlink r:id="rId6411" ref="I3809"/>
    <hyperlink r:id="rId6412" ref="N3809"/>
    <hyperlink r:id="rId6413" ref="I3810"/>
    <hyperlink r:id="rId6414" ref="N3810"/>
    <hyperlink r:id="rId6415" ref="I3811"/>
    <hyperlink r:id="rId6416" ref="N3811"/>
    <hyperlink r:id="rId6417" ref="N3812"/>
    <hyperlink r:id="rId6418" ref="N3813"/>
    <hyperlink r:id="rId6419" ref="N3814"/>
    <hyperlink r:id="rId6420" ref="I3815"/>
    <hyperlink r:id="rId6421" ref="N3815"/>
    <hyperlink r:id="rId6422" ref="I3816"/>
    <hyperlink r:id="rId6423" ref="N3816"/>
    <hyperlink r:id="rId6424" ref="N3817"/>
    <hyperlink r:id="rId6425" ref="N3818"/>
    <hyperlink r:id="rId6426" ref="N3819"/>
    <hyperlink r:id="rId6427" ref="N3820"/>
    <hyperlink r:id="rId6428" ref="N3821"/>
    <hyperlink r:id="rId6429" ref="N3822"/>
    <hyperlink r:id="rId6430" ref="N3823"/>
    <hyperlink r:id="rId6431" ref="N3824"/>
    <hyperlink r:id="rId6432" ref="N3825"/>
    <hyperlink r:id="rId6433" ref="N3826"/>
    <hyperlink r:id="rId6434" ref="I3827"/>
    <hyperlink r:id="rId6435" ref="N3827"/>
    <hyperlink r:id="rId6436" ref="I3828"/>
    <hyperlink r:id="rId6437" ref="N3828"/>
    <hyperlink r:id="rId6438" ref="N3829"/>
    <hyperlink r:id="rId6439" ref="N3830"/>
    <hyperlink r:id="rId6440" ref="N3831"/>
    <hyperlink r:id="rId6441" ref="N3832"/>
    <hyperlink r:id="rId6442" ref="I3833"/>
    <hyperlink r:id="rId6443" ref="N3833"/>
    <hyperlink r:id="rId6444" ref="I3834"/>
    <hyperlink r:id="rId6445" ref="N3834"/>
    <hyperlink r:id="rId6446" ref="N3835"/>
    <hyperlink r:id="rId6447" ref="N3836"/>
    <hyperlink r:id="rId6448" ref="N3837"/>
    <hyperlink r:id="rId6449" ref="N3838"/>
    <hyperlink r:id="rId6450" ref="N3839"/>
    <hyperlink r:id="rId6451" ref="N3840"/>
    <hyperlink r:id="rId6452" ref="N3841"/>
    <hyperlink r:id="rId6453" ref="N3842"/>
    <hyperlink r:id="rId6454" ref="N3843"/>
    <hyperlink r:id="rId6455" ref="N3844"/>
    <hyperlink r:id="rId6456" ref="N3845"/>
    <hyperlink r:id="rId6457" ref="N3846"/>
    <hyperlink r:id="rId6458" ref="N3847"/>
    <hyperlink r:id="rId6459" ref="N3848"/>
    <hyperlink r:id="rId6460" ref="I3849"/>
    <hyperlink r:id="rId6461" ref="N3849"/>
    <hyperlink r:id="rId6462" ref="N3850"/>
    <hyperlink r:id="rId6463" ref="N3851"/>
    <hyperlink r:id="rId6464" ref="N3852"/>
    <hyperlink r:id="rId6465" ref="N3853"/>
    <hyperlink r:id="rId6466" ref="N3854"/>
    <hyperlink r:id="rId6467" ref="N3855"/>
    <hyperlink r:id="rId6468" ref="N3856"/>
    <hyperlink r:id="rId6469" ref="N3857"/>
    <hyperlink r:id="rId6470" ref="N3858"/>
    <hyperlink r:id="rId6471" ref="N3859"/>
    <hyperlink r:id="rId6472" ref="N3860"/>
    <hyperlink r:id="rId6473" ref="N3861"/>
    <hyperlink r:id="rId6474" ref="N3862"/>
    <hyperlink r:id="rId6475" ref="N3863"/>
    <hyperlink r:id="rId6476" ref="N3864"/>
    <hyperlink r:id="rId6477" ref="N3865"/>
    <hyperlink r:id="rId6478" ref="N3866"/>
    <hyperlink r:id="rId6479" ref="N3867"/>
    <hyperlink r:id="rId6480" ref="N3868"/>
    <hyperlink r:id="rId6481" ref="N3869"/>
    <hyperlink r:id="rId6482" ref="N3870"/>
    <hyperlink r:id="rId6483" ref="N3871"/>
    <hyperlink r:id="rId6484" ref="N3872"/>
    <hyperlink r:id="rId6485" ref="N3873"/>
    <hyperlink r:id="rId6486" ref="N3874"/>
    <hyperlink r:id="rId6487" ref="N3875"/>
    <hyperlink r:id="rId6488" ref="N3876"/>
    <hyperlink r:id="rId6489" ref="N3877"/>
    <hyperlink r:id="rId6490" ref="N3878"/>
    <hyperlink r:id="rId6491" ref="N3879"/>
    <hyperlink r:id="rId6492" ref="N3880"/>
    <hyperlink r:id="rId6493" ref="N3881"/>
    <hyperlink r:id="rId6494" ref="N3882"/>
    <hyperlink r:id="rId6495" ref="N3883"/>
    <hyperlink r:id="rId6496" ref="N3884"/>
    <hyperlink r:id="rId6497" ref="N3885"/>
    <hyperlink r:id="rId6498" ref="N3886"/>
    <hyperlink r:id="rId6499" ref="N3887"/>
    <hyperlink r:id="rId6500" ref="N3888"/>
    <hyperlink r:id="rId6501" ref="N3889"/>
    <hyperlink r:id="rId6502" ref="N3890"/>
    <hyperlink r:id="rId6503" ref="N3891"/>
    <hyperlink r:id="rId6504" ref="N3892"/>
    <hyperlink r:id="rId6505" ref="N3893"/>
    <hyperlink r:id="rId6506" ref="N3894"/>
    <hyperlink r:id="rId6507" ref="N3895"/>
    <hyperlink r:id="rId6508" ref="N3896"/>
    <hyperlink r:id="rId6509" ref="N3897"/>
    <hyperlink r:id="rId6510" ref="N3898"/>
    <hyperlink r:id="rId6511" ref="N3899"/>
    <hyperlink r:id="rId6512" ref="N3900"/>
    <hyperlink r:id="rId6513" ref="N3901"/>
    <hyperlink r:id="rId6514" ref="N3902"/>
    <hyperlink r:id="rId6515" ref="N3903"/>
    <hyperlink r:id="rId6516" ref="N3904"/>
    <hyperlink r:id="rId6517" ref="N3905"/>
    <hyperlink r:id="rId6518" ref="N3906"/>
    <hyperlink r:id="rId6519" ref="N3907"/>
    <hyperlink r:id="rId6520" ref="N3908"/>
    <hyperlink r:id="rId6521" ref="N3909"/>
    <hyperlink r:id="rId6522" ref="N3910"/>
    <hyperlink r:id="rId6523" ref="N3911"/>
    <hyperlink r:id="rId6524" ref="N3912"/>
    <hyperlink r:id="rId6525" ref="N3913"/>
    <hyperlink r:id="rId6526" ref="N3914"/>
    <hyperlink r:id="rId6527" ref="N3915"/>
    <hyperlink r:id="rId6528" ref="I3916"/>
    <hyperlink r:id="rId6529" ref="N3916"/>
    <hyperlink r:id="rId6530" ref="I3917"/>
    <hyperlink r:id="rId6531" ref="N3917"/>
    <hyperlink r:id="rId6532" ref="I3918"/>
    <hyperlink r:id="rId6533" ref="N3918"/>
    <hyperlink r:id="rId6534" ref="I3919"/>
    <hyperlink r:id="rId6535" ref="N3919"/>
    <hyperlink r:id="rId6536" ref="I3920"/>
    <hyperlink r:id="rId6537" ref="N3920"/>
    <hyperlink r:id="rId6538" ref="I3921"/>
    <hyperlink r:id="rId6539" ref="N3921"/>
    <hyperlink r:id="rId6540" ref="I3922"/>
    <hyperlink r:id="rId6541" ref="N3922"/>
    <hyperlink r:id="rId6542" ref="N3923"/>
    <hyperlink r:id="rId6543" ref="N3924"/>
    <hyperlink r:id="rId6544" ref="N3925"/>
    <hyperlink r:id="rId6545" ref="N3926"/>
    <hyperlink r:id="rId6546" ref="N3927"/>
    <hyperlink r:id="rId6547" ref="N3928"/>
    <hyperlink r:id="rId6548" ref="N3929"/>
    <hyperlink r:id="rId6549" ref="N3930"/>
    <hyperlink r:id="rId6550" ref="N3931"/>
    <hyperlink r:id="rId6551" ref="N3932"/>
    <hyperlink r:id="rId6552" ref="I3933"/>
    <hyperlink r:id="rId6553" ref="N3933"/>
    <hyperlink r:id="rId6554" ref="I3934"/>
    <hyperlink r:id="rId6555" ref="N3934"/>
    <hyperlink r:id="rId6556" ref="I3935"/>
    <hyperlink r:id="rId6557" ref="N3935"/>
    <hyperlink r:id="rId6558" ref="I3936"/>
    <hyperlink r:id="rId6559" ref="N3936"/>
    <hyperlink r:id="rId6560" ref="N3937"/>
    <hyperlink r:id="rId6561" ref="N3938"/>
    <hyperlink r:id="rId6562" ref="N3939"/>
    <hyperlink r:id="rId6563" ref="N3940"/>
    <hyperlink r:id="rId6564" ref="N3941"/>
    <hyperlink r:id="rId6565" ref="N3942"/>
    <hyperlink r:id="rId6566" ref="N3943"/>
    <hyperlink r:id="rId6567" ref="N3944"/>
    <hyperlink r:id="rId6568" ref="I3945"/>
    <hyperlink r:id="rId6569" ref="N3945"/>
    <hyperlink r:id="rId6570" ref="I3946"/>
    <hyperlink r:id="rId6571" ref="N3946"/>
    <hyperlink r:id="rId6572" ref="I3947"/>
    <hyperlink r:id="rId6573" ref="N3947"/>
    <hyperlink r:id="rId6574" ref="N3948"/>
    <hyperlink r:id="rId6575" ref="N3949"/>
    <hyperlink r:id="rId6576" ref="N3950"/>
    <hyperlink r:id="rId6577" ref="I3951"/>
    <hyperlink r:id="rId6578" ref="N3951"/>
    <hyperlink r:id="rId6579" ref="I3952"/>
    <hyperlink r:id="rId6580" ref="N3952"/>
    <hyperlink r:id="rId6581" ref="I3953"/>
    <hyperlink r:id="rId6582" ref="N3953"/>
    <hyperlink r:id="rId6583" ref="I3954"/>
    <hyperlink r:id="rId6584" ref="N3954"/>
    <hyperlink r:id="rId6585" ref="N3955"/>
    <hyperlink r:id="rId6586" ref="N3956"/>
    <hyperlink r:id="rId6587" ref="N3957"/>
    <hyperlink r:id="rId6588" ref="I3958"/>
    <hyperlink r:id="rId6589" ref="N3958"/>
    <hyperlink r:id="rId6590" ref="I3959"/>
    <hyperlink r:id="rId6591" ref="N3959"/>
    <hyperlink r:id="rId6592" ref="I3960"/>
    <hyperlink r:id="rId6593" ref="N3960"/>
    <hyperlink r:id="rId6594" ref="I3961"/>
    <hyperlink r:id="rId6595" ref="N3961"/>
    <hyperlink r:id="rId6596" ref="N3962"/>
    <hyperlink r:id="rId6597" ref="N3963"/>
    <hyperlink r:id="rId6598" ref="I3964"/>
    <hyperlink r:id="rId6599" ref="N3964"/>
    <hyperlink r:id="rId6600" ref="I3965"/>
    <hyperlink r:id="rId6601" ref="N3965"/>
    <hyperlink r:id="rId6602" ref="I3966"/>
    <hyperlink r:id="rId6603" ref="N3966"/>
    <hyperlink r:id="rId6604" ref="I3967"/>
    <hyperlink r:id="rId6605" ref="N3967"/>
    <hyperlink r:id="rId6606" ref="I3968"/>
    <hyperlink r:id="rId6607" ref="N3968"/>
    <hyperlink r:id="rId6608" ref="I3969"/>
    <hyperlink r:id="rId6609" ref="N3969"/>
    <hyperlink r:id="rId6610" ref="I3970"/>
    <hyperlink r:id="rId6611" ref="N3970"/>
    <hyperlink r:id="rId6612" ref="N3971"/>
    <hyperlink r:id="rId6613" ref="N3972"/>
    <hyperlink r:id="rId6614" ref="N3973"/>
    <hyperlink r:id="rId6615" ref="N3974"/>
    <hyperlink r:id="rId6616" ref="N3975"/>
    <hyperlink r:id="rId6617" ref="N3976"/>
    <hyperlink r:id="rId6618" ref="N3977"/>
    <hyperlink r:id="rId6619" ref="N3978"/>
    <hyperlink r:id="rId6620" ref="N3979"/>
    <hyperlink r:id="rId6621" ref="N3980"/>
    <hyperlink r:id="rId6622" ref="I3981"/>
    <hyperlink r:id="rId6623" ref="N3981"/>
    <hyperlink r:id="rId6624" ref="I3982"/>
    <hyperlink r:id="rId6625" ref="N3982"/>
    <hyperlink r:id="rId6626" ref="N3983"/>
    <hyperlink r:id="rId6627" ref="N3984"/>
    <hyperlink r:id="rId6628" ref="N3985"/>
    <hyperlink r:id="rId6629" ref="I3986"/>
    <hyperlink r:id="rId6630" ref="N3986"/>
    <hyperlink r:id="rId6631" ref="N3987"/>
    <hyperlink r:id="rId6632" ref="I3988"/>
    <hyperlink r:id="rId6633" ref="N3988"/>
    <hyperlink r:id="rId6634" ref="I3989"/>
    <hyperlink r:id="rId6635" ref="N3989"/>
    <hyperlink r:id="rId6636" ref="I3990"/>
    <hyperlink r:id="rId6637" ref="N3990"/>
    <hyperlink r:id="rId6638" ref="I3991"/>
    <hyperlink r:id="rId6639" ref="N3991"/>
    <hyperlink r:id="rId6640" ref="N3992"/>
    <hyperlink r:id="rId6641" ref="N3993"/>
    <hyperlink r:id="rId6642" ref="N3994"/>
    <hyperlink r:id="rId6643" ref="N3995"/>
    <hyperlink r:id="rId6644" ref="N3996"/>
    <hyperlink r:id="rId6645" ref="I3997"/>
    <hyperlink r:id="rId6646" ref="N3997"/>
    <hyperlink r:id="rId6647" ref="I3998"/>
    <hyperlink r:id="rId6648" ref="N3998"/>
    <hyperlink r:id="rId6649" ref="I3999"/>
    <hyperlink r:id="rId6650" ref="N3999"/>
    <hyperlink r:id="rId6651" ref="I4000"/>
    <hyperlink r:id="rId6652" ref="N4000"/>
    <hyperlink r:id="rId6653" ref="I4001"/>
    <hyperlink r:id="rId6654" ref="N4001"/>
    <hyperlink r:id="rId6655" ref="I4002"/>
    <hyperlink r:id="rId6656" ref="N4002"/>
    <hyperlink r:id="rId6657" ref="N4003"/>
    <hyperlink r:id="rId6658" ref="N4004"/>
    <hyperlink r:id="rId6659" ref="N4005"/>
    <hyperlink r:id="rId6660" ref="N4006"/>
    <hyperlink r:id="rId6661" ref="N4007"/>
    <hyperlink r:id="rId6662" ref="I4008"/>
    <hyperlink r:id="rId6663" ref="N4008"/>
    <hyperlink r:id="rId6664" ref="I4009"/>
    <hyperlink r:id="rId6665" ref="N4009"/>
    <hyperlink r:id="rId6666" ref="I4010"/>
    <hyperlink r:id="rId6667" ref="N4010"/>
    <hyperlink r:id="rId6668" ref="I4011"/>
    <hyperlink r:id="rId6669" ref="N4011"/>
    <hyperlink r:id="rId6670" ref="I4012"/>
    <hyperlink r:id="rId6671" ref="N4012"/>
    <hyperlink r:id="rId6672" ref="N4013"/>
    <hyperlink r:id="rId6673" ref="N4014"/>
    <hyperlink r:id="rId6674" ref="N4015"/>
    <hyperlink r:id="rId6675" ref="N4016"/>
    <hyperlink r:id="rId6676" ref="N4017"/>
    <hyperlink r:id="rId6677" ref="N4018"/>
    <hyperlink r:id="rId6678" ref="I4019"/>
    <hyperlink r:id="rId6679" ref="N4019"/>
    <hyperlink r:id="rId6680" ref="N4020"/>
    <hyperlink r:id="rId6681" ref="I4021"/>
    <hyperlink r:id="rId6682" ref="N4021"/>
    <hyperlink r:id="rId6683" ref="I4022"/>
    <hyperlink r:id="rId6684" ref="N4022"/>
    <hyperlink r:id="rId6685" ref="I4023"/>
    <hyperlink r:id="rId6686" ref="N4023"/>
    <hyperlink r:id="rId6687" ref="I4024"/>
    <hyperlink r:id="rId6688" ref="N4024"/>
    <hyperlink r:id="rId6689" ref="I4025"/>
    <hyperlink r:id="rId6690" ref="N4025"/>
    <hyperlink r:id="rId6691" ref="I4026"/>
    <hyperlink r:id="rId6692" ref="N4026"/>
    <hyperlink r:id="rId6693" ref="I4027"/>
    <hyperlink r:id="rId6694" ref="N4027"/>
    <hyperlink r:id="rId6695" ref="N4028"/>
    <hyperlink r:id="rId6696" ref="N4029"/>
    <hyperlink r:id="rId6697" ref="N4030"/>
    <hyperlink r:id="rId6698" ref="N4031"/>
    <hyperlink r:id="rId6699" ref="N4032"/>
    <hyperlink r:id="rId6700" ref="N4033"/>
    <hyperlink r:id="rId6701" ref="N4034"/>
    <hyperlink r:id="rId6702" ref="I4035"/>
    <hyperlink r:id="rId6703" ref="N4035"/>
    <hyperlink r:id="rId6704" ref="I4036"/>
    <hyperlink r:id="rId6705" ref="N4036"/>
    <hyperlink r:id="rId6706" ref="I4037"/>
    <hyperlink r:id="rId6707" ref="N4037"/>
    <hyperlink r:id="rId6708" ref="N4038"/>
    <hyperlink r:id="rId6709" ref="N4039"/>
    <hyperlink r:id="rId6710" ref="I4040"/>
    <hyperlink r:id="rId6711" ref="N4040"/>
    <hyperlink r:id="rId6712" ref="I4041"/>
    <hyperlink r:id="rId6713" ref="N4041"/>
    <hyperlink r:id="rId6714" ref="N4042"/>
    <hyperlink r:id="rId6715" ref="N4043"/>
    <hyperlink r:id="rId6716" ref="I4044"/>
    <hyperlink r:id="rId6717" ref="N4044"/>
    <hyperlink r:id="rId6718" ref="I4045"/>
    <hyperlink r:id="rId6719" ref="N4045"/>
    <hyperlink r:id="rId6720" ref="N4046"/>
    <hyperlink r:id="rId6721" ref="N4047"/>
    <hyperlink r:id="rId6722" ref="N4048"/>
    <hyperlink r:id="rId6723" ref="N4049"/>
    <hyperlink r:id="rId6724" ref="N4050"/>
    <hyperlink r:id="rId6725" ref="N4051"/>
    <hyperlink r:id="rId6726" ref="I4052"/>
    <hyperlink r:id="rId6727" ref="N4052"/>
    <hyperlink r:id="rId6728" ref="I4053"/>
    <hyperlink r:id="rId6729" ref="N4053"/>
    <hyperlink r:id="rId6730" ref="I4054"/>
    <hyperlink r:id="rId6731" ref="N4054"/>
    <hyperlink r:id="rId6732" ref="N4055"/>
    <hyperlink r:id="rId6733" ref="N4056"/>
    <hyperlink r:id="rId6734" ref="N4057"/>
    <hyperlink r:id="rId6735" ref="N4058"/>
    <hyperlink r:id="rId6736" ref="N4059"/>
    <hyperlink r:id="rId6737" ref="N4060"/>
    <hyperlink r:id="rId6738" ref="I4061"/>
    <hyperlink r:id="rId6739" ref="N4061"/>
    <hyperlink r:id="rId6740" ref="N4062"/>
    <hyperlink r:id="rId6741" ref="N4063"/>
    <hyperlink r:id="rId6742" ref="N4064"/>
    <hyperlink r:id="rId6743" ref="N4065"/>
    <hyperlink r:id="rId6744" ref="N4066"/>
    <hyperlink r:id="rId6745" ref="N4067"/>
    <hyperlink r:id="rId6746" ref="N4068"/>
    <hyperlink r:id="rId6747" ref="N4069"/>
    <hyperlink r:id="rId6748" ref="N4070"/>
    <hyperlink r:id="rId6749" ref="N4071"/>
    <hyperlink r:id="rId6750" ref="N4072"/>
    <hyperlink r:id="rId6751" ref="N4073"/>
    <hyperlink r:id="rId6752" ref="N4074"/>
    <hyperlink r:id="rId6753" ref="N4075"/>
    <hyperlink r:id="rId6754" ref="N4076"/>
    <hyperlink r:id="rId6755" ref="N4077"/>
    <hyperlink r:id="rId6756" ref="N4078"/>
    <hyperlink r:id="rId6757" ref="N4079"/>
    <hyperlink r:id="rId6758" ref="N4080"/>
    <hyperlink r:id="rId6759" ref="N4081"/>
    <hyperlink r:id="rId6760" ref="N4082"/>
    <hyperlink r:id="rId6761" ref="N4083"/>
    <hyperlink r:id="rId6762" ref="N4084"/>
    <hyperlink r:id="rId6763" ref="N4085"/>
    <hyperlink r:id="rId6764" ref="N4086"/>
    <hyperlink r:id="rId6765" ref="N4087"/>
    <hyperlink r:id="rId6766" ref="N4088"/>
    <hyperlink r:id="rId6767" ref="N4089"/>
    <hyperlink r:id="rId6768" ref="N4090"/>
    <hyperlink r:id="rId6769" ref="N4091"/>
    <hyperlink r:id="rId6770" ref="N4092"/>
    <hyperlink r:id="rId6771" ref="N4093"/>
    <hyperlink r:id="rId6772" ref="N4094"/>
    <hyperlink r:id="rId6773" ref="N4095"/>
    <hyperlink r:id="rId6774" ref="N4096"/>
    <hyperlink r:id="rId6775" ref="N4097"/>
    <hyperlink r:id="rId6776" ref="N4098"/>
    <hyperlink r:id="rId6777" ref="N4099"/>
    <hyperlink r:id="rId6778" ref="N4100"/>
    <hyperlink r:id="rId6779" ref="N4101"/>
    <hyperlink r:id="rId6780" ref="N4102"/>
    <hyperlink r:id="rId6781" ref="N4103"/>
    <hyperlink r:id="rId6782" ref="N4104"/>
    <hyperlink r:id="rId6783" ref="N4105"/>
    <hyperlink r:id="rId6784" ref="N4106"/>
    <hyperlink r:id="rId6785" ref="N4107"/>
    <hyperlink r:id="rId6786" ref="N4108"/>
    <hyperlink r:id="rId6787" ref="N4109"/>
    <hyperlink r:id="rId6788" ref="N4110"/>
    <hyperlink r:id="rId6789" ref="N4111"/>
    <hyperlink r:id="rId6790" ref="N4112"/>
    <hyperlink r:id="rId6791" ref="N4113"/>
    <hyperlink r:id="rId6792" ref="N4114"/>
    <hyperlink r:id="rId6793" ref="N4115"/>
    <hyperlink r:id="rId6794" ref="N4116"/>
    <hyperlink r:id="rId6795" ref="N4117"/>
    <hyperlink r:id="rId6796" ref="N4118"/>
    <hyperlink r:id="rId6797" ref="N4119"/>
    <hyperlink r:id="rId6798" ref="N4120"/>
    <hyperlink r:id="rId6799" ref="N4121"/>
    <hyperlink r:id="rId6800" ref="N4122"/>
    <hyperlink r:id="rId6801" ref="N4123"/>
    <hyperlink r:id="rId6802" ref="I4124"/>
    <hyperlink r:id="rId6803" ref="N4124"/>
    <hyperlink r:id="rId6804" ref="I4125"/>
    <hyperlink r:id="rId6805" ref="N4125"/>
    <hyperlink r:id="rId6806" ref="I4126"/>
    <hyperlink r:id="rId6807" ref="N4126"/>
    <hyperlink r:id="rId6808" ref="I4127"/>
    <hyperlink r:id="rId6809" ref="N4127"/>
    <hyperlink r:id="rId6810" ref="I4128"/>
    <hyperlink r:id="rId6811" ref="N4128"/>
    <hyperlink r:id="rId6812" ref="I4129"/>
    <hyperlink r:id="rId6813" ref="N4129"/>
    <hyperlink r:id="rId6814" ref="I4130"/>
    <hyperlink r:id="rId6815" ref="N4130"/>
    <hyperlink r:id="rId6816" ref="I4131"/>
    <hyperlink r:id="rId6817" ref="N4131"/>
    <hyperlink r:id="rId6818" ref="N4132"/>
    <hyperlink r:id="rId6819" ref="N4133"/>
    <hyperlink r:id="rId6820" ref="N4134"/>
    <hyperlink r:id="rId6821" ref="N4135"/>
    <hyperlink r:id="rId6822" ref="N4136"/>
    <hyperlink r:id="rId6823" ref="N4137"/>
    <hyperlink r:id="rId6824" ref="N4138"/>
    <hyperlink r:id="rId6825" ref="N4139"/>
    <hyperlink r:id="rId6826" ref="N4140"/>
    <hyperlink r:id="rId6827" ref="N4141"/>
    <hyperlink r:id="rId6828" ref="I4142"/>
    <hyperlink r:id="rId6829" ref="N4142"/>
    <hyperlink r:id="rId6830" ref="I4143"/>
    <hyperlink r:id="rId6831" ref="N4143"/>
    <hyperlink r:id="rId6832" ref="I4144"/>
    <hyperlink r:id="rId6833" ref="N4144"/>
    <hyperlink r:id="rId6834" ref="I4145"/>
    <hyperlink r:id="rId6835" ref="N4145"/>
    <hyperlink r:id="rId6836" ref="N4146"/>
    <hyperlink r:id="rId6837" ref="N4147"/>
    <hyperlink r:id="rId6838" ref="N4148"/>
    <hyperlink r:id="rId6839" ref="I4149"/>
    <hyperlink r:id="rId6840" ref="N4149"/>
    <hyperlink r:id="rId6841" ref="N4150"/>
    <hyperlink r:id="rId6842" ref="N4151"/>
    <hyperlink r:id="rId6843" ref="E4152"/>
    <hyperlink r:id="rId6844" ref="N4152"/>
    <hyperlink r:id="rId6845" ref="N4153"/>
    <hyperlink r:id="rId6846" ref="N4154"/>
    <hyperlink r:id="rId6847" ref="N4155"/>
    <hyperlink r:id="rId6848" ref="N4156"/>
    <hyperlink r:id="rId6849" ref="N4157"/>
    <hyperlink r:id="rId6850" ref="N4158"/>
    <hyperlink r:id="rId6851" ref="N4159"/>
    <hyperlink r:id="rId6852" ref="N4160"/>
    <hyperlink r:id="rId6853" ref="I4161"/>
    <hyperlink r:id="rId6854" ref="N4161"/>
    <hyperlink r:id="rId6855" ref="I4162"/>
    <hyperlink r:id="rId6856" ref="N4162"/>
    <hyperlink r:id="rId6857" ref="I4163"/>
    <hyperlink r:id="rId6858" ref="N4163"/>
    <hyperlink r:id="rId6859" ref="I4164"/>
    <hyperlink r:id="rId6860" ref="N4164"/>
    <hyperlink r:id="rId6861" ref="I4165"/>
    <hyperlink r:id="rId6862" ref="N4165"/>
    <hyperlink r:id="rId6863" ref="I4166"/>
    <hyperlink r:id="rId6864" ref="N4166"/>
    <hyperlink r:id="rId6865" ref="I4167"/>
    <hyperlink r:id="rId6866" ref="N4167"/>
    <hyperlink r:id="rId6867" ref="I4168"/>
    <hyperlink r:id="rId6868" ref="N4168"/>
    <hyperlink r:id="rId6869" ref="I4169"/>
    <hyperlink r:id="rId6870" ref="N4169"/>
    <hyperlink r:id="rId6871" ref="I4170"/>
    <hyperlink r:id="rId6872" ref="N4170"/>
    <hyperlink r:id="rId6873" ref="I4171"/>
    <hyperlink r:id="rId6874" ref="N4171"/>
    <hyperlink r:id="rId6875" ref="I4172"/>
    <hyperlink r:id="rId6876" ref="N4172"/>
    <hyperlink r:id="rId6877" ref="I4173"/>
    <hyperlink r:id="rId6878" ref="N4173"/>
    <hyperlink r:id="rId6879" ref="I4174"/>
    <hyperlink r:id="rId6880" ref="N4174"/>
    <hyperlink r:id="rId6881" ref="I4175"/>
    <hyperlink r:id="rId6882" ref="N4175"/>
    <hyperlink r:id="rId6883" ref="N4176"/>
    <hyperlink r:id="rId6884" ref="N4177"/>
    <hyperlink r:id="rId6885" ref="N4178"/>
    <hyperlink r:id="rId6886" ref="N4179"/>
    <hyperlink r:id="rId6887" ref="N4180"/>
    <hyperlink r:id="rId6888" ref="N4181"/>
    <hyperlink r:id="rId6889" ref="N4182"/>
    <hyperlink r:id="rId6890" ref="N4183"/>
    <hyperlink r:id="rId6891" ref="N4184"/>
    <hyperlink r:id="rId6892" ref="N4185"/>
    <hyperlink r:id="rId6893" ref="N4186"/>
    <hyperlink r:id="rId6894" ref="N4187"/>
    <hyperlink r:id="rId6895" ref="N4188"/>
    <hyperlink r:id="rId6896" ref="N4189"/>
    <hyperlink r:id="rId6897" ref="N4190"/>
    <hyperlink r:id="rId6898" ref="N4191"/>
    <hyperlink r:id="rId6899" ref="N4192"/>
    <hyperlink r:id="rId6900" ref="N4193"/>
    <hyperlink r:id="rId6901" ref="N4194"/>
    <hyperlink r:id="rId6902" ref="N4195"/>
    <hyperlink r:id="rId6903" ref="N4196"/>
    <hyperlink r:id="rId6904" ref="N4197"/>
    <hyperlink r:id="rId6905" ref="N4198"/>
    <hyperlink r:id="rId6906" ref="I4199"/>
    <hyperlink r:id="rId6907" ref="N4199"/>
    <hyperlink r:id="rId6908" ref="I4200"/>
    <hyperlink r:id="rId6909" ref="N4200"/>
    <hyperlink r:id="rId6910" ref="I4201"/>
    <hyperlink r:id="rId6911" ref="N4201"/>
    <hyperlink r:id="rId6912" ref="I4202"/>
    <hyperlink r:id="rId6913" ref="N4202"/>
    <hyperlink r:id="rId6914" ref="I4203"/>
    <hyperlink r:id="rId6915" ref="N4203"/>
    <hyperlink r:id="rId6916" ref="I4204"/>
    <hyperlink r:id="rId6917" ref="N4204"/>
    <hyperlink r:id="rId6918" ref="I4205"/>
    <hyperlink r:id="rId6919" ref="N4205"/>
    <hyperlink r:id="rId6920" ref="I4206"/>
    <hyperlink r:id="rId6921" ref="N4206"/>
    <hyperlink r:id="rId6922" ref="I4207"/>
    <hyperlink r:id="rId6923" ref="N4207"/>
    <hyperlink r:id="rId6924" ref="I4208"/>
    <hyperlink r:id="rId6925" ref="N4208"/>
    <hyperlink r:id="rId6926" ref="N4209"/>
    <hyperlink r:id="rId6927" ref="N4210"/>
    <hyperlink r:id="rId6928" ref="N4211"/>
    <hyperlink r:id="rId6929" ref="N4212"/>
    <hyperlink r:id="rId6930" ref="N4213"/>
    <hyperlink r:id="rId6931" ref="N4214"/>
    <hyperlink r:id="rId6932" ref="I4215"/>
    <hyperlink r:id="rId6933" ref="N4215"/>
    <hyperlink r:id="rId6934" ref="I4216"/>
    <hyperlink r:id="rId6935" ref="N4216"/>
    <hyperlink r:id="rId6936" ref="I4217"/>
    <hyperlink r:id="rId6937" ref="N4217"/>
    <hyperlink r:id="rId6938" ref="I4218"/>
    <hyperlink r:id="rId6939" ref="N4218"/>
    <hyperlink r:id="rId6940" ref="I4219"/>
    <hyperlink r:id="rId6941" ref="N4219"/>
    <hyperlink r:id="rId6942" ref="I4220"/>
    <hyperlink r:id="rId6943" ref="N4220"/>
    <hyperlink r:id="rId6944" ref="I4221"/>
    <hyperlink r:id="rId6945" ref="N4221"/>
    <hyperlink r:id="rId6946" ref="I4222"/>
    <hyperlink r:id="rId6947" ref="N4222"/>
    <hyperlink r:id="rId6948" ref="I4223"/>
    <hyperlink r:id="rId6949" ref="N4223"/>
    <hyperlink r:id="rId6950" ref="I4224"/>
    <hyperlink r:id="rId6951" ref="N4224"/>
    <hyperlink r:id="rId6952" ref="N4225"/>
    <hyperlink r:id="rId6953" ref="I4226"/>
    <hyperlink r:id="rId6954" ref="N4226"/>
    <hyperlink r:id="rId6955" ref="I4227"/>
    <hyperlink r:id="rId6956" ref="N4227"/>
    <hyperlink r:id="rId6957" ref="I4228"/>
    <hyperlink r:id="rId6958" ref="N4228"/>
    <hyperlink r:id="rId6959" ref="I4229"/>
    <hyperlink r:id="rId6960" ref="N4229"/>
    <hyperlink r:id="rId6961" ref="I4230"/>
    <hyperlink r:id="rId6962" ref="N4230"/>
    <hyperlink r:id="rId6963" ref="N4231"/>
    <hyperlink r:id="rId6964" ref="N4232"/>
    <hyperlink r:id="rId6965" ref="N4233"/>
    <hyperlink r:id="rId6966" ref="N4234"/>
    <hyperlink r:id="rId6967" ref="N4235"/>
    <hyperlink r:id="rId6968" ref="N4236"/>
    <hyperlink r:id="rId6969" ref="N4237"/>
    <hyperlink r:id="rId6970" ref="N4238"/>
    <hyperlink r:id="rId6971" ref="N4239"/>
    <hyperlink r:id="rId6972" ref="N4240"/>
    <hyperlink r:id="rId6973" ref="I4241"/>
    <hyperlink r:id="rId6974" ref="N4241"/>
    <hyperlink r:id="rId6975" ref="I4242"/>
    <hyperlink r:id="rId6976" ref="N4242"/>
    <hyperlink r:id="rId6977" ref="I4243"/>
    <hyperlink r:id="rId6978" ref="N4243"/>
    <hyperlink r:id="rId6979" ref="I4244"/>
    <hyperlink r:id="rId6980" ref="N4244"/>
    <hyperlink r:id="rId6981" ref="N4245"/>
    <hyperlink r:id="rId6982" ref="N4246"/>
    <hyperlink r:id="rId6983" ref="I4247"/>
    <hyperlink r:id="rId6984" ref="N4247"/>
    <hyperlink r:id="rId6985" ref="I4248"/>
    <hyperlink r:id="rId6986" ref="N4248"/>
    <hyperlink r:id="rId6987" ref="I4249"/>
    <hyperlink r:id="rId6988" ref="N4249"/>
    <hyperlink r:id="rId6989" ref="N4250"/>
    <hyperlink r:id="rId6990" ref="N4251"/>
    <hyperlink r:id="rId6991" ref="N4252"/>
    <hyperlink r:id="rId6992" ref="N4253"/>
    <hyperlink r:id="rId6993" ref="N4254"/>
    <hyperlink r:id="rId6994" ref="N4255"/>
    <hyperlink r:id="rId6995" ref="N4256"/>
    <hyperlink r:id="rId6996" ref="N4257"/>
    <hyperlink r:id="rId6997" ref="I4258"/>
    <hyperlink r:id="rId6998" ref="N4258"/>
    <hyperlink r:id="rId6999" ref="I4259"/>
    <hyperlink r:id="rId7000" ref="N4259"/>
    <hyperlink r:id="rId7001" ref="N4260"/>
    <hyperlink r:id="rId7002" ref="N4261"/>
    <hyperlink r:id="rId7003" ref="N4262"/>
    <hyperlink r:id="rId7004" ref="N4263"/>
    <hyperlink r:id="rId7005" ref="N4264"/>
    <hyperlink r:id="rId7006" ref="N4265"/>
    <hyperlink r:id="rId7007" ref="N4266"/>
    <hyperlink r:id="rId7008" ref="N4267"/>
    <hyperlink r:id="rId7009" ref="I4268"/>
    <hyperlink r:id="rId7010" ref="N4268"/>
    <hyperlink r:id="rId7011" ref="I4269"/>
    <hyperlink r:id="rId7012" ref="N4269"/>
    <hyperlink r:id="rId7013" ref="I4270"/>
    <hyperlink r:id="rId7014" ref="N4270"/>
    <hyperlink r:id="rId7015" ref="N4271"/>
    <hyperlink r:id="rId7016" ref="I4272"/>
    <hyperlink r:id="rId7017" ref="N4272"/>
    <hyperlink r:id="rId7018" ref="N4273"/>
    <hyperlink r:id="rId7019" ref="I4274"/>
    <hyperlink r:id="rId7020" ref="N4274"/>
    <hyperlink r:id="rId7021" ref="N4275"/>
    <hyperlink r:id="rId7022" ref="N4276"/>
    <hyperlink r:id="rId7023" ref="I4277"/>
    <hyperlink r:id="rId7024" ref="N4277"/>
    <hyperlink r:id="rId7025" ref="N4278"/>
    <hyperlink r:id="rId7026" ref="N4279"/>
    <hyperlink r:id="rId7027" ref="I4280"/>
    <hyperlink r:id="rId7028" ref="N4280"/>
    <hyperlink r:id="rId7029" ref="I4281"/>
    <hyperlink r:id="rId7030" ref="N4281"/>
    <hyperlink r:id="rId7031" ref="I4282"/>
    <hyperlink r:id="rId7032" ref="N4282"/>
    <hyperlink r:id="rId7033" ref="I4283"/>
    <hyperlink r:id="rId7034" ref="N4283"/>
    <hyperlink r:id="rId7035" ref="I4284"/>
    <hyperlink r:id="rId7036" ref="N4284"/>
    <hyperlink r:id="rId7037" ref="N4285"/>
    <hyperlink r:id="rId7038" ref="N4286"/>
    <hyperlink r:id="rId7039" ref="N4287"/>
    <hyperlink r:id="rId7040" ref="N4288"/>
    <hyperlink r:id="rId7041" ref="N4289"/>
    <hyperlink r:id="rId7042" ref="N4290"/>
    <hyperlink r:id="rId7043" ref="N4291"/>
    <hyperlink r:id="rId7044" ref="N4292"/>
    <hyperlink r:id="rId7045" ref="N4293"/>
    <hyperlink r:id="rId7046" ref="N4294"/>
    <hyperlink r:id="rId7047" ref="N4295"/>
    <hyperlink r:id="rId7048" ref="N4296"/>
    <hyperlink r:id="rId7049" ref="N4297"/>
    <hyperlink r:id="rId7050" ref="N4298"/>
    <hyperlink r:id="rId7051" ref="N4299"/>
    <hyperlink r:id="rId7052" ref="N4300"/>
    <hyperlink r:id="rId7053" ref="N4301"/>
    <hyperlink r:id="rId7054" ref="N4302"/>
    <hyperlink r:id="rId7055" ref="N4303"/>
    <hyperlink r:id="rId7056" ref="N4304"/>
    <hyperlink r:id="rId7057" ref="N4305"/>
    <hyperlink r:id="rId7058" ref="N4306"/>
    <hyperlink r:id="rId7059" ref="N4307"/>
    <hyperlink r:id="rId7060" ref="N4308"/>
    <hyperlink r:id="rId7061" ref="N4309"/>
    <hyperlink r:id="rId7062" ref="N4310"/>
    <hyperlink r:id="rId7063" ref="N4311"/>
    <hyperlink r:id="rId7064" ref="N4312"/>
    <hyperlink r:id="rId7065" ref="N4313"/>
    <hyperlink r:id="rId7066" ref="N4314"/>
    <hyperlink r:id="rId7067" ref="N4315"/>
    <hyperlink r:id="rId7068" ref="N4316"/>
    <hyperlink r:id="rId7069" ref="N4317"/>
    <hyperlink r:id="rId7070" ref="N4318"/>
    <hyperlink r:id="rId7071" ref="N4319"/>
    <hyperlink r:id="rId7072" ref="N4320"/>
    <hyperlink r:id="rId7073" ref="N4321"/>
    <hyperlink r:id="rId7074" ref="N4322"/>
    <hyperlink r:id="rId7075" ref="N4323"/>
    <hyperlink r:id="rId7076" ref="N4324"/>
    <hyperlink r:id="rId7077" ref="N4325"/>
    <hyperlink r:id="rId7078" ref="N4326"/>
    <hyperlink r:id="rId7079" ref="N4327"/>
    <hyperlink r:id="rId7080" ref="N4328"/>
    <hyperlink r:id="rId7081" ref="N4329"/>
    <hyperlink r:id="rId7082" ref="N4330"/>
    <hyperlink r:id="rId7083" ref="N4331"/>
    <hyperlink r:id="rId7084" ref="N4332"/>
    <hyperlink r:id="rId7085" ref="N4333"/>
    <hyperlink r:id="rId7086" ref="N4334"/>
    <hyperlink r:id="rId7087" ref="N4335"/>
    <hyperlink r:id="rId7088" ref="N4336"/>
    <hyperlink r:id="rId7089" ref="N4337"/>
    <hyperlink r:id="rId7090" ref="N4338"/>
    <hyperlink r:id="rId7091" ref="N4339"/>
    <hyperlink r:id="rId7092" ref="N4340"/>
    <hyperlink r:id="rId7093" ref="N4341"/>
    <hyperlink r:id="rId7094" ref="N4342"/>
    <hyperlink r:id="rId7095" ref="N4343"/>
    <hyperlink r:id="rId7096" ref="N4344"/>
    <hyperlink r:id="rId7097" ref="N4345"/>
    <hyperlink r:id="rId7098" ref="N4346"/>
    <hyperlink r:id="rId7099" ref="N4347"/>
    <hyperlink r:id="rId7100" ref="N4348"/>
    <hyperlink r:id="rId7101" ref="N4349"/>
    <hyperlink r:id="rId7102" ref="N4350"/>
    <hyperlink r:id="rId7103" ref="N4351"/>
    <hyperlink r:id="rId7104" ref="N4352"/>
    <hyperlink r:id="rId7105" ref="N4353"/>
    <hyperlink r:id="rId7106" ref="N4354"/>
    <hyperlink r:id="rId7107" ref="N4355"/>
    <hyperlink r:id="rId7108" ref="I4356"/>
    <hyperlink r:id="rId7109" ref="N4356"/>
    <hyperlink r:id="rId7110" ref="I4357"/>
    <hyperlink r:id="rId7111" ref="N4357"/>
    <hyperlink r:id="rId7112" ref="I4358"/>
    <hyperlink r:id="rId7113" ref="N4358"/>
    <hyperlink r:id="rId7114" ref="N4359"/>
    <hyperlink r:id="rId7115" ref="N4360"/>
    <hyperlink r:id="rId7116" ref="I4361"/>
    <hyperlink r:id="rId7117" ref="N4361"/>
    <hyperlink r:id="rId7118" ref="I4362"/>
    <hyperlink r:id="rId7119" ref="N4362"/>
    <hyperlink r:id="rId7120" ref="I4363"/>
    <hyperlink r:id="rId7121" ref="N4363"/>
    <hyperlink r:id="rId7122" ref="N4364"/>
    <hyperlink r:id="rId7123" ref="I4365"/>
    <hyperlink r:id="rId7124" ref="N4365"/>
    <hyperlink r:id="rId7125" ref="I4366"/>
    <hyperlink r:id="rId7126" ref="N4366"/>
    <hyperlink r:id="rId7127" ref="I4367"/>
    <hyperlink r:id="rId7128" ref="N4367"/>
    <hyperlink r:id="rId7129" ref="I4368"/>
    <hyperlink r:id="rId7130" ref="N4368"/>
    <hyperlink r:id="rId7131" ref="I4369"/>
    <hyperlink r:id="rId7132" ref="N4369"/>
    <hyperlink r:id="rId7133" ref="I4370"/>
    <hyperlink r:id="rId7134" ref="N4370"/>
    <hyperlink r:id="rId7135" ref="I4371"/>
    <hyperlink r:id="rId7136" ref="N4371"/>
    <hyperlink r:id="rId7137" ref="I4372"/>
    <hyperlink r:id="rId7138" ref="N4372"/>
    <hyperlink r:id="rId7139" ref="I4373"/>
    <hyperlink r:id="rId7140" ref="N4373"/>
    <hyperlink r:id="rId7141" ref="N4374"/>
    <hyperlink r:id="rId7142" ref="N4375"/>
    <hyperlink r:id="rId7143" ref="N4376"/>
    <hyperlink r:id="rId7144" ref="I4377"/>
    <hyperlink r:id="rId7145" ref="N4377"/>
    <hyperlink r:id="rId7146" ref="I4378"/>
    <hyperlink r:id="rId7147" ref="N4378"/>
    <hyperlink r:id="rId7148" ref="I4379"/>
    <hyperlink r:id="rId7149" ref="N4379"/>
    <hyperlink r:id="rId7150" ref="I4380"/>
    <hyperlink r:id="rId7151" ref="N4380"/>
    <hyperlink r:id="rId7152" ref="N4381"/>
    <hyperlink r:id="rId7153" ref="N4382"/>
    <hyperlink r:id="rId7154" ref="N4383"/>
    <hyperlink r:id="rId7155" ref="I4384"/>
    <hyperlink r:id="rId7156" ref="N4384"/>
    <hyperlink r:id="rId7157" ref="I4385"/>
    <hyperlink r:id="rId7158" ref="N4385"/>
    <hyperlink r:id="rId7159" ref="I4386"/>
    <hyperlink r:id="rId7160" ref="N4386"/>
    <hyperlink r:id="rId7161" ref="N4387"/>
    <hyperlink r:id="rId7162" ref="N4388"/>
    <hyperlink r:id="rId7163" ref="N4389"/>
    <hyperlink r:id="rId7164" ref="N4390"/>
    <hyperlink r:id="rId7165" ref="I4391"/>
    <hyperlink r:id="rId7166" ref="N4391"/>
    <hyperlink r:id="rId7167" ref="I4392"/>
    <hyperlink r:id="rId7168" ref="N4392"/>
    <hyperlink r:id="rId7169" ref="I4393"/>
    <hyperlink r:id="rId7170" ref="N4393"/>
    <hyperlink r:id="rId7171" ref="N4394"/>
    <hyperlink r:id="rId7172" ref="I4395"/>
    <hyperlink r:id="rId7173" ref="N4395"/>
    <hyperlink r:id="rId7174" ref="I4396"/>
    <hyperlink r:id="rId7175" ref="N4396"/>
    <hyperlink r:id="rId7176" ref="I4397"/>
    <hyperlink r:id="rId7177" ref="N4397"/>
    <hyperlink r:id="rId7178" ref="N4398"/>
    <hyperlink r:id="rId7179" ref="N4399"/>
    <hyperlink r:id="rId7180" ref="N4400"/>
    <hyperlink r:id="rId7181" ref="N4401"/>
    <hyperlink r:id="rId7182" ref="N4402"/>
    <hyperlink r:id="rId7183" ref="N4403"/>
    <hyperlink r:id="rId7184" ref="N4404"/>
    <hyperlink r:id="rId7185" ref="N4405"/>
    <hyperlink r:id="rId7186" ref="N4406"/>
    <hyperlink r:id="rId7187" ref="I4407"/>
    <hyperlink r:id="rId7188" ref="N4407"/>
    <hyperlink r:id="rId7189" ref="N4408"/>
    <hyperlink r:id="rId7190" ref="N4409"/>
    <hyperlink r:id="rId7191" ref="N4410"/>
    <hyperlink r:id="rId7192" ref="N4411"/>
    <hyperlink r:id="rId7193" ref="N4412"/>
    <hyperlink r:id="rId7194" ref="N4413"/>
    <hyperlink r:id="rId7195" ref="N4414"/>
    <hyperlink r:id="rId7196" ref="N4415"/>
    <hyperlink r:id="rId7197" ref="N4416"/>
    <hyperlink r:id="rId7198" ref="N4417"/>
    <hyperlink r:id="rId7199" ref="N4418"/>
    <hyperlink r:id="rId7200" ref="N4419"/>
    <hyperlink r:id="rId7201" ref="N4420"/>
    <hyperlink r:id="rId7202" ref="N4421"/>
    <hyperlink r:id="rId7203" ref="N4422"/>
    <hyperlink r:id="rId7204" ref="N4423"/>
    <hyperlink r:id="rId7205" ref="N4424"/>
    <hyperlink r:id="rId7206" ref="N4425"/>
    <hyperlink r:id="rId7207" ref="N4426"/>
    <hyperlink r:id="rId7208" ref="N4427"/>
    <hyperlink r:id="rId7209" ref="N4428"/>
    <hyperlink r:id="rId7210" ref="N4429"/>
    <hyperlink r:id="rId7211" ref="N4430"/>
    <hyperlink r:id="rId7212" ref="N4431"/>
    <hyperlink r:id="rId7213" ref="N4432"/>
    <hyperlink r:id="rId7214" ref="N4433"/>
    <hyperlink r:id="rId7215" ref="N4434"/>
    <hyperlink r:id="rId7216" ref="N4435"/>
    <hyperlink r:id="rId7217" ref="N4436"/>
    <hyperlink r:id="rId7218" ref="N4437"/>
    <hyperlink r:id="rId7219" ref="N4438"/>
    <hyperlink r:id="rId7220" ref="N4439"/>
    <hyperlink r:id="rId7221" ref="N4440"/>
    <hyperlink r:id="rId7222" ref="N4441"/>
    <hyperlink r:id="rId7223" ref="N4442"/>
    <hyperlink r:id="rId7224" ref="N4443"/>
    <hyperlink r:id="rId7225" ref="N4444"/>
    <hyperlink r:id="rId7226" ref="N4445"/>
    <hyperlink r:id="rId7227" ref="N4446"/>
    <hyperlink r:id="rId7228" ref="N4447"/>
    <hyperlink r:id="rId7229" ref="N4448"/>
    <hyperlink r:id="rId7230" ref="I4449"/>
    <hyperlink r:id="rId7231" ref="N4449"/>
    <hyperlink r:id="rId7232" ref="I4450"/>
    <hyperlink r:id="rId7233" ref="N4450"/>
    <hyperlink r:id="rId7234" ref="I4451"/>
    <hyperlink r:id="rId7235" ref="N4451"/>
    <hyperlink r:id="rId7236" ref="I4452"/>
    <hyperlink r:id="rId7237" ref="N4452"/>
    <hyperlink r:id="rId7238" ref="I4453"/>
    <hyperlink r:id="rId7239" ref="N4453"/>
    <hyperlink r:id="rId7240" ref="I4454"/>
    <hyperlink r:id="rId7241" ref="N4454"/>
    <hyperlink r:id="rId7242" ref="I4455"/>
    <hyperlink r:id="rId7243" ref="N4455"/>
    <hyperlink r:id="rId7244" ref="N4456"/>
    <hyperlink r:id="rId7245" ref="N4457"/>
    <hyperlink r:id="rId7246" ref="I4458"/>
    <hyperlink r:id="rId7247" ref="N4458"/>
    <hyperlink r:id="rId7248" ref="I4459"/>
    <hyperlink r:id="rId7249" ref="N4459"/>
    <hyperlink r:id="rId7250" ref="I4460"/>
    <hyperlink r:id="rId7251" ref="N4460"/>
    <hyperlink r:id="rId7252" ref="I4461"/>
    <hyperlink r:id="rId7253" ref="N4461"/>
    <hyperlink r:id="rId7254" ref="I4462"/>
    <hyperlink r:id="rId7255" ref="N4462"/>
    <hyperlink r:id="rId7256" ref="I4463"/>
    <hyperlink r:id="rId7257" ref="N4463"/>
    <hyperlink r:id="rId7258" ref="I4464"/>
    <hyperlink r:id="rId7259" ref="N4464"/>
    <hyperlink r:id="rId7260" ref="I4465"/>
    <hyperlink r:id="rId7261" ref="N4465"/>
    <hyperlink r:id="rId7262" ref="I4466"/>
    <hyperlink r:id="rId7263" ref="N4466"/>
    <hyperlink r:id="rId7264" ref="N4467"/>
    <hyperlink r:id="rId7265" ref="N4468"/>
    <hyperlink r:id="rId7266" ref="I4469"/>
    <hyperlink r:id="rId7267" ref="N4469"/>
    <hyperlink r:id="rId7268" ref="I4470"/>
    <hyperlink r:id="rId7269" ref="N4470"/>
    <hyperlink r:id="rId7270" ref="I4471"/>
    <hyperlink r:id="rId7271" ref="N4471"/>
    <hyperlink r:id="rId7272" ref="I4472"/>
    <hyperlink r:id="rId7273" ref="N4472"/>
    <hyperlink r:id="rId7274" ref="I4473"/>
    <hyperlink r:id="rId7275" ref="N4473"/>
    <hyperlink r:id="rId7276" ref="I4474"/>
    <hyperlink r:id="rId7277" ref="N4474"/>
    <hyperlink r:id="rId7278" ref="I4475"/>
    <hyperlink r:id="rId7279" ref="N4475"/>
    <hyperlink r:id="rId7280" ref="I4476"/>
    <hyperlink r:id="rId7281" ref="N4476"/>
    <hyperlink r:id="rId7282" ref="N4477"/>
    <hyperlink r:id="rId7283" ref="N4478"/>
    <hyperlink r:id="rId7284" ref="I4479"/>
    <hyperlink r:id="rId7285" ref="N4479"/>
    <hyperlink r:id="rId7286" ref="I4480"/>
    <hyperlink r:id="rId7287" ref="N4480"/>
    <hyperlink r:id="rId7288" ref="I4481"/>
    <hyperlink r:id="rId7289" ref="N4481"/>
    <hyperlink r:id="rId7290" ref="N4482"/>
    <hyperlink r:id="rId7291" ref="N4483"/>
    <hyperlink r:id="rId7292" ref="N4484"/>
    <hyperlink r:id="rId7293" ref="N4485"/>
    <hyperlink r:id="rId7294" ref="N4486"/>
    <hyperlink r:id="rId7295" ref="N4487"/>
    <hyperlink r:id="rId7296" ref="I4488"/>
    <hyperlink r:id="rId7297" ref="N4488"/>
    <hyperlink r:id="rId7298" ref="I4489"/>
    <hyperlink r:id="rId7299" ref="N4489"/>
    <hyperlink r:id="rId7300" ref="I4490"/>
    <hyperlink r:id="rId7301" ref="N4490"/>
    <hyperlink r:id="rId7302" ref="I4491"/>
    <hyperlink r:id="rId7303" ref="N4491"/>
    <hyperlink r:id="rId7304" ref="N4492"/>
    <hyperlink r:id="rId7305" ref="N4493"/>
    <hyperlink r:id="rId7306" ref="N4494"/>
    <hyperlink r:id="rId7307" ref="N4495"/>
    <hyperlink r:id="rId7308" ref="N4496"/>
    <hyperlink r:id="rId7309" ref="N4497"/>
    <hyperlink r:id="rId7310" ref="N4498"/>
    <hyperlink r:id="rId7311" ref="N4499"/>
    <hyperlink r:id="rId7312" ref="N4500"/>
    <hyperlink r:id="rId7313" ref="N4501"/>
    <hyperlink r:id="rId7314" ref="N4502"/>
    <hyperlink r:id="rId7315" ref="I4503"/>
    <hyperlink r:id="rId7316" ref="N4503"/>
    <hyperlink r:id="rId7317" ref="I4504"/>
    <hyperlink r:id="rId7318" ref="N4504"/>
    <hyperlink r:id="rId7319" ref="I4505"/>
    <hyperlink r:id="rId7320" ref="N4505"/>
    <hyperlink r:id="rId7321" ref="N4506"/>
    <hyperlink r:id="rId7322" ref="N4507"/>
    <hyperlink r:id="rId7323" ref="N4508"/>
    <hyperlink r:id="rId7324" ref="N4509"/>
    <hyperlink r:id="rId7325" ref="N4510"/>
    <hyperlink r:id="rId7326" ref="N4511"/>
    <hyperlink r:id="rId7327" ref="N4512"/>
    <hyperlink r:id="rId7328" ref="N4513"/>
    <hyperlink r:id="rId7329" ref="N4514"/>
    <hyperlink r:id="rId7330" ref="I4515"/>
    <hyperlink r:id="rId7331" ref="N4515"/>
    <hyperlink r:id="rId7332" ref="I4516"/>
    <hyperlink r:id="rId7333" ref="N4516"/>
    <hyperlink r:id="rId7334" ref="I4517"/>
    <hyperlink r:id="rId7335" ref="N4517"/>
    <hyperlink r:id="rId7336" ref="I4518"/>
    <hyperlink r:id="rId7337" ref="N4518"/>
    <hyperlink r:id="rId7338" ref="N4519"/>
    <hyperlink r:id="rId7339" ref="N4520"/>
    <hyperlink r:id="rId7340" ref="N4521"/>
    <hyperlink r:id="rId7341" ref="N4522"/>
    <hyperlink r:id="rId7342" ref="I4523"/>
    <hyperlink r:id="rId7343" ref="N4523"/>
    <hyperlink r:id="rId7344" ref="I4524"/>
    <hyperlink r:id="rId7345" ref="N4524"/>
    <hyperlink r:id="rId7346" ref="I4525"/>
    <hyperlink r:id="rId7347" ref="N4525"/>
    <hyperlink r:id="rId7348" ref="I4526"/>
    <hyperlink r:id="rId7349" ref="N4526"/>
    <hyperlink r:id="rId7350" ref="N4527"/>
    <hyperlink r:id="rId7351" ref="N4528"/>
    <hyperlink r:id="rId7352" ref="N4529"/>
    <hyperlink r:id="rId7353" ref="N4530"/>
    <hyperlink r:id="rId7354" ref="N4531"/>
    <hyperlink r:id="rId7355" ref="N4532"/>
    <hyperlink r:id="rId7356" ref="N4533"/>
    <hyperlink r:id="rId7357" ref="N4534"/>
    <hyperlink r:id="rId7358" ref="N4535"/>
    <hyperlink r:id="rId7359" ref="N4536"/>
    <hyperlink r:id="rId7360" ref="N4537"/>
    <hyperlink r:id="rId7361" ref="N4538"/>
    <hyperlink r:id="rId7362" ref="N4539"/>
    <hyperlink r:id="rId7363" ref="N4540"/>
    <hyperlink r:id="rId7364" ref="N4541"/>
    <hyperlink r:id="rId7365" ref="N4542"/>
    <hyperlink r:id="rId7366" ref="N4543"/>
    <hyperlink r:id="rId7367" ref="I4544"/>
    <hyperlink r:id="rId7368" ref="N4544"/>
    <hyperlink r:id="rId7369" ref="I4545"/>
    <hyperlink r:id="rId7370" ref="N4545"/>
    <hyperlink r:id="rId7371" ref="I4546"/>
    <hyperlink r:id="rId7372" ref="N4546"/>
    <hyperlink r:id="rId7373" ref="I4547"/>
    <hyperlink r:id="rId7374" ref="N4547"/>
    <hyperlink r:id="rId7375" ref="I4548"/>
    <hyperlink r:id="rId7376" ref="N4548"/>
    <hyperlink r:id="rId7377" ref="I4549"/>
    <hyperlink r:id="rId7378" ref="N4549"/>
    <hyperlink r:id="rId7379" ref="I4550"/>
    <hyperlink r:id="rId7380" ref="N4550"/>
    <hyperlink r:id="rId7381" ref="I4551"/>
    <hyperlink r:id="rId7382" ref="N4551"/>
    <hyperlink r:id="rId7383" ref="I4552"/>
    <hyperlink r:id="rId7384" ref="N4552"/>
    <hyperlink r:id="rId7385" ref="N4553"/>
    <hyperlink r:id="rId7386" ref="N4554"/>
    <hyperlink r:id="rId7387" ref="N4555"/>
    <hyperlink r:id="rId7388" ref="N4556"/>
    <hyperlink r:id="rId7389" ref="N4557"/>
    <hyperlink r:id="rId7390" ref="N4558"/>
    <hyperlink r:id="rId7391" ref="N4559"/>
    <hyperlink r:id="rId7392" ref="I4560"/>
    <hyperlink r:id="rId7393" ref="N4560"/>
    <hyperlink r:id="rId7394" ref="N4561"/>
    <hyperlink r:id="rId7395" ref="N4562"/>
    <hyperlink r:id="rId7396" ref="N4563"/>
    <hyperlink r:id="rId7397" ref="N4564"/>
    <hyperlink r:id="rId7398" ref="N4565"/>
    <hyperlink r:id="rId7399" ref="I4566"/>
    <hyperlink r:id="rId7400" ref="N4566"/>
    <hyperlink r:id="rId7401" ref="I4567"/>
    <hyperlink r:id="rId7402" ref="N4567"/>
    <hyperlink r:id="rId7403" ref="N4568"/>
    <hyperlink r:id="rId7404" ref="N4569"/>
    <hyperlink r:id="rId7405" ref="N4570"/>
    <hyperlink r:id="rId7406" ref="N4571"/>
    <hyperlink r:id="rId7407" ref="I4572"/>
    <hyperlink r:id="rId7408" ref="N4572"/>
    <hyperlink r:id="rId7409" ref="I4573"/>
    <hyperlink r:id="rId7410" ref="N4573"/>
    <hyperlink r:id="rId7411" ref="I4574"/>
    <hyperlink r:id="rId7412" ref="N4574"/>
    <hyperlink r:id="rId7413" ref="I4575"/>
    <hyperlink r:id="rId7414" ref="N4575"/>
    <hyperlink r:id="rId7415" ref="I4576"/>
    <hyperlink r:id="rId7416" ref="N4576"/>
    <hyperlink r:id="rId7417" ref="N4577"/>
    <hyperlink r:id="rId7418" ref="N4578"/>
    <hyperlink r:id="rId7419" ref="N4579"/>
    <hyperlink r:id="rId7420" ref="N4580"/>
    <hyperlink r:id="rId7421" ref="N4581"/>
    <hyperlink r:id="rId7422" ref="N4582"/>
    <hyperlink r:id="rId7423" ref="N4583"/>
    <hyperlink r:id="rId7424" ref="N4584"/>
    <hyperlink r:id="rId7425" ref="I4585"/>
    <hyperlink r:id="rId7426" ref="N4585"/>
    <hyperlink r:id="rId7427" ref="N4586"/>
    <hyperlink r:id="rId7428" ref="N4587"/>
    <hyperlink r:id="rId7429" ref="N4588"/>
    <hyperlink r:id="rId7430" ref="N4589"/>
    <hyperlink r:id="rId7431" ref="N4590"/>
    <hyperlink r:id="rId7432" ref="N4591"/>
    <hyperlink r:id="rId7433" ref="N4592"/>
    <hyperlink r:id="rId7434" ref="N4593"/>
    <hyperlink r:id="rId7435" ref="N4594"/>
    <hyperlink r:id="rId7436" ref="N4595"/>
    <hyperlink r:id="rId7437" ref="N4596"/>
    <hyperlink r:id="rId7438" ref="N4597"/>
    <hyperlink r:id="rId7439" ref="N4598"/>
    <hyperlink r:id="rId7440" ref="N4599"/>
    <hyperlink r:id="rId7441" ref="N4600"/>
    <hyperlink r:id="rId7442" ref="N4601"/>
    <hyperlink r:id="rId7443" ref="N4602"/>
    <hyperlink r:id="rId7444" ref="N4603"/>
    <hyperlink r:id="rId7445" ref="N4604"/>
    <hyperlink r:id="rId7446" ref="N4605"/>
    <hyperlink r:id="rId7447" ref="N4606"/>
    <hyperlink r:id="rId7448" ref="N4607"/>
    <hyperlink r:id="rId7449" ref="N4608"/>
    <hyperlink r:id="rId7450" ref="N4609"/>
    <hyperlink r:id="rId7451" ref="N4610"/>
    <hyperlink r:id="rId7452" ref="N4611"/>
    <hyperlink r:id="rId7453" ref="N4612"/>
    <hyperlink r:id="rId7454" ref="N4613"/>
    <hyperlink r:id="rId7455" ref="N4614"/>
    <hyperlink r:id="rId7456" ref="N4615"/>
    <hyperlink r:id="rId7457" ref="N4616"/>
    <hyperlink r:id="rId7458" ref="N4617"/>
    <hyperlink r:id="rId7459" ref="N4618"/>
    <hyperlink r:id="rId7460" ref="N4619"/>
    <hyperlink r:id="rId7461" ref="N4620"/>
    <hyperlink r:id="rId7462" ref="N4621"/>
    <hyperlink r:id="rId7463" ref="N4622"/>
    <hyperlink r:id="rId7464" ref="N4623"/>
    <hyperlink r:id="rId7465" ref="N4624"/>
    <hyperlink r:id="rId7466" ref="N4625"/>
    <hyperlink r:id="rId7467" ref="N4626"/>
    <hyperlink r:id="rId7468" ref="N4627"/>
    <hyperlink r:id="rId7469" ref="N4628"/>
    <hyperlink r:id="rId7470" ref="N4629"/>
    <hyperlink r:id="rId7471" ref="N4630"/>
    <hyperlink r:id="rId7472" ref="N4631"/>
    <hyperlink r:id="rId7473" ref="N4632"/>
    <hyperlink r:id="rId7474" ref="N4633"/>
    <hyperlink r:id="rId7475" ref="N4634"/>
    <hyperlink r:id="rId7476" ref="I4635"/>
    <hyperlink r:id="rId7477" ref="N4635"/>
    <hyperlink r:id="rId7478" ref="I4636"/>
    <hyperlink r:id="rId7479" ref="N4636"/>
    <hyperlink r:id="rId7480" ref="I4637"/>
    <hyperlink r:id="rId7481" ref="N4637"/>
    <hyperlink r:id="rId7482" ref="I4638"/>
    <hyperlink r:id="rId7483" ref="N4638"/>
    <hyperlink r:id="rId7484" ref="I4639"/>
    <hyperlink r:id="rId7485" ref="N4639"/>
    <hyperlink r:id="rId7486" ref="I4640"/>
    <hyperlink r:id="rId7487" ref="N4640"/>
    <hyperlink r:id="rId7488" ref="I4641"/>
    <hyperlink r:id="rId7489" ref="N4641"/>
    <hyperlink r:id="rId7490" ref="I4642"/>
    <hyperlink r:id="rId7491" ref="N4642"/>
    <hyperlink r:id="rId7492" ref="N4643"/>
    <hyperlink r:id="rId7493" ref="N4644"/>
    <hyperlink r:id="rId7494" ref="N4645"/>
    <hyperlink r:id="rId7495" ref="N4646"/>
    <hyperlink r:id="rId7496" ref="N4647"/>
    <hyperlink r:id="rId7497" ref="I4648"/>
    <hyperlink r:id="rId7498" ref="N4648"/>
    <hyperlink r:id="rId7499" ref="I4649"/>
    <hyperlink r:id="rId7500" ref="N4649"/>
    <hyperlink r:id="rId7501" ref="N4650"/>
    <hyperlink r:id="rId7502" ref="N4651"/>
    <hyperlink r:id="rId7503" ref="I4652"/>
    <hyperlink r:id="rId7504" ref="N4652"/>
    <hyperlink r:id="rId7505" ref="I4653"/>
    <hyperlink r:id="rId7506" ref="N4653"/>
    <hyperlink r:id="rId7507" ref="I4654"/>
    <hyperlink r:id="rId7508" ref="N4654"/>
    <hyperlink r:id="rId7509" ref="N4655"/>
    <hyperlink r:id="rId7510" ref="N4656"/>
    <hyperlink r:id="rId7511" ref="I4657"/>
    <hyperlink r:id="rId7512" ref="N4657"/>
    <hyperlink r:id="rId7513" ref="I4658"/>
    <hyperlink r:id="rId7514" ref="N4658"/>
    <hyperlink r:id="rId7515" ref="N4659"/>
    <hyperlink r:id="rId7516" ref="N4660"/>
    <hyperlink r:id="rId7517" ref="N4661"/>
    <hyperlink r:id="rId7518" ref="N4662"/>
    <hyperlink r:id="rId7519" ref="N4663"/>
    <hyperlink r:id="rId7520" ref="I4664"/>
    <hyperlink r:id="rId7521" ref="N4664"/>
    <hyperlink r:id="rId7522" ref="I4665"/>
    <hyperlink r:id="rId7523" ref="N4665"/>
    <hyperlink r:id="rId7524" ref="N4666"/>
    <hyperlink r:id="rId7525" ref="N4667"/>
    <hyperlink r:id="rId7526" ref="I4668"/>
    <hyperlink r:id="rId7527" ref="N4668"/>
    <hyperlink r:id="rId7528" ref="N4669"/>
    <hyperlink r:id="rId7529" ref="N4670"/>
    <hyperlink r:id="rId7530" ref="I4671"/>
    <hyperlink r:id="rId7531" ref="N4671"/>
    <hyperlink r:id="rId7532" ref="N4672"/>
    <hyperlink r:id="rId7533" ref="N4673"/>
    <hyperlink r:id="rId7534" ref="N4674"/>
    <hyperlink r:id="rId7535" ref="N4675"/>
    <hyperlink r:id="rId7536" ref="N4676"/>
    <hyperlink r:id="rId7537" ref="N4677"/>
    <hyperlink r:id="rId7538" ref="N4678"/>
    <hyperlink r:id="rId7539" ref="N4679"/>
    <hyperlink r:id="rId7540" ref="N4680"/>
    <hyperlink r:id="rId7541" ref="N4681"/>
    <hyperlink r:id="rId7542" ref="N4682"/>
    <hyperlink r:id="rId7543" ref="N4683"/>
    <hyperlink r:id="rId7544" ref="N4684"/>
    <hyperlink r:id="rId7545" ref="N4685"/>
    <hyperlink r:id="rId7546" ref="N4686"/>
    <hyperlink r:id="rId7547" ref="N4687"/>
    <hyperlink r:id="rId7548" ref="N4688"/>
    <hyperlink r:id="rId7549" ref="N4689"/>
    <hyperlink r:id="rId7550" ref="N4690"/>
    <hyperlink r:id="rId7551" ref="N4691"/>
    <hyperlink r:id="rId7552" ref="N4692"/>
    <hyperlink r:id="rId7553" ref="N4693"/>
    <hyperlink r:id="rId7554" ref="N4694"/>
    <hyperlink r:id="rId7555" ref="N4695"/>
    <hyperlink r:id="rId7556" ref="N4696"/>
    <hyperlink r:id="rId7557" ref="N4697"/>
    <hyperlink r:id="rId7558" ref="N4698"/>
    <hyperlink r:id="rId7559" ref="N4699"/>
    <hyperlink r:id="rId7560" ref="N4700"/>
    <hyperlink r:id="rId7561" ref="N4701"/>
    <hyperlink r:id="rId7562" ref="N4702"/>
    <hyperlink r:id="rId7563" ref="N4703"/>
    <hyperlink r:id="rId7564" ref="I4704"/>
    <hyperlink r:id="rId7565" ref="N4704"/>
    <hyperlink r:id="rId7566" ref="I4705"/>
    <hyperlink r:id="rId7567" ref="N4705"/>
    <hyperlink r:id="rId7568" ref="I4706"/>
    <hyperlink r:id="rId7569" ref="N4706"/>
    <hyperlink r:id="rId7570" ref="N4707"/>
    <hyperlink r:id="rId7571" ref="N4708"/>
    <hyperlink r:id="rId7572" ref="N4709"/>
    <hyperlink r:id="rId7573" ref="N4710"/>
    <hyperlink r:id="rId7574" ref="N4711"/>
    <hyperlink r:id="rId7575" ref="N4712"/>
    <hyperlink r:id="rId7576" ref="N4713"/>
    <hyperlink r:id="rId7577" ref="N4714"/>
    <hyperlink r:id="rId7578" ref="N4715"/>
    <hyperlink r:id="rId7579" ref="N4716"/>
    <hyperlink r:id="rId7580" ref="N4717"/>
    <hyperlink r:id="rId7581" ref="N4718"/>
    <hyperlink r:id="rId7582" ref="N4719"/>
    <hyperlink r:id="rId7583" ref="N4720"/>
    <hyperlink r:id="rId7584" ref="N4721"/>
    <hyperlink r:id="rId7585" ref="N4722"/>
    <hyperlink r:id="rId7586" ref="N4723"/>
    <hyperlink r:id="rId7587" ref="N4724"/>
    <hyperlink r:id="rId7588" ref="N4725"/>
    <hyperlink r:id="rId7589" ref="N4726"/>
    <hyperlink r:id="rId7590" ref="N4727"/>
    <hyperlink r:id="rId7591" ref="N4728"/>
    <hyperlink r:id="rId7592" ref="N4729"/>
    <hyperlink r:id="rId7593" ref="N4730"/>
    <hyperlink r:id="rId7594" ref="I4731"/>
    <hyperlink r:id="rId7595" ref="N4731"/>
    <hyperlink r:id="rId7596" ref="I4732"/>
    <hyperlink r:id="rId7597" ref="N4732"/>
    <hyperlink r:id="rId7598" ref="I4733"/>
    <hyperlink r:id="rId7599" ref="N4733"/>
    <hyperlink r:id="rId7600" ref="I4734"/>
    <hyperlink r:id="rId7601" ref="N4734"/>
    <hyperlink r:id="rId7602" ref="I4735"/>
    <hyperlink r:id="rId7603" ref="N4735"/>
    <hyperlink r:id="rId7604" ref="I4736"/>
    <hyperlink r:id="rId7605" ref="N4736"/>
    <hyperlink r:id="rId7606" ref="I4737"/>
    <hyperlink r:id="rId7607" ref="N4737"/>
    <hyperlink r:id="rId7608" ref="I4738"/>
    <hyperlink r:id="rId7609" ref="N4738"/>
    <hyperlink r:id="rId7610" ref="I4739"/>
    <hyperlink r:id="rId7611" ref="N4739"/>
    <hyperlink r:id="rId7612" ref="I4740"/>
    <hyperlink r:id="rId7613" ref="N4740"/>
    <hyperlink r:id="rId7614" ref="I4741"/>
    <hyperlink r:id="rId7615" ref="N4741"/>
    <hyperlink r:id="rId7616" ref="I4742"/>
    <hyperlink r:id="rId7617" ref="N4742"/>
    <hyperlink r:id="rId7618" ref="N4743"/>
    <hyperlink r:id="rId7619" ref="N4744"/>
    <hyperlink r:id="rId7620" ref="N4745"/>
    <hyperlink r:id="rId7621" ref="N4746"/>
    <hyperlink r:id="rId7622" ref="N4747"/>
    <hyperlink r:id="rId7623" ref="I4748"/>
    <hyperlink r:id="rId7624" ref="N4748"/>
    <hyperlink r:id="rId7625" ref="I4749"/>
    <hyperlink r:id="rId7626" ref="N4749"/>
    <hyperlink r:id="rId7627" ref="I4750"/>
    <hyperlink r:id="rId7628" ref="N4750"/>
    <hyperlink r:id="rId7629" ref="N4751"/>
    <hyperlink r:id="rId7630" ref="N4752"/>
    <hyperlink r:id="rId7631" ref="N4753"/>
    <hyperlink r:id="rId7632" ref="N4754"/>
    <hyperlink r:id="rId7633" ref="N4755"/>
    <hyperlink r:id="rId7634" ref="I4756"/>
    <hyperlink r:id="rId7635" ref="N4756"/>
    <hyperlink r:id="rId7636" ref="I4757"/>
    <hyperlink r:id="rId7637" ref="N4757"/>
    <hyperlink r:id="rId7638" ref="I4758"/>
    <hyperlink r:id="rId7639" ref="N4758"/>
    <hyperlink r:id="rId7640" ref="N4759"/>
    <hyperlink r:id="rId7641" ref="N4760"/>
    <hyperlink r:id="rId7642" ref="N4761"/>
    <hyperlink r:id="rId7643" ref="I4762"/>
    <hyperlink r:id="rId7644" ref="N4762"/>
    <hyperlink r:id="rId7645" ref="I4763"/>
    <hyperlink r:id="rId7646" ref="N4763"/>
    <hyperlink r:id="rId7647" ref="I4764"/>
    <hyperlink r:id="rId7648" ref="N4764"/>
    <hyperlink r:id="rId7649" ref="I4765"/>
    <hyperlink r:id="rId7650" ref="N4765"/>
    <hyperlink r:id="rId7651" ref="I4766"/>
    <hyperlink r:id="rId7652" ref="N4766"/>
    <hyperlink r:id="rId7653" ref="N4767"/>
    <hyperlink r:id="rId7654" ref="N4768"/>
    <hyperlink r:id="rId7655" ref="N4769"/>
    <hyperlink r:id="rId7656" ref="N4770"/>
    <hyperlink r:id="rId7657" ref="N4771"/>
    <hyperlink r:id="rId7658" ref="N4772"/>
    <hyperlink r:id="rId7659" ref="N4773"/>
    <hyperlink r:id="rId7660" ref="N4774"/>
    <hyperlink r:id="rId7661" ref="I4775"/>
    <hyperlink r:id="rId7662" ref="N4775"/>
    <hyperlink r:id="rId7663" ref="I4776"/>
    <hyperlink r:id="rId7664" ref="N4776"/>
    <hyperlink r:id="rId7665" ref="I4777"/>
    <hyperlink r:id="rId7666" ref="N4777"/>
    <hyperlink r:id="rId7667" ref="N4778"/>
    <hyperlink r:id="rId7668" ref="N4779"/>
    <hyperlink r:id="rId7669" ref="N4780"/>
    <hyperlink r:id="rId7670" ref="N4781"/>
    <hyperlink r:id="rId7671" ref="N4782"/>
    <hyperlink r:id="rId7672" ref="N4783"/>
    <hyperlink r:id="rId7673" ref="N4784"/>
    <hyperlink r:id="rId7674" ref="N4785"/>
    <hyperlink r:id="rId7675" ref="N4786"/>
    <hyperlink r:id="rId7676" ref="I4787"/>
    <hyperlink r:id="rId7677" ref="N4787"/>
    <hyperlink r:id="rId7678" ref="N4788"/>
    <hyperlink r:id="rId7679" ref="N4789"/>
    <hyperlink r:id="rId7680" ref="N4790"/>
    <hyperlink r:id="rId7681" ref="N4791"/>
    <hyperlink r:id="rId7682" ref="N4792"/>
    <hyperlink r:id="rId7683" ref="N4793"/>
    <hyperlink r:id="rId7684" ref="N4794"/>
    <hyperlink r:id="rId7685" ref="N4795"/>
    <hyperlink r:id="rId7686" ref="N4796"/>
    <hyperlink r:id="rId7687" ref="N4797"/>
    <hyperlink r:id="rId7688" ref="N4798"/>
    <hyperlink r:id="rId7689" ref="N4799"/>
    <hyperlink r:id="rId7690" ref="N4800"/>
    <hyperlink r:id="rId7691" ref="N4801"/>
    <hyperlink r:id="rId7692" ref="N4802"/>
    <hyperlink r:id="rId7693" ref="N4803"/>
    <hyperlink r:id="rId7694" ref="N4804"/>
    <hyperlink r:id="rId7695" ref="N4805"/>
    <hyperlink r:id="rId7696" ref="N4806"/>
    <hyperlink r:id="rId7697" ref="N4807"/>
    <hyperlink r:id="rId7698" ref="N4808"/>
    <hyperlink r:id="rId7699" ref="N4809"/>
    <hyperlink r:id="rId7700" ref="N4810"/>
    <hyperlink r:id="rId7701" ref="N4811"/>
    <hyperlink r:id="rId7702" ref="N4812"/>
    <hyperlink r:id="rId7703" ref="N4813"/>
    <hyperlink r:id="rId7704" ref="N4814"/>
    <hyperlink r:id="rId7705" ref="N4815"/>
    <hyperlink r:id="rId7706" ref="N4816"/>
    <hyperlink r:id="rId7707" ref="N4817"/>
    <hyperlink r:id="rId7708" ref="N4818"/>
    <hyperlink r:id="rId7709" ref="N4819"/>
    <hyperlink r:id="rId7710" ref="N4820"/>
    <hyperlink r:id="rId7711" ref="N4821"/>
    <hyperlink r:id="rId7712" ref="N4822"/>
    <hyperlink r:id="rId7713" ref="N4823"/>
    <hyperlink r:id="rId7714" ref="N4824"/>
    <hyperlink r:id="rId7715" ref="N4825"/>
    <hyperlink r:id="rId7716" ref="N4826"/>
    <hyperlink r:id="rId7717" ref="N4827"/>
    <hyperlink r:id="rId7718" ref="N4828"/>
    <hyperlink r:id="rId7719" ref="N4829"/>
    <hyperlink r:id="rId7720" ref="N4830"/>
    <hyperlink r:id="rId7721" ref="N4831"/>
    <hyperlink r:id="rId7722" ref="N4832"/>
    <hyperlink r:id="rId7723" ref="N4833"/>
    <hyperlink r:id="rId7724" ref="N4834"/>
    <hyperlink r:id="rId7725" ref="N4835"/>
    <hyperlink r:id="rId7726" ref="N4836"/>
    <hyperlink r:id="rId7727" ref="N4837"/>
    <hyperlink r:id="rId7728" ref="N4838"/>
    <hyperlink r:id="rId7729" ref="N4839"/>
    <hyperlink r:id="rId7730" ref="N4840"/>
    <hyperlink r:id="rId7731" ref="N4841"/>
    <hyperlink r:id="rId7732" ref="N4842"/>
    <hyperlink r:id="rId7733" ref="N4843"/>
    <hyperlink r:id="rId7734" ref="N4844"/>
    <hyperlink r:id="rId7735" ref="N4845"/>
    <hyperlink r:id="rId7736" ref="N4846"/>
    <hyperlink r:id="rId7737" ref="N4847"/>
    <hyperlink r:id="rId7738" ref="I4848"/>
    <hyperlink r:id="rId7739" ref="N4848"/>
    <hyperlink r:id="rId7740" ref="I4849"/>
    <hyperlink r:id="rId7741" ref="N4849"/>
    <hyperlink r:id="rId7742" ref="I4850"/>
    <hyperlink r:id="rId7743" ref="N4850"/>
    <hyperlink r:id="rId7744" ref="I4851"/>
    <hyperlink r:id="rId7745" ref="N4851"/>
    <hyperlink r:id="rId7746" ref="I4852"/>
    <hyperlink r:id="rId7747" ref="N4852"/>
    <hyperlink r:id="rId7748" ref="I4853"/>
    <hyperlink r:id="rId7749" ref="N4853"/>
    <hyperlink r:id="rId7750" ref="I4854"/>
    <hyperlink r:id="rId7751" ref="N4854"/>
    <hyperlink r:id="rId7752" ref="I4855"/>
    <hyperlink r:id="rId7753" ref="N4855"/>
    <hyperlink r:id="rId7754" ref="I4856"/>
    <hyperlink r:id="rId7755" ref="N4856"/>
    <hyperlink r:id="rId7756" ref="E4857"/>
    <hyperlink r:id="rId7757" ref="I4857"/>
    <hyperlink r:id="rId7758" ref="N4857"/>
    <hyperlink r:id="rId7759" ref="I4858"/>
    <hyperlink r:id="rId7760" ref="N4858"/>
    <hyperlink r:id="rId7761" ref="I4859"/>
    <hyperlink r:id="rId7762" ref="N4859"/>
    <hyperlink r:id="rId7763" ref="I4860"/>
    <hyperlink r:id="rId7764" ref="N4860"/>
    <hyperlink r:id="rId7765" ref="N4861"/>
    <hyperlink r:id="rId7766" ref="N4862"/>
    <hyperlink r:id="rId7767" ref="N4863"/>
    <hyperlink r:id="rId7768" ref="N4864"/>
    <hyperlink r:id="rId7769" ref="N4865"/>
    <hyperlink r:id="rId7770" ref="N4866"/>
    <hyperlink r:id="rId7771" ref="N4867"/>
    <hyperlink r:id="rId7772" ref="I4868"/>
    <hyperlink r:id="rId7773" ref="N4868"/>
    <hyperlink r:id="rId7774" ref="I4869"/>
    <hyperlink r:id="rId7775" ref="N4869"/>
    <hyperlink r:id="rId7776" ref="I4870"/>
    <hyperlink r:id="rId7777" ref="N4870"/>
    <hyperlink r:id="rId7778" ref="I4871"/>
    <hyperlink r:id="rId7779" ref="N4871"/>
    <hyperlink r:id="rId7780" ref="I4872"/>
    <hyperlink r:id="rId7781" ref="N4872"/>
    <hyperlink r:id="rId7782" ref="I4873"/>
    <hyperlink r:id="rId7783" ref="N4873"/>
    <hyperlink r:id="rId7784" ref="I4874"/>
    <hyperlink r:id="rId7785" ref="N4874"/>
    <hyperlink r:id="rId7786" ref="I4875"/>
    <hyperlink r:id="rId7787" ref="N4875"/>
    <hyperlink r:id="rId7788" ref="N4876"/>
    <hyperlink r:id="rId7789" ref="I4877"/>
    <hyperlink r:id="rId7790" ref="N4877"/>
    <hyperlink r:id="rId7791" ref="I4878"/>
    <hyperlink r:id="rId7792" ref="N4878"/>
    <hyperlink r:id="rId7793" ref="I4879"/>
    <hyperlink r:id="rId7794" ref="N4879"/>
    <hyperlink r:id="rId7795" ref="N4880"/>
    <hyperlink r:id="rId7796" ref="N4881"/>
    <hyperlink r:id="rId7797" ref="I4882"/>
    <hyperlink r:id="rId7798" ref="N4882"/>
    <hyperlink r:id="rId7799" ref="I4883"/>
    <hyperlink r:id="rId7800" ref="N4883"/>
    <hyperlink r:id="rId7801" ref="I4884"/>
    <hyperlink r:id="rId7802" ref="N4884"/>
    <hyperlink r:id="rId7803" ref="N4885"/>
    <hyperlink r:id="rId7804" ref="N4886"/>
    <hyperlink r:id="rId7805" ref="N4887"/>
    <hyperlink r:id="rId7806" ref="N4888"/>
    <hyperlink r:id="rId7807" ref="N4889"/>
    <hyperlink r:id="rId7808" ref="N4890"/>
    <hyperlink r:id="rId7809" ref="N4891"/>
    <hyperlink r:id="rId7810" ref="N4892"/>
    <hyperlink r:id="rId7811" ref="I4893"/>
    <hyperlink r:id="rId7812" ref="N4893"/>
    <hyperlink r:id="rId7813" ref="I4894"/>
    <hyperlink r:id="rId7814" ref="N4894"/>
    <hyperlink r:id="rId7815" ref="I4895"/>
    <hyperlink r:id="rId7816" ref="N4895"/>
    <hyperlink r:id="rId7817" ref="I4896"/>
    <hyperlink r:id="rId7818" ref="N4896"/>
    <hyperlink r:id="rId7819" ref="I4897"/>
    <hyperlink r:id="rId7820" ref="N4897"/>
    <hyperlink r:id="rId7821" ref="I4898"/>
    <hyperlink r:id="rId7822" ref="N4898"/>
    <hyperlink r:id="rId7823" ref="I4899"/>
    <hyperlink r:id="rId7824" ref="N4899"/>
    <hyperlink r:id="rId7825" ref="I4900"/>
    <hyperlink r:id="rId7826" ref="N4900"/>
    <hyperlink r:id="rId7827" ref="I4901"/>
    <hyperlink r:id="rId7828" ref="N4901"/>
    <hyperlink r:id="rId7829" ref="I4902"/>
    <hyperlink r:id="rId7830" ref="N4902"/>
    <hyperlink r:id="rId7831" ref="I4903"/>
    <hyperlink r:id="rId7832" ref="N4903"/>
    <hyperlink r:id="rId7833" ref="I4904"/>
    <hyperlink r:id="rId7834" ref="N4904"/>
    <hyperlink r:id="rId7835" ref="N4905"/>
    <hyperlink r:id="rId7836" ref="N4906"/>
    <hyperlink r:id="rId7837" ref="I4907"/>
    <hyperlink r:id="rId7838" ref="N4907"/>
    <hyperlink r:id="rId7839" ref="I4908"/>
    <hyperlink r:id="rId7840" ref="N4908"/>
    <hyperlink r:id="rId7841" ref="I4909"/>
    <hyperlink r:id="rId7842" ref="N4909"/>
    <hyperlink r:id="rId7843" ref="I4910"/>
    <hyperlink r:id="rId7844" ref="N4910"/>
    <hyperlink r:id="rId7845" ref="I4911"/>
    <hyperlink r:id="rId7846" ref="N4911"/>
    <hyperlink r:id="rId7847" ref="I4912"/>
    <hyperlink r:id="rId7848" ref="N4912"/>
    <hyperlink r:id="rId7849" ref="N4913"/>
    <hyperlink r:id="rId7850" ref="N4914"/>
    <hyperlink r:id="rId7851" ref="N4915"/>
    <hyperlink r:id="rId7852" ref="N4916"/>
    <hyperlink r:id="rId7853" ref="N4917"/>
    <hyperlink r:id="rId7854" ref="I4918"/>
    <hyperlink r:id="rId7855" ref="N4918"/>
    <hyperlink r:id="rId7856" ref="I4919"/>
    <hyperlink r:id="rId7857" ref="N4919"/>
    <hyperlink r:id="rId7858" ref="I4920"/>
    <hyperlink r:id="rId7859" ref="N4920"/>
    <hyperlink r:id="rId7860" ref="N4921"/>
    <hyperlink r:id="rId7861" ref="N4922"/>
    <hyperlink r:id="rId7862" ref="I4923"/>
    <hyperlink r:id="rId7863" ref="N4923"/>
    <hyperlink r:id="rId7864" ref="I4924"/>
    <hyperlink r:id="rId7865" ref="N4924"/>
    <hyperlink r:id="rId7866" ref="N4925"/>
    <hyperlink r:id="rId7867" ref="N4926"/>
    <hyperlink r:id="rId7868" ref="I4927"/>
    <hyperlink r:id="rId7869" ref="N4927"/>
    <hyperlink r:id="rId7870" ref="I4928"/>
    <hyperlink r:id="rId7871" ref="N4928"/>
    <hyperlink r:id="rId7872" ref="N4929"/>
    <hyperlink r:id="rId7873" ref="N4930"/>
    <hyperlink r:id="rId7874" ref="N4931"/>
    <hyperlink r:id="rId7875" ref="N4932"/>
    <hyperlink r:id="rId7876" ref="N4933"/>
    <hyperlink r:id="rId7877" ref="N4934"/>
    <hyperlink r:id="rId7878" ref="N4935"/>
    <hyperlink r:id="rId7879" ref="N4936"/>
    <hyperlink r:id="rId7880" ref="N4937"/>
    <hyperlink r:id="rId7881" ref="N4938"/>
    <hyperlink r:id="rId7882" ref="N4939"/>
    <hyperlink r:id="rId7883" ref="I4940"/>
    <hyperlink r:id="rId7884" ref="N4940"/>
    <hyperlink r:id="rId7885" ref="I4941"/>
    <hyperlink r:id="rId7886" ref="N4941"/>
    <hyperlink r:id="rId7887" ref="N4942"/>
    <hyperlink r:id="rId7888" ref="N4943"/>
    <hyperlink r:id="rId7889" ref="N4944"/>
    <hyperlink r:id="rId7890" ref="N4945"/>
    <hyperlink r:id="rId7891" ref="N4946"/>
    <hyperlink r:id="rId7892" ref="N4947"/>
    <hyperlink r:id="rId7893" ref="N4948"/>
    <hyperlink r:id="rId7894" ref="N4949"/>
    <hyperlink r:id="rId7895" ref="N4950"/>
    <hyperlink r:id="rId7896" ref="I4951"/>
    <hyperlink r:id="rId7897" ref="N4951"/>
    <hyperlink r:id="rId7898" ref="I4952"/>
    <hyperlink r:id="rId7899" ref="N4952"/>
    <hyperlink r:id="rId7900" ref="N4953"/>
    <hyperlink r:id="rId7901" ref="I4954"/>
    <hyperlink r:id="rId7902" ref="N4954"/>
    <hyperlink r:id="rId7903" ref="I4955"/>
    <hyperlink r:id="rId7904" ref="N4955"/>
    <hyperlink r:id="rId7905" ref="I4956"/>
    <hyperlink r:id="rId7906" ref="N4956"/>
    <hyperlink r:id="rId7907" ref="N4957"/>
    <hyperlink r:id="rId7908" ref="I4958"/>
    <hyperlink r:id="rId7909" ref="N4958"/>
    <hyperlink r:id="rId7910" ref="N4959"/>
    <hyperlink r:id="rId7911" ref="I4960"/>
    <hyperlink r:id="rId7912" ref="N4960"/>
    <hyperlink r:id="rId7913" ref="N4961"/>
    <hyperlink r:id="rId7914" ref="N4962"/>
    <hyperlink r:id="rId7915" ref="N4963"/>
    <hyperlink r:id="rId7916" ref="N4964"/>
    <hyperlink r:id="rId7917" ref="N4965"/>
    <hyperlink r:id="rId7918" ref="N4966"/>
    <hyperlink r:id="rId7919" ref="N4967"/>
    <hyperlink r:id="rId7920" ref="N4968"/>
    <hyperlink r:id="rId7921" ref="N4969"/>
    <hyperlink r:id="rId7922" ref="N4970"/>
    <hyperlink r:id="rId7923" ref="I4971"/>
    <hyperlink r:id="rId7924" ref="N4971"/>
    <hyperlink r:id="rId7925" ref="N4972"/>
    <hyperlink r:id="rId7926" ref="N4973"/>
    <hyperlink r:id="rId7927" ref="N4974"/>
    <hyperlink r:id="rId7928" ref="N4975"/>
    <hyperlink r:id="rId7929" ref="N4976"/>
    <hyperlink r:id="rId7930" ref="N4977"/>
    <hyperlink r:id="rId7931" ref="N4978"/>
    <hyperlink r:id="rId7932" ref="N4979"/>
    <hyperlink r:id="rId7933" ref="N4980"/>
    <hyperlink r:id="rId7934" ref="N4981"/>
    <hyperlink r:id="rId7935" ref="N4982"/>
    <hyperlink r:id="rId7936" ref="N4983"/>
    <hyperlink r:id="rId7937" ref="N4984"/>
    <hyperlink r:id="rId7938" ref="N4985"/>
    <hyperlink r:id="rId7939" ref="N4986"/>
    <hyperlink r:id="rId7940" ref="N4987"/>
    <hyperlink r:id="rId7941" ref="N4988"/>
    <hyperlink r:id="rId7942" ref="N4989"/>
    <hyperlink r:id="rId7943" ref="N4990"/>
    <hyperlink r:id="rId7944" ref="N4991"/>
    <hyperlink r:id="rId7945" ref="N4992"/>
    <hyperlink r:id="rId7946" ref="N4993"/>
    <hyperlink r:id="rId7947" ref="N4994"/>
    <hyperlink r:id="rId7948" ref="N4995"/>
    <hyperlink r:id="rId7949" ref="N4996"/>
    <hyperlink r:id="rId7950" ref="N4997"/>
    <hyperlink r:id="rId7951" ref="N4998"/>
    <hyperlink r:id="rId7952" ref="N4999"/>
    <hyperlink r:id="rId7953" ref="N5000"/>
    <hyperlink r:id="rId7954" ref="N5001"/>
    <hyperlink r:id="rId7955" ref="N5002"/>
    <hyperlink r:id="rId7956" ref="N5003"/>
    <hyperlink r:id="rId7957" ref="N5004"/>
    <hyperlink r:id="rId7958" ref="N5005"/>
    <hyperlink r:id="rId7959" ref="N5006"/>
    <hyperlink r:id="rId7960" ref="N5007"/>
    <hyperlink r:id="rId7961" ref="N5008"/>
    <hyperlink r:id="rId7962" ref="N5009"/>
    <hyperlink r:id="rId7963" ref="N5010"/>
    <hyperlink r:id="rId7964" ref="N5011"/>
    <hyperlink r:id="rId7965" ref="N5012"/>
    <hyperlink r:id="rId7966" ref="N5013"/>
    <hyperlink r:id="rId7967" ref="N5014"/>
    <hyperlink r:id="rId7968" ref="N5015"/>
    <hyperlink r:id="rId7969" ref="I5016"/>
    <hyperlink r:id="rId7970" ref="N5016"/>
    <hyperlink r:id="rId7971" ref="I5017"/>
    <hyperlink r:id="rId7972" ref="N5017"/>
    <hyperlink r:id="rId7973" ref="N5018"/>
    <hyperlink r:id="rId7974" ref="N5019"/>
    <hyperlink r:id="rId7975" ref="N5020"/>
    <hyperlink r:id="rId7976" ref="N5021"/>
    <hyperlink r:id="rId7977" ref="N5022"/>
    <hyperlink r:id="rId7978" ref="I5023"/>
    <hyperlink r:id="rId7979" ref="N5023"/>
    <hyperlink r:id="rId7980" ref="I5024"/>
    <hyperlink r:id="rId7981" ref="N5024"/>
    <hyperlink r:id="rId7982" ref="I5025"/>
    <hyperlink r:id="rId7983" ref="N5025"/>
    <hyperlink r:id="rId7984" ref="I5026"/>
    <hyperlink r:id="rId7985" ref="N5026"/>
    <hyperlink r:id="rId7986" ref="I5027"/>
    <hyperlink r:id="rId7987" ref="N5027"/>
    <hyperlink r:id="rId7988" ref="I5028"/>
    <hyperlink r:id="rId7989" ref="N5028"/>
    <hyperlink r:id="rId7990" ref="N5029"/>
    <hyperlink r:id="rId7991" ref="N5030"/>
    <hyperlink r:id="rId7992" ref="N5031"/>
    <hyperlink r:id="rId7993" ref="N5032"/>
    <hyperlink r:id="rId7994" ref="N5033"/>
    <hyperlink r:id="rId7995" ref="N5034"/>
    <hyperlink r:id="rId7996" ref="N5035"/>
    <hyperlink r:id="rId7997" ref="N5036"/>
    <hyperlink r:id="rId7998" ref="N5037"/>
    <hyperlink r:id="rId7999" ref="I5038"/>
    <hyperlink r:id="rId8000" ref="N5038"/>
    <hyperlink r:id="rId8001" ref="I5039"/>
    <hyperlink r:id="rId8002" ref="N5039"/>
    <hyperlink r:id="rId8003" ref="I5040"/>
    <hyperlink r:id="rId8004" ref="N5040"/>
    <hyperlink r:id="rId8005" ref="N5041"/>
    <hyperlink r:id="rId8006" ref="I5042"/>
    <hyperlink r:id="rId8007" ref="N5042"/>
    <hyperlink r:id="rId8008" ref="I5043"/>
    <hyperlink r:id="rId8009" ref="N5043"/>
    <hyperlink r:id="rId8010" ref="I5044"/>
    <hyperlink r:id="rId8011" ref="N5044"/>
    <hyperlink r:id="rId8012" ref="I5045"/>
    <hyperlink r:id="rId8013" ref="N5045"/>
    <hyperlink r:id="rId8014" ref="I5046"/>
    <hyperlink r:id="rId8015" ref="N5046"/>
    <hyperlink r:id="rId8016" ref="N5047"/>
    <hyperlink r:id="rId8017" ref="N5048"/>
    <hyperlink r:id="rId8018" ref="N5049"/>
    <hyperlink r:id="rId8019" ref="N5050"/>
    <hyperlink r:id="rId8020" ref="I5051"/>
    <hyperlink r:id="rId8021" ref="N5051"/>
    <hyperlink r:id="rId8022" ref="I5052"/>
    <hyperlink r:id="rId8023" ref="N5052"/>
    <hyperlink r:id="rId8024" ref="N5053"/>
    <hyperlink r:id="rId8025" ref="I5054"/>
    <hyperlink r:id="rId8026" ref="N5054"/>
    <hyperlink r:id="rId8027" ref="I5055"/>
    <hyperlink r:id="rId8028" ref="N5055"/>
    <hyperlink r:id="rId8029" ref="N5056"/>
    <hyperlink r:id="rId8030" ref="N5057"/>
    <hyperlink r:id="rId8031" ref="N5058"/>
    <hyperlink r:id="rId8032" ref="N5059"/>
    <hyperlink r:id="rId8033" ref="N5060"/>
    <hyperlink r:id="rId8034" ref="I5061"/>
    <hyperlink r:id="rId8035" ref="N5061"/>
    <hyperlink r:id="rId8036" ref="I5062"/>
    <hyperlink r:id="rId8037" ref="N5062"/>
    <hyperlink r:id="rId8038" ref="N5063"/>
    <hyperlink r:id="rId8039" ref="N5064"/>
    <hyperlink r:id="rId8040" ref="I5065"/>
    <hyperlink r:id="rId8041" ref="N5065"/>
    <hyperlink r:id="rId8042" ref="I5066"/>
    <hyperlink r:id="rId8043" ref="N5066"/>
    <hyperlink r:id="rId8044" ref="N5067"/>
    <hyperlink r:id="rId8045" ref="N5068"/>
    <hyperlink r:id="rId8046" ref="N5069"/>
    <hyperlink r:id="rId8047" ref="N5070"/>
    <hyperlink r:id="rId8048" ref="N5071"/>
    <hyperlink r:id="rId8049" ref="N5072"/>
    <hyperlink r:id="rId8050" ref="N5073"/>
    <hyperlink r:id="rId8051" ref="N5074"/>
    <hyperlink r:id="rId8052" ref="N5075"/>
    <hyperlink r:id="rId8053" ref="N5076"/>
    <hyperlink r:id="rId8054" ref="N5077"/>
    <hyperlink r:id="rId8055" ref="N5078"/>
    <hyperlink r:id="rId8056" ref="N5079"/>
    <hyperlink r:id="rId8057" ref="I5080"/>
    <hyperlink r:id="rId8058" ref="N5080"/>
    <hyperlink r:id="rId8059" ref="I5081"/>
    <hyperlink r:id="rId8060" ref="N5081"/>
    <hyperlink r:id="rId8061" ref="I5082"/>
    <hyperlink r:id="rId8062" ref="N5082"/>
    <hyperlink r:id="rId8063" ref="I5083"/>
    <hyperlink r:id="rId8064" ref="N5083"/>
    <hyperlink r:id="rId8065" ref="I5084"/>
    <hyperlink r:id="rId8066" ref="N5084"/>
    <hyperlink r:id="rId8067" ref="I5085"/>
    <hyperlink r:id="rId8068" ref="N5085"/>
    <hyperlink r:id="rId8069" ref="I5086"/>
    <hyperlink r:id="rId8070" ref="N5086"/>
    <hyperlink r:id="rId8071" ref="I5087"/>
    <hyperlink r:id="rId8072" ref="N5087"/>
    <hyperlink r:id="rId8073" ref="N5088"/>
    <hyperlink r:id="rId8074" ref="N5089"/>
    <hyperlink r:id="rId8075" ref="N5090"/>
    <hyperlink r:id="rId8076" ref="N5091"/>
    <hyperlink r:id="rId8077" ref="N5092"/>
    <hyperlink r:id="rId8078" ref="N5093"/>
    <hyperlink r:id="rId8079" ref="N5094"/>
    <hyperlink r:id="rId8080" ref="N5095"/>
    <hyperlink r:id="rId8081" ref="N5096"/>
    <hyperlink r:id="rId8082" ref="N5097"/>
    <hyperlink r:id="rId8083" ref="N5098"/>
    <hyperlink r:id="rId8084" ref="N5099"/>
    <hyperlink r:id="rId8085" ref="N5100"/>
    <hyperlink r:id="rId8086" ref="N5101"/>
    <hyperlink r:id="rId8087" ref="N5102"/>
    <hyperlink r:id="rId8088" ref="N5103"/>
    <hyperlink r:id="rId8089" ref="N5104"/>
    <hyperlink r:id="rId8090" ref="N5105"/>
    <hyperlink r:id="rId8091" ref="N5106"/>
    <hyperlink r:id="rId8092" ref="N5107"/>
    <hyperlink r:id="rId8093" ref="N5108"/>
    <hyperlink r:id="rId8094" ref="I5109"/>
    <hyperlink r:id="rId8095" ref="N5109"/>
    <hyperlink r:id="rId8096" ref="I5110"/>
    <hyperlink r:id="rId8097" ref="N5110"/>
    <hyperlink r:id="rId8098" ref="I5111"/>
    <hyperlink r:id="rId8099" ref="N5111"/>
    <hyperlink r:id="rId8100" ref="I5112"/>
    <hyperlink r:id="rId8101" ref="N5112"/>
    <hyperlink r:id="rId8102" ref="I5113"/>
    <hyperlink r:id="rId8103" ref="N5113"/>
    <hyperlink r:id="rId8104" ref="I5114"/>
    <hyperlink r:id="rId8105" ref="N5114"/>
    <hyperlink r:id="rId8106" ref="I5115"/>
    <hyperlink r:id="rId8107" ref="N5115"/>
    <hyperlink r:id="rId8108" ref="I5116"/>
    <hyperlink r:id="rId8109" ref="N5116"/>
    <hyperlink r:id="rId8110" ref="I5117"/>
    <hyperlink r:id="rId8111" ref="N5117"/>
    <hyperlink r:id="rId8112" ref="I5118"/>
    <hyperlink r:id="rId8113" ref="N5118"/>
    <hyperlink r:id="rId8114" ref="I5119"/>
    <hyperlink r:id="rId8115" ref="N5119"/>
    <hyperlink r:id="rId8116" ref="N5120"/>
    <hyperlink r:id="rId8117" ref="N5121"/>
    <hyperlink r:id="rId8118" ref="N5122"/>
    <hyperlink r:id="rId8119" ref="I5123"/>
    <hyperlink r:id="rId8120" ref="N5123"/>
    <hyperlink r:id="rId8121" ref="I5124"/>
    <hyperlink r:id="rId8122" ref="N5124"/>
    <hyperlink r:id="rId8123" ref="I5125"/>
    <hyperlink r:id="rId8124" ref="N5125"/>
    <hyperlink r:id="rId8125" ref="I5126"/>
    <hyperlink r:id="rId8126" ref="N5126"/>
    <hyperlink r:id="rId8127" ref="I5127"/>
    <hyperlink r:id="rId8128" ref="N5127"/>
    <hyperlink r:id="rId8129" ref="I5128"/>
    <hyperlink r:id="rId8130" ref="N5128"/>
    <hyperlink r:id="rId8131" ref="N5129"/>
    <hyperlink r:id="rId8132" ref="N5130"/>
    <hyperlink r:id="rId8133" ref="N5131"/>
    <hyperlink r:id="rId8134" ref="I5132"/>
    <hyperlink r:id="rId8135" ref="N5132"/>
    <hyperlink r:id="rId8136" ref="I5133"/>
    <hyperlink r:id="rId8137" ref="N5133"/>
    <hyperlink r:id="rId8138" ref="I5134"/>
    <hyperlink r:id="rId8139" ref="N5134"/>
    <hyperlink r:id="rId8140" ref="I5135"/>
    <hyperlink r:id="rId8141" ref="N5135"/>
    <hyperlink r:id="rId8142" ref="I5136"/>
    <hyperlink r:id="rId8143" ref="N5136"/>
    <hyperlink r:id="rId8144" ref="N5137"/>
    <hyperlink r:id="rId8145" ref="N5138"/>
    <hyperlink r:id="rId8146" ref="N5139"/>
    <hyperlink r:id="rId8147" ref="N5140"/>
    <hyperlink r:id="rId8148" ref="I5141"/>
    <hyperlink r:id="rId8149" ref="N5141"/>
    <hyperlink r:id="rId8150" ref="N5142"/>
    <hyperlink r:id="rId8151" ref="N5143"/>
    <hyperlink r:id="rId8152" ref="N5144"/>
    <hyperlink r:id="rId8153" ref="N5145"/>
    <hyperlink r:id="rId8154" ref="N5146"/>
    <hyperlink r:id="rId8155" ref="N5147"/>
    <hyperlink r:id="rId8156" ref="N5148"/>
    <hyperlink r:id="rId8157" ref="N5149"/>
    <hyperlink r:id="rId8158" ref="N5150"/>
    <hyperlink r:id="rId8159" ref="N5151"/>
    <hyperlink r:id="rId8160" ref="N5152"/>
    <hyperlink r:id="rId8161" ref="N5153"/>
    <hyperlink r:id="rId8162" ref="N5154"/>
    <hyperlink r:id="rId8163" ref="N5155"/>
    <hyperlink r:id="rId8164" ref="N5156"/>
    <hyperlink r:id="rId8165" ref="N5157"/>
    <hyperlink r:id="rId8166" ref="N5158"/>
    <hyperlink r:id="rId8167" ref="N5159"/>
    <hyperlink r:id="rId8168" ref="N5160"/>
    <hyperlink r:id="rId8169" ref="N5161"/>
    <hyperlink r:id="rId8170" ref="N5162"/>
    <hyperlink r:id="rId8171" ref="N5163"/>
    <hyperlink r:id="rId8172" ref="N5164"/>
    <hyperlink r:id="rId8173" ref="N5165"/>
    <hyperlink r:id="rId8174" ref="N5166"/>
    <hyperlink r:id="rId8175" ref="N5167"/>
    <hyperlink r:id="rId8176" ref="N5168"/>
    <hyperlink r:id="rId8177" ref="N5169"/>
    <hyperlink r:id="rId8178" ref="N5170"/>
    <hyperlink r:id="rId8179" ref="N5171"/>
    <hyperlink r:id="rId8180" ref="N5172"/>
    <hyperlink r:id="rId8181" ref="N5173"/>
    <hyperlink r:id="rId8182" ref="N5174"/>
    <hyperlink r:id="rId8183" ref="N5175"/>
    <hyperlink r:id="rId8184" ref="N5176"/>
    <hyperlink r:id="rId8185" ref="I5177"/>
    <hyperlink r:id="rId8186" ref="N5177"/>
    <hyperlink r:id="rId8187" ref="I5178"/>
    <hyperlink r:id="rId8188" ref="N5178"/>
    <hyperlink r:id="rId8189" ref="I5179"/>
    <hyperlink r:id="rId8190" ref="N5179"/>
    <hyperlink r:id="rId8191" ref="I5180"/>
    <hyperlink r:id="rId8192" ref="N5180"/>
    <hyperlink r:id="rId8193" ref="N5181"/>
    <hyperlink r:id="rId8194" ref="I5182"/>
    <hyperlink r:id="rId8195" ref="N5182"/>
    <hyperlink r:id="rId8196" ref="I5183"/>
    <hyperlink r:id="rId8197" ref="N5183"/>
    <hyperlink r:id="rId8198" ref="I5184"/>
    <hyperlink r:id="rId8199" ref="N5184"/>
    <hyperlink r:id="rId8200" ref="I5185"/>
    <hyperlink r:id="rId8201" ref="N5185"/>
    <hyperlink r:id="rId8202" ref="N5186"/>
    <hyperlink r:id="rId8203" ref="N5187"/>
    <hyperlink r:id="rId8204" ref="N5188"/>
    <hyperlink r:id="rId8205" ref="I5189"/>
    <hyperlink r:id="rId8206" ref="N5189"/>
    <hyperlink r:id="rId8207" ref="I5190"/>
    <hyperlink r:id="rId8208" ref="N5190"/>
    <hyperlink r:id="rId8209" ref="I5191"/>
    <hyperlink r:id="rId8210" ref="N5191"/>
    <hyperlink r:id="rId8211" ref="I5192"/>
    <hyperlink r:id="rId8212" ref="N5192"/>
    <hyperlink r:id="rId8213" ref="I5193"/>
    <hyperlink r:id="rId8214" ref="N5193"/>
    <hyperlink r:id="rId8215" ref="I5194"/>
    <hyperlink r:id="rId8216" ref="N5194"/>
    <hyperlink r:id="rId8217" ref="I5195"/>
    <hyperlink r:id="rId8218" ref="N5195"/>
    <hyperlink r:id="rId8219" ref="I5196"/>
    <hyperlink r:id="rId8220" ref="N5196"/>
    <hyperlink r:id="rId8221" ref="I5197"/>
    <hyperlink r:id="rId8222" ref="N5197"/>
    <hyperlink r:id="rId8223" ref="N5198"/>
    <hyperlink r:id="rId8224" ref="I5199"/>
    <hyperlink r:id="rId8225" ref="N5199"/>
    <hyperlink r:id="rId8226" ref="I5200"/>
    <hyperlink r:id="rId8227" ref="N5200"/>
    <hyperlink r:id="rId8228" ref="I5201"/>
    <hyperlink r:id="rId8229" ref="N5201"/>
    <hyperlink r:id="rId8230" ref="N5202"/>
    <hyperlink r:id="rId8231" ref="N5203"/>
    <hyperlink r:id="rId8232" ref="N5204"/>
    <hyperlink r:id="rId8233" ref="I5205"/>
    <hyperlink r:id="rId8234" ref="N5205"/>
    <hyperlink r:id="rId8235" ref="I5206"/>
    <hyperlink r:id="rId8236" ref="N5206"/>
    <hyperlink r:id="rId8237" ref="I5207"/>
    <hyperlink r:id="rId8238" ref="N5207"/>
    <hyperlink r:id="rId8239" ref="I5208"/>
    <hyperlink r:id="rId8240" ref="N5208"/>
    <hyperlink r:id="rId8241" ref="I5209"/>
    <hyperlink r:id="rId8242" ref="N5209"/>
    <hyperlink r:id="rId8243" ref="I5210"/>
    <hyperlink r:id="rId8244" ref="N5210"/>
    <hyperlink r:id="rId8245" ref="N5211"/>
    <hyperlink r:id="rId8246" ref="N5212"/>
    <hyperlink r:id="rId8247" ref="N5213"/>
    <hyperlink r:id="rId8248" ref="N5214"/>
    <hyperlink r:id="rId8249" ref="N5215"/>
    <hyperlink r:id="rId8250" ref="N5216"/>
    <hyperlink r:id="rId8251" ref="I5217"/>
    <hyperlink r:id="rId8252" ref="N5217"/>
    <hyperlink r:id="rId8253" ref="N5218"/>
    <hyperlink r:id="rId8254" ref="N5219"/>
    <hyperlink r:id="rId8255" ref="N5220"/>
    <hyperlink r:id="rId8256" ref="I5221"/>
    <hyperlink r:id="rId8257" ref="N5221"/>
    <hyperlink r:id="rId8258" ref="I5222"/>
    <hyperlink r:id="rId8259" ref="N5222"/>
    <hyperlink r:id="rId8260" ref="I5223"/>
    <hyperlink r:id="rId8261" ref="N5223"/>
    <hyperlink r:id="rId8262" ref="N5224"/>
    <hyperlink r:id="rId8263" ref="N5225"/>
    <hyperlink r:id="rId8264" ref="N5226"/>
    <hyperlink r:id="rId8265" ref="N5227"/>
    <hyperlink r:id="rId8266" ref="N5228"/>
    <hyperlink r:id="rId8267" ref="N5229"/>
    <hyperlink r:id="rId8268" ref="N5230"/>
    <hyperlink r:id="rId8269" ref="N5231"/>
    <hyperlink r:id="rId8270" ref="N5232"/>
    <hyperlink r:id="rId8271" ref="N5233"/>
    <hyperlink r:id="rId8272" ref="N5234"/>
    <hyperlink r:id="rId8273" ref="N5235"/>
    <hyperlink r:id="rId8274" ref="I5236"/>
    <hyperlink r:id="rId8275" ref="N5236"/>
    <hyperlink r:id="rId8276" ref="I5237"/>
    <hyperlink r:id="rId8277" ref="N5237"/>
    <hyperlink r:id="rId8278" ref="I5238"/>
    <hyperlink r:id="rId8279" ref="N5238"/>
    <hyperlink r:id="rId8280" ref="N5239"/>
    <hyperlink r:id="rId8281" ref="N5240"/>
    <hyperlink r:id="rId8282" ref="I5241"/>
    <hyperlink r:id="rId8283" ref="N5241"/>
    <hyperlink r:id="rId8284" ref="I5242"/>
    <hyperlink r:id="rId8285" ref="N5242"/>
    <hyperlink r:id="rId8286" ref="I5243"/>
    <hyperlink r:id="rId8287" ref="N5243"/>
    <hyperlink r:id="rId8288" ref="I5244"/>
    <hyperlink r:id="rId8289" ref="N5244"/>
    <hyperlink r:id="rId8290" ref="N5245"/>
    <hyperlink r:id="rId8291" ref="N5246"/>
    <hyperlink r:id="rId8292" ref="N5247"/>
    <hyperlink r:id="rId8293" ref="N5248"/>
    <hyperlink r:id="rId8294" ref="N5249"/>
    <hyperlink r:id="rId8295" ref="N5250"/>
    <hyperlink r:id="rId8296" ref="N5251"/>
    <hyperlink r:id="rId8297" ref="N5252"/>
    <hyperlink r:id="rId8298" ref="N5253"/>
    <hyperlink r:id="rId8299" ref="N5254"/>
    <hyperlink r:id="rId8300" ref="N5255"/>
    <hyperlink r:id="rId8301" ref="N5256"/>
    <hyperlink r:id="rId8302" ref="N5257"/>
    <hyperlink r:id="rId8303" ref="N5258"/>
    <hyperlink r:id="rId8304" ref="N5259"/>
    <hyperlink r:id="rId8305" ref="N5260"/>
    <hyperlink r:id="rId8306" ref="N5261"/>
    <hyperlink r:id="rId8307" ref="N5262"/>
    <hyperlink r:id="rId8308" ref="N5263"/>
    <hyperlink r:id="rId8309" ref="N5264"/>
    <hyperlink r:id="rId8310" ref="N5265"/>
    <hyperlink r:id="rId8311" ref="N5266"/>
    <hyperlink r:id="rId8312" ref="N5267"/>
    <hyperlink r:id="rId8313" ref="I5268"/>
    <hyperlink r:id="rId8314" ref="N5268"/>
    <hyperlink r:id="rId8315" ref="I5269"/>
    <hyperlink r:id="rId8316" ref="N5269"/>
    <hyperlink r:id="rId8317" ref="N5270"/>
    <hyperlink r:id="rId8318" ref="N5271"/>
    <hyperlink r:id="rId8319" ref="N5272"/>
    <hyperlink r:id="rId8320" ref="I5273"/>
    <hyperlink r:id="rId8321" ref="N5273"/>
    <hyperlink r:id="rId8322" ref="I5274"/>
    <hyperlink r:id="rId8323" ref="N5274"/>
    <hyperlink r:id="rId8324" ref="I5275"/>
    <hyperlink r:id="rId8325" ref="N5275"/>
    <hyperlink r:id="rId8326" ref="I5276"/>
    <hyperlink r:id="rId8327" ref="N5276"/>
    <hyperlink r:id="rId8328" ref="I5277"/>
    <hyperlink r:id="rId8329" ref="N5277"/>
    <hyperlink r:id="rId8330" ref="I5278"/>
    <hyperlink r:id="rId8331" ref="N5278"/>
    <hyperlink r:id="rId8332" ref="N5279"/>
    <hyperlink r:id="rId8333" ref="I5280"/>
    <hyperlink r:id="rId8334" ref="N5280"/>
    <hyperlink r:id="rId8335" ref="I5281"/>
    <hyperlink r:id="rId8336" ref="N5281"/>
    <hyperlink r:id="rId8337" ref="I5282"/>
    <hyperlink r:id="rId8338" ref="N5282"/>
    <hyperlink r:id="rId8339" ref="I5283"/>
    <hyperlink r:id="rId8340" ref="N5283"/>
    <hyperlink r:id="rId8341" ref="N5284"/>
    <hyperlink r:id="rId8342" ref="N5285"/>
    <hyperlink r:id="rId8343" ref="N5286"/>
    <hyperlink r:id="rId8344" ref="N5287"/>
    <hyperlink r:id="rId8345" ref="N5288"/>
    <hyperlink r:id="rId8346" ref="N5289"/>
    <hyperlink r:id="rId8347" ref="N5290"/>
    <hyperlink r:id="rId8348" ref="N5291"/>
    <hyperlink r:id="rId8349" ref="N5292"/>
    <hyperlink r:id="rId8350" ref="N5293"/>
    <hyperlink r:id="rId8351" ref="N5294"/>
    <hyperlink r:id="rId8352" ref="N5295"/>
    <hyperlink r:id="rId8353" ref="N5296"/>
    <hyperlink r:id="rId8354" ref="N5297"/>
    <hyperlink r:id="rId8355" ref="N5298"/>
    <hyperlink r:id="rId8356" ref="N5299"/>
    <hyperlink r:id="rId8357" ref="N5300"/>
    <hyperlink r:id="rId8358" ref="N5301"/>
    <hyperlink r:id="rId8359" ref="N5302"/>
    <hyperlink r:id="rId8360" ref="N5303"/>
    <hyperlink r:id="rId8361" ref="N5304"/>
    <hyperlink r:id="rId8362" ref="N5305"/>
    <hyperlink r:id="rId8363" ref="N5306"/>
    <hyperlink r:id="rId8364" ref="N5307"/>
    <hyperlink r:id="rId8365" ref="N5308"/>
    <hyperlink r:id="rId8366" ref="N5309"/>
    <hyperlink r:id="rId8367" ref="N5310"/>
    <hyperlink r:id="rId8368" ref="E5311"/>
    <hyperlink r:id="rId8369" ref="N5311"/>
    <hyperlink r:id="rId8370" ref="N5312"/>
    <hyperlink r:id="rId8371" ref="N5313"/>
    <hyperlink r:id="rId8372" ref="N5314"/>
    <hyperlink r:id="rId8373" ref="N5315"/>
    <hyperlink r:id="rId8374" ref="N5316"/>
    <hyperlink r:id="rId8375" ref="N5317"/>
    <hyperlink r:id="rId8376" ref="N5318"/>
    <hyperlink r:id="rId8377" ref="N5319"/>
    <hyperlink r:id="rId8378" ref="N5320"/>
    <hyperlink r:id="rId8379" ref="N5321"/>
    <hyperlink r:id="rId8380" ref="N5322"/>
    <hyperlink r:id="rId8381" ref="N5323"/>
    <hyperlink r:id="rId8382" ref="N5324"/>
    <hyperlink r:id="rId8383" ref="N5325"/>
    <hyperlink r:id="rId8384" ref="N5326"/>
    <hyperlink r:id="rId8385" ref="I5327"/>
    <hyperlink r:id="rId8386" ref="N5327"/>
    <hyperlink r:id="rId8387" ref="I5328"/>
    <hyperlink r:id="rId8388" ref="N5328"/>
    <hyperlink r:id="rId8389" ref="I5329"/>
    <hyperlink r:id="rId8390" ref="N5329"/>
    <hyperlink r:id="rId8391" ref="I5330"/>
    <hyperlink r:id="rId8392" ref="N5330"/>
    <hyperlink r:id="rId8393" ref="N5331"/>
    <hyperlink r:id="rId8394" ref="N5332"/>
    <hyperlink r:id="rId8395" ref="I5333"/>
    <hyperlink r:id="rId8396" ref="N5333"/>
    <hyperlink r:id="rId8397" ref="I5334"/>
    <hyperlink r:id="rId8398" ref="N5334"/>
    <hyperlink r:id="rId8399" ref="I5335"/>
    <hyperlink r:id="rId8400" ref="N5335"/>
    <hyperlink r:id="rId8401" ref="I5336"/>
    <hyperlink r:id="rId8402" ref="N5336"/>
    <hyperlink r:id="rId8403" ref="I5337"/>
    <hyperlink r:id="rId8404" ref="N5337"/>
    <hyperlink r:id="rId8405" ref="I5338"/>
    <hyperlink r:id="rId8406" ref="N5338"/>
    <hyperlink r:id="rId8407" ref="I5339"/>
    <hyperlink r:id="rId8408" ref="N5339"/>
    <hyperlink r:id="rId8409" ref="I5340"/>
    <hyperlink r:id="rId8410" ref="N5340"/>
    <hyperlink r:id="rId8411" ref="I5341"/>
    <hyperlink r:id="rId8412" ref="N5341"/>
    <hyperlink r:id="rId8413" ref="I5342"/>
    <hyperlink r:id="rId8414" ref="N5342"/>
    <hyperlink r:id="rId8415" ref="I5343"/>
    <hyperlink r:id="rId8416" ref="N5343"/>
    <hyperlink r:id="rId8417" ref="I5344"/>
    <hyperlink r:id="rId8418" ref="N5344"/>
    <hyperlink r:id="rId8419" ref="I5345"/>
    <hyperlink r:id="rId8420" ref="N5345"/>
    <hyperlink r:id="rId8421" ref="I5346"/>
    <hyperlink r:id="rId8422" ref="N5346"/>
    <hyperlink r:id="rId8423" ref="I5347"/>
    <hyperlink r:id="rId8424" ref="N5347"/>
    <hyperlink r:id="rId8425" ref="I5348"/>
    <hyperlink r:id="rId8426" ref="N5348"/>
    <hyperlink r:id="rId8427" ref="I5349"/>
    <hyperlink r:id="rId8428" ref="N5349"/>
    <hyperlink r:id="rId8429" ref="I5350"/>
    <hyperlink r:id="rId8430" ref="N5350"/>
    <hyperlink r:id="rId8431" ref="I5351"/>
    <hyperlink r:id="rId8432" ref="N5351"/>
    <hyperlink r:id="rId8433" ref="I5352"/>
    <hyperlink r:id="rId8434" ref="N5352"/>
    <hyperlink r:id="rId8435" ref="I5353"/>
    <hyperlink r:id="rId8436" ref="N5353"/>
    <hyperlink r:id="rId8437" ref="I5354"/>
    <hyperlink r:id="rId8438" ref="N5354"/>
    <hyperlink r:id="rId8439" ref="I5355"/>
    <hyperlink r:id="rId8440" ref="N5355"/>
    <hyperlink r:id="rId8441" ref="I5356"/>
    <hyperlink r:id="rId8442" ref="N5356"/>
    <hyperlink r:id="rId8443" ref="N5357"/>
    <hyperlink r:id="rId8444" ref="N5358"/>
    <hyperlink r:id="rId8445" ref="I5359"/>
    <hyperlink r:id="rId8446" ref="N5359"/>
    <hyperlink r:id="rId8447" ref="N5360"/>
    <hyperlink r:id="rId8448" ref="N5361"/>
    <hyperlink r:id="rId8449" ref="N5362"/>
    <hyperlink r:id="rId8450" ref="N5363"/>
    <hyperlink r:id="rId8451" ref="I5364"/>
    <hyperlink r:id="rId8452" ref="N5364"/>
    <hyperlink r:id="rId8453" ref="N5365"/>
    <hyperlink r:id="rId8454" ref="N5366"/>
    <hyperlink r:id="rId8455" ref="N5367"/>
    <hyperlink r:id="rId8456" ref="N5368"/>
    <hyperlink r:id="rId8457" ref="N5369"/>
    <hyperlink r:id="rId8458" ref="N5370"/>
    <hyperlink r:id="rId8459" ref="N5371"/>
    <hyperlink r:id="rId8460" ref="N5372"/>
    <hyperlink r:id="rId8461" ref="I5373"/>
    <hyperlink r:id="rId8462" ref="N5373"/>
    <hyperlink r:id="rId8463" ref="N5374"/>
    <hyperlink r:id="rId8464" ref="N5375"/>
    <hyperlink r:id="rId8465" ref="I5376"/>
    <hyperlink r:id="rId8466" ref="N5376"/>
    <hyperlink r:id="rId8467" ref="I5377"/>
    <hyperlink r:id="rId8468" ref="N5377"/>
    <hyperlink r:id="rId8469" ref="N5378"/>
    <hyperlink r:id="rId8470" ref="N5379"/>
    <hyperlink r:id="rId8471" ref="N5380"/>
    <hyperlink r:id="rId8472" ref="N5381"/>
    <hyperlink r:id="rId8473" ref="N5382"/>
    <hyperlink r:id="rId8474" ref="N5383"/>
    <hyperlink r:id="rId8475" ref="N5384"/>
    <hyperlink r:id="rId8476" ref="N5385"/>
    <hyperlink r:id="rId8477" ref="N5386"/>
    <hyperlink r:id="rId8478" ref="N5387"/>
    <hyperlink r:id="rId8479" ref="N5388"/>
    <hyperlink r:id="rId8480" ref="N5389"/>
    <hyperlink r:id="rId8481" ref="N5390"/>
    <hyperlink r:id="rId8482" ref="N5391"/>
    <hyperlink r:id="rId8483" ref="I5392"/>
    <hyperlink r:id="rId8484" ref="N5392"/>
    <hyperlink r:id="rId8485" ref="I5393"/>
    <hyperlink r:id="rId8486" ref="N5393"/>
    <hyperlink r:id="rId8487" ref="I5394"/>
    <hyperlink r:id="rId8488" ref="N5394"/>
    <hyperlink r:id="rId8489" ref="I5395"/>
    <hyperlink r:id="rId8490" ref="N5395"/>
    <hyperlink r:id="rId8491" ref="I5396"/>
    <hyperlink r:id="rId8492" ref="N5396"/>
    <hyperlink r:id="rId8493" ref="I5397"/>
    <hyperlink r:id="rId8494" ref="N5397"/>
    <hyperlink r:id="rId8495" ref="N5398"/>
    <hyperlink r:id="rId8496" ref="N5399"/>
    <hyperlink r:id="rId8497" ref="I5400"/>
    <hyperlink r:id="rId8498" ref="N5400"/>
    <hyperlink r:id="rId8499" ref="I5401"/>
    <hyperlink r:id="rId8500" ref="N5401"/>
    <hyperlink r:id="rId8501" ref="I5402"/>
    <hyperlink r:id="rId8502" ref="N5402"/>
    <hyperlink r:id="rId8503" ref="I5403"/>
    <hyperlink r:id="rId8504" ref="N5403"/>
    <hyperlink r:id="rId8505" ref="I5404"/>
    <hyperlink r:id="rId8506" ref="N5404"/>
    <hyperlink r:id="rId8507" ref="I5405"/>
    <hyperlink r:id="rId8508" ref="N5405"/>
    <hyperlink r:id="rId8509" ref="I5406"/>
    <hyperlink r:id="rId8510" ref="N5406"/>
    <hyperlink r:id="rId8511" ref="I5407"/>
    <hyperlink r:id="rId8512" ref="N5407"/>
    <hyperlink r:id="rId8513" ref="I5408"/>
    <hyperlink r:id="rId8514" ref="N5408"/>
    <hyperlink r:id="rId8515" ref="I5409"/>
    <hyperlink r:id="rId8516" ref="N5409"/>
    <hyperlink r:id="rId8517" ref="I5410"/>
    <hyperlink r:id="rId8518" ref="N5410"/>
    <hyperlink r:id="rId8519" ref="I5411"/>
    <hyperlink r:id="rId8520" ref="N5411"/>
    <hyperlink r:id="rId8521" ref="I5412"/>
    <hyperlink r:id="rId8522" ref="N5412"/>
    <hyperlink r:id="rId8523" ref="I5413"/>
    <hyperlink r:id="rId8524" ref="N5413"/>
    <hyperlink r:id="rId8525" ref="I5414"/>
    <hyperlink r:id="rId8526" ref="N5414"/>
    <hyperlink r:id="rId8527" ref="I5415"/>
    <hyperlink r:id="rId8528" ref="N5415"/>
    <hyperlink r:id="rId8529" ref="I5416"/>
    <hyperlink r:id="rId8530" ref="N5416"/>
    <hyperlink r:id="rId8531" ref="I5417"/>
    <hyperlink r:id="rId8532" ref="N5417"/>
    <hyperlink r:id="rId8533" ref="I5418"/>
    <hyperlink r:id="rId8534" ref="N5418"/>
    <hyperlink r:id="rId8535" ref="N5419"/>
    <hyperlink r:id="rId8536" ref="N5420"/>
    <hyperlink r:id="rId8537" ref="N5421"/>
    <hyperlink r:id="rId8538" ref="N5422"/>
    <hyperlink r:id="rId8539" ref="N5423"/>
    <hyperlink r:id="rId8540" ref="I5424"/>
    <hyperlink r:id="rId8541" ref="N5424"/>
    <hyperlink r:id="rId8542" ref="I5425"/>
    <hyperlink r:id="rId8543" ref="N5425"/>
    <hyperlink r:id="rId8544" ref="I5426"/>
    <hyperlink r:id="rId8545" ref="N5426"/>
    <hyperlink r:id="rId8546" ref="I5427"/>
    <hyperlink r:id="rId8547" ref="N5427"/>
    <hyperlink r:id="rId8548" ref="I5428"/>
    <hyperlink r:id="rId8549" ref="N5428"/>
    <hyperlink r:id="rId8550" ref="N5429"/>
    <hyperlink r:id="rId8551" ref="N5430"/>
    <hyperlink r:id="rId8552" ref="I5431"/>
    <hyperlink r:id="rId8553" ref="N5431"/>
    <hyperlink r:id="rId8554" ref="I5432"/>
    <hyperlink r:id="rId8555" ref="N5432"/>
    <hyperlink r:id="rId8556" ref="I5433"/>
    <hyperlink r:id="rId8557" ref="N5433"/>
    <hyperlink r:id="rId8558" ref="I5434"/>
    <hyperlink r:id="rId8559" ref="N5434"/>
    <hyperlink r:id="rId8560" ref="I5435"/>
    <hyperlink r:id="rId8561" ref="N5435"/>
    <hyperlink r:id="rId8562" ref="I5436"/>
    <hyperlink r:id="rId8563" ref="N5436"/>
    <hyperlink r:id="rId8564" ref="I5437"/>
    <hyperlink r:id="rId8565" ref="N5437"/>
    <hyperlink r:id="rId8566" ref="I5438"/>
    <hyperlink r:id="rId8567" ref="N5438"/>
    <hyperlink r:id="rId8568" ref="I5439"/>
    <hyperlink r:id="rId8569" ref="N5439"/>
    <hyperlink r:id="rId8570" ref="N5440"/>
    <hyperlink r:id="rId8571" ref="I5441"/>
    <hyperlink r:id="rId8572" ref="N5441"/>
    <hyperlink r:id="rId8573" ref="I5442"/>
    <hyperlink r:id="rId8574" ref="N5442"/>
    <hyperlink r:id="rId8575" ref="N5443"/>
    <hyperlink r:id="rId8576" ref="N5444"/>
    <hyperlink r:id="rId8577" ref="N5445"/>
    <hyperlink r:id="rId8578" ref="N5446"/>
    <hyperlink r:id="rId8579" ref="I5447"/>
    <hyperlink r:id="rId8580" ref="N5447"/>
    <hyperlink r:id="rId8581" ref="N5448"/>
    <hyperlink r:id="rId8582" ref="N5449"/>
    <hyperlink r:id="rId8583" ref="N5450"/>
    <hyperlink r:id="rId8584" ref="N5451"/>
    <hyperlink r:id="rId8585" ref="N5452"/>
    <hyperlink r:id="rId8586" ref="N5453"/>
    <hyperlink r:id="rId8587" ref="N5454"/>
    <hyperlink r:id="rId8588" ref="N5455"/>
    <hyperlink r:id="rId8589" ref="N5456"/>
    <hyperlink r:id="rId8590" ref="N5457"/>
    <hyperlink r:id="rId8591" ref="N5458"/>
    <hyperlink r:id="rId8592" ref="N5459"/>
    <hyperlink r:id="rId8593" ref="N5460"/>
    <hyperlink r:id="rId8594" ref="N5461"/>
    <hyperlink r:id="rId8595" ref="N5462"/>
    <hyperlink r:id="rId8596" ref="N5463"/>
    <hyperlink r:id="rId8597" ref="N5464"/>
    <hyperlink r:id="rId8598" ref="N5465"/>
    <hyperlink r:id="rId8599" ref="N5466"/>
    <hyperlink r:id="rId8600" ref="N5467"/>
    <hyperlink r:id="rId8601" ref="N5468"/>
    <hyperlink r:id="rId8602" ref="N5469"/>
    <hyperlink r:id="rId8603" ref="N5470"/>
    <hyperlink r:id="rId8604" ref="N5471"/>
    <hyperlink r:id="rId8605" ref="I5472"/>
    <hyperlink r:id="rId8606" ref="N5472"/>
    <hyperlink r:id="rId8607" ref="I5473"/>
    <hyperlink r:id="rId8608" ref="N5473"/>
    <hyperlink r:id="rId8609" ref="I5474"/>
    <hyperlink r:id="rId8610" ref="N5474"/>
    <hyperlink r:id="rId8611" ref="I5475"/>
    <hyperlink r:id="rId8612" ref="N5475"/>
    <hyperlink r:id="rId8613" ref="N5476"/>
    <hyperlink r:id="rId8614" ref="N5477"/>
    <hyperlink r:id="rId8615" ref="I5478"/>
    <hyperlink r:id="rId8616" ref="N5478"/>
    <hyperlink r:id="rId8617" ref="I5479"/>
    <hyperlink r:id="rId8618" ref="N5479"/>
    <hyperlink r:id="rId8619" ref="I5480"/>
    <hyperlink r:id="rId8620" ref="N5480"/>
    <hyperlink r:id="rId8621" ref="I5481"/>
    <hyperlink r:id="rId8622" ref="N5481"/>
    <hyperlink r:id="rId8623" ref="I5482"/>
    <hyperlink r:id="rId8624" ref="N5482"/>
    <hyperlink r:id="rId8625" ref="I5483"/>
    <hyperlink r:id="rId8626" ref="N5483"/>
    <hyperlink r:id="rId8627" ref="I5484"/>
    <hyperlink r:id="rId8628" ref="N5484"/>
    <hyperlink r:id="rId8629" ref="I5485"/>
    <hyperlink r:id="rId8630" ref="N5485"/>
    <hyperlink r:id="rId8631" ref="I5486"/>
    <hyperlink r:id="rId8632" ref="N5486"/>
    <hyperlink r:id="rId8633" ref="N5487"/>
    <hyperlink r:id="rId8634" ref="N5488"/>
    <hyperlink r:id="rId8635" ref="N5489"/>
    <hyperlink r:id="rId8636" ref="N5490"/>
    <hyperlink r:id="rId8637" ref="I5491"/>
    <hyperlink r:id="rId8638" ref="N5491"/>
    <hyperlink r:id="rId8639" ref="I5492"/>
    <hyperlink r:id="rId8640" ref="N5492"/>
    <hyperlink r:id="rId8641" ref="I5493"/>
    <hyperlink r:id="rId8642" ref="N5493"/>
    <hyperlink r:id="rId8643" ref="I5494"/>
    <hyperlink r:id="rId8644" ref="N5494"/>
    <hyperlink r:id="rId8645" ref="I5495"/>
    <hyperlink r:id="rId8646" ref="N5495"/>
    <hyperlink r:id="rId8647" ref="I5496"/>
    <hyperlink r:id="rId8648" ref="N5496"/>
    <hyperlink r:id="rId8649" ref="I5497"/>
    <hyperlink r:id="rId8650" ref="N5497"/>
    <hyperlink r:id="rId8651" ref="I5498"/>
    <hyperlink r:id="rId8652" ref="N5498"/>
    <hyperlink r:id="rId8653" ref="I5499"/>
    <hyperlink r:id="rId8654" ref="N5499"/>
    <hyperlink r:id="rId8655" ref="N5500"/>
    <hyperlink r:id="rId8656" ref="N5501"/>
    <hyperlink r:id="rId8657" ref="N5502"/>
    <hyperlink r:id="rId8658" ref="N5503"/>
    <hyperlink r:id="rId8659" ref="N5504"/>
    <hyperlink r:id="rId8660" ref="N5505"/>
    <hyperlink r:id="rId8661" ref="I5506"/>
    <hyperlink r:id="rId8662" ref="N5506"/>
    <hyperlink r:id="rId8663" ref="I5507"/>
    <hyperlink r:id="rId8664" ref="N5507"/>
    <hyperlink r:id="rId8665" ref="I5508"/>
    <hyperlink r:id="rId8666" ref="N5508"/>
    <hyperlink r:id="rId8667" ref="N5509"/>
    <hyperlink r:id="rId8668" ref="N5510"/>
    <hyperlink r:id="rId8669" ref="N5511"/>
    <hyperlink r:id="rId8670" ref="N5512"/>
    <hyperlink r:id="rId8671" ref="I5513"/>
    <hyperlink r:id="rId8672" ref="N5513"/>
    <hyperlink r:id="rId8673" ref="I5514"/>
    <hyperlink r:id="rId8674" ref="N5514"/>
    <hyperlink r:id="rId8675" ref="I5515"/>
    <hyperlink r:id="rId8676" ref="N5515"/>
    <hyperlink r:id="rId8677" ref="I5516"/>
    <hyperlink r:id="rId8678" ref="N5516"/>
    <hyperlink r:id="rId8679" ref="I5517"/>
    <hyperlink r:id="rId8680" ref="N5517"/>
    <hyperlink r:id="rId8681" ref="I5518"/>
    <hyperlink r:id="rId8682" ref="N5518"/>
    <hyperlink r:id="rId8683" ref="I5519"/>
    <hyperlink r:id="rId8684" ref="N5519"/>
    <hyperlink r:id="rId8685" ref="I5520"/>
    <hyperlink r:id="rId8686" ref="N5520"/>
    <hyperlink r:id="rId8687" ref="N5521"/>
    <hyperlink r:id="rId8688" ref="N5522"/>
    <hyperlink r:id="rId8689" ref="N5523"/>
    <hyperlink r:id="rId8690" ref="N5524"/>
    <hyperlink r:id="rId8691" ref="N5525"/>
    <hyperlink r:id="rId8692" ref="N5526"/>
    <hyperlink r:id="rId8693" ref="N5527"/>
    <hyperlink r:id="rId8694" ref="N5528"/>
    <hyperlink r:id="rId8695" ref="N5529"/>
    <hyperlink r:id="rId8696" ref="N5530"/>
    <hyperlink r:id="rId8697" ref="N5531"/>
    <hyperlink r:id="rId8698" ref="N5532"/>
    <hyperlink r:id="rId8699" ref="N5533"/>
    <hyperlink r:id="rId8700" ref="N5534"/>
    <hyperlink r:id="rId8701" ref="I5535"/>
    <hyperlink r:id="rId8702" ref="N5535"/>
    <hyperlink r:id="rId8703" ref="I5536"/>
    <hyperlink r:id="rId8704" ref="N5536"/>
    <hyperlink r:id="rId8705" ref="I5537"/>
    <hyperlink r:id="rId8706" ref="N5537"/>
    <hyperlink r:id="rId8707" ref="I5538"/>
    <hyperlink r:id="rId8708" ref="N5538"/>
    <hyperlink r:id="rId8709" ref="N5539"/>
    <hyperlink r:id="rId8710" ref="N5540"/>
    <hyperlink r:id="rId8711" ref="N5541"/>
    <hyperlink r:id="rId8712" ref="N5542"/>
    <hyperlink r:id="rId8713" ref="I5543"/>
    <hyperlink r:id="rId8714" ref="N5543"/>
    <hyperlink r:id="rId8715" ref="I5544"/>
    <hyperlink r:id="rId8716" ref="N5544"/>
    <hyperlink r:id="rId8717" ref="I5545"/>
    <hyperlink r:id="rId8718" ref="N5545"/>
    <hyperlink r:id="rId8719" ref="I5546"/>
    <hyperlink r:id="rId8720" ref="N5546"/>
    <hyperlink r:id="rId8721" ref="I5547"/>
    <hyperlink r:id="rId8722" ref="N5547"/>
    <hyperlink r:id="rId8723" ref="I5548"/>
    <hyperlink r:id="rId8724" ref="N5548"/>
    <hyperlink r:id="rId8725" ref="I5549"/>
    <hyperlink r:id="rId8726" ref="N5549"/>
    <hyperlink r:id="rId8727" ref="I5550"/>
    <hyperlink r:id="rId8728" ref="N5550"/>
    <hyperlink r:id="rId8729" ref="I5551"/>
    <hyperlink r:id="rId8730" ref="N5551"/>
    <hyperlink r:id="rId8731" ref="I5552"/>
    <hyperlink r:id="rId8732" ref="N5552"/>
    <hyperlink r:id="rId8733" ref="I5553"/>
    <hyperlink r:id="rId8734" ref="N5553"/>
    <hyperlink r:id="rId8735" ref="I5554"/>
    <hyperlink r:id="rId8736" ref="N5554"/>
    <hyperlink r:id="rId8737" ref="I5555"/>
    <hyperlink r:id="rId8738" ref="N5555"/>
    <hyperlink r:id="rId8739" ref="I5556"/>
    <hyperlink r:id="rId8740" ref="N5556"/>
    <hyperlink r:id="rId8741" ref="I5557"/>
    <hyperlink r:id="rId8742" ref="N5557"/>
    <hyperlink r:id="rId8743" ref="I5558"/>
    <hyperlink r:id="rId8744" ref="N5558"/>
    <hyperlink r:id="rId8745" ref="I5559"/>
    <hyperlink r:id="rId8746" ref="N5559"/>
    <hyperlink r:id="rId8747" ref="I5560"/>
    <hyperlink r:id="rId8748" ref="N5560"/>
    <hyperlink r:id="rId8749" ref="I5561"/>
    <hyperlink r:id="rId8750" ref="N5561"/>
    <hyperlink r:id="rId8751" ref="I5562"/>
    <hyperlink r:id="rId8752" ref="N5562"/>
    <hyperlink r:id="rId8753" ref="I5563"/>
    <hyperlink r:id="rId8754" ref="N5563"/>
    <hyperlink r:id="rId8755" ref="I5564"/>
    <hyperlink r:id="rId8756" ref="N5564"/>
    <hyperlink r:id="rId8757" ref="I5565"/>
    <hyperlink r:id="rId8758" ref="N5565"/>
    <hyperlink r:id="rId8759" ref="I5566"/>
    <hyperlink r:id="rId8760" ref="N5566"/>
    <hyperlink r:id="rId8761" ref="I5567"/>
    <hyperlink r:id="rId8762" ref="N5567"/>
    <hyperlink r:id="rId8763" ref="I5568"/>
    <hyperlink r:id="rId8764" ref="N5568"/>
    <hyperlink r:id="rId8765" ref="I5569"/>
    <hyperlink r:id="rId8766" ref="N5569"/>
    <hyperlink r:id="rId8767" ref="I5570"/>
    <hyperlink r:id="rId8768" ref="N5570"/>
    <hyperlink r:id="rId8769" ref="I5571"/>
    <hyperlink r:id="rId8770" ref="N5571"/>
    <hyperlink r:id="rId8771" ref="I5572"/>
    <hyperlink r:id="rId8772" ref="N5572"/>
    <hyperlink r:id="rId8773" ref="I5573"/>
    <hyperlink r:id="rId8774" ref="N5573"/>
    <hyperlink r:id="rId8775" ref="I5574"/>
    <hyperlink r:id="rId8776" ref="N5574"/>
    <hyperlink r:id="rId8777" ref="N5575"/>
    <hyperlink r:id="rId8778" ref="N5576"/>
    <hyperlink r:id="rId8779" ref="N5577"/>
    <hyperlink r:id="rId8780" ref="N5578"/>
    <hyperlink r:id="rId8781" ref="N5579"/>
    <hyperlink r:id="rId8782" ref="N5580"/>
    <hyperlink r:id="rId8783" ref="N5581"/>
    <hyperlink r:id="rId8784" ref="I5582"/>
    <hyperlink r:id="rId8785" ref="N5582"/>
    <hyperlink r:id="rId8786" ref="I5583"/>
    <hyperlink r:id="rId8787" ref="N5583"/>
    <hyperlink r:id="rId8788" ref="N5584"/>
    <hyperlink r:id="rId8789" ref="I5585"/>
    <hyperlink r:id="rId8790" ref="N5585"/>
    <hyperlink r:id="rId8791" ref="I5586"/>
    <hyperlink r:id="rId8792" ref="N5586"/>
    <hyperlink r:id="rId8793" ref="I5587"/>
    <hyperlink r:id="rId8794" ref="N5587"/>
    <hyperlink r:id="rId8795" ref="I5588"/>
    <hyperlink r:id="rId8796" ref="N5588"/>
    <hyperlink r:id="rId8797" ref="I5589"/>
    <hyperlink r:id="rId8798" ref="N5589"/>
    <hyperlink r:id="rId8799" ref="I5590"/>
    <hyperlink r:id="rId8800" ref="N5590"/>
    <hyperlink r:id="rId8801" ref="I5591"/>
    <hyperlink r:id="rId8802" ref="N5591"/>
    <hyperlink r:id="rId8803" ref="N5592"/>
    <hyperlink r:id="rId8804" ref="N5593"/>
    <hyperlink r:id="rId8805" ref="I5594"/>
    <hyperlink r:id="rId8806" ref="N5594"/>
    <hyperlink r:id="rId8807" ref="N5595"/>
    <hyperlink r:id="rId8808" ref="N5596"/>
    <hyperlink r:id="rId8809" ref="N5597"/>
    <hyperlink r:id="rId8810" ref="N5598"/>
    <hyperlink r:id="rId8811" ref="I5599"/>
    <hyperlink r:id="rId8812" ref="N5599"/>
    <hyperlink r:id="rId8813" ref="I5600"/>
    <hyperlink r:id="rId8814" ref="N5600"/>
    <hyperlink r:id="rId8815" ref="I5601"/>
    <hyperlink r:id="rId8816" ref="N5601"/>
    <hyperlink r:id="rId8817" ref="I5602"/>
    <hyperlink r:id="rId8818" ref="N5602"/>
    <hyperlink r:id="rId8819" ref="I5603"/>
    <hyperlink r:id="rId8820" ref="N5603"/>
    <hyperlink r:id="rId8821" ref="I5604"/>
    <hyperlink r:id="rId8822" ref="N5604"/>
    <hyperlink r:id="rId8823" ref="I5605"/>
    <hyperlink r:id="rId8824" ref="N5605"/>
    <hyperlink r:id="rId8825" ref="I5606"/>
    <hyperlink r:id="rId8826" ref="N5606"/>
    <hyperlink r:id="rId8827" ref="I5607"/>
    <hyperlink r:id="rId8828" ref="N5607"/>
    <hyperlink r:id="rId8829" ref="I5608"/>
    <hyperlink r:id="rId8830" ref="N5608"/>
    <hyperlink r:id="rId8831" ref="I5609"/>
    <hyperlink r:id="rId8832" ref="N5609"/>
    <hyperlink r:id="rId8833" ref="I5610"/>
    <hyperlink r:id="rId8834" ref="N5610"/>
    <hyperlink r:id="rId8835" ref="I5611"/>
    <hyperlink r:id="rId8836" ref="N5611"/>
    <hyperlink r:id="rId8837" ref="I5612"/>
    <hyperlink r:id="rId8838" ref="N5612"/>
    <hyperlink r:id="rId8839" ref="N5613"/>
    <hyperlink r:id="rId8840" ref="N5614"/>
    <hyperlink r:id="rId8841" ref="N5615"/>
    <hyperlink r:id="rId8842" ref="N5616"/>
    <hyperlink r:id="rId8843" ref="N5617"/>
    <hyperlink r:id="rId8844" ref="N5618"/>
    <hyperlink r:id="rId8845" ref="I5619"/>
    <hyperlink r:id="rId8846" ref="N5619"/>
    <hyperlink r:id="rId8847" ref="I5620"/>
    <hyperlink r:id="rId8848" ref="N5620"/>
    <hyperlink r:id="rId8849" ref="I5621"/>
    <hyperlink r:id="rId8850" ref="N5621"/>
    <hyperlink r:id="rId8851" ref="N5622"/>
    <hyperlink r:id="rId8852" ref="N5623"/>
    <hyperlink r:id="rId8853" ref="N5624"/>
    <hyperlink r:id="rId8854" ref="N5625"/>
    <hyperlink r:id="rId8855" ref="I5626"/>
    <hyperlink r:id="rId8856" ref="N5626"/>
    <hyperlink r:id="rId8857" ref="I5627"/>
    <hyperlink r:id="rId8858" ref="N5627"/>
    <hyperlink r:id="rId8859" ref="I5628"/>
    <hyperlink r:id="rId8860" ref="N5628"/>
    <hyperlink r:id="rId8861" ref="I5629"/>
    <hyperlink r:id="rId8862" ref="N5629"/>
    <hyperlink r:id="rId8863" ref="I5630"/>
    <hyperlink r:id="rId8864" ref="N5630"/>
    <hyperlink r:id="rId8865" ref="I5631"/>
    <hyperlink r:id="rId8866" ref="N5631"/>
    <hyperlink r:id="rId8867" ref="I5632"/>
    <hyperlink r:id="rId8868" ref="N5632"/>
    <hyperlink r:id="rId8869" ref="N5633"/>
    <hyperlink r:id="rId8870" ref="N5634"/>
    <hyperlink r:id="rId8871" ref="N5635"/>
    <hyperlink r:id="rId8872" ref="N5636"/>
    <hyperlink r:id="rId8873" ref="I5637"/>
    <hyperlink r:id="rId8874" ref="N5637"/>
    <hyperlink r:id="rId8875" ref="I5638"/>
    <hyperlink r:id="rId8876" ref="N5638"/>
    <hyperlink r:id="rId8877" ref="I5639"/>
    <hyperlink r:id="rId8878" ref="N5639"/>
    <hyperlink r:id="rId8879" ref="I5640"/>
    <hyperlink r:id="rId8880" ref="N5640"/>
    <hyperlink r:id="rId8881" ref="N5641"/>
    <hyperlink r:id="rId8882" ref="N5642"/>
    <hyperlink r:id="rId8883" ref="N5643"/>
    <hyperlink r:id="rId8884" ref="N5644"/>
    <hyperlink r:id="rId8885" ref="I5645"/>
    <hyperlink r:id="rId8886" ref="N5645"/>
    <hyperlink r:id="rId8887" ref="N5646"/>
    <hyperlink r:id="rId8888" ref="N5647"/>
    <hyperlink r:id="rId8889" ref="N5648"/>
    <hyperlink r:id="rId8890" ref="N5649"/>
    <hyperlink r:id="rId8891" ref="N5650"/>
    <hyperlink r:id="rId8892" ref="N5651"/>
    <hyperlink r:id="rId8893" ref="N5652"/>
    <hyperlink r:id="rId8894" ref="N5653"/>
    <hyperlink r:id="rId8895" ref="N5654"/>
    <hyperlink r:id="rId8896" ref="N5655"/>
    <hyperlink r:id="rId8897" ref="N5656"/>
    <hyperlink r:id="rId8898" ref="N5657"/>
    <hyperlink r:id="rId8899" ref="N5658"/>
    <hyperlink r:id="rId8900" ref="N5659"/>
    <hyperlink r:id="rId8901" ref="N5660"/>
    <hyperlink r:id="rId8902" ref="N5661"/>
    <hyperlink r:id="rId8903" ref="N5662"/>
    <hyperlink r:id="rId8904" ref="N5663"/>
    <hyperlink r:id="rId8905" ref="N5664"/>
    <hyperlink r:id="rId8906" ref="N5665"/>
    <hyperlink r:id="rId8907" ref="N5666"/>
    <hyperlink r:id="rId8908" ref="N5667"/>
    <hyperlink r:id="rId8909" ref="N5668"/>
    <hyperlink r:id="rId8910" ref="N5669"/>
    <hyperlink r:id="rId8911" ref="N5670"/>
    <hyperlink r:id="rId8912" ref="N5671"/>
    <hyperlink r:id="rId8913" ref="N5672"/>
    <hyperlink r:id="rId8914" ref="N5673"/>
    <hyperlink r:id="rId8915" ref="N5674"/>
    <hyperlink r:id="rId8916" ref="N5675"/>
    <hyperlink r:id="rId8917" ref="N5676"/>
    <hyperlink r:id="rId8918" ref="N5677"/>
    <hyperlink r:id="rId8919" ref="N5678"/>
    <hyperlink r:id="rId8920" ref="N5679"/>
    <hyperlink r:id="rId8921" ref="N5680"/>
    <hyperlink r:id="rId8922" ref="N5681"/>
    <hyperlink r:id="rId8923" ref="I5682"/>
    <hyperlink r:id="rId8924" ref="N5682"/>
    <hyperlink r:id="rId8925" ref="I5683"/>
    <hyperlink r:id="rId8926" ref="N5683"/>
    <hyperlink r:id="rId8927" ref="I5684"/>
    <hyperlink r:id="rId8928" ref="N5684"/>
    <hyperlink r:id="rId8929" ref="I5685"/>
    <hyperlink r:id="rId8930" ref="N5685"/>
    <hyperlink r:id="rId8931" ref="I5686"/>
    <hyperlink r:id="rId8932" ref="N5686"/>
    <hyperlink r:id="rId8933" ref="N5687"/>
    <hyperlink r:id="rId8934" ref="N5688"/>
    <hyperlink r:id="rId8935" ref="N5689"/>
    <hyperlink r:id="rId8936" ref="N5690"/>
    <hyperlink r:id="rId8937" ref="N5691"/>
    <hyperlink r:id="rId8938" ref="I5692"/>
    <hyperlink r:id="rId8939" ref="N5692"/>
    <hyperlink r:id="rId8940" ref="I5693"/>
    <hyperlink r:id="rId8941" ref="N5693"/>
    <hyperlink r:id="rId8942" ref="I5694"/>
    <hyperlink r:id="rId8943" ref="N5694"/>
    <hyperlink r:id="rId8944" ref="N5695"/>
    <hyperlink r:id="rId8945" ref="I5696"/>
    <hyperlink r:id="rId8946" ref="N5696"/>
    <hyperlink r:id="rId8947" ref="I5697"/>
    <hyperlink r:id="rId8948" ref="N5697"/>
    <hyperlink r:id="rId8949" ref="I5698"/>
    <hyperlink r:id="rId8950" ref="N5698"/>
    <hyperlink r:id="rId8951" ref="I5699"/>
    <hyperlink r:id="rId8952" ref="N5699"/>
    <hyperlink r:id="rId8953" ref="I5700"/>
    <hyperlink r:id="rId8954" ref="N5700"/>
    <hyperlink r:id="rId8955" ref="N5701"/>
    <hyperlink r:id="rId8956" ref="I5702"/>
    <hyperlink r:id="rId8957" ref="N5702"/>
    <hyperlink r:id="rId8958" ref="I5703"/>
    <hyperlink r:id="rId8959" ref="N5703"/>
    <hyperlink r:id="rId8960" ref="I5704"/>
    <hyperlink r:id="rId8961" ref="N5704"/>
    <hyperlink r:id="rId8962" ref="I5705"/>
    <hyperlink r:id="rId8963" ref="N5705"/>
    <hyperlink r:id="rId8964" ref="N5706"/>
    <hyperlink r:id="rId8965" ref="N5707"/>
    <hyperlink r:id="rId8966" ref="N5708"/>
    <hyperlink r:id="rId8967" ref="I5709"/>
    <hyperlink r:id="rId8968" ref="N5709"/>
    <hyperlink r:id="rId8969" ref="I5710"/>
    <hyperlink r:id="rId8970" ref="N5710"/>
    <hyperlink r:id="rId8971" ref="N5711"/>
    <hyperlink r:id="rId8972" ref="N5712"/>
    <hyperlink r:id="rId8973" ref="N5713"/>
    <hyperlink r:id="rId8974" ref="I5714"/>
    <hyperlink r:id="rId8975" ref="N5714"/>
    <hyperlink r:id="rId8976" ref="I5715"/>
    <hyperlink r:id="rId8977" ref="N5715"/>
    <hyperlink r:id="rId8978" ref="N5716"/>
    <hyperlink r:id="rId8979" ref="N5717"/>
    <hyperlink r:id="rId8980" ref="N5718"/>
    <hyperlink r:id="rId8981" ref="N5719"/>
    <hyperlink r:id="rId8982" ref="N5720"/>
    <hyperlink r:id="rId8983" ref="N5721"/>
    <hyperlink r:id="rId8984" ref="N5722"/>
    <hyperlink r:id="rId8985" ref="N5723"/>
    <hyperlink r:id="rId8986" ref="N5724"/>
    <hyperlink r:id="rId8987" ref="N5725"/>
    <hyperlink r:id="rId8988" ref="N5726"/>
    <hyperlink r:id="rId8989" ref="N5727"/>
    <hyperlink r:id="rId8990" ref="N5728"/>
    <hyperlink r:id="rId8991" ref="N5729"/>
    <hyperlink r:id="rId8992" ref="N5730"/>
    <hyperlink r:id="rId8993" ref="N5731"/>
    <hyperlink r:id="rId8994" ref="N5732"/>
    <hyperlink r:id="rId8995" ref="N5733"/>
    <hyperlink r:id="rId8996" ref="N5734"/>
    <hyperlink r:id="rId8997" ref="N5735"/>
    <hyperlink r:id="rId8998" ref="N5736"/>
    <hyperlink r:id="rId8999" ref="N5737"/>
    <hyperlink r:id="rId9000" ref="N5738"/>
    <hyperlink r:id="rId9001" ref="N5739"/>
    <hyperlink r:id="rId9002" ref="N5740"/>
    <hyperlink r:id="rId9003" ref="N5741"/>
    <hyperlink r:id="rId9004" ref="N5742"/>
    <hyperlink r:id="rId9005" ref="N5743"/>
    <hyperlink r:id="rId9006" ref="N5744"/>
    <hyperlink r:id="rId9007" ref="N5745"/>
    <hyperlink r:id="rId9008" ref="N5746"/>
    <hyperlink r:id="rId9009" ref="N5747"/>
    <hyperlink r:id="rId9010" ref="N5748"/>
    <hyperlink r:id="rId9011" ref="N5749"/>
    <hyperlink r:id="rId9012" ref="N5750"/>
    <hyperlink r:id="rId9013" ref="N5751"/>
    <hyperlink r:id="rId9014" ref="N5752"/>
    <hyperlink r:id="rId9015" ref="N5753"/>
    <hyperlink r:id="rId9016" ref="N5754"/>
    <hyperlink r:id="rId9017" ref="N5755"/>
    <hyperlink r:id="rId9018" ref="N5756"/>
    <hyperlink r:id="rId9019" ref="N5757"/>
    <hyperlink r:id="rId9020" ref="N5758"/>
    <hyperlink r:id="rId9021" ref="N5759"/>
    <hyperlink r:id="rId9022" ref="N5760"/>
    <hyperlink r:id="rId9023" ref="N5761"/>
    <hyperlink r:id="rId9024" ref="N5762"/>
    <hyperlink r:id="rId9025" ref="N5763"/>
    <hyperlink r:id="rId9026" ref="N5764"/>
    <hyperlink r:id="rId9027" ref="N5765"/>
    <hyperlink r:id="rId9028" ref="N5766"/>
    <hyperlink r:id="rId9029" ref="N5767"/>
    <hyperlink r:id="rId9030" ref="N5768"/>
    <hyperlink r:id="rId9031" ref="I5769"/>
    <hyperlink r:id="rId9032" ref="N5769"/>
    <hyperlink r:id="rId9033" ref="I5770"/>
    <hyperlink r:id="rId9034" ref="N5770"/>
    <hyperlink r:id="rId9035" ref="N5771"/>
    <hyperlink r:id="rId9036" ref="I5772"/>
    <hyperlink r:id="rId9037" ref="N5772"/>
    <hyperlink r:id="rId9038" ref="I5773"/>
    <hyperlink r:id="rId9039" ref="N5773"/>
    <hyperlink r:id="rId9040" ref="I5774"/>
    <hyperlink r:id="rId9041" ref="N5774"/>
    <hyperlink r:id="rId9042" ref="I5775"/>
    <hyperlink r:id="rId9043" ref="N5775"/>
    <hyperlink r:id="rId9044" ref="I5776"/>
    <hyperlink r:id="rId9045" ref="N5776"/>
    <hyperlink r:id="rId9046" ref="I5777"/>
    <hyperlink r:id="rId9047" ref="N5777"/>
    <hyperlink r:id="rId9048" ref="I5778"/>
    <hyperlink r:id="rId9049" ref="N5778"/>
    <hyperlink r:id="rId9050" ref="I5779"/>
    <hyperlink r:id="rId9051" ref="N5779"/>
    <hyperlink r:id="rId9052" ref="I5780"/>
    <hyperlink r:id="rId9053" ref="N5780"/>
    <hyperlink r:id="rId9054" ref="I5781"/>
    <hyperlink r:id="rId9055" ref="N5781"/>
    <hyperlink r:id="rId9056" ref="I5782"/>
    <hyperlink r:id="rId9057" ref="N5782"/>
    <hyperlink r:id="rId9058" ref="I5783"/>
    <hyperlink r:id="rId9059" ref="N5783"/>
    <hyperlink r:id="rId9060" ref="I5784"/>
    <hyperlink r:id="rId9061" ref="N5784"/>
    <hyperlink r:id="rId9062" ref="I5785"/>
    <hyperlink r:id="rId9063" ref="N5785"/>
    <hyperlink r:id="rId9064" ref="N5786"/>
    <hyperlink r:id="rId9065" ref="N5787"/>
    <hyperlink r:id="rId9066" ref="I5788"/>
    <hyperlink r:id="rId9067" ref="N5788"/>
    <hyperlink r:id="rId9068" ref="I5789"/>
    <hyperlink r:id="rId9069" ref="N5789"/>
    <hyperlink r:id="rId9070" ref="I5790"/>
    <hyperlink r:id="rId9071" ref="N5790"/>
    <hyperlink r:id="rId9072" ref="I5791"/>
    <hyperlink r:id="rId9073" ref="N5791"/>
    <hyperlink r:id="rId9074" ref="I5792"/>
    <hyperlink r:id="rId9075" ref="N5792"/>
    <hyperlink r:id="rId9076" ref="I5793"/>
    <hyperlink r:id="rId9077" ref="N5793"/>
    <hyperlink r:id="rId9078" ref="I5794"/>
    <hyperlink r:id="rId9079" ref="N5794"/>
    <hyperlink r:id="rId9080" ref="I5795"/>
    <hyperlink r:id="rId9081" ref="N5795"/>
    <hyperlink r:id="rId9082" ref="I5796"/>
    <hyperlink r:id="rId9083" ref="N5796"/>
    <hyperlink r:id="rId9084" ref="I5797"/>
    <hyperlink r:id="rId9085" ref="N5797"/>
    <hyperlink r:id="rId9086" ref="I5798"/>
    <hyperlink r:id="rId9087" ref="N5798"/>
    <hyperlink r:id="rId9088" ref="I5799"/>
    <hyperlink r:id="rId9089" ref="N5799"/>
    <hyperlink r:id="rId9090" ref="N5800"/>
    <hyperlink r:id="rId9091" ref="I5801"/>
    <hyperlink r:id="rId9092" ref="N5801"/>
    <hyperlink r:id="rId9093" ref="I5802"/>
    <hyperlink r:id="rId9094" ref="N5802"/>
    <hyperlink r:id="rId9095" ref="I5803"/>
    <hyperlink r:id="rId9096" ref="N5803"/>
    <hyperlink r:id="rId9097" ref="I5804"/>
    <hyperlink r:id="rId9098" ref="N5804"/>
    <hyperlink r:id="rId9099" ref="I5805"/>
    <hyperlink r:id="rId9100" ref="N5805"/>
    <hyperlink r:id="rId9101" ref="I5806"/>
    <hyperlink r:id="rId9102" ref="N5806"/>
    <hyperlink r:id="rId9103" ref="I5807"/>
    <hyperlink r:id="rId9104" ref="N5807"/>
    <hyperlink r:id="rId9105" ref="I5808"/>
    <hyperlink r:id="rId9106" ref="N5808"/>
    <hyperlink r:id="rId9107" ref="I5809"/>
    <hyperlink r:id="rId9108" ref="N5809"/>
    <hyperlink r:id="rId9109" ref="I5810"/>
    <hyperlink r:id="rId9110" ref="N5810"/>
    <hyperlink r:id="rId9111" ref="I5811"/>
    <hyperlink r:id="rId9112" ref="N5811"/>
    <hyperlink r:id="rId9113" ref="I5812"/>
    <hyperlink r:id="rId9114" ref="N5812"/>
    <hyperlink r:id="rId9115" ref="N5813"/>
    <hyperlink r:id="rId9116" ref="N5814"/>
    <hyperlink r:id="rId9117" ref="N5815"/>
    <hyperlink r:id="rId9118" ref="I5816"/>
    <hyperlink r:id="rId9119" ref="N5816"/>
    <hyperlink r:id="rId9120" ref="I5817"/>
    <hyperlink r:id="rId9121" ref="N5817"/>
    <hyperlink r:id="rId9122" ref="I5818"/>
    <hyperlink r:id="rId9123" ref="N5818"/>
    <hyperlink r:id="rId9124" ref="I5819"/>
    <hyperlink r:id="rId9125" ref="N5819"/>
    <hyperlink r:id="rId9126" ref="N5820"/>
    <hyperlink r:id="rId9127" ref="N5821"/>
    <hyperlink r:id="rId9128" ref="N5822"/>
    <hyperlink r:id="rId9129" ref="I5823"/>
    <hyperlink r:id="rId9130" ref="N5823"/>
    <hyperlink r:id="rId9131" ref="I5824"/>
    <hyperlink r:id="rId9132" ref="N5824"/>
    <hyperlink r:id="rId9133" ref="I5825"/>
    <hyperlink r:id="rId9134" ref="N5825"/>
    <hyperlink r:id="rId9135" ref="I5826"/>
    <hyperlink r:id="rId9136" ref="N5826"/>
    <hyperlink r:id="rId9137" ref="I5827"/>
    <hyperlink r:id="rId9138" ref="N5827"/>
    <hyperlink r:id="rId9139" ref="I5828"/>
    <hyperlink r:id="rId9140" ref="N5828"/>
    <hyperlink r:id="rId9141" ref="N5829"/>
    <hyperlink r:id="rId9142" ref="N5830"/>
    <hyperlink r:id="rId9143" ref="I5831"/>
    <hyperlink r:id="rId9144" ref="N5831"/>
    <hyperlink r:id="rId9145" ref="I5832"/>
    <hyperlink r:id="rId9146" ref="N5832"/>
    <hyperlink r:id="rId9147" ref="I5833"/>
    <hyperlink r:id="rId9148" ref="N5833"/>
    <hyperlink r:id="rId9149" ref="I5834"/>
    <hyperlink r:id="rId9150" ref="N5834"/>
    <hyperlink r:id="rId9151" ref="N5835"/>
    <hyperlink r:id="rId9152" ref="N5836"/>
    <hyperlink r:id="rId9153" ref="I5837"/>
    <hyperlink r:id="rId9154" ref="N5837"/>
    <hyperlink r:id="rId9155" ref="I5838"/>
    <hyperlink r:id="rId9156" ref="N5838"/>
    <hyperlink r:id="rId9157" ref="I5839"/>
    <hyperlink r:id="rId9158" ref="N5839"/>
    <hyperlink r:id="rId9159" ref="I5840"/>
    <hyperlink r:id="rId9160" ref="N5840"/>
    <hyperlink r:id="rId9161" ref="N5841"/>
    <hyperlink r:id="rId9162" ref="N5842"/>
    <hyperlink r:id="rId9163" ref="N5843"/>
    <hyperlink r:id="rId9164" ref="N5844"/>
    <hyperlink r:id="rId9165" ref="N5845"/>
    <hyperlink r:id="rId9166" ref="N5846"/>
    <hyperlink r:id="rId9167" ref="N5847"/>
    <hyperlink r:id="rId9168" ref="N5848"/>
    <hyperlink r:id="rId9169" ref="I5849"/>
    <hyperlink r:id="rId9170" ref="N5849"/>
    <hyperlink r:id="rId9171" ref="I5850"/>
    <hyperlink r:id="rId9172" ref="N5850"/>
    <hyperlink r:id="rId9173" ref="I5851"/>
    <hyperlink r:id="rId9174" ref="N5851"/>
    <hyperlink r:id="rId9175" ref="I5852"/>
    <hyperlink r:id="rId9176" ref="N5852"/>
    <hyperlink r:id="rId9177" ref="N5853"/>
    <hyperlink r:id="rId9178" ref="N5854"/>
    <hyperlink r:id="rId9179" ref="N5855"/>
    <hyperlink r:id="rId9180" ref="I5856"/>
    <hyperlink r:id="rId9181" ref="N5856"/>
    <hyperlink r:id="rId9182" ref="I5857"/>
    <hyperlink r:id="rId9183" ref="N5857"/>
    <hyperlink r:id="rId9184" ref="I5858"/>
    <hyperlink r:id="rId9185" ref="N5858"/>
    <hyperlink r:id="rId9186" ref="N5859"/>
    <hyperlink r:id="rId9187" ref="I5860"/>
    <hyperlink r:id="rId9188" ref="N5860"/>
    <hyperlink r:id="rId9189" ref="I5861"/>
    <hyperlink r:id="rId9190" ref="N5861"/>
    <hyperlink r:id="rId9191" ref="N5862"/>
    <hyperlink r:id="rId9192" ref="I5863"/>
    <hyperlink r:id="rId9193" ref="N5863"/>
    <hyperlink r:id="rId9194" ref="I5864"/>
    <hyperlink r:id="rId9195" ref="N5864"/>
    <hyperlink r:id="rId9196" ref="N5865"/>
    <hyperlink r:id="rId9197" ref="N5866"/>
    <hyperlink r:id="rId9198" ref="N5867"/>
    <hyperlink r:id="rId9199" ref="N5868"/>
    <hyperlink r:id="rId9200" ref="N5869"/>
    <hyperlink r:id="rId9201" ref="N5870"/>
    <hyperlink r:id="rId9202" ref="I5871"/>
    <hyperlink r:id="rId9203" ref="N5871"/>
    <hyperlink r:id="rId9204" ref="I5872"/>
    <hyperlink r:id="rId9205" ref="N5872"/>
    <hyperlink r:id="rId9206" ref="I5873"/>
    <hyperlink r:id="rId9207" ref="N5873"/>
    <hyperlink r:id="rId9208" ref="I5874"/>
    <hyperlink r:id="rId9209" ref="N5874"/>
    <hyperlink r:id="rId9210" ref="N5875"/>
    <hyperlink r:id="rId9211" ref="N5876"/>
    <hyperlink r:id="rId9212" ref="N5877"/>
    <hyperlink r:id="rId9213" ref="N5878"/>
    <hyperlink r:id="rId9214" ref="N5879"/>
    <hyperlink r:id="rId9215" ref="N5880"/>
    <hyperlink r:id="rId9216" ref="I5881"/>
    <hyperlink r:id="rId9217" ref="N5881"/>
    <hyperlink r:id="rId9218" ref="N5882"/>
    <hyperlink r:id="rId9219" ref="N5883"/>
    <hyperlink r:id="rId9220" ref="N5884"/>
    <hyperlink r:id="rId9221" ref="N5885"/>
    <hyperlink r:id="rId9222" ref="N5886"/>
    <hyperlink r:id="rId9223" ref="N5887"/>
    <hyperlink r:id="rId9224" ref="N5888"/>
    <hyperlink r:id="rId9225" ref="N5889"/>
    <hyperlink r:id="rId9226" ref="N5890"/>
    <hyperlink r:id="rId9227" ref="N5891"/>
    <hyperlink r:id="rId9228" ref="N5892"/>
    <hyperlink r:id="rId9229" ref="N5893"/>
    <hyperlink r:id="rId9230" ref="N5894"/>
    <hyperlink r:id="rId9231" ref="N5895"/>
    <hyperlink r:id="rId9232" ref="N5896"/>
    <hyperlink r:id="rId9233" ref="N5897"/>
    <hyperlink r:id="rId9234" ref="N5898"/>
    <hyperlink r:id="rId9235" ref="N5899"/>
    <hyperlink r:id="rId9236" ref="N5900"/>
    <hyperlink r:id="rId9237" ref="N5901"/>
    <hyperlink r:id="rId9238" ref="N5902"/>
    <hyperlink r:id="rId9239" ref="N5903"/>
    <hyperlink r:id="rId9240" ref="N5904"/>
    <hyperlink r:id="rId9241" ref="N5905"/>
    <hyperlink r:id="rId9242" ref="N5906"/>
    <hyperlink r:id="rId9243" ref="N5907"/>
    <hyperlink r:id="rId9244" ref="N5908"/>
    <hyperlink r:id="rId9245" ref="N5909"/>
    <hyperlink r:id="rId9246" ref="N5910"/>
    <hyperlink r:id="rId9247" ref="N5911"/>
    <hyperlink r:id="rId9248" ref="N5912"/>
    <hyperlink r:id="rId9249" ref="N5913"/>
    <hyperlink r:id="rId9250" ref="N5914"/>
    <hyperlink r:id="rId9251" ref="N5915"/>
    <hyperlink r:id="rId9252" ref="N5916"/>
    <hyperlink r:id="rId9253" ref="N5917"/>
    <hyperlink r:id="rId9254" ref="N5918"/>
    <hyperlink r:id="rId9255" ref="N5919"/>
    <hyperlink r:id="rId9256" ref="N5920"/>
    <hyperlink r:id="rId9257" ref="N5921"/>
    <hyperlink r:id="rId9258" ref="N5922"/>
    <hyperlink r:id="rId9259" ref="N5923"/>
    <hyperlink r:id="rId9260" ref="I5924"/>
    <hyperlink r:id="rId9261" ref="N5924"/>
    <hyperlink r:id="rId9262" ref="I5925"/>
    <hyperlink r:id="rId9263" ref="N5925"/>
    <hyperlink r:id="rId9264" ref="I5926"/>
    <hyperlink r:id="rId9265" ref="N5926"/>
    <hyperlink r:id="rId9266" ref="I5927"/>
    <hyperlink r:id="rId9267" ref="N5927"/>
    <hyperlink r:id="rId9268" ref="I5928"/>
    <hyperlink r:id="rId9269" ref="N5928"/>
    <hyperlink r:id="rId9270" ref="I5929"/>
    <hyperlink r:id="rId9271" ref="N5929"/>
    <hyperlink r:id="rId9272" ref="I5930"/>
    <hyperlink r:id="rId9273" ref="N5930"/>
    <hyperlink r:id="rId9274" ref="I5931"/>
    <hyperlink r:id="rId9275" ref="N5931"/>
    <hyperlink r:id="rId9276" ref="N5932"/>
    <hyperlink r:id="rId9277" ref="N5933"/>
    <hyperlink r:id="rId9278" ref="I5934"/>
    <hyperlink r:id="rId9279" ref="N5934"/>
    <hyperlink r:id="rId9280" ref="I5935"/>
    <hyperlink r:id="rId9281" ref="N5935"/>
    <hyperlink r:id="rId9282" ref="I5936"/>
    <hyperlink r:id="rId9283" ref="N5936"/>
    <hyperlink r:id="rId9284" ref="N5937"/>
    <hyperlink r:id="rId9285" ref="N5938"/>
    <hyperlink r:id="rId9286" ref="N5939"/>
    <hyperlink r:id="rId9287" ref="N5940"/>
    <hyperlink r:id="rId9288" ref="N5941"/>
    <hyperlink r:id="rId9289" ref="I5942"/>
    <hyperlink r:id="rId9290" ref="N5942"/>
    <hyperlink r:id="rId9291" ref="I5943"/>
    <hyperlink r:id="rId9292" ref="N5943"/>
    <hyperlink r:id="rId9293" ref="I5944"/>
    <hyperlink r:id="rId9294" ref="N5944"/>
    <hyperlink r:id="rId9295" ref="I5945"/>
    <hyperlink r:id="rId9296" ref="N5945"/>
    <hyperlink r:id="rId9297" ref="I5946"/>
    <hyperlink r:id="rId9298" ref="N5946"/>
    <hyperlink r:id="rId9299" ref="I5947"/>
    <hyperlink r:id="rId9300" ref="N5947"/>
    <hyperlink r:id="rId9301" ref="I5948"/>
    <hyperlink r:id="rId9302" ref="N5948"/>
    <hyperlink r:id="rId9303" ref="I5949"/>
    <hyperlink r:id="rId9304" ref="N5949"/>
    <hyperlink r:id="rId9305" ref="I5950"/>
    <hyperlink r:id="rId9306" ref="N5950"/>
    <hyperlink r:id="rId9307" ref="N5951"/>
    <hyperlink r:id="rId9308" ref="N5952"/>
    <hyperlink r:id="rId9309" ref="N5953"/>
    <hyperlink r:id="rId9310" ref="N5954"/>
    <hyperlink r:id="rId9311" ref="I5955"/>
    <hyperlink r:id="rId9312" ref="N5955"/>
    <hyperlink r:id="rId9313" ref="I5956"/>
    <hyperlink r:id="rId9314" ref="N5956"/>
    <hyperlink r:id="rId9315" ref="N5957"/>
    <hyperlink r:id="rId9316" ref="N5958"/>
    <hyperlink r:id="rId9317" ref="N5959"/>
    <hyperlink r:id="rId9318" ref="N5960"/>
    <hyperlink r:id="rId9319" ref="I5961"/>
    <hyperlink r:id="rId9320" ref="N5961"/>
    <hyperlink r:id="rId9321" ref="I5962"/>
    <hyperlink r:id="rId9322" ref="N5962"/>
    <hyperlink r:id="rId9323" ref="N5963"/>
    <hyperlink r:id="rId9324" ref="N5964"/>
    <hyperlink r:id="rId9325" ref="N5965"/>
    <hyperlink r:id="rId9326" ref="I5966"/>
    <hyperlink r:id="rId9327" ref="N5966"/>
    <hyperlink r:id="rId9328" ref="I5967"/>
    <hyperlink r:id="rId9329" ref="N5967"/>
    <hyperlink r:id="rId9330" ref="I5968"/>
    <hyperlink r:id="rId9331" ref="N5968"/>
    <hyperlink r:id="rId9332" ref="N5969"/>
    <hyperlink r:id="rId9333" ref="N5970"/>
    <hyperlink r:id="rId9334" ref="N5971"/>
    <hyperlink r:id="rId9335" ref="N5972"/>
    <hyperlink r:id="rId9336" ref="I5973"/>
    <hyperlink r:id="rId9337" ref="N5973"/>
    <hyperlink r:id="rId9338" ref="N5974"/>
    <hyperlink r:id="rId9339" ref="N5975"/>
    <hyperlink r:id="rId9340" ref="I5976"/>
    <hyperlink r:id="rId9341" ref="N5976"/>
    <hyperlink r:id="rId9342" ref="N5977"/>
    <hyperlink r:id="rId9343" ref="N5978"/>
    <hyperlink r:id="rId9344" ref="N5979"/>
    <hyperlink r:id="rId9345" ref="N5980"/>
    <hyperlink r:id="rId9346" ref="N5981"/>
    <hyperlink r:id="rId9347" ref="N5982"/>
    <hyperlink r:id="rId9348" ref="N5983"/>
    <hyperlink r:id="rId9349" ref="N5984"/>
    <hyperlink r:id="rId9350" ref="N5985"/>
    <hyperlink r:id="rId9351" ref="N5986"/>
    <hyperlink r:id="rId9352" ref="N5987"/>
    <hyperlink r:id="rId9353" ref="N5988"/>
    <hyperlink r:id="rId9354" ref="N5989"/>
    <hyperlink r:id="rId9355" ref="N5990"/>
    <hyperlink r:id="rId9356" ref="N5991"/>
    <hyperlink r:id="rId9357" ref="N5992"/>
    <hyperlink r:id="rId9358" ref="N5993"/>
    <hyperlink r:id="rId9359" ref="N5994"/>
    <hyperlink r:id="rId9360" ref="N5995"/>
    <hyperlink r:id="rId9361" ref="N5996"/>
    <hyperlink r:id="rId9362" ref="N5997"/>
    <hyperlink r:id="rId9363" ref="N5998"/>
    <hyperlink r:id="rId9364" ref="N5999"/>
    <hyperlink r:id="rId9365" ref="N6000"/>
    <hyperlink r:id="rId9366" ref="N6001"/>
    <hyperlink r:id="rId9367" ref="N6002"/>
    <hyperlink r:id="rId9368" ref="N6003"/>
    <hyperlink r:id="rId9369" ref="N6004"/>
    <hyperlink r:id="rId9370" ref="N6005"/>
    <hyperlink r:id="rId9371" ref="N6006"/>
    <hyperlink r:id="rId9372" ref="N6007"/>
    <hyperlink r:id="rId9373" ref="N6008"/>
    <hyperlink r:id="rId9374" ref="I6009"/>
    <hyperlink r:id="rId9375" ref="N6009"/>
    <hyperlink r:id="rId9376" ref="I6010"/>
    <hyperlink r:id="rId9377" ref="N6010"/>
    <hyperlink r:id="rId9378" ref="I6011"/>
    <hyperlink r:id="rId9379" ref="N6011"/>
    <hyperlink r:id="rId9380" ref="I6012"/>
    <hyperlink r:id="rId9381" ref="N6012"/>
    <hyperlink r:id="rId9382" ref="I6013"/>
    <hyperlink r:id="rId9383" ref="N6013"/>
    <hyperlink r:id="rId9384" ref="I6014"/>
    <hyperlink r:id="rId9385" ref="N6014"/>
    <hyperlink r:id="rId9386" ref="I6015"/>
    <hyperlink r:id="rId9387" ref="N6015"/>
    <hyperlink r:id="rId9388" ref="I6016"/>
    <hyperlink r:id="rId9389" ref="N6016"/>
    <hyperlink r:id="rId9390" ref="I6017"/>
    <hyperlink r:id="rId9391" ref="N6017"/>
    <hyperlink r:id="rId9392" ref="I6018"/>
    <hyperlink r:id="rId9393" ref="N6018"/>
    <hyperlink r:id="rId9394" ref="I6019"/>
    <hyperlink r:id="rId9395" ref="N6019"/>
    <hyperlink r:id="rId9396" ref="I6020"/>
    <hyperlink r:id="rId9397" ref="N6020"/>
    <hyperlink r:id="rId9398" ref="I6021"/>
    <hyperlink r:id="rId9399" ref="N6021"/>
    <hyperlink r:id="rId9400" ref="I6022"/>
    <hyperlink r:id="rId9401" ref="N6022"/>
    <hyperlink r:id="rId9402" ref="I6023"/>
    <hyperlink r:id="rId9403" ref="N6023"/>
    <hyperlink r:id="rId9404" ref="I6024"/>
    <hyperlink r:id="rId9405" ref="N6024"/>
    <hyperlink r:id="rId9406" ref="I6025"/>
    <hyperlink r:id="rId9407" ref="N6025"/>
    <hyperlink r:id="rId9408" ref="I6026"/>
    <hyperlink r:id="rId9409" ref="N6026"/>
    <hyperlink r:id="rId9410" ref="I6027"/>
    <hyperlink r:id="rId9411" ref="N6027"/>
    <hyperlink r:id="rId9412" ref="I6028"/>
    <hyperlink r:id="rId9413" ref="N6028"/>
    <hyperlink r:id="rId9414" ref="I6029"/>
    <hyperlink r:id="rId9415" ref="N6029"/>
    <hyperlink r:id="rId9416" ref="I6030"/>
    <hyperlink r:id="rId9417" ref="N6030"/>
    <hyperlink r:id="rId9418" ref="I6031"/>
    <hyperlink r:id="rId9419" ref="N6031"/>
    <hyperlink r:id="rId9420" ref="I6032"/>
    <hyperlink r:id="rId9421" ref="N6032"/>
    <hyperlink r:id="rId9422" ref="I6033"/>
    <hyperlink r:id="rId9423" ref="N6033"/>
    <hyperlink r:id="rId9424" ref="I6034"/>
    <hyperlink r:id="rId9425" ref="N6034"/>
    <hyperlink r:id="rId9426" ref="I6035"/>
    <hyperlink r:id="rId9427" ref="N6035"/>
    <hyperlink r:id="rId9428" ref="N6036"/>
    <hyperlink r:id="rId9429" ref="N6037"/>
    <hyperlink r:id="rId9430" ref="N6038"/>
    <hyperlink r:id="rId9431" ref="E6039"/>
    <hyperlink r:id="rId9432" ref="I6039"/>
    <hyperlink r:id="rId9433" ref="N6039"/>
    <hyperlink r:id="rId9434" ref="I6040"/>
    <hyperlink r:id="rId9435" ref="N6040"/>
    <hyperlink r:id="rId9436" ref="I6041"/>
    <hyperlink r:id="rId9437" ref="N6041"/>
    <hyperlink r:id="rId9438" ref="I6042"/>
    <hyperlink r:id="rId9439" ref="N6042"/>
    <hyperlink r:id="rId9440" ref="I6043"/>
    <hyperlink r:id="rId9441" ref="N6043"/>
    <hyperlink r:id="rId9442" ref="I6044"/>
    <hyperlink r:id="rId9443" ref="N6044"/>
    <hyperlink r:id="rId9444" ref="I6045"/>
    <hyperlink r:id="rId9445" ref="N6045"/>
    <hyperlink r:id="rId9446" ref="I6046"/>
    <hyperlink r:id="rId9447" ref="N6046"/>
    <hyperlink r:id="rId9448" ref="I6047"/>
    <hyperlink r:id="rId9449" ref="N6047"/>
    <hyperlink r:id="rId9450" ref="I6048"/>
    <hyperlink r:id="rId9451" ref="N6048"/>
    <hyperlink r:id="rId9452" ref="I6049"/>
    <hyperlink r:id="rId9453" ref="N6049"/>
    <hyperlink r:id="rId9454" ref="N6050"/>
    <hyperlink r:id="rId9455" ref="N6051"/>
    <hyperlink r:id="rId9456" ref="I6052"/>
    <hyperlink r:id="rId9457" ref="N6052"/>
    <hyperlink r:id="rId9458" ref="I6053"/>
    <hyperlink r:id="rId9459" ref="N6053"/>
    <hyperlink r:id="rId9460" ref="N6054"/>
    <hyperlink r:id="rId9461" ref="N6055"/>
    <hyperlink r:id="rId9462" ref="N6056"/>
    <hyperlink r:id="rId9463" ref="N6057"/>
    <hyperlink r:id="rId9464" ref="N6058"/>
    <hyperlink r:id="rId9465" ref="N6059"/>
    <hyperlink r:id="rId9466" ref="N6060"/>
    <hyperlink r:id="rId9467" ref="N6061"/>
    <hyperlink r:id="rId9468" ref="N6062"/>
    <hyperlink r:id="rId9469" ref="N6063"/>
    <hyperlink r:id="rId9470" ref="N6064"/>
    <hyperlink r:id="rId9471" ref="N6065"/>
    <hyperlink r:id="rId9472" ref="N6066"/>
    <hyperlink r:id="rId9473" ref="I6067"/>
    <hyperlink r:id="rId9474" ref="N6067"/>
    <hyperlink r:id="rId9475" ref="I6068"/>
    <hyperlink r:id="rId9476" ref="N6068"/>
    <hyperlink r:id="rId9477" ref="I6069"/>
    <hyperlink r:id="rId9478" ref="N6069"/>
    <hyperlink r:id="rId9479" ref="N6070"/>
    <hyperlink r:id="rId9480" ref="I6071"/>
    <hyperlink r:id="rId9481" ref="N6071"/>
    <hyperlink r:id="rId9482" ref="I6072"/>
    <hyperlink r:id="rId9483" ref="N6072"/>
    <hyperlink r:id="rId9484" ref="I6073"/>
    <hyperlink r:id="rId9485" ref="N6073"/>
    <hyperlink r:id="rId9486" ref="I6074"/>
    <hyperlink r:id="rId9487" ref="N6074"/>
    <hyperlink r:id="rId9488" ref="I6075"/>
    <hyperlink r:id="rId9489" ref="N6075"/>
    <hyperlink r:id="rId9490" ref="I6076"/>
    <hyperlink r:id="rId9491" ref="N6076"/>
    <hyperlink r:id="rId9492" ref="N6077"/>
    <hyperlink r:id="rId9493" ref="N6078"/>
    <hyperlink r:id="rId9494" ref="N6079"/>
    <hyperlink r:id="rId9495" ref="I6080"/>
    <hyperlink r:id="rId9496" ref="N6080"/>
    <hyperlink r:id="rId9497" ref="I6081"/>
    <hyperlink r:id="rId9498" ref="N6081"/>
    <hyperlink r:id="rId9499" ref="I6082"/>
    <hyperlink r:id="rId9500" ref="N6082"/>
    <hyperlink r:id="rId9501" ref="N6083"/>
    <hyperlink r:id="rId9502" ref="I6084"/>
    <hyperlink r:id="rId9503" ref="N6084"/>
    <hyperlink r:id="rId9504" ref="I6085"/>
    <hyperlink r:id="rId9505" ref="N6085"/>
    <hyperlink r:id="rId9506" ref="N6086"/>
    <hyperlink r:id="rId9507" ref="N6087"/>
    <hyperlink r:id="rId9508" ref="N6088"/>
    <hyperlink r:id="rId9509" ref="N6089"/>
    <hyperlink r:id="rId9510" ref="N6090"/>
    <hyperlink r:id="rId9511" ref="N6091"/>
    <hyperlink r:id="rId9512" ref="N6092"/>
    <hyperlink r:id="rId9513" ref="N6093"/>
    <hyperlink r:id="rId9514" ref="N6094"/>
    <hyperlink r:id="rId9515" ref="I6095"/>
    <hyperlink r:id="rId9516" ref="N6095"/>
    <hyperlink r:id="rId9517" ref="I6096"/>
    <hyperlink r:id="rId9518" ref="N6096"/>
    <hyperlink r:id="rId9519" ref="I6097"/>
    <hyperlink r:id="rId9520" ref="N6097"/>
    <hyperlink r:id="rId9521" ref="I6098"/>
    <hyperlink r:id="rId9522" ref="N6098"/>
    <hyperlink r:id="rId9523" ref="I6099"/>
    <hyperlink r:id="rId9524" ref="N6099"/>
    <hyperlink r:id="rId9525" ref="I6100"/>
    <hyperlink r:id="rId9526" ref="N6100"/>
    <hyperlink r:id="rId9527" ref="N6101"/>
    <hyperlink r:id="rId9528" ref="N6102"/>
    <hyperlink r:id="rId9529" ref="N6103"/>
    <hyperlink r:id="rId9530" ref="N6104"/>
    <hyperlink r:id="rId9531" ref="N6105"/>
    <hyperlink r:id="rId9532" ref="N6106"/>
    <hyperlink r:id="rId9533" ref="N6107"/>
    <hyperlink r:id="rId9534" ref="I6108"/>
    <hyperlink r:id="rId9535" ref="N6108"/>
    <hyperlink r:id="rId9536" ref="I6109"/>
    <hyperlink r:id="rId9537" ref="N6109"/>
    <hyperlink r:id="rId9538" ref="N6110"/>
    <hyperlink r:id="rId9539" ref="N6111"/>
    <hyperlink r:id="rId9540" ref="N6112"/>
    <hyperlink r:id="rId9541" ref="N6113"/>
    <hyperlink r:id="rId9542" ref="N6114"/>
    <hyperlink r:id="rId9543" ref="N6115"/>
    <hyperlink r:id="rId9544" ref="N6116"/>
    <hyperlink r:id="rId9545" ref="I6117"/>
    <hyperlink r:id="rId9546" ref="N6117"/>
    <hyperlink r:id="rId9547" ref="N6118"/>
    <hyperlink r:id="rId9548" ref="N6119"/>
    <hyperlink r:id="rId9549" ref="N6120"/>
    <hyperlink r:id="rId9550" ref="N6121"/>
    <hyperlink r:id="rId9551" ref="I6122"/>
    <hyperlink r:id="rId9552" ref="N6122"/>
    <hyperlink r:id="rId9553" ref="N6123"/>
    <hyperlink r:id="rId9554" ref="N6124"/>
    <hyperlink r:id="rId9555" ref="N6125"/>
    <hyperlink r:id="rId9556" ref="N6126"/>
    <hyperlink r:id="rId9557" ref="N6127"/>
    <hyperlink r:id="rId9558" ref="N6128"/>
    <hyperlink r:id="rId9559" ref="N6129"/>
    <hyperlink r:id="rId9560" ref="N6130"/>
    <hyperlink r:id="rId9561" ref="N6131"/>
    <hyperlink r:id="rId9562" ref="N6132"/>
    <hyperlink r:id="rId9563" ref="N6133"/>
    <hyperlink r:id="rId9564" ref="N6134"/>
    <hyperlink r:id="rId9565" ref="N6135"/>
    <hyperlink r:id="rId9566" ref="N6136"/>
    <hyperlink r:id="rId9567" ref="N6137"/>
    <hyperlink r:id="rId9568" ref="I6138"/>
    <hyperlink r:id="rId9569" ref="N6138"/>
    <hyperlink r:id="rId9570" ref="I6139"/>
    <hyperlink r:id="rId9571" ref="N6139"/>
    <hyperlink r:id="rId9572" ref="I6140"/>
    <hyperlink r:id="rId9573" ref="N6140"/>
    <hyperlink r:id="rId9574" ref="I6141"/>
    <hyperlink r:id="rId9575" ref="N6141"/>
    <hyperlink r:id="rId9576" ref="I6142"/>
    <hyperlink r:id="rId9577" ref="N6142"/>
    <hyperlink r:id="rId9578" ref="I6143"/>
    <hyperlink r:id="rId9579" ref="N6143"/>
    <hyperlink r:id="rId9580" ref="N6144"/>
    <hyperlink r:id="rId9581" ref="N6145"/>
    <hyperlink r:id="rId9582" ref="I6146"/>
    <hyperlink r:id="rId9583" ref="N6146"/>
    <hyperlink r:id="rId9584" ref="N6147"/>
    <hyperlink r:id="rId9585" ref="I6148"/>
    <hyperlink r:id="rId9586" ref="N6148"/>
    <hyperlink r:id="rId9587" ref="I6149"/>
    <hyperlink r:id="rId9588" ref="N6149"/>
    <hyperlink r:id="rId9589" ref="I6150"/>
    <hyperlink r:id="rId9590" ref="N6150"/>
    <hyperlink r:id="rId9591" ref="I6151"/>
    <hyperlink r:id="rId9592" ref="N6151"/>
    <hyperlink r:id="rId9593" ref="N6152"/>
    <hyperlink r:id="rId9594" ref="N6153"/>
    <hyperlink r:id="rId9595" ref="N6154"/>
    <hyperlink r:id="rId9596" ref="I6155"/>
    <hyperlink r:id="rId9597" ref="N6155"/>
    <hyperlink r:id="rId9598" ref="I6156"/>
    <hyperlink r:id="rId9599" ref="N6156"/>
    <hyperlink r:id="rId9600" ref="I6157"/>
    <hyperlink r:id="rId9601" ref="N6157"/>
    <hyperlink r:id="rId9602" ref="I6158"/>
    <hyperlink r:id="rId9603" ref="N6158"/>
    <hyperlink r:id="rId9604" ref="I6159"/>
    <hyperlink r:id="rId9605" ref="N6159"/>
    <hyperlink r:id="rId9606" ref="I6160"/>
    <hyperlink r:id="rId9607" ref="N6160"/>
    <hyperlink r:id="rId9608" ref="N6161"/>
    <hyperlink r:id="rId9609" ref="N6162"/>
    <hyperlink r:id="rId9610" ref="N6163"/>
    <hyperlink r:id="rId9611" ref="N6164"/>
    <hyperlink r:id="rId9612" ref="I6165"/>
    <hyperlink r:id="rId9613" ref="N6165"/>
    <hyperlink r:id="rId9614" ref="I6166"/>
    <hyperlink r:id="rId9615" ref="N6166"/>
    <hyperlink r:id="rId9616" ref="N6167"/>
    <hyperlink r:id="rId9617" ref="N6168"/>
    <hyperlink r:id="rId9618" ref="N6169"/>
    <hyperlink r:id="rId9619" ref="N6170"/>
    <hyperlink r:id="rId9620" ref="I6171"/>
    <hyperlink r:id="rId9621" ref="N6171"/>
    <hyperlink r:id="rId9622" ref="I6172"/>
    <hyperlink r:id="rId9623" ref="N6172"/>
    <hyperlink r:id="rId9624" ref="I6173"/>
    <hyperlink r:id="rId9625" ref="N6173"/>
    <hyperlink r:id="rId9626" ref="I6174"/>
    <hyperlink r:id="rId9627" ref="N6174"/>
    <hyperlink r:id="rId9628" ref="I6175"/>
    <hyperlink r:id="rId9629" ref="N6175"/>
    <hyperlink r:id="rId9630" ref="I6176"/>
    <hyperlink r:id="rId9631" ref="N6176"/>
    <hyperlink r:id="rId9632" ref="I6177"/>
    <hyperlink r:id="rId9633" ref="N6177"/>
    <hyperlink r:id="rId9634" ref="N6178"/>
    <hyperlink r:id="rId9635" ref="N6179"/>
    <hyperlink r:id="rId9636" ref="N6180"/>
    <hyperlink r:id="rId9637" ref="N6181"/>
    <hyperlink r:id="rId9638" ref="N6182"/>
    <hyperlink r:id="rId9639" ref="N6183"/>
    <hyperlink r:id="rId9640" ref="N6184"/>
    <hyperlink r:id="rId9641" ref="N6185"/>
    <hyperlink r:id="rId9642" ref="N6186"/>
    <hyperlink r:id="rId9643" ref="N6187"/>
    <hyperlink r:id="rId9644" ref="N6188"/>
    <hyperlink r:id="rId9645" ref="N6189"/>
    <hyperlink r:id="rId9646" ref="N6190"/>
    <hyperlink r:id="rId9647" ref="N6191"/>
    <hyperlink r:id="rId9648" ref="N6192"/>
    <hyperlink r:id="rId9649" ref="N6193"/>
    <hyperlink r:id="rId9650" ref="N6194"/>
    <hyperlink r:id="rId9651" ref="N6195"/>
    <hyperlink r:id="rId9652" ref="N6196"/>
    <hyperlink r:id="rId9653" ref="N6197"/>
    <hyperlink r:id="rId9654" ref="N6198"/>
    <hyperlink r:id="rId9655" ref="N6199"/>
    <hyperlink r:id="rId9656" ref="N6200"/>
    <hyperlink r:id="rId9657" ref="N6201"/>
    <hyperlink r:id="rId9658" ref="N6202"/>
    <hyperlink r:id="rId9659" ref="N6203"/>
    <hyperlink r:id="rId9660" ref="N6204"/>
    <hyperlink r:id="rId9661" ref="N6205"/>
    <hyperlink r:id="rId9662" ref="I6206"/>
    <hyperlink r:id="rId9663" ref="N6206"/>
    <hyperlink r:id="rId9664" ref="I6207"/>
    <hyperlink r:id="rId9665" ref="N6207"/>
    <hyperlink r:id="rId9666" ref="N6208"/>
    <hyperlink r:id="rId9667" ref="N6209"/>
    <hyperlink r:id="rId9668" ref="I6210"/>
    <hyperlink r:id="rId9669" ref="N6210"/>
    <hyperlink r:id="rId9670" ref="N6211"/>
    <hyperlink r:id="rId9671" ref="N6212"/>
    <hyperlink r:id="rId9672" ref="I6213"/>
    <hyperlink r:id="rId9673" ref="N6213"/>
    <hyperlink r:id="rId9674" ref="I6214"/>
    <hyperlink r:id="rId9675" ref="N6214"/>
    <hyperlink r:id="rId9676" ref="N6215"/>
    <hyperlink r:id="rId9677" ref="N6216"/>
    <hyperlink r:id="rId9678" ref="I6217"/>
    <hyperlink r:id="rId9679" ref="N6217"/>
    <hyperlink r:id="rId9680" ref="I6218"/>
    <hyperlink r:id="rId9681" ref="N6218"/>
    <hyperlink r:id="rId9682" ref="I6219"/>
    <hyperlink r:id="rId9683" ref="N6219"/>
    <hyperlink r:id="rId9684" ref="I6220"/>
    <hyperlink r:id="rId9685" ref="N6220"/>
    <hyperlink r:id="rId9686" ref="N6221"/>
    <hyperlink r:id="rId9687" ref="I6222"/>
    <hyperlink r:id="rId9688" ref="N6222"/>
    <hyperlink r:id="rId9689" ref="I6223"/>
    <hyperlink r:id="rId9690" ref="N6223"/>
    <hyperlink r:id="rId9691" ref="N6224"/>
    <hyperlink r:id="rId9692" ref="N6225"/>
    <hyperlink r:id="rId9693" ref="N6226"/>
    <hyperlink r:id="rId9694" ref="N6227"/>
    <hyperlink r:id="rId9695" ref="N6228"/>
    <hyperlink r:id="rId9696" ref="I6229"/>
    <hyperlink r:id="rId9697" ref="N6229"/>
    <hyperlink r:id="rId9698" ref="N6230"/>
    <hyperlink r:id="rId9699" ref="I6231"/>
    <hyperlink r:id="rId9700" ref="N6231"/>
    <hyperlink r:id="rId9701" ref="I6232"/>
    <hyperlink r:id="rId9702" ref="N6232"/>
    <hyperlink r:id="rId9703" ref="N6233"/>
    <hyperlink r:id="rId9704" ref="N6234"/>
    <hyperlink r:id="rId9705" ref="N6235"/>
    <hyperlink r:id="rId9706" ref="N6236"/>
    <hyperlink r:id="rId9707" ref="N6237"/>
    <hyperlink r:id="rId9708" ref="N6238"/>
    <hyperlink r:id="rId9709" ref="N6239"/>
    <hyperlink r:id="rId9710" ref="N6240"/>
    <hyperlink r:id="rId9711" ref="N6241"/>
    <hyperlink r:id="rId9712" ref="N6242"/>
    <hyperlink r:id="rId9713" ref="N6243"/>
    <hyperlink r:id="rId9714" ref="N6244"/>
    <hyperlink r:id="rId9715" ref="N6245"/>
    <hyperlink r:id="rId9716" ref="N6246"/>
    <hyperlink r:id="rId9717" ref="N6247"/>
    <hyperlink r:id="rId9718" ref="N6248"/>
    <hyperlink r:id="rId9719" ref="N6249"/>
    <hyperlink r:id="rId9720" ref="N6250"/>
    <hyperlink r:id="rId9721" ref="N6251"/>
    <hyperlink r:id="rId9722" ref="N6252"/>
    <hyperlink r:id="rId9723" ref="N6253"/>
    <hyperlink r:id="rId9724" ref="N6254"/>
    <hyperlink r:id="rId9725" ref="N6255"/>
    <hyperlink r:id="rId9726" ref="N6256"/>
    <hyperlink r:id="rId9727" ref="N6257"/>
    <hyperlink r:id="rId9728" ref="N6258"/>
    <hyperlink r:id="rId9729" ref="N6259"/>
    <hyperlink r:id="rId9730" ref="N6260"/>
    <hyperlink r:id="rId9731" ref="I6261"/>
    <hyperlink r:id="rId9732" ref="N6261"/>
    <hyperlink r:id="rId9733" ref="I6262"/>
    <hyperlink r:id="rId9734" ref="N6262"/>
    <hyperlink r:id="rId9735" ref="N6263"/>
    <hyperlink r:id="rId9736" ref="N6264"/>
    <hyperlink r:id="rId9737" ref="N6265"/>
    <hyperlink r:id="rId9738" ref="N6266"/>
    <hyperlink r:id="rId9739" ref="N6267"/>
    <hyperlink r:id="rId9740" ref="N6268"/>
    <hyperlink r:id="rId9741" ref="N6269"/>
    <hyperlink r:id="rId9742" ref="N6270"/>
    <hyperlink r:id="rId9743" ref="I6271"/>
    <hyperlink r:id="rId9744" ref="N6271"/>
    <hyperlink r:id="rId9745" ref="I6272"/>
    <hyperlink r:id="rId9746" ref="N6272"/>
    <hyperlink r:id="rId9747" ref="I6273"/>
    <hyperlink r:id="rId9748" ref="N6273"/>
    <hyperlink r:id="rId9749" ref="N6274"/>
    <hyperlink r:id="rId9750" ref="N6275"/>
    <hyperlink r:id="rId9751" ref="N6276"/>
    <hyperlink r:id="rId9752" ref="N6277"/>
    <hyperlink r:id="rId9753" ref="N6278"/>
    <hyperlink r:id="rId9754" ref="N6279"/>
    <hyperlink r:id="rId9755" ref="N6280"/>
    <hyperlink r:id="rId9756" ref="N6281"/>
    <hyperlink r:id="rId9757" ref="N6282"/>
    <hyperlink r:id="rId9758" ref="I6283"/>
    <hyperlink r:id="rId9759" ref="N6283"/>
    <hyperlink r:id="rId9760" ref="N6284"/>
    <hyperlink r:id="rId9761" ref="N6285"/>
    <hyperlink r:id="rId9762" ref="N6286"/>
    <hyperlink r:id="rId9763" ref="N6287"/>
    <hyperlink r:id="rId9764" ref="N6288"/>
    <hyperlink r:id="rId9765" ref="N6289"/>
    <hyperlink r:id="rId9766" ref="N6290"/>
    <hyperlink r:id="rId9767" ref="N6291"/>
    <hyperlink r:id="rId9768" ref="N6292"/>
    <hyperlink r:id="rId9769" ref="N6293"/>
    <hyperlink r:id="rId9770" ref="N6294"/>
    <hyperlink r:id="rId9771" ref="N6295"/>
    <hyperlink r:id="rId9772" ref="N6296"/>
    <hyperlink r:id="rId9773" ref="N6297"/>
    <hyperlink r:id="rId9774" ref="N6298"/>
    <hyperlink r:id="rId9775" ref="N6299"/>
    <hyperlink r:id="rId9776" ref="N6300"/>
    <hyperlink r:id="rId9777" ref="N6301"/>
    <hyperlink r:id="rId9778" ref="N6302"/>
    <hyperlink r:id="rId9779" ref="N6303"/>
    <hyperlink r:id="rId9780" ref="N6304"/>
    <hyperlink r:id="rId9781" ref="N6305"/>
    <hyperlink r:id="rId9782" ref="N6306"/>
    <hyperlink r:id="rId9783" ref="N6307"/>
    <hyperlink r:id="rId9784" ref="N6308"/>
    <hyperlink r:id="rId9785" ref="N6309"/>
    <hyperlink r:id="rId9786" ref="N6310"/>
    <hyperlink r:id="rId9787" ref="N6311"/>
    <hyperlink r:id="rId9788" ref="N6312"/>
    <hyperlink r:id="rId9789" ref="N6313"/>
    <hyperlink r:id="rId9790" ref="N6314"/>
    <hyperlink r:id="rId9791" ref="N6315"/>
    <hyperlink r:id="rId9792" ref="N6316"/>
    <hyperlink r:id="rId9793" ref="N6317"/>
    <hyperlink r:id="rId9794" ref="N6318"/>
    <hyperlink r:id="rId9795" ref="N6319"/>
    <hyperlink r:id="rId9796" ref="N6320"/>
    <hyperlink r:id="rId9797" ref="N6321"/>
    <hyperlink r:id="rId9798" ref="N6322"/>
    <hyperlink r:id="rId9799" ref="N6323"/>
    <hyperlink r:id="rId9800" ref="N6324"/>
    <hyperlink r:id="rId9801" ref="N6325"/>
    <hyperlink r:id="rId9802" ref="N6326"/>
    <hyperlink r:id="rId9803" ref="N6327"/>
    <hyperlink r:id="rId9804" ref="N6328"/>
    <hyperlink r:id="rId9805" ref="N6329"/>
    <hyperlink r:id="rId9806" ref="N6330"/>
    <hyperlink r:id="rId9807" ref="N6331"/>
    <hyperlink r:id="rId9808" ref="N6332"/>
    <hyperlink r:id="rId9809" ref="N6333"/>
    <hyperlink r:id="rId9810" ref="N6334"/>
    <hyperlink r:id="rId9811" ref="N6335"/>
    <hyperlink r:id="rId9812" ref="N6336"/>
    <hyperlink r:id="rId9813" ref="N6337"/>
    <hyperlink r:id="rId9814" ref="N6338"/>
    <hyperlink r:id="rId9815" ref="N6339"/>
    <hyperlink r:id="rId9816" ref="N6340"/>
    <hyperlink r:id="rId9817" ref="N6341"/>
    <hyperlink r:id="rId9818" ref="N6342"/>
    <hyperlink r:id="rId9819" ref="N6343"/>
    <hyperlink r:id="rId9820" ref="N6344"/>
    <hyperlink r:id="rId9821" ref="N6345"/>
    <hyperlink r:id="rId9822" ref="N6346"/>
    <hyperlink r:id="rId9823" ref="N6347"/>
    <hyperlink r:id="rId9824" ref="N6348"/>
    <hyperlink r:id="rId9825" ref="N6349"/>
    <hyperlink r:id="rId9826" ref="N6350"/>
    <hyperlink r:id="rId9827" ref="N6351"/>
    <hyperlink r:id="rId9828" ref="N6352"/>
    <hyperlink r:id="rId9829" ref="N6353"/>
    <hyperlink r:id="rId9830" ref="N6354"/>
    <hyperlink r:id="rId9831" ref="N6355"/>
    <hyperlink r:id="rId9832" ref="N6356"/>
    <hyperlink r:id="rId9833" ref="N6357"/>
    <hyperlink r:id="rId9834" ref="N6358"/>
    <hyperlink r:id="rId9835" ref="N6359"/>
    <hyperlink r:id="rId9836" ref="N6360"/>
    <hyperlink r:id="rId9837" ref="N6361"/>
    <hyperlink r:id="rId9838" ref="N6362"/>
    <hyperlink r:id="rId9839" ref="N6363"/>
    <hyperlink r:id="rId9840" ref="N6364"/>
    <hyperlink r:id="rId9841" ref="N6365"/>
    <hyperlink r:id="rId9842" ref="N6366"/>
    <hyperlink r:id="rId9843" ref="N6367"/>
    <hyperlink r:id="rId9844" ref="N6368"/>
    <hyperlink r:id="rId9845" ref="N6369"/>
    <hyperlink r:id="rId9846" ref="N6370"/>
    <hyperlink r:id="rId9847" ref="N6371"/>
    <hyperlink r:id="rId9848" ref="N6372"/>
    <hyperlink r:id="rId9849" ref="N6373"/>
    <hyperlink r:id="rId9850" ref="N6374"/>
    <hyperlink r:id="rId9851" ref="N6375"/>
    <hyperlink r:id="rId9852" ref="N6376"/>
    <hyperlink r:id="rId9853" ref="N6377"/>
    <hyperlink r:id="rId9854" ref="N6378"/>
    <hyperlink r:id="rId9855" ref="N6379"/>
    <hyperlink r:id="rId9856" ref="N6380"/>
    <hyperlink r:id="rId9857" ref="E6381"/>
    <hyperlink r:id="rId9858" ref="N6381"/>
    <hyperlink r:id="rId9859" ref="N6382"/>
    <hyperlink r:id="rId9860" ref="N6383"/>
    <hyperlink r:id="rId9861" ref="N6384"/>
    <hyperlink r:id="rId9862" ref="N6385"/>
    <hyperlink r:id="rId9863" ref="N6386"/>
    <hyperlink r:id="rId9864" ref="N6387"/>
    <hyperlink r:id="rId9865" ref="N6388"/>
    <hyperlink r:id="rId9866" ref="N6389"/>
    <hyperlink r:id="rId9867" ref="N6390"/>
    <hyperlink r:id="rId9868" ref="N6391"/>
    <hyperlink r:id="rId9869" ref="N6392"/>
    <hyperlink r:id="rId9870" ref="N6393"/>
    <hyperlink r:id="rId9871" ref="N6394"/>
    <hyperlink r:id="rId9872" ref="N6395"/>
    <hyperlink r:id="rId9873" ref="N6396"/>
    <hyperlink r:id="rId9874" ref="N6397"/>
    <hyperlink r:id="rId9875" ref="N6398"/>
    <hyperlink r:id="rId9876" ref="N6399"/>
    <hyperlink r:id="rId9877" ref="N6400"/>
    <hyperlink r:id="rId9878" ref="N6401"/>
    <hyperlink r:id="rId9879" ref="N6402"/>
    <hyperlink r:id="rId9880" ref="N6403"/>
    <hyperlink r:id="rId9881" ref="N6404"/>
    <hyperlink r:id="rId9882" ref="N6405"/>
    <hyperlink r:id="rId9883" ref="N6406"/>
    <hyperlink r:id="rId9884" ref="N6407"/>
    <hyperlink r:id="rId9885" ref="N6408"/>
    <hyperlink r:id="rId9886" ref="N6409"/>
    <hyperlink r:id="rId9887" ref="N6410"/>
    <hyperlink r:id="rId9888" ref="N6411"/>
    <hyperlink r:id="rId9889" ref="N6412"/>
    <hyperlink r:id="rId9890" ref="N6413"/>
    <hyperlink r:id="rId9891" ref="N6414"/>
    <hyperlink r:id="rId9892" ref="N6415"/>
    <hyperlink r:id="rId9893" ref="N6416"/>
    <hyperlink r:id="rId9894" ref="N6417"/>
    <hyperlink r:id="rId9895" ref="N6418"/>
    <hyperlink r:id="rId9896" ref="N6419"/>
    <hyperlink r:id="rId9897" ref="N6420"/>
    <hyperlink r:id="rId9898" ref="N6421"/>
    <hyperlink r:id="rId9899" ref="N6422"/>
    <hyperlink r:id="rId9900" ref="N6423"/>
    <hyperlink r:id="rId9901" ref="N6424"/>
    <hyperlink r:id="rId9902" ref="N6425"/>
    <hyperlink r:id="rId9903" ref="N6426"/>
    <hyperlink r:id="rId9904" ref="N6427"/>
    <hyperlink r:id="rId9905" ref="N6428"/>
    <hyperlink r:id="rId9906" ref="N6429"/>
    <hyperlink r:id="rId9907" ref="N6430"/>
    <hyperlink r:id="rId9908" ref="N6431"/>
    <hyperlink r:id="rId9909" ref="N6432"/>
    <hyperlink r:id="rId9910" ref="N6433"/>
    <hyperlink r:id="rId9911" ref="N6434"/>
    <hyperlink r:id="rId9912" ref="N6435"/>
    <hyperlink r:id="rId9913" ref="N6436"/>
    <hyperlink r:id="rId9914" ref="N6437"/>
    <hyperlink r:id="rId9915" ref="N6438"/>
    <hyperlink r:id="rId9916" ref="N6439"/>
    <hyperlink r:id="rId9917" ref="E6440"/>
    <hyperlink r:id="rId9918" ref="N6440"/>
    <hyperlink r:id="rId9919" ref="N6441"/>
    <hyperlink r:id="rId9920" ref="N6442"/>
    <hyperlink r:id="rId9921" ref="N6443"/>
    <hyperlink r:id="rId9922" ref="N6444"/>
    <hyperlink r:id="rId9923" ref="N6445"/>
    <hyperlink r:id="rId9924" ref="N6446"/>
    <hyperlink r:id="rId9925" ref="N6447"/>
    <hyperlink r:id="rId9926" ref="I6448"/>
    <hyperlink r:id="rId9927" ref="N6448"/>
    <hyperlink r:id="rId9928" ref="N6449"/>
    <hyperlink r:id="rId9929" ref="N6450"/>
    <hyperlink r:id="rId9930" ref="N6451"/>
    <hyperlink r:id="rId9931" ref="N6452"/>
    <hyperlink r:id="rId9932" ref="N6453"/>
    <hyperlink r:id="rId9933" ref="N6454"/>
    <hyperlink r:id="rId9934" ref="N6455"/>
    <hyperlink r:id="rId9935" ref="N6456"/>
    <hyperlink r:id="rId9936" ref="I6457"/>
    <hyperlink r:id="rId9937" ref="N6457"/>
    <hyperlink r:id="rId9938" ref="N6458"/>
    <hyperlink r:id="rId9939" ref="N6459"/>
    <hyperlink r:id="rId9940" ref="N6460"/>
    <hyperlink r:id="rId9941" ref="N6461"/>
    <hyperlink r:id="rId9942" ref="N6462"/>
    <hyperlink r:id="rId9943" ref="N6463"/>
    <hyperlink r:id="rId9944" ref="N6464"/>
    <hyperlink r:id="rId9945" ref="N6465"/>
    <hyperlink r:id="rId9946" ref="N6466"/>
    <hyperlink r:id="rId9947" ref="N6467"/>
    <hyperlink r:id="rId9948" ref="N6468"/>
    <hyperlink r:id="rId9949" ref="N6469"/>
    <hyperlink r:id="rId9950" ref="N6470"/>
    <hyperlink r:id="rId9951" ref="N6471"/>
    <hyperlink r:id="rId9952" ref="N6472"/>
    <hyperlink r:id="rId9953" ref="N6473"/>
    <hyperlink r:id="rId9954" ref="N6474"/>
    <hyperlink r:id="rId9955" ref="N6475"/>
    <hyperlink r:id="rId9956" ref="N6476"/>
    <hyperlink r:id="rId9957" ref="N6477"/>
    <hyperlink r:id="rId9958" ref="N6478"/>
    <hyperlink r:id="rId9959" ref="N6479"/>
    <hyperlink r:id="rId9960" ref="N6480"/>
    <hyperlink r:id="rId9961" ref="N6481"/>
    <hyperlink r:id="rId9962" ref="N6482"/>
    <hyperlink r:id="rId9963" ref="N6483"/>
    <hyperlink r:id="rId9964" ref="N6484"/>
    <hyperlink r:id="rId9965" ref="N6485"/>
    <hyperlink r:id="rId9966" ref="N6486"/>
    <hyperlink r:id="rId9967" ref="N6487"/>
    <hyperlink r:id="rId9968" ref="N6488"/>
    <hyperlink r:id="rId9969" ref="N6489"/>
    <hyperlink r:id="rId9970" ref="N6490"/>
    <hyperlink r:id="rId9971" ref="N6491"/>
    <hyperlink r:id="rId9972" ref="N6492"/>
    <hyperlink r:id="rId9973" ref="N6493"/>
    <hyperlink r:id="rId9974" ref="N6494"/>
    <hyperlink r:id="rId9975" ref="N6495"/>
    <hyperlink r:id="rId9976" ref="N6496"/>
    <hyperlink r:id="rId9977" ref="N6497"/>
    <hyperlink r:id="rId9978" ref="N6498"/>
    <hyperlink r:id="rId9979" ref="N6499"/>
    <hyperlink r:id="rId9980" ref="N6500"/>
    <hyperlink r:id="rId9981" ref="N6501"/>
    <hyperlink r:id="rId9982" ref="N6502"/>
    <hyperlink r:id="rId9983" ref="N6503"/>
    <hyperlink r:id="rId9984" ref="N6504"/>
    <hyperlink r:id="rId9985" ref="N6505"/>
    <hyperlink r:id="rId9986" ref="N6506"/>
    <hyperlink r:id="rId9987" ref="N6507"/>
    <hyperlink r:id="rId9988" ref="N6508"/>
    <hyperlink r:id="rId9989" ref="N6509"/>
    <hyperlink r:id="rId9990" ref="N6510"/>
    <hyperlink r:id="rId9991" ref="N6511"/>
    <hyperlink r:id="rId9992" ref="N6512"/>
    <hyperlink r:id="rId9993" ref="N6513"/>
    <hyperlink r:id="rId9994" ref="N6514"/>
    <hyperlink r:id="rId9995" ref="N6515"/>
    <hyperlink r:id="rId9996" ref="N6516"/>
    <hyperlink r:id="rId9997" ref="N6517"/>
    <hyperlink r:id="rId9998" ref="N6518"/>
    <hyperlink r:id="rId9999" ref="N6519"/>
    <hyperlink r:id="rId10000" ref="N6520"/>
    <hyperlink r:id="rId10001" ref="N6521"/>
    <hyperlink r:id="rId10002" ref="N6522"/>
    <hyperlink r:id="rId10003" ref="N6523"/>
    <hyperlink r:id="rId10004" ref="N6524"/>
    <hyperlink r:id="rId10005" ref="N6525"/>
    <hyperlink r:id="rId10006" ref="N6526"/>
    <hyperlink r:id="rId10007" ref="N6527"/>
    <hyperlink r:id="rId10008" ref="N6528"/>
    <hyperlink r:id="rId10009" ref="N6529"/>
    <hyperlink r:id="rId10010" ref="N6530"/>
    <hyperlink r:id="rId10011" ref="N6531"/>
    <hyperlink r:id="rId10012" ref="N6532"/>
    <hyperlink r:id="rId10013" ref="N6533"/>
    <hyperlink r:id="rId10014" ref="N6534"/>
    <hyperlink r:id="rId10015" ref="N6535"/>
    <hyperlink r:id="rId10016" ref="N6536"/>
    <hyperlink r:id="rId10017" ref="N6537"/>
    <hyperlink r:id="rId10018" ref="N6538"/>
    <hyperlink r:id="rId10019" ref="N6539"/>
    <hyperlink r:id="rId10020" ref="N6540"/>
    <hyperlink r:id="rId10021" ref="N6541"/>
    <hyperlink r:id="rId10022" ref="N6542"/>
    <hyperlink r:id="rId10023" ref="N6543"/>
    <hyperlink r:id="rId10024" ref="N6544"/>
    <hyperlink r:id="rId10025" ref="N6545"/>
    <hyperlink r:id="rId10026" ref="N6546"/>
    <hyperlink r:id="rId10027" ref="N6547"/>
    <hyperlink r:id="rId10028" ref="N6548"/>
    <hyperlink r:id="rId10029" ref="N6549"/>
    <hyperlink r:id="rId10030" ref="N6550"/>
    <hyperlink r:id="rId10031" ref="N6551"/>
    <hyperlink r:id="rId10032" ref="N6552"/>
    <hyperlink r:id="rId10033" ref="N6553"/>
    <hyperlink r:id="rId10034" ref="N6554"/>
    <hyperlink r:id="rId10035" ref="N6555"/>
    <hyperlink r:id="rId10036" ref="N6556"/>
    <hyperlink r:id="rId10037" ref="N6557"/>
    <hyperlink r:id="rId10038" ref="N6558"/>
    <hyperlink r:id="rId10039" ref="N6559"/>
    <hyperlink r:id="rId10040" ref="N6560"/>
    <hyperlink r:id="rId10041" ref="N6561"/>
    <hyperlink r:id="rId10042" ref="N6562"/>
    <hyperlink r:id="rId10043" ref="N6563"/>
    <hyperlink r:id="rId10044" ref="N6564"/>
    <hyperlink r:id="rId10045" ref="N6565"/>
    <hyperlink r:id="rId10046" ref="N6566"/>
    <hyperlink r:id="rId10047" ref="N6567"/>
    <hyperlink r:id="rId10048" ref="N6568"/>
    <hyperlink r:id="rId10049" ref="N6569"/>
    <hyperlink r:id="rId10050" ref="N6570"/>
    <hyperlink r:id="rId10051" ref="N6571"/>
    <hyperlink r:id="rId10052" ref="N6572"/>
    <hyperlink r:id="rId10053" ref="N6573"/>
    <hyperlink r:id="rId10054" ref="N6574"/>
    <hyperlink r:id="rId10055" ref="N6575"/>
    <hyperlink r:id="rId10056" ref="N6576"/>
    <hyperlink r:id="rId10057" ref="N6577"/>
    <hyperlink r:id="rId10058" ref="N6578"/>
    <hyperlink r:id="rId10059" ref="N6579"/>
    <hyperlink r:id="rId10060" ref="N6580"/>
    <hyperlink r:id="rId10061" ref="N6581"/>
    <hyperlink r:id="rId10062" ref="N6582"/>
    <hyperlink r:id="rId10063" ref="N6583"/>
    <hyperlink r:id="rId10064" ref="N6584"/>
    <hyperlink r:id="rId10065" ref="N6585"/>
    <hyperlink r:id="rId10066" ref="N6586"/>
    <hyperlink r:id="rId10067" ref="N6587"/>
    <hyperlink r:id="rId10068" ref="N6588"/>
    <hyperlink r:id="rId10069" ref="N6589"/>
    <hyperlink r:id="rId10070" ref="N6590"/>
    <hyperlink r:id="rId10071" ref="N6591"/>
    <hyperlink r:id="rId10072" ref="N6592"/>
    <hyperlink r:id="rId10073" ref="N6593"/>
    <hyperlink r:id="rId10074" ref="N6594"/>
    <hyperlink r:id="rId10075" ref="N6595"/>
    <hyperlink r:id="rId10076" ref="N6596"/>
    <hyperlink r:id="rId10077" ref="N6597"/>
    <hyperlink r:id="rId10078" ref="N6598"/>
    <hyperlink r:id="rId10079" ref="N6599"/>
    <hyperlink r:id="rId10080" ref="N6600"/>
    <hyperlink r:id="rId10081" ref="N6601"/>
    <hyperlink r:id="rId10082" ref="N6602"/>
    <hyperlink r:id="rId10083" ref="N6603"/>
    <hyperlink r:id="rId10084" ref="N6604"/>
    <hyperlink r:id="rId10085" ref="N6605"/>
    <hyperlink r:id="rId10086" ref="N6606"/>
    <hyperlink r:id="rId10087" ref="N6607"/>
    <hyperlink r:id="rId10088" ref="N6608"/>
    <hyperlink r:id="rId10089" ref="N6609"/>
    <hyperlink r:id="rId10090" ref="N6610"/>
    <hyperlink r:id="rId10091" ref="N6611"/>
    <hyperlink r:id="rId10092" ref="N6612"/>
    <hyperlink r:id="rId10093" ref="N6613"/>
    <hyperlink r:id="rId10094" ref="N6614"/>
    <hyperlink r:id="rId10095" ref="N6615"/>
    <hyperlink r:id="rId10096" ref="N6616"/>
    <hyperlink r:id="rId10097" ref="N6617"/>
    <hyperlink r:id="rId10098" ref="N6618"/>
    <hyperlink r:id="rId10099" ref="N6619"/>
    <hyperlink r:id="rId10100" ref="N6620"/>
    <hyperlink r:id="rId10101" ref="N6621"/>
    <hyperlink r:id="rId10102" ref="N6622"/>
    <hyperlink r:id="rId10103" ref="N6623"/>
    <hyperlink r:id="rId10104" ref="N6624"/>
    <hyperlink r:id="rId10105" ref="N6625"/>
    <hyperlink r:id="rId10106" ref="N6626"/>
    <hyperlink r:id="rId10107" ref="N6627"/>
    <hyperlink r:id="rId10108" ref="N6628"/>
    <hyperlink r:id="rId10109" ref="N6629"/>
    <hyperlink r:id="rId10110" ref="N6630"/>
    <hyperlink r:id="rId10111" ref="N6631"/>
    <hyperlink r:id="rId10112" ref="N6632"/>
    <hyperlink r:id="rId10113" ref="N6633"/>
    <hyperlink r:id="rId10114" ref="N6634"/>
    <hyperlink r:id="rId10115" ref="N6635"/>
    <hyperlink r:id="rId10116" ref="N6636"/>
    <hyperlink r:id="rId10117" ref="N6637"/>
    <hyperlink r:id="rId10118" ref="N6638"/>
    <hyperlink r:id="rId10119" ref="N6639"/>
    <hyperlink r:id="rId10120" ref="N6640"/>
    <hyperlink r:id="rId10121" ref="N6641"/>
    <hyperlink r:id="rId10122" ref="N6642"/>
    <hyperlink r:id="rId10123" ref="N6643"/>
    <hyperlink r:id="rId10124" ref="N6644"/>
    <hyperlink r:id="rId10125" ref="N6645"/>
    <hyperlink r:id="rId10126" ref="N6646"/>
    <hyperlink r:id="rId10127" ref="N6647"/>
    <hyperlink r:id="rId10128" ref="N6648"/>
    <hyperlink r:id="rId10129" ref="N6649"/>
    <hyperlink r:id="rId10130" ref="N6650"/>
    <hyperlink r:id="rId10131" ref="N6651"/>
    <hyperlink r:id="rId10132" ref="N6652"/>
    <hyperlink r:id="rId10133" ref="N6653"/>
    <hyperlink r:id="rId10134" ref="N6654"/>
    <hyperlink r:id="rId10135" ref="N6655"/>
    <hyperlink r:id="rId10136" ref="N6656"/>
    <hyperlink r:id="rId10137" ref="N6657"/>
    <hyperlink r:id="rId10138" ref="N6658"/>
    <hyperlink r:id="rId10139" ref="N6659"/>
    <hyperlink r:id="rId10140" ref="N6660"/>
    <hyperlink r:id="rId10141" ref="N6661"/>
    <hyperlink r:id="rId10142" ref="N6662"/>
    <hyperlink r:id="rId10143" ref="N6663"/>
    <hyperlink r:id="rId10144" ref="N6664"/>
    <hyperlink r:id="rId10145" ref="N6665"/>
    <hyperlink r:id="rId10146" ref="N6666"/>
    <hyperlink r:id="rId10147" ref="N6667"/>
    <hyperlink r:id="rId10148" ref="N6668"/>
    <hyperlink r:id="rId10149" ref="N6669"/>
    <hyperlink r:id="rId10150" ref="N6670"/>
    <hyperlink r:id="rId10151" ref="N6671"/>
    <hyperlink r:id="rId10152" ref="N6672"/>
    <hyperlink r:id="rId10153" ref="N6673"/>
    <hyperlink r:id="rId10154" ref="N6674"/>
    <hyperlink r:id="rId10155" ref="N6675"/>
    <hyperlink r:id="rId10156" ref="N6676"/>
    <hyperlink r:id="rId10157" ref="N6677"/>
    <hyperlink r:id="rId10158" ref="N6678"/>
    <hyperlink r:id="rId10159" ref="N6679"/>
    <hyperlink r:id="rId10160" ref="N6680"/>
    <hyperlink r:id="rId10161" ref="N6681"/>
    <hyperlink r:id="rId10162" ref="N6682"/>
    <hyperlink r:id="rId10163" ref="N6683"/>
    <hyperlink r:id="rId10164" ref="N6684"/>
    <hyperlink r:id="rId10165" ref="N6685"/>
    <hyperlink r:id="rId10166" ref="N6686"/>
    <hyperlink r:id="rId10167" ref="N6687"/>
    <hyperlink r:id="rId10168" ref="N6688"/>
    <hyperlink r:id="rId10169" ref="N6689"/>
    <hyperlink r:id="rId10170" ref="N6690"/>
    <hyperlink r:id="rId10171" ref="N6691"/>
    <hyperlink r:id="rId10172" ref="N6692"/>
    <hyperlink r:id="rId10173" ref="N6693"/>
    <hyperlink r:id="rId10174" ref="N6694"/>
    <hyperlink r:id="rId10175" ref="N6695"/>
    <hyperlink r:id="rId10176" ref="N6696"/>
    <hyperlink r:id="rId10177" ref="N6697"/>
    <hyperlink r:id="rId10178" ref="N6698"/>
    <hyperlink r:id="rId10179" ref="N6699"/>
    <hyperlink r:id="rId10180" ref="N6700"/>
    <hyperlink r:id="rId10181" ref="N6701"/>
    <hyperlink r:id="rId10182" ref="N6702"/>
    <hyperlink r:id="rId10183" ref="N6703"/>
    <hyperlink r:id="rId10184" ref="N6704"/>
    <hyperlink r:id="rId10185" ref="N6705"/>
    <hyperlink r:id="rId10186" ref="N6706"/>
    <hyperlink r:id="rId10187" ref="N6707"/>
    <hyperlink r:id="rId10188" ref="N6708"/>
    <hyperlink r:id="rId10189" ref="N6709"/>
    <hyperlink r:id="rId10190" ref="N6710"/>
    <hyperlink r:id="rId10191" ref="N6711"/>
    <hyperlink r:id="rId10192" ref="N6712"/>
    <hyperlink r:id="rId10193" ref="N6713"/>
    <hyperlink r:id="rId10194" ref="N6714"/>
    <hyperlink r:id="rId10195" ref="N6715"/>
    <hyperlink r:id="rId10196" ref="N6716"/>
    <hyperlink r:id="rId10197" ref="N6717"/>
    <hyperlink r:id="rId10198" ref="N6718"/>
    <hyperlink r:id="rId10199" ref="N6719"/>
    <hyperlink r:id="rId10200" ref="N6720"/>
    <hyperlink r:id="rId10201" ref="N6721"/>
    <hyperlink r:id="rId10202" ref="N6722"/>
    <hyperlink r:id="rId10203" ref="N6723"/>
    <hyperlink r:id="rId10204" ref="N6724"/>
    <hyperlink r:id="rId10205" ref="N6725"/>
    <hyperlink r:id="rId10206" ref="N6726"/>
    <hyperlink r:id="rId10207" ref="N6727"/>
    <hyperlink r:id="rId10208" ref="N6728"/>
    <hyperlink r:id="rId10209" ref="N6729"/>
    <hyperlink r:id="rId10210" ref="N6730"/>
    <hyperlink r:id="rId10211" ref="N6731"/>
    <hyperlink r:id="rId10212" ref="N6732"/>
    <hyperlink r:id="rId10213" ref="N6733"/>
    <hyperlink r:id="rId10214" ref="N6734"/>
    <hyperlink r:id="rId10215" ref="N6735"/>
    <hyperlink r:id="rId10216" ref="N6736"/>
    <hyperlink r:id="rId10217" ref="N6737"/>
    <hyperlink r:id="rId10218" ref="N6738"/>
    <hyperlink r:id="rId10219" ref="N6739"/>
    <hyperlink r:id="rId10220" ref="N6740"/>
    <hyperlink r:id="rId10221" ref="N6741"/>
    <hyperlink r:id="rId10222" ref="N6742"/>
    <hyperlink r:id="rId10223" ref="N6743"/>
    <hyperlink r:id="rId10224" ref="N6744"/>
    <hyperlink r:id="rId10225" ref="N6745"/>
    <hyperlink r:id="rId10226" ref="N6746"/>
    <hyperlink r:id="rId10227" ref="N6747"/>
    <hyperlink r:id="rId10228" ref="N6748"/>
    <hyperlink r:id="rId10229" ref="N6749"/>
    <hyperlink r:id="rId10230" ref="N6750"/>
    <hyperlink r:id="rId10231" ref="N6751"/>
    <hyperlink r:id="rId10232" ref="N6752"/>
    <hyperlink r:id="rId10233" ref="N6753"/>
    <hyperlink r:id="rId10234" ref="N6754"/>
    <hyperlink r:id="rId10235" ref="N6755"/>
    <hyperlink r:id="rId10236" ref="N6756"/>
    <hyperlink r:id="rId10237" ref="N6757"/>
    <hyperlink r:id="rId10238" ref="N6758"/>
    <hyperlink r:id="rId10239" ref="N6759"/>
    <hyperlink r:id="rId10240" ref="N6760"/>
    <hyperlink r:id="rId10241" ref="N6761"/>
    <hyperlink r:id="rId10242" ref="N6762"/>
    <hyperlink r:id="rId10243" ref="N6763"/>
    <hyperlink r:id="rId10244" ref="N6764"/>
    <hyperlink r:id="rId10245" ref="N6765"/>
    <hyperlink r:id="rId10246" ref="N6766"/>
    <hyperlink r:id="rId10247" ref="N6767"/>
    <hyperlink r:id="rId10248" ref="N6768"/>
    <hyperlink r:id="rId10249" ref="N6769"/>
    <hyperlink r:id="rId10250" ref="N6770"/>
    <hyperlink r:id="rId10251" ref="N6771"/>
    <hyperlink r:id="rId10252" ref="N6772"/>
    <hyperlink r:id="rId10253" ref="N6773"/>
    <hyperlink r:id="rId10254" ref="N6774"/>
    <hyperlink r:id="rId10255" ref="N6775"/>
    <hyperlink r:id="rId10256" ref="N6776"/>
    <hyperlink r:id="rId10257" ref="N6777"/>
    <hyperlink r:id="rId10258" ref="N6778"/>
    <hyperlink r:id="rId10259" ref="N6779"/>
    <hyperlink r:id="rId10260" ref="N6780"/>
    <hyperlink r:id="rId10261" ref="N6781"/>
    <hyperlink r:id="rId10262" ref="N6782"/>
    <hyperlink r:id="rId10263" ref="N6783"/>
    <hyperlink r:id="rId10264" ref="N6784"/>
    <hyperlink r:id="rId10265" ref="N6785"/>
    <hyperlink r:id="rId10266" ref="N6786"/>
    <hyperlink r:id="rId10267" ref="N6787"/>
    <hyperlink r:id="rId10268" ref="N6788"/>
    <hyperlink r:id="rId10269" ref="N6789"/>
    <hyperlink r:id="rId10270" ref="N6790"/>
    <hyperlink r:id="rId10271" ref="N6791"/>
    <hyperlink r:id="rId10272" ref="N6792"/>
    <hyperlink r:id="rId10273" ref="N6793"/>
    <hyperlink r:id="rId10274" ref="N6794"/>
    <hyperlink r:id="rId10275" ref="N6795"/>
    <hyperlink r:id="rId10276" ref="N6796"/>
    <hyperlink r:id="rId10277" ref="N6797"/>
    <hyperlink r:id="rId10278" ref="N6798"/>
    <hyperlink r:id="rId10279" ref="N6799"/>
    <hyperlink r:id="rId10280" ref="N6800"/>
    <hyperlink r:id="rId10281" ref="N6801"/>
    <hyperlink r:id="rId10282" ref="N6802"/>
    <hyperlink r:id="rId10283" ref="N6803"/>
    <hyperlink r:id="rId10284" ref="N6804"/>
    <hyperlink r:id="rId10285" ref="N6805"/>
    <hyperlink r:id="rId10286" ref="N6806"/>
    <hyperlink r:id="rId10287" ref="N6807"/>
    <hyperlink r:id="rId10288" ref="N6808"/>
    <hyperlink r:id="rId10289" ref="N6809"/>
    <hyperlink r:id="rId10290" ref="N6810"/>
    <hyperlink r:id="rId10291" ref="N6811"/>
    <hyperlink r:id="rId10292" ref="N6812"/>
    <hyperlink r:id="rId10293" ref="N6813"/>
    <hyperlink r:id="rId10294" ref="N6814"/>
    <hyperlink r:id="rId10295" ref="N6815"/>
    <hyperlink r:id="rId10296" ref="N6816"/>
    <hyperlink r:id="rId10297" ref="N6817"/>
    <hyperlink r:id="rId10298" ref="N6818"/>
    <hyperlink r:id="rId10299" ref="N6819"/>
    <hyperlink r:id="rId10300" ref="N6820"/>
    <hyperlink r:id="rId10301" ref="N6821"/>
    <hyperlink r:id="rId10302" ref="N6822"/>
    <hyperlink r:id="rId10303" ref="N6823"/>
    <hyperlink r:id="rId10304" ref="N6824"/>
    <hyperlink r:id="rId10305" ref="N6825"/>
    <hyperlink r:id="rId10306" ref="N6826"/>
    <hyperlink r:id="rId10307" ref="N6827"/>
    <hyperlink r:id="rId10308" ref="N6828"/>
    <hyperlink r:id="rId10309" ref="N6829"/>
    <hyperlink r:id="rId10310" ref="N6830"/>
    <hyperlink r:id="rId10311" ref="N6831"/>
    <hyperlink r:id="rId10312" ref="N6832"/>
    <hyperlink r:id="rId10313" ref="N6833"/>
    <hyperlink r:id="rId10314" ref="N6834"/>
    <hyperlink r:id="rId10315" ref="N6835"/>
    <hyperlink r:id="rId10316" ref="N6836"/>
    <hyperlink r:id="rId10317" ref="N6837"/>
    <hyperlink r:id="rId10318" ref="N6838"/>
    <hyperlink r:id="rId10319" ref="N6839"/>
    <hyperlink r:id="rId10320" ref="N6840"/>
    <hyperlink r:id="rId10321" ref="N6841"/>
    <hyperlink r:id="rId10322" ref="N6842"/>
    <hyperlink r:id="rId10323" ref="N6843"/>
    <hyperlink r:id="rId10324" ref="N6844"/>
    <hyperlink r:id="rId10325" ref="N6845"/>
    <hyperlink r:id="rId10326" ref="N6846"/>
    <hyperlink r:id="rId10327" ref="N6847"/>
    <hyperlink r:id="rId10328" ref="N6848"/>
    <hyperlink r:id="rId10329" ref="N6849"/>
    <hyperlink r:id="rId10330" ref="N6850"/>
    <hyperlink r:id="rId10331" ref="N6851"/>
    <hyperlink r:id="rId10332" ref="N6852"/>
    <hyperlink r:id="rId10333" ref="N6853"/>
    <hyperlink r:id="rId10334" ref="N6854"/>
    <hyperlink r:id="rId10335" ref="N6855"/>
    <hyperlink r:id="rId10336" ref="N6856"/>
    <hyperlink r:id="rId10337" ref="N6857"/>
    <hyperlink r:id="rId10338" ref="N6858"/>
    <hyperlink r:id="rId10339" ref="N6859"/>
    <hyperlink r:id="rId10340" ref="N6860"/>
    <hyperlink r:id="rId10341" ref="N6861"/>
    <hyperlink r:id="rId10342" ref="N6862"/>
    <hyperlink r:id="rId10343" ref="N6863"/>
    <hyperlink r:id="rId10344" ref="N6864"/>
    <hyperlink r:id="rId10345" ref="N6865"/>
    <hyperlink r:id="rId10346" ref="N6866"/>
    <hyperlink r:id="rId10347" ref="N6867"/>
    <hyperlink r:id="rId10348" ref="N6868"/>
    <hyperlink r:id="rId10349" ref="N6869"/>
    <hyperlink r:id="rId10350" ref="N6870"/>
    <hyperlink r:id="rId10351" ref="N6871"/>
    <hyperlink r:id="rId10352" ref="N6872"/>
    <hyperlink r:id="rId10353" ref="N6873"/>
    <hyperlink r:id="rId10354" ref="N6874"/>
    <hyperlink r:id="rId10355" ref="N6875"/>
    <hyperlink r:id="rId10356" ref="N6876"/>
    <hyperlink r:id="rId10357" ref="N6877"/>
    <hyperlink r:id="rId10358" ref="N6878"/>
    <hyperlink r:id="rId10359" ref="N6879"/>
    <hyperlink r:id="rId10360" ref="N6880"/>
    <hyperlink r:id="rId10361" ref="N6881"/>
    <hyperlink r:id="rId10362" ref="N6882"/>
    <hyperlink r:id="rId10363" ref="N6883"/>
    <hyperlink r:id="rId10364" ref="N6884"/>
    <hyperlink r:id="rId10365" ref="N6885"/>
    <hyperlink r:id="rId10366" ref="N6886"/>
    <hyperlink r:id="rId10367" ref="N6887"/>
    <hyperlink r:id="rId10368" ref="N6888"/>
    <hyperlink r:id="rId10369" ref="N6889"/>
    <hyperlink r:id="rId10370" ref="N6890"/>
    <hyperlink r:id="rId10371" ref="N6891"/>
    <hyperlink r:id="rId10372" ref="N6892"/>
    <hyperlink r:id="rId10373" ref="N6893"/>
    <hyperlink r:id="rId10374" ref="E6894"/>
    <hyperlink r:id="rId10375" ref="N6894"/>
    <hyperlink r:id="rId10376" ref="N6895"/>
    <hyperlink r:id="rId10377" ref="N6896"/>
    <hyperlink r:id="rId10378" ref="N6897"/>
    <hyperlink r:id="rId10379" ref="N6898"/>
    <hyperlink r:id="rId10380" ref="N6899"/>
    <hyperlink r:id="rId10381" ref="N6900"/>
    <hyperlink r:id="rId10382" ref="N6901"/>
    <hyperlink r:id="rId10383" ref="N6902"/>
    <hyperlink r:id="rId10384" ref="N6903"/>
    <hyperlink r:id="rId10385" ref="N6904"/>
    <hyperlink r:id="rId10386" ref="N6905"/>
    <hyperlink r:id="rId10387" ref="N6906"/>
    <hyperlink r:id="rId10388" ref="N6907"/>
    <hyperlink r:id="rId10389" ref="N6908"/>
    <hyperlink r:id="rId10390" ref="N6909"/>
    <hyperlink r:id="rId10391" ref="N6910"/>
    <hyperlink r:id="rId10392" ref="N6911"/>
    <hyperlink r:id="rId10393" ref="N6912"/>
    <hyperlink r:id="rId10394" ref="N6913"/>
    <hyperlink r:id="rId10395" ref="N6914"/>
    <hyperlink r:id="rId10396" ref="N6915"/>
    <hyperlink r:id="rId10397" ref="N6916"/>
    <hyperlink r:id="rId10398" ref="N6917"/>
    <hyperlink r:id="rId10399" ref="N6918"/>
    <hyperlink r:id="rId10400" ref="N6919"/>
    <hyperlink r:id="rId10401" ref="N6920"/>
    <hyperlink r:id="rId10402" ref="N6921"/>
    <hyperlink r:id="rId10403" ref="N6922"/>
    <hyperlink r:id="rId10404" ref="N6923"/>
    <hyperlink r:id="rId10405" ref="N6924"/>
    <hyperlink r:id="rId10406" ref="N6925"/>
    <hyperlink r:id="rId10407" ref="N6926"/>
    <hyperlink r:id="rId10408" ref="N6927"/>
    <hyperlink r:id="rId10409" ref="N6928"/>
    <hyperlink r:id="rId10410" ref="N6929"/>
    <hyperlink r:id="rId10411" ref="N6930"/>
    <hyperlink r:id="rId10412" ref="N6931"/>
    <hyperlink r:id="rId10413" ref="N6932"/>
    <hyperlink r:id="rId10414" ref="N6933"/>
    <hyperlink r:id="rId10415" ref="N6934"/>
    <hyperlink r:id="rId10416" ref="N6935"/>
    <hyperlink r:id="rId10417" ref="N6936"/>
    <hyperlink r:id="rId10418" ref="N6937"/>
    <hyperlink r:id="rId10419" ref="N6938"/>
    <hyperlink r:id="rId10420" ref="N6939"/>
    <hyperlink r:id="rId10421" ref="N6940"/>
    <hyperlink r:id="rId10422" ref="N6941"/>
    <hyperlink r:id="rId10423" ref="N6942"/>
    <hyperlink r:id="rId10424" ref="N6943"/>
    <hyperlink r:id="rId10425" ref="N6944"/>
    <hyperlink r:id="rId10426" ref="N6945"/>
    <hyperlink r:id="rId10427" ref="N6946"/>
    <hyperlink r:id="rId10428" ref="N6947"/>
    <hyperlink r:id="rId10429" ref="N6948"/>
    <hyperlink r:id="rId10430" ref="N6949"/>
    <hyperlink r:id="rId10431" ref="N6950"/>
    <hyperlink r:id="rId10432" ref="N6951"/>
    <hyperlink r:id="rId10433" ref="N6952"/>
    <hyperlink r:id="rId10434" ref="N6953"/>
    <hyperlink r:id="rId10435" ref="N6954"/>
    <hyperlink r:id="rId10436" ref="N6955"/>
    <hyperlink r:id="rId10437" ref="N6956"/>
    <hyperlink r:id="rId10438" ref="N6957"/>
    <hyperlink r:id="rId10439" ref="N6958"/>
    <hyperlink r:id="rId10440" ref="N6959"/>
    <hyperlink r:id="rId10441" ref="N6960"/>
    <hyperlink r:id="rId10442" ref="N6961"/>
    <hyperlink r:id="rId10443" ref="N6962"/>
    <hyperlink r:id="rId10444" ref="N6963"/>
    <hyperlink r:id="rId10445" ref="N6964"/>
    <hyperlink r:id="rId10446" ref="N6965"/>
    <hyperlink r:id="rId10447" ref="N6966"/>
    <hyperlink r:id="rId10448" ref="N6967"/>
    <hyperlink r:id="rId10449" ref="N6968"/>
    <hyperlink r:id="rId10450" ref="N6969"/>
    <hyperlink r:id="rId10451" ref="N6970"/>
    <hyperlink r:id="rId10452" ref="N6971"/>
    <hyperlink r:id="rId10453" ref="N6972"/>
    <hyperlink r:id="rId10454" ref="N6973"/>
    <hyperlink r:id="rId10455" ref="N6974"/>
    <hyperlink r:id="rId10456" ref="N6975"/>
    <hyperlink r:id="rId10457" ref="N6976"/>
    <hyperlink r:id="rId10458" ref="N6977"/>
    <hyperlink r:id="rId10459" ref="N6978"/>
    <hyperlink r:id="rId10460" ref="N6979"/>
    <hyperlink r:id="rId10461" ref="N6980"/>
    <hyperlink r:id="rId10462" ref="N6981"/>
    <hyperlink r:id="rId10463" ref="N6982"/>
    <hyperlink r:id="rId10464" ref="N6983"/>
    <hyperlink r:id="rId10465" ref="N6984"/>
    <hyperlink r:id="rId10466" ref="N6985"/>
    <hyperlink r:id="rId10467" ref="N6986"/>
    <hyperlink r:id="rId10468" ref="N6987"/>
    <hyperlink r:id="rId10469" ref="N6988"/>
    <hyperlink r:id="rId10470" ref="N6989"/>
    <hyperlink r:id="rId10471" ref="N6990"/>
    <hyperlink r:id="rId10472" ref="N6991"/>
    <hyperlink r:id="rId10473" ref="N6992"/>
    <hyperlink r:id="rId10474" ref="N6993"/>
    <hyperlink r:id="rId10475" ref="N6994"/>
    <hyperlink r:id="rId10476" ref="N6995"/>
    <hyperlink r:id="rId10477" ref="N6996"/>
    <hyperlink r:id="rId10478" ref="N6997"/>
    <hyperlink r:id="rId10479" ref="N6998"/>
    <hyperlink r:id="rId10480" ref="N6999"/>
    <hyperlink r:id="rId10481" ref="N7000"/>
    <hyperlink r:id="rId10482" ref="N7001"/>
    <hyperlink r:id="rId10483" ref="N7002"/>
    <hyperlink r:id="rId10484" ref="N7003"/>
    <hyperlink r:id="rId10485" ref="N7004"/>
    <hyperlink r:id="rId10486" ref="N7005"/>
    <hyperlink r:id="rId10487" ref="N7006"/>
    <hyperlink r:id="rId10488" ref="N7007"/>
    <hyperlink r:id="rId10489" ref="N7008"/>
    <hyperlink r:id="rId10490" ref="N7009"/>
    <hyperlink r:id="rId10491" ref="N7010"/>
    <hyperlink r:id="rId10492" ref="N7011"/>
    <hyperlink r:id="rId10493" ref="N7012"/>
    <hyperlink r:id="rId10494" ref="N7013"/>
    <hyperlink r:id="rId10495" ref="N7014"/>
    <hyperlink r:id="rId10496" ref="N7015"/>
    <hyperlink r:id="rId10497" ref="N7016"/>
    <hyperlink r:id="rId10498" ref="N7017"/>
    <hyperlink r:id="rId10499" ref="N7018"/>
    <hyperlink r:id="rId10500" ref="N7019"/>
    <hyperlink r:id="rId10501" ref="N7020"/>
    <hyperlink r:id="rId10502" ref="N7021"/>
    <hyperlink r:id="rId10503" ref="N7022"/>
    <hyperlink r:id="rId10504" ref="N7023"/>
    <hyperlink r:id="rId10505" ref="N7024"/>
    <hyperlink r:id="rId10506" ref="N7025"/>
    <hyperlink r:id="rId10507" ref="N7026"/>
    <hyperlink r:id="rId10508" ref="N7027"/>
    <hyperlink r:id="rId10509" ref="N7028"/>
    <hyperlink r:id="rId10510" ref="N7029"/>
    <hyperlink r:id="rId10511" ref="N7030"/>
    <hyperlink r:id="rId10512" ref="N7031"/>
    <hyperlink r:id="rId10513" ref="N7032"/>
    <hyperlink r:id="rId10514" ref="N7033"/>
    <hyperlink r:id="rId10515" ref="N7034"/>
    <hyperlink r:id="rId10516" ref="N7035"/>
    <hyperlink r:id="rId10517" ref="N7036"/>
    <hyperlink r:id="rId10518" ref="N7037"/>
    <hyperlink r:id="rId10519" ref="N7038"/>
    <hyperlink r:id="rId10520" ref="N7039"/>
    <hyperlink r:id="rId10521" ref="N7040"/>
    <hyperlink r:id="rId10522" ref="N7041"/>
    <hyperlink r:id="rId10523" ref="N7042"/>
    <hyperlink r:id="rId10524" ref="N7043"/>
    <hyperlink r:id="rId10525" ref="N7044"/>
    <hyperlink r:id="rId10526" ref="N7045"/>
    <hyperlink r:id="rId10527" ref="N7046"/>
    <hyperlink r:id="rId10528" ref="N7047"/>
    <hyperlink r:id="rId10529" ref="N7048"/>
    <hyperlink r:id="rId10530" ref="N7049"/>
    <hyperlink r:id="rId10531" ref="N7050"/>
    <hyperlink r:id="rId10532" ref="N7051"/>
    <hyperlink r:id="rId10533" ref="N7052"/>
    <hyperlink r:id="rId10534" ref="N7053"/>
    <hyperlink r:id="rId10535" ref="N7054"/>
    <hyperlink r:id="rId10536" ref="N7055"/>
    <hyperlink r:id="rId10537" ref="N7056"/>
    <hyperlink r:id="rId10538" ref="N7057"/>
    <hyperlink r:id="rId10539" ref="N7058"/>
    <hyperlink r:id="rId10540" ref="N7059"/>
    <hyperlink r:id="rId10541" ref="N7060"/>
    <hyperlink r:id="rId10542" ref="N7061"/>
    <hyperlink r:id="rId10543" ref="N7062"/>
    <hyperlink r:id="rId10544" ref="N7063"/>
    <hyperlink r:id="rId10545" ref="N7064"/>
    <hyperlink r:id="rId10546" ref="N7065"/>
    <hyperlink r:id="rId10547" ref="N7066"/>
    <hyperlink r:id="rId10548" ref="N7067"/>
    <hyperlink r:id="rId10549" ref="N7068"/>
    <hyperlink r:id="rId10550" ref="N7069"/>
    <hyperlink r:id="rId10551" ref="N7070"/>
    <hyperlink r:id="rId10552" ref="N7071"/>
    <hyperlink r:id="rId10553" ref="N7072"/>
    <hyperlink r:id="rId10554" ref="N7073"/>
    <hyperlink r:id="rId10555" ref="N7074"/>
    <hyperlink r:id="rId10556" ref="N7075"/>
    <hyperlink r:id="rId10557" ref="N7076"/>
    <hyperlink r:id="rId10558" ref="N7077"/>
    <hyperlink r:id="rId10559" ref="N7078"/>
    <hyperlink r:id="rId10560" ref="N7079"/>
    <hyperlink r:id="rId10561" ref="N7080"/>
    <hyperlink r:id="rId10562" ref="N7081"/>
    <hyperlink r:id="rId10563" ref="N7082"/>
    <hyperlink r:id="rId10564" ref="N7083"/>
    <hyperlink r:id="rId10565" ref="N7084"/>
    <hyperlink r:id="rId10566" ref="N7085"/>
    <hyperlink r:id="rId10567" ref="N7086"/>
    <hyperlink r:id="rId10568" ref="N7087"/>
    <hyperlink r:id="rId10569" ref="N7088"/>
    <hyperlink r:id="rId10570" ref="N7089"/>
    <hyperlink r:id="rId10571" ref="N7090"/>
    <hyperlink r:id="rId10572" ref="N7091"/>
    <hyperlink r:id="rId10573" ref="N7092"/>
    <hyperlink r:id="rId10574" ref="N7093"/>
    <hyperlink r:id="rId10575" ref="N7094"/>
    <hyperlink r:id="rId10576" ref="N7095"/>
    <hyperlink r:id="rId10577" ref="N7096"/>
    <hyperlink r:id="rId10578" ref="N7097"/>
    <hyperlink r:id="rId10579" ref="N7098"/>
    <hyperlink r:id="rId10580" ref="N7099"/>
    <hyperlink r:id="rId10581" ref="N7100"/>
    <hyperlink r:id="rId10582" ref="N7101"/>
    <hyperlink r:id="rId10583" ref="N7102"/>
    <hyperlink r:id="rId10584" ref="N7103"/>
    <hyperlink r:id="rId10585" ref="N7104"/>
    <hyperlink r:id="rId10586" ref="N7105"/>
    <hyperlink r:id="rId10587" ref="N7106"/>
    <hyperlink r:id="rId10588" ref="N7107"/>
    <hyperlink r:id="rId10589" ref="N7108"/>
    <hyperlink r:id="rId10590" ref="N7109"/>
    <hyperlink r:id="rId10591" ref="N7110"/>
    <hyperlink r:id="rId10592" ref="N7111"/>
    <hyperlink r:id="rId10593" ref="N7112"/>
    <hyperlink r:id="rId10594" ref="N7113"/>
    <hyperlink r:id="rId10595" ref="N7114"/>
    <hyperlink r:id="rId10596" ref="N7115"/>
    <hyperlink r:id="rId10597" ref="N7116"/>
    <hyperlink r:id="rId10598" ref="N7117"/>
    <hyperlink r:id="rId10599" ref="N7118"/>
    <hyperlink r:id="rId10600" ref="N7119"/>
    <hyperlink r:id="rId10601" ref="N7120"/>
    <hyperlink r:id="rId10602" ref="N7121"/>
    <hyperlink r:id="rId10603" ref="N7122"/>
    <hyperlink r:id="rId10604" ref="N7123"/>
    <hyperlink r:id="rId10605" ref="N7124"/>
    <hyperlink r:id="rId10606" ref="N7125"/>
    <hyperlink r:id="rId10607" ref="N7126"/>
    <hyperlink r:id="rId10608" ref="N7127"/>
    <hyperlink r:id="rId10609" ref="N7128"/>
    <hyperlink r:id="rId10610" ref="N7129"/>
    <hyperlink r:id="rId10611" ref="N7130"/>
    <hyperlink r:id="rId10612" ref="N7131"/>
    <hyperlink r:id="rId10613" ref="N7132"/>
    <hyperlink r:id="rId10614" ref="N7133"/>
    <hyperlink r:id="rId10615" ref="N7134"/>
    <hyperlink r:id="rId10616" ref="N7135"/>
    <hyperlink r:id="rId10617" ref="N7136"/>
    <hyperlink r:id="rId10618" ref="N7137"/>
    <hyperlink r:id="rId10619" ref="N7138"/>
    <hyperlink r:id="rId10620" ref="N7139"/>
    <hyperlink r:id="rId10621" ref="N7140"/>
    <hyperlink r:id="rId10622" ref="N7141"/>
    <hyperlink r:id="rId10623" ref="N7142"/>
    <hyperlink r:id="rId10624" ref="N7143"/>
    <hyperlink r:id="rId10625" ref="N7144"/>
    <hyperlink r:id="rId10626" ref="N7145"/>
    <hyperlink r:id="rId10627" ref="N7146"/>
    <hyperlink r:id="rId10628" ref="N7147"/>
    <hyperlink r:id="rId10629" ref="N7148"/>
    <hyperlink r:id="rId10630" ref="N7149"/>
    <hyperlink r:id="rId10631" ref="N7150"/>
    <hyperlink r:id="rId10632" ref="N7151"/>
    <hyperlink r:id="rId10633" ref="N7152"/>
    <hyperlink r:id="rId10634" ref="N7153"/>
    <hyperlink r:id="rId10635" ref="N7154"/>
    <hyperlink r:id="rId10636" ref="N7155"/>
    <hyperlink r:id="rId10637" ref="N7156"/>
    <hyperlink r:id="rId10638" ref="N7157"/>
    <hyperlink r:id="rId10639" ref="N7158"/>
    <hyperlink r:id="rId10640" ref="N7159"/>
    <hyperlink r:id="rId10641" ref="N7160"/>
    <hyperlink r:id="rId10642" ref="N7161"/>
    <hyperlink r:id="rId10643" ref="N7162"/>
    <hyperlink r:id="rId10644" ref="N7163"/>
    <hyperlink r:id="rId10645" ref="N7164"/>
    <hyperlink r:id="rId10646" ref="N7165"/>
    <hyperlink r:id="rId10647" ref="N7166"/>
    <hyperlink r:id="rId10648" ref="N7167"/>
    <hyperlink r:id="rId10649" ref="N7168"/>
    <hyperlink r:id="rId10650" ref="N7169"/>
    <hyperlink r:id="rId10651" ref="N7170"/>
    <hyperlink r:id="rId10652" ref="N7171"/>
    <hyperlink r:id="rId10653" ref="N7172"/>
    <hyperlink r:id="rId10654" ref="N7173"/>
    <hyperlink r:id="rId10655" ref="N7174"/>
    <hyperlink r:id="rId10656" ref="N7175"/>
    <hyperlink r:id="rId10657" ref="N7176"/>
    <hyperlink r:id="rId10658" ref="N7177"/>
    <hyperlink r:id="rId10659" ref="N7178"/>
    <hyperlink r:id="rId10660" ref="N7179"/>
    <hyperlink r:id="rId10661" ref="N7180"/>
    <hyperlink r:id="rId10662" ref="N7181"/>
    <hyperlink r:id="rId10663" ref="N7182"/>
    <hyperlink r:id="rId10664" ref="N7183"/>
    <hyperlink r:id="rId10665" ref="N7184"/>
    <hyperlink r:id="rId10666" ref="N7185"/>
    <hyperlink r:id="rId10667" ref="N7186"/>
    <hyperlink r:id="rId10668" ref="N7187"/>
    <hyperlink r:id="rId10669" ref="N7188"/>
    <hyperlink r:id="rId10670" ref="N7189"/>
    <hyperlink r:id="rId10671" ref="N7190"/>
    <hyperlink r:id="rId10672" ref="N7191"/>
    <hyperlink r:id="rId10673" ref="N7192"/>
    <hyperlink r:id="rId10674" ref="N7193"/>
    <hyperlink r:id="rId10675" ref="N7194"/>
    <hyperlink r:id="rId10676" ref="N7195"/>
    <hyperlink r:id="rId10677" ref="N7196"/>
    <hyperlink r:id="rId10678" ref="N7197"/>
    <hyperlink r:id="rId10679" ref="N7198"/>
    <hyperlink r:id="rId10680" ref="N7199"/>
    <hyperlink r:id="rId10681" ref="N7200"/>
    <hyperlink r:id="rId10682" ref="N7201"/>
    <hyperlink r:id="rId10683" ref="N7202"/>
    <hyperlink r:id="rId10684" ref="N7203"/>
    <hyperlink r:id="rId10685" ref="N7204"/>
    <hyperlink r:id="rId10686" ref="N7205"/>
    <hyperlink r:id="rId10687" ref="N7206"/>
    <hyperlink r:id="rId10688" ref="N7207"/>
    <hyperlink r:id="rId10689" ref="N7208"/>
    <hyperlink r:id="rId10690" ref="N7209"/>
    <hyperlink r:id="rId10691" ref="N7210"/>
    <hyperlink r:id="rId10692" ref="N7211"/>
    <hyperlink r:id="rId10693" ref="N7212"/>
    <hyperlink r:id="rId10694" ref="N7213"/>
    <hyperlink r:id="rId10695" ref="N7214"/>
    <hyperlink r:id="rId10696" ref="N7215"/>
    <hyperlink r:id="rId10697" ref="N7216"/>
    <hyperlink r:id="rId10698" ref="N7217"/>
    <hyperlink r:id="rId10699" ref="N7218"/>
    <hyperlink r:id="rId10700" ref="N7219"/>
    <hyperlink r:id="rId10701" ref="N7220"/>
    <hyperlink r:id="rId10702" ref="N7221"/>
    <hyperlink r:id="rId10703" ref="N7222"/>
    <hyperlink r:id="rId10704" ref="N7223"/>
    <hyperlink r:id="rId10705" ref="N7224"/>
    <hyperlink r:id="rId10706" ref="N7225"/>
    <hyperlink r:id="rId10707" ref="N7226"/>
    <hyperlink r:id="rId10708" ref="N7227"/>
    <hyperlink r:id="rId10709" ref="N7228"/>
    <hyperlink r:id="rId10710" ref="N7229"/>
    <hyperlink r:id="rId10711" ref="N7230"/>
    <hyperlink r:id="rId10712" ref="N7231"/>
    <hyperlink r:id="rId10713" ref="N7232"/>
    <hyperlink r:id="rId10714" ref="N7233"/>
    <hyperlink r:id="rId10715" ref="N7234"/>
    <hyperlink r:id="rId10716" ref="N7235"/>
    <hyperlink r:id="rId10717" ref="N7236"/>
    <hyperlink r:id="rId10718" ref="N7237"/>
    <hyperlink r:id="rId10719" ref="N7238"/>
    <hyperlink r:id="rId10720" ref="N7239"/>
    <hyperlink r:id="rId10721" ref="N7240"/>
    <hyperlink r:id="rId10722" ref="N7241"/>
    <hyperlink r:id="rId10723" ref="N7242"/>
    <hyperlink r:id="rId10724" ref="N7243"/>
    <hyperlink r:id="rId10725" ref="N7244"/>
    <hyperlink r:id="rId10726" ref="N7245"/>
    <hyperlink r:id="rId10727" ref="N7246"/>
    <hyperlink r:id="rId10728" ref="N7247"/>
    <hyperlink r:id="rId10729" ref="N7248"/>
    <hyperlink r:id="rId10730" ref="N7249"/>
    <hyperlink r:id="rId10731" ref="N7250"/>
    <hyperlink r:id="rId10732" ref="N7251"/>
    <hyperlink r:id="rId10733" ref="N7252"/>
    <hyperlink r:id="rId10734" ref="N7253"/>
    <hyperlink r:id="rId10735" ref="N7254"/>
    <hyperlink r:id="rId10736" ref="N7255"/>
    <hyperlink r:id="rId10737" ref="N7256"/>
    <hyperlink r:id="rId10738" ref="N7257"/>
    <hyperlink r:id="rId10739" ref="N7258"/>
    <hyperlink r:id="rId10740" ref="N7259"/>
    <hyperlink r:id="rId10741" ref="N7260"/>
    <hyperlink r:id="rId10742" ref="N7261"/>
    <hyperlink r:id="rId10743" ref="N7262"/>
    <hyperlink r:id="rId10744" ref="N7263"/>
    <hyperlink r:id="rId10745" ref="N7264"/>
    <hyperlink r:id="rId10746" ref="N7265"/>
    <hyperlink r:id="rId10747" ref="N7266"/>
    <hyperlink r:id="rId10748" ref="N7267"/>
    <hyperlink r:id="rId10749" ref="N7268"/>
    <hyperlink r:id="rId10750" ref="N7269"/>
    <hyperlink r:id="rId10751" ref="N7270"/>
    <hyperlink r:id="rId10752" ref="N7271"/>
    <hyperlink r:id="rId10753" ref="N7272"/>
    <hyperlink r:id="rId10754" ref="N7273"/>
    <hyperlink r:id="rId10755" ref="N7274"/>
    <hyperlink r:id="rId10756" ref="N7275"/>
    <hyperlink r:id="rId10757" ref="N7276"/>
    <hyperlink r:id="rId10758" ref="N7277"/>
    <hyperlink r:id="rId10759" ref="N7278"/>
    <hyperlink r:id="rId10760" ref="N7279"/>
    <hyperlink r:id="rId10761" ref="N7280"/>
    <hyperlink r:id="rId10762" ref="N7281"/>
    <hyperlink r:id="rId10763" ref="N7282"/>
    <hyperlink r:id="rId10764" ref="N7283"/>
    <hyperlink r:id="rId10765" ref="I7284"/>
    <hyperlink r:id="rId10766" ref="N7284"/>
    <hyperlink r:id="rId10767" ref="N7285"/>
    <hyperlink r:id="rId10768" ref="N7286"/>
    <hyperlink r:id="rId10769" ref="N7287"/>
    <hyperlink r:id="rId10770" ref="N7288"/>
    <hyperlink r:id="rId10771" ref="N7289"/>
    <hyperlink r:id="rId10772" ref="N7290"/>
    <hyperlink r:id="rId10773" ref="I7291"/>
    <hyperlink r:id="rId10774" ref="N7291"/>
    <hyperlink r:id="rId10775" ref="N7292"/>
    <hyperlink r:id="rId10776" ref="N7293"/>
    <hyperlink r:id="rId10777" ref="N7294"/>
    <hyperlink r:id="rId10778" ref="N7295"/>
    <hyperlink r:id="rId10779" ref="N7296"/>
    <hyperlink r:id="rId10780" ref="N7297"/>
    <hyperlink r:id="rId10781" ref="N7298"/>
    <hyperlink r:id="rId10782" ref="N7299"/>
    <hyperlink r:id="rId10783" ref="I7300"/>
    <hyperlink r:id="rId10784" ref="N7300"/>
    <hyperlink r:id="rId10785" ref="N7301"/>
    <hyperlink r:id="rId10786" ref="N7302"/>
    <hyperlink r:id="rId10787" ref="N7303"/>
    <hyperlink r:id="rId10788" ref="N7304"/>
    <hyperlink r:id="rId10789" ref="N7305"/>
    <hyperlink r:id="rId10790" ref="N7306"/>
    <hyperlink r:id="rId10791" ref="N7307"/>
    <hyperlink r:id="rId10792" ref="N7308"/>
    <hyperlink r:id="rId10793" ref="N7309"/>
    <hyperlink r:id="rId10794" ref="N7310"/>
    <hyperlink r:id="rId10795" ref="N7311"/>
    <hyperlink r:id="rId10796" ref="N7312"/>
    <hyperlink r:id="rId10797" ref="N7313"/>
    <hyperlink r:id="rId10798" ref="N7314"/>
    <hyperlink r:id="rId10799" ref="N7315"/>
    <hyperlink r:id="rId10800" ref="N7316"/>
    <hyperlink r:id="rId10801" ref="N7317"/>
    <hyperlink r:id="rId10802" ref="N7318"/>
    <hyperlink r:id="rId10803" ref="N7319"/>
    <hyperlink r:id="rId10804" ref="N7320"/>
    <hyperlink r:id="rId10805" ref="N7321"/>
    <hyperlink r:id="rId10806" ref="N7322"/>
    <hyperlink r:id="rId10807" ref="I7323"/>
    <hyperlink r:id="rId10808" ref="N7323"/>
    <hyperlink r:id="rId10809" ref="N7324"/>
    <hyperlink r:id="rId10810" ref="N7325"/>
    <hyperlink r:id="rId10811" ref="N7326"/>
    <hyperlink r:id="rId10812" ref="N7327"/>
    <hyperlink r:id="rId10813" ref="N7328"/>
    <hyperlink r:id="rId10814" ref="N7329"/>
    <hyperlink r:id="rId10815" ref="I7330"/>
    <hyperlink r:id="rId10816" ref="N7330"/>
    <hyperlink r:id="rId10817" ref="N7331"/>
    <hyperlink r:id="rId10818" ref="I7332"/>
    <hyperlink r:id="rId10819" ref="N7332"/>
    <hyperlink r:id="rId10820" ref="N7333"/>
    <hyperlink r:id="rId10821" ref="N7334"/>
    <hyperlink r:id="rId10822" ref="N7335"/>
    <hyperlink r:id="rId10823" ref="N7336"/>
    <hyperlink r:id="rId10824" ref="I7337"/>
    <hyperlink r:id="rId10825" ref="N7337"/>
    <hyperlink r:id="rId10826" ref="N7338"/>
    <hyperlink r:id="rId10827" ref="N7339"/>
    <hyperlink r:id="rId10828" ref="N7340"/>
    <hyperlink r:id="rId10829" ref="N7341"/>
    <hyperlink r:id="rId10830" ref="I7342"/>
    <hyperlink r:id="rId10831" ref="N7342"/>
    <hyperlink r:id="rId10832" ref="I7343"/>
    <hyperlink r:id="rId10833" ref="N7343"/>
    <hyperlink r:id="rId10834" ref="N7344"/>
    <hyperlink r:id="rId10835" ref="I7345"/>
    <hyperlink r:id="rId10836" ref="N7345"/>
    <hyperlink r:id="rId10837" ref="N7346"/>
    <hyperlink r:id="rId10838" ref="N7347"/>
    <hyperlink r:id="rId10839" ref="I7348"/>
    <hyperlink r:id="rId10840" ref="N7348"/>
    <hyperlink r:id="rId10841" ref="N7349"/>
    <hyperlink r:id="rId10842" ref="N7350"/>
    <hyperlink r:id="rId10843" ref="N7351"/>
    <hyperlink r:id="rId10844" ref="N7352"/>
    <hyperlink r:id="rId10845" ref="N7353"/>
    <hyperlink r:id="rId10846" ref="N7354"/>
    <hyperlink r:id="rId10847" ref="I7355"/>
    <hyperlink r:id="rId10848" ref="N7355"/>
    <hyperlink r:id="rId10849" ref="N7356"/>
    <hyperlink r:id="rId10850" ref="N7357"/>
    <hyperlink r:id="rId10851" ref="N7358"/>
    <hyperlink r:id="rId10852" ref="N7359"/>
    <hyperlink r:id="rId10853" ref="N7360"/>
    <hyperlink r:id="rId10854" ref="N7361"/>
    <hyperlink r:id="rId10855" ref="N7362"/>
    <hyperlink r:id="rId10856" ref="N7363"/>
    <hyperlink r:id="rId10857" ref="I7364"/>
    <hyperlink r:id="rId10858" ref="N7364"/>
    <hyperlink r:id="rId10859" ref="N7365"/>
    <hyperlink r:id="rId10860" ref="N7366"/>
    <hyperlink r:id="rId10861" ref="N7367"/>
    <hyperlink r:id="rId10862" ref="N7368"/>
    <hyperlink r:id="rId10863" ref="N7369"/>
    <hyperlink r:id="rId10864" ref="N7370"/>
    <hyperlink r:id="rId10865" ref="N7371"/>
    <hyperlink r:id="rId10866" ref="N7372"/>
    <hyperlink r:id="rId10867" ref="N7373"/>
    <hyperlink r:id="rId10868" ref="I7374"/>
    <hyperlink r:id="rId10869" ref="N7374"/>
    <hyperlink r:id="rId10870" ref="N7375"/>
    <hyperlink r:id="rId10871" ref="N7376"/>
    <hyperlink r:id="rId10872" ref="N7377"/>
    <hyperlink r:id="rId10873" ref="N7378"/>
    <hyperlink r:id="rId10874" ref="N7379"/>
    <hyperlink r:id="rId10875" ref="N7380"/>
    <hyperlink r:id="rId10876" ref="N7381"/>
    <hyperlink r:id="rId10877" ref="N7382"/>
    <hyperlink r:id="rId10878" ref="N7383"/>
    <hyperlink r:id="rId10879" ref="N7384"/>
    <hyperlink r:id="rId10880" ref="N7385"/>
    <hyperlink r:id="rId10881" ref="N7386"/>
    <hyperlink r:id="rId10882" ref="N7387"/>
    <hyperlink r:id="rId10883" ref="N7388"/>
    <hyperlink r:id="rId10884" ref="N7389"/>
    <hyperlink r:id="rId10885" ref="N7390"/>
    <hyperlink r:id="rId10886" ref="N7391"/>
    <hyperlink r:id="rId10887" ref="N7392"/>
    <hyperlink r:id="rId10888" ref="N7393"/>
    <hyperlink r:id="rId10889" ref="N7394"/>
    <hyperlink r:id="rId10890" ref="N7395"/>
    <hyperlink r:id="rId10891" ref="N7396"/>
    <hyperlink r:id="rId10892" ref="N7397"/>
    <hyperlink r:id="rId10893" ref="N7398"/>
    <hyperlink r:id="rId10894" ref="N7399"/>
    <hyperlink r:id="rId10895" ref="N7400"/>
    <hyperlink r:id="rId10896" ref="N7401"/>
    <hyperlink r:id="rId10897" ref="N7402"/>
    <hyperlink r:id="rId10898" ref="N7403"/>
    <hyperlink r:id="rId10899" ref="N7404"/>
    <hyperlink r:id="rId10900" ref="N7405"/>
    <hyperlink r:id="rId10901" ref="N7406"/>
    <hyperlink r:id="rId10902" ref="N7407"/>
    <hyperlink r:id="rId10903" ref="N7408"/>
    <hyperlink r:id="rId10904" ref="N7409"/>
    <hyperlink r:id="rId10905" ref="N7410"/>
    <hyperlink r:id="rId10906" ref="N7411"/>
    <hyperlink r:id="rId10907" ref="N7412"/>
    <hyperlink r:id="rId10908" ref="N7413"/>
    <hyperlink r:id="rId10909" ref="N7414"/>
    <hyperlink r:id="rId10910" ref="N7415"/>
    <hyperlink r:id="rId10911" ref="N7416"/>
    <hyperlink r:id="rId10912" ref="N7417"/>
    <hyperlink r:id="rId10913" ref="N7418"/>
    <hyperlink r:id="rId10914" ref="N7419"/>
    <hyperlink r:id="rId10915" ref="N7420"/>
    <hyperlink r:id="rId10916" ref="N7421"/>
    <hyperlink r:id="rId10917" ref="N7422"/>
    <hyperlink r:id="rId10918" ref="N7423"/>
    <hyperlink r:id="rId10919" ref="N7424"/>
    <hyperlink r:id="rId10920" ref="N7425"/>
    <hyperlink r:id="rId10921" ref="N7426"/>
    <hyperlink r:id="rId10922" ref="N7427"/>
    <hyperlink r:id="rId10923" ref="N7428"/>
    <hyperlink r:id="rId10924" ref="N7429"/>
    <hyperlink r:id="rId10925" ref="N7430"/>
    <hyperlink r:id="rId10926" ref="N7431"/>
    <hyperlink r:id="rId10927" ref="N7432"/>
    <hyperlink r:id="rId10928" ref="N7433"/>
    <hyperlink r:id="rId10929" ref="N7434"/>
    <hyperlink r:id="rId10930" ref="N7435"/>
    <hyperlink r:id="rId10931" ref="N7436"/>
    <hyperlink r:id="rId10932" ref="N7437"/>
    <hyperlink r:id="rId10933" ref="N7438"/>
    <hyperlink r:id="rId10934" ref="N7439"/>
    <hyperlink r:id="rId10935" ref="N7440"/>
    <hyperlink r:id="rId10936" ref="N7441"/>
    <hyperlink r:id="rId10937" ref="N7442"/>
    <hyperlink r:id="rId10938" ref="N7443"/>
    <hyperlink r:id="rId10939" ref="N7444"/>
    <hyperlink r:id="rId10940" ref="N7445"/>
    <hyperlink r:id="rId10941" ref="N7446"/>
    <hyperlink r:id="rId10942" ref="N7447"/>
    <hyperlink r:id="rId10943" ref="N7448"/>
    <hyperlink r:id="rId10944" ref="N7449"/>
    <hyperlink r:id="rId10945" ref="N7450"/>
    <hyperlink r:id="rId10946" ref="N7451"/>
    <hyperlink r:id="rId10947" ref="N7452"/>
    <hyperlink r:id="rId10948" ref="N7453"/>
    <hyperlink r:id="rId10949" ref="N7454"/>
    <hyperlink r:id="rId10950" ref="N7455"/>
    <hyperlink r:id="rId10951" ref="N7456"/>
    <hyperlink r:id="rId10952" ref="N7457"/>
    <hyperlink r:id="rId10953" ref="N7458"/>
    <hyperlink r:id="rId10954" ref="N7459"/>
    <hyperlink r:id="rId10955" ref="N7460"/>
    <hyperlink r:id="rId10956" ref="N7461"/>
    <hyperlink r:id="rId10957" ref="N7462"/>
    <hyperlink r:id="rId10958" ref="N7463"/>
    <hyperlink r:id="rId10959" ref="N7464"/>
    <hyperlink r:id="rId10960" ref="N7465"/>
    <hyperlink r:id="rId10961" ref="N7466"/>
    <hyperlink r:id="rId10962" ref="N7467"/>
    <hyperlink r:id="rId10963" ref="N7468"/>
    <hyperlink r:id="rId10964" ref="N7469"/>
    <hyperlink r:id="rId10965" ref="N7470"/>
    <hyperlink r:id="rId10966" ref="N7471"/>
    <hyperlink r:id="rId10967" ref="N7472"/>
    <hyperlink r:id="rId10968" ref="N7473"/>
    <hyperlink r:id="rId10969" ref="N7474"/>
    <hyperlink r:id="rId10970" ref="N7475"/>
    <hyperlink r:id="rId10971" ref="N7476"/>
    <hyperlink r:id="rId10972" ref="N7477"/>
    <hyperlink r:id="rId10973" ref="N7478"/>
    <hyperlink r:id="rId10974" ref="N7479"/>
    <hyperlink r:id="rId10975" ref="N7480"/>
    <hyperlink r:id="rId10976" ref="N7481"/>
    <hyperlink r:id="rId10977" ref="N7482"/>
    <hyperlink r:id="rId10978" ref="N7483"/>
    <hyperlink r:id="rId10979" ref="N7484"/>
    <hyperlink r:id="rId10980" ref="N7485"/>
    <hyperlink r:id="rId10981" ref="N7486"/>
    <hyperlink r:id="rId10982" ref="N7487"/>
    <hyperlink r:id="rId10983" ref="N7488"/>
    <hyperlink r:id="rId10984" ref="N7489"/>
    <hyperlink r:id="rId10985" ref="N7490"/>
    <hyperlink r:id="rId10986" ref="N7491"/>
    <hyperlink r:id="rId10987" ref="N7492"/>
    <hyperlink r:id="rId10988" ref="N7493"/>
    <hyperlink r:id="rId10989" ref="N7494"/>
    <hyperlink r:id="rId10990" ref="N7495"/>
    <hyperlink r:id="rId10991" ref="N7496"/>
    <hyperlink r:id="rId10992" ref="N7497"/>
    <hyperlink r:id="rId10993" ref="N7498"/>
    <hyperlink r:id="rId10994" ref="N7499"/>
    <hyperlink r:id="rId10995" ref="N7500"/>
    <hyperlink r:id="rId10996" ref="N7501"/>
    <hyperlink r:id="rId10997" ref="N7502"/>
    <hyperlink r:id="rId10998" ref="N7503"/>
    <hyperlink r:id="rId10999" ref="N7504"/>
    <hyperlink r:id="rId11000" ref="N7505"/>
    <hyperlink r:id="rId11001" ref="N7506"/>
    <hyperlink r:id="rId11002" ref="N7507"/>
    <hyperlink r:id="rId11003" ref="N7508"/>
    <hyperlink r:id="rId11004" ref="N7509"/>
    <hyperlink r:id="rId11005" ref="N7510"/>
    <hyperlink r:id="rId11006" ref="N7511"/>
    <hyperlink r:id="rId11007" ref="N7512"/>
    <hyperlink r:id="rId11008" ref="N7513"/>
    <hyperlink r:id="rId11009" ref="N7514"/>
    <hyperlink r:id="rId11010" ref="N7515"/>
    <hyperlink r:id="rId11011" ref="N7516"/>
    <hyperlink r:id="rId11012" ref="N7517"/>
    <hyperlink r:id="rId11013" ref="N7518"/>
    <hyperlink r:id="rId11014" ref="N7519"/>
    <hyperlink r:id="rId11015" ref="N7520"/>
    <hyperlink r:id="rId11016" ref="N7521"/>
    <hyperlink r:id="rId11017" ref="N7522"/>
    <hyperlink r:id="rId11018" ref="N7523"/>
    <hyperlink r:id="rId11019" ref="N7524"/>
    <hyperlink r:id="rId11020" ref="N7525"/>
    <hyperlink r:id="rId11021" ref="N7526"/>
    <hyperlink r:id="rId11022" ref="N7527"/>
    <hyperlink r:id="rId11023" ref="N7528"/>
    <hyperlink r:id="rId11024" ref="N7529"/>
    <hyperlink r:id="rId11025" ref="N7530"/>
    <hyperlink r:id="rId11026" ref="N7531"/>
    <hyperlink r:id="rId11027" ref="N7532"/>
    <hyperlink r:id="rId11028" ref="N7533"/>
    <hyperlink r:id="rId11029" ref="N7534"/>
    <hyperlink r:id="rId11030" ref="N7535"/>
    <hyperlink r:id="rId11031" ref="N7536"/>
    <hyperlink r:id="rId11032" ref="N7537"/>
    <hyperlink r:id="rId11033" ref="N7538"/>
    <hyperlink r:id="rId11034" ref="N7539"/>
    <hyperlink r:id="rId11035" ref="N7540"/>
    <hyperlink r:id="rId11036" ref="N7541"/>
    <hyperlink r:id="rId11037" ref="N7542"/>
    <hyperlink r:id="rId11038" ref="N7543"/>
    <hyperlink r:id="rId11039" ref="N7544"/>
    <hyperlink r:id="rId11040" ref="N7545"/>
    <hyperlink r:id="rId11041" ref="N7546"/>
    <hyperlink r:id="rId11042" ref="N7547"/>
    <hyperlink r:id="rId11043" ref="N7548"/>
    <hyperlink r:id="rId11044" ref="N7549"/>
    <hyperlink r:id="rId11045" ref="N7550"/>
    <hyperlink r:id="rId11046" ref="N7551"/>
    <hyperlink r:id="rId11047" ref="N7552"/>
    <hyperlink r:id="rId11048" ref="N7553"/>
    <hyperlink r:id="rId11049" ref="N7554"/>
    <hyperlink r:id="rId11050" ref="N7555"/>
    <hyperlink r:id="rId11051" ref="N7556"/>
    <hyperlink r:id="rId11052" ref="N7557"/>
    <hyperlink r:id="rId11053" ref="N7558"/>
    <hyperlink r:id="rId11054" ref="N7559"/>
    <hyperlink r:id="rId11055" ref="N7560"/>
    <hyperlink r:id="rId11056" ref="N7561"/>
    <hyperlink r:id="rId11057" ref="N7562"/>
    <hyperlink r:id="rId11058" ref="N7563"/>
    <hyperlink r:id="rId11059" ref="N7564"/>
    <hyperlink r:id="rId11060" ref="N7565"/>
    <hyperlink r:id="rId11061" ref="N7566"/>
    <hyperlink r:id="rId11062" ref="N7567"/>
    <hyperlink r:id="rId11063" ref="N7568"/>
    <hyperlink r:id="rId11064" ref="N7569"/>
    <hyperlink r:id="rId11065" ref="N7570"/>
    <hyperlink r:id="rId11066" ref="N7571"/>
    <hyperlink r:id="rId11067" ref="N7572"/>
    <hyperlink r:id="rId11068" ref="N7573"/>
    <hyperlink r:id="rId11069" ref="N7574"/>
    <hyperlink r:id="rId11070" ref="N7575"/>
    <hyperlink r:id="rId11071" ref="N7576"/>
    <hyperlink r:id="rId11072" ref="N7577"/>
    <hyperlink r:id="rId11073" ref="N7578"/>
    <hyperlink r:id="rId11074" ref="N7579"/>
    <hyperlink r:id="rId11075" ref="N7580"/>
    <hyperlink r:id="rId11076" ref="N7581"/>
    <hyperlink r:id="rId11077" ref="N7582"/>
    <hyperlink r:id="rId11078" ref="N7583"/>
    <hyperlink r:id="rId11079" ref="N7584"/>
    <hyperlink r:id="rId11080" ref="N7585"/>
    <hyperlink r:id="rId11081" ref="N7586"/>
    <hyperlink r:id="rId11082" ref="N7587"/>
    <hyperlink r:id="rId11083" ref="N7588"/>
    <hyperlink r:id="rId11084" ref="N7589"/>
    <hyperlink r:id="rId11085" ref="N7590"/>
    <hyperlink r:id="rId11086" ref="N7591"/>
    <hyperlink r:id="rId11087" ref="N7592"/>
    <hyperlink r:id="rId11088" ref="N7593"/>
    <hyperlink r:id="rId11089" ref="N7594"/>
    <hyperlink r:id="rId11090" ref="N7595"/>
    <hyperlink r:id="rId11091" ref="N7596"/>
    <hyperlink r:id="rId11092" ref="N7597"/>
    <hyperlink r:id="rId11093" ref="N7598"/>
    <hyperlink r:id="rId11094" ref="N7599"/>
    <hyperlink r:id="rId11095" ref="N7600"/>
    <hyperlink r:id="rId11096" ref="N7601"/>
    <hyperlink r:id="rId11097" ref="N7602"/>
    <hyperlink r:id="rId11098" ref="N7603"/>
    <hyperlink r:id="rId11099" ref="N7604"/>
    <hyperlink r:id="rId11100" ref="N7605"/>
    <hyperlink r:id="rId11101" ref="N7606"/>
    <hyperlink r:id="rId11102" ref="N7607"/>
    <hyperlink r:id="rId11103" ref="N7608"/>
    <hyperlink r:id="rId11104" ref="N7609"/>
    <hyperlink r:id="rId11105" ref="N7610"/>
    <hyperlink r:id="rId11106" ref="N7611"/>
    <hyperlink r:id="rId11107" ref="N7612"/>
    <hyperlink r:id="rId11108" ref="N7613"/>
    <hyperlink r:id="rId11109" ref="N7614"/>
    <hyperlink r:id="rId11110" ref="N7615"/>
    <hyperlink r:id="rId11111" ref="N7616"/>
    <hyperlink r:id="rId11112" ref="N7617"/>
    <hyperlink r:id="rId11113" ref="N7618"/>
    <hyperlink r:id="rId11114" ref="N7619"/>
    <hyperlink r:id="rId11115" ref="N7620"/>
    <hyperlink r:id="rId11116" ref="N7621"/>
    <hyperlink r:id="rId11117" ref="N7622"/>
    <hyperlink r:id="rId11118" ref="N7623"/>
    <hyperlink r:id="rId11119" ref="N7624"/>
    <hyperlink r:id="rId11120" ref="N7625"/>
    <hyperlink r:id="rId11121" ref="N7626"/>
    <hyperlink r:id="rId11122" ref="N7627"/>
    <hyperlink r:id="rId11123" ref="N7628"/>
    <hyperlink r:id="rId11124" ref="N7629"/>
    <hyperlink r:id="rId11125" ref="N7630"/>
    <hyperlink r:id="rId11126" ref="N7631"/>
    <hyperlink r:id="rId11127" ref="N7632"/>
    <hyperlink r:id="rId11128" ref="N7633"/>
    <hyperlink r:id="rId11129" ref="N7634"/>
    <hyperlink r:id="rId11130" ref="N7635"/>
    <hyperlink r:id="rId11131" ref="N7636"/>
    <hyperlink r:id="rId11132" ref="N7637"/>
    <hyperlink r:id="rId11133" ref="N7638"/>
    <hyperlink r:id="rId11134" ref="N7639"/>
    <hyperlink r:id="rId11135" ref="N7640"/>
    <hyperlink r:id="rId11136" ref="N7641"/>
    <hyperlink r:id="rId11137" ref="N7642"/>
    <hyperlink r:id="rId11138" ref="N7643"/>
    <hyperlink r:id="rId11139" ref="N7644"/>
    <hyperlink r:id="rId11140" ref="N7645"/>
    <hyperlink r:id="rId11141" ref="N7646"/>
    <hyperlink r:id="rId11142" ref="N7647"/>
    <hyperlink r:id="rId11143" ref="N7648"/>
    <hyperlink r:id="rId11144" ref="N7649"/>
    <hyperlink r:id="rId11145" ref="N7650"/>
    <hyperlink r:id="rId11146" ref="N7651"/>
    <hyperlink r:id="rId11147" ref="N7652"/>
    <hyperlink r:id="rId11148" ref="N7653"/>
    <hyperlink r:id="rId11149" ref="N7654"/>
    <hyperlink r:id="rId11150" ref="N7655"/>
    <hyperlink r:id="rId11151" ref="N7656"/>
    <hyperlink r:id="rId11152" ref="N7657"/>
    <hyperlink r:id="rId11153" ref="N7658"/>
    <hyperlink r:id="rId11154" ref="N7659"/>
    <hyperlink r:id="rId11155" ref="N7660"/>
    <hyperlink r:id="rId11156" ref="N7661"/>
    <hyperlink r:id="rId11157" ref="N7662"/>
    <hyperlink r:id="rId11158" ref="N7663"/>
    <hyperlink r:id="rId11159" ref="N7664"/>
    <hyperlink r:id="rId11160" ref="N7665"/>
    <hyperlink r:id="rId11161" ref="N7666"/>
    <hyperlink r:id="rId11162" ref="N7667"/>
    <hyperlink r:id="rId11163" ref="N7668"/>
    <hyperlink r:id="rId11164" ref="N7669"/>
    <hyperlink r:id="rId11165" ref="N7670"/>
    <hyperlink r:id="rId11166" ref="N7671"/>
    <hyperlink r:id="rId11167" ref="N7672"/>
    <hyperlink r:id="rId11168" ref="N7673"/>
    <hyperlink r:id="rId11169" ref="N7674"/>
    <hyperlink r:id="rId11170" ref="N7675"/>
    <hyperlink r:id="rId11171" ref="N7676"/>
    <hyperlink r:id="rId11172" ref="N7677"/>
    <hyperlink r:id="rId11173" ref="N7678"/>
    <hyperlink r:id="rId11174" ref="N7679"/>
    <hyperlink r:id="rId11175" ref="N7680"/>
    <hyperlink r:id="rId11176" ref="N7681"/>
    <hyperlink r:id="rId11177" ref="N7682"/>
    <hyperlink r:id="rId11178" ref="N7683"/>
    <hyperlink r:id="rId11179" ref="N7684"/>
    <hyperlink r:id="rId11180" ref="N7685"/>
    <hyperlink r:id="rId11181" ref="N7686"/>
    <hyperlink r:id="rId11182" ref="N7687"/>
    <hyperlink r:id="rId11183" ref="N7688"/>
    <hyperlink r:id="rId11184" ref="N7689"/>
    <hyperlink r:id="rId11185" ref="N7690"/>
    <hyperlink r:id="rId11186" ref="N7691"/>
    <hyperlink r:id="rId11187" ref="N7692"/>
    <hyperlink r:id="rId11188" ref="N7693"/>
    <hyperlink r:id="rId11189" ref="N7694"/>
    <hyperlink r:id="rId11190" ref="N7695"/>
    <hyperlink r:id="rId11191" ref="N7696"/>
    <hyperlink r:id="rId11192" ref="N7697"/>
    <hyperlink r:id="rId11193" ref="N7698"/>
    <hyperlink r:id="rId11194" ref="N7699"/>
    <hyperlink r:id="rId11195" ref="N7700"/>
    <hyperlink r:id="rId11196" ref="N7701"/>
    <hyperlink r:id="rId11197" ref="N7702"/>
    <hyperlink r:id="rId11198" ref="N7703"/>
    <hyperlink r:id="rId11199" ref="N7704"/>
    <hyperlink r:id="rId11200" ref="N7705"/>
    <hyperlink r:id="rId11201" ref="N7706"/>
    <hyperlink r:id="rId11202" ref="N7707"/>
    <hyperlink r:id="rId11203" ref="N7708"/>
    <hyperlink r:id="rId11204" ref="N7709"/>
    <hyperlink r:id="rId11205" ref="N7710"/>
    <hyperlink r:id="rId11206" ref="N7711"/>
    <hyperlink r:id="rId11207" ref="N7712"/>
    <hyperlink r:id="rId11208" ref="N7713"/>
    <hyperlink r:id="rId11209" ref="N7714"/>
    <hyperlink r:id="rId11210" ref="N7715"/>
    <hyperlink r:id="rId11211" ref="N7716"/>
    <hyperlink r:id="rId11212" ref="N7717"/>
    <hyperlink r:id="rId11213" ref="N7718"/>
    <hyperlink r:id="rId11214" ref="N7719"/>
    <hyperlink r:id="rId11215" ref="N7720"/>
    <hyperlink r:id="rId11216" ref="N7721"/>
    <hyperlink r:id="rId11217" ref="N7722"/>
    <hyperlink r:id="rId11218" ref="N7723"/>
    <hyperlink r:id="rId11219" ref="N7724"/>
    <hyperlink r:id="rId11220" ref="N7725"/>
    <hyperlink r:id="rId11221" ref="N7726"/>
    <hyperlink r:id="rId11222" ref="N7727"/>
    <hyperlink r:id="rId11223" ref="N7728"/>
    <hyperlink r:id="rId11224" ref="N7729"/>
    <hyperlink r:id="rId11225" ref="N7730"/>
    <hyperlink r:id="rId11226" ref="N7731"/>
    <hyperlink r:id="rId11227" ref="N7732"/>
    <hyperlink r:id="rId11228" ref="N7733"/>
    <hyperlink r:id="rId11229" ref="N7734"/>
    <hyperlink r:id="rId11230" ref="N7735"/>
    <hyperlink r:id="rId11231" ref="N7736"/>
    <hyperlink r:id="rId11232" ref="N7737"/>
    <hyperlink r:id="rId11233" ref="N7738"/>
    <hyperlink r:id="rId11234" ref="N7739"/>
    <hyperlink r:id="rId11235" ref="N7740"/>
    <hyperlink r:id="rId11236" ref="N7741"/>
    <hyperlink r:id="rId11237" ref="N7742"/>
    <hyperlink r:id="rId11238" ref="N7743"/>
    <hyperlink r:id="rId11239" ref="N7744"/>
    <hyperlink r:id="rId11240" ref="N7745"/>
    <hyperlink r:id="rId11241" ref="N7746"/>
    <hyperlink r:id="rId11242" ref="N7747"/>
    <hyperlink r:id="rId11243" ref="N7748"/>
    <hyperlink r:id="rId11244" ref="N7749"/>
    <hyperlink r:id="rId11245" ref="N7750"/>
    <hyperlink r:id="rId11246" ref="N7751"/>
    <hyperlink r:id="rId11247" ref="N7752"/>
    <hyperlink r:id="rId11248" ref="N7753"/>
    <hyperlink r:id="rId11249" ref="N7754"/>
    <hyperlink r:id="rId11250" ref="N7755"/>
    <hyperlink r:id="rId11251" ref="N7756"/>
    <hyperlink r:id="rId11252" ref="N7757"/>
    <hyperlink r:id="rId11253" ref="N7758"/>
    <hyperlink r:id="rId11254" ref="N7759"/>
    <hyperlink r:id="rId11255" ref="N7760"/>
    <hyperlink r:id="rId11256" ref="N7761"/>
    <hyperlink r:id="rId11257" ref="N7762"/>
    <hyperlink r:id="rId11258" ref="N7763"/>
    <hyperlink r:id="rId11259" ref="N7764"/>
    <hyperlink r:id="rId11260" ref="N7765"/>
    <hyperlink r:id="rId11261" ref="N7766"/>
    <hyperlink r:id="rId11262" ref="N7767"/>
    <hyperlink r:id="rId11263" ref="N7768"/>
    <hyperlink r:id="rId11264" ref="N7769"/>
    <hyperlink r:id="rId11265" ref="N7770"/>
    <hyperlink r:id="rId11266" ref="N7771"/>
    <hyperlink r:id="rId11267" ref="N7772"/>
    <hyperlink r:id="rId11268" ref="N7773"/>
    <hyperlink r:id="rId11269" ref="N7774"/>
    <hyperlink r:id="rId11270" ref="N7775"/>
    <hyperlink r:id="rId11271" ref="N7776"/>
    <hyperlink r:id="rId11272" ref="N7777"/>
    <hyperlink r:id="rId11273" ref="N7778"/>
    <hyperlink r:id="rId11274" ref="N7779"/>
    <hyperlink r:id="rId11275" ref="N7780"/>
    <hyperlink r:id="rId11276" ref="N7781"/>
    <hyperlink r:id="rId11277" ref="N7782"/>
    <hyperlink r:id="rId11278" ref="N7783"/>
    <hyperlink r:id="rId11279" ref="N7784"/>
    <hyperlink r:id="rId11280" ref="N7785"/>
    <hyperlink r:id="rId11281" ref="N7786"/>
    <hyperlink r:id="rId11282" ref="N7787"/>
    <hyperlink r:id="rId11283" ref="N7788"/>
    <hyperlink r:id="rId11284" ref="N7789"/>
    <hyperlink r:id="rId11285" ref="N7790"/>
    <hyperlink r:id="rId11286" ref="N7791"/>
    <hyperlink r:id="rId11287" ref="N7792"/>
    <hyperlink r:id="rId11288" ref="N7793"/>
    <hyperlink r:id="rId11289" ref="N7794"/>
    <hyperlink r:id="rId11290" ref="N7795"/>
    <hyperlink r:id="rId11291" ref="N7796"/>
    <hyperlink r:id="rId11292" ref="N7797"/>
    <hyperlink r:id="rId11293" ref="N7798"/>
    <hyperlink r:id="rId11294" ref="N7799"/>
    <hyperlink r:id="rId11295" ref="N7800"/>
    <hyperlink r:id="rId11296" ref="N7801"/>
    <hyperlink r:id="rId11297" ref="N7802"/>
    <hyperlink r:id="rId11298" ref="N7803"/>
    <hyperlink r:id="rId11299" ref="N7804"/>
    <hyperlink r:id="rId11300" ref="N7805"/>
    <hyperlink r:id="rId11301" ref="N7806"/>
    <hyperlink r:id="rId11302" ref="N7807"/>
    <hyperlink r:id="rId11303" ref="N7808"/>
    <hyperlink r:id="rId11304" ref="N7809"/>
    <hyperlink r:id="rId11305" ref="N7810"/>
    <hyperlink r:id="rId11306" ref="N7811"/>
    <hyperlink r:id="rId11307" ref="N7812"/>
    <hyperlink r:id="rId11308" ref="N7813"/>
    <hyperlink r:id="rId11309" ref="N7814"/>
    <hyperlink r:id="rId11310" ref="N7815"/>
    <hyperlink r:id="rId11311" ref="N7816"/>
    <hyperlink r:id="rId11312" ref="N7817"/>
    <hyperlink r:id="rId11313" ref="N7818"/>
    <hyperlink r:id="rId11314" ref="N7819"/>
    <hyperlink r:id="rId11315" ref="N7820"/>
    <hyperlink r:id="rId11316" ref="N7821"/>
    <hyperlink r:id="rId11317" ref="N7822"/>
    <hyperlink r:id="rId11318" ref="N7823"/>
    <hyperlink r:id="rId11319" ref="N7824"/>
    <hyperlink r:id="rId11320" ref="N7825"/>
    <hyperlink r:id="rId11321" ref="N7826"/>
    <hyperlink r:id="rId11322" ref="N7827"/>
    <hyperlink r:id="rId11323" ref="N7828"/>
    <hyperlink r:id="rId11324" ref="N7829"/>
    <hyperlink r:id="rId11325" ref="N7830"/>
    <hyperlink r:id="rId11326" ref="N7831"/>
    <hyperlink r:id="rId11327" ref="N7832"/>
    <hyperlink r:id="rId11328" ref="N7833"/>
    <hyperlink r:id="rId11329" ref="N7834"/>
    <hyperlink r:id="rId11330" ref="N7835"/>
    <hyperlink r:id="rId11331" ref="N7836"/>
    <hyperlink r:id="rId11332" ref="E7837"/>
    <hyperlink r:id="rId11333" ref="N7837"/>
    <hyperlink r:id="rId11334" ref="N7838"/>
    <hyperlink r:id="rId11335" ref="N7839"/>
    <hyperlink r:id="rId11336" ref="N7840"/>
    <hyperlink r:id="rId11337" ref="N7841"/>
    <hyperlink r:id="rId11338" ref="N7842"/>
    <hyperlink r:id="rId11339" ref="N7843"/>
    <hyperlink r:id="rId11340" ref="N7844"/>
    <hyperlink r:id="rId11341" ref="N7845"/>
    <hyperlink r:id="rId11342" ref="N7846"/>
    <hyperlink r:id="rId11343" ref="N7847"/>
    <hyperlink r:id="rId11344" ref="N7848"/>
    <hyperlink r:id="rId11345" ref="N7849"/>
    <hyperlink r:id="rId11346" ref="N7850"/>
    <hyperlink r:id="rId11347" ref="N7851"/>
    <hyperlink r:id="rId11348" ref="N7852"/>
    <hyperlink r:id="rId11349" ref="N7853"/>
    <hyperlink r:id="rId11350" ref="N7854"/>
    <hyperlink r:id="rId11351" ref="N7855"/>
    <hyperlink r:id="rId11352" ref="N7856"/>
    <hyperlink r:id="rId11353" ref="N7857"/>
    <hyperlink r:id="rId11354" ref="N7858"/>
    <hyperlink r:id="rId11355" ref="N7859"/>
    <hyperlink r:id="rId11356" ref="N7860"/>
    <hyperlink r:id="rId11357" ref="N7861"/>
    <hyperlink r:id="rId11358" ref="N7862"/>
    <hyperlink r:id="rId11359" ref="N7863"/>
    <hyperlink r:id="rId11360" ref="N7864"/>
    <hyperlink r:id="rId11361" ref="N7865"/>
    <hyperlink r:id="rId11362" ref="N7866"/>
    <hyperlink r:id="rId11363" ref="N7867"/>
    <hyperlink r:id="rId11364" ref="N7868"/>
    <hyperlink r:id="rId11365" ref="N7869"/>
    <hyperlink r:id="rId11366" ref="N7870"/>
    <hyperlink r:id="rId11367" ref="N7871"/>
    <hyperlink r:id="rId11368" ref="N7872"/>
    <hyperlink r:id="rId11369" ref="N7873"/>
    <hyperlink r:id="rId11370" ref="N7874"/>
    <hyperlink r:id="rId11371" ref="N7875"/>
    <hyperlink r:id="rId11372" ref="N7876"/>
    <hyperlink r:id="rId11373" ref="N7877"/>
    <hyperlink r:id="rId11374" ref="N7878"/>
    <hyperlink r:id="rId11375" ref="N7879"/>
    <hyperlink r:id="rId11376" ref="N7880"/>
    <hyperlink r:id="rId11377" ref="N7881"/>
    <hyperlink r:id="rId11378" ref="N7882"/>
    <hyperlink r:id="rId11379" ref="N7883"/>
    <hyperlink r:id="rId11380" ref="N7884"/>
    <hyperlink r:id="rId11381" ref="N7885"/>
    <hyperlink r:id="rId11382" ref="N7886"/>
    <hyperlink r:id="rId11383" ref="N7887"/>
    <hyperlink r:id="rId11384" ref="N7888"/>
    <hyperlink r:id="rId11385" ref="N7889"/>
    <hyperlink r:id="rId11386" ref="N7890"/>
    <hyperlink r:id="rId11387" ref="N7891"/>
    <hyperlink r:id="rId11388" ref="N7892"/>
    <hyperlink r:id="rId11389" ref="N7893"/>
    <hyperlink r:id="rId11390" ref="N7894"/>
    <hyperlink r:id="rId11391" ref="N7895"/>
    <hyperlink r:id="rId11392" ref="N7896"/>
    <hyperlink r:id="rId11393" ref="N7897"/>
    <hyperlink r:id="rId11394" ref="N7898"/>
    <hyperlink r:id="rId11395" ref="N7899"/>
    <hyperlink r:id="rId11396" ref="N7900"/>
    <hyperlink r:id="rId11397" ref="N7901"/>
    <hyperlink r:id="rId11398" ref="N7902"/>
    <hyperlink r:id="rId11399" ref="N7903"/>
    <hyperlink r:id="rId11400" ref="N7904"/>
    <hyperlink r:id="rId11401" ref="N7905"/>
    <hyperlink r:id="rId11402" ref="N7906"/>
    <hyperlink r:id="rId11403" ref="N7907"/>
    <hyperlink r:id="rId11404" ref="N7908"/>
    <hyperlink r:id="rId11405" ref="N7909"/>
    <hyperlink r:id="rId11406" ref="N7910"/>
    <hyperlink r:id="rId11407" ref="N7911"/>
    <hyperlink r:id="rId11408" ref="N7912"/>
    <hyperlink r:id="rId11409" ref="N7913"/>
    <hyperlink r:id="rId11410" ref="N7914"/>
    <hyperlink r:id="rId11411" ref="N7915"/>
    <hyperlink r:id="rId11412" ref="N7916"/>
    <hyperlink r:id="rId11413" ref="N7917"/>
    <hyperlink r:id="rId11414" ref="N7918"/>
    <hyperlink r:id="rId11415" ref="N7919"/>
    <hyperlink r:id="rId11416" ref="N7920"/>
    <hyperlink r:id="rId11417" ref="N7921"/>
    <hyperlink r:id="rId11418" ref="N7922"/>
    <hyperlink r:id="rId11419" ref="N7923"/>
    <hyperlink r:id="rId11420" ref="N7924"/>
    <hyperlink r:id="rId11421" ref="N7925"/>
    <hyperlink r:id="rId11422" ref="N7926"/>
    <hyperlink r:id="rId11423" ref="N7927"/>
    <hyperlink r:id="rId11424" ref="N7928"/>
    <hyperlink r:id="rId11425" ref="N7929"/>
    <hyperlink r:id="rId11426" ref="N7930"/>
    <hyperlink r:id="rId11427" ref="N7931"/>
    <hyperlink r:id="rId11428" ref="N7932"/>
    <hyperlink r:id="rId11429" ref="N7933"/>
    <hyperlink r:id="rId11430" ref="N7934"/>
    <hyperlink r:id="rId11431" ref="N7935"/>
    <hyperlink r:id="rId11432" ref="N7936"/>
    <hyperlink r:id="rId11433" ref="N7937"/>
    <hyperlink r:id="rId11434" ref="N7938"/>
    <hyperlink r:id="rId11435" ref="N7939"/>
    <hyperlink r:id="rId11436" ref="N7940"/>
    <hyperlink r:id="rId11437" ref="N7941"/>
    <hyperlink r:id="rId11438" ref="N7942"/>
    <hyperlink r:id="rId11439" ref="N7943"/>
    <hyperlink r:id="rId11440" ref="N7944"/>
    <hyperlink r:id="rId11441" ref="N7945"/>
    <hyperlink r:id="rId11442" ref="N7946"/>
    <hyperlink r:id="rId11443" ref="N7947"/>
    <hyperlink r:id="rId11444" ref="N7948"/>
    <hyperlink r:id="rId11445" ref="N7949"/>
    <hyperlink r:id="rId11446" ref="N7950"/>
    <hyperlink r:id="rId11447" ref="N7951"/>
    <hyperlink r:id="rId11448" ref="N7952"/>
    <hyperlink r:id="rId11449" ref="N7953"/>
    <hyperlink r:id="rId11450" ref="N7954"/>
    <hyperlink r:id="rId11451" ref="N7955"/>
    <hyperlink r:id="rId11452" ref="N7956"/>
    <hyperlink r:id="rId11453" ref="N7957"/>
    <hyperlink r:id="rId11454" ref="N7958"/>
    <hyperlink r:id="rId11455" ref="N7959"/>
    <hyperlink r:id="rId11456" ref="N7960"/>
    <hyperlink r:id="rId11457" ref="N7961"/>
    <hyperlink r:id="rId11458" ref="N7962"/>
    <hyperlink r:id="rId11459" ref="N7963"/>
    <hyperlink r:id="rId11460" ref="N7964"/>
    <hyperlink r:id="rId11461" ref="N7965"/>
    <hyperlink r:id="rId11462" ref="N7966"/>
    <hyperlink r:id="rId11463" ref="N7967"/>
    <hyperlink r:id="rId11464" ref="N7968"/>
    <hyperlink r:id="rId11465" ref="N7969"/>
    <hyperlink r:id="rId11466" ref="N7970"/>
    <hyperlink r:id="rId11467" ref="N7971"/>
    <hyperlink r:id="rId11468" ref="N7972"/>
    <hyperlink r:id="rId11469" ref="N7973"/>
    <hyperlink r:id="rId11470" ref="N7974"/>
    <hyperlink r:id="rId11471" ref="N7975"/>
    <hyperlink r:id="rId11472" ref="N7976"/>
    <hyperlink r:id="rId11473" ref="N7977"/>
    <hyperlink r:id="rId11474" ref="N7978"/>
    <hyperlink r:id="rId11475" ref="N7979"/>
    <hyperlink r:id="rId11476" ref="N7980"/>
    <hyperlink r:id="rId11477" ref="N7981"/>
    <hyperlink r:id="rId11478" ref="N7982"/>
    <hyperlink r:id="rId11479" ref="N7983"/>
    <hyperlink r:id="rId11480" ref="N7984"/>
    <hyperlink r:id="rId11481" ref="N7985"/>
    <hyperlink r:id="rId11482" ref="N7986"/>
    <hyperlink r:id="rId11483" ref="N7987"/>
    <hyperlink r:id="rId11484" ref="N7988"/>
    <hyperlink r:id="rId11485" ref="N7989"/>
    <hyperlink r:id="rId11486" ref="N7990"/>
    <hyperlink r:id="rId11487" ref="N7991"/>
    <hyperlink r:id="rId11488" ref="N7992"/>
    <hyperlink r:id="rId11489" ref="N7993"/>
    <hyperlink r:id="rId11490" ref="N7994"/>
    <hyperlink r:id="rId11491" ref="N7995"/>
    <hyperlink r:id="rId11492" ref="N7996"/>
    <hyperlink r:id="rId11493" ref="N7997"/>
    <hyperlink r:id="rId11494" ref="N7998"/>
    <hyperlink r:id="rId11495" ref="N7999"/>
    <hyperlink r:id="rId11496" ref="N8000"/>
    <hyperlink r:id="rId11497" ref="N8001"/>
    <hyperlink r:id="rId11498" ref="N8002"/>
    <hyperlink r:id="rId11499" ref="N8003"/>
    <hyperlink r:id="rId11500" ref="N8004"/>
    <hyperlink r:id="rId11501" ref="N8005"/>
    <hyperlink r:id="rId11502" ref="N8006"/>
    <hyperlink r:id="rId11503" ref="N8007"/>
    <hyperlink r:id="rId11504" ref="N8008"/>
    <hyperlink r:id="rId11505" ref="N8009"/>
    <hyperlink r:id="rId11506" ref="N8010"/>
    <hyperlink r:id="rId11507" ref="N8011"/>
    <hyperlink r:id="rId11508" ref="N8012"/>
    <hyperlink r:id="rId11509" ref="N8013"/>
    <hyperlink r:id="rId11510" ref="N8014"/>
    <hyperlink r:id="rId11511" ref="N8015"/>
    <hyperlink r:id="rId11512" ref="N8016"/>
    <hyperlink r:id="rId11513" ref="N8017"/>
    <hyperlink r:id="rId11514" ref="N8018"/>
    <hyperlink r:id="rId11515" ref="N8019"/>
    <hyperlink r:id="rId11516" ref="N8020"/>
    <hyperlink r:id="rId11517" ref="N8021"/>
    <hyperlink r:id="rId11518" ref="N8022"/>
    <hyperlink r:id="rId11519" ref="N8023"/>
    <hyperlink r:id="rId11520" ref="N8024"/>
    <hyperlink r:id="rId11521" ref="N8025"/>
    <hyperlink r:id="rId11522" ref="N8026"/>
    <hyperlink r:id="rId11523" ref="N8027"/>
    <hyperlink r:id="rId11524" ref="N8028"/>
    <hyperlink r:id="rId11525" ref="N8029"/>
    <hyperlink r:id="rId11526" ref="N8030"/>
    <hyperlink r:id="rId11527" ref="N8031"/>
    <hyperlink r:id="rId11528" ref="N8032"/>
    <hyperlink r:id="rId11529" ref="N8033"/>
    <hyperlink r:id="rId11530" ref="N8034"/>
    <hyperlink r:id="rId11531" ref="N8035"/>
    <hyperlink r:id="rId11532" ref="N8036"/>
    <hyperlink r:id="rId11533" ref="N8037"/>
    <hyperlink r:id="rId11534" ref="N8038"/>
    <hyperlink r:id="rId11535" ref="N8039"/>
    <hyperlink r:id="rId11536" ref="N8040"/>
    <hyperlink r:id="rId11537" ref="N8041"/>
    <hyperlink r:id="rId11538" ref="N8042"/>
    <hyperlink r:id="rId11539" ref="N8043"/>
    <hyperlink r:id="rId11540" ref="N8044"/>
    <hyperlink r:id="rId11541" ref="N8045"/>
    <hyperlink r:id="rId11542" ref="N8046"/>
    <hyperlink r:id="rId11543" ref="N8047"/>
    <hyperlink r:id="rId11544" ref="N8048"/>
    <hyperlink r:id="rId11545" ref="N8049"/>
    <hyperlink r:id="rId11546" ref="N8050"/>
    <hyperlink r:id="rId11547" ref="N8051"/>
    <hyperlink r:id="rId11548" ref="N8052"/>
    <hyperlink r:id="rId11549" ref="N8053"/>
    <hyperlink r:id="rId11550" ref="N8054"/>
    <hyperlink r:id="rId11551" ref="N8055"/>
    <hyperlink r:id="rId11552" ref="N8056"/>
    <hyperlink r:id="rId11553" ref="N8057"/>
    <hyperlink r:id="rId11554" ref="N8058"/>
    <hyperlink r:id="rId11555" ref="N8059"/>
    <hyperlink r:id="rId11556" ref="N8060"/>
    <hyperlink r:id="rId11557" ref="N8061"/>
    <hyperlink r:id="rId11558" ref="N8062"/>
    <hyperlink r:id="rId11559" ref="N8063"/>
    <hyperlink r:id="rId11560" ref="N8064"/>
    <hyperlink r:id="rId11561" ref="N8065"/>
    <hyperlink r:id="rId11562" ref="N8066"/>
    <hyperlink r:id="rId11563" ref="N8067"/>
    <hyperlink r:id="rId11564" ref="N8068"/>
    <hyperlink r:id="rId11565" ref="N8069"/>
    <hyperlink r:id="rId11566" ref="N8070"/>
    <hyperlink r:id="rId11567" ref="N8071"/>
    <hyperlink r:id="rId11568" ref="N8072"/>
    <hyperlink r:id="rId11569" ref="N8073"/>
    <hyperlink r:id="rId11570" ref="N8074"/>
    <hyperlink r:id="rId11571" ref="N8075"/>
    <hyperlink r:id="rId11572" ref="N8076"/>
    <hyperlink r:id="rId11573" ref="N8077"/>
    <hyperlink r:id="rId11574" ref="N8078"/>
    <hyperlink r:id="rId11575" ref="N8079"/>
    <hyperlink r:id="rId11576" ref="N8080"/>
    <hyperlink r:id="rId11577" ref="N8081"/>
    <hyperlink r:id="rId11578" ref="N8082"/>
    <hyperlink r:id="rId11579" ref="N8083"/>
    <hyperlink r:id="rId11580" ref="N8084"/>
    <hyperlink r:id="rId11581" ref="N8085"/>
    <hyperlink r:id="rId11582" ref="N8086"/>
    <hyperlink r:id="rId11583" ref="N8087"/>
    <hyperlink r:id="rId11584" ref="N8088"/>
    <hyperlink r:id="rId11585" ref="N8089"/>
    <hyperlink r:id="rId11586" ref="N8090"/>
    <hyperlink r:id="rId11587" ref="N8091"/>
    <hyperlink r:id="rId11588" ref="N8092"/>
    <hyperlink r:id="rId11589" ref="N8093"/>
    <hyperlink r:id="rId11590" ref="N8094"/>
    <hyperlink r:id="rId11591" ref="N8095"/>
    <hyperlink r:id="rId11592" ref="N8096"/>
    <hyperlink r:id="rId11593" ref="N8097"/>
    <hyperlink r:id="rId11594" ref="N8098"/>
    <hyperlink r:id="rId11595" ref="N8099"/>
    <hyperlink r:id="rId11596" ref="N8100"/>
    <hyperlink r:id="rId11597" ref="N8101"/>
    <hyperlink r:id="rId11598" ref="N8102"/>
    <hyperlink r:id="rId11599" ref="N8103"/>
    <hyperlink r:id="rId11600" ref="N8104"/>
    <hyperlink r:id="rId11601" ref="N8105"/>
    <hyperlink r:id="rId11602" ref="N8106"/>
    <hyperlink r:id="rId11603" ref="N8107"/>
    <hyperlink r:id="rId11604" ref="N8108"/>
    <hyperlink r:id="rId11605" ref="N8109"/>
    <hyperlink r:id="rId11606" ref="N8110"/>
    <hyperlink r:id="rId11607" ref="N8111"/>
    <hyperlink r:id="rId11608" ref="N8112"/>
    <hyperlink r:id="rId11609" ref="N8113"/>
    <hyperlink r:id="rId11610" ref="N8114"/>
    <hyperlink r:id="rId11611" ref="N8115"/>
    <hyperlink r:id="rId11612" ref="N8116"/>
    <hyperlink r:id="rId11613" ref="N8117"/>
    <hyperlink r:id="rId11614" ref="N8118"/>
    <hyperlink r:id="rId11615" ref="N8119"/>
    <hyperlink r:id="rId11616" ref="N8120"/>
    <hyperlink r:id="rId11617" ref="N8121"/>
    <hyperlink r:id="rId11618" ref="N8122"/>
    <hyperlink r:id="rId11619" ref="N8123"/>
    <hyperlink r:id="rId11620" ref="N8124"/>
    <hyperlink r:id="rId11621" ref="N8125"/>
    <hyperlink r:id="rId11622" ref="N8126"/>
    <hyperlink r:id="rId11623" ref="N8127"/>
    <hyperlink r:id="rId11624" ref="N8128"/>
    <hyperlink r:id="rId11625" ref="N8129"/>
    <hyperlink r:id="rId11626" ref="N8130"/>
    <hyperlink r:id="rId11627" ref="N8131"/>
    <hyperlink r:id="rId11628" ref="N8132"/>
    <hyperlink r:id="rId11629" ref="N8133"/>
    <hyperlink r:id="rId11630" ref="N8134"/>
    <hyperlink r:id="rId11631" ref="N8135"/>
    <hyperlink r:id="rId11632" ref="N8136"/>
    <hyperlink r:id="rId11633" ref="N8137"/>
    <hyperlink r:id="rId11634" ref="N8138"/>
    <hyperlink r:id="rId11635" ref="N8139"/>
    <hyperlink r:id="rId11636" ref="N8140"/>
    <hyperlink r:id="rId11637" ref="N8141"/>
    <hyperlink r:id="rId11638" ref="N8142"/>
    <hyperlink r:id="rId11639" ref="N8143"/>
    <hyperlink r:id="rId11640" ref="N8144"/>
    <hyperlink r:id="rId11641" ref="N8145"/>
    <hyperlink r:id="rId11642" ref="N8146"/>
    <hyperlink r:id="rId11643" ref="N8147"/>
    <hyperlink r:id="rId11644" ref="N8148"/>
    <hyperlink r:id="rId11645" ref="N8149"/>
    <hyperlink r:id="rId11646" ref="N8150"/>
    <hyperlink r:id="rId11647" ref="N8151"/>
    <hyperlink r:id="rId11648" ref="N8152"/>
    <hyperlink r:id="rId11649" ref="N8153"/>
    <hyperlink r:id="rId11650" ref="N8154"/>
    <hyperlink r:id="rId11651" ref="N8155"/>
    <hyperlink r:id="rId11652" ref="N8156"/>
    <hyperlink r:id="rId11653" ref="N8157"/>
    <hyperlink r:id="rId11654" ref="N8158"/>
    <hyperlink r:id="rId11655" ref="N8159"/>
    <hyperlink r:id="rId11656" ref="N8160"/>
    <hyperlink r:id="rId11657" ref="N8161"/>
    <hyperlink r:id="rId11658" ref="N8162"/>
    <hyperlink r:id="rId11659" ref="N8163"/>
    <hyperlink r:id="rId11660" ref="N8164"/>
    <hyperlink r:id="rId11661" ref="N8165"/>
    <hyperlink r:id="rId11662" ref="N8166"/>
    <hyperlink r:id="rId11663" ref="N8167"/>
    <hyperlink r:id="rId11664" ref="N8168"/>
    <hyperlink r:id="rId11665" ref="N8169"/>
    <hyperlink r:id="rId11666" ref="N8170"/>
    <hyperlink r:id="rId11667" ref="N8171"/>
    <hyperlink r:id="rId11668" ref="N8172"/>
    <hyperlink r:id="rId11669" ref="N8173"/>
    <hyperlink r:id="rId11670" ref="N8174"/>
    <hyperlink r:id="rId11671" ref="N8175"/>
    <hyperlink r:id="rId11672" ref="N8176"/>
    <hyperlink r:id="rId11673" ref="N8177"/>
    <hyperlink r:id="rId11674" ref="N8178"/>
    <hyperlink r:id="rId11675" ref="N8179"/>
    <hyperlink r:id="rId11676" ref="N8180"/>
    <hyperlink r:id="rId11677" ref="N8181"/>
    <hyperlink r:id="rId11678" ref="N8182"/>
    <hyperlink r:id="rId11679" ref="N8183"/>
    <hyperlink r:id="rId11680" ref="N8184"/>
    <hyperlink r:id="rId11681" ref="N8185"/>
    <hyperlink r:id="rId11682" ref="N8186"/>
    <hyperlink r:id="rId11683" ref="N8187"/>
    <hyperlink r:id="rId11684" ref="N8188"/>
    <hyperlink r:id="rId11685" ref="N8189"/>
    <hyperlink r:id="rId11686" ref="N8190"/>
    <hyperlink r:id="rId11687" ref="N8191"/>
    <hyperlink r:id="rId11688" ref="N8192"/>
    <hyperlink r:id="rId11689" ref="N8193"/>
    <hyperlink r:id="rId11690" ref="N8194"/>
    <hyperlink r:id="rId11691" ref="N8195"/>
    <hyperlink r:id="rId11692" ref="N8196"/>
    <hyperlink r:id="rId11693" ref="N8197"/>
    <hyperlink r:id="rId11694" ref="N8198"/>
    <hyperlink r:id="rId11695" ref="N8199"/>
    <hyperlink r:id="rId11696" ref="N8200"/>
    <hyperlink r:id="rId11697" ref="N8201"/>
    <hyperlink r:id="rId11698" ref="N8202"/>
    <hyperlink r:id="rId11699" ref="N8203"/>
    <hyperlink r:id="rId11700" ref="N8204"/>
    <hyperlink r:id="rId11701" ref="N8205"/>
    <hyperlink r:id="rId11702" ref="N8206"/>
    <hyperlink r:id="rId11703" ref="N8207"/>
    <hyperlink r:id="rId11704" ref="N8208"/>
    <hyperlink r:id="rId11705" ref="N8209"/>
    <hyperlink r:id="rId11706" ref="N8210"/>
    <hyperlink r:id="rId11707" ref="N8211"/>
    <hyperlink r:id="rId11708" ref="N8212"/>
    <hyperlink r:id="rId11709" ref="N8213"/>
    <hyperlink r:id="rId11710" ref="N8214"/>
    <hyperlink r:id="rId11711" ref="N8215"/>
    <hyperlink r:id="rId11712" ref="N8216"/>
    <hyperlink r:id="rId11713" ref="N8217"/>
    <hyperlink r:id="rId11714" ref="N8218"/>
    <hyperlink r:id="rId11715" ref="N8219"/>
    <hyperlink r:id="rId11716" ref="N8220"/>
    <hyperlink r:id="rId11717" ref="N8221"/>
    <hyperlink r:id="rId11718" ref="N8222"/>
    <hyperlink r:id="rId11719" ref="N8223"/>
    <hyperlink r:id="rId11720" ref="N8224"/>
    <hyperlink r:id="rId11721" ref="N8225"/>
    <hyperlink r:id="rId11722" ref="N8226"/>
    <hyperlink r:id="rId11723" ref="N8227"/>
    <hyperlink r:id="rId11724" ref="N8228"/>
    <hyperlink r:id="rId11725" ref="N8229"/>
    <hyperlink r:id="rId11726" ref="N8230"/>
    <hyperlink r:id="rId11727" ref="N8231"/>
    <hyperlink r:id="rId11728" ref="N8232"/>
    <hyperlink r:id="rId11729" ref="N8233"/>
    <hyperlink r:id="rId11730" ref="N8234"/>
    <hyperlink r:id="rId11731" ref="N8235"/>
    <hyperlink r:id="rId11732" ref="N8236"/>
    <hyperlink r:id="rId11733" ref="N8237"/>
    <hyperlink r:id="rId11734" ref="N8238"/>
    <hyperlink r:id="rId11735" ref="N8239"/>
    <hyperlink r:id="rId11736" ref="N8240"/>
    <hyperlink r:id="rId11737" ref="N8241"/>
    <hyperlink r:id="rId11738" ref="N8242"/>
    <hyperlink r:id="rId11739" ref="N8243"/>
    <hyperlink r:id="rId11740" ref="N8244"/>
    <hyperlink r:id="rId11741" ref="N8245"/>
    <hyperlink r:id="rId11742" ref="N8246"/>
    <hyperlink r:id="rId11743" ref="N8247"/>
    <hyperlink r:id="rId11744" ref="N8248"/>
    <hyperlink r:id="rId11745" ref="N8249"/>
    <hyperlink r:id="rId11746" ref="N8250"/>
    <hyperlink r:id="rId11747" ref="N8251"/>
    <hyperlink r:id="rId11748" ref="N8252"/>
    <hyperlink r:id="rId11749" ref="N8253"/>
    <hyperlink r:id="rId11750" ref="N8254"/>
    <hyperlink r:id="rId11751" ref="N8255"/>
    <hyperlink r:id="rId11752" ref="N8256"/>
    <hyperlink r:id="rId11753" ref="N8257"/>
    <hyperlink r:id="rId11754" ref="N8258"/>
    <hyperlink r:id="rId11755" ref="N8259"/>
    <hyperlink r:id="rId11756" ref="N8260"/>
    <hyperlink r:id="rId11757" ref="N8261"/>
    <hyperlink r:id="rId11758" ref="N8262"/>
    <hyperlink r:id="rId11759" ref="N8263"/>
    <hyperlink r:id="rId11760" ref="N8264"/>
    <hyperlink r:id="rId11761" ref="N8265"/>
    <hyperlink r:id="rId11762" ref="N8266"/>
    <hyperlink r:id="rId11763" ref="N8267"/>
    <hyperlink r:id="rId11764" ref="N8268"/>
    <hyperlink r:id="rId11765" ref="N8269"/>
    <hyperlink r:id="rId11766" ref="N8270"/>
    <hyperlink r:id="rId11767" ref="N8271"/>
    <hyperlink r:id="rId11768" ref="N8272"/>
    <hyperlink r:id="rId11769" ref="N8273"/>
    <hyperlink r:id="rId11770" ref="N8274"/>
    <hyperlink r:id="rId11771" ref="N8275"/>
    <hyperlink r:id="rId11772" ref="N8276"/>
    <hyperlink r:id="rId11773" ref="N8277"/>
    <hyperlink r:id="rId11774" ref="N8278"/>
    <hyperlink r:id="rId11775" ref="N8279"/>
    <hyperlink r:id="rId11776" ref="N8280"/>
    <hyperlink r:id="rId11777" ref="N8281"/>
    <hyperlink r:id="rId11778" ref="N8282"/>
    <hyperlink r:id="rId11779" ref="N8283"/>
    <hyperlink r:id="rId11780" ref="N8284"/>
    <hyperlink r:id="rId11781" ref="N8285"/>
    <hyperlink r:id="rId11782" ref="N8286"/>
    <hyperlink r:id="rId11783" ref="N8287"/>
    <hyperlink r:id="rId11784" ref="N8288"/>
    <hyperlink r:id="rId11785" ref="N8289"/>
    <hyperlink r:id="rId11786" ref="N8290"/>
    <hyperlink r:id="rId11787" ref="N8291"/>
    <hyperlink r:id="rId11788" ref="N8292"/>
    <hyperlink r:id="rId11789" ref="N8293"/>
    <hyperlink r:id="rId11790" ref="N8294"/>
    <hyperlink r:id="rId11791" ref="N8295"/>
    <hyperlink r:id="rId11792" ref="N8296"/>
    <hyperlink r:id="rId11793" ref="N8297"/>
    <hyperlink r:id="rId11794" ref="N8298"/>
    <hyperlink r:id="rId11795" ref="N8299"/>
    <hyperlink r:id="rId11796" ref="N8300"/>
    <hyperlink r:id="rId11797" ref="N8301"/>
    <hyperlink r:id="rId11798" ref="N8302"/>
    <hyperlink r:id="rId11799" ref="N8303"/>
    <hyperlink r:id="rId11800" ref="N8304"/>
    <hyperlink r:id="rId11801" ref="N8305"/>
    <hyperlink r:id="rId11802" ref="N8306"/>
    <hyperlink r:id="rId11803" ref="N8307"/>
    <hyperlink r:id="rId11804" ref="N8308"/>
    <hyperlink r:id="rId11805" ref="N8309"/>
    <hyperlink r:id="rId11806" ref="N8310"/>
    <hyperlink r:id="rId11807" ref="E8311"/>
    <hyperlink r:id="rId11808" ref="N8311"/>
    <hyperlink r:id="rId11809" ref="N8312"/>
    <hyperlink r:id="rId11810" ref="N8313"/>
    <hyperlink r:id="rId11811" ref="N8314"/>
    <hyperlink r:id="rId11812" ref="N8315"/>
    <hyperlink r:id="rId11813" ref="N8316"/>
    <hyperlink r:id="rId11814" ref="N8317"/>
    <hyperlink r:id="rId11815" ref="N8318"/>
    <hyperlink r:id="rId11816" ref="N8319"/>
    <hyperlink r:id="rId11817" ref="N8320"/>
    <hyperlink r:id="rId11818" ref="N8321"/>
    <hyperlink r:id="rId11819" ref="N8322"/>
    <hyperlink r:id="rId11820" ref="N8323"/>
    <hyperlink r:id="rId11821" ref="N8324"/>
    <hyperlink r:id="rId11822" ref="N8325"/>
    <hyperlink r:id="rId11823" ref="N8326"/>
    <hyperlink r:id="rId11824" ref="N8327"/>
    <hyperlink r:id="rId11825" ref="N8328"/>
    <hyperlink r:id="rId11826" ref="N8329"/>
    <hyperlink r:id="rId11827" ref="N8330"/>
    <hyperlink r:id="rId11828" ref="N8331"/>
    <hyperlink r:id="rId11829" ref="N8332"/>
    <hyperlink r:id="rId11830" ref="N8333"/>
    <hyperlink r:id="rId11831" ref="N8334"/>
    <hyperlink r:id="rId11832" ref="N8335"/>
    <hyperlink r:id="rId11833" ref="N8336"/>
    <hyperlink r:id="rId11834" ref="N8337"/>
    <hyperlink r:id="rId11835" ref="N8338"/>
    <hyperlink r:id="rId11836" ref="N8339"/>
    <hyperlink r:id="rId11837" ref="N8340"/>
    <hyperlink r:id="rId11838" ref="N8341"/>
    <hyperlink r:id="rId11839" ref="N8342"/>
    <hyperlink r:id="rId11840" ref="N8343"/>
    <hyperlink r:id="rId11841" ref="N8344"/>
    <hyperlink r:id="rId11842" ref="N8345"/>
    <hyperlink r:id="rId11843" ref="N8346"/>
    <hyperlink r:id="rId11844" ref="N8347"/>
    <hyperlink r:id="rId11845" ref="N8348"/>
    <hyperlink r:id="rId11846" ref="N8349"/>
    <hyperlink r:id="rId11847" ref="N8350"/>
    <hyperlink r:id="rId11848" ref="N8351"/>
    <hyperlink r:id="rId11849" ref="N8352"/>
    <hyperlink r:id="rId11850" ref="N8353"/>
    <hyperlink r:id="rId11851" ref="N8354"/>
    <hyperlink r:id="rId11852" ref="N8355"/>
    <hyperlink r:id="rId11853" ref="N8356"/>
    <hyperlink r:id="rId11854" ref="N8357"/>
    <hyperlink r:id="rId11855" ref="N8358"/>
    <hyperlink r:id="rId11856" ref="N8359"/>
    <hyperlink r:id="rId11857" ref="N8360"/>
    <hyperlink r:id="rId11858" ref="N8361"/>
    <hyperlink r:id="rId11859" ref="N8362"/>
    <hyperlink r:id="rId11860" ref="N8363"/>
    <hyperlink r:id="rId11861" ref="N8364"/>
    <hyperlink r:id="rId11862" ref="N8365"/>
    <hyperlink r:id="rId11863" ref="N8366"/>
    <hyperlink r:id="rId11864" ref="N8367"/>
    <hyperlink r:id="rId11865" ref="N8368"/>
    <hyperlink r:id="rId11866" ref="N8369"/>
    <hyperlink r:id="rId11867" ref="N8370"/>
    <hyperlink r:id="rId11868" ref="N8371"/>
    <hyperlink r:id="rId11869" ref="N8372"/>
    <hyperlink r:id="rId11870" ref="N8373"/>
    <hyperlink r:id="rId11871" ref="N8374"/>
    <hyperlink r:id="rId11872" ref="N8375"/>
    <hyperlink r:id="rId11873" ref="N8376"/>
    <hyperlink r:id="rId11874" ref="N8377"/>
    <hyperlink r:id="rId11875" ref="N8378"/>
    <hyperlink r:id="rId11876" ref="N8379"/>
    <hyperlink r:id="rId11877" ref="N8380"/>
    <hyperlink r:id="rId11878" ref="N8381"/>
    <hyperlink r:id="rId11879" ref="N8382"/>
    <hyperlink r:id="rId11880" ref="N8383"/>
    <hyperlink r:id="rId11881" ref="N8384"/>
    <hyperlink r:id="rId11882" ref="N8385"/>
    <hyperlink r:id="rId11883" ref="N8386"/>
    <hyperlink r:id="rId11884" ref="N8387"/>
    <hyperlink r:id="rId11885" ref="N8388"/>
    <hyperlink r:id="rId11886" ref="N8389"/>
    <hyperlink r:id="rId11887" ref="N8390"/>
    <hyperlink r:id="rId11888" ref="N8391"/>
    <hyperlink r:id="rId11889" ref="N8392"/>
    <hyperlink r:id="rId11890" ref="N8393"/>
    <hyperlink r:id="rId11891" ref="N8394"/>
    <hyperlink r:id="rId11892" ref="N8395"/>
    <hyperlink r:id="rId11893" ref="N8396"/>
    <hyperlink r:id="rId11894" ref="N8397"/>
    <hyperlink r:id="rId11895" ref="N8398"/>
    <hyperlink r:id="rId11896" ref="N8399"/>
    <hyperlink r:id="rId11897" ref="N8400"/>
    <hyperlink r:id="rId11898" ref="N8401"/>
    <hyperlink r:id="rId11899" ref="N8402"/>
    <hyperlink r:id="rId11900" ref="N8403"/>
    <hyperlink r:id="rId11901" ref="N8404"/>
    <hyperlink r:id="rId11902" ref="N8405"/>
    <hyperlink r:id="rId11903" ref="N8406"/>
    <hyperlink r:id="rId11904" ref="N8407"/>
    <hyperlink r:id="rId11905" ref="N8408"/>
    <hyperlink r:id="rId11906" ref="N8409"/>
    <hyperlink r:id="rId11907" ref="N8410"/>
    <hyperlink r:id="rId11908" ref="N8411"/>
    <hyperlink r:id="rId11909" ref="N8412"/>
    <hyperlink r:id="rId11910" ref="N8413"/>
    <hyperlink r:id="rId11911" ref="N8414"/>
    <hyperlink r:id="rId11912" ref="N8415"/>
    <hyperlink r:id="rId11913" ref="N8416"/>
    <hyperlink r:id="rId11914" ref="N8417"/>
    <hyperlink r:id="rId11915" ref="N8418"/>
    <hyperlink r:id="rId11916" ref="N8419"/>
    <hyperlink r:id="rId11917" ref="N8420"/>
    <hyperlink r:id="rId11918" ref="N8421"/>
    <hyperlink r:id="rId11919" ref="N8422"/>
    <hyperlink r:id="rId11920" ref="N8423"/>
    <hyperlink r:id="rId11921" ref="N8424"/>
    <hyperlink r:id="rId11922" ref="N8425"/>
    <hyperlink r:id="rId11923" ref="N8426"/>
    <hyperlink r:id="rId11924" ref="N8427"/>
    <hyperlink r:id="rId11925" ref="N8428"/>
    <hyperlink r:id="rId11926" ref="N8429"/>
    <hyperlink r:id="rId11927" ref="N8430"/>
    <hyperlink r:id="rId11928" ref="N8431"/>
    <hyperlink r:id="rId11929" ref="N8432"/>
    <hyperlink r:id="rId11930" ref="N8433"/>
    <hyperlink r:id="rId11931" ref="N8434"/>
    <hyperlink r:id="rId11932" ref="N8435"/>
    <hyperlink r:id="rId11933" ref="N8436"/>
    <hyperlink r:id="rId11934" ref="N8437"/>
    <hyperlink r:id="rId11935" ref="N8438"/>
    <hyperlink r:id="rId11936" ref="N8439"/>
    <hyperlink r:id="rId11937" ref="N8440"/>
    <hyperlink r:id="rId11938" ref="N8441"/>
    <hyperlink r:id="rId11939" ref="N8442"/>
    <hyperlink r:id="rId11940" ref="N8443"/>
    <hyperlink r:id="rId11941" ref="N8444"/>
    <hyperlink r:id="rId11942" ref="N8445"/>
    <hyperlink r:id="rId11943" ref="N8446"/>
    <hyperlink r:id="rId11944" ref="N8447"/>
    <hyperlink r:id="rId11945" ref="E8448"/>
    <hyperlink r:id="rId11946" ref="N8448"/>
    <hyperlink r:id="rId11947" ref="N8449"/>
    <hyperlink r:id="rId11948" ref="N8450"/>
    <hyperlink r:id="rId11949" ref="N8451"/>
    <hyperlink r:id="rId11950" ref="N8452"/>
    <hyperlink r:id="rId11951" ref="N8453"/>
    <hyperlink r:id="rId11952" ref="N8454"/>
    <hyperlink r:id="rId11953" ref="N8455"/>
    <hyperlink r:id="rId11954" ref="N8456"/>
    <hyperlink r:id="rId11955" ref="N8457"/>
    <hyperlink r:id="rId11956" ref="N8458"/>
    <hyperlink r:id="rId11957" ref="N8459"/>
    <hyperlink r:id="rId11958" ref="N8460"/>
    <hyperlink r:id="rId11959" ref="N8461"/>
    <hyperlink r:id="rId11960" ref="N8462"/>
    <hyperlink r:id="rId11961" ref="N8463"/>
    <hyperlink r:id="rId11962" ref="N8464"/>
    <hyperlink r:id="rId11963" ref="N8465"/>
    <hyperlink r:id="rId11964" ref="N8466"/>
    <hyperlink r:id="rId11965" ref="N8467"/>
    <hyperlink r:id="rId11966" ref="N8468"/>
    <hyperlink r:id="rId11967" ref="N8469"/>
    <hyperlink r:id="rId11968" ref="N8470"/>
    <hyperlink r:id="rId11969" ref="N8471"/>
    <hyperlink r:id="rId11970" ref="N8472"/>
    <hyperlink r:id="rId11971" ref="N8473"/>
    <hyperlink r:id="rId11972" ref="N8474"/>
    <hyperlink r:id="rId11973" ref="N8475"/>
    <hyperlink r:id="rId11974" ref="N8476"/>
    <hyperlink r:id="rId11975" ref="N8477"/>
    <hyperlink r:id="rId11976" ref="N8478"/>
    <hyperlink r:id="rId11977" ref="N8479"/>
    <hyperlink r:id="rId11978" ref="N8480"/>
    <hyperlink r:id="rId11979" ref="N8481"/>
    <hyperlink r:id="rId11980" ref="N8482"/>
    <hyperlink r:id="rId11981" ref="N8483"/>
    <hyperlink r:id="rId11982" ref="N8484"/>
    <hyperlink r:id="rId11983" ref="N8485"/>
    <hyperlink r:id="rId11984" ref="N8486"/>
    <hyperlink r:id="rId11985" ref="N8487"/>
    <hyperlink r:id="rId11986" ref="N8488"/>
    <hyperlink r:id="rId11987" ref="N8489"/>
    <hyperlink r:id="rId11988" ref="N8490"/>
    <hyperlink r:id="rId11989" ref="N8491"/>
    <hyperlink r:id="rId11990" ref="N8492"/>
    <hyperlink r:id="rId11991" ref="N8493"/>
    <hyperlink r:id="rId11992" ref="N8494"/>
    <hyperlink r:id="rId11993" ref="N8495"/>
    <hyperlink r:id="rId11994" ref="N8496"/>
    <hyperlink r:id="rId11995" ref="N8497"/>
    <hyperlink r:id="rId11996" ref="N8498"/>
    <hyperlink r:id="rId11997" ref="N8499"/>
    <hyperlink r:id="rId11998" ref="N8500"/>
    <hyperlink r:id="rId11999" ref="N8501"/>
    <hyperlink r:id="rId12000" ref="N8502"/>
    <hyperlink r:id="rId12001" ref="N8503"/>
    <hyperlink r:id="rId12002" ref="N8504"/>
    <hyperlink r:id="rId12003" ref="N8505"/>
    <hyperlink r:id="rId12004" ref="N8506"/>
    <hyperlink r:id="rId12005" ref="N8507"/>
    <hyperlink r:id="rId12006" ref="N8508"/>
    <hyperlink r:id="rId12007" ref="N8509"/>
    <hyperlink r:id="rId12008" ref="N8510"/>
    <hyperlink r:id="rId12009" ref="N8511"/>
    <hyperlink r:id="rId12010" ref="N8512"/>
    <hyperlink r:id="rId12011" ref="N8513"/>
    <hyperlink r:id="rId12012" ref="N8514"/>
    <hyperlink r:id="rId12013" ref="N8515"/>
    <hyperlink r:id="rId12014" ref="N8516"/>
    <hyperlink r:id="rId12015" ref="N8517"/>
    <hyperlink r:id="rId12016" ref="N8518"/>
    <hyperlink r:id="rId12017" ref="N8519"/>
    <hyperlink r:id="rId12018" ref="N8520"/>
    <hyperlink r:id="rId12019" ref="N8521"/>
    <hyperlink r:id="rId12020" ref="N8522"/>
    <hyperlink r:id="rId12021" ref="N8523"/>
    <hyperlink r:id="rId12022" ref="N8524"/>
    <hyperlink r:id="rId12023" ref="N8525"/>
    <hyperlink r:id="rId12024" ref="N8526"/>
    <hyperlink r:id="rId12025" ref="N8527"/>
    <hyperlink r:id="rId12026" ref="N8528"/>
    <hyperlink r:id="rId12027" ref="N8529"/>
    <hyperlink r:id="rId12028" ref="N8530"/>
    <hyperlink r:id="rId12029" ref="N8531"/>
    <hyperlink r:id="rId12030" ref="N8532"/>
    <hyperlink r:id="rId12031" ref="N8533"/>
    <hyperlink r:id="rId12032" ref="N8534"/>
    <hyperlink r:id="rId12033" ref="N8535"/>
    <hyperlink r:id="rId12034" ref="N8536"/>
    <hyperlink r:id="rId12035" ref="N8537"/>
    <hyperlink r:id="rId12036" ref="N8538"/>
    <hyperlink r:id="rId12037" ref="N8539"/>
    <hyperlink r:id="rId12038" ref="N8540"/>
    <hyperlink r:id="rId12039" ref="N8541"/>
    <hyperlink r:id="rId12040" ref="N8542"/>
    <hyperlink r:id="rId12041" ref="N8543"/>
    <hyperlink r:id="rId12042" ref="N8544"/>
    <hyperlink r:id="rId12043" ref="N8545"/>
    <hyperlink r:id="rId12044" ref="N8546"/>
    <hyperlink r:id="rId12045" ref="N8547"/>
    <hyperlink r:id="rId12046" ref="N8548"/>
    <hyperlink r:id="rId12047" ref="N8549"/>
    <hyperlink r:id="rId12048" ref="N8550"/>
    <hyperlink r:id="rId12049" ref="N8551"/>
    <hyperlink r:id="rId12050" ref="N8552"/>
    <hyperlink r:id="rId12051" ref="N8553"/>
    <hyperlink r:id="rId12052" ref="N8554"/>
    <hyperlink r:id="rId12053" ref="N8555"/>
    <hyperlink r:id="rId12054" ref="N8556"/>
    <hyperlink r:id="rId12055" ref="N8557"/>
    <hyperlink r:id="rId12056" ref="N8558"/>
    <hyperlink r:id="rId12057" ref="N8559"/>
    <hyperlink r:id="rId12058" ref="N8560"/>
    <hyperlink r:id="rId12059" ref="N8561"/>
    <hyperlink r:id="rId12060" ref="N8562"/>
    <hyperlink r:id="rId12061" ref="N8563"/>
    <hyperlink r:id="rId12062" ref="N8564"/>
    <hyperlink r:id="rId12063" ref="N8565"/>
    <hyperlink r:id="rId12064" ref="N8566"/>
    <hyperlink r:id="rId12065" ref="N8567"/>
    <hyperlink r:id="rId12066" ref="N8568"/>
    <hyperlink r:id="rId12067" ref="N8569"/>
    <hyperlink r:id="rId12068" ref="N8570"/>
    <hyperlink r:id="rId12069" ref="N8571"/>
    <hyperlink r:id="rId12070" ref="N8572"/>
    <hyperlink r:id="rId12071" ref="N8573"/>
    <hyperlink r:id="rId12072" ref="N8574"/>
    <hyperlink r:id="rId12073" ref="N8575"/>
    <hyperlink r:id="rId12074" ref="N8576"/>
    <hyperlink r:id="rId12075" ref="N8577"/>
    <hyperlink r:id="rId12076" ref="N8578"/>
    <hyperlink r:id="rId12077" ref="N8579"/>
    <hyperlink r:id="rId12078" ref="N8580"/>
    <hyperlink r:id="rId12079" ref="N8581"/>
    <hyperlink r:id="rId12080" ref="N8582"/>
    <hyperlink r:id="rId12081" ref="N8583"/>
    <hyperlink r:id="rId12082" ref="N8584"/>
    <hyperlink r:id="rId12083" ref="N8585"/>
    <hyperlink r:id="rId12084" ref="N8586"/>
    <hyperlink r:id="rId12085" ref="N8587"/>
    <hyperlink r:id="rId12086" ref="N8588"/>
    <hyperlink r:id="rId12087" ref="N8589"/>
    <hyperlink r:id="rId12088" ref="N8590"/>
    <hyperlink r:id="rId12089" ref="N8591"/>
    <hyperlink r:id="rId12090" ref="N8592"/>
    <hyperlink r:id="rId12091" ref="N8593"/>
    <hyperlink r:id="rId12092" ref="N8594"/>
    <hyperlink r:id="rId12093" ref="N8595"/>
    <hyperlink r:id="rId12094" ref="N8596"/>
    <hyperlink r:id="rId12095" ref="N8597"/>
    <hyperlink r:id="rId12096" ref="N8598"/>
    <hyperlink r:id="rId12097" ref="N8599"/>
    <hyperlink r:id="rId12098" ref="N8600"/>
    <hyperlink r:id="rId12099" ref="N8601"/>
    <hyperlink r:id="rId12100" ref="N8602"/>
    <hyperlink r:id="rId12101" ref="N8603"/>
    <hyperlink r:id="rId12102" ref="N8604"/>
    <hyperlink r:id="rId12103" ref="N8605"/>
    <hyperlink r:id="rId12104" ref="N8606"/>
    <hyperlink r:id="rId12105" ref="N8607"/>
    <hyperlink r:id="rId12106" ref="N8608"/>
    <hyperlink r:id="rId12107" ref="N8609"/>
    <hyperlink r:id="rId12108" ref="N8610"/>
    <hyperlink r:id="rId12109" ref="N8611"/>
    <hyperlink r:id="rId12110" ref="N8612"/>
    <hyperlink r:id="rId12111" ref="N8613"/>
    <hyperlink r:id="rId12112" ref="N8614"/>
    <hyperlink r:id="rId12113" ref="N8615"/>
    <hyperlink r:id="rId12114" ref="N8616"/>
    <hyperlink r:id="rId12115" ref="N8617"/>
    <hyperlink r:id="rId12116" ref="N8618"/>
    <hyperlink r:id="rId12117" ref="N8619"/>
    <hyperlink r:id="rId12118" ref="N8620"/>
    <hyperlink r:id="rId12119" ref="N8621"/>
    <hyperlink r:id="rId12120" ref="N8622"/>
    <hyperlink r:id="rId12121" ref="N8623"/>
    <hyperlink r:id="rId12122" ref="N8624"/>
    <hyperlink r:id="rId12123" ref="N8625"/>
    <hyperlink r:id="rId12124" ref="N8626"/>
    <hyperlink r:id="rId12125" ref="N8627"/>
    <hyperlink r:id="rId12126" ref="N8628"/>
    <hyperlink r:id="rId12127" ref="N8629"/>
    <hyperlink r:id="rId12128" ref="N8630"/>
    <hyperlink r:id="rId12129" ref="N8631"/>
    <hyperlink r:id="rId12130" ref="N8632"/>
    <hyperlink r:id="rId12131" ref="N8633"/>
    <hyperlink r:id="rId12132" ref="N8634"/>
    <hyperlink r:id="rId12133" ref="N8635"/>
    <hyperlink r:id="rId12134" ref="N8636"/>
    <hyperlink r:id="rId12135" ref="N8637"/>
    <hyperlink r:id="rId12136" ref="N8638"/>
    <hyperlink r:id="rId12137" ref="N8639"/>
    <hyperlink r:id="rId12138" ref="N8640"/>
    <hyperlink r:id="rId12139" ref="N8641"/>
    <hyperlink r:id="rId12140" ref="N8642"/>
    <hyperlink r:id="rId12141" ref="N8643"/>
    <hyperlink r:id="rId12142" ref="N8644"/>
    <hyperlink r:id="rId12143" ref="N8645"/>
    <hyperlink r:id="rId12144" ref="N8646"/>
    <hyperlink r:id="rId12145" ref="N8647"/>
    <hyperlink r:id="rId12146" ref="N8648"/>
    <hyperlink r:id="rId12147" ref="N8649"/>
    <hyperlink r:id="rId12148" ref="N8650"/>
    <hyperlink r:id="rId12149" ref="N8651"/>
    <hyperlink r:id="rId12150" ref="N8652"/>
    <hyperlink r:id="rId12151" ref="N8653"/>
    <hyperlink r:id="rId12152" ref="N8654"/>
    <hyperlink r:id="rId12153" ref="N8655"/>
    <hyperlink r:id="rId12154" ref="N8656"/>
    <hyperlink r:id="rId12155" ref="N8657"/>
    <hyperlink r:id="rId12156" ref="N8658"/>
    <hyperlink r:id="rId12157" ref="N8659"/>
    <hyperlink r:id="rId12158" ref="N8660"/>
    <hyperlink r:id="rId12159" ref="N8661"/>
    <hyperlink r:id="rId12160" ref="N8662"/>
    <hyperlink r:id="rId12161" ref="N8663"/>
    <hyperlink r:id="rId12162" ref="N8664"/>
    <hyperlink r:id="rId12163" ref="N8665"/>
    <hyperlink r:id="rId12164" ref="N8666"/>
    <hyperlink r:id="rId12165" ref="N8667"/>
    <hyperlink r:id="rId12166" ref="N8668"/>
    <hyperlink r:id="rId12167" ref="N8669"/>
    <hyperlink r:id="rId12168" ref="N8670"/>
    <hyperlink r:id="rId12169" ref="N8671"/>
    <hyperlink r:id="rId12170" ref="N8672"/>
    <hyperlink r:id="rId12171" ref="N8673"/>
    <hyperlink r:id="rId12172" ref="N8674"/>
    <hyperlink r:id="rId12173" ref="N8675"/>
    <hyperlink r:id="rId12174" ref="N8676"/>
    <hyperlink r:id="rId12175" ref="N8677"/>
    <hyperlink r:id="rId12176" ref="N8678"/>
    <hyperlink r:id="rId12177" ref="N8679"/>
    <hyperlink r:id="rId12178" ref="N8680"/>
    <hyperlink r:id="rId12179" ref="N8681"/>
    <hyperlink r:id="rId12180" ref="N8682"/>
    <hyperlink r:id="rId12181" ref="N8683"/>
    <hyperlink r:id="rId12182" ref="N8684"/>
    <hyperlink r:id="rId12183" ref="N8685"/>
    <hyperlink r:id="rId12184" ref="N8686"/>
    <hyperlink r:id="rId12185" ref="N8687"/>
    <hyperlink r:id="rId12186" ref="N8688"/>
    <hyperlink r:id="rId12187" ref="N8689"/>
    <hyperlink r:id="rId12188" ref="N8690"/>
    <hyperlink r:id="rId12189" ref="N8691"/>
    <hyperlink r:id="rId12190" ref="N8692"/>
    <hyperlink r:id="rId12191" ref="N8693"/>
    <hyperlink r:id="rId12192" ref="N8694"/>
    <hyperlink r:id="rId12193" ref="N8695"/>
    <hyperlink r:id="rId12194" ref="N8696"/>
    <hyperlink r:id="rId12195" ref="N8697"/>
    <hyperlink r:id="rId12196" ref="N8698"/>
    <hyperlink r:id="rId12197" ref="N8699"/>
    <hyperlink r:id="rId12198" ref="N8700"/>
    <hyperlink r:id="rId12199" ref="N8701"/>
    <hyperlink r:id="rId12200" ref="N8702"/>
    <hyperlink r:id="rId12201" ref="N8703"/>
    <hyperlink r:id="rId12202" ref="N8704"/>
    <hyperlink r:id="rId12203" ref="N8705"/>
    <hyperlink r:id="rId12204" ref="N8706"/>
    <hyperlink r:id="rId12205" ref="N8707"/>
    <hyperlink r:id="rId12206" ref="N8708"/>
    <hyperlink r:id="rId12207" ref="N8709"/>
    <hyperlink r:id="rId12208" ref="N8710"/>
    <hyperlink r:id="rId12209" ref="N8711"/>
    <hyperlink r:id="rId12210" ref="N8712"/>
    <hyperlink r:id="rId12211" ref="N8713"/>
    <hyperlink r:id="rId12212" ref="N8714"/>
    <hyperlink r:id="rId12213" ref="N8715"/>
    <hyperlink r:id="rId12214" ref="N8716"/>
    <hyperlink r:id="rId12215" ref="N8717"/>
    <hyperlink r:id="rId12216" ref="N8718"/>
    <hyperlink r:id="rId12217" ref="N8719"/>
    <hyperlink r:id="rId12218" ref="N8720"/>
    <hyperlink r:id="rId12219" ref="N8721"/>
    <hyperlink r:id="rId12220" ref="N8722"/>
    <hyperlink r:id="rId12221" ref="N8723"/>
    <hyperlink r:id="rId12222" ref="N8724"/>
    <hyperlink r:id="rId12223" ref="N8725"/>
    <hyperlink r:id="rId12224" ref="N8726"/>
    <hyperlink r:id="rId12225" ref="N8727"/>
    <hyperlink r:id="rId12226" ref="N8728"/>
    <hyperlink r:id="rId12227" ref="N8729"/>
    <hyperlink r:id="rId12228" ref="N8730"/>
    <hyperlink r:id="rId12229" ref="N8731"/>
    <hyperlink r:id="rId12230" ref="N8732"/>
    <hyperlink r:id="rId12231" ref="N8733"/>
    <hyperlink r:id="rId12232" ref="N8734"/>
    <hyperlink r:id="rId12233" ref="N8735"/>
    <hyperlink r:id="rId12234" ref="N8736"/>
    <hyperlink r:id="rId12235" ref="N8737"/>
    <hyperlink r:id="rId12236" ref="N8738"/>
    <hyperlink r:id="rId12237" ref="N8739"/>
    <hyperlink r:id="rId12238" ref="N8740"/>
    <hyperlink r:id="rId12239" ref="N8741"/>
    <hyperlink r:id="rId12240" ref="N8742"/>
    <hyperlink r:id="rId12241" ref="N8743"/>
    <hyperlink r:id="rId12242" ref="N8744"/>
    <hyperlink r:id="rId12243" ref="N8745"/>
    <hyperlink r:id="rId12244" ref="N8746"/>
    <hyperlink r:id="rId12245" ref="N8747"/>
    <hyperlink r:id="rId12246" ref="N8748"/>
    <hyperlink r:id="rId12247" ref="N8749"/>
    <hyperlink r:id="rId12248" ref="N8750"/>
    <hyperlink r:id="rId12249" ref="N8751"/>
    <hyperlink r:id="rId12250" ref="N8752"/>
    <hyperlink r:id="rId12251" ref="N8753"/>
    <hyperlink r:id="rId12252" ref="N8754"/>
    <hyperlink r:id="rId12253" ref="N8755"/>
    <hyperlink r:id="rId12254" ref="N8756"/>
    <hyperlink r:id="rId12255" ref="N8757"/>
    <hyperlink r:id="rId12256" ref="N8758"/>
    <hyperlink r:id="rId12257" ref="N8759"/>
    <hyperlink r:id="rId12258" ref="N8760"/>
    <hyperlink r:id="rId12259" ref="N8761"/>
    <hyperlink r:id="rId12260" ref="N8762"/>
    <hyperlink r:id="rId12261" ref="N8763"/>
    <hyperlink r:id="rId12262" ref="N8764"/>
    <hyperlink r:id="rId12263" ref="N8765"/>
    <hyperlink r:id="rId12264" ref="N8766"/>
    <hyperlink r:id="rId12265" ref="N8767"/>
    <hyperlink r:id="rId12266" ref="N8768"/>
    <hyperlink r:id="rId12267" ref="N8769"/>
    <hyperlink r:id="rId12268" ref="N8770"/>
    <hyperlink r:id="rId12269" ref="N8771"/>
    <hyperlink r:id="rId12270" ref="N8772"/>
    <hyperlink r:id="rId12271" ref="N8773"/>
    <hyperlink r:id="rId12272" ref="N8774"/>
    <hyperlink r:id="rId12273" ref="N8775"/>
    <hyperlink r:id="rId12274" ref="N8776"/>
    <hyperlink r:id="rId12275" ref="N8777"/>
    <hyperlink r:id="rId12276" ref="N8778"/>
    <hyperlink r:id="rId12277" ref="N8779"/>
    <hyperlink r:id="rId12278" ref="N8780"/>
    <hyperlink r:id="rId12279" ref="N8781"/>
    <hyperlink r:id="rId12280" ref="N8782"/>
    <hyperlink r:id="rId12281" ref="N8783"/>
    <hyperlink r:id="rId12282" ref="N8784"/>
    <hyperlink r:id="rId12283" ref="N8785"/>
    <hyperlink r:id="rId12284" ref="N8786"/>
    <hyperlink r:id="rId12285" ref="N8787"/>
    <hyperlink r:id="rId12286" ref="N8788"/>
    <hyperlink r:id="rId12287" ref="N8789"/>
    <hyperlink r:id="rId12288" ref="N8790"/>
    <hyperlink r:id="rId12289" ref="N8791"/>
    <hyperlink r:id="rId12290" ref="N8792"/>
    <hyperlink r:id="rId12291" ref="N8793"/>
    <hyperlink r:id="rId12292" ref="N8794"/>
    <hyperlink r:id="rId12293" ref="N8795"/>
    <hyperlink r:id="rId12294" ref="N8796"/>
    <hyperlink r:id="rId12295" ref="N8797"/>
    <hyperlink r:id="rId12296" ref="N8798"/>
    <hyperlink r:id="rId12297" ref="N8799"/>
    <hyperlink r:id="rId12298" ref="N8800"/>
    <hyperlink r:id="rId12299" ref="N8801"/>
    <hyperlink r:id="rId12300" ref="N8802"/>
    <hyperlink r:id="rId12301" ref="N8803"/>
    <hyperlink r:id="rId12302" ref="N8804"/>
    <hyperlink r:id="rId12303" ref="N8805"/>
    <hyperlink r:id="rId12304" ref="N8806"/>
    <hyperlink r:id="rId12305" ref="N8807"/>
    <hyperlink r:id="rId12306" ref="N8808"/>
    <hyperlink r:id="rId12307" ref="N8809"/>
    <hyperlink r:id="rId12308" ref="N8810"/>
    <hyperlink r:id="rId12309" ref="N8811"/>
    <hyperlink r:id="rId12310" ref="N8812"/>
    <hyperlink r:id="rId12311" ref="N8813"/>
    <hyperlink r:id="rId12312" ref="N8814"/>
    <hyperlink r:id="rId12313" ref="N8815"/>
    <hyperlink r:id="rId12314" ref="N8816"/>
    <hyperlink r:id="rId12315" ref="N8817"/>
    <hyperlink r:id="rId12316" ref="N8818"/>
    <hyperlink r:id="rId12317" ref="N8819"/>
    <hyperlink r:id="rId12318" ref="N8820"/>
    <hyperlink r:id="rId12319" ref="N8821"/>
    <hyperlink r:id="rId12320" ref="N8822"/>
    <hyperlink r:id="rId12321" ref="N8823"/>
    <hyperlink r:id="rId12322" ref="N8824"/>
    <hyperlink r:id="rId12323" ref="N8825"/>
    <hyperlink r:id="rId12324" ref="N8826"/>
    <hyperlink r:id="rId12325" ref="N8827"/>
    <hyperlink r:id="rId12326" ref="N8828"/>
    <hyperlink r:id="rId12327" ref="N8829"/>
    <hyperlink r:id="rId12328" ref="N8830"/>
    <hyperlink r:id="rId12329" ref="N8831"/>
    <hyperlink r:id="rId12330" ref="N8832"/>
    <hyperlink r:id="rId12331" ref="N8833"/>
    <hyperlink r:id="rId12332" ref="N8834"/>
    <hyperlink r:id="rId12333" ref="N8835"/>
    <hyperlink r:id="rId12334" ref="N8836"/>
    <hyperlink r:id="rId12335" ref="N8837"/>
    <hyperlink r:id="rId12336" ref="N8838"/>
    <hyperlink r:id="rId12337" ref="N8839"/>
    <hyperlink r:id="rId12338" ref="N8840"/>
    <hyperlink r:id="rId12339" ref="N8841"/>
    <hyperlink r:id="rId12340" ref="N8842"/>
    <hyperlink r:id="rId12341" ref="N8843"/>
    <hyperlink r:id="rId12342" ref="N8844"/>
    <hyperlink r:id="rId12343" ref="N8845"/>
    <hyperlink r:id="rId12344" ref="N8846"/>
    <hyperlink r:id="rId12345" ref="N8847"/>
    <hyperlink r:id="rId12346" ref="N8848"/>
    <hyperlink r:id="rId12347" ref="N8849"/>
    <hyperlink r:id="rId12348" ref="N8850"/>
    <hyperlink r:id="rId12349" ref="N8851"/>
    <hyperlink r:id="rId12350" ref="N8852"/>
    <hyperlink r:id="rId12351" ref="N8853"/>
    <hyperlink r:id="rId12352" ref="N8854"/>
    <hyperlink r:id="rId12353" ref="N8855"/>
    <hyperlink r:id="rId12354" ref="N8856"/>
    <hyperlink r:id="rId12355" ref="N8857"/>
    <hyperlink r:id="rId12356" ref="N8858"/>
    <hyperlink r:id="rId12357" ref="N8859"/>
    <hyperlink r:id="rId12358" ref="N8860"/>
    <hyperlink r:id="rId12359" ref="N8861"/>
    <hyperlink r:id="rId12360" ref="N8862"/>
    <hyperlink r:id="rId12361" ref="N8863"/>
    <hyperlink r:id="rId12362" ref="N8864"/>
    <hyperlink r:id="rId12363" ref="N8865"/>
    <hyperlink r:id="rId12364" ref="N8866"/>
    <hyperlink r:id="rId12365" ref="N8867"/>
    <hyperlink r:id="rId12366" ref="N8868"/>
    <hyperlink r:id="rId12367" ref="N8869"/>
    <hyperlink r:id="rId12368" ref="N8870"/>
    <hyperlink r:id="rId12369" ref="N8871"/>
    <hyperlink r:id="rId12370" ref="N8872"/>
    <hyperlink r:id="rId12371" ref="N8873"/>
    <hyperlink r:id="rId12372" ref="N8874"/>
    <hyperlink r:id="rId12373" ref="N8875"/>
    <hyperlink r:id="rId12374" ref="N8876"/>
    <hyperlink r:id="rId12375" ref="N8877"/>
    <hyperlink r:id="rId12376" ref="N8878"/>
    <hyperlink r:id="rId12377" ref="N8879"/>
    <hyperlink r:id="rId12378" ref="N8880"/>
    <hyperlink r:id="rId12379" ref="N8881"/>
    <hyperlink r:id="rId12380" ref="N8882"/>
    <hyperlink r:id="rId12381" ref="N8883"/>
    <hyperlink r:id="rId12382" ref="N8884"/>
    <hyperlink r:id="rId12383" ref="N8885"/>
    <hyperlink r:id="rId12384" ref="N8886"/>
    <hyperlink r:id="rId12385" ref="N8887"/>
    <hyperlink r:id="rId12386" ref="N8888"/>
    <hyperlink r:id="rId12387" ref="N8889"/>
    <hyperlink r:id="rId12388" ref="N8890"/>
    <hyperlink r:id="rId12389" ref="N8891"/>
    <hyperlink r:id="rId12390" ref="N8892"/>
    <hyperlink r:id="rId12391" ref="N8893"/>
    <hyperlink r:id="rId12392" ref="N8894"/>
    <hyperlink r:id="rId12393" ref="N8895"/>
    <hyperlink r:id="rId12394" ref="N8896"/>
    <hyperlink r:id="rId12395" ref="N8897"/>
    <hyperlink r:id="rId12396" ref="E8898"/>
    <hyperlink r:id="rId12397" ref="N8898"/>
    <hyperlink r:id="rId12398" ref="N8899"/>
    <hyperlink r:id="rId12399" ref="N8900"/>
    <hyperlink r:id="rId12400" ref="N8901"/>
    <hyperlink r:id="rId12401" ref="N8902"/>
    <hyperlink r:id="rId12402" ref="N8903"/>
    <hyperlink r:id="rId12403" ref="N8904"/>
    <hyperlink r:id="rId12404" ref="N8905"/>
    <hyperlink r:id="rId12405" ref="N8906"/>
    <hyperlink r:id="rId12406" ref="N8907"/>
    <hyperlink r:id="rId12407" ref="N8908"/>
    <hyperlink r:id="rId12408" ref="N8909"/>
    <hyperlink r:id="rId12409" ref="N8910"/>
    <hyperlink r:id="rId12410" ref="N8911"/>
    <hyperlink r:id="rId12411" ref="N8912"/>
    <hyperlink r:id="rId12412" ref="N8913"/>
    <hyperlink r:id="rId12413" ref="N8914"/>
    <hyperlink r:id="rId12414" ref="N8915"/>
    <hyperlink r:id="rId12415" ref="N8916"/>
    <hyperlink r:id="rId12416" ref="N8917"/>
    <hyperlink r:id="rId12417" ref="N8918"/>
    <hyperlink r:id="rId12418" ref="N8919"/>
    <hyperlink r:id="rId12419" ref="N8920"/>
    <hyperlink r:id="rId12420" ref="N8921"/>
    <hyperlink r:id="rId12421" ref="N8922"/>
    <hyperlink r:id="rId12422" ref="N8923"/>
    <hyperlink r:id="rId12423" ref="N8924"/>
    <hyperlink r:id="rId12424" ref="N8925"/>
    <hyperlink r:id="rId12425" ref="N8926"/>
    <hyperlink r:id="rId12426" ref="N8927"/>
    <hyperlink r:id="rId12427" ref="N8928"/>
    <hyperlink r:id="rId12428" ref="N8929"/>
    <hyperlink r:id="rId12429" ref="N8930"/>
    <hyperlink r:id="rId12430" ref="N8931"/>
    <hyperlink r:id="rId12431" ref="N8932"/>
    <hyperlink r:id="rId12432" ref="N8933"/>
    <hyperlink r:id="rId12433" ref="N8934"/>
    <hyperlink r:id="rId12434" ref="N8935"/>
    <hyperlink r:id="rId12435" ref="N8936"/>
    <hyperlink r:id="rId12436" ref="N8937"/>
    <hyperlink r:id="rId12437" ref="N8938"/>
    <hyperlink r:id="rId12438" ref="N8939"/>
    <hyperlink r:id="rId12439" ref="N8940"/>
    <hyperlink r:id="rId12440" ref="N8941"/>
    <hyperlink r:id="rId12441" ref="N8942"/>
    <hyperlink r:id="rId12442" ref="N8943"/>
    <hyperlink r:id="rId12443" ref="N8944"/>
    <hyperlink r:id="rId12444" ref="N8945"/>
    <hyperlink r:id="rId12445" ref="N8946"/>
    <hyperlink r:id="rId12446" ref="N8947"/>
    <hyperlink r:id="rId12447" ref="N8948"/>
    <hyperlink r:id="rId12448" ref="N8949"/>
    <hyperlink r:id="rId12449" ref="N8950"/>
    <hyperlink r:id="rId12450" ref="N8951"/>
    <hyperlink r:id="rId12451" ref="N8952"/>
    <hyperlink r:id="rId12452" ref="N8953"/>
    <hyperlink r:id="rId12453" ref="N8954"/>
    <hyperlink r:id="rId12454" ref="N8955"/>
    <hyperlink r:id="rId12455" ref="N8956"/>
    <hyperlink r:id="rId12456" ref="N8957"/>
    <hyperlink r:id="rId12457" ref="N8958"/>
    <hyperlink r:id="rId12458" ref="N8959"/>
    <hyperlink r:id="rId12459" ref="N8960"/>
    <hyperlink r:id="rId12460" ref="N8961"/>
    <hyperlink r:id="rId12461" ref="N8962"/>
    <hyperlink r:id="rId12462" ref="N8963"/>
    <hyperlink r:id="rId12463" ref="N8964"/>
    <hyperlink r:id="rId12464" ref="N8965"/>
    <hyperlink r:id="rId12465" ref="N8966"/>
    <hyperlink r:id="rId12466" ref="N8967"/>
    <hyperlink r:id="rId12467" ref="N8968"/>
    <hyperlink r:id="rId12468" ref="N8969"/>
    <hyperlink r:id="rId12469" ref="N8970"/>
    <hyperlink r:id="rId12470" ref="N8971"/>
    <hyperlink r:id="rId12471" ref="N8972"/>
    <hyperlink r:id="rId12472" ref="N8973"/>
    <hyperlink r:id="rId12473" ref="N8974"/>
    <hyperlink r:id="rId12474" ref="N8975"/>
    <hyperlink r:id="rId12475" ref="N8976"/>
    <hyperlink r:id="rId12476" ref="N8977"/>
    <hyperlink r:id="rId12477" ref="N8978"/>
    <hyperlink r:id="rId12478" ref="N8979"/>
    <hyperlink r:id="rId12479" ref="N8980"/>
    <hyperlink r:id="rId12480" ref="N8981"/>
    <hyperlink r:id="rId12481" ref="N8982"/>
    <hyperlink r:id="rId12482" ref="N8983"/>
    <hyperlink r:id="rId12483" ref="N8984"/>
    <hyperlink r:id="rId12484" ref="N8985"/>
    <hyperlink r:id="rId12485" ref="N8986"/>
    <hyperlink r:id="rId12486" ref="N8987"/>
    <hyperlink r:id="rId12487" ref="N8988"/>
    <hyperlink r:id="rId12488" ref="N8989"/>
    <hyperlink r:id="rId12489" ref="N8990"/>
    <hyperlink r:id="rId12490" ref="N8991"/>
    <hyperlink r:id="rId12491" ref="N8992"/>
    <hyperlink r:id="rId12492" ref="N8993"/>
    <hyperlink r:id="rId12493" ref="N8994"/>
    <hyperlink r:id="rId12494" ref="N8995"/>
    <hyperlink r:id="rId12495" ref="N8996"/>
    <hyperlink r:id="rId12496" ref="N8997"/>
    <hyperlink r:id="rId12497" ref="N8998"/>
    <hyperlink r:id="rId12498" ref="N8999"/>
    <hyperlink r:id="rId12499" ref="N9000"/>
    <hyperlink r:id="rId12500" ref="N9001"/>
    <hyperlink r:id="rId12501" ref="N9002"/>
    <hyperlink r:id="rId12502" ref="N9003"/>
    <hyperlink r:id="rId12503" ref="N9004"/>
    <hyperlink r:id="rId12504" ref="N9005"/>
    <hyperlink r:id="rId12505" ref="N9006"/>
    <hyperlink r:id="rId12506" ref="N9007"/>
    <hyperlink r:id="rId12507" ref="N9008"/>
    <hyperlink r:id="rId12508" ref="N9009"/>
    <hyperlink r:id="rId12509" ref="N9010"/>
    <hyperlink r:id="rId12510" ref="N9011"/>
    <hyperlink r:id="rId12511" ref="N9012"/>
    <hyperlink r:id="rId12512" ref="N9013"/>
    <hyperlink r:id="rId12513" ref="N9014"/>
    <hyperlink r:id="rId12514" ref="N9015"/>
    <hyperlink r:id="rId12515" ref="N9016"/>
    <hyperlink r:id="rId12516" ref="N9017"/>
    <hyperlink r:id="rId12517" ref="N9018"/>
    <hyperlink r:id="rId12518" ref="N9019"/>
    <hyperlink r:id="rId12519" ref="N9020"/>
    <hyperlink r:id="rId12520" ref="N9021"/>
    <hyperlink r:id="rId12521" ref="N9022"/>
    <hyperlink r:id="rId12522" ref="N9023"/>
    <hyperlink r:id="rId12523" ref="N9024"/>
    <hyperlink r:id="rId12524" ref="N9025"/>
    <hyperlink r:id="rId12525" ref="N9026"/>
    <hyperlink r:id="rId12526" ref="N9027"/>
    <hyperlink r:id="rId12527" ref="N9028"/>
    <hyperlink r:id="rId12528" ref="N9029"/>
    <hyperlink r:id="rId12529" ref="N9030"/>
    <hyperlink r:id="rId12530" ref="N9031"/>
    <hyperlink r:id="rId12531" ref="N9032"/>
    <hyperlink r:id="rId12532" ref="N9033"/>
    <hyperlink r:id="rId12533" ref="N9034"/>
    <hyperlink r:id="rId12534" ref="N9035"/>
    <hyperlink r:id="rId12535" ref="N9036"/>
    <hyperlink r:id="rId12536" ref="N9037"/>
    <hyperlink r:id="rId12537" ref="N9038"/>
    <hyperlink r:id="rId12538" ref="N9039"/>
    <hyperlink r:id="rId12539" ref="N9040"/>
    <hyperlink r:id="rId12540" ref="N9041"/>
    <hyperlink r:id="rId12541" ref="N9042"/>
    <hyperlink r:id="rId12542" ref="N9043"/>
    <hyperlink r:id="rId12543" ref="N9044"/>
    <hyperlink r:id="rId12544" ref="N9045"/>
    <hyperlink r:id="rId12545" ref="N9046"/>
    <hyperlink r:id="rId12546" ref="N9047"/>
    <hyperlink r:id="rId12547" ref="N9048"/>
    <hyperlink r:id="rId12548" ref="N9049"/>
    <hyperlink r:id="rId12549" ref="N9050"/>
    <hyperlink r:id="rId12550" ref="N9051"/>
    <hyperlink r:id="rId12551" ref="N9052"/>
    <hyperlink r:id="rId12552" ref="N9053"/>
    <hyperlink r:id="rId12553" ref="N9054"/>
    <hyperlink r:id="rId12554" ref="N9055"/>
    <hyperlink r:id="rId12555" ref="N9056"/>
    <hyperlink r:id="rId12556" ref="N9057"/>
    <hyperlink r:id="rId12557" ref="N9058"/>
    <hyperlink r:id="rId12558" ref="N9059"/>
    <hyperlink r:id="rId12559" ref="N9060"/>
    <hyperlink r:id="rId12560" ref="N9061"/>
    <hyperlink r:id="rId12561" ref="N9062"/>
    <hyperlink r:id="rId12562" ref="N9063"/>
    <hyperlink r:id="rId12563" ref="N9064"/>
    <hyperlink r:id="rId12564" ref="N9065"/>
    <hyperlink r:id="rId12565" ref="N9066"/>
    <hyperlink r:id="rId12566" ref="N9067"/>
    <hyperlink r:id="rId12567" ref="N9068"/>
    <hyperlink r:id="rId12568" ref="N9069"/>
    <hyperlink r:id="rId12569" ref="N9070"/>
    <hyperlink r:id="rId12570" ref="N9071"/>
    <hyperlink r:id="rId12571" ref="N9072"/>
    <hyperlink r:id="rId12572" ref="N9073"/>
    <hyperlink r:id="rId12573" ref="N9074"/>
    <hyperlink r:id="rId12574" ref="N9075"/>
    <hyperlink r:id="rId12575" ref="N9076"/>
    <hyperlink r:id="rId12576" ref="N9077"/>
    <hyperlink r:id="rId12577" ref="N9078"/>
    <hyperlink r:id="rId12578" ref="N9079"/>
    <hyperlink r:id="rId12579" ref="N9080"/>
    <hyperlink r:id="rId12580" ref="N9081"/>
    <hyperlink r:id="rId12581" ref="N9082"/>
    <hyperlink r:id="rId12582" ref="N9083"/>
    <hyperlink r:id="rId12583" ref="N9084"/>
    <hyperlink r:id="rId12584" ref="N9085"/>
    <hyperlink r:id="rId12585" ref="N9086"/>
    <hyperlink r:id="rId12586" ref="N9087"/>
    <hyperlink r:id="rId12587" ref="N9088"/>
    <hyperlink r:id="rId12588" ref="N9089"/>
    <hyperlink r:id="rId12589" ref="N9090"/>
    <hyperlink r:id="rId12590" ref="N9091"/>
    <hyperlink r:id="rId12591" ref="N9092"/>
    <hyperlink r:id="rId12592" ref="N9093"/>
    <hyperlink r:id="rId12593" ref="N9094"/>
    <hyperlink r:id="rId12594" ref="N9095"/>
    <hyperlink r:id="rId12595" ref="N9096"/>
    <hyperlink r:id="rId12596" ref="N9097"/>
    <hyperlink r:id="rId12597" ref="N9098"/>
    <hyperlink r:id="rId12598" ref="N9099"/>
    <hyperlink r:id="rId12599" ref="N9100"/>
    <hyperlink r:id="rId12600" ref="N9101"/>
    <hyperlink r:id="rId12601" ref="N9102"/>
    <hyperlink r:id="rId12602" ref="E9103"/>
    <hyperlink r:id="rId12603" ref="N9103"/>
    <hyperlink r:id="rId12604" ref="N9104"/>
    <hyperlink r:id="rId12605" ref="N9105"/>
    <hyperlink r:id="rId12606" ref="N9106"/>
    <hyperlink r:id="rId12607" ref="N9107"/>
    <hyperlink r:id="rId12608" ref="N9108"/>
    <hyperlink r:id="rId12609" ref="N9109"/>
    <hyperlink r:id="rId12610" ref="N9110"/>
    <hyperlink r:id="rId12611" ref="N9111"/>
    <hyperlink r:id="rId12612" ref="N9112"/>
    <hyperlink r:id="rId12613" ref="N9113"/>
    <hyperlink r:id="rId12614" ref="N9114"/>
    <hyperlink r:id="rId12615" ref="N9115"/>
    <hyperlink r:id="rId12616" ref="N9116"/>
    <hyperlink r:id="rId12617" ref="N9117"/>
    <hyperlink r:id="rId12618" ref="N9118"/>
    <hyperlink r:id="rId12619" ref="N9119"/>
    <hyperlink r:id="rId12620" ref="N9120"/>
    <hyperlink r:id="rId12621" ref="N9121"/>
    <hyperlink r:id="rId12622" ref="N9122"/>
    <hyperlink r:id="rId12623" ref="N9123"/>
    <hyperlink r:id="rId12624" ref="N9124"/>
    <hyperlink r:id="rId12625" ref="N9125"/>
    <hyperlink r:id="rId12626" ref="N9126"/>
    <hyperlink r:id="rId12627" ref="N9127"/>
    <hyperlink r:id="rId12628" ref="N9128"/>
    <hyperlink r:id="rId12629" ref="N9129"/>
    <hyperlink r:id="rId12630" ref="N9130"/>
    <hyperlink r:id="rId12631" ref="N9131"/>
    <hyperlink r:id="rId12632" ref="N9132"/>
    <hyperlink r:id="rId12633" ref="N9133"/>
    <hyperlink r:id="rId12634" ref="N9134"/>
    <hyperlink r:id="rId12635" ref="N9135"/>
    <hyperlink r:id="rId12636" ref="N9136"/>
    <hyperlink r:id="rId12637" ref="N9137"/>
    <hyperlink r:id="rId12638" ref="N9138"/>
    <hyperlink r:id="rId12639" ref="N9139"/>
    <hyperlink r:id="rId12640" ref="N9140"/>
    <hyperlink r:id="rId12641" ref="N9141"/>
    <hyperlink r:id="rId12642" ref="N9142"/>
    <hyperlink r:id="rId12643" ref="N9143"/>
    <hyperlink r:id="rId12644" ref="N9144"/>
    <hyperlink r:id="rId12645" ref="N9145"/>
    <hyperlink r:id="rId12646" ref="N9146"/>
    <hyperlink r:id="rId12647" ref="N9147"/>
    <hyperlink r:id="rId12648" ref="N9148"/>
    <hyperlink r:id="rId12649" ref="N9149"/>
    <hyperlink r:id="rId12650" ref="N9150"/>
    <hyperlink r:id="rId12651" ref="N9151"/>
    <hyperlink r:id="rId12652" ref="N9152"/>
    <hyperlink r:id="rId12653" ref="N9153"/>
    <hyperlink r:id="rId12654" ref="N9154"/>
    <hyperlink r:id="rId12655" ref="N9155"/>
    <hyperlink r:id="rId12656" ref="N9156"/>
    <hyperlink r:id="rId12657" ref="N9157"/>
    <hyperlink r:id="rId12658" ref="N9158"/>
    <hyperlink r:id="rId12659" ref="N9159"/>
    <hyperlink r:id="rId12660" ref="N9160"/>
    <hyperlink r:id="rId12661" ref="N9161"/>
    <hyperlink r:id="rId12662" ref="N9162"/>
    <hyperlink r:id="rId12663" ref="N9163"/>
    <hyperlink r:id="rId12664" ref="N9164"/>
    <hyperlink r:id="rId12665" ref="N9165"/>
    <hyperlink r:id="rId12666" ref="N9166"/>
    <hyperlink r:id="rId12667" ref="N9167"/>
    <hyperlink r:id="rId12668" ref="N9168"/>
    <hyperlink r:id="rId12669" ref="N9169"/>
    <hyperlink r:id="rId12670" ref="N9170"/>
    <hyperlink r:id="rId12671" ref="N9171"/>
    <hyperlink r:id="rId12672" ref="N9172"/>
    <hyperlink r:id="rId12673" ref="N9173"/>
    <hyperlink r:id="rId12674" ref="N9174"/>
    <hyperlink r:id="rId12675" ref="N9175"/>
    <hyperlink r:id="rId12676" ref="N9176"/>
    <hyperlink r:id="rId12677" ref="N9177"/>
    <hyperlink r:id="rId12678" ref="N9178"/>
    <hyperlink r:id="rId12679" ref="N9179"/>
    <hyperlink r:id="rId12680" ref="N9180"/>
    <hyperlink r:id="rId12681" ref="N9181"/>
    <hyperlink r:id="rId12682" ref="N9182"/>
    <hyperlink r:id="rId12683" ref="N9183"/>
    <hyperlink r:id="rId12684" ref="N9184"/>
    <hyperlink r:id="rId12685" ref="N9185"/>
    <hyperlink r:id="rId12686" ref="N9186"/>
    <hyperlink r:id="rId12687" ref="N9187"/>
    <hyperlink r:id="rId12688" ref="N9188"/>
    <hyperlink r:id="rId12689" ref="N9189"/>
    <hyperlink r:id="rId12690" ref="N9190"/>
    <hyperlink r:id="rId12691" ref="N9191"/>
    <hyperlink r:id="rId12692" ref="N9192"/>
    <hyperlink r:id="rId12693" ref="N9193"/>
    <hyperlink r:id="rId12694" ref="N9194"/>
    <hyperlink r:id="rId12695" ref="N9195"/>
    <hyperlink r:id="rId12696" ref="N9196"/>
    <hyperlink r:id="rId12697" ref="N9197"/>
    <hyperlink r:id="rId12698" ref="N9198"/>
    <hyperlink r:id="rId12699" ref="N9199"/>
    <hyperlink r:id="rId12700" ref="N9200"/>
    <hyperlink r:id="rId12701" ref="N9201"/>
    <hyperlink r:id="rId12702" ref="N9202"/>
    <hyperlink r:id="rId12703" ref="N9203"/>
    <hyperlink r:id="rId12704" ref="N9204"/>
    <hyperlink r:id="rId12705" ref="N9205"/>
    <hyperlink r:id="rId12706" ref="N9206"/>
    <hyperlink r:id="rId12707" ref="N9207"/>
    <hyperlink r:id="rId12708" ref="N9208"/>
    <hyperlink r:id="rId12709" ref="N9209"/>
    <hyperlink r:id="rId12710" ref="N9210"/>
    <hyperlink r:id="rId12711" ref="N9211"/>
    <hyperlink r:id="rId12712" ref="N9212"/>
    <hyperlink r:id="rId12713" ref="N9213"/>
    <hyperlink r:id="rId12714" ref="N9214"/>
    <hyperlink r:id="rId12715" ref="N9215"/>
    <hyperlink r:id="rId12716" ref="N9216"/>
    <hyperlink r:id="rId12717" ref="N9217"/>
    <hyperlink r:id="rId12718" ref="N9218"/>
    <hyperlink r:id="rId12719" ref="N9219"/>
    <hyperlink r:id="rId12720" ref="N9220"/>
    <hyperlink r:id="rId12721" ref="N9221"/>
    <hyperlink r:id="rId12722" ref="N9222"/>
    <hyperlink r:id="rId12723" ref="N9223"/>
    <hyperlink r:id="rId12724" ref="N9224"/>
    <hyperlink r:id="rId12725" ref="N9225"/>
    <hyperlink r:id="rId12726" ref="N9226"/>
    <hyperlink r:id="rId12727" ref="N9227"/>
    <hyperlink r:id="rId12728" ref="N9228"/>
    <hyperlink r:id="rId12729" ref="N9229"/>
    <hyperlink r:id="rId12730" ref="N9230"/>
    <hyperlink r:id="rId12731" ref="N9231"/>
    <hyperlink r:id="rId12732" ref="N9232"/>
    <hyperlink r:id="rId12733" ref="N9233"/>
    <hyperlink r:id="rId12734" ref="N9234"/>
    <hyperlink r:id="rId12735" ref="N9235"/>
    <hyperlink r:id="rId12736" ref="N9236"/>
    <hyperlink r:id="rId12737" ref="N9237"/>
    <hyperlink r:id="rId12738" ref="N9238"/>
    <hyperlink r:id="rId12739" ref="N9239"/>
    <hyperlink r:id="rId12740" ref="N9240"/>
    <hyperlink r:id="rId12741" ref="N9241"/>
    <hyperlink r:id="rId12742" ref="N9242"/>
    <hyperlink r:id="rId12743" ref="N9243"/>
    <hyperlink r:id="rId12744" ref="N9244"/>
    <hyperlink r:id="rId12745" ref="N9245"/>
    <hyperlink r:id="rId12746" ref="N9246"/>
    <hyperlink r:id="rId12747" ref="N9247"/>
    <hyperlink r:id="rId12748" ref="N9248"/>
    <hyperlink r:id="rId12749" ref="N9249"/>
    <hyperlink r:id="rId12750" ref="N9250"/>
    <hyperlink r:id="rId12751" ref="N9251"/>
    <hyperlink r:id="rId12752" ref="N9252"/>
    <hyperlink r:id="rId12753" ref="N9312"/>
    <hyperlink r:id="rId12754" ref="N9313"/>
    <hyperlink r:id="rId12755" ref="N9314"/>
    <hyperlink r:id="rId12756" ref="N9315"/>
    <hyperlink r:id="rId12757" ref="N9316"/>
    <hyperlink r:id="rId12758" ref="N9317"/>
    <hyperlink r:id="rId12759" ref="N9318"/>
    <hyperlink r:id="rId12760" ref="N9319"/>
    <hyperlink r:id="rId12761" ref="N9320"/>
    <hyperlink r:id="rId12762" ref="N9321"/>
    <hyperlink r:id="rId12763" ref="N9322"/>
    <hyperlink r:id="rId12764" ref="N9323"/>
    <hyperlink r:id="rId12765" ref="N9324"/>
    <hyperlink r:id="rId12766" ref="N9325"/>
    <hyperlink r:id="rId12767" ref="N9326"/>
    <hyperlink r:id="rId12768" ref="N9327"/>
    <hyperlink r:id="rId12769" ref="N9328"/>
    <hyperlink r:id="rId12770" ref="N9329"/>
    <hyperlink r:id="rId12771" ref="N9330"/>
    <hyperlink r:id="rId12772" ref="N9331"/>
    <hyperlink r:id="rId12773" ref="N9332"/>
    <hyperlink r:id="rId12774" ref="N9333"/>
    <hyperlink r:id="rId12775" ref="N9334"/>
    <hyperlink r:id="rId12776" ref="N9335"/>
    <hyperlink r:id="rId12777" ref="N9336"/>
    <hyperlink r:id="rId12778" ref="N9337"/>
    <hyperlink r:id="rId12779" ref="N9338"/>
    <hyperlink r:id="rId12780" ref="N9339"/>
    <hyperlink r:id="rId12781" ref="N9340"/>
    <hyperlink r:id="rId12782" ref="N9341"/>
    <hyperlink r:id="rId12783" ref="N9342"/>
    <hyperlink r:id="rId12784" ref="N9343"/>
    <hyperlink r:id="rId12785" ref="N9344"/>
    <hyperlink r:id="rId12786" ref="N9345"/>
    <hyperlink r:id="rId12787" ref="N9346"/>
    <hyperlink r:id="rId12788" ref="N9347"/>
    <hyperlink r:id="rId12789" ref="N9348"/>
    <hyperlink r:id="rId12790" ref="N9349"/>
    <hyperlink r:id="rId12791" ref="N9350"/>
    <hyperlink r:id="rId12792" ref="N9351"/>
    <hyperlink r:id="rId12793" ref="N9352"/>
    <hyperlink r:id="rId12794" ref="N9353"/>
    <hyperlink r:id="rId12795" ref="N9354"/>
    <hyperlink r:id="rId12796" ref="N9355"/>
    <hyperlink r:id="rId12797" ref="N9356"/>
    <hyperlink r:id="rId12798" ref="N9357"/>
    <hyperlink r:id="rId12799" ref="N9358"/>
    <hyperlink r:id="rId12800" ref="N9359"/>
    <hyperlink r:id="rId12801" ref="N9360"/>
    <hyperlink r:id="rId12802" ref="N9361"/>
    <hyperlink r:id="rId12803" ref="N9362"/>
    <hyperlink r:id="rId12804" ref="N9363"/>
    <hyperlink r:id="rId12805" ref="N9364"/>
    <hyperlink r:id="rId12806" ref="N9365"/>
    <hyperlink r:id="rId12807" ref="N9366"/>
    <hyperlink r:id="rId12808" ref="N9367"/>
    <hyperlink r:id="rId12809" ref="N9368"/>
    <hyperlink r:id="rId12810" ref="N9369"/>
    <hyperlink r:id="rId12811" ref="N9370"/>
    <hyperlink r:id="rId12812" ref="N9371"/>
    <hyperlink r:id="rId12813" ref="N9372"/>
    <hyperlink r:id="rId12814" ref="N9373"/>
    <hyperlink r:id="rId12815" ref="N9374"/>
    <hyperlink r:id="rId12816" ref="N9375"/>
    <hyperlink r:id="rId12817" ref="N9376"/>
    <hyperlink r:id="rId12818" ref="N9377"/>
    <hyperlink r:id="rId12819" ref="N9378"/>
    <hyperlink r:id="rId12820" ref="N9379"/>
    <hyperlink r:id="rId12821" ref="N9380"/>
    <hyperlink r:id="rId12822" ref="N9381"/>
    <hyperlink r:id="rId12823" ref="N9382"/>
    <hyperlink r:id="rId12824" ref="N9383"/>
    <hyperlink r:id="rId12825" ref="N9384"/>
    <hyperlink r:id="rId12826" ref="N9385"/>
    <hyperlink r:id="rId12827" ref="N9386"/>
    <hyperlink r:id="rId12828" ref="N9387"/>
    <hyperlink r:id="rId12829" ref="N9388"/>
    <hyperlink r:id="rId12830" ref="N9389"/>
    <hyperlink r:id="rId12831" ref="N9390"/>
    <hyperlink r:id="rId12832" ref="N9391"/>
    <hyperlink r:id="rId12833" ref="N9392"/>
    <hyperlink r:id="rId12834" ref="N9393"/>
    <hyperlink r:id="rId12835" ref="N9394"/>
    <hyperlink r:id="rId12836" ref="N9395"/>
    <hyperlink r:id="rId12837" ref="N9396"/>
    <hyperlink r:id="rId12838" ref="E9397"/>
    <hyperlink r:id="rId12839" ref="N9397"/>
    <hyperlink r:id="rId12840" ref="N9398"/>
    <hyperlink r:id="rId12841" ref="N9399"/>
    <hyperlink r:id="rId12842" ref="N9400"/>
    <hyperlink r:id="rId12843" ref="N9401"/>
    <hyperlink r:id="rId12844" ref="N9402"/>
    <hyperlink r:id="rId12845" ref="N9403"/>
    <hyperlink r:id="rId12846" ref="N9404"/>
    <hyperlink r:id="rId12847" ref="N9405"/>
    <hyperlink r:id="rId12848" ref="N9406"/>
    <hyperlink r:id="rId12849" ref="N9407"/>
    <hyperlink r:id="rId12850" ref="N9408"/>
    <hyperlink r:id="rId12851" ref="N9409"/>
    <hyperlink r:id="rId12852" ref="N9410"/>
    <hyperlink r:id="rId12853" ref="N9411"/>
    <hyperlink r:id="rId12854" ref="N9412"/>
    <hyperlink r:id="rId12855" ref="N9413"/>
    <hyperlink r:id="rId12856" ref="N9414"/>
    <hyperlink r:id="rId12857" ref="N9415"/>
    <hyperlink r:id="rId12858" ref="N9416"/>
    <hyperlink r:id="rId12859" ref="N9417"/>
    <hyperlink r:id="rId12860" ref="N9418"/>
    <hyperlink r:id="rId12861" ref="N9419"/>
    <hyperlink r:id="rId12862" ref="N9420"/>
    <hyperlink r:id="rId12863" ref="N9421"/>
    <hyperlink r:id="rId12864" ref="N9422"/>
    <hyperlink r:id="rId12865" ref="N9423"/>
    <hyperlink r:id="rId12866" ref="N9424"/>
    <hyperlink r:id="rId12867" ref="N9425"/>
    <hyperlink r:id="rId12868" ref="N9426"/>
    <hyperlink r:id="rId12869" ref="N9427"/>
    <hyperlink r:id="rId12870" ref="N9428"/>
    <hyperlink r:id="rId12871" ref="N9429"/>
    <hyperlink r:id="rId12872" ref="N9430"/>
    <hyperlink r:id="rId12873" ref="N9431"/>
    <hyperlink r:id="rId12874" ref="N9432"/>
    <hyperlink r:id="rId12875" ref="N9433"/>
    <hyperlink r:id="rId12876" ref="N9434"/>
    <hyperlink r:id="rId12877" ref="N9435"/>
    <hyperlink r:id="rId12878" ref="N9436"/>
    <hyperlink r:id="rId12879" ref="N9437"/>
    <hyperlink r:id="rId12880" ref="N9438"/>
    <hyperlink r:id="rId12881" ref="N9439"/>
    <hyperlink r:id="rId12882" ref="N9440"/>
    <hyperlink r:id="rId12883" ref="N9441"/>
    <hyperlink r:id="rId12884" ref="N9442"/>
    <hyperlink r:id="rId12885" ref="N9443"/>
    <hyperlink r:id="rId12886" ref="N9444"/>
    <hyperlink r:id="rId12887" ref="N9445"/>
    <hyperlink r:id="rId12888" ref="N9446"/>
    <hyperlink r:id="rId12889" ref="N9447"/>
    <hyperlink r:id="rId12890" ref="N9448"/>
    <hyperlink r:id="rId12891" ref="N9449"/>
    <hyperlink r:id="rId12892" ref="N9450"/>
    <hyperlink r:id="rId12893" ref="N9451"/>
    <hyperlink r:id="rId12894" ref="N9452"/>
    <hyperlink r:id="rId12895" ref="N9453"/>
    <hyperlink r:id="rId12896" ref="N9454"/>
    <hyperlink r:id="rId12897" ref="N9455"/>
    <hyperlink r:id="rId12898" ref="N9456"/>
    <hyperlink r:id="rId12899" ref="N9457"/>
    <hyperlink r:id="rId12900" ref="N9458"/>
    <hyperlink r:id="rId12901" ref="N9459"/>
    <hyperlink r:id="rId12902" ref="N9460"/>
    <hyperlink r:id="rId12903" ref="N9461"/>
    <hyperlink r:id="rId12904" ref="N9462"/>
    <hyperlink r:id="rId12905" ref="N9463"/>
    <hyperlink r:id="rId12906" ref="N9464"/>
    <hyperlink r:id="rId12907" ref="N9465"/>
    <hyperlink r:id="rId12908" ref="N9466"/>
    <hyperlink r:id="rId12909" ref="N9467"/>
    <hyperlink r:id="rId12910" ref="N9468"/>
    <hyperlink r:id="rId12911" ref="N9469"/>
    <hyperlink r:id="rId12912" ref="N9470"/>
    <hyperlink r:id="rId12913" ref="N9471"/>
    <hyperlink r:id="rId12914" ref="N9472"/>
    <hyperlink r:id="rId12915" ref="N9473"/>
    <hyperlink r:id="rId12916" ref="N9474"/>
    <hyperlink r:id="rId12917" ref="N9475"/>
    <hyperlink r:id="rId12918" ref="N9476"/>
    <hyperlink r:id="rId12919" ref="N9477"/>
    <hyperlink r:id="rId12920" ref="N9478"/>
    <hyperlink r:id="rId12921" ref="N9479"/>
    <hyperlink r:id="rId12922" ref="N9480"/>
    <hyperlink r:id="rId12923" ref="N9481"/>
    <hyperlink r:id="rId12924" ref="N9482"/>
    <hyperlink r:id="rId12925" ref="N9483"/>
    <hyperlink r:id="rId12926" ref="N9484"/>
    <hyperlink r:id="rId12927" ref="N9485"/>
    <hyperlink r:id="rId12928" ref="N9486"/>
    <hyperlink r:id="rId12929" ref="N9487"/>
    <hyperlink r:id="rId12930" ref="N9488"/>
    <hyperlink r:id="rId12931" ref="N9489"/>
    <hyperlink r:id="rId12932" ref="N9490"/>
    <hyperlink r:id="rId12933" ref="N9491"/>
    <hyperlink r:id="rId12934" ref="N9492"/>
    <hyperlink r:id="rId12935" ref="N9493"/>
    <hyperlink r:id="rId12936" ref="N9494"/>
    <hyperlink r:id="rId12937" ref="N9495"/>
    <hyperlink r:id="rId12938" ref="N9496"/>
    <hyperlink r:id="rId12939" ref="N9497"/>
    <hyperlink r:id="rId12940" ref="N9498"/>
    <hyperlink r:id="rId12941" ref="N9499"/>
    <hyperlink r:id="rId12942" ref="N9500"/>
    <hyperlink r:id="rId12943" ref="N9501"/>
    <hyperlink r:id="rId12944" ref="N9502"/>
    <hyperlink r:id="rId12945" ref="N9503"/>
    <hyperlink r:id="rId12946" ref="N9504"/>
    <hyperlink r:id="rId12947" ref="N9505"/>
    <hyperlink r:id="rId12948" ref="N9506"/>
    <hyperlink r:id="rId12949" ref="N9507"/>
    <hyperlink r:id="rId12950" ref="N9508"/>
    <hyperlink r:id="rId12951" ref="N9509"/>
    <hyperlink r:id="rId12952" ref="N9510"/>
    <hyperlink r:id="rId12953" ref="N9511"/>
    <hyperlink r:id="rId12954" ref="N9512"/>
    <hyperlink r:id="rId12955" ref="N9513"/>
    <hyperlink r:id="rId12956" ref="N9514"/>
    <hyperlink r:id="rId12957" ref="N9515"/>
    <hyperlink r:id="rId12958" ref="N9516"/>
    <hyperlink r:id="rId12959" ref="N9517"/>
    <hyperlink r:id="rId12960" ref="N9518"/>
    <hyperlink r:id="rId12961" ref="N9519"/>
    <hyperlink r:id="rId12962" ref="N9520"/>
    <hyperlink r:id="rId12963" ref="N9521"/>
    <hyperlink r:id="rId12964" ref="N9522"/>
    <hyperlink r:id="rId12965" ref="N9523"/>
    <hyperlink r:id="rId12966" ref="N9524"/>
    <hyperlink r:id="rId12967" ref="N9525"/>
    <hyperlink r:id="rId12968" ref="N9526"/>
    <hyperlink r:id="rId12969" ref="N9607"/>
    <hyperlink r:id="rId12970" ref="N9608"/>
    <hyperlink r:id="rId12971" ref="N9609"/>
    <hyperlink r:id="rId12972" ref="N9610"/>
    <hyperlink r:id="rId12973" ref="N9611"/>
    <hyperlink r:id="rId12974" ref="N9612"/>
    <hyperlink r:id="rId12975" ref="N9613"/>
    <hyperlink r:id="rId12976" ref="N9614"/>
    <hyperlink r:id="rId12977" ref="N9615"/>
    <hyperlink r:id="rId12978" ref="N9616"/>
    <hyperlink r:id="rId12979" ref="N9617"/>
    <hyperlink r:id="rId12980" ref="N9618"/>
    <hyperlink r:id="rId12981" ref="N9619"/>
    <hyperlink r:id="rId12982" ref="N9620"/>
    <hyperlink r:id="rId12983" ref="N9621"/>
    <hyperlink r:id="rId12984" ref="N9622"/>
    <hyperlink r:id="rId12985" ref="N9623"/>
    <hyperlink r:id="rId12986" ref="N9624"/>
    <hyperlink r:id="rId12987" ref="N9625"/>
    <hyperlink r:id="rId12988" ref="N9626"/>
    <hyperlink r:id="rId12989" ref="N9627"/>
    <hyperlink r:id="rId12990" ref="N9628"/>
    <hyperlink r:id="rId12991" ref="N9629"/>
    <hyperlink r:id="rId12992" ref="N9630"/>
    <hyperlink r:id="rId12993" ref="N9631"/>
    <hyperlink r:id="rId12994" ref="N9632"/>
    <hyperlink r:id="rId12995" ref="N9633"/>
    <hyperlink r:id="rId12996" ref="N9634"/>
    <hyperlink r:id="rId12997" ref="N9635"/>
    <hyperlink r:id="rId12998" ref="N9636"/>
    <hyperlink r:id="rId12999" ref="N9637"/>
    <hyperlink r:id="rId13000" ref="N9638"/>
    <hyperlink r:id="rId13001" ref="N9639"/>
    <hyperlink r:id="rId13002" ref="N9640"/>
    <hyperlink r:id="rId13003" ref="N9641"/>
    <hyperlink r:id="rId13004" ref="N9642"/>
    <hyperlink r:id="rId13005" ref="N9643"/>
    <hyperlink r:id="rId13006" ref="N9644"/>
    <hyperlink r:id="rId13007" ref="N9645"/>
    <hyperlink r:id="rId13008" ref="N9646"/>
    <hyperlink r:id="rId13009" ref="N9647"/>
    <hyperlink r:id="rId13010" ref="N9648"/>
    <hyperlink r:id="rId13011" ref="N9649"/>
    <hyperlink r:id="rId13012" ref="N9650"/>
    <hyperlink r:id="rId13013" ref="N9651"/>
    <hyperlink r:id="rId13014" ref="N9652"/>
    <hyperlink r:id="rId13015" ref="N9653"/>
    <hyperlink r:id="rId13016" ref="N9654"/>
    <hyperlink r:id="rId13017" ref="N9655"/>
    <hyperlink r:id="rId13018" ref="N9656"/>
    <hyperlink r:id="rId13019" ref="N9657"/>
    <hyperlink r:id="rId13020" ref="N9658"/>
    <hyperlink r:id="rId13021" ref="N9659"/>
    <hyperlink r:id="rId13022" ref="N9660"/>
    <hyperlink r:id="rId13023" ref="N9661"/>
    <hyperlink r:id="rId13024" ref="N9662"/>
    <hyperlink r:id="rId13025" ref="N9663"/>
    <hyperlink r:id="rId13026" ref="N9664"/>
    <hyperlink r:id="rId13027" ref="N9665"/>
    <hyperlink r:id="rId13028" ref="N9666"/>
    <hyperlink r:id="rId13029" ref="N9667"/>
    <hyperlink r:id="rId13030" ref="N9668"/>
    <hyperlink r:id="rId13031" ref="N9669"/>
    <hyperlink r:id="rId13032" ref="N9670"/>
    <hyperlink r:id="rId13033" ref="N9671"/>
    <hyperlink r:id="rId13034" ref="N9672"/>
    <hyperlink r:id="rId13035" ref="N9673"/>
    <hyperlink r:id="rId13036" ref="N9674"/>
    <hyperlink r:id="rId13037" ref="N9675"/>
    <hyperlink r:id="rId13038" ref="N9676"/>
    <hyperlink r:id="rId13039" ref="N9677"/>
    <hyperlink r:id="rId13040" ref="N9678"/>
    <hyperlink r:id="rId13041" ref="N9679"/>
    <hyperlink r:id="rId13042" ref="N9680"/>
    <hyperlink r:id="rId13043" ref="N9681"/>
    <hyperlink r:id="rId13044" ref="N9682"/>
    <hyperlink r:id="rId13045" ref="N9683"/>
    <hyperlink r:id="rId13046" ref="N9684"/>
    <hyperlink r:id="rId13047" ref="N9685"/>
    <hyperlink r:id="rId13048" ref="N9686"/>
    <hyperlink r:id="rId13049" ref="N9687"/>
    <hyperlink r:id="rId13050" ref="N9688"/>
    <hyperlink r:id="rId13051" ref="N9689"/>
    <hyperlink r:id="rId13052" ref="N9690"/>
    <hyperlink r:id="rId13053" ref="N9691"/>
    <hyperlink r:id="rId13054" ref="N9692"/>
    <hyperlink r:id="rId13055" ref="N9693"/>
    <hyperlink r:id="rId13056" ref="N9694"/>
    <hyperlink r:id="rId13057" ref="N9695"/>
    <hyperlink r:id="rId13058" ref="N9696"/>
    <hyperlink r:id="rId13059" ref="N9697"/>
    <hyperlink r:id="rId13060" ref="N9698"/>
    <hyperlink r:id="rId13061" ref="N9699"/>
    <hyperlink r:id="rId13062" ref="N9700"/>
    <hyperlink r:id="rId13063" ref="N9701"/>
    <hyperlink r:id="rId13064" ref="N9702"/>
    <hyperlink r:id="rId13065" ref="N9703"/>
    <hyperlink r:id="rId13066" ref="N9704"/>
    <hyperlink r:id="rId13067" ref="N9705"/>
    <hyperlink r:id="rId13068" ref="N9706"/>
    <hyperlink r:id="rId13069" ref="N9707"/>
    <hyperlink r:id="rId13070" ref="N9708"/>
    <hyperlink r:id="rId13071" ref="N9709"/>
    <hyperlink r:id="rId13072" ref="N9710"/>
    <hyperlink r:id="rId13073" ref="N9711"/>
    <hyperlink r:id="rId13074" ref="N9712"/>
    <hyperlink r:id="rId13075" ref="N9713"/>
    <hyperlink r:id="rId13076" ref="N9714"/>
    <hyperlink r:id="rId13077" ref="N9715"/>
    <hyperlink r:id="rId13078" ref="N9716"/>
    <hyperlink r:id="rId13079" ref="N9717"/>
    <hyperlink r:id="rId13080" ref="N9718"/>
    <hyperlink r:id="rId13081" ref="N9719"/>
    <hyperlink r:id="rId13082" ref="N9720"/>
    <hyperlink r:id="rId13083" ref="N9721"/>
    <hyperlink r:id="rId13084" ref="N9722"/>
    <hyperlink r:id="rId13085" ref="N9723"/>
    <hyperlink r:id="rId13086" ref="N9724"/>
    <hyperlink r:id="rId13087" ref="N9725"/>
    <hyperlink r:id="rId13088" ref="N9726"/>
    <hyperlink r:id="rId13089" ref="N9727"/>
    <hyperlink r:id="rId13090" ref="N9728"/>
    <hyperlink r:id="rId13091" ref="N9729"/>
    <hyperlink r:id="rId13092" ref="N9730"/>
    <hyperlink r:id="rId13093" ref="N9731"/>
    <hyperlink r:id="rId13094" ref="N9732"/>
    <hyperlink r:id="rId13095" ref="N9733"/>
    <hyperlink r:id="rId13096" ref="N9734"/>
    <hyperlink r:id="rId13097" ref="N9735"/>
    <hyperlink r:id="rId13098" ref="N9736"/>
    <hyperlink r:id="rId13099" ref="N9737"/>
    <hyperlink r:id="rId13100" ref="N9738"/>
    <hyperlink r:id="rId13101" ref="N9739"/>
    <hyperlink r:id="rId13102" ref="N9740"/>
    <hyperlink r:id="rId13103" ref="N9741"/>
    <hyperlink r:id="rId13104" ref="N9742"/>
    <hyperlink r:id="rId13105" ref="N9743"/>
    <hyperlink r:id="rId13106" ref="N9744"/>
    <hyperlink r:id="rId13107" ref="N9745"/>
    <hyperlink r:id="rId13108" ref="N9746"/>
    <hyperlink r:id="rId13109" ref="N9747"/>
    <hyperlink r:id="rId13110" ref="N9748"/>
    <hyperlink r:id="rId13111" ref="N9749"/>
    <hyperlink r:id="rId13112" ref="N9750"/>
    <hyperlink r:id="rId13113" ref="N9751"/>
    <hyperlink r:id="rId13114" ref="N9752"/>
    <hyperlink r:id="rId13115" ref="N9753"/>
    <hyperlink r:id="rId13116" ref="N9754"/>
    <hyperlink r:id="rId13117" ref="N9755"/>
    <hyperlink r:id="rId13118" ref="N9756"/>
    <hyperlink r:id="rId13119" ref="N9757"/>
    <hyperlink r:id="rId13120" ref="N9758"/>
    <hyperlink r:id="rId13121" ref="N9759"/>
    <hyperlink r:id="rId13122" ref="N9760"/>
    <hyperlink r:id="rId13123" ref="N9761"/>
    <hyperlink r:id="rId13124" ref="N9762"/>
    <hyperlink r:id="rId13125" ref="N9763"/>
    <hyperlink r:id="rId13126" ref="N9764"/>
    <hyperlink r:id="rId13127" ref="N9765"/>
    <hyperlink r:id="rId13128" ref="N9766"/>
    <hyperlink r:id="rId13129" ref="N9767"/>
    <hyperlink r:id="rId13130" ref="N9768"/>
    <hyperlink r:id="rId13131" ref="N9769"/>
    <hyperlink r:id="rId13132" ref="N9770"/>
    <hyperlink r:id="rId13133" ref="N9771"/>
    <hyperlink r:id="rId13134" ref="N9772"/>
    <hyperlink r:id="rId13135" ref="N9773"/>
    <hyperlink r:id="rId13136" ref="N9774"/>
    <hyperlink r:id="rId13137" ref="N9775"/>
    <hyperlink r:id="rId13138" ref="N9776"/>
    <hyperlink r:id="rId13139" ref="N9777"/>
    <hyperlink r:id="rId13140" ref="N9778"/>
    <hyperlink r:id="rId13141" ref="N9779"/>
    <hyperlink r:id="rId13142" ref="N9780"/>
    <hyperlink r:id="rId13143" ref="N9781"/>
    <hyperlink r:id="rId13144" ref="N9782"/>
    <hyperlink r:id="rId13145" ref="N9783"/>
    <hyperlink r:id="rId13146" ref="N9784"/>
    <hyperlink r:id="rId13147" ref="N9785"/>
    <hyperlink r:id="rId13148" ref="N9786"/>
    <hyperlink r:id="rId13149" ref="N9787"/>
    <hyperlink r:id="rId13150" ref="N9788"/>
    <hyperlink r:id="rId13151" ref="N9789"/>
    <hyperlink r:id="rId13152" ref="N9790"/>
    <hyperlink r:id="rId13153" ref="N9791"/>
    <hyperlink r:id="rId13154" ref="N9792"/>
    <hyperlink r:id="rId13155" ref="N9793"/>
    <hyperlink r:id="rId13156" ref="N9794"/>
    <hyperlink r:id="rId13157" ref="N9795"/>
    <hyperlink r:id="rId13158" ref="N9796"/>
    <hyperlink r:id="rId13159" ref="N9797"/>
    <hyperlink r:id="rId13160" ref="N9798"/>
    <hyperlink r:id="rId13161" ref="N9799"/>
    <hyperlink r:id="rId13162" ref="N9800"/>
    <hyperlink r:id="rId13163" ref="N9801"/>
    <hyperlink r:id="rId13164" ref="N9802"/>
    <hyperlink r:id="rId13165" ref="N9803"/>
    <hyperlink r:id="rId13166" ref="N9804"/>
    <hyperlink r:id="rId13167" ref="N9805"/>
    <hyperlink r:id="rId13168" ref="N9806"/>
    <hyperlink r:id="rId13169" ref="N9807"/>
    <hyperlink r:id="rId13170" ref="N9808"/>
    <hyperlink r:id="rId13171" ref="N9809"/>
    <hyperlink r:id="rId13172" ref="N9810"/>
    <hyperlink r:id="rId13173" ref="N9811"/>
    <hyperlink r:id="rId13174" ref="N9812"/>
    <hyperlink r:id="rId13175" ref="N9813"/>
    <hyperlink r:id="rId13176" ref="N9814"/>
    <hyperlink r:id="rId13177" ref="N9815"/>
    <hyperlink r:id="rId13178" ref="N9816"/>
    <hyperlink r:id="rId13179" ref="N9817"/>
    <hyperlink r:id="rId13180" ref="N9818"/>
    <hyperlink r:id="rId13181" ref="N9819"/>
    <hyperlink r:id="rId13182" ref="N9820"/>
    <hyperlink r:id="rId13183" ref="N9821"/>
    <hyperlink r:id="rId13184" ref="N9822"/>
    <hyperlink r:id="rId13185" ref="N9823"/>
    <hyperlink r:id="rId13186" ref="N9824"/>
    <hyperlink r:id="rId13187" ref="N9825"/>
    <hyperlink r:id="rId13188" ref="N9826"/>
    <hyperlink r:id="rId13189" ref="N9827"/>
    <hyperlink r:id="rId13190" ref="N9828"/>
    <hyperlink r:id="rId13191" ref="N9829"/>
    <hyperlink r:id="rId13192" ref="N9830"/>
    <hyperlink r:id="rId13193" ref="N9831"/>
    <hyperlink r:id="rId13194" ref="N9832"/>
    <hyperlink r:id="rId13195" ref="N9833"/>
    <hyperlink r:id="rId13196" ref="N9834"/>
    <hyperlink r:id="rId13197" ref="N9835"/>
    <hyperlink r:id="rId13198" ref="N9836"/>
    <hyperlink r:id="rId13199" ref="N9837"/>
    <hyperlink r:id="rId13200" ref="N9838"/>
    <hyperlink r:id="rId13201" ref="N9839"/>
    <hyperlink r:id="rId13202" ref="N9840"/>
    <hyperlink r:id="rId13203" ref="E9841"/>
    <hyperlink r:id="rId13204" ref="N9841"/>
    <hyperlink r:id="rId13205" ref="N9842"/>
    <hyperlink r:id="rId13206" ref="N9843"/>
    <hyperlink r:id="rId13207" ref="N9844"/>
    <hyperlink r:id="rId13208" ref="N9845"/>
    <hyperlink r:id="rId13209" ref="N9846"/>
    <hyperlink r:id="rId13210" ref="N9847"/>
    <hyperlink r:id="rId13211" ref="N9848"/>
    <hyperlink r:id="rId13212" ref="N9849"/>
    <hyperlink r:id="rId13213" ref="N9850"/>
    <hyperlink r:id="rId13214" ref="N9851"/>
    <hyperlink r:id="rId13215" ref="N9852"/>
    <hyperlink r:id="rId13216" ref="N9853"/>
    <hyperlink r:id="rId13217" ref="N9854"/>
    <hyperlink r:id="rId13218" ref="N9855"/>
    <hyperlink r:id="rId13219" ref="N9856"/>
    <hyperlink r:id="rId13220" ref="N9857"/>
    <hyperlink r:id="rId13221" ref="N9858"/>
    <hyperlink r:id="rId13222" ref="N9859"/>
    <hyperlink r:id="rId13223" ref="N9860"/>
    <hyperlink r:id="rId13224" ref="N9861"/>
    <hyperlink r:id="rId13225" ref="N9862"/>
    <hyperlink r:id="rId13226" ref="N9863"/>
    <hyperlink r:id="rId13227" ref="N9864"/>
    <hyperlink r:id="rId13228" ref="N9865"/>
    <hyperlink r:id="rId13229" ref="N9866"/>
    <hyperlink r:id="rId13230" ref="N9867"/>
    <hyperlink r:id="rId13231" ref="N9868"/>
    <hyperlink r:id="rId13232" ref="N9869"/>
    <hyperlink r:id="rId13233" ref="N9870"/>
    <hyperlink r:id="rId13234" ref="N9871"/>
    <hyperlink r:id="rId13235" ref="N9872"/>
    <hyperlink r:id="rId13236" ref="N9873"/>
    <hyperlink r:id="rId13237" ref="N9874"/>
    <hyperlink r:id="rId13238" ref="N9875"/>
    <hyperlink r:id="rId13239" ref="N9876"/>
    <hyperlink r:id="rId13240" ref="N9877"/>
    <hyperlink r:id="rId13241" ref="N9878"/>
    <hyperlink r:id="rId13242" ref="N9879"/>
    <hyperlink r:id="rId13243" ref="N9880"/>
    <hyperlink r:id="rId13244" ref="N9881"/>
    <hyperlink r:id="rId13245" ref="N9882"/>
    <hyperlink r:id="rId13246" ref="N9883"/>
    <hyperlink r:id="rId13247" ref="N9884"/>
    <hyperlink r:id="rId13248" ref="N9885"/>
    <hyperlink r:id="rId13249" ref="N9886"/>
    <hyperlink r:id="rId13250" ref="N9887"/>
    <hyperlink r:id="rId13251" ref="N9888"/>
    <hyperlink r:id="rId13252" ref="N9889"/>
    <hyperlink r:id="rId13253" ref="N9890"/>
    <hyperlink r:id="rId13254" ref="N9891"/>
    <hyperlink r:id="rId13255" ref="N9892"/>
    <hyperlink r:id="rId13256" ref="N9893"/>
    <hyperlink r:id="rId13257" ref="N9894"/>
    <hyperlink r:id="rId13258" ref="N9895"/>
    <hyperlink r:id="rId13259" ref="N9896"/>
    <hyperlink r:id="rId13260" ref="N9897"/>
    <hyperlink r:id="rId13261" ref="N9898"/>
    <hyperlink r:id="rId13262" ref="N9899"/>
    <hyperlink r:id="rId13263" ref="N9900"/>
    <hyperlink r:id="rId13264" ref="N9901"/>
    <hyperlink r:id="rId13265" ref="N9902"/>
    <hyperlink r:id="rId13266" ref="N9903"/>
    <hyperlink r:id="rId13267" ref="N9904"/>
    <hyperlink r:id="rId13268" ref="N9905"/>
    <hyperlink r:id="rId13269" ref="N9906"/>
    <hyperlink r:id="rId13270" ref="N9907"/>
    <hyperlink r:id="rId13271" ref="N9908"/>
    <hyperlink r:id="rId13272" ref="N9909"/>
    <hyperlink r:id="rId13273" ref="N9910"/>
    <hyperlink r:id="rId13274" ref="N9911"/>
    <hyperlink r:id="rId13275" ref="N9912"/>
    <hyperlink r:id="rId13276" ref="N9913"/>
    <hyperlink r:id="rId13277" ref="N9914"/>
    <hyperlink r:id="rId13278" ref="N9915"/>
    <hyperlink r:id="rId13279" ref="N9916"/>
    <hyperlink r:id="rId13280" ref="N9917"/>
    <hyperlink r:id="rId13281" ref="N9918"/>
    <hyperlink r:id="rId13282" ref="N9919"/>
    <hyperlink r:id="rId13283" ref="N9920"/>
    <hyperlink r:id="rId13284" ref="N9921"/>
    <hyperlink r:id="rId13285" ref="N9922"/>
    <hyperlink r:id="rId13286" ref="N9923"/>
    <hyperlink r:id="rId13287" ref="N9924"/>
    <hyperlink r:id="rId13288" ref="N9925"/>
    <hyperlink r:id="rId13289" ref="N9926"/>
    <hyperlink r:id="rId13290" ref="N9927"/>
    <hyperlink r:id="rId13291" ref="N9928"/>
    <hyperlink r:id="rId13292" ref="N9929"/>
    <hyperlink r:id="rId13293" ref="N9930"/>
    <hyperlink r:id="rId13294" ref="N9931"/>
    <hyperlink r:id="rId13295" ref="N9932"/>
    <hyperlink r:id="rId13296" ref="N9933"/>
    <hyperlink r:id="rId13297" ref="N9934"/>
    <hyperlink r:id="rId13298" ref="N9935"/>
    <hyperlink r:id="rId13299" ref="N9936"/>
    <hyperlink r:id="rId13300" ref="N9937"/>
    <hyperlink r:id="rId13301" ref="N9938"/>
    <hyperlink r:id="rId13302" ref="N9939"/>
    <hyperlink r:id="rId13303" ref="N9940"/>
    <hyperlink r:id="rId13304" ref="N9941"/>
    <hyperlink r:id="rId13305" ref="N9942"/>
    <hyperlink r:id="rId13306" ref="N9943"/>
    <hyperlink r:id="rId13307" ref="N9944"/>
    <hyperlink r:id="rId13308" ref="N9945"/>
    <hyperlink r:id="rId13309" ref="N9946"/>
    <hyperlink r:id="rId13310" ref="N9947"/>
    <hyperlink r:id="rId13311" ref="N9948"/>
    <hyperlink r:id="rId13312" ref="N9949"/>
    <hyperlink r:id="rId13313" ref="N9950"/>
    <hyperlink r:id="rId13314" ref="N9951"/>
    <hyperlink r:id="rId13315" ref="N9952"/>
    <hyperlink r:id="rId13316" ref="N9953"/>
    <hyperlink r:id="rId13317" ref="N9954"/>
    <hyperlink r:id="rId13318" ref="N9955"/>
    <hyperlink r:id="rId13319" ref="N9956"/>
    <hyperlink r:id="rId13320" ref="N9957"/>
    <hyperlink r:id="rId13321" ref="N9958"/>
    <hyperlink r:id="rId13322" ref="N9959"/>
    <hyperlink r:id="rId13323" ref="N9960"/>
    <hyperlink r:id="rId13324" ref="N9961"/>
    <hyperlink r:id="rId13325" ref="N9962"/>
    <hyperlink r:id="rId13326" ref="N9963"/>
    <hyperlink r:id="rId13327" ref="N9964"/>
    <hyperlink r:id="rId13328" ref="N9965"/>
    <hyperlink r:id="rId13329" ref="N9966"/>
    <hyperlink r:id="rId13330" ref="N9967"/>
    <hyperlink r:id="rId13331" ref="N9968"/>
    <hyperlink r:id="rId13332" ref="N9969"/>
    <hyperlink r:id="rId13333" ref="N9970"/>
    <hyperlink r:id="rId13334" ref="N9971"/>
    <hyperlink r:id="rId13335" ref="N9972"/>
    <hyperlink r:id="rId13336" ref="N9973"/>
    <hyperlink r:id="rId13337" ref="N9974"/>
    <hyperlink r:id="rId13338" ref="N9975"/>
    <hyperlink r:id="rId13339" ref="N9976"/>
    <hyperlink r:id="rId13340" ref="N9977"/>
    <hyperlink r:id="rId13341" ref="N9978"/>
    <hyperlink r:id="rId13342" ref="N9979"/>
    <hyperlink r:id="rId13343" ref="N9980"/>
    <hyperlink r:id="rId13344" ref="N9981"/>
    <hyperlink r:id="rId13345" ref="N9982"/>
    <hyperlink r:id="rId13346" ref="N9983"/>
    <hyperlink r:id="rId13347" ref="N9984"/>
    <hyperlink r:id="rId13348" ref="N9985"/>
    <hyperlink r:id="rId13349" ref="N9986"/>
    <hyperlink r:id="rId13350" ref="N9987"/>
    <hyperlink r:id="rId13351" ref="N9988"/>
    <hyperlink r:id="rId13352" ref="N9989"/>
    <hyperlink r:id="rId13353" ref="N9990"/>
    <hyperlink r:id="rId13354" ref="N9991"/>
    <hyperlink r:id="rId13355" ref="N9992"/>
    <hyperlink r:id="rId13356" ref="N9993"/>
    <hyperlink r:id="rId13357" ref="N9994"/>
    <hyperlink r:id="rId13358" ref="N9995"/>
    <hyperlink r:id="rId13359" ref="N9996"/>
    <hyperlink r:id="rId13360" ref="N9997"/>
    <hyperlink r:id="rId13361" ref="N9998"/>
    <hyperlink r:id="rId13362" ref="N9999"/>
    <hyperlink r:id="rId13363" ref="N10000"/>
    <hyperlink r:id="rId13364" ref="N10001"/>
    <hyperlink r:id="rId13365" ref="N10002"/>
    <hyperlink r:id="rId13366" ref="N10003"/>
    <hyperlink r:id="rId13367" ref="N10004"/>
    <hyperlink r:id="rId13368" ref="N10005"/>
    <hyperlink r:id="rId13369" ref="N10006"/>
    <hyperlink r:id="rId13370" ref="N10007"/>
    <hyperlink r:id="rId13371" ref="N10008"/>
    <hyperlink r:id="rId13372" ref="N10009"/>
    <hyperlink r:id="rId13373" ref="N10010"/>
    <hyperlink r:id="rId13374" ref="N10011"/>
    <hyperlink r:id="rId13375" ref="N10012"/>
    <hyperlink r:id="rId13376" ref="N10013"/>
    <hyperlink r:id="rId13377" ref="N10014"/>
    <hyperlink r:id="rId13378" ref="N10015"/>
    <hyperlink r:id="rId13379" ref="N10016"/>
    <hyperlink r:id="rId13380" ref="N10017"/>
    <hyperlink r:id="rId13381" ref="N10018"/>
    <hyperlink r:id="rId13382" ref="N10019"/>
    <hyperlink r:id="rId13383" ref="N10020"/>
    <hyperlink r:id="rId13384" ref="N10021"/>
    <hyperlink r:id="rId13385" ref="N10022"/>
    <hyperlink r:id="rId13386" ref="N10023"/>
    <hyperlink r:id="rId13387" ref="N10024"/>
    <hyperlink r:id="rId13388" ref="N10025"/>
    <hyperlink r:id="rId13389" ref="N10026"/>
    <hyperlink r:id="rId13390" ref="N10027"/>
    <hyperlink r:id="rId13391" ref="N10028"/>
    <hyperlink r:id="rId13392" ref="N10029"/>
    <hyperlink r:id="rId13393" ref="N10030"/>
    <hyperlink r:id="rId13394" ref="N10031"/>
    <hyperlink r:id="rId13395" ref="N10032"/>
    <hyperlink r:id="rId13396" ref="N10033"/>
    <hyperlink r:id="rId13397" ref="N10034"/>
    <hyperlink r:id="rId13398" ref="N10035"/>
    <hyperlink r:id="rId13399" ref="N10036"/>
    <hyperlink r:id="rId13400" ref="N10037"/>
    <hyperlink r:id="rId13401" ref="N10038"/>
    <hyperlink r:id="rId13402" ref="N10039"/>
    <hyperlink r:id="rId13403" ref="N10040"/>
    <hyperlink r:id="rId13404" ref="N10041"/>
    <hyperlink r:id="rId13405" ref="N10042"/>
    <hyperlink r:id="rId13406" ref="N10043"/>
    <hyperlink r:id="rId13407" ref="N10044"/>
    <hyperlink r:id="rId13408" ref="N10045"/>
    <hyperlink r:id="rId13409" ref="N10046"/>
    <hyperlink r:id="rId13410" ref="N10047"/>
    <hyperlink r:id="rId13411" ref="N10048"/>
    <hyperlink r:id="rId13412" ref="N10049"/>
    <hyperlink r:id="rId13413" ref="N10050"/>
    <hyperlink r:id="rId13414" ref="N10051"/>
    <hyperlink r:id="rId13415" ref="N10052"/>
    <hyperlink r:id="rId13416" ref="N10053"/>
    <hyperlink r:id="rId13417" ref="N10054"/>
    <hyperlink r:id="rId13418" ref="N10055"/>
    <hyperlink r:id="rId13419" ref="N10056"/>
    <hyperlink r:id="rId13420" ref="N10057"/>
    <hyperlink r:id="rId13421" ref="N10058"/>
    <hyperlink r:id="rId13422" ref="N10059"/>
    <hyperlink r:id="rId13423" ref="N10060"/>
    <hyperlink r:id="rId13424" ref="N10061"/>
    <hyperlink r:id="rId13425" ref="N10062"/>
    <hyperlink r:id="rId13426" ref="N10063"/>
    <hyperlink r:id="rId13427" ref="N10064"/>
    <hyperlink r:id="rId13428" ref="N10065"/>
    <hyperlink r:id="rId13429" ref="N10066"/>
    <hyperlink r:id="rId13430" ref="N10067"/>
    <hyperlink r:id="rId13431" ref="N10068"/>
    <hyperlink r:id="rId13432" ref="N10069"/>
    <hyperlink r:id="rId13433" ref="N10070"/>
    <hyperlink r:id="rId13434" ref="N10071"/>
    <hyperlink r:id="rId13435" ref="N10072"/>
    <hyperlink r:id="rId13436" ref="N10073"/>
    <hyperlink r:id="rId13437" ref="N10074"/>
    <hyperlink r:id="rId13438" ref="N10075"/>
    <hyperlink r:id="rId13439" ref="N10076"/>
    <hyperlink r:id="rId13440" ref="N10077"/>
    <hyperlink r:id="rId13441" ref="N10078"/>
    <hyperlink r:id="rId13442" ref="N10079"/>
    <hyperlink r:id="rId13443" ref="N10080"/>
    <hyperlink r:id="rId13444" ref="N10081"/>
    <hyperlink r:id="rId13445" ref="N10082"/>
    <hyperlink r:id="rId13446" ref="N10083"/>
    <hyperlink r:id="rId13447" ref="N10084"/>
    <hyperlink r:id="rId13448" ref="N10085"/>
    <hyperlink r:id="rId13449" ref="N10086"/>
    <hyperlink r:id="rId13450" ref="N10087"/>
    <hyperlink r:id="rId13451" ref="N10088"/>
    <hyperlink r:id="rId13452" ref="N10089"/>
    <hyperlink r:id="rId13453" ref="N10090"/>
    <hyperlink r:id="rId13454" ref="N10091"/>
    <hyperlink r:id="rId13455" ref="N10092"/>
    <hyperlink r:id="rId13456" ref="N10093"/>
    <hyperlink r:id="rId13457" ref="N10094"/>
    <hyperlink r:id="rId13458" ref="N10095"/>
    <hyperlink r:id="rId13459" ref="N10096"/>
    <hyperlink r:id="rId13460" ref="N10097"/>
    <hyperlink r:id="rId13461" ref="N10098"/>
    <hyperlink r:id="rId13462" ref="N10099"/>
    <hyperlink r:id="rId13463" ref="N10100"/>
    <hyperlink r:id="rId13464" ref="N10101"/>
    <hyperlink r:id="rId13465" ref="N10102"/>
    <hyperlink r:id="rId13466" ref="N10103"/>
    <hyperlink r:id="rId13467" ref="N10104"/>
    <hyperlink r:id="rId13468" ref="N10105"/>
    <hyperlink r:id="rId13469" ref="N10106"/>
    <hyperlink r:id="rId13470" ref="N10107"/>
    <hyperlink r:id="rId13471" ref="N10108"/>
    <hyperlink r:id="rId13472" ref="N10109"/>
    <hyperlink r:id="rId13473" ref="N10110"/>
    <hyperlink r:id="rId13474" ref="N10111"/>
    <hyperlink r:id="rId13475" ref="N10112"/>
    <hyperlink r:id="rId13476" ref="N10113"/>
    <hyperlink r:id="rId13477" ref="N10114"/>
    <hyperlink r:id="rId13478" ref="N10115"/>
    <hyperlink r:id="rId13479" ref="N10116"/>
    <hyperlink r:id="rId13480" ref="N10117"/>
    <hyperlink r:id="rId13481" ref="N10118"/>
    <hyperlink r:id="rId13482" ref="N10119"/>
    <hyperlink r:id="rId13483" ref="N10120"/>
    <hyperlink r:id="rId13484" ref="N10121"/>
    <hyperlink r:id="rId13485" ref="N10122"/>
    <hyperlink r:id="rId13486" ref="N10123"/>
    <hyperlink r:id="rId13487" ref="N10124"/>
    <hyperlink r:id="rId13488" ref="N10125"/>
    <hyperlink r:id="rId13489" ref="N10126"/>
    <hyperlink r:id="rId13490" ref="N10127"/>
    <hyperlink r:id="rId13491" ref="N10128"/>
    <hyperlink r:id="rId13492" ref="N10129"/>
    <hyperlink r:id="rId13493" ref="N10130"/>
    <hyperlink r:id="rId13494" ref="N10131"/>
    <hyperlink r:id="rId13495" ref="N10132"/>
    <hyperlink r:id="rId13496" ref="N10133"/>
    <hyperlink r:id="rId13497" ref="N10134"/>
    <hyperlink r:id="rId13498" ref="N10135"/>
    <hyperlink r:id="rId13499" ref="N10136"/>
    <hyperlink r:id="rId13500" ref="N10137"/>
    <hyperlink r:id="rId13501" ref="N10138"/>
    <hyperlink r:id="rId13502" ref="N10139"/>
    <hyperlink r:id="rId13503" ref="N10140"/>
    <hyperlink r:id="rId13504" ref="N10141"/>
    <hyperlink r:id="rId13505" ref="N10142"/>
    <hyperlink r:id="rId13506" ref="N10143"/>
    <hyperlink r:id="rId13507" ref="N10144"/>
    <hyperlink r:id="rId13508" ref="N10145"/>
    <hyperlink r:id="rId13509" ref="N10146"/>
    <hyperlink r:id="rId13510" ref="N10147"/>
    <hyperlink r:id="rId13511" ref="N10148"/>
    <hyperlink r:id="rId13512" ref="N10149"/>
    <hyperlink r:id="rId13513" ref="N10150"/>
    <hyperlink r:id="rId13514" ref="N10151"/>
    <hyperlink r:id="rId13515" ref="N10152"/>
    <hyperlink r:id="rId13516" ref="N10153"/>
    <hyperlink r:id="rId13517" ref="N10154"/>
    <hyperlink r:id="rId13518" ref="N10155"/>
    <hyperlink r:id="rId13519" ref="N10156"/>
    <hyperlink r:id="rId13520" ref="N10157"/>
    <hyperlink r:id="rId13521" ref="N10158"/>
    <hyperlink r:id="rId13522" ref="N10159"/>
    <hyperlink r:id="rId13523" ref="N10160"/>
    <hyperlink r:id="rId13524" ref="N10161"/>
    <hyperlink r:id="rId13525" ref="N10162"/>
    <hyperlink r:id="rId13526" ref="N10163"/>
    <hyperlink r:id="rId13527" ref="N10164"/>
    <hyperlink r:id="rId13528" ref="N10165"/>
    <hyperlink r:id="rId13529" ref="N10166"/>
    <hyperlink r:id="rId13530" ref="N10167"/>
    <hyperlink r:id="rId13531" ref="N10168"/>
    <hyperlink r:id="rId13532" ref="N10169"/>
    <hyperlink r:id="rId13533" ref="N10170"/>
    <hyperlink r:id="rId13534" ref="N10171"/>
    <hyperlink r:id="rId13535" ref="N10172"/>
    <hyperlink r:id="rId13536" ref="N10173"/>
    <hyperlink r:id="rId13537" ref="N10174"/>
    <hyperlink r:id="rId13538" ref="N10175"/>
    <hyperlink r:id="rId13539" ref="N10176"/>
    <hyperlink r:id="rId13540" ref="N10177"/>
    <hyperlink r:id="rId13541" ref="N10178"/>
    <hyperlink r:id="rId13542" ref="N10179"/>
    <hyperlink r:id="rId13543" ref="N10180"/>
    <hyperlink r:id="rId13544" ref="N10181"/>
    <hyperlink r:id="rId13545" ref="N10182"/>
    <hyperlink r:id="rId13546" ref="N10183"/>
    <hyperlink r:id="rId13547" ref="N10184"/>
    <hyperlink r:id="rId13548" ref="N10185"/>
    <hyperlink r:id="rId13549" ref="N10186"/>
    <hyperlink r:id="rId13550" ref="N10187"/>
    <hyperlink r:id="rId13551" ref="N10188"/>
    <hyperlink r:id="rId13552" ref="N10189"/>
    <hyperlink r:id="rId13553" ref="N10190"/>
    <hyperlink r:id="rId13554" ref="N10191"/>
    <hyperlink r:id="rId13555" ref="N10192"/>
    <hyperlink r:id="rId13556" ref="N10193"/>
    <hyperlink r:id="rId13557" ref="N10194"/>
    <hyperlink r:id="rId13558" ref="N10195"/>
    <hyperlink r:id="rId13559" ref="N10196"/>
    <hyperlink r:id="rId13560" ref="N10197"/>
    <hyperlink r:id="rId13561" ref="N10198"/>
    <hyperlink r:id="rId13562" ref="N10199"/>
    <hyperlink r:id="rId13563" ref="N10200"/>
    <hyperlink r:id="rId13564" ref="N10201"/>
    <hyperlink r:id="rId13565" ref="N10202"/>
    <hyperlink r:id="rId13566" ref="N10203"/>
    <hyperlink r:id="rId13567" ref="N10204"/>
    <hyperlink r:id="rId13568" ref="N10205"/>
    <hyperlink r:id="rId13569" ref="N10206"/>
    <hyperlink r:id="rId13570" ref="N10207"/>
    <hyperlink r:id="rId13571" ref="N10208"/>
    <hyperlink r:id="rId13572" ref="N10209"/>
    <hyperlink r:id="rId13573" ref="N10210"/>
    <hyperlink r:id="rId13574" ref="N10211"/>
    <hyperlink r:id="rId13575" ref="N10212"/>
    <hyperlink r:id="rId13576" ref="N10213"/>
    <hyperlink r:id="rId13577" ref="N10214"/>
    <hyperlink r:id="rId13578" ref="N10215"/>
    <hyperlink r:id="rId13579" ref="I10216"/>
    <hyperlink r:id="rId13580" ref="N10216"/>
    <hyperlink r:id="rId13581" ref="N10217"/>
    <hyperlink r:id="rId13582" ref="N10218"/>
    <hyperlink r:id="rId13583" ref="N10219"/>
    <hyperlink r:id="rId13584" ref="N10220"/>
    <hyperlink r:id="rId13585" ref="N10221"/>
    <hyperlink r:id="rId13586" ref="N10222"/>
    <hyperlink r:id="rId13587" ref="N10223"/>
    <hyperlink r:id="rId13588" ref="N10224"/>
    <hyperlink r:id="rId13589" ref="N10225"/>
    <hyperlink r:id="rId13590" ref="N10226"/>
    <hyperlink r:id="rId13591" ref="N10227"/>
    <hyperlink r:id="rId13592" ref="N10228"/>
    <hyperlink r:id="rId13593" ref="N10229"/>
    <hyperlink r:id="rId13594" ref="I10238"/>
    <hyperlink r:id="rId13595" ref="I10239"/>
    <hyperlink r:id="rId13596" ref="I10240"/>
    <hyperlink r:id="rId13597" ref="I10241"/>
    <hyperlink r:id="rId13598" ref="I10242"/>
    <hyperlink r:id="rId13599" ref="I10243"/>
    <hyperlink r:id="rId13600" ref="I10244"/>
    <hyperlink r:id="rId13601" ref="I10245"/>
    <hyperlink r:id="rId13602" ref="I10246"/>
    <hyperlink r:id="rId13603" ref="I10247"/>
    <hyperlink r:id="rId13604" ref="I10248"/>
    <hyperlink r:id="rId13605" ref="I10249"/>
    <hyperlink r:id="rId13606" ref="I10250"/>
    <hyperlink r:id="rId13607" ref="I10251"/>
    <hyperlink r:id="rId13608" ref="I10252"/>
    <hyperlink r:id="rId13609" ref="I10253"/>
    <hyperlink r:id="rId13610" ref="I10254"/>
    <hyperlink r:id="rId13611" ref="I10255"/>
    <hyperlink r:id="rId13612" ref="I10256"/>
    <hyperlink r:id="rId13613" ref="I10257"/>
    <hyperlink r:id="rId13614" ref="I10258"/>
    <hyperlink r:id="rId13615" ref="I10259"/>
    <hyperlink r:id="rId13616" ref="I10260"/>
    <hyperlink r:id="rId13617" ref="I10261"/>
    <hyperlink r:id="rId13618" ref="I10262"/>
    <hyperlink r:id="rId13619" ref="I10263"/>
    <hyperlink r:id="rId13620" ref="I10264"/>
    <hyperlink r:id="rId13621" ref="I10265"/>
    <hyperlink r:id="rId13622" ref="I10266"/>
    <hyperlink r:id="rId13623" ref="I10267"/>
    <hyperlink r:id="rId13624" ref="I10268"/>
    <hyperlink r:id="rId13625" ref="I10269"/>
    <hyperlink r:id="rId13626" ref="I10270"/>
    <hyperlink r:id="rId13627" ref="I10271"/>
    <hyperlink r:id="rId13628" ref="I10272"/>
    <hyperlink r:id="rId13629" ref="I10273"/>
    <hyperlink r:id="rId13630" ref="I10274"/>
    <hyperlink r:id="rId13631" ref="I10275"/>
    <hyperlink r:id="rId13632" ref="I10276"/>
    <hyperlink r:id="rId13633" ref="I10277"/>
    <hyperlink r:id="rId13634" ref="I10278"/>
    <hyperlink r:id="rId13635" ref="I10279"/>
    <hyperlink r:id="rId13636" ref="I10280"/>
    <hyperlink r:id="rId13637" ref="I10281"/>
    <hyperlink r:id="rId13638" ref="I10282"/>
    <hyperlink r:id="rId13639" ref="I10283"/>
    <hyperlink r:id="rId13640" ref="I10284"/>
    <hyperlink r:id="rId13641" ref="I10285"/>
    <hyperlink r:id="rId13642" ref="I10286"/>
    <hyperlink r:id="rId13643" ref="I10287"/>
    <hyperlink r:id="rId13644" ref="I10288"/>
    <hyperlink r:id="rId13645" ref="I10289"/>
    <hyperlink r:id="rId13646" ref="I10290"/>
    <hyperlink r:id="rId13647" ref="I10291"/>
    <hyperlink r:id="rId13648" ref="I10292"/>
    <hyperlink r:id="rId13649" ref="I10293"/>
    <hyperlink r:id="rId13650" ref="I10294"/>
    <hyperlink r:id="rId13651" ref="I10295"/>
    <hyperlink r:id="rId13652" ref="I10296"/>
    <hyperlink r:id="rId13653" ref="I10297"/>
    <hyperlink r:id="rId13654" ref="I10298"/>
    <hyperlink r:id="rId13655" ref="I10299"/>
    <hyperlink r:id="rId13656" ref="I10300"/>
    <hyperlink r:id="rId13657" ref="I10301"/>
    <hyperlink r:id="rId13658" ref="I10302"/>
    <hyperlink r:id="rId13659" ref="I10303"/>
    <hyperlink r:id="rId13660" ref="I10304"/>
    <hyperlink r:id="rId13661" ref="I10305"/>
    <hyperlink r:id="rId13662" ref="I10306"/>
    <hyperlink r:id="rId13663" ref="I10307"/>
    <hyperlink r:id="rId13664" ref="I10308"/>
    <hyperlink r:id="rId13665" ref="I10309"/>
    <hyperlink r:id="rId13666" ref="I10310"/>
    <hyperlink r:id="rId13667" ref="I10311"/>
    <hyperlink r:id="rId13668" ref="I10312"/>
    <hyperlink r:id="rId13669" ref="I10313"/>
    <hyperlink r:id="rId13670" ref="I10314"/>
    <hyperlink r:id="rId13671" ref="I10315"/>
    <hyperlink r:id="rId13672" ref="I10316"/>
    <hyperlink r:id="rId13673" ref="I10317"/>
    <hyperlink r:id="rId13674" ref="I10318"/>
    <hyperlink r:id="rId13675" ref="I10319"/>
    <hyperlink r:id="rId13676" ref="I10320"/>
    <hyperlink r:id="rId13677" ref="I10321"/>
    <hyperlink r:id="rId13678" ref="I10322"/>
    <hyperlink r:id="rId13679" ref="I10323"/>
    <hyperlink r:id="rId13680" ref="I10324"/>
    <hyperlink r:id="rId13681" ref="I10325"/>
    <hyperlink r:id="rId13682" ref="I10326"/>
    <hyperlink r:id="rId13683" ref="I10327"/>
    <hyperlink r:id="rId13684" ref="I10328"/>
    <hyperlink r:id="rId13685" ref="I10329"/>
    <hyperlink r:id="rId13686" ref="I10330"/>
    <hyperlink r:id="rId13687" ref="I10331"/>
    <hyperlink r:id="rId13688" ref="I10332"/>
    <hyperlink r:id="rId13689" ref="I10333"/>
    <hyperlink r:id="rId13690" ref="I10334"/>
    <hyperlink r:id="rId13691" ref="I10335"/>
    <hyperlink r:id="rId13692" ref="I10336"/>
    <hyperlink r:id="rId13693" ref="I10337"/>
    <hyperlink r:id="rId13694" ref="I10338"/>
    <hyperlink r:id="rId13695" ref="I10339"/>
    <hyperlink r:id="rId13696" ref="I10340"/>
    <hyperlink r:id="rId13697" ref="I10341"/>
    <hyperlink r:id="rId13698" ref="I10342"/>
    <hyperlink r:id="rId13699" ref="I10343"/>
    <hyperlink r:id="rId13700" ref="I10344"/>
    <hyperlink r:id="rId13701" ref="I10345"/>
    <hyperlink r:id="rId13702" ref="I10346"/>
    <hyperlink r:id="rId13703" ref="I10347"/>
    <hyperlink r:id="rId13704" ref="I10348"/>
    <hyperlink r:id="rId13705" ref="I10349"/>
    <hyperlink r:id="rId13706" ref="I10350"/>
    <hyperlink r:id="rId13707" ref="I10351"/>
    <hyperlink r:id="rId13708" ref="I10352"/>
    <hyperlink r:id="rId13709" ref="I10353"/>
    <hyperlink r:id="rId13710" ref="I10354"/>
    <hyperlink r:id="rId13711" ref="I10355"/>
    <hyperlink r:id="rId13712" ref="I10356"/>
    <hyperlink r:id="rId13713" ref="I10357"/>
    <hyperlink r:id="rId13714" ref="I10358"/>
    <hyperlink r:id="rId13715" ref="I10359"/>
    <hyperlink r:id="rId13716" ref="I10360"/>
    <hyperlink r:id="rId13717" ref="I10361"/>
    <hyperlink r:id="rId13718" ref="I10362"/>
    <hyperlink r:id="rId13719" ref="I10363"/>
    <hyperlink r:id="rId13720" ref="I10364"/>
    <hyperlink r:id="rId13721" ref="I10365"/>
    <hyperlink r:id="rId13722" ref="I10366"/>
    <hyperlink r:id="rId13723" ref="I10367"/>
    <hyperlink r:id="rId13724" ref="I10368"/>
    <hyperlink r:id="rId13725" ref="I10369"/>
    <hyperlink r:id="rId13726" ref="I10370"/>
    <hyperlink r:id="rId13727" ref="I10371"/>
    <hyperlink r:id="rId13728" ref="I10372"/>
    <hyperlink r:id="rId13729" ref="I10373"/>
    <hyperlink r:id="rId13730" ref="I10374"/>
    <hyperlink r:id="rId13731" ref="I10375"/>
    <hyperlink r:id="rId13732" ref="I10376"/>
    <hyperlink r:id="rId13733" ref="I10377"/>
    <hyperlink r:id="rId13734" ref="I10378"/>
    <hyperlink r:id="rId13735" ref="I10379"/>
    <hyperlink r:id="rId13736" ref="I10380"/>
    <hyperlink r:id="rId13737" ref="I10381"/>
    <hyperlink r:id="rId13738" ref="I10382"/>
    <hyperlink r:id="rId13739" ref="I10383"/>
    <hyperlink r:id="rId13740" ref="I10384"/>
    <hyperlink r:id="rId13741" ref="I10385"/>
    <hyperlink r:id="rId13742" ref="I10386"/>
    <hyperlink r:id="rId13743" ref="I10387"/>
    <hyperlink r:id="rId13744" ref="I10388"/>
    <hyperlink r:id="rId13745" ref="I10389"/>
    <hyperlink r:id="rId13746" ref="I10390"/>
    <hyperlink r:id="rId13747" ref="I10391"/>
    <hyperlink r:id="rId13748" ref="I10392"/>
    <hyperlink r:id="rId13749" ref="I10393"/>
    <hyperlink r:id="rId13750" ref="I10394"/>
    <hyperlink r:id="rId13751" ref="I10395"/>
    <hyperlink r:id="rId13752" ref="I10396"/>
    <hyperlink r:id="rId13753" ref="I10397"/>
    <hyperlink r:id="rId13754" ref="I10398"/>
    <hyperlink r:id="rId13755" ref="I10399"/>
    <hyperlink r:id="rId13756" ref="I10400"/>
    <hyperlink r:id="rId13757" ref="I10401"/>
    <hyperlink r:id="rId13758" ref="I10402"/>
    <hyperlink r:id="rId13759" ref="I10403"/>
    <hyperlink r:id="rId13760" ref="I10404"/>
    <hyperlink r:id="rId13761" ref="I10405"/>
    <hyperlink r:id="rId13762" ref="I10406"/>
    <hyperlink r:id="rId13763" ref="I10407"/>
    <hyperlink r:id="rId13764" ref="I10408"/>
    <hyperlink r:id="rId13765" ref="I10409"/>
    <hyperlink r:id="rId13766" ref="I10410"/>
    <hyperlink r:id="rId13767" ref="I10411"/>
    <hyperlink r:id="rId13768" ref="I10412"/>
    <hyperlink r:id="rId13769" ref="I10413"/>
    <hyperlink r:id="rId13770" ref="I10414"/>
    <hyperlink r:id="rId13771" ref="I10415"/>
    <hyperlink r:id="rId13772" ref="I10416"/>
    <hyperlink r:id="rId13773" ref="I10417"/>
    <hyperlink r:id="rId13774" ref="I10418"/>
    <hyperlink r:id="rId13775" ref="I10419"/>
    <hyperlink r:id="rId13776" ref="I10420"/>
    <hyperlink r:id="rId13777" ref="I10421"/>
    <hyperlink r:id="rId13778" ref="I10422"/>
    <hyperlink r:id="rId13779" ref="I10423"/>
    <hyperlink r:id="rId13780" ref="I10424"/>
    <hyperlink r:id="rId13781" ref="I10425"/>
    <hyperlink r:id="rId13782" ref="I10426"/>
    <hyperlink r:id="rId13783" ref="I10427"/>
    <hyperlink r:id="rId13784" ref="I10428"/>
    <hyperlink r:id="rId13785" ref="I10429"/>
    <hyperlink r:id="rId13786" ref="I10430"/>
    <hyperlink r:id="rId13787" ref="I10431"/>
    <hyperlink r:id="rId13788" ref="I10432"/>
    <hyperlink r:id="rId13789" ref="I10433"/>
    <hyperlink r:id="rId13790" ref="I10434"/>
    <hyperlink r:id="rId13791" ref="I10435"/>
    <hyperlink r:id="rId13792" ref="I10436"/>
    <hyperlink r:id="rId13793" ref="I10437"/>
    <hyperlink r:id="rId13794" ref="I10438"/>
    <hyperlink r:id="rId13795" ref="I10439"/>
    <hyperlink r:id="rId13796" ref="I10440"/>
    <hyperlink r:id="rId13797" ref="I10441"/>
    <hyperlink r:id="rId13798" ref="I10442"/>
    <hyperlink r:id="rId13799" ref="I10443"/>
    <hyperlink r:id="rId13800" ref="I10444"/>
    <hyperlink r:id="rId13801" ref="I10445"/>
    <hyperlink r:id="rId13802" ref="I10446"/>
    <hyperlink r:id="rId13803" ref="I10447"/>
    <hyperlink r:id="rId13804" ref="I10448"/>
    <hyperlink r:id="rId13805" ref="I10449"/>
    <hyperlink r:id="rId13806" ref="I10450"/>
    <hyperlink r:id="rId13807" ref="I10451"/>
    <hyperlink r:id="rId13808" ref="I10452"/>
    <hyperlink r:id="rId13809" ref="I10453"/>
  </hyperlinks>
  <drawing r:id="rId1381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7" width="18.88"/>
    <col customWidth="1" min="8" max="8" width="30.63"/>
    <col customWidth="1" min="9" max="9" width="70.75"/>
    <col customWidth="1" min="10" max="10" width="34.5"/>
    <col customWidth="1" min="11" max="11" width="183.5"/>
    <col customWidth="1" min="12" max="12" width="36.88"/>
    <col customWidth="1" min="13" max="13" width="18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tr">
        <f t="array" ref="H1:H10343">IF(LEN(B:B),IF(ROW(B:B)=1,"ID",TEXT(ROW(B:B)-1,"00")),)</f>
        <v>ID</v>
      </c>
      <c r="I1" s="3" t="s">
        <v>7</v>
      </c>
      <c r="J1" s="3" t="s">
        <v>8</v>
      </c>
      <c r="K1" s="3" t="s">
        <v>9</v>
      </c>
      <c r="L1" s="3" t="s">
        <v>10</v>
      </c>
    </row>
    <row r="2">
      <c r="A2" s="4">
        <v>45534.30042222222</v>
      </c>
      <c r="B2" s="5" t="s">
        <v>19</v>
      </c>
      <c r="C2" s="5" t="s">
        <v>20</v>
      </c>
      <c r="E2" s="5" t="s">
        <v>21</v>
      </c>
      <c r="F2" s="5" t="s">
        <v>22</v>
      </c>
      <c r="G2" s="5" t="s">
        <v>23</v>
      </c>
      <c r="H2" s="6" t="s">
        <v>24</v>
      </c>
      <c r="I2" s="7" t="s">
        <v>25</v>
      </c>
      <c r="J2" s="8" t="str">
        <f>HYPERLINK("https://drive.google.com/file/d/15jPER5BaQuBSX5VEs0hQtAx-a8mLWvGk/view?usp=drivesdk","SERTIFIKAT BerAKHLAK")</f>
        <v>SERTIFIKAT BerAKHLAK</v>
      </c>
      <c r="K2" s="5" t="s">
        <v>26</v>
      </c>
      <c r="L2" s="5" t="s">
        <v>27</v>
      </c>
    </row>
    <row r="3">
      <c r="A3" s="4">
        <v>45534.302741747684</v>
      </c>
      <c r="B3" s="5" t="s">
        <v>34</v>
      </c>
      <c r="D3" s="5" t="s">
        <v>35</v>
      </c>
      <c r="E3" s="5" t="s">
        <v>36</v>
      </c>
      <c r="F3" s="5" t="s">
        <v>37</v>
      </c>
      <c r="G3" s="5" t="s">
        <v>38</v>
      </c>
      <c r="H3" s="6" t="s">
        <v>39</v>
      </c>
      <c r="I3" s="7" t="s">
        <v>40</v>
      </c>
      <c r="J3" s="8" t="str">
        <f>HYPERLINK("https://drive.google.com/file/d/1j2QV6eO1_3RlAIyOA7-tf7AELCux1abB/view?usp=drivesdk","SERTIFIKAT BerAKHLAK")</f>
        <v>SERTIFIKAT BerAKHLAK</v>
      </c>
      <c r="K3" s="5" t="s">
        <v>41</v>
      </c>
      <c r="L3" s="5" t="s">
        <v>42</v>
      </c>
    </row>
    <row r="4">
      <c r="A4" s="4">
        <v>45534.304075127315</v>
      </c>
      <c r="B4" s="5" t="s">
        <v>34</v>
      </c>
      <c r="D4" s="5" t="s">
        <v>35</v>
      </c>
      <c r="E4" s="5" t="s">
        <v>48</v>
      </c>
      <c r="F4" s="5" t="s">
        <v>37</v>
      </c>
      <c r="G4" s="5" t="s">
        <v>49</v>
      </c>
      <c r="H4" s="6" t="s">
        <v>50</v>
      </c>
      <c r="I4" s="7" t="s">
        <v>51</v>
      </c>
      <c r="J4" s="8" t="str">
        <f>HYPERLINK("https://drive.google.com/file/d/1E7CjfZ0aJEUgxxuhRDCL7bWpERORvwtG/view?usp=drivesdk","SERTIFIKAT BerAKHLAK")</f>
        <v>SERTIFIKAT BerAKHLAK</v>
      </c>
      <c r="K4" s="5" t="s">
        <v>52</v>
      </c>
      <c r="L4" s="5" t="s">
        <v>53</v>
      </c>
    </row>
    <row r="5">
      <c r="A5" s="4">
        <v>45534.30418565973</v>
      </c>
      <c r="B5" s="5" t="s">
        <v>34</v>
      </c>
      <c r="D5" s="5" t="s">
        <v>35</v>
      </c>
      <c r="E5" s="5" t="s">
        <v>59</v>
      </c>
      <c r="F5" s="5" t="s">
        <v>37</v>
      </c>
      <c r="G5" s="5" t="s">
        <v>60</v>
      </c>
      <c r="H5" s="6" t="s">
        <v>61</v>
      </c>
      <c r="I5" s="7" t="s">
        <v>62</v>
      </c>
      <c r="J5" s="8" t="str">
        <f>HYPERLINK("https://drive.google.com/file/d/1lAvZx9E4zbzHLmf1WAd-Jy48kDIj0iDg/view?usp=drivesdk","SERTIFIKAT BerAKHLAK")</f>
        <v>SERTIFIKAT BerAKHLAK</v>
      </c>
      <c r="K5" s="5" t="s">
        <v>63</v>
      </c>
      <c r="L5" s="5" t="s">
        <v>64</v>
      </c>
    </row>
    <row r="6">
      <c r="A6" s="4">
        <v>45534.304739756946</v>
      </c>
      <c r="B6" s="5" t="s">
        <v>34</v>
      </c>
      <c r="D6" s="5" t="s">
        <v>35</v>
      </c>
      <c r="E6" s="5" t="s">
        <v>71</v>
      </c>
      <c r="F6" s="5" t="s">
        <v>72</v>
      </c>
      <c r="G6" s="5" t="s">
        <v>73</v>
      </c>
      <c r="H6" s="6" t="s">
        <v>74</v>
      </c>
      <c r="I6" s="7" t="s">
        <v>75</v>
      </c>
      <c r="J6" s="8" t="str">
        <f>HYPERLINK("https://drive.google.com/file/d/1pqPyhPt7alclYpmC6jjhk-ZvJTqVwn_f/view?usp=drivesdk","DEDE SAEPUL RAHMAN SERTIFIKAT BerAKHLAK")</f>
        <v>DEDE SAEPUL RAHMAN SERTIFIKAT BerAKHLAK</v>
      </c>
      <c r="K6" s="5" t="s">
        <v>76</v>
      </c>
      <c r="L6" s="5" t="s">
        <v>77</v>
      </c>
    </row>
    <row r="7">
      <c r="A7" s="4">
        <v>45534.305054745375</v>
      </c>
      <c r="B7" s="5" t="s">
        <v>19</v>
      </c>
      <c r="C7" s="5" t="s">
        <v>83</v>
      </c>
      <c r="E7" s="5" t="s">
        <v>84</v>
      </c>
      <c r="F7" s="5" t="s">
        <v>85</v>
      </c>
      <c r="G7" s="5" t="s">
        <v>86</v>
      </c>
      <c r="H7" s="6" t="s">
        <v>87</v>
      </c>
      <c r="I7" s="7" t="s">
        <v>88</v>
      </c>
      <c r="J7" s="8" t="str">
        <f>HYPERLINK("https://drive.google.com/file/d/1yDB-diJ4di5QQD9g9LVw0uJMTsU2RTGj/view?usp=drivesdk","RIFKA SONIA SETYOWATI, S.M SERTIFIKAT BerAKHLAK")</f>
        <v>RIFKA SONIA SETYOWATI, S.M SERTIFIKAT BerAKHLAK</v>
      </c>
      <c r="K7" s="5" t="s">
        <v>89</v>
      </c>
      <c r="L7" s="5" t="s">
        <v>90</v>
      </c>
    </row>
    <row r="8">
      <c r="A8" s="4">
        <v>45534.30505663194</v>
      </c>
      <c r="B8" s="5" t="s">
        <v>34</v>
      </c>
      <c r="D8" s="5" t="s">
        <v>35</v>
      </c>
      <c r="E8" s="5" t="s">
        <v>96</v>
      </c>
      <c r="F8" s="5" t="s">
        <v>37</v>
      </c>
      <c r="G8" s="5" t="s">
        <v>97</v>
      </c>
      <c r="H8" s="6" t="s">
        <v>98</v>
      </c>
      <c r="I8" s="7" t="s">
        <v>99</v>
      </c>
      <c r="J8" s="8" t="str">
        <f>HYPERLINK("https://drive.google.com/file/d/1HmV49TqD0EhgeEkh6eGnrIlGdpEWVLf5/view?usp=drivesdk","IWAN SETIAWAN SERTIFIKAT BerAKHLAK")</f>
        <v>IWAN SETIAWAN SERTIFIKAT BerAKHLAK</v>
      </c>
      <c r="K8" s="5" t="s">
        <v>100</v>
      </c>
      <c r="L8" s="5" t="s">
        <v>101</v>
      </c>
    </row>
    <row r="9">
      <c r="A9" s="4">
        <v>45534.30541298611</v>
      </c>
      <c r="B9" s="5" t="s">
        <v>34</v>
      </c>
      <c r="D9" s="5" t="s">
        <v>35</v>
      </c>
      <c r="E9" s="5" t="s">
        <v>107</v>
      </c>
      <c r="F9" s="5" t="s">
        <v>108</v>
      </c>
      <c r="G9" s="5" t="s">
        <v>109</v>
      </c>
      <c r="H9" s="6" t="s">
        <v>110</v>
      </c>
      <c r="I9" s="7" t="s">
        <v>111</v>
      </c>
      <c r="J9" s="8" t="str">
        <f>HYPERLINK("https://drive.google.com/file/d/1DpAorMqVOW3u3Ww0aHdpvn-IOCxvmi8i/view?usp=drivesdk","MAELASARI, SPD SM SERTIFIKAT BerAKHLAK")</f>
        <v>MAELASARI, SPD SM SERTIFIKAT BerAKHLAK</v>
      </c>
      <c r="K9" s="5" t="s">
        <v>112</v>
      </c>
      <c r="L9" s="5" t="s">
        <v>113</v>
      </c>
    </row>
    <row r="10">
      <c r="A10" s="4">
        <v>45534.3056380787</v>
      </c>
      <c r="B10" s="5" t="s">
        <v>19</v>
      </c>
      <c r="C10" s="5" t="s">
        <v>83</v>
      </c>
      <c r="E10" s="5" t="s">
        <v>119</v>
      </c>
      <c r="F10" s="5" t="s">
        <v>120</v>
      </c>
      <c r="G10" s="5" t="s">
        <v>121</v>
      </c>
      <c r="H10" s="6" t="s">
        <v>122</v>
      </c>
      <c r="I10" s="7" t="s">
        <v>123</v>
      </c>
      <c r="J10" s="8" t="str">
        <f>HYPERLINK("https://drive.google.com/file/d/1Nthirzo-zkIeTQ1EdDiUHoX3j4AK3RSY/view?usp=drivesdk","FEBBRY SUTEDJO, S.Si SERTIFIKAT BerAKHLAK")</f>
        <v>FEBBRY SUTEDJO, S.Si SERTIFIKAT BerAKHLAK</v>
      </c>
      <c r="K10" s="5" t="s">
        <v>124</v>
      </c>
      <c r="L10" s="5" t="s">
        <v>125</v>
      </c>
    </row>
    <row r="11">
      <c r="A11" s="4">
        <v>45534.306363807875</v>
      </c>
      <c r="B11" s="5" t="s">
        <v>34</v>
      </c>
      <c r="D11" s="5" t="s">
        <v>35</v>
      </c>
      <c r="E11" s="5" t="s">
        <v>131</v>
      </c>
      <c r="F11" s="5" t="s">
        <v>72</v>
      </c>
      <c r="G11" s="5" t="s">
        <v>132</v>
      </c>
      <c r="H11" s="6" t="s">
        <v>133</v>
      </c>
      <c r="I11" s="7" t="s">
        <v>134</v>
      </c>
      <c r="J11" s="8" t="str">
        <f>HYPERLINK("https://drive.google.com/file/d/1VuGwNlh9Gvp3CnwLqpuSPIiCdGmtnHbM/view?usp=drivesdk","ARI HAERUDDIN, S.Sos. SERTIFIKAT BerAKHLAK")</f>
        <v>ARI HAERUDDIN, S.Sos. SERTIFIKAT BerAKHLAK</v>
      </c>
      <c r="K11" s="5" t="s">
        <v>135</v>
      </c>
      <c r="L11" s="5" t="s">
        <v>136</v>
      </c>
    </row>
    <row r="12">
      <c r="A12" s="4">
        <v>45534.30789545139</v>
      </c>
      <c r="B12" s="5" t="s">
        <v>34</v>
      </c>
      <c r="D12" s="5" t="s">
        <v>35</v>
      </c>
      <c r="E12" s="5" t="s">
        <v>143</v>
      </c>
      <c r="F12" s="5" t="s">
        <v>72</v>
      </c>
      <c r="G12" s="5" t="s">
        <v>144</v>
      </c>
      <c r="H12" s="6" t="s">
        <v>145</v>
      </c>
      <c r="I12" s="7" t="s">
        <v>146</v>
      </c>
      <c r="J12" s="8" t="str">
        <f>HYPERLINK("https://drive.google.com/file/d/17KT6k7b-xGCp3-7kagY8lrEAEBPgqhuR/view?usp=drivesdk","BETTY MONALISA SITUMORANG SERTIFIKAT BerAKHLAK")</f>
        <v>BETTY MONALISA SITUMORANG SERTIFIKAT BerAKHLAK</v>
      </c>
      <c r="K12" s="5" t="s">
        <v>147</v>
      </c>
      <c r="L12" s="5" t="s">
        <v>148</v>
      </c>
    </row>
    <row r="13">
      <c r="A13" s="4">
        <v>45534.308767870374</v>
      </c>
      <c r="B13" s="5" t="s">
        <v>34</v>
      </c>
      <c r="D13" s="5" t="s">
        <v>35</v>
      </c>
      <c r="E13" s="5" t="s">
        <v>154</v>
      </c>
      <c r="F13" s="5" t="s">
        <v>37</v>
      </c>
      <c r="G13" s="5" t="s">
        <v>155</v>
      </c>
      <c r="H13" s="6" t="s">
        <v>156</v>
      </c>
      <c r="I13" s="7" t="s">
        <v>157</v>
      </c>
      <c r="J13" s="8" t="str">
        <f>HYPERLINK("https://drive.google.com/file/d/1Ld4SMEKbpWYGG6kWXBnDUoKVgtn6RcoW/view?usp=drivesdk","IWAN JUANDA GUNADI SERTIFIKAT BerAKHLAK")</f>
        <v>IWAN JUANDA GUNADI SERTIFIKAT BerAKHLAK</v>
      </c>
      <c r="K13" s="5" t="s">
        <v>158</v>
      </c>
      <c r="L13" s="5" t="s">
        <v>159</v>
      </c>
    </row>
    <row r="14">
      <c r="A14" s="4">
        <v>45534.30897221065</v>
      </c>
      <c r="B14" s="5" t="s">
        <v>19</v>
      </c>
      <c r="C14" s="5" t="s">
        <v>20</v>
      </c>
      <c r="E14" s="5" t="s">
        <v>165</v>
      </c>
      <c r="F14" s="5" t="s">
        <v>72</v>
      </c>
      <c r="G14" s="5" t="s">
        <v>166</v>
      </c>
      <c r="H14" s="6" t="s">
        <v>167</v>
      </c>
      <c r="I14" s="7" t="s">
        <v>168</v>
      </c>
      <c r="J14" s="8" t="str">
        <f>HYPERLINK("https://drive.google.com/file/d/1Z8TLetSbHQ7rycUkdrI80RADo3FkzX6w/view?usp=drivesdk","NEITI JUWAIRIYAH, A.MD., S.TR.ADM.ARS SERTIFIKAT BerAKHLAK")</f>
        <v>NEITI JUWAIRIYAH, A.MD., S.TR.ADM.ARS SERTIFIKAT BerAKHLAK</v>
      </c>
      <c r="K14" s="5" t="s">
        <v>169</v>
      </c>
      <c r="L14" s="5" t="s">
        <v>170</v>
      </c>
    </row>
    <row r="15">
      <c r="A15" s="4">
        <v>45534.30898356481</v>
      </c>
      <c r="B15" s="5" t="s">
        <v>34</v>
      </c>
      <c r="D15" s="5" t="s">
        <v>35</v>
      </c>
      <c r="E15" s="5" t="s">
        <v>176</v>
      </c>
      <c r="F15" s="5" t="s">
        <v>37</v>
      </c>
      <c r="G15" s="5" t="s">
        <v>177</v>
      </c>
      <c r="H15" s="6" t="s">
        <v>178</v>
      </c>
      <c r="I15" s="7" t="s">
        <v>179</v>
      </c>
      <c r="J15" s="8" t="str">
        <f>HYPERLINK("https://drive.google.com/file/d/1NXQuueQUVUHknssDtdpJOHZk9i_q6oBo/view?usp=drivesdk","YANYAN SAKTIYANA SERTIFIKAT BerAKHLAK")</f>
        <v>YANYAN SAKTIYANA SERTIFIKAT BerAKHLAK</v>
      </c>
      <c r="K15" s="5" t="s">
        <v>180</v>
      </c>
      <c r="L15" s="5" t="s">
        <v>181</v>
      </c>
    </row>
    <row r="16">
      <c r="A16" s="4">
        <v>45534.30915814815</v>
      </c>
      <c r="B16" s="5" t="s">
        <v>19</v>
      </c>
      <c r="C16" s="5" t="s">
        <v>20</v>
      </c>
      <c r="E16" s="5" t="s">
        <v>187</v>
      </c>
      <c r="F16" s="5" t="s">
        <v>72</v>
      </c>
      <c r="G16" s="5" t="s">
        <v>188</v>
      </c>
      <c r="H16" s="6" t="s">
        <v>189</v>
      </c>
      <c r="I16" s="7" t="s">
        <v>190</v>
      </c>
      <c r="J16" s="8" t="str">
        <f>HYPERLINK("https://drive.google.com/file/d/1oo4Da621U6GkkoNzK-njwMAYfmk3U_G2/view?usp=drivesdk","DESTI WISNU WARDANI, A.Md., S.Pd. SERTIFIKAT BerAKHLAK")</f>
        <v>DESTI WISNU WARDANI, A.Md., S.Pd. SERTIFIKAT BerAKHLAK</v>
      </c>
      <c r="K16" s="5" t="s">
        <v>191</v>
      </c>
      <c r="L16" s="5" t="s">
        <v>192</v>
      </c>
    </row>
    <row r="17">
      <c r="A17" s="4">
        <v>45534.30966222222</v>
      </c>
      <c r="B17" s="5" t="s">
        <v>34</v>
      </c>
      <c r="D17" s="5" t="s">
        <v>35</v>
      </c>
      <c r="E17" s="5" t="s">
        <v>198</v>
      </c>
      <c r="F17" s="5" t="s">
        <v>199</v>
      </c>
      <c r="G17" s="5" t="s">
        <v>200</v>
      </c>
      <c r="H17" s="6" t="s">
        <v>201</v>
      </c>
      <c r="I17" s="7" t="s">
        <v>202</v>
      </c>
      <c r="J17" s="8" t="str">
        <f>HYPERLINK("https://drive.google.com/file/d/1XUSKoRObrgA6pVHPIZnUiUEl0pgrG-Lx/view?usp=drivesdk","YAYAN HARDYANA SERTIFIKAT BerAKHLAK")</f>
        <v>YAYAN HARDYANA SERTIFIKAT BerAKHLAK</v>
      </c>
      <c r="K17" s="5" t="s">
        <v>203</v>
      </c>
      <c r="L17" s="5" t="s">
        <v>204</v>
      </c>
    </row>
    <row r="18">
      <c r="A18" s="4">
        <v>45534.3098178588</v>
      </c>
      <c r="B18" s="5" t="s">
        <v>34</v>
      </c>
      <c r="D18" s="5" t="s">
        <v>35</v>
      </c>
      <c r="E18" s="5" t="s">
        <v>211</v>
      </c>
      <c r="F18" s="5" t="s">
        <v>212</v>
      </c>
      <c r="G18" s="5" t="s">
        <v>213</v>
      </c>
      <c r="H18" s="6" t="s">
        <v>214</v>
      </c>
      <c r="I18" s="7" t="s">
        <v>215</v>
      </c>
      <c r="J18" s="8" t="str">
        <f>HYPERLINK("https://drive.google.com/file/d/1ukJKtX7UINDJ4PkkNQWTeizPMP_6gHBg/view?usp=drivesdk","TETI ROHAYATI SERTIFIKAT BerAKHLAK")</f>
        <v>TETI ROHAYATI SERTIFIKAT BerAKHLAK</v>
      </c>
      <c r="K18" s="5" t="s">
        <v>216</v>
      </c>
      <c r="L18" s="5" t="s">
        <v>217</v>
      </c>
    </row>
    <row r="19">
      <c r="A19" s="4">
        <v>45534.30989395833</v>
      </c>
      <c r="B19" s="5" t="s">
        <v>34</v>
      </c>
      <c r="D19" s="5" t="s">
        <v>35</v>
      </c>
      <c r="E19" s="5" t="s">
        <v>223</v>
      </c>
      <c r="F19" s="5" t="s">
        <v>108</v>
      </c>
      <c r="G19" s="5" t="s">
        <v>224</v>
      </c>
      <c r="H19" s="6" t="s">
        <v>225</v>
      </c>
      <c r="I19" s="7" t="s">
        <v>226</v>
      </c>
      <c r="J19" s="8" t="str">
        <f>HYPERLINK("https://drive.google.com/file/d/1U5ziM6uOWgzQIlaooQw4bTxrdoCMroyI/view?usp=drivesdk","GITA FATWA QURNIATI SERTIFIKAT BerAKHLAK")</f>
        <v>GITA FATWA QURNIATI SERTIFIKAT BerAKHLAK</v>
      </c>
      <c r="K19" s="5" t="s">
        <v>227</v>
      </c>
      <c r="L19" s="5" t="s">
        <v>228</v>
      </c>
    </row>
    <row r="20">
      <c r="A20" s="4">
        <v>45534.30997483796</v>
      </c>
      <c r="B20" s="5" t="s">
        <v>34</v>
      </c>
      <c r="D20" s="5" t="s">
        <v>35</v>
      </c>
      <c r="E20" s="5" t="s">
        <v>234</v>
      </c>
      <c r="F20" s="5" t="s">
        <v>37</v>
      </c>
      <c r="G20" s="5" t="s">
        <v>235</v>
      </c>
      <c r="H20" s="6" t="s">
        <v>236</v>
      </c>
      <c r="I20" s="7" t="s">
        <v>237</v>
      </c>
      <c r="J20" s="8" t="str">
        <f>HYPERLINK("https://drive.google.com/file/d/1tUgB_Ss7Xv0tDyQs7BT9fVzorzUBK8Yu/view?usp=drivesdk","YAYA KARTADINATA SERTIFIKAT BerAKHLAK")</f>
        <v>YAYA KARTADINATA SERTIFIKAT BerAKHLAK</v>
      </c>
      <c r="K20" s="5" t="s">
        <v>238</v>
      </c>
      <c r="L20" s="5" t="s">
        <v>239</v>
      </c>
    </row>
    <row r="21">
      <c r="A21" s="4">
        <v>45534.310116967594</v>
      </c>
      <c r="B21" s="5" t="s">
        <v>34</v>
      </c>
      <c r="D21" s="5" t="s">
        <v>35</v>
      </c>
      <c r="E21" s="5" t="s">
        <v>245</v>
      </c>
      <c r="F21" s="5" t="s">
        <v>37</v>
      </c>
      <c r="G21" s="5" t="s">
        <v>246</v>
      </c>
      <c r="H21" s="6" t="s">
        <v>247</v>
      </c>
      <c r="I21" s="7" t="s">
        <v>248</v>
      </c>
      <c r="J21" s="8" t="str">
        <f>HYPERLINK("https://drive.google.com/file/d/1z2-qHxKAc7XY5CEB5svbvZcg_VTgMe2J/view?usp=drivesdk","DIAHIKA PRASETIA SERTIFIKAT BerAKHLAK")</f>
        <v>DIAHIKA PRASETIA SERTIFIKAT BerAKHLAK</v>
      </c>
      <c r="K21" s="5" t="s">
        <v>249</v>
      </c>
      <c r="L21" s="5" t="s">
        <v>250</v>
      </c>
    </row>
    <row r="22">
      <c r="A22" s="4">
        <v>45534.31037295139</v>
      </c>
      <c r="B22" s="5" t="s">
        <v>34</v>
      </c>
      <c r="D22" s="5" t="s">
        <v>35</v>
      </c>
      <c r="E22" s="5" t="s">
        <v>256</v>
      </c>
      <c r="F22" s="5" t="s">
        <v>212</v>
      </c>
      <c r="G22" s="5" t="s">
        <v>257</v>
      </c>
      <c r="H22" s="6" t="s">
        <v>258</v>
      </c>
      <c r="I22" s="7" t="s">
        <v>259</v>
      </c>
      <c r="J22" s="8" t="str">
        <f>HYPERLINK("https://drive.google.com/file/d/12k9PNiHSDdCP24PEwcl5aADfNX34KLF3/view?usp=drivesdk","SISKA DAMAYANTI  SERTIFIKAT BerAKHLAK")</f>
        <v>SISKA DAMAYANTI  SERTIFIKAT BerAKHLAK</v>
      </c>
      <c r="K22" s="5" t="s">
        <v>260</v>
      </c>
      <c r="L22" s="5" t="s">
        <v>261</v>
      </c>
    </row>
    <row r="23">
      <c r="A23" s="4">
        <v>45534.310388680555</v>
      </c>
      <c r="B23" s="5" t="s">
        <v>34</v>
      </c>
      <c r="D23" s="5" t="s">
        <v>267</v>
      </c>
      <c r="E23" s="5" t="s">
        <v>268</v>
      </c>
      <c r="F23" s="5" t="s">
        <v>22</v>
      </c>
      <c r="G23" s="5" t="s">
        <v>269</v>
      </c>
      <c r="H23" s="6" t="s">
        <v>270</v>
      </c>
      <c r="I23" s="7" t="s">
        <v>271</v>
      </c>
      <c r="J23" s="8" t="str">
        <f>HYPERLINK("https://drive.google.com/file/d/1XfiQ1hQA7OWgPJucgN_mJWxjGdjJGFd-/view?usp=drivesdk","dr SYAMSU TATANG TRIYUWANTO  SERTIFIKAT BerAKHLAK")</f>
        <v>dr SYAMSU TATANG TRIYUWANTO  SERTIFIKAT BerAKHLAK</v>
      </c>
      <c r="K23" s="5" t="s">
        <v>272</v>
      </c>
      <c r="L23" s="5" t="s">
        <v>273</v>
      </c>
    </row>
    <row r="24">
      <c r="A24" s="4">
        <v>45534.310401319446</v>
      </c>
      <c r="B24" s="5" t="s">
        <v>34</v>
      </c>
      <c r="D24" s="5" t="s">
        <v>280</v>
      </c>
      <c r="E24" s="5" t="s">
        <v>281</v>
      </c>
      <c r="F24" s="5" t="s">
        <v>212</v>
      </c>
      <c r="G24" s="5" t="s">
        <v>282</v>
      </c>
      <c r="H24" s="6" t="s">
        <v>283</v>
      </c>
      <c r="I24" s="7" t="s">
        <v>284</v>
      </c>
      <c r="J24" s="8" t="str">
        <f>HYPERLINK("https://drive.google.com/file/d/1CkCAAjhLZg1LYR-uih88RnFBMEJypMD3/view?usp=drivesdk","DIMAS ALFIATNO S.KOM SERTIFIKAT BerAKHLAK")</f>
        <v>DIMAS ALFIATNO S.KOM SERTIFIKAT BerAKHLAK</v>
      </c>
      <c r="K24" s="5" t="s">
        <v>285</v>
      </c>
      <c r="L24" s="5" t="s">
        <v>286</v>
      </c>
    </row>
    <row r="25">
      <c r="A25" s="4">
        <v>45534.3104103125</v>
      </c>
      <c r="B25" s="5" t="s">
        <v>19</v>
      </c>
      <c r="C25" s="5" t="s">
        <v>292</v>
      </c>
      <c r="E25" s="5" t="s">
        <v>293</v>
      </c>
      <c r="F25" s="5" t="s">
        <v>37</v>
      </c>
      <c r="G25" s="5" t="s">
        <v>294</v>
      </c>
      <c r="H25" s="6" t="s">
        <v>295</v>
      </c>
      <c r="I25" s="7" t="s">
        <v>296</v>
      </c>
      <c r="J25" s="8" t="str">
        <f>HYPERLINK("https://drive.google.com/file/d/1692RMHZMGzySNEKr61EXwrA1BgB7Y20p/view?usp=drivesdk","YUNITA DIAN ANGGRAENI, A.Md. Farm.  SERTIFIKAT BerAKHLAK")</f>
        <v>YUNITA DIAN ANGGRAENI, A.Md. Farm.  SERTIFIKAT BerAKHLAK</v>
      </c>
      <c r="K25" s="5" t="s">
        <v>297</v>
      </c>
      <c r="L25" s="5" t="s">
        <v>298</v>
      </c>
    </row>
    <row r="26">
      <c r="A26" s="4">
        <v>45534.310479907406</v>
      </c>
      <c r="B26" s="5" t="s">
        <v>19</v>
      </c>
      <c r="C26" s="5" t="s">
        <v>20</v>
      </c>
      <c r="E26" s="5" t="s">
        <v>304</v>
      </c>
      <c r="F26" s="5" t="s">
        <v>37</v>
      </c>
      <c r="G26" s="5" t="s">
        <v>305</v>
      </c>
      <c r="H26" s="6" t="s">
        <v>306</v>
      </c>
      <c r="I26" s="7" t="s">
        <v>307</v>
      </c>
      <c r="J26" s="8" t="str">
        <f>HYPERLINK("https://drive.google.com/file/d/15TYP9oI3hA-8gaOA3k49Grmyfn3Gv6Ta/view?usp=drivesdk","ARUM HANDAYANI SERTIFIKAT BerAKHLAK")</f>
        <v>ARUM HANDAYANI SERTIFIKAT BerAKHLAK</v>
      </c>
      <c r="K26" s="5" t="s">
        <v>308</v>
      </c>
      <c r="L26" s="5" t="s">
        <v>309</v>
      </c>
    </row>
    <row r="27">
      <c r="A27" s="4">
        <v>45534.310524733795</v>
      </c>
      <c r="B27" s="5" t="s">
        <v>19</v>
      </c>
      <c r="C27" s="5" t="s">
        <v>315</v>
      </c>
      <c r="E27" s="5" t="s">
        <v>316</v>
      </c>
      <c r="F27" s="5" t="s">
        <v>120</v>
      </c>
      <c r="G27" s="5" t="s">
        <v>317</v>
      </c>
      <c r="H27" s="6" t="s">
        <v>318</v>
      </c>
      <c r="I27" s="7" t="s">
        <v>319</v>
      </c>
      <c r="J27" s="8" t="str">
        <f>HYPERLINK("https://drive.google.com/file/d/12oLF1zn9wqevI2bND5NQqlBRYZyxdKvY/view?usp=drivesdk","HENDRA WIDIYANA, S.S. SERTIFIKAT BerAKHLAK")</f>
        <v>HENDRA WIDIYANA, S.S. SERTIFIKAT BerAKHLAK</v>
      </c>
      <c r="K27" s="5" t="s">
        <v>320</v>
      </c>
      <c r="L27" s="5" t="s">
        <v>321</v>
      </c>
    </row>
    <row r="28">
      <c r="A28" s="4">
        <v>45534.31053209491</v>
      </c>
      <c r="B28" s="5" t="s">
        <v>34</v>
      </c>
      <c r="D28" s="5" t="s">
        <v>35</v>
      </c>
      <c r="E28" s="5" t="s">
        <v>327</v>
      </c>
      <c r="F28" s="5" t="s">
        <v>328</v>
      </c>
      <c r="G28" s="5" t="s">
        <v>329</v>
      </c>
      <c r="H28" s="6" t="s">
        <v>330</v>
      </c>
      <c r="I28" s="7" t="s">
        <v>331</v>
      </c>
      <c r="J28" s="8" t="str">
        <f>HYPERLINK("https://drive.google.com/file/d/1K75CWyQCfOrvFD80CMRGF00oU9c7X-tT/view?usp=drivesdk","AGUS SETIAWAN SERTIFIKAT BerAKHLAK")</f>
        <v>AGUS SETIAWAN SERTIFIKAT BerAKHLAK</v>
      </c>
      <c r="K28" s="5" t="s">
        <v>332</v>
      </c>
      <c r="L28" s="5" t="s">
        <v>333</v>
      </c>
    </row>
    <row r="29">
      <c r="A29" s="4">
        <v>45534.31054525463</v>
      </c>
      <c r="B29" s="5" t="s">
        <v>19</v>
      </c>
      <c r="C29" s="5" t="s">
        <v>20</v>
      </c>
      <c r="E29" s="5" t="s">
        <v>340</v>
      </c>
      <c r="F29" s="5" t="s">
        <v>72</v>
      </c>
      <c r="G29" s="5" t="s">
        <v>341</v>
      </c>
      <c r="H29" s="6" t="s">
        <v>342</v>
      </c>
      <c r="I29" s="7" t="s">
        <v>343</v>
      </c>
      <c r="J29" s="8" t="str">
        <f>HYPERLINK("https://drive.google.com/file/d/1uNAQWYxMhOorC3wnDs8TB6oOK4wzZ4zt/view?usp=drivesdk","NUR WIDYA UTAMI, A.Md. SERTIFIKAT BerAKHLAK")</f>
        <v>NUR WIDYA UTAMI, A.Md. SERTIFIKAT BerAKHLAK</v>
      </c>
      <c r="K29" s="5" t="s">
        <v>344</v>
      </c>
      <c r="L29" s="5" t="s">
        <v>345</v>
      </c>
    </row>
    <row r="30">
      <c r="A30" s="4">
        <v>45534.310676064815</v>
      </c>
      <c r="B30" s="5" t="s">
        <v>34</v>
      </c>
      <c r="D30" s="5" t="s">
        <v>267</v>
      </c>
      <c r="E30" s="5" t="s">
        <v>351</v>
      </c>
      <c r="F30" s="5" t="s">
        <v>72</v>
      </c>
      <c r="G30" s="5" t="s">
        <v>352</v>
      </c>
      <c r="H30" s="6" t="s">
        <v>353</v>
      </c>
      <c r="I30" s="7" t="s">
        <v>354</v>
      </c>
      <c r="J30" s="8" t="str">
        <f>HYPERLINK("https://drive.google.com/file/d/1BfgISoE_0xd_33G17QkGrKL3dm-N6MFJ/view?usp=drivesdk","SUFI HANDAYANI SERTIFIKAT BerAKHLAK")</f>
        <v>SUFI HANDAYANI SERTIFIKAT BerAKHLAK</v>
      </c>
      <c r="K30" s="5" t="s">
        <v>355</v>
      </c>
      <c r="L30" s="5" t="s">
        <v>356</v>
      </c>
    </row>
    <row r="31">
      <c r="A31" s="4">
        <v>45534.31084443287</v>
      </c>
      <c r="B31" s="5" t="s">
        <v>34</v>
      </c>
      <c r="D31" s="5" t="s">
        <v>362</v>
      </c>
      <c r="E31" s="5" t="s">
        <v>363</v>
      </c>
      <c r="F31" s="5" t="s">
        <v>108</v>
      </c>
      <c r="G31" s="5" t="s">
        <v>364</v>
      </c>
      <c r="H31" s="6" t="s">
        <v>365</v>
      </c>
      <c r="I31" s="7" t="s">
        <v>366</v>
      </c>
      <c r="J31" s="8" t="str">
        <f>HYPERLINK("https://drive.google.com/file/d/1Lne-ot-WaAyz2ucWnrxTf0O0GkNhd5fd/view?usp=drivesdk","WILHELMUS MANGOPANG, SE SERTIFIKAT BerAKHLAK")</f>
        <v>WILHELMUS MANGOPANG, SE SERTIFIKAT BerAKHLAK</v>
      </c>
      <c r="K31" s="5" t="s">
        <v>367</v>
      </c>
      <c r="L31" s="5" t="s">
        <v>368</v>
      </c>
    </row>
    <row r="32">
      <c r="A32" s="4">
        <v>45534.310952395834</v>
      </c>
      <c r="B32" s="5" t="s">
        <v>34</v>
      </c>
      <c r="D32" s="5" t="s">
        <v>267</v>
      </c>
      <c r="E32" s="5" t="s">
        <v>374</v>
      </c>
      <c r="F32" s="5" t="s">
        <v>375</v>
      </c>
      <c r="G32" s="5" t="s">
        <v>376</v>
      </c>
      <c r="H32" s="6" t="s">
        <v>377</v>
      </c>
      <c r="I32" s="7" t="s">
        <v>378</v>
      </c>
      <c r="J32" s="8" t="str">
        <f>HYPERLINK("https://drive.google.com/file/d/1GYoIWWqqSuwQUa68zmEaXqNknmLc8CWp/view?usp=drivesdk","BUDI MUSLIM RAHMAWAN, S.Si., M.M. SERTIFIKAT BerAKHLAK")</f>
        <v>BUDI MUSLIM RAHMAWAN, S.Si., M.M. SERTIFIKAT BerAKHLAK</v>
      </c>
      <c r="K32" s="5" t="s">
        <v>379</v>
      </c>
      <c r="L32" s="5" t="s">
        <v>380</v>
      </c>
    </row>
    <row r="33">
      <c r="A33" s="4">
        <v>45534.31123255787</v>
      </c>
      <c r="B33" s="5" t="s">
        <v>34</v>
      </c>
      <c r="D33" s="5" t="s">
        <v>35</v>
      </c>
      <c r="E33" s="5" t="s">
        <v>386</v>
      </c>
      <c r="F33" s="5" t="s">
        <v>37</v>
      </c>
      <c r="G33" s="5" t="s">
        <v>387</v>
      </c>
      <c r="H33" s="6" t="s">
        <v>388</v>
      </c>
      <c r="I33" s="7" t="s">
        <v>389</v>
      </c>
      <c r="J33" s="8" t="str">
        <f>HYPERLINK("https://drive.google.com/file/d/1Qxba4TOdo75ICqz0IgihVGwhNOfmSwrp/view?usp=drivesdk","LELIN YULIANA, S.E. SERTIFIKAT BerAKHLAK")</f>
        <v>LELIN YULIANA, S.E. SERTIFIKAT BerAKHLAK</v>
      </c>
      <c r="K33" s="5" t="s">
        <v>390</v>
      </c>
      <c r="L33" s="5" t="s">
        <v>391</v>
      </c>
    </row>
    <row r="34">
      <c r="A34" s="4">
        <v>45534.31128123842</v>
      </c>
      <c r="B34" s="5" t="s">
        <v>34</v>
      </c>
      <c r="D34" s="5" t="s">
        <v>35</v>
      </c>
      <c r="E34" s="5" t="s">
        <v>398</v>
      </c>
      <c r="F34" s="5" t="s">
        <v>37</v>
      </c>
      <c r="G34" s="5" t="s">
        <v>399</v>
      </c>
      <c r="H34" s="6" t="s">
        <v>400</v>
      </c>
      <c r="I34" s="7" t="s">
        <v>401</v>
      </c>
      <c r="J34" s="8" t="str">
        <f>HYPERLINK("https://drive.google.com/file/d/1uo8yP_HigRD8KrqidPKDZDW4MLOZ0E10/view?usp=drivesdk","WINDY PUZA ARTIE SYARIP, Amd.Kep SERTIFIKAT BerAKHLAK")</f>
        <v>WINDY PUZA ARTIE SYARIP, Amd.Kep SERTIFIKAT BerAKHLAK</v>
      </c>
      <c r="K34" s="5" t="s">
        <v>402</v>
      </c>
      <c r="L34" s="5" t="s">
        <v>403</v>
      </c>
    </row>
    <row r="35">
      <c r="A35" s="4">
        <v>45534.31132853009</v>
      </c>
      <c r="B35" s="5" t="s">
        <v>34</v>
      </c>
      <c r="D35" s="5" t="s">
        <v>35</v>
      </c>
      <c r="E35" s="5" t="s">
        <v>409</v>
      </c>
      <c r="F35" s="5" t="s">
        <v>212</v>
      </c>
      <c r="G35" s="5" t="s">
        <v>410</v>
      </c>
      <c r="H35" s="6" t="s">
        <v>411</v>
      </c>
      <c r="I35" s="7" t="s">
        <v>412</v>
      </c>
      <c r="J35" s="8" t="str">
        <f>HYPERLINK("https://drive.google.com/file/d/1_CHoTw0_qPmT_XVHr5gFav1hq9o0f6J4/view?usp=drivesdk","UUN KURNAESIH SERTIFIKAT BerAKHLAK")</f>
        <v>UUN KURNAESIH SERTIFIKAT BerAKHLAK</v>
      </c>
      <c r="K35" s="5" t="s">
        <v>413</v>
      </c>
      <c r="L35" s="5" t="s">
        <v>414</v>
      </c>
    </row>
    <row r="36">
      <c r="A36" s="4">
        <v>45534.3113391088</v>
      </c>
      <c r="B36" s="5" t="s">
        <v>34</v>
      </c>
      <c r="D36" s="5" t="s">
        <v>267</v>
      </c>
      <c r="E36" s="5" t="s">
        <v>420</v>
      </c>
      <c r="F36" s="5" t="s">
        <v>72</v>
      </c>
      <c r="G36" s="5" t="s">
        <v>421</v>
      </c>
      <c r="H36" s="6" t="s">
        <v>422</v>
      </c>
      <c r="I36" s="7" t="s">
        <v>423</v>
      </c>
      <c r="J36" s="8" t="str">
        <f>HYPERLINK("https://drive.google.com/file/d/1Po9MxcBB0lvn-FGdQy7g_yErGe9y9lPK/view?usp=drivesdk","PRINITA SWASTARINI, AMD SERTIFIKAT BerAKHLAK")</f>
        <v>PRINITA SWASTARINI, AMD SERTIFIKAT BerAKHLAK</v>
      </c>
      <c r="K36" s="5" t="s">
        <v>424</v>
      </c>
      <c r="L36" s="5" t="s">
        <v>425</v>
      </c>
    </row>
    <row r="37">
      <c r="A37" s="4">
        <v>45534.31151804398</v>
      </c>
      <c r="B37" s="5" t="s">
        <v>34</v>
      </c>
      <c r="D37" s="5" t="s">
        <v>267</v>
      </c>
      <c r="E37" s="5" t="s">
        <v>431</v>
      </c>
      <c r="F37" s="5" t="s">
        <v>72</v>
      </c>
      <c r="G37" s="5" t="s">
        <v>432</v>
      </c>
      <c r="H37" s="6" t="s">
        <v>433</v>
      </c>
      <c r="I37" s="7" t="s">
        <v>434</v>
      </c>
      <c r="J37" s="8" t="str">
        <f>HYPERLINK("https://drive.google.com/file/d/16QNMwfVVTs4UnQrtfsgi_VUG6csKD4a0/view?usp=drivesdk","SRI PURWANINGSIH, AMD SERTIFIKAT BerAKHLAK")</f>
        <v>SRI PURWANINGSIH, AMD SERTIFIKAT BerAKHLAK</v>
      </c>
      <c r="K37" s="5" t="s">
        <v>435</v>
      </c>
      <c r="L37" s="5" t="s">
        <v>436</v>
      </c>
    </row>
    <row r="38">
      <c r="A38" s="4">
        <v>45534.31154420139</v>
      </c>
      <c r="B38" s="5" t="s">
        <v>19</v>
      </c>
      <c r="C38" s="5" t="s">
        <v>442</v>
      </c>
      <c r="E38" s="5" t="s">
        <v>443</v>
      </c>
      <c r="F38" s="5" t="s">
        <v>212</v>
      </c>
      <c r="G38" s="5" t="s">
        <v>444</v>
      </c>
      <c r="H38" s="6" t="s">
        <v>445</v>
      </c>
      <c r="I38" s="7" t="s">
        <v>446</v>
      </c>
      <c r="J38" s="8" t="str">
        <f>HYPERLINK("https://drive.google.com/file/d/1yB_mMzXekebowwZx_NHbClELVQnyv7rW/view?usp=drivesdk","IIS SUDARYANTI  SERTIFIKAT BerAKHLAK")</f>
        <v>IIS SUDARYANTI  SERTIFIKAT BerAKHLAK</v>
      </c>
      <c r="K38" s="5" t="s">
        <v>447</v>
      </c>
      <c r="L38" s="5" t="s">
        <v>448</v>
      </c>
    </row>
    <row r="39">
      <c r="A39" s="4">
        <v>45534.311569375</v>
      </c>
      <c r="B39" s="5" t="s">
        <v>34</v>
      </c>
      <c r="D39" s="5" t="s">
        <v>267</v>
      </c>
      <c r="E39" s="5" t="s">
        <v>454</v>
      </c>
      <c r="F39" s="5" t="s">
        <v>120</v>
      </c>
      <c r="G39" s="5" t="s">
        <v>455</v>
      </c>
      <c r="H39" s="6" t="s">
        <v>456</v>
      </c>
      <c r="I39" s="7" t="s">
        <v>457</v>
      </c>
      <c r="J39" s="8" t="str">
        <f>HYPERLINK("https://drive.google.com/file/d/1tOCTLZNoHPb_JNRzLOM3W10YcYsZUqWN/view?usp=drivesdk","HERU NURCAHYA,SH,MH SERTIFIKAT BerAKHLAK")</f>
        <v>HERU NURCAHYA,SH,MH SERTIFIKAT BerAKHLAK</v>
      </c>
      <c r="K39" s="5" t="s">
        <v>458</v>
      </c>
      <c r="L39" s="5" t="s">
        <v>459</v>
      </c>
    </row>
    <row r="40">
      <c r="A40" s="4">
        <v>45534.31163303241</v>
      </c>
      <c r="B40" s="5" t="s">
        <v>19</v>
      </c>
      <c r="C40" s="5" t="s">
        <v>466</v>
      </c>
      <c r="E40" s="5" t="s">
        <v>467</v>
      </c>
      <c r="F40" s="5" t="s">
        <v>375</v>
      </c>
      <c r="G40" s="5" t="s">
        <v>468</v>
      </c>
      <c r="H40" s="6" t="s">
        <v>469</v>
      </c>
      <c r="I40" s="7" t="s">
        <v>470</v>
      </c>
      <c r="J40" s="8" t="str">
        <f>HYPERLINK("https://drive.google.com/file/d/1e1t8AuLQqIOJjojh4Dv7VtIcgCrLcEuL/view?usp=drivesdk","ETIN ROHAETIn SERTIFIKAT BerAKHLAK")</f>
        <v>ETIN ROHAETIn SERTIFIKAT BerAKHLAK</v>
      </c>
      <c r="K40" s="5" t="s">
        <v>471</v>
      </c>
      <c r="L40" s="5" t="s">
        <v>472</v>
      </c>
    </row>
    <row r="41">
      <c r="A41" s="4">
        <v>45534.31183957176</v>
      </c>
      <c r="B41" s="5" t="s">
        <v>19</v>
      </c>
      <c r="C41" s="5" t="s">
        <v>442</v>
      </c>
      <c r="E41" s="5" t="s">
        <v>478</v>
      </c>
      <c r="F41" s="5" t="s">
        <v>375</v>
      </c>
      <c r="G41" s="5" t="s">
        <v>479</v>
      </c>
      <c r="H41" s="6" t="s">
        <v>480</v>
      </c>
      <c r="I41" s="7" t="s">
        <v>481</v>
      </c>
      <c r="J41" s="8" t="str">
        <f>HYPERLINK("https://drive.google.com/file/d/1j9VxM0s2BWC2hLW39_NFiUK2LD3fsVdZ/view?usp=drivesdk","DWI YULIANTI, S.E., M.M. SERTIFIKAT BerAKHLAK")</f>
        <v>DWI YULIANTI, S.E., M.M. SERTIFIKAT BerAKHLAK</v>
      </c>
      <c r="K41" s="5" t="s">
        <v>482</v>
      </c>
      <c r="L41" s="5" t="s">
        <v>483</v>
      </c>
    </row>
    <row r="42">
      <c r="A42" s="4">
        <v>45534.311844236116</v>
      </c>
      <c r="B42" s="5" t="s">
        <v>34</v>
      </c>
      <c r="D42" s="5" t="s">
        <v>267</v>
      </c>
      <c r="E42" s="5" t="s">
        <v>489</v>
      </c>
      <c r="F42" s="5" t="s">
        <v>120</v>
      </c>
      <c r="G42" s="5" t="s">
        <v>490</v>
      </c>
      <c r="H42" s="6" t="s">
        <v>491</v>
      </c>
      <c r="I42" s="7" t="s">
        <v>492</v>
      </c>
      <c r="J42" s="8" t="str">
        <f>HYPERLINK("https://drive.google.com/file/d/19ntV0gDK575WeWcl252A8nuVi3BQtWZ4/view?usp=drivesdk","RETNO WARDANI, S.T. SERTIFIKAT BerAKHLAK")</f>
        <v>RETNO WARDANI, S.T. SERTIFIKAT BerAKHLAK</v>
      </c>
      <c r="K42" s="5" t="s">
        <v>493</v>
      </c>
      <c r="L42" s="5" t="s">
        <v>494</v>
      </c>
    </row>
    <row r="43">
      <c r="A43" s="4">
        <v>45534.31202140046</v>
      </c>
      <c r="B43" s="5" t="s">
        <v>34</v>
      </c>
      <c r="D43" s="5" t="s">
        <v>267</v>
      </c>
      <c r="E43" s="5" t="s">
        <v>500</v>
      </c>
      <c r="F43" s="5" t="s">
        <v>108</v>
      </c>
      <c r="G43" s="5" t="s">
        <v>501</v>
      </c>
      <c r="H43" s="6" t="s">
        <v>502</v>
      </c>
      <c r="I43" s="7" t="s">
        <v>503</v>
      </c>
      <c r="J43" s="8" t="str">
        <f>HYPERLINK("https://drive.google.com/file/d/1R3x_ZxkKjbd6k3bifnIc7U8b2Rwm3Pmo/view?usp=drivesdk","E. DIAN TRI PUSPITASARI, SST SERTIFIKAT BerAKHLAK")</f>
        <v>E. DIAN TRI PUSPITASARI, SST SERTIFIKAT BerAKHLAK</v>
      </c>
      <c r="K43" s="5" t="s">
        <v>504</v>
      </c>
      <c r="L43" s="5" t="s">
        <v>505</v>
      </c>
    </row>
    <row r="44">
      <c r="A44" s="4">
        <v>45534.31203069445</v>
      </c>
      <c r="B44" s="5" t="s">
        <v>19</v>
      </c>
      <c r="C44" s="5" t="s">
        <v>20</v>
      </c>
      <c r="E44" s="5" t="s">
        <v>511</v>
      </c>
      <c r="F44" s="5" t="s">
        <v>108</v>
      </c>
      <c r="G44" s="5" t="s">
        <v>512</v>
      </c>
      <c r="H44" s="6" t="s">
        <v>513</v>
      </c>
      <c r="I44" s="7" t="s">
        <v>514</v>
      </c>
      <c r="J44" s="8" t="str">
        <f>HYPERLINK("https://drive.google.com/file/d/1Mk3jjmSHa-ATOe0BWhgxh8lmNzGELchL/view?usp=drivesdk","HENI EVI TRIANINGSIH  SERTIFIKAT BerAKHLAK")</f>
        <v>HENI EVI TRIANINGSIH  SERTIFIKAT BerAKHLAK</v>
      </c>
      <c r="K44" s="5" t="s">
        <v>515</v>
      </c>
      <c r="L44" s="5" t="s">
        <v>516</v>
      </c>
    </row>
    <row r="45">
      <c r="A45" s="4">
        <v>45534.31203111111</v>
      </c>
      <c r="B45" s="5" t="s">
        <v>34</v>
      </c>
      <c r="D45" s="5" t="s">
        <v>522</v>
      </c>
      <c r="E45" s="5" t="s">
        <v>523</v>
      </c>
      <c r="F45" s="5" t="s">
        <v>524</v>
      </c>
      <c r="G45" s="5" t="s">
        <v>525</v>
      </c>
      <c r="H45" s="6" t="s">
        <v>526</v>
      </c>
      <c r="I45" s="7" t="s">
        <v>527</v>
      </c>
      <c r="J45" s="8" t="str">
        <f>HYPERLINK("https://drive.google.com/file/d/1X4hQ35hJyz3zIuAV9VK7AYXog_5VqecP/view?usp=drivesdk","IDA AYU MADE YUNIASIH, S.E. SERTIFIKAT BerAKHLAK")</f>
        <v>IDA AYU MADE YUNIASIH, S.E. SERTIFIKAT BerAKHLAK</v>
      </c>
      <c r="K45" s="5" t="s">
        <v>528</v>
      </c>
      <c r="L45" s="5" t="s">
        <v>529</v>
      </c>
    </row>
    <row r="46">
      <c r="A46" s="4">
        <v>45534.3121224537</v>
      </c>
      <c r="B46" s="5" t="s">
        <v>34</v>
      </c>
      <c r="D46" s="5" t="s">
        <v>362</v>
      </c>
      <c r="E46" s="5" t="s">
        <v>536</v>
      </c>
      <c r="F46" s="5" t="s">
        <v>37</v>
      </c>
      <c r="G46" s="5" t="s">
        <v>537</v>
      </c>
      <c r="H46" s="6" t="s">
        <v>538</v>
      </c>
      <c r="I46" s="7" t="s">
        <v>539</v>
      </c>
      <c r="J46" s="8" t="str">
        <f>HYPERLINK("https://drive.google.com/file/d/1cJ7CQgN-K30aaVWkT-Er53WS-_OsPQPy/view?usp=drivesdk","FEBRIYANTO YAKIB, A.Md SERTIFIKAT BerAKHLAK")</f>
        <v>FEBRIYANTO YAKIB, A.Md SERTIFIKAT BerAKHLAK</v>
      </c>
      <c r="K46" s="5" t="s">
        <v>540</v>
      </c>
      <c r="L46" s="5" t="s">
        <v>541</v>
      </c>
    </row>
    <row r="47">
      <c r="A47" s="4">
        <v>45534.312201990746</v>
      </c>
      <c r="B47" s="5" t="s">
        <v>34</v>
      </c>
      <c r="D47" s="5" t="s">
        <v>35</v>
      </c>
      <c r="E47" s="5" t="s">
        <v>547</v>
      </c>
      <c r="F47" s="5" t="s">
        <v>108</v>
      </c>
      <c r="G47" s="5" t="s">
        <v>548</v>
      </c>
      <c r="H47" s="6" t="s">
        <v>549</v>
      </c>
      <c r="I47" s="7" t="s">
        <v>550</v>
      </c>
      <c r="J47" s="8" t="str">
        <f>HYPERLINK("https://drive.google.com/file/d/1ki-a9Cs3qt0CrIGsts77z20N6Bw_2SSr/view?usp=drivesdk","IMAS RAHMAWATI SERTIFIKAT BerAKHLAK")</f>
        <v>IMAS RAHMAWATI SERTIFIKAT BerAKHLAK</v>
      </c>
      <c r="K47" s="5" t="s">
        <v>551</v>
      </c>
      <c r="L47" s="5" t="s">
        <v>552</v>
      </c>
    </row>
    <row r="48">
      <c r="A48" s="4">
        <v>45534.31232252315</v>
      </c>
      <c r="B48" s="5" t="s">
        <v>34</v>
      </c>
      <c r="D48" s="5" t="s">
        <v>35</v>
      </c>
      <c r="E48" s="5" t="s">
        <v>558</v>
      </c>
      <c r="F48" s="5" t="s">
        <v>72</v>
      </c>
      <c r="G48" s="5" t="s">
        <v>559</v>
      </c>
      <c r="H48" s="6" t="s">
        <v>560</v>
      </c>
      <c r="I48" s="7" t="s">
        <v>561</v>
      </c>
      <c r="J48" s="8" t="str">
        <f>HYPERLINK("https://drive.google.com/file/d/1_72PSniTFtlTuWK-m-J9DdZ6q7qwA7K0/view?usp=drivesdk","ELVAN HARDIANSYAH.,S.KOM SERTIFIKAT BerAKHLAK")</f>
        <v>ELVAN HARDIANSYAH.,S.KOM SERTIFIKAT BerAKHLAK</v>
      </c>
      <c r="K48" s="5" t="s">
        <v>562</v>
      </c>
      <c r="L48" s="5" t="s">
        <v>563</v>
      </c>
    </row>
    <row r="49">
      <c r="A49" s="4">
        <v>45534.31233385416</v>
      </c>
      <c r="B49" s="5" t="s">
        <v>34</v>
      </c>
      <c r="D49" s="5" t="s">
        <v>35</v>
      </c>
      <c r="E49" s="5" t="s">
        <v>569</v>
      </c>
      <c r="F49" s="5" t="s">
        <v>524</v>
      </c>
      <c r="G49" s="5" t="s">
        <v>570</v>
      </c>
      <c r="H49" s="6" t="s">
        <v>571</v>
      </c>
      <c r="I49" s="7" t="s">
        <v>572</v>
      </c>
      <c r="J49" s="8" t="str">
        <f>HYPERLINK("https://drive.google.com/file/d/1s6sigVtCnpZKXM2ENgRQ9r7p8FF5n2-u/view?usp=drivesdk","DIAH PITALOKA  SERTIFIKAT BerAKHLAK")</f>
        <v>DIAH PITALOKA  SERTIFIKAT BerAKHLAK</v>
      </c>
      <c r="K49" s="5" t="s">
        <v>573</v>
      </c>
      <c r="L49" s="5" t="s">
        <v>574</v>
      </c>
    </row>
    <row r="50">
      <c r="A50" s="4">
        <v>45534.31234512731</v>
      </c>
      <c r="B50" s="5" t="s">
        <v>34</v>
      </c>
      <c r="D50" s="5" t="s">
        <v>580</v>
      </c>
      <c r="E50" s="5" t="s">
        <v>581</v>
      </c>
      <c r="F50" s="5" t="s">
        <v>120</v>
      </c>
      <c r="G50" s="5" t="s">
        <v>582</v>
      </c>
      <c r="H50" s="6" t="s">
        <v>583</v>
      </c>
      <c r="I50" s="7" t="s">
        <v>584</v>
      </c>
      <c r="J50" s="8" t="str">
        <f>HYPERLINK("https://drive.google.com/file/d/1BxzHI88T-W9l0GUpwNKSYrv-UPj4OcJG/view?usp=drivesdk","APT. DEWI INDRAWATY KARTOLO, S.SI SERTIFIKAT BerAKHLAK")</f>
        <v>APT. DEWI INDRAWATY KARTOLO, S.SI SERTIFIKAT BerAKHLAK</v>
      </c>
      <c r="K50" s="5" t="s">
        <v>585</v>
      </c>
      <c r="L50" s="5" t="s">
        <v>586</v>
      </c>
    </row>
    <row r="51">
      <c r="A51" s="4">
        <v>45534.312379016206</v>
      </c>
      <c r="B51" s="5" t="s">
        <v>34</v>
      </c>
      <c r="D51" s="5" t="s">
        <v>580</v>
      </c>
      <c r="E51" s="5" t="s">
        <v>592</v>
      </c>
      <c r="F51" s="5" t="s">
        <v>120</v>
      </c>
      <c r="G51" s="5" t="s">
        <v>593</v>
      </c>
      <c r="H51" s="6" t="s">
        <v>594</v>
      </c>
      <c r="I51" s="7" t="s">
        <v>595</v>
      </c>
      <c r="J51" s="8" t="str">
        <f>HYPERLINK("https://drive.google.com/file/d/1iiePQ0_2CCX7mzjMPtTRvK8-32kkf6Wk/view?usp=drivesdk","drg.LINA HANDAYANI SpKGA.MM SERTIFIKAT BerAKHLAK")</f>
        <v>drg.LINA HANDAYANI SpKGA.MM SERTIFIKAT BerAKHLAK</v>
      </c>
      <c r="K51" s="5" t="s">
        <v>596</v>
      </c>
      <c r="L51" s="5" t="s">
        <v>597</v>
      </c>
    </row>
    <row r="52">
      <c r="A52" s="4">
        <v>45534.312387048616</v>
      </c>
      <c r="B52" s="5" t="s">
        <v>34</v>
      </c>
      <c r="D52" s="5" t="s">
        <v>604</v>
      </c>
      <c r="E52" s="5" t="s">
        <v>605</v>
      </c>
      <c r="F52" s="5" t="s">
        <v>37</v>
      </c>
      <c r="G52" s="5" t="s">
        <v>606</v>
      </c>
      <c r="H52" s="6" t="s">
        <v>607</v>
      </c>
      <c r="I52" s="7" t="s">
        <v>608</v>
      </c>
      <c r="J52" s="8" t="str">
        <f>HYPERLINK("https://drive.google.com/file/d/1Z9Hi592aqIzJNuyFaPxXZ2nELKdGAHp3/view?usp=drivesdk","RAHMAD WIJAYANTO SERTIFIKAT BerAKHLAK")</f>
        <v>RAHMAD WIJAYANTO SERTIFIKAT BerAKHLAK</v>
      </c>
      <c r="K52" s="5" t="s">
        <v>609</v>
      </c>
      <c r="L52" s="5" t="s">
        <v>610</v>
      </c>
    </row>
    <row r="53">
      <c r="A53" s="4">
        <v>45534.31242427083</v>
      </c>
      <c r="B53" s="5" t="s">
        <v>34</v>
      </c>
      <c r="D53" s="5" t="s">
        <v>35</v>
      </c>
      <c r="E53" s="5" t="s">
        <v>616</v>
      </c>
      <c r="F53" s="5" t="s">
        <v>212</v>
      </c>
      <c r="G53" s="5" t="s">
        <v>617</v>
      </c>
      <c r="H53" s="6" t="s">
        <v>618</v>
      </c>
      <c r="I53" s="7" t="s">
        <v>619</v>
      </c>
      <c r="J53" s="8" t="str">
        <f>HYPERLINK("https://drive.google.com/file/d/1f9vr7fO-sWcIjS6MufZkohqsKOmH0u8Z/view?usp=drivesdk","ASEP SUHERMAN SERTIFIKAT BerAKHLAK")</f>
        <v>ASEP SUHERMAN SERTIFIKAT BerAKHLAK</v>
      </c>
      <c r="K53" s="5" t="s">
        <v>620</v>
      </c>
      <c r="L53" s="5" t="s">
        <v>621</v>
      </c>
    </row>
    <row r="54">
      <c r="A54" s="4">
        <v>45534.31243740741</v>
      </c>
      <c r="B54" s="5" t="s">
        <v>34</v>
      </c>
      <c r="D54" s="5" t="s">
        <v>35</v>
      </c>
      <c r="E54" s="5" t="s">
        <v>627</v>
      </c>
      <c r="F54" s="5" t="s">
        <v>375</v>
      </c>
      <c r="G54" s="5" t="s">
        <v>628</v>
      </c>
      <c r="H54" s="6" t="s">
        <v>629</v>
      </c>
      <c r="I54" s="7" t="s">
        <v>630</v>
      </c>
      <c r="J54" s="8" t="str">
        <f>HYPERLINK("https://drive.google.com/file/d/1q-onVtIbR1_mKUkv-3h8tlh0XXWec_MJ/view?usp=drivesdk","METY SUPRIYATI, S.E. SERTIFIKAT BerAKHLAK")</f>
        <v>METY SUPRIYATI, S.E. SERTIFIKAT BerAKHLAK</v>
      </c>
      <c r="K54" s="5" t="s">
        <v>631</v>
      </c>
      <c r="L54" s="5" t="s">
        <v>632</v>
      </c>
    </row>
    <row r="55">
      <c r="A55" s="4">
        <v>45534.31252905093</v>
      </c>
      <c r="B55" s="5" t="s">
        <v>34</v>
      </c>
      <c r="D55" s="5" t="s">
        <v>362</v>
      </c>
      <c r="E55" s="5" t="s">
        <v>638</v>
      </c>
      <c r="F55" s="5" t="s">
        <v>212</v>
      </c>
      <c r="G55" s="5" t="s">
        <v>639</v>
      </c>
      <c r="H55" s="6" t="s">
        <v>640</v>
      </c>
      <c r="I55" s="7" t="s">
        <v>641</v>
      </c>
      <c r="J55" s="8" t="str">
        <f>HYPERLINK("https://drive.google.com/file/d/1Z9wigMSHJMOdaDbDD7crDXRi06Lt3LNE/view?usp=drivesdk","HAPRIADI HAFID SERTIFIKAT BerAKHLAK")</f>
        <v>HAPRIADI HAFID SERTIFIKAT BerAKHLAK</v>
      </c>
      <c r="K55" s="5" t="s">
        <v>642</v>
      </c>
      <c r="L55" s="5" t="s">
        <v>643</v>
      </c>
    </row>
    <row r="56">
      <c r="A56" s="4">
        <v>45534.312562962965</v>
      </c>
      <c r="B56" s="5" t="s">
        <v>34</v>
      </c>
      <c r="D56" s="5" t="s">
        <v>35</v>
      </c>
      <c r="E56" s="5" t="s">
        <v>649</v>
      </c>
      <c r="F56" s="5" t="s">
        <v>37</v>
      </c>
      <c r="G56" s="5" t="s">
        <v>650</v>
      </c>
      <c r="H56" s="6" t="s">
        <v>651</v>
      </c>
      <c r="I56" s="7" t="s">
        <v>652</v>
      </c>
      <c r="J56" s="8" t="str">
        <f>HYPERLINK("https://drive.google.com/file/d/1Q562loPl8eo8IrNiQrDsemb7ufBgELXb/view?usp=drivesdk","DIAN SULISTIANI AMd Kep SERTIFIKAT BerAKHLAK")</f>
        <v>DIAN SULISTIANI AMd Kep SERTIFIKAT BerAKHLAK</v>
      </c>
      <c r="K56" s="5" t="s">
        <v>653</v>
      </c>
      <c r="L56" s="5" t="s">
        <v>654</v>
      </c>
    </row>
    <row r="57">
      <c r="A57" s="4">
        <v>45534.312582928236</v>
      </c>
      <c r="B57" s="5" t="s">
        <v>34</v>
      </c>
      <c r="D57" s="5" t="s">
        <v>522</v>
      </c>
      <c r="E57" s="5" t="s">
        <v>661</v>
      </c>
      <c r="F57" s="5" t="s">
        <v>37</v>
      </c>
      <c r="G57" s="5" t="s">
        <v>662</v>
      </c>
      <c r="H57" s="6" t="s">
        <v>663</v>
      </c>
      <c r="I57" s="7" t="s">
        <v>664</v>
      </c>
      <c r="J57" s="8" t="str">
        <f>HYPERLINK("https://drive.google.com/file/d/1GRKuMe4sR3sVW9gSmPc9JX2oSQYwsUz4/view?usp=drivesdk","ERTINI ZAMRATINNISA, A.Md.,Kep SERTIFIKAT BerAKHLAK")</f>
        <v>ERTINI ZAMRATINNISA, A.Md.,Kep SERTIFIKAT BerAKHLAK</v>
      </c>
      <c r="K57" s="5" t="s">
        <v>665</v>
      </c>
      <c r="L57" s="5" t="s">
        <v>666</v>
      </c>
    </row>
    <row r="58">
      <c r="A58" s="4">
        <v>45534.31259778935</v>
      </c>
      <c r="B58" s="5" t="s">
        <v>34</v>
      </c>
      <c r="D58" s="5" t="s">
        <v>35</v>
      </c>
      <c r="E58" s="5" t="s">
        <v>671</v>
      </c>
      <c r="F58" s="5" t="s">
        <v>108</v>
      </c>
      <c r="G58" s="5" t="s">
        <v>672</v>
      </c>
      <c r="H58" s="6" t="s">
        <v>673</v>
      </c>
      <c r="I58" s="7" t="s">
        <v>674</v>
      </c>
      <c r="J58" s="8" t="str">
        <f>HYPERLINK("https://drive.google.com/file/d/1SAPUlah8xOKlVw_LasihBh2gqphb44Ik/view?usp=drivesdk","M ALDIN SURYANATA SERTIFIKAT BerAKHLAK")</f>
        <v>M ALDIN SURYANATA SERTIFIKAT BerAKHLAK</v>
      </c>
      <c r="K58" s="5" t="s">
        <v>675</v>
      </c>
      <c r="L58" s="5" t="s">
        <v>676</v>
      </c>
    </row>
    <row r="59">
      <c r="A59" s="4">
        <v>45534.31261020833</v>
      </c>
      <c r="B59" s="5" t="s">
        <v>34</v>
      </c>
      <c r="D59" s="5" t="s">
        <v>580</v>
      </c>
      <c r="E59" s="5" t="s">
        <v>681</v>
      </c>
      <c r="F59" s="5" t="s">
        <v>524</v>
      </c>
      <c r="G59" s="5" t="s">
        <v>682</v>
      </c>
      <c r="H59" s="6" t="s">
        <v>683</v>
      </c>
      <c r="I59" s="7" t="s">
        <v>684</v>
      </c>
      <c r="J59" s="8" t="str">
        <f>HYPERLINK("https://drive.google.com/file/d/1g31JBWg67oopca4K7_YGrQK4DYdxJ0Oj/view?usp=drivesdk","NI MADE PANDA LESTARI, A.md.Kep SERTIFIKAT BerAKHLAK")</f>
        <v>NI MADE PANDA LESTARI, A.md.Kep SERTIFIKAT BerAKHLAK</v>
      </c>
      <c r="K59" s="5" t="s">
        <v>685</v>
      </c>
      <c r="L59" s="5" t="s">
        <v>686</v>
      </c>
    </row>
    <row r="60">
      <c r="A60" s="4">
        <v>45534.31264528935</v>
      </c>
      <c r="B60" s="5" t="s">
        <v>34</v>
      </c>
      <c r="D60" s="5" t="s">
        <v>35</v>
      </c>
      <c r="E60" s="5" t="s">
        <v>691</v>
      </c>
      <c r="F60" s="5" t="s">
        <v>375</v>
      </c>
      <c r="G60" s="5" t="s">
        <v>692</v>
      </c>
      <c r="H60" s="6" t="s">
        <v>693</v>
      </c>
      <c r="I60" s="7" t="s">
        <v>694</v>
      </c>
      <c r="J60" s="8" t="str">
        <f>HYPERLINK("https://drive.google.com/file/d/1_fTYL9LpMvKWe0YlRXyy9ssiyASYSsE7/view?usp=drivesdk","MAMI BARTINI, AKS SERTIFIKAT BerAKHLAK")</f>
        <v>MAMI BARTINI, AKS SERTIFIKAT BerAKHLAK</v>
      </c>
      <c r="K60" s="5" t="s">
        <v>695</v>
      </c>
      <c r="L60" s="5" t="s">
        <v>696</v>
      </c>
    </row>
    <row r="61">
      <c r="A61" s="4">
        <v>45534.31265952546</v>
      </c>
      <c r="B61" s="5" t="s">
        <v>34</v>
      </c>
      <c r="D61" s="5" t="s">
        <v>701</v>
      </c>
      <c r="E61" s="5" t="s">
        <v>702</v>
      </c>
      <c r="F61" s="5" t="s">
        <v>375</v>
      </c>
      <c r="G61" s="5" t="s">
        <v>703</v>
      </c>
      <c r="H61" s="6" t="s">
        <v>704</v>
      </c>
      <c r="I61" s="7" t="s">
        <v>705</v>
      </c>
      <c r="J61" s="8" t="str">
        <f>HYPERLINK("https://drive.google.com/file/d/1Ra6lh1RvvOOfOoL269VZ6Y5ja4GV8MV_/view?usp=drivesdk","ASMAWATI TANDJUNG, S. Kep SERTIFIKAT BerAKHLAK")</f>
        <v>ASMAWATI TANDJUNG, S. Kep SERTIFIKAT BerAKHLAK</v>
      </c>
      <c r="K61" s="5" t="s">
        <v>706</v>
      </c>
      <c r="L61" s="5" t="s">
        <v>707</v>
      </c>
    </row>
    <row r="62">
      <c r="A62" s="4">
        <v>45534.31268253472</v>
      </c>
      <c r="B62" s="5" t="s">
        <v>34</v>
      </c>
      <c r="D62" s="5" t="s">
        <v>522</v>
      </c>
      <c r="E62" s="5" t="s">
        <v>714</v>
      </c>
      <c r="F62" s="5" t="s">
        <v>715</v>
      </c>
      <c r="G62" s="5" t="s">
        <v>716</v>
      </c>
      <c r="H62" s="6" t="s">
        <v>717</v>
      </c>
      <c r="I62" s="7" t="s">
        <v>718</v>
      </c>
      <c r="J62" s="8" t="str">
        <f>HYPERLINK("https://drive.google.com/file/d/1ghplGOcNZhs3um1hJJXeEqy3cpd6M8rY/view?usp=drivesdk","ERNI FEBRIANTI,SE SERTIFIKAT BerAKHLAK")</f>
        <v>ERNI FEBRIANTI,SE SERTIFIKAT BerAKHLAK</v>
      </c>
      <c r="K62" s="5" t="s">
        <v>719</v>
      </c>
      <c r="L62" s="5" t="s">
        <v>720</v>
      </c>
    </row>
    <row r="63">
      <c r="A63" s="4">
        <v>45534.31273929398</v>
      </c>
      <c r="B63" s="5" t="s">
        <v>19</v>
      </c>
      <c r="C63" s="5" t="s">
        <v>442</v>
      </c>
      <c r="E63" s="5" t="s">
        <v>725</v>
      </c>
      <c r="F63" s="5" t="s">
        <v>375</v>
      </c>
      <c r="G63" s="5" t="s">
        <v>726</v>
      </c>
      <c r="H63" s="6" t="s">
        <v>727</v>
      </c>
      <c r="I63" s="7" t="s">
        <v>728</v>
      </c>
      <c r="J63" s="8" t="str">
        <f>HYPERLINK("https://drive.google.com/file/d/1gPhQpB2OLWR4SYV22bz6VNa0Tuw8XC_6/view?usp=drivesdk","SELFIA IKA DIANA SARI, S.E. SERTIFIKAT BerAKHLAK")</f>
        <v>SELFIA IKA DIANA SARI, S.E. SERTIFIKAT BerAKHLAK</v>
      </c>
      <c r="K63" s="5" t="s">
        <v>729</v>
      </c>
      <c r="L63" s="5" t="s">
        <v>730</v>
      </c>
    </row>
    <row r="64">
      <c r="A64" s="4">
        <v>45534.31275596065</v>
      </c>
      <c r="B64" s="5" t="s">
        <v>34</v>
      </c>
      <c r="D64" s="5" t="s">
        <v>580</v>
      </c>
      <c r="E64" s="5" t="s">
        <v>735</v>
      </c>
      <c r="F64" s="5" t="s">
        <v>108</v>
      </c>
      <c r="G64" s="5" t="s">
        <v>736</v>
      </c>
      <c r="H64" s="6" t="s">
        <v>737</v>
      </c>
      <c r="I64" s="7" t="s">
        <v>738</v>
      </c>
      <c r="J64" s="8" t="str">
        <f>HYPERLINK("https://drive.google.com/file/d/17mu0my2mq4ZtJ_dxjZwh0_Rynaq8-fMT/view?usp=drivesdk","RIDHO AKHBAR AMKA, S.Tr.Kg, M.Kes SERTIFIKAT BerAKHLAK")</f>
        <v>RIDHO AKHBAR AMKA, S.Tr.Kg, M.Kes SERTIFIKAT BerAKHLAK</v>
      </c>
      <c r="K64" s="5" t="s">
        <v>739</v>
      </c>
      <c r="L64" s="5" t="s">
        <v>740</v>
      </c>
    </row>
    <row r="65">
      <c r="A65" s="4">
        <v>45534.31276458333</v>
      </c>
      <c r="B65" s="5" t="s">
        <v>19</v>
      </c>
      <c r="C65" s="5" t="s">
        <v>292</v>
      </c>
      <c r="E65" s="5" t="s">
        <v>745</v>
      </c>
      <c r="F65" s="5" t="s">
        <v>375</v>
      </c>
      <c r="G65" s="5" t="s">
        <v>746</v>
      </c>
      <c r="H65" s="6" t="s">
        <v>747</v>
      </c>
      <c r="I65" s="7" t="s">
        <v>748</v>
      </c>
      <c r="J65" s="8" t="str">
        <f>HYPERLINK("https://drive.google.com/file/d/1zhFzLxMqoWmL1onimjOsCoY9JZOJgXiY/view?usp=drivesdk","EKA DAMAYANTI,AMK.,SKM SERTIFIKAT BerAKHLAK")</f>
        <v>EKA DAMAYANTI,AMK.,SKM SERTIFIKAT BerAKHLAK</v>
      </c>
      <c r="K65" s="5" t="s">
        <v>749</v>
      </c>
      <c r="L65" s="5" t="s">
        <v>750</v>
      </c>
    </row>
    <row r="66">
      <c r="A66" s="4">
        <v>45534.31280859954</v>
      </c>
      <c r="B66" s="5" t="s">
        <v>19</v>
      </c>
      <c r="C66" s="5" t="s">
        <v>442</v>
      </c>
      <c r="E66" s="5" t="s">
        <v>756</v>
      </c>
      <c r="F66" s="5" t="s">
        <v>375</v>
      </c>
      <c r="G66" s="5" t="s">
        <v>757</v>
      </c>
      <c r="H66" s="6" t="s">
        <v>758</v>
      </c>
      <c r="I66" s="7" t="s">
        <v>759</v>
      </c>
      <c r="J66" s="8" t="str">
        <f>HYPERLINK("https://drive.google.com/file/d/1k37wEgYSnpdWwKvHZkcyMxyugCTd2exn/view?usp=drivesdk","YUNI SETIAWATI NINGSIH, S.Kom., M.H. SERTIFIKAT BerAKHLAK")</f>
        <v>YUNI SETIAWATI NINGSIH, S.Kom., M.H. SERTIFIKAT BerAKHLAK</v>
      </c>
      <c r="K66" s="5" t="s">
        <v>760</v>
      </c>
      <c r="L66" s="5" t="s">
        <v>761</v>
      </c>
    </row>
    <row r="67">
      <c r="A67" s="4">
        <v>45534.31281232639</v>
      </c>
      <c r="B67" s="5" t="s">
        <v>34</v>
      </c>
      <c r="D67" s="5" t="s">
        <v>522</v>
      </c>
      <c r="E67" s="5" t="s">
        <v>766</v>
      </c>
      <c r="F67" s="5" t="s">
        <v>72</v>
      </c>
      <c r="G67" s="5" t="s">
        <v>767</v>
      </c>
      <c r="H67" s="6" t="s">
        <v>768</v>
      </c>
      <c r="I67" s="7" t="s">
        <v>769</v>
      </c>
      <c r="J67" s="8" t="str">
        <f>HYPERLINK("https://drive.google.com/file/d/1MN0RZ6bm-MSRtpY3FQk5IOPRlqz2EYNw/view?usp=drivesdk","NI LUH EKA NOVYASTUTI, S.E. SERTIFIKAT BerAKHLAK")</f>
        <v>NI LUH EKA NOVYASTUTI, S.E. SERTIFIKAT BerAKHLAK</v>
      </c>
      <c r="K67" s="5" t="s">
        <v>770</v>
      </c>
      <c r="L67" s="5" t="s">
        <v>771</v>
      </c>
    </row>
    <row r="68">
      <c r="A68" s="4">
        <v>45534.31284034722</v>
      </c>
      <c r="B68" s="5" t="s">
        <v>34</v>
      </c>
      <c r="D68" s="5" t="s">
        <v>580</v>
      </c>
      <c r="E68" s="5" t="s">
        <v>777</v>
      </c>
      <c r="F68" s="5" t="s">
        <v>524</v>
      </c>
      <c r="G68" s="5" t="s">
        <v>778</v>
      </c>
      <c r="H68" s="6" t="s">
        <v>779</v>
      </c>
      <c r="I68" s="7" t="s">
        <v>780</v>
      </c>
      <c r="J68" s="8" t="str">
        <f>HYPERLINK("https://drive.google.com/file/d/1xipLiJ83zyLBhCdK4T2f7FYZViPPRh3T/view?usp=drivesdk","AYU PUTRI SRI RAHAYUNING SUAMBA,STr.Keb SERTIFIKAT BerAKHLAK")</f>
        <v>AYU PUTRI SRI RAHAYUNING SUAMBA,STr.Keb SERTIFIKAT BerAKHLAK</v>
      </c>
      <c r="K68" s="5" t="s">
        <v>781</v>
      </c>
      <c r="L68" s="5" t="s">
        <v>782</v>
      </c>
    </row>
    <row r="69">
      <c r="A69" s="4">
        <v>45534.312844375</v>
      </c>
      <c r="B69" s="5" t="s">
        <v>34</v>
      </c>
      <c r="D69" s="5" t="s">
        <v>580</v>
      </c>
      <c r="E69" s="5" t="s">
        <v>787</v>
      </c>
      <c r="F69" s="5" t="s">
        <v>524</v>
      </c>
      <c r="G69" s="5" t="s">
        <v>788</v>
      </c>
      <c r="H69" s="6" t="s">
        <v>789</v>
      </c>
      <c r="I69" s="7" t="s">
        <v>790</v>
      </c>
      <c r="J69" s="8" t="str">
        <f>HYPERLINK("https://drive.google.com/file/d/16g8au2th1pLH7TPdGw5J1TgspHFCYU9h/view?usp=drivesdk","NI WAYAN AYU ADNYANI, S.E. SERTIFIKAT BerAKHLAK")</f>
        <v>NI WAYAN AYU ADNYANI, S.E. SERTIFIKAT BerAKHLAK</v>
      </c>
      <c r="K69" s="5" t="s">
        <v>791</v>
      </c>
      <c r="L69" s="5" t="s">
        <v>792</v>
      </c>
    </row>
    <row r="70">
      <c r="A70" s="4">
        <v>45534.31284782407</v>
      </c>
      <c r="B70" s="5" t="s">
        <v>34</v>
      </c>
      <c r="D70" s="5" t="s">
        <v>362</v>
      </c>
      <c r="E70" s="5" t="s">
        <v>797</v>
      </c>
      <c r="F70" s="5" t="s">
        <v>798</v>
      </c>
      <c r="G70" s="5" t="s">
        <v>799</v>
      </c>
      <c r="H70" s="6" t="s">
        <v>800</v>
      </c>
      <c r="I70" s="7" t="s">
        <v>801</v>
      </c>
      <c r="J70" s="8" t="str">
        <f>HYPERLINK("https://drive.google.com/file/d/1CX12wR8yh4EikGPC6ylC_dttnzdYyz6J/view?usp=drivesdk","RIZA RIFENDI, S.H. SERTIFIKAT BerAKHLAK")</f>
        <v>RIZA RIFENDI, S.H. SERTIFIKAT BerAKHLAK</v>
      </c>
      <c r="K70" s="5" t="s">
        <v>802</v>
      </c>
      <c r="L70" s="5" t="s">
        <v>803</v>
      </c>
    </row>
    <row r="71">
      <c r="A71" s="4">
        <v>45534.31285050926</v>
      </c>
      <c r="B71" s="5" t="s">
        <v>34</v>
      </c>
      <c r="D71" s="5" t="s">
        <v>362</v>
      </c>
      <c r="E71" s="5" t="s">
        <v>808</v>
      </c>
      <c r="F71" s="5" t="s">
        <v>524</v>
      </c>
      <c r="G71" s="5" t="s">
        <v>809</v>
      </c>
      <c r="H71" s="6" t="s">
        <v>810</v>
      </c>
      <c r="I71" s="7" t="s">
        <v>811</v>
      </c>
      <c r="J71" s="8" t="str">
        <f>HYPERLINK("https://drive.google.com/file/d/1rPPBXRUoBPsNMgwrTtdcSH7oWr_RUs9Z/view?usp=drivesdk","SRI NISMAYANA, A.Md.Rad,SKM SERTIFIKAT BerAKHLAK")</f>
        <v>SRI NISMAYANA, A.Md.Rad,SKM SERTIFIKAT BerAKHLAK</v>
      </c>
      <c r="K71" s="5" t="s">
        <v>812</v>
      </c>
      <c r="L71" s="5" t="s">
        <v>813</v>
      </c>
    </row>
    <row r="72">
      <c r="A72" s="4">
        <v>45534.31288182871</v>
      </c>
      <c r="B72" s="5" t="s">
        <v>34</v>
      </c>
      <c r="D72" s="5" t="s">
        <v>267</v>
      </c>
      <c r="E72" s="5" t="s">
        <v>818</v>
      </c>
      <c r="F72" s="5" t="s">
        <v>212</v>
      </c>
      <c r="G72" s="5" t="s">
        <v>819</v>
      </c>
      <c r="H72" s="6" t="s">
        <v>820</v>
      </c>
      <c r="I72" s="7" t="s">
        <v>821</v>
      </c>
      <c r="J72" s="8" t="str">
        <f>HYPERLINK("https://drive.google.com/file/d/1vzedfjnKeldZosnAI8OtN5Manybz-R_I/view?usp=drivesdk","SURATMAN RATMAN SERTIFIKAT BerAKHLAK")</f>
        <v>SURATMAN RATMAN SERTIFIKAT BerAKHLAK</v>
      </c>
      <c r="K72" s="5" t="s">
        <v>822</v>
      </c>
      <c r="L72" s="5" t="s">
        <v>823</v>
      </c>
    </row>
    <row r="73">
      <c r="A73" s="4">
        <v>45534.31290138889</v>
      </c>
      <c r="B73" s="5" t="s">
        <v>19</v>
      </c>
      <c r="C73" s="5" t="s">
        <v>292</v>
      </c>
      <c r="E73" s="5" t="s">
        <v>829</v>
      </c>
      <c r="F73" s="5" t="s">
        <v>524</v>
      </c>
      <c r="G73" s="5" t="s">
        <v>830</v>
      </c>
      <c r="H73" s="6" t="s">
        <v>831</v>
      </c>
      <c r="I73" s="7" t="s">
        <v>832</v>
      </c>
      <c r="J73" s="8" t="str">
        <f>HYPERLINK("https://drive.google.com/file/d/1BCwXM5c-Kw3_uwbreXBf2qzKwlDtg_bn/view?usp=drivesdk","FITRI AMALIAH, AMK.,SKM. SERTIFIKAT BerAKHLAK")</f>
        <v>FITRI AMALIAH, AMK.,SKM. SERTIFIKAT BerAKHLAK</v>
      </c>
      <c r="K73" s="5" t="s">
        <v>833</v>
      </c>
      <c r="L73" s="5" t="s">
        <v>834</v>
      </c>
    </row>
    <row r="74">
      <c r="A74" s="4">
        <v>45534.31293015047</v>
      </c>
      <c r="B74" s="5" t="s">
        <v>34</v>
      </c>
      <c r="D74" s="5" t="s">
        <v>580</v>
      </c>
      <c r="E74" s="5" t="s">
        <v>840</v>
      </c>
      <c r="F74" s="5" t="s">
        <v>37</v>
      </c>
      <c r="G74" s="5" t="s">
        <v>841</v>
      </c>
      <c r="H74" s="6" t="s">
        <v>842</v>
      </c>
      <c r="I74" s="7" t="s">
        <v>843</v>
      </c>
      <c r="J74" s="8" t="str">
        <f>HYPERLINK("https://drive.google.com/file/d/1KNFeOBFyRFU_PTBYDy8gs7D28_Psv5Nv/view?usp=drivesdk","I GUSTI AYU MANIK JUNIANTARI, A.Md.Keb SERTIFIKAT BerAKHLAK")</f>
        <v>I GUSTI AYU MANIK JUNIANTARI, A.Md.Keb SERTIFIKAT BerAKHLAK</v>
      </c>
      <c r="K74" s="5" t="s">
        <v>844</v>
      </c>
      <c r="L74" s="5" t="s">
        <v>845</v>
      </c>
    </row>
    <row r="75">
      <c r="A75" s="4">
        <v>45534.31293836806</v>
      </c>
      <c r="B75" s="5" t="s">
        <v>34</v>
      </c>
      <c r="D75" s="5" t="s">
        <v>580</v>
      </c>
      <c r="E75" s="5" t="s">
        <v>850</v>
      </c>
      <c r="F75" s="5" t="s">
        <v>212</v>
      </c>
      <c r="G75" s="5" t="s">
        <v>851</v>
      </c>
      <c r="H75" s="6" t="s">
        <v>852</v>
      </c>
      <c r="I75" s="7" t="s">
        <v>853</v>
      </c>
      <c r="J75" s="8" t="str">
        <f>HYPERLINK("https://drive.google.com/file/d/17Bnx2gk9VPpenLXlAUUAWaAmucL2ASys/view?usp=drivesdk","NI WAYAN EKA SURYA DIRGAYANI, A.Md.Kep SERTIFIKAT BerAKHLAK")</f>
        <v>NI WAYAN EKA SURYA DIRGAYANI, A.Md.Kep SERTIFIKAT BerAKHLAK</v>
      </c>
      <c r="K75" s="5" t="s">
        <v>854</v>
      </c>
      <c r="L75" s="5" t="s">
        <v>855</v>
      </c>
    </row>
    <row r="76">
      <c r="A76" s="4">
        <v>45534.31300954861</v>
      </c>
      <c r="B76" s="5" t="s">
        <v>19</v>
      </c>
      <c r="C76" s="5" t="s">
        <v>466</v>
      </c>
      <c r="E76" s="5" t="s">
        <v>860</v>
      </c>
      <c r="F76" s="5" t="s">
        <v>108</v>
      </c>
      <c r="G76" s="5" t="s">
        <v>861</v>
      </c>
      <c r="H76" s="6" t="s">
        <v>862</v>
      </c>
      <c r="I76" s="7" t="s">
        <v>863</v>
      </c>
      <c r="J76" s="8" t="str">
        <f>HYPERLINK("https://drive.google.com/file/d/1N6xIsM1JBd0eI49HFf8Lkg5x7R2QsPvg/view?usp=drivesdk","DONY ANGGIAT MARULI SERTIFIKAT BerAKHLAK")</f>
        <v>DONY ANGGIAT MARULI SERTIFIKAT BerAKHLAK</v>
      </c>
      <c r="K76" s="5" t="s">
        <v>864</v>
      </c>
      <c r="L76" s="5" t="s">
        <v>865</v>
      </c>
    </row>
    <row r="77">
      <c r="A77" s="4">
        <v>45534.31303134259</v>
      </c>
      <c r="B77" s="5" t="s">
        <v>34</v>
      </c>
      <c r="D77" s="5" t="s">
        <v>522</v>
      </c>
      <c r="E77" s="5" t="s">
        <v>870</v>
      </c>
      <c r="F77" s="5" t="s">
        <v>72</v>
      </c>
      <c r="G77" s="5" t="s">
        <v>871</v>
      </c>
      <c r="H77" s="6" t="s">
        <v>872</v>
      </c>
      <c r="I77" s="7" t="s">
        <v>873</v>
      </c>
      <c r="J77" s="8" t="str">
        <f>HYPERLINK("https://drive.google.com/file/d/1xJYFP8vcZUOqh92NL0tkWB977hqqNOq2/view?usp=drivesdk","NI GUSTI AYU RIKA DAMAYANTI SERTIFIKAT BerAKHLAK")</f>
        <v>NI GUSTI AYU RIKA DAMAYANTI SERTIFIKAT BerAKHLAK</v>
      </c>
      <c r="K77" s="5" t="s">
        <v>874</v>
      </c>
      <c r="L77" s="5" t="s">
        <v>875</v>
      </c>
    </row>
    <row r="78">
      <c r="A78" s="4">
        <v>45534.31305991898</v>
      </c>
      <c r="B78" s="5" t="s">
        <v>34</v>
      </c>
      <c r="D78" s="5" t="s">
        <v>35</v>
      </c>
      <c r="E78" s="5" t="s">
        <v>881</v>
      </c>
      <c r="F78" s="5" t="s">
        <v>212</v>
      </c>
      <c r="G78" s="5" t="s">
        <v>882</v>
      </c>
      <c r="H78" s="6" t="s">
        <v>883</v>
      </c>
      <c r="I78" s="7" t="s">
        <v>884</v>
      </c>
      <c r="J78" s="8" t="str">
        <f>HYPERLINK("https://drive.google.com/file/d/1gPFbzkrTB5LtIorSicm34RN7mVF5txNk/view?usp=drivesdk","SITI MAEMUNAH SERTIFIKAT BerAKHLAK")</f>
        <v>SITI MAEMUNAH SERTIFIKAT BerAKHLAK</v>
      </c>
      <c r="K78" s="5" t="s">
        <v>885</v>
      </c>
      <c r="L78" s="5" t="s">
        <v>886</v>
      </c>
    </row>
    <row r="79">
      <c r="A79" s="4">
        <v>45534.313085312504</v>
      </c>
      <c r="B79" s="5" t="s">
        <v>34</v>
      </c>
      <c r="D79" s="5" t="s">
        <v>35</v>
      </c>
      <c r="E79" s="5" t="s">
        <v>892</v>
      </c>
      <c r="F79" s="5" t="s">
        <v>108</v>
      </c>
      <c r="G79" s="5" t="s">
        <v>893</v>
      </c>
      <c r="H79" s="6" t="s">
        <v>894</v>
      </c>
      <c r="I79" s="7" t="s">
        <v>895</v>
      </c>
      <c r="J79" s="8" t="str">
        <f>HYPERLINK("https://drive.google.com/file/d/1C645NeQ1VbgrmpgVebM6RVsGLDFJ-pMy/view?usp=drivesdk","ERNA KURNIAWATI, S. Ak SERTIFIKAT BerAKHLAK")</f>
        <v>ERNA KURNIAWATI, S. Ak SERTIFIKAT BerAKHLAK</v>
      </c>
      <c r="K79" s="5" t="s">
        <v>896</v>
      </c>
      <c r="L79" s="5" t="s">
        <v>897</v>
      </c>
    </row>
    <row r="80">
      <c r="A80" s="4">
        <v>45534.31309038194</v>
      </c>
      <c r="B80" s="5" t="s">
        <v>34</v>
      </c>
      <c r="D80" s="5" t="s">
        <v>35</v>
      </c>
      <c r="E80" s="5" t="s">
        <v>902</v>
      </c>
      <c r="F80" s="5" t="s">
        <v>715</v>
      </c>
      <c r="G80" s="5" t="s">
        <v>903</v>
      </c>
      <c r="H80" s="6" t="s">
        <v>904</v>
      </c>
      <c r="I80" s="7" t="s">
        <v>905</v>
      </c>
      <c r="J80" s="8" t="str">
        <f>HYPERLINK("https://drive.google.com/file/d/1zWKh9xvCEr_0HYZkp149NYuROzWqy8q5/view?usp=drivesdk","DIDI WIJAYANTO, A.MD.KOM SERTIFIKAT BerAKHLAK")</f>
        <v>DIDI WIJAYANTO, A.MD.KOM SERTIFIKAT BerAKHLAK</v>
      </c>
      <c r="K80" s="5" t="s">
        <v>906</v>
      </c>
      <c r="L80" s="5" t="s">
        <v>907</v>
      </c>
    </row>
    <row r="81">
      <c r="A81" s="4">
        <v>45534.31310060185</v>
      </c>
      <c r="B81" s="5" t="s">
        <v>34</v>
      </c>
      <c r="D81" s="5" t="s">
        <v>362</v>
      </c>
      <c r="E81" s="5" t="s">
        <v>912</v>
      </c>
      <c r="F81" s="5" t="s">
        <v>37</v>
      </c>
      <c r="G81" s="5" t="s">
        <v>913</v>
      </c>
      <c r="H81" s="6" t="s">
        <v>914</v>
      </c>
      <c r="I81" s="7" t="s">
        <v>915</v>
      </c>
      <c r="J81" s="8" t="str">
        <f>HYPERLINK("https://drive.google.com/file/d/1a5k9Zx-nSrm2ZEPnzC3EXmOh9RD6da2F/view?usp=drivesdk","NUR RAHMAH ASHADI, A.Md SERTIFIKAT BerAKHLAK")</f>
        <v>NUR RAHMAH ASHADI, A.Md SERTIFIKAT BerAKHLAK</v>
      </c>
      <c r="K81" s="5" t="s">
        <v>916</v>
      </c>
      <c r="L81" s="5" t="s">
        <v>917</v>
      </c>
    </row>
    <row r="82">
      <c r="A82" s="4">
        <v>45534.31311048611</v>
      </c>
      <c r="B82" s="5" t="s">
        <v>34</v>
      </c>
      <c r="D82" s="5" t="s">
        <v>522</v>
      </c>
      <c r="E82" s="5" t="s">
        <v>922</v>
      </c>
      <c r="F82" s="5" t="s">
        <v>375</v>
      </c>
      <c r="G82" s="5" t="s">
        <v>923</v>
      </c>
      <c r="H82" s="6" t="s">
        <v>924</v>
      </c>
      <c r="I82" s="7" t="s">
        <v>925</v>
      </c>
      <c r="J82" s="8" t="str">
        <f>HYPERLINK("https://drive.google.com/file/d/18OB36DOs_214VWnwYfMy3oYPyU8HxeJ9/view?usp=drivesdk","WAHYUDDIN SYAH, S.T. SERTIFIKAT BerAKHLAK")</f>
        <v>WAHYUDDIN SYAH, S.T. SERTIFIKAT BerAKHLAK</v>
      </c>
      <c r="K82" s="5" t="s">
        <v>926</v>
      </c>
      <c r="L82" s="5" t="s">
        <v>927</v>
      </c>
    </row>
    <row r="83">
      <c r="A83" s="4">
        <v>45534.313164583335</v>
      </c>
      <c r="B83" s="5" t="s">
        <v>19</v>
      </c>
      <c r="C83" s="5" t="s">
        <v>442</v>
      </c>
      <c r="E83" s="5" t="s">
        <v>932</v>
      </c>
      <c r="F83" s="5" t="s">
        <v>108</v>
      </c>
      <c r="G83" s="5" t="s">
        <v>933</v>
      </c>
      <c r="H83" s="6" t="s">
        <v>934</v>
      </c>
      <c r="I83" s="7" t="s">
        <v>935</v>
      </c>
      <c r="J83" s="8" t="str">
        <f>HYPERLINK("https://drive.google.com/file/d/1WTGQisjlciTi2xRXq7MPdDBSaqqJ5mmV/view?usp=drivesdk","INDRATNO SANTOSO, S.H. SERTIFIKAT BerAKHLAK")</f>
        <v>INDRATNO SANTOSO, S.H. SERTIFIKAT BerAKHLAK</v>
      </c>
      <c r="K83" s="5" t="s">
        <v>936</v>
      </c>
      <c r="L83" s="5" t="s">
        <v>937</v>
      </c>
    </row>
    <row r="84">
      <c r="A84" s="4">
        <v>45534.313209942135</v>
      </c>
      <c r="B84" s="5" t="s">
        <v>34</v>
      </c>
      <c r="D84" s="5" t="s">
        <v>522</v>
      </c>
      <c r="E84" s="5" t="s">
        <v>943</v>
      </c>
      <c r="F84" s="5" t="s">
        <v>37</v>
      </c>
      <c r="G84" s="5" t="s">
        <v>944</v>
      </c>
      <c r="H84" s="6" t="s">
        <v>945</v>
      </c>
      <c r="I84" s="7" t="s">
        <v>946</v>
      </c>
      <c r="J84" s="8" t="str">
        <f>HYPERLINK("https://drive.google.com/file/d/1_Sovf_KX0wGoTZO80gwYign2y1du41fF/view?usp=drivesdk","SUHARDI MARDIYANTO, Amd.Kep. SERTIFIKAT BerAKHLAK")</f>
        <v>SUHARDI MARDIYANTO, Amd.Kep. SERTIFIKAT BerAKHLAK</v>
      </c>
      <c r="K84" s="5" t="s">
        <v>947</v>
      </c>
      <c r="L84" s="5" t="s">
        <v>948</v>
      </c>
    </row>
    <row r="85">
      <c r="A85" s="4">
        <v>45534.31321096065</v>
      </c>
      <c r="B85" s="5" t="s">
        <v>34</v>
      </c>
      <c r="D85" s="5" t="s">
        <v>267</v>
      </c>
      <c r="E85" s="5" t="s">
        <v>955</v>
      </c>
      <c r="F85" s="5" t="s">
        <v>375</v>
      </c>
      <c r="G85" s="5" t="s">
        <v>956</v>
      </c>
      <c r="H85" s="6" t="s">
        <v>957</v>
      </c>
      <c r="I85" s="7" t="s">
        <v>958</v>
      </c>
      <c r="J85" s="8" t="str">
        <f>HYPERLINK("https://drive.google.com/file/d/1qgrWzAvzfM8WD3XG8pvL5WHjK-NDRXhI/view?usp=drivesdk","HARISTIONO RAMDHANI,S.E.,M.M. SERTIFIKAT BerAKHLAK")</f>
        <v>HARISTIONO RAMDHANI,S.E.,M.M. SERTIFIKAT BerAKHLAK</v>
      </c>
      <c r="K85" s="5" t="s">
        <v>959</v>
      </c>
      <c r="L85" s="5" t="s">
        <v>960</v>
      </c>
    </row>
    <row r="86">
      <c r="A86" s="4">
        <v>45534.31329597222</v>
      </c>
      <c r="B86" s="5" t="s">
        <v>34</v>
      </c>
      <c r="D86" s="5" t="s">
        <v>35</v>
      </c>
      <c r="E86" s="5" t="s">
        <v>965</v>
      </c>
      <c r="F86" s="5" t="s">
        <v>37</v>
      </c>
      <c r="G86" s="5" t="s">
        <v>966</v>
      </c>
      <c r="H86" s="6" t="s">
        <v>967</v>
      </c>
      <c r="I86" s="7" t="s">
        <v>968</v>
      </c>
      <c r="J86" s="8" t="str">
        <f>HYPERLINK("https://drive.google.com/file/d/1RoTwBad9-mYlDD9RwdDEuDtwB3IcT2og/view?usp=drivesdk","PENGATUR JUHANA SERTIFIKAT BerAKHLAK")</f>
        <v>PENGATUR JUHANA SERTIFIKAT BerAKHLAK</v>
      </c>
      <c r="K86" s="5" t="s">
        <v>969</v>
      </c>
      <c r="L86" s="5" t="s">
        <v>970</v>
      </c>
    </row>
    <row r="87">
      <c r="A87" s="4">
        <v>45534.313298611116</v>
      </c>
      <c r="B87" s="5" t="s">
        <v>34</v>
      </c>
      <c r="D87" s="5" t="s">
        <v>975</v>
      </c>
      <c r="E87" s="5" t="s">
        <v>976</v>
      </c>
      <c r="F87" s="5" t="s">
        <v>37</v>
      </c>
      <c r="G87" s="5" t="s">
        <v>977</v>
      </c>
      <c r="H87" s="6" t="s">
        <v>978</v>
      </c>
      <c r="I87" s="7" t="s">
        <v>979</v>
      </c>
      <c r="J87" s="8" t="str">
        <f>HYPERLINK("https://drive.google.com/file/d/15mKafEA-rM2cv-oXn8XOk5ZR3AMWM5Jg/view?usp=drivesdk","TABITA HENOCH, A. MD. FARM. SERTIFIKAT BerAKHLAK")</f>
        <v>TABITA HENOCH, A. MD. FARM. SERTIFIKAT BerAKHLAK</v>
      </c>
      <c r="K87" s="5" t="s">
        <v>980</v>
      </c>
      <c r="L87" s="5" t="s">
        <v>981</v>
      </c>
    </row>
    <row r="88">
      <c r="A88" s="4">
        <v>45534.313319988425</v>
      </c>
      <c r="B88" s="5" t="s">
        <v>34</v>
      </c>
      <c r="D88" s="5" t="s">
        <v>35</v>
      </c>
      <c r="E88" s="5" t="s">
        <v>986</v>
      </c>
      <c r="F88" s="5" t="s">
        <v>37</v>
      </c>
      <c r="G88" s="5" t="s">
        <v>987</v>
      </c>
      <c r="H88" s="6" t="s">
        <v>988</v>
      </c>
      <c r="I88" s="7" t="s">
        <v>989</v>
      </c>
      <c r="J88" s="8" t="str">
        <f>HYPERLINK("https://drive.google.com/file/d/1IqDAzgHc3LjzD_E0gcnctS1vW_dXYx7L/view?usp=drivesdk","MIMIN SUMINARSIH SERTIFIKAT BerAKHLAK")</f>
        <v>MIMIN SUMINARSIH SERTIFIKAT BerAKHLAK</v>
      </c>
      <c r="K88" s="5" t="s">
        <v>990</v>
      </c>
      <c r="L88" s="5" t="s">
        <v>991</v>
      </c>
    </row>
    <row r="89">
      <c r="A89" s="4">
        <v>45534.31337130787</v>
      </c>
      <c r="B89" s="5" t="s">
        <v>34</v>
      </c>
      <c r="D89" s="5" t="s">
        <v>996</v>
      </c>
      <c r="E89" s="5" t="s">
        <v>997</v>
      </c>
      <c r="F89" s="5" t="s">
        <v>375</v>
      </c>
      <c r="G89" s="5" t="s">
        <v>998</v>
      </c>
      <c r="H89" s="6" t="s">
        <v>999</v>
      </c>
      <c r="I89" s="7" t="s">
        <v>1000</v>
      </c>
      <c r="J89" s="8" t="str">
        <f>HYPERLINK("https://drive.google.com/file/d/1r-l92c9Fl6qNxWV2h4Lsjh2wLaj93Td-/view?usp=drivesdk","SISWANTI ARIANI, S. Sos SERTIFIKAT BerAKHLAK")</f>
        <v>SISWANTI ARIANI, S. Sos SERTIFIKAT BerAKHLAK</v>
      </c>
      <c r="K89" s="5" t="s">
        <v>1001</v>
      </c>
      <c r="L89" s="5" t="s">
        <v>1002</v>
      </c>
    </row>
    <row r="90">
      <c r="A90" s="4">
        <v>45534.31343767361</v>
      </c>
      <c r="B90" s="5" t="s">
        <v>19</v>
      </c>
      <c r="C90" s="5" t="s">
        <v>292</v>
      </c>
      <c r="E90" s="5" t="s">
        <v>1008</v>
      </c>
      <c r="F90" s="5" t="s">
        <v>212</v>
      </c>
      <c r="G90" s="5" t="s">
        <v>1009</v>
      </c>
      <c r="H90" s="6" t="s">
        <v>1010</v>
      </c>
      <c r="I90" s="7" t="s">
        <v>1011</v>
      </c>
      <c r="J90" s="8" t="str">
        <f>HYPERLINK("https://drive.google.com/file/d/1vbtEt4_K85jVJ7AUTPF73VpzsVr8-A_k/view?usp=drivesdk","ANING SUMIRAT, S.Pd SERTIFIKAT BerAKHLAK")</f>
        <v>ANING SUMIRAT, S.Pd SERTIFIKAT BerAKHLAK</v>
      </c>
      <c r="K90" s="5" t="s">
        <v>1012</v>
      </c>
      <c r="L90" s="5" t="s">
        <v>1013</v>
      </c>
    </row>
    <row r="91">
      <c r="A91" s="4">
        <v>45534.31343862269</v>
      </c>
      <c r="B91" s="5" t="s">
        <v>34</v>
      </c>
      <c r="D91" s="5" t="s">
        <v>35</v>
      </c>
      <c r="E91" s="5" t="s">
        <v>1019</v>
      </c>
      <c r="F91" s="5" t="s">
        <v>375</v>
      </c>
      <c r="G91" s="5" t="s">
        <v>1020</v>
      </c>
      <c r="H91" s="6" t="s">
        <v>1021</v>
      </c>
      <c r="I91" s="7" t="s">
        <v>1022</v>
      </c>
      <c r="J91" s="8" t="str">
        <f>HYPERLINK("https://drive.google.com/file/d/1RD6c20sSFbjQ5q1lDHiweAxitig6QwY4/view?usp=drivesdk","MOHAMAD ZAINAL ARIFIN, S.KOM. MM. SERTIFIKAT BerAKHLAK")</f>
        <v>MOHAMAD ZAINAL ARIFIN, S.KOM. MM. SERTIFIKAT BerAKHLAK</v>
      </c>
      <c r="K91" s="5" t="s">
        <v>1023</v>
      </c>
      <c r="L91" s="5" t="s">
        <v>1024</v>
      </c>
    </row>
    <row r="92">
      <c r="A92" s="4">
        <v>45534.31345440973</v>
      </c>
      <c r="B92" s="5" t="s">
        <v>19</v>
      </c>
      <c r="C92" s="5" t="s">
        <v>466</v>
      </c>
      <c r="E92" s="5" t="s">
        <v>1029</v>
      </c>
      <c r="F92" s="5" t="s">
        <v>72</v>
      </c>
      <c r="G92" s="5" t="s">
        <v>1030</v>
      </c>
      <c r="H92" s="6" t="s">
        <v>1031</v>
      </c>
      <c r="I92" s="7" t="s">
        <v>1032</v>
      </c>
      <c r="J92" s="8" t="str">
        <f>HYPERLINK("https://drive.google.com/file/d/1Jb8nMy5taglEI1ai2dOnWHI9whBujkK6/view?usp=drivesdk","AGUS WIJAYANTO SERTIFIKAT BerAKHLAK")</f>
        <v>AGUS WIJAYANTO SERTIFIKAT BerAKHLAK</v>
      </c>
      <c r="K92" s="5" t="s">
        <v>1033</v>
      </c>
      <c r="L92" s="5" t="s">
        <v>1034</v>
      </c>
    </row>
    <row r="93">
      <c r="A93" s="4">
        <v>45534.313463715276</v>
      </c>
      <c r="B93" s="5" t="s">
        <v>34</v>
      </c>
      <c r="D93" s="5" t="s">
        <v>35</v>
      </c>
      <c r="E93" s="5" t="s">
        <v>1039</v>
      </c>
      <c r="F93" s="5" t="s">
        <v>524</v>
      </c>
      <c r="G93" s="5" t="s">
        <v>1040</v>
      </c>
      <c r="H93" s="6" t="s">
        <v>1041</v>
      </c>
      <c r="I93" s="7" t="s">
        <v>1042</v>
      </c>
      <c r="J93" s="8" t="str">
        <f>HYPERLINK("https://drive.google.com/file/d/1bZH5j9Xun2RJBxpoF8dUohv0UL2X5ZnZ/view?usp=drivesdk","YANYAN NOERDIANSYAH SERTIFIKAT BerAKHLAK")</f>
        <v>YANYAN NOERDIANSYAH SERTIFIKAT BerAKHLAK</v>
      </c>
      <c r="K93" s="5" t="s">
        <v>1043</v>
      </c>
      <c r="L93" s="5" t="s">
        <v>1044</v>
      </c>
    </row>
    <row r="94">
      <c r="A94" s="4">
        <v>45534.3134709375</v>
      </c>
      <c r="B94" s="5" t="s">
        <v>34</v>
      </c>
      <c r="D94" s="5" t="s">
        <v>996</v>
      </c>
      <c r="E94" s="5" t="s">
        <v>1049</v>
      </c>
      <c r="F94" s="5" t="s">
        <v>212</v>
      </c>
      <c r="G94" s="5" t="s">
        <v>1050</v>
      </c>
      <c r="H94" s="6" t="s">
        <v>1051</v>
      </c>
      <c r="I94" s="7" t="s">
        <v>1052</v>
      </c>
      <c r="J94" s="8" t="str">
        <f>HYPERLINK("https://drive.google.com/file/d/1xBqPRydFt4JhnjZVUF0-A_vgKtS6mOeB/view?usp=drivesdk","ARIEF BUCHARI KURNIA AJI, S.SOS SERTIFIKAT BerAKHLAK")</f>
        <v>ARIEF BUCHARI KURNIA AJI, S.SOS SERTIFIKAT BerAKHLAK</v>
      </c>
      <c r="K94" s="5" t="s">
        <v>1053</v>
      </c>
      <c r="L94" s="5" t="s">
        <v>1054</v>
      </c>
    </row>
    <row r="95">
      <c r="A95" s="4">
        <v>45534.313498414354</v>
      </c>
      <c r="B95" s="5" t="s">
        <v>34</v>
      </c>
      <c r="D95" s="5" t="s">
        <v>975</v>
      </c>
      <c r="E95" s="5" t="s">
        <v>1060</v>
      </c>
      <c r="F95" s="5" t="s">
        <v>524</v>
      </c>
      <c r="G95" s="5" t="s">
        <v>1061</v>
      </c>
      <c r="H95" s="6" t="s">
        <v>1062</v>
      </c>
      <c r="I95" s="7" t="s">
        <v>1063</v>
      </c>
      <c r="J95" s="8" t="str">
        <f>HYPERLINK("https://drive.google.com/file/d/1lopTfRFMpRyjE4tj_8OHHkcbhknN6Zoe/view?usp=drivesdk","RISKA OKTAFIANI, S.Ak SERTIFIKAT BerAKHLAK")</f>
        <v>RISKA OKTAFIANI, S.Ak SERTIFIKAT BerAKHLAK</v>
      </c>
      <c r="K95" s="5" t="s">
        <v>1064</v>
      </c>
      <c r="L95" s="5" t="s">
        <v>1065</v>
      </c>
    </row>
    <row r="96">
      <c r="A96" s="4">
        <v>45534.31352217593</v>
      </c>
      <c r="B96" s="5" t="s">
        <v>34</v>
      </c>
      <c r="D96" s="5" t="s">
        <v>35</v>
      </c>
      <c r="E96" s="5" t="s">
        <v>1070</v>
      </c>
      <c r="F96" s="5" t="s">
        <v>375</v>
      </c>
      <c r="G96" s="5" t="s">
        <v>1071</v>
      </c>
      <c r="H96" s="6" t="s">
        <v>1072</v>
      </c>
      <c r="I96" s="7" t="s">
        <v>1073</v>
      </c>
      <c r="J96" s="8" t="str">
        <f>HYPERLINK("https://drive.google.com/file/d/1-6HwPOJdJfR-J1N0dZPLNNUjx4J7eTpt/view?usp=drivesdk","ANDI ALAMSYAH, S.Kom SERTIFIKAT BerAKHLAK")</f>
        <v>ANDI ALAMSYAH, S.Kom SERTIFIKAT BerAKHLAK</v>
      </c>
      <c r="K96" s="5" t="s">
        <v>1074</v>
      </c>
      <c r="L96" s="5" t="s">
        <v>1075</v>
      </c>
    </row>
    <row r="97">
      <c r="A97" s="4">
        <v>45534.31354880787</v>
      </c>
      <c r="B97" s="5" t="s">
        <v>19</v>
      </c>
      <c r="C97" s="5" t="s">
        <v>20</v>
      </c>
      <c r="E97" s="5" t="s">
        <v>1080</v>
      </c>
      <c r="F97" s="5" t="s">
        <v>72</v>
      </c>
      <c r="G97" s="5" t="s">
        <v>1081</v>
      </c>
      <c r="H97" s="6" t="s">
        <v>1082</v>
      </c>
      <c r="I97" s="7" t="s">
        <v>1083</v>
      </c>
      <c r="J97" s="8" t="str">
        <f>HYPERLINK("https://drive.google.com/file/d/1kytuhnYv6_CgOfU8p0sLd5rhoZpKmP3u/view?usp=drivesdk","JUNIASIH PURBOSARI, S.E. SERTIFIKAT BerAKHLAK")</f>
        <v>JUNIASIH PURBOSARI, S.E. SERTIFIKAT BerAKHLAK</v>
      </c>
      <c r="K97" s="5" t="s">
        <v>1084</v>
      </c>
      <c r="L97" s="5" t="s">
        <v>1085</v>
      </c>
    </row>
    <row r="98">
      <c r="A98" s="4">
        <v>45534.31358371528</v>
      </c>
      <c r="B98" s="5" t="s">
        <v>34</v>
      </c>
      <c r="D98" s="5" t="s">
        <v>522</v>
      </c>
      <c r="E98" s="5" t="s">
        <v>1091</v>
      </c>
      <c r="F98" s="5" t="s">
        <v>524</v>
      </c>
      <c r="G98" s="5" t="s">
        <v>1092</v>
      </c>
      <c r="H98" s="6" t="s">
        <v>1093</v>
      </c>
      <c r="I98" s="7" t="s">
        <v>1094</v>
      </c>
      <c r="J98" s="8" t="str">
        <f>HYPERLINK("https://drive.google.com/file/d/1Y8rXz6JODwdvB-l2ciI-rzxVH7xW1foi/view?usp=drivesdk","PUTU IKA SURYANDARI SERTIFIKAT BerAKHLAK")</f>
        <v>PUTU IKA SURYANDARI SERTIFIKAT BerAKHLAK</v>
      </c>
      <c r="K98" s="5" t="s">
        <v>1095</v>
      </c>
      <c r="L98" s="5" t="s">
        <v>1096</v>
      </c>
    </row>
    <row r="99">
      <c r="A99" s="4">
        <v>45534.31359928241</v>
      </c>
      <c r="B99" s="5" t="s">
        <v>19</v>
      </c>
      <c r="C99" s="5" t="s">
        <v>292</v>
      </c>
      <c r="E99" s="5" t="s">
        <v>1101</v>
      </c>
      <c r="F99" s="5" t="s">
        <v>212</v>
      </c>
      <c r="G99" s="5" t="s">
        <v>1102</v>
      </c>
      <c r="H99" s="6" t="s">
        <v>1103</v>
      </c>
      <c r="I99" s="7" t="s">
        <v>1104</v>
      </c>
      <c r="J99" s="8" t="str">
        <f>HYPERLINK("https://drive.google.com/file/d/1sTw8YwtlefSi-AgvnlfNyBbzfAqKxTqC/view?usp=drivesdk","NUDFI VIDYA LESTARI, A.Md.,Kep SERTIFIKAT BerAKHLAK")</f>
        <v>NUDFI VIDYA LESTARI, A.Md.,Kep SERTIFIKAT BerAKHLAK</v>
      </c>
      <c r="K99" s="5" t="s">
        <v>1105</v>
      </c>
      <c r="L99" s="5" t="s">
        <v>1106</v>
      </c>
    </row>
    <row r="100">
      <c r="A100" s="4">
        <v>45534.3136071412</v>
      </c>
      <c r="B100" s="5" t="s">
        <v>19</v>
      </c>
      <c r="C100" s="5" t="s">
        <v>20</v>
      </c>
      <c r="E100" s="5" t="s">
        <v>1111</v>
      </c>
      <c r="F100" s="5" t="s">
        <v>212</v>
      </c>
      <c r="G100" s="5" t="s">
        <v>1112</v>
      </c>
      <c r="H100" s="6" t="s">
        <v>1113</v>
      </c>
      <c r="I100" s="7" t="s">
        <v>1114</v>
      </c>
      <c r="J100" s="8" t="str">
        <f>HYPERLINK("https://drive.google.com/file/d/1xDyeAFuDZ5IZfc50l6N4lbtsZlED6e6A/view?usp=drivesdk","EKO NUR WIDIYANTO SERTIFIKAT BerAKHLAK")</f>
        <v>EKO NUR WIDIYANTO SERTIFIKAT BerAKHLAK</v>
      </c>
      <c r="K100" s="5" t="s">
        <v>1115</v>
      </c>
      <c r="L100" s="5" t="s">
        <v>1116</v>
      </c>
    </row>
    <row r="101">
      <c r="A101" s="4">
        <v>45534.31361380787</v>
      </c>
      <c r="B101" s="5" t="s">
        <v>19</v>
      </c>
      <c r="C101" s="5" t="s">
        <v>292</v>
      </c>
      <c r="E101" s="5" t="s">
        <v>1122</v>
      </c>
      <c r="F101" s="5" t="s">
        <v>108</v>
      </c>
      <c r="G101" s="5" t="s">
        <v>1123</v>
      </c>
      <c r="H101" s="6" t="s">
        <v>1124</v>
      </c>
      <c r="I101" s="7" t="s">
        <v>1125</v>
      </c>
      <c r="J101" s="8" t="str">
        <f>HYPERLINK("https://drive.google.com/file/d/1rw0QCDTFXPGKkVKbj6N3nNRodvheMrY4/view?usp=drivesdk","ENUR NURHAYATI SERTIFIKAT BerAKHLAK")</f>
        <v>ENUR NURHAYATI SERTIFIKAT BerAKHLAK</v>
      </c>
      <c r="K101" s="5" t="s">
        <v>1126</v>
      </c>
      <c r="L101" s="5" t="s">
        <v>1127</v>
      </c>
    </row>
    <row r="102">
      <c r="A102" s="4">
        <v>45534.31365002315</v>
      </c>
      <c r="B102" s="5" t="s">
        <v>34</v>
      </c>
      <c r="D102" s="5" t="s">
        <v>604</v>
      </c>
      <c r="E102" s="5" t="s">
        <v>1132</v>
      </c>
      <c r="F102" s="5" t="s">
        <v>524</v>
      </c>
      <c r="G102" s="5" t="s">
        <v>1133</v>
      </c>
      <c r="H102" s="6" t="s">
        <v>1134</v>
      </c>
      <c r="I102" s="7" t="s">
        <v>1135</v>
      </c>
      <c r="J102" s="8" t="str">
        <f>HYPERLINK("https://drive.google.com/file/d/1pR7-hw5Jd_LIfdk1NY0gHhHEZmTdKUif/view?usp=drivesdk","GAGUT ARYANTO SH  SERTIFIKAT BerAKHLAK")</f>
        <v>GAGUT ARYANTO SH  SERTIFIKAT BerAKHLAK</v>
      </c>
      <c r="K102" s="5" t="s">
        <v>1136</v>
      </c>
      <c r="L102" s="5" t="s">
        <v>1137</v>
      </c>
    </row>
    <row r="103">
      <c r="A103" s="4">
        <v>45534.3136890625</v>
      </c>
      <c r="B103" s="5" t="s">
        <v>34</v>
      </c>
      <c r="D103" s="5" t="s">
        <v>996</v>
      </c>
      <c r="E103" s="5" t="s">
        <v>1143</v>
      </c>
      <c r="F103" s="5" t="s">
        <v>37</v>
      </c>
      <c r="G103" s="5" t="s">
        <v>1144</v>
      </c>
      <c r="H103" s="6" t="s">
        <v>1145</v>
      </c>
      <c r="I103" s="7" t="s">
        <v>1146</v>
      </c>
      <c r="J103" s="8" t="str">
        <f>HYPERLINK("https://drive.google.com/file/d/1PBsH9r5ZAxoVOg0e1oE1Jjsv6rMOQQG7/view?usp=drivesdk","HADIJATUS RAHMANIAH SERTIFIKAT BerAKHLAK")</f>
        <v>HADIJATUS RAHMANIAH SERTIFIKAT BerAKHLAK</v>
      </c>
      <c r="K103" s="5" t="s">
        <v>1126</v>
      </c>
      <c r="L103" s="5" t="s">
        <v>1147</v>
      </c>
    </row>
    <row r="104">
      <c r="A104" s="4">
        <v>45534.31370597222</v>
      </c>
      <c r="B104" s="5" t="s">
        <v>34</v>
      </c>
      <c r="D104" s="5" t="s">
        <v>580</v>
      </c>
      <c r="E104" s="5" t="s">
        <v>1153</v>
      </c>
      <c r="F104" s="5" t="s">
        <v>524</v>
      </c>
      <c r="G104" s="5" t="s">
        <v>1154</v>
      </c>
      <c r="H104" s="6" t="s">
        <v>1155</v>
      </c>
      <c r="I104" s="7" t="s">
        <v>1156</v>
      </c>
      <c r="J104" s="8" t="str">
        <f>HYPERLINK("https://drive.google.com/file/d/1NdwcYVuXdViG7R4GR6_T5Ya4hFAXYQ6i/view?usp=drivesdk","I GUSTI AYU WIRATI,A.Md.KG SERTIFIKAT BerAKHLAK")</f>
        <v>I GUSTI AYU WIRATI,A.Md.KG SERTIFIKAT BerAKHLAK</v>
      </c>
      <c r="K104" s="5" t="s">
        <v>1126</v>
      </c>
      <c r="L104" s="5" t="s">
        <v>1157</v>
      </c>
    </row>
    <row r="105">
      <c r="A105" s="4">
        <v>45534.31374346065</v>
      </c>
      <c r="B105" s="5" t="s">
        <v>34</v>
      </c>
      <c r="D105" s="5" t="s">
        <v>35</v>
      </c>
      <c r="E105" s="5" t="s">
        <v>1163</v>
      </c>
      <c r="F105" s="5" t="s">
        <v>524</v>
      </c>
      <c r="G105" s="5" t="s">
        <v>1164</v>
      </c>
      <c r="H105" s="6" t="s">
        <v>1165</v>
      </c>
      <c r="I105" s="7" t="s">
        <v>1166</v>
      </c>
      <c r="J105" s="8" t="str">
        <f>HYPERLINK("https://drive.google.com/file/d/1_7JZz3d1m9NPMGH6OZAn2hZ1F4M7lyil/view?usp=drivesdk","DEDEN PRAMIADI, AMd.Kep SERTIFIKAT BerAKHLAK")</f>
        <v>DEDEN PRAMIADI, AMd.Kep SERTIFIKAT BerAKHLAK</v>
      </c>
      <c r="K105" s="5" t="s">
        <v>1167</v>
      </c>
      <c r="L105" s="5" t="s">
        <v>1168</v>
      </c>
    </row>
    <row r="106">
      <c r="A106" s="4">
        <v>45534.31374922454</v>
      </c>
      <c r="B106" s="5" t="s">
        <v>19</v>
      </c>
      <c r="C106" s="5" t="s">
        <v>292</v>
      </c>
      <c r="E106" s="5" t="s">
        <v>1174</v>
      </c>
      <c r="F106" s="5" t="s">
        <v>375</v>
      </c>
      <c r="G106" s="5" t="s">
        <v>1175</v>
      </c>
      <c r="H106" s="6" t="s">
        <v>1176</v>
      </c>
      <c r="I106" s="7" t="s">
        <v>1177</v>
      </c>
      <c r="J106" s="8" t="str">
        <f>HYPERLINK("https://drive.google.com/file/d/17-_76pUTFDo_6n0GsNk_JUynyEroH9Rk/view?usp=drivesdk","RIKA SARASWATI, S.E SERTIFIKAT BerAKHLAK")</f>
        <v>RIKA SARASWATI, S.E SERTIFIKAT BerAKHLAK</v>
      </c>
      <c r="K106" s="5" t="s">
        <v>1126</v>
      </c>
      <c r="L106" s="5" t="s">
        <v>1178</v>
      </c>
    </row>
    <row r="107">
      <c r="A107" s="4">
        <v>45534.313759675926</v>
      </c>
      <c r="B107" s="5" t="s">
        <v>34</v>
      </c>
      <c r="D107" s="5" t="s">
        <v>996</v>
      </c>
      <c r="E107" s="5" t="s">
        <v>1184</v>
      </c>
      <c r="F107" s="5" t="s">
        <v>72</v>
      </c>
      <c r="G107" s="5" t="s">
        <v>1185</v>
      </c>
      <c r="H107" s="6" t="s">
        <v>1186</v>
      </c>
      <c r="I107" s="7" t="s">
        <v>1187</v>
      </c>
      <c r="J107" s="8" t="str">
        <f>HYPERLINK("https://drive.google.com/file/d/1Ov5iBRaS1i7N6Dk7WYEV9TctXkNxZUcN/view?usp=drivesdk","YOGIE ESTININGSIH,S.Kep.,M.M. SERTIFIKAT BerAKHLAK")</f>
        <v>YOGIE ESTININGSIH,S.Kep.,M.M. SERTIFIKAT BerAKHLAK</v>
      </c>
      <c r="K107" s="5" t="s">
        <v>1126</v>
      </c>
      <c r="L107" s="5" t="s">
        <v>1188</v>
      </c>
    </row>
    <row r="108">
      <c r="A108" s="4">
        <v>45534.313787534724</v>
      </c>
      <c r="B108" s="5" t="s">
        <v>34</v>
      </c>
      <c r="D108" s="5" t="s">
        <v>35</v>
      </c>
      <c r="E108" s="5" t="s">
        <v>1195</v>
      </c>
      <c r="F108" s="5" t="s">
        <v>375</v>
      </c>
      <c r="G108" s="5" t="s">
        <v>1196</v>
      </c>
      <c r="H108" s="6" t="s">
        <v>1197</v>
      </c>
      <c r="I108" s="7" t="s">
        <v>1198</v>
      </c>
      <c r="J108" s="8" t="str">
        <f>HYPERLINK("https://drive.google.com/file/d/13EBesa-FK_Fb0JCXljUvLjUCjiBADvF5/view?usp=drivesdk","HENRI DARMADI AMD SERTIFIKAT BerAKHLAK")</f>
        <v>HENRI DARMADI AMD SERTIFIKAT BerAKHLAK</v>
      </c>
      <c r="K108" s="5" t="s">
        <v>1199</v>
      </c>
      <c r="L108" s="5" t="s">
        <v>1200</v>
      </c>
    </row>
    <row r="109">
      <c r="A109" s="4">
        <v>45534.31380581019</v>
      </c>
      <c r="B109" s="5" t="s">
        <v>34</v>
      </c>
      <c r="D109" s="5" t="s">
        <v>1206</v>
      </c>
      <c r="E109" s="5" t="s">
        <v>1207</v>
      </c>
      <c r="F109" s="5" t="s">
        <v>108</v>
      </c>
      <c r="G109" s="5" t="s">
        <v>1208</v>
      </c>
      <c r="H109" s="6" t="s">
        <v>1209</v>
      </c>
      <c r="I109" s="7" t="s">
        <v>1210</v>
      </c>
      <c r="J109" s="8" t="str">
        <f>HYPERLINK("https://drive.google.com/file/d/1w7Q_yqkObPHbcsnotqh5K23tI0Wq7Uee/view?usp=drivesdk","ARY BUDI KUSUMA, A.Md. SERTIFIKAT BerAKHLAK")</f>
        <v>ARY BUDI KUSUMA, A.Md. SERTIFIKAT BerAKHLAK</v>
      </c>
      <c r="K109" s="5" t="s">
        <v>1126</v>
      </c>
      <c r="L109" s="5" t="s">
        <v>1211</v>
      </c>
    </row>
    <row r="110">
      <c r="A110" s="4">
        <v>45534.313843020835</v>
      </c>
      <c r="B110" s="5" t="s">
        <v>19</v>
      </c>
      <c r="C110" s="5" t="s">
        <v>292</v>
      </c>
      <c r="E110" s="5" t="s">
        <v>1217</v>
      </c>
      <c r="F110" s="5" t="s">
        <v>212</v>
      </c>
      <c r="G110" s="5" t="s">
        <v>1218</v>
      </c>
      <c r="H110" s="6" t="s">
        <v>1219</v>
      </c>
      <c r="I110" s="7" t="s">
        <v>1220</v>
      </c>
      <c r="J110" s="8" t="str">
        <f>HYPERLINK("https://drive.google.com/file/d/1l-U5lmU2W2zoDw3oU4XJg9vPjs2C1Qpl/view?usp=drivesdk","RIKA MARLINA SARI SERTIFIKAT BerAKHLAK")</f>
        <v>RIKA MARLINA SARI SERTIFIKAT BerAKHLAK</v>
      </c>
      <c r="K110" s="5" t="s">
        <v>1221</v>
      </c>
      <c r="L110" s="5" t="s">
        <v>1222</v>
      </c>
    </row>
    <row r="111">
      <c r="A111" s="4">
        <v>45534.31385465278</v>
      </c>
      <c r="B111" s="5" t="s">
        <v>19</v>
      </c>
      <c r="C111" s="5" t="s">
        <v>292</v>
      </c>
      <c r="E111" s="5" t="s">
        <v>1228</v>
      </c>
      <c r="F111" s="5" t="s">
        <v>375</v>
      </c>
      <c r="G111" s="5" t="s">
        <v>1229</v>
      </c>
      <c r="H111" s="6" t="s">
        <v>1230</v>
      </c>
      <c r="I111" s="7" t="s">
        <v>1231</v>
      </c>
      <c r="J111" s="8" t="str">
        <f>HYPERLINK("https://drive.google.com/file/d/1Qc5PXw7rwWb9MTMnNW8-qUl7XgO2k1o-/view?usp=drivesdk","FITRI SAEFULINA SERTIFIKAT BerAKHLAK")</f>
        <v>FITRI SAEFULINA SERTIFIKAT BerAKHLAK</v>
      </c>
      <c r="K111" s="5" t="s">
        <v>1126</v>
      </c>
      <c r="L111" s="5" t="s">
        <v>1232</v>
      </c>
    </row>
    <row r="112">
      <c r="A112" s="4">
        <v>45534.31387946759</v>
      </c>
      <c r="B112" s="5" t="s">
        <v>34</v>
      </c>
      <c r="D112" s="5" t="s">
        <v>35</v>
      </c>
      <c r="E112" s="5" t="s">
        <v>1238</v>
      </c>
      <c r="F112" s="5" t="s">
        <v>375</v>
      </c>
      <c r="G112" s="5" t="s">
        <v>1239</v>
      </c>
      <c r="H112" s="6" t="s">
        <v>1240</v>
      </c>
      <c r="I112" s="7" t="s">
        <v>1241</v>
      </c>
      <c r="J112" s="8" t="str">
        <f>HYPERLINK("https://drive.google.com/file/d/1xibdt-DlmcRVhLvOsKajduWM7bWRv1-S/view?usp=drivesdk","ESIH RUKMINAH, S.Pd SERTIFIKAT BerAKHLAK")</f>
        <v>ESIH RUKMINAH, S.Pd SERTIFIKAT BerAKHLAK</v>
      </c>
      <c r="K112" s="5" t="s">
        <v>1126</v>
      </c>
      <c r="L112" s="5" t="s">
        <v>1242</v>
      </c>
    </row>
    <row r="113">
      <c r="A113" s="4">
        <v>45534.313881932874</v>
      </c>
      <c r="B113" s="5" t="s">
        <v>34</v>
      </c>
      <c r="D113" s="5" t="s">
        <v>35</v>
      </c>
      <c r="E113" s="5" t="s">
        <v>1248</v>
      </c>
      <c r="F113" s="5" t="s">
        <v>375</v>
      </c>
      <c r="G113" s="5" t="s">
        <v>1249</v>
      </c>
      <c r="H113" s="6" t="s">
        <v>1250</v>
      </c>
      <c r="I113" s="7" t="s">
        <v>1251</v>
      </c>
      <c r="J113" s="8" t="str">
        <f>HYPERLINK("https://drive.google.com/file/d/15l4k8MsVUNnEzNdfS0VCkEEl4DAj9fYc/view?usp=drivesdk","ELIZABETH NOVRITA SMLG, S.E SERTIFIKAT BerAKHLAK")</f>
        <v>ELIZABETH NOVRITA SMLG, S.E SERTIFIKAT BerAKHLAK</v>
      </c>
      <c r="K113" s="5" t="s">
        <v>1126</v>
      </c>
      <c r="L113" s="5" t="s">
        <v>1252</v>
      </c>
    </row>
    <row r="114">
      <c r="A114" s="4">
        <v>45534.31388605324</v>
      </c>
      <c r="B114" s="5" t="s">
        <v>34</v>
      </c>
      <c r="D114" s="5" t="s">
        <v>996</v>
      </c>
      <c r="E114" s="5" t="s">
        <v>1259</v>
      </c>
      <c r="F114" s="5" t="s">
        <v>524</v>
      </c>
      <c r="G114" s="5" t="s">
        <v>1260</v>
      </c>
      <c r="H114" s="6" t="s">
        <v>1261</v>
      </c>
      <c r="I114" s="7" t="s">
        <v>1262</v>
      </c>
      <c r="J114" s="8" t="str">
        <f>HYPERLINK("https://drive.google.com/file/d/1CpEzLXX3CNk2xccpErw-Af3pqGfnCO2M/view?usp=drivesdk","SYAIDA FAKHRIANTI, S.H. SERTIFIKAT BerAKHLAK")</f>
        <v>SYAIDA FAKHRIANTI, S.H. SERTIFIKAT BerAKHLAK</v>
      </c>
      <c r="K114" s="5" t="s">
        <v>1126</v>
      </c>
      <c r="L114" s="5" t="s">
        <v>1263</v>
      </c>
    </row>
    <row r="115">
      <c r="A115" s="4">
        <v>45534.31390969908</v>
      </c>
      <c r="B115" s="5" t="s">
        <v>34</v>
      </c>
      <c r="D115" s="5" t="s">
        <v>522</v>
      </c>
      <c r="E115" s="5" t="s">
        <v>1269</v>
      </c>
      <c r="F115" s="5" t="s">
        <v>72</v>
      </c>
      <c r="G115" s="5" t="s">
        <v>1270</v>
      </c>
      <c r="H115" s="6" t="s">
        <v>1271</v>
      </c>
      <c r="I115" s="7" t="s">
        <v>1272</v>
      </c>
      <c r="J115" s="8" t="str">
        <f>HYPERLINK("https://drive.google.com/file/d/1fcHjezWWESTPHXYbCw4CzY0ayxRF4iWZ/view?usp=drivesdk","MERI ENGDRIANI, A.MD SERTIFIKAT BerAKHLAK")</f>
        <v>MERI ENGDRIANI, A.MD SERTIFIKAT BerAKHLAK</v>
      </c>
      <c r="K115" s="5" t="s">
        <v>1273</v>
      </c>
      <c r="L115" s="5" t="s">
        <v>1274</v>
      </c>
    </row>
    <row r="116">
      <c r="A116" s="4">
        <v>45534.31392115741</v>
      </c>
      <c r="B116" s="5" t="s">
        <v>34</v>
      </c>
      <c r="D116" s="5" t="s">
        <v>522</v>
      </c>
      <c r="E116" s="5" t="s">
        <v>1280</v>
      </c>
      <c r="F116" s="5" t="s">
        <v>108</v>
      </c>
      <c r="G116" s="5" t="s">
        <v>1281</v>
      </c>
      <c r="H116" s="6" t="s">
        <v>1282</v>
      </c>
      <c r="I116" s="7" t="s">
        <v>1283</v>
      </c>
      <c r="J116" s="8" t="str">
        <f>HYPERLINK("https://drive.google.com/file/d/1_mXB-QVp1U3Pfx71sFeJpkGPpdKblixT/view?usp=drivesdk","DR GEDE ERI SUPARMAWIJAYA SERTIFIKAT BerAKHLAK")</f>
        <v>DR GEDE ERI SUPARMAWIJAYA SERTIFIKAT BerAKHLAK</v>
      </c>
      <c r="K116" s="5" t="s">
        <v>1126</v>
      </c>
      <c r="L116" s="5" t="s">
        <v>1284</v>
      </c>
    </row>
    <row r="117">
      <c r="A117" s="4">
        <v>45534.31395711805</v>
      </c>
      <c r="B117" s="5" t="s">
        <v>19</v>
      </c>
      <c r="C117" s="5" t="s">
        <v>292</v>
      </c>
      <c r="E117" s="5" t="s">
        <v>1290</v>
      </c>
      <c r="F117" s="5" t="s">
        <v>524</v>
      </c>
      <c r="G117" s="5" t="s">
        <v>1291</v>
      </c>
      <c r="H117" s="6" t="s">
        <v>1292</v>
      </c>
      <c r="I117" s="7" t="s">
        <v>1293</v>
      </c>
      <c r="J117" s="8" t="str">
        <f>HYPERLINK("https://drive.google.com/file/d/1ybSKJHP0wApkQzJdcC7MelZOr77jMmaC/view?usp=drivesdk","SUCI ENDAH PURWOLESTARI, AMd.AK.,S.Si. SERTIFIKAT BerAKHLAK")</f>
        <v>SUCI ENDAH PURWOLESTARI, AMd.AK.,S.Si. SERTIFIKAT BerAKHLAK</v>
      </c>
      <c r="K117" s="5" t="s">
        <v>1126</v>
      </c>
      <c r="L117" s="5" t="s">
        <v>1294</v>
      </c>
    </row>
    <row r="118">
      <c r="A118" s="4">
        <v>45534.313984849534</v>
      </c>
      <c r="B118" s="5" t="s">
        <v>34</v>
      </c>
      <c r="D118" s="5" t="s">
        <v>35</v>
      </c>
      <c r="E118" s="5" t="s">
        <v>1300</v>
      </c>
      <c r="F118" s="5" t="s">
        <v>524</v>
      </c>
      <c r="G118" s="5" t="s">
        <v>1301</v>
      </c>
      <c r="H118" s="6" t="s">
        <v>1302</v>
      </c>
      <c r="I118" s="7" t="s">
        <v>1303</v>
      </c>
      <c r="J118" s="8" t="str">
        <f>HYPERLINK("https://drive.google.com/file/d/18MoM34g1snEpfxRyID8iWmJd6FdKDLvc/view?usp=drivesdk","AGUS HIDAYAT, S.IP SERTIFIKAT BerAKHLAK")</f>
        <v>AGUS HIDAYAT, S.IP SERTIFIKAT BerAKHLAK</v>
      </c>
      <c r="K118" s="5" t="s">
        <v>1304</v>
      </c>
      <c r="L118" s="5" t="s">
        <v>1305</v>
      </c>
    </row>
    <row r="119">
      <c r="A119" s="4">
        <v>45534.31401015046</v>
      </c>
      <c r="B119" s="5" t="s">
        <v>34</v>
      </c>
      <c r="D119" s="5" t="s">
        <v>35</v>
      </c>
      <c r="E119" s="5" t="s">
        <v>1312</v>
      </c>
      <c r="F119" s="5" t="s">
        <v>120</v>
      </c>
      <c r="G119" s="5" t="s">
        <v>1313</v>
      </c>
      <c r="H119" s="6" t="s">
        <v>1314</v>
      </c>
      <c r="I119" s="7" t="s">
        <v>1315</v>
      </c>
      <c r="J119" s="8" t="str">
        <f>HYPERLINK("https://drive.google.com/file/d/1o0fTIMqUPBPLxK1zrNwAvpSs-_dkGnb2/view?usp=drivesdk","INE DEWI KANIA, S.Psi, Psi, MM SERTIFIKAT BerAKHLAK")</f>
        <v>INE DEWI KANIA, S.Psi, Psi, MM SERTIFIKAT BerAKHLAK</v>
      </c>
      <c r="K119" s="5" t="s">
        <v>1316</v>
      </c>
      <c r="L119" s="5" t="s">
        <v>1317</v>
      </c>
    </row>
    <row r="120">
      <c r="A120" s="4">
        <v>45534.314016979166</v>
      </c>
      <c r="B120" s="5" t="s">
        <v>34</v>
      </c>
      <c r="D120" s="5" t="s">
        <v>522</v>
      </c>
      <c r="E120" s="5" t="s">
        <v>1323</v>
      </c>
      <c r="F120" s="5" t="s">
        <v>37</v>
      </c>
      <c r="G120" s="5" t="s">
        <v>1324</v>
      </c>
      <c r="H120" s="6" t="s">
        <v>1325</v>
      </c>
      <c r="I120" s="7" t="s">
        <v>1326</v>
      </c>
      <c r="J120" s="8" t="str">
        <f>HYPERLINK("https://drive.google.com/file/d/1GldeYnFP7laCA7g-Oa-BgB3dAawo0lI4/view?usp=drivesdk","PENGATUR LALU YULIADI SERTIFIKAT BerAKHLAK")</f>
        <v>PENGATUR LALU YULIADI SERTIFIKAT BerAKHLAK</v>
      </c>
      <c r="K120" s="5" t="s">
        <v>1126</v>
      </c>
      <c r="L120" s="5" t="s">
        <v>1327</v>
      </c>
    </row>
    <row r="121">
      <c r="A121" s="4">
        <v>45534.31402456018</v>
      </c>
      <c r="B121" s="5" t="s">
        <v>34</v>
      </c>
      <c r="D121" s="5" t="s">
        <v>35</v>
      </c>
      <c r="E121" s="5" t="s">
        <v>1333</v>
      </c>
      <c r="F121" s="5" t="s">
        <v>37</v>
      </c>
      <c r="G121" s="5" t="s">
        <v>1334</v>
      </c>
      <c r="H121" s="6" t="s">
        <v>1335</v>
      </c>
      <c r="I121" s="7" t="s">
        <v>1336</v>
      </c>
      <c r="J121" s="8" t="str">
        <f>HYPERLINK("https://drive.google.com/file/d/162inUAtQkXWiFsH7735gHdCqTzwS6W19/view?usp=drivesdk","DEWI PUJI ASTUTI SERTIFIKAT BerAKHLAK")</f>
        <v>DEWI PUJI ASTUTI SERTIFIKAT BerAKHLAK</v>
      </c>
      <c r="K121" s="5" t="s">
        <v>1126</v>
      </c>
      <c r="L121" s="5" t="s">
        <v>1337</v>
      </c>
    </row>
    <row r="122">
      <c r="A122" s="4">
        <v>45534.31402475694</v>
      </c>
      <c r="B122" s="5" t="s">
        <v>34</v>
      </c>
      <c r="D122" s="5" t="s">
        <v>267</v>
      </c>
      <c r="E122" s="5" t="s">
        <v>1343</v>
      </c>
      <c r="F122" s="5" t="s">
        <v>72</v>
      </c>
      <c r="G122" s="5" t="s">
        <v>1344</v>
      </c>
      <c r="H122" s="6" t="s">
        <v>1345</v>
      </c>
      <c r="I122" s="7" t="s">
        <v>1346</v>
      </c>
      <c r="J122" s="8" t="str">
        <f>HYPERLINK("https://drive.google.com/file/d/1C_9PeNhE5XoWWfW11vdv9jMO_rQSyr15/view?usp=drivesdk","TETTY KARUNIAWATI,A.Md SERTIFIKAT BerAKHLAK")</f>
        <v>TETTY KARUNIAWATI,A.Md SERTIFIKAT BerAKHLAK</v>
      </c>
      <c r="K122" s="5" t="s">
        <v>1347</v>
      </c>
      <c r="L122" s="5" t="s">
        <v>1348</v>
      </c>
    </row>
    <row r="123">
      <c r="A123" s="4">
        <v>45534.31408434028</v>
      </c>
      <c r="B123" s="5" t="s">
        <v>34</v>
      </c>
      <c r="D123" s="5" t="s">
        <v>362</v>
      </c>
      <c r="E123" s="5" t="s">
        <v>1355</v>
      </c>
      <c r="F123" s="5" t="s">
        <v>37</v>
      </c>
      <c r="G123" s="5" t="s">
        <v>1356</v>
      </c>
      <c r="H123" s="6" t="s">
        <v>1357</v>
      </c>
      <c r="I123" s="7" t="s">
        <v>1358</v>
      </c>
      <c r="J123" s="8" t="str">
        <f>HYPERLINK("https://drive.google.com/file/d/1OdDhwdA7yDA8zf14ZRgkEw5kMYJxHMtF/view?usp=drivesdk","UCI PURNAMA SARI, A.Md.Keb SERTIFIKAT BerAKHLAK")</f>
        <v>UCI PURNAMA SARI, A.Md.Keb SERTIFIKAT BerAKHLAK</v>
      </c>
      <c r="K123" s="5" t="s">
        <v>1126</v>
      </c>
      <c r="L123" s="5" t="s">
        <v>1359</v>
      </c>
    </row>
    <row r="124">
      <c r="A124" s="4">
        <v>45534.31408862269</v>
      </c>
      <c r="B124" s="5" t="s">
        <v>34</v>
      </c>
      <c r="D124" s="5" t="s">
        <v>35</v>
      </c>
      <c r="E124" s="5" t="s">
        <v>1365</v>
      </c>
      <c r="F124" s="5" t="s">
        <v>37</v>
      </c>
      <c r="G124" s="5" t="s">
        <v>1366</v>
      </c>
      <c r="H124" s="6" t="s">
        <v>1367</v>
      </c>
      <c r="I124" s="7" t="s">
        <v>1368</v>
      </c>
      <c r="J124" s="8" t="str">
        <f>HYPERLINK("https://drive.google.com/file/d/1SqAk68uMt5BD0bnAIVs2-p4kuNhUtmAA/view?usp=drivesdk","RD HANA KURAESIN SERTIFIKAT BerAKHLAK")</f>
        <v>RD HANA KURAESIN SERTIFIKAT BerAKHLAK</v>
      </c>
      <c r="K124" s="5" t="s">
        <v>1126</v>
      </c>
      <c r="L124" s="5" t="s">
        <v>1369</v>
      </c>
    </row>
    <row r="125">
      <c r="A125" s="4">
        <v>45534.3141153125</v>
      </c>
      <c r="B125" s="5" t="s">
        <v>34</v>
      </c>
      <c r="D125" s="5" t="s">
        <v>580</v>
      </c>
      <c r="E125" s="5" t="s">
        <v>1375</v>
      </c>
      <c r="F125" s="5" t="s">
        <v>715</v>
      </c>
      <c r="G125" s="5" t="s">
        <v>1376</v>
      </c>
      <c r="H125" s="6" t="s">
        <v>1377</v>
      </c>
      <c r="I125" s="7" t="s">
        <v>1378</v>
      </c>
      <c r="J125" s="8" t="str">
        <f>HYPERLINK("https://drive.google.com/file/d/1qb7T1yL6Jqq6-X2SwqE6wDlGh8NAv-ci/view?usp=drivesdk","TJOKORDA ISTRI AGUNG RAY MAHA ADNYANI, A.Md.Kep SERTIFIKAT BerAKHLAK")</f>
        <v>TJOKORDA ISTRI AGUNG RAY MAHA ADNYANI, A.Md.Kep SERTIFIKAT BerAKHLAK</v>
      </c>
      <c r="K125" s="5" t="s">
        <v>1126</v>
      </c>
      <c r="L125" s="5" t="s">
        <v>1379</v>
      </c>
    </row>
    <row r="126">
      <c r="A126" s="4">
        <v>45534.31412407407</v>
      </c>
      <c r="B126" s="5" t="s">
        <v>34</v>
      </c>
      <c r="D126" s="5" t="s">
        <v>580</v>
      </c>
      <c r="E126" s="5" t="s">
        <v>1385</v>
      </c>
      <c r="F126" s="5" t="s">
        <v>212</v>
      </c>
      <c r="G126" s="5" t="s">
        <v>1386</v>
      </c>
      <c r="H126" s="6" t="s">
        <v>1387</v>
      </c>
      <c r="I126" s="7" t="s">
        <v>1388</v>
      </c>
      <c r="J126" s="8" t="str">
        <f>HYPERLINK("https://drive.google.com/file/d/1F9IHLcrG0NPuCflniZXhE_m2Xu-k4Y-e/view?usp=drivesdk","NI LUH MADE BUNCING KARYAWATI SERTIFIKAT BerAKHLAK")</f>
        <v>NI LUH MADE BUNCING KARYAWATI SERTIFIKAT BerAKHLAK</v>
      </c>
      <c r="K126" s="5" t="s">
        <v>1126</v>
      </c>
      <c r="L126" s="5" t="s">
        <v>1389</v>
      </c>
    </row>
    <row r="127">
      <c r="A127" s="4">
        <v>45534.31413247685</v>
      </c>
      <c r="B127" s="5" t="s">
        <v>34</v>
      </c>
      <c r="D127" s="5" t="s">
        <v>580</v>
      </c>
      <c r="E127" s="5" t="s">
        <v>1395</v>
      </c>
      <c r="F127" s="5" t="s">
        <v>212</v>
      </c>
      <c r="G127" s="5" t="s">
        <v>1396</v>
      </c>
      <c r="H127" s="6" t="s">
        <v>1397</v>
      </c>
      <c r="I127" s="7" t="s">
        <v>1398</v>
      </c>
      <c r="J127" s="8" t="str">
        <f>HYPERLINK("https://drive.google.com/file/d/1SvTBqDLXpW278t0T1kDOIPXs2lnMyhGS/view?usp=drivesdk","NI KETUT SUPADMAWATI SERTIFIKAT BerAKHLAK")</f>
        <v>NI KETUT SUPADMAWATI SERTIFIKAT BerAKHLAK</v>
      </c>
      <c r="K127" s="5" t="s">
        <v>1126</v>
      </c>
      <c r="L127" s="5" t="s">
        <v>1399</v>
      </c>
    </row>
    <row r="128">
      <c r="A128" s="4">
        <v>45534.31415136574</v>
      </c>
      <c r="B128" s="5" t="s">
        <v>34</v>
      </c>
      <c r="D128" s="5" t="s">
        <v>35</v>
      </c>
      <c r="E128" s="5" t="s">
        <v>1405</v>
      </c>
      <c r="F128" s="5" t="s">
        <v>212</v>
      </c>
      <c r="G128" s="5" t="s">
        <v>1406</v>
      </c>
      <c r="H128" s="6" t="s">
        <v>1407</v>
      </c>
      <c r="I128" s="7" t="s">
        <v>1408</v>
      </c>
      <c r="J128" s="8" t="str">
        <f>HYPERLINK("https://drive.google.com/file/d/1Ffi2fVx0PTkPk_bBrcLtR5reycqZZNpB/view?usp=drivesdk","SRI NIZAR ANNAS, SH SERTIFIKAT BerAKHLAK")</f>
        <v>SRI NIZAR ANNAS, SH SERTIFIKAT BerAKHLAK</v>
      </c>
      <c r="K128" s="5" t="s">
        <v>1347</v>
      </c>
      <c r="L128" s="5" t="s">
        <v>1409</v>
      </c>
    </row>
    <row r="129">
      <c r="A129" s="4">
        <v>45534.31416355324</v>
      </c>
      <c r="B129" s="5" t="s">
        <v>34</v>
      </c>
      <c r="D129" s="5" t="s">
        <v>996</v>
      </c>
      <c r="E129" s="5" t="s">
        <v>1416</v>
      </c>
      <c r="F129" s="5" t="s">
        <v>375</v>
      </c>
      <c r="G129" s="5" t="s">
        <v>1417</v>
      </c>
      <c r="H129" s="6" t="s">
        <v>1418</v>
      </c>
      <c r="I129" s="7" t="s">
        <v>1419</v>
      </c>
      <c r="J129" s="8" t="str">
        <f>HYPERLINK("https://drive.google.com/file/d/1hX4oC_m2SB54aH7Gt3yU8JQuhJESP2Mu/view?usp=drivesdk","ENDAH NURYANTI, SH.SE SERTIFIKAT BerAKHLAK")</f>
        <v>ENDAH NURYANTI, SH.SE SERTIFIKAT BerAKHLAK</v>
      </c>
      <c r="K129" s="5" t="s">
        <v>1347</v>
      </c>
      <c r="L129" s="5" t="s">
        <v>1420</v>
      </c>
    </row>
    <row r="130">
      <c r="A130" s="4">
        <v>45534.31418563657</v>
      </c>
      <c r="B130" s="5" t="s">
        <v>34</v>
      </c>
      <c r="D130" s="5" t="s">
        <v>580</v>
      </c>
      <c r="E130" s="5" t="s">
        <v>1425</v>
      </c>
      <c r="F130" s="5" t="s">
        <v>37</v>
      </c>
      <c r="G130" s="5" t="s">
        <v>1426</v>
      </c>
      <c r="H130" s="6" t="s">
        <v>1427</v>
      </c>
      <c r="I130" s="7" t="s">
        <v>1428</v>
      </c>
      <c r="J130" s="8" t="str">
        <f>HYPERLINK("https://drive.google.com/file/d/1UWxUFNzIznAMy6oOl1jGoBWaWSW3_QDY/view?usp=drivesdk","PUTU IRMA YUNITA, A.Md.Keb SERTIFIKAT BerAKHLAK")</f>
        <v>PUTU IRMA YUNITA, A.Md.Keb SERTIFIKAT BerAKHLAK</v>
      </c>
      <c r="K130" s="5" t="s">
        <v>1126</v>
      </c>
      <c r="L130" s="5" t="s">
        <v>1429</v>
      </c>
    </row>
    <row r="131">
      <c r="A131" s="4">
        <v>45534.31419175926</v>
      </c>
      <c r="B131" s="5" t="s">
        <v>34</v>
      </c>
      <c r="D131" s="5" t="s">
        <v>267</v>
      </c>
      <c r="E131" s="5" t="s">
        <v>1435</v>
      </c>
      <c r="F131" s="5" t="s">
        <v>108</v>
      </c>
      <c r="G131" s="5" t="s">
        <v>1436</v>
      </c>
      <c r="H131" s="6" t="s">
        <v>1437</v>
      </c>
      <c r="I131" s="7" t="s">
        <v>1438</v>
      </c>
      <c r="J131" s="8" t="str">
        <f>HYPERLINK("https://drive.google.com/file/d/1nUrxKyNr6MWxphSI-GxuzBt_85mGzhen/view?usp=drivesdk","ENDAH WAHYUNI AMD SERTIFIKAT BerAKHLAK")</f>
        <v>ENDAH WAHYUNI AMD SERTIFIKAT BerAKHLAK</v>
      </c>
      <c r="K131" s="5" t="s">
        <v>1126</v>
      </c>
      <c r="L131" s="5" t="s">
        <v>1439</v>
      </c>
    </row>
    <row r="132">
      <c r="A132" s="4">
        <v>45534.31422719907</v>
      </c>
      <c r="B132" s="5" t="s">
        <v>34</v>
      </c>
      <c r="D132" s="5" t="s">
        <v>522</v>
      </c>
      <c r="E132" s="5" t="s">
        <v>1445</v>
      </c>
      <c r="F132" s="5" t="s">
        <v>375</v>
      </c>
      <c r="G132" s="5" t="s">
        <v>1446</v>
      </c>
      <c r="H132" s="6" t="s">
        <v>1447</v>
      </c>
      <c r="I132" s="7" t="s">
        <v>1448</v>
      </c>
      <c r="J132" s="8" t="str">
        <f>HYPERLINK("https://drive.google.com/file/d/1_b77EptwWaCHcodDGHP0BNhbocJ8wr0x/view?usp=drivesdk","RINA YULIANINGSIH, SE.MM. SERTIFIKAT BerAKHLAK")</f>
        <v>RINA YULIANINGSIH, SE.MM. SERTIFIKAT BerAKHLAK</v>
      </c>
      <c r="K132" s="5" t="s">
        <v>1449</v>
      </c>
      <c r="L132" s="5" t="s">
        <v>1450</v>
      </c>
    </row>
    <row r="133">
      <c r="A133" s="4">
        <v>45534.314245925925</v>
      </c>
      <c r="B133" s="5" t="s">
        <v>34</v>
      </c>
      <c r="D133" s="5" t="s">
        <v>1456</v>
      </c>
      <c r="E133" s="5" t="s">
        <v>1457</v>
      </c>
      <c r="F133" s="5" t="s">
        <v>120</v>
      </c>
      <c r="G133" s="5" t="s">
        <v>1458</v>
      </c>
      <c r="H133" s="6" t="s">
        <v>1459</v>
      </c>
      <c r="I133" s="7" t="s">
        <v>1460</v>
      </c>
      <c r="J133" s="8" t="str">
        <f>HYPERLINK("https://drive.google.com/file/d/1oyW9yfflZBVTrWqrPt64yRQ1cPH4JVLh/view?usp=drivesdk","TATOK SULISTIYAWAN  SERTIFIKAT BerAKHLAK")</f>
        <v>TATOK SULISTIYAWAN  SERTIFIKAT BerAKHLAK</v>
      </c>
      <c r="K133" s="5" t="s">
        <v>1126</v>
      </c>
      <c r="L133" s="5" t="s">
        <v>1461</v>
      </c>
    </row>
    <row r="134">
      <c r="A134" s="4">
        <v>45534.31429969908</v>
      </c>
      <c r="B134" s="5" t="s">
        <v>34</v>
      </c>
      <c r="D134" s="5" t="s">
        <v>580</v>
      </c>
      <c r="E134" s="5" t="s">
        <v>1467</v>
      </c>
      <c r="F134" s="5" t="s">
        <v>37</v>
      </c>
      <c r="G134" s="5" t="s">
        <v>1468</v>
      </c>
      <c r="H134" s="6" t="s">
        <v>1469</v>
      </c>
      <c r="I134" s="7" t="s">
        <v>1470</v>
      </c>
      <c r="J134" s="8" t="str">
        <f>HYPERLINK("https://drive.google.com/file/d/18yFpvvsV-OYpFpKbWSsAW9QOtewvy7Ox/view?usp=drivesdk","NI MADE TRISNAWATI SERTIFIKAT BerAKHLAK")</f>
        <v>NI MADE TRISNAWATI SERTIFIKAT BerAKHLAK</v>
      </c>
      <c r="K134" s="5" t="s">
        <v>1126</v>
      </c>
      <c r="L134" s="5" t="s">
        <v>1471</v>
      </c>
    </row>
    <row r="135">
      <c r="A135" s="4">
        <v>45534.31433163195</v>
      </c>
      <c r="B135" s="5" t="s">
        <v>34</v>
      </c>
      <c r="D135" s="5" t="s">
        <v>522</v>
      </c>
      <c r="E135" s="5" t="s">
        <v>1478</v>
      </c>
      <c r="F135" s="5" t="s">
        <v>715</v>
      </c>
      <c r="G135" s="5" t="s">
        <v>1479</v>
      </c>
      <c r="H135" s="6" t="s">
        <v>1480</v>
      </c>
      <c r="I135" s="7" t="s">
        <v>1481</v>
      </c>
      <c r="J135" s="8" t="str">
        <f>HYPERLINK("https://drive.google.com/file/d/1MOhvoeL1LWpTVGY1QeIo7lz0D49POIqD/view?usp=drivesdk","LALU BUSTANUL ATHFAL  SERTIFIKAT BerAKHLAK")</f>
        <v>LALU BUSTANUL ATHFAL  SERTIFIKAT BerAKHLAK</v>
      </c>
      <c r="K135" s="5" t="s">
        <v>1126</v>
      </c>
      <c r="L135" s="5" t="s">
        <v>1482</v>
      </c>
    </row>
    <row r="136">
      <c r="A136" s="4">
        <v>45534.31434113426</v>
      </c>
      <c r="B136" s="5" t="s">
        <v>34</v>
      </c>
      <c r="D136" s="5" t="s">
        <v>35</v>
      </c>
      <c r="E136" s="5" t="s">
        <v>1488</v>
      </c>
      <c r="F136" s="5" t="s">
        <v>37</v>
      </c>
      <c r="G136" s="5" t="s">
        <v>1489</v>
      </c>
      <c r="H136" s="6" t="s">
        <v>1490</v>
      </c>
      <c r="I136" s="7" t="s">
        <v>1491</v>
      </c>
      <c r="J136" s="8" t="str">
        <f>HYPERLINK("https://drive.google.com/file/d/184t0RnoelMiIAnHi95k2pczszY1U5wll/view?usp=drivesdk","GAMA DWI LINGGA. A, Md SERTIFIKAT BerAKHLAK")</f>
        <v>GAMA DWI LINGGA. A, Md SERTIFIKAT BerAKHLAK</v>
      </c>
      <c r="K136" s="5" t="s">
        <v>1126</v>
      </c>
      <c r="L136" s="5" t="s">
        <v>1492</v>
      </c>
    </row>
    <row r="137">
      <c r="A137" s="4">
        <v>45534.314359525466</v>
      </c>
      <c r="B137" s="5" t="s">
        <v>19</v>
      </c>
      <c r="C137" s="5" t="s">
        <v>1498</v>
      </c>
      <c r="E137" s="5" t="s">
        <v>1499</v>
      </c>
      <c r="F137" s="5" t="s">
        <v>37</v>
      </c>
      <c r="G137" s="5" t="s">
        <v>1500</v>
      </c>
      <c r="H137" s="6" t="s">
        <v>1501</v>
      </c>
      <c r="I137" s="7" t="s">
        <v>1502</v>
      </c>
      <c r="J137" s="8" t="str">
        <f>HYPERLINK("https://drive.google.com/file/d/1cX9WIldZPP1YTAcf4UhMvOcJIlil_E6k/view?usp=drivesdk","WAHYU TANDRIYANTO, S.E SERTIFIKAT BerAKHLAK")</f>
        <v>WAHYU TANDRIYANTO, S.E SERTIFIKAT BerAKHLAK</v>
      </c>
      <c r="K137" s="5" t="s">
        <v>1126</v>
      </c>
      <c r="L137" s="5" t="s">
        <v>1503</v>
      </c>
    </row>
    <row r="138">
      <c r="A138" s="4">
        <v>45534.31436292824</v>
      </c>
      <c r="B138" s="5" t="s">
        <v>19</v>
      </c>
      <c r="C138" s="5" t="s">
        <v>442</v>
      </c>
      <c r="E138" s="5" t="s">
        <v>1509</v>
      </c>
      <c r="F138" s="5" t="s">
        <v>120</v>
      </c>
      <c r="G138" s="5" t="s">
        <v>1510</v>
      </c>
      <c r="H138" s="6" t="s">
        <v>1511</v>
      </c>
      <c r="I138" s="7" t="s">
        <v>1512</v>
      </c>
      <c r="J138" s="8" t="str">
        <f>HYPERLINK("https://drive.google.com/file/d/1p7fkGVt8f7z4hyepQqsPy0bjCBwTCqGT/view?usp=drivesdk","DEDY HARYUDI, S.KOM SERTIFIKAT BerAKHLAK")</f>
        <v>DEDY HARYUDI, S.KOM SERTIFIKAT BerAKHLAK</v>
      </c>
      <c r="K138" s="5" t="s">
        <v>1347</v>
      </c>
      <c r="L138" s="5" t="s">
        <v>1513</v>
      </c>
    </row>
    <row r="139">
      <c r="A139" s="4">
        <v>45534.31437008102</v>
      </c>
      <c r="B139" s="5" t="s">
        <v>34</v>
      </c>
      <c r="D139" s="5" t="s">
        <v>580</v>
      </c>
      <c r="E139" s="5" t="s">
        <v>1519</v>
      </c>
      <c r="F139" s="5" t="s">
        <v>108</v>
      </c>
      <c r="G139" s="5" t="s">
        <v>1520</v>
      </c>
      <c r="H139" s="6" t="s">
        <v>1521</v>
      </c>
      <c r="I139" s="7" t="s">
        <v>1522</v>
      </c>
      <c r="J139" s="8" t="str">
        <f>HYPERLINK("https://drive.google.com/file/d/1xQSu1rbZvSNIXkk6RW6L83D9zVAaUfha/view?usp=drivesdk","MADE SRI WAHYUNI, A.md SERTIFIKAT BerAKHLAK")</f>
        <v>MADE SRI WAHYUNI, A.md SERTIFIKAT BerAKHLAK</v>
      </c>
      <c r="K139" s="5" t="s">
        <v>1347</v>
      </c>
      <c r="L139" s="5" t="s">
        <v>1523</v>
      </c>
    </row>
    <row r="140">
      <c r="A140" s="4">
        <v>45534.31439289352</v>
      </c>
      <c r="B140" s="5" t="s">
        <v>34</v>
      </c>
      <c r="D140" s="5" t="s">
        <v>522</v>
      </c>
      <c r="E140" s="5" t="s">
        <v>1529</v>
      </c>
      <c r="F140" s="5" t="s">
        <v>108</v>
      </c>
      <c r="G140" s="5" t="s">
        <v>1530</v>
      </c>
      <c r="H140" s="6" t="s">
        <v>1531</v>
      </c>
      <c r="I140" s="7" t="s">
        <v>1532</v>
      </c>
      <c r="J140" s="8" t="str">
        <f>HYPERLINK("https://drive.google.com/file/d/1jL24LtjFvD1wahpMsDDiHBNzCZ6jN-r5/view?usp=drivesdk","dr. DWITYO RAHMAT SETIAWAN SERTIFIKAT BerAKHLAK")</f>
        <v>dr. DWITYO RAHMAT SETIAWAN SERTIFIKAT BerAKHLAK</v>
      </c>
      <c r="K140" s="5" t="s">
        <v>1126</v>
      </c>
      <c r="L140" s="5" t="s">
        <v>1533</v>
      </c>
    </row>
    <row r="141">
      <c r="A141" s="4">
        <v>45534.31440960648</v>
      </c>
      <c r="B141" s="5" t="s">
        <v>19</v>
      </c>
      <c r="C141" s="5" t="s">
        <v>292</v>
      </c>
      <c r="E141" s="5" t="s">
        <v>1540</v>
      </c>
      <c r="F141" s="5" t="s">
        <v>524</v>
      </c>
      <c r="G141" s="5" t="s">
        <v>1541</v>
      </c>
      <c r="H141" s="6" t="s">
        <v>1542</v>
      </c>
      <c r="I141" s="7" t="s">
        <v>1543</v>
      </c>
      <c r="J141" s="8" t="str">
        <f>HYPERLINK("https://drive.google.com/file/d/18sNs52-icVQ7tjF5R0zuP-lqlGjny6aV/view?usp=drivesdk","RINI JULAINI, S.E SERTIFIKAT BerAKHLAK")</f>
        <v>RINI JULAINI, S.E SERTIFIKAT BerAKHLAK</v>
      </c>
      <c r="K141" s="5" t="s">
        <v>1347</v>
      </c>
      <c r="L141" s="5" t="s">
        <v>1544</v>
      </c>
    </row>
    <row r="142">
      <c r="A142" s="4">
        <v>45534.31441253472</v>
      </c>
      <c r="B142" s="5" t="s">
        <v>34</v>
      </c>
      <c r="D142" s="5" t="s">
        <v>522</v>
      </c>
      <c r="E142" s="5" t="s">
        <v>1549</v>
      </c>
      <c r="F142" s="5" t="s">
        <v>375</v>
      </c>
      <c r="G142" s="5" t="s">
        <v>1550</v>
      </c>
      <c r="H142" s="6" t="s">
        <v>1551</v>
      </c>
      <c r="I142" s="7" t="s">
        <v>1552</v>
      </c>
      <c r="J142" s="8" t="str">
        <f>HYPERLINK("https://drive.google.com/file/d/1KMiMIZmX3w7NFucXHqN3aANxvaDoBmEV/view?usp=drivesdk","YUDHI SISWANTO ,S.E. SERTIFIKAT BerAKHLAK")</f>
        <v>YUDHI SISWANTO ,S.E. SERTIFIKAT BerAKHLAK</v>
      </c>
      <c r="K142" s="5" t="s">
        <v>1347</v>
      </c>
      <c r="L142" s="5" t="s">
        <v>1553</v>
      </c>
    </row>
    <row r="143">
      <c r="A143" s="4">
        <v>45534.314435810185</v>
      </c>
      <c r="B143" s="5" t="s">
        <v>34</v>
      </c>
      <c r="D143" s="5" t="s">
        <v>1558</v>
      </c>
      <c r="E143" s="5" t="s">
        <v>1559</v>
      </c>
      <c r="F143" s="5" t="s">
        <v>108</v>
      </c>
      <c r="G143" s="5" t="s">
        <v>1560</v>
      </c>
      <c r="H143" s="6" t="s">
        <v>1561</v>
      </c>
      <c r="I143" s="7" t="s">
        <v>1562</v>
      </c>
      <c r="J143" s="8" t="str">
        <f>HYPERLINK("https://drive.google.com/file/d/1u6-p9X7iFFtYg9qQ3z6cLLXuE5H8b-PA/view?usp=drivesdk","MEULYTA MEGA DEVI APSARI, A.Md SERTIFIKAT BerAKHLAK")</f>
        <v>MEULYTA MEGA DEVI APSARI, A.Md SERTIFIKAT BerAKHLAK</v>
      </c>
      <c r="K143" s="5" t="s">
        <v>1347</v>
      </c>
      <c r="L143" s="5" t="s">
        <v>1563</v>
      </c>
    </row>
    <row r="144">
      <c r="A144" s="4">
        <v>45534.31444314815</v>
      </c>
      <c r="B144" s="5" t="s">
        <v>34</v>
      </c>
      <c r="D144" s="5" t="s">
        <v>522</v>
      </c>
      <c r="E144" s="5" t="s">
        <v>1568</v>
      </c>
      <c r="F144" s="5" t="s">
        <v>212</v>
      </c>
      <c r="G144" s="5" t="s">
        <v>1569</v>
      </c>
      <c r="H144" s="6" t="s">
        <v>1570</v>
      </c>
      <c r="I144" s="7" t="s">
        <v>1571</v>
      </c>
      <c r="J144" s="8" t="str">
        <f>HYPERLINK("https://drive.google.com/file/d/1Agdtr2or4Tm0VK1qDrHNnny2x0oLur1-/view?usp=drivesdk","PENGATUR TK.I SAFRI SERTIFIKAT BerAKHLAK")</f>
        <v>PENGATUR TK.I SAFRI SERTIFIKAT BerAKHLAK</v>
      </c>
      <c r="K144" s="5" t="s">
        <v>1347</v>
      </c>
      <c r="L144" s="5" t="s">
        <v>1572</v>
      </c>
    </row>
    <row r="145">
      <c r="A145" s="4">
        <v>45534.31446146991</v>
      </c>
      <c r="B145" s="5" t="s">
        <v>34</v>
      </c>
      <c r="D145" s="5" t="s">
        <v>604</v>
      </c>
      <c r="E145" s="5" t="s">
        <v>1577</v>
      </c>
      <c r="F145" s="5" t="s">
        <v>72</v>
      </c>
      <c r="G145" s="5" t="s">
        <v>1578</v>
      </c>
      <c r="H145" s="6" t="s">
        <v>1579</v>
      </c>
      <c r="I145" s="7" t="s">
        <v>1580</v>
      </c>
      <c r="J145" s="8" t="str">
        <f>HYPERLINK("https://drive.google.com/file/d/1UeIFDraBc4i7mLWB2eHN-1VvNqZp1yrj/view?usp=drivesdk","dr. ANNISA R ALKATIRY SERTIFIKAT BerAKHLAK")</f>
        <v>dr. ANNISA R ALKATIRY SERTIFIKAT BerAKHLAK</v>
      </c>
      <c r="K145" s="5" t="s">
        <v>1347</v>
      </c>
      <c r="L145" s="5" t="s">
        <v>1581</v>
      </c>
    </row>
    <row r="146">
      <c r="A146" s="4">
        <v>45534.31451096065</v>
      </c>
      <c r="B146" s="5" t="s">
        <v>34</v>
      </c>
      <c r="D146" s="5" t="s">
        <v>996</v>
      </c>
      <c r="E146" s="5" t="s">
        <v>1588</v>
      </c>
      <c r="F146" s="5" t="s">
        <v>108</v>
      </c>
      <c r="G146" s="5" t="s">
        <v>1589</v>
      </c>
      <c r="H146" s="6" t="s">
        <v>1590</v>
      </c>
      <c r="I146" s="7" t="s">
        <v>1591</v>
      </c>
      <c r="J146" s="8" t="str">
        <f>HYPERLINK("https://drive.google.com/file/d/1cucldBBAvVluI1HYuiGsz_VRBrRVIfYc/view?usp=drivesdk","ARIS YULIYANTO, S.Kom., M.M. SERTIFIKAT BerAKHLAK")</f>
        <v>ARIS YULIYANTO, S.Kom., M.M. SERTIFIKAT BerAKHLAK</v>
      </c>
      <c r="K146" s="5" t="s">
        <v>1347</v>
      </c>
      <c r="L146" s="5" t="s">
        <v>1592</v>
      </c>
    </row>
    <row r="147">
      <c r="A147" s="4">
        <v>45534.31451888889</v>
      </c>
      <c r="B147" s="5" t="s">
        <v>34</v>
      </c>
      <c r="D147" s="5" t="s">
        <v>975</v>
      </c>
      <c r="E147" s="5" t="s">
        <v>1597</v>
      </c>
      <c r="F147" s="5" t="s">
        <v>72</v>
      </c>
      <c r="G147" s="5" t="s">
        <v>1598</v>
      </c>
      <c r="H147" s="6" t="s">
        <v>1599</v>
      </c>
      <c r="I147" s="7" t="s">
        <v>1600</v>
      </c>
      <c r="J147" s="8" t="str">
        <f>HYPERLINK("https://drive.google.com/file/d/1Sn0mbuul5gML1aNXKsL-ILmc3kgndPkp/view?usp=drivesdk","RAHMAWATI YUNI ASTUTI SERTIFIKAT BerAKHLAK")</f>
        <v>RAHMAWATI YUNI ASTUTI SERTIFIKAT BerAKHLAK</v>
      </c>
      <c r="K147" s="5" t="s">
        <v>1347</v>
      </c>
      <c r="L147" s="5" t="s">
        <v>1601</v>
      </c>
    </row>
    <row r="148">
      <c r="A148" s="4">
        <v>45534.314561666666</v>
      </c>
      <c r="B148" s="5" t="s">
        <v>19</v>
      </c>
      <c r="C148" s="5" t="s">
        <v>1606</v>
      </c>
      <c r="E148" s="5" t="s">
        <v>1607</v>
      </c>
      <c r="F148" s="5" t="s">
        <v>375</v>
      </c>
      <c r="G148" s="5" t="s">
        <v>1608</v>
      </c>
      <c r="H148" s="6" t="s">
        <v>1609</v>
      </c>
      <c r="I148" s="7" t="s">
        <v>1610</v>
      </c>
      <c r="J148" s="8" t="str">
        <f>HYPERLINK("https://drive.google.com/file/d/102gfRy2DX28pb69ky27ipeR9BHSxlz4i/view?usp=drivesdk","NINING NURNANINGSIH, S.E. SERTIFIKAT BerAKHLAK")</f>
        <v>NINING NURNANINGSIH, S.E. SERTIFIKAT BerAKHLAK</v>
      </c>
      <c r="K148" s="5" t="s">
        <v>1347</v>
      </c>
      <c r="L148" s="5" t="s">
        <v>1611</v>
      </c>
    </row>
    <row r="149">
      <c r="A149" s="4">
        <v>45534.314620613426</v>
      </c>
      <c r="B149" s="5" t="s">
        <v>34</v>
      </c>
      <c r="D149" s="5" t="s">
        <v>35</v>
      </c>
      <c r="E149" s="5" t="s">
        <v>1616</v>
      </c>
      <c r="F149" s="5" t="s">
        <v>72</v>
      </c>
      <c r="G149" s="5" t="s">
        <v>1617</v>
      </c>
      <c r="H149" s="6" t="s">
        <v>1618</v>
      </c>
      <c r="I149" s="7" t="s">
        <v>1619</v>
      </c>
      <c r="J149" s="8" t="str">
        <f>HYPERLINK("https://drive.google.com/file/d/1T67Zom4EkSxrFPQ-NcKvrfl8qLT9w-VR/view?usp=drivesdk","PENATA NOVI SRI MANTINI. S.KOM SERTIFIKAT BerAKHLAK")</f>
        <v>PENATA NOVI SRI MANTINI. S.KOM SERTIFIKAT BerAKHLAK</v>
      </c>
      <c r="K149" s="5" t="s">
        <v>1347</v>
      </c>
      <c r="L149" s="5" t="s">
        <v>1620</v>
      </c>
    </row>
    <row r="150">
      <c r="A150" s="4">
        <v>45534.31462483796</v>
      </c>
      <c r="B150" s="5" t="s">
        <v>19</v>
      </c>
      <c r="C150" s="5" t="s">
        <v>292</v>
      </c>
      <c r="E150" s="5" t="s">
        <v>1625</v>
      </c>
      <c r="F150" s="5" t="s">
        <v>37</v>
      </c>
      <c r="G150" s="5" t="s">
        <v>1626</v>
      </c>
      <c r="H150" s="6" t="s">
        <v>1627</v>
      </c>
      <c r="I150" s="7" t="s">
        <v>1628</v>
      </c>
      <c r="J150" s="8" t="str">
        <f>HYPERLINK("https://drive.google.com/file/d/15sOIl5sqW5GLl6KGMcjFopWv-GPv7T85/view?usp=drivesdk","RIKKY SAEPUDIN AMDR. RAD SERTIFIKAT BerAKHLAK")</f>
        <v>RIKKY SAEPUDIN AMDR. RAD SERTIFIKAT BerAKHLAK</v>
      </c>
      <c r="K150" s="5" t="s">
        <v>1347</v>
      </c>
      <c r="L150" s="5" t="s">
        <v>1629</v>
      </c>
    </row>
    <row r="151">
      <c r="A151" s="4">
        <v>45534.314677083334</v>
      </c>
      <c r="B151" s="5" t="s">
        <v>19</v>
      </c>
      <c r="C151" s="5" t="s">
        <v>292</v>
      </c>
      <c r="E151" s="5" t="s">
        <v>1635</v>
      </c>
      <c r="F151" s="5" t="s">
        <v>524</v>
      </c>
      <c r="G151" s="5" t="s">
        <v>1636</v>
      </c>
      <c r="H151" s="6" t="s">
        <v>1637</v>
      </c>
      <c r="I151" s="7" t="s">
        <v>1638</v>
      </c>
      <c r="J151" s="8" t="str">
        <f>HYPERLINK("https://drive.google.com/file/d/1m_6_ZiKbSpVDPu9bOJ7JHNsSk6gzyyq8/view?usp=drivesdk","RATIH SUTIYA PRATIWI, SM SERTIFIKAT BerAKHLAK")</f>
        <v>RATIH SUTIYA PRATIWI, SM SERTIFIKAT BerAKHLAK</v>
      </c>
      <c r="K151" s="5" t="s">
        <v>1347</v>
      </c>
      <c r="L151" s="5" t="s">
        <v>1639</v>
      </c>
    </row>
    <row r="152">
      <c r="A152" s="4">
        <v>45534.31468040509</v>
      </c>
      <c r="B152" s="5" t="s">
        <v>34</v>
      </c>
      <c r="D152" s="5" t="s">
        <v>35</v>
      </c>
      <c r="E152" s="5" t="s">
        <v>1644</v>
      </c>
      <c r="F152" s="5" t="s">
        <v>37</v>
      </c>
      <c r="G152" s="5" t="s">
        <v>1645</v>
      </c>
      <c r="H152" s="6" t="s">
        <v>1646</v>
      </c>
      <c r="I152" s="7" t="s">
        <v>1647</v>
      </c>
      <c r="J152" s="8" t="str">
        <f>HYPERLINK("https://drive.google.com/file/d/1tOqEFAXqgMW6u5tSOIKKT2RNdqv5TSgs/view?usp=drivesdk","ROHMAT AGUNG SURANTO SERTIFIKAT BerAKHLAK")</f>
        <v>ROHMAT AGUNG SURANTO SERTIFIKAT BerAKHLAK</v>
      </c>
      <c r="K152" s="5" t="s">
        <v>1347</v>
      </c>
      <c r="L152" s="5" t="s">
        <v>1648</v>
      </c>
    </row>
    <row r="153">
      <c r="A153" s="4">
        <v>45534.314693402775</v>
      </c>
      <c r="B153" s="5" t="s">
        <v>34</v>
      </c>
      <c r="D153" s="5" t="s">
        <v>975</v>
      </c>
      <c r="E153" s="5" t="s">
        <v>1654</v>
      </c>
      <c r="F153" s="5" t="s">
        <v>72</v>
      </c>
      <c r="G153" s="5" t="s">
        <v>1655</v>
      </c>
      <c r="H153" s="6" t="s">
        <v>1656</v>
      </c>
      <c r="I153" s="7" t="s">
        <v>1657</v>
      </c>
      <c r="J153" s="8" t="str">
        <f>HYPERLINK("https://drive.google.com/file/d/1SivD4ylkZHuETUYi3SjObFgZ869swKOX/view?usp=drivesdk","YANTI ROSEVA SIPAHUTAR ,AMD.KEB SERTIFIKAT BerAKHLAK")</f>
        <v>YANTI ROSEVA SIPAHUTAR ,AMD.KEB SERTIFIKAT BerAKHLAK</v>
      </c>
      <c r="K153" s="5" t="s">
        <v>1347</v>
      </c>
      <c r="L153" s="5" t="s">
        <v>1658</v>
      </c>
    </row>
    <row r="154">
      <c r="A154" s="4">
        <v>45534.31472188658</v>
      </c>
      <c r="B154" s="5" t="s">
        <v>34</v>
      </c>
      <c r="D154" s="5" t="s">
        <v>1663</v>
      </c>
      <c r="E154" s="5" t="s">
        <v>1664</v>
      </c>
      <c r="F154" s="5" t="s">
        <v>108</v>
      </c>
      <c r="G154" s="5" t="s">
        <v>1665</v>
      </c>
      <c r="H154" s="6" t="s">
        <v>1666</v>
      </c>
      <c r="I154" s="7" t="s">
        <v>1667</v>
      </c>
      <c r="J154" s="8" t="str">
        <f>HYPERLINK("https://drive.google.com/file/d/1VC97V5XB9O8CqdOChmaH7JyYjKlMm9KV/view?usp=drivesdk","dr. NOVELINA IRIANTI DAMANIK SERTIFIKAT BerAKHLAK")</f>
        <v>dr. NOVELINA IRIANTI DAMANIK SERTIFIKAT BerAKHLAK</v>
      </c>
      <c r="K154" s="5" t="s">
        <v>1347</v>
      </c>
      <c r="L154" s="5" t="s">
        <v>1668</v>
      </c>
    </row>
    <row r="155">
      <c r="A155" s="4">
        <v>45534.31473608797</v>
      </c>
      <c r="B155" s="5" t="s">
        <v>34</v>
      </c>
      <c r="D155" s="5" t="s">
        <v>35</v>
      </c>
      <c r="E155" s="5" t="s">
        <v>1673</v>
      </c>
      <c r="F155" s="5" t="s">
        <v>72</v>
      </c>
      <c r="G155" s="5" t="s">
        <v>1674</v>
      </c>
      <c r="H155" s="6" t="s">
        <v>1675</v>
      </c>
      <c r="I155" s="7" t="s">
        <v>1676</v>
      </c>
      <c r="J155" s="8" t="str">
        <f>HYPERLINK("https://drive.google.com/file/d/19474jNRMXBV90N9w6uHucO6lc20pSdr9/view?usp=drivesdk","DIDIN SAEPUDIN, A.Md SERTIFIKAT BerAKHLAK")</f>
        <v>DIDIN SAEPUDIN, A.Md SERTIFIKAT BerAKHLAK</v>
      </c>
      <c r="K155" s="5" t="s">
        <v>1347</v>
      </c>
      <c r="L155" s="5" t="s">
        <v>1677</v>
      </c>
    </row>
    <row r="156">
      <c r="A156" s="4">
        <v>45534.31476678241</v>
      </c>
      <c r="B156" s="5" t="s">
        <v>19</v>
      </c>
      <c r="C156" s="5" t="s">
        <v>292</v>
      </c>
      <c r="E156" s="5" t="s">
        <v>1683</v>
      </c>
      <c r="F156" s="5" t="s">
        <v>524</v>
      </c>
      <c r="G156" s="5" t="s">
        <v>1684</v>
      </c>
      <c r="H156" s="6" t="s">
        <v>1685</v>
      </c>
      <c r="I156" s="7" t="s">
        <v>1686</v>
      </c>
      <c r="J156" s="8" t="str">
        <f>HYPERLINK("https://drive.google.com/file/d/1XjgLsouqoPU8I8tbJeoCjhP9ow5WPKxC/view?usp=drivesdk","NENI NURAENY, S.AP SERTIFIKAT BerAKHLAK")</f>
        <v>NENI NURAENY, S.AP SERTIFIKAT BerAKHLAK</v>
      </c>
      <c r="K156" s="5" t="s">
        <v>1347</v>
      </c>
      <c r="L156" s="5" t="s">
        <v>1687</v>
      </c>
    </row>
    <row r="157">
      <c r="A157" s="4">
        <v>45534.31478260417</v>
      </c>
      <c r="B157" s="5" t="s">
        <v>34</v>
      </c>
      <c r="D157" s="5" t="s">
        <v>1692</v>
      </c>
      <c r="E157" s="5" t="s">
        <v>1693</v>
      </c>
      <c r="F157" s="5" t="s">
        <v>22</v>
      </c>
      <c r="G157" s="5" t="s">
        <v>1694</v>
      </c>
      <c r="H157" s="6" t="s">
        <v>1695</v>
      </c>
      <c r="I157" s="7" t="s">
        <v>1696</v>
      </c>
      <c r="J157" s="8" t="str">
        <f>HYPERLINK("https://drive.google.com/file/d/139MPdYJsUkYvOEmzz-y6ZY-0EyEcSLhf/view?usp=drivesdk","MAX RUDOLF R MANUSIWA, SH  SERTIFIKAT BerAKHLAK")</f>
        <v>MAX RUDOLF R MANUSIWA, SH  SERTIFIKAT BerAKHLAK</v>
      </c>
      <c r="K157" s="5" t="s">
        <v>1347</v>
      </c>
      <c r="L157" s="5" t="s">
        <v>1697</v>
      </c>
    </row>
    <row r="158">
      <c r="A158" s="4">
        <v>45534.314797824074</v>
      </c>
      <c r="B158" s="5" t="s">
        <v>34</v>
      </c>
      <c r="D158" s="5" t="s">
        <v>522</v>
      </c>
      <c r="E158" s="5" t="s">
        <v>1703</v>
      </c>
      <c r="F158" s="5" t="s">
        <v>72</v>
      </c>
      <c r="G158" s="5" t="s">
        <v>1704</v>
      </c>
      <c r="H158" s="6" t="s">
        <v>1705</v>
      </c>
      <c r="I158" s="7" t="s">
        <v>1706</v>
      </c>
      <c r="J158" s="8" t="str">
        <f>HYPERLINK("https://drive.google.com/file/d/1Jy8FxGSqaij4r-EzptyHZ0BdDM1Xzcf2/view?usp=drivesdk","M. ERHAN DWITYA SANRIMA, A.Md., S.E. SERTIFIKAT BerAKHLAK")</f>
        <v>M. ERHAN DWITYA SANRIMA, A.Md., S.E. SERTIFIKAT BerAKHLAK</v>
      </c>
      <c r="K158" s="5" t="s">
        <v>1347</v>
      </c>
      <c r="L158" s="5" t="s">
        <v>1707</v>
      </c>
    </row>
    <row r="159">
      <c r="A159" s="4">
        <v>45534.31480502315</v>
      </c>
      <c r="B159" s="5" t="s">
        <v>34</v>
      </c>
      <c r="D159" s="5" t="s">
        <v>35</v>
      </c>
      <c r="E159" s="5" t="s">
        <v>1712</v>
      </c>
      <c r="F159" s="5" t="s">
        <v>212</v>
      </c>
      <c r="G159" s="5" t="s">
        <v>1713</v>
      </c>
      <c r="H159" s="6" t="s">
        <v>1714</v>
      </c>
      <c r="I159" s="7" t="s">
        <v>1715</v>
      </c>
      <c r="J159" s="8" t="str">
        <f>HYPERLINK("https://drive.google.com/file/d/1L1DZZotScp8H-VjI_udp1aB1hf_D7rLp/view?usp=drivesdk","LINA ARDIANI, Amd.Keb SERTIFIKAT BerAKHLAK")</f>
        <v>LINA ARDIANI, Amd.Keb SERTIFIKAT BerAKHLAK</v>
      </c>
      <c r="K159" s="5" t="s">
        <v>1347</v>
      </c>
      <c r="L159" s="5" t="s">
        <v>1716</v>
      </c>
    </row>
    <row r="160">
      <c r="A160" s="4">
        <v>45534.31481556713</v>
      </c>
      <c r="B160" s="5" t="s">
        <v>34</v>
      </c>
      <c r="D160" s="5" t="s">
        <v>580</v>
      </c>
      <c r="E160" s="5" t="s">
        <v>1721</v>
      </c>
      <c r="F160" s="5" t="s">
        <v>375</v>
      </c>
      <c r="G160" s="5" t="s">
        <v>1722</v>
      </c>
      <c r="H160" s="6" t="s">
        <v>1723</v>
      </c>
      <c r="I160" s="7" t="s">
        <v>1724</v>
      </c>
      <c r="J160" s="8" t="str">
        <f>HYPERLINK("https://drive.google.com/file/d/1vvDNy8VJvaairg4QLFrvEXh_a8WpCwgb/view?usp=drivesdk","I DEWA GDE MGURAH MAHARDHIKA, S.E. SERTIFIKAT BerAKHLAK")</f>
        <v>I DEWA GDE MGURAH MAHARDHIKA, S.E. SERTIFIKAT BerAKHLAK</v>
      </c>
      <c r="K160" s="5" t="s">
        <v>1347</v>
      </c>
      <c r="L160" s="5" t="s">
        <v>1725</v>
      </c>
    </row>
    <row r="161">
      <c r="A161" s="4">
        <v>45534.314837708334</v>
      </c>
      <c r="B161" s="5" t="s">
        <v>19</v>
      </c>
      <c r="C161" s="5" t="s">
        <v>292</v>
      </c>
      <c r="E161" s="5" t="s">
        <v>1731</v>
      </c>
      <c r="F161" s="5" t="s">
        <v>375</v>
      </c>
      <c r="G161" s="5" t="s">
        <v>1732</v>
      </c>
      <c r="H161" s="6" t="s">
        <v>1733</v>
      </c>
      <c r="I161" s="7" t="s">
        <v>1734</v>
      </c>
      <c r="J161" s="8" t="str">
        <f>HYPERLINK("https://drive.google.com/file/d/188fH39q8v2UT3Za-I9le-LzR-f4bIkY0/view?usp=drivesdk","EPI SUPYATMAN SERTIFIKAT BerAKHLAK")</f>
        <v>EPI SUPYATMAN SERTIFIKAT BerAKHLAK</v>
      </c>
      <c r="K161" s="5" t="s">
        <v>1347</v>
      </c>
      <c r="L161" s="5" t="s">
        <v>1735</v>
      </c>
    </row>
    <row r="162">
      <c r="A162" s="4">
        <v>45534.31485094907</v>
      </c>
      <c r="B162" s="5" t="s">
        <v>34</v>
      </c>
      <c r="D162" s="5" t="s">
        <v>522</v>
      </c>
      <c r="E162" s="5" t="s">
        <v>1741</v>
      </c>
      <c r="F162" s="5" t="s">
        <v>37</v>
      </c>
      <c r="G162" s="5" t="s">
        <v>1742</v>
      </c>
      <c r="H162" s="6" t="s">
        <v>1743</v>
      </c>
      <c r="I162" s="7" t="s">
        <v>1744</v>
      </c>
      <c r="J162" s="8" t="str">
        <f>HYPERLINK("https://drive.google.com/file/d/15DZ1_kuk7rzpbDuMPgzb92phW_h2YXba/view?usp=drivesdk","PENGATUR SOLIHIN SERTIFIKAT BerAKHLAK")</f>
        <v>PENGATUR SOLIHIN SERTIFIKAT BerAKHLAK</v>
      </c>
      <c r="K162" s="5" t="s">
        <v>1347</v>
      </c>
      <c r="L162" s="5" t="s">
        <v>1745</v>
      </c>
    </row>
    <row r="163">
      <c r="A163" s="4">
        <v>45534.31486976852</v>
      </c>
      <c r="B163" s="5" t="s">
        <v>34</v>
      </c>
      <c r="D163" s="5" t="s">
        <v>522</v>
      </c>
      <c r="E163" s="5" t="s">
        <v>1750</v>
      </c>
      <c r="F163" s="5" t="s">
        <v>37</v>
      </c>
      <c r="G163" s="5" t="s">
        <v>1751</v>
      </c>
      <c r="H163" s="6" t="s">
        <v>1752</v>
      </c>
      <c r="I163" s="7" t="s">
        <v>1753</v>
      </c>
      <c r="J163" s="8" t="str">
        <f>HYPERLINK("https://drive.google.com/file/d/1FyxABdG3mfrRGHmRBiXIXkhMBp72-z4p/view?usp=drivesdk","PENGATUR SUKARNI SERTIFIKAT BerAKHLAK")</f>
        <v>PENGATUR SUKARNI SERTIFIKAT BerAKHLAK</v>
      </c>
      <c r="K163" s="5" t="s">
        <v>1347</v>
      </c>
      <c r="L163" s="5" t="s">
        <v>1754</v>
      </c>
    </row>
    <row r="164">
      <c r="A164" s="4">
        <v>45534.31487416667</v>
      </c>
      <c r="B164" s="5" t="s">
        <v>34</v>
      </c>
      <c r="D164" s="5" t="s">
        <v>35</v>
      </c>
      <c r="E164" s="5" t="s">
        <v>1759</v>
      </c>
      <c r="F164" s="5" t="s">
        <v>212</v>
      </c>
      <c r="G164" s="5" t="s">
        <v>1760</v>
      </c>
      <c r="H164" s="6" t="s">
        <v>1761</v>
      </c>
      <c r="I164" s="7" t="s">
        <v>1762</v>
      </c>
      <c r="J164" s="8" t="str">
        <f>HYPERLINK("https://drive.google.com/file/d/1MQoGlAeZXQCOZvM3inC_qW_mlbvNJG_w/view?usp=drivesdk","ENDANG SUHANDI, S.H. SERTIFIKAT BerAKHLAK")</f>
        <v>ENDANG SUHANDI, S.H. SERTIFIKAT BerAKHLAK</v>
      </c>
      <c r="K164" s="5" t="s">
        <v>1347</v>
      </c>
      <c r="L164" s="5" t="s">
        <v>1763</v>
      </c>
    </row>
    <row r="165">
      <c r="A165" s="4">
        <v>45534.314876006945</v>
      </c>
      <c r="B165" s="5" t="s">
        <v>34</v>
      </c>
      <c r="D165" s="5" t="s">
        <v>1768</v>
      </c>
      <c r="E165" s="5" t="s">
        <v>1769</v>
      </c>
      <c r="F165" s="5" t="s">
        <v>120</v>
      </c>
      <c r="G165" s="5" t="s">
        <v>1770</v>
      </c>
      <c r="H165" s="6" t="s">
        <v>1771</v>
      </c>
      <c r="I165" s="7" t="s">
        <v>1772</v>
      </c>
      <c r="J165" s="8" t="str">
        <f>HYPERLINK("https://drive.google.com/file/d/1thnAfODnwHAynXF1khzRKkd-Epdr_fbY/view?usp=drivesdk","NI PUTU PENTY ARIANI, S.H. SERTIFIKAT BerAKHLAK")</f>
        <v>NI PUTU PENTY ARIANI, S.H. SERTIFIKAT BerAKHLAK</v>
      </c>
      <c r="K165" s="5" t="s">
        <v>1773</v>
      </c>
      <c r="L165" s="5" t="s">
        <v>1774</v>
      </c>
    </row>
    <row r="166">
      <c r="A166" s="4">
        <v>45534.314882499995</v>
      </c>
      <c r="B166" s="5" t="s">
        <v>19</v>
      </c>
      <c r="C166" s="5" t="s">
        <v>292</v>
      </c>
      <c r="E166" s="5" t="s">
        <v>1779</v>
      </c>
      <c r="F166" s="5" t="s">
        <v>72</v>
      </c>
      <c r="G166" s="5" t="s">
        <v>1780</v>
      </c>
      <c r="H166" s="6" t="s">
        <v>1781</v>
      </c>
      <c r="I166" s="7" t="s">
        <v>1782</v>
      </c>
      <c r="J166" s="8" t="str">
        <f>HYPERLINK("https://drive.google.com/file/d/19EtYct1WItyvFT6KDS5t1GjICu4vPgdb/view?usp=drivesdk","SEPTA MAULANA, S.IP., M.Si. SERTIFIKAT BerAKHLAK")</f>
        <v>SEPTA MAULANA, S.IP., M.Si. SERTIFIKAT BerAKHLAK</v>
      </c>
      <c r="K166" s="5" t="s">
        <v>1347</v>
      </c>
      <c r="L166" s="5" t="s">
        <v>1783</v>
      </c>
    </row>
    <row r="167">
      <c r="A167" s="4">
        <v>45534.31490887731</v>
      </c>
      <c r="B167" s="5" t="s">
        <v>19</v>
      </c>
      <c r="C167" s="5" t="s">
        <v>292</v>
      </c>
      <c r="E167" s="5" t="s">
        <v>1789</v>
      </c>
      <c r="F167" s="5" t="s">
        <v>37</v>
      </c>
      <c r="G167" s="5" t="s">
        <v>1790</v>
      </c>
      <c r="H167" s="6" t="s">
        <v>1791</v>
      </c>
      <c r="I167" s="7" t="s">
        <v>1792</v>
      </c>
      <c r="J167" s="8" t="str">
        <f>HYPERLINK("https://drive.google.com/file/d/13yG86gDbCoBzLQyOMqd0vOnUWNn_WSGJ/view?usp=drivesdk","EROS ROSIDAH S.pd SERTIFIKAT BerAKHLAK")</f>
        <v>EROS ROSIDAH S.pd SERTIFIKAT BerAKHLAK</v>
      </c>
      <c r="K167" s="5" t="s">
        <v>1347</v>
      </c>
      <c r="L167" s="5" t="s">
        <v>1793</v>
      </c>
    </row>
    <row r="168">
      <c r="A168" s="4">
        <v>45534.31493769676</v>
      </c>
      <c r="B168" s="5" t="s">
        <v>34</v>
      </c>
      <c r="D168" s="5" t="s">
        <v>35</v>
      </c>
      <c r="E168" s="5" t="s">
        <v>1798</v>
      </c>
      <c r="F168" s="5" t="s">
        <v>72</v>
      </c>
      <c r="G168" s="5" t="s">
        <v>1799</v>
      </c>
      <c r="H168" s="6" t="s">
        <v>1800</v>
      </c>
      <c r="I168" s="7" t="s">
        <v>1801</v>
      </c>
      <c r="J168" s="8" t="str">
        <f>HYPERLINK("https://drive.google.com/file/d/1dwquueAHET6s2BNn8z53IHIxj5BiEY_c/view?usp=drivesdk","ARMAN JARDIANTO, S.Si. SERTIFIKAT BerAKHLAK")</f>
        <v>ARMAN JARDIANTO, S.Si. SERTIFIKAT BerAKHLAK</v>
      </c>
      <c r="K168" s="5" t="s">
        <v>1773</v>
      </c>
      <c r="L168" s="5" t="s">
        <v>1802</v>
      </c>
    </row>
    <row r="169">
      <c r="A169" s="4">
        <v>45534.31495315972</v>
      </c>
      <c r="B169" s="5" t="s">
        <v>34</v>
      </c>
      <c r="D169" s="5" t="s">
        <v>1768</v>
      </c>
      <c r="E169" s="5" t="s">
        <v>1808</v>
      </c>
      <c r="F169" s="5" t="s">
        <v>375</v>
      </c>
      <c r="G169" s="5" t="s">
        <v>1809</v>
      </c>
      <c r="H169" s="6" t="s">
        <v>1810</v>
      </c>
      <c r="I169" s="7" t="s">
        <v>1811</v>
      </c>
      <c r="J169" s="8" t="str">
        <f>HYPERLINK("https://drive.google.com/file/d/1ZUZx9x56NAx48fmZgvM26oTR7nzK3k0O/view?usp=drivesdk","PRIMA NIENDYA SUKMA DHEWANI, S.T. SERTIFIKAT BerAKHLAK")</f>
        <v>PRIMA NIENDYA SUKMA DHEWANI, S.T. SERTIFIKAT BerAKHLAK</v>
      </c>
      <c r="K169" s="5" t="s">
        <v>1347</v>
      </c>
      <c r="L169" s="5" t="s">
        <v>1812</v>
      </c>
    </row>
    <row r="170">
      <c r="A170" s="4">
        <v>45534.31495828704</v>
      </c>
      <c r="B170" s="5" t="s">
        <v>34</v>
      </c>
      <c r="D170" s="5" t="s">
        <v>580</v>
      </c>
      <c r="E170" s="5" t="s">
        <v>1817</v>
      </c>
      <c r="F170" s="5" t="s">
        <v>72</v>
      </c>
      <c r="G170" s="5" t="s">
        <v>1818</v>
      </c>
      <c r="H170" s="6" t="s">
        <v>1819</v>
      </c>
      <c r="I170" s="7" t="s">
        <v>1820</v>
      </c>
      <c r="J170" s="8" t="str">
        <f>HYPERLINK("https://drive.google.com/file/d/11ndDDzfMbvdoBRqwtD9lk9CC4OLHH4Qf/view?usp=drivesdk","I GUSTI AGUNG AYU SUGIASIH SERTIFIKAT BerAKHLAK")</f>
        <v>I GUSTI AGUNG AYU SUGIASIH SERTIFIKAT BerAKHLAK</v>
      </c>
      <c r="K170" s="5" t="s">
        <v>1347</v>
      </c>
      <c r="L170" s="5" t="s">
        <v>1821</v>
      </c>
    </row>
    <row r="171">
      <c r="A171" s="4">
        <v>45534.31497670139</v>
      </c>
      <c r="B171" s="5" t="s">
        <v>34</v>
      </c>
      <c r="D171" s="5" t="s">
        <v>580</v>
      </c>
      <c r="E171" s="5" t="s">
        <v>1826</v>
      </c>
      <c r="F171" s="5" t="s">
        <v>524</v>
      </c>
      <c r="G171" s="5" t="s">
        <v>1827</v>
      </c>
      <c r="H171" s="6" t="s">
        <v>1828</v>
      </c>
      <c r="I171" s="7" t="s">
        <v>1829</v>
      </c>
      <c r="J171" s="8" t="str">
        <f>HYPERLINK("https://drive.google.com/file/d/1R5YggenJ0-eILwFlVSLW907gFG89g5Lq/view?usp=drivesdk","NI PUTU JULIARI EKA JAYANTINI SERTIFIKAT BerAKHLAK")</f>
        <v>NI PUTU JULIARI EKA JAYANTINI SERTIFIKAT BerAKHLAK</v>
      </c>
      <c r="K171" s="5" t="s">
        <v>1773</v>
      </c>
      <c r="L171" s="5" t="s">
        <v>1830</v>
      </c>
    </row>
    <row r="172">
      <c r="A172" s="4">
        <v>45534.3149968287</v>
      </c>
      <c r="B172" s="5" t="s">
        <v>34</v>
      </c>
      <c r="D172" s="5" t="s">
        <v>362</v>
      </c>
      <c r="E172" s="5" t="s">
        <v>1835</v>
      </c>
      <c r="F172" s="5" t="s">
        <v>37</v>
      </c>
      <c r="G172" s="5" t="s">
        <v>1836</v>
      </c>
      <c r="H172" s="6" t="s">
        <v>1837</v>
      </c>
      <c r="I172" s="7" t="s">
        <v>1838</v>
      </c>
      <c r="J172" s="8" t="str">
        <f>HYPERLINK("https://drive.google.com/file/d/1OHoF6MwNChb1D8B02g2wudt54SKil8QO/view?usp=drivesdk","HERIYANI, A.MD.FARM SERTIFIKAT BerAKHLAK")</f>
        <v>HERIYANI, A.MD.FARM SERTIFIKAT BerAKHLAK</v>
      </c>
      <c r="K172" s="5" t="s">
        <v>1347</v>
      </c>
      <c r="L172" s="5" t="s">
        <v>1839</v>
      </c>
    </row>
    <row r="173">
      <c r="A173" s="4">
        <v>45534.315007384255</v>
      </c>
      <c r="B173" s="5" t="s">
        <v>19</v>
      </c>
      <c r="C173" s="5" t="s">
        <v>292</v>
      </c>
      <c r="E173" s="5" t="s">
        <v>1845</v>
      </c>
      <c r="F173" s="5" t="s">
        <v>375</v>
      </c>
      <c r="G173" s="5" t="s">
        <v>1846</v>
      </c>
      <c r="H173" s="6" t="s">
        <v>1847</v>
      </c>
      <c r="I173" s="7" t="s">
        <v>1848</v>
      </c>
      <c r="J173" s="8" t="str">
        <f>HYPERLINK("https://drive.google.com/file/d/1nx9Ssadd8dw-EMXe2-6ewCNsQVXBqykZ/view?usp=drivesdk","TUTI SITI NURYAMAH SERTIFIKAT BerAKHLAK")</f>
        <v>TUTI SITI NURYAMAH SERTIFIKAT BerAKHLAK</v>
      </c>
      <c r="K173" s="5" t="s">
        <v>1773</v>
      </c>
      <c r="L173" s="5" t="s">
        <v>1849</v>
      </c>
    </row>
    <row r="174">
      <c r="A174" s="4">
        <v>45534.315032569444</v>
      </c>
      <c r="B174" s="5" t="s">
        <v>34</v>
      </c>
      <c r="D174" s="5" t="s">
        <v>996</v>
      </c>
      <c r="E174" s="5" t="s">
        <v>1854</v>
      </c>
      <c r="F174" s="5" t="s">
        <v>212</v>
      </c>
      <c r="G174" s="5" t="s">
        <v>1855</v>
      </c>
      <c r="H174" s="6" t="s">
        <v>1856</v>
      </c>
      <c r="I174" s="7" t="s">
        <v>1857</v>
      </c>
      <c r="J174" s="8" t="str">
        <f>HYPERLINK("https://drive.google.com/file/d/1fZiJ2aVY6ZMyAbAZdQ4igjrjC3MeTRrQ/view?usp=drivesdk","IKA PURNAMA SARI SERTIFIKAT BerAKHLAK")</f>
        <v>IKA PURNAMA SARI SERTIFIKAT BerAKHLAK</v>
      </c>
      <c r="K174" s="5" t="s">
        <v>1347</v>
      </c>
      <c r="L174" s="5" t="s">
        <v>1858</v>
      </c>
    </row>
    <row r="175">
      <c r="A175" s="4">
        <v>45534.315039444446</v>
      </c>
      <c r="B175" s="5" t="s">
        <v>34</v>
      </c>
      <c r="D175" s="5" t="s">
        <v>267</v>
      </c>
      <c r="E175" s="5" t="s">
        <v>1864</v>
      </c>
      <c r="F175" s="5" t="s">
        <v>375</v>
      </c>
      <c r="G175" s="5" t="s">
        <v>1865</v>
      </c>
      <c r="H175" s="6" t="s">
        <v>1866</v>
      </c>
      <c r="I175" s="7" t="s">
        <v>1867</v>
      </c>
      <c r="J175" s="8" t="str">
        <f>HYPERLINK("https://drive.google.com/file/d/1_0uJ80LsoKYeKc7sRG7tHo0RZ0qhj8Ot/view?usp=drivesdk","SRI MEI DWIJANTI, S.Pd SERTIFIKAT BerAKHLAK")</f>
        <v>SRI MEI DWIJANTI, S.Pd SERTIFIKAT BerAKHLAK</v>
      </c>
      <c r="K175" s="5" t="s">
        <v>1347</v>
      </c>
      <c r="L175" s="5" t="s">
        <v>1868</v>
      </c>
    </row>
    <row r="176">
      <c r="A176" s="4">
        <v>45534.31507780093</v>
      </c>
      <c r="B176" s="5" t="s">
        <v>34</v>
      </c>
      <c r="D176" s="5" t="s">
        <v>522</v>
      </c>
      <c r="E176" s="5" t="s">
        <v>1873</v>
      </c>
      <c r="F176" s="5" t="s">
        <v>715</v>
      </c>
      <c r="G176" s="5" t="s">
        <v>1874</v>
      </c>
      <c r="H176" s="6" t="s">
        <v>1875</v>
      </c>
      <c r="I176" s="7" t="s">
        <v>1876</v>
      </c>
      <c r="J176" s="8" t="str">
        <f>HYPERLINK("https://drive.google.com/file/d/1Dhkehh3zHXq3A5lAjgdW36ES6DAOpYtL/view?usp=drivesdk","NI YOMAN YASMINI Amd. kes SERTIFIKAT BerAKHLAK")</f>
        <v>NI YOMAN YASMINI Amd. kes SERTIFIKAT BerAKHLAK</v>
      </c>
      <c r="K176" s="5" t="s">
        <v>1773</v>
      </c>
      <c r="L176" s="5" t="s">
        <v>1877</v>
      </c>
    </row>
    <row r="177">
      <c r="A177" s="4">
        <v>45534.31509949074</v>
      </c>
      <c r="B177" s="5" t="s">
        <v>34</v>
      </c>
      <c r="D177" s="5" t="s">
        <v>580</v>
      </c>
      <c r="E177" s="5" t="s">
        <v>1882</v>
      </c>
      <c r="F177" s="5" t="s">
        <v>72</v>
      </c>
      <c r="G177" s="5" t="s">
        <v>1883</v>
      </c>
      <c r="H177" s="6" t="s">
        <v>1884</v>
      </c>
      <c r="I177" s="7" t="s">
        <v>1885</v>
      </c>
      <c r="J177" s="8" t="str">
        <f>HYPERLINK("https://drive.google.com/file/d/1pGKXPd-u1zfIMBA0dQBKXCYOfVdX_lK3/view?usp=drivesdk","NI LUH KETUT MARIANI, S.E. SERTIFIKAT BerAKHLAK")</f>
        <v>NI LUH KETUT MARIANI, S.E. SERTIFIKAT BerAKHLAK</v>
      </c>
      <c r="K177" s="5" t="s">
        <v>1347</v>
      </c>
      <c r="L177" s="5" t="s">
        <v>1886</v>
      </c>
    </row>
    <row r="178">
      <c r="A178" s="4">
        <v>45534.31512295139</v>
      </c>
      <c r="B178" s="5" t="s">
        <v>34</v>
      </c>
      <c r="D178" s="5" t="s">
        <v>1768</v>
      </c>
      <c r="E178" s="5" t="s">
        <v>1891</v>
      </c>
      <c r="F178" s="5" t="s">
        <v>524</v>
      </c>
      <c r="G178" s="5" t="s">
        <v>1892</v>
      </c>
      <c r="H178" s="6" t="s">
        <v>1893</v>
      </c>
      <c r="I178" s="7" t="s">
        <v>1894</v>
      </c>
      <c r="J178" s="8" t="str">
        <f>HYPERLINK("https://drive.google.com/file/d/1ZDQrYVgNiqBiQa7SYQ2OlINd1p-4XcN6/view?usp=drivesdk","MEILYNA UNTARI DEWI, S.H. SERTIFIKAT BerAKHLAK")</f>
        <v>MEILYNA UNTARI DEWI, S.H. SERTIFIKAT BerAKHLAK</v>
      </c>
      <c r="K178" s="5" t="s">
        <v>1773</v>
      </c>
      <c r="L178" s="5" t="s">
        <v>1895</v>
      </c>
    </row>
    <row r="179">
      <c r="A179" s="4">
        <v>45534.31513023148</v>
      </c>
      <c r="B179" s="5" t="s">
        <v>34</v>
      </c>
      <c r="D179" s="5" t="s">
        <v>35</v>
      </c>
      <c r="E179" s="5" t="s">
        <v>1901</v>
      </c>
      <c r="F179" s="5" t="s">
        <v>212</v>
      </c>
      <c r="G179" s="5" t="s">
        <v>1902</v>
      </c>
      <c r="H179" s="6" t="s">
        <v>1903</v>
      </c>
      <c r="I179" s="7" t="s">
        <v>1904</v>
      </c>
      <c r="J179" s="8" t="str">
        <f>HYPERLINK("https://drive.google.com/file/d/1X7l9OwwRZyCdcsQKlDiqdKjoT-1Mt4Vu/view?usp=drivesdk","USHI APRIANI ZAQIAH  SERTIFIKAT BerAKHLAK")</f>
        <v>USHI APRIANI ZAQIAH  SERTIFIKAT BerAKHLAK</v>
      </c>
      <c r="K179" s="5" t="s">
        <v>1773</v>
      </c>
      <c r="L179" s="5" t="s">
        <v>1905</v>
      </c>
    </row>
    <row r="180">
      <c r="A180" s="4">
        <v>45534.31513072917</v>
      </c>
      <c r="B180" s="5" t="s">
        <v>34</v>
      </c>
      <c r="D180" s="5" t="s">
        <v>35</v>
      </c>
      <c r="E180" s="5" t="s">
        <v>1911</v>
      </c>
      <c r="F180" s="5" t="s">
        <v>72</v>
      </c>
      <c r="G180" s="5" t="s">
        <v>1912</v>
      </c>
      <c r="H180" s="6" t="s">
        <v>1913</v>
      </c>
      <c r="I180" s="7" t="s">
        <v>1914</v>
      </c>
      <c r="J180" s="8" t="str">
        <f>HYPERLINK("https://drive.google.com/file/d/1L5X21hadCnODsrGXWzX-1D9RPeraPABU/view?usp=drivesdk","YENI LISAWATI SERTIFIKAT BerAKHLAK")</f>
        <v>YENI LISAWATI SERTIFIKAT BerAKHLAK</v>
      </c>
      <c r="K180" s="5" t="s">
        <v>1773</v>
      </c>
      <c r="L180" s="5" t="s">
        <v>1915</v>
      </c>
    </row>
    <row r="181">
      <c r="A181" s="4">
        <v>45534.31526695602</v>
      </c>
      <c r="B181" s="5" t="s">
        <v>34</v>
      </c>
      <c r="D181" s="5" t="s">
        <v>1206</v>
      </c>
      <c r="E181" s="5" t="s">
        <v>1920</v>
      </c>
      <c r="F181" s="5" t="s">
        <v>375</v>
      </c>
      <c r="G181" s="5" t="s">
        <v>1921</v>
      </c>
      <c r="H181" s="6" t="s">
        <v>1922</v>
      </c>
      <c r="I181" s="7" t="s">
        <v>1923</v>
      </c>
      <c r="J181" s="8" t="str">
        <f>HYPERLINK("https://drive.google.com/file/d/14wL6c96MskOU-0N39fKIOOXQVKK_m2wO/view?usp=drivesdk","NEVI FITRIYAH SUTAMTO, S.T. SERTIFIKAT BerAKHLAK")</f>
        <v>NEVI FITRIYAH SUTAMTO, S.T. SERTIFIKAT BerAKHLAK</v>
      </c>
      <c r="K181" s="5" t="s">
        <v>1773</v>
      </c>
      <c r="L181" s="5" t="s">
        <v>1924</v>
      </c>
    </row>
    <row r="182">
      <c r="A182" s="4">
        <v>45534.315296388886</v>
      </c>
      <c r="B182" s="5" t="s">
        <v>19</v>
      </c>
      <c r="C182" s="5" t="s">
        <v>466</v>
      </c>
      <c r="E182" s="5" t="s">
        <v>1929</v>
      </c>
      <c r="F182" s="5" t="s">
        <v>212</v>
      </c>
      <c r="G182" s="5" t="s">
        <v>1930</v>
      </c>
      <c r="H182" s="6" t="s">
        <v>1931</v>
      </c>
      <c r="I182" s="7" t="s">
        <v>1932</v>
      </c>
      <c r="J182" s="8" t="str">
        <f>HYPERLINK("https://drive.google.com/file/d/1e0TuaP9TOqyk7TZpxDXih4cpvo6xJhxQ/view?usp=drivesdk","MUHAMAD SALIM SERTIFIKAT BerAKHLAK")</f>
        <v>MUHAMAD SALIM SERTIFIKAT BerAKHLAK</v>
      </c>
      <c r="K182" s="5" t="s">
        <v>1773</v>
      </c>
      <c r="L182" s="5" t="s">
        <v>1933</v>
      </c>
    </row>
    <row r="183">
      <c r="A183" s="4">
        <v>45534.31529922454</v>
      </c>
      <c r="B183" s="5" t="s">
        <v>34</v>
      </c>
      <c r="D183" s="5" t="s">
        <v>35</v>
      </c>
      <c r="E183" s="5" t="s">
        <v>1938</v>
      </c>
      <c r="F183" s="5" t="s">
        <v>37</v>
      </c>
      <c r="G183" s="5" t="s">
        <v>1939</v>
      </c>
      <c r="H183" s="6" t="s">
        <v>1940</v>
      </c>
      <c r="I183" s="7" t="s">
        <v>1941</v>
      </c>
      <c r="J183" s="8" t="str">
        <f>HYPERLINK("https://drive.google.com/file/d/1DTFaMaEPBOpHkM0r-wQdnilN1b_MVoL3/view?usp=drivesdk","RIZKY FEBRIANA, A.Md. SERTIFIKAT BerAKHLAK")</f>
        <v>RIZKY FEBRIANA, A.Md. SERTIFIKAT BerAKHLAK</v>
      </c>
      <c r="K183" s="5" t="s">
        <v>1773</v>
      </c>
      <c r="L183" s="5" t="s">
        <v>1942</v>
      </c>
    </row>
    <row r="184">
      <c r="A184" s="4">
        <v>45534.31529990741</v>
      </c>
      <c r="B184" s="5" t="s">
        <v>34</v>
      </c>
      <c r="D184" s="5" t="s">
        <v>1206</v>
      </c>
      <c r="E184" s="5" t="s">
        <v>1949</v>
      </c>
      <c r="F184" s="5" t="s">
        <v>37</v>
      </c>
      <c r="G184" s="5" t="s">
        <v>1950</v>
      </c>
      <c r="H184" s="6" t="s">
        <v>1951</v>
      </c>
      <c r="I184" s="7" t="s">
        <v>1952</v>
      </c>
      <c r="J184" s="8" t="str">
        <f>HYPERLINK("https://drive.google.com/file/d/1p9c6T2-8t-DFN3TDmvqaLEpUwbbH1vq1/view?usp=drivesdk","LUKMAN FATONI ASMARA K. SERTIFIKAT BerAKHLAK")</f>
        <v>LUKMAN FATONI ASMARA K. SERTIFIKAT BerAKHLAK</v>
      </c>
      <c r="K184" s="5" t="s">
        <v>1773</v>
      </c>
      <c r="L184" s="5" t="s">
        <v>1953</v>
      </c>
    </row>
    <row r="185">
      <c r="A185" s="4">
        <v>45534.31535122685</v>
      </c>
      <c r="B185" s="5" t="s">
        <v>34</v>
      </c>
      <c r="D185" s="5" t="s">
        <v>580</v>
      </c>
      <c r="E185" s="5" t="s">
        <v>1958</v>
      </c>
      <c r="F185" s="5" t="s">
        <v>375</v>
      </c>
      <c r="G185" s="5" t="s">
        <v>1959</v>
      </c>
      <c r="H185" s="6" t="s">
        <v>1960</v>
      </c>
      <c r="I185" s="7" t="s">
        <v>1961</v>
      </c>
      <c r="J185" s="8" t="str">
        <f>HYPERLINK("https://drive.google.com/file/d/1l9xk8O_fy6TNA7KxjOg005B8PqmosYN8/view?usp=drivesdk","GUSTI AYU MADE ARTINI SERTIFIKAT BerAKHLAK")</f>
        <v>GUSTI AYU MADE ARTINI SERTIFIKAT BerAKHLAK</v>
      </c>
      <c r="K185" s="5" t="s">
        <v>1773</v>
      </c>
      <c r="L185" s="5" t="s">
        <v>1962</v>
      </c>
    </row>
    <row r="186">
      <c r="A186" s="4">
        <v>45534.31544136574</v>
      </c>
      <c r="B186" s="5" t="s">
        <v>34</v>
      </c>
      <c r="D186" s="5" t="s">
        <v>35</v>
      </c>
      <c r="E186" s="5" t="s">
        <v>1967</v>
      </c>
      <c r="F186" s="5" t="s">
        <v>37</v>
      </c>
      <c r="G186" s="5" t="s">
        <v>1968</v>
      </c>
      <c r="H186" s="6" t="s">
        <v>1969</v>
      </c>
      <c r="I186" s="7" t="s">
        <v>1970</v>
      </c>
      <c r="J186" s="8" t="str">
        <f>HYPERLINK("https://drive.google.com/file/d/1Tb5T-Kzb00MwgEcgTPC6OqXlKeND55Fh/view?usp=drivesdk","IKA RODIAWATI SERTIFIKAT BerAKHLAK")</f>
        <v>IKA RODIAWATI SERTIFIKAT BerAKHLAK</v>
      </c>
      <c r="K186" s="5" t="s">
        <v>1773</v>
      </c>
      <c r="L186" s="5" t="s">
        <v>1971</v>
      </c>
    </row>
    <row r="187">
      <c r="A187" s="4">
        <v>45534.31544524306</v>
      </c>
      <c r="B187" s="5" t="s">
        <v>19</v>
      </c>
      <c r="C187" s="5" t="s">
        <v>466</v>
      </c>
      <c r="E187" s="5" t="s">
        <v>1976</v>
      </c>
      <c r="F187" s="5" t="s">
        <v>212</v>
      </c>
      <c r="G187" s="5" t="s">
        <v>1977</v>
      </c>
      <c r="H187" s="6" t="s">
        <v>1978</v>
      </c>
      <c r="I187" s="7" t="s">
        <v>1979</v>
      </c>
      <c r="J187" s="8" t="str">
        <f>HYPERLINK("https://drive.google.com/file/d/1tpOas9cMZTFyIzAHy-EwyBxYSwhDgm9p/view?usp=drivesdk","HERI HERYANTO  SERTIFIKAT BerAKHLAK")</f>
        <v>HERI HERYANTO  SERTIFIKAT BerAKHLAK</v>
      </c>
      <c r="K187" s="5" t="s">
        <v>1773</v>
      </c>
      <c r="L187" s="5" t="s">
        <v>1980</v>
      </c>
    </row>
    <row r="188">
      <c r="A188" s="4">
        <v>45534.31545672454</v>
      </c>
      <c r="B188" s="5" t="s">
        <v>34</v>
      </c>
      <c r="D188" s="5" t="s">
        <v>1206</v>
      </c>
      <c r="E188" s="5" t="s">
        <v>1986</v>
      </c>
      <c r="F188" s="5" t="s">
        <v>37</v>
      </c>
      <c r="G188" s="5" t="s">
        <v>1987</v>
      </c>
      <c r="H188" s="6" t="s">
        <v>1988</v>
      </c>
      <c r="I188" s="7" t="s">
        <v>1989</v>
      </c>
      <c r="J188" s="8" t="str">
        <f>HYPERLINK("https://drive.google.com/file/d/1rap3NUtKrfNtoK0N7BAlDkBgMK7btSN_/view?usp=drivesdk","RIFQIATUL UMAM, S.KOM SERTIFIKAT BerAKHLAK")</f>
        <v>RIFQIATUL UMAM, S.KOM SERTIFIKAT BerAKHLAK</v>
      </c>
      <c r="K188" s="5" t="s">
        <v>1773</v>
      </c>
      <c r="L188" s="5" t="s">
        <v>1990</v>
      </c>
    </row>
    <row r="189">
      <c r="A189" s="4">
        <v>45534.315472685186</v>
      </c>
      <c r="B189" s="5" t="s">
        <v>34</v>
      </c>
      <c r="D189" s="5" t="s">
        <v>35</v>
      </c>
      <c r="E189" s="5" t="s">
        <v>1995</v>
      </c>
      <c r="F189" s="5" t="s">
        <v>37</v>
      </c>
      <c r="G189" s="5" t="s">
        <v>1996</v>
      </c>
      <c r="H189" s="6" t="s">
        <v>1997</v>
      </c>
      <c r="I189" s="7" t="s">
        <v>1998</v>
      </c>
      <c r="J189" s="8" t="str">
        <f>HYPERLINK("https://drive.google.com/file/d/13CjzLWq0HMRpv87-8e4RYoZfsgkfu-iT/view?usp=drivesdk","AGUS CAHYANTO SERTIFIKAT BerAKHLAK")</f>
        <v>AGUS CAHYANTO SERTIFIKAT BerAKHLAK</v>
      </c>
      <c r="K189" s="5" t="s">
        <v>1999</v>
      </c>
      <c r="L189" s="5" t="s">
        <v>2000</v>
      </c>
    </row>
    <row r="190">
      <c r="A190" s="4">
        <v>45534.31547619213</v>
      </c>
      <c r="B190" s="5" t="s">
        <v>34</v>
      </c>
      <c r="D190" s="5" t="s">
        <v>35</v>
      </c>
      <c r="E190" s="5" t="s">
        <v>2006</v>
      </c>
      <c r="F190" s="5" t="s">
        <v>524</v>
      </c>
      <c r="G190" s="5" t="s">
        <v>2007</v>
      </c>
      <c r="H190" s="6" t="s">
        <v>2008</v>
      </c>
      <c r="I190" s="7" t="s">
        <v>2009</v>
      </c>
      <c r="J190" s="8" t="str">
        <f>HYPERLINK("https://drive.google.com/file/d/1mqWU4DT8MmtfVIM7TiDAFSBiPH8blF0G/view?usp=drivesdk","NENG LENY SUNARYA SERTIFIKAT BerAKHLAK")</f>
        <v>NENG LENY SUNARYA SERTIFIKAT BerAKHLAK</v>
      </c>
      <c r="K190" s="5" t="s">
        <v>1999</v>
      </c>
      <c r="L190" s="5" t="s">
        <v>2010</v>
      </c>
    </row>
    <row r="191">
      <c r="A191" s="4">
        <v>45534.31552351852</v>
      </c>
      <c r="B191" s="5" t="s">
        <v>34</v>
      </c>
      <c r="D191" s="5" t="s">
        <v>604</v>
      </c>
      <c r="E191" s="5" t="s">
        <v>2015</v>
      </c>
      <c r="F191" s="5" t="s">
        <v>37</v>
      </c>
      <c r="G191" s="5" t="s">
        <v>2016</v>
      </c>
      <c r="H191" s="6" t="s">
        <v>2017</v>
      </c>
      <c r="I191" s="7" t="s">
        <v>2018</v>
      </c>
      <c r="J191" s="8" t="str">
        <f>HYPERLINK("https://drive.google.com/file/d/16ZLYZK57MjexrNQdraLOTgdNbrwK_pDt/view?usp=drivesdk","EKA NOVIYANTI SERTIFIKAT BerAKHLAK")</f>
        <v>EKA NOVIYANTI SERTIFIKAT BerAKHLAK</v>
      </c>
      <c r="K191" s="5" t="s">
        <v>1773</v>
      </c>
      <c r="L191" s="5" t="s">
        <v>2019</v>
      </c>
    </row>
    <row r="192">
      <c r="A192" s="4">
        <v>45534.31559637732</v>
      </c>
      <c r="B192" s="5" t="s">
        <v>34</v>
      </c>
      <c r="D192" s="5" t="s">
        <v>580</v>
      </c>
      <c r="E192" s="5" t="s">
        <v>2024</v>
      </c>
      <c r="F192" s="5" t="s">
        <v>37</v>
      </c>
      <c r="G192" s="5" t="s">
        <v>2025</v>
      </c>
      <c r="H192" s="6" t="s">
        <v>2026</v>
      </c>
      <c r="I192" s="7" t="s">
        <v>2027</v>
      </c>
      <c r="J192" s="8" t="str">
        <f>HYPERLINK("https://drive.google.com/file/d/1ihC2ktFj48zebxDg4wX6LyVCe6OK616Z/view?usp=drivesdk","LUH PUTU SUMARTINI, S. Pd SERTIFIKAT BerAKHLAK")</f>
        <v>LUH PUTU SUMARTINI, S. Pd SERTIFIKAT BerAKHLAK</v>
      </c>
      <c r="K192" s="5" t="s">
        <v>1773</v>
      </c>
      <c r="L192" s="5" t="s">
        <v>2028</v>
      </c>
    </row>
    <row r="193">
      <c r="A193" s="4">
        <v>45534.31563300926</v>
      </c>
      <c r="B193" s="5" t="s">
        <v>34</v>
      </c>
      <c r="D193" s="5" t="s">
        <v>522</v>
      </c>
      <c r="E193" s="5" t="s">
        <v>2034</v>
      </c>
      <c r="F193" s="5" t="s">
        <v>72</v>
      </c>
      <c r="G193" s="5" t="s">
        <v>2035</v>
      </c>
      <c r="H193" s="6" t="s">
        <v>2036</v>
      </c>
      <c r="I193" s="7" t="s">
        <v>2037</v>
      </c>
      <c r="J193" s="8" t="str">
        <f>HYPERLINK("https://drive.google.com/file/d/1xyPTGdEMZMLoVjorKtuqqAuzLTKikquA/view?usp=drivesdk","HELMI SATRIANI,S.AP SERTIFIKAT BerAKHLAK")</f>
        <v>HELMI SATRIANI,S.AP SERTIFIKAT BerAKHLAK</v>
      </c>
      <c r="K193" s="5" t="s">
        <v>1773</v>
      </c>
      <c r="L193" s="5" t="s">
        <v>2038</v>
      </c>
    </row>
    <row r="194">
      <c r="A194" s="4">
        <v>45534.315665428236</v>
      </c>
      <c r="B194" s="5" t="s">
        <v>34</v>
      </c>
      <c r="D194" s="5" t="s">
        <v>580</v>
      </c>
      <c r="E194" s="5" t="s">
        <v>2043</v>
      </c>
      <c r="F194" s="5" t="s">
        <v>37</v>
      </c>
      <c r="G194" s="5" t="s">
        <v>2044</v>
      </c>
      <c r="H194" s="6" t="s">
        <v>2045</v>
      </c>
      <c r="I194" s="7" t="s">
        <v>2046</v>
      </c>
      <c r="J194" s="8" t="str">
        <f>HYPERLINK("https://drive.google.com/file/d/1DxJuiI0q1mMnaE3cZcbs4KV8aErU26Ze/view?usp=drivesdk","IKA PUSPITASARI, A.Md SERTIFIKAT BerAKHLAK")</f>
        <v>IKA PUSPITASARI, A.Md SERTIFIKAT BerAKHLAK</v>
      </c>
      <c r="K194" s="5" t="s">
        <v>1773</v>
      </c>
      <c r="L194" s="5" t="s">
        <v>2047</v>
      </c>
    </row>
    <row r="195">
      <c r="A195" s="4">
        <v>45534.3157272338</v>
      </c>
      <c r="B195" s="5" t="s">
        <v>34</v>
      </c>
      <c r="D195" s="5" t="s">
        <v>35</v>
      </c>
      <c r="E195" s="5" t="s">
        <v>2052</v>
      </c>
      <c r="F195" s="5" t="s">
        <v>37</v>
      </c>
      <c r="G195" s="5" t="s">
        <v>2053</v>
      </c>
      <c r="H195" s="6" t="s">
        <v>2054</v>
      </c>
      <c r="I195" s="7" t="s">
        <v>2055</v>
      </c>
      <c r="J195" s="8" t="str">
        <f>HYPERLINK("https://drive.google.com/file/d/1NWCWz-UYq_kEJ5jVgR9IuMD4f17mM1ck/view?usp=drivesdk","SITI AENI NURLAMRIAH  SERTIFIKAT BerAKHLAK")</f>
        <v>SITI AENI NURLAMRIAH  SERTIFIKAT BerAKHLAK</v>
      </c>
      <c r="K195" s="5" t="s">
        <v>2056</v>
      </c>
      <c r="L195" s="5" t="s">
        <v>2057</v>
      </c>
    </row>
    <row r="196">
      <c r="A196" s="4">
        <v>45534.315728113426</v>
      </c>
      <c r="B196" s="5" t="s">
        <v>19</v>
      </c>
      <c r="C196" s="5" t="s">
        <v>442</v>
      </c>
      <c r="E196" s="5" t="s">
        <v>2063</v>
      </c>
      <c r="F196" s="5" t="s">
        <v>375</v>
      </c>
      <c r="G196" s="5" t="s">
        <v>2064</v>
      </c>
      <c r="H196" s="6" t="s">
        <v>2065</v>
      </c>
      <c r="I196" s="7" t="s">
        <v>2066</v>
      </c>
      <c r="J196" s="8" t="str">
        <f>HYPERLINK("https://drive.google.com/file/d/1c7guYdWd2zJAB_zuI3QTSnvJVCYl8bZk/view?usp=drivesdk","SITI BAENUR FITRY S.E., M.M SERTIFIKAT BerAKHLAK")</f>
        <v>SITI BAENUR FITRY S.E., M.M SERTIFIKAT BerAKHLAK</v>
      </c>
      <c r="K196" s="5" t="s">
        <v>1999</v>
      </c>
      <c r="L196" s="5" t="s">
        <v>2067</v>
      </c>
    </row>
    <row r="197">
      <c r="A197" s="4">
        <v>45534.31573184028</v>
      </c>
      <c r="B197" s="5" t="s">
        <v>34</v>
      </c>
      <c r="D197" s="5" t="s">
        <v>35</v>
      </c>
      <c r="E197" s="5" t="s">
        <v>2072</v>
      </c>
      <c r="F197" s="5" t="s">
        <v>108</v>
      </c>
      <c r="G197" s="5" t="s">
        <v>2073</v>
      </c>
      <c r="H197" s="6" t="s">
        <v>2074</v>
      </c>
      <c r="I197" s="7" t="s">
        <v>2075</v>
      </c>
      <c r="J197" s="8" t="str">
        <f>HYPERLINK("https://drive.google.com/file/d/1pRBfVpVOIXSN4xbledIH2KPmONGQLtDg/view?usp=drivesdk","EKA WAHYU WIJAYANTI, A.MD SERTIFIKAT BerAKHLAK")</f>
        <v>EKA WAHYU WIJAYANTI, A.MD SERTIFIKAT BerAKHLAK</v>
      </c>
      <c r="K197" s="5" t="s">
        <v>1999</v>
      </c>
      <c r="L197" s="5" t="s">
        <v>2076</v>
      </c>
    </row>
    <row r="198">
      <c r="A198" s="4">
        <v>45534.3157321412</v>
      </c>
      <c r="B198" s="5" t="s">
        <v>34</v>
      </c>
      <c r="D198" s="5" t="s">
        <v>35</v>
      </c>
      <c r="E198" s="5" t="s">
        <v>2082</v>
      </c>
      <c r="F198" s="5" t="s">
        <v>37</v>
      </c>
      <c r="G198" s="5" t="s">
        <v>2083</v>
      </c>
      <c r="H198" s="6" t="s">
        <v>2084</v>
      </c>
      <c r="I198" s="7" t="s">
        <v>2085</v>
      </c>
      <c r="J198" s="8" t="str">
        <f>HYPERLINK("https://drive.google.com/file/d/1wwyBrAxW7s_Oyc-CYPX8cUCe60ov_0Yt/view?usp=drivesdk","ARINARAMDHANUARI, A.Md.Farm SERTIFIKAT BerAKHLAK")</f>
        <v>ARINARAMDHANUARI, A.Md.Farm SERTIFIKAT BerAKHLAK</v>
      </c>
      <c r="K198" s="5" t="s">
        <v>1999</v>
      </c>
      <c r="L198" s="5" t="s">
        <v>2086</v>
      </c>
    </row>
    <row r="199">
      <c r="A199" s="4">
        <v>45534.31573510417</v>
      </c>
      <c r="B199" s="5" t="s">
        <v>34</v>
      </c>
      <c r="D199" s="5" t="s">
        <v>996</v>
      </c>
      <c r="E199" s="5" t="s">
        <v>2091</v>
      </c>
      <c r="F199" s="5" t="s">
        <v>212</v>
      </c>
      <c r="G199" s="5" t="s">
        <v>2092</v>
      </c>
      <c r="H199" s="6" t="s">
        <v>2093</v>
      </c>
      <c r="I199" s="7" t="s">
        <v>2094</v>
      </c>
      <c r="J199" s="8" t="str">
        <f>HYPERLINK("https://drive.google.com/file/d/1qZL51--OvB0hgz1D0HArNYqWsF30nnQF/view?usp=drivesdk","SITI MARKAMAH  SERTIFIKAT BerAKHLAK")</f>
        <v>SITI MARKAMAH  SERTIFIKAT BerAKHLAK</v>
      </c>
      <c r="K199" s="5" t="s">
        <v>1999</v>
      </c>
      <c r="L199" s="5" t="s">
        <v>2095</v>
      </c>
    </row>
    <row r="200">
      <c r="A200" s="4">
        <v>45534.31575041667</v>
      </c>
      <c r="B200" s="5" t="s">
        <v>34</v>
      </c>
      <c r="D200" s="5" t="s">
        <v>996</v>
      </c>
      <c r="E200" s="5" t="s">
        <v>2100</v>
      </c>
      <c r="F200" s="5" t="s">
        <v>72</v>
      </c>
      <c r="G200" s="5" t="s">
        <v>2101</v>
      </c>
      <c r="H200" s="6" t="s">
        <v>2102</v>
      </c>
      <c r="I200" s="7" t="s">
        <v>2103</v>
      </c>
      <c r="J200" s="8" t="str">
        <f>HYPERLINK("https://drive.google.com/file/d/1lAjOLPvHfCXcWdCy71dbcE1WJF_Z5xje/view?usp=drivesdk","SIGIT DWIARSO, A.Md SERTIFIKAT BerAKHLAK")</f>
        <v>SIGIT DWIARSO, A.Md SERTIFIKAT BerAKHLAK</v>
      </c>
      <c r="K200" s="5" t="s">
        <v>1999</v>
      </c>
      <c r="L200" s="5" t="s">
        <v>2104</v>
      </c>
    </row>
    <row r="201">
      <c r="A201" s="4">
        <v>45534.3157866088</v>
      </c>
      <c r="B201" s="5" t="s">
        <v>34</v>
      </c>
      <c r="D201" s="5" t="s">
        <v>580</v>
      </c>
      <c r="E201" s="5" t="s">
        <v>2109</v>
      </c>
      <c r="F201" s="5" t="s">
        <v>37</v>
      </c>
      <c r="G201" s="5" t="s">
        <v>2110</v>
      </c>
      <c r="H201" s="6" t="s">
        <v>2111</v>
      </c>
      <c r="I201" s="7" t="s">
        <v>2112</v>
      </c>
      <c r="J201" s="8" t="str">
        <f>HYPERLINK("https://drive.google.com/file/d/1sVxUzl4ygU1huJ42sdrXQxVAyaKjTyN8/view?usp=drivesdk","LUH PUTU PRATIWI WULANSARI SERTIFIKAT BerAKHLAK")</f>
        <v>LUH PUTU PRATIWI WULANSARI SERTIFIKAT BerAKHLAK</v>
      </c>
      <c r="K201" s="5" t="s">
        <v>1773</v>
      </c>
      <c r="L201" s="5" t="s">
        <v>2113</v>
      </c>
    </row>
    <row r="202">
      <c r="A202" s="4">
        <v>45534.315807465275</v>
      </c>
      <c r="B202" s="5" t="s">
        <v>34</v>
      </c>
      <c r="D202" s="5" t="s">
        <v>35</v>
      </c>
      <c r="E202" s="5" t="s">
        <v>2119</v>
      </c>
      <c r="F202" s="5" t="s">
        <v>108</v>
      </c>
      <c r="G202" s="5" t="s">
        <v>2120</v>
      </c>
      <c r="H202" s="6" t="s">
        <v>2121</v>
      </c>
      <c r="I202" s="7" t="s">
        <v>2122</v>
      </c>
      <c r="J202" s="8" t="str">
        <f>HYPERLINK("https://drive.google.com/file/d/1KBn_3DsvWTtXGcPaYk_0n1ZMYCp126jl/view?usp=drivesdk","ANNE AGUSTINA SERTIFIKAT BerAKHLAK")</f>
        <v>ANNE AGUSTINA SERTIFIKAT BerAKHLAK</v>
      </c>
      <c r="K202" s="5" t="s">
        <v>1999</v>
      </c>
      <c r="L202" s="5" t="s">
        <v>2123</v>
      </c>
    </row>
    <row r="203">
      <c r="A203" s="4">
        <v>45534.31581621528</v>
      </c>
      <c r="B203" s="5" t="s">
        <v>34</v>
      </c>
      <c r="D203" s="5" t="s">
        <v>522</v>
      </c>
      <c r="E203" s="5" t="s">
        <v>2129</v>
      </c>
      <c r="F203" s="5" t="s">
        <v>37</v>
      </c>
      <c r="G203" s="5" t="s">
        <v>2130</v>
      </c>
      <c r="H203" s="6" t="s">
        <v>2131</v>
      </c>
      <c r="I203" s="7" t="s">
        <v>2132</v>
      </c>
      <c r="J203" s="8" t="str">
        <f>HYPERLINK("https://drive.google.com/file/d/1hBtsmjCy-DGRUG2Mo4QcOtS1LAd6-0CD/view?usp=drivesdk","SITI AMINAH HADIYANTI, A.Md.Per. SERTIFIKAT BerAKHLAK")</f>
        <v>SITI AMINAH HADIYANTI, A.Md.Per. SERTIFIKAT BerAKHLAK</v>
      </c>
      <c r="K203" s="5" t="s">
        <v>1999</v>
      </c>
      <c r="L203" s="5" t="s">
        <v>2133</v>
      </c>
    </row>
    <row r="204">
      <c r="A204" s="4">
        <v>45534.31581659723</v>
      </c>
      <c r="B204" s="5" t="s">
        <v>34</v>
      </c>
      <c r="D204" s="5" t="s">
        <v>1768</v>
      </c>
      <c r="E204" s="5" t="s">
        <v>2138</v>
      </c>
      <c r="F204" s="5" t="s">
        <v>212</v>
      </c>
      <c r="G204" s="5" t="s">
        <v>2139</v>
      </c>
      <c r="H204" s="6" t="s">
        <v>2140</v>
      </c>
      <c r="I204" s="7" t="s">
        <v>2141</v>
      </c>
      <c r="J204" s="8" t="str">
        <f>HYPERLINK("https://drive.google.com/file/d/1IR7lAI45-zX-vv7fh5rRtmz_5WkRBw0a/view?usp=drivesdk","ENDAH SUGIHANDANi PUTRI SERTIFIKAT BerAKHLAK")</f>
        <v>ENDAH SUGIHANDANi PUTRI SERTIFIKAT BerAKHLAK</v>
      </c>
      <c r="K204" s="5" t="s">
        <v>1999</v>
      </c>
      <c r="L204" s="5" t="s">
        <v>2142</v>
      </c>
    </row>
    <row r="205">
      <c r="A205" s="4">
        <v>45534.31582916666</v>
      </c>
      <c r="B205" s="5" t="s">
        <v>34</v>
      </c>
      <c r="D205" s="5" t="s">
        <v>1768</v>
      </c>
      <c r="E205" s="5" t="s">
        <v>2147</v>
      </c>
      <c r="F205" s="5" t="s">
        <v>108</v>
      </c>
      <c r="G205" s="5" t="s">
        <v>2148</v>
      </c>
      <c r="H205" s="6" t="s">
        <v>2149</v>
      </c>
      <c r="I205" s="7" t="s">
        <v>2150</v>
      </c>
      <c r="J205" s="8" t="str">
        <f>HYPERLINK("https://drive.google.com/file/d/1TlILU_WTT4W_RCXYx_cYmwzPOuNFv0u8/view?usp=drivesdk","RAME HUTAGAOL SERTIFIKAT BerAKHLAK")</f>
        <v>RAME HUTAGAOL SERTIFIKAT BerAKHLAK</v>
      </c>
      <c r="K205" s="5" t="s">
        <v>1999</v>
      </c>
      <c r="L205" s="5" t="s">
        <v>2151</v>
      </c>
    </row>
    <row r="206">
      <c r="A206" s="4">
        <v>45534.315830625</v>
      </c>
      <c r="B206" s="5" t="s">
        <v>34</v>
      </c>
      <c r="D206" s="5" t="s">
        <v>580</v>
      </c>
      <c r="E206" s="5" t="s">
        <v>2156</v>
      </c>
      <c r="F206" s="5" t="s">
        <v>108</v>
      </c>
      <c r="G206" s="5" t="s">
        <v>2157</v>
      </c>
      <c r="H206" s="6" t="s">
        <v>2158</v>
      </c>
      <c r="I206" s="7" t="s">
        <v>2159</v>
      </c>
      <c r="J206" s="8" t="str">
        <f>HYPERLINK("https://drive.google.com/file/d/182tWZTjSXrJ3kXkAZBK68ZWLyyzOOBTB/view?usp=drivesdk","NI WAYAN SUKAMIATI SERTIFIKAT BerAKHLAK")</f>
        <v>NI WAYAN SUKAMIATI SERTIFIKAT BerAKHLAK</v>
      </c>
      <c r="K206" s="5" t="s">
        <v>1999</v>
      </c>
      <c r="L206" s="5" t="s">
        <v>2160</v>
      </c>
    </row>
    <row r="207">
      <c r="A207" s="4">
        <v>45534.315834340276</v>
      </c>
      <c r="B207" s="5" t="s">
        <v>34</v>
      </c>
      <c r="D207" s="5" t="s">
        <v>975</v>
      </c>
      <c r="E207" s="5" t="s">
        <v>2166</v>
      </c>
      <c r="F207" s="5" t="s">
        <v>212</v>
      </c>
      <c r="G207" s="5" t="s">
        <v>2167</v>
      </c>
      <c r="H207" s="6" t="s">
        <v>2168</v>
      </c>
      <c r="I207" s="7" t="s">
        <v>2169</v>
      </c>
      <c r="J207" s="8" t="str">
        <f>HYPERLINK("https://drive.google.com/file/d/1HaHalE_MdnuIIBFP1IU2msSYbJiixaFM/view?usp=drivesdk","NUSA INDRA MUKTHI WIBAWA SERTIFIKAT BerAKHLAK")</f>
        <v>NUSA INDRA MUKTHI WIBAWA SERTIFIKAT BerAKHLAK</v>
      </c>
      <c r="K207" s="5" t="s">
        <v>1999</v>
      </c>
      <c r="L207" s="5" t="s">
        <v>2170</v>
      </c>
    </row>
    <row r="208">
      <c r="A208" s="4">
        <v>45534.31584081019</v>
      </c>
      <c r="B208" s="5" t="s">
        <v>34</v>
      </c>
      <c r="D208" s="5" t="s">
        <v>35</v>
      </c>
      <c r="E208" s="5" t="s">
        <v>2175</v>
      </c>
      <c r="F208" s="5" t="s">
        <v>37</v>
      </c>
      <c r="G208" s="5" t="s">
        <v>2176</v>
      </c>
      <c r="H208" s="6" t="s">
        <v>2177</v>
      </c>
      <c r="I208" s="7" t="s">
        <v>2178</v>
      </c>
      <c r="J208" s="8" t="str">
        <f>HYPERLINK("https://drive.google.com/file/d/1tZbxzTO4rVp8gunSahSG5aXC_rGAHuRW/view?usp=drivesdk","ATING HERNAWATI SERTIFIKAT BerAKHLAK")</f>
        <v>ATING HERNAWATI SERTIFIKAT BerAKHLAK</v>
      </c>
      <c r="K208" s="5" t="s">
        <v>1999</v>
      </c>
      <c r="L208" s="5" t="s">
        <v>2179</v>
      </c>
    </row>
    <row r="209">
      <c r="A209" s="4">
        <v>45534.31587019676</v>
      </c>
      <c r="B209" s="5" t="s">
        <v>34</v>
      </c>
      <c r="D209" s="5" t="s">
        <v>35</v>
      </c>
      <c r="E209" s="5" t="s">
        <v>2185</v>
      </c>
      <c r="F209" s="5" t="s">
        <v>37</v>
      </c>
      <c r="G209" s="5" t="s">
        <v>2186</v>
      </c>
      <c r="H209" s="6" t="s">
        <v>2187</v>
      </c>
      <c r="I209" s="7" t="s">
        <v>2188</v>
      </c>
      <c r="J209" s="8" t="str">
        <f>HYPERLINK("https://drive.google.com/file/d/1c70KpjSgSib1ZKrETll80yHthNicT54t/view?usp=drivesdk","DEDI SOEKENDAR SERTIFIKAT BerAKHLAK")</f>
        <v>DEDI SOEKENDAR SERTIFIKAT BerAKHLAK</v>
      </c>
      <c r="K209" s="5" t="s">
        <v>1999</v>
      </c>
      <c r="L209" s="5" t="s">
        <v>2189</v>
      </c>
    </row>
    <row r="210">
      <c r="A210" s="4">
        <v>45534.315921747686</v>
      </c>
      <c r="B210" s="5" t="s">
        <v>19</v>
      </c>
      <c r="C210" s="5" t="s">
        <v>292</v>
      </c>
      <c r="E210" s="5" t="s">
        <v>2194</v>
      </c>
      <c r="F210" s="5" t="s">
        <v>37</v>
      </c>
      <c r="G210" s="5" t="s">
        <v>2195</v>
      </c>
      <c r="H210" s="6" t="s">
        <v>2196</v>
      </c>
      <c r="I210" s="7" t="s">
        <v>2197</v>
      </c>
      <c r="J210" s="8" t="str">
        <f>HYPERLINK("https://drive.google.com/file/d/1vzbSvQvxkt33GqbyJmJyzrsnEGeZe7wF/view?usp=drivesdk","FITRIA ROZA ANDITA, A.Md.Gz SERTIFIKAT BerAKHLAK")</f>
        <v>FITRIA ROZA ANDITA, A.Md.Gz SERTIFIKAT BerAKHLAK</v>
      </c>
      <c r="K210" s="5" t="s">
        <v>1999</v>
      </c>
      <c r="L210" s="5" t="s">
        <v>2198</v>
      </c>
    </row>
    <row r="211">
      <c r="A211" s="4">
        <v>45534.315929895834</v>
      </c>
      <c r="B211" s="5" t="s">
        <v>19</v>
      </c>
      <c r="C211" s="5" t="s">
        <v>292</v>
      </c>
      <c r="E211" s="5" t="s">
        <v>2203</v>
      </c>
      <c r="F211" s="5" t="s">
        <v>524</v>
      </c>
      <c r="G211" s="5" t="s">
        <v>2204</v>
      </c>
      <c r="H211" s="6" t="s">
        <v>2205</v>
      </c>
      <c r="I211" s="7" t="s">
        <v>2206</v>
      </c>
      <c r="J211" s="8" t="str">
        <f>HYPERLINK("https://drive.google.com/file/d/1DS2paSp2nMfaedruPxDVo09gnqZT6pQO/view?usp=drivesdk","ERIK RESMANA SPD SERTIFIKAT BerAKHLAK")</f>
        <v>ERIK RESMANA SPD SERTIFIKAT BerAKHLAK</v>
      </c>
      <c r="K211" s="5" t="s">
        <v>1999</v>
      </c>
      <c r="L211" s="5" t="s">
        <v>2207</v>
      </c>
    </row>
    <row r="212">
      <c r="A212" s="4">
        <v>45534.316041157406</v>
      </c>
      <c r="B212" s="5" t="s">
        <v>34</v>
      </c>
      <c r="D212" s="5" t="s">
        <v>35</v>
      </c>
      <c r="E212" s="5" t="s">
        <v>2212</v>
      </c>
      <c r="F212" s="5" t="s">
        <v>37</v>
      </c>
      <c r="G212" s="5" t="s">
        <v>2213</v>
      </c>
      <c r="H212" s="6" t="s">
        <v>2214</v>
      </c>
      <c r="I212" s="7" t="s">
        <v>2215</v>
      </c>
      <c r="J212" s="8" t="str">
        <f>HYPERLINK("https://drive.google.com/file/d/1F0i0KY65opG9MvRktXj9sx3i7oqZ-GMu/view?usp=drivesdk","CUCU WIDIANINGSIH SERTIFIKAT BerAKHLAK")</f>
        <v>CUCU WIDIANINGSIH SERTIFIKAT BerAKHLAK</v>
      </c>
      <c r="K212" s="5" t="s">
        <v>1999</v>
      </c>
      <c r="L212" s="5" t="s">
        <v>2216</v>
      </c>
    </row>
    <row r="213">
      <c r="A213" s="4">
        <v>45534.31604607639</v>
      </c>
      <c r="B213" s="5" t="s">
        <v>34</v>
      </c>
      <c r="D213" s="5" t="s">
        <v>35</v>
      </c>
      <c r="E213" s="5" t="s">
        <v>2222</v>
      </c>
      <c r="F213" s="5" t="s">
        <v>375</v>
      </c>
      <c r="G213" s="5" t="s">
        <v>2223</v>
      </c>
      <c r="H213" s="6" t="s">
        <v>2224</v>
      </c>
      <c r="I213" s="7" t="s">
        <v>2225</v>
      </c>
      <c r="J213" s="8" t="str">
        <f>HYPERLINK("https://drive.google.com/file/d/13FcovMVM8W3eBFSynHxcWEgHKxN6QEXw/view?usp=drivesdk","RENI SEPTRONELA, S.E. SERTIFIKAT BerAKHLAK")</f>
        <v>RENI SEPTRONELA, S.E. SERTIFIKAT BerAKHLAK</v>
      </c>
      <c r="K213" s="5" t="s">
        <v>1999</v>
      </c>
      <c r="L213" s="5" t="s">
        <v>2226</v>
      </c>
    </row>
    <row r="214">
      <c r="A214" s="4">
        <v>45534.31605260417</v>
      </c>
      <c r="B214" s="5" t="s">
        <v>34</v>
      </c>
      <c r="D214" s="5" t="s">
        <v>35</v>
      </c>
      <c r="E214" s="5" t="s">
        <v>2231</v>
      </c>
      <c r="F214" s="5" t="s">
        <v>37</v>
      </c>
      <c r="G214" s="5" t="s">
        <v>2232</v>
      </c>
      <c r="H214" s="6" t="s">
        <v>2233</v>
      </c>
      <c r="I214" s="7" t="s">
        <v>2234</v>
      </c>
      <c r="J214" s="8" t="str">
        <f>HYPERLINK("https://drive.google.com/file/d/1o6olAjPmgTdhQceX--x_BYQAva3C_BSI/view?usp=drivesdk","LETTI KUSMAYANTI SERTIFIKAT BerAKHLAK")</f>
        <v>LETTI KUSMAYANTI SERTIFIKAT BerAKHLAK</v>
      </c>
      <c r="K214" s="5" t="s">
        <v>1999</v>
      </c>
      <c r="L214" s="5" t="s">
        <v>2235</v>
      </c>
    </row>
    <row r="215">
      <c r="A215" s="4">
        <v>45534.31606402778</v>
      </c>
      <c r="B215" s="5" t="s">
        <v>34</v>
      </c>
      <c r="D215" s="5" t="s">
        <v>35</v>
      </c>
      <c r="E215" s="5" t="s">
        <v>2240</v>
      </c>
      <c r="F215" s="5" t="s">
        <v>72</v>
      </c>
      <c r="G215" s="5" t="s">
        <v>2241</v>
      </c>
      <c r="H215" s="6" t="s">
        <v>2242</v>
      </c>
      <c r="I215" s="7" t="s">
        <v>2243</v>
      </c>
      <c r="J215" s="8" t="str">
        <f>HYPERLINK("https://drive.google.com/file/d/1crxx6f1Twmz20XkFkfBdbn1WS0GWsoT-/view?usp=drivesdk","NANI HARYANI SALIP, SH SERTIFIKAT BerAKHLAK")</f>
        <v>NANI HARYANI SALIP, SH SERTIFIKAT BerAKHLAK</v>
      </c>
      <c r="K215" s="5" t="s">
        <v>2244</v>
      </c>
      <c r="L215" s="5" t="s">
        <v>2245</v>
      </c>
    </row>
    <row r="216">
      <c r="A216" s="4">
        <v>45534.31607739584</v>
      </c>
      <c r="B216" s="5" t="s">
        <v>34</v>
      </c>
      <c r="D216" s="5" t="s">
        <v>35</v>
      </c>
      <c r="E216" s="5" t="s">
        <v>2251</v>
      </c>
      <c r="F216" s="5" t="s">
        <v>120</v>
      </c>
      <c r="G216" s="5" t="s">
        <v>2252</v>
      </c>
      <c r="H216" s="6" t="s">
        <v>2253</v>
      </c>
      <c r="I216" s="7" t="s">
        <v>2254</v>
      </c>
      <c r="J216" s="8" t="str">
        <f>HYPERLINK("https://drive.google.com/file/d/1mu8AdNQbMctiOKgODmjL9JmQdDFcIEZs/view?usp=drivesdk","ARI FIRMANSYAH, S.Kom SERTIFIKAT BerAKHLAK")</f>
        <v>ARI FIRMANSYAH, S.Kom SERTIFIKAT BerAKHLAK</v>
      </c>
      <c r="K216" s="5" t="s">
        <v>2244</v>
      </c>
      <c r="L216" s="5" t="s">
        <v>2255</v>
      </c>
    </row>
    <row r="217">
      <c r="A217" s="4">
        <v>45534.31608001157</v>
      </c>
      <c r="B217" s="5" t="s">
        <v>34</v>
      </c>
      <c r="D217" s="5" t="s">
        <v>580</v>
      </c>
      <c r="E217" s="5" t="s">
        <v>2260</v>
      </c>
      <c r="F217" s="5" t="s">
        <v>108</v>
      </c>
      <c r="G217" s="5" t="s">
        <v>2261</v>
      </c>
      <c r="H217" s="6" t="s">
        <v>2262</v>
      </c>
      <c r="I217" s="7" t="s">
        <v>2263</v>
      </c>
      <c r="J217" s="8" t="str">
        <f>HYPERLINK("https://drive.google.com/file/d/1RREGR_pDLFljEMN-XgDeMj0OoUGrISZ_/view?usp=drivesdk","SRI HANDAYANI  SERTIFIKAT BerAKHLAK")</f>
        <v>SRI HANDAYANI  SERTIFIKAT BerAKHLAK</v>
      </c>
      <c r="K217" s="5" t="s">
        <v>2244</v>
      </c>
      <c r="L217" s="5" t="s">
        <v>2264</v>
      </c>
    </row>
    <row r="218">
      <c r="A218" s="4">
        <v>45534.31609114583</v>
      </c>
      <c r="B218" s="5" t="s">
        <v>34</v>
      </c>
      <c r="D218" s="5" t="s">
        <v>522</v>
      </c>
      <c r="E218" s="5" t="s">
        <v>2270</v>
      </c>
      <c r="F218" s="5" t="s">
        <v>37</v>
      </c>
      <c r="G218" s="5" t="s">
        <v>2271</v>
      </c>
      <c r="H218" s="6" t="s">
        <v>2272</v>
      </c>
      <c r="I218" s="7" t="s">
        <v>2273</v>
      </c>
      <c r="J218" s="8" t="str">
        <f>HYPERLINK("https://drive.google.com/file/d/1c6lMMKEl7amzBkBezVyHDm4wmcjr8BRF/view?usp=drivesdk","AULIA SAFITRI, A.Md.Kep SERTIFIKAT BerAKHLAK")</f>
        <v>AULIA SAFITRI, A.Md.Kep SERTIFIKAT BerAKHLAK</v>
      </c>
      <c r="K218" s="5" t="s">
        <v>1999</v>
      </c>
      <c r="L218" s="5" t="s">
        <v>2274</v>
      </c>
    </row>
    <row r="219">
      <c r="A219" s="4">
        <v>45534.31611803241</v>
      </c>
      <c r="B219" s="5" t="s">
        <v>34</v>
      </c>
      <c r="D219" s="5" t="s">
        <v>267</v>
      </c>
      <c r="E219" s="5" t="s">
        <v>2279</v>
      </c>
      <c r="F219" s="5" t="s">
        <v>375</v>
      </c>
      <c r="G219" s="5" t="s">
        <v>2280</v>
      </c>
      <c r="H219" s="6" t="s">
        <v>2281</v>
      </c>
      <c r="I219" s="7" t="s">
        <v>2282</v>
      </c>
      <c r="J219" s="8" t="str">
        <f>HYPERLINK("https://drive.google.com/file/d/1dyPlbohU2Eeg6WiY-rsR0ov1SPC99irL/view?usp=drivesdk","YULIA SUSIANI SH SERTIFIKAT BerAKHLAK")</f>
        <v>YULIA SUSIANI SH SERTIFIKAT BerAKHLAK</v>
      </c>
      <c r="K219" s="5" t="s">
        <v>1999</v>
      </c>
      <c r="L219" s="5" t="s">
        <v>2283</v>
      </c>
    </row>
    <row r="220">
      <c r="A220" s="4">
        <v>45534.31615745371</v>
      </c>
      <c r="B220" s="5" t="s">
        <v>19</v>
      </c>
      <c r="C220" s="5" t="s">
        <v>292</v>
      </c>
      <c r="E220" s="5" t="s">
        <v>2288</v>
      </c>
      <c r="F220" s="5" t="s">
        <v>72</v>
      </c>
      <c r="G220" s="5" t="s">
        <v>2289</v>
      </c>
      <c r="H220" s="6" t="s">
        <v>2290</v>
      </c>
      <c r="I220" s="7" t="s">
        <v>2291</v>
      </c>
      <c r="J220" s="8" t="str">
        <f>HYPERLINK("https://drive.google.com/file/d/15yQjJWIhRBZksm2MmvM2MmawwCuGVKuM/view?usp=drivesdk","REPELITA BR SITEPU  SERTIFIKAT BerAKHLAK")</f>
        <v>REPELITA BR SITEPU  SERTIFIKAT BerAKHLAK</v>
      </c>
      <c r="K220" s="5" t="s">
        <v>1999</v>
      </c>
      <c r="L220" s="5" t="s">
        <v>2292</v>
      </c>
    </row>
    <row r="221">
      <c r="A221" s="4">
        <v>45534.31622741898</v>
      </c>
      <c r="B221" s="5" t="s">
        <v>19</v>
      </c>
      <c r="C221" s="5" t="s">
        <v>292</v>
      </c>
      <c r="E221" s="5" t="s">
        <v>2298</v>
      </c>
      <c r="F221" s="5" t="s">
        <v>72</v>
      </c>
      <c r="G221" s="5" t="s">
        <v>2299</v>
      </c>
      <c r="H221" s="6" t="s">
        <v>2300</v>
      </c>
      <c r="I221" s="7" t="s">
        <v>2301</v>
      </c>
      <c r="J221" s="8" t="str">
        <f>HYPERLINK("https://drive.google.com/file/d/1D5USBlelSONvKVTtk-toxY4uO56Zfs_n/view?usp=drivesdk","RINA RISTANTI HIDAYAT SERTIFIKAT BerAKHLAK")</f>
        <v>RINA RISTANTI HIDAYAT SERTIFIKAT BerAKHLAK</v>
      </c>
      <c r="K221" s="5" t="s">
        <v>1999</v>
      </c>
      <c r="L221" s="5" t="s">
        <v>2302</v>
      </c>
    </row>
    <row r="222">
      <c r="A222" s="4">
        <v>45534.31622978009</v>
      </c>
      <c r="B222" s="5" t="s">
        <v>34</v>
      </c>
      <c r="D222" s="5" t="s">
        <v>522</v>
      </c>
      <c r="E222" s="5" t="s">
        <v>2307</v>
      </c>
      <c r="F222" s="5" t="s">
        <v>37</v>
      </c>
      <c r="G222" s="5" t="s">
        <v>2308</v>
      </c>
      <c r="H222" s="6" t="s">
        <v>2309</v>
      </c>
      <c r="I222" s="7" t="s">
        <v>2310</v>
      </c>
      <c r="J222" s="8" t="str">
        <f>HYPERLINK("https://drive.google.com/file/d/1LT91osLSNGhNTSjx21-NO6TYdl-y6aRU/view?usp=drivesdk","ANJELLA EKAWATI POHAN SERTIFIKAT BerAKHLAK")</f>
        <v>ANJELLA EKAWATI POHAN SERTIFIKAT BerAKHLAK</v>
      </c>
      <c r="K222" s="5" t="s">
        <v>1999</v>
      </c>
      <c r="L222" s="5" t="s">
        <v>2311</v>
      </c>
    </row>
    <row r="223">
      <c r="A223" s="4">
        <v>45534.316230717595</v>
      </c>
      <c r="B223" s="5" t="s">
        <v>19</v>
      </c>
      <c r="C223" s="5" t="s">
        <v>292</v>
      </c>
      <c r="E223" s="5" t="s">
        <v>2316</v>
      </c>
      <c r="F223" s="5" t="s">
        <v>524</v>
      </c>
      <c r="G223" s="5" t="s">
        <v>2317</v>
      </c>
      <c r="H223" s="6" t="s">
        <v>2318</v>
      </c>
      <c r="I223" s="7" t="s">
        <v>2319</v>
      </c>
      <c r="J223" s="8" t="str">
        <f>HYPERLINK("https://drive.google.com/file/d/1TPpJh6vUZoKXWVdn2U3PgO3lWbDy1Sqs/view?usp=drivesdk","ASEP FITRIADI, S.M. SERTIFIKAT BerAKHLAK")</f>
        <v>ASEP FITRIADI, S.M. SERTIFIKAT BerAKHLAK</v>
      </c>
      <c r="K223" s="5" t="s">
        <v>2244</v>
      </c>
      <c r="L223" s="5" t="s">
        <v>2320</v>
      </c>
    </row>
    <row r="224">
      <c r="A224" s="4">
        <v>45534.31623494213</v>
      </c>
      <c r="B224" s="5" t="s">
        <v>34</v>
      </c>
      <c r="D224" s="5" t="s">
        <v>522</v>
      </c>
      <c r="E224" s="5" t="s">
        <v>2326</v>
      </c>
      <c r="F224" s="5" t="s">
        <v>37</v>
      </c>
      <c r="G224" s="5" t="s">
        <v>2327</v>
      </c>
      <c r="H224" s="6" t="s">
        <v>2328</v>
      </c>
      <c r="I224" s="7" t="s">
        <v>2329</v>
      </c>
      <c r="J224" s="8" t="str">
        <f>HYPERLINK("https://drive.google.com/file/d/1-I40Oe1fxUAtJh3_rhefZCeyp2VJnAmm/view?usp=drivesdk","NUNUK YULIANTI  SERTIFIKAT BerAKHLAK")</f>
        <v>NUNUK YULIANTI  SERTIFIKAT BerAKHLAK</v>
      </c>
      <c r="K224" s="5" t="s">
        <v>2244</v>
      </c>
      <c r="L224" s="5" t="s">
        <v>2330</v>
      </c>
    </row>
    <row r="225">
      <c r="A225" s="4">
        <v>45534.31623732639</v>
      </c>
      <c r="B225" s="5" t="s">
        <v>34</v>
      </c>
      <c r="D225" s="5" t="s">
        <v>1206</v>
      </c>
      <c r="E225" s="5" t="s">
        <v>2335</v>
      </c>
      <c r="F225" s="5" t="s">
        <v>375</v>
      </c>
      <c r="G225" s="5" t="s">
        <v>2336</v>
      </c>
      <c r="H225" s="6" t="s">
        <v>2337</v>
      </c>
      <c r="I225" s="7" t="s">
        <v>2338</v>
      </c>
      <c r="J225" s="8" t="str">
        <f>HYPERLINK("https://drive.google.com/file/d/1mB4Z-z8kGgZyUZhZQoGvHyqktMJwMM2w/view?usp=drivesdk","LIS SUDANARSIH SERTIFIKAT BerAKHLAK")</f>
        <v>LIS SUDANARSIH SERTIFIKAT BerAKHLAK</v>
      </c>
      <c r="K225" s="5" t="s">
        <v>2244</v>
      </c>
      <c r="L225" s="5" t="s">
        <v>2339</v>
      </c>
    </row>
    <row r="226">
      <c r="A226" s="4">
        <v>45534.31625232639</v>
      </c>
      <c r="B226" s="5" t="s">
        <v>34</v>
      </c>
      <c r="D226" s="5" t="s">
        <v>580</v>
      </c>
      <c r="E226" s="5" t="s">
        <v>2345</v>
      </c>
      <c r="F226" s="5" t="s">
        <v>212</v>
      </c>
      <c r="G226" s="5" t="s">
        <v>2346</v>
      </c>
      <c r="H226" s="6" t="s">
        <v>2347</v>
      </c>
      <c r="I226" s="7" t="s">
        <v>2348</v>
      </c>
      <c r="J226" s="8" t="str">
        <f>HYPERLINK("https://drive.google.com/file/d/1mcaUIoXEUhOYZXCvZqpLhG0Kw732FqKM/view?usp=drivesdk","KADEK OVA SUSIANI SERTIFIKAT BerAKHLAK")</f>
        <v>KADEK OVA SUSIANI SERTIFIKAT BerAKHLAK</v>
      </c>
      <c r="K226" s="5" t="s">
        <v>2244</v>
      </c>
      <c r="L226" s="5" t="s">
        <v>2349</v>
      </c>
    </row>
    <row r="227">
      <c r="A227" s="4">
        <v>45534.316267268514</v>
      </c>
      <c r="B227" s="5" t="s">
        <v>19</v>
      </c>
      <c r="C227" s="5" t="s">
        <v>292</v>
      </c>
      <c r="E227" s="5" t="s">
        <v>2354</v>
      </c>
      <c r="F227" s="5" t="s">
        <v>108</v>
      </c>
      <c r="G227" s="5" t="s">
        <v>2355</v>
      </c>
      <c r="H227" s="6" t="s">
        <v>2356</v>
      </c>
      <c r="I227" s="7" t="s">
        <v>2357</v>
      </c>
      <c r="J227" s="8" t="str">
        <f>HYPERLINK("https://drive.google.com/file/d/11wVMJ4KkbwMRZi08UK1fIoM-BRPvdOd3/view?usp=drivesdk","MUFLIKHUDIN, S.E. SERTIFIKAT BerAKHLAK")</f>
        <v>MUFLIKHUDIN, S.E. SERTIFIKAT BerAKHLAK</v>
      </c>
      <c r="K227" s="5" t="s">
        <v>2358</v>
      </c>
      <c r="L227" s="5" t="s">
        <v>2359</v>
      </c>
    </row>
    <row r="228">
      <c r="A228" s="4">
        <v>45534.316286076384</v>
      </c>
      <c r="B228" s="5" t="s">
        <v>34</v>
      </c>
      <c r="D228" s="5" t="s">
        <v>580</v>
      </c>
      <c r="E228" s="5" t="s">
        <v>2364</v>
      </c>
      <c r="F228" s="5" t="s">
        <v>715</v>
      </c>
      <c r="G228" s="5" t="s">
        <v>2365</v>
      </c>
      <c r="H228" s="6" t="s">
        <v>2366</v>
      </c>
      <c r="I228" s="7" t="s">
        <v>2367</v>
      </c>
      <c r="J228" s="8" t="str">
        <f>HYPERLINK("https://drive.google.com/file/d/1B4nsWjURmjYpKbQjHj5kZIxXc2F9G5gi/view?usp=drivesdk","NI PUTU PURWANINGSIH, S. H SERTIFIKAT BerAKHLAK")</f>
        <v>NI PUTU PURWANINGSIH, S. H SERTIFIKAT BerAKHLAK</v>
      </c>
      <c r="K228" s="5" t="s">
        <v>2358</v>
      </c>
      <c r="L228" s="5" t="s">
        <v>2368</v>
      </c>
    </row>
    <row r="229">
      <c r="A229" s="4">
        <v>45534.316287071764</v>
      </c>
      <c r="B229" s="5" t="s">
        <v>34</v>
      </c>
      <c r="D229" s="5" t="s">
        <v>1206</v>
      </c>
      <c r="E229" s="5" t="s">
        <v>2373</v>
      </c>
      <c r="F229" s="5" t="s">
        <v>212</v>
      </c>
      <c r="G229" s="5" t="s">
        <v>2374</v>
      </c>
      <c r="H229" s="6" t="s">
        <v>2375</v>
      </c>
      <c r="I229" s="7" t="s">
        <v>2376</v>
      </c>
      <c r="J229" s="8" t="str">
        <f>HYPERLINK("https://drive.google.com/file/d/1gex8rbMePdp8S0XBh7Rxdsxz6k0NAOvm/view?usp=drivesdk","VINCENTIA WAHYU CANDRA DEWI  SERTIFIKAT BerAKHLAK")</f>
        <v>VINCENTIA WAHYU CANDRA DEWI  SERTIFIKAT BerAKHLAK</v>
      </c>
      <c r="K229" s="5" t="s">
        <v>2358</v>
      </c>
      <c r="L229" s="5" t="s">
        <v>2377</v>
      </c>
    </row>
    <row r="230">
      <c r="A230" s="4">
        <v>45534.31634292824</v>
      </c>
      <c r="B230" s="5" t="s">
        <v>34</v>
      </c>
      <c r="D230" s="5" t="s">
        <v>1768</v>
      </c>
      <c r="E230" s="5" t="s">
        <v>2384</v>
      </c>
      <c r="F230" s="5" t="s">
        <v>37</v>
      </c>
      <c r="G230" s="5" t="s">
        <v>2385</v>
      </c>
      <c r="H230" s="6" t="s">
        <v>2386</v>
      </c>
      <c r="I230" s="7" t="s">
        <v>2387</v>
      </c>
      <c r="J230" s="8" t="str">
        <f>HYPERLINK("https://drive.google.com/file/d/1cB8gb4DPGdu4BH-7x4Lshu_CwoYtRDeK/view?usp=drivesdk","CHUSNUL CHOTIMAH SERTIFIKAT BerAKHLAK")</f>
        <v>CHUSNUL CHOTIMAH SERTIFIKAT BerAKHLAK</v>
      </c>
      <c r="K230" s="5" t="s">
        <v>1999</v>
      </c>
      <c r="L230" s="5" t="s">
        <v>2388</v>
      </c>
    </row>
    <row r="231">
      <c r="A231" s="4">
        <v>45534.316345115745</v>
      </c>
      <c r="B231" s="5" t="s">
        <v>34</v>
      </c>
      <c r="D231" s="5" t="s">
        <v>996</v>
      </c>
      <c r="E231" s="5" t="s">
        <v>2393</v>
      </c>
      <c r="F231" s="5" t="s">
        <v>37</v>
      </c>
      <c r="G231" s="5" t="s">
        <v>2394</v>
      </c>
      <c r="H231" s="6" t="s">
        <v>2395</v>
      </c>
      <c r="I231" s="7" t="s">
        <v>2396</v>
      </c>
      <c r="J231" s="8" t="str">
        <f>HYPERLINK("https://drive.google.com/file/d/1ZfUHQUzBYT0bik5kOB3gvGEWCPRfOJEA/view?usp=drivesdk","PENGATUR MIRA WYDIA POLRES TABALONG SERTIFIKAT BerAKHLAK")</f>
        <v>PENGATUR MIRA WYDIA POLRES TABALONG SERTIFIKAT BerAKHLAK</v>
      </c>
      <c r="K231" s="5" t="s">
        <v>1999</v>
      </c>
      <c r="L231" s="5" t="s">
        <v>2397</v>
      </c>
    </row>
    <row r="232">
      <c r="A232" s="4">
        <v>45534.31637990741</v>
      </c>
      <c r="B232" s="5" t="s">
        <v>34</v>
      </c>
      <c r="D232" s="5" t="s">
        <v>604</v>
      </c>
      <c r="E232" s="5" t="s">
        <v>2403</v>
      </c>
      <c r="F232" s="5" t="s">
        <v>37</v>
      </c>
      <c r="G232" s="5" t="s">
        <v>2404</v>
      </c>
      <c r="H232" s="6" t="s">
        <v>2405</v>
      </c>
      <c r="I232" s="7" t="s">
        <v>2406</v>
      </c>
      <c r="J232" s="8" t="str">
        <f>HYPERLINK("https://drive.google.com/file/d/1VlMHL6zwSQ603sPhlAQsarU04f9lMys4/view?usp=drivesdk","SITI MARYATUN SERTIFIKAT BerAKHLAK")</f>
        <v>SITI MARYATUN SERTIFIKAT BerAKHLAK</v>
      </c>
      <c r="K232" s="5" t="s">
        <v>1999</v>
      </c>
      <c r="L232" s="5" t="s">
        <v>2407</v>
      </c>
    </row>
    <row r="233">
      <c r="A233" s="4">
        <v>45534.316429259256</v>
      </c>
      <c r="B233" s="5" t="s">
        <v>34</v>
      </c>
      <c r="D233" s="5" t="s">
        <v>35</v>
      </c>
      <c r="E233" s="5" t="s">
        <v>2413</v>
      </c>
      <c r="F233" s="5" t="s">
        <v>37</v>
      </c>
      <c r="G233" s="5" t="s">
        <v>2414</v>
      </c>
      <c r="H233" s="6" t="s">
        <v>2415</v>
      </c>
      <c r="I233" s="7" t="s">
        <v>2416</v>
      </c>
      <c r="J233" s="8" t="str">
        <f>HYPERLINK("https://drive.google.com/file/d/1GdUjUMOADDsLYiTaWbvODs9QLNNZqpZH/view?usp=drivesdk","OFIK TAUFIKUROCHMAN SERTIFIKAT BerAKHLAK")</f>
        <v>OFIK TAUFIKUROCHMAN SERTIFIKAT BerAKHLAK</v>
      </c>
      <c r="K233" s="5" t="s">
        <v>1999</v>
      </c>
      <c r="L233" s="5" t="s">
        <v>2417</v>
      </c>
    </row>
    <row r="234">
      <c r="A234" s="4">
        <v>45534.31643556713</v>
      </c>
      <c r="B234" s="5" t="s">
        <v>34</v>
      </c>
      <c r="D234" s="5" t="s">
        <v>1456</v>
      </c>
      <c r="E234" s="5" t="s">
        <v>2422</v>
      </c>
      <c r="F234" s="5" t="s">
        <v>37</v>
      </c>
      <c r="G234" s="5" t="s">
        <v>2423</v>
      </c>
      <c r="H234" s="6" t="s">
        <v>2424</v>
      </c>
      <c r="I234" s="7" t="s">
        <v>2425</v>
      </c>
      <c r="J234" s="8" t="str">
        <f>HYPERLINK("https://drive.google.com/file/d/1tS8MTUQBlUQ9EJYkTxMlrRHnyCaoHSPP/view?usp=drivesdk","AGUS SUTANTO, S.H SERTIFIKAT BerAKHLAK")</f>
        <v>AGUS SUTANTO, S.H SERTIFIKAT BerAKHLAK</v>
      </c>
      <c r="K234" s="5" t="s">
        <v>2244</v>
      </c>
      <c r="L234" s="5" t="s">
        <v>2426</v>
      </c>
    </row>
    <row r="235">
      <c r="A235" s="4">
        <v>45534.31643693287</v>
      </c>
      <c r="B235" s="5" t="s">
        <v>34</v>
      </c>
      <c r="D235" s="5" t="s">
        <v>1768</v>
      </c>
      <c r="E235" s="5" t="s">
        <v>2432</v>
      </c>
      <c r="F235" s="5" t="s">
        <v>37</v>
      </c>
      <c r="G235" s="5" t="s">
        <v>2433</v>
      </c>
      <c r="H235" s="6" t="s">
        <v>2434</v>
      </c>
      <c r="I235" s="7" t="s">
        <v>2435</v>
      </c>
      <c r="J235" s="8" t="str">
        <f>HYPERLINK("https://drive.google.com/file/d/1zz5BVvlQKPJ8AXSM_i4Q5j02jpTOfkR6/view?usp=drivesdk","SITI HINDAYANI SERTIFIKAT BerAKHLAK")</f>
        <v>SITI HINDAYANI SERTIFIKAT BerAKHLAK</v>
      </c>
      <c r="K235" s="5" t="s">
        <v>2244</v>
      </c>
      <c r="L235" s="5" t="s">
        <v>2436</v>
      </c>
    </row>
    <row r="236">
      <c r="A236" s="4">
        <v>45534.316446956014</v>
      </c>
      <c r="B236" s="5" t="s">
        <v>34</v>
      </c>
      <c r="D236" s="5" t="s">
        <v>267</v>
      </c>
      <c r="E236" s="5" t="s">
        <v>2441</v>
      </c>
      <c r="F236" s="5" t="s">
        <v>37</v>
      </c>
      <c r="G236" s="5" t="s">
        <v>2442</v>
      </c>
      <c r="H236" s="6" t="s">
        <v>2443</v>
      </c>
      <c r="I236" s="7" t="s">
        <v>2444</v>
      </c>
      <c r="J236" s="8" t="str">
        <f>HYPERLINK("https://drive.google.com/file/d/1zLwGL1NDhTgm4-Qj_-sxtn7xI3azuElg/view?usp=drivesdk","HARNIS RIZKA PRATIWI SERTIFIKAT BerAKHLAK")</f>
        <v>HARNIS RIZKA PRATIWI SERTIFIKAT BerAKHLAK</v>
      </c>
      <c r="K236" s="5" t="s">
        <v>2244</v>
      </c>
      <c r="L236" s="5" t="s">
        <v>2445</v>
      </c>
    </row>
    <row r="237">
      <c r="A237" s="4">
        <v>45534.31645939815</v>
      </c>
      <c r="B237" s="5" t="s">
        <v>19</v>
      </c>
      <c r="C237" s="5" t="s">
        <v>466</v>
      </c>
      <c r="E237" s="5" t="s">
        <v>2450</v>
      </c>
      <c r="F237" s="5" t="s">
        <v>375</v>
      </c>
      <c r="G237" s="5" t="s">
        <v>2451</v>
      </c>
      <c r="H237" s="6" t="s">
        <v>2452</v>
      </c>
      <c r="I237" s="7" t="s">
        <v>2453</v>
      </c>
      <c r="J237" s="8" t="str">
        <f>HYPERLINK("https://drive.google.com/file/d/10P_TUyiWsrBnMBXvC__SovKQSO6OJmpj/view?usp=drivesdk","DARU KURNIAWAN SERTIFIKAT BerAKHLAK")</f>
        <v>DARU KURNIAWAN SERTIFIKAT BerAKHLAK</v>
      </c>
      <c r="K237" s="5" t="s">
        <v>2244</v>
      </c>
      <c r="L237" s="5" t="s">
        <v>2454</v>
      </c>
    </row>
    <row r="238">
      <c r="A238" s="4">
        <v>45534.316462222225</v>
      </c>
      <c r="B238" s="5" t="s">
        <v>34</v>
      </c>
      <c r="D238" s="5" t="s">
        <v>1206</v>
      </c>
      <c r="E238" s="5" t="s">
        <v>2459</v>
      </c>
      <c r="F238" s="5" t="s">
        <v>37</v>
      </c>
      <c r="G238" s="5" t="s">
        <v>2460</v>
      </c>
      <c r="H238" s="6" t="s">
        <v>2461</v>
      </c>
      <c r="I238" s="7" t="s">
        <v>2462</v>
      </c>
      <c r="J238" s="8" t="str">
        <f>HYPERLINK("https://drive.google.com/file/d/1WJ3J4SxY-aZ_oUga5dHQCxu4mct0GAFv/view?usp=drivesdk","HENI HARYANISWATI SERTIFIKAT BerAKHLAK")</f>
        <v>HENI HARYANISWATI SERTIFIKAT BerAKHLAK</v>
      </c>
      <c r="K238" s="5" t="s">
        <v>2358</v>
      </c>
      <c r="L238" s="5" t="s">
        <v>2463</v>
      </c>
    </row>
    <row r="239">
      <c r="A239" s="4">
        <v>45534.31646726852</v>
      </c>
      <c r="B239" s="5" t="s">
        <v>34</v>
      </c>
      <c r="D239" s="5" t="s">
        <v>1768</v>
      </c>
      <c r="E239" s="5" t="s">
        <v>2468</v>
      </c>
      <c r="F239" s="5" t="s">
        <v>108</v>
      </c>
      <c r="G239" s="5" t="s">
        <v>2469</v>
      </c>
      <c r="H239" s="6" t="s">
        <v>2470</v>
      </c>
      <c r="I239" s="7" t="s">
        <v>2471</v>
      </c>
      <c r="J239" s="8" t="str">
        <f>HYPERLINK("https://drive.google.com/file/d/1TFF1AATfl5x7Du62DWXJAMELEf2c-vWe/view?usp=drivesdk","apt. ELSHA WIGUNA SUMANTI, S. Farm SERTIFIKAT BerAKHLAK")</f>
        <v>apt. ELSHA WIGUNA SUMANTI, S. Farm SERTIFIKAT BerAKHLAK</v>
      </c>
      <c r="K239" s="5" t="s">
        <v>2358</v>
      </c>
      <c r="L239" s="5" t="s">
        <v>2472</v>
      </c>
    </row>
    <row r="240">
      <c r="A240" s="4">
        <v>45534.31648354167</v>
      </c>
      <c r="B240" s="5" t="s">
        <v>34</v>
      </c>
      <c r="D240" s="5" t="s">
        <v>35</v>
      </c>
      <c r="E240" s="5" t="s">
        <v>2478</v>
      </c>
      <c r="F240" s="5" t="s">
        <v>37</v>
      </c>
      <c r="G240" s="5" t="s">
        <v>2479</v>
      </c>
      <c r="H240" s="6" t="s">
        <v>2480</v>
      </c>
      <c r="I240" s="7" t="s">
        <v>2481</v>
      </c>
      <c r="J240" s="8" t="str">
        <f>HYPERLINK("https://drive.google.com/file/d/1LGshiyePEMt3ZG2IoAaTsXlZsXaz1oVx/view?usp=drivesdk","RATNA KUSDINAR SERTIFIKAT BerAKHLAK")</f>
        <v>RATNA KUSDINAR SERTIFIKAT BerAKHLAK</v>
      </c>
      <c r="K240" s="5" t="s">
        <v>1999</v>
      </c>
      <c r="L240" s="5" t="s">
        <v>2482</v>
      </c>
    </row>
    <row r="241">
      <c r="A241" s="4">
        <v>45534.31652371528</v>
      </c>
      <c r="B241" s="5" t="s">
        <v>34</v>
      </c>
      <c r="D241" s="5" t="s">
        <v>522</v>
      </c>
      <c r="E241" s="5" t="s">
        <v>2487</v>
      </c>
      <c r="F241" s="5" t="s">
        <v>524</v>
      </c>
      <c r="G241" s="5" t="s">
        <v>2488</v>
      </c>
      <c r="H241" s="6" t="s">
        <v>2489</v>
      </c>
      <c r="I241" s="7" t="s">
        <v>2490</v>
      </c>
      <c r="J241" s="8" t="str">
        <f>HYPERLINK("https://drive.google.com/file/d/1O6hFjnhdyl2y2WHM-yBTfqmCBIacGE5X/view?usp=drivesdk","PENDA LALU MUHAMMAD ARIES KURNIAWAN SERTIFIKAT BerAKHLAK")</f>
        <v>PENDA LALU MUHAMMAD ARIES KURNIAWAN SERTIFIKAT BerAKHLAK</v>
      </c>
      <c r="K241" s="5" t="s">
        <v>2244</v>
      </c>
      <c r="L241" s="5" t="s">
        <v>2491</v>
      </c>
    </row>
    <row r="242">
      <c r="A242" s="4">
        <v>45534.31652832176</v>
      </c>
      <c r="B242" s="5" t="s">
        <v>34</v>
      </c>
      <c r="D242" s="5" t="s">
        <v>1206</v>
      </c>
      <c r="E242" s="5" t="s">
        <v>2496</v>
      </c>
      <c r="F242" s="5" t="s">
        <v>212</v>
      </c>
      <c r="G242" s="5" t="s">
        <v>2497</v>
      </c>
      <c r="H242" s="6" t="s">
        <v>2498</v>
      </c>
      <c r="I242" s="7" t="s">
        <v>2499</v>
      </c>
      <c r="J242" s="8" t="str">
        <f>HYPERLINK("https://drive.google.com/file/d/175l1cjQodxHxECuberBXQTISebGFzJHu/view?usp=drivesdk","ANOM UTAMI KURNIA ASIH  SERTIFIKAT BerAKHLAK")</f>
        <v>ANOM UTAMI KURNIA ASIH  SERTIFIKAT BerAKHLAK</v>
      </c>
      <c r="K242" s="5" t="s">
        <v>2244</v>
      </c>
      <c r="L242" s="5" t="s">
        <v>2500</v>
      </c>
    </row>
    <row r="243">
      <c r="A243" s="4">
        <v>45534.316534328704</v>
      </c>
      <c r="B243" s="5" t="s">
        <v>34</v>
      </c>
      <c r="D243" s="5" t="s">
        <v>580</v>
      </c>
      <c r="E243" s="5" t="s">
        <v>2505</v>
      </c>
      <c r="F243" s="5" t="s">
        <v>37</v>
      </c>
      <c r="G243" s="5" t="s">
        <v>2506</v>
      </c>
      <c r="H243" s="6" t="s">
        <v>2507</v>
      </c>
      <c r="I243" s="7" t="s">
        <v>2508</v>
      </c>
      <c r="J243" s="8" t="str">
        <f>HYPERLINK("https://drive.google.com/file/d/1ivX9aJ-4UlvAsXUEQbba4CzcZ_58O3ka/view?usp=drivesdk","KADEK JULI ASTUTI  SERTIFIKAT BerAKHLAK")</f>
        <v>KADEK JULI ASTUTI  SERTIFIKAT BerAKHLAK</v>
      </c>
      <c r="K243" s="5" t="s">
        <v>2244</v>
      </c>
      <c r="L243" s="5" t="s">
        <v>2509</v>
      </c>
    </row>
    <row r="244">
      <c r="A244" s="4">
        <v>45534.316562418986</v>
      </c>
      <c r="B244" s="5" t="s">
        <v>34</v>
      </c>
      <c r="D244" s="5" t="s">
        <v>1206</v>
      </c>
      <c r="E244" s="5" t="s">
        <v>2514</v>
      </c>
      <c r="F244" s="5" t="s">
        <v>72</v>
      </c>
      <c r="G244" s="5" t="s">
        <v>2515</v>
      </c>
      <c r="H244" s="6" t="s">
        <v>2516</v>
      </c>
      <c r="I244" s="7" t="s">
        <v>2517</v>
      </c>
      <c r="J244" s="8" t="str">
        <f>HYPERLINK("https://drive.google.com/file/d/1QaLx8pxsaFBTl_MS6Ynshj9N5poKG2pW/view?usp=drivesdk","AGUS SULEMAN, S. KEP. NS SERTIFIKAT BerAKHLAK")</f>
        <v>AGUS SULEMAN, S. KEP. NS SERTIFIKAT BerAKHLAK</v>
      </c>
      <c r="K244" s="5" t="s">
        <v>2244</v>
      </c>
      <c r="L244" s="5" t="s">
        <v>2518</v>
      </c>
    </row>
    <row r="245">
      <c r="A245" s="4">
        <v>45534.316590104165</v>
      </c>
      <c r="B245" s="5" t="s">
        <v>34</v>
      </c>
      <c r="D245" s="5" t="s">
        <v>1692</v>
      </c>
      <c r="E245" s="5" t="s">
        <v>2524</v>
      </c>
      <c r="F245" s="5" t="s">
        <v>212</v>
      </c>
      <c r="G245" s="5" t="s">
        <v>2525</v>
      </c>
      <c r="H245" s="6" t="s">
        <v>2526</v>
      </c>
      <c r="I245" s="7" t="s">
        <v>2527</v>
      </c>
      <c r="J245" s="8" t="str">
        <f>HYPERLINK("https://drive.google.com/file/d/1aNac1ZPzZ4V7wuvCXqd6_pzpdAhIUvRA/view?usp=drivesdk","MAIKEL JANES TETELEPTA SERTIFIKAT BerAKHLAK")</f>
        <v>MAIKEL JANES TETELEPTA SERTIFIKAT BerAKHLAK</v>
      </c>
      <c r="K245" s="5" t="s">
        <v>2244</v>
      </c>
      <c r="L245" s="5" t="s">
        <v>2528</v>
      </c>
    </row>
    <row r="246">
      <c r="A246" s="4">
        <v>45534.316590682865</v>
      </c>
      <c r="B246" s="5" t="s">
        <v>34</v>
      </c>
      <c r="D246" s="5" t="s">
        <v>1692</v>
      </c>
      <c r="E246" s="5" t="s">
        <v>2533</v>
      </c>
      <c r="F246" s="5" t="s">
        <v>37</v>
      </c>
      <c r="G246" s="5" t="s">
        <v>2534</v>
      </c>
      <c r="H246" s="6" t="s">
        <v>2535</v>
      </c>
      <c r="I246" s="7" t="s">
        <v>2536</v>
      </c>
      <c r="J246" s="8" t="str">
        <f>HYPERLINK("https://drive.google.com/file/d/1dod84rnnRq0C6gK2jkfjALwLA1Jhjj3q/view?usp=drivesdk","STANLLY ZEPNAT AIPASSA SERTIFIKAT BerAKHLAK")</f>
        <v>STANLLY ZEPNAT AIPASSA SERTIFIKAT BerAKHLAK</v>
      </c>
      <c r="K246" s="5" t="s">
        <v>2244</v>
      </c>
      <c r="L246" s="5" t="s">
        <v>2537</v>
      </c>
    </row>
    <row r="247">
      <c r="A247" s="4">
        <v>45534.31659377315</v>
      </c>
      <c r="B247" s="5" t="s">
        <v>34</v>
      </c>
      <c r="D247" s="5" t="s">
        <v>35</v>
      </c>
      <c r="E247" s="5" t="s">
        <v>2542</v>
      </c>
      <c r="F247" s="5" t="s">
        <v>715</v>
      </c>
      <c r="G247" s="5" t="s">
        <v>2543</v>
      </c>
      <c r="H247" s="6" t="s">
        <v>2544</v>
      </c>
      <c r="I247" s="7" t="s">
        <v>2545</v>
      </c>
      <c r="J247" s="8" t="str">
        <f>HYPERLINK("https://drive.google.com/file/d/1ITDE1bMjHDvuFpwqKuuBdWSh2xxfUa-V/view?usp=drivesdk","DENI WAHYUDIN, S. KOM SERTIFIKAT BerAKHLAK")</f>
        <v>DENI WAHYUDIN, S. KOM SERTIFIKAT BerAKHLAK</v>
      </c>
      <c r="K247" s="5" t="s">
        <v>2244</v>
      </c>
      <c r="L247" s="5" t="s">
        <v>2546</v>
      </c>
    </row>
    <row r="248">
      <c r="A248" s="4">
        <v>45534.316607615736</v>
      </c>
      <c r="B248" s="5" t="s">
        <v>34</v>
      </c>
      <c r="D248" s="5" t="s">
        <v>580</v>
      </c>
      <c r="E248" s="5" t="s">
        <v>2551</v>
      </c>
      <c r="F248" s="5" t="s">
        <v>524</v>
      </c>
      <c r="G248" s="5" t="s">
        <v>2552</v>
      </c>
      <c r="H248" s="6" t="s">
        <v>2553</v>
      </c>
      <c r="I248" s="7" t="s">
        <v>2554</v>
      </c>
      <c r="J248" s="8" t="str">
        <f>HYPERLINK("https://drive.google.com/file/d/1dyBvkV_hcW99b6vYHtnzELfYgtHOaBfX/view?usp=drivesdk","IDA AYU MADE ARININGSIH, A.Md.Kep SERTIFIKAT BerAKHLAK")</f>
        <v>IDA AYU MADE ARININGSIH, A.Md.Kep SERTIFIKAT BerAKHLAK</v>
      </c>
      <c r="K248" s="5" t="s">
        <v>2244</v>
      </c>
      <c r="L248" s="5" t="s">
        <v>2555</v>
      </c>
    </row>
    <row r="249">
      <c r="A249" s="4">
        <v>45534.3166096875</v>
      </c>
      <c r="B249" s="5" t="s">
        <v>34</v>
      </c>
      <c r="D249" s="5" t="s">
        <v>522</v>
      </c>
      <c r="E249" s="5" t="s">
        <v>2560</v>
      </c>
      <c r="F249" s="5" t="s">
        <v>524</v>
      </c>
      <c r="G249" s="5" t="s">
        <v>2561</v>
      </c>
      <c r="H249" s="6" t="s">
        <v>2562</v>
      </c>
      <c r="I249" s="7" t="s">
        <v>2563</v>
      </c>
      <c r="J249" s="8" t="str">
        <f>HYPERLINK("https://drive.google.com/file/d/1WNThO5kD7TbTJaLBs4r98K0jM0q7p0fy/view?usp=drivesdk","ISABELLA THERESIANA ASBANU, S.P. SERTIFIKAT BerAKHLAK")</f>
        <v>ISABELLA THERESIANA ASBANU, S.P. SERTIFIKAT BerAKHLAK</v>
      </c>
      <c r="K249" s="5" t="s">
        <v>2244</v>
      </c>
      <c r="L249" s="5" t="s">
        <v>2564</v>
      </c>
    </row>
    <row r="250">
      <c r="A250" s="4">
        <v>45534.31662388889</v>
      </c>
      <c r="B250" s="5" t="s">
        <v>34</v>
      </c>
      <c r="D250" s="5" t="s">
        <v>35</v>
      </c>
      <c r="E250" s="5" t="s">
        <v>2569</v>
      </c>
      <c r="F250" s="5" t="s">
        <v>715</v>
      </c>
      <c r="G250" s="5" t="s">
        <v>2570</v>
      </c>
      <c r="H250" s="6" t="s">
        <v>2571</v>
      </c>
      <c r="I250" s="7" t="s">
        <v>2572</v>
      </c>
      <c r="J250" s="8" t="str">
        <f>HYPERLINK("https://drive.google.com/file/d/1l9SMikWFE-fAKwbQSHDxvPZb0Rdrrmy7/view?usp=drivesdk","INA AGUSTINA, SE SERTIFIKAT BerAKHLAK")</f>
        <v>INA AGUSTINA, SE SERTIFIKAT BerAKHLAK</v>
      </c>
      <c r="K250" s="5" t="s">
        <v>2244</v>
      </c>
      <c r="L250" s="5" t="s">
        <v>2573</v>
      </c>
    </row>
    <row r="251">
      <c r="A251" s="4">
        <v>45534.31663627315</v>
      </c>
      <c r="B251" s="5" t="s">
        <v>34</v>
      </c>
      <c r="D251" s="5" t="s">
        <v>35</v>
      </c>
      <c r="E251" s="5" t="s">
        <v>2579</v>
      </c>
      <c r="F251" s="5" t="s">
        <v>212</v>
      </c>
      <c r="G251" s="5" t="s">
        <v>2580</v>
      </c>
      <c r="H251" s="6" t="s">
        <v>2581</v>
      </c>
      <c r="I251" s="7" t="s">
        <v>2582</v>
      </c>
      <c r="J251" s="8" t="str">
        <f>HYPERLINK("https://drive.google.com/file/d/1YEmxJcG4X3bypw3lell1PcgrZ0l1tZ34/view?usp=drivesdk","PENGTU NUNUNG ATIKAH SERTIFIKAT BerAKHLAK")</f>
        <v>PENGTU NUNUNG ATIKAH SERTIFIKAT BerAKHLAK</v>
      </c>
      <c r="K251" s="5" t="s">
        <v>2358</v>
      </c>
      <c r="L251" s="5" t="s">
        <v>2583</v>
      </c>
    </row>
    <row r="252">
      <c r="A252" s="4">
        <v>45534.31665879629</v>
      </c>
      <c r="B252" s="5" t="s">
        <v>19</v>
      </c>
      <c r="C252" s="5" t="s">
        <v>292</v>
      </c>
      <c r="E252" s="5" t="s">
        <v>2588</v>
      </c>
      <c r="F252" s="5" t="s">
        <v>212</v>
      </c>
      <c r="G252" s="5" t="s">
        <v>2589</v>
      </c>
      <c r="H252" s="6" t="s">
        <v>2590</v>
      </c>
      <c r="I252" s="7" t="s">
        <v>2591</v>
      </c>
      <c r="J252" s="8" t="str">
        <f>HYPERLINK("https://drive.google.com/file/d/1OaMlnX4acmIXK9oWXG-vQZ4-ax6aHBso/view?usp=drivesdk","RIDWAN HERMAWAN SUKANDAR S.KEP SERTIFIKAT BerAKHLAK")</f>
        <v>RIDWAN HERMAWAN SUKANDAR S.KEP SERTIFIKAT BerAKHLAK</v>
      </c>
      <c r="K252" s="5" t="s">
        <v>2244</v>
      </c>
      <c r="L252" s="5" t="s">
        <v>2592</v>
      </c>
    </row>
    <row r="253">
      <c r="A253" s="4">
        <v>45534.31667408565</v>
      </c>
      <c r="B253" s="5" t="s">
        <v>34</v>
      </c>
      <c r="D253" s="5" t="s">
        <v>35</v>
      </c>
      <c r="E253" s="5" t="s">
        <v>2597</v>
      </c>
      <c r="F253" s="5" t="s">
        <v>37</v>
      </c>
      <c r="G253" s="5" t="s">
        <v>2598</v>
      </c>
      <c r="H253" s="6" t="s">
        <v>2599</v>
      </c>
      <c r="I253" s="7" t="s">
        <v>2600</v>
      </c>
      <c r="J253" s="8" t="str">
        <f>HYPERLINK("https://drive.google.com/file/d/1q79gCfKTd6MA2An9Bh6FuKQBub2rRNZq/view?usp=drivesdk","UDIN MAULUDIN SERTIFIKAT BerAKHLAK")</f>
        <v>UDIN MAULUDIN SERTIFIKAT BerAKHLAK</v>
      </c>
      <c r="K253" s="5" t="s">
        <v>2244</v>
      </c>
      <c r="L253" s="5" t="s">
        <v>2601</v>
      </c>
    </row>
    <row r="254">
      <c r="A254" s="4">
        <v>45534.31669478009</v>
      </c>
      <c r="B254" s="5" t="s">
        <v>34</v>
      </c>
      <c r="D254" s="5" t="s">
        <v>35</v>
      </c>
      <c r="E254" s="5" t="s">
        <v>2606</v>
      </c>
      <c r="F254" s="5" t="s">
        <v>328</v>
      </c>
      <c r="G254" s="5" t="s">
        <v>2607</v>
      </c>
      <c r="H254" s="6" t="s">
        <v>2608</v>
      </c>
      <c r="I254" s="7" t="s">
        <v>2609</v>
      </c>
      <c r="J254" s="8" t="str">
        <f>HYPERLINK("https://drive.google.com/file/d/14f6tyId9mikOYFuPsHzzl36wuVUgTWZx/view?usp=drivesdk","ANDRI SETIAWAN.,S.PD.I.,CPHR.,CHRA. SERTIFIKAT BerAKHLAK")</f>
        <v>ANDRI SETIAWAN.,S.PD.I.,CPHR.,CHRA. SERTIFIKAT BerAKHLAK</v>
      </c>
      <c r="K254" s="5" t="s">
        <v>2244</v>
      </c>
      <c r="L254" s="5" t="s">
        <v>2610</v>
      </c>
    </row>
    <row r="255">
      <c r="A255" s="4">
        <v>45534.3167175</v>
      </c>
      <c r="B255" s="5" t="s">
        <v>19</v>
      </c>
      <c r="C255" s="5" t="s">
        <v>466</v>
      </c>
      <c r="E255" s="5" t="s">
        <v>2615</v>
      </c>
      <c r="F255" s="5" t="s">
        <v>212</v>
      </c>
      <c r="G255" s="5" t="s">
        <v>2616</v>
      </c>
      <c r="H255" s="6" t="s">
        <v>2617</v>
      </c>
      <c r="I255" s="7" t="s">
        <v>2618</v>
      </c>
      <c r="J255" s="8" t="str">
        <f>HYPERLINK("https://drive.google.com/file/d/1bYgSu8WES6Puw21eUnlxKQtRmTJf2NGb/view?usp=drivesdk","IIN SUWARTIIIII SERTIFIKAT BerAKHLAK")</f>
        <v>IIN SUWARTIIIII SERTIFIKAT BerAKHLAK</v>
      </c>
      <c r="K255" s="5" t="s">
        <v>2244</v>
      </c>
      <c r="L255" s="5" t="s">
        <v>2619</v>
      </c>
    </row>
    <row r="256">
      <c r="A256" s="4">
        <v>45534.31673333333</v>
      </c>
      <c r="B256" s="5" t="s">
        <v>19</v>
      </c>
      <c r="C256" s="5" t="s">
        <v>292</v>
      </c>
      <c r="E256" s="5" t="s">
        <v>2624</v>
      </c>
      <c r="F256" s="5" t="s">
        <v>108</v>
      </c>
      <c r="G256" s="5" t="s">
        <v>2625</v>
      </c>
      <c r="H256" s="6" t="s">
        <v>2626</v>
      </c>
      <c r="I256" s="7" t="s">
        <v>2627</v>
      </c>
      <c r="J256" s="8" t="str">
        <f>HYPERLINK("https://drive.google.com/file/d/1TVLHzm2AwCUxDhiiWH56_9dZ-QoccrzN/view?usp=drivesdk","DEWI TRIYANA, A.Md.Keb SERTIFIKAT BerAKHLAK")</f>
        <v>DEWI TRIYANA, A.Md.Keb SERTIFIKAT BerAKHLAK</v>
      </c>
      <c r="K256" s="5" t="s">
        <v>2244</v>
      </c>
      <c r="L256" s="5" t="s">
        <v>2628</v>
      </c>
    </row>
    <row r="257">
      <c r="A257" s="4">
        <v>45534.31674363426</v>
      </c>
      <c r="B257" s="5" t="s">
        <v>34</v>
      </c>
      <c r="D257" s="5" t="s">
        <v>1206</v>
      </c>
      <c r="E257" s="5" t="s">
        <v>2633</v>
      </c>
      <c r="F257" s="5" t="s">
        <v>375</v>
      </c>
      <c r="G257" s="5" t="s">
        <v>2634</v>
      </c>
      <c r="H257" s="6" t="s">
        <v>2635</v>
      </c>
      <c r="I257" s="7" t="s">
        <v>2636</v>
      </c>
      <c r="J257" s="8" t="str">
        <f>HYPERLINK("https://drive.google.com/file/d/1ddQxMcb1oIgXPnk1k_fddZ_s-HqL-bF6/view?usp=drivesdk","ANITA WURI HANDAYANI, S.E., M.M. SERTIFIKAT BerAKHLAK")</f>
        <v>ANITA WURI HANDAYANI, S.E., M.M. SERTIFIKAT BerAKHLAK</v>
      </c>
      <c r="K257" s="5" t="s">
        <v>2244</v>
      </c>
      <c r="L257" s="5" t="s">
        <v>2637</v>
      </c>
    </row>
    <row r="258">
      <c r="A258" s="4">
        <v>45534.31674988426</v>
      </c>
      <c r="B258" s="5" t="s">
        <v>34</v>
      </c>
      <c r="D258" s="5" t="s">
        <v>1206</v>
      </c>
      <c r="E258" s="5" t="s">
        <v>2643</v>
      </c>
      <c r="F258" s="5" t="s">
        <v>212</v>
      </c>
      <c r="G258" s="5" t="s">
        <v>2644</v>
      </c>
      <c r="H258" s="6" t="s">
        <v>2645</v>
      </c>
      <c r="I258" s="7" t="s">
        <v>2646</v>
      </c>
      <c r="J258" s="8" t="str">
        <f>HYPERLINK("https://drive.google.com/file/d/1t2ZCPpZJh3rN3RDs5GP31nqHEQKM-vbN/view?usp=drivesdk","SEPTINA FITRIYA SERTIFIKAT BerAKHLAK")</f>
        <v>SEPTINA FITRIYA SERTIFIKAT BerAKHLAK</v>
      </c>
      <c r="K258" s="5" t="s">
        <v>2244</v>
      </c>
      <c r="L258" s="5" t="s">
        <v>2647</v>
      </c>
    </row>
    <row r="259">
      <c r="A259" s="4">
        <v>45534.31675077546</v>
      </c>
      <c r="B259" s="5" t="s">
        <v>34</v>
      </c>
      <c r="D259" s="5" t="s">
        <v>522</v>
      </c>
      <c r="E259" s="5" t="s">
        <v>2652</v>
      </c>
      <c r="F259" s="5" t="s">
        <v>37</v>
      </c>
      <c r="G259" s="5" t="s">
        <v>2653</v>
      </c>
      <c r="H259" s="6" t="s">
        <v>2654</v>
      </c>
      <c r="I259" s="7" t="s">
        <v>2655</v>
      </c>
      <c r="J259" s="8" t="str">
        <f>HYPERLINK("https://drive.google.com/file/d/14tgErcSy2Kp19Y9HPhHQ68-2gvI39zlw/view?usp=drivesdk","ROI HADI HAMDANI,A.Md.Kep. SERTIFIKAT BerAKHLAK")</f>
        <v>ROI HADI HAMDANI,A.Md.Kep. SERTIFIKAT BerAKHLAK</v>
      </c>
      <c r="K259" s="5" t="s">
        <v>2358</v>
      </c>
      <c r="L259" s="5" t="s">
        <v>2656</v>
      </c>
    </row>
    <row r="260">
      <c r="A260" s="4">
        <v>45534.31676425926</v>
      </c>
      <c r="B260" s="5" t="s">
        <v>34</v>
      </c>
      <c r="D260" s="5" t="s">
        <v>522</v>
      </c>
      <c r="E260" s="5" t="s">
        <v>2661</v>
      </c>
      <c r="F260" s="5" t="s">
        <v>715</v>
      </c>
      <c r="G260" s="5" t="s">
        <v>2662</v>
      </c>
      <c r="H260" s="6" t="s">
        <v>2663</v>
      </c>
      <c r="I260" s="7" t="s">
        <v>2664</v>
      </c>
      <c r="J260" s="8" t="str">
        <f>HYPERLINK("https://drive.google.com/file/d/1xoP-Zw0jFRrmNsH1XJShPmLzxO701Epb/view?usp=drivesdk","HERLINA EFENDI.A.M.D SERTIFIKAT BerAKHLAK")</f>
        <v>HERLINA EFENDI.A.M.D SERTIFIKAT BerAKHLAK</v>
      </c>
      <c r="K260" s="5" t="s">
        <v>2244</v>
      </c>
      <c r="L260" s="5" t="s">
        <v>2665</v>
      </c>
    </row>
    <row r="261">
      <c r="A261" s="4">
        <v>45534.316773252314</v>
      </c>
      <c r="B261" s="5" t="s">
        <v>34</v>
      </c>
      <c r="D261" s="5" t="s">
        <v>522</v>
      </c>
      <c r="E261" s="5" t="s">
        <v>2670</v>
      </c>
      <c r="F261" s="5" t="s">
        <v>715</v>
      </c>
      <c r="G261" s="5" t="s">
        <v>2671</v>
      </c>
      <c r="H261" s="6" t="s">
        <v>2672</v>
      </c>
      <c r="I261" s="7" t="s">
        <v>2673</v>
      </c>
      <c r="J261" s="8" t="str">
        <f>HYPERLINK("https://drive.google.com/file/d/1I2RPjowRAlMT9jdvfxCIMJCwfBoC06zH/view?usp=drivesdk","DEASY RAHMA WATI SERTIFIKAT BerAKHLAK")</f>
        <v>DEASY RAHMA WATI SERTIFIKAT BerAKHLAK</v>
      </c>
      <c r="K261" s="5" t="s">
        <v>2244</v>
      </c>
      <c r="L261" s="5" t="s">
        <v>2674</v>
      </c>
    </row>
    <row r="262">
      <c r="A262" s="4">
        <v>45534.31680425926</v>
      </c>
      <c r="B262" s="5" t="s">
        <v>34</v>
      </c>
      <c r="D262" s="5" t="s">
        <v>35</v>
      </c>
      <c r="E262" s="5" t="s">
        <v>2679</v>
      </c>
      <c r="F262" s="5" t="s">
        <v>37</v>
      </c>
      <c r="G262" s="5" t="s">
        <v>2680</v>
      </c>
      <c r="H262" s="6" t="s">
        <v>2681</v>
      </c>
      <c r="I262" s="7" t="s">
        <v>2682</v>
      </c>
      <c r="J262" s="8" t="str">
        <f>HYPERLINK("https://drive.google.com/file/d/1lUAhBoExJmIfysHTe_YHi_txk-sJDmcj/view?usp=drivesdk","ATEP SAEPUL ANWAR SERTIFIKAT BerAKHLAK")</f>
        <v>ATEP SAEPUL ANWAR SERTIFIKAT BerAKHLAK</v>
      </c>
      <c r="K262" s="5" t="s">
        <v>2244</v>
      </c>
      <c r="L262" s="5" t="s">
        <v>2683</v>
      </c>
    </row>
    <row r="263">
      <c r="A263" s="4">
        <v>45534.31681940972</v>
      </c>
      <c r="B263" s="5" t="s">
        <v>34</v>
      </c>
      <c r="D263" s="5" t="s">
        <v>1206</v>
      </c>
      <c r="E263" s="5" t="s">
        <v>2689</v>
      </c>
      <c r="F263" s="5" t="s">
        <v>328</v>
      </c>
      <c r="G263" s="5" t="s">
        <v>2690</v>
      </c>
      <c r="H263" s="6" t="s">
        <v>2691</v>
      </c>
      <c r="I263" s="7" t="s">
        <v>2692</v>
      </c>
      <c r="J263" s="8" t="str">
        <f>HYPERLINK("https://drive.google.com/file/d/1RNMJAbdBxjOm6VPIyaMNqBgOMW0kG9Tr/view?usp=drivesdk","MISLANI ROHIMAWATI SERTIFIKAT BerAKHLAK")</f>
        <v>MISLANI ROHIMAWATI SERTIFIKAT BerAKHLAK</v>
      </c>
      <c r="K263" s="5" t="s">
        <v>2244</v>
      </c>
      <c r="L263" s="5" t="s">
        <v>2693</v>
      </c>
    </row>
    <row r="264">
      <c r="A264" s="4">
        <v>45534.31683545139</v>
      </c>
      <c r="B264" s="5" t="s">
        <v>34</v>
      </c>
      <c r="D264" s="5" t="s">
        <v>604</v>
      </c>
      <c r="E264" s="5" t="s">
        <v>2698</v>
      </c>
      <c r="F264" s="5" t="s">
        <v>120</v>
      </c>
      <c r="G264" s="5" t="s">
        <v>2699</v>
      </c>
      <c r="H264" s="6" t="s">
        <v>2700</v>
      </c>
      <c r="I264" s="7" t="s">
        <v>2701</v>
      </c>
      <c r="J264" s="8" t="str">
        <f>HYPERLINK("https://drive.google.com/file/d/1nAEkqOKHz3XA_aWPWKWUqqWoi2H_WOd6/view?usp=drivesdk","ERLINA HENDRIASTUTI SERTIFIKAT BerAKHLAK")</f>
        <v>ERLINA HENDRIASTUTI SERTIFIKAT BerAKHLAK</v>
      </c>
      <c r="K264" s="5" t="s">
        <v>2244</v>
      </c>
      <c r="L264" s="5" t="s">
        <v>2702</v>
      </c>
    </row>
    <row r="265">
      <c r="A265" s="4">
        <v>45534.31686761574</v>
      </c>
      <c r="B265" s="5" t="s">
        <v>34</v>
      </c>
      <c r="D265" s="5" t="s">
        <v>1206</v>
      </c>
      <c r="E265" s="5" t="s">
        <v>2707</v>
      </c>
      <c r="F265" s="5" t="s">
        <v>212</v>
      </c>
      <c r="G265" s="5" t="s">
        <v>2708</v>
      </c>
      <c r="H265" s="6" t="s">
        <v>2709</v>
      </c>
      <c r="I265" s="7" t="s">
        <v>2710</v>
      </c>
      <c r="J265" s="8" t="str">
        <f>HYPERLINK("https://drive.google.com/file/d/14rzJ3XL7i1w2-0OEFI0r1mXnnN-4zYhj/view?usp=drivesdk","DWI NOVI ANDRIYANTO,S. Kep. Ners SERTIFIKAT BerAKHLAK")</f>
        <v>DWI NOVI ANDRIYANTO,S. Kep. Ners SERTIFIKAT BerAKHLAK</v>
      </c>
      <c r="K265" s="5" t="s">
        <v>2244</v>
      </c>
      <c r="L265" s="5" t="s">
        <v>2711</v>
      </c>
    </row>
    <row r="266">
      <c r="A266" s="4">
        <v>45534.31687412037</v>
      </c>
      <c r="B266" s="5" t="s">
        <v>34</v>
      </c>
      <c r="D266" s="5" t="s">
        <v>1663</v>
      </c>
      <c r="E266" s="5" t="s">
        <v>2716</v>
      </c>
      <c r="F266" s="5" t="s">
        <v>37</v>
      </c>
      <c r="G266" s="5" t="s">
        <v>2717</v>
      </c>
      <c r="H266" s="6" t="s">
        <v>2718</v>
      </c>
      <c r="I266" s="7" t="s">
        <v>2719</v>
      </c>
      <c r="J266" s="8" t="str">
        <f>HYPERLINK("https://drive.google.com/file/d/1UyW5gA8I1egPlewK9Nd6r7GfTY3K7YhX/view?usp=drivesdk","DIAN RETNO HANDAYANI, S.H. SERTIFIKAT BerAKHLAK")</f>
        <v>DIAN RETNO HANDAYANI, S.H. SERTIFIKAT BerAKHLAK</v>
      </c>
      <c r="K266" s="5" t="s">
        <v>2244</v>
      </c>
      <c r="L266" s="5" t="s">
        <v>2720</v>
      </c>
    </row>
    <row r="267">
      <c r="A267" s="4">
        <v>45534.31688075232</v>
      </c>
      <c r="B267" s="5" t="s">
        <v>34</v>
      </c>
      <c r="D267" s="5" t="s">
        <v>1456</v>
      </c>
      <c r="E267" s="5" t="s">
        <v>2725</v>
      </c>
      <c r="F267" s="5" t="s">
        <v>524</v>
      </c>
      <c r="G267" s="5" t="s">
        <v>2726</v>
      </c>
      <c r="H267" s="6" t="s">
        <v>2727</v>
      </c>
      <c r="I267" s="7" t="s">
        <v>2728</v>
      </c>
      <c r="J267" s="8" t="str">
        <f>HYPERLINK("https://drive.google.com/file/d/1sRIkwl76uf_C9wpQ17RIWYqBm3a_s1S9/view?usp=drivesdk","EKO NOPRIANSYAH  SERTIFIKAT BerAKHLAK")</f>
        <v>EKO NOPRIANSYAH  SERTIFIKAT BerAKHLAK</v>
      </c>
      <c r="K267" s="5" t="s">
        <v>2244</v>
      </c>
      <c r="L267" s="5" t="s">
        <v>2729</v>
      </c>
    </row>
    <row r="268">
      <c r="A268" s="4">
        <v>45534.31689306713</v>
      </c>
      <c r="B268" s="5" t="s">
        <v>19</v>
      </c>
      <c r="C268" s="5" t="s">
        <v>466</v>
      </c>
      <c r="E268" s="5" t="s">
        <v>2735</v>
      </c>
      <c r="F268" s="5" t="s">
        <v>212</v>
      </c>
      <c r="G268" s="5" t="s">
        <v>2736</v>
      </c>
      <c r="H268" s="6" t="s">
        <v>2737</v>
      </c>
      <c r="I268" s="7" t="s">
        <v>2738</v>
      </c>
      <c r="J268" s="8" t="str">
        <f>HYPERLINK("https://drive.google.com/file/d/1UsjuXoxsRSOEFdDyl2-qsuNnwAoxCbwi/view?usp=drivesdk","ALIN NURHAFINI MAULANI SERTIFIKAT BerAKHLAK")</f>
        <v>ALIN NURHAFINI MAULANI SERTIFIKAT BerAKHLAK</v>
      </c>
      <c r="K268" s="5" t="s">
        <v>2244</v>
      </c>
      <c r="L268" s="5" t="s">
        <v>2739</v>
      </c>
    </row>
    <row r="269">
      <c r="A269" s="4">
        <v>45534.316898668985</v>
      </c>
      <c r="B269" s="5" t="s">
        <v>34</v>
      </c>
      <c r="D269" s="5" t="s">
        <v>522</v>
      </c>
      <c r="E269" s="5" t="s">
        <v>2745</v>
      </c>
      <c r="F269" s="5" t="s">
        <v>375</v>
      </c>
      <c r="G269" s="5" t="s">
        <v>2746</v>
      </c>
      <c r="H269" s="6" t="s">
        <v>2747</v>
      </c>
      <c r="I269" s="7" t="s">
        <v>2748</v>
      </c>
      <c r="J269" s="8" t="str">
        <f>HYPERLINK("https://drive.google.com/file/d/1Y1JID9_F-zpO5UnmHUp91CNVBYoo6Cus/view?usp=drivesdk","PUTU WIWIK ASNAWATI. S.Ag., M.M. SERTIFIKAT BerAKHLAK")</f>
        <v>PUTU WIWIK ASNAWATI. S.Ag., M.M. SERTIFIKAT BerAKHLAK</v>
      </c>
      <c r="K269" s="5" t="s">
        <v>2358</v>
      </c>
      <c r="L269" s="5" t="s">
        <v>2749</v>
      </c>
    </row>
    <row r="270">
      <c r="A270" s="4">
        <v>45534.31690417824</v>
      </c>
      <c r="B270" s="5" t="s">
        <v>34</v>
      </c>
      <c r="D270" s="5" t="s">
        <v>604</v>
      </c>
      <c r="E270" s="5" t="s">
        <v>2754</v>
      </c>
      <c r="F270" s="5" t="s">
        <v>72</v>
      </c>
      <c r="G270" s="5" t="s">
        <v>2755</v>
      </c>
      <c r="H270" s="6" t="s">
        <v>2756</v>
      </c>
      <c r="I270" s="7" t="s">
        <v>2757</v>
      </c>
      <c r="J270" s="8" t="str">
        <f>HYPERLINK("https://drive.google.com/file/d/13yJkFMOfYyCdseA0QK8bOwTGvHzW7m1s/view?usp=drivesdk","ASRIANI TODINGAN, AMK SERTIFIKAT BerAKHLAK")</f>
        <v>ASRIANI TODINGAN, AMK SERTIFIKAT BerAKHLAK</v>
      </c>
      <c r="K270" s="5" t="s">
        <v>2358</v>
      </c>
      <c r="L270" s="5" t="s">
        <v>2758</v>
      </c>
    </row>
    <row r="271">
      <c r="A271" s="4">
        <v>45534.31691869213</v>
      </c>
      <c r="B271" s="5" t="s">
        <v>19</v>
      </c>
      <c r="C271" s="5" t="s">
        <v>20</v>
      </c>
      <c r="E271" s="5" t="s">
        <v>2763</v>
      </c>
      <c r="F271" s="5" t="s">
        <v>108</v>
      </c>
      <c r="G271" s="5" t="s">
        <v>2764</v>
      </c>
      <c r="H271" s="6" t="s">
        <v>2765</v>
      </c>
      <c r="I271" s="7" t="s">
        <v>2766</v>
      </c>
      <c r="J271" s="8" t="str">
        <f>HYPERLINK("https://drive.google.com/file/d/1BR9OUAwsYtVxJqdZr7e9HnYHXHr3mjtW/view?usp=drivesdk","AAI ALIT NANDYA EVAIRA, S.Psi SERTIFIKAT BerAKHLAK")</f>
        <v>AAI ALIT NANDYA EVAIRA, S.Psi SERTIFIKAT BerAKHLAK</v>
      </c>
      <c r="K271" s="5" t="s">
        <v>2244</v>
      </c>
      <c r="L271" s="5" t="s">
        <v>2767</v>
      </c>
    </row>
    <row r="272">
      <c r="A272" s="4">
        <v>45534.3169309838</v>
      </c>
      <c r="B272" s="5" t="s">
        <v>34</v>
      </c>
      <c r="D272" s="5" t="s">
        <v>1206</v>
      </c>
      <c r="E272" s="5" t="s">
        <v>2772</v>
      </c>
      <c r="F272" s="5" t="s">
        <v>375</v>
      </c>
      <c r="G272" s="5" t="s">
        <v>2773</v>
      </c>
      <c r="H272" s="6" t="s">
        <v>2774</v>
      </c>
      <c r="I272" s="7" t="s">
        <v>2775</v>
      </c>
      <c r="J272" s="8" t="str">
        <f>HYPERLINK("https://drive.google.com/file/d/1e8u1W0KTc5_OLqfVE-fS6Ch6UN-VGMf0/view?usp=drivesdk","ARYANTO ARIBOWO, S.T., M.MT. SERTIFIKAT BerAKHLAK")</f>
        <v>ARYANTO ARIBOWO, S.T., M.MT. SERTIFIKAT BerAKHLAK</v>
      </c>
      <c r="K272" s="5" t="s">
        <v>2244</v>
      </c>
      <c r="L272" s="5" t="s">
        <v>2776</v>
      </c>
    </row>
    <row r="273">
      <c r="A273" s="4">
        <v>45534.31694421296</v>
      </c>
      <c r="B273" s="5" t="s">
        <v>34</v>
      </c>
      <c r="D273" s="5" t="s">
        <v>604</v>
      </c>
      <c r="E273" s="5" t="s">
        <v>2782</v>
      </c>
      <c r="F273" s="5" t="s">
        <v>72</v>
      </c>
      <c r="G273" s="5" t="s">
        <v>2783</v>
      </c>
      <c r="H273" s="6" t="s">
        <v>2784</v>
      </c>
      <c r="I273" s="7" t="s">
        <v>2785</v>
      </c>
      <c r="J273" s="8" t="str">
        <f>HYPERLINK("https://drive.google.com/file/d/1gKduw8UpdXiFn3llVU58Wl1rUTHSdMTf/view?usp=drivesdk","ELPIDAWATI SIREGAR SERTIFIKAT BerAKHLAK")</f>
        <v>ELPIDAWATI SIREGAR SERTIFIKAT BerAKHLAK</v>
      </c>
      <c r="K273" s="5" t="s">
        <v>2244</v>
      </c>
      <c r="L273" s="5" t="s">
        <v>2786</v>
      </c>
    </row>
    <row r="274">
      <c r="A274" s="4">
        <v>45534.31698650463</v>
      </c>
      <c r="B274" s="5" t="s">
        <v>34</v>
      </c>
      <c r="D274" s="5" t="s">
        <v>1768</v>
      </c>
      <c r="E274" s="5" t="s">
        <v>2791</v>
      </c>
      <c r="F274" s="5" t="s">
        <v>72</v>
      </c>
      <c r="G274" s="5" t="s">
        <v>2792</v>
      </c>
      <c r="H274" s="6" t="s">
        <v>2793</v>
      </c>
      <c r="I274" s="7" t="s">
        <v>2794</v>
      </c>
      <c r="J274" s="8" t="str">
        <f>HYPERLINK("https://drive.google.com/file/d/1-VGCD3Z0eZZqHcQBDUhaRVxN7TPaeBL2/view?usp=drivesdk","NANI SUHARTINI SERTIFIKAT BerAKHLAK")</f>
        <v>NANI SUHARTINI SERTIFIKAT BerAKHLAK</v>
      </c>
      <c r="K274" s="5" t="s">
        <v>2244</v>
      </c>
      <c r="L274" s="5" t="s">
        <v>2795</v>
      </c>
    </row>
    <row r="275">
      <c r="A275" s="4">
        <v>45534.31706574074</v>
      </c>
      <c r="B275" s="5" t="s">
        <v>34</v>
      </c>
      <c r="D275" s="5" t="s">
        <v>975</v>
      </c>
      <c r="E275" s="5" t="s">
        <v>2801</v>
      </c>
      <c r="F275" s="5" t="s">
        <v>37</v>
      </c>
      <c r="G275" s="5" t="s">
        <v>2802</v>
      </c>
      <c r="H275" s="6" t="s">
        <v>2803</v>
      </c>
      <c r="I275" s="7" t="s">
        <v>2804</v>
      </c>
      <c r="J275" s="8" t="str">
        <f>HYPERLINK("https://drive.google.com/file/d/1RmZrod5_So-DIyjm0njyD9TIyY24Oo_e/view?usp=drivesdk","WINDA LESTARI, A.Md.Keb SERTIFIKAT BerAKHLAK")</f>
        <v>WINDA LESTARI, A.Md.Keb SERTIFIKAT BerAKHLAK</v>
      </c>
      <c r="K275" s="5" t="s">
        <v>2244</v>
      </c>
      <c r="L275" s="5" t="s">
        <v>2805</v>
      </c>
    </row>
    <row r="276">
      <c r="A276" s="4">
        <v>45534.317115451384</v>
      </c>
      <c r="B276" s="5" t="s">
        <v>34</v>
      </c>
      <c r="D276" s="5" t="s">
        <v>35</v>
      </c>
      <c r="E276" s="5" t="s">
        <v>2810</v>
      </c>
      <c r="F276" s="5" t="s">
        <v>212</v>
      </c>
      <c r="G276" s="5" t="s">
        <v>2811</v>
      </c>
      <c r="H276" s="6" t="s">
        <v>2812</v>
      </c>
      <c r="I276" s="7" t="s">
        <v>2813</v>
      </c>
      <c r="J276" s="8" t="str">
        <f>HYPERLINK("https://drive.google.com/file/d/1h3PflVtOtZCe2z4_ioh6MKeFqeEYk24Y/view?usp=drivesdk","PENGATUR TK. I TETI SUHERTI SERTIFIKAT BerAKHLAK")</f>
        <v>PENGATUR TK. I TETI SUHERTI SERTIFIKAT BerAKHLAK</v>
      </c>
      <c r="K276" s="5" t="s">
        <v>2244</v>
      </c>
      <c r="L276" s="5" t="s">
        <v>2814</v>
      </c>
    </row>
    <row r="277">
      <c r="A277" s="4">
        <v>45534.31712982639</v>
      </c>
      <c r="B277" s="5" t="s">
        <v>19</v>
      </c>
      <c r="C277" s="5" t="s">
        <v>466</v>
      </c>
      <c r="E277" s="5" t="s">
        <v>2819</v>
      </c>
      <c r="F277" s="5" t="s">
        <v>72</v>
      </c>
      <c r="G277" s="5" t="s">
        <v>2820</v>
      </c>
      <c r="H277" s="6" t="s">
        <v>2821</v>
      </c>
      <c r="I277" s="7" t="s">
        <v>2822</v>
      </c>
      <c r="J277" s="8" t="str">
        <f>HYPERLINK("https://drive.google.com/file/d/1BWvnV9G-43fF7u-v-2RbFwxcpHcaLd2-/view?usp=drivesdk","PENATA LAILA MURAD SERTIFIKAT BerAKHLAK")</f>
        <v>PENATA LAILA MURAD SERTIFIKAT BerAKHLAK</v>
      </c>
      <c r="K277" s="5" t="s">
        <v>2244</v>
      </c>
      <c r="L277" s="5" t="s">
        <v>2823</v>
      </c>
    </row>
    <row r="278">
      <c r="A278" s="4">
        <v>45534.317132870376</v>
      </c>
      <c r="B278" s="5" t="s">
        <v>34</v>
      </c>
      <c r="D278" s="5" t="s">
        <v>1768</v>
      </c>
      <c r="E278" s="5" t="s">
        <v>2828</v>
      </c>
      <c r="F278" s="5" t="s">
        <v>72</v>
      </c>
      <c r="G278" s="5" t="s">
        <v>2829</v>
      </c>
      <c r="H278" s="6" t="s">
        <v>2830</v>
      </c>
      <c r="I278" s="7" t="s">
        <v>2831</v>
      </c>
      <c r="J278" s="8" t="str">
        <f>HYPERLINK("https://drive.google.com/file/d/1bPAeuzG0lDL7XF71AjeWxnf_yyd1OUvl/view?usp=drivesdk","dr. KRISTANTI ANDARINI SERTIFIKAT BerAKHLAK")</f>
        <v>dr. KRISTANTI ANDARINI SERTIFIKAT BerAKHLAK</v>
      </c>
      <c r="K278" s="5" t="s">
        <v>2358</v>
      </c>
      <c r="L278" s="5" t="s">
        <v>2832</v>
      </c>
    </row>
    <row r="279">
      <c r="A279" s="4">
        <v>45534.31713576389</v>
      </c>
      <c r="B279" s="5" t="s">
        <v>34</v>
      </c>
      <c r="D279" s="5" t="s">
        <v>35</v>
      </c>
      <c r="E279" s="5" t="s">
        <v>2838</v>
      </c>
      <c r="F279" s="5" t="s">
        <v>199</v>
      </c>
      <c r="G279" s="5" t="s">
        <v>2839</v>
      </c>
      <c r="H279" s="6" t="s">
        <v>2840</v>
      </c>
      <c r="I279" s="7" t="s">
        <v>2841</v>
      </c>
      <c r="J279" s="8" t="str">
        <f>HYPERLINK("https://drive.google.com/file/d/1sseu6azWRvPqysk7HlGAJaX5ow5GO4sF/view?usp=drivesdk","TJUTJU KOMALAWATI SERTIFIKAT BerAKHLAK")</f>
        <v>TJUTJU KOMALAWATI SERTIFIKAT BerAKHLAK</v>
      </c>
      <c r="K279" s="5" t="s">
        <v>2358</v>
      </c>
      <c r="L279" s="5" t="s">
        <v>2842</v>
      </c>
    </row>
    <row r="280">
      <c r="A280" s="4">
        <v>45534.31713769676</v>
      </c>
      <c r="B280" s="5" t="s">
        <v>34</v>
      </c>
      <c r="D280" s="5" t="s">
        <v>1663</v>
      </c>
      <c r="E280" s="5" t="s">
        <v>2847</v>
      </c>
      <c r="F280" s="5" t="s">
        <v>108</v>
      </c>
      <c r="G280" s="5" t="s">
        <v>2848</v>
      </c>
      <c r="H280" s="6" t="s">
        <v>2849</v>
      </c>
      <c r="I280" s="7" t="s">
        <v>2850</v>
      </c>
      <c r="J280" s="8" t="str">
        <f>HYPERLINK("https://drive.google.com/file/d/1j0cEKTY28KJPav0yX6uc2S3pxqZ6Uzgv/view?usp=drivesdk","IIN ASTRI WAKANG,S.E. SERTIFIKAT BerAKHLAK")</f>
        <v>IIN ASTRI WAKANG,S.E. SERTIFIKAT BerAKHLAK</v>
      </c>
      <c r="K280" s="5" t="s">
        <v>2358</v>
      </c>
      <c r="L280" s="5" t="s">
        <v>2851</v>
      </c>
    </row>
    <row r="281">
      <c r="A281" s="4">
        <v>45534.31715126157</v>
      </c>
      <c r="B281" s="5" t="s">
        <v>34</v>
      </c>
      <c r="D281" s="5" t="s">
        <v>522</v>
      </c>
      <c r="E281" s="5" t="s">
        <v>2856</v>
      </c>
      <c r="F281" s="5" t="s">
        <v>37</v>
      </c>
      <c r="G281" s="5" t="s">
        <v>2857</v>
      </c>
      <c r="H281" s="6" t="s">
        <v>2858</v>
      </c>
      <c r="I281" s="7" t="s">
        <v>2859</v>
      </c>
      <c r="J281" s="8" t="str">
        <f>HYPERLINK("https://drive.google.com/file/d/1uTK7ijK36hgYhTQ0MAha7NfMWhFDLhTt/view?usp=drivesdk","NI MADE RATIH PURWANTINI,A.Md.Kep SERTIFIKAT BerAKHLAK")</f>
        <v>NI MADE RATIH PURWANTINI,A.Md.Kep SERTIFIKAT BerAKHLAK</v>
      </c>
      <c r="K281" s="5" t="s">
        <v>2244</v>
      </c>
      <c r="L281" s="5" t="s">
        <v>2860</v>
      </c>
    </row>
    <row r="282">
      <c r="A282" s="4">
        <v>45534.31715311343</v>
      </c>
      <c r="B282" s="5" t="s">
        <v>34</v>
      </c>
      <c r="D282" s="5" t="s">
        <v>580</v>
      </c>
      <c r="E282" s="5" t="s">
        <v>2866</v>
      </c>
      <c r="F282" s="5" t="s">
        <v>37</v>
      </c>
      <c r="G282" s="5" t="s">
        <v>2867</v>
      </c>
      <c r="H282" s="6" t="s">
        <v>2868</v>
      </c>
      <c r="I282" s="7" t="s">
        <v>2869</v>
      </c>
      <c r="J282" s="8" t="str">
        <f>HYPERLINK("https://drive.google.com/file/d/1BT8-yq2z5B91VeVyXCLqDd8APx_0MPTR/view?usp=drivesdk","NI LUH PINA FARIDA, A. Md. Keb SERTIFIKAT BerAKHLAK")</f>
        <v>NI LUH PINA FARIDA, A. Md. Keb SERTIFIKAT BerAKHLAK</v>
      </c>
      <c r="K282" s="5" t="s">
        <v>2358</v>
      </c>
      <c r="L282" s="5" t="s">
        <v>2870</v>
      </c>
    </row>
    <row r="283">
      <c r="A283" s="4">
        <v>45534.31715494213</v>
      </c>
      <c r="B283" s="5" t="s">
        <v>34</v>
      </c>
      <c r="D283" s="5" t="s">
        <v>975</v>
      </c>
      <c r="E283" s="5" t="s">
        <v>2875</v>
      </c>
      <c r="F283" s="5" t="s">
        <v>524</v>
      </c>
      <c r="G283" s="5" t="s">
        <v>2876</v>
      </c>
      <c r="H283" s="6" t="s">
        <v>2877</v>
      </c>
      <c r="I283" s="7" t="s">
        <v>2878</v>
      </c>
      <c r="J283" s="8" t="str">
        <f>HYPERLINK("https://drive.google.com/file/d/1MjhGgLTxmpI6UOCFmtlhbhfVFOG3IMND/view?usp=drivesdk","MUHAMMAD HARMEN ALKAHFI, S.KOM SERTIFIKAT BerAKHLAK")</f>
        <v>MUHAMMAD HARMEN ALKAHFI, S.KOM SERTIFIKAT BerAKHLAK</v>
      </c>
      <c r="K283" s="5" t="s">
        <v>2358</v>
      </c>
      <c r="L283" s="5" t="s">
        <v>2879</v>
      </c>
    </row>
    <row r="284">
      <c r="A284" s="4">
        <v>45534.31718006944</v>
      </c>
      <c r="B284" s="5" t="s">
        <v>34</v>
      </c>
      <c r="D284" s="5" t="s">
        <v>604</v>
      </c>
      <c r="E284" s="5" t="s">
        <v>2885</v>
      </c>
      <c r="F284" s="5" t="s">
        <v>212</v>
      </c>
      <c r="G284" s="5" t="s">
        <v>2886</v>
      </c>
      <c r="H284" s="6" t="s">
        <v>2887</v>
      </c>
      <c r="I284" s="7" t="s">
        <v>2888</v>
      </c>
      <c r="J284" s="8" t="str">
        <f>HYPERLINK("https://drive.google.com/file/d/1Sqsq2--rDUa9uZwj69TEezOmLx-fguh7/view?usp=drivesdk","MUHAMAD RISAL SERTIFIKAT BerAKHLAK")</f>
        <v>MUHAMAD RISAL SERTIFIKAT BerAKHLAK</v>
      </c>
      <c r="K284" s="5" t="s">
        <v>2244</v>
      </c>
      <c r="L284" s="5" t="s">
        <v>2889</v>
      </c>
    </row>
    <row r="285">
      <c r="A285" s="4">
        <v>45534.31725121528</v>
      </c>
      <c r="B285" s="5" t="s">
        <v>34</v>
      </c>
      <c r="D285" s="5" t="s">
        <v>580</v>
      </c>
      <c r="E285" s="5" t="s">
        <v>2894</v>
      </c>
      <c r="F285" s="5" t="s">
        <v>120</v>
      </c>
      <c r="G285" s="5" t="s">
        <v>2895</v>
      </c>
      <c r="H285" s="6" t="s">
        <v>2896</v>
      </c>
      <c r="I285" s="7" t="s">
        <v>2897</v>
      </c>
      <c r="J285" s="8" t="str">
        <f>HYPERLINK("https://drive.google.com/file/d/1szFSQbVJLa_3nCrvwGA4RVKHw2_wfvf_/view?usp=drivesdk","NI PUTU RETNA RAHAYU SERTIFIKAT BerAKHLAK")</f>
        <v>NI PUTU RETNA RAHAYU SERTIFIKAT BerAKHLAK</v>
      </c>
      <c r="K285" s="5" t="s">
        <v>2244</v>
      </c>
      <c r="L285" s="5" t="s">
        <v>2898</v>
      </c>
    </row>
    <row r="286">
      <c r="A286" s="4">
        <v>45534.31725612268</v>
      </c>
      <c r="B286" s="5" t="s">
        <v>34</v>
      </c>
      <c r="D286" s="5" t="s">
        <v>2903</v>
      </c>
      <c r="E286" s="5" t="s">
        <v>2904</v>
      </c>
      <c r="F286" s="5" t="s">
        <v>120</v>
      </c>
      <c r="G286" s="5" t="s">
        <v>2905</v>
      </c>
      <c r="H286" s="6" t="s">
        <v>2906</v>
      </c>
      <c r="I286" s="7" t="s">
        <v>2907</v>
      </c>
      <c r="J286" s="8" t="str">
        <f>HYPERLINK("https://drive.google.com/file/d/12D8-m-dWMjTasa6PoE4miqrs_fsS1hCz/view?usp=drivesdk","EVI NURHIDAYATI SERTIFIKAT BerAKHLAK")</f>
        <v>EVI NURHIDAYATI SERTIFIKAT BerAKHLAK</v>
      </c>
      <c r="K286" s="5" t="s">
        <v>2358</v>
      </c>
      <c r="L286" s="5" t="s">
        <v>2908</v>
      </c>
    </row>
    <row r="287">
      <c r="A287" s="4">
        <v>45534.317274016204</v>
      </c>
      <c r="B287" s="5" t="s">
        <v>34</v>
      </c>
      <c r="D287" s="5" t="s">
        <v>1663</v>
      </c>
      <c r="E287" s="5" t="s">
        <v>2914</v>
      </c>
      <c r="F287" s="5" t="s">
        <v>37</v>
      </c>
      <c r="G287" s="5" t="s">
        <v>2915</v>
      </c>
      <c r="H287" s="6" t="s">
        <v>2916</v>
      </c>
      <c r="I287" s="7" t="s">
        <v>2917</v>
      </c>
      <c r="J287" s="8" t="str">
        <f>HYPERLINK("https://drive.google.com/file/d/1Ytv7VXFoO9-pf-he2GJO-YPL9SiCHIzz/view?usp=drivesdk","PENGATUR SUHERMANTO SERTIFIKAT BerAKHLAK")</f>
        <v>PENGATUR SUHERMANTO SERTIFIKAT BerAKHLAK</v>
      </c>
      <c r="K287" s="5" t="s">
        <v>2358</v>
      </c>
      <c r="L287" s="5" t="s">
        <v>2918</v>
      </c>
    </row>
    <row r="288">
      <c r="A288" s="4">
        <v>45534.317273981476</v>
      </c>
      <c r="B288" s="5" t="s">
        <v>34</v>
      </c>
      <c r="D288" s="5" t="s">
        <v>522</v>
      </c>
      <c r="E288" s="5" t="s">
        <v>2923</v>
      </c>
      <c r="F288" s="5" t="s">
        <v>37</v>
      </c>
      <c r="G288" s="5" t="s">
        <v>2924</v>
      </c>
      <c r="H288" s="6" t="s">
        <v>2925</v>
      </c>
      <c r="K288" s="5" t="s">
        <v>2926</v>
      </c>
    </row>
    <row r="289">
      <c r="A289" s="4">
        <v>45534.317275208334</v>
      </c>
      <c r="B289" s="5" t="s">
        <v>34</v>
      </c>
      <c r="D289" s="5" t="s">
        <v>35</v>
      </c>
      <c r="E289" s="5" t="s">
        <v>2931</v>
      </c>
      <c r="F289" s="5" t="s">
        <v>212</v>
      </c>
      <c r="G289" s="5" t="s">
        <v>2932</v>
      </c>
      <c r="H289" s="6" t="s">
        <v>2933</v>
      </c>
      <c r="K289" s="5" t="s">
        <v>2926</v>
      </c>
    </row>
    <row r="290">
      <c r="A290" s="4">
        <v>45534.31729496528</v>
      </c>
      <c r="B290" s="5" t="s">
        <v>34</v>
      </c>
      <c r="D290" s="5" t="s">
        <v>996</v>
      </c>
      <c r="E290" s="5" t="s">
        <v>2938</v>
      </c>
      <c r="F290" s="5" t="s">
        <v>108</v>
      </c>
      <c r="G290" s="5" t="s">
        <v>2939</v>
      </c>
      <c r="H290" s="6" t="s">
        <v>2940</v>
      </c>
      <c r="I290" s="7" t="s">
        <v>2941</v>
      </c>
      <c r="J290" s="8" t="str">
        <f>HYPERLINK("https://drive.google.com/file/d/1QIr3OhIaLz0qXPdB3lBnKHWfFelsqXCn/view?usp=drivesdk","TRI HANDAYANI SERTIFIKAT BerAKHLAK")</f>
        <v>TRI HANDAYANI SERTIFIKAT BerAKHLAK</v>
      </c>
      <c r="K290" s="5" t="s">
        <v>2358</v>
      </c>
      <c r="L290" s="5" t="s">
        <v>2942</v>
      </c>
    </row>
    <row r="291">
      <c r="A291" s="4">
        <v>45534.31729935185</v>
      </c>
      <c r="B291" s="5" t="s">
        <v>34</v>
      </c>
      <c r="D291" s="5" t="s">
        <v>35</v>
      </c>
      <c r="E291" s="5" t="s">
        <v>2948</v>
      </c>
      <c r="F291" s="5" t="s">
        <v>108</v>
      </c>
      <c r="G291" s="5" t="s">
        <v>2949</v>
      </c>
      <c r="H291" s="6" t="s">
        <v>2950</v>
      </c>
      <c r="I291" s="7" t="s">
        <v>2951</v>
      </c>
      <c r="J291" s="8" t="str">
        <f>HYPERLINK("https://drive.google.com/file/d/1aBmcAY5EPzKRwcLCtlj71aU_uoMuqea1/view?usp=drivesdk","FIRMAN PERDANA PUTRA, ST SERTIFIKAT BerAKHLAK")</f>
        <v>FIRMAN PERDANA PUTRA, ST SERTIFIKAT BerAKHLAK</v>
      </c>
      <c r="K291" s="5" t="s">
        <v>2358</v>
      </c>
      <c r="L291" s="5" t="s">
        <v>2952</v>
      </c>
    </row>
    <row r="292">
      <c r="A292" s="4">
        <v>45534.31731225694</v>
      </c>
      <c r="B292" s="5" t="s">
        <v>34</v>
      </c>
      <c r="D292" s="5" t="s">
        <v>35</v>
      </c>
      <c r="E292" s="5" t="s">
        <v>2958</v>
      </c>
      <c r="F292" s="5" t="s">
        <v>37</v>
      </c>
      <c r="G292" s="5" t="s">
        <v>2959</v>
      </c>
      <c r="H292" s="6" t="s">
        <v>2960</v>
      </c>
      <c r="I292" s="7" t="s">
        <v>2961</v>
      </c>
      <c r="J292" s="8" t="str">
        <f>HYPERLINK("https://drive.google.com/file/d/1M10mqrvHIxJsOrjLwH5PQcHsdVY7rEkL/view?usp=drivesdk","PENGATUR TARSONO, S.KOM SERTIFIKAT BerAKHLAK")</f>
        <v>PENGATUR TARSONO, S.KOM SERTIFIKAT BerAKHLAK</v>
      </c>
      <c r="K292" s="5" t="s">
        <v>2358</v>
      </c>
      <c r="L292" s="5" t="s">
        <v>2962</v>
      </c>
    </row>
    <row r="293">
      <c r="A293" s="4">
        <v>45534.31731726852</v>
      </c>
      <c r="B293" s="5" t="s">
        <v>34</v>
      </c>
      <c r="D293" s="5" t="s">
        <v>35</v>
      </c>
      <c r="E293" s="5" t="s">
        <v>2967</v>
      </c>
      <c r="F293" s="5" t="s">
        <v>37</v>
      </c>
      <c r="G293" s="5" t="s">
        <v>2968</v>
      </c>
      <c r="H293" s="6" t="s">
        <v>2969</v>
      </c>
      <c r="I293" s="7" t="s">
        <v>2970</v>
      </c>
      <c r="J293" s="8" t="str">
        <f>HYPERLINK("https://drive.google.com/file/d/18aOB3x0L8p-52TmfdYSCyOMIdl5xoQY9/view?usp=drivesdk","ENDANG PRIYATNA  SERTIFIKAT BerAKHLAK")</f>
        <v>ENDANG PRIYATNA  SERTIFIKAT BerAKHLAK</v>
      </c>
      <c r="K293" s="5" t="s">
        <v>2358</v>
      </c>
      <c r="L293" s="5" t="s">
        <v>2971</v>
      </c>
    </row>
    <row r="294">
      <c r="A294" s="4">
        <v>45534.31741846065</v>
      </c>
      <c r="B294" s="5" t="s">
        <v>34</v>
      </c>
      <c r="D294" s="5" t="s">
        <v>267</v>
      </c>
      <c r="E294" s="5" t="s">
        <v>2976</v>
      </c>
      <c r="F294" s="5" t="s">
        <v>375</v>
      </c>
      <c r="G294" s="5" t="s">
        <v>2977</v>
      </c>
      <c r="H294" s="6" t="s">
        <v>2978</v>
      </c>
      <c r="I294" s="7" t="s">
        <v>2979</v>
      </c>
      <c r="J294" s="8" t="str">
        <f>HYPERLINK("https://drive.google.com/file/d/1jA2SSWA8GpqG-B3uLeIweu9uxD6ROfsy/view?usp=drivesdk","ENY PRATIMURDIYANTI  SERTIFIKAT BerAKHLAK")</f>
        <v>ENY PRATIMURDIYANTI  SERTIFIKAT BerAKHLAK</v>
      </c>
      <c r="K294" s="5" t="s">
        <v>2358</v>
      </c>
      <c r="L294" s="5" t="s">
        <v>2980</v>
      </c>
    </row>
    <row r="295">
      <c r="A295" s="4">
        <v>45534.31742181713</v>
      </c>
      <c r="B295" s="5" t="s">
        <v>34</v>
      </c>
      <c r="D295" s="5" t="s">
        <v>975</v>
      </c>
      <c r="E295" s="5" t="s">
        <v>2985</v>
      </c>
      <c r="F295" s="5" t="s">
        <v>37</v>
      </c>
      <c r="G295" s="5" t="s">
        <v>2986</v>
      </c>
      <c r="H295" s="6" t="s">
        <v>2987</v>
      </c>
      <c r="I295" s="7" t="s">
        <v>2988</v>
      </c>
      <c r="J295" s="8" t="str">
        <f>HYPERLINK("https://drive.google.com/file/d/1rHUd00pgd4dy4xO9opskdirM-ESWgee6/view?usp=drivesdk","VISTA VIONI JAYANTI SERTIFIKAT BerAKHLAK")</f>
        <v>VISTA VIONI JAYANTI SERTIFIKAT BerAKHLAK</v>
      </c>
      <c r="K295" s="5" t="s">
        <v>2358</v>
      </c>
      <c r="L295" s="5" t="s">
        <v>2989</v>
      </c>
    </row>
    <row r="296">
      <c r="A296" s="4">
        <v>45534.31743630787</v>
      </c>
      <c r="B296" s="5" t="s">
        <v>34</v>
      </c>
      <c r="D296" s="5" t="s">
        <v>1692</v>
      </c>
      <c r="E296" s="5" t="s">
        <v>2995</v>
      </c>
      <c r="F296" s="5" t="s">
        <v>524</v>
      </c>
      <c r="G296" s="5" t="s">
        <v>2996</v>
      </c>
      <c r="H296" s="6" t="s">
        <v>2997</v>
      </c>
      <c r="I296" s="7" t="s">
        <v>2998</v>
      </c>
      <c r="J296" s="8" t="str">
        <f>HYPERLINK("https://drive.google.com/file/d/1-bGQqJn72j4FLWCg--NupMHU22NvdRzc/view?usp=drivesdk","JAMES LUNMISAY  SERTIFIKAT BerAKHLAK")</f>
        <v>JAMES LUNMISAY  SERTIFIKAT BerAKHLAK</v>
      </c>
      <c r="K296" s="5" t="s">
        <v>2358</v>
      </c>
      <c r="L296" s="5" t="s">
        <v>2999</v>
      </c>
    </row>
    <row r="297">
      <c r="A297" s="4">
        <v>45534.3174509838</v>
      </c>
      <c r="B297" s="5" t="s">
        <v>34</v>
      </c>
      <c r="D297" s="5" t="s">
        <v>1206</v>
      </c>
      <c r="E297" s="5" t="s">
        <v>3004</v>
      </c>
      <c r="F297" s="5" t="s">
        <v>212</v>
      </c>
      <c r="G297" s="5" t="s">
        <v>3005</v>
      </c>
      <c r="H297" s="6" t="s">
        <v>3006</v>
      </c>
      <c r="I297" s="7" t="s">
        <v>3007</v>
      </c>
      <c r="J297" s="8" t="str">
        <f>HYPERLINK("https://drive.google.com/file/d/1ubZ1godZIWJVRY9rNVbxQ_NY494HYpRw/view?usp=drivesdk","HINDUN TRI ASTUTIK SERTIFIKAT BerAKHLAK")</f>
        <v>HINDUN TRI ASTUTIK SERTIFIKAT BerAKHLAK</v>
      </c>
      <c r="K297" s="5" t="s">
        <v>2358</v>
      </c>
      <c r="L297" s="5" t="s">
        <v>3008</v>
      </c>
    </row>
    <row r="298">
      <c r="A298" s="4">
        <v>45534.31748210648</v>
      </c>
      <c r="B298" s="5" t="s">
        <v>34</v>
      </c>
      <c r="D298" s="5" t="s">
        <v>35</v>
      </c>
      <c r="E298" s="5" t="s">
        <v>3014</v>
      </c>
      <c r="F298" s="5" t="s">
        <v>524</v>
      </c>
      <c r="G298" s="5" t="s">
        <v>3015</v>
      </c>
      <c r="H298" s="6" t="s">
        <v>3016</v>
      </c>
      <c r="I298" s="7" t="s">
        <v>3017</v>
      </c>
      <c r="J298" s="8" t="str">
        <f>HYPERLINK("https://drive.google.com/file/d/1zidFshMzNP-9e40IzAGi0UNl_rEz6_qF/view?usp=drivesdk","SUCI SULASIAH,S.E SERTIFIKAT BerAKHLAK")</f>
        <v>SUCI SULASIAH,S.E SERTIFIKAT BerAKHLAK</v>
      </c>
      <c r="K298" s="5" t="s">
        <v>2358</v>
      </c>
      <c r="L298" s="5" t="s">
        <v>3018</v>
      </c>
    </row>
    <row r="299">
      <c r="A299" s="4">
        <v>45534.31749107639</v>
      </c>
      <c r="B299" s="5" t="s">
        <v>34</v>
      </c>
      <c r="D299" s="5" t="s">
        <v>1768</v>
      </c>
      <c r="E299" s="5" t="s">
        <v>3023</v>
      </c>
      <c r="F299" s="5" t="s">
        <v>212</v>
      </c>
      <c r="G299" s="5" t="s">
        <v>3024</v>
      </c>
      <c r="H299" s="6" t="s">
        <v>3025</v>
      </c>
      <c r="I299" s="7" t="s">
        <v>3026</v>
      </c>
      <c r="J299" s="8" t="str">
        <f>HYPERLINK("https://drive.google.com/file/d/1Q81FS8ZK12MMhuaARXfDcG8f-ydTCCGN/view?usp=drivesdk","PENGATUR TK I SIHMIATI SERTIFIKAT BerAKHLAK")</f>
        <v>PENGATUR TK I SIHMIATI SERTIFIKAT BerAKHLAK</v>
      </c>
      <c r="K299" s="5" t="s">
        <v>2358</v>
      </c>
      <c r="L299" s="5" t="s">
        <v>3027</v>
      </c>
    </row>
    <row r="300">
      <c r="A300" s="4">
        <v>45534.317495243056</v>
      </c>
      <c r="B300" s="5" t="s">
        <v>34</v>
      </c>
      <c r="D300" s="5" t="s">
        <v>1768</v>
      </c>
      <c r="E300" s="5" t="s">
        <v>3032</v>
      </c>
      <c r="F300" s="5" t="s">
        <v>375</v>
      </c>
      <c r="G300" s="5" t="s">
        <v>3033</v>
      </c>
      <c r="H300" s="6" t="s">
        <v>3034</v>
      </c>
      <c r="I300" s="7" t="s">
        <v>3035</v>
      </c>
      <c r="J300" s="8" t="str">
        <f>HYPERLINK("https://drive.google.com/file/d/1Kz9jaDKZ2VRspFpgYGYWKaKbKRUy3Vej/view?usp=drivesdk","HAYATUN NISA, AMD. KEB, SKM SERTIFIKAT BerAKHLAK")</f>
        <v>HAYATUN NISA, AMD. KEB, SKM SERTIFIKAT BerAKHLAK</v>
      </c>
      <c r="K300" s="5" t="s">
        <v>2358</v>
      </c>
      <c r="L300" s="5" t="s">
        <v>3036</v>
      </c>
    </row>
    <row r="301">
      <c r="A301" s="4">
        <v>45534.31749822917</v>
      </c>
      <c r="B301" s="5" t="s">
        <v>34</v>
      </c>
      <c r="D301" s="5" t="s">
        <v>1206</v>
      </c>
      <c r="E301" s="5" t="s">
        <v>3042</v>
      </c>
      <c r="F301" s="5" t="s">
        <v>212</v>
      </c>
      <c r="G301" s="5" t="s">
        <v>3043</v>
      </c>
      <c r="H301" s="6" t="s">
        <v>3044</v>
      </c>
      <c r="I301" s="7" t="s">
        <v>3045</v>
      </c>
      <c r="J301" s="8" t="str">
        <f>HYPERLINK("https://drive.google.com/file/d/1e_bxdgJm3u64eIbNzX9GPz0t263rhGBn/view?usp=drivesdk","SITI NUR KHOLIFAH Amd. Kes SERTIFIKAT BerAKHLAK")</f>
        <v>SITI NUR KHOLIFAH Amd. Kes SERTIFIKAT BerAKHLAK</v>
      </c>
      <c r="K301" s="5" t="s">
        <v>2358</v>
      </c>
      <c r="L301" s="5" t="s">
        <v>3046</v>
      </c>
    </row>
    <row r="302">
      <c r="A302" s="4">
        <v>45534.3175012963</v>
      </c>
      <c r="B302" s="5" t="s">
        <v>34</v>
      </c>
      <c r="D302" s="5" t="s">
        <v>35</v>
      </c>
      <c r="E302" s="5" t="s">
        <v>3051</v>
      </c>
      <c r="F302" s="5" t="s">
        <v>212</v>
      </c>
      <c r="G302" s="5" t="s">
        <v>3052</v>
      </c>
      <c r="H302" s="6" t="s">
        <v>3053</v>
      </c>
      <c r="I302" s="7" t="s">
        <v>3054</v>
      </c>
      <c r="J302" s="8" t="str">
        <f>HYPERLINK("https://drive.google.com/file/d/1eH_W7AsXGlLqFoatH1tEK1ffbuBTtT3r/view?usp=drivesdk","JEJE SITI ZENAB SERTIFIKAT BerAKHLAK")</f>
        <v>JEJE SITI ZENAB SERTIFIKAT BerAKHLAK</v>
      </c>
      <c r="K302" s="5" t="s">
        <v>3055</v>
      </c>
      <c r="L302" s="5" t="s">
        <v>3056</v>
      </c>
    </row>
    <row r="303">
      <c r="A303" s="4">
        <v>45534.317502129634</v>
      </c>
      <c r="B303" s="5" t="s">
        <v>19</v>
      </c>
      <c r="C303" s="5" t="s">
        <v>292</v>
      </c>
      <c r="E303" s="5" t="s">
        <v>3061</v>
      </c>
      <c r="F303" s="5" t="s">
        <v>120</v>
      </c>
      <c r="G303" s="5" t="s">
        <v>3062</v>
      </c>
      <c r="H303" s="6" t="s">
        <v>3063</v>
      </c>
      <c r="I303" s="7" t="s">
        <v>3064</v>
      </c>
      <c r="J303" s="8" t="str">
        <f>HYPERLINK("https://drive.google.com/file/d/1wVt7B-wrtxHPajID-IN2vcIAzlXy8XOm/view?usp=drivesdk","KOMANG PEBRIANI DELIYANA, S.E., M.M. SERTIFIKAT BerAKHLAK")</f>
        <v>KOMANG PEBRIANI DELIYANA, S.E., M.M. SERTIFIKAT BerAKHLAK</v>
      </c>
      <c r="K303" s="5" t="s">
        <v>2358</v>
      </c>
      <c r="L303" s="5" t="s">
        <v>3065</v>
      </c>
    </row>
    <row r="304">
      <c r="A304" s="4">
        <v>45534.317589328704</v>
      </c>
      <c r="B304" s="5" t="s">
        <v>34</v>
      </c>
      <c r="D304" s="5" t="s">
        <v>580</v>
      </c>
      <c r="E304" s="5" t="s">
        <v>3071</v>
      </c>
      <c r="F304" s="5" t="s">
        <v>37</v>
      </c>
      <c r="G304" s="5" t="s">
        <v>3072</v>
      </c>
      <c r="H304" s="6" t="s">
        <v>3073</v>
      </c>
      <c r="I304" s="7" t="s">
        <v>3074</v>
      </c>
      <c r="J304" s="8" t="str">
        <f>HYPERLINK("https://drive.google.com/file/d/1yCpRDoZayP2VYOSBpkkmIan3tCdvtFNs/view?usp=drivesdk","SITI MUNAWROH,A.Md.Kep SERTIFIKAT BerAKHLAK")</f>
        <v>SITI MUNAWROH,A.Md.Kep SERTIFIKAT BerAKHLAK</v>
      </c>
      <c r="K304" s="5" t="s">
        <v>2358</v>
      </c>
      <c r="L304" s="5" t="s">
        <v>3075</v>
      </c>
    </row>
    <row r="305">
      <c r="A305" s="4">
        <v>45534.31761385417</v>
      </c>
      <c r="B305" s="5" t="s">
        <v>34</v>
      </c>
      <c r="D305" s="5" t="s">
        <v>522</v>
      </c>
      <c r="E305" s="5" t="s">
        <v>3080</v>
      </c>
      <c r="F305" s="5" t="s">
        <v>212</v>
      </c>
      <c r="G305" s="5" t="s">
        <v>3081</v>
      </c>
      <c r="H305" s="6" t="s">
        <v>3082</v>
      </c>
      <c r="I305" s="7" t="s">
        <v>3083</v>
      </c>
      <c r="J305" s="8" t="str">
        <f>HYPERLINK("https://drive.google.com/file/d/1MrPhrIPe1Xf1SDzxA8y1ICQieI50d73C/view?usp=drivesdk","IRSAN HAFIZ MANDILING SERTIFIKAT BerAKHLAK")</f>
        <v>IRSAN HAFIZ MANDILING SERTIFIKAT BerAKHLAK</v>
      </c>
      <c r="K305" s="5" t="s">
        <v>2358</v>
      </c>
      <c r="L305" s="5" t="s">
        <v>3084</v>
      </c>
    </row>
    <row r="306">
      <c r="A306" s="4">
        <v>45534.317658368054</v>
      </c>
      <c r="B306" s="5" t="s">
        <v>34</v>
      </c>
      <c r="D306" s="5" t="s">
        <v>522</v>
      </c>
      <c r="E306" s="5" t="s">
        <v>3090</v>
      </c>
      <c r="F306" s="5" t="s">
        <v>108</v>
      </c>
      <c r="G306" s="5" t="s">
        <v>3091</v>
      </c>
      <c r="H306" s="6" t="s">
        <v>3092</v>
      </c>
      <c r="I306" s="7" t="s">
        <v>3093</v>
      </c>
      <c r="J306" s="8" t="str">
        <f>HYPERLINK("https://drive.google.com/file/d/167908nrvd79UwH7Izh0PLX14l3toqz7S/view?usp=drivesdk","BAIQ.MAHDAROH FINETERI.A.Md.Gz SERTIFIKAT BerAKHLAK")</f>
        <v>BAIQ.MAHDAROH FINETERI.A.Md.Gz SERTIFIKAT BerAKHLAK</v>
      </c>
      <c r="K306" s="5" t="s">
        <v>2358</v>
      </c>
      <c r="L306" s="5" t="s">
        <v>3094</v>
      </c>
    </row>
    <row r="307">
      <c r="A307" s="4">
        <v>45534.31766934028</v>
      </c>
      <c r="B307" s="5" t="s">
        <v>34</v>
      </c>
      <c r="D307" s="5" t="s">
        <v>1692</v>
      </c>
      <c r="E307" s="5" t="s">
        <v>3099</v>
      </c>
      <c r="F307" s="5" t="s">
        <v>108</v>
      </c>
      <c r="G307" s="5" t="s">
        <v>3100</v>
      </c>
      <c r="H307" s="6" t="s">
        <v>3101</v>
      </c>
      <c r="I307" s="7" t="s">
        <v>3102</v>
      </c>
      <c r="J307" s="8" t="str">
        <f>HYPERLINK("https://drive.google.com/file/d/16OyGjRwYGcqkTgeaXAVPVTU6Q0tePfSv/view?usp=drivesdk","BEATRIX GOMIES SERTIFIKAT BerAKHLAK")</f>
        <v>BEATRIX GOMIES SERTIFIKAT BerAKHLAK</v>
      </c>
      <c r="K307" s="5" t="s">
        <v>2358</v>
      </c>
      <c r="L307" s="5" t="s">
        <v>3103</v>
      </c>
    </row>
    <row r="308">
      <c r="A308" s="4">
        <v>45534.31768445602</v>
      </c>
      <c r="B308" s="5" t="s">
        <v>34</v>
      </c>
      <c r="D308" s="5" t="s">
        <v>267</v>
      </c>
      <c r="E308" s="5" t="s">
        <v>3108</v>
      </c>
      <c r="F308" s="5" t="s">
        <v>72</v>
      </c>
      <c r="G308" s="5" t="s">
        <v>3109</v>
      </c>
      <c r="H308" s="6" t="s">
        <v>3110</v>
      </c>
      <c r="I308" s="7" t="s">
        <v>3111</v>
      </c>
      <c r="J308" s="8" t="str">
        <f>HYPERLINK("https://drive.google.com/file/d/1GbvLKpVc2ONYgTZZNqZCDnHCwQuSVDER/view?usp=drivesdk","M.ALI MUNIF, SAG, MM SERTIFIKAT BerAKHLAK")</f>
        <v>M.ALI MUNIF, SAG, MM SERTIFIKAT BerAKHLAK</v>
      </c>
      <c r="K308" s="5" t="s">
        <v>2358</v>
      </c>
      <c r="L308" s="5" t="s">
        <v>3112</v>
      </c>
    </row>
    <row r="309">
      <c r="A309" s="4">
        <v>45534.317685347225</v>
      </c>
      <c r="B309" s="5" t="s">
        <v>34</v>
      </c>
      <c r="D309" s="5" t="s">
        <v>35</v>
      </c>
      <c r="E309" s="5" t="s">
        <v>3117</v>
      </c>
      <c r="F309" s="5" t="s">
        <v>120</v>
      </c>
      <c r="G309" s="5" t="s">
        <v>3118</v>
      </c>
      <c r="H309" s="6" t="s">
        <v>3119</v>
      </c>
      <c r="I309" s="7" t="s">
        <v>3120</v>
      </c>
      <c r="J309" s="8" t="str">
        <f>HYPERLINK("https://drive.google.com/file/d/1_mrjO3jv4qF5n4LTUjOaRLxvCzTsF4X_/view?usp=drivesdk","YURIS APOLO DHERMAWAN, SH SERTIFIKAT BerAKHLAK")</f>
        <v>YURIS APOLO DHERMAWAN, SH SERTIFIKAT BerAKHLAK</v>
      </c>
      <c r="K309" s="5" t="s">
        <v>2358</v>
      </c>
      <c r="L309" s="5" t="s">
        <v>3121</v>
      </c>
    </row>
    <row r="310">
      <c r="A310" s="4">
        <v>45534.317703252316</v>
      </c>
      <c r="B310" s="5" t="s">
        <v>34</v>
      </c>
      <c r="D310" s="5" t="s">
        <v>580</v>
      </c>
      <c r="E310" s="5" t="s">
        <v>3126</v>
      </c>
      <c r="F310" s="5" t="s">
        <v>212</v>
      </c>
      <c r="G310" s="5" t="s">
        <v>3127</v>
      </c>
      <c r="H310" s="6" t="s">
        <v>3128</v>
      </c>
      <c r="I310" s="7" t="s">
        <v>3129</v>
      </c>
      <c r="J310" s="8" t="str">
        <f>HYPERLINK("https://drive.google.com/file/d/1AJ1qsByFKtV7wTDQarj9gE0Bwasz0U93/view?usp=drivesdk","OKTANIA PURNAMA SARI, A.Md. Farm. SERTIFIKAT BerAKHLAK")</f>
        <v>OKTANIA PURNAMA SARI, A.Md. Farm. SERTIFIKAT BerAKHLAK</v>
      </c>
      <c r="K310" s="5" t="s">
        <v>2358</v>
      </c>
      <c r="L310" s="5" t="s">
        <v>3130</v>
      </c>
    </row>
    <row r="311">
      <c r="A311" s="4">
        <v>45534.31776582176</v>
      </c>
      <c r="B311" s="5" t="s">
        <v>34</v>
      </c>
      <c r="D311" s="5" t="s">
        <v>35</v>
      </c>
      <c r="E311" s="5" t="s">
        <v>3136</v>
      </c>
      <c r="F311" s="5" t="s">
        <v>715</v>
      </c>
      <c r="G311" s="5" t="s">
        <v>3137</v>
      </c>
      <c r="H311" s="6" t="s">
        <v>3138</v>
      </c>
      <c r="I311" s="7" t="s">
        <v>3139</v>
      </c>
      <c r="J311" s="8" t="str">
        <f>HYPERLINK("https://drive.google.com/file/d/1K3zQ0Ks9LlaDKMI5nMyM9D1UrfGIErz2/view?usp=drivesdk","INDAH NURMALASARI, A.Md.Kep. SERTIFIKAT BerAKHLAK")</f>
        <v>INDAH NURMALASARI, A.Md.Kep. SERTIFIKAT BerAKHLAK</v>
      </c>
      <c r="K311" s="5" t="s">
        <v>2358</v>
      </c>
      <c r="L311" s="5" t="s">
        <v>3140</v>
      </c>
    </row>
    <row r="312">
      <c r="A312" s="4">
        <v>45534.317774027775</v>
      </c>
      <c r="B312" s="5" t="s">
        <v>34</v>
      </c>
      <c r="D312" s="5" t="s">
        <v>35</v>
      </c>
      <c r="E312" s="5" t="s">
        <v>3146</v>
      </c>
      <c r="F312" s="5" t="s">
        <v>72</v>
      </c>
      <c r="G312" s="5" t="s">
        <v>3147</v>
      </c>
      <c r="H312" s="6" t="s">
        <v>3148</v>
      </c>
      <c r="I312" s="7" t="s">
        <v>3149</v>
      </c>
      <c r="J312" s="8" t="str">
        <f>HYPERLINK("https://drive.google.com/file/d/1t-l-yi7slaWuJttjsuMXXjCgh4bJJ7fs/view?usp=drivesdk","DWI PUJI SUSILAWATI,S.Kep SERTIFIKAT BerAKHLAK")</f>
        <v>DWI PUJI SUSILAWATI,S.Kep SERTIFIKAT BerAKHLAK</v>
      </c>
      <c r="K312" s="5" t="s">
        <v>2358</v>
      </c>
      <c r="L312" s="5" t="s">
        <v>3150</v>
      </c>
    </row>
    <row r="313">
      <c r="A313" s="4">
        <v>45534.317788472224</v>
      </c>
      <c r="B313" s="5" t="s">
        <v>34</v>
      </c>
      <c r="D313" s="5" t="s">
        <v>975</v>
      </c>
      <c r="E313" s="5" t="s">
        <v>3155</v>
      </c>
      <c r="F313" s="5" t="s">
        <v>37</v>
      </c>
      <c r="G313" s="5" t="s">
        <v>3156</v>
      </c>
      <c r="H313" s="6" t="s">
        <v>3157</v>
      </c>
      <c r="I313" s="7" t="s">
        <v>3158</v>
      </c>
      <c r="J313" s="8" t="str">
        <f>HYPERLINK("https://drive.google.com/file/d/1BwJ1WxCO1M_XtECTkVvwMrdIvXtXQk3d/view?usp=drivesdk","KURNIA WIDIANI,A.Md.Kes. SERTIFIKAT BerAKHLAK")</f>
        <v>KURNIA WIDIANI,A.Md.Kes. SERTIFIKAT BerAKHLAK</v>
      </c>
      <c r="K313" s="5" t="s">
        <v>3055</v>
      </c>
      <c r="L313" s="5" t="s">
        <v>3159</v>
      </c>
    </row>
    <row r="314">
      <c r="A314" s="4">
        <v>45534.31779152778</v>
      </c>
      <c r="B314" s="5" t="s">
        <v>34</v>
      </c>
      <c r="D314" s="5" t="s">
        <v>1456</v>
      </c>
      <c r="E314" s="5" t="s">
        <v>3164</v>
      </c>
      <c r="F314" s="5" t="s">
        <v>72</v>
      </c>
      <c r="G314" s="5" t="s">
        <v>3165</v>
      </c>
      <c r="H314" s="6" t="s">
        <v>3166</v>
      </c>
      <c r="I314" s="7" t="s">
        <v>3167</v>
      </c>
      <c r="J314" s="8" t="str">
        <f>HYPERLINK("https://drive.google.com/file/d/1F6lwaGehF5Yao4ecvFsAl3qqMn18IoY_/view?usp=drivesdk","YULI KARYANTO SERTIFIKAT BerAKHLAK")</f>
        <v>YULI KARYANTO SERTIFIKAT BerAKHLAK</v>
      </c>
      <c r="K314" s="5" t="s">
        <v>3055</v>
      </c>
      <c r="L314" s="5" t="s">
        <v>3168</v>
      </c>
    </row>
    <row r="315">
      <c r="A315" s="4">
        <v>45534.31779555556</v>
      </c>
      <c r="B315" s="5" t="s">
        <v>34</v>
      </c>
      <c r="D315" s="5" t="s">
        <v>580</v>
      </c>
      <c r="E315" s="5" t="s">
        <v>3173</v>
      </c>
      <c r="F315" s="5" t="s">
        <v>212</v>
      </c>
      <c r="G315" s="5" t="s">
        <v>3174</v>
      </c>
      <c r="H315" s="6" t="s">
        <v>3175</v>
      </c>
      <c r="I315" s="7" t="s">
        <v>3176</v>
      </c>
      <c r="J315" s="8" t="str">
        <f>HYPERLINK("https://drive.google.com/file/d/1iNKMUfgsTm6-h3GaSRQBrNtxum1fAV3a/view?usp=drivesdk","PENGATUR NI NYOMAN ARTINI SERTIFIKAT BerAKHLAK")</f>
        <v>PENGATUR NI NYOMAN ARTINI SERTIFIKAT BerAKHLAK</v>
      </c>
      <c r="K315" s="5" t="s">
        <v>3055</v>
      </c>
      <c r="L315" s="5" t="s">
        <v>3177</v>
      </c>
    </row>
    <row r="316">
      <c r="A316" s="4">
        <v>45534.31780148148</v>
      </c>
      <c r="B316" s="5" t="s">
        <v>19</v>
      </c>
      <c r="C316" s="5" t="s">
        <v>292</v>
      </c>
      <c r="E316" s="5" t="s">
        <v>3183</v>
      </c>
      <c r="F316" s="5" t="s">
        <v>72</v>
      </c>
      <c r="G316" s="5" t="s">
        <v>3184</v>
      </c>
      <c r="H316" s="6" t="s">
        <v>3185</v>
      </c>
      <c r="I316" s="7" t="s">
        <v>3186</v>
      </c>
      <c r="J316" s="8" t="str">
        <f>HYPERLINK("https://drive.google.com/file/d/1vHKLQXgMClug7apc4hjXOf_wLekxHSLq/view?usp=drivesdk","dr. DITA APERTAWA SERTIFIKAT BerAKHLAK")</f>
        <v>dr. DITA APERTAWA SERTIFIKAT BerAKHLAK</v>
      </c>
      <c r="K316" s="5" t="s">
        <v>3055</v>
      </c>
      <c r="L316" s="5" t="s">
        <v>3187</v>
      </c>
    </row>
    <row r="317">
      <c r="A317" s="4">
        <v>45534.31780991898</v>
      </c>
      <c r="B317" s="5" t="s">
        <v>19</v>
      </c>
      <c r="C317" s="5" t="s">
        <v>292</v>
      </c>
      <c r="E317" s="5" t="s">
        <v>3192</v>
      </c>
      <c r="F317" s="5" t="s">
        <v>212</v>
      </c>
      <c r="G317" s="5" t="s">
        <v>3193</v>
      </c>
      <c r="H317" s="6" t="s">
        <v>3194</v>
      </c>
      <c r="I317" s="7" t="s">
        <v>3195</v>
      </c>
      <c r="J317" s="8" t="str">
        <f>HYPERLINK("https://drive.google.com/file/d/1cCuLAPDDbuxawYgX0oDg5thr7tcTaKNN/view?usp=drivesdk","DITA MARYA SANJAYA, A. Md. Keb. SERTIFIKAT BerAKHLAK")</f>
        <v>DITA MARYA SANJAYA, A. Md. Keb. SERTIFIKAT BerAKHLAK</v>
      </c>
      <c r="K317" s="5" t="s">
        <v>2358</v>
      </c>
      <c r="L317" s="5" t="s">
        <v>3196</v>
      </c>
    </row>
    <row r="318">
      <c r="A318" s="4">
        <v>45534.31784133102</v>
      </c>
      <c r="B318" s="5" t="s">
        <v>34</v>
      </c>
      <c r="D318" s="5" t="s">
        <v>35</v>
      </c>
      <c r="E318" s="5" t="s">
        <v>3202</v>
      </c>
      <c r="F318" s="5" t="s">
        <v>108</v>
      </c>
      <c r="G318" s="5" t="s">
        <v>3203</v>
      </c>
      <c r="H318" s="6" t="s">
        <v>3204</v>
      </c>
      <c r="I318" s="7" t="s">
        <v>3205</v>
      </c>
      <c r="J318" s="8" t="str">
        <f>HYPERLINK("https://drive.google.com/file/d/1SdVho11cgZKJwIlFpgFsrnDEFvDl30uR/view?usp=drivesdk","EMPUD SARIPUDIN SERTIFIKAT BerAKHLAK")</f>
        <v>EMPUD SARIPUDIN SERTIFIKAT BerAKHLAK</v>
      </c>
      <c r="K318" s="5" t="s">
        <v>2358</v>
      </c>
      <c r="L318" s="5" t="s">
        <v>3206</v>
      </c>
    </row>
    <row r="319">
      <c r="A319" s="4">
        <v>45534.31784988426</v>
      </c>
      <c r="B319" s="5" t="s">
        <v>34</v>
      </c>
      <c r="D319" s="5" t="s">
        <v>1206</v>
      </c>
      <c r="E319" s="5" t="s">
        <v>3211</v>
      </c>
      <c r="F319" s="5" t="s">
        <v>212</v>
      </c>
      <c r="G319" s="5" t="s">
        <v>3212</v>
      </c>
      <c r="H319" s="6" t="s">
        <v>3213</v>
      </c>
      <c r="K319" s="5" t="s">
        <v>3214</v>
      </c>
    </row>
    <row r="320">
      <c r="A320" s="4">
        <v>45534.317853078705</v>
      </c>
      <c r="B320" s="5" t="s">
        <v>34</v>
      </c>
      <c r="D320" s="5" t="s">
        <v>1206</v>
      </c>
      <c r="E320" s="5" t="s">
        <v>3219</v>
      </c>
      <c r="F320" s="5" t="s">
        <v>375</v>
      </c>
      <c r="G320" s="5" t="s">
        <v>3220</v>
      </c>
      <c r="H320" s="6" t="s">
        <v>3221</v>
      </c>
      <c r="K320" s="5" t="s">
        <v>3214</v>
      </c>
    </row>
    <row r="321">
      <c r="A321" s="4">
        <v>45534.31787038194</v>
      </c>
      <c r="B321" s="5" t="s">
        <v>34</v>
      </c>
      <c r="D321" s="5" t="s">
        <v>580</v>
      </c>
      <c r="E321" s="5" t="s">
        <v>3227</v>
      </c>
      <c r="F321" s="5" t="s">
        <v>212</v>
      </c>
      <c r="G321" s="5" t="s">
        <v>3228</v>
      </c>
      <c r="H321" s="6" t="s">
        <v>3229</v>
      </c>
      <c r="K321" s="5" t="s">
        <v>3214</v>
      </c>
    </row>
    <row r="322">
      <c r="A322" s="4">
        <v>45534.31788270833</v>
      </c>
      <c r="B322" s="5" t="s">
        <v>34</v>
      </c>
      <c r="D322" s="5" t="s">
        <v>267</v>
      </c>
      <c r="E322" s="5" t="s">
        <v>3234</v>
      </c>
      <c r="F322" s="5" t="s">
        <v>524</v>
      </c>
      <c r="G322" s="5" t="s">
        <v>3235</v>
      </c>
      <c r="H322" s="6" t="s">
        <v>3236</v>
      </c>
      <c r="I322" s="7" t="s">
        <v>3237</v>
      </c>
      <c r="J322" s="8" t="str">
        <f>HYPERLINK("https://drive.google.com/file/d/1NBBBLbv0mOgPWI2nn0VXqS8sMRbLt1lC/view?usp=drivesdk","DWI HERMIYANTI SERTIFIKAT BerAKHLAK")</f>
        <v>DWI HERMIYANTI SERTIFIKAT BerAKHLAK</v>
      </c>
      <c r="K322" s="5" t="s">
        <v>2358</v>
      </c>
      <c r="L322" s="5" t="s">
        <v>3238</v>
      </c>
    </row>
    <row r="323">
      <c r="A323" s="4">
        <v>45534.31788923611</v>
      </c>
      <c r="B323" s="5" t="s">
        <v>34</v>
      </c>
      <c r="D323" s="5" t="s">
        <v>35</v>
      </c>
      <c r="E323" s="5" t="s">
        <v>3243</v>
      </c>
      <c r="F323" s="5" t="s">
        <v>72</v>
      </c>
      <c r="G323" s="5" t="s">
        <v>3244</v>
      </c>
      <c r="H323" s="6" t="s">
        <v>3245</v>
      </c>
      <c r="I323" s="7" t="s">
        <v>3246</v>
      </c>
      <c r="J323" s="8" t="str">
        <f>HYPERLINK("https://drive.google.com/file/d/1Fy1UruuJsaWhv_l_J3UbgmBGkKQf4x4B/view?usp=drivesdk","AAIDO BENARDO PARDAMEAN SERTIFIKAT BerAKHLAK")</f>
        <v>AAIDO BENARDO PARDAMEAN SERTIFIKAT BerAKHLAK</v>
      </c>
      <c r="K323" s="5" t="s">
        <v>3055</v>
      </c>
      <c r="L323" s="5" t="s">
        <v>3247</v>
      </c>
    </row>
    <row r="324">
      <c r="A324" s="4">
        <v>45534.31789064815</v>
      </c>
      <c r="B324" s="5" t="s">
        <v>34</v>
      </c>
      <c r="D324" s="5" t="s">
        <v>975</v>
      </c>
      <c r="E324" s="5" t="s">
        <v>3253</v>
      </c>
      <c r="F324" s="5" t="s">
        <v>72</v>
      </c>
      <c r="G324" s="5" t="s">
        <v>3254</v>
      </c>
      <c r="H324" s="6" t="s">
        <v>3255</v>
      </c>
      <c r="I324" s="7" t="s">
        <v>3256</v>
      </c>
      <c r="J324" s="8" t="str">
        <f>HYPERLINK("https://drive.google.com/file/d/1cUL4zeZADZGl3cNNYatBlK3rZs2rxoPw/view?usp=drivesdk","dr. FERDINAN HERSON MAPANAWANG SERTIFIKAT BerAKHLAK")</f>
        <v>dr. FERDINAN HERSON MAPANAWANG SERTIFIKAT BerAKHLAK</v>
      </c>
      <c r="K324" s="5" t="s">
        <v>3257</v>
      </c>
      <c r="L324" s="5" t="s">
        <v>3258</v>
      </c>
    </row>
    <row r="325">
      <c r="A325" s="4">
        <v>45534.317940312496</v>
      </c>
      <c r="B325" s="5" t="s">
        <v>34</v>
      </c>
      <c r="D325" s="5" t="s">
        <v>35</v>
      </c>
      <c r="E325" s="5" t="s">
        <v>3263</v>
      </c>
      <c r="F325" s="5" t="s">
        <v>108</v>
      </c>
      <c r="G325" s="5" t="s">
        <v>3264</v>
      </c>
      <c r="H325" s="6" t="s">
        <v>3265</v>
      </c>
      <c r="I325" s="7" t="s">
        <v>3266</v>
      </c>
      <c r="J325" s="8" t="str">
        <f>HYPERLINK("https://drive.google.com/file/d/1yc71fyGyTLyU25vOwvJafnjE43navuzH/view?usp=drivesdk","TATANG SUTARMAN  SERTIFIKAT BerAKHLAK")</f>
        <v>TATANG SUTARMAN  SERTIFIKAT BerAKHLAK</v>
      </c>
      <c r="K325" s="5" t="s">
        <v>3055</v>
      </c>
      <c r="L325" s="5" t="s">
        <v>3267</v>
      </c>
    </row>
    <row r="326">
      <c r="A326" s="4">
        <v>45534.31795508102</v>
      </c>
      <c r="B326" s="5" t="s">
        <v>34</v>
      </c>
      <c r="D326" s="5" t="s">
        <v>35</v>
      </c>
      <c r="E326" s="5" t="s">
        <v>3273</v>
      </c>
      <c r="F326" s="5" t="s">
        <v>108</v>
      </c>
      <c r="G326" s="5" t="s">
        <v>3274</v>
      </c>
      <c r="H326" s="6" t="s">
        <v>3275</v>
      </c>
      <c r="I326" s="7" t="s">
        <v>3276</v>
      </c>
      <c r="J326" s="8" t="str">
        <f>HYPERLINK("https://drive.google.com/file/d/1OL9Ur7_gKnK609gTTPgoajtpZ-wI4Fie/view?usp=drivesdk","ERMA ZULHAIDA HERMAN SERTIFIKAT BerAKHLAK")</f>
        <v>ERMA ZULHAIDA HERMAN SERTIFIKAT BerAKHLAK</v>
      </c>
      <c r="K326" s="5" t="s">
        <v>3055</v>
      </c>
      <c r="L326" s="5" t="s">
        <v>3277</v>
      </c>
    </row>
    <row r="327">
      <c r="A327" s="4">
        <v>45534.3180184838</v>
      </c>
      <c r="B327" s="5" t="s">
        <v>34</v>
      </c>
      <c r="D327" s="5" t="s">
        <v>35</v>
      </c>
      <c r="E327" s="5" t="s">
        <v>3282</v>
      </c>
      <c r="F327" s="5" t="s">
        <v>37</v>
      </c>
      <c r="G327" s="5" t="s">
        <v>3283</v>
      </c>
      <c r="H327" s="6" t="s">
        <v>3284</v>
      </c>
      <c r="I327" s="7" t="s">
        <v>3285</v>
      </c>
      <c r="J327" s="8" t="str">
        <f>HYPERLINK("https://drive.google.com/file/d/1kk3e8v0qsx0IobJ43OIOp42gSSVx28rI/view?usp=drivesdk","DIDI JUNAEDI SE SERTIFIKAT BerAKHLAK")</f>
        <v>DIDI JUNAEDI SE SERTIFIKAT BerAKHLAK</v>
      </c>
      <c r="K327" s="5" t="s">
        <v>3055</v>
      </c>
      <c r="L327" s="5" t="s">
        <v>3286</v>
      </c>
    </row>
    <row r="328">
      <c r="A328" s="4">
        <v>45534.318031828705</v>
      </c>
      <c r="B328" s="5" t="s">
        <v>34</v>
      </c>
      <c r="D328" s="5" t="s">
        <v>604</v>
      </c>
      <c r="E328" s="5" t="s">
        <v>3291</v>
      </c>
      <c r="F328" s="5" t="s">
        <v>37</v>
      </c>
      <c r="G328" s="5" t="s">
        <v>3292</v>
      </c>
      <c r="H328" s="6" t="s">
        <v>3293</v>
      </c>
      <c r="I328" s="7" t="s">
        <v>3294</v>
      </c>
      <c r="J328" s="8" t="str">
        <f>HYPERLINK("https://drive.google.com/file/d/1akEGn4_MGyJu8oyS5hrdaDhpd-a69x5C/view?usp=drivesdk","RIANTY MARIA ELVIRA, A.MD SERTIFIKAT BerAKHLAK")</f>
        <v>RIANTY MARIA ELVIRA, A.MD SERTIFIKAT BerAKHLAK</v>
      </c>
      <c r="K328" s="5" t="s">
        <v>3055</v>
      </c>
      <c r="L328" s="5" t="s">
        <v>3295</v>
      </c>
    </row>
    <row r="329">
      <c r="A329" s="4">
        <v>45534.31804407407</v>
      </c>
      <c r="B329" s="5" t="s">
        <v>19</v>
      </c>
      <c r="C329" s="5" t="s">
        <v>3301</v>
      </c>
      <c r="E329" s="5" t="s">
        <v>3302</v>
      </c>
      <c r="F329" s="5" t="s">
        <v>375</v>
      </c>
      <c r="G329" s="5" t="s">
        <v>3303</v>
      </c>
      <c r="H329" s="6" t="s">
        <v>3304</v>
      </c>
      <c r="I329" s="7" t="s">
        <v>3305</v>
      </c>
      <c r="J329" s="8" t="str">
        <f>HYPERLINK("https://drive.google.com/file/d/1PUdswe9-fqLytxo9Ky84-Sx7U4VYPH4k/view?usp=drivesdk","FERRY INDRA SEJATI, Amd.Keb, S.KM, M.KM SERTIFIKAT BerAKHLAK")</f>
        <v>FERRY INDRA SEJATI, Amd.Keb, S.KM, M.KM SERTIFIKAT BerAKHLAK</v>
      </c>
      <c r="K329" s="5" t="s">
        <v>3055</v>
      </c>
      <c r="L329" s="5" t="s">
        <v>3306</v>
      </c>
    </row>
    <row r="330">
      <c r="A330" s="4">
        <v>45534.31807712963</v>
      </c>
      <c r="B330" s="5" t="s">
        <v>34</v>
      </c>
      <c r="D330" s="5" t="s">
        <v>35</v>
      </c>
      <c r="E330" s="5" t="s">
        <v>3311</v>
      </c>
      <c r="F330" s="5" t="s">
        <v>37</v>
      </c>
      <c r="G330" s="5" t="s">
        <v>3312</v>
      </c>
      <c r="H330" s="6" t="s">
        <v>3313</v>
      </c>
      <c r="I330" s="7" t="s">
        <v>3314</v>
      </c>
      <c r="J330" s="8" t="str">
        <f>HYPERLINK("https://drive.google.com/file/d/1UcuUEOeeVa9tAx3PA9GLOm04YelLJnJc/view?usp=drivesdk","NASEP KUSNADI AMd Kep SERTIFIKAT BerAKHLAK")</f>
        <v>NASEP KUSNADI AMd Kep SERTIFIKAT BerAKHLAK</v>
      </c>
      <c r="K330" s="5" t="s">
        <v>3055</v>
      </c>
      <c r="L330" s="5" t="s">
        <v>3315</v>
      </c>
    </row>
    <row r="331">
      <c r="A331" s="4">
        <v>45534.31808273148</v>
      </c>
      <c r="B331" s="5" t="s">
        <v>34</v>
      </c>
      <c r="D331" s="5" t="s">
        <v>35</v>
      </c>
      <c r="E331" s="5" t="s">
        <v>3320</v>
      </c>
      <c r="F331" s="5" t="s">
        <v>108</v>
      </c>
      <c r="G331" s="5" t="s">
        <v>3321</v>
      </c>
      <c r="H331" s="6" t="s">
        <v>3322</v>
      </c>
      <c r="I331" s="7" t="s">
        <v>3323</v>
      </c>
      <c r="J331" s="8" t="str">
        <f>HYPERLINK("https://drive.google.com/file/d/1XRHm_URgZkWvShvyfxQcqg10ZafmIa7M/view?usp=drivesdk","EGI LUCKY LEGIAN SERTIFIKAT BerAKHLAK")</f>
        <v>EGI LUCKY LEGIAN SERTIFIKAT BerAKHLAK</v>
      </c>
      <c r="K331" s="5" t="s">
        <v>3055</v>
      </c>
      <c r="L331" s="5" t="s">
        <v>3324</v>
      </c>
    </row>
    <row r="332">
      <c r="A332" s="4">
        <v>45534.31809262732</v>
      </c>
      <c r="B332" s="5" t="s">
        <v>34</v>
      </c>
      <c r="D332" s="5" t="s">
        <v>1206</v>
      </c>
      <c r="E332" s="5" t="s">
        <v>3329</v>
      </c>
      <c r="F332" s="5" t="s">
        <v>37</v>
      </c>
      <c r="G332" s="5" t="s">
        <v>3330</v>
      </c>
      <c r="H332" s="6" t="s">
        <v>3331</v>
      </c>
      <c r="I332" s="7" t="s">
        <v>3332</v>
      </c>
      <c r="J332" s="8" t="str">
        <f>HYPERLINK("https://drive.google.com/file/d/151qEhwuq_ewwE-_pE9-gdTIl79_uV2ph/view?usp=drivesdk","MISWARININGSIH SERTIFIKAT BerAKHLAK")</f>
        <v>MISWARININGSIH SERTIFIKAT BerAKHLAK</v>
      </c>
      <c r="K332" s="5" t="s">
        <v>3055</v>
      </c>
      <c r="L332" s="5" t="s">
        <v>3333</v>
      </c>
    </row>
    <row r="333">
      <c r="A333" s="4">
        <v>45534.318111817134</v>
      </c>
      <c r="B333" s="5" t="s">
        <v>34</v>
      </c>
      <c r="D333" s="5" t="s">
        <v>975</v>
      </c>
      <c r="E333" s="5" t="s">
        <v>3339</v>
      </c>
      <c r="F333" s="5" t="s">
        <v>108</v>
      </c>
      <c r="G333" s="5" t="s">
        <v>3340</v>
      </c>
      <c r="H333" s="6" t="s">
        <v>3341</v>
      </c>
      <c r="I333" s="7" t="s">
        <v>3342</v>
      </c>
      <c r="J333" s="8" t="str">
        <f>HYPERLINK("https://drive.google.com/file/d/1bKoF6EiQb6R89HugJX0N22xLYgFxSAq3/view?usp=drivesdk","ROSMIATI MANNAN SERTIFIKAT BerAKHLAK")</f>
        <v>ROSMIATI MANNAN SERTIFIKAT BerAKHLAK</v>
      </c>
      <c r="K333" s="5" t="s">
        <v>3055</v>
      </c>
      <c r="L333" s="5" t="s">
        <v>3343</v>
      </c>
    </row>
    <row r="334">
      <c r="A334" s="4">
        <v>45534.31811208333</v>
      </c>
      <c r="B334" s="5" t="s">
        <v>34</v>
      </c>
      <c r="D334" s="5" t="s">
        <v>996</v>
      </c>
      <c r="E334" s="5" t="s">
        <v>3348</v>
      </c>
      <c r="F334" s="5" t="s">
        <v>524</v>
      </c>
      <c r="G334" s="5" t="s">
        <v>3349</v>
      </c>
      <c r="H334" s="6" t="s">
        <v>3350</v>
      </c>
      <c r="I334" s="7" t="s">
        <v>3351</v>
      </c>
      <c r="J334" s="8" t="str">
        <f>HYPERLINK("https://drive.google.com/file/d/1RMf7e01_1GsyXKrSqNx9vV9X9MvdzeEN/view?usp=drivesdk","RINA FATMAWATI., SH SERTIFIKAT BerAKHLAK")</f>
        <v>RINA FATMAWATI., SH SERTIFIKAT BerAKHLAK</v>
      </c>
      <c r="K334" s="5" t="s">
        <v>3055</v>
      </c>
      <c r="L334" s="5" t="s">
        <v>3352</v>
      </c>
    </row>
    <row r="335">
      <c r="A335" s="4">
        <v>45534.3181228125</v>
      </c>
      <c r="B335" s="5" t="s">
        <v>19</v>
      </c>
      <c r="C335" s="5" t="s">
        <v>20</v>
      </c>
      <c r="E335" s="5" t="s">
        <v>3358</v>
      </c>
      <c r="F335" s="5" t="s">
        <v>37</v>
      </c>
      <c r="G335" s="5" t="s">
        <v>3359</v>
      </c>
      <c r="H335" s="6" t="s">
        <v>3360</v>
      </c>
      <c r="I335" s="7" t="s">
        <v>3361</v>
      </c>
      <c r="J335" s="8" t="str">
        <f>HYPERLINK("https://drive.google.com/file/d/17EkNjJ3XUeo7CBsn7CcyWfkTI9_jXicI/view?usp=drivesdk","DEDE FAUZIAH, A.Md SERTIFIKAT BerAKHLAK")</f>
        <v>DEDE FAUZIAH, A.Md SERTIFIKAT BerAKHLAK</v>
      </c>
      <c r="K335" s="5" t="s">
        <v>3055</v>
      </c>
      <c r="L335" s="5" t="s">
        <v>3362</v>
      </c>
    </row>
    <row r="336">
      <c r="A336" s="4">
        <v>45534.31815097222</v>
      </c>
      <c r="B336" s="5" t="s">
        <v>34</v>
      </c>
      <c r="D336" s="5" t="s">
        <v>1663</v>
      </c>
      <c r="E336" s="5" t="s">
        <v>3367</v>
      </c>
      <c r="F336" s="5" t="s">
        <v>108</v>
      </c>
      <c r="G336" s="5" t="s">
        <v>3368</v>
      </c>
      <c r="H336" s="6" t="s">
        <v>3369</v>
      </c>
      <c r="I336" s="7" t="s">
        <v>3370</v>
      </c>
      <c r="J336" s="8" t="str">
        <f>HYPERLINK("https://drive.google.com/file/d/1W_f_JIAb5qmhG7QoGl92aQ3yoJ-js2PR/view?usp=drivesdk","IMANUEL FAKNIK, S.E. SERTIFIKAT BerAKHLAK")</f>
        <v>IMANUEL FAKNIK, S.E. SERTIFIKAT BerAKHLAK</v>
      </c>
      <c r="K336" s="5" t="s">
        <v>3055</v>
      </c>
      <c r="L336" s="5" t="s">
        <v>3371</v>
      </c>
    </row>
    <row r="337">
      <c r="A337" s="4">
        <v>45534.318181759256</v>
      </c>
      <c r="B337" s="5" t="s">
        <v>34</v>
      </c>
      <c r="D337" s="5" t="s">
        <v>35</v>
      </c>
      <c r="E337" s="5" t="s">
        <v>3376</v>
      </c>
      <c r="F337" s="5" t="s">
        <v>37</v>
      </c>
      <c r="G337" s="5" t="s">
        <v>3377</v>
      </c>
      <c r="H337" s="6" t="s">
        <v>3378</v>
      </c>
      <c r="I337" s="7" t="s">
        <v>3379</v>
      </c>
      <c r="J337" s="8" t="str">
        <f>HYPERLINK("https://drive.google.com/file/d/1MeeIiQ9-kBX0BuczFW802WNJSXFCa33s/view?usp=drivesdk","FITRI TRISWANTI SERTIFIKAT BerAKHLAK")</f>
        <v>FITRI TRISWANTI SERTIFIKAT BerAKHLAK</v>
      </c>
      <c r="K337" s="5" t="s">
        <v>3055</v>
      </c>
      <c r="L337" s="5" t="s">
        <v>3380</v>
      </c>
    </row>
    <row r="338">
      <c r="A338" s="4">
        <v>45534.318197789355</v>
      </c>
      <c r="B338" s="5" t="s">
        <v>34</v>
      </c>
      <c r="D338" s="5" t="s">
        <v>975</v>
      </c>
      <c r="E338" s="5" t="s">
        <v>3385</v>
      </c>
      <c r="F338" s="5" t="s">
        <v>37</v>
      </c>
      <c r="G338" s="5" t="s">
        <v>3386</v>
      </c>
      <c r="H338" s="6" t="s">
        <v>3387</v>
      </c>
      <c r="I338" s="7" t="s">
        <v>3388</v>
      </c>
      <c r="J338" s="8" t="str">
        <f>HYPERLINK("https://drive.google.com/file/d/1gLfxe_8RVYgSMK6xXL58hwIcvgHRC5iK/view?usp=drivesdk","ANGGUN MUJI HARTINI, A. Md. Keb SERTIFIKAT BerAKHLAK")</f>
        <v>ANGGUN MUJI HARTINI, A. Md. Keb SERTIFIKAT BerAKHLAK</v>
      </c>
      <c r="K338" s="5" t="s">
        <v>3055</v>
      </c>
      <c r="L338" s="5" t="s">
        <v>3389</v>
      </c>
    </row>
    <row r="339">
      <c r="A339" s="4">
        <v>45534.31821016203</v>
      </c>
      <c r="B339" s="5" t="s">
        <v>34</v>
      </c>
      <c r="D339" s="5" t="s">
        <v>996</v>
      </c>
      <c r="E339" s="5" t="s">
        <v>3394</v>
      </c>
      <c r="F339" s="5" t="s">
        <v>108</v>
      </c>
      <c r="G339" s="5" t="s">
        <v>3395</v>
      </c>
      <c r="H339" s="6" t="s">
        <v>3396</v>
      </c>
      <c r="I339" s="7" t="s">
        <v>3397</v>
      </c>
      <c r="J339" s="8" t="str">
        <f>HYPERLINK("https://drive.google.com/file/d/1mYEFOrTJlEVVkSZ7UOM9BLg8yREqDeiP/view?usp=drivesdk","APT. HUMAIRAH, S.FARM SERTIFIKAT BerAKHLAK")</f>
        <v>APT. HUMAIRAH, S.FARM SERTIFIKAT BerAKHLAK</v>
      </c>
      <c r="K339" s="5" t="s">
        <v>3055</v>
      </c>
      <c r="L339" s="5" t="s">
        <v>3398</v>
      </c>
    </row>
    <row r="340">
      <c r="A340" s="4">
        <v>45534.31822608796</v>
      </c>
      <c r="B340" s="5" t="s">
        <v>34</v>
      </c>
      <c r="D340" s="5" t="s">
        <v>1206</v>
      </c>
      <c r="E340" s="5" t="s">
        <v>3405</v>
      </c>
      <c r="F340" s="5" t="s">
        <v>375</v>
      </c>
      <c r="G340" s="5" t="s">
        <v>3406</v>
      </c>
      <c r="H340" s="6" t="s">
        <v>3407</v>
      </c>
      <c r="I340" s="7" t="s">
        <v>3408</v>
      </c>
      <c r="J340" s="8" t="str">
        <f>HYPERLINK("https://drive.google.com/file/d/14vKTHNDO5MjfAWR_Wo9BuDXtPS5eUM_Y/view?usp=drivesdk","RATIH SULISTYOWATI, S.S., M.Pd SERTIFIKAT BerAKHLAK")</f>
        <v>RATIH SULISTYOWATI, S.S., M.Pd SERTIFIKAT BerAKHLAK</v>
      </c>
      <c r="K340" s="5" t="s">
        <v>3055</v>
      </c>
      <c r="L340" s="5" t="s">
        <v>3409</v>
      </c>
    </row>
    <row r="341">
      <c r="A341" s="4">
        <v>45534.31823462963</v>
      </c>
      <c r="B341" s="5" t="s">
        <v>34</v>
      </c>
      <c r="D341" s="5" t="s">
        <v>1206</v>
      </c>
      <c r="E341" s="5" t="s">
        <v>3414</v>
      </c>
      <c r="F341" s="5" t="s">
        <v>212</v>
      </c>
      <c r="G341" s="5" t="s">
        <v>3415</v>
      </c>
      <c r="H341" s="6" t="s">
        <v>3416</v>
      </c>
      <c r="I341" s="7" t="s">
        <v>3417</v>
      </c>
      <c r="J341" s="8" t="str">
        <f>HYPERLINK("https://drive.google.com/file/d/1EqzjKr02H2Fo94HAE5arl7Kvu74zBMUq/view?usp=drivesdk","NURUL MAHMUDAH, S.Sos. SERTIFIKAT BerAKHLAK")</f>
        <v>NURUL MAHMUDAH, S.Sos. SERTIFIKAT BerAKHLAK</v>
      </c>
      <c r="K341" s="5" t="s">
        <v>3055</v>
      </c>
      <c r="L341" s="5" t="s">
        <v>3418</v>
      </c>
    </row>
    <row r="342">
      <c r="A342" s="4">
        <v>45534.31825827547</v>
      </c>
      <c r="B342" s="5" t="s">
        <v>19</v>
      </c>
      <c r="C342" s="5" t="s">
        <v>292</v>
      </c>
      <c r="E342" s="5" t="s">
        <v>3423</v>
      </c>
      <c r="F342" s="5" t="s">
        <v>715</v>
      </c>
      <c r="G342" s="5" t="s">
        <v>3424</v>
      </c>
      <c r="H342" s="6" t="s">
        <v>3425</v>
      </c>
      <c r="I342" s="7" t="s">
        <v>3426</v>
      </c>
      <c r="J342" s="8" t="str">
        <f>HYPERLINK("https://drive.google.com/file/d/1vgAchmpO4VUBG9Hp1IAyv_HCN-U_LSwP/view?usp=drivesdk","IIN SUWANDINI, S.E. SERTIFIKAT BerAKHLAK")</f>
        <v>IIN SUWANDINI, S.E. SERTIFIKAT BerAKHLAK</v>
      </c>
      <c r="K342" s="5" t="s">
        <v>3055</v>
      </c>
      <c r="L342" s="5" t="s">
        <v>3427</v>
      </c>
    </row>
    <row r="343">
      <c r="A343" s="4">
        <v>45534.31826047454</v>
      </c>
      <c r="B343" s="5" t="s">
        <v>34</v>
      </c>
      <c r="D343" s="5" t="s">
        <v>3432</v>
      </c>
      <c r="E343" s="5" t="s">
        <v>3433</v>
      </c>
      <c r="F343" s="5" t="s">
        <v>72</v>
      </c>
      <c r="G343" s="5" t="s">
        <v>3434</v>
      </c>
      <c r="H343" s="6" t="s">
        <v>3435</v>
      </c>
      <c r="I343" s="7" t="s">
        <v>3436</v>
      </c>
      <c r="J343" s="8" t="str">
        <f>HYPERLINK("https://drive.google.com/file/d/1pm-ql1gd-tvA8URUo7b1Ame41I5QghF0/view?usp=drivesdk","ANIK INDRIANAWATI SERTIFIKAT BerAKHLAK")</f>
        <v>ANIK INDRIANAWATI SERTIFIKAT BerAKHLAK</v>
      </c>
      <c r="K343" s="5" t="s">
        <v>3055</v>
      </c>
      <c r="L343" s="5" t="s">
        <v>3437</v>
      </c>
    </row>
    <row r="344">
      <c r="A344" s="4">
        <v>45534.318268229166</v>
      </c>
      <c r="B344" s="5" t="s">
        <v>34</v>
      </c>
      <c r="D344" s="5" t="s">
        <v>1206</v>
      </c>
      <c r="E344" s="5" t="s">
        <v>3442</v>
      </c>
      <c r="F344" s="5" t="s">
        <v>72</v>
      </c>
      <c r="G344" s="5" t="s">
        <v>3443</v>
      </c>
      <c r="H344" s="6" t="s">
        <v>3444</v>
      </c>
      <c r="I344" s="7" t="s">
        <v>3445</v>
      </c>
      <c r="J344" s="8" t="str">
        <f>HYPERLINK("https://drive.google.com/file/d/1_SJq9qWjzFtHNu4rkGFXzhkNyocrIaz-/view?usp=drivesdk","AGUS WIYONO, S.KEP.NERS SERTIFIKAT BerAKHLAK")</f>
        <v>AGUS WIYONO, S.KEP.NERS SERTIFIKAT BerAKHLAK</v>
      </c>
      <c r="K344" s="5" t="s">
        <v>3055</v>
      </c>
      <c r="L344" s="5" t="s">
        <v>3446</v>
      </c>
    </row>
    <row r="345">
      <c r="A345" s="4">
        <v>45534.31826971065</v>
      </c>
      <c r="B345" s="5" t="s">
        <v>34</v>
      </c>
      <c r="D345" s="5" t="s">
        <v>3432</v>
      </c>
      <c r="E345" s="5" t="s">
        <v>3452</v>
      </c>
      <c r="F345" s="5" t="s">
        <v>524</v>
      </c>
      <c r="G345" s="5" t="s">
        <v>3453</v>
      </c>
      <c r="H345" s="6" t="s">
        <v>3454</v>
      </c>
      <c r="I345" s="7" t="s">
        <v>3455</v>
      </c>
      <c r="J345" s="8" t="str">
        <f>HYPERLINK("https://drive.google.com/file/d/1XkaUqE7mpBBYc8a_2lkMlDUPhfIaphYc/view?usp=drivesdk","LINDA JUNNE TOUMAHUW,S.KM.M.KM SERTIFIKAT BerAKHLAK")</f>
        <v>LINDA JUNNE TOUMAHUW,S.KM.M.KM SERTIFIKAT BerAKHLAK</v>
      </c>
      <c r="K345" s="5" t="s">
        <v>3257</v>
      </c>
      <c r="L345" s="5" t="s">
        <v>3456</v>
      </c>
    </row>
    <row r="346">
      <c r="A346" s="4">
        <v>45534.31828047454</v>
      </c>
      <c r="B346" s="5" t="s">
        <v>34</v>
      </c>
      <c r="D346" s="5" t="s">
        <v>1206</v>
      </c>
      <c r="E346" s="5" t="s">
        <v>3462</v>
      </c>
      <c r="F346" s="5" t="s">
        <v>72</v>
      </c>
      <c r="G346" s="5" t="s">
        <v>3463</v>
      </c>
      <c r="H346" s="6" t="s">
        <v>3464</v>
      </c>
      <c r="I346" s="7" t="s">
        <v>3465</v>
      </c>
      <c r="J346" s="8" t="str">
        <f>HYPERLINK("https://drive.google.com/file/d/1WFhmrlV4BJ3Ilhi2-5YDBLu2N7KrmrBz/view?usp=drivesdk","NOVI WIJAYANTI SERTIFIKAT BerAKHLAK")</f>
        <v>NOVI WIJAYANTI SERTIFIKAT BerAKHLAK</v>
      </c>
      <c r="K346" s="5" t="s">
        <v>3055</v>
      </c>
      <c r="L346" s="5" t="s">
        <v>3466</v>
      </c>
    </row>
    <row r="347">
      <c r="A347" s="4">
        <v>45534.318310752315</v>
      </c>
      <c r="B347" s="5" t="s">
        <v>19</v>
      </c>
      <c r="C347" s="5" t="s">
        <v>3471</v>
      </c>
      <c r="E347" s="5" t="s">
        <v>3472</v>
      </c>
      <c r="F347" s="5" t="s">
        <v>120</v>
      </c>
      <c r="G347" s="5" t="s">
        <v>3473</v>
      </c>
      <c r="H347" s="6" t="s">
        <v>3474</v>
      </c>
      <c r="I347" s="7" t="s">
        <v>3475</v>
      </c>
      <c r="J347" s="8" t="str">
        <f>HYPERLINK("https://drive.google.com/file/d/1-hkKTBwc7KB0NFBWejaV_ymZjOTch38N/view?usp=drivesdk","SENO AJI,S.KOM,M.M. SERTIFIKAT BerAKHLAK")</f>
        <v>SENO AJI,S.KOM,M.M. SERTIFIKAT BerAKHLAK</v>
      </c>
      <c r="K347" s="5" t="s">
        <v>3055</v>
      </c>
      <c r="L347" s="5" t="s">
        <v>3476</v>
      </c>
    </row>
    <row r="348">
      <c r="A348" s="4">
        <v>45534.31831635417</v>
      </c>
      <c r="B348" s="5" t="s">
        <v>34</v>
      </c>
      <c r="D348" s="5" t="s">
        <v>580</v>
      </c>
      <c r="E348" s="5" t="s">
        <v>3481</v>
      </c>
      <c r="F348" s="5" t="s">
        <v>212</v>
      </c>
      <c r="G348" s="5" t="s">
        <v>3482</v>
      </c>
      <c r="H348" s="6" t="s">
        <v>3483</v>
      </c>
      <c r="I348" s="7" t="s">
        <v>3484</v>
      </c>
      <c r="J348" s="8" t="str">
        <f>HYPERLINK("https://drive.google.com/file/d/19LYQ-ySdo_6quo3e7WqPEXGUck53AfIx/view?usp=drivesdk","IDA AYU GEDE MILA CAHYANTHY, A.Md.Kep., S.H. SERTIFIKAT BerAKHLAK")</f>
        <v>IDA AYU GEDE MILA CAHYANTHY, A.Md.Kep., S.H. SERTIFIKAT BerAKHLAK</v>
      </c>
      <c r="K348" s="5" t="s">
        <v>3055</v>
      </c>
      <c r="L348" s="5" t="s">
        <v>3485</v>
      </c>
    </row>
    <row r="349">
      <c r="A349" s="4">
        <v>45534.31833060185</v>
      </c>
      <c r="B349" s="5" t="s">
        <v>19</v>
      </c>
      <c r="C349" s="5" t="s">
        <v>292</v>
      </c>
      <c r="E349" s="5" t="s">
        <v>3491</v>
      </c>
      <c r="F349" s="5" t="s">
        <v>524</v>
      </c>
      <c r="G349" s="5" t="s">
        <v>3492</v>
      </c>
      <c r="H349" s="6" t="s">
        <v>3493</v>
      </c>
      <c r="I349" s="7" t="s">
        <v>3494</v>
      </c>
      <c r="J349" s="8" t="str">
        <f>HYPERLINK("https://drive.google.com/file/d/1NDN5DkIRZL6bS86x2D4zKZaIe1dM42ta/view?usp=drivesdk","IMAS KARWATI, S.KEP.,NERS SERTIFIKAT BerAKHLAK")</f>
        <v>IMAS KARWATI, S.KEP.,NERS SERTIFIKAT BerAKHLAK</v>
      </c>
      <c r="K349" s="5" t="s">
        <v>3055</v>
      </c>
      <c r="L349" s="5" t="s">
        <v>3495</v>
      </c>
    </row>
    <row r="350">
      <c r="A350" s="4">
        <v>45534.31833841435</v>
      </c>
      <c r="B350" s="5" t="s">
        <v>19</v>
      </c>
      <c r="C350" s="5" t="s">
        <v>292</v>
      </c>
      <c r="E350" s="5" t="s">
        <v>3500</v>
      </c>
      <c r="F350" s="5" t="s">
        <v>108</v>
      </c>
      <c r="G350" s="5" t="s">
        <v>3501</v>
      </c>
      <c r="H350" s="6" t="s">
        <v>3502</v>
      </c>
      <c r="I350" s="7" t="s">
        <v>3503</v>
      </c>
      <c r="J350" s="8" t="str">
        <f>HYPERLINK("https://drive.google.com/file/d/1nTLOgele5Dr3dYMlKTpVxMseY7v_vmJH/view?usp=drivesdk","RENI MURNIATI, S.AP SERTIFIKAT BerAKHLAK")</f>
        <v>RENI MURNIATI, S.AP SERTIFIKAT BerAKHLAK</v>
      </c>
      <c r="K350" s="5" t="s">
        <v>3257</v>
      </c>
      <c r="L350" s="5" t="s">
        <v>3504</v>
      </c>
    </row>
    <row r="351">
      <c r="A351" s="4">
        <v>45534.31841416667</v>
      </c>
      <c r="B351" s="5" t="s">
        <v>34</v>
      </c>
      <c r="D351" s="5" t="s">
        <v>604</v>
      </c>
      <c r="E351" s="5" t="s">
        <v>3509</v>
      </c>
      <c r="F351" s="5" t="s">
        <v>524</v>
      </c>
      <c r="G351" s="5" t="s">
        <v>3510</v>
      </c>
      <c r="H351" s="6" t="s">
        <v>3511</v>
      </c>
      <c r="I351" s="7" t="s">
        <v>3512</v>
      </c>
      <c r="J351" s="8" t="str">
        <f>HYPERLINK("https://drive.google.com/file/d/1jLxvq6GdjkhSwHzm0t7g5JVqQK-ZbKJ-/view?usp=drivesdk","DARSIH SRI REJEKI SERTIFIKAT BerAKHLAK")</f>
        <v>DARSIH SRI REJEKI SERTIFIKAT BerAKHLAK</v>
      </c>
      <c r="K351" s="5" t="s">
        <v>3055</v>
      </c>
      <c r="L351" s="5" t="s">
        <v>3513</v>
      </c>
    </row>
    <row r="352">
      <c r="A352" s="4">
        <v>45534.318431747684</v>
      </c>
      <c r="B352" s="5" t="s">
        <v>34</v>
      </c>
      <c r="D352" s="5" t="s">
        <v>267</v>
      </c>
      <c r="E352" s="5" t="s">
        <v>3519</v>
      </c>
      <c r="F352" s="5" t="s">
        <v>120</v>
      </c>
      <c r="G352" s="5" t="s">
        <v>3520</v>
      </c>
      <c r="H352" s="6" t="s">
        <v>3521</v>
      </c>
      <c r="I352" s="7" t="s">
        <v>3522</v>
      </c>
      <c r="J352" s="8" t="str">
        <f>HYPERLINK("https://drive.google.com/file/d/1_XG1r08hFCmDJGuiuiPvsp_uOQl9_cuY/view?usp=drivesdk","NUR SUPRIYANTI, S.T., M.M. SERTIFIKAT BerAKHLAK")</f>
        <v>NUR SUPRIYANTI, S.T., M.M. SERTIFIKAT BerAKHLAK</v>
      </c>
      <c r="K352" s="5" t="s">
        <v>3055</v>
      </c>
      <c r="L352" s="5" t="s">
        <v>3523</v>
      </c>
    </row>
    <row r="353">
      <c r="A353" s="4">
        <v>45534.31843225694</v>
      </c>
      <c r="B353" s="5" t="s">
        <v>34</v>
      </c>
      <c r="D353" s="5" t="s">
        <v>1206</v>
      </c>
      <c r="E353" s="5" t="s">
        <v>3528</v>
      </c>
      <c r="F353" s="5" t="s">
        <v>37</v>
      </c>
      <c r="G353" s="5" t="s">
        <v>3529</v>
      </c>
      <c r="H353" s="6" t="s">
        <v>3530</v>
      </c>
      <c r="I353" s="7" t="s">
        <v>3531</v>
      </c>
      <c r="J353" s="8" t="str">
        <f>HYPERLINK("https://drive.google.com/file/d/1sk6mAWq5VSZHUeLhizRh6LNnjZGqcBk3/view?usp=drivesdk","SRI ENDAH SARI SERTIFIKAT BerAKHLAK")</f>
        <v>SRI ENDAH SARI SERTIFIKAT BerAKHLAK</v>
      </c>
      <c r="K353" s="5" t="s">
        <v>3257</v>
      </c>
      <c r="L353" s="5" t="s">
        <v>3532</v>
      </c>
    </row>
    <row r="354">
      <c r="A354" s="4">
        <v>45534.31844847222</v>
      </c>
      <c r="B354" s="5" t="s">
        <v>19</v>
      </c>
      <c r="C354" s="5" t="s">
        <v>292</v>
      </c>
      <c r="E354" s="5" t="s">
        <v>3538</v>
      </c>
      <c r="F354" s="5" t="s">
        <v>524</v>
      </c>
      <c r="G354" s="5" t="s">
        <v>3539</v>
      </c>
      <c r="H354" s="6" t="s">
        <v>3540</v>
      </c>
      <c r="I354" s="7" t="s">
        <v>3541</v>
      </c>
      <c r="J354" s="8" t="str">
        <f>HYPERLINK("https://drive.google.com/file/d/1_1RWe1f6WrpcKrbZPnvkV-EGstKLtuxN/view?usp=drivesdk","INEKE YULIA WIDIASTUTI.S.Kep.Ners SERTIFIKAT BerAKHLAK")</f>
        <v>INEKE YULIA WIDIASTUTI.S.Kep.Ners SERTIFIKAT BerAKHLAK</v>
      </c>
      <c r="K354" s="5" t="s">
        <v>3055</v>
      </c>
      <c r="L354" s="5" t="s">
        <v>3542</v>
      </c>
    </row>
    <row r="355">
      <c r="A355" s="4">
        <v>45534.31850780093</v>
      </c>
      <c r="B355" s="5" t="s">
        <v>34</v>
      </c>
      <c r="D355" s="5" t="s">
        <v>996</v>
      </c>
      <c r="E355" s="5" t="s">
        <v>3547</v>
      </c>
      <c r="F355" s="5" t="s">
        <v>212</v>
      </c>
      <c r="G355" s="5" t="s">
        <v>3548</v>
      </c>
      <c r="H355" s="6" t="s">
        <v>3549</v>
      </c>
      <c r="I355" s="7" t="s">
        <v>3550</v>
      </c>
      <c r="J355" s="8" t="str">
        <f>HYPERLINK("https://drive.google.com/file/d/1lHAIU2TuB0SBiKei6ZudEveai0PW2YMq/view?usp=drivesdk","PURNAMA SARI, Sos.  SERTIFIKAT BerAKHLAK")</f>
        <v>PURNAMA SARI, Sos.  SERTIFIKAT BerAKHLAK</v>
      </c>
      <c r="K355" s="5" t="s">
        <v>3055</v>
      </c>
      <c r="L355" s="5" t="s">
        <v>3551</v>
      </c>
    </row>
    <row r="356">
      <c r="A356" s="4">
        <v>45534.31851597222</v>
      </c>
      <c r="B356" s="5" t="s">
        <v>34</v>
      </c>
      <c r="D356" s="5" t="s">
        <v>35</v>
      </c>
      <c r="E356" s="5" t="s">
        <v>3556</v>
      </c>
      <c r="F356" s="5" t="s">
        <v>375</v>
      </c>
      <c r="G356" s="5" t="s">
        <v>3557</v>
      </c>
      <c r="H356" s="6" t="s">
        <v>3558</v>
      </c>
      <c r="I356" s="7" t="s">
        <v>3559</v>
      </c>
      <c r="J356" s="8" t="str">
        <f>HYPERLINK("https://drive.google.com/file/d/1dwUk40VE8maiI_W6dTAM_Dmvdmn0Ku51/view?usp=drivesdk","EMA DAMAYANTI, S.E SERTIFIKAT BerAKHLAK")</f>
        <v>EMA DAMAYANTI, S.E SERTIFIKAT BerAKHLAK</v>
      </c>
      <c r="K356" s="5" t="s">
        <v>3055</v>
      </c>
      <c r="L356" s="5" t="s">
        <v>3560</v>
      </c>
    </row>
    <row r="357">
      <c r="A357" s="4">
        <v>45534.31853077546</v>
      </c>
      <c r="B357" s="5" t="s">
        <v>34</v>
      </c>
      <c r="D357" s="5" t="s">
        <v>1206</v>
      </c>
      <c r="E357" s="5" t="s">
        <v>3566</v>
      </c>
      <c r="F357" s="5" t="s">
        <v>212</v>
      </c>
      <c r="G357" s="5" t="s">
        <v>3567</v>
      </c>
      <c r="H357" s="6" t="s">
        <v>3568</v>
      </c>
      <c r="I357" s="7" t="s">
        <v>3569</v>
      </c>
      <c r="J357" s="8" t="str">
        <f>HYPERLINK("https://drive.google.com/file/d/1c6Fb5Zxs6JUzkKxbvGMb9ZyuHcKD6CyL/view?usp=drivesdk","IIS DWI RAHMAWATI SERTIFIKAT BerAKHLAK")</f>
        <v>IIS DWI RAHMAWATI SERTIFIKAT BerAKHLAK</v>
      </c>
      <c r="K357" s="5" t="s">
        <v>3257</v>
      </c>
      <c r="L357" s="5" t="s">
        <v>3570</v>
      </c>
    </row>
    <row r="358">
      <c r="A358" s="4">
        <v>45534.318560740736</v>
      </c>
      <c r="B358" s="5" t="s">
        <v>19</v>
      </c>
      <c r="C358" s="5" t="s">
        <v>292</v>
      </c>
      <c r="E358" s="5" t="s">
        <v>3576</v>
      </c>
      <c r="F358" s="5" t="s">
        <v>120</v>
      </c>
      <c r="G358" s="5" t="s">
        <v>3577</v>
      </c>
      <c r="H358" s="6" t="s">
        <v>3578</v>
      </c>
      <c r="I358" s="7" t="s">
        <v>3579</v>
      </c>
      <c r="J358" s="8" t="str">
        <f>HYPERLINK("https://drive.google.com/file/d/1Ks3W0cIn_R2UTBxmBlWw-u5sxhW_p7ZC/view?usp=drivesdk","Dr. WAHDAN SANUR TARIHORAN, S. Sos. I, M. M SERTIFIKAT BerAKHLAK")</f>
        <v>Dr. WAHDAN SANUR TARIHORAN, S. Sos. I, M. M SERTIFIKAT BerAKHLAK</v>
      </c>
      <c r="K358" s="5" t="s">
        <v>3055</v>
      </c>
      <c r="L358" s="5" t="s">
        <v>3580</v>
      </c>
    </row>
    <row r="359">
      <c r="A359" s="4">
        <v>45534.31858568287</v>
      </c>
      <c r="B359" s="5" t="s">
        <v>34</v>
      </c>
      <c r="D359" s="5" t="s">
        <v>604</v>
      </c>
      <c r="E359" s="5" t="s">
        <v>3585</v>
      </c>
      <c r="F359" s="5" t="s">
        <v>108</v>
      </c>
      <c r="G359" s="5" t="s">
        <v>3586</v>
      </c>
      <c r="H359" s="6" t="s">
        <v>3587</v>
      </c>
      <c r="I359" s="7" t="s">
        <v>3588</v>
      </c>
      <c r="J359" s="8" t="str">
        <f>HYPERLINK("https://drive.google.com/file/d/1bEwKOoCYdpofIGmx3QY3NX4fPe51BYYZ/view?usp=drivesdk","ALVIA PRADIPTA PUTRI, M.Psi., Psikolog SERTIFIKAT BerAKHLAK")</f>
        <v>ALVIA PRADIPTA PUTRI, M.Psi., Psikolog SERTIFIKAT BerAKHLAK</v>
      </c>
      <c r="K359" s="5" t="s">
        <v>3257</v>
      </c>
      <c r="L359" s="5" t="s">
        <v>3589</v>
      </c>
    </row>
    <row r="360">
      <c r="A360" s="4">
        <v>45534.318591863426</v>
      </c>
      <c r="B360" s="5" t="s">
        <v>34</v>
      </c>
      <c r="D360" s="5" t="s">
        <v>1768</v>
      </c>
      <c r="E360" s="5" t="s">
        <v>3595</v>
      </c>
      <c r="F360" s="5" t="s">
        <v>72</v>
      </c>
      <c r="G360" s="5" t="s">
        <v>3596</v>
      </c>
      <c r="H360" s="6" t="s">
        <v>3597</v>
      </c>
      <c r="I360" s="7" t="s">
        <v>3598</v>
      </c>
      <c r="J360" s="8" t="str">
        <f>HYPERLINK("https://drive.google.com/file/d/1neDhVu7oQyfMFVbtBOqP3KBf2ptj44z6/view?usp=drivesdk","DEWI RULIYANTI ANDI RUSDIN NURUDDIN, A.MD, S.AKUN. SERTIFIKAT BerAKHLAK")</f>
        <v>DEWI RULIYANTI ANDI RUSDIN NURUDDIN, A.MD, S.AKUN. SERTIFIKAT BerAKHLAK</v>
      </c>
      <c r="K360" s="5" t="s">
        <v>3257</v>
      </c>
      <c r="L360" s="5" t="s">
        <v>3599</v>
      </c>
    </row>
    <row r="361">
      <c r="A361" s="4">
        <v>45534.31859844907</v>
      </c>
      <c r="B361" s="5" t="s">
        <v>34</v>
      </c>
      <c r="D361" s="5" t="s">
        <v>35</v>
      </c>
      <c r="E361" s="5" t="s">
        <v>3604</v>
      </c>
      <c r="F361" s="5" t="s">
        <v>120</v>
      </c>
      <c r="G361" s="5" t="s">
        <v>3605</v>
      </c>
      <c r="H361" s="6" t="s">
        <v>3606</v>
      </c>
      <c r="I361" s="7" t="s">
        <v>3607</v>
      </c>
      <c r="J361" s="8" t="str">
        <f>HYPERLINK("https://drive.google.com/file/d/1KB8F2LVX-TxFFQ8JpAy6oAhXsXfSzj40/view?usp=drivesdk","Drg RETNO WIDAYANTI, SpBM.  SERTIFIKAT BerAKHLAK")</f>
        <v>Drg RETNO WIDAYANTI, SpBM.  SERTIFIKAT BerAKHLAK</v>
      </c>
      <c r="K361" s="5" t="s">
        <v>3257</v>
      </c>
      <c r="L361" s="5" t="s">
        <v>3608</v>
      </c>
    </row>
    <row r="362">
      <c r="A362" s="4">
        <v>45534.31860010416</v>
      </c>
      <c r="B362" s="5" t="s">
        <v>19</v>
      </c>
      <c r="C362" s="5" t="s">
        <v>466</v>
      </c>
      <c r="E362" s="5" t="s">
        <v>3613</v>
      </c>
      <c r="F362" s="5" t="s">
        <v>199</v>
      </c>
      <c r="G362" s="5" t="s">
        <v>3614</v>
      </c>
      <c r="H362" s="6" t="s">
        <v>3615</v>
      </c>
      <c r="I362" s="7" t="s">
        <v>3616</v>
      </c>
      <c r="J362" s="8" t="str">
        <f>HYPERLINK("https://drive.google.com/file/d/1m_ruydDXXFi58NQ2N8BT5R_fCa_9nLgB/view?usp=drivesdk","YAYAT SUPRIATNA SERTIFIKAT BerAKHLAK")</f>
        <v>YAYAT SUPRIATNA SERTIFIKAT BerAKHLAK</v>
      </c>
      <c r="K362" s="5" t="s">
        <v>3257</v>
      </c>
      <c r="L362" s="5" t="s">
        <v>3617</v>
      </c>
    </row>
    <row r="363">
      <c r="A363" s="4">
        <v>45534.31864195602</v>
      </c>
      <c r="B363" s="5" t="s">
        <v>34</v>
      </c>
      <c r="D363" s="5" t="s">
        <v>996</v>
      </c>
      <c r="E363" s="5" t="s">
        <v>3623</v>
      </c>
      <c r="F363" s="5" t="s">
        <v>37</v>
      </c>
      <c r="G363" s="5" t="s">
        <v>3624</v>
      </c>
      <c r="H363" s="6" t="s">
        <v>3625</v>
      </c>
      <c r="I363" s="7" t="s">
        <v>3626</v>
      </c>
      <c r="J363" s="8" t="str">
        <f>HYPERLINK("https://drive.google.com/file/d/1mXV-dB73N2n6EeK86lEG-r9J4JSbLceg/view?usp=drivesdk","WIGIT DONO PRANOTO SERTIFIKAT BerAKHLAK")</f>
        <v>WIGIT DONO PRANOTO SERTIFIKAT BerAKHLAK</v>
      </c>
      <c r="K363" s="5" t="s">
        <v>3257</v>
      </c>
      <c r="L363" s="5" t="s">
        <v>3627</v>
      </c>
    </row>
    <row r="364">
      <c r="A364" s="4">
        <v>45534.31865197916</v>
      </c>
      <c r="B364" s="5" t="s">
        <v>34</v>
      </c>
      <c r="D364" s="5" t="s">
        <v>580</v>
      </c>
      <c r="E364" s="5" t="s">
        <v>3633</v>
      </c>
      <c r="F364" s="5" t="s">
        <v>212</v>
      </c>
      <c r="G364" s="5" t="s">
        <v>3634</v>
      </c>
      <c r="H364" s="6" t="s">
        <v>3635</v>
      </c>
      <c r="I364" s="7" t="s">
        <v>3636</v>
      </c>
      <c r="J364" s="8" t="str">
        <f>HYPERLINK("https://drive.google.com/file/d/1gFnvafx_umECPB5K8---OtCxzRQKLz0x/view?usp=drivesdk","NI NYOMAN SRI AYU SUSENI SERTIFIKAT BerAKHLAK")</f>
        <v>NI NYOMAN SRI AYU SUSENI SERTIFIKAT BerAKHLAK</v>
      </c>
      <c r="K364" s="5" t="s">
        <v>3257</v>
      </c>
      <c r="L364" s="5" t="s">
        <v>3637</v>
      </c>
    </row>
    <row r="365">
      <c r="A365" s="4">
        <v>45534.31865641204</v>
      </c>
      <c r="B365" s="5" t="s">
        <v>34</v>
      </c>
      <c r="D365" s="5" t="s">
        <v>1206</v>
      </c>
      <c r="E365" s="5" t="s">
        <v>3642</v>
      </c>
      <c r="F365" s="5" t="s">
        <v>85</v>
      </c>
      <c r="G365" s="5" t="s">
        <v>3643</v>
      </c>
      <c r="H365" s="6" t="s">
        <v>3644</v>
      </c>
      <c r="I365" s="7" t="s">
        <v>3645</v>
      </c>
      <c r="J365" s="8" t="str">
        <f>HYPERLINK("https://drive.google.com/file/d/1GZVmWhgMcHfYQE1_cbBG8IL-UPD6D_t-/view?usp=drivesdk","ARI YULIANTO, S.H. SERTIFIKAT BerAKHLAK")</f>
        <v>ARI YULIANTO, S.H. SERTIFIKAT BerAKHLAK</v>
      </c>
      <c r="K365" s="5" t="s">
        <v>3257</v>
      </c>
      <c r="L365" s="5" t="s">
        <v>3646</v>
      </c>
    </row>
    <row r="366">
      <c r="A366" s="4">
        <v>45534.3186780324</v>
      </c>
      <c r="B366" s="5" t="s">
        <v>34</v>
      </c>
      <c r="D366" s="5" t="s">
        <v>267</v>
      </c>
      <c r="E366" s="5" t="s">
        <v>3652</v>
      </c>
      <c r="F366" s="5" t="s">
        <v>375</v>
      </c>
      <c r="G366" s="5" t="s">
        <v>3653</v>
      </c>
      <c r="H366" s="6" t="s">
        <v>3654</v>
      </c>
      <c r="I366" s="7" t="s">
        <v>3655</v>
      </c>
      <c r="J366" s="8" t="str">
        <f>HYPERLINK("https://drive.google.com/file/d/1Gn5omi77oVIVbV6t9rL81pueO_jMitcF/view?usp=drivesdk","WINARNI SETYANINGTYAS, S. Kom.  SERTIFIKAT BerAKHLAK")</f>
        <v>WINARNI SETYANINGTYAS, S. Kom.  SERTIFIKAT BerAKHLAK</v>
      </c>
      <c r="K366" s="5" t="s">
        <v>3257</v>
      </c>
      <c r="L366" s="5" t="s">
        <v>3656</v>
      </c>
    </row>
    <row r="367">
      <c r="A367" s="4">
        <v>45534.318689837964</v>
      </c>
      <c r="B367" s="5" t="s">
        <v>34</v>
      </c>
      <c r="D367" s="5" t="s">
        <v>580</v>
      </c>
      <c r="E367" s="5" t="s">
        <v>3661</v>
      </c>
      <c r="F367" s="5" t="s">
        <v>524</v>
      </c>
      <c r="G367" s="5" t="s">
        <v>3662</v>
      </c>
      <c r="H367" s="6" t="s">
        <v>3663</v>
      </c>
      <c r="I367" s="7" t="s">
        <v>3664</v>
      </c>
      <c r="J367" s="8" t="str">
        <f>HYPERLINK("https://drive.google.com/file/d/1l_eWPbeX_4Y9I1PBKsna48d6PNahnBLY/view?usp=drivesdk","NI NENGAH PURNIWATI SERTIFIKAT BerAKHLAK")</f>
        <v>NI NENGAH PURNIWATI SERTIFIKAT BerAKHLAK</v>
      </c>
      <c r="K367" s="5" t="s">
        <v>3257</v>
      </c>
      <c r="L367" s="5" t="s">
        <v>3665</v>
      </c>
    </row>
    <row r="368">
      <c r="A368" s="4">
        <v>45534.31870769676</v>
      </c>
      <c r="B368" s="5" t="s">
        <v>34</v>
      </c>
      <c r="D368" s="5" t="s">
        <v>580</v>
      </c>
      <c r="E368" s="5" t="s">
        <v>3670</v>
      </c>
      <c r="F368" s="5" t="s">
        <v>37</v>
      </c>
      <c r="G368" s="5" t="s">
        <v>3671</v>
      </c>
      <c r="H368" s="6" t="s">
        <v>3672</v>
      </c>
      <c r="I368" s="7" t="s">
        <v>3673</v>
      </c>
      <c r="J368" s="8" t="str">
        <f>HYPERLINK("https://drive.google.com/file/d/10zNEbR_NQ3MJYpgABlR4GY6VhTRFXNc-/view?usp=drivesdk","IDA AYU NYOMAN WAHYUDARI, A. Md. Keb SERTIFIKAT BerAKHLAK")</f>
        <v>IDA AYU NYOMAN WAHYUDARI, A. Md. Keb SERTIFIKAT BerAKHLAK</v>
      </c>
      <c r="K368" s="5" t="s">
        <v>3257</v>
      </c>
      <c r="L368" s="5" t="s">
        <v>3674</v>
      </c>
    </row>
    <row r="369">
      <c r="A369" s="4">
        <v>45534.31874038195</v>
      </c>
      <c r="B369" s="5" t="s">
        <v>34</v>
      </c>
      <c r="D369" s="5" t="s">
        <v>996</v>
      </c>
      <c r="E369" s="5" t="s">
        <v>3680</v>
      </c>
      <c r="F369" s="5" t="s">
        <v>37</v>
      </c>
      <c r="G369" s="5" t="s">
        <v>3681</v>
      </c>
      <c r="H369" s="6" t="s">
        <v>3682</v>
      </c>
      <c r="I369" s="7" t="s">
        <v>3683</v>
      </c>
      <c r="J369" s="8" t="str">
        <f>HYPERLINK("https://drive.google.com/file/d/1yxkorhqE77EuYKIaakO7sq5lYUHL15D6/view?usp=drivesdk","ANDY PURWANDI SERTIFIKAT BerAKHLAK")</f>
        <v>ANDY PURWANDI SERTIFIKAT BerAKHLAK</v>
      </c>
      <c r="K369" s="5" t="s">
        <v>3257</v>
      </c>
      <c r="L369" s="5" t="s">
        <v>3684</v>
      </c>
    </row>
    <row r="370">
      <c r="A370" s="4">
        <v>45534.318767523146</v>
      </c>
      <c r="B370" s="5" t="s">
        <v>34</v>
      </c>
      <c r="D370" s="5" t="s">
        <v>522</v>
      </c>
      <c r="E370" s="5" t="s">
        <v>3689</v>
      </c>
      <c r="F370" s="5" t="s">
        <v>37</v>
      </c>
      <c r="G370" s="5" t="s">
        <v>3690</v>
      </c>
      <c r="H370" s="6" t="s">
        <v>3691</v>
      </c>
      <c r="I370" s="7" t="s">
        <v>3692</v>
      </c>
      <c r="J370" s="8" t="str">
        <f>HYPERLINK("https://drive.google.com/file/d/1H-2x6krFVPei_eder_wLDLv0KJvK821x/view?usp=drivesdk","M. HIRNAWAN SAPUTRA. A.Md.Kep SERTIFIKAT BerAKHLAK")</f>
        <v>M. HIRNAWAN SAPUTRA. A.Md.Kep SERTIFIKAT BerAKHLAK</v>
      </c>
      <c r="K370" s="5" t="s">
        <v>3257</v>
      </c>
      <c r="L370" s="5" t="s">
        <v>3693</v>
      </c>
    </row>
    <row r="371">
      <c r="A371" s="4">
        <v>45534.31881457176</v>
      </c>
      <c r="B371" s="5" t="s">
        <v>34</v>
      </c>
      <c r="D371" s="5" t="s">
        <v>1768</v>
      </c>
      <c r="E371" s="5" t="s">
        <v>3698</v>
      </c>
      <c r="F371" s="5" t="s">
        <v>72</v>
      </c>
      <c r="G371" s="5" t="s">
        <v>3699</v>
      </c>
      <c r="H371" s="6" t="s">
        <v>3700</v>
      </c>
      <c r="I371" s="7" t="s">
        <v>3701</v>
      </c>
      <c r="J371" s="8" t="str">
        <f>HYPERLINK("https://drive.google.com/file/d/1bt8c2QBkhIDCGaIgtwTrM3w4-0xTKS5s/view?usp=drivesdk","YANTI LYDIA NOBELINA SITUMORANG SRINGORINGO, A.Md SERTIFIKAT BerAKHLAK")</f>
        <v>YANTI LYDIA NOBELINA SITUMORANG SRINGORINGO, A.Md SERTIFIKAT BerAKHLAK</v>
      </c>
      <c r="K371" s="5" t="s">
        <v>3257</v>
      </c>
      <c r="L371" s="5" t="s">
        <v>3702</v>
      </c>
    </row>
    <row r="372">
      <c r="A372" s="4">
        <v>45534.318821215275</v>
      </c>
      <c r="B372" s="5" t="s">
        <v>34</v>
      </c>
      <c r="D372" s="5" t="s">
        <v>1206</v>
      </c>
      <c r="E372" s="5" t="s">
        <v>3708</v>
      </c>
      <c r="F372" s="5" t="s">
        <v>212</v>
      </c>
      <c r="G372" s="5" t="s">
        <v>3709</v>
      </c>
      <c r="H372" s="6" t="s">
        <v>3710</v>
      </c>
      <c r="I372" s="7" t="s">
        <v>3711</v>
      </c>
      <c r="J372" s="8" t="str">
        <f>HYPERLINK("https://drive.google.com/file/d/1jJQFMOPaQd1-T65QncHGyT2O4cUwcEBI/view?usp=drivesdk","LUH PUTU SUARNI PUWI SERTIFIKAT BerAKHLAK")</f>
        <v>LUH PUTU SUARNI PUWI SERTIFIKAT BerAKHLAK</v>
      </c>
      <c r="K372" s="5" t="s">
        <v>3257</v>
      </c>
      <c r="L372" s="5" t="s">
        <v>3712</v>
      </c>
    </row>
    <row r="373">
      <c r="A373" s="4">
        <v>45534.31882966435</v>
      </c>
      <c r="B373" s="5" t="s">
        <v>34</v>
      </c>
      <c r="D373" s="5" t="s">
        <v>267</v>
      </c>
      <c r="E373" s="5" t="s">
        <v>3717</v>
      </c>
      <c r="F373" s="5" t="s">
        <v>108</v>
      </c>
      <c r="G373" s="5" t="s">
        <v>3718</v>
      </c>
      <c r="H373" s="6" t="s">
        <v>3719</v>
      </c>
      <c r="I373" s="7" t="s">
        <v>3720</v>
      </c>
      <c r="J373" s="8" t="str">
        <f>HYPERLINK("https://drive.google.com/file/d/16gs9zOJVCYzl_xj4RxynZ23KgY7-AnS9/view?usp=drivesdk","PURNOMO TEDY SETYAWAN SERTIFIKAT BerAKHLAK")</f>
        <v>PURNOMO TEDY SETYAWAN SERTIFIKAT BerAKHLAK</v>
      </c>
      <c r="K373" s="5" t="s">
        <v>3257</v>
      </c>
      <c r="L373" s="5" t="s">
        <v>3721</v>
      </c>
    </row>
    <row r="374">
      <c r="A374" s="4">
        <v>45534.31885951389</v>
      </c>
      <c r="B374" s="5" t="s">
        <v>34</v>
      </c>
      <c r="D374" s="5" t="s">
        <v>1206</v>
      </c>
      <c r="E374" s="5" t="s">
        <v>3726</v>
      </c>
      <c r="F374" s="5" t="s">
        <v>37</v>
      </c>
      <c r="G374" s="5" t="s">
        <v>3727</v>
      </c>
      <c r="H374" s="6" t="s">
        <v>3728</v>
      </c>
      <c r="I374" s="7" t="s">
        <v>3729</v>
      </c>
      <c r="J374" s="8" t="str">
        <f>HYPERLINK("https://drive.google.com/file/d/1flJW20odiEt-PkB6JmvlN6qAGshtdsLs/view?usp=drivesdk","MALIK SYAIFUDDIN SERTIFIKAT BerAKHLAK")</f>
        <v>MALIK SYAIFUDDIN SERTIFIKAT BerAKHLAK</v>
      </c>
      <c r="K374" s="5" t="s">
        <v>3257</v>
      </c>
      <c r="L374" s="5" t="s">
        <v>3730</v>
      </c>
    </row>
    <row r="375">
      <c r="A375" s="4">
        <v>45534.31886085648</v>
      </c>
      <c r="B375" s="5" t="s">
        <v>34</v>
      </c>
      <c r="D375" s="5" t="s">
        <v>267</v>
      </c>
      <c r="E375" s="5" t="s">
        <v>3736</v>
      </c>
      <c r="F375" s="5" t="s">
        <v>37</v>
      </c>
      <c r="G375" s="5" t="s">
        <v>3737</v>
      </c>
      <c r="H375" s="6" t="s">
        <v>3738</v>
      </c>
      <c r="I375" s="7" t="s">
        <v>3739</v>
      </c>
      <c r="J375" s="8" t="str">
        <f>HYPERLINK("https://drive.google.com/file/d/1sXPPFmiX_MZmME0fcq3r9DNCUvMSRtkR/view?usp=drivesdk","HERU SURYANTO SERTIFIKAT BerAKHLAK")</f>
        <v>HERU SURYANTO SERTIFIKAT BerAKHLAK</v>
      </c>
      <c r="K375" s="5" t="s">
        <v>3257</v>
      </c>
      <c r="L375" s="5" t="s">
        <v>3740</v>
      </c>
    </row>
    <row r="376">
      <c r="A376" s="4">
        <v>45534.31886526621</v>
      </c>
      <c r="B376" s="5" t="s">
        <v>34</v>
      </c>
      <c r="D376" s="5" t="s">
        <v>580</v>
      </c>
      <c r="E376" s="5" t="s">
        <v>3745</v>
      </c>
      <c r="F376" s="5" t="s">
        <v>524</v>
      </c>
      <c r="G376" s="5" t="s">
        <v>3746</v>
      </c>
      <c r="H376" s="6" t="s">
        <v>3747</v>
      </c>
      <c r="I376" s="7" t="s">
        <v>3748</v>
      </c>
      <c r="J376" s="8" t="str">
        <f>HYPERLINK("https://drive.google.com/file/d/1FGU19pBQ0GDZm335prhI-y5oC0J6h-O1/view?usp=drivesdk","Ns. NYOMAN SANTINI DEWI,S.Kep SERTIFIKAT BerAKHLAK")</f>
        <v>Ns. NYOMAN SANTINI DEWI,S.Kep SERTIFIKAT BerAKHLAK</v>
      </c>
      <c r="K376" s="5" t="s">
        <v>3257</v>
      </c>
      <c r="L376" s="5" t="s">
        <v>3749</v>
      </c>
    </row>
    <row r="377">
      <c r="A377" s="4">
        <v>45534.31888614583</v>
      </c>
      <c r="B377" s="5" t="s">
        <v>34</v>
      </c>
      <c r="D377" s="5" t="s">
        <v>35</v>
      </c>
      <c r="E377" s="5" t="s">
        <v>3754</v>
      </c>
      <c r="F377" s="5" t="s">
        <v>212</v>
      </c>
      <c r="G377" s="5" t="s">
        <v>3755</v>
      </c>
      <c r="H377" s="6" t="s">
        <v>3756</v>
      </c>
      <c r="I377" s="7" t="s">
        <v>3757</v>
      </c>
      <c r="J377" s="8" t="str">
        <f>HYPERLINK("https://drive.google.com/file/d/1AW3qju-K40HimJ59xXbw-ET2ADhgxYk4/view?usp=drivesdk","LILIS ELGAWATI SERTIFIKAT BerAKHLAK")</f>
        <v>LILIS ELGAWATI SERTIFIKAT BerAKHLAK</v>
      </c>
      <c r="K377" s="5" t="s">
        <v>3758</v>
      </c>
      <c r="L377" s="5" t="s">
        <v>3759</v>
      </c>
    </row>
    <row r="378">
      <c r="A378" s="4">
        <v>45534.318896412035</v>
      </c>
      <c r="B378" s="5" t="s">
        <v>34</v>
      </c>
      <c r="D378" s="5" t="s">
        <v>996</v>
      </c>
      <c r="E378" s="5" t="s">
        <v>3765</v>
      </c>
      <c r="F378" s="5" t="s">
        <v>212</v>
      </c>
      <c r="G378" s="5" t="s">
        <v>3766</v>
      </c>
      <c r="H378" s="6" t="s">
        <v>3767</v>
      </c>
      <c r="I378" s="7" t="s">
        <v>3768</v>
      </c>
      <c r="J378" s="8" t="str">
        <f>HYPERLINK("https://drive.google.com/file/d/1IDkLG9tw8sQAS3gAm9C_d4vjYIMyrO4X/view?usp=drivesdk","SUHARTINI SUHARTINI SERTIFIKAT BerAKHLAK")</f>
        <v>SUHARTINI SUHARTINI SERTIFIKAT BerAKHLAK</v>
      </c>
      <c r="K378" s="5" t="s">
        <v>3257</v>
      </c>
      <c r="L378" s="5" t="s">
        <v>3769</v>
      </c>
    </row>
    <row r="379">
      <c r="A379" s="4">
        <v>45534.31893311343</v>
      </c>
      <c r="B379" s="5" t="s">
        <v>34</v>
      </c>
      <c r="D379" s="5" t="s">
        <v>1692</v>
      </c>
      <c r="E379" s="5" t="s">
        <v>3774</v>
      </c>
      <c r="F379" s="5" t="s">
        <v>212</v>
      </c>
      <c r="G379" s="5" t="s">
        <v>3775</v>
      </c>
      <c r="H379" s="6" t="s">
        <v>3776</v>
      </c>
      <c r="I379" s="7" t="s">
        <v>3777</v>
      </c>
      <c r="J379" s="8" t="str">
        <f>HYPERLINK("https://drive.google.com/file/d/1gqlrNnTKkORK0gmL8wt2PArEqqJP2uES/view?usp=drivesdk","SENGGO SAGALA , AHLI MADYA AKUPUNKTUR SERTIFIKAT BerAKHLAK")</f>
        <v>SENGGO SAGALA , AHLI MADYA AKUPUNKTUR SERTIFIKAT BerAKHLAK</v>
      </c>
      <c r="K379" s="5" t="s">
        <v>3257</v>
      </c>
      <c r="L379" s="5" t="s">
        <v>3778</v>
      </c>
    </row>
    <row r="380">
      <c r="A380" s="4">
        <v>45534.31895789352</v>
      </c>
      <c r="B380" s="5" t="s">
        <v>34</v>
      </c>
      <c r="D380" s="5" t="s">
        <v>1206</v>
      </c>
      <c r="E380" s="5" t="s">
        <v>3783</v>
      </c>
      <c r="F380" s="5" t="s">
        <v>37</v>
      </c>
      <c r="G380" s="5" t="s">
        <v>3784</v>
      </c>
      <c r="H380" s="6" t="s">
        <v>3785</v>
      </c>
      <c r="I380" s="7" t="s">
        <v>3786</v>
      </c>
      <c r="J380" s="8" t="str">
        <f>HYPERLINK("https://drive.google.com/file/d/1KCYaTjjaazmjyh0fTgkOmDCnFg5TgFUU/view?usp=drivesdk","IKA SETYAWATI, S.Psi SERTIFIKAT BerAKHLAK")</f>
        <v>IKA SETYAWATI, S.Psi SERTIFIKAT BerAKHLAK</v>
      </c>
      <c r="K380" s="5" t="s">
        <v>3257</v>
      </c>
      <c r="L380" s="5" t="s">
        <v>3787</v>
      </c>
    </row>
    <row r="381">
      <c r="A381" s="4">
        <v>45534.31897386574</v>
      </c>
      <c r="B381" s="5" t="s">
        <v>34</v>
      </c>
      <c r="D381" s="5" t="s">
        <v>580</v>
      </c>
      <c r="E381" s="5" t="s">
        <v>3792</v>
      </c>
      <c r="F381" s="5" t="s">
        <v>72</v>
      </c>
      <c r="G381" s="5" t="s">
        <v>3793</v>
      </c>
      <c r="H381" s="6" t="s">
        <v>3794</v>
      </c>
      <c r="I381" s="7" t="s">
        <v>3795</v>
      </c>
      <c r="J381" s="8" t="str">
        <f>HYPERLINK("https://drive.google.com/file/d/1HoV6dcyoltsck7rO6NpNILfo_EAtacF0/view?usp=drivesdk","WIRAWAN I KETUT SERTIFIKAT BerAKHLAK")</f>
        <v>WIRAWAN I KETUT SERTIFIKAT BerAKHLAK</v>
      </c>
      <c r="K381" s="5" t="s">
        <v>3257</v>
      </c>
      <c r="L381" s="5" t="s">
        <v>3796</v>
      </c>
    </row>
    <row r="382">
      <c r="A382" s="4">
        <v>45534.31898589121</v>
      </c>
      <c r="B382" s="5" t="s">
        <v>34</v>
      </c>
      <c r="D382" s="5" t="s">
        <v>580</v>
      </c>
      <c r="E382" s="5" t="s">
        <v>3802</v>
      </c>
      <c r="F382" s="5" t="s">
        <v>375</v>
      </c>
      <c r="G382" s="5" t="s">
        <v>3803</v>
      </c>
      <c r="H382" s="6" t="s">
        <v>3804</v>
      </c>
      <c r="I382" s="7" t="s">
        <v>3805</v>
      </c>
      <c r="J382" s="8" t="str">
        <f>HYPERLINK("https://drive.google.com/file/d/1ysfhiYr_TeX_yt5T8_nXfVn94euNddvf/view?usp=drivesdk","NI WAYAN SERIYATI,A.Md.Keb SERTIFIKAT BerAKHLAK")</f>
        <v>NI WAYAN SERIYATI,A.Md.Keb SERTIFIKAT BerAKHLAK</v>
      </c>
      <c r="K382" s="5" t="s">
        <v>3257</v>
      </c>
      <c r="L382" s="5" t="s">
        <v>3806</v>
      </c>
    </row>
    <row r="383">
      <c r="A383" s="4">
        <v>45534.319023414355</v>
      </c>
      <c r="B383" s="5" t="s">
        <v>34</v>
      </c>
      <c r="D383" s="5" t="s">
        <v>35</v>
      </c>
      <c r="E383" s="5" t="s">
        <v>3812</v>
      </c>
      <c r="F383" s="5" t="s">
        <v>212</v>
      </c>
      <c r="G383" s="5" t="s">
        <v>3813</v>
      </c>
      <c r="H383" s="6" t="s">
        <v>3814</v>
      </c>
      <c r="I383" s="7" t="s">
        <v>3815</v>
      </c>
      <c r="J383" s="8" t="str">
        <f>HYPERLINK("https://drive.google.com/file/d/1Mq-uHe7wlx8zSL9kz7bhmAY30X2vlPo_/view?usp=drivesdk","MIRA RATNA YUNIAR SERTIFIKAT BerAKHLAK")</f>
        <v>MIRA RATNA YUNIAR SERTIFIKAT BerAKHLAK</v>
      </c>
      <c r="K383" s="5" t="s">
        <v>3257</v>
      </c>
      <c r="L383" s="5" t="s">
        <v>3816</v>
      </c>
    </row>
    <row r="384">
      <c r="A384" s="4">
        <v>45534.31904578704</v>
      </c>
      <c r="B384" s="5" t="s">
        <v>34</v>
      </c>
      <c r="D384" s="5" t="s">
        <v>975</v>
      </c>
      <c r="E384" s="5" t="s">
        <v>3821</v>
      </c>
      <c r="F384" s="5" t="s">
        <v>524</v>
      </c>
      <c r="G384" s="5" t="s">
        <v>3822</v>
      </c>
      <c r="H384" s="6" t="s">
        <v>3823</v>
      </c>
      <c r="I384" s="7" t="s">
        <v>3824</v>
      </c>
      <c r="J384" s="8" t="str">
        <f>HYPERLINK("https://drive.google.com/file/d/1674nnarGRz8Lz4sVrN9eLnVWTsn4iS5f/view?usp=drivesdk","SEPTIANA SHANDY PERTIWI, S.ST. SERTIFIKAT BerAKHLAK")</f>
        <v>SEPTIANA SHANDY PERTIWI, S.ST. SERTIFIKAT BerAKHLAK</v>
      </c>
      <c r="K384" s="5" t="s">
        <v>3257</v>
      </c>
      <c r="L384" s="5" t="s">
        <v>3825</v>
      </c>
    </row>
    <row r="385">
      <c r="A385" s="4">
        <v>45534.31906768518</v>
      </c>
      <c r="B385" s="5" t="s">
        <v>34</v>
      </c>
      <c r="D385" s="5" t="s">
        <v>1206</v>
      </c>
      <c r="E385" s="5" t="s">
        <v>3830</v>
      </c>
      <c r="F385" s="5" t="s">
        <v>212</v>
      </c>
      <c r="G385" s="5" t="s">
        <v>3831</v>
      </c>
      <c r="H385" s="6" t="s">
        <v>3832</v>
      </c>
      <c r="I385" s="7" t="s">
        <v>3833</v>
      </c>
      <c r="J385" s="8" t="str">
        <f>HYPERLINK("https://drive.google.com/file/d/126xZG_h-A93US5jqJWdxrgUULkkjbHfU/view?usp=drivesdk","ANING KHOIRIYAH SERTIFIKAT BerAKHLAK")</f>
        <v>ANING KHOIRIYAH SERTIFIKAT BerAKHLAK</v>
      </c>
      <c r="K385" s="5" t="s">
        <v>3257</v>
      </c>
      <c r="L385" s="5" t="s">
        <v>3834</v>
      </c>
    </row>
    <row r="386">
      <c r="A386" s="4">
        <v>45534.31906844907</v>
      </c>
      <c r="B386" s="5" t="s">
        <v>19</v>
      </c>
      <c r="C386" s="5" t="s">
        <v>292</v>
      </c>
      <c r="E386" s="5" t="s">
        <v>3839</v>
      </c>
      <c r="F386" s="5" t="s">
        <v>375</v>
      </c>
      <c r="G386" s="5" t="s">
        <v>3840</v>
      </c>
      <c r="H386" s="6" t="s">
        <v>3841</v>
      </c>
      <c r="I386" s="7" t="s">
        <v>3842</v>
      </c>
      <c r="J386" s="8" t="str">
        <f>HYPERLINK("https://drive.google.com/file/d/1hTKSwnI_8Kh6AT0jUSm5AIEPYP5TaV1j/view?usp=drivesdk","NOOR IRFAN CHRISTANTO  SERTIFIKAT BerAKHLAK")</f>
        <v>NOOR IRFAN CHRISTANTO  SERTIFIKAT BerAKHLAK</v>
      </c>
      <c r="K386" s="5" t="s">
        <v>3257</v>
      </c>
      <c r="L386" s="5" t="s">
        <v>3843</v>
      </c>
    </row>
    <row r="387">
      <c r="A387" s="4">
        <v>45534.319073645835</v>
      </c>
      <c r="B387" s="5" t="s">
        <v>34</v>
      </c>
      <c r="D387" s="5" t="s">
        <v>3849</v>
      </c>
      <c r="E387" s="5" t="s">
        <v>3850</v>
      </c>
      <c r="F387" s="5" t="s">
        <v>120</v>
      </c>
      <c r="G387" s="5" t="s">
        <v>3851</v>
      </c>
      <c r="H387" s="6" t="s">
        <v>3852</v>
      </c>
      <c r="I387" s="7" t="s">
        <v>3853</v>
      </c>
      <c r="J387" s="8" t="str">
        <f>HYPERLINK("https://drive.google.com/file/d/19UutyXD4PTMRv5eqCdEwD-kbeTtZJj8E/view?usp=drivesdk","ANA PRATIWININGSIH  SERTIFIKAT BerAKHLAK")</f>
        <v>ANA PRATIWININGSIH  SERTIFIKAT BerAKHLAK</v>
      </c>
      <c r="K387" s="5" t="s">
        <v>3758</v>
      </c>
      <c r="L387" s="5" t="s">
        <v>3854</v>
      </c>
    </row>
    <row r="388">
      <c r="A388" s="4">
        <v>45534.31908230324</v>
      </c>
      <c r="B388" s="5" t="s">
        <v>34</v>
      </c>
      <c r="D388" s="5" t="s">
        <v>996</v>
      </c>
      <c r="E388" s="5" t="s">
        <v>3859</v>
      </c>
      <c r="F388" s="5" t="s">
        <v>212</v>
      </c>
      <c r="G388" s="5" t="s">
        <v>3860</v>
      </c>
      <c r="H388" s="6" t="s">
        <v>3861</v>
      </c>
      <c r="I388" s="7" t="s">
        <v>3862</v>
      </c>
      <c r="J388" s="8" t="str">
        <f>HYPERLINK("https://drive.google.com/file/d/1Hbxi8fVWji2OuVDsLnn3nRs6uy4GXyQO/view?usp=drivesdk","MUHAMMAD RIDUANSYAH SERTIFIKAT BerAKHLAK")</f>
        <v>MUHAMMAD RIDUANSYAH SERTIFIKAT BerAKHLAK</v>
      </c>
      <c r="K388" s="5" t="s">
        <v>3758</v>
      </c>
      <c r="L388" s="5" t="s">
        <v>3863</v>
      </c>
    </row>
    <row r="389">
      <c r="A389" s="4">
        <v>45534.319099050925</v>
      </c>
      <c r="B389" s="5" t="s">
        <v>34</v>
      </c>
      <c r="D389" s="5" t="s">
        <v>1206</v>
      </c>
      <c r="E389" s="5" t="s">
        <v>3868</v>
      </c>
      <c r="F389" s="5" t="s">
        <v>212</v>
      </c>
      <c r="G389" s="5" t="s">
        <v>3869</v>
      </c>
      <c r="H389" s="6" t="s">
        <v>3870</v>
      </c>
      <c r="I389" s="7" t="s">
        <v>3871</v>
      </c>
      <c r="J389" s="8" t="str">
        <f>HYPERLINK("https://drive.google.com/file/d/1LWES7yT4J_xnVTmKUY4LdClEjpnTbzmd/view?usp=drivesdk","MUFROTUL FAIDAH SERTIFIKAT BerAKHLAK")</f>
        <v>MUFROTUL FAIDAH SERTIFIKAT BerAKHLAK</v>
      </c>
      <c r="K389" s="5" t="s">
        <v>3758</v>
      </c>
      <c r="L389" s="5" t="s">
        <v>3872</v>
      </c>
    </row>
    <row r="390">
      <c r="A390" s="4">
        <v>45534.31911664351</v>
      </c>
      <c r="B390" s="5" t="s">
        <v>19</v>
      </c>
      <c r="C390" s="5" t="s">
        <v>292</v>
      </c>
      <c r="E390" s="5" t="s">
        <v>3877</v>
      </c>
      <c r="F390" s="5" t="s">
        <v>212</v>
      </c>
      <c r="G390" s="5" t="s">
        <v>3878</v>
      </c>
      <c r="H390" s="6" t="s">
        <v>3879</v>
      </c>
      <c r="I390" s="7" t="s">
        <v>3880</v>
      </c>
      <c r="J390" s="8" t="str">
        <f>HYPERLINK("https://drive.google.com/file/d/1bJoR0xFKNPmYNuMoIbDbnASQ-EFlk4bG/view?usp=drivesdk","DARA FIRDANIANTY  SERTIFIKAT BerAKHLAK")</f>
        <v>DARA FIRDANIANTY  SERTIFIKAT BerAKHLAK</v>
      </c>
      <c r="K390" s="5" t="s">
        <v>3758</v>
      </c>
      <c r="L390" s="5" t="s">
        <v>3881</v>
      </c>
    </row>
    <row r="391">
      <c r="A391" s="4">
        <v>45534.31911778935</v>
      </c>
      <c r="B391" s="5" t="s">
        <v>34</v>
      </c>
      <c r="D391" s="5" t="s">
        <v>35</v>
      </c>
      <c r="E391" s="5" t="s">
        <v>3886</v>
      </c>
      <c r="F391" s="5" t="s">
        <v>120</v>
      </c>
      <c r="G391" s="5" t="s">
        <v>3887</v>
      </c>
      <c r="H391" s="6" t="s">
        <v>3888</v>
      </c>
      <c r="I391" s="7" t="s">
        <v>3889</v>
      </c>
      <c r="J391" s="8" t="str">
        <f>HYPERLINK("https://drive.google.com/file/d/1FELKYU1k5ZcVuCP2kGJDme8Ou85l84w4/view?usp=drivesdk","DR SRI PUSPA HANDAYANI, SpKN SERTIFIKAT BerAKHLAK")</f>
        <v>DR SRI PUSPA HANDAYANI, SpKN SERTIFIKAT BerAKHLAK</v>
      </c>
      <c r="K391" s="5" t="s">
        <v>3758</v>
      </c>
      <c r="L391" s="5" t="s">
        <v>3890</v>
      </c>
    </row>
    <row r="392">
      <c r="A392" s="4">
        <v>45534.31911927083</v>
      </c>
      <c r="B392" s="5" t="s">
        <v>19</v>
      </c>
      <c r="C392" s="5" t="s">
        <v>292</v>
      </c>
      <c r="E392" s="5" t="s">
        <v>3896</v>
      </c>
      <c r="F392" s="5" t="s">
        <v>108</v>
      </c>
      <c r="G392" s="5" t="s">
        <v>3897</v>
      </c>
      <c r="H392" s="6" t="s">
        <v>3898</v>
      </c>
      <c r="I392" s="7" t="s">
        <v>3899</v>
      </c>
      <c r="J392" s="8" t="str">
        <f>HYPERLINK("https://drive.google.com/file/d/1sJHb3-ZxNIjOUp7vOZLkNjLH5gvQwQ0w/view?usp=drivesdk","AGUSTINA SUSANTI SERTIFIKAT BerAKHLAK")</f>
        <v>AGUSTINA SUSANTI SERTIFIKAT BerAKHLAK</v>
      </c>
      <c r="K392" s="5" t="s">
        <v>3900</v>
      </c>
      <c r="L392" s="5" t="s">
        <v>3901</v>
      </c>
    </row>
    <row r="393">
      <c r="A393" s="4">
        <v>45534.319140775464</v>
      </c>
      <c r="B393" s="5" t="s">
        <v>19</v>
      </c>
      <c r="C393" s="5" t="s">
        <v>292</v>
      </c>
      <c r="E393" s="5" t="s">
        <v>3906</v>
      </c>
      <c r="F393" s="5" t="s">
        <v>108</v>
      </c>
      <c r="G393" s="5" t="s">
        <v>3907</v>
      </c>
      <c r="H393" s="6" t="s">
        <v>3908</v>
      </c>
      <c r="I393" s="7" t="s">
        <v>3909</v>
      </c>
      <c r="J393" s="8" t="str">
        <f>HYPERLINK("https://drive.google.com/file/d/1a26Q0r6CkTJfjDKyiVdtngCi1ZPror3m/view?usp=drivesdk","HANI NUR ASYIAH SERTIFIKAT BerAKHLAK")</f>
        <v>HANI NUR ASYIAH SERTIFIKAT BerAKHLAK</v>
      </c>
      <c r="K393" s="5" t="s">
        <v>3257</v>
      </c>
      <c r="L393" s="5" t="s">
        <v>3910</v>
      </c>
    </row>
    <row r="394">
      <c r="A394" s="4">
        <v>45534.31916951389</v>
      </c>
      <c r="B394" s="5" t="s">
        <v>34</v>
      </c>
      <c r="D394" s="5" t="s">
        <v>604</v>
      </c>
      <c r="E394" s="5" t="s">
        <v>3915</v>
      </c>
      <c r="F394" s="5" t="s">
        <v>375</v>
      </c>
      <c r="G394" s="5" t="s">
        <v>3916</v>
      </c>
      <c r="H394" s="6" t="s">
        <v>3917</v>
      </c>
      <c r="I394" s="7" t="s">
        <v>3918</v>
      </c>
      <c r="J394" s="8" t="str">
        <f>HYPERLINK("https://drive.google.com/file/d/1ey-iM6W2wrRtfoyPxmZPZcouZFIy7Jx4/view?usp=drivesdk","SANDRA AYU SUKMAYANTI, S.E. SERTIFIKAT BerAKHLAK")</f>
        <v>SANDRA AYU SUKMAYANTI, S.E. SERTIFIKAT BerAKHLAK</v>
      </c>
      <c r="K394" s="5" t="s">
        <v>3257</v>
      </c>
      <c r="L394" s="5" t="s">
        <v>3919</v>
      </c>
    </row>
    <row r="395">
      <c r="A395" s="4">
        <v>45534.319182708336</v>
      </c>
      <c r="B395" s="5" t="s">
        <v>34</v>
      </c>
      <c r="D395" s="5" t="s">
        <v>522</v>
      </c>
      <c r="E395" s="5" t="s">
        <v>3924</v>
      </c>
      <c r="F395" s="5" t="s">
        <v>715</v>
      </c>
      <c r="G395" s="5" t="s">
        <v>3925</v>
      </c>
      <c r="H395" s="6" t="s">
        <v>3926</v>
      </c>
      <c r="I395" s="7" t="s">
        <v>3927</v>
      </c>
      <c r="J395" s="8" t="str">
        <f>HYPERLINK("https://drive.google.com/file/d/1lN4U3auv3caWlS9opzh2i7TSS9M30ONH/view?usp=drivesdk","NURUL HIDAYATI, S.I.P SERTIFIKAT BerAKHLAK")</f>
        <v>NURUL HIDAYATI, S.I.P SERTIFIKAT BerAKHLAK</v>
      </c>
      <c r="K395" s="5" t="s">
        <v>3758</v>
      </c>
      <c r="L395" s="5" t="s">
        <v>3928</v>
      </c>
    </row>
    <row r="396">
      <c r="A396" s="4">
        <v>45534.31918278935</v>
      </c>
      <c r="B396" s="5" t="s">
        <v>34</v>
      </c>
      <c r="D396" s="5" t="s">
        <v>522</v>
      </c>
      <c r="E396" s="5" t="s">
        <v>3934</v>
      </c>
      <c r="F396" s="5" t="s">
        <v>108</v>
      </c>
      <c r="G396" s="5" t="s">
        <v>3935</v>
      </c>
      <c r="H396" s="6" t="s">
        <v>3936</v>
      </c>
      <c r="I396" s="7" t="s">
        <v>3937</v>
      </c>
      <c r="J396" s="8" t="str">
        <f>HYPERLINK("https://drive.google.com/file/d/1YBea0bDGx50fosVgyuqGdjDyAlJq6ME0/view?usp=drivesdk","PENDATU dr. NI KOMANG DHANA GITAISWARI SERTIFIKAT BerAKHLAK")</f>
        <v>PENDATU dr. NI KOMANG DHANA GITAISWARI SERTIFIKAT BerAKHLAK</v>
      </c>
      <c r="K396" s="5" t="s">
        <v>3758</v>
      </c>
      <c r="L396" s="5" t="s">
        <v>3938</v>
      </c>
    </row>
    <row r="397">
      <c r="A397" s="4">
        <v>45534.31923263889</v>
      </c>
      <c r="B397" s="5" t="s">
        <v>34</v>
      </c>
      <c r="D397" s="5" t="s">
        <v>3432</v>
      </c>
      <c r="E397" s="5" t="s">
        <v>3943</v>
      </c>
      <c r="F397" s="5" t="s">
        <v>524</v>
      </c>
      <c r="G397" s="5" t="s">
        <v>3944</v>
      </c>
      <c r="H397" s="6" t="s">
        <v>3945</v>
      </c>
      <c r="I397" s="7" t="s">
        <v>3946</v>
      </c>
      <c r="J397" s="8" t="str">
        <f>HYPERLINK("https://drive.google.com/file/d/1Bih0RaTYDzfQqDJ54ONZLBK1WhkH2eb3/view?usp=drivesdk","AFRIZAL KANIMORO, S.H. SERTIFIKAT BerAKHLAK")</f>
        <v>AFRIZAL KANIMORO, S.H. SERTIFIKAT BerAKHLAK</v>
      </c>
      <c r="K397" s="5" t="s">
        <v>3257</v>
      </c>
      <c r="L397" s="5" t="s">
        <v>3947</v>
      </c>
    </row>
    <row r="398">
      <c r="A398" s="4">
        <v>45534.319261145836</v>
      </c>
      <c r="B398" s="5" t="s">
        <v>34</v>
      </c>
      <c r="D398" s="5" t="s">
        <v>280</v>
      </c>
      <c r="E398" s="5" t="s">
        <v>3952</v>
      </c>
      <c r="F398" s="5" t="s">
        <v>37</v>
      </c>
      <c r="G398" s="5" t="s">
        <v>3953</v>
      </c>
      <c r="H398" s="6" t="s">
        <v>3954</v>
      </c>
      <c r="I398" s="7" t="s">
        <v>3955</v>
      </c>
      <c r="J398" s="8" t="str">
        <f>HYPERLINK("https://drive.google.com/file/d/1J9IB1jgB_vN4JuMDegnNz4s3M5fwKKo8/view?usp=drivesdk","JAHESKIEL SIRAIT, A.Md. SERTIFIKAT BerAKHLAK")</f>
        <v>JAHESKIEL SIRAIT, A.Md. SERTIFIKAT BerAKHLAK</v>
      </c>
      <c r="K398" s="5" t="s">
        <v>3758</v>
      </c>
      <c r="L398" s="5" t="s">
        <v>3956</v>
      </c>
    </row>
    <row r="399">
      <c r="A399" s="4">
        <v>45534.319345324075</v>
      </c>
      <c r="B399" s="5" t="s">
        <v>34</v>
      </c>
      <c r="D399" s="5" t="s">
        <v>35</v>
      </c>
      <c r="E399" s="5" t="s">
        <v>3961</v>
      </c>
      <c r="F399" s="5" t="s">
        <v>375</v>
      </c>
      <c r="G399" s="5" t="s">
        <v>3962</v>
      </c>
      <c r="H399" s="6" t="s">
        <v>3963</v>
      </c>
      <c r="I399" s="7" t="s">
        <v>3964</v>
      </c>
      <c r="J399" s="8" t="str">
        <f>HYPERLINK("https://drive.google.com/file/d/1RC_fC5y4rsUQrKr2U3gu91nG-tgVDIIg/view?usp=drivesdk","MILA SARI TAMBURAKA  SERTIFIKAT BerAKHLAK")</f>
        <v>MILA SARI TAMBURAKA  SERTIFIKAT BerAKHLAK</v>
      </c>
      <c r="K399" s="5" t="s">
        <v>3758</v>
      </c>
      <c r="L399" s="5" t="s">
        <v>3965</v>
      </c>
    </row>
    <row r="400">
      <c r="A400" s="4">
        <v>45534.31936302083</v>
      </c>
      <c r="B400" s="5" t="s">
        <v>34</v>
      </c>
      <c r="D400" s="5" t="s">
        <v>362</v>
      </c>
      <c r="E400" s="5" t="s">
        <v>3970</v>
      </c>
      <c r="F400" s="5" t="s">
        <v>37</v>
      </c>
      <c r="G400" s="5" t="s">
        <v>3971</v>
      </c>
      <c r="H400" s="6" t="s">
        <v>3972</v>
      </c>
      <c r="I400" s="7" t="s">
        <v>3973</v>
      </c>
      <c r="J400" s="8" t="str">
        <f>HYPERLINK("https://drive.google.com/file/d/1ypV4VOgKpQ5mp5--9uxbrv0HGTjRtuCm/view?usp=drivesdk","ANDI REZKY AFNILLAH SAPUTRI, A.Md.Keb SERTIFIKAT BerAKHLAK")</f>
        <v>ANDI REZKY AFNILLAH SAPUTRI, A.Md.Keb SERTIFIKAT BerAKHLAK</v>
      </c>
      <c r="K400" s="5" t="s">
        <v>3758</v>
      </c>
      <c r="L400" s="5" t="s">
        <v>3974</v>
      </c>
    </row>
    <row r="401">
      <c r="A401" s="4">
        <v>45534.319411539356</v>
      </c>
      <c r="B401" s="5" t="s">
        <v>34</v>
      </c>
      <c r="D401" s="5" t="s">
        <v>35</v>
      </c>
      <c r="E401" s="5" t="s">
        <v>3980</v>
      </c>
      <c r="F401" s="5" t="s">
        <v>108</v>
      </c>
      <c r="G401" s="5" t="s">
        <v>3981</v>
      </c>
      <c r="H401" s="6" t="s">
        <v>3982</v>
      </c>
      <c r="I401" s="7" t="s">
        <v>3983</v>
      </c>
      <c r="J401" s="8" t="str">
        <f>HYPERLINK("https://drive.google.com/file/d/1nqlUf5U2GVJzI-bNx57GBK_rIW9LLNNT/view?usp=drivesdk","NOVY NURMAWATI, S.Pd. SERTIFIKAT BerAKHLAK")</f>
        <v>NOVY NURMAWATI, S.Pd. SERTIFIKAT BerAKHLAK</v>
      </c>
      <c r="K401" s="5" t="s">
        <v>3758</v>
      </c>
      <c r="L401" s="5" t="s">
        <v>3984</v>
      </c>
    </row>
    <row r="402">
      <c r="A402" s="4">
        <v>45534.319416388884</v>
      </c>
      <c r="B402" s="5" t="s">
        <v>34</v>
      </c>
      <c r="D402" s="5" t="s">
        <v>1206</v>
      </c>
      <c r="E402" s="5" t="s">
        <v>3990</v>
      </c>
      <c r="F402" s="5" t="s">
        <v>37</v>
      </c>
      <c r="G402" s="5" t="s">
        <v>3991</v>
      </c>
      <c r="H402" s="6" t="s">
        <v>3992</v>
      </c>
      <c r="I402" s="7" t="s">
        <v>3993</v>
      </c>
      <c r="J402" s="8" t="str">
        <f>HYPERLINK("https://drive.google.com/file/d/1vFtJcmvVvuxnglGNuhvK6H0iMcsMihxd/view?usp=drivesdk","MUHAMMAD TAHIR SERTIFIKAT BerAKHLAK")</f>
        <v>MUHAMMAD TAHIR SERTIFIKAT BerAKHLAK</v>
      </c>
      <c r="K402" s="5" t="s">
        <v>3758</v>
      </c>
      <c r="L402" s="5" t="s">
        <v>3994</v>
      </c>
    </row>
    <row r="403">
      <c r="A403" s="4">
        <v>45534.31942005787</v>
      </c>
      <c r="B403" s="5" t="s">
        <v>34</v>
      </c>
      <c r="D403" s="5" t="s">
        <v>1692</v>
      </c>
      <c r="E403" s="5" t="s">
        <v>3999</v>
      </c>
      <c r="F403" s="5" t="s">
        <v>37</v>
      </c>
      <c r="G403" s="5" t="s">
        <v>4000</v>
      </c>
      <c r="H403" s="6" t="s">
        <v>4001</v>
      </c>
      <c r="I403" s="7" t="s">
        <v>4002</v>
      </c>
      <c r="J403" s="8" t="str">
        <f>HYPERLINK("https://drive.google.com/file/d/1kQcEgqtAGZ-yZ2zywU-KgSVJgHJjzZST/view?usp=drivesdk","CLIEFF ARTHUR PATTIKAWA SERTIFIKAT BerAKHLAK")</f>
        <v>CLIEFF ARTHUR PATTIKAWA SERTIFIKAT BerAKHLAK</v>
      </c>
      <c r="K403" s="5" t="s">
        <v>3758</v>
      </c>
      <c r="L403" s="5" t="s">
        <v>4003</v>
      </c>
    </row>
    <row r="404">
      <c r="A404" s="4">
        <v>45534.3194553125</v>
      </c>
      <c r="B404" s="5" t="s">
        <v>34</v>
      </c>
      <c r="D404" s="5" t="s">
        <v>35</v>
      </c>
      <c r="E404" s="5" t="s">
        <v>4008</v>
      </c>
      <c r="F404" s="5" t="s">
        <v>212</v>
      </c>
      <c r="G404" s="5" t="s">
        <v>4009</v>
      </c>
      <c r="H404" s="6" t="s">
        <v>4010</v>
      </c>
      <c r="I404" s="7" t="s">
        <v>4011</v>
      </c>
      <c r="J404" s="8" t="str">
        <f>HYPERLINK("https://drive.google.com/file/d/14sUTvjMHknMgR59flLxUCz2TzwHF1tN8/view?usp=drivesdk","SRI RAHAYU AGUSTINI SERTIFIKAT BerAKHLAK")</f>
        <v>SRI RAHAYU AGUSTINI SERTIFIKAT BerAKHLAK</v>
      </c>
      <c r="K404" s="5" t="s">
        <v>3758</v>
      </c>
      <c r="L404" s="5" t="s">
        <v>4012</v>
      </c>
    </row>
    <row r="405">
      <c r="A405" s="4">
        <v>45534.31946557871</v>
      </c>
      <c r="B405" s="5" t="s">
        <v>34</v>
      </c>
      <c r="D405" s="5" t="s">
        <v>1206</v>
      </c>
      <c r="E405" s="5" t="s">
        <v>4017</v>
      </c>
      <c r="F405" s="5" t="s">
        <v>37</v>
      </c>
      <c r="G405" s="5" t="s">
        <v>4018</v>
      </c>
      <c r="H405" s="6" t="s">
        <v>4019</v>
      </c>
      <c r="I405" s="7" t="s">
        <v>4020</v>
      </c>
      <c r="J405" s="8" t="str">
        <f>HYPERLINK("https://drive.google.com/file/d/1QtiWgJaTkhx0-gClj9J3wbN9ZLaA_lrP/view?usp=drivesdk","YENIK KURNIAWATI SERTIFIKAT BerAKHLAK")</f>
        <v>YENIK KURNIAWATI SERTIFIKAT BerAKHLAK</v>
      </c>
      <c r="K405" s="5" t="s">
        <v>3758</v>
      </c>
      <c r="L405" s="5" t="s">
        <v>4021</v>
      </c>
    </row>
    <row r="406">
      <c r="A406" s="4">
        <v>45534.3194841088</v>
      </c>
      <c r="B406" s="5" t="s">
        <v>34</v>
      </c>
      <c r="D406" s="5" t="s">
        <v>996</v>
      </c>
      <c r="E406" s="5" t="s">
        <v>4026</v>
      </c>
      <c r="F406" s="5" t="s">
        <v>212</v>
      </c>
      <c r="G406" s="5" t="s">
        <v>4027</v>
      </c>
      <c r="H406" s="6" t="s">
        <v>4028</v>
      </c>
      <c r="I406" s="7" t="s">
        <v>4029</v>
      </c>
      <c r="J406" s="8" t="str">
        <f>HYPERLINK("https://drive.google.com/file/d/1ewi6Wp2Qs29Qbhkpdt2cVTl1CD2mfusw/view?usp=drivesdk","YULIANA SARI, A. Md SERTIFIKAT BerAKHLAK")</f>
        <v>YULIANA SARI, A. Md SERTIFIKAT BerAKHLAK</v>
      </c>
      <c r="K406" s="5" t="s">
        <v>3758</v>
      </c>
      <c r="L406" s="5" t="s">
        <v>4030</v>
      </c>
    </row>
    <row r="407">
      <c r="A407" s="4">
        <v>45534.31950197917</v>
      </c>
      <c r="B407" s="5" t="s">
        <v>34</v>
      </c>
      <c r="D407" s="5" t="s">
        <v>1768</v>
      </c>
      <c r="E407" s="5" t="s">
        <v>4036</v>
      </c>
      <c r="F407" s="5" t="s">
        <v>72</v>
      </c>
      <c r="G407" s="5" t="s">
        <v>4037</v>
      </c>
      <c r="H407" s="6" t="s">
        <v>4038</v>
      </c>
      <c r="I407" s="7" t="s">
        <v>4039</v>
      </c>
      <c r="J407" s="8" t="str">
        <f>HYPERLINK("https://drive.google.com/file/d/14bJhd7fhvwaNwxvVSRxviHIGVVadq1xd/view?usp=drivesdk","PENATA RINAWATI  SERTIFIKAT BerAKHLAK")</f>
        <v>PENATA RINAWATI  SERTIFIKAT BerAKHLAK</v>
      </c>
      <c r="K407" s="5" t="s">
        <v>3758</v>
      </c>
      <c r="L407" s="5" t="s">
        <v>4040</v>
      </c>
    </row>
    <row r="408">
      <c r="A408" s="4">
        <v>45534.31953190972</v>
      </c>
      <c r="B408" s="5" t="s">
        <v>19</v>
      </c>
      <c r="C408" s="5" t="s">
        <v>292</v>
      </c>
      <c r="E408" s="5" t="s">
        <v>4046</v>
      </c>
      <c r="F408" s="5" t="s">
        <v>37</v>
      </c>
      <c r="G408" s="5" t="s">
        <v>4047</v>
      </c>
      <c r="H408" s="6" t="s">
        <v>4048</v>
      </c>
      <c r="I408" s="7" t="s">
        <v>4049</v>
      </c>
      <c r="J408" s="8" t="str">
        <f>HYPERLINK("https://drive.google.com/file/d/1pPVNGdlMBox6npIPdVoFTCbXe_WO7ki4/view?usp=drivesdk","YUSUP SUPRIATNA SERTIFIKAT BerAKHLAK")</f>
        <v>YUSUP SUPRIATNA SERTIFIKAT BerAKHLAK</v>
      </c>
      <c r="K408" s="5" t="s">
        <v>3758</v>
      </c>
      <c r="L408" s="5" t="s">
        <v>4050</v>
      </c>
    </row>
    <row r="409">
      <c r="A409" s="4">
        <v>45534.319549074076</v>
      </c>
      <c r="B409" s="5" t="s">
        <v>34</v>
      </c>
      <c r="D409" s="5" t="s">
        <v>267</v>
      </c>
      <c r="E409" s="5" t="s">
        <v>4055</v>
      </c>
      <c r="F409" s="5" t="s">
        <v>524</v>
      </c>
      <c r="G409" s="5" t="s">
        <v>4056</v>
      </c>
      <c r="H409" s="6" t="s">
        <v>4057</v>
      </c>
      <c r="I409" s="7" t="s">
        <v>4058</v>
      </c>
      <c r="J409" s="8" t="str">
        <f>HYPERLINK("https://drive.google.com/file/d/1RZ50yTfKaXvDaipcSW2eGdvJIKfmGTQd/view?usp=drivesdk","SYLVIA INDAH DJAYA, S.Ak., M.Ak. SERTIFIKAT BerAKHLAK")</f>
        <v>SYLVIA INDAH DJAYA, S.Ak., M.Ak. SERTIFIKAT BerAKHLAK</v>
      </c>
      <c r="K409" s="5" t="s">
        <v>3758</v>
      </c>
      <c r="L409" s="5" t="s">
        <v>4059</v>
      </c>
    </row>
    <row r="410">
      <c r="A410" s="4">
        <v>45534.3195709838</v>
      </c>
      <c r="B410" s="5" t="s">
        <v>34</v>
      </c>
      <c r="D410" s="5" t="s">
        <v>1692</v>
      </c>
      <c r="E410" s="5" t="s">
        <v>4064</v>
      </c>
      <c r="F410" s="5" t="s">
        <v>524</v>
      </c>
      <c r="G410" s="5" t="s">
        <v>4065</v>
      </c>
      <c r="H410" s="6" t="s">
        <v>4066</v>
      </c>
      <c r="I410" s="7" t="s">
        <v>4067</v>
      </c>
      <c r="J410" s="8" t="str">
        <f>HYPERLINK("https://drive.google.com/file/d/1gPrS89_YNLo_pJ1wgxGV8HoErGISypSj/view?usp=drivesdk","RISNAWATI TUNNY, S. KM SERTIFIKAT BerAKHLAK")</f>
        <v>RISNAWATI TUNNY, S. KM SERTIFIKAT BerAKHLAK</v>
      </c>
      <c r="K410" s="5" t="s">
        <v>3758</v>
      </c>
      <c r="L410" s="5" t="s">
        <v>4068</v>
      </c>
    </row>
    <row r="411">
      <c r="A411" s="4">
        <v>45534.31958170139</v>
      </c>
      <c r="B411" s="5" t="s">
        <v>34</v>
      </c>
      <c r="D411" s="5" t="s">
        <v>1206</v>
      </c>
      <c r="E411" s="5" t="s">
        <v>4073</v>
      </c>
      <c r="F411" s="5" t="s">
        <v>212</v>
      </c>
      <c r="G411" s="5" t="s">
        <v>4074</v>
      </c>
      <c r="H411" s="6" t="s">
        <v>4075</v>
      </c>
      <c r="I411" s="7" t="s">
        <v>4076</v>
      </c>
      <c r="J411" s="8" t="str">
        <f>HYPERLINK("https://drive.google.com/file/d/1hl67WMvR5doJb-H2XTSsnGd6eh2Gt8-V/view?usp=drivesdk","ARIN WINARSIH SERTIFIKAT BerAKHLAK")</f>
        <v>ARIN WINARSIH SERTIFIKAT BerAKHLAK</v>
      </c>
      <c r="K411" s="5" t="s">
        <v>3758</v>
      </c>
      <c r="L411" s="5" t="s">
        <v>4077</v>
      </c>
    </row>
    <row r="412">
      <c r="A412" s="4">
        <v>45534.31958591435</v>
      </c>
      <c r="B412" s="5" t="s">
        <v>34</v>
      </c>
      <c r="D412" s="5" t="s">
        <v>1206</v>
      </c>
      <c r="E412" s="5" t="s">
        <v>4082</v>
      </c>
      <c r="F412" s="5" t="s">
        <v>120</v>
      </c>
      <c r="G412" s="5" t="s">
        <v>4083</v>
      </c>
      <c r="H412" s="6" t="s">
        <v>4084</v>
      </c>
      <c r="I412" s="7" t="s">
        <v>4085</v>
      </c>
      <c r="J412" s="8" t="str">
        <f>HYPERLINK("https://drive.google.com/file/d/1SqXQ4rmUsWdQS7HdxC29A4BIp7ptTXCc/view?usp=drivesdk","YULIAWAN KRISTIONO, S.Pd. M.M. SERTIFIKAT BerAKHLAK")</f>
        <v>YULIAWAN KRISTIONO, S.Pd. M.M. SERTIFIKAT BerAKHLAK</v>
      </c>
      <c r="K412" s="5" t="s">
        <v>3758</v>
      </c>
      <c r="L412" s="5" t="s">
        <v>4086</v>
      </c>
    </row>
    <row r="413">
      <c r="A413" s="4">
        <v>45534.31958930555</v>
      </c>
      <c r="B413" s="5" t="s">
        <v>19</v>
      </c>
      <c r="C413" s="5" t="s">
        <v>292</v>
      </c>
      <c r="E413" s="5" t="s">
        <v>4091</v>
      </c>
      <c r="F413" s="5" t="s">
        <v>524</v>
      </c>
      <c r="G413" s="5" t="s">
        <v>4092</v>
      </c>
      <c r="H413" s="6" t="s">
        <v>4093</v>
      </c>
      <c r="I413" s="7" t="s">
        <v>4094</v>
      </c>
      <c r="J413" s="8" t="str">
        <f>HYPERLINK("https://drive.google.com/file/d/1TolZQZbMEG3d_Vt_58k_k8D4whYD4v01/view?usp=drivesdk","MUHAMAD LUTFI SERTIFIKAT BerAKHLAK")</f>
        <v>MUHAMAD LUTFI SERTIFIKAT BerAKHLAK</v>
      </c>
      <c r="K413" s="5" t="s">
        <v>3758</v>
      </c>
      <c r="L413" s="5" t="s">
        <v>4095</v>
      </c>
    </row>
    <row r="414">
      <c r="A414" s="4">
        <v>45534.3196122338</v>
      </c>
      <c r="B414" s="5" t="s">
        <v>34</v>
      </c>
      <c r="D414" s="5" t="s">
        <v>1768</v>
      </c>
      <c r="E414" s="5" t="s">
        <v>4101</v>
      </c>
      <c r="F414" s="5" t="s">
        <v>212</v>
      </c>
      <c r="G414" s="5" t="s">
        <v>4102</v>
      </c>
      <c r="H414" s="6" t="s">
        <v>4103</v>
      </c>
      <c r="I414" s="7" t="s">
        <v>4104</v>
      </c>
      <c r="J414" s="8" t="str">
        <f>HYPERLINK("https://drive.google.com/file/d/1K103-5PjBXOCnAOLzXpab4ONeYcjFqbI/view?usp=drivesdk","MARSYANA TIUR NOVITA SAGALA SERTIFIKAT BerAKHLAK")</f>
        <v>MARSYANA TIUR NOVITA SAGALA SERTIFIKAT BerAKHLAK</v>
      </c>
      <c r="K414" s="5" t="s">
        <v>3758</v>
      </c>
      <c r="L414" s="5" t="s">
        <v>4105</v>
      </c>
    </row>
    <row r="415">
      <c r="A415" s="4">
        <v>45534.31962342592</v>
      </c>
      <c r="B415" s="5" t="s">
        <v>34</v>
      </c>
      <c r="D415" s="5" t="s">
        <v>580</v>
      </c>
      <c r="E415" s="5" t="s">
        <v>4111</v>
      </c>
      <c r="F415" s="5" t="s">
        <v>37</v>
      </c>
      <c r="G415" s="5" t="s">
        <v>4112</v>
      </c>
      <c r="H415" s="6" t="s">
        <v>4113</v>
      </c>
      <c r="I415" s="7" t="s">
        <v>4114</v>
      </c>
      <c r="J415" s="8" t="str">
        <f>HYPERLINK("https://drive.google.com/file/d/16vaN9X0Au5eImBMdYuAX77rX8GUYBaXF/view?usp=drivesdk","MADE DWIANA PRADNYA YUSTIKA, A.Md.Keb SERTIFIKAT BerAKHLAK")</f>
        <v>MADE DWIANA PRADNYA YUSTIKA, A.Md.Keb SERTIFIKAT BerAKHLAK</v>
      </c>
      <c r="K415" s="5" t="s">
        <v>3758</v>
      </c>
      <c r="L415" s="5" t="s">
        <v>4115</v>
      </c>
    </row>
    <row r="416">
      <c r="A416" s="4">
        <v>45534.31964980324</v>
      </c>
      <c r="B416" s="5" t="s">
        <v>34</v>
      </c>
      <c r="D416" s="5" t="s">
        <v>1206</v>
      </c>
      <c r="E416" s="5" t="s">
        <v>4120</v>
      </c>
      <c r="F416" s="5" t="s">
        <v>37</v>
      </c>
      <c r="G416" s="5" t="s">
        <v>4121</v>
      </c>
      <c r="H416" s="6" t="s">
        <v>4122</v>
      </c>
      <c r="I416" s="7" t="s">
        <v>4123</v>
      </c>
      <c r="J416" s="8" t="str">
        <f>HYPERLINK("https://drive.google.com/file/d/1na22c6JSdqFQY8rejp4J0rnwoguhZ0pM/view?usp=drivesdk","GESANGPRIBADI  SERTIFIKAT BerAKHLAK")</f>
        <v>GESANGPRIBADI  SERTIFIKAT BerAKHLAK</v>
      </c>
      <c r="K416" s="5" t="s">
        <v>3758</v>
      </c>
      <c r="L416" s="5" t="s">
        <v>4124</v>
      </c>
    </row>
    <row r="417">
      <c r="A417" s="4">
        <v>45534.319667511576</v>
      </c>
      <c r="B417" s="5" t="s">
        <v>34</v>
      </c>
      <c r="D417" s="5" t="s">
        <v>1206</v>
      </c>
      <c r="E417" s="5" t="s">
        <v>4129</v>
      </c>
      <c r="F417" s="5" t="s">
        <v>328</v>
      </c>
      <c r="G417" s="5" t="s">
        <v>4130</v>
      </c>
      <c r="H417" s="6" t="s">
        <v>4131</v>
      </c>
      <c r="I417" s="7" t="s">
        <v>4132</v>
      </c>
      <c r="J417" s="8" t="str">
        <f>HYPERLINK("https://drive.google.com/file/d/1fm8yZwHzCGtzIZxYdJwoLqr8O-PNyshf/view?usp=drivesdk","SUGIYANTO PENGDA SERTIFIKAT BerAKHLAK")</f>
        <v>SUGIYANTO PENGDA SERTIFIKAT BerAKHLAK</v>
      </c>
      <c r="K417" s="5" t="s">
        <v>3758</v>
      </c>
      <c r="L417" s="5" t="s">
        <v>4133</v>
      </c>
    </row>
    <row r="418">
      <c r="A418" s="4">
        <v>45534.31966746528</v>
      </c>
      <c r="B418" s="5" t="s">
        <v>34</v>
      </c>
      <c r="D418" s="5" t="s">
        <v>975</v>
      </c>
      <c r="E418" s="5" t="s">
        <v>4138</v>
      </c>
      <c r="F418" s="5" t="s">
        <v>72</v>
      </c>
      <c r="G418" s="5" t="s">
        <v>4139</v>
      </c>
      <c r="H418" s="6" t="s">
        <v>4140</v>
      </c>
      <c r="I418" s="7" t="s">
        <v>4141</v>
      </c>
      <c r="J418" s="8" t="str">
        <f>HYPERLINK("https://drive.google.com/file/d/1u_Xcy_Q-A4yR4HzFHKgI-O9qMeRgVn2C/view?usp=drivesdk","MARIANI RANTE SANDU,A.MD.KEP SERTIFIKAT BerAKHLAK")</f>
        <v>MARIANI RANTE SANDU,A.MD.KEP SERTIFIKAT BerAKHLAK</v>
      </c>
      <c r="K418" s="5" t="s">
        <v>3758</v>
      </c>
      <c r="L418" s="5" t="s">
        <v>4142</v>
      </c>
    </row>
    <row r="419">
      <c r="A419" s="4">
        <v>45534.31966861111</v>
      </c>
      <c r="B419" s="5" t="s">
        <v>34</v>
      </c>
      <c r="D419" s="5" t="s">
        <v>522</v>
      </c>
      <c r="E419" s="5" t="s">
        <v>4148</v>
      </c>
      <c r="F419" s="5" t="s">
        <v>37</v>
      </c>
      <c r="G419" s="5" t="s">
        <v>4149</v>
      </c>
      <c r="H419" s="6" t="s">
        <v>4150</v>
      </c>
      <c r="I419" s="7" t="s">
        <v>4151</v>
      </c>
      <c r="J419" s="8" t="str">
        <f>HYPERLINK("https://drive.google.com/file/d/1r3KqSvfVGR_26Lx1EeyiPbzMyqC6uccC/view?usp=drivesdk","SITI MARLINA YULIANA,AMD.KEP. SERTIFIKAT BerAKHLAK")</f>
        <v>SITI MARLINA YULIANA,AMD.KEP. SERTIFIKAT BerAKHLAK</v>
      </c>
      <c r="K419" s="5" t="s">
        <v>3758</v>
      </c>
      <c r="L419" s="5" t="s">
        <v>4152</v>
      </c>
    </row>
    <row r="420">
      <c r="A420" s="4">
        <v>45534.319681469904</v>
      </c>
      <c r="B420" s="5" t="s">
        <v>34</v>
      </c>
      <c r="D420" s="5" t="s">
        <v>604</v>
      </c>
      <c r="E420" s="5" t="s">
        <v>4157</v>
      </c>
      <c r="F420" s="5" t="s">
        <v>37</v>
      </c>
      <c r="G420" s="5" t="s">
        <v>4158</v>
      </c>
      <c r="H420" s="6" t="s">
        <v>4159</v>
      </c>
      <c r="I420" s="7" t="s">
        <v>4160</v>
      </c>
      <c r="J420" s="8" t="str">
        <f>HYPERLINK("https://drive.google.com/file/d/1pn8r__-ODh3DqJGICz90cijiBK3rd-6V/view?usp=drivesdk","VATIM DWI CAHYANI, A.Md. AK SERTIFIKAT BerAKHLAK")</f>
        <v>VATIM DWI CAHYANI, A.Md. AK SERTIFIKAT BerAKHLAK</v>
      </c>
      <c r="K420" s="5" t="s">
        <v>3758</v>
      </c>
      <c r="L420" s="5" t="s">
        <v>4161</v>
      </c>
    </row>
    <row r="421">
      <c r="A421" s="4">
        <v>45534.31968266204</v>
      </c>
      <c r="B421" s="5" t="s">
        <v>34</v>
      </c>
      <c r="D421" s="5" t="s">
        <v>280</v>
      </c>
      <c r="E421" s="5" t="s">
        <v>4167</v>
      </c>
      <c r="F421" s="5" t="s">
        <v>108</v>
      </c>
      <c r="G421" s="5" t="s">
        <v>4168</v>
      </c>
      <c r="H421" s="6" t="s">
        <v>4169</v>
      </c>
      <c r="I421" s="7" t="s">
        <v>4170</v>
      </c>
      <c r="J421" s="8" t="str">
        <f>HYPERLINK("https://drive.google.com/file/d/1ocrkPSBbSJ16P2jIWjkCRgltBpu5kqhY/view?usp=drivesdk","VIQIEH HANDAYANTI  SERTIFIKAT BerAKHLAK")</f>
        <v>VIQIEH HANDAYANTI  SERTIFIKAT BerAKHLAK</v>
      </c>
      <c r="K421" s="5" t="s">
        <v>3758</v>
      </c>
      <c r="L421" s="5" t="s">
        <v>4171</v>
      </c>
    </row>
    <row r="422">
      <c r="A422" s="4">
        <v>45534.31968927084</v>
      </c>
      <c r="B422" s="5" t="s">
        <v>34</v>
      </c>
      <c r="D422" s="5" t="s">
        <v>35</v>
      </c>
      <c r="E422" s="5" t="s">
        <v>4176</v>
      </c>
      <c r="F422" s="5" t="s">
        <v>37</v>
      </c>
      <c r="G422" s="5" t="s">
        <v>4177</v>
      </c>
      <c r="H422" s="6" t="s">
        <v>4178</v>
      </c>
      <c r="I422" s="7" t="s">
        <v>4179</v>
      </c>
      <c r="J422" s="8" t="str">
        <f>HYPERLINK("https://drive.google.com/file/d/1IHZL52MeldtjzYzO1nJ3-hYbCLOfUe-0/view?usp=drivesdk","JAJANG RISNANDAR SERTIFIKAT BerAKHLAK")</f>
        <v>JAJANG RISNANDAR SERTIFIKAT BerAKHLAK</v>
      </c>
      <c r="K422" s="5" t="s">
        <v>3900</v>
      </c>
      <c r="L422" s="5" t="s">
        <v>4180</v>
      </c>
    </row>
    <row r="423">
      <c r="A423" s="4">
        <v>45534.319715300924</v>
      </c>
      <c r="B423" s="5" t="s">
        <v>34</v>
      </c>
      <c r="D423" s="5" t="s">
        <v>1206</v>
      </c>
      <c r="E423" s="5" t="s">
        <v>4186</v>
      </c>
      <c r="F423" s="5" t="s">
        <v>37</v>
      </c>
      <c r="G423" s="5" t="s">
        <v>4187</v>
      </c>
      <c r="H423" s="6" t="s">
        <v>4188</v>
      </c>
      <c r="I423" s="7" t="s">
        <v>4189</v>
      </c>
      <c r="J423" s="8" t="str">
        <f>HYPERLINK("https://drive.google.com/file/d/10QkLZ4uLfghS3TOwOFRnqg3sM_Wy2aHS/view?usp=drivesdk","AGUS SUPRIYADI SERTIFIKAT BerAKHLAK")</f>
        <v>AGUS SUPRIYADI SERTIFIKAT BerAKHLAK</v>
      </c>
      <c r="K423" s="5" t="s">
        <v>3900</v>
      </c>
      <c r="L423" s="5" t="s">
        <v>4190</v>
      </c>
    </row>
    <row r="424">
      <c r="A424" s="4">
        <v>45534.3197246412</v>
      </c>
      <c r="B424" s="5" t="s">
        <v>34</v>
      </c>
      <c r="D424" s="5" t="s">
        <v>522</v>
      </c>
      <c r="E424" s="5" t="s">
        <v>4195</v>
      </c>
      <c r="F424" s="5" t="s">
        <v>72</v>
      </c>
      <c r="G424" s="5" t="s">
        <v>4196</v>
      </c>
      <c r="H424" s="6" t="s">
        <v>4197</v>
      </c>
      <c r="I424" s="7" t="s">
        <v>4198</v>
      </c>
      <c r="J424" s="8" t="str">
        <f>HYPERLINK("https://drive.google.com/file/d/1P81vOIL4g_dI_Ah9tkRjKwygelmQ52d-/view?usp=drivesdk","NI KETUT MUNI KARTIKA SARI, S. Adm.  SERTIFIKAT BerAKHLAK")</f>
        <v>NI KETUT MUNI KARTIKA SARI, S. Adm.  SERTIFIKAT BerAKHLAK</v>
      </c>
      <c r="K424" s="5" t="s">
        <v>3900</v>
      </c>
      <c r="L424" s="5" t="s">
        <v>4199</v>
      </c>
    </row>
    <row r="425">
      <c r="A425" s="4">
        <v>45534.31972488426</v>
      </c>
      <c r="B425" s="5" t="s">
        <v>34</v>
      </c>
      <c r="D425" s="5" t="s">
        <v>1206</v>
      </c>
      <c r="E425" s="5" t="s">
        <v>4204</v>
      </c>
      <c r="F425" s="5" t="s">
        <v>199</v>
      </c>
      <c r="G425" s="5" t="s">
        <v>4205</v>
      </c>
      <c r="H425" s="6" t="s">
        <v>4206</v>
      </c>
      <c r="I425" s="7" t="s">
        <v>4207</v>
      </c>
      <c r="J425" s="8" t="str">
        <f>HYPERLINK("https://drive.google.com/file/d/1lPQiM2xmcFDJrxtQIA1cG9Sn1J_6N4pU/view?usp=drivesdk","MOHAMMAD SUBAIDI ROSADI SERTIFIKAT BerAKHLAK")</f>
        <v>MOHAMMAD SUBAIDI ROSADI SERTIFIKAT BerAKHLAK</v>
      </c>
      <c r="K425" s="5" t="s">
        <v>3900</v>
      </c>
      <c r="L425" s="5" t="s">
        <v>4208</v>
      </c>
    </row>
    <row r="426">
      <c r="A426" s="4">
        <v>45534.3197246875</v>
      </c>
      <c r="B426" s="5" t="s">
        <v>34</v>
      </c>
      <c r="D426" s="5" t="s">
        <v>522</v>
      </c>
      <c r="E426" s="5" t="s">
        <v>4214</v>
      </c>
      <c r="F426" s="5" t="s">
        <v>37</v>
      </c>
      <c r="G426" s="5" t="s">
        <v>4215</v>
      </c>
      <c r="H426" s="6" t="s">
        <v>4216</v>
      </c>
      <c r="I426" s="7" t="s">
        <v>4217</v>
      </c>
      <c r="J426" s="8" t="str">
        <f>HYPERLINK("https://drive.google.com/file/d/1w6UyX5FavI7fUSiwk57RJrmUZT2TJCs2/view?usp=drivesdk","LALU YUSUF SYAHRONI Amd. Kep.  SERTIFIKAT BerAKHLAK")</f>
        <v>LALU YUSUF SYAHRONI Amd. Kep.  SERTIFIKAT BerAKHLAK</v>
      </c>
      <c r="K426" s="5" t="s">
        <v>4218</v>
      </c>
      <c r="L426" s="5" t="s">
        <v>4219</v>
      </c>
    </row>
    <row r="427">
      <c r="A427" s="4">
        <v>45534.31974291667</v>
      </c>
      <c r="B427" s="5" t="s">
        <v>34</v>
      </c>
      <c r="D427" s="5" t="s">
        <v>280</v>
      </c>
      <c r="E427" s="5" t="s">
        <v>4224</v>
      </c>
      <c r="F427" s="5" t="s">
        <v>108</v>
      </c>
      <c r="G427" s="5" t="s">
        <v>4225</v>
      </c>
      <c r="H427" s="6" t="s">
        <v>4226</v>
      </c>
      <c r="I427" s="7" t="s">
        <v>4227</v>
      </c>
      <c r="J427" s="8" t="str">
        <f>HYPERLINK("https://drive.google.com/file/d/19dnghOCFt5UZLr1tQLjLbyAKn2iAkIVJ/view?usp=drivesdk","LASMAULI BINTARI ANGELIA MANIHURUK, AMd SERTIFIKAT BerAKHLAK")</f>
        <v>LASMAULI BINTARI ANGELIA MANIHURUK, AMd SERTIFIKAT BerAKHLAK</v>
      </c>
      <c r="K427" s="5" t="s">
        <v>4218</v>
      </c>
      <c r="L427" s="5" t="s">
        <v>4228</v>
      </c>
    </row>
    <row r="428">
      <c r="A428" s="4">
        <v>45534.31976773148</v>
      </c>
      <c r="B428" s="5" t="s">
        <v>34</v>
      </c>
      <c r="D428" s="5" t="s">
        <v>975</v>
      </c>
      <c r="E428" s="5" t="s">
        <v>4234</v>
      </c>
      <c r="F428" s="5" t="s">
        <v>37</v>
      </c>
      <c r="G428" s="5" t="s">
        <v>4235</v>
      </c>
      <c r="H428" s="6" t="s">
        <v>4236</v>
      </c>
      <c r="I428" s="7" t="s">
        <v>4237</v>
      </c>
      <c r="J428" s="8" t="str">
        <f>HYPERLINK("https://drive.google.com/file/d/15cNf4oJjeDAKGriguOeo7qg2kaq8Fra7/view?usp=drivesdk","YEREMIAS EMI,AMAK SERTIFIKAT BerAKHLAK")</f>
        <v>YEREMIAS EMI,AMAK SERTIFIKAT BerAKHLAK</v>
      </c>
      <c r="K428" s="5" t="s">
        <v>3758</v>
      </c>
      <c r="L428" s="5" t="s">
        <v>4238</v>
      </c>
    </row>
    <row r="429">
      <c r="A429" s="4">
        <v>45534.31977105324</v>
      </c>
      <c r="B429" s="5" t="s">
        <v>34</v>
      </c>
      <c r="D429" s="5" t="s">
        <v>280</v>
      </c>
      <c r="E429" s="5" t="s">
        <v>4243</v>
      </c>
      <c r="F429" s="5" t="s">
        <v>37</v>
      </c>
      <c r="G429" s="5" t="s">
        <v>4244</v>
      </c>
      <c r="H429" s="6" t="s">
        <v>4245</v>
      </c>
      <c r="I429" s="7" t="s">
        <v>4246</v>
      </c>
      <c r="J429" s="8" t="str">
        <f>HYPERLINK("https://drive.google.com/file/d/1JRkQiGfvkQG_L794TQNu-fs0UdBiYnQX/view?usp=drivesdk","MUHAMAD HAFID ASFAHANI SERTIFIKAT BerAKHLAK")</f>
        <v>MUHAMAD HAFID ASFAHANI SERTIFIKAT BerAKHLAK</v>
      </c>
      <c r="K429" s="5" t="s">
        <v>3758</v>
      </c>
      <c r="L429" s="5" t="s">
        <v>4247</v>
      </c>
    </row>
    <row r="430">
      <c r="A430" s="4">
        <v>45534.319797013886</v>
      </c>
      <c r="B430" s="5" t="s">
        <v>34</v>
      </c>
      <c r="D430" s="5" t="s">
        <v>280</v>
      </c>
      <c r="E430" s="5" t="s">
        <v>4252</v>
      </c>
      <c r="F430" s="5" t="s">
        <v>212</v>
      </c>
      <c r="G430" s="5" t="s">
        <v>4253</v>
      </c>
      <c r="H430" s="6" t="s">
        <v>4254</v>
      </c>
      <c r="I430" s="7" t="s">
        <v>4255</v>
      </c>
      <c r="J430" s="8" t="str">
        <f>HYPERLINK("https://drive.google.com/file/d/1iIAqGAvwI1xGWf3H_VUp8fTAjArQEN8t/view?usp=drivesdk","OSCAR PRAWIRA, A.Md.Kom SERTIFIKAT BerAKHLAK")</f>
        <v>OSCAR PRAWIRA, A.Md.Kom SERTIFIKAT BerAKHLAK</v>
      </c>
      <c r="K430" s="5" t="s">
        <v>3758</v>
      </c>
      <c r="L430" s="5" t="s">
        <v>4256</v>
      </c>
    </row>
    <row r="431">
      <c r="A431" s="4">
        <v>45534.31981349537</v>
      </c>
      <c r="B431" s="5" t="s">
        <v>34</v>
      </c>
      <c r="D431" s="5" t="s">
        <v>580</v>
      </c>
      <c r="E431" s="5" t="s">
        <v>4261</v>
      </c>
      <c r="F431" s="5" t="s">
        <v>375</v>
      </c>
      <c r="G431" s="5" t="s">
        <v>4262</v>
      </c>
      <c r="H431" s="6" t="s">
        <v>4263</v>
      </c>
      <c r="I431" s="7" t="s">
        <v>4264</v>
      </c>
      <c r="J431" s="8" t="str">
        <f>HYPERLINK("https://drive.google.com/file/d/1cVxyNPivNPyGWRNBMDVQkMP5X1j0FDtq/view?usp=drivesdk","SRI SAMDHANI UTAMI, S.H. SERTIFIKAT BerAKHLAK")</f>
        <v>SRI SAMDHANI UTAMI, S.H. SERTIFIKAT BerAKHLAK</v>
      </c>
      <c r="K431" s="5" t="s">
        <v>3758</v>
      </c>
      <c r="L431" s="5" t="s">
        <v>4265</v>
      </c>
    </row>
    <row r="432">
      <c r="A432" s="4">
        <v>45534.319871597225</v>
      </c>
      <c r="B432" s="5" t="s">
        <v>34</v>
      </c>
      <c r="D432" s="5" t="s">
        <v>1206</v>
      </c>
      <c r="E432" s="5" t="s">
        <v>4271</v>
      </c>
      <c r="F432" s="5" t="s">
        <v>37</v>
      </c>
      <c r="G432" s="5" t="s">
        <v>4272</v>
      </c>
      <c r="H432" s="6" t="s">
        <v>4273</v>
      </c>
      <c r="I432" s="7" t="s">
        <v>4274</v>
      </c>
      <c r="J432" s="8" t="str">
        <f>HYPERLINK("https://drive.google.com/file/d/1nTD8G6btnT4br_jHpZ9oC3jovCQA9p0b/view?usp=drivesdk","ARI WIDIA RETNO SERTIFIKAT BerAKHLAK")</f>
        <v>ARI WIDIA RETNO SERTIFIKAT BerAKHLAK</v>
      </c>
      <c r="K432" s="5" t="s">
        <v>3758</v>
      </c>
      <c r="L432" s="5" t="s">
        <v>4275</v>
      </c>
    </row>
    <row r="433">
      <c r="A433" s="4">
        <v>45534.31987679398</v>
      </c>
      <c r="B433" s="5" t="s">
        <v>34</v>
      </c>
      <c r="D433" s="5" t="s">
        <v>522</v>
      </c>
      <c r="E433" s="5" t="s">
        <v>4281</v>
      </c>
      <c r="F433" s="5" t="s">
        <v>375</v>
      </c>
      <c r="G433" s="5" t="s">
        <v>4282</v>
      </c>
      <c r="H433" s="6" t="s">
        <v>4283</v>
      </c>
      <c r="I433" s="7" t="s">
        <v>4284</v>
      </c>
      <c r="J433" s="8" t="str">
        <f>HYPERLINK("https://drive.google.com/file/d/1z8L1k3j5C_4pqA2SIKLzTtrhRPr6vekY/view?usp=drivesdk","DIAN MEFIANA, S.E. SERTIFIKAT BerAKHLAK")</f>
        <v>DIAN MEFIANA, S.E. SERTIFIKAT BerAKHLAK</v>
      </c>
      <c r="K433" s="5" t="s">
        <v>3900</v>
      </c>
      <c r="L433" s="5" t="s">
        <v>4285</v>
      </c>
    </row>
    <row r="434">
      <c r="A434" s="4">
        <v>45534.319879421295</v>
      </c>
      <c r="B434" s="5" t="s">
        <v>34</v>
      </c>
      <c r="D434" s="5" t="s">
        <v>580</v>
      </c>
      <c r="E434" s="5" t="s">
        <v>4291</v>
      </c>
      <c r="F434" s="5" t="s">
        <v>37</v>
      </c>
      <c r="G434" s="5" t="s">
        <v>4292</v>
      </c>
      <c r="H434" s="6" t="s">
        <v>4293</v>
      </c>
      <c r="I434" s="7" t="s">
        <v>4294</v>
      </c>
      <c r="J434" s="8" t="str">
        <f>HYPERLINK("https://drive.google.com/file/d/1Tsm3LXLimRv3rD4lxrWpTwLWfzdB-Zuy/view?usp=drivesdk","I WAYAN DIVA DANANJAYA, Amd.Kom. SERTIFIKAT BerAKHLAK")</f>
        <v>I WAYAN DIVA DANANJAYA, Amd.Kom. SERTIFIKAT BerAKHLAK</v>
      </c>
      <c r="K434" s="5" t="s">
        <v>3900</v>
      </c>
      <c r="L434" s="5" t="s">
        <v>4295</v>
      </c>
    </row>
    <row r="435">
      <c r="A435" s="4">
        <v>45534.31991346065</v>
      </c>
      <c r="B435" s="5" t="s">
        <v>34</v>
      </c>
      <c r="D435" s="5" t="s">
        <v>3432</v>
      </c>
      <c r="E435" s="5" t="s">
        <v>4300</v>
      </c>
      <c r="F435" s="5" t="s">
        <v>212</v>
      </c>
      <c r="G435" s="5" t="s">
        <v>4301</v>
      </c>
      <c r="H435" s="6" t="s">
        <v>4302</v>
      </c>
      <c r="I435" s="7" t="s">
        <v>4303</v>
      </c>
      <c r="J435" s="8" t="str">
        <f>HYPERLINK("https://drive.google.com/file/d/1NA7Q0ReCLHSx0Ge3m842GbvgSvXa2uiB/view?usp=drivesdk","FAHNI AULIA SIDIK, A.Md.Kep SERTIFIKAT BerAKHLAK")</f>
        <v>FAHNI AULIA SIDIK, A.Md.Kep SERTIFIKAT BerAKHLAK</v>
      </c>
      <c r="K435" s="5" t="s">
        <v>3758</v>
      </c>
      <c r="L435" s="5" t="s">
        <v>4304</v>
      </c>
    </row>
    <row r="436">
      <c r="A436" s="4">
        <v>45534.31994071759</v>
      </c>
      <c r="B436" s="5" t="s">
        <v>34</v>
      </c>
      <c r="D436" s="5" t="s">
        <v>1206</v>
      </c>
      <c r="E436" s="5" t="s">
        <v>4310</v>
      </c>
      <c r="F436" s="5" t="s">
        <v>212</v>
      </c>
      <c r="G436" s="5" t="s">
        <v>4311</v>
      </c>
      <c r="H436" s="6" t="s">
        <v>4312</v>
      </c>
      <c r="I436" s="7" t="s">
        <v>4313</v>
      </c>
      <c r="J436" s="8" t="str">
        <f>HYPERLINK("https://drive.google.com/file/d/1prddupUKE3mA60A6PZ2f5Vq8ARRn99SL/view?usp=drivesdk","GLORIA HERAWATI SERTIFIKAT BerAKHLAK")</f>
        <v>GLORIA HERAWATI SERTIFIKAT BerAKHLAK</v>
      </c>
      <c r="K436" s="5" t="s">
        <v>3758</v>
      </c>
      <c r="L436" s="5" t="s">
        <v>4314</v>
      </c>
    </row>
    <row r="437">
      <c r="A437" s="4">
        <v>45534.31996474537</v>
      </c>
      <c r="B437" s="5" t="s">
        <v>34</v>
      </c>
      <c r="D437" s="5" t="s">
        <v>1206</v>
      </c>
      <c r="E437" s="5" t="s">
        <v>4319</v>
      </c>
      <c r="F437" s="5" t="s">
        <v>212</v>
      </c>
      <c r="G437" s="5" t="s">
        <v>4320</v>
      </c>
      <c r="H437" s="6" t="s">
        <v>4321</v>
      </c>
      <c r="I437" s="7" t="s">
        <v>4322</v>
      </c>
      <c r="J437" s="8" t="str">
        <f>HYPERLINK("https://drive.google.com/file/d/13L6HzJNdkD484hnDkCd7VOCJ_IafeVL3/view?usp=drivesdk","RINA APRILIAN YUSTITIA  SERTIFIKAT BerAKHLAK")</f>
        <v>RINA APRILIAN YUSTITIA  SERTIFIKAT BerAKHLAK</v>
      </c>
      <c r="K437" s="5" t="s">
        <v>3900</v>
      </c>
      <c r="L437" s="5" t="s">
        <v>4323</v>
      </c>
    </row>
    <row r="438">
      <c r="A438" s="4">
        <v>45534.31999258102</v>
      </c>
      <c r="B438" s="5" t="s">
        <v>34</v>
      </c>
      <c r="D438" s="5" t="s">
        <v>3849</v>
      </c>
      <c r="E438" s="5" t="s">
        <v>4328</v>
      </c>
      <c r="F438" s="5" t="s">
        <v>37</v>
      </c>
      <c r="G438" s="5" t="s">
        <v>4329</v>
      </c>
      <c r="H438" s="6" t="s">
        <v>4330</v>
      </c>
      <c r="I438" s="7" t="s">
        <v>4331</v>
      </c>
      <c r="J438" s="8" t="str">
        <f>HYPERLINK("https://drive.google.com/file/d/1QJtxFP2YiUC_TEzERo4-oPbp_hVffLzd/view?usp=drivesdk","HENNY FITRIANI  SERTIFIKAT BerAKHLAK")</f>
        <v>HENNY FITRIANI  SERTIFIKAT BerAKHLAK</v>
      </c>
      <c r="K438" s="5" t="s">
        <v>3758</v>
      </c>
      <c r="L438" s="5" t="s">
        <v>4332</v>
      </c>
    </row>
    <row r="439">
      <c r="A439" s="4">
        <v>45534.320011909724</v>
      </c>
      <c r="B439" s="5" t="s">
        <v>34</v>
      </c>
      <c r="D439" s="5" t="s">
        <v>3849</v>
      </c>
      <c r="E439" s="5" t="s">
        <v>4338</v>
      </c>
      <c r="F439" s="5" t="s">
        <v>37</v>
      </c>
      <c r="G439" s="5" t="s">
        <v>4339</v>
      </c>
      <c r="H439" s="6" t="s">
        <v>4340</v>
      </c>
      <c r="I439" s="7" t="s">
        <v>4341</v>
      </c>
      <c r="J439" s="8" t="str">
        <f>HYPERLINK("https://drive.google.com/file/d/111N-vh9qzMfld7WdGi9qfICHeqefucNa/view?usp=drivesdk","AMRINA ROSYADA, A.Md.Keb. SERTIFIKAT BerAKHLAK")</f>
        <v>AMRINA ROSYADA, A.Md.Keb. SERTIFIKAT BerAKHLAK</v>
      </c>
      <c r="K439" s="5" t="s">
        <v>3900</v>
      </c>
      <c r="L439" s="5" t="s">
        <v>4342</v>
      </c>
    </row>
    <row r="440">
      <c r="A440" s="4">
        <v>45534.32003203704</v>
      </c>
      <c r="B440" s="5" t="s">
        <v>34</v>
      </c>
      <c r="D440" s="5" t="s">
        <v>996</v>
      </c>
      <c r="E440" s="5" t="s">
        <v>4347</v>
      </c>
      <c r="F440" s="5" t="s">
        <v>37</v>
      </c>
      <c r="G440" s="5" t="s">
        <v>4348</v>
      </c>
      <c r="H440" s="6" t="s">
        <v>4349</v>
      </c>
      <c r="I440" s="7" t="s">
        <v>4350</v>
      </c>
      <c r="J440" s="8" t="str">
        <f>HYPERLINK("https://drive.google.com/file/d/12n1rBgCEW6StruncqRVzku9iDC1ftDKh/view?usp=drivesdk","MEILINDA SUSANTI SERTIFIKAT BerAKHLAK")</f>
        <v>MEILINDA SUSANTI SERTIFIKAT BerAKHLAK</v>
      </c>
      <c r="K440" s="5" t="s">
        <v>3900</v>
      </c>
      <c r="L440" s="5" t="s">
        <v>4351</v>
      </c>
    </row>
    <row r="441">
      <c r="A441" s="4">
        <v>45534.32005142361</v>
      </c>
      <c r="B441" s="5" t="s">
        <v>19</v>
      </c>
      <c r="C441" s="5" t="s">
        <v>292</v>
      </c>
      <c r="E441" s="5" t="s">
        <v>4356</v>
      </c>
      <c r="F441" s="5" t="s">
        <v>524</v>
      </c>
      <c r="G441" s="5" t="s">
        <v>4357</v>
      </c>
      <c r="H441" s="6" t="s">
        <v>4358</v>
      </c>
      <c r="I441" s="7" t="s">
        <v>4359</v>
      </c>
      <c r="J441" s="8" t="str">
        <f>HYPERLINK("https://drive.google.com/file/d/14ADirn9i_bg27_WCse-E3SefOaoaKg10/view?usp=drivesdk","YULIA HARYANI, S.IP SERTIFIKAT BerAKHLAK")</f>
        <v>YULIA HARYANI, S.IP SERTIFIKAT BerAKHLAK</v>
      </c>
      <c r="K441" s="5" t="s">
        <v>3900</v>
      </c>
      <c r="L441" s="5" t="s">
        <v>4360</v>
      </c>
    </row>
    <row r="442">
      <c r="A442" s="4">
        <v>45534.320054780095</v>
      </c>
      <c r="B442" s="5" t="s">
        <v>34</v>
      </c>
      <c r="D442" s="5" t="s">
        <v>35</v>
      </c>
      <c r="E442" s="5" t="s">
        <v>4366</v>
      </c>
      <c r="F442" s="5" t="s">
        <v>37</v>
      </c>
      <c r="G442" s="5" t="s">
        <v>4367</v>
      </c>
      <c r="H442" s="6" t="s">
        <v>4368</v>
      </c>
      <c r="I442" s="7" t="s">
        <v>4369</v>
      </c>
      <c r="J442" s="8" t="str">
        <f>HYPERLINK("https://drive.google.com/file/d/1UxRMIouP1ew2zbQ8Y4QVO1jzmE2OMhST/view?usp=drivesdk","DIAN RESDIANA,AMTE SERTIFIKAT BerAKHLAK")</f>
        <v>DIAN RESDIANA,AMTE SERTIFIKAT BerAKHLAK</v>
      </c>
      <c r="K442" s="5" t="s">
        <v>3900</v>
      </c>
      <c r="L442" s="5" t="s">
        <v>4370</v>
      </c>
    </row>
    <row r="443">
      <c r="A443" s="4">
        <v>45534.32006885417</v>
      </c>
      <c r="B443" s="5" t="s">
        <v>34</v>
      </c>
      <c r="D443" s="5" t="s">
        <v>1768</v>
      </c>
      <c r="E443" s="5" t="s">
        <v>2147</v>
      </c>
      <c r="F443" s="5" t="s">
        <v>108</v>
      </c>
      <c r="G443" s="5" t="s">
        <v>4375</v>
      </c>
      <c r="H443" s="6" t="s">
        <v>4376</v>
      </c>
      <c r="I443" s="7" t="s">
        <v>4377</v>
      </c>
      <c r="J443" s="8" t="str">
        <f>HYPERLINK("https://drive.google.com/file/d/1EbEXuug61QOws52R748dTFwhLFrISjuF/view?usp=drivesdk","RAME HUTAGAOL SERTIFIKAT BerAKHLAK")</f>
        <v>RAME HUTAGAOL SERTIFIKAT BerAKHLAK</v>
      </c>
      <c r="K443" s="5" t="s">
        <v>3900</v>
      </c>
      <c r="L443" s="5" t="s">
        <v>4378</v>
      </c>
    </row>
    <row r="444">
      <c r="A444" s="4">
        <v>45534.320075185184</v>
      </c>
      <c r="B444" s="5" t="s">
        <v>19</v>
      </c>
      <c r="C444" s="5" t="s">
        <v>442</v>
      </c>
      <c r="E444" s="5" t="s">
        <v>4383</v>
      </c>
      <c r="F444" s="5" t="s">
        <v>22</v>
      </c>
      <c r="G444" s="5" t="s">
        <v>4384</v>
      </c>
      <c r="H444" s="6" t="s">
        <v>4385</v>
      </c>
      <c r="I444" s="7" t="s">
        <v>4386</v>
      </c>
      <c r="J444" s="8" t="str">
        <f>HYPERLINK("https://drive.google.com/file/d/1Tngt2Y8KmvgXhWu8Ee67VX5HcQl4Za_o/view?usp=drivesdk","FILIA INDRI DADARI, S.Si SERTIFIKAT BerAKHLAK")</f>
        <v>FILIA INDRI DADARI, S.Si SERTIFIKAT BerAKHLAK</v>
      </c>
      <c r="K444" s="5" t="s">
        <v>3900</v>
      </c>
      <c r="L444" s="5" t="s">
        <v>4387</v>
      </c>
    </row>
    <row r="445">
      <c r="A445" s="4">
        <v>45534.32012068287</v>
      </c>
      <c r="B445" s="5" t="s">
        <v>34</v>
      </c>
      <c r="D445" s="5" t="s">
        <v>35</v>
      </c>
      <c r="E445" s="5" t="s">
        <v>4393</v>
      </c>
      <c r="F445" s="5" t="s">
        <v>37</v>
      </c>
      <c r="G445" s="5" t="s">
        <v>4394</v>
      </c>
      <c r="H445" s="6" t="s">
        <v>4395</v>
      </c>
      <c r="I445" s="7" t="s">
        <v>4396</v>
      </c>
      <c r="J445" s="8" t="str">
        <f>HYPERLINK("https://drive.google.com/file/d/1s59ox_nFnYummaWqrpK2VZHkTwvg9FFU/view?usp=drivesdk","LILIS KONARIAH  SERTIFIKAT BerAKHLAK")</f>
        <v>LILIS KONARIAH  SERTIFIKAT BerAKHLAK</v>
      </c>
      <c r="K445" s="5" t="s">
        <v>3900</v>
      </c>
      <c r="L445" s="5" t="s">
        <v>4397</v>
      </c>
    </row>
    <row r="446">
      <c r="A446" s="4">
        <v>45534.32015796297</v>
      </c>
      <c r="B446" s="5" t="s">
        <v>34</v>
      </c>
      <c r="D446" s="5" t="s">
        <v>1206</v>
      </c>
      <c r="E446" s="5" t="s">
        <v>4402</v>
      </c>
      <c r="F446" s="5" t="s">
        <v>212</v>
      </c>
      <c r="G446" s="5" t="s">
        <v>4403</v>
      </c>
      <c r="H446" s="6" t="s">
        <v>4404</v>
      </c>
      <c r="I446" s="7" t="s">
        <v>4405</v>
      </c>
      <c r="J446" s="8" t="str">
        <f>HYPERLINK("https://drive.google.com/file/d/1W3whfkZulYOlONQ9bNpdcLzf6--npYYf/view?usp=drivesdk","PURWANTI OKTAVINA SERTIFIKAT BerAKHLAK")</f>
        <v>PURWANTI OKTAVINA SERTIFIKAT BerAKHLAK</v>
      </c>
      <c r="K446" s="5" t="s">
        <v>3900</v>
      </c>
      <c r="L446" s="5" t="s">
        <v>4406</v>
      </c>
    </row>
    <row r="447">
      <c r="A447" s="4">
        <v>45534.32018328704</v>
      </c>
      <c r="B447" s="5" t="s">
        <v>19</v>
      </c>
      <c r="C447" s="5" t="s">
        <v>292</v>
      </c>
      <c r="E447" s="5" t="s">
        <v>4411</v>
      </c>
      <c r="F447" s="5" t="s">
        <v>524</v>
      </c>
      <c r="G447" s="5" t="s">
        <v>4412</v>
      </c>
      <c r="H447" s="6" t="s">
        <v>4413</v>
      </c>
      <c r="I447" s="7" t="s">
        <v>4414</v>
      </c>
      <c r="J447" s="8" t="str">
        <f>HYPERLINK("https://drive.google.com/file/d/1Ix1BjJGn0li4r73f3FdGzcHaATHvuL-f/view?usp=drivesdk","ANTONIUS MULYANTO, S. M SERTIFIKAT BerAKHLAK")</f>
        <v>ANTONIUS MULYANTO, S. M SERTIFIKAT BerAKHLAK</v>
      </c>
      <c r="K447" s="5" t="s">
        <v>3900</v>
      </c>
      <c r="L447" s="5" t="s">
        <v>4415</v>
      </c>
    </row>
    <row r="448">
      <c r="A448" s="4">
        <v>45534.32020716435</v>
      </c>
      <c r="B448" s="5" t="s">
        <v>34</v>
      </c>
      <c r="D448" s="5" t="s">
        <v>280</v>
      </c>
      <c r="E448" s="5" t="s">
        <v>4421</v>
      </c>
      <c r="F448" s="5" t="s">
        <v>108</v>
      </c>
      <c r="G448" s="5" t="s">
        <v>4422</v>
      </c>
      <c r="H448" s="6" t="s">
        <v>4423</v>
      </c>
      <c r="I448" s="7" t="s">
        <v>4424</v>
      </c>
      <c r="J448" s="8" t="str">
        <f>HYPERLINK("https://drive.google.com/file/d/1pQBY9aKynvpySZzXg3uOQCoPOYMY4Oyk/view?usp=drivesdk","MATILLA PAKPAHAN SERTIFIKAT BerAKHLAK")</f>
        <v>MATILLA PAKPAHAN SERTIFIKAT BerAKHLAK</v>
      </c>
      <c r="K448" s="5" t="s">
        <v>3900</v>
      </c>
      <c r="L448" s="5" t="s">
        <v>4425</v>
      </c>
    </row>
    <row r="449">
      <c r="A449" s="4">
        <v>45534.320216990745</v>
      </c>
      <c r="B449" s="5" t="s">
        <v>34</v>
      </c>
      <c r="D449" s="5" t="s">
        <v>1206</v>
      </c>
      <c r="E449" s="5" t="s">
        <v>4430</v>
      </c>
      <c r="F449" s="5" t="s">
        <v>37</v>
      </c>
      <c r="G449" s="5" t="s">
        <v>4431</v>
      </c>
      <c r="H449" s="6" t="s">
        <v>4432</v>
      </c>
      <c r="I449" s="7" t="s">
        <v>4433</v>
      </c>
      <c r="J449" s="8" t="str">
        <f>HYPERLINK("https://drive.google.com/file/d/1FIV_5ws2Qpd0selMAW680uEFzRQ1OvR6/view?usp=drivesdk","REZANDI EKA PRATAMA,AMD SERTIFIKAT BerAKHLAK")</f>
        <v>REZANDI EKA PRATAMA,AMD SERTIFIKAT BerAKHLAK</v>
      </c>
      <c r="K449" s="5" t="s">
        <v>3900</v>
      </c>
      <c r="L449" s="5" t="s">
        <v>4434</v>
      </c>
    </row>
    <row r="450">
      <c r="A450" s="4">
        <v>45534.320221250004</v>
      </c>
      <c r="B450" s="5" t="s">
        <v>34</v>
      </c>
      <c r="D450" s="5" t="s">
        <v>1206</v>
      </c>
      <c r="E450" s="5" t="s">
        <v>4440</v>
      </c>
      <c r="F450" s="5" t="s">
        <v>212</v>
      </c>
      <c r="G450" s="5" t="s">
        <v>4441</v>
      </c>
      <c r="H450" s="6" t="s">
        <v>4442</v>
      </c>
      <c r="I450" s="7" t="s">
        <v>4443</v>
      </c>
      <c r="J450" s="8" t="str">
        <f>HYPERLINK("https://drive.google.com/file/d/1G-r2dSFc9zC9rWAdIBiT24nw2no1JgyY/view?usp=drivesdk","NINUK DEWI AMBARWATI, S.I.P. SERTIFIKAT BerAKHLAK")</f>
        <v>NINUK DEWI AMBARWATI, S.I.P. SERTIFIKAT BerAKHLAK</v>
      </c>
      <c r="K450" s="5" t="s">
        <v>3900</v>
      </c>
      <c r="L450" s="5" t="s">
        <v>4444</v>
      </c>
    </row>
    <row r="451">
      <c r="A451" s="4">
        <v>45534.320221041664</v>
      </c>
      <c r="B451" s="5" t="s">
        <v>34</v>
      </c>
      <c r="D451" s="5" t="s">
        <v>522</v>
      </c>
      <c r="E451" s="5" t="s">
        <v>4449</v>
      </c>
      <c r="F451" s="5" t="s">
        <v>37</v>
      </c>
      <c r="G451" s="5" t="s">
        <v>4450</v>
      </c>
      <c r="H451" s="6" t="s">
        <v>4451</v>
      </c>
      <c r="I451" s="7" t="s">
        <v>4452</v>
      </c>
      <c r="J451" s="8" t="str">
        <f>HYPERLINK("https://drive.google.com/file/d/1CwKYAu264Cakoct_-C1Y1O_36CGVhgLE/view?usp=drivesdk","USWATUL HASANAH SERTIFIKAT BerAKHLAK")</f>
        <v>USWATUL HASANAH SERTIFIKAT BerAKHLAK</v>
      </c>
      <c r="K451" s="5" t="s">
        <v>3900</v>
      </c>
      <c r="L451" s="5" t="s">
        <v>4453</v>
      </c>
    </row>
    <row r="452">
      <c r="A452" s="4">
        <v>45534.3202234375</v>
      </c>
      <c r="B452" s="5" t="s">
        <v>34</v>
      </c>
      <c r="D452" s="5" t="s">
        <v>280</v>
      </c>
      <c r="E452" s="5" t="s">
        <v>4458</v>
      </c>
      <c r="F452" s="5" t="s">
        <v>212</v>
      </c>
      <c r="G452" s="5" t="s">
        <v>4459</v>
      </c>
      <c r="H452" s="6" t="s">
        <v>4460</v>
      </c>
      <c r="I452" s="7" t="s">
        <v>4461</v>
      </c>
      <c r="J452" s="8" t="str">
        <f>HYPERLINK("https://drive.google.com/file/d/1-aTg1nKts1EENtKkD0XuIyzYbLk9bS7x/view?usp=drivesdk","ZULFADLI DAULAY SERTIFIKAT BerAKHLAK")</f>
        <v>ZULFADLI DAULAY SERTIFIKAT BerAKHLAK</v>
      </c>
      <c r="K452" s="5" t="s">
        <v>3900</v>
      </c>
      <c r="L452" s="5" t="s">
        <v>4462</v>
      </c>
    </row>
    <row r="453">
      <c r="A453" s="4">
        <v>45534.320249895834</v>
      </c>
      <c r="B453" s="5" t="s">
        <v>34</v>
      </c>
      <c r="D453" s="5" t="s">
        <v>280</v>
      </c>
      <c r="E453" s="5" t="s">
        <v>4467</v>
      </c>
      <c r="F453" s="5" t="s">
        <v>375</v>
      </c>
      <c r="G453" s="5" t="s">
        <v>4468</v>
      </c>
      <c r="H453" s="6" t="s">
        <v>4469</v>
      </c>
      <c r="I453" s="7" t="s">
        <v>4470</v>
      </c>
      <c r="J453" s="8" t="str">
        <f>HYPERLINK("https://drive.google.com/file/d/1F2Bs_9OhezFxLNR930A9S6oVAf8_jS__/view?usp=drivesdk","SEVNA SYOLEARI, S.E. SERTIFIKAT BerAKHLAK")</f>
        <v>SEVNA SYOLEARI, S.E. SERTIFIKAT BerAKHLAK</v>
      </c>
      <c r="K453" s="5" t="s">
        <v>3900</v>
      </c>
      <c r="L453" s="5" t="s">
        <v>4471</v>
      </c>
    </row>
    <row r="454">
      <c r="A454" s="4">
        <v>45534.3202591088</v>
      </c>
      <c r="B454" s="5" t="s">
        <v>34</v>
      </c>
      <c r="D454" s="5" t="s">
        <v>996</v>
      </c>
      <c r="E454" s="5" t="s">
        <v>4477</v>
      </c>
      <c r="F454" s="5" t="s">
        <v>212</v>
      </c>
      <c r="G454" s="5" t="s">
        <v>4478</v>
      </c>
      <c r="H454" s="6" t="s">
        <v>4479</v>
      </c>
      <c r="I454" s="7" t="s">
        <v>4480</v>
      </c>
      <c r="J454" s="8" t="str">
        <f>HYPERLINK("https://drive.google.com/file/d/1ba_biI2XtOKkraFdgloEIL4VmaRUqAMb/view?usp=drivesdk","DEWANTI DWI ANGGRAINI SERTIFIKAT BerAKHLAK")</f>
        <v>DEWANTI DWI ANGGRAINI SERTIFIKAT BerAKHLAK</v>
      </c>
      <c r="K454" s="5" t="s">
        <v>3900</v>
      </c>
      <c r="L454" s="5" t="s">
        <v>4481</v>
      </c>
    </row>
    <row r="455">
      <c r="A455" s="4">
        <v>45534.32027762731</v>
      </c>
      <c r="B455" s="5" t="s">
        <v>34</v>
      </c>
      <c r="D455" s="5" t="s">
        <v>1206</v>
      </c>
      <c r="E455" s="5" t="s">
        <v>4487</v>
      </c>
      <c r="F455" s="5" t="s">
        <v>37</v>
      </c>
      <c r="G455" s="5" t="s">
        <v>4488</v>
      </c>
      <c r="H455" s="6" t="s">
        <v>4489</v>
      </c>
      <c r="I455" s="7" t="s">
        <v>4490</v>
      </c>
      <c r="J455" s="8" t="str">
        <f>HYPERLINK("https://drive.google.com/file/d/1hNXxqZIhHjR1dnSSSAJl_Hrp8XiKXc6h/view?usp=drivesdk","PENGATUR AGUS SUWANTO SERTIFIKAT BerAKHLAK")</f>
        <v>PENGATUR AGUS SUWANTO SERTIFIKAT BerAKHLAK</v>
      </c>
      <c r="K455" s="5" t="s">
        <v>3900</v>
      </c>
      <c r="L455" s="5" t="s">
        <v>4491</v>
      </c>
    </row>
    <row r="456">
      <c r="A456" s="4">
        <v>45534.32029721065</v>
      </c>
      <c r="B456" s="5" t="s">
        <v>19</v>
      </c>
      <c r="C456" s="5" t="s">
        <v>292</v>
      </c>
      <c r="E456" s="5" t="s">
        <v>4496</v>
      </c>
      <c r="F456" s="5" t="s">
        <v>199</v>
      </c>
      <c r="G456" s="5" t="s">
        <v>4497</v>
      </c>
      <c r="H456" s="6" t="s">
        <v>4498</v>
      </c>
      <c r="I456" s="7" t="s">
        <v>4499</v>
      </c>
      <c r="J456" s="8" t="str">
        <f>HYPERLINK("https://drive.google.com/file/d/1RnlfhCVvKkEikqsb_duk9X1TQbKtBO0K/view?usp=drivesdk","ARY KUNCAHYANI AMD.KEP SERTIFIKAT BerAKHLAK")</f>
        <v>ARY KUNCAHYANI AMD.KEP SERTIFIKAT BerAKHLAK</v>
      </c>
      <c r="K456" s="5" t="s">
        <v>3900</v>
      </c>
      <c r="L456" s="5" t="s">
        <v>4500</v>
      </c>
    </row>
    <row r="457">
      <c r="A457" s="4">
        <v>45534.32031164352</v>
      </c>
      <c r="B457" s="5" t="s">
        <v>34</v>
      </c>
      <c r="D457" s="5" t="s">
        <v>1206</v>
      </c>
      <c r="E457" s="5" t="s">
        <v>4505</v>
      </c>
      <c r="F457" s="5" t="s">
        <v>212</v>
      </c>
      <c r="G457" s="5" t="s">
        <v>4506</v>
      </c>
      <c r="H457" s="6" t="s">
        <v>4507</v>
      </c>
      <c r="I457" s="7" t="s">
        <v>4508</v>
      </c>
      <c r="J457" s="8" t="str">
        <f>HYPERLINK("https://drive.google.com/file/d/1D7gnildjiLUmQOdyRDfgvnBA1uD_NfNs/view?usp=drivesdk","NELY WIDIASTUTI SERTIFIKAT BerAKHLAK")</f>
        <v>NELY WIDIASTUTI SERTIFIKAT BerAKHLAK</v>
      </c>
      <c r="K457" s="5" t="s">
        <v>3900</v>
      </c>
      <c r="L457" s="5" t="s">
        <v>4509</v>
      </c>
    </row>
    <row r="458">
      <c r="A458" s="4">
        <v>45534.32037372685</v>
      </c>
      <c r="B458" s="5" t="s">
        <v>34</v>
      </c>
      <c r="D458" s="5" t="s">
        <v>1206</v>
      </c>
      <c r="E458" s="5" t="s">
        <v>4514</v>
      </c>
      <c r="F458" s="5" t="s">
        <v>212</v>
      </c>
      <c r="G458" s="5" t="s">
        <v>4515</v>
      </c>
      <c r="H458" s="6" t="s">
        <v>4516</v>
      </c>
      <c r="I458" s="7" t="s">
        <v>4517</v>
      </c>
      <c r="J458" s="8" t="str">
        <f>HYPERLINK("https://drive.google.com/file/d/1cKkR3GeZTzh3TzraL-aobyEOQ2pXU9uf/view?usp=drivesdk","NANIN INDRIANA SERTIFIKAT BerAKHLAK")</f>
        <v>NANIN INDRIANA SERTIFIKAT BerAKHLAK</v>
      </c>
      <c r="K458" s="5" t="s">
        <v>3900</v>
      </c>
      <c r="L458" s="5" t="s">
        <v>4518</v>
      </c>
    </row>
    <row r="459">
      <c r="A459" s="4">
        <v>45534.32038320602</v>
      </c>
      <c r="B459" s="5" t="s">
        <v>34</v>
      </c>
      <c r="D459" s="5" t="s">
        <v>996</v>
      </c>
      <c r="E459" s="5" t="s">
        <v>4523</v>
      </c>
      <c r="F459" s="5" t="s">
        <v>212</v>
      </c>
      <c r="G459" s="5" t="s">
        <v>4524</v>
      </c>
      <c r="H459" s="6" t="s">
        <v>4525</v>
      </c>
      <c r="I459" s="7" t="s">
        <v>4526</v>
      </c>
      <c r="J459" s="8" t="str">
        <f>HYPERLINK("https://drive.google.com/file/d/120ss0j9KMizN9SXPD8-bo_7nyMWxNWLI/view?usp=drivesdk","NURUL KHOTIMAH, SAP. SERTIFIKAT BerAKHLAK")</f>
        <v>NURUL KHOTIMAH, SAP. SERTIFIKAT BerAKHLAK</v>
      </c>
      <c r="K459" s="5" t="s">
        <v>3900</v>
      </c>
      <c r="L459" s="5" t="s">
        <v>4527</v>
      </c>
    </row>
    <row r="460">
      <c r="A460" s="4">
        <v>45534.320398854165</v>
      </c>
      <c r="B460" s="5" t="s">
        <v>19</v>
      </c>
      <c r="C460" s="5" t="s">
        <v>442</v>
      </c>
      <c r="E460" s="5" t="s">
        <v>4533</v>
      </c>
      <c r="F460" s="5" t="s">
        <v>22</v>
      </c>
      <c r="G460" s="5" t="s">
        <v>4534</v>
      </c>
      <c r="H460" s="6" t="s">
        <v>4535</v>
      </c>
      <c r="I460" s="7" t="s">
        <v>4536</v>
      </c>
      <c r="J460" s="8" t="str">
        <f>HYPERLINK("https://drive.google.com/file/d/1cMxwW9xxzF7kFou5bpma2szlNw1X9hod/view?usp=drivesdk","VERA KARTIANA APRILIA, S.E., M.AP. SERTIFIKAT BerAKHLAK")</f>
        <v>VERA KARTIANA APRILIA, S.E., M.AP. SERTIFIKAT BerAKHLAK</v>
      </c>
      <c r="K460" s="5" t="s">
        <v>3900</v>
      </c>
      <c r="L460" s="5" t="s">
        <v>4537</v>
      </c>
    </row>
    <row r="461">
      <c r="A461" s="4">
        <v>45534.320420902775</v>
      </c>
      <c r="B461" s="5" t="s">
        <v>19</v>
      </c>
      <c r="C461" s="5" t="s">
        <v>292</v>
      </c>
      <c r="E461" s="5" t="s">
        <v>4543</v>
      </c>
      <c r="F461" s="5" t="s">
        <v>524</v>
      </c>
      <c r="G461" s="5" t="s">
        <v>4544</v>
      </c>
      <c r="H461" s="6" t="s">
        <v>4545</v>
      </c>
      <c r="I461" s="7" t="s">
        <v>4546</v>
      </c>
      <c r="J461" s="8" t="str">
        <f>HYPERLINK("https://drive.google.com/file/d/15k6kwD7Bwj1q4-nukg-kjn7C9jiCjFRZ/view?usp=drivesdk","IMAS MULYANI, S.M. SERTIFIKAT BerAKHLAK")</f>
        <v>IMAS MULYANI, S.M. SERTIFIKAT BerAKHLAK</v>
      </c>
      <c r="K461" s="5" t="s">
        <v>3900</v>
      </c>
      <c r="L461" s="5" t="s">
        <v>4547</v>
      </c>
    </row>
    <row r="462">
      <c r="A462" s="4">
        <v>45534.32042701389</v>
      </c>
      <c r="B462" s="5" t="s">
        <v>34</v>
      </c>
      <c r="D462" s="5" t="s">
        <v>267</v>
      </c>
      <c r="E462" s="5" t="s">
        <v>4552</v>
      </c>
      <c r="F462" s="5" t="s">
        <v>72</v>
      </c>
      <c r="G462" s="5" t="s">
        <v>4553</v>
      </c>
      <c r="H462" s="6" t="s">
        <v>4554</v>
      </c>
      <c r="I462" s="7" t="s">
        <v>4555</v>
      </c>
      <c r="J462" s="8" t="str">
        <f>HYPERLINK("https://drive.google.com/file/d/164baYnjyrwzXoYW9iWUGe0vq9dD85EW5/view?usp=drivesdk","ASIH PRIYATMI, S.SOS SERTIFIKAT BerAKHLAK")</f>
        <v>ASIH PRIYATMI, S.SOS SERTIFIKAT BerAKHLAK</v>
      </c>
      <c r="K462" s="5" t="s">
        <v>4218</v>
      </c>
      <c r="L462" s="5" t="s">
        <v>4556</v>
      </c>
    </row>
    <row r="463">
      <c r="A463" s="4">
        <v>45534.32043378473</v>
      </c>
      <c r="B463" s="5" t="s">
        <v>34</v>
      </c>
      <c r="D463" s="5" t="s">
        <v>1692</v>
      </c>
      <c r="E463" s="5" t="s">
        <v>4561</v>
      </c>
      <c r="F463" s="5" t="s">
        <v>375</v>
      </c>
      <c r="G463" s="5" t="s">
        <v>4562</v>
      </c>
      <c r="H463" s="6" t="s">
        <v>4563</v>
      </c>
      <c r="I463" s="7" t="s">
        <v>4564</v>
      </c>
      <c r="J463" s="8" t="str">
        <f>HYPERLINK("https://drive.google.com/file/d/1ehtId5DUmngpxwSdx5k0MSJJW1AbNVeT/view?usp=drivesdk","KANDIDUS TARAS NIKODEMUS, S.Kom. SERTIFIKAT BerAKHLAK")</f>
        <v>KANDIDUS TARAS NIKODEMUS, S.Kom. SERTIFIKAT BerAKHLAK</v>
      </c>
      <c r="K463" s="5" t="s">
        <v>4218</v>
      </c>
      <c r="L463" s="5" t="s">
        <v>4565</v>
      </c>
    </row>
    <row r="464">
      <c r="A464" s="4">
        <v>45534.32044041667</v>
      </c>
      <c r="B464" s="5" t="s">
        <v>34</v>
      </c>
      <c r="D464" s="5" t="s">
        <v>1206</v>
      </c>
      <c r="E464" s="5" t="s">
        <v>4570</v>
      </c>
      <c r="F464" s="5" t="s">
        <v>212</v>
      </c>
      <c r="G464" s="5" t="s">
        <v>4571</v>
      </c>
      <c r="H464" s="6" t="s">
        <v>4572</v>
      </c>
      <c r="I464" s="7" t="s">
        <v>4573</v>
      </c>
      <c r="J464" s="8" t="str">
        <f>HYPERLINK("https://drive.google.com/file/d/1d9KnkjYzRUHoAvEHrmZVlx6Yh252qnJQ/view?usp=drivesdk","RORY KARTIKASARI, S.E. SERTIFIKAT BerAKHLAK")</f>
        <v>RORY KARTIKASARI, S.E. SERTIFIKAT BerAKHLAK</v>
      </c>
      <c r="K464" s="5" t="s">
        <v>4218</v>
      </c>
      <c r="L464" s="5" t="s">
        <v>4574</v>
      </c>
    </row>
    <row r="465">
      <c r="A465" s="4">
        <v>45534.32044480324</v>
      </c>
      <c r="B465" s="5" t="s">
        <v>34</v>
      </c>
      <c r="D465" s="5" t="s">
        <v>35</v>
      </c>
      <c r="E465" s="5" t="s">
        <v>4580</v>
      </c>
      <c r="F465" s="5" t="s">
        <v>37</v>
      </c>
      <c r="G465" s="5" t="s">
        <v>4581</v>
      </c>
      <c r="H465" s="6" t="s">
        <v>4582</v>
      </c>
      <c r="I465" s="7" t="s">
        <v>4583</v>
      </c>
      <c r="J465" s="8" t="str">
        <f>HYPERLINK("https://drive.google.com/file/d/1xj4kOOc2V96bIvWKaoOKYl8LrPKLn8Vb/view?usp=drivesdk","ANDRIE ADI DARMAN SERTIFIKAT BerAKHLAK")</f>
        <v>ANDRIE ADI DARMAN SERTIFIKAT BerAKHLAK</v>
      </c>
      <c r="K465" s="5" t="s">
        <v>4218</v>
      </c>
      <c r="L465" s="5" t="s">
        <v>4584</v>
      </c>
    </row>
    <row r="466">
      <c r="A466" s="4">
        <v>45534.320445613426</v>
      </c>
      <c r="B466" s="5" t="s">
        <v>34</v>
      </c>
      <c r="D466" s="5" t="s">
        <v>280</v>
      </c>
      <c r="E466" s="5" t="s">
        <v>4589</v>
      </c>
      <c r="F466" s="5" t="s">
        <v>375</v>
      </c>
      <c r="G466" s="5" t="s">
        <v>4590</v>
      </c>
      <c r="H466" s="6" t="s">
        <v>4591</v>
      </c>
      <c r="I466" s="7" t="s">
        <v>4592</v>
      </c>
      <c r="J466" s="8" t="str">
        <f>HYPERLINK("https://drive.google.com/file/d/1dUMAJncer-uqF8hq9RS-rRMhXJ-PRZ0I/view?usp=drivesdk","BASKORO WIDIARSO SERTIFIKAT BerAKHLAK")</f>
        <v>BASKORO WIDIARSO SERTIFIKAT BerAKHLAK</v>
      </c>
      <c r="K466" s="5" t="s">
        <v>4218</v>
      </c>
      <c r="L466" s="5" t="s">
        <v>4593</v>
      </c>
    </row>
    <row r="467">
      <c r="A467" s="4">
        <v>45534.32052028935</v>
      </c>
      <c r="B467" s="5" t="s">
        <v>34</v>
      </c>
      <c r="D467" s="5" t="s">
        <v>280</v>
      </c>
      <c r="E467" s="5" t="s">
        <v>4599</v>
      </c>
      <c r="F467" s="5" t="s">
        <v>524</v>
      </c>
      <c r="G467" s="5" t="s">
        <v>4600</v>
      </c>
      <c r="H467" s="6" t="s">
        <v>4601</v>
      </c>
      <c r="I467" s="7" t="s">
        <v>4602</v>
      </c>
      <c r="J467" s="8" t="str">
        <f>HYPERLINK("https://drive.google.com/file/d/1AniQiZh9hPk4BZv12o2Hc_sU1P48V5C_/view?usp=drivesdk","NOVELLIAZAZA SERTIFIKAT BerAKHLAK")</f>
        <v>NOVELLIAZAZA SERTIFIKAT BerAKHLAK</v>
      </c>
      <c r="K467" s="5" t="s">
        <v>3900</v>
      </c>
      <c r="L467" s="5" t="s">
        <v>4603</v>
      </c>
    </row>
    <row r="468">
      <c r="A468" s="4">
        <v>45534.320539699074</v>
      </c>
      <c r="B468" s="5" t="s">
        <v>34</v>
      </c>
      <c r="D468" s="5" t="s">
        <v>280</v>
      </c>
      <c r="E468" s="5" t="s">
        <v>4608</v>
      </c>
      <c r="F468" s="5" t="s">
        <v>375</v>
      </c>
      <c r="G468" s="5" t="s">
        <v>4609</v>
      </c>
      <c r="H468" s="6" t="s">
        <v>4610</v>
      </c>
      <c r="I468" s="7" t="s">
        <v>4611</v>
      </c>
      <c r="J468" s="8" t="str">
        <f>HYPERLINK("https://drive.google.com/file/d/1Nz3IMunOGeD-5SRn4pFBjZU9voV41a0F/view?usp=drivesdk","ARDIANSYAH, S.KOM, M.M. SERTIFIKAT BerAKHLAK")</f>
        <v>ARDIANSYAH, S.KOM, M.M. SERTIFIKAT BerAKHLAK</v>
      </c>
      <c r="K468" s="5" t="s">
        <v>3900</v>
      </c>
      <c r="L468" s="5" t="s">
        <v>4612</v>
      </c>
    </row>
    <row r="469">
      <c r="A469" s="4">
        <v>45534.32055680556</v>
      </c>
      <c r="B469" s="5" t="s">
        <v>34</v>
      </c>
      <c r="D469" s="5" t="s">
        <v>1768</v>
      </c>
      <c r="E469" s="5" t="s">
        <v>4617</v>
      </c>
      <c r="F469" s="5" t="s">
        <v>120</v>
      </c>
      <c r="G469" s="5" t="s">
        <v>4618</v>
      </c>
      <c r="H469" s="6" t="s">
        <v>4619</v>
      </c>
      <c r="I469" s="7" t="s">
        <v>4620</v>
      </c>
      <c r="J469" s="8" t="str">
        <f>HYPERLINK("https://drive.google.com/file/d/1IZLUapSXb2TeMJ3-h7eg8Ht5dXzhhh4j/view?usp=drivesdk","DWI RAHAYU ARIEF SAPUTRI, S.T. SERTIFIKAT BerAKHLAK")</f>
        <v>DWI RAHAYU ARIEF SAPUTRI, S.T. SERTIFIKAT BerAKHLAK</v>
      </c>
      <c r="K469" s="5" t="s">
        <v>4218</v>
      </c>
      <c r="L469" s="5" t="s">
        <v>4621</v>
      </c>
    </row>
    <row r="470">
      <c r="A470" s="4">
        <v>45534.32056420139</v>
      </c>
      <c r="B470" s="5" t="s">
        <v>34</v>
      </c>
      <c r="D470" s="5" t="s">
        <v>1692</v>
      </c>
      <c r="E470" s="5" t="s">
        <v>4627</v>
      </c>
      <c r="F470" s="5" t="s">
        <v>72</v>
      </c>
      <c r="G470" s="5" t="s">
        <v>4628</v>
      </c>
      <c r="H470" s="6" t="s">
        <v>4629</v>
      </c>
      <c r="I470" s="7" t="s">
        <v>4630</v>
      </c>
      <c r="J470" s="8" t="str">
        <f>HYPERLINK("https://drive.google.com/file/d/1cQK2272Q7jF6H6Rn7fSkvmaoudYXiPgx/view?usp=drivesdk","VICTOR NOIYAAMK SERTIFIKAT BerAKHLAK")</f>
        <v>VICTOR NOIYAAMK SERTIFIKAT BerAKHLAK</v>
      </c>
      <c r="K470" s="5" t="s">
        <v>3900</v>
      </c>
      <c r="L470" s="5" t="s">
        <v>4631</v>
      </c>
    </row>
    <row r="471">
      <c r="A471" s="4">
        <v>45534.32056597222</v>
      </c>
      <c r="B471" s="5" t="s">
        <v>19</v>
      </c>
      <c r="C471" s="5" t="s">
        <v>292</v>
      </c>
      <c r="E471" s="5" t="s">
        <v>4636</v>
      </c>
      <c r="F471" s="5" t="s">
        <v>524</v>
      </c>
      <c r="G471" s="5" t="s">
        <v>4637</v>
      </c>
      <c r="H471" s="6" t="s">
        <v>4638</v>
      </c>
      <c r="I471" s="7" t="s">
        <v>4639</v>
      </c>
      <c r="J471" s="8" t="str">
        <f>HYPERLINK("https://drive.google.com/file/d/1O2HWrMNfBTEi4qHz2_QCAltoyKTI_BwB/view?usp=drivesdk","DINAN TASBIYAN, S. Farm SERTIFIKAT BerAKHLAK")</f>
        <v>DINAN TASBIYAN, S. Farm SERTIFIKAT BerAKHLAK</v>
      </c>
      <c r="K471" s="5" t="s">
        <v>3900</v>
      </c>
      <c r="L471" s="5" t="s">
        <v>4640</v>
      </c>
    </row>
    <row r="472">
      <c r="A472" s="4">
        <v>45534.32058721065</v>
      </c>
      <c r="B472" s="5" t="s">
        <v>19</v>
      </c>
      <c r="C472" s="5" t="s">
        <v>442</v>
      </c>
      <c r="E472" s="5" t="s">
        <v>4645</v>
      </c>
      <c r="F472" s="5" t="s">
        <v>375</v>
      </c>
      <c r="G472" s="5" t="s">
        <v>4646</v>
      </c>
      <c r="H472" s="6" t="s">
        <v>4647</v>
      </c>
      <c r="I472" s="7" t="s">
        <v>4648</v>
      </c>
      <c r="J472" s="8" t="str">
        <f>HYPERLINK("https://drive.google.com/file/d/1CbvgfV-ATSDmeZmkjx3KbZgGf0qWrGw7/view?usp=drivesdk","RIZKYWATI ASMARA, S.H. SERTIFIKAT BerAKHLAK")</f>
        <v>RIZKYWATI ASMARA, S.H. SERTIFIKAT BerAKHLAK</v>
      </c>
      <c r="K472" s="5" t="s">
        <v>4218</v>
      </c>
      <c r="L472" s="5" t="s">
        <v>4649</v>
      </c>
    </row>
    <row r="473">
      <c r="A473" s="4">
        <v>45534.320628217596</v>
      </c>
      <c r="B473" s="5" t="s">
        <v>19</v>
      </c>
      <c r="C473" s="5" t="s">
        <v>83</v>
      </c>
      <c r="E473" s="5" t="s">
        <v>4655</v>
      </c>
      <c r="F473" s="5" t="s">
        <v>375</v>
      </c>
      <c r="G473" s="5" t="s">
        <v>4656</v>
      </c>
      <c r="H473" s="6" t="s">
        <v>4657</v>
      </c>
      <c r="I473" s="7" t="s">
        <v>4658</v>
      </c>
      <c r="J473" s="8" t="str">
        <f>HYPERLINK("https://drive.google.com/file/d/1iZQ-nSgX-9cDMzOAV4vwCaG2zp8348yz/view?usp=drivesdk","HERI SUPRAPTO, S.E., M.A. SERTIFIKAT BerAKHLAK")</f>
        <v>HERI SUPRAPTO, S.E., M.A. SERTIFIKAT BerAKHLAK</v>
      </c>
      <c r="K473" s="5" t="s">
        <v>3900</v>
      </c>
      <c r="L473" s="5" t="s">
        <v>4659</v>
      </c>
    </row>
    <row r="474">
      <c r="A474" s="4">
        <v>45534.320646782406</v>
      </c>
      <c r="B474" s="5" t="s">
        <v>34</v>
      </c>
      <c r="D474" s="5" t="s">
        <v>35</v>
      </c>
      <c r="E474" s="5" t="s">
        <v>4664</v>
      </c>
      <c r="F474" s="5" t="s">
        <v>212</v>
      </c>
      <c r="G474" s="5" t="s">
        <v>4665</v>
      </c>
      <c r="H474" s="6" t="s">
        <v>4666</v>
      </c>
      <c r="I474" s="7" t="s">
        <v>4667</v>
      </c>
      <c r="J474" s="8" t="str">
        <f>HYPERLINK("https://drive.google.com/file/d/1aVnGc7MjjadXw0XvwjWmQvlo3ofWY42Z/view?usp=drivesdk","PENGATUR TK. I AGUS SUPENA SERTIFIKAT BerAKHLAK")</f>
        <v>PENGATUR TK. I AGUS SUPENA SERTIFIKAT BerAKHLAK</v>
      </c>
      <c r="K474" s="5" t="s">
        <v>4218</v>
      </c>
      <c r="L474" s="5" t="s">
        <v>4668</v>
      </c>
    </row>
    <row r="475">
      <c r="A475" s="4">
        <v>45534.32066054398</v>
      </c>
      <c r="B475" s="5" t="s">
        <v>34</v>
      </c>
      <c r="D475" s="5" t="s">
        <v>280</v>
      </c>
      <c r="E475" s="5" t="s">
        <v>4673</v>
      </c>
      <c r="F475" s="5" t="s">
        <v>108</v>
      </c>
      <c r="G475" s="5" t="s">
        <v>4674</v>
      </c>
      <c r="H475" s="6" t="s">
        <v>4675</v>
      </c>
      <c r="I475" s="7" t="s">
        <v>4676</v>
      </c>
      <c r="J475" s="8" t="str">
        <f>HYPERLINK("https://drive.google.com/file/d/1K1NG9B2-uKpW2VCUo6LqyxPjv3rawQdH/view?usp=drivesdk","DRG. SAFRIANI SITOMPUL SERTIFIKAT BerAKHLAK")</f>
        <v>DRG. SAFRIANI SITOMPUL SERTIFIKAT BerAKHLAK</v>
      </c>
      <c r="K475" s="5" t="s">
        <v>3900</v>
      </c>
      <c r="L475" s="5" t="s">
        <v>4677</v>
      </c>
    </row>
    <row r="476">
      <c r="A476" s="4">
        <v>45534.32066679398</v>
      </c>
      <c r="B476" s="5" t="s">
        <v>19</v>
      </c>
      <c r="C476" s="5" t="s">
        <v>20</v>
      </c>
      <c r="E476" s="5" t="s">
        <v>4682</v>
      </c>
      <c r="F476" s="5" t="s">
        <v>120</v>
      </c>
      <c r="G476" s="5" t="s">
        <v>4683</v>
      </c>
      <c r="H476" s="6" t="s">
        <v>4684</v>
      </c>
      <c r="I476" s="7" t="s">
        <v>4685</v>
      </c>
      <c r="J476" s="8" t="str">
        <f>HYPERLINK("https://drive.google.com/file/d/1-yI90IhR0dbHHppsdrT6gBWmK6lc3JPC/view?usp=drivesdk","MUHAMMAD SUKARDONO, S.E., M.M. SERTIFIKAT BerAKHLAK")</f>
        <v>MUHAMMAD SUKARDONO, S.E., M.M. SERTIFIKAT BerAKHLAK</v>
      </c>
      <c r="K476" s="5" t="s">
        <v>4218</v>
      </c>
      <c r="L476" s="5" t="s">
        <v>4686</v>
      </c>
    </row>
    <row r="477">
      <c r="A477" s="4">
        <v>45534.32067947916</v>
      </c>
      <c r="B477" s="5" t="s">
        <v>34</v>
      </c>
      <c r="D477" s="5" t="s">
        <v>1206</v>
      </c>
      <c r="E477" s="5" t="s">
        <v>4692</v>
      </c>
      <c r="F477" s="5" t="s">
        <v>37</v>
      </c>
      <c r="G477" s="5" t="s">
        <v>4693</v>
      </c>
      <c r="H477" s="6" t="s">
        <v>4694</v>
      </c>
      <c r="I477" s="7" t="s">
        <v>4695</v>
      </c>
      <c r="J477" s="8" t="str">
        <f>HYPERLINK("https://drive.google.com/file/d/1_QaQ-15x6NoXrpa_mAZ37PukwAQQDZ3-/view?usp=drivesdk","DWI SUHERMI KUSUMA NINGRUM,SM SERTIFIKAT BerAKHLAK")</f>
        <v>DWI SUHERMI KUSUMA NINGRUM,SM SERTIFIKAT BerAKHLAK</v>
      </c>
      <c r="K477" s="5" t="s">
        <v>4218</v>
      </c>
      <c r="L477" s="5" t="s">
        <v>4696</v>
      </c>
    </row>
    <row r="478">
      <c r="A478" s="4">
        <v>45534.32070928241</v>
      </c>
      <c r="B478" s="5" t="s">
        <v>19</v>
      </c>
      <c r="C478" s="5" t="s">
        <v>3301</v>
      </c>
      <c r="E478" s="5" t="s">
        <v>4702</v>
      </c>
      <c r="F478" s="5" t="s">
        <v>37</v>
      </c>
      <c r="G478" s="5" t="s">
        <v>4703</v>
      </c>
      <c r="H478" s="6" t="s">
        <v>4704</v>
      </c>
      <c r="I478" s="7" t="s">
        <v>4705</v>
      </c>
      <c r="J478" s="8" t="str">
        <f>HYPERLINK("https://drive.google.com/file/d/1lxFMQ6d9EjR7OQEArU-8NQEkypYOs_a4/view?usp=drivesdk","GILANG ABIMANYU, A.MD SERTIFIKAT BerAKHLAK")</f>
        <v>GILANG ABIMANYU, A.MD SERTIFIKAT BerAKHLAK</v>
      </c>
      <c r="K478" s="5" t="s">
        <v>3900</v>
      </c>
      <c r="L478" s="5" t="s">
        <v>4706</v>
      </c>
    </row>
    <row r="479">
      <c r="A479" s="4">
        <v>45534.320722731485</v>
      </c>
      <c r="B479" s="5" t="s">
        <v>34</v>
      </c>
      <c r="D479" s="5" t="s">
        <v>1206</v>
      </c>
      <c r="E479" s="5" t="s">
        <v>4711</v>
      </c>
      <c r="F479" s="5" t="s">
        <v>212</v>
      </c>
      <c r="G479" s="5" t="s">
        <v>4712</v>
      </c>
      <c r="H479" s="6" t="s">
        <v>4713</v>
      </c>
      <c r="I479" s="7" t="s">
        <v>4714</v>
      </c>
      <c r="J479" s="8" t="str">
        <f>HYPERLINK("https://drive.google.com/file/d/1xj9eiwAMtrGVMG_8LNUq1_2lAT8JOxMm/view?usp=drivesdk","PENGATUR TK I HARIANTO SERTIFIKAT BerAKHLAK")</f>
        <v>PENGATUR TK I HARIANTO SERTIFIKAT BerAKHLAK</v>
      </c>
      <c r="K479" s="5" t="s">
        <v>4218</v>
      </c>
      <c r="L479" s="5" t="s">
        <v>4715</v>
      </c>
    </row>
    <row r="480">
      <c r="A480" s="4">
        <v>45534.32072570602</v>
      </c>
      <c r="B480" s="5" t="s">
        <v>34</v>
      </c>
      <c r="D480" s="5" t="s">
        <v>280</v>
      </c>
      <c r="E480" s="5" t="s">
        <v>4720</v>
      </c>
      <c r="F480" s="5" t="s">
        <v>37</v>
      </c>
      <c r="G480" s="5" t="s">
        <v>4721</v>
      </c>
      <c r="H480" s="6" t="s">
        <v>4722</v>
      </c>
      <c r="I480" s="7" t="s">
        <v>4723</v>
      </c>
      <c r="J480" s="8" t="str">
        <f>HYPERLINK("https://drive.google.com/file/d/1AlB5nvnS_bX-08wbQRNPnWvGpTshHMsQ/view?usp=drivesdk","ELSA AFRIANI, A.Md.Kom SERTIFIKAT BerAKHLAK")</f>
        <v>ELSA AFRIANI, A.Md.Kom SERTIFIKAT BerAKHLAK</v>
      </c>
      <c r="K480" s="5" t="s">
        <v>4218</v>
      </c>
      <c r="L480" s="5" t="s">
        <v>4724</v>
      </c>
    </row>
    <row r="481">
      <c r="A481" s="4">
        <v>45534.320743599535</v>
      </c>
      <c r="B481" s="5" t="s">
        <v>34</v>
      </c>
      <c r="D481" s="5" t="s">
        <v>35</v>
      </c>
      <c r="E481" s="5" t="s">
        <v>4729</v>
      </c>
      <c r="F481" s="5" t="s">
        <v>37</v>
      </c>
      <c r="G481" s="5" t="s">
        <v>4730</v>
      </c>
      <c r="H481" s="6" t="s">
        <v>4731</v>
      </c>
      <c r="I481" s="7" t="s">
        <v>4732</v>
      </c>
      <c r="J481" s="8" t="str">
        <f>HYPERLINK("https://drive.google.com/file/d/1pYCWg2sfXVlFQZittWNncYCe2uMWOIkQ/view?usp=drivesdk","PENGATUR DEDI JUANDI SERTIFIKAT BerAKHLAK")</f>
        <v>PENGATUR DEDI JUANDI SERTIFIKAT BerAKHLAK</v>
      </c>
      <c r="K481" s="5" t="s">
        <v>4218</v>
      </c>
      <c r="L481" s="5" t="s">
        <v>4733</v>
      </c>
    </row>
    <row r="482">
      <c r="A482" s="4">
        <v>45534.32074459491</v>
      </c>
      <c r="B482" s="5" t="s">
        <v>34</v>
      </c>
      <c r="D482" s="5" t="s">
        <v>280</v>
      </c>
      <c r="E482" s="5" t="s">
        <v>4738</v>
      </c>
      <c r="F482" s="5" t="s">
        <v>524</v>
      </c>
      <c r="G482" s="5" t="s">
        <v>4739</v>
      </c>
      <c r="H482" s="6" t="s">
        <v>4740</v>
      </c>
      <c r="I482" s="7" t="s">
        <v>4741</v>
      </c>
      <c r="J482" s="8" t="str">
        <f>HYPERLINK("https://drive.google.com/file/d/1OA6Hm_clAA3Wu-RuJ0t9EKMhLCNjWA1G/view?usp=drivesdk","DESMI YETRI AMD FARM SE SERTIFIKAT BerAKHLAK")</f>
        <v>DESMI YETRI AMD FARM SE SERTIFIKAT BerAKHLAK</v>
      </c>
      <c r="K482" s="5" t="s">
        <v>4218</v>
      </c>
      <c r="L482" s="5" t="s">
        <v>4742</v>
      </c>
    </row>
    <row r="483">
      <c r="A483" s="4">
        <v>45534.320763993055</v>
      </c>
      <c r="B483" s="5" t="s">
        <v>19</v>
      </c>
      <c r="C483" s="5" t="s">
        <v>3471</v>
      </c>
      <c r="E483" s="5" t="s">
        <v>4748</v>
      </c>
      <c r="F483" s="5" t="s">
        <v>375</v>
      </c>
      <c r="G483" s="5" t="s">
        <v>4749</v>
      </c>
      <c r="H483" s="6" t="s">
        <v>4750</v>
      </c>
      <c r="I483" s="7" t="s">
        <v>4751</v>
      </c>
      <c r="J483" s="8" t="str">
        <f>HYPERLINK("https://drive.google.com/file/d/1OU69EcuP-VSgyBajE2xTWnI__xD3zZMt/view?usp=drivesdk","DENiS TRISNI LESTARI SERTIFIKAT BerAKHLAK")</f>
        <v>DENiS TRISNI LESTARI SERTIFIKAT BerAKHLAK</v>
      </c>
      <c r="K483" s="5" t="s">
        <v>4218</v>
      </c>
      <c r="L483" s="5" t="s">
        <v>4752</v>
      </c>
    </row>
    <row r="484">
      <c r="A484" s="4">
        <v>45534.32077222222</v>
      </c>
      <c r="B484" s="5" t="s">
        <v>34</v>
      </c>
      <c r="D484" s="5" t="s">
        <v>267</v>
      </c>
      <c r="E484" s="5" t="s">
        <v>4757</v>
      </c>
      <c r="F484" s="5" t="s">
        <v>375</v>
      </c>
      <c r="G484" s="5" t="s">
        <v>4758</v>
      </c>
      <c r="H484" s="6" t="s">
        <v>4759</v>
      </c>
      <c r="I484" s="7" t="s">
        <v>4760</v>
      </c>
      <c r="J484" s="8" t="str">
        <f>HYPERLINK("https://drive.google.com/file/d/1jchk1t1MUB2HoskGUeAPk_Rl2U8RDHim/view?usp=drivesdk","TRESNORAHAYU  SERTIFIKAT BerAKHLAK")</f>
        <v>TRESNORAHAYU  SERTIFIKAT BerAKHLAK</v>
      </c>
      <c r="K484" s="5" t="s">
        <v>4218</v>
      </c>
      <c r="L484" s="5" t="s">
        <v>4761</v>
      </c>
    </row>
    <row r="485">
      <c r="A485" s="4">
        <v>45534.3207809375</v>
      </c>
      <c r="B485" s="5" t="s">
        <v>34</v>
      </c>
      <c r="D485" s="5" t="s">
        <v>35</v>
      </c>
      <c r="E485" s="5" t="s">
        <v>4766</v>
      </c>
      <c r="F485" s="5" t="s">
        <v>37</v>
      </c>
      <c r="G485" s="5" t="s">
        <v>4767</v>
      </c>
      <c r="H485" s="6" t="s">
        <v>4768</v>
      </c>
      <c r="I485" s="7" t="s">
        <v>4769</v>
      </c>
      <c r="J485" s="8" t="str">
        <f>HYPERLINK("https://drive.google.com/file/d/1-28taPWKjEDcRhTzqMs7DByeC_HUYOp1/view?usp=drivesdk","EUIS RATNAMULYA SERTIFIKAT BerAKHLAK")</f>
        <v>EUIS RATNAMULYA SERTIFIKAT BerAKHLAK</v>
      </c>
      <c r="K485" s="5" t="s">
        <v>4218</v>
      </c>
      <c r="L485" s="5" t="s">
        <v>4770</v>
      </c>
    </row>
    <row r="486">
      <c r="A486" s="4">
        <v>45534.32080483796</v>
      </c>
      <c r="B486" s="5" t="s">
        <v>34</v>
      </c>
      <c r="D486" s="5" t="s">
        <v>4775</v>
      </c>
      <c r="E486" s="5" t="s">
        <v>4776</v>
      </c>
      <c r="F486" s="5" t="s">
        <v>37</v>
      </c>
      <c r="G486" s="5" t="s">
        <v>4777</v>
      </c>
      <c r="H486" s="6" t="s">
        <v>4778</v>
      </c>
      <c r="I486" s="7" t="s">
        <v>4779</v>
      </c>
      <c r="J486" s="8" t="str">
        <f>HYPERLINK("https://drive.google.com/file/d/1yXuNRqKIn1nK5tEaIc8OY9WaG2AwIt3t/view?usp=drivesdk","WIDODO DWI ATMOJO, A.Md. SERTIFIKAT BerAKHLAK")</f>
        <v>WIDODO DWI ATMOJO, A.Md. SERTIFIKAT BerAKHLAK</v>
      </c>
      <c r="K486" s="5" t="s">
        <v>4218</v>
      </c>
      <c r="L486" s="5" t="s">
        <v>4780</v>
      </c>
    </row>
    <row r="487">
      <c r="A487" s="4">
        <v>45534.320811631944</v>
      </c>
      <c r="B487" s="5" t="s">
        <v>19</v>
      </c>
      <c r="C487" s="5" t="s">
        <v>3301</v>
      </c>
      <c r="E487" s="5" t="s">
        <v>4785</v>
      </c>
      <c r="F487" s="5" t="s">
        <v>108</v>
      </c>
      <c r="G487" s="5" t="s">
        <v>4786</v>
      </c>
      <c r="H487" s="6" t="s">
        <v>4787</v>
      </c>
      <c r="I487" s="7" t="s">
        <v>4788</v>
      </c>
      <c r="J487" s="8" t="str">
        <f>HYPERLINK("https://drive.google.com/file/d/133Azy0q0nzQqx_Q2PzW38cRvhvDWdt1V/view?usp=drivesdk","apt. FITRIA CHAIRUNNISA, S. Farm. SERTIFIKAT BerAKHLAK")</f>
        <v>apt. FITRIA CHAIRUNNISA, S. Farm. SERTIFIKAT BerAKHLAK</v>
      </c>
      <c r="K487" s="5" t="s">
        <v>4218</v>
      </c>
      <c r="L487" s="5" t="s">
        <v>4789</v>
      </c>
    </row>
    <row r="488">
      <c r="A488" s="4">
        <v>45534.320837129635</v>
      </c>
      <c r="B488" s="5" t="s">
        <v>19</v>
      </c>
      <c r="C488" s="5" t="s">
        <v>3301</v>
      </c>
      <c r="E488" s="5" t="s">
        <v>4794</v>
      </c>
      <c r="F488" s="5" t="s">
        <v>108</v>
      </c>
      <c r="G488" s="5" t="s">
        <v>4795</v>
      </c>
      <c r="H488" s="6" t="s">
        <v>4796</v>
      </c>
      <c r="I488" s="7" t="s">
        <v>4797</v>
      </c>
      <c r="J488" s="8" t="str">
        <f>HYPERLINK("https://drive.google.com/file/d/1vLIOuVW6H2ayqdQ3WvFnWHgWnnuYSiWI/view?usp=drivesdk","dr.SONY NOVRIANDI SERTIFIKAT BerAKHLAK")</f>
        <v>dr.SONY NOVRIANDI SERTIFIKAT BerAKHLAK</v>
      </c>
      <c r="K488" s="5" t="s">
        <v>4218</v>
      </c>
      <c r="L488" s="5" t="s">
        <v>4798</v>
      </c>
    </row>
    <row r="489">
      <c r="A489" s="4">
        <v>45534.32083916667</v>
      </c>
      <c r="B489" s="5" t="s">
        <v>19</v>
      </c>
      <c r="C489" s="5" t="s">
        <v>3301</v>
      </c>
      <c r="E489" s="5" t="s">
        <v>4804</v>
      </c>
      <c r="F489" s="5" t="s">
        <v>375</v>
      </c>
      <c r="G489" s="5" t="s">
        <v>4805</v>
      </c>
      <c r="H489" s="6" t="s">
        <v>4806</v>
      </c>
      <c r="I489" s="7" t="s">
        <v>4807</v>
      </c>
      <c r="J489" s="8" t="str">
        <f>HYPERLINK("https://drive.google.com/file/d/1YuwSmeEj1EO6qF609liaB0KuK9HGblsL/view?usp=drivesdk","NURUL FEBIANI IBRAHIM, SKM., M.A SERTIFIKAT BerAKHLAK")</f>
        <v>NURUL FEBIANI IBRAHIM, SKM., M.A SERTIFIKAT BerAKHLAK</v>
      </c>
      <c r="K489" s="5" t="s">
        <v>4218</v>
      </c>
      <c r="L489" s="5" t="s">
        <v>4808</v>
      </c>
    </row>
    <row r="490">
      <c r="A490" s="4">
        <v>45534.32089070602</v>
      </c>
      <c r="B490" s="5" t="s">
        <v>34</v>
      </c>
      <c r="D490" s="5" t="s">
        <v>3432</v>
      </c>
      <c r="E490" s="5" t="s">
        <v>4813</v>
      </c>
      <c r="F490" s="5" t="s">
        <v>72</v>
      </c>
      <c r="G490" s="5" t="s">
        <v>4814</v>
      </c>
      <c r="H490" s="6" t="s">
        <v>4815</v>
      </c>
      <c r="I490" s="7" t="s">
        <v>4816</v>
      </c>
      <c r="J490" s="8" t="str">
        <f>HYPERLINK("https://drive.google.com/file/d/1YAaZ_GSvbiVWeFyFKV359UZd1DKbnNlL/view?usp=drivesdk","ADAWIAH UMASUGI, Skep  SERTIFIKAT BerAKHLAK")</f>
        <v>ADAWIAH UMASUGI, Skep  SERTIFIKAT BerAKHLAK</v>
      </c>
      <c r="K490" s="5" t="s">
        <v>4218</v>
      </c>
      <c r="L490" s="5" t="s">
        <v>4817</v>
      </c>
    </row>
    <row r="491">
      <c r="A491" s="4">
        <v>45534.32089525463</v>
      </c>
      <c r="B491" s="5" t="s">
        <v>34</v>
      </c>
      <c r="D491" s="5" t="s">
        <v>35</v>
      </c>
      <c r="E491" s="5" t="s">
        <v>4822</v>
      </c>
      <c r="F491" s="5" t="s">
        <v>72</v>
      </c>
      <c r="G491" s="5" t="s">
        <v>4823</v>
      </c>
      <c r="H491" s="6" t="s">
        <v>4824</v>
      </c>
      <c r="I491" s="7" t="s">
        <v>4825</v>
      </c>
      <c r="J491" s="8" t="str">
        <f>HYPERLINK("https://drive.google.com/file/d/1gAa9yvmr1asjHST3OtSYSDhpfAxpvJgx/view?usp=drivesdk","AGUSSSSSSSSSSS SERTIFIKAT BerAKHLAK")</f>
        <v>AGUSSSSSSSSSSS SERTIFIKAT BerAKHLAK</v>
      </c>
      <c r="K491" s="5" t="s">
        <v>4218</v>
      </c>
      <c r="L491" s="5" t="s">
        <v>4826</v>
      </c>
    </row>
    <row r="492">
      <c r="A492" s="4">
        <v>45534.320914386575</v>
      </c>
      <c r="B492" s="5" t="s">
        <v>34</v>
      </c>
      <c r="D492" s="5" t="s">
        <v>280</v>
      </c>
      <c r="E492" s="5" t="s">
        <v>4831</v>
      </c>
      <c r="F492" s="5" t="s">
        <v>212</v>
      </c>
      <c r="G492" s="5" t="s">
        <v>4832</v>
      </c>
      <c r="H492" s="6" t="s">
        <v>4833</v>
      </c>
      <c r="I492" s="7" t="s">
        <v>4834</v>
      </c>
      <c r="J492" s="8" t="str">
        <f>HYPERLINK("https://drive.google.com/file/d/1u5SVhr_-yBJt__Kril0u1mgikzDD1C0W/view?usp=drivesdk","ANJAR DWI NURWIYANTI SAMSAH, A.Md.Kep SERTIFIKAT BerAKHLAK")</f>
        <v>ANJAR DWI NURWIYANTI SAMSAH, A.Md.Kep SERTIFIKAT BerAKHLAK</v>
      </c>
      <c r="K492" s="5" t="s">
        <v>4218</v>
      </c>
      <c r="L492" s="5" t="s">
        <v>4835</v>
      </c>
    </row>
    <row r="493">
      <c r="A493" s="4">
        <v>45534.3209705787</v>
      </c>
      <c r="B493" s="5" t="s">
        <v>34</v>
      </c>
      <c r="D493" s="5" t="s">
        <v>35</v>
      </c>
      <c r="E493" s="5" t="s">
        <v>4840</v>
      </c>
      <c r="F493" s="5" t="s">
        <v>37</v>
      </c>
      <c r="G493" s="5" t="s">
        <v>4841</v>
      </c>
      <c r="H493" s="6" t="s">
        <v>4842</v>
      </c>
      <c r="I493" s="7" t="s">
        <v>4843</v>
      </c>
      <c r="J493" s="8" t="str">
        <f>HYPERLINK("https://drive.google.com/file/d/1fLaZMbX3NnOVHUzt6PyvGri4mo20rJiG/view?usp=drivesdk","IYAN SOPIAN S.IKOM SERTIFIKAT BerAKHLAK")</f>
        <v>IYAN SOPIAN S.IKOM SERTIFIKAT BerAKHLAK</v>
      </c>
      <c r="K493" s="5" t="s">
        <v>4218</v>
      </c>
      <c r="L493" s="5" t="s">
        <v>4844</v>
      </c>
    </row>
    <row r="494">
      <c r="A494" s="4">
        <v>45534.32101247685</v>
      </c>
      <c r="B494" s="5" t="s">
        <v>34</v>
      </c>
      <c r="D494" s="5" t="s">
        <v>3849</v>
      </c>
      <c r="E494" s="5" t="s">
        <v>4849</v>
      </c>
      <c r="F494" s="5" t="s">
        <v>212</v>
      </c>
      <c r="G494" s="5" t="s">
        <v>4850</v>
      </c>
      <c r="H494" s="6" t="s">
        <v>4851</v>
      </c>
      <c r="I494" s="7" t="s">
        <v>4852</v>
      </c>
      <c r="J494" s="8" t="str">
        <f>HYPERLINK("https://drive.google.com/file/d/1c1iEqpefbjNibn8bjDBk3VXfMJP3yXJj/view?usp=drivesdk","BAMBANG SUPRAYITNO SERTIFIKAT BerAKHLAK")</f>
        <v>BAMBANG SUPRAYITNO SERTIFIKAT BerAKHLAK</v>
      </c>
      <c r="K494" s="5" t="s">
        <v>4218</v>
      </c>
      <c r="L494" s="5" t="s">
        <v>4853</v>
      </c>
    </row>
    <row r="495">
      <c r="A495" s="4">
        <v>45534.32102726852</v>
      </c>
      <c r="B495" s="5" t="s">
        <v>34</v>
      </c>
      <c r="D495" s="5" t="s">
        <v>280</v>
      </c>
      <c r="E495" s="5" t="s">
        <v>4859</v>
      </c>
      <c r="F495" s="5" t="s">
        <v>72</v>
      </c>
      <c r="G495" s="5" t="s">
        <v>4860</v>
      </c>
      <c r="H495" s="6" t="s">
        <v>4861</v>
      </c>
      <c r="I495" s="7" t="s">
        <v>4862</v>
      </c>
      <c r="J495" s="8" t="str">
        <f>HYPERLINK("https://drive.google.com/file/d/1NzL4IZLMlVqIUuXYHv4hilt8hp3tMxkZ/view?usp=drivesdk","RATNA DEWI NUVITASARI, A.Md SERTIFIKAT BerAKHLAK")</f>
        <v>RATNA DEWI NUVITASARI, A.Md SERTIFIKAT BerAKHLAK</v>
      </c>
      <c r="K495" s="5" t="s">
        <v>4218</v>
      </c>
      <c r="L495" s="5" t="s">
        <v>4863</v>
      </c>
    </row>
    <row r="496">
      <c r="A496" s="4">
        <v>45534.32102737269</v>
      </c>
      <c r="B496" s="5" t="s">
        <v>19</v>
      </c>
      <c r="C496" s="5" t="s">
        <v>3471</v>
      </c>
      <c r="E496" s="5" t="s">
        <v>4868</v>
      </c>
      <c r="F496" s="5" t="s">
        <v>108</v>
      </c>
      <c r="G496" s="5" t="s">
        <v>4869</v>
      </c>
      <c r="H496" s="6" t="s">
        <v>4870</v>
      </c>
      <c r="I496" s="7" t="s">
        <v>4871</v>
      </c>
      <c r="J496" s="8" t="str">
        <f>HYPERLINK("https://drive.google.com/file/d/1mDnF9qRQ33T4NZrkmKa6nCGvqraNGcpI/view?usp=drivesdk","UNTORO ARI WIBOWO, S.E. SERTIFIKAT BerAKHLAK")</f>
        <v>UNTORO ARI WIBOWO, S.E. SERTIFIKAT BerAKHLAK</v>
      </c>
      <c r="K496" s="5" t="s">
        <v>4872</v>
      </c>
      <c r="L496" s="5" t="s">
        <v>4873</v>
      </c>
    </row>
    <row r="497">
      <c r="A497" s="4">
        <v>45534.32103432871</v>
      </c>
      <c r="B497" s="5" t="s">
        <v>34</v>
      </c>
      <c r="D497" s="5" t="s">
        <v>1206</v>
      </c>
      <c r="E497" s="5" t="s">
        <v>4878</v>
      </c>
      <c r="F497" s="5" t="s">
        <v>212</v>
      </c>
      <c r="G497" s="5" t="s">
        <v>4879</v>
      </c>
      <c r="H497" s="6" t="s">
        <v>4880</v>
      </c>
      <c r="I497" s="7" t="s">
        <v>4881</v>
      </c>
      <c r="J497" s="8" t="str">
        <f>HYPERLINK("https://drive.google.com/file/d/1u3VYt3kMQqqkeTh2C9rkAsHpX47zU5Ax/view?usp=drivesdk","PUJI ASTUTIK ERNAWATI SERTIFIKAT BerAKHLAK")</f>
        <v>PUJI ASTUTIK ERNAWATI SERTIFIKAT BerAKHLAK</v>
      </c>
      <c r="K497" s="5" t="s">
        <v>4872</v>
      </c>
      <c r="L497" s="5" t="s">
        <v>4882</v>
      </c>
    </row>
    <row r="498">
      <c r="A498" s="4">
        <v>45534.321046990735</v>
      </c>
      <c r="B498" s="5" t="s">
        <v>34</v>
      </c>
      <c r="D498" s="5" t="s">
        <v>1692</v>
      </c>
      <c r="E498" s="5" t="s">
        <v>4887</v>
      </c>
      <c r="F498" s="5" t="s">
        <v>524</v>
      </c>
      <c r="G498" s="5" t="s">
        <v>4888</v>
      </c>
      <c r="H498" s="6" t="s">
        <v>4889</v>
      </c>
      <c r="I498" s="7" t="s">
        <v>4890</v>
      </c>
      <c r="J498" s="8" t="str">
        <f>HYPERLINK("https://drive.google.com/file/d/14quRNwy6RW_sEvyMtqhAPoW0p1elBT3K/view?usp=drivesdk","DEISY LEIHITU, S.Kep.Ns SERTIFIKAT BerAKHLAK")</f>
        <v>DEISY LEIHITU, S.Kep.Ns SERTIFIKAT BerAKHLAK</v>
      </c>
      <c r="K498" s="5" t="s">
        <v>4218</v>
      </c>
      <c r="L498" s="5" t="s">
        <v>4891</v>
      </c>
    </row>
    <row r="499">
      <c r="A499" s="4">
        <v>45534.32105892361</v>
      </c>
      <c r="B499" s="5" t="s">
        <v>34</v>
      </c>
      <c r="D499" s="5" t="s">
        <v>996</v>
      </c>
      <c r="E499" s="5" t="s">
        <v>4896</v>
      </c>
      <c r="F499" s="5" t="s">
        <v>212</v>
      </c>
      <c r="G499" s="5" t="s">
        <v>4897</v>
      </c>
      <c r="H499" s="6" t="s">
        <v>4898</v>
      </c>
      <c r="I499" s="7" t="s">
        <v>4899</v>
      </c>
      <c r="J499" s="8" t="str">
        <f>HYPERLINK("https://drive.google.com/file/d/1z5_YxyFahagaONZDjK_6ojVoirLDgorc/view?usp=drivesdk","IDA SUSILOWATI SERTIFIKAT BerAKHLAK")</f>
        <v>IDA SUSILOWATI SERTIFIKAT BerAKHLAK</v>
      </c>
      <c r="K499" s="5" t="s">
        <v>4218</v>
      </c>
      <c r="L499" s="5" t="s">
        <v>4900</v>
      </c>
    </row>
    <row r="500">
      <c r="A500" s="4">
        <v>45534.3210671875</v>
      </c>
      <c r="B500" s="5" t="s">
        <v>34</v>
      </c>
      <c r="D500" s="5" t="s">
        <v>1206</v>
      </c>
      <c r="E500" s="5" t="s">
        <v>4905</v>
      </c>
      <c r="F500" s="5" t="s">
        <v>212</v>
      </c>
      <c r="G500" s="5" t="s">
        <v>4906</v>
      </c>
      <c r="H500" s="6" t="s">
        <v>4907</v>
      </c>
      <c r="I500" s="7" t="s">
        <v>4908</v>
      </c>
      <c r="J500" s="8" t="str">
        <f>HYPERLINK("https://drive.google.com/file/d/1-0ktq5ACFd6cODsEsDp8TxCErEMTWOAv/view?usp=drivesdk","PENGATUR TK I ANTON SUDARYONO SERTIFIKAT BerAKHLAK")</f>
        <v>PENGATUR TK I ANTON SUDARYONO SERTIFIKAT BerAKHLAK</v>
      </c>
      <c r="K500" s="5" t="s">
        <v>4218</v>
      </c>
      <c r="L500" s="5" t="s">
        <v>4909</v>
      </c>
    </row>
    <row r="501">
      <c r="A501" s="4">
        <v>45534.3211155787</v>
      </c>
      <c r="B501" s="5" t="s">
        <v>34</v>
      </c>
      <c r="D501" s="5" t="s">
        <v>1206</v>
      </c>
      <c r="E501" s="5" t="s">
        <v>4915</v>
      </c>
      <c r="F501" s="5" t="s">
        <v>72</v>
      </c>
      <c r="G501" s="5" t="s">
        <v>4916</v>
      </c>
      <c r="H501" s="6" t="s">
        <v>4917</v>
      </c>
      <c r="I501" s="7" t="s">
        <v>4918</v>
      </c>
      <c r="J501" s="8" t="str">
        <f>HYPERLINK("https://drive.google.com/file/d/1IfN-7sNxiSN-qqjKj2cX4jD8teNdtZvY/view?usp=drivesdk","EKO ARIYANTO WIBOWO SERTIFIKAT BerAKHLAK")</f>
        <v>EKO ARIYANTO WIBOWO SERTIFIKAT BerAKHLAK</v>
      </c>
      <c r="K501" s="5" t="s">
        <v>4872</v>
      </c>
      <c r="L501" s="5" t="s">
        <v>4919</v>
      </c>
    </row>
    <row r="502">
      <c r="A502" s="4">
        <v>45534.32112234954</v>
      </c>
      <c r="B502" s="5" t="s">
        <v>34</v>
      </c>
      <c r="D502" s="5" t="s">
        <v>35</v>
      </c>
      <c r="E502" s="5" t="s">
        <v>4924</v>
      </c>
      <c r="F502" s="5" t="s">
        <v>212</v>
      </c>
      <c r="G502" s="5" t="s">
        <v>4925</v>
      </c>
      <c r="H502" s="6" t="s">
        <v>4926</v>
      </c>
      <c r="I502" s="7" t="s">
        <v>4927</v>
      </c>
      <c r="J502" s="8" t="str">
        <f>HYPERLINK("https://drive.google.com/file/d/19FQrqTFZWxTsO00dxWMHSsnW6y_AwpRo/view?usp=drivesdk","SITI NURJANAH, S.T. SERTIFIKAT BerAKHLAK")</f>
        <v>SITI NURJANAH, S.T. SERTIFIKAT BerAKHLAK</v>
      </c>
      <c r="K502" s="5" t="s">
        <v>4872</v>
      </c>
      <c r="L502" s="5" t="s">
        <v>4928</v>
      </c>
    </row>
    <row r="503">
      <c r="A503" s="4">
        <v>45534.321137928244</v>
      </c>
      <c r="B503" s="5" t="s">
        <v>19</v>
      </c>
      <c r="C503" s="5" t="s">
        <v>3301</v>
      </c>
      <c r="E503" s="5" t="s">
        <v>4933</v>
      </c>
      <c r="F503" s="5" t="s">
        <v>108</v>
      </c>
      <c r="G503" s="5" t="s">
        <v>4934</v>
      </c>
      <c r="H503" s="6" t="s">
        <v>4935</v>
      </c>
      <c r="I503" s="7" t="s">
        <v>4936</v>
      </c>
      <c r="J503" s="8" t="str">
        <f>HYPERLINK("https://drive.google.com/file/d/10K8PUcsyiO2PRnBZhGxtb_1JIJID5_VI/view?usp=drivesdk","RULLY IRMA DAMAYANTI, S. Kep SERTIFIKAT BerAKHLAK")</f>
        <v>RULLY IRMA DAMAYANTI, S. Kep SERTIFIKAT BerAKHLAK</v>
      </c>
      <c r="K503" s="5" t="s">
        <v>4872</v>
      </c>
      <c r="L503" s="5" t="s">
        <v>4937</v>
      </c>
    </row>
    <row r="504">
      <c r="A504" s="4">
        <v>45534.32114697917</v>
      </c>
      <c r="B504" s="5" t="s">
        <v>34</v>
      </c>
      <c r="D504" s="5" t="s">
        <v>580</v>
      </c>
      <c r="E504" s="5" t="s">
        <v>4942</v>
      </c>
      <c r="F504" s="5" t="s">
        <v>375</v>
      </c>
      <c r="G504" s="5" t="s">
        <v>4943</v>
      </c>
      <c r="H504" s="6" t="s">
        <v>4944</v>
      </c>
      <c r="I504" s="7" t="s">
        <v>4945</v>
      </c>
      <c r="J504" s="8" t="str">
        <f>HYPERLINK("https://drive.google.com/file/d/1NkUzlHRmYzdcTvgZ8G1VecrD_zFigTYd/view?usp=drivesdk","NI PUTU WIDHI ASTUTI SE SERTIFIKAT BerAKHLAK")</f>
        <v>NI PUTU WIDHI ASTUTI SE SERTIFIKAT BerAKHLAK</v>
      </c>
      <c r="K504" s="5" t="s">
        <v>4872</v>
      </c>
      <c r="L504" s="5" t="s">
        <v>4946</v>
      </c>
    </row>
    <row r="505">
      <c r="A505" s="4">
        <v>45534.32118049769</v>
      </c>
      <c r="B505" s="5" t="s">
        <v>34</v>
      </c>
      <c r="D505" s="5" t="s">
        <v>280</v>
      </c>
      <c r="E505" s="5" t="s">
        <v>4951</v>
      </c>
      <c r="F505" s="5" t="s">
        <v>108</v>
      </c>
      <c r="G505" s="5" t="s">
        <v>4952</v>
      </c>
      <c r="H505" s="6" t="s">
        <v>4953</v>
      </c>
      <c r="I505" s="7" t="s">
        <v>4954</v>
      </c>
      <c r="J505" s="8" t="str">
        <f>HYPERLINK("https://drive.google.com/file/d/1489yrY2VhsOHXIZs83sqCui2iAFwsqOF/view?usp=drivesdk","SRI SULASTRI, SH SERTIFIKAT BerAKHLAK")</f>
        <v>SRI SULASTRI, SH SERTIFIKAT BerAKHLAK</v>
      </c>
      <c r="K505" s="5" t="s">
        <v>4218</v>
      </c>
      <c r="L505" s="5" t="s">
        <v>4955</v>
      </c>
    </row>
    <row r="506">
      <c r="A506" s="4">
        <v>45534.32118560185</v>
      </c>
      <c r="B506" s="5" t="s">
        <v>34</v>
      </c>
      <c r="D506" s="5" t="s">
        <v>35</v>
      </c>
      <c r="E506" s="5" t="s">
        <v>4961</v>
      </c>
      <c r="F506" s="5" t="s">
        <v>120</v>
      </c>
      <c r="G506" s="5" t="s">
        <v>4962</v>
      </c>
      <c r="H506" s="6" t="s">
        <v>4963</v>
      </c>
      <c r="I506" s="7" t="s">
        <v>4964</v>
      </c>
      <c r="J506" s="8" t="str">
        <f>HYPERLINK("https://drive.google.com/file/d/1gvjz-h5WBR4lyDhZeI-yQxGQHO_VnDvI/view?usp=drivesdk","apt. FEBI ISHFAHANI SERTIFIKAT BerAKHLAK")</f>
        <v>apt. FEBI ISHFAHANI SERTIFIKAT BerAKHLAK</v>
      </c>
      <c r="K506" s="5" t="s">
        <v>4218</v>
      </c>
      <c r="L506" s="5" t="s">
        <v>4965</v>
      </c>
    </row>
    <row r="507">
      <c r="A507" s="4">
        <v>45534.32119152778</v>
      </c>
      <c r="B507" s="5" t="s">
        <v>34</v>
      </c>
      <c r="D507" s="5" t="s">
        <v>35</v>
      </c>
      <c r="E507" s="5" t="s">
        <v>4970</v>
      </c>
      <c r="F507" s="5" t="s">
        <v>328</v>
      </c>
      <c r="G507" s="5" t="s">
        <v>4971</v>
      </c>
      <c r="H507" s="6" t="s">
        <v>4972</v>
      </c>
      <c r="I507" s="7" t="s">
        <v>4973</v>
      </c>
      <c r="J507" s="8" t="str">
        <f>HYPERLINK("https://drive.google.com/file/d/18EshwL26-6BxHO18nCp5Z-QS4k4L6V4i/view?usp=drivesdk","NANDAR SUTIAWAN SERTIFIKAT BerAKHLAK")</f>
        <v>NANDAR SUTIAWAN SERTIFIKAT BerAKHLAK</v>
      </c>
      <c r="K507" s="5" t="s">
        <v>4872</v>
      </c>
      <c r="L507" s="5" t="s">
        <v>4974</v>
      </c>
    </row>
    <row r="508">
      <c r="A508" s="4">
        <v>45534.32119952547</v>
      </c>
      <c r="B508" s="5" t="s">
        <v>34</v>
      </c>
      <c r="D508" s="5" t="s">
        <v>604</v>
      </c>
      <c r="E508" s="5" t="s">
        <v>4979</v>
      </c>
      <c r="F508" s="5" t="s">
        <v>108</v>
      </c>
      <c r="G508" s="5" t="s">
        <v>4980</v>
      </c>
      <c r="H508" s="6" t="s">
        <v>4981</v>
      </c>
      <c r="I508" s="7" t="s">
        <v>4982</v>
      </c>
      <c r="J508" s="8" t="str">
        <f>HYPERLINK("https://drive.google.com/file/d/1muHRKI6a7GxpOQBpU5TJmt35Ozd_UPA1/view?usp=drivesdk","FITRIA NURUL BUDIATI SERTIFIKAT BerAKHLAK")</f>
        <v>FITRIA NURUL BUDIATI SERTIFIKAT BerAKHLAK</v>
      </c>
      <c r="K508" s="5" t="s">
        <v>4872</v>
      </c>
      <c r="L508" s="5" t="s">
        <v>4983</v>
      </c>
    </row>
    <row r="509">
      <c r="A509" s="4">
        <v>45534.32120435185</v>
      </c>
      <c r="B509" s="5" t="s">
        <v>34</v>
      </c>
      <c r="D509" s="5" t="s">
        <v>1206</v>
      </c>
      <c r="E509" s="5" t="s">
        <v>4988</v>
      </c>
      <c r="F509" s="5" t="s">
        <v>212</v>
      </c>
      <c r="G509" s="5" t="s">
        <v>4989</v>
      </c>
      <c r="H509" s="6" t="s">
        <v>4990</v>
      </c>
      <c r="I509" s="7" t="s">
        <v>4991</v>
      </c>
      <c r="J509" s="8" t="str">
        <f>HYPERLINK("https://drive.google.com/file/d/1q99aWK8wHESOiqD_cnwk8z6LlUSoECpI/view?usp=drivesdk","EMY MARTIYANA  SERTIFIKAT BerAKHLAK")</f>
        <v>EMY MARTIYANA  SERTIFIKAT BerAKHLAK</v>
      </c>
      <c r="K509" s="5" t="s">
        <v>4872</v>
      </c>
      <c r="L509" s="5" t="s">
        <v>4992</v>
      </c>
    </row>
    <row r="510">
      <c r="A510" s="4">
        <v>45534.321231469905</v>
      </c>
      <c r="B510" s="5" t="s">
        <v>34</v>
      </c>
      <c r="D510" s="5" t="s">
        <v>280</v>
      </c>
      <c r="E510" s="5" t="s">
        <v>4998</v>
      </c>
      <c r="F510" s="5" t="s">
        <v>375</v>
      </c>
      <c r="G510" s="5" t="s">
        <v>4999</v>
      </c>
      <c r="H510" s="6" t="s">
        <v>5000</v>
      </c>
      <c r="I510" s="7" t="s">
        <v>5001</v>
      </c>
      <c r="J510" s="8" t="str">
        <f>HYPERLINK("https://drive.google.com/file/d/140SgabY-MzkPyyP8NXLulqSFbVJnp1gi/view?usp=drivesdk","ARTINIS NUR HAZIZAH, S.T., M.Si. SERTIFIKAT BerAKHLAK")</f>
        <v>ARTINIS NUR HAZIZAH, S.T., M.Si. SERTIFIKAT BerAKHLAK</v>
      </c>
      <c r="K510" s="5" t="s">
        <v>4218</v>
      </c>
      <c r="L510" s="5" t="s">
        <v>5002</v>
      </c>
    </row>
    <row r="511">
      <c r="A511" s="4">
        <v>45534.32128650463</v>
      </c>
      <c r="B511" s="5" t="s">
        <v>34</v>
      </c>
      <c r="D511" s="5" t="s">
        <v>3849</v>
      </c>
      <c r="E511" s="5" t="s">
        <v>5007</v>
      </c>
      <c r="F511" s="5" t="s">
        <v>37</v>
      </c>
      <c r="G511" s="5" t="s">
        <v>5008</v>
      </c>
      <c r="H511" s="6" t="s">
        <v>5009</v>
      </c>
      <c r="I511" s="7" t="s">
        <v>5010</v>
      </c>
      <c r="J511" s="8" t="str">
        <f>HYPERLINK("https://drive.google.com/file/d/1Np4ds6N9IEZE-T0qJGw94WI9a0neJMDP/view?usp=drivesdk","KRISNA SETIAWAN, A.Md.Kom. SERTIFIKAT BerAKHLAK")</f>
        <v>KRISNA SETIAWAN, A.Md.Kom. SERTIFIKAT BerAKHLAK</v>
      </c>
      <c r="K511" s="5" t="s">
        <v>4218</v>
      </c>
      <c r="L511" s="5" t="s">
        <v>5011</v>
      </c>
    </row>
    <row r="512">
      <c r="A512" s="4">
        <v>45534.32129251157</v>
      </c>
      <c r="B512" s="5" t="s">
        <v>34</v>
      </c>
      <c r="D512" s="5" t="s">
        <v>3849</v>
      </c>
      <c r="E512" s="5" t="s">
        <v>5016</v>
      </c>
      <c r="F512" s="5" t="s">
        <v>72</v>
      </c>
      <c r="G512" s="5" t="s">
        <v>5017</v>
      </c>
      <c r="H512" s="6" t="s">
        <v>5018</v>
      </c>
      <c r="I512" s="7" t="s">
        <v>5019</v>
      </c>
      <c r="J512" s="8" t="str">
        <f>HYPERLINK("https://drive.google.com/file/d/1cmbjn3i7Z86KnFTXJLet13KgP9MLdTA2/view?usp=drivesdk","MELLA RAITIES, S.E. SERTIFIKAT BerAKHLAK")</f>
        <v>MELLA RAITIES, S.E. SERTIFIKAT BerAKHLAK</v>
      </c>
      <c r="K512" s="5" t="s">
        <v>4872</v>
      </c>
      <c r="L512" s="5" t="s">
        <v>5020</v>
      </c>
    </row>
    <row r="513">
      <c r="A513" s="4">
        <v>45534.32131945602</v>
      </c>
      <c r="B513" s="5" t="s">
        <v>34</v>
      </c>
      <c r="D513" s="5" t="s">
        <v>1206</v>
      </c>
      <c r="E513" s="5" t="s">
        <v>5026</v>
      </c>
      <c r="F513" s="5" t="s">
        <v>37</v>
      </c>
      <c r="G513" s="5" t="s">
        <v>5027</v>
      </c>
      <c r="H513" s="6" t="s">
        <v>5028</v>
      </c>
      <c r="K513" s="5" t="s">
        <v>5029</v>
      </c>
    </row>
    <row r="514">
      <c r="A514" s="4">
        <v>45534.3213290162</v>
      </c>
      <c r="B514" s="5" t="s">
        <v>34</v>
      </c>
      <c r="D514" s="5" t="s">
        <v>3849</v>
      </c>
      <c r="E514" s="5" t="s">
        <v>5034</v>
      </c>
      <c r="F514" s="5" t="s">
        <v>375</v>
      </c>
      <c r="G514" s="5" t="s">
        <v>5035</v>
      </c>
      <c r="H514" s="6" t="s">
        <v>5036</v>
      </c>
      <c r="K514" s="5" t="s">
        <v>5029</v>
      </c>
    </row>
    <row r="515">
      <c r="A515" s="4">
        <v>45534.321335879635</v>
      </c>
      <c r="B515" s="5" t="s">
        <v>34</v>
      </c>
      <c r="D515" s="5" t="s">
        <v>280</v>
      </c>
      <c r="E515" s="5" t="s">
        <v>5041</v>
      </c>
      <c r="F515" s="5" t="s">
        <v>37</v>
      </c>
      <c r="G515" s="5" t="s">
        <v>5042</v>
      </c>
      <c r="H515" s="6" t="s">
        <v>5043</v>
      </c>
      <c r="K515" s="5" t="s">
        <v>5029</v>
      </c>
    </row>
    <row r="516">
      <c r="A516" s="4">
        <v>45534.32140100695</v>
      </c>
      <c r="B516" s="5" t="s">
        <v>19</v>
      </c>
      <c r="C516" s="5" t="s">
        <v>3301</v>
      </c>
      <c r="E516" s="5" t="s">
        <v>5049</v>
      </c>
      <c r="F516" s="5" t="s">
        <v>108</v>
      </c>
      <c r="G516" s="5" t="s">
        <v>5050</v>
      </c>
      <c r="H516" s="6" t="s">
        <v>5051</v>
      </c>
      <c r="I516" s="7" t="s">
        <v>5052</v>
      </c>
      <c r="J516" s="8" t="str">
        <f>HYPERLINK("https://drive.google.com/file/d/1IqqSql7fmae4_SlixO4JDpKzUqaa7TcO/view?usp=drivesdk","SITI NURHAYATI, S.Si SERTIFIKAT BerAKHLAK")</f>
        <v>SITI NURHAYATI, S.Si SERTIFIKAT BerAKHLAK</v>
      </c>
      <c r="K516" s="5" t="s">
        <v>4872</v>
      </c>
      <c r="L516" s="5" t="s">
        <v>5053</v>
      </c>
    </row>
    <row r="517">
      <c r="A517" s="4">
        <v>45534.32141452546</v>
      </c>
      <c r="B517" s="5" t="s">
        <v>19</v>
      </c>
      <c r="C517" s="5" t="s">
        <v>5058</v>
      </c>
      <c r="E517" s="5" t="s">
        <v>5059</v>
      </c>
      <c r="F517" s="5" t="s">
        <v>108</v>
      </c>
      <c r="G517" s="5" t="s">
        <v>5060</v>
      </c>
      <c r="H517" s="6" t="s">
        <v>5061</v>
      </c>
      <c r="I517" s="7" t="s">
        <v>5062</v>
      </c>
      <c r="J517" s="8" t="str">
        <f>HYPERLINK("https://drive.google.com/file/d/1EFOVwJDISR4rJCE-krpzUmxaSVzM36-K/view?usp=drivesdk","AYU RATNA SARI, S.Ak SERTIFIKAT BerAKHLAK")</f>
        <v>AYU RATNA SARI, S.Ak SERTIFIKAT BerAKHLAK</v>
      </c>
      <c r="K517" s="5" t="s">
        <v>4872</v>
      </c>
      <c r="L517" s="5" t="s">
        <v>5063</v>
      </c>
    </row>
    <row r="518">
      <c r="A518" s="4">
        <v>45534.32142079861</v>
      </c>
      <c r="B518" s="5" t="s">
        <v>34</v>
      </c>
      <c r="D518" s="5" t="s">
        <v>975</v>
      </c>
      <c r="E518" s="5" t="s">
        <v>5068</v>
      </c>
      <c r="F518" s="5" t="s">
        <v>524</v>
      </c>
      <c r="G518" s="5" t="s">
        <v>5069</v>
      </c>
      <c r="H518" s="6" t="s">
        <v>5070</v>
      </c>
      <c r="I518" s="7" t="s">
        <v>5071</v>
      </c>
      <c r="J518" s="8" t="str">
        <f>HYPERLINK("https://drive.google.com/file/d/1QX2PGZLT0YIFvqu5eB9JlfvDDzV7CF9g/view?usp=drivesdk","INDAH OKTAVIA SARI,S.Ak SERTIFIKAT BerAKHLAK")</f>
        <v>INDAH OKTAVIA SARI,S.Ak SERTIFIKAT BerAKHLAK</v>
      </c>
      <c r="K518" s="5" t="s">
        <v>4872</v>
      </c>
      <c r="L518" s="5" t="s">
        <v>5072</v>
      </c>
    </row>
    <row r="519">
      <c r="A519" s="4">
        <v>45534.32145004629</v>
      </c>
      <c r="B519" s="5" t="s">
        <v>19</v>
      </c>
      <c r="C519" s="5" t="s">
        <v>292</v>
      </c>
      <c r="E519" s="5" t="s">
        <v>5078</v>
      </c>
      <c r="F519" s="5" t="s">
        <v>524</v>
      </c>
      <c r="G519" s="5" t="s">
        <v>5079</v>
      </c>
      <c r="H519" s="6" t="s">
        <v>5080</v>
      </c>
      <c r="I519" s="7" t="s">
        <v>5081</v>
      </c>
      <c r="J519" s="8" t="str">
        <f>HYPERLINK("https://drive.google.com/file/d/1lq3YK4UY-XvmOH4p_vskVLLsasLk3kV7/view?usp=drivesdk","SUPARDI ISMAWIJAYA SERTIFIKAT BerAKHLAK")</f>
        <v>SUPARDI ISMAWIJAYA SERTIFIKAT BerAKHLAK</v>
      </c>
      <c r="K519" s="5" t="s">
        <v>4872</v>
      </c>
      <c r="L519" s="5" t="s">
        <v>5082</v>
      </c>
    </row>
    <row r="520">
      <c r="A520" s="4">
        <v>45534.32146791667</v>
      </c>
      <c r="B520" s="5" t="s">
        <v>34</v>
      </c>
      <c r="D520" s="5" t="s">
        <v>522</v>
      </c>
      <c r="E520" s="5" t="s">
        <v>5087</v>
      </c>
      <c r="F520" s="5" t="s">
        <v>37</v>
      </c>
      <c r="G520" s="5" t="s">
        <v>5088</v>
      </c>
      <c r="H520" s="6" t="s">
        <v>5089</v>
      </c>
      <c r="I520" s="7" t="s">
        <v>5090</v>
      </c>
      <c r="J520" s="8" t="str">
        <f>HYPERLINK("https://drive.google.com/file/d/1dP6yoXAd4EvNv-tBbaTdzJz2mnT7GUMa/view?usp=drivesdk","RAHMAT MULYADIN, A.Md SERTIFIKAT BerAKHLAK")</f>
        <v>RAHMAT MULYADIN, A.Md SERTIFIKAT BerAKHLAK</v>
      </c>
      <c r="K520" s="5" t="s">
        <v>4872</v>
      </c>
      <c r="L520" s="5" t="s">
        <v>5091</v>
      </c>
    </row>
    <row r="521">
      <c r="A521" s="4">
        <v>45534.32148268518</v>
      </c>
      <c r="B521" s="5" t="s">
        <v>19</v>
      </c>
      <c r="C521" s="5" t="s">
        <v>3301</v>
      </c>
      <c r="E521" s="5" t="s">
        <v>5096</v>
      </c>
      <c r="F521" s="5" t="s">
        <v>72</v>
      </c>
      <c r="G521" s="5" t="s">
        <v>5097</v>
      </c>
      <c r="H521" s="6" t="s">
        <v>5098</v>
      </c>
      <c r="I521" s="7" t="s">
        <v>5099</v>
      </c>
      <c r="J521" s="8" t="str">
        <f>HYPERLINK("https://drive.google.com/file/d/19Iqc38HPQOf6mJi9-gvLCy2EW3Abb6gi/view?usp=drivesdk","NUR FAJAR HAYATI Amd.RO SERTIFIKAT BerAKHLAK")</f>
        <v>NUR FAJAR HAYATI Amd.RO SERTIFIKAT BerAKHLAK</v>
      </c>
      <c r="K521" s="5" t="s">
        <v>4872</v>
      </c>
      <c r="L521" s="5" t="s">
        <v>5100</v>
      </c>
    </row>
    <row r="522">
      <c r="A522" s="4">
        <v>45534.32148421297</v>
      </c>
      <c r="B522" s="5" t="s">
        <v>19</v>
      </c>
      <c r="C522" s="5" t="s">
        <v>3301</v>
      </c>
      <c r="E522" s="5" t="s">
        <v>5106</v>
      </c>
      <c r="F522" s="5" t="s">
        <v>37</v>
      </c>
      <c r="G522" s="5" t="s">
        <v>5107</v>
      </c>
      <c r="H522" s="6" t="s">
        <v>5108</v>
      </c>
      <c r="I522" s="7" t="s">
        <v>5109</v>
      </c>
      <c r="J522" s="8" t="str">
        <f>HYPERLINK("https://drive.google.com/file/d/1NH66vTkWYiXjzMk4vzUjFNXmxkSVpYsx/view?usp=drivesdk","MAYANG NUGRAHENI, S.Tr.Kes. SERTIFIKAT BerAKHLAK")</f>
        <v>MAYANG NUGRAHENI, S.Tr.Kes. SERTIFIKAT BerAKHLAK</v>
      </c>
      <c r="K522" s="5" t="s">
        <v>4872</v>
      </c>
      <c r="L522" s="5" t="s">
        <v>5110</v>
      </c>
    </row>
    <row r="523">
      <c r="A523" s="4">
        <v>45534.32148576389</v>
      </c>
      <c r="B523" s="5" t="s">
        <v>19</v>
      </c>
      <c r="C523" s="5" t="s">
        <v>442</v>
      </c>
      <c r="E523" s="5" t="s">
        <v>5115</v>
      </c>
      <c r="F523" s="5" t="s">
        <v>37</v>
      </c>
      <c r="G523" s="5" t="s">
        <v>5116</v>
      </c>
      <c r="H523" s="6" t="s">
        <v>5117</v>
      </c>
      <c r="I523" s="7" t="s">
        <v>5118</v>
      </c>
      <c r="J523" s="8" t="str">
        <f>HYPERLINK("https://drive.google.com/file/d/1-gc1B9CFOYo6JvwC_INbf9bS1kDbwMsQ/view?usp=drivesdk","ABDI FARHANUDDIN SERTIFIKAT BerAKHLAK")</f>
        <v>ABDI FARHANUDDIN SERTIFIKAT BerAKHLAK</v>
      </c>
      <c r="K523" s="5" t="s">
        <v>4872</v>
      </c>
      <c r="L523" s="5" t="s">
        <v>5119</v>
      </c>
    </row>
    <row r="524">
      <c r="A524" s="4">
        <v>45534.321546481486</v>
      </c>
      <c r="B524" s="5" t="s">
        <v>34</v>
      </c>
      <c r="D524" s="5" t="s">
        <v>522</v>
      </c>
      <c r="E524" s="5" t="s">
        <v>5125</v>
      </c>
      <c r="F524" s="5" t="s">
        <v>375</v>
      </c>
      <c r="G524" s="5" t="s">
        <v>5126</v>
      </c>
      <c r="H524" s="6" t="s">
        <v>5127</v>
      </c>
      <c r="I524" s="7" t="s">
        <v>5128</v>
      </c>
      <c r="J524" s="8" t="str">
        <f>HYPERLINK("https://drive.google.com/file/d/1VmiDVJNS9epMXmItAG9y30HqzX2UKc21/view?usp=drivesdk","NI PUTU MULIATI, S.Adm SERTIFIKAT BerAKHLAK")</f>
        <v>NI PUTU MULIATI, S.Adm SERTIFIKAT BerAKHLAK</v>
      </c>
      <c r="K524" s="5" t="s">
        <v>4872</v>
      </c>
      <c r="L524" s="5" t="s">
        <v>5129</v>
      </c>
    </row>
    <row r="525">
      <c r="A525" s="4">
        <v>45534.32155671297</v>
      </c>
      <c r="B525" s="5" t="s">
        <v>34</v>
      </c>
      <c r="D525" s="5" t="s">
        <v>604</v>
      </c>
      <c r="E525" s="5" t="s">
        <v>5134</v>
      </c>
      <c r="F525" s="5" t="s">
        <v>108</v>
      </c>
      <c r="G525" s="5" t="s">
        <v>5135</v>
      </c>
      <c r="H525" s="6" t="s">
        <v>5136</v>
      </c>
      <c r="I525" s="7" t="s">
        <v>5137</v>
      </c>
      <c r="J525" s="8" t="str">
        <f>HYPERLINK("https://drive.google.com/file/d/1qKjL0hhiPhQt_r8zwYXTgQ5fwk4d0RZt/view?usp=drivesdk","PENATA MUDA TK. I ISMAIL SERTIFIKAT BerAKHLAK")</f>
        <v>PENATA MUDA TK. I ISMAIL SERTIFIKAT BerAKHLAK</v>
      </c>
      <c r="K525" s="5" t="s">
        <v>4872</v>
      </c>
      <c r="L525" s="5" t="s">
        <v>5138</v>
      </c>
    </row>
    <row r="526">
      <c r="A526" s="4">
        <v>45534.321560219905</v>
      </c>
      <c r="B526" s="5" t="s">
        <v>34</v>
      </c>
      <c r="D526" s="5" t="s">
        <v>280</v>
      </c>
      <c r="E526" s="5" t="s">
        <v>5143</v>
      </c>
      <c r="F526" s="5" t="s">
        <v>37</v>
      </c>
      <c r="G526" s="5" t="s">
        <v>5144</v>
      </c>
      <c r="H526" s="6" t="s">
        <v>5145</v>
      </c>
      <c r="I526" s="7" t="s">
        <v>5146</v>
      </c>
      <c r="J526" s="8" t="str">
        <f>HYPERLINK("https://drive.google.com/file/d/1HzoG3KVoAKrIWgvPScJ0nHG2x0qB4OOO/view?usp=drivesdk","RINI FATMASARI SERTIFIKAT BerAKHLAK")</f>
        <v>RINI FATMASARI SERTIFIKAT BerAKHLAK</v>
      </c>
      <c r="K526" s="5" t="s">
        <v>4872</v>
      </c>
      <c r="L526" s="5" t="s">
        <v>5147</v>
      </c>
    </row>
    <row r="527">
      <c r="A527" s="4">
        <v>45534.32157296296</v>
      </c>
      <c r="B527" s="5" t="s">
        <v>34</v>
      </c>
      <c r="D527" s="5" t="s">
        <v>280</v>
      </c>
      <c r="E527" s="5" t="s">
        <v>5152</v>
      </c>
      <c r="F527" s="5" t="s">
        <v>212</v>
      </c>
      <c r="G527" s="5" t="s">
        <v>5153</v>
      </c>
      <c r="H527" s="6" t="s">
        <v>5154</v>
      </c>
      <c r="I527" s="7" t="s">
        <v>5155</v>
      </c>
      <c r="J527" s="8" t="str">
        <f>HYPERLINK("https://drive.google.com/file/d/1Hf4Cksi20_TE6dxk3rObAzTg48IwUmVg/view?usp=drivesdk","DITA PRIHADINA PERTIWI, A.Md, Keb SERTIFIKAT BerAKHLAK")</f>
        <v>DITA PRIHADINA PERTIWI, A.Md, Keb SERTIFIKAT BerAKHLAK</v>
      </c>
      <c r="K527" s="5" t="s">
        <v>5156</v>
      </c>
      <c r="L527" s="5" t="s">
        <v>5157</v>
      </c>
    </row>
    <row r="528">
      <c r="A528" s="4">
        <v>45534.321589479165</v>
      </c>
      <c r="B528" s="5" t="s">
        <v>34</v>
      </c>
      <c r="D528" s="5" t="s">
        <v>996</v>
      </c>
      <c r="E528" s="5" t="s">
        <v>5163</v>
      </c>
      <c r="F528" s="5" t="s">
        <v>212</v>
      </c>
      <c r="G528" s="5" t="s">
        <v>5164</v>
      </c>
      <c r="H528" s="6" t="s">
        <v>5165</v>
      </c>
      <c r="I528" s="7" t="s">
        <v>5166</v>
      </c>
      <c r="J528" s="8" t="str">
        <f>HYPERLINK("https://drive.google.com/file/d/1-uDn57n1Yok6g4SGYNU6eo3Qy9ftC77u/view?usp=drivesdk","YULIASTUTIK HERMININGSIH  SERTIFIKAT BerAKHLAK")</f>
        <v>YULIASTUTIK HERMININGSIH  SERTIFIKAT BerAKHLAK</v>
      </c>
      <c r="K528" s="5" t="s">
        <v>4872</v>
      </c>
      <c r="L528" s="5" t="s">
        <v>5167</v>
      </c>
    </row>
    <row r="529">
      <c r="A529" s="4">
        <v>45534.32158900463</v>
      </c>
      <c r="B529" s="5" t="s">
        <v>34</v>
      </c>
      <c r="D529" s="5" t="s">
        <v>35</v>
      </c>
      <c r="E529" s="5" t="s">
        <v>5173</v>
      </c>
      <c r="F529" s="5" t="s">
        <v>120</v>
      </c>
      <c r="G529" s="5" t="s">
        <v>5174</v>
      </c>
      <c r="H529" s="6" t="s">
        <v>5175</v>
      </c>
      <c r="I529" s="7" t="s">
        <v>5176</v>
      </c>
      <c r="J529" s="8" t="str">
        <f>HYPERLINK("https://drive.google.com/file/d/1XxzaOHkQ6CSFVJnkRuWE6O4lMRfs4JBI/view?usp=drivesdk","GUNGUN RIFKI ALMANSHUR SERTIFIKAT BerAKHLAK")</f>
        <v>GUNGUN RIFKI ALMANSHUR SERTIFIKAT BerAKHLAK</v>
      </c>
      <c r="K529" s="5" t="s">
        <v>4872</v>
      </c>
      <c r="L529" s="5" t="s">
        <v>5177</v>
      </c>
    </row>
    <row r="530">
      <c r="A530" s="4">
        <v>45534.321594953704</v>
      </c>
      <c r="B530" s="5" t="s">
        <v>34</v>
      </c>
      <c r="D530" s="5" t="s">
        <v>522</v>
      </c>
      <c r="E530" s="5" t="s">
        <v>5182</v>
      </c>
      <c r="F530" s="5" t="s">
        <v>375</v>
      </c>
      <c r="G530" s="5" t="s">
        <v>5183</v>
      </c>
      <c r="H530" s="6" t="s">
        <v>5184</v>
      </c>
      <c r="I530" s="7" t="s">
        <v>5185</v>
      </c>
      <c r="J530" s="8" t="str">
        <f>HYPERLINK("https://drive.google.com/file/d/14WwvG-e2eIS2UXdbAM3_l9l3IJWvYrSC/view?usp=drivesdk","INDAH RIA SALEAN, S.E. SERTIFIKAT BerAKHLAK")</f>
        <v>INDAH RIA SALEAN, S.E. SERTIFIKAT BerAKHLAK</v>
      </c>
      <c r="K530" s="5" t="s">
        <v>4872</v>
      </c>
      <c r="L530" s="5" t="s">
        <v>5186</v>
      </c>
    </row>
    <row r="531">
      <c r="A531" s="4">
        <v>45534.32161293981</v>
      </c>
      <c r="B531" s="5" t="s">
        <v>34</v>
      </c>
      <c r="D531" s="5" t="s">
        <v>3849</v>
      </c>
      <c r="E531" s="5" t="s">
        <v>5191</v>
      </c>
      <c r="F531" s="5" t="s">
        <v>72</v>
      </c>
      <c r="G531" s="5" t="s">
        <v>5192</v>
      </c>
      <c r="H531" s="6" t="s">
        <v>5193</v>
      </c>
      <c r="I531" s="7" t="s">
        <v>5194</v>
      </c>
      <c r="J531" s="8" t="str">
        <f>HYPERLINK("https://drive.google.com/file/d/1dmW8oeeljhr2Fd6PTwQ76PYFP0tB7tIQ/view?usp=drivesdk","HERY SUSIANTO SERTIFIKAT BerAKHLAK")</f>
        <v>HERY SUSIANTO SERTIFIKAT BerAKHLAK</v>
      </c>
      <c r="K531" s="5" t="s">
        <v>4872</v>
      </c>
      <c r="L531" s="5" t="s">
        <v>5195</v>
      </c>
    </row>
    <row r="532">
      <c r="A532" s="4">
        <v>45534.321614120374</v>
      </c>
      <c r="B532" s="5" t="s">
        <v>34</v>
      </c>
      <c r="D532" s="5" t="s">
        <v>267</v>
      </c>
      <c r="E532" s="5" t="s">
        <v>5200</v>
      </c>
      <c r="F532" s="5" t="s">
        <v>37</v>
      </c>
      <c r="G532" s="5" t="s">
        <v>5201</v>
      </c>
      <c r="H532" s="6" t="s">
        <v>5202</v>
      </c>
      <c r="I532" s="7" t="s">
        <v>5203</v>
      </c>
      <c r="J532" s="8" t="str">
        <f>HYPERLINK("https://drive.google.com/file/d/1NoZfumuisuj4_Np2YrkyKtKfc9hwcxR6/view?usp=drivesdk","FERILINA MIRTA RATRI, A. Md. SERTIFIKAT BerAKHLAK")</f>
        <v>FERILINA MIRTA RATRI, A. Md. SERTIFIKAT BerAKHLAK</v>
      </c>
      <c r="K532" s="5" t="s">
        <v>5156</v>
      </c>
      <c r="L532" s="5" t="s">
        <v>5204</v>
      </c>
    </row>
    <row r="533">
      <c r="A533" s="4">
        <v>45534.32161672454</v>
      </c>
      <c r="B533" s="5" t="s">
        <v>19</v>
      </c>
      <c r="C533" s="5" t="s">
        <v>3301</v>
      </c>
      <c r="E533" s="5" t="s">
        <v>5209</v>
      </c>
      <c r="F533" s="5" t="s">
        <v>22</v>
      </c>
      <c r="G533" s="5" t="s">
        <v>5210</v>
      </c>
      <c r="H533" s="6" t="s">
        <v>5211</v>
      </c>
      <c r="I533" s="7" t="s">
        <v>5212</v>
      </c>
      <c r="J533" s="8" t="str">
        <f>HYPERLINK("https://drive.google.com/file/d/1SuGpwWSz6vULHuyqunM1FfAG2agUSCO4/view?usp=drivesdk","DR PAULA LIHAWA, MFORSC SERTIFIKAT BerAKHLAK")</f>
        <v>DR PAULA LIHAWA, MFORSC SERTIFIKAT BerAKHLAK</v>
      </c>
      <c r="K533" s="5" t="s">
        <v>5156</v>
      </c>
      <c r="L533" s="5" t="s">
        <v>5213</v>
      </c>
    </row>
    <row r="534">
      <c r="A534" s="4">
        <v>45534.32162342593</v>
      </c>
      <c r="B534" s="5" t="s">
        <v>19</v>
      </c>
      <c r="C534" s="5" t="s">
        <v>292</v>
      </c>
      <c r="E534" s="5" t="s">
        <v>5219</v>
      </c>
      <c r="F534" s="5" t="s">
        <v>524</v>
      </c>
      <c r="G534" s="5" t="s">
        <v>5220</v>
      </c>
      <c r="H534" s="6" t="s">
        <v>5221</v>
      </c>
      <c r="I534" s="7" t="s">
        <v>5222</v>
      </c>
      <c r="J534" s="8" t="str">
        <f>HYPERLINK("https://drive.google.com/file/d/1DnuZXyCN1BX7wrZk8BzmphsHKUgdV3iJ/view?usp=drivesdk","AGUS MULYANA, S.Pd SERTIFIKAT BerAKHLAK")</f>
        <v>AGUS MULYANA, S.Pd SERTIFIKAT BerAKHLAK</v>
      </c>
      <c r="K534" s="5" t="s">
        <v>5156</v>
      </c>
      <c r="L534" s="5" t="s">
        <v>5223</v>
      </c>
    </row>
    <row r="535">
      <c r="A535" s="4">
        <v>45534.321671666665</v>
      </c>
      <c r="B535" s="5" t="s">
        <v>19</v>
      </c>
      <c r="C535" s="5" t="s">
        <v>3301</v>
      </c>
      <c r="E535" s="5" t="s">
        <v>5229</v>
      </c>
      <c r="F535" s="5" t="s">
        <v>375</v>
      </c>
      <c r="G535" s="5" t="s">
        <v>5230</v>
      </c>
      <c r="H535" s="6" t="s">
        <v>5231</v>
      </c>
      <c r="K535" s="5" t="s">
        <v>5232</v>
      </c>
    </row>
    <row r="536">
      <c r="A536" s="4">
        <v>45534.32167350694</v>
      </c>
      <c r="B536" s="5" t="s">
        <v>34</v>
      </c>
      <c r="D536" s="5" t="s">
        <v>1206</v>
      </c>
      <c r="E536" s="5" t="s">
        <v>5237</v>
      </c>
      <c r="F536" s="5" t="s">
        <v>212</v>
      </c>
      <c r="G536" s="5" t="s">
        <v>5238</v>
      </c>
      <c r="H536" s="6" t="s">
        <v>5239</v>
      </c>
      <c r="K536" s="5" t="s">
        <v>5232</v>
      </c>
    </row>
    <row r="537">
      <c r="A537" s="4">
        <v>45534.32167978009</v>
      </c>
      <c r="B537" s="5" t="s">
        <v>34</v>
      </c>
      <c r="D537" s="5" t="s">
        <v>1206</v>
      </c>
      <c r="E537" s="5" t="s">
        <v>5244</v>
      </c>
      <c r="F537" s="5" t="s">
        <v>72</v>
      </c>
      <c r="G537" s="5" t="s">
        <v>5245</v>
      </c>
      <c r="H537" s="6" t="s">
        <v>5246</v>
      </c>
      <c r="K537" s="5" t="s">
        <v>5232</v>
      </c>
    </row>
    <row r="538">
      <c r="A538" s="4">
        <v>45534.321691481484</v>
      </c>
      <c r="B538" s="5" t="s">
        <v>19</v>
      </c>
      <c r="C538" s="5" t="s">
        <v>466</v>
      </c>
      <c r="E538" s="5" t="s">
        <v>5251</v>
      </c>
      <c r="F538" s="5" t="s">
        <v>108</v>
      </c>
      <c r="G538" s="5" t="s">
        <v>5252</v>
      </c>
      <c r="H538" s="6" t="s">
        <v>5253</v>
      </c>
      <c r="K538" s="5" t="s">
        <v>5232</v>
      </c>
    </row>
    <row r="539">
      <c r="A539" s="4">
        <v>45534.32171358797</v>
      </c>
      <c r="B539" s="5" t="s">
        <v>34</v>
      </c>
      <c r="D539" s="5" t="s">
        <v>522</v>
      </c>
      <c r="E539" s="5" t="s">
        <v>5259</v>
      </c>
      <c r="F539" s="5" t="s">
        <v>72</v>
      </c>
      <c r="G539" s="5" t="s">
        <v>5260</v>
      </c>
      <c r="H539" s="6" t="s">
        <v>5261</v>
      </c>
      <c r="K539" s="5" t="s">
        <v>5232</v>
      </c>
    </row>
    <row r="540">
      <c r="A540" s="4">
        <v>45534.321745451394</v>
      </c>
      <c r="B540" s="5" t="s">
        <v>19</v>
      </c>
      <c r="C540" s="5" t="s">
        <v>442</v>
      </c>
      <c r="E540" s="5" t="s">
        <v>5266</v>
      </c>
      <c r="F540" s="5" t="s">
        <v>108</v>
      </c>
      <c r="G540" s="5" t="s">
        <v>5267</v>
      </c>
      <c r="H540" s="6" t="s">
        <v>5268</v>
      </c>
      <c r="I540" s="7" t="s">
        <v>5269</v>
      </c>
      <c r="J540" s="8" t="str">
        <f>HYPERLINK("https://drive.google.com/file/d/1b8zuvHuW1BO8bwl0BMWPfhebreiPmXiC/view?usp=drivesdk","MIFTAHUL FARID, A. Md SERTIFIKAT BerAKHLAK")</f>
        <v>MIFTAHUL FARID, A. Md SERTIFIKAT BerAKHLAK</v>
      </c>
      <c r="K540" s="5" t="s">
        <v>4872</v>
      </c>
      <c r="L540" s="5" t="s">
        <v>5270</v>
      </c>
    </row>
    <row r="541">
      <c r="A541" s="4">
        <v>45534.32179217592</v>
      </c>
      <c r="B541" s="5" t="s">
        <v>34</v>
      </c>
      <c r="D541" s="5" t="s">
        <v>35</v>
      </c>
      <c r="E541" s="5" t="s">
        <v>5276</v>
      </c>
      <c r="F541" s="5" t="s">
        <v>328</v>
      </c>
      <c r="G541" s="5" t="s">
        <v>5277</v>
      </c>
      <c r="H541" s="6" t="s">
        <v>5278</v>
      </c>
      <c r="I541" s="7" t="s">
        <v>5279</v>
      </c>
      <c r="J541" s="8" t="str">
        <f>HYPERLINK("https://drive.google.com/file/d/1_HX2cJtTrQPc294zOG-57KCOQtOVdqqI/view?usp=drivesdk","MUHAMAD TOPIK, SH SERTIFIKAT BerAKHLAK")</f>
        <v>MUHAMAD TOPIK, SH SERTIFIKAT BerAKHLAK</v>
      </c>
      <c r="K541" s="5" t="s">
        <v>4872</v>
      </c>
      <c r="L541" s="5" t="s">
        <v>5280</v>
      </c>
    </row>
    <row r="542">
      <c r="A542" s="4">
        <v>45534.321798495366</v>
      </c>
      <c r="B542" s="5" t="s">
        <v>34</v>
      </c>
      <c r="D542" s="5" t="s">
        <v>35</v>
      </c>
      <c r="E542" s="5" t="s">
        <v>5285</v>
      </c>
      <c r="F542" s="5" t="s">
        <v>524</v>
      </c>
      <c r="G542" s="5" t="s">
        <v>5286</v>
      </c>
      <c r="H542" s="6" t="s">
        <v>5287</v>
      </c>
      <c r="I542" s="7" t="s">
        <v>5288</v>
      </c>
      <c r="J542" s="8" t="str">
        <f>HYPERLINK("https://drive.google.com/file/d/1B7f2JxZNxr3lLEd7aZxdF6QbkUPbBE1r/view?usp=drivesdk","WIWIN WINARSIH,Amd.Kep SERTIFIKAT BerAKHLAK")</f>
        <v>WIWIN WINARSIH,Amd.Kep SERTIFIKAT BerAKHLAK</v>
      </c>
      <c r="K542" s="5" t="s">
        <v>4872</v>
      </c>
      <c r="L542" s="5" t="s">
        <v>5289</v>
      </c>
    </row>
    <row r="543">
      <c r="A543" s="4">
        <v>45534.32184322916</v>
      </c>
      <c r="B543" s="5" t="s">
        <v>34</v>
      </c>
      <c r="D543" s="5" t="s">
        <v>3849</v>
      </c>
      <c r="E543" s="5" t="s">
        <v>5294</v>
      </c>
      <c r="F543" s="5" t="s">
        <v>375</v>
      </c>
      <c r="G543" s="5" t="s">
        <v>5295</v>
      </c>
      <c r="H543" s="6" t="s">
        <v>5296</v>
      </c>
      <c r="I543" s="7" t="s">
        <v>5297</v>
      </c>
      <c r="J543" s="8" t="str">
        <f>HYPERLINK("https://drive.google.com/file/d/155bDAR04n9MJo3jCK9uG2RvfStYyOlNQ/view?usp=drivesdk","JAHARUDDIN SIREGAR SERTIFIKAT BerAKHLAK")</f>
        <v>JAHARUDDIN SIREGAR SERTIFIKAT BerAKHLAK</v>
      </c>
      <c r="K543" s="5" t="s">
        <v>4872</v>
      </c>
      <c r="L543" s="5" t="s">
        <v>5298</v>
      </c>
    </row>
    <row r="544">
      <c r="A544" s="4">
        <v>45534.32186175926</v>
      </c>
      <c r="B544" s="5" t="s">
        <v>34</v>
      </c>
      <c r="D544" s="5" t="s">
        <v>1206</v>
      </c>
      <c r="E544" s="5" t="s">
        <v>5304</v>
      </c>
      <c r="F544" s="5" t="s">
        <v>212</v>
      </c>
      <c r="G544" s="5" t="s">
        <v>5305</v>
      </c>
      <c r="H544" s="6" t="s">
        <v>5306</v>
      </c>
      <c r="I544" s="7" t="s">
        <v>5307</v>
      </c>
      <c r="J544" s="8" t="str">
        <f>HYPERLINK("https://drive.google.com/file/d/1J9_xQzoVpVNgL8zhS_DIpja6-9tikxST/view?usp=drivesdk","NANIK SIMOLANG  SERTIFIKAT BerAKHLAK")</f>
        <v>NANIK SIMOLANG  SERTIFIKAT BerAKHLAK</v>
      </c>
      <c r="K544" s="5" t="s">
        <v>4872</v>
      </c>
      <c r="L544" s="5" t="s">
        <v>5308</v>
      </c>
    </row>
    <row r="545">
      <c r="A545" s="4">
        <v>45534.32186393518</v>
      </c>
      <c r="B545" s="5" t="s">
        <v>34</v>
      </c>
      <c r="D545" s="5" t="s">
        <v>3849</v>
      </c>
      <c r="E545" s="5" t="s">
        <v>5313</v>
      </c>
      <c r="F545" s="5" t="s">
        <v>212</v>
      </c>
      <c r="G545" s="5" t="s">
        <v>5314</v>
      </c>
      <c r="H545" s="6" t="s">
        <v>5315</v>
      </c>
      <c r="I545" s="7" t="s">
        <v>5316</v>
      </c>
      <c r="J545" s="8" t="str">
        <f>HYPERLINK("https://drive.google.com/file/d/1pMmA3H93Nl1B0fQh6JY9xc5-BhkmIkhR/view?usp=drivesdk","ADI DAYA PUTRA, AMD. KEP SERTIFIKAT BerAKHLAK")</f>
        <v>ADI DAYA PUTRA, AMD. KEP SERTIFIKAT BerAKHLAK</v>
      </c>
      <c r="K545" s="5" t="s">
        <v>4872</v>
      </c>
      <c r="L545" s="5" t="s">
        <v>5317</v>
      </c>
    </row>
    <row r="546">
      <c r="A546" s="4">
        <v>45534.32188001157</v>
      </c>
      <c r="B546" s="5" t="s">
        <v>34</v>
      </c>
      <c r="D546" s="5" t="s">
        <v>580</v>
      </c>
      <c r="E546" s="5" t="s">
        <v>5322</v>
      </c>
      <c r="F546" s="5" t="s">
        <v>37</v>
      </c>
      <c r="G546" s="5" t="s">
        <v>5323</v>
      </c>
      <c r="H546" s="6" t="s">
        <v>5324</v>
      </c>
      <c r="I546" s="7" t="s">
        <v>5325</v>
      </c>
      <c r="J546" s="8" t="str">
        <f>HYPERLINK("https://drive.google.com/file/d/1yRM7PMjJmp9V2dth5_R4EYPWrfFH18v6/view?usp=drivesdk","NYOMAN ASRIMINI SERTIFIKAT BerAKHLAK")</f>
        <v>NYOMAN ASRIMINI SERTIFIKAT BerAKHLAK</v>
      </c>
      <c r="K546" s="5" t="s">
        <v>5156</v>
      </c>
      <c r="L546" s="5" t="s">
        <v>5326</v>
      </c>
    </row>
    <row r="547">
      <c r="A547" s="4">
        <v>45534.321880937496</v>
      </c>
      <c r="B547" s="5" t="s">
        <v>34</v>
      </c>
      <c r="D547" s="5" t="s">
        <v>3849</v>
      </c>
      <c r="E547" s="5" t="s">
        <v>5332</v>
      </c>
      <c r="F547" s="5" t="s">
        <v>37</v>
      </c>
      <c r="G547" s="5" t="s">
        <v>5333</v>
      </c>
      <c r="H547" s="6" t="s">
        <v>5334</v>
      </c>
      <c r="I547" s="7" t="s">
        <v>5335</v>
      </c>
      <c r="J547" s="8" t="str">
        <f>HYPERLINK("https://drive.google.com/file/d/1pT_iO7SI6HjXN_dhGzK1lj9TBZ_XeSlZ/view?usp=drivesdk","KARTIKAYANTI SERTIFIKAT BerAKHLAK")</f>
        <v>KARTIKAYANTI SERTIFIKAT BerAKHLAK</v>
      </c>
      <c r="K547" s="5" t="s">
        <v>5156</v>
      </c>
      <c r="L547" s="5" t="s">
        <v>5336</v>
      </c>
    </row>
    <row r="548">
      <c r="A548" s="4">
        <v>45534.32191155093</v>
      </c>
      <c r="B548" s="5" t="s">
        <v>34</v>
      </c>
      <c r="D548" s="5" t="s">
        <v>522</v>
      </c>
      <c r="E548" s="5" t="s">
        <v>2938</v>
      </c>
      <c r="F548" s="5" t="s">
        <v>524</v>
      </c>
      <c r="G548" s="5" t="s">
        <v>5341</v>
      </c>
      <c r="H548" s="6" t="s">
        <v>5342</v>
      </c>
      <c r="I548" s="7" t="s">
        <v>5343</v>
      </c>
      <c r="J548" s="8" t="str">
        <f>HYPERLINK("https://drive.google.com/file/d/1hZfrKGRTe27qDXQfRsEhKzmlHcIi7ZbK/view?usp=drivesdk","TRI HANDAYANI SERTIFIKAT BerAKHLAK")</f>
        <v>TRI HANDAYANI SERTIFIKAT BerAKHLAK</v>
      </c>
      <c r="K548" s="5" t="s">
        <v>4872</v>
      </c>
      <c r="L548" s="5" t="s">
        <v>5344</v>
      </c>
    </row>
    <row r="549">
      <c r="A549" s="4">
        <v>45534.32191894676</v>
      </c>
      <c r="B549" s="5" t="s">
        <v>34</v>
      </c>
      <c r="D549" s="5" t="s">
        <v>35</v>
      </c>
      <c r="E549" s="5" t="s">
        <v>5349</v>
      </c>
      <c r="F549" s="5" t="s">
        <v>37</v>
      </c>
      <c r="G549" s="5" t="s">
        <v>5350</v>
      </c>
      <c r="H549" s="6" t="s">
        <v>5351</v>
      </c>
      <c r="I549" s="7" t="s">
        <v>5352</v>
      </c>
      <c r="J549" s="8" t="str">
        <f>HYPERLINK("https://drive.google.com/file/d/1u_aaqLOznwGDjS-0vEEg7V2ZscJVliwT/view?usp=drivesdk","CAHYUTI HENDRANINGSIH, A.Md.Kep SERTIFIKAT BerAKHLAK")</f>
        <v>CAHYUTI HENDRANINGSIH, A.Md.Kep SERTIFIKAT BerAKHLAK</v>
      </c>
      <c r="K549" s="5" t="s">
        <v>5156</v>
      </c>
      <c r="L549" s="5" t="s">
        <v>5353</v>
      </c>
    </row>
    <row r="550">
      <c r="A550" s="4">
        <v>45534.32193958333</v>
      </c>
      <c r="B550" s="5" t="s">
        <v>34</v>
      </c>
      <c r="D550" s="5" t="s">
        <v>1206</v>
      </c>
      <c r="E550" s="5" t="s">
        <v>5358</v>
      </c>
      <c r="F550" s="5" t="s">
        <v>37</v>
      </c>
      <c r="G550" s="5" t="s">
        <v>5359</v>
      </c>
      <c r="H550" s="6" t="s">
        <v>5360</v>
      </c>
      <c r="I550" s="7" t="s">
        <v>5361</v>
      </c>
      <c r="J550" s="8" t="str">
        <f>HYPERLINK("https://drive.google.com/file/d/19GyUUvLBaQzkXUMMbjuAT3JBtG9ya3qm/view?usp=drivesdk","AVIV ACHMAD ROZAQ  SERTIFIKAT BerAKHLAK")</f>
        <v>AVIV ACHMAD ROZAQ  SERTIFIKAT BerAKHLAK</v>
      </c>
      <c r="K550" s="5" t="s">
        <v>4872</v>
      </c>
      <c r="L550" s="5" t="s">
        <v>5362</v>
      </c>
    </row>
    <row r="551">
      <c r="A551" s="4">
        <v>45534.3219446875</v>
      </c>
      <c r="B551" s="5" t="s">
        <v>34</v>
      </c>
      <c r="D551" s="5" t="s">
        <v>522</v>
      </c>
      <c r="E551" s="5" t="s">
        <v>5368</v>
      </c>
      <c r="F551" s="5" t="s">
        <v>37</v>
      </c>
      <c r="G551" s="5" t="s">
        <v>5369</v>
      </c>
      <c r="H551" s="6" t="s">
        <v>5370</v>
      </c>
      <c r="I551" s="7" t="s">
        <v>5371</v>
      </c>
      <c r="J551" s="8" t="str">
        <f>HYPERLINK("https://drive.google.com/file/d/165rTPMRkT3QB1ZDQWQE7IeXk4YTUYhnJ/view?usp=drivesdk","ELVA PRATIWI, A.Md.Kep. SERTIFIKAT BerAKHLAK")</f>
        <v>ELVA PRATIWI, A.Md.Kep. SERTIFIKAT BerAKHLAK</v>
      </c>
      <c r="K551" s="5" t="s">
        <v>4872</v>
      </c>
      <c r="L551" s="5" t="s">
        <v>5372</v>
      </c>
    </row>
    <row r="552">
      <c r="A552" s="4">
        <v>45534.321964305556</v>
      </c>
      <c r="B552" s="5" t="s">
        <v>34</v>
      </c>
      <c r="D552" s="5" t="s">
        <v>1206</v>
      </c>
      <c r="E552" s="5" t="s">
        <v>5377</v>
      </c>
      <c r="F552" s="5" t="s">
        <v>37</v>
      </c>
      <c r="G552" s="5" t="s">
        <v>5378</v>
      </c>
      <c r="H552" s="6" t="s">
        <v>5379</v>
      </c>
      <c r="I552" s="7" t="s">
        <v>5380</v>
      </c>
      <c r="J552" s="8" t="str">
        <f>HYPERLINK("https://drive.google.com/file/d/1xBriVpNBXgBSLUlZHzsy1imuxsn6UeC6/view?usp=drivesdk","HERRYPURNOMO SERTIFIKAT BerAKHLAK")</f>
        <v>HERRYPURNOMO SERTIFIKAT BerAKHLAK</v>
      </c>
      <c r="K552" s="5" t="s">
        <v>4872</v>
      </c>
      <c r="L552" s="5" t="s">
        <v>5381</v>
      </c>
    </row>
    <row r="553">
      <c r="A553" s="4">
        <v>45534.32197619213</v>
      </c>
      <c r="B553" s="5" t="s">
        <v>34</v>
      </c>
      <c r="D553" s="5" t="s">
        <v>1692</v>
      </c>
      <c r="E553" s="5" t="s">
        <v>5387</v>
      </c>
      <c r="F553" s="5" t="s">
        <v>108</v>
      </c>
      <c r="G553" s="5" t="s">
        <v>5388</v>
      </c>
      <c r="H553" s="6" t="s">
        <v>5389</v>
      </c>
      <c r="I553" s="7" t="s">
        <v>5390</v>
      </c>
      <c r="J553" s="8" t="str">
        <f>HYPERLINK("https://drive.google.com/file/d/1De4heUCNZrBHtK_HwtWxFg5ojku0LET9/view?usp=drivesdk","LODIA LIENCE BARAGAIN SERTIFIKAT BerAKHLAK")</f>
        <v>LODIA LIENCE BARAGAIN SERTIFIKAT BerAKHLAK</v>
      </c>
      <c r="K553" s="5" t="s">
        <v>5156</v>
      </c>
      <c r="L553" s="5" t="s">
        <v>5391</v>
      </c>
    </row>
    <row r="554">
      <c r="A554" s="4">
        <v>45534.32203674769</v>
      </c>
      <c r="B554" s="5" t="s">
        <v>34</v>
      </c>
      <c r="D554" s="5" t="s">
        <v>1206</v>
      </c>
      <c r="E554" s="5" t="s">
        <v>5396</v>
      </c>
      <c r="F554" s="5" t="s">
        <v>212</v>
      </c>
      <c r="G554" s="5" t="s">
        <v>5397</v>
      </c>
      <c r="H554" s="6" t="s">
        <v>5398</v>
      </c>
      <c r="I554" s="7" t="s">
        <v>5399</v>
      </c>
      <c r="J554" s="8" t="str">
        <f>HYPERLINK("https://drive.google.com/file/d/1fzcckGQbCI4yv9AMsG1yrq_GMGJsMMuT/view?usp=drivesdk","SITI MUSAROFAH SERTIFIKAT BerAKHLAK")</f>
        <v>SITI MUSAROFAH SERTIFIKAT BerAKHLAK</v>
      </c>
      <c r="K554" s="5" t="s">
        <v>4872</v>
      </c>
      <c r="L554" s="5" t="s">
        <v>5400</v>
      </c>
    </row>
    <row r="555">
      <c r="A555" s="4">
        <v>45534.32203855324</v>
      </c>
      <c r="B555" s="5" t="s">
        <v>34</v>
      </c>
      <c r="D555" s="5" t="s">
        <v>280</v>
      </c>
      <c r="E555" s="5" t="s">
        <v>5405</v>
      </c>
      <c r="F555" s="5" t="s">
        <v>524</v>
      </c>
      <c r="G555" s="5" t="s">
        <v>5406</v>
      </c>
      <c r="H555" s="6" t="s">
        <v>5407</v>
      </c>
      <c r="I555" s="7" t="s">
        <v>5408</v>
      </c>
      <c r="J555" s="8" t="str">
        <f>HYPERLINK("https://drive.google.com/file/d/12ZkSjvodCaHuIADZAEfGnekozn4yHDTv/view?usp=drivesdk","SINDI ANDIKA PUTRI,S.Kep SERTIFIKAT BerAKHLAK")</f>
        <v>SINDI ANDIKA PUTRI,S.Kep SERTIFIKAT BerAKHLAK</v>
      </c>
      <c r="K555" s="5" t="s">
        <v>5156</v>
      </c>
      <c r="L555" s="5" t="s">
        <v>5409</v>
      </c>
    </row>
    <row r="556">
      <c r="A556" s="4">
        <v>45534.32208146991</v>
      </c>
      <c r="B556" s="5" t="s">
        <v>34</v>
      </c>
      <c r="D556" s="5" t="s">
        <v>35</v>
      </c>
      <c r="E556" s="5" t="s">
        <v>5415</v>
      </c>
      <c r="F556" s="5" t="s">
        <v>212</v>
      </c>
      <c r="G556" s="5" t="s">
        <v>5416</v>
      </c>
      <c r="H556" s="6" t="s">
        <v>5417</v>
      </c>
      <c r="I556" s="7" t="s">
        <v>5418</v>
      </c>
      <c r="J556" s="8" t="str">
        <f>HYPERLINK("https://drive.google.com/file/d/1_to9cSqjdRhbyGVov9DMmetVxchVuTMC/view?usp=drivesdk","ARTIASIH SEPTIANI Amd. Kep SERTIFIKAT BerAKHLAK")</f>
        <v>ARTIASIH SEPTIANI Amd. Kep SERTIFIKAT BerAKHLAK</v>
      </c>
      <c r="K556" s="5" t="s">
        <v>4872</v>
      </c>
      <c r="L556" s="5" t="s">
        <v>5419</v>
      </c>
    </row>
    <row r="557">
      <c r="A557" s="4">
        <v>45534.322082314815</v>
      </c>
      <c r="B557" s="5" t="s">
        <v>34</v>
      </c>
      <c r="D557" s="5" t="s">
        <v>1206</v>
      </c>
      <c r="E557" s="5" t="s">
        <v>5424</v>
      </c>
      <c r="F557" s="5" t="s">
        <v>199</v>
      </c>
      <c r="G557" s="5" t="s">
        <v>5425</v>
      </c>
      <c r="H557" s="6" t="s">
        <v>5426</v>
      </c>
      <c r="I557" s="7" t="s">
        <v>5427</v>
      </c>
      <c r="J557" s="8" t="str">
        <f>HYPERLINK("https://drive.google.com/file/d/1OJhhJGVHReLLvLNmHeUJkdEk-Jowuves/view?usp=drivesdk","R MOH SYAMSUL ARIFIN  SERTIFIKAT BerAKHLAK")</f>
        <v>R MOH SYAMSUL ARIFIN  SERTIFIKAT BerAKHLAK</v>
      </c>
      <c r="K557" s="5" t="s">
        <v>5156</v>
      </c>
      <c r="L557" s="5" t="s">
        <v>5428</v>
      </c>
    </row>
    <row r="558">
      <c r="A558" s="4">
        <v>45534.32214730324</v>
      </c>
      <c r="B558" s="5" t="s">
        <v>34</v>
      </c>
      <c r="D558" s="5" t="s">
        <v>280</v>
      </c>
      <c r="E558" s="5" t="s">
        <v>5434</v>
      </c>
      <c r="F558" s="5" t="s">
        <v>108</v>
      </c>
      <c r="G558" s="5" t="s">
        <v>5435</v>
      </c>
      <c r="H558" s="6" t="s">
        <v>5436</v>
      </c>
      <c r="I558" s="7" t="s">
        <v>5437</v>
      </c>
      <c r="J558" s="8" t="str">
        <f>HYPERLINK("https://drive.google.com/file/d/1cahxtE-ekwMfNY-e9DSwxDnKEHkfbpoI/view?usp=drivesdk","DRG. HELNI RAHMA YULIA SERTIFIKAT BerAKHLAK")</f>
        <v>DRG. HELNI RAHMA YULIA SERTIFIKAT BerAKHLAK</v>
      </c>
      <c r="K558" s="5" t="s">
        <v>5156</v>
      </c>
      <c r="L558" s="5" t="s">
        <v>5438</v>
      </c>
    </row>
    <row r="559">
      <c r="A559" s="4">
        <v>45534.32218939815</v>
      </c>
      <c r="B559" s="5" t="s">
        <v>34</v>
      </c>
      <c r="D559" s="5" t="s">
        <v>35</v>
      </c>
      <c r="E559" s="5" t="s">
        <v>5443</v>
      </c>
      <c r="F559" s="5" t="s">
        <v>37</v>
      </c>
      <c r="G559" s="5" t="s">
        <v>5444</v>
      </c>
      <c r="H559" s="6" t="s">
        <v>5445</v>
      </c>
      <c r="I559" s="7" t="s">
        <v>5446</v>
      </c>
      <c r="J559" s="8" t="str">
        <f>HYPERLINK("https://drive.google.com/file/d/1zNCJ60FQI0VQDk5SmAR29hUJAz1e8Zi2/view?usp=drivesdk","RAE RIDHA ZULFIQOR SERTIFIKAT BerAKHLAK")</f>
        <v>RAE RIDHA ZULFIQOR SERTIFIKAT BerAKHLAK</v>
      </c>
      <c r="K559" s="5" t="s">
        <v>5156</v>
      </c>
      <c r="L559" s="5" t="s">
        <v>5447</v>
      </c>
    </row>
    <row r="560">
      <c r="A560" s="4">
        <v>45534.32221702546</v>
      </c>
      <c r="B560" s="5" t="s">
        <v>34</v>
      </c>
      <c r="D560" s="5" t="s">
        <v>1692</v>
      </c>
      <c r="E560" s="5" t="s">
        <v>5452</v>
      </c>
      <c r="F560" s="5" t="s">
        <v>72</v>
      </c>
      <c r="G560" s="5" t="s">
        <v>5453</v>
      </c>
      <c r="H560" s="6" t="s">
        <v>5454</v>
      </c>
      <c r="I560" s="7" t="s">
        <v>5455</v>
      </c>
      <c r="J560" s="8" t="str">
        <f>HYPERLINK("https://drive.google.com/file/d/1fvlYNkPFQXlGOe7iKupkuIqjJyeyafoE/view?usp=drivesdk","JANTI SUSANA JESAJAS SERTIFIKAT BerAKHLAK")</f>
        <v>JANTI SUSANA JESAJAS SERTIFIKAT BerAKHLAK</v>
      </c>
      <c r="K560" s="5" t="s">
        <v>5156</v>
      </c>
      <c r="L560" s="5" t="s">
        <v>5456</v>
      </c>
    </row>
    <row r="561">
      <c r="A561" s="4">
        <v>45534.322233645835</v>
      </c>
      <c r="B561" s="5" t="s">
        <v>34</v>
      </c>
      <c r="D561" s="5" t="s">
        <v>280</v>
      </c>
      <c r="E561" s="5" t="s">
        <v>5461</v>
      </c>
      <c r="F561" s="5" t="s">
        <v>375</v>
      </c>
      <c r="G561" s="5" t="s">
        <v>5462</v>
      </c>
      <c r="H561" s="6" t="s">
        <v>5463</v>
      </c>
      <c r="I561" s="7" t="s">
        <v>5464</v>
      </c>
      <c r="J561" s="8" t="str">
        <f>HYPERLINK("https://drive.google.com/file/d/1uBD4AB4TL0jfv0TOZtE5vs4J3AI36v-p/view?usp=drivesdk","JIMMI CANDRA PARNINGOTAN RUMAHORBO, S.Kom SERTIFIKAT BerAKHLAK")</f>
        <v>JIMMI CANDRA PARNINGOTAN RUMAHORBO, S.Kom SERTIFIKAT BerAKHLAK</v>
      </c>
      <c r="K561" s="5" t="s">
        <v>5156</v>
      </c>
      <c r="L561" s="5" t="s">
        <v>5465</v>
      </c>
    </row>
    <row r="562">
      <c r="A562" s="4">
        <v>45534.3222527662</v>
      </c>
      <c r="B562" s="5" t="s">
        <v>34</v>
      </c>
      <c r="D562" s="5" t="s">
        <v>35</v>
      </c>
      <c r="E562" s="5" t="s">
        <v>5471</v>
      </c>
      <c r="F562" s="5" t="s">
        <v>212</v>
      </c>
      <c r="G562" s="5" t="s">
        <v>5472</v>
      </c>
      <c r="H562" s="6" t="s">
        <v>5473</v>
      </c>
      <c r="K562" s="5" t="s">
        <v>5474</v>
      </c>
    </row>
    <row r="563">
      <c r="A563" s="4">
        <v>45534.32225349537</v>
      </c>
      <c r="B563" s="5" t="s">
        <v>34</v>
      </c>
      <c r="D563" s="5" t="s">
        <v>1206</v>
      </c>
      <c r="E563" s="5" t="s">
        <v>5480</v>
      </c>
      <c r="F563" s="5" t="s">
        <v>108</v>
      </c>
      <c r="G563" s="5" t="s">
        <v>5481</v>
      </c>
      <c r="H563" s="6" t="s">
        <v>5482</v>
      </c>
      <c r="I563" s="7" t="s">
        <v>5483</v>
      </c>
      <c r="J563" s="8" t="str">
        <f>HYPERLINK("https://drive.google.com/file/d/1tqPHuGU3YJjQUh6UaHCHuXbh3jSOHWal/view?usp=drivesdk","KOERNIA INDRASTOETI, S.E. SERTIFIKAT BerAKHLAK")</f>
        <v>KOERNIA INDRASTOETI, S.E. SERTIFIKAT BerAKHLAK</v>
      </c>
      <c r="K563" s="5" t="s">
        <v>5156</v>
      </c>
      <c r="L563" s="5" t="s">
        <v>5484</v>
      </c>
    </row>
    <row r="564">
      <c r="A564" s="4">
        <v>45534.32226296296</v>
      </c>
      <c r="B564" s="5" t="s">
        <v>34</v>
      </c>
      <c r="D564" s="5" t="s">
        <v>35</v>
      </c>
      <c r="E564" s="5" t="s">
        <v>5489</v>
      </c>
      <c r="F564" s="5" t="s">
        <v>375</v>
      </c>
      <c r="G564" s="5" t="s">
        <v>5490</v>
      </c>
      <c r="H564" s="6" t="s">
        <v>5491</v>
      </c>
      <c r="I564" s="7" t="s">
        <v>5492</v>
      </c>
      <c r="J564" s="8" t="str">
        <f>HYPERLINK("https://drive.google.com/file/d/10UHXEd7p7fz6Tba2RYCd2YiRfXcvmsTi/view?usp=drivesdk","CHRISTIAN BAMBANG TRIWAHYUJATI, S.E SERTIFIKAT BerAKHLAK")</f>
        <v>CHRISTIAN BAMBANG TRIWAHYUJATI, S.E SERTIFIKAT BerAKHLAK</v>
      </c>
      <c r="K564" s="5" t="s">
        <v>5156</v>
      </c>
      <c r="L564" s="5" t="s">
        <v>5493</v>
      </c>
    </row>
    <row r="565">
      <c r="A565" s="4">
        <v>45534.32227240741</v>
      </c>
      <c r="B565" s="5" t="s">
        <v>34</v>
      </c>
      <c r="D565" s="5" t="s">
        <v>1206</v>
      </c>
      <c r="E565" s="5" t="s">
        <v>5498</v>
      </c>
      <c r="F565" s="5" t="s">
        <v>212</v>
      </c>
      <c r="G565" s="5" t="s">
        <v>5499</v>
      </c>
      <c r="H565" s="6" t="s">
        <v>5500</v>
      </c>
      <c r="I565" s="7" t="s">
        <v>5501</v>
      </c>
      <c r="J565" s="8" t="str">
        <f>HYPERLINK("https://drive.google.com/file/d/1JU278w8ekGDAKQ3gWS0BtLjluanK5o4U/view?usp=drivesdk","SULISTYOWATI SERTIFIKAT BerAKHLAK")</f>
        <v>SULISTYOWATI SERTIFIKAT BerAKHLAK</v>
      </c>
      <c r="K565" s="5" t="s">
        <v>5156</v>
      </c>
      <c r="L565" s="5" t="s">
        <v>5502</v>
      </c>
    </row>
    <row r="566">
      <c r="A566" s="4">
        <v>45534.32231413195</v>
      </c>
      <c r="B566" s="5" t="s">
        <v>34</v>
      </c>
      <c r="D566" s="5" t="s">
        <v>1206</v>
      </c>
      <c r="E566" s="5" t="s">
        <v>5507</v>
      </c>
      <c r="F566" s="5" t="s">
        <v>524</v>
      </c>
      <c r="G566" s="5" t="s">
        <v>5508</v>
      </c>
      <c r="H566" s="6" t="s">
        <v>5509</v>
      </c>
      <c r="I566" s="7" t="s">
        <v>5510</v>
      </c>
      <c r="J566" s="8" t="str">
        <f>HYPERLINK("https://drive.google.com/file/d/1pgcBjt64hp9UGMLn_d601KoqdsO0Um1J/view?usp=drivesdk","YULIA TUTUS ANGGRAINI, A.Md. SERTIFIKAT BerAKHLAK")</f>
        <v>YULIA TUTUS ANGGRAINI, A.Md. SERTIFIKAT BerAKHLAK</v>
      </c>
      <c r="K566" s="5" t="s">
        <v>5156</v>
      </c>
      <c r="L566" s="5" t="s">
        <v>5511</v>
      </c>
    </row>
    <row r="567">
      <c r="A567" s="4">
        <v>45534.322316805556</v>
      </c>
      <c r="B567" s="5" t="s">
        <v>34</v>
      </c>
      <c r="D567" s="5" t="s">
        <v>1692</v>
      </c>
      <c r="E567" s="5" t="s">
        <v>5517</v>
      </c>
      <c r="F567" s="5" t="s">
        <v>524</v>
      </c>
      <c r="G567" s="5" t="s">
        <v>5518</v>
      </c>
      <c r="H567" s="6" t="s">
        <v>5519</v>
      </c>
      <c r="I567" s="7" t="s">
        <v>5520</v>
      </c>
      <c r="J567" s="8" t="str">
        <f>HYPERLINK("https://drive.google.com/file/d/19upEl06vDge-tnc3zWFR72raTR5C8xTS/view?usp=drivesdk","SALMA TUHULELE S.Kep SERTIFIKAT BerAKHLAK")</f>
        <v>SALMA TUHULELE S.Kep SERTIFIKAT BerAKHLAK</v>
      </c>
      <c r="K567" s="5" t="s">
        <v>5156</v>
      </c>
      <c r="L567" s="5" t="s">
        <v>5521</v>
      </c>
    </row>
    <row r="568">
      <c r="A568" s="4">
        <v>45534.32236045139</v>
      </c>
      <c r="B568" s="5" t="s">
        <v>34</v>
      </c>
      <c r="D568" s="5" t="s">
        <v>35</v>
      </c>
      <c r="E568" s="5" t="s">
        <v>5526</v>
      </c>
      <c r="F568" s="5" t="s">
        <v>37</v>
      </c>
      <c r="G568" s="5" t="s">
        <v>5527</v>
      </c>
      <c r="H568" s="6" t="s">
        <v>5528</v>
      </c>
      <c r="I568" s="7" t="s">
        <v>5529</v>
      </c>
      <c r="J568" s="8" t="str">
        <f>HYPERLINK("https://drive.google.com/file/d/1AGYncXyLJlKBcjOzjm_IlHZFpe60e1Ig/view?usp=drivesdk","PENGATUR ST MUANIPAH SERTIFIKAT BerAKHLAK")</f>
        <v>PENGATUR ST MUANIPAH SERTIFIKAT BerAKHLAK</v>
      </c>
      <c r="K568" s="5" t="s">
        <v>5156</v>
      </c>
      <c r="L568" s="5" t="s">
        <v>5530</v>
      </c>
    </row>
    <row r="569">
      <c r="A569" s="4">
        <v>45534.3223693287</v>
      </c>
      <c r="B569" s="5" t="s">
        <v>34</v>
      </c>
      <c r="D569" s="5" t="s">
        <v>35</v>
      </c>
      <c r="E569" s="5" t="s">
        <v>5536</v>
      </c>
      <c r="F569" s="5" t="s">
        <v>72</v>
      </c>
      <c r="G569" s="5" t="s">
        <v>5537</v>
      </c>
      <c r="H569" s="6" t="s">
        <v>5538</v>
      </c>
      <c r="I569" s="7" t="s">
        <v>5539</v>
      </c>
      <c r="J569" s="8" t="str">
        <f>HYPERLINK("https://drive.google.com/file/d/1XYFAU9ME7DcSvtQKB86cLfpX_qR_mI3O/view?usp=drivesdk","YUNIAR EKA WAHYUNINGTYAS, AMd.Keb. SERTIFIKAT BerAKHLAK")</f>
        <v>YUNIAR EKA WAHYUNINGTYAS, AMd.Keb. SERTIFIKAT BerAKHLAK</v>
      </c>
      <c r="K569" s="5" t="s">
        <v>5156</v>
      </c>
      <c r="L569" s="5" t="s">
        <v>5540</v>
      </c>
    </row>
    <row r="570">
      <c r="A570" s="4">
        <v>45534.32238133102</v>
      </c>
      <c r="B570" s="5" t="s">
        <v>34</v>
      </c>
      <c r="D570" s="5" t="s">
        <v>267</v>
      </c>
      <c r="E570" s="5" t="s">
        <v>5545</v>
      </c>
      <c r="F570" s="5" t="s">
        <v>72</v>
      </c>
      <c r="G570" s="5" t="s">
        <v>5546</v>
      </c>
      <c r="H570" s="6" t="s">
        <v>5547</v>
      </c>
      <c r="I570" s="7" t="s">
        <v>5548</v>
      </c>
      <c r="J570" s="8" t="str">
        <f>HYPERLINK("https://drive.google.com/file/d/17eaFKTO321IyL9LciICKK2EDoCUhBNKt/view?usp=drivesdk","RINA SRI WIDIYANTI, S.E. SERTIFIKAT BerAKHLAK")</f>
        <v>RINA SRI WIDIYANTI, S.E. SERTIFIKAT BerAKHLAK</v>
      </c>
      <c r="K570" s="5" t="s">
        <v>5156</v>
      </c>
      <c r="L570" s="5" t="s">
        <v>5549</v>
      </c>
    </row>
    <row r="571">
      <c r="A571" s="4">
        <v>45534.32240547454</v>
      </c>
      <c r="B571" s="5" t="s">
        <v>34</v>
      </c>
      <c r="D571" s="5" t="s">
        <v>1768</v>
      </c>
      <c r="E571" s="5" t="s">
        <v>5554</v>
      </c>
      <c r="F571" s="5" t="s">
        <v>37</v>
      </c>
      <c r="G571" s="5" t="s">
        <v>5555</v>
      </c>
      <c r="H571" s="6" t="s">
        <v>5556</v>
      </c>
      <c r="I571" s="7" t="s">
        <v>5557</v>
      </c>
      <c r="J571" s="8" t="str">
        <f>HYPERLINK("https://drive.google.com/file/d/1_L7rGAb4LT77g7GBK7GzddX2lmFVab8x/view?usp=drivesdk","NIKEN SURYAWATI SERTIFIKAT BerAKHLAK")</f>
        <v>NIKEN SURYAWATI SERTIFIKAT BerAKHLAK</v>
      </c>
      <c r="K571" s="5" t="s">
        <v>5156</v>
      </c>
      <c r="L571" s="5" t="s">
        <v>5558</v>
      </c>
    </row>
    <row r="572">
      <c r="A572" s="4">
        <v>45534.32240990741</v>
      </c>
      <c r="B572" s="5" t="s">
        <v>19</v>
      </c>
      <c r="C572" s="5" t="s">
        <v>5564</v>
      </c>
      <c r="E572" s="5" t="s">
        <v>5565</v>
      </c>
      <c r="F572" s="5" t="s">
        <v>5566</v>
      </c>
      <c r="G572" s="5" t="s">
        <v>5567</v>
      </c>
      <c r="H572" s="6" t="s">
        <v>5568</v>
      </c>
      <c r="I572" s="7" t="s">
        <v>5569</v>
      </c>
      <c r="J572" s="8" t="str">
        <f>HYPERLINK("https://drive.google.com/file/d/103IW8csSFsTyKx67X6piIx_pgpZp7Y4a/view?usp=drivesdk","AZALIKA NINDYA ADHIGANA SERTIFIKAT BerAKHLAK")</f>
        <v>AZALIKA NINDYA ADHIGANA SERTIFIKAT BerAKHLAK</v>
      </c>
      <c r="K572" s="5" t="s">
        <v>5156</v>
      </c>
      <c r="L572" s="5" t="s">
        <v>5570</v>
      </c>
    </row>
    <row r="573">
      <c r="A573" s="4">
        <v>45534.3224443287</v>
      </c>
      <c r="B573" s="5" t="s">
        <v>34</v>
      </c>
      <c r="D573" s="5" t="s">
        <v>267</v>
      </c>
      <c r="E573" s="5" t="s">
        <v>5575</v>
      </c>
      <c r="F573" s="5" t="s">
        <v>375</v>
      </c>
      <c r="G573" s="5" t="s">
        <v>5576</v>
      </c>
      <c r="H573" s="6" t="s">
        <v>5577</v>
      </c>
      <c r="I573" s="7" t="s">
        <v>5578</v>
      </c>
      <c r="J573" s="8" t="str">
        <f>HYPERLINK("https://drive.google.com/file/d/1KmE4CB9E5X--bxRWYB27l_fWUYWTyAcI/view?usp=drivesdk","TITO HENDRA WIJAYA SERTIFIKAT BerAKHLAK")</f>
        <v>TITO HENDRA WIJAYA SERTIFIKAT BerAKHLAK</v>
      </c>
      <c r="K573" s="5" t="s">
        <v>5156</v>
      </c>
      <c r="L573" s="5" t="s">
        <v>5579</v>
      </c>
    </row>
    <row r="574">
      <c r="A574" s="4">
        <v>45534.32245883102</v>
      </c>
      <c r="B574" s="5" t="s">
        <v>19</v>
      </c>
      <c r="C574" s="5" t="s">
        <v>5564</v>
      </c>
      <c r="E574" s="5" t="s">
        <v>5584</v>
      </c>
      <c r="F574" s="5" t="s">
        <v>5585</v>
      </c>
      <c r="G574" s="5" t="s">
        <v>5586</v>
      </c>
      <c r="H574" s="6" t="s">
        <v>5587</v>
      </c>
      <c r="I574" s="7" t="s">
        <v>5588</v>
      </c>
      <c r="J574" s="8" t="str">
        <f>HYPERLINK("https://drive.google.com/file/d/1Tr_yqHSXRAoWUwDloP2BeUFk_vOeRhmJ/view?usp=drivesdk","ASTRID MURTININGSIH SERTIFIKAT BerAKHLAK")</f>
        <v>ASTRID MURTININGSIH SERTIFIKAT BerAKHLAK</v>
      </c>
      <c r="K574" s="5" t="s">
        <v>5156</v>
      </c>
      <c r="L574" s="5" t="s">
        <v>5589</v>
      </c>
    </row>
    <row r="575">
      <c r="A575" s="4">
        <v>45534.32246725695</v>
      </c>
      <c r="B575" s="5" t="s">
        <v>34</v>
      </c>
      <c r="D575" s="5" t="s">
        <v>1206</v>
      </c>
      <c r="E575" s="5" t="s">
        <v>5594</v>
      </c>
      <c r="F575" s="5" t="s">
        <v>37</v>
      </c>
      <c r="G575" s="5" t="s">
        <v>5595</v>
      </c>
      <c r="H575" s="6" t="s">
        <v>5596</v>
      </c>
      <c r="I575" s="7" t="s">
        <v>5597</v>
      </c>
      <c r="J575" s="8" t="str">
        <f>HYPERLINK("https://drive.google.com/file/d/14jrXYY594Ad2WZufs1YVZQmYx8Q-riHS/view?usp=drivesdk","FITRIYA YULIHARTANTI SERTIFIKAT BerAKHLAK")</f>
        <v>FITRIYA YULIHARTANTI SERTIFIKAT BerAKHLAK</v>
      </c>
      <c r="K575" s="5" t="s">
        <v>5598</v>
      </c>
      <c r="L575" s="5" t="s">
        <v>5599</v>
      </c>
    </row>
    <row r="576">
      <c r="A576" s="4">
        <v>45534.32248130787</v>
      </c>
      <c r="B576" s="5" t="s">
        <v>34</v>
      </c>
      <c r="D576" s="5" t="s">
        <v>35</v>
      </c>
      <c r="E576" s="5" t="s">
        <v>5605</v>
      </c>
      <c r="F576" s="5" t="s">
        <v>37</v>
      </c>
      <c r="G576" s="5" t="s">
        <v>5606</v>
      </c>
      <c r="H576" s="6" t="s">
        <v>5607</v>
      </c>
      <c r="I576" s="7" t="s">
        <v>5608</v>
      </c>
      <c r="J576" s="8" t="str">
        <f>HYPERLINK("https://drive.google.com/file/d/1djWYuzxFM22sf7u8thkIhluyESl7dWOa/view?usp=drivesdk","IMRONZAELANI SERTIFIKAT BerAKHLAK")</f>
        <v>IMRONZAELANI SERTIFIKAT BerAKHLAK</v>
      </c>
      <c r="K576" s="5" t="s">
        <v>5156</v>
      </c>
      <c r="L576" s="5" t="s">
        <v>5609</v>
      </c>
    </row>
    <row r="577">
      <c r="A577" s="4">
        <v>45534.322490798615</v>
      </c>
      <c r="B577" s="5" t="s">
        <v>34</v>
      </c>
      <c r="D577" s="5" t="s">
        <v>35</v>
      </c>
      <c r="E577" s="5" t="s">
        <v>5615</v>
      </c>
      <c r="F577" s="5" t="s">
        <v>375</v>
      </c>
      <c r="G577" s="5" t="s">
        <v>5616</v>
      </c>
      <c r="H577" s="6" t="s">
        <v>5617</v>
      </c>
      <c r="I577" s="7" t="s">
        <v>5618</v>
      </c>
      <c r="J577" s="8" t="str">
        <f>HYPERLINK("https://drive.google.com/file/d/1fDygZL0jXP13klcOuoDgCY60avw__Yuu/view?usp=drivesdk","HJ SUHANA WIHANINGSIH, S.Ap SERTIFIKAT BerAKHLAK")</f>
        <v>HJ SUHANA WIHANINGSIH, S.Ap SERTIFIKAT BerAKHLAK</v>
      </c>
      <c r="K577" s="5" t="s">
        <v>5156</v>
      </c>
      <c r="L577" s="5" t="s">
        <v>5619</v>
      </c>
    </row>
    <row r="578">
      <c r="A578" s="4">
        <v>45534.322495625005</v>
      </c>
      <c r="B578" s="5" t="s">
        <v>34</v>
      </c>
      <c r="D578" s="5" t="s">
        <v>580</v>
      </c>
      <c r="E578" s="5" t="s">
        <v>5624</v>
      </c>
      <c r="F578" s="5" t="s">
        <v>375</v>
      </c>
      <c r="G578" s="5" t="s">
        <v>5625</v>
      </c>
      <c r="H578" s="6" t="s">
        <v>5626</v>
      </c>
      <c r="I578" s="7" t="s">
        <v>5627</v>
      </c>
      <c r="J578" s="8" t="str">
        <f>HYPERLINK("https://drive.google.com/file/d/1oowD38OVr-FBHu8no979hvDo7SwRbmhj/view?usp=drivesdk","I NYOMAN P. WAHYUNA, S.E. SERTIFIKAT BerAKHLAK")</f>
        <v>I NYOMAN P. WAHYUNA, S.E. SERTIFIKAT BerAKHLAK</v>
      </c>
      <c r="K578" s="5" t="s">
        <v>5156</v>
      </c>
      <c r="L578" s="5" t="s">
        <v>5628</v>
      </c>
    </row>
    <row r="579">
      <c r="A579" s="4">
        <v>45534.32251518518</v>
      </c>
      <c r="B579" s="5" t="s">
        <v>34</v>
      </c>
      <c r="D579" s="5" t="s">
        <v>35</v>
      </c>
      <c r="E579" s="5" t="s">
        <v>5633</v>
      </c>
      <c r="F579" s="5" t="s">
        <v>375</v>
      </c>
      <c r="G579" s="5" t="s">
        <v>5634</v>
      </c>
      <c r="H579" s="6" t="s">
        <v>5635</v>
      </c>
      <c r="I579" s="7" t="s">
        <v>5636</v>
      </c>
      <c r="J579" s="8" t="str">
        <f>HYPERLINK("https://drive.google.com/file/d/1tbNets7nP4LbgNjrukHozmkF9HfJpYFK/view?usp=drivesdk","TETI ERMIATI, S.H. SERTIFIKAT BerAKHLAK")</f>
        <v>TETI ERMIATI, S.H. SERTIFIKAT BerAKHLAK</v>
      </c>
      <c r="K579" s="5" t="s">
        <v>5598</v>
      </c>
      <c r="L579" s="5" t="s">
        <v>5637</v>
      </c>
    </row>
    <row r="580">
      <c r="A580" s="4">
        <v>45534.32251618056</v>
      </c>
      <c r="B580" s="5" t="s">
        <v>34</v>
      </c>
      <c r="D580" s="5" t="s">
        <v>522</v>
      </c>
      <c r="E580" s="5" t="s">
        <v>5642</v>
      </c>
      <c r="F580" s="5" t="s">
        <v>120</v>
      </c>
      <c r="G580" s="5" t="s">
        <v>5643</v>
      </c>
      <c r="H580" s="6" t="s">
        <v>5644</v>
      </c>
      <c r="I580" s="7" t="s">
        <v>5645</v>
      </c>
      <c r="J580" s="8" t="str">
        <f>HYPERLINK("https://drive.google.com/file/d/16c95SWc4WwqtNyUA601EfMLxZwnsXTs9/view?usp=drivesdk","MAGDALENA COMALASARI POETY, S.E. SERTIFIKAT BerAKHLAK")</f>
        <v>MAGDALENA COMALASARI POETY, S.E. SERTIFIKAT BerAKHLAK</v>
      </c>
      <c r="K580" s="5" t="s">
        <v>5598</v>
      </c>
      <c r="L580" s="5" t="s">
        <v>5646</v>
      </c>
    </row>
    <row r="581">
      <c r="A581" s="4">
        <v>45534.32252773148</v>
      </c>
      <c r="B581" s="5" t="s">
        <v>34</v>
      </c>
      <c r="D581" s="5" t="s">
        <v>522</v>
      </c>
      <c r="E581" s="5" t="s">
        <v>5652</v>
      </c>
      <c r="F581" s="5" t="s">
        <v>212</v>
      </c>
      <c r="G581" s="5" t="s">
        <v>5653</v>
      </c>
      <c r="H581" s="6" t="s">
        <v>5654</v>
      </c>
      <c r="I581" s="7" t="s">
        <v>5655</v>
      </c>
      <c r="J581" s="8" t="str">
        <f>HYPERLINK("https://drive.google.com/file/d/1cHbU-yYnXP5qUK3-oCIAsCrHoG4RuOSX/view?usp=drivesdk","HADIYATOLLAH SERTIFIKAT BerAKHLAK")</f>
        <v>HADIYATOLLAH SERTIFIKAT BerAKHLAK</v>
      </c>
      <c r="K581" s="5" t="s">
        <v>5156</v>
      </c>
      <c r="L581" s="5" t="s">
        <v>5656</v>
      </c>
    </row>
    <row r="582">
      <c r="A582" s="4">
        <v>45534.32256523149</v>
      </c>
      <c r="B582" s="5" t="s">
        <v>34</v>
      </c>
      <c r="D582" s="5" t="s">
        <v>996</v>
      </c>
      <c r="E582" s="5" t="s">
        <v>5661</v>
      </c>
      <c r="F582" s="5" t="s">
        <v>375</v>
      </c>
      <c r="G582" s="5" t="s">
        <v>5662</v>
      </c>
      <c r="H582" s="6" t="s">
        <v>5663</v>
      </c>
      <c r="I582" s="7" t="s">
        <v>5664</v>
      </c>
      <c r="J582" s="8" t="str">
        <f>HYPERLINK("https://drive.google.com/file/d/1XQ9yaZzMq07WBM0uZTBeoTtCvXgkILi1/view?usp=drivesdk","H. BAMBANG MEDIANTO, SE SERTIFIKAT BerAKHLAK")</f>
        <v>H. BAMBANG MEDIANTO, SE SERTIFIKAT BerAKHLAK</v>
      </c>
      <c r="K582" s="5" t="s">
        <v>5156</v>
      </c>
      <c r="L582" s="5" t="s">
        <v>5665</v>
      </c>
    </row>
    <row r="583">
      <c r="A583" s="4">
        <v>45534.3225669213</v>
      </c>
      <c r="B583" s="5" t="s">
        <v>34</v>
      </c>
      <c r="D583" s="5" t="s">
        <v>267</v>
      </c>
      <c r="E583" s="5" t="s">
        <v>5671</v>
      </c>
      <c r="F583" s="5" t="s">
        <v>212</v>
      </c>
      <c r="G583" s="5" t="s">
        <v>5672</v>
      </c>
      <c r="H583" s="6" t="s">
        <v>5673</v>
      </c>
      <c r="I583" s="7" t="s">
        <v>5674</v>
      </c>
      <c r="J583" s="8" t="str">
        <f>HYPERLINK("https://drive.google.com/file/d/1Qt2oOT3C-lsiLtUgI_3Y3V7qm-wUN8ix/view?usp=drivesdk","HERLINA PANGKI N SERTIFIKAT BerAKHLAK")</f>
        <v>HERLINA PANGKI N SERTIFIKAT BerAKHLAK</v>
      </c>
      <c r="K583" s="5" t="s">
        <v>5156</v>
      </c>
      <c r="L583" s="5" t="s">
        <v>5675</v>
      </c>
    </row>
    <row r="584">
      <c r="A584" s="4">
        <v>45534.32258146991</v>
      </c>
      <c r="B584" s="5" t="s">
        <v>34</v>
      </c>
      <c r="D584" s="5" t="s">
        <v>3432</v>
      </c>
      <c r="E584" s="5" t="s">
        <v>5680</v>
      </c>
      <c r="F584" s="5" t="s">
        <v>212</v>
      </c>
      <c r="G584" s="5" t="s">
        <v>5681</v>
      </c>
      <c r="H584" s="6" t="s">
        <v>5682</v>
      </c>
      <c r="I584" s="7" t="s">
        <v>5683</v>
      </c>
      <c r="J584" s="8" t="str">
        <f>HYPERLINK("https://drive.google.com/file/d/1KzuHJSNk6CC6fMLr_vqkjV_jjZh48VIE/view?usp=drivesdk","DANU SULISTYA SERTIFIKAT BerAKHLAK")</f>
        <v>DANU SULISTYA SERTIFIKAT BerAKHLAK</v>
      </c>
      <c r="K584" s="5" t="s">
        <v>5156</v>
      </c>
      <c r="L584" s="5" t="s">
        <v>5684</v>
      </c>
    </row>
    <row r="585">
      <c r="A585" s="4">
        <v>45534.32258641203</v>
      </c>
      <c r="B585" s="5" t="s">
        <v>34</v>
      </c>
      <c r="D585" s="5" t="s">
        <v>975</v>
      </c>
      <c r="E585" s="5" t="s">
        <v>5689</v>
      </c>
      <c r="F585" s="5" t="s">
        <v>108</v>
      </c>
      <c r="G585" s="5" t="s">
        <v>5690</v>
      </c>
      <c r="H585" s="6" t="s">
        <v>5691</v>
      </c>
      <c r="I585" s="7" t="s">
        <v>5692</v>
      </c>
      <c r="J585" s="8" t="str">
        <f>HYPERLINK("https://drive.google.com/file/d/1nU4G-IsGNkUmlftYMc8-6o-jqZyDDRez/view?usp=drivesdk","DEWI PURNAMA SARI,SE SERTIFIKAT BerAKHLAK")</f>
        <v>DEWI PURNAMA SARI,SE SERTIFIKAT BerAKHLAK</v>
      </c>
      <c r="K585" s="5" t="s">
        <v>5156</v>
      </c>
      <c r="L585" s="5" t="s">
        <v>5693</v>
      </c>
    </row>
    <row r="586">
      <c r="A586" s="4">
        <v>45534.322597962964</v>
      </c>
      <c r="B586" s="5" t="s">
        <v>19</v>
      </c>
      <c r="C586" s="5" t="s">
        <v>292</v>
      </c>
      <c r="E586" s="5" t="s">
        <v>5699</v>
      </c>
      <c r="F586" s="5" t="s">
        <v>108</v>
      </c>
      <c r="G586" s="5" t="s">
        <v>5700</v>
      </c>
      <c r="H586" s="6" t="s">
        <v>5701</v>
      </c>
      <c r="I586" s="7" t="s">
        <v>5702</v>
      </c>
      <c r="J586" s="8" t="str">
        <f>HYPERLINK("https://drive.google.com/file/d/1k_sHiuhiWOK08j4tWiLM0y9Du0sMXSxL/view?usp=drivesdk","NUR CAHYANTI, S. AP.  SERTIFIKAT BerAKHLAK")</f>
        <v>NUR CAHYANTI, S. AP.  SERTIFIKAT BerAKHLAK</v>
      </c>
      <c r="K586" s="5" t="s">
        <v>5156</v>
      </c>
      <c r="L586" s="5" t="s">
        <v>5703</v>
      </c>
    </row>
    <row r="587">
      <c r="A587" s="4">
        <v>45534.32259804398</v>
      </c>
      <c r="B587" s="5" t="s">
        <v>34</v>
      </c>
      <c r="D587" s="5" t="s">
        <v>1768</v>
      </c>
      <c r="E587" s="5" t="s">
        <v>5708</v>
      </c>
      <c r="F587" s="5" t="s">
        <v>212</v>
      </c>
      <c r="G587" s="5" t="s">
        <v>5709</v>
      </c>
      <c r="H587" s="6" t="s">
        <v>5710</v>
      </c>
      <c r="I587" s="7" t="s">
        <v>5711</v>
      </c>
      <c r="J587" s="8" t="str">
        <f>HYPERLINK("https://drive.google.com/file/d/1P98HKIpx2-yGJFwEPUEFKEUuFz1zpFw6/view?usp=drivesdk","MAHENDRA BAGUS PURNAMA, A.Md.,Far SERTIFIKAT BerAKHLAK")</f>
        <v>MAHENDRA BAGUS PURNAMA, A.Md.,Far SERTIFIKAT BerAKHLAK</v>
      </c>
      <c r="K587" s="5" t="s">
        <v>5598</v>
      </c>
      <c r="L587" s="5" t="s">
        <v>5712</v>
      </c>
    </row>
    <row r="588">
      <c r="A588" s="4">
        <v>45534.32266173611</v>
      </c>
      <c r="B588" s="5" t="s">
        <v>34</v>
      </c>
      <c r="D588" s="5" t="s">
        <v>35</v>
      </c>
      <c r="E588" s="5" t="s">
        <v>5717</v>
      </c>
      <c r="F588" s="5" t="s">
        <v>212</v>
      </c>
      <c r="G588" s="5" t="s">
        <v>5718</v>
      </c>
      <c r="H588" s="6" t="s">
        <v>5719</v>
      </c>
      <c r="I588" s="7" t="s">
        <v>5720</v>
      </c>
      <c r="J588" s="8" t="str">
        <f>HYPERLINK("https://drive.google.com/file/d/1AKe-dphaHaBH6faGmqQRYfC-hj9UgoBS/view?usp=drivesdk","HENDI HERNADI S.H SERTIFIKAT BerAKHLAK")</f>
        <v>HENDI HERNADI S.H SERTIFIKAT BerAKHLAK</v>
      </c>
      <c r="K588" s="5" t="s">
        <v>5156</v>
      </c>
      <c r="L588" s="5" t="s">
        <v>5721</v>
      </c>
    </row>
    <row r="589">
      <c r="A589" s="4">
        <v>45534.32266474537</v>
      </c>
      <c r="B589" s="5" t="s">
        <v>34</v>
      </c>
      <c r="D589" s="5" t="s">
        <v>35</v>
      </c>
      <c r="E589" s="5" t="s">
        <v>5727</v>
      </c>
      <c r="F589" s="5" t="s">
        <v>524</v>
      </c>
      <c r="G589" s="5" t="s">
        <v>5728</v>
      </c>
      <c r="H589" s="6" t="s">
        <v>5729</v>
      </c>
      <c r="I589" s="7" t="s">
        <v>5730</v>
      </c>
      <c r="J589" s="8" t="str">
        <f>HYPERLINK("https://drive.google.com/file/d/1ktRtL-9zFlOkGyyooAl9iaR1rJDd0Jfi/view?usp=drivesdk","HERI SYUHAERI SERTIFIKAT BerAKHLAK")</f>
        <v>HERI SYUHAERI SERTIFIKAT BerAKHLAK</v>
      </c>
      <c r="K589" s="5" t="s">
        <v>5156</v>
      </c>
      <c r="L589" s="5" t="s">
        <v>5731</v>
      </c>
    </row>
    <row r="590">
      <c r="A590" s="4">
        <v>45534.32267916667</v>
      </c>
      <c r="B590" s="5" t="s">
        <v>34</v>
      </c>
      <c r="D590" s="5" t="s">
        <v>35</v>
      </c>
      <c r="E590" s="5" t="s">
        <v>5736</v>
      </c>
      <c r="F590" s="5" t="s">
        <v>715</v>
      </c>
      <c r="G590" s="5" t="s">
        <v>5737</v>
      </c>
      <c r="H590" s="6" t="s">
        <v>5738</v>
      </c>
      <c r="I590" s="7" t="s">
        <v>5739</v>
      </c>
      <c r="J590" s="8" t="str">
        <f>HYPERLINK("https://drive.google.com/file/d/1apQ9VW9YQQP2knN0BfHL2yP3gHo8h-mM/view?usp=drivesdk","UJANG SAEPULOH,SPd SERTIFIKAT BerAKHLAK")</f>
        <v>UJANG SAEPULOH,SPd SERTIFIKAT BerAKHLAK</v>
      </c>
      <c r="K590" s="5" t="s">
        <v>5156</v>
      </c>
      <c r="L590" s="5" t="s">
        <v>5740</v>
      </c>
    </row>
    <row r="591">
      <c r="A591" s="4">
        <v>45534.32271184028</v>
      </c>
      <c r="B591" s="5" t="s">
        <v>19</v>
      </c>
      <c r="C591" s="5" t="s">
        <v>292</v>
      </c>
      <c r="E591" s="5" t="s">
        <v>5746</v>
      </c>
      <c r="F591" s="5" t="s">
        <v>524</v>
      </c>
      <c r="G591" s="5" t="s">
        <v>5747</v>
      </c>
      <c r="H591" s="6" t="s">
        <v>5748</v>
      </c>
      <c r="I591" s="7" t="s">
        <v>5749</v>
      </c>
      <c r="J591" s="8" t="str">
        <f>HYPERLINK("https://drive.google.com/file/d/1DWFsS8NuJG28dB1zFrEGeDQXRh65RPiB/view?usp=drivesdk","IRA YUNIARTI,SP.d. SERTIFIKAT BerAKHLAK")</f>
        <v>IRA YUNIARTI,SP.d. SERTIFIKAT BerAKHLAK</v>
      </c>
      <c r="K591" s="5" t="s">
        <v>5598</v>
      </c>
      <c r="L591" s="5" t="s">
        <v>5750</v>
      </c>
    </row>
    <row r="592">
      <c r="A592" s="4">
        <v>45534.32272144676</v>
      </c>
      <c r="B592" s="5" t="s">
        <v>34</v>
      </c>
      <c r="D592" s="5" t="s">
        <v>267</v>
      </c>
      <c r="E592" s="5" t="s">
        <v>5755</v>
      </c>
      <c r="F592" s="5" t="s">
        <v>524</v>
      </c>
      <c r="G592" s="5" t="s">
        <v>5756</v>
      </c>
      <c r="H592" s="6" t="s">
        <v>5757</v>
      </c>
      <c r="I592" s="7" t="s">
        <v>5758</v>
      </c>
      <c r="J592" s="8" t="str">
        <f>HYPERLINK("https://drive.google.com/file/d/1ZvXKqcNSkF-Rat-kFw2RkHaPQgva-Igv/view?usp=drivesdk","MUSANTO SANTO SERTIFIKAT BerAKHLAK")</f>
        <v>MUSANTO SANTO SERTIFIKAT BerAKHLAK</v>
      </c>
      <c r="K592" s="5" t="s">
        <v>5598</v>
      </c>
      <c r="L592" s="5" t="s">
        <v>5759</v>
      </c>
    </row>
    <row r="593">
      <c r="A593" s="4">
        <v>45534.3227344676</v>
      </c>
      <c r="B593" s="5" t="s">
        <v>34</v>
      </c>
      <c r="D593" s="5" t="s">
        <v>35</v>
      </c>
      <c r="E593" s="5" t="s">
        <v>5764</v>
      </c>
      <c r="F593" s="5" t="s">
        <v>375</v>
      </c>
      <c r="G593" s="5" t="s">
        <v>5765</v>
      </c>
      <c r="H593" s="6" t="s">
        <v>5766</v>
      </c>
      <c r="I593" s="7" t="s">
        <v>5767</v>
      </c>
      <c r="J593" s="8" t="str">
        <f>HYPERLINK("https://drive.google.com/file/d/1n0Q0ZCQbF-vVm2BzrZFA2UZDtBVSXowS/view?usp=drivesdk","FERRY FARMONO, SE SERTIFIKAT BerAKHLAK")</f>
        <v>FERRY FARMONO, SE SERTIFIKAT BerAKHLAK</v>
      </c>
      <c r="K593" s="5" t="s">
        <v>5156</v>
      </c>
      <c r="L593" s="5" t="s">
        <v>5768</v>
      </c>
    </row>
    <row r="594">
      <c r="A594" s="4">
        <v>45534.322769039354</v>
      </c>
      <c r="B594" s="5" t="s">
        <v>19</v>
      </c>
      <c r="C594" s="5" t="s">
        <v>466</v>
      </c>
      <c r="E594" s="5" t="s">
        <v>5773</v>
      </c>
      <c r="F594" s="5" t="s">
        <v>108</v>
      </c>
      <c r="G594" s="5" t="s">
        <v>5774</v>
      </c>
      <c r="H594" s="6" t="s">
        <v>5775</v>
      </c>
      <c r="I594" s="7" t="s">
        <v>5776</v>
      </c>
      <c r="J594" s="8" t="str">
        <f>HYPERLINK("https://drive.google.com/file/d/1TnhYMlF3VrgFLFznrblPMWpsb6uTeMY3/view?usp=drivesdk","PRITA ROSSANI, A.Md. SERTIFIKAT BerAKHLAK")</f>
        <v>PRITA ROSSANI, A.Md. SERTIFIKAT BerAKHLAK</v>
      </c>
      <c r="K594" s="5" t="s">
        <v>5156</v>
      </c>
      <c r="L594" s="5" t="s">
        <v>5777</v>
      </c>
    </row>
    <row r="595">
      <c r="A595" s="4">
        <v>45534.32277533565</v>
      </c>
      <c r="B595" s="5" t="s">
        <v>34</v>
      </c>
      <c r="D595" s="5" t="s">
        <v>1692</v>
      </c>
      <c r="E595" s="5" t="s">
        <v>5783</v>
      </c>
      <c r="F595" s="5" t="s">
        <v>212</v>
      </c>
      <c r="G595" s="5" t="s">
        <v>5784</v>
      </c>
      <c r="H595" s="6" t="s">
        <v>5785</v>
      </c>
      <c r="I595" s="7" t="s">
        <v>5786</v>
      </c>
      <c r="J595" s="8" t="str">
        <f>HYPERLINK("https://drive.google.com/file/d/1U8FH59X8bct0lOfh_vAmRve64TmXleqf/view?usp=drivesdk","NONI ADUNG DAMSIK SERTIFIKAT BerAKHLAK")</f>
        <v>NONI ADUNG DAMSIK SERTIFIKAT BerAKHLAK</v>
      </c>
      <c r="K595" s="5" t="s">
        <v>5598</v>
      </c>
      <c r="L595" s="5" t="s">
        <v>5787</v>
      </c>
    </row>
    <row r="596">
      <c r="A596" s="4">
        <v>45534.32277854167</v>
      </c>
      <c r="B596" s="5" t="s">
        <v>34</v>
      </c>
      <c r="D596" s="5" t="s">
        <v>35</v>
      </c>
      <c r="E596" s="5" t="s">
        <v>5792</v>
      </c>
      <c r="F596" s="5" t="s">
        <v>37</v>
      </c>
      <c r="G596" s="5" t="s">
        <v>5793</v>
      </c>
      <c r="H596" s="6" t="s">
        <v>5794</v>
      </c>
      <c r="I596" s="7" t="s">
        <v>5795</v>
      </c>
      <c r="J596" s="8" t="str">
        <f>HYPERLINK("https://drive.google.com/file/d/1_Bb65MjlkkSOXiN1pDnqQS2f8kwFoDl8/view?usp=drivesdk","HENDRAWIJAYA SERTIFIKAT BerAKHLAK")</f>
        <v>HENDRAWIJAYA SERTIFIKAT BerAKHLAK</v>
      </c>
      <c r="K596" s="5" t="s">
        <v>5598</v>
      </c>
      <c r="L596" s="5" t="s">
        <v>5796</v>
      </c>
    </row>
    <row r="597">
      <c r="A597" s="4">
        <v>45534.322787743055</v>
      </c>
      <c r="B597" s="5" t="s">
        <v>34</v>
      </c>
      <c r="D597" s="5" t="s">
        <v>3849</v>
      </c>
      <c r="E597" s="5" t="s">
        <v>5802</v>
      </c>
      <c r="F597" s="5" t="s">
        <v>524</v>
      </c>
      <c r="G597" s="5" t="s">
        <v>5803</v>
      </c>
      <c r="H597" s="6" t="s">
        <v>5804</v>
      </c>
      <c r="I597" s="7" t="s">
        <v>5805</v>
      </c>
      <c r="J597" s="8" t="str">
        <f>HYPERLINK("https://drive.google.com/file/d/11c1WbyQ6jYX51g2R3gvZVj2J9JXO5iAt/view?usp=drivesdk","RONALD HADINATA  SERTIFIKAT BerAKHLAK")</f>
        <v>RONALD HADINATA  SERTIFIKAT BerAKHLAK</v>
      </c>
      <c r="K597" s="5" t="s">
        <v>5598</v>
      </c>
      <c r="L597" s="5" t="s">
        <v>5806</v>
      </c>
    </row>
    <row r="598">
      <c r="A598" s="4">
        <v>45534.3228706713</v>
      </c>
      <c r="B598" s="5" t="s">
        <v>34</v>
      </c>
      <c r="D598" s="5" t="s">
        <v>522</v>
      </c>
      <c r="E598" s="5" t="s">
        <v>5811</v>
      </c>
      <c r="F598" s="5" t="s">
        <v>37</v>
      </c>
      <c r="G598" s="5" t="s">
        <v>5812</v>
      </c>
      <c r="H598" s="6" t="s">
        <v>5813</v>
      </c>
      <c r="I598" s="7" t="s">
        <v>5814</v>
      </c>
      <c r="J598" s="8" t="str">
        <f>HYPERLINK("https://drive.google.com/file/d/1iAJLgUnfhsDATKJqhky4Y4ITPTxYBzrR/view?usp=drivesdk","SRI YULIANA RAHAYU, A.Md.Kep. SERTIFIKAT BerAKHLAK")</f>
        <v>SRI YULIANA RAHAYU, A.Md.Kep. SERTIFIKAT BerAKHLAK</v>
      </c>
      <c r="K598" s="5" t="s">
        <v>5598</v>
      </c>
      <c r="L598" s="5" t="s">
        <v>5815</v>
      </c>
    </row>
    <row r="599">
      <c r="A599" s="4">
        <v>45534.32290277778</v>
      </c>
      <c r="B599" s="5" t="s">
        <v>19</v>
      </c>
      <c r="C599" s="5" t="s">
        <v>292</v>
      </c>
      <c r="E599" s="5" t="s">
        <v>5821</v>
      </c>
      <c r="F599" s="5" t="s">
        <v>108</v>
      </c>
      <c r="G599" s="5" t="s">
        <v>5822</v>
      </c>
      <c r="H599" s="6" t="s">
        <v>5823</v>
      </c>
      <c r="I599" s="7" t="s">
        <v>5824</v>
      </c>
      <c r="J599" s="8" t="str">
        <f>HYPERLINK("https://drive.google.com/file/d/1lMJWBbOtOtUFjAfmKWFa4OfRFnH-3WU9/view?usp=drivesdk","PUTU EKAWATI, SKM SERTIFIKAT BerAKHLAK")</f>
        <v>PUTU EKAWATI, SKM SERTIFIKAT BerAKHLAK</v>
      </c>
      <c r="K599" s="5" t="s">
        <v>5598</v>
      </c>
      <c r="L599" s="5" t="s">
        <v>5825</v>
      </c>
    </row>
    <row r="600">
      <c r="A600" s="4">
        <v>45534.32290905093</v>
      </c>
      <c r="B600" s="5" t="s">
        <v>34</v>
      </c>
      <c r="D600" s="5" t="s">
        <v>522</v>
      </c>
      <c r="E600" s="5" t="s">
        <v>5830</v>
      </c>
      <c r="F600" s="5" t="s">
        <v>212</v>
      </c>
      <c r="G600" s="5" t="s">
        <v>5831</v>
      </c>
      <c r="H600" s="6" t="s">
        <v>5832</v>
      </c>
      <c r="I600" s="7" t="s">
        <v>5833</v>
      </c>
      <c r="J600" s="8" t="str">
        <f>HYPERLINK("https://drive.google.com/file/d/1RfrH1qM0kBVaDaDw0VBctKjgBWZwEPxW/view?usp=drivesdk","NI PUTU SUMIARTINI SERTIFIKAT BerAKHLAK")</f>
        <v>NI PUTU SUMIARTINI SERTIFIKAT BerAKHLAK</v>
      </c>
      <c r="K600" s="5" t="s">
        <v>5598</v>
      </c>
      <c r="L600" s="5" t="s">
        <v>5834</v>
      </c>
    </row>
    <row r="601">
      <c r="A601" s="4">
        <v>45534.32293673611</v>
      </c>
      <c r="B601" s="5" t="s">
        <v>19</v>
      </c>
      <c r="C601" s="5" t="s">
        <v>442</v>
      </c>
      <c r="E601" s="5" t="s">
        <v>5839</v>
      </c>
      <c r="F601" s="5" t="s">
        <v>72</v>
      </c>
      <c r="G601" s="5" t="s">
        <v>5840</v>
      </c>
      <c r="H601" s="6" t="s">
        <v>5841</v>
      </c>
      <c r="I601" s="7" t="s">
        <v>5842</v>
      </c>
      <c r="J601" s="8" t="str">
        <f>HYPERLINK("https://drive.google.com/file/d/1MIfG-fG4GYrE4HrSvBxB0TrCgCnMbrfy/view?usp=drivesdk","NI MADE HARTUTININGSIH SERTIFIKAT BerAKHLAK")</f>
        <v>NI MADE HARTUTININGSIH SERTIFIKAT BerAKHLAK</v>
      </c>
      <c r="K601" s="5" t="s">
        <v>5598</v>
      </c>
      <c r="L601" s="5" t="s">
        <v>5843</v>
      </c>
    </row>
    <row r="602">
      <c r="A602" s="4">
        <v>45534.32300130787</v>
      </c>
      <c r="B602" s="5" t="s">
        <v>34</v>
      </c>
      <c r="D602" s="5" t="s">
        <v>1768</v>
      </c>
      <c r="E602" s="5" t="s">
        <v>5848</v>
      </c>
      <c r="F602" s="5" t="s">
        <v>212</v>
      </c>
      <c r="G602" s="5" t="s">
        <v>5849</v>
      </c>
      <c r="H602" s="6" t="s">
        <v>5850</v>
      </c>
      <c r="I602" s="7" t="s">
        <v>5851</v>
      </c>
      <c r="J602" s="8" t="str">
        <f>HYPERLINK("https://drive.google.com/file/d/1yXwjbfmpbVx78RJJi4V9ypi-jaKirBrh/view?usp=drivesdk","DWI PURWANTI SE SERTIFIKAT BerAKHLAK")</f>
        <v>DWI PURWANTI SE SERTIFIKAT BerAKHLAK</v>
      </c>
      <c r="K602" s="5" t="s">
        <v>5598</v>
      </c>
      <c r="L602" s="5" t="s">
        <v>5852</v>
      </c>
    </row>
    <row r="603">
      <c r="A603" s="4">
        <v>45534.32302186343</v>
      </c>
      <c r="B603" s="5" t="s">
        <v>34</v>
      </c>
      <c r="D603" s="5" t="s">
        <v>280</v>
      </c>
      <c r="E603" s="5" t="s">
        <v>5858</v>
      </c>
      <c r="F603" s="5" t="s">
        <v>5859</v>
      </c>
      <c r="G603" s="5" t="s">
        <v>5860</v>
      </c>
      <c r="H603" s="6" t="s">
        <v>5861</v>
      </c>
      <c r="I603" s="7" t="s">
        <v>5862</v>
      </c>
      <c r="J603" s="8" t="str">
        <f>HYPERLINK("https://drive.google.com/file/d/1troeoCcC0yG4TTyn86t9Ag3GPVXK7hp4/view?usp=drivesdk","SYARIFAH FATIN HANANA SERTIFIKAT BerAKHLAK")</f>
        <v>SYARIFAH FATIN HANANA SERTIFIKAT BerAKHLAK</v>
      </c>
      <c r="K603" s="5" t="s">
        <v>5598</v>
      </c>
      <c r="L603" s="5" t="s">
        <v>5863</v>
      </c>
    </row>
    <row r="604">
      <c r="A604" s="4">
        <v>45534.32303491898</v>
      </c>
      <c r="B604" s="5" t="s">
        <v>19</v>
      </c>
      <c r="C604" s="5" t="s">
        <v>466</v>
      </c>
      <c r="E604" s="5" t="s">
        <v>5868</v>
      </c>
      <c r="F604" s="5" t="s">
        <v>524</v>
      </c>
      <c r="G604" s="5" t="s">
        <v>5869</v>
      </c>
      <c r="H604" s="6" t="s">
        <v>5870</v>
      </c>
      <c r="I604" s="7" t="s">
        <v>5871</v>
      </c>
      <c r="J604" s="8" t="str">
        <f>HYPERLINK("https://drive.google.com/file/d/1_USUZ8aIa8XtzvXOArHbF80LdUtyuu0k/view?usp=drivesdk","FITROH DIKA PRADANA SERTIFIKAT BerAKHLAK")</f>
        <v>FITROH DIKA PRADANA SERTIFIKAT BerAKHLAK</v>
      </c>
      <c r="K604" s="5" t="s">
        <v>5598</v>
      </c>
      <c r="L604" s="5" t="s">
        <v>5872</v>
      </c>
    </row>
    <row r="605">
      <c r="A605" s="4">
        <v>45534.323099814814</v>
      </c>
      <c r="B605" s="5" t="s">
        <v>34</v>
      </c>
      <c r="D605" s="5" t="s">
        <v>1206</v>
      </c>
      <c r="E605" s="5" t="s">
        <v>5878</v>
      </c>
      <c r="F605" s="5" t="s">
        <v>37</v>
      </c>
      <c r="G605" s="5" t="s">
        <v>5879</v>
      </c>
      <c r="H605" s="6" t="s">
        <v>5880</v>
      </c>
      <c r="I605" s="7" t="s">
        <v>5881</v>
      </c>
      <c r="J605" s="8" t="str">
        <f>HYPERLINK("https://drive.google.com/file/d/1P_l_LHgvj6UgFNXiRhnLFoLXX2Ejq9Uv/view?usp=drivesdk","DITA INDAH SEPTIARIN SERTIFIKAT BerAKHLAK")</f>
        <v>DITA INDAH SEPTIARIN SERTIFIKAT BerAKHLAK</v>
      </c>
      <c r="K605" s="5" t="s">
        <v>5598</v>
      </c>
      <c r="L605" s="5" t="s">
        <v>5882</v>
      </c>
    </row>
    <row r="606">
      <c r="A606" s="4">
        <v>45534.32311295139</v>
      </c>
      <c r="B606" s="5" t="s">
        <v>34</v>
      </c>
      <c r="D606" s="5" t="s">
        <v>280</v>
      </c>
      <c r="E606" s="5" t="s">
        <v>5887</v>
      </c>
      <c r="F606" s="5" t="s">
        <v>524</v>
      </c>
      <c r="G606" s="5" t="s">
        <v>5888</v>
      </c>
      <c r="H606" s="6" t="s">
        <v>5889</v>
      </c>
      <c r="I606" s="7" t="s">
        <v>5890</v>
      </c>
      <c r="J606" s="8" t="str">
        <f>HYPERLINK("https://drive.google.com/file/d/1YX_31m-xc5VFKMAyNtqb0VP14Xm5fwFv/view?usp=drivesdk","TASWIRA AGUSTINE,S.KKK SERTIFIKAT BerAKHLAK")</f>
        <v>TASWIRA AGUSTINE,S.KKK SERTIFIKAT BerAKHLAK</v>
      </c>
      <c r="K606" s="5" t="s">
        <v>5598</v>
      </c>
      <c r="L606" s="5" t="s">
        <v>5891</v>
      </c>
    </row>
    <row r="607">
      <c r="A607" s="4">
        <v>45534.32311334491</v>
      </c>
      <c r="B607" s="5" t="s">
        <v>19</v>
      </c>
      <c r="C607" s="5" t="s">
        <v>466</v>
      </c>
      <c r="E607" s="5" t="s">
        <v>5896</v>
      </c>
      <c r="F607" s="5" t="s">
        <v>199</v>
      </c>
      <c r="G607" s="5" t="s">
        <v>5897</v>
      </c>
      <c r="H607" s="6" t="s">
        <v>5898</v>
      </c>
      <c r="I607" s="7" t="s">
        <v>5899</v>
      </c>
      <c r="J607" s="8" t="str">
        <f>HYPERLINK("https://drive.google.com/file/d/1lLjx_Rrm3ZTOJE4XndRvlK03Y5JuWx28/view?usp=drivesdk","NURMANHUSADA SERTIFIKAT BerAKHLAK")</f>
        <v>NURMANHUSADA SERTIFIKAT BerAKHLAK</v>
      </c>
      <c r="K607" s="5" t="s">
        <v>5598</v>
      </c>
      <c r="L607" s="5" t="s">
        <v>5900</v>
      </c>
    </row>
    <row r="608">
      <c r="A608" s="4">
        <v>45534.32312019676</v>
      </c>
      <c r="B608" s="5" t="s">
        <v>34</v>
      </c>
      <c r="D608" s="5" t="s">
        <v>280</v>
      </c>
      <c r="E608" s="5" t="s">
        <v>5905</v>
      </c>
      <c r="F608" s="5" t="s">
        <v>375</v>
      </c>
      <c r="G608" s="5" t="s">
        <v>5906</v>
      </c>
      <c r="H608" s="6" t="s">
        <v>5907</v>
      </c>
      <c r="I608" s="7" t="s">
        <v>5908</v>
      </c>
      <c r="J608" s="8" t="str">
        <f>HYPERLINK("https://drive.google.com/file/d/1i4G4KoC1WkK9bUXnzqCrON11Cc0_WvPs/view?usp=drivesdk","RIKA ANDRIANY, SE SERTIFIKAT BerAKHLAK")</f>
        <v>RIKA ANDRIANY, SE SERTIFIKAT BerAKHLAK</v>
      </c>
      <c r="K608" s="5" t="s">
        <v>5598</v>
      </c>
      <c r="L608" s="5" t="s">
        <v>5909</v>
      </c>
    </row>
    <row r="609">
      <c r="A609" s="4">
        <v>45534.32312149306</v>
      </c>
      <c r="B609" s="5" t="s">
        <v>34</v>
      </c>
      <c r="D609" s="5" t="s">
        <v>35</v>
      </c>
      <c r="E609" s="5" t="s">
        <v>5915</v>
      </c>
      <c r="F609" s="5" t="s">
        <v>375</v>
      </c>
      <c r="G609" s="5" t="s">
        <v>5916</v>
      </c>
      <c r="H609" s="6" t="s">
        <v>5917</v>
      </c>
      <c r="I609" s="7" t="s">
        <v>5918</v>
      </c>
      <c r="J609" s="8" t="str">
        <f>HYPERLINK("https://drive.google.com/file/d/14IMcw-NnjpqaYQIYMTZrqeOSImrryejb/view?usp=drivesdk","MIRNA PUJAWATI, S.H. SERTIFIKAT BerAKHLAK")</f>
        <v>MIRNA PUJAWATI, S.H. SERTIFIKAT BerAKHLAK</v>
      </c>
      <c r="K609" s="5" t="s">
        <v>5598</v>
      </c>
      <c r="L609" s="5" t="s">
        <v>5919</v>
      </c>
    </row>
    <row r="610">
      <c r="A610" s="4">
        <v>45534.323144050926</v>
      </c>
      <c r="B610" s="5" t="s">
        <v>34</v>
      </c>
      <c r="D610" s="5" t="s">
        <v>35</v>
      </c>
      <c r="E610" s="5" t="s">
        <v>5924</v>
      </c>
      <c r="F610" s="5" t="s">
        <v>37</v>
      </c>
      <c r="G610" s="5" t="s">
        <v>5925</v>
      </c>
      <c r="H610" s="6" t="s">
        <v>5926</v>
      </c>
      <c r="I610" s="7" t="s">
        <v>5927</v>
      </c>
      <c r="J610" s="8" t="str">
        <f>HYPERLINK("https://drive.google.com/file/d/1V0SFpvTE0PTbtzHPNfI-ekGjdSYsleuN/view?usp=drivesdk","ENUR NURWATI, S. Ak SERTIFIKAT BerAKHLAK")</f>
        <v>ENUR NURWATI, S. Ak SERTIFIKAT BerAKHLAK</v>
      </c>
      <c r="K610" s="5" t="s">
        <v>5598</v>
      </c>
      <c r="L610" s="5" t="s">
        <v>5928</v>
      </c>
    </row>
    <row r="611">
      <c r="A611" s="4">
        <v>45534.3231631713</v>
      </c>
      <c r="B611" s="5" t="s">
        <v>34</v>
      </c>
      <c r="D611" s="5" t="s">
        <v>1663</v>
      </c>
      <c r="E611" s="5" t="s">
        <v>5934</v>
      </c>
      <c r="F611" s="5" t="s">
        <v>212</v>
      </c>
      <c r="G611" s="5" t="s">
        <v>5935</v>
      </c>
      <c r="H611" s="6" t="s">
        <v>5936</v>
      </c>
      <c r="I611" s="7" t="s">
        <v>5937</v>
      </c>
      <c r="J611" s="8" t="str">
        <f>HYPERLINK("https://drive.google.com/file/d/156Kqy-nyVO4kF8HKuCsDVeHDRIqd9fv1/view?usp=drivesdk","AGNESTASIA SAPUTRI BALAWELING,S.KEP SERTIFIKAT BerAKHLAK")</f>
        <v>AGNESTASIA SAPUTRI BALAWELING,S.KEP SERTIFIKAT BerAKHLAK</v>
      </c>
      <c r="K611" s="5" t="s">
        <v>5598</v>
      </c>
      <c r="L611" s="5" t="s">
        <v>5938</v>
      </c>
    </row>
    <row r="612">
      <c r="A612" s="4">
        <v>45534.32317</v>
      </c>
      <c r="B612" s="5" t="s">
        <v>34</v>
      </c>
      <c r="D612" s="5" t="s">
        <v>3849</v>
      </c>
      <c r="E612" s="5" t="s">
        <v>5943</v>
      </c>
      <c r="F612" s="5" t="s">
        <v>37</v>
      </c>
      <c r="G612" s="5" t="s">
        <v>5944</v>
      </c>
      <c r="H612" s="6" t="s">
        <v>5945</v>
      </c>
      <c r="I612" s="7" t="s">
        <v>5946</v>
      </c>
      <c r="J612" s="8" t="str">
        <f>HYPERLINK("https://drive.google.com/file/d/1KAg8W1zwe6CW1lvDrVp5NXnZYSiH3-Cw/view?usp=drivesdk","AZHARI YOGAS SAPUTRA, A.Md. SERTIFIKAT BerAKHLAK")</f>
        <v>AZHARI YOGAS SAPUTRA, A.Md. SERTIFIKAT BerAKHLAK</v>
      </c>
      <c r="K612" s="5" t="s">
        <v>5598</v>
      </c>
      <c r="L612" s="5" t="s">
        <v>5947</v>
      </c>
    </row>
    <row r="613">
      <c r="A613" s="4">
        <v>45534.32317341435</v>
      </c>
      <c r="B613" s="5" t="s">
        <v>34</v>
      </c>
      <c r="D613" s="5" t="s">
        <v>3849</v>
      </c>
      <c r="E613" s="5" t="s">
        <v>5952</v>
      </c>
      <c r="F613" s="5" t="s">
        <v>37</v>
      </c>
      <c r="G613" s="5" t="s">
        <v>5953</v>
      </c>
      <c r="H613" s="6" t="s">
        <v>5954</v>
      </c>
      <c r="I613" s="7" t="s">
        <v>5955</v>
      </c>
      <c r="J613" s="8" t="str">
        <f>HYPERLINK("https://drive.google.com/file/d/1e2jvKXbag1dETDHvj6KhJU0dp_AukS-Y/view?usp=drivesdk","HESTY KOMALA SARI, AMK SERTIFIKAT BerAKHLAK")</f>
        <v>HESTY KOMALA SARI, AMK SERTIFIKAT BerAKHLAK</v>
      </c>
      <c r="K613" s="5" t="s">
        <v>5598</v>
      </c>
      <c r="L613" s="5" t="s">
        <v>5956</v>
      </c>
    </row>
    <row r="614">
      <c r="A614" s="4">
        <v>45534.323186180554</v>
      </c>
      <c r="B614" s="5" t="s">
        <v>34</v>
      </c>
      <c r="D614" s="5" t="s">
        <v>35</v>
      </c>
      <c r="E614" s="5" t="s">
        <v>5962</v>
      </c>
      <c r="F614" s="5" t="s">
        <v>37</v>
      </c>
      <c r="G614" s="5" t="s">
        <v>5963</v>
      </c>
      <c r="H614" s="6" t="s">
        <v>5964</v>
      </c>
      <c r="I614" s="7" t="s">
        <v>5965</v>
      </c>
      <c r="J614" s="8" t="str">
        <f>HYPERLINK("https://drive.google.com/file/d/1ktqWD_xluvwqEQMzJ_Q5VEvF2cMnB4tr/view?usp=drivesdk","SRII EKAWATII SERTIFIKAT BerAKHLAK")</f>
        <v>SRII EKAWATII SERTIFIKAT BerAKHLAK</v>
      </c>
      <c r="K614" s="5" t="s">
        <v>5598</v>
      </c>
      <c r="L614" s="5" t="s">
        <v>5966</v>
      </c>
    </row>
    <row r="615">
      <c r="A615" s="4">
        <v>45534.323213344906</v>
      </c>
      <c r="B615" s="5" t="s">
        <v>19</v>
      </c>
      <c r="C615" s="5" t="s">
        <v>442</v>
      </c>
      <c r="E615" s="5" t="s">
        <v>5971</v>
      </c>
      <c r="F615" s="5" t="s">
        <v>108</v>
      </c>
      <c r="G615" s="5" t="s">
        <v>5972</v>
      </c>
      <c r="H615" s="6" t="s">
        <v>5973</v>
      </c>
      <c r="I615" s="7" t="s">
        <v>5974</v>
      </c>
      <c r="J615" s="8" t="str">
        <f>HYPERLINK("https://drive.google.com/file/d/1Fmd2STo0Jlp0BXvnytCPM2a4laUVfrub/view?usp=drivesdk","ICHTIAR LESTARI SERTIFIKAT BerAKHLAK")</f>
        <v>ICHTIAR LESTARI SERTIFIKAT BerAKHLAK</v>
      </c>
      <c r="K615" s="5" t="s">
        <v>5598</v>
      </c>
      <c r="L615" s="5" t="s">
        <v>5975</v>
      </c>
    </row>
    <row r="616">
      <c r="A616" s="4">
        <v>45534.3232146875</v>
      </c>
      <c r="B616" s="5" t="s">
        <v>34</v>
      </c>
      <c r="D616" s="5" t="s">
        <v>604</v>
      </c>
      <c r="E616" s="5" t="s">
        <v>5980</v>
      </c>
      <c r="F616" s="5" t="s">
        <v>37</v>
      </c>
      <c r="G616" s="5" t="s">
        <v>5981</v>
      </c>
      <c r="H616" s="6" t="s">
        <v>5982</v>
      </c>
      <c r="I616" s="7" t="s">
        <v>5983</v>
      </c>
      <c r="J616" s="8" t="str">
        <f>HYPERLINK("https://drive.google.com/file/d/1SsyFP0P3RVz0Y-WbWSB0Tg2R-ReLUyPB/view?usp=drivesdk","MUHAMMAD IRSANDY, A.MD.AK SERTIFIKAT BerAKHLAK")</f>
        <v>MUHAMMAD IRSANDY, A.MD.AK SERTIFIKAT BerAKHLAK</v>
      </c>
      <c r="K616" s="5" t="s">
        <v>5598</v>
      </c>
      <c r="L616" s="5" t="s">
        <v>5984</v>
      </c>
    </row>
    <row r="617">
      <c r="A617" s="4">
        <v>45534.323227175926</v>
      </c>
      <c r="B617" s="5" t="s">
        <v>34</v>
      </c>
      <c r="D617" s="5" t="s">
        <v>280</v>
      </c>
      <c r="E617" s="5" t="s">
        <v>5990</v>
      </c>
      <c r="F617" s="5" t="s">
        <v>212</v>
      </c>
      <c r="G617" s="5" t="s">
        <v>5991</v>
      </c>
      <c r="H617" s="6" t="s">
        <v>5992</v>
      </c>
      <c r="I617" s="7" t="s">
        <v>5993</v>
      </c>
      <c r="J617" s="8" t="str">
        <f>HYPERLINK("https://drive.google.com/file/d/1khBqEyxEqj5Qyzc7lAbJlqq8nQNas6go/view?usp=drivesdk","DEDY KURNIAWAN SERTIFIKAT BerAKHLAK")</f>
        <v>DEDY KURNIAWAN SERTIFIKAT BerAKHLAK</v>
      </c>
      <c r="K617" s="5" t="s">
        <v>5598</v>
      </c>
      <c r="L617" s="5" t="s">
        <v>5994</v>
      </c>
    </row>
    <row r="618">
      <c r="A618" s="4">
        <v>45534.32325741898</v>
      </c>
      <c r="B618" s="5" t="s">
        <v>34</v>
      </c>
      <c r="D618" s="5" t="s">
        <v>1206</v>
      </c>
      <c r="E618" s="5" t="s">
        <v>6000</v>
      </c>
      <c r="F618" s="5" t="s">
        <v>37</v>
      </c>
      <c r="G618" s="5" t="s">
        <v>6001</v>
      </c>
      <c r="H618" s="6" t="s">
        <v>6002</v>
      </c>
      <c r="I618" s="7" t="s">
        <v>6003</v>
      </c>
      <c r="J618" s="8" t="str">
        <f>HYPERLINK("https://drive.google.com/file/d/15KcuvpsAdMnqSodMcZL5JQEeSacN8DHe/view?usp=drivesdk","GALUH HARSWATI,SE SERTIFIKAT BerAKHLAK")</f>
        <v>GALUH HARSWATI,SE SERTIFIKAT BerAKHLAK</v>
      </c>
      <c r="K618" s="5" t="s">
        <v>6004</v>
      </c>
      <c r="L618" s="5" t="s">
        <v>6005</v>
      </c>
    </row>
    <row r="619">
      <c r="A619" s="4">
        <v>45534.323287638894</v>
      </c>
      <c r="B619" s="5" t="s">
        <v>34</v>
      </c>
      <c r="D619" s="5" t="s">
        <v>280</v>
      </c>
      <c r="E619" s="5" t="s">
        <v>6010</v>
      </c>
      <c r="F619" s="5" t="s">
        <v>212</v>
      </c>
      <c r="G619" s="5" t="s">
        <v>6011</v>
      </c>
      <c r="H619" s="6" t="s">
        <v>6012</v>
      </c>
      <c r="I619" s="7" t="s">
        <v>6013</v>
      </c>
      <c r="J619" s="8" t="str">
        <f>HYPERLINK("https://drive.google.com/file/d/1r4VpRnjcnojbElqr5xq7xq3mhUuxHRGt/view?usp=drivesdk","KIMOM HN NASUTION, S.T SERTIFIKAT BerAKHLAK")</f>
        <v>KIMOM HN NASUTION, S.T SERTIFIKAT BerAKHLAK</v>
      </c>
      <c r="K619" s="5" t="s">
        <v>5598</v>
      </c>
      <c r="L619" s="5" t="s">
        <v>6014</v>
      </c>
    </row>
    <row r="620">
      <c r="A620" s="4">
        <v>45534.32329384259</v>
      </c>
      <c r="B620" s="5" t="s">
        <v>34</v>
      </c>
      <c r="D620" s="5" t="s">
        <v>1768</v>
      </c>
      <c r="E620" s="5" t="s">
        <v>6019</v>
      </c>
      <c r="F620" s="5" t="s">
        <v>375</v>
      </c>
      <c r="G620" s="5" t="s">
        <v>6020</v>
      </c>
      <c r="H620" s="6" t="s">
        <v>6021</v>
      </c>
      <c r="I620" s="7" t="s">
        <v>6022</v>
      </c>
      <c r="J620" s="8" t="str">
        <f>HYPERLINK("https://drive.google.com/file/d/1FjyPMSbFCv3forc3Pr7c5fiZFJkvr5dW/view?usp=drivesdk","DWI APRIANI PUSPARINI SERTIFIKAT BerAKHLAK")</f>
        <v>DWI APRIANI PUSPARINI SERTIFIKAT BerAKHLAK</v>
      </c>
      <c r="K620" s="5" t="s">
        <v>5598</v>
      </c>
      <c r="L620" s="5" t="s">
        <v>6023</v>
      </c>
    </row>
    <row r="621">
      <c r="A621" s="4">
        <v>45534.32337560185</v>
      </c>
      <c r="B621" s="5" t="s">
        <v>34</v>
      </c>
      <c r="D621" s="5" t="s">
        <v>35</v>
      </c>
      <c r="E621" s="5" t="s">
        <v>6028</v>
      </c>
      <c r="F621" s="5" t="s">
        <v>212</v>
      </c>
      <c r="G621" s="5" t="s">
        <v>6029</v>
      </c>
      <c r="H621" s="6" t="s">
        <v>6030</v>
      </c>
      <c r="I621" s="7" t="s">
        <v>6031</v>
      </c>
      <c r="J621" s="8" t="str">
        <f>HYPERLINK("https://drive.google.com/file/d/1n95zwil3VhL00VQbDJICJtGz84TadRQo/view?usp=drivesdk","HERI MUJOHAR m SERTIFIKAT BerAKHLAK")</f>
        <v>HERI MUJOHAR m SERTIFIKAT BerAKHLAK</v>
      </c>
      <c r="K621" s="5" t="s">
        <v>5598</v>
      </c>
      <c r="L621" s="5" t="s">
        <v>6032</v>
      </c>
    </row>
    <row r="622">
      <c r="A622" s="4">
        <v>45534.32338827546</v>
      </c>
      <c r="B622" s="5" t="s">
        <v>34</v>
      </c>
      <c r="D622" s="5" t="s">
        <v>1206</v>
      </c>
      <c r="E622" s="5" t="s">
        <v>6037</v>
      </c>
      <c r="F622" s="5" t="s">
        <v>37</v>
      </c>
      <c r="G622" s="5" t="s">
        <v>6038</v>
      </c>
      <c r="H622" s="6" t="s">
        <v>6039</v>
      </c>
      <c r="I622" s="7" t="s">
        <v>6040</v>
      </c>
      <c r="J622" s="8" t="str">
        <f>HYPERLINK("https://drive.google.com/file/d/1IPUoHLwOvewYCWDY1-INK1CIpshUHKOY/view?usp=drivesdk","BAYU ADI WIGUNA SERTIFIKAT BerAKHLAK")</f>
        <v>BAYU ADI WIGUNA SERTIFIKAT BerAKHLAK</v>
      </c>
      <c r="K622" s="5" t="s">
        <v>6004</v>
      </c>
      <c r="L622" s="5" t="s">
        <v>6041</v>
      </c>
    </row>
    <row r="623">
      <c r="A623" s="4">
        <v>45534.32339247685</v>
      </c>
      <c r="B623" s="5" t="s">
        <v>34</v>
      </c>
      <c r="D623" s="5" t="s">
        <v>522</v>
      </c>
      <c r="E623" s="5" t="s">
        <v>6047</v>
      </c>
      <c r="F623" s="5" t="s">
        <v>375</v>
      </c>
      <c r="G623" s="5" t="s">
        <v>6048</v>
      </c>
      <c r="H623" s="6" t="s">
        <v>6049</v>
      </c>
      <c r="I623" s="7" t="s">
        <v>6050</v>
      </c>
      <c r="J623" s="8" t="str">
        <f>HYPERLINK("https://drive.google.com/file/d/1lpLWzD9zuk-jBOHyTY5zpl6ow-4AstNV/view?usp=drivesdk","WAHYU TYAS PRASETYANINGSIH, SE SERTIFIKAT BerAKHLAK")</f>
        <v>WAHYU TYAS PRASETYANINGSIH, SE SERTIFIKAT BerAKHLAK</v>
      </c>
      <c r="K623" s="5" t="s">
        <v>6004</v>
      </c>
      <c r="L623" s="5" t="s">
        <v>6051</v>
      </c>
    </row>
    <row r="624">
      <c r="A624" s="4">
        <v>45534.32343412037</v>
      </c>
      <c r="B624" s="5" t="s">
        <v>34</v>
      </c>
      <c r="D624" s="5" t="s">
        <v>3849</v>
      </c>
      <c r="E624" s="5" t="s">
        <v>6057</v>
      </c>
      <c r="F624" s="5" t="s">
        <v>212</v>
      </c>
      <c r="G624" s="5" t="s">
        <v>6058</v>
      </c>
      <c r="H624" s="6" t="s">
        <v>6059</v>
      </c>
      <c r="I624" s="7" t="s">
        <v>6060</v>
      </c>
      <c r="J624" s="8" t="str">
        <f>HYPERLINK("https://drive.google.com/file/d/1lxaaYTIhyr0maS9Mb4aX5_WBjt9xr9vK/view?usp=drivesdk","MELDAANTIKA, A.Md.Kep SERTIFIKAT BerAKHLAK")</f>
        <v>MELDAANTIKA, A.Md.Kep SERTIFIKAT BerAKHLAK</v>
      </c>
      <c r="K624" s="5" t="s">
        <v>5598</v>
      </c>
      <c r="L624" s="5" t="s">
        <v>6061</v>
      </c>
    </row>
    <row r="625">
      <c r="A625" s="4">
        <v>45534.323461458334</v>
      </c>
      <c r="B625" s="5" t="s">
        <v>34</v>
      </c>
      <c r="D625" s="5" t="s">
        <v>2903</v>
      </c>
      <c r="E625" s="5" t="s">
        <v>6066</v>
      </c>
      <c r="F625" s="5" t="s">
        <v>22</v>
      </c>
      <c r="G625" s="5" t="s">
        <v>6067</v>
      </c>
      <c r="H625" s="6" t="s">
        <v>6068</v>
      </c>
      <c r="I625" s="7" t="s">
        <v>6069</v>
      </c>
      <c r="J625" s="8" t="str">
        <f>HYPERLINK("https://drive.google.com/file/d/1Dpu95BXVzq6T9L2dTfLl9zq4GI4B0QXl/view?usp=drivesdk","NONI HEVIANTI, S.Psi. SERTIFIKAT BerAKHLAK")</f>
        <v>NONI HEVIANTI, S.Psi. SERTIFIKAT BerAKHLAK</v>
      </c>
      <c r="K625" s="5" t="s">
        <v>6004</v>
      </c>
      <c r="L625" s="5" t="s">
        <v>6070</v>
      </c>
    </row>
    <row r="626">
      <c r="A626" s="4">
        <v>45534.323471724536</v>
      </c>
      <c r="B626" s="5" t="s">
        <v>34</v>
      </c>
      <c r="D626" s="5" t="s">
        <v>1692</v>
      </c>
      <c r="E626" s="5" t="s">
        <v>6075</v>
      </c>
      <c r="F626" s="5" t="s">
        <v>212</v>
      </c>
      <c r="G626" s="5" t="s">
        <v>6076</v>
      </c>
      <c r="H626" s="6" t="s">
        <v>6077</v>
      </c>
      <c r="I626" s="7" t="s">
        <v>6078</v>
      </c>
      <c r="J626" s="8" t="str">
        <f>HYPERLINK("https://drive.google.com/file/d/1PO8RVC_2QkjMabpVf_cfZNelP2PZU8BN/view?usp=drivesdk","CHRISTINNE D. de FRETES SERTIFIKAT BerAKHLAK")</f>
        <v>CHRISTINNE D. de FRETES SERTIFIKAT BerAKHLAK</v>
      </c>
      <c r="K626" s="5" t="s">
        <v>6004</v>
      </c>
      <c r="L626" s="5" t="s">
        <v>6079</v>
      </c>
    </row>
    <row r="627">
      <c r="A627" s="4">
        <v>45534.32348027777</v>
      </c>
      <c r="B627" s="5" t="s">
        <v>34</v>
      </c>
      <c r="D627" s="5" t="s">
        <v>35</v>
      </c>
      <c r="E627" s="5" t="s">
        <v>6084</v>
      </c>
      <c r="F627" s="5" t="s">
        <v>72</v>
      </c>
      <c r="G627" s="5" t="s">
        <v>6085</v>
      </c>
      <c r="H627" s="6" t="s">
        <v>6086</v>
      </c>
      <c r="I627" s="7" t="s">
        <v>6087</v>
      </c>
      <c r="J627" s="8" t="str">
        <f>HYPERLINK("https://drive.google.com/file/d/1Ck1myzVerHb5xsfY65XUnpf_D5QF4I25/view?usp=drivesdk","FARIDA INGANTA GINTING SERTIFIKAT BerAKHLAK")</f>
        <v>FARIDA INGANTA GINTING SERTIFIKAT BerAKHLAK</v>
      </c>
      <c r="K627" s="5" t="s">
        <v>6004</v>
      </c>
      <c r="L627" s="5" t="s">
        <v>6088</v>
      </c>
    </row>
    <row r="628">
      <c r="A628" s="4">
        <v>45534.32353018518</v>
      </c>
      <c r="B628" s="5" t="s">
        <v>19</v>
      </c>
      <c r="C628" s="5" t="s">
        <v>5058</v>
      </c>
      <c r="E628" s="5" t="s">
        <v>6094</v>
      </c>
      <c r="F628" s="5" t="s">
        <v>524</v>
      </c>
      <c r="G628" s="5" t="s">
        <v>6095</v>
      </c>
      <c r="H628" s="6" t="s">
        <v>6096</v>
      </c>
      <c r="I628" s="7" t="s">
        <v>6097</v>
      </c>
      <c r="J628" s="8" t="str">
        <f>HYPERLINK("https://drive.google.com/file/d/1By7qaqrZf5mEKE1Ylsi1Z-6-48_aw6OI/view?usp=drivesdk","KELI SUSANTO, S.E. SERTIFIKAT BerAKHLAK")</f>
        <v>KELI SUSANTO, S.E. SERTIFIKAT BerAKHLAK</v>
      </c>
      <c r="K628" s="5" t="s">
        <v>6004</v>
      </c>
      <c r="L628" s="5" t="s">
        <v>6098</v>
      </c>
    </row>
    <row r="629">
      <c r="A629" s="4">
        <v>45534.32353927083</v>
      </c>
      <c r="B629" s="5" t="s">
        <v>34</v>
      </c>
      <c r="D629" s="5" t="s">
        <v>1206</v>
      </c>
      <c r="E629" s="5" t="s">
        <v>6103</v>
      </c>
      <c r="F629" s="5" t="s">
        <v>108</v>
      </c>
      <c r="G629" s="5" t="s">
        <v>6104</v>
      </c>
      <c r="H629" s="6" t="s">
        <v>6105</v>
      </c>
      <c r="I629" s="7" t="s">
        <v>6106</v>
      </c>
      <c r="J629" s="8" t="str">
        <f>HYPERLINK("https://drive.google.com/file/d/10dcd193nAKQ0BhQU5qHiCAPbKa7rXvCR/view?usp=drivesdk","LUSIANA SEMBIRING.S.KEP  SERTIFIKAT BerAKHLAK")</f>
        <v>LUSIANA SEMBIRING.S.KEP  SERTIFIKAT BerAKHLAK</v>
      </c>
      <c r="K629" s="5" t="s">
        <v>6004</v>
      </c>
      <c r="L629" s="5" t="s">
        <v>6107</v>
      </c>
    </row>
    <row r="630">
      <c r="A630" s="4">
        <v>45534.32357018518</v>
      </c>
      <c r="B630" s="5" t="s">
        <v>19</v>
      </c>
      <c r="C630" s="5" t="s">
        <v>3301</v>
      </c>
      <c r="E630" s="5" t="s">
        <v>6112</v>
      </c>
      <c r="F630" s="5" t="s">
        <v>120</v>
      </c>
      <c r="G630" s="5" t="s">
        <v>6113</v>
      </c>
      <c r="H630" s="6" t="s">
        <v>6114</v>
      </c>
      <c r="I630" s="7" t="s">
        <v>6115</v>
      </c>
      <c r="J630" s="8" t="str">
        <f>HYPERLINK("https://drive.google.com/file/d/1ns0lQZLj-wTitipkj3hAQ4me3a_1swCC/view?usp=drivesdk","Drg.ASTITI HANDAYANI, GDFO, SP.OF SERTIFIKAT BerAKHLAK")</f>
        <v>Drg.ASTITI HANDAYANI, GDFO, SP.OF SERTIFIKAT BerAKHLAK</v>
      </c>
      <c r="K630" s="5" t="s">
        <v>6004</v>
      </c>
      <c r="L630" s="5" t="s">
        <v>6116</v>
      </c>
    </row>
    <row r="631">
      <c r="A631" s="4">
        <v>45534.32361378473</v>
      </c>
      <c r="B631" s="5" t="s">
        <v>34</v>
      </c>
      <c r="D631" s="5" t="s">
        <v>604</v>
      </c>
      <c r="E631" s="5" t="s">
        <v>6123</v>
      </c>
      <c r="F631" s="5" t="s">
        <v>375</v>
      </c>
      <c r="G631" s="5" t="s">
        <v>6124</v>
      </c>
      <c r="H631" s="6" t="s">
        <v>6125</v>
      </c>
      <c r="I631" s="7" t="s">
        <v>6126</v>
      </c>
      <c r="J631" s="8" t="str">
        <f>HYPERLINK("https://drive.google.com/file/d/1Lz3GzFz4OZup7MGDhyzMaWSvC-wlZrPT/view?usp=drivesdk","RIBKA LIKUN SAPAN SERTIFIKAT BerAKHLAK")</f>
        <v>RIBKA LIKUN SAPAN SERTIFIKAT BerAKHLAK</v>
      </c>
      <c r="K631" s="5" t="s">
        <v>6004</v>
      </c>
      <c r="L631" s="5" t="s">
        <v>6127</v>
      </c>
    </row>
    <row r="632">
      <c r="A632" s="4">
        <v>45534.323618553244</v>
      </c>
      <c r="B632" s="5" t="s">
        <v>34</v>
      </c>
      <c r="D632" s="5" t="s">
        <v>1768</v>
      </c>
      <c r="E632" s="5" t="s">
        <v>6132</v>
      </c>
      <c r="F632" s="5" t="s">
        <v>212</v>
      </c>
      <c r="G632" s="5" t="s">
        <v>6133</v>
      </c>
      <c r="H632" s="6" t="s">
        <v>6134</v>
      </c>
      <c r="I632" s="7" t="s">
        <v>6135</v>
      </c>
      <c r="J632" s="8" t="str">
        <f>HYPERLINK("https://drive.google.com/file/d/1ylAjTuzMQx9abqxk8Nwezz7JalFcfTN2/view?usp=drivesdk","EHRI MUL YANTO SERTIFIKAT BerAKHLAK")</f>
        <v>EHRI MUL YANTO SERTIFIKAT BerAKHLAK</v>
      </c>
      <c r="K632" s="5" t="s">
        <v>6004</v>
      </c>
      <c r="L632" s="5" t="s">
        <v>6136</v>
      </c>
    </row>
    <row r="633">
      <c r="A633" s="4">
        <v>45534.32362565972</v>
      </c>
      <c r="B633" s="5" t="s">
        <v>34</v>
      </c>
      <c r="D633" s="5" t="s">
        <v>3432</v>
      </c>
      <c r="E633" s="5" t="s">
        <v>6141</v>
      </c>
      <c r="F633" s="5" t="s">
        <v>524</v>
      </c>
      <c r="G633" s="5" t="s">
        <v>6142</v>
      </c>
      <c r="H633" s="6" t="s">
        <v>6143</v>
      </c>
      <c r="I633" s="7" t="s">
        <v>6144</v>
      </c>
      <c r="J633" s="8" t="str">
        <f>HYPERLINK("https://drive.google.com/file/d/1fNK38DJjWrWcTwrEJNXyVh_sE0OvWoUl/view?usp=drivesdk","ASRI KAUSAHA, S. H.  SERTIFIKAT BerAKHLAK")</f>
        <v>ASRI KAUSAHA, S. H.  SERTIFIKAT BerAKHLAK</v>
      </c>
      <c r="K633" s="5" t="s">
        <v>6004</v>
      </c>
      <c r="L633" s="5" t="s">
        <v>6145</v>
      </c>
    </row>
    <row r="634">
      <c r="A634" s="4">
        <v>45534.323629606486</v>
      </c>
      <c r="B634" s="5" t="s">
        <v>34</v>
      </c>
      <c r="D634" s="5" t="s">
        <v>4775</v>
      </c>
      <c r="E634" s="5" t="s">
        <v>6150</v>
      </c>
      <c r="F634" s="5" t="s">
        <v>108</v>
      </c>
      <c r="G634" s="5" t="s">
        <v>6151</v>
      </c>
      <c r="H634" s="6" t="s">
        <v>6152</v>
      </c>
      <c r="I634" s="7" t="s">
        <v>6153</v>
      </c>
      <c r="J634" s="8" t="str">
        <f>HYPERLINK("https://drive.google.com/file/d/1tDbDgG7UznSmUofUBrZoGbWCOGsvkB89/view?usp=drivesdk","NUR SEPTIANUDIN, S.E. SERTIFIKAT BerAKHLAK")</f>
        <v>NUR SEPTIANUDIN, S.E. SERTIFIKAT BerAKHLAK</v>
      </c>
      <c r="K634" s="5" t="s">
        <v>6004</v>
      </c>
      <c r="L634" s="5" t="s">
        <v>6154</v>
      </c>
    </row>
    <row r="635">
      <c r="A635" s="4">
        <v>45534.32362978009</v>
      </c>
      <c r="B635" s="5" t="s">
        <v>34</v>
      </c>
      <c r="D635" s="5" t="s">
        <v>3849</v>
      </c>
      <c r="E635" s="5" t="s">
        <v>6159</v>
      </c>
      <c r="F635" s="5" t="s">
        <v>37</v>
      </c>
      <c r="G635" s="5" t="s">
        <v>6160</v>
      </c>
      <c r="H635" s="6" t="s">
        <v>6161</v>
      </c>
      <c r="K635" s="5" t="s">
        <v>6162</v>
      </c>
    </row>
    <row r="636">
      <c r="A636" s="4">
        <v>45534.32364037037</v>
      </c>
      <c r="B636" s="5" t="s">
        <v>34</v>
      </c>
      <c r="D636" s="5" t="s">
        <v>1206</v>
      </c>
      <c r="E636" s="5" t="s">
        <v>6167</v>
      </c>
      <c r="F636" s="5" t="s">
        <v>37</v>
      </c>
      <c r="G636" s="5" t="s">
        <v>6168</v>
      </c>
      <c r="H636" s="6" t="s">
        <v>6169</v>
      </c>
      <c r="K636" s="5" t="s">
        <v>6162</v>
      </c>
    </row>
    <row r="637">
      <c r="A637" s="4">
        <v>45534.32364462963</v>
      </c>
      <c r="B637" s="5" t="s">
        <v>19</v>
      </c>
      <c r="C637" s="5" t="s">
        <v>3301</v>
      </c>
      <c r="E637" s="5" t="s">
        <v>6175</v>
      </c>
      <c r="F637" s="5" t="s">
        <v>524</v>
      </c>
      <c r="G637" s="5" t="s">
        <v>6176</v>
      </c>
      <c r="H637" s="6" t="s">
        <v>6177</v>
      </c>
      <c r="I637" s="7" t="s">
        <v>6178</v>
      </c>
      <c r="J637" s="8" t="str">
        <f>HYPERLINK("https://drive.google.com/file/d/1rFke1DfyMfCSXz4TmquK_68ShINpCIoM/view?usp=drivesdk","TRI MEDY YANTI SERTIFIKAT BerAKHLAK")</f>
        <v>TRI MEDY YANTI SERTIFIKAT BerAKHLAK</v>
      </c>
      <c r="K637" s="5" t="s">
        <v>6004</v>
      </c>
      <c r="L637" s="5" t="s">
        <v>6179</v>
      </c>
    </row>
    <row r="638">
      <c r="A638" s="4">
        <v>45534.323665081014</v>
      </c>
      <c r="B638" s="5" t="s">
        <v>34</v>
      </c>
      <c r="D638" s="5" t="s">
        <v>267</v>
      </c>
      <c r="E638" s="5" t="s">
        <v>6185</v>
      </c>
      <c r="F638" s="5" t="s">
        <v>72</v>
      </c>
      <c r="G638" s="5" t="s">
        <v>6186</v>
      </c>
      <c r="H638" s="6" t="s">
        <v>6187</v>
      </c>
      <c r="I638" s="7" t="s">
        <v>6188</v>
      </c>
      <c r="J638" s="8" t="str">
        <f>HYPERLINK("https://drive.google.com/file/d/1JOqJBe7ew2tJElHtQbGNPw-imC9Qapb5/view?usp=drivesdk","FRANSISKA YUDIAWATI SERTIFIKAT BerAKHLAK")</f>
        <v>FRANSISKA YUDIAWATI SERTIFIKAT BerAKHLAK</v>
      </c>
      <c r="K638" s="5" t="s">
        <v>6004</v>
      </c>
      <c r="L638" s="5" t="s">
        <v>6189</v>
      </c>
    </row>
    <row r="639">
      <c r="A639" s="4">
        <v>45534.32367484954</v>
      </c>
      <c r="B639" s="5" t="s">
        <v>34</v>
      </c>
      <c r="D639" s="5" t="s">
        <v>35</v>
      </c>
      <c r="E639" s="5" t="s">
        <v>6194</v>
      </c>
      <c r="F639" s="5" t="s">
        <v>375</v>
      </c>
      <c r="G639" s="5" t="s">
        <v>6195</v>
      </c>
      <c r="H639" s="6" t="s">
        <v>6196</v>
      </c>
      <c r="I639" s="7" t="s">
        <v>6197</v>
      </c>
      <c r="J639" s="8" t="str">
        <f>HYPERLINK("https://drive.google.com/file/d/18UVlSm8wHBIz9bbtVTyuUARqCgRlYg-Q/view?usp=drivesdk","HENI DWI ASTUTI, S. KOM SERTIFIKAT BerAKHLAK")</f>
        <v>HENI DWI ASTUTI, S. KOM SERTIFIKAT BerAKHLAK</v>
      </c>
      <c r="K639" s="5" t="s">
        <v>6198</v>
      </c>
      <c r="L639" s="5" t="s">
        <v>6199</v>
      </c>
    </row>
    <row r="640">
      <c r="A640" s="4">
        <v>45534.323705138886</v>
      </c>
      <c r="B640" s="5" t="s">
        <v>19</v>
      </c>
      <c r="C640" s="5" t="s">
        <v>292</v>
      </c>
      <c r="E640" s="5" t="s">
        <v>6204</v>
      </c>
      <c r="F640" s="5" t="s">
        <v>22</v>
      </c>
      <c r="G640" s="5" t="s">
        <v>6205</v>
      </c>
      <c r="H640" s="6" t="s">
        <v>6206</v>
      </c>
      <c r="I640" s="7" t="s">
        <v>6207</v>
      </c>
      <c r="J640" s="8" t="str">
        <f>HYPERLINK("https://drive.google.com/file/d/1chaXcRw3zao2NyWCTR2MKok_9XhjnEOk/view?usp=drivesdk","drg.FELISIA ANDRIANI, Sp.KG SERTIFIKAT BerAKHLAK")</f>
        <v>drg.FELISIA ANDRIANI, Sp.KG SERTIFIKAT BerAKHLAK</v>
      </c>
      <c r="K640" s="5" t="s">
        <v>6198</v>
      </c>
      <c r="L640" s="5" t="s">
        <v>6208</v>
      </c>
    </row>
    <row r="641">
      <c r="A641" s="4">
        <v>45534.323715011575</v>
      </c>
      <c r="B641" s="5" t="s">
        <v>34</v>
      </c>
      <c r="D641" s="5" t="s">
        <v>1768</v>
      </c>
      <c r="E641" s="5" t="s">
        <v>6213</v>
      </c>
      <c r="F641" s="5" t="s">
        <v>72</v>
      </c>
      <c r="G641" s="5" t="s">
        <v>6214</v>
      </c>
      <c r="H641" s="6" t="s">
        <v>6215</v>
      </c>
      <c r="I641" s="7" t="s">
        <v>6216</v>
      </c>
      <c r="J641" s="8" t="str">
        <f>HYPERLINK("https://drive.google.com/file/d/1OQweyzE7u9xUmLXk0mKW3rVeR_09dcbe/view?usp=drivesdk","TRI KURNIALIN RUSLIANA,S.Keb SERTIFIKAT BerAKHLAK")</f>
        <v>TRI KURNIALIN RUSLIANA,S.Keb SERTIFIKAT BerAKHLAK</v>
      </c>
      <c r="K641" s="5" t="s">
        <v>6198</v>
      </c>
      <c r="L641" s="5" t="s">
        <v>6217</v>
      </c>
    </row>
    <row r="642">
      <c r="A642" s="4">
        <v>45534.32371590278</v>
      </c>
      <c r="B642" s="5" t="s">
        <v>34</v>
      </c>
      <c r="D642" s="5" t="s">
        <v>522</v>
      </c>
      <c r="E642" s="5" t="s">
        <v>6223</v>
      </c>
      <c r="F642" s="5" t="s">
        <v>37</v>
      </c>
      <c r="G642" s="5" t="s">
        <v>6224</v>
      </c>
      <c r="H642" s="6" t="s">
        <v>6225</v>
      </c>
      <c r="I642" s="7" t="s">
        <v>6226</v>
      </c>
      <c r="J642" s="8" t="str">
        <f>HYPERLINK("https://drive.google.com/file/d/1sqiUuxLVaLWOFcA0RCDZKQbgpjJgmzkj/view?usp=drivesdk","LALU DENDY SATRIA WIBAWA, A.Md.Kep SERTIFIKAT BerAKHLAK")</f>
        <v>LALU DENDY SATRIA WIBAWA, A.Md.Kep SERTIFIKAT BerAKHLAK</v>
      </c>
      <c r="K642" s="5" t="s">
        <v>6198</v>
      </c>
      <c r="L642" s="5" t="s">
        <v>6227</v>
      </c>
    </row>
    <row r="643">
      <c r="A643" s="4">
        <v>45534.32376755787</v>
      </c>
      <c r="B643" s="5" t="s">
        <v>34</v>
      </c>
      <c r="D643" s="5" t="s">
        <v>6232</v>
      </c>
      <c r="E643" s="5" t="s">
        <v>6233</v>
      </c>
      <c r="F643" s="5" t="s">
        <v>120</v>
      </c>
      <c r="G643" s="5" t="s">
        <v>6234</v>
      </c>
      <c r="H643" s="6" t="s">
        <v>6235</v>
      </c>
      <c r="I643" s="7" t="s">
        <v>6236</v>
      </c>
      <c r="J643" s="8" t="str">
        <f>HYPERLINK("https://drive.google.com/file/d/1f5uUhCNxwnsswSE8AKEgAYI_ZJNakgSC/view?usp=drivesdk","FERRY HARYONO S KOM SERTIFIKAT BerAKHLAK")</f>
        <v>FERRY HARYONO S KOM SERTIFIKAT BerAKHLAK</v>
      </c>
      <c r="K643" s="5" t="s">
        <v>6237</v>
      </c>
      <c r="L643" s="5" t="s">
        <v>6238</v>
      </c>
    </row>
    <row r="644">
      <c r="A644" s="4">
        <v>45534.32382813658</v>
      </c>
      <c r="B644" s="5" t="s">
        <v>34</v>
      </c>
      <c r="D644" s="5" t="s">
        <v>35</v>
      </c>
      <c r="E644" s="5" t="s">
        <v>6244</v>
      </c>
      <c r="F644" s="5" t="s">
        <v>37</v>
      </c>
      <c r="G644" s="5" t="s">
        <v>6245</v>
      </c>
      <c r="H644" s="6" t="s">
        <v>6246</v>
      </c>
      <c r="I644" s="7" t="s">
        <v>6247</v>
      </c>
      <c r="J644" s="8" t="str">
        <f>HYPERLINK("https://drive.google.com/file/d/1iK9Z5sSgXBbKleNx11yJ8_Wsrlloz-V6/view?usp=drivesdk","ZAKI ABDILLAH, S.E. SERTIFIKAT BerAKHLAK")</f>
        <v>ZAKI ABDILLAH, S.E. SERTIFIKAT BerAKHLAK</v>
      </c>
      <c r="K644" s="5" t="s">
        <v>6248</v>
      </c>
      <c r="L644" s="5" t="s">
        <v>6249</v>
      </c>
    </row>
    <row r="645">
      <c r="A645" s="4">
        <v>45534.323842743055</v>
      </c>
      <c r="B645" s="5" t="s">
        <v>34</v>
      </c>
      <c r="D645" s="5" t="s">
        <v>1206</v>
      </c>
      <c r="E645" s="5" t="s">
        <v>6254</v>
      </c>
      <c r="F645" s="5" t="s">
        <v>37</v>
      </c>
      <c r="G645" s="5" t="s">
        <v>6255</v>
      </c>
      <c r="H645" s="6" t="s">
        <v>6256</v>
      </c>
      <c r="I645" s="7" t="s">
        <v>6257</v>
      </c>
      <c r="J645" s="8" t="str">
        <f>HYPERLINK("https://drive.google.com/file/d/1h7oVGlgpXs3E_SIm6giw5uQBFtznCUVt/view?usp=drivesdk","MUNICHA OKTAFIA ARSANTI SERTIFIKAT BerAKHLAK")</f>
        <v>MUNICHA OKTAFIA ARSANTI SERTIFIKAT BerAKHLAK</v>
      </c>
      <c r="K645" s="5" t="s">
        <v>6258</v>
      </c>
      <c r="L645" s="5" t="s">
        <v>6259</v>
      </c>
    </row>
    <row r="646">
      <c r="A646" s="4">
        <v>45534.323845555555</v>
      </c>
      <c r="B646" s="5" t="s">
        <v>34</v>
      </c>
      <c r="D646" s="5" t="s">
        <v>35</v>
      </c>
      <c r="E646" s="5" t="s">
        <v>6264</v>
      </c>
      <c r="F646" s="5" t="s">
        <v>212</v>
      </c>
      <c r="G646" s="5" t="s">
        <v>6265</v>
      </c>
      <c r="H646" s="6" t="s">
        <v>6266</v>
      </c>
      <c r="I646" s="7" t="s">
        <v>6267</v>
      </c>
      <c r="J646" s="8" t="str">
        <f>HYPERLINK("https://drive.google.com/file/d/1KMOQHIcaD64aK1zZtwdtj02BPNZGNPDD/view?usp=drivesdk","RINI SUPRIATIN SERTIFIKAT BerAKHLAK")</f>
        <v>RINI SUPRIATIN SERTIFIKAT BerAKHLAK</v>
      </c>
      <c r="K646" s="5" t="s">
        <v>6258</v>
      </c>
      <c r="L646" s="5" t="s">
        <v>6268</v>
      </c>
    </row>
    <row r="647">
      <c r="A647" s="4">
        <v>45534.32385564815</v>
      </c>
      <c r="B647" s="5" t="s">
        <v>34</v>
      </c>
      <c r="D647" s="5" t="s">
        <v>4775</v>
      </c>
      <c r="E647" s="5" t="s">
        <v>6274</v>
      </c>
      <c r="F647" s="5" t="s">
        <v>212</v>
      </c>
      <c r="G647" s="5" t="s">
        <v>6275</v>
      </c>
      <c r="H647" s="6" t="s">
        <v>6276</v>
      </c>
      <c r="I647" s="7" t="s">
        <v>6277</v>
      </c>
      <c r="J647" s="8" t="str">
        <f>HYPERLINK("https://drive.google.com/file/d/1ESmd_pv550uW_eKSkGIjVv0nb7PtA_v6/view?usp=drivesdk","WIWIN ERNAWATI SERTIFIKAT BerAKHLAK")</f>
        <v>WIWIN ERNAWATI SERTIFIKAT BerAKHLAK</v>
      </c>
      <c r="K647" s="5" t="s">
        <v>6258</v>
      </c>
      <c r="L647" s="5" t="s">
        <v>6278</v>
      </c>
    </row>
    <row r="648">
      <c r="A648" s="4">
        <v>45534.32387972222</v>
      </c>
      <c r="B648" s="5" t="s">
        <v>34</v>
      </c>
      <c r="D648" s="5" t="s">
        <v>280</v>
      </c>
      <c r="E648" s="5" t="s">
        <v>6283</v>
      </c>
      <c r="F648" s="5" t="s">
        <v>72</v>
      </c>
      <c r="G648" s="5" t="s">
        <v>6284</v>
      </c>
      <c r="H648" s="6" t="s">
        <v>6285</v>
      </c>
      <c r="I648" s="7" t="s">
        <v>6286</v>
      </c>
      <c r="J648" s="8" t="str">
        <f>HYPERLINK("https://drive.google.com/file/d/15uOD0JkTvITOhaooMHTCAWeBmIu7BM7k/view?usp=drivesdk","IDA SOPIAH SILAEN, S.H. SERTIFIKAT BerAKHLAK")</f>
        <v>IDA SOPIAH SILAEN, S.H. SERTIFIKAT BerAKHLAK</v>
      </c>
      <c r="K648" s="5" t="s">
        <v>6258</v>
      </c>
      <c r="L648" s="5" t="s">
        <v>6287</v>
      </c>
    </row>
    <row r="649">
      <c r="A649" s="4">
        <v>45534.32388481482</v>
      </c>
      <c r="B649" s="5" t="s">
        <v>34</v>
      </c>
      <c r="D649" s="5" t="s">
        <v>1206</v>
      </c>
      <c r="E649" s="5" t="s">
        <v>6292</v>
      </c>
      <c r="F649" s="5" t="s">
        <v>37</v>
      </c>
      <c r="G649" s="5" t="s">
        <v>6293</v>
      </c>
      <c r="H649" s="6" t="s">
        <v>6294</v>
      </c>
      <c r="I649" s="7" t="s">
        <v>6295</v>
      </c>
      <c r="J649" s="8" t="str">
        <f>HYPERLINK("https://drive.google.com/file/d/1qIwZao1Ao746ruQtpfMOgAS8urrG4jXq/view?usp=drivesdk","NILA WULANDARI  SERTIFIKAT BerAKHLAK")</f>
        <v>NILA WULANDARI  SERTIFIKAT BerAKHLAK</v>
      </c>
      <c r="K649" s="5" t="s">
        <v>6296</v>
      </c>
      <c r="L649" s="5" t="s">
        <v>6297</v>
      </c>
    </row>
    <row r="650">
      <c r="A650" s="4">
        <v>45534.323901400465</v>
      </c>
      <c r="B650" s="5" t="s">
        <v>34</v>
      </c>
      <c r="D650" s="5" t="s">
        <v>2903</v>
      </c>
      <c r="E650" s="5" t="s">
        <v>6303</v>
      </c>
      <c r="F650" s="5" t="s">
        <v>212</v>
      </c>
      <c r="G650" s="5" t="s">
        <v>6304</v>
      </c>
      <c r="H650" s="6" t="s">
        <v>6305</v>
      </c>
      <c r="I650" s="7" t="s">
        <v>6306</v>
      </c>
      <c r="J650" s="8" t="str">
        <f>HYPERLINK("https://drive.google.com/file/d/12NDmF5KFYkn5gFv3EUWhdxPTZaPp_vj5/view?usp=drivesdk","CHENDI ABDUL KAFI, S.Kep SERTIFIKAT BerAKHLAK")</f>
        <v>CHENDI ABDUL KAFI, S.Kep SERTIFIKAT BerAKHLAK</v>
      </c>
      <c r="K650" s="5" t="s">
        <v>6296</v>
      </c>
      <c r="L650" s="5" t="s">
        <v>6307</v>
      </c>
    </row>
    <row r="651">
      <c r="A651" s="4">
        <v>45534.323907569444</v>
      </c>
      <c r="B651" s="5" t="s">
        <v>34</v>
      </c>
      <c r="D651" s="5" t="s">
        <v>4775</v>
      </c>
      <c r="E651" s="5" t="s">
        <v>6312</v>
      </c>
      <c r="F651" s="5" t="s">
        <v>375</v>
      </c>
      <c r="G651" s="5" t="s">
        <v>6313</v>
      </c>
      <c r="H651" s="6" t="s">
        <v>6314</v>
      </c>
      <c r="I651" s="7" t="s">
        <v>6315</v>
      </c>
      <c r="J651" s="8" t="str">
        <f>HYPERLINK("https://drive.google.com/file/d/1n0RtGy5TKhYjYFHU850Awjde3KIQv6di/view?usp=drivesdk","ADITYA AGUNG WIJAYA, S. Kom SERTIFIKAT BerAKHLAK")</f>
        <v>ADITYA AGUNG WIJAYA, S. Kom SERTIFIKAT BerAKHLAK</v>
      </c>
      <c r="K651" s="5" t="s">
        <v>6296</v>
      </c>
      <c r="L651" s="5" t="s">
        <v>6316</v>
      </c>
    </row>
    <row r="652">
      <c r="A652" s="4">
        <v>45534.323933657404</v>
      </c>
      <c r="B652" s="5" t="s">
        <v>34</v>
      </c>
      <c r="D652" s="5" t="s">
        <v>35</v>
      </c>
      <c r="E652" s="5" t="s">
        <v>6322</v>
      </c>
      <c r="F652" s="5" t="s">
        <v>37</v>
      </c>
      <c r="G652" s="5" t="s">
        <v>6323</v>
      </c>
      <c r="H652" s="6" t="s">
        <v>6324</v>
      </c>
      <c r="I652" s="7" t="s">
        <v>6325</v>
      </c>
      <c r="J652" s="8" t="str">
        <f>HYPERLINK("https://drive.google.com/file/d/1exgd3Ox7ppgocdxx2NwPaFqhoeCDVNty/view?usp=drivesdk","WITA WITDYININGSIH SERTIFIKAT BerAKHLAK")</f>
        <v>WITA WITDYININGSIH SERTIFIKAT BerAKHLAK</v>
      </c>
      <c r="K652" s="5" t="s">
        <v>6296</v>
      </c>
      <c r="L652" s="5" t="s">
        <v>6326</v>
      </c>
    </row>
    <row r="653">
      <c r="A653" s="4">
        <v>45534.323938518515</v>
      </c>
      <c r="B653" s="5" t="s">
        <v>34</v>
      </c>
      <c r="D653" s="5" t="s">
        <v>522</v>
      </c>
      <c r="E653" s="5" t="s">
        <v>6331</v>
      </c>
      <c r="F653" s="5" t="s">
        <v>72</v>
      </c>
      <c r="G653" s="5" t="s">
        <v>6332</v>
      </c>
      <c r="H653" s="6" t="s">
        <v>6333</v>
      </c>
      <c r="I653" s="7" t="s">
        <v>6334</v>
      </c>
      <c r="J653" s="8" t="str">
        <f>HYPERLINK("https://drive.google.com/file/d/1WuZopXyAUgBrIe3D54y2nZw6Sn5cuS2z/view?usp=drivesdk","NOVA ARIANTI, A.Md., S.E. SERTIFIKAT BerAKHLAK")</f>
        <v>NOVA ARIANTI, A.Md., S.E. SERTIFIKAT BerAKHLAK</v>
      </c>
      <c r="K653" s="5" t="s">
        <v>6335</v>
      </c>
      <c r="L653" s="5" t="s">
        <v>6336</v>
      </c>
    </row>
    <row r="654">
      <c r="A654" s="4">
        <v>45534.3239394213</v>
      </c>
      <c r="B654" s="5" t="s">
        <v>34</v>
      </c>
      <c r="D654" s="5" t="s">
        <v>1456</v>
      </c>
      <c r="E654" s="5" t="s">
        <v>6341</v>
      </c>
      <c r="F654" s="5" t="s">
        <v>37</v>
      </c>
      <c r="G654" s="5" t="s">
        <v>6342</v>
      </c>
      <c r="H654" s="6" t="s">
        <v>6343</v>
      </c>
      <c r="I654" s="7" t="s">
        <v>6344</v>
      </c>
      <c r="J654" s="8" t="str">
        <f>HYPERLINK("https://drive.google.com/file/d/115Y9_0jGMZdzeh9ZO3pAYZh9AbgKCwbM/view?usp=drivesdk","AGUS SUBARIYANTO SERTIFIKAT BerAKHLAK")</f>
        <v>AGUS SUBARIYANTO SERTIFIKAT BerAKHLAK</v>
      </c>
      <c r="K654" s="5" t="s">
        <v>6335</v>
      </c>
      <c r="L654" s="5" t="s">
        <v>6345</v>
      </c>
    </row>
    <row r="655">
      <c r="A655" s="4">
        <v>45534.32396486111</v>
      </c>
      <c r="B655" s="5" t="s">
        <v>34</v>
      </c>
      <c r="D655" s="5" t="s">
        <v>522</v>
      </c>
      <c r="E655" s="5" t="s">
        <v>6351</v>
      </c>
      <c r="F655" s="5" t="s">
        <v>715</v>
      </c>
      <c r="G655" s="5" t="s">
        <v>6352</v>
      </c>
      <c r="H655" s="6" t="s">
        <v>6353</v>
      </c>
      <c r="I655" s="7" t="s">
        <v>6354</v>
      </c>
      <c r="J655" s="8" t="str">
        <f>HYPERLINK("https://drive.google.com/file/d/1XX1vGto0VGCkZGl_jpbUl8ixTkqymRuh/view?usp=drivesdk","TITYN HERDINA, S.E. SERTIFIKAT BerAKHLAK")</f>
        <v>TITYN HERDINA, S.E. SERTIFIKAT BerAKHLAK</v>
      </c>
      <c r="K655" s="5" t="s">
        <v>6335</v>
      </c>
      <c r="L655" s="5" t="s">
        <v>6355</v>
      </c>
    </row>
    <row r="656">
      <c r="A656" s="4">
        <v>45534.323970578705</v>
      </c>
      <c r="B656" s="5" t="s">
        <v>34</v>
      </c>
      <c r="D656" s="5" t="s">
        <v>267</v>
      </c>
      <c r="E656" s="5" t="s">
        <v>6360</v>
      </c>
      <c r="F656" s="5" t="s">
        <v>524</v>
      </c>
      <c r="G656" s="5" t="s">
        <v>6361</v>
      </c>
      <c r="H656" s="6" t="s">
        <v>6362</v>
      </c>
      <c r="I656" s="7" t="s">
        <v>6363</v>
      </c>
      <c r="J656" s="8" t="str">
        <f>HYPERLINK("https://drive.google.com/file/d/1PpXz_QJkF6n2B-s9Dxtolg1H4ZPQcKWY/view?usp=drivesdk","KUKUH PUJI HARIYADI SERTIFIKAT BerAKHLAK")</f>
        <v>KUKUH PUJI HARIYADI SERTIFIKAT BerAKHLAK</v>
      </c>
      <c r="K656" s="5" t="s">
        <v>6335</v>
      </c>
      <c r="L656" s="5" t="s">
        <v>6364</v>
      </c>
    </row>
    <row r="657">
      <c r="A657" s="4">
        <v>45534.323973819446</v>
      </c>
      <c r="B657" s="5" t="s">
        <v>34</v>
      </c>
      <c r="D657" s="5" t="s">
        <v>1206</v>
      </c>
      <c r="E657" s="5" t="s">
        <v>6369</v>
      </c>
      <c r="F657" s="5" t="s">
        <v>72</v>
      </c>
      <c r="G657" s="5" t="s">
        <v>6370</v>
      </c>
      <c r="H657" s="6" t="s">
        <v>6371</v>
      </c>
      <c r="I657" s="7" t="s">
        <v>6372</v>
      </c>
      <c r="J657" s="8" t="str">
        <f>HYPERLINK("https://drive.google.com/file/d/1_qNEv7FW_jLZ1dGgNl-uONE9cbt_M-y2/view?usp=drivesdk","DWI YUNITA BUDIARTI, S.E.  SERTIFIKAT BerAKHLAK")</f>
        <v>DWI YUNITA BUDIARTI, S.E.  SERTIFIKAT BerAKHLAK</v>
      </c>
      <c r="K657" s="5" t="s">
        <v>6373</v>
      </c>
      <c r="L657" s="5" t="s">
        <v>6374</v>
      </c>
    </row>
    <row r="658">
      <c r="A658" s="4">
        <v>45534.32398140046</v>
      </c>
      <c r="B658" s="5" t="s">
        <v>19</v>
      </c>
      <c r="C658" s="5" t="s">
        <v>442</v>
      </c>
      <c r="E658" s="5" t="s">
        <v>6380</v>
      </c>
      <c r="F658" s="5" t="s">
        <v>108</v>
      </c>
      <c r="G658" s="5" t="s">
        <v>6381</v>
      </c>
      <c r="H658" s="6" t="s">
        <v>6382</v>
      </c>
      <c r="I658" s="7" t="s">
        <v>6383</v>
      </c>
      <c r="J658" s="8" t="str">
        <f>HYPERLINK("https://drive.google.com/file/d/1g_qC_PNq78Jt6TuNNW5RHhlPo0UWKEcp/view?usp=drivesdk","TUTIK JUNIFAH S.H. SERTIFIKAT BerAKHLAK")</f>
        <v>TUTIK JUNIFAH S.H. SERTIFIKAT BerAKHLAK</v>
      </c>
      <c r="K658" s="5" t="s">
        <v>6373</v>
      </c>
      <c r="L658" s="5" t="s">
        <v>6384</v>
      </c>
    </row>
    <row r="659">
      <c r="A659" s="4">
        <v>45534.324040023144</v>
      </c>
      <c r="B659" s="5" t="s">
        <v>34</v>
      </c>
      <c r="D659" s="5" t="s">
        <v>4775</v>
      </c>
      <c r="E659" s="5" t="s">
        <v>6388</v>
      </c>
      <c r="F659" s="5" t="s">
        <v>212</v>
      </c>
      <c r="G659" s="5" t="s">
        <v>6389</v>
      </c>
      <c r="H659" s="6" t="s">
        <v>6390</v>
      </c>
      <c r="I659" s="7" t="s">
        <v>6391</v>
      </c>
      <c r="J659" s="8" t="str">
        <f>HYPERLINK("https://drive.google.com/file/d/1MqhoXC7-XP17462JT5AsbVDEHaa7pBOl/view?usp=drivesdk","YULI NUGRAENI SERTIFIKAT BerAKHLAK")</f>
        <v>YULI NUGRAENI SERTIFIKAT BerAKHLAK</v>
      </c>
      <c r="K659" s="5" t="s">
        <v>6004</v>
      </c>
      <c r="L659" s="5" t="s">
        <v>6392</v>
      </c>
    </row>
    <row r="660">
      <c r="A660" s="4">
        <v>45534.32404877315</v>
      </c>
      <c r="B660" s="5" t="s">
        <v>34</v>
      </c>
      <c r="D660" s="5" t="s">
        <v>996</v>
      </c>
      <c r="E660" s="5" t="s">
        <v>6395</v>
      </c>
      <c r="F660" s="5" t="s">
        <v>212</v>
      </c>
      <c r="G660" s="5" t="s">
        <v>6396</v>
      </c>
      <c r="H660" s="6" t="s">
        <v>6397</v>
      </c>
      <c r="I660" s="7" t="s">
        <v>6398</v>
      </c>
      <c r="J660" s="8" t="str">
        <f>HYPERLINK("https://drive.google.com/file/d/1K-sV-1RfEzhxC85E8e6dKrKIZfBqyDdy/view?usp=drivesdk","ERRYDA JANUARTI SERTIFIKAT BerAKHLAK")</f>
        <v>ERRYDA JANUARTI SERTIFIKAT BerAKHLAK</v>
      </c>
      <c r="K660" s="5" t="s">
        <v>6004</v>
      </c>
      <c r="L660" s="5" t="s">
        <v>6399</v>
      </c>
    </row>
    <row r="661">
      <c r="A661" s="4">
        <v>45534.32407270833</v>
      </c>
      <c r="B661" s="5" t="s">
        <v>34</v>
      </c>
      <c r="D661" s="5" t="s">
        <v>35</v>
      </c>
      <c r="E661" s="5" t="s">
        <v>6402</v>
      </c>
      <c r="F661" s="5" t="s">
        <v>120</v>
      </c>
      <c r="G661" s="5" t="s">
        <v>6403</v>
      </c>
      <c r="H661" s="6" t="s">
        <v>6404</v>
      </c>
      <c r="I661" s="7" t="s">
        <v>6405</v>
      </c>
      <c r="J661" s="8" t="str">
        <f>HYPERLINK("https://drive.google.com/file/d/1dvsvWZbSJ1qS_0ual50VPu_jjHxUwp5d/view?usp=drivesdk","GITA GENTANIA, S.T., M.M. SERTIFIKAT BerAKHLAK")</f>
        <v>GITA GENTANIA, S.T., M.M. SERTIFIKAT BerAKHLAK</v>
      </c>
      <c r="K661" s="5" t="s">
        <v>6004</v>
      </c>
      <c r="L661" s="5" t="s">
        <v>6406</v>
      </c>
    </row>
    <row r="662">
      <c r="A662" s="4">
        <v>45534.324085636574</v>
      </c>
      <c r="B662" s="5" t="s">
        <v>19</v>
      </c>
      <c r="C662" s="5" t="s">
        <v>292</v>
      </c>
      <c r="E662" s="5" t="s">
        <v>6409</v>
      </c>
      <c r="F662" s="5" t="s">
        <v>524</v>
      </c>
      <c r="G662" s="5" t="s">
        <v>6410</v>
      </c>
      <c r="H662" s="6" t="s">
        <v>6411</v>
      </c>
      <c r="I662" s="7" t="s">
        <v>6412</v>
      </c>
      <c r="J662" s="8" t="str">
        <f>HYPERLINK("https://drive.google.com/file/d/1b2MqVEm3eRM9BZiTJdX25EozZWBsgjJs/view?usp=drivesdk","EKA BUDI SANTOSA S.Pd SERTIFIKAT BerAKHLAK")</f>
        <v>EKA BUDI SANTOSA S.Pd SERTIFIKAT BerAKHLAK</v>
      </c>
      <c r="K662" s="5" t="s">
        <v>6004</v>
      </c>
      <c r="L662" s="5" t="s">
        <v>6413</v>
      </c>
    </row>
    <row r="663">
      <c r="A663" s="4">
        <v>45534.324089988426</v>
      </c>
      <c r="B663" s="5" t="s">
        <v>34</v>
      </c>
      <c r="D663" s="5" t="s">
        <v>4775</v>
      </c>
      <c r="E663" s="5" t="s">
        <v>6416</v>
      </c>
      <c r="F663" s="5" t="s">
        <v>524</v>
      </c>
      <c r="G663" s="5" t="s">
        <v>6417</v>
      </c>
      <c r="H663" s="6" t="s">
        <v>6418</v>
      </c>
      <c r="I663" s="7" t="s">
        <v>6419</v>
      </c>
      <c r="J663" s="8" t="str">
        <f>HYPERLINK("https://drive.google.com/file/d/1OVzX4GqH8tG0T0YosXAHXy-xCIebkn19/view?usp=drivesdk","SOFAN OKTANTO, A.MD. SERTIFIKAT BerAKHLAK")</f>
        <v>SOFAN OKTANTO, A.MD. SERTIFIKAT BerAKHLAK</v>
      </c>
      <c r="K663" s="5" t="s">
        <v>6198</v>
      </c>
      <c r="L663" s="5" t="s">
        <v>6420</v>
      </c>
    </row>
    <row r="664">
      <c r="A664" s="4">
        <v>45534.32409912037</v>
      </c>
      <c r="B664" s="5" t="s">
        <v>19</v>
      </c>
      <c r="C664" s="5" t="s">
        <v>292</v>
      </c>
      <c r="E664" s="5" t="s">
        <v>6424</v>
      </c>
      <c r="F664" s="5" t="s">
        <v>212</v>
      </c>
      <c r="G664" s="5" t="s">
        <v>6425</v>
      </c>
      <c r="H664" s="6" t="s">
        <v>6426</v>
      </c>
      <c r="I664" s="7" t="s">
        <v>6427</v>
      </c>
      <c r="J664" s="8" t="str">
        <f>HYPERLINK("https://drive.google.com/file/d/1tb979E7j-cAny7pqAsEno-lcZfkI8DDR/view?usp=drivesdk","SURYANI KATRI WIDHIANINGRUM SERTIFIKAT BerAKHLAK")</f>
        <v>SURYANI KATRI WIDHIANINGRUM SERTIFIKAT BerAKHLAK</v>
      </c>
      <c r="K664" s="5" t="s">
        <v>6198</v>
      </c>
      <c r="L664" s="5" t="s">
        <v>6428</v>
      </c>
    </row>
    <row r="665">
      <c r="A665" s="4">
        <v>45534.32411165509</v>
      </c>
      <c r="B665" s="5" t="s">
        <v>34</v>
      </c>
      <c r="D665" s="5" t="s">
        <v>996</v>
      </c>
      <c r="E665" s="5" t="s">
        <v>6431</v>
      </c>
      <c r="F665" s="5" t="s">
        <v>524</v>
      </c>
      <c r="G665" s="5" t="s">
        <v>6432</v>
      </c>
      <c r="H665" s="6" t="s">
        <v>6433</v>
      </c>
      <c r="I665" s="7" t="s">
        <v>6434</v>
      </c>
      <c r="J665" s="8" t="str">
        <f>HYPERLINK("https://drive.google.com/file/d/1QMUBMgfJ12qbTViv7Mjh5kveBaMgmB2i/view?usp=drivesdk","RABIWTUL LAILA SKM SERTIFIKAT BerAKHLAK")</f>
        <v>RABIWTUL LAILA SKM SERTIFIKAT BerAKHLAK</v>
      </c>
      <c r="K665" s="5" t="s">
        <v>6004</v>
      </c>
      <c r="L665" s="5" t="s">
        <v>6435</v>
      </c>
    </row>
    <row r="666">
      <c r="A666" s="4">
        <v>45534.32412506944</v>
      </c>
      <c r="B666" s="5" t="s">
        <v>34</v>
      </c>
      <c r="D666" s="5" t="s">
        <v>604</v>
      </c>
      <c r="E666" s="5" t="s">
        <v>6438</v>
      </c>
      <c r="F666" s="5" t="s">
        <v>22</v>
      </c>
      <c r="G666" s="5" t="s">
        <v>6439</v>
      </c>
      <c r="H666" s="6" t="s">
        <v>6440</v>
      </c>
      <c r="I666" s="7" t="s">
        <v>6441</v>
      </c>
      <c r="J666" s="8" t="str">
        <f>HYPERLINK("https://drive.google.com/file/d/17kbJEkBwvcMox9eGeAaNCGWz2UjSBev6/view?usp=drivesdk","KORNELIUS S KAMBA, SE.,MM SERTIFIKAT BerAKHLAK")</f>
        <v>KORNELIUS S KAMBA, SE.,MM SERTIFIKAT BerAKHLAK</v>
      </c>
      <c r="K666" s="5" t="s">
        <v>6004</v>
      </c>
      <c r="L666" s="5" t="s">
        <v>6442</v>
      </c>
    </row>
    <row r="667">
      <c r="A667" s="4">
        <v>45534.324125486106</v>
      </c>
      <c r="B667" s="5" t="s">
        <v>19</v>
      </c>
      <c r="C667" s="5" t="s">
        <v>292</v>
      </c>
      <c r="E667" s="5" t="s">
        <v>6445</v>
      </c>
      <c r="F667" s="5" t="s">
        <v>524</v>
      </c>
      <c r="G667" s="5" t="s">
        <v>6446</v>
      </c>
      <c r="H667" s="6" t="s">
        <v>6447</v>
      </c>
      <c r="I667" s="7" t="s">
        <v>6448</v>
      </c>
      <c r="J667" s="8" t="str">
        <f>HYPERLINK("https://drive.google.com/file/d/1Gs5V7aTwJ2RoqJ2bxYfFXju6_TgiKLRs/view?usp=drivesdk","ARI DJUNAEDI, AMD SERTIFIKAT BerAKHLAK")</f>
        <v>ARI DJUNAEDI, AMD SERTIFIKAT BerAKHLAK</v>
      </c>
      <c r="K667" s="5" t="s">
        <v>6198</v>
      </c>
      <c r="L667" s="5" t="s">
        <v>6449</v>
      </c>
    </row>
    <row r="668">
      <c r="A668" s="4">
        <v>45534.32416315972</v>
      </c>
      <c r="B668" s="5" t="s">
        <v>34</v>
      </c>
      <c r="D668" s="5" t="s">
        <v>1456</v>
      </c>
      <c r="E668" s="5" t="s">
        <v>6452</v>
      </c>
      <c r="F668" s="5" t="s">
        <v>72</v>
      </c>
      <c r="G668" s="5" t="s">
        <v>6453</v>
      </c>
      <c r="H668" s="6" t="s">
        <v>6454</v>
      </c>
      <c r="I668" s="7" t="s">
        <v>6455</v>
      </c>
      <c r="J668" s="8" t="str">
        <f>HYPERLINK("https://drive.google.com/file/d/1U40HeNBCje99qjsQhwd5IpBU0KVpKgfy/view?usp=drivesdk","VITHA ANASTIWI SERTIFIKAT BerAKHLAK")</f>
        <v>VITHA ANASTIWI SERTIFIKAT BerAKHLAK</v>
      </c>
      <c r="K668" s="5" t="s">
        <v>6004</v>
      </c>
      <c r="L668" s="5" t="s">
        <v>6456</v>
      </c>
    </row>
    <row r="669">
      <c r="A669" s="4">
        <v>45534.32417310185</v>
      </c>
      <c r="B669" s="5" t="s">
        <v>19</v>
      </c>
      <c r="C669" s="5" t="s">
        <v>292</v>
      </c>
      <c r="E669" s="5" t="s">
        <v>6460</v>
      </c>
      <c r="F669" s="5" t="s">
        <v>524</v>
      </c>
      <c r="G669" s="5" t="s">
        <v>6461</v>
      </c>
      <c r="H669" s="6" t="s">
        <v>6462</v>
      </c>
      <c r="I669" s="7" t="s">
        <v>6463</v>
      </c>
      <c r="J669" s="8" t="str">
        <f>HYPERLINK("https://drive.google.com/file/d/1mxgFQdv2lbfAbogoQNwygwWjuLO7R8Yc/view?usp=drivesdk","ANANG WAHYU DWI PRASETYO, S.Pd. SERTIFIKAT BerAKHLAK")</f>
        <v>ANANG WAHYU DWI PRASETYO, S.Pd. SERTIFIKAT BerAKHLAK</v>
      </c>
      <c r="K669" s="5" t="s">
        <v>6198</v>
      </c>
      <c r="L669" s="5" t="s">
        <v>6464</v>
      </c>
    </row>
    <row r="670">
      <c r="A670" s="4">
        <v>45534.3241759838</v>
      </c>
      <c r="B670" s="5" t="s">
        <v>19</v>
      </c>
      <c r="C670" s="5" t="s">
        <v>3301</v>
      </c>
      <c r="E670" s="5" t="s">
        <v>6467</v>
      </c>
      <c r="F670" s="5" t="s">
        <v>72</v>
      </c>
      <c r="G670" s="5" t="s">
        <v>6468</v>
      </c>
      <c r="H670" s="6" t="s">
        <v>6469</v>
      </c>
      <c r="I670" s="7" t="s">
        <v>6470</v>
      </c>
      <c r="J670" s="8" t="str">
        <f>HYPERLINK("https://drive.google.com/file/d/11ENOBDizlvuxnNWJan9xcjIF2SLyeSot/view?usp=drivesdk","DESTIANA TARIGAN, AMD KEP SERTIFIKAT BerAKHLAK")</f>
        <v>DESTIANA TARIGAN, AMD KEP SERTIFIKAT BerAKHLAK</v>
      </c>
      <c r="K670" s="5" t="s">
        <v>6198</v>
      </c>
      <c r="L670" s="5" t="s">
        <v>6471</v>
      </c>
    </row>
    <row r="671">
      <c r="A671" s="4">
        <v>45534.32418434028</v>
      </c>
      <c r="B671" s="5" t="s">
        <v>34</v>
      </c>
      <c r="D671" s="5" t="s">
        <v>280</v>
      </c>
      <c r="E671" s="5" t="s">
        <v>6474</v>
      </c>
      <c r="F671" s="5" t="s">
        <v>212</v>
      </c>
      <c r="G671" s="5" t="s">
        <v>6475</v>
      </c>
      <c r="H671" s="6" t="s">
        <v>6476</v>
      </c>
      <c r="I671" s="7" t="s">
        <v>6477</v>
      </c>
      <c r="J671" s="8" t="str">
        <f>HYPERLINK("https://drive.google.com/file/d/1Zyp_UGp8QEPkXp0KEDloK9vXVNqEvRIl/view?usp=drivesdk","MUHAMAD SANUSI SERTIFIKAT BerAKHLAK")</f>
        <v>MUHAMAD SANUSI SERTIFIKAT BerAKHLAK</v>
      </c>
      <c r="K671" s="5" t="s">
        <v>6198</v>
      </c>
      <c r="L671" s="5" t="s">
        <v>6478</v>
      </c>
    </row>
    <row r="672">
      <c r="A672" s="4">
        <v>45534.32422765046</v>
      </c>
      <c r="B672" s="5" t="s">
        <v>34</v>
      </c>
      <c r="D672" s="5" t="s">
        <v>1206</v>
      </c>
      <c r="E672" s="5" t="s">
        <v>6481</v>
      </c>
      <c r="F672" s="5" t="s">
        <v>212</v>
      </c>
      <c r="G672" s="5" t="s">
        <v>6482</v>
      </c>
      <c r="H672" s="6" t="s">
        <v>6483</v>
      </c>
      <c r="I672" s="7" t="s">
        <v>6484</v>
      </c>
      <c r="J672" s="8" t="str">
        <f>HYPERLINK("https://drive.google.com/file/d/1PCrEKMQ-ry0X8-yVPb2qVnlxvnSk5h6r/view?usp=drivesdk","EKO SUPRIYANTO, SIP SERTIFIKAT BerAKHLAK")</f>
        <v>EKO SUPRIYANTO, SIP SERTIFIKAT BerAKHLAK</v>
      </c>
      <c r="K672" s="5" t="s">
        <v>6198</v>
      </c>
      <c r="L672" s="5" t="s">
        <v>6485</v>
      </c>
    </row>
    <row r="673">
      <c r="A673" s="4">
        <v>45534.32423025463</v>
      </c>
      <c r="B673" s="5" t="s">
        <v>34</v>
      </c>
      <c r="D673" s="5" t="s">
        <v>35</v>
      </c>
      <c r="E673" s="5" t="s">
        <v>6488</v>
      </c>
      <c r="F673" s="5" t="s">
        <v>37</v>
      </c>
      <c r="G673" s="5" t="s">
        <v>6489</v>
      </c>
      <c r="H673" s="6" t="s">
        <v>6490</v>
      </c>
      <c r="I673" s="7" t="s">
        <v>6491</v>
      </c>
      <c r="J673" s="8" t="str">
        <f>HYPERLINK("https://drive.google.com/file/d/1asIt1mzaZl6Y9ysdZf79UG-sivCCLLs9/view?usp=drivesdk","HERRY SUPRAYITNO SERTIFIKAT BerAKHLAK")</f>
        <v>HERRY SUPRAYITNO SERTIFIKAT BerAKHLAK</v>
      </c>
      <c r="K673" s="5" t="s">
        <v>6198</v>
      </c>
      <c r="L673" s="5" t="s">
        <v>6492</v>
      </c>
    </row>
    <row r="674">
      <c r="A674" s="4">
        <v>45534.32424290509</v>
      </c>
      <c r="B674" s="5" t="s">
        <v>34</v>
      </c>
      <c r="D674" s="5" t="s">
        <v>35</v>
      </c>
      <c r="E674" s="5" t="s">
        <v>6496</v>
      </c>
      <c r="F674" s="5" t="s">
        <v>212</v>
      </c>
      <c r="G674" s="5" t="s">
        <v>6497</v>
      </c>
      <c r="H674" s="6" t="s">
        <v>6498</v>
      </c>
      <c r="I674" s="7" t="s">
        <v>6499</v>
      </c>
      <c r="J674" s="8" t="str">
        <f>HYPERLINK("https://drive.google.com/file/d/1x1sIae-LZDhd-sA8BGZWIoEVhGYlRDu5/view?usp=drivesdk","SANTI DIANA KARINI, SH SERTIFIKAT BerAKHLAK")</f>
        <v>SANTI DIANA KARINI, SH SERTIFIKAT BerAKHLAK</v>
      </c>
      <c r="K674" s="5" t="s">
        <v>6198</v>
      </c>
      <c r="L674" s="5" t="s">
        <v>6500</v>
      </c>
    </row>
    <row r="675">
      <c r="A675" s="4">
        <v>45534.32424986111</v>
      </c>
      <c r="B675" s="5" t="s">
        <v>34</v>
      </c>
      <c r="D675" s="5" t="s">
        <v>35</v>
      </c>
      <c r="E675" s="5" t="s">
        <v>6503</v>
      </c>
      <c r="F675" s="5" t="s">
        <v>375</v>
      </c>
      <c r="G675" s="5" t="s">
        <v>6504</v>
      </c>
      <c r="H675" s="6" t="s">
        <v>6505</v>
      </c>
      <c r="I675" s="7" t="s">
        <v>6506</v>
      </c>
      <c r="J675" s="8" t="str">
        <f>HYPERLINK("https://drive.google.com/file/d/1sEAWwlzrMk0ps9_BvHlNFxTuG5_V51QQ/view?usp=drivesdk","FERNANDO TIMOTEUS PARDEDE, S.E., M.M. SERTIFIKAT BerAKHLAK")</f>
        <v>FERNANDO TIMOTEUS PARDEDE, S.E., M.M. SERTIFIKAT BerAKHLAK</v>
      </c>
      <c r="K675" s="5" t="s">
        <v>6198</v>
      </c>
      <c r="L675" s="5" t="s">
        <v>6507</v>
      </c>
    </row>
    <row r="676">
      <c r="A676" s="4">
        <v>45534.32433646991</v>
      </c>
      <c r="B676" s="5" t="s">
        <v>19</v>
      </c>
      <c r="C676" s="5" t="s">
        <v>3301</v>
      </c>
      <c r="E676" s="5" t="s">
        <v>6510</v>
      </c>
      <c r="F676" s="5" t="s">
        <v>375</v>
      </c>
      <c r="G676" s="5" t="s">
        <v>6511</v>
      </c>
      <c r="H676" s="6" t="s">
        <v>6512</v>
      </c>
      <c r="K676" s="5" t="s">
        <v>6513</v>
      </c>
    </row>
    <row r="677">
      <c r="A677" s="4">
        <v>45534.32436449074</v>
      </c>
      <c r="B677" s="5" t="s">
        <v>34</v>
      </c>
      <c r="D677" s="5" t="s">
        <v>3849</v>
      </c>
      <c r="E677" s="5" t="s">
        <v>6516</v>
      </c>
      <c r="F677" s="5" t="s">
        <v>37</v>
      </c>
      <c r="G677" s="5" t="s">
        <v>6517</v>
      </c>
      <c r="H677" s="6" t="s">
        <v>6518</v>
      </c>
      <c r="I677" s="7" t="s">
        <v>6519</v>
      </c>
      <c r="J677" s="8" t="str">
        <f>HYPERLINK("https://drive.google.com/file/d/1SdOdf87Ru6mYs6MHVlVVJH40p4bBKtwO/view?usp=drivesdk","A. HAMIDI YANSYAH, AM.KEP SERTIFIKAT BerAKHLAK")</f>
        <v>A. HAMIDI YANSYAH, AM.KEP SERTIFIKAT BerAKHLAK</v>
      </c>
      <c r="K677" s="5" t="s">
        <v>6198</v>
      </c>
      <c r="L677" s="5" t="s">
        <v>6520</v>
      </c>
    </row>
    <row r="678">
      <c r="A678" s="4">
        <v>45534.324410706016</v>
      </c>
      <c r="B678" s="5" t="s">
        <v>34</v>
      </c>
      <c r="D678" s="5" t="s">
        <v>35</v>
      </c>
      <c r="E678" s="5" t="s">
        <v>6523</v>
      </c>
      <c r="F678" s="5" t="s">
        <v>375</v>
      </c>
      <c r="G678" s="5" t="s">
        <v>6524</v>
      </c>
      <c r="H678" s="6" t="s">
        <v>6525</v>
      </c>
      <c r="I678" s="7" t="s">
        <v>6526</v>
      </c>
      <c r="J678" s="8" t="str">
        <f>HYPERLINK("https://drive.google.com/file/d/17VYVsKSRlRpyTOWBo5aEyjtX8vPjegEC/view?usp=drivesdk","DEDEH HENDARSIH, S.E. SERTIFIKAT BerAKHLAK")</f>
        <v>DEDEH HENDARSIH, S.E. SERTIFIKAT BerAKHLAK</v>
      </c>
      <c r="K678" s="5" t="s">
        <v>6198</v>
      </c>
      <c r="L678" s="5" t="s">
        <v>6527</v>
      </c>
    </row>
    <row r="679">
      <c r="A679" s="4">
        <v>45534.324420370365</v>
      </c>
      <c r="B679" s="5" t="s">
        <v>34</v>
      </c>
      <c r="D679" s="5" t="s">
        <v>4775</v>
      </c>
      <c r="E679" s="5" t="s">
        <v>6531</v>
      </c>
      <c r="F679" s="5" t="s">
        <v>120</v>
      </c>
      <c r="G679" s="5" t="s">
        <v>6532</v>
      </c>
      <c r="H679" s="6" t="s">
        <v>6533</v>
      </c>
      <c r="I679" s="7" t="s">
        <v>6534</v>
      </c>
      <c r="J679" s="8" t="str">
        <f>HYPERLINK("https://drive.google.com/file/d/188LrCeKQCaNfBhFHKMcav-Xv6GcKvXZR/view?usp=drivesdk","ESTI LESTARI, S.Si SERTIFIKAT BerAKHLAK")</f>
        <v>ESTI LESTARI, S.Si SERTIFIKAT BerAKHLAK</v>
      </c>
      <c r="K679" s="5" t="s">
        <v>6198</v>
      </c>
      <c r="L679" s="5" t="s">
        <v>6535</v>
      </c>
    </row>
    <row r="680">
      <c r="A680" s="4">
        <v>45534.32443626157</v>
      </c>
      <c r="B680" s="5" t="s">
        <v>34</v>
      </c>
      <c r="D680" s="5" t="s">
        <v>1206</v>
      </c>
      <c r="E680" s="5" t="s">
        <v>6538</v>
      </c>
      <c r="F680" s="5" t="s">
        <v>212</v>
      </c>
      <c r="G680" s="5" t="s">
        <v>6539</v>
      </c>
      <c r="H680" s="6" t="s">
        <v>6540</v>
      </c>
      <c r="I680" s="7" t="s">
        <v>6541</v>
      </c>
      <c r="J680" s="8" t="str">
        <f>HYPERLINK("https://drive.google.com/file/d/1j35XC1pJrWQhIk76c8cfqDslt-LC0Xyf/view?usp=drivesdk","UMI EKA WAHYUNI, S.H. SERTIFIKAT BerAKHLAK")</f>
        <v>UMI EKA WAHYUNI, S.H. SERTIFIKAT BerAKHLAK</v>
      </c>
      <c r="K680" s="5" t="s">
        <v>6198</v>
      </c>
      <c r="L680" s="5" t="s">
        <v>6542</v>
      </c>
    </row>
    <row r="681">
      <c r="A681" s="4">
        <v>45534.3244462963</v>
      </c>
      <c r="B681" s="5" t="s">
        <v>34</v>
      </c>
      <c r="D681" s="5" t="s">
        <v>1206</v>
      </c>
      <c r="E681" s="5" t="s">
        <v>6545</v>
      </c>
      <c r="F681" s="5" t="s">
        <v>37</v>
      </c>
      <c r="G681" s="5" t="s">
        <v>6546</v>
      </c>
      <c r="H681" s="6" t="s">
        <v>6547</v>
      </c>
      <c r="I681" s="7" t="s">
        <v>6548</v>
      </c>
      <c r="J681" s="8" t="str">
        <f>HYPERLINK("https://drive.google.com/file/d/11RGRsCTWw43j6-QwFuSX16_3aXn9SW19/view?usp=drivesdk","ITA FATMAWATI  SERTIFIKAT BerAKHLAK")</f>
        <v>ITA FATMAWATI  SERTIFIKAT BerAKHLAK</v>
      </c>
      <c r="K681" s="5" t="s">
        <v>6198</v>
      </c>
      <c r="L681" s="5" t="s">
        <v>6549</v>
      </c>
    </row>
    <row r="682">
      <c r="A682" s="4">
        <v>45534.324457361115</v>
      </c>
      <c r="B682" s="5" t="s">
        <v>34</v>
      </c>
      <c r="D682" s="5" t="s">
        <v>35</v>
      </c>
      <c r="E682" s="5" t="s">
        <v>6552</v>
      </c>
      <c r="F682" s="5" t="s">
        <v>108</v>
      </c>
      <c r="G682" s="5" t="s">
        <v>6553</v>
      </c>
      <c r="H682" s="6" t="s">
        <v>6554</v>
      </c>
      <c r="I682" s="7" t="s">
        <v>6555</v>
      </c>
      <c r="J682" s="8" t="str">
        <f>HYPERLINK("https://drive.google.com/file/d/1p5HjzYxdxyqbdauTSNA_m7fRfkg41XCt/view?usp=drivesdk","ERWIN TASMAWINATA SERTIFIKAT BerAKHLAK")</f>
        <v>ERWIN TASMAWINATA SERTIFIKAT BerAKHLAK</v>
      </c>
      <c r="K682" s="5" t="s">
        <v>6237</v>
      </c>
      <c r="L682" s="5" t="s">
        <v>6556</v>
      </c>
    </row>
    <row r="683">
      <c r="A683" s="4">
        <v>45534.32449732639</v>
      </c>
      <c r="B683" s="5" t="s">
        <v>34</v>
      </c>
      <c r="D683" s="5" t="s">
        <v>267</v>
      </c>
      <c r="E683" s="5" t="s">
        <v>6559</v>
      </c>
      <c r="F683" s="5" t="s">
        <v>120</v>
      </c>
      <c r="G683" s="5" t="s">
        <v>6560</v>
      </c>
      <c r="H683" s="6" t="s">
        <v>6561</v>
      </c>
      <c r="I683" s="7" t="s">
        <v>6562</v>
      </c>
      <c r="J683" s="8" t="str">
        <f>HYPERLINK("https://drive.google.com/file/d/1BZPrftkKnB894x5jdf-0QidXx9qz_gaQ/view?usp=drivesdk","V. HARYO DHANENDRO, S.H., M.H. SERTIFIKAT BerAKHLAK")</f>
        <v>V. HARYO DHANENDRO, S.H., M.H. SERTIFIKAT BerAKHLAK</v>
      </c>
      <c r="K683" s="5" t="s">
        <v>6198</v>
      </c>
      <c r="L683" s="5" t="s">
        <v>6563</v>
      </c>
    </row>
    <row r="684">
      <c r="A684" s="4">
        <v>45534.32450710648</v>
      </c>
      <c r="B684" s="5" t="s">
        <v>34</v>
      </c>
      <c r="D684" s="5" t="s">
        <v>267</v>
      </c>
      <c r="E684" s="5" t="s">
        <v>6566</v>
      </c>
      <c r="F684" s="5" t="s">
        <v>72</v>
      </c>
      <c r="G684" s="5" t="s">
        <v>6567</v>
      </c>
      <c r="H684" s="6" t="s">
        <v>6568</v>
      </c>
      <c r="I684" s="7" t="s">
        <v>6569</v>
      </c>
      <c r="J684" s="8" t="str">
        <f>HYPERLINK("https://drive.google.com/file/d/1p6GbwYnCuH0cHScTd0c4Q2Q1lpCl-0Xi/view?usp=drivesdk","RATNA ANASTASIA TRIWIDIASTUTI, A.Md SERTIFIKAT BerAKHLAK")</f>
        <v>RATNA ANASTASIA TRIWIDIASTUTI, A.Md SERTIFIKAT BerAKHLAK</v>
      </c>
      <c r="K684" s="5" t="s">
        <v>6198</v>
      </c>
      <c r="L684" s="5" t="s">
        <v>6570</v>
      </c>
    </row>
    <row r="685">
      <c r="A685" s="4">
        <v>45534.32451261574</v>
      </c>
      <c r="B685" s="5" t="s">
        <v>34</v>
      </c>
      <c r="D685" s="5" t="s">
        <v>35</v>
      </c>
      <c r="E685" s="5" t="s">
        <v>6574</v>
      </c>
      <c r="F685" s="5" t="s">
        <v>72</v>
      </c>
      <c r="G685" s="5" t="s">
        <v>6575</v>
      </c>
      <c r="H685" s="6" t="s">
        <v>6576</v>
      </c>
      <c r="I685" s="7" t="s">
        <v>6577</v>
      </c>
      <c r="J685" s="8" t="str">
        <f>HYPERLINK("https://drive.google.com/file/d/1wx4KCE9Rv01RBY6HKioQMWExjyqNJSNQ/view?usp=drivesdk","LITA NUR AMBAEWATI, S.Kep, Ners SERTIFIKAT BerAKHLAK")</f>
        <v>LITA NUR AMBAEWATI, S.Kep, Ners SERTIFIKAT BerAKHLAK</v>
      </c>
      <c r="K685" s="5" t="s">
        <v>6198</v>
      </c>
      <c r="L685" s="5" t="s">
        <v>6578</v>
      </c>
    </row>
    <row r="686">
      <c r="A686" s="4">
        <v>45534.32451230324</v>
      </c>
      <c r="B686" s="5" t="s">
        <v>34</v>
      </c>
      <c r="D686" s="5" t="s">
        <v>4775</v>
      </c>
      <c r="E686" s="5" t="s">
        <v>6581</v>
      </c>
      <c r="F686" s="5" t="s">
        <v>37</v>
      </c>
      <c r="G686" s="5" t="s">
        <v>6582</v>
      </c>
      <c r="H686" s="6" t="s">
        <v>6583</v>
      </c>
      <c r="I686" s="7" t="s">
        <v>6584</v>
      </c>
      <c r="J686" s="8" t="str">
        <f>HYPERLINK("https://drive.google.com/file/d/1AlVyVa3RWUsGf6jlKdXsN_6q0ozPb2-r/view?usp=drivesdk","IDAM NURSUHANTO SERTIFIKAT BerAKHLAK")</f>
        <v>IDAM NURSUHANTO SERTIFIKAT BerAKHLAK</v>
      </c>
      <c r="K686" s="5" t="s">
        <v>6237</v>
      </c>
      <c r="L686" s="5" t="s">
        <v>6585</v>
      </c>
    </row>
    <row r="687">
      <c r="A687" s="4">
        <v>45534.32451543982</v>
      </c>
      <c r="B687" s="5" t="s">
        <v>19</v>
      </c>
      <c r="C687" s="5" t="s">
        <v>3301</v>
      </c>
      <c r="E687" s="5" t="s">
        <v>6588</v>
      </c>
      <c r="F687" s="5" t="s">
        <v>108</v>
      </c>
      <c r="G687" s="5" t="s">
        <v>6589</v>
      </c>
      <c r="H687" s="6" t="s">
        <v>6590</v>
      </c>
      <c r="I687" s="7" t="s">
        <v>6591</v>
      </c>
      <c r="J687" s="8" t="str">
        <f>HYPERLINK("https://drive.google.com/file/d/1fw55wyBFflciy7a6G46MFrMw0efUsbb6/view?usp=drivesdk","NOPI SUSILOWATI SERTIFIKAT BerAKHLAK")</f>
        <v>NOPI SUSILOWATI SERTIFIKAT BerAKHLAK</v>
      </c>
      <c r="K687" s="5" t="s">
        <v>6237</v>
      </c>
      <c r="L687" s="5" t="s">
        <v>6592</v>
      </c>
    </row>
    <row r="688">
      <c r="A688" s="4">
        <v>45534.324534479165</v>
      </c>
      <c r="B688" s="5" t="s">
        <v>34</v>
      </c>
      <c r="D688" s="5" t="s">
        <v>2903</v>
      </c>
      <c r="E688" s="5" t="s">
        <v>6595</v>
      </c>
      <c r="F688" s="5" t="s">
        <v>524</v>
      </c>
      <c r="G688" s="5" t="s">
        <v>6596</v>
      </c>
      <c r="H688" s="6" t="s">
        <v>6597</v>
      </c>
      <c r="I688" s="7" t="s">
        <v>6598</v>
      </c>
      <c r="J688" s="8" t="str">
        <f>HYPERLINK("https://drive.google.com/file/d/16tYReHYqj62vr9smCOl-Vg_KLVA7f7rb/view?usp=drivesdk","ETIKA HUSNIATI  SERTIFIKAT BerAKHLAK")</f>
        <v>ETIKA HUSNIATI  SERTIFIKAT BerAKHLAK</v>
      </c>
      <c r="K688" s="5" t="s">
        <v>6198</v>
      </c>
      <c r="L688" s="5" t="s">
        <v>6599</v>
      </c>
    </row>
    <row r="689">
      <c r="A689" s="4">
        <v>45534.324544999996</v>
      </c>
      <c r="B689" s="5" t="s">
        <v>34</v>
      </c>
      <c r="D689" s="5" t="s">
        <v>1768</v>
      </c>
      <c r="E689" s="5" t="s">
        <v>6602</v>
      </c>
      <c r="F689" s="5" t="s">
        <v>37</v>
      </c>
      <c r="G689" s="5" t="s">
        <v>6603</v>
      </c>
      <c r="H689" s="6" t="s">
        <v>6604</v>
      </c>
      <c r="I689" s="7" t="s">
        <v>6605</v>
      </c>
      <c r="J689" s="8" t="str">
        <f>HYPERLINK("https://drive.google.com/file/d/1Eblqfp4ueHcKDT1zoRxVnsSPR1ppmnHb/view?usp=drivesdk","LAILATUL ISLAMIAH SERTIFIKAT BerAKHLAK")</f>
        <v>LAILATUL ISLAMIAH SERTIFIKAT BerAKHLAK</v>
      </c>
      <c r="K689" s="5" t="s">
        <v>6198</v>
      </c>
      <c r="L689" s="5" t="s">
        <v>6606</v>
      </c>
    </row>
    <row r="690">
      <c r="A690" s="4">
        <v>45534.32455319444</v>
      </c>
      <c r="B690" s="5" t="s">
        <v>34</v>
      </c>
      <c r="D690" s="5" t="s">
        <v>35</v>
      </c>
      <c r="E690" s="5" t="s">
        <v>6609</v>
      </c>
      <c r="F690" s="5" t="s">
        <v>37</v>
      </c>
      <c r="G690" s="5" t="s">
        <v>6610</v>
      </c>
      <c r="H690" s="6" t="s">
        <v>6611</v>
      </c>
      <c r="I690" s="7" t="s">
        <v>6612</v>
      </c>
      <c r="J690" s="8" t="str">
        <f>HYPERLINK("https://drive.google.com/file/d/1EvU8r3hf1Z1gyULkyabnxsPa3V7sYfac/view?usp=drivesdk","NOVIANA LISDIYANTI SERTIFIKAT BerAKHLAK")</f>
        <v>NOVIANA LISDIYANTI SERTIFIKAT BerAKHLAK</v>
      </c>
      <c r="K690" s="5" t="s">
        <v>6198</v>
      </c>
      <c r="L690" s="5" t="s">
        <v>6613</v>
      </c>
    </row>
    <row r="691">
      <c r="A691" s="4">
        <v>45534.324570173616</v>
      </c>
      <c r="B691" s="5" t="s">
        <v>34</v>
      </c>
      <c r="D691" s="5" t="s">
        <v>4775</v>
      </c>
      <c r="E691" s="5" t="s">
        <v>6616</v>
      </c>
      <c r="F691" s="5" t="s">
        <v>120</v>
      </c>
      <c r="G691" s="5" t="s">
        <v>6617</v>
      </c>
      <c r="H691" s="6" t="s">
        <v>6618</v>
      </c>
      <c r="I691" s="7" t="s">
        <v>6619</v>
      </c>
      <c r="J691" s="8" t="str">
        <f>HYPERLINK("https://drive.google.com/file/d/15ru3laM8-jF7a9vl4AvvW8ZT-07L7ari/view?usp=drivesdk","DARU SETYO WAHYONO, S.E., M.M. SERTIFIKAT BerAKHLAK")</f>
        <v>DARU SETYO WAHYONO, S.E., M.M. SERTIFIKAT BerAKHLAK</v>
      </c>
      <c r="K691" s="5" t="s">
        <v>6198</v>
      </c>
      <c r="L691" s="5" t="s">
        <v>6620</v>
      </c>
    </row>
    <row r="692">
      <c r="A692" s="4">
        <v>45534.324585752314</v>
      </c>
      <c r="B692" s="5" t="s">
        <v>34</v>
      </c>
      <c r="D692" s="5" t="s">
        <v>4775</v>
      </c>
      <c r="E692" s="5" t="s">
        <v>6624</v>
      </c>
      <c r="F692" s="5" t="s">
        <v>6625</v>
      </c>
      <c r="G692" s="5" t="s">
        <v>6626</v>
      </c>
      <c r="H692" s="6" t="s">
        <v>6627</v>
      </c>
      <c r="I692" s="7" t="s">
        <v>6628</v>
      </c>
      <c r="J692" s="8" t="str">
        <f>HYPERLINK("https://drive.google.com/file/d/11BpdYZcHuigvt3dGiwtyg83_m_I3LYj6/view?usp=drivesdk","RIZKA HIMAWATY SERTIFIKAT BerAKHLAK")</f>
        <v>RIZKA HIMAWATY SERTIFIKAT BerAKHLAK</v>
      </c>
      <c r="K692" s="5" t="s">
        <v>6198</v>
      </c>
      <c r="L692" s="5" t="s">
        <v>6629</v>
      </c>
    </row>
    <row r="693">
      <c r="A693" s="4">
        <v>45534.32463195602</v>
      </c>
      <c r="B693" s="5" t="s">
        <v>34</v>
      </c>
      <c r="D693" s="5" t="s">
        <v>35</v>
      </c>
      <c r="E693" s="5" t="s">
        <v>6632</v>
      </c>
      <c r="F693" s="5" t="s">
        <v>72</v>
      </c>
      <c r="G693" s="5" t="s">
        <v>6633</v>
      </c>
      <c r="H693" s="6" t="s">
        <v>6634</v>
      </c>
      <c r="I693" s="7" t="s">
        <v>6635</v>
      </c>
      <c r="J693" s="8" t="str">
        <f>HYPERLINK("https://drive.google.com/file/d/1bFD02uh5rOh5s7b9nWinr6G7Awh_go6y/view?usp=drivesdk","HINDANSYAH S.KEP.,NERS SERTIFIKAT BerAKHLAK")</f>
        <v>HINDANSYAH S.KEP.,NERS SERTIFIKAT BerAKHLAK</v>
      </c>
      <c r="K693" s="5" t="s">
        <v>6198</v>
      </c>
      <c r="L693" s="5" t="s">
        <v>6636</v>
      </c>
    </row>
    <row r="694">
      <c r="A694" s="4">
        <v>45534.32464365741</v>
      </c>
      <c r="B694" s="5" t="s">
        <v>34</v>
      </c>
      <c r="D694" s="5" t="s">
        <v>996</v>
      </c>
      <c r="E694" s="5" t="s">
        <v>6639</v>
      </c>
      <c r="F694" s="5" t="s">
        <v>37</v>
      </c>
      <c r="G694" s="5" t="s">
        <v>6640</v>
      </c>
      <c r="H694" s="6" t="s">
        <v>6641</v>
      </c>
      <c r="I694" s="7" t="s">
        <v>6642</v>
      </c>
      <c r="J694" s="8" t="str">
        <f>HYPERLINK("https://drive.google.com/file/d/1nayvfqseQmrY3YyxmrWO7R6V1oNVM0B3/view?usp=drivesdk","MOHAMMAD HASIM SERTIFIKAT BerAKHLAK")</f>
        <v>MOHAMMAD HASIM SERTIFIKAT BerAKHLAK</v>
      </c>
      <c r="K694" s="5" t="s">
        <v>6198</v>
      </c>
      <c r="L694" s="5" t="s">
        <v>6643</v>
      </c>
    </row>
    <row r="695">
      <c r="A695" s="4">
        <v>45534.32465768518</v>
      </c>
      <c r="B695" s="5" t="s">
        <v>34</v>
      </c>
      <c r="D695" s="5" t="s">
        <v>522</v>
      </c>
      <c r="E695" s="5" t="s">
        <v>6646</v>
      </c>
      <c r="F695" s="5" t="s">
        <v>72</v>
      </c>
      <c r="G695" s="5" t="s">
        <v>6647</v>
      </c>
      <c r="H695" s="6" t="s">
        <v>6648</v>
      </c>
      <c r="I695" s="7" t="s">
        <v>6649</v>
      </c>
      <c r="J695" s="8" t="str">
        <f>HYPERLINK("https://drive.google.com/file/d/1cCh5EOrYkZ_mGtZQ26LMMx7QSST4-fBB/view?usp=drivesdk","PENATA PURWANTI, SM SERTIFIKAT BerAKHLAK")</f>
        <v>PENATA PURWANTI, SM SERTIFIKAT BerAKHLAK</v>
      </c>
      <c r="K695" s="5" t="s">
        <v>6198</v>
      </c>
      <c r="L695" s="5" t="s">
        <v>6650</v>
      </c>
    </row>
    <row r="696">
      <c r="A696" s="4">
        <v>45534.32466943287</v>
      </c>
      <c r="B696" s="5" t="s">
        <v>34</v>
      </c>
      <c r="D696" s="5" t="s">
        <v>3849</v>
      </c>
      <c r="E696" s="5" t="s">
        <v>6653</v>
      </c>
      <c r="F696" s="5" t="s">
        <v>37</v>
      </c>
      <c r="G696" s="5" t="s">
        <v>6654</v>
      </c>
      <c r="H696" s="6" t="s">
        <v>6655</v>
      </c>
      <c r="I696" s="7" t="s">
        <v>6656</v>
      </c>
      <c r="J696" s="8" t="str">
        <f>HYPERLINK("https://drive.google.com/file/d/1ORXb0LGHy6cMlpWAxog4QNHf3ezpFe5J/view?usp=drivesdk","RIEZKY RIANA ANGGRAINI SERTIFIKAT BerAKHLAK")</f>
        <v>RIEZKY RIANA ANGGRAINI SERTIFIKAT BerAKHLAK</v>
      </c>
      <c r="K696" s="5" t="s">
        <v>6237</v>
      </c>
      <c r="L696" s="5" t="s">
        <v>6657</v>
      </c>
    </row>
    <row r="697">
      <c r="A697" s="4">
        <v>45534.32467120371</v>
      </c>
      <c r="B697" s="5" t="s">
        <v>34</v>
      </c>
      <c r="D697" s="5" t="s">
        <v>35</v>
      </c>
      <c r="E697" s="5" t="s">
        <v>6660</v>
      </c>
      <c r="F697" s="5" t="s">
        <v>37</v>
      </c>
      <c r="G697" s="5" t="s">
        <v>6661</v>
      </c>
      <c r="H697" s="6" t="s">
        <v>6662</v>
      </c>
      <c r="I697" s="7" t="s">
        <v>6663</v>
      </c>
      <c r="J697" s="8" t="str">
        <f>HYPERLINK("https://drive.google.com/file/d/1te7Q1Stj8wt9NiPWJ17XboxJb6t0E757/view?usp=drivesdk","GALIH OKTAVIANO, A.Md.Kep SERTIFIKAT BerAKHLAK")</f>
        <v>GALIH OKTAVIANO, A.Md.Kep SERTIFIKAT BerAKHLAK</v>
      </c>
      <c r="K697" s="5" t="s">
        <v>6237</v>
      </c>
      <c r="L697" s="5" t="s">
        <v>6664</v>
      </c>
    </row>
    <row r="698">
      <c r="A698" s="4">
        <v>45534.32471127315</v>
      </c>
      <c r="B698" s="5" t="s">
        <v>34</v>
      </c>
      <c r="D698" s="5" t="s">
        <v>4775</v>
      </c>
      <c r="E698" s="5" t="s">
        <v>6668</v>
      </c>
      <c r="F698" s="5" t="s">
        <v>375</v>
      </c>
      <c r="G698" s="5" t="s">
        <v>6669</v>
      </c>
      <c r="H698" s="6" t="s">
        <v>6670</v>
      </c>
      <c r="I698" s="7" t="s">
        <v>6671</v>
      </c>
      <c r="J698" s="8" t="str">
        <f>HYPERLINK("https://drive.google.com/file/d/1HxvExIkpDscNC4gnQVSscwYvAAnNo-uQ/view?usp=drivesdk","SHINTA ANDROMEDA, S.T. SERTIFIKAT BerAKHLAK")</f>
        <v>SHINTA ANDROMEDA, S.T. SERTIFIKAT BerAKHLAK</v>
      </c>
      <c r="K698" s="5" t="s">
        <v>6198</v>
      </c>
      <c r="L698" s="5" t="s">
        <v>6672</v>
      </c>
    </row>
    <row r="699">
      <c r="A699" s="4">
        <v>45534.32473163195</v>
      </c>
      <c r="B699" s="5" t="s">
        <v>34</v>
      </c>
      <c r="D699" s="5" t="s">
        <v>4775</v>
      </c>
      <c r="E699" s="5" t="s">
        <v>6675</v>
      </c>
      <c r="F699" s="5" t="s">
        <v>212</v>
      </c>
      <c r="G699" s="5" t="s">
        <v>6676</v>
      </c>
      <c r="H699" s="6" t="s">
        <v>6677</v>
      </c>
      <c r="I699" s="7" t="s">
        <v>6678</v>
      </c>
      <c r="J699" s="8" t="str">
        <f>HYPERLINK("https://drive.google.com/file/d/1mOf5EOUx30u0vz231Sg-Xpgn-ExGs9v6/view?usp=drivesdk","ARDITA SETIAWAN SERTIFIKAT BerAKHLAK")</f>
        <v>ARDITA SETIAWAN SERTIFIKAT BerAKHLAK</v>
      </c>
      <c r="K699" s="5" t="s">
        <v>6198</v>
      </c>
      <c r="L699" s="5" t="s">
        <v>6679</v>
      </c>
    </row>
    <row r="700">
      <c r="A700" s="4">
        <v>45534.32474177083</v>
      </c>
      <c r="B700" s="5" t="s">
        <v>34</v>
      </c>
      <c r="D700" s="5" t="s">
        <v>280</v>
      </c>
      <c r="E700" s="5" t="s">
        <v>6682</v>
      </c>
      <c r="F700" s="5" t="s">
        <v>524</v>
      </c>
      <c r="G700" s="5" t="s">
        <v>6683</v>
      </c>
      <c r="H700" s="6" t="s">
        <v>6684</v>
      </c>
      <c r="I700" s="7" t="s">
        <v>6685</v>
      </c>
      <c r="J700" s="8" t="str">
        <f>HYPERLINK("https://drive.google.com/file/d/15kwAiAd5atAUWzpvXCUAJMhhYHI2G_BM/view?usp=drivesdk","RENNY GUSNELLY SERTIFIKAT BerAKHLAK")</f>
        <v>RENNY GUSNELLY SERTIFIKAT BerAKHLAK</v>
      </c>
      <c r="K700" s="5" t="s">
        <v>6198</v>
      </c>
      <c r="L700" s="5" t="s">
        <v>6686</v>
      </c>
    </row>
    <row r="701">
      <c r="A701" s="4">
        <v>45534.32474809028</v>
      </c>
      <c r="B701" s="5" t="s">
        <v>34</v>
      </c>
      <c r="D701" s="5" t="s">
        <v>1768</v>
      </c>
      <c r="E701" s="5" t="s">
        <v>6689</v>
      </c>
      <c r="F701" s="5" t="s">
        <v>108</v>
      </c>
      <c r="G701" s="5" t="s">
        <v>6690</v>
      </c>
      <c r="H701" s="6" t="s">
        <v>6691</v>
      </c>
      <c r="I701" s="7" t="s">
        <v>6692</v>
      </c>
      <c r="J701" s="8" t="str">
        <f>HYPERLINK("https://drive.google.com/file/d/1R8uajOg0HcxoQEuM7AQeMh-VmjqcZkXq/view?usp=drivesdk","YULI HARTATI, Amd. Kep SERTIFIKAT BerAKHLAK")</f>
        <v>YULI HARTATI, Amd. Kep SERTIFIKAT BerAKHLAK</v>
      </c>
      <c r="K701" s="5" t="s">
        <v>6237</v>
      </c>
      <c r="L701" s="5" t="s">
        <v>6693</v>
      </c>
    </row>
    <row r="702">
      <c r="A702" s="4">
        <v>45534.32475165509</v>
      </c>
      <c r="B702" s="5" t="s">
        <v>34</v>
      </c>
      <c r="D702" s="5" t="s">
        <v>35</v>
      </c>
      <c r="E702" s="5" t="s">
        <v>6696</v>
      </c>
      <c r="F702" s="5" t="s">
        <v>72</v>
      </c>
      <c r="G702" s="5" t="s">
        <v>6697</v>
      </c>
      <c r="H702" s="6" t="s">
        <v>6698</v>
      </c>
      <c r="I702" s="7" t="s">
        <v>6699</v>
      </c>
      <c r="J702" s="8" t="str">
        <f>HYPERLINK("https://drive.google.com/file/d/1IlRqlao7qTjq2s1-6sEp1RKOiRjoHmsj/view?usp=drivesdk","ELSA MARDIAN, S.Si SERTIFIKAT BerAKHLAK")</f>
        <v>ELSA MARDIAN, S.Si SERTIFIKAT BerAKHLAK</v>
      </c>
      <c r="K702" s="5" t="s">
        <v>6237</v>
      </c>
      <c r="L702" s="5" t="s">
        <v>6700</v>
      </c>
    </row>
    <row r="703">
      <c r="A703" s="4">
        <v>45534.32476231482</v>
      </c>
      <c r="B703" s="5" t="s">
        <v>34</v>
      </c>
      <c r="D703" s="5" t="s">
        <v>35</v>
      </c>
      <c r="E703" s="5" t="s">
        <v>6704</v>
      </c>
      <c r="F703" s="5" t="s">
        <v>108</v>
      </c>
      <c r="G703" s="5" t="s">
        <v>6705</v>
      </c>
      <c r="H703" s="6" t="s">
        <v>6706</v>
      </c>
      <c r="I703" s="7" t="s">
        <v>6707</v>
      </c>
      <c r="J703" s="8" t="str">
        <f>HYPERLINK("https://drive.google.com/file/d/1oFyTrvUsXYzUbq38i9yOJDQAE58u64Lq/view?usp=drivesdk","LELY PUSPITA SARI,AMK SERTIFIKAT BerAKHLAK")</f>
        <v>LELY PUSPITA SARI,AMK SERTIFIKAT BerAKHLAK</v>
      </c>
      <c r="K703" s="5" t="s">
        <v>6237</v>
      </c>
      <c r="L703" s="5" t="s">
        <v>6708</v>
      </c>
    </row>
    <row r="704">
      <c r="A704" s="4">
        <v>45534.32476267361</v>
      </c>
      <c r="B704" s="5" t="s">
        <v>34</v>
      </c>
      <c r="D704" s="5" t="s">
        <v>580</v>
      </c>
      <c r="E704" s="5" t="s">
        <v>6711</v>
      </c>
      <c r="F704" s="5" t="s">
        <v>37</v>
      </c>
      <c r="G704" s="5" t="s">
        <v>6712</v>
      </c>
      <c r="H704" s="6" t="s">
        <v>6713</v>
      </c>
      <c r="I704" s="7" t="s">
        <v>6714</v>
      </c>
      <c r="J704" s="8" t="str">
        <f>HYPERLINK("https://drive.google.com/file/d/1Nw-kCUy98cjT8BQU8SVzllUta-Gslcci/view?usp=drivesdk","RIA REVIANA AMD KEB SERTIFIKAT BerAKHLAK")</f>
        <v>RIA REVIANA AMD KEB SERTIFIKAT BerAKHLAK</v>
      </c>
      <c r="K704" s="5" t="s">
        <v>6237</v>
      </c>
      <c r="L704" s="5" t="s">
        <v>6715</v>
      </c>
    </row>
    <row r="705">
      <c r="A705" s="4">
        <v>45534.324768148144</v>
      </c>
      <c r="B705" s="5" t="s">
        <v>34</v>
      </c>
      <c r="D705" s="5" t="s">
        <v>1206</v>
      </c>
      <c r="E705" s="5" t="s">
        <v>6718</v>
      </c>
      <c r="F705" s="5" t="s">
        <v>37</v>
      </c>
      <c r="G705" s="5" t="s">
        <v>6719</v>
      </c>
      <c r="H705" s="6" t="s">
        <v>6720</v>
      </c>
      <c r="I705" s="7" t="s">
        <v>6721</v>
      </c>
      <c r="J705" s="8" t="str">
        <f>HYPERLINK("https://drive.google.com/file/d/1NSeH_henH08nUpxnEQG7TXTaE3v4juCz/view?usp=drivesdk","MOH SAIFUL ULUM  SERTIFIKAT BerAKHLAK")</f>
        <v>MOH SAIFUL ULUM  SERTIFIKAT BerAKHLAK</v>
      </c>
      <c r="K705" s="5" t="s">
        <v>6248</v>
      </c>
      <c r="L705" s="5" t="s">
        <v>6722</v>
      </c>
    </row>
    <row r="706">
      <c r="A706" s="4">
        <v>45534.32478473379</v>
      </c>
      <c r="B706" s="5" t="s">
        <v>34</v>
      </c>
      <c r="D706" s="5" t="s">
        <v>4775</v>
      </c>
      <c r="E706" s="5" t="s">
        <v>6725</v>
      </c>
      <c r="F706" s="5" t="s">
        <v>37</v>
      </c>
      <c r="G706" s="5" t="s">
        <v>6726</v>
      </c>
      <c r="H706" s="6" t="s">
        <v>6727</v>
      </c>
      <c r="I706" s="7" t="s">
        <v>6728</v>
      </c>
      <c r="J706" s="8" t="str">
        <f>HYPERLINK("https://drive.google.com/file/d/1vEfTUxLwSu3_qorAkr223A7bIOuGlQEY/view?usp=drivesdk","TRIKA PUJI ASTUTI SERTIFIKAT BerAKHLAK")</f>
        <v>TRIKA PUJI ASTUTI SERTIFIKAT BerAKHLAK</v>
      </c>
      <c r="K706" s="5" t="s">
        <v>6198</v>
      </c>
      <c r="L706" s="5" t="s">
        <v>6729</v>
      </c>
    </row>
    <row r="707">
      <c r="A707" s="4">
        <v>45534.324805798606</v>
      </c>
      <c r="B707" s="5" t="s">
        <v>34</v>
      </c>
      <c r="D707" s="5" t="s">
        <v>280</v>
      </c>
      <c r="E707" s="5" t="s">
        <v>6732</v>
      </c>
      <c r="F707" s="5" t="s">
        <v>120</v>
      </c>
      <c r="G707" s="5" t="s">
        <v>6733</v>
      </c>
      <c r="H707" s="6" t="s">
        <v>6734</v>
      </c>
      <c r="I707" s="7" t="s">
        <v>6735</v>
      </c>
      <c r="J707" s="8" t="str">
        <f>HYPERLINK("https://drive.google.com/file/d/17Hj8gEG82041RVPeZz-uNxEvTmjQsIhQ/view?usp=drivesdk","JULIANA MULOKO SERTIFIKAT BerAKHLAK")</f>
        <v>JULIANA MULOKO SERTIFIKAT BerAKHLAK</v>
      </c>
      <c r="K707" s="5" t="s">
        <v>6198</v>
      </c>
      <c r="L707" s="5" t="s">
        <v>6736</v>
      </c>
    </row>
    <row r="708">
      <c r="A708" s="4">
        <v>45534.32482804398</v>
      </c>
      <c r="B708" s="5" t="s">
        <v>34</v>
      </c>
      <c r="D708" s="5" t="s">
        <v>1558</v>
      </c>
      <c r="E708" s="5" t="s">
        <v>6740</v>
      </c>
      <c r="F708" s="5" t="s">
        <v>524</v>
      </c>
      <c r="G708" s="5" t="s">
        <v>6741</v>
      </c>
      <c r="H708" s="6" t="s">
        <v>6742</v>
      </c>
      <c r="I708" s="7" t="s">
        <v>6743</v>
      </c>
      <c r="J708" s="8" t="str">
        <f>HYPERLINK("https://drive.google.com/file/d/16-XOpGgVCULls5UYelGEAOIG90MSfUnX/view?usp=drivesdk","YUDI ISMAWAN, Amd SERTIFIKAT BerAKHLAK")</f>
        <v>YUDI ISMAWAN, Amd SERTIFIKAT BerAKHLAK</v>
      </c>
      <c r="K708" s="5" t="s">
        <v>6237</v>
      </c>
      <c r="L708" s="5" t="s">
        <v>6744</v>
      </c>
    </row>
    <row r="709">
      <c r="A709" s="4">
        <v>45534.32483104167</v>
      </c>
      <c r="B709" s="5" t="s">
        <v>34</v>
      </c>
      <c r="D709" s="5" t="s">
        <v>2903</v>
      </c>
      <c r="E709" s="5" t="s">
        <v>6747</v>
      </c>
      <c r="F709" s="5" t="s">
        <v>524</v>
      </c>
      <c r="G709" s="5" t="s">
        <v>6748</v>
      </c>
      <c r="H709" s="6" t="s">
        <v>6749</v>
      </c>
      <c r="I709" s="7" t="s">
        <v>6750</v>
      </c>
      <c r="J709" s="8" t="str">
        <f>HYPERLINK("https://drive.google.com/file/d/10cypDqkcaeVlTQ-jFWUlXHM6Bj6qf5Mx/view?usp=drivesdk","YULI FITRI HANDRIYANI SERTIFIKAT BerAKHLAK")</f>
        <v>YULI FITRI HANDRIYANI SERTIFIKAT BerAKHLAK</v>
      </c>
      <c r="K709" s="5" t="s">
        <v>6237</v>
      </c>
      <c r="L709" s="5" t="s">
        <v>6751</v>
      </c>
    </row>
    <row r="710">
      <c r="A710" s="4">
        <v>45534.324854108796</v>
      </c>
      <c r="B710" s="5" t="s">
        <v>34</v>
      </c>
      <c r="D710" s="5" t="s">
        <v>1206</v>
      </c>
      <c r="E710" s="5" t="s">
        <v>6754</v>
      </c>
      <c r="F710" s="5" t="s">
        <v>37</v>
      </c>
      <c r="G710" s="5" t="s">
        <v>6755</v>
      </c>
      <c r="H710" s="6" t="s">
        <v>6756</v>
      </c>
      <c r="I710" s="7" t="s">
        <v>6757</v>
      </c>
      <c r="J710" s="8" t="str">
        <f>HYPERLINK("https://drive.google.com/file/d/1-r0LnxQhjZ6pw1RbGMvpK0KrWdxhQQ7l/view?usp=drivesdk","YULI FATMAWATI SERTIFIKAT BerAKHLAK")</f>
        <v>YULI FATMAWATI SERTIFIKAT BerAKHLAK</v>
      </c>
      <c r="K710" s="5" t="s">
        <v>6237</v>
      </c>
      <c r="L710" s="5" t="s">
        <v>6758</v>
      </c>
    </row>
    <row r="711">
      <c r="A711" s="4">
        <v>45534.32488770833</v>
      </c>
      <c r="B711" s="5" t="s">
        <v>34</v>
      </c>
      <c r="D711" s="5" t="s">
        <v>4775</v>
      </c>
      <c r="E711" s="5" t="s">
        <v>6761</v>
      </c>
      <c r="F711" s="5" t="s">
        <v>108</v>
      </c>
      <c r="G711" s="5" t="s">
        <v>6762</v>
      </c>
      <c r="H711" s="6" t="s">
        <v>6763</v>
      </c>
      <c r="I711" s="7" t="s">
        <v>6764</v>
      </c>
      <c r="J711" s="8" t="str">
        <f>HYPERLINK("https://drive.google.com/file/d/1qmYBgSP3Zz4aGzD1icv8JJDjSDICg6Y7/view?usp=drivesdk","RAHAYU KURNIAWATI, S. Kom. SERTIFIKAT BerAKHLAK")</f>
        <v>RAHAYU KURNIAWATI, S. Kom. SERTIFIKAT BerAKHLAK</v>
      </c>
      <c r="K711" s="5" t="s">
        <v>6237</v>
      </c>
      <c r="L711" s="5" t="s">
        <v>6765</v>
      </c>
    </row>
    <row r="712">
      <c r="A712" s="4">
        <v>45534.32489135417</v>
      </c>
      <c r="B712" s="5" t="s">
        <v>34</v>
      </c>
      <c r="D712" s="5" t="s">
        <v>267</v>
      </c>
      <c r="E712" s="5" t="s">
        <v>6768</v>
      </c>
      <c r="F712" s="5" t="s">
        <v>120</v>
      </c>
      <c r="G712" s="5" t="s">
        <v>6769</v>
      </c>
      <c r="H712" s="6" t="s">
        <v>6770</v>
      </c>
      <c r="I712" s="7" t="s">
        <v>6771</v>
      </c>
      <c r="J712" s="8" t="str">
        <f>HYPERLINK("https://drive.google.com/file/d/1p9LY_vuf0Ihr5xYDIIO3I4ZdGNvvQsgJ/view?usp=drivesdk","SISTHA WIDURI SUZAN, S.Si SERTIFIKAT BerAKHLAK")</f>
        <v>SISTHA WIDURI SUZAN, S.Si SERTIFIKAT BerAKHLAK</v>
      </c>
      <c r="K712" s="5" t="s">
        <v>6237</v>
      </c>
      <c r="L712" s="5" t="s">
        <v>6772</v>
      </c>
    </row>
    <row r="713">
      <c r="A713" s="4">
        <v>45534.32491115741</v>
      </c>
      <c r="B713" s="5" t="s">
        <v>19</v>
      </c>
      <c r="C713" s="5" t="s">
        <v>466</v>
      </c>
      <c r="E713" s="5" t="s">
        <v>6775</v>
      </c>
      <c r="F713" s="5" t="s">
        <v>6776</v>
      </c>
      <c r="G713" s="5" t="s">
        <v>6777</v>
      </c>
      <c r="H713" s="6" t="s">
        <v>6778</v>
      </c>
      <c r="I713" s="7" t="s">
        <v>6779</v>
      </c>
      <c r="J713" s="8" t="str">
        <f>HYPERLINK("https://drive.google.com/file/d/1L8RtUAvuAB5DKWa1ohZV6QIc092pYspN/view?usp=drivesdk","EKO BUDI RISWANTO SERTIFIKAT BerAKHLAK")</f>
        <v>EKO BUDI RISWANTO SERTIFIKAT BerAKHLAK</v>
      </c>
      <c r="K713" s="5" t="s">
        <v>6237</v>
      </c>
      <c r="L713" s="5" t="s">
        <v>6780</v>
      </c>
    </row>
    <row r="714">
      <c r="A714" s="4">
        <v>45534.324911979165</v>
      </c>
      <c r="B714" s="5" t="s">
        <v>34</v>
      </c>
      <c r="D714" s="5" t="s">
        <v>280</v>
      </c>
      <c r="E714" s="5" t="s">
        <v>6784</v>
      </c>
      <c r="F714" s="5" t="s">
        <v>37</v>
      </c>
      <c r="G714" s="5" t="s">
        <v>6785</v>
      </c>
      <c r="H714" s="6" t="s">
        <v>6786</v>
      </c>
      <c r="I714" s="7" t="s">
        <v>6787</v>
      </c>
      <c r="J714" s="8" t="str">
        <f>HYPERLINK("https://drive.google.com/file/d/1KIs5oStktzuFGbtDpnuWXUUdZACr2vQ8/view?usp=drivesdk","MILDA FATHURRIZKIYAH GISMA, A.MD SERTIFIKAT BerAKHLAK")</f>
        <v>MILDA FATHURRIZKIYAH GISMA, A.MD SERTIFIKAT BerAKHLAK</v>
      </c>
      <c r="K714" s="5" t="s">
        <v>6237</v>
      </c>
      <c r="L714" s="5" t="s">
        <v>6788</v>
      </c>
    </row>
    <row r="715">
      <c r="A715" s="4">
        <v>45534.3249452662</v>
      </c>
      <c r="B715" s="5" t="s">
        <v>34</v>
      </c>
      <c r="D715" s="5" t="s">
        <v>1206</v>
      </c>
      <c r="E715" s="5" t="s">
        <v>6791</v>
      </c>
      <c r="F715" s="5" t="s">
        <v>37</v>
      </c>
      <c r="G715" s="5" t="s">
        <v>6792</v>
      </c>
      <c r="H715" s="6" t="s">
        <v>6793</v>
      </c>
      <c r="I715" s="7" t="s">
        <v>6794</v>
      </c>
      <c r="J715" s="8" t="str">
        <f>HYPERLINK("https://drive.google.com/file/d/1khZt7uYUAjNiEYHi8kmgo0qS-Uh1XtH2/view?usp=drivesdk","DITA MIANINGSARI SERTIFIKAT BerAKHLAK")</f>
        <v>DITA MIANINGSARI SERTIFIKAT BerAKHLAK</v>
      </c>
      <c r="K715" s="5" t="s">
        <v>6237</v>
      </c>
      <c r="L715" s="5" t="s">
        <v>6795</v>
      </c>
    </row>
    <row r="716">
      <c r="A716" s="4">
        <v>45534.32494600695</v>
      </c>
      <c r="B716" s="5" t="s">
        <v>34</v>
      </c>
      <c r="D716" s="5" t="s">
        <v>580</v>
      </c>
      <c r="E716" s="5" t="s">
        <v>6798</v>
      </c>
      <c r="F716" s="5" t="s">
        <v>72</v>
      </c>
      <c r="G716" s="5" t="s">
        <v>6799</v>
      </c>
      <c r="H716" s="6" t="s">
        <v>6800</v>
      </c>
      <c r="I716" s="7" t="s">
        <v>6801</v>
      </c>
      <c r="J716" s="8" t="str">
        <f>HYPERLINK("https://drive.google.com/file/d/1ePt073qEIY0ksS5LXlpiX_xlrdRY8P2t/view?usp=drivesdk","NI WAYAN LARASATI SERTIFIKAT BerAKHLAK")</f>
        <v>NI WAYAN LARASATI SERTIFIKAT BerAKHLAK</v>
      </c>
      <c r="K716" s="5" t="s">
        <v>6237</v>
      </c>
      <c r="L716" s="5" t="s">
        <v>6802</v>
      </c>
    </row>
    <row r="717">
      <c r="A717" s="4">
        <v>45534.32495422453</v>
      </c>
      <c r="B717" s="5" t="s">
        <v>34</v>
      </c>
      <c r="D717" s="5" t="s">
        <v>4775</v>
      </c>
      <c r="E717" s="5" t="s">
        <v>6805</v>
      </c>
      <c r="F717" s="5" t="s">
        <v>212</v>
      </c>
      <c r="G717" s="5" t="s">
        <v>6806</v>
      </c>
      <c r="H717" s="6" t="s">
        <v>6807</v>
      </c>
      <c r="I717" s="7" t="s">
        <v>6808</v>
      </c>
      <c r="J717" s="8" t="str">
        <f>HYPERLINK("https://drive.google.com/file/d/1YCthsXqyBKWD3jqPxcmzvwyh0JKrqt05/view?usp=drivesdk","SAFITRI EKA SARI SERTIFIKAT BerAKHLAK")</f>
        <v>SAFITRI EKA SARI SERTIFIKAT BerAKHLAK</v>
      </c>
      <c r="K717" s="5" t="s">
        <v>6237</v>
      </c>
      <c r="L717" s="5" t="s">
        <v>6809</v>
      </c>
    </row>
    <row r="718">
      <c r="A718" s="4">
        <v>45534.32495538195</v>
      </c>
      <c r="B718" s="5" t="s">
        <v>34</v>
      </c>
      <c r="D718" s="5" t="s">
        <v>2903</v>
      </c>
      <c r="E718" s="5" t="s">
        <v>6812</v>
      </c>
      <c r="F718" s="5" t="s">
        <v>72</v>
      </c>
      <c r="G718" s="5" t="s">
        <v>6813</v>
      </c>
      <c r="H718" s="6" t="s">
        <v>6814</v>
      </c>
      <c r="I718" s="7" t="s">
        <v>6815</v>
      </c>
      <c r="J718" s="8" t="str">
        <f>HYPERLINK("https://drive.google.com/file/d/1EGfsIxdJc9hP5ffxwKQQzxfPFcCEmOdM/view?usp=drivesdk","SRI MULYA NINGSIH SERTIFIKAT BerAKHLAK")</f>
        <v>SRI MULYA NINGSIH SERTIFIKAT BerAKHLAK</v>
      </c>
      <c r="K718" s="5" t="s">
        <v>6237</v>
      </c>
      <c r="L718" s="5" t="s">
        <v>6816</v>
      </c>
    </row>
    <row r="719">
      <c r="A719" s="4">
        <v>45534.32497721065</v>
      </c>
      <c r="B719" s="5" t="s">
        <v>34</v>
      </c>
      <c r="D719" s="5" t="s">
        <v>1768</v>
      </c>
      <c r="E719" s="5" t="s">
        <v>6819</v>
      </c>
      <c r="F719" s="5" t="s">
        <v>375</v>
      </c>
      <c r="G719" s="5" t="s">
        <v>6820</v>
      </c>
      <c r="H719" s="6" t="s">
        <v>6821</v>
      </c>
      <c r="I719" s="7" t="s">
        <v>6822</v>
      </c>
      <c r="J719" s="8" t="str">
        <f>HYPERLINK("https://drive.google.com/file/d/1quTDtOhek596_39htomocEUuFgpl5qb9/view?usp=drivesdk","DEWI ASTUTI, SKEP SERTIFIKAT BerAKHLAK")</f>
        <v>DEWI ASTUTI, SKEP SERTIFIKAT BerAKHLAK</v>
      </c>
      <c r="K719" s="5" t="s">
        <v>6237</v>
      </c>
      <c r="L719" s="5" t="s">
        <v>6823</v>
      </c>
    </row>
    <row r="720">
      <c r="A720" s="4">
        <v>45534.32500557871</v>
      </c>
      <c r="B720" s="5" t="s">
        <v>34</v>
      </c>
      <c r="D720" s="5" t="s">
        <v>2903</v>
      </c>
      <c r="E720" s="5" t="s">
        <v>6827</v>
      </c>
      <c r="F720" s="5" t="s">
        <v>524</v>
      </c>
      <c r="G720" s="5" t="s">
        <v>6828</v>
      </c>
      <c r="H720" s="6" t="s">
        <v>6829</v>
      </c>
      <c r="I720" s="7" t="s">
        <v>6830</v>
      </c>
      <c r="J720" s="8" t="str">
        <f>HYPERLINK("https://drive.google.com/file/d/1JDdldS1O2slAnPoQjvuC3-qskdUG0AMH/view?usp=drivesdk","YENNI ROSMAWATI,S.KM SERTIFIKAT BerAKHLAK")</f>
        <v>YENNI ROSMAWATI,S.KM SERTIFIKAT BerAKHLAK</v>
      </c>
      <c r="K720" s="5" t="s">
        <v>6237</v>
      </c>
      <c r="L720" s="5" t="s">
        <v>6831</v>
      </c>
    </row>
    <row r="721">
      <c r="A721" s="4">
        <v>45534.32503158565</v>
      </c>
      <c r="B721" s="5" t="s">
        <v>34</v>
      </c>
      <c r="D721" s="5" t="s">
        <v>362</v>
      </c>
      <c r="E721" s="5" t="s">
        <v>6834</v>
      </c>
      <c r="F721" s="5" t="s">
        <v>524</v>
      </c>
      <c r="G721" s="5" t="s">
        <v>6835</v>
      </c>
      <c r="H721" s="6" t="s">
        <v>6836</v>
      </c>
      <c r="I721" s="7" t="s">
        <v>6837</v>
      </c>
      <c r="J721" s="8" t="str">
        <f>HYPERLINK("https://drive.google.com/file/d/1yPD3eiRmoClOfysynX56IMXM2iLaAL05/view?usp=drivesdk","PECKY JEAN TAMAROLA, A.md.Kep SERTIFIKAT BerAKHLAK")</f>
        <v>PECKY JEAN TAMAROLA, A.md.Kep SERTIFIKAT BerAKHLAK</v>
      </c>
      <c r="K721" s="5" t="s">
        <v>6237</v>
      </c>
      <c r="L721" s="5" t="s">
        <v>6838</v>
      </c>
    </row>
    <row r="722">
      <c r="A722" s="4">
        <v>45534.32505836806</v>
      </c>
      <c r="B722" s="5" t="s">
        <v>34</v>
      </c>
      <c r="D722" s="5" t="s">
        <v>580</v>
      </c>
      <c r="E722" s="5" t="s">
        <v>6841</v>
      </c>
      <c r="F722" s="5" t="s">
        <v>120</v>
      </c>
      <c r="G722" s="5" t="s">
        <v>6842</v>
      </c>
      <c r="H722" s="6" t="s">
        <v>6843</v>
      </c>
      <c r="I722" s="7" t="s">
        <v>6844</v>
      </c>
      <c r="J722" s="8" t="str">
        <f>HYPERLINK("https://drive.google.com/file/d/1dqDdmzq-mVApLrAYug7DVO5gznO4yC5X/view?usp=drivesdk","DRH. PUTU MULIARTA SERTIFIKAT BerAKHLAK")</f>
        <v>DRH. PUTU MULIARTA SERTIFIKAT BerAKHLAK</v>
      </c>
      <c r="K722" s="5" t="s">
        <v>6237</v>
      </c>
      <c r="L722" s="5" t="s">
        <v>6845</v>
      </c>
    </row>
    <row r="723">
      <c r="A723" s="4">
        <v>45534.32508699074</v>
      </c>
      <c r="B723" s="5" t="s">
        <v>34</v>
      </c>
      <c r="D723" s="5" t="s">
        <v>35</v>
      </c>
      <c r="E723" s="5" t="s">
        <v>6848</v>
      </c>
      <c r="F723" s="5" t="s">
        <v>37</v>
      </c>
      <c r="G723" s="5" t="s">
        <v>6849</v>
      </c>
      <c r="H723" s="6" t="s">
        <v>6850</v>
      </c>
      <c r="I723" s="7" t="s">
        <v>6851</v>
      </c>
      <c r="J723" s="8" t="str">
        <f>HYPERLINK("https://drive.google.com/file/d/1ZI3WUapRAuyaziBJJnNAWS9dkeBsb0X8/view?usp=drivesdk","MOCH NURFIKIH SERTIFIKAT BerAKHLAK")</f>
        <v>MOCH NURFIKIH SERTIFIKAT BerAKHLAK</v>
      </c>
      <c r="K723" s="5" t="s">
        <v>6237</v>
      </c>
      <c r="L723" s="5" t="s">
        <v>6852</v>
      </c>
    </row>
    <row r="724">
      <c r="A724" s="4">
        <v>45534.32509430556</v>
      </c>
      <c r="B724" s="5" t="s">
        <v>34</v>
      </c>
      <c r="D724" s="5" t="s">
        <v>35</v>
      </c>
      <c r="E724" s="5" t="s">
        <v>6855</v>
      </c>
      <c r="F724" s="5" t="s">
        <v>108</v>
      </c>
      <c r="G724" s="5" t="s">
        <v>6856</v>
      </c>
      <c r="H724" s="6" t="s">
        <v>6857</v>
      </c>
      <c r="I724" s="7" t="s">
        <v>6858</v>
      </c>
      <c r="J724" s="8" t="str">
        <f>HYPERLINK("https://drive.google.com/file/d/1VHKMRnMfj26gOZHmwqDl5gNqqe-KCm_o/view?usp=drivesdk","YANA MULYANA, S.Kom SERTIFIKAT BerAKHLAK")</f>
        <v>YANA MULYANA, S.Kom SERTIFIKAT BerAKHLAK</v>
      </c>
      <c r="K724" s="5" t="s">
        <v>6237</v>
      </c>
      <c r="L724" s="5" t="s">
        <v>6859</v>
      </c>
    </row>
    <row r="725">
      <c r="A725" s="4">
        <v>45534.32510223379</v>
      </c>
      <c r="B725" s="5" t="s">
        <v>34</v>
      </c>
      <c r="D725" s="5" t="s">
        <v>4775</v>
      </c>
      <c r="E725" s="5" t="s">
        <v>6862</v>
      </c>
      <c r="F725" s="5" t="s">
        <v>212</v>
      </c>
      <c r="G725" s="5" t="s">
        <v>6863</v>
      </c>
      <c r="H725" s="6" t="s">
        <v>6864</v>
      </c>
      <c r="I725" s="7" t="s">
        <v>6865</v>
      </c>
      <c r="J725" s="8" t="str">
        <f>HYPERLINK("https://drive.google.com/file/d/1RtYmO98M20Pa1kZTF-V587SWUmlQgVDv/view?usp=drivesdk","AHSANUL FITRI SERTIFIKAT BerAKHLAK")</f>
        <v>AHSANUL FITRI SERTIFIKAT BerAKHLAK</v>
      </c>
      <c r="K725" s="5" t="s">
        <v>6237</v>
      </c>
      <c r="L725" s="5" t="s">
        <v>6866</v>
      </c>
    </row>
    <row r="726">
      <c r="A726" s="4">
        <v>45534.325131562495</v>
      </c>
      <c r="B726" s="5" t="s">
        <v>34</v>
      </c>
      <c r="D726" s="5" t="s">
        <v>1456</v>
      </c>
      <c r="E726" s="5" t="s">
        <v>6870</v>
      </c>
      <c r="F726" s="5" t="s">
        <v>120</v>
      </c>
      <c r="G726" s="5" t="s">
        <v>6871</v>
      </c>
      <c r="H726" s="6" t="s">
        <v>6872</v>
      </c>
      <c r="I726" s="7" t="s">
        <v>6873</v>
      </c>
      <c r="J726" s="8" t="str">
        <f>HYPERLINK("https://drive.google.com/file/d/1p7s70Np8Qu-DCI0sI2RPjo5tr-_P1tRm/view?usp=drivesdk","EMI ZULKARNAIN, S.E., M.M SERTIFIKAT BerAKHLAK")</f>
        <v>EMI ZULKARNAIN, S.E., M.M SERTIFIKAT BerAKHLAK</v>
      </c>
      <c r="K726" s="5" t="s">
        <v>6237</v>
      </c>
      <c r="L726" s="5" t="s">
        <v>6874</v>
      </c>
    </row>
    <row r="727">
      <c r="A727" s="4">
        <v>45534.32514716435</v>
      </c>
      <c r="B727" s="5" t="s">
        <v>19</v>
      </c>
      <c r="C727" s="5" t="s">
        <v>5058</v>
      </c>
      <c r="E727" s="5" t="s">
        <v>6877</v>
      </c>
      <c r="F727" s="5" t="s">
        <v>72</v>
      </c>
      <c r="G727" s="5" t="s">
        <v>6878</v>
      </c>
      <c r="H727" s="6" t="s">
        <v>6879</v>
      </c>
      <c r="K727" s="5" t="s">
        <v>6880</v>
      </c>
    </row>
    <row r="728">
      <c r="A728" s="4">
        <v>45534.325161886576</v>
      </c>
      <c r="B728" s="5" t="s">
        <v>34</v>
      </c>
      <c r="D728" s="5" t="s">
        <v>4775</v>
      </c>
      <c r="E728" s="5" t="s">
        <v>6883</v>
      </c>
      <c r="F728" s="5" t="s">
        <v>72</v>
      </c>
      <c r="G728" s="5" t="s">
        <v>6884</v>
      </c>
      <c r="H728" s="6" t="s">
        <v>6885</v>
      </c>
      <c r="I728" s="7" t="s">
        <v>6886</v>
      </c>
      <c r="J728" s="8" t="str">
        <f>HYPERLINK("https://drive.google.com/file/d/1oVV9kIXtIPio6kFHUxAo6QeHZB1VlTYD/view?usp=drivesdk","KHOIRUN NISAK  SERTIFIKAT BerAKHLAK")</f>
        <v>KHOIRUN NISAK  SERTIFIKAT BerAKHLAK</v>
      </c>
      <c r="K728" s="5" t="s">
        <v>6237</v>
      </c>
      <c r="L728" s="5" t="s">
        <v>6887</v>
      </c>
    </row>
    <row r="729">
      <c r="A729" s="4">
        <v>45534.325168599535</v>
      </c>
      <c r="B729" s="5" t="s">
        <v>34</v>
      </c>
      <c r="D729" s="5" t="s">
        <v>267</v>
      </c>
      <c r="E729" s="5" t="s">
        <v>6893</v>
      </c>
      <c r="F729" s="5" t="s">
        <v>212</v>
      </c>
      <c r="G729" s="5" t="s">
        <v>6894</v>
      </c>
      <c r="H729" s="6" t="s">
        <v>6895</v>
      </c>
      <c r="I729" s="7" t="s">
        <v>6896</v>
      </c>
      <c r="J729" s="8" t="str">
        <f>HYPERLINK("https://drive.google.com/file/d/1wUdRPAmatAn-5OXuAgbI7lgdPHwVHaI2/view?usp=drivesdk","NANIK SULISTIYANI SERTIFIKAT BerAKHLAK")</f>
        <v>NANIK SULISTIYANI SERTIFIKAT BerAKHLAK</v>
      </c>
      <c r="K729" s="5" t="s">
        <v>6237</v>
      </c>
      <c r="L729" s="5" t="s">
        <v>6897</v>
      </c>
    </row>
    <row r="730">
      <c r="A730" s="4">
        <v>45534.32518315972</v>
      </c>
      <c r="B730" s="5" t="s">
        <v>34</v>
      </c>
      <c r="D730" s="5" t="s">
        <v>4775</v>
      </c>
      <c r="E730" s="5" t="s">
        <v>6903</v>
      </c>
      <c r="F730" s="5" t="s">
        <v>120</v>
      </c>
      <c r="G730" s="5" t="s">
        <v>6904</v>
      </c>
      <c r="H730" s="6" t="s">
        <v>6905</v>
      </c>
      <c r="I730" s="7" t="s">
        <v>6906</v>
      </c>
      <c r="J730" s="8" t="str">
        <f>HYPERLINK("https://drive.google.com/file/d/1J9mG70Rk2cfSUqs_JGR6NpxysDibsBKk/view?usp=drivesdk","INTAN YULIYATI, S.Psi.,M.Si SERTIFIKAT BerAKHLAK")</f>
        <v>INTAN YULIYATI, S.Psi.,M.Si SERTIFIKAT BerAKHLAK</v>
      </c>
      <c r="K730" s="5" t="s">
        <v>6237</v>
      </c>
      <c r="L730" s="5" t="s">
        <v>6907</v>
      </c>
    </row>
    <row r="731">
      <c r="A731" s="4">
        <v>45534.32520759259</v>
      </c>
      <c r="B731" s="5" t="s">
        <v>34</v>
      </c>
      <c r="D731" s="5" t="s">
        <v>580</v>
      </c>
      <c r="E731" s="5" t="s">
        <v>6912</v>
      </c>
      <c r="F731" s="5" t="s">
        <v>120</v>
      </c>
      <c r="G731" s="5" t="s">
        <v>6913</v>
      </c>
      <c r="H731" s="6" t="s">
        <v>6914</v>
      </c>
      <c r="I731" s="7" t="s">
        <v>6915</v>
      </c>
      <c r="J731" s="8" t="str">
        <f>HYPERLINK("https://drive.google.com/file/d/1fHKDmg1MtbOwElSSfMvxDuBYR9hbxb9f/view?usp=drivesdk","NI PUTU ARY PARMINI, S.KM SERTIFIKAT BerAKHLAK")</f>
        <v>NI PUTU ARY PARMINI, S.KM SERTIFIKAT BerAKHLAK</v>
      </c>
      <c r="K731" s="5" t="s">
        <v>6237</v>
      </c>
      <c r="L731" s="5" t="s">
        <v>6916</v>
      </c>
    </row>
    <row r="732">
      <c r="A732" s="4">
        <v>45534.325227974536</v>
      </c>
      <c r="B732" s="5" t="s">
        <v>34</v>
      </c>
      <c r="D732" s="5" t="s">
        <v>1206</v>
      </c>
      <c r="E732" s="5" t="s">
        <v>6922</v>
      </c>
      <c r="F732" s="5" t="s">
        <v>5859</v>
      </c>
      <c r="G732" s="5" t="s">
        <v>6923</v>
      </c>
      <c r="H732" s="6" t="s">
        <v>6924</v>
      </c>
      <c r="I732" s="7" t="s">
        <v>6925</v>
      </c>
      <c r="J732" s="8" t="str">
        <f>HYPERLINK("https://drive.google.com/file/d/1EmRqMwG72iRmWYFdRas47mjxpAfTc01H/view?usp=drivesdk","ALPANSANYOTO SERTIFIKAT BerAKHLAK")</f>
        <v>ALPANSANYOTO SERTIFIKAT BerAKHLAK</v>
      </c>
      <c r="K732" s="5" t="s">
        <v>6237</v>
      </c>
      <c r="L732" s="5" t="s">
        <v>6926</v>
      </c>
    </row>
    <row r="733">
      <c r="A733" s="4">
        <v>45534.32523981482</v>
      </c>
      <c r="B733" s="5" t="s">
        <v>34</v>
      </c>
      <c r="D733" s="5" t="s">
        <v>1206</v>
      </c>
      <c r="E733" s="5" t="s">
        <v>6931</v>
      </c>
      <c r="F733" s="5" t="s">
        <v>375</v>
      </c>
      <c r="G733" s="5" t="s">
        <v>6932</v>
      </c>
      <c r="H733" s="6" t="s">
        <v>6933</v>
      </c>
      <c r="K733" s="5" t="s">
        <v>6934</v>
      </c>
    </row>
    <row r="734">
      <c r="A734" s="4">
        <v>45534.325269050925</v>
      </c>
      <c r="B734" s="5" t="s">
        <v>34</v>
      </c>
      <c r="D734" s="5" t="s">
        <v>4775</v>
      </c>
      <c r="E734" s="5" t="s">
        <v>6939</v>
      </c>
      <c r="F734" s="5" t="s">
        <v>37</v>
      </c>
      <c r="G734" s="5" t="s">
        <v>6940</v>
      </c>
      <c r="H734" s="6" t="s">
        <v>6941</v>
      </c>
      <c r="I734" s="7" t="s">
        <v>6942</v>
      </c>
      <c r="J734" s="8" t="str">
        <f>HYPERLINK("https://drive.google.com/file/d/12DWAx7eUrxfsn36axdai4fJc5QDKhb5T/view?usp=drivesdk","MOKHAMAD SHOLEH, S.Pd.I., M.M. SERTIFIKAT BerAKHLAK")</f>
        <v>MOKHAMAD SHOLEH, S.Pd.I., M.M. SERTIFIKAT BerAKHLAK</v>
      </c>
      <c r="K734" s="5" t="s">
        <v>6237</v>
      </c>
      <c r="L734" s="5" t="s">
        <v>6943</v>
      </c>
    </row>
    <row r="735">
      <c r="A735" s="4">
        <v>45534.32527347222</v>
      </c>
      <c r="B735" s="5" t="s">
        <v>34</v>
      </c>
      <c r="D735" s="5" t="s">
        <v>580</v>
      </c>
      <c r="E735" s="5" t="s">
        <v>6949</v>
      </c>
      <c r="F735" s="5" t="s">
        <v>120</v>
      </c>
      <c r="G735" s="5" t="s">
        <v>6950</v>
      </c>
      <c r="H735" s="6" t="s">
        <v>6951</v>
      </c>
      <c r="I735" s="7" t="s">
        <v>6952</v>
      </c>
      <c r="J735" s="8" t="str">
        <f>HYPERLINK("https://drive.google.com/file/d/1P2LqEAFyfUlxT5RbHNyiHT9wNMRTrqVD/view?usp=drivesdk","NI KETUT NATALIA WULANSARI, ST SERTIFIKAT BerAKHLAK")</f>
        <v>NI KETUT NATALIA WULANSARI, ST SERTIFIKAT BerAKHLAK</v>
      </c>
      <c r="K735" s="5" t="s">
        <v>6237</v>
      </c>
      <c r="L735" s="5" t="s">
        <v>6953</v>
      </c>
    </row>
    <row r="736">
      <c r="A736" s="4">
        <v>45534.32527789352</v>
      </c>
      <c r="B736" s="5" t="s">
        <v>34</v>
      </c>
      <c r="D736" s="5" t="s">
        <v>35</v>
      </c>
      <c r="E736" s="5" t="s">
        <v>6958</v>
      </c>
      <c r="F736" s="5" t="s">
        <v>37</v>
      </c>
      <c r="G736" s="5" t="s">
        <v>6959</v>
      </c>
      <c r="H736" s="6" t="s">
        <v>6960</v>
      </c>
      <c r="I736" s="7" t="s">
        <v>6961</v>
      </c>
      <c r="J736" s="8" t="str">
        <f>HYPERLINK("https://drive.google.com/file/d/1mV132d8juEbaBX6wJCNMKrK8k40NeczA/view?usp=drivesdk","M PANDU FARHATUNAWAN SERTIFIKAT BerAKHLAK")</f>
        <v>M PANDU FARHATUNAWAN SERTIFIKAT BerAKHLAK</v>
      </c>
      <c r="K736" s="5" t="s">
        <v>6248</v>
      </c>
      <c r="L736" s="5" t="s">
        <v>6962</v>
      </c>
    </row>
    <row r="737">
      <c r="A737" s="4">
        <v>45534.32529101852</v>
      </c>
      <c r="B737" s="5" t="s">
        <v>34</v>
      </c>
      <c r="D737" s="5" t="s">
        <v>4775</v>
      </c>
      <c r="E737" s="5" t="s">
        <v>6968</v>
      </c>
      <c r="F737" s="5" t="s">
        <v>524</v>
      </c>
      <c r="G737" s="5" t="s">
        <v>6969</v>
      </c>
      <c r="H737" s="6" t="s">
        <v>6970</v>
      </c>
      <c r="I737" s="7" t="s">
        <v>6971</v>
      </c>
      <c r="J737" s="8" t="str">
        <f>HYPERLINK("https://drive.google.com/file/d/1LpZIdNDfMUTKT7iMnvtZZlLvWIcStYBs/view?usp=drivesdk","PUSPITANINGSIH, S. Tr. Kom SERTIFIKAT BerAKHLAK")</f>
        <v>PUSPITANINGSIH, S. Tr. Kom SERTIFIKAT BerAKHLAK</v>
      </c>
      <c r="K737" s="5" t="s">
        <v>6248</v>
      </c>
      <c r="L737" s="5" t="s">
        <v>6972</v>
      </c>
    </row>
    <row r="738">
      <c r="A738" s="4">
        <v>45534.32529289352</v>
      </c>
      <c r="B738" s="5" t="s">
        <v>34</v>
      </c>
      <c r="D738" s="5" t="s">
        <v>1663</v>
      </c>
      <c r="E738" s="5" t="s">
        <v>6977</v>
      </c>
      <c r="F738" s="5" t="s">
        <v>212</v>
      </c>
      <c r="G738" s="5" t="s">
        <v>6978</v>
      </c>
      <c r="H738" s="6" t="s">
        <v>6979</v>
      </c>
      <c r="I738" s="7" t="s">
        <v>6980</v>
      </c>
      <c r="J738" s="8" t="str">
        <f>HYPERLINK("https://drive.google.com/file/d/1XKL91bMYiwbJ8QruvrHIodHGeI3GD74Z/view?usp=drivesdk","ERLIKA LUMBANTUNGKUP Amd.Kep SERTIFIKAT BerAKHLAK")</f>
        <v>ERLIKA LUMBANTUNGKUP Amd.Kep SERTIFIKAT BerAKHLAK</v>
      </c>
      <c r="K738" s="5" t="s">
        <v>6248</v>
      </c>
      <c r="L738" s="5" t="s">
        <v>6981</v>
      </c>
    </row>
    <row r="739">
      <c r="A739" s="4">
        <v>45534.325302743055</v>
      </c>
      <c r="B739" s="5" t="s">
        <v>19</v>
      </c>
      <c r="C739" s="5" t="s">
        <v>3301</v>
      </c>
      <c r="E739" s="5" t="s">
        <v>6986</v>
      </c>
      <c r="F739" s="5" t="s">
        <v>212</v>
      </c>
      <c r="G739" s="5" t="s">
        <v>6987</v>
      </c>
      <c r="H739" s="6" t="s">
        <v>6988</v>
      </c>
      <c r="I739" s="7" t="s">
        <v>6989</v>
      </c>
      <c r="J739" s="8" t="str">
        <f>HYPERLINK("https://drive.google.com/file/d/1fDqUg8ngmgOEK73gj5sizxD2pXRzXzLj/view?usp=drivesdk","SONYA NATALIA, A.Md.Kep SERTIFIKAT BerAKHLAK")</f>
        <v>SONYA NATALIA, A.Md.Kep SERTIFIKAT BerAKHLAK</v>
      </c>
      <c r="K739" s="5" t="s">
        <v>6248</v>
      </c>
      <c r="L739" s="5" t="s">
        <v>6990</v>
      </c>
    </row>
    <row r="740">
      <c r="A740" s="4">
        <v>45534.32530440972</v>
      </c>
      <c r="B740" s="5" t="s">
        <v>34</v>
      </c>
      <c r="D740" s="5" t="s">
        <v>604</v>
      </c>
      <c r="E740" s="5" t="s">
        <v>6995</v>
      </c>
      <c r="F740" s="5" t="s">
        <v>37</v>
      </c>
      <c r="G740" s="5" t="s">
        <v>6996</v>
      </c>
      <c r="H740" s="6" t="s">
        <v>6997</v>
      </c>
      <c r="I740" s="7" t="s">
        <v>6998</v>
      </c>
      <c r="J740" s="8" t="str">
        <f>HYPERLINK("https://drive.google.com/file/d/1kjh7PK0Ox-qGpEMXz_UUeQNURMNYBKqt/view?usp=drivesdk","IKA PUJI RAHAYU, A. Md. AK SERTIFIKAT BerAKHLAK")</f>
        <v>IKA PUJI RAHAYU, A. Md. AK SERTIFIKAT BerAKHLAK</v>
      </c>
      <c r="K740" s="5" t="s">
        <v>6248</v>
      </c>
      <c r="L740" s="5" t="s">
        <v>6999</v>
      </c>
    </row>
    <row r="741">
      <c r="A741" s="4">
        <v>45534.32531958334</v>
      </c>
      <c r="B741" s="5" t="s">
        <v>34</v>
      </c>
      <c r="D741" s="5" t="s">
        <v>35</v>
      </c>
      <c r="E741" s="5" t="s">
        <v>7005</v>
      </c>
      <c r="F741" s="5" t="s">
        <v>524</v>
      </c>
      <c r="G741" s="5" t="s">
        <v>7006</v>
      </c>
      <c r="H741" s="6" t="s">
        <v>7007</v>
      </c>
      <c r="I741" s="7" t="s">
        <v>7008</v>
      </c>
      <c r="J741" s="8" t="str">
        <f>HYPERLINK("https://drive.google.com/file/d/1s5CZVyZPlWfxPe_BCx9wQZhiTfSxSVyR/view?usp=drivesdk","KUSDIYANTOO,Amd.Kep SERTIFIKAT BerAKHLAK")</f>
        <v>KUSDIYANTOO,Amd.Kep SERTIFIKAT BerAKHLAK</v>
      </c>
      <c r="K741" s="5" t="s">
        <v>6237</v>
      </c>
      <c r="L741" s="5" t="s">
        <v>7009</v>
      </c>
    </row>
    <row r="742">
      <c r="A742" s="4">
        <v>45534.32533393519</v>
      </c>
      <c r="B742" s="5" t="s">
        <v>34</v>
      </c>
      <c r="D742" s="5" t="s">
        <v>280</v>
      </c>
      <c r="E742" s="5" t="s">
        <v>7015</v>
      </c>
      <c r="F742" s="5" t="s">
        <v>715</v>
      </c>
      <c r="G742" s="5" t="s">
        <v>7016</v>
      </c>
      <c r="H742" s="6" t="s">
        <v>7017</v>
      </c>
      <c r="I742" s="7" t="s">
        <v>7018</v>
      </c>
      <c r="J742" s="8" t="str">
        <f>HYPERLINK("https://drive.google.com/file/d/1QfRiU62z9FYVvEOScw50GLKYZz4HeLVA/view?usp=drivesdk","Ns.CHORRY BELLARIA OKTAVIA,S.Kep SERTIFIKAT BerAKHLAK")</f>
        <v>Ns.CHORRY BELLARIA OKTAVIA,S.Kep SERTIFIKAT BerAKHLAK</v>
      </c>
      <c r="K742" s="5" t="s">
        <v>6237</v>
      </c>
      <c r="L742" s="5" t="s">
        <v>7019</v>
      </c>
    </row>
    <row r="743">
      <c r="A743" s="4">
        <v>45534.325371666666</v>
      </c>
      <c r="B743" s="5" t="s">
        <v>34</v>
      </c>
      <c r="D743" s="5" t="s">
        <v>35</v>
      </c>
      <c r="E743" s="5" t="s">
        <v>7024</v>
      </c>
      <c r="F743" s="5" t="s">
        <v>120</v>
      </c>
      <c r="G743" s="5" t="s">
        <v>7025</v>
      </c>
      <c r="H743" s="6" t="s">
        <v>7026</v>
      </c>
      <c r="I743" s="7" t="s">
        <v>7027</v>
      </c>
      <c r="J743" s="8" t="str">
        <f>HYPERLINK("https://drive.google.com/file/d/1ZrV4xXWKEFTl6fKJFLvK63fadi2XhHDi/view?usp=drivesdk","DIANA SRI NUGROHO. SKM SERTIFIKAT BerAKHLAK")</f>
        <v>DIANA SRI NUGROHO. SKM SERTIFIKAT BerAKHLAK</v>
      </c>
      <c r="K743" s="5" t="s">
        <v>6237</v>
      </c>
      <c r="L743" s="5" t="s">
        <v>7028</v>
      </c>
    </row>
    <row r="744">
      <c r="A744" s="4">
        <v>45534.325374039356</v>
      </c>
      <c r="B744" s="5" t="s">
        <v>34</v>
      </c>
      <c r="D744" s="5" t="s">
        <v>580</v>
      </c>
      <c r="E744" s="5" t="s">
        <v>7033</v>
      </c>
      <c r="F744" s="5" t="s">
        <v>72</v>
      </c>
      <c r="G744" s="5" t="s">
        <v>7034</v>
      </c>
      <c r="H744" s="6" t="s">
        <v>7035</v>
      </c>
      <c r="I744" s="7" t="s">
        <v>7036</v>
      </c>
      <c r="J744" s="8" t="str">
        <f>HYPERLINK("https://drive.google.com/file/d/10Tj8_Xyle9eiIdyJI2JcbDFy2w1ZnGAu/view?usp=drivesdk","NI WAYAN SUCIATI,A.Md.Keb SERTIFIKAT BerAKHLAK")</f>
        <v>NI WAYAN SUCIATI,A.Md.Keb SERTIFIKAT BerAKHLAK</v>
      </c>
      <c r="K744" s="5" t="s">
        <v>6237</v>
      </c>
      <c r="L744" s="5" t="s">
        <v>7037</v>
      </c>
    </row>
    <row r="745">
      <c r="A745" s="4">
        <v>45534.325380208335</v>
      </c>
      <c r="B745" s="5" t="s">
        <v>34</v>
      </c>
      <c r="D745" s="5" t="s">
        <v>1692</v>
      </c>
      <c r="E745" s="5" t="s">
        <v>7042</v>
      </c>
      <c r="F745" s="5" t="s">
        <v>524</v>
      </c>
      <c r="G745" s="5" t="s">
        <v>7043</v>
      </c>
      <c r="H745" s="6" t="s">
        <v>7044</v>
      </c>
      <c r="I745" s="7" t="s">
        <v>7045</v>
      </c>
      <c r="J745" s="8" t="str">
        <f>HYPERLINK("https://drive.google.com/file/d/154gRv0hfGqijWm_paMhGF0CG-V9afnmi/view?usp=drivesdk","ELISABETH LELAPARY SERTIFIKAT BerAKHLAK")</f>
        <v>ELISABETH LELAPARY SERTIFIKAT BerAKHLAK</v>
      </c>
      <c r="K745" s="5" t="s">
        <v>6248</v>
      </c>
      <c r="L745" s="5" t="s">
        <v>7046</v>
      </c>
    </row>
    <row r="746">
      <c r="A746" s="4">
        <v>45534.32538721064</v>
      </c>
      <c r="B746" s="5" t="s">
        <v>34</v>
      </c>
      <c r="D746" s="5" t="s">
        <v>267</v>
      </c>
      <c r="E746" s="5" t="s">
        <v>7051</v>
      </c>
      <c r="F746" s="5" t="s">
        <v>212</v>
      </c>
      <c r="G746" s="5" t="s">
        <v>7052</v>
      </c>
      <c r="H746" s="6" t="s">
        <v>7053</v>
      </c>
      <c r="I746" s="7" t="s">
        <v>7054</v>
      </c>
      <c r="J746" s="8" t="str">
        <f>HYPERLINK("https://drive.google.com/file/d/1HK6W_AYlF8xF8_p3fgGF6vafL75d4uSy/view?usp=drivesdk","RUBIYANTO RUBIYANTO  SERTIFIKAT BerAKHLAK")</f>
        <v>RUBIYANTO RUBIYANTO  SERTIFIKAT BerAKHLAK</v>
      </c>
      <c r="K746" s="5" t="s">
        <v>6248</v>
      </c>
      <c r="L746" s="5" t="s">
        <v>7055</v>
      </c>
    </row>
    <row r="747">
      <c r="A747" s="4">
        <v>45534.32538815972</v>
      </c>
      <c r="B747" s="5" t="s">
        <v>34</v>
      </c>
      <c r="D747" s="5" t="s">
        <v>522</v>
      </c>
      <c r="E747" s="5" t="s">
        <v>7062</v>
      </c>
      <c r="F747" s="5" t="s">
        <v>37</v>
      </c>
      <c r="G747" s="5" t="s">
        <v>7063</v>
      </c>
      <c r="H747" s="6" t="s">
        <v>7064</v>
      </c>
      <c r="I747" s="7" t="s">
        <v>7065</v>
      </c>
      <c r="J747" s="8" t="str">
        <f>HYPERLINK("https://drive.google.com/file/d/1neLC_n_0FwW3fVerXyYKX6xIMFRNF2vT/view?usp=drivesdk","ROSIANA ROSIANA SERTIFIKAT BerAKHLAK")</f>
        <v>ROSIANA ROSIANA SERTIFIKAT BerAKHLAK</v>
      </c>
      <c r="K747" s="5" t="s">
        <v>6248</v>
      </c>
      <c r="L747" s="5" t="s">
        <v>7066</v>
      </c>
    </row>
    <row r="748">
      <c r="A748" s="4">
        <v>45534.325399884256</v>
      </c>
      <c r="B748" s="5" t="s">
        <v>34</v>
      </c>
      <c r="D748" s="5" t="s">
        <v>35</v>
      </c>
      <c r="E748" s="5" t="s">
        <v>7071</v>
      </c>
      <c r="F748" s="5" t="s">
        <v>72</v>
      </c>
      <c r="G748" s="5" t="s">
        <v>7072</v>
      </c>
      <c r="H748" s="6" t="s">
        <v>7073</v>
      </c>
      <c r="I748" s="7" t="s">
        <v>7074</v>
      </c>
      <c r="J748" s="8" t="str">
        <f>HYPERLINK("https://drive.google.com/file/d/1IVVOHxnAxsKXLNsc36cZWvTMsfrbtSE9/view?usp=drivesdk","YUYUNSUGANDA SERTIFIKAT BerAKHLAK")</f>
        <v>YUYUNSUGANDA SERTIFIKAT BerAKHLAK</v>
      </c>
      <c r="K748" s="5" t="s">
        <v>6248</v>
      </c>
      <c r="L748" s="5" t="s">
        <v>7075</v>
      </c>
    </row>
    <row r="749">
      <c r="A749" s="4">
        <v>45534.325433125</v>
      </c>
      <c r="B749" s="5" t="s">
        <v>34</v>
      </c>
      <c r="D749" s="5" t="s">
        <v>35</v>
      </c>
      <c r="E749" s="5" t="s">
        <v>7081</v>
      </c>
      <c r="F749" s="5" t="s">
        <v>212</v>
      </c>
      <c r="G749" s="5" t="s">
        <v>7082</v>
      </c>
      <c r="H749" s="6" t="s">
        <v>7083</v>
      </c>
      <c r="I749" s="7" t="s">
        <v>7084</v>
      </c>
      <c r="J749" s="8" t="str">
        <f>HYPERLINK("https://drive.google.com/file/d/1_-lIeW9hC9bP3sYIXN3OtdQ_zIyeBxCS/view?usp=drivesdk","AIDA FITRI ARDIYANI SERTIFIKAT BerAKHLAK")</f>
        <v>AIDA FITRI ARDIYANI SERTIFIKAT BerAKHLAK</v>
      </c>
      <c r="K749" s="5" t="s">
        <v>6248</v>
      </c>
      <c r="L749" s="5" t="s">
        <v>7085</v>
      </c>
    </row>
    <row r="750">
      <c r="A750" s="4">
        <v>45534.325459907406</v>
      </c>
      <c r="B750" s="5" t="s">
        <v>34</v>
      </c>
      <c r="D750" s="5" t="s">
        <v>35</v>
      </c>
      <c r="E750" s="5" t="s">
        <v>7090</v>
      </c>
      <c r="F750" s="5" t="s">
        <v>72</v>
      </c>
      <c r="G750" s="5" t="s">
        <v>7091</v>
      </c>
      <c r="H750" s="6" t="s">
        <v>7092</v>
      </c>
      <c r="I750" s="7" t="s">
        <v>7093</v>
      </c>
      <c r="J750" s="8" t="str">
        <f>HYPERLINK("https://drive.google.com/file/d/13v5KbERPDWmrsjVE1F3ImyTu_G2Tet6m/view?usp=drivesdk","DYAH PUSPITASARI, A.Md.Keb SERTIFIKAT BerAKHLAK")</f>
        <v>DYAH PUSPITASARI, A.Md.Keb SERTIFIKAT BerAKHLAK</v>
      </c>
      <c r="K750" s="5" t="s">
        <v>6248</v>
      </c>
      <c r="L750" s="5" t="s">
        <v>7094</v>
      </c>
    </row>
    <row r="751">
      <c r="A751" s="4">
        <v>45534.325477199076</v>
      </c>
      <c r="B751" s="5" t="s">
        <v>34</v>
      </c>
      <c r="D751" s="5" t="s">
        <v>35</v>
      </c>
      <c r="E751" s="5" t="s">
        <v>7099</v>
      </c>
      <c r="F751" s="5" t="s">
        <v>37</v>
      </c>
      <c r="G751" s="5" t="s">
        <v>7100</v>
      </c>
      <c r="H751" s="6" t="s">
        <v>7101</v>
      </c>
      <c r="I751" s="7" t="s">
        <v>7102</v>
      </c>
      <c r="J751" s="8" t="str">
        <f>HYPERLINK("https://drive.google.com/file/d/1o1Ye0Z8AXa0sJ1GaFBFQv_90Yya-Fqdo/view?usp=drivesdk","NITA OKTAVIANI HERMAWATI  SERTIFIKAT BerAKHLAK")</f>
        <v>NITA OKTAVIANI HERMAWATI  SERTIFIKAT BerAKHLAK</v>
      </c>
      <c r="K751" s="5" t="s">
        <v>6248</v>
      </c>
      <c r="L751" s="5" t="s">
        <v>7103</v>
      </c>
    </row>
    <row r="752">
      <c r="A752" s="4">
        <v>45534.32548251157</v>
      </c>
      <c r="B752" s="5" t="s">
        <v>19</v>
      </c>
      <c r="C752" s="5" t="s">
        <v>292</v>
      </c>
      <c r="E752" s="5" t="s">
        <v>7110</v>
      </c>
      <c r="F752" s="5" t="s">
        <v>212</v>
      </c>
      <c r="G752" s="5" t="s">
        <v>7111</v>
      </c>
      <c r="H752" s="6" t="s">
        <v>7112</v>
      </c>
      <c r="I752" s="7" t="s">
        <v>7113</v>
      </c>
      <c r="J752" s="8" t="str">
        <f>HYPERLINK("https://drive.google.com/file/d/1twaohFr9UeCKtVdT6jti1aEj9bi4_GSI/view?usp=drivesdk","NANA TRI KURNIA SARI  SERTIFIKAT BerAKHLAK")</f>
        <v>NANA TRI KURNIA SARI  SERTIFIKAT BerAKHLAK</v>
      </c>
      <c r="K752" s="5" t="s">
        <v>6248</v>
      </c>
      <c r="L752" s="5" t="s">
        <v>7114</v>
      </c>
    </row>
    <row r="753">
      <c r="A753" s="4">
        <v>45534.32549894676</v>
      </c>
      <c r="B753" s="5" t="s">
        <v>34</v>
      </c>
      <c r="D753" s="5" t="s">
        <v>996</v>
      </c>
      <c r="E753" s="5" t="s">
        <v>7119</v>
      </c>
      <c r="F753" s="5" t="s">
        <v>212</v>
      </c>
      <c r="G753" s="5" t="s">
        <v>7120</v>
      </c>
      <c r="H753" s="6" t="s">
        <v>7121</v>
      </c>
      <c r="I753" s="7" t="s">
        <v>7122</v>
      </c>
      <c r="J753" s="8" t="str">
        <f>HYPERLINK("https://drive.google.com/file/d/1bDVRXQUDVsy0DQBW3sC0TexcxkLWnBQ5/view?usp=drivesdk","JUMIATI MISBAH SERTIFIKAT BerAKHLAK")</f>
        <v>JUMIATI MISBAH SERTIFIKAT BerAKHLAK</v>
      </c>
      <c r="K753" s="5" t="s">
        <v>6248</v>
      </c>
      <c r="L753" s="5" t="s">
        <v>7123</v>
      </c>
    </row>
    <row r="754">
      <c r="A754" s="4">
        <v>45534.32550905093</v>
      </c>
      <c r="B754" s="5" t="s">
        <v>34</v>
      </c>
      <c r="D754" s="5" t="s">
        <v>1206</v>
      </c>
      <c r="E754" s="5" t="s">
        <v>7128</v>
      </c>
      <c r="F754" s="5" t="s">
        <v>72</v>
      </c>
      <c r="G754" s="5" t="s">
        <v>7129</v>
      </c>
      <c r="H754" s="6" t="s">
        <v>7130</v>
      </c>
      <c r="I754" s="7" t="s">
        <v>7131</v>
      </c>
      <c r="J754" s="8" t="str">
        <f>HYPERLINK("https://drive.google.com/file/d/1FPcBqfMQVYjPjIz60W-_vqphZKXJLgQD/view?usp=drivesdk","INDAH HANDAYANI, S.T. SERTIFIKAT BerAKHLAK")</f>
        <v>INDAH HANDAYANI, S.T. SERTIFIKAT BerAKHLAK</v>
      </c>
      <c r="K754" s="5" t="s">
        <v>6237</v>
      </c>
      <c r="L754" s="5" t="s">
        <v>7132</v>
      </c>
    </row>
    <row r="755">
      <c r="A755" s="4">
        <v>45534.32552195602</v>
      </c>
      <c r="B755" s="5" t="s">
        <v>19</v>
      </c>
      <c r="C755" s="5" t="s">
        <v>442</v>
      </c>
      <c r="E755" s="5" t="s">
        <v>7137</v>
      </c>
      <c r="F755" s="5" t="s">
        <v>108</v>
      </c>
      <c r="G755" s="5" t="s">
        <v>7138</v>
      </c>
      <c r="H755" s="6" t="s">
        <v>7139</v>
      </c>
      <c r="I755" s="7" t="s">
        <v>7140</v>
      </c>
      <c r="J755" s="8" t="str">
        <f>HYPERLINK("https://drive.google.com/file/d/1r-66mAALOhNVOcSamMt93SFZpRs0PPQ5/view?usp=drivesdk","WASIS MARSUDI A.Md SERTIFIKAT BerAKHLAK")</f>
        <v>WASIS MARSUDI A.Md SERTIFIKAT BerAKHLAK</v>
      </c>
      <c r="K755" s="5" t="s">
        <v>6248</v>
      </c>
      <c r="L755" s="5" t="s">
        <v>7141</v>
      </c>
    </row>
    <row r="756">
      <c r="A756" s="4">
        <v>45534.32553484954</v>
      </c>
      <c r="B756" s="5" t="s">
        <v>34</v>
      </c>
      <c r="D756" s="5" t="s">
        <v>280</v>
      </c>
      <c r="E756" s="5" t="s">
        <v>7145</v>
      </c>
      <c r="F756" s="5" t="s">
        <v>199</v>
      </c>
      <c r="G756" s="5" t="s">
        <v>7146</v>
      </c>
      <c r="H756" s="6" t="s">
        <v>7147</v>
      </c>
      <c r="I756" s="7" t="s">
        <v>7148</v>
      </c>
      <c r="J756" s="8" t="str">
        <f>HYPERLINK("https://drive.google.com/file/d/1M-VDbNunDxe0SIX-ofkWWyEyTjRIriuH/view?usp=drivesdk","APINAR LENI LIZAR SERTIFIKAT BerAKHLAK")</f>
        <v>APINAR LENI LIZAR SERTIFIKAT BerAKHLAK</v>
      </c>
      <c r="K756" s="5" t="s">
        <v>6248</v>
      </c>
      <c r="L756" s="5" t="s">
        <v>7149</v>
      </c>
    </row>
    <row r="757">
      <c r="A757" s="4">
        <v>45534.32558578704</v>
      </c>
      <c r="B757" s="5" t="s">
        <v>34</v>
      </c>
      <c r="D757" s="5" t="s">
        <v>1456</v>
      </c>
      <c r="E757" s="5" t="s">
        <v>7153</v>
      </c>
      <c r="F757" s="5" t="s">
        <v>212</v>
      </c>
      <c r="G757" s="5" t="s">
        <v>7154</v>
      </c>
      <c r="H757" s="6" t="s">
        <v>7155</v>
      </c>
      <c r="I757" s="7" t="s">
        <v>7156</v>
      </c>
      <c r="J757" s="8" t="str">
        <f>HYPERLINK("https://drive.google.com/file/d/12HZu3Njomr_fL0-m77frrSvR1jL_RzHz/view?usp=drivesdk","MUHAMMAD RIFA'I, S.AP SERTIFIKAT BerAKHLAK")</f>
        <v>MUHAMMAD RIFA'I, S.AP SERTIFIKAT BerAKHLAK</v>
      </c>
      <c r="K757" s="5" t="s">
        <v>6237</v>
      </c>
      <c r="L757" s="5" t="s">
        <v>7157</v>
      </c>
    </row>
    <row r="758">
      <c r="A758" s="4">
        <v>45534.32561636574</v>
      </c>
      <c r="B758" s="5" t="s">
        <v>34</v>
      </c>
      <c r="D758" s="5" t="s">
        <v>975</v>
      </c>
      <c r="E758" s="5" t="s">
        <v>7160</v>
      </c>
      <c r="F758" s="5" t="s">
        <v>37</v>
      </c>
      <c r="G758" s="5" t="s">
        <v>7161</v>
      </c>
      <c r="H758" s="6" t="s">
        <v>7162</v>
      </c>
      <c r="I758" s="7" t="s">
        <v>7163</v>
      </c>
      <c r="J758" s="8" t="str">
        <f>HYPERLINK("https://drive.google.com/file/d/196aQUfapuW3rd2k9wWiz7AsqqqQNRdmg/view?usp=drivesdk","HENI PURWATI, AMD KEB SERTIFIKAT BerAKHLAK")</f>
        <v>HENI PURWATI, AMD KEB SERTIFIKAT BerAKHLAK</v>
      </c>
      <c r="K758" s="5" t="s">
        <v>6248</v>
      </c>
      <c r="L758" s="5" t="s">
        <v>7164</v>
      </c>
    </row>
    <row r="759">
      <c r="A759" s="4">
        <v>45534.325629976855</v>
      </c>
      <c r="B759" s="5" t="s">
        <v>19</v>
      </c>
      <c r="C759" s="5" t="s">
        <v>3301</v>
      </c>
      <c r="E759" s="5" t="s">
        <v>7167</v>
      </c>
      <c r="F759" s="5" t="s">
        <v>37</v>
      </c>
      <c r="G759" s="5" t="s">
        <v>7168</v>
      </c>
      <c r="H759" s="6" t="s">
        <v>7169</v>
      </c>
      <c r="I759" s="7" t="s">
        <v>7170</v>
      </c>
      <c r="J759" s="8" t="str">
        <f>HYPERLINK("https://drive.google.com/file/d/1sEXNG2guvIeVTC5ub6xQltrB3cL9OxkW/view?usp=drivesdk","SITI NURLAELA  SERTIFIKAT BerAKHLAK")</f>
        <v>SITI NURLAELA  SERTIFIKAT BerAKHLAK</v>
      </c>
      <c r="K759" s="5" t="s">
        <v>6248</v>
      </c>
      <c r="L759" s="5" t="s">
        <v>7171</v>
      </c>
    </row>
    <row r="760">
      <c r="A760" s="4">
        <v>45534.32563994213</v>
      </c>
      <c r="B760" s="5" t="s">
        <v>34</v>
      </c>
      <c r="D760" s="5" t="s">
        <v>604</v>
      </c>
      <c r="E760" s="5" t="s">
        <v>7174</v>
      </c>
      <c r="F760" s="5" t="s">
        <v>524</v>
      </c>
      <c r="G760" s="5" t="s">
        <v>7175</v>
      </c>
      <c r="H760" s="6" t="s">
        <v>7176</v>
      </c>
      <c r="I760" s="7" t="s">
        <v>7177</v>
      </c>
      <c r="J760" s="8" t="str">
        <f>HYPERLINK("https://drive.google.com/file/d/1kBlW3244WVj5jG7NLzrLNHv1UbK8pLTe/view?usp=drivesdk","TOMI ANGGORO PUTRO SERTIFIKAT BerAKHLAK")</f>
        <v>TOMI ANGGORO PUTRO SERTIFIKAT BerAKHLAK</v>
      </c>
      <c r="K760" s="5" t="s">
        <v>6248</v>
      </c>
      <c r="L760" s="5" t="s">
        <v>7178</v>
      </c>
    </row>
    <row r="761">
      <c r="A761" s="4">
        <v>45534.325656967594</v>
      </c>
      <c r="B761" s="5" t="s">
        <v>34</v>
      </c>
      <c r="D761" s="5" t="s">
        <v>35</v>
      </c>
      <c r="E761" s="5" t="s">
        <v>7182</v>
      </c>
      <c r="F761" s="5" t="s">
        <v>37</v>
      </c>
      <c r="G761" s="5" t="s">
        <v>7183</v>
      </c>
      <c r="H761" s="6" t="s">
        <v>7184</v>
      </c>
      <c r="I761" s="7" t="s">
        <v>7185</v>
      </c>
      <c r="J761" s="8" t="str">
        <f>HYPERLINK("https://drive.google.com/file/d/1EXdRCKLGGOoAc3ao3aUV30oC83_lHySv/view?usp=drivesdk","MUHAMAD SEPTIAJI SERTIFIKAT BerAKHLAK")</f>
        <v>MUHAMAD SEPTIAJI SERTIFIKAT BerAKHLAK</v>
      </c>
      <c r="K761" s="5" t="s">
        <v>6248</v>
      </c>
      <c r="L761" s="5" t="s">
        <v>7186</v>
      </c>
    </row>
    <row r="762">
      <c r="A762" s="4">
        <v>45534.32565994213</v>
      </c>
      <c r="B762" s="5" t="s">
        <v>19</v>
      </c>
      <c r="C762" s="5" t="s">
        <v>1606</v>
      </c>
      <c r="E762" s="5" t="s">
        <v>7189</v>
      </c>
      <c r="F762" s="5" t="s">
        <v>375</v>
      </c>
      <c r="G762" s="5" t="s">
        <v>7190</v>
      </c>
      <c r="H762" s="6" t="s">
        <v>7191</v>
      </c>
      <c r="I762" s="7" t="s">
        <v>7192</v>
      </c>
      <c r="J762" s="8" t="str">
        <f>HYPERLINK("https://drive.google.com/file/d/1hkiVUvAwIt_BdN7I7OF5amtcBrGWmm9Z/view?usp=drivesdk","RIAN DIBYANTI, SE SERTIFIKAT BerAKHLAK")</f>
        <v>RIAN DIBYANTI, SE SERTIFIKAT BerAKHLAK</v>
      </c>
      <c r="K762" s="5" t="s">
        <v>6248</v>
      </c>
      <c r="L762" s="5" t="s">
        <v>7193</v>
      </c>
    </row>
    <row r="763">
      <c r="A763" s="4">
        <v>45534.32566659722</v>
      </c>
      <c r="B763" s="5" t="s">
        <v>34</v>
      </c>
      <c r="D763" s="5" t="s">
        <v>522</v>
      </c>
      <c r="E763" s="5" t="s">
        <v>7196</v>
      </c>
      <c r="F763" s="5" t="s">
        <v>72</v>
      </c>
      <c r="G763" s="5" t="s">
        <v>7197</v>
      </c>
      <c r="H763" s="6" t="s">
        <v>7198</v>
      </c>
      <c r="I763" s="7" t="s">
        <v>7199</v>
      </c>
      <c r="J763" s="8" t="str">
        <f>HYPERLINK("https://drive.google.com/file/d/1CMUxyLixwh6Uo2LtNiyek0qTuqGFQUy1/view?usp=drivesdk","dr. PUTU PRIDA PURNAMASARI, S.Ked SERTIFIKAT BerAKHLAK")</f>
        <v>dr. PUTU PRIDA PURNAMASARI, S.Ked SERTIFIKAT BerAKHLAK</v>
      </c>
      <c r="K763" s="5" t="s">
        <v>6248</v>
      </c>
      <c r="L763" s="5" t="s">
        <v>7200</v>
      </c>
    </row>
    <row r="764">
      <c r="A764" s="4">
        <v>45534.32571232639</v>
      </c>
      <c r="B764" s="5" t="s">
        <v>19</v>
      </c>
      <c r="C764" s="5" t="s">
        <v>3301</v>
      </c>
      <c r="E764" s="5" t="s">
        <v>7203</v>
      </c>
      <c r="F764" s="5" t="s">
        <v>22</v>
      </c>
      <c r="G764" s="5" t="s">
        <v>7204</v>
      </c>
      <c r="H764" s="6" t="s">
        <v>7205</v>
      </c>
      <c r="I764" s="7" t="s">
        <v>7206</v>
      </c>
      <c r="J764" s="8" t="str">
        <f>HYPERLINK("https://drive.google.com/file/d/16PR7a6IuID9gCa_ABGRM9Klw0enh0vWV/view?usp=drivesdk","Dr. RINI AFRIANTI, M.K.K. SERTIFIKAT BerAKHLAK")</f>
        <v>Dr. RINI AFRIANTI, M.K.K. SERTIFIKAT BerAKHLAK</v>
      </c>
      <c r="K764" s="5" t="s">
        <v>6248</v>
      </c>
      <c r="L764" s="5" t="s">
        <v>7207</v>
      </c>
    </row>
    <row r="765">
      <c r="A765" s="4">
        <v>45534.325722615744</v>
      </c>
      <c r="B765" s="5" t="s">
        <v>34</v>
      </c>
      <c r="D765" s="5" t="s">
        <v>1768</v>
      </c>
      <c r="E765" s="5" t="s">
        <v>7211</v>
      </c>
      <c r="F765" s="5" t="s">
        <v>108</v>
      </c>
      <c r="G765" s="5" t="s">
        <v>7212</v>
      </c>
      <c r="H765" s="6" t="s">
        <v>7213</v>
      </c>
      <c r="I765" s="7" t="s">
        <v>7214</v>
      </c>
      <c r="J765" s="8" t="str">
        <f>HYPERLINK("https://drive.google.com/file/d/19k9Yq-Z2xnQxqBPY-ibrjyViozOCEYUS/view?usp=drivesdk","RAHAYU RIFANECHA, SKM SERTIFIKAT BerAKHLAK")</f>
        <v>RAHAYU RIFANECHA, SKM SERTIFIKAT BerAKHLAK</v>
      </c>
      <c r="K765" s="5" t="s">
        <v>6248</v>
      </c>
      <c r="L765" s="5" t="s">
        <v>7215</v>
      </c>
    </row>
    <row r="766">
      <c r="A766" s="4">
        <v>45534.325730185185</v>
      </c>
      <c r="B766" s="5" t="s">
        <v>34</v>
      </c>
      <c r="D766" s="5" t="s">
        <v>1206</v>
      </c>
      <c r="E766" s="5" t="s">
        <v>7218</v>
      </c>
      <c r="F766" s="5" t="s">
        <v>212</v>
      </c>
      <c r="G766" s="5" t="s">
        <v>7219</v>
      </c>
      <c r="H766" s="6" t="s">
        <v>7220</v>
      </c>
      <c r="I766" s="7" t="s">
        <v>7221</v>
      </c>
      <c r="J766" s="8" t="str">
        <f>HYPERLINK("https://drive.google.com/file/d/1WDnTnusdML0SRJxLl7sn_nwT37_QZcSd/view?usp=drivesdk","LILIK SUSILOWATI SERTIFIKAT BerAKHLAK")</f>
        <v>LILIK SUSILOWATI SERTIFIKAT BerAKHLAK</v>
      </c>
      <c r="K766" s="5" t="s">
        <v>6248</v>
      </c>
      <c r="L766" s="5" t="s">
        <v>7222</v>
      </c>
    </row>
    <row r="767">
      <c r="A767" s="4">
        <v>45534.32574626157</v>
      </c>
      <c r="B767" s="5" t="s">
        <v>34</v>
      </c>
      <c r="D767" s="5" t="s">
        <v>580</v>
      </c>
      <c r="E767" s="5" t="s">
        <v>7226</v>
      </c>
      <c r="F767" s="5" t="s">
        <v>212</v>
      </c>
      <c r="G767" s="5" t="s">
        <v>7227</v>
      </c>
      <c r="H767" s="6" t="s">
        <v>7228</v>
      </c>
      <c r="I767" s="7" t="s">
        <v>7229</v>
      </c>
      <c r="J767" s="8" t="str">
        <f>HYPERLINK("https://drive.google.com/file/d/123ANjbPOKiNv4VQ2tafaAHfdfycEO33D/view?usp=drivesdk","DESAK KETUT MAYUNI SERTIFIKAT BerAKHLAK")</f>
        <v>DESAK KETUT MAYUNI SERTIFIKAT BerAKHLAK</v>
      </c>
      <c r="K767" s="5" t="s">
        <v>6248</v>
      </c>
      <c r="L767" s="5" t="s">
        <v>7230</v>
      </c>
    </row>
    <row r="768">
      <c r="A768" s="4">
        <v>45534.32575512731</v>
      </c>
      <c r="B768" s="5" t="s">
        <v>34</v>
      </c>
      <c r="D768" s="5" t="s">
        <v>1692</v>
      </c>
      <c r="E768" s="5" t="s">
        <v>7233</v>
      </c>
      <c r="F768" s="5" t="s">
        <v>328</v>
      </c>
      <c r="G768" s="5" t="s">
        <v>7234</v>
      </c>
      <c r="H768" s="6" t="s">
        <v>7235</v>
      </c>
      <c r="I768" s="7" t="s">
        <v>7236</v>
      </c>
      <c r="J768" s="8" t="str">
        <f>HYPERLINK("https://drive.google.com/file/d/1_maac-jO_vH6GAD9ydX4Wyg6DLfaAY1i/view?usp=drivesdk","HERMALINA NONIA WUARLELA SERTIFIKAT BerAKHLAK")</f>
        <v>HERMALINA NONIA WUARLELA SERTIFIKAT BerAKHLAK</v>
      </c>
      <c r="K768" s="5" t="s">
        <v>6248</v>
      </c>
      <c r="L768" s="5" t="s">
        <v>7237</v>
      </c>
    </row>
    <row r="769">
      <c r="A769" s="4">
        <v>45534.3258024074</v>
      </c>
      <c r="B769" s="5" t="s">
        <v>34</v>
      </c>
      <c r="D769" s="5" t="s">
        <v>1206</v>
      </c>
      <c r="E769" s="5" t="s">
        <v>7240</v>
      </c>
      <c r="F769" s="5" t="s">
        <v>37</v>
      </c>
      <c r="G769" s="5" t="s">
        <v>7241</v>
      </c>
      <c r="H769" s="6" t="s">
        <v>7242</v>
      </c>
      <c r="I769" s="7" t="s">
        <v>7243</v>
      </c>
      <c r="J769" s="8" t="str">
        <f>HYPERLINK("https://drive.google.com/file/d/1EsBTkbs9luiK-YgXfFKYkEopJU6Dbe4F/view?usp=drivesdk","NINNA NURUL ISMA SERTIFIKAT BerAKHLAK")</f>
        <v>NINNA NURUL ISMA SERTIFIKAT BerAKHLAK</v>
      </c>
      <c r="K769" s="5" t="s">
        <v>6248</v>
      </c>
      <c r="L769" s="5" t="s">
        <v>7244</v>
      </c>
    </row>
    <row r="770">
      <c r="A770" s="4">
        <v>45534.32581520833</v>
      </c>
      <c r="B770" s="5" t="s">
        <v>34</v>
      </c>
      <c r="D770" s="5" t="s">
        <v>280</v>
      </c>
      <c r="E770" s="5" t="s">
        <v>7247</v>
      </c>
      <c r="F770" s="5" t="s">
        <v>524</v>
      </c>
      <c r="G770" s="5" t="s">
        <v>7248</v>
      </c>
      <c r="H770" s="6" t="s">
        <v>7249</v>
      </c>
      <c r="I770" s="7" t="s">
        <v>7250</v>
      </c>
      <c r="J770" s="8" t="str">
        <f>HYPERLINK("https://drive.google.com/file/d/1cdkSv8BAiUJSlo8x2ZPFo1s2QXDsE_zq/view?usp=drivesdk","NS. QORI FITRIA NUR ASHRIYAH, S.KEP SERTIFIKAT BerAKHLAK")</f>
        <v>NS. QORI FITRIA NUR ASHRIYAH, S.KEP SERTIFIKAT BerAKHLAK</v>
      </c>
      <c r="K770" s="5" t="s">
        <v>6248</v>
      </c>
      <c r="L770" s="5" t="s">
        <v>7251</v>
      </c>
    </row>
    <row r="771">
      <c r="A771" s="4">
        <v>45534.3258203588</v>
      </c>
      <c r="B771" s="5" t="s">
        <v>34</v>
      </c>
      <c r="D771" s="5" t="s">
        <v>1206</v>
      </c>
      <c r="E771" s="5" t="s">
        <v>7254</v>
      </c>
      <c r="F771" s="5" t="s">
        <v>212</v>
      </c>
      <c r="G771" s="5" t="s">
        <v>7255</v>
      </c>
      <c r="H771" s="6" t="s">
        <v>7256</v>
      </c>
      <c r="I771" s="7" t="s">
        <v>7257</v>
      </c>
      <c r="J771" s="8" t="str">
        <f>HYPERLINK("https://drive.google.com/file/d/1TggK5bPL_CbwzAuw7JK5_7mzndqC6LRb/view?usp=drivesdk","SINGGIH PURBO LESMONO SERTIFIKAT BerAKHLAK")</f>
        <v>SINGGIH PURBO LESMONO SERTIFIKAT BerAKHLAK</v>
      </c>
      <c r="K771" s="5" t="s">
        <v>6248</v>
      </c>
      <c r="L771" s="5" t="s">
        <v>7258</v>
      </c>
    </row>
    <row r="772">
      <c r="A772" s="4">
        <v>45534.32586179399</v>
      </c>
      <c r="B772" s="5" t="s">
        <v>34</v>
      </c>
      <c r="D772" s="5" t="s">
        <v>4775</v>
      </c>
      <c r="E772" s="5" t="s">
        <v>7261</v>
      </c>
      <c r="F772" s="5" t="s">
        <v>212</v>
      </c>
      <c r="G772" s="5" t="s">
        <v>7262</v>
      </c>
      <c r="H772" s="6" t="s">
        <v>7263</v>
      </c>
      <c r="I772" s="7" t="s">
        <v>7264</v>
      </c>
      <c r="J772" s="8" t="str">
        <f>HYPERLINK("https://drive.google.com/file/d/1I9-7Rt_8G6Ob_H7kJKnsbfRXphI8xM0I/view?usp=drivesdk","MAULUDI HARTOYO SERTIFIKAT BerAKHLAK")</f>
        <v>MAULUDI HARTOYO SERTIFIKAT BerAKHLAK</v>
      </c>
      <c r="K772" s="5" t="s">
        <v>6248</v>
      </c>
      <c r="L772" s="5" t="s">
        <v>7265</v>
      </c>
    </row>
    <row r="773">
      <c r="A773" s="4">
        <v>45534.3258737037</v>
      </c>
      <c r="B773" s="5" t="s">
        <v>34</v>
      </c>
      <c r="D773" s="5" t="s">
        <v>4775</v>
      </c>
      <c r="E773" s="5" t="s">
        <v>7269</v>
      </c>
      <c r="F773" s="5" t="s">
        <v>212</v>
      </c>
      <c r="G773" s="5" t="s">
        <v>7270</v>
      </c>
      <c r="H773" s="6" t="s">
        <v>7271</v>
      </c>
      <c r="I773" s="7" t="s">
        <v>7272</v>
      </c>
      <c r="J773" s="8" t="str">
        <f>HYPERLINK("https://drive.google.com/file/d/1elJ-1VnOY1yhHpaLL53mqcxZChoq7c9Y/view?usp=drivesdk","SRI ANDRIANI, S.Psi SERTIFIKAT BerAKHLAK")</f>
        <v>SRI ANDRIANI, S.Psi SERTIFIKAT BerAKHLAK</v>
      </c>
      <c r="K773" s="5" t="s">
        <v>6248</v>
      </c>
      <c r="L773" s="5" t="s">
        <v>7273</v>
      </c>
    </row>
    <row r="774">
      <c r="A774" s="4">
        <v>45534.325890277774</v>
      </c>
      <c r="B774" s="5" t="s">
        <v>34</v>
      </c>
      <c r="D774" s="5" t="s">
        <v>4775</v>
      </c>
      <c r="E774" s="5" t="s">
        <v>7276</v>
      </c>
      <c r="F774" s="5" t="s">
        <v>524</v>
      </c>
      <c r="G774" s="5" t="s">
        <v>7277</v>
      </c>
      <c r="H774" s="6" t="s">
        <v>7278</v>
      </c>
      <c r="I774" s="7" t="s">
        <v>7279</v>
      </c>
      <c r="J774" s="8" t="str">
        <f>HYPERLINK("https://drive.google.com/file/d/1k2ytf4pBcVrBZfHEZSAiFjQVE4q2kuMo/view?usp=drivesdk","WAHYU ARTININGSIH SERTIFIKAT BerAKHLAK")</f>
        <v>WAHYU ARTININGSIH SERTIFIKAT BerAKHLAK</v>
      </c>
      <c r="K774" s="5" t="s">
        <v>6248</v>
      </c>
      <c r="L774" s="5" t="s">
        <v>7280</v>
      </c>
    </row>
    <row r="775">
      <c r="A775" s="4">
        <v>45534.325910659725</v>
      </c>
      <c r="B775" s="5" t="s">
        <v>34</v>
      </c>
      <c r="D775" s="5" t="s">
        <v>4775</v>
      </c>
      <c r="E775" s="5" t="s">
        <v>7283</v>
      </c>
      <c r="F775" s="5" t="s">
        <v>108</v>
      </c>
      <c r="G775" s="5" t="s">
        <v>7284</v>
      </c>
      <c r="H775" s="6" t="s">
        <v>7285</v>
      </c>
      <c r="K775" s="5" t="s">
        <v>7286</v>
      </c>
    </row>
    <row r="776">
      <c r="A776" s="4">
        <v>45534.325917361115</v>
      </c>
      <c r="B776" s="5" t="s">
        <v>19</v>
      </c>
      <c r="C776" s="5" t="s">
        <v>292</v>
      </c>
      <c r="E776" s="5" t="s">
        <v>7289</v>
      </c>
      <c r="F776" s="5" t="s">
        <v>108</v>
      </c>
      <c r="G776" s="5" t="s">
        <v>7290</v>
      </c>
      <c r="H776" s="6" t="s">
        <v>7291</v>
      </c>
      <c r="K776" s="5" t="s">
        <v>7286</v>
      </c>
    </row>
    <row r="777">
      <c r="A777" s="4">
        <v>45534.325919131945</v>
      </c>
      <c r="B777" s="5" t="s">
        <v>34</v>
      </c>
      <c r="D777" s="5" t="s">
        <v>1206</v>
      </c>
      <c r="E777" s="5" t="s">
        <v>7294</v>
      </c>
      <c r="F777" s="5" t="s">
        <v>375</v>
      </c>
      <c r="G777" s="5" t="s">
        <v>7295</v>
      </c>
      <c r="H777" s="6" t="s">
        <v>7296</v>
      </c>
      <c r="I777" s="7" t="s">
        <v>7297</v>
      </c>
      <c r="J777" s="8" t="str">
        <f>HYPERLINK("https://drive.google.com/file/d/1XS5bNMvCtzfaVTjdzAO5hh3qGbQ7TXqk/view?usp=drivesdk","YULI DIAN FATMAWATI SERTIFIKAT BerAKHLAK")</f>
        <v>YULI DIAN FATMAWATI SERTIFIKAT BerAKHLAK</v>
      </c>
      <c r="K777" s="5" t="s">
        <v>6248</v>
      </c>
      <c r="L777" s="5" t="s">
        <v>7298</v>
      </c>
    </row>
    <row r="778">
      <c r="A778" s="4">
        <v>45534.32592405092</v>
      </c>
      <c r="B778" s="5" t="s">
        <v>34</v>
      </c>
      <c r="D778" s="5" t="s">
        <v>4775</v>
      </c>
      <c r="E778" s="5" t="s">
        <v>7302</v>
      </c>
      <c r="F778" s="5" t="s">
        <v>72</v>
      </c>
      <c r="G778" s="5" t="s">
        <v>7303</v>
      </c>
      <c r="H778" s="6" t="s">
        <v>7304</v>
      </c>
      <c r="I778" s="7" t="s">
        <v>7305</v>
      </c>
      <c r="J778" s="8" t="str">
        <f>HYPERLINK("https://drive.google.com/file/d/1yXcHfpEBxoXh7_Cg-mwlBjL3EP2pC2Dn/view?usp=drivesdk","ENDAH PUJIHASTUTI, A.Md.Gz SERTIFIKAT BerAKHLAK")</f>
        <v>ENDAH PUJIHASTUTI, A.Md.Gz SERTIFIKAT BerAKHLAK</v>
      </c>
      <c r="K778" s="5" t="s">
        <v>6248</v>
      </c>
      <c r="L778" s="5" t="s">
        <v>7306</v>
      </c>
    </row>
    <row r="779">
      <c r="A779" s="4">
        <v>45534.325942129624</v>
      </c>
      <c r="B779" s="5" t="s">
        <v>34</v>
      </c>
      <c r="D779" s="5" t="s">
        <v>267</v>
      </c>
      <c r="E779" s="5" t="s">
        <v>7309</v>
      </c>
      <c r="F779" s="5" t="s">
        <v>72</v>
      </c>
      <c r="G779" s="5" t="s">
        <v>7310</v>
      </c>
      <c r="H779" s="6" t="s">
        <v>7311</v>
      </c>
      <c r="I779" s="7" t="s">
        <v>7312</v>
      </c>
      <c r="J779" s="8" t="str">
        <f>HYPERLINK("https://drive.google.com/file/d/1JJxt-PHKFpureeEwTJhlGBuviGt-a1Q5/view?usp=drivesdk","DIDIK ARDIYANTO. A.Md SERTIFIKAT BerAKHLAK")</f>
        <v>DIDIK ARDIYANTO. A.Md SERTIFIKAT BerAKHLAK</v>
      </c>
      <c r="K779" s="5" t="s">
        <v>6248</v>
      </c>
      <c r="L779" s="5" t="s">
        <v>7313</v>
      </c>
    </row>
    <row r="780">
      <c r="A780" s="4">
        <v>45534.32595520833</v>
      </c>
      <c r="B780" s="5" t="s">
        <v>34</v>
      </c>
      <c r="D780" s="5" t="s">
        <v>580</v>
      </c>
      <c r="E780" s="5" t="s">
        <v>7316</v>
      </c>
      <c r="F780" s="5" t="s">
        <v>37</v>
      </c>
      <c r="G780" s="5" t="s">
        <v>7317</v>
      </c>
      <c r="H780" s="6" t="s">
        <v>7318</v>
      </c>
      <c r="I780" s="7" t="s">
        <v>7319</v>
      </c>
      <c r="J780" s="8" t="str">
        <f>HYPERLINK("https://drive.google.com/file/d/1GfHoFrdZgWzFy-R5BV6KwdNPgWoAP_Y9/view?usp=drivesdk","I NYOMAN SUKAYASA SERTIFIKAT BerAKHLAK")</f>
        <v>I NYOMAN SUKAYASA SERTIFIKAT BerAKHLAK</v>
      </c>
      <c r="K780" s="5" t="s">
        <v>6248</v>
      </c>
      <c r="L780" s="5" t="s">
        <v>7320</v>
      </c>
    </row>
    <row r="781">
      <c r="A781" s="4">
        <v>45534.32596394676</v>
      </c>
      <c r="B781" s="5" t="s">
        <v>34</v>
      </c>
      <c r="D781" s="5" t="s">
        <v>4775</v>
      </c>
      <c r="E781" s="5" t="s">
        <v>7323</v>
      </c>
      <c r="F781" s="5" t="s">
        <v>212</v>
      </c>
      <c r="G781" s="5" t="s">
        <v>7324</v>
      </c>
      <c r="H781" s="6" t="s">
        <v>7325</v>
      </c>
      <c r="I781" s="7" t="s">
        <v>7326</v>
      </c>
      <c r="J781" s="8" t="str">
        <f>HYPERLINK("https://drive.google.com/file/d/1KTr_w1FGXVLT8MzfCox0ZL80TmnbnQsk/view?usp=drivesdk","EKO PURWANTO ,SPd.I SERTIFIKAT BerAKHLAK")</f>
        <v>EKO PURWANTO ,SPd.I SERTIFIKAT BerAKHLAK</v>
      </c>
      <c r="K781" s="5" t="s">
        <v>6248</v>
      </c>
      <c r="L781" s="5" t="s">
        <v>7327</v>
      </c>
    </row>
    <row r="782">
      <c r="A782" s="4">
        <v>45534.32597831018</v>
      </c>
      <c r="B782" s="5" t="s">
        <v>34</v>
      </c>
      <c r="D782" s="5" t="s">
        <v>280</v>
      </c>
      <c r="E782" s="5" t="s">
        <v>7330</v>
      </c>
      <c r="F782" s="5" t="s">
        <v>212</v>
      </c>
      <c r="G782" s="5" t="s">
        <v>7331</v>
      </c>
      <c r="H782" s="6" t="s">
        <v>7332</v>
      </c>
      <c r="I782" s="7" t="s">
        <v>7333</v>
      </c>
      <c r="J782" s="8" t="str">
        <f>HYPERLINK("https://drive.google.com/file/d/1-GvIRjoiNxQa6xturaYTIL9DpJn9lygT/view?usp=drivesdk","IGOR IRZANTO, AMd SERTIFIKAT BerAKHLAK")</f>
        <v>IGOR IRZANTO, AMd SERTIFIKAT BerAKHLAK</v>
      </c>
      <c r="K782" s="5" t="s">
        <v>6248</v>
      </c>
      <c r="L782" s="5" t="s">
        <v>7334</v>
      </c>
    </row>
    <row r="783">
      <c r="A783" s="4">
        <v>45534.32604359953</v>
      </c>
      <c r="B783" s="5" t="s">
        <v>34</v>
      </c>
      <c r="D783" s="5" t="s">
        <v>1768</v>
      </c>
      <c r="E783" s="5" t="s">
        <v>7338</v>
      </c>
      <c r="F783" s="5" t="s">
        <v>120</v>
      </c>
      <c r="G783" s="5" t="s">
        <v>7339</v>
      </c>
      <c r="H783" s="6" t="s">
        <v>7340</v>
      </c>
      <c r="I783" s="7" t="s">
        <v>7341</v>
      </c>
      <c r="J783" s="8" t="str">
        <f>HYPERLINK("https://drive.google.com/file/d/1JdPe1EOfZZSig4WhokLLINgRq2UWE23Q/view?usp=drivesdk","YUYUN YUNINGSIH, S.T. SERTIFIKAT BerAKHLAK")</f>
        <v>YUYUN YUNINGSIH, S.T. SERTIFIKAT BerAKHLAK</v>
      </c>
      <c r="K783" s="5" t="s">
        <v>6248</v>
      </c>
      <c r="L783" s="5" t="s">
        <v>7342</v>
      </c>
    </row>
    <row r="784">
      <c r="A784" s="4">
        <v>45534.326061608794</v>
      </c>
      <c r="B784" s="5" t="s">
        <v>34</v>
      </c>
      <c r="D784" s="5" t="s">
        <v>3432</v>
      </c>
      <c r="E784" s="5" t="s">
        <v>7345</v>
      </c>
      <c r="F784" s="5" t="s">
        <v>524</v>
      </c>
      <c r="G784" s="5" t="s">
        <v>7346</v>
      </c>
      <c r="H784" s="6" t="s">
        <v>7347</v>
      </c>
      <c r="I784" s="7" t="s">
        <v>7348</v>
      </c>
      <c r="J784" s="8" t="str">
        <f>HYPERLINK("https://drive.google.com/file/d/1UqCpvfmrI5V7nlWnv0gboxTHXB_NRz4j/view?usp=drivesdk","MIRDAWATI MUSTAFA S.H SERTIFIKAT BerAKHLAK")</f>
        <v>MIRDAWATI MUSTAFA S.H SERTIFIKAT BerAKHLAK</v>
      </c>
      <c r="K784" s="5" t="s">
        <v>6248</v>
      </c>
      <c r="L784" s="5" t="s">
        <v>7349</v>
      </c>
    </row>
    <row r="785">
      <c r="A785" s="4">
        <v>45534.3260739699</v>
      </c>
      <c r="B785" s="5" t="s">
        <v>34</v>
      </c>
      <c r="D785" s="5" t="s">
        <v>35</v>
      </c>
      <c r="E785" s="5" t="s">
        <v>7352</v>
      </c>
      <c r="F785" s="5" t="s">
        <v>524</v>
      </c>
      <c r="G785" s="5" t="s">
        <v>7353</v>
      </c>
      <c r="H785" s="6" t="s">
        <v>7354</v>
      </c>
      <c r="I785" s="7" t="s">
        <v>7355</v>
      </c>
      <c r="J785" s="8" t="str">
        <f>HYPERLINK("https://drive.google.com/file/d/10FXuDKnklMJPsxID7-OYNywJCh9YohRM/view?usp=drivesdk","IMAS MULHIDAH AMK SERTIFIKAT BerAKHLAK")</f>
        <v>IMAS MULHIDAH AMK SERTIFIKAT BerAKHLAK</v>
      </c>
      <c r="K785" s="5" t="s">
        <v>6248</v>
      </c>
      <c r="L785" s="5" t="s">
        <v>7356</v>
      </c>
    </row>
    <row r="786">
      <c r="A786" s="4">
        <v>45534.32607793981</v>
      </c>
      <c r="B786" s="5" t="s">
        <v>34</v>
      </c>
      <c r="D786" s="5" t="s">
        <v>1206</v>
      </c>
      <c r="E786" s="5" t="s">
        <v>7359</v>
      </c>
      <c r="F786" s="5" t="s">
        <v>212</v>
      </c>
      <c r="G786" s="5" t="s">
        <v>7360</v>
      </c>
      <c r="H786" s="6" t="s">
        <v>7361</v>
      </c>
      <c r="I786" s="7" t="s">
        <v>7362</v>
      </c>
      <c r="J786" s="8" t="str">
        <f>HYPERLINK("https://drive.google.com/file/d/1Gbgb5MvPaAcbRrKIWa-GdkKj6ZywjT5J/view?usp=drivesdk","ADI SUROSO SUROSO SERTIFIKAT BerAKHLAK")</f>
        <v>ADI SUROSO SUROSO SERTIFIKAT BerAKHLAK</v>
      </c>
      <c r="K786" s="5" t="s">
        <v>6258</v>
      </c>
      <c r="L786" s="5" t="s">
        <v>7363</v>
      </c>
    </row>
    <row r="787">
      <c r="A787" s="4">
        <v>45534.32608337963</v>
      </c>
      <c r="B787" s="5" t="s">
        <v>34</v>
      </c>
      <c r="D787" s="5" t="s">
        <v>1692</v>
      </c>
      <c r="E787" s="5" t="s">
        <v>7366</v>
      </c>
      <c r="F787" s="5" t="s">
        <v>524</v>
      </c>
      <c r="G787" s="5" t="s">
        <v>7367</v>
      </c>
      <c r="H787" s="6" t="s">
        <v>7368</v>
      </c>
      <c r="I787" s="7" t="s">
        <v>7369</v>
      </c>
      <c r="J787" s="8" t="str">
        <f>HYPERLINK("https://drive.google.com/file/d/1JqxZleQGSD2jUuRyvmX3cBRruUXFXZTR/view?usp=drivesdk","VICTOR OKTOVIANUS TAIHUTTU, S.KM SERTIFIKAT BerAKHLAK")</f>
        <v>VICTOR OKTOVIANUS TAIHUTTU, S.KM SERTIFIKAT BerAKHLAK</v>
      </c>
      <c r="K787" s="5" t="s">
        <v>6258</v>
      </c>
      <c r="L787" s="5" t="s">
        <v>7370</v>
      </c>
    </row>
    <row r="788">
      <c r="A788" s="4">
        <v>45534.32609700231</v>
      </c>
      <c r="B788" s="5" t="s">
        <v>34</v>
      </c>
      <c r="D788" s="5" t="s">
        <v>267</v>
      </c>
      <c r="E788" s="5" t="s">
        <v>7374</v>
      </c>
      <c r="F788" s="5" t="s">
        <v>212</v>
      </c>
      <c r="G788" s="5" t="s">
        <v>7375</v>
      </c>
      <c r="H788" s="6" t="s">
        <v>7376</v>
      </c>
      <c r="I788" s="7" t="s">
        <v>7377</v>
      </c>
      <c r="J788" s="8" t="str">
        <f>HYPERLINK("https://drive.google.com/file/d/1h1eM3Ezl3N9tML8YfkwP06Q64UhyANjH/view?usp=drivesdk","TRI AGUSTININGSIH SERTIFIKAT BerAKHLAK")</f>
        <v>TRI AGUSTININGSIH SERTIFIKAT BerAKHLAK</v>
      </c>
      <c r="K788" s="5" t="s">
        <v>6248</v>
      </c>
      <c r="L788" s="5" t="s">
        <v>7378</v>
      </c>
    </row>
    <row r="789">
      <c r="A789" s="4">
        <v>45534.32614016204</v>
      </c>
      <c r="B789" s="5" t="s">
        <v>34</v>
      </c>
      <c r="D789" s="5" t="s">
        <v>280</v>
      </c>
      <c r="E789" s="5" t="s">
        <v>7381</v>
      </c>
      <c r="F789" s="5" t="s">
        <v>120</v>
      </c>
      <c r="G789" s="5" t="s">
        <v>7382</v>
      </c>
      <c r="H789" s="6" t="s">
        <v>7383</v>
      </c>
      <c r="I789" s="7" t="s">
        <v>7384</v>
      </c>
      <c r="J789" s="8" t="str">
        <f>HYPERLINK("https://drive.google.com/file/d/11Vfz-9JbU981Fu0EbrVWLhSWVjgJ6c4p/view?usp=drivesdk","AGUS WANDOYO, S.Kom. SERTIFIKAT BerAKHLAK")</f>
        <v>AGUS WANDOYO, S.Kom. SERTIFIKAT BerAKHLAK</v>
      </c>
      <c r="K789" s="5" t="s">
        <v>6248</v>
      </c>
      <c r="L789" s="5" t="s">
        <v>7385</v>
      </c>
    </row>
    <row r="790">
      <c r="A790" s="4">
        <v>45534.32614689815</v>
      </c>
      <c r="B790" s="5" t="s">
        <v>34</v>
      </c>
      <c r="D790" s="5" t="s">
        <v>280</v>
      </c>
      <c r="E790" s="5" t="s">
        <v>7388</v>
      </c>
      <c r="F790" s="5" t="s">
        <v>212</v>
      </c>
      <c r="G790" s="5" t="s">
        <v>7389</v>
      </c>
      <c r="H790" s="6" t="s">
        <v>7390</v>
      </c>
      <c r="I790" s="7" t="s">
        <v>7391</v>
      </c>
      <c r="J790" s="8" t="str">
        <f>HYPERLINK("https://drive.google.com/file/d/17-8oLWxIh0fWYXgrOGe68GSGm5czX5Wm/view?usp=drivesdk","KHAIRUL NAWAR SERTIFIKAT BerAKHLAK")</f>
        <v>KHAIRUL NAWAR SERTIFIKAT BerAKHLAK</v>
      </c>
      <c r="K790" s="5" t="s">
        <v>6258</v>
      </c>
      <c r="L790" s="5" t="s">
        <v>7392</v>
      </c>
    </row>
    <row r="791">
      <c r="A791" s="4">
        <v>45534.32615086806</v>
      </c>
      <c r="B791" s="5" t="s">
        <v>19</v>
      </c>
      <c r="C791" s="5" t="s">
        <v>292</v>
      </c>
      <c r="E791" s="5" t="s">
        <v>7395</v>
      </c>
      <c r="F791" s="5" t="s">
        <v>212</v>
      </c>
      <c r="G791" s="5" t="s">
        <v>7396</v>
      </c>
      <c r="H791" s="6" t="s">
        <v>7397</v>
      </c>
      <c r="I791" s="7" t="s">
        <v>7398</v>
      </c>
      <c r="J791" s="8" t="str">
        <f>HYPERLINK("https://drive.google.com/file/d/1ACQivQYLQom7zGntIDsY7zDfVTt9u3uK/view?usp=drivesdk","SETYA PRAMBUDI SERTIFIKAT BerAKHLAK")</f>
        <v>SETYA PRAMBUDI SERTIFIKAT BerAKHLAK</v>
      </c>
      <c r="K791" s="5" t="s">
        <v>6258</v>
      </c>
      <c r="L791" s="5" t="s">
        <v>7399</v>
      </c>
    </row>
    <row r="792">
      <c r="A792" s="4">
        <v>45534.32617921296</v>
      </c>
      <c r="B792" s="5" t="s">
        <v>34</v>
      </c>
      <c r="D792" s="5" t="s">
        <v>1768</v>
      </c>
      <c r="E792" s="5" t="s">
        <v>7402</v>
      </c>
      <c r="F792" s="5" t="s">
        <v>108</v>
      </c>
      <c r="G792" s="5" t="s">
        <v>7403</v>
      </c>
      <c r="H792" s="6" t="s">
        <v>7404</v>
      </c>
      <c r="I792" s="7" t="s">
        <v>7405</v>
      </c>
      <c r="J792" s="8" t="str">
        <f>HYPERLINK("https://drive.google.com/file/d/1C2ZiAwOT8mm0dkpX7Cctt9-ZjusmH3GQ/view?usp=drivesdk","MARHENI WIDYA CAHYANI, S.E. SERTIFIKAT BerAKHLAK")</f>
        <v>MARHENI WIDYA CAHYANI, S.E. SERTIFIKAT BerAKHLAK</v>
      </c>
      <c r="K792" s="5" t="s">
        <v>6258</v>
      </c>
      <c r="L792" s="5" t="s">
        <v>7406</v>
      </c>
    </row>
    <row r="793">
      <c r="A793" s="4">
        <v>45534.326199247684</v>
      </c>
      <c r="B793" s="5" t="s">
        <v>34</v>
      </c>
      <c r="D793" s="5" t="s">
        <v>1692</v>
      </c>
      <c r="E793" s="5" t="s">
        <v>7409</v>
      </c>
      <c r="F793" s="5" t="s">
        <v>212</v>
      </c>
      <c r="G793" s="5" t="s">
        <v>7410</v>
      </c>
      <c r="H793" s="6" t="s">
        <v>7411</v>
      </c>
      <c r="I793" s="7" t="s">
        <v>7412</v>
      </c>
      <c r="J793" s="8" t="str">
        <f>HYPERLINK("https://drive.google.com/file/d/1rO3VQ2nXKek5GhGELokzv5rJv4NdxszI/view?usp=drivesdk","TIFANY LISA TAIHUTTU, Amd.Kep SERTIFIKAT BerAKHLAK")</f>
        <v>TIFANY LISA TAIHUTTU, Amd.Kep SERTIFIKAT BerAKHLAK</v>
      </c>
      <c r="K793" s="5" t="s">
        <v>6248</v>
      </c>
      <c r="L793" s="5" t="s">
        <v>7413</v>
      </c>
    </row>
    <row r="794">
      <c r="A794" s="4">
        <v>45534.326213692126</v>
      </c>
      <c r="B794" s="5" t="s">
        <v>34</v>
      </c>
      <c r="D794" s="5" t="s">
        <v>4775</v>
      </c>
      <c r="E794" s="5" t="s">
        <v>7417</v>
      </c>
      <c r="F794" s="5" t="s">
        <v>212</v>
      </c>
      <c r="G794" s="5" t="s">
        <v>7418</v>
      </c>
      <c r="H794" s="6" t="s">
        <v>7419</v>
      </c>
      <c r="I794" s="7" t="s">
        <v>7420</v>
      </c>
      <c r="J794" s="8" t="str">
        <f>HYPERLINK("https://drive.google.com/file/d/1Nlv9R79up6p7iA-I3fy2Xnv72sYLnp2n/view?usp=drivesdk","DJONY SOESANTO SERTIFIKAT BerAKHLAK")</f>
        <v>DJONY SOESANTO SERTIFIKAT BerAKHLAK</v>
      </c>
      <c r="K794" s="5" t="s">
        <v>6258</v>
      </c>
      <c r="L794" s="5" t="s">
        <v>7421</v>
      </c>
    </row>
    <row r="795">
      <c r="A795" s="4">
        <v>45534.32622796296</v>
      </c>
      <c r="B795" s="5" t="s">
        <v>34</v>
      </c>
      <c r="D795" s="5" t="s">
        <v>1663</v>
      </c>
      <c r="E795" s="5" t="s">
        <v>7424</v>
      </c>
      <c r="F795" s="5" t="s">
        <v>72</v>
      </c>
      <c r="G795" s="5" t="s">
        <v>7425</v>
      </c>
      <c r="H795" s="6" t="s">
        <v>7426</v>
      </c>
      <c r="K795" s="5" t="s">
        <v>7427</v>
      </c>
    </row>
    <row r="796">
      <c r="A796" s="4">
        <v>45534.32622796296</v>
      </c>
      <c r="B796" s="5" t="s">
        <v>34</v>
      </c>
      <c r="D796" s="5" t="s">
        <v>996</v>
      </c>
      <c r="E796" s="5" t="s">
        <v>7430</v>
      </c>
      <c r="F796" s="5" t="s">
        <v>212</v>
      </c>
      <c r="G796" s="5" t="s">
        <v>7431</v>
      </c>
      <c r="H796" s="6" t="s">
        <v>7432</v>
      </c>
      <c r="K796" s="5" t="s">
        <v>7427</v>
      </c>
    </row>
    <row r="797">
      <c r="A797" s="4">
        <v>45534.32623903935</v>
      </c>
      <c r="B797" s="5" t="s">
        <v>34</v>
      </c>
      <c r="D797" s="5" t="s">
        <v>4775</v>
      </c>
      <c r="E797" s="5" t="s">
        <v>7435</v>
      </c>
      <c r="F797" s="5" t="s">
        <v>212</v>
      </c>
      <c r="G797" s="5" t="s">
        <v>7436</v>
      </c>
      <c r="H797" s="6" t="s">
        <v>7437</v>
      </c>
      <c r="K797" s="5" t="s">
        <v>7427</v>
      </c>
    </row>
    <row r="798">
      <c r="A798" s="4">
        <v>45534.32624149305</v>
      </c>
      <c r="B798" s="5" t="s">
        <v>19</v>
      </c>
      <c r="C798" s="5" t="s">
        <v>292</v>
      </c>
      <c r="E798" s="5" t="s">
        <v>7440</v>
      </c>
      <c r="F798" s="5" t="s">
        <v>37</v>
      </c>
      <c r="G798" s="5" t="s">
        <v>7441</v>
      </c>
      <c r="H798" s="6" t="s">
        <v>7442</v>
      </c>
      <c r="K798" s="5" t="s">
        <v>7427</v>
      </c>
    </row>
    <row r="799">
      <c r="A799" s="4">
        <v>45534.32624178241</v>
      </c>
      <c r="B799" s="5" t="s">
        <v>34</v>
      </c>
      <c r="D799" s="5" t="s">
        <v>580</v>
      </c>
      <c r="E799" s="5" t="s">
        <v>7445</v>
      </c>
      <c r="F799" s="5" t="s">
        <v>212</v>
      </c>
      <c r="G799" s="5" t="s">
        <v>7446</v>
      </c>
      <c r="H799" s="6" t="s">
        <v>7447</v>
      </c>
      <c r="K799" s="5" t="s">
        <v>7427</v>
      </c>
    </row>
    <row r="800">
      <c r="A800" s="4">
        <v>45534.32626028935</v>
      </c>
      <c r="B800" s="5" t="s">
        <v>34</v>
      </c>
      <c r="D800" s="5" t="s">
        <v>4775</v>
      </c>
      <c r="E800" s="5" t="s">
        <v>4186</v>
      </c>
      <c r="F800" s="5" t="s">
        <v>37</v>
      </c>
      <c r="G800" s="5" t="s">
        <v>7450</v>
      </c>
      <c r="H800" s="6" t="s">
        <v>7451</v>
      </c>
      <c r="I800" s="7" t="s">
        <v>7452</v>
      </c>
      <c r="J800" s="8" t="str">
        <f>HYPERLINK("https://drive.google.com/file/d/1w9TH0FNG5MNAy_h3m3Y8TVQLyuqt0WE8/view?usp=drivesdk","AGUS SUPRIYADI SERTIFIKAT BerAKHLAK")</f>
        <v>AGUS SUPRIYADI SERTIFIKAT BerAKHLAK</v>
      </c>
      <c r="K800" s="5" t="s">
        <v>6248</v>
      </c>
      <c r="L800" s="5" t="s">
        <v>7453</v>
      </c>
    </row>
    <row r="801">
      <c r="A801" s="4">
        <v>45534.32626310185</v>
      </c>
      <c r="B801" s="5" t="s">
        <v>19</v>
      </c>
      <c r="C801" s="5" t="s">
        <v>5058</v>
      </c>
      <c r="E801" s="5" t="s">
        <v>7457</v>
      </c>
      <c r="F801" s="5" t="s">
        <v>108</v>
      </c>
      <c r="G801" s="5" t="s">
        <v>7458</v>
      </c>
      <c r="H801" s="6" t="s">
        <v>7459</v>
      </c>
      <c r="I801" s="7" t="s">
        <v>7460</v>
      </c>
      <c r="J801" s="8" t="str">
        <f>HYPERLINK("https://drive.google.com/file/d/1gECqfaOZXnbo_j-MxC66AkaKCGEGVAhq/view?usp=drivesdk","DARMANI IKA SUSANTI SERTIFIKAT BerAKHLAK")</f>
        <v>DARMANI IKA SUSANTI SERTIFIKAT BerAKHLAK</v>
      </c>
      <c r="K801" s="5" t="s">
        <v>6258</v>
      </c>
      <c r="L801" s="5" t="s">
        <v>7461</v>
      </c>
    </row>
    <row r="802">
      <c r="A802" s="4">
        <v>45534.326270335645</v>
      </c>
      <c r="B802" s="5" t="s">
        <v>34</v>
      </c>
      <c r="D802" s="5" t="s">
        <v>1206</v>
      </c>
      <c r="E802" s="5" t="s">
        <v>7464</v>
      </c>
      <c r="F802" s="5" t="s">
        <v>212</v>
      </c>
      <c r="G802" s="5" t="s">
        <v>7465</v>
      </c>
      <c r="H802" s="6" t="s">
        <v>7466</v>
      </c>
      <c r="I802" s="7" t="s">
        <v>7467</v>
      </c>
      <c r="J802" s="8" t="str">
        <f>HYPERLINK("https://drive.google.com/file/d/1JKQ1BQ0GdT_DYBEfe0I5XGupaWc1rrRE/view?usp=drivesdk","ENDANG YULIYATI SERTIFIKAT BerAKHLAK")</f>
        <v>ENDANG YULIYATI SERTIFIKAT BerAKHLAK</v>
      </c>
      <c r="K802" s="5" t="s">
        <v>6258</v>
      </c>
      <c r="L802" s="5" t="s">
        <v>7468</v>
      </c>
    </row>
    <row r="803">
      <c r="A803" s="4">
        <v>45534.32627439815</v>
      </c>
      <c r="B803" s="5" t="s">
        <v>34</v>
      </c>
      <c r="D803" s="5" t="s">
        <v>1206</v>
      </c>
      <c r="E803" s="5" t="s">
        <v>7471</v>
      </c>
      <c r="F803" s="5" t="s">
        <v>37</v>
      </c>
      <c r="G803" s="5" t="s">
        <v>7472</v>
      </c>
      <c r="H803" s="6" t="s">
        <v>7473</v>
      </c>
      <c r="I803" s="7" t="s">
        <v>7474</v>
      </c>
      <c r="J803" s="8" t="str">
        <f>HYPERLINK("https://drive.google.com/file/d/1DGrYvO2iNXe6SP-UCfUrJR3fnR3rYCWi/view?usp=drivesdk","WAHYU AGUNG BINTORO SERTIFIKAT BerAKHLAK")</f>
        <v>WAHYU AGUNG BINTORO SERTIFIKAT BerAKHLAK</v>
      </c>
      <c r="K803" s="5" t="s">
        <v>6258</v>
      </c>
      <c r="L803" s="5" t="s">
        <v>7475</v>
      </c>
    </row>
    <row r="804">
      <c r="A804" s="4">
        <v>45534.326275</v>
      </c>
      <c r="B804" s="5" t="s">
        <v>34</v>
      </c>
      <c r="D804" s="5" t="s">
        <v>35</v>
      </c>
      <c r="E804" s="5" t="s">
        <v>7478</v>
      </c>
      <c r="F804" s="5" t="s">
        <v>37</v>
      </c>
      <c r="G804" s="5" t="s">
        <v>7479</v>
      </c>
      <c r="H804" s="6" t="s">
        <v>7480</v>
      </c>
      <c r="I804" s="7" t="s">
        <v>7481</v>
      </c>
      <c r="J804" s="8" t="str">
        <f>HYPERLINK("https://drive.google.com/file/d/1JmTny-588LBvh0qK4ETO4_ay6ovXsnYI/view?usp=drivesdk","NATAL FRANSISKUS SIHOTANG SERTIFIKAT BerAKHLAK")</f>
        <v>NATAL FRANSISKUS SIHOTANG SERTIFIKAT BerAKHLAK</v>
      </c>
      <c r="K804" s="5" t="s">
        <v>6258</v>
      </c>
      <c r="L804" s="5" t="s">
        <v>7482</v>
      </c>
    </row>
    <row r="805">
      <c r="A805" s="4">
        <v>45534.32627583333</v>
      </c>
      <c r="B805" s="5" t="s">
        <v>34</v>
      </c>
      <c r="D805" s="5" t="s">
        <v>4775</v>
      </c>
      <c r="E805" s="5" t="s">
        <v>7485</v>
      </c>
      <c r="F805" s="5" t="s">
        <v>212</v>
      </c>
      <c r="G805" s="5" t="s">
        <v>7486</v>
      </c>
      <c r="H805" s="6" t="s">
        <v>7487</v>
      </c>
      <c r="I805" s="7" t="s">
        <v>7488</v>
      </c>
      <c r="J805" s="8" t="str">
        <f>HYPERLINK("https://drive.google.com/file/d/1QOB3e7o_m6Lt6UaIvTqu8R6DpNpH7GsT/view?usp=drivesdk","NURWIDAYATI  PRATIWI, AMK SERTIFIKAT BerAKHLAK")</f>
        <v>NURWIDAYATI  PRATIWI, AMK SERTIFIKAT BerAKHLAK</v>
      </c>
      <c r="K805" s="5" t="s">
        <v>6258</v>
      </c>
      <c r="L805" s="5" t="s">
        <v>7489</v>
      </c>
    </row>
    <row r="806">
      <c r="A806" s="4">
        <v>45534.32628631944</v>
      </c>
      <c r="B806" s="5" t="s">
        <v>34</v>
      </c>
      <c r="D806" s="5" t="s">
        <v>4775</v>
      </c>
      <c r="E806" s="5" t="s">
        <v>7492</v>
      </c>
      <c r="F806" s="5" t="s">
        <v>37</v>
      </c>
      <c r="G806" s="5" t="s">
        <v>7493</v>
      </c>
      <c r="H806" s="6" t="s">
        <v>7494</v>
      </c>
      <c r="I806" s="7" t="s">
        <v>7495</v>
      </c>
      <c r="J806" s="8" t="str">
        <f>HYPERLINK("https://drive.google.com/file/d/1JSll60vGJnEZDPurhqhV8wG8Nz_pz_sF/view?usp=drivesdk","MURTI DHAMAYANTI SERTIFIKAT BerAKHLAK")</f>
        <v>MURTI DHAMAYANTI SERTIFIKAT BerAKHLAK</v>
      </c>
      <c r="K806" s="5" t="s">
        <v>6258</v>
      </c>
      <c r="L806" s="5" t="s">
        <v>7496</v>
      </c>
    </row>
    <row r="807">
      <c r="A807" s="4">
        <v>45534.326290185185</v>
      </c>
      <c r="B807" s="5" t="s">
        <v>34</v>
      </c>
      <c r="D807" s="5" t="s">
        <v>35</v>
      </c>
      <c r="E807" s="5" t="s">
        <v>7500</v>
      </c>
      <c r="F807" s="5" t="s">
        <v>212</v>
      </c>
      <c r="G807" s="5" t="s">
        <v>7501</v>
      </c>
      <c r="H807" s="6" t="s">
        <v>7502</v>
      </c>
      <c r="I807" s="7" t="s">
        <v>7503</v>
      </c>
      <c r="J807" s="8" t="str">
        <f>HYPERLINK("https://drive.google.com/file/d/149L19eJpey4VJtXrEnoiPId-XKjQj44_/view?usp=drivesdk","MOHAMAD SMAIL SERTIFIKAT BerAKHLAK")</f>
        <v>MOHAMAD SMAIL SERTIFIKAT BerAKHLAK</v>
      </c>
      <c r="K807" s="5" t="s">
        <v>6296</v>
      </c>
      <c r="L807" s="5" t="s">
        <v>7504</v>
      </c>
    </row>
    <row r="808">
      <c r="A808" s="4">
        <v>45534.32629429398</v>
      </c>
      <c r="B808" s="5" t="s">
        <v>34</v>
      </c>
      <c r="D808" s="5" t="s">
        <v>1206</v>
      </c>
      <c r="E808" s="5" t="s">
        <v>7507</v>
      </c>
      <c r="F808" s="5" t="s">
        <v>212</v>
      </c>
      <c r="G808" s="5" t="s">
        <v>7508</v>
      </c>
      <c r="H808" s="6" t="s">
        <v>7509</v>
      </c>
      <c r="I808" s="7" t="s">
        <v>7510</v>
      </c>
      <c r="J808" s="8" t="str">
        <f>HYPERLINK("https://drive.google.com/file/d/1Fk4Z3jcgVeeJsXaPLYEcZ9ZeKBOUk1j3/view?usp=drivesdk","AGUSTINUS RUDDY HARTONO SERTIFIKAT BerAKHLAK")</f>
        <v>AGUSTINUS RUDDY HARTONO SERTIFIKAT BerAKHLAK</v>
      </c>
      <c r="K808" s="5" t="s">
        <v>6296</v>
      </c>
      <c r="L808" s="5" t="s">
        <v>7511</v>
      </c>
    </row>
    <row r="809">
      <c r="A809" s="4">
        <v>45534.326327187504</v>
      </c>
      <c r="B809" s="5" t="s">
        <v>34</v>
      </c>
      <c r="D809" s="5" t="s">
        <v>280</v>
      </c>
      <c r="E809" s="5" t="s">
        <v>7514</v>
      </c>
      <c r="F809" s="5" t="s">
        <v>212</v>
      </c>
      <c r="G809" s="5" t="s">
        <v>7515</v>
      </c>
      <c r="H809" s="6" t="s">
        <v>7516</v>
      </c>
      <c r="I809" s="7" t="s">
        <v>7517</v>
      </c>
      <c r="J809" s="8" t="str">
        <f>HYPERLINK("https://drive.google.com/file/d/1TwWwpJV7WkGqLukHq90qA4J6IfRC5i6c/view?usp=drivesdk","ANDIANSYAHS, S.M. SERTIFIKAT BerAKHLAK")</f>
        <v>ANDIANSYAHS, S.M. SERTIFIKAT BerAKHLAK</v>
      </c>
      <c r="K809" s="5" t="s">
        <v>6258</v>
      </c>
      <c r="L809" s="5" t="s">
        <v>7518</v>
      </c>
    </row>
    <row r="810">
      <c r="A810" s="4">
        <v>45534.32640532407</v>
      </c>
      <c r="B810" s="5" t="s">
        <v>34</v>
      </c>
      <c r="D810" s="5" t="s">
        <v>4775</v>
      </c>
      <c r="E810" s="5" t="s">
        <v>7521</v>
      </c>
      <c r="F810" s="5" t="s">
        <v>212</v>
      </c>
      <c r="G810" s="5" t="s">
        <v>7522</v>
      </c>
      <c r="H810" s="6" t="s">
        <v>7523</v>
      </c>
      <c r="I810" s="7" t="s">
        <v>7524</v>
      </c>
      <c r="J810" s="8" t="str">
        <f>HYPERLINK("https://drive.google.com/file/d/1u2WERi9J38iDr6IfHpnr88JL_Wd9yifx/view?usp=drivesdk","SRI SUWARTINI SERTIFIKAT BerAKHLAK")</f>
        <v>SRI SUWARTINI SERTIFIKAT BerAKHLAK</v>
      </c>
      <c r="K810" s="5" t="s">
        <v>6258</v>
      </c>
      <c r="L810" s="5" t="s">
        <v>7525</v>
      </c>
    </row>
    <row r="811">
      <c r="A811" s="4">
        <v>45534.326416412034</v>
      </c>
      <c r="B811" s="5" t="s">
        <v>34</v>
      </c>
      <c r="D811" s="5" t="s">
        <v>3849</v>
      </c>
      <c r="E811" s="5" t="s">
        <v>7528</v>
      </c>
      <c r="F811" s="5" t="s">
        <v>37</v>
      </c>
      <c r="G811" s="5" t="s">
        <v>7529</v>
      </c>
      <c r="H811" s="6" t="s">
        <v>7530</v>
      </c>
      <c r="I811" s="7" t="s">
        <v>7531</v>
      </c>
      <c r="J811" s="8" t="str">
        <f>HYPERLINK("https://drive.google.com/file/d/1hKEGvMIv7DJJPSnWxJgLNpNMZv3AOlqU/view?usp=drivesdk","AFTADI YULIANSYAH, A.Md.Farm SERTIFIKAT BerAKHLAK")</f>
        <v>AFTADI YULIANSYAH, A.Md.Farm SERTIFIKAT BerAKHLAK</v>
      </c>
      <c r="K811" s="5" t="s">
        <v>6258</v>
      </c>
      <c r="L811" s="5" t="s">
        <v>7532</v>
      </c>
    </row>
    <row r="812">
      <c r="A812" s="4">
        <v>45534.3264340162</v>
      </c>
      <c r="B812" s="5" t="s">
        <v>19</v>
      </c>
      <c r="C812" s="5" t="s">
        <v>466</v>
      </c>
      <c r="E812" s="5" t="s">
        <v>7536</v>
      </c>
      <c r="F812" s="5" t="s">
        <v>37</v>
      </c>
      <c r="G812" s="5" t="s">
        <v>7537</v>
      </c>
      <c r="H812" s="6" t="s">
        <v>7538</v>
      </c>
      <c r="I812" s="7" t="s">
        <v>7539</v>
      </c>
      <c r="J812" s="8" t="str">
        <f>HYPERLINK("https://drive.google.com/file/d/17_4rLObgYeGx47WoFJofU7RuvjxmjlQr/view?usp=drivesdk","DINA MUJI RAHAYU SERTIFIKAT BerAKHLAK")</f>
        <v>DINA MUJI RAHAYU SERTIFIKAT BerAKHLAK</v>
      </c>
      <c r="K812" s="5" t="s">
        <v>6258</v>
      </c>
      <c r="L812" s="5" t="s">
        <v>7540</v>
      </c>
    </row>
    <row r="813">
      <c r="A813" s="4">
        <v>45534.326453229165</v>
      </c>
      <c r="B813" s="5" t="s">
        <v>19</v>
      </c>
      <c r="C813" s="5" t="s">
        <v>292</v>
      </c>
      <c r="E813" s="5" t="s">
        <v>7543</v>
      </c>
      <c r="F813" s="5" t="s">
        <v>524</v>
      </c>
      <c r="G813" s="5" t="s">
        <v>7544</v>
      </c>
      <c r="H813" s="6" t="s">
        <v>7545</v>
      </c>
      <c r="I813" s="7" t="s">
        <v>7546</v>
      </c>
      <c r="J813" s="8" t="str">
        <f>HYPERLINK("https://drive.google.com/file/d/1bG0Jw8-BToWF_W8qtj4bcOy4GeMOPorw/view?usp=drivesdk","DODI SUHANDI, S.E. SERTIFIKAT BerAKHLAK")</f>
        <v>DODI SUHANDI, S.E. SERTIFIKAT BerAKHLAK</v>
      </c>
      <c r="K813" s="5" t="s">
        <v>6258</v>
      </c>
      <c r="L813" s="5" t="s">
        <v>7547</v>
      </c>
    </row>
    <row r="814">
      <c r="A814" s="4">
        <v>45534.32647296296</v>
      </c>
      <c r="B814" s="5" t="s">
        <v>34</v>
      </c>
      <c r="D814" s="5" t="s">
        <v>1206</v>
      </c>
      <c r="E814" s="5" t="s">
        <v>7550</v>
      </c>
      <c r="F814" s="5" t="s">
        <v>37</v>
      </c>
      <c r="G814" s="5" t="s">
        <v>7551</v>
      </c>
      <c r="H814" s="6" t="s">
        <v>7552</v>
      </c>
      <c r="I814" s="7" t="s">
        <v>7553</v>
      </c>
      <c r="J814" s="8" t="str">
        <f>HYPERLINK("https://drive.google.com/file/d/1l72uOIVdb919diFBn7yVv9EnMaelyY3H/view?usp=drivesdk","PENGATUR SUHARTOYO SERTIFIKAT BerAKHLAK")</f>
        <v>PENGATUR SUHARTOYO SERTIFIKAT BerAKHLAK</v>
      </c>
      <c r="K814" s="5" t="s">
        <v>6258</v>
      </c>
      <c r="L814" s="5" t="s">
        <v>7554</v>
      </c>
    </row>
    <row r="815">
      <c r="A815" s="4">
        <v>45534.32648476852</v>
      </c>
      <c r="B815" s="5" t="s">
        <v>19</v>
      </c>
      <c r="C815" s="5" t="s">
        <v>292</v>
      </c>
      <c r="E815" s="5" t="s">
        <v>7557</v>
      </c>
      <c r="F815" s="5" t="s">
        <v>108</v>
      </c>
      <c r="G815" s="5" t="s">
        <v>7558</v>
      </c>
      <c r="H815" s="6" t="s">
        <v>7559</v>
      </c>
      <c r="I815" s="7" t="s">
        <v>7560</v>
      </c>
      <c r="J815" s="8" t="str">
        <f>HYPERLINK("https://drive.google.com/file/d/1AswNDqpqEeEmlcY83mllDe9Q3-5zYTOu/view?usp=drivesdk","IROM MUHAROM, S.KOM. SERTIFIKAT BerAKHLAK")</f>
        <v>IROM MUHAROM, S.KOM. SERTIFIKAT BerAKHLAK</v>
      </c>
      <c r="K815" s="5" t="s">
        <v>6258</v>
      </c>
      <c r="L815" s="5" t="s">
        <v>7561</v>
      </c>
    </row>
    <row r="816">
      <c r="A816" s="4">
        <v>45534.32648783565</v>
      </c>
      <c r="B816" s="5" t="s">
        <v>19</v>
      </c>
      <c r="C816" s="5" t="s">
        <v>3471</v>
      </c>
      <c r="E816" s="5" t="s">
        <v>7564</v>
      </c>
      <c r="F816" s="5" t="s">
        <v>199</v>
      </c>
      <c r="G816" s="5" t="s">
        <v>7565</v>
      </c>
      <c r="H816" s="6" t="s">
        <v>7566</v>
      </c>
      <c r="I816" s="7" t="s">
        <v>7567</v>
      </c>
      <c r="J816" s="8" t="str">
        <f>HYPERLINK("https://drive.google.com/file/d/1eqixNfcxAQTKtujRVW-woemnjoBcZj3q/view?usp=drivesdk","EKO YUDHI PURWANTO  SERTIFIKAT BerAKHLAK")</f>
        <v>EKO YUDHI PURWANTO  SERTIFIKAT BerAKHLAK</v>
      </c>
      <c r="K816" s="5" t="s">
        <v>6258</v>
      </c>
      <c r="L816" s="5" t="s">
        <v>7568</v>
      </c>
    </row>
    <row r="817">
      <c r="A817" s="4">
        <v>45534.326522777774</v>
      </c>
      <c r="B817" s="5" t="s">
        <v>34</v>
      </c>
      <c r="D817" s="5" t="s">
        <v>2903</v>
      </c>
      <c r="E817" s="5" t="s">
        <v>7572</v>
      </c>
      <c r="F817" s="5" t="s">
        <v>108</v>
      </c>
      <c r="G817" s="5" t="s">
        <v>7573</v>
      </c>
      <c r="H817" s="6" t="s">
        <v>7574</v>
      </c>
      <c r="I817" s="7" t="s">
        <v>7575</v>
      </c>
      <c r="J817" s="8" t="str">
        <f>HYPERLINK("https://drive.google.com/file/d/1J4aZQgkx-qXjhJjLwtnoK6aizz6PN5EW/view?usp=drivesdk","KHAIRUL IRFAN  SERTIFIKAT BerAKHLAK")</f>
        <v>KHAIRUL IRFAN  SERTIFIKAT BerAKHLAK</v>
      </c>
      <c r="K817" s="5" t="s">
        <v>6258</v>
      </c>
      <c r="L817" s="5" t="s">
        <v>7576</v>
      </c>
    </row>
    <row r="818">
      <c r="A818" s="4">
        <v>45534.32653259259</v>
      </c>
      <c r="B818" s="5" t="s">
        <v>34</v>
      </c>
      <c r="D818" s="5" t="s">
        <v>3432</v>
      </c>
      <c r="E818" s="5" t="s">
        <v>7579</v>
      </c>
      <c r="F818" s="5" t="s">
        <v>524</v>
      </c>
      <c r="G818" s="5" t="s">
        <v>7580</v>
      </c>
      <c r="H818" s="6" t="s">
        <v>7581</v>
      </c>
      <c r="I818" s="7" t="s">
        <v>7582</v>
      </c>
      <c r="J818" s="8" t="str">
        <f>HYPERLINK("https://drive.google.com/file/d/1jFXCLihBV0Aw6yYTkWg9kvrszHELzhCn/view?usp=drivesdk","ARNY MARHAINY ZAINUL ASIKIN, S.H.,  SERTIFIKAT BerAKHLAK")</f>
        <v>ARNY MARHAINY ZAINUL ASIKIN, S.H.,  SERTIFIKAT BerAKHLAK</v>
      </c>
      <c r="K818" s="5" t="s">
        <v>6258</v>
      </c>
      <c r="L818" s="5" t="s">
        <v>7583</v>
      </c>
    </row>
    <row r="819">
      <c r="A819" s="4">
        <v>45534.32656128472</v>
      </c>
      <c r="B819" s="5" t="s">
        <v>34</v>
      </c>
      <c r="D819" s="5" t="s">
        <v>267</v>
      </c>
      <c r="E819" s="5" t="s">
        <v>7586</v>
      </c>
      <c r="F819" s="5" t="s">
        <v>37</v>
      </c>
      <c r="G819" s="5" t="s">
        <v>7587</v>
      </c>
      <c r="H819" s="6" t="s">
        <v>7588</v>
      </c>
      <c r="I819" s="7" t="s">
        <v>7589</v>
      </c>
      <c r="J819" s="8" t="str">
        <f>HYPERLINK("https://drive.google.com/file/d/12thLKjT4P1hpgYWH1Z-toDJWty4tByxh/view?usp=drivesdk","NISA JUWITA RAHMAWATI, A.Md.AK SERTIFIKAT BerAKHLAK")</f>
        <v>NISA JUWITA RAHMAWATI, A.Md.AK SERTIFIKAT BerAKHLAK</v>
      </c>
      <c r="K819" s="5" t="s">
        <v>6258</v>
      </c>
      <c r="L819" s="5" t="s">
        <v>7590</v>
      </c>
    </row>
    <row r="820">
      <c r="A820" s="4">
        <v>45534.32658826389</v>
      </c>
      <c r="B820" s="5" t="s">
        <v>34</v>
      </c>
      <c r="D820" s="5" t="s">
        <v>1206</v>
      </c>
      <c r="E820" s="5" t="s">
        <v>7593</v>
      </c>
      <c r="F820" s="5" t="s">
        <v>375</v>
      </c>
      <c r="G820" s="5" t="s">
        <v>7594</v>
      </c>
      <c r="H820" s="6" t="s">
        <v>7595</v>
      </c>
      <c r="I820" s="7" t="s">
        <v>7596</v>
      </c>
      <c r="J820" s="8" t="str">
        <f>HYPERLINK("https://drive.google.com/file/d/1yaZGp5q3MfI8a-RWuyOhab45fk0g6rwM/view?usp=drivesdk","TANTI ARIESTIANA, S. H SERTIFIKAT BerAKHLAK")</f>
        <v>TANTI ARIESTIANA, S. H SERTIFIKAT BerAKHLAK</v>
      </c>
      <c r="K820" s="5" t="s">
        <v>6258</v>
      </c>
      <c r="L820" s="5" t="s">
        <v>7597</v>
      </c>
    </row>
    <row r="821">
      <c r="A821" s="4">
        <v>45534.326603761576</v>
      </c>
      <c r="B821" s="5" t="s">
        <v>34</v>
      </c>
      <c r="D821" s="5" t="s">
        <v>1206</v>
      </c>
      <c r="E821" s="5" t="s">
        <v>7600</v>
      </c>
      <c r="F821" s="5" t="s">
        <v>108</v>
      </c>
      <c r="G821" s="5" t="s">
        <v>7601</v>
      </c>
      <c r="H821" s="6" t="s">
        <v>7602</v>
      </c>
      <c r="I821" s="7" t="s">
        <v>7603</v>
      </c>
      <c r="J821" s="8" t="str">
        <f>HYPERLINK("https://drive.google.com/file/d/1Ik7m8DaFz48u0nAyOL0-vPC2QtGCfTcZ/view?usp=drivesdk","SAIDAH WAHYU MULARTI  SERTIFIKAT BerAKHLAK")</f>
        <v>SAIDAH WAHYU MULARTI  SERTIFIKAT BerAKHLAK</v>
      </c>
      <c r="K821" s="5" t="s">
        <v>6258</v>
      </c>
      <c r="L821" s="5" t="s">
        <v>7604</v>
      </c>
    </row>
    <row r="822">
      <c r="A822" s="4">
        <v>45534.32660511574</v>
      </c>
      <c r="B822" s="5" t="s">
        <v>34</v>
      </c>
      <c r="D822" s="5" t="s">
        <v>1206</v>
      </c>
      <c r="E822" s="5" t="s">
        <v>7608</v>
      </c>
      <c r="F822" s="5" t="s">
        <v>37</v>
      </c>
      <c r="G822" s="5" t="s">
        <v>7609</v>
      </c>
      <c r="H822" s="6" t="s">
        <v>7610</v>
      </c>
      <c r="I822" s="7" t="s">
        <v>7611</v>
      </c>
      <c r="J822" s="8" t="str">
        <f>HYPERLINK("https://drive.google.com/file/d/153r8-j8RbperTS9CXUH1SHJ5pheM_xOB/view?usp=drivesdk","EDY WAHYU WIJAYANTO, SH SERTIFIKAT BerAKHLAK")</f>
        <v>EDY WAHYU WIJAYANTO, SH SERTIFIKAT BerAKHLAK</v>
      </c>
      <c r="K822" s="5" t="s">
        <v>6258</v>
      </c>
      <c r="L822" s="5" t="s">
        <v>7612</v>
      </c>
    </row>
    <row r="823">
      <c r="A823" s="4">
        <v>45534.32664344907</v>
      </c>
      <c r="B823" s="5" t="s">
        <v>34</v>
      </c>
      <c r="D823" s="5" t="s">
        <v>522</v>
      </c>
      <c r="E823" s="5" t="s">
        <v>7615</v>
      </c>
      <c r="F823" s="5" t="s">
        <v>37</v>
      </c>
      <c r="G823" s="5" t="s">
        <v>7616</v>
      </c>
      <c r="H823" s="6" t="s">
        <v>7617</v>
      </c>
      <c r="I823" s="7" t="s">
        <v>7618</v>
      </c>
      <c r="J823" s="8" t="str">
        <f>HYPERLINK("https://drive.google.com/file/d/1SSvcRY34nTmsAVYp2VHgLgygAwtSZn0y/view?usp=drivesdk","I NYOMAN JANU ARIMBAWA SERTIFIKAT BerAKHLAK")</f>
        <v>I NYOMAN JANU ARIMBAWA SERTIFIKAT BerAKHLAK</v>
      </c>
      <c r="K823" s="5" t="s">
        <v>6296</v>
      </c>
      <c r="L823" s="5" t="s">
        <v>7619</v>
      </c>
    </row>
    <row r="824">
      <c r="A824" s="4">
        <v>45534.326645520836</v>
      </c>
      <c r="B824" s="5" t="s">
        <v>19</v>
      </c>
      <c r="C824" s="5" t="s">
        <v>315</v>
      </c>
      <c r="E824" s="5" t="s">
        <v>7622</v>
      </c>
      <c r="F824" s="5" t="s">
        <v>524</v>
      </c>
      <c r="G824" s="5" t="s">
        <v>7623</v>
      </c>
      <c r="H824" s="6" t="s">
        <v>7624</v>
      </c>
      <c r="I824" s="7" t="s">
        <v>7625</v>
      </c>
      <c r="J824" s="8" t="str">
        <f>HYPERLINK("https://drive.google.com/file/d/1kbyTei5BmyOcp94fbMXcuhu_vR4WkcAD/view?usp=drivesdk","AAN AHMAD SHOLIKIN. A. Md SERTIFIKAT BerAKHLAK")</f>
        <v>AAN AHMAD SHOLIKIN. A. Md SERTIFIKAT BerAKHLAK</v>
      </c>
      <c r="K824" s="5" t="s">
        <v>6296</v>
      </c>
      <c r="L824" s="5" t="s">
        <v>7626</v>
      </c>
    </row>
    <row r="825">
      <c r="A825" s="4">
        <v>45534.326652557866</v>
      </c>
      <c r="B825" s="5" t="s">
        <v>34</v>
      </c>
      <c r="D825" s="5" t="s">
        <v>1206</v>
      </c>
      <c r="E825" s="5" t="s">
        <v>7629</v>
      </c>
      <c r="F825" s="5" t="s">
        <v>72</v>
      </c>
      <c r="G825" s="5" t="s">
        <v>7630</v>
      </c>
      <c r="H825" s="6" t="s">
        <v>7631</v>
      </c>
      <c r="I825" s="7" t="s">
        <v>7632</v>
      </c>
      <c r="J825" s="8" t="str">
        <f>HYPERLINK("https://drive.google.com/file/d/1mkGFfpaw-061iQYVrs56SpLCh_2df5k_/view?usp=drivesdk","YUNI SUPRIATIN, S.E. SERTIFIKAT BerAKHLAK")</f>
        <v>YUNI SUPRIATIN, S.E. SERTIFIKAT BerAKHLAK</v>
      </c>
      <c r="K825" s="5" t="s">
        <v>6296</v>
      </c>
      <c r="L825" s="5" t="s">
        <v>7633</v>
      </c>
    </row>
    <row r="826">
      <c r="A826" s="4">
        <v>45534.32665582176</v>
      </c>
      <c r="B826" s="5" t="s">
        <v>34</v>
      </c>
      <c r="D826" s="5" t="s">
        <v>1206</v>
      </c>
      <c r="E826" s="5" t="s">
        <v>7636</v>
      </c>
      <c r="F826" s="5" t="s">
        <v>37</v>
      </c>
      <c r="G826" s="5" t="s">
        <v>7637</v>
      </c>
      <c r="H826" s="6" t="s">
        <v>7638</v>
      </c>
      <c r="I826" s="7" t="s">
        <v>7639</v>
      </c>
      <c r="J826" s="8" t="str">
        <f>HYPERLINK("https://drive.google.com/file/d/1YXKly1P-7ZY6bFj1uNDDO2Ux_UB0TNio/view?usp=drivesdk","HERI NOVIYANTO SERTIFIKAT BerAKHLAK")</f>
        <v>HERI NOVIYANTO SERTIFIKAT BerAKHLAK</v>
      </c>
      <c r="K826" s="5" t="s">
        <v>6258</v>
      </c>
      <c r="L826" s="5" t="s">
        <v>7640</v>
      </c>
    </row>
    <row r="827">
      <c r="A827" s="4">
        <v>45534.32668733796</v>
      </c>
      <c r="B827" s="5" t="s">
        <v>34</v>
      </c>
      <c r="D827" s="5" t="s">
        <v>4775</v>
      </c>
      <c r="E827" s="5" t="s">
        <v>7643</v>
      </c>
      <c r="F827" s="5" t="s">
        <v>108</v>
      </c>
      <c r="G827" s="5" t="s">
        <v>7644</v>
      </c>
      <c r="H827" s="6" t="s">
        <v>7645</v>
      </c>
      <c r="I827" s="7" t="s">
        <v>7646</v>
      </c>
      <c r="J827" s="8" t="str">
        <f>HYPERLINK("https://drive.google.com/file/d/1zRd-tnkhTyPbAq_53-V0sAf8NVzzE5-6/view?usp=drivesdk","ENDRI MUSTIKANINGSIH, S. Kom.  SERTIFIKAT BerAKHLAK")</f>
        <v>ENDRI MUSTIKANINGSIH, S. Kom.  SERTIFIKAT BerAKHLAK</v>
      </c>
      <c r="K827" s="5" t="s">
        <v>6258</v>
      </c>
      <c r="L827" s="5" t="s">
        <v>7647</v>
      </c>
    </row>
    <row r="828">
      <c r="A828" s="4">
        <v>45534.32671900463</v>
      </c>
      <c r="B828" s="5" t="s">
        <v>34</v>
      </c>
      <c r="D828" s="5" t="s">
        <v>1456</v>
      </c>
      <c r="E828" s="5" t="s">
        <v>7651</v>
      </c>
      <c r="F828" s="5" t="s">
        <v>375</v>
      </c>
      <c r="G828" s="5" t="s">
        <v>7652</v>
      </c>
      <c r="H828" s="6" t="s">
        <v>7653</v>
      </c>
      <c r="I828" s="7" t="s">
        <v>7654</v>
      </c>
      <c r="J828" s="8" t="str">
        <f>HYPERLINK("https://drive.google.com/file/d/13UjMj1wx9KKIdPLOrpgfjhjA6VgozROD/view?usp=drivesdk","ERWANTO, S.SOS, M.M. SERTIFIKAT BerAKHLAK")</f>
        <v>ERWANTO, S.SOS, M.M. SERTIFIKAT BerAKHLAK</v>
      </c>
      <c r="K828" s="5" t="s">
        <v>6258</v>
      </c>
      <c r="L828" s="5" t="s">
        <v>7655</v>
      </c>
    </row>
    <row r="829">
      <c r="A829" s="4">
        <v>45534.32672008102</v>
      </c>
      <c r="B829" s="5" t="s">
        <v>19</v>
      </c>
      <c r="C829" s="5" t="s">
        <v>442</v>
      </c>
      <c r="E829" s="5" t="s">
        <v>7658</v>
      </c>
      <c r="F829" s="5" t="s">
        <v>375</v>
      </c>
      <c r="G829" s="5" t="s">
        <v>7659</v>
      </c>
      <c r="H829" s="6" t="s">
        <v>7660</v>
      </c>
      <c r="I829" s="7" t="s">
        <v>7661</v>
      </c>
      <c r="J829" s="8" t="str">
        <f>HYPERLINK("https://drive.google.com/file/d/1HN7u00RKaiA1jywwtJJLZcJOW_SuDUvR/view?usp=drivesdk","ESTI KURNIASIH SERTIFIKAT BerAKHLAK")</f>
        <v>ESTI KURNIASIH SERTIFIKAT BerAKHLAK</v>
      </c>
      <c r="K829" s="5" t="s">
        <v>6258</v>
      </c>
      <c r="L829" s="5" t="s">
        <v>7662</v>
      </c>
    </row>
    <row r="830">
      <c r="A830" s="4">
        <v>45534.32674541666</v>
      </c>
      <c r="B830" s="5" t="s">
        <v>34</v>
      </c>
      <c r="D830" s="5" t="s">
        <v>2903</v>
      </c>
      <c r="E830" s="5" t="s">
        <v>7665</v>
      </c>
      <c r="F830" s="5" t="s">
        <v>108</v>
      </c>
      <c r="G830" s="5" t="s">
        <v>7666</v>
      </c>
      <c r="H830" s="6" t="s">
        <v>7667</v>
      </c>
      <c r="I830" s="7" t="s">
        <v>7668</v>
      </c>
      <c r="J830" s="8" t="str">
        <f>HYPERLINK("https://drive.google.com/file/d/1J05ROsZ3VBq8I_nQpvwihMTWKeZK6u59/view?usp=drivesdk","APT. SHAFIRA WIDYANTI.,S.FARM SERTIFIKAT BerAKHLAK")</f>
        <v>APT. SHAFIRA WIDYANTI.,S.FARM SERTIFIKAT BerAKHLAK</v>
      </c>
      <c r="K830" s="5" t="s">
        <v>6258</v>
      </c>
      <c r="L830" s="5" t="s">
        <v>7669</v>
      </c>
    </row>
    <row r="831">
      <c r="A831" s="4">
        <v>45534.3267984375</v>
      </c>
      <c r="B831" s="5" t="s">
        <v>34</v>
      </c>
      <c r="D831" s="5" t="s">
        <v>35</v>
      </c>
      <c r="E831" s="5" t="s">
        <v>7672</v>
      </c>
      <c r="F831" s="5" t="s">
        <v>375</v>
      </c>
      <c r="G831" s="5" t="s">
        <v>7673</v>
      </c>
      <c r="H831" s="6" t="s">
        <v>7674</v>
      </c>
      <c r="K831" s="5" t="s">
        <v>7675</v>
      </c>
    </row>
    <row r="832">
      <c r="A832" s="4">
        <v>45534.32681423611</v>
      </c>
      <c r="B832" s="5" t="s">
        <v>19</v>
      </c>
      <c r="C832" s="5" t="s">
        <v>292</v>
      </c>
      <c r="E832" s="5" t="s">
        <v>7678</v>
      </c>
      <c r="F832" s="5" t="s">
        <v>375</v>
      </c>
      <c r="G832" s="5" t="s">
        <v>7679</v>
      </c>
      <c r="H832" s="6" t="s">
        <v>7680</v>
      </c>
      <c r="I832" s="7" t="s">
        <v>7681</v>
      </c>
      <c r="J832" s="8" t="str">
        <f>HYPERLINK("https://drive.google.com/file/d/1r7KUpAdziAYXhLGD9uM7VmGCnwOv5yec/view?usp=drivesdk","ENI TRISNAWATI  S.E.M.Si SERTIFIKAT BerAKHLAK")</f>
        <v>ENI TRISNAWATI  S.E.M.Si SERTIFIKAT BerAKHLAK</v>
      </c>
      <c r="K832" s="5" t="s">
        <v>6258</v>
      </c>
      <c r="L832" s="5" t="s">
        <v>7682</v>
      </c>
    </row>
    <row r="833">
      <c r="A833" s="4">
        <v>45534.32682202546</v>
      </c>
      <c r="B833" s="5" t="s">
        <v>19</v>
      </c>
      <c r="C833" s="5" t="s">
        <v>5058</v>
      </c>
      <c r="E833" s="5" t="s">
        <v>7685</v>
      </c>
      <c r="F833" s="5" t="s">
        <v>524</v>
      </c>
      <c r="G833" s="5" t="s">
        <v>7686</v>
      </c>
      <c r="H833" s="6" t="s">
        <v>7687</v>
      </c>
      <c r="I833" s="7" t="s">
        <v>7688</v>
      </c>
      <c r="J833" s="8" t="str">
        <f>HYPERLINK("https://drive.google.com/file/d/1nMtkCnVgUDIDEiiFFxoyJogjUhO3LrNa/view?usp=drivesdk","DANIEL SUGIANTO, S.M. SERTIFIKAT BerAKHLAK")</f>
        <v>DANIEL SUGIANTO, S.M. SERTIFIKAT BerAKHLAK</v>
      </c>
      <c r="K833" s="5" t="s">
        <v>6258</v>
      </c>
      <c r="L833" s="5" t="s">
        <v>7689</v>
      </c>
    </row>
    <row r="834">
      <c r="A834" s="4">
        <v>45534.32685320602</v>
      </c>
      <c r="B834" s="5" t="s">
        <v>34</v>
      </c>
      <c r="D834" s="5" t="s">
        <v>996</v>
      </c>
      <c r="E834" s="5" t="s">
        <v>7693</v>
      </c>
      <c r="F834" s="5" t="s">
        <v>212</v>
      </c>
      <c r="G834" s="5" t="s">
        <v>7694</v>
      </c>
      <c r="H834" s="6" t="s">
        <v>7695</v>
      </c>
      <c r="I834" s="7" t="s">
        <v>7696</v>
      </c>
      <c r="J834" s="8" t="str">
        <f>HYPERLINK("https://drive.google.com/file/d/1nKWYV0Z5RnF0j9vArryJx2-D8rDl-V4b/view?usp=drivesdk","ELFRIDA ANISYAH SERTIFIKAT BerAKHLAK")</f>
        <v>ELFRIDA ANISYAH SERTIFIKAT BerAKHLAK</v>
      </c>
      <c r="K834" s="5" t="s">
        <v>6258</v>
      </c>
      <c r="L834" s="5" t="s">
        <v>7697</v>
      </c>
    </row>
    <row r="835">
      <c r="A835" s="4">
        <v>45534.32686769676</v>
      </c>
      <c r="B835" s="5" t="s">
        <v>34</v>
      </c>
      <c r="D835" s="5" t="s">
        <v>4775</v>
      </c>
      <c r="E835" s="5" t="s">
        <v>7700</v>
      </c>
      <c r="F835" s="5" t="s">
        <v>524</v>
      </c>
      <c r="G835" s="5" t="s">
        <v>7701</v>
      </c>
      <c r="H835" s="6" t="s">
        <v>7702</v>
      </c>
      <c r="I835" s="7" t="s">
        <v>7703</v>
      </c>
      <c r="J835" s="8" t="str">
        <f>HYPERLINK("https://drive.google.com/file/d/1TyeyeaBny5Cequ1I5XJs6rdjDIOw4sl7/view?usp=drivesdk","WINDY PERMATA SARI, S.Kep SERTIFIKAT BerAKHLAK")</f>
        <v>WINDY PERMATA SARI, S.Kep SERTIFIKAT BerAKHLAK</v>
      </c>
      <c r="K835" s="5" t="s">
        <v>6296</v>
      </c>
      <c r="L835" s="5" t="s">
        <v>7704</v>
      </c>
    </row>
    <row r="836">
      <c r="A836" s="4">
        <v>45534.326904375004</v>
      </c>
      <c r="B836" s="5" t="s">
        <v>34</v>
      </c>
      <c r="D836" s="5" t="s">
        <v>1206</v>
      </c>
      <c r="E836" s="5" t="s">
        <v>7707</v>
      </c>
      <c r="F836" s="5" t="s">
        <v>715</v>
      </c>
      <c r="G836" s="5" t="s">
        <v>7708</v>
      </c>
      <c r="H836" s="6" t="s">
        <v>7709</v>
      </c>
      <c r="I836" s="7" t="s">
        <v>7710</v>
      </c>
      <c r="J836" s="8" t="str">
        <f>HYPERLINK("https://drive.google.com/file/d/1ff2Tl8ycKhUIrH3XYLuJIZWhrMH7XBrd/view?usp=drivesdk","YUNI EKA SETYANINGSIH,S.E. SERTIFIKAT BerAKHLAK")</f>
        <v>YUNI EKA SETYANINGSIH,S.E. SERTIFIKAT BerAKHLAK</v>
      </c>
      <c r="K836" s="5" t="s">
        <v>6258</v>
      </c>
      <c r="L836" s="5" t="s">
        <v>7711</v>
      </c>
    </row>
    <row r="837">
      <c r="A837" s="4">
        <v>45534.32692225694</v>
      </c>
      <c r="B837" s="5" t="s">
        <v>19</v>
      </c>
      <c r="C837" s="5" t="s">
        <v>292</v>
      </c>
      <c r="E837" s="5" t="s">
        <v>7714</v>
      </c>
      <c r="F837" s="5" t="s">
        <v>72</v>
      </c>
      <c r="G837" s="5" t="s">
        <v>7715</v>
      </c>
      <c r="H837" s="6" t="s">
        <v>7716</v>
      </c>
      <c r="I837" s="7" t="s">
        <v>7717</v>
      </c>
      <c r="J837" s="8" t="str">
        <f>HYPERLINK("https://drive.google.com/file/d/1I6lVH4H3HI51n12YTI3u5tww9GaebxUb/view?usp=drivesdk","ENDANG SRI RAHAYU SERTIFIKAT BerAKHLAK")</f>
        <v>ENDANG SRI RAHAYU SERTIFIKAT BerAKHLAK</v>
      </c>
      <c r="K837" s="5" t="s">
        <v>6258</v>
      </c>
      <c r="L837" s="5" t="s">
        <v>7718</v>
      </c>
    </row>
    <row r="838">
      <c r="A838" s="4">
        <v>45534.32694407407</v>
      </c>
      <c r="B838" s="5" t="s">
        <v>19</v>
      </c>
      <c r="C838" s="5" t="s">
        <v>292</v>
      </c>
      <c r="E838" s="5" t="s">
        <v>7721</v>
      </c>
      <c r="F838" s="5" t="s">
        <v>212</v>
      </c>
      <c r="G838" s="5" t="s">
        <v>7722</v>
      </c>
      <c r="H838" s="6" t="s">
        <v>7723</v>
      </c>
      <c r="I838" s="7" t="s">
        <v>7724</v>
      </c>
      <c r="J838" s="8" t="str">
        <f>HYPERLINK("https://drive.google.com/file/d/11aEQZkv50KQsRqQ9qy3X1gt1bV_sBCS5/view?usp=drivesdk","MOCHAMAD SODIK SERTIFIKAT BerAKHLAK")</f>
        <v>MOCHAMAD SODIK SERTIFIKAT BerAKHLAK</v>
      </c>
      <c r="K838" s="5" t="s">
        <v>6296</v>
      </c>
      <c r="L838" s="5" t="s">
        <v>7725</v>
      </c>
    </row>
    <row r="839">
      <c r="A839" s="4">
        <v>45534.32696828704</v>
      </c>
      <c r="B839" s="5" t="s">
        <v>34</v>
      </c>
      <c r="D839" s="5" t="s">
        <v>1768</v>
      </c>
      <c r="E839" s="5" t="s">
        <v>7728</v>
      </c>
      <c r="F839" s="5" t="s">
        <v>120</v>
      </c>
      <c r="G839" s="5" t="s">
        <v>7729</v>
      </c>
      <c r="H839" s="6" t="s">
        <v>7730</v>
      </c>
      <c r="I839" s="7" t="s">
        <v>7731</v>
      </c>
      <c r="J839" s="8" t="str">
        <f>HYPERLINK("https://drive.google.com/file/d/1WqEW2ibiSOFiPNWGkQMwnlcL-_FQrVti/view?usp=drivesdk","DR. OKSEN PARIANGAN, MKKK SERTIFIKAT BerAKHLAK")</f>
        <v>DR. OKSEN PARIANGAN, MKKK SERTIFIKAT BerAKHLAK</v>
      </c>
      <c r="K839" s="5" t="s">
        <v>6296</v>
      </c>
      <c r="L839" s="5" t="s">
        <v>7732</v>
      </c>
    </row>
    <row r="840">
      <c r="A840" s="4">
        <v>45534.32697401621</v>
      </c>
      <c r="B840" s="5" t="s">
        <v>34</v>
      </c>
      <c r="D840" s="5" t="s">
        <v>35</v>
      </c>
      <c r="E840" s="5" t="s">
        <v>7736</v>
      </c>
      <c r="F840" s="5" t="s">
        <v>37</v>
      </c>
      <c r="G840" s="5" t="s">
        <v>7737</v>
      </c>
      <c r="H840" s="6" t="s">
        <v>7738</v>
      </c>
      <c r="I840" s="7" t="s">
        <v>7739</v>
      </c>
      <c r="J840" s="8" t="str">
        <f>HYPERLINK("https://drive.google.com/file/d/1CjAT6YKxng1tcx11DvcoE1D3Wbsxoijf/view?usp=drivesdk","SANDRA ANDRIANSYAH SERTIFIKAT BerAKHLAK")</f>
        <v>SANDRA ANDRIANSYAH SERTIFIKAT BerAKHLAK</v>
      </c>
      <c r="K840" s="5" t="s">
        <v>6296</v>
      </c>
      <c r="L840" s="5" t="s">
        <v>7740</v>
      </c>
    </row>
    <row r="841">
      <c r="A841" s="4">
        <v>45534.327011863425</v>
      </c>
      <c r="B841" s="5" t="s">
        <v>19</v>
      </c>
      <c r="C841" s="5" t="s">
        <v>315</v>
      </c>
      <c r="E841" s="5" t="s">
        <v>7743</v>
      </c>
      <c r="F841" s="5" t="s">
        <v>37</v>
      </c>
      <c r="G841" s="5" t="s">
        <v>7744</v>
      </c>
      <c r="H841" s="6" t="s">
        <v>7745</v>
      </c>
      <c r="I841" s="7" t="s">
        <v>7746</v>
      </c>
      <c r="J841" s="8" t="str">
        <f>HYPERLINK("https://drive.google.com/file/d/1bjVSwaIxk4YvWUq78di4lSnWrx4HnZfL/view?usp=drivesdk","NURAVIANI SRI RAHAYU, A.Md.Lib SERTIFIKAT BerAKHLAK")</f>
        <v>NURAVIANI SRI RAHAYU, A.Md.Lib SERTIFIKAT BerAKHLAK</v>
      </c>
      <c r="K841" s="5" t="s">
        <v>6296</v>
      </c>
      <c r="L841" s="5" t="s">
        <v>7747</v>
      </c>
    </row>
    <row r="842">
      <c r="A842" s="4">
        <v>45534.32702398148</v>
      </c>
      <c r="B842" s="5" t="s">
        <v>19</v>
      </c>
      <c r="C842" s="5" t="s">
        <v>292</v>
      </c>
      <c r="E842" s="5" t="s">
        <v>7750</v>
      </c>
      <c r="F842" s="5" t="s">
        <v>212</v>
      </c>
      <c r="G842" s="5" t="s">
        <v>7751</v>
      </c>
      <c r="H842" s="6" t="s">
        <v>7752</v>
      </c>
      <c r="I842" s="7" t="s">
        <v>7753</v>
      </c>
      <c r="J842" s="8" t="str">
        <f>HYPERLINK("https://drive.google.com/file/d/1xs--hUr7I2WdRBZbDhXz627-1NMgppaO/view?usp=drivesdk","HABIBI SONTASWARA, Amd.Kep SERTIFIKAT BerAKHLAK")</f>
        <v>HABIBI SONTASWARA, Amd.Kep SERTIFIKAT BerAKHLAK</v>
      </c>
      <c r="K842" s="5" t="s">
        <v>6296</v>
      </c>
      <c r="L842" s="5" t="s">
        <v>7754</v>
      </c>
    </row>
    <row r="843">
      <c r="A843" s="4">
        <v>45534.32702386574</v>
      </c>
      <c r="B843" s="5" t="s">
        <v>34</v>
      </c>
      <c r="D843" s="5" t="s">
        <v>1206</v>
      </c>
      <c r="E843" s="5" t="s">
        <v>7757</v>
      </c>
      <c r="F843" s="5" t="s">
        <v>37</v>
      </c>
      <c r="G843" s="5" t="s">
        <v>7758</v>
      </c>
      <c r="H843" s="6" t="s">
        <v>7759</v>
      </c>
      <c r="I843" s="7" t="s">
        <v>7760</v>
      </c>
      <c r="J843" s="8" t="str">
        <f>HYPERLINK("https://drive.google.com/file/d/1B0bA9n5xvdboHEPIjDln1RtGzqf_S60H/view?usp=drivesdk","YUSLIM SUGI IRWANTO SERTIFIKAT BerAKHLAK")</f>
        <v>YUSLIM SUGI IRWANTO SERTIFIKAT BerAKHLAK</v>
      </c>
      <c r="K843" s="5" t="s">
        <v>6296</v>
      </c>
      <c r="L843" s="5" t="s">
        <v>7761</v>
      </c>
    </row>
    <row r="844">
      <c r="A844" s="4">
        <v>45534.32703006944</v>
      </c>
      <c r="B844" s="5" t="s">
        <v>34</v>
      </c>
      <c r="D844" s="5" t="s">
        <v>4775</v>
      </c>
      <c r="E844" s="5" t="s">
        <v>7764</v>
      </c>
      <c r="F844" s="5" t="s">
        <v>212</v>
      </c>
      <c r="G844" s="5" t="s">
        <v>7765</v>
      </c>
      <c r="H844" s="6" t="s">
        <v>7766</v>
      </c>
      <c r="I844" s="7" t="s">
        <v>7767</v>
      </c>
      <c r="J844" s="8" t="str">
        <f>HYPERLINK("https://drive.google.com/file/d/1Nzycd1yIKmoMyXzq2HFYwzvUX9KI2o5V/view?usp=drivesdk","YENI KUSUMAWATI SERTIFIKAT BerAKHLAK")</f>
        <v>YENI KUSUMAWATI SERTIFIKAT BerAKHLAK</v>
      </c>
      <c r="K844" s="5" t="s">
        <v>6296</v>
      </c>
      <c r="L844" s="5" t="s">
        <v>7768</v>
      </c>
    </row>
    <row r="845">
      <c r="A845" s="4">
        <v>45534.3270396875</v>
      </c>
      <c r="B845" s="5" t="s">
        <v>34</v>
      </c>
      <c r="D845" s="5" t="s">
        <v>4775</v>
      </c>
      <c r="E845" s="5" t="s">
        <v>7772</v>
      </c>
      <c r="F845" s="5" t="s">
        <v>375</v>
      </c>
      <c r="G845" s="5" t="s">
        <v>7773</v>
      </c>
      <c r="H845" s="6" t="s">
        <v>7774</v>
      </c>
      <c r="I845" s="7" t="s">
        <v>7775</v>
      </c>
      <c r="J845" s="8" t="str">
        <f>HYPERLINK("https://drive.google.com/file/d/1wZ-yp5SzHYJuf1iCCflzdWPjq0osKEs_/view?usp=drivesdk","CIPTA KURNIAWAN S.KOM. M.M. SERTIFIKAT BerAKHLAK")</f>
        <v>CIPTA KURNIAWAN S.KOM. M.M. SERTIFIKAT BerAKHLAK</v>
      </c>
      <c r="K845" s="5" t="s">
        <v>6335</v>
      </c>
      <c r="L845" s="5" t="s">
        <v>7776</v>
      </c>
    </row>
    <row r="846">
      <c r="A846" s="4">
        <v>45534.32704082176</v>
      </c>
      <c r="B846" s="5" t="s">
        <v>34</v>
      </c>
      <c r="D846" s="5" t="s">
        <v>4775</v>
      </c>
      <c r="E846" s="5" t="s">
        <v>7779</v>
      </c>
      <c r="F846" s="5" t="s">
        <v>37</v>
      </c>
      <c r="G846" s="5" t="s">
        <v>7780</v>
      </c>
      <c r="H846" s="6" t="s">
        <v>7781</v>
      </c>
      <c r="I846" s="7" t="s">
        <v>7782</v>
      </c>
      <c r="J846" s="8" t="str">
        <f>HYPERLINK("https://drive.google.com/file/d/1mrGiymaVKlMseGpa4CFw_B9AJTjnt9HY/view?usp=drivesdk","ADE NURLAELA, SH SERTIFIKAT BerAKHLAK")</f>
        <v>ADE NURLAELA, SH SERTIFIKAT BerAKHLAK</v>
      </c>
      <c r="K846" s="5" t="s">
        <v>6335</v>
      </c>
      <c r="L846" s="5" t="s">
        <v>7783</v>
      </c>
    </row>
    <row r="847">
      <c r="A847" s="4">
        <v>45534.32706128473</v>
      </c>
      <c r="B847" s="5" t="s">
        <v>19</v>
      </c>
      <c r="C847" s="5" t="s">
        <v>20</v>
      </c>
      <c r="E847" s="5" t="s">
        <v>7786</v>
      </c>
      <c r="F847" s="5" t="s">
        <v>120</v>
      </c>
      <c r="G847" s="5" t="s">
        <v>7787</v>
      </c>
      <c r="H847" s="6" t="s">
        <v>7788</v>
      </c>
      <c r="I847" s="7" t="s">
        <v>7789</v>
      </c>
      <c r="J847" s="8" t="str">
        <f>HYPERLINK("https://drive.google.com/file/d/195S5yCgO3ET94USivVXmUjGYjk9yUkrC/view?usp=drivesdk","ETTY MUDHIHANDARI, S.Kom SERTIFIKAT BerAKHLAK")</f>
        <v>ETTY MUDHIHANDARI, S.Kom SERTIFIKAT BerAKHLAK</v>
      </c>
      <c r="K847" s="5" t="s">
        <v>6296</v>
      </c>
      <c r="L847" s="5" t="s">
        <v>7790</v>
      </c>
    </row>
    <row r="848">
      <c r="A848" s="4">
        <v>45534.32712001157</v>
      </c>
      <c r="B848" s="5" t="s">
        <v>34</v>
      </c>
      <c r="D848" s="5" t="s">
        <v>1206</v>
      </c>
      <c r="E848" s="5" t="s">
        <v>7793</v>
      </c>
      <c r="F848" s="5" t="s">
        <v>212</v>
      </c>
      <c r="G848" s="5" t="s">
        <v>7794</v>
      </c>
      <c r="H848" s="6" t="s">
        <v>7795</v>
      </c>
      <c r="I848" s="7" t="s">
        <v>7796</v>
      </c>
      <c r="J848" s="8" t="str">
        <f>HYPERLINK("https://drive.google.com/file/d/1CKp2y1xBIXAKprh6jllW6WPKbVzFVPYI/view?usp=drivesdk","PENGATUR TK I LASIMUN SERTIFIKAT BerAKHLAK")</f>
        <v>PENGATUR TK I LASIMUN SERTIFIKAT BerAKHLAK</v>
      </c>
      <c r="K848" s="5" t="s">
        <v>6296</v>
      </c>
      <c r="L848" s="5" t="s">
        <v>7797</v>
      </c>
    </row>
    <row r="849">
      <c r="A849" s="4">
        <v>45534.327136493055</v>
      </c>
      <c r="B849" s="5" t="s">
        <v>34</v>
      </c>
      <c r="D849" s="5" t="s">
        <v>1206</v>
      </c>
      <c r="E849" s="5" t="s">
        <v>7800</v>
      </c>
      <c r="F849" s="5" t="s">
        <v>108</v>
      </c>
      <c r="G849" s="5" t="s">
        <v>7801</v>
      </c>
      <c r="H849" s="6" t="s">
        <v>7802</v>
      </c>
      <c r="I849" s="7" t="s">
        <v>7803</v>
      </c>
      <c r="J849" s="8" t="str">
        <f>HYPERLINK("https://drive.google.com/file/d/1WhvU9e8kqpVjx163KdLl7COhefUpfBMv/view?usp=drivesdk","I GUSTI AYU SRI EKAWATI, S.E SERTIFIKAT BerAKHLAK")</f>
        <v>I GUSTI AYU SRI EKAWATI, S.E SERTIFIKAT BerAKHLAK</v>
      </c>
      <c r="K849" s="5" t="s">
        <v>6296</v>
      </c>
      <c r="L849" s="5" t="s">
        <v>7804</v>
      </c>
    </row>
    <row r="850">
      <c r="A850" s="4">
        <v>45534.32715457176</v>
      </c>
      <c r="B850" s="5" t="s">
        <v>19</v>
      </c>
      <c r="C850" s="5" t="s">
        <v>1606</v>
      </c>
      <c r="E850" s="5" t="s">
        <v>7808</v>
      </c>
      <c r="F850" s="5" t="s">
        <v>375</v>
      </c>
      <c r="G850" s="5" t="s">
        <v>7809</v>
      </c>
      <c r="H850" s="6" t="s">
        <v>7810</v>
      </c>
      <c r="I850" s="7" t="s">
        <v>7811</v>
      </c>
      <c r="J850" s="8" t="str">
        <f>HYPERLINK("https://drive.google.com/file/d/1czyAgPyRUzBkT4Lqj3WF8ocYNAnumADl/view?usp=drivesdk","MARETA SILVANY, S.E. SERTIFIKAT BerAKHLAK")</f>
        <v>MARETA SILVANY, S.E. SERTIFIKAT BerAKHLAK</v>
      </c>
      <c r="K850" s="5" t="s">
        <v>6296</v>
      </c>
      <c r="L850" s="5" t="s">
        <v>7812</v>
      </c>
    </row>
    <row r="851">
      <c r="A851" s="4">
        <v>45534.327174791666</v>
      </c>
      <c r="B851" s="5" t="s">
        <v>34</v>
      </c>
      <c r="D851" s="5" t="s">
        <v>522</v>
      </c>
      <c r="E851" s="5" t="s">
        <v>7815</v>
      </c>
      <c r="F851" s="5" t="s">
        <v>715</v>
      </c>
      <c r="G851" s="5" t="s">
        <v>7816</v>
      </c>
      <c r="H851" s="6" t="s">
        <v>7817</v>
      </c>
      <c r="I851" s="7" t="s">
        <v>7818</v>
      </c>
      <c r="J851" s="8" t="str">
        <f>HYPERLINK("https://drive.google.com/file/d/1uATrtvKiytBH4kJrp51Fw3qn43B6wqzh/view?usp=drivesdk","VIVI PURWANTI ARIYANI,SH. SERTIFIKAT BerAKHLAK")</f>
        <v>VIVI PURWANTI ARIYANI,SH. SERTIFIKAT BerAKHLAK</v>
      </c>
      <c r="K851" s="5" t="s">
        <v>6296</v>
      </c>
      <c r="L851" s="5" t="s">
        <v>7819</v>
      </c>
    </row>
    <row r="852">
      <c r="A852" s="4">
        <v>45534.32717609954</v>
      </c>
      <c r="B852" s="5" t="s">
        <v>34</v>
      </c>
      <c r="D852" s="5" t="s">
        <v>35</v>
      </c>
      <c r="E852" s="5" t="s">
        <v>7822</v>
      </c>
      <c r="F852" s="5" t="s">
        <v>108</v>
      </c>
      <c r="G852" s="5" t="s">
        <v>7823</v>
      </c>
      <c r="H852" s="6" t="s">
        <v>7824</v>
      </c>
      <c r="I852" s="7" t="s">
        <v>7825</v>
      </c>
      <c r="J852" s="8" t="str">
        <f>HYPERLINK("https://drive.google.com/file/d/1BceTp01LEnVxCHWrV6a06t2UHpEpEiS9/view?usp=drivesdk","RUDI HENDRA SETIAWAN SERTIFIKAT BerAKHLAK")</f>
        <v>RUDI HENDRA SETIAWAN SERTIFIKAT BerAKHLAK</v>
      </c>
      <c r="K852" s="5" t="s">
        <v>6296</v>
      </c>
      <c r="L852" s="5" t="s">
        <v>7826</v>
      </c>
    </row>
    <row r="853">
      <c r="A853" s="4">
        <v>45534.32718173611</v>
      </c>
      <c r="B853" s="5" t="s">
        <v>34</v>
      </c>
      <c r="D853" s="5" t="s">
        <v>522</v>
      </c>
      <c r="E853" s="5" t="s">
        <v>7829</v>
      </c>
      <c r="F853" s="5" t="s">
        <v>715</v>
      </c>
      <c r="G853" s="5" t="s">
        <v>7830</v>
      </c>
      <c r="H853" s="6" t="s">
        <v>7831</v>
      </c>
      <c r="I853" s="7" t="s">
        <v>7832</v>
      </c>
      <c r="J853" s="8" t="str">
        <f>HYPERLINK("https://drive.google.com/file/d/1Sj7k0coyUKZlFixzLmCAP6LgXwuZWejY/view?usp=drivesdk","LILI MARIANA, SH SERTIFIKAT BerAKHLAK")</f>
        <v>LILI MARIANA, SH SERTIFIKAT BerAKHLAK</v>
      </c>
      <c r="K853" s="5" t="s">
        <v>6296</v>
      </c>
      <c r="L853" s="5" t="s">
        <v>7833</v>
      </c>
    </row>
    <row r="854">
      <c r="A854" s="4">
        <v>45534.3271844213</v>
      </c>
      <c r="B854" s="5" t="s">
        <v>34</v>
      </c>
      <c r="D854" s="5" t="s">
        <v>280</v>
      </c>
      <c r="E854" s="5" t="s">
        <v>7836</v>
      </c>
      <c r="F854" s="5" t="s">
        <v>375</v>
      </c>
      <c r="G854" s="5" t="s">
        <v>7837</v>
      </c>
      <c r="H854" s="6" t="s">
        <v>7838</v>
      </c>
      <c r="I854" s="7" t="s">
        <v>7839</v>
      </c>
      <c r="J854" s="8" t="str">
        <f>HYPERLINK("https://drive.google.com/file/d/1vB57cHTihtqcfWhGfsUAE8xv4ADR4Xnn/view?usp=drivesdk","IMELDA TIURMAULINA SERTIFIKAT BerAKHLAK")</f>
        <v>IMELDA TIURMAULINA SERTIFIKAT BerAKHLAK</v>
      </c>
      <c r="K854" s="5" t="s">
        <v>6335</v>
      </c>
      <c r="L854" s="5" t="s">
        <v>7840</v>
      </c>
    </row>
    <row r="855">
      <c r="A855" s="4">
        <v>45534.327198240746</v>
      </c>
      <c r="B855" s="5" t="s">
        <v>19</v>
      </c>
      <c r="C855" s="5" t="s">
        <v>3301</v>
      </c>
      <c r="E855" s="5" t="s">
        <v>7843</v>
      </c>
      <c r="F855" s="5" t="s">
        <v>108</v>
      </c>
      <c r="G855" s="5" t="s">
        <v>7844</v>
      </c>
      <c r="H855" s="6" t="s">
        <v>7845</v>
      </c>
      <c r="I855" s="7" t="s">
        <v>7846</v>
      </c>
      <c r="J855" s="8" t="str">
        <f>HYPERLINK("https://drive.google.com/file/d/16p3NOhtonhqaN1NV8nvLEihjWWaQIyBx/view?usp=drivesdk","Ns. ADHELIA LESTARI, S.Kep SERTIFIKAT BerAKHLAK")</f>
        <v>Ns. ADHELIA LESTARI, S.Kep SERTIFIKAT BerAKHLAK</v>
      </c>
      <c r="K855" s="5" t="s">
        <v>6296</v>
      </c>
      <c r="L855" s="5" t="s">
        <v>7847</v>
      </c>
    </row>
    <row r="856">
      <c r="A856" s="4">
        <v>45534.32720636574</v>
      </c>
      <c r="B856" s="5" t="s">
        <v>34</v>
      </c>
      <c r="D856" s="5" t="s">
        <v>1206</v>
      </c>
      <c r="E856" s="5" t="s">
        <v>7851</v>
      </c>
      <c r="F856" s="5" t="s">
        <v>212</v>
      </c>
      <c r="G856" s="5" t="s">
        <v>7852</v>
      </c>
      <c r="H856" s="6" t="s">
        <v>7853</v>
      </c>
      <c r="I856" s="7" t="s">
        <v>7854</v>
      </c>
      <c r="J856" s="8" t="str">
        <f>HYPERLINK("https://drive.google.com/file/d/1AP6t8lb2x0-EqiWeIid4-fgqt4sparNi/view?usp=drivesdk","DIAN PUSPITA SARI SERTIFIKAT BerAKHLAK")</f>
        <v>DIAN PUSPITA SARI SERTIFIKAT BerAKHLAK</v>
      </c>
      <c r="K856" s="5" t="s">
        <v>6296</v>
      </c>
      <c r="L856" s="5" t="s">
        <v>7855</v>
      </c>
    </row>
    <row r="857">
      <c r="A857" s="4">
        <v>45534.3272102662</v>
      </c>
      <c r="B857" s="5" t="s">
        <v>34</v>
      </c>
      <c r="D857" s="5" t="s">
        <v>7858</v>
      </c>
      <c r="E857" s="5" t="s">
        <v>7859</v>
      </c>
      <c r="F857" s="5" t="s">
        <v>5585</v>
      </c>
      <c r="G857" s="5" t="s">
        <v>7860</v>
      </c>
      <c r="H857" s="6" t="s">
        <v>7861</v>
      </c>
      <c r="I857" s="7" t="s">
        <v>7862</v>
      </c>
      <c r="J857" s="8" t="str">
        <f>HYPERLINK("https://drive.google.com/file/d/1bUgy38ehoeS-FyDNRiJm3cnNxLf6l_u1/view?usp=drivesdk","EKA TRISNOWATI SERTIFIKAT BerAKHLAK")</f>
        <v>EKA TRISNOWATI SERTIFIKAT BerAKHLAK</v>
      </c>
      <c r="K857" s="5" t="s">
        <v>6296</v>
      </c>
      <c r="L857" s="5" t="s">
        <v>7863</v>
      </c>
    </row>
    <row r="858">
      <c r="A858" s="4">
        <v>45534.3272150463</v>
      </c>
      <c r="B858" s="5" t="s">
        <v>34</v>
      </c>
      <c r="D858" s="5" t="s">
        <v>4775</v>
      </c>
      <c r="E858" s="5" t="s">
        <v>7866</v>
      </c>
      <c r="F858" s="5" t="s">
        <v>120</v>
      </c>
      <c r="G858" s="5" t="s">
        <v>7867</v>
      </c>
      <c r="H858" s="6" t="s">
        <v>7868</v>
      </c>
      <c r="I858" s="7" t="s">
        <v>7869</v>
      </c>
      <c r="J858" s="8" t="str">
        <f>HYPERLINK("https://drive.google.com/file/d/1pj9Dp3XC9ILUY2u7wqm0T2mqjQ4x3JiP/view?usp=drivesdk","RETNO WULANDARI,S.H.,M.H. SERTIFIKAT BerAKHLAK")</f>
        <v>RETNO WULANDARI,S.H.,M.H. SERTIFIKAT BerAKHLAK</v>
      </c>
      <c r="K858" s="5" t="s">
        <v>6296</v>
      </c>
      <c r="L858" s="5" t="s">
        <v>7870</v>
      </c>
    </row>
    <row r="859">
      <c r="A859" s="4">
        <v>45534.32722261574</v>
      </c>
      <c r="B859" s="5" t="s">
        <v>34</v>
      </c>
      <c r="D859" s="5" t="s">
        <v>4775</v>
      </c>
      <c r="E859" s="5" t="s">
        <v>7873</v>
      </c>
      <c r="F859" s="5" t="s">
        <v>524</v>
      </c>
      <c r="G859" s="5" t="s">
        <v>7874</v>
      </c>
      <c r="H859" s="6" t="s">
        <v>7875</v>
      </c>
      <c r="I859" s="7" t="s">
        <v>7876</v>
      </c>
      <c r="J859" s="8" t="str">
        <f>HYPERLINK("https://drive.google.com/file/d/1it7d1Xn5ydZxzjW3HIK19IfxlA1s6FNw/view?usp=drivesdk","AGUS TRIONO BASUKI  SERTIFIKAT BerAKHLAK")</f>
        <v>AGUS TRIONO BASUKI  SERTIFIKAT BerAKHLAK</v>
      </c>
      <c r="K859" s="5" t="s">
        <v>6296</v>
      </c>
      <c r="L859" s="5" t="s">
        <v>7877</v>
      </c>
    </row>
    <row r="860">
      <c r="A860" s="4">
        <v>45534.32722710648</v>
      </c>
      <c r="B860" s="5" t="s">
        <v>34</v>
      </c>
      <c r="D860" s="5" t="s">
        <v>1768</v>
      </c>
      <c r="E860" s="5" t="s">
        <v>7880</v>
      </c>
      <c r="F860" s="5" t="s">
        <v>72</v>
      </c>
      <c r="G860" s="5" t="s">
        <v>7881</v>
      </c>
      <c r="H860" s="6" t="s">
        <v>7882</v>
      </c>
      <c r="I860" s="7" t="s">
        <v>7883</v>
      </c>
      <c r="J860" s="8" t="str">
        <f>HYPERLINK("https://drive.google.com/file/d/1YBCIkdUvhFw9LSaDLwJnxH8WN1fsJMzS/view?usp=drivesdk","RINA YULIANTI SERTIFIKAT BerAKHLAK")</f>
        <v>RINA YULIANTI SERTIFIKAT BerAKHLAK</v>
      </c>
      <c r="K860" s="5" t="s">
        <v>6296</v>
      </c>
      <c r="L860" s="5" t="s">
        <v>7884</v>
      </c>
    </row>
    <row r="861">
      <c r="A861" s="4">
        <v>45534.327233958335</v>
      </c>
      <c r="B861" s="5" t="s">
        <v>34</v>
      </c>
      <c r="D861" s="5" t="s">
        <v>4775</v>
      </c>
      <c r="E861" s="5" t="s">
        <v>7888</v>
      </c>
      <c r="F861" s="5" t="s">
        <v>37</v>
      </c>
      <c r="G861" s="5" t="s">
        <v>7889</v>
      </c>
      <c r="H861" s="6" t="s">
        <v>7890</v>
      </c>
      <c r="I861" s="7" t="s">
        <v>7891</v>
      </c>
      <c r="J861" s="8" t="str">
        <f>HYPERLINK("https://drive.google.com/file/d/1VV4E-tRxmX2fWdJACwx3jfMs44mUMWRY/view?usp=drivesdk","SUHARTI  YANMA SERTIFIKAT BerAKHLAK")</f>
        <v>SUHARTI  YANMA SERTIFIKAT BerAKHLAK</v>
      </c>
      <c r="K861" s="5" t="s">
        <v>6335</v>
      </c>
      <c r="L861" s="5" t="s">
        <v>7892</v>
      </c>
    </row>
    <row r="862">
      <c r="A862" s="4">
        <v>45534.32723622685</v>
      </c>
      <c r="B862" s="5" t="s">
        <v>19</v>
      </c>
      <c r="C862" s="5" t="s">
        <v>466</v>
      </c>
      <c r="E862" s="5" t="s">
        <v>7895</v>
      </c>
      <c r="F862" s="5" t="s">
        <v>37</v>
      </c>
      <c r="G862" s="5" t="s">
        <v>7896</v>
      </c>
      <c r="H862" s="6" t="s">
        <v>7897</v>
      </c>
      <c r="I862" s="7" t="s">
        <v>7898</v>
      </c>
      <c r="J862" s="8" t="str">
        <f>HYPERLINK("https://drive.google.com/file/d/1pP0EfFeRUmN1iIqiraTOTUzbb3Ty3YMk/view?usp=drivesdk","ANDRIAH WANTINI SERTIFIKAT BerAKHLAK")</f>
        <v>ANDRIAH WANTINI SERTIFIKAT BerAKHLAK</v>
      </c>
      <c r="K862" s="5" t="s">
        <v>6296</v>
      </c>
      <c r="L862" s="5" t="s">
        <v>7899</v>
      </c>
    </row>
    <row r="863">
      <c r="A863" s="4">
        <v>45534.327245127315</v>
      </c>
      <c r="B863" s="5" t="s">
        <v>34</v>
      </c>
      <c r="D863" s="5" t="s">
        <v>604</v>
      </c>
      <c r="E863" s="5" t="s">
        <v>7902</v>
      </c>
      <c r="F863" s="5" t="s">
        <v>72</v>
      </c>
      <c r="G863" s="5" t="s">
        <v>7903</v>
      </c>
      <c r="H863" s="6" t="s">
        <v>7904</v>
      </c>
      <c r="I863" s="7" t="s">
        <v>7905</v>
      </c>
      <c r="J863" s="8" t="str">
        <f>HYPERLINK("https://drive.google.com/file/d/1nlACUkfQ2qU4u3bAMGaohiLwwSnUn3Qv/view?usp=drivesdk","dr. ENJULDELA M. ROHROHMANA SERTIFIKAT BerAKHLAK")</f>
        <v>dr. ENJULDELA M. ROHROHMANA SERTIFIKAT BerAKHLAK</v>
      </c>
      <c r="K863" s="5" t="s">
        <v>6296</v>
      </c>
      <c r="L863" s="5" t="s">
        <v>7906</v>
      </c>
    </row>
    <row r="864">
      <c r="A864" s="4">
        <v>45534.327272372684</v>
      </c>
      <c r="B864" s="5" t="s">
        <v>34</v>
      </c>
      <c r="D864" s="5" t="s">
        <v>267</v>
      </c>
      <c r="E864" s="5" t="s">
        <v>7909</v>
      </c>
      <c r="F864" s="5" t="s">
        <v>212</v>
      </c>
      <c r="G864" s="5" t="s">
        <v>7910</v>
      </c>
      <c r="H864" s="6" t="s">
        <v>7911</v>
      </c>
      <c r="K864" s="5" t="s">
        <v>7912</v>
      </c>
    </row>
    <row r="865">
      <c r="A865" s="4">
        <v>45534.32727363426</v>
      </c>
      <c r="B865" s="5" t="s">
        <v>34</v>
      </c>
      <c r="D865" s="5" t="s">
        <v>996</v>
      </c>
      <c r="E865" s="5" t="s">
        <v>7915</v>
      </c>
      <c r="F865" s="5" t="s">
        <v>212</v>
      </c>
      <c r="G865" s="5" t="s">
        <v>7916</v>
      </c>
      <c r="H865" s="6" t="s">
        <v>7917</v>
      </c>
      <c r="K865" s="5" t="s">
        <v>7912</v>
      </c>
    </row>
    <row r="866">
      <c r="A866" s="4">
        <v>45534.32728258102</v>
      </c>
      <c r="B866" s="5" t="s">
        <v>34</v>
      </c>
      <c r="D866" s="5" t="s">
        <v>267</v>
      </c>
      <c r="E866" s="5" t="s">
        <v>7920</v>
      </c>
      <c r="F866" s="5" t="s">
        <v>524</v>
      </c>
      <c r="G866" s="5" t="s">
        <v>7921</v>
      </c>
      <c r="H866" s="6" t="s">
        <v>7922</v>
      </c>
      <c r="K866" s="5" t="s">
        <v>7912</v>
      </c>
    </row>
    <row r="867">
      <c r="A867" s="4">
        <v>45534.32728486111</v>
      </c>
      <c r="B867" s="5" t="s">
        <v>34</v>
      </c>
      <c r="D867" s="5" t="s">
        <v>1663</v>
      </c>
      <c r="E867" s="5" t="s">
        <v>7926</v>
      </c>
      <c r="F867" s="5" t="s">
        <v>212</v>
      </c>
      <c r="G867" s="5" t="s">
        <v>7927</v>
      </c>
      <c r="H867" s="6" t="s">
        <v>7928</v>
      </c>
      <c r="K867" s="5" t="s">
        <v>7912</v>
      </c>
    </row>
    <row r="868">
      <c r="A868" s="4">
        <v>45534.32729619213</v>
      </c>
      <c r="B868" s="5" t="s">
        <v>34</v>
      </c>
      <c r="D868" s="5" t="s">
        <v>1206</v>
      </c>
      <c r="E868" s="5" t="s">
        <v>7931</v>
      </c>
      <c r="F868" s="5" t="s">
        <v>212</v>
      </c>
      <c r="G868" s="5" t="s">
        <v>7932</v>
      </c>
      <c r="H868" s="6" t="s">
        <v>7933</v>
      </c>
      <c r="K868" s="5" t="s">
        <v>7912</v>
      </c>
    </row>
    <row r="869">
      <c r="A869" s="4">
        <v>45534.32734466435</v>
      </c>
      <c r="B869" s="5" t="s">
        <v>34</v>
      </c>
      <c r="D869" s="5" t="s">
        <v>1206</v>
      </c>
      <c r="E869" s="5" t="s">
        <v>7936</v>
      </c>
      <c r="F869" s="5" t="s">
        <v>212</v>
      </c>
      <c r="G869" s="5" t="s">
        <v>7937</v>
      </c>
      <c r="H869" s="6" t="s">
        <v>7938</v>
      </c>
      <c r="I869" s="7" t="s">
        <v>7939</v>
      </c>
      <c r="J869" s="8" t="str">
        <f>HYPERLINK("https://drive.google.com/file/d/1VbnjNeNXnrB0Kc5EkIYQN7JhwZPX1oG9/view?usp=drivesdk","SRI SOEMARTIYANI SERTIFIKAT BerAKHLAK")</f>
        <v>SRI SOEMARTIYANI SERTIFIKAT BerAKHLAK</v>
      </c>
      <c r="K869" s="5" t="s">
        <v>6296</v>
      </c>
      <c r="L869" s="5" t="s">
        <v>7940</v>
      </c>
    </row>
    <row r="870">
      <c r="A870" s="4">
        <v>45534.32737850695</v>
      </c>
      <c r="B870" s="5" t="s">
        <v>19</v>
      </c>
      <c r="C870" s="5" t="s">
        <v>3471</v>
      </c>
      <c r="E870" s="5" t="s">
        <v>7943</v>
      </c>
      <c r="F870" s="5" t="s">
        <v>108</v>
      </c>
      <c r="G870" s="5" t="s">
        <v>7944</v>
      </c>
      <c r="H870" s="6" t="s">
        <v>7945</v>
      </c>
      <c r="I870" s="7" t="s">
        <v>7946</v>
      </c>
      <c r="J870" s="8" t="str">
        <f>HYPERLINK("https://drive.google.com/file/d/1fAbeq8P2y-SN7P2NGLH4jPGf4Em8Z46W/view?usp=drivesdk","DYAH RARASATI, S.E. SERTIFIKAT BerAKHLAK")</f>
        <v>DYAH RARASATI, S.E. SERTIFIKAT BerAKHLAK</v>
      </c>
      <c r="K870" s="5" t="s">
        <v>6296</v>
      </c>
      <c r="L870" s="5" t="s">
        <v>7947</v>
      </c>
    </row>
    <row r="871">
      <c r="A871" s="4">
        <v>45534.3273949537</v>
      </c>
      <c r="B871" s="5" t="s">
        <v>19</v>
      </c>
      <c r="C871" s="5" t="s">
        <v>5058</v>
      </c>
      <c r="E871" s="5" t="s">
        <v>7950</v>
      </c>
      <c r="F871" s="5" t="s">
        <v>524</v>
      </c>
      <c r="G871" s="5" t="s">
        <v>7951</v>
      </c>
      <c r="H871" s="6" t="s">
        <v>7952</v>
      </c>
      <c r="I871" s="7" t="s">
        <v>7953</v>
      </c>
      <c r="J871" s="8" t="str">
        <f>HYPERLINK("https://drive.google.com/file/d/16EO8abaG_hfhfwnwhWitQ_jN8QMahgww/view?usp=drivesdk","TRI YULIARTI, S.E. SERTIFIKAT BerAKHLAK")</f>
        <v>TRI YULIARTI, S.E. SERTIFIKAT BerAKHLAK</v>
      </c>
      <c r="K871" s="5" t="s">
        <v>6296</v>
      </c>
      <c r="L871" s="5" t="s">
        <v>7954</v>
      </c>
    </row>
    <row r="872">
      <c r="A872" s="4">
        <v>45534.32740620371</v>
      </c>
      <c r="B872" s="5" t="s">
        <v>34</v>
      </c>
      <c r="D872" s="5" t="s">
        <v>35</v>
      </c>
      <c r="E872" s="5" t="s">
        <v>7957</v>
      </c>
      <c r="F872" s="5" t="s">
        <v>375</v>
      </c>
      <c r="G872" s="5" t="s">
        <v>7958</v>
      </c>
      <c r="H872" s="6" t="s">
        <v>7959</v>
      </c>
      <c r="I872" s="7" t="s">
        <v>7960</v>
      </c>
      <c r="J872" s="8" t="str">
        <f>HYPERLINK("https://drive.google.com/file/d/15vLsAwkijPWhX63YyjuK52QvXREDokYE/view?usp=drivesdk","USUP KENSUPIADI. SE SERTIFIKAT BerAKHLAK")</f>
        <v>USUP KENSUPIADI. SE SERTIFIKAT BerAKHLAK</v>
      </c>
      <c r="K872" s="5" t="s">
        <v>6296</v>
      </c>
      <c r="L872" s="5" t="s">
        <v>7961</v>
      </c>
    </row>
    <row r="873">
      <c r="A873" s="4">
        <v>45534.32742611111</v>
      </c>
      <c r="B873" s="5" t="s">
        <v>34</v>
      </c>
      <c r="D873" s="5" t="s">
        <v>4775</v>
      </c>
      <c r="E873" s="5" t="s">
        <v>7965</v>
      </c>
      <c r="F873" s="5" t="s">
        <v>375</v>
      </c>
      <c r="G873" s="5" t="s">
        <v>7966</v>
      </c>
      <c r="H873" s="6" t="s">
        <v>7967</v>
      </c>
      <c r="I873" s="7" t="s">
        <v>7968</v>
      </c>
      <c r="J873" s="8" t="str">
        <f>HYPERLINK("https://drive.google.com/file/d/1mQn9UkaOoYrcH_fejBmi9oTQMihcR65j/view?usp=drivesdk","DEDY KRISNAMURTI, S.E. SERTIFIKAT BerAKHLAK")</f>
        <v>DEDY KRISNAMURTI, S.E. SERTIFIKAT BerAKHLAK</v>
      </c>
      <c r="K873" s="5" t="s">
        <v>6296</v>
      </c>
      <c r="L873" s="5" t="s">
        <v>7969</v>
      </c>
    </row>
    <row r="874">
      <c r="A874" s="4">
        <v>45534.32744857639</v>
      </c>
      <c r="B874" s="5" t="s">
        <v>34</v>
      </c>
      <c r="D874" s="5" t="s">
        <v>580</v>
      </c>
      <c r="E874" s="5" t="s">
        <v>7972</v>
      </c>
      <c r="F874" s="5" t="s">
        <v>72</v>
      </c>
      <c r="G874" s="5" t="s">
        <v>7973</v>
      </c>
      <c r="H874" s="6" t="s">
        <v>7974</v>
      </c>
      <c r="K874" s="5" t="s">
        <v>7975</v>
      </c>
    </row>
    <row r="875">
      <c r="A875" s="4">
        <v>45534.327452199075</v>
      </c>
      <c r="B875" s="5" t="s">
        <v>34</v>
      </c>
      <c r="D875" s="5" t="s">
        <v>1206</v>
      </c>
      <c r="E875" s="5" t="s">
        <v>7978</v>
      </c>
      <c r="F875" s="5" t="s">
        <v>212</v>
      </c>
      <c r="G875" s="5" t="s">
        <v>7979</v>
      </c>
      <c r="H875" s="6" t="s">
        <v>7980</v>
      </c>
      <c r="K875" s="5" t="s">
        <v>7975</v>
      </c>
    </row>
    <row r="876">
      <c r="A876" s="4">
        <v>45534.32745453704</v>
      </c>
      <c r="B876" s="5" t="s">
        <v>34</v>
      </c>
      <c r="D876" s="5" t="s">
        <v>4775</v>
      </c>
      <c r="E876" s="5" t="s">
        <v>7983</v>
      </c>
      <c r="F876" s="5" t="s">
        <v>37</v>
      </c>
      <c r="G876" s="5" t="s">
        <v>7984</v>
      </c>
      <c r="H876" s="6" t="s">
        <v>7985</v>
      </c>
      <c r="K876" s="5" t="s">
        <v>7975</v>
      </c>
    </row>
    <row r="877">
      <c r="A877" s="4">
        <v>45534.32746020833</v>
      </c>
      <c r="B877" s="5" t="s">
        <v>34</v>
      </c>
      <c r="D877" s="5" t="s">
        <v>4775</v>
      </c>
      <c r="E877" s="5" t="s">
        <v>7988</v>
      </c>
      <c r="F877" s="5" t="s">
        <v>212</v>
      </c>
      <c r="G877" s="5" t="s">
        <v>7989</v>
      </c>
      <c r="H877" s="6" t="s">
        <v>7990</v>
      </c>
      <c r="K877" s="5" t="s">
        <v>7975</v>
      </c>
    </row>
    <row r="878">
      <c r="A878" s="4">
        <v>45534.32746136574</v>
      </c>
      <c r="B878" s="5" t="s">
        <v>34</v>
      </c>
      <c r="D878" s="5" t="s">
        <v>1768</v>
      </c>
      <c r="E878" s="5" t="s">
        <v>7994</v>
      </c>
      <c r="F878" s="5" t="s">
        <v>375</v>
      </c>
      <c r="G878" s="5" t="s">
        <v>7995</v>
      </c>
      <c r="H878" s="6" t="s">
        <v>7996</v>
      </c>
      <c r="K878" s="5" t="s">
        <v>7975</v>
      </c>
    </row>
    <row r="879">
      <c r="A879" s="4">
        <v>45534.327462500005</v>
      </c>
      <c r="B879" s="5" t="s">
        <v>34</v>
      </c>
      <c r="D879" s="5" t="s">
        <v>1206</v>
      </c>
      <c r="E879" s="5" t="s">
        <v>7999</v>
      </c>
      <c r="F879" s="5" t="s">
        <v>37</v>
      </c>
      <c r="G879" s="5" t="s">
        <v>8000</v>
      </c>
      <c r="H879" s="6" t="s">
        <v>8001</v>
      </c>
      <c r="K879" s="5" t="s">
        <v>7975</v>
      </c>
    </row>
    <row r="880">
      <c r="A880" s="4">
        <v>45534.3274809375</v>
      </c>
      <c r="B880" s="5" t="s">
        <v>34</v>
      </c>
      <c r="D880" s="5" t="s">
        <v>4775</v>
      </c>
      <c r="E880" s="5" t="s">
        <v>8004</v>
      </c>
      <c r="F880" s="5" t="s">
        <v>375</v>
      </c>
      <c r="G880" s="5" t="s">
        <v>8005</v>
      </c>
      <c r="H880" s="6" t="s">
        <v>8006</v>
      </c>
      <c r="K880" s="5" t="s">
        <v>7975</v>
      </c>
    </row>
    <row r="881">
      <c r="A881" s="4">
        <v>45534.32748493056</v>
      </c>
      <c r="B881" s="5" t="s">
        <v>34</v>
      </c>
      <c r="D881" s="5" t="s">
        <v>35</v>
      </c>
      <c r="E881" s="5" t="s">
        <v>8009</v>
      </c>
      <c r="F881" s="5" t="s">
        <v>72</v>
      </c>
      <c r="G881" s="5" t="s">
        <v>8010</v>
      </c>
      <c r="H881" s="6" t="s">
        <v>8011</v>
      </c>
      <c r="I881" s="7" t="s">
        <v>8012</v>
      </c>
      <c r="J881" s="8" t="str">
        <f>HYPERLINK("https://drive.google.com/file/d/1l1OhxdLF4twGmnOpMHucNEzRhjFm1oO6/view?usp=drivesdk","E. DIDIH SUDHIEANA, S.H., M.H. SERTIFIKAT BerAKHLAK")</f>
        <v>E. DIDIH SUDHIEANA, S.H., M.H. SERTIFIKAT BerAKHLAK</v>
      </c>
      <c r="K881" s="5" t="s">
        <v>6296</v>
      </c>
      <c r="L881" s="5" t="s">
        <v>8013</v>
      </c>
    </row>
    <row r="882">
      <c r="A882" s="4">
        <v>45534.327491759264</v>
      </c>
      <c r="B882" s="5" t="s">
        <v>34</v>
      </c>
      <c r="D882" s="5" t="s">
        <v>580</v>
      </c>
      <c r="E882" s="5" t="s">
        <v>8016</v>
      </c>
      <c r="F882" s="5" t="s">
        <v>524</v>
      </c>
      <c r="G882" s="5" t="s">
        <v>8017</v>
      </c>
      <c r="H882" s="6" t="s">
        <v>8018</v>
      </c>
      <c r="I882" s="7" t="s">
        <v>8019</v>
      </c>
      <c r="J882" s="8" t="str">
        <f>HYPERLINK("https://drive.google.com/file/d/1LrdO44zX4kX1og7hYJ118I6WcTbVFhJL/view?usp=drivesdk","NI LUH YENNI PUSPITASARI, Amd.Kep SERTIFIKAT BerAKHLAK")</f>
        <v>NI LUH YENNI PUSPITASARI, Amd.Kep SERTIFIKAT BerAKHLAK</v>
      </c>
      <c r="K882" s="5" t="s">
        <v>6335</v>
      </c>
      <c r="L882" s="5" t="s">
        <v>8020</v>
      </c>
    </row>
    <row r="883">
      <c r="A883" s="4">
        <v>45534.32749195602</v>
      </c>
      <c r="B883" s="5" t="s">
        <v>34</v>
      </c>
      <c r="D883" s="5" t="s">
        <v>1206</v>
      </c>
      <c r="E883" s="5" t="s">
        <v>8023</v>
      </c>
      <c r="F883" s="5" t="s">
        <v>108</v>
      </c>
      <c r="G883" s="5" t="s">
        <v>8024</v>
      </c>
      <c r="H883" s="6" t="s">
        <v>8025</v>
      </c>
      <c r="I883" s="7" t="s">
        <v>8026</v>
      </c>
      <c r="J883" s="8" t="str">
        <f>HYPERLINK("https://drive.google.com/file/d/1VbhpwNohD9c0UhPP94CFwHxI1J94cEQr/view?usp=drivesdk","HENRICK LEDY CHRISTIAN SERTIFIKAT BerAKHLAK")</f>
        <v>HENRICK LEDY CHRISTIAN SERTIFIKAT BerAKHLAK</v>
      </c>
      <c r="K883" s="5" t="s">
        <v>6335</v>
      </c>
      <c r="L883" s="5" t="s">
        <v>8027</v>
      </c>
    </row>
    <row r="884">
      <c r="A884" s="4">
        <v>45534.32749344908</v>
      </c>
      <c r="B884" s="5" t="s">
        <v>34</v>
      </c>
      <c r="D884" s="5" t="s">
        <v>522</v>
      </c>
      <c r="E884" s="5" t="s">
        <v>8031</v>
      </c>
      <c r="F884" s="5" t="s">
        <v>715</v>
      </c>
      <c r="G884" s="5" t="s">
        <v>8032</v>
      </c>
      <c r="H884" s="6" t="s">
        <v>8033</v>
      </c>
      <c r="I884" s="7" t="s">
        <v>8034</v>
      </c>
      <c r="J884" s="8" t="str">
        <f>HYPERLINK("https://drive.google.com/file/d/1JXP8J4_7cZJBB1XUW1PeS67l2WK0Y3YE/view?usp=drivesdk","MUSTIKE SUMARLIN, S Sos SERTIFIKAT BerAKHLAK")</f>
        <v>MUSTIKE SUMARLIN, S Sos SERTIFIKAT BerAKHLAK</v>
      </c>
      <c r="K884" s="5" t="s">
        <v>6335</v>
      </c>
      <c r="L884" s="5" t="s">
        <v>8035</v>
      </c>
    </row>
    <row r="885">
      <c r="A885" s="4">
        <v>45534.32750084491</v>
      </c>
      <c r="B885" s="5" t="s">
        <v>34</v>
      </c>
      <c r="D885" s="5" t="s">
        <v>4775</v>
      </c>
      <c r="E885" s="5" t="s">
        <v>8038</v>
      </c>
      <c r="F885" s="5" t="s">
        <v>375</v>
      </c>
      <c r="G885" s="5" t="s">
        <v>8039</v>
      </c>
      <c r="H885" s="6" t="s">
        <v>8040</v>
      </c>
      <c r="I885" s="7" t="s">
        <v>8041</v>
      </c>
      <c r="J885" s="8" t="str">
        <f>HYPERLINK("https://drive.google.com/file/d/1KxtabYVKqNVf6xgF76MHDa4zXq6BpJTq/view?usp=drivesdk","DINA MUNFA'ATIKA, S.E., M.M. SERTIFIKAT BerAKHLAK")</f>
        <v>DINA MUNFA'ATIKA, S.E., M.M. SERTIFIKAT BerAKHLAK</v>
      </c>
      <c r="K885" s="5" t="s">
        <v>6335</v>
      </c>
      <c r="L885" s="5" t="s">
        <v>8042</v>
      </c>
    </row>
    <row r="886">
      <c r="A886" s="4">
        <v>45534.32751480324</v>
      </c>
      <c r="B886" s="5" t="s">
        <v>34</v>
      </c>
      <c r="D886" s="5" t="s">
        <v>35</v>
      </c>
      <c r="E886" s="5" t="s">
        <v>8045</v>
      </c>
      <c r="F886" s="5" t="s">
        <v>375</v>
      </c>
      <c r="G886" s="5" t="s">
        <v>8046</v>
      </c>
      <c r="H886" s="6" t="s">
        <v>8047</v>
      </c>
      <c r="I886" s="7" t="s">
        <v>8048</v>
      </c>
      <c r="J886" s="8" t="str">
        <f>HYPERLINK("https://drive.google.com/file/d/1MJW8ctBxt4elnOOP_azOuotVIE2gjsAv/view?usp=drivesdk","NANI ERNANINGSIH SERTIFIKAT BerAKHLAK")</f>
        <v>NANI ERNANINGSIH SERTIFIKAT BerAKHLAK</v>
      </c>
      <c r="K886" s="5" t="s">
        <v>6296</v>
      </c>
      <c r="L886" s="5" t="s">
        <v>8049</v>
      </c>
    </row>
    <row r="887">
      <c r="A887" s="4">
        <v>45534.32751828704</v>
      </c>
      <c r="B887" s="5" t="s">
        <v>34</v>
      </c>
      <c r="D887" s="5" t="s">
        <v>4775</v>
      </c>
      <c r="E887" s="5" t="s">
        <v>8052</v>
      </c>
      <c r="F887" s="5" t="s">
        <v>120</v>
      </c>
      <c r="G887" s="5" t="s">
        <v>8053</v>
      </c>
      <c r="H887" s="6" t="s">
        <v>8054</v>
      </c>
      <c r="I887" s="7" t="s">
        <v>8055</v>
      </c>
      <c r="J887" s="8" t="str">
        <f>HYPERLINK("https://drive.google.com/file/d/1V7gIsaPaQkV_TW_4SE28nTYO6qTyUgZG/view?usp=drivesdk","DYAH LIS APRIYANI, S.T, M.M SERTIFIKAT BerAKHLAK")</f>
        <v>DYAH LIS APRIYANI, S.T, M.M SERTIFIKAT BerAKHLAK</v>
      </c>
      <c r="K887" s="5" t="s">
        <v>6335</v>
      </c>
      <c r="L887" s="5" t="s">
        <v>8056</v>
      </c>
    </row>
    <row r="888">
      <c r="A888" s="4">
        <v>45534.32752136574</v>
      </c>
      <c r="B888" s="5" t="s">
        <v>34</v>
      </c>
      <c r="D888" s="5" t="s">
        <v>35</v>
      </c>
      <c r="E888" s="5" t="s">
        <v>8059</v>
      </c>
      <c r="F888" s="5" t="s">
        <v>212</v>
      </c>
      <c r="G888" s="5" t="s">
        <v>8060</v>
      </c>
      <c r="H888" s="6" t="s">
        <v>8061</v>
      </c>
      <c r="I888" s="7" t="s">
        <v>8062</v>
      </c>
      <c r="J888" s="8" t="str">
        <f>HYPERLINK("https://drive.google.com/file/d/10a5-Zzd6v3x5XVr9_ngLuJZtPpfcos7r/view?usp=drivesdk","PENGATUR TK.I ETI SRIMUKTI SERTIFIKAT BerAKHLAK")</f>
        <v>PENGATUR TK.I ETI SRIMUKTI SERTIFIKAT BerAKHLAK</v>
      </c>
      <c r="K888" s="5" t="s">
        <v>6296</v>
      </c>
      <c r="L888" s="5" t="s">
        <v>8063</v>
      </c>
    </row>
    <row r="889">
      <c r="A889" s="4">
        <v>45534.327529918985</v>
      </c>
      <c r="B889" s="5" t="s">
        <v>34</v>
      </c>
      <c r="D889" s="5" t="s">
        <v>35</v>
      </c>
      <c r="E889" s="5" t="s">
        <v>7338</v>
      </c>
      <c r="F889" s="5" t="s">
        <v>108</v>
      </c>
      <c r="G889" s="5" t="s">
        <v>8066</v>
      </c>
      <c r="H889" s="6" t="s">
        <v>8067</v>
      </c>
      <c r="I889" s="7" t="s">
        <v>8068</v>
      </c>
      <c r="J889" s="8" t="str">
        <f>HYPERLINK("https://drive.google.com/file/d/1RuP8Tn-qDbmMN5-MED_cY2y30owK7f4L/view?usp=drivesdk","YUYUN YUNINGSIH, S.T. SERTIFIKAT BerAKHLAK")</f>
        <v>YUYUN YUNINGSIH, S.T. SERTIFIKAT BerAKHLAK</v>
      </c>
      <c r="K889" s="5" t="s">
        <v>6335</v>
      </c>
      <c r="L889" s="5" t="s">
        <v>8069</v>
      </c>
    </row>
    <row r="890">
      <c r="A890" s="4">
        <v>45534.32752961805</v>
      </c>
      <c r="B890" s="5" t="s">
        <v>34</v>
      </c>
      <c r="D890" s="5" t="s">
        <v>4775</v>
      </c>
      <c r="E890" s="5" t="s">
        <v>8073</v>
      </c>
      <c r="F890" s="5" t="s">
        <v>212</v>
      </c>
      <c r="G890" s="5" t="s">
        <v>8074</v>
      </c>
      <c r="H890" s="6" t="s">
        <v>8075</v>
      </c>
      <c r="I890" s="7" t="s">
        <v>8076</v>
      </c>
      <c r="J890" s="8" t="str">
        <f>HYPERLINK("https://drive.google.com/file/d/1-0Vo7uONIg5c6WFhp6QpQ-Tomhf2J0Em/view?usp=drivesdk","MUHAMMAD FAKHRORUZI,S.H SERTIFIKAT BerAKHLAK")</f>
        <v>MUHAMMAD FAKHRORUZI,S.H SERTIFIKAT BerAKHLAK</v>
      </c>
      <c r="K890" s="5" t="s">
        <v>6335</v>
      </c>
      <c r="L890" s="5" t="s">
        <v>8077</v>
      </c>
    </row>
    <row r="891">
      <c r="A891" s="4">
        <v>45534.327546747685</v>
      </c>
      <c r="B891" s="5" t="s">
        <v>19</v>
      </c>
      <c r="C891" s="5" t="s">
        <v>292</v>
      </c>
      <c r="E891" s="5" t="s">
        <v>8080</v>
      </c>
      <c r="F891" s="5" t="s">
        <v>108</v>
      </c>
      <c r="G891" s="5" t="s">
        <v>8081</v>
      </c>
      <c r="H891" s="6" t="s">
        <v>8082</v>
      </c>
      <c r="I891" s="7" t="s">
        <v>8083</v>
      </c>
      <c r="J891" s="8" t="str">
        <f>HYPERLINK("https://drive.google.com/file/d/1dPfBpTW2KjMmADBYIZuJncS7BdkOg0Ut/view?usp=drivesdk","MOHAMMAD MA'FUD FAUZI SERTIFIKAT BerAKHLAK")</f>
        <v>MOHAMMAD MA'FUD FAUZI SERTIFIKAT BerAKHLAK</v>
      </c>
      <c r="K891" s="5" t="s">
        <v>6335</v>
      </c>
      <c r="L891" s="5" t="s">
        <v>8084</v>
      </c>
    </row>
    <row r="892">
      <c r="A892" s="4">
        <v>45534.32755461805</v>
      </c>
      <c r="B892" s="5" t="s">
        <v>34</v>
      </c>
      <c r="D892" s="5" t="s">
        <v>580</v>
      </c>
      <c r="E892" s="5" t="s">
        <v>8087</v>
      </c>
      <c r="F892" s="5" t="s">
        <v>524</v>
      </c>
      <c r="G892" s="5" t="s">
        <v>8088</v>
      </c>
      <c r="H892" s="6" t="s">
        <v>8089</v>
      </c>
      <c r="I892" s="7" t="s">
        <v>8090</v>
      </c>
      <c r="J892" s="8" t="str">
        <f>HYPERLINK("https://drive.google.com/file/d/1iW69reiD83aHbKYiLP88riRu3eoOAuDb/view?usp=drivesdk","NI MADE PURNAMAWATI,Amd.Keb SERTIFIKAT BerAKHLAK")</f>
        <v>NI MADE PURNAMAWATI,Amd.Keb SERTIFIKAT BerAKHLAK</v>
      </c>
      <c r="K892" s="5" t="s">
        <v>6335</v>
      </c>
      <c r="L892" s="5" t="s">
        <v>8091</v>
      </c>
    </row>
    <row r="893">
      <c r="A893" s="4">
        <v>45534.32756065972</v>
      </c>
      <c r="B893" s="5" t="s">
        <v>34</v>
      </c>
      <c r="D893" s="5" t="s">
        <v>35</v>
      </c>
      <c r="E893" s="5" t="s">
        <v>8094</v>
      </c>
      <c r="F893" s="5" t="s">
        <v>524</v>
      </c>
      <c r="G893" s="5" t="s">
        <v>8095</v>
      </c>
      <c r="H893" s="6" t="s">
        <v>8096</v>
      </c>
      <c r="I893" s="7" t="s">
        <v>8097</v>
      </c>
      <c r="J893" s="8" t="str">
        <f>HYPERLINK("https://drive.google.com/file/d/1pQfehGRtFjrj8FxHVdMgNiVTx0FK8JnW/view?usp=drivesdk","GALIH PRIA ESA, A.Md.Kep SERTIFIKAT BerAKHLAK")</f>
        <v>GALIH PRIA ESA, A.Md.Kep SERTIFIKAT BerAKHLAK</v>
      </c>
      <c r="K893" s="5" t="s">
        <v>6335</v>
      </c>
      <c r="L893" s="5" t="s">
        <v>8098</v>
      </c>
    </row>
    <row r="894">
      <c r="A894" s="4">
        <v>45534.32757753472</v>
      </c>
      <c r="B894" s="5" t="s">
        <v>34</v>
      </c>
      <c r="D894" s="5" t="s">
        <v>1206</v>
      </c>
      <c r="E894" s="5" t="s">
        <v>8101</v>
      </c>
      <c r="F894" s="5" t="s">
        <v>212</v>
      </c>
      <c r="G894" s="5" t="s">
        <v>8102</v>
      </c>
      <c r="H894" s="6" t="s">
        <v>8103</v>
      </c>
      <c r="I894" s="7" t="s">
        <v>8104</v>
      </c>
      <c r="J894" s="8" t="str">
        <f>HYPERLINK("https://drive.google.com/file/d/1IkBpn6yws0zPhg-KmyMuFjWuUBGW-On7/view?usp=drivesdk","ERDIAN YUSWANTO SERTIFIKAT BerAKHLAK")</f>
        <v>ERDIAN YUSWANTO SERTIFIKAT BerAKHLAK</v>
      </c>
      <c r="K894" s="5" t="s">
        <v>6335</v>
      </c>
      <c r="L894" s="5" t="s">
        <v>8105</v>
      </c>
    </row>
    <row r="895">
      <c r="A895" s="4">
        <v>45534.32758304398</v>
      </c>
      <c r="B895" s="5" t="s">
        <v>34</v>
      </c>
      <c r="D895" s="5" t="s">
        <v>280</v>
      </c>
      <c r="E895" s="5" t="s">
        <v>8108</v>
      </c>
      <c r="F895" s="5" t="s">
        <v>108</v>
      </c>
      <c r="G895" s="5" t="s">
        <v>8109</v>
      </c>
      <c r="H895" s="6" t="s">
        <v>8110</v>
      </c>
      <c r="I895" s="7" t="s">
        <v>8111</v>
      </c>
      <c r="J895" s="8" t="str">
        <f>HYPERLINK("https://drive.google.com/file/d/1bTj38pl9uApiInr_UU2UPKIE8XdmwcKv/view?usp=drivesdk","ELVI SUSANTI S. Kep SERTIFIKAT BerAKHLAK")</f>
        <v>ELVI SUSANTI S. Kep SERTIFIKAT BerAKHLAK</v>
      </c>
      <c r="K895" s="5" t="s">
        <v>6335</v>
      </c>
      <c r="L895" s="5" t="s">
        <v>8112</v>
      </c>
    </row>
    <row r="896">
      <c r="A896" s="4">
        <v>45534.32758877314</v>
      </c>
      <c r="B896" s="5" t="s">
        <v>34</v>
      </c>
      <c r="D896" s="5" t="s">
        <v>4775</v>
      </c>
      <c r="E896" s="5" t="s">
        <v>8115</v>
      </c>
      <c r="F896" s="5" t="s">
        <v>37</v>
      </c>
      <c r="G896" s="5" t="s">
        <v>8116</v>
      </c>
      <c r="H896" s="6" t="s">
        <v>8117</v>
      </c>
      <c r="I896" s="7" t="s">
        <v>8118</v>
      </c>
      <c r="J896" s="8" t="str">
        <f>HYPERLINK("https://drive.google.com/file/d/10KZaFg8zdmR8lpXMLyfOdE9uaeLLYPG8/view?usp=drivesdk","HARI SETIAWAN  SERTIFIKAT BerAKHLAK")</f>
        <v>HARI SETIAWAN  SERTIFIKAT BerAKHLAK</v>
      </c>
      <c r="K896" s="5" t="s">
        <v>6335</v>
      </c>
      <c r="L896" s="5" t="s">
        <v>8119</v>
      </c>
    </row>
    <row r="897">
      <c r="A897" s="4">
        <v>45534.32759303241</v>
      </c>
      <c r="B897" s="5" t="s">
        <v>34</v>
      </c>
      <c r="D897" s="5" t="s">
        <v>35</v>
      </c>
      <c r="E897" s="5" t="s">
        <v>8123</v>
      </c>
      <c r="F897" s="5" t="s">
        <v>524</v>
      </c>
      <c r="G897" s="5" t="s">
        <v>8124</v>
      </c>
      <c r="H897" s="6" t="s">
        <v>8125</v>
      </c>
      <c r="I897" s="7" t="s">
        <v>8126</v>
      </c>
      <c r="J897" s="8" t="str">
        <f>HYPERLINK("https://drive.google.com/file/d/1KmnJKe_l4Tmd-4uOmY-8Yc-keStE2roH/view?usp=drivesdk","WANDI PRIATNA, A.Md. SERTIFIKAT BerAKHLAK")</f>
        <v>WANDI PRIATNA, A.Md. SERTIFIKAT BerAKHLAK</v>
      </c>
      <c r="K897" s="5" t="s">
        <v>6335</v>
      </c>
      <c r="L897" s="5" t="s">
        <v>8127</v>
      </c>
    </row>
    <row r="898">
      <c r="A898" s="4">
        <v>45534.32761403936</v>
      </c>
      <c r="B898" s="5" t="s">
        <v>34</v>
      </c>
      <c r="D898" s="5" t="s">
        <v>4775</v>
      </c>
      <c r="E898" s="5" t="s">
        <v>8130</v>
      </c>
      <c r="F898" s="5" t="s">
        <v>212</v>
      </c>
      <c r="G898" s="5" t="s">
        <v>8131</v>
      </c>
      <c r="H898" s="6" t="s">
        <v>8132</v>
      </c>
      <c r="I898" s="7" t="s">
        <v>8133</v>
      </c>
      <c r="J898" s="8" t="str">
        <f>HYPERLINK("https://drive.google.com/file/d/1yZltpQRvVGgoBepYbG-Z3CdYhJItx1NH/view?usp=drivesdk","RETNO KUSWIDANARTI SERTIFIKAT BerAKHLAK")</f>
        <v>RETNO KUSWIDANARTI SERTIFIKAT BerAKHLAK</v>
      </c>
      <c r="K898" s="5" t="s">
        <v>6335</v>
      </c>
      <c r="L898" s="5" t="s">
        <v>8134</v>
      </c>
    </row>
    <row r="899">
      <c r="A899" s="4">
        <v>45534.32762159722</v>
      </c>
      <c r="B899" s="5" t="s">
        <v>34</v>
      </c>
      <c r="D899" s="5" t="s">
        <v>4775</v>
      </c>
      <c r="E899" s="5" t="s">
        <v>8137</v>
      </c>
      <c r="F899" s="5" t="s">
        <v>72</v>
      </c>
      <c r="G899" s="5" t="s">
        <v>8138</v>
      </c>
      <c r="H899" s="6" t="s">
        <v>8139</v>
      </c>
      <c r="I899" s="7" t="s">
        <v>8140</v>
      </c>
      <c r="J899" s="8" t="str">
        <f>HYPERLINK("https://drive.google.com/file/d/1QXnWwqrUphDV1qEgHWlfZbHJAQtep9jv/view?usp=drivesdk","YUNI WIDIYANTI SERTIFIKAT BerAKHLAK")</f>
        <v>YUNI WIDIYANTI SERTIFIKAT BerAKHLAK</v>
      </c>
      <c r="K899" s="5" t="s">
        <v>6335</v>
      </c>
      <c r="L899" s="5" t="s">
        <v>8141</v>
      </c>
    </row>
    <row r="900">
      <c r="A900" s="4">
        <v>45534.32763136574</v>
      </c>
      <c r="B900" s="5" t="s">
        <v>34</v>
      </c>
      <c r="D900" s="5" t="s">
        <v>604</v>
      </c>
      <c r="E900" s="5" t="s">
        <v>8144</v>
      </c>
      <c r="F900" s="5" t="s">
        <v>108</v>
      </c>
      <c r="G900" s="5" t="s">
        <v>8145</v>
      </c>
      <c r="H900" s="6" t="s">
        <v>8146</v>
      </c>
      <c r="I900" s="7" t="s">
        <v>8147</v>
      </c>
      <c r="J900" s="8" t="str">
        <f>HYPERLINK("https://drive.google.com/file/d/1QRcz0J7lRcGvDpxA775xvxd5PtlEbp8q/view?usp=drivesdk","BONITA SYAFITRI, S.Psi SERTIFIKAT BerAKHLAK")</f>
        <v>BONITA SYAFITRI, S.Psi SERTIFIKAT BerAKHLAK</v>
      </c>
      <c r="K900" s="5" t="s">
        <v>6335</v>
      </c>
      <c r="L900" s="5" t="s">
        <v>8148</v>
      </c>
    </row>
    <row r="901">
      <c r="A901" s="4">
        <v>45534.3276625463</v>
      </c>
      <c r="B901" s="5" t="s">
        <v>19</v>
      </c>
      <c r="C901" s="5" t="s">
        <v>466</v>
      </c>
      <c r="E901" s="5" t="s">
        <v>8151</v>
      </c>
      <c r="F901" s="5" t="s">
        <v>108</v>
      </c>
      <c r="G901" s="5" t="s">
        <v>8152</v>
      </c>
      <c r="H901" s="6" t="s">
        <v>8153</v>
      </c>
      <c r="I901" s="7" t="s">
        <v>8154</v>
      </c>
      <c r="J901" s="8" t="str">
        <f>HYPERLINK("https://drive.google.com/file/d/1qrfP5r2n4xE-N2_ZDHFVN519Sd0mmzaw/view?usp=drivesdk","LOISA FARIDA HERNAWATY GULTOM, S.KOM, M.M. SERTIFIKAT BerAKHLAK")</f>
        <v>LOISA FARIDA HERNAWATY GULTOM, S.KOM, M.M. SERTIFIKAT BerAKHLAK</v>
      </c>
      <c r="K901" s="5" t="s">
        <v>6373</v>
      </c>
      <c r="L901" s="5" t="s">
        <v>8155</v>
      </c>
    </row>
    <row r="902">
      <c r="A902" s="4">
        <v>45534.32767362268</v>
      </c>
      <c r="B902" s="5" t="s">
        <v>34</v>
      </c>
      <c r="D902" s="5" t="s">
        <v>1692</v>
      </c>
      <c r="E902" s="5" t="s">
        <v>8159</v>
      </c>
      <c r="F902" s="5" t="s">
        <v>22</v>
      </c>
      <c r="G902" s="5" t="s">
        <v>8160</v>
      </c>
      <c r="H902" s="6" t="s">
        <v>8161</v>
      </c>
      <c r="I902" s="7" t="s">
        <v>8162</v>
      </c>
      <c r="J902" s="8" t="str">
        <f>HYPERLINK("https://drive.google.com/file/d/1HXFFBv_T5_TavMjrnrKq8SrZsPQyZj3S/view?usp=drivesdk","dr. VICTORINA TABITHA LARWUY SERTIFIKAT BerAKHLAK")</f>
        <v>dr. VICTORINA TABITHA LARWUY SERTIFIKAT BerAKHLAK</v>
      </c>
      <c r="K902" s="5" t="s">
        <v>6335</v>
      </c>
      <c r="L902" s="5" t="s">
        <v>8163</v>
      </c>
    </row>
    <row r="903">
      <c r="A903" s="4">
        <v>45534.32767770834</v>
      </c>
      <c r="B903" s="5" t="s">
        <v>34</v>
      </c>
      <c r="D903" s="5" t="s">
        <v>280</v>
      </c>
      <c r="E903" s="5" t="s">
        <v>8166</v>
      </c>
      <c r="F903" s="5" t="s">
        <v>37</v>
      </c>
      <c r="G903" s="5" t="s">
        <v>8167</v>
      </c>
      <c r="H903" s="6" t="s">
        <v>8168</v>
      </c>
      <c r="I903" s="7" t="s">
        <v>8169</v>
      </c>
      <c r="J903" s="8" t="str">
        <f>HYPERLINK("https://drive.google.com/file/d/1vXoQUl_ghurKDk691l1Xr8uKjb58K8DY/view?usp=drivesdk","RIKA RAHMA SARI SERTIFIKAT BerAKHLAK")</f>
        <v>RIKA RAHMA SARI SERTIFIKAT BerAKHLAK</v>
      </c>
      <c r="K903" s="5" t="s">
        <v>6335</v>
      </c>
      <c r="L903" s="5" t="s">
        <v>8170</v>
      </c>
    </row>
    <row r="904">
      <c r="A904" s="4">
        <v>45534.32770332176</v>
      </c>
      <c r="B904" s="5" t="s">
        <v>34</v>
      </c>
      <c r="D904" s="5" t="s">
        <v>1206</v>
      </c>
      <c r="E904" s="5" t="s">
        <v>8173</v>
      </c>
      <c r="F904" s="5" t="s">
        <v>37</v>
      </c>
      <c r="G904" s="5" t="s">
        <v>8174</v>
      </c>
      <c r="H904" s="6" t="s">
        <v>8175</v>
      </c>
      <c r="I904" s="7" t="s">
        <v>8176</v>
      </c>
      <c r="J904" s="8" t="str">
        <f>HYPERLINK("https://drive.google.com/file/d/14CSfhxEgbAGK7Q3S8FeXOYoVrBUK0gpW/view?usp=drivesdk","ANDY MOCHAMAD KURNIA SERTIFIKAT BerAKHLAK")</f>
        <v>ANDY MOCHAMAD KURNIA SERTIFIKAT BerAKHLAK</v>
      </c>
      <c r="K904" s="5" t="s">
        <v>6335</v>
      </c>
      <c r="L904" s="5" t="s">
        <v>8177</v>
      </c>
    </row>
    <row r="905">
      <c r="A905" s="4">
        <v>45534.32771077546</v>
      </c>
      <c r="B905" s="5" t="s">
        <v>34</v>
      </c>
      <c r="D905" s="5" t="s">
        <v>1206</v>
      </c>
      <c r="E905" s="5" t="s">
        <v>8180</v>
      </c>
      <c r="F905" s="5" t="s">
        <v>120</v>
      </c>
      <c r="G905" s="5" t="s">
        <v>8181</v>
      </c>
      <c r="H905" s="6" t="s">
        <v>8182</v>
      </c>
      <c r="I905" s="7" t="s">
        <v>8183</v>
      </c>
      <c r="J905" s="8" t="str">
        <f>HYPERLINK("https://drive.google.com/file/d/1UvlQsu3TpclGnG2_J4lLUYJKPxl6hu32/view?usp=drivesdk","UMMI MAISAROH SERTIFIKAT BerAKHLAK")</f>
        <v>UMMI MAISAROH SERTIFIKAT BerAKHLAK</v>
      </c>
      <c r="K905" s="5" t="s">
        <v>6335</v>
      </c>
      <c r="L905" s="5" t="s">
        <v>8184</v>
      </c>
    </row>
    <row r="906">
      <c r="A906" s="4">
        <v>45534.32772197916</v>
      </c>
      <c r="B906" s="5" t="s">
        <v>34</v>
      </c>
      <c r="D906" s="5" t="s">
        <v>4775</v>
      </c>
      <c r="E906" s="5" t="s">
        <v>8187</v>
      </c>
      <c r="F906" s="5" t="s">
        <v>108</v>
      </c>
      <c r="G906" s="5" t="s">
        <v>8188</v>
      </c>
      <c r="H906" s="6" t="s">
        <v>8189</v>
      </c>
      <c r="I906" s="7" t="s">
        <v>8190</v>
      </c>
      <c r="J906" s="8" t="str">
        <f>HYPERLINK("https://drive.google.com/file/d/1f1wCBTvP7Ifvn3C9D-VCiadiwoHWTSny/view?usp=drivesdk","PUSPITA SARI, S.H. SERTIFIKAT BerAKHLAK")</f>
        <v>PUSPITA SARI, S.H. SERTIFIKAT BerAKHLAK</v>
      </c>
      <c r="K906" s="5" t="s">
        <v>6335</v>
      </c>
      <c r="L906" s="5" t="s">
        <v>8191</v>
      </c>
    </row>
    <row r="907">
      <c r="A907" s="4">
        <v>45534.327726550924</v>
      </c>
      <c r="B907" s="5" t="s">
        <v>34</v>
      </c>
      <c r="D907" s="5" t="s">
        <v>35</v>
      </c>
      <c r="E907" s="5" t="s">
        <v>8195</v>
      </c>
      <c r="F907" s="5" t="s">
        <v>37</v>
      </c>
      <c r="G907" s="5" t="s">
        <v>8196</v>
      </c>
      <c r="H907" s="6" t="s">
        <v>8197</v>
      </c>
      <c r="I907" s="7" t="s">
        <v>8198</v>
      </c>
      <c r="J907" s="8" t="str">
        <f>HYPERLINK("https://drive.google.com/file/d/1U9VHuEpU-yeIHsoqA-CWyZaAw3LnWatX/view?usp=drivesdk","MOHAMMAD RAMDHAN SERTIFIKAT BerAKHLAK")</f>
        <v>MOHAMMAD RAMDHAN SERTIFIKAT BerAKHLAK</v>
      </c>
      <c r="K907" s="5" t="s">
        <v>6335</v>
      </c>
      <c r="L907" s="5" t="s">
        <v>8199</v>
      </c>
    </row>
    <row r="908">
      <c r="A908" s="4">
        <v>45534.32774400463</v>
      </c>
      <c r="B908" s="5" t="s">
        <v>34</v>
      </c>
      <c r="D908" s="5" t="s">
        <v>1206</v>
      </c>
      <c r="E908" s="5" t="s">
        <v>8202</v>
      </c>
      <c r="F908" s="5" t="s">
        <v>37</v>
      </c>
      <c r="G908" s="5" t="s">
        <v>8203</v>
      </c>
      <c r="H908" s="6" t="s">
        <v>8204</v>
      </c>
      <c r="I908" s="7" t="s">
        <v>8205</v>
      </c>
      <c r="J908" s="8" t="str">
        <f>HYPERLINK("https://drive.google.com/file/d/1mvBKJOnNkjRGIOweynJp3Vtj-ZuVbt8O/view?usp=drivesdk","DEWI INDAH MAYASARI, S.H. SERTIFIKAT BerAKHLAK")</f>
        <v>DEWI INDAH MAYASARI, S.H. SERTIFIKAT BerAKHLAK</v>
      </c>
      <c r="K908" s="5" t="s">
        <v>6335</v>
      </c>
      <c r="L908" s="5" t="s">
        <v>8206</v>
      </c>
    </row>
    <row r="909">
      <c r="A909" s="4">
        <v>45534.32774579861</v>
      </c>
      <c r="B909" s="5" t="s">
        <v>34</v>
      </c>
      <c r="D909" s="5" t="s">
        <v>580</v>
      </c>
      <c r="E909" s="5" t="s">
        <v>8209</v>
      </c>
      <c r="F909" s="5" t="s">
        <v>212</v>
      </c>
      <c r="G909" s="5" t="s">
        <v>8210</v>
      </c>
      <c r="H909" s="6" t="s">
        <v>8211</v>
      </c>
      <c r="I909" s="7" t="s">
        <v>8212</v>
      </c>
      <c r="J909" s="8" t="str">
        <f>HYPERLINK("https://drive.google.com/file/d/1tPvjTNTfbNz6Ikk0q2yag4EB7esdjxfb/view?usp=drivesdk","ANAK AGUNG ISTRI ANOM SUTARMINI  SERTIFIKAT BerAKHLAK")</f>
        <v>ANAK AGUNG ISTRI ANOM SUTARMINI  SERTIFIKAT BerAKHLAK</v>
      </c>
      <c r="K909" s="5" t="s">
        <v>6335</v>
      </c>
      <c r="L909" s="5" t="s">
        <v>8213</v>
      </c>
    </row>
    <row r="910">
      <c r="A910" s="4">
        <v>45534.32774922454</v>
      </c>
      <c r="B910" s="5" t="s">
        <v>34</v>
      </c>
      <c r="D910" s="5" t="s">
        <v>1206</v>
      </c>
      <c r="E910" s="5" t="s">
        <v>8216</v>
      </c>
      <c r="F910" s="5" t="s">
        <v>212</v>
      </c>
      <c r="G910" s="5" t="s">
        <v>8217</v>
      </c>
      <c r="H910" s="6" t="s">
        <v>8218</v>
      </c>
      <c r="I910" s="7" t="s">
        <v>8219</v>
      </c>
      <c r="J910" s="8" t="str">
        <f>HYPERLINK("https://drive.google.com/file/d/13LaS53eBAYKNuArTFyp-qLBncql3LmnL/view?usp=drivesdk","WIWOEK INDRA ANDRIANI SERTIFIKAT BerAKHLAK")</f>
        <v>WIWOEK INDRA ANDRIANI SERTIFIKAT BerAKHLAK</v>
      </c>
      <c r="K910" s="5" t="s">
        <v>6335</v>
      </c>
      <c r="L910" s="5" t="s">
        <v>8220</v>
      </c>
    </row>
    <row r="911">
      <c r="A911" s="4">
        <v>45534.32775914352</v>
      </c>
      <c r="B911" s="5" t="s">
        <v>34</v>
      </c>
      <c r="D911" s="5" t="s">
        <v>1206</v>
      </c>
      <c r="E911" s="5" t="s">
        <v>8223</v>
      </c>
      <c r="F911" s="5" t="s">
        <v>212</v>
      </c>
      <c r="G911" s="5" t="s">
        <v>8224</v>
      </c>
      <c r="H911" s="6" t="s">
        <v>8225</v>
      </c>
      <c r="K911" s="5" t="s">
        <v>8226</v>
      </c>
    </row>
    <row r="912">
      <c r="A912" s="4">
        <v>45534.327760960645</v>
      </c>
      <c r="B912" s="5" t="s">
        <v>34</v>
      </c>
      <c r="D912" s="5" t="s">
        <v>4775</v>
      </c>
      <c r="E912" s="5" t="s">
        <v>8230</v>
      </c>
      <c r="F912" s="5" t="s">
        <v>72</v>
      </c>
      <c r="G912" s="5" t="s">
        <v>8231</v>
      </c>
      <c r="H912" s="6" t="s">
        <v>8232</v>
      </c>
      <c r="K912" s="5" t="s">
        <v>8226</v>
      </c>
    </row>
    <row r="913">
      <c r="A913" s="4">
        <v>45534.32777422454</v>
      </c>
      <c r="B913" s="5" t="s">
        <v>34</v>
      </c>
      <c r="D913" s="5" t="s">
        <v>1206</v>
      </c>
      <c r="E913" s="5" t="s">
        <v>8235</v>
      </c>
      <c r="F913" s="5" t="s">
        <v>199</v>
      </c>
      <c r="G913" s="5" t="s">
        <v>8236</v>
      </c>
      <c r="H913" s="6" t="s">
        <v>8237</v>
      </c>
      <c r="I913" s="7" t="s">
        <v>8238</v>
      </c>
      <c r="J913" s="8" t="str">
        <f>HYPERLINK("https://drive.google.com/file/d/1C3lRVs_Zzqf05VPT1PyMobPSPBoaM1tv/view?usp=drivesdk","SEPTIMIA AMBARWATI, SH  SERTIFIKAT BerAKHLAK")</f>
        <v>SEPTIMIA AMBARWATI, SH  SERTIFIKAT BerAKHLAK</v>
      </c>
      <c r="K913" s="5" t="s">
        <v>6335</v>
      </c>
      <c r="L913" s="5" t="s">
        <v>8239</v>
      </c>
    </row>
    <row r="914">
      <c r="A914" s="4">
        <v>45534.32778497685</v>
      </c>
      <c r="B914" s="5" t="s">
        <v>34</v>
      </c>
      <c r="D914" s="5" t="s">
        <v>4775</v>
      </c>
      <c r="E914" s="5" t="s">
        <v>8242</v>
      </c>
      <c r="F914" s="5" t="s">
        <v>212</v>
      </c>
      <c r="G914" s="5" t="s">
        <v>8243</v>
      </c>
      <c r="H914" s="6" t="s">
        <v>8244</v>
      </c>
      <c r="I914" s="7" t="s">
        <v>8245</v>
      </c>
      <c r="J914" s="8" t="str">
        <f>HYPERLINK("https://drive.google.com/file/d/1ToE2PqQedJeC_697uTaN1nEHY_HBFo3L/view?usp=drivesdk","RETNO AMBARSARI SERTIFIKAT BerAKHLAK")</f>
        <v>RETNO AMBARSARI SERTIFIKAT BerAKHLAK</v>
      </c>
      <c r="K914" s="5" t="s">
        <v>6335</v>
      </c>
      <c r="L914" s="5" t="s">
        <v>8246</v>
      </c>
    </row>
    <row r="915">
      <c r="A915" s="4">
        <v>45534.32782680556</v>
      </c>
      <c r="B915" s="5" t="s">
        <v>34</v>
      </c>
      <c r="D915" s="5" t="s">
        <v>2903</v>
      </c>
      <c r="E915" s="5" t="s">
        <v>8249</v>
      </c>
      <c r="F915" s="5" t="s">
        <v>72</v>
      </c>
      <c r="G915" s="5" t="s">
        <v>8250</v>
      </c>
      <c r="H915" s="6" t="s">
        <v>8251</v>
      </c>
      <c r="I915" s="7" t="s">
        <v>8252</v>
      </c>
      <c r="J915" s="8" t="str">
        <f>HYPERLINK("https://drive.google.com/file/d/1iktXEPhM0bhnl1DYSOZio1wBnVHUCUe6/view?usp=drivesdk","HUSNI THAMRIN,S,SOS SERTIFIKAT BerAKHLAK")</f>
        <v>HUSNI THAMRIN,S,SOS SERTIFIKAT BerAKHLAK</v>
      </c>
      <c r="K915" s="5" t="s">
        <v>6335</v>
      </c>
      <c r="L915" s="5" t="s">
        <v>8253</v>
      </c>
    </row>
    <row r="916">
      <c r="A916" s="4">
        <v>45534.327839861115</v>
      </c>
      <c r="B916" s="5" t="s">
        <v>34</v>
      </c>
      <c r="D916" s="5" t="s">
        <v>3849</v>
      </c>
      <c r="E916" s="5" t="s">
        <v>8256</v>
      </c>
      <c r="F916" s="5" t="s">
        <v>524</v>
      </c>
      <c r="G916" s="5" t="s">
        <v>8257</v>
      </c>
      <c r="H916" s="6" t="s">
        <v>8258</v>
      </c>
      <c r="I916" s="7" t="s">
        <v>8259</v>
      </c>
      <c r="J916" s="8" t="str">
        <f>HYPERLINK("https://drive.google.com/file/d/1i9abN036BZ9rLG-4N2UK5Dp8Qh-gh1Fs/view?usp=drivesdk","R.TRIWIDA MARLINAWATI SERTIFIKAT BerAKHLAK")</f>
        <v>R.TRIWIDA MARLINAWATI SERTIFIKAT BerAKHLAK</v>
      </c>
      <c r="K916" s="5" t="s">
        <v>6335</v>
      </c>
      <c r="L916" s="5" t="s">
        <v>8260</v>
      </c>
    </row>
    <row r="917">
      <c r="A917" s="4">
        <v>45534.32786641204</v>
      </c>
      <c r="B917" s="5" t="s">
        <v>34</v>
      </c>
      <c r="D917" s="5" t="s">
        <v>1456</v>
      </c>
      <c r="E917" s="5" t="s">
        <v>8263</v>
      </c>
      <c r="F917" s="5" t="s">
        <v>108</v>
      </c>
      <c r="G917" s="5" t="s">
        <v>8264</v>
      </c>
      <c r="H917" s="6" t="s">
        <v>8265</v>
      </c>
      <c r="I917" s="7" t="s">
        <v>8266</v>
      </c>
      <c r="J917" s="8" t="str">
        <f>HYPERLINK("https://drive.google.com/file/d/17aJx93VZ3pFVIB6UXcwuWY9sSq7FdHRS/view?usp=drivesdk","MERRY ANGGRAINI AMIN SERTIFIKAT BerAKHLAK")</f>
        <v>MERRY ANGGRAINI AMIN SERTIFIKAT BerAKHLAK</v>
      </c>
      <c r="K917" s="5" t="s">
        <v>6335</v>
      </c>
      <c r="L917" s="5" t="s">
        <v>8267</v>
      </c>
    </row>
    <row r="918">
      <c r="A918" s="4">
        <v>45534.32788037037</v>
      </c>
      <c r="B918" s="5" t="s">
        <v>34</v>
      </c>
      <c r="D918" s="5" t="s">
        <v>35</v>
      </c>
      <c r="E918" s="5" t="s">
        <v>8271</v>
      </c>
      <c r="F918" s="5" t="s">
        <v>108</v>
      </c>
      <c r="G918" s="5" t="s">
        <v>8272</v>
      </c>
      <c r="H918" s="6" t="s">
        <v>8273</v>
      </c>
      <c r="I918" s="7" t="s">
        <v>8274</v>
      </c>
      <c r="J918" s="8" t="str">
        <f>HYPERLINK("https://drive.google.com/file/d/1OKq6W7RGo5SLNbZ2vSgU-Oq5AQyflllG/view?usp=drivesdk","NURSRILESTARI SERTIFIKAT BerAKHLAK")</f>
        <v>NURSRILESTARI SERTIFIKAT BerAKHLAK</v>
      </c>
      <c r="K918" s="5" t="s">
        <v>6335</v>
      </c>
      <c r="L918" s="5" t="s">
        <v>8275</v>
      </c>
    </row>
    <row r="919">
      <c r="A919" s="4">
        <v>45534.32791353009</v>
      </c>
      <c r="B919" s="5" t="s">
        <v>34</v>
      </c>
      <c r="D919" s="5" t="s">
        <v>280</v>
      </c>
      <c r="E919" s="5" t="s">
        <v>8278</v>
      </c>
      <c r="F919" s="5" t="s">
        <v>37</v>
      </c>
      <c r="G919" s="5" t="s">
        <v>8279</v>
      </c>
      <c r="H919" s="6" t="s">
        <v>8280</v>
      </c>
      <c r="I919" s="7" t="s">
        <v>8281</v>
      </c>
      <c r="J919" s="8" t="str">
        <f>HYPERLINK("https://drive.google.com/file/d/1i8_WBC6-BrG0XtnFgFJu65L0PuQG69TV/view?usp=drivesdk","DIAN OKTARIA RESTIANI SERTIFIKAT BerAKHLAK")</f>
        <v>DIAN OKTARIA RESTIANI SERTIFIKAT BerAKHLAK</v>
      </c>
      <c r="K919" s="5" t="s">
        <v>6335</v>
      </c>
      <c r="L919" s="5" t="s">
        <v>8282</v>
      </c>
    </row>
    <row r="920">
      <c r="A920" s="4">
        <v>45534.32794658565</v>
      </c>
      <c r="B920" s="5" t="s">
        <v>34</v>
      </c>
      <c r="D920" s="5" t="s">
        <v>4775</v>
      </c>
      <c r="E920" s="5" t="s">
        <v>8285</v>
      </c>
      <c r="F920" s="5" t="s">
        <v>375</v>
      </c>
      <c r="G920" s="5" t="s">
        <v>8286</v>
      </c>
      <c r="H920" s="6" t="s">
        <v>8287</v>
      </c>
      <c r="I920" s="7" t="s">
        <v>8288</v>
      </c>
      <c r="J920" s="8" t="str">
        <f>HYPERLINK("https://drive.google.com/file/d/1s3jh1mzYSHVYtRuFFN1YeivuIvrL_jNe/view?usp=drivesdk","SUSI HANDAYANI SERTIFIKAT BerAKHLAK")</f>
        <v>SUSI HANDAYANI SERTIFIKAT BerAKHLAK</v>
      </c>
      <c r="K920" s="5" t="s">
        <v>6335</v>
      </c>
      <c r="L920" s="5" t="s">
        <v>8289</v>
      </c>
    </row>
    <row r="921">
      <c r="A921" s="4">
        <v>45534.327947997685</v>
      </c>
      <c r="B921" s="5" t="s">
        <v>34</v>
      </c>
      <c r="D921" s="5" t="s">
        <v>267</v>
      </c>
      <c r="E921" s="5" t="s">
        <v>8292</v>
      </c>
      <c r="F921" s="5" t="s">
        <v>72</v>
      </c>
      <c r="G921" s="5" t="s">
        <v>8293</v>
      </c>
      <c r="H921" s="6" t="s">
        <v>8294</v>
      </c>
      <c r="I921" s="7" t="s">
        <v>8295</v>
      </c>
      <c r="J921" s="8" t="str">
        <f>HYPERLINK("https://drive.google.com/file/d/11Pow2mkJyMpq9yEwsDySSdfoQyApl8wR/view?usp=drivesdk","SUISMI WIDIYANTINI, S.I.Kom SERTIFIKAT BerAKHLAK")</f>
        <v>SUISMI WIDIYANTINI, S.I.Kom SERTIFIKAT BerAKHLAK</v>
      </c>
      <c r="K921" s="5" t="s">
        <v>6335</v>
      </c>
      <c r="L921" s="5" t="s">
        <v>8296</v>
      </c>
    </row>
    <row r="922">
      <c r="A922" s="4">
        <v>45534.327966956014</v>
      </c>
      <c r="B922" s="5" t="s">
        <v>34</v>
      </c>
      <c r="D922" s="5" t="s">
        <v>35</v>
      </c>
      <c r="E922" s="5" t="s">
        <v>8299</v>
      </c>
      <c r="F922" s="5" t="s">
        <v>5859</v>
      </c>
      <c r="G922" s="5" t="s">
        <v>8300</v>
      </c>
      <c r="H922" s="6" t="s">
        <v>8301</v>
      </c>
      <c r="I922" s="7" t="s">
        <v>8302</v>
      </c>
      <c r="J922" s="8" t="str">
        <f>HYPERLINK("https://drive.google.com/file/d/1CKZVRIdmJHjWwzlod6y-4XXEPxtyELWT/view?usp=drivesdk","MUHAMAD SHOLEH SERTIFIKAT BerAKHLAK")</f>
        <v>MUHAMAD SHOLEH SERTIFIKAT BerAKHLAK</v>
      </c>
      <c r="K922" s="5" t="s">
        <v>6335</v>
      </c>
      <c r="L922" s="5" t="s">
        <v>8303</v>
      </c>
    </row>
    <row r="923">
      <c r="A923" s="4">
        <v>45534.32798545139</v>
      </c>
      <c r="B923" s="5" t="s">
        <v>34</v>
      </c>
      <c r="D923" s="5" t="s">
        <v>1206</v>
      </c>
      <c r="E923" s="5" t="s">
        <v>8306</v>
      </c>
      <c r="F923" s="5" t="s">
        <v>212</v>
      </c>
      <c r="G923" s="5" t="s">
        <v>8307</v>
      </c>
      <c r="H923" s="6" t="s">
        <v>8308</v>
      </c>
      <c r="I923" s="7" t="s">
        <v>8309</v>
      </c>
      <c r="J923" s="8" t="str">
        <f>HYPERLINK("https://drive.google.com/file/d/1BPfTzI0ti40KLK-OTZ26WRkMs7lCq96t/view?usp=drivesdk","ARY KUSUMAWARDHANI, SE SERTIFIKAT BerAKHLAK")</f>
        <v>ARY KUSUMAWARDHANI, SE SERTIFIKAT BerAKHLAK</v>
      </c>
      <c r="K923" s="5" t="s">
        <v>6335</v>
      </c>
      <c r="L923" s="5" t="s">
        <v>8310</v>
      </c>
    </row>
    <row r="924">
      <c r="A924" s="4">
        <v>45534.32799329861</v>
      </c>
      <c r="B924" s="5" t="s">
        <v>19</v>
      </c>
      <c r="C924" s="5" t="s">
        <v>292</v>
      </c>
      <c r="E924" s="5" t="s">
        <v>8314</v>
      </c>
      <c r="F924" s="5" t="s">
        <v>72</v>
      </c>
      <c r="G924" s="5" t="s">
        <v>8315</v>
      </c>
      <c r="H924" s="6" t="s">
        <v>8316</v>
      </c>
      <c r="I924" s="7" t="s">
        <v>8317</v>
      </c>
      <c r="J924" s="8" t="str">
        <f>HYPERLINK("https://drive.google.com/file/d/1JBUlqHOxaqh9O_xETSCvFyzsO7jaCV1Q/view?usp=drivesdk","IRAWATISUMITRA SERTIFIKAT BerAKHLAK")</f>
        <v>IRAWATISUMITRA SERTIFIKAT BerAKHLAK</v>
      </c>
      <c r="K924" s="5" t="s">
        <v>6335</v>
      </c>
      <c r="L924" s="5" t="s">
        <v>8318</v>
      </c>
    </row>
    <row r="925">
      <c r="A925" s="4">
        <v>45534.32800256944</v>
      </c>
      <c r="B925" s="5" t="s">
        <v>34</v>
      </c>
      <c r="D925" s="5" t="s">
        <v>4775</v>
      </c>
      <c r="E925" s="5" t="s">
        <v>8321</v>
      </c>
      <c r="F925" s="5" t="s">
        <v>37</v>
      </c>
      <c r="G925" s="5" t="s">
        <v>8322</v>
      </c>
      <c r="H925" s="6" t="s">
        <v>8323</v>
      </c>
      <c r="I925" s="7" t="s">
        <v>8324</v>
      </c>
      <c r="J925" s="8" t="str">
        <f>HYPERLINK("https://drive.google.com/file/d/1Ex-H53RSnQ_b_vqNmGVm22q6h9EYO_3i/view?usp=drivesdk","DANANG PURWO WIBOWO SERTIFIKAT BerAKHLAK")</f>
        <v>DANANG PURWO WIBOWO SERTIFIKAT BerAKHLAK</v>
      </c>
      <c r="K925" s="5" t="s">
        <v>6335</v>
      </c>
      <c r="L925" s="5" t="s">
        <v>8325</v>
      </c>
    </row>
    <row r="926">
      <c r="A926" s="4">
        <v>45534.32802429398</v>
      </c>
      <c r="B926" s="5" t="s">
        <v>34</v>
      </c>
      <c r="D926" s="5" t="s">
        <v>3849</v>
      </c>
      <c r="E926" s="5" t="s">
        <v>8328</v>
      </c>
      <c r="F926" s="5" t="s">
        <v>37</v>
      </c>
      <c r="G926" s="5" t="s">
        <v>8329</v>
      </c>
      <c r="H926" s="6" t="s">
        <v>8330</v>
      </c>
      <c r="I926" s="7" t="s">
        <v>8331</v>
      </c>
      <c r="J926" s="8" t="str">
        <f>HYPERLINK("https://drive.google.com/file/d/110F2shx7gdZ8ypIbH1fBL-zBtv9vmX5h/view?usp=drivesdk","AGNES PUSPITA SARI SERTIFIKAT BerAKHLAK")</f>
        <v>AGNES PUSPITA SARI SERTIFIKAT BerAKHLAK</v>
      </c>
      <c r="K926" s="5" t="s">
        <v>6373</v>
      </c>
      <c r="L926" s="5" t="s">
        <v>8332</v>
      </c>
    </row>
    <row r="927">
      <c r="A927" s="4">
        <v>45534.3280345949</v>
      </c>
      <c r="B927" s="5" t="s">
        <v>34</v>
      </c>
      <c r="D927" s="5" t="s">
        <v>4775</v>
      </c>
      <c r="E927" s="5" t="s">
        <v>8335</v>
      </c>
      <c r="F927" s="5" t="s">
        <v>375</v>
      </c>
      <c r="G927" s="5" t="s">
        <v>8336</v>
      </c>
      <c r="H927" s="6" t="s">
        <v>8337</v>
      </c>
      <c r="I927" s="7" t="s">
        <v>8338</v>
      </c>
      <c r="J927" s="8" t="str">
        <f>HYPERLINK("https://drive.google.com/file/d/1oSfHzB0Ks5xnT9U1HIEd2Cgj-2GIm74t/view?usp=drivesdk","DINA SARI TRI RAHAYU, S.E. SERTIFIKAT BerAKHLAK")</f>
        <v>DINA SARI TRI RAHAYU, S.E. SERTIFIKAT BerAKHLAK</v>
      </c>
      <c r="K927" s="5" t="s">
        <v>6335</v>
      </c>
      <c r="L927" s="5" t="s">
        <v>8339</v>
      </c>
    </row>
    <row r="928">
      <c r="A928" s="4">
        <v>45534.32804097222</v>
      </c>
      <c r="B928" s="5" t="s">
        <v>34</v>
      </c>
      <c r="D928" s="5" t="s">
        <v>1206</v>
      </c>
      <c r="E928" s="5" t="s">
        <v>8343</v>
      </c>
      <c r="F928" s="5" t="s">
        <v>212</v>
      </c>
      <c r="G928" s="5" t="s">
        <v>8344</v>
      </c>
      <c r="H928" s="6" t="s">
        <v>8345</v>
      </c>
      <c r="I928" s="7" t="s">
        <v>8346</v>
      </c>
      <c r="J928" s="8" t="str">
        <f>HYPERLINK("https://drive.google.com/file/d/1O43HjaoL56ePlt0WTROFRkpn1wrsjNpL/view?usp=drivesdk","SUSI MIGAWATI SERTIFIKAT BerAKHLAK")</f>
        <v>SUSI MIGAWATI SERTIFIKAT BerAKHLAK</v>
      </c>
      <c r="K928" s="5" t="s">
        <v>6335</v>
      </c>
      <c r="L928" s="5" t="s">
        <v>8347</v>
      </c>
    </row>
    <row r="929">
      <c r="A929" s="4">
        <v>45534.328075405094</v>
      </c>
      <c r="B929" s="5" t="s">
        <v>34</v>
      </c>
      <c r="D929" s="5" t="s">
        <v>580</v>
      </c>
      <c r="E929" s="5" t="s">
        <v>8350</v>
      </c>
      <c r="F929" s="5" t="s">
        <v>72</v>
      </c>
      <c r="G929" s="5" t="s">
        <v>8351</v>
      </c>
      <c r="H929" s="6" t="s">
        <v>8352</v>
      </c>
      <c r="K929" s="5" t="s">
        <v>8353</v>
      </c>
    </row>
    <row r="930">
      <c r="A930" s="4">
        <v>45534.32807971065</v>
      </c>
      <c r="B930" s="5" t="s">
        <v>34</v>
      </c>
      <c r="D930" s="5" t="s">
        <v>35</v>
      </c>
      <c r="E930" s="5" t="s">
        <v>8356</v>
      </c>
      <c r="F930" s="5" t="s">
        <v>524</v>
      </c>
      <c r="G930" s="5" t="s">
        <v>8357</v>
      </c>
      <c r="H930" s="6" t="s">
        <v>8358</v>
      </c>
      <c r="K930" s="5" t="s">
        <v>8353</v>
      </c>
    </row>
    <row r="931">
      <c r="A931" s="4">
        <v>45534.32808196759</v>
      </c>
      <c r="B931" s="5" t="s">
        <v>34</v>
      </c>
      <c r="D931" s="5" t="s">
        <v>267</v>
      </c>
      <c r="E931" s="5" t="s">
        <v>8362</v>
      </c>
      <c r="F931" s="5" t="s">
        <v>108</v>
      </c>
      <c r="G931" s="5" t="s">
        <v>8363</v>
      </c>
      <c r="H931" s="6" t="s">
        <v>8364</v>
      </c>
      <c r="K931" s="5" t="s">
        <v>8353</v>
      </c>
    </row>
    <row r="932">
      <c r="A932" s="4">
        <v>45534.32808818287</v>
      </c>
      <c r="B932" s="5" t="s">
        <v>34</v>
      </c>
      <c r="D932" s="5" t="s">
        <v>267</v>
      </c>
      <c r="E932" s="5" t="s">
        <v>8367</v>
      </c>
      <c r="F932" s="5" t="s">
        <v>72</v>
      </c>
      <c r="G932" s="5" t="s">
        <v>8368</v>
      </c>
      <c r="H932" s="6" t="s">
        <v>8369</v>
      </c>
      <c r="K932" s="5" t="s">
        <v>8353</v>
      </c>
    </row>
    <row r="933">
      <c r="A933" s="4">
        <v>45534.32809097222</v>
      </c>
      <c r="B933" s="5" t="s">
        <v>34</v>
      </c>
      <c r="D933" s="5" t="s">
        <v>1206</v>
      </c>
      <c r="E933" s="5" t="s">
        <v>8372</v>
      </c>
      <c r="F933" s="5" t="s">
        <v>37</v>
      </c>
      <c r="G933" s="5" t="s">
        <v>8373</v>
      </c>
      <c r="H933" s="6" t="s">
        <v>8374</v>
      </c>
      <c r="K933" s="5" t="s">
        <v>8353</v>
      </c>
    </row>
    <row r="934">
      <c r="A934" s="4">
        <v>45534.328090462965</v>
      </c>
      <c r="B934" s="5" t="s">
        <v>34</v>
      </c>
      <c r="D934" s="5" t="s">
        <v>35</v>
      </c>
      <c r="E934" s="5" t="s">
        <v>8377</v>
      </c>
      <c r="F934" s="5" t="s">
        <v>108</v>
      </c>
      <c r="G934" s="5" t="s">
        <v>8378</v>
      </c>
      <c r="H934" s="6" t="s">
        <v>8379</v>
      </c>
      <c r="K934" s="5" t="s">
        <v>8353</v>
      </c>
    </row>
    <row r="935">
      <c r="A935" s="4">
        <v>45534.32809701389</v>
      </c>
      <c r="B935" s="5" t="s">
        <v>19</v>
      </c>
      <c r="C935" s="5" t="s">
        <v>3301</v>
      </c>
      <c r="E935" s="5" t="s">
        <v>8382</v>
      </c>
      <c r="F935" s="5" t="s">
        <v>108</v>
      </c>
      <c r="G935" s="5" t="s">
        <v>8383</v>
      </c>
      <c r="H935" s="6" t="s">
        <v>8384</v>
      </c>
      <c r="K935" s="5" t="s">
        <v>8353</v>
      </c>
    </row>
    <row r="936">
      <c r="A936" s="4">
        <v>45534.328100983796</v>
      </c>
      <c r="B936" s="5" t="s">
        <v>34</v>
      </c>
      <c r="D936" s="5" t="s">
        <v>267</v>
      </c>
      <c r="E936" s="5" t="s">
        <v>8387</v>
      </c>
      <c r="F936" s="5" t="s">
        <v>108</v>
      </c>
      <c r="G936" s="5" t="s">
        <v>8388</v>
      </c>
      <c r="H936" s="6" t="s">
        <v>8389</v>
      </c>
      <c r="K936" s="5" t="s">
        <v>8353</v>
      </c>
    </row>
    <row r="937">
      <c r="A937" s="4">
        <v>45534.32812689815</v>
      </c>
      <c r="B937" s="5" t="s">
        <v>19</v>
      </c>
      <c r="C937" s="5" t="s">
        <v>3471</v>
      </c>
      <c r="E937" s="5" t="s">
        <v>8393</v>
      </c>
      <c r="F937" s="5" t="s">
        <v>108</v>
      </c>
      <c r="G937" s="5" t="s">
        <v>8394</v>
      </c>
      <c r="H937" s="6" t="s">
        <v>8395</v>
      </c>
      <c r="K937" s="5" t="s">
        <v>8353</v>
      </c>
    </row>
    <row r="938">
      <c r="A938" s="4">
        <v>45534.328131863425</v>
      </c>
      <c r="B938" s="5" t="s">
        <v>34</v>
      </c>
      <c r="D938" s="5" t="s">
        <v>4775</v>
      </c>
      <c r="E938" s="5" t="s">
        <v>8398</v>
      </c>
      <c r="F938" s="5" t="s">
        <v>72</v>
      </c>
      <c r="G938" s="5" t="s">
        <v>8399</v>
      </c>
      <c r="H938" s="6" t="s">
        <v>8400</v>
      </c>
      <c r="K938" s="5" t="s">
        <v>8353</v>
      </c>
    </row>
    <row r="939">
      <c r="A939" s="4">
        <v>45534.328138136574</v>
      </c>
      <c r="B939" s="5" t="s">
        <v>34</v>
      </c>
      <c r="D939" s="5" t="s">
        <v>35</v>
      </c>
      <c r="E939" s="5" t="s">
        <v>8403</v>
      </c>
      <c r="F939" s="5" t="s">
        <v>328</v>
      </c>
      <c r="G939" s="5" t="s">
        <v>8404</v>
      </c>
      <c r="H939" s="6" t="s">
        <v>8405</v>
      </c>
      <c r="K939" s="5" t="s">
        <v>8353</v>
      </c>
    </row>
    <row r="940">
      <c r="A940" s="4">
        <v>45534.328157199074</v>
      </c>
      <c r="B940" s="5" t="s">
        <v>34</v>
      </c>
      <c r="D940" s="5" t="s">
        <v>4775</v>
      </c>
      <c r="E940" s="5" t="s">
        <v>8408</v>
      </c>
      <c r="F940" s="5" t="s">
        <v>524</v>
      </c>
      <c r="G940" s="5" t="s">
        <v>8409</v>
      </c>
      <c r="H940" s="6" t="s">
        <v>8410</v>
      </c>
      <c r="I940" s="7" t="s">
        <v>8411</v>
      </c>
      <c r="J940" s="8" t="str">
        <f>HYPERLINK("https://drive.google.com/file/d/1lP18j1x48chnBVHSUEPKBsM95Q_34Pmb/view?usp=drivesdk","ADHISTY PRIMASARI,SH SERTIFIKAT BerAKHLAK")</f>
        <v>ADHISTY PRIMASARI,SH SERTIFIKAT BerAKHLAK</v>
      </c>
      <c r="K940" s="5" t="s">
        <v>6335</v>
      </c>
      <c r="L940" s="5" t="s">
        <v>8412</v>
      </c>
    </row>
    <row r="941">
      <c r="A941" s="4">
        <v>45534.32816133102</v>
      </c>
      <c r="B941" s="5" t="s">
        <v>19</v>
      </c>
      <c r="C941" s="5" t="s">
        <v>3301</v>
      </c>
      <c r="E941" s="5" t="s">
        <v>8415</v>
      </c>
      <c r="F941" s="5" t="s">
        <v>108</v>
      </c>
      <c r="G941" s="5" t="s">
        <v>8416</v>
      </c>
      <c r="H941" s="6" t="s">
        <v>8417</v>
      </c>
      <c r="I941" s="7" t="s">
        <v>8418</v>
      </c>
      <c r="J941" s="8" t="str">
        <f>HYPERLINK("https://drive.google.com/file/d/1vd8A025-1kxh1kpGA8U8PGnFieYAaj1O/view?usp=drivesdk","NS. TRIULAN AGUSTINA SIDABUTAR, S.KEP SERTIFIKAT BerAKHLAK")</f>
        <v>NS. TRIULAN AGUSTINA SIDABUTAR, S.KEP SERTIFIKAT BerAKHLAK</v>
      </c>
      <c r="K941" s="5" t="s">
        <v>6335</v>
      </c>
      <c r="L941" s="5" t="s">
        <v>8419</v>
      </c>
    </row>
    <row r="942">
      <c r="A942" s="4">
        <v>45534.32816295139</v>
      </c>
      <c r="B942" s="5" t="s">
        <v>34</v>
      </c>
      <c r="D942" s="5" t="s">
        <v>4775</v>
      </c>
      <c r="E942" s="5" t="s">
        <v>8422</v>
      </c>
      <c r="F942" s="5" t="s">
        <v>524</v>
      </c>
      <c r="G942" s="5" t="s">
        <v>8423</v>
      </c>
      <c r="H942" s="6" t="s">
        <v>8424</v>
      </c>
      <c r="I942" s="7" t="s">
        <v>8425</v>
      </c>
      <c r="J942" s="8" t="str">
        <f>HYPERLINK("https://drive.google.com/file/d/1M0qfRsOHQBNGSanH_zAvmJEZj9h6Dkd5/view?usp=drivesdk","FAJAR SETIYOWATI, S. Ak.  SERTIFIKAT BerAKHLAK")</f>
        <v>FAJAR SETIYOWATI, S. Ak.  SERTIFIKAT BerAKHLAK</v>
      </c>
      <c r="K942" s="5" t="s">
        <v>6373</v>
      </c>
      <c r="L942" s="5" t="s">
        <v>8426</v>
      </c>
    </row>
    <row r="943">
      <c r="A943" s="4">
        <v>45534.328206192135</v>
      </c>
      <c r="B943" s="5" t="s">
        <v>34</v>
      </c>
      <c r="D943" s="5" t="s">
        <v>1206</v>
      </c>
      <c r="E943" s="5" t="s">
        <v>8430</v>
      </c>
      <c r="F943" s="5" t="s">
        <v>120</v>
      </c>
      <c r="G943" s="5" t="s">
        <v>8431</v>
      </c>
      <c r="H943" s="6" t="s">
        <v>8432</v>
      </c>
      <c r="I943" s="7" t="s">
        <v>8433</v>
      </c>
      <c r="J943" s="8" t="str">
        <f>HYPERLINK("https://drive.google.com/file/d/1WTx1SSf8_oZxVGtVZyF_36xcDbOY-kOz/view?usp=drivesdk","RACHMAD HARDADI, S.H., M.H. SERTIFIKAT BerAKHLAK")</f>
        <v>RACHMAD HARDADI, S.H., M.H. SERTIFIKAT BerAKHLAK</v>
      </c>
      <c r="K943" s="5" t="s">
        <v>6335</v>
      </c>
      <c r="L943" s="5" t="s">
        <v>8434</v>
      </c>
    </row>
    <row r="944">
      <c r="A944" s="4">
        <v>45534.328221979165</v>
      </c>
      <c r="B944" s="5" t="s">
        <v>34</v>
      </c>
      <c r="D944" s="5" t="s">
        <v>4775</v>
      </c>
      <c r="E944" s="5" t="s">
        <v>8437</v>
      </c>
      <c r="F944" s="5" t="s">
        <v>37</v>
      </c>
      <c r="G944" s="5" t="s">
        <v>8438</v>
      </c>
      <c r="H944" s="6" t="s">
        <v>8439</v>
      </c>
      <c r="I944" s="7" t="s">
        <v>8440</v>
      </c>
      <c r="J944" s="8" t="str">
        <f>HYPERLINK("https://drive.google.com/file/d/1qkb7o_Pv5ufs5mvvSBZqwvkDggBku2e-/view?usp=drivesdk","ARIS SULISTIYONO  SERTIFIKAT BerAKHLAK")</f>
        <v>ARIS SULISTIYONO  SERTIFIKAT BerAKHLAK</v>
      </c>
      <c r="K944" s="5" t="s">
        <v>6335</v>
      </c>
      <c r="L944" s="5" t="s">
        <v>8441</v>
      </c>
    </row>
    <row r="945">
      <c r="A945" s="4">
        <v>45534.32822469907</v>
      </c>
      <c r="B945" s="5" t="s">
        <v>34</v>
      </c>
      <c r="D945" s="5" t="s">
        <v>1206</v>
      </c>
      <c r="E945" s="5" t="s">
        <v>8444</v>
      </c>
      <c r="F945" s="5" t="s">
        <v>37</v>
      </c>
      <c r="G945" s="5" t="s">
        <v>8445</v>
      </c>
      <c r="H945" s="6" t="s">
        <v>8446</v>
      </c>
      <c r="K945" s="5" t="s">
        <v>8447</v>
      </c>
    </row>
    <row r="946">
      <c r="A946" s="4">
        <v>45534.328246875</v>
      </c>
      <c r="B946" s="5" t="s">
        <v>19</v>
      </c>
      <c r="C946" s="5" t="s">
        <v>5058</v>
      </c>
      <c r="E946" s="5" t="s">
        <v>8450</v>
      </c>
      <c r="F946" s="5" t="s">
        <v>120</v>
      </c>
      <c r="G946" s="5" t="s">
        <v>8451</v>
      </c>
      <c r="H946" s="6" t="s">
        <v>8452</v>
      </c>
      <c r="I946" s="7" t="s">
        <v>8453</v>
      </c>
      <c r="J946" s="8" t="str">
        <f>HYPERLINK("https://drive.google.com/file/d/1a45PhG1bbACi262wlF6MyHg-CN138fmt/view?usp=drivesdk","NINOY SANTI KRESNORINI, S.E. SERTIFIKAT BerAKHLAK")</f>
        <v>NINOY SANTI KRESNORINI, S.E. SERTIFIKAT BerAKHLAK</v>
      </c>
      <c r="K946" s="5" t="s">
        <v>6335</v>
      </c>
      <c r="L946" s="5" t="s">
        <v>8454</v>
      </c>
    </row>
    <row r="947">
      <c r="A947" s="4">
        <v>45534.32825320602</v>
      </c>
      <c r="B947" s="5" t="s">
        <v>34</v>
      </c>
      <c r="D947" s="5" t="s">
        <v>4775</v>
      </c>
      <c r="E947" s="5" t="s">
        <v>8457</v>
      </c>
      <c r="F947" s="5" t="s">
        <v>108</v>
      </c>
      <c r="G947" s="5" t="s">
        <v>8458</v>
      </c>
      <c r="H947" s="6" t="s">
        <v>8459</v>
      </c>
      <c r="I947" s="7" t="s">
        <v>8460</v>
      </c>
      <c r="J947" s="8" t="str">
        <f>HYPERLINK("https://drive.google.com/file/d/1JPdP4e8V_7x45SznZh0NXI5TJ2amWa3s/view?usp=drivesdk","DANY APRIASTUTI, SE SERTIFIKAT BerAKHLAK")</f>
        <v>DANY APRIASTUTI, SE SERTIFIKAT BerAKHLAK</v>
      </c>
      <c r="K947" s="5" t="s">
        <v>6335</v>
      </c>
      <c r="L947" s="5" t="s">
        <v>8461</v>
      </c>
    </row>
    <row r="948">
      <c r="A948" s="4">
        <v>45534.32827219907</v>
      </c>
      <c r="B948" s="5" t="s">
        <v>34</v>
      </c>
      <c r="D948" s="5" t="s">
        <v>35</v>
      </c>
      <c r="E948" s="5" t="s">
        <v>8465</v>
      </c>
      <c r="F948" s="5" t="s">
        <v>715</v>
      </c>
      <c r="G948" s="5" t="s">
        <v>8466</v>
      </c>
      <c r="H948" s="6" t="s">
        <v>8467</v>
      </c>
      <c r="I948" s="7" t="s">
        <v>8468</v>
      </c>
      <c r="J948" s="8" t="str">
        <f>HYPERLINK("https://drive.google.com/file/d/1vPs-M_wP_MPVmal0YvkQumNG_PoHZVIs/view?usp=drivesdk","YANA SURYANA, SE SERTIFIKAT BerAKHLAK")</f>
        <v>YANA SURYANA, SE SERTIFIKAT BerAKHLAK</v>
      </c>
      <c r="K948" s="5" t="s">
        <v>6373</v>
      </c>
      <c r="L948" s="5" t="s">
        <v>8469</v>
      </c>
    </row>
    <row r="949">
      <c r="A949" s="4">
        <v>45534.328290868056</v>
      </c>
      <c r="B949" s="5" t="s">
        <v>34</v>
      </c>
      <c r="D949" s="5" t="s">
        <v>604</v>
      </c>
      <c r="E949" s="5" t="s">
        <v>2403</v>
      </c>
      <c r="F949" s="5" t="s">
        <v>37</v>
      </c>
      <c r="G949" s="5" t="s">
        <v>8472</v>
      </c>
      <c r="H949" s="6" t="s">
        <v>8473</v>
      </c>
      <c r="I949" s="7" t="s">
        <v>8474</v>
      </c>
      <c r="J949" s="8" t="str">
        <f>HYPERLINK("https://drive.google.com/file/d/1MHXWdYc9an7JJC7zDXtaisKFabLt3Lsy/view?usp=drivesdk","SITI MARYATUN SERTIFIKAT BerAKHLAK")</f>
        <v>SITI MARYATUN SERTIFIKAT BerAKHLAK</v>
      </c>
      <c r="K949" s="5" t="s">
        <v>6373</v>
      </c>
      <c r="L949" s="5" t="s">
        <v>8475</v>
      </c>
    </row>
    <row r="950">
      <c r="A950" s="4">
        <v>45534.32829859953</v>
      </c>
      <c r="B950" s="5" t="s">
        <v>34</v>
      </c>
      <c r="D950" s="5" t="s">
        <v>3849</v>
      </c>
      <c r="E950" s="5" t="s">
        <v>8478</v>
      </c>
      <c r="F950" s="5" t="s">
        <v>37</v>
      </c>
      <c r="G950" s="5" t="s">
        <v>8479</v>
      </c>
      <c r="H950" s="6" t="s">
        <v>8480</v>
      </c>
      <c r="I950" s="7" t="s">
        <v>8481</v>
      </c>
      <c r="J950" s="8" t="str">
        <f>HYPERLINK("https://drive.google.com/file/d/14ExBbm-nkxHk5t1EyH02hAl9xwVK7mNq/view?usp=drivesdk","BUDI SUPRAYITNO  SERTIFIKAT BerAKHLAK")</f>
        <v>BUDI SUPRAYITNO  SERTIFIKAT BerAKHLAK</v>
      </c>
      <c r="K950" s="5" t="s">
        <v>6373</v>
      </c>
      <c r="L950" s="5" t="s">
        <v>8482</v>
      </c>
    </row>
    <row r="951">
      <c r="A951" s="4">
        <v>45534.32829893519</v>
      </c>
      <c r="B951" s="5" t="s">
        <v>34</v>
      </c>
      <c r="D951" s="5" t="s">
        <v>1768</v>
      </c>
      <c r="E951" s="5" t="s">
        <v>8485</v>
      </c>
      <c r="F951" s="5" t="s">
        <v>524</v>
      </c>
      <c r="G951" s="5" t="s">
        <v>8486</v>
      </c>
      <c r="H951" s="6" t="s">
        <v>8487</v>
      </c>
      <c r="I951" s="7" t="s">
        <v>8488</v>
      </c>
      <c r="J951" s="8" t="str">
        <f>HYPERLINK("https://drive.google.com/file/d/1XT82pBBxamyZTNAOjlM1Ay7D0yMBKTNj/view?usp=drivesdk","WEDAR ARI PRASTI SERTIFIKAT BerAKHLAK")</f>
        <v>WEDAR ARI PRASTI SERTIFIKAT BerAKHLAK</v>
      </c>
      <c r="K951" s="5" t="s">
        <v>6373</v>
      </c>
      <c r="L951" s="5" t="s">
        <v>8489</v>
      </c>
    </row>
    <row r="952">
      <c r="A952" s="4">
        <v>45534.32830900463</v>
      </c>
      <c r="B952" s="5" t="s">
        <v>34</v>
      </c>
      <c r="D952" s="5" t="s">
        <v>4775</v>
      </c>
      <c r="E952" s="5" t="s">
        <v>8492</v>
      </c>
      <c r="F952" s="5" t="s">
        <v>108</v>
      </c>
      <c r="G952" s="5" t="s">
        <v>8493</v>
      </c>
      <c r="H952" s="6" t="s">
        <v>8494</v>
      </c>
      <c r="I952" s="7" t="s">
        <v>8495</v>
      </c>
      <c r="J952" s="8" t="str">
        <f>HYPERLINK("https://drive.google.com/file/d/1WSDF5YzqLfpx_peJTBaFSa6Q6lMmA1gM/view?usp=drivesdk","JOKO SUTARNO SH SERTIFIKAT BerAKHLAK")</f>
        <v>JOKO SUTARNO SH SERTIFIKAT BerAKHLAK</v>
      </c>
      <c r="K952" s="5" t="s">
        <v>6373</v>
      </c>
      <c r="L952" s="5" t="s">
        <v>8496</v>
      </c>
    </row>
    <row r="953">
      <c r="A953" s="4">
        <v>45534.32833243055</v>
      </c>
      <c r="B953" s="5" t="s">
        <v>34</v>
      </c>
      <c r="D953" s="5" t="s">
        <v>4775</v>
      </c>
      <c r="E953" s="5" t="s">
        <v>8499</v>
      </c>
      <c r="F953" s="5" t="s">
        <v>375</v>
      </c>
      <c r="G953" s="5" t="s">
        <v>8500</v>
      </c>
      <c r="H953" s="6" t="s">
        <v>8501</v>
      </c>
      <c r="I953" s="7" t="s">
        <v>8502</v>
      </c>
      <c r="J953" s="8" t="str">
        <f>HYPERLINK("https://drive.google.com/file/d/1UIvRip8sb8DnJ5wmho2fyTZ7Ep3doXkM/view?usp=drivesdk","DIAH AYU TETI PERMANASARI  SERTIFIKAT BerAKHLAK")</f>
        <v>DIAH AYU TETI PERMANASARI  SERTIFIKAT BerAKHLAK</v>
      </c>
      <c r="K953" s="5" t="s">
        <v>6373</v>
      </c>
      <c r="L953" s="5" t="s">
        <v>8503</v>
      </c>
    </row>
    <row r="954">
      <c r="A954" s="4">
        <v>45534.32837853009</v>
      </c>
      <c r="B954" s="5" t="s">
        <v>34</v>
      </c>
      <c r="D954" s="5" t="s">
        <v>4775</v>
      </c>
      <c r="E954" s="5" t="s">
        <v>8507</v>
      </c>
      <c r="F954" s="5" t="s">
        <v>108</v>
      </c>
      <c r="G954" s="5" t="s">
        <v>8508</v>
      </c>
      <c r="H954" s="6" t="s">
        <v>8509</v>
      </c>
      <c r="I954" s="7" t="s">
        <v>8510</v>
      </c>
      <c r="J954" s="8" t="str">
        <f>HYPERLINK("https://drive.google.com/file/d/1WjCzyykqPyQ-khmTEmeJsUV-HoNaxl3u/view?usp=drivesdk","NUNI WAHYUNINGSIH SERTIFIKAT BerAKHLAK")</f>
        <v>NUNI WAHYUNINGSIH SERTIFIKAT BerAKHLAK</v>
      </c>
      <c r="K954" s="5" t="s">
        <v>6373</v>
      </c>
      <c r="L954" s="5" t="s">
        <v>8511</v>
      </c>
    </row>
    <row r="955">
      <c r="A955" s="4">
        <v>45534.32838965278</v>
      </c>
      <c r="B955" s="5" t="s">
        <v>34</v>
      </c>
      <c r="D955" s="5" t="s">
        <v>267</v>
      </c>
      <c r="E955" s="5" t="s">
        <v>8514</v>
      </c>
      <c r="F955" s="5" t="s">
        <v>212</v>
      </c>
      <c r="G955" s="5" t="s">
        <v>8515</v>
      </c>
      <c r="H955" s="6" t="s">
        <v>8516</v>
      </c>
      <c r="I955" s="7" t="s">
        <v>8517</v>
      </c>
      <c r="J955" s="8" t="str">
        <f>HYPERLINK("https://drive.google.com/file/d/1gns5b5fyZboZ7mLgEOD7zhYAranGY-9A/view?usp=drivesdk","NANIK HERNANINGSIH SERTIFIKAT BerAKHLAK")</f>
        <v>NANIK HERNANINGSIH SERTIFIKAT BerAKHLAK</v>
      </c>
      <c r="K955" s="5" t="s">
        <v>6373</v>
      </c>
      <c r="L955" s="5" t="s">
        <v>8518</v>
      </c>
    </row>
    <row r="956">
      <c r="A956" s="4">
        <v>45534.32839927083</v>
      </c>
      <c r="B956" s="5" t="s">
        <v>34</v>
      </c>
      <c r="D956" s="5" t="s">
        <v>35</v>
      </c>
      <c r="E956" s="5" t="s">
        <v>8521</v>
      </c>
      <c r="F956" s="5" t="s">
        <v>524</v>
      </c>
      <c r="G956" s="5" t="s">
        <v>8522</v>
      </c>
      <c r="H956" s="6" t="s">
        <v>8523</v>
      </c>
      <c r="I956" s="7" t="s">
        <v>8524</v>
      </c>
      <c r="J956" s="8" t="str">
        <f>HYPERLINK("https://drive.google.com/file/d/1VD6tBdIKuBYAf4IevSTxEv_2rwfJ7Sct/view?usp=drivesdk","RINGGO KARYAWATI  SERTIFIKAT BerAKHLAK")</f>
        <v>RINGGO KARYAWATI  SERTIFIKAT BerAKHLAK</v>
      </c>
      <c r="K956" s="5" t="s">
        <v>6373</v>
      </c>
      <c r="L956" s="5" t="s">
        <v>8525</v>
      </c>
    </row>
    <row r="957">
      <c r="A957" s="4">
        <v>45534.32841297454</v>
      </c>
      <c r="B957" s="5" t="s">
        <v>34</v>
      </c>
      <c r="D957" s="5" t="s">
        <v>4775</v>
      </c>
      <c r="E957" s="5" t="s">
        <v>8528</v>
      </c>
      <c r="F957" s="5" t="s">
        <v>375</v>
      </c>
      <c r="G957" s="5" t="s">
        <v>8529</v>
      </c>
      <c r="H957" s="6" t="s">
        <v>8530</v>
      </c>
      <c r="I957" s="7" t="s">
        <v>8531</v>
      </c>
      <c r="J957" s="8" t="str">
        <f>HYPERLINK("https://drive.google.com/file/d/1kb__GRcM4KkXkc0dHUet4GkH4SigadfB/view?usp=drivesdk","TRI MULYANIII SERTIFIKAT BerAKHLAK")</f>
        <v>TRI MULYANIII SERTIFIKAT BerAKHLAK</v>
      </c>
      <c r="K957" s="5" t="s">
        <v>6373</v>
      </c>
      <c r="L957" s="5" t="s">
        <v>8532</v>
      </c>
    </row>
    <row r="958">
      <c r="A958" s="4">
        <v>45534.328429050925</v>
      </c>
      <c r="B958" s="5" t="s">
        <v>34</v>
      </c>
      <c r="D958" s="5" t="s">
        <v>35</v>
      </c>
      <c r="E958" s="5" t="s">
        <v>8535</v>
      </c>
      <c r="F958" s="5" t="s">
        <v>37</v>
      </c>
      <c r="G958" s="5" t="s">
        <v>8536</v>
      </c>
      <c r="H958" s="6" t="s">
        <v>8537</v>
      </c>
      <c r="I958" s="7" t="s">
        <v>8538</v>
      </c>
      <c r="J958" s="8" t="str">
        <f>HYPERLINK("https://drive.google.com/file/d/16KL_NHuT819Sz1xwkvRCHNg-cyoArvje/view?usp=drivesdk","ASEP HERMAWAN SERTIFIKAT BerAKHLAK")</f>
        <v>ASEP HERMAWAN SERTIFIKAT BerAKHLAK</v>
      </c>
      <c r="K958" s="5" t="s">
        <v>6373</v>
      </c>
      <c r="L958" s="5" t="s">
        <v>8539</v>
      </c>
    </row>
    <row r="959">
      <c r="A959" s="4">
        <v>45534.32843552083</v>
      </c>
      <c r="B959" s="5" t="s">
        <v>34</v>
      </c>
      <c r="D959" s="5" t="s">
        <v>580</v>
      </c>
      <c r="E959" s="5" t="s">
        <v>8542</v>
      </c>
      <c r="F959" s="5" t="s">
        <v>37</v>
      </c>
      <c r="G959" s="5" t="s">
        <v>8543</v>
      </c>
      <c r="H959" s="6" t="s">
        <v>8544</v>
      </c>
      <c r="I959" s="7" t="s">
        <v>8545</v>
      </c>
      <c r="J959" s="8" t="str">
        <f>HYPERLINK("https://drive.google.com/file/d/1irp4oIfq2eTx0lc67g1sKu6t-lDu3XSU/view?usp=drivesdk","PUTU YUNI WULANDARI A.MD.KEB SERTIFIKAT BerAKHLAK")</f>
        <v>PUTU YUNI WULANDARI A.MD.KEB SERTIFIKAT BerAKHLAK</v>
      </c>
      <c r="K959" s="5" t="s">
        <v>6373</v>
      </c>
      <c r="L959" s="5" t="s">
        <v>8546</v>
      </c>
    </row>
    <row r="960">
      <c r="A960" s="4">
        <v>45534.32843260417</v>
      </c>
      <c r="B960" s="5" t="s">
        <v>34</v>
      </c>
      <c r="D960" s="5" t="s">
        <v>4775</v>
      </c>
      <c r="E960" s="5" t="s">
        <v>8550</v>
      </c>
      <c r="F960" s="5" t="s">
        <v>212</v>
      </c>
      <c r="G960" s="5" t="s">
        <v>8551</v>
      </c>
      <c r="H960" s="6" t="s">
        <v>8552</v>
      </c>
      <c r="I960" s="7" t="s">
        <v>8553</v>
      </c>
      <c r="J960" s="8" t="str">
        <f>HYPERLINK("https://drive.google.com/file/d/1KSJO3D63sD6a4D0O2YyiBU5aPAoh4f98/view?usp=drivesdk","NINIK SUPRIYANTI SERTIFIKAT BerAKHLAK")</f>
        <v>NINIK SUPRIYANTI SERTIFIKAT BerAKHLAK</v>
      </c>
      <c r="K960" s="5" t="s">
        <v>6373</v>
      </c>
      <c r="L960" s="5" t="s">
        <v>8554</v>
      </c>
    </row>
    <row r="961">
      <c r="A961" s="4">
        <v>45534.32846127315</v>
      </c>
      <c r="B961" s="5" t="s">
        <v>34</v>
      </c>
      <c r="D961" s="5" t="s">
        <v>1206</v>
      </c>
      <c r="E961" s="5" t="s">
        <v>8557</v>
      </c>
      <c r="F961" s="5" t="s">
        <v>199</v>
      </c>
      <c r="G961" s="5" t="s">
        <v>8558</v>
      </c>
      <c r="H961" s="6" t="s">
        <v>8559</v>
      </c>
      <c r="I961" s="7" t="s">
        <v>8560</v>
      </c>
      <c r="J961" s="8" t="str">
        <f>HYPERLINK("https://drive.google.com/file/d/1gPR6A84pveBa4Gx5k1hitr0rCY4VR6Sb/view?usp=drivesdk","RIKY FIRMANSYAH SERTIFIKAT BerAKHLAK")</f>
        <v>RIKY FIRMANSYAH SERTIFIKAT BerAKHLAK</v>
      </c>
      <c r="K961" s="5" t="s">
        <v>6373</v>
      </c>
      <c r="L961" s="5" t="s">
        <v>8561</v>
      </c>
    </row>
    <row r="962">
      <c r="A962" s="4">
        <v>45534.32847821759</v>
      </c>
      <c r="B962" s="5" t="s">
        <v>34</v>
      </c>
      <c r="D962" s="5" t="s">
        <v>1206</v>
      </c>
      <c r="E962" s="5" t="s">
        <v>8564</v>
      </c>
      <c r="F962" s="5" t="s">
        <v>212</v>
      </c>
      <c r="G962" s="5" t="s">
        <v>8565</v>
      </c>
      <c r="H962" s="6" t="s">
        <v>8566</v>
      </c>
      <c r="I962" s="7" t="s">
        <v>8567</v>
      </c>
      <c r="J962" s="8" t="str">
        <f>HYPERLINK("https://drive.google.com/file/d/1kj6k713F1nGWK8JqHobMbcq2CrERARFd/view?usp=drivesdk","NINUK WIDYA IRAWATI SERTIFIKAT BerAKHLAK")</f>
        <v>NINUK WIDYA IRAWATI SERTIFIKAT BerAKHLAK</v>
      </c>
      <c r="K962" s="5" t="s">
        <v>6373</v>
      </c>
      <c r="L962" s="5" t="s">
        <v>8568</v>
      </c>
    </row>
    <row r="963">
      <c r="A963" s="4">
        <v>45534.32849247685</v>
      </c>
      <c r="B963" s="5" t="s">
        <v>34</v>
      </c>
      <c r="D963" s="5" t="s">
        <v>580</v>
      </c>
      <c r="E963" s="5" t="s">
        <v>8571</v>
      </c>
      <c r="F963" s="5" t="s">
        <v>120</v>
      </c>
      <c r="G963" s="5" t="s">
        <v>8572</v>
      </c>
      <c r="H963" s="6" t="s">
        <v>8573</v>
      </c>
      <c r="I963" s="7" t="s">
        <v>8574</v>
      </c>
      <c r="J963" s="8" t="str">
        <f>HYPERLINK("https://drive.google.com/file/d/1ySJeU_S_rX0itoqGGAPlyzjKQP0sQ_Ig/view?usp=drivesdk","I WAYAN DARNA S SOS MAP SERTIFIKAT BerAKHLAK")</f>
        <v>I WAYAN DARNA S SOS MAP SERTIFIKAT BerAKHLAK</v>
      </c>
      <c r="K963" s="5" t="s">
        <v>6373</v>
      </c>
      <c r="L963" s="5" t="s">
        <v>8575</v>
      </c>
    </row>
    <row r="964">
      <c r="A964" s="4">
        <v>45534.3285006713</v>
      </c>
      <c r="B964" s="5" t="s">
        <v>34</v>
      </c>
      <c r="D964" s="5" t="s">
        <v>4775</v>
      </c>
      <c r="E964" s="5" t="s">
        <v>8578</v>
      </c>
      <c r="F964" s="5" t="s">
        <v>37</v>
      </c>
      <c r="G964" s="5" t="s">
        <v>8579</v>
      </c>
      <c r="H964" s="6" t="s">
        <v>8580</v>
      </c>
      <c r="I964" s="7" t="s">
        <v>8581</v>
      </c>
      <c r="J964" s="8" t="str">
        <f>HYPERLINK("https://drive.google.com/file/d/1DY43vP-BxbwPJo8D9cr9Ev6L1pwEtq1i/view?usp=drivesdk","SUDARSONO, SKOM SERTIFIKAT BerAKHLAK")</f>
        <v>SUDARSONO, SKOM SERTIFIKAT BerAKHLAK</v>
      </c>
      <c r="K964" s="5" t="s">
        <v>6373</v>
      </c>
      <c r="L964" s="5" t="s">
        <v>8582</v>
      </c>
    </row>
    <row r="965">
      <c r="A965" s="4">
        <v>45534.32850560185</v>
      </c>
      <c r="B965" s="5" t="s">
        <v>34</v>
      </c>
      <c r="D965" s="5" t="s">
        <v>1206</v>
      </c>
      <c r="E965" s="5" t="s">
        <v>8585</v>
      </c>
      <c r="F965" s="5" t="s">
        <v>212</v>
      </c>
      <c r="G965" s="5" t="s">
        <v>8586</v>
      </c>
      <c r="H965" s="6" t="s">
        <v>8587</v>
      </c>
      <c r="I965" s="7" t="s">
        <v>8588</v>
      </c>
      <c r="J965" s="8" t="str">
        <f>HYPERLINK("https://drive.google.com/file/d/1tVotXpT7uQgJyOIettGEi-NilSYmCPw7/view?usp=drivesdk","TRIANA DIANTARI SERTIFIKAT BerAKHLAK")</f>
        <v>TRIANA DIANTARI SERTIFIKAT BerAKHLAK</v>
      </c>
      <c r="K965" s="5" t="s">
        <v>6373</v>
      </c>
      <c r="L965" s="5" t="s">
        <v>8589</v>
      </c>
    </row>
    <row r="966">
      <c r="A966" s="4">
        <v>45534.32851475694</v>
      </c>
      <c r="B966" s="5" t="s">
        <v>34</v>
      </c>
      <c r="D966" s="5" t="s">
        <v>280</v>
      </c>
      <c r="E966" s="5" t="s">
        <v>8593</v>
      </c>
      <c r="F966" s="5" t="s">
        <v>37</v>
      </c>
      <c r="G966" s="5" t="s">
        <v>8594</v>
      </c>
      <c r="H966" s="6" t="s">
        <v>8595</v>
      </c>
      <c r="I966" s="7" t="s">
        <v>8596</v>
      </c>
      <c r="J966" s="8" t="str">
        <f>HYPERLINK("https://drive.google.com/file/d/1hDw41mUiHEOya0gJYNwTvtixYu2bcoiq/view?usp=drivesdk","SUNDARI DARJO SERTIFIKAT BerAKHLAK")</f>
        <v>SUNDARI DARJO SERTIFIKAT BerAKHLAK</v>
      </c>
      <c r="K966" s="5" t="s">
        <v>6373</v>
      </c>
      <c r="L966" s="5" t="s">
        <v>8597</v>
      </c>
    </row>
    <row r="967">
      <c r="A967" s="4">
        <v>45534.3285486574</v>
      </c>
      <c r="B967" s="5" t="s">
        <v>34</v>
      </c>
      <c r="D967" s="5" t="s">
        <v>1206</v>
      </c>
      <c r="E967" s="5" t="s">
        <v>8600</v>
      </c>
      <c r="F967" s="5" t="s">
        <v>375</v>
      </c>
      <c r="G967" s="5" t="s">
        <v>8601</v>
      </c>
      <c r="H967" s="6" t="s">
        <v>8602</v>
      </c>
      <c r="I967" s="7" t="s">
        <v>8603</v>
      </c>
      <c r="J967" s="8" t="str">
        <f>HYPERLINK("https://drive.google.com/file/d/1a1csyMTwnWrHAJQ_KmNMZDJynKiCxhRG/view?usp=drivesdk","IWID YULIANI, SE SERTIFIKAT BerAKHLAK")</f>
        <v>IWID YULIANI, SE SERTIFIKAT BerAKHLAK</v>
      </c>
      <c r="K967" s="5" t="s">
        <v>6373</v>
      </c>
      <c r="L967" s="5" t="s">
        <v>8604</v>
      </c>
    </row>
    <row r="968">
      <c r="A968" s="4">
        <v>45534.328550185186</v>
      </c>
      <c r="B968" s="5" t="s">
        <v>34</v>
      </c>
      <c r="D968" s="5" t="s">
        <v>3849</v>
      </c>
      <c r="E968" s="5" t="s">
        <v>8607</v>
      </c>
      <c r="F968" s="5" t="s">
        <v>37</v>
      </c>
      <c r="G968" s="5" t="s">
        <v>8608</v>
      </c>
      <c r="H968" s="6" t="s">
        <v>8609</v>
      </c>
      <c r="I968" s="7" t="s">
        <v>8610</v>
      </c>
      <c r="J968" s="8" t="str">
        <f>HYPERLINK("https://drive.google.com/file/d/1RIpLFLD-MVOtBNpVNEhHWGszgmzW9KpG/view?usp=drivesdk","ENY WAHYUNINGSIH, Amd. Kep SERTIFIKAT BerAKHLAK")</f>
        <v>ENY WAHYUNINGSIH, Amd. Kep SERTIFIKAT BerAKHLAK</v>
      </c>
      <c r="K968" s="5" t="s">
        <v>6373</v>
      </c>
      <c r="L968" s="5" t="s">
        <v>8611</v>
      </c>
    </row>
    <row r="969">
      <c r="A969" s="4">
        <v>45534.3285812963</v>
      </c>
      <c r="B969" s="5" t="s">
        <v>34</v>
      </c>
      <c r="D969" s="5" t="s">
        <v>580</v>
      </c>
      <c r="E969" s="5" t="s">
        <v>8614</v>
      </c>
      <c r="F969" s="5" t="s">
        <v>375</v>
      </c>
      <c r="G969" s="5" t="s">
        <v>8615</v>
      </c>
      <c r="H969" s="6" t="s">
        <v>8616</v>
      </c>
      <c r="I969" s="7" t="s">
        <v>8617</v>
      </c>
      <c r="J969" s="8" t="str">
        <f>HYPERLINK("https://drive.google.com/file/d/1a0uPatNQZTXSxDctyEyzLXn_Ojg-BlNV/view?usp=drivesdk","NI KOMANG SRI ANGGRENI, SH SERTIFIKAT BerAKHLAK")</f>
        <v>NI KOMANG SRI ANGGRENI, SH SERTIFIKAT BerAKHLAK</v>
      </c>
      <c r="K969" s="5" t="s">
        <v>6373</v>
      </c>
      <c r="L969" s="5" t="s">
        <v>8618</v>
      </c>
    </row>
    <row r="970">
      <c r="A970" s="4">
        <v>45534.328582002316</v>
      </c>
      <c r="B970" s="5" t="s">
        <v>34</v>
      </c>
      <c r="D970" s="5" t="s">
        <v>604</v>
      </c>
      <c r="E970" s="5" t="s">
        <v>8622</v>
      </c>
      <c r="F970" s="5" t="s">
        <v>524</v>
      </c>
      <c r="G970" s="5" t="s">
        <v>8623</v>
      </c>
      <c r="H970" s="6" t="s">
        <v>8624</v>
      </c>
      <c r="I970" s="7" t="s">
        <v>8625</v>
      </c>
      <c r="J970" s="8" t="str">
        <f>HYPERLINK("https://drive.google.com/file/d/1fJ02bN-tipDZF9FMPzbHwkACy25mGh4h/view?usp=drivesdk","NURVIN LILIYANTI, SKM SERTIFIKAT BerAKHLAK")</f>
        <v>NURVIN LILIYANTI, SKM SERTIFIKAT BerAKHLAK</v>
      </c>
      <c r="K970" s="5" t="s">
        <v>6373</v>
      </c>
      <c r="L970" s="5" t="s">
        <v>8626</v>
      </c>
    </row>
    <row r="971">
      <c r="A971" s="4">
        <v>45534.32859179398</v>
      </c>
      <c r="B971" s="5" t="s">
        <v>34</v>
      </c>
      <c r="D971" s="5" t="s">
        <v>3849</v>
      </c>
      <c r="E971" s="5" t="s">
        <v>8629</v>
      </c>
      <c r="F971" s="5" t="s">
        <v>37</v>
      </c>
      <c r="G971" s="5" t="s">
        <v>8630</v>
      </c>
      <c r="H971" s="6" t="s">
        <v>8631</v>
      </c>
      <c r="I971" s="7" t="s">
        <v>8632</v>
      </c>
      <c r="J971" s="8" t="str">
        <f>HYPERLINK("https://drive.google.com/file/d/13WSwtbYv5sgUruHNrqECQpCeI66YkE0q/view?usp=drivesdk","TUTUSSARASTI SERTIFIKAT BerAKHLAK")</f>
        <v>TUTUSSARASTI SERTIFIKAT BerAKHLAK</v>
      </c>
      <c r="K971" s="5" t="s">
        <v>6373</v>
      </c>
      <c r="L971" s="5" t="s">
        <v>8633</v>
      </c>
    </row>
    <row r="972">
      <c r="A972" s="4">
        <v>45534.3286047338</v>
      </c>
      <c r="B972" s="5" t="s">
        <v>34</v>
      </c>
      <c r="D972" s="5" t="s">
        <v>1206</v>
      </c>
      <c r="E972" s="5" t="s">
        <v>8636</v>
      </c>
      <c r="F972" s="5" t="s">
        <v>212</v>
      </c>
      <c r="G972" s="5" t="s">
        <v>8637</v>
      </c>
      <c r="H972" s="6" t="s">
        <v>8638</v>
      </c>
      <c r="I972" s="7" t="s">
        <v>8639</v>
      </c>
      <c r="J972" s="8" t="str">
        <f>HYPERLINK("https://drive.google.com/file/d/1JbqE1l0IczSwRtVNbLMOALcdoAqZSJnS/view?usp=drivesdk","SITI RACHMAWATI SH SERTIFIKAT BerAKHLAK")</f>
        <v>SITI RACHMAWATI SH SERTIFIKAT BerAKHLAK</v>
      </c>
      <c r="K972" s="5" t="s">
        <v>6373</v>
      </c>
      <c r="L972" s="5" t="s">
        <v>8640</v>
      </c>
    </row>
    <row r="973">
      <c r="A973" s="4">
        <v>45534.32860652778</v>
      </c>
      <c r="B973" s="5" t="s">
        <v>34</v>
      </c>
      <c r="D973" s="5" t="s">
        <v>1206</v>
      </c>
      <c r="E973" s="5" t="s">
        <v>8643</v>
      </c>
      <c r="F973" s="5" t="s">
        <v>37</v>
      </c>
      <c r="G973" s="5" t="s">
        <v>8644</v>
      </c>
      <c r="H973" s="6" t="s">
        <v>8645</v>
      </c>
      <c r="I973" s="7" t="s">
        <v>8646</v>
      </c>
      <c r="J973" s="8" t="str">
        <f>HYPERLINK("https://drive.google.com/file/d/1kFWPXdJmsa81tJwX4y3pR_8C9W5azDcc/view?usp=drivesdk","AUNUR ROSYIDAH SERTIFIKAT BerAKHLAK")</f>
        <v>AUNUR ROSYIDAH SERTIFIKAT BerAKHLAK</v>
      </c>
      <c r="K973" s="5" t="s">
        <v>8647</v>
      </c>
      <c r="L973" s="5" t="s">
        <v>8648</v>
      </c>
    </row>
    <row r="974">
      <c r="A974" s="4">
        <v>45534.32860620371</v>
      </c>
      <c r="B974" s="5" t="s">
        <v>34</v>
      </c>
      <c r="D974" s="5" t="s">
        <v>580</v>
      </c>
      <c r="E974" s="5" t="s">
        <v>8651</v>
      </c>
      <c r="F974" s="5" t="s">
        <v>37</v>
      </c>
      <c r="G974" s="5" t="s">
        <v>8652</v>
      </c>
      <c r="H974" s="6" t="s">
        <v>8653</v>
      </c>
      <c r="I974" s="7" t="s">
        <v>8654</v>
      </c>
      <c r="J974" s="8" t="str">
        <f>HYPERLINK("https://drive.google.com/file/d/1LkaVIA6paOE-Eqs4FiHSLGImfH5kn9uh/view?usp=drivesdk","NI KADEK PUSPA SARI YANDHI MERTI PUTRI SERTIFIKAT BerAKHLAK")</f>
        <v>NI KADEK PUSPA SARI YANDHI MERTI PUTRI SERTIFIKAT BerAKHLAK</v>
      </c>
      <c r="K974" s="5" t="s">
        <v>8647</v>
      </c>
      <c r="L974" s="5" t="s">
        <v>8655</v>
      </c>
    </row>
    <row r="975">
      <c r="A975" s="4">
        <v>45534.32860952546</v>
      </c>
      <c r="B975" s="5" t="s">
        <v>34</v>
      </c>
      <c r="D975" s="5" t="s">
        <v>1206</v>
      </c>
      <c r="E975" s="5" t="s">
        <v>8658</v>
      </c>
      <c r="F975" s="5" t="s">
        <v>37</v>
      </c>
      <c r="G975" s="5" t="s">
        <v>8659</v>
      </c>
      <c r="H975" s="6" t="s">
        <v>8660</v>
      </c>
      <c r="I975" s="7" t="s">
        <v>8661</v>
      </c>
      <c r="J975" s="8" t="str">
        <f>HYPERLINK("https://drive.google.com/file/d/1gq2BvBnrfVCNirjWdiyVtDY3TUiDxzfo/view?usp=drivesdk","DESI INDRIANA PUSPITAWATI, A.Md.Kep SERTIFIKAT BerAKHLAK")</f>
        <v>DESI INDRIANA PUSPITAWATI, A.Md.Kep SERTIFIKAT BerAKHLAK</v>
      </c>
      <c r="K975" s="5" t="s">
        <v>8647</v>
      </c>
      <c r="L975" s="5" t="s">
        <v>8662</v>
      </c>
    </row>
    <row r="976">
      <c r="A976" s="4">
        <v>45534.32861197917</v>
      </c>
      <c r="B976" s="5" t="s">
        <v>19</v>
      </c>
      <c r="C976" s="5" t="s">
        <v>8666</v>
      </c>
      <c r="E976" s="5" t="s">
        <v>8667</v>
      </c>
      <c r="F976" s="5" t="s">
        <v>108</v>
      </c>
      <c r="G976" s="5" t="s">
        <v>8668</v>
      </c>
      <c r="H976" s="6" t="s">
        <v>8669</v>
      </c>
      <c r="I976" s="7" t="s">
        <v>8670</v>
      </c>
      <c r="J976" s="8" t="str">
        <f>HYPERLINK("https://drive.google.com/file/d/1NV1Mdn-Zt9-7u1Oa7u4QmkdF0-_wEqYJ/view?usp=drivesdk","PIPIT INDRAWATI  SERTIFIKAT BerAKHLAK")</f>
        <v>PIPIT INDRAWATI  SERTIFIKAT BerAKHLAK</v>
      </c>
      <c r="K976" s="5" t="s">
        <v>8647</v>
      </c>
      <c r="L976" s="5" t="s">
        <v>8671</v>
      </c>
    </row>
    <row r="977">
      <c r="A977" s="4">
        <v>45534.32861658565</v>
      </c>
      <c r="B977" s="5" t="s">
        <v>34</v>
      </c>
      <c r="D977" s="5" t="s">
        <v>1206</v>
      </c>
      <c r="E977" s="5" t="s">
        <v>8674</v>
      </c>
      <c r="F977" s="5" t="s">
        <v>72</v>
      </c>
      <c r="G977" s="5" t="s">
        <v>8675</v>
      </c>
      <c r="H977" s="6" t="s">
        <v>8676</v>
      </c>
      <c r="I977" s="7" t="s">
        <v>8677</v>
      </c>
      <c r="J977" s="8" t="str">
        <f>HYPERLINK("https://drive.google.com/file/d/1TA9mujcpEdbeU-R1l8j_3laoIxJ4Qz87/view?usp=drivesdk","dr DONY ASPRIADI S,Kediaman, M.M. SERTIFIKAT BerAKHLAK")</f>
        <v>dr DONY ASPRIADI S,Kediaman, M.M. SERTIFIKAT BerAKHLAK</v>
      </c>
      <c r="K977" s="5" t="s">
        <v>8647</v>
      </c>
      <c r="L977" s="5" t="s">
        <v>8678</v>
      </c>
    </row>
    <row r="978">
      <c r="A978" s="4">
        <v>45534.328624560185</v>
      </c>
      <c r="B978" s="5" t="s">
        <v>34</v>
      </c>
      <c r="D978" s="5" t="s">
        <v>1663</v>
      </c>
      <c r="E978" s="5" t="s">
        <v>8681</v>
      </c>
      <c r="F978" s="5" t="s">
        <v>37</v>
      </c>
      <c r="G978" s="5" t="s">
        <v>8682</v>
      </c>
      <c r="H978" s="6" t="s">
        <v>8683</v>
      </c>
      <c r="I978" s="7" t="s">
        <v>8684</v>
      </c>
      <c r="J978" s="8" t="str">
        <f>HYPERLINK("https://drive.google.com/file/d/1fJ847BBLmDvIZkj6015rL9WnEcTFXG7O/view?usp=drivesdk","UNA NAVALINA, A.Md.AK SERTIFIKAT BerAKHLAK")</f>
        <v>UNA NAVALINA, A.Md.AK SERTIFIKAT BerAKHLAK</v>
      </c>
      <c r="K978" s="5" t="s">
        <v>8685</v>
      </c>
      <c r="L978" s="5" t="s">
        <v>8686</v>
      </c>
    </row>
    <row r="979">
      <c r="A979" s="4">
        <v>45534.32862971065</v>
      </c>
      <c r="B979" s="5" t="s">
        <v>34</v>
      </c>
      <c r="D979" s="5" t="s">
        <v>4775</v>
      </c>
      <c r="E979" s="5" t="s">
        <v>8689</v>
      </c>
      <c r="F979" s="5" t="s">
        <v>199</v>
      </c>
      <c r="G979" s="5" t="s">
        <v>8690</v>
      </c>
      <c r="H979" s="6" t="s">
        <v>8691</v>
      </c>
      <c r="I979" s="7" t="s">
        <v>8692</v>
      </c>
      <c r="J979" s="8" t="str">
        <f>HYPERLINK("https://drive.google.com/file/d/1NYkqZTvb8iNQl35_1K5ugLqL6gmjpbAI/view?usp=drivesdk","KOESHERIANTO SERTIFIKAT BerAKHLAK")</f>
        <v>KOESHERIANTO SERTIFIKAT BerAKHLAK</v>
      </c>
      <c r="K979" s="5" t="s">
        <v>6373</v>
      </c>
      <c r="L979" s="5" t="s">
        <v>8693</v>
      </c>
    </row>
    <row r="980">
      <c r="A980" s="4">
        <v>45534.32863106481</v>
      </c>
      <c r="B980" s="5" t="s">
        <v>34</v>
      </c>
      <c r="D980" s="5" t="s">
        <v>580</v>
      </c>
      <c r="E980" s="5" t="s">
        <v>8696</v>
      </c>
      <c r="F980" s="5" t="s">
        <v>375</v>
      </c>
      <c r="G980" s="5" t="s">
        <v>8697</v>
      </c>
      <c r="H980" s="6" t="s">
        <v>8698</v>
      </c>
      <c r="I980" s="7" t="s">
        <v>8699</v>
      </c>
      <c r="J980" s="8" t="str">
        <f>HYPERLINK("https://drive.google.com/file/d/1yA7BtlWYdCOSuFyWbxuj3fVJ7iP46Ilk/view?usp=drivesdk","NI WAYAN RASMINI, S.E SERTIFIKAT BerAKHLAK")</f>
        <v>NI WAYAN RASMINI, S.E SERTIFIKAT BerAKHLAK</v>
      </c>
      <c r="K980" s="5" t="s">
        <v>6373</v>
      </c>
      <c r="L980" s="5" t="s">
        <v>8700</v>
      </c>
    </row>
    <row r="981">
      <c r="A981" s="4">
        <v>45534.328632766206</v>
      </c>
      <c r="B981" s="5" t="s">
        <v>34</v>
      </c>
      <c r="D981" s="5" t="s">
        <v>35</v>
      </c>
      <c r="E981" s="5" t="s">
        <v>8703</v>
      </c>
      <c r="F981" s="5" t="s">
        <v>37</v>
      </c>
      <c r="G981" s="5" t="s">
        <v>8704</v>
      </c>
      <c r="H981" s="6" t="s">
        <v>8705</v>
      </c>
      <c r="I981" s="7" t="s">
        <v>8706</v>
      </c>
      <c r="J981" s="8" t="str">
        <f>HYPERLINK("https://drive.google.com/file/d/17hj-SAjK6z7ZyDX4cdwa2BKyA19xFG48/view?usp=drivesdk","SAEPULLOH BAHRI,S.IP SERTIFIKAT BerAKHLAK")</f>
        <v>SAEPULLOH BAHRI,S.IP SERTIFIKAT BerAKHLAK</v>
      </c>
      <c r="K981" s="5" t="s">
        <v>8647</v>
      </c>
      <c r="L981" s="5" t="s">
        <v>8707</v>
      </c>
    </row>
    <row r="982">
      <c r="A982" s="4">
        <v>45534.32868569445</v>
      </c>
      <c r="B982" s="5" t="s">
        <v>34</v>
      </c>
      <c r="D982" s="5" t="s">
        <v>35</v>
      </c>
      <c r="E982" s="5" t="s">
        <v>8710</v>
      </c>
      <c r="F982" s="5" t="s">
        <v>375</v>
      </c>
      <c r="G982" s="5" t="s">
        <v>8711</v>
      </c>
      <c r="H982" s="6" t="s">
        <v>8712</v>
      </c>
      <c r="I982" s="7" t="s">
        <v>8713</v>
      </c>
      <c r="J982" s="8" t="str">
        <f>HYPERLINK("https://drive.google.com/file/d/16YwwfN2ZDxpnK1wJmFZQxYXqJF9Hbqo3/view?usp=drivesdk","DEWI MUSTIKA, SE SERTIFIKAT BerAKHLAK")</f>
        <v>DEWI MUSTIKA, SE SERTIFIKAT BerAKHLAK</v>
      </c>
      <c r="K982" s="5" t="s">
        <v>6373</v>
      </c>
      <c r="L982" s="5" t="s">
        <v>8714</v>
      </c>
    </row>
    <row r="983">
      <c r="A983" s="4">
        <v>45534.32868869213</v>
      </c>
      <c r="B983" s="5" t="s">
        <v>34</v>
      </c>
      <c r="D983" s="5" t="s">
        <v>6232</v>
      </c>
      <c r="E983" s="5" t="s">
        <v>8718</v>
      </c>
      <c r="F983" s="5" t="s">
        <v>375</v>
      </c>
      <c r="G983" s="5" t="s">
        <v>8719</v>
      </c>
      <c r="H983" s="6" t="s">
        <v>8720</v>
      </c>
      <c r="I983" s="7" t="s">
        <v>8721</v>
      </c>
      <c r="J983" s="8" t="str">
        <f>HYPERLINK("https://drive.google.com/file/d/1Ocs55OzIG1hq43-mtAij469fkp39IHYG/view?usp=drivesdk","HERI ZULPANDRA, S.E.,M.S.Ak. SERTIFIKAT BerAKHLAK")</f>
        <v>HERI ZULPANDRA, S.E.,M.S.Ak. SERTIFIKAT BerAKHLAK</v>
      </c>
      <c r="K983" s="5" t="s">
        <v>6373</v>
      </c>
      <c r="L983" s="5" t="s">
        <v>8722</v>
      </c>
    </row>
    <row r="984">
      <c r="A984" s="4">
        <v>45534.32869332176</v>
      </c>
      <c r="B984" s="5" t="s">
        <v>34</v>
      </c>
      <c r="D984" s="5" t="s">
        <v>35</v>
      </c>
      <c r="E984" s="5" t="s">
        <v>8725</v>
      </c>
      <c r="F984" s="5" t="s">
        <v>199</v>
      </c>
      <c r="G984" s="5" t="s">
        <v>8726</v>
      </c>
      <c r="H984" s="6" t="s">
        <v>8727</v>
      </c>
      <c r="I984" s="7" t="s">
        <v>8728</v>
      </c>
      <c r="J984" s="8" t="str">
        <f>HYPERLINK("https://drive.google.com/file/d/12WGpcQ44lltbq0_JN7Cbj6piJnja-Pvw/view?usp=drivesdk","YUYU YULIAWATI SERTIFIKAT BerAKHLAK")</f>
        <v>YUYU YULIAWATI SERTIFIKAT BerAKHLAK</v>
      </c>
      <c r="K984" s="5" t="s">
        <v>6373</v>
      </c>
      <c r="L984" s="5" t="s">
        <v>8729</v>
      </c>
    </row>
    <row r="985">
      <c r="A985" s="4">
        <v>45534.328715069445</v>
      </c>
      <c r="B985" s="5" t="s">
        <v>34</v>
      </c>
      <c r="D985" s="5" t="s">
        <v>4775</v>
      </c>
      <c r="E985" s="5" t="s">
        <v>8732</v>
      </c>
      <c r="F985" s="5" t="s">
        <v>212</v>
      </c>
      <c r="G985" s="5" t="s">
        <v>8733</v>
      </c>
      <c r="H985" s="6" t="s">
        <v>8734</v>
      </c>
      <c r="K985" s="5" t="s">
        <v>8735</v>
      </c>
    </row>
    <row r="986">
      <c r="A986" s="4">
        <v>45534.32872280093</v>
      </c>
      <c r="B986" s="5" t="s">
        <v>34</v>
      </c>
      <c r="D986" s="5" t="s">
        <v>1206</v>
      </c>
      <c r="E986" s="5" t="s">
        <v>8738</v>
      </c>
      <c r="F986" s="5" t="s">
        <v>212</v>
      </c>
      <c r="G986" s="5" t="s">
        <v>8739</v>
      </c>
      <c r="H986" s="6" t="s">
        <v>8740</v>
      </c>
      <c r="I986" s="7" t="s">
        <v>8741</v>
      </c>
      <c r="J986" s="8" t="str">
        <f>HYPERLINK("https://drive.google.com/file/d/1SDWhTzjosOwGxBZjD2TNnEsCpruyd-Cf/view?usp=drivesdk","DEVI AGUSTIN ENDRIANA SERTIFIKAT BerAKHLAK")</f>
        <v>DEVI AGUSTIN ENDRIANA SERTIFIKAT BerAKHLAK</v>
      </c>
      <c r="K986" s="5" t="s">
        <v>6373</v>
      </c>
      <c r="L986" s="5" t="s">
        <v>8742</v>
      </c>
    </row>
    <row r="987">
      <c r="A987" s="4">
        <v>45534.32872521991</v>
      </c>
      <c r="B987" s="5" t="s">
        <v>34</v>
      </c>
      <c r="D987" s="5" t="s">
        <v>4775</v>
      </c>
      <c r="E987" s="5" t="s">
        <v>8745</v>
      </c>
      <c r="F987" s="5" t="s">
        <v>37</v>
      </c>
      <c r="G987" s="5" t="s">
        <v>8746</v>
      </c>
      <c r="H987" s="6" t="s">
        <v>8747</v>
      </c>
      <c r="I987" s="7" t="s">
        <v>8748</v>
      </c>
      <c r="J987" s="8" t="str">
        <f>HYPERLINK("https://drive.google.com/file/d/1kDdkAtd2SvTjurAZErks1Bej_ghhX-C0/view?usp=drivesdk","CHANDRA WIYONO SERTIFIKAT BerAKHLAK")</f>
        <v>CHANDRA WIYONO SERTIFIKAT BerAKHLAK</v>
      </c>
      <c r="K987" s="5" t="s">
        <v>6373</v>
      </c>
      <c r="L987" s="5" t="s">
        <v>8749</v>
      </c>
    </row>
    <row r="988">
      <c r="A988" s="4">
        <v>45534.32874055556</v>
      </c>
      <c r="B988" s="5" t="s">
        <v>34</v>
      </c>
      <c r="D988" s="5" t="s">
        <v>1663</v>
      </c>
      <c r="E988" s="5" t="s">
        <v>8752</v>
      </c>
      <c r="F988" s="5" t="s">
        <v>37</v>
      </c>
      <c r="G988" s="5" t="s">
        <v>8753</v>
      </c>
      <c r="H988" s="6" t="s">
        <v>8754</v>
      </c>
      <c r="I988" s="7" t="s">
        <v>8755</v>
      </c>
      <c r="J988" s="8" t="str">
        <f>HYPERLINK("https://drive.google.com/file/d/1BU2MPdWubYzbHqQVfpWcvEqAsrJS5BX5/view?usp=drivesdk","RIZA HERMAYA PUTRI, AMD.KEB SERTIFIKAT BerAKHLAK")</f>
        <v>RIZA HERMAYA PUTRI, AMD.KEB SERTIFIKAT BerAKHLAK</v>
      </c>
      <c r="K988" s="5" t="s">
        <v>6373</v>
      </c>
      <c r="L988" s="5" t="s">
        <v>8756</v>
      </c>
    </row>
    <row r="989">
      <c r="A989" s="4">
        <v>45534.32874690973</v>
      </c>
      <c r="B989" s="5" t="s">
        <v>34</v>
      </c>
      <c r="D989" s="5" t="s">
        <v>4775</v>
      </c>
      <c r="E989" s="5" t="s">
        <v>8760</v>
      </c>
      <c r="F989" s="5" t="s">
        <v>72</v>
      </c>
      <c r="G989" s="5" t="s">
        <v>8761</v>
      </c>
      <c r="H989" s="6" t="s">
        <v>8762</v>
      </c>
      <c r="I989" s="7" t="s">
        <v>8763</v>
      </c>
      <c r="J989" s="8" t="str">
        <f>HYPERLINK("https://drive.google.com/file/d/1BjDob5h0JpwfTfRw0_zyAA-bnF39fySu/view?usp=drivesdk","IWAN ADI PRIYONO  SERTIFIKAT BerAKHLAK")</f>
        <v>IWAN ADI PRIYONO  SERTIFIKAT BerAKHLAK</v>
      </c>
      <c r="K989" s="5" t="s">
        <v>8647</v>
      </c>
      <c r="L989" s="5" t="s">
        <v>8764</v>
      </c>
    </row>
    <row r="990">
      <c r="A990" s="4">
        <v>45534.3287602662</v>
      </c>
      <c r="B990" s="5" t="s">
        <v>34</v>
      </c>
      <c r="D990" s="5" t="s">
        <v>1206</v>
      </c>
      <c r="E990" s="5" t="s">
        <v>8767</v>
      </c>
      <c r="F990" s="5" t="s">
        <v>375</v>
      </c>
      <c r="G990" s="5" t="s">
        <v>8768</v>
      </c>
      <c r="H990" s="6" t="s">
        <v>8769</v>
      </c>
      <c r="I990" s="7" t="s">
        <v>8770</v>
      </c>
      <c r="J990" s="8" t="str">
        <f>HYPERLINK("https://drive.google.com/file/d/1u7gpCLt-A2c8bKf7WTWIrw4DSTnmqhcz/view?usp=drivesdk","GUNTUR PRIYO JATMIKO, S.E., M.M. SERTIFIKAT BerAKHLAK")</f>
        <v>GUNTUR PRIYO JATMIKO, S.E., M.M. SERTIFIKAT BerAKHLAK</v>
      </c>
      <c r="K990" s="5" t="s">
        <v>8647</v>
      </c>
      <c r="L990" s="5" t="s">
        <v>8771</v>
      </c>
    </row>
    <row r="991">
      <c r="A991" s="4">
        <v>45534.32876097222</v>
      </c>
      <c r="B991" s="5" t="s">
        <v>34</v>
      </c>
      <c r="D991" s="5" t="s">
        <v>35</v>
      </c>
      <c r="E991" s="5" t="s">
        <v>8774</v>
      </c>
      <c r="F991" s="5" t="s">
        <v>37</v>
      </c>
      <c r="G991" s="5" t="s">
        <v>8775</v>
      </c>
      <c r="H991" s="6" t="s">
        <v>8776</v>
      </c>
      <c r="I991" s="7" t="s">
        <v>8777</v>
      </c>
      <c r="J991" s="8" t="str">
        <f>HYPERLINK("https://drive.google.com/file/d/17S2m69BSGfA7boLQwTFh6w7NryRS8-5w/view?usp=drivesdk","LIA ALAWIYAH, A.Md.Gz SERTIFIKAT BerAKHLAK")</f>
        <v>LIA ALAWIYAH, A.Md.Gz SERTIFIKAT BerAKHLAK</v>
      </c>
      <c r="K991" s="5" t="s">
        <v>8647</v>
      </c>
      <c r="L991" s="5" t="s">
        <v>8778</v>
      </c>
    </row>
    <row r="992">
      <c r="A992" s="4">
        <v>45534.32876307871</v>
      </c>
      <c r="B992" s="5" t="s">
        <v>34</v>
      </c>
      <c r="D992" s="5" t="s">
        <v>1768</v>
      </c>
      <c r="E992" s="5" t="s">
        <v>8781</v>
      </c>
      <c r="F992" s="5" t="s">
        <v>72</v>
      </c>
      <c r="G992" s="5" t="s">
        <v>8782</v>
      </c>
      <c r="H992" s="6" t="s">
        <v>8783</v>
      </c>
      <c r="I992" s="7" t="s">
        <v>8784</v>
      </c>
      <c r="J992" s="8" t="str">
        <f>HYPERLINK("https://drive.google.com/file/d/156u0Qj99f8sqRmjVmXQ_PkMdf4q-CS2S/view?usp=drivesdk","SRI PUJI NURYANINGSIH SERTIFIKAT BerAKHLAK")</f>
        <v>SRI PUJI NURYANINGSIH SERTIFIKAT BerAKHLAK</v>
      </c>
      <c r="K992" s="5" t="s">
        <v>8647</v>
      </c>
      <c r="L992" s="5" t="s">
        <v>8785</v>
      </c>
    </row>
    <row r="993">
      <c r="A993" s="4">
        <v>45534.328764039354</v>
      </c>
      <c r="B993" s="5" t="s">
        <v>19</v>
      </c>
      <c r="C993" s="5" t="s">
        <v>292</v>
      </c>
      <c r="E993" s="5" t="s">
        <v>8788</v>
      </c>
      <c r="F993" s="5" t="s">
        <v>375</v>
      </c>
      <c r="G993" s="5" t="s">
        <v>8789</v>
      </c>
      <c r="H993" s="6" t="s">
        <v>8790</v>
      </c>
      <c r="I993" s="7" t="s">
        <v>8791</v>
      </c>
      <c r="J993" s="8" t="str">
        <f>HYPERLINK("https://drive.google.com/file/d/1DCwluSRWKYi9aHthWXJiRvXNFwnLIHzg/view?usp=drivesdk","BUDI HENDRIYANTO  SERTIFIKAT BerAKHLAK")</f>
        <v>BUDI HENDRIYANTO  SERTIFIKAT BerAKHLAK</v>
      </c>
      <c r="K993" s="5" t="s">
        <v>8647</v>
      </c>
      <c r="L993" s="5" t="s">
        <v>8792</v>
      </c>
    </row>
    <row r="994">
      <c r="A994" s="4">
        <v>45534.328765451384</v>
      </c>
      <c r="B994" s="5" t="s">
        <v>34</v>
      </c>
      <c r="D994" s="5" t="s">
        <v>280</v>
      </c>
      <c r="E994" s="5" t="s">
        <v>8795</v>
      </c>
      <c r="F994" s="5" t="s">
        <v>37</v>
      </c>
      <c r="G994" s="5" t="s">
        <v>8796</v>
      </c>
      <c r="H994" s="6" t="s">
        <v>8797</v>
      </c>
      <c r="I994" s="7" t="s">
        <v>8798</v>
      </c>
      <c r="J994" s="8" t="str">
        <f>HYPERLINK("https://drive.google.com/file/d/1BjvIJGwZT1sivG__vwZ45LX8usrTyFOy/view?usp=drivesdk","REKA APRIALIANTI  SERTIFIKAT BerAKHLAK")</f>
        <v>REKA APRIALIANTI  SERTIFIKAT BerAKHLAK</v>
      </c>
      <c r="K994" s="5" t="s">
        <v>8647</v>
      </c>
      <c r="L994" s="5" t="s">
        <v>8799</v>
      </c>
    </row>
    <row r="995">
      <c r="A995" s="4">
        <v>45534.328773125</v>
      </c>
      <c r="B995" s="5" t="s">
        <v>34</v>
      </c>
      <c r="D995" s="5" t="s">
        <v>1692</v>
      </c>
      <c r="E995" s="5" t="s">
        <v>8803</v>
      </c>
      <c r="F995" s="5" t="s">
        <v>37</v>
      </c>
      <c r="G995" s="5" t="s">
        <v>8804</v>
      </c>
      <c r="H995" s="6" t="s">
        <v>8805</v>
      </c>
      <c r="I995" s="7" t="s">
        <v>8806</v>
      </c>
      <c r="J995" s="8" t="str">
        <f>HYPERLINK("https://drive.google.com/file/d/1nCdBfKqwJDtDlH4ZXjoe-Zi_KmwK7Vj-/view?usp=drivesdk","WIDIYANTI CESILYA DIN PATTY, AMd SERTIFIKAT BerAKHLAK")</f>
        <v>WIDIYANTI CESILYA DIN PATTY, AMd SERTIFIKAT BerAKHLAK</v>
      </c>
      <c r="K995" s="5" t="s">
        <v>8685</v>
      </c>
      <c r="L995" s="5" t="s">
        <v>8807</v>
      </c>
    </row>
    <row r="996">
      <c r="A996" s="4">
        <v>45534.32877939814</v>
      </c>
      <c r="B996" s="5" t="s">
        <v>34</v>
      </c>
      <c r="D996" s="5" t="s">
        <v>4775</v>
      </c>
      <c r="E996" s="5" t="s">
        <v>8810</v>
      </c>
      <c r="F996" s="5" t="s">
        <v>37</v>
      </c>
      <c r="G996" s="5" t="s">
        <v>8811</v>
      </c>
      <c r="H996" s="6" t="s">
        <v>8812</v>
      </c>
      <c r="I996" s="7" t="s">
        <v>8813</v>
      </c>
      <c r="J996" s="8" t="str">
        <f>HYPERLINK("https://drive.google.com/file/d/17mAmo0Iy1F9k11TxS8_NwkP_YxHLR3dT/view?usp=drivesdk","ERNI SETYAWATI SERTIFIKAT BerAKHLAK")</f>
        <v>ERNI SETYAWATI SERTIFIKAT BerAKHLAK</v>
      </c>
      <c r="K996" s="5" t="s">
        <v>8685</v>
      </c>
      <c r="L996" s="5" t="s">
        <v>8814</v>
      </c>
    </row>
    <row r="997">
      <c r="A997" s="4">
        <v>45534.32878130787</v>
      </c>
      <c r="B997" s="5" t="s">
        <v>34</v>
      </c>
      <c r="D997" s="5" t="s">
        <v>35</v>
      </c>
      <c r="E997" s="5" t="s">
        <v>8817</v>
      </c>
      <c r="F997" s="5" t="s">
        <v>375</v>
      </c>
      <c r="G997" s="5" t="s">
        <v>8818</v>
      </c>
      <c r="H997" s="6" t="s">
        <v>8819</v>
      </c>
      <c r="I997" s="7" t="s">
        <v>8820</v>
      </c>
      <c r="J997" s="8" t="str">
        <f>HYPERLINK("https://drive.google.com/file/d/1cnP4saNdGt667_52_1X6hE_S_lybVp1E/view?usp=drivesdk","ROMI MEILANADA SERTIFIKAT BerAKHLAK")</f>
        <v>ROMI MEILANADA SERTIFIKAT BerAKHLAK</v>
      </c>
      <c r="K997" s="5" t="s">
        <v>6373</v>
      </c>
      <c r="L997" s="5" t="s">
        <v>8821</v>
      </c>
    </row>
    <row r="998">
      <c r="A998" s="4">
        <v>45534.328789756946</v>
      </c>
      <c r="B998" s="5" t="s">
        <v>34</v>
      </c>
      <c r="D998" s="5" t="s">
        <v>4775</v>
      </c>
      <c r="E998" s="5" t="s">
        <v>8824</v>
      </c>
      <c r="F998" s="5" t="s">
        <v>375</v>
      </c>
      <c r="G998" s="5" t="s">
        <v>8825</v>
      </c>
      <c r="H998" s="6" t="s">
        <v>8826</v>
      </c>
      <c r="I998" s="7" t="s">
        <v>8827</v>
      </c>
      <c r="J998" s="8" t="str">
        <f>HYPERLINK("https://drive.google.com/file/d/1pnCUMaVMR0u7sHz57d0-rJKDlA5t3hqr/view?usp=drivesdk","MIKE INDRIATI RUSITA SERTIFIKAT BerAKHLAK")</f>
        <v>MIKE INDRIATI RUSITA SERTIFIKAT BerAKHLAK</v>
      </c>
      <c r="K998" s="5" t="s">
        <v>6373</v>
      </c>
      <c r="L998" s="5" t="s">
        <v>8828</v>
      </c>
    </row>
    <row r="999">
      <c r="A999" s="4">
        <v>45534.32879738426</v>
      </c>
      <c r="B999" s="5" t="s">
        <v>34</v>
      </c>
      <c r="D999" s="5" t="s">
        <v>4775</v>
      </c>
      <c r="E999" s="5" t="s">
        <v>8831</v>
      </c>
      <c r="F999" s="5" t="s">
        <v>375</v>
      </c>
      <c r="G999" s="5" t="s">
        <v>8832</v>
      </c>
      <c r="H999" s="6" t="s">
        <v>8833</v>
      </c>
      <c r="I999" s="7" t="s">
        <v>8834</v>
      </c>
      <c r="J999" s="8" t="str">
        <f>HYPERLINK("https://drive.google.com/file/d/1BiJ15BdNd9JW6R9CYpasHllXzCn-kL0V/view?usp=drivesdk","SISKA ARIESTYAWATI, S.KOM, M.M. SERTIFIKAT BerAKHLAK")</f>
        <v>SISKA ARIESTYAWATI, S.KOM, M.M. SERTIFIKAT BerAKHLAK</v>
      </c>
      <c r="K999" s="5" t="s">
        <v>8647</v>
      </c>
      <c r="L999" s="5" t="s">
        <v>8835</v>
      </c>
    </row>
    <row r="1000">
      <c r="A1000" s="4">
        <v>45534.32880106481</v>
      </c>
      <c r="B1000" s="5" t="s">
        <v>34</v>
      </c>
      <c r="D1000" s="5" t="s">
        <v>522</v>
      </c>
      <c r="E1000" s="5" t="s">
        <v>8839</v>
      </c>
      <c r="F1000" s="5" t="s">
        <v>375</v>
      </c>
      <c r="G1000" s="5" t="s">
        <v>8840</v>
      </c>
      <c r="H1000" s="6" t="s">
        <v>8841</v>
      </c>
      <c r="I1000" s="7" t="s">
        <v>8842</v>
      </c>
      <c r="J1000" s="8" t="str">
        <f>HYPERLINK("https://drive.google.com/file/d/1bGw8LskpLZxj96TuTcRtEdfLhzfp1f_Z/view?usp=drivesdk","KADEK SRI PARWATI,S.K.M.,M.Ikom SERTIFIKAT BerAKHLAK")</f>
        <v>KADEK SRI PARWATI,S.K.M.,M.Ikom SERTIFIKAT BerAKHLAK</v>
      </c>
      <c r="K1000" s="5" t="s">
        <v>8647</v>
      </c>
      <c r="L1000" s="5" t="s">
        <v>8843</v>
      </c>
    </row>
    <row r="1001">
      <c r="A1001" s="4">
        <v>45534.328802118056</v>
      </c>
      <c r="B1001" s="5" t="s">
        <v>34</v>
      </c>
      <c r="D1001" s="5" t="s">
        <v>4775</v>
      </c>
      <c r="E1001" s="5" t="s">
        <v>8846</v>
      </c>
      <c r="F1001" s="5" t="s">
        <v>375</v>
      </c>
      <c r="G1001" s="5" t="s">
        <v>8847</v>
      </c>
      <c r="H1001" s="6" t="s">
        <v>8848</v>
      </c>
      <c r="I1001" s="7" t="s">
        <v>8849</v>
      </c>
      <c r="J1001" s="8" t="str">
        <f>HYPERLINK("https://drive.google.com/file/d/1bkkVATQQ2iy73u_UDgDDbRbe7bepNsmY/view?usp=drivesdk","RAHAYU WINANTI, SH SERTIFIKAT BerAKHLAK")</f>
        <v>RAHAYU WINANTI, SH SERTIFIKAT BerAKHLAK</v>
      </c>
      <c r="K1001" s="5" t="s">
        <v>8647</v>
      </c>
      <c r="L1001" s="5" t="s">
        <v>8850</v>
      </c>
    </row>
    <row r="1002">
      <c r="A1002" s="4">
        <v>45534.32881708333</v>
      </c>
      <c r="B1002" s="5" t="s">
        <v>34</v>
      </c>
      <c r="D1002" s="5" t="s">
        <v>4775</v>
      </c>
      <c r="E1002" s="5" t="s">
        <v>8853</v>
      </c>
      <c r="F1002" s="5" t="s">
        <v>108</v>
      </c>
      <c r="G1002" s="5" t="s">
        <v>8854</v>
      </c>
      <c r="H1002" s="6" t="s">
        <v>8855</v>
      </c>
      <c r="I1002" s="7" t="s">
        <v>8856</v>
      </c>
      <c r="J1002" s="8" t="str">
        <f>HYPERLINK("https://drive.google.com/file/d/1z2qV-NGDxg9B-Q-qTaQK6SusDoyUnjQn/view?usp=drivesdk","DENIK OKTANINGRUM  SERTIFIKAT BerAKHLAK")</f>
        <v>DENIK OKTANINGRUM  SERTIFIKAT BerAKHLAK</v>
      </c>
      <c r="K1002" s="5" t="s">
        <v>8647</v>
      </c>
      <c r="L1002" s="5" t="s">
        <v>8857</v>
      </c>
    </row>
    <row r="1003">
      <c r="A1003" s="4">
        <v>45534.32882603009</v>
      </c>
      <c r="B1003" s="5" t="s">
        <v>34</v>
      </c>
      <c r="D1003" s="5" t="s">
        <v>1206</v>
      </c>
      <c r="E1003" s="5" t="s">
        <v>8860</v>
      </c>
      <c r="F1003" s="5" t="s">
        <v>212</v>
      </c>
      <c r="G1003" s="5" t="s">
        <v>8861</v>
      </c>
      <c r="H1003" s="6" t="s">
        <v>8862</v>
      </c>
      <c r="I1003" s="7" t="s">
        <v>8863</v>
      </c>
      <c r="J1003" s="8" t="str">
        <f>HYPERLINK("https://drive.google.com/file/d/1dVqmzsngb2oH_tAcX9R_FyfMgvzK9Z2k/view?usp=drivesdk","SRI ANDARWATI SERTIFIKAT BerAKHLAK")</f>
        <v>SRI ANDARWATI SERTIFIKAT BerAKHLAK</v>
      </c>
      <c r="K1003" s="5" t="s">
        <v>8647</v>
      </c>
      <c r="L1003" s="5" t="s">
        <v>8864</v>
      </c>
    </row>
    <row r="1004">
      <c r="A1004" s="4">
        <v>45534.32884636574</v>
      </c>
      <c r="B1004" s="5" t="s">
        <v>34</v>
      </c>
      <c r="D1004" s="5" t="s">
        <v>4775</v>
      </c>
      <c r="E1004" s="5" t="s">
        <v>8867</v>
      </c>
      <c r="F1004" s="5" t="s">
        <v>37</v>
      </c>
      <c r="G1004" s="5" t="s">
        <v>8868</v>
      </c>
      <c r="H1004" s="6" t="s">
        <v>8869</v>
      </c>
      <c r="I1004" s="7" t="s">
        <v>8870</v>
      </c>
      <c r="J1004" s="8" t="str">
        <f>HYPERLINK("https://drive.google.com/file/d/1tk4K7QaGlJjneo7azb8rd__0xhMMe5__/view?usp=drivesdk","RIBUT SRIWAHYUNI SERTIFIKAT BerAKHLAK")</f>
        <v>RIBUT SRIWAHYUNI SERTIFIKAT BerAKHLAK</v>
      </c>
      <c r="K1004" s="5" t="s">
        <v>8647</v>
      </c>
      <c r="L1004" s="5" t="s">
        <v>8871</v>
      </c>
    </row>
    <row r="1005">
      <c r="A1005" s="4">
        <v>45534.32885430555</v>
      </c>
      <c r="B1005" s="5" t="s">
        <v>34</v>
      </c>
      <c r="D1005" s="5" t="s">
        <v>4775</v>
      </c>
      <c r="E1005" s="5" t="s">
        <v>8875</v>
      </c>
      <c r="F1005" s="5" t="s">
        <v>37</v>
      </c>
      <c r="G1005" s="5" t="s">
        <v>8876</v>
      </c>
      <c r="H1005" s="6" t="s">
        <v>8877</v>
      </c>
      <c r="K1005" s="5" t="s">
        <v>8878</v>
      </c>
    </row>
    <row r="1006">
      <c r="A1006" s="4">
        <v>45534.328870983794</v>
      </c>
      <c r="B1006" s="5" t="s">
        <v>34</v>
      </c>
      <c r="D1006" s="5" t="s">
        <v>4775</v>
      </c>
      <c r="E1006" s="5" t="s">
        <v>8881</v>
      </c>
      <c r="F1006" s="5" t="s">
        <v>212</v>
      </c>
      <c r="G1006" s="5" t="s">
        <v>8882</v>
      </c>
      <c r="H1006" s="6" t="s">
        <v>8883</v>
      </c>
      <c r="K1006" s="5" t="s">
        <v>8878</v>
      </c>
    </row>
    <row r="1007">
      <c r="A1007" s="4">
        <v>45534.32887114583</v>
      </c>
      <c r="B1007" s="5" t="s">
        <v>19</v>
      </c>
      <c r="C1007" s="5" t="s">
        <v>3471</v>
      </c>
      <c r="E1007" s="5" t="s">
        <v>8886</v>
      </c>
      <c r="F1007" s="5" t="s">
        <v>108</v>
      </c>
      <c r="G1007" s="5" t="s">
        <v>8887</v>
      </c>
      <c r="H1007" s="6" t="s">
        <v>8888</v>
      </c>
      <c r="K1007" s="5" t="s">
        <v>8878</v>
      </c>
    </row>
    <row r="1008">
      <c r="A1008" s="4">
        <v>45534.32887300926</v>
      </c>
      <c r="B1008" s="5" t="s">
        <v>34</v>
      </c>
      <c r="D1008" s="5" t="s">
        <v>4775</v>
      </c>
      <c r="E1008" s="5" t="s">
        <v>8891</v>
      </c>
      <c r="F1008" s="5" t="s">
        <v>524</v>
      </c>
      <c r="G1008" s="5" t="s">
        <v>8892</v>
      </c>
      <c r="H1008" s="6" t="s">
        <v>8893</v>
      </c>
      <c r="K1008" s="5" t="s">
        <v>8878</v>
      </c>
    </row>
    <row r="1009">
      <c r="A1009" s="4">
        <v>45534.328891261575</v>
      </c>
      <c r="B1009" s="5" t="s">
        <v>34</v>
      </c>
      <c r="D1009" s="5" t="s">
        <v>3849</v>
      </c>
      <c r="E1009" s="5" t="s">
        <v>8896</v>
      </c>
      <c r="F1009" s="5" t="s">
        <v>37</v>
      </c>
      <c r="G1009" s="5" t="s">
        <v>8897</v>
      </c>
      <c r="H1009" s="6" t="s">
        <v>8898</v>
      </c>
      <c r="K1009" s="5" t="s">
        <v>8878</v>
      </c>
    </row>
    <row r="1010">
      <c r="A1010" s="4">
        <v>45534.32890324074</v>
      </c>
      <c r="B1010" s="5" t="s">
        <v>34</v>
      </c>
      <c r="D1010" s="5" t="s">
        <v>4775</v>
      </c>
      <c r="E1010" s="5" t="s">
        <v>8901</v>
      </c>
      <c r="F1010" s="5" t="s">
        <v>212</v>
      </c>
      <c r="G1010" s="5" t="s">
        <v>8902</v>
      </c>
      <c r="H1010" s="6" t="s">
        <v>8903</v>
      </c>
      <c r="I1010" s="7" t="s">
        <v>8904</v>
      </c>
      <c r="J1010" s="8" t="str">
        <f>HYPERLINK("https://drive.google.com/file/d/1QNLnH8j1mckhnf8-d-3aHCcf9I7kVNMu/view?usp=drivesdk","TUTIK HANDAYANI SERTIFIKAT BerAKHLAK")</f>
        <v>TUTIK HANDAYANI SERTIFIKAT BerAKHLAK</v>
      </c>
      <c r="K1010" s="5" t="s">
        <v>6373</v>
      </c>
      <c r="L1010" s="5" t="s">
        <v>8905</v>
      </c>
    </row>
    <row r="1011">
      <c r="A1011" s="4">
        <v>45534.328904699076</v>
      </c>
      <c r="B1011" s="5" t="s">
        <v>34</v>
      </c>
      <c r="D1011" s="5" t="s">
        <v>3849</v>
      </c>
      <c r="E1011" s="5" t="s">
        <v>8909</v>
      </c>
      <c r="F1011" s="5" t="s">
        <v>37</v>
      </c>
      <c r="G1011" s="5" t="s">
        <v>8910</v>
      </c>
      <c r="H1011" s="6" t="s">
        <v>8911</v>
      </c>
      <c r="I1011" s="7" t="s">
        <v>8912</v>
      </c>
      <c r="J1011" s="8" t="str">
        <f>HYPERLINK("https://drive.google.com/file/d/15jj9w1eFVQHHJk_ANqpgZ_1cTFjUljeE/view?usp=drivesdk","YAYUK DAMAYANTI SERTIFIKAT BerAKHLAK")</f>
        <v>YAYUK DAMAYANTI SERTIFIKAT BerAKHLAK</v>
      </c>
      <c r="K1011" s="5" t="s">
        <v>6373</v>
      </c>
      <c r="L1011" s="5" t="s">
        <v>8913</v>
      </c>
    </row>
    <row r="1012">
      <c r="A1012" s="4">
        <v>45534.328905937495</v>
      </c>
      <c r="B1012" s="5" t="s">
        <v>34</v>
      </c>
      <c r="D1012" s="5" t="s">
        <v>4775</v>
      </c>
      <c r="E1012" s="5" t="s">
        <v>8916</v>
      </c>
      <c r="F1012" s="5" t="s">
        <v>212</v>
      </c>
      <c r="G1012" s="5" t="s">
        <v>8917</v>
      </c>
      <c r="H1012" s="6" t="s">
        <v>8918</v>
      </c>
      <c r="I1012" s="7" t="s">
        <v>8919</v>
      </c>
      <c r="J1012" s="8" t="str">
        <f>HYPERLINK("https://drive.google.com/file/d/1FW1EHbfe5yD8ZdTOlU2viUhrC8t0W6NI/view?usp=drivesdk","WAHYUDI DWI PURWANTO SERTIFIKAT BerAKHLAK")</f>
        <v>WAHYUDI DWI PURWANTO SERTIFIKAT BerAKHLAK</v>
      </c>
      <c r="K1012" s="5" t="s">
        <v>8647</v>
      </c>
      <c r="L1012" s="5" t="s">
        <v>8920</v>
      </c>
    </row>
    <row r="1013">
      <c r="A1013" s="4">
        <v>45534.32892368056</v>
      </c>
      <c r="B1013" s="5" t="s">
        <v>34</v>
      </c>
      <c r="D1013" s="5" t="s">
        <v>35</v>
      </c>
      <c r="E1013" s="5" t="s">
        <v>8923</v>
      </c>
      <c r="F1013" s="5" t="s">
        <v>524</v>
      </c>
      <c r="G1013" s="5" t="s">
        <v>8924</v>
      </c>
      <c r="H1013" s="6" t="s">
        <v>8925</v>
      </c>
      <c r="I1013" s="7" t="s">
        <v>8926</v>
      </c>
      <c r="J1013" s="8" t="str">
        <f>HYPERLINK("https://drive.google.com/file/d/19UIaCf59I1VQveD2GkjcaXfoL6AjMk74/view?usp=drivesdk","YANI SURYANI,Amd.Kep SERTIFIKAT BerAKHLAK")</f>
        <v>YANI SURYANI,Amd.Kep SERTIFIKAT BerAKHLAK</v>
      </c>
      <c r="K1013" s="5" t="s">
        <v>6373</v>
      </c>
      <c r="L1013" s="5" t="s">
        <v>8927</v>
      </c>
    </row>
    <row r="1014">
      <c r="A1014" s="4">
        <v>45534.328936770835</v>
      </c>
      <c r="B1014" s="5" t="s">
        <v>34</v>
      </c>
      <c r="D1014" s="5" t="s">
        <v>580</v>
      </c>
      <c r="E1014" s="5" t="s">
        <v>8930</v>
      </c>
      <c r="F1014" s="5" t="s">
        <v>524</v>
      </c>
      <c r="G1014" s="5" t="s">
        <v>8931</v>
      </c>
      <c r="H1014" s="6" t="s">
        <v>8932</v>
      </c>
      <c r="I1014" s="7" t="s">
        <v>8933</v>
      </c>
      <c r="J1014" s="8" t="str">
        <f>HYPERLINK("https://drive.google.com/file/d/1Nwm0qhvQ6bZXeO0_m5fxKH5Enu42KLzJ/view?usp=drivesdk","DEWA AYU PUTU DEWI SUMANTRI, A.Md.Kep SERTIFIKAT BerAKHLAK")</f>
        <v>DEWA AYU PUTU DEWI SUMANTRI, A.Md.Kep SERTIFIKAT BerAKHLAK</v>
      </c>
      <c r="K1014" s="5" t="s">
        <v>8647</v>
      </c>
      <c r="L1014" s="5" t="s">
        <v>8934</v>
      </c>
    </row>
    <row r="1015">
      <c r="A1015" s="4">
        <v>45534.328944953704</v>
      </c>
      <c r="B1015" s="5" t="s">
        <v>34</v>
      </c>
      <c r="D1015" s="5" t="s">
        <v>4775</v>
      </c>
      <c r="E1015" s="5" t="s">
        <v>8937</v>
      </c>
      <c r="F1015" s="5" t="s">
        <v>375</v>
      </c>
      <c r="G1015" s="5" t="s">
        <v>8938</v>
      </c>
      <c r="H1015" s="6" t="s">
        <v>8939</v>
      </c>
      <c r="I1015" s="7" t="s">
        <v>8940</v>
      </c>
      <c r="J1015" s="8" t="str">
        <f>HYPERLINK("https://drive.google.com/file/d/15afSriXXaJXkSM2ssYUkEeLaOura0lKr/view?usp=drivesdk","YULLY IDAYANTI HIDAYAT,SKM., M.Si. SERTIFIKAT BerAKHLAK")</f>
        <v>YULLY IDAYANTI HIDAYAT,SKM., M.Si. SERTIFIKAT BerAKHLAK</v>
      </c>
      <c r="K1015" s="5" t="s">
        <v>8647</v>
      </c>
      <c r="L1015" s="5" t="s">
        <v>8941</v>
      </c>
    </row>
    <row r="1016">
      <c r="A1016" s="4">
        <v>45534.3289558449</v>
      </c>
      <c r="B1016" s="5" t="s">
        <v>34</v>
      </c>
      <c r="D1016" s="5" t="s">
        <v>1206</v>
      </c>
      <c r="E1016" s="5" t="s">
        <v>8944</v>
      </c>
      <c r="F1016" s="5" t="s">
        <v>37</v>
      </c>
      <c r="G1016" s="5" t="s">
        <v>8945</v>
      </c>
      <c r="H1016" s="6" t="s">
        <v>8946</v>
      </c>
      <c r="I1016" s="7" t="s">
        <v>8947</v>
      </c>
      <c r="J1016" s="8" t="str">
        <f>HYPERLINK("https://drive.google.com/file/d/1p8bWbTKCinW9R74AAyvQd9pk9-PNG_PZ/view?usp=drivesdk","BAMBANG TRIONO SERTIFIKAT BerAKHLAK")</f>
        <v>BAMBANG TRIONO SERTIFIKAT BerAKHLAK</v>
      </c>
      <c r="K1016" s="5" t="s">
        <v>6373</v>
      </c>
      <c r="L1016" s="5" t="s">
        <v>8948</v>
      </c>
    </row>
    <row r="1017">
      <c r="A1017" s="4">
        <v>45534.32896893518</v>
      </c>
      <c r="B1017" s="5" t="s">
        <v>34</v>
      </c>
      <c r="D1017" s="5" t="s">
        <v>1206</v>
      </c>
      <c r="E1017" s="5" t="s">
        <v>8952</v>
      </c>
      <c r="F1017" s="5" t="s">
        <v>120</v>
      </c>
      <c r="G1017" s="5" t="s">
        <v>8953</v>
      </c>
      <c r="H1017" s="6" t="s">
        <v>8954</v>
      </c>
      <c r="I1017" s="7" t="s">
        <v>8955</v>
      </c>
      <c r="J1017" s="8" t="str">
        <f>HYPERLINK("https://drive.google.com/file/d/12Tu-s3XPNW1O4RGYuvo7Rf3lfjvPZNDX/view?usp=drivesdk","WAHYU SOLAEKA, S.T., M.M. SERTIFIKAT BerAKHLAK")</f>
        <v>WAHYU SOLAEKA, S.T., M.M. SERTIFIKAT BerAKHLAK</v>
      </c>
      <c r="K1017" s="5" t="s">
        <v>8647</v>
      </c>
      <c r="L1017" s="5" t="s">
        <v>8956</v>
      </c>
    </row>
    <row r="1018">
      <c r="A1018" s="4">
        <v>45534.32897337963</v>
      </c>
      <c r="B1018" s="5" t="s">
        <v>34</v>
      </c>
      <c r="D1018" s="5" t="s">
        <v>2903</v>
      </c>
      <c r="E1018" s="5" t="s">
        <v>8959</v>
      </c>
      <c r="F1018" s="5" t="s">
        <v>212</v>
      </c>
      <c r="G1018" s="5" t="s">
        <v>8960</v>
      </c>
      <c r="H1018" s="6" t="s">
        <v>8961</v>
      </c>
      <c r="I1018" s="7" t="s">
        <v>8962</v>
      </c>
      <c r="J1018" s="8" t="str">
        <f>HYPERLINK("https://drive.google.com/file/d/107fX4lc3GPPVWwaDsOYdoSuXsbStdQvs/view?usp=drivesdk","LUCIA PUTRIAWANI, A.MD., FAR SERTIFIKAT BerAKHLAK")</f>
        <v>LUCIA PUTRIAWANI, A.MD., FAR SERTIFIKAT BerAKHLAK</v>
      </c>
      <c r="K1018" s="5" t="s">
        <v>8647</v>
      </c>
      <c r="L1018" s="5" t="s">
        <v>8963</v>
      </c>
    </row>
    <row r="1019">
      <c r="A1019" s="4">
        <v>45534.32900385417</v>
      </c>
      <c r="B1019" s="5" t="s">
        <v>34</v>
      </c>
      <c r="D1019" s="5" t="s">
        <v>4775</v>
      </c>
      <c r="E1019" s="5" t="s">
        <v>8966</v>
      </c>
      <c r="F1019" s="5" t="s">
        <v>212</v>
      </c>
      <c r="G1019" s="5" t="s">
        <v>8967</v>
      </c>
      <c r="H1019" s="6" t="s">
        <v>8968</v>
      </c>
      <c r="I1019" s="7" t="s">
        <v>8969</v>
      </c>
      <c r="J1019" s="8" t="str">
        <f>HYPERLINK("https://drive.google.com/file/d/1-sOjD__Ckwf4glr6wsXbrRqtG-d1FcqK/view?usp=drivesdk","AGUNG TRIADI PRABOWO SERTIFIKAT BerAKHLAK")</f>
        <v>AGUNG TRIADI PRABOWO SERTIFIKAT BerAKHLAK</v>
      </c>
      <c r="K1019" s="5" t="s">
        <v>8647</v>
      </c>
      <c r="L1019" s="5" t="s">
        <v>8970</v>
      </c>
    </row>
    <row r="1020">
      <c r="A1020" s="4">
        <v>45534.32900913194</v>
      </c>
      <c r="B1020" s="5" t="s">
        <v>34</v>
      </c>
      <c r="D1020" s="5" t="s">
        <v>35</v>
      </c>
      <c r="E1020" s="5" t="s">
        <v>8973</v>
      </c>
      <c r="F1020" s="5" t="s">
        <v>37</v>
      </c>
      <c r="G1020" s="5" t="s">
        <v>8974</v>
      </c>
      <c r="H1020" s="6" t="s">
        <v>8975</v>
      </c>
      <c r="I1020" s="7" t="s">
        <v>8976</v>
      </c>
      <c r="J1020" s="8" t="str">
        <f>HYPERLINK("https://drive.google.com/file/d/1Twu1EmVYMqqNumUBCYFYEFqPbNCkInb2/view?usp=drivesdk","NURHAYATIIIIII SERTIFIKAT BerAKHLAK")</f>
        <v>NURHAYATIIIIII SERTIFIKAT BerAKHLAK</v>
      </c>
      <c r="K1020" s="5" t="s">
        <v>8647</v>
      </c>
      <c r="L1020" s="5" t="s">
        <v>8977</v>
      </c>
    </row>
    <row r="1021">
      <c r="A1021" s="4">
        <v>45534.32901425926</v>
      </c>
      <c r="B1021" s="5" t="s">
        <v>19</v>
      </c>
      <c r="C1021" s="5" t="s">
        <v>3301</v>
      </c>
      <c r="E1021" s="5" t="s">
        <v>8980</v>
      </c>
      <c r="F1021" s="5" t="s">
        <v>37</v>
      </c>
      <c r="G1021" s="5" t="s">
        <v>8981</v>
      </c>
      <c r="H1021" s="6" t="s">
        <v>8982</v>
      </c>
      <c r="I1021" s="7" t="s">
        <v>8983</v>
      </c>
      <c r="J1021" s="8" t="str">
        <f>HYPERLINK("https://drive.google.com/file/d/1a4YGBRDkxpiLbSyCsS9kJgjdQIvjfji9/view?usp=drivesdk","PRATIWI PURWANTO, A.MD.KES SERTIFIKAT BerAKHLAK")</f>
        <v>PRATIWI PURWANTO, A.MD.KES SERTIFIKAT BerAKHLAK</v>
      </c>
      <c r="K1021" s="5" t="s">
        <v>8647</v>
      </c>
      <c r="L1021" s="5" t="s">
        <v>8984</v>
      </c>
    </row>
    <row r="1022">
      <c r="A1022" s="4">
        <v>45534.32901806713</v>
      </c>
      <c r="B1022" s="5" t="s">
        <v>34</v>
      </c>
      <c r="D1022" s="5" t="s">
        <v>1768</v>
      </c>
      <c r="E1022" s="5" t="s">
        <v>8987</v>
      </c>
      <c r="F1022" s="5" t="s">
        <v>108</v>
      </c>
      <c r="G1022" s="5" t="s">
        <v>8988</v>
      </c>
      <c r="H1022" s="6" t="s">
        <v>8989</v>
      </c>
      <c r="I1022" s="7" t="s">
        <v>8990</v>
      </c>
      <c r="J1022" s="8" t="str">
        <f>HYPERLINK("https://drive.google.com/file/d/1DkToMCmmx0FLT-fAC0vuwa-Tnjpl4rWu/view?usp=drivesdk","PENDA TK. I SRI ANDAYANI SERTIFIKAT BerAKHLAK")</f>
        <v>PENDA TK. I SRI ANDAYANI SERTIFIKAT BerAKHLAK</v>
      </c>
      <c r="K1022" s="5" t="s">
        <v>8647</v>
      </c>
      <c r="L1022" s="5" t="s">
        <v>8991</v>
      </c>
    </row>
    <row r="1023">
      <c r="A1023" s="4">
        <v>45534.32901891204</v>
      </c>
      <c r="B1023" s="5" t="s">
        <v>34</v>
      </c>
      <c r="D1023" s="5" t="s">
        <v>1206</v>
      </c>
      <c r="E1023" s="5" t="s">
        <v>8995</v>
      </c>
      <c r="F1023" s="5" t="s">
        <v>37</v>
      </c>
      <c r="G1023" s="5" t="s">
        <v>8996</v>
      </c>
      <c r="H1023" s="6" t="s">
        <v>8997</v>
      </c>
      <c r="K1023" s="5" t="s">
        <v>8998</v>
      </c>
    </row>
    <row r="1024">
      <c r="A1024" s="4">
        <v>45534.32902769676</v>
      </c>
      <c r="B1024" s="5" t="s">
        <v>34</v>
      </c>
      <c r="D1024" s="5" t="s">
        <v>1768</v>
      </c>
      <c r="E1024" s="5" t="s">
        <v>9001</v>
      </c>
      <c r="F1024" s="5" t="s">
        <v>199</v>
      </c>
      <c r="G1024" s="5" t="s">
        <v>9002</v>
      </c>
      <c r="H1024" s="6" t="s">
        <v>9003</v>
      </c>
      <c r="K1024" s="5" t="s">
        <v>8998</v>
      </c>
    </row>
    <row r="1025">
      <c r="A1025" s="4">
        <v>45534.32904236111</v>
      </c>
      <c r="B1025" s="5" t="s">
        <v>34</v>
      </c>
      <c r="D1025" s="5" t="s">
        <v>35</v>
      </c>
      <c r="E1025" s="5" t="s">
        <v>9006</v>
      </c>
      <c r="F1025" s="5" t="s">
        <v>524</v>
      </c>
      <c r="G1025" s="5" t="s">
        <v>9007</v>
      </c>
      <c r="H1025" s="6" t="s">
        <v>9008</v>
      </c>
      <c r="I1025" s="7" t="s">
        <v>9009</v>
      </c>
      <c r="J1025" s="8" t="str">
        <f>HYPERLINK("https://drive.google.com/file/d/1FEQRqgZnnf0G5Yy5r0YANh8CKLyFntxz/view?usp=drivesdk","INDRI HAFSARY, A.Md.Kep SERTIFIKAT BerAKHLAK")</f>
        <v>INDRI HAFSARY, A.Md.Kep SERTIFIKAT BerAKHLAK</v>
      </c>
      <c r="K1025" s="5" t="s">
        <v>8647</v>
      </c>
      <c r="L1025" s="5" t="s">
        <v>9010</v>
      </c>
    </row>
    <row r="1026">
      <c r="A1026" s="4">
        <v>45534.32904319445</v>
      </c>
      <c r="B1026" s="5" t="s">
        <v>34</v>
      </c>
      <c r="D1026" s="5" t="s">
        <v>35</v>
      </c>
      <c r="E1026" s="5" t="s">
        <v>9013</v>
      </c>
      <c r="F1026" s="5" t="s">
        <v>108</v>
      </c>
      <c r="G1026" s="5" t="s">
        <v>9014</v>
      </c>
      <c r="H1026" s="6" t="s">
        <v>9015</v>
      </c>
      <c r="I1026" s="7" t="s">
        <v>9016</v>
      </c>
      <c r="J1026" s="8" t="str">
        <f>HYPERLINK("https://drive.google.com/file/d/148xbkxH2sBItRecW7Asu7DT7CLSt91Ls/view?usp=drivesdk","PERTIWI SISWANDARI SERTIFIKAT BerAKHLAK")</f>
        <v>PERTIWI SISWANDARI SERTIFIKAT BerAKHLAK</v>
      </c>
      <c r="K1026" s="5" t="s">
        <v>8647</v>
      </c>
      <c r="L1026" s="5" t="s">
        <v>9017</v>
      </c>
    </row>
    <row r="1027">
      <c r="A1027" s="4">
        <v>45534.329044467595</v>
      </c>
      <c r="B1027" s="5" t="s">
        <v>34</v>
      </c>
      <c r="D1027" s="5" t="s">
        <v>9020</v>
      </c>
      <c r="E1027" s="5" t="s">
        <v>9021</v>
      </c>
      <c r="F1027" s="5" t="s">
        <v>37</v>
      </c>
      <c r="G1027" s="5" t="s">
        <v>9022</v>
      </c>
      <c r="H1027" s="6" t="s">
        <v>9023</v>
      </c>
      <c r="I1027" s="7" t="s">
        <v>9024</v>
      </c>
      <c r="J1027" s="8" t="str">
        <f>HYPERLINK("https://drive.google.com/file/d/1vG4aOG704YQIe50usdtjzWs1_G5jKb6A/view?usp=drivesdk","MARIA GORETTY SIGALINGGING SERTIFIKAT BerAKHLAK")</f>
        <v>MARIA GORETTY SIGALINGGING SERTIFIKAT BerAKHLAK</v>
      </c>
      <c r="K1027" s="5" t="s">
        <v>8647</v>
      </c>
      <c r="L1027" s="5" t="s">
        <v>9025</v>
      </c>
    </row>
    <row r="1028">
      <c r="A1028" s="4">
        <v>45534.329056030096</v>
      </c>
      <c r="B1028" s="5" t="s">
        <v>34</v>
      </c>
      <c r="D1028" s="5" t="s">
        <v>280</v>
      </c>
      <c r="E1028" s="5" t="s">
        <v>9028</v>
      </c>
      <c r="F1028" s="5" t="s">
        <v>524</v>
      </c>
      <c r="G1028" s="5" t="s">
        <v>9029</v>
      </c>
      <c r="H1028" s="6" t="s">
        <v>9030</v>
      </c>
      <c r="I1028" s="7" t="s">
        <v>9031</v>
      </c>
      <c r="J1028" s="8" t="str">
        <f>HYPERLINK("https://drive.google.com/file/d/128PSveUjMUwvuiRXxIcEdjOnOmsHjU1O/view?usp=drivesdk","PENDA IDA WAHYUNI SERTIFIKAT BerAKHLAK")</f>
        <v>PENDA IDA WAHYUNI SERTIFIKAT BerAKHLAK</v>
      </c>
      <c r="K1028" s="5" t="s">
        <v>8647</v>
      </c>
      <c r="L1028" s="5" t="s">
        <v>9032</v>
      </c>
    </row>
    <row r="1029">
      <c r="A1029" s="4">
        <v>45534.32905612269</v>
      </c>
      <c r="B1029" s="5" t="s">
        <v>34</v>
      </c>
      <c r="D1029" s="5" t="s">
        <v>280</v>
      </c>
      <c r="E1029" s="5" t="s">
        <v>9036</v>
      </c>
      <c r="F1029" s="5" t="s">
        <v>37</v>
      </c>
      <c r="G1029" s="5" t="s">
        <v>9037</v>
      </c>
      <c r="H1029" s="6" t="s">
        <v>9038</v>
      </c>
      <c r="I1029" s="7" t="s">
        <v>9039</v>
      </c>
      <c r="J1029" s="8" t="str">
        <f>HYPERLINK("https://drive.google.com/file/d/1wCmyewTuvO9CUP46LZ0pWg173aY8mZoZ/view?usp=drivesdk","AGUSTINA NAHAR SERTIFIKAT BerAKHLAK")</f>
        <v>AGUSTINA NAHAR SERTIFIKAT BerAKHLAK</v>
      </c>
      <c r="K1029" s="5" t="s">
        <v>8647</v>
      </c>
      <c r="L1029" s="5" t="s">
        <v>9040</v>
      </c>
    </row>
    <row r="1030">
      <c r="A1030" s="4">
        <v>45534.32906787037</v>
      </c>
      <c r="B1030" s="5" t="s">
        <v>34</v>
      </c>
      <c r="D1030" s="5" t="s">
        <v>9020</v>
      </c>
      <c r="E1030" s="5" t="s">
        <v>9043</v>
      </c>
      <c r="F1030" s="5" t="s">
        <v>9044</v>
      </c>
      <c r="G1030" s="5" t="s">
        <v>9045</v>
      </c>
      <c r="H1030" s="6" t="s">
        <v>9046</v>
      </c>
      <c r="I1030" s="7" t="s">
        <v>9047</v>
      </c>
      <c r="J1030" s="8" t="str">
        <f>HYPERLINK("https://drive.google.com/file/d/1QP9_w7C46oE8uMTxDgV2nBqbV3jFHaW4/view?usp=drivesdk","MUHAMMAD TIKO NOVIAN, S.H., M.M. SERTIFIKAT BerAKHLAK")</f>
        <v>MUHAMMAD TIKO NOVIAN, S.H., M.M. SERTIFIKAT BerAKHLAK</v>
      </c>
      <c r="K1030" s="5" t="s">
        <v>8647</v>
      </c>
      <c r="L1030" s="5" t="s">
        <v>9048</v>
      </c>
    </row>
    <row r="1031">
      <c r="A1031" s="4">
        <v>45534.32907091435</v>
      </c>
      <c r="B1031" s="5" t="s">
        <v>34</v>
      </c>
      <c r="D1031" s="5" t="s">
        <v>4775</v>
      </c>
      <c r="E1031" s="5" t="s">
        <v>9051</v>
      </c>
      <c r="F1031" s="5" t="s">
        <v>72</v>
      </c>
      <c r="G1031" s="5" t="s">
        <v>9052</v>
      </c>
      <c r="H1031" s="6" t="s">
        <v>9053</v>
      </c>
      <c r="I1031" s="7" t="s">
        <v>9054</v>
      </c>
      <c r="J1031" s="8" t="str">
        <f>HYPERLINK("https://drive.google.com/file/d/11X51ubC9aBm1VCXvtK0aUl42-o4F1vpd/view?usp=drivesdk","HENY SETYANINGSIH SERTIFIKAT BerAKHLAK")</f>
        <v>HENY SETYANINGSIH SERTIFIKAT BerAKHLAK</v>
      </c>
      <c r="K1031" s="5" t="s">
        <v>8685</v>
      </c>
      <c r="L1031" s="5" t="s">
        <v>9055</v>
      </c>
    </row>
    <row r="1032">
      <c r="A1032" s="4">
        <v>45534.32907581019</v>
      </c>
      <c r="B1032" s="5" t="s">
        <v>34</v>
      </c>
      <c r="D1032" s="5" t="s">
        <v>1206</v>
      </c>
      <c r="E1032" s="5" t="s">
        <v>9058</v>
      </c>
      <c r="F1032" s="5" t="s">
        <v>37</v>
      </c>
      <c r="G1032" s="5" t="s">
        <v>9059</v>
      </c>
      <c r="H1032" s="6" t="s">
        <v>9060</v>
      </c>
      <c r="I1032" s="7" t="s">
        <v>9061</v>
      </c>
      <c r="J1032" s="8" t="str">
        <f>HYPERLINK("https://drive.google.com/file/d/139oik3hPx_APmNJuZ3FfVSuT-YwZ2LHy/view?usp=drivesdk","MOH ARIF RAHMAN SERTIFIKAT BerAKHLAK")</f>
        <v>MOH ARIF RAHMAN SERTIFIKAT BerAKHLAK</v>
      </c>
      <c r="K1032" s="5" t="s">
        <v>8685</v>
      </c>
      <c r="L1032" s="5" t="s">
        <v>9062</v>
      </c>
    </row>
    <row r="1033">
      <c r="A1033" s="4">
        <v>45534.32907755787</v>
      </c>
      <c r="B1033" s="5" t="s">
        <v>34</v>
      </c>
      <c r="D1033" s="5" t="s">
        <v>1768</v>
      </c>
      <c r="E1033" s="5" t="s">
        <v>7714</v>
      </c>
      <c r="F1033" s="5" t="s">
        <v>108</v>
      </c>
      <c r="G1033" s="5" t="s">
        <v>9066</v>
      </c>
      <c r="H1033" s="6" t="s">
        <v>9067</v>
      </c>
      <c r="I1033" s="7" t="s">
        <v>9068</v>
      </c>
      <c r="J1033" s="8" t="str">
        <f>HYPERLINK("https://drive.google.com/file/d/1H_wS9QW8i65U06Zpz07cufW-tbj0t8xI/view?usp=drivesdk","ENDANG SRI RAHAYU SERTIFIKAT BerAKHLAK")</f>
        <v>ENDANG SRI RAHAYU SERTIFIKAT BerAKHLAK</v>
      </c>
      <c r="K1033" s="5" t="s">
        <v>8685</v>
      </c>
      <c r="L1033" s="5" t="s">
        <v>9069</v>
      </c>
    </row>
    <row r="1034">
      <c r="A1034" s="4">
        <v>45534.32909234954</v>
      </c>
      <c r="B1034" s="5" t="s">
        <v>34</v>
      </c>
      <c r="D1034" s="5" t="s">
        <v>35</v>
      </c>
      <c r="E1034" s="5" t="s">
        <v>9072</v>
      </c>
      <c r="F1034" s="5" t="s">
        <v>108</v>
      </c>
      <c r="G1034" s="5" t="s">
        <v>9073</v>
      </c>
      <c r="H1034" s="6" t="s">
        <v>9074</v>
      </c>
      <c r="I1034" s="7" t="s">
        <v>9075</v>
      </c>
      <c r="J1034" s="8" t="str">
        <f>HYPERLINK("https://drive.google.com/file/d/1d5ex8bVD4zzgDJlC6IY5-Bf4FC6avzKC/view?usp=drivesdk","TAOPIK HIDAYAT, AMK SERTIFIKAT BerAKHLAK")</f>
        <v>TAOPIK HIDAYAT, AMK SERTIFIKAT BerAKHLAK</v>
      </c>
      <c r="K1034" s="5" t="s">
        <v>8647</v>
      </c>
      <c r="L1034" s="5" t="s">
        <v>9076</v>
      </c>
    </row>
    <row r="1035">
      <c r="A1035" s="4">
        <v>45534.32910560185</v>
      </c>
      <c r="B1035" s="5" t="s">
        <v>34</v>
      </c>
      <c r="D1035" s="5" t="s">
        <v>267</v>
      </c>
      <c r="E1035" s="5" t="s">
        <v>9079</v>
      </c>
      <c r="F1035" s="5" t="s">
        <v>37</v>
      </c>
      <c r="G1035" s="5" t="s">
        <v>9080</v>
      </c>
      <c r="H1035" s="6" t="s">
        <v>9081</v>
      </c>
      <c r="I1035" s="7" t="s">
        <v>9082</v>
      </c>
      <c r="J1035" s="8" t="str">
        <f>HYPERLINK("https://drive.google.com/file/d/1WK3pHAHGuvXR0DjsRxtmCL-gRtPoRbWH/view?usp=drivesdk","YOHANES AGUNG PRIHATMOKO SERTIFIKAT BerAKHLAK")</f>
        <v>YOHANES AGUNG PRIHATMOKO SERTIFIKAT BerAKHLAK</v>
      </c>
      <c r="K1035" s="5" t="s">
        <v>8647</v>
      </c>
      <c r="L1035" s="5" t="s">
        <v>9083</v>
      </c>
    </row>
    <row r="1036">
      <c r="A1036" s="4">
        <v>45534.32912284722</v>
      </c>
      <c r="B1036" s="5" t="s">
        <v>34</v>
      </c>
      <c r="D1036" s="5" t="s">
        <v>4775</v>
      </c>
      <c r="E1036" s="5" t="s">
        <v>9086</v>
      </c>
      <c r="F1036" s="5" t="s">
        <v>375</v>
      </c>
      <c r="G1036" s="5" t="s">
        <v>9087</v>
      </c>
      <c r="H1036" s="6" t="s">
        <v>9088</v>
      </c>
      <c r="I1036" s="7" t="s">
        <v>9089</v>
      </c>
      <c r="J1036" s="8" t="str">
        <f>HYPERLINK("https://drive.google.com/file/d/1F3F9ljpl23qrYj004dJjYd2c0JjBzoZs/view?usp=drivesdk","RIZZCHI WIDIJATMOKO, S.E. SERTIFIKAT BerAKHLAK")</f>
        <v>RIZZCHI WIDIJATMOKO, S.E. SERTIFIKAT BerAKHLAK</v>
      </c>
      <c r="K1036" s="5" t="s">
        <v>8647</v>
      </c>
      <c r="L1036" s="5" t="s">
        <v>9090</v>
      </c>
    </row>
    <row r="1037">
      <c r="A1037" s="4">
        <v>45534.329140856484</v>
      </c>
      <c r="B1037" s="5" t="s">
        <v>34</v>
      </c>
      <c r="D1037" s="5" t="s">
        <v>4775</v>
      </c>
      <c r="E1037" s="5" t="s">
        <v>9093</v>
      </c>
      <c r="F1037" s="5" t="s">
        <v>212</v>
      </c>
      <c r="G1037" s="5" t="s">
        <v>9094</v>
      </c>
      <c r="H1037" s="6" t="s">
        <v>9095</v>
      </c>
      <c r="I1037" s="7" t="s">
        <v>9096</v>
      </c>
      <c r="J1037" s="8" t="str">
        <f>HYPERLINK("https://drive.google.com/file/d/1a8UxkaRxeges74faltkjoo1jlcUmMDH4/view?usp=drivesdk","ERY WAHYUNI PUSPITASARI  SERTIFIKAT BerAKHLAK")</f>
        <v>ERY WAHYUNI PUSPITASARI  SERTIFIKAT BerAKHLAK</v>
      </c>
      <c r="K1037" s="5" t="s">
        <v>8647</v>
      </c>
      <c r="L1037" s="5" t="s">
        <v>9097</v>
      </c>
    </row>
    <row r="1038">
      <c r="A1038" s="4">
        <v>45534.32918480324</v>
      </c>
      <c r="B1038" s="5" t="s">
        <v>34</v>
      </c>
      <c r="D1038" s="5" t="s">
        <v>35</v>
      </c>
      <c r="E1038" s="5" t="s">
        <v>9100</v>
      </c>
      <c r="F1038" s="5" t="s">
        <v>37</v>
      </c>
      <c r="G1038" s="5" t="s">
        <v>9101</v>
      </c>
      <c r="H1038" s="6" t="s">
        <v>9102</v>
      </c>
      <c r="I1038" s="7" t="s">
        <v>9103</v>
      </c>
      <c r="J1038" s="8" t="str">
        <f>HYPERLINK("https://drive.google.com/file/d/11r9NHaKAjD4ELjmJ8DZ2Cmk4JkHZYwcu/view?usp=drivesdk","TINI YUNIARTI SERTIFIKAT BerAKHLAK")</f>
        <v>TINI YUNIARTI SERTIFIKAT BerAKHLAK</v>
      </c>
      <c r="K1038" s="5" t="s">
        <v>8647</v>
      </c>
      <c r="L1038" s="5" t="s">
        <v>9104</v>
      </c>
    </row>
    <row r="1039">
      <c r="A1039" s="4">
        <v>45534.329184965274</v>
      </c>
      <c r="B1039" s="5" t="s">
        <v>34</v>
      </c>
      <c r="D1039" s="5" t="s">
        <v>280</v>
      </c>
      <c r="E1039" s="5" t="s">
        <v>9108</v>
      </c>
      <c r="F1039" s="5" t="s">
        <v>37</v>
      </c>
      <c r="G1039" s="5" t="s">
        <v>9109</v>
      </c>
      <c r="H1039" s="6" t="s">
        <v>9110</v>
      </c>
      <c r="I1039" s="7" t="s">
        <v>9111</v>
      </c>
      <c r="J1039" s="8" t="str">
        <f>HYPERLINK("https://drive.google.com/file/d/1QwvDUIwP8k8_tceiw8gs5O67-ecZ9v02/view?usp=drivesdk","EMIL DARIANA NAHAR SERTIFIKAT BerAKHLAK")</f>
        <v>EMIL DARIANA NAHAR SERTIFIKAT BerAKHLAK</v>
      </c>
      <c r="K1039" s="5" t="s">
        <v>8647</v>
      </c>
      <c r="L1039" s="5" t="s">
        <v>9112</v>
      </c>
    </row>
    <row r="1040">
      <c r="A1040" s="4">
        <v>45534.32919179398</v>
      </c>
      <c r="B1040" s="5" t="s">
        <v>19</v>
      </c>
      <c r="C1040" s="5" t="s">
        <v>20</v>
      </c>
      <c r="E1040" s="5" t="s">
        <v>9115</v>
      </c>
      <c r="F1040" s="5" t="s">
        <v>120</v>
      </c>
      <c r="G1040" s="5" t="s">
        <v>9116</v>
      </c>
      <c r="H1040" s="6" t="s">
        <v>9117</v>
      </c>
      <c r="I1040" s="7" t="s">
        <v>9118</v>
      </c>
      <c r="J1040" s="8" t="str">
        <f>HYPERLINK("https://drive.google.com/file/d/1tv_jJQje9pLBn9Frq36nWV-6VguIaq1q/view?usp=drivesdk","AGUNG SURADYANTO, S.E. SERTIFIKAT BerAKHLAK")</f>
        <v>AGUNG SURADYANTO, S.E. SERTIFIKAT BerAKHLAK</v>
      </c>
      <c r="K1040" s="5" t="s">
        <v>8685</v>
      </c>
      <c r="L1040" s="5" t="s">
        <v>9119</v>
      </c>
    </row>
    <row r="1041">
      <c r="A1041" s="4">
        <v>45534.32921119213</v>
      </c>
      <c r="B1041" s="5" t="s">
        <v>19</v>
      </c>
      <c r="C1041" s="5" t="s">
        <v>20</v>
      </c>
      <c r="E1041" s="5" t="s">
        <v>9122</v>
      </c>
      <c r="F1041" s="5" t="s">
        <v>524</v>
      </c>
      <c r="G1041" s="5" t="s">
        <v>9123</v>
      </c>
      <c r="H1041" s="6" t="s">
        <v>9124</v>
      </c>
      <c r="I1041" s="7" t="s">
        <v>9125</v>
      </c>
      <c r="J1041" s="8" t="str">
        <f>HYPERLINK("https://drive.google.com/file/d/18sEi9HzB6fn0_6VVTA7c4xbH9nTV718o/view?usp=drivesdk","HADI APRI SUYANTO SERTIFIKAT BerAKHLAK")</f>
        <v>HADI APRI SUYANTO SERTIFIKAT BerAKHLAK</v>
      </c>
      <c r="K1041" s="5" t="s">
        <v>8647</v>
      </c>
      <c r="L1041" s="5" t="s">
        <v>9126</v>
      </c>
    </row>
    <row r="1042">
      <c r="A1042" s="4">
        <v>45534.32922496527</v>
      </c>
      <c r="B1042" s="5" t="s">
        <v>34</v>
      </c>
      <c r="D1042" s="5" t="s">
        <v>1206</v>
      </c>
      <c r="E1042" s="5" t="s">
        <v>9129</v>
      </c>
      <c r="F1042" s="5" t="s">
        <v>375</v>
      </c>
      <c r="G1042" s="5" t="s">
        <v>9130</v>
      </c>
      <c r="H1042" s="6" t="s">
        <v>9131</v>
      </c>
      <c r="I1042" s="7" t="s">
        <v>9132</v>
      </c>
      <c r="J1042" s="8" t="str">
        <f>HYPERLINK("https://drive.google.com/file/d/1sD4NVJ0-UmrcsnqEJkCE4TrFefuFPvOh/view?usp=drivesdk","YENI KISMAWATI  SERTIFIKAT BerAKHLAK")</f>
        <v>YENI KISMAWATI  SERTIFIKAT BerAKHLAK</v>
      </c>
      <c r="K1042" s="5" t="s">
        <v>8647</v>
      </c>
      <c r="L1042" s="5" t="s">
        <v>9133</v>
      </c>
    </row>
    <row r="1043">
      <c r="A1043" s="4">
        <v>45534.329225821755</v>
      </c>
      <c r="B1043" s="5" t="s">
        <v>34</v>
      </c>
      <c r="D1043" s="5" t="s">
        <v>280</v>
      </c>
      <c r="E1043" s="5" t="s">
        <v>9137</v>
      </c>
      <c r="F1043" s="5" t="s">
        <v>715</v>
      </c>
      <c r="G1043" s="5" t="s">
        <v>9138</v>
      </c>
      <c r="H1043" s="6" t="s">
        <v>9139</v>
      </c>
      <c r="I1043" s="7" t="s">
        <v>9140</v>
      </c>
      <c r="J1043" s="8" t="str">
        <f>HYPERLINK("https://drive.google.com/file/d/1gpNwModp0cmn0jMxVh7cxJLBQpecrCxd/view?usp=drivesdk","AWDIA SUCIETY, S.E SERTIFIKAT BerAKHLAK")</f>
        <v>AWDIA SUCIETY, S.E SERTIFIKAT BerAKHLAK</v>
      </c>
      <c r="K1043" s="5" t="s">
        <v>8647</v>
      </c>
      <c r="L1043" s="5" t="s">
        <v>9141</v>
      </c>
    </row>
    <row r="1044">
      <c r="A1044" s="4">
        <v>45534.32923509259</v>
      </c>
      <c r="B1044" s="5" t="s">
        <v>34</v>
      </c>
      <c r="D1044" s="5" t="s">
        <v>3432</v>
      </c>
      <c r="E1044" s="5" t="s">
        <v>9144</v>
      </c>
      <c r="F1044" s="5" t="s">
        <v>37</v>
      </c>
      <c r="G1044" s="5" t="s">
        <v>9145</v>
      </c>
      <c r="H1044" s="6" t="s">
        <v>9146</v>
      </c>
      <c r="I1044" s="7" t="s">
        <v>9147</v>
      </c>
      <c r="J1044" s="8" t="str">
        <f>HYPERLINK("https://drive.google.com/file/d/1wdyVp9NOUPMwhUEdcoCA31mWA29jdJJK/view?usp=drivesdk","MUHAMMAD AL GHAZALI NUHUYANANA, A.MD. KEP SERTIFIKAT BerAKHLAK")</f>
        <v>MUHAMMAD AL GHAZALI NUHUYANANA, A.MD. KEP SERTIFIKAT BerAKHLAK</v>
      </c>
      <c r="K1044" s="5" t="s">
        <v>8647</v>
      </c>
      <c r="L1044" s="5" t="s">
        <v>9148</v>
      </c>
    </row>
    <row r="1045">
      <c r="A1045" s="4">
        <v>45534.32928770833</v>
      </c>
      <c r="B1045" s="5" t="s">
        <v>34</v>
      </c>
      <c r="D1045" s="5" t="s">
        <v>35</v>
      </c>
      <c r="E1045" s="5" t="s">
        <v>9151</v>
      </c>
      <c r="F1045" s="5" t="s">
        <v>108</v>
      </c>
      <c r="G1045" s="5" t="s">
        <v>9152</v>
      </c>
      <c r="H1045" s="6" t="s">
        <v>9153</v>
      </c>
      <c r="I1045" s="7" t="s">
        <v>9154</v>
      </c>
      <c r="J1045" s="8" t="str">
        <f>HYPERLINK("https://drive.google.com/file/d/1DV0cWia07ug0It1iy1G8cZ1b46ZZWmae/view?usp=drivesdk","ALIEN KHAIRUNNISA SERTIFIKAT BerAKHLAK")</f>
        <v>ALIEN KHAIRUNNISA SERTIFIKAT BerAKHLAK</v>
      </c>
      <c r="K1045" s="5" t="s">
        <v>8647</v>
      </c>
      <c r="L1045" s="5" t="s">
        <v>9155</v>
      </c>
    </row>
    <row r="1046">
      <c r="A1046" s="4">
        <v>45534.3293341088</v>
      </c>
      <c r="B1046" s="5" t="s">
        <v>34</v>
      </c>
      <c r="D1046" s="5" t="s">
        <v>3432</v>
      </c>
      <c r="E1046" s="5" t="s">
        <v>9158</v>
      </c>
      <c r="F1046" s="5" t="s">
        <v>37</v>
      </c>
      <c r="G1046" s="5" t="s">
        <v>9159</v>
      </c>
      <c r="H1046" s="6" t="s">
        <v>9160</v>
      </c>
      <c r="I1046" s="7" t="s">
        <v>9161</v>
      </c>
      <c r="J1046" s="8" t="str">
        <f>HYPERLINK("https://drive.google.com/file/d/1QgVXd0Sj1rgPwnrtooe3dS-EHMJ8KEhM/view?usp=drivesdk","DEWI SEPTIYANTI TJAN,A.MD  SERTIFIKAT BerAKHLAK")</f>
        <v>DEWI SEPTIYANTI TJAN,A.MD  SERTIFIKAT BerAKHLAK</v>
      </c>
      <c r="K1046" s="5" t="s">
        <v>8647</v>
      </c>
      <c r="L1046" s="5" t="s">
        <v>9162</v>
      </c>
    </row>
    <row r="1047">
      <c r="A1047" s="4">
        <v>45534.32933518519</v>
      </c>
      <c r="B1047" s="5" t="s">
        <v>34</v>
      </c>
      <c r="D1047" s="5" t="s">
        <v>4775</v>
      </c>
      <c r="E1047" s="5" t="s">
        <v>9165</v>
      </c>
      <c r="F1047" s="5" t="s">
        <v>375</v>
      </c>
      <c r="G1047" s="5" t="s">
        <v>9166</v>
      </c>
      <c r="H1047" s="6" t="s">
        <v>9167</v>
      </c>
      <c r="I1047" s="7" t="s">
        <v>9168</v>
      </c>
      <c r="J1047" s="8" t="str">
        <f>HYPERLINK("https://drive.google.com/file/d/12w8vRT5UQwJN2yRC4QCw6nldTCgBk9_A/view?usp=drivesdk","JOKO RAHARJO, S.T. SERTIFIKAT BerAKHLAK")</f>
        <v>JOKO RAHARJO, S.T. SERTIFIKAT BerAKHLAK</v>
      </c>
      <c r="K1047" s="5" t="s">
        <v>8647</v>
      </c>
      <c r="L1047" s="5" t="s">
        <v>9169</v>
      </c>
    </row>
    <row r="1048">
      <c r="A1048" s="4">
        <v>45534.32934952546</v>
      </c>
      <c r="B1048" s="5" t="s">
        <v>34</v>
      </c>
      <c r="D1048" s="5" t="s">
        <v>4775</v>
      </c>
      <c r="E1048" s="5" t="s">
        <v>9173</v>
      </c>
      <c r="F1048" s="5" t="s">
        <v>37</v>
      </c>
      <c r="G1048" s="5" t="s">
        <v>9174</v>
      </c>
      <c r="H1048" s="6" t="s">
        <v>9175</v>
      </c>
      <c r="I1048" s="7" t="s">
        <v>9176</v>
      </c>
      <c r="J1048" s="8" t="str">
        <f>HYPERLINK("https://drive.google.com/file/d/1TCX5VU-9UXHBGu4bY1cSTAyXq7S5pQb3/view?usp=drivesdk","TAUFIK SAPRUDIN SERTIFIKAT BerAKHLAK")</f>
        <v>TAUFIK SAPRUDIN SERTIFIKAT BerAKHLAK</v>
      </c>
      <c r="K1048" s="5" t="s">
        <v>8647</v>
      </c>
      <c r="L1048" s="5" t="s">
        <v>9177</v>
      </c>
    </row>
    <row r="1049">
      <c r="A1049" s="4">
        <v>45534.329378842594</v>
      </c>
      <c r="B1049" s="5" t="s">
        <v>34</v>
      </c>
      <c r="D1049" s="5" t="s">
        <v>1206</v>
      </c>
      <c r="E1049" s="5" t="s">
        <v>9180</v>
      </c>
      <c r="F1049" s="5" t="s">
        <v>37</v>
      </c>
      <c r="G1049" s="5" t="s">
        <v>9181</v>
      </c>
      <c r="H1049" s="6" t="s">
        <v>9182</v>
      </c>
      <c r="I1049" s="7" t="s">
        <v>9183</v>
      </c>
      <c r="J1049" s="8" t="str">
        <f>HYPERLINK("https://drive.google.com/file/d/1MoLdLCiu1z3sm9FVoYFDvllWiLzWw4Tm/view?usp=drivesdk","JUNI SETIAWAN SERTIFIKAT BerAKHLAK")</f>
        <v>JUNI SETIAWAN SERTIFIKAT BerAKHLAK</v>
      </c>
      <c r="K1049" s="5" t="s">
        <v>8647</v>
      </c>
      <c r="L1049" s="5" t="s">
        <v>9184</v>
      </c>
    </row>
    <row r="1050">
      <c r="A1050" s="4">
        <v>45534.329385115736</v>
      </c>
      <c r="B1050" s="5" t="s">
        <v>34</v>
      </c>
      <c r="D1050" s="5" t="s">
        <v>267</v>
      </c>
      <c r="E1050" s="5" t="s">
        <v>9187</v>
      </c>
      <c r="F1050" s="5" t="s">
        <v>375</v>
      </c>
      <c r="G1050" s="5" t="s">
        <v>9188</v>
      </c>
      <c r="H1050" s="6" t="s">
        <v>9189</v>
      </c>
      <c r="K1050" s="5" t="s">
        <v>9190</v>
      </c>
    </row>
    <row r="1051">
      <c r="A1051" s="4">
        <v>45534.32939597222</v>
      </c>
      <c r="B1051" s="5" t="s">
        <v>19</v>
      </c>
      <c r="C1051" s="5" t="s">
        <v>5058</v>
      </c>
      <c r="E1051" s="5" t="s">
        <v>9194</v>
      </c>
      <c r="F1051" s="5" t="s">
        <v>375</v>
      </c>
      <c r="G1051" s="5" t="s">
        <v>9195</v>
      </c>
      <c r="H1051" s="6" t="s">
        <v>9196</v>
      </c>
      <c r="K1051" s="5" t="s">
        <v>9190</v>
      </c>
    </row>
    <row r="1052">
      <c r="A1052" s="4">
        <v>45534.32940488426</v>
      </c>
      <c r="B1052" s="5" t="s">
        <v>34</v>
      </c>
      <c r="D1052" s="5" t="s">
        <v>4775</v>
      </c>
      <c r="E1052" s="5" t="s">
        <v>9199</v>
      </c>
      <c r="F1052" s="5" t="s">
        <v>524</v>
      </c>
      <c r="G1052" s="5" t="s">
        <v>9200</v>
      </c>
      <c r="H1052" s="6" t="s">
        <v>9201</v>
      </c>
      <c r="K1052" s="5" t="s">
        <v>9190</v>
      </c>
    </row>
    <row r="1053">
      <c r="A1053" s="4">
        <v>45534.329409432874</v>
      </c>
      <c r="B1053" s="5" t="s">
        <v>34</v>
      </c>
      <c r="D1053" s="5" t="s">
        <v>522</v>
      </c>
      <c r="E1053" s="5" t="s">
        <v>9204</v>
      </c>
      <c r="F1053" s="5" t="s">
        <v>108</v>
      </c>
      <c r="G1053" s="5" t="s">
        <v>9205</v>
      </c>
      <c r="H1053" s="6" t="s">
        <v>9206</v>
      </c>
      <c r="K1053" s="5" t="s">
        <v>9190</v>
      </c>
    </row>
    <row r="1054">
      <c r="A1054" s="4">
        <v>45534.3294118287</v>
      </c>
      <c r="B1054" s="5" t="s">
        <v>34</v>
      </c>
      <c r="D1054" s="5" t="s">
        <v>1206</v>
      </c>
      <c r="E1054" s="5" t="s">
        <v>9209</v>
      </c>
      <c r="F1054" s="5" t="s">
        <v>328</v>
      </c>
      <c r="G1054" s="5" t="s">
        <v>9210</v>
      </c>
      <c r="H1054" s="6" t="s">
        <v>9211</v>
      </c>
      <c r="K1054" s="5" t="s">
        <v>9190</v>
      </c>
    </row>
    <row r="1055">
      <c r="A1055" s="4">
        <v>45534.32942217593</v>
      </c>
      <c r="B1055" s="5" t="s">
        <v>34</v>
      </c>
      <c r="D1055" s="5" t="s">
        <v>522</v>
      </c>
      <c r="E1055" s="5" t="s">
        <v>9214</v>
      </c>
      <c r="F1055" s="5" t="s">
        <v>72</v>
      </c>
      <c r="G1055" s="5" t="s">
        <v>9215</v>
      </c>
      <c r="H1055" s="6" t="s">
        <v>9216</v>
      </c>
      <c r="K1055" s="5" t="s">
        <v>9190</v>
      </c>
    </row>
    <row r="1056">
      <c r="A1056" s="4">
        <v>45534.32944973379</v>
      </c>
      <c r="B1056" s="5" t="s">
        <v>34</v>
      </c>
      <c r="D1056" s="5" t="s">
        <v>522</v>
      </c>
      <c r="E1056" s="5" t="s">
        <v>9220</v>
      </c>
      <c r="F1056" s="5" t="s">
        <v>108</v>
      </c>
      <c r="G1056" s="5" t="s">
        <v>9221</v>
      </c>
      <c r="H1056" s="6" t="s">
        <v>9222</v>
      </c>
      <c r="K1056" s="5" t="s">
        <v>9190</v>
      </c>
    </row>
    <row r="1057">
      <c r="A1057" s="4">
        <v>45534.32945528935</v>
      </c>
      <c r="B1057" s="5" t="s">
        <v>34</v>
      </c>
      <c r="D1057" s="5" t="s">
        <v>4775</v>
      </c>
      <c r="E1057" s="5" t="s">
        <v>9225</v>
      </c>
      <c r="F1057" s="5" t="s">
        <v>22</v>
      </c>
      <c r="G1057" s="5" t="s">
        <v>9226</v>
      </c>
      <c r="H1057" s="6" t="s">
        <v>9227</v>
      </c>
      <c r="I1057" s="7" t="s">
        <v>9228</v>
      </c>
      <c r="J1057" s="8" t="str">
        <f>HYPERLINK("https://drive.google.com/file/d/1tkU_vnz7LNh4TopDqIZ0vlQGDZ6Mgjd2/view?usp=drivesdk","NINING MURDYANINGSIH SE  SERTIFIKAT BerAKHLAK")</f>
        <v>NINING MURDYANINGSIH SE  SERTIFIKAT BerAKHLAK</v>
      </c>
      <c r="K1057" s="5" t="s">
        <v>8647</v>
      </c>
      <c r="L1057" s="5" t="s">
        <v>9229</v>
      </c>
    </row>
    <row r="1058">
      <c r="A1058" s="4">
        <v>45534.32945887731</v>
      </c>
      <c r="B1058" s="5" t="s">
        <v>34</v>
      </c>
      <c r="D1058" s="5" t="s">
        <v>4775</v>
      </c>
      <c r="E1058" s="5" t="s">
        <v>9232</v>
      </c>
      <c r="F1058" s="5" t="s">
        <v>375</v>
      </c>
      <c r="G1058" s="5" t="s">
        <v>9233</v>
      </c>
      <c r="H1058" s="6" t="s">
        <v>9234</v>
      </c>
      <c r="K1058" s="5" t="s">
        <v>9235</v>
      </c>
    </row>
    <row r="1059">
      <c r="A1059" s="4">
        <v>45534.32946201389</v>
      </c>
      <c r="B1059" s="5" t="s">
        <v>34</v>
      </c>
      <c r="D1059" s="5" t="s">
        <v>522</v>
      </c>
      <c r="E1059" s="5" t="s">
        <v>9238</v>
      </c>
      <c r="F1059" s="5" t="s">
        <v>22</v>
      </c>
      <c r="G1059" s="5" t="s">
        <v>9239</v>
      </c>
      <c r="H1059" s="6" t="s">
        <v>9240</v>
      </c>
      <c r="K1059" s="5" t="s">
        <v>9235</v>
      </c>
    </row>
    <row r="1060">
      <c r="A1060" s="4">
        <v>45534.32948318287</v>
      </c>
      <c r="B1060" s="5" t="s">
        <v>34</v>
      </c>
      <c r="D1060" s="5" t="s">
        <v>522</v>
      </c>
      <c r="E1060" s="5" t="s">
        <v>9244</v>
      </c>
      <c r="F1060" s="5" t="s">
        <v>715</v>
      </c>
      <c r="G1060" s="5" t="s">
        <v>9245</v>
      </c>
      <c r="H1060" s="6" t="s">
        <v>9246</v>
      </c>
      <c r="K1060" s="5" t="s">
        <v>9235</v>
      </c>
    </row>
    <row r="1061">
      <c r="A1061" s="4">
        <v>45534.32950792824</v>
      </c>
      <c r="B1061" s="5" t="s">
        <v>34</v>
      </c>
      <c r="D1061" s="5" t="s">
        <v>1206</v>
      </c>
      <c r="E1061" s="5" t="s">
        <v>9249</v>
      </c>
      <c r="F1061" s="5" t="s">
        <v>212</v>
      </c>
      <c r="G1061" s="5" t="s">
        <v>9250</v>
      </c>
      <c r="H1061" s="6" t="s">
        <v>9251</v>
      </c>
      <c r="I1061" s="7" t="s">
        <v>9252</v>
      </c>
      <c r="J1061" s="8" t="str">
        <f>HYPERLINK("https://drive.google.com/file/d/1f5zC94vGs0QDeP9FdNoAU5D_K6anCmzm/view?usp=drivesdk","DEDY SUGIANTO  SERTIFIKAT BerAKHLAK")</f>
        <v>DEDY SUGIANTO  SERTIFIKAT BerAKHLAK</v>
      </c>
      <c r="K1061" s="5" t="s">
        <v>8647</v>
      </c>
      <c r="L1061" s="5" t="s">
        <v>9253</v>
      </c>
    </row>
    <row r="1062">
      <c r="A1062" s="4">
        <v>45534.329514259254</v>
      </c>
      <c r="B1062" s="5" t="s">
        <v>34</v>
      </c>
      <c r="D1062" s="5" t="s">
        <v>4775</v>
      </c>
      <c r="E1062" s="5" t="s">
        <v>9256</v>
      </c>
      <c r="F1062" s="5" t="s">
        <v>212</v>
      </c>
      <c r="G1062" s="5" t="s">
        <v>9257</v>
      </c>
      <c r="H1062" s="6" t="s">
        <v>9258</v>
      </c>
      <c r="K1062" s="5" t="s">
        <v>9259</v>
      </c>
    </row>
    <row r="1063">
      <c r="A1063" s="4">
        <v>45534.329518750004</v>
      </c>
      <c r="B1063" s="5" t="s">
        <v>34</v>
      </c>
      <c r="D1063" s="5" t="s">
        <v>4775</v>
      </c>
      <c r="E1063" s="5" t="s">
        <v>9262</v>
      </c>
      <c r="F1063" s="5" t="s">
        <v>524</v>
      </c>
      <c r="G1063" s="5" t="s">
        <v>9263</v>
      </c>
      <c r="H1063" s="6" t="s">
        <v>9264</v>
      </c>
      <c r="K1063" s="5" t="s">
        <v>9259</v>
      </c>
    </row>
    <row r="1064">
      <c r="A1064" s="4">
        <v>45534.32952211806</v>
      </c>
      <c r="B1064" s="5" t="s">
        <v>34</v>
      </c>
      <c r="D1064" s="5" t="s">
        <v>35</v>
      </c>
      <c r="E1064" s="5" t="s">
        <v>9267</v>
      </c>
      <c r="F1064" s="5" t="s">
        <v>37</v>
      </c>
      <c r="G1064" s="5" t="s">
        <v>9268</v>
      </c>
      <c r="H1064" s="6" t="s">
        <v>9269</v>
      </c>
      <c r="K1064" s="5" t="s">
        <v>9259</v>
      </c>
    </row>
    <row r="1065">
      <c r="A1065" s="4">
        <v>45534.32952753472</v>
      </c>
      <c r="B1065" s="5" t="s">
        <v>34</v>
      </c>
      <c r="D1065" s="5" t="s">
        <v>2903</v>
      </c>
      <c r="E1065" s="5" t="s">
        <v>9272</v>
      </c>
      <c r="F1065" s="5" t="s">
        <v>37</v>
      </c>
      <c r="G1065" s="5" t="s">
        <v>9273</v>
      </c>
      <c r="H1065" s="6" t="s">
        <v>9274</v>
      </c>
      <c r="K1065" s="5" t="s">
        <v>9259</v>
      </c>
    </row>
    <row r="1066">
      <c r="A1066" s="4">
        <v>45534.32955473379</v>
      </c>
      <c r="B1066" s="5" t="s">
        <v>34</v>
      </c>
      <c r="D1066" s="5" t="s">
        <v>9020</v>
      </c>
      <c r="E1066" s="5" t="s">
        <v>9277</v>
      </c>
      <c r="F1066" s="5" t="s">
        <v>212</v>
      </c>
      <c r="G1066" s="5" t="s">
        <v>9278</v>
      </c>
      <c r="H1066" s="6" t="s">
        <v>9279</v>
      </c>
      <c r="I1066" s="7" t="s">
        <v>9280</v>
      </c>
      <c r="J1066" s="8" t="str">
        <f>HYPERLINK("https://drive.google.com/file/d/18SjKBluhRUanMj9OcLWWr0kOuT9Q9iB2/view?usp=drivesdk","RELLY RAKHMANI PANE, S.H., M.H. SERTIFIKAT BerAKHLAK")</f>
        <v>RELLY RAKHMANI PANE, S.H., M.H. SERTIFIKAT BerAKHLAK</v>
      </c>
      <c r="K1066" s="5" t="s">
        <v>8647</v>
      </c>
      <c r="L1066" s="5" t="s">
        <v>9281</v>
      </c>
    </row>
    <row r="1067">
      <c r="A1067" s="4">
        <v>45534.32957180556</v>
      </c>
      <c r="B1067" s="5" t="s">
        <v>34</v>
      </c>
      <c r="D1067" s="5" t="s">
        <v>4775</v>
      </c>
      <c r="E1067" s="5" t="s">
        <v>9285</v>
      </c>
      <c r="F1067" s="5" t="s">
        <v>120</v>
      </c>
      <c r="G1067" s="5" t="s">
        <v>9286</v>
      </c>
      <c r="H1067" s="6" t="s">
        <v>9287</v>
      </c>
      <c r="K1067" s="5" t="s">
        <v>9288</v>
      </c>
    </row>
    <row r="1068">
      <c r="A1068" s="4">
        <v>45534.329571932874</v>
      </c>
      <c r="B1068" s="5" t="s">
        <v>34</v>
      </c>
      <c r="D1068" s="5" t="s">
        <v>580</v>
      </c>
      <c r="E1068" s="5" t="s">
        <v>9291</v>
      </c>
      <c r="F1068" s="5" t="s">
        <v>524</v>
      </c>
      <c r="G1068" s="5" t="s">
        <v>9292</v>
      </c>
      <c r="H1068" s="6" t="s">
        <v>9293</v>
      </c>
      <c r="K1068" s="5" t="s">
        <v>9288</v>
      </c>
    </row>
    <row r="1069">
      <c r="A1069" s="4">
        <v>45534.32957800926</v>
      </c>
      <c r="B1069" s="5" t="s">
        <v>34</v>
      </c>
      <c r="D1069" s="5" t="s">
        <v>4775</v>
      </c>
      <c r="E1069" s="5" t="s">
        <v>9296</v>
      </c>
      <c r="F1069" s="5" t="s">
        <v>72</v>
      </c>
      <c r="G1069" s="5" t="s">
        <v>9297</v>
      </c>
      <c r="H1069" s="6" t="s">
        <v>9298</v>
      </c>
      <c r="K1069" s="5" t="s">
        <v>9288</v>
      </c>
    </row>
    <row r="1070">
      <c r="A1070" s="4">
        <v>45534.32959721065</v>
      </c>
      <c r="B1070" s="5" t="s">
        <v>34</v>
      </c>
      <c r="D1070" s="5" t="s">
        <v>267</v>
      </c>
      <c r="E1070" s="5" t="s">
        <v>9301</v>
      </c>
      <c r="F1070" s="5" t="s">
        <v>72</v>
      </c>
      <c r="G1070" s="5" t="s">
        <v>9302</v>
      </c>
      <c r="H1070" s="6" t="s">
        <v>9303</v>
      </c>
      <c r="K1070" s="5" t="s">
        <v>9288</v>
      </c>
    </row>
    <row r="1071">
      <c r="A1071" s="4">
        <v>45534.32960827547</v>
      </c>
      <c r="B1071" s="5" t="s">
        <v>34</v>
      </c>
      <c r="D1071" s="5" t="s">
        <v>35</v>
      </c>
      <c r="E1071" s="5" t="s">
        <v>9306</v>
      </c>
      <c r="F1071" s="5" t="s">
        <v>37</v>
      </c>
      <c r="G1071" s="5" t="s">
        <v>9307</v>
      </c>
      <c r="H1071" s="6" t="s">
        <v>9308</v>
      </c>
      <c r="K1071" s="5" t="s">
        <v>9288</v>
      </c>
    </row>
    <row r="1072">
      <c r="A1072" s="4">
        <v>45534.32961204861</v>
      </c>
      <c r="B1072" s="5" t="s">
        <v>34</v>
      </c>
      <c r="D1072" s="5" t="s">
        <v>1206</v>
      </c>
      <c r="E1072" s="5" t="s">
        <v>9311</v>
      </c>
      <c r="F1072" s="5" t="s">
        <v>212</v>
      </c>
      <c r="G1072" s="5" t="s">
        <v>9312</v>
      </c>
      <c r="H1072" s="6" t="s">
        <v>9313</v>
      </c>
      <c r="K1072" s="5" t="s">
        <v>9288</v>
      </c>
    </row>
    <row r="1073">
      <c r="A1073" s="4">
        <v>45534.32961907407</v>
      </c>
      <c r="B1073" s="5" t="s">
        <v>34</v>
      </c>
      <c r="D1073" s="5" t="s">
        <v>580</v>
      </c>
      <c r="E1073" s="5" t="s">
        <v>9317</v>
      </c>
      <c r="F1073" s="5" t="s">
        <v>72</v>
      </c>
      <c r="G1073" s="5" t="s">
        <v>9318</v>
      </c>
      <c r="H1073" s="6" t="s">
        <v>9319</v>
      </c>
      <c r="K1073" s="5" t="s">
        <v>9288</v>
      </c>
    </row>
    <row r="1074">
      <c r="A1074" s="4">
        <v>45534.32963878472</v>
      </c>
      <c r="B1074" s="5" t="s">
        <v>34</v>
      </c>
      <c r="D1074" s="5" t="s">
        <v>35</v>
      </c>
      <c r="E1074" s="5" t="s">
        <v>9322</v>
      </c>
      <c r="F1074" s="5" t="s">
        <v>37</v>
      </c>
      <c r="G1074" s="5" t="s">
        <v>9323</v>
      </c>
      <c r="H1074" s="6" t="s">
        <v>9324</v>
      </c>
      <c r="I1074" s="7" t="s">
        <v>9325</v>
      </c>
      <c r="J1074" s="8" t="str">
        <f>HYPERLINK("https://drive.google.com/file/d/19vQGM4oGo638lXAXmLiQfnwTVAYGNhwB/view?usp=drivesdk","BAMBANG MARJONO SERTIFIKAT BerAKHLAK")</f>
        <v>BAMBANG MARJONO SERTIFIKAT BerAKHLAK</v>
      </c>
      <c r="K1074" s="5" t="s">
        <v>8647</v>
      </c>
      <c r="L1074" s="5" t="s">
        <v>9326</v>
      </c>
    </row>
    <row r="1075">
      <c r="A1075" s="4">
        <v>45534.329658738425</v>
      </c>
      <c r="B1075" s="5" t="s">
        <v>34</v>
      </c>
      <c r="D1075" s="5" t="s">
        <v>522</v>
      </c>
      <c r="E1075" s="5" t="s">
        <v>9329</v>
      </c>
      <c r="F1075" s="5" t="s">
        <v>108</v>
      </c>
      <c r="G1075" s="5" t="s">
        <v>9330</v>
      </c>
      <c r="H1075" s="6" t="s">
        <v>9331</v>
      </c>
      <c r="I1075" s="7" t="s">
        <v>9332</v>
      </c>
      <c r="J1075" s="8" t="str">
        <f>HYPERLINK("https://drive.google.com/file/d/1NRauB1H0d6BhY7nJDhwRCfF314McURRl/view?usp=drivesdk","NI MADE SUSANTI S.ADM SERTIFIKAT BerAKHLAK")</f>
        <v>NI MADE SUSANTI S.ADM SERTIFIKAT BerAKHLAK</v>
      </c>
      <c r="K1075" s="5" t="s">
        <v>8685</v>
      </c>
      <c r="L1075" s="5" t="s">
        <v>9333</v>
      </c>
    </row>
    <row r="1076">
      <c r="A1076" s="4">
        <v>45534.32966239583</v>
      </c>
      <c r="B1076" s="5" t="s">
        <v>34</v>
      </c>
      <c r="D1076" s="5" t="s">
        <v>1206</v>
      </c>
      <c r="E1076" s="5" t="s">
        <v>9336</v>
      </c>
      <c r="F1076" s="5" t="s">
        <v>212</v>
      </c>
      <c r="G1076" s="5" t="s">
        <v>9337</v>
      </c>
      <c r="H1076" s="6" t="s">
        <v>9338</v>
      </c>
      <c r="I1076" s="7" t="s">
        <v>9339</v>
      </c>
      <c r="J1076" s="8" t="str">
        <f>HYPERLINK("https://drive.google.com/file/d/1nB7V5E6KoD-50xQ5MMDXYp4QCVSSvHfv/view?usp=drivesdk","NINIS INDRAWATI SERTIFIKAT BerAKHLAK")</f>
        <v>NINIS INDRAWATI SERTIFIKAT BerAKHLAK</v>
      </c>
      <c r="K1076" s="5" t="s">
        <v>8685</v>
      </c>
      <c r="L1076" s="5" t="s">
        <v>9340</v>
      </c>
    </row>
    <row r="1077">
      <c r="A1077" s="4">
        <v>45534.329689618055</v>
      </c>
      <c r="B1077" s="5" t="s">
        <v>34</v>
      </c>
      <c r="D1077" s="5" t="s">
        <v>35</v>
      </c>
      <c r="E1077" s="5" t="s">
        <v>9343</v>
      </c>
      <c r="F1077" s="5" t="s">
        <v>72</v>
      </c>
      <c r="G1077" s="5" t="s">
        <v>9344</v>
      </c>
      <c r="H1077" s="6" t="s">
        <v>9345</v>
      </c>
      <c r="I1077" s="7" t="s">
        <v>9346</v>
      </c>
      <c r="J1077" s="8" t="str">
        <f>HYPERLINK("https://drive.google.com/file/d/1POtqmwATkN6XtNjArYaVIN8APRMfalcb/view?usp=drivesdk","EMANG SULAEMAN SH SERTIFIKAT BerAKHLAK")</f>
        <v>EMANG SULAEMAN SH SERTIFIKAT BerAKHLAK</v>
      </c>
      <c r="K1077" s="5" t="s">
        <v>8647</v>
      </c>
      <c r="L1077" s="5" t="s">
        <v>9347</v>
      </c>
    </row>
    <row r="1078">
      <c r="A1078" s="4">
        <v>45534.32971034722</v>
      </c>
      <c r="B1078" s="5" t="s">
        <v>34</v>
      </c>
      <c r="D1078" s="5" t="s">
        <v>1206</v>
      </c>
      <c r="E1078" s="5" t="s">
        <v>9351</v>
      </c>
      <c r="F1078" s="5" t="s">
        <v>375</v>
      </c>
      <c r="G1078" s="5" t="s">
        <v>9352</v>
      </c>
      <c r="H1078" s="6" t="s">
        <v>9353</v>
      </c>
      <c r="I1078" s="7" t="s">
        <v>9354</v>
      </c>
      <c r="J1078" s="8" t="str">
        <f>HYPERLINK("https://drive.google.com/file/d/1SX8gU9dEgD1u1ZVB0Mid9ClQ35uWY42Q/view?usp=drivesdk","MOHAMAD ISKHAK, S.E. SERTIFIKAT BerAKHLAK")</f>
        <v>MOHAMAD ISKHAK, S.E. SERTIFIKAT BerAKHLAK</v>
      </c>
      <c r="K1078" s="5" t="s">
        <v>8685</v>
      </c>
      <c r="L1078" s="5" t="s">
        <v>9355</v>
      </c>
    </row>
    <row r="1079">
      <c r="A1079" s="4">
        <v>45534.329717175926</v>
      </c>
      <c r="B1079" s="5" t="s">
        <v>34</v>
      </c>
      <c r="D1079" s="5" t="s">
        <v>1206</v>
      </c>
      <c r="E1079" s="5" t="s">
        <v>9358</v>
      </c>
      <c r="F1079" s="5" t="s">
        <v>120</v>
      </c>
      <c r="G1079" s="5" t="s">
        <v>9359</v>
      </c>
      <c r="H1079" s="6" t="s">
        <v>9360</v>
      </c>
      <c r="I1079" s="7" t="s">
        <v>9361</v>
      </c>
      <c r="J1079" s="8" t="str">
        <f>HYPERLINK("https://drive.google.com/file/d/1xrzGHmujnc1IA_-XUws4cqUiyr1unKjn/view?usp=drivesdk","DIAN FADHILA SETIANI, S.KOM., M.M. SERTIFIKAT BerAKHLAK")</f>
        <v>DIAN FADHILA SETIANI, S.KOM., M.M. SERTIFIKAT BerAKHLAK</v>
      </c>
      <c r="K1079" s="5" t="s">
        <v>8685</v>
      </c>
      <c r="L1079" s="5" t="s">
        <v>9362</v>
      </c>
    </row>
    <row r="1080">
      <c r="A1080" s="4">
        <v>45534.32972268519</v>
      </c>
      <c r="B1080" s="5" t="s">
        <v>34</v>
      </c>
      <c r="D1080" s="5" t="s">
        <v>4775</v>
      </c>
      <c r="E1080" s="5" t="s">
        <v>9365</v>
      </c>
      <c r="F1080" s="5" t="s">
        <v>524</v>
      </c>
      <c r="G1080" s="5" t="s">
        <v>9366</v>
      </c>
      <c r="H1080" s="6" t="s">
        <v>9367</v>
      </c>
      <c r="I1080" s="7" t="s">
        <v>9368</v>
      </c>
      <c r="J1080" s="8" t="str">
        <f>HYPERLINK("https://drive.google.com/file/d/1cKjoV_FQkFvav435M52IABkczjWCMID4/view?usp=drivesdk","UNIK DEWI RAHAYU.S.Kep.Ns.M.H SERTIFIKAT BerAKHLAK")</f>
        <v>UNIK DEWI RAHAYU.S.Kep.Ns.M.H SERTIFIKAT BerAKHLAK</v>
      </c>
      <c r="K1080" s="5" t="s">
        <v>8685</v>
      </c>
      <c r="L1080" s="5" t="s">
        <v>9369</v>
      </c>
    </row>
    <row r="1081">
      <c r="A1081" s="4">
        <v>45534.32973511574</v>
      </c>
      <c r="B1081" s="5" t="s">
        <v>34</v>
      </c>
      <c r="D1081" s="5" t="s">
        <v>1206</v>
      </c>
      <c r="E1081" s="5" t="s">
        <v>9372</v>
      </c>
      <c r="F1081" s="5" t="s">
        <v>212</v>
      </c>
      <c r="G1081" s="5" t="s">
        <v>9373</v>
      </c>
      <c r="H1081" s="6" t="s">
        <v>9374</v>
      </c>
      <c r="I1081" s="7" t="s">
        <v>9375</v>
      </c>
      <c r="J1081" s="8" t="str">
        <f>HYPERLINK("https://drive.google.com/file/d/11PX1Y6FdwVBgMAkMtR_MhaoTjspxEx94/view?usp=drivesdk","ELI SUNARWATI SERTIFIKAT BerAKHLAK")</f>
        <v>ELI SUNARWATI SERTIFIKAT BerAKHLAK</v>
      </c>
      <c r="K1081" s="5" t="s">
        <v>8685</v>
      </c>
      <c r="L1081" s="5" t="s">
        <v>9376</v>
      </c>
    </row>
    <row r="1082">
      <c r="A1082" s="4">
        <v>45534.32973537037</v>
      </c>
      <c r="B1082" s="5" t="s">
        <v>34</v>
      </c>
      <c r="D1082" s="5" t="s">
        <v>1206</v>
      </c>
      <c r="E1082" s="5" t="s">
        <v>9380</v>
      </c>
      <c r="F1082" s="5" t="s">
        <v>212</v>
      </c>
      <c r="G1082" s="5" t="s">
        <v>9381</v>
      </c>
      <c r="H1082" s="6" t="s">
        <v>9382</v>
      </c>
      <c r="I1082" s="7" t="s">
        <v>9383</v>
      </c>
      <c r="J1082" s="8" t="str">
        <f>HYPERLINK("https://drive.google.com/file/d/1qiWg1KdutMoGtB3TCcYe1_p_FZbPl1cX/view?usp=drivesdk","MOHAMMAD LUTFI  SERTIFIKAT BerAKHLAK")</f>
        <v>MOHAMMAD LUTFI  SERTIFIKAT BerAKHLAK</v>
      </c>
      <c r="K1082" s="5" t="s">
        <v>8685</v>
      </c>
      <c r="L1082" s="5" t="s">
        <v>9384</v>
      </c>
    </row>
    <row r="1083">
      <c r="A1083" s="4">
        <v>45534.32975253472</v>
      </c>
      <c r="B1083" s="5" t="s">
        <v>34</v>
      </c>
      <c r="D1083" s="5" t="s">
        <v>1768</v>
      </c>
      <c r="E1083" s="5" t="s">
        <v>9387</v>
      </c>
      <c r="F1083" s="5" t="s">
        <v>375</v>
      </c>
      <c r="G1083" s="5" t="s">
        <v>9388</v>
      </c>
      <c r="H1083" s="6" t="s">
        <v>9389</v>
      </c>
      <c r="I1083" s="7" t="s">
        <v>9390</v>
      </c>
      <c r="J1083" s="8" t="str">
        <f>HYPERLINK("https://drive.google.com/file/d/1SrEd2L4p488R0H2LD0eoC53KJ2lFgJJW/view?usp=drivesdk","BADRUSSALAM, S.KOM SERTIFIKAT BerAKHLAK")</f>
        <v>BADRUSSALAM, S.KOM SERTIFIKAT BerAKHLAK</v>
      </c>
      <c r="K1083" s="5" t="s">
        <v>8685</v>
      </c>
      <c r="L1083" s="5" t="s">
        <v>9391</v>
      </c>
    </row>
    <row r="1084">
      <c r="A1084" s="4">
        <v>45534.32977521991</v>
      </c>
      <c r="B1084" s="5" t="s">
        <v>34</v>
      </c>
      <c r="D1084" s="5" t="s">
        <v>9394</v>
      </c>
      <c r="E1084" s="5" t="s">
        <v>9395</v>
      </c>
      <c r="F1084" s="5" t="s">
        <v>715</v>
      </c>
      <c r="G1084" s="5" t="s">
        <v>9396</v>
      </c>
      <c r="H1084" s="6" t="s">
        <v>9397</v>
      </c>
      <c r="I1084" s="7" t="s">
        <v>9398</v>
      </c>
      <c r="J1084" s="8" t="str">
        <f>HYPERLINK("https://drive.google.com/file/d/1RFb3bYsQ6MkiaV-IHpKxCQAWw-bztp4N/view?usp=drivesdk","ARISTA RENNY APRILYA, S.E. SERTIFIKAT BerAKHLAK")</f>
        <v>ARISTA RENNY APRILYA, S.E. SERTIFIKAT BerAKHLAK</v>
      </c>
      <c r="K1084" s="5" t="s">
        <v>8685</v>
      </c>
      <c r="L1084" s="5" t="s">
        <v>9399</v>
      </c>
    </row>
    <row r="1085">
      <c r="A1085" s="4">
        <v>45534.32978934028</v>
      </c>
      <c r="B1085" s="5" t="s">
        <v>34</v>
      </c>
      <c r="D1085" s="5" t="s">
        <v>1206</v>
      </c>
      <c r="E1085" s="5" t="s">
        <v>9402</v>
      </c>
      <c r="F1085" s="5" t="s">
        <v>72</v>
      </c>
      <c r="G1085" s="5" t="s">
        <v>9403</v>
      </c>
      <c r="H1085" s="6" t="s">
        <v>9404</v>
      </c>
      <c r="I1085" s="7" t="s">
        <v>9405</v>
      </c>
      <c r="J1085" s="8" t="str">
        <f>HYPERLINK("https://drive.google.com/file/d/1xw5cgj3HSl345J0F3XipGBrvfP8t_bR6/view?usp=drivesdk","NELA NOERITA, SE SERTIFIKAT BerAKHLAK")</f>
        <v>NELA NOERITA, SE SERTIFIKAT BerAKHLAK</v>
      </c>
      <c r="K1085" s="5" t="s">
        <v>8685</v>
      </c>
      <c r="L1085" s="5" t="s">
        <v>9406</v>
      </c>
    </row>
    <row r="1086">
      <c r="A1086" s="4">
        <v>45534.32979950232</v>
      </c>
      <c r="B1086" s="5" t="s">
        <v>34</v>
      </c>
      <c r="D1086" s="5" t="s">
        <v>9020</v>
      </c>
      <c r="E1086" s="5" t="s">
        <v>9409</v>
      </c>
      <c r="F1086" s="5" t="s">
        <v>524</v>
      </c>
      <c r="G1086" s="5" t="s">
        <v>9410</v>
      </c>
      <c r="H1086" s="6" t="s">
        <v>9411</v>
      </c>
      <c r="I1086" s="7" t="s">
        <v>9412</v>
      </c>
      <c r="J1086" s="8" t="str">
        <f>HYPERLINK("https://drive.google.com/file/d/1p6sdr8lSTK_sUjvJzsMOk_v4OIiTlzja/view?usp=drivesdk","RITA EVINA PURBA, S. T.  SERTIFIKAT BerAKHLAK")</f>
        <v>RITA EVINA PURBA, S. T.  SERTIFIKAT BerAKHLAK</v>
      </c>
      <c r="K1086" s="5" t="s">
        <v>8685</v>
      </c>
      <c r="L1086" s="5" t="s">
        <v>9413</v>
      </c>
    </row>
    <row r="1087">
      <c r="A1087" s="4">
        <v>45534.32980997685</v>
      </c>
      <c r="B1087" s="5" t="s">
        <v>34</v>
      </c>
      <c r="D1087" s="5" t="s">
        <v>4775</v>
      </c>
      <c r="E1087" s="5" t="s">
        <v>9416</v>
      </c>
      <c r="F1087" s="5" t="s">
        <v>212</v>
      </c>
      <c r="G1087" s="5" t="s">
        <v>9417</v>
      </c>
      <c r="H1087" s="6" t="s">
        <v>9418</v>
      </c>
      <c r="I1087" s="7" t="s">
        <v>9419</v>
      </c>
      <c r="J1087" s="8" t="str">
        <f>HYPERLINK("https://drive.google.com/file/d/1KcfJnine8yRREabCFCyHnSRH2wG3LjSu/view?usp=drivesdk","SHINTA PUSPITASARI SERTIFIKAT BerAKHLAK")</f>
        <v>SHINTA PUSPITASARI SERTIFIKAT BerAKHLAK</v>
      </c>
      <c r="K1087" s="5" t="s">
        <v>8685</v>
      </c>
      <c r="L1087" s="5" t="s">
        <v>9420</v>
      </c>
    </row>
    <row r="1088">
      <c r="A1088" s="4">
        <v>45534.32983361111</v>
      </c>
      <c r="B1088" s="5" t="s">
        <v>34</v>
      </c>
      <c r="D1088" s="5" t="s">
        <v>1663</v>
      </c>
      <c r="E1088" s="5" t="s">
        <v>9424</v>
      </c>
      <c r="F1088" s="5" t="s">
        <v>212</v>
      </c>
      <c r="G1088" s="5" t="s">
        <v>9425</v>
      </c>
      <c r="H1088" s="6" t="s">
        <v>9426</v>
      </c>
      <c r="I1088" s="7" t="s">
        <v>9427</v>
      </c>
      <c r="J1088" s="8" t="str">
        <f>HYPERLINK("https://drive.google.com/file/d/1sHaJbbxqarEiA6VrZE2nUksHx1qTf9BV/view?usp=drivesdk","SRI ENDANG HARTININGSIH, A. Md. Kep SERTIFIKAT BerAKHLAK")</f>
        <v>SRI ENDANG HARTININGSIH, A. Md. Kep SERTIFIKAT BerAKHLAK</v>
      </c>
      <c r="K1088" s="5" t="s">
        <v>8685</v>
      </c>
      <c r="L1088" s="5" t="s">
        <v>9428</v>
      </c>
    </row>
    <row r="1089">
      <c r="A1089" s="4">
        <v>45534.32983746528</v>
      </c>
      <c r="B1089" s="5" t="s">
        <v>34</v>
      </c>
      <c r="D1089" s="5" t="s">
        <v>9020</v>
      </c>
      <c r="E1089" s="5" t="s">
        <v>9431</v>
      </c>
      <c r="F1089" s="5" t="s">
        <v>72</v>
      </c>
      <c r="G1089" s="5" t="s">
        <v>9432</v>
      </c>
      <c r="H1089" s="6" t="s">
        <v>9433</v>
      </c>
      <c r="I1089" s="7" t="s">
        <v>9434</v>
      </c>
      <c r="J1089" s="8" t="str">
        <f>HYPERLINK("https://drive.google.com/file/d/1tdtqgP5RS3VijDHqumD9gu8zLQ13xm83/view?usp=drivesdk","NILAWARNI,SKM,MKM SERTIFIKAT BerAKHLAK")</f>
        <v>NILAWARNI,SKM,MKM SERTIFIKAT BerAKHLAK</v>
      </c>
      <c r="K1089" s="5" t="s">
        <v>8685</v>
      </c>
      <c r="L1089" s="5" t="s">
        <v>9435</v>
      </c>
    </row>
    <row r="1090">
      <c r="A1090" s="4">
        <v>45534.32984853009</v>
      </c>
      <c r="B1090" s="5" t="s">
        <v>34</v>
      </c>
      <c r="D1090" s="5" t="s">
        <v>35</v>
      </c>
      <c r="E1090" s="5" t="s">
        <v>9438</v>
      </c>
      <c r="F1090" s="5" t="s">
        <v>212</v>
      </c>
      <c r="G1090" s="5" t="s">
        <v>9439</v>
      </c>
      <c r="H1090" s="6" t="s">
        <v>9440</v>
      </c>
      <c r="I1090" s="7" t="s">
        <v>9441</v>
      </c>
      <c r="J1090" s="8" t="str">
        <f>HYPERLINK("https://drive.google.com/file/d/10hDviPC5GRBda1pMICNUG4bHW9DmYRwy/view?usp=drivesdk","JONI SUKMAWAN SERTIFIKAT BerAKHLAK")</f>
        <v>JONI SUKMAWAN SERTIFIKAT BerAKHLAK</v>
      </c>
      <c r="K1090" s="5" t="s">
        <v>8685</v>
      </c>
      <c r="L1090" s="5" t="s">
        <v>9442</v>
      </c>
    </row>
    <row r="1091">
      <c r="A1091" s="4">
        <v>45534.32987288194</v>
      </c>
      <c r="B1091" s="5" t="s">
        <v>34</v>
      </c>
      <c r="D1091" s="5" t="s">
        <v>280</v>
      </c>
      <c r="E1091" s="5" t="s">
        <v>9445</v>
      </c>
      <c r="F1091" s="5" t="s">
        <v>37</v>
      </c>
      <c r="G1091" s="5" t="s">
        <v>9446</v>
      </c>
      <c r="H1091" s="6" t="s">
        <v>9447</v>
      </c>
      <c r="I1091" s="7" t="s">
        <v>9448</v>
      </c>
      <c r="J1091" s="8" t="str">
        <f>HYPERLINK("https://drive.google.com/file/d/1xVV9Lb8y7-OhDrIETl2Wx5DAo3xnbyut/view?usp=drivesdk","NOVA RAMADHAN SERTIFIKAT BerAKHLAK")</f>
        <v>NOVA RAMADHAN SERTIFIKAT BerAKHLAK</v>
      </c>
      <c r="K1091" s="5" t="s">
        <v>8685</v>
      </c>
      <c r="L1091" s="5" t="s">
        <v>9449</v>
      </c>
    </row>
    <row r="1092">
      <c r="A1092" s="4">
        <v>45534.329876180556</v>
      </c>
      <c r="B1092" s="5" t="s">
        <v>34</v>
      </c>
      <c r="D1092" s="5" t="s">
        <v>280</v>
      </c>
      <c r="E1092" s="5" t="s">
        <v>9452</v>
      </c>
      <c r="F1092" s="5" t="s">
        <v>524</v>
      </c>
      <c r="G1092" s="5" t="s">
        <v>9453</v>
      </c>
      <c r="H1092" s="6" t="s">
        <v>9454</v>
      </c>
      <c r="I1092" s="7" t="s">
        <v>9455</v>
      </c>
      <c r="J1092" s="8" t="str">
        <f>HYPERLINK("https://drive.google.com/file/d/1JZVN3WHB9t-BzjfpXswvWX8XB98fmyti/view?usp=drivesdk","RISA MARLINA BINTI SULAIMAN SERTIFIKAT BerAKHLAK")</f>
        <v>RISA MARLINA BINTI SULAIMAN SERTIFIKAT BerAKHLAK</v>
      </c>
      <c r="K1092" s="5" t="s">
        <v>8685</v>
      </c>
      <c r="L1092" s="5" t="s">
        <v>9456</v>
      </c>
    </row>
    <row r="1093">
      <c r="A1093" s="4">
        <v>45534.329878530094</v>
      </c>
      <c r="B1093" s="5" t="s">
        <v>34</v>
      </c>
      <c r="D1093" s="5" t="s">
        <v>1768</v>
      </c>
      <c r="E1093" s="5" t="s">
        <v>9459</v>
      </c>
      <c r="F1093" s="5" t="s">
        <v>72</v>
      </c>
      <c r="G1093" s="5" t="s">
        <v>9460</v>
      </c>
      <c r="H1093" s="6" t="s">
        <v>9461</v>
      </c>
      <c r="I1093" s="7" t="s">
        <v>9462</v>
      </c>
      <c r="J1093" s="8" t="str">
        <f>HYPERLINK("https://drive.google.com/file/d/1fqt7s4c8KF5Er3xPQsqFs4ZOAt5dJXDF/view?usp=drivesdk","ESI INDRAYANI SERTIFIKAT BerAKHLAK")</f>
        <v>ESI INDRAYANI SERTIFIKAT BerAKHLAK</v>
      </c>
      <c r="K1093" s="5" t="s">
        <v>8685</v>
      </c>
      <c r="L1093" s="5" t="s">
        <v>9463</v>
      </c>
    </row>
    <row r="1094">
      <c r="A1094" s="4">
        <v>45534.32989626157</v>
      </c>
      <c r="B1094" s="5" t="s">
        <v>34</v>
      </c>
      <c r="D1094" s="5" t="s">
        <v>996</v>
      </c>
      <c r="E1094" s="5" t="s">
        <v>9466</v>
      </c>
      <c r="F1094" s="5" t="s">
        <v>37</v>
      </c>
      <c r="G1094" s="5" t="s">
        <v>9467</v>
      </c>
      <c r="H1094" s="6" t="s">
        <v>9468</v>
      </c>
      <c r="I1094" s="7" t="s">
        <v>9469</v>
      </c>
      <c r="J1094" s="8" t="str">
        <f>HYPERLINK("https://drive.google.com/file/d/1kf4zjEJOW9Y7lIQiEtWpZ_XkMP_bjz8k/view?usp=drivesdk","MULIYANI MULIYANI  SERTIFIKAT BerAKHLAK")</f>
        <v>MULIYANI MULIYANI  SERTIFIKAT BerAKHLAK</v>
      </c>
      <c r="K1094" s="5" t="s">
        <v>8685</v>
      </c>
      <c r="L1094" s="5" t="s">
        <v>9470</v>
      </c>
    </row>
    <row r="1095">
      <c r="A1095" s="4">
        <v>45534.329902488425</v>
      </c>
      <c r="B1095" s="5" t="s">
        <v>34</v>
      </c>
      <c r="D1095" s="5" t="s">
        <v>4775</v>
      </c>
      <c r="E1095" s="5" t="s">
        <v>9474</v>
      </c>
      <c r="F1095" s="5" t="s">
        <v>375</v>
      </c>
      <c r="G1095" s="5" t="s">
        <v>9475</v>
      </c>
      <c r="H1095" s="6" t="s">
        <v>9476</v>
      </c>
      <c r="I1095" s="7" t="s">
        <v>9477</v>
      </c>
      <c r="J1095" s="8" t="str">
        <f>HYPERLINK("https://drive.google.com/file/d/1Ih2s4LNmIxfCecub5zpLwL-jXFvX9IS6/view?usp=drivesdk","AGUS KRISTIYANTO.S.H SERTIFIKAT BerAKHLAK")</f>
        <v>AGUS KRISTIYANTO.S.H SERTIFIKAT BerAKHLAK</v>
      </c>
      <c r="K1095" s="5" t="s">
        <v>8685</v>
      </c>
      <c r="L1095" s="5" t="s">
        <v>9478</v>
      </c>
    </row>
    <row r="1096">
      <c r="A1096" s="4">
        <v>45534.329906643514</v>
      </c>
      <c r="B1096" s="5" t="s">
        <v>34</v>
      </c>
      <c r="D1096" s="5" t="s">
        <v>4775</v>
      </c>
      <c r="E1096" s="5" t="s">
        <v>9481</v>
      </c>
      <c r="F1096" s="5" t="s">
        <v>524</v>
      </c>
      <c r="G1096" s="5" t="s">
        <v>9482</v>
      </c>
      <c r="H1096" s="6" t="s">
        <v>9483</v>
      </c>
      <c r="I1096" s="7" t="s">
        <v>9484</v>
      </c>
      <c r="J1096" s="8" t="str">
        <f>HYPERLINK("https://drive.google.com/file/d/1UPuYfiWHoo5bqt9rAdvWyseWXA64Ny5F/view?usp=drivesdk","WAHYU PRABAWANI, S.M. SERTIFIKAT BerAKHLAK")</f>
        <v>WAHYU PRABAWANI, S.M. SERTIFIKAT BerAKHLAK</v>
      </c>
      <c r="K1096" s="5" t="s">
        <v>8685</v>
      </c>
      <c r="L1096" s="5" t="s">
        <v>9485</v>
      </c>
    </row>
    <row r="1097">
      <c r="A1097" s="4">
        <v>45534.32991277778</v>
      </c>
      <c r="B1097" s="5" t="s">
        <v>34</v>
      </c>
      <c r="D1097" s="5" t="s">
        <v>35</v>
      </c>
      <c r="E1097" s="5" t="s">
        <v>9488</v>
      </c>
      <c r="F1097" s="5" t="s">
        <v>37</v>
      </c>
      <c r="G1097" s="5" t="s">
        <v>9489</v>
      </c>
      <c r="H1097" s="6" t="s">
        <v>9490</v>
      </c>
      <c r="I1097" s="7" t="s">
        <v>9491</v>
      </c>
      <c r="J1097" s="8" t="str">
        <f>HYPERLINK("https://drive.google.com/file/d/1tKSX_2O-Mo-y6lgyyWHQZ5n7lmK3wLrT/view?usp=drivesdk","SRI CASMIATI, S.H. SERTIFIKAT BerAKHLAK")</f>
        <v>SRI CASMIATI, S.H. SERTIFIKAT BerAKHLAK</v>
      </c>
      <c r="K1097" s="5" t="s">
        <v>8685</v>
      </c>
      <c r="L1097" s="5" t="s">
        <v>9492</v>
      </c>
    </row>
    <row r="1098">
      <c r="A1098" s="4">
        <v>45534.3299165625</v>
      </c>
      <c r="B1098" s="5" t="s">
        <v>34</v>
      </c>
      <c r="D1098" s="5" t="s">
        <v>580</v>
      </c>
      <c r="E1098" s="5" t="s">
        <v>9495</v>
      </c>
      <c r="F1098" s="5" t="s">
        <v>212</v>
      </c>
      <c r="G1098" s="5" t="s">
        <v>9496</v>
      </c>
      <c r="H1098" s="6" t="s">
        <v>9497</v>
      </c>
      <c r="I1098" s="7" t="s">
        <v>9498</v>
      </c>
      <c r="J1098" s="8" t="str">
        <f>HYPERLINK("https://drive.google.com/file/d/1K0DDh3mG9sOcLAQDc532s7ZqD6Zf91Og/view?usp=drivesdk","LUH PUTu DYAH WREDIASTITI SERTIFIKAT BerAKHLAK")</f>
        <v>LUH PUTu DYAH WREDIASTITI SERTIFIKAT BerAKHLAK</v>
      </c>
      <c r="K1098" s="5" t="s">
        <v>8685</v>
      </c>
      <c r="L1098" s="5" t="s">
        <v>9499</v>
      </c>
    </row>
    <row r="1099">
      <c r="A1099" s="4">
        <v>45534.32993663194</v>
      </c>
      <c r="B1099" s="5" t="s">
        <v>34</v>
      </c>
      <c r="D1099" s="5" t="s">
        <v>1206</v>
      </c>
      <c r="E1099" s="5" t="s">
        <v>9502</v>
      </c>
      <c r="F1099" s="5" t="s">
        <v>37</v>
      </c>
      <c r="G1099" s="5" t="s">
        <v>9503</v>
      </c>
      <c r="H1099" s="6" t="s">
        <v>9504</v>
      </c>
      <c r="I1099" s="7" t="s">
        <v>9505</v>
      </c>
      <c r="J1099" s="8" t="str">
        <f>HYPERLINK("https://drive.google.com/file/d/1BSUacUHS9xFMTZ17304yZzAIsIkg4u1-/view?usp=drivesdk","EKA SULISTIYANA WIJAYANTI SERTIFIKAT BerAKHLAK")</f>
        <v>EKA SULISTIYANA WIJAYANTI SERTIFIKAT BerAKHLAK</v>
      </c>
      <c r="K1099" s="5" t="s">
        <v>8685</v>
      </c>
      <c r="L1099" s="5" t="s">
        <v>9506</v>
      </c>
    </row>
    <row r="1100">
      <c r="A1100" s="4">
        <v>45534.32993756945</v>
      </c>
      <c r="B1100" s="5" t="s">
        <v>34</v>
      </c>
      <c r="D1100" s="5" t="s">
        <v>267</v>
      </c>
      <c r="E1100" s="5" t="s">
        <v>9509</v>
      </c>
      <c r="F1100" s="5" t="s">
        <v>212</v>
      </c>
      <c r="G1100" s="5" t="s">
        <v>9510</v>
      </c>
      <c r="H1100" s="6" t="s">
        <v>9511</v>
      </c>
      <c r="I1100" s="7" t="s">
        <v>9512</v>
      </c>
      <c r="J1100" s="8" t="str">
        <f>HYPERLINK("https://drive.google.com/file/d/1MMqKP4QBTFdbMjJEda2Ay7yM0oG0vFlR/view?usp=drivesdk","HENRY HERMAWAN SERTIFIKAT BerAKHLAK")</f>
        <v>HENRY HERMAWAN SERTIFIKAT BerAKHLAK</v>
      </c>
      <c r="K1100" s="5" t="s">
        <v>8685</v>
      </c>
      <c r="L1100" s="5" t="s">
        <v>9513</v>
      </c>
    </row>
    <row r="1101">
      <c r="A1101" s="4">
        <v>45534.32994207176</v>
      </c>
      <c r="B1101" s="5" t="s">
        <v>34</v>
      </c>
      <c r="D1101" s="5" t="s">
        <v>4775</v>
      </c>
      <c r="E1101" s="5" t="s">
        <v>9517</v>
      </c>
      <c r="F1101" s="5" t="s">
        <v>375</v>
      </c>
      <c r="G1101" s="5" t="s">
        <v>9518</v>
      </c>
      <c r="H1101" s="6" t="s">
        <v>9519</v>
      </c>
      <c r="I1101" s="7" t="s">
        <v>9520</v>
      </c>
      <c r="J1101" s="8" t="str">
        <f>HYPERLINK("https://drive.google.com/file/d/1eXxq0wXW0d-1zwuCLBBbC9zDpjuctO1I/view?usp=drivesdk","AGUS PRIYANTO  SERTIFIKAT BerAKHLAK")</f>
        <v>AGUS PRIYANTO  SERTIFIKAT BerAKHLAK</v>
      </c>
      <c r="K1101" s="5" t="s">
        <v>8685</v>
      </c>
      <c r="L1101" s="5" t="s">
        <v>9521</v>
      </c>
    </row>
    <row r="1102">
      <c r="A1102" s="4">
        <v>45534.329943206016</v>
      </c>
      <c r="B1102" s="5" t="s">
        <v>34</v>
      </c>
      <c r="D1102" s="5" t="s">
        <v>580</v>
      </c>
      <c r="E1102" s="5" t="s">
        <v>9524</v>
      </c>
      <c r="F1102" s="5" t="s">
        <v>37</v>
      </c>
      <c r="G1102" s="5" t="s">
        <v>9525</v>
      </c>
      <c r="H1102" s="6" t="s">
        <v>9526</v>
      </c>
      <c r="I1102" s="7" t="s">
        <v>9527</v>
      </c>
      <c r="J1102" s="8" t="str">
        <f>HYPERLINK("https://drive.google.com/file/d/1BI4bPLesq96C02l5uSuiNKeOsSmPXA_v/view?usp=drivesdk","I GUSTI NGURAH KOMANG PARMADI SERTIFIKAT BerAKHLAK")</f>
        <v>I GUSTI NGURAH KOMANG PARMADI SERTIFIKAT BerAKHLAK</v>
      </c>
      <c r="K1102" s="5" t="s">
        <v>9528</v>
      </c>
      <c r="L1102" s="5" t="s">
        <v>9529</v>
      </c>
    </row>
    <row r="1103">
      <c r="A1103" s="4">
        <v>45534.329956828704</v>
      </c>
      <c r="B1103" s="5" t="s">
        <v>34</v>
      </c>
      <c r="D1103" s="5" t="s">
        <v>267</v>
      </c>
      <c r="E1103" s="5" t="s">
        <v>9532</v>
      </c>
      <c r="F1103" s="5" t="s">
        <v>524</v>
      </c>
      <c r="G1103" s="5" t="s">
        <v>9533</v>
      </c>
      <c r="H1103" s="6" t="s">
        <v>9534</v>
      </c>
      <c r="I1103" s="7" t="s">
        <v>9535</v>
      </c>
      <c r="J1103" s="8" t="str">
        <f>HYPERLINK("https://drive.google.com/file/d/10QHlaf8EtpkpOhKdOGFiDryjdwBSwVV-/view?usp=drivesdk","MISERY DESIANA, A.MD SERTIFIKAT BerAKHLAK")</f>
        <v>MISERY DESIANA, A.MD SERTIFIKAT BerAKHLAK</v>
      </c>
      <c r="K1103" s="5" t="s">
        <v>9528</v>
      </c>
      <c r="L1103" s="5" t="s">
        <v>9536</v>
      </c>
    </row>
    <row r="1104">
      <c r="A1104" s="4">
        <v>45534.329968969905</v>
      </c>
      <c r="B1104" s="5" t="s">
        <v>34</v>
      </c>
      <c r="D1104" s="5" t="s">
        <v>4775</v>
      </c>
      <c r="E1104" s="5" t="s">
        <v>9539</v>
      </c>
      <c r="F1104" s="5" t="s">
        <v>212</v>
      </c>
      <c r="G1104" s="5" t="s">
        <v>9540</v>
      </c>
      <c r="H1104" s="6" t="s">
        <v>9541</v>
      </c>
      <c r="I1104" s="7" t="s">
        <v>9542</v>
      </c>
      <c r="J1104" s="8" t="str">
        <f>HYPERLINK("https://drive.google.com/file/d/1o3kAo82jlN4wVzFWbwLczZsChGJcy5bA/view?usp=drivesdk","AGUS ISTIAWAN SERTIFIKAT BerAKHLAK")</f>
        <v>AGUS ISTIAWAN SERTIFIKAT BerAKHLAK</v>
      </c>
      <c r="K1104" s="5" t="s">
        <v>9528</v>
      </c>
      <c r="L1104" s="5" t="s">
        <v>9543</v>
      </c>
    </row>
    <row r="1105">
      <c r="A1105" s="4">
        <v>45534.32998018518</v>
      </c>
      <c r="B1105" s="5" t="s">
        <v>34</v>
      </c>
      <c r="D1105" s="5" t="s">
        <v>4775</v>
      </c>
      <c r="E1105" s="5" t="s">
        <v>9546</v>
      </c>
      <c r="F1105" s="5" t="s">
        <v>212</v>
      </c>
      <c r="G1105" s="5" t="s">
        <v>9547</v>
      </c>
      <c r="H1105" s="6" t="s">
        <v>9548</v>
      </c>
      <c r="I1105" s="7" t="s">
        <v>9549</v>
      </c>
      <c r="J1105" s="8" t="str">
        <f>HYPERLINK("https://drive.google.com/file/d/1JccJjxQODI9rNnrvE-YO9zC04j19sOm0/view?usp=drivesdk","ENDANG LISTYAWATI SERTIFIKAT BerAKHLAK")</f>
        <v>ENDANG LISTYAWATI SERTIFIKAT BerAKHLAK</v>
      </c>
      <c r="K1105" s="5" t="s">
        <v>9528</v>
      </c>
      <c r="L1105" s="5" t="s">
        <v>9550</v>
      </c>
    </row>
    <row r="1106">
      <c r="A1106" s="4">
        <v>45534.32998480324</v>
      </c>
      <c r="B1106" s="5" t="s">
        <v>34</v>
      </c>
      <c r="D1106" s="5" t="s">
        <v>280</v>
      </c>
      <c r="E1106" s="5" t="s">
        <v>9553</v>
      </c>
      <c r="F1106" s="5" t="s">
        <v>212</v>
      </c>
      <c r="G1106" s="5" t="s">
        <v>9554</v>
      </c>
      <c r="H1106" s="6" t="s">
        <v>9555</v>
      </c>
      <c r="I1106" s="7" t="s">
        <v>9556</v>
      </c>
      <c r="J1106" s="8" t="str">
        <f>HYPERLINK("https://drive.google.com/file/d/1hsn_N1a3U4t61h6SbrkPViIRce4ulh0y/view?usp=drivesdk","ADE HARIANTY BINTI KADENI SA'IAN SERTIFIKAT BerAKHLAK")</f>
        <v>ADE HARIANTY BINTI KADENI SA'IAN SERTIFIKAT BerAKHLAK</v>
      </c>
      <c r="K1106" s="5" t="s">
        <v>9528</v>
      </c>
      <c r="L1106" s="5" t="s">
        <v>9557</v>
      </c>
    </row>
    <row r="1107">
      <c r="A1107" s="4">
        <v>45534.32999229166</v>
      </c>
      <c r="B1107" s="5" t="s">
        <v>34</v>
      </c>
      <c r="D1107" s="5" t="s">
        <v>4775</v>
      </c>
      <c r="E1107" s="5" t="s">
        <v>9561</v>
      </c>
      <c r="F1107" s="5" t="s">
        <v>212</v>
      </c>
      <c r="G1107" s="5" t="s">
        <v>9562</v>
      </c>
      <c r="H1107" s="6" t="s">
        <v>9563</v>
      </c>
      <c r="I1107" s="7" t="s">
        <v>9564</v>
      </c>
      <c r="J1107" s="8" t="str">
        <f>HYPERLINK("https://drive.google.com/file/d/1ed9ujS8pSh7jc77VLpmniANDH_zYQGnt/view?usp=drivesdk","MUHAMMAD PRAYOGI SUNDOYO SERTIFIKAT BerAKHLAK")</f>
        <v>MUHAMMAD PRAYOGI SUNDOYO SERTIFIKAT BerAKHLAK</v>
      </c>
      <c r="K1107" s="5" t="s">
        <v>9565</v>
      </c>
      <c r="L1107" s="5" t="s">
        <v>9566</v>
      </c>
    </row>
    <row r="1108">
      <c r="A1108" s="4">
        <v>45534.32999489583</v>
      </c>
      <c r="B1108" s="5" t="s">
        <v>19</v>
      </c>
      <c r="C1108" s="5" t="s">
        <v>292</v>
      </c>
      <c r="E1108" s="5" t="s">
        <v>9569</v>
      </c>
      <c r="F1108" s="5" t="s">
        <v>212</v>
      </c>
      <c r="G1108" s="5" t="s">
        <v>9570</v>
      </c>
      <c r="H1108" s="6" t="s">
        <v>9571</v>
      </c>
      <c r="I1108" s="7" t="s">
        <v>9572</v>
      </c>
      <c r="J1108" s="8" t="str">
        <f>HYPERLINK("https://drive.google.com/file/d/1MSN_4ztDo6XO-1VzoqbK1cHH9Bwh7GJb/view?usp=drivesdk","LASMIIZAINII SERTIFIKAT BerAKHLAK")</f>
        <v>LASMIIZAINII SERTIFIKAT BerAKHLAK</v>
      </c>
      <c r="K1108" s="5" t="s">
        <v>9565</v>
      </c>
      <c r="L1108" s="5" t="s">
        <v>9573</v>
      </c>
    </row>
    <row r="1109">
      <c r="A1109" s="4">
        <v>45534.330003553245</v>
      </c>
      <c r="B1109" s="5" t="s">
        <v>34</v>
      </c>
      <c r="D1109" s="5" t="s">
        <v>9020</v>
      </c>
      <c r="E1109" s="5" t="s">
        <v>9576</v>
      </c>
      <c r="F1109" s="5" t="s">
        <v>375</v>
      </c>
      <c r="G1109" s="5" t="s">
        <v>9577</v>
      </c>
      <c r="H1109" s="6" t="s">
        <v>9578</v>
      </c>
      <c r="I1109" s="7" t="s">
        <v>9579</v>
      </c>
      <c r="J1109" s="8" t="str">
        <f>HYPERLINK("https://drive.google.com/file/d/1WMUciPuhFJ1Am1cVRrpKXvYqnlxn75G5/view?usp=drivesdk","ARISTO BASTIAN SIANIPAR, S.E., M.Ak SERTIFIKAT BerAKHLAK")</f>
        <v>ARISTO BASTIAN SIANIPAR, S.E., M.Ak SERTIFIKAT BerAKHLAK</v>
      </c>
      <c r="K1109" s="5" t="s">
        <v>8685</v>
      </c>
      <c r="L1109" s="5" t="s">
        <v>9580</v>
      </c>
    </row>
    <row r="1110">
      <c r="A1110" s="4">
        <v>45534.3300194676</v>
      </c>
      <c r="B1110" s="5" t="s">
        <v>34</v>
      </c>
      <c r="D1110" s="5" t="s">
        <v>35</v>
      </c>
      <c r="E1110" s="5" t="s">
        <v>9583</v>
      </c>
      <c r="F1110" s="5" t="s">
        <v>524</v>
      </c>
      <c r="G1110" s="5" t="s">
        <v>9584</v>
      </c>
      <c r="H1110" s="6" t="s">
        <v>9585</v>
      </c>
      <c r="I1110" s="7" t="s">
        <v>9586</v>
      </c>
      <c r="J1110" s="8" t="str">
        <f>HYPERLINK("https://drive.google.com/file/d/1AUBgcoJQs6nKAM26Xi2bwTlRsiFUH9k8/view?usp=drivesdk","BUDIMANTORO,AMK SERTIFIKAT BerAKHLAK")</f>
        <v>BUDIMANTORO,AMK SERTIFIKAT BerAKHLAK</v>
      </c>
      <c r="K1110" s="5" t="s">
        <v>8685</v>
      </c>
      <c r="L1110" s="5" t="s">
        <v>9587</v>
      </c>
    </row>
    <row r="1111">
      <c r="A1111" s="4">
        <v>45534.3300196412</v>
      </c>
      <c r="B1111" s="5" t="s">
        <v>34</v>
      </c>
      <c r="D1111" s="5" t="s">
        <v>4775</v>
      </c>
      <c r="E1111" s="5" t="s">
        <v>9590</v>
      </c>
      <c r="F1111" s="5" t="s">
        <v>108</v>
      </c>
      <c r="G1111" s="5" t="s">
        <v>9591</v>
      </c>
      <c r="H1111" s="6" t="s">
        <v>9592</v>
      </c>
      <c r="I1111" s="7" t="s">
        <v>9593</v>
      </c>
      <c r="J1111" s="8" t="str">
        <f>HYPERLINK("https://drive.google.com/file/d/1z0EuBnWALLylKp9LAWbcUJgkj4J4tTIW/view?usp=drivesdk","RATNA KUSUMADEWI, S.Kom. SERTIFIKAT BerAKHLAK")</f>
        <v>RATNA KUSUMADEWI, S.Kom. SERTIFIKAT BerAKHLAK</v>
      </c>
      <c r="K1111" s="5" t="s">
        <v>8685</v>
      </c>
      <c r="L1111" s="5" t="s">
        <v>9594</v>
      </c>
    </row>
    <row r="1112">
      <c r="A1112" s="4">
        <v>45534.33002277778</v>
      </c>
      <c r="B1112" s="5" t="s">
        <v>19</v>
      </c>
      <c r="C1112" s="5" t="s">
        <v>8666</v>
      </c>
      <c r="E1112" s="5" t="s">
        <v>9598</v>
      </c>
      <c r="F1112" s="5" t="s">
        <v>120</v>
      </c>
      <c r="G1112" s="5" t="s">
        <v>9599</v>
      </c>
      <c r="H1112" s="6" t="s">
        <v>9600</v>
      </c>
      <c r="I1112" s="7" t="s">
        <v>9601</v>
      </c>
      <c r="J1112" s="8" t="str">
        <f>HYPERLINK("https://drive.google.com/file/d/1c2ODBBiJXVOEbRBbsT4road5eCtm-qlB/view?usp=drivesdk","NURHANA AFRIDA NASUTION SERTIFIKAT BerAKHLAK")</f>
        <v>NURHANA AFRIDA NASUTION SERTIFIKAT BerAKHLAK</v>
      </c>
      <c r="K1112" s="5" t="s">
        <v>8685</v>
      </c>
      <c r="L1112" s="5" t="s">
        <v>9602</v>
      </c>
    </row>
    <row r="1113">
      <c r="A1113" s="4">
        <v>45534.33002474537</v>
      </c>
      <c r="B1113" s="5" t="s">
        <v>19</v>
      </c>
      <c r="C1113" s="5" t="s">
        <v>292</v>
      </c>
      <c r="E1113" s="5" t="s">
        <v>9605</v>
      </c>
      <c r="F1113" s="5" t="s">
        <v>375</v>
      </c>
      <c r="G1113" s="5" t="s">
        <v>9606</v>
      </c>
      <c r="H1113" s="6" t="s">
        <v>9607</v>
      </c>
      <c r="I1113" s="7" t="s">
        <v>9608</v>
      </c>
      <c r="J1113" s="8" t="str">
        <f>HYPERLINK("https://drive.google.com/file/d/1mGrZFdNYIu-_miqOHqt3ogR1AywDnIF2/view?usp=drivesdk","DWI MULYATI RAHAYU NINGSIH SERTIFIKAT BerAKHLAK")</f>
        <v>DWI MULYATI RAHAYU NINGSIH SERTIFIKAT BerAKHLAK</v>
      </c>
      <c r="K1113" s="5" t="s">
        <v>9528</v>
      </c>
      <c r="L1113" s="5" t="s">
        <v>9609</v>
      </c>
    </row>
    <row r="1114">
      <c r="A1114" s="4">
        <v>45534.33004532407</v>
      </c>
      <c r="B1114" s="5" t="s">
        <v>34</v>
      </c>
      <c r="D1114" s="5" t="s">
        <v>1206</v>
      </c>
      <c r="E1114" s="5" t="s">
        <v>9612</v>
      </c>
      <c r="F1114" s="5" t="s">
        <v>212</v>
      </c>
      <c r="G1114" s="5" t="s">
        <v>9613</v>
      </c>
      <c r="H1114" s="6" t="s">
        <v>9614</v>
      </c>
      <c r="I1114" s="7" t="s">
        <v>9615</v>
      </c>
      <c r="J1114" s="8" t="str">
        <f>HYPERLINK("https://drive.google.com/file/d/1zNwGAHvInk9Jz7uyzbtdfljvlh-JNmhL/view?usp=drivesdk","ITA TIKTIYANA  SERTIFIKAT BerAKHLAK")</f>
        <v>ITA TIKTIYANA  SERTIFIKAT BerAKHLAK</v>
      </c>
      <c r="K1114" s="5" t="s">
        <v>8685</v>
      </c>
      <c r="L1114" s="5" t="s">
        <v>9616</v>
      </c>
    </row>
    <row r="1115">
      <c r="A1115" s="4">
        <v>45534.33005204861</v>
      </c>
      <c r="B1115" s="5" t="s">
        <v>19</v>
      </c>
      <c r="C1115" s="5" t="s">
        <v>3471</v>
      </c>
      <c r="E1115" s="5" t="s">
        <v>9619</v>
      </c>
      <c r="F1115" s="5" t="s">
        <v>85</v>
      </c>
      <c r="G1115" s="5" t="s">
        <v>9620</v>
      </c>
      <c r="H1115" s="6" t="s">
        <v>9621</v>
      </c>
      <c r="I1115" s="7" t="s">
        <v>9622</v>
      </c>
      <c r="J1115" s="8" t="str">
        <f>HYPERLINK("https://drive.google.com/file/d/1mgGtbu8I7G9mTu7ihR7tBDcn3j4cke0K/view?usp=drivesdk","DINI ABHARINA, S.H. SERTIFIKAT BerAKHLAK")</f>
        <v>DINI ABHARINA, S.H. SERTIFIKAT BerAKHLAK</v>
      </c>
      <c r="K1115" s="5" t="s">
        <v>8685</v>
      </c>
      <c r="L1115" s="5" t="s">
        <v>9623</v>
      </c>
    </row>
    <row r="1116">
      <c r="A1116" s="4">
        <v>45534.33005476852</v>
      </c>
      <c r="B1116" s="5" t="s">
        <v>34</v>
      </c>
      <c r="D1116" s="5" t="s">
        <v>3849</v>
      </c>
      <c r="E1116" s="5" t="s">
        <v>9626</v>
      </c>
      <c r="F1116" s="5" t="s">
        <v>37</v>
      </c>
      <c r="G1116" s="5" t="s">
        <v>9627</v>
      </c>
      <c r="H1116" s="6" t="s">
        <v>9628</v>
      </c>
      <c r="I1116" s="7" t="s">
        <v>9629</v>
      </c>
      <c r="J1116" s="8" t="str">
        <f>HYPERLINK("https://drive.google.com/file/d/1MUlq77UagGa7Gs2k330huPfK1A1uG0gF/view?usp=drivesdk","ADI SISWANTO, A.MD. SERTIFIKAT BerAKHLAK")</f>
        <v>ADI SISWANTO, A.MD. SERTIFIKAT BerAKHLAK</v>
      </c>
      <c r="K1116" s="5" t="s">
        <v>9528</v>
      </c>
      <c r="L1116" s="5" t="s">
        <v>9630</v>
      </c>
    </row>
    <row r="1117">
      <c r="A1117" s="4">
        <v>45534.33005527778</v>
      </c>
      <c r="B1117" s="5" t="s">
        <v>34</v>
      </c>
      <c r="D1117" s="5" t="s">
        <v>1206</v>
      </c>
      <c r="E1117" s="5" t="s">
        <v>9634</v>
      </c>
      <c r="F1117" s="5" t="s">
        <v>212</v>
      </c>
      <c r="G1117" s="5" t="s">
        <v>9635</v>
      </c>
      <c r="H1117" s="6" t="s">
        <v>9636</v>
      </c>
      <c r="I1117" s="7" t="s">
        <v>9637</v>
      </c>
      <c r="J1117" s="8" t="str">
        <f>HYPERLINK("https://drive.google.com/file/d/1GRi06V3Cc8FtUyngWPuf6IJcrduQnOY4/view?usp=drivesdk","MUHAMMAD ABU SUHARJO SERTIFIKAT BerAKHLAK")</f>
        <v>MUHAMMAD ABU SUHARJO SERTIFIKAT BerAKHLAK</v>
      </c>
      <c r="K1117" s="5" t="s">
        <v>9528</v>
      </c>
      <c r="L1117" s="5" t="s">
        <v>9638</v>
      </c>
    </row>
    <row r="1118">
      <c r="A1118" s="4">
        <v>45534.3300593287</v>
      </c>
      <c r="B1118" s="5" t="s">
        <v>34</v>
      </c>
      <c r="D1118" s="5" t="s">
        <v>35</v>
      </c>
      <c r="E1118" s="5" t="s">
        <v>9641</v>
      </c>
      <c r="F1118" s="5" t="s">
        <v>120</v>
      </c>
      <c r="G1118" s="5" t="s">
        <v>9642</v>
      </c>
      <c r="H1118" s="6" t="s">
        <v>9643</v>
      </c>
      <c r="I1118" s="7" t="s">
        <v>9644</v>
      </c>
      <c r="J1118" s="8" t="str">
        <f>HYPERLINK("https://drive.google.com/file/d/1E0s1ESOEvVdVjaQPyPP95ywoM-L28zee/view?usp=drivesdk","DRG EMMA FRYDA DESYANNA PAKPAHAN  SERTIFIKAT BerAKHLAK")</f>
        <v>DRG EMMA FRYDA DESYANNA PAKPAHAN  SERTIFIKAT BerAKHLAK</v>
      </c>
      <c r="K1118" s="5" t="s">
        <v>9528</v>
      </c>
      <c r="L1118" s="5" t="s">
        <v>9645</v>
      </c>
    </row>
    <row r="1119">
      <c r="A1119" s="4">
        <v>45534.33008730324</v>
      </c>
      <c r="B1119" s="5" t="s">
        <v>34</v>
      </c>
      <c r="D1119" s="5" t="s">
        <v>1206</v>
      </c>
      <c r="E1119" s="5" t="s">
        <v>9648</v>
      </c>
      <c r="F1119" s="5" t="s">
        <v>212</v>
      </c>
      <c r="G1119" s="5" t="s">
        <v>9649</v>
      </c>
      <c r="H1119" s="6" t="s">
        <v>9650</v>
      </c>
      <c r="I1119" s="7" t="s">
        <v>9651</v>
      </c>
      <c r="J1119" s="8" t="str">
        <f>HYPERLINK("https://drive.google.com/file/d/1xinKxLHB4brxVZd0m_53rb15FbcIcvrV/view?usp=drivesdk","MEGA WIRAKASIH SERTIFIKAT BerAKHLAK")</f>
        <v>MEGA WIRAKASIH SERTIFIKAT BerAKHLAK</v>
      </c>
      <c r="K1119" s="5" t="s">
        <v>8685</v>
      </c>
      <c r="L1119" s="5" t="s">
        <v>9652</v>
      </c>
    </row>
    <row r="1120">
      <c r="A1120" s="4">
        <v>45534.33008748843</v>
      </c>
      <c r="B1120" s="5" t="s">
        <v>34</v>
      </c>
      <c r="D1120" s="5" t="s">
        <v>267</v>
      </c>
      <c r="E1120" s="5" t="s">
        <v>9655</v>
      </c>
      <c r="F1120" s="5" t="s">
        <v>212</v>
      </c>
      <c r="G1120" s="5" t="s">
        <v>9656</v>
      </c>
      <c r="H1120" s="6" t="s">
        <v>9657</v>
      </c>
      <c r="K1120" s="5" t="s">
        <v>9658</v>
      </c>
    </row>
    <row r="1121">
      <c r="A1121" s="4">
        <v>45534.330111585645</v>
      </c>
      <c r="B1121" s="5" t="s">
        <v>34</v>
      </c>
      <c r="D1121" s="5" t="s">
        <v>9020</v>
      </c>
      <c r="E1121" s="5" t="s">
        <v>9661</v>
      </c>
      <c r="F1121" s="5" t="s">
        <v>120</v>
      </c>
      <c r="G1121" s="5" t="s">
        <v>9662</v>
      </c>
      <c r="H1121" s="6" t="s">
        <v>9663</v>
      </c>
      <c r="I1121" s="7" t="s">
        <v>9664</v>
      </c>
      <c r="J1121" s="8" t="str">
        <f>HYPERLINK("https://drive.google.com/file/d/1lrjCb2C90JKybenAYF9YteCRCfkDYLJ9/view?usp=drivesdk","RINI SUKARSI, S. Kom SERTIFIKAT BerAKHLAK")</f>
        <v>RINI SUKARSI, S. Kom SERTIFIKAT BerAKHLAK</v>
      </c>
      <c r="K1121" s="5" t="s">
        <v>8685</v>
      </c>
      <c r="L1121" s="5" t="s">
        <v>9665</v>
      </c>
    </row>
    <row r="1122">
      <c r="A1122" s="4">
        <v>45534.33011765046</v>
      </c>
      <c r="B1122" s="5" t="s">
        <v>34</v>
      </c>
      <c r="D1122" s="5" t="s">
        <v>1206</v>
      </c>
      <c r="E1122" s="5" t="s">
        <v>9668</v>
      </c>
      <c r="F1122" s="5" t="s">
        <v>72</v>
      </c>
      <c r="G1122" s="5" t="s">
        <v>9669</v>
      </c>
      <c r="H1122" s="6" t="s">
        <v>9670</v>
      </c>
      <c r="I1122" s="7" t="s">
        <v>9671</v>
      </c>
      <c r="J1122" s="8" t="str">
        <f>HYPERLINK("https://drive.google.com/file/d/1QBwoDocyFPyAv8vrr0SDB0zdriBfY5Gm/view?usp=drivesdk","AMIRUL WIELUDAN SURYANTO, S.KOM., S.E., M.M. SERTIFIKAT BerAKHLAK")</f>
        <v>AMIRUL WIELUDAN SURYANTO, S.KOM., S.E., M.M. SERTIFIKAT BerAKHLAK</v>
      </c>
      <c r="K1122" s="5" t="s">
        <v>9528</v>
      </c>
      <c r="L1122" s="5" t="s">
        <v>9672</v>
      </c>
    </row>
    <row r="1123">
      <c r="A1123" s="4">
        <v>45534.33014416667</v>
      </c>
      <c r="B1123" s="5" t="s">
        <v>34</v>
      </c>
      <c r="D1123" s="5" t="s">
        <v>1663</v>
      </c>
      <c r="E1123" s="5" t="s">
        <v>9675</v>
      </c>
      <c r="F1123" s="5" t="s">
        <v>108</v>
      </c>
      <c r="G1123" s="5" t="s">
        <v>9676</v>
      </c>
      <c r="H1123" s="6" t="s">
        <v>9677</v>
      </c>
      <c r="I1123" s="7" t="s">
        <v>9678</v>
      </c>
      <c r="J1123" s="8" t="str">
        <f>HYPERLINK("https://drive.google.com/file/d/10Dk7YqEiIW91nyHnvVaKIa6LscXu5RNt/view?usp=drivesdk","SYAMSI RIZKI GULKIANKEDI KUBANGUN SERTIFIKAT BerAKHLAK")</f>
        <v>SYAMSI RIZKI GULKIANKEDI KUBANGUN SERTIFIKAT BerAKHLAK</v>
      </c>
      <c r="K1123" s="5" t="s">
        <v>8685</v>
      </c>
      <c r="L1123" s="5" t="s">
        <v>9679</v>
      </c>
    </row>
    <row r="1124">
      <c r="A1124" s="4">
        <v>45534.33017605324</v>
      </c>
      <c r="B1124" s="5" t="s">
        <v>34</v>
      </c>
      <c r="D1124" s="5" t="s">
        <v>35</v>
      </c>
      <c r="E1124" s="5" t="s">
        <v>9267</v>
      </c>
      <c r="F1124" s="5" t="s">
        <v>37</v>
      </c>
      <c r="G1124" s="5" t="s">
        <v>9683</v>
      </c>
      <c r="H1124" s="6" t="s">
        <v>9684</v>
      </c>
      <c r="I1124" s="7" t="s">
        <v>9685</v>
      </c>
      <c r="J1124" s="8" t="str">
        <f>HYPERLINK("https://drive.google.com/file/d/1lRM37qj36VvVLam1KF2NoN_GcKvFghAQ/view?usp=drivesdk","INDRIANINGSIH SERTIFIKAT BerAKHLAK")</f>
        <v>INDRIANINGSIH SERTIFIKAT BerAKHLAK</v>
      </c>
      <c r="K1124" s="5" t="s">
        <v>8685</v>
      </c>
      <c r="L1124" s="5" t="s">
        <v>9686</v>
      </c>
    </row>
    <row r="1125">
      <c r="A1125" s="4">
        <v>45534.330178171294</v>
      </c>
      <c r="B1125" s="5" t="s">
        <v>34</v>
      </c>
      <c r="D1125" s="5" t="s">
        <v>4775</v>
      </c>
      <c r="E1125" s="5" t="s">
        <v>9689</v>
      </c>
      <c r="F1125" s="5" t="s">
        <v>524</v>
      </c>
      <c r="G1125" s="5" t="s">
        <v>9690</v>
      </c>
      <c r="H1125" s="6" t="s">
        <v>9691</v>
      </c>
      <c r="I1125" s="7" t="s">
        <v>9692</v>
      </c>
      <c r="J1125" s="8" t="str">
        <f>HYPERLINK("https://drive.google.com/file/d/1ked0961skiSPtCfzpCQ0faSU3We-8LfT/view?usp=drivesdk","AMALIA ROSINTA DEWI SERTIFIKAT BerAKHLAK")</f>
        <v>AMALIA ROSINTA DEWI SERTIFIKAT BerAKHLAK</v>
      </c>
      <c r="K1125" s="5" t="s">
        <v>9528</v>
      </c>
      <c r="L1125" s="5" t="s">
        <v>9693</v>
      </c>
    </row>
    <row r="1126">
      <c r="A1126" s="4">
        <v>45534.33018201389</v>
      </c>
      <c r="B1126" s="5" t="s">
        <v>34</v>
      </c>
      <c r="D1126" s="5" t="s">
        <v>522</v>
      </c>
      <c r="E1126" s="5" t="s">
        <v>9696</v>
      </c>
      <c r="F1126" s="5" t="s">
        <v>524</v>
      </c>
      <c r="G1126" s="5" t="s">
        <v>9697</v>
      </c>
      <c r="H1126" s="6" t="s">
        <v>9698</v>
      </c>
      <c r="I1126" s="7" t="s">
        <v>9699</v>
      </c>
      <c r="J1126" s="8" t="str">
        <f>HYPERLINK("https://drive.google.com/file/d/15WYwQd_n2nY_yctBp8D5VQVYK6OaeAXU/view?usp=drivesdk","EDI SAPUTERA WIDJAYA SERTIFIKAT BerAKHLAK")</f>
        <v>EDI SAPUTERA WIDJAYA SERTIFIKAT BerAKHLAK</v>
      </c>
      <c r="K1126" s="5" t="s">
        <v>9528</v>
      </c>
      <c r="L1126" s="5" t="s">
        <v>9700</v>
      </c>
    </row>
    <row r="1127">
      <c r="A1127" s="4">
        <v>45534.330191064815</v>
      </c>
      <c r="B1127" s="5" t="s">
        <v>34</v>
      </c>
      <c r="D1127" s="5" t="s">
        <v>604</v>
      </c>
      <c r="E1127" s="5" t="s">
        <v>9703</v>
      </c>
      <c r="F1127" s="5" t="s">
        <v>212</v>
      </c>
      <c r="G1127" s="5" t="s">
        <v>9704</v>
      </c>
      <c r="H1127" s="6" t="s">
        <v>9705</v>
      </c>
      <c r="I1127" s="7" t="s">
        <v>9706</v>
      </c>
      <c r="J1127" s="8" t="str">
        <f>HYPERLINK("https://drive.google.com/file/d/1qoekwrOZaRLTzZDLA8by6fWIpcWzkWEe/view?usp=drivesdk","TRISNAWATI AMAMEHI SERTIFIKAT BerAKHLAK")</f>
        <v>TRISNAWATI AMAMEHI SERTIFIKAT BerAKHLAK</v>
      </c>
      <c r="K1127" s="5" t="s">
        <v>9565</v>
      </c>
      <c r="L1127" s="5" t="s">
        <v>9707</v>
      </c>
    </row>
    <row r="1128">
      <c r="A1128" s="4">
        <v>45534.33019219908</v>
      </c>
      <c r="B1128" s="5" t="s">
        <v>34</v>
      </c>
      <c r="D1128" s="5" t="s">
        <v>1768</v>
      </c>
      <c r="E1128" s="5" t="s">
        <v>9710</v>
      </c>
      <c r="F1128" s="5" t="s">
        <v>108</v>
      </c>
      <c r="G1128" s="5" t="s">
        <v>9711</v>
      </c>
      <c r="H1128" s="6" t="s">
        <v>9712</v>
      </c>
      <c r="I1128" s="7" t="s">
        <v>9713</v>
      </c>
      <c r="J1128" s="8" t="str">
        <f>HYPERLINK("https://drive.google.com/file/d/1QMEvgN6tWba6u6SHl9cK_Qi1_1tTtGto/view?usp=drivesdk","LODIA MARTHA LATUHARHARY  SERTIFIKAT BerAKHLAK")</f>
        <v>LODIA MARTHA LATUHARHARY  SERTIFIKAT BerAKHLAK</v>
      </c>
      <c r="K1128" s="5" t="s">
        <v>9528</v>
      </c>
      <c r="L1128" s="5" t="s">
        <v>9714</v>
      </c>
    </row>
    <row r="1129">
      <c r="A1129" s="4">
        <v>45534.33020862269</v>
      </c>
      <c r="B1129" s="5" t="s">
        <v>34</v>
      </c>
      <c r="D1129" s="5" t="s">
        <v>1206</v>
      </c>
      <c r="E1129" s="5" t="s">
        <v>9717</v>
      </c>
      <c r="F1129" s="5" t="s">
        <v>524</v>
      </c>
      <c r="G1129" s="5" t="s">
        <v>9718</v>
      </c>
      <c r="H1129" s="6" t="s">
        <v>9719</v>
      </c>
      <c r="I1129" s="7" t="s">
        <v>9720</v>
      </c>
      <c r="J1129" s="8" t="str">
        <f>HYPERLINK("https://drive.google.com/file/d/19cAL8B29JiAFwWkmB2HOiN3_qrPKHU_5/view?usp=drivesdk","IDA SETIYOWATI,S.Kep,Ns SERTIFIKAT BerAKHLAK")</f>
        <v>IDA SETIYOWATI,S.Kep,Ns SERTIFIKAT BerAKHLAK</v>
      </c>
      <c r="K1129" s="5" t="s">
        <v>9528</v>
      </c>
      <c r="L1129" s="5" t="s">
        <v>9721</v>
      </c>
    </row>
    <row r="1130">
      <c r="A1130" s="4">
        <v>45534.33021666667</v>
      </c>
      <c r="B1130" s="5" t="s">
        <v>34</v>
      </c>
      <c r="D1130" s="5" t="s">
        <v>35</v>
      </c>
      <c r="E1130" s="5" t="s">
        <v>9725</v>
      </c>
      <c r="F1130" s="5" t="s">
        <v>212</v>
      </c>
      <c r="G1130" s="5" t="s">
        <v>9726</v>
      </c>
      <c r="H1130" s="6" t="s">
        <v>9727</v>
      </c>
      <c r="I1130" s="7" t="s">
        <v>9728</v>
      </c>
      <c r="J1130" s="8" t="str">
        <f>HYPERLINK("https://drive.google.com/file/d/1nYNCTng-XHb5UUYq08v9707zmz7u1fnG/view?usp=drivesdk","NENENG KARMILAH SERTIFIKAT BerAKHLAK")</f>
        <v>NENENG KARMILAH SERTIFIKAT BerAKHLAK</v>
      </c>
      <c r="K1130" s="5" t="s">
        <v>9528</v>
      </c>
      <c r="L1130" s="5" t="s">
        <v>9729</v>
      </c>
    </row>
    <row r="1131">
      <c r="A1131" s="4">
        <v>45534.33021857639</v>
      </c>
      <c r="B1131" s="5" t="s">
        <v>19</v>
      </c>
      <c r="C1131" s="5" t="s">
        <v>3301</v>
      </c>
      <c r="E1131" s="5" t="s">
        <v>9732</v>
      </c>
      <c r="F1131" s="5" t="s">
        <v>108</v>
      </c>
      <c r="G1131" s="5" t="s">
        <v>9733</v>
      </c>
      <c r="H1131" s="6" t="s">
        <v>9734</v>
      </c>
      <c r="I1131" s="7" t="s">
        <v>9735</v>
      </c>
      <c r="J1131" s="8" t="str">
        <f>HYPERLINK("https://drive.google.com/file/d/11hMOjyLL_DB05W15SvTP8iXkAJlskgSn/view?usp=drivesdk","KURNIAWAN PAMBUDI  SERTIFIKAT BerAKHLAK")</f>
        <v>KURNIAWAN PAMBUDI  SERTIFIKAT BerAKHLAK</v>
      </c>
      <c r="K1131" s="5" t="s">
        <v>9528</v>
      </c>
      <c r="L1131" s="5" t="s">
        <v>9736</v>
      </c>
    </row>
    <row r="1132">
      <c r="A1132" s="4">
        <v>45534.33021865741</v>
      </c>
      <c r="B1132" s="5" t="s">
        <v>19</v>
      </c>
      <c r="C1132" s="5" t="s">
        <v>292</v>
      </c>
      <c r="E1132" s="5" t="s">
        <v>9739</v>
      </c>
      <c r="F1132" s="5" t="s">
        <v>72</v>
      </c>
      <c r="G1132" s="5" t="s">
        <v>9740</v>
      </c>
      <c r="H1132" s="6" t="s">
        <v>9741</v>
      </c>
      <c r="K1132" s="5" t="s">
        <v>9742</v>
      </c>
    </row>
    <row r="1133">
      <c r="A1133" s="4">
        <v>45534.33022392361</v>
      </c>
      <c r="B1133" s="5" t="s">
        <v>34</v>
      </c>
      <c r="D1133" s="5" t="s">
        <v>3849</v>
      </c>
      <c r="E1133" s="5" t="s">
        <v>9745</v>
      </c>
      <c r="F1133" s="5" t="s">
        <v>715</v>
      </c>
      <c r="G1133" s="5" t="s">
        <v>9746</v>
      </c>
      <c r="H1133" s="6" t="s">
        <v>9747</v>
      </c>
      <c r="K1133" s="5" t="s">
        <v>9742</v>
      </c>
    </row>
    <row r="1134">
      <c r="A1134" s="4">
        <v>45534.33022697917</v>
      </c>
      <c r="B1134" s="5" t="s">
        <v>34</v>
      </c>
      <c r="D1134" s="5" t="s">
        <v>267</v>
      </c>
      <c r="E1134" s="5" t="s">
        <v>9750</v>
      </c>
      <c r="F1134" s="5" t="s">
        <v>37</v>
      </c>
      <c r="G1134" s="5" t="s">
        <v>9751</v>
      </c>
      <c r="H1134" s="6" t="s">
        <v>9752</v>
      </c>
      <c r="K1134" s="5" t="s">
        <v>9742</v>
      </c>
    </row>
    <row r="1135">
      <c r="A1135" s="4">
        <v>45534.33022912037</v>
      </c>
      <c r="B1135" s="5" t="s">
        <v>34</v>
      </c>
      <c r="D1135" s="5" t="s">
        <v>1206</v>
      </c>
      <c r="E1135" s="5" t="s">
        <v>9755</v>
      </c>
      <c r="F1135" s="5" t="s">
        <v>375</v>
      </c>
      <c r="G1135" s="5" t="s">
        <v>9756</v>
      </c>
      <c r="H1135" s="6" t="s">
        <v>9757</v>
      </c>
      <c r="K1135" s="5" t="s">
        <v>9742</v>
      </c>
    </row>
    <row r="1136">
      <c r="A1136" s="4">
        <v>45534.33023490741</v>
      </c>
      <c r="B1136" s="5" t="s">
        <v>34</v>
      </c>
      <c r="D1136" s="5" t="s">
        <v>1206</v>
      </c>
      <c r="E1136" s="5" t="s">
        <v>9761</v>
      </c>
      <c r="F1136" s="5" t="s">
        <v>37</v>
      </c>
      <c r="G1136" s="5" t="s">
        <v>9762</v>
      </c>
      <c r="H1136" s="6" t="s">
        <v>9763</v>
      </c>
      <c r="K1136" s="5" t="s">
        <v>9742</v>
      </c>
    </row>
    <row r="1137">
      <c r="A1137" s="4">
        <v>45534.330246655096</v>
      </c>
      <c r="B1137" s="5" t="s">
        <v>34</v>
      </c>
      <c r="D1137" s="5" t="s">
        <v>9020</v>
      </c>
      <c r="E1137" s="5" t="s">
        <v>9766</v>
      </c>
      <c r="F1137" s="5" t="s">
        <v>120</v>
      </c>
      <c r="G1137" s="5" t="s">
        <v>9767</v>
      </c>
      <c r="H1137" s="6" t="s">
        <v>9768</v>
      </c>
      <c r="K1137" s="5" t="s">
        <v>9742</v>
      </c>
    </row>
    <row r="1138">
      <c r="A1138" s="4">
        <v>45534.33027152778</v>
      </c>
      <c r="B1138" s="5" t="s">
        <v>34</v>
      </c>
      <c r="D1138" s="5" t="s">
        <v>3432</v>
      </c>
      <c r="E1138" s="5" t="s">
        <v>9771</v>
      </c>
      <c r="F1138" s="5" t="s">
        <v>524</v>
      </c>
      <c r="G1138" s="5" t="s">
        <v>9772</v>
      </c>
      <c r="H1138" s="6" t="s">
        <v>9773</v>
      </c>
      <c r="I1138" s="7" t="s">
        <v>9774</v>
      </c>
      <c r="J1138" s="8" t="str">
        <f>HYPERLINK("https://drive.google.com/file/d/1jYzFdlTqE9V4T313L--zJqRQ0qvrVZn_/view?usp=drivesdk","JOHN MAX HAKIM, Amd.Kep SERTIFIKAT BerAKHLAK")</f>
        <v>JOHN MAX HAKIM, Amd.Kep SERTIFIKAT BerAKHLAK</v>
      </c>
      <c r="K1138" s="5" t="s">
        <v>8685</v>
      </c>
      <c r="L1138" s="5" t="s">
        <v>9775</v>
      </c>
    </row>
    <row r="1139">
      <c r="A1139" s="4">
        <v>45534.33029381944</v>
      </c>
      <c r="B1139" s="5" t="s">
        <v>34</v>
      </c>
      <c r="D1139" s="5" t="s">
        <v>35</v>
      </c>
      <c r="E1139" s="5" t="s">
        <v>9778</v>
      </c>
      <c r="F1139" s="5" t="s">
        <v>212</v>
      </c>
      <c r="G1139" s="5" t="s">
        <v>9779</v>
      </c>
      <c r="H1139" s="6" t="s">
        <v>9780</v>
      </c>
      <c r="I1139" s="7" t="s">
        <v>9781</v>
      </c>
      <c r="J1139" s="8" t="str">
        <f>HYPERLINK("https://drive.google.com/file/d/17-anN9SX5zIqm9GO5bH_aMo5lg-l-YTh/view?usp=drivesdk","MAMAT HENDRAWAN  SERTIFIKAT BerAKHLAK")</f>
        <v>MAMAT HENDRAWAN  SERTIFIKAT BerAKHLAK</v>
      </c>
      <c r="K1139" s="5" t="s">
        <v>9528</v>
      </c>
      <c r="L1139" s="5" t="s">
        <v>9782</v>
      </c>
    </row>
    <row r="1140">
      <c r="A1140" s="4">
        <v>45534.33033505787</v>
      </c>
      <c r="B1140" s="5" t="s">
        <v>34</v>
      </c>
      <c r="D1140" s="5" t="s">
        <v>9394</v>
      </c>
      <c r="E1140" s="5" t="s">
        <v>9785</v>
      </c>
      <c r="F1140" s="5" t="s">
        <v>72</v>
      </c>
      <c r="G1140" s="5" t="s">
        <v>9786</v>
      </c>
      <c r="H1140" s="6" t="s">
        <v>9787</v>
      </c>
      <c r="I1140" s="7" t="s">
        <v>9788</v>
      </c>
      <c r="J1140" s="8" t="str">
        <f>HYPERLINK("https://drive.google.com/file/d/1dZ0QzSbwgL9oaqZRlIEiEtW8Xv76uGg1/view?usp=drivesdk","VIVI OKTRIANA SERTIFIKAT BerAKHLAK")</f>
        <v>VIVI OKTRIANA SERTIFIKAT BerAKHLAK</v>
      </c>
      <c r="K1140" s="5" t="s">
        <v>8685</v>
      </c>
      <c r="L1140" s="5" t="s">
        <v>9789</v>
      </c>
    </row>
    <row r="1141">
      <c r="A1141" s="4">
        <v>45534.33034049769</v>
      </c>
      <c r="B1141" s="5" t="s">
        <v>34</v>
      </c>
      <c r="D1141" s="5" t="s">
        <v>1206</v>
      </c>
      <c r="E1141" s="5" t="s">
        <v>9793</v>
      </c>
      <c r="F1141" s="5" t="s">
        <v>37</v>
      </c>
      <c r="G1141" s="5" t="s">
        <v>9794</v>
      </c>
      <c r="H1141" s="6" t="s">
        <v>9795</v>
      </c>
      <c r="I1141" s="7" t="s">
        <v>9796</v>
      </c>
      <c r="J1141" s="8" t="str">
        <f>HYPERLINK("https://drive.google.com/file/d/1jv4aP7ipvk6mgnM0r06ZKiT0EbVp_wAu/view?usp=drivesdk","IKE FEBRIWATI SUPRAYITNO SERTIFIKAT BerAKHLAK")</f>
        <v>IKE FEBRIWATI SUPRAYITNO SERTIFIKAT BerAKHLAK</v>
      </c>
      <c r="K1141" s="5" t="s">
        <v>9528</v>
      </c>
      <c r="L1141" s="5" t="s">
        <v>9797</v>
      </c>
    </row>
    <row r="1142">
      <c r="A1142" s="4">
        <v>45534.33036060185</v>
      </c>
      <c r="B1142" s="5" t="s">
        <v>34</v>
      </c>
      <c r="D1142" s="5" t="s">
        <v>1206</v>
      </c>
      <c r="E1142" s="5" t="s">
        <v>9800</v>
      </c>
      <c r="F1142" s="5" t="s">
        <v>212</v>
      </c>
      <c r="G1142" s="5" t="s">
        <v>9801</v>
      </c>
      <c r="H1142" s="6" t="s">
        <v>9802</v>
      </c>
      <c r="I1142" s="7" t="s">
        <v>9803</v>
      </c>
      <c r="J1142" s="8" t="str">
        <f>HYPERLINK("https://drive.google.com/file/d/1cvU66b98db_UBcioiPnCtm9lT8e95KTd/view?usp=drivesdk","KUNARSIH KUNARSIH  SERTIFIKAT BerAKHLAK")</f>
        <v>KUNARSIH KUNARSIH  SERTIFIKAT BerAKHLAK</v>
      </c>
      <c r="K1142" s="5" t="s">
        <v>8685</v>
      </c>
      <c r="L1142" s="5" t="s">
        <v>9804</v>
      </c>
    </row>
    <row r="1143">
      <c r="A1143" s="4">
        <v>45534.33036186342</v>
      </c>
      <c r="B1143" s="5" t="s">
        <v>34</v>
      </c>
      <c r="D1143" s="5" t="s">
        <v>1768</v>
      </c>
      <c r="E1143" s="5" t="s">
        <v>9807</v>
      </c>
      <c r="F1143" s="5" t="s">
        <v>108</v>
      </c>
      <c r="G1143" s="5" t="s">
        <v>9808</v>
      </c>
      <c r="H1143" s="6" t="s">
        <v>9809</v>
      </c>
      <c r="I1143" s="7" t="s">
        <v>9810</v>
      </c>
      <c r="J1143" s="8" t="str">
        <f>HYPERLINK("https://drive.google.com/file/d/1qi1Pe5uX7dEfR_UIoPZDbRfVessN1BO8/view?usp=drivesdk","YUDIPURWONO,S SERTIFIKAT BerAKHLAK")</f>
        <v>YUDIPURWONO,S SERTIFIKAT BerAKHLAK</v>
      </c>
      <c r="K1143" s="5" t="s">
        <v>9528</v>
      </c>
      <c r="L1143" s="5" t="s">
        <v>9811</v>
      </c>
    </row>
    <row r="1144">
      <c r="A1144" s="4">
        <v>45534.33036309028</v>
      </c>
      <c r="B1144" s="5" t="s">
        <v>19</v>
      </c>
      <c r="C1144" s="5" t="s">
        <v>292</v>
      </c>
      <c r="E1144" s="5" t="s">
        <v>9814</v>
      </c>
      <c r="F1144" s="5" t="s">
        <v>524</v>
      </c>
      <c r="G1144" s="5" t="s">
        <v>9815</v>
      </c>
      <c r="H1144" s="6" t="s">
        <v>9816</v>
      </c>
      <c r="I1144" s="7" t="s">
        <v>9817</v>
      </c>
      <c r="J1144" s="8" t="str">
        <f>HYPERLINK("https://drive.google.com/file/d/1_t2OsWssvBwE8SBBMasWA-PaoaHcF3M2/view?usp=drivesdk","HENI INDAWATI,S.Pd SERTIFIKAT BerAKHLAK")</f>
        <v>HENI INDAWATI,S.Pd SERTIFIKAT BerAKHLAK</v>
      </c>
      <c r="K1144" s="5" t="s">
        <v>9528</v>
      </c>
      <c r="L1144" s="5" t="s">
        <v>9818</v>
      </c>
    </row>
    <row r="1145">
      <c r="A1145" s="4">
        <v>45534.330364340276</v>
      </c>
      <c r="B1145" s="5" t="s">
        <v>34</v>
      </c>
      <c r="D1145" s="5" t="s">
        <v>4775</v>
      </c>
      <c r="E1145" s="5" t="s">
        <v>9822</v>
      </c>
      <c r="F1145" s="5" t="s">
        <v>212</v>
      </c>
      <c r="G1145" s="5" t="s">
        <v>9823</v>
      </c>
      <c r="H1145" s="6" t="s">
        <v>9824</v>
      </c>
      <c r="I1145" s="7" t="s">
        <v>9825</v>
      </c>
      <c r="J1145" s="8" t="str">
        <f>HYPERLINK("https://drive.google.com/file/d/1C2jJPVp3umfnhwnalP4dkB7GNr_mb5ZR/view?usp=drivesdk","BUDI WAHYUNING ASTUTI SERTIFIKAT BerAKHLAK")</f>
        <v>BUDI WAHYUNING ASTUTI SERTIFIKAT BerAKHLAK</v>
      </c>
      <c r="K1145" s="5" t="s">
        <v>9528</v>
      </c>
      <c r="L1145" s="5" t="s">
        <v>9826</v>
      </c>
    </row>
    <row r="1146">
      <c r="A1146" s="4">
        <v>45534.330376620375</v>
      </c>
      <c r="B1146" s="5" t="s">
        <v>34</v>
      </c>
      <c r="D1146" s="5" t="s">
        <v>4775</v>
      </c>
      <c r="E1146" s="5" t="s">
        <v>9829</v>
      </c>
      <c r="F1146" s="5" t="s">
        <v>212</v>
      </c>
      <c r="G1146" s="5" t="s">
        <v>9830</v>
      </c>
      <c r="H1146" s="6" t="s">
        <v>9831</v>
      </c>
      <c r="I1146" s="7" t="s">
        <v>9832</v>
      </c>
      <c r="J1146" s="8" t="str">
        <f>HYPERLINK("https://drive.google.com/file/d/1C-3zs8slzSGb4DL18d-WwJFSExfQzoUT/view?usp=drivesdk","ARIS BUDI HASTUTI  SERTIFIKAT BerAKHLAK")</f>
        <v>ARIS BUDI HASTUTI  SERTIFIKAT BerAKHLAK</v>
      </c>
      <c r="K1146" s="5" t="s">
        <v>9565</v>
      </c>
      <c r="L1146" s="5" t="s">
        <v>9833</v>
      </c>
    </row>
    <row r="1147">
      <c r="A1147" s="4">
        <v>45534.330385520836</v>
      </c>
      <c r="B1147" s="5" t="s">
        <v>34</v>
      </c>
      <c r="D1147" s="5" t="s">
        <v>4775</v>
      </c>
      <c r="E1147" s="5" t="s">
        <v>9836</v>
      </c>
      <c r="F1147" s="5" t="s">
        <v>108</v>
      </c>
      <c r="G1147" s="5" t="s">
        <v>9837</v>
      </c>
      <c r="H1147" s="6" t="s">
        <v>9838</v>
      </c>
      <c r="I1147" s="7" t="s">
        <v>9839</v>
      </c>
      <c r="J1147" s="8" t="str">
        <f>HYPERLINK("https://drive.google.com/file/d/1xZBaq2OL5y8GRZeXPzF63Mk8XIeXtM6s/view?usp=drivesdk","DYAH PUTRI WIDYAWATI, SE SERTIFIKAT BerAKHLAK")</f>
        <v>DYAH PUTRI WIDYAWATI, SE SERTIFIKAT BerAKHLAK</v>
      </c>
      <c r="K1147" s="5" t="s">
        <v>9565</v>
      </c>
      <c r="L1147" s="5" t="s">
        <v>9840</v>
      </c>
    </row>
    <row r="1148">
      <c r="A1148" s="4">
        <v>45534.33038849537</v>
      </c>
      <c r="B1148" s="5" t="s">
        <v>34</v>
      </c>
      <c r="D1148" s="5" t="s">
        <v>4775</v>
      </c>
      <c r="E1148" s="5" t="s">
        <v>9843</v>
      </c>
      <c r="F1148" s="5" t="s">
        <v>212</v>
      </c>
      <c r="G1148" s="5" t="s">
        <v>9844</v>
      </c>
      <c r="H1148" s="6" t="s">
        <v>9845</v>
      </c>
      <c r="I1148" s="7" t="s">
        <v>9846</v>
      </c>
      <c r="J1148" s="8" t="str">
        <f>HYPERLINK("https://drive.google.com/file/d/1W-0EL5mQL_HHQOixplVL--1yj3ZHqFJ8/view?usp=drivesdk","RACHMAN NUGRAHARIYADIYANTO SERTIFIKAT BerAKHLAK")</f>
        <v>RACHMAN NUGRAHARIYADIYANTO SERTIFIKAT BerAKHLAK</v>
      </c>
      <c r="K1148" s="5" t="s">
        <v>9565</v>
      </c>
      <c r="L1148" s="5" t="s">
        <v>9847</v>
      </c>
    </row>
    <row r="1149">
      <c r="A1149" s="4">
        <v>45534.330404016204</v>
      </c>
      <c r="B1149" s="5" t="s">
        <v>19</v>
      </c>
      <c r="C1149" s="5" t="s">
        <v>5058</v>
      </c>
      <c r="E1149" s="5" t="s">
        <v>9850</v>
      </c>
      <c r="F1149" s="5" t="s">
        <v>108</v>
      </c>
      <c r="G1149" s="5" t="s">
        <v>9851</v>
      </c>
      <c r="H1149" s="6" t="s">
        <v>9852</v>
      </c>
      <c r="I1149" s="7" t="s">
        <v>9853</v>
      </c>
      <c r="J1149" s="8" t="str">
        <f>HYPERLINK("https://drive.google.com/file/d/1kLdyVbp7vYOpjtoG2MopyNNCMnY-WoZ7/view?usp=drivesdk","CHUSNUL CHOTIMAH,A.MD SERTIFIKAT BerAKHLAK")</f>
        <v>CHUSNUL CHOTIMAH,A.MD SERTIFIKAT BerAKHLAK</v>
      </c>
      <c r="K1149" s="5" t="s">
        <v>9565</v>
      </c>
      <c r="L1149" s="5" t="s">
        <v>9854</v>
      </c>
    </row>
    <row r="1150">
      <c r="A1150" s="4">
        <v>45534.33040556713</v>
      </c>
      <c r="B1150" s="5" t="s">
        <v>34</v>
      </c>
      <c r="D1150" s="5" t="s">
        <v>280</v>
      </c>
      <c r="E1150" s="5" t="s">
        <v>9857</v>
      </c>
      <c r="F1150" s="5" t="s">
        <v>37</v>
      </c>
      <c r="G1150" s="5" t="s">
        <v>9858</v>
      </c>
      <c r="H1150" s="6" t="s">
        <v>9859</v>
      </c>
      <c r="K1150" s="5" t="s">
        <v>9860</v>
      </c>
    </row>
    <row r="1151">
      <c r="A1151" s="4">
        <v>45534.33045616898</v>
      </c>
      <c r="B1151" s="5" t="s">
        <v>34</v>
      </c>
      <c r="D1151" s="5" t="s">
        <v>604</v>
      </c>
      <c r="E1151" s="5" t="s">
        <v>9864</v>
      </c>
      <c r="F1151" s="5" t="s">
        <v>375</v>
      </c>
      <c r="G1151" s="5" t="s">
        <v>9865</v>
      </c>
      <c r="H1151" s="6" t="s">
        <v>9866</v>
      </c>
      <c r="I1151" s="7" t="s">
        <v>9867</v>
      </c>
      <c r="J1151" s="8" t="str">
        <f>HYPERLINK("https://drive.google.com/file/d/1aZgO3CGE9jXjWYVmLbgOO0IALbcfQjge/view?usp=drivesdk","LILIANTI USMAN SERTIFIKAT BerAKHLAK")</f>
        <v>LILIANTI USMAN SERTIFIKAT BerAKHLAK</v>
      </c>
      <c r="K1151" s="5" t="s">
        <v>9528</v>
      </c>
      <c r="L1151" s="5" t="s">
        <v>9868</v>
      </c>
    </row>
    <row r="1152">
      <c r="A1152" s="4">
        <v>45534.330463182865</v>
      </c>
      <c r="B1152" s="5" t="s">
        <v>34</v>
      </c>
      <c r="D1152" s="5" t="s">
        <v>7858</v>
      </c>
      <c r="E1152" s="5" t="s">
        <v>9871</v>
      </c>
      <c r="F1152" s="5" t="s">
        <v>715</v>
      </c>
      <c r="G1152" s="5" t="s">
        <v>9872</v>
      </c>
      <c r="H1152" s="6" t="s">
        <v>9873</v>
      </c>
      <c r="I1152" s="7" t="s">
        <v>9874</v>
      </c>
      <c r="J1152" s="8" t="str">
        <f>HYPERLINK("https://drive.google.com/file/d/1TYGc1qvyqPMgluiM0nEad2UKSUNsk_uP/view?usp=drivesdk","IRA ARDIYANI, SE SERTIFIKAT BerAKHLAK")</f>
        <v>IRA ARDIYANI, SE SERTIFIKAT BerAKHLAK</v>
      </c>
      <c r="K1152" s="5" t="s">
        <v>9528</v>
      </c>
      <c r="L1152" s="5" t="s">
        <v>9875</v>
      </c>
    </row>
    <row r="1153">
      <c r="A1153" s="4">
        <v>45534.3304872338</v>
      </c>
      <c r="B1153" s="5" t="s">
        <v>34</v>
      </c>
      <c r="D1153" s="5" t="s">
        <v>580</v>
      </c>
      <c r="E1153" s="5" t="s">
        <v>9878</v>
      </c>
      <c r="F1153" s="5" t="s">
        <v>37</v>
      </c>
      <c r="G1153" s="5" t="s">
        <v>9879</v>
      </c>
      <c r="H1153" s="6" t="s">
        <v>9880</v>
      </c>
      <c r="I1153" s="7" t="s">
        <v>9881</v>
      </c>
      <c r="J1153" s="8" t="str">
        <f>HYPERLINK("https://drive.google.com/file/d/1s9iigHfsRsu8EXBqlSgPoGD8rH2U3Yxf/view?usp=drivesdk","NI MADE SUARNI SULISTYANINGSIH SERTIFIKAT BerAKHLAK")</f>
        <v>NI MADE SUARNI SULISTYANINGSIH SERTIFIKAT BerAKHLAK</v>
      </c>
      <c r="K1153" s="5" t="s">
        <v>9528</v>
      </c>
      <c r="L1153" s="5" t="s">
        <v>9882</v>
      </c>
    </row>
    <row r="1154">
      <c r="A1154" s="4">
        <v>45534.33049092593</v>
      </c>
      <c r="B1154" s="5" t="s">
        <v>34</v>
      </c>
      <c r="D1154" s="5" t="s">
        <v>2903</v>
      </c>
      <c r="E1154" s="5" t="s">
        <v>9885</v>
      </c>
      <c r="F1154" s="5" t="s">
        <v>212</v>
      </c>
      <c r="G1154" s="5" t="s">
        <v>9886</v>
      </c>
      <c r="H1154" s="6" t="s">
        <v>9887</v>
      </c>
      <c r="I1154" s="7" t="s">
        <v>9888</v>
      </c>
      <c r="J1154" s="8" t="str">
        <f>HYPERLINK("https://drive.google.com/file/d/1ClpeTt70O0A8tiecdAZpFE4vpLo7Ql9A/view?usp=drivesdk","NOVA MARTILA,AMD.KEB SERTIFIKAT BerAKHLAK")</f>
        <v>NOVA MARTILA,AMD.KEB SERTIFIKAT BerAKHLAK</v>
      </c>
      <c r="K1154" s="5" t="s">
        <v>9528</v>
      </c>
      <c r="L1154" s="5" t="s">
        <v>9889</v>
      </c>
    </row>
    <row r="1155">
      <c r="A1155" s="4">
        <v>45534.330507673614</v>
      </c>
      <c r="B1155" s="5" t="s">
        <v>34</v>
      </c>
      <c r="D1155" s="5" t="s">
        <v>4775</v>
      </c>
      <c r="E1155" s="5" t="s">
        <v>9892</v>
      </c>
      <c r="F1155" s="5" t="s">
        <v>212</v>
      </c>
      <c r="G1155" s="5" t="s">
        <v>9893</v>
      </c>
      <c r="H1155" s="6" t="s">
        <v>9894</v>
      </c>
      <c r="K1155" s="5" t="s">
        <v>9895</v>
      </c>
    </row>
    <row r="1156">
      <c r="A1156" s="4">
        <v>45534.33051133102</v>
      </c>
      <c r="B1156" s="5" t="s">
        <v>34</v>
      </c>
      <c r="D1156" s="5" t="s">
        <v>4775</v>
      </c>
      <c r="E1156" s="5" t="s">
        <v>9898</v>
      </c>
      <c r="F1156" s="5" t="s">
        <v>72</v>
      </c>
      <c r="G1156" s="5" t="s">
        <v>9899</v>
      </c>
      <c r="H1156" s="6" t="s">
        <v>9900</v>
      </c>
      <c r="I1156" s="7" t="s">
        <v>9901</v>
      </c>
      <c r="J1156" s="8" t="str">
        <f>HYPERLINK("https://drive.google.com/file/d/18BxEefZFi9D5eOJFIk5LNKruIjKPDtWk/view?usp=drivesdk","MARDI PRIYATNO SERTIFIKAT BerAKHLAK")</f>
        <v>MARDI PRIYATNO SERTIFIKAT BerAKHLAK</v>
      </c>
      <c r="K1156" s="5" t="s">
        <v>9528</v>
      </c>
      <c r="L1156" s="5" t="s">
        <v>9902</v>
      </c>
    </row>
    <row r="1157">
      <c r="A1157" s="4">
        <v>45534.33051649306</v>
      </c>
      <c r="B1157" s="5" t="s">
        <v>34</v>
      </c>
      <c r="D1157" s="5" t="s">
        <v>604</v>
      </c>
      <c r="E1157" s="5" t="s">
        <v>9906</v>
      </c>
      <c r="F1157" s="5" t="s">
        <v>524</v>
      </c>
      <c r="G1157" s="5" t="s">
        <v>9907</v>
      </c>
      <c r="H1157" s="6" t="s">
        <v>9908</v>
      </c>
      <c r="I1157" s="7" t="s">
        <v>9909</v>
      </c>
      <c r="J1157" s="8" t="str">
        <f>HYPERLINK("https://drive.google.com/file/d/11HHU3h921skyszUcK25idiIk_sEOzx0J/view?usp=drivesdk","MUHAMMAD IQBAL TIANOTAK SERTIFIKAT BerAKHLAK")</f>
        <v>MUHAMMAD IQBAL TIANOTAK SERTIFIKAT BerAKHLAK</v>
      </c>
      <c r="K1157" s="5" t="s">
        <v>9528</v>
      </c>
      <c r="L1157" s="5" t="s">
        <v>9910</v>
      </c>
    </row>
    <row r="1158">
      <c r="A1158" s="4">
        <v>45534.330525682875</v>
      </c>
      <c r="B1158" s="5" t="s">
        <v>34</v>
      </c>
      <c r="D1158" s="5" t="s">
        <v>1206</v>
      </c>
      <c r="E1158" s="5" t="s">
        <v>9913</v>
      </c>
      <c r="F1158" s="5" t="s">
        <v>212</v>
      </c>
      <c r="G1158" s="5" t="s">
        <v>9914</v>
      </c>
      <c r="H1158" s="6" t="s">
        <v>9915</v>
      </c>
      <c r="I1158" s="7" t="s">
        <v>9916</v>
      </c>
      <c r="J1158" s="8" t="str">
        <f>HYPERLINK("https://drive.google.com/file/d/1Mrxln-IV07brVuQ88IQX91tHfB0oKkM8/view?usp=drivesdk","RIKA PUSPITASARI SERTIFIKAT BerAKHLAK")</f>
        <v>RIKA PUSPITASARI SERTIFIKAT BerAKHLAK</v>
      </c>
      <c r="K1158" s="5" t="s">
        <v>9528</v>
      </c>
      <c r="L1158" s="5" t="s">
        <v>9917</v>
      </c>
    </row>
    <row r="1159">
      <c r="A1159" s="4">
        <v>45534.33053599537</v>
      </c>
      <c r="B1159" s="5" t="s">
        <v>34</v>
      </c>
      <c r="D1159" s="5" t="s">
        <v>2903</v>
      </c>
      <c r="E1159" s="5" t="s">
        <v>9920</v>
      </c>
      <c r="F1159" s="5" t="s">
        <v>37</v>
      </c>
      <c r="G1159" s="5" t="s">
        <v>9921</v>
      </c>
      <c r="H1159" s="6" t="s">
        <v>9922</v>
      </c>
      <c r="K1159" s="5" t="s">
        <v>9923</v>
      </c>
    </row>
    <row r="1160">
      <c r="A1160" s="4">
        <v>45534.33058834491</v>
      </c>
      <c r="B1160" s="5" t="s">
        <v>19</v>
      </c>
      <c r="C1160" s="5" t="s">
        <v>442</v>
      </c>
      <c r="E1160" s="5" t="s">
        <v>9926</v>
      </c>
      <c r="F1160" s="5" t="s">
        <v>212</v>
      </c>
      <c r="G1160" s="5" t="s">
        <v>9927</v>
      </c>
      <c r="H1160" s="6" t="s">
        <v>9928</v>
      </c>
      <c r="I1160" s="7" t="s">
        <v>9929</v>
      </c>
      <c r="J1160" s="8" t="str">
        <f>HYPERLINK("https://drive.google.com/file/d/1ssqrgGMWwRydWfyOiIoCc-PjnGcPIahg/view?usp=drivesdk","ZULHIJRIANTI IRWANI, S.KOM SERTIFIKAT BerAKHLAK")</f>
        <v>ZULHIJRIANTI IRWANI, S.KOM SERTIFIKAT BerAKHLAK</v>
      </c>
      <c r="K1160" s="5" t="s">
        <v>9528</v>
      </c>
      <c r="L1160" s="5" t="s">
        <v>9930</v>
      </c>
    </row>
    <row r="1161">
      <c r="A1161" s="4">
        <v>45534.33059427083</v>
      </c>
      <c r="B1161" s="5" t="s">
        <v>34</v>
      </c>
      <c r="D1161" s="5" t="s">
        <v>1768</v>
      </c>
      <c r="E1161" s="5" t="s">
        <v>9933</v>
      </c>
      <c r="F1161" s="5" t="s">
        <v>524</v>
      </c>
      <c r="G1161" s="5" t="s">
        <v>9934</v>
      </c>
      <c r="H1161" s="6" t="s">
        <v>9935</v>
      </c>
      <c r="I1161" s="7" t="s">
        <v>9936</v>
      </c>
      <c r="J1161" s="8" t="str">
        <f>HYPERLINK("https://drive.google.com/file/d/1Vl1Ks0O36nv4yg4-_BiqgF8LGXFM29iH/view?usp=drivesdk","NOORPAH DIYANTI Amd. Kep SERTIFIKAT BerAKHLAK")</f>
        <v>NOORPAH DIYANTI Amd. Kep SERTIFIKAT BerAKHLAK</v>
      </c>
      <c r="K1161" s="5" t="s">
        <v>9528</v>
      </c>
      <c r="L1161" s="5" t="s">
        <v>9937</v>
      </c>
    </row>
    <row r="1162">
      <c r="A1162" s="4">
        <v>45534.330640775464</v>
      </c>
      <c r="B1162" s="5" t="s">
        <v>34</v>
      </c>
      <c r="D1162" s="5" t="s">
        <v>4775</v>
      </c>
      <c r="E1162" s="5" t="s">
        <v>9940</v>
      </c>
      <c r="F1162" s="5" t="s">
        <v>375</v>
      </c>
      <c r="G1162" s="5" t="s">
        <v>9941</v>
      </c>
      <c r="H1162" s="6" t="s">
        <v>9942</v>
      </c>
      <c r="K1162" s="5" t="s">
        <v>9943</v>
      </c>
    </row>
    <row r="1163">
      <c r="A1163" s="4">
        <v>45534.33065949074</v>
      </c>
      <c r="B1163" s="5" t="s">
        <v>34</v>
      </c>
      <c r="D1163" s="5" t="s">
        <v>280</v>
      </c>
      <c r="E1163" s="5" t="s">
        <v>9947</v>
      </c>
      <c r="F1163" s="5" t="s">
        <v>108</v>
      </c>
      <c r="G1163" s="5" t="s">
        <v>9948</v>
      </c>
      <c r="H1163" s="6" t="s">
        <v>9949</v>
      </c>
      <c r="I1163" s="7" t="s">
        <v>9950</v>
      </c>
      <c r="J1163" s="8" t="str">
        <f>HYPERLINK("https://drive.google.com/file/d/1HTPxra0YYzr5HUY4rW2FVV1zES9nLeyh/view?usp=drivesdk","ERNI YUSNITA I SERTIFIKAT BerAKHLAK")</f>
        <v>ERNI YUSNITA I SERTIFIKAT BerAKHLAK</v>
      </c>
      <c r="K1163" s="5" t="s">
        <v>9528</v>
      </c>
      <c r="L1163" s="5" t="s">
        <v>9951</v>
      </c>
    </row>
    <row r="1164">
      <c r="A1164" s="4">
        <v>45534.33066384259</v>
      </c>
      <c r="B1164" s="5" t="s">
        <v>34</v>
      </c>
      <c r="D1164" s="5" t="s">
        <v>1663</v>
      </c>
      <c r="E1164" s="5" t="s">
        <v>9954</v>
      </c>
      <c r="F1164" s="5" t="s">
        <v>212</v>
      </c>
      <c r="G1164" s="5" t="s">
        <v>9955</v>
      </c>
      <c r="H1164" s="6" t="s">
        <v>9956</v>
      </c>
      <c r="I1164" s="7" t="s">
        <v>9957</v>
      </c>
      <c r="J1164" s="8" t="str">
        <f>HYPERLINK("https://drive.google.com/file/d/108WpmXiThglWV8Ymobwsg8EvOp2czVhE/view?usp=drivesdk","JEFRI DOLFINUS WARIKAR, A.Md.Kep SERTIFIKAT BerAKHLAK")</f>
        <v>JEFRI DOLFINUS WARIKAR, A.Md.Kep SERTIFIKAT BerAKHLAK</v>
      </c>
      <c r="K1164" s="5" t="s">
        <v>9528</v>
      </c>
      <c r="L1164" s="5" t="s">
        <v>9958</v>
      </c>
    </row>
    <row r="1165">
      <c r="A1165" s="4">
        <v>45534.33067427084</v>
      </c>
      <c r="B1165" s="5" t="s">
        <v>34</v>
      </c>
      <c r="D1165" s="5" t="s">
        <v>3432</v>
      </c>
      <c r="E1165" s="5" t="s">
        <v>9961</v>
      </c>
      <c r="F1165" s="5" t="s">
        <v>5566</v>
      </c>
      <c r="G1165" s="5" t="s">
        <v>9962</v>
      </c>
      <c r="H1165" s="6" t="s">
        <v>9963</v>
      </c>
      <c r="I1165" s="7" t="s">
        <v>9964</v>
      </c>
      <c r="J1165" s="8" t="str">
        <f>HYPERLINK("https://drive.google.com/file/d/1hcGYapwKMUYvtXPc2oZlSmcgWOBWk0kN/view?usp=drivesdk","M. ZULFIKAR MANGILE SERTIFIKAT BerAKHLAK")</f>
        <v>M. ZULFIKAR MANGILE SERTIFIKAT BerAKHLAK</v>
      </c>
      <c r="K1165" s="5" t="s">
        <v>9528</v>
      </c>
      <c r="L1165" s="5" t="s">
        <v>9965</v>
      </c>
    </row>
    <row r="1166">
      <c r="A1166" s="4">
        <v>45534.3306765625</v>
      </c>
      <c r="B1166" s="5" t="s">
        <v>34</v>
      </c>
      <c r="D1166" s="5" t="s">
        <v>1206</v>
      </c>
      <c r="E1166" s="5" t="s">
        <v>9968</v>
      </c>
      <c r="F1166" s="5" t="s">
        <v>715</v>
      </c>
      <c r="G1166" s="5" t="s">
        <v>9969</v>
      </c>
      <c r="H1166" s="6" t="s">
        <v>9970</v>
      </c>
      <c r="I1166" s="7" t="s">
        <v>9971</v>
      </c>
      <c r="J1166" s="8" t="str">
        <f>HYPERLINK("https://drive.google.com/file/d/1ynzkQetzoykeoUxcgw6WGgE-kgAOnOut/view?usp=drivesdk","YOPPY WAHYU KRISTANTONO SERTIFIKAT BerAKHLAK")</f>
        <v>YOPPY WAHYU KRISTANTONO SERTIFIKAT BerAKHLAK</v>
      </c>
      <c r="K1166" s="5" t="s">
        <v>9528</v>
      </c>
      <c r="L1166" s="5" t="s">
        <v>9972</v>
      </c>
    </row>
    <row r="1167">
      <c r="A1167" s="4">
        <v>45534.33068377315</v>
      </c>
      <c r="B1167" s="5" t="s">
        <v>34</v>
      </c>
      <c r="D1167" s="5" t="s">
        <v>4775</v>
      </c>
      <c r="E1167" s="5" t="s">
        <v>9975</v>
      </c>
      <c r="F1167" s="5" t="s">
        <v>72</v>
      </c>
      <c r="G1167" s="5" t="s">
        <v>9976</v>
      </c>
      <c r="H1167" s="6" t="s">
        <v>9977</v>
      </c>
      <c r="I1167" s="7" t="s">
        <v>9978</v>
      </c>
      <c r="J1167" s="8" t="str">
        <f>HYPERLINK("https://drive.google.com/file/d/1UDKa-cXLBin2YT4sQXehPuPth2Zu9yks/view?usp=drivesdk","ANANG YUTANTO SH SERTIFIKAT BerAKHLAK")</f>
        <v>ANANG YUTANTO SH SERTIFIKAT BerAKHLAK</v>
      </c>
      <c r="K1167" s="5" t="s">
        <v>9565</v>
      </c>
      <c r="L1167" s="5" t="s">
        <v>9979</v>
      </c>
    </row>
    <row r="1168">
      <c r="A1168" s="4">
        <v>45534.330692118056</v>
      </c>
      <c r="B1168" s="5" t="s">
        <v>19</v>
      </c>
      <c r="C1168" s="5" t="s">
        <v>292</v>
      </c>
      <c r="E1168" s="5" t="s">
        <v>9982</v>
      </c>
      <c r="F1168" s="5" t="s">
        <v>72</v>
      </c>
      <c r="G1168" s="5" t="s">
        <v>9983</v>
      </c>
      <c r="H1168" s="6" t="s">
        <v>9984</v>
      </c>
      <c r="I1168" s="7" t="s">
        <v>9985</v>
      </c>
      <c r="J1168" s="8" t="str">
        <f>HYPERLINK("https://drive.google.com/file/d/1_Ah4AOEJqKzBlr5DczjOQj9yU5gZz-dZ/view?usp=drivesdk","SRI PURWANTI, SPD SERTIFIKAT BerAKHLAK")</f>
        <v>SRI PURWANTI, SPD SERTIFIKAT BerAKHLAK</v>
      </c>
      <c r="K1168" s="5" t="s">
        <v>9528</v>
      </c>
      <c r="L1168" s="5" t="s">
        <v>9986</v>
      </c>
    </row>
    <row r="1169">
      <c r="A1169" s="4">
        <v>45534.33070854167</v>
      </c>
      <c r="B1169" s="5" t="s">
        <v>34</v>
      </c>
      <c r="D1169" s="5" t="s">
        <v>1206</v>
      </c>
      <c r="E1169" s="5" t="s">
        <v>9990</v>
      </c>
      <c r="F1169" s="5" t="s">
        <v>375</v>
      </c>
      <c r="G1169" s="5" t="s">
        <v>9991</v>
      </c>
      <c r="H1169" s="6" t="s">
        <v>9992</v>
      </c>
      <c r="I1169" s="7" t="s">
        <v>9993</v>
      </c>
      <c r="J1169" s="8" t="str">
        <f>HYPERLINK("https://drive.google.com/file/d/1i8LXKf3rhgiytgXniez_NM8P7LMUCEIe/view?usp=drivesdk","dr. ANITA RAHMAWATI SERTIFIKAT BerAKHLAK")</f>
        <v>dr. ANITA RAHMAWATI SERTIFIKAT BerAKHLAK</v>
      </c>
      <c r="K1169" s="5" t="s">
        <v>9528</v>
      </c>
      <c r="L1169" s="5" t="s">
        <v>9994</v>
      </c>
    </row>
    <row r="1170">
      <c r="A1170" s="4">
        <v>45534.330718599536</v>
      </c>
      <c r="B1170" s="5" t="s">
        <v>34</v>
      </c>
      <c r="D1170" s="5" t="s">
        <v>35</v>
      </c>
      <c r="E1170" s="5" t="s">
        <v>9997</v>
      </c>
      <c r="F1170" s="5" t="s">
        <v>212</v>
      </c>
      <c r="G1170" s="5" t="s">
        <v>9998</v>
      </c>
      <c r="H1170" s="6" t="s">
        <v>9999</v>
      </c>
      <c r="I1170" s="7" t="s">
        <v>10000</v>
      </c>
      <c r="J1170" s="8" t="str">
        <f>HYPERLINK("https://drive.google.com/file/d/1W4uWQSkNXaI-Z6OpmFmfl531cjc0jjO6/view?usp=drivesdk","PENGATUR TK. I ROSMIYATI SERTIFIKAT BerAKHLAK")</f>
        <v>PENGATUR TK. I ROSMIYATI SERTIFIKAT BerAKHLAK</v>
      </c>
      <c r="K1170" s="5" t="s">
        <v>9528</v>
      </c>
      <c r="L1170" s="5" t="s">
        <v>10001</v>
      </c>
    </row>
    <row r="1171">
      <c r="A1171" s="4">
        <v>45534.330725</v>
      </c>
      <c r="B1171" s="5" t="s">
        <v>34</v>
      </c>
      <c r="D1171" s="5" t="s">
        <v>4775</v>
      </c>
      <c r="E1171" s="5" t="s">
        <v>10004</v>
      </c>
      <c r="F1171" s="5" t="s">
        <v>72</v>
      </c>
      <c r="G1171" s="5" t="s">
        <v>10005</v>
      </c>
      <c r="H1171" s="6" t="s">
        <v>10006</v>
      </c>
      <c r="I1171" s="7" t="s">
        <v>10007</v>
      </c>
      <c r="J1171" s="8" t="str">
        <f>HYPERLINK("https://drive.google.com/file/d/12K4MtfTltENRg6WVSOeR2yh433z3zeaR/view?usp=drivesdk","NANIK DWI RAHAYU, S.Kep., M.H. SERTIFIKAT BerAKHLAK")</f>
        <v>NANIK DWI RAHAYU, S.Kep., M.H. SERTIFIKAT BerAKHLAK</v>
      </c>
      <c r="K1171" s="5" t="s">
        <v>9528</v>
      </c>
      <c r="L1171" s="5" t="s">
        <v>10008</v>
      </c>
    </row>
    <row r="1172">
      <c r="A1172" s="4">
        <v>45534.330734097224</v>
      </c>
      <c r="B1172" s="5" t="s">
        <v>19</v>
      </c>
      <c r="C1172" s="5" t="s">
        <v>466</v>
      </c>
      <c r="E1172" s="5" t="s">
        <v>10011</v>
      </c>
      <c r="F1172" s="5" t="s">
        <v>375</v>
      </c>
      <c r="G1172" s="5" t="s">
        <v>10012</v>
      </c>
      <c r="H1172" s="6" t="s">
        <v>10013</v>
      </c>
      <c r="I1172" s="7" t="s">
        <v>10014</v>
      </c>
      <c r="J1172" s="8" t="str">
        <f>HYPERLINK("https://drive.google.com/file/d/1QZ9q1Kp0iHizd5PjFm-hGs625IMQHjZC/view?usp=drivesdk","IRWAN SUNDORO ST SERTIFIKAT BerAKHLAK")</f>
        <v>IRWAN SUNDORO ST SERTIFIKAT BerAKHLAK</v>
      </c>
      <c r="K1172" s="5" t="s">
        <v>9528</v>
      </c>
      <c r="L1172" s="5" t="s">
        <v>10015</v>
      </c>
    </row>
    <row r="1173">
      <c r="A1173" s="4">
        <v>45534.330744756946</v>
      </c>
      <c r="B1173" s="5" t="s">
        <v>34</v>
      </c>
      <c r="D1173" s="5" t="s">
        <v>280</v>
      </c>
      <c r="E1173" s="5" t="s">
        <v>10018</v>
      </c>
      <c r="F1173" s="5" t="s">
        <v>715</v>
      </c>
      <c r="G1173" s="5" t="s">
        <v>10019</v>
      </c>
      <c r="H1173" s="6" t="s">
        <v>10020</v>
      </c>
      <c r="I1173" s="7" t="s">
        <v>10021</v>
      </c>
      <c r="J1173" s="8" t="str">
        <f>HYPERLINK("https://drive.google.com/file/d/1YuRRj1ECMhAibrjtV5Q0ed-o69j7FG5-/view?usp=drivesdk","FITRI LINA AMK AMK SERTIFIKAT BerAKHLAK")</f>
        <v>FITRI LINA AMK AMK SERTIFIKAT BerAKHLAK</v>
      </c>
      <c r="K1173" s="5" t="s">
        <v>9528</v>
      </c>
      <c r="L1173" s="5" t="s">
        <v>10022</v>
      </c>
    </row>
    <row r="1174">
      <c r="A1174" s="4">
        <v>45534.33075547454</v>
      </c>
      <c r="B1174" s="5" t="s">
        <v>34</v>
      </c>
      <c r="D1174" s="5" t="s">
        <v>4775</v>
      </c>
      <c r="E1174" s="5" t="s">
        <v>10026</v>
      </c>
      <c r="F1174" s="5" t="s">
        <v>108</v>
      </c>
      <c r="G1174" s="5" t="s">
        <v>10027</v>
      </c>
      <c r="H1174" s="6" t="s">
        <v>10028</v>
      </c>
      <c r="I1174" s="7" t="s">
        <v>10029</v>
      </c>
      <c r="J1174" s="8" t="str">
        <f>HYPERLINK("https://drive.google.com/file/d/10R8rmbQwHMmHAHBpmb0aet90PpXzymbk/view?usp=drivesdk","SYAIFUL AGUNG PRAMONO, A.Md SERTIFIKAT BerAKHLAK")</f>
        <v>SYAIFUL AGUNG PRAMONO, A.Md SERTIFIKAT BerAKHLAK</v>
      </c>
      <c r="K1174" s="5" t="s">
        <v>9528</v>
      </c>
      <c r="L1174" s="5" t="s">
        <v>10030</v>
      </c>
    </row>
    <row r="1175">
      <c r="A1175" s="4">
        <v>45534.330755902774</v>
      </c>
      <c r="B1175" s="5" t="s">
        <v>34</v>
      </c>
      <c r="D1175" s="5" t="s">
        <v>35</v>
      </c>
      <c r="E1175" s="5" t="s">
        <v>10033</v>
      </c>
      <c r="F1175" s="5" t="s">
        <v>72</v>
      </c>
      <c r="G1175" s="5" t="s">
        <v>10034</v>
      </c>
      <c r="H1175" s="6" t="s">
        <v>10035</v>
      </c>
      <c r="I1175" s="7" t="s">
        <v>10036</v>
      </c>
      <c r="J1175" s="8" t="str">
        <f>HYPERLINK("https://drive.google.com/file/d/1k8ezbLzygF9NyMco7pDL9z0fqtmHqb1k/view?usp=drivesdk","SRI YULIANTI SAMANI SERTIFIKAT BerAKHLAK")</f>
        <v>SRI YULIANTI SAMANI SERTIFIKAT BerAKHLAK</v>
      </c>
      <c r="K1175" s="5" t="s">
        <v>9565</v>
      </c>
      <c r="L1175" s="5" t="s">
        <v>10037</v>
      </c>
    </row>
    <row r="1176">
      <c r="A1176" s="4">
        <v>45534.33076020834</v>
      </c>
      <c r="B1176" s="5" t="s">
        <v>34</v>
      </c>
      <c r="D1176" s="5" t="s">
        <v>996</v>
      </c>
      <c r="E1176" s="5" t="s">
        <v>10040</v>
      </c>
      <c r="F1176" s="5" t="s">
        <v>37</v>
      </c>
      <c r="G1176" s="5" t="s">
        <v>10041</v>
      </c>
      <c r="H1176" s="6" t="s">
        <v>10042</v>
      </c>
      <c r="I1176" s="7" t="s">
        <v>10043</v>
      </c>
      <c r="J1176" s="8" t="str">
        <f>HYPERLINK("https://drive.google.com/file/d/17gCjGAjn5IIE-VP9fJ7TfgAbABK84cIE/view?usp=drivesdk","SERI JAENADI SERI SERTIFIKAT BerAKHLAK")</f>
        <v>SERI JAENADI SERI SERTIFIKAT BerAKHLAK</v>
      </c>
      <c r="K1176" s="5" t="s">
        <v>9565</v>
      </c>
      <c r="L1176" s="5" t="s">
        <v>10044</v>
      </c>
    </row>
    <row r="1177">
      <c r="A1177" s="4">
        <v>45534.330787025465</v>
      </c>
      <c r="B1177" s="5" t="s">
        <v>34</v>
      </c>
      <c r="D1177" s="5" t="s">
        <v>9020</v>
      </c>
      <c r="E1177" s="5" t="s">
        <v>10047</v>
      </c>
      <c r="F1177" s="5" t="s">
        <v>37</v>
      </c>
      <c r="G1177" s="5" t="s">
        <v>10048</v>
      </c>
      <c r="H1177" s="6" t="s">
        <v>10049</v>
      </c>
      <c r="I1177" s="7" t="s">
        <v>10050</v>
      </c>
      <c r="J1177" s="8" t="str">
        <f>HYPERLINK("https://drive.google.com/file/d/1QkkIwU7L8jQcCI3EGQ-i3Ab4FrzkRnE_/view?usp=drivesdk","NOGA KURNIAWAN, S.H. SERTIFIKAT BerAKHLAK")</f>
        <v>NOGA KURNIAWAN, S.H. SERTIFIKAT BerAKHLAK</v>
      </c>
      <c r="K1177" s="5" t="s">
        <v>9528</v>
      </c>
      <c r="L1177" s="5" t="s">
        <v>10051</v>
      </c>
    </row>
    <row r="1178">
      <c r="A1178" s="4">
        <v>45534.330800752316</v>
      </c>
      <c r="B1178" s="5" t="s">
        <v>34</v>
      </c>
      <c r="D1178" s="5" t="s">
        <v>1206</v>
      </c>
      <c r="E1178" s="5" t="s">
        <v>10054</v>
      </c>
      <c r="F1178" s="5" t="s">
        <v>37</v>
      </c>
      <c r="G1178" s="5" t="s">
        <v>10055</v>
      </c>
      <c r="H1178" s="6" t="s">
        <v>10056</v>
      </c>
      <c r="I1178" s="7" t="s">
        <v>10057</v>
      </c>
      <c r="J1178" s="8" t="str">
        <f>HYPERLINK("https://drive.google.com/file/d/1h01oXJf4mYasL3kw28tIieuv8aZohEeg/view?usp=drivesdk","MOCHAMMAD ASNAWI SERTIFIKAT BerAKHLAK")</f>
        <v>MOCHAMMAD ASNAWI SERTIFIKAT BerAKHLAK</v>
      </c>
      <c r="K1178" s="5" t="s">
        <v>9565</v>
      </c>
      <c r="L1178" s="5" t="s">
        <v>10058</v>
      </c>
    </row>
    <row r="1179">
      <c r="A1179" s="4">
        <v>45534.33081731481</v>
      </c>
      <c r="B1179" s="5" t="s">
        <v>34</v>
      </c>
      <c r="D1179" s="5" t="s">
        <v>9020</v>
      </c>
      <c r="E1179" s="5" t="s">
        <v>10062</v>
      </c>
      <c r="F1179" s="5" t="s">
        <v>375</v>
      </c>
      <c r="G1179" s="5" t="s">
        <v>10063</v>
      </c>
      <c r="H1179" s="6" t="s">
        <v>10064</v>
      </c>
      <c r="I1179" s="7" t="s">
        <v>10065</v>
      </c>
      <c r="J1179" s="8" t="str">
        <f>HYPERLINK("https://drive.google.com/file/d/12rH7mvjhAGu9XV-K0V91s00Jd0s4-m2n/view?usp=drivesdk","MINTA BERLINA,S.E SERTIFIKAT BerAKHLAK")</f>
        <v>MINTA BERLINA,S.E SERTIFIKAT BerAKHLAK</v>
      </c>
      <c r="K1179" s="5" t="s">
        <v>9528</v>
      </c>
      <c r="L1179" s="5" t="s">
        <v>10066</v>
      </c>
    </row>
    <row r="1180">
      <c r="A1180" s="4">
        <v>45534.330838344904</v>
      </c>
      <c r="B1180" s="5" t="s">
        <v>34</v>
      </c>
      <c r="D1180" s="5" t="s">
        <v>4775</v>
      </c>
      <c r="E1180" s="5" t="s">
        <v>10069</v>
      </c>
      <c r="F1180" s="5" t="s">
        <v>108</v>
      </c>
      <c r="G1180" s="5" t="s">
        <v>10070</v>
      </c>
      <c r="H1180" s="6" t="s">
        <v>10071</v>
      </c>
      <c r="I1180" s="7" t="s">
        <v>10072</v>
      </c>
      <c r="J1180" s="8" t="str">
        <f>HYPERLINK("https://drive.google.com/file/d/1vqXgUhUthRyXGr6lrFPfi1LhudiUMbyj/view?usp=drivesdk","ENDAH SUSILAWATI SERTIFIKAT BerAKHLAK")</f>
        <v>ENDAH SUSILAWATI SERTIFIKAT BerAKHLAK</v>
      </c>
      <c r="K1180" s="5" t="s">
        <v>9528</v>
      </c>
      <c r="L1180" s="5" t="s">
        <v>10073</v>
      </c>
    </row>
    <row r="1181">
      <c r="A1181" s="4">
        <v>45534.33084498842</v>
      </c>
      <c r="B1181" s="5" t="s">
        <v>34</v>
      </c>
      <c r="D1181" s="5" t="s">
        <v>280</v>
      </c>
      <c r="E1181" s="5" t="s">
        <v>10076</v>
      </c>
      <c r="F1181" s="5" t="s">
        <v>212</v>
      </c>
      <c r="G1181" s="5" t="s">
        <v>10077</v>
      </c>
      <c r="H1181" s="6" t="s">
        <v>10078</v>
      </c>
      <c r="I1181" s="7" t="s">
        <v>10079</v>
      </c>
      <c r="J1181" s="8" t="str">
        <f>HYPERLINK("https://drive.google.com/file/d/15dXlW8fQOFCFKmFPH189vkYpPBfALjRA/view?usp=drivesdk","RONY FAISAL TANJUNG, A.Md.Rad SERTIFIKAT BerAKHLAK")</f>
        <v>RONY FAISAL TANJUNG, A.Md.Rad SERTIFIKAT BerAKHLAK</v>
      </c>
      <c r="K1181" s="5" t="s">
        <v>9565</v>
      </c>
      <c r="L1181" s="5" t="s">
        <v>10080</v>
      </c>
    </row>
    <row r="1182">
      <c r="A1182" s="4">
        <v>45534.33085063657</v>
      </c>
      <c r="B1182" s="5" t="s">
        <v>34</v>
      </c>
      <c r="D1182" s="5" t="s">
        <v>35</v>
      </c>
      <c r="E1182" s="5" t="s">
        <v>10083</v>
      </c>
      <c r="F1182" s="5" t="s">
        <v>37</v>
      </c>
      <c r="G1182" s="5" t="s">
        <v>10084</v>
      </c>
      <c r="H1182" s="6" t="s">
        <v>10085</v>
      </c>
      <c r="K1182" s="5" t="s">
        <v>10086</v>
      </c>
    </row>
    <row r="1183">
      <c r="A1183" s="4">
        <v>45534.33086107639</v>
      </c>
      <c r="B1183" s="5" t="s">
        <v>19</v>
      </c>
      <c r="C1183" s="5" t="s">
        <v>3301</v>
      </c>
      <c r="E1183" s="5" t="s">
        <v>10089</v>
      </c>
      <c r="F1183" s="5" t="s">
        <v>37</v>
      </c>
      <c r="G1183" s="5" t="s">
        <v>10090</v>
      </c>
      <c r="H1183" s="6" t="s">
        <v>10091</v>
      </c>
      <c r="K1183" s="5" t="s">
        <v>10086</v>
      </c>
    </row>
    <row r="1184">
      <c r="A1184" s="4">
        <v>45534.3308658912</v>
      </c>
      <c r="B1184" s="5" t="s">
        <v>34</v>
      </c>
      <c r="D1184" s="5" t="s">
        <v>4775</v>
      </c>
      <c r="E1184" s="5" t="s">
        <v>10094</v>
      </c>
      <c r="F1184" s="5" t="s">
        <v>212</v>
      </c>
      <c r="G1184" s="5" t="s">
        <v>10095</v>
      </c>
      <c r="H1184" s="6" t="s">
        <v>10096</v>
      </c>
      <c r="K1184" s="5" t="s">
        <v>10086</v>
      </c>
    </row>
    <row r="1185">
      <c r="A1185" s="4">
        <v>45534.330880231486</v>
      </c>
      <c r="B1185" s="5" t="s">
        <v>34</v>
      </c>
      <c r="D1185" s="5" t="s">
        <v>4775</v>
      </c>
      <c r="E1185" s="5" t="s">
        <v>10100</v>
      </c>
      <c r="F1185" s="5" t="s">
        <v>120</v>
      </c>
      <c r="G1185" s="5" t="s">
        <v>10101</v>
      </c>
      <c r="H1185" s="6" t="s">
        <v>10102</v>
      </c>
      <c r="K1185" s="5" t="s">
        <v>10086</v>
      </c>
    </row>
    <row r="1186">
      <c r="A1186" s="4">
        <v>45534.330884270836</v>
      </c>
      <c r="B1186" s="5" t="s">
        <v>34</v>
      </c>
      <c r="D1186" s="5" t="s">
        <v>4775</v>
      </c>
      <c r="E1186" s="5" t="s">
        <v>10105</v>
      </c>
      <c r="F1186" s="5" t="s">
        <v>108</v>
      </c>
      <c r="G1186" s="5" t="s">
        <v>10106</v>
      </c>
      <c r="H1186" s="6" t="s">
        <v>10107</v>
      </c>
      <c r="K1186" s="5" t="s">
        <v>10086</v>
      </c>
    </row>
    <row r="1187">
      <c r="A1187" s="4">
        <v>45534.33088466435</v>
      </c>
      <c r="B1187" s="5" t="s">
        <v>34</v>
      </c>
      <c r="D1187" s="5" t="s">
        <v>9020</v>
      </c>
      <c r="E1187" s="5" t="s">
        <v>10110</v>
      </c>
      <c r="F1187" s="5" t="s">
        <v>72</v>
      </c>
      <c r="G1187" s="5" t="s">
        <v>10111</v>
      </c>
      <c r="H1187" s="6" t="s">
        <v>10112</v>
      </c>
      <c r="K1187" s="5" t="s">
        <v>10086</v>
      </c>
    </row>
    <row r="1188">
      <c r="A1188" s="4">
        <v>45534.33088865741</v>
      </c>
      <c r="B1188" s="5" t="s">
        <v>34</v>
      </c>
      <c r="D1188" s="5" t="s">
        <v>9020</v>
      </c>
      <c r="E1188" s="5" t="s">
        <v>10115</v>
      </c>
      <c r="F1188" s="5" t="s">
        <v>524</v>
      </c>
      <c r="G1188" s="5" t="s">
        <v>10116</v>
      </c>
      <c r="H1188" s="6" t="s">
        <v>10117</v>
      </c>
      <c r="K1188" s="5" t="s">
        <v>10086</v>
      </c>
    </row>
    <row r="1189">
      <c r="A1189" s="4">
        <v>45534.33088866898</v>
      </c>
      <c r="B1189" s="5" t="s">
        <v>34</v>
      </c>
      <c r="D1189" s="5" t="s">
        <v>9020</v>
      </c>
      <c r="E1189" s="5" t="s">
        <v>10120</v>
      </c>
      <c r="F1189" s="5" t="s">
        <v>524</v>
      </c>
      <c r="G1189" s="5" t="s">
        <v>10121</v>
      </c>
      <c r="H1189" s="6" t="s">
        <v>10122</v>
      </c>
      <c r="K1189" s="5" t="s">
        <v>10086</v>
      </c>
    </row>
    <row r="1190">
      <c r="A1190" s="4">
        <v>45534.330901678244</v>
      </c>
      <c r="B1190" s="5" t="s">
        <v>34</v>
      </c>
      <c r="D1190" s="5" t="s">
        <v>4775</v>
      </c>
      <c r="E1190" s="5" t="s">
        <v>10126</v>
      </c>
      <c r="F1190" s="5" t="s">
        <v>37</v>
      </c>
      <c r="G1190" s="5" t="s">
        <v>10127</v>
      </c>
      <c r="H1190" s="6" t="s">
        <v>10128</v>
      </c>
      <c r="I1190" s="7" t="s">
        <v>10129</v>
      </c>
      <c r="J1190" s="8" t="str">
        <f>HYPERLINK("https://drive.google.com/file/d/1-it44g-YQ7gLWl8zCM6E3vZad9e5rYGU/view?usp=drivesdk","AYI SUPRIATNA SERTIFIKAT BerAKHLAK")</f>
        <v>AYI SUPRIATNA SERTIFIKAT BerAKHLAK</v>
      </c>
      <c r="K1190" s="5" t="s">
        <v>9565</v>
      </c>
      <c r="L1190" s="5" t="s">
        <v>10130</v>
      </c>
    </row>
    <row r="1191">
      <c r="A1191" s="4">
        <v>45534.3309021412</v>
      </c>
      <c r="B1191" s="5" t="s">
        <v>34</v>
      </c>
      <c r="D1191" s="5" t="s">
        <v>1768</v>
      </c>
      <c r="E1191" s="5" t="s">
        <v>10133</v>
      </c>
      <c r="F1191" s="5" t="s">
        <v>37</v>
      </c>
      <c r="G1191" s="5" t="s">
        <v>10134</v>
      </c>
      <c r="H1191" s="6" t="s">
        <v>10135</v>
      </c>
      <c r="I1191" s="7" t="s">
        <v>10136</v>
      </c>
      <c r="J1191" s="8" t="str">
        <f>HYPERLINK("https://drive.google.com/file/d/1zhAKJvrNRhnzzY7gvLAFTfyaGbA_1LWI/view?usp=drivesdk","JAYANTIE PRIMASARI ISKABUL, S.Kom SERTIFIKAT BerAKHLAK")</f>
        <v>JAYANTIE PRIMASARI ISKABUL, S.Kom SERTIFIKAT BerAKHLAK</v>
      </c>
      <c r="K1191" s="5" t="s">
        <v>9565</v>
      </c>
      <c r="L1191" s="5" t="s">
        <v>10137</v>
      </c>
    </row>
    <row r="1192">
      <c r="A1192" s="4">
        <v>45534.33090862268</v>
      </c>
      <c r="B1192" s="5" t="s">
        <v>34</v>
      </c>
      <c r="D1192" s="5" t="s">
        <v>1692</v>
      </c>
      <c r="E1192" s="5" t="s">
        <v>10140</v>
      </c>
      <c r="F1192" s="5" t="s">
        <v>108</v>
      </c>
      <c r="G1192" s="5" t="s">
        <v>10141</v>
      </c>
      <c r="H1192" s="6" t="s">
        <v>10142</v>
      </c>
      <c r="I1192" s="7" t="s">
        <v>10143</v>
      </c>
      <c r="J1192" s="8" t="str">
        <f>HYPERLINK("https://drive.google.com/file/d/11tcYemhI_QlBnp9KRm3yh-H4t2S0J9Zl/view?usp=drivesdk","GERITJE KANAITANG SERTIFIKAT BerAKHLAK")</f>
        <v>GERITJE KANAITANG SERTIFIKAT BerAKHLAK</v>
      </c>
      <c r="K1192" s="5" t="s">
        <v>9565</v>
      </c>
      <c r="L1192" s="5" t="s">
        <v>10144</v>
      </c>
    </row>
    <row r="1193">
      <c r="A1193" s="4">
        <v>45534.330930393524</v>
      </c>
      <c r="B1193" s="5" t="s">
        <v>34</v>
      </c>
      <c r="D1193" s="5" t="s">
        <v>975</v>
      </c>
      <c r="E1193" s="5" t="s">
        <v>10147</v>
      </c>
      <c r="F1193" s="5" t="s">
        <v>108</v>
      </c>
      <c r="G1193" s="5" t="s">
        <v>10148</v>
      </c>
      <c r="H1193" s="6" t="s">
        <v>10149</v>
      </c>
      <c r="K1193" s="5" t="s">
        <v>10150</v>
      </c>
    </row>
    <row r="1194">
      <c r="A1194" s="4">
        <v>45534.33095949074</v>
      </c>
      <c r="B1194" s="5" t="s">
        <v>19</v>
      </c>
      <c r="C1194" s="5" t="s">
        <v>3301</v>
      </c>
      <c r="E1194" s="5" t="s">
        <v>10153</v>
      </c>
      <c r="F1194" s="5" t="s">
        <v>108</v>
      </c>
      <c r="G1194" s="5" t="s">
        <v>10154</v>
      </c>
      <c r="H1194" s="6" t="s">
        <v>10155</v>
      </c>
      <c r="I1194" s="7" t="s">
        <v>10156</v>
      </c>
      <c r="J1194" s="8" t="str">
        <f>HYPERLINK("https://drive.google.com/file/d/16sYkRJUy9oIDO-HcLACmT9p_K2-Yo-bu/view?usp=drivesdk","WINDA YUNITASARI SERTIFIKAT BerAKHLAK")</f>
        <v>WINDA YUNITASARI SERTIFIKAT BerAKHLAK</v>
      </c>
      <c r="K1194" s="5" t="s">
        <v>9565</v>
      </c>
      <c r="L1194" s="5" t="s">
        <v>10157</v>
      </c>
    </row>
    <row r="1195">
      <c r="A1195" s="4">
        <v>45534.33097243056</v>
      </c>
      <c r="B1195" s="5" t="s">
        <v>34</v>
      </c>
      <c r="D1195" s="5" t="s">
        <v>1206</v>
      </c>
      <c r="E1195" s="5" t="s">
        <v>10161</v>
      </c>
      <c r="F1195" s="5" t="s">
        <v>37</v>
      </c>
      <c r="G1195" s="5" t="s">
        <v>10162</v>
      </c>
      <c r="H1195" s="6" t="s">
        <v>10163</v>
      </c>
      <c r="I1195" s="7" t="s">
        <v>10164</v>
      </c>
      <c r="J1195" s="8" t="str">
        <f>HYPERLINK("https://drive.google.com/file/d/1gKW3l3ZoLtnFc6Ft_XCRxOXKpkfeQYeu/view?usp=drivesdk","DADANG FREDY SOEBHIAKTO SERTIFIKAT BerAKHLAK")</f>
        <v>DADANG FREDY SOEBHIAKTO SERTIFIKAT BerAKHLAK</v>
      </c>
      <c r="K1195" s="5" t="s">
        <v>9565</v>
      </c>
      <c r="L1195" s="5" t="s">
        <v>10165</v>
      </c>
    </row>
    <row r="1196">
      <c r="A1196" s="4">
        <v>45534.330974780096</v>
      </c>
      <c r="B1196" s="5" t="s">
        <v>34</v>
      </c>
      <c r="D1196" s="5" t="s">
        <v>1206</v>
      </c>
      <c r="E1196" s="5" t="s">
        <v>10168</v>
      </c>
      <c r="F1196" s="5" t="s">
        <v>212</v>
      </c>
      <c r="G1196" s="5" t="s">
        <v>10169</v>
      </c>
      <c r="H1196" s="6" t="s">
        <v>10170</v>
      </c>
      <c r="I1196" s="7" t="s">
        <v>10171</v>
      </c>
      <c r="J1196" s="8" t="str">
        <f>HYPERLINK("https://drive.google.com/file/d/1b-kwhyuGOlHZU_yaJTctW3AIMM_8wGzV/view?usp=drivesdk","DODIK HERU SUSANTO SERTIFIKAT BerAKHLAK")</f>
        <v>DODIK HERU SUSANTO SERTIFIKAT BerAKHLAK</v>
      </c>
      <c r="K1196" s="5" t="s">
        <v>9565</v>
      </c>
      <c r="L1196" s="5" t="s">
        <v>10172</v>
      </c>
    </row>
    <row r="1197">
      <c r="A1197" s="4">
        <v>45534.3309799537</v>
      </c>
      <c r="B1197" s="5" t="s">
        <v>34</v>
      </c>
      <c r="D1197" s="5" t="s">
        <v>3849</v>
      </c>
      <c r="E1197" s="5" t="s">
        <v>10175</v>
      </c>
      <c r="F1197" s="5" t="s">
        <v>524</v>
      </c>
      <c r="G1197" s="5" t="s">
        <v>10176</v>
      </c>
      <c r="H1197" s="6" t="s">
        <v>10177</v>
      </c>
      <c r="I1197" s="7" t="s">
        <v>10178</v>
      </c>
      <c r="J1197" s="8" t="str">
        <f>HYPERLINK("https://drive.google.com/file/d/1mc6MwpYWDvZ9J9XeLZt7WD8cnT6pEvuq/view?usp=drivesdk","RISMA OKTARINA SERTIFIKAT BerAKHLAK")</f>
        <v>RISMA OKTARINA SERTIFIKAT BerAKHLAK</v>
      </c>
      <c r="K1197" s="5" t="s">
        <v>9565</v>
      </c>
      <c r="L1197" s="5" t="s">
        <v>10179</v>
      </c>
    </row>
    <row r="1198">
      <c r="A1198" s="4">
        <v>45534.33099650463</v>
      </c>
      <c r="B1198" s="5" t="s">
        <v>34</v>
      </c>
      <c r="D1198" s="5" t="s">
        <v>6232</v>
      </c>
      <c r="E1198" s="5" t="s">
        <v>10182</v>
      </c>
      <c r="F1198" s="5" t="s">
        <v>375</v>
      </c>
      <c r="G1198" s="5" t="s">
        <v>10183</v>
      </c>
      <c r="H1198" s="6" t="s">
        <v>10184</v>
      </c>
      <c r="I1198" s="7" t="s">
        <v>10185</v>
      </c>
      <c r="J1198" s="8" t="str">
        <f>HYPERLINK("https://drive.google.com/file/d/1zXD_ikRtODljVHiQIo15FBusCPI-aMxc/view?usp=drivesdk","MINTARIA S.KOM, M.S.I SERTIFIKAT BerAKHLAK")</f>
        <v>MINTARIA S.KOM, M.S.I SERTIFIKAT BerAKHLAK</v>
      </c>
      <c r="K1198" s="5" t="s">
        <v>9565</v>
      </c>
      <c r="L1198" s="5" t="s">
        <v>10186</v>
      </c>
    </row>
    <row r="1199">
      <c r="A1199" s="4">
        <v>45534.33103935185</v>
      </c>
      <c r="B1199" s="5" t="s">
        <v>34</v>
      </c>
      <c r="D1199" s="5" t="s">
        <v>4775</v>
      </c>
      <c r="E1199" s="5" t="s">
        <v>10189</v>
      </c>
      <c r="F1199" s="5" t="s">
        <v>375</v>
      </c>
      <c r="G1199" s="5" t="s">
        <v>10190</v>
      </c>
      <c r="H1199" s="6" t="s">
        <v>10191</v>
      </c>
      <c r="I1199" s="7" t="s">
        <v>10192</v>
      </c>
      <c r="J1199" s="8" t="str">
        <f>HYPERLINK("https://drive.google.com/file/d/1JnYi7K6oqIOjIXsgvbJkaYPElQ_3IHFB/view?usp=drivesdk","NOVERI HARTATI,SE SERTIFIKAT BerAKHLAK")</f>
        <v>NOVERI HARTATI,SE SERTIFIKAT BerAKHLAK</v>
      </c>
      <c r="K1199" s="5" t="s">
        <v>9565</v>
      </c>
      <c r="L1199" s="5" t="s">
        <v>10193</v>
      </c>
    </row>
    <row r="1200">
      <c r="A1200" s="4">
        <v>45534.33103909722</v>
      </c>
      <c r="B1200" s="5" t="s">
        <v>34</v>
      </c>
      <c r="D1200" s="5" t="s">
        <v>1206</v>
      </c>
      <c r="E1200" s="5" t="s">
        <v>10197</v>
      </c>
      <c r="F1200" s="5" t="s">
        <v>375</v>
      </c>
      <c r="G1200" s="5" t="s">
        <v>10198</v>
      </c>
      <c r="H1200" s="6" t="s">
        <v>10199</v>
      </c>
      <c r="I1200" s="7" t="s">
        <v>10200</v>
      </c>
      <c r="J1200" s="8" t="str">
        <f>HYPERLINK("https://drive.google.com/file/d/14KmeVBlA6EcSTctJ_QeZhC-egTty0W5M/view?usp=drivesdk","INDAH MUSTIKASARI, S. E.  SERTIFIKAT BerAKHLAK")</f>
        <v>INDAH MUSTIKASARI, S. E.  SERTIFIKAT BerAKHLAK</v>
      </c>
      <c r="K1200" s="5" t="s">
        <v>9565</v>
      </c>
      <c r="L1200" s="5" t="s">
        <v>10201</v>
      </c>
    </row>
    <row r="1201">
      <c r="A1201" s="4">
        <v>45534.33104056713</v>
      </c>
      <c r="B1201" s="5" t="s">
        <v>34</v>
      </c>
      <c r="D1201" s="5" t="s">
        <v>1456</v>
      </c>
      <c r="E1201" s="5" t="s">
        <v>10204</v>
      </c>
      <c r="F1201" s="5" t="s">
        <v>375</v>
      </c>
      <c r="G1201" s="5" t="s">
        <v>10205</v>
      </c>
      <c r="H1201" s="6" t="s">
        <v>10206</v>
      </c>
      <c r="I1201" s="7" t="s">
        <v>10207</v>
      </c>
      <c r="J1201" s="8" t="str">
        <f>HYPERLINK("https://drive.google.com/file/d/11XqjKrxkk-DUvy_cI2gPpvePi-kHMCP4/view?usp=drivesdk","WAHYU RUS DWIYANTO SERTIFIKAT BerAKHLAK")</f>
        <v>WAHYU RUS DWIYANTO SERTIFIKAT BerAKHLAK</v>
      </c>
      <c r="K1201" s="5" t="s">
        <v>9565</v>
      </c>
      <c r="L1201" s="5" t="s">
        <v>10208</v>
      </c>
    </row>
    <row r="1202">
      <c r="A1202" s="4">
        <v>45534.3310477662</v>
      </c>
      <c r="B1202" s="5" t="s">
        <v>34</v>
      </c>
      <c r="D1202" s="5" t="s">
        <v>35</v>
      </c>
      <c r="E1202" s="5" t="s">
        <v>10211</v>
      </c>
      <c r="F1202" s="5" t="s">
        <v>108</v>
      </c>
      <c r="G1202" s="5" t="s">
        <v>10212</v>
      </c>
      <c r="H1202" s="6" t="s">
        <v>10213</v>
      </c>
      <c r="I1202" s="7" t="s">
        <v>10214</v>
      </c>
      <c r="J1202" s="8" t="str">
        <f>HYPERLINK("https://drive.google.com/file/d/1XoKf3_TuXqE64HguyPbNBKq-dMTQzt4-/view?usp=drivesdk","YUNI NURHAYATI,Amk SERTIFIKAT BerAKHLAK")</f>
        <v>YUNI NURHAYATI,Amk SERTIFIKAT BerAKHLAK</v>
      </c>
      <c r="K1202" s="5" t="s">
        <v>9565</v>
      </c>
      <c r="L1202" s="5" t="s">
        <v>10215</v>
      </c>
    </row>
    <row r="1203">
      <c r="A1203" s="4">
        <v>45534.33105020833</v>
      </c>
      <c r="B1203" s="5" t="s">
        <v>19</v>
      </c>
      <c r="C1203" s="5" t="s">
        <v>315</v>
      </c>
      <c r="E1203" s="5" t="s">
        <v>10218</v>
      </c>
      <c r="F1203" s="5" t="s">
        <v>212</v>
      </c>
      <c r="G1203" s="5" t="s">
        <v>10219</v>
      </c>
      <c r="H1203" s="6" t="s">
        <v>10220</v>
      </c>
      <c r="I1203" s="7" t="s">
        <v>10221</v>
      </c>
      <c r="J1203" s="8" t="str">
        <f>HYPERLINK("https://drive.google.com/file/d/1YvDNFF-TbZ1nicrF5mjhkYEZ-rC1Pz9_/view?usp=drivesdk","NISAH SARI WAHYUNI SERTIFIKAT BerAKHLAK")</f>
        <v>NISAH SARI WAHYUNI SERTIFIKAT BerAKHLAK</v>
      </c>
      <c r="K1203" s="5" t="s">
        <v>9565</v>
      </c>
      <c r="L1203" s="5" t="s">
        <v>10222</v>
      </c>
    </row>
    <row r="1204">
      <c r="A1204" s="4">
        <v>45534.33106662037</v>
      </c>
      <c r="B1204" s="5" t="s">
        <v>34</v>
      </c>
      <c r="D1204" s="5" t="s">
        <v>6232</v>
      </c>
      <c r="E1204" s="5" t="s">
        <v>10225</v>
      </c>
      <c r="F1204" s="5" t="s">
        <v>37</v>
      </c>
      <c r="G1204" s="5" t="s">
        <v>10226</v>
      </c>
      <c r="H1204" s="6" t="s">
        <v>10227</v>
      </c>
      <c r="K1204" s="5" t="s">
        <v>10228</v>
      </c>
    </row>
    <row r="1205">
      <c r="A1205" s="4">
        <v>45534.331079826385</v>
      </c>
      <c r="B1205" s="5" t="s">
        <v>19</v>
      </c>
      <c r="C1205" s="5" t="s">
        <v>466</v>
      </c>
      <c r="E1205" s="5" t="s">
        <v>10232</v>
      </c>
      <c r="F1205" s="5" t="s">
        <v>212</v>
      </c>
      <c r="G1205" s="5" t="s">
        <v>10233</v>
      </c>
      <c r="H1205" s="6" t="s">
        <v>10234</v>
      </c>
      <c r="K1205" s="5" t="s">
        <v>10228</v>
      </c>
    </row>
    <row r="1206">
      <c r="A1206" s="4">
        <v>45534.33108931713</v>
      </c>
      <c r="B1206" s="5" t="s">
        <v>34</v>
      </c>
      <c r="D1206" s="5" t="s">
        <v>35</v>
      </c>
      <c r="E1206" s="5" t="s">
        <v>10237</v>
      </c>
      <c r="F1206" s="5" t="s">
        <v>524</v>
      </c>
      <c r="G1206" s="5" t="s">
        <v>10238</v>
      </c>
      <c r="H1206" s="6" t="s">
        <v>10239</v>
      </c>
      <c r="K1206" s="5" t="s">
        <v>10228</v>
      </c>
    </row>
    <row r="1207">
      <c r="A1207" s="4">
        <v>45534.33109037037</v>
      </c>
      <c r="B1207" s="5" t="s">
        <v>34</v>
      </c>
      <c r="D1207" s="5" t="s">
        <v>35</v>
      </c>
      <c r="E1207" s="5" t="s">
        <v>10242</v>
      </c>
      <c r="F1207" s="5" t="s">
        <v>72</v>
      </c>
      <c r="G1207" s="5" t="s">
        <v>10243</v>
      </c>
      <c r="H1207" s="6" t="s">
        <v>10244</v>
      </c>
      <c r="K1207" s="5" t="s">
        <v>10228</v>
      </c>
    </row>
    <row r="1208">
      <c r="A1208" s="4">
        <v>45534.331112395834</v>
      </c>
      <c r="B1208" s="5" t="s">
        <v>34</v>
      </c>
      <c r="D1208" s="5" t="s">
        <v>280</v>
      </c>
      <c r="E1208" s="5" t="s">
        <v>10247</v>
      </c>
      <c r="F1208" s="5" t="s">
        <v>524</v>
      </c>
      <c r="G1208" s="5" t="s">
        <v>10248</v>
      </c>
      <c r="H1208" s="6" t="s">
        <v>10249</v>
      </c>
      <c r="I1208" s="7" t="s">
        <v>10250</v>
      </c>
      <c r="J1208" s="8" t="str">
        <f>HYPERLINK("https://drive.google.com/file/d/1mCv6LJIF3tYa5OjnSqrLY9YFKSOizrjJ/view?usp=drivesdk","PENDA WAN SYADRI SERTIFIKAT BerAKHLAK")</f>
        <v>PENDA WAN SYADRI SERTIFIKAT BerAKHLAK</v>
      </c>
      <c r="K1208" s="5" t="s">
        <v>9565</v>
      </c>
      <c r="L1208" s="5" t="s">
        <v>10251</v>
      </c>
    </row>
    <row r="1209">
      <c r="A1209" s="4">
        <v>45534.33111392361</v>
      </c>
      <c r="B1209" s="5" t="s">
        <v>34</v>
      </c>
      <c r="D1209" s="5" t="s">
        <v>604</v>
      </c>
      <c r="E1209" s="5" t="s">
        <v>10254</v>
      </c>
      <c r="F1209" s="5" t="s">
        <v>375</v>
      </c>
      <c r="G1209" s="5" t="s">
        <v>10255</v>
      </c>
      <c r="H1209" s="6" t="s">
        <v>10256</v>
      </c>
      <c r="I1209" s="7" t="s">
        <v>10257</v>
      </c>
      <c r="J1209" s="8" t="str">
        <f>HYPERLINK("https://drive.google.com/file/d/12BZ_slDxrZYfn2WE0jegyItE9f_3Dlec/view?usp=drivesdk","SETYO SUBROTO M, SH SERTIFIKAT BerAKHLAK")</f>
        <v>SETYO SUBROTO M, SH SERTIFIKAT BerAKHLAK</v>
      </c>
      <c r="K1209" s="5" t="s">
        <v>9565</v>
      </c>
      <c r="L1209" s="5" t="s">
        <v>10258</v>
      </c>
    </row>
    <row r="1210">
      <c r="A1210" s="4">
        <v>45534.33111760417</v>
      </c>
      <c r="B1210" s="5" t="s">
        <v>34</v>
      </c>
      <c r="D1210" s="5" t="s">
        <v>35</v>
      </c>
      <c r="E1210" s="5" t="s">
        <v>10261</v>
      </c>
      <c r="F1210" s="5" t="s">
        <v>37</v>
      </c>
      <c r="G1210" s="5" t="s">
        <v>10262</v>
      </c>
      <c r="H1210" s="6" t="s">
        <v>10263</v>
      </c>
      <c r="K1210" s="5" t="s">
        <v>10264</v>
      </c>
    </row>
    <row r="1211">
      <c r="A1211" s="4">
        <v>45534.33111907408</v>
      </c>
      <c r="B1211" s="5" t="s">
        <v>19</v>
      </c>
      <c r="C1211" s="5" t="s">
        <v>8666</v>
      </c>
      <c r="E1211" s="5" t="s">
        <v>10268</v>
      </c>
      <c r="F1211" s="5" t="s">
        <v>108</v>
      </c>
      <c r="G1211" s="5" t="s">
        <v>10269</v>
      </c>
      <c r="H1211" s="6" t="s">
        <v>10270</v>
      </c>
      <c r="K1211" s="5" t="s">
        <v>10264</v>
      </c>
    </row>
    <row r="1212">
      <c r="A1212" s="4">
        <v>45534.33112607639</v>
      </c>
      <c r="B1212" s="5" t="s">
        <v>34</v>
      </c>
      <c r="D1212" s="5" t="s">
        <v>267</v>
      </c>
      <c r="E1212" s="5" t="s">
        <v>10273</v>
      </c>
      <c r="F1212" s="5" t="s">
        <v>212</v>
      </c>
      <c r="G1212" s="5" t="s">
        <v>10274</v>
      </c>
      <c r="H1212" s="6" t="s">
        <v>10275</v>
      </c>
      <c r="K1212" s="5" t="s">
        <v>10264</v>
      </c>
    </row>
    <row r="1213">
      <c r="A1213" s="4">
        <v>45534.33113261574</v>
      </c>
      <c r="B1213" s="5" t="s">
        <v>34</v>
      </c>
      <c r="D1213" s="5" t="s">
        <v>4775</v>
      </c>
      <c r="E1213" s="5" t="s">
        <v>10278</v>
      </c>
      <c r="F1213" s="5" t="s">
        <v>37</v>
      </c>
      <c r="G1213" s="5" t="s">
        <v>10279</v>
      </c>
      <c r="H1213" s="6" t="s">
        <v>10280</v>
      </c>
      <c r="K1213" s="5" t="s">
        <v>10264</v>
      </c>
    </row>
    <row r="1214">
      <c r="A1214" s="4">
        <v>45534.33117148148</v>
      </c>
      <c r="B1214" s="5" t="s">
        <v>34</v>
      </c>
      <c r="D1214" s="5" t="s">
        <v>280</v>
      </c>
      <c r="E1214" s="5" t="s">
        <v>10283</v>
      </c>
      <c r="F1214" s="5" t="s">
        <v>120</v>
      </c>
      <c r="G1214" s="5" t="s">
        <v>10284</v>
      </c>
      <c r="H1214" s="6" t="s">
        <v>10285</v>
      </c>
      <c r="I1214" s="7" t="s">
        <v>10286</v>
      </c>
      <c r="J1214" s="8" t="str">
        <f>HYPERLINK("https://drive.google.com/file/d/1A2s0s5twtYOMG0i9Vw6STvbL-A2QMdTX/view?usp=drivesdk","MUHAMMAD SUKISMAN, S.SOS.I., MSI.  SERTIFIKAT BerAKHLAK")</f>
        <v>MUHAMMAD SUKISMAN, S.SOS.I., MSI.  SERTIFIKAT BerAKHLAK</v>
      </c>
      <c r="K1214" s="5" t="s">
        <v>9565</v>
      </c>
      <c r="L1214" s="5" t="s">
        <v>10287</v>
      </c>
    </row>
    <row r="1215">
      <c r="A1215" s="4">
        <v>45534.331181643516</v>
      </c>
      <c r="B1215" s="5" t="s">
        <v>19</v>
      </c>
      <c r="C1215" s="5" t="s">
        <v>292</v>
      </c>
      <c r="E1215" s="5" t="s">
        <v>10290</v>
      </c>
      <c r="F1215" s="5" t="s">
        <v>37</v>
      </c>
      <c r="G1215" s="5" t="s">
        <v>10291</v>
      </c>
      <c r="H1215" s="6" t="s">
        <v>10292</v>
      </c>
      <c r="I1215" s="7" t="s">
        <v>10293</v>
      </c>
      <c r="J1215" s="8" t="str">
        <f>HYPERLINK("https://drive.google.com/file/d/1tvMyousjWUZvu2PAtmLsV-lJdCPfUO6T/view?usp=drivesdk","ADINDA RIZKI PURNAMA SARI  SERTIFIKAT BerAKHLAK")</f>
        <v>ADINDA RIZKI PURNAMA SARI  SERTIFIKAT BerAKHLAK</v>
      </c>
      <c r="K1215" s="5" t="s">
        <v>9565</v>
      </c>
      <c r="L1215" s="5" t="s">
        <v>10294</v>
      </c>
    </row>
    <row r="1216">
      <c r="A1216" s="4">
        <v>45534.331210902776</v>
      </c>
      <c r="B1216" s="5" t="s">
        <v>34</v>
      </c>
      <c r="D1216" s="5" t="s">
        <v>10297</v>
      </c>
      <c r="E1216" s="5" t="s">
        <v>10298</v>
      </c>
      <c r="F1216" s="5" t="s">
        <v>108</v>
      </c>
      <c r="G1216" s="5" t="s">
        <v>10299</v>
      </c>
      <c r="H1216" s="6" t="s">
        <v>10300</v>
      </c>
      <c r="I1216" s="7" t="s">
        <v>10301</v>
      </c>
      <c r="J1216" s="8" t="str">
        <f>HYPERLINK("https://drive.google.com/file/d/1_ChzoeYdzU4Cvn2FSCNYoh-aBYSIv-ih/view?usp=drivesdk","HAERANI HASAN SERTIFIKAT BerAKHLAK")</f>
        <v>HAERANI HASAN SERTIFIKAT BerAKHLAK</v>
      </c>
      <c r="K1216" s="5" t="s">
        <v>9565</v>
      </c>
      <c r="L1216" s="5" t="s">
        <v>10302</v>
      </c>
    </row>
    <row r="1217">
      <c r="A1217" s="4">
        <v>45534.33122908565</v>
      </c>
      <c r="B1217" s="5" t="s">
        <v>34</v>
      </c>
      <c r="D1217" s="5" t="s">
        <v>1206</v>
      </c>
      <c r="E1217" s="5" t="s">
        <v>10306</v>
      </c>
      <c r="F1217" s="5" t="s">
        <v>212</v>
      </c>
      <c r="G1217" s="5" t="s">
        <v>10307</v>
      </c>
      <c r="H1217" s="6" t="s">
        <v>10308</v>
      </c>
      <c r="I1217" s="7" t="s">
        <v>10309</v>
      </c>
      <c r="J1217" s="8" t="str">
        <f>HYPERLINK("https://drive.google.com/file/d/1ToPbcE5qQK_ohmAcge9alEPZq3hIC9xM/view?usp=drivesdk","NINIS WULANDARI SERTIFIKAT BerAKHLAK")</f>
        <v>NINIS WULANDARI SERTIFIKAT BerAKHLAK</v>
      </c>
      <c r="K1217" s="5" t="s">
        <v>9565</v>
      </c>
      <c r="L1217" s="5" t="s">
        <v>10310</v>
      </c>
    </row>
    <row r="1218">
      <c r="A1218" s="4">
        <v>45534.33123202546</v>
      </c>
      <c r="B1218" s="5" t="s">
        <v>34</v>
      </c>
      <c r="D1218" s="5" t="s">
        <v>1768</v>
      </c>
      <c r="E1218" s="5" t="s">
        <v>10313</v>
      </c>
      <c r="F1218" s="5" t="s">
        <v>37</v>
      </c>
      <c r="G1218" s="5" t="s">
        <v>10314</v>
      </c>
      <c r="H1218" s="6" t="s">
        <v>10315</v>
      </c>
      <c r="I1218" s="7" t="s">
        <v>10316</v>
      </c>
      <c r="J1218" s="8" t="str">
        <f>HYPERLINK("https://drive.google.com/file/d/1IOJUpufs0R0fCR14RMerbM-o_HWQB-gX/view?usp=drivesdk","RACHMADALENA SERTIFIKAT BerAKHLAK")</f>
        <v>RACHMADALENA SERTIFIKAT BerAKHLAK</v>
      </c>
      <c r="K1218" s="5" t="s">
        <v>9565</v>
      </c>
      <c r="L1218" s="5" t="s">
        <v>10317</v>
      </c>
    </row>
    <row r="1219">
      <c r="A1219" s="4">
        <v>45534.33123215278</v>
      </c>
      <c r="B1219" s="5" t="s">
        <v>34</v>
      </c>
      <c r="D1219" s="5" t="s">
        <v>35</v>
      </c>
      <c r="E1219" s="5" t="s">
        <v>10320</v>
      </c>
      <c r="F1219" s="5" t="s">
        <v>108</v>
      </c>
      <c r="G1219" s="5" t="s">
        <v>10321</v>
      </c>
      <c r="H1219" s="6" t="s">
        <v>10322</v>
      </c>
      <c r="K1219" s="5" t="s">
        <v>10323</v>
      </c>
    </row>
    <row r="1220">
      <c r="A1220" s="4">
        <v>45534.331235578706</v>
      </c>
      <c r="B1220" s="5" t="s">
        <v>34</v>
      </c>
      <c r="D1220" s="5" t="s">
        <v>9020</v>
      </c>
      <c r="E1220" s="5" t="s">
        <v>10326</v>
      </c>
      <c r="F1220" s="5" t="s">
        <v>524</v>
      </c>
      <c r="G1220" s="5" t="s">
        <v>10327</v>
      </c>
      <c r="H1220" s="6" t="s">
        <v>10328</v>
      </c>
      <c r="K1220" s="5" t="s">
        <v>10323</v>
      </c>
    </row>
    <row r="1221">
      <c r="A1221" s="4">
        <v>45534.33123732639</v>
      </c>
      <c r="B1221" s="5" t="s">
        <v>34</v>
      </c>
      <c r="D1221" s="5" t="s">
        <v>580</v>
      </c>
      <c r="E1221" s="5" t="s">
        <v>10331</v>
      </c>
      <c r="F1221" s="5" t="s">
        <v>120</v>
      </c>
      <c r="G1221" s="5" t="s">
        <v>10332</v>
      </c>
      <c r="H1221" s="6" t="s">
        <v>10333</v>
      </c>
      <c r="K1221" s="5" t="s">
        <v>10323</v>
      </c>
    </row>
    <row r="1222">
      <c r="A1222" s="4">
        <v>45534.331246875</v>
      </c>
      <c r="B1222" s="5" t="s">
        <v>34</v>
      </c>
      <c r="D1222" s="5" t="s">
        <v>996</v>
      </c>
      <c r="E1222" s="5" t="s">
        <v>10336</v>
      </c>
      <c r="F1222" s="5" t="s">
        <v>212</v>
      </c>
      <c r="G1222" s="5" t="s">
        <v>10337</v>
      </c>
      <c r="H1222" s="6" t="s">
        <v>10338</v>
      </c>
      <c r="K1222" s="5" t="s">
        <v>10323</v>
      </c>
    </row>
    <row r="1223">
      <c r="A1223" s="4">
        <v>45534.33124693287</v>
      </c>
      <c r="B1223" s="5" t="s">
        <v>34</v>
      </c>
      <c r="D1223" s="5" t="s">
        <v>9020</v>
      </c>
      <c r="E1223" s="5" t="s">
        <v>10342</v>
      </c>
      <c r="F1223" s="5" t="s">
        <v>212</v>
      </c>
      <c r="G1223" s="5" t="s">
        <v>10343</v>
      </c>
      <c r="H1223" s="6" t="s">
        <v>10344</v>
      </c>
      <c r="K1223" s="5" t="s">
        <v>10323</v>
      </c>
    </row>
    <row r="1224">
      <c r="A1224" s="4">
        <v>45534.33125296296</v>
      </c>
      <c r="B1224" s="5" t="s">
        <v>34</v>
      </c>
      <c r="D1224" s="5" t="s">
        <v>1206</v>
      </c>
      <c r="E1224" s="5" t="s">
        <v>10347</v>
      </c>
      <c r="F1224" s="5" t="s">
        <v>37</v>
      </c>
      <c r="G1224" s="5" t="s">
        <v>10348</v>
      </c>
      <c r="H1224" s="6" t="s">
        <v>10349</v>
      </c>
      <c r="K1224" s="5" t="s">
        <v>10323</v>
      </c>
    </row>
    <row r="1225">
      <c r="A1225" s="4">
        <v>45534.3312553125</v>
      </c>
      <c r="B1225" s="5" t="s">
        <v>34</v>
      </c>
      <c r="D1225" s="5" t="s">
        <v>4775</v>
      </c>
      <c r="E1225" s="5" t="s">
        <v>10352</v>
      </c>
      <c r="F1225" s="5" t="s">
        <v>108</v>
      </c>
      <c r="G1225" s="5" t="s">
        <v>10353</v>
      </c>
      <c r="H1225" s="6" t="s">
        <v>10354</v>
      </c>
      <c r="K1225" s="5" t="s">
        <v>10323</v>
      </c>
    </row>
    <row r="1226">
      <c r="A1226" s="4">
        <v>45534.331259328705</v>
      </c>
      <c r="B1226" s="5" t="s">
        <v>34</v>
      </c>
      <c r="D1226" s="5" t="s">
        <v>4775</v>
      </c>
      <c r="E1226" s="5" t="s">
        <v>10357</v>
      </c>
      <c r="F1226" s="5" t="s">
        <v>212</v>
      </c>
      <c r="G1226" s="5" t="s">
        <v>10358</v>
      </c>
      <c r="H1226" s="6" t="s">
        <v>10359</v>
      </c>
      <c r="I1226" s="7" t="s">
        <v>10360</v>
      </c>
      <c r="J1226" s="8" t="str">
        <f>HYPERLINK("https://drive.google.com/file/d/1hTOCaq_RO7bINRKW8fjS6ab1Vxa6VkNp/view?usp=drivesdk","APRI DWI MULATO, SE SERTIFIKAT BerAKHLAK")</f>
        <v>APRI DWI MULATO, SE SERTIFIKAT BerAKHLAK</v>
      </c>
      <c r="K1226" s="5" t="s">
        <v>9565</v>
      </c>
      <c r="L1226" s="5" t="s">
        <v>10361</v>
      </c>
    </row>
    <row r="1227">
      <c r="A1227" s="4">
        <v>45534.331266168985</v>
      </c>
      <c r="B1227" s="5" t="s">
        <v>34</v>
      </c>
      <c r="D1227" s="5" t="s">
        <v>4775</v>
      </c>
      <c r="E1227" s="5" t="s">
        <v>10364</v>
      </c>
      <c r="F1227" s="5" t="s">
        <v>37</v>
      </c>
      <c r="G1227" s="5" t="s">
        <v>10365</v>
      </c>
      <c r="H1227" s="6" t="s">
        <v>10366</v>
      </c>
      <c r="I1227" s="7" t="s">
        <v>10367</v>
      </c>
      <c r="J1227" s="8" t="str">
        <f>HYPERLINK("https://drive.google.com/file/d/1xbEPY4HfqT_N7iN32qReEHhqfylp_7ws/view?usp=drivesdk","ARIS SANTIKO, S. E.  SERTIFIKAT BerAKHLAK")</f>
        <v>ARIS SANTIKO, S. E.  SERTIFIKAT BerAKHLAK</v>
      </c>
      <c r="K1227" s="5" t="s">
        <v>9565</v>
      </c>
      <c r="L1227" s="5" t="s">
        <v>10368</v>
      </c>
    </row>
    <row r="1228">
      <c r="A1228" s="4">
        <v>45534.331283368054</v>
      </c>
      <c r="B1228" s="5" t="s">
        <v>34</v>
      </c>
      <c r="D1228" s="5" t="s">
        <v>1768</v>
      </c>
      <c r="E1228" s="5" t="s">
        <v>10371</v>
      </c>
      <c r="F1228" s="5" t="s">
        <v>212</v>
      </c>
      <c r="G1228" s="5" t="s">
        <v>10372</v>
      </c>
      <c r="H1228" s="6" t="s">
        <v>10373</v>
      </c>
      <c r="I1228" s="7" t="s">
        <v>10374</v>
      </c>
      <c r="J1228" s="8" t="str">
        <f>HYPERLINK("https://drive.google.com/file/d/1CX5YU7AL_wWSkTBoo1VzRcFshrcxHWKn/view?usp=drivesdk","SULISTIYOWATI SERTIFIKAT BerAKHLAK")</f>
        <v>SULISTIYOWATI SERTIFIKAT BerAKHLAK</v>
      </c>
      <c r="K1228" s="5" t="s">
        <v>9565</v>
      </c>
      <c r="L1228" s="5" t="s">
        <v>10375</v>
      </c>
    </row>
    <row r="1229">
      <c r="A1229" s="4">
        <v>45534.33129607639</v>
      </c>
      <c r="B1229" s="5" t="s">
        <v>34</v>
      </c>
      <c r="D1229" s="5" t="s">
        <v>35</v>
      </c>
      <c r="E1229" s="5" t="s">
        <v>10379</v>
      </c>
      <c r="F1229" s="5" t="s">
        <v>108</v>
      </c>
      <c r="G1229" s="5" t="s">
        <v>10380</v>
      </c>
      <c r="H1229" s="6" t="s">
        <v>10381</v>
      </c>
      <c r="K1229" s="5" t="s">
        <v>10382</v>
      </c>
    </row>
    <row r="1230">
      <c r="A1230" s="4">
        <v>45534.33130293981</v>
      </c>
      <c r="B1230" s="5" t="s">
        <v>34</v>
      </c>
      <c r="D1230" s="5" t="s">
        <v>4775</v>
      </c>
      <c r="E1230" s="5" t="s">
        <v>10385</v>
      </c>
      <c r="F1230" s="5" t="s">
        <v>72</v>
      </c>
      <c r="G1230" s="5" t="s">
        <v>10386</v>
      </c>
      <c r="H1230" s="6" t="s">
        <v>10387</v>
      </c>
      <c r="K1230" s="5" t="s">
        <v>10382</v>
      </c>
    </row>
    <row r="1231">
      <c r="A1231" s="4">
        <v>45534.33130355324</v>
      </c>
      <c r="B1231" s="5" t="s">
        <v>34</v>
      </c>
      <c r="D1231" s="5" t="s">
        <v>1768</v>
      </c>
      <c r="E1231" s="5" t="s">
        <v>10390</v>
      </c>
      <c r="F1231" s="5" t="s">
        <v>375</v>
      </c>
      <c r="G1231" s="5" t="s">
        <v>10391</v>
      </c>
      <c r="H1231" s="6" t="s">
        <v>10392</v>
      </c>
      <c r="K1231" s="5" t="s">
        <v>10382</v>
      </c>
    </row>
    <row r="1232">
      <c r="A1232" s="4">
        <v>45534.331307291664</v>
      </c>
      <c r="B1232" s="5" t="s">
        <v>34</v>
      </c>
      <c r="D1232" s="5" t="s">
        <v>1768</v>
      </c>
      <c r="E1232" s="5" t="s">
        <v>10395</v>
      </c>
      <c r="F1232" s="5" t="s">
        <v>37</v>
      </c>
      <c r="G1232" s="5" t="s">
        <v>10396</v>
      </c>
      <c r="H1232" s="6" t="s">
        <v>10397</v>
      </c>
      <c r="K1232" s="5" t="s">
        <v>10382</v>
      </c>
    </row>
    <row r="1233">
      <c r="A1233" s="4">
        <v>45534.33133945602</v>
      </c>
      <c r="B1233" s="5" t="s">
        <v>19</v>
      </c>
      <c r="C1233" s="5" t="s">
        <v>20</v>
      </c>
      <c r="E1233" s="5" t="s">
        <v>10400</v>
      </c>
      <c r="F1233" s="5" t="s">
        <v>120</v>
      </c>
      <c r="G1233" s="5" t="s">
        <v>10401</v>
      </c>
      <c r="H1233" s="6" t="s">
        <v>10402</v>
      </c>
      <c r="K1233" s="5" t="s">
        <v>10382</v>
      </c>
    </row>
    <row r="1234">
      <c r="A1234" s="4">
        <v>45534.33134635417</v>
      </c>
      <c r="B1234" s="5" t="s">
        <v>34</v>
      </c>
      <c r="D1234" s="5" t="s">
        <v>4775</v>
      </c>
      <c r="E1234" s="5" t="s">
        <v>10406</v>
      </c>
      <c r="F1234" s="5" t="s">
        <v>37</v>
      </c>
      <c r="G1234" s="5" t="s">
        <v>10407</v>
      </c>
      <c r="H1234" s="6" t="s">
        <v>10408</v>
      </c>
      <c r="K1234" s="5" t="s">
        <v>10382</v>
      </c>
    </row>
    <row r="1235">
      <c r="A1235" s="4">
        <v>45534.331362997684</v>
      </c>
      <c r="B1235" s="5" t="s">
        <v>34</v>
      </c>
      <c r="D1235" s="5" t="s">
        <v>4775</v>
      </c>
      <c r="E1235" s="5" t="s">
        <v>10412</v>
      </c>
      <c r="F1235" s="5" t="s">
        <v>212</v>
      </c>
      <c r="G1235" s="5" t="s">
        <v>10413</v>
      </c>
      <c r="H1235" s="6" t="s">
        <v>10414</v>
      </c>
      <c r="K1235" s="5" t="s">
        <v>10382</v>
      </c>
    </row>
    <row r="1236">
      <c r="A1236" s="4">
        <v>45534.331365405094</v>
      </c>
      <c r="B1236" s="5" t="s">
        <v>19</v>
      </c>
      <c r="C1236" s="5" t="s">
        <v>10418</v>
      </c>
      <c r="E1236" s="5" t="s">
        <v>10419</v>
      </c>
      <c r="F1236" s="5" t="s">
        <v>375</v>
      </c>
      <c r="G1236" s="5" t="s">
        <v>10420</v>
      </c>
      <c r="H1236" s="6" t="s">
        <v>10421</v>
      </c>
      <c r="K1236" s="5" t="s">
        <v>10382</v>
      </c>
    </row>
    <row r="1237">
      <c r="A1237" s="4">
        <v>45534.33138068287</v>
      </c>
      <c r="B1237" s="5" t="s">
        <v>34</v>
      </c>
      <c r="D1237" s="5" t="s">
        <v>1456</v>
      </c>
      <c r="E1237" s="5" t="s">
        <v>10424</v>
      </c>
      <c r="F1237" s="5" t="s">
        <v>37</v>
      </c>
      <c r="G1237" s="5" t="s">
        <v>10425</v>
      </c>
      <c r="H1237" s="6" t="s">
        <v>10426</v>
      </c>
      <c r="K1237" s="5" t="s">
        <v>10382</v>
      </c>
    </row>
    <row r="1238">
      <c r="A1238" s="4">
        <v>45534.33139277778</v>
      </c>
      <c r="B1238" s="5" t="s">
        <v>34</v>
      </c>
      <c r="D1238" s="5" t="s">
        <v>1206</v>
      </c>
      <c r="E1238" s="5" t="s">
        <v>10429</v>
      </c>
      <c r="F1238" s="5" t="s">
        <v>37</v>
      </c>
      <c r="G1238" s="5" t="s">
        <v>10430</v>
      </c>
      <c r="H1238" s="6" t="s">
        <v>10431</v>
      </c>
      <c r="I1238" s="7" t="s">
        <v>10432</v>
      </c>
      <c r="J1238" s="8" t="str">
        <f>HYPERLINK("https://drive.google.com/file/d/1kypLBlj1LphGfnarDBgyJgFDee29BCKc/view?usp=drivesdk","ANDRI YULIANTO SERTIFIKAT BerAKHLAK")</f>
        <v>ANDRI YULIANTO SERTIFIKAT BerAKHLAK</v>
      </c>
      <c r="K1238" s="5" t="s">
        <v>9565</v>
      </c>
      <c r="L1238" s="5" t="s">
        <v>10433</v>
      </c>
    </row>
    <row r="1239">
      <c r="A1239" s="4">
        <v>45534.331427592595</v>
      </c>
      <c r="B1239" s="5" t="s">
        <v>34</v>
      </c>
      <c r="D1239" s="5" t="s">
        <v>280</v>
      </c>
      <c r="E1239" s="5" t="s">
        <v>10436</v>
      </c>
      <c r="F1239" s="5" t="s">
        <v>37</v>
      </c>
      <c r="G1239" s="5" t="s">
        <v>10437</v>
      </c>
      <c r="H1239" s="6" t="s">
        <v>10438</v>
      </c>
      <c r="I1239" s="7" t="s">
        <v>10439</v>
      </c>
      <c r="J1239" s="8" t="str">
        <f>HYPERLINK("https://drive.google.com/file/d/10YyjfkcY55US6LM16sBP-erJ0dUxehWO/view?usp=drivesdk","JUNILA AFRIANTI SERTIFIKAT BerAKHLAK")</f>
        <v>JUNILA AFRIANTI SERTIFIKAT BerAKHLAK</v>
      </c>
      <c r="K1239" s="5" t="s">
        <v>10440</v>
      </c>
      <c r="L1239" s="5" t="s">
        <v>10441</v>
      </c>
    </row>
    <row r="1240">
      <c r="A1240" s="4">
        <v>45534.33144740741</v>
      </c>
      <c r="B1240" s="5" t="s">
        <v>34</v>
      </c>
      <c r="D1240" s="5" t="s">
        <v>10444</v>
      </c>
      <c r="E1240" s="5" t="s">
        <v>10445</v>
      </c>
      <c r="F1240" s="5" t="s">
        <v>524</v>
      </c>
      <c r="G1240" s="5" t="s">
        <v>10446</v>
      </c>
      <c r="H1240" s="6" t="s">
        <v>10447</v>
      </c>
      <c r="I1240" s="7" t="s">
        <v>10448</v>
      </c>
      <c r="J1240" s="8" t="str">
        <f>HYPERLINK("https://drive.google.com/file/d/1LsIbLJKyQjbz33BpbfqanXGRnG_rRloH/view?usp=drivesdk","SUSI INDRASARI SERTIFIKAT BerAKHLAK")</f>
        <v>SUSI INDRASARI SERTIFIKAT BerAKHLAK</v>
      </c>
      <c r="K1240" s="5" t="s">
        <v>10440</v>
      </c>
      <c r="L1240" s="5" t="s">
        <v>10449</v>
      </c>
    </row>
    <row r="1241">
      <c r="A1241" s="4">
        <v>45534.33145817129</v>
      </c>
      <c r="B1241" s="5" t="s">
        <v>34</v>
      </c>
      <c r="D1241" s="5" t="s">
        <v>35</v>
      </c>
      <c r="E1241" s="5" t="s">
        <v>10453</v>
      </c>
      <c r="F1241" s="5" t="s">
        <v>37</v>
      </c>
      <c r="G1241" s="5" t="s">
        <v>10454</v>
      </c>
      <c r="H1241" s="6" t="s">
        <v>10455</v>
      </c>
      <c r="I1241" s="7" t="s">
        <v>10456</v>
      </c>
      <c r="J1241" s="8" t="str">
        <f>HYPERLINK("https://drive.google.com/file/d/1ORzj0J65ZHLJevfs8XG44ZVjNLolGNwI/view?usp=drivesdk","ETTI KURNIATI SERTIFIKAT BerAKHLAK")</f>
        <v>ETTI KURNIATI SERTIFIKAT BerAKHLAK</v>
      </c>
      <c r="K1241" s="5" t="s">
        <v>10440</v>
      </c>
      <c r="L1241" s="5" t="s">
        <v>10457</v>
      </c>
    </row>
    <row r="1242">
      <c r="A1242" s="4">
        <v>45534.33146644676</v>
      </c>
      <c r="B1242" s="5" t="s">
        <v>34</v>
      </c>
      <c r="D1242" s="5" t="s">
        <v>996</v>
      </c>
      <c r="E1242" s="5" t="s">
        <v>10460</v>
      </c>
      <c r="F1242" s="5" t="s">
        <v>375</v>
      </c>
      <c r="G1242" s="5" t="s">
        <v>10461</v>
      </c>
      <c r="H1242" s="6" t="s">
        <v>10462</v>
      </c>
      <c r="I1242" s="7" t="s">
        <v>10463</v>
      </c>
      <c r="J1242" s="8" t="str">
        <f>HYPERLINK("https://drive.google.com/file/d/1bC5g2F3Uv7I5cx27tPE55B4HCDwh_Rr8/view?usp=drivesdk","YULIUS CAHYO ARIESTIAWAN, S.KOM, MM SERTIFIKAT BerAKHLAK")</f>
        <v>YULIUS CAHYO ARIESTIAWAN, S.KOM, MM SERTIFIKAT BerAKHLAK</v>
      </c>
      <c r="K1242" s="5" t="s">
        <v>10464</v>
      </c>
      <c r="L1242" s="5" t="s">
        <v>10465</v>
      </c>
    </row>
    <row r="1243">
      <c r="A1243" s="4">
        <v>45534.33145951389</v>
      </c>
      <c r="B1243" s="5" t="s">
        <v>34</v>
      </c>
      <c r="D1243" s="5" t="s">
        <v>4775</v>
      </c>
      <c r="E1243" s="5" t="s">
        <v>10468</v>
      </c>
      <c r="F1243" s="5" t="s">
        <v>120</v>
      </c>
      <c r="G1243" s="5" t="s">
        <v>10469</v>
      </c>
      <c r="H1243" s="6" t="s">
        <v>10470</v>
      </c>
      <c r="I1243" s="7" t="s">
        <v>10471</v>
      </c>
      <c r="J1243" s="8" t="str">
        <f>HYPERLINK("https://drive.google.com/file/d/1-OcpNQbcy_d7ZJdX1ao55sgWTwuvSQvM/view?usp=drivesdk","EKO FERY PRASETYO ,S.Si SERTIFIKAT BerAKHLAK")</f>
        <v>EKO FERY PRASETYO ,S.Si SERTIFIKAT BerAKHLAK</v>
      </c>
      <c r="K1243" s="5" t="s">
        <v>10464</v>
      </c>
      <c r="L1243" s="5" t="s">
        <v>10472</v>
      </c>
    </row>
    <row r="1244">
      <c r="A1244" s="4">
        <v>45534.331467905096</v>
      </c>
      <c r="B1244" s="5" t="s">
        <v>34</v>
      </c>
      <c r="D1244" s="5" t="s">
        <v>1206</v>
      </c>
      <c r="E1244" s="5" t="s">
        <v>10475</v>
      </c>
      <c r="F1244" s="5" t="s">
        <v>37</v>
      </c>
      <c r="G1244" s="5" t="s">
        <v>10476</v>
      </c>
      <c r="H1244" s="6" t="s">
        <v>10477</v>
      </c>
      <c r="I1244" s="7" t="s">
        <v>10478</v>
      </c>
      <c r="J1244" s="8" t="str">
        <f>HYPERLINK("https://drive.google.com/file/d/1XoS2pCuFhasHYK7UE05TViaRlzo-SJPh/view?usp=drivesdk","SUNDARI ANITYASARI SERTIFIKAT BerAKHLAK")</f>
        <v>SUNDARI ANITYASARI SERTIFIKAT BerAKHLAK</v>
      </c>
      <c r="K1244" s="5" t="s">
        <v>10464</v>
      </c>
      <c r="L1244" s="5" t="s">
        <v>10479</v>
      </c>
    </row>
    <row r="1245">
      <c r="A1245" s="4">
        <v>45534.33147055555</v>
      </c>
      <c r="B1245" s="5" t="s">
        <v>34</v>
      </c>
      <c r="D1245" s="5" t="s">
        <v>35</v>
      </c>
      <c r="E1245" s="5" t="s">
        <v>10482</v>
      </c>
      <c r="F1245" s="5" t="s">
        <v>212</v>
      </c>
      <c r="G1245" s="5" t="s">
        <v>10483</v>
      </c>
      <c r="H1245" s="6" t="s">
        <v>10484</v>
      </c>
      <c r="I1245" s="7" t="s">
        <v>10485</v>
      </c>
      <c r="J1245" s="8" t="str">
        <f>HYPERLINK("https://drive.google.com/file/d/1Rqo5arnhaqekea9PBXcPtAedz2tMHOZL/view?usp=drivesdk","URKES UJANG KHOLIK SAG SERTIFIKAT BerAKHLAK")</f>
        <v>URKES UJANG KHOLIK SAG SERTIFIKAT BerAKHLAK</v>
      </c>
      <c r="K1245" s="5" t="s">
        <v>10486</v>
      </c>
      <c r="L1245" s="5" t="s">
        <v>10487</v>
      </c>
    </row>
    <row r="1246">
      <c r="A1246" s="4">
        <v>45534.33148005787</v>
      </c>
      <c r="B1246" s="5" t="s">
        <v>34</v>
      </c>
      <c r="D1246" s="5" t="s">
        <v>1206</v>
      </c>
      <c r="E1246" s="5" t="s">
        <v>10490</v>
      </c>
      <c r="F1246" s="5" t="s">
        <v>212</v>
      </c>
      <c r="G1246" s="5" t="s">
        <v>10491</v>
      </c>
      <c r="H1246" s="6" t="s">
        <v>10492</v>
      </c>
      <c r="K1246" s="5" t="s">
        <v>10493</v>
      </c>
    </row>
    <row r="1247">
      <c r="A1247" s="4">
        <v>45534.33149200231</v>
      </c>
      <c r="B1247" s="5" t="s">
        <v>34</v>
      </c>
      <c r="D1247" s="5" t="s">
        <v>1206</v>
      </c>
      <c r="E1247" s="5" t="s">
        <v>10497</v>
      </c>
      <c r="F1247" s="5" t="s">
        <v>375</v>
      </c>
      <c r="G1247" s="5" t="s">
        <v>10498</v>
      </c>
      <c r="H1247" s="6" t="s">
        <v>10499</v>
      </c>
      <c r="K1247" s="5" t="s">
        <v>10493</v>
      </c>
    </row>
    <row r="1248">
      <c r="A1248" s="4">
        <v>45534.33153711805</v>
      </c>
      <c r="B1248" s="5" t="s">
        <v>34</v>
      </c>
      <c r="D1248" s="5" t="s">
        <v>6232</v>
      </c>
      <c r="E1248" s="5" t="s">
        <v>10502</v>
      </c>
      <c r="F1248" s="5" t="s">
        <v>375</v>
      </c>
      <c r="G1248" s="5" t="s">
        <v>10503</v>
      </c>
      <c r="H1248" s="6" t="s">
        <v>10504</v>
      </c>
      <c r="K1248" s="5" t="s">
        <v>10505</v>
      </c>
    </row>
    <row r="1249">
      <c r="A1249" s="4">
        <v>45534.33154355324</v>
      </c>
      <c r="B1249" s="5" t="s">
        <v>34</v>
      </c>
      <c r="D1249" s="5" t="s">
        <v>2903</v>
      </c>
      <c r="E1249" s="5" t="s">
        <v>10508</v>
      </c>
      <c r="F1249" s="5" t="s">
        <v>715</v>
      </c>
      <c r="G1249" s="5" t="s">
        <v>10509</v>
      </c>
      <c r="H1249" s="6" t="s">
        <v>10510</v>
      </c>
      <c r="K1249" s="5" t="s">
        <v>10505</v>
      </c>
    </row>
    <row r="1250">
      <c r="A1250" s="4">
        <v>45534.33154353009</v>
      </c>
      <c r="B1250" s="5" t="s">
        <v>34</v>
      </c>
      <c r="D1250" s="5" t="s">
        <v>35</v>
      </c>
      <c r="E1250" s="5" t="s">
        <v>10513</v>
      </c>
      <c r="F1250" s="5" t="s">
        <v>524</v>
      </c>
      <c r="G1250" s="5" t="s">
        <v>10514</v>
      </c>
      <c r="H1250" s="6" t="s">
        <v>10515</v>
      </c>
      <c r="K1250" s="5" t="s">
        <v>10505</v>
      </c>
    </row>
    <row r="1251">
      <c r="A1251" s="4">
        <v>45534.33155884259</v>
      </c>
      <c r="B1251" s="5" t="s">
        <v>34</v>
      </c>
      <c r="D1251" s="5" t="s">
        <v>4775</v>
      </c>
      <c r="E1251" s="5" t="s">
        <v>10518</v>
      </c>
      <c r="F1251" s="5" t="s">
        <v>37</v>
      </c>
      <c r="G1251" s="5" t="s">
        <v>10519</v>
      </c>
      <c r="H1251" s="6" t="s">
        <v>10520</v>
      </c>
      <c r="K1251" s="5" t="s">
        <v>10505</v>
      </c>
    </row>
    <row r="1252">
      <c r="A1252" s="4">
        <v>45534.33156679398</v>
      </c>
      <c r="B1252" s="5" t="s">
        <v>34</v>
      </c>
      <c r="D1252" s="5" t="s">
        <v>4775</v>
      </c>
      <c r="E1252" s="5" t="s">
        <v>10523</v>
      </c>
      <c r="F1252" s="5" t="s">
        <v>212</v>
      </c>
      <c r="G1252" s="5" t="s">
        <v>10524</v>
      </c>
      <c r="H1252" s="6" t="s">
        <v>10525</v>
      </c>
      <c r="K1252" s="5" t="s">
        <v>10505</v>
      </c>
    </row>
    <row r="1253">
      <c r="A1253" s="4">
        <v>45534.331572083334</v>
      </c>
      <c r="B1253" s="5" t="s">
        <v>34</v>
      </c>
      <c r="D1253" s="5" t="s">
        <v>35</v>
      </c>
      <c r="E1253" s="5" t="s">
        <v>10529</v>
      </c>
      <c r="F1253" s="5" t="s">
        <v>37</v>
      </c>
      <c r="G1253" s="5" t="s">
        <v>10530</v>
      </c>
      <c r="H1253" s="6" t="s">
        <v>10531</v>
      </c>
      <c r="K1253" s="5" t="s">
        <v>10505</v>
      </c>
    </row>
    <row r="1254">
      <c r="A1254" s="4">
        <v>45534.33159826389</v>
      </c>
      <c r="B1254" s="5" t="s">
        <v>34</v>
      </c>
      <c r="D1254" s="5" t="s">
        <v>35</v>
      </c>
      <c r="E1254" s="5" t="s">
        <v>10534</v>
      </c>
      <c r="F1254" s="5" t="s">
        <v>212</v>
      </c>
      <c r="G1254" s="5" t="s">
        <v>10535</v>
      </c>
      <c r="H1254" s="6" t="s">
        <v>10536</v>
      </c>
      <c r="K1254" s="5" t="s">
        <v>10505</v>
      </c>
    </row>
    <row r="1255">
      <c r="A1255" s="4">
        <v>45534.33160810186</v>
      </c>
      <c r="B1255" s="5" t="s">
        <v>19</v>
      </c>
      <c r="C1255" s="5" t="s">
        <v>466</v>
      </c>
      <c r="E1255" s="5" t="s">
        <v>10539</v>
      </c>
      <c r="F1255" s="5" t="s">
        <v>72</v>
      </c>
      <c r="G1255" s="5" t="s">
        <v>10540</v>
      </c>
      <c r="H1255" s="6" t="s">
        <v>10541</v>
      </c>
      <c r="K1255" s="5" t="s">
        <v>10505</v>
      </c>
    </row>
    <row r="1256">
      <c r="A1256" s="4">
        <v>45534.33161113426</v>
      </c>
      <c r="B1256" s="5" t="s">
        <v>34</v>
      </c>
      <c r="D1256" s="5" t="s">
        <v>35</v>
      </c>
      <c r="E1256" s="5" t="s">
        <v>10544</v>
      </c>
      <c r="F1256" s="5" t="s">
        <v>72</v>
      </c>
      <c r="G1256" s="5" t="s">
        <v>10545</v>
      </c>
      <c r="H1256" s="6" t="s">
        <v>10546</v>
      </c>
      <c r="K1256" s="5" t="s">
        <v>10505</v>
      </c>
    </row>
    <row r="1257">
      <c r="A1257" s="4">
        <v>45534.33161954861</v>
      </c>
      <c r="B1257" s="5" t="s">
        <v>34</v>
      </c>
      <c r="D1257" s="5" t="s">
        <v>35</v>
      </c>
      <c r="E1257" s="5" t="s">
        <v>10549</v>
      </c>
      <c r="F1257" s="5" t="s">
        <v>72</v>
      </c>
      <c r="G1257" s="5" t="s">
        <v>10550</v>
      </c>
      <c r="H1257" s="6" t="s">
        <v>10551</v>
      </c>
      <c r="K1257" s="5" t="s">
        <v>10505</v>
      </c>
    </row>
    <row r="1258">
      <c r="A1258" s="4">
        <v>45534.331622349535</v>
      </c>
      <c r="B1258" s="5" t="s">
        <v>34</v>
      </c>
      <c r="D1258" s="5" t="s">
        <v>267</v>
      </c>
      <c r="E1258" s="5" t="s">
        <v>10555</v>
      </c>
      <c r="F1258" s="5" t="s">
        <v>108</v>
      </c>
      <c r="G1258" s="5" t="s">
        <v>10556</v>
      </c>
      <c r="H1258" s="6" t="s">
        <v>10557</v>
      </c>
      <c r="K1258" s="5" t="s">
        <v>10505</v>
      </c>
    </row>
    <row r="1259">
      <c r="A1259" s="4">
        <v>45534.33162920139</v>
      </c>
      <c r="B1259" s="5" t="s">
        <v>34</v>
      </c>
      <c r="D1259" s="5" t="s">
        <v>35</v>
      </c>
      <c r="E1259" s="5" t="s">
        <v>10560</v>
      </c>
      <c r="F1259" s="5" t="s">
        <v>212</v>
      </c>
      <c r="G1259" s="5" t="s">
        <v>10561</v>
      </c>
      <c r="H1259" s="6" t="s">
        <v>10562</v>
      </c>
      <c r="K1259" s="5" t="s">
        <v>10505</v>
      </c>
    </row>
    <row r="1260">
      <c r="A1260" s="4">
        <v>45534.33163159722</v>
      </c>
      <c r="B1260" s="5" t="s">
        <v>34</v>
      </c>
      <c r="D1260" s="5" t="s">
        <v>1206</v>
      </c>
      <c r="E1260" s="5" t="s">
        <v>10565</v>
      </c>
      <c r="F1260" s="5" t="s">
        <v>212</v>
      </c>
      <c r="G1260" s="5" t="s">
        <v>10566</v>
      </c>
      <c r="H1260" s="6" t="s">
        <v>10567</v>
      </c>
      <c r="K1260" s="5" t="s">
        <v>10505</v>
      </c>
    </row>
    <row r="1261">
      <c r="A1261" s="4">
        <v>45534.33164224537</v>
      </c>
      <c r="B1261" s="5" t="s">
        <v>34</v>
      </c>
      <c r="D1261" s="5" t="s">
        <v>4775</v>
      </c>
      <c r="E1261" s="5" t="s">
        <v>10570</v>
      </c>
      <c r="F1261" s="5" t="s">
        <v>375</v>
      </c>
      <c r="G1261" s="5" t="s">
        <v>10571</v>
      </c>
      <c r="H1261" s="6" t="s">
        <v>10572</v>
      </c>
      <c r="K1261" s="5" t="s">
        <v>10505</v>
      </c>
    </row>
    <row r="1262">
      <c r="A1262" s="4">
        <v>45534.33164722222</v>
      </c>
      <c r="B1262" s="5" t="s">
        <v>19</v>
      </c>
      <c r="C1262" s="5" t="s">
        <v>292</v>
      </c>
      <c r="E1262" s="5" t="s">
        <v>10575</v>
      </c>
      <c r="F1262" s="5" t="s">
        <v>72</v>
      </c>
      <c r="G1262" s="5" t="s">
        <v>10576</v>
      </c>
      <c r="H1262" s="6" t="s">
        <v>10577</v>
      </c>
      <c r="K1262" s="5" t="s">
        <v>10505</v>
      </c>
    </row>
    <row r="1263">
      <c r="A1263" s="4">
        <v>45534.33166166667</v>
      </c>
      <c r="B1263" s="5" t="s">
        <v>34</v>
      </c>
      <c r="D1263" s="5" t="s">
        <v>1206</v>
      </c>
      <c r="E1263" s="5" t="s">
        <v>10581</v>
      </c>
      <c r="F1263" s="5" t="s">
        <v>72</v>
      </c>
      <c r="G1263" s="5" t="s">
        <v>10582</v>
      </c>
      <c r="H1263" s="6" t="s">
        <v>10583</v>
      </c>
      <c r="K1263" s="5" t="s">
        <v>10584</v>
      </c>
    </row>
    <row r="1264">
      <c r="A1264" s="4">
        <v>45534.33167885417</v>
      </c>
      <c r="B1264" s="5" t="s">
        <v>34</v>
      </c>
      <c r="D1264" s="5" t="s">
        <v>4775</v>
      </c>
      <c r="E1264" s="5" t="s">
        <v>10587</v>
      </c>
      <c r="F1264" s="5" t="s">
        <v>72</v>
      </c>
      <c r="G1264" s="5" t="s">
        <v>10588</v>
      </c>
      <c r="H1264" s="6" t="s">
        <v>10589</v>
      </c>
      <c r="K1264" s="5" t="s">
        <v>10590</v>
      </c>
    </row>
    <row r="1265">
      <c r="A1265" s="4">
        <v>45534.33169140047</v>
      </c>
      <c r="B1265" s="5" t="s">
        <v>34</v>
      </c>
      <c r="D1265" s="5" t="s">
        <v>580</v>
      </c>
      <c r="E1265" s="5" t="s">
        <v>10593</v>
      </c>
      <c r="F1265" s="5" t="s">
        <v>212</v>
      </c>
      <c r="G1265" s="5" t="s">
        <v>10594</v>
      </c>
      <c r="H1265" s="6" t="s">
        <v>10595</v>
      </c>
      <c r="I1265" s="7" t="s">
        <v>10596</v>
      </c>
      <c r="J1265" s="8" t="str">
        <f>HYPERLINK("https://drive.google.com/file/d/1qaX2cBcJoAnzQmZYtbF0fCZC21PRhaoJ/view?usp=drivesdk","NI NYOMAN WAHYUNINGSIH SERTIFIKAT BerAKHLAK")</f>
        <v>NI NYOMAN WAHYUNINGSIH SERTIFIKAT BerAKHLAK</v>
      </c>
      <c r="K1265" s="5" t="s">
        <v>9565</v>
      </c>
      <c r="L1265" s="5" t="s">
        <v>10597</v>
      </c>
    </row>
    <row r="1266">
      <c r="A1266" s="4">
        <v>45534.331696863424</v>
      </c>
      <c r="B1266" s="5" t="s">
        <v>34</v>
      </c>
      <c r="D1266" s="5" t="s">
        <v>9020</v>
      </c>
      <c r="E1266" s="5" t="s">
        <v>10600</v>
      </c>
      <c r="F1266" s="5" t="s">
        <v>37</v>
      </c>
      <c r="G1266" s="5" t="s">
        <v>10601</v>
      </c>
      <c r="H1266" s="6" t="s">
        <v>10602</v>
      </c>
      <c r="I1266" s="7" t="s">
        <v>10603</v>
      </c>
      <c r="J1266" s="8" t="str">
        <f>HYPERLINK("https://drive.google.com/file/d/15U_1Yzc9_h2y9JGv_fhTUYxSmHfi1MZ7/view?usp=drivesdk","WAHIDIN MALAU SERTIFIKAT BerAKHLAK")</f>
        <v>WAHIDIN MALAU SERTIFIKAT BerAKHLAK</v>
      </c>
      <c r="K1266" s="5" t="s">
        <v>10440</v>
      </c>
      <c r="L1266" s="5" t="s">
        <v>10604</v>
      </c>
    </row>
    <row r="1267">
      <c r="A1267" s="4">
        <v>45534.33169892361</v>
      </c>
      <c r="B1267" s="5" t="s">
        <v>34</v>
      </c>
      <c r="D1267" s="5" t="s">
        <v>4775</v>
      </c>
      <c r="E1267" s="5" t="s">
        <v>10607</v>
      </c>
      <c r="F1267" s="5" t="s">
        <v>524</v>
      </c>
      <c r="G1267" s="5" t="s">
        <v>10608</v>
      </c>
      <c r="H1267" s="6" t="s">
        <v>10609</v>
      </c>
      <c r="I1267" s="7" t="s">
        <v>10610</v>
      </c>
      <c r="J1267" s="8" t="str">
        <f>HYPERLINK("https://drive.google.com/file/d/1jBsHtG5DaKcmgJ9roCZiyJQTR4lsTe2V/view?usp=drivesdk","WIWIK SUNARNI,S.H SERTIFIKAT BerAKHLAK")</f>
        <v>WIWIK SUNARNI,S.H SERTIFIKAT BerAKHLAK</v>
      </c>
      <c r="K1267" s="5" t="s">
        <v>10440</v>
      </c>
      <c r="L1267" s="5" t="s">
        <v>10611</v>
      </c>
    </row>
    <row r="1268">
      <c r="A1268" s="4">
        <v>45534.331706192126</v>
      </c>
      <c r="B1268" s="5" t="s">
        <v>34</v>
      </c>
      <c r="D1268" s="5" t="s">
        <v>35</v>
      </c>
      <c r="E1268" s="5" t="s">
        <v>10615</v>
      </c>
      <c r="F1268" s="5" t="s">
        <v>120</v>
      </c>
      <c r="G1268" s="5" t="s">
        <v>10616</v>
      </c>
      <c r="H1268" s="6" t="s">
        <v>10617</v>
      </c>
      <c r="I1268" s="7" t="s">
        <v>10618</v>
      </c>
      <c r="J1268" s="8" t="str">
        <f>HYPERLINK("https://drive.google.com/file/d/16rfsZYJ2XulPBQYroGN6XbORvg3fPm7h/view?usp=drivesdk","LINDA DIANOVITA SH MH SERTIFIKAT BerAKHLAK")</f>
        <v>LINDA DIANOVITA SH MH SERTIFIKAT BerAKHLAK</v>
      </c>
      <c r="K1268" s="5" t="s">
        <v>10440</v>
      </c>
      <c r="L1268" s="5" t="s">
        <v>10619</v>
      </c>
    </row>
    <row r="1269">
      <c r="A1269" s="4">
        <v>45534.33170751158</v>
      </c>
      <c r="B1269" s="5" t="s">
        <v>34</v>
      </c>
      <c r="D1269" s="5" t="s">
        <v>267</v>
      </c>
      <c r="E1269" s="5" t="s">
        <v>10622</v>
      </c>
      <c r="F1269" s="5" t="s">
        <v>72</v>
      </c>
      <c r="G1269" s="5" t="s">
        <v>10623</v>
      </c>
      <c r="H1269" s="6" t="s">
        <v>10624</v>
      </c>
      <c r="I1269" s="7" t="s">
        <v>10625</v>
      </c>
      <c r="J1269" s="8" t="str">
        <f>HYPERLINK("https://drive.google.com/file/d/1yOOZgPfuL7oJSSqKf7DUD-x-n3fJjkEr/view?usp=drivesdk","NATALIA FITRIANA WAHYU SEJATI SERTIFIKAT BerAKHLAK")</f>
        <v>NATALIA FITRIANA WAHYU SEJATI SERTIFIKAT BerAKHLAK</v>
      </c>
      <c r="K1269" s="5" t="s">
        <v>10440</v>
      </c>
      <c r="L1269" s="5" t="s">
        <v>10626</v>
      </c>
    </row>
    <row r="1270">
      <c r="A1270" s="4">
        <v>45534.331713645835</v>
      </c>
      <c r="B1270" s="5" t="s">
        <v>34</v>
      </c>
      <c r="D1270" s="5" t="s">
        <v>4775</v>
      </c>
      <c r="E1270" s="5" t="s">
        <v>10629</v>
      </c>
      <c r="F1270" s="5" t="s">
        <v>212</v>
      </c>
      <c r="G1270" s="5" t="s">
        <v>10630</v>
      </c>
      <c r="H1270" s="6" t="s">
        <v>10631</v>
      </c>
      <c r="I1270" s="7" t="s">
        <v>10632</v>
      </c>
      <c r="J1270" s="8" t="str">
        <f>HYPERLINK("https://drive.google.com/file/d/19gBeFxYKWBNzFLzK1H0LmX1-W-5AVpS4/view?usp=drivesdk","ARSHINTA KRISNA KEMALA SERTIFIKAT BerAKHLAK")</f>
        <v>ARSHINTA KRISNA KEMALA SERTIFIKAT BerAKHLAK</v>
      </c>
      <c r="K1270" s="5" t="s">
        <v>9565</v>
      </c>
      <c r="L1270" s="5" t="s">
        <v>10633</v>
      </c>
    </row>
    <row r="1271">
      <c r="A1271" s="4">
        <v>45534.331730034726</v>
      </c>
      <c r="B1271" s="5" t="s">
        <v>34</v>
      </c>
      <c r="D1271" s="5" t="s">
        <v>4775</v>
      </c>
      <c r="E1271" s="5" t="s">
        <v>10636</v>
      </c>
      <c r="F1271" s="5" t="s">
        <v>212</v>
      </c>
      <c r="G1271" s="5" t="s">
        <v>10637</v>
      </c>
      <c r="H1271" s="6" t="s">
        <v>10638</v>
      </c>
      <c r="I1271" s="7" t="s">
        <v>10639</v>
      </c>
      <c r="J1271" s="8" t="str">
        <f>HYPERLINK("https://drive.google.com/file/d/1nMi10gADhybKRe0ZU-NCvKKl5-6lxnmy/view?usp=drivesdk","SISWANTO AHLI MADYA SERTIFIKAT BerAKHLAK")</f>
        <v>SISWANTO AHLI MADYA SERTIFIKAT BerAKHLAK</v>
      </c>
      <c r="K1271" s="5" t="s">
        <v>10440</v>
      </c>
      <c r="L1271" s="5" t="s">
        <v>10640</v>
      </c>
    </row>
    <row r="1272">
      <c r="A1272" s="4">
        <v>45534.331737858796</v>
      </c>
      <c r="B1272" s="5" t="s">
        <v>34</v>
      </c>
      <c r="D1272" s="5" t="s">
        <v>1768</v>
      </c>
      <c r="E1272" s="5" t="s">
        <v>10643</v>
      </c>
      <c r="F1272" s="5" t="s">
        <v>37</v>
      </c>
      <c r="G1272" s="5" t="s">
        <v>10644</v>
      </c>
      <c r="H1272" s="6" t="s">
        <v>10645</v>
      </c>
      <c r="I1272" s="7" t="s">
        <v>10646</v>
      </c>
      <c r="J1272" s="8" t="str">
        <f>HYPERLINK("https://drive.google.com/file/d/1XK-4BlvgVRDiPhH_jbvtyomBy7Vhtqz4/view?usp=drivesdk","PENGATUR URI DING SERTIFIKAT BerAKHLAK")</f>
        <v>PENGATUR URI DING SERTIFIKAT BerAKHLAK</v>
      </c>
      <c r="K1272" s="5" t="s">
        <v>10440</v>
      </c>
      <c r="L1272" s="5" t="s">
        <v>10647</v>
      </c>
    </row>
    <row r="1273">
      <c r="A1273" s="4">
        <v>45534.33175490741</v>
      </c>
      <c r="B1273" s="5" t="s">
        <v>34</v>
      </c>
      <c r="D1273" s="5" t="s">
        <v>9020</v>
      </c>
      <c r="E1273" s="5" t="s">
        <v>10650</v>
      </c>
      <c r="F1273" s="5" t="s">
        <v>375</v>
      </c>
      <c r="G1273" s="5" t="s">
        <v>10651</v>
      </c>
      <c r="H1273" s="6" t="s">
        <v>10652</v>
      </c>
      <c r="I1273" s="7" t="s">
        <v>10653</v>
      </c>
      <c r="J1273" s="8" t="str">
        <f>HYPERLINK("https://drive.google.com/file/d/1EqJKVUFkQf028AcmBh6hYUcHFjTaOn6d/view?usp=drivesdk","ANITA BR SEMBIRING, S.KOM SERTIFIKAT BerAKHLAK")</f>
        <v>ANITA BR SEMBIRING, S.KOM SERTIFIKAT BerAKHLAK</v>
      </c>
      <c r="K1273" s="5" t="s">
        <v>9565</v>
      </c>
      <c r="L1273" s="5" t="s">
        <v>10654</v>
      </c>
    </row>
    <row r="1274">
      <c r="A1274" s="4">
        <v>45534.331763298615</v>
      </c>
      <c r="B1274" s="5" t="s">
        <v>34</v>
      </c>
      <c r="D1274" s="5" t="s">
        <v>4775</v>
      </c>
      <c r="E1274" s="5" t="s">
        <v>10658</v>
      </c>
      <c r="F1274" s="5" t="s">
        <v>120</v>
      </c>
      <c r="G1274" s="5" t="s">
        <v>10659</v>
      </c>
      <c r="H1274" s="6" t="s">
        <v>10660</v>
      </c>
      <c r="I1274" s="7" t="s">
        <v>10661</v>
      </c>
      <c r="J1274" s="8" t="str">
        <f>HYPERLINK("https://drive.google.com/file/d/1xzgWMUOsiVgv4H6x8QfL7H5tCBdWRRDZ/view?usp=drivesdk","ELLY PRASTIMI S.Sos.,M.Si SERTIFIKAT BerAKHLAK")</f>
        <v>ELLY PRASTIMI S.Sos.,M.Si SERTIFIKAT BerAKHLAK</v>
      </c>
      <c r="K1274" s="5" t="s">
        <v>10440</v>
      </c>
      <c r="L1274" s="5" t="s">
        <v>10662</v>
      </c>
    </row>
    <row r="1275">
      <c r="A1275" s="4">
        <v>45534.3317841088</v>
      </c>
      <c r="B1275" s="5" t="s">
        <v>34</v>
      </c>
      <c r="D1275" s="5" t="s">
        <v>1206</v>
      </c>
      <c r="E1275" s="5" t="s">
        <v>10665</v>
      </c>
      <c r="F1275" s="5" t="s">
        <v>212</v>
      </c>
      <c r="G1275" s="5" t="s">
        <v>10666</v>
      </c>
      <c r="H1275" s="6" t="s">
        <v>10667</v>
      </c>
      <c r="I1275" s="7" t="s">
        <v>10668</v>
      </c>
      <c r="J1275" s="8" t="str">
        <f>HYPERLINK("https://drive.google.com/file/d/1tgjqZfTPqzpmkcnG1V2SEAXVFDrF5wBe/view?usp=drivesdk","PENGATUR I SUPATMI SERTIFIKAT BerAKHLAK")</f>
        <v>PENGATUR I SUPATMI SERTIFIKAT BerAKHLAK</v>
      </c>
      <c r="K1275" s="5" t="s">
        <v>9565</v>
      </c>
      <c r="L1275" s="5" t="s">
        <v>10669</v>
      </c>
    </row>
    <row r="1276">
      <c r="A1276" s="4">
        <v>45534.33178666666</v>
      </c>
      <c r="B1276" s="5" t="s">
        <v>34</v>
      </c>
      <c r="D1276" s="5" t="s">
        <v>280</v>
      </c>
      <c r="E1276" s="5" t="s">
        <v>10672</v>
      </c>
      <c r="F1276" s="5" t="s">
        <v>37</v>
      </c>
      <c r="G1276" s="5" t="s">
        <v>10673</v>
      </c>
      <c r="H1276" s="6" t="s">
        <v>10674</v>
      </c>
      <c r="I1276" s="7" t="s">
        <v>10675</v>
      </c>
      <c r="J1276" s="8" t="str">
        <f>HYPERLINK("https://drive.google.com/file/d/1AhMOp5YirgUU67oTyep1IX8lp99PhUKZ/view?usp=drivesdk","OLANI HARIANJA, S.E. SERTIFIKAT BerAKHLAK")</f>
        <v>OLANI HARIANJA, S.E. SERTIFIKAT BerAKHLAK</v>
      </c>
      <c r="K1276" s="5" t="s">
        <v>10440</v>
      </c>
      <c r="L1276" s="5" t="s">
        <v>10676</v>
      </c>
    </row>
    <row r="1277">
      <c r="A1277" s="4">
        <v>45534.33181498843</v>
      </c>
      <c r="B1277" s="5" t="s">
        <v>34</v>
      </c>
      <c r="D1277" s="5" t="s">
        <v>9020</v>
      </c>
      <c r="E1277" s="5" t="s">
        <v>10679</v>
      </c>
      <c r="F1277" s="5" t="s">
        <v>72</v>
      </c>
      <c r="G1277" s="5" t="s">
        <v>10680</v>
      </c>
      <c r="H1277" s="6" t="s">
        <v>10681</v>
      </c>
      <c r="I1277" s="7" t="s">
        <v>10682</v>
      </c>
      <c r="J1277" s="8" t="str">
        <f>HYPERLINK("https://drive.google.com/file/d/1REjId97O7_Rvx6DhBC-D08VtFPYJ5AZr/view?usp=drivesdk","AINAL MARDIAH,S.E. SERTIFIKAT BerAKHLAK")</f>
        <v>AINAL MARDIAH,S.E. SERTIFIKAT BerAKHLAK</v>
      </c>
      <c r="K1277" s="5" t="s">
        <v>10440</v>
      </c>
      <c r="L1277" s="5" t="s">
        <v>10683</v>
      </c>
    </row>
    <row r="1278">
      <c r="A1278" s="4">
        <v>45534.33185520834</v>
      </c>
      <c r="B1278" s="5" t="s">
        <v>34</v>
      </c>
      <c r="D1278" s="5" t="s">
        <v>1206</v>
      </c>
      <c r="E1278" s="5" t="s">
        <v>10686</v>
      </c>
      <c r="F1278" s="5" t="s">
        <v>212</v>
      </c>
      <c r="G1278" s="5" t="s">
        <v>10687</v>
      </c>
      <c r="H1278" s="6" t="s">
        <v>10688</v>
      </c>
      <c r="I1278" s="7" t="s">
        <v>10689</v>
      </c>
      <c r="J1278" s="8" t="str">
        <f>HYPERLINK("https://drive.google.com/file/d/1vF13La2OpUeuvrz63mURjtst-Ax2mGoc/view?usp=drivesdk","SITTI HALIFAH, S. H.  SERTIFIKAT BerAKHLAK")</f>
        <v>SITTI HALIFAH, S. H.  SERTIFIKAT BerAKHLAK</v>
      </c>
      <c r="K1278" s="5" t="s">
        <v>10440</v>
      </c>
      <c r="L1278" s="5" t="s">
        <v>10690</v>
      </c>
    </row>
    <row r="1279">
      <c r="A1279" s="4">
        <v>45534.331868587964</v>
      </c>
      <c r="B1279" s="5" t="s">
        <v>34</v>
      </c>
      <c r="D1279" s="5" t="s">
        <v>35</v>
      </c>
      <c r="E1279" s="5" t="s">
        <v>10694</v>
      </c>
      <c r="F1279" s="5" t="s">
        <v>212</v>
      </c>
      <c r="G1279" s="5" t="s">
        <v>10695</v>
      </c>
      <c r="H1279" s="6" t="s">
        <v>10696</v>
      </c>
      <c r="I1279" s="7" t="s">
        <v>10697</v>
      </c>
      <c r="J1279" s="8" t="str">
        <f>HYPERLINK("https://drive.google.com/file/d/1KjlPxnz_ALpYWANCg_nUxkM6zDskeTJ0/view?usp=drivesdk","NENENG JUNENGSIH SERTIFIKAT BerAKHLAK")</f>
        <v>NENENG JUNENGSIH SERTIFIKAT BerAKHLAK</v>
      </c>
      <c r="K1279" s="5" t="s">
        <v>10440</v>
      </c>
      <c r="L1279" s="5" t="s">
        <v>10698</v>
      </c>
    </row>
    <row r="1280">
      <c r="A1280" s="4">
        <v>45534.33187679398</v>
      </c>
      <c r="B1280" s="5" t="s">
        <v>34</v>
      </c>
      <c r="D1280" s="5" t="s">
        <v>35</v>
      </c>
      <c r="E1280" s="5" t="s">
        <v>10701</v>
      </c>
      <c r="F1280" s="5" t="s">
        <v>375</v>
      </c>
      <c r="G1280" s="5" t="s">
        <v>10702</v>
      </c>
      <c r="H1280" s="6" t="s">
        <v>10703</v>
      </c>
      <c r="I1280" s="7" t="s">
        <v>10704</v>
      </c>
      <c r="J1280" s="8" t="str">
        <f>HYPERLINK("https://drive.google.com/file/d/1D5MqWCM_C5_7mjl_mqQC7e4JtNDKFsdx/view?usp=drivesdk","ANI SUPRIANINGSIH, ST SERTIFIKAT BerAKHLAK")</f>
        <v>ANI SUPRIANINGSIH, ST SERTIFIKAT BerAKHLAK</v>
      </c>
      <c r="K1280" s="5" t="s">
        <v>10440</v>
      </c>
      <c r="L1280" s="5" t="s">
        <v>10705</v>
      </c>
    </row>
    <row r="1281">
      <c r="A1281" s="4">
        <v>45534.331881087965</v>
      </c>
      <c r="B1281" s="5" t="s">
        <v>19</v>
      </c>
      <c r="C1281" s="5" t="s">
        <v>3471</v>
      </c>
      <c r="E1281" s="5" t="s">
        <v>10708</v>
      </c>
      <c r="F1281" s="5" t="s">
        <v>120</v>
      </c>
      <c r="G1281" s="5" t="s">
        <v>10709</v>
      </c>
      <c r="H1281" s="6" t="s">
        <v>10710</v>
      </c>
      <c r="I1281" s="7" t="s">
        <v>10711</v>
      </c>
      <c r="J1281" s="8" t="str">
        <f>HYPERLINK("https://drive.google.com/file/d/1dZ5Hz0ecxtVXQZoplJ_z4Hf_ffQm-FvK/view?usp=drivesdk","IRAWAN BUDI PRASETYO SERTIFIKAT BerAKHLAK")</f>
        <v>IRAWAN BUDI PRASETYO SERTIFIKAT BerAKHLAK</v>
      </c>
      <c r="K1281" s="5" t="s">
        <v>10440</v>
      </c>
      <c r="L1281" s="5" t="s">
        <v>10712</v>
      </c>
    </row>
    <row r="1282">
      <c r="A1282" s="4">
        <v>45534.33188890046</v>
      </c>
      <c r="B1282" s="5" t="s">
        <v>34</v>
      </c>
      <c r="D1282" s="5" t="s">
        <v>4775</v>
      </c>
      <c r="E1282" s="5" t="s">
        <v>10715</v>
      </c>
      <c r="F1282" s="5" t="s">
        <v>212</v>
      </c>
      <c r="G1282" s="5" t="s">
        <v>10716</v>
      </c>
      <c r="H1282" s="6" t="s">
        <v>10717</v>
      </c>
      <c r="I1282" s="7" t="s">
        <v>10718</v>
      </c>
      <c r="J1282" s="8" t="str">
        <f>HYPERLINK("https://drive.google.com/file/d/1kq7VZhJ6rvYB7fUUWNjaf8VWmJwtTCrA/view?usp=drivesdk","ANIL KISTIAWAN  SERTIFIKAT BerAKHLAK")</f>
        <v>ANIL KISTIAWAN  SERTIFIKAT BerAKHLAK</v>
      </c>
      <c r="K1282" s="5" t="s">
        <v>10440</v>
      </c>
      <c r="L1282" s="5" t="s">
        <v>10719</v>
      </c>
    </row>
    <row r="1283">
      <c r="A1283" s="4">
        <v>45534.33189076389</v>
      </c>
      <c r="B1283" s="5" t="s">
        <v>34</v>
      </c>
      <c r="D1283" s="5" t="s">
        <v>1206</v>
      </c>
      <c r="E1283" s="5" t="s">
        <v>10722</v>
      </c>
      <c r="F1283" s="5" t="s">
        <v>375</v>
      </c>
      <c r="G1283" s="5" t="s">
        <v>10723</v>
      </c>
      <c r="H1283" s="6" t="s">
        <v>10724</v>
      </c>
      <c r="I1283" s="7" t="s">
        <v>10725</v>
      </c>
      <c r="J1283" s="8" t="str">
        <f>HYPERLINK("https://drive.google.com/file/d/1YkxciKx1IOLggdllLXYThnMKjlN26lhc/view?usp=drivesdk","EKA FAJAR ANGGRAINI,ST SERTIFIKAT BerAKHLAK")</f>
        <v>EKA FAJAR ANGGRAINI,ST SERTIFIKAT BerAKHLAK</v>
      </c>
      <c r="K1283" s="5" t="s">
        <v>10440</v>
      </c>
      <c r="L1283" s="5" t="s">
        <v>10726</v>
      </c>
    </row>
    <row r="1284">
      <c r="A1284" s="4">
        <v>45534.33189097222</v>
      </c>
      <c r="B1284" s="5" t="s">
        <v>34</v>
      </c>
      <c r="D1284" s="5" t="s">
        <v>2903</v>
      </c>
      <c r="E1284" s="5" t="s">
        <v>10729</v>
      </c>
      <c r="F1284" s="5" t="s">
        <v>120</v>
      </c>
      <c r="G1284" s="5" t="s">
        <v>10730</v>
      </c>
      <c r="H1284" s="6" t="s">
        <v>10731</v>
      </c>
      <c r="I1284" s="7" t="s">
        <v>10732</v>
      </c>
      <c r="J1284" s="8" t="str">
        <f>HYPERLINK("https://drive.google.com/file/d/1ELmFtwAp-CO71Y1HWxdTwgbvaG3vGaoS/view?usp=drivesdk","ABU HASAN, SAG MH SERTIFIKAT BerAKHLAK")</f>
        <v>ABU HASAN, SAG MH SERTIFIKAT BerAKHLAK</v>
      </c>
      <c r="K1284" s="5" t="s">
        <v>10440</v>
      </c>
      <c r="L1284" s="5" t="s">
        <v>10733</v>
      </c>
    </row>
    <row r="1285">
      <c r="A1285" s="4">
        <v>45534.3318991088</v>
      </c>
      <c r="B1285" s="5" t="s">
        <v>19</v>
      </c>
      <c r="C1285" s="5" t="s">
        <v>5058</v>
      </c>
      <c r="E1285" s="5" t="s">
        <v>10737</v>
      </c>
      <c r="F1285" s="5" t="s">
        <v>375</v>
      </c>
      <c r="G1285" s="5" t="s">
        <v>10738</v>
      </c>
      <c r="H1285" s="6" t="s">
        <v>10739</v>
      </c>
      <c r="I1285" s="7" t="s">
        <v>10740</v>
      </c>
      <c r="J1285" s="8" t="str">
        <f>HYPERLINK("https://drive.google.com/file/d/1nJxGxHr0I-LoBR95Jc-ly9etSH0z3BpB/view?usp=drivesdk","FITRI KUSUMADEWI. S.E. M.M. SERTIFIKAT BerAKHLAK")</f>
        <v>FITRI KUSUMADEWI. S.E. M.M. SERTIFIKAT BerAKHLAK</v>
      </c>
      <c r="K1285" s="5" t="s">
        <v>10440</v>
      </c>
      <c r="L1285" s="5" t="s">
        <v>10741</v>
      </c>
    </row>
    <row r="1286">
      <c r="A1286" s="4">
        <v>45534.33190337963</v>
      </c>
      <c r="B1286" s="5" t="s">
        <v>34</v>
      </c>
      <c r="D1286" s="5" t="s">
        <v>35</v>
      </c>
      <c r="E1286" s="5" t="s">
        <v>10744</v>
      </c>
      <c r="F1286" s="5" t="s">
        <v>212</v>
      </c>
      <c r="G1286" s="5" t="s">
        <v>10745</v>
      </c>
      <c r="H1286" s="6" t="s">
        <v>10746</v>
      </c>
      <c r="I1286" s="7" t="s">
        <v>10747</v>
      </c>
      <c r="J1286" s="8" t="str">
        <f>HYPERLINK("https://drive.google.com/file/d/1iJ00Y-ucuPMudiL0B4IpaltTY3us0jF-/view?usp=drivesdk","RANTY SUDHARWANTY SERTIFIKAT BerAKHLAK")</f>
        <v>RANTY SUDHARWANTY SERTIFIKAT BerAKHLAK</v>
      </c>
      <c r="K1286" s="5" t="s">
        <v>10464</v>
      </c>
      <c r="L1286" s="5" t="s">
        <v>10748</v>
      </c>
    </row>
    <row r="1287">
      <c r="A1287" s="4">
        <v>45534.33195069444</v>
      </c>
      <c r="B1287" s="5" t="s">
        <v>34</v>
      </c>
      <c r="D1287" s="5" t="s">
        <v>1206</v>
      </c>
      <c r="E1287" s="5" t="s">
        <v>10751</v>
      </c>
      <c r="F1287" s="5" t="s">
        <v>524</v>
      </c>
      <c r="G1287" s="5" t="s">
        <v>10752</v>
      </c>
      <c r="H1287" s="6" t="s">
        <v>10753</v>
      </c>
      <c r="I1287" s="7" t="s">
        <v>10754</v>
      </c>
      <c r="J1287" s="8" t="str">
        <f>HYPERLINK("https://drive.google.com/file/d/1IhBqqXsUWd_LZyRl9L8QCgsPnvpPreKV/view?usp=drivesdk","PENATA MUDA SUNARDI, S.H. SERTIFIKAT BerAKHLAK")</f>
        <v>PENATA MUDA SUNARDI, S.H. SERTIFIKAT BerAKHLAK</v>
      </c>
      <c r="K1287" s="5" t="s">
        <v>10440</v>
      </c>
      <c r="L1287" s="5" t="s">
        <v>10755</v>
      </c>
    </row>
    <row r="1288">
      <c r="A1288" s="4">
        <v>45534.33195753473</v>
      </c>
      <c r="B1288" s="5" t="s">
        <v>34</v>
      </c>
      <c r="D1288" s="5" t="s">
        <v>9394</v>
      </c>
      <c r="E1288" s="5" t="s">
        <v>10758</v>
      </c>
      <c r="F1288" s="5" t="s">
        <v>37</v>
      </c>
      <c r="G1288" s="5" t="s">
        <v>10759</v>
      </c>
      <c r="H1288" s="6" t="s">
        <v>10760</v>
      </c>
      <c r="I1288" s="7" t="s">
        <v>10761</v>
      </c>
      <c r="J1288" s="8" t="str">
        <f>HYPERLINK("https://drive.google.com/file/d/1pN6mlG_z7rrzK5X02kfALhB4xhWhv9Sf/view?usp=drivesdk","PENGATUR IDA SUSANTI SERTIFIKAT BerAKHLAK")</f>
        <v>PENGATUR IDA SUSANTI SERTIFIKAT BerAKHLAK</v>
      </c>
      <c r="K1288" s="5" t="s">
        <v>10440</v>
      </c>
      <c r="L1288" s="5" t="s">
        <v>10762</v>
      </c>
    </row>
    <row r="1289">
      <c r="A1289" s="4">
        <v>45534.331963969904</v>
      </c>
      <c r="B1289" s="5" t="s">
        <v>34</v>
      </c>
      <c r="D1289" s="5" t="s">
        <v>1206</v>
      </c>
      <c r="E1289" s="5" t="s">
        <v>10766</v>
      </c>
      <c r="F1289" s="5" t="s">
        <v>108</v>
      </c>
      <c r="G1289" s="5" t="s">
        <v>10767</v>
      </c>
      <c r="H1289" s="6" t="s">
        <v>10768</v>
      </c>
      <c r="I1289" s="7" t="s">
        <v>10769</v>
      </c>
      <c r="J1289" s="8" t="str">
        <f>HYPERLINK("https://drive.google.com/file/d/1Ub1HXo1I27sjgf16cz99QfgvomeJWC97/view?usp=drivesdk","RINI INDRAWATI SERTIFIKAT BerAKHLAK")</f>
        <v>RINI INDRAWATI SERTIFIKAT BerAKHLAK</v>
      </c>
      <c r="K1289" s="5" t="s">
        <v>10464</v>
      </c>
      <c r="L1289" s="5" t="s">
        <v>10770</v>
      </c>
    </row>
    <row r="1290">
      <c r="A1290" s="4">
        <v>45534.33196952546</v>
      </c>
      <c r="B1290" s="5" t="s">
        <v>34</v>
      </c>
      <c r="D1290" s="5" t="s">
        <v>4775</v>
      </c>
      <c r="E1290" s="5" t="s">
        <v>10773</v>
      </c>
      <c r="F1290" s="5" t="s">
        <v>72</v>
      </c>
      <c r="G1290" s="5" t="s">
        <v>10774</v>
      </c>
      <c r="H1290" s="6" t="s">
        <v>10775</v>
      </c>
      <c r="I1290" s="7" t="s">
        <v>10776</v>
      </c>
      <c r="J1290" s="8" t="str">
        <f>HYPERLINK("https://drive.google.com/file/d/1t3ZT1BTl-Wma1JGzb3b04695OBPL4_td/view?usp=drivesdk","KIPTIYAH ARIYANI  SERTIFIKAT BerAKHLAK")</f>
        <v>KIPTIYAH ARIYANI  SERTIFIKAT BerAKHLAK</v>
      </c>
      <c r="K1290" s="5" t="s">
        <v>10440</v>
      </c>
      <c r="L1290" s="5" t="s">
        <v>10777</v>
      </c>
    </row>
    <row r="1291">
      <c r="A1291" s="4">
        <v>45534.33197971065</v>
      </c>
      <c r="B1291" s="5" t="s">
        <v>34</v>
      </c>
      <c r="D1291" s="5" t="s">
        <v>4775</v>
      </c>
      <c r="E1291" s="5" t="s">
        <v>10780</v>
      </c>
      <c r="F1291" s="5" t="s">
        <v>375</v>
      </c>
      <c r="G1291" s="5" t="s">
        <v>10781</v>
      </c>
      <c r="H1291" s="6" t="s">
        <v>10782</v>
      </c>
      <c r="I1291" s="7" t="s">
        <v>10783</v>
      </c>
      <c r="J1291" s="8" t="str">
        <f>HYPERLINK("https://drive.google.com/file/d/1zq6wOYfDO1g--oA4nGl2q1aTOo6PRlmP/view?usp=drivesdk","BEJO SUMANTRI, S.E. SERTIFIKAT BerAKHLAK")</f>
        <v>BEJO SUMANTRI, S.E. SERTIFIKAT BerAKHLAK</v>
      </c>
      <c r="K1291" s="5" t="s">
        <v>10440</v>
      </c>
      <c r="L1291" s="5" t="s">
        <v>10784</v>
      </c>
    </row>
    <row r="1292">
      <c r="A1292" s="4">
        <v>45534.33199762732</v>
      </c>
      <c r="B1292" s="5" t="s">
        <v>34</v>
      </c>
      <c r="D1292" s="5" t="s">
        <v>10444</v>
      </c>
      <c r="E1292" s="5" t="s">
        <v>10787</v>
      </c>
      <c r="F1292" s="5" t="s">
        <v>212</v>
      </c>
      <c r="G1292" s="5" t="s">
        <v>10788</v>
      </c>
      <c r="H1292" s="6" t="s">
        <v>10789</v>
      </c>
      <c r="I1292" s="7" t="s">
        <v>10790</v>
      </c>
      <c r="J1292" s="8" t="str">
        <f>HYPERLINK("https://drive.google.com/file/d/1YX1GUYlsxaqWQEjw8pW47iyM0zwnCDln/view?usp=drivesdk","TETTY YUNIAWATI  SERTIFIKAT BerAKHLAK")</f>
        <v>TETTY YUNIAWATI  SERTIFIKAT BerAKHLAK</v>
      </c>
      <c r="K1292" s="5" t="s">
        <v>10440</v>
      </c>
      <c r="L1292" s="5" t="s">
        <v>10791</v>
      </c>
    </row>
    <row r="1293">
      <c r="A1293" s="4">
        <v>45534.331999131944</v>
      </c>
      <c r="B1293" s="5" t="s">
        <v>34</v>
      </c>
      <c r="D1293" s="5" t="s">
        <v>4775</v>
      </c>
      <c r="E1293" s="5" t="s">
        <v>10794</v>
      </c>
      <c r="F1293" s="5" t="s">
        <v>375</v>
      </c>
      <c r="G1293" s="5" t="s">
        <v>10795</v>
      </c>
      <c r="H1293" s="6" t="s">
        <v>10796</v>
      </c>
      <c r="I1293" s="7" t="s">
        <v>10797</v>
      </c>
      <c r="J1293" s="8" t="str">
        <f>HYPERLINK("https://drive.google.com/file/d/1AFMspwo97KQIZJCalA0pwlHyn6K3V71g/view?usp=drivesdk","IKA WULAN BRURIANI SERTIFIKAT BerAKHLAK")</f>
        <v>IKA WULAN BRURIANI SERTIFIKAT BerAKHLAK</v>
      </c>
      <c r="K1293" s="5" t="s">
        <v>10464</v>
      </c>
      <c r="L1293" s="5" t="s">
        <v>10798</v>
      </c>
    </row>
    <row r="1294">
      <c r="A1294" s="4">
        <v>45534.332010011574</v>
      </c>
      <c r="B1294" s="5" t="s">
        <v>34</v>
      </c>
      <c r="D1294" s="5" t="s">
        <v>1456</v>
      </c>
      <c r="E1294" s="5" t="s">
        <v>10802</v>
      </c>
      <c r="F1294" s="5" t="s">
        <v>37</v>
      </c>
      <c r="G1294" s="5" t="s">
        <v>10803</v>
      </c>
      <c r="H1294" s="6" t="s">
        <v>10804</v>
      </c>
      <c r="I1294" s="7" t="s">
        <v>10805</v>
      </c>
      <c r="J1294" s="8" t="str">
        <f>HYPERLINK("https://drive.google.com/file/d/1wlCXoTEdd1z81vpkwRpQ9jeNolm3hDyz/view?usp=drivesdk","MUHAMMAD JASRUN SERTIFIKAT BerAKHLAK")</f>
        <v>MUHAMMAD JASRUN SERTIFIKAT BerAKHLAK</v>
      </c>
      <c r="K1294" s="5" t="s">
        <v>10440</v>
      </c>
      <c r="L1294" s="5" t="s">
        <v>10806</v>
      </c>
    </row>
    <row r="1295">
      <c r="A1295" s="4">
        <v>45534.33202023148</v>
      </c>
      <c r="B1295" s="5" t="s">
        <v>34</v>
      </c>
      <c r="D1295" s="5" t="s">
        <v>1206</v>
      </c>
      <c r="E1295" s="5" t="s">
        <v>10809</v>
      </c>
      <c r="F1295" s="5" t="s">
        <v>108</v>
      </c>
      <c r="G1295" s="5" t="s">
        <v>10810</v>
      </c>
      <c r="H1295" s="6" t="s">
        <v>10811</v>
      </c>
      <c r="I1295" s="7" t="s">
        <v>10812</v>
      </c>
      <c r="J1295" s="8" t="str">
        <f>HYPERLINK("https://drive.google.com/file/d/1Cxl0-m34LEx0gr40OIsua3kFjxIvNOgs/view?usp=drivesdk","TITA CHOIRUNISA, A.Md SERTIFIKAT BerAKHLAK")</f>
        <v>TITA CHOIRUNISA, A.Md SERTIFIKAT BerAKHLAK</v>
      </c>
      <c r="K1295" s="5" t="s">
        <v>10440</v>
      </c>
      <c r="L1295" s="5" t="s">
        <v>10813</v>
      </c>
    </row>
    <row r="1296">
      <c r="A1296" s="4">
        <v>45534.332020381946</v>
      </c>
      <c r="B1296" s="5" t="s">
        <v>34</v>
      </c>
      <c r="D1296" s="5" t="s">
        <v>4775</v>
      </c>
      <c r="E1296" s="5" t="s">
        <v>10816</v>
      </c>
      <c r="F1296" s="5" t="s">
        <v>72</v>
      </c>
      <c r="G1296" s="5" t="s">
        <v>10817</v>
      </c>
      <c r="H1296" s="6" t="s">
        <v>10818</v>
      </c>
      <c r="I1296" s="7" t="s">
        <v>10819</v>
      </c>
      <c r="J1296" s="8" t="str">
        <f>HYPERLINK("https://drive.google.com/file/d/1w5CikUnhwfCAtMRVg3ZbCEKd9jGE_SeV/view?usp=drivesdk","SURYO INDRATNO RAMADHANI, SE SERTIFIKAT BerAKHLAK")</f>
        <v>SURYO INDRATNO RAMADHANI, SE SERTIFIKAT BerAKHLAK</v>
      </c>
      <c r="K1296" s="5" t="s">
        <v>10440</v>
      </c>
      <c r="L1296" s="5" t="s">
        <v>10820</v>
      </c>
    </row>
    <row r="1297">
      <c r="A1297" s="4">
        <v>45534.33201863426</v>
      </c>
      <c r="B1297" s="5" t="s">
        <v>34</v>
      </c>
      <c r="D1297" s="5" t="s">
        <v>4775</v>
      </c>
      <c r="E1297" s="5" t="s">
        <v>10823</v>
      </c>
      <c r="F1297" s="5" t="s">
        <v>37</v>
      </c>
      <c r="G1297" s="5" t="s">
        <v>10824</v>
      </c>
      <c r="H1297" s="6" t="s">
        <v>10825</v>
      </c>
      <c r="I1297" s="7" t="s">
        <v>10826</v>
      </c>
      <c r="J1297" s="8" t="str">
        <f>HYPERLINK("https://drive.google.com/file/d/1ZsRJbrFqiGVtJkshhujuRyxVUOmVaSfB/view?usp=drivesdk","KRIS SUGIARTI SERTIFIKAT BerAKHLAK")</f>
        <v>KRIS SUGIARTI SERTIFIKAT BerAKHLAK</v>
      </c>
      <c r="K1297" s="5" t="s">
        <v>10440</v>
      </c>
      <c r="L1297" s="5" t="s">
        <v>10827</v>
      </c>
    </row>
    <row r="1298">
      <c r="A1298" s="4">
        <v>45534.332023194445</v>
      </c>
      <c r="B1298" s="5" t="s">
        <v>34</v>
      </c>
      <c r="D1298" s="5" t="s">
        <v>9020</v>
      </c>
      <c r="E1298" s="5" t="s">
        <v>10830</v>
      </c>
      <c r="F1298" s="5" t="s">
        <v>212</v>
      </c>
      <c r="G1298" s="5" t="s">
        <v>10831</v>
      </c>
      <c r="H1298" s="6" t="s">
        <v>10832</v>
      </c>
      <c r="K1298" s="5" t="s">
        <v>10833</v>
      </c>
    </row>
    <row r="1299">
      <c r="A1299" s="4">
        <v>45534.332029826386</v>
      </c>
      <c r="B1299" s="5" t="s">
        <v>34</v>
      </c>
      <c r="D1299" s="5" t="s">
        <v>10444</v>
      </c>
      <c r="E1299" s="5" t="s">
        <v>10836</v>
      </c>
      <c r="F1299" s="5" t="s">
        <v>37</v>
      </c>
      <c r="G1299" s="5" t="s">
        <v>10837</v>
      </c>
      <c r="H1299" s="6" t="s">
        <v>10838</v>
      </c>
      <c r="K1299" s="5" t="s">
        <v>10833</v>
      </c>
    </row>
    <row r="1300">
      <c r="A1300" s="4">
        <v>45534.33204483797</v>
      </c>
      <c r="B1300" s="5" t="s">
        <v>34</v>
      </c>
      <c r="D1300" s="5" t="s">
        <v>580</v>
      </c>
      <c r="E1300" s="5" t="s">
        <v>10842</v>
      </c>
      <c r="F1300" s="5" t="s">
        <v>715</v>
      </c>
      <c r="G1300" s="5" t="s">
        <v>10843</v>
      </c>
      <c r="H1300" s="6" t="s">
        <v>10844</v>
      </c>
      <c r="I1300" s="7" t="s">
        <v>10845</v>
      </c>
      <c r="J1300" s="8" t="str">
        <f>HYPERLINK("https://drive.google.com/file/d/1mItPx_kKdX3Ab46tx0DWYqoqH-q7kXbD/view?usp=drivesdk","NI NYOMAN SUSI YUNIATI S.SOS SERTIFIKAT BerAKHLAK")</f>
        <v>NI NYOMAN SUSI YUNIATI S.SOS SERTIFIKAT BerAKHLAK</v>
      </c>
      <c r="K1300" s="5" t="s">
        <v>10440</v>
      </c>
      <c r="L1300" s="5" t="s">
        <v>10846</v>
      </c>
    </row>
    <row r="1301">
      <c r="A1301" s="4">
        <v>45534.33207038195</v>
      </c>
      <c r="B1301" s="5" t="s">
        <v>34</v>
      </c>
      <c r="D1301" s="5" t="s">
        <v>1206</v>
      </c>
      <c r="E1301" s="5" t="s">
        <v>10849</v>
      </c>
      <c r="F1301" s="5" t="s">
        <v>212</v>
      </c>
      <c r="G1301" s="5" t="s">
        <v>10850</v>
      </c>
      <c r="H1301" s="6" t="s">
        <v>10851</v>
      </c>
      <c r="I1301" s="7" t="s">
        <v>10852</v>
      </c>
      <c r="J1301" s="8" t="str">
        <f>HYPERLINK("https://drive.google.com/file/d/1_u4c2l5TKJnkjHXQ40pC52phceFJtpmy/view?usp=drivesdk","SITI AISIYAH, S.H SERTIFIKAT BerAKHLAK")</f>
        <v>SITI AISIYAH, S.H SERTIFIKAT BerAKHLAK</v>
      </c>
      <c r="K1301" s="5" t="s">
        <v>10440</v>
      </c>
      <c r="L1301" s="5" t="s">
        <v>10853</v>
      </c>
    </row>
    <row r="1302">
      <c r="A1302" s="4">
        <v>45534.33207927083</v>
      </c>
      <c r="B1302" s="5" t="s">
        <v>34</v>
      </c>
      <c r="D1302" s="5" t="s">
        <v>6232</v>
      </c>
      <c r="E1302" s="5" t="s">
        <v>10856</v>
      </c>
      <c r="F1302" s="5" t="s">
        <v>72</v>
      </c>
      <c r="G1302" s="5" t="s">
        <v>10857</v>
      </c>
      <c r="H1302" s="6" t="s">
        <v>10858</v>
      </c>
      <c r="I1302" s="7" t="s">
        <v>10859</v>
      </c>
      <c r="J1302" s="8" t="str">
        <f>HYPERLINK("https://drive.google.com/file/d/1myefv-Drwm_a_-NVqktNmpm6y-QCOg8_/view?usp=drivesdk","HENDRI GUNAWAN, A.MD SERTIFIKAT BerAKHLAK")</f>
        <v>HENDRI GUNAWAN, A.MD SERTIFIKAT BerAKHLAK</v>
      </c>
      <c r="K1302" s="5" t="s">
        <v>10440</v>
      </c>
      <c r="L1302" s="5" t="s">
        <v>10860</v>
      </c>
    </row>
    <row r="1303">
      <c r="A1303" s="4">
        <v>45534.332082974535</v>
      </c>
      <c r="B1303" s="5" t="s">
        <v>34</v>
      </c>
      <c r="D1303" s="5" t="s">
        <v>9020</v>
      </c>
      <c r="E1303" s="5" t="s">
        <v>10863</v>
      </c>
      <c r="F1303" s="5" t="s">
        <v>120</v>
      </c>
      <c r="G1303" s="5" t="s">
        <v>10864</v>
      </c>
      <c r="H1303" s="6" t="s">
        <v>10865</v>
      </c>
      <c r="I1303" s="7" t="s">
        <v>10866</v>
      </c>
      <c r="J1303" s="8" t="str">
        <f>HYPERLINK("https://drive.google.com/file/d/1ej0hSnG6z0KRF0nMrtvGvfrliwhsjc4t/view?usp=drivesdk","MEIRONI PESTA LASMA SARTI RAJAGUKGUK, S.E, M.M SERTIFIKAT BerAKHLAK")</f>
        <v>MEIRONI PESTA LASMA SARTI RAJAGUKGUK, S.E, M.M SERTIFIKAT BerAKHLAK</v>
      </c>
      <c r="K1303" s="5" t="s">
        <v>10464</v>
      </c>
      <c r="L1303" s="5" t="s">
        <v>10867</v>
      </c>
    </row>
    <row r="1304">
      <c r="A1304" s="4">
        <v>45534.33211603009</v>
      </c>
      <c r="B1304" s="5" t="s">
        <v>34</v>
      </c>
      <c r="D1304" s="5" t="s">
        <v>280</v>
      </c>
      <c r="E1304" s="5" t="s">
        <v>10871</v>
      </c>
      <c r="F1304" s="5" t="s">
        <v>715</v>
      </c>
      <c r="G1304" s="5" t="s">
        <v>10872</v>
      </c>
      <c r="H1304" s="6" t="s">
        <v>10873</v>
      </c>
      <c r="I1304" s="7" t="s">
        <v>10874</v>
      </c>
      <c r="J1304" s="8" t="str">
        <f>HYPERLINK("https://drive.google.com/file/d/1VWVyGeB40lv7TLKDPps94s5vsosqWVKl/view?usp=drivesdk","RIDHAANANDA,AMK SERTIFIKAT BerAKHLAK")</f>
        <v>RIDHAANANDA,AMK SERTIFIKAT BerAKHLAK</v>
      </c>
      <c r="K1304" s="5" t="s">
        <v>10440</v>
      </c>
      <c r="L1304" s="5" t="s">
        <v>10875</v>
      </c>
    </row>
    <row r="1305">
      <c r="A1305" s="4">
        <v>45534.33211811342</v>
      </c>
      <c r="B1305" s="5" t="s">
        <v>34</v>
      </c>
      <c r="D1305" s="5" t="s">
        <v>1206</v>
      </c>
      <c r="E1305" s="5" t="s">
        <v>10879</v>
      </c>
      <c r="F1305" s="5" t="s">
        <v>120</v>
      </c>
      <c r="G1305" s="5" t="s">
        <v>10880</v>
      </c>
      <c r="H1305" s="6" t="s">
        <v>10881</v>
      </c>
      <c r="I1305" s="7" t="s">
        <v>10882</v>
      </c>
      <c r="J1305" s="8" t="str">
        <f>HYPERLINK("https://drive.google.com/file/d/1CWch3UYlQ628SbFo1ZmzB5fcOzzvSujf/view?usp=drivesdk","APRIL WINARIJANTO, S.Pd., M.M. SERTIFIKAT BerAKHLAK")</f>
        <v>APRIL WINARIJANTO, S.Pd., M.M. SERTIFIKAT BerAKHLAK</v>
      </c>
      <c r="K1305" s="5" t="s">
        <v>10464</v>
      </c>
      <c r="L1305" s="5" t="s">
        <v>10883</v>
      </c>
    </row>
    <row r="1306">
      <c r="A1306" s="4">
        <v>45534.33212445602</v>
      </c>
      <c r="B1306" s="5" t="s">
        <v>34</v>
      </c>
      <c r="D1306" s="5" t="s">
        <v>4775</v>
      </c>
      <c r="E1306" s="5" t="s">
        <v>10886</v>
      </c>
      <c r="F1306" s="5" t="s">
        <v>212</v>
      </c>
      <c r="G1306" s="5" t="s">
        <v>10887</v>
      </c>
      <c r="H1306" s="6" t="s">
        <v>10888</v>
      </c>
      <c r="I1306" s="7" t="s">
        <v>10889</v>
      </c>
      <c r="J1306" s="8" t="str">
        <f>HYPERLINK("https://drive.google.com/file/d/1OaOYuJ-IGoIQQkbzMri1cUt5FIH9ZAnk/view?usp=drivesdk","ENDIRO PITOYONK SERTIFIKAT BerAKHLAK")</f>
        <v>ENDIRO PITOYONK SERTIFIKAT BerAKHLAK</v>
      </c>
      <c r="K1306" s="5" t="s">
        <v>10464</v>
      </c>
      <c r="L1306" s="5" t="s">
        <v>10890</v>
      </c>
    </row>
    <row r="1307">
      <c r="A1307" s="4">
        <v>45534.332135902776</v>
      </c>
      <c r="B1307" s="5" t="s">
        <v>34</v>
      </c>
      <c r="D1307" s="5" t="s">
        <v>4775</v>
      </c>
      <c r="E1307" s="5" t="s">
        <v>10893</v>
      </c>
      <c r="F1307" s="5" t="s">
        <v>37</v>
      </c>
      <c r="G1307" s="5" t="s">
        <v>10894</v>
      </c>
      <c r="H1307" s="6" t="s">
        <v>10895</v>
      </c>
      <c r="I1307" s="7" t="s">
        <v>10896</v>
      </c>
      <c r="J1307" s="8" t="str">
        <f>HYPERLINK("https://drive.google.com/file/d/1gy5G6XTQAGkVoJHxz4ovKcRkvhLdK0YD/view?usp=drivesdk","ROSARI PURWANINGRUM SERTIFIKAT BerAKHLAK")</f>
        <v>ROSARI PURWANINGRUM SERTIFIKAT BerAKHLAK</v>
      </c>
      <c r="K1307" s="5" t="s">
        <v>10464</v>
      </c>
      <c r="L1307" s="5" t="s">
        <v>10897</v>
      </c>
    </row>
    <row r="1308">
      <c r="A1308" s="4">
        <v>45534.33213810185</v>
      </c>
      <c r="B1308" s="5" t="s">
        <v>34</v>
      </c>
      <c r="D1308" s="5" t="s">
        <v>1692</v>
      </c>
      <c r="E1308" s="5" t="s">
        <v>10900</v>
      </c>
      <c r="F1308" s="5" t="s">
        <v>212</v>
      </c>
      <c r="G1308" s="5" t="s">
        <v>10901</v>
      </c>
      <c r="H1308" s="6" t="s">
        <v>10902</v>
      </c>
      <c r="K1308" s="5" t="s">
        <v>10903</v>
      </c>
    </row>
    <row r="1309">
      <c r="A1309" s="4">
        <v>45534.33214302083</v>
      </c>
      <c r="B1309" s="5" t="s">
        <v>19</v>
      </c>
      <c r="C1309" s="5" t="s">
        <v>292</v>
      </c>
      <c r="E1309" s="5" t="s">
        <v>10907</v>
      </c>
      <c r="F1309" s="5" t="s">
        <v>37</v>
      </c>
      <c r="G1309" s="5" t="s">
        <v>10908</v>
      </c>
      <c r="H1309" s="6" t="s">
        <v>10909</v>
      </c>
      <c r="K1309" s="5" t="s">
        <v>10903</v>
      </c>
    </row>
    <row r="1310">
      <c r="A1310" s="4">
        <v>45534.33214283564</v>
      </c>
      <c r="B1310" s="5" t="s">
        <v>34</v>
      </c>
      <c r="D1310" s="5" t="s">
        <v>10444</v>
      </c>
      <c r="E1310" s="5" t="s">
        <v>10912</v>
      </c>
      <c r="F1310" s="5" t="s">
        <v>72</v>
      </c>
      <c r="G1310" s="5" t="s">
        <v>10913</v>
      </c>
      <c r="H1310" s="6" t="s">
        <v>10914</v>
      </c>
      <c r="K1310" s="5" t="s">
        <v>10903</v>
      </c>
    </row>
    <row r="1311">
      <c r="A1311" s="4">
        <v>45534.3321475</v>
      </c>
      <c r="B1311" s="5" t="s">
        <v>34</v>
      </c>
      <c r="D1311" s="5" t="s">
        <v>1206</v>
      </c>
      <c r="E1311" s="5" t="s">
        <v>10917</v>
      </c>
      <c r="F1311" s="5" t="s">
        <v>37</v>
      </c>
      <c r="G1311" s="5" t="s">
        <v>10918</v>
      </c>
      <c r="H1311" s="6" t="s">
        <v>10919</v>
      </c>
      <c r="K1311" s="5" t="s">
        <v>10903</v>
      </c>
    </row>
    <row r="1312">
      <c r="A1312" s="4">
        <v>45534.33215216435</v>
      </c>
      <c r="B1312" s="5" t="s">
        <v>34</v>
      </c>
      <c r="D1312" s="5" t="s">
        <v>10444</v>
      </c>
      <c r="E1312" s="5" t="s">
        <v>10922</v>
      </c>
      <c r="F1312" s="5" t="s">
        <v>375</v>
      </c>
      <c r="G1312" s="5" t="s">
        <v>10923</v>
      </c>
      <c r="H1312" s="6" t="s">
        <v>10924</v>
      </c>
      <c r="K1312" s="5" t="s">
        <v>10903</v>
      </c>
    </row>
    <row r="1313">
      <c r="A1313" s="4">
        <v>45534.33215646991</v>
      </c>
      <c r="B1313" s="5" t="s">
        <v>34</v>
      </c>
      <c r="D1313" s="5" t="s">
        <v>4775</v>
      </c>
      <c r="E1313" s="5" t="s">
        <v>10927</v>
      </c>
      <c r="F1313" s="5" t="s">
        <v>212</v>
      </c>
      <c r="G1313" s="5" t="s">
        <v>10928</v>
      </c>
      <c r="H1313" s="6" t="s">
        <v>10929</v>
      </c>
      <c r="K1313" s="5" t="s">
        <v>10903</v>
      </c>
    </row>
    <row r="1314">
      <c r="A1314" s="4">
        <v>45534.33217554398</v>
      </c>
      <c r="B1314" s="5" t="s">
        <v>34</v>
      </c>
      <c r="D1314" s="5" t="s">
        <v>1206</v>
      </c>
      <c r="E1314" s="5" t="s">
        <v>10933</v>
      </c>
      <c r="F1314" s="5" t="s">
        <v>212</v>
      </c>
      <c r="G1314" s="5" t="s">
        <v>10934</v>
      </c>
      <c r="H1314" s="6" t="s">
        <v>10935</v>
      </c>
      <c r="I1314" s="7" t="s">
        <v>10936</v>
      </c>
      <c r="J1314" s="8" t="str">
        <f>HYPERLINK("https://drive.google.com/file/d/1iRuFvwT_LizfqULEBcEefSeUn99Rrej_/view?usp=drivesdk","BANGGAWAK SOEDIHARTONO SERTIFIKAT BerAKHLAK")</f>
        <v>BANGGAWAK SOEDIHARTONO SERTIFIKAT BerAKHLAK</v>
      </c>
      <c r="K1314" s="5" t="s">
        <v>10440</v>
      </c>
      <c r="L1314" s="5" t="s">
        <v>10937</v>
      </c>
    </row>
    <row r="1315">
      <c r="A1315" s="4">
        <v>45534.332181192134</v>
      </c>
      <c r="B1315" s="5" t="s">
        <v>34</v>
      </c>
      <c r="D1315" s="5" t="s">
        <v>1768</v>
      </c>
      <c r="E1315" s="5" t="s">
        <v>10940</v>
      </c>
      <c r="F1315" s="5" t="s">
        <v>524</v>
      </c>
      <c r="G1315" s="5" t="s">
        <v>10941</v>
      </c>
      <c r="H1315" s="6" t="s">
        <v>10942</v>
      </c>
      <c r="I1315" s="7" t="s">
        <v>10943</v>
      </c>
      <c r="J1315" s="8" t="str">
        <f>HYPERLINK("https://drive.google.com/file/d/1Q1bxasCliScZ702kV_KrjRt8QS8EI6kS/view?usp=drivesdk","RUSDIANA SIRINGO RINGO SERTIFIKAT BerAKHLAK")</f>
        <v>RUSDIANA SIRINGO RINGO SERTIFIKAT BerAKHLAK</v>
      </c>
      <c r="K1315" s="5" t="s">
        <v>10440</v>
      </c>
      <c r="L1315" s="5" t="s">
        <v>10944</v>
      </c>
    </row>
    <row r="1316">
      <c r="A1316" s="4">
        <v>45534.33218179399</v>
      </c>
      <c r="B1316" s="5" t="s">
        <v>34</v>
      </c>
      <c r="D1316" s="5" t="s">
        <v>10444</v>
      </c>
      <c r="E1316" s="5" t="s">
        <v>10947</v>
      </c>
      <c r="F1316" s="5" t="s">
        <v>524</v>
      </c>
      <c r="G1316" s="5" t="s">
        <v>10948</v>
      </c>
      <c r="H1316" s="6" t="s">
        <v>10949</v>
      </c>
      <c r="I1316" s="7" t="s">
        <v>10950</v>
      </c>
      <c r="J1316" s="8" t="str">
        <f>HYPERLINK("https://drive.google.com/file/d/1RvHZTGkNEPoNpxPWPKGMYlPy7-AUgilQ/view?usp=drivesdk","FATHURACHMAN WIRATAMA, S.H SERTIFIKAT BerAKHLAK")</f>
        <v>FATHURACHMAN WIRATAMA, S.H SERTIFIKAT BerAKHLAK</v>
      </c>
      <c r="K1316" s="5" t="s">
        <v>10464</v>
      </c>
      <c r="L1316" s="5" t="s">
        <v>10951</v>
      </c>
    </row>
    <row r="1317">
      <c r="A1317" s="4">
        <v>45534.332193912036</v>
      </c>
      <c r="B1317" s="5" t="s">
        <v>34</v>
      </c>
      <c r="D1317" s="5" t="s">
        <v>1768</v>
      </c>
      <c r="E1317" s="5" t="s">
        <v>10954</v>
      </c>
      <c r="F1317" s="5" t="s">
        <v>375</v>
      </c>
      <c r="G1317" s="5" t="s">
        <v>10955</v>
      </c>
      <c r="H1317" s="6" t="s">
        <v>10956</v>
      </c>
      <c r="I1317" s="7" t="s">
        <v>10957</v>
      </c>
      <c r="J1317" s="8" t="str">
        <f>HYPERLINK("https://drive.google.com/file/d/1YX-b4PzPM3OJ8puEjwYa9vIbCyQXz4v0/view?usp=drivesdk","SULISTIJOWATI, SE  SERTIFIKAT BerAKHLAK")</f>
        <v>SULISTIJOWATI, SE  SERTIFIKAT BerAKHLAK</v>
      </c>
      <c r="K1317" s="5" t="s">
        <v>10440</v>
      </c>
      <c r="L1317" s="5" t="s">
        <v>10958</v>
      </c>
    </row>
    <row r="1318">
      <c r="A1318" s="4">
        <v>45534.33221699074</v>
      </c>
      <c r="B1318" s="5" t="s">
        <v>34</v>
      </c>
      <c r="D1318" s="5" t="s">
        <v>280</v>
      </c>
      <c r="E1318" s="5" t="s">
        <v>10961</v>
      </c>
      <c r="F1318" s="5" t="s">
        <v>212</v>
      </c>
      <c r="G1318" s="5" t="s">
        <v>10962</v>
      </c>
      <c r="H1318" s="6" t="s">
        <v>10963</v>
      </c>
      <c r="I1318" s="7" t="s">
        <v>10964</v>
      </c>
      <c r="J1318" s="8" t="str">
        <f>HYPERLINK("https://drive.google.com/file/d/1WeDd4iGw62tnzuLmngXtJVABZ2O8c2RF/view?usp=drivesdk","RATUMAS ASMARITA  SERTIFIKAT BerAKHLAK")</f>
        <v>RATUMAS ASMARITA  SERTIFIKAT BerAKHLAK</v>
      </c>
      <c r="K1318" s="5" t="s">
        <v>10464</v>
      </c>
      <c r="L1318" s="5" t="s">
        <v>10965</v>
      </c>
    </row>
    <row r="1319">
      <c r="A1319" s="4">
        <v>45534.332218587966</v>
      </c>
      <c r="B1319" s="5" t="s">
        <v>19</v>
      </c>
      <c r="C1319" s="5" t="s">
        <v>292</v>
      </c>
      <c r="E1319" s="5" t="s">
        <v>10969</v>
      </c>
      <c r="F1319" s="5" t="s">
        <v>375</v>
      </c>
      <c r="G1319" s="5" t="s">
        <v>10970</v>
      </c>
      <c r="H1319" s="6" t="s">
        <v>10971</v>
      </c>
      <c r="K1319" s="5" t="s">
        <v>10972</v>
      </c>
    </row>
    <row r="1320">
      <c r="A1320" s="4">
        <v>45534.332231319444</v>
      </c>
      <c r="B1320" s="5" t="s">
        <v>34</v>
      </c>
      <c r="D1320" s="5" t="s">
        <v>1768</v>
      </c>
      <c r="E1320" s="5" t="s">
        <v>10975</v>
      </c>
      <c r="F1320" s="5" t="s">
        <v>524</v>
      </c>
      <c r="G1320" s="5" t="s">
        <v>10976</v>
      </c>
      <c r="H1320" s="6" t="s">
        <v>10977</v>
      </c>
      <c r="I1320" s="7" t="s">
        <v>10978</v>
      </c>
      <c r="J1320" s="8" t="str">
        <f>HYPERLINK("https://drive.google.com/file/d/1R6hwKRePMOHkkFAQRDyJ8G0nPPsOPZZL/view?usp=drivesdk","ISRAWATI ISHAK SERTIFIKAT BerAKHLAK")</f>
        <v>ISRAWATI ISHAK SERTIFIKAT BerAKHLAK</v>
      </c>
      <c r="K1320" s="5" t="s">
        <v>10440</v>
      </c>
      <c r="L1320" s="5" t="s">
        <v>10979</v>
      </c>
    </row>
    <row r="1321">
      <c r="A1321" s="4">
        <v>45534.33223443287</v>
      </c>
      <c r="B1321" s="5" t="s">
        <v>19</v>
      </c>
      <c r="C1321" s="5" t="s">
        <v>315</v>
      </c>
      <c r="E1321" s="5" t="s">
        <v>10982</v>
      </c>
      <c r="F1321" s="5" t="s">
        <v>375</v>
      </c>
      <c r="G1321" s="5" t="s">
        <v>10983</v>
      </c>
      <c r="H1321" s="6" t="s">
        <v>10984</v>
      </c>
      <c r="I1321" s="7" t="s">
        <v>10985</v>
      </c>
      <c r="J1321" s="8" t="str">
        <f>HYPERLINK("https://drive.google.com/file/d/1Yh7YdJKZWoTRC2Oq-wS0xoRGm1RspDUr/view?usp=drivesdk","KARSIDI BIN YOREDJO SERTIFIKAT BerAKHLAK")</f>
        <v>KARSIDI BIN YOREDJO SERTIFIKAT BerAKHLAK</v>
      </c>
      <c r="K1321" s="5" t="s">
        <v>10464</v>
      </c>
      <c r="L1321" s="5" t="s">
        <v>10986</v>
      </c>
    </row>
    <row r="1322">
      <c r="A1322" s="4">
        <v>45534.33223483796</v>
      </c>
      <c r="B1322" s="5" t="s">
        <v>34</v>
      </c>
      <c r="D1322" s="5" t="s">
        <v>1206</v>
      </c>
      <c r="E1322" s="5" t="s">
        <v>10990</v>
      </c>
      <c r="F1322" s="5" t="s">
        <v>328</v>
      </c>
      <c r="G1322" s="5" t="s">
        <v>10991</v>
      </c>
      <c r="H1322" s="6" t="s">
        <v>10992</v>
      </c>
      <c r="I1322" s="7" t="s">
        <v>10993</v>
      </c>
      <c r="J1322" s="8" t="str">
        <f>HYPERLINK("https://drive.google.com/file/d/1_3c9-e3zRwG9fDhs5EgCEEvxVWdvB8Re/view?usp=drivesdk","MUHAMMAD ZAENAL BAHRI SERTIFIKAT BerAKHLAK")</f>
        <v>MUHAMMAD ZAENAL BAHRI SERTIFIKAT BerAKHLAK</v>
      </c>
      <c r="K1322" s="5" t="s">
        <v>10464</v>
      </c>
      <c r="L1322" s="5" t="s">
        <v>10994</v>
      </c>
    </row>
    <row r="1323">
      <c r="A1323" s="4">
        <v>45534.33223584491</v>
      </c>
      <c r="B1323" s="5" t="s">
        <v>34</v>
      </c>
      <c r="D1323" s="5" t="s">
        <v>6232</v>
      </c>
      <c r="E1323" s="5" t="s">
        <v>10997</v>
      </c>
      <c r="F1323" s="5" t="s">
        <v>715</v>
      </c>
      <c r="G1323" s="5" t="s">
        <v>10998</v>
      </c>
      <c r="H1323" s="6" t="s">
        <v>10999</v>
      </c>
      <c r="I1323" s="7" t="s">
        <v>11000</v>
      </c>
      <c r="J1323" s="8" t="str">
        <f>HYPERLINK("https://drive.google.com/file/d/15dNE2kNVY9_3H7SII4lRN4FayotOTnnq/view?usp=drivesdk","ROSALINA ARIANTI, S.E. SERTIFIKAT BerAKHLAK")</f>
        <v>ROSALINA ARIANTI, S.E. SERTIFIKAT BerAKHLAK</v>
      </c>
      <c r="K1323" s="5" t="s">
        <v>10464</v>
      </c>
      <c r="L1323" s="5" t="s">
        <v>11001</v>
      </c>
    </row>
    <row r="1324">
      <c r="A1324" s="4">
        <v>45534.33224048611</v>
      </c>
      <c r="B1324" s="5" t="s">
        <v>34</v>
      </c>
      <c r="D1324" s="5" t="s">
        <v>975</v>
      </c>
      <c r="E1324" s="5" t="s">
        <v>11004</v>
      </c>
      <c r="F1324" s="5" t="s">
        <v>37</v>
      </c>
      <c r="G1324" s="5" t="s">
        <v>11005</v>
      </c>
      <c r="H1324" s="6" t="s">
        <v>11006</v>
      </c>
      <c r="I1324" s="7" t="s">
        <v>11007</v>
      </c>
      <c r="J1324" s="8" t="str">
        <f>HYPERLINK("https://drive.google.com/file/d/10c8BnQ9YA9i70Culy6h_egwaiLp6ITcj/view?usp=drivesdk","IBNU SALEH AMD RAD SERTIFIKAT BerAKHLAK")</f>
        <v>IBNU SALEH AMD RAD SERTIFIKAT BerAKHLAK</v>
      </c>
      <c r="K1324" s="5" t="s">
        <v>10464</v>
      </c>
      <c r="L1324" s="5" t="s">
        <v>11008</v>
      </c>
    </row>
    <row r="1325">
      <c r="A1325" s="4">
        <v>45534.33225251157</v>
      </c>
      <c r="B1325" s="5" t="s">
        <v>34</v>
      </c>
      <c r="D1325" s="5" t="s">
        <v>6232</v>
      </c>
      <c r="E1325" s="5" t="s">
        <v>11011</v>
      </c>
      <c r="F1325" s="5" t="s">
        <v>108</v>
      </c>
      <c r="G1325" s="5" t="s">
        <v>11012</v>
      </c>
      <c r="H1325" s="6" t="s">
        <v>11013</v>
      </c>
      <c r="I1325" s="7" t="s">
        <v>11014</v>
      </c>
      <c r="J1325" s="8" t="str">
        <f>HYPERLINK("https://drive.google.com/file/d/1aGyD7_PO0oHWi92HVce5hpaivRkJh2c5/view?usp=drivesdk","dr. DARA NOVEA HUTAGALUNG SERTIFIKAT BerAKHLAK")</f>
        <v>dr. DARA NOVEA HUTAGALUNG SERTIFIKAT BerAKHLAK</v>
      </c>
      <c r="K1325" s="5" t="s">
        <v>10464</v>
      </c>
      <c r="L1325" s="5" t="s">
        <v>11015</v>
      </c>
    </row>
    <row r="1326">
      <c r="A1326" s="4">
        <v>45534.33225928241</v>
      </c>
      <c r="B1326" s="5" t="s">
        <v>34</v>
      </c>
      <c r="D1326" s="5" t="s">
        <v>1206</v>
      </c>
      <c r="E1326" s="5" t="s">
        <v>11019</v>
      </c>
      <c r="F1326" s="5" t="s">
        <v>375</v>
      </c>
      <c r="G1326" s="5" t="s">
        <v>11020</v>
      </c>
      <c r="H1326" s="6" t="s">
        <v>11021</v>
      </c>
      <c r="I1326" s="7" t="s">
        <v>11022</v>
      </c>
      <c r="J1326" s="8" t="str">
        <f>HYPERLINK("https://drive.google.com/file/d/1OMS2oj1ZxaGGcMn4n4YyAIjL7aixtjN_/view?usp=drivesdk","ARIES FERDHITA HARIAWAN, S.Kom SERTIFIKAT BerAKHLAK")</f>
        <v>ARIES FERDHITA HARIAWAN, S.Kom SERTIFIKAT BerAKHLAK</v>
      </c>
      <c r="K1326" s="5" t="s">
        <v>10486</v>
      </c>
      <c r="L1326" s="5" t="s">
        <v>11023</v>
      </c>
    </row>
    <row r="1327">
      <c r="A1327" s="4">
        <v>45534.33228033565</v>
      </c>
      <c r="B1327" s="5" t="s">
        <v>34</v>
      </c>
      <c r="D1327" s="5" t="s">
        <v>4775</v>
      </c>
      <c r="E1327" s="5" t="s">
        <v>11026</v>
      </c>
      <c r="F1327" s="5" t="s">
        <v>212</v>
      </c>
      <c r="G1327" s="5" t="s">
        <v>11027</v>
      </c>
      <c r="H1327" s="6" t="s">
        <v>11028</v>
      </c>
      <c r="I1327" s="7" t="s">
        <v>11029</v>
      </c>
      <c r="J1327" s="8" t="str">
        <f>HYPERLINK("https://drive.google.com/file/d/1ZOM1un8uEk3WZbk5CfCz7tiPNTfx8ezG/view?usp=drivesdk","WAHYU TEGUH HENDARTO  SERTIFIKAT BerAKHLAK")</f>
        <v>WAHYU TEGUH HENDARTO  SERTIFIKAT BerAKHLAK</v>
      </c>
      <c r="K1327" s="5" t="s">
        <v>10486</v>
      </c>
      <c r="L1327" s="5" t="s">
        <v>11030</v>
      </c>
    </row>
    <row r="1328">
      <c r="A1328" s="4">
        <v>45534.332296238426</v>
      </c>
      <c r="B1328" s="5" t="s">
        <v>34</v>
      </c>
      <c r="D1328" s="5" t="s">
        <v>6232</v>
      </c>
      <c r="E1328" s="5" t="s">
        <v>11033</v>
      </c>
      <c r="F1328" s="5" t="s">
        <v>37</v>
      </c>
      <c r="G1328" s="5" t="s">
        <v>11034</v>
      </c>
      <c r="H1328" s="6" t="s">
        <v>11035</v>
      </c>
      <c r="I1328" s="7" t="s">
        <v>11036</v>
      </c>
      <c r="J1328" s="8" t="str">
        <f>HYPERLINK("https://drive.google.com/file/d/19Q9YUS7-3wm-kTwNPbbZMqKScZJ3FKXD/view?usp=drivesdk","AHMAT IRWAN ZUHRI, A. Md. Kep SERTIFIKAT BerAKHLAK")</f>
        <v>AHMAT IRWAN ZUHRI, A. Md. Kep SERTIFIKAT BerAKHLAK</v>
      </c>
      <c r="K1328" s="5" t="s">
        <v>10486</v>
      </c>
      <c r="L1328" s="5" t="s">
        <v>11037</v>
      </c>
    </row>
    <row r="1329">
      <c r="A1329" s="4">
        <v>45534.33229752315</v>
      </c>
      <c r="B1329" s="5" t="s">
        <v>34</v>
      </c>
      <c r="D1329" s="5" t="s">
        <v>1206</v>
      </c>
      <c r="E1329" s="5" t="s">
        <v>11041</v>
      </c>
      <c r="F1329" s="5" t="s">
        <v>212</v>
      </c>
      <c r="G1329" s="5" t="s">
        <v>11042</v>
      </c>
      <c r="H1329" s="6" t="s">
        <v>11043</v>
      </c>
      <c r="I1329" s="7" t="s">
        <v>11044</v>
      </c>
      <c r="J1329" s="8" t="str">
        <f>HYPERLINK("https://drive.google.com/file/d/1UuOZ8I6csio6e55ZOLKFyOp1s8C8BeyR/view?usp=drivesdk","DIAN SUTIARA WAHYUNI, A. Md. Keb. SERTIFIKAT BerAKHLAK")</f>
        <v>DIAN SUTIARA WAHYUNI, A. Md. Keb. SERTIFIKAT BerAKHLAK</v>
      </c>
      <c r="K1329" s="5" t="s">
        <v>10486</v>
      </c>
      <c r="L1329" s="5" t="s">
        <v>11045</v>
      </c>
    </row>
    <row r="1330">
      <c r="A1330" s="4">
        <v>45534.33230369213</v>
      </c>
      <c r="B1330" s="5" t="s">
        <v>34</v>
      </c>
      <c r="D1330" s="5" t="s">
        <v>35</v>
      </c>
      <c r="E1330" s="5" t="s">
        <v>11048</v>
      </c>
      <c r="F1330" s="5" t="s">
        <v>212</v>
      </c>
      <c r="G1330" s="5" t="s">
        <v>11049</v>
      </c>
      <c r="H1330" s="6" t="s">
        <v>11050</v>
      </c>
      <c r="I1330" s="7" t="s">
        <v>11051</v>
      </c>
      <c r="J1330" s="8" t="str">
        <f>HYPERLINK("https://drive.google.com/file/d/1ppyobx_va1dBBPUwrcsDCdq87IkmNO3z/view?usp=drivesdk","INAH HADIANAH SERTIFIKAT BerAKHLAK")</f>
        <v>INAH HADIANAH SERTIFIKAT BerAKHLAK</v>
      </c>
      <c r="K1330" s="5" t="s">
        <v>10486</v>
      </c>
      <c r="L1330" s="5" t="s">
        <v>11052</v>
      </c>
    </row>
    <row r="1331">
      <c r="A1331" s="4">
        <v>45534.33232236111</v>
      </c>
      <c r="B1331" s="5" t="s">
        <v>34</v>
      </c>
      <c r="D1331" s="5" t="s">
        <v>4775</v>
      </c>
      <c r="E1331" s="5" t="s">
        <v>11055</v>
      </c>
      <c r="F1331" s="5" t="s">
        <v>328</v>
      </c>
      <c r="G1331" s="5" t="s">
        <v>11056</v>
      </c>
      <c r="H1331" s="6" t="s">
        <v>11057</v>
      </c>
      <c r="K1331" s="5" t="s">
        <v>11058</v>
      </c>
    </row>
    <row r="1332">
      <c r="A1332" s="4">
        <v>45534.332333819446</v>
      </c>
      <c r="B1332" s="5" t="s">
        <v>34</v>
      </c>
      <c r="D1332" s="5" t="s">
        <v>4775</v>
      </c>
      <c r="E1332" s="5" t="s">
        <v>11061</v>
      </c>
      <c r="F1332" s="5" t="s">
        <v>37</v>
      </c>
      <c r="G1332" s="5" t="s">
        <v>11062</v>
      </c>
      <c r="H1332" s="6" t="s">
        <v>11063</v>
      </c>
      <c r="K1332" s="5" t="s">
        <v>11058</v>
      </c>
    </row>
    <row r="1333">
      <c r="A1333" s="4">
        <v>45534.33233538194</v>
      </c>
      <c r="B1333" s="5" t="s">
        <v>34</v>
      </c>
      <c r="D1333" s="5" t="s">
        <v>522</v>
      </c>
      <c r="E1333" s="5" t="s">
        <v>11066</v>
      </c>
      <c r="F1333" s="5" t="s">
        <v>524</v>
      </c>
      <c r="G1333" s="5" t="s">
        <v>11067</v>
      </c>
      <c r="H1333" s="6" t="s">
        <v>11068</v>
      </c>
      <c r="K1333" s="5" t="s">
        <v>11058</v>
      </c>
    </row>
    <row r="1334">
      <c r="A1334" s="4">
        <v>45534.33234025463</v>
      </c>
      <c r="B1334" s="5" t="s">
        <v>34</v>
      </c>
      <c r="D1334" s="5" t="s">
        <v>267</v>
      </c>
      <c r="E1334" s="5" t="s">
        <v>11072</v>
      </c>
      <c r="F1334" s="5" t="s">
        <v>37</v>
      </c>
      <c r="G1334" s="5" t="s">
        <v>11073</v>
      </c>
      <c r="H1334" s="6" t="s">
        <v>11074</v>
      </c>
      <c r="K1334" s="5" t="s">
        <v>11058</v>
      </c>
    </row>
    <row r="1335">
      <c r="A1335" s="4">
        <v>45534.332355</v>
      </c>
      <c r="B1335" s="5" t="s">
        <v>34</v>
      </c>
      <c r="D1335" s="5" t="s">
        <v>280</v>
      </c>
      <c r="E1335" s="5" t="s">
        <v>11077</v>
      </c>
      <c r="F1335" s="5" t="s">
        <v>524</v>
      </c>
      <c r="G1335" s="5" t="s">
        <v>11078</v>
      </c>
      <c r="H1335" s="6" t="s">
        <v>11079</v>
      </c>
      <c r="K1335" s="5" t="s">
        <v>11058</v>
      </c>
    </row>
    <row r="1336">
      <c r="A1336" s="4">
        <v>45534.33235589121</v>
      </c>
      <c r="B1336" s="5" t="s">
        <v>34</v>
      </c>
      <c r="D1336" s="5" t="s">
        <v>4775</v>
      </c>
      <c r="E1336" s="5" t="s">
        <v>11082</v>
      </c>
      <c r="F1336" s="5" t="s">
        <v>108</v>
      </c>
      <c r="G1336" s="5" t="s">
        <v>11083</v>
      </c>
      <c r="H1336" s="6" t="s">
        <v>11084</v>
      </c>
      <c r="K1336" s="5" t="s">
        <v>11058</v>
      </c>
    </row>
    <row r="1337">
      <c r="A1337" s="4">
        <v>45534.332359340275</v>
      </c>
      <c r="B1337" s="5" t="s">
        <v>34</v>
      </c>
      <c r="D1337" s="5" t="s">
        <v>35</v>
      </c>
      <c r="E1337" s="5" t="s">
        <v>11087</v>
      </c>
      <c r="F1337" s="5" t="s">
        <v>524</v>
      </c>
      <c r="G1337" s="5" t="s">
        <v>11088</v>
      </c>
      <c r="H1337" s="6" t="s">
        <v>11089</v>
      </c>
      <c r="K1337" s="5" t="s">
        <v>11058</v>
      </c>
    </row>
    <row r="1338">
      <c r="A1338" s="4">
        <v>45534.33236335649</v>
      </c>
      <c r="B1338" s="5" t="s">
        <v>34</v>
      </c>
      <c r="D1338" s="5" t="s">
        <v>267</v>
      </c>
      <c r="E1338" s="5" t="s">
        <v>11092</v>
      </c>
      <c r="F1338" s="5" t="s">
        <v>37</v>
      </c>
      <c r="G1338" s="5" t="s">
        <v>11093</v>
      </c>
      <c r="H1338" s="6" t="s">
        <v>11094</v>
      </c>
      <c r="K1338" s="5" t="s">
        <v>11058</v>
      </c>
    </row>
    <row r="1339">
      <c r="A1339" s="4">
        <v>45534.33236476852</v>
      </c>
      <c r="B1339" s="5" t="s">
        <v>34</v>
      </c>
      <c r="D1339" s="5" t="s">
        <v>1206</v>
      </c>
      <c r="E1339" s="5" t="s">
        <v>11098</v>
      </c>
      <c r="F1339" s="5" t="s">
        <v>37</v>
      </c>
      <c r="G1339" s="5" t="s">
        <v>11099</v>
      </c>
      <c r="H1339" s="6" t="s">
        <v>11100</v>
      </c>
      <c r="K1339" s="5" t="s">
        <v>11058</v>
      </c>
    </row>
    <row r="1340">
      <c r="A1340" s="4">
        <v>45534.33239560185</v>
      </c>
      <c r="B1340" s="5" t="s">
        <v>19</v>
      </c>
      <c r="C1340" s="5" t="s">
        <v>292</v>
      </c>
      <c r="E1340" s="5" t="s">
        <v>11103</v>
      </c>
      <c r="F1340" s="5" t="s">
        <v>375</v>
      </c>
      <c r="G1340" s="5" t="s">
        <v>11104</v>
      </c>
      <c r="H1340" s="6" t="s">
        <v>11105</v>
      </c>
      <c r="I1340" s="7" t="s">
        <v>11106</v>
      </c>
      <c r="J1340" s="8" t="str">
        <f>HYPERLINK("https://drive.google.com/file/d/1kcjBBRzspgzPyno6C_WijCjuIapdU7p9/view?usp=drivesdk","RUKRUK RUKMINI, S.Pd., M.M. SERTIFIKAT BerAKHLAK")</f>
        <v>RUKRUK RUKMINI, S.Pd., M.M. SERTIFIKAT BerAKHLAK</v>
      </c>
      <c r="K1340" s="5" t="s">
        <v>10440</v>
      </c>
      <c r="L1340" s="5" t="s">
        <v>11107</v>
      </c>
    </row>
    <row r="1341">
      <c r="A1341" s="4">
        <v>45534.33241809028</v>
      </c>
      <c r="B1341" s="5" t="s">
        <v>34</v>
      </c>
      <c r="D1341" s="5" t="s">
        <v>4775</v>
      </c>
      <c r="E1341" s="5" t="s">
        <v>11110</v>
      </c>
      <c r="F1341" s="5" t="s">
        <v>108</v>
      </c>
      <c r="G1341" s="5" t="s">
        <v>11111</v>
      </c>
      <c r="H1341" s="6" t="s">
        <v>11112</v>
      </c>
      <c r="I1341" s="7" t="s">
        <v>11113</v>
      </c>
      <c r="J1341" s="8" t="str">
        <f>HYPERLINK("https://drive.google.com/file/d/1AMPXdFszZyRM8R2q_Ym9P55SHWQjb7Zp/view?usp=drivesdk","RICKI RIYANTO, AMD SERTIFIKAT BerAKHLAK")</f>
        <v>RICKI RIYANTO, AMD SERTIFIKAT BerAKHLAK</v>
      </c>
      <c r="K1341" s="5" t="s">
        <v>10440</v>
      </c>
      <c r="L1341" s="5" t="s">
        <v>11114</v>
      </c>
    </row>
    <row r="1342">
      <c r="A1342" s="4">
        <v>45534.33242222222</v>
      </c>
      <c r="B1342" s="5" t="s">
        <v>34</v>
      </c>
      <c r="D1342" s="5" t="s">
        <v>6232</v>
      </c>
      <c r="E1342" s="5" t="s">
        <v>11117</v>
      </c>
      <c r="F1342" s="5" t="s">
        <v>120</v>
      </c>
      <c r="G1342" s="5" t="s">
        <v>11118</v>
      </c>
      <c r="H1342" s="6" t="s">
        <v>11119</v>
      </c>
      <c r="I1342" s="7" t="s">
        <v>11120</v>
      </c>
      <c r="J1342" s="8" t="str">
        <f>HYPERLINK("https://drive.google.com/file/d/13-zk6-zCfTYPjMWCj-5waTlXDsEM-ch0/view?usp=drivesdk","DIAN EKAWATI, S.H. SERTIFIKAT BerAKHLAK")</f>
        <v>DIAN EKAWATI, S.H. SERTIFIKAT BerAKHLAK</v>
      </c>
      <c r="K1342" s="5" t="s">
        <v>10464</v>
      </c>
      <c r="L1342" s="5" t="s">
        <v>11121</v>
      </c>
    </row>
    <row r="1343">
      <c r="A1343" s="4">
        <v>45534.33243466435</v>
      </c>
      <c r="B1343" s="5" t="s">
        <v>34</v>
      </c>
      <c r="D1343" s="5" t="s">
        <v>9020</v>
      </c>
      <c r="E1343" s="5" t="s">
        <v>11124</v>
      </c>
      <c r="F1343" s="5" t="s">
        <v>375</v>
      </c>
      <c r="G1343" s="5" t="s">
        <v>11125</v>
      </c>
      <c r="H1343" s="6" t="s">
        <v>11126</v>
      </c>
      <c r="I1343" s="7" t="s">
        <v>11127</v>
      </c>
      <c r="J1343" s="8" t="str">
        <f>HYPERLINK("https://drive.google.com/file/d/1Zy59YDtx7--vjmUQrcMB_A42atXHoGrs/view?usp=drivesdk","NUTSYAWALINDA SIREGAR SERTIFIKAT BerAKHLAK")</f>
        <v>NUTSYAWALINDA SIREGAR SERTIFIKAT BerAKHLAK</v>
      </c>
      <c r="K1343" s="5" t="s">
        <v>10440</v>
      </c>
      <c r="L1343" s="5" t="s">
        <v>11128</v>
      </c>
    </row>
    <row r="1344">
      <c r="A1344" s="4">
        <v>45534.33245555556</v>
      </c>
      <c r="B1344" s="5" t="s">
        <v>34</v>
      </c>
      <c r="D1344" s="5" t="s">
        <v>1206</v>
      </c>
      <c r="E1344" s="5" t="s">
        <v>11132</v>
      </c>
      <c r="F1344" s="5" t="s">
        <v>37</v>
      </c>
      <c r="G1344" s="5" t="s">
        <v>11133</v>
      </c>
      <c r="H1344" s="6" t="s">
        <v>11134</v>
      </c>
      <c r="I1344" s="7" t="s">
        <v>11135</v>
      </c>
      <c r="J1344" s="8" t="str">
        <f>HYPERLINK("https://drive.google.com/file/d/1IFpRHp4dIZlbv1psoGLzT6V32Fbj1Waa/view?usp=drivesdk","EDY SUSIANTOO SERTIFIKAT BerAKHLAK")</f>
        <v>EDY SUSIANTOO SERTIFIKAT BerAKHLAK</v>
      </c>
      <c r="K1344" s="5" t="s">
        <v>10464</v>
      </c>
      <c r="L1344" s="5" t="s">
        <v>11136</v>
      </c>
    </row>
    <row r="1345">
      <c r="A1345" s="4">
        <v>45534.33246554398</v>
      </c>
      <c r="B1345" s="5" t="s">
        <v>34</v>
      </c>
      <c r="D1345" s="5" t="s">
        <v>4775</v>
      </c>
      <c r="E1345" s="5" t="s">
        <v>11139</v>
      </c>
      <c r="F1345" s="5" t="s">
        <v>212</v>
      </c>
      <c r="G1345" s="5" t="s">
        <v>11140</v>
      </c>
      <c r="H1345" s="6" t="s">
        <v>11141</v>
      </c>
      <c r="I1345" s="7" t="s">
        <v>11142</v>
      </c>
      <c r="J1345" s="8" t="str">
        <f>HYPERLINK("https://drive.google.com/file/d/1YOWr0nkWNNA7-DpDqRS08B5bG01b2e7a/view?usp=drivesdk","YUSTINA SUDARMI SERTIFIKAT BerAKHLAK")</f>
        <v>YUSTINA SUDARMI SERTIFIKAT BerAKHLAK</v>
      </c>
      <c r="K1345" s="5" t="s">
        <v>10464</v>
      </c>
      <c r="L1345" s="5" t="s">
        <v>11143</v>
      </c>
    </row>
    <row r="1346">
      <c r="A1346" s="4">
        <v>45534.33246635417</v>
      </c>
      <c r="B1346" s="5" t="s">
        <v>34</v>
      </c>
      <c r="D1346" s="5" t="s">
        <v>267</v>
      </c>
      <c r="E1346" s="5" t="s">
        <v>11146</v>
      </c>
      <c r="F1346" s="5" t="s">
        <v>524</v>
      </c>
      <c r="G1346" s="5" t="s">
        <v>11147</v>
      </c>
      <c r="H1346" s="6" t="s">
        <v>11148</v>
      </c>
      <c r="I1346" s="7" t="s">
        <v>11149</v>
      </c>
      <c r="J1346" s="8" t="str">
        <f>HYPERLINK("https://drive.google.com/file/d/1uO54HqUVnPk08nTkfyluXEc5oljjGr06/view?usp=drivesdk","HASTOKO SUKMO WIDODO SERTIFIKAT BerAKHLAK")</f>
        <v>HASTOKO SUKMO WIDODO SERTIFIKAT BerAKHLAK</v>
      </c>
      <c r="K1346" s="5" t="s">
        <v>10464</v>
      </c>
      <c r="L1346" s="5" t="s">
        <v>11150</v>
      </c>
    </row>
    <row r="1347">
      <c r="A1347" s="4">
        <v>45534.332477199074</v>
      </c>
      <c r="B1347" s="5" t="s">
        <v>34</v>
      </c>
      <c r="D1347" s="5" t="s">
        <v>1206</v>
      </c>
      <c r="E1347" s="5" t="s">
        <v>11153</v>
      </c>
      <c r="F1347" s="5" t="s">
        <v>328</v>
      </c>
      <c r="G1347" s="5" t="s">
        <v>11154</v>
      </c>
      <c r="H1347" s="6" t="s">
        <v>11155</v>
      </c>
      <c r="I1347" s="7" t="s">
        <v>11156</v>
      </c>
      <c r="J1347" s="8" t="str">
        <f>HYPERLINK("https://drive.google.com/file/d/1oR8JukP_Bvk8k-xfnx9KbvSuLKVtf7GG/view?usp=drivesdk","MUHAMMAD MUNDIR SERTIFIKAT BerAKHLAK")</f>
        <v>MUHAMMAD MUNDIR SERTIFIKAT BerAKHLAK</v>
      </c>
      <c r="K1347" s="5" t="s">
        <v>10464</v>
      </c>
      <c r="L1347" s="5" t="s">
        <v>11157</v>
      </c>
    </row>
    <row r="1348">
      <c r="A1348" s="4">
        <v>45534.33248265046</v>
      </c>
      <c r="B1348" s="5" t="s">
        <v>34</v>
      </c>
      <c r="D1348" s="5" t="s">
        <v>9020</v>
      </c>
      <c r="E1348" s="5" t="s">
        <v>11160</v>
      </c>
      <c r="F1348" s="5" t="s">
        <v>212</v>
      </c>
      <c r="G1348" s="5" t="s">
        <v>11161</v>
      </c>
      <c r="H1348" s="6" t="s">
        <v>11162</v>
      </c>
      <c r="I1348" s="7" t="s">
        <v>11163</v>
      </c>
      <c r="J1348" s="8" t="str">
        <f>HYPERLINK("https://drive.google.com/file/d/1yUZReyfXdkQhBupnbstaQVcptW_1hKTp/view?usp=drivesdk","YUNISOKHI MENDROFA SERTIFIKAT BerAKHLAK")</f>
        <v>YUNISOKHI MENDROFA SERTIFIKAT BerAKHLAK</v>
      </c>
      <c r="K1348" s="5" t="s">
        <v>10486</v>
      </c>
      <c r="L1348" s="5" t="s">
        <v>11164</v>
      </c>
    </row>
    <row r="1349">
      <c r="A1349" s="4">
        <v>45534.33248971065</v>
      </c>
      <c r="B1349" s="5" t="s">
        <v>34</v>
      </c>
      <c r="D1349" s="5" t="s">
        <v>4775</v>
      </c>
      <c r="E1349" s="5" t="s">
        <v>11167</v>
      </c>
      <c r="F1349" s="5" t="s">
        <v>120</v>
      </c>
      <c r="G1349" s="5" t="s">
        <v>11168</v>
      </c>
      <c r="H1349" s="6" t="s">
        <v>11169</v>
      </c>
      <c r="I1349" s="7" t="s">
        <v>11170</v>
      </c>
      <c r="J1349" s="8" t="str">
        <f>HYPERLINK("https://drive.google.com/file/d/14_gFT8npch741m8PNBVSqcMWUxo35BS_/view?usp=drivesdk","EDI RIYANTO, S.KOM, M.Si SERTIFIKAT BerAKHLAK")</f>
        <v>EDI RIYANTO, S.KOM, M.Si SERTIFIKAT BerAKHLAK</v>
      </c>
      <c r="K1349" s="5" t="s">
        <v>10486</v>
      </c>
      <c r="L1349" s="5" t="s">
        <v>11171</v>
      </c>
    </row>
    <row r="1350">
      <c r="A1350" s="4">
        <v>45534.33249716435</v>
      </c>
      <c r="B1350" s="5" t="s">
        <v>34</v>
      </c>
      <c r="D1350" s="5" t="s">
        <v>6232</v>
      </c>
      <c r="E1350" s="5" t="s">
        <v>11175</v>
      </c>
      <c r="F1350" s="5" t="s">
        <v>72</v>
      </c>
      <c r="G1350" s="5" t="s">
        <v>11176</v>
      </c>
      <c r="H1350" s="6" t="s">
        <v>11177</v>
      </c>
      <c r="I1350" s="7" t="s">
        <v>11178</v>
      </c>
      <c r="J1350" s="8" t="str">
        <f>HYPERLINK("https://drive.google.com/file/d/1u_IwjQSs8lzKeX4p_4wGUvLJ-7pKILWv/view?usp=drivesdk","NANANG SUPRIATNA. S.KOM SERTIFIKAT BerAKHLAK")</f>
        <v>NANANG SUPRIATNA. S.KOM SERTIFIKAT BerAKHLAK</v>
      </c>
      <c r="K1350" s="5" t="s">
        <v>10486</v>
      </c>
      <c r="L1350" s="5" t="s">
        <v>11179</v>
      </c>
    </row>
    <row r="1351">
      <c r="A1351" s="4">
        <v>45534.33251806713</v>
      </c>
      <c r="B1351" s="5" t="s">
        <v>34</v>
      </c>
      <c r="D1351" s="5" t="s">
        <v>35</v>
      </c>
      <c r="E1351" s="5" t="s">
        <v>11182</v>
      </c>
      <c r="F1351" s="5" t="s">
        <v>375</v>
      </c>
      <c r="G1351" s="5" t="s">
        <v>11183</v>
      </c>
      <c r="H1351" s="6" t="s">
        <v>11184</v>
      </c>
      <c r="I1351" s="7" t="s">
        <v>11185</v>
      </c>
      <c r="J1351" s="8" t="str">
        <f>HYPERLINK("https://drive.google.com/file/d/11boDsGLkqmrn1WS_W0IgEJ6GCmmf_Ru1/view?usp=drivesdk","DEDE SYAEFUL ROHMAN SERTIFIKAT BerAKHLAK")</f>
        <v>DEDE SYAEFUL ROHMAN SERTIFIKAT BerAKHLAK</v>
      </c>
      <c r="K1351" s="5" t="s">
        <v>10464</v>
      </c>
      <c r="L1351" s="5" t="s">
        <v>11186</v>
      </c>
    </row>
    <row r="1352">
      <c r="A1352" s="4">
        <v>45534.332523749996</v>
      </c>
      <c r="B1352" s="5" t="s">
        <v>34</v>
      </c>
      <c r="D1352" s="5" t="s">
        <v>1206</v>
      </c>
      <c r="E1352" s="5" t="s">
        <v>11189</v>
      </c>
      <c r="F1352" s="5" t="s">
        <v>37</v>
      </c>
      <c r="G1352" s="5" t="s">
        <v>11190</v>
      </c>
      <c r="H1352" s="6" t="s">
        <v>11191</v>
      </c>
      <c r="I1352" s="7" t="s">
        <v>11192</v>
      </c>
      <c r="J1352" s="8" t="str">
        <f>HYPERLINK("https://drive.google.com/file/d/1bCksTun7Ino0Rpe_0OMnYiMyZomxVU6O/view?usp=drivesdk","RENY PUSPITA SARI,AMD.FARM SERTIFIKAT BerAKHLAK")</f>
        <v>RENY PUSPITA SARI,AMD.FARM SERTIFIKAT BerAKHLAK</v>
      </c>
      <c r="K1352" s="5" t="s">
        <v>10464</v>
      </c>
      <c r="L1352" s="5" t="s">
        <v>11193</v>
      </c>
    </row>
    <row r="1353">
      <c r="A1353" s="4">
        <v>45534.332528865736</v>
      </c>
      <c r="B1353" s="5" t="s">
        <v>19</v>
      </c>
      <c r="C1353" s="5" t="s">
        <v>3301</v>
      </c>
      <c r="E1353" s="5" t="s">
        <v>11196</v>
      </c>
      <c r="F1353" s="5" t="s">
        <v>72</v>
      </c>
      <c r="G1353" s="5" t="s">
        <v>11197</v>
      </c>
      <c r="H1353" s="6" t="s">
        <v>11198</v>
      </c>
      <c r="I1353" s="7" t="s">
        <v>11199</v>
      </c>
      <c r="J1353" s="8" t="str">
        <f>HYPERLINK("https://drive.google.com/file/d/1AQ4-R0HMJmjV26-S__SeWnQYp3MY7al6/view?usp=drivesdk","PUJI HASTUTININGSIH, Amd. Keb SERTIFIKAT BerAKHLAK")</f>
        <v>PUJI HASTUTININGSIH, Amd. Keb SERTIFIKAT BerAKHLAK</v>
      </c>
      <c r="K1353" s="5" t="s">
        <v>10464</v>
      </c>
      <c r="L1353" s="5" t="s">
        <v>11200</v>
      </c>
    </row>
    <row r="1354">
      <c r="A1354" s="4">
        <v>45534.3325346875</v>
      </c>
      <c r="B1354" s="5" t="s">
        <v>34</v>
      </c>
      <c r="D1354" s="5" t="s">
        <v>6232</v>
      </c>
      <c r="E1354" s="5" t="s">
        <v>11203</v>
      </c>
      <c r="F1354" s="5" t="s">
        <v>108</v>
      </c>
      <c r="G1354" s="5" t="s">
        <v>11204</v>
      </c>
      <c r="H1354" s="6" t="s">
        <v>11205</v>
      </c>
      <c r="I1354" s="7" t="s">
        <v>11206</v>
      </c>
      <c r="J1354" s="8" t="str">
        <f>HYPERLINK("https://drive.google.com/file/d/1z-bKrom3VBicPPHg05IcSHI7Ytz4gll7/view?usp=drivesdk","HERLI MURTIKA WATI, S.PD. SERTIFIKAT BerAKHLAK")</f>
        <v>HERLI MURTIKA WATI, S.PD. SERTIFIKAT BerAKHLAK</v>
      </c>
      <c r="K1354" s="5" t="s">
        <v>10464</v>
      </c>
      <c r="L1354" s="5" t="s">
        <v>11207</v>
      </c>
    </row>
    <row r="1355">
      <c r="A1355" s="4">
        <v>45534.33254047454</v>
      </c>
      <c r="B1355" s="5" t="s">
        <v>34</v>
      </c>
      <c r="D1355" s="5" t="s">
        <v>35</v>
      </c>
      <c r="E1355" s="5" t="s">
        <v>11211</v>
      </c>
      <c r="F1355" s="5" t="s">
        <v>37</v>
      </c>
      <c r="G1355" s="5" t="s">
        <v>11212</v>
      </c>
      <c r="H1355" s="6" t="s">
        <v>11213</v>
      </c>
      <c r="K1355" s="5" t="s">
        <v>11214</v>
      </c>
    </row>
    <row r="1356">
      <c r="A1356" s="4">
        <v>45534.332541076394</v>
      </c>
      <c r="B1356" s="5" t="s">
        <v>34</v>
      </c>
      <c r="D1356" s="5" t="s">
        <v>1206</v>
      </c>
      <c r="E1356" s="5" t="s">
        <v>11217</v>
      </c>
      <c r="F1356" s="5" t="s">
        <v>375</v>
      </c>
      <c r="G1356" s="5" t="s">
        <v>11218</v>
      </c>
      <c r="H1356" s="6" t="s">
        <v>11219</v>
      </c>
      <c r="K1356" s="5" t="s">
        <v>11214</v>
      </c>
    </row>
    <row r="1357">
      <c r="A1357" s="4">
        <v>45534.33254171297</v>
      </c>
      <c r="B1357" s="5" t="s">
        <v>34</v>
      </c>
      <c r="D1357" s="5" t="s">
        <v>1206</v>
      </c>
      <c r="E1357" s="5" t="s">
        <v>11222</v>
      </c>
      <c r="F1357" s="5" t="s">
        <v>524</v>
      </c>
      <c r="G1357" s="5" t="s">
        <v>11223</v>
      </c>
      <c r="H1357" s="6" t="s">
        <v>11224</v>
      </c>
      <c r="K1357" s="5" t="s">
        <v>11214</v>
      </c>
    </row>
    <row r="1358">
      <c r="A1358" s="4">
        <v>45534.332551458334</v>
      </c>
      <c r="B1358" s="5" t="s">
        <v>34</v>
      </c>
      <c r="D1358" s="5" t="s">
        <v>1206</v>
      </c>
      <c r="E1358" s="5" t="s">
        <v>11227</v>
      </c>
      <c r="F1358" s="5" t="s">
        <v>37</v>
      </c>
      <c r="G1358" s="5" t="s">
        <v>11228</v>
      </c>
      <c r="H1358" s="6" t="s">
        <v>11229</v>
      </c>
      <c r="K1358" s="5" t="s">
        <v>11214</v>
      </c>
    </row>
    <row r="1359">
      <c r="A1359" s="4">
        <v>45534.33255821759</v>
      </c>
      <c r="B1359" s="5" t="s">
        <v>34</v>
      </c>
      <c r="D1359" s="5" t="s">
        <v>1206</v>
      </c>
      <c r="E1359" s="5" t="s">
        <v>11232</v>
      </c>
      <c r="F1359" s="5" t="s">
        <v>375</v>
      </c>
      <c r="G1359" s="5" t="s">
        <v>11233</v>
      </c>
      <c r="H1359" s="6" t="s">
        <v>11234</v>
      </c>
      <c r="K1359" s="5" t="s">
        <v>11214</v>
      </c>
    </row>
    <row r="1360">
      <c r="A1360" s="4">
        <v>45534.332586041666</v>
      </c>
      <c r="B1360" s="5" t="s">
        <v>34</v>
      </c>
      <c r="D1360" s="5" t="s">
        <v>35</v>
      </c>
      <c r="E1360" s="5" t="s">
        <v>11237</v>
      </c>
      <c r="F1360" s="5" t="s">
        <v>37</v>
      </c>
      <c r="G1360" s="5" t="s">
        <v>11238</v>
      </c>
      <c r="H1360" s="6" t="s">
        <v>11239</v>
      </c>
      <c r="I1360" s="7" t="s">
        <v>11240</v>
      </c>
      <c r="J1360" s="8" t="str">
        <f>HYPERLINK("https://drive.google.com/file/d/1vXoX4eg3obVyiqHKFmKn1FS6eRSkx4TI/view?usp=drivesdk","AEP SAEPUDIN, S.H., M.H. SERTIFIKAT BerAKHLAK")</f>
        <v>AEP SAEPUDIN, S.H., M.H. SERTIFIKAT BerAKHLAK</v>
      </c>
      <c r="K1360" s="5" t="s">
        <v>10464</v>
      </c>
      <c r="L1360" s="5" t="s">
        <v>11241</v>
      </c>
    </row>
    <row r="1361">
      <c r="A1361" s="4">
        <v>45534.33259612268</v>
      </c>
      <c r="B1361" s="5" t="s">
        <v>34</v>
      </c>
      <c r="D1361" s="5" t="s">
        <v>975</v>
      </c>
      <c r="E1361" s="5" t="s">
        <v>11245</v>
      </c>
      <c r="F1361" s="5" t="s">
        <v>37</v>
      </c>
      <c r="G1361" s="5" t="s">
        <v>11246</v>
      </c>
      <c r="H1361" s="6" t="s">
        <v>11247</v>
      </c>
      <c r="I1361" s="7" t="s">
        <v>11248</v>
      </c>
      <c r="J1361" s="8" t="str">
        <f>HYPERLINK("https://drive.google.com/file/d/1PaBvpy8KGVfqVu8xTt_kYV5eEmH2zhLo/view?usp=drivesdk","AYU PUSPITA SARI, A. Md. Farm SERTIFIKAT BerAKHLAK")</f>
        <v>AYU PUSPITA SARI, A. Md. Farm SERTIFIKAT BerAKHLAK</v>
      </c>
      <c r="K1361" s="5" t="s">
        <v>10464</v>
      </c>
      <c r="L1361" s="5" t="s">
        <v>11249</v>
      </c>
    </row>
    <row r="1362">
      <c r="A1362" s="4">
        <v>45534.332596886576</v>
      </c>
      <c r="B1362" s="5" t="s">
        <v>34</v>
      </c>
      <c r="D1362" s="5" t="s">
        <v>1206</v>
      </c>
      <c r="E1362" s="5" t="s">
        <v>11252</v>
      </c>
      <c r="F1362" s="5" t="s">
        <v>212</v>
      </c>
      <c r="G1362" s="5" t="s">
        <v>11253</v>
      </c>
      <c r="H1362" s="6" t="s">
        <v>11254</v>
      </c>
      <c r="I1362" s="7" t="s">
        <v>11255</v>
      </c>
      <c r="J1362" s="8" t="str">
        <f>HYPERLINK("https://drive.google.com/file/d/1RYEaaE5wdMMc2hpqdOOT2I2XXYGYIfzI/view?usp=drivesdk","LILIK KARDINIYATI  SERTIFIKAT BerAKHLAK")</f>
        <v>LILIK KARDINIYATI  SERTIFIKAT BerAKHLAK</v>
      </c>
      <c r="K1362" s="5" t="s">
        <v>10464</v>
      </c>
      <c r="L1362" s="5" t="s">
        <v>11256</v>
      </c>
    </row>
    <row r="1363">
      <c r="A1363" s="4">
        <v>45534.332634189814</v>
      </c>
      <c r="B1363" s="5" t="s">
        <v>34</v>
      </c>
      <c r="D1363" s="5" t="s">
        <v>6232</v>
      </c>
      <c r="E1363" s="5" t="s">
        <v>11259</v>
      </c>
      <c r="F1363" s="5" t="s">
        <v>37</v>
      </c>
      <c r="G1363" s="5" t="s">
        <v>11260</v>
      </c>
      <c r="H1363" s="6" t="s">
        <v>11261</v>
      </c>
      <c r="K1363" s="5" t="s">
        <v>11262</v>
      </c>
    </row>
    <row r="1364">
      <c r="A1364" s="4">
        <v>45534.33263709491</v>
      </c>
      <c r="B1364" s="5" t="s">
        <v>34</v>
      </c>
      <c r="D1364" s="5" t="s">
        <v>4775</v>
      </c>
      <c r="E1364" s="5" t="s">
        <v>11265</v>
      </c>
      <c r="F1364" s="5" t="s">
        <v>5859</v>
      </c>
      <c r="G1364" s="5" t="s">
        <v>11266</v>
      </c>
      <c r="H1364" s="6" t="s">
        <v>11267</v>
      </c>
      <c r="K1364" s="5" t="s">
        <v>11262</v>
      </c>
    </row>
    <row r="1365">
      <c r="A1365" s="4">
        <v>45534.33264289352</v>
      </c>
      <c r="B1365" s="5" t="s">
        <v>34</v>
      </c>
      <c r="D1365" s="5" t="s">
        <v>4775</v>
      </c>
      <c r="E1365" s="5" t="s">
        <v>11270</v>
      </c>
      <c r="F1365" s="5" t="s">
        <v>375</v>
      </c>
      <c r="G1365" s="5" t="s">
        <v>11271</v>
      </c>
      <c r="H1365" s="6" t="s">
        <v>11272</v>
      </c>
      <c r="K1365" s="5" t="s">
        <v>11262</v>
      </c>
    </row>
    <row r="1366">
      <c r="A1366" s="4">
        <v>45534.33265266204</v>
      </c>
      <c r="B1366" s="5" t="s">
        <v>34</v>
      </c>
      <c r="D1366" s="5" t="s">
        <v>35</v>
      </c>
      <c r="E1366" s="5" t="s">
        <v>11276</v>
      </c>
      <c r="F1366" s="5" t="s">
        <v>212</v>
      </c>
      <c r="G1366" s="5" t="s">
        <v>11277</v>
      </c>
      <c r="H1366" s="6" t="s">
        <v>11278</v>
      </c>
      <c r="I1366" s="7" t="s">
        <v>11279</v>
      </c>
      <c r="J1366" s="8" t="str">
        <f>HYPERLINK("https://drive.google.com/file/d/1RdiAkIuJQZEJAAMuog0k1awxHzvY39aT/view?usp=drivesdk","IGNASIUS RICKY PATRIA REVANDIAN SERTIFIKAT BerAKHLAK")</f>
        <v>IGNASIUS RICKY PATRIA REVANDIAN SERTIFIKAT BerAKHLAK</v>
      </c>
      <c r="K1366" s="5" t="s">
        <v>10464</v>
      </c>
      <c r="L1366" s="5" t="s">
        <v>11280</v>
      </c>
    </row>
    <row r="1367">
      <c r="A1367" s="4">
        <v>45534.33266813657</v>
      </c>
      <c r="B1367" s="5" t="s">
        <v>34</v>
      </c>
      <c r="D1367" s="5" t="s">
        <v>3849</v>
      </c>
      <c r="E1367" s="5" t="s">
        <v>11283</v>
      </c>
      <c r="F1367" s="5" t="s">
        <v>37</v>
      </c>
      <c r="G1367" s="5" t="s">
        <v>11284</v>
      </c>
      <c r="H1367" s="6" t="s">
        <v>11285</v>
      </c>
      <c r="K1367" s="5" t="s">
        <v>11286</v>
      </c>
    </row>
    <row r="1368">
      <c r="A1368" s="4">
        <v>45534.332671076394</v>
      </c>
      <c r="B1368" s="5" t="s">
        <v>34</v>
      </c>
      <c r="D1368" s="5" t="s">
        <v>9020</v>
      </c>
      <c r="E1368" s="5" t="s">
        <v>11289</v>
      </c>
      <c r="F1368" s="5" t="s">
        <v>375</v>
      </c>
      <c r="G1368" s="5" t="s">
        <v>11290</v>
      </c>
      <c r="H1368" s="6" t="s">
        <v>11291</v>
      </c>
      <c r="K1368" s="5" t="s">
        <v>11286</v>
      </c>
    </row>
    <row r="1369">
      <c r="A1369" s="4">
        <v>45534.33267671296</v>
      </c>
      <c r="B1369" s="5" t="s">
        <v>19</v>
      </c>
      <c r="C1369" s="5" t="s">
        <v>466</v>
      </c>
      <c r="E1369" s="5" t="s">
        <v>11294</v>
      </c>
      <c r="F1369" s="5" t="s">
        <v>375</v>
      </c>
      <c r="G1369" s="5" t="s">
        <v>11295</v>
      </c>
      <c r="H1369" s="6" t="s">
        <v>11296</v>
      </c>
      <c r="K1369" s="5" t="s">
        <v>11286</v>
      </c>
    </row>
    <row r="1370">
      <c r="A1370" s="4">
        <v>45534.33267862268</v>
      </c>
      <c r="B1370" s="5" t="s">
        <v>34</v>
      </c>
      <c r="D1370" s="5" t="s">
        <v>522</v>
      </c>
      <c r="E1370" s="5" t="s">
        <v>11299</v>
      </c>
      <c r="F1370" s="5" t="s">
        <v>37</v>
      </c>
      <c r="G1370" s="5" t="s">
        <v>11300</v>
      </c>
      <c r="H1370" s="6" t="s">
        <v>11301</v>
      </c>
      <c r="K1370" s="5" t="s">
        <v>11286</v>
      </c>
    </row>
    <row r="1371">
      <c r="A1371" s="4">
        <v>45534.332690069445</v>
      </c>
      <c r="B1371" s="5" t="s">
        <v>19</v>
      </c>
      <c r="C1371" s="5" t="s">
        <v>466</v>
      </c>
      <c r="E1371" s="5" t="s">
        <v>11305</v>
      </c>
      <c r="F1371" s="5" t="s">
        <v>212</v>
      </c>
      <c r="G1371" s="5" t="s">
        <v>11306</v>
      </c>
      <c r="H1371" s="6" t="s">
        <v>11307</v>
      </c>
      <c r="I1371" s="7" t="s">
        <v>11308</v>
      </c>
      <c r="J1371" s="8" t="str">
        <f>HYPERLINK("https://drive.google.com/file/d/1vabzJ9PRspVWGtdtUtQRMawZG9iX8XrU/view?usp=drivesdk","RUSTAM EFENDI BIN BOHORI SERTIFIKAT BerAKHLAK")</f>
        <v>RUSTAM EFENDI BIN BOHORI SERTIFIKAT BerAKHLAK</v>
      </c>
      <c r="K1371" s="5" t="s">
        <v>10464</v>
      </c>
      <c r="L1371" s="5" t="s">
        <v>11309</v>
      </c>
    </row>
    <row r="1372">
      <c r="A1372" s="4">
        <v>45534.332737476856</v>
      </c>
      <c r="B1372" s="5" t="s">
        <v>34</v>
      </c>
      <c r="D1372" s="5" t="s">
        <v>362</v>
      </c>
      <c r="E1372" s="5" t="s">
        <v>11312</v>
      </c>
      <c r="F1372" s="5" t="s">
        <v>715</v>
      </c>
      <c r="G1372" s="5" t="s">
        <v>11313</v>
      </c>
      <c r="H1372" s="6" t="s">
        <v>11314</v>
      </c>
      <c r="K1372" s="5" t="s">
        <v>11315</v>
      </c>
    </row>
    <row r="1373">
      <c r="A1373" s="4">
        <v>45534.33274519676</v>
      </c>
      <c r="B1373" s="5" t="s">
        <v>19</v>
      </c>
      <c r="C1373" s="5" t="s">
        <v>292</v>
      </c>
      <c r="E1373" s="5" t="s">
        <v>11318</v>
      </c>
      <c r="F1373" s="5" t="s">
        <v>212</v>
      </c>
      <c r="G1373" s="5" t="s">
        <v>11319</v>
      </c>
      <c r="H1373" s="6" t="s">
        <v>11320</v>
      </c>
      <c r="K1373" s="5" t="s">
        <v>11315</v>
      </c>
    </row>
    <row r="1374">
      <c r="A1374" s="4">
        <v>45534.332751863425</v>
      </c>
      <c r="B1374" s="5" t="s">
        <v>34</v>
      </c>
      <c r="D1374" s="5" t="s">
        <v>4775</v>
      </c>
      <c r="E1374" s="5" t="s">
        <v>11323</v>
      </c>
      <c r="F1374" s="5" t="s">
        <v>108</v>
      </c>
      <c r="G1374" s="5" t="s">
        <v>11324</v>
      </c>
      <c r="H1374" s="6" t="s">
        <v>11325</v>
      </c>
      <c r="K1374" s="5" t="s">
        <v>11315</v>
      </c>
    </row>
    <row r="1375">
      <c r="A1375" s="4">
        <v>45534.33275802083</v>
      </c>
      <c r="B1375" s="5" t="s">
        <v>34</v>
      </c>
      <c r="D1375" s="5" t="s">
        <v>4775</v>
      </c>
      <c r="E1375" s="5" t="s">
        <v>11328</v>
      </c>
      <c r="F1375" s="5" t="s">
        <v>199</v>
      </c>
      <c r="G1375" s="5" t="s">
        <v>11329</v>
      </c>
      <c r="H1375" s="6" t="s">
        <v>11330</v>
      </c>
      <c r="K1375" s="5" t="s">
        <v>11315</v>
      </c>
    </row>
    <row r="1376">
      <c r="A1376" s="4">
        <v>45534.332761805555</v>
      </c>
      <c r="B1376" s="5" t="s">
        <v>34</v>
      </c>
      <c r="D1376" s="5" t="s">
        <v>280</v>
      </c>
      <c r="E1376" s="5" t="s">
        <v>11334</v>
      </c>
      <c r="F1376" s="5" t="s">
        <v>37</v>
      </c>
      <c r="G1376" s="5" t="s">
        <v>11335</v>
      </c>
      <c r="H1376" s="6" t="s">
        <v>11336</v>
      </c>
      <c r="K1376" s="5" t="s">
        <v>11315</v>
      </c>
    </row>
    <row r="1377">
      <c r="A1377" s="4">
        <v>45534.332764942126</v>
      </c>
      <c r="B1377" s="5" t="s">
        <v>34</v>
      </c>
      <c r="D1377" s="5" t="s">
        <v>996</v>
      </c>
      <c r="E1377" s="5" t="s">
        <v>11339</v>
      </c>
      <c r="F1377" s="5" t="s">
        <v>212</v>
      </c>
      <c r="G1377" s="5" t="s">
        <v>11340</v>
      </c>
      <c r="H1377" s="6" t="s">
        <v>11341</v>
      </c>
      <c r="K1377" s="5" t="s">
        <v>11315</v>
      </c>
    </row>
    <row r="1378">
      <c r="A1378" s="4">
        <v>45534.33277405093</v>
      </c>
      <c r="B1378" s="5" t="s">
        <v>34</v>
      </c>
      <c r="D1378" s="5" t="s">
        <v>1206</v>
      </c>
      <c r="E1378" s="5" t="s">
        <v>11344</v>
      </c>
      <c r="F1378" s="5" t="s">
        <v>524</v>
      </c>
      <c r="G1378" s="5" t="s">
        <v>11345</v>
      </c>
      <c r="H1378" s="6" t="s">
        <v>11346</v>
      </c>
      <c r="K1378" s="5" t="s">
        <v>11315</v>
      </c>
    </row>
    <row r="1379">
      <c r="A1379" s="4">
        <v>45534.332793657406</v>
      </c>
      <c r="B1379" s="5" t="s">
        <v>34</v>
      </c>
      <c r="D1379" s="5" t="s">
        <v>9020</v>
      </c>
      <c r="E1379" s="5" t="s">
        <v>11349</v>
      </c>
      <c r="F1379" s="5" t="s">
        <v>212</v>
      </c>
      <c r="G1379" s="5" t="s">
        <v>11350</v>
      </c>
      <c r="H1379" s="6" t="s">
        <v>11351</v>
      </c>
      <c r="K1379" s="5" t="s">
        <v>11315</v>
      </c>
    </row>
    <row r="1380">
      <c r="A1380" s="4">
        <v>45534.332813402776</v>
      </c>
      <c r="B1380" s="5" t="s">
        <v>34</v>
      </c>
      <c r="D1380" s="5" t="s">
        <v>1206</v>
      </c>
      <c r="E1380" s="5" t="s">
        <v>11354</v>
      </c>
      <c r="F1380" s="5" t="s">
        <v>108</v>
      </c>
      <c r="G1380" s="5" t="s">
        <v>11355</v>
      </c>
      <c r="H1380" s="6" t="s">
        <v>11356</v>
      </c>
      <c r="K1380" s="5" t="s">
        <v>11315</v>
      </c>
    </row>
    <row r="1381">
      <c r="A1381" s="4">
        <v>45534.33281403936</v>
      </c>
      <c r="B1381" s="5" t="s">
        <v>34</v>
      </c>
      <c r="D1381" s="5" t="s">
        <v>1206</v>
      </c>
      <c r="E1381" s="5" t="s">
        <v>11359</v>
      </c>
      <c r="F1381" s="5" t="s">
        <v>37</v>
      </c>
      <c r="G1381" s="5" t="s">
        <v>11360</v>
      </c>
      <c r="H1381" s="6" t="s">
        <v>11361</v>
      </c>
      <c r="K1381" s="5" t="s">
        <v>11315</v>
      </c>
    </row>
    <row r="1382">
      <c r="A1382" s="4">
        <v>45534.33285659722</v>
      </c>
      <c r="B1382" s="5" t="s">
        <v>34</v>
      </c>
      <c r="D1382" s="5" t="s">
        <v>1206</v>
      </c>
      <c r="E1382" s="5" t="s">
        <v>11365</v>
      </c>
      <c r="F1382" s="5" t="s">
        <v>37</v>
      </c>
      <c r="G1382" s="5" t="s">
        <v>11366</v>
      </c>
      <c r="H1382" s="6" t="s">
        <v>11367</v>
      </c>
      <c r="I1382" s="7" t="s">
        <v>11368</v>
      </c>
      <c r="J1382" s="8" t="str">
        <f>HYPERLINK("https://drive.google.com/file/d/1Z4Cm34wGZDr2XrQ7F0b5rZaGIjGWmybb/view?usp=drivesdk","RATNA WIDIYAWATI SERTIFIKAT BerAKHLAK")</f>
        <v>RATNA WIDIYAWATI SERTIFIKAT BerAKHLAK</v>
      </c>
      <c r="K1382" s="5" t="s">
        <v>10464</v>
      </c>
      <c r="L1382" s="5" t="s">
        <v>11369</v>
      </c>
    </row>
    <row r="1383">
      <c r="A1383" s="4">
        <v>45534.33288767361</v>
      </c>
      <c r="B1383" s="5" t="s">
        <v>34</v>
      </c>
      <c r="D1383" s="5" t="s">
        <v>35</v>
      </c>
      <c r="E1383" s="5" t="s">
        <v>11372</v>
      </c>
      <c r="F1383" s="5" t="s">
        <v>328</v>
      </c>
      <c r="G1383" s="5" t="s">
        <v>11373</v>
      </c>
      <c r="H1383" s="6" t="s">
        <v>11374</v>
      </c>
      <c r="K1383" s="5" t="s">
        <v>11375</v>
      </c>
    </row>
    <row r="1384">
      <c r="A1384" s="4">
        <v>45534.332893576386</v>
      </c>
      <c r="B1384" s="5" t="s">
        <v>34</v>
      </c>
      <c r="D1384" s="5" t="s">
        <v>4775</v>
      </c>
      <c r="E1384" s="5" t="s">
        <v>11378</v>
      </c>
      <c r="F1384" s="5" t="s">
        <v>212</v>
      </c>
      <c r="G1384" s="5" t="s">
        <v>11379</v>
      </c>
      <c r="H1384" s="6" t="s">
        <v>11380</v>
      </c>
      <c r="K1384" s="5" t="s">
        <v>11375</v>
      </c>
    </row>
    <row r="1385">
      <c r="A1385" s="4">
        <v>45534.332894548614</v>
      </c>
      <c r="B1385" s="5" t="s">
        <v>34</v>
      </c>
      <c r="D1385" s="5" t="s">
        <v>4775</v>
      </c>
      <c r="E1385" s="5" t="s">
        <v>11383</v>
      </c>
      <c r="F1385" s="5" t="s">
        <v>212</v>
      </c>
      <c r="G1385" s="5" t="s">
        <v>11384</v>
      </c>
      <c r="H1385" s="6" t="s">
        <v>11385</v>
      </c>
      <c r="K1385" s="5" t="s">
        <v>11386</v>
      </c>
    </row>
    <row r="1386">
      <c r="A1386" s="4">
        <v>45534.33290489583</v>
      </c>
      <c r="B1386" s="5" t="s">
        <v>34</v>
      </c>
      <c r="D1386" s="5" t="s">
        <v>35</v>
      </c>
      <c r="E1386" s="5" t="s">
        <v>11389</v>
      </c>
      <c r="F1386" s="5" t="s">
        <v>37</v>
      </c>
      <c r="G1386" s="5" t="s">
        <v>11390</v>
      </c>
      <c r="H1386" s="6" t="s">
        <v>11391</v>
      </c>
      <c r="K1386" s="5" t="s">
        <v>11386</v>
      </c>
    </row>
    <row r="1387">
      <c r="A1387" s="4">
        <v>45534.33291719908</v>
      </c>
      <c r="B1387" s="5" t="s">
        <v>34</v>
      </c>
      <c r="D1387" s="5" t="s">
        <v>6232</v>
      </c>
      <c r="E1387" s="5" t="s">
        <v>11394</v>
      </c>
      <c r="F1387" s="5" t="s">
        <v>72</v>
      </c>
      <c r="G1387" s="5" t="s">
        <v>11395</v>
      </c>
      <c r="H1387" s="6" t="s">
        <v>11396</v>
      </c>
      <c r="K1387" s="5" t="s">
        <v>11386</v>
      </c>
    </row>
    <row r="1388">
      <c r="A1388" s="4">
        <v>45534.3329381713</v>
      </c>
      <c r="B1388" s="5" t="s">
        <v>34</v>
      </c>
      <c r="D1388" s="5" t="s">
        <v>4775</v>
      </c>
      <c r="E1388" s="5" t="s">
        <v>11400</v>
      </c>
      <c r="F1388" s="5" t="s">
        <v>524</v>
      </c>
      <c r="G1388" s="5" t="s">
        <v>11401</v>
      </c>
      <c r="H1388" s="6" t="s">
        <v>11402</v>
      </c>
      <c r="K1388" s="5" t="s">
        <v>11386</v>
      </c>
    </row>
    <row r="1389">
      <c r="A1389" s="4">
        <v>45534.332972187505</v>
      </c>
      <c r="B1389" s="5" t="s">
        <v>34</v>
      </c>
      <c r="D1389" s="5" t="s">
        <v>267</v>
      </c>
      <c r="E1389" s="5" t="s">
        <v>11405</v>
      </c>
      <c r="F1389" s="5" t="s">
        <v>37</v>
      </c>
      <c r="G1389" s="5" t="s">
        <v>11406</v>
      </c>
      <c r="H1389" s="6" t="s">
        <v>11407</v>
      </c>
      <c r="K1389" s="5" t="s">
        <v>11408</v>
      </c>
    </row>
    <row r="1390">
      <c r="A1390" s="4">
        <v>45534.33297538194</v>
      </c>
      <c r="B1390" s="5" t="s">
        <v>34</v>
      </c>
      <c r="D1390" s="5" t="s">
        <v>3432</v>
      </c>
      <c r="E1390" s="5" t="s">
        <v>11411</v>
      </c>
      <c r="F1390" s="5" t="s">
        <v>120</v>
      </c>
      <c r="G1390" s="5" t="s">
        <v>11412</v>
      </c>
      <c r="H1390" s="6" t="s">
        <v>11413</v>
      </c>
      <c r="K1390" s="5" t="s">
        <v>11408</v>
      </c>
    </row>
    <row r="1391">
      <c r="A1391" s="4">
        <v>45534.33298525463</v>
      </c>
      <c r="B1391" s="5" t="s">
        <v>34</v>
      </c>
      <c r="D1391" s="5" t="s">
        <v>35</v>
      </c>
      <c r="E1391" s="5" t="s">
        <v>11416</v>
      </c>
      <c r="F1391" s="5" t="s">
        <v>524</v>
      </c>
      <c r="G1391" s="5" t="s">
        <v>11417</v>
      </c>
      <c r="H1391" s="6" t="s">
        <v>11418</v>
      </c>
      <c r="K1391" s="5" t="s">
        <v>11408</v>
      </c>
    </row>
    <row r="1392">
      <c r="A1392" s="4">
        <v>45534.332998784725</v>
      </c>
      <c r="B1392" s="5" t="s">
        <v>19</v>
      </c>
      <c r="C1392" s="5" t="s">
        <v>3301</v>
      </c>
      <c r="E1392" s="5" t="s">
        <v>11421</v>
      </c>
      <c r="F1392" s="5" t="s">
        <v>72</v>
      </c>
      <c r="G1392" s="5" t="s">
        <v>11422</v>
      </c>
      <c r="H1392" s="6" t="s">
        <v>11423</v>
      </c>
      <c r="K1392" s="5" t="s">
        <v>11408</v>
      </c>
    </row>
    <row r="1393">
      <c r="A1393" s="4">
        <v>45534.33299983796</v>
      </c>
      <c r="B1393" s="5" t="s">
        <v>34</v>
      </c>
      <c r="D1393" s="5" t="s">
        <v>1206</v>
      </c>
      <c r="E1393" s="5" t="s">
        <v>11427</v>
      </c>
      <c r="F1393" s="5" t="s">
        <v>212</v>
      </c>
      <c r="G1393" s="5" t="s">
        <v>11428</v>
      </c>
      <c r="H1393" s="6" t="s">
        <v>11429</v>
      </c>
      <c r="K1393" s="5" t="s">
        <v>11408</v>
      </c>
    </row>
    <row r="1394">
      <c r="A1394" s="4">
        <v>45534.33302721065</v>
      </c>
      <c r="B1394" s="5" t="s">
        <v>34</v>
      </c>
      <c r="D1394" s="5" t="s">
        <v>1768</v>
      </c>
      <c r="E1394" s="5" t="s">
        <v>11432</v>
      </c>
      <c r="F1394" s="5" t="s">
        <v>108</v>
      </c>
      <c r="G1394" s="5" t="s">
        <v>11433</v>
      </c>
      <c r="H1394" s="6" t="s">
        <v>11434</v>
      </c>
      <c r="K1394" s="5" t="s">
        <v>11435</v>
      </c>
    </row>
    <row r="1395">
      <c r="A1395" s="4">
        <v>45534.333038576384</v>
      </c>
      <c r="B1395" s="5" t="s">
        <v>19</v>
      </c>
      <c r="C1395" s="5" t="s">
        <v>292</v>
      </c>
      <c r="E1395" s="5" t="s">
        <v>11438</v>
      </c>
      <c r="F1395" s="5" t="s">
        <v>212</v>
      </c>
      <c r="G1395" s="5" t="s">
        <v>11439</v>
      </c>
      <c r="H1395" s="6" t="s">
        <v>11440</v>
      </c>
      <c r="K1395" s="5" t="s">
        <v>11435</v>
      </c>
    </row>
    <row r="1396">
      <c r="A1396" s="4">
        <v>45534.333064398146</v>
      </c>
      <c r="B1396" s="5" t="s">
        <v>34</v>
      </c>
      <c r="D1396" s="5" t="s">
        <v>9020</v>
      </c>
      <c r="E1396" s="5" t="s">
        <v>11443</v>
      </c>
      <c r="F1396" s="5" t="s">
        <v>524</v>
      </c>
      <c r="G1396" s="5" t="s">
        <v>11444</v>
      </c>
      <c r="H1396" s="6" t="s">
        <v>11445</v>
      </c>
      <c r="K1396" s="5" t="s">
        <v>11446</v>
      </c>
    </row>
    <row r="1397">
      <c r="A1397" s="4">
        <v>45534.333086666666</v>
      </c>
      <c r="B1397" s="5" t="s">
        <v>34</v>
      </c>
      <c r="D1397" s="5" t="s">
        <v>280</v>
      </c>
      <c r="E1397" s="5" t="s">
        <v>11449</v>
      </c>
      <c r="F1397" s="5" t="s">
        <v>37</v>
      </c>
      <c r="G1397" s="5" t="s">
        <v>11450</v>
      </c>
      <c r="H1397" s="6" t="s">
        <v>11451</v>
      </c>
      <c r="K1397" s="5" t="s">
        <v>10493</v>
      </c>
    </row>
    <row r="1398">
      <c r="A1398" s="4">
        <v>45534.333088761574</v>
      </c>
      <c r="B1398" s="5" t="s">
        <v>34</v>
      </c>
      <c r="D1398" s="5" t="s">
        <v>1206</v>
      </c>
      <c r="E1398" s="5" t="s">
        <v>11455</v>
      </c>
      <c r="F1398" s="5" t="s">
        <v>37</v>
      </c>
      <c r="G1398" s="5" t="s">
        <v>11456</v>
      </c>
      <c r="H1398" s="6" t="s">
        <v>11457</v>
      </c>
      <c r="K1398" s="5" t="s">
        <v>10493</v>
      </c>
    </row>
    <row r="1399">
      <c r="A1399" s="4">
        <v>45534.33309619213</v>
      </c>
      <c r="B1399" s="5" t="s">
        <v>34</v>
      </c>
      <c r="D1399" s="5" t="s">
        <v>9020</v>
      </c>
      <c r="E1399" s="5" t="s">
        <v>11460</v>
      </c>
      <c r="F1399" s="5" t="s">
        <v>375</v>
      </c>
      <c r="G1399" s="5" t="s">
        <v>11461</v>
      </c>
      <c r="H1399" s="6" t="s">
        <v>11462</v>
      </c>
      <c r="K1399" s="5" t="s">
        <v>10493</v>
      </c>
    </row>
    <row r="1400">
      <c r="A1400" s="4">
        <v>45534.33310685185</v>
      </c>
      <c r="B1400" s="5" t="s">
        <v>34</v>
      </c>
      <c r="D1400" s="5" t="s">
        <v>6232</v>
      </c>
      <c r="E1400" s="5" t="s">
        <v>11465</v>
      </c>
      <c r="F1400" s="5" t="s">
        <v>37</v>
      </c>
      <c r="G1400" s="5" t="s">
        <v>11466</v>
      </c>
      <c r="H1400" s="6" t="s">
        <v>11467</v>
      </c>
      <c r="K1400" s="5" t="s">
        <v>10493</v>
      </c>
    </row>
    <row r="1401">
      <c r="A1401" s="4">
        <v>45534.3331071875</v>
      </c>
      <c r="B1401" s="5" t="s">
        <v>34</v>
      </c>
      <c r="D1401" s="5" t="s">
        <v>1206</v>
      </c>
      <c r="E1401" s="5" t="s">
        <v>11470</v>
      </c>
      <c r="F1401" s="5" t="s">
        <v>37</v>
      </c>
      <c r="G1401" s="5" t="s">
        <v>11471</v>
      </c>
      <c r="H1401" s="6" t="s">
        <v>11472</v>
      </c>
      <c r="K1401" s="5" t="s">
        <v>10493</v>
      </c>
    </row>
    <row r="1402">
      <c r="A1402" s="4">
        <v>45534.33311415509</v>
      </c>
      <c r="B1402" s="5" t="s">
        <v>34</v>
      </c>
      <c r="D1402" s="5" t="s">
        <v>1768</v>
      </c>
      <c r="E1402" s="5" t="s">
        <v>11475</v>
      </c>
      <c r="F1402" s="5" t="s">
        <v>212</v>
      </c>
      <c r="G1402" s="5" t="s">
        <v>11476</v>
      </c>
      <c r="H1402" s="6" t="s">
        <v>11477</v>
      </c>
      <c r="K1402" s="5" t="s">
        <v>10493</v>
      </c>
    </row>
    <row r="1403">
      <c r="A1403" s="4">
        <v>45534.333119953706</v>
      </c>
      <c r="B1403" s="5" t="s">
        <v>19</v>
      </c>
      <c r="C1403" s="5" t="s">
        <v>442</v>
      </c>
      <c r="E1403" s="5" t="s">
        <v>11481</v>
      </c>
      <c r="F1403" s="5" t="s">
        <v>120</v>
      </c>
      <c r="G1403" s="5" t="s">
        <v>11482</v>
      </c>
      <c r="H1403" s="6" t="s">
        <v>11483</v>
      </c>
      <c r="K1403" s="5" t="s">
        <v>10493</v>
      </c>
    </row>
    <row r="1404">
      <c r="A1404" s="4">
        <v>45534.33313078704</v>
      </c>
      <c r="B1404" s="5" t="s">
        <v>34</v>
      </c>
      <c r="D1404" s="5" t="s">
        <v>1206</v>
      </c>
      <c r="E1404" s="5" t="s">
        <v>11486</v>
      </c>
      <c r="F1404" s="5" t="s">
        <v>524</v>
      </c>
      <c r="G1404" s="5" t="s">
        <v>11487</v>
      </c>
      <c r="H1404" s="6" t="s">
        <v>11488</v>
      </c>
      <c r="K1404" s="5" t="s">
        <v>10493</v>
      </c>
    </row>
    <row r="1405">
      <c r="A1405" s="4">
        <v>45534.33313940972</v>
      </c>
      <c r="B1405" s="5" t="s">
        <v>19</v>
      </c>
      <c r="C1405" s="5" t="s">
        <v>292</v>
      </c>
      <c r="E1405" s="5" t="s">
        <v>11491</v>
      </c>
      <c r="F1405" s="5" t="s">
        <v>108</v>
      </c>
      <c r="G1405" s="5" t="s">
        <v>11492</v>
      </c>
      <c r="H1405" s="6" t="s">
        <v>11493</v>
      </c>
      <c r="I1405" s="7" t="s">
        <v>11494</v>
      </c>
      <c r="J1405" s="8" t="str">
        <f>HYPERLINK("https://drive.google.com/file/d/1LTxDiD3TDYtizJBbGCF6IoSsIfG1SfiC/view?usp=drivesdk","SRI SUDYANINGSIH SERTIFIKAT BerAKHLAK")</f>
        <v>SRI SUDYANINGSIH SERTIFIKAT BerAKHLAK</v>
      </c>
      <c r="K1405" s="5" t="s">
        <v>10464</v>
      </c>
      <c r="L1405" s="5" t="s">
        <v>11495</v>
      </c>
    </row>
    <row r="1406">
      <c r="A1406" s="4">
        <v>45534.333156759254</v>
      </c>
      <c r="B1406" s="5" t="s">
        <v>34</v>
      </c>
      <c r="D1406" s="5" t="s">
        <v>6232</v>
      </c>
      <c r="E1406" s="5" t="s">
        <v>11498</v>
      </c>
      <c r="F1406" s="5" t="s">
        <v>72</v>
      </c>
      <c r="G1406" s="5" t="s">
        <v>11499</v>
      </c>
      <c r="H1406" s="6" t="s">
        <v>11500</v>
      </c>
      <c r="I1406" s="7" t="s">
        <v>11501</v>
      </c>
      <c r="J1406" s="8" t="str">
        <f>HYPERLINK("https://drive.google.com/file/d/1yrlTxU1-5lWkl4OXKQK7UWC7epmi53SE/view?usp=drivesdk","ANDINA AZRIANTI,AMd.,Farm.SKM SERTIFIKAT BerAKHLAK")</f>
        <v>ANDINA AZRIANTI,AMd.,Farm.SKM SERTIFIKAT BerAKHLAK</v>
      </c>
      <c r="K1406" s="5" t="s">
        <v>10464</v>
      </c>
      <c r="L1406" s="5" t="s">
        <v>11502</v>
      </c>
    </row>
    <row r="1407">
      <c r="A1407" s="4">
        <v>45534.3331690625</v>
      </c>
      <c r="B1407" s="5" t="s">
        <v>34</v>
      </c>
      <c r="D1407" s="5" t="s">
        <v>580</v>
      </c>
      <c r="E1407" s="5" t="s">
        <v>11505</v>
      </c>
      <c r="F1407" s="5" t="s">
        <v>375</v>
      </c>
      <c r="G1407" s="5" t="s">
        <v>11506</v>
      </c>
      <c r="H1407" s="6" t="s">
        <v>11507</v>
      </c>
      <c r="I1407" s="7" t="s">
        <v>11508</v>
      </c>
      <c r="J1407" s="8" t="str">
        <f>HYPERLINK("https://drive.google.com/file/d/11ESDCuN6o6ATxbHa25-VtQiea8uNTvFv/view?usp=drivesdk","NI LUH PUTU SUMARIYATI, S.E. SERTIFIKAT BerAKHLAK")</f>
        <v>NI LUH PUTU SUMARIYATI, S.E. SERTIFIKAT BerAKHLAK</v>
      </c>
      <c r="K1407" s="5" t="s">
        <v>10486</v>
      </c>
      <c r="L1407" s="5" t="s">
        <v>11509</v>
      </c>
    </row>
    <row r="1408">
      <c r="A1408" s="4">
        <v>45534.33319695602</v>
      </c>
      <c r="B1408" s="5" t="s">
        <v>34</v>
      </c>
      <c r="D1408" s="5" t="s">
        <v>35</v>
      </c>
      <c r="E1408" s="5" t="s">
        <v>11513</v>
      </c>
      <c r="F1408" s="5" t="s">
        <v>212</v>
      </c>
      <c r="G1408" s="5" t="s">
        <v>11514</v>
      </c>
      <c r="H1408" s="6" t="s">
        <v>11515</v>
      </c>
      <c r="I1408" s="7" t="s">
        <v>11516</v>
      </c>
      <c r="J1408" s="8" t="str">
        <f>HYPERLINK("https://drive.google.com/file/d/102xhk2Uumw-KnhmR56D-LHTHBunm-hMF/view?usp=drivesdk","SITI KHAMIDAH SERTIFIKAT BerAKHLAK")</f>
        <v>SITI KHAMIDAH SERTIFIKAT BerAKHLAK</v>
      </c>
      <c r="K1408" s="5" t="s">
        <v>10486</v>
      </c>
      <c r="L1408" s="5" t="s">
        <v>11517</v>
      </c>
    </row>
    <row r="1409">
      <c r="A1409" s="4">
        <v>45534.333202256945</v>
      </c>
      <c r="B1409" s="5" t="s">
        <v>34</v>
      </c>
      <c r="D1409" s="5" t="s">
        <v>35</v>
      </c>
      <c r="E1409" s="5" t="s">
        <v>11520</v>
      </c>
      <c r="F1409" s="5" t="s">
        <v>108</v>
      </c>
      <c r="G1409" s="5" t="s">
        <v>11521</v>
      </c>
      <c r="H1409" s="6" t="s">
        <v>11522</v>
      </c>
      <c r="I1409" s="7" t="s">
        <v>11523</v>
      </c>
      <c r="J1409" s="8" t="str">
        <f>HYPERLINK("https://drive.google.com/file/d/1sW-ywNTjVw0byhM79hl29sOINaq6nglj/view?usp=drivesdk","RIMA RAKHMAWATI SERTIFIKAT BerAKHLAK")</f>
        <v>RIMA RAKHMAWATI SERTIFIKAT BerAKHLAK</v>
      </c>
      <c r="K1409" s="5" t="s">
        <v>10486</v>
      </c>
      <c r="L1409" s="5" t="s">
        <v>11524</v>
      </c>
    </row>
    <row r="1410">
      <c r="A1410" s="4">
        <v>45534.33320653935</v>
      </c>
      <c r="B1410" s="5" t="s">
        <v>34</v>
      </c>
      <c r="D1410" s="5" t="s">
        <v>11527</v>
      </c>
      <c r="E1410" s="5" t="s">
        <v>11528</v>
      </c>
      <c r="F1410" s="5" t="s">
        <v>199</v>
      </c>
      <c r="G1410" s="5" t="s">
        <v>11529</v>
      </c>
      <c r="H1410" s="6" t="s">
        <v>11530</v>
      </c>
      <c r="I1410" s="7" t="s">
        <v>11531</v>
      </c>
      <c r="J1410" s="8" t="str">
        <f>HYPERLINK("https://drive.google.com/file/d/1dbgbPBH1d2L9Xkma4_r770mtSgso4plX/view?usp=drivesdk","ARNOL STEVEN ANIS SERTIFIKAT BerAKHLAK")</f>
        <v>ARNOL STEVEN ANIS SERTIFIKAT BerAKHLAK</v>
      </c>
      <c r="K1410" s="5" t="s">
        <v>10486</v>
      </c>
      <c r="L1410" s="5" t="s">
        <v>11532</v>
      </c>
    </row>
    <row r="1411">
      <c r="A1411" s="4">
        <v>45534.3332093287</v>
      </c>
      <c r="B1411" s="5" t="s">
        <v>34</v>
      </c>
      <c r="D1411" s="5" t="s">
        <v>35</v>
      </c>
      <c r="E1411" s="5" t="s">
        <v>11535</v>
      </c>
      <c r="F1411" s="5" t="s">
        <v>37</v>
      </c>
      <c r="G1411" s="5" t="s">
        <v>11536</v>
      </c>
      <c r="H1411" s="6" t="s">
        <v>11537</v>
      </c>
      <c r="I1411" s="7" t="s">
        <v>11538</v>
      </c>
      <c r="J1411" s="8" t="str">
        <f>HYPERLINK("https://drive.google.com/file/d/1H_-A5AwKrpnYJPcsqKlBFbDB8z0euiZ_/view?usp=drivesdk","NUNUNG NURHAENENGSIH SERTIFIKAT BerAKHLAK")</f>
        <v>NUNUNG NURHAENENGSIH SERTIFIKAT BerAKHLAK</v>
      </c>
      <c r="K1411" s="5" t="s">
        <v>10486</v>
      </c>
      <c r="L1411" s="5" t="s">
        <v>11539</v>
      </c>
    </row>
    <row r="1412">
      <c r="A1412" s="4">
        <v>45534.33321351852</v>
      </c>
      <c r="B1412" s="5" t="s">
        <v>34</v>
      </c>
      <c r="D1412" s="5" t="s">
        <v>6232</v>
      </c>
      <c r="E1412" s="5" t="s">
        <v>11542</v>
      </c>
      <c r="F1412" s="5" t="s">
        <v>72</v>
      </c>
      <c r="G1412" s="5" t="s">
        <v>11543</v>
      </c>
      <c r="H1412" s="6" t="s">
        <v>11544</v>
      </c>
      <c r="I1412" s="7" t="s">
        <v>11545</v>
      </c>
      <c r="J1412" s="8" t="str">
        <f>HYPERLINK("https://drive.google.com/file/d/1ISv-YENqMhly8BcBIxL_E0uysKSftnxS/view?usp=drivesdk","IDA DUMA ANNIEKE S.H. SERTIFIKAT BerAKHLAK")</f>
        <v>IDA DUMA ANNIEKE S.H. SERTIFIKAT BerAKHLAK</v>
      </c>
      <c r="K1412" s="5" t="s">
        <v>10486</v>
      </c>
      <c r="L1412" s="5" t="s">
        <v>11546</v>
      </c>
    </row>
    <row r="1413">
      <c r="A1413" s="4">
        <v>45534.333219340275</v>
      </c>
      <c r="B1413" s="5" t="s">
        <v>34</v>
      </c>
      <c r="D1413" s="5" t="s">
        <v>10444</v>
      </c>
      <c r="E1413" s="5" t="s">
        <v>11549</v>
      </c>
      <c r="F1413" s="5" t="s">
        <v>120</v>
      </c>
      <c r="G1413" s="5" t="s">
        <v>11550</v>
      </c>
      <c r="H1413" s="6" t="s">
        <v>11551</v>
      </c>
      <c r="I1413" s="7" t="s">
        <v>11552</v>
      </c>
      <c r="J1413" s="8" t="str">
        <f>HYPERLINK("https://drive.google.com/file/d/1aQrzrLQYMfCU50DcYUagouK6k97y-kau/view?usp=drivesdk","AMBAR PRATIWI KARINO, S.E. SERTIFIKAT BerAKHLAK")</f>
        <v>AMBAR PRATIWI KARINO, S.E. SERTIFIKAT BerAKHLAK</v>
      </c>
      <c r="K1413" s="5" t="s">
        <v>10486</v>
      </c>
      <c r="L1413" s="5" t="s">
        <v>11553</v>
      </c>
    </row>
    <row r="1414">
      <c r="A1414" s="4">
        <v>45534.333231956014</v>
      </c>
      <c r="B1414" s="5" t="s">
        <v>19</v>
      </c>
      <c r="C1414" s="5" t="s">
        <v>466</v>
      </c>
      <c r="E1414" s="5" t="s">
        <v>11557</v>
      </c>
      <c r="F1414" s="5" t="s">
        <v>212</v>
      </c>
      <c r="G1414" s="5" t="s">
        <v>11558</v>
      </c>
      <c r="H1414" s="6" t="s">
        <v>11559</v>
      </c>
      <c r="I1414" s="7" t="s">
        <v>11560</v>
      </c>
      <c r="J1414" s="8" t="str">
        <f>HYPERLINK("https://drive.google.com/file/d/1H1LFPRmLBvjO7Dh8-K-IGOeedrifcRhK/view?usp=drivesdk","SINGGIH SUPANTO SERTIFIKAT BerAKHLAK")</f>
        <v>SINGGIH SUPANTO SERTIFIKAT BerAKHLAK</v>
      </c>
      <c r="K1414" s="5" t="s">
        <v>10486</v>
      </c>
      <c r="L1414" s="5" t="s">
        <v>11561</v>
      </c>
    </row>
    <row r="1415">
      <c r="A1415" s="4">
        <v>45534.333234861115</v>
      </c>
      <c r="B1415" s="5" t="s">
        <v>19</v>
      </c>
      <c r="C1415" s="5" t="s">
        <v>20</v>
      </c>
      <c r="E1415" s="5" t="s">
        <v>11564</v>
      </c>
      <c r="F1415" s="5" t="s">
        <v>72</v>
      </c>
      <c r="G1415" s="5" t="s">
        <v>11565</v>
      </c>
      <c r="H1415" s="6" t="s">
        <v>11566</v>
      </c>
      <c r="I1415" s="7" t="s">
        <v>11567</v>
      </c>
      <c r="J1415" s="8" t="str">
        <f>HYPERLINK("https://drive.google.com/file/d/1mrTX-EW8z9TtJL9M4_BynB_9L2xYXf7e/view?usp=drivesdk","BAMBANG JOKO PURWANTO SERTIFIKAT BerAKHLAK")</f>
        <v>BAMBANG JOKO PURWANTO SERTIFIKAT BerAKHLAK</v>
      </c>
      <c r="K1415" s="5" t="s">
        <v>10486</v>
      </c>
      <c r="L1415" s="5" t="s">
        <v>11568</v>
      </c>
    </row>
    <row r="1416">
      <c r="A1416" s="4">
        <v>45534.333242395835</v>
      </c>
      <c r="B1416" s="5" t="s">
        <v>34</v>
      </c>
      <c r="D1416" s="5" t="s">
        <v>35</v>
      </c>
      <c r="E1416" s="5" t="s">
        <v>11571</v>
      </c>
      <c r="F1416" s="5" t="s">
        <v>37</v>
      </c>
      <c r="G1416" s="5" t="s">
        <v>11572</v>
      </c>
      <c r="H1416" s="6" t="s">
        <v>11573</v>
      </c>
      <c r="I1416" s="7" t="s">
        <v>11574</v>
      </c>
      <c r="J1416" s="8" t="str">
        <f>HYPERLINK("https://drive.google.com/file/d/1yeQW99nM-TjqIRP78OUA-m3XbANm2e58/view?usp=drivesdk","CHAINUN PRIHATINI SERTIFIKAT BerAKHLAK")</f>
        <v>CHAINUN PRIHATINI SERTIFIKAT BerAKHLAK</v>
      </c>
      <c r="K1416" s="5" t="s">
        <v>10486</v>
      </c>
      <c r="L1416" s="5" t="s">
        <v>11575</v>
      </c>
    </row>
    <row r="1417">
      <c r="A1417" s="4">
        <v>45534.333242824076</v>
      </c>
      <c r="B1417" s="5" t="s">
        <v>19</v>
      </c>
      <c r="C1417" s="5" t="s">
        <v>292</v>
      </c>
      <c r="E1417" s="5" t="s">
        <v>11578</v>
      </c>
      <c r="F1417" s="5" t="s">
        <v>524</v>
      </c>
      <c r="G1417" s="5" t="s">
        <v>11579</v>
      </c>
      <c r="H1417" s="6" t="s">
        <v>11580</v>
      </c>
      <c r="I1417" s="7" t="s">
        <v>11581</v>
      </c>
      <c r="J1417" s="8" t="str">
        <f>HYPERLINK("https://drive.google.com/file/d/14qMwgNqbTBJcYY1DZBH8YhsBKpE2NlI9/view?usp=drivesdk","AFNI SURAHMAN  SERTIFIKAT BerAKHLAK")</f>
        <v>AFNI SURAHMAN  SERTIFIKAT BerAKHLAK</v>
      </c>
      <c r="K1417" s="5" t="s">
        <v>10486</v>
      </c>
      <c r="L1417" s="5" t="s">
        <v>11582</v>
      </c>
    </row>
    <row r="1418">
      <c r="A1418" s="4">
        <v>45534.33325028935</v>
      </c>
      <c r="B1418" s="5" t="s">
        <v>34</v>
      </c>
      <c r="D1418" s="5" t="s">
        <v>35</v>
      </c>
      <c r="E1418" s="5" t="s">
        <v>11585</v>
      </c>
      <c r="F1418" s="5" t="s">
        <v>212</v>
      </c>
      <c r="G1418" s="5" t="s">
        <v>11586</v>
      </c>
      <c r="H1418" s="6" t="s">
        <v>11587</v>
      </c>
      <c r="I1418" s="7" t="s">
        <v>11588</v>
      </c>
      <c r="J1418" s="8" t="str">
        <f>HYPERLINK("https://drive.google.com/file/d/1Bm_75_2j8oSHh2N-pq_DrnaOidt-yaDS/view?usp=drivesdk","SUGIARTIYUSROTUN SERTIFIKAT BerAKHLAK")</f>
        <v>SUGIARTIYUSROTUN SERTIFIKAT BerAKHLAK</v>
      </c>
      <c r="K1418" s="5" t="s">
        <v>10486</v>
      </c>
      <c r="L1418" s="5" t="s">
        <v>11589</v>
      </c>
    </row>
    <row r="1419">
      <c r="A1419" s="4">
        <v>45534.33326501158</v>
      </c>
      <c r="B1419" s="5" t="s">
        <v>19</v>
      </c>
      <c r="C1419" s="5" t="s">
        <v>11593</v>
      </c>
      <c r="E1419" s="5" t="s">
        <v>11594</v>
      </c>
      <c r="F1419" s="5" t="s">
        <v>375</v>
      </c>
      <c r="G1419" s="5" t="s">
        <v>11595</v>
      </c>
      <c r="H1419" s="6" t="s">
        <v>11596</v>
      </c>
      <c r="I1419" s="7" t="s">
        <v>11597</v>
      </c>
      <c r="J1419" s="8" t="str">
        <f>HYPERLINK("https://drive.google.com/file/d/1DcXLL62kEHXx_7gAgsg5HXs3UPoExkoK/view?usp=drivesdk","HADI BUDIYANTO, S.SOS SERTIFIKAT BerAKHLAK")</f>
        <v>HADI BUDIYANTO, S.SOS SERTIFIKAT BerAKHLAK</v>
      </c>
      <c r="K1419" s="5" t="s">
        <v>10486</v>
      </c>
      <c r="L1419" s="5" t="s">
        <v>11598</v>
      </c>
    </row>
    <row r="1420">
      <c r="A1420" s="4">
        <v>45534.333268055554</v>
      </c>
      <c r="B1420" s="5" t="s">
        <v>19</v>
      </c>
      <c r="C1420" s="5" t="s">
        <v>11593</v>
      </c>
      <c r="E1420" s="5" t="s">
        <v>11601</v>
      </c>
      <c r="F1420" s="5" t="s">
        <v>375</v>
      </c>
      <c r="G1420" s="5" t="s">
        <v>11602</v>
      </c>
      <c r="H1420" s="6" t="s">
        <v>11603</v>
      </c>
      <c r="I1420" s="7" t="s">
        <v>11604</v>
      </c>
      <c r="J1420" s="8" t="str">
        <f>HYPERLINK("https://drive.google.com/file/d/1T6OwVV3Wo4FBTJBYOIp1JjCHaGGj5g_a/view?usp=drivesdk","CARRY SIMANJUNTAK, S.H. SERTIFIKAT BerAKHLAK")</f>
        <v>CARRY SIMANJUNTAK, S.H. SERTIFIKAT BerAKHLAK</v>
      </c>
      <c r="K1420" s="5" t="s">
        <v>10486</v>
      </c>
      <c r="L1420" s="5" t="s">
        <v>11605</v>
      </c>
    </row>
    <row r="1421">
      <c r="A1421" s="4">
        <v>45534.33327923611</v>
      </c>
      <c r="B1421" s="5" t="s">
        <v>34</v>
      </c>
      <c r="D1421" s="5" t="s">
        <v>35</v>
      </c>
      <c r="E1421" s="5" t="s">
        <v>11608</v>
      </c>
      <c r="F1421" s="5" t="s">
        <v>108</v>
      </c>
      <c r="G1421" s="5" t="s">
        <v>11609</v>
      </c>
      <c r="H1421" s="6" t="s">
        <v>11610</v>
      </c>
      <c r="I1421" s="7" t="s">
        <v>11611</v>
      </c>
      <c r="J1421" s="8" t="str">
        <f>HYPERLINK("https://drive.google.com/file/d/1SXp8Ys8QGTkKwph0j23QXHyCvRQ7UEEz/view?usp=drivesdk","GIRI GUNAWAN, S.H. SERTIFIKAT BerAKHLAK")</f>
        <v>GIRI GUNAWAN, S.H. SERTIFIKAT BerAKHLAK</v>
      </c>
      <c r="K1421" s="5" t="s">
        <v>10486</v>
      </c>
      <c r="L1421" s="5" t="s">
        <v>11612</v>
      </c>
    </row>
    <row r="1422">
      <c r="A1422" s="4">
        <v>45534.33328224537</v>
      </c>
      <c r="B1422" s="5" t="s">
        <v>34</v>
      </c>
      <c r="D1422" s="5" t="s">
        <v>1206</v>
      </c>
      <c r="E1422" s="5" t="s">
        <v>11615</v>
      </c>
      <c r="F1422" s="5" t="s">
        <v>212</v>
      </c>
      <c r="G1422" s="5" t="s">
        <v>11616</v>
      </c>
      <c r="H1422" s="6" t="s">
        <v>11617</v>
      </c>
      <c r="I1422" s="7" t="s">
        <v>11618</v>
      </c>
      <c r="J1422" s="8" t="str">
        <f>HYPERLINK("https://drive.google.com/file/d/1_6gu2W_mFkoKvoqyn0EuNayg7E14i8Jc/view?usp=drivesdk","SUHARTINI NINGSIH SERTIFIKAT BerAKHLAK")</f>
        <v>SUHARTINI NINGSIH SERTIFIKAT BerAKHLAK</v>
      </c>
      <c r="K1422" s="5" t="s">
        <v>10486</v>
      </c>
      <c r="L1422" s="5" t="s">
        <v>11619</v>
      </c>
    </row>
    <row r="1423">
      <c r="A1423" s="4">
        <v>45534.33330096064</v>
      </c>
      <c r="B1423" s="5" t="s">
        <v>34</v>
      </c>
      <c r="D1423" s="5" t="s">
        <v>522</v>
      </c>
      <c r="E1423" s="5" t="s">
        <v>11622</v>
      </c>
      <c r="F1423" s="5" t="s">
        <v>212</v>
      </c>
      <c r="G1423" s="5" t="s">
        <v>11623</v>
      </c>
      <c r="H1423" s="6" t="s">
        <v>11624</v>
      </c>
      <c r="I1423" s="7" t="s">
        <v>11625</v>
      </c>
      <c r="J1423" s="8" t="str">
        <f>HYPERLINK("https://drive.google.com/file/d/1Ydl8wPreP9L2IeBuI8d249sZiewh8j0K/view?usp=drivesdk","MUHAMAD SAHLAN SERTIFIKAT BerAKHLAK")</f>
        <v>MUHAMAD SAHLAN SERTIFIKAT BerAKHLAK</v>
      </c>
      <c r="K1423" s="5" t="s">
        <v>10486</v>
      </c>
      <c r="L1423" s="5" t="s">
        <v>11626</v>
      </c>
    </row>
    <row r="1424">
      <c r="A1424" s="4">
        <v>45534.33330733796</v>
      </c>
      <c r="B1424" s="5" t="s">
        <v>34</v>
      </c>
      <c r="D1424" s="5" t="s">
        <v>267</v>
      </c>
      <c r="E1424" s="5" t="s">
        <v>11629</v>
      </c>
      <c r="F1424" s="5" t="s">
        <v>37</v>
      </c>
      <c r="G1424" s="5" t="s">
        <v>11630</v>
      </c>
      <c r="H1424" s="6" t="s">
        <v>11631</v>
      </c>
      <c r="I1424" s="7" t="s">
        <v>11632</v>
      </c>
      <c r="J1424" s="8" t="str">
        <f>HYPERLINK("https://drive.google.com/file/d/15F9cGHBcXv3sXBYpQdUBD_zsyxqZUBhG/view?usp=drivesdk","MUSLIMAH IMAH SERTIFIKAT BerAKHLAK")</f>
        <v>MUSLIMAH IMAH SERTIFIKAT BerAKHLAK</v>
      </c>
      <c r="K1424" s="5" t="s">
        <v>10486</v>
      </c>
      <c r="L1424" s="5" t="s">
        <v>11633</v>
      </c>
    </row>
    <row r="1425">
      <c r="A1425" s="4">
        <v>45534.333314814816</v>
      </c>
      <c r="B1425" s="5" t="s">
        <v>34</v>
      </c>
      <c r="D1425" s="5" t="s">
        <v>701</v>
      </c>
      <c r="E1425" s="5" t="s">
        <v>11637</v>
      </c>
      <c r="F1425" s="5" t="s">
        <v>798</v>
      </c>
      <c r="G1425" s="5" t="s">
        <v>11638</v>
      </c>
      <c r="H1425" s="6" t="s">
        <v>11639</v>
      </c>
      <c r="I1425" s="7" t="s">
        <v>11640</v>
      </c>
      <c r="J1425" s="8" t="str">
        <f>HYPERLINK("https://drive.google.com/file/d/1fZCLRtGzM5YofmXVqtUjOa3ypx3x_8Sw/view?usp=drivesdk","SUCI RAHMADONA, S.H. SERTIFIKAT BerAKHLAK")</f>
        <v>SUCI RAHMADONA, S.H. SERTIFIKAT BerAKHLAK</v>
      </c>
      <c r="K1425" s="5" t="s">
        <v>10486</v>
      </c>
      <c r="L1425" s="5" t="s">
        <v>11641</v>
      </c>
    </row>
    <row r="1426">
      <c r="A1426" s="4">
        <v>45534.33332435186</v>
      </c>
      <c r="B1426" s="5" t="s">
        <v>34</v>
      </c>
      <c r="D1426" s="5" t="s">
        <v>6232</v>
      </c>
      <c r="E1426" s="5" t="s">
        <v>11645</v>
      </c>
      <c r="F1426" s="5" t="s">
        <v>37</v>
      </c>
      <c r="G1426" s="5" t="s">
        <v>11646</v>
      </c>
      <c r="H1426" s="6" t="s">
        <v>11647</v>
      </c>
      <c r="I1426" s="7" t="s">
        <v>11648</v>
      </c>
      <c r="J1426" s="8" t="str">
        <f>HYPERLINK("https://drive.google.com/file/d/1YirzyMT7NhHe0yLfOvI4Mf4BInuRSz_T/view?usp=drivesdk","OCTAVIA MALTA, AMd.RM SERTIFIKAT BerAKHLAK")</f>
        <v>OCTAVIA MALTA, AMd.RM SERTIFIKAT BerAKHLAK</v>
      </c>
      <c r="K1426" s="5" t="s">
        <v>10486</v>
      </c>
      <c r="L1426" s="5" t="s">
        <v>11649</v>
      </c>
    </row>
    <row r="1427">
      <c r="A1427" s="4">
        <v>45534.33333028935</v>
      </c>
      <c r="B1427" s="5" t="s">
        <v>34</v>
      </c>
      <c r="D1427" s="5" t="s">
        <v>280</v>
      </c>
      <c r="E1427" s="5" t="s">
        <v>11653</v>
      </c>
      <c r="F1427" s="5" t="s">
        <v>108</v>
      </c>
      <c r="G1427" s="5" t="s">
        <v>11654</v>
      </c>
      <c r="H1427" s="6" t="s">
        <v>11655</v>
      </c>
      <c r="I1427" s="7" t="s">
        <v>11656</v>
      </c>
      <c r="J1427" s="8" t="str">
        <f>HYPERLINK("https://drive.google.com/file/d/1bUn6s6YkTByTpp0qsMyzAjF9bzs7RaOm/view?usp=drivesdk","WIRA HANDAYANI  SERTIFIKAT BerAKHLAK")</f>
        <v>WIRA HANDAYANI  SERTIFIKAT BerAKHLAK</v>
      </c>
      <c r="K1427" s="5" t="s">
        <v>10486</v>
      </c>
      <c r="L1427" s="5" t="s">
        <v>11657</v>
      </c>
    </row>
    <row r="1428">
      <c r="A1428" s="4">
        <v>45534.33333064815</v>
      </c>
      <c r="B1428" s="5" t="s">
        <v>34</v>
      </c>
      <c r="D1428" s="5" t="s">
        <v>4775</v>
      </c>
      <c r="E1428" s="5" t="s">
        <v>11660</v>
      </c>
      <c r="F1428" s="5" t="s">
        <v>524</v>
      </c>
      <c r="G1428" s="5" t="s">
        <v>11661</v>
      </c>
      <c r="H1428" s="6" t="s">
        <v>11662</v>
      </c>
      <c r="I1428" s="7" t="s">
        <v>11663</v>
      </c>
      <c r="J1428" s="8" t="str">
        <f>HYPERLINK("https://drive.google.com/file/d/1loQZjX577qk75rLZHBo0j6B2EywE4b3g/view?usp=drivesdk","TITIS S JUWANDAR SERTIFIKAT BerAKHLAK")</f>
        <v>TITIS S JUWANDAR SERTIFIKAT BerAKHLAK</v>
      </c>
      <c r="K1428" s="5" t="s">
        <v>11664</v>
      </c>
      <c r="L1428" s="5" t="s">
        <v>11665</v>
      </c>
    </row>
    <row r="1429">
      <c r="A1429" s="4">
        <v>45534.33334834491</v>
      </c>
      <c r="B1429" s="5" t="s">
        <v>34</v>
      </c>
      <c r="D1429" s="5" t="s">
        <v>267</v>
      </c>
      <c r="E1429" s="5" t="s">
        <v>11668</v>
      </c>
      <c r="F1429" s="5" t="s">
        <v>37</v>
      </c>
      <c r="G1429" s="5" t="s">
        <v>11669</v>
      </c>
      <c r="H1429" s="6" t="s">
        <v>11670</v>
      </c>
      <c r="I1429" s="7" t="s">
        <v>11671</v>
      </c>
      <c r="J1429" s="8" t="str">
        <f>HYPERLINK("https://drive.google.com/file/d/1TAxllkFVk4hl9EIXIiFdCBD14hod-RaT/view?usp=drivesdk","ISWANTOPOLDADIY SERTIFIKAT BerAKHLAK")</f>
        <v>ISWANTOPOLDADIY SERTIFIKAT BerAKHLAK</v>
      </c>
      <c r="K1429" s="5" t="s">
        <v>11664</v>
      </c>
      <c r="L1429" s="5" t="s">
        <v>11672</v>
      </c>
    </row>
    <row r="1430">
      <c r="A1430" s="4">
        <v>45534.333350960645</v>
      </c>
      <c r="B1430" s="5" t="s">
        <v>19</v>
      </c>
      <c r="C1430" s="5" t="s">
        <v>10418</v>
      </c>
      <c r="E1430" s="5" t="s">
        <v>11675</v>
      </c>
      <c r="F1430" s="5" t="s">
        <v>85</v>
      </c>
      <c r="G1430" s="5" t="s">
        <v>11676</v>
      </c>
      <c r="H1430" s="6" t="s">
        <v>11677</v>
      </c>
      <c r="I1430" s="7" t="s">
        <v>11678</v>
      </c>
      <c r="J1430" s="8" t="str">
        <f>HYPERLINK("https://drive.google.com/file/d/1iezo-_RPWzhTW8rqaowd2I8adTZhcsur/view?usp=drivesdk","I GUSTI AYU MIRAH WULANDARI, S.H. SERTIFIKAT BerAKHLAK")</f>
        <v>I GUSTI AYU MIRAH WULANDARI, S.H. SERTIFIKAT BerAKHLAK</v>
      </c>
      <c r="K1430" s="5" t="s">
        <v>11664</v>
      </c>
      <c r="L1430" s="5" t="s">
        <v>11679</v>
      </c>
    </row>
    <row r="1431">
      <c r="A1431" s="4">
        <v>45534.33336446759</v>
      </c>
      <c r="B1431" s="5" t="s">
        <v>34</v>
      </c>
      <c r="D1431" s="5" t="s">
        <v>35</v>
      </c>
      <c r="E1431" s="5" t="s">
        <v>11682</v>
      </c>
      <c r="F1431" s="5" t="s">
        <v>37</v>
      </c>
      <c r="G1431" s="5" t="s">
        <v>11683</v>
      </c>
      <c r="H1431" s="6" t="s">
        <v>11684</v>
      </c>
      <c r="I1431" s="7" t="s">
        <v>11685</v>
      </c>
      <c r="J1431" s="8" t="str">
        <f>HYPERLINK("https://drive.google.com/file/d/18zcNIylGzr8QoWh-cYh28FLV0oBvf9y7/view?usp=drivesdk","HERDIN RIZKI WIBOWO, A.Md.Kep SERTIFIKAT BerAKHLAK")</f>
        <v>HERDIN RIZKI WIBOWO, A.Md.Kep SERTIFIKAT BerAKHLAK</v>
      </c>
      <c r="K1431" s="5" t="s">
        <v>10486</v>
      </c>
      <c r="L1431" s="5" t="s">
        <v>11686</v>
      </c>
    </row>
    <row r="1432">
      <c r="A1432" s="4">
        <v>45534.33336862268</v>
      </c>
      <c r="B1432" s="5" t="s">
        <v>34</v>
      </c>
      <c r="D1432" s="5" t="s">
        <v>9020</v>
      </c>
      <c r="E1432" s="5" t="s">
        <v>11689</v>
      </c>
      <c r="F1432" s="5" t="s">
        <v>37</v>
      </c>
      <c r="G1432" s="5" t="s">
        <v>11690</v>
      </c>
      <c r="H1432" s="6" t="s">
        <v>11691</v>
      </c>
      <c r="I1432" s="7" t="s">
        <v>11692</v>
      </c>
      <c r="J1432" s="8" t="str">
        <f>HYPERLINK("https://drive.google.com/file/d/1OCnd_2u7Ltoqa2R2RmWbrooVXqoY2vSx/view?usp=drivesdk","ITA HAULIAN MATONDANG, S.E. SERTIFIKAT BerAKHLAK")</f>
        <v>ITA HAULIAN MATONDANG, S.E. SERTIFIKAT BerAKHLAK</v>
      </c>
      <c r="K1432" s="5" t="s">
        <v>10486</v>
      </c>
      <c r="L1432" s="5" t="s">
        <v>11693</v>
      </c>
    </row>
    <row r="1433">
      <c r="A1433" s="4">
        <v>45534.33337209491</v>
      </c>
      <c r="B1433" s="5" t="s">
        <v>34</v>
      </c>
      <c r="D1433" s="5" t="s">
        <v>580</v>
      </c>
      <c r="E1433" s="5" t="s">
        <v>11697</v>
      </c>
      <c r="F1433" s="5" t="s">
        <v>375</v>
      </c>
      <c r="G1433" s="5" t="s">
        <v>11698</v>
      </c>
      <c r="H1433" s="6" t="s">
        <v>11699</v>
      </c>
      <c r="I1433" s="7" t="s">
        <v>11700</v>
      </c>
      <c r="J1433" s="8" t="str">
        <f>HYPERLINK("https://drive.google.com/file/d/11gc7W2wwCuTdjoUUm5VYqyWYWZlkqozz/view?usp=drivesdk","Ns. KOMANG ANITA SUSIANA DEWI, S.Kep SERTIFIKAT BerAKHLAK")</f>
        <v>Ns. KOMANG ANITA SUSIANA DEWI, S.Kep SERTIFIKAT BerAKHLAK</v>
      </c>
      <c r="K1433" s="5" t="s">
        <v>10486</v>
      </c>
      <c r="L1433" s="5" t="s">
        <v>11701</v>
      </c>
    </row>
    <row r="1434">
      <c r="A1434" s="4">
        <v>45534.33341273148</v>
      </c>
      <c r="B1434" s="5" t="s">
        <v>34</v>
      </c>
      <c r="D1434" s="5" t="s">
        <v>1206</v>
      </c>
      <c r="E1434" s="5" t="s">
        <v>11704</v>
      </c>
      <c r="F1434" s="5" t="s">
        <v>37</v>
      </c>
      <c r="G1434" s="5" t="s">
        <v>11705</v>
      </c>
      <c r="H1434" s="6" t="s">
        <v>11706</v>
      </c>
      <c r="I1434" s="7" t="s">
        <v>11707</v>
      </c>
      <c r="J1434" s="8" t="str">
        <f>HYPERLINK("https://drive.google.com/file/d/1qQvzC44WAhuL4xWF50-vtYXivXvq0_-j/view?usp=drivesdk","EKOPUTRO MOCHTI YAKTAWIDARDO SERTIFIKAT BerAKHLAK")</f>
        <v>EKOPUTRO MOCHTI YAKTAWIDARDO SERTIFIKAT BerAKHLAK</v>
      </c>
      <c r="K1434" s="5" t="s">
        <v>10486</v>
      </c>
      <c r="L1434" s="5" t="s">
        <v>11708</v>
      </c>
    </row>
    <row r="1435">
      <c r="A1435" s="4">
        <v>45534.33341396991</v>
      </c>
      <c r="B1435" s="5" t="s">
        <v>34</v>
      </c>
      <c r="D1435" s="5" t="s">
        <v>996</v>
      </c>
      <c r="E1435" s="5" t="s">
        <v>11711</v>
      </c>
      <c r="F1435" s="5" t="s">
        <v>212</v>
      </c>
      <c r="G1435" s="5" t="s">
        <v>11712</v>
      </c>
      <c r="H1435" s="6" t="s">
        <v>11713</v>
      </c>
      <c r="I1435" s="7" t="s">
        <v>11714</v>
      </c>
      <c r="J1435" s="8" t="str">
        <f>HYPERLINK("https://drive.google.com/file/d/1NkaQrXvk1_tKjhDeg1IJJ4dcJtXUdJsq/view?usp=drivesdk","NAULY HIDA SAHRIANI SERTIFIKAT BerAKHLAK")</f>
        <v>NAULY HIDA SAHRIANI SERTIFIKAT BerAKHLAK</v>
      </c>
      <c r="K1435" s="5" t="s">
        <v>10486</v>
      </c>
      <c r="L1435" s="5" t="s">
        <v>11715</v>
      </c>
    </row>
    <row r="1436">
      <c r="A1436" s="4">
        <v>45534.33341436343</v>
      </c>
      <c r="B1436" s="5" t="s">
        <v>34</v>
      </c>
      <c r="D1436" s="5" t="s">
        <v>522</v>
      </c>
      <c r="E1436" s="5" t="s">
        <v>11718</v>
      </c>
      <c r="F1436" s="5" t="s">
        <v>375</v>
      </c>
      <c r="G1436" s="5" t="s">
        <v>11719</v>
      </c>
      <c r="H1436" s="6" t="s">
        <v>11720</v>
      </c>
      <c r="I1436" s="7" t="s">
        <v>11721</v>
      </c>
      <c r="J1436" s="8" t="str">
        <f>HYPERLINK("https://drive.google.com/file/d/1aiJoWzUJ3ONla1d2A_2JtKOlxruagMNg/view?usp=drivesdk","MUHAJIR HABRI, S.HI. SERTIFIKAT BerAKHLAK")</f>
        <v>MUHAJIR HABRI, S.HI. SERTIFIKAT BerAKHLAK</v>
      </c>
      <c r="K1436" s="5" t="s">
        <v>10486</v>
      </c>
      <c r="L1436" s="5" t="s">
        <v>11722</v>
      </c>
    </row>
    <row r="1437">
      <c r="A1437" s="4">
        <v>45534.33342913195</v>
      </c>
      <c r="B1437" s="5" t="s">
        <v>34</v>
      </c>
      <c r="D1437" s="5" t="s">
        <v>975</v>
      </c>
      <c r="E1437" s="5" t="s">
        <v>11725</v>
      </c>
      <c r="F1437" s="5" t="s">
        <v>37</v>
      </c>
      <c r="G1437" s="5" t="s">
        <v>11726</v>
      </c>
      <c r="H1437" s="6" t="s">
        <v>11727</v>
      </c>
      <c r="I1437" s="7" t="s">
        <v>11728</v>
      </c>
      <c r="J1437" s="8" t="str">
        <f>HYPERLINK("https://drive.google.com/file/d/1V7ZYUJU0oUu7do8Gf5ehm3ChNkru0pfl/view?usp=drivesdk","SATRIOWIBOWO SERTIFIKAT BerAKHLAK")</f>
        <v>SATRIOWIBOWO SERTIFIKAT BerAKHLAK</v>
      </c>
      <c r="K1437" s="5" t="s">
        <v>10486</v>
      </c>
      <c r="L1437" s="5" t="s">
        <v>11729</v>
      </c>
    </row>
    <row r="1438">
      <c r="A1438" s="4">
        <v>45534.33343164352</v>
      </c>
      <c r="B1438" s="5" t="s">
        <v>34</v>
      </c>
      <c r="D1438" s="5" t="s">
        <v>4775</v>
      </c>
      <c r="E1438" s="5" t="s">
        <v>11733</v>
      </c>
      <c r="F1438" s="5" t="s">
        <v>375</v>
      </c>
      <c r="G1438" s="5" t="s">
        <v>11734</v>
      </c>
      <c r="H1438" s="6" t="s">
        <v>11735</v>
      </c>
      <c r="I1438" s="7" t="s">
        <v>11736</v>
      </c>
      <c r="J1438" s="8" t="str">
        <f>HYPERLINK("https://drive.google.com/file/d/1doZxOmOqgEnyLt-bvQx6s2sH3TMKgxyN/view?usp=drivesdk","QURROTUL AINI SERTIFIKAT BerAKHLAK")</f>
        <v>QURROTUL AINI SERTIFIKAT BerAKHLAK</v>
      </c>
      <c r="K1438" s="5" t="s">
        <v>10486</v>
      </c>
      <c r="L1438" s="5" t="s">
        <v>11737</v>
      </c>
    </row>
    <row r="1439">
      <c r="A1439" s="4">
        <v>45534.33343745371</v>
      </c>
      <c r="B1439" s="5" t="s">
        <v>34</v>
      </c>
      <c r="D1439" s="5" t="s">
        <v>280</v>
      </c>
      <c r="E1439" s="5" t="s">
        <v>11740</v>
      </c>
      <c r="F1439" s="5" t="s">
        <v>212</v>
      </c>
      <c r="G1439" s="5" t="s">
        <v>11741</v>
      </c>
      <c r="H1439" s="6" t="s">
        <v>11742</v>
      </c>
      <c r="I1439" s="7" t="s">
        <v>11743</v>
      </c>
      <c r="J1439" s="8" t="str">
        <f>HYPERLINK("https://drive.google.com/file/d/1lrLlCQxUwxv7WSuCyVsM6nzoBvLrnMul/view?usp=drivesdk","MUHAMMAD AGUNG UCHROWI SERTIFIKAT BerAKHLAK")</f>
        <v>MUHAMMAD AGUNG UCHROWI SERTIFIKAT BerAKHLAK</v>
      </c>
      <c r="K1439" s="5" t="s">
        <v>10486</v>
      </c>
      <c r="L1439" s="5" t="s">
        <v>11744</v>
      </c>
    </row>
    <row r="1440">
      <c r="A1440" s="4">
        <v>45534.333443738426</v>
      </c>
      <c r="B1440" s="5" t="s">
        <v>34</v>
      </c>
      <c r="D1440" s="5" t="s">
        <v>1206</v>
      </c>
      <c r="E1440" s="5" t="s">
        <v>11747</v>
      </c>
      <c r="F1440" s="5" t="s">
        <v>120</v>
      </c>
      <c r="G1440" s="5" t="s">
        <v>11748</v>
      </c>
      <c r="H1440" s="6" t="s">
        <v>11749</v>
      </c>
      <c r="K1440" s="5" t="s">
        <v>11750</v>
      </c>
    </row>
    <row r="1441">
      <c r="A1441" s="4">
        <v>45534.33344821759</v>
      </c>
      <c r="B1441" s="5" t="s">
        <v>34</v>
      </c>
      <c r="D1441" s="5" t="s">
        <v>580</v>
      </c>
      <c r="E1441" s="5" t="s">
        <v>11753</v>
      </c>
      <c r="F1441" s="5" t="s">
        <v>108</v>
      </c>
      <c r="G1441" s="5" t="s">
        <v>11754</v>
      </c>
      <c r="H1441" s="6" t="s">
        <v>11755</v>
      </c>
      <c r="I1441" s="7" t="s">
        <v>11756</v>
      </c>
      <c r="J1441" s="8" t="str">
        <f>HYPERLINK("https://drive.google.com/file/d/1QrNvIdiieULKDfqIJ2yVFKOzOjMh3_NG/view?usp=drivesdk","DHANNI MEDIYANTO, A.Md SERTIFIKAT BerAKHLAK")</f>
        <v>DHANNI MEDIYANTO, A.Md SERTIFIKAT BerAKHLAK</v>
      </c>
      <c r="K1441" s="5" t="s">
        <v>10486</v>
      </c>
      <c r="L1441" s="5" t="s">
        <v>11757</v>
      </c>
    </row>
    <row r="1442">
      <c r="A1442" s="4">
        <v>45534.33345210648</v>
      </c>
      <c r="B1442" s="5" t="s">
        <v>34</v>
      </c>
      <c r="D1442" s="5" t="s">
        <v>1206</v>
      </c>
      <c r="E1442" s="5" t="s">
        <v>11760</v>
      </c>
      <c r="F1442" s="5" t="s">
        <v>37</v>
      </c>
      <c r="G1442" s="5" t="s">
        <v>11761</v>
      </c>
      <c r="H1442" s="6" t="s">
        <v>11762</v>
      </c>
      <c r="I1442" s="7" t="s">
        <v>11763</v>
      </c>
      <c r="J1442" s="8" t="str">
        <f>HYPERLINK("https://drive.google.com/file/d/1Uyz0G2UfhOEWU6zD6Qmx1Zf2iKRHvvTU/view?usp=drivesdk","NININ FRANCINARTI SERTIFIKAT BerAKHLAK")</f>
        <v>NININ FRANCINARTI SERTIFIKAT BerAKHLAK</v>
      </c>
      <c r="K1442" s="5" t="s">
        <v>10486</v>
      </c>
      <c r="L1442" s="5" t="s">
        <v>11764</v>
      </c>
    </row>
    <row r="1443">
      <c r="A1443" s="4">
        <v>45534.3334630787</v>
      </c>
      <c r="B1443" s="5" t="s">
        <v>19</v>
      </c>
      <c r="C1443" s="5" t="s">
        <v>11593</v>
      </c>
      <c r="E1443" s="5" t="s">
        <v>11768</v>
      </c>
      <c r="F1443" s="5" t="s">
        <v>108</v>
      </c>
      <c r="G1443" s="5" t="s">
        <v>11769</v>
      </c>
      <c r="H1443" s="6" t="s">
        <v>11770</v>
      </c>
      <c r="K1443" s="5" t="s">
        <v>11771</v>
      </c>
    </row>
    <row r="1444">
      <c r="A1444" s="4">
        <v>45534.33348981482</v>
      </c>
      <c r="B1444" s="5" t="s">
        <v>19</v>
      </c>
      <c r="C1444" s="5" t="s">
        <v>292</v>
      </c>
      <c r="E1444" s="5" t="s">
        <v>11774</v>
      </c>
      <c r="F1444" s="5" t="s">
        <v>11775</v>
      </c>
      <c r="G1444" s="5" t="s">
        <v>11776</v>
      </c>
      <c r="H1444" s="6" t="s">
        <v>11777</v>
      </c>
      <c r="I1444" s="7" t="s">
        <v>11778</v>
      </c>
      <c r="J1444" s="8" t="str">
        <f>HYPERLINK("https://drive.google.com/file/d/1eN5MMFtMyRt3b0bqw5EPIp3NY-xjQuNd/view?usp=drivesdk","HENYRISTOWATI SERTIFIKAT BerAKHLAK")</f>
        <v>HENYRISTOWATI SERTIFIKAT BerAKHLAK</v>
      </c>
      <c r="K1444" s="5" t="s">
        <v>10486</v>
      </c>
      <c r="L1444" s="5" t="s">
        <v>11779</v>
      </c>
    </row>
    <row r="1445">
      <c r="A1445" s="4">
        <v>45534.33349916666</v>
      </c>
      <c r="B1445" s="5" t="s">
        <v>34</v>
      </c>
      <c r="D1445" s="5" t="s">
        <v>4775</v>
      </c>
      <c r="E1445" s="5" t="s">
        <v>11782</v>
      </c>
      <c r="F1445" s="5" t="s">
        <v>120</v>
      </c>
      <c r="G1445" s="5" t="s">
        <v>11783</v>
      </c>
      <c r="H1445" s="6" t="s">
        <v>11784</v>
      </c>
      <c r="I1445" s="7" t="s">
        <v>11785</v>
      </c>
      <c r="J1445" s="8" t="str">
        <f>HYPERLINK("https://drive.google.com/file/d/19Umn2gSqrwj9gx6QOwr8O8fwK6S0m549/view?usp=drivesdk","MARCIA RUKMINI SAYEKTI SERTIFIKAT BerAKHLAK")</f>
        <v>MARCIA RUKMINI SAYEKTI SERTIFIKAT BerAKHLAK</v>
      </c>
      <c r="K1445" s="5" t="s">
        <v>10486</v>
      </c>
      <c r="L1445" s="5" t="s">
        <v>11786</v>
      </c>
    </row>
    <row r="1446">
      <c r="A1446" s="4">
        <v>45534.333507083335</v>
      </c>
      <c r="B1446" s="5" t="s">
        <v>34</v>
      </c>
      <c r="D1446" s="5" t="s">
        <v>3432</v>
      </c>
      <c r="E1446" s="5" t="s">
        <v>11789</v>
      </c>
      <c r="F1446" s="5" t="s">
        <v>108</v>
      </c>
      <c r="G1446" s="5" t="s">
        <v>11790</v>
      </c>
      <c r="H1446" s="6" t="s">
        <v>11791</v>
      </c>
      <c r="I1446" s="7" t="s">
        <v>11792</v>
      </c>
      <c r="J1446" s="8" t="str">
        <f>HYPERLINK("https://drive.google.com/file/d/1dXa8kWMDW8DwjMv70SE0lCILD3krmzTS/view?usp=drivesdk","NESHIA FRISENNIA S.Farm.,Apt SERTIFIKAT BerAKHLAK")</f>
        <v>NESHIA FRISENNIA S.Farm.,Apt SERTIFIKAT BerAKHLAK</v>
      </c>
      <c r="K1446" s="5" t="s">
        <v>11664</v>
      </c>
      <c r="L1446" s="5" t="s">
        <v>11793</v>
      </c>
    </row>
    <row r="1447">
      <c r="A1447" s="4">
        <v>45534.33352778935</v>
      </c>
      <c r="B1447" s="5" t="s">
        <v>34</v>
      </c>
      <c r="D1447" s="5" t="s">
        <v>9020</v>
      </c>
      <c r="E1447" s="5" t="s">
        <v>11796</v>
      </c>
      <c r="F1447" s="5" t="s">
        <v>524</v>
      </c>
      <c r="G1447" s="5" t="s">
        <v>11797</v>
      </c>
      <c r="H1447" s="6" t="s">
        <v>11798</v>
      </c>
      <c r="I1447" s="7" t="s">
        <v>11799</v>
      </c>
      <c r="J1447" s="8" t="str">
        <f>HYPERLINK("https://drive.google.com/file/d/1KT_Eu2MXsNiCXbPVlzR-weIpwJXs50P9/view?usp=drivesdk","LOUPIGA KISSE DERI PASLA SERTIFIKAT BerAKHLAK")</f>
        <v>LOUPIGA KISSE DERI PASLA SERTIFIKAT BerAKHLAK</v>
      </c>
      <c r="K1447" s="5" t="s">
        <v>10486</v>
      </c>
      <c r="L1447" s="5" t="s">
        <v>11800</v>
      </c>
    </row>
    <row r="1448">
      <c r="A1448" s="4">
        <v>45534.333550254625</v>
      </c>
      <c r="B1448" s="5" t="s">
        <v>19</v>
      </c>
      <c r="C1448" s="5" t="s">
        <v>1498</v>
      </c>
      <c r="E1448" s="5" t="s">
        <v>11804</v>
      </c>
      <c r="F1448" s="5" t="s">
        <v>715</v>
      </c>
      <c r="G1448" s="5" t="s">
        <v>11805</v>
      </c>
      <c r="H1448" s="6" t="s">
        <v>11806</v>
      </c>
      <c r="I1448" s="7" t="s">
        <v>11807</v>
      </c>
      <c r="J1448" s="8" t="str">
        <f>HYPERLINK("https://drive.google.com/file/d/1lRUF81RZ14-nDH9Jiv1k2piq6mkDzoHZ/view?usp=drivesdk","KIKI PRATIWI , SE SERTIFIKAT BerAKHLAK")</f>
        <v>KIKI PRATIWI , SE SERTIFIKAT BerAKHLAK</v>
      </c>
      <c r="K1448" s="5" t="s">
        <v>10486</v>
      </c>
      <c r="L1448" s="5" t="s">
        <v>11808</v>
      </c>
    </row>
    <row r="1449">
      <c r="A1449" s="4">
        <v>45534.33356672454</v>
      </c>
      <c r="B1449" s="5" t="s">
        <v>19</v>
      </c>
      <c r="C1449" s="5" t="s">
        <v>466</v>
      </c>
      <c r="E1449" s="5" t="s">
        <v>11811</v>
      </c>
      <c r="F1449" s="5" t="s">
        <v>120</v>
      </c>
      <c r="G1449" s="5" t="s">
        <v>11812</v>
      </c>
      <c r="H1449" s="6" t="s">
        <v>11813</v>
      </c>
      <c r="I1449" s="7" t="s">
        <v>11814</v>
      </c>
      <c r="J1449" s="8" t="str">
        <f>HYPERLINK("https://drive.google.com/file/d/1bMVos1IyrwyDpqlIZAi2YAni3G98dxuD/view?usp=drivesdk","TEJO PURNOMO, SE, M.M SERTIFIKAT BerAKHLAK")</f>
        <v>TEJO PURNOMO, SE, M.M SERTIFIKAT BerAKHLAK</v>
      </c>
      <c r="K1449" s="5" t="s">
        <v>10486</v>
      </c>
      <c r="L1449" s="5" t="s">
        <v>11815</v>
      </c>
    </row>
    <row r="1450">
      <c r="A1450" s="4">
        <v>45534.3335834375</v>
      </c>
      <c r="B1450" s="5" t="s">
        <v>34</v>
      </c>
      <c r="D1450" s="5" t="s">
        <v>6232</v>
      </c>
      <c r="E1450" s="5" t="s">
        <v>11818</v>
      </c>
      <c r="F1450" s="5" t="s">
        <v>37</v>
      </c>
      <c r="G1450" s="5" t="s">
        <v>11819</v>
      </c>
      <c r="H1450" s="6" t="s">
        <v>11820</v>
      </c>
      <c r="I1450" s="7" t="s">
        <v>11821</v>
      </c>
      <c r="J1450" s="8" t="str">
        <f>HYPERLINK("https://drive.google.com/file/d/1YH7AHN6q4jS4Oo6VvZqLxmO7lWTbt7b5/view?usp=drivesdk","MIFTAHUL JANNAH.Amd.Farm SERTIFIKAT BerAKHLAK")</f>
        <v>MIFTAHUL JANNAH.Amd.Farm SERTIFIKAT BerAKHLAK</v>
      </c>
      <c r="K1450" s="5" t="s">
        <v>10486</v>
      </c>
      <c r="L1450" s="5" t="s">
        <v>11822</v>
      </c>
    </row>
    <row r="1451">
      <c r="A1451" s="4">
        <v>45534.33358407408</v>
      </c>
      <c r="B1451" s="5" t="s">
        <v>34</v>
      </c>
      <c r="D1451" s="5" t="s">
        <v>267</v>
      </c>
      <c r="E1451" s="5" t="s">
        <v>11825</v>
      </c>
      <c r="F1451" s="5" t="s">
        <v>108</v>
      </c>
      <c r="G1451" s="5" t="s">
        <v>11826</v>
      </c>
      <c r="H1451" s="6" t="s">
        <v>11827</v>
      </c>
      <c r="K1451" s="5" t="s">
        <v>11828</v>
      </c>
    </row>
    <row r="1452">
      <c r="A1452" s="4">
        <v>45534.333620185185</v>
      </c>
      <c r="B1452" s="5" t="s">
        <v>34</v>
      </c>
      <c r="D1452" s="5" t="s">
        <v>4775</v>
      </c>
      <c r="E1452" s="5" t="s">
        <v>11831</v>
      </c>
      <c r="F1452" s="5" t="s">
        <v>375</v>
      </c>
      <c r="G1452" s="5" t="s">
        <v>11832</v>
      </c>
      <c r="H1452" s="6" t="s">
        <v>11833</v>
      </c>
      <c r="I1452" s="7" t="s">
        <v>11834</v>
      </c>
      <c r="J1452" s="8" t="str">
        <f>HYPERLINK("https://drive.google.com/file/d/15P1y02S5FzUib7jwjWSjcGntwbpQU-ow/view?usp=drivesdk","APRILIA ARUM WINDASARI, S.E., M.M SERTIFIKAT BerAKHLAK")</f>
        <v>APRILIA ARUM WINDASARI, S.E., M.M SERTIFIKAT BerAKHLAK</v>
      </c>
      <c r="K1452" s="5" t="s">
        <v>10486</v>
      </c>
      <c r="L1452" s="5" t="s">
        <v>11835</v>
      </c>
    </row>
    <row r="1453">
      <c r="A1453" s="4">
        <v>45534.333627245374</v>
      </c>
      <c r="B1453" s="5" t="s">
        <v>34</v>
      </c>
      <c r="D1453" s="5" t="s">
        <v>701</v>
      </c>
      <c r="E1453" s="5" t="s">
        <v>11838</v>
      </c>
      <c r="F1453" s="5" t="s">
        <v>375</v>
      </c>
      <c r="G1453" s="5" t="s">
        <v>11839</v>
      </c>
      <c r="H1453" s="6" t="s">
        <v>11840</v>
      </c>
      <c r="K1453" s="5" t="s">
        <v>11841</v>
      </c>
    </row>
    <row r="1454">
      <c r="A1454" s="4">
        <v>45534.333629953704</v>
      </c>
      <c r="B1454" s="5" t="s">
        <v>19</v>
      </c>
      <c r="C1454" s="5" t="s">
        <v>11593</v>
      </c>
      <c r="E1454" s="5" t="s">
        <v>11845</v>
      </c>
      <c r="F1454" s="5" t="s">
        <v>375</v>
      </c>
      <c r="G1454" s="5" t="s">
        <v>11846</v>
      </c>
      <c r="H1454" s="6" t="s">
        <v>11847</v>
      </c>
      <c r="K1454" s="5" t="s">
        <v>11841</v>
      </c>
    </row>
    <row r="1455">
      <c r="A1455" s="4">
        <v>45534.333635902774</v>
      </c>
      <c r="B1455" s="5" t="s">
        <v>34</v>
      </c>
      <c r="D1455" s="5" t="s">
        <v>267</v>
      </c>
      <c r="E1455" s="5" t="s">
        <v>11850</v>
      </c>
      <c r="F1455" s="5" t="s">
        <v>72</v>
      </c>
      <c r="G1455" s="5" t="s">
        <v>11851</v>
      </c>
      <c r="H1455" s="6" t="s">
        <v>11852</v>
      </c>
      <c r="K1455" s="5" t="s">
        <v>11841</v>
      </c>
    </row>
    <row r="1456">
      <c r="A1456" s="4">
        <v>45534.333644328704</v>
      </c>
      <c r="B1456" s="5" t="s">
        <v>19</v>
      </c>
      <c r="C1456" s="5" t="s">
        <v>11593</v>
      </c>
      <c r="E1456" s="5" t="s">
        <v>11855</v>
      </c>
      <c r="F1456" s="5" t="s">
        <v>212</v>
      </c>
      <c r="G1456" s="5" t="s">
        <v>11856</v>
      </c>
      <c r="H1456" s="6" t="s">
        <v>11857</v>
      </c>
      <c r="K1456" s="5" t="s">
        <v>11841</v>
      </c>
    </row>
    <row r="1457">
      <c r="A1457" s="4">
        <v>45534.33364936343</v>
      </c>
      <c r="B1457" s="5" t="s">
        <v>19</v>
      </c>
      <c r="C1457" s="5" t="s">
        <v>11593</v>
      </c>
      <c r="E1457" s="5" t="s">
        <v>11861</v>
      </c>
      <c r="F1457" s="5" t="s">
        <v>37</v>
      </c>
      <c r="G1457" s="5" t="s">
        <v>11862</v>
      </c>
      <c r="H1457" s="6" t="s">
        <v>11863</v>
      </c>
      <c r="K1457" s="5" t="s">
        <v>11841</v>
      </c>
    </row>
    <row r="1458">
      <c r="A1458" s="4">
        <v>45534.333656793984</v>
      </c>
      <c r="B1458" s="5" t="s">
        <v>34</v>
      </c>
      <c r="D1458" s="5" t="s">
        <v>1206</v>
      </c>
      <c r="E1458" s="5" t="s">
        <v>11866</v>
      </c>
      <c r="F1458" s="5" t="s">
        <v>212</v>
      </c>
      <c r="G1458" s="5" t="s">
        <v>11867</v>
      </c>
      <c r="H1458" s="6" t="s">
        <v>11868</v>
      </c>
      <c r="I1458" s="7" t="s">
        <v>11869</v>
      </c>
      <c r="J1458" s="8" t="str">
        <f>HYPERLINK("https://drive.google.com/file/d/13vaGglYH0t8hSTAk7NOLroDTVv__anCL/view?usp=drivesdk","DAHNIA AFDOLINA ZAMZAMI, S.H. SERTIFIKAT BerAKHLAK")</f>
        <v>DAHNIA AFDOLINA ZAMZAMI, S.H. SERTIFIKAT BerAKHLAK</v>
      </c>
      <c r="K1458" s="5" t="s">
        <v>10486</v>
      </c>
      <c r="L1458" s="5" t="s">
        <v>11870</v>
      </c>
    </row>
    <row r="1459">
      <c r="A1459" s="4">
        <v>45534.33365961806</v>
      </c>
      <c r="B1459" s="5" t="s">
        <v>34</v>
      </c>
      <c r="D1459" s="5" t="s">
        <v>35</v>
      </c>
      <c r="E1459" s="5" t="s">
        <v>11873</v>
      </c>
      <c r="F1459" s="5" t="s">
        <v>37</v>
      </c>
      <c r="G1459" s="5" t="s">
        <v>11874</v>
      </c>
      <c r="H1459" s="6" t="s">
        <v>11875</v>
      </c>
      <c r="I1459" s="7" t="s">
        <v>11876</v>
      </c>
      <c r="J1459" s="8" t="str">
        <f>HYPERLINK("https://drive.google.com/file/d/1queA4WLms3g5JrzlshXtKW5W-hQLL_Q_/view?usp=drivesdk","PENGATUR ADE GUNAWAN SERTIFIKAT BerAKHLAK")</f>
        <v>PENGATUR ADE GUNAWAN SERTIFIKAT BerAKHLAK</v>
      </c>
      <c r="K1459" s="5" t="s">
        <v>10486</v>
      </c>
      <c r="L1459" s="5" t="s">
        <v>11877</v>
      </c>
    </row>
    <row r="1460">
      <c r="A1460" s="4">
        <v>45534.33371293981</v>
      </c>
      <c r="B1460" s="5" t="s">
        <v>34</v>
      </c>
      <c r="D1460" s="5" t="s">
        <v>522</v>
      </c>
      <c r="E1460" s="5" t="s">
        <v>11880</v>
      </c>
      <c r="F1460" s="5" t="s">
        <v>212</v>
      </c>
      <c r="G1460" s="5" t="s">
        <v>11881</v>
      </c>
      <c r="H1460" s="6" t="s">
        <v>11882</v>
      </c>
      <c r="K1460" s="5" t="s">
        <v>11883</v>
      </c>
    </row>
    <row r="1461">
      <c r="A1461" s="4">
        <v>45534.33371464121</v>
      </c>
      <c r="B1461" s="5" t="s">
        <v>19</v>
      </c>
      <c r="C1461" s="5" t="s">
        <v>315</v>
      </c>
      <c r="E1461" s="5" t="s">
        <v>11886</v>
      </c>
      <c r="F1461" s="5" t="s">
        <v>524</v>
      </c>
      <c r="G1461" s="5" t="s">
        <v>11887</v>
      </c>
      <c r="H1461" s="6" t="s">
        <v>11888</v>
      </c>
      <c r="K1461" s="5" t="s">
        <v>11883</v>
      </c>
    </row>
    <row r="1462">
      <c r="A1462" s="4">
        <v>45534.33376488426</v>
      </c>
      <c r="B1462" s="5" t="s">
        <v>34</v>
      </c>
      <c r="D1462" s="5" t="s">
        <v>35</v>
      </c>
      <c r="E1462" s="5" t="s">
        <v>11891</v>
      </c>
      <c r="F1462" s="5" t="s">
        <v>212</v>
      </c>
      <c r="G1462" s="5" t="s">
        <v>11892</v>
      </c>
      <c r="H1462" s="6" t="s">
        <v>11893</v>
      </c>
      <c r="I1462" s="7" t="s">
        <v>11894</v>
      </c>
      <c r="J1462" s="8" t="str">
        <f>HYPERLINK("https://drive.google.com/file/d/15hSYctNlX05X7TGbz6YY6lrWFuM_Jub9/view?usp=drivesdk","IWAN KURNIAWAN SERTIFIKAT BerAKHLAK")</f>
        <v>IWAN KURNIAWAN SERTIFIKAT BerAKHLAK</v>
      </c>
      <c r="K1462" s="5" t="s">
        <v>10486</v>
      </c>
      <c r="L1462" s="5" t="s">
        <v>11895</v>
      </c>
    </row>
    <row r="1463">
      <c r="A1463" s="4">
        <v>45534.33378143518</v>
      </c>
      <c r="B1463" s="5" t="s">
        <v>34</v>
      </c>
      <c r="D1463" s="5" t="s">
        <v>4775</v>
      </c>
      <c r="E1463" s="5" t="s">
        <v>11898</v>
      </c>
      <c r="F1463" s="5" t="s">
        <v>212</v>
      </c>
      <c r="G1463" s="5" t="s">
        <v>11899</v>
      </c>
      <c r="H1463" s="6" t="s">
        <v>11900</v>
      </c>
      <c r="I1463" s="7" t="s">
        <v>11901</v>
      </c>
      <c r="J1463" s="8" t="str">
        <f>HYPERLINK("https://drive.google.com/file/d/1l9mydYYcE7NakxS6I3SFU8_5-LUvtLbD/view?usp=drivesdk","ABDULKARIEM S. Pd SERTIFIKAT BerAKHLAK")</f>
        <v>ABDULKARIEM S. Pd SERTIFIKAT BerAKHLAK</v>
      </c>
      <c r="K1463" s="5" t="s">
        <v>11664</v>
      </c>
      <c r="L1463" s="5" t="s">
        <v>11902</v>
      </c>
    </row>
    <row r="1464">
      <c r="A1464" s="4">
        <v>45534.3338203125</v>
      </c>
      <c r="B1464" s="5" t="s">
        <v>19</v>
      </c>
      <c r="C1464" s="5" t="s">
        <v>466</v>
      </c>
      <c r="E1464" s="5" t="s">
        <v>11906</v>
      </c>
      <c r="F1464" s="5" t="s">
        <v>120</v>
      </c>
      <c r="G1464" s="5" t="s">
        <v>11907</v>
      </c>
      <c r="H1464" s="6" t="s">
        <v>11908</v>
      </c>
      <c r="I1464" s="7" t="s">
        <v>11909</v>
      </c>
      <c r="J1464" s="8" t="str">
        <f>HYPERLINK("https://drive.google.com/file/d/1ANN-lIT7h9xVYMCiJKTM8oq_giohIcZm/view?usp=drivesdk","RINI SULISTIYOWATI SERTIFIKAT BerAKHLAK")</f>
        <v>RINI SULISTIYOWATI SERTIFIKAT BerAKHLAK</v>
      </c>
      <c r="K1464" s="5" t="s">
        <v>11664</v>
      </c>
      <c r="L1464" s="5" t="s">
        <v>11910</v>
      </c>
    </row>
    <row r="1465">
      <c r="A1465" s="4">
        <v>45534.333828310184</v>
      </c>
      <c r="B1465" s="5" t="s">
        <v>34</v>
      </c>
      <c r="D1465" s="5" t="s">
        <v>11913</v>
      </c>
      <c r="E1465" s="5" t="s">
        <v>11914</v>
      </c>
      <c r="F1465" s="5" t="s">
        <v>37</v>
      </c>
      <c r="G1465" s="5" t="s">
        <v>11915</v>
      </c>
      <c r="H1465" s="6" t="s">
        <v>11916</v>
      </c>
      <c r="I1465" s="7" t="s">
        <v>11917</v>
      </c>
      <c r="J1465" s="8" t="str">
        <f>HYPERLINK("https://drive.google.com/file/d/1uby1xMb8dnNqG3-Qzm7MqW8IeaUK15tV/view?usp=drivesdk","DEWI FATIMAH AMABI SERTIFIKAT BerAKHLAK")</f>
        <v>DEWI FATIMAH AMABI SERTIFIKAT BerAKHLAK</v>
      </c>
      <c r="K1465" s="5" t="s">
        <v>11664</v>
      </c>
      <c r="L1465" s="5" t="s">
        <v>11918</v>
      </c>
    </row>
    <row r="1466">
      <c r="A1466" s="4">
        <v>45534.33383728009</v>
      </c>
      <c r="B1466" s="5" t="s">
        <v>34</v>
      </c>
      <c r="D1466" s="5" t="s">
        <v>1206</v>
      </c>
      <c r="E1466" s="5" t="s">
        <v>11921</v>
      </c>
      <c r="F1466" s="5" t="s">
        <v>37</v>
      </c>
      <c r="G1466" s="5" t="s">
        <v>11922</v>
      </c>
      <c r="H1466" s="6" t="s">
        <v>11923</v>
      </c>
      <c r="I1466" s="7" t="s">
        <v>11924</v>
      </c>
      <c r="J1466" s="8" t="str">
        <f>HYPERLINK("https://drive.google.com/file/d/13SN_0I_EEV0cV2rI5vJq60SznA9boAv4/view?usp=drivesdk","MOHAMAD SULAIMAN SERTIFIKAT BerAKHLAK")</f>
        <v>MOHAMAD SULAIMAN SERTIFIKAT BerAKHLAK</v>
      </c>
      <c r="K1466" s="5" t="s">
        <v>11664</v>
      </c>
      <c r="L1466" s="5" t="s">
        <v>11925</v>
      </c>
    </row>
    <row r="1467">
      <c r="A1467" s="4">
        <v>45534.33383775463</v>
      </c>
      <c r="B1467" s="5" t="s">
        <v>34</v>
      </c>
      <c r="D1467" s="5" t="s">
        <v>35</v>
      </c>
      <c r="E1467" s="5" t="s">
        <v>11928</v>
      </c>
      <c r="F1467" s="5" t="s">
        <v>72</v>
      </c>
      <c r="G1467" s="5" t="s">
        <v>11929</v>
      </c>
      <c r="H1467" s="6" t="s">
        <v>11930</v>
      </c>
      <c r="I1467" s="7" t="s">
        <v>11931</v>
      </c>
      <c r="J1467" s="8" t="str">
        <f>HYPERLINK("https://drive.google.com/file/d/1nlLYcktKaMpfLQE3HeYfs9ItRkNUzBK-/view?usp=drivesdk","PENATA SUHARDADI. SH SERTIFIKAT BerAKHLAK")</f>
        <v>PENATA SUHARDADI. SH SERTIFIKAT BerAKHLAK</v>
      </c>
      <c r="K1467" s="5" t="s">
        <v>11664</v>
      </c>
      <c r="L1467" s="5" t="s">
        <v>11932</v>
      </c>
    </row>
    <row r="1468">
      <c r="A1468" s="4">
        <v>45534.333846574074</v>
      </c>
      <c r="B1468" s="5" t="s">
        <v>19</v>
      </c>
      <c r="C1468" s="5" t="s">
        <v>3301</v>
      </c>
      <c r="E1468" s="5" t="s">
        <v>11935</v>
      </c>
      <c r="F1468" s="5" t="s">
        <v>108</v>
      </c>
      <c r="G1468" s="5" t="s">
        <v>11936</v>
      </c>
      <c r="H1468" s="6" t="s">
        <v>11937</v>
      </c>
      <c r="I1468" s="7" t="s">
        <v>11938</v>
      </c>
      <c r="J1468" s="8" t="str">
        <f>HYPERLINK("https://drive.google.com/file/d/1woTXscfiKBNSI1-5rM658w48LaG0S_9B/view?usp=drivesdk","dr. BRIGITTA WIDHAYU WIRADI, M.M SERTIFIKAT BerAKHLAK")</f>
        <v>dr. BRIGITTA WIDHAYU WIRADI, M.M SERTIFIKAT BerAKHLAK</v>
      </c>
      <c r="K1468" s="5" t="s">
        <v>11664</v>
      </c>
      <c r="L1468" s="5" t="s">
        <v>11939</v>
      </c>
    </row>
    <row r="1469">
      <c r="A1469" s="4">
        <v>45534.333857060185</v>
      </c>
      <c r="B1469" s="5" t="s">
        <v>19</v>
      </c>
      <c r="C1469" s="5" t="s">
        <v>292</v>
      </c>
      <c r="E1469" s="5" t="s">
        <v>11943</v>
      </c>
      <c r="F1469" s="5" t="s">
        <v>375</v>
      </c>
      <c r="G1469" s="5" t="s">
        <v>11944</v>
      </c>
      <c r="H1469" s="6" t="s">
        <v>11945</v>
      </c>
      <c r="I1469" s="7" t="s">
        <v>11946</v>
      </c>
      <c r="J1469" s="8" t="str">
        <f>HYPERLINK("https://drive.google.com/file/d/1ZE0vCgqrSzVwS81UFU8zLQU781xs23WO/view?usp=drivesdk","TARMAN TARMEDI, S.PD SERTIFIKAT BerAKHLAK")</f>
        <v>TARMAN TARMEDI, S.PD SERTIFIKAT BerAKHLAK</v>
      </c>
      <c r="K1469" s="5" t="s">
        <v>11664</v>
      </c>
      <c r="L1469" s="5" t="s">
        <v>11947</v>
      </c>
    </row>
    <row r="1470">
      <c r="A1470" s="4">
        <v>45534.333858784725</v>
      </c>
      <c r="B1470" s="5" t="s">
        <v>34</v>
      </c>
      <c r="D1470" s="5" t="s">
        <v>280</v>
      </c>
      <c r="E1470" s="5" t="s">
        <v>11950</v>
      </c>
      <c r="F1470" s="5" t="s">
        <v>524</v>
      </c>
      <c r="G1470" s="5" t="s">
        <v>11951</v>
      </c>
      <c r="H1470" s="6" t="s">
        <v>11952</v>
      </c>
      <c r="I1470" s="7" t="s">
        <v>11953</v>
      </c>
      <c r="J1470" s="8" t="str">
        <f>HYPERLINK("https://drive.google.com/file/d/1_xQs7y5Xb7yTCfhRTbZkLbPcbYx3-aVC/view?usp=drivesdk","CAHYO TRI WIBOWO  SERTIFIKAT BerAKHLAK")</f>
        <v>CAHYO TRI WIBOWO  SERTIFIKAT BerAKHLAK</v>
      </c>
      <c r="K1470" s="5" t="s">
        <v>11954</v>
      </c>
      <c r="L1470" s="5" t="s">
        <v>11955</v>
      </c>
    </row>
    <row r="1471">
      <c r="A1471" s="4">
        <v>45534.33385988426</v>
      </c>
      <c r="B1471" s="5" t="s">
        <v>34</v>
      </c>
      <c r="D1471" s="5" t="s">
        <v>35</v>
      </c>
      <c r="E1471" s="5" t="s">
        <v>11958</v>
      </c>
      <c r="F1471" s="5" t="s">
        <v>72</v>
      </c>
      <c r="G1471" s="5" t="s">
        <v>11959</v>
      </c>
      <c r="H1471" s="6" t="s">
        <v>11960</v>
      </c>
      <c r="I1471" s="7" t="s">
        <v>11961</v>
      </c>
      <c r="J1471" s="8" t="str">
        <f>HYPERLINK("https://drive.google.com/file/d/1fQGicwkbNJ1VChwoo9teYai0SRtHmTSO/view?usp=drivesdk","DEWI NURYANI, AMD SERTIFIKAT BerAKHLAK")</f>
        <v>DEWI NURYANI, AMD SERTIFIKAT BerAKHLAK</v>
      </c>
      <c r="K1471" s="5" t="s">
        <v>11954</v>
      </c>
      <c r="L1471" s="5" t="s">
        <v>11962</v>
      </c>
    </row>
    <row r="1472">
      <c r="A1472" s="4">
        <v>45534.33386787037</v>
      </c>
      <c r="B1472" s="5" t="s">
        <v>19</v>
      </c>
      <c r="C1472" s="5" t="s">
        <v>11593</v>
      </c>
      <c r="E1472" s="5" t="s">
        <v>11965</v>
      </c>
      <c r="F1472" s="5" t="s">
        <v>120</v>
      </c>
      <c r="G1472" s="5" t="s">
        <v>11966</v>
      </c>
      <c r="H1472" s="6" t="s">
        <v>11967</v>
      </c>
      <c r="K1472" s="5" t="s">
        <v>11968</v>
      </c>
    </row>
    <row r="1473">
      <c r="A1473" s="4">
        <v>45534.33387107639</v>
      </c>
      <c r="B1473" s="5" t="s">
        <v>34</v>
      </c>
      <c r="D1473" s="5" t="s">
        <v>4775</v>
      </c>
      <c r="E1473" s="5" t="s">
        <v>11971</v>
      </c>
      <c r="F1473" s="5" t="s">
        <v>72</v>
      </c>
      <c r="G1473" s="5" t="s">
        <v>11972</v>
      </c>
      <c r="H1473" s="6" t="s">
        <v>11973</v>
      </c>
      <c r="K1473" s="5" t="s">
        <v>11968</v>
      </c>
    </row>
    <row r="1474">
      <c r="A1474" s="4">
        <v>45534.33388409722</v>
      </c>
      <c r="B1474" s="5" t="s">
        <v>34</v>
      </c>
      <c r="D1474" s="5" t="s">
        <v>1206</v>
      </c>
      <c r="E1474" s="5" t="s">
        <v>11976</v>
      </c>
      <c r="F1474" s="5" t="s">
        <v>37</v>
      </c>
      <c r="G1474" s="5" t="s">
        <v>11977</v>
      </c>
      <c r="H1474" s="6" t="s">
        <v>11978</v>
      </c>
      <c r="K1474" s="5" t="s">
        <v>11968</v>
      </c>
    </row>
    <row r="1475">
      <c r="A1475" s="4">
        <v>45534.33390748843</v>
      </c>
      <c r="B1475" s="5" t="s">
        <v>34</v>
      </c>
      <c r="D1475" s="5" t="s">
        <v>1206</v>
      </c>
      <c r="E1475" s="5" t="s">
        <v>11982</v>
      </c>
      <c r="F1475" s="5" t="s">
        <v>37</v>
      </c>
      <c r="G1475" s="5" t="s">
        <v>11983</v>
      </c>
      <c r="H1475" s="6" t="s">
        <v>11984</v>
      </c>
      <c r="I1475" s="7" t="s">
        <v>11985</v>
      </c>
      <c r="J1475" s="8" t="str">
        <f>HYPERLINK("https://drive.google.com/file/d/1uQAzW_M02rkwxlXmtVozTMq3jvuRVSVl/view?usp=drivesdk","YUYUN SINDA ERINIKA, S.E. SERTIFIKAT BerAKHLAK")</f>
        <v>YUYUN SINDA ERINIKA, S.E. SERTIFIKAT BerAKHLAK</v>
      </c>
      <c r="K1475" s="5" t="s">
        <v>11664</v>
      </c>
      <c r="L1475" s="5" t="s">
        <v>11986</v>
      </c>
    </row>
    <row r="1476">
      <c r="A1476" s="4">
        <v>45534.333918854165</v>
      </c>
      <c r="B1476" s="5" t="s">
        <v>34</v>
      </c>
      <c r="D1476" s="5" t="s">
        <v>6232</v>
      </c>
      <c r="E1476" s="5" t="s">
        <v>11989</v>
      </c>
      <c r="F1476" s="5" t="s">
        <v>37</v>
      </c>
      <c r="G1476" s="5" t="s">
        <v>11990</v>
      </c>
      <c r="H1476" s="6" t="s">
        <v>11991</v>
      </c>
      <c r="I1476" s="7" t="s">
        <v>11992</v>
      </c>
      <c r="J1476" s="8" t="str">
        <f>HYPERLINK("https://drive.google.com/file/d/17ZEkIWJOInbD_ZXERrY9X5ONuOp4Ivoe/view?usp=drivesdk","GIRA PRATIWI, A.Md.Kom SERTIFIKAT BerAKHLAK")</f>
        <v>GIRA PRATIWI, A.Md.Kom SERTIFIKAT BerAKHLAK</v>
      </c>
      <c r="K1476" s="5" t="s">
        <v>11664</v>
      </c>
      <c r="L1476" s="5" t="s">
        <v>11993</v>
      </c>
    </row>
    <row r="1477">
      <c r="A1477" s="4">
        <v>45534.333921365745</v>
      </c>
      <c r="B1477" s="5" t="s">
        <v>19</v>
      </c>
      <c r="C1477" s="5" t="s">
        <v>11593</v>
      </c>
      <c r="E1477" s="5" t="s">
        <v>11996</v>
      </c>
      <c r="F1477" s="5" t="s">
        <v>120</v>
      </c>
      <c r="G1477" s="5" t="s">
        <v>11997</v>
      </c>
      <c r="H1477" s="6" t="s">
        <v>11998</v>
      </c>
      <c r="I1477" s="7" t="s">
        <v>11999</v>
      </c>
      <c r="J1477" s="8" t="str">
        <f>HYPERLINK("https://drive.google.com/file/d/1vTt7NNckQMKyncGYgixt-maoBB1v0mPb/view?usp=drivesdk","NOFA ITAWARNI SERTIFIKAT BerAKHLAK")</f>
        <v>NOFA ITAWARNI SERTIFIKAT BerAKHLAK</v>
      </c>
      <c r="K1477" s="5" t="s">
        <v>11664</v>
      </c>
      <c r="L1477" s="5" t="s">
        <v>12000</v>
      </c>
    </row>
    <row r="1478">
      <c r="A1478" s="4">
        <v>45534.33392175926</v>
      </c>
      <c r="B1478" s="5" t="s">
        <v>34</v>
      </c>
      <c r="D1478" s="5" t="s">
        <v>1206</v>
      </c>
      <c r="E1478" s="5" t="s">
        <v>12003</v>
      </c>
      <c r="F1478" s="5" t="s">
        <v>37</v>
      </c>
      <c r="G1478" s="5" t="s">
        <v>12004</v>
      </c>
      <c r="H1478" s="6" t="s">
        <v>12005</v>
      </c>
      <c r="I1478" s="7" t="s">
        <v>12006</v>
      </c>
      <c r="J1478" s="8" t="str">
        <f>HYPERLINK("https://drive.google.com/file/d/1kpC_7KgnT7GrdlfEPhLn1v3MZdOfECqQ/view?usp=drivesdk","LINDA EKA KURNIAWATI SERTIFIKAT BerAKHLAK")</f>
        <v>LINDA EKA KURNIAWATI SERTIFIKAT BerAKHLAK</v>
      </c>
      <c r="K1478" s="5" t="s">
        <v>11664</v>
      </c>
      <c r="L1478" s="5" t="s">
        <v>12007</v>
      </c>
    </row>
    <row r="1479">
      <c r="A1479" s="4">
        <v>45534.333924293984</v>
      </c>
      <c r="B1479" s="5" t="s">
        <v>34</v>
      </c>
      <c r="D1479" s="5" t="s">
        <v>12010</v>
      </c>
      <c r="E1479" s="5" t="s">
        <v>12011</v>
      </c>
      <c r="F1479" s="5" t="s">
        <v>524</v>
      </c>
      <c r="G1479" s="5" t="s">
        <v>12012</v>
      </c>
      <c r="H1479" s="6" t="s">
        <v>12013</v>
      </c>
      <c r="I1479" s="7" t="s">
        <v>12014</v>
      </c>
      <c r="J1479" s="8" t="str">
        <f>HYPERLINK("https://drive.google.com/file/d/1rIqhSY0OqFvyS0g1vVMjmGnCxJViPwiW/view?usp=drivesdk","DEWI SAFITRI, S.E. SERTIFIKAT BerAKHLAK")</f>
        <v>DEWI SAFITRI, S.E. SERTIFIKAT BerAKHLAK</v>
      </c>
      <c r="K1479" s="5" t="s">
        <v>12015</v>
      </c>
      <c r="L1479" s="5" t="s">
        <v>12016</v>
      </c>
    </row>
    <row r="1480">
      <c r="A1480" s="4">
        <v>45534.3339390162</v>
      </c>
      <c r="B1480" s="5" t="s">
        <v>34</v>
      </c>
      <c r="D1480" s="5" t="s">
        <v>280</v>
      </c>
      <c r="E1480" s="5" t="s">
        <v>12019</v>
      </c>
      <c r="F1480" s="5" t="s">
        <v>5859</v>
      </c>
      <c r="G1480" s="5" t="s">
        <v>12020</v>
      </c>
      <c r="H1480" s="6" t="s">
        <v>12021</v>
      </c>
      <c r="K1480" s="5" t="s">
        <v>12022</v>
      </c>
    </row>
    <row r="1481">
      <c r="A1481" s="4">
        <v>45534.333963125</v>
      </c>
      <c r="B1481" s="5" t="s">
        <v>34</v>
      </c>
      <c r="D1481" s="5" t="s">
        <v>12026</v>
      </c>
      <c r="E1481" s="5" t="s">
        <v>12027</v>
      </c>
      <c r="F1481" s="5" t="s">
        <v>37</v>
      </c>
      <c r="G1481" s="5" t="s">
        <v>12028</v>
      </c>
      <c r="H1481" s="6" t="s">
        <v>12029</v>
      </c>
      <c r="I1481" s="7" t="s">
        <v>12030</v>
      </c>
      <c r="J1481" s="8" t="str">
        <f>HYPERLINK("https://drive.google.com/file/d/1cdQdGJyt_lBE4aStOVYQP1CZNMYyVxcE/view?usp=drivesdk","NINNA ASTRIA DAMAYANTI, A.MD SERTIFIKAT BerAKHLAK")</f>
        <v>NINNA ASTRIA DAMAYANTI, A.MD SERTIFIKAT BerAKHLAK</v>
      </c>
      <c r="K1481" s="5" t="s">
        <v>11664</v>
      </c>
      <c r="L1481" s="5" t="s">
        <v>12031</v>
      </c>
    </row>
    <row r="1482">
      <c r="A1482" s="4">
        <v>45534.33397815972</v>
      </c>
      <c r="B1482" s="5" t="s">
        <v>34</v>
      </c>
      <c r="D1482" s="5" t="s">
        <v>35</v>
      </c>
      <c r="E1482" s="5" t="s">
        <v>12034</v>
      </c>
      <c r="F1482" s="5" t="s">
        <v>72</v>
      </c>
      <c r="G1482" s="5" t="s">
        <v>12035</v>
      </c>
      <c r="H1482" s="6" t="s">
        <v>12036</v>
      </c>
      <c r="I1482" s="7" t="s">
        <v>12037</v>
      </c>
      <c r="J1482" s="8" t="str">
        <f>HYPERLINK("https://drive.google.com/file/d/1Q09XB4v_YM3fNtnr5QU57FdNb2h8MqCV/view?usp=drivesdk","YENI YULIANI, A.Md. SERTIFIKAT BerAKHLAK")</f>
        <v>YENI YULIANI, A.Md. SERTIFIKAT BerAKHLAK</v>
      </c>
      <c r="K1482" s="5" t="s">
        <v>11664</v>
      </c>
      <c r="L1482" s="5" t="s">
        <v>12038</v>
      </c>
    </row>
    <row r="1483">
      <c r="A1483" s="4">
        <v>45534.33399247685</v>
      </c>
      <c r="B1483" s="5" t="s">
        <v>19</v>
      </c>
      <c r="C1483" s="5" t="s">
        <v>292</v>
      </c>
      <c r="E1483" s="5" t="s">
        <v>12041</v>
      </c>
      <c r="F1483" s="5" t="s">
        <v>37</v>
      </c>
      <c r="G1483" s="5" t="s">
        <v>12042</v>
      </c>
      <c r="H1483" s="6" t="s">
        <v>12043</v>
      </c>
      <c r="I1483" s="7" t="s">
        <v>12044</v>
      </c>
      <c r="J1483" s="8" t="str">
        <f>HYPERLINK("https://drive.google.com/file/d/1P_GqcGx4vx117arr3uCFltjaV1PZrD_5/view?usp=drivesdk","PENGATUR SUPARDI SERTIFIKAT BerAKHLAK")</f>
        <v>PENGATUR SUPARDI SERTIFIKAT BerAKHLAK</v>
      </c>
      <c r="K1483" s="5" t="s">
        <v>11954</v>
      </c>
      <c r="L1483" s="5" t="s">
        <v>12045</v>
      </c>
    </row>
    <row r="1484">
      <c r="A1484" s="4">
        <v>45534.33400021991</v>
      </c>
      <c r="B1484" s="5" t="s">
        <v>34</v>
      </c>
      <c r="D1484" s="5" t="s">
        <v>522</v>
      </c>
      <c r="E1484" s="5" t="s">
        <v>12048</v>
      </c>
      <c r="F1484" s="5" t="s">
        <v>715</v>
      </c>
      <c r="G1484" s="5" t="s">
        <v>12049</v>
      </c>
      <c r="H1484" s="6" t="s">
        <v>12050</v>
      </c>
      <c r="I1484" s="7" t="s">
        <v>12051</v>
      </c>
      <c r="J1484" s="8" t="str">
        <f>HYPERLINK("https://drive.google.com/file/d/1qehv0JWsHC7Fp_G5QBWHffVCI9c6nGy5/view?usp=drivesdk","MAHSUM ABUANDI, S. E.  SERTIFIKAT BerAKHLAK")</f>
        <v>MAHSUM ABUANDI, S. E.  SERTIFIKAT BerAKHLAK</v>
      </c>
      <c r="K1484" s="5" t="s">
        <v>11954</v>
      </c>
      <c r="L1484" s="5" t="s">
        <v>12052</v>
      </c>
    </row>
    <row r="1485">
      <c r="A1485" s="4">
        <v>45534.33400743056</v>
      </c>
      <c r="B1485" s="5" t="s">
        <v>34</v>
      </c>
      <c r="D1485" s="5" t="s">
        <v>4775</v>
      </c>
      <c r="E1485" s="5" t="s">
        <v>12056</v>
      </c>
      <c r="F1485" s="5" t="s">
        <v>375</v>
      </c>
      <c r="G1485" s="5" t="s">
        <v>12057</v>
      </c>
      <c r="H1485" s="6" t="s">
        <v>12058</v>
      </c>
      <c r="I1485" s="7" t="s">
        <v>12059</v>
      </c>
      <c r="J1485" s="8" t="str">
        <f>HYPERLINK("https://drive.google.com/file/d/1JPkrqwX0JHesB_9wfH60BwLKXDQTNoA9/view?usp=drivesdk","BOWO SUPRIYONO, S.E. SERTIFIKAT BerAKHLAK")</f>
        <v>BOWO SUPRIYONO, S.E. SERTIFIKAT BerAKHLAK</v>
      </c>
      <c r="K1485" s="5" t="s">
        <v>11954</v>
      </c>
      <c r="L1485" s="5" t="s">
        <v>12060</v>
      </c>
    </row>
    <row r="1486">
      <c r="A1486" s="4">
        <v>45534.33401142361</v>
      </c>
      <c r="B1486" s="5" t="s">
        <v>34</v>
      </c>
      <c r="D1486" s="5" t="s">
        <v>1206</v>
      </c>
      <c r="E1486" s="5" t="s">
        <v>12063</v>
      </c>
      <c r="F1486" s="5" t="s">
        <v>37</v>
      </c>
      <c r="G1486" s="5" t="s">
        <v>12064</v>
      </c>
      <c r="H1486" s="6" t="s">
        <v>12065</v>
      </c>
      <c r="I1486" s="7" t="s">
        <v>12066</v>
      </c>
      <c r="J1486" s="8" t="str">
        <f>HYPERLINK("https://drive.google.com/file/d/1-LnHDUppf7bD0ZirYuOf_Bco1BGpMKF1/view?usp=drivesdk","SIGIT HARDIANTO SERTIFIKAT BerAKHLAK")</f>
        <v>SIGIT HARDIANTO SERTIFIKAT BerAKHLAK</v>
      </c>
      <c r="K1486" s="5" t="s">
        <v>11954</v>
      </c>
      <c r="L1486" s="5" t="s">
        <v>12067</v>
      </c>
    </row>
    <row r="1487">
      <c r="A1487" s="4">
        <v>45534.3340125463</v>
      </c>
      <c r="B1487" s="5" t="s">
        <v>34</v>
      </c>
      <c r="D1487" s="5" t="s">
        <v>1206</v>
      </c>
      <c r="E1487" s="5" t="s">
        <v>12070</v>
      </c>
      <c r="F1487" s="5" t="s">
        <v>212</v>
      </c>
      <c r="G1487" s="5" t="s">
        <v>12071</v>
      </c>
      <c r="H1487" s="6" t="s">
        <v>12072</v>
      </c>
      <c r="I1487" s="7" t="s">
        <v>12073</v>
      </c>
      <c r="J1487" s="8" t="str">
        <f>HYPERLINK("https://drive.google.com/file/d/1no4rpeGSCfArLZbUSFLbTHVTXiG5ZVBp/view?usp=drivesdk","PENGATUR TK I SUMIATI SERTIFIKAT BerAKHLAK")</f>
        <v>PENGATUR TK I SUMIATI SERTIFIKAT BerAKHLAK</v>
      </c>
      <c r="K1487" s="5" t="s">
        <v>11954</v>
      </c>
      <c r="L1487" s="5" t="s">
        <v>12074</v>
      </c>
    </row>
    <row r="1488">
      <c r="A1488" s="4">
        <v>45534.334014004635</v>
      </c>
      <c r="B1488" s="5" t="s">
        <v>34</v>
      </c>
      <c r="D1488" s="5" t="s">
        <v>1206</v>
      </c>
      <c r="E1488" s="5" t="s">
        <v>12077</v>
      </c>
      <c r="F1488" s="5" t="s">
        <v>72</v>
      </c>
      <c r="G1488" s="5" t="s">
        <v>12078</v>
      </c>
      <c r="H1488" s="6" t="s">
        <v>12079</v>
      </c>
      <c r="I1488" s="7" t="s">
        <v>12080</v>
      </c>
      <c r="J1488" s="8" t="str">
        <f>HYPERLINK("https://drive.google.com/file/d/1sJstk9PdEGYSKpT2_f0a9PpD7ejHwq1l/view?usp=drivesdk","ANISWATI ROFIAH, A.Md. SERTIFIKAT BerAKHLAK")</f>
        <v>ANISWATI ROFIAH, A.Md. SERTIFIKAT BerAKHLAK</v>
      </c>
      <c r="K1488" s="5" t="s">
        <v>11954</v>
      </c>
      <c r="L1488" s="5" t="s">
        <v>12081</v>
      </c>
    </row>
    <row r="1489">
      <c r="A1489" s="4">
        <v>45534.33401844907</v>
      </c>
      <c r="B1489" s="5" t="s">
        <v>19</v>
      </c>
      <c r="C1489" s="5" t="s">
        <v>11593</v>
      </c>
      <c r="E1489" s="5" t="s">
        <v>12084</v>
      </c>
      <c r="F1489" s="5" t="s">
        <v>524</v>
      </c>
      <c r="G1489" s="5" t="s">
        <v>12085</v>
      </c>
      <c r="H1489" s="6" t="s">
        <v>12086</v>
      </c>
      <c r="I1489" s="7" t="s">
        <v>12087</v>
      </c>
      <c r="J1489" s="8" t="str">
        <f>HYPERLINK("https://drive.google.com/file/d/1LVclwvdJUl_kfO9FCwGAf-0f-gnlkrRJ/view?usp=drivesdk","NORMA WIDIYANINGRUM SERTIFIKAT BerAKHLAK")</f>
        <v>NORMA WIDIYANINGRUM SERTIFIKAT BerAKHLAK</v>
      </c>
      <c r="K1489" s="5" t="s">
        <v>11954</v>
      </c>
      <c r="L1489" s="5" t="s">
        <v>12088</v>
      </c>
    </row>
    <row r="1490">
      <c r="A1490" s="4">
        <v>45534.33401866898</v>
      </c>
      <c r="B1490" s="5" t="s">
        <v>34</v>
      </c>
      <c r="D1490" s="5" t="s">
        <v>9394</v>
      </c>
      <c r="E1490" s="5" t="s">
        <v>12091</v>
      </c>
      <c r="F1490" s="5" t="s">
        <v>212</v>
      </c>
      <c r="G1490" s="5" t="s">
        <v>12092</v>
      </c>
      <c r="H1490" s="6" t="s">
        <v>12093</v>
      </c>
      <c r="I1490" s="7" t="s">
        <v>12094</v>
      </c>
      <c r="J1490" s="8" t="str">
        <f>HYPERLINK("https://drive.google.com/file/d/1X_rxKO5a6dcYxhU1RXRV0JWy0tSRKzsM/view?usp=drivesdk","SRI PURWANINGSIH SERTIFIKAT BerAKHLAK")</f>
        <v>SRI PURWANINGSIH SERTIFIKAT BerAKHLAK</v>
      </c>
      <c r="K1490" s="5" t="s">
        <v>12015</v>
      </c>
      <c r="L1490" s="5" t="s">
        <v>12095</v>
      </c>
    </row>
    <row r="1491">
      <c r="A1491" s="4">
        <v>45534.334020069444</v>
      </c>
      <c r="B1491" s="5" t="s">
        <v>34</v>
      </c>
      <c r="D1491" s="5" t="s">
        <v>4775</v>
      </c>
      <c r="E1491" s="5" t="s">
        <v>12099</v>
      </c>
      <c r="F1491" s="5" t="s">
        <v>375</v>
      </c>
      <c r="G1491" s="5" t="s">
        <v>12100</v>
      </c>
      <c r="H1491" s="6" t="s">
        <v>12101</v>
      </c>
      <c r="I1491" s="7" t="s">
        <v>12102</v>
      </c>
      <c r="J1491" s="8" t="str">
        <f>HYPERLINK("https://drive.google.com/file/d/198BHXTfpH2lZkXxKHIIAmw2jqF6JvVGw/view?usp=drivesdk","HARI MARHENDRO, S.H. SERTIFIKAT BerAKHLAK")</f>
        <v>HARI MARHENDRO, S.H. SERTIFIKAT BerAKHLAK</v>
      </c>
      <c r="K1491" s="5" t="s">
        <v>12015</v>
      </c>
      <c r="L1491" s="5" t="s">
        <v>12103</v>
      </c>
    </row>
    <row r="1492">
      <c r="A1492" s="4">
        <v>45534.334041423615</v>
      </c>
      <c r="B1492" s="5" t="s">
        <v>34</v>
      </c>
      <c r="D1492" s="5" t="s">
        <v>1206</v>
      </c>
      <c r="E1492" s="5" t="s">
        <v>12106</v>
      </c>
      <c r="F1492" s="5" t="s">
        <v>37</v>
      </c>
      <c r="G1492" s="5" t="s">
        <v>12107</v>
      </c>
      <c r="H1492" s="6" t="s">
        <v>12108</v>
      </c>
      <c r="K1492" s="5" t="s">
        <v>12109</v>
      </c>
    </row>
    <row r="1493">
      <c r="A1493" s="4">
        <v>45534.33404746528</v>
      </c>
      <c r="B1493" s="5" t="s">
        <v>34</v>
      </c>
      <c r="D1493" s="5" t="s">
        <v>12010</v>
      </c>
      <c r="E1493" s="5" t="s">
        <v>12112</v>
      </c>
      <c r="F1493" s="5" t="s">
        <v>37</v>
      </c>
      <c r="G1493" s="5" t="s">
        <v>12113</v>
      </c>
      <c r="H1493" s="6" t="s">
        <v>12114</v>
      </c>
      <c r="K1493" s="5" t="s">
        <v>12109</v>
      </c>
    </row>
    <row r="1494">
      <c r="A1494" s="4">
        <v>45534.33404869213</v>
      </c>
      <c r="B1494" s="5" t="s">
        <v>34</v>
      </c>
      <c r="D1494" s="5" t="s">
        <v>4775</v>
      </c>
      <c r="E1494" s="5" t="s">
        <v>12117</v>
      </c>
      <c r="F1494" s="5" t="s">
        <v>212</v>
      </c>
      <c r="G1494" s="5" t="s">
        <v>12118</v>
      </c>
      <c r="H1494" s="6" t="s">
        <v>12119</v>
      </c>
      <c r="K1494" s="5" t="s">
        <v>12109</v>
      </c>
    </row>
    <row r="1495">
      <c r="A1495" s="4">
        <v>45534.33409138889</v>
      </c>
      <c r="B1495" s="5" t="s">
        <v>34</v>
      </c>
      <c r="D1495" s="5" t="s">
        <v>4775</v>
      </c>
      <c r="E1495" s="5" t="s">
        <v>12122</v>
      </c>
      <c r="F1495" s="5" t="s">
        <v>37</v>
      </c>
      <c r="G1495" s="5" t="s">
        <v>12123</v>
      </c>
      <c r="H1495" s="6" t="s">
        <v>12124</v>
      </c>
      <c r="I1495" s="7" t="s">
        <v>12125</v>
      </c>
      <c r="J1495" s="8" t="str">
        <f>HYPERLINK("https://drive.google.com/file/d/1t_ezM0Zicd7mqqKsYEX26iwCImdk3IVe/view?usp=drivesdk","SITI SHOPIYATUN SERTIFIKAT BerAKHLAK")</f>
        <v>SITI SHOPIYATUN SERTIFIKAT BerAKHLAK</v>
      </c>
      <c r="K1495" s="5" t="s">
        <v>11664</v>
      </c>
      <c r="L1495" s="5" t="s">
        <v>12126</v>
      </c>
    </row>
    <row r="1496">
      <c r="A1496" s="4">
        <v>45534.33410807871</v>
      </c>
      <c r="B1496" s="5" t="s">
        <v>19</v>
      </c>
      <c r="C1496" s="5" t="s">
        <v>5564</v>
      </c>
      <c r="E1496" s="5" t="s">
        <v>12129</v>
      </c>
      <c r="F1496" s="5" t="s">
        <v>5566</v>
      </c>
      <c r="G1496" s="5" t="s">
        <v>12130</v>
      </c>
      <c r="H1496" s="6" t="s">
        <v>12131</v>
      </c>
      <c r="K1496" s="5" t="s">
        <v>12132</v>
      </c>
    </row>
    <row r="1497">
      <c r="A1497" s="4">
        <v>45534.334116655096</v>
      </c>
      <c r="B1497" s="5" t="s">
        <v>34</v>
      </c>
      <c r="D1497" s="5" t="s">
        <v>35</v>
      </c>
      <c r="E1497" s="5" t="s">
        <v>12136</v>
      </c>
      <c r="F1497" s="5" t="s">
        <v>375</v>
      </c>
      <c r="G1497" s="5" t="s">
        <v>12137</v>
      </c>
      <c r="H1497" s="6" t="s">
        <v>12138</v>
      </c>
      <c r="K1497" s="5" t="s">
        <v>12132</v>
      </c>
    </row>
    <row r="1498">
      <c r="A1498" s="4">
        <v>45534.334120995365</v>
      </c>
      <c r="B1498" s="5" t="s">
        <v>34</v>
      </c>
      <c r="D1498" s="5" t="s">
        <v>1206</v>
      </c>
      <c r="E1498" s="5" t="s">
        <v>12141</v>
      </c>
      <c r="F1498" s="5" t="s">
        <v>212</v>
      </c>
      <c r="G1498" s="5" t="s">
        <v>12142</v>
      </c>
      <c r="H1498" s="6" t="s">
        <v>12143</v>
      </c>
      <c r="K1498" s="5" t="s">
        <v>12132</v>
      </c>
    </row>
    <row r="1499">
      <c r="A1499" s="4">
        <v>45534.334125231486</v>
      </c>
      <c r="B1499" s="5" t="s">
        <v>34</v>
      </c>
      <c r="D1499" s="5" t="s">
        <v>4775</v>
      </c>
      <c r="E1499" s="5" t="s">
        <v>12146</v>
      </c>
      <c r="F1499" s="5" t="s">
        <v>108</v>
      </c>
      <c r="G1499" s="5" t="s">
        <v>12147</v>
      </c>
      <c r="H1499" s="6" t="s">
        <v>12148</v>
      </c>
      <c r="K1499" s="5" t="s">
        <v>12132</v>
      </c>
    </row>
    <row r="1500">
      <c r="A1500" s="4">
        <v>45534.334127696755</v>
      </c>
      <c r="B1500" s="5" t="s">
        <v>34</v>
      </c>
      <c r="D1500" s="5" t="s">
        <v>6232</v>
      </c>
      <c r="E1500" s="5" t="s">
        <v>12151</v>
      </c>
      <c r="F1500" s="5" t="s">
        <v>212</v>
      </c>
      <c r="G1500" s="5" t="s">
        <v>12152</v>
      </c>
      <c r="H1500" s="6" t="s">
        <v>12153</v>
      </c>
      <c r="K1500" s="5" t="s">
        <v>12132</v>
      </c>
    </row>
    <row r="1501">
      <c r="A1501" s="4">
        <v>45534.33413559028</v>
      </c>
      <c r="B1501" s="5" t="s">
        <v>19</v>
      </c>
      <c r="C1501" s="5" t="s">
        <v>292</v>
      </c>
      <c r="E1501" s="5" t="s">
        <v>12156</v>
      </c>
      <c r="F1501" s="5" t="s">
        <v>37</v>
      </c>
      <c r="G1501" s="5" t="s">
        <v>12157</v>
      </c>
      <c r="H1501" s="6" t="s">
        <v>12158</v>
      </c>
      <c r="K1501" s="5" t="s">
        <v>12132</v>
      </c>
    </row>
    <row r="1502">
      <c r="A1502" s="4">
        <v>45534.33415405093</v>
      </c>
      <c r="B1502" s="5" t="s">
        <v>19</v>
      </c>
      <c r="C1502" s="5" t="s">
        <v>11593</v>
      </c>
      <c r="E1502" s="5" t="s">
        <v>12161</v>
      </c>
      <c r="F1502" s="5" t="s">
        <v>108</v>
      </c>
      <c r="G1502" s="5" t="s">
        <v>12162</v>
      </c>
      <c r="H1502" s="6" t="s">
        <v>12163</v>
      </c>
      <c r="K1502" s="5" t="s">
        <v>12132</v>
      </c>
    </row>
    <row r="1503">
      <c r="A1503" s="4">
        <v>45534.334155115735</v>
      </c>
      <c r="B1503" s="5" t="s">
        <v>34</v>
      </c>
      <c r="D1503" s="5" t="s">
        <v>6232</v>
      </c>
      <c r="E1503" s="5" t="s">
        <v>12167</v>
      </c>
      <c r="F1503" s="5" t="s">
        <v>108</v>
      </c>
      <c r="G1503" s="5" t="s">
        <v>12168</v>
      </c>
      <c r="H1503" s="6" t="s">
        <v>12169</v>
      </c>
      <c r="I1503" s="7" t="s">
        <v>12170</v>
      </c>
      <c r="J1503" s="8" t="str">
        <f>HYPERLINK("https://drive.google.com/file/d/1K-HH6YF1XcvZvCtPs42xeADAR8gr-0hC/view?usp=drivesdk","dr. ATMITA MEI RIATNA GULTOM SERTIFIKAT BerAKHLAK")</f>
        <v>dr. ATMITA MEI RIATNA GULTOM SERTIFIKAT BerAKHLAK</v>
      </c>
      <c r="K1503" s="5" t="s">
        <v>11664</v>
      </c>
      <c r="L1503" s="5" t="s">
        <v>12171</v>
      </c>
    </row>
    <row r="1504">
      <c r="A1504" s="4">
        <v>45534.33415564815</v>
      </c>
      <c r="B1504" s="5" t="s">
        <v>34</v>
      </c>
      <c r="D1504" s="5" t="s">
        <v>9020</v>
      </c>
      <c r="E1504" s="5" t="s">
        <v>12174</v>
      </c>
      <c r="F1504" s="5" t="s">
        <v>108</v>
      </c>
      <c r="G1504" s="5" t="s">
        <v>12175</v>
      </c>
      <c r="H1504" s="6" t="s">
        <v>12176</v>
      </c>
      <c r="I1504" s="7" t="s">
        <v>12177</v>
      </c>
      <c r="J1504" s="8" t="str">
        <f>HYPERLINK("https://drive.google.com/file/d/19itxLnKTw-PRiQ2TH1U2QAy1KUZJY5ig/view?usp=drivesdk","NORA FITRIANI,SKM SERTIFIKAT BerAKHLAK")</f>
        <v>NORA FITRIANI,SKM SERTIFIKAT BerAKHLAK</v>
      </c>
      <c r="K1504" s="5" t="s">
        <v>11664</v>
      </c>
      <c r="L1504" s="5" t="s">
        <v>12178</v>
      </c>
    </row>
    <row r="1505">
      <c r="A1505" s="4">
        <v>45534.334159756945</v>
      </c>
      <c r="B1505" s="5" t="s">
        <v>34</v>
      </c>
      <c r="D1505" s="5" t="s">
        <v>6232</v>
      </c>
      <c r="E1505" s="5" t="s">
        <v>12181</v>
      </c>
      <c r="F1505" s="5" t="s">
        <v>37</v>
      </c>
      <c r="G1505" s="5" t="s">
        <v>12182</v>
      </c>
      <c r="H1505" s="6" t="s">
        <v>12183</v>
      </c>
      <c r="I1505" s="7" t="s">
        <v>12184</v>
      </c>
      <c r="J1505" s="8" t="str">
        <f>HYPERLINK("https://drive.google.com/file/d/1J4j5XXMXHBLbRhVLG6sRyMcHY81gBS1j/view?usp=drivesdk","ELIZABETH DEWI KARTINI SIBURIAN, Am.Kep SERTIFIKAT BerAKHLAK")</f>
        <v>ELIZABETH DEWI KARTINI SIBURIAN, Am.Kep SERTIFIKAT BerAKHLAK</v>
      </c>
      <c r="K1505" s="5" t="s">
        <v>11664</v>
      </c>
      <c r="L1505" s="5" t="s">
        <v>12185</v>
      </c>
    </row>
    <row r="1506">
      <c r="A1506" s="4">
        <v>45534.33418975695</v>
      </c>
      <c r="B1506" s="5" t="s">
        <v>34</v>
      </c>
      <c r="D1506" s="5" t="s">
        <v>6232</v>
      </c>
      <c r="E1506" s="5" t="s">
        <v>12188</v>
      </c>
      <c r="F1506" s="5" t="s">
        <v>108</v>
      </c>
      <c r="G1506" s="5" t="s">
        <v>12189</v>
      </c>
      <c r="H1506" s="6" t="s">
        <v>12190</v>
      </c>
      <c r="I1506" s="7" t="s">
        <v>12191</v>
      </c>
      <c r="J1506" s="8" t="str">
        <f>HYPERLINK("https://drive.google.com/file/d/1PrURppqq6sCTgsyqtf9gdobsU9vT5VaZ/view?usp=drivesdk","NS DINA SYARIF SKEP SERTIFIKAT BerAKHLAK")</f>
        <v>NS DINA SYARIF SKEP SERTIFIKAT BerAKHLAK</v>
      </c>
      <c r="K1506" s="5" t="s">
        <v>11664</v>
      </c>
      <c r="L1506" s="5" t="s">
        <v>12192</v>
      </c>
    </row>
    <row r="1507">
      <c r="A1507" s="4">
        <v>45534.33419608796</v>
      </c>
      <c r="B1507" s="5" t="s">
        <v>34</v>
      </c>
      <c r="D1507" s="5" t="s">
        <v>9394</v>
      </c>
      <c r="E1507" s="5" t="s">
        <v>12195</v>
      </c>
      <c r="F1507" s="5" t="s">
        <v>37</v>
      </c>
      <c r="G1507" s="5" t="s">
        <v>12196</v>
      </c>
      <c r="H1507" s="6" t="s">
        <v>12197</v>
      </c>
      <c r="I1507" s="7" t="s">
        <v>12198</v>
      </c>
      <c r="J1507" s="8" t="str">
        <f>HYPERLINK("https://drive.google.com/file/d/1F3HwiKVQ519V92uihbNKwUTmlL6ao6yr/view?usp=drivesdk","MUHAMAD PARMINTO  SERTIFIKAT BerAKHLAK")</f>
        <v>MUHAMAD PARMINTO  SERTIFIKAT BerAKHLAK</v>
      </c>
      <c r="K1507" s="5" t="s">
        <v>11664</v>
      </c>
      <c r="L1507" s="5" t="s">
        <v>12199</v>
      </c>
    </row>
    <row r="1508">
      <c r="A1508" s="4">
        <v>45534.33419875</v>
      </c>
      <c r="B1508" s="5" t="s">
        <v>34</v>
      </c>
      <c r="D1508" s="5" t="s">
        <v>701</v>
      </c>
      <c r="E1508" s="5" t="s">
        <v>12203</v>
      </c>
      <c r="F1508" s="5" t="s">
        <v>715</v>
      </c>
      <c r="G1508" s="5" t="s">
        <v>12204</v>
      </c>
      <c r="H1508" s="6" t="s">
        <v>12205</v>
      </c>
      <c r="I1508" s="7" t="s">
        <v>12206</v>
      </c>
      <c r="J1508" s="8" t="str">
        <f>HYPERLINK("https://drive.google.com/file/d/1bzeblq7_oGiYNnFr5CNSQ2xxMapEX2zs/view?usp=drivesdk","WIRDA NENGSIH, S.H SERTIFIKAT BerAKHLAK")</f>
        <v>WIRDA NENGSIH, S.H SERTIFIKAT BerAKHLAK</v>
      </c>
      <c r="K1508" s="5" t="s">
        <v>11954</v>
      </c>
      <c r="L1508" s="5" t="s">
        <v>12207</v>
      </c>
    </row>
    <row r="1509">
      <c r="A1509" s="4">
        <v>45534.3342121875</v>
      </c>
      <c r="B1509" s="5" t="s">
        <v>34</v>
      </c>
      <c r="D1509" s="5" t="s">
        <v>1768</v>
      </c>
      <c r="E1509" s="5" t="s">
        <v>12210</v>
      </c>
      <c r="F1509" s="5" t="s">
        <v>72</v>
      </c>
      <c r="G1509" s="5" t="s">
        <v>12211</v>
      </c>
      <c r="H1509" s="6" t="s">
        <v>12212</v>
      </c>
      <c r="I1509" s="7" t="s">
        <v>12213</v>
      </c>
      <c r="J1509" s="8" t="str">
        <f>HYPERLINK("https://drive.google.com/file/d/16oF6r-2r8iChrP33I8DY3wMOLzFFP3Wk/view?usp=drivesdk","PRADITYA AGUS NUGRAHA, AMD SERTIFIKAT BerAKHLAK")</f>
        <v>PRADITYA AGUS NUGRAHA, AMD SERTIFIKAT BerAKHLAK</v>
      </c>
      <c r="K1509" s="5" t="s">
        <v>11954</v>
      </c>
      <c r="L1509" s="5" t="s">
        <v>12214</v>
      </c>
    </row>
    <row r="1510">
      <c r="A1510" s="4">
        <v>45534.334217615746</v>
      </c>
      <c r="B1510" s="5" t="s">
        <v>34</v>
      </c>
      <c r="D1510" s="5" t="s">
        <v>1768</v>
      </c>
      <c r="E1510" s="5" t="s">
        <v>12217</v>
      </c>
      <c r="F1510" s="5" t="s">
        <v>212</v>
      </c>
      <c r="G1510" s="5" t="s">
        <v>12218</v>
      </c>
      <c r="H1510" s="6" t="s">
        <v>12219</v>
      </c>
      <c r="I1510" s="7" t="s">
        <v>12220</v>
      </c>
      <c r="J1510" s="8" t="str">
        <f>HYPERLINK("https://drive.google.com/file/d/1TwLpbRKXEdmNGK3CExX7KI3hL_Ko31e0/view?usp=drivesdk","HADI APRIANTO SERTIFIKAT BerAKHLAK")</f>
        <v>HADI APRIANTO SERTIFIKAT BerAKHLAK</v>
      </c>
      <c r="K1510" s="5" t="s">
        <v>11954</v>
      </c>
      <c r="L1510" s="5" t="s">
        <v>12221</v>
      </c>
    </row>
    <row r="1511">
      <c r="A1511" s="4">
        <v>45534.33422091435</v>
      </c>
      <c r="B1511" s="5" t="s">
        <v>34</v>
      </c>
      <c r="D1511" s="5" t="s">
        <v>6232</v>
      </c>
      <c r="E1511" s="5" t="s">
        <v>12224</v>
      </c>
      <c r="F1511" s="5" t="s">
        <v>120</v>
      </c>
      <c r="G1511" s="5" t="s">
        <v>12225</v>
      </c>
      <c r="H1511" s="6" t="s">
        <v>12226</v>
      </c>
      <c r="K1511" s="5" t="s">
        <v>12227</v>
      </c>
    </row>
    <row r="1512">
      <c r="A1512" s="4">
        <v>45534.33422193287</v>
      </c>
      <c r="B1512" s="5" t="s">
        <v>34</v>
      </c>
      <c r="D1512" s="5" t="s">
        <v>267</v>
      </c>
      <c r="E1512" s="5" t="s">
        <v>12230</v>
      </c>
      <c r="F1512" s="5" t="s">
        <v>37</v>
      </c>
      <c r="G1512" s="5" t="s">
        <v>12231</v>
      </c>
      <c r="H1512" s="6" t="s">
        <v>12232</v>
      </c>
      <c r="K1512" s="5" t="s">
        <v>12227</v>
      </c>
    </row>
    <row r="1513">
      <c r="A1513" s="4">
        <v>45534.33423421296</v>
      </c>
      <c r="B1513" s="5" t="s">
        <v>34</v>
      </c>
      <c r="D1513" s="5" t="s">
        <v>267</v>
      </c>
      <c r="E1513" s="5" t="s">
        <v>12236</v>
      </c>
      <c r="F1513" s="5" t="s">
        <v>524</v>
      </c>
      <c r="G1513" s="5" t="s">
        <v>12237</v>
      </c>
      <c r="H1513" s="6" t="s">
        <v>12238</v>
      </c>
      <c r="I1513" s="7" t="s">
        <v>12239</v>
      </c>
      <c r="J1513" s="8" t="str">
        <f>HYPERLINK("https://drive.google.com/file/d/1wQRfmCqb754d6e5SIk-Khfod14R3ZjdI/view?usp=drivesdk","PENDA SRI LESTARI  SERTIFIKAT BerAKHLAK")</f>
        <v>PENDA SRI LESTARI  SERTIFIKAT BerAKHLAK</v>
      </c>
      <c r="K1513" s="5" t="s">
        <v>11664</v>
      </c>
      <c r="L1513" s="5" t="s">
        <v>12240</v>
      </c>
    </row>
    <row r="1514">
      <c r="A1514" s="4">
        <v>45534.334236678245</v>
      </c>
      <c r="B1514" s="5" t="s">
        <v>34</v>
      </c>
      <c r="D1514" s="5" t="s">
        <v>975</v>
      </c>
      <c r="E1514" s="5" t="s">
        <v>12243</v>
      </c>
      <c r="F1514" s="5" t="s">
        <v>212</v>
      </c>
      <c r="G1514" s="5" t="s">
        <v>12244</v>
      </c>
      <c r="H1514" s="6" t="s">
        <v>12245</v>
      </c>
      <c r="I1514" s="7" t="s">
        <v>12246</v>
      </c>
      <c r="J1514" s="8" t="str">
        <f>HYPERLINK("https://drive.google.com/file/d/1EpHz6JqJu7jMQXwICCn4FxLi8CCpDOt3/view?usp=drivesdk","ZAINURHIDAYANTI, AMD.FARM SERTIFIKAT BerAKHLAK")</f>
        <v>ZAINURHIDAYANTI, AMD.FARM SERTIFIKAT BerAKHLAK</v>
      </c>
      <c r="K1514" s="5" t="s">
        <v>11664</v>
      </c>
      <c r="L1514" s="5" t="s">
        <v>12247</v>
      </c>
    </row>
    <row r="1515">
      <c r="A1515" s="4">
        <v>45534.33428270833</v>
      </c>
      <c r="B1515" s="5" t="s">
        <v>19</v>
      </c>
      <c r="C1515" s="5" t="s">
        <v>11593</v>
      </c>
      <c r="E1515" s="5" t="s">
        <v>12250</v>
      </c>
      <c r="F1515" s="5" t="s">
        <v>72</v>
      </c>
      <c r="G1515" s="5" t="s">
        <v>12251</v>
      </c>
      <c r="H1515" s="6" t="s">
        <v>12252</v>
      </c>
      <c r="I1515" s="7" t="s">
        <v>12253</v>
      </c>
      <c r="J1515" s="8" t="str">
        <f>HYPERLINK("https://drive.google.com/file/d/1kLuN6MA-S8HHBFxH1xJ2rwgfphCEFp3e/view?usp=drivesdk","SITI MARIFATUN, AMK  SERTIFIKAT BerAKHLAK")</f>
        <v>SITI MARIFATUN, AMK  SERTIFIKAT BerAKHLAK</v>
      </c>
      <c r="K1515" s="5" t="s">
        <v>11664</v>
      </c>
      <c r="L1515" s="5" t="s">
        <v>12254</v>
      </c>
    </row>
    <row r="1516">
      <c r="A1516" s="4">
        <v>45534.33428993056</v>
      </c>
      <c r="B1516" s="5" t="s">
        <v>34</v>
      </c>
      <c r="D1516" s="5" t="s">
        <v>10444</v>
      </c>
      <c r="E1516" s="5" t="s">
        <v>12257</v>
      </c>
      <c r="F1516" s="5" t="s">
        <v>37</v>
      </c>
      <c r="G1516" s="5" t="s">
        <v>12258</v>
      </c>
      <c r="H1516" s="6" t="s">
        <v>12259</v>
      </c>
      <c r="I1516" s="7" t="s">
        <v>12260</v>
      </c>
      <c r="J1516" s="8" t="str">
        <f>HYPERLINK("https://drive.google.com/file/d/1P_TF2d75YOhPzOqeuU1kMoNddj6eeRFG/view?usp=drivesdk","MUHAMMAD FAHAD, A.Md.Kom. SERTIFIKAT BerAKHLAK")</f>
        <v>MUHAMMAD FAHAD, A.Md.Kom. SERTIFIKAT BerAKHLAK</v>
      </c>
      <c r="K1516" s="5" t="s">
        <v>11664</v>
      </c>
      <c r="L1516" s="5" t="s">
        <v>12261</v>
      </c>
    </row>
    <row r="1517">
      <c r="A1517" s="4">
        <v>45534.334312719904</v>
      </c>
      <c r="B1517" s="5" t="s">
        <v>19</v>
      </c>
      <c r="C1517" s="5" t="s">
        <v>11593</v>
      </c>
      <c r="E1517" s="5" t="s">
        <v>12264</v>
      </c>
      <c r="F1517" s="5" t="s">
        <v>108</v>
      </c>
      <c r="G1517" s="5" t="s">
        <v>12265</v>
      </c>
      <c r="H1517" s="6" t="s">
        <v>12266</v>
      </c>
      <c r="I1517" s="7" t="s">
        <v>12267</v>
      </c>
      <c r="J1517" s="8" t="str">
        <f>HYPERLINK("https://drive.google.com/file/d/1PEVW99kOrHF8eEqXD4yVSp8_45dflhib/view?usp=drivesdk","KURNIATI PUJI MASTITI SERTIFIKAT BerAKHLAK")</f>
        <v>KURNIATI PUJI MASTITI SERTIFIKAT BerAKHLAK</v>
      </c>
      <c r="K1517" s="5" t="s">
        <v>11664</v>
      </c>
      <c r="L1517" s="5" t="s">
        <v>12268</v>
      </c>
    </row>
    <row r="1518">
      <c r="A1518" s="4">
        <v>45534.334330451384</v>
      </c>
      <c r="B1518" s="5" t="s">
        <v>34</v>
      </c>
      <c r="D1518" s="5" t="s">
        <v>35</v>
      </c>
      <c r="E1518" s="5" t="s">
        <v>12271</v>
      </c>
      <c r="F1518" s="5" t="s">
        <v>199</v>
      </c>
      <c r="G1518" s="5" t="s">
        <v>12272</v>
      </c>
      <c r="H1518" s="6" t="s">
        <v>12273</v>
      </c>
      <c r="I1518" s="7" t="s">
        <v>12274</v>
      </c>
      <c r="J1518" s="8" t="str">
        <f>HYPERLINK("https://drive.google.com/file/d/1Jz51Dhqi110mtIzWNRk79dQzH7V2iuLK/view?usp=drivesdk","PENGATUR ITK I MIMIN  SERTIFIKAT BerAKHLAK")</f>
        <v>PENGATUR ITK I MIMIN  SERTIFIKAT BerAKHLAK</v>
      </c>
      <c r="K1518" s="5" t="s">
        <v>11954</v>
      </c>
      <c r="L1518" s="5" t="s">
        <v>12275</v>
      </c>
    </row>
    <row r="1519">
      <c r="A1519" s="4">
        <v>45534.33433203703</v>
      </c>
      <c r="B1519" s="5" t="s">
        <v>34</v>
      </c>
      <c r="D1519" s="5" t="s">
        <v>280</v>
      </c>
      <c r="E1519" s="5" t="s">
        <v>12279</v>
      </c>
      <c r="F1519" s="5" t="s">
        <v>212</v>
      </c>
      <c r="G1519" s="5" t="s">
        <v>12280</v>
      </c>
      <c r="H1519" s="6" t="s">
        <v>12281</v>
      </c>
      <c r="I1519" s="7" t="s">
        <v>12282</v>
      </c>
      <c r="J1519" s="8" t="str">
        <f>HYPERLINK("https://drive.google.com/file/d/1XpT4hhH_j7C854z8iW8REac9IccJEllJ/view?usp=drivesdk","PENGATUR TK I ENI KOMARIAH SERTIFIKAT BerAKHLAK")</f>
        <v>PENGATUR TK I ENI KOMARIAH SERTIFIKAT BerAKHLAK</v>
      </c>
      <c r="K1519" s="5" t="s">
        <v>11954</v>
      </c>
      <c r="L1519" s="5" t="s">
        <v>12283</v>
      </c>
    </row>
    <row r="1520">
      <c r="A1520" s="4">
        <v>45534.334375810184</v>
      </c>
      <c r="B1520" s="5" t="s">
        <v>34</v>
      </c>
      <c r="D1520" s="5" t="s">
        <v>1206</v>
      </c>
      <c r="E1520" s="5" t="s">
        <v>12286</v>
      </c>
      <c r="F1520" s="5" t="s">
        <v>108</v>
      </c>
      <c r="G1520" s="5" t="s">
        <v>12287</v>
      </c>
      <c r="H1520" s="6" t="s">
        <v>12288</v>
      </c>
      <c r="I1520" s="7" t="s">
        <v>12289</v>
      </c>
      <c r="J1520" s="8" t="str">
        <f>HYPERLINK("https://drive.google.com/file/d/1F8Y22Xi5YqmbpAU7wjoykWJpV8R4TGNh/view?usp=drivesdk","WHINDA PRAMITA, AMD SERTIFIKAT BerAKHLAK")</f>
        <v>WHINDA PRAMITA, AMD SERTIFIKAT BerAKHLAK</v>
      </c>
      <c r="K1520" s="5" t="s">
        <v>11664</v>
      </c>
      <c r="L1520" s="5" t="s">
        <v>12290</v>
      </c>
    </row>
    <row r="1521">
      <c r="A1521" s="4">
        <v>45534.334401319444</v>
      </c>
      <c r="B1521" s="5" t="s">
        <v>34</v>
      </c>
      <c r="D1521" s="5" t="s">
        <v>2903</v>
      </c>
      <c r="E1521" s="5" t="s">
        <v>12293</v>
      </c>
      <c r="F1521" s="5" t="s">
        <v>37</v>
      </c>
      <c r="G1521" s="5" t="s">
        <v>12294</v>
      </c>
      <c r="H1521" s="6" t="s">
        <v>12295</v>
      </c>
      <c r="I1521" s="7" t="s">
        <v>12296</v>
      </c>
      <c r="J1521" s="8" t="str">
        <f>HYPERLINK("https://drive.google.com/file/d/1qWv4FcdLzcp9OTz3YC6Dd3mz5AlU10PR/view?usp=drivesdk","ANGGUN MAULIDIA SERTIFIKAT BerAKHLAK")</f>
        <v>ANGGUN MAULIDIA SERTIFIKAT BerAKHLAK</v>
      </c>
      <c r="K1521" s="5" t="s">
        <v>11954</v>
      </c>
      <c r="L1521" s="5" t="s">
        <v>12297</v>
      </c>
    </row>
    <row r="1522">
      <c r="A1522" s="4">
        <v>45534.33440886574</v>
      </c>
      <c r="B1522" s="5" t="s">
        <v>34</v>
      </c>
      <c r="D1522" s="5" t="s">
        <v>267</v>
      </c>
      <c r="E1522" s="5" t="s">
        <v>12300</v>
      </c>
      <c r="F1522" s="5" t="s">
        <v>375</v>
      </c>
      <c r="G1522" s="5" t="s">
        <v>12301</v>
      </c>
      <c r="H1522" s="6" t="s">
        <v>12302</v>
      </c>
      <c r="I1522" s="7" t="s">
        <v>12303</v>
      </c>
      <c r="J1522" s="8" t="str">
        <f>HYPERLINK("https://drive.google.com/file/d/1tEVWPQ1IFd1lZgugsNEgIW7p0B7SGx3H/view?usp=drivesdk","AMIRULSIDIQ, SE SERTIFIKAT BerAKHLAK")</f>
        <v>AMIRULSIDIQ, SE SERTIFIKAT BerAKHLAK</v>
      </c>
      <c r="K1522" s="5" t="s">
        <v>11954</v>
      </c>
      <c r="L1522" s="5" t="s">
        <v>12304</v>
      </c>
    </row>
    <row r="1523">
      <c r="A1523" s="4">
        <v>45534.334431828705</v>
      </c>
      <c r="B1523" s="5" t="s">
        <v>19</v>
      </c>
      <c r="C1523" s="5" t="s">
        <v>11593</v>
      </c>
      <c r="E1523" s="5" t="s">
        <v>12307</v>
      </c>
      <c r="F1523" s="5" t="s">
        <v>375</v>
      </c>
      <c r="G1523" s="5" t="s">
        <v>12308</v>
      </c>
      <c r="H1523" s="6" t="s">
        <v>12309</v>
      </c>
      <c r="I1523" s="7" t="s">
        <v>12310</v>
      </c>
      <c r="J1523" s="8" t="str">
        <f>HYPERLINK("https://drive.google.com/file/d/1E3TOFnHZaIFONEstGvunGbNouh0USkeA/view?usp=drivesdk","EKO SUPRIADI, S.T. SERTIFIKAT BerAKHLAK")</f>
        <v>EKO SUPRIADI, S.T. SERTIFIKAT BerAKHLAK</v>
      </c>
      <c r="K1523" s="5" t="s">
        <v>11954</v>
      </c>
      <c r="L1523" s="5" t="s">
        <v>12311</v>
      </c>
    </row>
    <row r="1524">
      <c r="A1524" s="4">
        <v>45534.33443364583</v>
      </c>
      <c r="B1524" s="5" t="s">
        <v>34</v>
      </c>
      <c r="D1524" s="5" t="s">
        <v>1768</v>
      </c>
      <c r="E1524" s="5" t="s">
        <v>12314</v>
      </c>
      <c r="F1524" s="5" t="s">
        <v>375</v>
      </c>
      <c r="G1524" s="5" t="s">
        <v>12315</v>
      </c>
      <c r="H1524" s="6" t="s">
        <v>12316</v>
      </c>
      <c r="K1524" s="5" t="s">
        <v>12317</v>
      </c>
    </row>
    <row r="1525">
      <c r="A1525" s="4">
        <v>45534.33443328703</v>
      </c>
      <c r="B1525" s="5" t="s">
        <v>34</v>
      </c>
      <c r="D1525" s="5" t="s">
        <v>35</v>
      </c>
      <c r="E1525" s="5" t="s">
        <v>12320</v>
      </c>
      <c r="F1525" s="5" t="s">
        <v>37</v>
      </c>
      <c r="G1525" s="5" t="s">
        <v>12321</v>
      </c>
      <c r="H1525" s="6" t="s">
        <v>12322</v>
      </c>
      <c r="K1525" s="5" t="s">
        <v>12317</v>
      </c>
    </row>
    <row r="1526">
      <c r="A1526" s="4">
        <v>45534.33443652777</v>
      </c>
      <c r="B1526" s="5" t="s">
        <v>34</v>
      </c>
      <c r="D1526" s="5" t="s">
        <v>1456</v>
      </c>
      <c r="E1526" s="5" t="s">
        <v>12326</v>
      </c>
      <c r="F1526" s="5" t="s">
        <v>37</v>
      </c>
      <c r="G1526" s="5" t="s">
        <v>12327</v>
      </c>
      <c r="H1526" s="6" t="s">
        <v>12328</v>
      </c>
      <c r="K1526" s="5" t="s">
        <v>12317</v>
      </c>
    </row>
    <row r="1527">
      <c r="A1527" s="4">
        <v>45534.33444850694</v>
      </c>
      <c r="B1527" s="5" t="s">
        <v>34</v>
      </c>
      <c r="D1527" s="5" t="s">
        <v>6232</v>
      </c>
      <c r="E1527" s="5" t="s">
        <v>12331</v>
      </c>
      <c r="F1527" s="5" t="s">
        <v>72</v>
      </c>
      <c r="G1527" s="5" t="s">
        <v>12332</v>
      </c>
      <c r="H1527" s="6" t="s">
        <v>12333</v>
      </c>
      <c r="K1527" s="5" t="s">
        <v>12334</v>
      </c>
    </row>
    <row r="1528">
      <c r="A1528" s="4">
        <v>45534.33445202546</v>
      </c>
      <c r="B1528" s="5" t="s">
        <v>34</v>
      </c>
      <c r="D1528" s="5" t="s">
        <v>3849</v>
      </c>
      <c r="E1528" s="5" t="s">
        <v>12337</v>
      </c>
      <c r="F1528" s="5" t="s">
        <v>72</v>
      </c>
      <c r="G1528" s="5" t="s">
        <v>12338</v>
      </c>
      <c r="H1528" s="6" t="s">
        <v>12339</v>
      </c>
      <c r="K1528" s="5" t="s">
        <v>12334</v>
      </c>
    </row>
    <row r="1529">
      <c r="A1529" s="4">
        <v>45534.33448107639</v>
      </c>
      <c r="B1529" s="5" t="s">
        <v>34</v>
      </c>
      <c r="D1529" s="5" t="s">
        <v>1206</v>
      </c>
      <c r="E1529" s="5" t="s">
        <v>12343</v>
      </c>
      <c r="F1529" s="5" t="s">
        <v>212</v>
      </c>
      <c r="G1529" s="5" t="s">
        <v>12344</v>
      </c>
      <c r="H1529" s="6" t="s">
        <v>12345</v>
      </c>
      <c r="I1529" s="7" t="s">
        <v>12346</v>
      </c>
      <c r="J1529" s="8" t="str">
        <f>HYPERLINK("https://drive.google.com/file/d/15XyaGrdGB7fgIT7stt9oZW8QnY0_K1Pt/view?usp=drivesdk","EKO BUDI YULISETIOWATI SERTIFIKAT BerAKHLAK")</f>
        <v>EKO BUDI YULISETIOWATI SERTIFIKAT BerAKHLAK</v>
      </c>
      <c r="K1529" s="5" t="s">
        <v>11664</v>
      </c>
      <c r="L1529" s="5" t="s">
        <v>12347</v>
      </c>
    </row>
    <row r="1530">
      <c r="A1530" s="4">
        <v>45534.33448171296</v>
      </c>
      <c r="B1530" s="5" t="s">
        <v>34</v>
      </c>
      <c r="D1530" s="5" t="s">
        <v>2903</v>
      </c>
      <c r="E1530" s="5" t="s">
        <v>12350</v>
      </c>
      <c r="F1530" s="5" t="s">
        <v>37</v>
      </c>
      <c r="G1530" s="5" t="s">
        <v>12351</v>
      </c>
      <c r="H1530" s="6" t="s">
        <v>12352</v>
      </c>
      <c r="I1530" s="7" t="s">
        <v>12353</v>
      </c>
      <c r="J1530" s="8" t="str">
        <f>HYPERLINK("https://drive.google.com/file/d/1j-PmQZ6_EPTvKTB4VIOnyi2SyQQpxQsW/view?usp=drivesdk","MADA RIZKI TANTOWI JHONNATA SERTIFIKAT BerAKHLAK")</f>
        <v>MADA RIZKI TANTOWI JHONNATA SERTIFIKAT BerAKHLAK</v>
      </c>
      <c r="K1530" s="5" t="s">
        <v>11954</v>
      </c>
      <c r="L1530" s="5" t="s">
        <v>12354</v>
      </c>
    </row>
    <row r="1531">
      <c r="A1531" s="4">
        <v>45534.33449435185</v>
      </c>
      <c r="B1531" s="5" t="s">
        <v>34</v>
      </c>
      <c r="D1531" s="5" t="s">
        <v>975</v>
      </c>
      <c r="E1531" s="5" t="s">
        <v>12357</v>
      </c>
      <c r="F1531" s="5" t="s">
        <v>37</v>
      </c>
      <c r="G1531" s="5" t="s">
        <v>12358</v>
      </c>
      <c r="H1531" s="6" t="s">
        <v>12359</v>
      </c>
      <c r="I1531" s="7" t="s">
        <v>12360</v>
      </c>
      <c r="J1531" s="8" t="str">
        <f>HYPERLINK("https://drive.google.com/file/d/1WK9mli7zxf9vGfYyH0f7cht9SgWgHj_s/view?usp=drivesdk","ADE IMAN WIWIN KURNIYA RACHMADHONI  SERTIFIKAT BerAKHLAK")</f>
        <v>ADE IMAN WIWIN KURNIYA RACHMADHONI  SERTIFIKAT BerAKHLAK</v>
      </c>
      <c r="K1531" s="5" t="s">
        <v>11954</v>
      </c>
      <c r="L1531" s="5" t="s">
        <v>12361</v>
      </c>
    </row>
    <row r="1532">
      <c r="A1532" s="4">
        <v>45534.33450358796</v>
      </c>
      <c r="B1532" s="5" t="s">
        <v>34</v>
      </c>
      <c r="D1532" s="5" t="s">
        <v>6232</v>
      </c>
      <c r="E1532" s="5" t="s">
        <v>12364</v>
      </c>
      <c r="F1532" s="5" t="s">
        <v>212</v>
      </c>
      <c r="G1532" s="5" t="s">
        <v>12365</v>
      </c>
      <c r="H1532" s="6" t="s">
        <v>12366</v>
      </c>
      <c r="I1532" s="7" t="s">
        <v>12367</v>
      </c>
      <c r="J1532" s="8" t="str">
        <f>HYPERLINK("https://drive.google.com/file/d/1V226XkISYQS631elHRp7aiX6RzrQHubk/view?usp=drivesdk","NOVITAEKASARI SERTIFIKAT BerAKHLAK")</f>
        <v>NOVITAEKASARI SERTIFIKAT BerAKHLAK</v>
      </c>
      <c r="K1532" s="5" t="s">
        <v>11954</v>
      </c>
      <c r="L1532" s="5" t="s">
        <v>12368</v>
      </c>
    </row>
    <row r="1533">
      <c r="A1533" s="4">
        <v>45534.3345094213</v>
      </c>
      <c r="B1533" s="5" t="s">
        <v>34</v>
      </c>
      <c r="D1533" s="5" t="s">
        <v>6232</v>
      </c>
      <c r="E1533" s="5" t="s">
        <v>12371</v>
      </c>
      <c r="F1533" s="5" t="s">
        <v>108</v>
      </c>
      <c r="G1533" s="5" t="s">
        <v>12372</v>
      </c>
      <c r="H1533" s="6" t="s">
        <v>12373</v>
      </c>
      <c r="I1533" s="7" t="s">
        <v>12374</v>
      </c>
      <c r="J1533" s="8" t="str">
        <f>HYPERLINK("https://drive.google.com/file/d/1ev9r2GAzwjJq6s87VmNZzTzlVzzLOStc/view?usp=drivesdk","EVA SAPRINA BR PERANGIN ANGIN, A. Md, S. Akun SERTIFIKAT BerAKHLAK")</f>
        <v>EVA SAPRINA BR PERANGIN ANGIN, A. Md, S. Akun SERTIFIKAT BerAKHLAK</v>
      </c>
      <c r="K1533" s="5" t="s">
        <v>11954</v>
      </c>
      <c r="L1533" s="5" t="s">
        <v>12375</v>
      </c>
    </row>
    <row r="1534">
      <c r="A1534" s="4">
        <v>45534.33452322916</v>
      </c>
      <c r="B1534" s="5" t="s">
        <v>19</v>
      </c>
      <c r="C1534" s="5" t="s">
        <v>292</v>
      </c>
      <c r="E1534" s="5" t="s">
        <v>12379</v>
      </c>
      <c r="F1534" s="5" t="s">
        <v>37</v>
      </c>
      <c r="G1534" s="5" t="s">
        <v>12380</v>
      </c>
      <c r="H1534" s="6" t="s">
        <v>12381</v>
      </c>
      <c r="I1534" s="7" t="s">
        <v>12382</v>
      </c>
      <c r="J1534" s="8" t="str">
        <f>HYPERLINK("https://drive.google.com/file/d/1tBASsGz6sywvBgbsROnT43lql7eCXj1N/view?usp=drivesdk","DINDA NAWANGSARI SERTIFIKAT BerAKHLAK")</f>
        <v>DINDA NAWANGSARI SERTIFIKAT BerAKHLAK</v>
      </c>
      <c r="K1534" s="5" t="s">
        <v>11954</v>
      </c>
      <c r="L1534" s="5" t="s">
        <v>12383</v>
      </c>
    </row>
    <row r="1535">
      <c r="A1535" s="4">
        <v>45534.33452883102</v>
      </c>
      <c r="B1535" s="5" t="s">
        <v>34</v>
      </c>
      <c r="D1535" s="5" t="s">
        <v>9020</v>
      </c>
      <c r="E1535" s="5" t="s">
        <v>12386</v>
      </c>
      <c r="F1535" s="5" t="s">
        <v>108</v>
      </c>
      <c r="G1535" s="5" t="s">
        <v>12387</v>
      </c>
      <c r="H1535" s="6" t="s">
        <v>12388</v>
      </c>
      <c r="I1535" s="7" t="s">
        <v>12389</v>
      </c>
      <c r="J1535" s="8" t="str">
        <f>HYPERLINK("https://drive.google.com/file/d/1NvlESz-leSh6CH66SapgD_N29XuPWd_s/view?usp=drivesdk","ROTUA BHARAMAFRIWATY SARAGIH SERTIFIKAT BerAKHLAK")</f>
        <v>ROTUA BHARAMAFRIWATY SARAGIH SERTIFIKAT BerAKHLAK</v>
      </c>
      <c r="K1535" s="5" t="s">
        <v>11954</v>
      </c>
      <c r="L1535" s="5" t="s">
        <v>12390</v>
      </c>
    </row>
    <row r="1536">
      <c r="A1536" s="4">
        <v>45534.334531967594</v>
      </c>
      <c r="B1536" s="5" t="s">
        <v>34</v>
      </c>
      <c r="D1536" s="5" t="s">
        <v>10444</v>
      </c>
      <c r="E1536" s="5" t="s">
        <v>12393</v>
      </c>
      <c r="F1536" s="5" t="s">
        <v>524</v>
      </c>
      <c r="G1536" s="5" t="s">
        <v>12394</v>
      </c>
      <c r="H1536" s="6" t="s">
        <v>12395</v>
      </c>
      <c r="K1536" s="5" t="s">
        <v>12396</v>
      </c>
    </row>
    <row r="1537">
      <c r="A1537" s="4">
        <v>45534.334543460645</v>
      </c>
      <c r="B1537" s="5" t="s">
        <v>34</v>
      </c>
      <c r="D1537" s="5" t="s">
        <v>1206</v>
      </c>
      <c r="E1537" s="5" t="s">
        <v>12399</v>
      </c>
      <c r="F1537" s="5" t="s">
        <v>37</v>
      </c>
      <c r="G1537" s="5" t="s">
        <v>12400</v>
      </c>
      <c r="H1537" s="6" t="s">
        <v>12401</v>
      </c>
      <c r="K1537" s="5" t="s">
        <v>12396</v>
      </c>
    </row>
    <row r="1538">
      <c r="A1538" s="4">
        <v>45534.33454603009</v>
      </c>
      <c r="B1538" s="5" t="s">
        <v>34</v>
      </c>
      <c r="D1538" s="5" t="s">
        <v>9394</v>
      </c>
      <c r="E1538" s="5" t="s">
        <v>12404</v>
      </c>
      <c r="F1538" s="5" t="s">
        <v>524</v>
      </c>
      <c r="G1538" s="5" t="s">
        <v>12405</v>
      </c>
      <c r="H1538" s="6" t="s">
        <v>12406</v>
      </c>
      <c r="K1538" s="5" t="s">
        <v>12396</v>
      </c>
    </row>
    <row r="1539">
      <c r="A1539" s="4">
        <v>45534.33455332176</v>
      </c>
      <c r="B1539" s="5" t="s">
        <v>34</v>
      </c>
      <c r="D1539" s="5" t="s">
        <v>9020</v>
      </c>
      <c r="E1539" s="5" t="s">
        <v>12409</v>
      </c>
      <c r="F1539" s="5" t="s">
        <v>375</v>
      </c>
      <c r="G1539" s="5" t="s">
        <v>12410</v>
      </c>
      <c r="H1539" s="6" t="s">
        <v>12411</v>
      </c>
      <c r="K1539" s="5" t="s">
        <v>12396</v>
      </c>
    </row>
    <row r="1540">
      <c r="A1540" s="4">
        <v>45534.334567314814</v>
      </c>
      <c r="B1540" s="5" t="s">
        <v>34</v>
      </c>
      <c r="D1540" s="5" t="s">
        <v>4775</v>
      </c>
      <c r="E1540" s="5" t="s">
        <v>12415</v>
      </c>
      <c r="F1540" s="5" t="s">
        <v>108</v>
      </c>
      <c r="G1540" s="5" t="s">
        <v>12416</v>
      </c>
      <c r="H1540" s="6" t="s">
        <v>12417</v>
      </c>
      <c r="K1540" s="5" t="s">
        <v>12396</v>
      </c>
    </row>
    <row r="1541">
      <c r="A1541" s="4">
        <v>45534.33458047453</v>
      </c>
      <c r="B1541" s="5" t="s">
        <v>34</v>
      </c>
      <c r="D1541" s="5" t="s">
        <v>4775</v>
      </c>
      <c r="E1541" s="5" t="s">
        <v>12420</v>
      </c>
      <c r="F1541" s="5" t="s">
        <v>212</v>
      </c>
      <c r="G1541" s="5" t="s">
        <v>12421</v>
      </c>
      <c r="H1541" s="6" t="s">
        <v>12422</v>
      </c>
      <c r="I1541" s="7" t="s">
        <v>12423</v>
      </c>
      <c r="J1541" s="8" t="str">
        <f>HYPERLINK("https://drive.google.com/file/d/12c2G5neHYgyzRwXP8yyIrGnhAyIpsbT_/view?usp=drivesdk","IWAN MARYANTO SERTIFIKAT BerAKHLAK")</f>
        <v>IWAN MARYANTO SERTIFIKAT BerAKHLAK</v>
      </c>
      <c r="K1541" s="5" t="s">
        <v>11954</v>
      </c>
      <c r="L1541" s="5" t="s">
        <v>12424</v>
      </c>
    </row>
    <row r="1542">
      <c r="A1542" s="4">
        <v>45534.33459490741</v>
      </c>
      <c r="B1542" s="5" t="s">
        <v>34</v>
      </c>
      <c r="D1542" s="5" t="s">
        <v>267</v>
      </c>
      <c r="E1542" s="5" t="s">
        <v>12427</v>
      </c>
      <c r="F1542" s="5" t="s">
        <v>715</v>
      </c>
      <c r="G1542" s="5" t="s">
        <v>12428</v>
      </c>
      <c r="H1542" s="6" t="s">
        <v>12429</v>
      </c>
      <c r="I1542" s="7" t="s">
        <v>12430</v>
      </c>
      <c r="J1542" s="8" t="str">
        <f>HYPERLINK("https://drive.google.com/file/d/1X4XUo6Eyq235pjv0tehGvZc4Hwik53sj/view?usp=drivesdk","YOGA ADIE PRADANA, A.Md.Kep. SERTIFIKAT BerAKHLAK")</f>
        <v>YOGA ADIE PRADANA, A.Md.Kep. SERTIFIKAT BerAKHLAK</v>
      </c>
      <c r="K1542" s="5" t="s">
        <v>11954</v>
      </c>
      <c r="L1542" s="5" t="s">
        <v>12431</v>
      </c>
    </row>
    <row r="1543">
      <c r="A1543" s="4">
        <v>45534.33459712963</v>
      </c>
      <c r="B1543" s="5" t="s">
        <v>34</v>
      </c>
      <c r="D1543" s="5" t="s">
        <v>10444</v>
      </c>
      <c r="E1543" s="5" t="s">
        <v>12434</v>
      </c>
      <c r="F1543" s="5" t="s">
        <v>212</v>
      </c>
      <c r="G1543" s="5" t="s">
        <v>12435</v>
      </c>
      <c r="H1543" s="6" t="s">
        <v>12436</v>
      </c>
      <c r="I1543" s="7" t="s">
        <v>12437</v>
      </c>
      <c r="J1543" s="8" t="str">
        <f>HYPERLINK("https://drive.google.com/file/d/1UN68peFhV-E37E2ea_TOUXq_kJPKFZj2/view?usp=drivesdk","NOVIE SULASTRI  SERTIFIKAT BerAKHLAK")</f>
        <v>NOVIE SULASTRI  SERTIFIKAT BerAKHLAK</v>
      </c>
      <c r="K1543" s="5" t="s">
        <v>11954</v>
      </c>
      <c r="L1543" s="5" t="s">
        <v>12438</v>
      </c>
    </row>
    <row r="1544">
      <c r="A1544" s="4">
        <v>45534.334602476854</v>
      </c>
      <c r="B1544" s="5" t="s">
        <v>34</v>
      </c>
      <c r="D1544" s="5" t="s">
        <v>975</v>
      </c>
      <c r="E1544" s="5" t="s">
        <v>12441</v>
      </c>
      <c r="F1544" s="5" t="s">
        <v>37</v>
      </c>
      <c r="G1544" s="5" t="s">
        <v>12442</v>
      </c>
      <c r="H1544" s="6" t="s">
        <v>12443</v>
      </c>
      <c r="K1544" s="5" t="s">
        <v>12444</v>
      </c>
    </row>
    <row r="1545">
      <c r="A1545" s="4">
        <v>45534.3346087963</v>
      </c>
      <c r="B1545" s="5" t="s">
        <v>19</v>
      </c>
      <c r="C1545" s="5" t="s">
        <v>11593</v>
      </c>
      <c r="E1545" s="5" t="s">
        <v>12448</v>
      </c>
      <c r="F1545" s="5" t="s">
        <v>108</v>
      </c>
      <c r="G1545" s="5" t="s">
        <v>12449</v>
      </c>
      <c r="H1545" s="6" t="s">
        <v>12450</v>
      </c>
      <c r="K1545" s="5" t="s">
        <v>12444</v>
      </c>
    </row>
    <row r="1546">
      <c r="A1546" s="4">
        <v>45534.334612858795</v>
      </c>
      <c r="B1546" s="5" t="s">
        <v>34</v>
      </c>
      <c r="D1546" s="5" t="s">
        <v>4775</v>
      </c>
      <c r="E1546" s="5" t="s">
        <v>12453</v>
      </c>
      <c r="F1546" s="5" t="s">
        <v>375</v>
      </c>
      <c r="G1546" s="5" t="s">
        <v>12454</v>
      </c>
      <c r="H1546" s="6" t="s">
        <v>12455</v>
      </c>
      <c r="I1546" s="7" t="s">
        <v>12456</v>
      </c>
      <c r="J1546" s="8" t="str">
        <f>HYPERLINK("https://drive.google.com/file/d/1L7g2v8S6M-lQKKLUm6VMA9EEZaR8Dg7c/view?usp=drivesdk","WAWAN VIDY PRASETYO, S. Ak SERTIFIKAT BerAKHLAK")</f>
        <v>WAWAN VIDY PRASETYO, S. Ak SERTIFIKAT BerAKHLAK</v>
      </c>
      <c r="K1546" s="5" t="s">
        <v>11954</v>
      </c>
      <c r="L1546" s="5" t="s">
        <v>12457</v>
      </c>
    </row>
    <row r="1547">
      <c r="A1547" s="4">
        <v>45534.33461849537</v>
      </c>
      <c r="B1547" s="5" t="s">
        <v>34</v>
      </c>
      <c r="D1547" s="5" t="s">
        <v>6232</v>
      </c>
      <c r="E1547" s="5" t="s">
        <v>12460</v>
      </c>
      <c r="F1547" s="5" t="s">
        <v>212</v>
      </c>
      <c r="G1547" s="5" t="s">
        <v>12461</v>
      </c>
      <c r="H1547" s="6" t="s">
        <v>12462</v>
      </c>
      <c r="I1547" s="7" t="s">
        <v>12463</v>
      </c>
      <c r="J1547" s="8" t="str">
        <f>HYPERLINK("https://drive.google.com/file/d/1cDCriqXNJiMW5S9aZ-GKbVyG4ocL5cg3/view?usp=drivesdk","DEDDY ISKANDAR  SERTIFIKAT BerAKHLAK")</f>
        <v>DEDDY ISKANDAR  SERTIFIKAT BerAKHLAK</v>
      </c>
      <c r="K1547" s="5" t="s">
        <v>11954</v>
      </c>
      <c r="L1547" s="5" t="s">
        <v>12464</v>
      </c>
    </row>
    <row r="1548">
      <c r="A1548" s="4">
        <v>45534.33463459491</v>
      </c>
      <c r="B1548" s="5" t="s">
        <v>34</v>
      </c>
      <c r="D1548" s="5" t="s">
        <v>522</v>
      </c>
      <c r="E1548" s="5" t="s">
        <v>12467</v>
      </c>
      <c r="F1548" s="5" t="s">
        <v>715</v>
      </c>
      <c r="G1548" s="5" t="s">
        <v>12468</v>
      </c>
      <c r="H1548" s="6" t="s">
        <v>12469</v>
      </c>
      <c r="K1548" s="5" t="s">
        <v>12470</v>
      </c>
    </row>
    <row r="1549">
      <c r="A1549" s="4">
        <v>45534.33463996528</v>
      </c>
      <c r="B1549" s="5" t="s">
        <v>34</v>
      </c>
      <c r="D1549" s="5" t="s">
        <v>701</v>
      </c>
      <c r="E1549" s="5" t="s">
        <v>12473</v>
      </c>
      <c r="F1549" s="5" t="s">
        <v>108</v>
      </c>
      <c r="G1549" s="5" t="s">
        <v>12474</v>
      </c>
      <c r="H1549" s="6" t="s">
        <v>12475</v>
      </c>
      <c r="K1549" s="5" t="s">
        <v>12470</v>
      </c>
    </row>
    <row r="1550">
      <c r="A1550" s="4">
        <v>45534.33464428241</v>
      </c>
      <c r="B1550" s="5" t="s">
        <v>34</v>
      </c>
      <c r="D1550" s="5" t="s">
        <v>9020</v>
      </c>
      <c r="E1550" s="5" t="s">
        <v>12478</v>
      </c>
      <c r="F1550" s="5" t="s">
        <v>37</v>
      </c>
      <c r="G1550" s="5" t="s">
        <v>12479</v>
      </c>
      <c r="H1550" s="6" t="s">
        <v>12480</v>
      </c>
      <c r="K1550" s="5" t="s">
        <v>12470</v>
      </c>
    </row>
    <row r="1551">
      <c r="A1551" s="4">
        <v>45534.33464564815</v>
      </c>
      <c r="B1551" s="5" t="s">
        <v>34</v>
      </c>
      <c r="D1551" s="5" t="s">
        <v>6232</v>
      </c>
      <c r="E1551" s="5" t="s">
        <v>12483</v>
      </c>
      <c r="F1551" s="5" t="s">
        <v>37</v>
      </c>
      <c r="G1551" s="5" t="s">
        <v>12484</v>
      </c>
      <c r="H1551" s="6" t="s">
        <v>12485</v>
      </c>
      <c r="K1551" s="5" t="s">
        <v>12470</v>
      </c>
    </row>
    <row r="1552">
      <c r="A1552" s="4">
        <v>45534.33465958333</v>
      </c>
      <c r="B1552" s="5" t="s">
        <v>34</v>
      </c>
      <c r="D1552" s="5" t="s">
        <v>1206</v>
      </c>
      <c r="E1552" s="5" t="s">
        <v>12488</v>
      </c>
      <c r="F1552" s="5" t="s">
        <v>72</v>
      </c>
      <c r="G1552" s="5" t="s">
        <v>12489</v>
      </c>
      <c r="H1552" s="6" t="s">
        <v>12490</v>
      </c>
      <c r="K1552" s="5" t="s">
        <v>12470</v>
      </c>
    </row>
    <row r="1553">
      <c r="A1553" s="4">
        <v>45534.334674178244</v>
      </c>
      <c r="B1553" s="5" t="s">
        <v>34</v>
      </c>
      <c r="D1553" s="5" t="s">
        <v>4775</v>
      </c>
      <c r="E1553" s="5" t="s">
        <v>12494</v>
      </c>
      <c r="F1553" s="5" t="s">
        <v>212</v>
      </c>
      <c r="G1553" s="5" t="s">
        <v>12495</v>
      </c>
      <c r="H1553" s="6" t="s">
        <v>12496</v>
      </c>
      <c r="I1553" s="7" t="s">
        <v>12497</v>
      </c>
      <c r="J1553" s="8" t="str">
        <f>HYPERLINK("https://drive.google.com/file/d/1y11gp9sPC7pWj3dOJoKUu0yeiMiSj6mA/view?usp=drivesdk","IIN DARYANTI, SE SERTIFIKAT BerAKHLAK")</f>
        <v>IIN DARYANTI, SE SERTIFIKAT BerAKHLAK</v>
      </c>
      <c r="K1553" s="5" t="s">
        <v>11954</v>
      </c>
      <c r="L1553" s="5" t="s">
        <v>12498</v>
      </c>
    </row>
    <row r="1554">
      <c r="A1554" s="4">
        <v>45534.33468079861</v>
      </c>
      <c r="B1554" s="5" t="s">
        <v>19</v>
      </c>
      <c r="C1554" s="5" t="s">
        <v>292</v>
      </c>
      <c r="E1554" s="5" t="s">
        <v>12501</v>
      </c>
      <c r="F1554" s="5" t="s">
        <v>37</v>
      </c>
      <c r="G1554" s="5" t="s">
        <v>12502</v>
      </c>
      <c r="H1554" s="6" t="s">
        <v>12503</v>
      </c>
      <c r="I1554" s="7" t="s">
        <v>12504</v>
      </c>
      <c r="J1554" s="8" t="str">
        <f>HYPERLINK("https://drive.google.com/file/d/1GREzU7X_CV7pbTboxrW5tJtI8xzq0fHy/view?usp=drivesdk","ANGGI DWI FAUZI, A.Md SERTIFIKAT BerAKHLAK")</f>
        <v>ANGGI DWI FAUZI, A.Md SERTIFIKAT BerAKHLAK</v>
      </c>
      <c r="K1554" s="5" t="s">
        <v>11954</v>
      </c>
      <c r="L1554" s="5" t="s">
        <v>12505</v>
      </c>
    </row>
    <row r="1555">
      <c r="A1555" s="4">
        <v>45534.3346809375</v>
      </c>
      <c r="B1555" s="5" t="s">
        <v>34</v>
      </c>
      <c r="D1555" s="5" t="s">
        <v>2903</v>
      </c>
      <c r="E1555" s="5" t="s">
        <v>12508</v>
      </c>
      <c r="F1555" s="5" t="s">
        <v>37</v>
      </c>
      <c r="G1555" s="5" t="s">
        <v>12509</v>
      </c>
      <c r="H1555" s="6" t="s">
        <v>12510</v>
      </c>
      <c r="K1555" s="5" t="s">
        <v>12511</v>
      </c>
    </row>
    <row r="1556">
      <c r="A1556" s="4">
        <v>45534.334685567126</v>
      </c>
      <c r="B1556" s="5" t="s">
        <v>34</v>
      </c>
      <c r="D1556" s="5" t="s">
        <v>1206</v>
      </c>
      <c r="E1556" s="5" t="s">
        <v>12514</v>
      </c>
      <c r="F1556" s="5" t="s">
        <v>524</v>
      </c>
      <c r="G1556" s="5" t="s">
        <v>12515</v>
      </c>
      <c r="H1556" s="6" t="s">
        <v>12516</v>
      </c>
      <c r="K1556" s="5" t="s">
        <v>12511</v>
      </c>
    </row>
    <row r="1557">
      <c r="A1557" s="4">
        <v>45534.334687361115</v>
      </c>
      <c r="B1557" s="5" t="s">
        <v>34</v>
      </c>
      <c r="D1557" s="5" t="s">
        <v>996</v>
      </c>
      <c r="E1557" s="5" t="s">
        <v>12519</v>
      </c>
      <c r="F1557" s="5" t="s">
        <v>108</v>
      </c>
      <c r="G1557" s="5" t="s">
        <v>12520</v>
      </c>
      <c r="H1557" s="6" t="s">
        <v>12521</v>
      </c>
      <c r="K1557" s="5" t="s">
        <v>12511</v>
      </c>
    </row>
    <row r="1558">
      <c r="A1558" s="4">
        <v>45534.3346975</v>
      </c>
      <c r="B1558" s="5" t="s">
        <v>34</v>
      </c>
      <c r="D1558" s="5" t="s">
        <v>9020</v>
      </c>
      <c r="E1558" s="5" t="s">
        <v>12524</v>
      </c>
      <c r="F1558" s="5" t="s">
        <v>37</v>
      </c>
      <c r="G1558" s="5" t="s">
        <v>12525</v>
      </c>
      <c r="H1558" s="6" t="s">
        <v>12526</v>
      </c>
      <c r="I1558" s="7" t="s">
        <v>12527</v>
      </c>
      <c r="J1558" s="8" t="str">
        <f>HYPERLINK("https://drive.google.com/file/d/1AliOa2tVz6ySN0OvWipjphzlYkYx5wb3/view?usp=drivesdk","JUNI R SIMATUPANG  SERTIFIKAT BerAKHLAK")</f>
        <v>JUNI R SIMATUPANG  SERTIFIKAT BerAKHLAK</v>
      </c>
      <c r="K1558" s="5" t="s">
        <v>11954</v>
      </c>
      <c r="L1558" s="5" t="s">
        <v>12528</v>
      </c>
    </row>
    <row r="1559">
      <c r="A1559" s="4">
        <v>45534.334700775464</v>
      </c>
      <c r="B1559" s="5" t="s">
        <v>34</v>
      </c>
      <c r="D1559" s="5" t="s">
        <v>35</v>
      </c>
      <c r="E1559" s="5" t="s">
        <v>12532</v>
      </c>
      <c r="F1559" s="5" t="s">
        <v>120</v>
      </c>
      <c r="G1559" s="5" t="s">
        <v>12533</v>
      </c>
      <c r="H1559" s="6" t="s">
        <v>12534</v>
      </c>
      <c r="I1559" s="7" t="s">
        <v>12535</v>
      </c>
      <c r="J1559" s="8" t="str">
        <f>HYPERLINK("https://drive.google.com/file/d/11pPkkADJ9V-CPvr1xOcRHMuwDbMbuGrP/view?usp=drivesdk","ERNI SUHAENI, S.H., M.M SERTIFIKAT BerAKHLAK")</f>
        <v>ERNI SUHAENI, S.H., M.M SERTIFIKAT BerAKHLAK</v>
      </c>
      <c r="K1559" s="5" t="s">
        <v>11954</v>
      </c>
      <c r="L1559" s="5" t="s">
        <v>12536</v>
      </c>
    </row>
    <row r="1560">
      <c r="A1560" s="4">
        <v>45534.33472010416</v>
      </c>
      <c r="B1560" s="5" t="s">
        <v>34</v>
      </c>
      <c r="D1560" s="5" t="s">
        <v>9020</v>
      </c>
      <c r="E1560" s="5" t="s">
        <v>12539</v>
      </c>
      <c r="F1560" s="5" t="s">
        <v>37</v>
      </c>
      <c r="G1560" s="5" t="s">
        <v>12540</v>
      </c>
      <c r="H1560" s="6" t="s">
        <v>12541</v>
      </c>
      <c r="I1560" s="7" t="s">
        <v>12542</v>
      </c>
      <c r="J1560" s="8" t="str">
        <f>HYPERLINK("https://drive.google.com/file/d/1jwuqdr4c8Wd388fmEWFOt70KjzdCsCkP/view?usp=drivesdk","DOSTI SIMANJUNTAK SERTIFIKAT BerAKHLAK")</f>
        <v>DOSTI SIMANJUNTAK SERTIFIKAT BerAKHLAK</v>
      </c>
      <c r="K1560" s="5" t="s">
        <v>11954</v>
      </c>
      <c r="L1560" s="5" t="s">
        <v>12543</v>
      </c>
    </row>
    <row r="1561">
      <c r="A1561" s="4">
        <v>45534.33471972222</v>
      </c>
      <c r="B1561" s="5" t="s">
        <v>34</v>
      </c>
      <c r="D1561" s="5" t="s">
        <v>6232</v>
      </c>
      <c r="E1561" s="5" t="s">
        <v>12546</v>
      </c>
      <c r="F1561" s="5" t="s">
        <v>108</v>
      </c>
      <c r="G1561" s="5" t="s">
        <v>12547</v>
      </c>
      <c r="H1561" s="6" t="s">
        <v>12548</v>
      </c>
      <c r="K1561" s="5" t="s">
        <v>12549</v>
      </c>
    </row>
    <row r="1562">
      <c r="A1562" s="4">
        <v>45534.33472074074</v>
      </c>
      <c r="B1562" s="5" t="s">
        <v>34</v>
      </c>
      <c r="D1562" s="5" t="s">
        <v>4775</v>
      </c>
      <c r="E1562" s="5" t="s">
        <v>12552</v>
      </c>
      <c r="F1562" s="5" t="s">
        <v>120</v>
      </c>
      <c r="G1562" s="5" t="s">
        <v>12553</v>
      </c>
      <c r="H1562" s="6" t="s">
        <v>12554</v>
      </c>
      <c r="K1562" s="5" t="s">
        <v>12549</v>
      </c>
    </row>
    <row r="1563">
      <c r="A1563" s="4">
        <v>45534.3347362037</v>
      </c>
      <c r="B1563" s="5" t="s">
        <v>34</v>
      </c>
      <c r="D1563" s="5" t="s">
        <v>580</v>
      </c>
      <c r="E1563" s="5" t="s">
        <v>12557</v>
      </c>
      <c r="F1563" s="5" t="s">
        <v>37</v>
      </c>
      <c r="G1563" s="5" t="s">
        <v>12558</v>
      </c>
      <c r="H1563" s="6" t="s">
        <v>12559</v>
      </c>
      <c r="K1563" s="5" t="s">
        <v>12549</v>
      </c>
    </row>
    <row r="1564">
      <c r="A1564" s="4">
        <v>45534.33473870371</v>
      </c>
      <c r="B1564" s="5" t="s">
        <v>19</v>
      </c>
      <c r="C1564" s="5" t="s">
        <v>20</v>
      </c>
      <c r="E1564" s="5" t="s">
        <v>12563</v>
      </c>
      <c r="F1564" s="5" t="s">
        <v>37</v>
      </c>
      <c r="G1564" s="5" t="s">
        <v>12564</v>
      </c>
      <c r="H1564" s="6" t="s">
        <v>12565</v>
      </c>
      <c r="K1564" s="5" t="s">
        <v>12549</v>
      </c>
    </row>
    <row r="1565">
      <c r="A1565" s="4">
        <v>45534.33476804398</v>
      </c>
      <c r="B1565" s="5" t="s">
        <v>34</v>
      </c>
      <c r="D1565" s="5" t="s">
        <v>35</v>
      </c>
      <c r="E1565" s="5" t="s">
        <v>12568</v>
      </c>
      <c r="F1565" s="5" t="s">
        <v>212</v>
      </c>
      <c r="G1565" s="5" t="s">
        <v>12569</v>
      </c>
      <c r="H1565" s="6" t="s">
        <v>12570</v>
      </c>
      <c r="K1565" s="5" t="s">
        <v>12549</v>
      </c>
    </row>
    <row r="1566">
      <c r="A1566" s="4">
        <v>45534.334773634255</v>
      </c>
      <c r="B1566" s="5" t="s">
        <v>19</v>
      </c>
      <c r="C1566" s="5" t="s">
        <v>11593</v>
      </c>
      <c r="E1566" s="5" t="s">
        <v>12573</v>
      </c>
      <c r="F1566" s="5" t="s">
        <v>212</v>
      </c>
      <c r="G1566" s="5" t="s">
        <v>12574</v>
      </c>
      <c r="H1566" s="6" t="s">
        <v>12575</v>
      </c>
      <c r="K1566" s="5" t="s">
        <v>12549</v>
      </c>
    </row>
    <row r="1567">
      <c r="A1567" s="4">
        <v>45534.334803645834</v>
      </c>
      <c r="B1567" s="5" t="s">
        <v>34</v>
      </c>
      <c r="D1567" s="5" t="s">
        <v>6232</v>
      </c>
      <c r="E1567" s="5" t="s">
        <v>12578</v>
      </c>
      <c r="F1567" s="5" t="s">
        <v>212</v>
      </c>
      <c r="G1567" s="5" t="s">
        <v>12579</v>
      </c>
      <c r="H1567" s="6" t="s">
        <v>12580</v>
      </c>
      <c r="I1567" s="7" t="s">
        <v>12581</v>
      </c>
      <c r="J1567" s="8" t="str">
        <f>HYPERLINK("https://drive.google.com/file/d/1tWGt6sdtPtPgNfTiOogcLKggkWr-6G1z/view?usp=drivesdk","SULISTYOWATI  SERTIFIKAT BerAKHLAK")</f>
        <v>SULISTYOWATI  SERTIFIKAT BerAKHLAK</v>
      </c>
      <c r="K1567" s="5" t="s">
        <v>11954</v>
      </c>
      <c r="L1567" s="5" t="s">
        <v>12582</v>
      </c>
    </row>
    <row r="1568">
      <c r="A1568" s="4">
        <v>45534.33481048611</v>
      </c>
      <c r="B1568" s="5" t="s">
        <v>34</v>
      </c>
      <c r="D1568" s="5" t="s">
        <v>1206</v>
      </c>
      <c r="E1568" s="5" t="s">
        <v>12585</v>
      </c>
      <c r="F1568" s="5" t="s">
        <v>199</v>
      </c>
      <c r="G1568" s="5" t="s">
        <v>12586</v>
      </c>
      <c r="H1568" s="6" t="s">
        <v>12587</v>
      </c>
      <c r="K1568" s="5" t="s">
        <v>12588</v>
      </c>
    </row>
    <row r="1569">
      <c r="A1569" s="4">
        <v>45534.33482172454</v>
      </c>
      <c r="B1569" s="5" t="s">
        <v>34</v>
      </c>
      <c r="D1569" s="5" t="s">
        <v>1206</v>
      </c>
      <c r="E1569" s="5" t="s">
        <v>12592</v>
      </c>
      <c r="F1569" s="5" t="s">
        <v>37</v>
      </c>
      <c r="G1569" s="5" t="s">
        <v>12593</v>
      </c>
      <c r="H1569" s="6" t="s">
        <v>12594</v>
      </c>
      <c r="K1569" s="5" t="s">
        <v>12595</v>
      </c>
    </row>
    <row r="1570">
      <c r="A1570" s="4">
        <v>45534.33482365741</v>
      </c>
      <c r="B1570" s="5" t="s">
        <v>19</v>
      </c>
      <c r="C1570" s="5" t="s">
        <v>1606</v>
      </c>
      <c r="E1570" s="5" t="s">
        <v>12598</v>
      </c>
      <c r="F1570" s="5" t="s">
        <v>375</v>
      </c>
      <c r="G1570" s="5" t="s">
        <v>12599</v>
      </c>
      <c r="H1570" s="6" t="s">
        <v>12600</v>
      </c>
      <c r="K1570" s="5" t="s">
        <v>12595</v>
      </c>
    </row>
    <row r="1571">
      <c r="A1571" s="4">
        <v>45534.334841250005</v>
      </c>
      <c r="B1571" s="5" t="s">
        <v>34</v>
      </c>
      <c r="D1571" s="5" t="s">
        <v>6232</v>
      </c>
      <c r="E1571" s="5" t="s">
        <v>12603</v>
      </c>
      <c r="F1571" s="5" t="s">
        <v>37</v>
      </c>
      <c r="G1571" s="5" t="s">
        <v>12604</v>
      </c>
      <c r="H1571" s="6" t="s">
        <v>12605</v>
      </c>
      <c r="K1571" s="5" t="s">
        <v>12595</v>
      </c>
    </row>
    <row r="1572">
      <c r="A1572" s="4">
        <v>45534.33486862268</v>
      </c>
      <c r="B1572" s="5" t="s">
        <v>34</v>
      </c>
      <c r="D1572" s="5" t="s">
        <v>604</v>
      </c>
      <c r="E1572" s="5" t="s">
        <v>12609</v>
      </c>
      <c r="F1572" s="5" t="s">
        <v>120</v>
      </c>
      <c r="G1572" s="5" t="s">
        <v>12610</v>
      </c>
      <c r="H1572" s="6" t="s">
        <v>12611</v>
      </c>
      <c r="K1572" s="5" t="s">
        <v>12612</v>
      </c>
    </row>
    <row r="1573">
      <c r="A1573" s="4">
        <v>45534.33487685185</v>
      </c>
      <c r="B1573" s="5" t="s">
        <v>34</v>
      </c>
      <c r="D1573" s="5" t="s">
        <v>12010</v>
      </c>
      <c r="E1573" s="5" t="s">
        <v>12615</v>
      </c>
      <c r="F1573" s="5" t="s">
        <v>212</v>
      </c>
      <c r="G1573" s="5" t="s">
        <v>12616</v>
      </c>
      <c r="H1573" s="6" t="s">
        <v>12617</v>
      </c>
      <c r="K1573" s="5" t="s">
        <v>12612</v>
      </c>
    </row>
    <row r="1574">
      <c r="A1574" s="4">
        <v>45534.334881296294</v>
      </c>
      <c r="B1574" s="5" t="s">
        <v>34</v>
      </c>
      <c r="D1574" s="5" t="s">
        <v>9020</v>
      </c>
      <c r="E1574" s="5" t="s">
        <v>12620</v>
      </c>
      <c r="F1574" s="5" t="s">
        <v>72</v>
      </c>
      <c r="G1574" s="5" t="s">
        <v>12621</v>
      </c>
      <c r="H1574" s="6" t="s">
        <v>12622</v>
      </c>
      <c r="K1574" s="5" t="s">
        <v>12612</v>
      </c>
    </row>
    <row r="1575">
      <c r="A1575" s="4">
        <v>45534.33489547454</v>
      </c>
      <c r="B1575" s="5" t="s">
        <v>34</v>
      </c>
      <c r="D1575" s="5" t="s">
        <v>35</v>
      </c>
      <c r="E1575" s="5" t="s">
        <v>12626</v>
      </c>
      <c r="F1575" s="5" t="s">
        <v>524</v>
      </c>
      <c r="G1575" s="5" t="s">
        <v>12627</v>
      </c>
      <c r="H1575" s="6" t="s">
        <v>12628</v>
      </c>
      <c r="K1575" s="5" t="s">
        <v>12612</v>
      </c>
    </row>
    <row r="1576">
      <c r="A1576" s="4">
        <v>45534.33489611111</v>
      </c>
      <c r="B1576" s="5" t="s">
        <v>19</v>
      </c>
      <c r="C1576" s="5" t="s">
        <v>3471</v>
      </c>
      <c r="E1576" s="5" t="s">
        <v>12631</v>
      </c>
      <c r="F1576" s="5" t="s">
        <v>22</v>
      </c>
      <c r="G1576" s="5" t="s">
        <v>12632</v>
      </c>
      <c r="H1576" s="6" t="s">
        <v>12633</v>
      </c>
      <c r="K1576" s="5" t="s">
        <v>12612</v>
      </c>
    </row>
    <row r="1577">
      <c r="A1577" s="4">
        <v>45534.3349065625</v>
      </c>
      <c r="B1577" s="5" t="s">
        <v>34</v>
      </c>
      <c r="D1577" s="5" t="s">
        <v>4775</v>
      </c>
      <c r="E1577" s="5" t="s">
        <v>12636</v>
      </c>
      <c r="F1577" s="5" t="s">
        <v>108</v>
      </c>
      <c r="G1577" s="5" t="s">
        <v>12637</v>
      </c>
      <c r="H1577" s="6" t="s">
        <v>12638</v>
      </c>
      <c r="K1577" s="5" t="s">
        <v>12612</v>
      </c>
    </row>
    <row r="1578">
      <c r="A1578" s="4">
        <v>45534.334906909724</v>
      </c>
      <c r="B1578" s="5" t="s">
        <v>34</v>
      </c>
      <c r="D1578" s="5" t="s">
        <v>1206</v>
      </c>
      <c r="E1578" s="5" t="s">
        <v>12641</v>
      </c>
      <c r="F1578" s="5" t="s">
        <v>212</v>
      </c>
      <c r="G1578" s="5" t="s">
        <v>12642</v>
      </c>
      <c r="H1578" s="6" t="s">
        <v>12643</v>
      </c>
      <c r="K1578" s="5" t="s">
        <v>12612</v>
      </c>
    </row>
    <row r="1579">
      <c r="A1579" s="4">
        <v>45534.334920497684</v>
      </c>
      <c r="B1579" s="5" t="s">
        <v>34</v>
      </c>
      <c r="D1579" s="5" t="s">
        <v>6232</v>
      </c>
      <c r="E1579" s="5" t="s">
        <v>12646</v>
      </c>
      <c r="F1579" s="5" t="s">
        <v>328</v>
      </c>
      <c r="G1579" s="5" t="s">
        <v>12647</v>
      </c>
      <c r="H1579" s="6" t="s">
        <v>12648</v>
      </c>
      <c r="K1579" s="5" t="s">
        <v>12612</v>
      </c>
    </row>
    <row r="1580">
      <c r="A1580" s="4">
        <v>45534.33493362268</v>
      </c>
      <c r="B1580" s="5" t="s">
        <v>34</v>
      </c>
      <c r="D1580" s="5" t="s">
        <v>1206</v>
      </c>
      <c r="E1580" s="5" t="s">
        <v>12651</v>
      </c>
      <c r="F1580" s="5" t="s">
        <v>212</v>
      </c>
      <c r="G1580" s="5" t="s">
        <v>12652</v>
      </c>
      <c r="H1580" s="6" t="s">
        <v>12653</v>
      </c>
      <c r="K1580" s="5" t="s">
        <v>12654</v>
      </c>
    </row>
    <row r="1581">
      <c r="A1581" s="4">
        <v>45534.334934513885</v>
      </c>
      <c r="B1581" s="5" t="s">
        <v>34</v>
      </c>
      <c r="D1581" s="5" t="s">
        <v>6232</v>
      </c>
      <c r="E1581" s="5" t="s">
        <v>12658</v>
      </c>
      <c r="F1581" s="5" t="s">
        <v>524</v>
      </c>
      <c r="G1581" s="5" t="s">
        <v>12659</v>
      </c>
      <c r="H1581" s="6" t="s">
        <v>12660</v>
      </c>
      <c r="K1581" s="5" t="s">
        <v>12654</v>
      </c>
    </row>
    <row r="1582">
      <c r="A1582" s="4">
        <v>45534.33494927084</v>
      </c>
      <c r="B1582" s="5" t="s">
        <v>34</v>
      </c>
      <c r="D1582" s="5" t="s">
        <v>6232</v>
      </c>
      <c r="E1582" s="5" t="s">
        <v>12663</v>
      </c>
      <c r="F1582" s="5" t="s">
        <v>212</v>
      </c>
      <c r="G1582" s="5" t="s">
        <v>12664</v>
      </c>
      <c r="H1582" s="6" t="s">
        <v>12665</v>
      </c>
      <c r="K1582" s="5" t="s">
        <v>12666</v>
      </c>
    </row>
    <row r="1583">
      <c r="A1583" s="4">
        <v>45534.33495005787</v>
      </c>
      <c r="B1583" s="5" t="s">
        <v>34</v>
      </c>
      <c r="D1583" s="5" t="s">
        <v>4775</v>
      </c>
      <c r="E1583" s="5" t="s">
        <v>12669</v>
      </c>
      <c r="F1583" s="5" t="s">
        <v>212</v>
      </c>
      <c r="G1583" s="5" t="s">
        <v>12670</v>
      </c>
      <c r="H1583" s="6" t="s">
        <v>12671</v>
      </c>
      <c r="K1583" s="5" t="s">
        <v>12666</v>
      </c>
    </row>
    <row r="1584">
      <c r="A1584" s="4">
        <v>45534.334951377314</v>
      </c>
      <c r="B1584" s="5" t="s">
        <v>34</v>
      </c>
      <c r="D1584" s="5" t="s">
        <v>4775</v>
      </c>
      <c r="E1584" s="5" t="s">
        <v>12674</v>
      </c>
      <c r="F1584" s="5" t="s">
        <v>375</v>
      </c>
      <c r="G1584" s="5" t="s">
        <v>12675</v>
      </c>
      <c r="H1584" s="6" t="s">
        <v>12676</v>
      </c>
      <c r="K1584" s="5" t="s">
        <v>12666</v>
      </c>
    </row>
    <row r="1585">
      <c r="A1585" s="4">
        <v>45534.33497494213</v>
      </c>
      <c r="B1585" s="5" t="s">
        <v>34</v>
      </c>
      <c r="D1585" s="5" t="s">
        <v>1768</v>
      </c>
      <c r="E1585" s="5" t="s">
        <v>12679</v>
      </c>
      <c r="F1585" s="5" t="s">
        <v>212</v>
      </c>
      <c r="G1585" s="5" t="s">
        <v>12680</v>
      </c>
      <c r="H1585" s="6" t="s">
        <v>12681</v>
      </c>
      <c r="K1585" s="5" t="s">
        <v>12682</v>
      </c>
    </row>
    <row r="1586">
      <c r="A1586" s="4">
        <v>45534.334975983795</v>
      </c>
      <c r="B1586" s="5" t="s">
        <v>34</v>
      </c>
      <c r="D1586" s="5" t="s">
        <v>4775</v>
      </c>
      <c r="E1586" s="5" t="s">
        <v>12685</v>
      </c>
      <c r="F1586" s="5" t="s">
        <v>212</v>
      </c>
      <c r="G1586" s="5" t="s">
        <v>12686</v>
      </c>
      <c r="H1586" s="6" t="s">
        <v>12687</v>
      </c>
      <c r="K1586" s="5" t="s">
        <v>12682</v>
      </c>
    </row>
    <row r="1587">
      <c r="A1587" s="4">
        <v>45534.33498476852</v>
      </c>
      <c r="B1587" s="5" t="s">
        <v>34</v>
      </c>
      <c r="D1587" s="5" t="s">
        <v>1206</v>
      </c>
      <c r="E1587" s="5" t="s">
        <v>12691</v>
      </c>
      <c r="F1587" s="5" t="s">
        <v>212</v>
      </c>
      <c r="G1587" s="5" t="s">
        <v>12692</v>
      </c>
      <c r="H1587" s="6" t="s">
        <v>12693</v>
      </c>
      <c r="K1587" s="5" t="s">
        <v>12682</v>
      </c>
    </row>
    <row r="1588">
      <c r="A1588" s="4">
        <v>45534.33498940972</v>
      </c>
      <c r="B1588" s="5" t="s">
        <v>34</v>
      </c>
      <c r="D1588" s="5" t="s">
        <v>35</v>
      </c>
      <c r="E1588" s="5" t="s">
        <v>12696</v>
      </c>
      <c r="F1588" s="5" t="s">
        <v>375</v>
      </c>
      <c r="G1588" s="5" t="s">
        <v>12697</v>
      </c>
      <c r="H1588" s="6" t="s">
        <v>12698</v>
      </c>
      <c r="K1588" s="5" t="s">
        <v>12699</v>
      </c>
    </row>
    <row r="1589">
      <c r="A1589" s="4">
        <v>45534.334996273144</v>
      </c>
      <c r="B1589" s="5" t="s">
        <v>34</v>
      </c>
      <c r="D1589" s="5" t="s">
        <v>9020</v>
      </c>
      <c r="E1589" s="5" t="s">
        <v>12702</v>
      </c>
      <c r="F1589" s="5" t="s">
        <v>72</v>
      </c>
      <c r="G1589" s="5" t="s">
        <v>12703</v>
      </c>
      <c r="H1589" s="6" t="s">
        <v>12704</v>
      </c>
      <c r="K1589" s="5" t="s">
        <v>12699</v>
      </c>
    </row>
    <row r="1590">
      <c r="A1590" s="4">
        <v>45534.33500184028</v>
      </c>
      <c r="B1590" s="5" t="s">
        <v>34</v>
      </c>
      <c r="D1590" s="5" t="s">
        <v>2903</v>
      </c>
      <c r="E1590" s="5" t="s">
        <v>12707</v>
      </c>
      <c r="F1590" s="5" t="s">
        <v>524</v>
      </c>
      <c r="G1590" s="5" t="s">
        <v>12708</v>
      </c>
      <c r="H1590" s="6" t="s">
        <v>12709</v>
      </c>
      <c r="K1590" s="5" t="s">
        <v>12699</v>
      </c>
    </row>
    <row r="1591">
      <c r="A1591" s="4">
        <v>45534.335013020835</v>
      </c>
      <c r="B1591" s="5" t="s">
        <v>19</v>
      </c>
      <c r="C1591" s="5" t="s">
        <v>20</v>
      </c>
      <c r="E1591" s="5" t="s">
        <v>12712</v>
      </c>
      <c r="F1591" s="5" t="s">
        <v>375</v>
      </c>
      <c r="G1591" s="5" t="s">
        <v>12713</v>
      </c>
      <c r="H1591" s="6" t="s">
        <v>12714</v>
      </c>
      <c r="K1591" s="5" t="s">
        <v>12699</v>
      </c>
    </row>
    <row r="1592">
      <c r="A1592" s="4">
        <v>45534.33502454861</v>
      </c>
      <c r="B1592" s="5" t="s">
        <v>19</v>
      </c>
      <c r="C1592" s="5" t="s">
        <v>292</v>
      </c>
      <c r="E1592" s="5" t="s">
        <v>12717</v>
      </c>
      <c r="F1592" s="5" t="s">
        <v>72</v>
      </c>
      <c r="G1592" s="5" t="s">
        <v>12718</v>
      </c>
      <c r="H1592" s="6" t="s">
        <v>12719</v>
      </c>
      <c r="K1592" s="5" t="s">
        <v>12699</v>
      </c>
    </row>
    <row r="1593">
      <c r="A1593" s="4">
        <v>45534.33503615741</v>
      </c>
      <c r="B1593" s="5" t="s">
        <v>19</v>
      </c>
      <c r="C1593" s="5" t="s">
        <v>292</v>
      </c>
      <c r="E1593" s="5" t="s">
        <v>12723</v>
      </c>
      <c r="F1593" s="5" t="s">
        <v>120</v>
      </c>
      <c r="G1593" s="5" t="s">
        <v>12724</v>
      </c>
      <c r="H1593" s="6" t="s">
        <v>12725</v>
      </c>
      <c r="K1593" s="5" t="s">
        <v>12699</v>
      </c>
    </row>
    <row r="1594">
      <c r="A1594" s="4">
        <v>45534.33503761574</v>
      </c>
      <c r="B1594" s="5" t="s">
        <v>34</v>
      </c>
      <c r="D1594" s="5" t="s">
        <v>580</v>
      </c>
      <c r="E1594" s="5" t="s">
        <v>12728</v>
      </c>
      <c r="F1594" s="5" t="s">
        <v>375</v>
      </c>
      <c r="G1594" s="5" t="s">
        <v>12729</v>
      </c>
      <c r="H1594" s="6" t="s">
        <v>12730</v>
      </c>
      <c r="K1594" s="5" t="s">
        <v>12699</v>
      </c>
    </row>
    <row r="1595">
      <c r="A1595" s="4">
        <v>45534.33504590278</v>
      </c>
      <c r="B1595" s="5" t="s">
        <v>19</v>
      </c>
      <c r="C1595" s="5" t="s">
        <v>3301</v>
      </c>
      <c r="E1595" s="5" t="s">
        <v>12733</v>
      </c>
      <c r="F1595" s="5" t="s">
        <v>375</v>
      </c>
      <c r="G1595" s="5" t="s">
        <v>12734</v>
      </c>
      <c r="H1595" s="6" t="s">
        <v>12735</v>
      </c>
      <c r="K1595" s="5" t="s">
        <v>12699</v>
      </c>
    </row>
    <row r="1596">
      <c r="A1596" s="4">
        <v>45534.335065266205</v>
      </c>
      <c r="B1596" s="5" t="s">
        <v>34</v>
      </c>
      <c r="D1596" s="5" t="s">
        <v>522</v>
      </c>
      <c r="E1596" s="5" t="s">
        <v>12738</v>
      </c>
      <c r="F1596" s="5" t="s">
        <v>108</v>
      </c>
      <c r="G1596" s="5" t="s">
        <v>12739</v>
      </c>
      <c r="H1596" s="6" t="s">
        <v>12740</v>
      </c>
      <c r="K1596" s="5" t="s">
        <v>12699</v>
      </c>
    </row>
    <row r="1597">
      <c r="A1597" s="4">
        <v>45534.33506730324</v>
      </c>
      <c r="B1597" s="5" t="s">
        <v>34</v>
      </c>
      <c r="D1597" s="5" t="s">
        <v>4775</v>
      </c>
      <c r="E1597" s="5" t="s">
        <v>12743</v>
      </c>
      <c r="F1597" s="5" t="s">
        <v>72</v>
      </c>
      <c r="G1597" s="5" t="s">
        <v>12744</v>
      </c>
      <c r="H1597" s="6" t="s">
        <v>12745</v>
      </c>
      <c r="K1597" s="5" t="s">
        <v>12699</v>
      </c>
    </row>
    <row r="1598">
      <c r="A1598" s="4">
        <v>45534.33507552084</v>
      </c>
      <c r="B1598" s="5" t="s">
        <v>34</v>
      </c>
      <c r="D1598" s="5" t="s">
        <v>9020</v>
      </c>
      <c r="E1598" s="5" t="s">
        <v>12749</v>
      </c>
      <c r="F1598" s="5" t="s">
        <v>108</v>
      </c>
      <c r="G1598" s="5" t="s">
        <v>12750</v>
      </c>
      <c r="H1598" s="6" t="s">
        <v>12751</v>
      </c>
      <c r="K1598" s="5" t="s">
        <v>12699</v>
      </c>
    </row>
    <row r="1599">
      <c r="A1599" s="4">
        <v>45534.33507480324</v>
      </c>
      <c r="B1599" s="5" t="s">
        <v>34</v>
      </c>
      <c r="D1599" s="5" t="s">
        <v>4775</v>
      </c>
      <c r="E1599" s="5" t="s">
        <v>12754</v>
      </c>
      <c r="F1599" s="5" t="s">
        <v>37</v>
      </c>
      <c r="G1599" s="5" t="s">
        <v>12755</v>
      </c>
      <c r="H1599" s="6" t="s">
        <v>12756</v>
      </c>
      <c r="K1599" s="5" t="s">
        <v>12699</v>
      </c>
    </row>
    <row r="1600">
      <c r="A1600" s="4">
        <v>45534.33508239583</v>
      </c>
      <c r="B1600" s="5" t="s">
        <v>34</v>
      </c>
      <c r="D1600" s="5" t="s">
        <v>35</v>
      </c>
      <c r="E1600" s="5" t="s">
        <v>12759</v>
      </c>
      <c r="F1600" s="5" t="s">
        <v>72</v>
      </c>
      <c r="G1600" s="5" t="s">
        <v>12760</v>
      </c>
      <c r="H1600" s="6" t="s">
        <v>12761</v>
      </c>
      <c r="K1600" s="5" t="s">
        <v>12699</v>
      </c>
    </row>
    <row r="1601">
      <c r="A1601" s="4">
        <v>45534.33511959491</v>
      </c>
      <c r="B1601" s="5" t="s">
        <v>34</v>
      </c>
      <c r="D1601" s="5" t="s">
        <v>4775</v>
      </c>
      <c r="E1601" s="5" t="s">
        <v>12764</v>
      </c>
      <c r="F1601" s="5" t="s">
        <v>212</v>
      </c>
      <c r="G1601" s="5" t="s">
        <v>12765</v>
      </c>
      <c r="H1601" s="6" t="s">
        <v>12766</v>
      </c>
      <c r="I1601" s="7" t="s">
        <v>12767</v>
      </c>
      <c r="J1601" s="8" t="str">
        <f>HYPERLINK("https://drive.google.com/file/d/19O1-M7W3SXe9kf179CRBCdX784Cr5tyF/view?usp=drivesdk","NUNUNGIMRAATI SERTIFIKAT BerAKHLAK")</f>
        <v>NUNUNGIMRAATI SERTIFIKAT BerAKHLAK</v>
      </c>
      <c r="K1601" s="5" t="s">
        <v>12015</v>
      </c>
      <c r="L1601" s="5" t="s">
        <v>12768</v>
      </c>
    </row>
    <row r="1602">
      <c r="A1602" s="4">
        <v>45534.33512333334</v>
      </c>
      <c r="B1602" s="5" t="s">
        <v>34</v>
      </c>
      <c r="D1602" s="5" t="s">
        <v>1663</v>
      </c>
      <c r="E1602" s="5" t="s">
        <v>12772</v>
      </c>
      <c r="F1602" s="5" t="s">
        <v>37</v>
      </c>
      <c r="G1602" s="5" t="s">
        <v>12773</v>
      </c>
      <c r="H1602" s="6" t="s">
        <v>12774</v>
      </c>
      <c r="K1602" s="5" t="s">
        <v>12775</v>
      </c>
    </row>
    <row r="1603">
      <c r="A1603" s="4">
        <v>45534.33513694444</v>
      </c>
      <c r="B1603" s="5" t="s">
        <v>19</v>
      </c>
      <c r="C1603" s="5" t="s">
        <v>292</v>
      </c>
      <c r="E1603" s="5" t="s">
        <v>12778</v>
      </c>
      <c r="F1603" s="5" t="s">
        <v>524</v>
      </c>
      <c r="G1603" s="5" t="s">
        <v>12779</v>
      </c>
      <c r="H1603" s="6" t="s">
        <v>12780</v>
      </c>
      <c r="K1603" s="5" t="s">
        <v>12775</v>
      </c>
    </row>
    <row r="1604">
      <c r="A1604" s="4">
        <v>45534.33514540509</v>
      </c>
      <c r="B1604" s="5" t="s">
        <v>34</v>
      </c>
      <c r="D1604" s="5" t="s">
        <v>1456</v>
      </c>
      <c r="E1604" s="5" t="s">
        <v>12783</v>
      </c>
      <c r="F1604" s="5" t="s">
        <v>37</v>
      </c>
      <c r="G1604" s="5" t="s">
        <v>12784</v>
      </c>
      <c r="H1604" s="6" t="s">
        <v>12785</v>
      </c>
      <c r="K1604" s="5" t="s">
        <v>12775</v>
      </c>
    </row>
    <row r="1605">
      <c r="A1605" s="4">
        <v>45534.33517064815</v>
      </c>
      <c r="B1605" s="5" t="s">
        <v>34</v>
      </c>
      <c r="D1605" s="5" t="s">
        <v>10444</v>
      </c>
      <c r="E1605" s="5" t="s">
        <v>12788</v>
      </c>
      <c r="F1605" s="5" t="s">
        <v>37</v>
      </c>
      <c r="G1605" s="5" t="s">
        <v>12789</v>
      </c>
      <c r="H1605" s="6" t="s">
        <v>12790</v>
      </c>
      <c r="I1605" s="7" t="s">
        <v>12791</v>
      </c>
      <c r="J1605" s="8" t="str">
        <f>HYPERLINK("https://drive.google.com/file/d/1VAPOwAjSGTReSbzODI-sUsCcYQFpj3qR/view?usp=drivesdk","NOVIANTI ASKAR SERTIFIKAT BerAKHLAK")</f>
        <v>NOVIANTI ASKAR SERTIFIKAT BerAKHLAK</v>
      </c>
      <c r="K1605" s="5" t="s">
        <v>11954</v>
      </c>
      <c r="L1605" s="5" t="s">
        <v>12792</v>
      </c>
    </row>
    <row r="1606">
      <c r="A1606" s="4">
        <v>45534.335172997686</v>
      </c>
      <c r="B1606" s="5" t="s">
        <v>34</v>
      </c>
      <c r="D1606" s="5" t="s">
        <v>11527</v>
      </c>
      <c r="E1606" s="5" t="s">
        <v>12795</v>
      </c>
      <c r="F1606" s="5" t="s">
        <v>524</v>
      </c>
      <c r="G1606" s="5" t="s">
        <v>12796</v>
      </c>
      <c r="H1606" s="6" t="s">
        <v>12797</v>
      </c>
      <c r="I1606" s="7" t="s">
        <v>12798</v>
      </c>
      <c r="J1606" s="8" t="str">
        <f>HYPERLINK("https://drive.google.com/file/d/1w0Un2Pif4K8X3AwjPQQhpA1uRJox2wRr/view?usp=drivesdk","MEYDIE FERDINAND KUKUS, S.M. SERTIFIKAT BerAKHLAK")</f>
        <v>MEYDIE FERDINAND KUKUS, S.M. SERTIFIKAT BerAKHLAK</v>
      </c>
      <c r="K1606" s="5" t="s">
        <v>12015</v>
      </c>
      <c r="L1606" s="5" t="s">
        <v>12799</v>
      </c>
    </row>
    <row r="1607">
      <c r="A1607" s="4">
        <v>45534.33517510416</v>
      </c>
      <c r="B1607" s="5" t="s">
        <v>34</v>
      </c>
      <c r="D1607" s="5" t="s">
        <v>280</v>
      </c>
      <c r="E1607" s="5" t="s">
        <v>12802</v>
      </c>
      <c r="F1607" s="5" t="s">
        <v>108</v>
      </c>
      <c r="G1607" s="5" t="s">
        <v>12803</v>
      </c>
      <c r="H1607" s="6" t="s">
        <v>12804</v>
      </c>
      <c r="I1607" s="7" t="s">
        <v>12805</v>
      </c>
      <c r="J1607" s="8" t="str">
        <f>HYPERLINK("https://drive.google.com/file/d/10Lq9F4Ac9n8RMj7iSCSglDPef6R-MkwS/view?usp=drivesdk","SITI ASMIYATI SERTIFIKAT BerAKHLAK")</f>
        <v>SITI ASMIYATI SERTIFIKAT BerAKHLAK</v>
      </c>
      <c r="K1607" s="5" t="s">
        <v>12015</v>
      </c>
      <c r="L1607" s="5" t="s">
        <v>12806</v>
      </c>
    </row>
    <row r="1608">
      <c r="A1608" s="4">
        <v>45534.335178587964</v>
      </c>
      <c r="B1608" s="5" t="s">
        <v>34</v>
      </c>
      <c r="D1608" s="5" t="s">
        <v>4775</v>
      </c>
      <c r="E1608" s="5" t="s">
        <v>12809</v>
      </c>
      <c r="F1608" s="5" t="s">
        <v>72</v>
      </c>
      <c r="G1608" s="5" t="s">
        <v>12810</v>
      </c>
      <c r="H1608" s="6" t="s">
        <v>12811</v>
      </c>
      <c r="I1608" s="7" t="s">
        <v>12812</v>
      </c>
      <c r="J1608" s="8" t="str">
        <f>HYPERLINK("https://drive.google.com/file/d/1c1jagKKUqicGeN1b3gtCXFlf3YJwJrYD/view?usp=drivesdk","IRAWAN SULISTYO SERTIFIKAT BerAKHLAK")</f>
        <v>IRAWAN SULISTYO SERTIFIKAT BerAKHLAK</v>
      </c>
      <c r="K1608" s="5" t="s">
        <v>12015</v>
      </c>
      <c r="L1608" s="5" t="s">
        <v>12813</v>
      </c>
    </row>
    <row r="1609">
      <c r="A1609" s="4">
        <v>45534.3351796875</v>
      </c>
      <c r="B1609" s="5" t="s">
        <v>34</v>
      </c>
      <c r="D1609" s="5" t="s">
        <v>996</v>
      </c>
      <c r="E1609" s="5" t="s">
        <v>12817</v>
      </c>
      <c r="F1609" s="5" t="s">
        <v>212</v>
      </c>
      <c r="G1609" s="5" t="s">
        <v>12818</v>
      </c>
      <c r="H1609" s="6" t="s">
        <v>12819</v>
      </c>
      <c r="I1609" s="7" t="s">
        <v>12820</v>
      </c>
      <c r="J1609" s="8" t="str">
        <f>HYPERLINK("https://drive.google.com/file/d/1zA0-bUrqbZrgv1FzzmizOKJHK6eHhvie/view?usp=drivesdk","NAHRIAH MARJUKI SERTIFIKAT BerAKHLAK")</f>
        <v>NAHRIAH MARJUKI SERTIFIKAT BerAKHLAK</v>
      </c>
      <c r="K1609" s="5" t="s">
        <v>12015</v>
      </c>
      <c r="L1609" s="5" t="s">
        <v>12821</v>
      </c>
    </row>
    <row r="1610">
      <c r="A1610" s="4">
        <v>45534.33520972222</v>
      </c>
      <c r="B1610" s="5" t="s">
        <v>34</v>
      </c>
      <c r="D1610" s="5" t="s">
        <v>9020</v>
      </c>
      <c r="E1610" s="5" t="s">
        <v>12824</v>
      </c>
      <c r="F1610" s="5" t="s">
        <v>37</v>
      </c>
      <c r="G1610" s="5" t="s">
        <v>12825</v>
      </c>
      <c r="H1610" s="6" t="s">
        <v>12826</v>
      </c>
      <c r="I1610" s="7" t="s">
        <v>12827</v>
      </c>
      <c r="J1610" s="8" t="str">
        <f>HYPERLINK("https://drive.google.com/file/d/1EPttYQFRRqCMwiDUZHlDV5VvhL8vGUHJ/view?usp=drivesdk","TRIONAL SITUMEANG SERTIFIKAT BerAKHLAK")</f>
        <v>TRIONAL SITUMEANG SERTIFIKAT BerAKHLAK</v>
      </c>
      <c r="K1610" s="5" t="s">
        <v>11954</v>
      </c>
      <c r="L1610" s="5" t="s">
        <v>12828</v>
      </c>
    </row>
    <row r="1611">
      <c r="A1611" s="4">
        <v>45534.3352134375</v>
      </c>
      <c r="B1611" s="5" t="s">
        <v>34</v>
      </c>
      <c r="D1611" s="5" t="s">
        <v>1206</v>
      </c>
      <c r="E1611" s="5" t="s">
        <v>12831</v>
      </c>
      <c r="F1611" s="5" t="s">
        <v>37</v>
      </c>
      <c r="G1611" s="5" t="s">
        <v>12832</v>
      </c>
      <c r="H1611" s="6" t="s">
        <v>12833</v>
      </c>
      <c r="I1611" s="7" t="s">
        <v>12834</v>
      </c>
      <c r="J1611" s="8" t="str">
        <f>HYPERLINK("https://drive.google.com/file/d/11Xnfur9r8NwCr3c0z2MKkNq7O_RHCQZs/view?usp=drivesdk","EDY SUDARMANTO SERTIFIKAT BerAKHLAK")</f>
        <v>EDY SUDARMANTO SERTIFIKAT BerAKHLAK</v>
      </c>
      <c r="K1611" s="5" t="s">
        <v>12015</v>
      </c>
      <c r="L1611" s="5" t="s">
        <v>12835</v>
      </c>
    </row>
    <row r="1612">
      <c r="A1612" s="4">
        <v>45534.33522033565</v>
      </c>
      <c r="B1612" s="5" t="s">
        <v>34</v>
      </c>
      <c r="D1612" s="5" t="s">
        <v>9394</v>
      </c>
      <c r="E1612" s="5" t="s">
        <v>12838</v>
      </c>
      <c r="F1612" s="5" t="s">
        <v>715</v>
      </c>
      <c r="G1612" s="5" t="s">
        <v>12839</v>
      </c>
      <c r="H1612" s="6" t="s">
        <v>12840</v>
      </c>
      <c r="I1612" s="7" t="s">
        <v>12841</v>
      </c>
      <c r="J1612" s="8" t="str">
        <f>HYPERLINK("https://drive.google.com/file/d/1EJdJTocPNvTe8uIrfZBnrp8ULVtKtuXd/view?usp=drivesdk","RENI NOFIARNI, S. Sos SERTIFIKAT BerAKHLAK")</f>
        <v>RENI NOFIARNI, S. Sos SERTIFIKAT BerAKHLAK</v>
      </c>
      <c r="K1612" s="5" t="s">
        <v>12015</v>
      </c>
      <c r="L1612" s="5" t="s">
        <v>12842</v>
      </c>
    </row>
    <row r="1613">
      <c r="A1613" s="4">
        <v>45534.33523200231</v>
      </c>
      <c r="B1613" s="5" t="s">
        <v>34</v>
      </c>
      <c r="D1613" s="5" t="s">
        <v>701</v>
      </c>
      <c r="E1613" s="5" t="s">
        <v>12845</v>
      </c>
      <c r="F1613" s="5" t="s">
        <v>120</v>
      </c>
      <c r="G1613" s="5" t="s">
        <v>12846</v>
      </c>
      <c r="H1613" s="6" t="s">
        <v>12847</v>
      </c>
      <c r="I1613" s="7" t="s">
        <v>12848</v>
      </c>
      <c r="J1613" s="8" t="str">
        <f>HYPERLINK("https://drive.google.com/file/d/1-kPj6k_N1ad-Mxo4SXJURrb5hCkJLGuF/view?usp=drivesdk","ZASTRA WIRAHATI SERTIFIKAT BerAKHLAK")</f>
        <v>ZASTRA WIRAHATI SERTIFIKAT BerAKHLAK</v>
      </c>
      <c r="K1613" s="5" t="s">
        <v>11954</v>
      </c>
      <c r="L1613" s="5" t="s">
        <v>12849</v>
      </c>
    </row>
    <row r="1614">
      <c r="A1614" s="4">
        <v>45534.335244664355</v>
      </c>
      <c r="B1614" s="5" t="s">
        <v>34</v>
      </c>
      <c r="D1614" s="5" t="s">
        <v>35</v>
      </c>
      <c r="E1614" s="5" t="s">
        <v>12852</v>
      </c>
      <c r="F1614" s="5" t="s">
        <v>524</v>
      </c>
      <c r="G1614" s="5" t="s">
        <v>12853</v>
      </c>
      <c r="H1614" s="6" t="s">
        <v>12854</v>
      </c>
      <c r="I1614" s="7" t="s">
        <v>12855</v>
      </c>
      <c r="J1614" s="8" t="str">
        <f>HYPERLINK("https://drive.google.com/file/d/1CTzNi1UPl-AvzRjuNQ8Cq5Sab6un0gok/view?usp=drivesdk","R TITIS SUDIRO WIDJAJA  SERTIFIKAT BerAKHLAK")</f>
        <v>R TITIS SUDIRO WIDJAJA  SERTIFIKAT BerAKHLAK</v>
      </c>
      <c r="K1614" s="5" t="s">
        <v>12015</v>
      </c>
      <c r="L1614" s="5" t="s">
        <v>12856</v>
      </c>
    </row>
    <row r="1615">
      <c r="A1615" s="4">
        <v>45534.335246319446</v>
      </c>
      <c r="B1615" s="5" t="s">
        <v>34</v>
      </c>
      <c r="D1615" s="5" t="s">
        <v>3432</v>
      </c>
      <c r="E1615" s="5" t="s">
        <v>12860</v>
      </c>
      <c r="F1615" s="5" t="s">
        <v>524</v>
      </c>
      <c r="G1615" s="5" t="s">
        <v>12861</v>
      </c>
      <c r="H1615" s="6" t="s">
        <v>12862</v>
      </c>
      <c r="I1615" s="7" t="s">
        <v>12863</v>
      </c>
      <c r="J1615" s="8" t="str">
        <f>HYPERLINK("https://drive.google.com/file/d/16Z2K0SllPd0QF8KRLCwuwSYBjViIEfqy/view?usp=drivesdk","FEBRIYANTI.TAMPUBOLON SERTIFIKAT BerAKHLAK")</f>
        <v>FEBRIYANTI.TAMPUBOLON SERTIFIKAT BerAKHLAK</v>
      </c>
      <c r="K1615" s="5" t="s">
        <v>12015</v>
      </c>
      <c r="L1615" s="5" t="s">
        <v>12864</v>
      </c>
    </row>
    <row r="1616">
      <c r="A1616" s="4">
        <v>45534.33525134259</v>
      </c>
      <c r="B1616" s="5" t="s">
        <v>34</v>
      </c>
      <c r="D1616" s="5" t="s">
        <v>4775</v>
      </c>
      <c r="E1616" s="5" t="s">
        <v>12867</v>
      </c>
      <c r="F1616" s="5" t="s">
        <v>72</v>
      </c>
      <c r="G1616" s="5" t="s">
        <v>12868</v>
      </c>
      <c r="H1616" s="6" t="s">
        <v>12869</v>
      </c>
      <c r="I1616" s="7" t="s">
        <v>12870</v>
      </c>
      <c r="J1616" s="8" t="str">
        <f>HYPERLINK("https://drive.google.com/file/d/1PQs4s-2JWAmMzO3zlQn0ufq2bYAYA2gW/view?usp=drivesdk","SRI SIS PURWANTI  SERTIFIKAT BerAKHLAK")</f>
        <v>SRI SIS PURWANTI  SERTIFIKAT BerAKHLAK</v>
      </c>
      <c r="K1616" s="5" t="s">
        <v>12015</v>
      </c>
      <c r="L1616" s="5" t="s">
        <v>12871</v>
      </c>
    </row>
    <row r="1617">
      <c r="A1617" s="4">
        <v>45534.335264305555</v>
      </c>
      <c r="B1617" s="5" t="s">
        <v>34</v>
      </c>
      <c r="D1617" s="5" t="s">
        <v>35</v>
      </c>
      <c r="E1617" s="5" t="s">
        <v>12874</v>
      </c>
      <c r="F1617" s="5" t="s">
        <v>37</v>
      </c>
      <c r="G1617" s="5" t="s">
        <v>12875</v>
      </c>
      <c r="H1617" s="6" t="s">
        <v>12876</v>
      </c>
      <c r="I1617" s="7" t="s">
        <v>12877</v>
      </c>
      <c r="J1617" s="8" t="str">
        <f>HYPERLINK("https://drive.google.com/file/d/1z0SDUYAboO7zpyjX1EKzml_gLuA_1nAU/view?usp=drivesdk","HADI WACHYUDI SERTIFIKAT BerAKHLAK")</f>
        <v>HADI WACHYUDI SERTIFIKAT BerAKHLAK</v>
      </c>
      <c r="K1617" s="5" t="s">
        <v>11954</v>
      </c>
      <c r="L1617" s="5" t="s">
        <v>12878</v>
      </c>
    </row>
    <row r="1618">
      <c r="A1618" s="4">
        <v>45534.33528059028</v>
      </c>
      <c r="B1618" s="5" t="s">
        <v>34</v>
      </c>
      <c r="D1618" s="5" t="s">
        <v>1206</v>
      </c>
      <c r="E1618" s="5" t="s">
        <v>12881</v>
      </c>
      <c r="F1618" s="5" t="s">
        <v>212</v>
      </c>
      <c r="G1618" s="5" t="s">
        <v>12882</v>
      </c>
      <c r="H1618" s="6" t="s">
        <v>12883</v>
      </c>
      <c r="I1618" s="7" t="s">
        <v>12884</v>
      </c>
      <c r="J1618" s="8" t="str">
        <f>HYPERLINK("https://drive.google.com/file/d/16F8-gsF4Cw8DLOCHMyjWhHB0wooK6Y7Q/view?usp=drivesdk","BAMBANG PRASETIONO SERTIFIKAT BerAKHLAK")</f>
        <v>BAMBANG PRASETIONO SERTIFIKAT BerAKHLAK</v>
      </c>
      <c r="K1618" s="5" t="s">
        <v>12015</v>
      </c>
      <c r="L1618" s="5" t="s">
        <v>12885</v>
      </c>
    </row>
    <row r="1619">
      <c r="A1619" s="4">
        <v>45534.33530517361</v>
      </c>
      <c r="B1619" s="5" t="s">
        <v>34</v>
      </c>
      <c r="D1619" s="5" t="s">
        <v>4775</v>
      </c>
      <c r="E1619" s="5" t="s">
        <v>12888</v>
      </c>
      <c r="F1619" s="5" t="s">
        <v>37</v>
      </c>
      <c r="G1619" s="5" t="s">
        <v>12889</v>
      </c>
      <c r="H1619" s="6" t="s">
        <v>12890</v>
      </c>
      <c r="I1619" s="7" t="s">
        <v>12891</v>
      </c>
      <c r="J1619" s="8" t="str">
        <f>HYPERLINK("https://drive.google.com/file/d/1njFlT47NdSbJvtwDgb4te8KzrTjxWPIE/view?usp=drivesdk","ASTA KUSUMANINGRUM SERTIFIKAT BerAKHLAK")</f>
        <v>ASTA KUSUMANINGRUM SERTIFIKAT BerAKHLAK</v>
      </c>
      <c r="K1619" s="5" t="s">
        <v>12015</v>
      </c>
      <c r="L1619" s="5" t="s">
        <v>12892</v>
      </c>
    </row>
    <row r="1620">
      <c r="A1620" s="4">
        <v>45534.335309375005</v>
      </c>
      <c r="B1620" s="5" t="s">
        <v>34</v>
      </c>
      <c r="D1620" s="5" t="s">
        <v>6232</v>
      </c>
      <c r="E1620" s="5" t="s">
        <v>12895</v>
      </c>
      <c r="F1620" s="5" t="s">
        <v>37</v>
      </c>
      <c r="G1620" s="5" t="s">
        <v>12896</v>
      </c>
      <c r="H1620" s="6" t="s">
        <v>12897</v>
      </c>
      <c r="I1620" s="7" t="s">
        <v>12898</v>
      </c>
      <c r="J1620" s="8" t="str">
        <f>HYPERLINK("https://drive.google.com/file/d/1Pz49QtywYQKFNJoKAji8R-Y0gDTQUxDH/view?usp=drivesdk","SRI ARINI INDIYAH,AMD.KEP SERTIFIKAT BerAKHLAK")</f>
        <v>SRI ARINI INDIYAH,AMD.KEP SERTIFIKAT BerAKHLAK</v>
      </c>
      <c r="K1620" s="5" t="s">
        <v>12015</v>
      </c>
      <c r="L1620" s="5" t="s">
        <v>12899</v>
      </c>
    </row>
    <row r="1621">
      <c r="A1621" s="4">
        <v>45534.33530960648</v>
      </c>
      <c r="B1621" s="5" t="s">
        <v>19</v>
      </c>
      <c r="C1621" s="5" t="s">
        <v>292</v>
      </c>
      <c r="E1621" s="5" t="s">
        <v>12903</v>
      </c>
      <c r="F1621" s="5" t="s">
        <v>72</v>
      </c>
      <c r="G1621" s="5" t="s">
        <v>12904</v>
      </c>
      <c r="H1621" s="6" t="s">
        <v>12905</v>
      </c>
      <c r="I1621" s="7" t="s">
        <v>12906</v>
      </c>
      <c r="J1621" s="8" t="str">
        <f>HYPERLINK("https://drive.google.com/file/d/1LWejys6-VevmA4vqQuNv-2OU10wg9pj1/view?usp=drivesdk","SITI NURLAELIYAH, A.Md. SERTIFIKAT BerAKHLAK")</f>
        <v>SITI NURLAELIYAH, A.Md. SERTIFIKAT BerAKHLAK</v>
      </c>
      <c r="K1621" s="5" t="s">
        <v>12015</v>
      </c>
      <c r="L1621" s="5" t="s">
        <v>12907</v>
      </c>
    </row>
    <row r="1622">
      <c r="A1622" s="4">
        <v>45534.33530873843</v>
      </c>
      <c r="B1622" s="5" t="s">
        <v>34</v>
      </c>
      <c r="D1622" s="5" t="s">
        <v>6232</v>
      </c>
      <c r="E1622" s="5" t="s">
        <v>12910</v>
      </c>
      <c r="F1622" s="5" t="s">
        <v>715</v>
      </c>
      <c r="G1622" s="5" t="s">
        <v>12911</v>
      </c>
      <c r="H1622" s="6" t="s">
        <v>12912</v>
      </c>
      <c r="I1622" s="7" t="s">
        <v>12913</v>
      </c>
      <c r="J1622" s="8" t="str">
        <f>HYPERLINK("https://drive.google.com/file/d/1dnE5dNiolFkUvFVJnQCBwoxRdHOUNfYd/view?usp=drivesdk","MUHAMMAD ROZALI, M.Pd SERTIFIKAT BerAKHLAK")</f>
        <v>MUHAMMAD ROZALI, M.Pd SERTIFIKAT BerAKHLAK</v>
      </c>
      <c r="K1622" s="5" t="s">
        <v>12015</v>
      </c>
      <c r="L1622" s="5" t="s">
        <v>12914</v>
      </c>
    </row>
    <row r="1623">
      <c r="A1623" s="4">
        <v>45534.33532657407</v>
      </c>
      <c r="B1623" s="5" t="s">
        <v>34</v>
      </c>
      <c r="D1623" s="5" t="s">
        <v>1692</v>
      </c>
      <c r="E1623" s="5" t="s">
        <v>12917</v>
      </c>
      <c r="F1623" s="5" t="s">
        <v>108</v>
      </c>
      <c r="G1623" s="5" t="s">
        <v>12918</v>
      </c>
      <c r="H1623" s="6" t="s">
        <v>12919</v>
      </c>
      <c r="I1623" s="7" t="s">
        <v>12920</v>
      </c>
      <c r="J1623" s="8" t="str">
        <f>HYPERLINK("https://drive.google.com/file/d/1oUcNKhz7HOeHRCVn6eL91m9z4ez02yo9/view?usp=drivesdk","WIWIN TUMIRA WALIULU. S.Kep SERTIFIKAT BerAKHLAK")</f>
        <v>WIWIN TUMIRA WALIULU. S.Kep SERTIFIKAT BerAKHLAK</v>
      </c>
      <c r="K1623" s="5" t="s">
        <v>12015</v>
      </c>
      <c r="L1623" s="5" t="s">
        <v>12921</v>
      </c>
    </row>
    <row r="1624">
      <c r="A1624" s="4">
        <v>45534.335348877314</v>
      </c>
      <c r="B1624" s="5" t="s">
        <v>34</v>
      </c>
      <c r="D1624" s="5" t="s">
        <v>1692</v>
      </c>
      <c r="E1624" s="5" t="s">
        <v>12924</v>
      </c>
      <c r="F1624" s="5" t="s">
        <v>37</v>
      </c>
      <c r="G1624" s="5" t="s">
        <v>12925</v>
      </c>
      <c r="H1624" s="6" t="s">
        <v>12926</v>
      </c>
      <c r="K1624" s="5" t="s">
        <v>12927</v>
      </c>
    </row>
    <row r="1625">
      <c r="A1625" s="4">
        <v>45534.33536658565</v>
      </c>
      <c r="B1625" s="5" t="s">
        <v>34</v>
      </c>
      <c r="D1625" s="5" t="s">
        <v>10444</v>
      </c>
      <c r="E1625" s="5" t="s">
        <v>12930</v>
      </c>
      <c r="F1625" s="5" t="s">
        <v>108</v>
      </c>
      <c r="G1625" s="5" t="s">
        <v>12931</v>
      </c>
      <c r="H1625" s="6" t="s">
        <v>12932</v>
      </c>
      <c r="I1625" s="7" t="s">
        <v>12933</v>
      </c>
      <c r="J1625" s="8" t="str">
        <f>HYPERLINK("https://drive.google.com/file/d/15m-g3Yvp2I2Bb7PYjWUz1-iPK60YqbCg/view?usp=drivesdk","apt. HARI ZULFAHNUR RIZAN  SERTIFIKAT BerAKHLAK")</f>
        <v>apt. HARI ZULFAHNUR RIZAN  SERTIFIKAT BerAKHLAK</v>
      </c>
      <c r="K1625" s="5" t="s">
        <v>12015</v>
      </c>
      <c r="L1625" s="5" t="s">
        <v>12934</v>
      </c>
    </row>
    <row r="1626">
      <c r="A1626" s="4">
        <v>45534.335376539355</v>
      </c>
      <c r="B1626" s="5" t="s">
        <v>34</v>
      </c>
      <c r="D1626" s="5" t="s">
        <v>4775</v>
      </c>
      <c r="E1626" s="5" t="s">
        <v>12937</v>
      </c>
      <c r="F1626" s="5" t="s">
        <v>375</v>
      </c>
      <c r="G1626" s="5" t="s">
        <v>12938</v>
      </c>
      <c r="H1626" s="6" t="s">
        <v>12939</v>
      </c>
      <c r="I1626" s="7" t="s">
        <v>12940</v>
      </c>
      <c r="J1626" s="8" t="str">
        <f>HYPERLINK("https://drive.google.com/file/d/1pIfQPSgWnBfnGDQf_uK_jz2W0x2iN8-k/view?usp=drivesdk","RISKA WIDIASTUTI, S.E. SERTIFIKAT BerAKHLAK")</f>
        <v>RISKA WIDIASTUTI, S.E. SERTIFIKAT BerAKHLAK</v>
      </c>
      <c r="K1626" s="5" t="s">
        <v>12015</v>
      </c>
      <c r="L1626" s="5" t="s">
        <v>12941</v>
      </c>
    </row>
    <row r="1627">
      <c r="A1627" s="4">
        <v>45534.33538686343</v>
      </c>
      <c r="B1627" s="5" t="s">
        <v>34</v>
      </c>
      <c r="D1627" s="5" t="s">
        <v>1206</v>
      </c>
      <c r="E1627" s="5" t="s">
        <v>12944</v>
      </c>
      <c r="F1627" s="5" t="s">
        <v>108</v>
      </c>
      <c r="G1627" s="5" t="s">
        <v>12945</v>
      </c>
      <c r="H1627" s="6" t="s">
        <v>12946</v>
      </c>
      <c r="I1627" s="7" t="s">
        <v>12947</v>
      </c>
      <c r="J1627" s="8" t="str">
        <f>HYPERLINK("https://drive.google.com/file/d/1DUDZ8UV0YesnhdXcRUKBbrML6Q87LIgo/view?usp=drivesdk","DIAN WIDYASARI, S.E. SERTIFIKAT BerAKHLAK")</f>
        <v>DIAN WIDYASARI, S.E. SERTIFIKAT BerAKHLAK</v>
      </c>
      <c r="K1627" s="5" t="s">
        <v>12015</v>
      </c>
      <c r="L1627" s="5" t="s">
        <v>12948</v>
      </c>
    </row>
    <row r="1628">
      <c r="A1628" s="4">
        <v>45534.33538949074</v>
      </c>
      <c r="B1628" s="5" t="s">
        <v>34</v>
      </c>
      <c r="D1628" s="5" t="s">
        <v>9020</v>
      </c>
      <c r="E1628" s="5" t="s">
        <v>12951</v>
      </c>
      <c r="F1628" s="5" t="s">
        <v>375</v>
      </c>
      <c r="G1628" s="5" t="s">
        <v>12952</v>
      </c>
      <c r="H1628" s="6" t="s">
        <v>12953</v>
      </c>
      <c r="I1628" s="7" t="s">
        <v>12954</v>
      </c>
      <c r="J1628" s="8" t="str">
        <f>HYPERLINK("https://drive.google.com/file/d/1CSIoqZjUxugWaT_wQhd9LWWFYZ1PvFme/view?usp=drivesdk","MEGAWATI KRISTINA PASARIBU SERTIFIKAT BerAKHLAK")</f>
        <v>MEGAWATI KRISTINA PASARIBU SERTIFIKAT BerAKHLAK</v>
      </c>
      <c r="K1628" s="5" t="s">
        <v>12015</v>
      </c>
      <c r="L1628" s="5" t="s">
        <v>12955</v>
      </c>
    </row>
    <row r="1629">
      <c r="A1629" s="4">
        <v>45534.33540231481</v>
      </c>
      <c r="B1629" s="5" t="s">
        <v>34</v>
      </c>
      <c r="D1629" s="5" t="s">
        <v>35</v>
      </c>
      <c r="E1629" s="5" t="s">
        <v>12958</v>
      </c>
      <c r="F1629" s="5" t="s">
        <v>375</v>
      </c>
      <c r="G1629" s="5" t="s">
        <v>12959</v>
      </c>
      <c r="H1629" s="6" t="s">
        <v>12960</v>
      </c>
      <c r="I1629" s="7" t="s">
        <v>12961</v>
      </c>
      <c r="J1629" s="8" t="str">
        <f>HYPERLINK("https://drive.google.com/file/d/1uzkRIR_pV6eE2vRWj0n3Adi5_FfL_EgN/view?usp=drivesdk","HANESTA FEBRINA AQUARINA, SSI SERTIFIKAT BerAKHLAK")</f>
        <v>HANESTA FEBRINA AQUARINA, SSI SERTIFIKAT BerAKHLAK</v>
      </c>
      <c r="K1629" s="5" t="s">
        <v>12015</v>
      </c>
      <c r="L1629" s="5" t="s">
        <v>12962</v>
      </c>
    </row>
    <row r="1630">
      <c r="A1630" s="4">
        <v>45534.3354068287</v>
      </c>
      <c r="B1630" s="5" t="s">
        <v>34</v>
      </c>
      <c r="D1630" s="5" t="s">
        <v>580</v>
      </c>
      <c r="E1630" s="5" t="s">
        <v>12965</v>
      </c>
      <c r="F1630" s="5" t="s">
        <v>37</v>
      </c>
      <c r="G1630" s="5" t="s">
        <v>12966</v>
      </c>
      <c r="H1630" s="6" t="s">
        <v>12967</v>
      </c>
      <c r="K1630" s="5" t="s">
        <v>12968</v>
      </c>
    </row>
    <row r="1631">
      <c r="A1631" s="4">
        <v>45534.335415925925</v>
      </c>
      <c r="B1631" s="5" t="s">
        <v>34</v>
      </c>
      <c r="D1631" s="5" t="s">
        <v>280</v>
      </c>
      <c r="E1631" s="5" t="s">
        <v>12971</v>
      </c>
      <c r="F1631" s="5" t="s">
        <v>72</v>
      </c>
      <c r="G1631" s="5" t="s">
        <v>12972</v>
      </c>
      <c r="H1631" s="6" t="s">
        <v>12973</v>
      </c>
      <c r="I1631" s="7" t="s">
        <v>12974</v>
      </c>
      <c r="J1631" s="8" t="str">
        <f>HYPERLINK("https://drive.google.com/file/d/1BYuwsR4fotmj3ygVWwITb45AWJrdQ4Ze/view?usp=drivesdk","SUKAISI SUKAISI,S.H. SERTIFIKAT BerAKHLAK")</f>
        <v>SUKAISI SUKAISI,S.H. SERTIFIKAT BerAKHLAK</v>
      </c>
      <c r="K1631" s="5" t="s">
        <v>12015</v>
      </c>
      <c r="L1631" s="5" t="s">
        <v>12975</v>
      </c>
    </row>
    <row r="1632">
      <c r="A1632" s="4">
        <v>45534.33542181713</v>
      </c>
      <c r="B1632" s="5" t="s">
        <v>34</v>
      </c>
      <c r="D1632" s="5" t="s">
        <v>12978</v>
      </c>
      <c r="E1632" s="5" t="s">
        <v>12979</v>
      </c>
      <c r="F1632" s="5" t="s">
        <v>37</v>
      </c>
      <c r="G1632" s="5" t="s">
        <v>12980</v>
      </c>
      <c r="H1632" s="6" t="s">
        <v>12981</v>
      </c>
      <c r="I1632" s="7" t="s">
        <v>12982</v>
      </c>
      <c r="J1632" s="8" t="str">
        <f>HYPERLINK("https://drive.google.com/file/d/1wf5QvaLEm9QVy54RSiLIs_ocMnWBy9Jy/view?usp=drivesdk","DEWI MAULINASARI. AF SERTIFIKAT BerAKHLAK")</f>
        <v>DEWI MAULINASARI. AF SERTIFIKAT BerAKHLAK</v>
      </c>
      <c r="K1632" s="5" t="s">
        <v>12015</v>
      </c>
      <c r="L1632" s="5" t="s">
        <v>12983</v>
      </c>
    </row>
    <row r="1633">
      <c r="A1633" s="4">
        <v>45534.33544091435</v>
      </c>
      <c r="B1633" s="5" t="s">
        <v>34</v>
      </c>
      <c r="D1633" s="5" t="s">
        <v>4775</v>
      </c>
      <c r="E1633" s="5" t="s">
        <v>12986</v>
      </c>
      <c r="F1633" s="5" t="s">
        <v>37</v>
      </c>
      <c r="G1633" s="5" t="s">
        <v>12987</v>
      </c>
      <c r="H1633" s="6" t="s">
        <v>12988</v>
      </c>
      <c r="I1633" s="7" t="s">
        <v>12989</v>
      </c>
      <c r="J1633" s="8" t="str">
        <f>HYPERLINK("https://drive.google.com/file/d/1cKWHFHFzKx6Bcnq7FQvoLit3pWIFesvr/view?usp=drivesdk","JOKO ZADDIADI  SERTIFIKAT BerAKHLAK")</f>
        <v>JOKO ZADDIADI  SERTIFIKAT BerAKHLAK</v>
      </c>
      <c r="K1633" s="5" t="s">
        <v>12015</v>
      </c>
      <c r="L1633" s="5" t="s">
        <v>12990</v>
      </c>
    </row>
    <row r="1634">
      <c r="A1634" s="4">
        <v>45534.33544949074</v>
      </c>
      <c r="B1634" s="5" t="s">
        <v>34</v>
      </c>
      <c r="D1634" s="5" t="s">
        <v>3432</v>
      </c>
      <c r="E1634" s="5" t="s">
        <v>12993</v>
      </c>
      <c r="F1634" s="5" t="s">
        <v>108</v>
      </c>
      <c r="G1634" s="5" t="s">
        <v>12994</v>
      </c>
      <c r="H1634" s="6" t="s">
        <v>12995</v>
      </c>
      <c r="I1634" s="7" t="s">
        <v>12996</v>
      </c>
      <c r="J1634" s="8" t="str">
        <f>HYPERLINK("https://drive.google.com/file/d/1Jmg9V9YRGZR_o9V6I2-fg1xO9DtdV_jA/view?usp=drivesdk","Apt. FATIMAH S HI LA HASAN, S.Farm SERTIFIKAT BerAKHLAK")</f>
        <v>Apt. FATIMAH S HI LA HASAN, S.Farm SERTIFIKAT BerAKHLAK</v>
      </c>
      <c r="K1634" s="5" t="s">
        <v>12015</v>
      </c>
      <c r="L1634" s="5" t="s">
        <v>12997</v>
      </c>
    </row>
    <row r="1635">
      <c r="A1635" s="4">
        <v>45534.33545626157</v>
      </c>
      <c r="B1635" s="5" t="s">
        <v>34</v>
      </c>
      <c r="D1635" s="5" t="s">
        <v>10444</v>
      </c>
      <c r="E1635" s="5" t="s">
        <v>13000</v>
      </c>
      <c r="F1635" s="5" t="s">
        <v>524</v>
      </c>
      <c r="G1635" s="5" t="s">
        <v>13001</v>
      </c>
      <c r="H1635" s="6" t="s">
        <v>13002</v>
      </c>
      <c r="I1635" s="7" t="s">
        <v>13003</v>
      </c>
      <c r="J1635" s="8" t="str">
        <f>HYPERLINK("https://drive.google.com/file/d/1w8r0APmuT9mphKRFNCRW9zLNCOBHTjSp/view?usp=drivesdk","SYARIFAH DESSY ALKADRIE, AMD SERTIFIKAT BerAKHLAK")</f>
        <v>SYARIFAH DESSY ALKADRIE, AMD SERTIFIKAT BerAKHLAK</v>
      </c>
      <c r="K1635" s="5" t="s">
        <v>12015</v>
      </c>
      <c r="L1635" s="5" t="s">
        <v>13004</v>
      </c>
    </row>
    <row r="1636">
      <c r="A1636" s="4">
        <v>45534.33546454861</v>
      </c>
      <c r="B1636" s="5" t="s">
        <v>34</v>
      </c>
      <c r="D1636" s="5" t="s">
        <v>280</v>
      </c>
      <c r="E1636" s="5" t="s">
        <v>13008</v>
      </c>
      <c r="F1636" s="5" t="s">
        <v>715</v>
      </c>
      <c r="G1636" s="5" t="s">
        <v>13009</v>
      </c>
      <c r="H1636" s="6" t="s">
        <v>13010</v>
      </c>
      <c r="K1636" s="5" t="s">
        <v>13011</v>
      </c>
    </row>
    <row r="1637">
      <c r="A1637" s="4">
        <v>45534.33546810185</v>
      </c>
      <c r="B1637" s="5" t="s">
        <v>34</v>
      </c>
      <c r="D1637" s="5" t="s">
        <v>6232</v>
      </c>
      <c r="E1637" s="5" t="s">
        <v>13014</v>
      </c>
      <c r="F1637" s="5" t="s">
        <v>37</v>
      </c>
      <c r="G1637" s="5" t="s">
        <v>13015</v>
      </c>
      <c r="H1637" s="6" t="s">
        <v>13016</v>
      </c>
      <c r="K1637" s="5" t="s">
        <v>13011</v>
      </c>
    </row>
    <row r="1638">
      <c r="A1638" s="4">
        <v>45534.335471134254</v>
      </c>
      <c r="B1638" s="5" t="s">
        <v>34</v>
      </c>
      <c r="D1638" s="5" t="s">
        <v>4775</v>
      </c>
      <c r="E1638" s="5" t="s">
        <v>13019</v>
      </c>
      <c r="F1638" s="5" t="s">
        <v>72</v>
      </c>
      <c r="G1638" s="5" t="s">
        <v>13020</v>
      </c>
      <c r="H1638" s="6" t="s">
        <v>13021</v>
      </c>
      <c r="K1638" s="5" t="s">
        <v>13011</v>
      </c>
    </row>
    <row r="1639">
      <c r="A1639" s="4">
        <v>45534.33550302083</v>
      </c>
      <c r="B1639" s="5" t="s">
        <v>34</v>
      </c>
      <c r="D1639" s="5" t="s">
        <v>580</v>
      </c>
      <c r="E1639" s="5" t="s">
        <v>13024</v>
      </c>
      <c r="F1639" s="5" t="s">
        <v>5566</v>
      </c>
      <c r="G1639" s="5" t="s">
        <v>13025</v>
      </c>
      <c r="H1639" s="6" t="s">
        <v>13026</v>
      </c>
      <c r="I1639" s="7" t="s">
        <v>13027</v>
      </c>
      <c r="J1639" s="8" t="str">
        <f>HYPERLINK("https://drive.google.com/file/d/1lIhwNEkG-WQHjWIDCeonNOqona68aZTO/view?usp=drivesdk","I GUSTI BAGUS NGURAH KRISHNADINATHA SERTIFIKAT BerAKHLAK")</f>
        <v>I GUSTI BAGUS NGURAH KRISHNADINATHA SERTIFIKAT BerAKHLAK</v>
      </c>
      <c r="K1639" s="5" t="s">
        <v>12015</v>
      </c>
      <c r="L1639" s="5" t="s">
        <v>13028</v>
      </c>
    </row>
    <row r="1640">
      <c r="A1640" s="4">
        <v>45534.335529641205</v>
      </c>
      <c r="B1640" s="5" t="s">
        <v>34</v>
      </c>
      <c r="D1640" s="5" t="s">
        <v>35</v>
      </c>
      <c r="E1640" s="5" t="s">
        <v>13031</v>
      </c>
      <c r="F1640" s="5" t="s">
        <v>108</v>
      </c>
      <c r="G1640" s="5" t="s">
        <v>13032</v>
      </c>
      <c r="H1640" s="6" t="s">
        <v>13033</v>
      </c>
      <c r="I1640" s="7" t="s">
        <v>13034</v>
      </c>
      <c r="J1640" s="8" t="str">
        <f>HYPERLINK("https://drive.google.com/file/d/1U0nrpTiwhzPDoHWeyuyfQix2atshFukJ/view?usp=drivesdk","PUSVARIKA SEPTERIANI, S.Si., M.M. SERTIFIKAT BerAKHLAK")</f>
        <v>PUSVARIKA SEPTERIANI, S.Si., M.M. SERTIFIKAT BerAKHLAK</v>
      </c>
      <c r="K1640" s="5" t="s">
        <v>12015</v>
      </c>
      <c r="L1640" s="5" t="s">
        <v>13035</v>
      </c>
    </row>
    <row r="1641">
      <c r="A1641" s="4">
        <v>45534.33553162037</v>
      </c>
      <c r="B1641" s="5" t="s">
        <v>34</v>
      </c>
      <c r="D1641" s="5" t="s">
        <v>580</v>
      </c>
      <c r="E1641" s="5" t="s">
        <v>13039</v>
      </c>
      <c r="F1641" s="5" t="s">
        <v>37</v>
      </c>
      <c r="G1641" s="5" t="s">
        <v>13040</v>
      </c>
      <c r="H1641" s="6" t="s">
        <v>13041</v>
      </c>
      <c r="I1641" s="7" t="s">
        <v>13042</v>
      </c>
      <c r="J1641" s="8" t="str">
        <f>HYPERLINK("https://drive.google.com/file/d/1HjYOvKQ-zLCvIw4mw-BR8FWsjNbI_jky/view?usp=drivesdk","IDA BAGUS MADE WEDA ARSA, A.MD.AK SERTIFIKAT BerAKHLAK")</f>
        <v>IDA BAGUS MADE WEDA ARSA, A.MD.AK SERTIFIKAT BerAKHLAK</v>
      </c>
      <c r="K1641" s="5" t="s">
        <v>12015</v>
      </c>
      <c r="L1641" s="5" t="s">
        <v>13043</v>
      </c>
    </row>
    <row r="1642">
      <c r="A1642" s="4">
        <v>45534.335541423614</v>
      </c>
      <c r="B1642" s="5" t="s">
        <v>34</v>
      </c>
      <c r="D1642" s="5" t="s">
        <v>6232</v>
      </c>
      <c r="E1642" s="5" t="s">
        <v>13046</v>
      </c>
      <c r="F1642" s="5" t="s">
        <v>37</v>
      </c>
      <c r="G1642" s="5" t="s">
        <v>13047</v>
      </c>
      <c r="H1642" s="6" t="s">
        <v>13048</v>
      </c>
      <c r="I1642" s="7" t="s">
        <v>13049</v>
      </c>
      <c r="J1642" s="8" t="str">
        <f>HYPERLINK("https://drive.google.com/file/d/1uT6DVGJ7YBm5wADSPQKzgR6udyfQgcGB/view?usp=drivesdk","NYAYU MONANDA METHA, Am.Kep SERTIFIKAT BerAKHLAK")</f>
        <v>NYAYU MONANDA METHA, Am.Kep SERTIFIKAT BerAKHLAK</v>
      </c>
      <c r="K1642" s="5" t="s">
        <v>13050</v>
      </c>
      <c r="L1642" s="5" t="s">
        <v>13051</v>
      </c>
    </row>
    <row r="1643">
      <c r="A1643" s="4">
        <v>45534.335551956014</v>
      </c>
      <c r="B1643" s="5" t="s">
        <v>34</v>
      </c>
      <c r="D1643" s="5" t="s">
        <v>9020</v>
      </c>
      <c r="E1643" s="5" t="s">
        <v>13054</v>
      </c>
      <c r="F1643" s="5" t="s">
        <v>212</v>
      </c>
      <c r="G1643" s="5" t="s">
        <v>13055</v>
      </c>
      <c r="H1643" s="6" t="s">
        <v>13056</v>
      </c>
      <c r="I1643" s="7" t="s">
        <v>13057</v>
      </c>
      <c r="J1643" s="8" t="str">
        <f>HYPERLINK("https://drive.google.com/file/d/1576RCwwHCJSSEloRTDRFkvorn73awEJx/view?usp=drivesdk","MUHAMMAD ZEN SH SERTIFIKAT BerAKHLAK")</f>
        <v>MUHAMMAD ZEN SH SERTIFIKAT BerAKHLAK</v>
      </c>
      <c r="K1643" s="5" t="s">
        <v>13050</v>
      </c>
      <c r="L1643" s="5" t="s">
        <v>13058</v>
      </c>
    </row>
    <row r="1644">
      <c r="A1644" s="4">
        <v>45534.335559224535</v>
      </c>
      <c r="B1644" s="5" t="s">
        <v>34</v>
      </c>
      <c r="D1644" s="5" t="s">
        <v>9020</v>
      </c>
      <c r="E1644" s="5" t="s">
        <v>13061</v>
      </c>
      <c r="F1644" s="5" t="s">
        <v>72</v>
      </c>
      <c r="G1644" s="5" t="s">
        <v>13062</v>
      </c>
      <c r="H1644" s="6" t="s">
        <v>13063</v>
      </c>
      <c r="I1644" s="7" t="s">
        <v>13064</v>
      </c>
      <c r="J1644" s="8" t="str">
        <f>HYPERLINK("https://drive.google.com/file/d/1Wzg2OaOA2ERnbwlC1KzYECgSxVrKtFag/view?usp=drivesdk","LUH PUTU SEPTIANDARI SERTIFIKAT BerAKHLAK")</f>
        <v>LUH PUTU SEPTIANDARI SERTIFIKAT BerAKHLAK</v>
      </c>
      <c r="K1644" s="5" t="s">
        <v>12015</v>
      </c>
      <c r="L1644" s="5" t="s">
        <v>13065</v>
      </c>
    </row>
    <row r="1645">
      <c r="A1645" s="4">
        <v>45534.33557486111</v>
      </c>
      <c r="B1645" s="5" t="s">
        <v>34</v>
      </c>
      <c r="D1645" s="5" t="s">
        <v>9020</v>
      </c>
      <c r="E1645" s="5" t="s">
        <v>13068</v>
      </c>
      <c r="F1645" s="5" t="s">
        <v>37</v>
      </c>
      <c r="G1645" s="5" t="s">
        <v>13069</v>
      </c>
      <c r="H1645" s="6" t="s">
        <v>13070</v>
      </c>
      <c r="I1645" s="7" t="s">
        <v>13071</v>
      </c>
      <c r="J1645" s="8" t="str">
        <f>HYPERLINK("https://drive.google.com/file/d/10W8upAzoJs-vcPsIhEONzgOyizXUxIkb/view?usp=drivesdk","LISMAWATY SARAGIH, SH SERTIFIKAT BerAKHLAK")</f>
        <v>LISMAWATY SARAGIH, SH SERTIFIKAT BerAKHLAK</v>
      </c>
      <c r="K1645" s="5" t="s">
        <v>12015</v>
      </c>
      <c r="L1645" s="5" t="s">
        <v>13072</v>
      </c>
    </row>
    <row r="1646">
      <c r="A1646" s="4">
        <v>45534.33558021991</v>
      </c>
      <c r="B1646" s="5" t="s">
        <v>34</v>
      </c>
      <c r="D1646" s="5" t="s">
        <v>1206</v>
      </c>
      <c r="E1646" s="5" t="s">
        <v>13076</v>
      </c>
      <c r="F1646" s="5" t="s">
        <v>120</v>
      </c>
      <c r="G1646" s="5" t="s">
        <v>13077</v>
      </c>
      <c r="H1646" s="6" t="s">
        <v>13078</v>
      </c>
      <c r="I1646" s="7" t="s">
        <v>13079</v>
      </c>
      <c r="J1646" s="8" t="str">
        <f>HYPERLINK("https://drive.google.com/file/d/1AYyaErRe9lJQd2dKQDWWF3MDgHUqKYYF/view?usp=drivesdk","MARGARETHA LIESTYORINI,S.T., M.M. SERTIFIKAT BerAKHLAK")</f>
        <v>MARGARETHA LIESTYORINI,S.T., M.M. SERTIFIKAT BerAKHLAK</v>
      </c>
      <c r="K1646" s="5" t="s">
        <v>13080</v>
      </c>
      <c r="L1646" s="5" t="s">
        <v>13081</v>
      </c>
    </row>
    <row r="1647">
      <c r="A1647" s="4">
        <v>45534.33558138889</v>
      </c>
      <c r="B1647" s="5" t="s">
        <v>34</v>
      </c>
      <c r="D1647" s="5" t="s">
        <v>1692</v>
      </c>
      <c r="E1647" s="5" t="s">
        <v>13084</v>
      </c>
      <c r="F1647" s="5" t="s">
        <v>72</v>
      </c>
      <c r="G1647" s="5" t="s">
        <v>13085</v>
      </c>
      <c r="H1647" s="6" t="s">
        <v>13086</v>
      </c>
      <c r="I1647" s="7" t="s">
        <v>13087</v>
      </c>
      <c r="J1647" s="8" t="str">
        <f>HYPERLINK("https://drive.google.com/file/d/1o4Nq1wzHalkdFK52GGhUGaRRItIlrJU9/view?usp=drivesdk","MIEKE KILMANUN  SERTIFIKAT BerAKHLAK")</f>
        <v>MIEKE KILMANUN  SERTIFIKAT BerAKHLAK</v>
      </c>
      <c r="K1647" s="5" t="s">
        <v>13080</v>
      </c>
      <c r="L1647" s="5" t="s">
        <v>13088</v>
      </c>
    </row>
    <row r="1648">
      <c r="A1648" s="4">
        <v>45534.33559199074</v>
      </c>
      <c r="B1648" s="5" t="s">
        <v>34</v>
      </c>
      <c r="D1648" s="5" t="s">
        <v>3432</v>
      </c>
      <c r="E1648" s="5" t="s">
        <v>13091</v>
      </c>
      <c r="F1648" s="5" t="s">
        <v>212</v>
      </c>
      <c r="G1648" s="5" t="s">
        <v>13092</v>
      </c>
      <c r="H1648" s="6" t="s">
        <v>13093</v>
      </c>
      <c r="I1648" s="7" t="s">
        <v>13094</v>
      </c>
      <c r="J1648" s="8" t="str">
        <f>HYPERLINK("https://drive.google.com/file/d/1dPQwULSgyAzc78jRUJohDWKz68rzV0Cr/view?usp=drivesdk","ADRIANI ZUBAIDAH M. KAMAL SERTIFIKAT BerAKHLAK")</f>
        <v>ADRIANI ZUBAIDAH M. KAMAL SERTIFIKAT BerAKHLAK</v>
      </c>
      <c r="K1648" s="5" t="s">
        <v>13080</v>
      </c>
      <c r="L1648" s="5" t="s">
        <v>13095</v>
      </c>
    </row>
    <row r="1649">
      <c r="A1649" s="4">
        <v>45534.33559758102</v>
      </c>
      <c r="B1649" s="5" t="s">
        <v>34</v>
      </c>
      <c r="D1649" s="5" t="s">
        <v>12978</v>
      </c>
      <c r="E1649" s="5" t="s">
        <v>13098</v>
      </c>
      <c r="F1649" s="5" t="s">
        <v>524</v>
      </c>
      <c r="G1649" s="5" t="s">
        <v>13099</v>
      </c>
      <c r="H1649" s="6" t="s">
        <v>13100</v>
      </c>
      <c r="I1649" s="7" t="s">
        <v>13101</v>
      </c>
      <c r="J1649" s="8" t="str">
        <f>HYPERLINK("https://drive.google.com/file/d/1eU9PRrlyi_Gp6qF_kCbyK1ijRC90Sh9Q/view?usp=drivesdk","RINO SETIYADI,S.E. SERTIFIKAT BerAKHLAK")</f>
        <v>RINO SETIYADI,S.E. SERTIFIKAT BerAKHLAK</v>
      </c>
      <c r="K1649" s="5" t="s">
        <v>13080</v>
      </c>
      <c r="L1649" s="5" t="s">
        <v>13102</v>
      </c>
    </row>
    <row r="1650">
      <c r="A1650" s="4">
        <v>45534.335600949074</v>
      </c>
      <c r="B1650" s="5" t="s">
        <v>34</v>
      </c>
      <c r="D1650" s="5" t="s">
        <v>522</v>
      </c>
      <c r="E1650" s="5" t="s">
        <v>13106</v>
      </c>
      <c r="F1650" s="5" t="s">
        <v>72</v>
      </c>
      <c r="G1650" s="5" t="s">
        <v>13107</v>
      </c>
      <c r="H1650" s="6" t="s">
        <v>13108</v>
      </c>
      <c r="I1650" s="7" t="s">
        <v>13109</v>
      </c>
      <c r="J1650" s="8" t="str">
        <f>HYPERLINK("https://drive.google.com/file/d/1PpYkM0nA_CQt20TaVMzNTU41gyCnVAaZ/view?usp=drivesdk","MUHAMMAD IRWAN WAHYUDI SERTIFIKAT BerAKHLAK")</f>
        <v>MUHAMMAD IRWAN WAHYUDI SERTIFIKAT BerAKHLAK</v>
      </c>
      <c r="K1650" s="5" t="s">
        <v>12015</v>
      </c>
      <c r="L1650" s="5" t="s">
        <v>13110</v>
      </c>
    </row>
    <row r="1651">
      <c r="A1651" s="4">
        <v>45534.335604340275</v>
      </c>
      <c r="B1651" s="5" t="s">
        <v>34</v>
      </c>
      <c r="D1651" s="5" t="s">
        <v>1206</v>
      </c>
      <c r="E1651" s="5" t="s">
        <v>13114</v>
      </c>
      <c r="F1651" s="5" t="s">
        <v>524</v>
      </c>
      <c r="G1651" s="5" t="s">
        <v>13115</v>
      </c>
      <c r="H1651" s="6" t="s">
        <v>13116</v>
      </c>
      <c r="I1651" s="7" t="s">
        <v>13117</v>
      </c>
      <c r="J1651" s="8" t="str">
        <f>HYPERLINK("https://drive.google.com/file/d/1cU6h6GSMOfz8AVYbGna0oMNt5yDTGEpp/view?usp=drivesdk","BAMBANG EDI PURWANTO SERTIFIKAT BerAKHLAK")</f>
        <v>BAMBANG EDI PURWANTO SERTIFIKAT BerAKHLAK</v>
      </c>
      <c r="K1651" s="5" t="s">
        <v>12015</v>
      </c>
      <c r="L1651" s="5" t="s">
        <v>13118</v>
      </c>
    </row>
    <row r="1652">
      <c r="A1652" s="4">
        <v>45534.33560902778</v>
      </c>
      <c r="B1652" s="5" t="s">
        <v>19</v>
      </c>
      <c r="C1652" s="5" t="s">
        <v>3301</v>
      </c>
      <c r="E1652" s="5" t="s">
        <v>13122</v>
      </c>
      <c r="F1652" s="5" t="s">
        <v>22</v>
      </c>
      <c r="G1652" s="5" t="s">
        <v>13123</v>
      </c>
      <c r="H1652" s="6" t="s">
        <v>13124</v>
      </c>
      <c r="K1652" s="5" t="s">
        <v>13125</v>
      </c>
    </row>
    <row r="1653">
      <c r="A1653" s="4">
        <v>45534.335611435185</v>
      </c>
      <c r="B1653" s="5" t="s">
        <v>34</v>
      </c>
      <c r="D1653" s="5" t="s">
        <v>35</v>
      </c>
      <c r="E1653" s="5" t="s">
        <v>13128</v>
      </c>
      <c r="F1653" s="5" t="s">
        <v>37</v>
      </c>
      <c r="G1653" s="5" t="s">
        <v>13129</v>
      </c>
      <c r="H1653" s="6" t="s">
        <v>13130</v>
      </c>
      <c r="K1653" s="5" t="s">
        <v>13125</v>
      </c>
    </row>
    <row r="1654">
      <c r="A1654" s="4">
        <v>45534.33561388889</v>
      </c>
      <c r="B1654" s="5" t="s">
        <v>34</v>
      </c>
      <c r="D1654" s="5" t="s">
        <v>604</v>
      </c>
      <c r="E1654" s="5" t="s">
        <v>13133</v>
      </c>
      <c r="F1654" s="5" t="s">
        <v>524</v>
      </c>
      <c r="G1654" s="5" t="s">
        <v>13134</v>
      </c>
      <c r="H1654" s="6" t="s">
        <v>13135</v>
      </c>
      <c r="K1654" s="5" t="s">
        <v>13125</v>
      </c>
    </row>
    <row r="1655">
      <c r="A1655" s="4">
        <v>45534.335622025465</v>
      </c>
      <c r="B1655" s="5" t="s">
        <v>34</v>
      </c>
      <c r="D1655" s="5" t="s">
        <v>1206</v>
      </c>
      <c r="E1655" s="5" t="s">
        <v>13138</v>
      </c>
      <c r="F1655" s="5" t="s">
        <v>212</v>
      </c>
      <c r="G1655" s="5" t="s">
        <v>13139</v>
      </c>
      <c r="H1655" s="6" t="s">
        <v>13140</v>
      </c>
      <c r="K1655" s="5" t="s">
        <v>13125</v>
      </c>
    </row>
    <row r="1656">
      <c r="A1656" s="4">
        <v>45534.335624803236</v>
      </c>
      <c r="B1656" s="5" t="s">
        <v>34</v>
      </c>
      <c r="D1656" s="5" t="s">
        <v>10444</v>
      </c>
      <c r="E1656" s="5" t="s">
        <v>13143</v>
      </c>
      <c r="F1656" s="5" t="s">
        <v>375</v>
      </c>
      <c r="G1656" s="5" t="s">
        <v>13144</v>
      </c>
      <c r="H1656" s="6" t="s">
        <v>13145</v>
      </c>
      <c r="K1656" s="5" t="s">
        <v>13125</v>
      </c>
    </row>
    <row r="1657">
      <c r="A1657" s="4">
        <v>45534.33563565972</v>
      </c>
      <c r="B1657" s="5" t="s">
        <v>19</v>
      </c>
      <c r="C1657" s="5" t="s">
        <v>11593</v>
      </c>
      <c r="E1657" s="5" t="s">
        <v>13148</v>
      </c>
      <c r="F1657" s="5" t="s">
        <v>524</v>
      </c>
      <c r="G1657" s="5" t="s">
        <v>13149</v>
      </c>
      <c r="H1657" s="6" t="s">
        <v>13150</v>
      </c>
      <c r="I1657" s="7" t="s">
        <v>13151</v>
      </c>
      <c r="J1657" s="8" t="str">
        <f>HYPERLINK("https://drive.google.com/file/d/1mT2pZxetroTTeOZd2MzentycpAbiwIgT/view?usp=drivesdk","IKA KUSWANDARI,AMAK,S.Si SERTIFIKAT BerAKHLAK")</f>
        <v>IKA KUSWANDARI,AMAK,S.Si SERTIFIKAT BerAKHLAK</v>
      </c>
      <c r="K1657" s="5" t="s">
        <v>12015</v>
      </c>
      <c r="L1657" s="5" t="s">
        <v>13152</v>
      </c>
    </row>
    <row r="1658">
      <c r="A1658" s="4">
        <v>45534.33564193287</v>
      </c>
      <c r="B1658" s="5" t="s">
        <v>34</v>
      </c>
      <c r="D1658" s="5" t="s">
        <v>1206</v>
      </c>
      <c r="E1658" s="5" t="s">
        <v>13156</v>
      </c>
      <c r="F1658" s="5" t="s">
        <v>212</v>
      </c>
      <c r="G1658" s="5" t="s">
        <v>13157</v>
      </c>
      <c r="H1658" s="6" t="s">
        <v>13158</v>
      </c>
      <c r="I1658" s="7" t="s">
        <v>13159</v>
      </c>
      <c r="J1658" s="8" t="str">
        <f>HYPERLINK("https://drive.google.com/file/d/1JAmt9IeJCe6N6wjlCgumjqPR71rLiclV/view?usp=drivesdk","SUPARNO PENGATUR  SERTIFIKAT BerAKHLAK")</f>
        <v>SUPARNO PENGATUR  SERTIFIKAT BerAKHLAK</v>
      </c>
      <c r="K1658" s="5" t="s">
        <v>12015</v>
      </c>
      <c r="L1658" s="5" t="s">
        <v>13160</v>
      </c>
    </row>
    <row r="1659">
      <c r="A1659" s="4">
        <v>45534.33565418981</v>
      </c>
      <c r="B1659" s="5" t="s">
        <v>19</v>
      </c>
      <c r="C1659" s="5" t="s">
        <v>5564</v>
      </c>
      <c r="E1659" s="5" t="s">
        <v>13163</v>
      </c>
      <c r="F1659" s="5" t="s">
        <v>6625</v>
      </c>
      <c r="G1659" s="5" t="s">
        <v>13164</v>
      </c>
      <c r="H1659" s="6" t="s">
        <v>13165</v>
      </c>
      <c r="I1659" s="7" t="s">
        <v>13166</v>
      </c>
      <c r="J1659" s="8" t="str">
        <f>HYPERLINK("https://drive.google.com/file/d/1OAvj-dg9GHqOf2-8NqIOBtTPkazHi1LP/view?usp=drivesdk","SUPRIIYANTO, S.ST., M.M. SERTIFIKAT BerAKHLAK")</f>
        <v>SUPRIIYANTO, S.ST., M.M. SERTIFIKAT BerAKHLAK</v>
      </c>
      <c r="K1659" s="5" t="s">
        <v>12015</v>
      </c>
      <c r="L1659" s="5" t="s">
        <v>13167</v>
      </c>
    </row>
    <row r="1660">
      <c r="A1660" s="4">
        <v>45534.33567961806</v>
      </c>
      <c r="B1660" s="5" t="s">
        <v>34</v>
      </c>
      <c r="D1660" s="5" t="s">
        <v>1206</v>
      </c>
      <c r="E1660" s="5" t="s">
        <v>13170</v>
      </c>
      <c r="F1660" s="5" t="s">
        <v>72</v>
      </c>
      <c r="G1660" s="5" t="s">
        <v>13171</v>
      </c>
      <c r="H1660" s="6" t="s">
        <v>13172</v>
      </c>
      <c r="I1660" s="7" t="s">
        <v>13173</v>
      </c>
      <c r="J1660" s="8" t="str">
        <f>HYPERLINK("https://drive.google.com/file/d/14uu-r-3QMqiJ6FHSaqMFPUXNHOXukaQ8/view?usp=drivesdk","ARYANI SINTA WIDYASTUTI, A.MD SERTIFIKAT BerAKHLAK")</f>
        <v>ARYANI SINTA WIDYASTUTI, A.MD SERTIFIKAT BerAKHLAK</v>
      </c>
      <c r="K1660" s="5" t="s">
        <v>12015</v>
      </c>
      <c r="L1660" s="5" t="s">
        <v>13174</v>
      </c>
    </row>
    <row r="1661">
      <c r="A1661" s="4">
        <v>45534.33568101852</v>
      </c>
      <c r="B1661" s="5" t="s">
        <v>34</v>
      </c>
      <c r="D1661" s="5" t="s">
        <v>280</v>
      </c>
      <c r="E1661" s="5" t="s">
        <v>13177</v>
      </c>
      <c r="F1661" s="5" t="s">
        <v>375</v>
      </c>
      <c r="G1661" s="5" t="s">
        <v>13178</v>
      </c>
      <c r="H1661" s="6" t="s">
        <v>13179</v>
      </c>
      <c r="I1661" s="7" t="s">
        <v>13180</v>
      </c>
      <c r="J1661" s="8" t="str">
        <f>HYPERLINK("https://drive.google.com/file/d/1Xa5m9AAwnoUeB9MQDdxVwf7b0jcrrmCe/view?usp=drivesdk","SACHA SURYANINGRAT SERTIFIKAT BerAKHLAK")</f>
        <v>SACHA SURYANINGRAT SERTIFIKAT BerAKHLAK</v>
      </c>
      <c r="K1661" s="5" t="s">
        <v>12015</v>
      </c>
      <c r="L1661" s="5" t="s">
        <v>13181</v>
      </c>
    </row>
    <row r="1662">
      <c r="A1662" s="4">
        <v>45534.33568553241</v>
      </c>
      <c r="B1662" s="5" t="s">
        <v>34</v>
      </c>
      <c r="D1662" s="5" t="s">
        <v>4775</v>
      </c>
      <c r="E1662" s="5" t="s">
        <v>13184</v>
      </c>
      <c r="F1662" s="5" t="s">
        <v>375</v>
      </c>
      <c r="G1662" s="5" t="s">
        <v>13185</v>
      </c>
      <c r="H1662" s="6" t="s">
        <v>13186</v>
      </c>
      <c r="I1662" s="7" t="s">
        <v>13187</v>
      </c>
      <c r="J1662" s="8" t="str">
        <f>HYPERLINK("https://drive.google.com/file/d/1FWfWhJ01k97jTNuRWx6d08XIy7vhqTan/view?usp=drivesdk","IDA SOFIYATI, S.E., M.M. SERTIFIKAT BerAKHLAK")</f>
        <v>IDA SOFIYATI, S.E., M.M. SERTIFIKAT BerAKHLAK</v>
      </c>
      <c r="K1662" s="5" t="s">
        <v>12015</v>
      </c>
      <c r="L1662" s="5" t="s">
        <v>13188</v>
      </c>
    </row>
    <row r="1663">
      <c r="A1663" s="4">
        <v>45534.33569006945</v>
      </c>
      <c r="B1663" s="5" t="s">
        <v>34</v>
      </c>
      <c r="D1663" s="5" t="s">
        <v>604</v>
      </c>
      <c r="E1663" s="5" t="s">
        <v>13192</v>
      </c>
      <c r="F1663" s="5" t="s">
        <v>37</v>
      </c>
      <c r="G1663" s="5" t="s">
        <v>13193</v>
      </c>
      <c r="H1663" s="6" t="s">
        <v>13194</v>
      </c>
      <c r="I1663" s="7" t="s">
        <v>13195</v>
      </c>
      <c r="J1663" s="8" t="str">
        <f>HYPERLINK("https://drive.google.com/file/d/1GUihyERxovEDMXJXCNUB5mVNHySakUEu/view?usp=drivesdk","NI NYOMAN AYU IRIANI, A.Md.Kom SERTIFIKAT BerAKHLAK")</f>
        <v>NI NYOMAN AYU IRIANI, A.Md.Kom SERTIFIKAT BerAKHLAK</v>
      </c>
      <c r="K1663" s="5" t="s">
        <v>12015</v>
      </c>
      <c r="L1663" s="5" t="s">
        <v>13196</v>
      </c>
    </row>
    <row r="1664">
      <c r="A1664" s="4">
        <v>45534.33569637731</v>
      </c>
      <c r="B1664" s="5" t="s">
        <v>34</v>
      </c>
      <c r="D1664" s="5" t="s">
        <v>267</v>
      </c>
      <c r="E1664" s="5" t="s">
        <v>13199</v>
      </c>
      <c r="F1664" s="5" t="s">
        <v>108</v>
      </c>
      <c r="G1664" s="5" t="s">
        <v>13200</v>
      </c>
      <c r="H1664" s="6" t="s">
        <v>13201</v>
      </c>
      <c r="I1664" s="7" t="s">
        <v>13202</v>
      </c>
      <c r="J1664" s="8" t="str">
        <f>HYPERLINK("https://drive.google.com/file/d/1xlNO4ADxgqZYbFzJwkXjU9oxHlhb6183/view?usp=drivesdk","CATUR PUNGKASTO, A.Md., S.M. SERTIFIKAT BerAKHLAK")</f>
        <v>CATUR PUNGKASTO, A.Md., S.M. SERTIFIKAT BerAKHLAK</v>
      </c>
      <c r="K1664" s="5" t="s">
        <v>13080</v>
      </c>
      <c r="L1664" s="5" t="s">
        <v>13203</v>
      </c>
    </row>
    <row r="1665">
      <c r="A1665" s="4">
        <v>45534.335702013894</v>
      </c>
      <c r="B1665" s="5" t="s">
        <v>34</v>
      </c>
      <c r="D1665" s="5" t="s">
        <v>12010</v>
      </c>
      <c r="E1665" s="5" t="s">
        <v>13206</v>
      </c>
      <c r="F1665" s="5" t="s">
        <v>37</v>
      </c>
      <c r="G1665" s="5" t="s">
        <v>13207</v>
      </c>
      <c r="H1665" s="6" t="s">
        <v>13208</v>
      </c>
      <c r="I1665" s="7" t="s">
        <v>13209</v>
      </c>
      <c r="J1665" s="8" t="str">
        <f>HYPERLINK("https://drive.google.com/file/d/1H5LLwQGUjUVkUpUxlO-5u54reRkKOPZL/view?usp=drivesdk","SRI WULAN LABADJO SERTIFIKAT BerAKHLAK")</f>
        <v>SRI WULAN LABADJO SERTIFIKAT BerAKHLAK</v>
      </c>
      <c r="K1665" s="5" t="s">
        <v>13080</v>
      </c>
      <c r="L1665" s="5" t="s">
        <v>13210</v>
      </c>
    </row>
    <row r="1666">
      <c r="A1666" s="4">
        <v>45534.33571616898</v>
      </c>
      <c r="B1666" s="5" t="s">
        <v>34</v>
      </c>
      <c r="D1666" s="5" t="s">
        <v>6232</v>
      </c>
      <c r="E1666" s="5" t="s">
        <v>13213</v>
      </c>
      <c r="F1666" s="5" t="s">
        <v>37</v>
      </c>
      <c r="G1666" s="5" t="s">
        <v>13214</v>
      </c>
      <c r="H1666" s="6" t="s">
        <v>13215</v>
      </c>
      <c r="I1666" s="7" t="s">
        <v>13216</v>
      </c>
      <c r="J1666" s="8" t="str">
        <f>HYPERLINK("https://drive.google.com/file/d/16xo2YQEh319txfG-waB5gmSnn9jC8Df3/view?usp=drivesdk","DEFI NOFRIADI  SERTIFIKAT BerAKHLAK")</f>
        <v>DEFI NOFRIADI  SERTIFIKAT BerAKHLAK</v>
      </c>
      <c r="K1666" s="5" t="s">
        <v>12015</v>
      </c>
      <c r="L1666" s="5" t="s">
        <v>13217</v>
      </c>
    </row>
    <row r="1667">
      <c r="A1667" s="4">
        <v>45534.335725428245</v>
      </c>
      <c r="B1667" s="5" t="s">
        <v>34</v>
      </c>
      <c r="D1667" s="5" t="s">
        <v>12026</v>
      </c>
      <c r="E1667" s="5" t="s">
        <v>13220</v>
      </c>
      <c r="F1667" s="5" t="s">
        <v>37</v>
      </c>
      <c r="G1667" s="5" t="s">
        <v>13221</v>
      </c>
      <c r="H1667" s="6" t="s">
        <v>13222</v>
      </c>
      <c r="I1667" s="7" t="s">
        <v>13223</v>
      </c>
      <c r="J1667" s="8" t="str">
        <f>HYPERLINK("https://drive.google.com/file/d/1HbwiWPXcvD6TSZH2TE2BoAXJQ0QvezMk/view?usp=drivesdk","MUHAMMAD KAHFI,A.Md.Kep SERTIFIKAT BerAKHLAK")</f>
        <v>MUHAMMAD KAHFI,A.Md.Kep SERTIFIKAT BerAKHLAK</v>
      </c>
      <c r="K1667" s="5" t="s">
        <v>12015</v>
      </c>
      <c r="L1667" s="5" t="s">
        <v>13224</v>
      </c>
    </row>
    <row r="1668">
      <c r="A1668" s="4">
        <v>45534.33573630787</v>
      </c>
      <c r="B1668" s="5" t="s">
        <v>34</v>
      </c>
      <c r="D1668" s="5" t="s">
        <v>10444</v>
      </c>
      <c r="E1668" s="5" t="s">
        <v>13228</v>
      </c>
      <c r="F1668" s="5" t="s">
        <v>524</v>
      </c>
      <c r="G1668" s="5" t="s">
        <v>13229</v>
      </c>
      <c r="H1668" s="6" t="s">
        <v>13230</v>
      </c>
      <c r="K1668" s="5" t="s">
        <v>13231</v>
      </c>
    </row>
    <row r="1669">
      <c r="A1669" s="4">
        <v>45534.33574571759</v>
      </c>
      <c r="B1669" s="5" t="s">
        <v>34</v>
      </c>
      <c r="D1669" s="5" t="s">
        <v>9394</v>
      </c>
      <c r="E1669" s="5" t="s">
        <v>13234</v>
      </c>
      <c r="F1669" s="5" t="s">
        <v>715</v>
      </c>
      <c r="G1669" s="5" t="s">
        <v>13235</v>
      </c>
      <c r="H1669" s="6" t="s">
        <v>13236</v>
      </c>
      <c r="K1669" s="5" t="s">
        <v>13231</v>
      </c>
    </row>
    <row r="1670">
      <c r="A1670" s="4">
        <v>45534.33575050926</v>
      </c>
      <c r="B1670" s="5" t="s">
        <v>19</v>
      </c>
      <c r="C1670" s="5" t="s">
        <v>466</v>
      </c>
      <c r="E1670" s="5" t="s">
        <v>13239</v>
      </c>
      <c r="F1670" s="5" t="s">
        <v>120</v>
      </c>
      <c r="G1670" s="5" t="s">
        <v>13240</v>
      </c>
      <c r="H1670" s="6" t="s">
        <v>13241</v>
      </c>
      <c r="K1670" s="5" t="s">
        <v>13231</v>
      </c>
    </row>
    <row r="1671">
      <c r="A1671" s="4">
        <v>45534.33575372685</v>
      </c>
      <c r="B1671" s="5" t="s">
        <v>34</v>
      </c>
      <c r="D1671" s="5" t="s">
        <v>4775</v>
      </c>
      <c r="E1671" s="5" t="s">
        <v>13244</v>
      </c>
      <c r="F1671" s="5" t="s">
        <v>212</v>
      </c>
      <c r="G1671" s="5" t="s">
        <v>13245</v>
      </c>
      <c r="H1671" s="6" t="s">
        <v>13246</v>
      </c>
      <c r="K1671" s="5" t="s">
        <v>13231</v>
      </c>
    </row>
    <row r="1672">
      <c r="A1672" s="4">
        <v>45534.335775150466</v>
      </c>
      <c r="B1672" s="5" t="s">
        <v>34</v>
      </c>
      <c r="D1672" s="5" t="s">
        <v>12010</v>
      </c>
      <c r="E1672" s="5" t="s">
        <v>13249</v>
      </c>
      <c r="F1672" s="5" t="s">
        <v>72</v>
      </c>
      <c r="G1672" s="5" t="s">
        <v>13250</v>
      </c>
      <c r="H1672" s="6" t="s">
        <v>13251</v>
      </c>
      <c r="K1672" s="5" t="s">
        <v>13231</v>
      </c>
    </row>
    <row r="1673">
      <c r="A1673" s="4">
        <v>45534.335789895835</v>
      </c>
      <c r="B1673" s="5" t="s">
        <v>34</v>
      </c>
      <c r="D1673" s="5" t="s">
        <v>4775</v>
      </c>
      <c r="E1673" s="5" t="s">
        <v>13255</v>
      </c>
      <c r="F1673" s="5" t="s">
        <v>37</v>
      </c>
      <c r="G1673" s="5" t="s">
        <v>13256</v>
      </c>
      <c r="H1673" s="6" t="s">
        <v>13257</v>
      </c>
      <c r="K1673" s="5" t="s">
        <v>13258</v>
      </c>
    </row>
    <row r="1674">
      <c r="A1674" s="4">
        <v>45534.33579677083</v>
      </c>
      <c r="B1674" s="5" t="s">
        <v>34</v>
      </c>
      <c r="D1674" s="5" t="s">
        <v>6232</v>
      </c>
      <c r="E1674" s="5" t="s">
        <v>13261</v>
      </c>
      <c r="F1674" s="5" t="s">
        <v>375</v>
      </c>
      <c r="G1674" s="5" t="s">
        <v>13262</v>
      </c>
      <c r="H1674" s="6" t="s">
        <v>13263</v>
      </c>
      <c r="K1674" s="5" t="s">
        <v>13258</v>
      </c>
    </row>
    <row r="1675">
      <c r="A1675" s="4">
        <v>45534.33580193287</v>
      </c>
      <c r="B1675" s="5" t="s">
        <v>34</v>
      </c>
      <c r="D1675" s="5" t="s">
        <v>4775</v>
      </c>
      <c r="E1675" s="5" t="s">
        <v>13267</v>
      </c>
      <c r="F1675" s="5" t="s">
        <v>120</v>
      </c>
      <c r="G1675" s="5" t="s">
        <v>13268</v>
      </c>
      <c r="H1675" s="6" t="s">
        <v>13269</v>
      </c>
      <c r="K1675" s="5" t="s">
        <v>13258</v>
      </c>
    </row>
    <row r="1676">
      <c r="A1676" s="4">
        <v>45534.33580667824</v>
      </c>
      <c r="B1676" s="5" t="s">
        <v>34</v>
      </c>
      <c r="D1676" s="5" t="s">
        <v>35</v>
      </c>
      <c r="E1676" s="5" t="s">
        <v>13272</v>
      </c>
      <c r="F1676" s="5" t="s">
        <v>120</v>
      </c>
      <c r="G1676" s="5" t="s">
        <v>13273</v>
      </c>
      <c r="H1676" s="6" t="s">
        <v>13274</v>
      </c>
      <c r="K1676" s="5" t="s">
        <v>13275</v>
      </c>
    </row>
    <row r="1677">
      <c r="A1677" s="4">
        <v>45534.33583409722</v>
      </c>
      <c r="B1677" s="5" t="s">
        <v>34</v>
      </c>
      <c r="D1677" s="5" t="s">
        <v>975</v>
      </c>
      <c r="E1677" s="5" t="s">
        <v>13278</v>
      </c>
      <c r="F1677" s="5" t="s">
        <v>212</v>
      </c>
      <c r="G1677" s="5" t="s">
        <v>13279</v>
      </c>
      <c r="H1677" s="6" t="s">
        <v>13280</v>
      </c>
      <c r="K1677" s="5" t="s">
        <v>13275</v>
      </c>
    </row>
    <row r="1678">
      <c r="A1678" s="4">
        <v>45534.33584326389</v>
      </c>
      <c r="B1678" s="5" t="s">
        <v>34</v>
      </c>
      <c r="D1678" s="5" t="s">
        <v>1206</v>
      </c>
      <c r="E1678" s="5" t="s">
        <v>13283</v>
      </c>
      <c r="F1678" s="5" t="s">
        <v>212</v>
      </c>
      <c r="G1678" s="5" t="s">
        <v>13284</v>
      </c>
      <c r="H1678" s="6" t="s">
        <v>13285</v>
      </c>
      <c r="I1678" s="7" t="s">
        <v>13286</v>
      </c>
      <c r="J1678" s="8" t="str">
        <f>HYPERLINK("https://drive.google.com/file/d/1yiKtODBua6G7qO6vUUuLYWJX6z9oX3hn/view?usp=drivesdk","SRI BUDI HASTI,SH SERTIFIKAT BerAKHLAK")</f>
        <v>SRI BUDI HASTI,SH SERTIFIKAT BerAKHLAK</v>
      </c>
      <c r="K1678" s="5" t="s">
        <v>12015</v>
      </c>
      <c r="L1678" s="5" t="s">
        <v>13287</v>
      </c>
    </row>
    <row r="1679">
      <c r="A1679" s="4">
        <v>45534.33586961805</v>
      </c>
      <c r="B1679" s="5" t="s">
        <v>34</v>
      </c>
      <c r="D1679" s="5" t="s">
        <v>10444</v>
      </c>
      <c r="E1679" s="5" t="s">
        <v>13290</v>
      </c>
      <c r="F1679" s="5" t="s">
        <v>524</v>
      </c>
      <c r="G1679" s="5" t="s">
        <v>13291</v>
      </c>
      <c r="H1679" s="6" t="s">
        <v>13292</v>
      </c>
      <c r="I1679" s="7" t="s">
        <v>13293</v>
      </c>
      <c r="J1679" s="8" t="str">
        <f>HYPERLINK("https://drive.google.com/file/d/1FkK5e-hBrL701rZKwFQJqSU3IUNcH1Ur/view?usp=drivesdk","APT. MELLY HASRINA, S. FARM SERTIFIKAT BerAKHLAK")</f>
        <v>APT. MELLY HASRINA, S. FARM SERTIFIKAT BerAKHLAK</v>
      </c>
      <c r="K1679" s="5" t="s">
        <v>12015</v>
      </c>
      <c r="L1679" s="5" t="s">
        <v>13294</v>
      </c>
    </row>
    <row r="1680">
      <c r="A1680" s="4">
        <v>45534.33588105324</v>
      </c>
      <c r="B1680" s="5" t="s">
        <v>34</v>
      </c>
      <c r="D1680" s="5" t="s">
        <v>35</v>
      </c>
      <c r="E1680" s="5" t="s">
        <v>13297</v>
      </c>
      <c r="F1680" s="5" t="s">
        <v>37</v>
      </c>
      <c r="G1680" s="5" t="s">
        <v>13298</v>
      </c>
      <c r="H1680" s="6" t="s">
        <v>13299</v>
      </c>
      <c r="I1680" s="7" t="s">
        <v>13300</v>
      </c>
      <c r="J1680" s="8" t="str">
        <f>HYPERLINK("https://drive.google.com/file/d/1U-yfy_NzgqEUP0TxJizY3UIcZbH6xJYd/view?usp=drivesdk","TAGEN NUGRAHA PRATAMA SERTIFIKAT BerAKHLAK")</f>
        <v>TAGEN NUGRAHA PRATAMA SERTIFIKAT BerAKHLAK</v>
      </c>
      <c r="K1680" s="5" t="s">
        <v>13080</v>
      </c>
      <c r="L1680" s="5" t="s">
        <v>13301</v>
      </c>
    </row>
    <row r="1681">
      <c r="A1681" s="4">
        <v>45534.33588456019</v>
      </c>
      <c r="B1681" s="5" t="s">
        <v>34</v>
      </c>
      <c r="D1681" s="5" t="s">
        <v>6232</v>
      </c>
      <c r="E1681" s="5" t="s">
        <v>13305</v>
      </c>
      <c r="F1681" s="5" t="s">
        <v>37</v>
      </c>
      <c r="G1681" s="5" t="s">
        <v>13306</v>
      </c>
      <c r="H1681" s="6" t="s">
        <v>13307</v>
      </c>
      <c r="I1681" s="7" t="s">
        <v>13308</v>
      </c>
      <c r="J1681" s="8" t="str">
        <f>HYPERLINK("https://drive.google.com/file/d/1XB9TO5Px1tVOne9JhaktzoBIr8Ne8aI3/view?usp=drivesdk","SITI FATIMAH, AMd.Kep SERTIFIKAT BerAKHLAK")</f>
        <v>SITI FATIMAH, AMd.Kep SERTIFIKAT BerAKHLAK</v>
      </c>
      <c r="K1681" s="5" t="s">
        <v>13080</v>
      </c>
      <c r="L1681" s="5" t="s">
        <v>13309</v>
      </c>
    </row>
    <row r="1682">
      <c r="A1682" s="4">
        <v>45534.33588827546</v>
      </c>
      <c r="B1682" s="5" t="s">
        <v>34</v>
      </c>
      <c r="D1682" s="5" t="s">
        <v>12978</v>
      </c>
      <c r="E1682" s="5" t="s">
        <v>13312</v>
      </c>
      <c r="F1682" s="5" t="s">
        <v>37</v>
      </c>
      <c r="G1682" s="5" t="s">
        <v>13313</v>
      </c>
      <c r="H1682" s="6" t="s">
        <v>13314</v>
      </c>
      <c r="I1682" s="7" t="s">
        <v>13315</v>
      </c>
      <c r="J1682" s="8" t="str">
        <f>HYPERLINK("https://drive.google.com/file/d/1Qvqhy0xT2D1JV2765VLu2E-j-TxAruc5/view?usp=drivesdk","NOPRI OKTA DIANSYAH SERTIFIKAT BerAKHLAK")</f>
        <v>NOPRI OKTA DIANSYAH SERTIFIKAT BerAKHLAK</v>
      </c>
      <c r="K1682" s="5" t="s">
        <v>13080</v>
      </c>
      <c r="L1682" s="5" t="s">
        <v>13316</v>
      </c>
    </row>
    <row r="1683">
      <c r="A1683" s="4">
        <v>45534.335891712966</v>
      </c>
      <c r="B1683" s="5" t="s">
        <v>34</v>
      </c>
      <c r="D1683" s="5" t="s">
        <v>1206</v>
      </c>
      <c r="E1683" s="5" t="s">
        <v>13319</v>
      </c>
      <c r="F1683" s="5" t="s">
        <v>37</v>
      </c>
      <c r="G1683" s="5" t="s">
        <v>13320</v>
      </c>
      <c r="H1683" s="6" t="s">
        <v>13321</v>
      </c>
      <c r="I1683" s="7" t="s">
        <v>13322</v>
      </c>
      <c r="J1683" s="8" t="str">
        <f>HYPERLINK("https://drive.google.com/file/d/1RewPwLsPtc-3pRQL5f9kmRYC1-r1NMhB/view?usp=drivesdk","EKO SUCAHYONO  SERTIFIKAT BerAKHLAK")</f>
        <v>EKO SUCAHYONO  SERTIFIKAT BerAKHLAK</v>
      </c>
      <c r="K1683" s="5" t="s">
        <v>13080</v>
      </c>
      <c r="L1683" s="5" t="s">
        <v>13323</v>
      </c>
    </row>
    <row r="1684">
      <c r="A1684" s="4">
        <v>45534.33591140046</v>
      </c>
      <c r="B1684" s="5" t="s">
        <v>34</v>
      </c>
      <c r="D1684" s="5" t="s">
        <v>9020</v>
      </c>
      <c r="E1684" s="5" t="s">
        <v>13326</v>
      </c>
      <c r="F1684" s="5" t="s">
        <v>715</v>
      </c>
      <c r="G1684" s="5" t="s">
        <v>13327</v>
      </c>
      <c r="H1684" s="6" t="s">
        <v>13328</v>
      </c>
      <c r="I1684" s="7" t="s">
        <v>13329</v>
      </c>
      <c r="J1684" s="8" t="str">
        <f>HYPERLINK("https://drive.google.com/file/d/1tsOOURRsKbt0ePCEJYfqH22vzcFERJ9b/view?usp=drivesdk","MARIANA HASNI HARAHAP, S.S. SERTIFIKAT BerAKHLAK")</f>
        <v>MARIANA HASNI HARAHAP, S.S. SERTIFIKAT BerAKHLAK</v>
      </c>
      <c r="K1684" s="5" t="s">
        <v>13080</v>
      </c>
      <c r="L1684" s="5" t="s">
        <v>13330</v>
      </c>
    </row>
    <row r="1685">
      <c r="A1685" s="4">
        <v>45534.33592878473</v>
      </c>
      <c r="B1685" s="5" t="s">
        <v>19</v>
      </c>
      <c r="C1685" s="5" t="s">
        <v>292</v>
      </c>
      <c r="E1685" s="5" t="s">
        <v>13333</v>
      </c>
      <c r="F1685" s="5" t="s">
        <v>524</v>
      </c>
      <c r="G1685" s="5" t="s">
        <v>13334</v>
      </c>
      <c r="H1685" s="6" t="s">
        <v>13335</v>
      </c>
      <c r="I1685" s="7" t="s">
        <v>13336</v>
      </c>
      <c r="J1685" s="8" t="str">
        <f>HYPERLINK("https://drive.google.com/file/d/13iuPPv12q_l_FkkeERcvrFhYJW0rUs9k/view?usp=drivesdk","PENDA PUJIARTI SERTIFIKAT BerAKHLAK")</f>
        <v>PENDA PUJIARTI SERTIFIKAT BerAKHLAK</v>
      </c>
      <c r="K1685" s="5" t="s">
        <v>13080</v>
      </c>
      <c r="L1685" s="5" t="s">
        <v>13337</v>
      </c>
    </row>
    <row r="1686">
      <c r="A1686" s="4">
        <v>45534.335949444445</v>
      </c>
      <c r="B1686" s="5" t="s">
        <v>34</v>
      </c>
      <c r="D1686" s="5" t="s">
        <v>996</v>
      </c>
      <c r="E1686" s="5" t="s">
        <v>13341</v>
      </c>
      <c r="F1686" s="5" t="s">
        <v>212</v>
      </c>
      <c r="G1686" s="5" t="s">
        <v>13342</v>
      </c>
      <c r="H1686" s="6" t="s">
        <v>13343</v>
      </c>
      <c r="I1686" s="7" t="s">
        <v>13344</v>
      </c>
      <c r="J1686" s="8" t="str">
        <f>HYPERLINK("https://drive.google.com/file/d/1KBmopwtN1IWKkXs21_MDVTAi0B7_xCzt/view?usp=drivesdk","RIYADI TIRTA SAPUTRA SERTIFIKAT BerAKHLAK")</f>
        <v>RIYADI TIRTA SAPUTRA SERTIFIKAT BerAKHLAK</v>
      </c>
      <c r="K1686" s="5" t="s">
        <v>13080</v>
      </c>
      <c r="L1686" s="5" t="s">
        <v>13345</v>
      </c>
    </row>
    <row r="1687">
      <c r="A1687" s="4">
        <v>45534.33595111111</v>
      </c>
      <c r="B1687" s="5" t="s">
        <v>34</v>
      </c>
      <c r="D1687" s="5" t="s">
        <v>9020</v>
      </c>
      <c r="E1687" s="5" t="s">
        <v>13348</v>
      </c>
      <c r="F1687" s="5" t="s">
        <v>715</v>
      </c>
      <c r="G1687" s="5" t="s">
        <v>13349</v>
      </c>
      <c r="H1687" s="6" t="s">
        <v>13350</v>
      </c>
      <c r="I1687" s="7" t="s">
        <v>13351</v>
      </c>
      <c r="J1687" s="8" t="str">
        <f>HYPERLINK("https://drive.google.com/file/d/1ZLSmhV2Ume-MtNDtMPq7gR-pP3vktLL_/view?usp=drivesdk","EVA ROSALINA DAMANIK, S.E. SERTIFIKAT BerAKHLAK")</f>
        <v>EVA ROSALINA DAMANIK, S.E. SERTIFIKAT BerAKHLAK</v>
      </c>
      <c r="K1687" s="5" t="s">
        <v>13080</v>
      </c>
      <c r="L1687" s="5" t="s">
        <v>13352</v>
      </c>
    </row>
    <row r="1688">
      <c r="A1688" s="4">
        <v>45534.33595994213</v>
      </c>
      <c r="B1688" s="5" t="s">
        <v>19</v>
      </c>
      <c r="C1688" s="5" t="s">
        <v>11593</v>
      </c>
      <c r="E1688" s="5" t="s">
        <v>13355</v>
      </c>
      <c r="F1688" s="5" t="s">
        <v>212</v>
      </c>
      <c r="G1688" s="5" t="s">
        <v>13356</v>
      </c>
      <c r="H1688" s="6" t="s">
        <v>13357</v>
      </c>
      <c r="I1688" s="7" t="s">
        <v>13358</v>
      </c>
      <c r="J1688" s="8" t="str">
        <f>HYPERLINK("https://drive.google.com/file/d/1VbmTFIlCzs2nxC1qBhJod-tta_AbSvJH/view?usp=drivesdk","WIWIN WIDAYATI  SERTIFIKAT BerAKHLAK")</f>
        <v>WIWIN WIDAYATI  SERTIFIKAT BerAKHLAK</v>
      </c>
      <c r="K1688" s="5" t="s">
        <v>13080</v>
      </c>
      <c r="L1688" s="5" t="s">
        <v>13359</v>
      </c>
    </row>
    <row r="1689">
      <c r="A1689" s="4">
        <v>45534.33598469908</v>
      </c>
      <c r="B1689" s="5" t="s">
        <v>34</v>
      </c>
      <c r="D1689" s="5" t="s">
        <v>3849</v>
      </c>
      <c r="E1689" s="5" t="s">
        <v>13362</v>
      </c>
      <c r="F1689" s="5" t="s">
        <v>108</v>
      </c>
      <c r="G1689" s="5" t="s">
        <v>13363</v>
      </c>
      <c r="H1689" s="6" t="s">
        <v>13364</v>
      </c>
      <c r="I1689" s="7" t="s">
        <v>13365</v>
      </c>
      <c r="J1689" s="8" t="str">
        <f>HYPERLINK("https://drive.google.com/file/d/1cWf3z-qMbb_ve_1I_m0AoulQNHnIhdWo/view?usp=drivesdk","ADIL FRED HASIHOLAN SERTIFIKAT BerAKHLAK")</f>
        <v>ADIL FRED HASIHOLAN SERTIFIKAT BerAKHLAK</v>
      </c>
      <c r="K1689" s="5" t="s">
        <v>13080</v>
      </c>
      <c r="L1689" s="5" t="s">
        <v>13366</v>
      </c>
    </row>
    <row r="1690">
      <c r="A1690" s="4">
        <v>45534.33598986111</v>
      </c>
      <c r="B1690" s="5" t="s">
        <v>34</v>
      </c>
      <c r="D1690" s="5" t="s">
        <v>1206</v>
      </c>
      <c r="E1690" s="5" t="s">
        <v>13370</v>
      </c>
      <c r="F1690" s="5" t="s">
        <v>120</v>
      </c>
      <c r="G1690" s="5" t="s">
        <v>13371</v>
      </c>
      <c r="H1690" s="6" t="s">
        <v>13372</v>
      </c>
      <c r="I1690" s="7" t="s">
        <v>13373</v>
      </c>
      <c r="J1690" s="8" t="str">
        <f>HYPERLINK("https://drive.google.com/file/d/128K_m2h9hZYFP-Qp_pQTe7FOaYwNYKr2/view?usp=drivesdk","ROVI HAPSARI, S.E., M.M. SERTIFIKAT BerAKHLAK")</f>
        <v>ROVI HAPSARI, S.E., M.M. SERTIFIKAT BerAKHLAK</v>
      </c>
      <c r="K1690" s="5" t="s">
        <v>13080</v>
      </c>
      <c r="L1690" s="5" t="s">
        <v>13374</v>
      </c>
    </row>
    <row r="1691">
      <c r="A1691" s="4">
        <v>45534.336008645834</v>
      </c>
      <c r="B1691" s="5" t="s">
        <v>34</v>
      </c>
      <c r="D1691" s="5" t="s">
        <v>604</v>
      </c>
      <c r="E1691" s="5" t="s">
        <v>13377</v>
      </c>
      <c r="F1691" s="5" t="s">
        <v>375</v>
      </c>
      <c r="G1691" s="5" t="s">
        <v>13378</v>
      </c>
      <c r="H1691" s="6" t="s">
        <v>13379</v>
      </c>
      <c r="I1691" s="7" t="s">
        <v>13380</v>
      </c>
      <c r="J1691" s="8" t="str">
        <f>HYPERLINK("https://drive.google.com/file/d/1tFxYRO5onjDkoW-03FfKKQDR7ps4wO0r/view?usp=drivesdk","IKA RAHMAWATI, S.E. SERTIFIKAT BerAKHLAK")</f>
        <v>IKA RAHMAWATI, S.E. SERTIFIKAT BerAKHLAK</v>
      </c>
      <c r="K1691" s="5" t="s">
        <v>13080</v>
      </c>
      <c r="L1691" s="5" t="s">
        <v>13381</v>
      </c>
    </row>
    <row r="1692">
      <c r="A1692" s="4">
        <v>45534.33601546296</v>
      </c>
      <c r="B1692" s="5" t="s">
        <v>34</v>
      </c>
      <c r="D1692" s="5" t="s">
        <v>280</v>
      </c>
      <c r="E1692" s="5" t="s">
        <v>13384</v>
      </c>
      <c r="F1692" s="5" t="s">
        <v>37</v>
      </c>
      <c r="G1692" s="5" t="s">
        <v>13385</v>
      </c>
      <c r="H1692" s="6" t="s">
        <v>13386</v>
      </c>
      <c r="I1692" s="7" t="s">
        <v>13387</v>
      </c>
      <c r="J1692" s="8" t="str">
        <f>HYPERLINK("https://drive.google.com/file/d/1fr_FQ05kZH0eQjcx7D5j2o7a8ZHyAVbJ/view?usp=drivesdk","ZURMIDAWATI NOVITA, S. Sos. SERTIFIKAT BerAKHLAK")</f>
        <v>ZURMIDAWATI NOVITA, S. Sos. SERTIFIKAT BerAKHLAK</v>
      </c>
      <c r="K1692" s="5" t="s">
        <v>13080</v>
      </c>
      <c r="L1692" s="5" t="s">
        <v>13388</v>
      </c>
    </row>
    <row r="1693">
      <c r="A1693" s="4">
        <v>45534.33602945602</v>
      </c>
      <c r="B1693" s="5" t="s">
        <v>34</v>
      </c>
      <c r="D1693" s="5" t="s">
        <v>9020</v>
      </c>
      <c r="E1693" s="5" t="s">
        <v>13391</v>
      </c>
      <c r="F1693" s="5" t="s">
        <v>715</v>
      </c>
      <c r="G1693" s="5" t="s">
        <v>13392</v>
      </c>
      <c r="H1693" s="6" t="s">
        <v>13393</v>
      </c>
      <c r="I1693" s="7" t="s">
        <v>13394</v>
      </c>
      <c r="J1693" s="8" t="str">
        <f>HYPERLINK("https://drive.google.com/file/d/1XWWE-crQ8OY0J_TWZizL7dzNxm9NKMFS/view?usp=drivesdk","RINI SYARIFAH PANGGABEAN, S.H. SERTIFIKAT BerAKHLAK")</f>
        <v>RINI SYARIFAH PANGGABEAN, S.H. SERTIFIKAT BerAKHLAK</v>
      </c>
      <c r="K1693" s="5" t="s">
        <v>13080</v>
      </c>
      <c r="L1693" s="5" t="s">
        <v>13395</v>
      </c>
    </row>
    <row r="1694">
      <c r="A1694" s="4">
        <v>45534.33603644676</v>
      </c>
      <c r="B1694" s="5" t="s">
        <v>19</v>
      </c>
      <c r="C1694" s="5" t="s">
        <v>11593</v>
      </c>
      <c r="E1694" s="5" t="s">
        <v>13398</v>
      </c>
      <c r="F1694" s="5" t="s">
        <v>108</v>
      </c>
      <c r="G1694" s="5" t="s">
        <v>13399</v>
      </c>
      <c r="H1694" s="6" t="s">
        <v>13400</v>
      </c>
      <c r="I1694" s="7" t="s">
        <v>13401</v>
      </c>
      <c r="J1694" s="8" t="str">
        <f>HYPERLINK("https://drive.google.com/file/d/14SCgUYL19KBG5N2xB6DTLGCMmJHtEYtn/view?usp=drivesdk","DR LAELI ANDITA SPKJ MKES SERTIFIKAT BerAKHLAK")</f>
        <v>DR LAELI ANDITA SPKJ MKES SERTIFIKAT BerAKHLAK</v>
      </c>
      <c r="K1694" s="5" t="s">
        <v>13080</v>
      </c>
      <c r="L1694" s="5" t="s">
        <v>13402</v>
      </c>
    </row>
    <row r="1695">
      <c r="A1695" s="4">
        <v>45534.33603578704</v>
      </c>
      <c r="B1695" s="5" t="s">
        <v>19</v>
      </c>
      <c r="C1695" s="5" t="s">
        <v>5058</v>
      </c>
      <c r="E1695" s="5" t="s">
        <v>13405</v>
      </c>
      <c r="F1695" s="5" t="s">
        <v>715</v>
      </c>
      <c r="G1695" s="5" t="s">
        <v>13406</v>
      </c>
      <c r="H1695" s="6" t="s">
        <v>13407</v>
      </c>
      <c r="I1695" s="7" t="s">
        <v>13408</v>
      </c>
      <c r="J1695" s="8" t="str">
        <f>HYPERLINK("https://drive.google.com/file/d/1ygyqBRCjcVCfxUsC8_93akKmUsSB_O40/view?usp=drivesdk","RISNA SEPTIANA SERTIFIKAT BerAKHLAK")</f>
        <v>RISNA SEPTIANA SERTIFIKAT BerAKHLAK</v>
      </c>
      <c r="K1695" s="5" t="s">
        <v>13080</v>
      </c>
      <c r="L1695" s="5" t="s">
        <v>13409</v>
      </c>
    </row>
    <row r="1696">
      <c r="A1696" s="4">
        <v>45534.33609094907</v>
      </c>
      <c r="B1696" s="5" t="s">
        <v>34</v>
      </c>
      <c r="D1696" s="5" t="s">
        <v>9020</v>
      </c>
      <c r="E1696" s="5" t="s">
        <v>13413</v>
      </c>
      <c r="F1696" s="5" t="s">
        <v>120</v>
      </c>
      <c r="G1696" s="5" t="s">
        <v>13414</v>
      </c>
      <c r="H1696" s="6" t="s">
        <v>13415</v>
      </c>
      <c r="K1696" s="5" t="s">
        <v>13416</v>
      </c>
    </row>
    <row r="1697">
      <c r="A1697" s="4">
        <v>45534.3360947801</v>
      </c>
      <c r="B1697" s="5" t="s">
        <v>34</v>
      </c>
      <c r="D1697" s="5" t="s">
        <v>6232</v>
      </c>
      <c r="E1697" s="5" t="s">
        <v>13419</v>
      </c>
      <c r="F1697" s="5" t="s">
        <v>715</v>
      </c>
      <c r="G1697" s="5" t="s">
        <v>13420</v>
      </c>
      <c r="H1697" s="6" t="s">
        <v>13421</v>
      </c>
      <c r="K1697" s="5" t="s">
        <v>13416</v>
      </c>
    </row>
    <row r="1698">
      <c r="A1698" s="4">
        <v>45534.336108125004</v>
      </c>
      <c r="B1698" s="5" t="s">
        <v>34</v>
      </c>
      <c r="D1698" s="5" t="s">
        <v>9020</v>
      </c>
      <c r="E1698" s="5" t="s">
        <v>13424</v>
      </c>
      <c r="F1698" s="5" t="s">
        <v>37</v>
      </c>
      <c r="G1698" s="5" t="s">
        <v>13425</v>
      </c>
      <c r="H1698" s="6" t="s">
        <v>13426</v>
      </c>
      <c r="K1698" s="5" t="s">
        <v>13416</v>
      </c>
    </row>
    <row r="1699">
      <c r="A1699" s="4">
        <v>45534.336107361116</v>
      </c>
      <c r="B1699" s="5" t="s">
        <v>19</v>
      </c>
      <c r="C1699" s="5" t="s">
        <v>11593</v>
      </c>
      <c r="E1699" s="5" t="s">
        <v>13429</v>
      </c>
      <c r="F1699" s="5" t="s">
        <v>72</v>
      </c>
      <c r="G1699" s="5" t="s">
        <v>13430</v>
      </c>
      <c r="H1699" s="6" t="s">
        <v>13431</v>
      </c>
      <c r="K1699" s="5" t="s">
        <v>13416</v>
      </c>
    </row>
    <row r="1700">
      <c r="A1700" s="4">
        <v>45534.33613549768</v>
      </c>
      <c r="B1700" s="5" t="s">
        <v>34</v>
      </c>
      <c r="D1700" s="5" t="s">
        <v>9020</v>
      </c>
      <c r="E1700" s="5" t="s">
        <v>13434</v>
      </c>
      <c r="F1700" s="5" t="s">
        <v>212</v>
      </c>
      <c r="G1700" s="5" t="s">
        <v>13435</v>
      </c>
      <c r="H1700" s="6" t="s">
        <v>13436</v>
      </c>
      <c r="I1700" s="7" t="s">
        <v>13437</v>
      </c>
      <c r="J1700" s="8" t="str">
        <f>HYPERLINK("https://drive.google.com/file/d/1mg-0plRVGuJlIWvzwW_gg_3r8794Ynsl/view?usp=drivesdk","SURIATI GANDARIA PARDEDE SERTIFIKAT BerAKHLAK")</f>
        <v>SURIATI GANDARIA PARDEDE SERTIFIKAT BerAKHLAK</v>
      </c>
      <c r="K1700" s="5" t="s">
        <v>13080</v>
      </c>
      <c r="L1700" s="5" t="s">
        <v>13438</v>
      </c>
    </row>
    <row r="1701">
      <c r="A1701" s="4">
        <v>45534.336137997685</v>
      </c>
      <c r="B1701" s="5" t="s">
        <v>34</v>
      </c>
      <c r="D1701" s="5" t="s">
        <v>2903</v>
      </c>
      <c r="E1701" s="5" t="s">
        <v>13441</v>
      </c>
      <c r="F1701" s="5" t="s">
        <v>22</v>
      </c>
      <c r="G1701" s="5" t="s">
        <v>13442</v>
      </c>
      <c r="H1701" s="6" t="s">
        <v>13443</v>
      </c>
      <c r="I1701" s="7" t="s">
        <v>13444</v>
      </c>
      <c r="J1701" s="8" t="str">
        <f>HYPERLINK("https://drive.google.com/file/d/1TREqMFYFlkDQ5Z5CCFjW5p6W9limt2vh/view?usp=drivesdk","Drg HAMIDES YUNITA SERTIFIKAT BerAKHLAK")</f>
        <v>Drg HAMIDES YUNITA SERTIFIKAT BerAKHLAK</v>
      </c>
      <c r="K1701" s="5" t="s">
        <v>13080</v>
      </c>
      <c r="L1701" s="5" t="s">
        <v>13445</v>
      </c>
    </row>
    <row r="1702">
      <c r="A1702" s="4">
        <v>45534.33614782407</v>
      </c>
      <c r="B1702" s="5" t="s">
        <v>34</v>
      </c>
      <c r="D1702" s="5" t="s">
        <v>12010</v>
      </c>
      <c r="E1702" s="5" t="s">
        <v>13449</v>
      </c>
      <c r="F1702" s="5" t="s">
        <v>108</v>
      </c>
      <c r="G1702" s="5" t="s">
        <v>13450</v>
      </c>
      <c r="H1702" s="6" t="s">
        <v>13451</v>
      </c>
      <c r="I1702" s="7" t="s">
        <v>13452</v>
      </c>
      <c r="J1702" s="8" t="str">
        <f>HYPERLINK("https://drive.google.com/file/d/1fS7WbvHpmHVVo3ZSRCv22hL0N-tygQmb/view?usp=drivesdk","DHITA PRICILIA PATILA, S.E SERTIFIKAT BerAKHLAK")</f>
        <v>DHITA PRICILIA PATILA, S.E SERTIFIKAT BerAKHLAK</v>
      </c>
      <c r="K1702" s="5" t="s">
        <v>13080</v>
      </c>
      <c r="L1702" s="5" t="s">
        <v>13453</v>
      </c>
    </row>
    <row r="1703">
      <c r="A1703" s="4">
        <v>45534.33615446759</v>
      </c>
      <c r="B1703" s="5" t="s">
        <v>34</v>
      </c>
      <c r="D1703" s="5" t="s">
        <v>12010</v>
      </c>
      <c r="E1703" s="5" t="s">
        <v>13456</v>
      </c>
      <c r="F1703" s="5" t="s">
        <v>212</v>
      </c>
      <c r="G1703" s="5" t="s">
        <v>13457</v>
      </c>
      <c r="H1703" s="6" t="s">
        <v>13458</v>
      </c>
      <c r="K1703" s="5" t="s">
        <v>13459</v>
      </c>
    </row>
    <row r="1704">
      <c r="A1704" s="4">
        <v>45534.33615797454</v>
      </c>
      <c r="B1704" s="5" t="s">
        <v>34</v>
      </c>
      <c r="D1704" s="5" t="s">
        <v>580</v>
      </c>
      <c r="E1704" s="5" t="s">
        <v>13462</v>
      </c>
      <c r="F1704" s="5" t="s">
        <v>120</v>
      </c>
      <c r="G1704" s="5" t="s">
        <v>13463</v>
      </c>
      <c r="H1704" s="6" t="s">
        <v>13464</v>
      </c>
      <c r="K1704" s="5" t="s">
        <v>13459</v>
      </c>
    </row>
    <row r="1705">
      <c r="A1705" s="4">
        <v>45534.33616791667</v>
      </c>
      <c r="B1705" s="5" t="s">
        <v>34</v>
      </c>
      <c r="D1705" s="5" t="s">
        <v>35</v>
      </c>
      <c r="E1705" s="5" t="s">
        <v>13467</v>
      </c>
      <c r="F1705" s="5" t="s">
        <v>212</v>
      </c>
      <c r="G1705" s="5" t="s">
        <v>13468</v>
      </c>
      <c r="H1705" s="6" t="s">
        <v>13469</v>
      </c>
      <c r="K1705" s="5" t="s">
        <v>13459</v>
      </c>
    </row>
    <row r="1706">
      <c r="A1706" s="4">
        <v>45534.33617825231</v>
      </c>
      <c r="B1706" s="5" t="s">
        <v>34</v>
      </c>
      <c r="D1706" s="5" t="s">
        <v>10297</v>
      </c>
      <c r="E1706" s="5" t="s">
        <v>13472</v>
      </c>
      <c r="F1706" s="5" t="s">
        <v>37</v>
      </c>
      <c r="G1706" s="5" t="s">
        <v>13473</v>
      </c>
      <c r="H1706" s="6" t="s">
        <v>13474</v>
      </c>
      <c r="I1706" s="7" t="s">
        <v>13475</v>
      </c>
      <c r="J1706" s="8" t="str">
        <f>HYPERLINK("https://drive.google.com/file/d/1TLJFtSAT3QPcR2uLLMb1QsU1EOmAwVcB/view?usp=drivesdk","YULIANA RISKY, A.MD, KOM SERTIFIKAT BerAKHLAK")</f>
        <v>YULIANA RISKY, A.MD, KOM SERTIFIKAT BerAKHLAK</v>
      </c>
      <c r="K1706" s="5" t="s">
        <v>13080</v>
      </c>
      <c r="L1706" s="5" t="s">
        <v>13476</v>
      </c>
    </row>
    <row r="1707">
      <c r="A1707" s="4">
        <v>45534.33618565972</v>
      </c>
      <c r="B1707" s="5" t="s">
        <v>34</v>
      </c>
      <c r="D1707" s="5" t="s">
        <v>35</v>
      </c>
      <c r="E1707" s="5" t="s">
        <v>13479</v>
      </c>
      <c r="F1707" s="5" t="s">
        <v>524</v>
      </c>
      <c r="G1707" s="5" t="s">
        <v>13480</v>
      </c>
      <c r="H1707" s="6" t="s">
        <v>13481</v>
      </c>
      <c r="I1707" s="7" t="s">
        <v>13482</v>
      </c>
      <c r="J1707" s="8" t="str">
        <f>HYPERLINK("https://drive.google.com/file/d/14EJSbwAPrKSN-cI5B54qO1EbYPoPVGzm/view?usp=drivesdk","SIUM POLRESTA BOGOR KOTA YULHAZRI, AMD SERTIFIKAT BerAKHLAK")</f>
        <v>SIUM POLRESTA BOGOR KOTA YULHAZRI, AMD SERTIFIKAT BerAKHLAK</v>
      </c>
      <c r="K1707" s="5" t="s">
        <v>13080</v>
      </c>
      <c r="L1707" s="5" t="s">
        <v>13483</v>
      </c>
    </row>
    <row r="1708">
      <c r="A1708" s="4">
        <v>45534.336188506946</v>
      </c>
      <c r="B1708" s="5" t="s">
        <v>34</v>
      </c>
      <c r="D1708" s="5" t="s">
        <v>522</v>
      </c>
      <c r="E1708" s="5" t="s">
        <v>13487</v>
      </c>
      <c r="F1708" s="5" t="s">
        <v>108</v>
      </c>
      <c r="G1708" s="5" t="s">
        <v>13488</v>
      </c>
      <c r="H1708" s="6" t="s">
        <v>13489</v>
      </c>
      <c r="I1708" s="7" t="s">
        <v>13490</v>
      </c>
      <c r="J1708" s="8" t="str">
        <f>HYPERLINK("https://drive.google.com/file/d/1xI4GBDq6naCD_iRVv1KSMeRwqKs-35hx/view?usp=drivesdk","PENDATU SYAHRIL SERTIFIKAT BerAKHLAK")</f>
        <v>PENDATU SYAHRIL SERTIFIKAT BerAKHLAK</v>
      </c>
      <c r="K1708" s="5" t="s">
        <v>13080</v>
      </c>
      <c r="L1708" s="5" t="s">
        <v>13491</v>
      </c>
    </row>
    <row r="1709">
      <c r="A1709" s="4">
        <v>45534.33620329861</v>
      </c>
      <c r="B1709" s="5" t="s">
        <v>34</v>
      </c>
      <c r="D1709" s="5" t="s">
        <v>1206</v>
      </c>
      <c r="E1709" s="5" t="s">
        <v>13494</v>
      </c>
      <c r="F1709" s="5" t="s">
        <v>5859</v>
      </c>
      <c r="G1709" s="5" t="s">
        <v>13495</v>
      </c>
      <c r="H1709" s="6" t="s">
        <v>13496</v>
      </c>
      <c r="K1709" s="5" t="s">
        <v>13497</v>
      </c>
    </row>
    <row r="1710">
      <c r="A1710" s="4">
        <v>45534.33621271991</v>
      </c>
      <c r="B1710" s="5" t="s">
        <v>34</v>
      </c>
      <c r="D1710" s="5" t="s">
        <v>4775</v>
      </c>
      <c r="E1710" s="5" t="s">
        <v>13500</v>
      </c>
      <c r="F1710" s="5" t="s">
        <v>212</v>
      </c>
      <c r="G1710" s="5" t="s">
        <v>13501</v>
      </c>
      <c r="H1710" s="6" t="s">
        <v>13502</v>
      </c>
      <c r="K1710" s="5" t="s">
        <v>13497</v>
      </c>
    </row>
    <row r="1711">
      <c r="A1711" s="4">
        <v>45534.33621818287</v>
      </c>
      <c r="B1711" s="5" t="s">
        <v>34</v>
      </c>
      <c r="D1711" s="5" t="s">
        <v>9020</v>
      </c>
      <c r="E1711" s="5" t="s">
        <v>13505</v>
      </c>
      <c r="F1711" s="5" t="s">
        <v>212</v>
      </c>
      <c r="G1711" s="5" t="s">
        <v>13506</v>
      </c>
      <c r="H1711" s="6" t="s">
        <v>13507</v>
      </c>
      <c r="I1711" s="7" t="s">
        <v>13508</v>
      </c>
      <c r="J1711" s="8" t="str">
        <f>HYPERLINK("https://drive.google.com/file/d/1yhy3dacsk1RixhJ-57Np5GRfDQCmcRFP/view?usp=drivesdk","LINDA SARI PURBA SERTIFIKAT BerAKHLAK")</f>
        <v>LINDA SARI PURBA SERTIFIKAT BerAKHLAK</v>
      </c>
      <c r="K1711" s="5" t="s">
        <v>13080</v>
      </c>
      <c r="L1711" s="5" t="s">
        <v>13509</v>
      </c>
    </row>
    <row r="1712">
      <c r="A1712" s="4">
        <v>45534.33623090277</v>
      </c>
      <c r="B1712" s="5" t="s">
        <v>34</v>
      </c>
      <c r="D1712" s="5" t="s">
        <v>35</v>
      </c>
      <c r="E1712" s="5" t="s">
        <v>13512</v>
      </c>
      <c r="F1712" s="5" t="s">
        <v>715</v>
      </c>
      <c r="G1712" s="5" t="s">
        <v>13513</v>
      </c>
      <c r="H1712" s="6" t="s">
        <v>13514</v>
      </c>
      <c r="I1712" s="7" t="s">
        <v>13515</v>
      </c>
      <c r="J1712" s="8" t="str">
        <f>HYPERLINK("https://drive.google.com/file/d/1d_8W9yCPWB7BydSLy-4vlHR3nYc80YWv/view?usp=drivesdk","ELIN NURHAYATI S.Kep.,Ners SERTIFIKAT BerAKHLAK")</f>
        <v>ELIN NURHAYATI S.Kep.,Ners SERTIFIKAT BerAKHLAK</v>
      </c>
      <c r="K1712" s="5" t="s">
        <v>13080</v>
      </c>
      <c r="L1712" s="5" t="s">
        <v>13516</v>
      </c>
    </row>
    <row r="1713">
      <c r="A1713" s="4">
        <v>45534.336285</v>
      </c>
      <c r="B1713" s="5" t="s">
        <v>34</v>
      </c>
      <c r="D1713" s="5" t="s">
        <v>12978</v>
      </c>
      <c r="E1713" s="5" t="s">
        <v>13519</v>
      </c>
      <c r="F1713" s="5" t="s">
        <v>212</v>
      </c>
      <c r="G1713" s="5" t="s">
        <v>13520</v>
      </c>
      <c r="H1713" s="6" t="s">
        <v>13521</v>
      </c>
      <c r="I1713" s="7" t="s">
        <v>13522</v>
      </c>
      <c r="J1713" s="8" t="str">
        <f>HYPERLINK("https://drive.google.com/file/d/1CcDjr-1YrmH-KqaPdAxQhLE5m_mzkpok/view?usp=drivesdk","RELLYA OKTOVIANNA SERTIFIKAT BerAKHLAK")</f>
        <v>RELLYA OKTOVIANNA SERTIFIKAT BerAKHLAK</v>
      </c>
      <c r="K1713" s="5" t="s">
        <v>13080</v>
      </c>
      <c r="L1713" s="5" t="s">
        <v>13523</v>
      </c>
    </row>
    <row r="1714">
      <c r="A1714" s="4">
        <v>45534.33629195602</v>
      </c>
      <c r="B1714" s="5" t="s">
        <v>34</v>
      </c>
      <c r="D1714" s="5" t="s">
        <v>996</v>
      </c>
      <c r="E1714" s="5" t="s">
        <v>13527</v>
      </c>
      <c r="F1714" s="5" t="s">
        <v>37</v>
      </c>
      <c r="G1714" s="5" t="s">
        <v>13528</v>
      </c>
      <c r="H1714" s="6" t="s">
        <v>13529</v>
      </c>
      <c r="I1714" s="7" t="s">
        <v>13530</v>
      </c>
      <c r="J1714" s="8" t="str">
        <f>HYPERLINK("https://drive.google.com/file/d/1U-0Bx9yYxXEQtPZpVldgsbD0CqS5466x/view?usp=drivesdk","H. SRI WAFAMUNIARTY  SERTIFIKAT BerAKHLAK")</f>
        <v>H. SRI WAFAMUNIARTY  SERTIFIKAT BerAKHLAK</v>
      </c>
      <c r="K1714" s="5" t="s">
        <v>13080</v>
      </c>
      <c r="L1714" s="5" t="s">
        <v>13531</v>
      </c>
    </row>
    <row r="1715">
      <c r="A1715" s="4">
        <v>45534.336296574074</v>
      </c>
      <c r="B1715" s="5" t="s">
        <v>34</v>
      </c>
      <c r="D1715" s="5" t="s">
        <v>6232</v>
      </c>
      <c r="E1715" s="5" t="s">
        <v>13534</v>
      </c>
      <c r="F1715" s="5" t="s">
        <v>108</v>
      </c>
      <c r="G1715" s="5" t="s">
        <v>13535</v>
      </c>
      <c r="H1715" s="6" t="s">
        <v>13536</v>
      </c>
      <c r="I1715" s="7" t="s">
        <v>13537</v>
      </c>
      <c r="J1715" s="8" t="str">
        <f>HYPERLINK("https://drive.google.com/file/d/1QS1tFLJhCdW4YfochJMxTn-y7YY7HfZL/view?usp=drivesdk","dr. FENNY SESTRIANI SERTIFIKAT BerAKHLAK")</f>
        <v>dr. FENNY SESTRIANI SERTIFIKAT BerAKHLAK</v>
      </c>
      <c r="K1715" s="5" t="s">
        <v>13080</v>
      </c>
      <c r="L1715" s="5" t="s">
        <v>13538</v>
      </c>
    </row>
    <row r="1716">
      <c r="A1716" s="4">
        <v>45534.33630072916</v>
      </c>
      <c r="B1716" s="5" t="s">
        <v>34</v>
      </c>
      <c r="D1716" s="5" t="s">
        <v>12978</v>
      </c>
      <c r="E1716" s="5" t="s">
        <v>13541</v>
      </c>
      <c r="F1716" s="5" t="s">
        <v>72</v>
      </c>
      <c r="G1716" s="5" t="s">
        <v>13542</v>
      </c>
      <c r="H1716" s="6" t="s">
        <v>13543</v>
      </c>
      <c r="I1716" s="7" t="s">
        <v>13544</v>
      </c>
      <c r="J1716" s="8" t="str">
        <f>HYPERLINK("https://drive.google.com/file/d/1YCTmjFTfDr3AGFZkMTj-8eBWb-RVdoKN/view?usp=drivesdk","FIRDAUS JUMADI SERTIFIKAT BerAKHLAK")</f>
        <v>FIRDAUS JUMADI SERTIFIKAT BerAKHLAK</v>
      </c>
      <c r="K1716" s="5" t="s">
        <v>13080</v>
      </c>
      <c r="L1716" s="5" t="s">
        <v>13545</v>
      </c>
    </row>
    <row r="1717">
      <c r="A1717" s="4">
        <v>45534.336314305554</v>
      </c>
      <c r="B1717" s="5" t="s">
        <v>34</v>
      </c>
      <c r="D1717" s="5" t="s">
        <v>9020</v>
      </c>
      <c r="E1717" s="5" t="s">
        <v>13548</v>
      </c>
      <c r="F1717" s="5" t="s">
        <v>120</v>
      </c>
      <c r="G1717" s="5" t="s">
        <v>13549</v>
      </c>
      <c r="H1717" s="6" t="s">
        <v>13550</v>
      </c>
      <c r="I1717" s="7" t="s">
        <v>13551</v>
      </c>
      <c r="J1717" s="8" t="str">
        <f>HYPERLINK("https://drive.google.com/file/d/1Ek4JWE4lQmQ4P010TRbGmk-HLdC3FAkC/view?usp=drivesdk","Dra. SRI MULIYANI, M. M. SERTIFIKAT BerAKHLAK")</f>
        <v>Dra. SRI MULIYANI, M. M. SERTIFIKAT BerAKHLAK</v>
      </c>
      <c r="K1717" s="5" t="s">
        <v>13080</v>
      </c>
      <c r="L1717" s="5" t="s">
        <v>13552</v>
      </c>
    </row>
    <row r="1718">
      <c r="A1718" s="4">
        <v>45534.33632043982</v>
      </c>
      <c r="B1718" s="5" t="s">
        <v>34</v>
      </c>
      <c r="D1718" s="5" t="s">
        <v>4775</v>
      </c>
      <c r="E1718" s="5" t="s">
        <v>13555</v>
      </c>
      <c r="F1718" s="5" t="s">
        <v>120</v>
      </c>
      <c r="G1718" s="5" t="s">
        <v>13556</v>
      </c>
      <c r="H1718" s="6" t="s">
        <v>13557</v>
      </c>
      <c r="I1718" s="7" t="s">
        <v>13558</v>
      </c>
      <c r="J1718" s="8" t="str">
        <f>HYPERLINK("https://drive.google.com/file/d/1iXZh44b0cXplzayXkvGKHs-nitSgxzu1/view?usp=drivesdk","ANDRISUSANTO  SERTIFIKAT BerAKHLAK")</f>
        <v>ANDRISUSANTO  SERTIFIKAT BerAKHLAK</v>
      </c>
      <c r="K1718" s="5" t="s">
        <v>13080</v>
      </c>
      <c r="L1718" s="5" t="s">
        <v>13559</v>
      </c>
    </row>
    <row r="1719">
      <c r="A1719" s="4">
        <v>45534.336328101854</v>
      </c>
      <c r="B1719" s="5" t="s">
        <v>34</v>
      </c>
      <c r="D1719" s="5" t="s">
        <v>4775</v>
      </c>
      <c r="E1719" s="5" t="s">
        <v>13562</v>
      </c>
      <c r="F1719" s="5" t="s">
        <v>375</v>
      </c>
      <c r="G1719" s="5" t="s">
        <v>13563</v>
      </c>
      <c r="H1719" s="6" t="s">
        <v>13564</v>
      </c>
      <c r="I1719" s="7" t="s">
        <v>13565</v>
      </c>
      <c r="J1719" s="8" t="str">
        <f>HYPERLINK("https://drive.google.com/file/d/1uacJojUKTUBq976G54hyqHS8lih7lBWr/view?usp=drivesdk","FAHRENI HAPSARI, SE SERTIFIKAT BerAKHLAK")</f>
        <v>FAHRENI HAPSARI, SE SERTIFIKAT BerAKHLAK</v>
      </c>
      <c r="K1719" s="5" t="s">
        <v>13080</v>
      </c>
      <c r="L1719" s="5" t="s">
        <v>13566</v>
      </c>
    </row>
    <row r="1720">
      <c r="A1720" s="4">
        <v>45534.336330694445</v>
      </c>
      <c r="B1720" s="5" t="s">
        <v>34</v>
      </c>
      <c r="D1720" s="5" t="s">
        <v>1768</v>
      </c>
      <c r="E1720" s="5" t="s">
        <v>13569</v>
      </c>
      <c r="F1720" s="5" t="s">
        <v>72</v>
      </c>
      <c r="G1720" s="5" t="s">
        <v>13570</v>
      </c>
      <c r="H1720" s="6" t="s">
        <v>13571</v>
      </c>
      <c r="K1720" s="5" t="s">
        <v>13572</v>
      </c>
    </row>
    <row r="1721">
      <c r="A1721" s="4">
        <v>45534.33633866898</v>
      </c>
      <c r="B1721" s="5" t="s">
        <v>34</v>
      </c>
      <c r="D1721" s="5" t="s">
        <v>1206</v>
      </c>
      <c r="E1721" s="5" t="s">
        <v>13575</v>
      </c>
      <c r="F1721" s="5" t="s">
        <v>715</v>
      </c>
      <c r="G1721" s="5" t="s">
        <v>13576</v>
      </c>
      <c r="H1721" s="6" t="s">
        <v>13577</v>
      </c>
      <c r="K1721" s="5" t="s">
        <v>13572</v>
      </c>
    </row>
    <row r="1722">
      <c r="A1722" s="4">
        <v>45534.336346400465</v>
      </c>
      <c r="B1722" s="5" t="s">
        <v>19</v>
      </c>
      <c r="C1722" s="5" t="s">
        <v>3301</v>
      </c>
      <c r="E1722" s="5" t="s">
        <v>13581</v>
      </c>
      <c r="F1722" s="5" t="s">
        <v>72</v>
      </c>
      <c r="G1722" s="5" t="s">
        <v>13582</v>
      </c>
      <c r="H1722" s="6" t="s">
        <v>13583</v>
      </c>
      <c r="I1722" s="7" t="s">
        <v>13584</v>
      </c>
      <c r="J1722" s="8" t="str">
        <f>HYPERLINK("https://drive.google.com/file/d/1xfyl--GKTYOWaBh0-guC15Nbpj5zMAqP/view?usp=drivesdk","EKO RETNONINGSIH  SERTIFIKAT BerAKHLAK")</f>
        <v>EKO RETNONINGSIH  SERTIFIKAT BerAKHLAK</v>
      </c>
      <c r="K1722" s="5" t="s">
        <v>13080</v>
      </c>
      <c r="L1722" s="5" t="s">
        <v>13585</v>
      </c>
    </row>
    <row r="1723">
      <c r="A1723" s="4">
        <v>45534.336350868056</v>
      </c>
      <c r="B1723" s="5" t="s">
        <v>34</v>
      </c>
      <c r="D1723" s="5" t="s">
        <v>4775</v>
      </c>
      <c r="E1723" s="5" t="s">
        <v>13588</v>
      </c>
      <c r="F1723" s="5" t="s">
        <v>108</v>
      </c>
      <c r="G1723" s="5" t="s">
        <v>13589</v>
      </c>
      <c r="H1723" s="6" t="s">
        <v>13590</v>
      </c>
      <c r="I1723" s="7" t="s">
        <v>13591</v>
      </c>
      <c r="J1723" s="8" t="str">
        <f>HYPERLINK("https://drive.google.com/file/d/1tTzW-FoGD4oGvy7KcNQ_SFyGpLn7Bo6Y/view?usp=drivesdk","TITIN MARTANTI, S.KOM SERTIFIKAT BerAKHLAK")</f>
        <v>TITIN MARTANTI, S.KOM SERTIFIKAT BerAKHLAK</v>
      </c>
      <c r="K1723" s="5" t="s">
        <v>13080</v>
      </c>
      <c r="L1723" s="5" t="s">
        <v>13592</v>
      </c>
    </row>
    <row r="1724">
      <c r="A1724" s="4">
        <v>45534.33635199074</v>
      </c>
      <c r="B1724" s="5" t="s">
        <v>34</v>
      </c>
      <c r="D1724" s="5" t="s">
        <v>35</v>
      </c>
      <c r="E1724" s="5" t="s">
        <v>13595</v>
      </c>
      <c r="F1724" s="5" t="s">
        <v>212</v>
      </c>
      <c r="G1724" s="5" t="s">
        <v>13596</v>
      </c>
      <c r="H1724" s="6" t="s">
        <v>13597</v>
      </c>
      <c r="K1724" s="5" t="s">
        <v>13598</v>
      </c>
    </row>
    <row r="1725">
      <c r="A1725" s="4">
        <v>45534.33636204861</v>
      </c>
      <c r="B1725" s="5" t="s">
        <v>34</v>
      </c>
      <c r="D1725" s="5" t="s">
        <v>35</v>
      </c>
      <c r="E1725" s="5" t="s">
        <v>13601</v>
      </c>
      <c r="F1725" s="5" t="s">
        <v>37</v>
      </c>
      <c r="G1725" s="5" t="s">
        <v>13602</v>
      </c>
      <c r="H1725" s="6" t="s">
        <v>13603</v>
      </c>
      <c r="K1725" s="5" t="s">
        <v>13598</v>
      </c>
    </row>
    <row r="1726">
      <c r="A1726" s="4">
        <v>45534.33637872685</v>
      </c>
      <c r="B1726" s="5" t="s">
        <v>34</v>
      </c>
      <c r="D1726" s="5" t="s">
        <v>12978</v>
      </c>
      <c r="E1726" s="5" t="s">
        <v>13606</v>
      </c>
      <c r="F1726" s="5" t="s">
        <v>715</v>
      </c>
      <c r="G1726" s="5" t="s">
        <v>13607</v>
      </c>
      <c r="H1726" s="6" t="s">
        <v>13608</v>
      </c>
      <c r="I1726" s="7" t="s">
        <v>13609</v>
      </c>
      <c r="J1726" s="8" t="str">
        <f>HYPERLINK("https://drive.google.com/file/d/1ySmA49v5DkTW4YiPrxQcWs6fybkUPxpq/view?usp=drivesdk","YENI ISNAWATI, AMd.Keb SERTIFIKAT BerAKHLAK")</f>
        <v>YENI ISNAWATI, AMd.Keb SERTIFIKAT BerAKHLAK</v>
      </c>
      <c r="K1726" s="5" t="s">
        <v>13080</v>
      </c>
      <c r="L1726" s="5" t="s">
        <v>13610</v>
      </c>
    </row>
    <row r="1727">
      <c r="A1727" s="4">
        <v>45534.33639045139</v>
      </c>
      <c r="B1727" s="5" t="s">
        <v>34</v>
      </c>
      <c r="D1727" s="5" t="s">
        <v>4775</v>
      </c>
      <c r="E1727" s="5" t="s">
        <v>13613</v>
      </c>
      <c r="F1727" s="5" t="s">
        <v>37</v>
      </c>
      <c r="G1727" s="5" t="s">
        <v>13614</v>
      </c>
      <c r="H1727" s="6" t="s">
        <v>13615</v>
      </c>
      <c r="I1727" s="7" t="s">
        <v>13616</v>
      </c>
      <c r="J1727" s="8" t="str">
        <f>HYPERLINK("https://drive.google.com/file/d/1579ou2R16DEIOfFC7rXUpZPODlX9_C0P/view?usp=drivesdk","FRANIKE SEPTA YUDHIANI SERTIFIKAT BerAKHLAK")</f>
        <v>FRANIKE SEPTA YUDHIANI SERTIFIKAT BerAKHLAK</v>
      </c>
      <c r="K1727" s="5" t="s">
        <v>13080</v>
      </c>
      <c r="L1727" s="5" t="s">
        <v>13617</v>
      </c>
    </row>
    <row r="1728">
      <c r="A1728" s="4">
        <v>45534.336408125004</v>
      </c>
      <c r="B1728" s="5" t="s">
        <v>19</v>
      </c>
      <c r="C1728" s="5" t="s">
        <v>3301</v>
      </c>
      <c r="E1728" s="5" t="s">
        <v>13620</v>
      </c>
      <c r="F1728" s="5" t="s">
        <v>37</v>
      </c>
      <c r="G1728" s="5" t="s">
        <v>13621</v>
      </c>
      <c r="H1728" s="6" t="s">
        <v>13622</v>
      </c>
      <c r="I1728" s="7" t="s">
        <v>13623</v>
      </c>
      <c r="J1728" s="8" t="str">
        <f>HYPERLINK("https://drive.google.com/file/d/181BajdxLmcCLGy9mQ7Xx1gLVEFfGK1nw/view?usp=drivesdk","ADISSA DAYINTA RAMADINA, A.Md.Kep. SERTIFIKAT BerAKHLAK")</f>
        <v>ADISSA DAYINTA RAMADINA, A.Md.Kep. SERTIFIKAT BerAKHLAK</v>
      </c>
      <c r="K1728" s="5" t="s">
        <v>13080</v>
      </c>
      <c r="L1728" s="5" t="s">
        <v>13624</v>
      </c>
    </row>
    <row r="1729">
      <c r="A1729" s="4">
        <v>45534.33642659722</v>
      </c>
      <c r="B1729" s="5" t="s">
        <v>34</v>
      </c>
      <c r="D1729" s="5" t="s">
        <v>1206</v>
      </c>
      <c r="E1729" s="5" t="s">
        <v>13628</v>
      </c>
      <c r="F1729" s="5" t="s">
        <v>375</v>
      </c>
      <c r="G1729" s="5" t="s">
        <v>13629</v>
      </c>
      <c r="H1729" s="6" t="s">
        <v>13630</v>
      </c>
      <c r="K1729" s="5" t="s">
        <v>13631</v>
      </c>
    </row>
    <row r="1730">
      <c r="A1730" s="4">
        <v>45534.33644113426</v>
      </c>
      <c r="B1730" s="5" t="s">
        <v>34</v>
      </c>
      <c r="D1730" s="5" t="s">
        <v>10444</v>
      </c>
      <c r="E1730" s="5" t="s">
        <v>13634</v>
      </c>
      <c r="F1730" s="5" t="s">
        <v>37</v>
      </c>
      <c r="G1730" s="5" t="s">
        <v>13635</v>
      </c>
      <c r="H1730" s="6" t="s">
        <v>13636</v>
      </c>
      <c r="K1730" s="5" t="s">
        <v>13631</v>
      </c>
    </row>
    <row r="1731">
      <c r="A1731" s="4">
        <v>45534.336449525465</v>
      </c>
      <c r="B1731" s="5" t="s">
        <v>34</v>
      </c>
      <c r="D1731" s="5" t="s">
        <v>996</v>
      </c>
      <c r="E1731" s="5" t="s">
        <v>13639</v>
      </c>
      <c r="F1731" s="5" t="s">
        <v>212</v>
      </c>
      <c r="G1731" s="5" t="s">
        <v>13640</v>
      </c>
      <c r="H1731" s="6" t="s">
        <v>13641</v>
      </c>
      <c r="K1731" s="5" t="s">
        <v>13631</v>
      </c>
    </row>
    <row r="1732">
      <c r="A1732" s="4">
        <v>45534.336454131946</v>
      </c>
      <c r="B1732" s="5" t="s">
        <v>19</v>
      </c>
      <c r="C1732" s="5" t="s">
        <v>11593</v>
      </c>
      <c r="E1732" s="5" t="s">
        <v>13644</v>
      </c>
      <c r="F1732" s="5" t="s">
        <v>37</v>
      </c>
      <c r="G1732" s="5" t="s">
        <v>13645</v>
      </c>
      <c r="H1732" s="6" t="s">
        <v>13646</v>
      </c>
      <c r="K1732" s="5" t="s">
        <v>13631</v>
      </c>
    </row>
    <row r="1733">
      <c r="A1733" s="4">
        <v>45534.33646219908</v>
      </c>
      <c r="B1733" s="5" t="s">
        <v>34</v>
      </c>
      <c r="D1733" s="5" t="s">
        <v>580</v>
      </c>
      <c r="E1733" s="5" t="s">
        <v>13649</v>
      </c>
      <c r="F1733" s="5" t="s">
        <v>37</v>
      </c>
      <c r="G1733" s="5" t="s">
        <v>13650</v>
      </c>
      <c r="H1733" s="6" t="s">
        <v>13651</v>
      </c>
      <c r="K1733" s="5" t="s">
        <v>13652</v>
      </c>
    </row>
    <row r="1734">
      <c r="A1734" s="4">
        <v>45534.336490138885</v>
      </c>
      <c r="B1734" s="5" t="s">
        <v>34</v>
      </c>
      <c r="D1734" s="5" t="s">
        <v>9020</v>
      </c>
      <c r="E1734" s="5" t="s">
        <v>13656</v>
      </c>
      <c r="F1734" s="5" t="s">
        <v>212</v>
      </c>
      <c r="G1734" s="5" t="s">
        <v>13657</v>
      </c>
      <c r="H1734" s="6" t="s">
        <v>13658</v>
      </c>
      <c r="K1734" s="5" t="s">
        <v>13659</v>
      </c>
    </row>
    <row r="1735">
      <c r="A1735" s="4">
        <v>45534.33649018519</v>
      </c>
      <c r="B1735" s="5" t="s">
        <v>34</v>
      </c>
      <c r="D1735" s="5" t="s">
        <v>4775</v>
      </c>
      <c r="E1735" s="5" t="s">
        <v>13662</v>
      </c>
      <c r="F1735" s="5" t="s">
        <v>212</v>
      </c>
      <c r="G1735" s="5" t="s">
        <v>13663</v>
      </c>
      <c r="H1735" s="6" t="s">
        <v>13664</v>
      </c>
      <c r="K1735" s="5" t="s">
        <v>13665</v>
      </c>
    </row>
    <row r="1736">
      <c r="A1736" s="4">
        <v>45534.336537615745</v>
      </c>
      <c r="B1736" s="5" t="s">
        <v>34</v>
      </c>
      <c r="D1736" s="5" t="s">
        <v>6232</v>
      </c>
      <c r="E1736" s="5" t="s">
        <v>13668</v>
      </c>
      <c r="F1736" s="5" t="s">
        <v>120</v>
      </c>
      <c r="G1736" s="5" t="s">
        <v>13669</v>
      </c>
      <c r="H1736" s="6" t="s">
        <v>13670</v>
      </c>
      <c r="I1736" s="7" t="s">
        <v>13671</v>
      </c>
      <c r="J1736" s="8" t="str">
        <f>HYPERLINK("https://drive.google.com/file/d/1EgM0pc0pYsBEkVz_bOeAYTbTAc85Fc-T/view?usp=drivesdk","Dr. ROZA MILASARI Z., S.Kom., M.S.I., CPHR. SERTIFIKAT BerAKHLAK")</f>
        <v>Dr. ROZA MILASARI Z., S.Kom., M.S.I., CPHR. SERTIFIKAT BerAKHLAK</v>
      </c>
      <c r="K1736" s="5" t="s">
        <v>13080</v>
      </c>
      <c r="L1736" s="5" t="s">
        <v>13672</v>
      </c>
    </row>
    <row r="1737">
      <c r="A1737" s="4">
        <v>45534.336551562505</v>
      </c>
      <c r="B1737" s="5" t="s">
        <v>34</v>
      </c>
      <c r="D1737" s="5" t="s">
        <v>1206</v>
      </c>
      <c r="E1737" s="5" t="s">
        <v>13675</v>
      </c>
      <c r="F1737" s="5" t="s">
        <v>212</v>
      </c>
      <c r="G1737" s="5" t="s">
        <v>13676</v>
      </c>
      <c r="H1737" s="6" t="s">
        <v>13677</v>
      </c>
      <c r="I1737" s="7" t="s">
        <v>13678</v>
      </c>
      <c r="J1737" s="8" t="str">
        <f>HYPERLINK("https://drive.google.com/file/d/18DnjQAdiejkaVfrWuHGcMZUn-WCvtUld/view?usp=drivesdk","ISTINAROH AMD KES SERTIFIKAT BerAKHLAK")</f>
        <v>ISTINAROH AMD KES SERTIFIKAT BerAKHLAK</v>
      </c>
      <c r="K1737" s="5" t="s">
        <v>13050</v>
      </c>
      <c r="L1737" s="5" t="s">
        <v>13679</v>
      </c>
    </row>
    <row r="1738">
      <c r="A1738" s="4">
        <v>45534.336551712964</v>
      </c>
      <c r="B1738" s="5" t="s">
        <v>34</v>
      </c>
      <c r="D1738" s="5" t="s">
        <v>6232</v>
      </c>
      <c r="E1738" s="5" t="s">
        <v>13682</v>
      </c>
      <c r="F1738" s="5" t="s">
        <v>524</v>
      </c>
      <c r="G1738" s="5" t="s">
        <v>13683</v>
      </c>
      <c r="H1738" s="6" t="s">
        <v>13684</v>
      </c>
      <c r="I1738" s="7" t="s">
        <v>13685</v>
      </c>
      <c r="J1738" s="8" t="str">
        <f>HYPERLINK("https://drive.google.com/file/d/1K3K7uP0ZfyVDZkWnC2QauCXuoFUI70cc/view?usp=drivesdk","DIANA PAPILAYA, S.Tr.Kes SERTIFIKAT BerAKHLAK")</f>
        <v>DIANA PAPILAYA, S.Tr.Kes SERTIFIKAT BerAKHLAK</v>
      </c>
      <c r="K1738" s="5" t="s">
        <v>13050</v>
      </c>
      <c r="L1738" s="5" t="s">
        <v>13686</v>
      </c>
    </row>
    <row r="1739">
      <c r="A1739" s="4">
        <v>45534.336570671294</v>
      </c>
      <c r="B1739" s="5" t="s">
        <v>19</v>
      </c>
      <c r="C1739" s="5" t="s">
        <v>3301</v>
      </c>
      <c r="E1739" s="5" t="s">
        <v>13690</v>
      </c>
      <c r="F1739" s="5" t="s">
        <v>6776</v>
      </c>
      <c r="G1739" s="5" t="s">
        <v>13691</v>
      </c>
      <c r="H1739" s="6" t="s">
        <v>13692</v>
      </c>
      <c r="I1739" s="7" t="s">
        <v>13693</v>
      </c>
      <c r="J1739" s="8" t="str">
        <f>HYPERLINK("https://drive.google.com/file/d/1TRb9zndTmjoD5XQXCUQ-0k98bcldU9xw/view?usp=drivesdk","MAYA SETIA NINGRUM SERTIFIKAT BerAKHLAK")</f>
        <v>MAYA SETIA NINGRUM SERTIFIKAT BerAKHLAK</v>
      </c>
      <c r="K1739" s="5" t="s">
        <v>13080</v>
      </c>
      <c r="L1739" s="5" t="s">
        <v>13694</v>
      </c>
    </row>
    <row r="1740">
      <c r="A1740" s="4">
        <v>45534.336575497684</v>
      </c>
      <c r="B1740" s="5" t="s">
        <v>34</v>
      </c>
      <c r="D1740" s="5" t="s">
        <v>280</v>
      </c>
      <c r="E1740" s="5" t="s">
        <v>13697</v>
      </c>
      <c r="F1740" s="5" t="s">
        <v>120</v>
      </c>
      <c r="G1740" s="5" t="s">
        <v>13698</v>
      </c>
      <c r="H1740" s="6" t="s">
        <v>13699</v>
      </c>
      <c r="I1740" s="7" t="s">
        <v>13700</v>
      </c>
      <c r="J1740" s="8" t="str">
        <f>HYPERLINK("https://drive.google.com/file/d/1WielJi8mu7EI_ZRjAj18N2Ud_FUgew_A/view?usp=drivesdk","SANROIDA SAGALA, S.S SERTIFIKAT BerAKHLAK")</f>
        <v>SANROIDA SAGALA, S.S SERTIFIKAT BerAKHLAK</v>
      </c>
      <c r="K1740" s="5" t="s">
        <v>13050</v>
      </c>
      <c r="L1740" s="5" t="s">
        <v>13701</v>
      </c>
    </row>
    <row r="1741">
      <c r="A1741" s="4">
        <v>45534.33657733796</v>
      </c>
      <c r="B1741" s="5" t="s">
        <v>34</v>
      </c>
      <c r="D1741" s="5" t="s">
        <v>10297</v>
      </c>
      <c r="E1741" s="5" t="s">
        <v>13704</v>
      </c>
      <c r="F1741" s="5" t="s">
        <v>37</v>
      </c>
      <c r="G1741" s="5" t="s">
        <v>13705</v>
      </c>
      <c r="H1741" s="6" t="s">
        <v>13706</v>
      </c>
      <c r="I1741" s="7" t="s">
        <v>13707</v>
      </c>
      <c r="J1741" s="8" t="str">
        <f>HYPERLINK("https://drive.google.com/file/d/1KmO_XFopI00b29lqIyfxTRrF6cUsDE3T/view?usp=drivesdk","DOMINGGUS DELLAWA RAPA', A.Md.Kom. SERTIFIKAT BerAKHLAK")</f>
        <v>DOMINGGUS DELLAWA RAPA', A.Md.Kom. SERTIFIKAT BerAKHLAK</v>
      </c>
      <c r="K1741" s="5" t="s">
        <v>13050</v>
      </c>
      <c r="L1741" s="5" t="s">
        <v>13708</v>
      </c>
    </row>
    <row r="1742">
      <c r="A1742" s="4">
        <v>45534.33659435185</v>
      </c>
      <c r="B1742" s="5" t="s">
        <v>34</v>
      </c>
      <c r="D1742" s="5" t="s">
        <v>12010</v>
      </c>
      <c r="E1742" s="5" t="s">
        <v>13711</v>
      </c>
      <c r="F1742" s="5" t="s">
        <v>715</v>
      </c>
      <c r="G1742" s="5" t="s">
        <v>13712</v>
      </c>
      <c r="H1742" s="6" t="s">
        <v>13713</v>
      </c>
      <c r="I1742" s="7" t="s">
        <v>13714</v>
      </c>
      <c r="J1742" s="8" t="str">
        <f>HYPERLINK("https://drive.google.com/file/d/1KKsvWOLTzbp9jFeobmZdaLprIcWjXXS5/view?usp=drivesdk","FATMAWATY POLILI, AMD.KEP SERTIFIKAT BerAKHLAK")</f>
        <v>FATMAWATY POLILI, AMD.KEP SERTIFIKAT BerAKHLAK</v>
      </c>
      <c r="K1742" s="5" t="s">
        <v>13050</v>
      </c>
      <c r="L1742" s="5" t="s">
        <v>13715</v>
      </c>
    </row>
    <row r="1743">
      <c r="A1743" s="4">
        <v>45534.33660002315</v>
      </c>
      <c r="B1743" s="5" t="s">
        <v>34</v>
      </c>
      <c r="D1743" s="5" t="s">
        <v>9020</v>
      </c>
      <c r="E1743" s="5" t="s">
        <v>13718</v>
      </c>
      <c r="F1743" s="5" t="s">
        <v>715</v>
      </c>
      <c r="G1743" s="5" t="s">
        <v>13719</v>
      </c>
      <c r="H1743" s="6" t="s">
        <v>13720</v>
      </c>
      <c r="I1743" s="7" t="s">
        <v>13721</v>
      </c>
      <c r="J1743" s="8" t="str">
        <f>HYPERLINK("https://drive.google.com/file/d/1fdNdTIOY-svvPK6oF-7A2XW1TPJDfrS7/view?usp=drivesdk","NUR ANISAH SIREGAR, S.E. SERTIFIKAT BerAKHLAK")</f>
        <v>NUR ANISAH SIREGAR, S.E. SERTIFIKAT BerAKHLAK</v>
      </c>
      <c r="K1743" s="5" t="s">
        <v>13050</v>
      </c>
      <c r="L1743" s="5" t="s">
        <v>13722</v>
      </c>
    </row>
    <row r="1744">
      <c r="A1744" s="4">
        <v>45534.33661398148</v>
      </c>
      <c r="B1744" s="5" t="s">
        <v>34</v>
      </c>
      <c r="D1744" s="5" t="s">
        <v>2903</v>
      </c>
      <c r="E1744" s="5" t="s">
        <v>13726</v>
      </c>
      <c r="F1744" s="5" t="s">
        <v>524</v>
      </c>
      <c r="G1744" s="5" t="s">
        <v>13727</v>
      </c>
      <c r="H1744" s="6" t="s">
        <v>13728</v>
      </c>
      <c r="I1744" s="7" t="s">
        <v>13729</v>
      </c>
      <c r="J1744" s="8" t="str">
        <f>HYPERLINK("https://drive.google.com/file/d/1ZcKfoInad7fY2Esb04MAtPM7RzEqLox_/view?usp=drivesdk","VIVI SUMANTI,SKM SERTIFIKAT BerAKHLAK")</f>
        <v>VIVI SUMANTI,SKM SERTIFIKAT BerAKHLAK</v>
      </c>
      <c r="K1744" s="5" t="s">
        <v>13050</v>
      </c>
      <c r="L1744" s="5" t="s">
        <v>13730</v>
      </c>
    </row>
    <row r="1745">
      <c r="A1745" s="4">
        <v>45534.336641354166</v>
      </c>
      <c r="B1745" s="5" t="s">
        <v>34</v>
      </c>
      <c r="D1745" s="5" t="s">
        <v>267</v>
      </c>
      <c r="E1745" s="5" t="s">
        <v>13733</v>
      </c>
      <c r="F1745" s="5" t="s">
        <v>37</v>
      </c>
      <c r="G1745" s="5" t="s">
        <v>13734</v>
      </c>
      <c r="H1745" s="6" t="s">
        <v>13735</v>
      </c>
      <c r="I1745" s="7" t="s">
        <v>13736</v>
      </c>
      <c r="J1745" s="8" t="str">
        <f>HYPERLINK("https://drive.google.com/file/d/10FcdjyvcbjIlOJsJnKAK5BNN0ZxjrUp_/view?usp=drivesdk","SUHARTIHARTI SERTIFIKAT BerAKHLAK")</f>
        <v>SUHARTIHARTI SERTIFIKAT BerAKHLAK</v>
      </c>
      <c r="K1745" s="5" t="s">
        <v>13080</v>
      </c>
      <c r="L1745" s="5" t="s">
        <v>13737</v>
      </c>
    </row>
    <row r="1746">
      <c r="A1746" s="4">
        <v>45534.33664837963</v>
      </c>
      <c r="B1746" s="5" t="s">
        <v>34</v>
      </c>
      <c r="D1746" s="5" t="s">
        <v>1206</v>
      </c>
      <c r="E1746" s="5" t="s">
        <v>13740</v>
      </c>
      <c r="F1746" s="5" t="s">
        <v>212</v>
      </c>
      <c r="G1746" s="5" t="s">
        <v>13741</v>
      </c>
      <c r="H1746" s="6" t="s">
        <v>13742</v>
      </c>
      <c r="I1746" s="7" t="s">
        <v>13743</v>
      </c>
      <c r="J1746" s="8" t="str">
        <f>HYPERLINK("https://drive.google.com/file/d/1o5jTx2MpYrWzp2XpjU13REUIvZhLkRai/view?usp=drivesdk","YENI DIAH MIRANTI SERTIFIKAT BerAKHLAK")</f>
        <v>YENI DIAH MIRANTI SERTIFIKAT BerAKHLAK</v>
      </c>
      <c r="K1746" s="5" t="s">
        <v>13080</v>
      </c>
      <c r="L1746" s="5" t="s">
        <v>13744</v>
      </c>
    </row>
    <row r="1747">
      <c r="A1747" s="4">
        <v>45534.336651261576</v>
      </c>
      <c r="B1747" s="5" t="s">
        <v>34</v>
      </c>
      <c r="D1747" s="5" t="s">
        <v>1456</v>
      </c>
      <c r="E1747" s="5" t="s">
        <v>13747</v>
      </c>
      <c r="F1747" s="5" t="s">
        <v>524</v>
      </c>
      <c r="G1747" s="5" t="s">
        <v>13748</v>
      </c>
      <c r="H1747" s="6" t="s">
        <v>13749</v>
      </c>
      <c r="I1747" s="7" t="s">
        <v>13750</v>
      </c>
      <c r="J1747" s="8" t="str">
        <f>HYPERLINK("https://drive.google.com/file/d/1PIqiTxmIAqNPWZU_9dFeim6aymYPmuFZ/view?usp=drivesdk","KASIH HARTIWI, S.Sos. SERTIFIKAT BerAKHLAK")</f>
        <v>KASIH HARTIWI, S.Sos. SERTIFIKAT BerAKHLAK</v>
      </c>
      <c r="K1747" s="5" t="s">
        <v>13050</v>
      </c>
      <c r="L1747" s="5" t="s">
        <v>13751</v>
      </c>
    </row>
    <row r="1748">
      <c r="A1748" s="4">
        <v>45534.336658761575</v>
      </c>
      <c r="B1748" s="5" t="s">
        <v>34</v>
      </c>
      <c r="D1748" s="5" t="s">
        <v>9020</v>
      </c>
      <c r="E1748" s="5" t="s">
        <v>13754</v>
      </c>
      <c r="F1748" s="5" t="s">
        <v>212</v>
      </c>
      <c r="G1748" s="5" t="s">
        <v>13755</v>
      </c>
      <c r="H1748" s="6" t="s">
        <v>13756</v>
      </c>
      <c r="I1748" s="7" t="s">
        <v>13757</v>
      </c>
      <c r="J1748" s="8" t="str">
        <f>HYPERLINK("https://drive.google.com/file/d/1REdvLw6DZFlaPJeUzr5MiBUAT6XZZRC-/view?usp=drivesdk","PENGATUR TK I HASNAH SERTIFIKAT BerAKHLAK")</f>
        <v>PENGATUR TK I HASNAH SERTIFIKAT BerAKHLAK</v>
      </c>
      <c r="K1748" s="5" t="s">
        <v>13050</v>
      </c>
      <c r="L1748" s="5" t="s">
        <v>13758</v>
      </c>
    </row>
    <row r="1749">
      <c r="A1749" s="4">
        <v>45534.33666020833</v>
      </c>
      <c r="B1749" s="5" t="s">
        <v>34</v>
      </c>
      <c r="D1749" s="5" t="s">
        <v>975</v>
      </c>
      <c r="E1749" s="5" t="s">
        <v>13761</v>
      </c>
      <c r="F1749" s="5" t="s">
        <v>108</v>
      </c>
      <c r="G1749" s="5" t="s">
        <v>13762</v>
      </c>
      <c r="H1749" s="6" t="s">
        <v>13763</v>
      </c>
      <c r="I1749" s="7" t="s">
        <v>13764</v>
      </c>
      <c r="J1749" s="8" t="str">
        <f>HYPERLINK("https://drive.google.com/file/d/1w3VFYtYJX6Y-DsttZLQX59JiPSj5Q33m/view?usp=drivesdk","HARLY MARWANSYAH SERTIFIKAT BerAKHLAK")</f>
        <v>HARLY MARWANSYAH SERTIFIKAT BerAKHLAK</v>
      </c>
      <c r="K1749" s="5" t="s">
        <v>13050</v>
      </c>
      <c r="L1749" s="5" t="s">
        <v>13765</v>
      </c>
    </row>
    <row r="1750">
      <c r="A1750" s="4">
        <v>45534.336687152776</v>
      </c>
      <c r="B1750" s="5" t="s">
        <v>34</v>
      </c>
      <c r="D1750" s="5" t="s">
        <v>12978</v>
      </c>
      <c r="E1750" s="5" t="s">
        <v>13768</v>
      </c>
      <c r="F1750" s="5" t="s">
        <v>37</v>
      </c>
      <c r="G1750" s="5" t="s">
        <v>13769</v>
      </c>
      <c r="H1750" s="6" t="s">
        <v>13770</v>
      </c>
      <c r="I1750" s="7" t="s">
        <v>13771</v>
      </c>
      <c r="J1750" s="8" t="str">
        <f>HYPERLINK("https://drive.google.com/file/d/1vAiaZxc420KJwwDSRrPHWEEOo5IX0Bje/view?usp=drivesdk","SISMALIA AMKEB SERTIFIKAT BerAKHLAK")</f>
        <v>SISMALIA AMKEB SERTIFIKAT BerAKHLAK</v>
      </c>
      <c r="K1750" s="5" t="s">
        <v>13080</v>
      </c>
      <c r="L1750" s="5" t="s">
        <v>13772</v>
      </c>
    </row>
    <row r="1751">
      <c r="A1751" s="4">
        <v>45534.336692303244</v>
      </c>
      <c r="B1751" s="5" t="s">
        <v>34</v>
      </c>
      <c r="D1751" s="5" t="s">
        <v>4775</v>
      </c>
      <c r="E1751" s="5" t="s">
        <v>13776</v>
      </c>
      <c r="F1751" s="5" t="s">
        <v>108</v>
      </c>
      <c r="G1751" s="5" t="s">
        <v>13777</v>
      </c>
      <c r="H1751" s="6" t="s">
        <v>13778</v>
      </c>
      <c r="I1751" s="7" t="s">
        <v>13779</v>
      </c>
      <c r="J1751" s="8" t="str">
        <f>HYPERLINK("https://drive.google.com/file/d/12NjXqfioOnoJMa7YVNpM2DFAR8avsA6o/view?usp=drivesdk","DIYAH SAKTI PUSPANDARI SERTIFIKAT BerAKHLAK")</f>
        <v>DIYAH SAKTI PUSPANDARI SERTIFIKAT BerAKHLAK</v>
      </c>
      <c r="K1751" s="5" t="s">
        <v>13050</v>
      </c>
      <c r="L1751" s="5" t="s">
        <v>13780</v>
      </c>
    </row>
    <row r="1752">
      <c r="A1752" s="4">
        <v>45534.33669293982</v>
      </c>
      <c r="B1752" s="5" t="s">
        <v>34</v>
      </c>
      <c r="D1752" s="5" t="s">
        <v>1206</v>
      </c>
      <c r="E1752" s="5" t="s">
        <v>13783</v>
      </c>
      <c r="F1752" s="5" t="s">
        <v>212</v>
      </c>
      <c r="G1752" s="5" t="s">
        <v>13784</v>
      </c>
      <c r="H1752" s="6" t="s">
        <v>13785</v>
      </c>
      <c r="I1752" s="7" t="s">
        <v>13786</v>
      </c>
      <c r="J1752" s="8" t="str">
        <f>HYPERLINK("https://drive.google.com/file/d/1gZbbMRUpUCy0J5Va5q-FZfGjJqJf3rQZ/view?usp=drivesdk","ILA AULIA APRILIA SERTIFIKAT BerAKHLAK")</f>
        <v>ILA AULIA APRILIA SERTIFIKAT BerAKHLAK</v>
      </c>
      <c r="K1752" s="5" t="s">
        <v>13050</v>
      </c>
      <c r="L1752" s="5" t="s">
        <v>13787</v>
      </c>
    </row>
    <row r="1753">
      <c r="A1753" s="4">
        <v>45534.3366981713</v>
      </c>
      <c r="B1753" s="5" t="s">
        <v>34</v>
      </c>
      <c r="D1753" s="5" t="s">
        <v>2903</v>
      </c>
      <c r="E1753" s="5" t="s">
        <v>13790</v>
      </c>
      <c r="F1753" s="5" t="s">
        <v>524</v>
      </c>
      <c r="G1753" s="5" t="s">
        <v>13791</v>
      </c>
      <c r="H1753" s="6" t="s">
        <v>13792</v>
      </c>
      <c r="I1753" s="7" t="s">
        <v>13793</v>
      </c>
      <c r="J1753" s="8" t="str">
        <f>HYPERLINK("https://drive.google.com/file/d/11dpqTQGro1AJOHP0rvLA5BLri9ZCXZGT/view?usp=drivesdk","RAMJANI ANDATU ST. SERTIFIKAT BerAKHLAK")</f>
        <v>RAMJANI ANDATU ST. SERTIFIKAT BerAKHLAK</v>
      </c>
      <c r="K1753" s="5" t="s">
        <v>13050</v>
      </c>
      <c r="L1753" s="5" t="s">
        <v>13794</v>
      </c>
    </row>
    <row r="1754">
      <c r="A1754" s="4">
        <v>45534.33670418982</v>
      </c>
      <c r="B1754" s="5" t="s">
        <v>34</v>
      </c>
      <c r="D1754" s="5" t="s">
        <v>9020</v>
      </c>
      <c r="E1754" s="5" t="s">
        <v>13797</v>
      </c>
      <c r="F1754" s="5" t="s">
        <v>108</v>
      </c>
      <c r="G1754" s="5" t="s">
        <v>13798</v>
      </c>
      <c r="H1754" s="6" t="s">
        <v>13799</v>
      </c>
      <c r="K1754" s="5" t="s">
        <v>13800</v>
      </c>
    </row>
    <row r="1755">
      <c r="A1755" s="4">
        <v>45534.33673284722</v>
      </c>
      <c r="B1755" s="5" t="s">
        <v>34</v>
      </c>
      <c r="D1755" s="5" t="s">
        <v>35</v>
      </c>
      <c r="E1755" s="5" t="s">
        <v>13804</v>
      </c>
      <c r="F1755" s="5" t="s">
        <v>37</v>
      </c>
      <c r="G1755" s="5" t="s">
        <v>13805</v>
      </c>
      <c r="H1755" s="6" t="s">
        <v>13806</v>
      </c>
      <c r="I1755" s="7" t="s">
        <v>13807</v>
      </c>
      <c r="J1755" s="8" t="str">
        <f>HYPERLINK("https://drive.google.com/file/d/1fEMJruxxuHlSE99uo6u5laEZNYTCTPuI/view?usp=drivesdk","NOVIA SRI WULANDARI, A. Md.Kep SERTIFIKAT BerAKHLAK")</f>
        <v>NOVIA SRI WULANDARI, A. Md.Kep SERTIFIKAT BerAKHLAK</v>
      </c>
      <c r="K1755" s="5" t="s">
        <v>13050</v>
      </c>
      <c r="L1755" s="5" t="s">
        <v>13808</v>
      </c>
    </row>
    <row r="1756">
      <c r="A1756" s="4">
        <v>45534.33673313657</v>
      </c>
      <c r="B1756" s="5" t="s">
        <v>34</v>
      </c>
      <c r="D1756" s="5" t="s">
        <v>280</v>
      </c>
      <c r="E1756" s="5" t="s">
        <v>13811</v>
      </c>
      <c r="F1756" s="5" t="s">
        <v>212</v>
      </c>
      <c r="G1756" s="5" t="s">
        <v>13812</v>
      </c>
      <c r="H1756" s="6" t="s">
        <v>13813</v>
      </c>
      <c r="I1756" s="7" t="s">
        <v>13814</v>
      </c>
      <c r="J1756" s="8" t="str">
        <f>HYPERLINK("https://drive.google.com/file/d/1If5EfNni2dMkrWvzQGre7ziLkb1mnMB_/view?usp=drivesdk","YAHYA SUKARNO PRATAMA, A.Md.Kep., S.Kep SERTIFIKAT BerAKHLAK")</f>
        <v>YAHYA SUKARNO PRATAMA, A.Md.Kep., S.Kep SERTIFIKAT BerAKHLAK</v>
      </c>
      <c r="K1756" s="5" t="s">
        <v>13050</v>
      </c>
      <c r="L1756" s="5" t="s">
        <v>13815</v>
      </c>
    </row>
    <row r="1757">
      <c r="A1757" s="4">
        <v>45534.33674387731</v>
      </c>
      <c r="B1757" s="5" t="s">
        <v>34</v>
      </c>
      <c r="D1757" s="5" t="s">
        <v>4775</v>
      </c>
      <c r="E1757" s="5" t="s">
        <v>13818</v>
      </c>
      <c r="F1757" s="5" t="s">
        <v>37</v>
      </c>
      <c r="G1757" s="5" t="s">
        <v>13819</v>
      </c>
      <c r="H1757" s="6" t="s">
        <v>13820</v>
      </c>
      <c r="I1757" s="7" t="s">
        <v>13821</v>
      </c>
      <c r="J1757" s="8" t="str">
        <f>HYPERLINK("https://drive.google.com/file/d/1mTt5ID8MSP4Xfhf4pvm8W-YMsi1_PqQ4/view?usp=drivesdk","AHMAD BONNY ZAMRONI SERTIFIKAT BerAKHLAK")</f>
        <v>AHMAD BONNY ZAMRONI SERTIFIKAT BerAKHLAK</v>
      </c>
      <c r="K1757" s="5" t="s">
        <v>13050</v>
      </c>
      <c r="L1757" s="5" t="s">
        <v>13822</v>
      </c>
    </row>
    <row r="1758">
      <c r="A1758" s="4">
        <v>45534.33674453704</v>
      </c>
      <c r="B1758" s="5" t="s">
        <v>34</v>
      </c>
      <c r="D1758" s="5" t="s">
        <v>975</v>
      </c>
      <c r="E1758" s="5" t="s">
        <v>13825</v>
      </c>
      <c r="F1758" s="5" t="s">
        <v>37</v>
      </c>
      <c r="G1758" s="5" t="s">
        <v>13826</v>
      </c>
      <c r="H1758" s="6" t="s">
        <v>13827</v>
      </c>
      <c r="I1758" s="7" t="s">
        <v>13828</v>
      </c>
      <c r="J1758" s="8" t="str">
        <f>HYPERLINK("https://drive.google.com/file/d/15KO3IFGYdoc-EdqtTwtEr021DHvQPUyj/view?usp=drivesdk","IDHAM HALID, AMD KEP SERTIFIKAT BerAKHLAK")</f>
        <v>IDHAM HALID, AMD KEP SERTIFIKAT BerAKHLAK</v>
      </c>
      <c r="K1758" s="5" t="s">
        <v>13050</v>
      </c>
      <c r="L1758" s="5" t="s">
        <v>13829</v>
      </c>
    </row>
    <row r="1759">
      <c r="A1759" s="4">
        <v>45534.336746886576</v>
      </c>
      <c r="B1759" s="5" t="s">
        <v>34</v>
      </c>
      <c r="D1759" s="5" t="s">
        <v>9020</v>
      </c>
      <c r="E1759" s="5" t="s">
        <v>13832</v>
      </c>
      <c r="F1759" s="5" t="s">
        <v>524</v>
      </c>
      <c r="G1759" s="5" t="s">
        <v>13833</v>
      </c>
      <c r="H1759" s="6" t="s">
        <v>13834</v>
      </c>
      <c r="I1759" s="7" t="s">
        <v>13835</v>
      </c>
      <c r="J1759" s="8" t="str">
        <f>HYPERLINK("https://drive.google.com/file/d/1YPl9OsTqIp14lAoQ2H6v7w2wVkfGLQeF/view?usp=drivesdk","MARTHA SEVIANI SILALAHI, S.H SERTIFIKAT BerAKHLAK")</f>
        <v>MARTHA SEVIANI SILALAHI, S.H SERTIFIKAT BerAKHLAK</v>
      </c>
      <c r="K1759" s="5" t="s">
        <v>13050</v>
      </c>
      <c r="L1759" s="5" t="s">
        <v>13836</v>
      </c>
    </row>
    <row r="1760">
      <c r="A1760" s="4">
        <v>45534.336745532404</v>
      </c>
      <c r="B1760" s="5" t="s">
        <v>19</v>
      </c>
      <c r="C1760" s="5" t="s">
        <v>11593</v>
      </c>
      <c r="E1760" s="5" t="s">
        <v>13839</v>
      </c>
      <c r="F1760" s="5" t="s">
        <v>108</v>
      </c>
      <c r="G1760" s="5" t="s">
        <v>13840</v>
      </c>
      <c r="H1760" s="6" t="s">
        <v>13841</v>
      </c>
      <c r="I1760" s="7" t="s">
        <v>13842</v>
      </c>
      <c r="J1760" s="8" t="str">
        <f>HYPERLINK("https://drive.google.com/file/d/1Wp_UW2fq2x6z02axFLlvcpp7_0YRT7Gm/view?usp=drivesdk","INDAH IKA SARININGRUM SERTIFIKAT BerAKHLAK")</f>
        <v>INDAH IKA SARININGRUM SERTIFIKAT BerAKHLAK</v>
      </c>
      <c r="K1760" s="5" t="s">
        <v>13050</v>
      </c>
      <c r="L1760" s="5" t="s">
        <v>13843</v>
      </c>
    </row>
    <row r="1761">
      <c r="A1761" s="4">
        <v>45534.33674989583</v>
      </c>
      <c r="B1761" s="5" t="s">
        <v>34</v>
      </c>
      <c r="D1761" s="5" t="s">
        <v>9020</v>
      </c>
      <c r="E1761" s="5" t="s">
        <v>13846</v>
      </c>
      <c r="F1761" s="5" t="s">
        <v>212</v>
      </c>
      <c r="G1761" s="5" t="s">
        <v>13847</v>
      </c>
      <c r="H1761" s="6" t="s">
        <v>13848</v>
      </c>
      <c r="K1761" s="5" t="s">
        <v>13849</v>
      </c>
    </row>
    <row r="1762">
      <c r="A1762" s="4">
        <v>45534.336755173616</v>
      </c>
      <c r="B1762" s="5" t="s">
        <v>34</v>
      </c>
      <c r="D1762" s="5" t="s">
        <v>1206</v>
      </c>
      <c r="E1762" s="5" t="s">
        <v>13853</v>
      </c>
      <c r="F1762" s="5" t="s">
        <v>212</v>
      </c>
      <c r="G1762" s="5" t="s">
        <v>13854</v>
      </c>
      <c r="H1762" s="6" t="s">
        <v>13855</v>
      </c>
      <c r="K1762" s="5" t="s">
        <v>13849</v>
      </c>
    </row>
    <row r="1763">
      <c r="A1763" s="4">
        <v>45534.336771898146</v>
      </c>
      <c r="B1763" s="5" t="s">
        <v>19</v>
      </c>
      <c r="C1763" s="5" t="s">
        <v>20</v>
      </c>
      <c r="E1763" s="5" t="s">
        <v>13858</v>
      </c>
      <c r="F1763" s="5" t="s">
        <v>524</v>
      </c>
      <c r="G1763" s="5" t="s">
        <v>13859</v>
      </c>
      <c r="H1763" s="6" t="s">
        <v>13860</v>
      </c>
      <c r="I1763" s="7" t="s">
        <v>13861</v>
      </c>
      <c r="J1763" s="8" t="str">
        <f>HYPERLINK("https://drive.google.com/file/d/1wiDpbQco1OVbYSLvbuZrUEknJiIIgUfH/view?usp=drivesdk","SARIFAH MUHDIYATI, M.Tr.Ap SERTIFIKAT BerAKHLAK")</f>
        <v>SARIFAH MUHDIYATI, M.Tr.Ap SERTIFIKAT BerAKHLAK</v>
      </c>
      <c r="K1763" s="5" t="s">
        <v>13050</v>
      </c>
      <c r="L1763" s="5" t="s">
        <v>13862</v>
      </c>
    </row>
    <row r="1764">
      <c r="A1764" s="4">
        <v>45534.336805706014</v>
      </c>
      <c r="B1764" s="5" t="s">
        <v>34</v>
      </c>
      <c r="D1764" s="5" t="s">
        <v>1768</v>
      </c>
      <c r="E1764" s="5" t="s">
        <v>13865</v>
      </c>
      <c r="F1764" s="5" t="s">
        <v>524</v>
      </c>
      <c r="G1764" s="5" t="s">
        <v>13866</v>
      </c>
      <c r="H1764" s="6" t="s">
        <v>13867</v>
      </c>
      <c r="I1764" s="7" t="s">
        <v>13868</v>
      </c>
      <c r="J1764" s="8" t="str">
        <f>HYPERLINK("https://drive.google.com/file/d/1krTjnfDjZ6wEcHJZOaZvBbgcPWIZOyhI/view?usp=drivesdk","ATIK KUSUMANINGRUM SERTIFIKAT BerAKHLAK")</f>
        <v>ATIK KUSUMANINGRUM SERTIFIKAT BerAKHLAK</v>
      </c>
      <c r="K1764" s="5" t="s">
        <v>13050</v>
      </c>
      <c r="L1764" s="5" t="s">
        <v>13869</v>
      </c>
    </row>
    <row r="1765">
      <c r="A1765" s="4">
        <v>45534.33682540509</v>
      </c>
      <c r="B1765" s="5" t="s">
        <v>34</v>
      </c>
      <c r="D1765" s="5" t="s">
        <v>267</v>
      </c>
      <c r="E1765" s="5" t="s">
        <v>13872</v>
      </c>
      <c r="F1765" s="5" t="s">
        <v>212</v>
      </c>
      <c r="G1765" s="5" t="s">
        <v>13873</v>
      </c>
      <c r="H1765" s="6" t="s">
        <v>13874</v>
      </c>
      <c r="I1765" s="7" t="s">
        <v>13875</v>
      </c>
      <c r="J1765" s="8" t="str">
        <f>HYPERLINK("https://drive.google.com/file/d/1RIYD8oluKcrSLnzI4NHokuR3ocNzdg-P/view?usp=drivesdk","UNI AGUS WIRATNA SERTIFIKAT BerAKHLAK")</f>
        <v>UNI AGUS WIRATNA SERTIFIKAT BerAKHLAK</v>
      </c>
      <c r="K1765" s="5" t="s">
        <v>13050</v>
      </c>
      <c r="L1765" s="5" t="s">
        <v>13876</v>
      </c>
    </row>
    <row r="1766">
      <c r="A1766" s="4">
        <v>45534.336837766205</v>
      </c>
      <c r="B1766" s="5" t="s">
        <v>34</v>
      </c>
      <c r="D1766" s="5" t="s">
        <v>6232</v>
      </c>
      <c r="E1766" s="5" t="s">
        <v>13879</v>
      </c>
      <c r="F1766" s="5" t="s">
        <v>37</v>
      </c>
      <c r="G1766" s="5" t="s">
        <v>13880</v>
      </c>
      <c r="H1766" s="6" t="s">
        <v>13881</v>
      </c>
      <c r="I1766" s="7" t="s">
        <v>13882</v>
      </c>
      <c r="J1766" s="8" t="str">
        <f>HYPERLINK("https://drive.google.com/file/d/1JJBacU-LVrsoXx6g_FZPqcvGwB9_6FZP/view?usp=drivesdk","MUHAMMAD IQBAL,AM.Rad SERTIFIKAT BerAKHLAK")</f>
        <v>MUHAMMAD IQBAL,AM.Rad SERTIFIKAT BerAKHLAK</v>
      </c>
      <c r="K1766" s="5" t="s">
        <v>13050</v>
      </c>
      <c r="L1766" s="5" t="s">
        <v>13883</v>
      </c>
    </row>
    <row r="1767">
      <c r="A1767" s="4">
        <v>45534.336849155094</v>
      </c>
      <c r="B1767" s="5" t="s">
        <v>34</v>
      </c>
      <c r="D1767" s="5" t="s">
        <v>996</v>
      </c>
      <c r="E1767" s="5" t="s">
        <v>13886</v>
      </c>
      <c r="F1767" s="5" t="s">
        <v>108</v>
      </c>
      <c r="G1767" s="5" t="s">
        <v>13887</v>
      </c>
      <c r="H1767" s="6" t="s">
        <v>13888</v>
      </c>
      <c r="I1767" s="7" t="s">
        <v>13889</v>
      </c>
      <c r="J1767" s="8" t="str">
        <f>HYPERLINK("https://drive.google.com/file/d/16T8b1BDFW-OK3bZ30UGOIihS2OYTPDNU/view?usp=drivesdk","YUNI EKO STIAWATI, A.MD SERTIFIKAT BerAKHLAK")</f>
        <v>YUNI EKO STIAWATI, A.MD SERTIFIKAT BerAKHLAK</v>
      </c>
      <c r="K1767" s="5" t="s">
        <v>13050</v>
      </c>
      <c r="L1767" s="5" t="s">
        <v>13890</v>
      </c>
    </row>
    <row r="1768">
      <c r="A1768" s="4">
        <v>45534.33685569445</v>
      </c>
      <c r="B1768" s="5" t="s">
        <v>34</v>
      </c>
      <c r="D1768" s="5" t="s">
        <v>35</v>
      </c>
      <c r="E1768" s="5" t="s">
        <v>13894</v>
      </c>
      <c r="F1768" s="5" t="s">
        <v>524</v>
      </c>
      <c r="G1768" s="5" t="s">
        <v>13895</v>
      </c>
      <c r="H1768" s="6" t="s">
        <v>13896</v>
      </c>
      <c r="K1768" s="5" t="s">
        <v>13897</v>
      </c>
    </row>
    <row r="1769">
      <c r="A1769" s="4">
        <v>45534.33685445602</v>
      </c>
      <c r="B1769" s="5" t="s">
        <v>34</v>
      </c>
      <c r="D1769" s="5" t="s">
        <v>701</v>
      </c>
      <c r="E1769" s="5" t="s">
        <v>13900</v>
      </c>
      <c r="F1769" s="5" t="s">
        <v>37</v>
      </c>
      <c r="G1769" s="5" t="s">
        <v>13901</v>
      </c>
      <c r="H1769" s="6" t="s">
        <v>13902</v>
      </c>
      <c r="K1769" s="5" t="s">
        <v>13897</v>
      </c>
    </row>
    <row r="1770">
      <c r="A1770" s="4">
        <v>45534.336865405094</v>
      </c>
      <c r="B1770" s="5" t="s">
        <v>34</v>
      </c>
      <c r="D1770" s="5" t="s">
        <v>9020</v>
      </c>
      <c r="E1770" s="5" t="s">
        <v>13905</v>
      </c>
      <c r="F1770" s="5" t="s">
        <v>212</v>
      </c>
      <c r="G1770" s="5" t="s">
        <v>13906</v>
      </c>
      <c r="H1770" s="6" t="s">
        <v>13907</v>
      </c>
      <c r="K1770" s="5" t="s">
        <v>13897</v>
      </c>
    </row>
    <row r="1771">
      <c r="A1771" s="4">
        <v>45534.33689738426</v>
      </c>
      <c r="B1771" s="5" t="s">
        <v>34</v>
      </c>
      <c r="D1771" s="5" t="s">
        <v>701</v>
      </c>
      <c r="E1771" s="5" t="s">
        <v>13910</v>
      </c>
      <c r="F1771" s="5" t="s">
        <v>37</v>
      </c>
      <c r="G1771" s="5" t="s">
        <v>13911</v>
      </c>
      <c r="H1771" s="6" t="s">
        <v>13912</v>
      </c>
      <c r="I1771" s="7" t="s">
        <v>13913</v>
      </c>
      <c r="J1771" s="8" t="str">
        <f>HYPERLINK("https://drive.google.com/file/d/1whNcV51DJ2zS1GLIuJL1g64uc0HQapsN/view?usp=drivesdk","DELIA FUTRI AMD KEP SERTIFIKAT BerAKHLAK")</f>
        <v>DELIA FUTRI AMD KEP SERTIFIKAT BerAKHLAK</v>
      </c>
      <c r="K1771" s="5" t="s">
        <v>13050</v>
      </c>
      <c r="L1771" s="5" t="s">
        <v>13914</v>
      </c>
    </row>
    <row r="1772">
      <c r="A1772" s="4">
        <v>45534.33690357639</v>
      </c>
      <c r="B1772" s="5" t="s">
        <v>34</v>
      </c>
      <c r="D1772" s="5" t="s">
        <v>522</v>
      </c>
      <c r="E1772" s="5" t="s">
        <v>13917</v>
      </c>
      <c r="F1772" s="5" t="s">
        <v>120</v>
      </c>
      <c r="G1772" s="5" t="s">
        <v>13918</v>
      </c>
      <c r="H1772" s="6" t="s">
        <v>13919</v>
      </c>
      <c r="I1772" s="7" t="s">
        <v>13920</v>
      </c>
      <c r="J1772" s="8" t="str">
        <f>HYPERLINK("https://drive.google.com/file/d/1K79Liu_0lKeVW-deh4XAS7AgS8ulDjkq/view?usp=drivesdk","JOKO MUSTOPO, S.KOM SERTIFIKAT BerAKHLAK")</f>
        <v>JOKO MUSTOPO, S.KOM SERTIFIKAT BerAKHLAK</v>
      </c>
      <c r="K1772" s="5" t="s">
        <v>13050</v>
      </c>
      <c r="L1772" s="5" t="s">
        <v>13921</v>
      </c>
    </row>
    <row r="1773">
      <c r="A1773" s="4">
        <v>45534.33690589121</v>
      </c>
      <c r="B1773" s="5" t="s">
        <v>19</v>
      </c>
      <c r="C1773" s="5" t="s">
        <v>1498</v>
      </c>
      <c r="E1773" s="5" t="s">
        <v>13925</v>
      </c>
      <c r="F1773" s="5" t="s">
        <v>524</v>
      </c>
      <c r="G1773" s="5" t="s">
        <v>13926</v>
      </c>
      <c r="H1773" s="6" t="s">
        <v>13927</v>
      </c>
      <c r="K1773" s="5" t="s">
        <v>13928</v>
      </c>
    </row>
    <row r="1774">
      <c r="A1774" s="4">
        <v>45534.336924930554</v>
      </c>
      <c r="B1774" s="5" t="s">
        <v>34</v>
      </c>
      <c r="D1774" s="5" t="s">
        <v>975</v>
      </c>
      <c r="E1774" s="5" t="s">
        <v>13931</v>
      </c>
      <c r="F1774" s="5" t="s">
        <v>212</v>
      </c>
      <c r="G1774" s="5" t="s">
        <v>13932</v>
      </c>
      <c r="H1774" s="6" t="s">
        <v>13933</v>
      </c>
      <c r="I1774" s="7" t="s">
        <v>13934</v>
      </c>
      <c r="J1774" s="8" t="str">
        <f>HYPERLINK("https://drive.google.com/file/d/1q6PhMLB4dPNAC896q8FwgcFeLm4D_Dpz/view?usp=drivesdk","MURNIANUR AMDKEB SERTIFIKAT BerAKHLAK")</f>
        <v>MURNIANUR AMDKEB SERTIFIKAT BerAKHLAK</v>
      </c>
      <c r="K1774" s="5" t="s">
        <v>13050</v>
      </c>
      <c r="L1774" s="5" t="s">
        <v>13935</v>
      </c>
    </row>
    <row r="1775">
      <c r="A1775" s="4">
        <v>45534.33693103009</v>
      </c>
      <c r="B1775" s="5" t="s">
        <v>34</v>
      </c>
      <c r="D1775" s="5" t="s">
        <v>35</v>
      </c>
      <c r="E1775" s="5" t="s">
        <v>13938</v>
      </c>
      <c r="F1775" s="5" t="s">
        <v>375</v>
      </c>
      <c r="G1775" s="5" t="s">
        <v>13939</v>
      </c>
      <c r="H1775" s="6" t="s">
        <v>13940</v>
      </c>
      <c r="I1775" s="7" t="s">
        <v>13941</v>
      </c>
      <c r="J1775" s="8" t="str">
        <f>HYPERLINK("https://drive.google.com/file/d/1nC-81TAetsEspUwRGCnqdL_CZyoj0FOt/view?usp=drivesdk","CECEP ASEP SAEPUDIN SE SERTIFIKAT BerAKHLAK")</f>
        <v>CECEP ASEP SAEPUDIN SE SERTIFIKAT BerAKHLAK</v>
      </c>
      <c r="K1775" s="5" t="s">
        <v>13050</v>
      </c>
      <c r="L1775" s="5" t="s">
        <v>13942</v>
      </c>
    </row>
    <row r="1776">
      <c r="A1776" s="4">
        <v>45534.33693347222</v>
      </c>
      <c r="B1776" s="5" t="s">
        <v>34</v>
      </c>
      <c r="D1776" s="5" t="s">
        <v>35</v>
      </c>
      <c r="E1776" s="5" t="s">
        <v>13945</v>
      </c>
      <c r="F1776" s="5" t="s">
        <v>108</v>
      </c>
      <c r="G1776" s="5" t="s">
        <v>13946</v>
      </c>
      <c r="H1776" s="6" t="s">
        <v>13947</v>
      </c>
      <c r="K1776" s="5" t="s">
        <v>13948</v>
      </c>
    </row>
    <row r="1777">
      <c r="A1777" s="4">
        <v>45534.336935486106</v>
      </c>
      <c r="B1777" s="5" t="s">
        <v>34</v>
      </c>
      <c r="D1777" s="5" t="s">
        <v>1206</v>
      </c>
      <c r="E1777" s="5" t="s">
        <v>13951</v>
      </c>
      <c r="F1777" s="5" t="s">
        <v>37</v>
      </c>
      <c r="G1777" s="5" t="s">
        <v>13952</v>
      </c>
      <c r="H1777" s="6" t="s">
        <v>13953</v>
      </c>
      <c r="K1777" s="5" t="s">
        <v>13948</v>
      </c>
    </row>
    <row r="1778">
      <c r="A1778" s="4">
        <v>45534.33694054398</v>
      </c>
      <c r="B1778" s="5" t="s">
        <v>19</v>
      </c>
      <c r="C1778" s="5" t="s">
        <v>20</v>
      </c>
      <c r="E1778" s="5" t="s">
        <v>13956</v>
      </c>
      <c r="F1778" s="5" t="s">
        <v>37</v>
      </c>
      <c r="G1778" s="5" t="s">
        <v>13957</v>
      </c>
      <c r="H1778" s="6" t="s">
        <v>13958</v>
      </c>
      <c r="K1778" s="5" t="s">
        <v>13948</v>
      </c>
    </row>
    <row r="1779">
      <c r="A1779" s="4">
        <v>45534.3369540162</v>
      </c>
      <c r="B1779" s="5" t="s">
        <v>34</v>
      </c>
      <c r="D1779" s="5" t="s">
        <v>4775</v>
      </c>
      <c r="E1779" s="5" t="s">
        <v>13961</v>
      </c>
      <c r="F1779" s="5" t="s">
        <v>212</v>
      </c>
      <c r="G1779" s="5" t="s">
        <v>13962</v>
      </c>
      <c r="H1779" s="6" t="s">
        <v>13963</v>
      </c>
      <c r="I1779" s="7" t="s">
        <v>13964</v>
      </c>
      <c r="J1779" s="8" t="str">
        <f>HYPERLINK("https://drive.google.com/file/d/1lOL5-AGkmLJJJ5GUQaiFN0UMDjsQiuMZ/view?usp=drivesdk","ANITA NUR AMALIYAH SERTIFIKAT BerAKHLAK")</f>
        <v>ANITA NUR AMALIYAH SERTIFIKAT BerAKHLAK</v>
      </c>
      <c r="K1779" s="5" t="s">
        <v>13050</v>
      </c>
      <c r="L1779" s="5" t="s">
        <v>13965</v>
      </c>
    </row>
    <row r="1780">
      <c r="A1780" s="4">
        <v>45534.336969247684</v>
      </c>
      <c r="B1780" s="5" t="s">
        <v>34</v>
      </c>
      <c r="D1780" s="5" t="s">
        <v>996</v>
      </c>
      <c r="E1780" s="5" t="s">
        <v>13969</v>
      </c>
      <c r="F1780" s="5" t="s">
        <v>37</v>
      </c>
      <c r="G1780" s="5" t="s">
        <v>13970</v>
      </c>
      <c r="H1780" s="6" t="s">
        <v>13971</v>
      </c>
      <c r="K1780" s="5" t="s">
        <v>13972</v>
      </c>
    </row>
    <row r="1781">
      <c r="A1781" s="4">
        <v>45534.336982824076</v>
      </c>
      <c r="B1781" s="5" t="s">
        <v>34</v>
      </c>
      <c r="D1781" s="5" t="s">
        <v>9020</v>
      </c>
      <c r="E1781" s="5" t="s">
        <v>13975</v>
      </c>
      <c r="F1781" s="5" t="s">
        <v>72</v>
      </c>
      <c r="G1781" s="5" t="s">
        <v>13976</v>
      </c>
      <c r="H1781" s="6" t="s">
        <v>13977</v>
      </c>
      <c r="K1781" s="5" t="s">
        <v>13972</v>
      </c>
    </row>
    <row r="1782">
      <c r="A1782" s="4">
        <v>45534.33700380787</v>
      </c>
      <c r="B1782" s="5" t="s">
        <v>19</v>
      </c>
      <c r="C1782" s="5" t="s">
        <v>292</v>
      </c>
      <c r="E1782" s="5" t="s">
        <v>13980</v>
      </c>
      <c r="F1782" s="5" t="s">
        <v>375</v>
      </c>
      <c r="G1782" s="5" t="s">
        <v>13981</v>
      </c>
      <c r="H1782" s="6" t="s">
        <v>13982</v>
      </c>
      <c r="I1782" s="7" t="s">
        <v>13983</v>
      </c>
      <c r="J1782" s="8" t="str">
        <f>HYPERLINK("https://drive.google.com/file/d/12maLUwnbL_Zf_1vRBlzsQeoSMmGNDXCy/view?usp=drivesdk","ENI WAHYUNUGRAYATI, S.H., M.H. SERTIFIKAT BerAKHLAK")</f>
        <v>ENI WAHYUNUGRAYATI, S.H., M.H. SERTIFIKAT BerAKHLAK</v>
      </c>
      <c r="K1782" s="5" t="s">
        <v>13050</v>
      </c>
      <c r="L1782" s="5" t="s">
        <v>13984</v>
      </c>
    </row>
    <row r="1783">
      <c r="A1783" s="4">
        <v>45534.33701820602</v>
      </c>
      <c r="B1783" s="5" t="s">
        <v>34</v>
      </c>
      <c r="D1783" s="5" t="s">
        <v>4775</v>
      </c>
      <c r="E1783" s="5" t="s">
        <v>13987</v>
      </c>
      <c r="F1783" s="5" t="s">
        <v>37</v>
      </c>
      <c r="G1783" s="5" t="s">
        <v>13988</v>
      </c>
      <c r="H1783" s="6" t="s">
        <v>13989</v>
      </c>
      <c r="I1783" s="7" t="s">
        <v>13990</v>
      </c>
      <c r="J1783" s="8" t="str">
        <f>HYPERLINK("https://drive.google.com/file/d/1K4FQGWyvgtEEfjNccm-PEwjhAYRvkrfW/view?usp=drivesdk","MEI SUCI WULANDARI, A.Md. SERTIFIKAT BerAKHLAK")</f>
        <v>MEI SUCI WULANDARI, A.Md. SERTIFIKAT BerAKHLAK</v>
      </c>
      <c r="K1783" s="5" t="s">
        <v>13050</v>
      </c>
      <c r="L1783" s="5" t="s">
        <v>13991</v>
      </c>
    </row>
    <row r="1784">
      <c r="A1784" s="4">
        <v>45534.33702814815</v>
      </c>
      <c r="B1784" s="5" t="s">
        <v>34</v>
      </c>
      <c r="D1784" s="5" t="s">
        <v>12010</v>
      </c>
      <c r="E1784" s="5" t="s">
        <v>13994</v>
      </c>
      <c r="F1784" s="5" t="s">
        <v>524</v>
      </c>
      <c r="G1784" s="5" t="s">
        <v>13995</v>
      </c>
      <c r="H1784" s="6" t="s">
        <v>13996</v>
      </c>
      <c r="K1784" s="5" t="s">
        <v>13997</v>
      </c>
    </row>
    <row r="1785">
      <c r="A1785" s="4">
        <v>45534.33702925926</v>
      </c>
      <c r="B1785" s="5" t="s">
        <v>19</v>
      </c>
      <c r="C1785" s="5" t="s">
        <v>14000</v>
      </c>
      <c r="E1785" s="5" t="s">
        <v>14001</v>
      </c>
      <c r="F1785" s="5" t="s">
        <v>37</v>
      </c>
      <c r="G1785" s="5" t="s">
        <v>14002</v>
      </c>
      <c r="H1785" s="6" t="s">
        <v>14003</v>
      </c>
      <c r="K1785" s="5" t="s">
        <v>13997</v>
      </c>
    </row>
    <row r="1786">
      <c r="A1786" s="4">
        <v>45534.33703030093</v>
      </c>
      <c r="B1786" s="5" t="s">
        <v>34</v>
      </c>
      <c r="D1786" s="5" t="s">
        <v>35</v>
      </c>
      <c r="E1786" s="5" t="s">
        <v>9209</v>
      </c>
      <c r="F1786" s="5" t="s">
        <v>524</v>
      </c>
      <c r="G1786" s="5" t="s">
        <v>14007</v>
      </c>
      <c r="H1786" s="6" t="s">
        <v>14008</v>
      </c>
      <c r="I1786" s="7" t="s">
        <v>14009</v>
      </c>
      <c r="J1786" s="8" t="str">
        <f>HYPERLINK("https://drive.google.com/file/d/1bxgscf0tjhJxdWiWBzosNPIdQ6-UKE7Z/view?usp=drivesdk","DWI SETYOWATI SERTIFIKAT BerAKHLAK")</f>
        <v>DWI SETYOWATI SERTIFIKAT BerAKHLAK</v>
      </c>
      <c r="K1786" s="5" t="s">
        <v>13050</v>
      </c>
      <c r="L1786" s="5" t="s">
        <v>14010</v>
      </c>
    </row>
    <row r="1787">
      <c r="A1787" s="4">
        <v>45534.337050625</v>
      </c>
      <c r="B1787" s="5" t="s">
        <v>34</v>
      </c>
      <c r="D1787" s="5" t="s">
        <v>4775</v>
      </c>
      <c r="E1787" s="5" t="s">
        <v>14013</v>
      </c>
      <c r="F1787" s="5" t="s">
        <v>37</v>
      </c>
      <c r="G1787" s="5" t="s">
        <v>14014</v>
      </c>
      <c r="H1787" s="6" t="s">
        <v>14015</v>
      </c>
      <c r="I1787" s="7" t="s">
        <v>14016</v>
      </c>
      <c r="J1787" s="8" t="str">
        <f>HYPERLINK("https://drive.google.com/file/d/1-9WhgO8QxP3ULDWzIGDhH-kb3IMnzRmB/view?usp=drivesdk","DWI PUTRI INDAH ROSYAWATI SERTIFIKAT BerAKHLAK")</f>
        <v>DWI PUTRI INDAH ROSYAWATI SERTIFIKAT BerAKHLAK</v>
      </c>
      <c r="K1787" s="5" t="s">
        <v>13050</v>
      </c>
      <c r="L1787" s="5" t="s">
        <v>14017</v>
      </c>
    </row>
    <row r="1788">
      <c r="A1788" s="4">
        <v>45534.33705077546</v>
      </c>
      <c r="B1788" s="5" t="s">
        <v>34</v>
      </c>
      <c r="D1788" s="5" t="s">
        <v>1206</v>
      </c>
      <c r="E1788" s="5" t="s">
        <v>14020</v>
      </c>
      <c r="F1788" s="5" t="s">
        <v>212</v>
      </c>
      <c r="G1788" s="5" t="s">
        <v>14021</v>
      </c>
      <c r="H1788" s="6" t="s">
        <v>14022</v>
      </c>
      <c r="K1788" s="5" t="s">
        <v>14023</v>
      </c>
    </row>
    <row r="1789">
      <c r="A1789" s="4">
        <v>45534.33705364584</v>
      </c>
      <c r="B1789" s="5" t="s">
        <v>34</v>
      </c>
      <c r="D1789" s="5" t="s">
        <v>996</v>
      </c>
      <c r="E1789" s="5" t="s">
        <v>14026</v>
      </c>
      <c r="F1789" s="5" t="s">
        <v>524</v>
      </c>
      <c r="G1789" s="5" t="s">
        <v>14027</v>
      </c>
      <c r="H1789" s="6" t="s">
        <v>14028</v>
      </c>
      <c r="K1789" s="5" t="s">
        <v>14023</v>
      </c>
    </row>
    <row r="1790">
      <c r="A1790" s="4">
        <v>45534.33707663194</v>
      </c>
      <c r="B1790" s="5" t="s">
        <v>19</v>
      </c>
      <c r="C1790" s="5" t="s">
        <v>3471</v>
      </c>
      <c r="E1790" s="5" t="s">
        <v>14031</v>
      </c>
      <c r="F1790" s="5" t="s">
        <v>108</v>
      </c>
      <c r="G1790" s="5" t="s">
        <v>14032</v>
      </c>
      <c r="H1790" s="6" t="s">
        <v>14033</v>
      </c>
      <c r="K1790" s="5" t="s">
        <v>14034</v>
      </c>
    </row>
    <row r="1791">
      <c r="A1791" s="4">
        <v>45534.33708385417</v>
      </c>
      <c r="B1791" s="5" t="s">
        <v>34</v>
      </c>
      <c r="D1791" s="5" t="s">
        <v>2903</v>
      </c>
      <c r="E1791" s="5" t="s">
        <v>14038</v>
      </c>
      <c r="F1791" s="5" t="s">
        <v>524</v>
      </c>
      <c r="G1791" s="5" t="s">
        <v>14039</v>
      </c>
      <c r="H1791" s="6" t="s">
        <v>14040</v>
      </c>
      <c r="I1791" s="7" t="s">
        <v>14041</v>
      </c>
      <c r="J1791" s="8" t="str">
        <f>HYPERLINK("https://drive.google.com/file/d/1-XH78EL7sP44gYsyTDy6WCMn7IzRCnR3/view?usp=drivesdk","DIAN MAYA SARI POHAN,SKM SERTIFIKAT BerAKHLAK")</f>
        <v>DIAN MAYA SARI POHAN,SKM SERTIFIKAT BerAKHLAK</v>
      </c>
      <c r="K1791" s="5" t="s">
        <v>14042</v>
      </c>
      <c r="L1791" s="5" t="s">
        <v>14043</v>
      </c>
    </row>
    <row r="1792">
      <c r="A1792" s="4">
        <v>45534.337084872684</v>
      </c>
      <c r="B1792" s="5" t="s">
        <v>34</v>
      </c>
      <c r="D1792" s="5" t="s">
        <v>35</v>
      </c>
      <c r="E1792" s="5" t="s">
        <v>14046</v>
      </c>
      <c r="F1792" s="5" t="s">
        <v>212</v>
      </c>
      <c r="G1792" s="5" t="s">
        <v>14047</v>
      </c>
      <c r="H1792" s="6" t="s">
        <v>14048</v>
      </c>
      <c r="I1792" s="7" t="s">
        <v>14049</v>
      </c>
      <c r="J1792" s="8" t="str">
        <f>HYPERLINK("https://drive.google.com/file/d/1UqN-lh_X-iI2U0S9xuob6xTK_r9zcF2s/view?usp=drivesdk","AGUS AGUS AGUS SERTIFIKAT BerAKHLAK")</f>
        <v>AGUS AGUS AGUS SERTIFIKAT BerAKHLAK</v>
      </c>
      <c r="K1792" s="5" t="s">
        <v>14042</v>
      </c>
      <c r="L1792" s="5" t="s">
        <v>14050</v>
      </c>
    </row>
    <row r="1793">
      <c r="A1793" s="4">
        <v>45534.337114953705</v>
      </c>
      <c r="B1793" s="5" t="s">
        <v>19</v>
      </c>
      <c r="C1793" s="5" t="s">
        <v>466</v>
      </c>
      <c r="E1793" s="5" t="s">
        <v>14053</v>
      </c>
      <c r="F1793" s="5" t="s">
        <v>120</v>
      </c>
      <c r="G1793" s="5" t="s">
        <v>14054</v>
      </c>
      <c r="H1793" s="6" t="s">
        <v>14055</v>
      </c>
      <c r="I1793" s="7" t="s">
        <v>14056</v>
      </c>
      <c r="J1793" s="8" t="str">
        <f>HYPERLINK("https://drive.google.com/file/d/1WAxi65R2xR2sE2yrV__-W8MZ1RkBfVCS/view?usp=drivesdk","ILHAM ADITIA CHANDRA SERTIFIKAT BerAKHLAK")</f>
        <v>ILHAM ADITIA CHANDRA SERTIFIKAT BerAKHLAK</v>
      </c>
      <c r="K1793" s="5" t="s">
        <v>14042</v>
      </c>
      <c r="L1793" s="5" t="s">
        <v>14057</v>
      </c>
    </row>
    <row r="1794">
      <c r="A1794" s="4">
        <v>45534.33711849537</v>
      </c>
      <c r="B1794" s="5" t="s">
        <v>34</v>
      </c>
      <c r="D1794" s="5" t="s">
        <v>35</v>
      </c>
      <c r="E1794" s="5" t="s">
        <v>14060</v>
      </c>
      <c r="F1794" s="5" t="s">
        <v>37</v>
      </c>
      <c r="G1794" s="5" t="s">
        <v>14061</v>
      </c>
      <c r="H1794" s="6" t="s">
        <v>14062</v>
      </c>
      <c r="I1794" s="7" t="s">
        <v>14063</v>
      </c>
      <c r="J1794" s="8" t="str">
        <f>HYPERLINK("https://drive.google.com/file/d/1EvYpkJ-8ofVzp4QhZjz0xGchWaOLxb-Z/view?usp=drivesdk","ICIH KARSAH BIN SUPARJA SERTIFIKAT BerAKHLAK")</f>
        <v>ICIH KARSAH BIN SUPARJA SERTIFIKAT BerAKHLAK</v>
      </c>
      <c r="K1794" s="5" t="s">
        <v>14042</v>
      </c>
      <c r="L1794" s="5" t="s">
        <v>14064</v>
      </c>
    </row>
    <row r="1795">
      <c r="A1795" s="4">
        <v>45534.33711954861</v>
      </c>
      <c r="B1795" s="5" t="s">
        <v>19</v>
      </c>
      <c r="C1795" s="5" t="s">
        <v>5564</v>
      </c>
      <c r="E1795" s="5" t="s">
        <v>14067</v>
      </c>
      <c r="F1795" s="5" t="s">
        <v>120</v>
      </c>
      <c r="G1795" s="5" t="s">
        <v>14068</v>
      </c>
      <c r="H1795" s="6" t="s">
        <v>14069</v>
      </c>
      <c r="I1795" s="7" t="s">
        <v>14070</v>
      </c>
      <c r="J1795" s="8" t="str">
        <f>HYPERLINK("https://drive.google.com/file/d/1magmrN3jNXKJTZUhf3iHV6ByQ_cCDk98/view?usp=drivesdk","NETI APRIYATI, S.E, M.M. SERTIFIKAT BerAKHLAK")</f>
        <v>NETI APRIYATI, S.E, M.M. SERTIFIKAT BerAKHLAK</v>
      </c>
      <c r="K1795" s="5" t="s">
        <v>14071</v>
      </c>
      <c r="L1795" s="5" t="s">
        <v>14072</v>
      </c>
    </row>
    <row r="1796">
      <c r="A1796" s="4">
        <v>45534.33716063657</v>
      </c>
      <c r="B1796" s="5" t="s">
        <v>34</v>
      </c>
      <c r="D1796" s="5" t="s">
        <v>4775</v>
      </c>
      <c r="E1796" s="5" t="s">
        <v>6931</v>
      </c>
      <c r="F1796" s="5" t="s">
        <v>212</v>
      </c>
      <c r="G1796" s="5" t="s">
        <v>14076</v>
      </c>
      <c r="H1796" s="6" t="s">
        <v>14077</v>
      </c>
      <c r="I1796" s="7" t="s">
        <v>14078</v>
      </c>
      <c r="J1796" s="8" t="str">
        <f>HYPERLINK("https://drive.google.com/file/d/1WwjOpq4sGC-Naw2VRDT-slFYsl2vu4CU/view?usp=drivesdk","WAHYUNINGSIH SERTIFIKAT BerAKHLAK")</f>
        <v>WAHYUNINGSIH SERTIFIKAT BerAKHLAK</v>
      </c>
      <c r="K1796" s="5" t="s">
        <v>14071</v>
      </c>
      <c r="L1796" s="5" t="s">
        <v>14079</v>
      </c>
    </row>
    <row r="1797">
      <c r="A1797" s="4">
        <v>45534.3371671875</v>
      </c>
      <c r="B1797" s="5" t="s">
        <v>34</v>
      </c>
      <c r="D1797" s="5" t="s">
        <v>4775</v>
      </c>
      <c r="E1797" s="5" t="s">
        <v>14082</v>
      </c>
      <c r="F1797" s="5" t="s">
        <v>108</v>
      </c>
      <c r="G1797" s="5" t="s">
        <v>14083</v>
      </c>
      <c r="H1797" s="6" t="s">
        <v>14084</v>
      </c>
      <c r="I1797" s="7" t="s">
        <v>14085</v>
      </c>
      <c r="J1797" s="8" t="str">
        <f>HYPERLINK("https://drive.google.com/file/d/105HfO6TG3EDe3U3RSU3vvjHTiN3VOS17/view?usp=drivesdk","CHUT RENNY WULANSARI SERTIFIKAT BerAKHLAK")</f>
        <v>CHUT RENNY WULANSARI SERTIFIKAT BerAKHLAK</v>
      </c>
      <c r="K1797" s="5" t="s">
        <v>14071</v>
      </c>
      <c r="L1797" s="5" t="s">
        <v>14086</v>
      </c>
    </row>
    <row r="1798">
      <c r="A1798" s="4">
        <v>45534.33716805556</v>
      </c>
      <c r="B1798" s="5" t="s">
        <v>19</v>
      </c>
      <c r="C1798" s="5" t="s">
        <v>3471</v>
      </c>
      <c r="E1798" s="5" t="s">
        <v>14089</v>
      </c>
      <c r="F1798" s="5" t="s">
        <v>375</v>
      </c>
      <c r="G1798" s="5" t="s">
        <v>14090</v>
      </c>
      <c r="H1798" s="6" t="s">
        <v>14091</v>
      </c>
      <c r="I1798" s="7" t="s">
        <v>14092</v>
      </c>
      <c r="J1798" s="8" t="str">
        <f>HYPERLINK("https://drive.google.com/file/d/1RkdvAhYex9MIpFdlCFyYhqgFAjQByw7n/view?usp=drivesdk","SRI SUGIYANTI SERTIFIKAT BerAKHLAK")</f>
        <v>SRI SUGIYANTI SERTIFIKAT BerAKHLAK</v>
      </c>
      <c r="K1798" s="5" t="s">
        <v>14093</v>
      </c>
      <c r="L1798" s="5" t="s">
        <v>14094</v>
      </c>
    </row>
    <row r="1799">
      <c r="A1799" s="4">
        <v>45534.33718769676</v>
      </c>
      <c r="B1799" s="5" t="s">
        <v>34</v>
      </c>
      <c r="D1799" s="5" t="s">
        <v>4775</v>
      </c>
      <c r="E1799" s="5" t="s">
        <v>14097</v>
      </c>
      <c r="F1799" s="5" t="s">
        <v>524</v>
      </c>
      <c r="G1799" s="5" t="s">
        <v>14098</v>
      </c>
      <c r="H1799" s="6" t="s">
        <v>14099</v>
      </c>
      <c r="I1799" s="7" t="s">
        <v>14100</v>
      </c>
      <c r="J1799" s="8" t="str">
        <f>HYPERLINK("https://drive.google.com/file/d/1LWIJemmQazAhGlbaP1dckJ4IUgcpoxSR/view?usp=drivesdk","WINDI ANDINI PUSPITASARI, S.M. SERTIFIKAT BerAKHLAK")</f>
        <v>WINDI ANDINI PUSPITASARI, S.M. SERTIFIKAT BerAKHLAK</v>
      </c>
      <c r="K1799" s="5" t="s">
        <v>14093</v>
      </c>
      <c r="L1799" s="5" t="s">
        <v>14101</v>
      </c>
    </row>
    <row r="1800">
      <c r="A1800" s="4">
        <v>45534.33722271991</v>
      </c>
      <c r="B1800" s="5" t="s">
        <v>19</v>
      </c>
      <c r="C1800" s="5" t="s">
        <v>3301</v>
      </c>
      <c r="E1800" s="5" t="s">
        <v>14104</v>
      </c>
      <c r="F1800" s="5" t="s">
        <v>37</v>
      </c>
      <c r="G1800" s="5" t="s">
        <v>14105</v>
      </c>
      <c r="H1800" s="6" t="s">
        <v>14106</v>
      </c>
      <c r="I1800" s="7" t="s">
        <v>14107</v>
      </c>
      <c r="J1800" s="8" t="str">
        <f>HYPERLINK("https://drive.google.com/file/d/19Sj_Qjd4NtQ4HJ4lDM-XVriDMDJjNeF4/view?usp=drivesdk","DEWI SEPRIANI, AMK SERTIFIKAT BerAKHLAK")</f>
        <v>DEWI SEPRIANI, AMK SERTIFIKAT BerAKHLAK</v>
      </c>
      <c r="K1800" s="5" t="s">
        <v>14093</v>
      </c>
      <c r="L1800" s="5" t="s">
        <v>14108</v>
      </c>
    </row>
    <row r="1801">
      <c r="A1801" s="4">
        <v>45534.33722290509</v>
      </c>
      <c r="B1801" s="5" t="s">
        <v>34</v>
      </c>
      <c r="D1801" s="5" t="s">
        <v>1768</v>
      </c>
      <c r="E1801" s="5" t="s">
        <v>14112</v>
      </c>
      <c r="F1801" s="5" t="s">
        <v>375</v>
      </c>
      <c r="G1801" s="5" t="s">
        <v>14113</v>
      </c>
      <c r="H1801" s="6" t="s">
        <v>14114</v>
      </c>
      <c r="I1801" s="7" t="s">
        <v>14115</v>
      </c>
      <c r="J1801" s="8" t="str">
        <f>HYPERLINK("https://drive.google.com/file/d/1vDP6AEsi53GpOSdnWsjDyry4QTqvbBUp/view?usp=drivesdk","HERU SANTOSO SE SERTIFIKAT BerAKHLAK")</f>
        <v>HERU SANTOSO SE SERTIFIKAT BerAKHLAK</v>
      </c>
      <c r="K1801" s="5" t="s">
        <v>14116</v>
      </c>
      <c r="L1801" s="5" t="s">
        <v>14117</v>
      </c>
    </row>
    <row r="1802">
      <c r="A1802" s="4">
        <v>45534.33723819444</v>
      </c>
      <c r="B1802" s="5" t="s">
        <v>34</v>
      </c>
      <c r="D1802" s="5" t="s">
        <v>9020</v>
      </c>
      <c r="E1802" s="5" t="s">
        <v>14120</v>
      </c>
      <c r="F1802" s="5" t="s">
        <v>524</v>
      </c>
      <c r="G1802" s="5" t="s">
        <v>14121</v>
      </c>
      <c r="H1802" s="6" t="s">
        <v>14122</v>
      </c>
      <c r="I1802" s="7" t="s">
        <v>14123</v>
      </c>
      <c r="J1802" s="8" t="str">
        <f>HYPERLINK("https://drive.google.com/file/d/148V_i44FYLo_w8ZhjIKuCFoXg7Kkhf78/view?usp=drivesdk","MONANG SANTO SIBARANI, S.E. SERTIFIKAT BerAKHLAK")</f>
        <v>MONANG SANTO SIBARANI, S.E. SERTIFIKAT BerAKHLAK</v>
      </c>
      <c r="K1802" s="5" t="s">
        <v>14116</v>
      </c>
      <c r="L1802" s="5" t="s">
        <v>14124</v>
      </c>
    </row>
    <row r="1803">
      <c r="A1803" s="4">
        <v>45534.33724356482</v>
      </c>
      <c r="B1803" s="5" t="s">
        <v>34</v>
      </c>
      <c r="D1803" s="5" t="s">
        <v>35</v>
      </c>
      <c r="E1803" s="5" t="s">
        <v>14127</v>
      </c>
      <c r="F1803" s="5" t="s">
        <v>328</v>
      </c>
      <c r="G1803" s="5" t="s">
        <v>14128</v>
      </c>
      <c r="H1803" s="6" t="s">
        <v>14129</v>
      </c>
      <c r="I1803" s="7" t="s">
        <v>14130</v>
      </c>
      <c r="J1803" s="8" t="str">
        <f>HYPERLINK("https://drive.google.com/file/d/1S8ohR7Ja_cYFZTUtOb2F45ORdW5BBbm1/view?usp=drivesdk","JUMAN JUMAN JUMAN SERTIFIKAT BerAKHLAK")</f>
        <v>JUMAN JUMAN JUMAN SERTIFIKAT BerAKHLAK</v>
      </c>
      <c r="K1803" s="5" t="s">
        <v>13050</v>
      </c>
      <c r="L1803" s="5" t="s">
        <v>14131</v>
      </c>
    </row>
    <row r="1804">
      <c r="A1804" s="4">
        <v>45534.337250358796</v>
      </c>
      <c r="B1804" s="5" t="s">
        <v>19</v>
      </c>
      <c r="C1804" s="5" t="s">
        <v>3301</v>
      </c>
      <c r="E1804" s="5" t="s">
        <v>14134</v>
      </c>
      <c r="F1804" s="5" t="s">
        <v>37</v>
      </c>
      <c r="G1804" s="5" t="s">
        <v>14135</v>
      </c>
      <c r="H1804" s="6" t="s">
        <v>14136</v>
      </c>
      <c r="I1804" s="7" t="s">
        <v>14137</v>
      </c>
      <c r="J1804" s="8" t="str">
        <f>HYPERLINK("https://drive.google.com/file/d/1KYotS8THPWyU0gi8Dq5VnlF2Qm9s0IVB/view?usp=drivesdk","DIAN AYU SEPTIANA SIMORANGKIR SERTIFIKAT BerAKHLAK")</f>
        <v>DIAN AYU SEPTIANA SIMORANGKIR SERTIFIKAT BerAKHLAK</v>
      </c>
      <c r="K1804" s="5" t="s">
        <v>14042</v>
      </c>
      <c r="L1804" s="5" t="s">
        <v>14138</v>
      </c>
    </row>
    <row r="1805">
      <c r="A1805" s="4">
        <v>45534.33726327546</v>
      </c>
      <c r="B1805" s="5" t="s">
        <v>34</v>
      </c>
      <c r="D1805" s="5" t="s">
        <v>1768</v>
      </c>
      <c r="E1805" s="5" t="s">
        <v>14141</v>
      </c>
      <c r="F1805" s="5" t="s">
        <v>37</v>
      </c>
      <c r="G1805" s="5" t="s">
        <v>14142</v>
      </c>
      <c r="H1805" s="6" t="s">
        <v>14143</v>
      </c>
      <c r="I1805" s="7" t="s">
        <v>14144</v>
      </c>
      <c r="J1805" s="8" t="str">
        <f>HYPERLINK("https://drive.google.com/file/d/1g-1-49_KPKAQt8dhshqXqMsizj61qv_V/view?usp=drivesdk","PENGATUR TAJERIANI SERTIFIKAT BerAKHLAK")</f>
        <v>PENGATUR TAJERIANI SERTIFIKAT BerAKHLAK</v>
      </c>
      <c r="K1805" s="5" t="s">
        <v>14042</v>
      </c>
      <c r="L1805" s="5" t="s">
        <v>14145</v>
      </c>
    </row>
    <row r="1806">
      <c r="A1806" s="4">
        <v>45534.33727130787</v>
      </c>
      <c r="B1806" s="5" t="s">
        <v>34</v>
      </c>
      <c r="D1806" s="5" t="s">
        <v>4775</v>
      </c>
      <c r="E1806" s="5" t="s">
        <v>14149</v>
      </c>
      <c r="F1806" s="5" t="s">
        <v>199</v>
      </c>
      <c r="G1806" s="5" t="s">
        <v>14150</v>
      </c>
      <c r="H1806" s="6" t="s">
        <v>14151</v>
      </c>
      <c r="I1806" s="7" t="s">
        <v>14152</v>
      </c>
      <c r="J1806" s="8" t="str">
        <f>HYPERLINK("https://drive.google.com/file/d/11rk0W9FOgJwcEmN8ZJDaq__wmuZpoDYH/view?usp=drivesdk","IMAM NURYANTO SERTIFIKAT BerAKHLAK")</f>
        <v>IMAM NURYANTO SERTIFIKAT BerAKHLAK</v>
      </c>
      <c r="K1806" s="5" t="s">
        <v>14042</v>
      </c>
      <c r="L1806" s="5" t="s">
        <v>14153</v>
      </c>
    </row>
    <row r="1807">
      <c r="A1807" s="4">
        <v>45534.337269571755</v>
      </c>
      <c r="B1807" s="5" t="s">
        <v>34</v>
      </c>
      <c r="D1807" s="5" t="s">
        <v>1456</v>
      </c>
      <c r="E1807" s="5" t="s">
        <v>14156</v>
      </c>
      <c r="F1807" s="5" t="s">
        <v>37</v>
      </c>
      <c r="G1807" s="5" t="s">
        <v>14157</v>
      </c>
      <c r="H1807" s="6" t="s">
        <v>14158</v>
      </c>
      <c r="I1807" s="7" t="s">
        <v>14159</v>
      </c>
      <c r="J1807" s="8" t="str">
        <f>HYPERLINK("https://drive.google.com/file/d/17iX2oFueLA8RwFYhGrzZrSh6y6-EEEPf/view?usp=drivesdk","FITRI DEWI KURNIA, A.Md. Kep SERTIFIKAT BerAKHLAK")</f>
        <v>FITRI DEWI KURNIA, A.Md. Kep SERTIFIKAT BerAKHLAK</v>
      </c>
      <c r="K1807" s="5" t="s">
        <v>14042</v>
      </c>
      <c r="L1807" s="5" t="s">
        <v>14160</v>
      </c>
    </row>
    <row r="1808">
      <c r="A1808" s="4">
        <v>45534.33727931713</v>
      </c>
      <c r="B1808" s="5" t="s">
        <v>34</v>
      </c>
      <c r="D1808" s="5" t="s">
        <v>1206</v>
      </c>
      <c r="E1808" s="5" t="s">
        <v>14163</v>
      </c>
      <c r="F1808" s="5" t="s">
        <v>212</v>
      </c>
      <c r="G1808" s="5" t="s">
        <v>14164</v>
      </c>
      <c r="H1808" s="6" t="s">
        <v>14165</v>
      </c>
      <c r="I1808" s="7" t="s">
        <v>14166</v>
      </c>
      <c r="J1808" s="8" t="str">
        <f>HYPERLINK("https://drive.google.com/file/d/10dMzESJVreq5quJtPGQklDRDzt2ZuN-N/view?usp=drivesdk","SINTA KHARISMA DEWI SERTIFIKAT BerAKHLAK")</f>
        <v>SINTA KHARISMA DEWI SERTIFIKAT BerAKHLAK</v>
      </c>
      <c r="K1808" s="5" t="s">
        <v>13050</v>
      </c>
      <c r="L1808" s="5" t="s">
        <v>14167</v>
      </c>
    </row>
    <row r="1809">
      <c r="A1809" s="4">
        <v>45534.33729510417</v>
      </c>
      <c r="B1809" s="5" t="s">
        <v>34</v>
      </c>
      <c r="D1809" s="5" t="s">
        <v>2903</v>
      </c>
      <c r="E1809" s="5" t="s">
        <v>14170</v>
      </c>
      <c r="F1809" s="5" t="s">
        <v>375</v>
      </c>
      <c r="G1809" s="5" t="s">
        <v>14171</v>
      </c>
      <c r="H1809" s="6" t="s">
        <v>14172</v>
      </c>
      <c r="I1809" s="7" t="s">
        <v>14173</v>
      </c>
      <c r="J1809" s="8" t="str">
        <f>HYPERLINK("https://drive.google.com/file/d/1Ktd0P2RVcA7UUtGZn7KYGkrkZbRoqRYF/view?usp=drivesdk","Ns. BETNY SUSANTI, S.Kep SERTIFIKAT BerAKHLAK")</f>
        <v>Ns. BETNY SUSANTI, S.Kep SERTIFIKAT BerAKHLAK</v>
      </c>
      <c r="K1809" s="5" t="s">
        <v>14042</v>
      </c>
      <c r="L1809" s="5" t="s">
        <v>14174</v>
      </c>
    </row>
    <row r="1810">
      <c r="A1810" s="4">
        <v>45534.33729765046</v>
      </c>
      <c r="B1810" s="5" t="s">
        <v>34</v>
      </c>
      <c r="D1810" s="5" t="s">
        <v>35</v>
      </c>
      <c r="E1810" s="5" t="s">
        <v>14177</v>
      </c>
      <c r="F1810" s="5" t="s">
        <v>212</v>
      </c>
      <c r="G1810" s="5" t="s">
        <v>14178</v>
      </c>
      <c r="H1810" s="6" t="s">
        <v>14179</v>
      </c>
      <c r="I1810" s="7" t="s">
        <v>14180</v>
      </c>
      <c r="J1810" s="8" t="str">
        <f>HYPERLINK("https://drive.google.com/file/d/1d9cO9u4Lr1XOwyyrw7DU2uoj67dg2_oS/view?usp=drivesdk","AEP SAEPUDIN, AMK  SERTIFIKAT BerAKHLAK")</f>
        <v>AEP SAEPUDIN, AMK  SERTIFIKAT BerAKHLAK</v>
      </c>
      <c r="K1810" s="5" t="s">
        <v>14042</v>
      </c>
      <c r="L1810" s="5" t="s">
        <v>14181</v>
      </c>
    </row>
    <row r="1811">
      <c r="A1811" s="4">
        <v>45534.337307256945</v>
      </c>
      <c r="B1811" s="5" t="s">
        <v>34</v>
      </c>
      <c r="D1811" s="5" t="s">
        <v>1206</v>
      </c>
      <c r="E1811" s="5" t="s">
        <v>12106</v>
      </c>
      <c r="F1811" s="5" t="s">
        <v>212</v>
      </c>
      <c r="G1811" s="5" t="s">
        <v>14184</v>
      </c>
      <c r="H1811" s="6" t="s">
        <v>14185</v>
      </c>
      <c r="I1811" s="7" t="s">
        <v>14186</v>
      </c>
      <c r="J1811" s="8" t="str">
        <f>HYPERLINK("https://drive.google.com/file/d/1KHP6Dn32Le_Y71ZRKeJCP4RttrIq8X_n/view?usp=drivesdk","MOHAMMAD SALEH SERTIFIKAT BerAKHLAK")</f>
        <v>MOHAMMAD SALEH SERTIFIKAT BerAKHLAK</v>
      </c>
      <c r="K1811" s="5" t="s">
        <v>14042</v>
      </c>
      <c r="L1811" s="5" t="s">
        <v>14187</v>
      </c>
    </row>
    <row r="1812">
      <c r="A1812" s="4">
        <v>45534.33730777778</v>
      </c>
      <c r="B1812" s="5" t="s">
        <v>34</v>
      </c>
      <c r="D1812" s="5" t="s">
        <v>604</v>
      </c>
      <c r="E1812" s="5" t="s">
        <v>14191</v>
      </c>
      <c r="F1812" s="5" t="s">
        <v>108</v>
      </c>
      <c r="G1812" s="5" t="s">
        <v>14192</v>
      </c>
      <c r="H1812" s="6" t="s">
        <v>14193</v>
      </c>
      <c r="I1812" s="7" t="s">
        <v>14194</v>
      </c>
      <c r="J1812" s="8" t="str">
        <f>HYPERLINK("https://drive.google.com/file/d/1ysswZmBkyJzHr8iwf8k0W-ghLxp0k_eD/view?usp=drivesdk","EKA ASNITA SIHOMBING, SE SERTIFIKAT BerAKHLAK")</f>
        <v>EKA ASNITA SIHOMBING, SE SERTIFIKAT BerAKHLAK</v>
      </c>
      <c r="K1812" s="5" t="s">
        <v>14042</v>
      </c>
      <c r="L1812" s="5" t="s">
        <v>14195</v>
      </c>
    </row>
    <row r="1813">
      <c r="A1813" s="4">
        <v>45534.337312118056</v>
      </c>
      <c r="B1813" s="5" t="s">
        <v>34</v>
      </c>
      <c r="D1813" s="5" t="s">
        <v>9394</v>
      </c>
      <c r="E1813" s="5" t="s">
        <v>14198</v>
      </c>
      <c r="F1813" s="5" t="s">
        <v>37</v>
      </c>
      <c r="G1813" s="5" t="s">
        <v>14199</v>
      </c>
      <c r="H1813" s="6" t="s">
        <v>14200</v>
      </c>
      <c r="I1813" s="7" t="s">
        <v>14201</v>
      </c>
      <c r="J1813" s="8" t="str">
        <f>HYPERLINK("https://drive.google.com/file/d/1VuniJKUxrio-hJrCwiJz-ADHQZqBdgvi/view?usp=drivesdk","PEBRIYENAPUTRI SERTIFIKAT BerAKHLAK")</f>
        <v>PEBRIYENAPUTRI SERTIFIKAT BerAKHLAK</v>
      </c>
      <c r="K1813" s="5" t="s">
        <v>14071</v>
      </c>
      <c r="L1813" s="5" t="s">
        <v>14202</v>
      </c>
    </row>
    <row r="1814">
      <c r="A1814" s="4">
        <v>45534.3373647338</v>
      </c>
      <c r="B1814" s="5" t="s">
        <v>34</v>
      </c>
      <c r="D1814" s="5" t="s">
        <v>522</v>
      </c>
      <c r="E1814" s="5" t="s">
        <v>14205</v>
      </c>
      <c r="F1814" s="5" t="s">
        <v>375</v>
      </c>
      <c r="G1814" s="5" t="s">
        <v>14206</v>
      </c>
      <c r="H1814" s="6" t="s">
        <v>14207</v>
      </c>
      <c r="I1814" s="7" t="s">
        <v>14208</v>
      </c>
      <c r="J1814" s="8" t="str">
        <f>HYPERLINK("https://drive.google.com/file/d/11br8Pp4rHqqN06n46mQGtYLXSDnajIwW/view?usp=drivesdk","I KETUT JAYA MARNIKA, S.Kom SERTIFIKAT BerAKHLAK")</f>
        <v>I KETUT JAYA MARNIKA, S.Kom SERTIFIKAT BerAKHLAK</v>
      </c>
      <c r="K1814" s="5" t="s">
        <v>13050</v>
      </c>
      <c r="L1814" s="5" t="s">
        <v>14209</v>
      </c>
    </row>
    <row r="1815">
      <c r="A1815" s="4">
        <v>45534.33736607639</v>
      </c>
      <c r="B1815" s="5" t="s">
        <v>34</v>
      </c>
      <c r="D1815" s="5" t="s">
        <v>1206</v>
      </c>
      <c r="E1815" s="5" t="s">
        <v>14212</v>
      </c>
      <c r="F1815" s="5" t="s">
        <v>212</v>
      </c>
      <c r="G1815" s="5" t="s">
        <v>14213</v>
      </c>
      <c r="H1815" s="6" t="s">
        <v>14214</v>
      </c>
      <c r="I1815" s="7" t="s">
        <v>14215</v>
      </c>
      <c r="J1815" s="8" t="str">
        <f>HYPERLINK("https://drive.google.com/file/d/1GacSAzAJ4thE6HD2gDpyKSM9D8kRNMWP/view?usp=drivesdk","SITI SYUFRIYAH  SERTIFIKAT BerAKHLAK")</f>
        <v>SITI SYUFRIYAH  SERTIFIKAT BerAKHLAK</v>
      </c>
      <c r="K1815" s="5" t="s">
        <v>14042</v>
      </c>
      <c r="L1815" s="5" t="s">
        <v>14216</v>
      </c>
    </row>
    <row r="1816">
      <c r="A1816" s="4">
        <v>45534.337377268515</v>
      </c>
      <c r="B1816" s="5" t="s">
        <v>34</v>
      </c>
      <c r="D1816" s="5" t="s">
        <v>2903</v>
      </c>
      <c r="E1816" s="5" t="s">
        <v>14219</v>
      </c>
      <c r="F1816" s="5" t="s">
        <v>22</v>
      </c>
      <c r="G1816" s="5" t="s">
        <v>14220</v>
      </c>
      <c r="H1816" s="6" t="s">
        <v>14221</v>
      </c>
      <c r="I1816" s="7" t="s">
        <v>14222</v>
      </c>
      <c r="J1816" s="8" t="str">
        <f>HYPERLINK("https://drive.google.com/file/d/1gPody9QITivkztSYuF1nmqbSAZ0C463s/view?usp=drivesdk","dr MARYATUL AINI SERTIFIKAT BerAKHLAK")</f>
        <v>dr MARYATUL AINI SERTIFIKAT BerAKHLAK</v>
      </c>
      <c r="K1816" s="5" t="s">
        <v>14042</v>
      </c>
      <c r="L1816" s="5" t="s">
        <v>14223</v>
      </c>
    </row>
    <row r="1817">
      <c r="A1817" s="4">
        <v>45534.337381261576</v>
      </c>
      <c r="B1817" s="5" t="s">
        <v>19</v>
      </c>
      <c r="C1817" s="5" t="s">
        <v>292</v>
      </c>
      <c r="E1817" s="5" t="s">
        <v>14226</v>
      </c>
      <c r="F1817" s="5" t="s">
        <v>375</v>
      </c>
      <c r="G1817" s="5" t="s">
        <v>14227</v>
      </c>
      <c r="H1817" s="6" t="s">
        <v>14228</v>
      </c>
      <c r="I1817" s="7" t="s">
        <v>14229</v>
      </c>
      <c r="J1817" s="8" t="str">
        <f>HYPERLINK("https://drive.google.com/file/d/1IiOmM0iCKY1ELhuz4XBHPej2lf6K-nmY/view?usp=drivesdk","YANTI SISWANTI,S.ST,Bd SERTIFIKAT BerAKHLAK")</f>
        <v>YANTI SISWANTI,S.ST,Bd SERTIFIKAT BerAKHLAK</v>
      </c>
      <c r="K1817" s="5" t="s">
        <v>14042</v>
      </c>
      <c r="L1817" s="5" t="s">
        <v>14230</v>
      </c>
    </row>
    <row r="1818">
      <c r="A1818" s="4">
        <v>45534.33739487268</v>
      </c>
      <c r="B1818" s="5" t="s">
        <v>19</v>
      </c>
      <c r="C1818" s="5" t="s">
        <v>14000</v>
      </c>
      <c r="E1818" s="5" t="s">
        <v>14234</v>
      </c>
      <c r="F1818" s="5" t="s">
        <v>375</v>
      </c>
      <c r="G1818" s="5" t="s">
        <v>14235</v>
      </c>
      <c r="H1818" s="6" t="s">
        <v>14236</v>
      </c>
      <c r="I1818" s="7" t="s">
        <v>14237</v>
      </c>
      <c r="J1818" s="8" t="str">
        <f>HYPERLINK("https://drive.google.com/file/d/1exLPGguGzIBHOEoRXyghtzTqQsXD_aKP/view?usp=drivesdk","NURFITRI HARDHIANTY, S.E.  SERTIFIKAT BerAKHLAK")</f>
        <v>NURFITRI HARDHIANTY, S.E.  SERTIFIKAT BerAKHLAK</v>
      </c>
      <c r="K1818" s="5" t="s">
        <v>14042</v>
      </c>
      <c r="L1818" s="5" t="s">
        <v>14238</v>
      </c>
    </row>
    <row r="1819">
      <c r="A1819" s="4">
        <v>45534.33740443287</v>
      </c>
      <c r="B1819" s="5" t="s">
        <v>34</v>
      </c>
      <c r="D1819" s="5" t="s">
        <v>9020</v>
      </c>
      <c r="E1819" s="5" t="s">
        <v>14241</v>
      </c>
      <c r="F1819" s="5" t="s">
        <v>375</v>
      </c>
      <c r="G1819" s="5" t="s">
        <v>14242</v>
      </c>
      <c r="H1819" s="6" t="s">
        <v>14243</v>
      </c>
      <c r="I1819" s="7" t="s">
        <v>14244</v>
      </c>
      <c r="J1819" s="8" t="str">
        <f>HYPERLINK("https://drive.google.com/file/d/14LMXoNXMAd_T6y9wWAKGkUpJ53b0oDvz/view?usp=drivesdk","RAMA NOVIANTI SERTIFIKAT BerAKHLAK")</f>
        <v>RAMA NOVIANTI SERTIFIKAT BerAKHLAK</v>
      </c>
      <c r="K1819" s="5" t="s">
        <v>14042</v>
      </c>
      <c r="L1819" s="5" t="s">
        <v>14245</v>
      </c>
    </row>
    <row r="1820">
      <c r="A1820" s="4">
        <v>45534.337432002314</v>
      </c>
      <c r="B1820" s="5" t="s">
        <v>34</v>
      </c>
      <c r="D1820" s="5" t="s">
        <v>10444</v>
      </c>
      <c r="E1820" s="5" t="s">
        <v>14248</v>
      </c>
      <c r="F1820" s="5" t="s">
        <v>37</v>
      </c>
      <c r="G1820" s="5" t="s">
        <v>14249</v>
      </c>
      <c r="H1820" s="6" t="s">
        <v>14250</v>
      </c>
      <c r="I1820" s="7" t="s">
        <v>14251</v>
      </c>
      <c r="J1820" s="8" t="str">
        <f>HYPERLINK("https://drive.google.com/file/d/1d7GciCrGGnjouA5bSUTamtRSW4aVdsYj/view?usp=drivesdk","ARRUM SETIA NINGRUM, A.MD.,FARM SERTIFIKAT BerAKHLAK")</f>
        <v>ARRUM SETIA NINGRUM, A.MD.,FARM SERTIFIKAT BerAKHLAK</v>
      </c>
      <c r="K1820" s="5" t="s">
        <v>14042</v>
      </c>
      <c r="L1820" s="5" t="s">
        <v>14252</v>
      </c>
    </row>
    <row r="1821">
      <c r="A1821" s="4">
        <v>45534.3374378588</v>
      </c>
      <c r="B1821" s="5" t="s">
        <v>19</v>
      </c>
      <c r="C1821" s="5" t="s">
        <v>292</v>
      </c>
      <c r="E1821" s="5" t="s">
        <v>14255</v>
      </c>
      <c r="F1821" s="5" t="s">
        <v>72</v>
      </c>
      <c r="G1821" s="5" t="s">
        <v>14256</v>
      </c>
      <c r="H1821" s="6" t="s">
        <v>14257</v>
      </c>
      <c r="I1821" s="7" t="s">
        <v>14258</v>
      </c>
      <c r="J1821" s="8" t="str">
        <f>HYPERLINK("https://drive.google.com/file/d/1mSLuw6ViCu52jgSCRPZHywgQtZ9sUDZA/view?usp=drivesdk","Rr. WIWIT SRI SURATIWI INDRA SUBEKTI, A.Md SERTIFIKAT BerAKHLAK")</f>
        <v>Rr. WIWIT SRI SURATIWI INDRA SUBEKTI, A.Md SERTIFIKAT BerAKHLAK</v>
      </c>
      <c r="K1821" s="5" t="s">
        <v>14042</v>
      </c>
      <c r="L1821" s="5" t="s">
        <v>14259</v>
      </c>
    </row>
    <row r="1822">
      <c r="A1822" s="4">
        <v>45534.33744270833</v>
      </c>
      <c r="B1822" s="5" t="s">
        <v>34</v>
      </c>
      <c r="D1822" s="5" t="s">
        <v>267</v>
      </c>
      <c r="E1822" s="5" t="s">
        <v>14262</v>
      </c>
      <c r="F1822" s="5" t="s">
        <v>375</v>
      </c>
      <c r="G1822" s="5" t="s">
        <v>14263</v>
      </c>
      <c r="H1822" s="6" t="s">
        <v>14264</v>
      </c>
      <c r="I1822" s="7" t="s">
        <v>14265</v>
      </c>
      <c r="J1822" s="8" t="str">
        <f>HYPERLINK("https://drive.google.com/file/d/1mqwzGTmKDunUqgHq2FLWNyi_0unbfNHY/view?usp=drivesdk","URIP ANDIKA PUSPITANINGSIH SERTIFIKAT BerAKHLAK")</f>
        <v>URIP ANDIKA PUSPITANINGSIH SERTIFIKAT BerAKHLAK</v>
      </c>
      <c r="K1822" s="5" t="s">
        <v>14042</v>
      </c>
      <c r="L1822" s="5" t="s">
        <v>14266</v>
      </c>
    </row>
    <row r="1823">
      <c r="A1823" s="4">
        <v>45534.33745186342</v>
      </c>
      <c r="B1823" s="5" t="s">
        <v>34</v>
      </c>
      <c r="D1823" s="5" t="s">
        <v>12978</v>
      </c>
      <c r="E1823" s="5" t="s">
        <v>14269</v>
      </c>
      <c r="F1823" s="5" t="s">
        <v>212</v>
      </c>
      <c r="G1823" s="5" t="s">
        <v>14270</v>
      </c>
      <c r="H1823" s="6" t="s">
        <v>14271</v>
      </c>
      <c r="I1823" s="7" t="s">
        <v>14272</v>
      </c>
      <c r="J1823" s="8" t="str">
        <f>HYPERLINK("https://drive.google.com/file/d/1JXoHjyaO3PlQ0rMLVPVAJenEbzQLLGN_/view?usp=drivesdk","SEPTI HARMIYATY, S.H. SERTIFIKAT BerAKHLAK")</f>
        <v>SEPTI HARMIYATY, S.H. SERTIFIKAT BerAKHLAK</v>
      </c>
      <c r="K1823" s="5" t="s">
        <v>14042</v>
      </c>
      <c r="L1823" s="5" t="s">
        <v>14273</v>
      </c>
    </row>
    <row r="1824">
      <c r="A1824" s="4">
        <v>45534.33745506944</v>
      </c>
      <c r="B1824" s="5" t="s">
        <v>34</v>
      </c>
      <c r="D1824" s="5" t="s">
        <v>12010</v>
      </c>
      <c r="E1824" s="5" t="s">
        <v>14277</v>
      </c>
      <c r="F1824" s="5" t="s">
        <v>37</v>
      </c>
      <c r="G1824" s="5" t="s">
        <v>14278</v>
      </c>
      <c r="H1824" s="6" t="s">
        <v>14279</v>
      </c>
      <c r="I1824" s="7" t="s">
        <v>14280</v>
      </c>
      <c r="J1824" s="8" t="str">
        <f>HYPERLINK("https://drive.google.com/file/d/1AD1HPbf7sBnK2FKo3QbNyz3DaOVbXe4m/view?usp=drivesdk","BUHAERA KASIM SERTIFIKAT BerAKHLAK")</f>
        <v>BUHAERA KASIM SERTIFIKAT BerAKHLAK</v>
      </c>
      <c r="K1824" s="5" t="s">
        <v>14042</v>
      </c>
      <c r="L1824" s="5" t="s">
        <v>14281</v>
      </c>
    </row>
    <row r="1825">
      <c r="A1825" s="4">
        <v>45534.33746671297</v>
      </c>
      <c r="B1825" s="5" t="s">
        <v>34</v>
      </c>
      <c r="D1825" s="5" t="s">
        <v>996</v>
      </c>
      <c r="E1825" s="5" t="s">
        <v>14284</v>
      </c>
      <c r="F1825" s="5" t="s">
        <v>212</v>
      </c>
      <c r="G1825" s="5" t="s">
        <v>14285</v>
      </c>
      <c r="H1825" s="6" t="s">
        <v>14286</v>
      </c>
      <c r="I1825" s="7" t="s">
        <v>14287</v>
      </c>
      <c r="J1825" s="8" t="str">
        <f>HYPERLINK("https://drive.google.com/file/d/1k0GhNjCOOWfUGoi5Fyb33beuQ7obfo9d/view?usp=drivesdk","WINARTIN LIVIANA SERTIFIKAT BerAKHLAK")</f>
        <v>WINARTIN LIVIANA SERTIFIKAT BerAKHLAK</v>
      </c>
      <c r="K1825" s="5" t="s">
        <v>14042</v>
      </c>
      <c r="L1825" s="5" t="s">
        <v>14288</v>
      </c>
    </row>
    <row r="1826">
      <c r="A1826" s="4">
        <v>45534.33747182871</v>
      </c>
      <c r="B1826" s="5" t="s">
        <v>34</v>
      </c>
      <c r="D1826" s="5" t="s">
        <v>9020</v>
      </c>
      <c r="E1826" s="5" t="s">
        <v>14291</v>
      </c>
      <c r="F1826" s="5" t="s">
        <v>524</v>
      </c>
      <c r="G1826" s="5" t="s">
        <v>14292</v>
      </c>
      <c r="H1826" s="6" t="s">
        <v>14293</v>
      </c>
      <c r="I1826" s="7" t="s">
        <v>14294</v>
      </c>
      <c r="J1826" s="8" t="str">
        <f>HYPERLINK("https://drive.google.com/file/d/12vz9QNOE1WptkycT825D9CrSz0CS_p9n/view?usp=drivesdk","SERITA BR SEBAYANG SERTIFIKAT BerAKHLAK")</f>
        <v>SERITA BR SEBAYANG SERTIFIKAT BerAKHLAK</v>
      </c>
      <c r="K1826" s="5" t="s">
        <v>14042</v>
      </c>
      <c r="L1826" s="5" t="s">
        <v>14295</v>
      </c>
    </row>
    <row r="1827">
      <c r="A1827" s="4">
        <v>45534.33747842592</v>
      </c>
      <c r="B1827" s="5" t="s">
        <v>34</v>
      </c>
      <c r="D1827" s="5" t="s">
        <v>10444</v>
      </c>
      <c r="E1827" s="5" t="s">
        <v>14298</v>
      </c>
      <c r="F1827" s="5" t="s">
        <v>108</v>
      </c>
      <c r="G1827" s="5" t="s">
        <v>14299</v>
      </c>
      <c r="H1827" s="6" t="s">
        <v>14300</v>
      </c>
      <c r="I1827" s="7" t="s">
        <v>14301</v>
      </c>
      <c r="J1827" s="8" t="str">
        <f>HYPERLINK("https://drive.google.com/file/d/1911wItE34FDGOiKEgvVJ3yQBbxXYz-bP/view?usp=drivesdk","DRG. NOVELYA, M.BIOMED SERTIFIKAT BerAKHLAK")</f>
        <v>DRG. NOVELYA, M.BIOMED SERTIFIKAT BerAKHLAK</v>
      </c>
      <c r="K1827" s="5" t="s">
        <v>14042</v>
      </c>
      <c r="L1827" s="5" t="s">
        <v>14302</v>
      </c>
    </row>
    <row r="1828">
      <c r="A1828" s="4">
        <v>45534.33748982639</v>
      </c>
      <c r="B1828" s="5" t="s">
        <v>34</v>
      </c>
      <c r="D1828" s="5" t="s">
        <v>2903</v>
      </c>
      <c r="E1828" s="5" t="s">
        <v>14305</v>
      </c>
      <c r="F1828" s="5" t="s">
        <v>108</v>
      </c>
      <c r="G1828" s="5" t="s">
        <v>14306</v>
      </c>
      <c r="H1828" s="6" t="s">
        <v>14307</v>
      </c>
      <c r="I1828" s="7" t="s">
        <v>14308</v>
      </c>
      <c r="J1828" s="8" t="str">
        <f>HYPERLINK("https://drive.google.com/file/d/1EBbnI6AGjPojDcTNz0-e1Xf-n1za88AO/view?usp=drivesdk","SIS UNTARI WERDINI SERTIFIKAT BerAKHLAK")</f>
        <v>SIS UNTARI WERDINI SERTIFIKAT BerAKHLAK</v>
      </c>
      <c r="K1828" s="5" t="s">
        <v>14042</v>
      </c>
      <c r="L1828" s="5" t="s">
        <v>14309</v>
      </c>
    </row>
    <row r="1829">
      <c r="A1829" s="4">
        <v>45534.3374947338</v>
      </c>
      <c r="B1829" s="5" t="s">
        <v>34</v>
      </c>
      <c r="D1829" s="5" t="s">
        <v>14313</v>
      </c>
      <c r="E1829" s="5" t="s">
        <v>14314</v>
      </c>
      <c r="F1829" s="5" t="s">
        <v>715</v>
      </c>
      <c r="G1829" s="5" t="s">
        <v>14315</v>
      </c>
      <c r="H1829" s="6" t="s">
        <v>14316</v>
      </c>
      <c r="I1829" s="7" t="s">
        <v>14317</v>
      </c>
      <c r="J1829" s="8" t="str">
        <f>HYPERLINK("https://drive.google.com/file/d/1oa3af1i9h8-63Bc4HIuuPwHZoECTIQb0/view?usp=drivesdk","SATRIANA MEILIANI M, A.Md.Kep SERTIFIKAT BerAKHLAK")</f>
        <v>SATRIANA MEILIANI M, A.Md.Kep SERTIFIKAT BerAKHLAK</v>
      </c>
      <c r="K1829" s="5" t="s">
        <v>14042</v>
      </c>
      <c r="L1829" s="5" t="s">
        <v>14318</v>
      </c>
    </row>
    <row r="1830">
      <c r="A1830" s="4">
        <v>45534.33751236111</v>
      </c>
      <c r="B1830" s="5" t="s">
        <v>34</v>
      </c>
      <c r="D1830" s="5" t="s">
        <v>6232</v>
      </c>
      <c r="E1830" s="5" t="s">
        <v>14321</v>
      </c>
      <c r="F1830" s="5" t="s">
        <v>37</v>
      </c>
      <c r="G1830" s="5" t="s">
        <v>14322</v>
      </c>
      <c r="H1830" s="6" t="s">
        <v>14323</v>
      </c>
      <c r="I1830" s="7" t="s">
        <v>14324</v>
      </c>
      <c r="J1830" s="8" t="str">
        <f>HYPERLINK("https://drive.google.com/file/d/1hpeTvhSWiAZp1ZrX_hyeXQlhcPsDqYhP/view?usp=drivesdk","CHINDI VAN ARISTA, Am.Kep SERTIFIKAT BerAKHLAK")</f>
        <v>CHINDI VAN ARISTA, Am.Kep SERTIFIKAT BerAKHLAK</v>
      </c>
      <c r="K1830" s="5" t="s">
        <v>14042</v>
      </c>
      <c r="L1830" s="5" t="s">
        <v>14325</v>
      </c>
    </row>
    <row r="1831">
      <c r="A1831" s="4">
        <v>45534.33752784722</v>
      </c>
      <c r="B1831" s="5" t="s">
        <v>34</v>
      </c>
      <c r="D1831" s="5" t="s">
        <v>4775</v>
      </c>
      <c r="E1831" s="5" t="s">
        <v>14328</v>
      </c>
      <c r="F1831" s="5" t="s">
        <v>212</v>
      </c>
      <c r="G1831" s="5" t="s">
        <v>14329</v>
      </c>
      <c r="H1831" s="6" t="s">
        <v>14330</v>
      </c>
      <c r="K1831" s="5" t="s">
        <v>14331</v>
      </c>
    </row>
    <row r="1832">
      <c r="A1832" s="4">
        <v>45534.33753423611</v>
      </c>
      <c r="B1832" s="5" t="s">
        <v>19</v>
      </c>
      <c r="C1832" s="5" t="s">
        <v>11593</v>
      </c>
      <c r="E1832" s="5" t="s">
        <v>14334</v>
      </c>
      <c r="F1832" s="5" t="s">
        <v>37</v>
      </c>
      <c r="G1832" s="5" t="s">
        <v>14335</v>
      </c>
      <c r="H1832" s="6" t="s">
        <v>14336</v>
      </c>
      <c r="K1832" s="5" t="s">
        <v>14331</v>
      </c>
    </row>
    <row r="1833">
      <c r="A1833" s="4">
        <v>45534.33755998843</v>
      </c>
      <c r="B1833" s="5" t="s">
        <v>34</v>
      </c>
      <c r="D1833" s="5" t="s">
        <v>9020</v>
      </c>
      <c r="E1833" s="5" t="s">
        <v>14339</v>
      </c>
      <c r="F1833" s="5" t="s">
        <v>37</v>
      </c>
      <c r="G1833" s="5" t="s">
        <v>14340</v>
      </c>
      <c r="H1833" s="6" t="s">
        <v>14341</v>
      </c>
      <c r="K1833" s="5" t="s">
        <v>14331</v>
      </c>
    </row>
    <row r="1834">
      <c r="A1834" s="4">
        <v>45534.337564456015</v>
      </c>
      <c r="B1834" s="5" t="s">
        <v>34</v>
      </c>
      <c r="D1834" s="5" t="s">
        <v>1206</v>
      </c>
      <c r="E1834" s="5" t="s">
        <v>14345</v>
      </c>
      <c r="F1834" s="5" t="s">
        <v>524</v>
      </c>
      <c r="G1834" s="5" t="s">
        <v>14346</v>
      </c>
      <c r="H1834" s="6" t="s">
        <v>14347</v>
      </c>
      <c r="K1834" s="5" t="s">
        <v>14331</v>
      </c>
    </row>
    <row r="1835">
      <c r="A1835" s="4">
        <v>45534.33756615741</v>
      </c>
      <c r="B1835" s="5" t="s">
        <v>34</v>
      </c>
      <c r="D1835" s="5" t="s">
        <v>701</v>
      </c>
      <c r="E1835" s="5" t="s">
        <v>14350</v>
      </c>
      <c r="F1835" s="5" t="s">
        <v>715</v>
      </c>
      <c r="G1835" s="5" t="s">
        <v>14351</v>
      </c>
      <c r="H1835" s="6" t="s">
        <v>14352</v>
      </c>
      <c r="K1835" s="5" t="s">
        <v>14331</v>
      </c>
    </row>
    <row r="1836">
      <c r="A1836" s="4">
        <v>45534.33758528935</v>
      </c>
      <c r="B1836" s="5" t="s">
        <v>34</v>
      </c>
      <c r="D1836" s="5" t="s">
        <v>580</v>
      </c>
      <c r="E1836" s="5" t="s">
        <v>14355</v>
      </c>
      <c r="F1836" s="5" t="s">
        <v>120</v>
      </c>
      <c r="G1836" s="5" t="s">
        <v>14356</v>
      </c>
      <c r="H1836" s="6" t="s">
        <v>14357</v>
      </c>
      <c r="K1836" s="5" t="s">
        <v>14331</v>
      </c>
    </row>
    <row r="1837">
      <c r="A1837" s="4">
        <v>45534.337588553244</v>
      </c>
      <c r="B1837" s="5" t="s">
        <v>34</v>
      </c>
      <c r="D1837" s="5" t="s">
        <v>6232</v>
      </c>
      <c r="E1837" s="5" t="s">
        <v>14360</v>
      </c>
      <c r="F1837" s="5" t="s">
        <v>108</v>
      </c>
      <c r="G1837" s="5" t="s">
        <v>14361</v>
      </c>
      <c r="H1837" s="6" t="s">
        <v>14362</v>
      </c>
      <c r="K1837" s="5" t="s">
        <v>14331</v>
      </c>
    </row>
    <row r="1838">
      <c r="A1838" s="4">
        <v>45534.33760771991</v>
      </c>
      <c r="B1838" s="5" t="s">
        <v>34</v>
      </c>
      <c r="D1838" s="5" t="s">
        <v>9020</v>
      </c>
      <c r="E1838" s="5" t="s">
        <v>14365</v>
      </c>
      <c r="F1838" s="5" t="s">
        <v>212</v>
      </c>
      <c r="G1838" s="5" t="s">
        <v>14366</v>
      </c>
      <c r="H1838" s="6" t="s">
        <v>14367</v>
      </c>
      <c r="K1838" s="5" t="s">
        <v>14331</v>
      </c>
    </row>
    <row r="1839">
      <c r="A1839" s="4">
        <v>45534.33761052083</v>
      </c>
      <c r="B1839" s="5" t="s">
        <v>34</v>
      </c>
      <c r="D1839" s="5" t="s">
        <v>35</v>
      </c>
      <c r="E1839" s="5" t="s">
        <v>14370</v>
      </c>
      <c r="F1839" s="5" t="s">
        <v>199</v>
      </c>
      <c r="G1839" s="5" t="s">
        <v>14371</v>
      </c>
      <c r="H1839" s="6" t="s">
        <v>14372</v>
      </c>
      <c r="K1839" s="5" t="s">
        <v>14331</v>
      </c>
    </row>
    <row r="1840">
      <c r="A1840" s="4">
        <v>45534.33763835648</v>
      </c>
      <c r="B1840" s="5" t="s">
        <v>34</v>
      </c>
      <c r="D1840" s="5" t="s">
        <v>975</v>
      </c>
      <c r="E1840" s="5" t="s">
        <v>14376</v>
      </c>
      <c r="F1840" s="5" t="s">
        <v>6776</v>
      </c>
      <c r="G1840" s="5" t="s">
        <v>14377</v>
      </c>
      <c r="H1840" s="6" t="s">
        <v>14378</v>
      </c>
      <c r="I1840" s="7" t="s">
        <v>14379</v>
      </c>
      <c r="J1840" s="8" t="str">
        <f>HYPERLINK("https://drive.google.com/file/d/14AjeMg5yUdYZeD0lVlQY-1NCrCFYZjqU/view?usp=drivesdk","DINI LAXMIARY, A.Md.Keb SERTIFIKAT BerAKHLAK")</f>
        <v>DINI LAXMIARY, A.Md.Keb SERTIFIKAT BerAKHLAK</v>
      </c>
      <c r="K1840" s="5" t="s">
        <v>14042</v>
      </c>
      <c r="L1840" s="5" t="s">
        <v>14380</v>
      </c>
    </row>
    <row r="1841">
      <c r="A1841" s="4">
        <v>45534.33764575231</v>
      </c>
      <c r="B1841" s="5" t="s">
        <v>34</v>
      </c>
      <c r="D1841" s="5" t="s">
        <v>1206</v>
      </c>
      <c r="E1841" s="5" t="s">
        <v>14383</v>
      </c>
      <c r="F1841" s="5" t="s">
        <v>37</v>
      </c>
      <c r="G1841" s="5" t="s">
        <v>14384</v>
      </c>
      <c r="H1841" s="6" t="s">
        <v>14385</v>
      </c>
      <c r="I1841" s="7" t="s">
        <v>14386</v>
      </c>
      <c r="J1841" s="8" t="str">
        <f>HYPERLINK("https://drive.google.com/file/d/1AyZFdsdQ4vJM_8WVvbGlO7EFr-x2tKBS/view?usp=drivesdk","PUDJI TYAS RAHAYU SERTIFIKAT BerAKHLAK")</f>
        <v>PUDJI TYAS RAHAYU SERTIFIKAT BerAKHLAK</v>
      </c>
      <c r="K1841" s="5" t="s">
        <v>14042</v>
      </c>
      <c r="L1841" s="5" t="s">
        <v>14387</v>
      </c>
    </row>
    <row r="1842">
      <c r="A1842" s="4">
        <v>45534.33764936343</v>
      </c>
      <c r="B1842" s="5" t="s">
        <v>34</v>
      </c>
      <c r="D1842" s="5" t="s">
        <v>1206</v>
      </c>
      <c r="E1842" s="5" t="s">
        <v>14390</v>
      </c>
      <c r="F1842" s="5" t="s">
        <v>375</v>
      </c>
      <c r="G1842" s="5" t="s">
        <v>14391</v>
      </c>
      <c r="H1842" s="6" t="s">
        <v>14392</v>
      </c>
      <c r="I1842" s="7" t="s">
        <v>14393</v>
      </c>
      <c r="J1842" s="8" t="str">
        <f>HYPERLINK("https://drive.google.com/file/d/1cvNej4F74MM-JniRnWr1JFF_CykymEYj/view?usp=drivesdk","NUNIK SRIMULYANI, S.E. SERTIFIKAT BerAKHLAK")</f>
        <v>NUNIK SRIMULYANI, S.E. SERTIFIKAT BerAKHLAK</v>
      </c>
      <c r="K1842" s="5" t="s">
        <v>14042</v>
      </c>
      <c r="L1842" s="5" t="s">
        <v>14394</v>
      </c>
    </row>
    <row r="1843">
      <c r="A1843" s="4">
        <v>45534.33766292824</v>
      </c>
      <c r="B1843" s="5" t="s">
        <v>34</v>
      </c>
      <c r="D1843" s="5" t="s">
        <v>280</v>
      </c>
      <c r="E1843" s="5" t="s">
        <v>14397</v>
      </c>
      <c r="F1843" s="5" t="s">
        <v>212</v>
      </c>
      <c r="G1843" s="5" t="s">
        <v>14398</v>
      </c>
      <c r="H1843" s="6" t="s">
        <v>14399</v>
      </c>
      <c r="I1843" s="7" t="s">
        <v>14400</v>
      </c>
      <c r="J1843" s="8" t="str">
        <f>HYPERLINK("https://drive.google.com/file/d/1qR4eeCtvhnoHfn1JtNiAytcgO_5-ZbEW/view?usp=drivesdk","DWI ROCHANI SERTIFIKAT BerAKHLAK")</f>
        <v>DWI ROCHANI SERTIFIKAT BerAKHLAK</v>
      </c>
      <c r="K1843" s="5" t="s">
        <v>14042</v>
      </c>
      <c r="L1843" s="5" t="s">
        <v>14401</v>
      </c>
    </row>
    <row r="1844">
      <c r="A1844" s="4">
        <v>45534.33766583333</v>
      </c>
      <c r="B1844" s="5" t="s">
        <v>34</v>
      </c>
      <c r="D1844" s="5" t="s">
        <v>1206</v>
      </c>
      <c r="E1844" s="5" t="s">
        <v>11976</v>
      </c>
      <c r="F1844" s="5" t="s">
        <v>37</v>
      </c>
      <c r="G1844" s="5" t="s">
        <v>11977</v>
      </c>
      <c r="H1844" s="6" t="s">
        <v>14404</v>
      </c>
      <c r="I1844" s="7" t="s">
        <v>14405</v>
      </c>
      <c r="J1844" s="8" t="str">
        <f>HYPERLINK("https://drive.google.com/file/d/1-0hJ_cZsOE6V336SSeXKPjYLsTUzVVPX/view?usp=drivesdk","YULI PILIHANINGSIH SERTIFIKAT BerAKHLAK")</f>
        <v>YULI PILIHANINGSIH SERTIFIKAT BerAKHLAK</v>
      </c>
      <c r="K1844" s="5" t="s">
        <v>14042</v>
      </c>
      <c r="L1844" s="5" t="s">
        <v>14406</v>
      </c>
    </row>
    <row r="1845">
      <c r="A1845" s="4">
        <v>45534.33767099537</v>
      </c>
      <c r="B1845" s="5" t="s">
        <v>34</v>
      </c>
      <c r="D1845" s="5" t="s">
        <v>4775</v>
      </c>
      <c r="E1845" s="5" t="s">
        <v>14409</v>
      </c>
      <c r="F1845" s="5" t="s">
        <v>37</v>
      </c>
      <c r="G1845" s="5" t="s">
        <v>14410</v>
      </c>
      <c r="H1845" s="6" t="s">
        <v>14411</v>
      </c>
      <c r="I1845" s="7" t="s">
        <v>14412</v>
      </c>
      <c r="J1845" s="8" t="str">
        <f>HYPERLINK("https://drive.google.com/file/d/10098JtnyLvFzV0-sVq1pj7hp9VwbWGAc/view?usp=drivesdk","DEDY SURYADI SERTIFIKAT BerAKHLAK")</f>
        <v>DEDY SURYADI SERTIFIKAT BerAKHLAK</v>
      </c>
      <c r="K1845" s="5" t="s">
        <v>14071</v>
      </c>
      <c r="L1845" s="5" t="s">
        <v>14413</v>
      </c>
    </row>
    <row r="1846">
      <c r="A1846" s="4">
        <v>45534.33771878472</v>
      </c>
      <c r="B1846" s="5" t="s">
        <v>34</v>
      </c>
      <c r="D1846" s="5" t="s">
        <v>1206</v>
      </c>
      <c r="E1846" s="5" t="s">
        <v>14417</v>
      </c>
      <c r="F1846" s="5" t="s">
        <v>212</v>
      </c>
      <c r="G1846" s="5" t="s">
        <v>14418</v>
      </c>
      <c r="H1846" s="6" t="s">
        <v>14419</v>
      </c>
      <c r="I1846" s="7" t="s">
        <v>14420</v>
      </c>
      <c r="J1846" s="8" t="str">
        <f>HYPERLINK("https://drive.google.com/file/d/1jnGnK5GLnSMOROUDkied4YdsnfuvP2Jg/view?usp=drivesdk","LUTHFIA HANIMUNIFAH SERTIFIKAT BerAKHLAK")</f>
        <v>LUTHFIA HANIMUNIFAH SERTIFIKAT BerAKHLAK</v>
      </c>
      <c r="K1846" s="5" t="s">
        <v>14042</v>
      </c>
      <c r="L1846" s="5" t="s">
        <v>14421</v>
      </c>
    </row>
    <row r="1847">
      <c r="A1847" s="4">
        <v>45534.33768358796</v>
      </c>
      <c r="B1847" s="5" t="s">
        <v>34</v>
      </c>
      <c r="D1847" s="5" t="s">
        <v>14424</v>
      </c>
      <c r="E1847" s="5" t="s">
        <v>14425</v>
      </c>
      <c r="F1847" s="5" t="s">
        <v>37</v>
      </c>
      <c r="G1847" s="5" t="s">
        <v>14426</v>
      </c>
      <c r="H1847" s="6" t="s">
        <v>14427</v>
      </c>
      <c r="I1847" s="7" t="s">
        <v>14428</v>
      </c>
      <c r="J1847" s="8" t="str">
        <f>HYPERLINK("https://drive.google.com/file/d/1yrGM347u2lW78fX-dsh_1OlQlE1N_UxG/view?usp=drivesdk","YUNITA SAFITRI,A.Md.Farm SERTIFIKAT BerAKHLAK")</f>
        <v>YUNITA SAFITRI,A.Md.Farm SERTIFIKAT BerAKHLAK</v>
      </c>
      <c r="K1847" s="5" t="s">
        <v>14042</v>
      </c>
      <c r="L1847" s="5" t="s">
        <v>14429</v>
      </c>
    </row>
    <row r="1848">
      <c r="A1848" s="4">
        <v>45534.33768571759</v>
      </c>
      <c r="B1848" s="5" t="s">
        <v>34</v>
      </c>
      <c r="D1848" s="5" t="s">
        <v>3849</v>
      </c>
      <c r="E1848" s="5" t="s">
        <v>14432</v>
      </c>
      <c r="F1848" s="5" t="s">
        <v>37</v>
      </c>
      <c r="G1848" s="5" t="s">
        <v>14433</v>
      </c>
      <c r="H1848" s="6" t="s">
        <v>14434</v>
      </c>
      <c r="I1848" s="7" t="s">
        <v>14435</v>
      </c>
      <c r="J1848" s="8" t="str">
        <f>HYPERLINK("https://drive.google.com/file/d/1CuRf7bHuD2FtuF4aXKXrChT4IMPfSLJ7/view?usp=drivesdk","SRI AGUSTIN SERTIFIKAT BerAKHLAK")</f>
        <v>SRI AGUSTIN SERTIFIKAT BerAKHLAK</v>
      </c>
      <c r="K1848" s="5" t="s">
        <v>14071</v>
      </c>
      <c r="L1848" s="5" t="s">
        <v>14436</v>
      </c>
    </row>
    <row r="1849">
      <c r="A1849" s="4">
        <v>45534.33769555556</v>
      </c>
      <c r="B1849" s="5" t="s">
        <v>34</v>
      </c>
      <c r="D1849" s="5" t="s">
        <v>1768</v>
      </c>
      <c r="E1849" s="5" t="s">
        <v>14439</v>
      </c>
      <c r="F1849" s="5" t="s">
        <v>328</v>
      </c>
      <c r="G1849" s="5" t="s">
        <v>14440</v>
      </c>
      <c r="H1849" s="6" t="s">
        <v>14441</v>
      </c>
      <c r="I1849" s="7" t="s">
        <v>14442</v>
      </c>
      <c r="J1849" s="8" t="str">
        <f>HYPERLINK("https://drive.google.com/file/d/1NDFb-VpgDU2S6bHftP7AjEJG_WZ6DaW6/view?usp=drivesdk","YADI HANIFAH  SERTIFIKAT BerAKHLAK")</f>
        <v>YADI HANIFAH  SERTIFIKAT BerAKHLAK</v>
      </c>
      <c r="K1849" s="5" t="s">
        <v>14071</v>
      </c>
      <c r="L1849" s="5" t="s">
        <v>14443</v>
      </c>
    </row>
    <row r="1850">
      <c r="A1850" s="4">
        <v>45534.33770148148</v>
      </c>
      <c r="B1850" s="5" t="s">
        <v>34</v>
      </c>
      <c r="D1850" s="5" t="s">
        <v>35</v>
      </c>
      <c r="E1850" s="5" t="s">
        <v>14446</v>
      </c>
      <c r="F1850" s="5" t="s">
        <v>524</v>
      </c>
      <c r="G1850" s="5" t="s">
        <v>14447</v>
      </c>
      <c r="H1850" s="6" t="s">
        <v>14448</v>
      </c>
      <c r="I1850" s="7" t="s">
        <v>14449</v>
      </c>
      <c r="J1850" s="8" t="str">
        <f>HYPERLINK("https://drive.google.com/file/d/1pAEusEjXw0kUyRVK47xftjxcsJi_nwmr/view?usp=drivesdk","YAYAN HERYANA SERTIFIKAT BerAKHLAK")</f>
        <v>YAYAN HERYANA SERTIFIKAT BerAKHLAK</v>
      </c>
      <c r="K1850" s="5" t="s">
        <v>14071</v>
      </c>
      <c r="L1850" s="5" t="s">
        <v>14450</v>
      </c>
    </row>
    <row r="1851">
      <c r="A1851" s="4">
        <v>45534.33770210648</v>
      </c>
      <c r="B1851" s="5" t="s">
        <v>34</v>
      </c>
      <c r="D1851" s="5" t="s">
        <v>35</v>
      </c>
      <c r="E1851" s="5" t="s">
        <v>14453</v>
      </c>
      <c r="F1851" s="5" t="s">
        <v>108</v>
      </c>
      <c r="G1851" s="5" t="s">
        <v>14454</v>
      </c>
      <c r="H1851" s="6" t="s">
        <v>14455</v>
      </c>
      <c r="I1851" s="7" t="s">
        <v>14456</v>
      </c>
      <c r="J1851" s="8" t="str">
        <f>HYPERLINK("https://drive.google.com/file/d/1N0xZEcujAGk8GiXTrXqKZIZlbP-yqC3j/view?usp=drivesdk","DADAN GINANJAR, S.E., M.M. SERTIFIKAT BerAKHLAK")</f>
        <v>DADAN GINANJAR, S.E., M.M. SERTIFIKAT BerAKHLAK</v>
      </c>
      <c r="K1851" s="5" t="s">
        <v>14071</v>
      </c>
      <c r="L1851" s="5" t="s">
        <v>14457</v>
      </c>
    </row>
    <row r="1852">
      <c r="A1852" s="4">
        <v>45534.33771310185</v>
      </c>
      <c r="B1852" s="5" t="s">
        <v>34</v>
      </c>
      <c r="D1852" s="5" t="s">
        <v>9394</v>
      </c>
      <c r="E1852" s="5" t="s">
        <v>14461</v>
      </c>
      <c r="F1852" s="5" t="s">
        <v>108</v>
      </c>
      <c r="G1852" s="5" t="s">
        <v>14462</v>
      </c>
      <c r="H1852" s="6" t="s">
        <v>14463</v>
      </c>
      <c r="I1852" s="7" t="s">
        <v>14464</v>
      </c>
      <c r="J1852" s="8" t="str">
        <f>HYPERLINK("https://drive.google.com/file/d/1LYb4VthSef8WeXDE2hJ9tm9VH3C9K7qA/view?usp=drivesdk","SURYADI ERNANDO  SERTIFIKAT BerAKHLAK")</f>
        <v>SURYADI ERNANDO  SERTIFIKAT BerAKHLAK</v>
      </c>
      <c r="K1852" s="5" t="s">
        <v>14093</v>
      </c>
      <c r="L1852" s="5" t="s">
        <v>14465</v>
      </c>
    </row>
    <row r="1853">
      <c r="A1853" s="4">
        <v>45534.33772114583</v>
      </c>
      <c r="B1853" s="5" t="s">
        <v>34</v>
      </c>
      <c r="D1853" s="5" t="s">
        <v>522</v>
      </c>
      <c r="E1853" s="5" t="s">
        <v>14468</v>
      </c>
      <c r="F1853" s="5" t="s">
        <v>37</v>
      </c>
      <c r="G1853" s="5" t="s">
        <v>14469</v>
      </c>
      <c r="H1853" s="6" t="s">
        <v>14470</v>
      </c>
      <c r="I1853" s="7" t="s">
        <v>14471</v>
      </c>
      <c r="J1853" s="8" t="str">
        <f>HYPERLINK("https://drive.google.com/file/d/1rZWpwnsh4y3OdKm0cHooWPeLRgFUEp-O/view?usp=drivesdk","INDAH RATMA WARDANI, A.Md.Kep SERTIFIKAT BerAKHLAK")</f>
        <v>INDAH RATMA WARDANI, A.Md.Kep SERTIFIKAT BerAKHLAK</v>
      </c>
      <c r="K1853" s="5" t="s">
        <v>14093</v>
      </c>
      <c r="L1853" s="5" t="s">
        <v>14472</v>
      </c>
    </row>
    <row r="1854">
      <c r="A1854" s="4">
        <v>45534.337727488426</v>
      </c>
      <c r="B1854" s="5" t="s">
        <v>34</v>
      </c>
      <c r="D1854" s="5" t="s">
        <v>6232</v>
      </c>
      <c r="E1854" s="5" t="s">
        <v>14475</v>
      </c>
      <c r="F1854" s="5" t="s">
        <v>37</v>
      </c>
      <c r="G1854" s="5" t="s">
        <v>14476</v>
      </c>
      <c r="H1854" s="6" t="s">
        <v>14477</v>
      </c>
      <c r="I1854" s="7" t="s">
        <v>14478</v>
      </c>
      <c r="J1854" s="8" t="str">
        <f>HYPERLINK("https://drive.google.com/file/d/1Lm9bw785AkbB1v9_6etnWAJyrqU7lWMJ/view?usp=drivesdk","SITI HERLINAWATI, Am.Kep SERTIFIKAT BerAKHLAK")</f>
        <v>SITI HERLINAWATI, Am.Kep SERTIFIKAT BerAKHLAK</v>
      </c>
      <c r="K1854" s="5" t="s">
        <v>14093</v>
      </c>
      <c r="L1854" s="5" t="s">
        <v>14479</v>
      </c>
    </row>
    <row r="1855">
      <c r="A1855" s="4">
        <v>45534.337737037036</v>
      </c>
      <c r="B1855" s="5" t="s">
        <v>34</v>
      </c>
      <c r="D1855" s="5" t="s">
        <v>12978</v>
      </c>
      <c r="E1855" s="5" t="s">
        <v>14482</v>
      </c>
      <c r="F1855" s="5" t="s">
        <v>37</v>
      </c>
      <c r="G1855" s="5" t="s">
        <v>14483</v>
      </c>
      <c r="H1855" s="6" t="s">
        <v>14484</v>
      </c>
      <c r="I1855" s="7" t="s">
        <v>14485</v>
      </c>
      <c r="J1855" s="8" t="str">
        <f>HYPERLINK("https://drive.google.com/file/d/1VHYuNtwMXe22hFzUwCc9L2oT1_QokrR3/view?usp=drivesdk","HENDRI A MD SERTIFIKAT BerAKHLAK")</f>
        <v>HENDRI A MD SERTIFIKAT BerAKHLAK</v>
      </c>
      <c r="K1855" s="5" t="s">
        <v>14116</v>
      </c>
      <c r="L1855" s="5" t="s">
        <v>14486</v>
      </c>
    </row>
    <row r="1856">
      <c r="A1856" s="4">
        <v>45534.337743298616</v>
      </c>
      <c r="B1856" s="5" t="s">
        <v>34</v>
      </c>
      <c r="D1856" s="5" t="s">
        <v>522</v>
      </c>
      <c r="E1856" s="5" t="s">
        <v>14489</v>
      </c>
      <c r="F1856" s="5" t="s">
        <v>212</v>
      </c>
      <c r="G1856" s="5" t="s">
        <v>14490</v>
      </c>
      <c r="H1856" s="6" t="s">
        <v>14491</v>
      </c>
      <c r="K1856" s="5" t="s">
        <v>14492</v>
      </c>
    </row>
    <row r="1857">
      <c r="A1857" s="4">
        <v>45534.337751134255</v>
      </c>
      <c r="B1857" s="5" t="s">
        <v>19</v>
      </c>
      <c r="C1857" s="5" t="s">
        <v>466</v>
      </c>
      <c r="E1857" s="5" t="s">
        <v>14495</v>
      </c>
      <c r="F1857" s="5" t="s">
        <v>199</v>
      </c>
      <c r="G1857" s="5" t="s">
        <v>14496</v>
      </c>
      <c r="H1857" s="6" t="s">
        <v>14497</v>
      </c>
      <c r="K1857" s="5" t="s">
        <v>14492</v>
      </c>
    </row>
    <row r="1858">
      <c r="A1858" s="4">
        <v>45534.337761435185</v>
      </c>
      <c r="B1858" s="5" t="s">
        <v>34</v>
      </c>
      <c r="D1858" s="5" t="s">
        <v>1768</v>
      </c>
      <c r="E1858" s="5" t="s">
        <v>14501</v>
      </c>
      <c r="F1858" s="5" t="s">
        <v>212</v>
      </c>
      <c r="G1858" s="5" t="s">
        <v>14502</v>
      </c>
      <c r="H1858" s="6" t="s">
        <v>14503</v>
      </c>
      <c r="K1858" s="5" t="s">
        <v>14492</v>
      </c>
    </row>
    <row r="1859">
      <c r="A1859" s="4">
        <v>45534.33776383102</v>
      </c>
      <c r="B1859" s="5" t="s">
        <v>19</v>
      </c>
      <c r="C1859" s="5" t="s">
        <v>5564</v>
      </c>
      <c r="E1859" s="5" t="s">
        <v>14506</v>
      </c>
      <c r="F1859" s="5" t="s">
        <v>212</v>
      </c>
      <c r="G1859" s="5" t="s">
        <v>14507</v>
      </c>
      <c r="H1859" s="6" t="s">
        <v>14508</v>
      </c>
      <c r="K1859" s="5" t="s">
        <v>14492</v>
      </c>
    </row>
    <row r="1860">
      <c r="A1860" s="4">
        <v>45534.33776755787</v>
      </c>
      <c r="B1860" s="5" t="s">
        <v>34</v>
      </c>
      <c r="D1860" s="5" t="s">
        <v>35</v>
      </c>
      <c r="E1860" s="5" t="s">
        <v>14511</v>
      </c>
      <c r="F1860" s="5" t="s">
        <v>37</v>
      </c>
      <c r="G1860" s="5" t="s">
        <v>14512</v>
      </c>
      <c r="H1860" s="6" t="s">
        <v>14513</v>
      </c>
      <c r="K1860" s="5" t="s">
        <v>14492</v>
      </c>
    </row>
    <row r="1861">
      <c r="A1861" s="4">
        <v>45534.33777241898</v>
      </c>
      <c r="B1861" s="5" t="s">
        <v>34</v>
      </c>
      <c r="D1861" s="5" t="s">
        <v>4775</v>
      </c>
      <c r="E1861" s="5" t="s">
        <v>14516</v>
      </c>
      <c r="F1861" s="5" t="s">
        <v>212</v>
      </c>
      <c r="G1861" s="5" t="s">
        <v>14517</v>
      </c>
      <c r="H1861" s="6" t="s">
        <v>14518</v>
      </c>
      <c r="K1861" s="5" t="s">
        <v>14492</v>
      </c>
    </row>
    <row r="1862">
      <c r="A1862" s="4">
        <v>45534.337783668976</v>
      </c>
      <c r="B1862" s="5" t="s">
        <v>34</v>
      </c>
      <c r="D1862" s="5" t="s">
        <v>1768</v>
      </c>
      <c r="E1862" s="5" t="s">
        <v>14521</v>
      </c>
      <c r="F1862" s="5" t="s">
        <v>37</v>
      </c>
      <c r="G1862" s="5" t="s">
        <v>14522</v>
      </c>
      <c r="H1862" s="6" t="s">
        <v>14523</v>
      </c>
      <c r="K1862" s="5" t="s">
        <v>14524</v>
      </c>
    </row>
    <row r="1863">
      <c r="A1863" s="4">
        <v>45534.33778476852</v>
      </c>
      <c r="B1863" s="5" t="s">
        <v>34</v>
      </c>
      <c r="D1863" s="5" t="s">
        <v>2903</v>
      </c>
      <c r="E1863" s="5" t="s">
        <v>14528</v>
      </c>
      <c r="F1863" s="5" t="s">
        <v>524</v>
      </c>
      <c r="G1863" s="5" t="s">
        <v>14529</v>
      </c>
      <c r="H1863" s="6" t="s">
        <v>14530</v>
      </c>
      <c r="K1863" s="5" t="s">
        <v>14524</v>
      </c>
    </row>
    <row r="1864">
      <c r="A1864" s="4">
        <v>45534.33778613426</v>
      </c>
      <c r="B1864" s="5" t="s">
        <v>34</v>
      </c>
      <c r="D1864" s="5" t="s">
        <v>6232</v>
      </c>
      <c r="E1864" s="5" t="s">
        <v>14533</v>
      </c>
      <c r="F1864" s="5" t="s">
        <v>37</v>
      </c>
      <c r="G1864" s="5" t="s">
        <v>14534</v>
      </c>
      <c r="H1864" s="6" t="s">
        <v>14535</v>
      </c>
      <c r="K1864" s="5" t="s">
        <v>14524</v>
      </c>
    </row>
    <row r="1865">
      <c r="A1865" s="4">
        <v>45534.33778966435</v>
      </c>
      <c r="B1865" s="5" t="s">
        <v>34</v>
      </c>
      <c r="D1865" s="5" t="s">
        <v>580</v>
      </c>
      <c r="E1865" s="5" t="s">
        <v>14538</v>
      </c>
      <c r="F1865" s="5" t="s">
        <v>37</v>
      </c>
      <c r="G1865" s="5" t="s">
        <v>14539</v>
      </c>
      <c r="H1865" s="6" t="s">
        <v>14540</v>
      </c>
      <c r="K1865" s="5" t="s">
        <v>14524</v>
      </c>
    </row>
    <row r="1866">
      <c r="A1866" s="4">
        <v>45534.33779158565</v>
      </c>
      <c r="B1866" s="5" t="s">
        <v>19</v>
      </c>
      <c r="C1866" s="5" t="s">
        <v>14000</v>
      </c>
      <c r="E1866" s="5" t="s">
        <v>14543</v>
      </c>
      <c r="F1866" s="5" t="s">
        <v>715</v>
      </c>
      <c r="G1866" s="5" t="s">
        <v>14544</v>
      </c>
      <c r="H1866" s="6" t="s">
        <v>14545</v>
      </c>
      <c r="K1866" s="5" t="s">
        <v>14524</v>
      </c>
    </row>
    <row r="1867">
      <c r="A1867" s="4">
        <v>45534.33779194445</v>
      </c>
      <c r="B1867" s="5" t="s">
        <v>34</v>
      </c>
      <c r="D1867" s="5" t="s">
        <v>12978</v>
      </c>
      <c r="E1867" s="5" t="s">
        <v>11891</v>
      </c>
      <c r="F1867" s="5" t="s">
        <v>212</v>
      </c>
      <c r="G1867" s="5" t="s">
        <v>14548</v>
      </c>
      <c r="H1867" s="6" t="s">
        <v>14549</v>
      </c>
      <c r="K1867" s="5" t="s">
        <v>14524</v>
      </c>
    </row>
    <row r="1868">
      <c r="A1868" s="4">
        <v>45534.3378046412</v>
      </c>
      <c r="B1868" s="5" t="s">
        <v>34</v>
      </c>
      <c r="D1868" s="5" t="s">
        <v>604</v>
      </c>
      <c r="E1868" s="5" t="s">
        <v>14553</v>
      </c>
      <c r="F1868" s="5" t="s">
        <v>212</v>
      </c>
      <c r="G1868" s="5" t="s">
        <v>14554</v>
      </c>
      <c r="H1868" s="6" t="s">
        <v>14555</v>
      </c>
      <c r="K1868" s="5" t="s">
        <v>14524</v>
      </c>
    </row>
    <row r="1869">
      <c r="A1869" s="4">
        <v>45534.337804375</v>
      </c>
      <c r="B1869" s="5" t="s">
        <v>34</v>
      </c>
      <c r="D1869" s="5" t="s">
        <v>35</v>
      </c>
      <c r="E1869" s="5" t="s">
        <v>14558</v>
      </c>
      <c r="F1869" s="5" t="s">
        <v>37</v>
      </c>
      <c r="G1869" s="5" t="s">
        <v>14559</v>
      </c>
      <c r="H1869" s="6" t="s">
        <v>14560</v>
      </c>
      <c r="K1869" s="5" t="s">
        <v>14524</v>
      </c>
    </row>
    <row r="1870">
      <c r="A1870" s="4">
        <v>45534.33780927083</v>
      </c>
      <c r="B1870" s="5" t="s">
        <v>34</v>
      </c>
      <c r="D1870" s="5" t="s">
        <v>4775</v>
      </c>
      <c r="E1870" s="5" t="s">
        <v>14563</v>
      </c>
      <c r="F1870" s="5" t="s">
        <v>375</v>
      </c>
      <c r="G1870" s="5" t="s">
        <v>14564</v>
      </c>
      <c r="H1870" s="6" t="s">
        <v>14565</v>
      </c>
      <c r="K1870" s="5" t="s">
        <v>14524</v>
      </c>
    </row>
    <row r="1871">
      <c r="A1871" s="4">
        <v>45534.337809687495</v>
      </c>
      <c r="B1871" s="5" t="s">
        <v>34</v>
      </c>
      <c r="D1871" s="5" t="s">
        <v>4775</v>
      </c>
      <c r="E1871" s="5" t="s">
        <v>14568</v>
      </c>
      <c r="F1871" s="5" t="s">
        <v>72</v>
      </c>
      <c r="G1871" s="5" t="s">
        <v>14569</v>
      </c>
      <c r="H1871" s="6" t="s">
        <v>14570</v>
      </c>
      <c r="K1871" s="5" t="s">
        <v>14571</v>
      </c>
    </row>
    <row r="1872">
      <c r="A1872" s="4">
        <v>45534.33781135417</v>
      </c>
      <c r="B1872" s="5" t="s">
        <v>34</v>
      </c>
      <c r="D1872" s="5" t="s">
        <v>580</v>
      </c>
      <c r="E1872" s="5" t="s">
        <v>14574</v>
      </c>
      <c r="F1872" s="5" t="s">
        <v>212</v>
      </c>
      <c r="G1872" s="5" t="s">
        <v>14575</v>
      </c>
      <c r="H1872" s="6" t="s">
        <v>14576</v>
      </c>
      <c r="K1872" s="5" t="s">
        <v>14571</v>
      </c>
    </row>
    <row r="1873">
      <c r="A1873" s="4">
        <v>45534.33781384259</v>
      </c>
      <c r="B1873" s="5" t="s">
        <v>19</v>
      </c>
      <c r="C1873" s="5" t="s">
        <v>20</v>
      </c>
      <c r="E1873" s="5" t="s">
        <v>14579</v>
      </c>
      <c r="F1873" s="5" t="s">
        <v>120</v>
      </c>
      <c r="G1873" s="5" t="s">
        <v>14580</v>
      </c>
      <c r="H1873" s="6" t="s">
        <v>14581</v>
      </c>
      <c r="K1873" s="5" t="s">
        <v>14571</v>
      </c>
    </row>
    <row r="1874">
      <c r="A1874" s="4">
        <v>45534.337822905094</v>
      </c>
      <c r="B1874" s="5" t="s">
        <v>34</v>
      </c>
      <c r="D1874" s="5" t="s">
        <v>996</v>
      </c>
      <c r="E1874" s="5" t="s">
        <v>14584</v>
      </c>
      <c r="F1874" s="5" t="s">
        <v>375</v>
      </c>
      <c r="G1874" s="5" t="s">
        <v>14585</v>
      </c>
      <c r="H1874" s="6" t="s">
        <v>14586</v>
      </c>
      <c r="I1874" s="7" t="s">
        <v>14587</v>
      </c>
      <c r="J1874" s="8" t="str">
        <f>HYPERLINK("https://drive.google.com/file/d/1pxhaGpqChZJzJE3x11EVlsKvutvPy3dx/view?usp=drivesdk","YUNITA HIZWARA, S. SOS SERTIFIKAT BerAKHLAK")</f>
        <v>YUNITA HIZWARA, S. SOS SERTIFIKAT BerAKHLAK</v>
      </c>
      <c r="K1874" s="5" t="s">
        <v>14042</v>
      </c>
      <c r="L1874" s="5" t="s">
        <v>14588</v>
      </c>
    </row>
    <row r="1875">
      <c r="A1875" s="4">
        <v>45534.33784112269</v>
      </c>
      <c r="B1875" s="5" t="s">
        <v>34</v>
      </c>
      <c r="D1875" s="5" t="s">
        <v>35</v>
      </c>
      <c r="E1875" s="5" t="s">
        <v>14592</v>
      </c>
      <c r="F1875" s="5" t="s">
        <v>72</v>
      </c>
      <c r="G1875" s="5" t="s">
        <v>14593</v>
      </c>
      <c r="H1875" s="6" t="s">
        <v>14594</v>
      </c>
      <c r="I1875" s="7" t="s">
        <v>14595</v>
      </c>
      <c r="J1875" s="8" t="str">
        <f>HYPERLINK("https://drive.google.com/file/d/1p_85hmWlIop40wnZEPL_WlJLzbsCY0xV/view?usp=drivesdk","AY AY NURHIDAYAH, SE SERTIFIKAT BerAKHLAK")</f>
        <v>AY AY NURHIDAYAH, SE SERTIFIKAT BerAKHLAK</v>
      </c>
      <c r="K1875" s="5" t="s">
        <v>14071</v>
      </c>
      <c r="L1875" s="5" t="s">
        <v>14596</v>
      </c>
    </row>
    <row r="1876">
      <c r="A1876" s="4">
        <v>45534.33784184028</v>
      </c>
      <c r="B1876" s="5" t="s">
        <v>19</v>
      </c>
      <c r="C1876" s="5" t="s">
        <v>466</v>
      </c>
      <c r="E1876" s="5" t="s">
        <v>14599</v>
      </c>
      <c r="F1876" s="5" t="s">
        <v>212</v>
      </c>
      <c r="G1876" s="5" t="s">
        <v>14600</v>
      </c>
      <c r="H1876" s="6" t="s">
        <v>14601</v>
      </c>
      <c r="I1876" s="7" t="s">
        <v>14602</v>
      </c>
      <c r="J1876" s="8" t="str">
        <f>HYPERLINK("https://drive.google.com/file/d/18ESaDufHgSZGJhHcmQ_rEDnJftaceWde/view?usp=drivesdk","PENGATUR TK I TIAS UTAMI SERTIFIKAT BerAKHLAK")</f>
        <v>PENGATUR TK I TIAS UTAMI SERTIFIKAT BerAKHLAK</v>
      </c>
      <c r="K1876" s="5" t="s">
        <v>14071</v>
      </c>
      <c r="L1876" s="5" t="s">
        <v>14603</v>
      </c>
    </row>
    <row r="1877">
      <c r="A1877" s="4">
        <v>45534.337843194444</v>
      </c>
      <c r="B1877" s="5" t="s">
        <v>34</v>
      </c>
      <c r="D1877" s="5" t="s">
        <v>4775</v>
      </c>
      <c r="E1877" s="5" t="s">
        <v>14606</v>
      </c>
      <c r="F1877" s="5" t="s">
        <v>212</v>
      </c>
      <c r="G1877" s="5" t="s">
        <v>14607</v>
      </c>
      <c r="H1877" s="6" t="s">
        <v>14608</v>
      </c>
      <c r="I1877" s="7" t="s">
        <v>14609</v>
      </c>
      <c r="J1877" s="8" t="str">
        <f>HYPERLINK("https://drive.google.com/file/d/1AAqOP7-jwwaLim4kYDIfJNy0j1mc_IAS/view?usp=drivesdk","SUTARTO BAPAK SERTIFIKAT BerAKHLAK")</f>
        <v>SUTARTO BAPAK SERTIFIKAT BerAKHLAK</v>
      </c>
      <c r="K1877" s="5" t="s">
        <v>14093</v>
      </c>
      <c r="L1877" s="5" t="s">
        <v>14610</v>
      </c>
    </row>
    <row r="1878">
      <c r="A1878" s="4">
        <v>45534.337846180555</v>
      </c>
      <c r="B1878" s="5" t="s">
        <v>34</v>
      </c>
      <c r="D1878" s="5" t="s">
        <v>9394</v>
      </c>
      <c r="E1878" s="5" t="s">
        <v>14613</v>
      </c>
      <c r="F1878" s="5" t="s">
        <v>715</v>
      </c>
      <c r="G1878" s="5" t="s">
        <v>14614</v>
      </c>
      <c r="H1878" s="6" t="s">
        <v>14615</v>
      </c>
      <c r="I1878" s="7" t="s">
        <v>14616</v>
      </c>
      <c r="J1878" s="8" t="str">
        <f>HYPERLINK("https://drive.google.com/file/d/1JRVg2gpoKPyDHvcK_go6CVjJhGg9v0hS/view?usp=drivesdk","SRI WAHYUNI, SH SERTIFIKAT BerAKHLAK")</f>
        <v>SRI WAHYUNI, SH SERTIFIKAT BerAKHLAK</v>
      </c>
      <c r="K1878" s="5" t="s">
        <v>14093</v>
      </c>
      <c r="L1878" s="5" t="s">
        <v>14617</v>
      </c>
    </row>
    <row r="1879">
      <c r="A1879" s="4">
        <v>45534.33784724537</v>
      </c>
      <c r="B1879" s="5" t="s">
        <v>34</v>
      </c>
      <c r="D1879" s="5" t="s">
        <v>267</v>
      </c>
      <c r="E1879" s="5" t="s">
        <v>14620</v>
      </c>
      <c r="F1879" s="5" t="s">
        <v>212</v>
      </c>
      <c r="G1879" s="5" t="s">
        <v>14621</v>
      </c>
      <c r="H1879" s="6" t="s">
        <v>14622</v>
      </c>
      <c r="I1879" s="7" t="s">
        <v>14623</v>
      </c>
      <c r="J1879" s="8" t="str">
        <f>HYPERLINK("https://drive.google.com/file/d/1Sxxl_FAFh9MmwF9dOsp2JxfMykLI14Lo/view?usp=drivesdk","WARTINI SERTIFIKAT BerAKHLAK")</f>
        <v>WARTINI SERTIFIKAT BerAKHLAK</v>
      </c>
      <c r="K1879" s="5" t="s">
        <v>14093</v>
      </c>
      <c r="L1879" s="5" t="s">
        <v>14624</v>
      </c>
    </row>
    <row r="1880">
      <c r="A1880" s="4">
        <v>45534.33784862269</v>
      </c>
      <c r="B1880" s="5" t="s">
        <v>34</v>
      </c>
      <c r="D1880" s="5" t="s">
        <v>4775</v>
      </c>
      <c r="E1880" s="5" t="s">
        <v>14627</v>
      </c>
      <c r="F1880" s="5" t="s">
        <v>212</v>
      </c>
      <c r="G1880" s="5" t="s">
        <v>14628</v>
      </c>
      <c r="H1880" s="6" t="s">
        <v>14629</v>
      </c>
      <c r="I1880" s="7" t="s">
        <v>14630</v>
      </c>
      <c r="J1880" s="8" t="str">
        <f>HYPERLINK("https://drive.google.com/file/d/1Ilr61WpoikcSJTYrRRT96r_48UqtjsuY/view?usp=drivesdk","PUJIASTUTI PRIHATININGSIH, A.Md SERTIFIKAT BerAKHLAK")</f>
        <v>PUJIASTUTI PRIHATININGSIH, A.Md SERTIFIKAT BerAKHLAK</v>
      </c>
      <c r="K1880" s="5" t="s">
        <v>14116</v>
      </c>
      <c r="L1880" s="5" t="s">
        <v>14631</v>
      </c>
    </row>
    <row r="1881">
      <c r="A1881" s="4">
        <v>45534.33784886574</v>
      </c>
      <c r="B1881" s="5" t="s">
        <v>34</v>
      </c>
      <c r="D1881" s="5" t="s">
        <v>1206</v>
      </c>
      <c r="E1881" s="5" t="s">
        <v>14635</v>
      </c>
      <c r="F1881" s="5" t="s">
        <v>72</v>
      </c>
      <c r="G1881" s="5" t="s">
        <v>14636</v>
      </c>
      <c r="H1881" s="6" t="s">
        <v>14637</v>
      </c>
      <c r="I1881" s="7" t="s">
        <v>14638</v>
      </c>
      <c r="J1881" s="8" t="str">
        <f>HYPERLINK("https://drive.google.com/file/d/16oklyLtdobzJRK0cDePEKoiE09J7SbAb/view?usp=drivesdk","WAHYU HANDAYANI, Amd SERTIFIKAT BerAKHLAK")</f>
        <v>WAHYU HANDAYANI, Amd SERTIFIKAT BerAKHLAK</v>
      </c>
      <c r="K1881" s="5" t="s">
        <v>14116</v>
      </c>
      <c r="L1881" s="5" t="s">
        <v>14639</v>
      </c>
    </row>
    <row r="1882">
      <c r="A1882" s="4">
        <v>45534.337854108795</v>
      </c>
      <c r="B1882" s="5" t="s">
        <v>34</v>
      </c>
      <c r="D1882" s="5" t="s">
        <v>6232</v>
      </c>
      <c r="E1882" s="5" t="s">
        <v>14642</v>
      </c>
      <c r="F1882" s="5" t="s">
        <v>37</v>
      </c>
      <c r="G1882" s="5" t="s">
        <v>14643</v>
      </c>
      <c r="H1882" s="6" t="s">
        <v>14644</v>
      </c>
      <c r="K1882" s="5" t="s">
        <v>14524</v>
      </c>
    </row>
    <row r="1883">
      <c r="A1883" s="4">
        <v>45534.337864305555</v>
      </c>
      <c r="B1883" s="5" t="s">
        <v>34</v>
      </c>
      <c r="D1883" s="5" t="s">
        <v>9020</v>
      </c>
      <c r="E1883" s="5" t="s">
        <v>14647</v>
      </c>
      <c r="F1883" s="5" t="s">
        <v>524</v>
      </c>
      <c r="G1883" s="5" t="s">
        <v>14648</v>
      </c>
      <c r="H1883" s="6" t="s">
        <v>14649</v>
      </c>
      <c r="K1883" s="5" t="s">
        <v>14524</v>
      </c>
    </row>
    <row r="1884">
      <c r="A1884" s="4">
        <v>45534.33786846064</v>
      </c>
      <c r="B1884" s="5" t="s">
        <v>34</v>
      </c>
      <c r="D1884" s="5" t="s">
        <v>35</v>
      </c>
      <c r="E1884" s="5" t="s">
        <v>14652</v>
      </c>
      <c r="F1884" s="5" t="s">
        <v>37</v>
      </c>
      <c r="G1884" s="5" t="s">
        <v>14653</v>
      </c>
      <c r="H1884" s="6" t="s">
        <v>14654</v>
      </c>
      <c r="K1884" s="5" t="s">
        <v>14524</v>
      </c>
    </row>
    <row r="1885">
      <c r="A1885" s="4">
        <v>45534.33786903935</v>
      </c>
      <c r="B1885" s="5" t="s">
        <v>34</v>
      </c>
      <c r="D1885" s="5" t="s">
        <v>1692</v>
      </c>
      <c r="E1885" s="5" t="s">
        <v>14657</v>
      </c>
      <c r="F1885" s="5" t="s">
        <v>37</v>
      </c>
      <c r="G1885" s="5" t="s">
        <v>14658</v>
      </c>
      <c r="H1885" s="6" t="s">
        <v>14659</v>
      </c>
      <c r="K1885" s="5" t="s">
        <v>14524</v>
      </c>
    </row>
    <row r="1886">
      <c r="A1886" s="4">
        <v>45534.33787186343</v>
      </c>
      <c r="B1886" s="5" t="s">
        <v>34</v>
      </c>
      <c r="D1886" s="5" t="s">
        <v>35</v>
      </c>
      <c r="E1886" s="5" t="s">
        <v>14663</v>
      </c>
      <c r="F1886" s="5" t="s">
        <v>212</v>
      </c>
      <c r="G1886" s="5" t="s">
        <v>14664</v>
      </c>
      <c r="H1886" s="6" t="s">
        <v>14665</v>
      </c>
      <c r="K1886" s="5" t="s">
        <v>14524</v>
      </c>
    </row>
    <row r="1887">
      <c r="A1887" s="4">
        <v>45534.33787392361</v>
      </c>
      <c r="B1887" s="5" t="s">
        <v>34</v>
      </c>
      <c r="D1887" s="5" t="s">
        <v>1206</v>
      </c>
      <c r="E1887" s="5" t="s">
        <v>14668</v>
      </c>
      <c r="F1887" s="5" t="s">
        <v>37</v>
      </c>
      <c r="G1887" s="5" t="s">
        <v>14669</v>
      </c>
      <c r="H1887" s="6" t="s">
        <v>14670</v>
      </c>
      <c r="K1887" s="5" t="s">
        <v>14524</v>
      </c>
    </row>
    <row r="1888">
      <c r="A1888" s="4">
        <v>45534.33787960648</v>
      </c>
      <c r="B1888" s="5" t="s">
        <v>34</v>
      </c>
      <c r="D1888" s="5" t="s">
        <v>9394</v>
      </c>
      <c r="E1888" s="5" t="s">
        <v>14673</v>
      </c>
      <c r="F1888" s="5" t="s">
        <v>37</v>
      </c>
      <c r="G1888" s="5" t="s">
        <v>14674</v>
      </c>
      <c r="H1888" s="6" t="s">
        <v>14675</v>
      </c>
      <c r="K1888" s="5" t="s">
        <v>14524</v>
      </c>
    </row>
    <row r="1889">
      <c r="A1889" s="4">
        <v>45534.33788125</v>
      </c>
      <c r="B1889" s="5" t="s">
        <v>34</v>
      </c>
      <c r="D1889" s="5" t="s">
        <v>996</v>
      </c>
      <c r="E1889" s="5" t="s">
        <v>14679</v>
      </c>
      <c r="F1889" s="5" t="s">
        <v>524</v>
      </c>
      <c r="G1889" s="5" t="s">
        <v>14680</v>
      </c>
      <c r="H1889" s="6" t="s">
        <v>14681</v>
      </c>
      <c r="K1889" s="5" t="s">
        <v>14524</v>
      </c>
    </row>
    <row r="1890">
      <c r="A1890" s="4">
        <v>45534.33788543982</v>
      </c>
      <c r="B1890" s="5" t="s">
        <v>34</v>
      </c>
      <c r="D1890" s="5" t="s">
        <v>975</v>
      </c>
      <c r="E1890" s="5" t="s">
        <v>14684</v>
      </c>
      <c r="F1890" s="5" t="s">
        <v>212</v>
      </c>
      <c r="G1890" s="5" t="s">
        <v>14685</v>
      </c>
      <c r="H1890" s="6" t="s">
        <v>14686</v>
      </c>
      <c r="K1890" s="5" t="s">
        <v>14524</v>
      </c>
    </row>
    <row r="1891">
      <c r="A1891" s="4">
        <v>45534.337887754635</v>
      </c>
      <c r="B1891" s="5" t="s">
        <v>34</v>
      </c>
      <c r="D1891" s="5" t="s">
        <v>6232</v>
      </c>
      <c r="E1891" s="5" t="s">
        <v>14689</v>
      </c>
      <c r="F1891" s="5" t="s">
        <v>212</v>
      </c>
      <c r="G1891" s="5" t="s">
        <v>14690</v>
      </c>
      <c r="H1891" s="6" t="s">
        <v>14691</v>
      </c>
      <c r="K1891" s="5" t="s">
        <v>14524</v>
      </c>
    </row>
    <row r="1892">
      <c r="A1892" s="4">
        <v>45534.3378956713</v>
      </c>
      <c r="B1892" s="5" t="s">
        <v>34</v>
      </c>
      <c r="D1892" s="5" t="s">
        <v>35</v>
      </c>
      <c r="E1892" s="5" t="s">
        <v>14694</v>
      </c>
      <c r="F1892" s="5" t="s">
        <v>212</v>
      </c>
      <c r="G1892" s="5" t="s">
        <v>14695</v>
      </c>
      <c r="H1892" s="6" t="s">
        <v>14696</v>
      </c>
      <c r="K1892" s="5" t="s">
        <v>14524</v>
      </c>
    </row>
    <row r="1893">
      <c r="A1893" s="4">
        <v>45534.33789865741</v>
      </c>
      <c r="B1893" s="5" t="s">
        <v>34</v>
      </c>
      <c r="D1893" s="5" t="s">
        <v>4775</v>
      </c>
      <c r="E1893" s="5" t="s">
        <v>14699</v>
      </c>
      <c r="F1893" s="5" t="s">
        <v>524</v>
      </c>
      <c r="G1893" s="5" t="s">
        <v>14700</v>
      </c>
      <c r="H1893" s="6" t="s">
        <v>14701</v>
      </c>
      <c r="K1893" s="5" t="s">
        <v>14524</v>
      </c>
    </row>
    <row r="1894">
      <c r="A1894" s="4">
        <v>45534.33790271991</v>
      </c>
      <c r="B1894" s="5" t="s">
        <v>34</v>
      </c>
      <c r="D1894" s="5" t="s">
        <v>1456</v>
      </c>
      <c r="E1894" s="5" t="s">
        <v>14705</v>
      </c>
      <c r="F1894" s="5" t="s">
        <v>37</v>
      </c>
      <c r="G1894" s="5" t="s">
        <v>14706</v>
      </c>
      <c r="H1894" s="6" t="s">
        <v>14707</v>
      </c>
      <c r="K1894" s="5" t="s">
        <v>14524</v>
      </c>
    </row>
    <row r="1895">
      <c r="A1895" s="4">
        <v>45534.337905520835</v>
      </c>
      <c r="B1895" s="5" t="s">
        <v>34</v>
      </c>
      <c r="D1895" s="5" t="s">
        <v>4775</v>
      </c>
      <c r="E1895" s="5" t="s">
        <v>14710</v>
      </c>
      <c r="F1895" s="5" t="s">
        <v>37</v>
      </c>
      <c r="G1895" s="5" t="s">
        <v>14711</v>
      </c>
      <c r="H1895" s="6" t="s">
        <v>14712</v>
      </c>
      <c r="K1895" s="5" t="s">
        <v>14524</v>
      </c>
    </row>
    <row r="1896">
      <c r="A1896" s="4">
        <v>45534.33790752315</v>
      </c>
      <c r="B1896" s="5" t="s">
        <v>19</v>
      </c>
      <c r="C1896" s="5" t="s">
        <v>466</v>
      </c>
      <c r="E1896" s="5" t="s">
        <v>14715</v>
      </c>
      <c r="F1896" s="5" t="s">
        <v>524</v>
      </c>
      <c r="G1896" s="5" t="s">
        <v>14716</v>
      </c>
      <c r="H1896" s="6" t="s">
        <v>14717</v>
      </c>
      <c r="K1896" s="5" t="s">
        <v>14524</v>
      </c>
    </row>
    <row r="1897">
      <c r="A1897" s="4">
        <v>45534.33791061342</v>
      </c>
      <c r="B1897" s="5" t="s">
        <v>34</v>
      </c>
      <c r="D1897" s="5" t="s">
        <v>10444</v>
      </c>
      <c r="E1897" s="5" t="s">
        <v>14720</v>
      </c>
      <c r="F1897" s="5" t="s">
        <v>72</v>
      </c>
      <c r="G1897" s="5" t="s">
        <v>14721</v>
      </c>
      <c r="H1897" s="6" t="s">
        <v>14722</v>
      </c>
      <c r="K1897" s="5" t="s">
        <v>14524</v>
      </c>
    </row>
    <row r="1898">
      <c r="A1898" s="4">
        <v>45534.33791615741</v>
      </c>
      <c r="B1898" s="5" t="s">
        <v>34</v>
      </c>
      <c r="D1898" s="5" t="s">
        <v>996</v>
      </c>
      <c r="E1898" s="5" t="s">
        <v>14725</v>
      </c>
      <c r="F1898" s="5" t="s">
        <v>524</v>
      </c>
      <c r="G1898" s="5" t="s">
        <v>14726</v>
      </c>
      <c r="H1898" s="6" t="s">
        <v>14727</v>
      </c>
      <c r="K1898" s="5" t="s">
        <v>14524</v>
      </c>
    </row>
    <row r="1899">
      <c r="A1899" s="4">
        <v>45534.33791775463</v>
      </c>
      <c r="B1899" s="5" t="s">
        <v>34</v>
      </c>
      <c r="D1899" s="5" t="s">
        <v>1663</v>
      </c>
      <c r="E1899" s="5" t="s">
        <v>14730</v>
      </c>
      <c r="F1899" s="5" t="s">
        <v>37</v>
      </c>
      <c r="G1899" s="5" t="s">
        <v>14731</v>
      </c>
      <c r="H1899" s="6" t="s">
        <v>14732</v>
      </c>
      <c r="K1899" s="5" t="s">
        <v>14524</v>
      </c>
    </row>
    <row r="1900">
      <c r="A1900" s="4">
        <v>45534.337918414356</v>
      </c>
      <c r="B1900" s="5" t="s">
        <v>34</v>
      </c>
      <c r="D1900" s="5" t="s">
        <v>10444</v>
      </c>
      <c r="E1900" s="5" t="s">
        <v>14736</v>
      </c>
      <c r="F1900" s="5" t="s">
        <v>108</v>
      </c>
      <c r="G1900" s="5" t="s">
        <v>14737</v>
      </c>
      <c r="H1900" s="6" t="s">
        <v>14738</v>
      </c>
      <c r="K1900" s="5" t="s">
        <v>14524</v>
      </c>
    </row>
    <row r="1901">
      <c r="A1901" s="4">
        <v>45534.337925162035</v>
      </c>
      <c r="B1901" s="5" t="s">
        <v>34</v>
      </c>
      <c r="D1901" s="5" t="s">
        <v>9020</v>
      </c>
      <c r="E1901" s="5" t="s">
        <v>14741</v>
      </c>
      <c r="F1901" s="5" t="s">
        <v>37</v>
      </c>
      <c r="G1901" s="5" t="s">
        <v>14742</v>
      </c>
      <c r="H1901" s="6" t="s">
        <v>14743</v>
      </c>
      <c r="K1901" s="5" t="s">
        <v>14524</v>
      </c>
    </row>
    <row r="1902">
      <c r="A1902" s="4">
        <v>45534.33792542824</v>
      </c>
      <c r="B1902" s="5" t="s">
        <v>34</v>
      </c>
      <c r="D1902" s="5" t="s">
        <v>2903</v>
      </c>
      <c r="E1902" s="5" t="s">
        <v>14746</v>
      </c>
      <c r="F1902" s="5" t="s">
        <v>375</v>
      </c>
      <c r="G1902" s="5" t="s">
        <v>14747</v>
      </c>
      <c r="H1902" s="6" t="s">
        <v>14748</v>
      </c>
      <c r="K1902" s="5" t="s">
        <v>14524</v>
      </c>
    </row>
    <row r="1903">
      <c r="A1903" s="4">
        <v>45534.337934675925</v>
      </c>
      <c r="B1903" s="5" t="s">
        <v>34</v>
      </c>
      <c r="D1903" s="5" t="s">
        <v>4775</v>
      </c>
      <c r="E1903" s="5" t="s">
        <v>14751</v>
      </c>
      <c r="F1903" s="5" t="s">
        <v>72</v>
      </c>
      <c r="G1903" s="5" t="s">
        <v>14752</v>
      </c>
      <c r="H1903" s="6" t="s">
        <v>14753</v>
      </c>
      <c r="K1903" s="5" t="s">
        <v>14524</v>
      </c>
    </row>
    <row r="1904">
      <c r="A1904" s="4">
        <v>45534.33793982639</v>
      </c>
      <c r="B1904" s="5" t="s">
        <v>34</v>
      </c>
      <c r="D1904" s="5" t="s">
        <v>12010</v>
      </c>
      <c r="E1904" s="5" t="s">
        <v>14756</v>
      </c>
      <c r="F1904" s="5" t="s">
        <v>37</v>
      </c>
      <c r="G1904" s="5" t="s">
        <v>14757</v>
      </c>
      <c r="H1904" s="6" t="s">
        <v>14758</v>
      </c>
      <c r="K1904" s="5" t="s">
        <v>14524</v>
      </c>
    </row>
    <row r="1905">
      <c r="A1905" s="4">
        <v>45534.337942025464</v>
      </c>
      <c r="B1905" s="5" t="s">
        <v>34</v>
      </c>
      <c r="D1905" s="5" t="s">
        <v>1456</v>
      </c>
      <c r="E1905" s="5" t="s">
        <v>14761</v>
      </c>
      <c r="F1905" s="5" t="s">
        <v>37</v>
      </c>
      <c r="G1905" s="5" t="s">
        <v>14762</v>
      </c>
      <c r="H1905" s="6" t="s">
        <v>14763</v>
      </c>
      <c r="K1905" s="5" t="s">
        <v>14524</v>
      </c>
    </row>
    <row r="1906">
      <c r="A1906" s="4">
        <v>45534.337946134256</v>
      </c>
      <c r="B1906" s="5" t="s">
        <v>34</v>
      </c>
      <c r="D1906" s="5" t="s">
        <v>6232</v>
      </c>
      <c r="E1906" s="5" t="s">
        <v>14767</v>
      </c>
      <c r="F1906" s="5" t="s">
        <v>37</v>
      </c>
      <c r="G1906" s="5" t="s">
        <v>14768</v>
      </c>
      <c r="H1906" s="6" t="s">
        <v>14769</v>
      </c>
      <c r="K1906" s="5" t="s">
        <v>14524</v>
      </c>
    </row>
    <row r="1907">
      <c r="A1907" s="4">
        <v>45534.33794640047</v>
      </c>
      <c r="B1907" s="5" t="s">
        <v>34</v>
      </c>
      <c r="D1907" s="5" t="s">
        <v>2903</v>
      </c>
      <c r="E1907" s="5" t="s">
        <v>14772</v>
      </c>
      <c r="F1907" s="5" t="s">
        <v>212</v>
      </c>
      <c r="G1907" s="5" t="s">
        <v>14773</v>
      </c>
      <c r="H1907" s="6" t="s">
        <v>14774</v>
      </c>
      <c r="K1907" s="5" t="s">
        <v>14524</v>
      </c>
    </row>
    <row r="1908">
      <c r="A1908" s="4">
        <v>45534.337946898144</v>
      </c>
      <c r="B1908" s="5" t="s">
        <v>34</v>
      </c>
      <c r="D1908" s="5" t="s">
        <v>9020</v>
      </c>
      <c r="E1908" s="5" t="s">
        <v>14777</v>
      </c>
      <c r="F1908" s="5" t="s">
        <v>715</v>
      </c>
      <c r="G1908" s="5" t="s">
        <v>14778</v>
      </c>
      <c r="H1908" s="6" t="s">
        <v>14779</v>
      </c>
      <c r="K1908" s="5" t="s">
        <v>14524</v>
      </c>
    </row>
    <row r="1909">
      <c r="A1909" s="4">
        <v>45534.33794974537</v>
      </c>
      <c r="B1909" s="5" t="s">
        <v>19</v>
      </c>
      <c r="C1909" s="5" t="s">
        <v>11593</v>
      </c>
      <c r="E1909" s="5" t="s">
        <v>14782</v>
      </c>
      <c r="F1909" s="5" t="s">
        <v>14783</v>
      </c>
      <c r="G1909" s="5" t="s">
        <v>14784</v>
      </c>
      <c r="H1909" s="6" t="s">
        <v>14785</v>
      </c>
      <c r="K1909" s="5" t="s">
        <v>14524</v>
      </c>
    </row>
    <row r="1910">
      <c r="A1910" s="4">
        <v>45534.33794946759</v>
      </c>
      <c r="B1910" s="5" t="s">
        <v>34</v>
      </c>
      <c r="D1910" s="5" t="s">
        <v>4775</v>
      </c>
      <c r="E1910" s="5" t="s">
        <v>14788</v>
      </c>
      <c r="F1910" s="5" t="s">
        <v>212</v>
      </c>
      <c r="G1910" s="5" t="s">
        <v>14789</v>
      </c>
      <c r="H1910" s="6" t="s">
        <v>14790</v>
      </c>
      <c r="K1910" s="5" t="s">
        <v>14524</v>
      </c>
    </row>
    <row r="1911">
      <c r="A1911" s="4">
        <v>45534.337950925925</v>
      </c>
      <c r="B1911" s="5" t="s">
        <v>34</v>
      </c>
      <c r="D1911" s="5" t="s">
        <v>2903</v>
      </c>
      <c r="E1911" s="5" t="s">
        <v>14793</v>
      </c>
      <c r="F1911" s="5" t="s">
        <v>212</v>
      </c>
      <c r="G1911" s="5" t="s">
        <v>14794</v>
      </c>
      <c r="H1911" s="6" t="s">
        <v>14795</v>
      </c>
      <c r="K1911" s="5" t="s">
        <v>14524</v>
      </c>
    </row>
    <row r="1912">
      <c r="A1912" s="4">
        <v>45534.33796512731</v>
      </c>
      <c r="B1912" s="5" t="s">
        <v>34</v>
      </c>
      <c r="D1912" s="5" t="s">
        <v>1206</v>
      </c>
      <c r="E1912" s="5" t="s">
        <v>14799</v>
      </c>
      <c r="F1912" s="5" t="s">
        <v>328</v>
      </c>
      <c r="G1912" s="5" t="s">
        <v>14800</v>
      </c>
      <c r="H1912" s="6" t="s">
        <v>14801</v>
      </c>
      <c r="K1912" s="5" t="s">
        <v>14524</v>
      </c>
    </row>
    <row r="1913">
      <c r="A1913" s="4">
        <v>45534.3379662963</v>
      </c>
      <c r="B1913" s="5" t="s">
        <v>34</v>
      </c>
      <c r="D1913" s="5" t="s">
        <v>35</v>
      </c>
      <c r="E1913" s="5" t="s">
        <v>14804</v>
      </c>
      <c r="F1913" s="5" t="s">
        <v>212</v>
      </c>
      <c r="G1913" s="5" t="s">
        <v>14805</v>
      </c>
      <c r="H1913" s="6" t="s">
        <v>14806</v>
      </c>
      <c r="K1913" s="5" t="s">
        <v>14524</v>
      </c>
    </row>
    <row r="1914">
      <c r="A1914" s="4">
        <v>45534.33797521991</v>
      </c>
      <c r="B1914" s="5" t="s">
        <v>34</v>
      </c>
      <c r="D1914" s="5" t="s">
        <v>996</v>
      </c>
      <c r="E1914" s="5" t="s">
        <v>14809</v>
      </c>
      <c r="F1914" s="5" t="s">
        <v>212</v>
      </c>
      <c r="G1914" s="5" t="s">
        <v>14810</v>
      </c>
      <c r="H1914" s="6" t="s">
        <v>14811</v>
      </c>
      <c r="K1914" s="5" t="s">
        <v>14524</v>
      </c>
    </row>
    <row r="1915">
      <c r="A1915" s="4">
        <v>45534.33797583333</v>
      </c>
      <c r="B1915" s="5" t="s">
        <v>34</v>
      </c>
      <c r="D1915" s="5" t="s">
        <v>1768</v>
      </c>
      <c r="E1915" s="5" t="s">
        <v>14814</v>
      </c>
      <c r="F1915" s="5" t="s">
        <v>524</v>
      </c>
      <c r="G1915" s="5" t="s">
        <v>14815</v>
      </c>
      <c r="H1915" s="6" t="s">
        <v>14816</v>
      </c>
      <c r="K1915" s="5" t="s">
        <v>14524</v>
      </c>
    </row>
    <row r="1916">
      <c r="A1916" s="4">
        <v>45534.33797769676</v>
      </c>
      <c r="B1916" s="5" t="s">
        <v>34</v>
      </c>
      <c r="D1916" s="5" t="s">
        <v>10444</v>
      </c>
      <c r="E1916" s="5" t="s">
        <v>14819</v>
      </c>
      <c r="F1916" s="5" t="s">
        <v>37</v>
      </c>
      <c r="G1916" s="5" t="s">
        <v>14820</v>
      </c>
      <c r="H1916" s="6" t="s">
        <v>14821</v>
      </c>
      <c r="K1916" s="5" t="s">
        <v>14524</v>
      </c>
    </row>
    <row r="1917">
      <c r="A1917" s="4">
        <v>45534.337978888885</v>
      </c>
      <c r="B1917" s="5" t="s">
        <v>19</v>
      </c>
      <c r="C1917" s="5" t="s">
        <v>11593</v>
      </c>
      <c r="E1917" s="5" t="s">
        <v>14825</v>
      </c>
      <c r="F1917" s="5" t="s">
        <v>37</v>
      </c>
      <c r="G1917" s="5" t="s">
        <v>14826</v>
      </c>
      <c r="H1917" s="6" t="s">
        <v>14827</v>
      </c>
      <c r="K1917" s="5" t="s">
        <v>14524</v>
      </c>
    </row>
    <row r="1918">
      <c r="A1918" s="4">
        <v>45534.337981261575</v>
      </c>
      <c r="B1918" s="5" t="s">
        <v>34</v>
      </c>
      <c r="D1918" s="5" t="s">
        <v>267</v>
      </c>
      <c r="E1918" s="5" t="s">
        <v>14830</v>
      </c>
      <c r="F1918" s="5" t="s">
        <v>212</v>
      </c>
      <c r="G1918" s="5" t="s">
        <v>14831</v>
      </c>
      <c r="H1918" s="6" t="s">
        <v>14832</v>
      </c>
      <c r="K1918" s="5" t="s">
        <v>14524</v>
      </c>
    </row>
    <row r="1919">
      <c r="A1919" s="4">
        <v>45534.33798837963</v>
      </c>
      <c r="B1919" s="5" t="s">
        <v>34</v>
      </c>
      <c r="D1919" s="5" t="s">
        <v>1206</v>
      </c>
      <c r="E1919" s="5" t="s">
        <v>14835</v>
      </c>
      <c r="F1919" s="5" t="s">
        <v>72</v>
      </c>
      <c r="G1919" s="5" t="s">
        <v>14836</v>
      </c>
      <c r="H1919" s="6" t="s">
        <v>14837</v>
      </c>
      <c r="K1919" s="5" t="s">
        <v>14524</v>
      </c>
    </row>
    <row r="1920">
      <c r="A1920" s="4">
        <v>45534.3380066088</v>
      </c>
      <c r="B1920" s="5" t="s">
        <v>34</v>
      </c>
      <c r="D1920" s="5" t="s">
        <v>996</v>
      </c>
      <c r="E1920" s="5" t="s">
        <v>14840</v>
      </c>
      <c r="F1920" s="5" t="s">
        <v>212</v>
      </c>
      <c r="G1920" s="5" t="s">
        <v>14841</v>
      </c>
      <c r="H1920" s="6" t="s">
        <v>14842</v>
      </c>
      <c r="K1920" s="5" t="s">
        <v>14524</v>
      </c>
    </row>
    <row r="1921">
      <c r="A1921" s="4">
        <v>45534.33800863426</v>
      </c>
      <c r="B1921" s="5" t="s">
        <v>34</v>
      </c>
      <c r="D1921" s="5" t="s">
        <v>10444</v>
      </c>
      <c r="E1921" s="5" t="s">
        <v>14846</v>
      </c>
      <c r="F1921" s="5" t="s">
        <v>37</v>
      </c>
      <c r="G1921" s="5" t="s">
        <v>14847</v>
      </c>
      <c r="H1921" s="6" t="s">
        <v>14848</v>
      </c>
      <c r="I1921" s="7" t="s">
        <v>14849</v>
      </c>
      <c r="J1921" s="8" t="str">
        <f>HYPERLINK("https://drive.google.com/file/d/17L8hh6CkKhDBQx2mzE5kYAk1ezFpOaV0/view?usp=drivesdk","RIA FITRIA, A.MD.KEB SERTIFIKAT BerAKHLAK")</f>
        <v>RIA FITRIA, A.MD.KEB SERTIFIKAT BerAKHLAK</v>
      </c>
      <c r="K1921" s="5" t="s">
        <v>14116</v>
      </c>
      <c r="L1921" s="5" t="s">
        <v>14850</v>
      </c>
    </row>
    <row r="1922">
      <c r="A1922" s="4">
        <v>45534.33801449074</v>
      </c>
      <c r="B1922" s="5" t="s">
        <v>34</v>
      </c>
      <c r="D1922" s="5" t="s">
        <v>14313</v>
      </c>
      <c r="E1922" s="5" t="s">
        <v>14853</v>
      </c>
      <c r="F1922" s="5" t="s">
        <v>715</v>
      </c>
      <c r="G1922" s="5" t="s">
        <v>14854</v>
      </c>
      <c r="H1922" s="6" t="s">
        <v>14855</v>
      </c>
      <c r="K1922" s="5" t="s">
        <v>14856</v>
      </c>
    </row>
    <row r="1923">
      <c r="A1923" s="4">
        <v>45534.33801608796</v>
      </c>
      <c r="B1923" s="5" t="s">
        <v>34</v>
      </c>
      <c r="D1923" s="5" t="s">
        <v>4775</v>
      </c>
      <c r="E1923" s="5" t="s">
        <v>14859</v>
      </c>
      <c r="F1923" s="5" t="s">
        <v>524</v>
      </c>
      <c r="G1923" s="5" t="s">
        <v>14860</v>
      </c>
      <c r="H1923" s="6" t="s">
        <v>14861</v>
      </c>
      <c r="I1923" s="7" t="s">
        <v>14862</v>
      </c>
      <c r="J1923" s="8" t="str">
        <f>HYPERLINK("https://drive.google.com/file/d/1vZUZvgrI1_a5FRPgvuu5PfnE1gb1P6H5/view?usp=drivesdk","SITI KOMSATI SERTIFIKAT BerAKHLAK")</f>
        <v>SITI KOMSATI SERTIFIKAT BerAKHLAK</v>
      </c>
      <c r="K1923" s="5" t="s">
        <v>14071</v>
      </c>
      <c r="L1923" s="5" t="s">
        <v>14863</v>
      </c>
    </row>
    <row r="1924">
      <c r="A1924" s="4">
        <v>45534.33802034722</v>
      </c>
      <c r="B1924" s="5" t="s">
        <v>34</v>
      </c>
      <c r="D1924" s="5" t="s">
        <v>4775</v>
      </c>
      <c r="E1924" s="5" t="s">
        <v>14866</v>
      </c>
      <c r="F1924" s="5" t="s">
        <v>524</v>
      </c>
      <c r="G1924" s="5" t="s">
        <v>14867</v>
      </c>
      <c r="H1924" s="6" t="s">
        <v>14868</v>
      </c>
      <c r="I1924" s="7" t="s">
        <v>14869</v>
      </c>
      <c r="J1924" s="8" t="str">
        <f>HYPERLINK("https://drive.google.com/file/d/1E7ry2EUMWbKLP-wPwAsEsxc3GAYhQqR6/view?usp=drivesdk","ADHI FAHMI FARDHIYANSYAH SERTIFIKAT BerAKHLAK")</f>
        <v>ADHI FAHMI FARDHIYANSYAH SERTIFIKAT BerAKHLAK</v>
      </c>
      <c r="K1924" s="5" t="s">
        <v>14071</v>
      </c>
      <c r="L1924" s="5" t="s">
        <v>14870</v>
      </c>
    </row>
    <row r="1925">
      <c r="A1925" s="4">
        <v>45534.338031921296</v>
      </c>
      <c r="B1925" s="5" t="s">
        <v>19</v>
      </c>
      <c r="C1925" s="5" t="s">
        <v>5564</v>
      </c>
      <c r="E1925" s="5" t="s">
        <v>14873</v>
      </c>
      <c r="F1925" s="5" t="s">
        <v>212</v>
      </c>
      <c r="G1925" s="5" t="s">
        <v>14874</v>
      </c>
      <c r="H1925" s="6" t="s">
        <v>14875</v>
      </c>
      <c r="I1925" s="7" t="s">
        <v>14876</v>
      </c>
      <c r="J1925" s="8" t="str">
        <f>HYPERLINK("https://drive.google.com/file/d/1bS4OgcUd9mv1KwmF7F9YRodrE-rN8zj_/view?usp=drivesdk","DWI INDARTI SERTIFIKAT BerAKHLAK")</f>
        <v>DWI INDARTI SERTIFIKAT BerAKHLAK</v>
      </c>
      <c r="K1925" s="5" t="s">
        <v>14071</v>
      </c>
      <c r="L1925" s="5" t="s">
        <v>14877</v>
      </c>
    </row>
    <row r="1926">
      <c r="A1926" s="4">
        <v>45534.338038368056</v>
      </c>
      <c r="B1926" s="5" t="s">
        <v>34</v>
      </c>
      <c r="D1926" s="5" t="s">
        <v>12978</v>
      </c>
      <c r="E1926" s="5" t="s">
        <v>14880</v>
      </c>
      <c r="F1926" s="5" t="s">
        <v>212</v>
      </c>
      <c r="G1926" s="5" t="s">
        <v>14881</v>
      </c>
      <c r="H1926" s="6" t="s">
        <v>14882</v>
      </c>
      <c r="I1926" s="7" t="s">
        <v>14883</v>
      </c>
      <c r="J1926" s="8" t="str">
        <f>HYPERLINK("https://drive.google.com/file/d/1vuOuCZMY9zR7YrRHmYaxUTDM1ViXispn/view?usp=drivesdk","NURSALIMA, S.H SERTIFIKAT BerAKHLAK")</f>
        <v>NURSALIMA, S.H SERTIFIKAT BerAKHLAK</v>
      </c>
      <c r="K1926" s="5" t="s">
        <v>14093</v>
      </c>
      <c r="L1926" s="5" t="s">
        <v>14884</v>
      </c>
    </row>
    <row r="1927">
      <c r="A1927" s="4">
        <v>45534.33804141203</v>
      </c>
      <c r="B1927" s="5" t="s">
        <v>34</v>
      </c>
      <c r="D1927" s="5" t="s">
        <v>10444</v>
      </c>
      <c r="E1927" s="5" t="s">
        <v>14887</v>
      </c>
      <c r="F1927" s="5" t="s">
        <v>212</v>
      </c>
      <c r="G1927" s="5" t="s">
        <v>14888</v>
      </c>
      <c r="H1927" s="6" t="s">
        <v>14889</v>
      </c>
      <c r="I1927" s="7" t="s">
        <v>14890</v>
      </c>
      <c r="J1927" s="8" t="str">
        <f>HYPERLINK("https://drive.google.com/file/d/1UriDVyOskrHL2O4AYi38RkqtaHLCtAna/view?usp=drivesdk","NANIEK SUDIAR SERTIFIKAT BerAKHLAK")</f>
        <v>NANIEK SUDIAR SERTIFIKAT BerAKHLAK</v>
      </c>
      <c r="K1927" s="5" t="s">
        <v>14093</v>
      </c>
      <c r="L1927" s="5" t="s">
        <v>14891</v>
      </c>
    </row>
    <row r="1928">
      <c r="A1928" s="4">
        <v>45534.338049375</v>
      </c>
      <c r="B1928" s="5" t="s">
        <v>34</v>
      </c>
      <c r="D1928" s="5" t="s">
        <v>996</v>
      </c>
      <c r="E1928" s="5" t="s">
        <v>14895</v>
      </c>
      <c r="F1928" s="5" t="s">
        <v>37</v>
      </c>
      <c r="G1928" s="5" t="s">
        <v>14896</v>
      </c>
      <c r="H1928" s="6" t="s">
        <v>14897</v>
      </c>
      <c r="I1928" s="7" t="s">
        <v>14898</v>
      </c>
      <c r="J1928" s="8" t="str">
        <f>HYPERLINK("https://drive.google.com/file/d/1d8VUFsGZvxI243hwr-YAC79hQ4gNDeHD/view?usp=drivesdk","MAHADI SERTIFIKAT BerAKHLAK")</f>
        <v>MAHADI SERTIFIKAT BerAKHLAK</v>
      </c>
      <c r="K1928" s="5" t="s">
        <v>14116</v>
      </c>
      <c r="L1928" s="5" t="s">
        <v>14899</v>
      </c>
    </row>
    <row r="1929">
      <c r="A1929" s="4">
        <v>45534.33805322916</v>
      </c>
      <c r="B1929" s="5" t="s">
        <v>34</v>
      </c>
      <c r="D1929" s="5" t="s">
        <v>9020</v>
      </c>
      <c r="E1929" s="5" t="s">
        <v>14902</v>
      </c>
      <c r="F1929" s="5" t="s">
        <v>375</v>
      </c>
      <c r="G1929" s="5" t="s">
        <v>14903</v>
      </c>
      <c r="H1929" s="6" t="s">
        <v>14904</v>
      </c>
      <c r="I1929" s="7" t="s">
        <v>14905</v>
      </c>
      <c r="J1929" s="8" t="str">
        <f>HYPERLINK("https://drive.google.com/file/d/1OBtMXfGi8-91K_Pb9u4PcmrTrS_KeEsv/view?usp=drivesdk","BALMER VICTOR PANGARIBUAN,SE SERTIFIKAT BerAKHLAK")</f>
        <v>BALMER VICTOR PANGARIBUAN,SE SERTIFIKAT BerAKHLAK</v>
      </c>
      <c r="K1929" s="5" t="s">
        <v>14116</v>
      </c>
      <c r="L1929" s="5" t="s">
        <v>14906</v>
      </c>
    </row>
    <row r="1930">
      <c r="A1930" s="4">
        <v>45534.33805825231</v>
      </c>
      <c r="B1930" s="5" t="s">
        <v>34</v>
      </c>
      <c r="D1930" s="5" t="s">
        <v>1558</v>
      </c>
      <c r="E1930" s="5" t="s">
        <v>14909</v>
      </c>
      <c r="F1930" s="5" t="s">
        <v>108</v>
      </c>
      <c r="G1930" s="5" t="s">
        <v>14910</v>
      </c>
      <c r="H1930" s="6" t="s">
        <v>14911</v>
      </c>
      <c r="I1930" s="7" t="s">
        <v>14912</v>
      </c>
      <c r="J1930" s="8" t="str">
        <f>HYPERLINK("https://drive.google.com/file/d/1jEQveVQEELFVlkuzbJsB4qLC-PNPtBM-/view?usp=drivesdk","dr. WESTHA DEGA SASRIYA SERTIFIKAT BerAKHLAK")</f>
        <v>dr. WESTHA DEGA SASRIYA SERTIFIKAT BerAKHLAK</v>
      </c>
      <c r="K1930" s="5" t="s">
        <v>14913</v>
      </c>
      <c r="L1930" s="5" t="s">
        <v>14914</v>
      </c>
    </row>
    <row r="1931">
      <c r="A1931" s="4">
        <v>45534.3380583449</v>
      </c>
      <c r="B1931" s="5" t="s">
        <v>34</v>
      </c>
      <c r="D1931" s="5" t="s">
        <v>280</v>
      </c>
      <c r="E1931" s="5" t="s">
        <v>14917</v>
      </c>
      <c r="F1931" s="5" t="s">
        <v>37</v>
      </c>
      <c r="G1931" s="5" t="s">
        <v>14918</v>
      </c>
      <c r="H1931" s="6" t="s">
        <v>14919</v>
      </c>
      <c r="I1931" s="7" t="s">
        <v>14920</v>
      </c>
      <c r="J1931" s="8" t="str">
        <f>HYPERLINK("https://drive.google.com/file/d/1Q-iOUfBCjvUnm-_mnz0KZXRDhqysHhbU/view?usp=drivesdk","RISIONO  SERTIFIKAT BerAKHLAK")</f>
        <v>RISIONO  SERTIFIKAT BerAKHLAK</v>
      </c>
      <c r="K1931" s="5" t="s">
        <v>14913</v>
      </c>
      <c r="L1931" s="5" t="s">
        <v>14921</v>
      </c>
    </row>
    <row r="1932">
      <c r="A1932" s="4">
        <v>45534.33805925926</v>
      </c>
      <c r="B1932" s="5" t="s">
        <v>34</v>
      </c>
      <c r="D1932" s="5" t="s">
        <v>4775</v>
      </c>
      <c r="E1932" s="5" t="s">
        <v>14925</v>
      </c>
      <c r="F1932" s="5" t="s">
        <v>375</v>
      </c>
      <c r="G1932" s="5" t="s">
        <v>14926</v>
      </c>
      <c r="H1932" s="6" t="s">
        <v>14927</v>
      </c>
      <c r="I1932" s="7" t="s">
        <v>14928</v>
      </c>
      <c r="J1932" s="8" t="str">
        <f>HYPERLINK("https://drive.google.com/file/d/1s-4Ftb08ku32dZCd7s-aWJfhJsZZsQ5P/view?usp=drivesdk","SARNO, S.E. SERTIFIKAT BerAKHLAK")</f>
        <v>SARNO, S.E. SERTIFIKAT BerAKHLAK</v>
      </c>
      <c r="K1932" s="5" t="s">
        <v>14929</v>
      </c>
      <c r="L1932" s="5" t="s">
        <v>14930</v>
      </c>
    </row>
    <row r="1933">
      <c r="A1933" s="4">
        <v>45534.33806829861</v>
      </c>
      <c r="B1933" s="5" t="s">
        <v>34</v>
      </c>
      <c r="D1933" s="5" t="s">
        <v>4775</v>
      </c>
      <c r="E1933" s="5" t="s">
        <v>14934</v>
      </c>
      <c r="F1933" s="5" t="s">
        <v>72</v>
      </c>
      <c r="G1933" s="5" t="s">
        <v>14935</v>
      </c>
      <c r="H1933" s="6" t="s">
        <v>14936</v>
      </c>
      <c r="I1933" s="7" t="s">
        <v>14937</v>
      </c>
      <c r="J1933" s="8" t="str">
        <f>HYPERLINK("https://drive.google.com/file/d/1AADjFCYbQtAfpGAmu6eGPoFLnWGiEPCr/view?usp=drivesdk","KUSWORINI SERTIFIKAT BerAKHLAK")</f>
        <v>KUSWORINI SERTIFIKAT BerAKHLAK</v>
      </c>
      <c r="K1933" s="5" t="s">
        <v>14929</v>
      </c>
      <c r="L1933" s="5" t="s">
        <v>14938</v>
      </c>
    </row>
    <row r="1934">
      <c r="A1934" s="4">
        <v>45534.33807023148</v>
      </c>
      <c r="B1934" s="5" t="s">
        <v>34</v>
      </c>
      <c r="D1934" s="5" t="s">
        <v>4775</v>
      </c>
      <c r="E1934" s="5" t="s">
        <v>14941</v>
      </c>
      <c r="F1934" s="5" t="s">
        <v>212</v>
      </c>
      <c r="G1934" s="5" t="s">
        <v>14942</v>
      </c>
      <c r="H1934" s="6" t="s">
        <v>14943</v>
      </c>
      <c r="K1934" s="5" t="s">
        <v>14944</v>
      </c>
    </row>
    <row r="1935">
      <c r="A1935" s="4">
        <v>45534.33807498842</v>
      </c>
      <c r="B1935" s="5" t="s">
        <v>34</v>
      </c>
      <c r="D1935" s="5" t="s">
        <v>280</v>
      </c>
      <c r="E1935" s="5" t="s">
        <v>14947</v>
      </c>
      <c r="F1935" s="5" t="s">
        <v>212</v>
      </c>
      <c r="G1935" s="5" t="s">
        <v>14948</v>
      </c>
      <c r="H1935" s="6" t="s">
        <v>14949</v>
      </c>
      <c r="K1935" s="5" t="s">
        <v>14944</v>
      </c>
    </row>
    <row r="1936">
      <c r="A1936" s="4">
        <v>45534.33807878473</v>
      </c>
      <c r="B1936" s="5" t="s">
        <v>34</v>
      </c>
      <c r="D1936" s="5" t="s">
        <v>35</v>
      </c>
      <c r="E1936" s="5" t="s">
        <v>14952</v>
      </c>
      <c r="F1936" s="5" t="s">
        <v>108</v>
      </c>
      <c r="G1936" s="5" t="s">
        <v>14953</v>
      </c>
      <c r="H1936" s="6" t="s">
        <v>14954</v>
      </c>
      <c r="K1936" s="5" t="s">
        <v>14944</v>
      </c>
    </row>
    <row r="1937">
      <c r="A1937" s="4">
        <v>45534.33808206019</v>
      </c>
      <c r="B1937" s="5" t="s">
        <v>34</v>
      </c>
      <c r="D1937" s="5" t="s">
        <v>996</v>
      </c>
      <c r="E1937" s="5" t="s">
        <v>14957</v>
      </c>
      <c r="F1937" s="5" t="s">
        <v>212</v>
      </c>
      <c r="G1937" s="5" t="s">
        <v>14958</v>
      </c>
      <c r="H1937" s="6" t="s">
        <v>14959</v>
      </c>
      <c r="K1937" s="5" t="s">
        <v>14944</v>
      </c>
    </row>
    <row r="1938">
      <c r="A1938" s="4">
        <v>45534.33808290509</v>
      </c>
      <c r="B1938" s="5" t="s">
        <v>34</v>
      </c>
      <c r="D1938" s="5" t="s">
        <v>975</v>
      </c>
      <c r="E1938" s="5" t="s">
        <v>14962</v>
      </c>
      <c r="F1938" s="5" t="s">
        <v>37</v>
      </c>
      <c r="G1938" s="5" t="s">
        <v>14963</v>
      </c>
      <c r="H1938" s="6" t="s">
        <v>14964</v>
      </c>
      <c r="K1938" s="5" t="s">
        <v>14944</v>
      </c>
    </row>
    <row r="1939">
      <c r="A1939" s="4">
        <v>45534.33808423611</v>
      </c>
      <c r="B1939" s="5" t="s">
        <v>34</v>
      </c>
      <c r="D1939" s="5" t="s">
        <v>1206</v>
      </c>
      <c r="E1939" s="5" t="s">
        <v>14968</v>
      </c>
      <c r="F1939" s="5" t="s">
        <v>37</v>
      </c>
      <c r="G1939" s="5" t="s">
        <v>14969</v>
      </c>
      <c r="H1939" s="6" t="s">
        <v>14970</v>
      </c>
      <c r="K1939" s="5" t="s">
        <v>14944</v>
      </c>
    </row>
    <row r="1940">
      <c r="A1940" s="4">
        <v>45534.3380858912</v>
      </c>
      <c r="B1940" s="5" t="s">
        <v>34</v>
      </c>
      <c r="D1940" s="5" t="s">
        <v>1768</v>
      </c>
      <c r="E1940" s="5" t="s">
        <v>14973</v>
      </c>
      <c r="F1940" s="5" t="s">
        <v>524</v>
      </c>
      <c r="G1940" s="5" t="s">
        <v>14974</v>
      </c>
      <c r="H1940" s="6" t="s">
        <v>14975</v>
      </c>
      <c r="K1940" s="5" t="s">
        <v>14944</v>
      </c>
    </row>
    <row r="1941">
      <c r="A1941" s="4">
        <v>45534.33808688658</v>
      </c>
      <c r="B1941" s="5" t="s">
        <v>34</v>
      </c>
      <c r="D1941" s="5" t="s">
        <v>701</v>
      </c>
      <c r="E1941" s="5" t="s">
        <v>14978</v>
      </c>
      <c r="F1941" s="5" t="s">
        <v>108</v>
      </c>
      <c r="G1941" s="5" t="s">
        <v>14979</v>
      </c>
      <c r="H1941" s="6" t="s">
        <v>14980</v>
      </c>
      <c r="K1941" s="5" t="s">
        <v>14944</v>
      </c>
    </row>
    <row r="1942">
      <c r="A1942" s="4">
        <v>45534.338094120365</v>
      </c>
      <c r="B1942" s="5" t="s">
        <v>34</v>
      </c>
      <c r="D1942" s="5" t="s">
        <v>2903</v>
      </c>
      <c r="E1942" s="5" t="s">
        <v>14983</v>
      </c>
      <c r="F1942" s="5" t="s">
        <v>524</v>
      </c>
      <c r="G1942" s="5" t="s">
        <v>14984</v>
      </c>
      <c r="H1942" s="6" t="s">
        <v>14985</v>
      </c>
      <c r="K1942" s="5" t="s">
        <v>14944</v>
      </c>
    </row>
    <row r="1943">
      <c r="A1943" s="4">
        <v>45534.33810020833</v>
      </c>
      <c r="B1943" s="5" t="s">
        <v>34</v>
      </c>
      <c r="D1943" s="5" t="s">
        <v>9020</v>
      </c>
      <c r="E1943" s="5" t="s">
        <v>14988</v>
      </c>
      <c r="F1943" s="5" t="s">
        <v>715</v>
      </c>
      <c r="G1943" s="5" t="s">
        <v>14989</v>
      </c>
      <c r="H1943" s="6" t="s">
        <v>14990</v>
      </c>
      <c r="I1943" s="7" t="s">
        <v>14991</v>
      </c>
      <c r="J1943" s="8" t="str">
        <f>HYPERLINK("https://drive.google.com/file/d/1ayWywmB98QZ1g1qgMABtrbtqzoWnaoOx/view?usp=drivesdk","CHRISTINA JULIANA, S. KOM SERTIFIKAT BerAKHLAK")</f>
        <v>CHRISTINA JULIANA, S. KOM SERTIFIKAT BerAKHLAK</v>
      </c>
      <c r="K1943" s="5" t="s">
        <v>14071</v>
      </c>
      <c r="L1943" s="5" t="s">
        <v>14992</v>
      </c>
    </row>
    <row r="1944">
      <c r="A1944" s="4">
        <v>45534.33810075231</v>
      </c>
      <c r="B1944" s="5" t="s">
        <v>34</v>
      </c>
      <c r="D1944" s="5" t="s">
        <v>9020</v>
      </c>
      <c r="E1944" s="5" t="s">
        <v>14995</v>
      </c>
      <c r="F1944" s="5" t="s">
        <v>72</v>
      </c>
      <c r="G1944" s="5" t="s">
        <v>14996</v>
      </c>
      <c r="H1944" s="6" t="s">
        <v>14997</v>
      </c>
      <c r="I1944" s="7" t="s">
        <v>14998</v>
      </c>
      <c r="J1944" s="8" t="str">
        <f>HYPERLINK("https://drive.google.com/file/d/1R2Ud-rC5hVzIheu0q5fMfKEegk0VkMXP/view?usp=drivesdk","AMINUN HARAHAP SERTIFIKAT BerAKHLAK")</f>
        <v>AMINUN HARAHAP SERTIFIKAT BerAKHLAK</v>
      </c>
      <c r="K1944" s="5" t="s">
        <v>14071</v>
      </c>
      <c r="L1944" s="5" t="s">
        <v>14999</v>
      </c>
    </row>
    <row r="1945">
      <c r="A1945" s="4">
        <v>45534.33811074074</v>
      </c>
      <c r="B1945" s="5" t="s">
        <v>34</v>
      </c>
      <c r="D1945" s="5" t="s">
        <v>35</v>
      </c>
      <c r="E1945" s="5" t="s">
        <v>15002</v>
      </c>
      <c r="F1945" s="5" t="s">
        <v>37</v>
      </c>
      <c r="G1945" s="5" t="s">
        <v>15003</v>
      </c>
      <c r="H1945" s="6" t="s">
        <v>15004</v>
      </c>
      <c r="I1945" s="7" t="s">
        <v>15005</v>
      </c>
      <c r="J1945" s="8" t="str">
        <f>HYPERLINK("https://drive.google.com/file/d/1jaXkjFUOb9d72aamSy9reAYRHIeVqKZ_/view?usp=drivesdk","IBROHIM SH SERTIFIKAT BerAKHLAK")</f>
        <v>IBROHIM SH SERTIFIKAT BerAKHLAK</v>
      </c>
      <c r="K1945" s="5" t="s">
        <v>14071</v>
      </c>
      <c r="L1945" s="5" t="s">
        <v>15006</v>
      </c>
    </row>
    <row r="1946">
      <c r="A1946" s="4">
        <v>45534.33811575231</v>
      </c>
      <c r="B1946" s="5" t="s">
        <v>34</v>
      </c>
      <c r="D1946" s="5" t="s">
        <v>4775</v>
      </c>
      <c r="E1946" s="5" t="s">
        <v>15010</v>
      </c>
      <c r="F1946" s="5" t="s">
        <v>212</v>
      </c>
      <c r="G1946" s="5" t="s">
        <v>15011</v>
      </c>
      <c r="H1946" s="6" t="s">
        <v>15012</v>
      </c>
      <c r="I1946" s="7" t="s">
        <v>15013</v>
      </c>
      <c r="J1946" s="8" t="str">
        <f>HYPERLINK("https://drive.google.com/file/d/1-5ApuCuyzPllZ2stbf7c9P-EScyBzO_e/view?usp=drivesdk","YULIANA SRI ISYANTI  SERTIFIKAT BerAKHLAK")</f>
        <v>YULIANA SRI ISYANTI  SERTIFIKAT BerAKHLAK</v>
      </c>
      <c r="K1946" s="5" t="s">
        <v>14071</v>
      </c>
      <c r="L1946" s="5" t="s">
        <v>15014</v>
      </c>
    </row>
    <row r="1947">
      <c r="A1947" s="4">
        <v>45534.33811627315</v>
      </c>
      <c r="B1947" s="5" t="s">
        <v>19</v>
      </c>
      <c r="C1947" s="5" t="s">
        <v>11593</v>
      </c>
      <c r="E1947" s="5" t="s">
        <v>15017</v>
      </c>
      <c r="F1947" s="5" t="s">
        <v>212</v>
      </c>
      <c r="G1947" s="5" t="s">
        <v>15018</v>
      </c>
      <c r="H1947" s="6" t="s">
        <v>15019</v>
      </c>
      <c r="I1947" s="7" t="s">
        <v>15020</v>
      </c>
      <c r="J1947" s="8" t="str">
        <f>HYPERLINK("https://drive.google.com/file/d/1W5nJiGB3eAM3tGJrQjAY8RHs9h0nq69-/view?usp=drivesdk","SUMIYATI  SERTIFIKAT BerAKHLAK")</f>
        <v>SUMIYATI  SERTIFIKAT BerAKHLAK</v>
      </c>
      <c r="K1947" s="5" t="s">
        <v>14093</v>
      </c>
      <c r="L1947" s="5" t="s">
        <v>15021</v>
      </c>
    </row>
    <row r="1948">
      <c r="A1948" s="4">
        <v>45534.33812072917</v>
      </c>
      <c r="B1948" s="5" t="s">
        <v>19</v>
      </c>
      <c r="C1948" s="5" t="s">
        <v>20</v>
      </c>
      <c r="E1948" s="5" t="s">
        <v>15024</v>
      </c>
      <c r="F1948" s="5" t="s">
        <v>120</v>
      </c>
      <c r="G1948" s="5" t="s">
        <v>15025</v>
      </c>
      <c r="H1948" s="6" t="s">
        <v>15026</v>
      </c>
      <c r="I1948" s="7" t="s">
        <v>15027</v>
      </c>
      <c r="J1948" s="8" t="str">
        <f>HYPERLINK("https://drive.google.com/file/d/1pTTzjk5L6LHKb4_-j-BCzS7WFEK7WGFN/view?usp=drivesdk","RANU ASMORO, S.T. SERTIFIKAT BerAKHLAK")</f>
        <v>RANU ASMORO, S.T. SERTIFIKAT BerAKHLAK</v>
      </c>
      <c r="K1948" s="5" t="s">
        <v>14093</v>
      </c>
      <c r="L1948" s="5" t="s">
        <v>15028</v>
      </c>
    </row>
    <row r="1949">
      <c r="A1949" s="4">
        <v>45534.33812368056</v>
      </c>
      <c r="B1949" s="5" t="s">
        <v>34</v>
      </c>
      <c r="D1949" s="5" t="s">
        <v>522</v>
      </c>
      <c r="E1949" s="5" t="s">
        <v>15031</v>
      </c>
      <c r="F1949" s="5" t="s">
        <v>375</v>
      </c>
      <c r="G1949" s="5" t="s">
        <v>15032</v>
      </c>
      <c r="H1949" s="6" t="s">
        <v>15033</v>
      </c>
      <c r="I1949" s="7" t="s">
        <v>15034</v>
      </c>
      <c r="J1949" s="8" t="str">
        <f>HYPERLINK("https://drive.google.com/file/d/1ENQLnDGdCo7r50c4zes9DF7W72cjOh8p/view?usp=drivesdk","LUH PUTU SRI UTAMI, S.E. SERTIFIKAT BerAKHLAK")</f>
        <v>LUH PUTU SRI UTAMI, S.E. SERTIFIKAT BerAKHLAK</v>
      </c>
      <c r="K1949" s="5" t="s">
        <v>14093</v>
      </c>
      <c r="L1949" s="5" t="s">
        <v>15035</v>
      </c>
    </row>
    <row r="1950">
      <c r="A1950" s="4">
        <v>45534.33813373843</v>
      </c>
      <c r="B1950" s="5" t="s">
        <v>34</v>
      </c>
      <c r="D1950" s="5" t="s">
        <v>1692</v>
      </c>
      <c r="E1950" s="5" t="s">
        <v>15038</v>
      </c>
      <c r="F1950" s="5" t="s">
        <v>37</v>
      </c>
      <c r="G1950" s="5" t="s">
        <v>15039</v>
      </c>
      <c r="H1950" s="6" t="s">
        <v>15040</v>
      </c>
      <c r="I1950" s="7" t="s">
        <v>15041</v>
      </c>
      <c r="J1950" s="8" t="str">
        <f>HYPERLINK("https://drive.google.com/file/d/1O_wTT21ukgSul1M6WLgPMJa5PomoSchW/view?usp=drivesdk","Petrosina Josina Thely Taihuttu SERTIFIKAT BerAKHLAK")</f>
        <v>Petrosina Josina Thely Taihuttu SERTIFIKAT BerAKHLAK</v>
      </c>
      <c r="K1950" s="5" t="s">
        <v>14116</v>
      </c>
      <c r="L1950" s="5" t="s">
        <v>15042</v>
      </c>
    </row>
    <row r="1951">
      <c r="A1951" s="4">
        <v>45534.33813665509</v>
      </c>
      <c r="B1951" s="5" t="s">
        <v>34</v>
      </c>
      <c r="D1951" s="5" t="s">
        <v>2903</v>
      </c>
      <c r="E1951" s="5" t="s">
        <v>15045</v>
      </c>
      <c r="F1951" s="5" t="s">
        <v>120</v>
      </c>
      <c r="G1951" s="5" t="s">
        <v>15046</v>
      </c>
      <c r="H1951" s="6" t="s">
        <v>15047</v>
      </c>
      <c r="I1951" s="7" t="s">
        <v>15048</v>
      </c>
      <c r="J1951" s="8" t="str">
        <f>HYPERLINK("https://drive.google.com/file/d/1DKauUGDlw2zkL-K8ljdd3aUfpIA9v9r4/view?usp=drivesdk","DRA SAURMA BUTARBUTAR SERTIFIKAT BerAKHLAK")</f>
        <v>DRA SAURMA BUTARBUTAR SERTIFIKAT BerAKHLAK</v>
      </c>
      <c r="K1951" s="5" t="s">
        <v>14116</v>
      </c>
      <c r="L1951" s="5" t="s">
        <v>15049</v>
      </c>
    </row>
    <row r="1952">
      <c r="A1952" s="4">
        <v>45534.33813846065</v>
      </c>
      <c r="B1952" s="5" t="s">
        <v>34</v>
      </c>
      <c r="D1952" s="5" t="s">
        <v>4775</v>
      </c>
      <c r="E1952" s="5" t="s">
        <v>15053</v>
      </c>
      <c r="F1952" s="5" t="s">
        <v>212</v>
      </c>
      <c r="G1952" s="5" t="s">
        <v>15054</v>
      </c>
      <c r="H1952" s="6" t="s">
        <v>15055</v>
      </c>
      <c r="I1952" s="7" t="s">
        <v>15056</v>
      </c>
      <c r="J1952" s="8" t="str">
        <f>HYPERLINK("https://drive.google.com/file/d/1bwEiOI6K-ancnCm2G_Ci7cFsIswVpJbr/view?usp=drivesdk","RR.HENI ARIATI  SERTIFIKAT BerAKHLAK")</f>
        <v>RR.HENI ARIATI  SERTIFIKAT BerAKHLAK</v>
      </c>
      <c r="K1952" s="5" t="s">
        <v>14116</v>
      </c>
      <c r="L1952" s="5" t="s">
        <v>15057</v>
      </c>
    </row>
    <row r="1953">
      <c r="A1953" s="4">
        <v>45534.33814065972</v>
      </c>
      <c r="B1953" s="5" t="s">
        <v>34</v>
      </c>
      <c r="D1953" s="5" t="s">
        <v>4775</v>
      </c>
      <c r="E1953" s="5" t="s">
        <v>15060</v>
      </c>
      <c r="F1953" s="5" t="s">
        <v>212</v>
      </c>
      <c r="G1953" s="5" t="s">
        <v>15061</v>
      </c>
      <c r="H1953" s="6" t="s">
        <v>15062</v>
      </c>
      <c r="I1953" s="7" t="s">
        <v>15063</v>
      </c>
      <c r="J1953" s="8" t="str">
        <f>HYPERLINK("https://drive.google.com/file/d/1_f-OoL3tFFodxzw3iHgrny7wd0xaejGG/view?usp=drivesdk","WANGSIT BAPAK SERTIFIKAT BerAKHLAK")</f>
        <v>WANGSIT BAPAK SERTIFIKAT BerAKHLAK</v>
      </c>
      <c r="K1953" s="5" t="s">
        <v>14116</v>
      </c>
      <c r="L1953" s="5" t="s">
        <v>15064</v>
      </c>
    </row>
    <row r="1954">
      <c r="A1954" s="4">
        <v>45534.338141388886</v>
      </c>
      <c r="B1954" s="5" t="s">
        <v>34</v>
      </c>
      <c r="D1954" s="5" t="s">
        <v>1206</v>
      </c>
      <c r="E1954" s="5" t="s">
        <v>15067</v>
      </c>
      <c r="F1954" s="5" t="s">
        <v>37</v>
      </c>
      <c r="G1954" s="5" t="s">
        <v>15068</v>
      </c>
      <c r="H1954" s="6" t="s">
        <v>15069</v>
      </c>
      <c r="I1954" s="7" t="s">
        <v>15070</v>
      </c>
      <c r="J1954" s="8" t="str">
        <f>HYPERLINK("https://drive.google.com/file/d/1u7ZSqswhi4FuiHQhaIeIqcBUnyR9J1o_/view?usp=drivesdk","TUTUT EVIVA  SERTIFIKAT BerAKHLAK")</f>
        <v>TUTUT EVIVA  SERTIFIKAT BerAKHLAK</v>
      </c>
      <c r="K1954" s="5" t="s">
        <v>14913</v>
      </c>
      <c r="L1954" s="5" t="s">
        <v>15071</v>
      </c>
    </row>
    <row r="1955">
      <c r="A1955" s="4">
        <v>45534.338147372684</v>
      </c>
      <c r="B1955" s="5" t="s">
        <v>34</v>
      </c>
      <c r="D1955" s="5" t="s">
        <v>1206</v>
      </c>
      <c r="E1955" s="5" t="s">
        <v>15074</v>
      </c>
      <c r="F1955" s="5" t="s">
        <v>375</v>
      </c>
      <c r="G1955" s="5" t="s">
        <v>15075</v>
      </c>
      <c r="H1955" s="6" t="s">
        <v>15076</v>
      </c>
      <c r="I1955" s="7" t="s">
        <v>15077</v>
      </c>
      <c r="J1955" s="8" t="str">
        <f>HYPERLINK("https://drive.google.com/file/d/1YP00iFZMQPGf3rbdkGs9lStUonLdgoJ-/view?usp=drivesdk","IRA LESTARI, S.E, M.M SERTIFIKAT BerAKHLAK")</f>
        <v>IRA LESTARI, S.E, M.M SERTIFIKAT BerAKHLAK</v>
      </c>
      <c r="K1955" s="5" t="s">
        <v>14913</v>
      </c>
      <c r="L1955" s="5" t="s">
        <v>15078</v>
      </c>
    </row>
    <row r="1956">
      <c r="A1956" s="4">
        <v>45534.33815355324</v>
      </c>
      <c r="B1956" s="5" t="s">
        <v>34</v>
      </c>
      <c r="D1956" s="5" t="s">
        <v>4775</v>
      </c>
      <c r="E1956" s="5" t="s">
        <v>15081</v>
      </c>
      <c r="F1956" s="5" t="s">
        <v>212</v>
      </c>
      <c r="G1956" s="5" t="s">
        <v>15082</v>
      </c>
      <c r="H1956" s="6" t="s">
        <v>15083</v>
      </c>
      <c r="K1956" s="5" t="s">
        <v>14944</v>
      </c>
    </row>
    <row r="1957">
      <c r="A1957" s="4">
        <v>45534.33816429398</v>
      </c>
      <c r="B1957" s="5" t="s">
        <v>34</v>
      </c>
      <c r="D1957" s="5" t="s">
        <v>1206</v>
      </c>
      <c r="E1957" s="5" t="s">
        <v>15087</v>
      </c>
      <c r="F1957" s="5" t="s">
        <v>212</v>
      </c>
      <c r="G1957" s="5" t="s">
        <v>15088</v>
      </c>
      <c r="H1957" s="6" t="s">
        <v>15089</v>
      </c>
      <c r="K1957" s="5" t="s">
        <v>14944</v>
      </c>
    </row>
    <row r="1958">
      <c r="A1958" s="4">
        <v>45534.33816478009</v>
      </c>
      <c r="B1958" s="5" t="s">
        <v>34</v>
      </c>
      <c r="D1958" s="5" t="s">
        <v>1768</v>
      </c>
      <c r="E1958" s="5" t="s">
        <v>15092</v>
      </c>
      <c r="F1958" s="5" t="s">
        <v>524</v>
      </c>
      <c r="G1958" s="5" t="s">
        <v>15093</v>
      </c>
      <c r="H1958" s="6" t="s">
        <v>15094</v>
      </c>
      <c r="K1958" s="5" t="s">
        <v>14944</v>
      </c>
    </row>
    <row r="1959">
      <c r="A1959" s="4">
        <v>45534.33816658564</v>
      </c>
      <c r="B1959" s="5" t="s">
        <v>34</v>
      </c>
      <c r="D1959" s="5" t="s">
        <v>4775</v>
      </c>
      <c r="E1959" s="5" t="s">
        <v>15097</v>
      </c>
      <c r="F1959" s="5" t="s">
        <v>212</v>
      </c>
      <c r="G1959" s="5" t="s">
        <v>15098</v>
      </c>
      <c r="H1959" s="6" t="s">
        <v>15099</v>
      </c>
      <c r="K1959" s="5" t="s">
        <v>14944</v>
      </c>
    </row>
    <row r="1960">
      <c r="A1960" s="4">
        <v>45534.33818409722</v>
      </c>
      <c r="B1960" s="5" t="s">
        <v>34</v>
      </c>
      <c r="D1960" s="5" t="s">
        <v>4775</v>
      </c>
      <c r="E1960" s="5" t="s">
        <v>15102</v>
      </c>
      <c r="F1960" s="5" t="s">
        <v>212</v>
      </c>
      <c r="G1960" s="5" t="s">
        <v>15103</v>
      </c>
      <c r="H1960" s="6" t="s">
        <v>15104</v>
      </c>
      <c r="I1960" s="7" t="s">
        <v>15105</v>
      </c>
      <c r="J1960" s="8" t="str">
        <f>HYPERLINK("https://drive.google.com/file/d/1dIqpRReRrD3U13hyde1RS3UKtZqDp-6i/view?usp=drivesdk","MARIMAN. SERTIFIKAT BerAKHLAK")</f>
        <v>MARIMAN. SERTIFIKAT BerAKHLAK</v>
      </c>
      <c r="K1960" s="5" t="s">
        <v>14071</v>
      </c>
      <c r="L1960" s="5" t="s">
        <v>15106</v>
      </c>
    </row>
    <row r="1961">
      <c r="A1961" s="4">
        <v>45534.338184583336</v>
      </c>
      <c r="B1961" s="5" t="s">
        <v>34</v>
      </c>
      <c r="D1961" s="5" t="s">
        <v>9020</v>
      </c>
      <c r="E1961" s="5" t="s">
        <v>15109</v>
      </c>
      <c r="F1961" s="5" t="s">
        <v>524</v>
      </c>
      <c r="G1961" s="5" t="s">
        <v>15110</v>
      </c>
      <c r="H1961" s="6" t="s">
        <v>15111</v>
      </c>
      <c r="I1961" s="7" t="s">
        <v>15112</v>
      </c>
      <c r="J1961" s="8" t="str">
        <f>HYPERLINK("https://drive.google.com/file/d/1_SmkBVNdAfNQAyX3sj4lGiIO31O7XQPz/view?usp=drivesdk","AFRIYANTI RAMBE SERTIFIKAT BerAKHLAK")</f>
        <v>AFRIYANTI RAMBE SERTIFIKAT BerAKHLAK</v>
      </c>
      <c r="K1961" s="5" t="s">
        <v>14093</v>
      </c>
      <c r="L1961" s="5" t="s">
        <v>15113</v>
      </c>
    </row>
    <row r="1962">
      <c r="A1962" s="4">
        <v>45534.33819277778</v>
      </c>
      <c r="B1962" s="5" t="s">
        <v>34</v>
      </c>
      <c r="D1962" s="5" t="s">
        <v>996</v>
      </c>
      <c r="E1962" s="5" t="s">
        <v>15116</v>
      </c>
      <c r="F1962" s="5" t="s">
        <v>212</v>
      </c>
      <c r="G1962" s="5" t="s">
        <v>15117</v>
      </c>
      <c r="H1962" s="6" t="s">
        <v>15118</v>
      </c>
      <c r="I1962" s="7" t="s">
        <v>15119</v>
      </c>
      <c r="J1962" s="8" t="str">
        <f>HYPERLINK("https://drive.google.com/file/d/1-BiicOMAj1chFWlgvzltVllBEaZHLBIQ/view?usp=drivesdk","YUSTINAE CORE VALUE SERTIFIKAT BerAKHLAK")</f>
        <v>YUSTINAE CORE VALUE SERTIFIKAT BerAKHLAK</v>
      </c>
      <c r="K1962" s="5" t="s">
        <v>14093</v>
      </c>
      <c r="L1962" s="5" t="s">
        <v>15120</v>
      </c>
    </row>
    <row r="1963">
      <c r="A1963" s="4">
        <v>45534.33819300926</v>
      </c>
      <c r="B1963" s="5" t="s">
        <v>34</v>
      </c>
      <c r="D1963" s="5" t="s">
        <v>10444</v>
      </c>
      <c r="E1963" s="5" t="s">
        <v>15124</v>
      </c>
      <c r="F1963" s="5" t="s">
        <v>37</v>
      </c>
      <c r="G1963" s="5" t="s">
        <v>15125</v>
      </c>
      <c r="H1963" s="6" t="s">
        <v>15126</v>
      </c>
      <c r="I1963" s="7" t="s">
        <v>15127</v>
      </c>
      <c r="J1963" s="8" t="str">
        <f>HYPERLINK("https://drive.google.com/file/d/1sYOQPrf1NfgvoNMfJzTOiIA-BRfDPQq1/view?usp=drivesdk","DESI DWIYANA, A.MD.KEP SERTIFIKAT BerAKHLAK")</f>
        <v>DESI DWIYANA, A.MD.KEP SERTIFIKAT BerAKHLAK</v>
      </c>
      <c r="K1963" s="5" t="s">
        <v>14093</v>
      </c>
      <c r="L1963" s="5" t="s">
        <v>15128</v>
      </c>
    </row>
    <row r="1964">
      <c r="A1964" s="4">
        <v>45534.33819739583</v>
      </c>
      <c r="B1964" s="5" t="s">
        <v>34</v>
      </c>
      <c r="D1964" s="5" t="s">
        <v>1206</v>
      </c>
      <c r="E1964" s="5" t="s">
        <v>15131</v>
      </c>
      <c r="F1964" s="5" t="s">
        <v>212</v>
      </c>
      <c r="G1964" s="5" t="s">
        <v>15132</v>
      </c>
      <c r="H1964" s="6" t="s">
        <v>15133</v>
      </c>
      <c r="I1964" s="7" t="s">
        <v>15134</v>
      </c>
      <c r="J1964" s="8" t="str">
        <f>HYPERLINK("https://drive.google.com/file/d/1-V0VKfr2iN4knEmOhS6Sb7p8FUfkBcMb/view?usp=drivesdk","BUDIONO SERTIFIKAT BerAKHLAK")</f>
        <v>BUDIONO SERTIFIKAT BerAKHLAK</v>
      </c>
      <c r="K1964" s="5" t="s">
        <v>14093</v>
      </c>
      <c r="L1964" s="5" t="s">
        <v>15135</v>
      </c>
    </row>
    <row r="1965">
      <c r="A1965" s="4">
        <v>45534.338199143516</v>
      </c>
      <c r="B1965" s="5" t="s">
        <v>19</v>
      </c>
      <c r="C1965" s="5" t="s">
        <v>292</v>
      </c>
      <c r="E1965" s="5" t="s">
        <v>15138</v>
      </c>
      <c r="F1965" s="5" t="s">
        <v>375</v>
      </c>
      <c r="G1965" s="5" t="s">
        <v>15139</v>
      </c>
      <c r="H1965" s="6" t="s">
        <v>15140</v>
      </c>
      <c r="I1965" s="7" t="s">
        <v>15141</v>
      </c>
      <c r="J1965" s="8" t="str">
        <f>HYPERLINK("https://drive.google.com/file/d/17BVJQ1CkeqswOevZ3QPVQNhmeUM5EEwj/view?usp=drivesdk","TITUK SRI HARTATI, S. Pd.  SERTIFIKAT BerAKHLAK")</f>
        <v>TITUK SRI HARTATI, S. Pd.  SERTIFIKAT BerAKHLAK</v>
      </c>
      <c r="K1965" s="5" t="s">
        <v>14944</v>
      </c>
      <c r="L1965" s="5" t="s">
        <v>15142</v>
      </c>
    </row>
    <row r="1966">
      <c r="A1966" s="4">
        <v>45534.3382069213</v>
      </c>
      <c r="B1966" s="5" t="s">
        <v>34</v>
      </c>
      <c r="D1966" s="5" t="s">
        <v>996</v>
      </c>
      <c r="E1966" s="5" t="s">
        <v>15145</v>
      </c>
      <c r="F1966" s="5" t="s">
        <v>212</v>
      </c>
      <c r="G1966" s="5" t="s">
        <v>15146</v>
      </c>
      <c r="H1966" s="6" t="s">
        <v>15147</v>
      </c>
      <c r="I1966" s="7" t="s">
        <v>15148</v>
      </c>
      <c r="J1966" s="8" t="str">
        <f>HYPERLINK("https://drive.google.com/file/d/1sLzLsupGpFOheycXmxTETC30bGludMWz/view?usp=drivesdk","HARIYANI SERTIFIKAT BerAKHLAK")</f>
        <v>HARIYANI SERTIFIKAT BerAKHLAK</v>
      </c>
      <c r="K1966" s="5" t="s">
        <v>14944</v>
      </c>
      <c r="L1966" s="5" t="s">
        <v>15149</v>
      </c>
    </row>
    <row r="1967">
      <c r="A1967" s="4">
        <v>45534.33820599537</v>
      </c>
      <c r="B1967" s="5" t="s">
        <v>34</v>
      </c>
      <c r="D1967" s="5" t="s">
        <v>580</v>
      </c>
      <c r="E1967" s="5" t="s">
        <v>15152</v>
      </c>
      <c r="F1967" s="5" t="s">
        <v>72</v>
      </c>
      <c r="G1967" s="5" t="s">
        <v>15153</v>
      </c>
      <c r="H1967" s="6" t="s">
        <v>15154</v>
      </c>
      <c r="I1967" s="7" t="s">
        <v>15155</v>
      </c>
      <c r="J1967" s="8" t="str">
        <f>HYPERLINK("https://drive.google.com/file/d/1QXt8t-UIubJrHo-7Zqn-5NfAfY16-Tgf/view?usp=drivesdk","PUTU SAYANG SARIYATI, A.Md.Kes SERTIFIKAT BerAKHLAK")</f>
        <v>PUTU SAYANG SARIYATI, A.Md.Kes SERTIFIKAT BerAKHLAK</v>
      </c>
      <c r="K1967" s="5" t="s">
        <v>14944</v>
      </c>
      <c r="L1967" s="5" t="s">
        <v>15156</v>
      </c>
    </row>
    <row r="1968">
      <c r="A1968" s="4">
        <v>45534.3382160301</v>
      </c>
      <c r="B1968" s="5" t="s">
        <v>19</v>
      </c>
      <c r="C1968" s="5" t="s">
        <v>292</v>
      </c>
      <c r="E1968" s="5" t="s">
        <v>15159</v>
      </c>
      <c r="F1968" s="5" t="s">
        <v>72</v>
      </c>
      <c r="G1968" s="5" t="s">
        <v>15160</v>
      </c>
      <c r="H1968" s="6" t="s">
        <v>15161</v>
      </c>
      <c r="I1968" s="7" t="s">
        <v>15162</v>
      </c>
      <c r="J1968" s="8" t="str">
        <f>HYPERLINK("https://drive.google.com/file/d/1Dd4AwfsnZ1MOLmclR6gGHK_U73FglBWu/view?usp=drivesdk","TRI SANTOSO, S.Pd SERTIFIKAT BerAKHLAK")</f>
        <v>TRI SANTOSO, S.Pd SERTIFIKAT BerAKHLAK</v>
      </c>
      <c r="K1968" s="5" t="s">
        <v>14913</v>
      </c>
      <c r="L1968" s="5" t="s">
        <v>15163</v>
      </c>
    </row>
    <row r="1969">
      <c r="A1969" s="4">
        <v>45534.33821670139</v>
      </c>
      <c r="B1969" s="5" t="s">
        <v>34</v>
      </c>
      <c r="D1969" s="5" t="s">
        <v>35</v>
      </c>
      <c r="E1969" s="5" t="s">
        <v>15167</v>
      </c>
      <c r="F1969" s="5" t="s">
        <v>212</v>
      </c>
      <c r="G1969" s="5" t="s">
        <v>15168</v>
      </c>
      <c r="H1969" s="6" t="s">
        <v>15169</v>
      </c>
      <c r="I1969" s="7" t="s">
        <v>15170</v>
      </c>
      <c r="J1969" s="8" t="str">
        <f>HYPERLINK("https://drive.google.com/file/d/1xaqbv_42___t9S4tPYKkI85KRvZ_da9W/view?usp=drivesdk","IMRON MADHARI SERTIFIKAT BerAKHLAK")</f>
        <v>IMRON MADHARI SERTIFIKAT BerAKHLAK</v>
      </c>
      <c r="K1969" s="5" t="s">
        <v>14913</v>
      </c>
      <c r="L1969" s="5" t="s">
        <v>15171</v>
      </c>
    </row>
    <row r="1970">
      <c r="A1970" s="4">
        <v>45534.33822289352</v>
      </c>
      <c r="B1970" s="5" t="s">
        <v>34</v>
      </c>
      <c r="D1970" s="5" t="s">
        <v>35</v>
      </c>
      <c r="E1970" s="5" t="s">
        <v>15174</v>
      </c>
      <c r="F1970" s="5" t="s">
        <v>37</v>
      </c>
      <c r="G1970" s="5" t="s">
        <v>15175</v>
      </c>
      <c r="H1970" s="6" t="s">
        <v>15176</v>
      </c>
      <c r="I1970" s="7" t="s">
        <v>15177</v>
      </c>
      <c r="J1970" s="8" t="str">
        <f>HYPERLINK("https://drive.google.com/file/d/1WUJCWC9uhuQso_tc5phimIWqcGLixY1u/view?usp=drivesdk","AGUNG WIJAYA SERTIFIKAT BerAKHLAK")</f>
        <v>AGUNG WIJAYA SERTIFIKAT BerAKHLAK</v>
      </c>
      <c r="K1970" s="5" t="s">
        <v>14929</v>
      </c>
      <c r="L1970" s="5" t="s">
        <v>15178</v>
      </c>
    </row>
    <row r="1971">
      <c r="A1971" s="4">
        <v>45534.338227939814</v>
      </c>
      <c r="B1971" s="5" t="s">
        <v>34</v>
      </c>
      <c r="D1971" s="5" t="s">
        <v>1206</v>
      </c>
      <c r="E1971" s="5" t="s">
        <v>15181</v>
      </c>
      <c r="F1971" s="5" t="s">
        <v>212</v>
      </c>
      <c r="G1971" s="5" t="s">
        <v>15182</v>
      </c>
      <c r="H1971" s="6" t="s">
        <v>15183</v>
      </c>
      <c r="K1971" s="5" t="s">
        <v>14944</v>
      </c>
    </row>
    <row r="1972">
      <c r="A1972" s="4">
        <v>45534.33822909722</v>
      </c>
      <c r="B1972" s="5" t="s">
        <v>34</v>
      </c>
      <c r="D1972" s="5" t="s">
        <v>1206</v>
      </c>
      <c r="E1972" s="5" t="s">
        <v>15186</v>
      </c>
      <c r="F1972" s="5" t="s">
        <v>212</v>
      </c>
      <c r="G1972" s="5" t="s">
        <v>15187</v>
      </c>
      <c r="H1972" s="6" t="s">
        <v>15188</v>
      </c>
      <c r="K1972" s="5" t="s">
        <v>14944</v>
      </c>
    </row>
    <row r="1973">
      <c r="A1973" s="4">
        <v>45534.33822881944</v>
      </c>
      <c r="B1973" s="5" t="s">
        <v>34</v>
      </c>
      <c r="D1973" s="5" t="s">
        <v>4775</v>
      </c>
      <c r="E1973" s="5" t="s">
        <v>15191</v>
      </c>
      <c r="F1973" s="5" t="s">
        <v>37</v>
      </c>
      <c r="G1973" s="5" t="s">
        <v>15192</v>
      </c>
      <c r="H1973" s="6" t="s">
        <v>15193</v>
      </c>
      <c r="K1973" s="5" t="s">
        <v>14944</v>
      </c>
    </row>
    <row r="1974">
      <c r="A1974" s="4">
        <v>45534.33822949074</v>
      </c>
      <c r="B1974" s="5" t="s">
        <v>34</v>
      </c>
      <c r="D1974" s="5" t="s">
        <v>280</v>
      </c>
      <c r="E1974" s="5" t="s">
        <v>15197</v>
      </c>
      <c r="F1974" s="5" t="s">
        <v>212</v>
      </c>
      <c r="G1974" s="5" t="s">
        <v>15198</v>
      </c>
      <c r="H1974" s="6" t="s">
        <v>15199</v>
      </c>
      <c r="K1974" s="5" t="s">
        <v>14944</v>
      </c>
    </row>
    <row r="1975">
      <c r="A1975" s="4">
        <v>45534.338229560184</v>
      </c>
      <c r="B1975" s="5" t="s">
        <v>34</v>
      </c>
      <c r="D1975" s="5" t="s">
        <v>4775</v>
      </c>
      <c r="E1975" s="5" t="s">
        <v>15202</v>
      </c>
      <c r="F1975" s="5" t="s">
        <v>212</v>
      </c>
      <c r="G1975" s="5" t="s">
        <v>15203</v>
      </c>
      <c r="H1975" s="6" t="s">
        <v>15204</v>
      </c>
      <c r="K1975" s="5" t="s">
        <v>14944</v>
      </c>
    </row>
    <row r="1976">
      <c r="A1976" s="4">
        <v>45534.33823340278</v>
      </c>
      <c r="B1976" s="5" t="s">
        <v>34</v>
      </c>
      <c r="D1976" s="5" t="s">
        <v>35</v>
      </c>
      <c r="E1976" s="5" t="s">
        <v>15207</v>
      </c>
      <c r="F1976" s="5" t="s">
        <v>37</v>
      </c>
      <c r="G1976" s="5" t="s">
        <v>15208</v>
      </c>
      <c r="H1976" s="6" t="s">
        <v>15209</v>
      </c>
      <c r="K1976" s="5" t="s">
        <v>14944</v>
      </c>
    </row>
    <row r="1977">
      <c r="A1977" s="4">
        <v>45534.33823908565</v>
      </c>
      <c r="B1977" s="5" t="s">
        <v>34</v>
      </c>
      <c r="D1977" s="5" t="s">
        <v>12010</v>
      </c>
      <c r="E1977" s="5" t="s">
        <v>15212</v>
      </c>
      <c r="F1977" s="5" t="s">
        <v>212</v>
      </c>
      <c r="G1977" s="5" t="s">
        <v>15213</v>
      </c>
      <c r="H1977" s="6" t="s">
        <v>15214</v>
      </c>
      <c r="K1977" s="5" t="s">
        <v>14944</v>
      </c>
    </row>
    <row r="1978">
      <c r="A1978" s="4">
        <v>45534.338239537035</v>
      </c>
      <c r="B1978" s="5" t="s">
        <v>34</v>
      </c>
      <c r="D1978" s="5" t="s">
        <v>4775</v>
      </c>
      <c r="E1978" s="5" t="s">
        <v>15217</v>
      </c>
      <c r="F1978" s="5" t="s">
        <v>108</v>
      </c>
      <c r="G1978" s="5" t="s">
        <v>15218</v>
      </c>
      <c r="H1978" s="6" t="s">
        <v>15219</v>
      </c>
      <c r="K1978" s="5" t="s">
        <v>14944</v>
      </c>
    </row>
    <row r="1979">
      <c r="A1979" s="4">
        <v>45534.33823984954</v>
      </c>
      <c r="B1979" s="5" t="s">
        <v>34</v>
      </c>
      <c r="D1979" s="5" t="s">
        <v>1206</v>
      </c>
      <c r="E1979" s="5" t="s">
        <v>15223</v>
      </c>
      <c r="F1979" s="5" t="s">
        <v>37</v>
      </c>
      <c r="G1979" s="5" t="s">
        <v>15224</v>
      </c>
      <c r="H1979" s="6" t="s">
        <v>15225</v>
      </c>
      <c r="K1979" s="5" t="s">
        <v>14944</v>
      </c>
    </row>
    <row r="1980">
      <c r="A1980" s="4">
        <v>45534.338242303245</v>
      </c>
      <c r="B1980" s="5" t="s">
        <v>34</v>
      </c>
      <c r="D1980" s="5" t="s">
        <v>1206</v>
      </c>
      <c r="E1980" s="5" t="s">
        <v>15228</v>
      </c>
      <c r="F1980" s="5" t="s">
        <v>375</v>
      </c>
      <c r="G1980" s="5" t="s">
        <v>15229</v>
      </c>
      <c r="H1980" s="6" t="s">
        <v>15230</v>
      </c>
      <c r="K1980" s="5" t="s">
        <v>14944</v>
      </c>
    </row>
    <row r="1981">
      <c r="A1981" s="4">
        <v>45534.33824546296</v>
      </c>
      <c r="B1981" s="5" t="s">
        <v>34</v>
      </c>
      <c r="D1981" s="5" t="s">
        <v>35</v>
      </c>
      <c r="E1981" s="5" t="s">
        <v>15233</v>
      </c>
      <c r="F1981" s="5" t="s">
        <v>212</v>
      </c>
      <c r="G1981" s="5" t="s">
        <v>15234</v>
      </c>
      <c r="H1981" s="6" t="s">
        <v>15235</v>
      </c>
      <c r="K1981" s="5" t="s">
        <v>14944</v>
      </c>
    </row>
    <row r="1982">
      <c r="A1982" s="4">
        <v>45534.33824642361</v>
      </c>
      <c r="B1982" s="5" t="s">
        <v>34</v>
      </c>
      <c r="D1982" s="5" t="s">
        <v>522</v>
      </c>
      <c r="E1982" s="5" t="s">
        <v>15238</v>
      </c>
      <c r="F1982" s="5" t="s">
        <v>37</v>
      </c>
      <c r="G1982" s="5" t="s">
        <v>15239</v>
      </c>
      <c r="H1982" s="6" t="s">
        <v>15240</v>
      </c>
      <c r="K1982" s="5" t="s">
        <v>14944</v>
      </c>
    </row>
    <row r="1983">
      <c r="A1983" s="4">
        <v>45534.33824667824</v>
      </c>
      <c r="B1983" s="5" t="s">
        <v>34</v>
      </c>
      <c r="D1983" s="5" t="s">
        <v>4775</v>
      </c>
      <c r="E1983" s="5" t="s">
        <v>15243</v>
      </c>
      <c r="F1983" s="5" t="s">
        <v>212</v>
      </c>
      <c r="G1983" s="5" t="s">
        <v>15244</v>
      </c>
      <c r="H1983" s="6" t="s">
        <v>15245</v>
      </c>
      <c r="K1983" s="5" t="s">
        <v>14944</v>
      </c>
    </row>
    <row r="1984">
      <c r="A1984" s="4">
        <v>45534.33824766203</v>
      </c>
      <c r="B1984" s="5" t="s">
        <v>34</v>
      </c>
      <c r="D1984" s="5" t="s">
        <v>10444</v>
      </c>
      <c r="E1984" s="5" t="s">
        <v>15249</v>
      </c>
      <c r="F1984" s="5" t="s">
        <v>37</v>
      </c>
      <c r="G1984" s="5" t="s">
        <v>15250</v>
      </c>
      <c r="H1984" s="6" t="s">
        <v>15251</v>
      </c>
      <c r="K1984" s="5" t="s">
        <v>14944</v>
      </c>
    </row>
    <row r="1985">
      <c r="A1985" s="4">
        <v>45534.33824885417</v>
      </c>
      <c r="B1985" s="5" t="s">
        <v>34</v>
      </c>
      <c r="D1985" s="5" t="s">
        <v>280</v>
      </c>
      <c r="E1985" s="5" t="s">
        <v>15254</v>
      </c>
      <c r="F1985" s="5" t="s">
        <v>212</v>
      </c>
      <c r="G1985" s="5" t="s">
        <v>15255</v>
      </c>
      <c r="H1985" s="6" t="s">
        <v>15256</v>
      </c>
      <c r="K1985" s="5" t="s">
        <v>14944</v>
      </c>
    </row>
    <row r="1986">
      <c r="A1986" s="4">
        <v>45534.33826021991</v>
      </c>
      <c r="B1986" s="5" t="s">
        <v>34</v>
      </c>
      <c r="D1986" s="5" t="s">
        <v>4775</v>
      </c>
      <c r="E1986" s="5" t="s">
        <v>15259</v>
      </c>
      <c r="F1986" s="5" t="s">
        <v>715</v>
      </c>
      <c r="G1986" s="5" t="s">
        <v>15260</v>
      </c>
      <c r="H1986" s="6" t="s">
        <v>15261</v>
      </c>
      <c r="K1986" s="5" t="s">
        <v>14944</v>
      </c>
    </row>
    <row r="1987">
      <c r="A1987" s="4">
        <v>45534.33826024305</v>
      </c>
      <c r="B1987" s="5" t="s">
        <v>34</v>
      </c>
      <c r="D1987" s="5" t="s">
        <v>280</v>
      </c>
      <c r="E1987" s="5" t="s">
        <v>15264</v>
      </c>
      <c r="F1987" s="5" t="s">
        <v>37</v>
      </c>
      <c r="G1987" s="5" t="s">
        <v>15265</v>
      </c>
      <c r="H1987" s="6" t="s">
        <v>15266</v>
      </c>
      <c r="I1987" s="7" t="s">
        <v>15267</v>
      </c>
      <c r="J1987" s="8" t="str">
        <f>HYPERLINK("https://drive.google.com/file/d/1PlEcZJIG81Etrg1Vv2OvWTO8VhBmN4On/view?usp=drivesdk","JUNIHASTUTI SERTIFIKAT BerAKHLAK")</f>
        <v>JUNIHASTUTI SERTIFIKAT BerAKHLAK</v>
      </c>
      <c r="K1987" s="5" t="s">
        <v>14944</v>
      </c>
      <c r="L1987" s="5" t="s">
        <v>15268</v>
      </c>
    </row>
    <row r="1988">
      <c r="A1988" s="4">
        <v>45534.3382647338</v>
      </c>
      <c r="B1988" s="5" t="s">
        <v>34</v>
      </c>
      <c r="D1988" s="5" t="s">
        <v>35</v>
      </c>
      <c r="E1988" s="5" t="s">
        <v>15271</v>
      </c>
      <c r="F1988" s="5" t="s">
        <v>108</v>
      </c>
      <c r="G1988" s="5" t="s">
        <v>15272</v>
      </c>
      <c r="H1988" s="6" t="s">
        <v>15273</v>
      </c>
      <c r="I1988" s="7" t="s">
        <v>15274</v>
      </c>
      <c r="J1988" s="8" t="str">
        <f>HYPERLINK("https://drive.google.com/file/d/1G2X1Q9UUQuG498q1rc1VF-Ct-C88Huqg/view?usp=drivesdk","BUDI PURNOMO, AMF SERTIFIKAT BerAKHLAK")</f>
        <v>BUDI PURNOMO, AMF SERTIFIKAT BerAKHLAK</v>
      </c>
      <c r="K1988" s="5" t="s">
        <v>14944</v>
      </c>
      <c r="L1988" s="5" t="s">
        <v>15275</v>
      </c>
    </row>
    <row r="1989">
      <c r="A1989" s="4">
        <v>45534.338265729166</v>
      </c>
      <c r="B1989" s="5" t="s">
        <v>34</v>
      </c>
      <c r="D1989" s="5" t="s">
        <v>35</v>
      </c>
      <c r="E1989" s="5" t="s">
        <v>15278</v>
      </c>
      <c r="F1989" s="5" t="s">
        <v>37</v>
      </c>
      <c r="G1989" s="5" t="s">
        <v>15279</v>
      </c>
      <c r="H1989" s="6" t="s">
        <v>15280</v>
      </c>
      <c r="I1989" s="7" t="s">
        <v>15281</v>
      </c>
      <c r="J1989" s="8" t="str">
        <f>HYPERLINK("https://drive.google.com/file/d/1kfnVrx0-xSmXPOM1mhhlx-wl9x92t8Dc/view?usp=drivesdk","IKRIMAH SERTIFIKAT BerAKHLAK")</f>
        <v>IKRIMAH SERTIFIKAT BerAKHLAK</v>
      </c>
      <c r="K1989" s="5" t="s">
        <v>14944</v>
      </c>
      <c r="L1989" s="5" t="s">
        <v>15282</v>
      </c>
    </row>
    <row r="1990">
      <c r="A1990" s="4">
        <v>45534.338270312495</v>
      </c>
      <c r="B1990" s="5" t="s">
        <v>34</v>
      </c>
      <c r="D1990" s="5" t="s">
        <v>604</v>
      </c>
      <c r="E1990" s="5" t="s">
        <v>15286</v>
      </c>
      <c r="F1990" s="5" t="s">
        <v>72</v>
      </c>
      <c r="G1990" s="5" t="s">
        <v>15287</v>
      </c>
      <c r="H1990" s="6" t="s">
        <v>15288</v>
      </c>
      <c r="I1990" s="7" t="s">
        <v>15289</v>
      </c>
      <c r="J1990" s="8" t="str">
        <f>HYPERLINK("https://drive.google.com/file/d/1CGMcN1XyIQRA1b4gDPq1Sdy3BZ1RJulI/view?usp=drivesdk","SRI WINARNI SERTIFIKAT BerAKHLAK")</f>
        <v>SRI WINARNI SERTIFIKAT BerAKHLAK</v>
      </c>
      <c r="K1990" s="5" t="s">
        <v>14944</v>
      </c>
      <c r="L1990" s="5" t="s">
        <v>15290</v>
      </c>
    </row>
    <row r="1991">
      <c r="A1991" s="4">
        <v>45534.33827680556</v>
      </c>
      <c r="B1991" s="5" t="s">
        <v>34</v>
      </c>
      <c r="D1991" s="5" t="s">
        <v>14313</v>
      </c>
      <c r="E1991" s="5" t="s">
        <v>15293</v>
      </c>
      <c r="F1991" s="5" t="s">
        <v>212</v>
      </c>
      <c r="G1991" s="5" t="s">
        <v>15294</v>
      </c>
      <c r="H1991" s="6" t="s">
        <v>15295</v>
      </c>
      <c r="I1991" s="7" t="s">
        <v>15296</v>
      </c>
      <c r="J1991" s="8" t="str">
        <f>HYPERLINK("https://drive.google.com/file/d/1GyOI-i4OaOcw4SHXA043M7M2U_ikggAZ/view?usp=drivesdk","Ns. FAISAL JAYA, S.Kep SERTIFIKAT BerAKHLAK")</f>
        <v>Ns. FAISAL JAYA, S.Kep SERTIFIKAT BerAKHLAK</v>
      </c>
      <c r="K1991" s="5" t="s">
        <v>14944</v>
      </c>
      <c r="L1991" s="5" t="s">
        <v>15297</v>
      </c>
    </row>
    <row r="1992">
      <c r="A1992" s="4">
        <v>45534.33828002315</v>
      </c>
      <c r="B1992" s="5" t="s">
        <v>34</v>
      </c>
      <c r="D1992" s="5" t="s">
        <v>9020</v>
      </c>
      <c r="E1992" s="5" t="s">
        <v>15300</v>
      </c>
      <c r="F1992" s="5" t="s">
        <v>37</v>
      </c>
      <c r="G1992" s="5" t="s">
        <v>15301</v>
      </c>
      <c r="H1992" s="6" t="s">
        <v>15302</v>
      </c>
      <c r="K1992" s="5" t="s">
        <v>14944</v>
      </c>
    </row>
    <row r="1993">
      <c r="A1993" s="4">
        <v>45534.33828188658</v>
      </c>
      <c r="B1993" s="5" t="s">
        <v>19</v>
      </c>
      <c r="C1993" s="5" t="s">
        <v>292</v>
      </c>
      <c r="E1993" s="5" t="s">
        <v>15305</v>
      </c>
      <c r="F1993" s="5" t="s">
        <v>37</v>
      </c>
      <c r="G1993" s="5" t="s">
        <v>15306</v>
      </c>
      <c r="H1993" s="6" t="s">
        <v>15307</v>
      </c>
      <c r="K1993" s="5" t="s">
        <v>14944</v>
      </c>
    </row>
    <row r="1994">
      <c r="A1994" s="4">
        <v>45534.33828353009</v>
      </c>
      <c r="B1994" s="5" t="s">
        <v>34</v>
      </c>
      <c r="D1994" s="5" t="s">
        <v>1206</v>
      </c>
      <c r="E1994" s="5" t="s">
        <v>15310</v>
      </c>
      <c r="F1994" s="5" t="s">
        <v>524</v>
      </c>
      <c r="G1994" s="5" t="s">
        <v>15311</v>
      </c>
      <c r="H1994" s="6" t="s">
        <v>15312</v>
      </c>
      <c r="K1994" s="5" t="s">
        <v>14944</v>
      </c>
    </row>
    <row r="1995">
      <c r="A1995" s="4">
        <v>45534.33828428241</v>
      </c>
      <c r="B1995" s="5" t="s">
        <v>34</v>
      </c>
      <c r="D1995" s="5" t="s">
        <v>6232</v>
      </c>
      <c r="E1995" s="5" t="s">
        <v>15315</v>
      </c>
      <c r="F1995" s="5" t="s">
        <v>37</v>
      </c>
      <c r="G1995" s="5" t="s">
        <v>15316</v>
      </c>
      <c r="H1995" s="6" t="s">
        <v>15317</v>
      </c>
      <c r="K1995" s="5" t="s">
        <v>14944</v>
      </c>
    </row>
    <row r="1996">
      <c r="A1996" s="4">
        <v>45534.338286921295</v>
      </c>
      <c r="B1996" s="5" t="s">
        <v>34</v>
      </c>
      <c r="D1996" s="5" t="s">
        <v>362</v>
      </c>
      <c r="E1996" s="5" t="s">
        <v>15321</v>
      </c>
      <c r="F1996" s="5" t="s">
        <v>72</v>
      </c>
      <c r="G1996" s="5" t="s">
        <v>15322</v>
      </c>
      <c r="H1996" s="6" t="s">
        <v>15323</v>
      </c>
      <c r="K1996" s="5" t="s">
        <v>14944</v>
      </c>
    </row>
    <row r="1997">
      <c r="A1997" s="4">
        <v>45534.338286122686</v>
      </c>
      <c r="B1997" s="5" t="s">
        <v>19</v>
      </c>
      <c r="C1997" s="5" t="s">
        <v>466</v>
      </c>
      <c r="E1997" s="5" t="s">
        <v>15326</v>
      </c>
      <c r="F1997" s="5" t="s">
        <v>72</v>
      </c>
      <c r="G1997" s="5" t="s">
        <v>15327</v>
      </c>
      <c r="H1997" s="6" t="s">
        <v>15328</v>
      </c>
      <c r="K1997" s="5" t="s">
        <v>14944</v>
      </c>
    </row>
    <row r="1998">
      <c r="A1998" s="4">
        <v>45534.33828909722</v>
      </c>
      <c r="B1998" s="5" t="s">
        <v>34</v>
      </c>
      <c r="D1998" s="5" t="s">
        <v>1663</v>
      </c>
      <c r="E1998" s="5" t="s">
        <v>15331</v>
      </c>
      <c r="F1998" s="5" t="s">
        <v>199</v>
      </c>
      <c r="G1998" s="5" t="s">
        <v>15332</v>
      </c>
      <c r="H1998" s="6" t="s">
        <v>15333</v>
      </c>
      <c r="K1998" s="5" t="s">
        <v>14944</v>
      </c>
    </row>
    <row r="1999">
      <c r="A1999" s="4">
        <v>45534.3382912963</v>
      </c>
      <c r="B1999" s="5" t="s">
        <v>34</v>
      </c>
      <c r="D1999" s="5" t="s">
        <v>9394</v>
      </c>
      <c r="E1999" s="5" t="s">
        <v>15336</v>
      </c>
      <c r="F1999" s="5" t="s">
        <v>715</v>
      </c>
      <c r="G1999" s="5" t="s">
        <v>15337</v>
      </c>
      <c r="H1999" s="6" t="s">
        <v>15338</v>
      </c>
      <c r="K1999" s="5" t="s">
        <v>14944</v>
      </c>
    </row>
    <row r="2000">
      <c r="A2000" s="4">
        <v>45534.338294733796</v>
      </c>
      <c r="B2000" s="5" t="s">
        <v>34</v>
      </c>
      <c r="D2000" s="5" t="s">
        <v>10444</v>
      </c>
      <c r="E2000" s="5" t="s">
        <v>15341</v>
      </c>
      <c r="F2000" s="5" t="s">
        <v>72</v>
      </c>
      <c r="G2000" s="5" t="s">
        <v>15342</v>
      </c>
      <c r="H2000" s="6" t="s">
        <v>15343</v>
      </c>
      <c r="K2000" s="5" t="s">
        <v>14944</v>
      </c>
    </row>
    <row r="2001">
      <c r="A2001" s="4">
        <v>45534.33831177083</v>
      </c>
      <c r="B2001" s="5" t="s">
        <v>19</v>
      </c>
      <c r="C2001" s="5" t="s">
        <v>292</v>
      </c>
      <c r="E2001" s="5" t="s">
        <v>15346</v>
      </c>
      <c r="F2001" s="5" t="s">
        <v>524</v>
      </c>
      <c r="G2001" s="5" t="s">
        <v>15347</v>
      </c>
      <c r="H2001" s="6" t="s">
        <v>15348</v>
      </c>
      <c r="K2001" s="5" t="s">
        <v>14944</v>
      </c>
    </row>
    <row r="2002">
      <c r="A2002" s="4">
        <v>45534.33831761574</v>
      </c>
      <c r="B2002" s="5" t="s">
        <v>34</v>
      </c>
      <c r="D2002" s="5" t="s">
        <v>996</v>
      </c>
      <c r="E2002" s="5" t="s">
        <v>15352</v>
      </c>
      <c r="F2002" s="5" t="s">
        <v>212</v>
      </c>
      <c r="G2002" s="5" t="s">
        <v>15353</v>
      </c>
      <c r="H2002" s="6" t="s">
        <v>15354</v>
      </c>
      <c r="I2002" s="7" t="s">
        <v>15355</v>
      </c>
      <c r="J2002" s="8" t="str">
        <f>HYPERLINK("https://drive.google.com/file/d/1rZ7jw3lpXw4LSJ7uzu44jw1_T-piIxur/view?usp=drivesdk","Hamsah Hindrat Jaya  SERTIFIKAT BerAKHLAK")</f>
        <v>Hamsah Hindrat Jaya  SERTIFIKAT BerAKHLAK</v>
      </c>
      <c r="K2002" s="5" t="s">
        <v>14913</v>
      </c>
      <c r="L2002" s="5" t="s">
        <v>15356</v>
      </c>
    </row>
    <row r="2003">
      <c r="A2003" s="4">
        <v>45534.33832119213</v>
      </c>
      <c r="B2003" s="5" t="s">
        <v>34</v>
      </c>
      <c r="D2003" s="5" t="s">
        <v>35</v>
      </c>
      <c r="E2003" s="5" t="s">
        <v>15359</v>
      </c>
      <c r="F2003" s="5" t="s">
        <v>37</v>
      </c>
      <c r="G2003" s="5" t="s">
        <v>15360</v>
      </c>
      <c r="H2003" s="6" t="s">
        <v>15361</v>
      </c>
      <c r="I2003" s="7" t="s">
        <v>15362</v>
      </c>
      <c r="J2003" s="8" t="str">
        <f>HYPERLINK("https://drive.google.com/file/d/1GCYkGlvZa6mm3579DdEE578nbFJal-JO/view?usp=drivesdk","ZANAENAH.S.pd.I SERTIFIKAT BerAKHLAK")</f>
        <v>ZANAENAH.S.pd.I SERTIFIKAT BerAKHLAK</v>
      </c>
      <c r="K2003" s="5" t="s">
        <v>14913</v>
      </c>
      <c r="L2003" s="5" t="s">
        <v>15363</v>
      </c>
    </row>
    <row r="2004">
      <c r="A2004" s="4">
        <v>45534.338324282406</v>
      </c>
      <c r="B2004" s="5" t="s">
        <v>19</v>
      </c>
      <c r="C2004" s="5" t="s">
        <v>11593</v>
      </c>
      <c r="E2004" s="5" t="s">
        <v>15366</v>
      </c>
      <c r="F2004" s="5" t="s">
        <v>524</v>
      </c>
      <c r="G2004" s="5" t="s">
        <v>15367</v>
      </c>
      <c r="H2004" s="6" t="s">
        <v>15368</v>
      </c>
      <c r="I2004" s="7" t="s">
        <v>15369</v>
      </c>
      <c r="J2004" s="8" t="str">
        <f>HYPERLINK("https://drive.google.com/file/d/1cLACHBCRHgudQm-_az_3Vrnstl_Exlkp/view?usp=drivesdk","WIWI HERAWATI Am.Keb,SKM SERTIFIKAT BerAKHLAK")</f>
        <v>WIWI HERAWATI Am.Keb,SKM SERTIFIKAT BerAKHLAK</v>
      </c>
      <c r="K2004" s="5" t="s">
        <v>14913</v>
      </c>
      <c r="L2004" s="5" t="s">
        <v>15370</v>
      </c>
    </row>
    <row r="2005">
      <c r="A2005" s="4">
        <v>45534.33832550926</v>
      </c>
      <c r="B2005" s="5" t="s">
        <v>19</v>
      </c>
      <c r="C2005" s="5" t="s">
        <v>292</v>
      </c>
      <c r="E2005" s="5" t="s">
        <v>15373</v>
      </c>
      <c r="F2005" s="5" t="s">
        <v>108</v>
      </c>
      <c r="G2005" s="5" t="s">
        <v>15374</v>
      </c>
      <c r="H2005" s="6" t="s">
        <v>15375</v>
      </c>
      <c r="K2005" s="5" t="s">
        <v>15376</v>
      </c>
    </row>
    <row r="2006">
      <c r="A2006" s="4">
        <v>45534.33832541667</v>
      </c>
      <c r="B2006" s="5" t="s">
        <v>34</v>
      </c>
      <c r="D2006" s="5" t="s">
        <v>6232</v>
      </c>
      <c r="E2006" s="5" t="s">
        <v>15379</v>
      </c>
      <c r="F2006" s="5" t="s">
        <v>524</v>
      </c>
      <c r="G2006" s="5" t="s">
        <v>15380</v>
      </c>
      <c r="H2006" s="6" t="s">
        <v>15381</v>
      </c>
      <c r="K2006" s="5" t="s">
        <v>15376</v>
      </c>
    </row>
    <row r="2007">
      <c r="A2007" s="4">
        <v>45534.338326365745</v>
      </c>
      <c r="B2007" s="5" t="s">
        <v>34</v>
      </c>
      <c r="D2007" s="5" t="s">
        <v>1206</v>
      </c>
      <c r="E2007" s="5" t="s">
        <v>15385</v>
      </c>
      <c r="F2007" s="5" t="s">
        <v>15386</v>
      </c>
      <c r="G2007" s="5" t="s">
        <v>15387</v>
      </c>
      <c r="H2007" s="6" t="s">
        <v>15388</v>
      </c>
      <c r="K2007" s="5" t="s">
        <v>15376</v>
      </c>
    </row>
    <row r="2008">
      <c r="A2008" s="4">
        <v>45534.33832768518</v>
      </c>
      <c r="B2008" s="5" t="s">
        <v>34</v>
      </c>
      <c r="D2008" s="5" t="s">
        <v>1206</v>
      </c>
      <c r="E2008" s="5" t="s">
        <v>15391</v>
      </c>
      <c r="F2008" s="5" t="s">
        <v>199</v>
      </c>
      <c r="G2008" s="5" t="s">
        <v>15392</v>
      </c>
      <c r="H2008" s="6" t="s">
        <v>15393</v>
      </c>
      <c r="K2008" s="5" t="s">
        <v>15376</v>
      </c>
    </row>
    <row r="2009">
      <c r="A2009" s="4">
        <v>45534.33833342593</v>
      </c>
      <c r="B2009" s="5" t="s">
        <v>34</v>
      </c>
      <c r="D2009" s="5" t="s">
        <v>1206</v>
      </c>
      <c r="E2009" s="5" t="s">
        <v>15396</v>
      </c>
      <c r="F2009" s="5" t="s">
        <v>212</v>
      </c>
      <c r="G2009" s="5" t="s">
        <v>15397</v>
      </c>
      <c r="H2009" s="6" t="s">
        <v>15398</v>
      </c>
      <c r="K2009" s="5" t="s">
        <v>15376</v>
      </c>
    </row>
    <row r="2010">
      <c r="A2010" s="4">
        <v>45534.33833377315</v>
      </c>
      <c r="B2010" s="5" t="s">
        <v>34</v>
      </c>
      <c r="D2010" s="5" t="s">
        <v>15401</v>
      </c>
      <c r="E2010" s="5" t="s">
        <v>15402</v>
      </c>
      <c r="F2010" s="5" t="s">
        <v>715</v>
      </c>
      <c r="G2010" s="5" t="s">
        <v>15403</v>
      </c>
      <c r="H2010" s="6" t="s">
        <v>15404</v>
      </c>
      <c r="K2010" s="5" t="s">
        <v>15376</v>
      </c>
    </row>
    <row r="2011">
      <c r="A2011" s="4">
        <v>45534.33833459491</v>
      </c>
      <c r="B2011" s="5" t="s">
        <v>34</v>
      </c>
      <c r="D2011" s="5" t="s">
        <v>4775</v>
      </c>
      <c r="E2011" s="5" t="s">
        <v>15407</v>
      </c>
      <c r="F2011" s="5" t="s">
        <v>212</v>
      </c>
      <c r="G2011" s="5" t="s">
        <v>15408</v>
      </c>
      <c r="H2011" s="6" t="s">
        <v>15409</v>
      </c>
      <c r="K2011" s="5" t="s">
        <v>15376</v>
      </c>
    </row>
    <row r="2012">
      <c r="A2012" s="4">
        <v>45534.338341712966</v>
      </c>
      <c r="B2012" s="5" t="s">
        <v>34</v>
      </c>
      <c r="D2012" s="5" t="s">
        <v>1768</v>
      </c>
      <c r="E2012" s="5" t="s">
        <v>15413</v>
      </c>
      <c r="F2012" s="5" t="s">
        <v>72</v>
      </c>
      <c r="G2012" s="5" t="s">
        <v>15414</v>
      </c>
      <c r="H2012" s="6" t="s">
        <v>15415</v>
      </c>
      <c r="K2012" s="5" t="s">
        <v>15376</v>
      </c>
    </row>
    <row r="2013">
      <c r="A2013" s="4">
        <v>45534.338343553245</v>
      </c>
      <c r="B2013" s="5" t="s">
        <v>34</v>
      </c>
      <c r="D2013" s="5" t="s">
        <v>9020</v>
      </c>
      <c r="E2013" s="5" t="s">
        <v>15418</v>
      </c>
      <c r="F2013" s="5" t="s">
        <v>37</v>
      </c>
      <c r="G2013" s="5" t="s">
        <v>15419</v>
      </c>
      <c r="H2013" s="6" t="s">
        <v>15420</v>
      </c>
      <c r="K2013" s="5" t="s">
        <v>15376</v>
      </c>
    </row>
    <row r="2014">
      <c r="A2014" s="4">
        <v>45534.33834893518</v>
      </c>
      <c r="B2014" s="5" t="s">
        <v>19</v>
      </c>
      <c r="C2014" s="5" t="s">
        <v>1606</v>
      </c>
      <c r="E2014" s="5" t="s">
        <v>15423</v>
      </c>
      <c r="F2014" s="5" t="s">
        <v>375</v>
      </c>
      <c r="G2014" s="5" t="s">
        <v>15424</v>
      </c>
      <c r="H2014" s="6" t="s">
        <v>15425</v>
      </c>
      <c r="K2014" s="5" t="s">
        <v>15376</v>
      </c>
    </row>
    <row r="2015">
      <c r="A2015" s="4">
        <v>45534.338343587966</v>
      </c>
      <c r="B2015" s="5" t="s">
        <v>34</v>
      </c>
      <c r="D2015" s="5" t="s">
        <v>4775</v>
      </c>
      <c r="E2015" s="5" t="s">
        <v>15428</v>
      </c>
      <c r="F2015" s="5" t="s">
        <v>199</v>
      </c>
      <c r="G2015" s="5" t="s">
        <v>15429</v>
      </c>
      <c r="H2015" s="6" t="s">
        <v>15430</v>
      </c>
      <c r="K2015" s="5" t="s">
        <v>15376</v>
      </c>
    </row>
    <row r="2016">
      <c r="A2016" s="4">
        <v>45534.33835607639</v>
      </c>
      <c r="B2016" s="5" t="s">
        <v>34</v>
      </c>
      <c r="D2016" s="5" t="s">
        <v>9020</v>
      </c>
      <c r="E2016" s="5" t="s">
        <v>15433</v>
      </c>
      <c r="F2016" s="5" t="s">
        <v>37</v>
      </c>
      <c r="G2016" s="5" t="s">
        <v>15434</v>
      </c>
      <c r="H2016" s="6" t="s">
        <v>15435</v>
      </c>
      <c r="K2016" s="5" t="s">
        <v>15376</v>
      </c>
    </row>
    <row r="2017">
      <c r="A2017" s="4">
        <v>45534.338356064814</v>
      </c>
      <c r="B2017" s="5" t="s">
        <v>34</v>
      </c>
      <c r="D2017" s="5" t="s">
        <v>35</v>
      </c>
      <c r="E2017" s="5" t="s">
        <v>15438</v>
      </c>
      <c r="F2017" s="5" t="s">
        <v>37</v>
      </c>
      <c r="G2017" s="5" t="s">
        <v>15439</v>
      </c>
      <c r="H2017" s="6" t="s">
        <v>15440</v>
      </c>
      <c r="K2017" s="5" t="s">
        <v>15376</v>
      </c>
    </row>
    <row r="2018">
      <c r="A2018" s="4">
        <v>45534.338360821755</v>
      </c>
      <c r="B2018" s="5" t="s">
        <v>34</v>
      </c>
      <c r="D2018" s="5" t="s">
        <v>996</v>
      </c>
      <c r="E2018" s="5" t="s">
        <v>15444</v>
      </c>
      <c r="F2018" s="5" t="s">
        <v>212</v>
      </c>
      <c r="G2018" s="5" t="s">
        <v>15445</v>
      </c>
      <c r="H2018" s="6" t="s">
        <v>15446</v>
      </c>
      <c r="K2018" s="5" t="s">
        <v>15376</v>
      </c>
    </row>
    <row r="2019">
      <c r="A2019" s="4">
        <v>45534.33837247685</v>
      </c>
      <c r="B2019" s="5" t="s">
        <v>34</v>
      </c>
      <c r="D2019" s="5" t="s">
        <v>10444</v>
      </c>
      <c r="E2019" s="5" t="s">
        <v>15450</v>
      </c>
      <c r="F2019" s="5" t="s">
        <v>72</v>
      </c>
      <c r="G2019" s="5" t="s">
        <v>15451</v>
      </c>
      <c r="H2019" s="6" t="s">
        <v>15452</v>
      </c>
      <c r="K2019" s="5" t="s">
        <v>15376</v>
      </c>
    </row>
    <row r="2020">
      <c r="A2020" s="4">
        <v>45534.338374837964</v>
      </c>
      <c r="B2020" s="5" t="s">
        <v>34</v>
      </c>
      <c r="D2020" s="5" t="s">
        <v>35</v>
      </c>
      <c r="E2020" s="5" t="s">
        <v>15455</v>
      </c>
      <c r="F2020" s="5" t="s">
        <v>212</v>
      </c>
      <c r="G2020" s="5" t="s">
        <v>15456</v>
      </c>
      <c r="H2020" s="6" t="s">
        <v>15457</v>
      </c>
      <c r="K2020" s="5" t="s">
        <v>15376</v>
      </c>
    </row>
    <row r="2021">
      <c r="A2021" s="4">
        <v>45534.3383828588</v>
      </c>
      <c r="B2021" s="5" t="s">
        <v>34</v>
      </c>
      <c r="D2021" s="5" t="s">
        <v>12978</v>
      </c>
      <c r="E2021" s="5" t="s">
        <v>15460</v>
      </c>
      <c r="F2021" s="5" t="s">
        <v>37</v>
      </c>
      <c r="G2021" s="5" t="s">
        <v>15461</v>
      </c>
      <c r="H2021" s="6" t="s">
        <v>15462</v>
      </c>
      <c r="K2021" s="5" t="s">
        <v>15376</v>
      </c>
    </row>
    <row r="2022">
      <c r="A2022" s="4">
        <v>45534.338360671296</v>
      </c>
      <c r="B2022" s="5" t="s">
        <v>19</v>
      </c>
      <c r="C2022" s="5" t="s">
        <v>466</v>
      </c>
      <c r="E2022" s="5" t="s">
        <v>15466</v>
      </c>
      <c r="F2022" s="5" t="s">
        <v>524</v>
      </c>
      <c r="G2022" s="5" t="s">
        <v>15467</v>
      </c>
      <c r="H2022" s="6" t="s">
        <v>15468</v>
      </c>
      <c r="K2022" s="5" t="s">
        <v>15376</v>
      </c>
    </row>
    <row r="2023">
      <c r="A2023" s="4">
        <v>45534.33839331019</v>
      </c>
      <c r="B2023" s="5" t="s">
        <v>34</v>
      </c>
      <c r="D2023" s="5" t="s">
        <v>522</v>
      </c>
      <c r="E2023" s="5" t="s">
        <v>15471</v>
      </c>
      <c r="F2023" s="5" t="s">
        <v>37</v>
      </c>
      <c r="G2023" s="5" t="s">
        <v>15472</v>
      </c>
      <c r="H2023" s="6" t="s">
        <v>15473</v>
      </c>
      <c r="K2023" s="5" t="s">
        <v>15376</v>
      </c>
    </row>
    <row r="2024">
      <c r="A2024" s="4">
        <v>45534.33840311343</v>
      </c>
      <c r="B2024" s="5" t="s">
        <v>34</v>
      </c>
      <c r="D2024" s="5" t="s">
        <v>1206</v>
      </c>
      <c r="E2024" s="5" t="s">
        <v>15476</v>
      </c>
      <c r="F2024" s="5" t="s">
        <v>715</v>
      </c>
      <c r="G2024" s="5" t="s">
        <v>15477</v>
      </c>
      <c r="H2024" s="6" t="s">
        <v>15478</v>
      </c>
      <c r="K2024" s="5" t="s">
        <v>15376</v>
      </c>
    </row>
    <row r="2025">
      <c r="A2025" s="4">
        <v>45534.33840605324</v>
      </c>
      <c r="B2025" s="5" t="s">
        <v>34</v>
      </c>
      <c r="D2025" s="5" t="s">
        <v>701</v>
      </c>
      <c r="E2025" s="5" t="s">
        <v>15481</v>
      </c>
      <c r="F2025" s="5" t="s">
        <v>108</v>
      </c>
      <c r="G2025" s="5" t="s">
        <v>15482</v>
      </c>
      <c r="H2025" s="6" t="s">
        <v>15483</v>
      </c>
      <c r="K2025" s="5" t="s">
        <v>15376</v>
      </c>
    </row>
    <row r="2026">
      <c r="A2026" s="4">
        <v>45534.33840607639</v>
      </c>
      <c r="B2026" s="5" t="s">
        <v>34</v>
      </c>
      <c r="D2026" s="5" t="s">
        <v>10444</v>
      </c>
      <c r="E2026" s="5" t="s">
        <v>15487</v>
      </c>
      <c r="F2026" s="5" t="s">
        <v>37</v>
      </c>
      <c r="G2026" s="5" t="s">
        <v>15488</v>
      </c>
      <c r="H2026" s="6" t="s">
        <v>15489</v>
      </c>
      <c r="K2026" s="5" t="s">
        <v>15376</v>
      </c>
    </row>
    <row r="2027">
      <c r="A2027" s="4">
        <v>45534.338407048606</v>
      </c>
      <c r="B2027" s="5" t="s">
        <v>19</v>
      </c>
      <c r="C2027" s="5" t="s">
        <v>292</v>
      </c>
      <c r="E2027" s="5" t="s">
        <v>15492</v>
      </c>
      <c r="F2027" s="5" t="s">
        <v>375</v>
      </c>
      <c r="G2027" s="5" t="s">
        <v>15493</v>
      </c>
      <c r="H2027" s="6" t="s">
        <v>15494</v>
      </c>
      <c r="K2027" s="5" t="s">
        <v>15376</v>
      </c>
    </row>
    <row r="2028">
      <c r="A2028" s="4">
        <v>45534.33841545139</v>
      </c>
      <c r="B2028" s="5" t="s">
        <v>34</v>
      </c>
      <c r="D2028" s="5" t="s">
        <v>280</v>
      </c>
      <c r="E2028" s="5" t="s">
        <v>15497</v>
      </c>
      <c r="F2028" s="5" t="s">
        <v>72</v>
      </c>
      <c r="G2028" s="5" t="s">
        <v>15498</v>
      </c>
      <c r="H2028" s="6" t="s">
        <v>15499</v>
      </c>
      <c r="K2028" s="5" t="s">
        <v>15376</v>
      </c>
    </row>
    <row r="2029">
      <c r="A2029" s="4">
        <v>45534.338424629634</v>
      </c>
      <c r="B2029" s="5" t="s">
        <v>34</v>
      </c>
      <c r="D2029" s="5" t="s">
        <v>9394</v>
      </c>
      <c r="E2029" s="5" t="s">
        <v>15502</v>
      </c>
      <c r="F2029" s="5" t="s">
        <v>524</v>
      </c>
      <c r="G2029" s="5" t="s">
        <v>15503</v>
      </c>
      <c r="H2029" s="6" t="s">
        <v>15504</v>
      </c>
      <c r="K2029" s="5" t="s">
        <v>15376</v>
      </c>
    </row>
    <row r="2030">
      <c r="A2030" s="4">
        <v>45534.338426331014</v>
      </c>
      <c r="B2030" s="5" t="s">
        <v>34</v>
      </c>
      <c r="D2030" s="5" t="s">
        <v>1206</v>
      </c>
      <c r="E2030" s="5" t="s">
        <v>15508</v>
      </c>
      <c r="F2030" s="5" t="s">
        <v>199</v>
      </c>
      <c r="G2030" s="5" t="s">
        <v>15509</v>
      </c>
      <c r="H2030" s="6" t="s">
        <v>15510</v>
      </c>
      <c r="K2030" s="5" t="s">
        <v>15376</v>
      </c>
    </row>
    <row r="2031">
      <c r="A2031" s="4">
        <v>45534.338435150465</v>
      </c>
      <c r="B2031" s="5" t="s">
        <v>34</v>
      </c>
      <c r="D2031" s="5" t="s">
        <v>9020</v>
      </c>
      <c r="E2031" s="5" t="s">
        <v>15513</v>
      </c>
      <c r="F2031" s="5" t="s">
        <v>212</v>
      </c>
      <c r="G2031" s="5" t="s">
        <v>15514</v>
      </c>
      <c r="H2031" s="6" t="s">
        <v>15515</v>
      </c>
      <c r="K2031" s="5" t="s">
        <v>15376</v>
      </c>
    </row>
    <row r="2032">
      <c r="A2032" s="4">
        <v>45534.33843567129</v>
      </c>
      <c r="B2032" s="5" t="s">
        <v>34</v>
      </c>
      <c r="D2032" s="5" t="s">
        <v>35</v>
      </c>
      <c r="E2032" s="5" t="s">
        <v>15518</v>
      </c>
      <c r="F2032" s="5" t="s">
        <v>37</v>
      </c>
      <c r="G2032" s="5" t="s">
        <v>15519</v>
      </c>
      <c r="H2032" s="6" t="s">
        <v>15520</v>
      </c>
      <c r="K2032" s="5" t="s">
        <v>15376</v>
      </c>
    </row>
    <row r="2033">
      <c r="A2033" s="4">
        <v>45534.33845357639</v>
      </c>
      <c r="B2033" s="5" t="s">
        <v>34</v>
      </c>
      <c r="D2033" s="5" t="s">
        <v>4775</v>
      </c>
      <c r="E2033" s="5" t="s">
        <v>15523</v>
      </c>
      <c r="F2033" s="5" t="s">
        <v>37</v>
      </c>
      <c r="G2033" s="5" t="s">
        <v>15524</v>
      </c>
      <c r="H2033" s="6" t="s">
        <v>15525</v>
      </c>
      <c r="K2033" s="5" t="s">
        <v>15376</v>
      </c>
    </row>
    <row r="2034">
      <c r="A2034" s="4">
        <v>45534.3384559375</v>
      </c>
      <c r="B2034" s="5" t="s">
        <v>34</v>
      </c>
      <c r="D2034" s="5" t="s">
        <v>35</v>
      </c>
      <c r="E2034" s="5" t="s">
        <v>15528</v>
      </c>
      <c r="F2034" s="5" t="s">
        <v>72</v>
      </c>
      <c r="G2034" s="5" t="s">
        <v>15529</v>
      </c>
      <c r="H2034" s="6" t="s">
        <v>15530</v>
      </c>
      <c r="K2034" s="5" t="s">
        <v>15376</v>
      </c>
    </row>
    <row r="2035">
      <c r="A2035" s="4">
        <v>45534.33845956018</v>
      </c>
      <c r="B2035" s="5" t="s">
        <v>19</v>
      </c>
      <c r="C2035" s="5" t="s">
        <v>442</v>
      </c>
      <c r="E2035" s="5" t="s">
        <v>15534</v>
      </c>
      <c r="F2035" s="5" t="s">
        <v>72</v>
      </c>
      <c r="G2035" s="5" t="s">
        <v>15535</v>
      </c>
      <c r="H2035" s="6" t="s">
        <v>15536</v>
      </c>
      <c r="K2035" s="5" t="s">
        <v>15376</v>
      </c>
    </row>
    <row r="2036">
      <c r="A2036" s="4">
        <v>45534.3384644676</v>
      </c>
      <c r="B2036" s="5" t="s">
        <v>34</v>
      </c>
      <c r="D2036" s="5" t="s">
        <v>2903</v>
      </c>
      <c r="E2036" s="5" t="s">
        <v>15539</v>
      </c>
      <c r="F2036" s="5" t="s">
        <v>524</v>
      </c>
      <c r="G2036" s="5" t="s">
        <v>15540</v>
      </c>
      <c r="H2036" s="6" t="s">
        <v>15541</v>
      </c>
      <c r="K2036" s="5" t="s">
        <v>15376</v>
      </c>
    </row>
    <row r="2037">
      <c r="A2037" s="4">
        <v>45534.338466574074</v>
      </c>
      <c r="B2037" s="5" t="s">
        <v>34</v>
      </c>
      <c r="D2037" s="5" t="s">
        <v>10297</v>
      </c>
      <c r="E2037" s="5" t="s">
        <v>15544</v>
      </c>
      <c r="F2037" s="5" t="s">
        <v>524</v>
      </c>
      <c r="G2037" s="5" t="s">
        <v>15545</v>
      </c>
      <c r="H2037" s="6" t="s">
        <v>15546</v>
      </c>
      <c r="K2037" s="5" t="s">
        <v>15376</v>
      </c>
    </row>
    <row r="2038">
      <c r="A2038" s="4">
        <v>45534.33846733796</v>
      </c>
      <c r="B2038" s="5" t="s">
        <v>19</v>
      </c>
      <c r="C2038" s="5" t="s">
        <v>14000</v>
      </c>
      <c r="E2038" s="5" t="s">
        <v>15549</v>
      </c>
      <c r="F2038" s="5" t="s">
        <v>108</v>
      </c>
      <c r="G2038" s="5" t="s">
        <v>15550</v>
      </c>
      <c r="H2038" s="6" t="s">
        <v>15551</v>
      </c>
      <c r="K2038" s="5" t="s">
        <v>15376</v>
      </c>
    </row>
    <row r="2039">
      <c r="A2039" s="4">
        <v>45534.33846833333</v>
      </c>
      <c r="B2039" s="5" t="s">
        <v>34</v>
      </c>
      <c r="D2039" s="5" t="s">
        <v>12010</v>
      </c>
      <c r="E2039" s="5" t="s">
        <v>15554</v>
      </c>
      <c r="F2039" s="5" t="s">
        <v>37</v>
      </c>
      <c r="G2039" s="5" t="s">
        <v>15555</v>
      </c>
      <c r="H2039" s="6" t="s">
        <v>15556</v>
      </c>
      <c r="K2039" s="5" t="s">
        <v>15376</v>
      </c>
    </row>
    <row r="2040">
      <c r="A2040" s="4">
        <v>45534.338468761576</v>
      </c>
      <c r="B2040" s="5" t="s">
        <v>34</v>
      </c>
      <c r="D2040" s="5" t="s">
        <v>2903</v>
      </c>
      <c r="E2040" s="5" t="s">
        <v>15559</v>
      </c>
      <c r="F2040" s="5" t="s">
        <v>120</v>
      </c>
      <c r="G2040" s="5" t="s">
        <v>15560</v>
      </c>
      <c r="H2040" s="6" t="s">
        <v>15561</v>
      </c>
      <c r="K2040" s="5" t="s">
        <v>15376</v>
      </c>
    </row>
    <row r="2041">
      <c r="A2041" s="4">
        <v>45534.33847275463</v>
      </c>
      <c r="B2041" s="5" t="s">
        <v>34</v>
      </c>
      <c r="D2041" s="5" t="s">
        <v>1456</v>
      </c>
      <c r="E2041" s="5" t="s">
        <v>15564</v>
      </c>
      <c r="F2041" s="5" t="s">
        <v>375</v>
      </c>
      <c r="G2041" s="5" t="s">
        <v>15565</v>
      </c>
      <c r="H2041" s="6" t="s">
        <v>15566</v>
      </c>
      <c r="K2041" s="5" t="s">
        <v>15376</v>
      </c>
    </row>
    <row r="2042">
      <c r="A2042" s="4">
        <v>45534.33847362269</v>
      </c>
      <c r="B2042" s="5" t="s">
        <v>34</v>
      </c>
      <c r="D2042" s="5" t="s">
        <v>2903</v>
      </c>
      <c r="E2042" s="5" t="s">
        <v>15569</v>
      </c>
      <c r="F2042" s="5" t="s">
        <v>375</v>
      </c>
      <c r="G2042" s="5" t="s">
        <v>15570</v>
      </c>
      <c r="H2042" s="6" t="s">
        <v>15571</v>
      </c>
      <c r="K2042" s="5" t="s">
        <v>15376</v>
      </c>
    </row>
    <row r="2043">
      <c r="A2043" s="4">
        <v>45534.338482858795</v>
      </c>
      <c r="B2043" s="5" t="s">
        <v>34</v>
      </c>
      <c r="D2043" s="5" t="s">
        <v>35</v>
      </c>
      <c r="E2043" s="5" t="s">
        <v>15574</v>
      </c>
      <c r="F2043" s="5" t="s">
        <v>212</v>
      </c>
      <c r="G2043" s="5" t="s">
        <v>15575</v>
      </c>
      <c r="H2043" s="6" t="s">
        <v>15576</v>
      </c>
      <c r="K2043" s="5" t="s">
        <v>15376</v>
      </c>
    </row>
    <row r="2044">
      <c r="A2044" s="4">
        <v>45534.338490625</v>
      </c>
      <c r="B2044" s="5" t="s">
        <v>34</v>
      </c>
      <c r="D2044" s="5" t="s">
        <v>1768</v>
      </c>
      <c r="E2044" s="5" t="s">
        <v>15579</v>
      </c>
      <c r="F2044" s="5" t="s">
        <v>72</v>
      </c>
      <c r="G2044" s="5" t="s">
        <v>15580</v>
      </c>
      <c r="H2044" s="6" t="s">
        <v>15581</v>
      </c>
      <c r="K2044" s="5" t="s">
        <v>15376</v>
      </c>
    </row>
    <row r="2045">
      <c r="A2045" s="4">
        <v>45534.33849285879</v>
      </c>
      <c r="B2045" s="5" t="s">
        <v>34</v>
      </c>
      <c r="D2045" s="5" t="s">
        <v>35</v>
      </c>
      <c r="E2045" s="5" t="s">
        <v>15585</v>
      </c>
      <c r="F2045" s="5" t="s">
        <v>212</v>
      </c>
      <c r="G2045" s="5" t="s">
        <v>15586</v>
      </c>
      <c r="H2045" s="6" t="s">
        <v>15587</v>
      </c>
      <c r="K2045" s="5" t="s">
        <v>15588</v>
      </c>
    </row>
    <row r="2046">
      <c r="A2046" s="4">
        <v>45534.33849841435</v>
      </c>
      <c r="B2046" s="5" t="s">
        <v>34</v>
      </c>
      <c r="D2046" s="5" t="s">
        <v>6232</v>
      </c>
      <c r="E2046" s="5" t="s">
        <v>15591</v>
      </c>
      <c r="F2046" s="5" t="s">
        <v>212</v>
      </c>
      <c r="G2046" s="5" t="s">
        <v>15592</v>
      </c>
      <c r="H2046" s="6" t="s">
        <v>15593</v>
      </c>
      <c r="K2046" s="5" t="s">
        <v>15588</v>
      </c>
    </row>
    <row r="2047">
      <c r="A2047" s="4">
        <v>45534.33851045139</v>
      </c>
      <c r="B2047" s="5" t="s">
        <v>34</v>
      </c>
      <c r="D2047" s="5" t="s">
        <v>1558</v>
      </c>
      <c r="E2047" s="5" t="s">
        <v>15596</v>
      </c>
      <c r="F2047" s="5" t="s">
        <v>375</v>
      </c>
      <c r="G2047" s="5" t="s">
        <v>15597</v>
      </c>
      <c r="H2047" s="6" t="s">
        <v>15598</v>
      </c>
      <c r="K2047" s="5" t="s">
        <v>15588</v>
      </c>
    </row>
    <row r="2048">
      <c r="A2048" s="4">
        <v>45534.33853491898</v>
      </c>
      <c r="B2048" s="5" t="s">
        <v>34</v>
      </c>
      <c r="D2048" s="5" t="s">
        <v>1206</v>
      </c>
      <c r="E2048" s="5" t="s">
        <v>15601</v>
      </c>
      <c r="F2048" s="5" t="s">
        <v>212</v>
      </c>
      <c r="G2048" s="5" t="s">
        <v>15602</v>
      </c>
      <c r="H2048" s="6" t="s">
        <v>15603</v>
      </c>
      <c r="K2048" s="5" t="s">
        <v>15588</v>
      </c>
    </row>
    <row r="2049">
      <c r="A2049" s="4">
        <v>45534.338561400466</v>
      </c>
      <c r="B2049" s="5" t="s">
        <v>34</v>
      </c>
      <c r="D2049" s="5" t="s">
        <v>35</v>
      </c>
      <c r="E2049" s="5" t="s">
        <v>15606</v>
      </c>
      <c r="F2049" s="5" t="s">
        <v>72</v>
      </c>
      <c r="G2049" s="5" t="s">
        <v>15607</v>
      </c>
      <c r="H2049" s="6" t="s">
        <v>15608</v>
      </c>
      <c r="I2049" s="7" t="s">
        <v>15609</v>
      </c>
      <c r="J2049" s="8" t="str">
        <f>HYPERLINK("https://drive.google.com/file/d/19H58X9o28E-jfBXRElaacQK4-nIFk0ph/view?usp=drivesdk","SUGIARTI SERTIFIKAT BerAKHLAK")</f>
        <v>SUGIARTI SERTIFIKAT BerAKHLAK</v>
      </c>
      <c r="K2049" s="5" t="s">
        <v>14093</v>
      </c>
      <c r="L2049" s="5" t="s">
        <v>15610</v>
      </c>
    </row>
    <row r="2050">
      <c r="A2050" s="4">
        <v>45534.33856754629</v>
      </c>
      <c r="B2050" s="5" t="s">
        <v>34</v>
      </c>
      <c r="D2050" s="5" t="s">
        <v>9020</v>
      </c>
      <c r="E2050" s="5" t="s">
        <v>15613</v>
      </c>
      <c r="F2050" s="5" t="s">
        <v>715</v>
      </c>
      <c r="G2050" s="5" t="s">
        <v>15614</v>
      </c>
      <c r="H2050" s="6" t="s">
        <v>15615</v>
      </c>
      <c r="I2050" s="7" t="s">
        <v>15616</v>
      </c>
      <c r="J2050" s="8" t="str">
        <f>HYPERLINK("https://drive.google.com/file/d/1072cdkhpK4EMxaAEimEWTcIOWEUqglUV/view?usp=drivesdk","ARNISA NADDYA SERTIFIKAT BerAKHLAK")</f>
        <v>ARNISA NADDYA SERTIFIKAT BerAKHLAK</v>
      </c>
      <c r="K2050" s="5" t="s">
        <v>14093</v>
      </c>
      <c r="L2050" s="5" t="s">
        <v>15617</v>
      </c>
    </row>
    <row r="2051">
      <c r="A2051" s="4">
        <v>45534.33856765046</v>
      </c>
      <c r="B2051" s="5" t="s">
        <v>34</v>
      </c>
      <c r="D2051" s="5" t="s">
        <v>35</v>
      </c>
      <c r="E2051" s="5" t="s">
        <v>15621</v>
      </c>
      <c r="F2051" s="5" t="s">
        <v>108</v>
      </c>
      <c r="G2051" s="5" t="s">
        <v>15622</v>
      </c>
      <c r="H2051" s="6" t="s">
        <v>15623</v>
      </c>
      <c r="I2051" s="7" t="s">
        <v>15624</v>
      </c>
      <c r="J2051" s="8" t="str">
        <f>HYPERLINK("https://drive.google.com/file/d/12-vsgTQb9MC7x9Cv1fAodjlY6eQkjSJT/view?usp=drivesdk","AAN WIANA SERTIFIKAT BerAKHLAK")</f>
        <v>AAN WIANA SERTIFIKAT BerAKHLAK</v>
      </c>
      <c r="K2051" s="5" t="s">
        <v>14093</v>
      </c>
      <c r="L2051" s="5" t="s">
        <v>15625</v>
      </c>
    </row>
    <row r="2052">
      <c r="A2052" s="4">
        <v>45534.3385684838</v>
      </c>
      <c r="B2052" s="5" t="s">
        <v>34</v>
      </c>
      <c r="D2052" s="5" t="s">
        <v>280</v>
      </c>
      <c r="E2052" s="5" t="s">
        <v>15628</v>
      </c>
      <c r="F2052" s="5" t="s">
        <v>212</v>
      </c>
      <c r="G2052" s="5" t="s">
        <v>15629</v>
      </c>
      <c r="H2052" s="6" t="s">
        <v>15630</v>
      </c>
      <c r="I2052" s="7" t="s">
        <v>15631</v>
      </c>
      <c r="J2052" s="8" t="str">
        <f>HYPERLINK("https://drive.google.com/file/d/1uUfOz88pjNC5JZlhdDcvpsIVOXWDMv5I/view?usp=drivesdk","NURAINI SERTIFIKAT BerAKHLAK")</f>
        <v>NURAINI SERTIFIKAT BerAKHLAK</v>
      </c>
      <c r="K2052" s="5" t="s">
        <v>14093</v>
      </c>
      <c r="L2052" s="5" t="s">
        <v>15632</v>
      </c>
    </row>
    <row r="2053">
      <c r="A2053" s="4">
        <v>45534.33856981482</v>
      </c>
      <c r="B2053" s="5" t="s">
        <v>34</v>
      </c>
      <c r="D2053" s="5" t="s">
        <v>4775</v>
      </c>
      <c r="E2053" s="5" t="s">
        <v>15635</v>
      </c>
      <c r="F2053" s="5" t="s">
        <v>212</v>
      </c>
      <c r="G2053" s="5" t="s">
        <v>15636</v>
      </c>
      <c r="H2053" s="6" t="s">
        <v>15637</v>
      </c>
      <c r="I2053" s="7" t="s">
        <v>15638</v>
      </c>
      <c r="J2053" s="8" t="str">
        <f>HYPERLINK("https://drive.google.com/file/d/19g0QTx5lQlJEXpqiBiLFBsYFKOLYES1s/view?usp=drivesdk","HERNANTO EKA PIPITARDI  SERTIFIKAT BerAKHLAK")</f>
        <v>HERNANTO EKA PIPITARDI  SERTIFIKAT BerAKHLAK</v>
      </c>
      <c r="K2053" s="5" t="s">
        <v>14116</v>
      </c>
      <c r="L2053" s="5" t="s">
        <v>15639</v>
      </c>
    </row>
    <row r="2054">
      <c r="A2054" s="4">
        <v>45534.33857032408</v>
      </c>
      <c r="B2054" s="5" t="s">
        <v>19</v>
      </c>
      <c r="C2054" s="5" t="s">
        <v>3301</v>
      </c>
      <c r="E2054" s="5" t="s">
        <v>15642</v>
      </c>
      <c r="F2054" s="5" t="s">
        <v>37</v>
      </c>
      <c r="G2054" s="5" t="s">
        <v>15643</v>
      </c>
      <c r="H2054" s="6" t="s">
        <v>15644</v>
      </c>
      <c r="I2054" s="7" t="s">
        <v>15645</v>
      </c>
      <c r="J2054" s="8" t="str">
        <f>HYPERLINK("https://drive.google.com/file/d/1uZiszDK7EpIGzq-BQlE9klhP2LC7JXfg/view?usp=drivesdk","VIRRY HASANATAL MILA, A.Md.AK SERTIFIKAT BerAKHLAK")</f>
        <v>VIRRY HASANATAL MILA, A.Md.AK SERTIFIKAT BerAKHLAK</v>
      </c>
      <c r="K2054" s="5" t="s">
        <v>14116</v>
      </c>
      <c r="L2054" s="5" t="s">
        <v>15646</v>
      </c>
    </row>
    <row r="2055">
      <c r="A2055" s="4">
        <v>45534.33857673611</v>
      </c>
      <c r="B2055" s="5" t="s">
        <v>34</v>
      </c>
      <c r="D2055" s="5" t="s">
        <v>4775</v>
      </c>
      <c r="E2055" s="5" t="s">
        <v>15649</v>
      </c>
      <c r="F2055" s="5" t="s">
        <v>72</v>
      </c>
      <c r="G2055" s="5" t="s">
        <v>15650</v>
      </c>
      <c r="H2055" s="6" t="s">
        <v>15651</v>
      </c>
      <c r="K2055" s="5" t="s">
        <v>15652</v>
      </c>
    </row>
    <row r="2056">
      <c r="A2056" s="4">
        <v>45534.33857208333</v>
      </c>
      <c r="B2056" s="5" t="s">
        <v>34</v>
      </c>
      <c r="D2056" s="5" t="s">
        <v>10444</v>
      </c>
      <c r="E2056" s="5" t="s">
        <v>15656</v>
      </c>
      <c r="F2056" s="5" t="s">
        <v>328</v>
      </c>
      <c r="G2056" s="5" t="s">
        <v>15657</v>
      </c>
      <c r="H2056" s="6" t="s">
        <v>15658</v>
      </c>
      <c r="K2056" s="5" t="s">
        <v>15652</v>
      </c>
    </row>
    <row r="2057">
      <c r="A2057" s="4">
        <v>45534.338578043986</v>
      </c>
      <c r="B2057" s="5" t="s">
        <v>34</v>
      </c>
      <c r="D2057" s="5" t="s">
        <v>4775</v>
      </c>
      <c r="E2057" s="5" t="s">
        <v>15661</v>
      </c>
      <c r="F2057" s="5" t="s">
        <v>37</v>
      </c>
      <c r="G2057" s="5" t="s">
        <v>15662</v>
      </c>
      <c r="H2057" s="6" t="s">
        <v>15663</v>
      </c>
      <c r="K2057" s="5" t="s">
        <v>15652</v>
      </c>
    </row>
    <row r="2058">
      <c r="A2058" s="4">
        <v>45534.33858236111</v>
      </c>
      <c r="B2058" s="5" t="s">
        <v>34</v>
      </c>
      <c r="D2058" s="5" t="s">
        <v>35</v>
      </c>
      <c r="E2058" s="5" t="s">
        <v>15666</v>
      </c>
      <c r="F2058" s="5" t="s">
        <v>37</v>
      </c>
      <c r="G2058" s="5" t="s">
        <v>15667</v>
      </c>
      <c r="H2058" s="6" t="s">
        <v>15668</v>
      </c>
      <c r="K2058" s="5" t="s">
        <v>15652</v>
      </c>
    </row>
    <row r="2059">
      <c r="A2059" s="4">
        <v>45534.3385931713</v>
      </c>
      <c r="B2059" s="5" t="s">
        <v>34</v>
      </c>
      <c r="D2059" s="5" t="s">
        <v>35</v>
      </c>
      <c r="E2059" s="5" t="s">
        <v>15671</v>
      </c>
      <c r="F2059" s="5" t="s">
        <v>108</v>
      </c>
      <c r="G2059" s="5" t="s">
        <v>15672</v>
      </c>
      <c r="H2059" s="6" t="s">
        <v>15673</v>
      </c>
      <c r="K2059" s="5" t="s">
        <v>15652</v>
      </c>
    </row>
    <row r="2060">
      <c r="A2060" s="4">
        <v>45534.33859461806</v>
      </c>
      <c r="B2060" s="5" t="s">
        <v>34</v>
      </c>
      <c r="D2060" s="5" t="s">
        <v>1206</v>
      </c>
      <c r="E2060" s="5" t="s">
        <v>15676</v>
      </c>
      <c r="F2060" s="5" t="s">
        <v>37</v>
      </c>
      <c r="G2060" s="5" t="s">
        <v>15677</v>
      </c>
      <c r="H2060" s="6" t="s">
        <v>15678</v>
      </c>
      <c r="K2060" s="5" t="s">
        <v>15652</v>
      </c>
    </row>
    <row r="2061">
      <c r="A2061" s="4">
        <v>45534.33859799769</v>
      </c>
      <c r="B2061" s="5" t="s">
        <v>34</v>
      </c>
      <c r="D2061" s="5" t="s">
        <v>35</v>
      </c>
      <c r="E2061" s="5" t="s">
        <v>15682</v>
      </c>
      <c r="F2061" s="5" t="s">
        <v>212</v>
      </c>
      <c r="G2061" s="5" t="s">
        <v>15683</v>
      </c>
      <c r="H2061" s="6" t="s">
        <v>15684</v>
      </c>
      <c r="K2061" s="5" t="s">
        <v>15652</v>
      </c>
    </row>
    <row r="2062">
      <c r="A2062" s="4">
        <v>45534.33860002315</v>
      </c>
      <c r="B2062" s="5" t="s">
        <v>34</v>
      </c>
      <c r="D2062" s="5" t="s">
        <v>6232</v>
      </c>
      <c r="E2062" s="5" t="s">
        <v>15687</v>
      </c>
      <c r="F2062" s="5" t="s">
        <v>212</v>
      </c>
      <c r="G2062" s="5" t="s">
        <v>15688</v>
      </c>
      <c r="H2062" s="6" t="s">
        <v>15689</v>
      </c>
      <c r="K2062" s="5" t="s">
        <v>15652</v>
      </c>
    </row>
    <row r="2063">
      <c r="A2063" s="4">
        <v>45534.338602233795</v>
      </c>
      <c r="B2063" s="5" t="s">
        <v>34</v>
      </c>
      <c r="D2063" s="5" t="s">
        <v>9020</v>
      </c>
      <c r="E2063" s="5" t="s">
        <v>15692</v>
      </c>
      <c r="F2063" s="5" t="s">
        <v>22</v>
      </c>
      <c r="G2063" s="5" t="s">
        <v>15693</v>
      </c>
      <c r="H2063" s="6" t="s">
        <v>15694</v>
      </c>
      <c r="K2063" s="5" t="s">
        <v>15652</v>
      </c>
    </row>
    <row r="2064">
      <c r="A2064" s="4">
        <v>45534.338604247685</v>
      </c>
      <c r="B2064" s="5" t="s">
        <v>34</v>
      </c>
      <c r="D2064" s="5" t="s">
        <v>1206</v>
      </c>
      <c r="E2064" s="5" t="s">
        <v>15697</v>
      </c>
      <c r="F2064" s="5" t="s">
        <v>5859</v>
      </c>
      <c r="G2064" s="5" t="s">
        <v>15698</v>
      </c>
      <c r="H2064" s="6" t="s">
        <v>15699</v>
      </c>
      <c r="K2064" s="5" t="s">
        <v>15652</v>
      </c>
    </row>
    <row r="2065">
      <c r="A2065" s="4">
        <v>45534.338604178236</v>
      </c>
      <c r="B2065" s="5" t="s">
        <v>19</v>
      </c>
      <c r="C2065" s="5" t="s">
        <v>14000</v>
      </c>
      <c r="E2065" s="5" t="s">
        <v>15702</v>
      </c>
      <c r="F2065" s="5" t="s">
        <v>37</v>
      </c>
      <c r="G2065" s="5" t="s">
        <v>15703</v>
      </c>
      <c r="H2065" s="6" t="s">
        <v>15704</v>
      </c>
      <c r="K2065" s="5" t="s">
        <v>15652</v>
      </c>
    </row>
    <row r="2066">
      <c r="A2066" s="4">
        <v>45534.33861261574</v>
      </c>
      <c r="B2066" s="5" t="s">
        <v>19</v>
      </c>
      <c r="C2066" s="5" t="s">
        <v>20</v>
      </c>
      <c r="E2066" s="5" t="s">
        <v>15707</v>
      </c>
      <c r="F2066" s="5" t="s">
        <v>212</v>
      </c>
      <c r="G2066" s="5" t="s">
        <v>15708</v>
      </c>
      <c r="H2066" s="6" t="s">
        <v>15709</v>
      </c>
      <c r="K2066" s="5" t="s">
        <v>15652</v>
      </c>
    </row>
    <row r="2067">
      <c r="A2067" s="4">
        <v>45534.33861284722</v>
      </c>
      <c r="B2067" s="5" t="s">
        <v>34</v>
      </c>
      <c r="D2067" s="5" t="s">
        <v>1206</v>
      </c>
      <c r="E2067" s="5" t="s">
        <v>15713</v>
      </c>
      <c r="F2067" s="5" t="s">
        <v>37</v>
      </c>
      <c r="G2067" s="5" t="s">
        <v>15714</v>
      </c>
      <c r="H2067" s="6" t="s">
        <v>15715</v>
      </c>
      <c r="K2067" s="5" t="s">
        <v>15652</v>
      </c>
    </row>
    <row r="2068">
      <c r="A2068" s="4">
        <v>45534.338632824074</v>
      </c>
      <c r="B2068" s="5" t="s">
        <v>34</v>
      </c>
      <c r="D2068" s="5" t="s">
        <v>267</v>
      </c>
      <c r="E2068" s="5" t="s">
        <v>15718</v>
      </c>
      <c r="F2068" s="5" t="s">
        <v>108</v>
      </c>
      <c r="G2068" s="5" t="s">
        <v>15719</v>
      </c>
      <c r="H2068" s="6" t="s">
        <v>15720</v>
      </c>
      <c r="I2068" s="7" t="s">
        <v>15721</v>
      </c>
      <c r="J2068" s="8" t="str">
        <f>HYPERLINK("https://drive.google.com/file/d/1aPFriSUk7R2Uoa0SQMmF1OJCI6zClly5/view?usp=drivesdk","Risti Wahyu Budiwati, S.E. SERTIFIKAT BerAKHLAK")</f>
        <v>Risti Wahyu Budiwati, S.E. SERTIFIKAT BerAKHLAK</v>
      </c>
      <c r="K2068" s="5" t="s">
        <v>14093</v>
      </c>
      <c r="L2068" s="5" t="s">
        <v>15722</v>
      </c>
    </row>
    <row r="2069">
      <c r="A2069" s="4">
        <v>45534.338633067135</v>
      </c>
      <c r="B2069" s="5" t="s">
        <v>34</v>
      </c>
      <c r="D2069" s="5" t="s">
        <v>1206</v>
      </c>
      <c r="E2069" s="5" t="s">
        <v>15725</v>
      </c>
      <c r="F2069" s="5" t="s">
        <v>524</v>
      </c>
      <c r="G2069" s="5" t="s">
        <v>15726</v>
      </c>
      <c r="H2069" s="6" t="s">
        <v>15727</v>
      </c>
      <c r="I2069" s="7" t="s">
        <v>15728</v>
      </c>
      <c r="J2069" s="8" t="str">
        <f>HYPERLINK("https://drive.google.com/file/d/1731jla51oPbHt-kULTcT3uYCJRB15K57/view?usp=drivesdk","NURSRIANI SERTIFIKAT BerAKHLAK")</f>
        <v>NURSRIANI SERTIFIKAT BerAKHLAK</v>
      </c>
      <c r="K2069" s="5" t="s">
        <v>14093</v>
      </c>
      <c r="L2069" s="5" t="s">
        <v>15729</v>
      </c>
    </row>
    <row r="2070">
      <c r="A2070" s="4">
        <v>45534.338634687505</v>
      </c>
      <c r="B2070" s="5" t="s">
        <v>34</v>
      </c>
      <c r="D2070" s="5" t="s">
        <v>9020</v>
      </c>
      <c r="E2070" s="5" t="s">
        <v>15732</v>
      </c>
      <c r="F2070" s="5" t="s">
        <v>37</v>
      </c>
      <c r="G2070" s="5" t="s">
        <v>15733</v>
      </c>
      <c r="H2070" s="6" t="s">
        <v>15734</v>
      </c>
      <c r="I2070" s="7" t="s">
        <v>15735</v>
      </c>
      <c r="J2070" s="8" t="str">
        <f>HYPERLINK("https://drive.google.com/file/d/1sCKz0txvb1ZrWajbeev6KCgf0te5TD_q/view?usp=drivesdk","NURMALINDA SIAGIAN SERTIFIKAT BerAKHLAK")</f>
        <v>NURMALINDA SIAGIAN SERTIFIKAT BerAKHLAK</v>
      </c>
      <c r="K2070" s="5" t="s">
        <v>14093</v>
      </c>
      <c r="L2070" s="5" t="s">
        <v>15736</v>
      </c>
    </row>
    <row r="2071">
      <c r="A2071" s="4">
        <v>45534.338637141205</v>
      </c>
      <c r="B2071" s="5" t="s">
        <v>34</v>
      </c>
      <c r="D2071" s="5" t="s">
        <v>35</v>
      </c>
      <c r="E2071" s="5" t="s">
        <v>15739</v>
      </c>
      <c r="F2071" s="5" t="s">
        <v>212</v>
      </c>
      <c r="G2071" s="5" t="s">
        <v>15740</v>
      </c>
      <c r="H2071" s="6" t="s">
        <v>15741</v>
      </c>
      <c r="I2071" s="7" t="s">
        <v>15742</v>
      </c>
      <c r="J2071" s="8" t="str">
        <f>HYPERLINK("https://drive.google.com/file/d/1QhaiAqFPUXvQGvu9K2QvrqWxBO2tkhDF/view?usp=drivesdk","ADE KUSNADI SERTIFIKAT BerAKHLAK")</f>
        <v>ADE KUSNADI SERTIFIKAT BerAKHLAK</v>
      </c>
      <c r="K2071" s="5" t="s">
        <v>14116</v>
      </c>
      <c r="L2071" s="5" t="s">
        <v>15743</v>
      </c>
    </row>
    <row r="2072">
      <c r="A2072" s="4">
        <v>45534.338647488425</v>
      </c>
      <c r="B2072" s="5" t="s">
        <v>34</v>
      </c>
      <c r="D2072" s="5" t="s">
        <v>12010</v>
      </c>
      <c r="E2072" s="5" t="s">
        <v>15746</v>
      </c>
      <c r="F2072" s="5" t="s">
        <v>524</v>
      </c>
      <c r="G2072" s="5" t="s">
        <v>15747</v>
      </c>
      <c r="H2072" s="6" t="s">
        <v>15748</v>
      </c>
      <c r="I2072" s="7" t="s">
        <v>15749</v>
      </c>
      <c r="J2072" s="8" t="str">
        <f>HYPERLINK("https://drive.google.com/file/d/16Ppem68b0OylfPMWzpFaEBAv2J9p5Dpr/view?usp=drivesdk","MUCHLIS SAPALI, S.E SERTIFIKAT BerAKHLAK")</f>
        <v>MUCHLIS SAPALI, S.E SERTIFIKAT BerAKHLAK</v>
      </c>
      <c r="K2072" s="5" t="s">
        <v>14093</v>
      </c>
      <c r="L2072" s="5" t="s">
        <v>15750</v>
      </c>
    </row>
    <row r="2073">
      <c r="A2073" s="4">
        <v>45534.33865525463</v>
      </c>
      <c r="B2073" s="5" t="s">
        <v>34</v>
      </c>
      <c r="D2073" s="5" t="s">
        <v>4775</v>
      </c>
      <c r="E2073" s="5" t="s">
        <v>15753</v>
      </c>
      <c r="F2073" s="5" t="s">
        <v>524</v>
      </c>
      <c r="G2073" s="5" t="s">
        <v>15754</v>
      </c>
      <c r="H2073" s="6" t="s">
        <v>15755</v>
      </c>
      <c r="I2073" s="7" t="s">
        <v>15756</v>
      </c>
      <c r="J2073" s="8" t="str">
        <f>HYPERLINK("https://drive.google.com/file/d/1k5mU_vtXXp4RyZFwqWNQzRKL0pKjoa6B/view?usp=drivesdk","SRI HARYANTO SERTIFIKAT BerAKHLAK")</f>
        <v>SRI HARYANTO SERTIFIKAT BerAKHLAK</v>
      </c>
      <c r="K2073" s="5" t="s">
        <v>14093</v>
      </c>
      <c r="L2073" s="5" t="s">
        <v>15757</v>
      </c>
    </row>
    <row r="2074">
      <c r="A2074" s="4">
        <v>45534.338656527776</v>
      </c>
      <c r="B2074" s="5" t="s">
        <v>34</v>
      </c>
      <c r="D2074" s="5" t="s">
        <v>701</v>
      </c>
      <c r="E2074" s="5" t="s">
        <v>15761</v>
      </c>
      <c r="F2074" s="5" t="s">
        <v>37</v>
      </c>
      <c r="G2074" s="5" t="s">
        <v>15762</v>
      </c>
      <c r="H2074" s="6" t="s">
        <v>15763</v>
      </c>
      <c r="I2074" s="7" t="s">
        <v>15764</v>
      </c>
      <c r="J2074" s="8" t="str">
        <f>HYPERLINK("https://drive.google.com/file/d/1yNrdpt7u1SvalSAXDN2Wu6s3PKc0T9A-/view?usp=drivesdk","ELA SUMARNI SERTIFIKAT BerAKHLAK")</f>
        <v>ELA SUMARNI SERTIFIKAT BerAKHLAK</v>
      </c>
      <c r="K2074" s="5" t="s">
        <v>14093</v>
      </c>
      <c r="L2074" s="5" t="s">
        <v>15765</v>
      </c>
    </row>
    <row r="2075">
      <c r="A2075" s="4">
        <v>45534.338658657405</v>
      </c>
      <c r="B2075" s="5" t="s">
        <v>34</v>
      </c>
      <c r="D2075" s="5" t="s">
        <v>6232</v>
      </c>
      <c r="E2075" s="5" t="s">
        <v>15768</v>
      </c>
      <c r="F2075" s="5" t="s">
        <v>212</v>
      </c>
      <c r="G2075" s="5" t="s">
        <v>15769</v>
      </c>
      <c r="H2075" s="6" t="s">
        <v>15770</v>
      </c>
      <c r="I2075" s="7" t="s">
        <v>15771</v>
      </c>
      <c r="J2075" s="8" t="str">
        <f>HYPERLINK("https://drive.google.com/file/d/1cziMiP-oOFD4bIrOMy9BatAgLbXVkmBF/view?usp=drivesdk","NESTRI NIDA, A.MD SERTIFIKAT BerAKHLAK")</f>
        <v>NESTRI NIDA, A.MD SERTIFIKAT BerAKHLAK</v>
      </c>
      <c r="K2075" s="5" t="s">
        <v>14116</v>
      </c>
      <c r="L2075" s="5" t="s">
        <v>15772</v>
      </c>
    </row>
    <row r="2076">
      <c r="A2076" s="4">
        <v>45534.33866472222</v>
      </c>
      <c r="B2076" s="5" t="s">
        <v>34</v>
      </c>
      <c r="D2076" s="5" t="s">
        <v>2903</v>
      </c>
      <c r="E2076" s="5" t="s">
        <v>15775</v>
      </c>
      <c r="F2076" s="5" t="s">
        <v>524</v>
      </c>
      <c r="G2076" s="5" t="s">
        <v>15776</v>
      </c>
      <c r="H2076" s="6" t="s">
        <v>15777</v>
      </c>
      <c r="I2076" s="7" t="s">
        <v>15778</v>
      </c>
      <c r="J2076" s="8" t="str">
        <f>HYPERLINK("https://drive.google.com/file/d/1C2zWqhS_Yr16RS4JEXhUXiYop5w3ywKP/view?usp=drivesdk","ERIKA.Amd.Farm SERTIFIKAT BerAKHLAK")</f>
        <v>ERIKA.Amd.Farm SERTIFIKAT BerAKHLAK</v>
      </c>
      <c r="K2076" s="5" t="s">
        <v>14116</v>
      </c>
      <c r="L2076" s="5" t="s">
        <v>15779</v>
      </c>
    </row>
    <row r="2077">
      <c r="A2077" s="4">
        <v>45534.33866861111</v>
      </c>
      <c r="B2077" s="5" t="s">
        <v>34</v>
      </c>
      <c r="D2077" s="5" t="s">
        <v>2903</v>
      </c>
      <c r="E2077" s="5" t="s">
        <v>15782</v>
      </c>
      <c r="F2077" s="5" t="s">
        <v>212</v>
      </c>
      <c r="G2077" s="5" t="s">
        <v>15783</v>
      </c>
      <c r="H2077" s="6" t="s">
        <v>15784</v>
      </c>
      <c r="I2077" s="7" t="s">
        <v>15785</v>
      </c>
      <c r="J2077" s="8" t="str">
        <f>HYPERLINK("https://drive.google.com/file/d/1xL5uIz8Q4TJJL-N95ch8kOB9nP_lGJP2/view?usp=drivesdk","ZAUYAH SERTIFIKAT BerAKHLAK")</f>
        <v>ZAUYAH SERTIFIKAT BerAKHLAK</v>
      </c>
      <c r="K2077" s="5" t="s">
        <v>14116</v>
      </c>
      <c r="L2077" s="5" t="s">
        <v>15786</v>
      </c>
    </row>
    <row r="2078">
      <c r="A2078" s="4">
        <v>45534.33867121528</v>
      </c>
      <c r="B2078" s="5" t="s">
        <v>19</v>
      </c>
      <c r="C2078" s="5" t="s">
        <v>5058</v>
      </c>
      <c r="E2078" s="5" t="s">
        <v>15789</v>
      </c>
      <c r="F2078" s="5" t="s">
        <v>108</v>
      </c>
      <c r="G2078" s="5" t="s">
        <v>15790</v>
      </c>
      <c r="H2078" s="6" t="s">
        <v>15791</v>
      </c>
      <c r="I2078" s="7" t="s">
        <v>15792</v>
      </c>
      <c r="J2078" s="8" t="str">
        <f>HYPERLINK("https://drive.google.com/file/d/1dTH-srSayfLWwTzQEF-MBhNLHWihOv4H/view?usp=drivesdk","MINDAESIH SERTIFIKAT BerAKHLAK")</f>
        <v>MINDAESIH SERTIFIKAT BerAKHLAK</v>
      </c>
      <c r="K2078" s="5" t="s">
        <v>14913</v>
      </c>
      <c r="L2078" s="5" t="s">
        <v>15793</v>
      </c>
    </row>
    <row r="2079">
      <c r="A2079" s="4">
        <v>45534.33867527777</v>
      </c>
      <c r="B2079" s="5" t="s">
        <v>34</v>
      </c>
      <c r="D2079" s="5" t="s">
        <v>6232</v>
      </c>
      <c r="E2079" s="5" t="s">
        <v>15796</v>
      </c>
      <c r="F2079" s="5" t="s">
        <v>37</v>
      </c>
      <c r="G2079" s="5" t="s">
        <v>15797</v>
      </c>
      <c r="H2079" s="6" t="s">
        <v>15798</v>
      </c>
      <c r="I2079" s="7" t="s">
        <v>15799</v>
      </c>
      <c r="J2079" s="8" t="str">
        <f>HYPERLINK("https://drive.google.com/file/d/1r6HaBEpRj8u0Q8HxkVank_Ax27-BEpXx/view?usp=drivesdk","R SASMITA EFENDI SERTIFIKAT BerAKHLAK")</f>
        <v>R SASMITA EFENDI SERTIFIKAT BerAKHLAK</v>
      </c>
      <c r="K2079" s="5" t="s">
        <v>14913</v>
      </c>
      <c r="L2079" s="5" t="s">
        <v>15800</v>
      </c>
    </row>
    <row r="2080">
      <c r="A2080" s="4">
        <v>45534.338686828705</v>
      </c>
      <c r="B2080" s="5" t="s">
        <v>34</v>
      </c>
      <c r="D2080" s="5" t="s">
        <v>1206</v>
      </c>
      <c r="E2080" s="5" t="s">
        <v>15804</v>
      </c>
      <c r="F2080" s="5" t="s">
        <v>199</v>
      </c>
      <c r="G2080" s="5" t="s">
        <v>15805</v>
      </c>
      <c r="H2080" s="6" t="s">
        <v>15806</v>
      </c>
      <c r="K2080" s="5" t="s">
        <v>15807</v>
      </c>
    </row>
    <row r="2081">
      <c r="A2081" s="4">
        <v>45534.338697071755</v>
      </c>
      <c r="B2081" s="5" t="s">
        <v>34</v>
      </c>
      <c r="D2081" s="5" t="s">
        <v>35</v>
      </c>
      <c r="E2081" s="5" t="s">
        <v>15810</v>
      </c>
      <c r="F2081" s="5" t="s">
        <v>328</v>
      </c>
      <c r="G2081" s="5" t="s">
        <v>15811</v>
      </c>
      <c r="H2081" s="6" t="s">
        <v>15812</v>
      </c>
      <c r="K2081" s="5" t="s">
        <v>15807</v>
      </c>
    </row>
    <row r="2082">
      <c r="A2082" s="4">
        <v>45534.33869896991</v>
      </c>
      <c r="B2082" s="5" t="s">
        <v>19</v>
      </c>
      <c r="C2082" s="5" t="s">
        <v>3301</v>
      </c>
      <c r="E2082" s="5" t="s">
        <v>15815</v>
      </c>
      <c r="F2082" s="5" t="s">
        <v>37</v>
      </c>
      <c r="G2082" s="5" t="s">
        <v>15816</v>
      </c>
      <c r="H2082" s="6" t="s">
        <v>15817</v>
      </c>
      <c r="K2082" s="5" t="s">
        <v>15807</v>
      </c>
    </row>
    <row r="2083">
      <c r="A2083" s="4">
        <v>45534.33869942129</v>
      </c>
      <c r="B2083" s="5" t="s">
        <v>34</v>
      </c>
      <c r="D2083" s="5" t="s">
        <v>4775</v>
      </c>
      <c r="E2083" s="5" t="s">
        <v>15820</v>
      </c>
      <c r="F2083" s="5" t="s">
        <v>37</v>
      </c>
      <c r="G2083" s="5" t="s">
        <v>15821</v>
      </c>
      <c r="H2083" s="6" t="s">
        <v>15822</v>
      </c>
      <c r="K2083" s="5" t="s">
        <v>15807</v>
      </c>
    </row>
    <row r="2084">
      <c r="A2084" s="4">
        <v>45534.33870018518</v>
      </c>
      <c r="B2084" s="5" t="s">
        <v>34</v>
      </c>
      <c r="D2084" s="5" t="s">
        <v>1206</v>
      </c>
      <c r="E2084" s="5" t="s">
        <v>15825</v>
      </c>
      <c r="F2084" s="5" t="s">
        <v>375</v>
      </c>
      <c r="G2084" s="5" t="s">
        <v>15826</v>
      </c>
      <c r="H2084" s="6" t="s">
        <v>15827</v>
      </c>
      <c r="K2084" s="5" t="s">
        <v>15807</v>
      </c>
    </row>
    <row r="2085">
      <c r="A2085" s="4">
        <v>45534.338703587964</v>
      </c>
      <c r="B2085" s="5" t="s">
        <v>34</v>
      </c>
      <c r="D2085" s="5" t="s">
        <v>35</v>
      </c>
      <c r="E2085" s="5" t="s">
        <v>15831</v>
      </c>
      <c r="F2085" s="5" t="s">
        <v>108</v>
      </c>
      <c r="G2085" s="5" t="s">
        <v>15832</v>
      </c>
      <c r="H2085" s="6" t="s">
        <v>15833</v>
      </c>
      <c r="K2085" s="5" t="s">
        <v>15807</v>
      </c>
    </row>
    <row r="2086">
      <c r="A2086" s="4">
        <v>45534.33871149305</v>
      </c>
      <c r="B2086" s="5" t="s">
        <v>34</v>
      </c>
      <c r="D2086" s="5" t="s">
        <v>12010</v>
      </c>
      <c r="E2086" s="5" t="s">
        <v>15836</v>
      </c>
      <c r="F2086" s="5" t="s">
        <v>37</v>
      </c>
      <c r="G2086" s="5" t="s">
        <v>15837</v>
      </c>
      <c r="H2086" s="6" t="s">
        <v>15838</v>
      </c>
      <c r="K2086" s="5" t="s">
        <v>15807</v>
      </c>
    </row>
    <row r="2087">
      <c r="A2087" s="4">
        <v>45534.33871116898</v>
      </c>
      <c r="B2087" s="5" t="s">
        <v>19</v>
      </c>
      <c r="C2087" s="5" t="s">
        <v>3301</v>
      </c>
      <c r="E2087" s="5" t="s">
        <v>15841</v>
      </c>
      <c r="F2087" s="5" t="s">
        <v>37</v>
      </c>
      <c r="G2087" s="5" t="s">
        <v>15842</v>
      </c>
      <c r="H2087" s="6" t="s">
        <v>15843</v>
      </c>
      <c r="K2087" s="5" t="s">
        <v>15807</v>
      </c>
    </row>
    <row r="2088">
      <c r="A2088" s="4">
        <v>45534.338713425925</v>
      </c>
      <c r="B2088" s="5" t="s">
        <v>34</v>
      </c>
      <c r="D2088" s="5" t="s">
        <v>35</v>
      </c>
      <c r="E2088" s="5" t="s">
        <v>15846</v>
      </c>
      <c r="F2088" s="5" t="s">
        <v>375</v>
      </c>
      <c r="G2088" s="5" t="s">
        <v>15847</v>
      </c>
      <c r="H2088" s="6" t="s">
        <v>15848</v>
      </c>
      <c r="K2088" s="5" t="s">
        <v>15807</v>
      </c>
    </row>
    <row r="2089">
      <c r="A2089" s="4">
        <v>45534.33871484954</v>
      </c>
      <c r="B2089" s="5" t="s">
        <v>34</v>
      </c>
      <c r="D2089" s="5" t="s">
        <v>1206</v>
      </c>
      <c r="E2089" s="5" t="s">
        <v>15851</v>
      </c>
      <c r="F2089" s="5" t="s">
        <v>37</v>
      </c>
      <c r="G2089" s="5" t="s">
        <v>15852</v>
      </c>
      <c r="H2089" s="6" t="s">
        <v>15853</v>
      </c>
      <c r="K2089" s="5" t="s">
        <v>15807</v>
      </c>
    </row>
    <row r="2090">
      <c r="A2090" s="4">
        <v>45534.33871744213</v>
      </c>
      <c r="B2090" s="5" t="s">
        <v>34</v>
      </c>
      <c r="D2090" s="5" t="s">
        <v>280</v>
      </c>
      <c r="E2090" s="5" t="s">
        <v>15857</v>
      </c>
      <c r="F2090" s="5" t="s">
        <v>37</v>
      </c>
      <c r="G2090" s="5" t="s">
        <v>15858</v>
      </c>
      <c r="H2090" s="6" t="s">
        <v>15859</v>
      </c>
      <c r="K2090" s="5" t="s">
        <v>15807</v>
      </c>
    </row>
    <row r="2091">
      <c r="A2091" s="4">
        <v>45534.33873560185</v>
      </c>
      <c r="B2091" s="5" t="s">
        <v>34</v>
      </c>
      <c r="D2091" s="5" t="s">
        <v>35</v>
      </c>
      <c r="E2091" s="5" t="s">
        <v>15862</v>
      </c>
      <c r="F2091" s="5" t="s">
        <v>524</v>
      </c>
      <c r="G2091" s="5" t="s">
        <v>15863</v>
      </c>
      <c r="H2091" s="6" t="s">
        <v>15864</v>
      </c>
      <c r="K2091" s="5" t="s">
        <v>15807</v>
      </c>
    </row>
    <row r="2092">
      <c r="A2092" s="4">
        <v>45534.338739328705</v>
      </c>
      <c r="B2092" s="5" t="s">
        <v>34</v>
      </c>
      <c r="D2092" s="5" t="s">
        <v>35</v>
      </c>
      <c r="E2092" s="5" t="s">
        <v>15867</v>
      </c>
      <c r="F2092" s="5" t="s">
        <v>212</v>
      </c>
      <c r="G2092" s="5" t="s">
        <v>15868</v>
      </c>
      <c r="H2092" s="6" t="s">
        <v>15869</v>
      </c>
      <c r="K2092" s="5" t="s">
        <v>15807</v>
      </c>
    </row>
    <row r="2093">
      <c r="A2093" s="4">
        <v>45534.33874516204</v>
      </c>
      <c r="B2093" s="5" t="s">
        <v>34</v>
      </c>
      <c r="D2093" s="5" t="s">
        <v>35</v>
      </c>
      <c r="E2093" s="5" t="s">
        <v>15872</v>
      </c>
      <c r="F2093" s="5" t="s">
        <v>37</v>
      </c>
      <c r="G2093" s="5" t="s">
        <v>15873</v>
      </c>
      <c r="H2093" s="6" t="s">
        <v>15874</v>
      </c>
      <c r="K2093" s="5" t="s">
        <v>15807</v>
      </c>
    </row>
    <row r="2094">
      <c r="A2094" s="4">
        <v>45534.338760810184</v>
      </c>
      <c r="B2094" s="5" t="s">
        <v>34</v>
      </c>
      <c r="D2094" s="5" t="s">
        <v>4775</v>
      </c>
      <c r="E2094" s="5" t="s">
        <v>15877</v>
      </c>
      <c r="F2094" s="5" t="s">
        <v>37</v>
      </c>
      <c r="G2094" s="5" t="s">
        <v>15878</v>
      </c>
      <c r="H2094" s="6" t="s">
        <v>15879</v>
      </c>
      <c r="K2094" s="5" t="s">
        <v>15807</v>
      </c>
    </row>
    <row r="2095">
      <c r="A2095" s="4">
        <v>45534.33876982639</v>
      </c>
      <c r="B2095" s="5" t="s">
        <v>34</v>
      </c>
      <c r="D2095" s="5" t="s">
        <v>4775</v>
      </c>
      <c r="E2095" s="5" t="s">
        <v>15882</v>
      </c>
      <c r="F2095" s="5" t="s">
        <v>37</v>
      </c>
      <c r="G2095" s="5" t="s">
        <v>15883</v>
      </c>
      <c r="H2095" s="6" t="s">
        <v>15884</v>
      </c>
      <c r="K2095" s="5" t="s">
        <v>15807</v>
      </c>
    </row>
    <row r="2096">
      <c r="A2096" s="4">
        <v>45534.33877633102</v>
      </c>
      <c r="B2096" s="5" t="s">
        <v>34</v>
      </c>
      <c r="D2096" s="5" t="s">
        <v>1206</v>
      </c>
      <c r="E2096" s="5" t="s">
        <v>15888</v>
      </c>
      <c r="F2096" s="5" t="s">
        <v>37</v>
      </c>
      <c r="G2096" s="5" t="s">
        <v>15889</v>
      </c>
      <c r="H2096" s="6" t="s">
        <v>15890</v>
      </c>
      <c r="I2096" s="7" t="s">
        <v>15891</v>
      </c>
      <c r="J2096" s="8" t="str">
        <f>HYPERLINK("https://drive.google.com/file/d/1UmjlSQA5JwPiC8L51hg0prWxmzBnt-so/view?usp=drivesdk","WASIKIN SERTIFIKAT BerAKHLAK")</f>
        <v>WASIKIN SERTIFIKAT BerAKHLAK</v>
      </c>
      <c r="K2096" s="5" t="s">
        <v>14093</v>
      </c>
      <c r="L2096" s="5" t="s">
        <v>15892</v>
      </c>
    </row>
    <row r="2097">
      <c r="A2097" s="4">
        <v>45534.338796944445</v>
      </c>
      <c r="B2097" s="5" t="s">
        <v>34</v>
      </c>
      <c r="D2097" s="5" t="s">
        <v>4775</v>
      </c>
      <c r="E2097" s="5" t="s">
        <v>15895</v>
      </c>
      <c r="F2097" s="5" t="s">
        <v>37</v>
      </c>
      <c r="G2097" s="5" t="s">
        <v>15896</v>
      </c>
      <c r="H2097" s="6" t="s">
        <v>15897</v>
      </c>
      <c r="I2097" s="7" t="s">
        <v>15898</v>
      </c>
      <c r="J2097" s="8" t="str">
        <f>HYPERLINK("https://drive.google.com/file/d/1eU2DNTyXnR84Yd3LnlzdN0FXfTS74-s_/view?usp=drivesdk","PUJO SUSILO SERTIFIKAT BerAKHLAK")</f>
        <v>PUJO SUSILO SERTIFIKAT BerAKHLAK</v>
      </c>
      <c r="K2097" s="5" t="s">
        <v>14093</v>
      </c>
      <c r="L2097" s="5" t="s">
        <v>15899</v>
      </c>
    </row>
    <row r="2098">
      <c r="A2098" s="4">
        <v>45534.338802303246</v>
      </c>
      <c r="B2098" s="5" t="s">
        <v>34</v>
      </c>
      <c r="D2098" s="5" t="s">
        <v>1206</v>
      </c>
      <c r="E2098" s="5" t="s">
        <v>15902</v>
      </c>
      <c r="F2098" s="5" t="s">
        <v>375</v>
      </c>
      <c r="G2098" s="5" t="s">
        <v>15903</v>
      </c>
      <c r="H2098" s="6" t="s">
        <v>15904</v>
      </c>
      <c r="I2098" s="7" t="s">
        <v>15905</v>
      </c>
      <c r="J2098" s="8" t="str">
        <f>HYPERLINK("https://drive.google.com/file/d/1qMKIN7kFnXiu5zf62B1TKdwUpWmyCSgV/view?usp=drivesdk","INDRI HASTUTI SE SERTIFIKAT BerAKHLAK")</f>
        <v>INDRI HASTUTI SE SERTIFIKAT BerAKHLAK</v>
      </c>
      <c r="K2098" s="5" t="s">
        <v>14093</v>
      </c>
      <c r="L2098" s="5" t="s">
        <v>15906</v>
      </c>
    </row>
    <row r="2099">
      <c r="A2099" s="4">
        <v>45534.33880311342</v>
      </c>
      <c r="B2099" s="5" t="s">
        <v>34</v>
      </c>
      <c r="D2099" s="5" t="s">
        <v>9020</v>
      </c>
      <c r="E2099" s="5" t="s">
        <v>15909</v>
      </c>
      <c r="F2099" s="5" t="s">
        <v>37</v>
      </c>
      <c r="G2099" s="5" t="s">
        <v>15910</v>
      </c>
      <c r="H2099" s="6" t="s">
        <v>15911</v>
      </c>
      <c r="I2099" s="7" t="s">
        <v>15912</v>
      </c>
      <c r="J2099" s="8" t="str">
        <f>HYPERLINK("https://drive.google.com/file/d/1BryUD8TV4fKXoznx4WBP6_2d0sa8csj0/view?usp=drivesdk","BENNY FERYANTO SERTIFIKAT BerAKHLAK")</f>
        <v>BENNY FERYANTO SERTIFIKAT BerAKHLAK</v>
      </c>
      <c r="K2099" s="5" t="s">
        <v>14116</v>
      </c>
      <c r="L2099" s="5" t="s">
        <v>15913</v>
      </c>
    </row>
    <row r="2100">
      <c r="A2100" s="4">
        <v>45534.33881270833</v>
      </c>
      <c r="B2100" s="5" t="s">
        <v>34</v>
      </c>
      <c r="D2100" s="5" t="s">
        <v>4775</v>
      </c>
      <c r="E2100" s="5" t="s">
        <v>15916</v>
      </c>
      <c r="F2100" s="5" t="s">
        <v>375</v>
      </c>
      <c r="G2100" s="5" t="s">
        <v>15917</v>
      </c>
      <c r="H2100" s="6" t="s">
        <v>15918</v>
      </c>
      <c r="I2100" s="7" t="s">
        <v>15919</v>
      </c>
      <c r="J2100" s="8" t="str">
        <f>HYPERLINK("https://drive.google.com/file/d/1nca90YEJLcBxvbFB-ALKmiS7efFDAng2/view?usp=drivesdk","HERMAN WAHYONO  SERTIFIKAT BerAKHLAK")</f>
        <v>HERMAN WAHYONO  SERTIFIKAT BerAKHLAK</v>
      </c>
      <c r="K2100" s="5" t="s">
        <v>14116</v>
      </c>
      <c r="L2100" s="5" t="s">
        <v>15920</v>
      </c>
    </row>
    <row r="2101">
      <c r="A2101" s="4">
        <v>45534.33881378472</v>
      </c>
      <c r="B2101" s="5" t="s">
        <v>34</v>
      </c>
      <c r="D2101" s="5" t="s">
        <v>10444</v>
      </c>
      <c r="E2101" s="5" t="s">
        <v>15923</v>
      </c>
      <c r="F2101" s="5" t="s">
        <v>37</v>
      </c>
      <c r="G2101" s="5" t="s">
        <v>15924</v>
      </c>
      <c r="H2101" s="6" t="s">
        <v>15925</v>
      </c>
      <c r="I2101" s="7" t="s">
        <v>15926</v>
      </c>
      <c r="J2101" s="8" t="str">
        <f>HYPERLINK("https://drive.google.com/file/d/10rcERrfxcmVw8nJlHtgf1laLxrXc9Ehk/view?usp=drivesdk","AVILA HENNY KUNCORO, A.MD KEB SERTIFIKAT BerAKHLAK")</f>
        <v>AVILA HENNY KUNCORO, A.MD KEB SERTIFIKAT BerAKHLAK</v>
      </c>
      <c r="K2101" s="5" t="s">
        <v>14116</v>
      </c>
      <c r="L2101" s="5" t="s">
        <v>15927</v>
      </c>
    </row>
    <row r="2102">
      <c r="A2102" s="4">
        <v>45534.33881449074</v>
      </c>
      <c r="B2102" s="5" t="s">
        <v>34</v>
      </c>
      <c r="D2102" s="5" t="s">
        <v>14313</v>
      </c>
      <c r="E2102" s="5" t="s">
        <v>15931</v>
      </c>
      <c r="F2102" s="5" t="s">
        <v>715</v>
      </c>
      <c r="G2102" s="5" t="s">
        <v>15932</v>
      </c>
      <c r="H2102" s="6" t="s">
        <v>15933</v>
      </c>
      <c r="I2102" s="7" t="s">
        <v>15934</v>
      </c>
      <c r="J2102" s="8" t="str">
        <f>HYPERLINK("https://drive.google.com/file/d/16BFraqTwTG7_QhT-yZH8grTZ8QK2o6Ap/view?usp=drivesdk","SUHARTI SERTIFIKAT BerAKHLAK")</f>
        <v>SUHARTI SERTIFIKAT BerAKHLAK</v>
      </c>
      <c r="K2102" s="5" t="s">
        <v>14913</v>
      </c>
      <c r="L2102" s="5" t="s">
        <v>15935</v>
      </c>
    </row>
    <row r="2103">
      <c r="A2103" s="4">
        <v>45534.3388178125</v>
      </c>
      <c r="B2103" s="5" t="s">
        <v>34</v>
      </c>
      <c r="D2103" s="5" t="s">
        <v>267</v>
      </c>
      <c r="E2103" s="5" t="s">
        <v>15938</v>
      </c>
      <c r="F2103" s="5" t="s">
        <v>108</v>
      </c>
      <c r="G2103" s="5" t="s">
        <v>15939</v>
      </c>
      <c r="H2103" s="6" t="s">
        <v>15940</v>
      </c>
      <c r="I2103" s="7" t="s">
        <v>15941</v>
      </c>
      <c r="J2103" s="8" t="str">
        <f>HYPERLINK("https://drive.google.com/file/d/1wHF_csqmgMBUt_8dn3kPeCOyFqj_1iIo/view?usp=drivesdk","WARSIYAH, A.Md., S.Ak. SERTIFIKAT BerAKHLAK")</f>
        <v>WARSIYAH, A.Md., S.Ak. SERTIFIKAT BerAKHLAK</v>
      </c>
      <c r="K2103" s="5" t="s">
        <v>14913</v>
      </c>
      <c r="L2103" s="5" t="s">
        <v>15942</v>
      </c>
    </row>
    <row r="2104">
      <c r="A2104" s="4">
        <v>45534.338820902776</v>
      </c>
      <c r="B2104" s="5" t="s">
        <v>34</v>
      </c>
      <c r="D2104" s="5" t="s">
        <v>3849</v>
      </c>
      <c r="E2104" s="5" t="s">
        <v>15945</v>
      </c>
      <c r="F2104" s="5" t="s">
        <v>37</v>
      </c>
      <c r="G2104" s="5" t="s">
        <v>15946</v>
      </c>
      <c r="H2104" s="6" t="s">
        <v>15947</v>
      </c>
      <c r="I2104" s="7" t="s">
        <v>15948</v>
      </c>
      <c r="J2104" s="8" t="str">
        <f>HYPERLINK("https://drive.google.com/file/d/1KO79wvootnn7mX0IEoTXeXZZnd5CsO0x/view?usp=drivesdk","MOH YASIN SERTIFIKAT BerAKHLAK")</f>
        <v>MOH YASIN SERTIFIKAT BerAKHLAK</v>
      </c>
      <c r="K2104" s="5" t="s">
        <v>14913</v>
      </c>
      <c r="L2104" s="5" t="s">
        <v>15949</v>
      </c>
    </row>
    <row r="2105">
      <c r="A2105" s="4">
        <v>45534.33882215278</v>
      </c>
      <c r="B2105" s="5" t="s">
        <v>34</v>
      </c>
      <c r="D2105" s="5" t="s">
        <v>580</v>
      </c>
      <c r="E2105" s="5" t="s">
        <v>15952</v>
      </c>
      <c r="F2105" s="5" t="s">
        <v>715</v>
      </c>
      <c r="G2105" s="5" t="s">
        <v>15953</v>
      </c>
      <c r="H2105" s="6" t="s">
        <v>15954</v>
      </c>
      <c r="K2105" s="5" t="s">
        <v>15955</v>
      </c>
    </row>
    <row r="2106">
      <c r="A2106" s="4">
        <v>45534.33882405092</v>
      </c>
      <c r="B2106" s="5" t="s">
        <v>34</v>
      </c>
      <c r="D2106" s="5" t="s">
        <v>35</v>
      </c>
      <c r="E2106" s="5" t="s">
        <v>15958</v>
      </c>
      <c r="F2106" s="5" t="s">
        <v>212</v>
      </c>
      <c r="G2106" s="5" t="s">
        <v>15959</v>
      </c>
      <c r="H2106" s="6" t="s">
        <v>15960</v>
      </c>
      <c r="K2106" s="5" t="s">
        <v>15955</v>
      </c>
    </row>
    <row r="2107">
      <c r="A2107" s="4">
        <v>45534.33882851852</v>
      </c>
      <c r="B2107" s="5" t="s">
        <v>34</v>
      </c>
      <c r="D2107" s="5" t="s">
        <v>1206</v>
      </c>
      <c r="E2107" s="5" t="s">
        <v>15964</v>
      </c>
      <c r="F2107" s="5" t="s">
        <v>37</v>
      </c>
      <c r="G2107" s="5" t="s">
        <v>15965</v>
      </c>
      <c r="H2107" s="6" t="s">
        <v>15966</v>
      </c>
      <c r="K2107" s="5" t="s">
        <v>15955</v>
      </c>
    </row>
    <row r="2108">
      <c r="A2108" s="4">
        <v>45534.33883266203</v>
      </c>
      <c r="B2108" s="5" t="s">
        <v>34</v>
      </c>
      <c r="D2108" s="5" t="s">
        <v>522</v>
      </c>
      <c r="E2108" s="5" t="s">
        <v>15969</v>
      </c>
      <c r="F2108" s="5" t="s">
        <v>212</v>
      </c>
      <c r="G2108" s="5" t="s">
        <v>15970</v>
      </c>
      <c r="H2108" s="6" t="s">
        <v>15971</v>
      </c>
      <c r="K2108" s="5" t="s">
        <v>15955</v>
      </c>
    </row>
    <row r="2109">
      <c r="A2109" s="4">
        <v>45534.33883368055</v>
      </c>
      <c r="B2109" s="5" t="s">
        <v>34</v>
      </c>
      <c r="D2109" s="5" t="s">
        <v>7858</v>
      </c>
      <c r="E2109" s="5" t="s">
        <v>15974</v>
      </c>
      <c r="F2109" s="5" t="s">
        <v>5566</v>
      </c>
      <c r="G2109" s="5" t="s">
        <v>15975</v>
      </c>
      <c r="H2109" s="6" t="s">
        <v>15976</v>
      </c>
      <c r="K2109" s="5" t="s">
        <v>15955</v>
      </c>
    </row>
    <row r="2110">
      <c r="A2110" s="4">
        <v>45534.33883443287</v>
      </c>
      <c r="B2110" s="5" t="s">
        <v>34</v>
      </c>
      <c r="D2110" s="5" t="s">
        <v>1206</v>
      </c>
      <c r="E2110" s="5" t="s">
        <v>15979</v>
      </c>
      <c r="F2110" s="5" t="s">
        <v>212</v>
      </c>
      <c r="G2110" s="5" t="s">
        <v>15980</v>
      </c>
      <c r="H2110" s="6" t="s">
        <v>15981</v>
      </c>
      <c r="K2110" s="5" t="s">
        <v>15955</v>
      </c>
    </row>
    <row r="2111">
      <c r="A2111" s="4">
        <v>45534.3388371412</v>
      </c>
      <c r="B2111" s="5" t="s">
        <v>34</v>
      </c>
      <c r="D2111" s="5" t="s">
        <v>1206</v>
      </c>
      <c r="E2111" s="5" t="s">
        <v>15984</v>
      </c>
      <c r="F2111" s="5" t="s">
        <v>120</v>
      </c>
      <c r="G2111" s="5" t="s">
        <v>15985</v>
      </c>
      <c r="H2111" s="6" t="s">
        <v>15986</v>
      </c>
      <c r="K2111" s="5" t="s">
        <v>15955</v>
      </c>
    </row>
    <row r="2112">
      <c r="A2112" s="4">
        <v>45534.33884859954</v>
      </c>
      <c r="B2112" s="5" t="s">
        <v>34</v>
      </c>
      <c r="D2112" s="5" t="s">
        <v>4775</v>
      </c>
      <c r="E2112" s="5" t="s">
        <v>15989</v>
      </c>
      <c r="F2112" s="5" t="s">
        <v>72</v>
      </c>
      <c r="G2112" s="5" t="s">
        <v>15990</v>
      </c>
      <c r="H2112" s="6" t="s">
        <v>15991</v>
      </c>
      <c r="K2112" s="5" t="s">
        <v>15992</v>
      </c>
    </row>
    <row r="2113">
      <c r="A2113" s="4">
        <v>45534.33885266204</v>
      </c>
      <c r="B2113" s="5" t="s">
        <v>34</v>
      </c>
      <c r="D2113" s="5" t="s">
        <v>4775</v>
      </c>
      <c r="E2113" s="5" t="s">
        <v>15996</v>
      </c>
      <c r="F2113" s="5" t="s">
        <v>212</v>
      </c>
      <c r="G2113" s="5" t="s">
        <v>15997</v>
      </c>
      <c r="H2113" s="6" t="s">
        <v>15998</v>
      </c>
      <c r="K2113" s="5" t="s">
        <v>15992</v>
      </c>
    </row>
    <row r="2114">
      <c r="A2114" s="4">
        <v>45534.33885274305</v>
      </c>
      <c r="B2114" s="5" t="s">
        <v>34</v>
      </c>
      <c r="D2114" s="5" t="s">
        <v>12978</v>
      </c>
      <c r="E2114" s="5" t="s">
        <v>16001</v>
      </c>
      <c r="F2114" s="5" t="s">
        <v>715</v>
      </c>
      <c r="G2114" s="5" t="s">
        <v>16002</v>
      </c>
      <c r="H2114" s="6" t="s">
        <v>16003</v>
      </c>
      <c r="K2114" s="5" t="s">
        <v>14492</v>
      </c>
    </row>
    <row r="2115">
      <c r="A2115" s="4">
        <v>45534.33885435185</v>
      </c>
      <c r="B2115" s="5" t="s">
        <v>34</v>
      </c>
      <c r="D2115" s="5" t="s">
        <v>4775</v>
      </c>
      <c r="E2115" s="5" t="s">
        <v>16006</v>
      </c>
      <c r="F2115" s="5" t="s">
        <v>72</v>
      </c>
      <c r="G2115" s="5" t="s">
        <v>16007</v>
      </c>
      <c r="H2115" s="6" t="s">
        <v>16008</v>
      </c>
      <c r="K2115" s="5" t="s">
        <v>14492</v>
      </c>
    </row>
    <row r="2116">
      <c r="A2116" s="4">
        <v>45534.33885487268</v>
      </c>
      <c r="B2116" s="5" t="s">
        <v>34</v>
      </c>
      <c r="D2116" s="5" t="s">
        <v>996</v>
      </c>
      <c r="E2116" s="5" t="s">
        <v>16011</v>
      </c>
      <c r="F2116" s="5" t="s">
        <v>108</v>
      </c>
      <c r="G2116" s="5" t="s">
        <v>16012</v>
      </c>
      <c r="H2116" s="6" t="s">
        <v>16013</v>
      </c>
      <c r="K2116" s="5" t="s">
        <v>14492</v>
      </c>
    </row>
    <row r="2117">
      <c r="A2117" s="4">
        <v>45534.33885788194</v>
      </c>
      <c r="B2117" s="5" t="s">
        <v>19</v>
      </c>
      <c r="C2117" s="5" t="s">
        <v>5564</v>
      </c>
      <c r="E2117" s="5" t="s">
        <v>16016</v>
      </c>
      <c r="F2117" s="5" t="s">
        <v>524</v>
      </c>
      <c r="G2117" s="5" t="s">
        <v>16017</v>
      </c>
      <c r="H2117" s="6" t="s">
        <v>16018</v>
      </c>
      <c r="K2117" s="5" t="s">
        <v>14492</v>
      </c>
    </row>
    <row r="2118">
      <c r="A2118" s="4">
        <v>45534.33885907407</v>
      </c>
      <c r="B2118" s="5" t="s">
        <v>34</v>
      </c>
      <c r="D2118" s="5" t="s">
        <v>267</v>
      </c>
      <c r="E2118" s="5" t="s">
        <v>16022</v>
      </c>
      <c r="F2118" s="5" t="s">
        <v>72</v>
      </c>
      <c r="G2118" s="5" t="s">
        <v>16023</v>
      </c>
      <c r="H2118" s="6" t="s">
        <v>16024</v>
      </c>
      <c r="K2118" s="5" t="s">
        <v>14492</v>
      </c>
    </row>
    <row r="2119">
      <c r="A2119" s="4">
        <v>45534.33886341435</v>
      </c>
      <c r="B2119" s="5" t="s">
        <v>34</v>
      </c>
      <c r="D2119" s="5" t="s">
        <v>35</v>
      </c>
      <c r="E2119" s="5" t="s">
        <v>16027</v>
      </c>
      <c r="F2119" s="5" t="s">
        <v>108</v>
      </c>
      <c r="G2119" s="5" t="s">
        <v>16028</v>
      </c>
      <c r="H2119" s="6" t="s">
        <v>16029</v>
      </c>
      <c r="K2119" s="5" t="s">
        <v>14492</v>
      </c>
    </row>
    <row r="2120">
      <c r="A2120" s="4">
        <v>45534.33886662037</v>
      </c>
      <c r="B2120" s="5" t="s">
        <v>34</v>
      </c>
      <c r="D2120" s="5" t="s">
        <v>4775</v>
      </c>
      <c r="E2120" s="5" t="s">
        <v>16032</v>
      </c>
      <c r="F2120" s="5" t="s">
        <v>108</v>
      </c>
      <c r="G2120" s="5" t="s">
        <v>16033</v>
      </c>
      <c r="H2120" s="6" t="s">
        <v>16034</v>
      </c>
      <c r="K2120" s="5" t="s">
        <v>14492</v>
      </c>
    </row>
    <row r="2121">
      <c r="A2121" s="4">
        <v>45534.33887148148</v>
      </c>
      <c r="B2121" s="5" t="s">
        <v>34</v>
      </c>
      <c r="D2121" s="5" t="s">
        <v>1206</v>
      </c>
      <c r="E2121" s="5" t="s">
        <v>16037</v>
      </c>
      <c r="F2121" s="5" t="s">
        <v>199</v>
      </c>
      <c r="G2121" s="5" t="s">
        <v>16038</v>
      </c>
      <c r="H2121" s="6" t="s">
        <v>16039</v>
      </c>
      <c r="K2121" s="5" t="s">
        <v>14492</v>
      </c>
    </row>
    <row r="2122">
      <c r="A2122" s="4">
        <v>45534.3388728125</v>
      </c>
      <c r="B2122" s="5" t="s">
        <v>34</v>
      </c>
      <c r="D2122" s="5" t="s">
        <v>1206</v>
      </c>
      <c r="E2122" s="5" t="s">
        <v>16043</v>
      </c>
      <c r="F2122" s="5" t="s">
        <v>212</v>
      </c>
      <c r="G2122" s="5" t="s">
        <v>16044</v>
      </c>
      <c r="H2122" s="6" t="s">
        <v>16045</v>
      </c>
      <c r="K2122" s="5" t="s">
        <v>14492</v>
      </c>
    </row>
    <row r="2123">
      <c r="A2123" s="4">
        <v>45534.338875601854</v>
      </c>
      <c r="B2123" s="5" t="s">
        <v>34</v>
      </c>
      <c r="D2123" s="5" t="s">
        <v>996</v>
      </c>
      <c r="E2123" s="5" t="s">
        <v>16048</v>
      </c>
      <c r="F2123" s="5" t="s">
        <v>212</v>
      </c>
      <c r="G2123" s="5" t="s">
        <v>16049</v>
      </c>
      <c r="H2123" s="6" t="s">
        <v>16050</v>
      </c>
      <c r="K2123" s="5" t="s">
        <v>14492</v>
      </c>
    </row>
    <row r="2124">
      <c r="A2124" s="4">
        <v>45534.33887957176</v>
      </c>
      <c r="B2124" s="5" t="s">
        <v>34</v>
      </c>
      <c r="D2124" s="5" t="s">
        <v>4775</v>
      </c>
      <c r="E2124" s="5" t="s">
        <v>16053</v>
      </c>
      <c r="F2124" s="5" t="s">
        <v>37</v>
      </c>
      <c r="G2124" s="5" t="s">
        <v>16054</v>
      </c>
      <c r="H2124" s="6" t="s">
        <v>16055</v>
      </c>
      <c r="K2124" s="5" t="s">
        <v>14492</v>
      </c>
    </row>
    <row r="2125">
      <c r="A2125" s="4">
        <v>45534.33888112269</v>
      </c>
      <c r="B2125" s="5" t="s">
        <v>34</v>
      </c>
      <c r="D2125" s="5" t="s">
        <v>12010</v>
      </c>
      <c r="E2125" s="5" t="s">
        <v>16058</v>
      </c>
      <c r="F2125" s="5" t="s">
        <v>212</v>
      </c>
      <c r="G2125" s="5" t="s">
        <v>16059</v>
      </c>
      <c r="H2125" s="6" t="s">
        <v>16060</v>
      </c>
      <c r="K2125" s="5" t="s">
        <v>14492</v>
      </c>
    </row>
    <row r="2126">
      <c r="A2126" s="4">
        <v>45534.33888800926</v>
      </c>
      <c r="B2126" s="5" t="s">
        <v>34</v>
      </c>
      <c r="D2126" s="5" t="s">
        <v>996</v>
      </c>
      <c r="E2126" s="5" t="s">
        <v>16063</v>
      </c>
      <c r="F2126" s="5" t="s">
        <v>212</v>
      </c>
      <c r="G2126" s="5" t="s">
        <v>16064</v>
      </c>
      <c r="H2126" s="6" t="s">
        <v>16065</v>
      </c>
      <c r="K2126" s="5" t="s">
        <v>14492</v>
      </c>
    </row>
    <row r="2127">
      <c r="A2127" s="4">
        <v>45534.33889109954</v>
      </c>
      <c r="B2127" s="5" t="s">
        <v>34</v>
      </c>
      <c r="D2127" s="5" t="s">
        <v>1768</v>
      </c>
      <c r="E2127" s="5" t="s">
        <v>16068</v>
      </c>
      <c r="F2127" s="5" t="s">
        <v>72</v>
      </c>
      <c r="G2127" s="5" t="s">
        <v>16069</v>
      </c>
      <c r="H2127" s="6" t="s">
        <v>16070</v>
      </c>
      <c r="K2127" s="5" t="s">
        <v>14492</v>
      </c>
    </row>
    <row r="2128">
      <c r="A2128" s="4">
        <v>45534.33889172453</v>
      </c>
      <c r="B2128" s="5" t="s">
        <v>19</v>
      </c>
      <c r="C2128" s="5" t="s">
        <v>5058</v>
      </c>
      <c r="E2128" s="5" t="s">
        <v>16074</v>
      </c>
      <c r="F2128" s="5" t="s">
        <v>212</v>
      </c>
      <c r="G2128" s="5" t="s">
        <v>16075</v>
      </c>
      <c r="H2128" s="6" t="s">
        <v>16076</v>
      </c>
      <c r="K2128" s="5" t="s">
        <v>14492</v>
      </c>
    </row>
    <row r="2129">
      <c r="A2129" s="4">
        <v>45534.33889303241</v>
      </c>
      <c r="B2129" s="5" t="s">
        <v>34</v>
      </c>
      <c r="D2129" s="5" t="s">
        <v>4775</v>
      </c>
      <c r="E2129" s="5" t="s">
        <v>16079</v>
      </c>
      <c r="F2129" s="5" t="s">
        <v>72</v>
      </c>
      <c r="G2129" s="5" t="s">
        <v>16080</v>
      </c>
      <c r="H2129" s="6" t="s">
        <v>16081</v>
      </c>
      <c r="K2129" s="5" t="s">
        <v>14492</v>
      </c>
    </row>
    <row r="2130">
      <c r="A2130" s="4">
        <v>45534.33889724537</v>
      </c>
      <c r="B2130" s="5" t="s">
        <v>34</v>
      </c>
      <c r="D2130" s="5" t="s">
        <v>10444</v>
      </c>
      <c r="E2130" s="5" t="s">
        <v>16084</v>
      </c>
      <c r="F2130" s="5" t="s">
        <v>108</v>
      </c>
      <c r="G2130" s="5" t="s">
        <v>16085</v>
      </c>
      <c r="H2130" s="6" t="s">
        <v>16086</v>
      </c>
      <c r="K2130" s="5" t="s">
        <v>14492</v>
      </c>
    </row>
    <row r="2131">
      <c r="A2131" s="4">
        <v>45534.33889855324</v>
      </c>
      <c r="B2131" s="5" t="s">
        <v>34</v>
      </c>
      <c r="D2131" s="5" t="s">
        <v>522</v>
      </c>
      <c r="E2131" s="5" t="s">
        <v>16089</v>
      </c>
      <c r="F2131" s="5" t="s">
        <v>375</v>
      </c>
      <c r="G2131" s="5" t="s">
        <v>16090</v>
      </c>
      <c r="H2131" s="6" t="s">
        <v>16091</v>
      </c>
      <c r="K2131" s="5" t="s">
        <v>14492</v>
      </c>
    </row>
    <row r="2132">
      <c r="A2132" s="4">
        <v>45534.33890457176</v>
      </c>
      <c r="B2132" s="5" t="s">
        <v>34</v>
      </c>
      <c r="D2132" s="5" t="s">
        <v>1206</v>
      </c>
      <c r="E2132" s="5" t="s">
        <v>16094</v>
      </c>
      <c r="F2132" s="5" t="s">
        <v>212</v>
      </c>
      <c r="G2132" s="5" t="s">
        <v>16095</v>
      </c>
      <c r="H2132" s="6" t="s">
        <v>16096</v>
      </c>
      <c r="K2132" s="5" t="s">
        <v>14492</v>
      </c>
    </row>
    <row r="2133">
      <c r="A2133" s="4">
        <v>45534.33890481482</v>
      </c>
      <c r="B2133" s="5" t="s">
        <v>34</v>
      </c>
      <c r="D2133" s="5" t="s">
        <v>35</v>
      </c>
      <c r="E2133" s="5" t="s">
        <v>16099</v>
      </c>
      <c r="F2133" s="5" t="s">
        <v>212</v>
      </c>
      <c r="G2133" s="5" t="s">
        <v>16100</v>
      </c>
      <c r="H2133" s="6" t="s">
        <v>16101</v>
      </c>
      <c r="K2133" s="5" t="s">
        <v>14492</v>
      </c>
    </row>
    <row r="2134">
      <c r="A2134" s="4">
        <v>45534.33890498843</v>
      </c>
      <c r="B2134" s="5" t="s">
        <v>34</v>
      </c>
      <c r="D2134" s="5" t="s">
        <v>280</v>
      </c>
      <c r="E2134" s="5" t="s">
        <v>16105</v>
      </c>
      <c r="F2134" s="5" t="s">
        <v>375</v>
      </c>
      <c r="G2134" s="5" t="s">
        <v>16106</v>
      </c>
      <c r="H2134" s="6" t="s">
        <v>16107</v>
      </c>
      <c r="K2134" s="5" t="s">
        <v>14492</v>
      </c>
    </row>
    <row r="2135">
      <c r="A2135" s="4">
        <v>45534.33890653936</v>
      </c>
      <c r="B2135" s="5" t="s">
        <v>34</v>
      </c>
      <c r="D2135" s="5" t="s">
        <v>996</v>
      </c>
      <c r="E2135" s="5" t="s">
        <v>16110</v>
      </c>
      <c r="F2135" s="5" t="s">
        <v>212</v>
      </c>
      <c r="G2135" s="5" t="s">
        <v>16111</v>
      </c>
      <c r="H2135" s="6" t="s">
        <v>16112</v>
      </c>
      <c r="K2135" s="5" t="s">
        <v>14492</v>
      </c>
    </row>
    <row r="2136">
      <c r="A2136" s="4">
        <v>45534.33892030093</v>
      </c>
      <c r="B2136" s="5" t="s">
        <v>19</v>
      </c>
      <c r="C2136" s="5" t="s">
        <v>292</v>
      </c>
      <c r="E2136" s="5" t="s">
        <v>16115</v>
      </c>
      <c r="F2136" s="5" t="s">
        <v>108</v>
      </c>
      <c r="G2136" s="5" t="s">
        <v>16116</v>
      </c>
      <c r="H2136" s="6" t="s">
        <v>16117</v>
      </c>
      <c r="K2136" s="5" t="s">
        <v>14492</v>
      </c>
    </row>
    <row r="2137">
      <c r="A2137" s="4">
        <v>45534.33892071759</v>
      </c>
      <c r="B2137" s="5" t="s">
        <v>19</v>
      </c>
      <c r="C2137" s="5" t="s">
        <v>442</v>
      </c>
      <c r="E2137" s="5" t="s">
        <v>16120</v>
      </c>
      <c r="F2137" s="5" t="s">
        <v>524</v>
      </c>
      <c r="G2137" s="5" t="s">
        <v>16121</v>
      </c>
      <c r="H2137" s="6" t="s">
        <v>16122</v>
      </c>
      <c r="K2137" s="5" t="s">
        <v>14492</v>
      </c>
    </row>
    <row r="2138">
      <c r="A2138" s="4">
        <v>45534.338926076394</v>
      </c>
      <c r="B2138" s="5" t="s">
        <v>34</v>
      </c>
      <c r="D2138" s="5" t="s">
        <v>996</v>
      </c>
      <c r="E2138" s="5" t="s">
        <v>16125</v>
      </c>
      <c r="F2138" s="5" t="s">
        <v>72</v>
      </c>
      <c r="G2138" s="5" t="s">
        <v>16126</v>
      </c>
      <c r="H2138" s="6" t="s">
        <v>16127</v>
      </c>
      <c r="K2138" s="5" t="s">
        <v>14492</v>
      </c>
    </row>
    <row r="2139">
      <c r="A2139" s="4">
        <v>45534.33893216435</v>
      </c>
      <c r="B2139" s="5" t="s">
        <v>34</v>
      </c>
      <c r="D2139" s="5" t="s">
        <v>4775</v>
      </c>
      <c r="E2139" s="5" t="s">
        <v>16130</v>
      </c>
      <c r="F2139" s="5" t="s">
        <v>37</v>
      </c>
      <c r="G2139" s="5" t="s">
        <v>16131</v>
      </c>
      <c r="H2139" s="6" t="s">
        <v>16132</v>
      </c>
      <c r="K2139" s="5" t="s">
        <v>14492</v>
      </c>
    </row>
    <row r="2140">
      <c r="A2140" s="4">
        <v>45534.33893561343</v>
      </c>
      <c r="B2140" s="5" t="s">
        <v>19</v>
      </c>
      <c r="C2140" s="5" t="s">
        <v>14000</v>
      </c>
      <c r="E2140" s="5" t="s">
        <v>16136</v>
      </c>
      <c r="F2140" s="5" t="s">
        <v>108</v>
      </c>
      <c r="G2140" s="5" t="s">
        <v>16137</v>
      </c>
      <c r="H2140" s="6" t="s">
        <v>16138</v>
      </c>
      <c r="K2140" s="5" t="s">
        <v>14524</v>
      </c>
    </row>
    <row r="2141">
      <c r="A2141" s="4">
        <v>45534.33894084491</v>
      </c>
      <c r="B2141" s="5" t="s">
        <v>34</v>
      </c>
      <c r="D2141" s="5" t="s">
        <v>4775</v>
      </c>
      <c r="E2141" s="5" t="s">
        <v>16141</v>
      </c>
      <c r="F2141" s="5" t="s">
        <v>72</v>
      </c>
      <c r="G2141" s="5" t="s">
        <v>16142</v>
      </c>
      <c r="H2141" s="6" t="s">
        <v>16143</v>
      </c>
      <c r="K2141" s="5" t="s">
        <v>14524</v>
      </c>
    </row>
    <row r="2142">
      <c r="A2142" s="4">
        <v>45534.33894403935</v>
      </c>
      <c r="B2142" s="5" t="s">
        <v>34</v>
      </c>
      <c r="D2142" s="5" t="s">
        <v>35</v>
      </c>
      <c r="E2142" s="5" t="s">
        <v>16146</v>
      </c>
      <c r="F2142" s="5" t="s">
        <v>328</v>
      </c>
      <c r="G2142" s="5" t="s">
        <v>16147</v>
      </c>
      <c r="H2142" s="6" t="s">
        <v>16148</v>
      </c>
      <c r="K2142" s="5" t="s">
        <v>14524</v>
      </c>
    </row>
    <row r="2143">
      <c r="A2143" s="4">
        <v>45534.338947384254</v>
      </c>
      <c r="B2143" s="5" t="s">
        <v>34</v>
      </c>
      <c r="D2143" s="5" t="s">
        <v>1206</v>
      </c>
      <c r="E2143" s="5" t="s">
        <v>16151</v>
      </c>
      <c r="F2143" s="5" t="s">
        <v>328</v>
      </c>
      <c r="G2143" s="5" t="s">
        <v>16152</v>
      </c>
      <c r="H2143" s="6" t="s">
        <v>16153</v>
      </c>
      <c r="K2143" s="5" t="s">
        <v>14524</v>
      </c>
    </row>
    <row r="2144">
      <c r="A2144" s="4">
        <v>45534.33894836805</v>
      </c>
      <c r="B2144" s="5" t="s">
        <v>34</v>
      </c>
      <c r="D2144" s="5" t="s">
        <v>522</v>
      </c>
      <c r="E2144" s="5" t="s">
        <v>16156</v>
      </c>
      <c r="F2144" s="5" t="s">
        <v>37</v>
      </c>
      <c r="G2144" s="5" t="s">
        <v>16157</v>
      </c>
      <c r="H2144" s="6" t="s">
        <v>16158</v>
      </c>
      <c r="K2144" s="5" t="s">
        <v>14524</v>
      </c>
    </row>
    <row r="2145">
      <c r="A2145" s="4">
        <v>45534.33895388889</v>
      </c>
      <c r="B2145" s="5" t="s">
        <v>34</v>
      </c>
      <c r="D2145" s="5" t="s">
        <v>35</v>
      </c>
      <c r="E2145" s="5" t="s">
        <v>16162</v>
      </c>
      <c r="F2145" s="5" t="s">
        <v>37</v>
      </c>
      <c r="G2145" s="5" t="s">
        <v>16163</v>
      </c>
      <c r="H2145" s="6" t="s">
        <v>16164</v>
      </c>
      <c r="K2145" s="5" t="s">
        <v>14524</v>
      </c>
    </row>
    <row r="2146">
      <c r="A2146" s="4">
        <v>45534.3389540625</v>
      </c>
      <c r="B2146" s="5" t="s">
        <v>34</v>
      </c>
      <c r="D2146" s="5" t="s">
        <v>1768</v>
      </c>
      <c r="E2146" s="5" t="s">
        <v>16167</v>
      </c>
      <c r="F2146" s="5" t="s">
        <v>328</v>
      </c>
      <c r="G2146" s="5" t="s">
        <v>16168</v>
      </c>
      <c r="H2146" s="6" t="s">
        <v>16169</v>
      </c>
      <c r="K2146" s="5" t="s">
        <v>14524</v>
      </c>
    </row>
    <row r="2147">
      <c r="A2147" s="4">
        <v>45534.338953900464</v>
      </c>
      <c r="B2147" s="5" t="s">
        <v>34</v>
      </c>
      <c r="D2147" s="5" t="s">
        <v>1206</v>
      </c>
      <c r="E2147" s="5" t="s">
        <v>16172</v>
      </c>
      <c r="F2147" s="5" t="s">
        <v>375</v>
      </c>
      <c r="G2147" s="5" t="s">
        <v>16173</v>
      </c>
      <c r="H2147" s="6" t="s">
        <v>16174</v>
      </c>
      <c r="K2147" s="5" t="s">
        <v>14524</v>
      </c>
    </row>
    <row r="2148">
      <c r="A2148" s="4">
        <v>45534.33896592593</v>
      </c>
      <c r="B2148" s="5" t="s">
        <v>34</v>
      </c>
      <c r="D2148" s="5" t="s">
        <v>4775</v>
      </c>
      <c r="E2148" s="5" t="s">
        <v>16177</v>
      </c>
      <c r="F2148" s="5" t="s">
        <v>212</v>
      </c>
      <c r="G2148" s="5" t="s">
        <v>16178</v>
      </c>
      <c r="H2148" s="6" t="s">
        <v>16179</v>
      </c>
      <c r="K2148" s="5" t="s">
        <v>14524</v>
      </c>
    </row>
    <row r="2149">
      <c r="A2149" s="4">
        <v>45534.33896984954</v>
      </c>
      <c r="B2149" s="5" t="s">
        <v>34</v>
      </c>
      <c r="D2149" s="5" t="s">
        <v>267</v>
      </c>
      <c r="E2149" s="5" t="s">
        <v>16182</v>
      </c>
      <c r="F2149" s="5" t="s">
        <v>108</v>
      </c>
      <c r="G2149" s="5" t="s">
        <v>16183</v>
      </c>
      <c r="H2149" s="6" t="s">
        <v>16184</v>
      </c>
      <c r="K2149" s="5" t="s">
        <v>14524</v>
      </c>
    </row>
    <row r="2150">
      <c r="A2150" s="4">
        <v>45534.33897016203</v>
      </c>
      <c r="B2150" s="5" t="s">
        <v>34</v>
      </c>
      <c r="D2150" s="5" t="s">
        <v>35</v>
      </c>
      <c r="E2150" s="5" t="s">
        <v>16188</v>
      </c>
      <c r="F2150" s="5" t="s">
        <v>37</v>
      </c>
      <c r="G2150" s="5" t="s">
        <v>16189</v>
      </c>
      <c r="H2150" s="6" t="s">
        <v>16190</v>
      </c>
      <c r="K2150" s="5" t="s">
        <v>14524</v>
      </c>
    </row>
    <row r="2151">
      <c r="A2151" s="4">
        <v>45534.33897280092</v>
      </c>
      <c r="B2151" s="5" t="s">
        <v>19</v>
      </c>
      <c r="C2151" s="5" t="s">
        <v>5564</v>
      </c>
      <c r="E2151" s="5" t="s">
        <v>16193</v>
      </c>
      <c r="F2151" s="5" t="s">
        <v>212</v>
      </c>
      <c r="G2151" s="5" t="s">
        <v>16194</v>
      </c>
      <c r="H2151" s="6" t="s">
        <v>16195</v>
      </c>
      <c r="K2151" s="5" t="s">
        <v>14524</v>
      </c>
    </row>
    <row r="2152">
      <c r="A2152" s="4">
        <v>45534.33897480324</v>
      </c>
      <c r="B2152" s="5" t="s">
        <v>34</v>
      </c>
      <c r="D2152" s="5" t="s">
        <v>12978</v>
      </c>
      <c r="E2152" s="5" t="s">
        <v>16198</v>
      </c>
      <c r="F2152" s="5" t="s">
        <v>212</v>
      </c>
      <c r="G2152" s="5" t="s">
        <v>16199</v>
      </c>
      <c r="H2152" s="6" t="s">
        <v>16200</v>
      </c>
      <c r="K2152" s="5" t="s">
        <v>14524</v>
      </c>
    </row>
    <row r="2153">
      <c r="A2153" s="4">
        <v>45534.33897633102</v>
      </c>
      <c r="B2153" s="5" t="s">
        <v>34</v>
      </c>
      <c r="D2153" s="5" t="s">
        <v>6232</v>
      </c>
      <c r="E2153" s="5" t="s">
        <v>16203</v>
      </c>
      <c r="F2153" s="5" t="s">
        <v>108</v>
      </c>
      <c r="G2153" s="5" t="s">
        <v>16204</v>
      </c>
      <c r="H2153" s="6" t="s">
        <v>16205</v>
      </c>
      <c r="K2153" s="5" t="s">
        <v>14524</v>
      </c>
    </row>
    <row r="2154">
      <c r="A2154" s="4">
        <v>45534.338979837965</v>
      </c>
      <c r="B2154" s="5" t="s">
        <v>34</v>
      </c>
      <c r="D2154" s="5" t="s">
        <v>4775</v>
      </c>
      <c r="E2154" s="5" t="s">
        <v>16208</v>
      </c>
      <c r="F2154" s="5" t="s">
        <v>37</v>
      </c>
      <c r="G2154" s="5" t="s">
        <v>16209</v>
      </c>
      <c r="H2154" s="6" t="s">
        <v>16210</v>
      </c>
      <c r="K2154" s="5" t="s">
        <v>14524</v>
      </c>
    </row>
    <row r="2155">
      <c r="A2155" s="4">
        <v>45534.33898488426</v>
      </c>
      <c r="B2155" s="5" t="s">
        <v>34</v>
      </c>
      <c r="D2155" s="5" t="s">
        <v>1206</v>
      </c>
      <c r="E2155" s="5" t="s">
        <v>16213</v>
      </c>
      <c r="F2155" s="5" t="s">
        <v>212</v>
      </c>
      <c r="G2155" s="5" t="s">
        <v>16214</v>
      </c>
      <c r="H2155" s="6" t="s">
        <v>16215</v>
      </c>
      <c r="K2155" s="5" t="s">
        <v>14524</v>
      </c>
    </row>
    <row r="2156">
      <c r="A2156" s="4">
        <v>45534.33898554398</v>
      </c>
      <c r="B2156" s="5" t="s">
        <v>34</v>
      </c>
      <c r="D2156" s="5" t="s">
        <v>9020</v>
      </c>
      <c r="E2156" s="5" t="s">
        <v>16219</v>
      </c>
      <c r="F2156" s="5" t="s">
        <v>72</v>
      </c>
      <c r="G2156" s="5" t="s">
        <v>16220</v>
      </c>
      <c r="H2156" s="6" t="s">
        <v>16221</v>
      </c>
      <c r="K2156" s="5" t="s">
        <v>14524</v>
      </c>
    </row>
    <row r="2157">
      <c r="A2157" s="4">
        <v>45534.33898921296</v>
      </c>
      <c r="B2157" s="5" t="s">
        <v>34</v>
      </c>
      <c r="D2157" s="5" t="s">
        <v>1206</v>
      </c>
      <c r="E2157" s="5" t="s">
        <v>16224</v>
      </c>
      <c r="F2157" s="5" t="s">
        <v>5859</v>
      </c>
      <c r="G2157" s="5" t="s">
        <v>16225</v>
      </c>
      <c r="H2157" s="6" t="s">
        <v>16226</v>
      </c>
      <c r="K2157" s="5" t="s">
        <v>14524</v>
      </c>
    </row>
    <row r="2158">
      <c r="A2158" s="4">
        <v>45534.33899034723</v>
      </c>
      <c r="B2158" s="5" t="s">
        <v>19</v>
      </c>
      <c r="C2158" s="5" t="s">
        <v>466</v>
      </c>
      <c r="E2158" s="5" t="s">
        <v>16229</v>
      </c>
      <c r="F2158" s="5" t="s">
        <v>212</v>
      </c>
      <c r="G2158" s="5" t="s">
        <v>16230</v>
      </c>
      <c r="H2158" s="6" t="s">
        <v>16231</v>
      </c>
      <c r="K2158" s="5" t="s">
        <v>14524</v>
      </c>
    </row>
    <row r="2159">
      <c r="A2159" s="4">
        <v>45534.33899173611</v>
      </c>
      <c r="B2159" s="5" t="s">
        <v>34</v>
      </c>
      <c r="D2159" s="5" t="s">
        <v>6232</v>
      </c>
      <c r="E2159" s="5" t="s">
        <v>16234</v>
      </c>
      <c r="F2159" s="5" t="s">
        <v>72</v>
      </c>
      <c r="G2159" s="5" t="s">
        <v>16235</v>
      </c>
      <c r="H2159" s="6" t="s">
        <v>16236</v>
      </c>
      <c r="K2159" s="5" t="s">
        <v>14524</v>
      </c>
    </row>
    <row r="2160">
      <c r="A2160" s="4">
        <v>45534.33900186342</v>
      </c>
      <c r="B2160" s="5" t="s">
        <v>34</v>
      </c>
      <c r="D2160" s="5" t="s">
        <v>1206</v>
      </c>
      <c r="E2160" s="5" t="s">
        <v>16239</v>
      </c>
      <c r="F2160" s="5" t="s">
        <v>72</v>
      </c>
      <c r="G2160" s="5" t="s">
        <v>16240</v>
      </c>
      <c r="H2160" s="6" t="s">
        <v>16241</v>
      </c>
      <c r="K2160" s="5" t="s">
        <v>14524</v>
      </c>
    </row>
    <row r="2161">
      <c r="A2161" s="4">
        <v>45534.339004305555</v>
      </c>
      <c r="B2161" s="5" t="s">
        <v>34</v>
      </c>
      <c r="D2161" s="5" t="s">
        <v>1206</v>
      </c>
      <c r="E2161" s="5" t="s">
        <v>16244</v>
      </c>
      <c r="F2161" s="5" t="s">
        <v>212</v>
      </c>
      <c r="G2161" s="5" t="s">
        <v>16245</v>
      </c>
      <c r="H2161" s="6" t="s">
        <v>16246</v>
      </c>
      <c r="K2161" s="5" t="s">
        <v>14524</v>
      </c>
    </row>
    <row r="2162">
      <c r="A2162" s="4">
        <v>45534.33900703704</v>
      </c>
      <c r="B2162" s="5" t="s">
        <v>34</v>
      </c>
      <c r="D2162" s="5" t="s">
        <v>4775</v>
      </c>
      <c r="E2162" s="5" t="s">
        <v>16250</v>
      </c>
      <c r="F2162" s="5" t="s">
        <v>108</v>
      </c>
      <c r="G2162" s="5" t="s">
        <v>16251</v>
      </c>
      <c r="H2162" s="6" t="s">
        <v>16252</v>
      </c>
      <c r="K2162" s="5" t="s">
        <v>14524</v>
      </c>
    </row>
    <row r="2163">
      <c r="A2163" s="4">
        <v>45534.339008634255</v>
      </c>
      <c r="B2163" s="5" t="s">
        <v>34</v>
      </c>
      <c r="D2163" s="5" t="s">
        <v>1206</v>
      </c>
      <c r="E2163" s="5" t="s">
        <v>16255</v>
      </c>
      <c r="F2163" s="5" t="s">
        <v>375</v>
      </c>
      <c r="G2163" s="5" t="s">
        <v>16256</v>
      </c>
      <c r="H2163" s="6" t="s">
        <v>16257</v>
      </c>
      <c r="K2163" s="5" t="s">
        <v>14524</v>
      </c>
    </row>
    <row r="2164">
      <c r="A2164" s="4">
        <v>45534.339011979166</v>
      </c>
      <c r="B2164" s="5" t="s">
        <v>34</v>
      </c>
      <c r="D2164" s="5" t="s">
        <v>522</v>
      </c>
      <c r="E2164" s="5" t="s">
        <v>16260</v>
      </c>
      <c r="F2164" s="5" t="s">
        <v>22</v>
      </c>
      <c r="G2164" s="5" t="s">
        <v>16261</v>
      </c>
      <c r="H2164" s="6" t="s">
        <v>16262</v>
      </c>
      <c r="K2164" s="5" t="s">
        <v>14524</v>
      </c>
    </row>
    <row r="2165">
      <c r="A2165" s="4">
        <v>45534.33901340278</v>
      </c>
      <c r="B2165" s="5" t="s">
        <v>34</v>
      </c>
      <c r="D2165" s="5" t="s">
        <v>35</v>
      </c>
      <c r="E2165" s="5" t="s">
        <v>16265</v>
      </c>
      <c r="F2165" s="5" t="s">
        <v>212</v>
      </c>
      <c r="G2165" s="5" t="s">
        <v>16266</v>
      </c>
      <c r="H2165" s="6" t="s">
        <v>16267</v>
      </c>
      <c r="K2165" s="5" t="s">
        <v>14524</v>
      </c>
    </row>
    <row r="2166">
      <c r="A2166" s="4">
        <v>45534.33901700232</v>
      </c>
      <c r="B2166" s="5" t="s">
        <v>34</v>
      </c>
      <c r="D2166" s="5" t="s">
        <v>9020</v>
      </c>
      <c r="E2166" s="5" t="s">
        <v>16270</v>
      </c>
      <c r="F2166" s="5" t="s">
        <v>212</v>
      </c>
      <c r="G2166" s="5" t="s">
        <v>16271</v>
      </c>
      <c r="H2166" s="6" t="s">
        <v>16272</v>
      </c>
      <c r="K2166" s="5" t="s">
        <v>14524</v>
      </c>
    </row>
    <row r="2167">
      <c r="A2167" s="4">
        <v>45534.33901818287</v>
      </c>
      <c r="B2167" s="5" t="s">
        <v>34</v>
      </c>
      <c r="D2167" s="5" t="s">
        <v>4775</v>
      </c>
      <c r="E2167" s="5" t="s">
        <v>16275</v>
      </c>
      <c r="F2167" s="5" t="s">
        <v>212</v>
      </c>
      <c r="G2167" s="5" t="s">
        <v>16276</v>
      </c>
      <c r="H2167" s="6" t="s">
        <v>16277</v>
      </c>
      <c r="K2167" s="5" t="s">
        <v>14524</v>
      </c>
    </row>
    <row r="2168">
      <c r="A2168" s="4">
        <v>45534.339023252316</v>
      </c>
      <c r="B2168" s="5" t="s">
        <v>34</v>
      </c>
      <c r="D2168" s="5" t="s">
        <v>9394</v>
      </c>
      <c r="E2168" s="5" t="s">
        <v>16281</v>
      </c>
      <c r="F2168" s="5" t="s">
        <v>72</v>
      </c>
      <c r="G2168" s="5" t="s">
        <v>16282</v>
      </c>
      <c r="H2168" s="6" t="s">
        <v>16283</v>
      </c>
      <c r="K2168" s="5" t="s">
        <v>14524</v>
      </c>
    </row>
    <row r="2169">
      <c r="A2169" s="4">
        <v>45534.3390240625</v>
      </c>
      <c r="B2169" s="5" t="s">
        <v>34</v>
      </c>
      <c r="D2169" s="5" t="s">
        <v>35</v>
      </c>
      <c r="E2169" s="5" t="s">
        <v>16286</v>
      </c>
      <c r="F2169" s="5" t="s">
        <v>524</v>
      </c>
      <c r="G2169" s="5" t="s">
        <v>16287</v>
      </c>
      <c r="H2169" s="6" t="s">
        <v>16288</v>
      </c>
      <c r="K2169" s="5" t="s">
        <v>14524</v>
      </c>
    </row>
    <row r="2170">
      <c r="A2170" s="4">
        <v>45534.33903149306</v>
      </c>
      <c r="B2170" s="5" t="s">
        <v>34</v>
      </c>
      <c r="D2170" s="5" t="s">
        <v>996</v>
      </c>
      <c r="E2170" s="5" t="s">
        <v>16291</v>
      </c>
      <c r="F2170" s="5" t="s">
        <v>212</v>
      </c>
      <c r="G2170" s="5" t="s">
        <v>16292</v>
      </c>
      <c r="H2170" s="6" t="s">
        <v>16293</v>
      </c>
      <c r="K2170" s="5" t="s">
        <v>14524</v>
      </c>
    </row>
    <row r="2171">
      <c r="A2171" s="4">
        <v>45534.33903368056</v>
      </c>
      <c r="B2171" s="5" t="s">
        <v>34</v>
      </c>
      <c r="D2171" s="5" t="s">
        <v>1768</v>
      </c>
      <c r="E2171" s="5" t="s">
        <v>16296</v>
      </c>
      <c r="F2171" s="5" t="s">
        <v>524</v>
      </c>
      <c r="G2171" s="5" t="s">
        <v>16297</v>
      </c>
      <c r="H2171" s="6" t="s">
        <v>16298</v>
      </c>
      <c r="K2171" s="5" t="s">
        <v>14524</v>
      </c>
    </row>
    <row r="2172">
      <c r="A2172" s="4">
        <v>45534.33903390046</v>
      </c>
      <c r="B2172" s="5" t="s">
        <v>34</v>
      </c>
      <c r="D2172" s="5" t="s">
        <v>280</v>
      </c>
      <c r="E2172" s="5" t="s">
        <v>16301</v>
      </c>
      <c r="F2172" s="5" t="s">
        <v>37</v>
      </c>
      <c r="G2172" s="5" t="s">
        <v>16302</v>
      </c>
      <c r="H2172" s="6" t="s">
        <v>16303</v>
      </c>
      <c r="K2172" s="5" t="s">
        <v>14524</v>
      </c>
    </row>
    <row r="2173">
      <c r="A2173" s="4">
        <v>45534.339035729165</v>
      </c>
      <c r="B2173" s="5" t="s">
        <v>34</v>
      </c>
      <c r="D2173" s="5" t="s">
        <v>9020</v>
      </c>
      <c r="E2173" s="5" t="s">
        <v>16307</v>
      </c>
      <c r="F2173" s="5" t="s">
        <v>375</v>
      </c>
      <c r="G2173" s="5" t="s">
        <v>16308</v>
      </c>
      <c r="H2173" s="6" t="s">
        <v>16309</v>
      </c>
      <c r="K2173" s="5" t="s">
        <v>14524</v>
      </c>
    </row>
    <row r="2174">
      <c r="A2174" s="4">
        <v>45534.33903981482</v>
      </c>
      <c r="B2174" s="5" t="s">
        <v>34</v>
      </c>
      <c r="D2174" s="5" t="s">
        <v>14424</v>
      </c>
      <c r="E2174" s="5" t="s">
        <v>16312</v>
      </c>
      <c r="F2174" s="5" t="s">
        <v>37</v>
      </c>
      <c r="G2174" s="5" t="s">
        <v>16313</v>
      </c>
      <c r="H2174" s="6" t="s">
        <v>16314</v>
      </c>
      <c r="K2174" s="5" t="s">
        <v>14524</v>
      </c>
    </row>
    <row r="2175">
      <c r="A2175" s="4">
        <v>45534.339047800924</v>
      </c>
      <c r="B2175" s="5" t="s">
        <v>19</v>
      </c>
      <c r="C2175" s="5" t="s">
        <v>292</v>
      </c>
      <c r="E2175" s="5" t="s">
        <v>16317</v>
      </c>
      <c r="F2175" s="5" t="s">
        <v>37</v>
      </c>
      <c r="G2175" s="5" t="s">
        <v>16318</v>
      </c>
      <c r="H2175" s="6" t="s">
        <v>16319</v>
      </c>
      <c r="K2175" s="5" t="s">
        <v>14524</v>
      </c>
    </row>
    <row r="2176">
      <c r="A2176" s="4">
        <v>45534.339048657406</v>
      </c>
      <c r="B2176" s="5" t="s">
        <v>34</v>
      </c>
      <c r="D2176" s="5" t="s">
        <v>4775</v>
      </c>
      <c r="E2176" s="5" t="s">
        <v>16322</v>
      </c>
      <c r="F2176" s="5" t="s">
        <v>72</v>
      </c>
      <c r="G2176" s="5" t="s">
        <v>16323</v>
      </c>
      <c r="H2176" s="6" t="s">
        <v>16324</v>
      </c>
      <c r="K2176" s="5" t="s">
        <v>14524</v>
      </c>
    </row>
    <row r="2177">
      <c r="A2177" s="4">
        <v>45534.339063865744</v>
      </c>
      <c r="B2177" s="5" t="s">
        <v>34</v>
      </c>
      <c r="D2177" s="5" t="s">
        <v>4775</v>
      </c>
      <c r="E2177" s="5" t="s">
        <v>16327</v>
      </c>
      <c r="F2177" s="5" t="s">
        <v>72</v>
      </c>
      <c r="G2177" s="5" t="s">
        <v>16328</v>
      </c>
      <c r="H2177" s="6" t="s">
        <v>16329</v>
      </c>
      <c r="K2177" s="5" t="s">
        <v>14524</v>
      </c>
    </row>
    <row r="2178">
      <c r="A2178" s="4">
        <v>45534.33906475695</v>
      </c>
      <c r="B2178" s="5" t="s">
        <v>34</v>
      </c>
      <c r="D2178" s="5" t="s">
        <v>6232</v>
      </c>
      <c r="E2178" s="5" t="s">
        <v>16333</v>
      </c>
      <c r="F2178" s="5" t="s">
        <v>212</v>
      </c>
      <c r="G2178" s="5" t="s">
        <v>16334</v>
      </c>
      <c r="H2178" s="6" t="s">
        <v>16335</v>
      </c>
      <c r="K2178" s="5" t="s">
        <v>14944</v>
      </c>
    </row>
    <row r="2179">
      <c r="A2179" s="4">
        <v>45534.33906751157</v>
      </c>
      <c r="B2179" s="5" t="s">
        <v>34</v>
      </c>
      <c r="D2179" s="5" t="s">
        <v>267</v>
      </c>
      <c r="E2179" s="5" t="s">
        <v>16338</v>
      </c>
      <c r="F2179" s="5" t="s">
        <v>212</v>
      </c>
      <c r="G2179" s="5" t="s">
        <v>16339</v>
      </c>
      <c r="H2179" s="6" t="s">
        <v>16340</v>
      </c>
      <c r="K2179" s="5" t="s">
        <v>14944</v>
      </c>
    </row>
    <row r="2180">
      <c r="A2180" s="4">
        <v>45534.33906962963</v>
      </c>
      <c r="B2180" s="5" t="s">
        <v>34</v>
      </c>
      <c r="D2180" s="5" t="s">
        <v>12010</v>
      </c>
      <c r="E2180" s="5" t="s">
        <v>16343</v>
      </c>
      <c r="F2180" s="5" t="s">
        <v>524</v>
      </c>
      <c r="G2180" s="5" t="s">
        <v>16344</v>
      </c>
      <c r="H2180" s="6" t="s">
        <v>16345</v>
      </c>
      <c r="K2180" s="5" t="s">
        <v>14944</v>
      </c>
    </row>
    <row r="2181">
      <c r="A2181" s="4">
        <v>45534.33905270833</v>
      </c>
      <c r="B2181" s="5" t="s">
        <v>34</v>
      </c>
      <c r="D2181" s="5" t="s">
        <v>4775</v>
      </c>
      <c r="E2181" s="5" t="s">
        <v>16348</v>
      </c>
      <c r="F2181" s="5" t="s">
        <v>212</v>
      </c>
      <c r="G2181" s="5" t="s">
        <v>16349</v>
      </c>
      <c r="H2181" s="6" t="s">
        <v>16350</v>
      </c>
      <c r="K2181" s="5" t="s">
        <v>14944</v>
      </c>
    </row>
    <row r="2182">
      <c r="A2182" s="4">
        <v>45534.33905325232</v>
      </c>
      <c r="B2182" s="5" t="s">
        <v>34</v>
      </c>
      <c r="D2182" s="5" t="s">
        <v>4775</v>
      </c>
      <c r="E2182" s="5" t="s">
        <v>16353</v>
      </c>
      <c r="F2182" s="5" t="s">
        <v>108</v>
      </c>
      <c r="G2182" s="5" t="s">
        <v>16354</v>
      </c>
      <c r="H2182" s="6" t="s">
        <v>16355</v>
      </c>
      <c r="K2182" s="5" t="s">
        <v>14944</v>
      </c>
    </row>
    <row r="2183">
      <c r="A2183" s="4">
        <v>45534.33905387732</v>
      </c>
      <c r="B2183" s="5" t="s">
        <v>34</v>
      </c>
      <c r="D2183" s="5" t="s">
        <v>4775</v>
      </c>
      <c r="E2183" s="5" t="s">
        <v>16359</v>
      </c>
      <c r="F2183" s="5" t="s">
        <v>199</v>
      </c>
      <c r="G2183" s="5" t="s">
        <v>16360</v>
      </c>
      <c r="H2183" s="6" t="s">
        <v>16361</v>
      </c>
      <c r="K2183" s="5" t="s">
        <v>14944</v>
      </c>
    </row>
    <row r="2184">
      <c r="A2184" s="4">
        <v>45534.33905835648</v>
      </c>
      <c r="B2184" s="5" t="s">
        <v>19</v>
      </c>
      <c r="C2184" s="5" t="s">
        <v>292</v>
      </c>
      <c r="E2184" s="5" t="s">
        <v>16364</v>
      </c>
      <c r="F2184" s="5" t="s">
        <v>212</v>
      </c>
      <c r="G2184" s="5" t="s">
        <v>16365</v>
      </c>
      <c r="H2184" s="6" t="s">
        <v>16366</v>
      </c>
      <c r="K2184" s="5" t="s">
        <v>14944</v>
      </c>
    </row>
    <row r="2185">
      <c r="A2185" s="4">
        <v>45534.33908447917</v>
      </c>
      <c r="B2185" s="5" t="s">
        <v>19</v>
      </c>
      <c r="C2185" s="5" t="s">
        <v>3471</v>
      </c>
      <c r="E2185" s="5" t="s">
        <v>16369</v>
      </c>
      <c r="F2185" s="5" t="s">
        <v>375</v>
      </c>
      <c r="G2185" s="5" t="s">
        <v>16370</v>
      </c>
      <c r="H2185" s="6" t="s">
        <v>16371</v>
      </c>
      <c r="K2185" s="5" t="s">
        <v>14944</v>
      </c>
    </row>
    <row r="2186">
      <c r="A2186" s="4">
        <v>45534.33910293982</v>
      </c>
      <c r="B2186" s="5" t="s">
        <v>34</v>
      </c>
      <c r="D2186" s="5" t="s">
        <v>35</v>
      </c>
      <c r="E2186" s="5" t="s">
        <v>16374</v>
      </c>
      <c r="F2186" s="5" t="s">
        <v>72</v>
      </c>
      <c r="G2186" s="5" t="s">
        <v>16375</v>
      </c>
      <c r="H2186" s="6" t="s">
        <v>16376</v>
      </c>
      <c r="K2186" s="5" t="s">
        <v>14944</v>
      </c>
    </row>
    <row r="2187">
      <c r="A2187" s="4">
        <v>45534.339103923616</v>
      </c>
      <c r="B2187" s="5" t="s">
        <v>34</v>
      </c>
      <c r="D2187" s="5" t="s">
        <v>996</v>
      </c>
      <c r="E2187" s="5" t="s">
        <v>16379</v>
      </c>
      <c r="F2187" s="5" t="s">
        <v>120</v>
      </c>
      <c r="G2187" s="5" t="s">
        <v>16380</v>
      </c>
      <c r="H2187" s="6" t="s">
        <v>16381</v>
      </c>
      <c r="K2187" s="5" t="s">
        <v>14944</v>
      </c>
    </row>
    <row r="2188">
      <c r="A2188" s="4">
        <v>45534.33911770833</v>
      </c>
      <c r="B2188" s="5" t="s">
        <v>34</v>
      </c>
      <c r="D2188" s="5" t="s">
        <v>6232</v>
      </c>
      <c r="E2188" s="5" t="s">
        <v>16384</v>
      </c>
      <c r="F2188" s="5" t="s">
        <v>524</v>
      </c>
      <c r="G2188" s="5" t="s">
        <v>16385</v>
      </c>
      <c r="H2188" s="6" t="s">
        <v>16386</v>
      </c>
      <c r="K2188" s="5" t="s">
        <v>14944</v>
      </c>
    </row>
    <row r="2189">
      <c r="A2189" s="4">
        <v>45534.33912225695</v>
      </c>
      <c r="B2189" s="5" t="s">
        <v>34</v>
      </c>
      <c r="D2189" s="5" t="s">
        <v>9020</v>
      </c>
      <c r="E2189" s="5" t="s">
        <v>16390</v>
      </c>
      <c r="F2189" s="5" t="s">
        <v>72</v>
      </c>
      <c r="G2189" s="5" t="s">
        <v>16391</v>
      </c>
      <c r="H2189" s="6" t="s">
        <v>16392</v>
      </c>
      <c r="K2189" s="5" t="s">
        <v>14944</v>
      </c>
    </row>
    <row r="2190">
      <c r="A2190" s="4">
        <v>45534.3391225</v>
      </c>
      <c r="B2190" s="5" t="s">
        <v>34</v>
      </c>
      <c r="D2190" s="5" t="s">
        <v>4775</v>
      </c>
      <c r="E2190" s="5" t="s">
        <v>16395</v>
      </c>
      <c r="F2190" s="5" t="s">
        <v>212</v>
      </c>
      <c r="G2190" s="5" t="s">
        <v>16396</v>
      </c>
      <c r="H2190" s="6" t="s">
        <v>16397</v>
      </c>
      <c r="K2190" s="5" t="s">
        <v>14944</v>
      </c>
    </row>
    <row r="2191">
      <c r="A2191" s="4">
        <v>45534.33907991898</v>
      </c>
      <c r="B2191" s="5" t="s">
        <v>34</v>
      </c>
      <c r="D2191" s="5" t="s">
        <v>2903</v>
      </c>
      <c r="E2191" s="5" t="s">
        <v>16400</v>
      </c>
      <c r="F2191" s="5" t="s">
        <v>212</v>
      </c>
      <c r="G2191" s="5" t="s">
        <v>16401</v>
      </c>
      <c r="H2191" s="6" t="s">
        <v>16402</v>
      </c>
      <c r="K2191" s="5" t="s">
        <v>14944</v>
      </c>
    </row>
    <row r="2192">
      <c r="A2192" s="4">
        <v>45534.339087361106</v>
      </c>
      <c r="B2192" s="5" t="s">
        <v>34</v>
      </c>
      <c r="D2192" s="5" t="s">
        <v>9020</v>
      </c>
      <c r="E2192" s="5" t="s">
        <v>16405</v>
      </c>
      <c r="F2192" s="5" t="s">
        <v>375</v>
      </c>
      <c r="G2192" s="5" t="s">
        <v>16406</v>
      </c>
      <c r="H2192" s="6" t="s">
        <v>16407</v>
      </c>
      <c r="K2192" s="5" t="s">
        <v>14944</v>
      </c>
    </row>
    <row r="2193">
      <c r="A2193" s="4">
        <v>45534.33908885416</v>
      </c>
      <c r="B2193" s="5" t="s">
        <v>34</v>
      </c>
      <c r="D2193" s="5" t="s">
        <v>4775</v>
      </c>
      <c r="E2193" s="5" t="s">
        <v>16410</v>
      </c>
      <c r="F2193" s="5" t="s">
        <v>328</v>
      </c>
      <c r="G2193" s="5" t="s">
        <v>16411</v>
      </c>
      <c r="H2193" s="6" t="s">
        <v>16412</v>
      </c>
      <c r="K2193" s="5" t="s">
        <v>14944</v>
      </c>
    </row>
    <row r="2194">
      <c r="A2194" s="4">
        <v>45534.33908967592</v>
      </c>
      <c r="B2194" s="5" t="s">
        <v>34</v>
      </c>
      <c r="D2194" s="5" t="s">
        <v>9020</v>
      </c>
      <c r="E2194" s="5" t="s">
        <v>16415</v>
      </c>
      <c r="F2194" s="5" t="s">
        <v>108</v>
      </c>
      <c r="G2194" s="5" t="s">
        <v>16416</v>
      </c>
      <c r="H2194" s="6" t="s">
        <v>16417</v>
      </c>
      <c r="K2194" s="5" t="s">
        <v>14944</v>
      </c>
    </row>
    <row r="2195">
      <c r="A2195" s="4">
        <v>45534.33909184027</v>
      </c>
      <c r="B2195" s="5" t="s">
        <v>34</v>
      </c>
      <c r="D2195" s="5" t="s">
        <v>2903</v>
      </c>
      <c r="E2195" s="5" t="s">
        <v>16421</v>
      </c>
      <c r="F2195" s="5" t="s">
        <v>524</v>
      </c>
      <c r="G2195" s="5" t="s">
        <v>16422</v>
      </c>
      <c r="H2195" s="6" t="s">
        <v>16423</v>
      </c>
      <c r="K2195" s="5" t="s">
        <v>14944</v>
      </c>
    </row>
    <row r="2196">
      <c r="A2196" s="4">
        <v>45534.33909355324</v>
      </c>
      <c r="B2196" s="5" t="s">
        <v>34</v>
      </c>
      <c r="D2196" s="5" t="s">
        <v>35</v>
      </c>
      <c r="E2196" s="5" t="s">
        <v>16426</v>
      </c>
      <c r="F2196" s="5" t="s">
        <v>37</v>
      </c>
      <c r="G2196" s="5" t="s">
        <v>16427</v>
      </c>
      <c r="H2196" s="6" t="s">
        <v>16428</v>
      </c>
      <c r="K2196" s="5" t="s">
        <v>14944</v>
      </c>
    </row>
    <row r="2197">
      <c r="A2197" s="4">
        <v>45534.33912700231</v>
      </c>
      <c r="B2197" s="5" t="s">
        <v>34</v>
      </c>
      <c r="D2197" s="5" t="s">
        <v>604</v>
      </c>
      <c r="E2197" s="5" t="s">
        <v>16431</v>
      </c>
      <c r="F2197" s="5" t="s">
        <v>212</v>
      </c>
      <c r="G2197" s="5" t="s">
        <v>16432</v>
      </c>
      <c r="H2197" s="6" t="s">
        <v>16433</v>
      </c>
      <c r="K2197" s="5" t="s">
        <v>14944</v>
      </c>
    </row>
    <row r="2198">
      <c r="A2198" s="4">
        <v>45534.339127430554</v>
      </c>
      <c r="B2198" s="5" t="s">
        <v>34</v>
      </c>
      <c r="D2198" s="5" t="s">
        <v>4775</v>
      </c>
      <c r="E2198" s="5" t="s">
        <v>16436</v>
      </c>
      <c r="F2198" s="5" t="s">
        <v>212</v>
      </c>
      <c r="G2198" s="5" t="s">
        <v>16437</v>
      </c>
      <c r="H2198" s="6" t="s">
        <v>16438</v>
      </c>
      <c r="K2198" s="5" t="s">
        <v>14944</v>
      </c>
    </row>
    <row r="2199">
      <c r="A2199" s="4">
        <v>45534.339129409724</v>
      </c>
      <c r="B2199" s="5" t="s">
        <v>34</v>
      </c>
      <c r="D2199" s="5" t="s">
        <v>1206</v>
      </c>
      <c r="E2199" s="5" t="s">
        <v>16441</v>
      </c>
      <c r="F2199" s="5" t="s">
        <v>15386</v>
      </c>
      <c r="G2199" s="5" t="s">
        <v>16442</v>
      </c>
      <c r="H2199" s="6" t="s">
        <v>16443</v>
      </c>
      <c r="K2199" s="5" t="s">
        <v>16444</v>
      </c>
    </row>
    <row r="2200">
      <c r="A2200" s="4">
        <v>45534.33912988426</v>
      </c>
      <c r="B2200" s="5" t="s">
        <v>34</v>
      </c>
      <c r="D2200" s="5" t="s">
        <v>4775</v>
      </c>
      <c r="E2200" s="5" t="s">
        <v>16447</v>
      </c>
      <c r="F2200" s="5" t="s">
        <v>72</v>
      </c>
      <c r="G2200" s="5" t="s">
        <v>16448</v>
      </c>
      <c r="H2200" s="6" t="s">
        <v>16449</v>
      </c>
      <c r="K2200" s="5" t="s">
        <v>16444</v>
      </c>
    </row>
    <row r="2201">
      <c r="A2201" s="4">
        <v>45534.33913393518</v>
      </c>
      <c r="B2201" s="5" t="s">
        <v>34</v>
      </c>
      <c r="D2201" s="5" t="s">
        <v>996</v>
      </c>
      <c r="E2201" s="5" t="s">
        <v>16453</v>
      </c>
      <c r="F2201" s="5" t="s">
        <v>37</v>
      </c>
      <c r="G2201" s="5" t="s">
        <v>16454</v>
      </c>
      <c r="H2201" s="6" t="s">
        <v>16455</v>
      </c>
      <c r="K2201" s="5" t="s">
        <v>16444</v>
      </c>
    </row>
    <row r="2202">
      <c r="A2202" s="4">
        <v>45534.33913822917</v>
      </c>
      <c r="B2202" s="5" t="s">
        <v>34</v>
      </c>
      <c r="D2202" s="5" t="s">
        <v>9020</v>
      </c>
      <c r="E2202" s="5" t="s">
        <v>16458</v>
      </c>
      <c r="F2202" s="5" t="s">
        <v>108</v>
      </c>
      <c r="G2202" s="5" t="s">
        <v>16459</v>
      </c>
      <c r="H2202" s="6" t="s">
        <v>16460</v>
      </c>
      <c r="K2202" s="5" t="s">
        <v>16444</v>
      </c>
    </row>
    <row r="2203">
      <c r="A2203" s="4">
        <v>45534.3391400463</v>
      </c>
      <c r="B2203" s="5" t="s">
        <v>34</v>
      </c>
      <c r="D2203" s="5" t="s">
        <v>1456</v>
      </c>
      <c r="E2203" s="5" t="s">
        <v>16463</v>
      </c>
      <c r="F2203" s="5" t="s">
        <v>37</v>
      </c>
      <c r="G2203" s="5" t="s">
        <v>16464</v>
      </c>
      <c r="H2203" s="6" t="s">
        <v>16465</v>
      </c>
      <c r="K2203" s="5" t="s">
        <v>16444</v>
      </c>
    </row>
    <row r="2204">
      <c r="A2204" s="4">
        <v>45534.339141944445</v>
      </c>
      <c r="B2204" s="5" t="s">
        <v>34</v>
      </c>
      <c r="D2204" s="5" t="s">
        <v>4775</v>
      </c>
      <c r="E2204" s="5" t="s">
        <v>16468</v>
      </c>
      <c r="F2204" s="5" t="s">
        <v>212</v>
      </c>
      <c r="G2204" s="5" t="s">
        <v>16469</v>
      </c>
      <c r="H2204" s="6" t="s">
        <v>16470</v>
      </c>
      <c r="K2204" s="5" t="s">
        <v>16444</v>
      </c>
    </row>
    <row r="2205">
      <c r="A2205" s="4">
        <v>45534.33913547454</v>
      </c>
      <c r="B2205" s="5" t="s">
        <v>19</v>
      </c>
      <c r="C2205" s="5" t="s">
        <v>11593</v>
      </c>
      <c r="E2205" s="5" t="s">
        <v>16473</v>
      </c>
      <c r="F2205" s="5" t="s">
        <v>212</v>
      </c>
      <c r="G2205" s="5" t="s">
        <v>16474</v>
      </c>
      <c r="H2205" s="6" t="s">
        <v>16475</v>
      </c>
      <c r="K2205" s="5" t="s">
        <v>16444</v>
      </c>
    </row>
    <row r="2206">
      <c r="A2206" s="4">
        <v>45534.33914520833</v>
      </c>
      <c r="B2206" s="5" t="s">
        <v>19</v>
      </c>
      <c r="C2206" s="5" t="s">
        <v>11593</v>
      </c>
      <c r="E2206" s="5" t="s">
        <v>16479</v>
      </c>
      <c r="F2206" s="5" t="s">
        <v>108</v>
      </c>
      <c r="G2206" s="5" t="s">
        <v>16480</v>
      </c>
      <c r="H2206" s="6" t="s">
        <v>16481</v>
      </c>
      <c r="K2206" s="5" t="s">
        <v>16444</v>
      </c>
    </row>
    <row r="2207">
      <c r="A2207" s="4">
        <v>45534.339146886574</v>
      </c>
      <c r="B2207" s="5" t="s">
        <v>34</v>
      </c>
      <c r="D2207" s="5" t="s">
        <v>4775</v>
      </c>
      <c r="E2207" s="5" t="s">
        <v>16484</v>
      </c>
      <c r="F2207" s="5" t="s">
        <v>72</v>
      </c>
      <c r="G2207" s="5" t="s">
        <v>16485</v>
      </c>
      <c r="H2207" s="6" t="s">
        <v>16486</v>
      </c>
      <c r="K2207" s="5" t="s">
        <v>16444</v>
      </c>
    </row>
    <row r="2208">
      <c r="A2208" s="4">
        <v>45534.33915621528</v>
      </c>
      <c r="B2208" s="5" t="s">
        <v>34</v>
      </c>
      <c r="D2208" s="5" t="s">
        <v>35</v>
      </c>
      <c r="E2208" s="5" t="s">
        <v>16489</v>
      </c>
      <c r="F2208" s="5" t="s">
        <v>37</v>
      </c>
      <c r="G2208" s="5" t="s">
        <v>16490</v>
      </c>
      <c r="H2208" s="6" t="s">
        <v>16491</v>
      </c>
      <c r="K2208" s="5" t="s">
        <v>16444</v>
      </c>
    </row>
    <row r="2209">
      <c r="A2209" s="4">
        <v>45534.33916444445</v>
      </c>
      <c r="B2209" s="5" t="s">
        <v>34</v>
      </c>
      <c r="D2209" s="5" t="s">
        <v>4775</v>
      </c>
      <c r="E2209" s="5" t="s">
        <v>16494</v>
      </c>
      <c r="F2209" s="5" t="s">
        <v>212</v>
      </c>
      <c r="G2209" s="5" t="s">
        <v>16495</v>
      </c>
      <c r="H2209" s="6" t="s">
        <v>16496</v>
      </c>
      <c r="K2209" s="5" t="s">
        <v>16444</v>
      </c>
    </row>
    <row r="2210">
      <c r="A2210" s="4">
        <v>45534.33916481481</v>
      </c>
      <c r="B2210" s="5" t="s">
        <v>34</v>
      </c>
      <c r="D2210" s="5" t="s">
        <v>996</v>
      </c>
      <c r="E2210" s="5" t="s">
        <v>16499</v>
      </c>
      <c r="F2210" s="5" t="s">
        <v>375</v>
      </c>
      <c r="G2210" s="5" t="s">
        <v>16500</v>
      </c>
      <c r="H2210" s="6" t="s">
        <v>16501</v>
      </c>
      <c r="K2210" s="5" t="s">
        <v>16444</v>
      </c>
    </row>
    <row r="2211">
      <c r="A2211" s="4">
        <v>45534.33917609954</v>
      </c>
      <c r="B2211" s="5" t="s">
        <v>34</v>
      </c>
      <c r="D2211" s="5" t="s">
        <v>4775</v>
      </c>
      <c r="E2211" s="5" t="s">
        <v>16505</v>
      </c>
      <c r="F2211" s="5" t="s">
        <v>375</v>
      </c>
      <c r="G2211" s="5" t="s">
        <v>16506</v>
      </c>
      <c r="H2211" s="6" t="s">
        <v>16507</v>
      </c>
      <c r="K2211" s="5" t="s">
        <v>16444</v>
      </c>
    </row>
    <row r="2212">
      <c r="A2212" s="4">
        <v>45534.3391796412</v>
      </c>
      <c r="B2212" s="5" t="s">
        <v>19</v>
      </c>
      <c r="C2212" s="5" t="s">
        <v>20</v>
      </c>
      <c r="E2212" s="5" t="s">
        <v>16510</v>
      </c>
      <c r="F2212" s="5" t="s">
        <v>108</v>
      </c>
      <c r="G2212" s="5" t="s">
        <v>16511</v>
      </c>
      <c r="H2212" s="6" t="s">
        <v>16512</v>
      </c>
      <c r="K2212" s="5" t="s">
        <v>16444</v>
      </c>
    </row>
    <row r="2213">
      <c r="A2213" s="4">
        <v>45534.339181944444</v>
      </c>
      <c r="B2213" s="5" t="s">
        <v>34</v>
      </c>
      <c r="D2213" s="5" t="s">
        <v>4775</v>
      </c>
      <c r="E2213" s="5" t="s">
        <v>16515</v>
      </c>
      <c r="F2213" s="5" t="s">
        <v>37</v>
      </c>
      <c r="G2213" s="5" t="s">
        <v>16516</v>
      </c>
      <c r="H2213" s="6" t="s">
        <v>16517</v>
      </c>
      <c r="K2213" s="5" t="s">
        <v>16444</v>
      </c>
    </row>
    <row r="2214">
      <c r="A2214" s="4">
        <v>45534.33918190972</v>
      </c>
      <c r="B2214" s="5" t="s">
        <v>34</v>
      </c>
      <c r="D2214" s="5" t="s">
        <v>10444</v>
      </c>
      <c r="E2214" s="5" t="s">
        <v>16520</v>
      </c>
      <c r="F2214" s="5" t="s">
        <v>715</v>
      </c>
      <c r="G2214" s="5" t="s">
        <v>16521</v>
      </c>
      <c r="H2214" s="6" t="s">
        <v>16522</v>
      </c>
      <c r="K2214" s="5" t="s">
        <v>16444</v>
      </c>
    </row>
    <row r="2215">
      <c r="A2215" s="4">
        <v>45534.33918393518</v>
      </c>
      <c r="B2215" s="5" t="s">
        <v>34</v>
      </c>
      <c r="D2215" s="5" t="s">
        <v>580</v>
      </c>
      <c r="E2215" s="5" t="s">
        <v>16525</v>
      </c>
      <c r="F2215" s="5" t="s">
        <v>212</v>
      </c>
      <c r="G2215" s="5" t="s">
        <v>16526</v>
      </c>
      <c r="H2215" s="6" t="s">
        <v>16527</v>
      </c>
      <c r="K2215" s="5" t="s">
        <v>16444</v>
      </c>
    </row>
    <row r="2216">
      <c r="A2216" s="4">
        <v>45534.33918539352</v>
      </c>
      <c r="B2216" s="5" t="s">
        <v>34</v>
      </c>
      <c r="D2216" s="5" t="s">
        <v>12978</v>
      </c>
      <c r="E2216" s="5" t="s">
        <v>16530</v>
      </c>
      <c r="F2216" s="5" t="s">
        <v>715</v>
      </c>
      <c r="G2216" s="5" t="s">
        <v>16531</v>
      </c>
      <c r="H2216" s="6" t="s">
        <v>16532</v>
      </c>
      <c r="K2216" s="5" t="s">
        <v>16444</v>
      </c>
    </row>
    <row r="2217">
      <c r="A2217" s="4">
        <v>45534.33918603009</v>
      </c>
      <c r="B2217" s="5" t="s">
        <v>19</v>
      </c>
      <c r="C2217" s="5" t="s">
        <v>1606</v>
      </c>
      <c r="E2217" s="5" t="s">
        <v>16536</v>
      </c>
      <c r="F2217" s="5" t="s">
        <v>108</v>
      </c>
      <c r="G2217" s="5" t="s">
        <v>16537</v>
      </c>
      <c r="H2217" s="6" t="s">
        <v>16538</v>
      </c>
      <c r="K2217" s="5" t="s">
        <v>16444</v>
      </c>
    </row>
    <row r="2218">
      <c r="A2218" s="4">
        <v>45534.33918616898</v>
      </c>
      <c r="B2218" s="5" t="s">
        <v>34</v>
      </c>
      <c r="D2218" s="5" t="s">
        <v>1206</v>
      </c>
      <c r="E2218" s="5" t="s">
        <v>16541</v>
      </c>
      <c r="F2218" s="5" t="s">
        <v>37</v>
      </c>
      <c r="G2218" s="5" t="s">
        <v>16542</v>
      </c>
      <c r="H2218" s="6" t="s">
        <v>16543</v>
      </c>
      <c r="K2218" s="5" t="s">
        <v>16444</v>
      </c>
    </row>
    <row r="2219">
      <c r="A2219" s="4">
        <v>45534.33918648148</v>
      </c>
      <c r="B2219" s="5" t="s">
        <v>34</v>
      </c>
      <c r="D2219" s="5" t="s">
        <v>1206</v>
      </c>
      <c r="E2219" s="5" t="s">
        <v>16546</v>
      </c>
      <c r="F2219" s="5" t="s">
        <v>212</v>
      </c>
      <c r="G2219" s="5" t="s">
        <v>16547</v>
      </c>
      <c r="H2219" s="6" t="s">
        <v>16548</v>
      </c>
      <c r="K2219" s="5" t="s">
        <v>16444</v>
      </c>
    </row>
    <row r="2220">
      <c r="A2220" s="4">
        <v>45534.33918609953</v>
      </c>
      <c r="B2220" s="5" t="s">
        <v>34</v>
      </c>
      <c r="D2220" s="5" t="s">
        <v>6232</v>
      </c>
      <c r="E2220" s="5" t="s">
        <v>16551</v>
      </c>
      <c r="F2220" s="5" t="s">
        <v>37</v>
      </c>
      <c r="G2220" s="5" t="s">
        <v>16552</v>
      </c>
      <c r="H2220" s="6" t="s">
        <v>16553</v>
      </c>
      <c r="K2220" s="5" t="s">
        <v>16444</v>
      </c>
    </row>
    <row r="2221">
      <c r="A2221" s="4">
        <v>45534.33919131944</v>
      </c>
      <c r="B2221" s="5" t="s">
        <v>34</v>
      </c>
      <c r="D2221" s="5" t="s">
        <v>4775</v>
      </c>
      <c r="E2221" s="5" t="s">
        <v>16556</v>
      </c>
      <c r="F2221" s="5" t="s">
        <v>212</v>
      </c>
      <c r="G2221" s="5" t="s">
        <v>16557</v>
      </c>
      <c r="H2221" s="6" t="s">
        <v>16558</v>
      </c>
      <c r="K2221" s="5" t="s">
        <v>16444</v>
      </c>
    </row>
    <row r="2222">
      <c r="A2222" s="4">
        <v>45534.339195416665</v>
      </c>
      <c r="B2222" s="5" t="s">
        <v>34</v>
      </c>
      <c r="D2222" s="5" t="s">
        <v>4775</v>
      </c>
      <c r="E2222" s="5" t="s">
        <v>16561</v>
      </c>
      <c r="F2222" s="5" t="s">
        <v>72</v>
      </c>
      <c r="G2222" s="5" t="s">
        <v>16562</v>
      </c>
      <c r="H2222" s="6" t="s">
        <v>16563</v>
      </c>
      <c r="K2222" s="5" t="s">
        <v>16444</v>
      </c>
    </row>
    <row r="2223">
      <c r="A2223" s="4">
        <v>45534.33918826389</v>
      </c>
      <c r="B2223" s="5" t="s">
        <v>34</v>
      </c>
      <c r="D2223" s="5" t="s">
        <v>1206</v>
      </c>
      <c r="E2223" s="5" t="s">
        <v>16567</v>
      </c>
      <c r="F2223" s="5" t="s">
        <v>37</v>
      </c>
      <c r="G2223" s="5" t="s">
        <v>16568</v>
      </c>
      <c r="H2223" s="6" t="s">
        <v>16569</v>
      </c>
      <c r="K2223" s="5" t="s">
        <v>16444</v>
      </c>
    </row>
    <row r="2224">
      <c r="A2224" s="4">
        <v>45534.33919298611</v>
      </c>
      <c r="B2224" s="5" t="s">
        <v>34</v>
      </c>
      <c r="D2224" s="5" t="s">
        <v>15401</v>
      </c>
      <c r="E2224" s="5" t="s">
        <v>16572</v>
      </c>
      <c r="F2224" s="5" t="s">
        <v>37</v>
      </c>
      <c r="G2224" s="5" t="s">
        <v>16573</v>
      </c>
      <c r="H2224" s="6" t="s">
        <v>16574</v>
      </c>
      <c r="K2224" s="5" t="s">
        <v>16444</v>
      </c>
    </row>
    <row r="2225">
      <c r="A2225" s="4">
        <v>45534.33920045139</v>
      </c>
      <c r="B2225" s="5" t="s">
        <v>34</v>
      </c>
      <c r="D2225" s="5" t="s">
        <v>35</v>
      </c>
      <c r="E2225" s="5" t="s">
        <v>16577</v>
      </c>
      <c r="F2225" s="5" t="s">
        <v>37</v>
      </c>
      <c r="G2225" s="5" t="s">
        <v>16578</v>
      </c>
      <c r="H2225" s="6" t="s">
        <v>16579</v>
      </c>
      <c r="K2225" s="5" t="s">
        <v>16444</v>
      </c>
    </row>
    <row r="2226">
      <c r="A2226" s="4">
        <v>45534.339203958334</v>
      </c>
      <c r="B2226" s="5" t="s">
        <v>34</v>
      </c>
      <c r="D2226" s="5" t="s">
        <v>2903</v>
      </c>
      <c r="E2226" s="5" t="s">
        <v>16582</v>
      </c>
      <c r="F2226" s="5" t="s">
        <v>37</v>
      </c>
      <c r="G2226" s="5" t="s">
        <v>16583</v>
      </c>
      <c r="H2226" s="6" t="s">
        <v>16584</v>
      </c>
      <c r="K2226" s="5" t="s">
        <v>16444</v>
      </c>
    </row>
    <row r="2227">
      <c r="A2227" s="4">
        <v>45534.33921101852</v>
      </c>
      <c r="B2227" s="5" t="s">
        <v>34</v>
      </c>
      <c r="D2227" s="5" t="s">
        <v>4775</v>
      </c>
      <c r="E2227" s="5" t="s">
        <v>16587</v>
      </c>
      <c r="F2227" s="5" t="s">
        <v>212</v>
      </c>
      <c r="G2227" s="5" t="s">
        <v>16588</v>
      </c>
      <c r="H2227" s="6" t="s">
        <v>16589</v>
      </c>
      <c r="K2227" s="5" t="s">
        <v>16444</v>
      </c>
    </row>
    <row r="2228">
      <c r="A2228" s="4">
        <v>45534.3392140162</v>
      </c>
      <c r="B2228" s="5" t="s">
        <v>34</v>
      </c>
      <c r="D2228" s="5" t="s">
        <v>522</v>
      </c>
      <c r="E2228" s="5" t="s">
        <v>16593</v>
      </c>
      <c r="F2228" s="5" t="s">
        <v>212</v>
      </c>
      <c r="G2228" s="5" t="s">
        <v>16594</v>
      </c>
      <c r="H2228" s="6" t="s">
        <v>16595</v>
      </c>
      <c r="K2228" s="5" t="s">
        <v>16444</v>
      </c>
    </row>
    <row r="2229">
      <c r="A2229" s="4">
        <v>45534.339215925924</v>
      </c>
      <c r="B2229" s="5" t="s">
        <v>34</v>
      </c>
      <c r="D2229" s="5" t="s">
        <v>4775</v>
      </c>
      <c r="E2229" s="5" t="s">
        <v>16598</v>
      </c>
      <c r="F2229" s="5" t="s">
        <v>212</v>
      </c>
      <c r="G2229" s="5" t="s">
        <v>16599</v>
      </c>
      <c r="H2229" s="6" t="s">
        <v>16600</v>
      </c>
      <c r="K2229" s="5" t="s">
        <v>16444</v>
      </c>
    </row>
    <row r="2230">
      <c r="A2230" s="4">
        <v>45534.33922671297</v>
      </c>
      <c r="B2230" s="5" t="s">
        <v>34</v>
      </c>
      <c r="D2230" s="5" t="s">
        <v>1206</v>
      </c>
      <c r="E2230" s="5" t="s">
        <v>16603</v>
      </c>
      <c r="F2230" s="5" t="s">
        <v>37</v>
      </c>
      <c r="G2230" s="5" t="s">
        <v>16604</v>
      </c>
      <c r="H2230" s="6" t="s">
        <v>16605</v>
      </c>
      <c r="K2230" s="5" t="s">
        <v>16444</v>
      </c>
    </row>
    <row r="2231">
      <c r="A2231" s="4">
        <v>45534.33922782408</v>
      </c>
      <c r="B2231" s="5" t="s">
        <v>34</v>
      </c>
      <c r="D2231" s="5" t="s">
        <v>35</v>
      </c>
      <c r="E2231" s="5" t="s">
        <v>16608</v>
      </c>
      <c r="F2231" s="5" t="s">
        <v>524</v>
      </c>
      <c r="G2231" s="5" t="s">
        <v>16609</v>
      </c>
      <c r="H2231" s="6" t="s">
        <v>16610</v>
      </c>
      <c r="K2231" s="5" t="s">
        <v>16444</v>
      </c>
    </row>
    <row r="2232">
      <c r="A2232" s="4">
        <v>45534.339229375</v>
      </c>
      <c r="B2232" s="5" t="s">
        <v>34</v>
      </c>
      <c r="D2232" s="5" t="s">
        <v>12978</v>
      </c>
      <c r="E2232" s="5" t="s">
        <v>16613</v>
      </c>
      <c r="F2232" s="5" t="s">
        <v>715</v>
      </c>
      <c r="G2232" s="5" t="s">
        <v>16614</v>
      </c>
      <c r="H2232" s="6" t="s">
        <v>16615</v>
      </c>
      <c r="K2232" s="5" t="s">
        <v>16444</v>
      </c>
    </row>
    <row r="2233">
      <c r="A2233" s="4">
        <v>45534.339230428246</v>
      </c>
      <c r="B2233" s="5" t="s">
        <v>19</v>
      </c>
      <c r="C2233" s="5" t="s">
        <v>292</v>
      </c>
      <c r="E2233" s="5" t="s">
        <v>16619</v>
      </c>
      <c r="F2233" s="5" t="s">
        <v>524</v>
      </c>
      <c r="G2233" s="5" t="s">
        <v>16620</v>
      </c>
      <c r="H2233" s="6" t="s">
        <v>16621</v>
      </c>
      <c r="K2233" s="5" t="s">
        <v>16444</v>
      </c>
    </row>
    <row r="2234">
      <c r="A2234" s="4">
        <v>45534.33924984954</v>
      </c>
      <c r="B2234" s="5" t="s">
        <v>34</v>
      </c>
      <c r="D2234" s="5" t="s">
        <v>1206</v>
      </c>
      <c r="E2234" s="5" t="s">
        <v>16624</v>
      </c>
      <c r="F2234" s="5" t="s">
        <v>37</v>
      </c>
      <c r="G2234" s="5" t="s">
        <v>16625</v>
      </c>
      <c r="H2234" s="6" t="s">
        <v>16626</v>
      </c>
      <c r="K2234" s="5" t="s">
        <v>14944</v>
      </c>
    </row>
    <row r="2235">
      <c r="A2235" s="4">
        <v>45534.33926013889</v>
      </c>
      <c r="B2235" s="5" t="s">
        <v>34</v>
      </c>
      <c r="D2235" s="5" t="s">
        <v>14313</v>
      </c>
      <c r="E2235" s="5" t="s">
        <v>16629</v>
      </c>
      <c r="F2235" s="5" t="s">
        <v>212</v>
      </c>
      <c r="G2235" s="5" t="s">
        <v>16630</v>
      </c>
      <c r="H2235" s="6" t="s">
        <v>16631</v>
      </c>
      <c r="K2235" s="5" t="s">
        <v>14944</v>
      </c>
    </row>
    <row r="2236">
      <c r="A2236" s="4">
        <v>45534.33926320601</v>
      </c>
      <c r="B2236" s="5" t="s">
        <v>34</v>
      </c>
      <c r="D2236" s="5" t="s">
        <v>1206</v>
      </c>
      <c r="E2236" s="5" t="s">
        <v>16634</v>
      </c>
      <c r="F2236" s="5" t="s">
        <v>524</v>
      </c>
      <c r="G2236" s="5" t="s">
        <v>16635</v>
      </c>
      <c r="H2236" s="6" t="s">
        <v>16636</v>
      </c>
      <c r="K2236" s="5" t="s">
        <v>14944</v>
      </c>
    </row>
    <row r="2237">
      <c r="A2237" s="4">
        <v>45534.33926501157</v>
      </c>
      <c r="B2237" s="5" t="s">
        <v>34</v>
      </c>
      <c r="D2237" s="5" t="s">
        <v>4775</v>
      </c>
      <c r="E2237" s="5" t="s">
        <v>16640</v>
      </c>
      <c r="F2237" s="5" t="s">
        <v>375</v>
      </c>
      <c r="G2237" s="5" t="s">
        <v>16641</v>
      </c>
      <c r="H2237" s="6" t="s">
        <v>16642</v>
      </c>
      <c r="K2237" s="5" t="s">
        <v>14944</v>
      </c>
    </row>
    <row r="2238">
      <c r="A2238" s="4">
        <v>45534.33926969908</v>
      </c>
      <c r="B2238" s="5" t="s">
        <v>34</v>
      </c>
      <c r="D2238" s="5" t="s">
        <v>1768</v>
      </c>
      <c r="E2238" s="5" t="s">
        <v>16645</v>
      </c>
      <c r="F2238" s="5" t="s">
        <v>715</v>
      </c>
      <c r="G2238" s="5" t="s">
        <v>16646</v>
      </c>
      <c r="H2238" s="6" t="s">
        <v>16647</v>
      </c>
      <c r="K2238" s="5" t="s">
        <v>14944</v>
      </c>
    </row>
    <row r="2239">
      <c r="A2239" s="4">
        <v>45534.339272060184</v>
      </c>
      <c r="B2239" s="5" t="s">
        <v>34</v>
      </c>
      <c r="D2239" s="5" t="s">
        <v>2903</v>
      </c>
      <c r="E2239" s="5" t="s">
        <v>16650</v>
      </c>
      <c r="F2239" s="5" t="s">
        <v>212</v>
      </c>
      <c r="G2239" s="5" t="s">
        <v>16651</v>
      </c>
      <c r="H2239" s="6" t="s">
        <v>16652</v>
      </c>
      <c r="K2239" s="5" t="s">
        <v>14944</v>
      </c>
    </row>
    <row r="2240">
      <c r="A2240" s="4">
        <v>45534.33927636574</v>
      </c>
      <c r="B2240" s="5" t="s">
        <v>34</v>
      </c>
      <c r="D2240" s="5" t="s">
        <v>35</v>
      </c>
      <c r="E2240" s="5" t="s">
        <v>16655</v>
      </c>
      <c r="F2240" s="5" t="s">
        <v>72</v>
      </c>
      <c r="G2240" s="5" t="s">
        <v>16656</v>
      </c>
      <c r="H2240" s="6" t="s">
        <v>16657</v>
      </c>
      <c r="K2240" s="5" t="s">
        <v>14944</v>
      </c>
    </row>
    <row r="2241">
      <c r="A2241" s="4">
        <v>45534.33924152778</v>
      </c>
      <c r="B2241" s="5" t="s">
        <v>34</v>
      </c>
      <c r="D2241" s="5" t="s">
        <v>1206</v>
      </c>
      <c r="E2241" s="5" t="s">
        <v>16660</v>
      </c>
      <c r="F2241" s="5" t="s">
        <v>199</v>
      </c>
      <c r="G2241" s="5" t="s">
        <v>16661</v>
      </c>
      <c r="H2241" s="6" t="s">
        <v>16662</v>
      </c>
      <c r="K2241" s="5" t="s">
        <v>14944</v>
      </c>
    </row>
    <row r="2242">
      <c r="A2242" s="4">
        <v>45534.339247592594</v>
      </c>
      <c r="B2242" s="5" t="s">
        <v>34</v>
      </c>
      <c r="D2242" s="5" t="s">
        <v>10444</v>
      </c>
      <c r="E2242" s="5" t="s">
        <v>16665</v>
      </c>
      <c r="F2242" s="5" t="s">
        <v>37</v>
      </c>
      <c r="G2242" s="5" t="s">
        <v>16666</v>
      </c>
      <c r="H2242" s="6" t="s">
        <v>16667</v>
      </c>
      <c r="K2242" s="5" t="s">
        <v>14944</v>
      </c>
    </row>
    <row r="2243">
      <c r="A2243" s="4">
        <v>45534.33924935185</v>
      </c>
      <c r="B2243" s="5" t="s">
        <v>34</v>
      </c>
      <c r="D2243" s="5" t="s">
        <v>35</v>
      </c>
      <c r="E2243" s="5" t="s">
        <v>16670</v>
      </c>
      <c r="F2243" s="5" t="s">
        <v>120</v>
      </c>
      <c r="G2243" s="5" t="s">
        <v>16671</v>
      </c>
      <c r="H2243" s="6" t="s">
        <v>16672</v>
      </c>
      <c r="K2243" s="5" t="s">
        <v>14944</v>
      </c>
    </row>
    <row r="2244">
      <c r="A2244" s="4">
        <v>45534.33929167824</v>
      </c>
      <c r="B2244" s="5" t="s">
        <v>34</v>
      </c>
      <c r="D2244" s="5" t="s">
        <v>12978</v>
      </c>
      <c r="E2244" s="5" t="s">
        <v>16676</v>
      </c>
      <c r="F2244" s="5" t="s">
        <v>375</v>
      </c>
      <c r="G2244" s="5" t="s">
        <v>16677</v>
      </c>
      <c r="H2244" s="6" t="s">
        <v>16678</v>
      </c>
      <c r="K2244" s="5" t="s">
        <v>14944</v>
      </c>
    </row>
    <row r="2245">
      <c r="A2245" s="4">
        <v>45534.33929527778</v>
      </c>
      <c r="B2245" s="5" t="s">
        <v>34</v>
      </c>
      <c r="D2245" s="5" t="s">
        <v>9394</v>
      </c>
      <c r="E2245" s="5" t="s">
        <v>16681</v>
      </c>
      <c r="F2245" s="5" t="s">
        <v>37</v>
      </c>
      <c r="G2245" s="5" t="s">
        <v>16682</v>
      </c>
      <c r="H2245" s="6" t="s">
        <v>16683</v>
      </c>
      <c r="K2245" s="5" t="s">
        <v>14944</v>
      </c>
    </row>
    <row r="2246">
      <c r="A2246" s="4">
        <v>45534.339296238424</v>
      </c>
      <c r="B2246" s="5" t="s">
        <v>34</v>
      </c>
      <c r="D2246" s="5" t="s">
        <v>522</v>
      </c>
      <c r="E2246" s="5" t="s">
        <v>16686</v>
      </c>
      <c r="F2246" s="5" t="s">
        <v>72</v>
      </c>
      <c r="G2246" s="5" t="s">
        <v>16687</v>
      </c>
      <c r="H2246" s="6" t="s">
        <v>16688</v>
      </c>
      <c r="K2246" s="5" t="s">
        <v>14944</v>
      </c>
    </row>
    <row r="2247">
      <c r="A2247" s="4">
        <v>45534.33929888889</v>
      </c>
      <c r="B2247" s="5" t="s">
        <v>34</v>
      </c>
      <c r="D2247" s="5" t="s">
        <v>701</v>
      </c>
      <c r="E2247" s="5" t="s">
        <v>16691</v>
      </c>
      <c r="F2247" s="5" t="s">
        <v>37</v>
      </c>
      <c r="G2247" s="5" t="s">
        <v>16692</v>
      </c>
      <c r="H2247" s="6" t="s">
        <v>16693</v>
      </c>
      <c r="K2247" s="5" t="s">
        <v>14944</v>
      </c>
    </row>
    <row r="2248">
      <c r="A2248" s="4">
        <v>45534.339299803236</v>
      </c>
      <c r="B2248" s="5" t="s">
        <v>34</v>
      </c>
      <c r="D2248" s="5" t="s">
        <v>4775</v>
      </c>
      <c r="E2248" s="5" t="s">
        <v>16697</v>
      </c>
      <c r="F2248" s="5" t="s">
        <v>5859</v>
      </c>
      <c r="G2248" s="5" t="s">
        <v>16698</v>
      </c>
      <c r="H2248" s="6" t="s">
        <v>16699</v>
      </c>
      <c r="K2248" s="5" t="s">
        <v>14944</v>
      </c>
    </row>
    <row r="2249">
      <c r="A2249" s="4">
        <v>45534.33930225694</v>
      </c>
      <c r="B2249" s="5" t="s">
        <v>34</v>
      </c>
      <c r="D2249" s="5" t="s">
        <v>1768</v>
      </c>
      <c r="E2249" s="5" t="s">
        <v>16702</v>
      </c>
      <c r="F2249" s="5" t="s">
        <v>72</v>
      </c>
      <c r="G2249" s="5" t="s">
        <v>16703</v>
      </c>
      <c r="H2249" s="6" t="s">
        <v>16704</v>
      </c>
      <c r="K2249" s="5" t="s">
        <v>14944</v>
      </c>
    </row>
    <row r="2250">
      <c r="A2250" s="4">
        <v>45534.33930521991</v>
      </c>
      <c r="B2250" s="5" t="s">
        <v>34</v>
      </c>
      <c r="D2250" s="5" t="s">
        <v>1206</v>
      </c>
      <c r="E2250" s="5" t="s">
        <v>16707</v>
      </c>
      <c r="F2250" s="5" t="s">
        <v>212</v>
      </c>
      <c r="G2250" s="5" t="s">
        <v>16708</v>
      </c>
      <c r="H2250" s="6" t="s">
        <v>16709</v>
      </c>
      <c r="K2250" s="5" t="s">
        <v>14944</v>
      </c>
    </row>
    <row r="2251">
      <c r="A2251" s="4">
        <v>45534.33931040509</v>
      </c>
      <c r="B2251" s="5" t="s">
        <v>19</v>
      </c>
      <c r="C2251" s="5" t="s">
        <v>5564</v>
      </c>
      <c r="E2251" s="5" t="s">
        <v>16712</v>
      </c>
      <c r="F2251" s="5" t="s">
        <v>5566</v>
      </c>
      <c r="G2251" s="5" t="s">
        <v>16713</v>
      </c>
      <c r="H2251" s="6" t="s">
        <v>16714</v>
      </c>
      <c r="K2251" s="5" t="s">
        <v>14944</v>
      </c>
    </row>
    <row r="2252">
      <c r="A2252" s="4">
        <v>45534.33931096065</v>
      </c>
      <c r="B2252" s="5" t="s">
        <v>34</v>
      </c>
      <c r="D2252" s="5" t="s">
        <v>4775</v>
      </c>
      <c r="E2252" s="5" t="s">
        <v>16717</v>
      </c>
      <c r="F2252" s="5" t="s">
        <v>524</v>
      </c>
      <c r="G2252" s="5" t="s">
        <v>16718</v>
      </c>
      <c r="H2252" s="6" t="s">
        <v>16719</v>
      </c>
      <c r="K2252" s="5" t="s">
        <v>14944</v>
      </c>
    </row>
    <row r="2253">
      <c r="A2253" s="4">
        <v>45534.33931623843</v>
      </c>
      <c r="B2253" s="5" t="s">
        <v>34</v>
      </c>
      <c r="D2253" s="5" t="s">
        <v>1206</v>
      </c>
      <c r="E2253" s="5" t="s">
        <v>16722</v>
      </c>
      <c r="F2253" s="5" t="s">
        <v>212</v>
      </c>
      <c r="G2253" s="5" t="s">
        <v>16723</v>
      </c>
      <c r="H2253" s="6" t="s">
        <v>16724</v>
      </c>
      <c r="K2253" s="5" t="s">
        <v>14944</v>
      </c>
    </row>
    <row r="2254">
      <c r="A2254" s="4">
        <v>45534.33931649306</v>
      </c>
      <c r="B2254" s="5" t="s">
        <v>34</v>
      </c>
      <c r="D2254" s="5" t="s">
        <v>6232</v>
      </c>
      <c r="E2254" s="5" t="s">
        <v>16728</v>
      </c>
      <c r="F2254" s="5" t="s">
        <v>524</v>
      </c>
      <c r="G2254" s="5" t="s">
        <v>16729</v>
      </c>
      <c r="H2254" s="6" t="s">
        <v>16730</v>
      </c>
      <c r="K2254" s="5" t="s">
        <v>14944</v>
      </c>
    </row>
    <row r="2255">
      <c r="A2255" s="4">
        <v>45534.33930724537</v>
      </c>
      <c r="B2255" s="5" t="s">
        <v>34</v>
      </c>
      <c r="D2255" s="5" t="s">
        <v>280</v>
      </c>
      <c r="E2255" s="5" t="s">
        <v>16733</v>
      </c>
      <c r="F2255" s="5" t="s">
        <v>37</v>
      </c>
      <c r="G2255" s="5" t="s">
        <v>16734</v>
      </c>
      <c r="H2255" s="6" t="s">
        <v>16735</v>
      </c>
      <c r="K2255" s="5" t="s">
        <v>14944</v>
      </c>
    </row>
    <row r="2256">
      <c r="A2256" s="4">
        <v>45534.33931141204</v>
      </c>
      <c r="B2256" s="5" t="s">
        <v>34</v>
      </c>
      <c r="D2256" s="5" t="s">
        <v>12010</v>
      </c>
      <c r="E2256" s="5" t="s">
        <v>16738</v>
      </c>
      <c r="F2256" s="5" t="s">
        <v>72</v>
      </c>
      <c r="G2256" s="5" t="s">
        <v>16739</v>
      </c>
      <c r="H2256" s="6" t="s">
        <v>16740</v>
      </c>
      <c r="K2256" s="5" t="s">
        <v>14944</v>
      </c>
    </row>
    <row r="2257">
      <c r="A2257" s="4">
        <v>45534.33931459491</v>
      </c>
      <c r="B2257" s="5" t="s">
        <v>34</v>
      </c>
      <c r="D2257" s="5" t="s">
        <v>1206</v>
      </c>
      <c r="E2257" s="5" t="s">
        <v>16743</v>
      </c>
      <c r="F2257" s="5" t="s">
        <v>37</v>
      </c>
      <c r="G2257" s="5" t="s">
        <v>16744</v>
      </c>
      <c r="H2257" s="6" t="s">
        <v>16745</v>
      </c>
      <c r="K2257" s="5" t="s">
        <v>14944</v>
      </c>
    </row>
    <row r="2258">
      <c r="A2258" s="4">
        <v>45534.339324768516</v>
      </c>
      <c r="B2258" s="5" t="s">
        <v>34</v>
      </c>
      <c r="D2258" s="5" t="s">
        <v>6232</v>
      </c>
      <c r="E2258" s="5" t="s">
        <v>16748</v>
      </c>
      <c r="F2258" s="5" t="s">
        <v>37</v>
      </c>
      <c r="G2258" s="5" t="s">
        <v>16749</v>
      </c>
      <c r="H2258" s="6" t="s">
        <v>16750</v>
      </c>
      <c r="K2258" s="5" t="s">
        <v>14944</v>
      </c>
    </row>
    <row r="2259">
      <c r="A2259" s="4">
        <v>45534.339329560185</v>
      </c>
      <c r="B2259" s="5" t="s">
        <v>34</v>
      </c>
      <c r="D2259" s="5" t="s">
        <v>9020</v>
      </c>
      <c r="E2259" s="5" t="s">
        <v>16754</v>
      </c>
      <c r="F2259" s="5" t="s">
        <v>212</v>
      </c>
      <c r="G2259" s="5" t="s">
        <v>16755</v>
      </c>
      <c r="H2259" s="6" t="s">
        <v>16756</v>
      </c>
      <c r="K2259" s="5" t="s">
        <v>14944</v>
      </c>
    </row>
    <row r="2260">
      <c r="A2260" s="4">
        <v>45534.33933328703</v>
      </c>
      <c r="B2260" s="5" t="s">
        <v>34</v>
      </c>
      <c r="D2260" s="5" t="s">
        <v>4775</v>
      </c>
      <c r="E2260" s="5" t="s">
        <v>16759</v>
      </c>
      <c r="F2260" s="5" t="s">
        <v>212</v>
      </c>
      <c r="G2260" s="5" t="s">
        <v>16760</v>
      </c>
      <c r="H2260" s="6" t="s">
        <v>16761</v>
      </c>
      <c r="K2260" s="5" t="s">
        <v>14944</v>
      </c>
    </row>
    <row r="2261">
      <c r="A2261" s="4">
        <v>45534.33932583334</v>
      </c>
      <c r="B2261" s="5" t="s">
        <v>19</v>
      </c>
      <c r="C2261" s="5" t="s">
        <v>292</v>
      </c>
      <c r="E2261" s="5" t="s">
        <v>16764</v>
      </c>
      <c r="F2261" s="5" t="s">
        <v>72</v>
      </c>
      <c r="G2261" s="5" t="s">
        <v>16765</v>
      </c>
      <c r="H2261" s="6" t="s">
        <v>16766</v>
      </c>
      <c r="K2261" s="5" t="s">
        <v>14944</v>
      </c>
    </row>
    <row r="2262">
      <c r="A2262" s="4">
        <v>45534.339337638885</v>
      </c>
      <c r="B2262" s="5" t="s">
        <v>34</v>
      </c>
      <c r="D2262" s="5" t="s">
        <v>10444</v>
      </c>
      <c r="E2262" s="5" t="s">
        <v>16769</v>
      </c>
      <c r="F2262" s="5" t="s">
        <v>37</v>
      </c>
      <c r="G2262" s="5" t="s">
        <v>16770</v>
      </c>
      <c r="H2262" s="6" t="s">
        <v>16771</v>
      </c>
      <c r="I2262" s="7" t="s">
        <v>16772</v>
      </c>
      <c r="J2262" s="8" t="str">
        <f>HYPERLINK("https://drive.google.com/file/d/1xiTEwxxzrY_Wh6iXpkpIVv9iR6x6ULTk/view?usp=drivesdk","YASINIARTI, A.MD.KG SERTIFIKAT BerAKHLAK")</f>
        <v>YASINIARTI, A.MD.KG SERTIFIKAT BerAKHLAK</v>
      </c>
      <c r="K2262" s="5" t="s">
        <v>14929</v>
      </c>
      <c r="L2262" s="5" t="s">
        <v>16773</v>
      </c>
    </row>
    <row r="2263">
      <c r="A2263" s="4">
        <v>45534.33933818287</v>
      </c>
      <c r="B2263" s="5" t="s">
        <v>34</v>
      </c>
      <c r="D2263" s="5" t="s">
        <v>1768</v>
      </c>
      <c r="E2263" s="5" t="s">
        <v>16776</v>
      </c>
      <c r="F2263" s="5" t="s">
        <v>108</v>
      </c>
      <c r="G2263" s="5" t="s">
        <v>16777</v>
      </c>
      <c r="H2263" s="6" t="s">
        <v>16778</v>
      </c>
      <c r="I2263" s="7" t="s">
        <v>16779</v>
      </c>
      <c r="J2263" s="8" t="str">
        <f>HYPERLINK("https://drive.google.com/file/d/1lzHQoYCgWq9jKbqao1IEcSMpglB458DC/view?usp=drivesdk","NURSEHAN SERTIFIKAT BerAKHLAK")</f>
        <v>NURSEHAN SERTIFIKAT BerAKHLAK</v>
      </c>
      <c r="K2263" s="5" t="s">
        <v>14929</v>
      </c>
      <c r="L2263" s="5" t="s">
        <v>16780</v>
      </c>
    </row>
    <row r="2264">
      <c r="A2264" s="4">
        <v>45534.339343472224</v>
      </c>
      <c r="B2264" s="5" t="s">
        <v>34</v>
      </c>
      <c r="D2264" s="5" t="s">
        <v>604</v>
      </c>
      <c r="E2264" s="5" t="s">
        <v>16784</v>
      </c>
      <c r="F2264" s="5" t="s">
        <v>375</v>
      </c>
      <c r="G2264" s="5" t="s">
        <v>16785</v>
      </c>
      <c r="H2264" s="6" t="s">
        <v>16786</v>
      </c>
      <c r="I2264" s="7" t="s">
        <v>16787</v>
      </c>
      <c r="J2264" s="8" t="str">
        <f>HYPERLINK("https://drive.google.com/file/d/1FIc5PR0ZIEjt4JO_KjfwBGT71Of1Z3AP/view?usp=drivesdk","SAFRI,S.KOM.,M.M SERTIFIKAT BerAKHLAK")</f>
        <v>SAFRI,S.KOM.,M.M SERTIFIKAT BerAKHLAK</v>
      </c>
      <c r="K2264" s="5" t="s">
        <v>14929</v>
      </c>
      <c r="L2264" s="5" t="s">
        <v>16788</v>
      </c>
    </row>
    <row r="2265">
      <c r="A2265" s="4">
        <v>45534.33935270833</v>
      </c>
      <c r="B2265" s="5" t="s">
        <v>19</v>
      </c>
      <c r="C2265" s="5" t="s">
        <v>14000</v>
      </c>
      <c r="E2265" s="5" t="s">
        <v>16791</v>
      </c>
      <c r="F2265" s="5" t="s">
        <v>37</v>
      </c>
      <c r="G2265" s="5" t="s">
        <v>16792</v>
      </c>
      <c r="H2265" s="6" t="s">
        <v>16793</v>
      </c>
      <c r="I2265" s="7" t="s">
        <v>16794</v>
      </c>
      <c r="J2265" s="8" t="str">
        <f>HYPERLINK("https://drive.google.com/file/d/1PLCyHyL8lnapy2f3RQ6A3bJLtkeXZYD8/view?usp=drivesdk","FITRATUL HAYATI SERTIFIKAT BerAKHLAK")</f>
        <v>FITRATUL HAYATI SERTIFIKAT BerAKHLAK</v>
      </c>
      <c r="K2265" s="5" t="s">
        <v>14929</v>
      </c>
      <c r="L2265" s="5" t="s">
        <v>16795</v>
      </c>
    </row>
    <row r="2266">
      <c r="A2266" s="4">
        <v>45534.33936104167</v>
      </c>
      <c r="B2266" s="5" t="s">
        <v>19</v>
      </c>
      <c r="C2266" s="5" t="s">
        <v>466</v>
      </c>
      <c r="E2266" s="5" t="s">
        <v>16798</v>
      </c>
      <c r="F2266" s="5" t="s">
        <v>375</v>
      </c>
      <c r="G2266" s="5" t="s">
        <v>16799</v>
      </c>
      <c r="H2266" s="6" t="s">
        <v>16800</v>
      </c>
      <c r="K2266" s="5" t="s">
        <v>16801</v>
      </c>
    </row>
    <row r="2267">
      <c r="A2267" s="4">
        <v>45534.33937159722</v>
      </c>
      <c r="B2267" s="5" t="s">
        <v>34</v>
      </c>
      <c r="D2267" s="5" t="s">
        <v>12978</v>
      </c>
      <c r="E2267" s="5" t="s">
        <v>16804</v>
      </c>
      <c r="F2267" s="5" t="s">
        <v>375</v>
      </c>
      <c r="G2267" s="5" t="s">
        <v>16805</v>
      </c>
      <c r="H2267" s="6" t="s">
        <v>16806</v>
      </c>
      <c r="K2267" s="5" t="s">
        <v>16801</v>
      </c>
    </row>
    <row r="2268">
      <c r="A2268" s="4">
        <v>45534.33937425926</v>
      </c>
      <c r="B2268" s="5" t="s">
        <v>34</v>
      </c>
      <c r="D2268" s="5" t="s">
        <v>1206</v>
      </c>
      <c r="E2268" s="5" t="s">
        <v>16809</v>
      </c>
      <c r="F2268" s="5" t="s">
        <v>37</v>
      </c>
      <c r="G2268" s="5" t="s">
        <v>16810</v>
      </c>
      <c r="H2268" s="6" t="s">
        <v>16811</v>
      </c>
      <c r="K2268" s="5" t="s">
        <v>16801</v>
      </c>
    </row>
    <row r="2269">
      <c r="A2269" s="4">
        <v>45534.339382488426</v>
      </c>
      <c r="B2269" s="5" t="s">
        <v>34</v>
      </c>
      <c r="D2269" s="5" t="s">
        <v>35</v>
      </c>
      <c r="E2269" s="5" t="s">
        <v>16815</v>
      </c>
      <c r="F2269" s="5" t="s">
        <v>524</v>
      </c>
      <c r="G2269" s="5" t="s">
        <v>16816</v>
      </c>
      <c r="H2269" s="6" t="s">
        <v>16817</v>
      </c>
      <c r="K2269" s="5" t="s">
        <v>16801</v>
      </c>
    </row>
    <row r="2270">
      <c r="A2270" s="4">
        <v>45534.33938104167</v>
      </c>
      <c r="B2270" s="5" t="s">
        <v>34</v>
      </c>
      <c r="D2270" s="5" t="s">
        <v>35</v>
      </c>
      <c r="E2270" s="5" t="s">
        <v>16820</v>
      </c>
      <c r="F2270" s="5" t="s">
        <v>199</v>
      </c>
      <c r="G2270" s="5" t="s">
        <v>16821</v>
      </c>
      <c r="H2270" s="6" t="s">
        <v>16822</v>
      </c>
      <c r="I2270" s="7" t="s">
        <v>16823</v>
      </c>
      <c r="J2270" s="8" t="str">
        <f>HYPERLINK("https://drive.google.com/file/d/1P8of4Y2sMsQnWjgl5JvxkpXtjAm27Zzp/view?usp=drivesdk","IIS JUBAEDAH SERTIFIKAT BerAKHLAK")</f>
        <v>IIS JUBAEDAH SERTIFIKAT BerAKHLAK</v>
      </c>
      <c r="K2270" s="5" t="s">
        <v>14116</v>
      </c>
      <c r="L2270" s="5" t="s">
        <v>16824</v>
      </c>
    </row>
    <row r="2271">
      <c r="A2271" s="4">
        <v>45534.33938547454</v>
      </c>
      <c r="B2271" s="5" t="s">
        <v>34</v>
      </c>
      <c r="D2271" s="5" t="s">
        <v>4775</v>
      </c>
      <c r="E2271" s="5" t="s">
        <v>16827</v>
      </c>
      <c r="F2271" s="5" t="s">
        <v>212</v>
      </c>
      <c r="G2271" s="5" t="s">
        <v>16828</v>
      </c>
      <c r="H2271" s="6" t="s">
        <v>16829</v>
      </c>
      <c r="I2271" s="7" t="s">
        <v>16830</v>
      </c>
      <c r="J2271" s="8" t="str">
        <f>HYPERLINK("https://drive.google.com/file/d/1nblvLIpO9IY3A6WtIbYz7HyLMJb2w9SA/view?usp=drivesdk","aMRIN KHARIRI SERTIFIKAT BerAKHLAK")</f>
        <v>aMRIN KHARIRI SERTIFIKAT BerAKHLAK</v>
      </c>
      <c r="K2271" s="5" t="s">
        <v>14116</v>
      </c>
      <c r="L2271" s="5" t="s">
        <v>16831</v>
      </c>
    </row>
    <row r="2272">
      <c r="A2272" s="4">
        <v>45534.339398020835</v>
      </c>
      <c r="B2272" s="5" t="s">
        <v>34</v>
      </c>
      <c r="D2272" s="5" t="s">
        <v>35</v>
      </c>
      <c r="E2272" s="5" t="s">
        <v>16834</v>
      </c>
      <c r="F2272" s="5" t="s">
        <v>72</v>
      </c>
      <c r="G2272" s="5" t="s">
        <v>16835</v>
      </c>
      <c r="H2272" s="6" t="s">
        <v>16836</v>
      </c>
      <c r="I2272" s="7" t="s">
        <v>16837</v>
      </c>
      <c r="J2272" s="8" t="str">
        <f>HYPERLINK("https://drive.google.com/file/d/1G1byewpBt4fto3FcXb27pAazr72Kvznd/view?usp=drivesdk","SUSI SUKMAWATI, A.Md. SERTIFIKAT BerAKHLAK")</f>
        <v>SUSI SUKMAWATI, A.Md. SERTIFIKAT BerAKHLAK</v>
      </c>
      <c r="K2272" s="5" t="s">
        <v>14913</v>
      </c>
      <c r="L2272" s="5" t="s">
        <v>16838</v>
      </c>
    </row>
    <row r="2273">
      <c r="A2273" s="4">
        <v>45534.33940134259</v>
      </c>
      <c r="B2273" s="5" t="s">
        <v>19</v>
      </c>
      <c r="C2273" s="5" t="s">
        <v>466</v>
      </c>
      <c r="E2273" s="5" t="s">
        <v>16841</v>
      </c>
      <c r="F2273" s="5" t="s">
        <v>120</v>
      </c>
      <c r="G2273" s="5" t="s">
        <v>16842</v>
      </c>
      <c r="H2273" s="6" t="s">
        <v>16843</v>
      </c>
      <c r="I2273" s="7" t="s">
        <v>16844</v>
      </c>
      <c r="J2273" s="8" t="str">
        <f>HYPERLINK("https://drive.google.com/file/d/1jWe098vdkZFlSv93Hn0t6CUGlVXdBEok/view?usp=drivesdk","INDRA RAHADIYAN, ST SERTIFIKAT BerAKHLAK")</f>
        <v>INDRA RAHADIYAN, ST SERTIFIKAT BerAKHLAK</v>
      </c>
      <c r="K2273" s="5" t="s">
        <v>14913</v>
      </c>
      <c r="L2273" s="5" t="s">
        <v>16845</v>
      </c>
    </row>
    <row r="2274">
      <c r="A2274" s="4">
        <v>45534.33940224537</v>
      </c>
      <c r="B2274" s="5" t="s">
        <v>34</v>
      </c>
      <c r="D2274" s="5" t="s">
        <v>996</v>
      </c>
      <c r="E2274" s="5" t="s">
        <v>16848</v>
      </c>
      <c r="F2274" s="5" t="s">
        <v>37</v>
      </c>
      <c r="G2274" s="5" t="s">
        <v>16849</v>
      </c>
      <c r="H2274" s="6" t="s">
        <v>16850</v>
      </c>
      <c r="I2274" s="7" t="s">
        <v>16851</v>
      </c>
      <c r="J2274" s="8" t="str">
        <f>HYPERLINK("https://drive.google.com/file/d/152EpaaYfLuXiwwZbPmCJT_N6-59ln9TB/view?usp=drivesdk","RISDAYANTI SERTIFIKAT BerAKHLAK")</f>
        <v>RISDAYANTI SERTIFIKAT BerAKHLAK</v>
      </c>
      <c r="K2274" s="5" t="s">
        <v>14913</v>
      </c>
      <c r="L2274" s="5" t="s">
        <v>16852</v>
      </c>
    </row>
    <row r="2275">
      <c r="A2275" s="4">
        <v>45534.33939587963</v>
      </c>
      <c r="B2275" s="5" t="s">
        <v>34</v>
      </c>
      <c r="D2275" s="5" t="s">
        <v>1206</v>
      </c>
      <c r="E2275" s="5" t="s">
        <v>16856</v>
      </c>
      <c r="F2275" s="5" t="s">
        <v>375</v>
      </c>
      <c r="G2275" s="5" t="s">
        <v>16857</v>
      </c>
      <c r="H2275" s="6" t="s">
        <v>16858</v>
      </c>
      <c r="I2275" s="7" t="s">
        <v>16859</v>
      </c>
      <c r="J2275" s="8" t="str">
        <f>HYPERLINK("https://drive.google.com/file/d/1QDh0JnO5iSsSqIjwBw4h6DrHObu-Qkp6/view?usp=drivesdk","NUNIK KARYATI,S.Sos SERTIFIKAT BerAKHLAK")</f>
        <v>NUNIK KARYATI,S.Sos SERTIFIKAT BerAKHLAK</v>
      </c>
      <c r="K2275" s="5" t="s">
        <v>14913</v>
      </c>
      <c r="L2275" s="5" t="s">
        <v>16860</v>
      </c>
    </row>
    <row r="2276">
      <c r="A2276" s="4">
        <v>45534.3394087037</v>
      </c>
      <c r="B2276" s="5" t="s">
        <v>34</v>
      </c>
      <c r="D2276" s="5" t="s">
        <v>12978</v>
      </c>
      <c r="E2276" s="5" t="s">
        <v>16863</v>
      </c>
      <c r="F2276" s="5" t="s">
        <v>524</v>
      </c>
      <c r="G2276" s="5" t="s">
        <v>16864</v>
      </c>
      <c r="H2276" s="6" t="s">
        <v>16865</v>
      </c>
      <c r="K2276" s="5" t="s">
        <v>16801</v>
      </c>
    </row>
    <row r="2277">
      <c r="A2277" s="4">
        <v>45534.339417951385</v>
      </c>
      <c r="B2277" s="5" t="s">
        <v>34</v>
      </c>
      <c r="D2277" s="5" t="s">
        <v>4775</v>
      </c>
      <c r="E2277" s="5" t="s">
        <v>16868</v>
      </c>
      <c r="F2277" s="5" t="s">
        <v>375</v>
      </c>
      <c r="G2277" s="5" t="s">
        <v>16869</v>
      </c>
      <c r="H2277" s="6" t="s">
        <v>16870</v>
      </c>
      <c r="K2277" s="5" t="s">
        <v>16801</v>
      </c>
    </row>
    <row r="2278">
      <c r="A2278" s="4">
        <v>45534.33942152778</v>
      </c>
      <c r="B2278" s="5" t="s">
        <v>34</v>
      </c>
      <c r="D2278" s="5" t="s">
        <v>4775</v>
      </c>
      <c r="E2278" s="5" t="s">
        <v>16873</v>
      </c>
      <c r="F2278" s="5" t="s">
        <v>212</v>
      </c>
      <c r="G2278" s="5" t="s">
        <v>16874</v>
      </c>
      <c r="H2278" s="6" t="s">
        <v>16875</v>
      </c>
      <c r="K2278" s="5" t="s">
        <v>16801</v>
      </c>
    </row>
    <row r="2279">
      <c r="A2279" s="4">
        <v>45534.33940907408</v>
      </c>
      <c r="B2279" s="5" t="s">
        <v>34</v>
      </c>
      <c r="D2279" s="5" t="s">
        <v>1206</v>
      </c>
      <c r="E2279" s="5" t="s">
        <v>16878</v>
      </c>
      <c r="F2279" s="5" t="s">
        <v>72</v>
      </c>
      <c r="G2279" s="5" t="s">
        <v>16879</v>
      </c>
      <c r="H2279" s="6" t="s">
        <v>16880</v>
      </c>
      <c r="K2279" s="5" t="s">
        <v>16801</v>
      </c>
    </row>
    <row r="2280">
      <c r="A2280" s="4">
        <v>45534.33942891203</v>
      </c>
      <c r="B2280" s="5" t="s">
        <v>34</v>
      </c>
      <c r="D2280" s="5" t="s">
        <v>1206</v>
      </c>
      <c r="E2280" s="5" t="s">
        <v>16884</v>
      </c>
      <c r="F2280" s="5" t="s">
        <v>328</v>
      </c>
      <c r="G2280" s="5" t="s">
        <v>16885</v>
      </c>
      <c r="H2280" s="6" t="s">
        <v>16886</v>
      </c>
      <c r="K2280" s="5" t="s">
        <v>16801</v>
      </c>
    </row>
    <row r="2281">
      <c r="A2281" s="4">
        <v>45534.33944328704</v>
      </c>
      <c r="B2281" s="5" t="s">
        <v>19</v>
      </c>
      <c r="C2281" s="5" t="s">
        <v>14000</v>
      </c>
      <c r="E2281" s="5" t="s">
        <v>16889</v>
      </c>
      <c r="F2281" s="5" t="s">
        <v>37</v>
      </c>
      <c r="G2281" s="5" t="s">
        <v>16890</v>
      </c>
      <c r="H2281" s="6" t="s">
        <v>16891</v>
      </c>
      <c r="K2281" s="5" t="s">
        <v>16801</v>
      </c>
    </row>
    <row r="2282">
      <c r="A2282" s="4">
        <v>45534.3394449537</v>
      </c>
      <c r="B2282" s="5" t="s">
        <v>34</v>
      </c>
      <c r="D2282" s="5" t="s">
        <v>4775</v>
      </c>
      <c r="E2282" s="5" t="s">
        <v>16894</v>
      </c>
      <c r="F2282" s="5" t="s">
        <v>212</v>
      </c>
      <c r="G2282" s="5" t="s">
        <v>16895</v>
      </c>
      <c r="H2282" s="6" t="s">
        <v>16896</v>
      </c>
      <c r="K2282" s="5" t="s">
        <v>16801</v>
      </c>
    </row>
    <row r="2283">
      <c r="A2283" s="4">
        <v>45534.339445300924</v>
      </c>
      <c r="B2283" s="5" t="s">
        <v>34</v>
      </c>
      <c r="D2283" s="5" t="s">
        <v>996</v>
      </c>
      <c r="E2283" s="5" t="s">
        <v>16899</v>
      </c>
      <c r="F2283" s="5" t="s">
        <v>37</v>
      </c>
      <c r="G2283" s="5" t="s">
        <v>16900</v>
      </c>
      <c r="H2283" s="6" t="s">
        <v>16901</v>
      </c>
      <c r="K2283" s="5" t="s">
        <v>16801</v>
      </c>
    </row>
    <row r="2284">
      <c r="A2284" s="4">
        <v>45534.33944673611</v>
      </c>
      <c r="B2284" s="5" t="s">
        <v>34</v>
      </c>
      <c r="D2284" s="5" t="s">
        <v>280</v>
      </c>
      <c r="E2284" s="5" t="s">
        <v>16904</v>
      </c>
      <c r="F2284" s="5" t="s">
        <v>375</v>
      </c>
      <c r="G2284" s="5" t="s">
        <v>11654</v>
      </c>
      <c r="H2284" s="6" t="s">
        <v>16905</v>
      </c>
      <c r="K2284" s="5" t="s">
        <v>16801</v>
      </c>
    </row>
    <row r="2285">
      <c r="A2285" s="4">
        <v>45534.33944835648</v>
      </c>
      <c r="B2285" s="5" t="s">
        <v>34</v>
      </c>
      <c r="D2285" s="5" t="s">
        <v>35</v>
      </c>
      <c r="E2285" s="5" t="s">
        <v>16909</v>
      </c>
      <c r="F2285" s="5" t="s">
        <v>212</v>
      </c>
      <c r="G2285" s="5" t="s">
        <v>16910</v>
      </c>
      <c r="H2285" s="6" t="s">
        <v>16911</v>
      </c>
      <c r="K2285" s="5" t="s">
        <v>16801</v>
      </c>
    </row>
    <row r="2286">
      <c r="A2286" s="4">
        <v>45534.3394550463</v>
      </c>
      <c r="B2286" s="5" t="s">
        <v>34</v>
      </c>
      <c r="D2286" s="5" t="s">
        <v>1206</v>
      </c>
      <c r="E2286" s="5" t="s">
        <v>16914</v>
      </c>
      <c r="F2286" s="5" t="s">
        <v>37</v>
      </c>
      <c r="G2286" s="5" t="s">
        <v>16915</v>
      </c>
      <c r="H2286" s="6" t="s">
        <v>16916</v>
      </c>
      <c r="K2286" s="5" t="s">
        <v>16801</v>
      </c>
    </row>
    <row r="2287">
      <c r="A2287" s="4">
        <v>45534.33946497685</v>
      </c>
      <c r="B2287" s="5" t="s">
        <v>34</v>
      </c>
      <c r="D2287" s="5" t="s">
        <v>35</v>
      </c>
      <c r="E2287" s="5" t="s">
        <v>16919</v>
      </c>
      <c r="F2287" s="5" t="s">
        <v>37</v>
      </c>
      <c r="G2287" s="5" t="s">
        <v>16920</v>
      </c>
      <c r="H2287" s="6" t="s">
        <v>16921</v>
      </c>
      <c r="K2287" s="5" t="s">
        <v>16801</v>
      </c>
    </row>
    <row r="2288">
      <c r="A2288" s="4">
        <v>45534.33946998842</v>
      </c>
      <c r="B2288" s="5" t="s">
        <v>34</v>
      </c>
      <c r="D2288" s="5" t="s">
        <v>2903</v>
      </c>
      <c r="E2288" s="5" t="s">
        <v>16924</v>
      </c>
      <c r="F2288" s="5" t="s">
        <v>108</v>
      </c>
      <c r="G2288" s="5" t="s">
        <v>16925</v>
      </c>
      <c r="H2288" s="6" t="s">
        <v>16926</v>
      </c>
      <c r="K2288" s="5" t="s">
        <v>16801</v>
      </c>
    </row>
    <row r="2289">
      <c r="A2289" s="4">
        <v>45534.33944821759</v>
      </c>
      <c r="B2289" s="5" t="s">
        <v>34</v>
      </c>
      <c r="D2289" s="5" t="s">
        <v>1206</v>
      </c>
      <c r="E2289" s="5" t="s">
        <v>16929</v>
      </c>
      <c r="F2289" s="5" t="s">
        <v>15386</v>
      </c>
      <c r="G2289" s="5" t="s">
        <v>16930</v>
      </c>
      <c r="H2289" s="6" t="s">
        <v>16931</v>
      </c>
      <c r="K2289" s="5" t="s">
        <v>16801</v>
      </c>
    </row>
    <row r="2290">
      <c r="A2290" s="4">
        <v>45534.33944982639</v>
      </c>
      <c r="B2290" s="5" t="s">
        <v>34</v>
      </c>
      <c r="D2290" s="5" t="s">
        <v>35</v>
      </c>
      <c r="E2290" s="5" t="s">
        <v>16935</v>
      </c>
      <c r="F2290" s="5" t="s">
        <v>212</v>
      </c>
      <c r="G2290" s="5" t="s">
        <v>16936</v>
      </c>
      <c r="H2290" s="6" t="s">
        <v>16937</v>
      </c>
      <c r="K2290" s="5" t="s">
        <v>16801</v>
      </c>
    </row>
    <row r="2291">
      <c r="A2291" s="4">
        <v>45534.33945471064</v>
      </c>
      <c r="B2291" s="5" t="s">
        <v>34</v>
      </c>
      <c r="D2291" s="5" t="s">
        <v>35</v>
      </c>
      <c r="E2291" s="5" t="s">
        <v>16940</v>
      </c>
      <c r="F2291" s="5" t="s">
        <v>375</v>
      </c>
      <c r="G2291" s="5" t="s">
        <v>16941</v>
      </c>
      <c r="H2291" s="6" t="s">
        <v>16942</v>
      </c>
      <c r="K2291" s="5" t="s">
        <v>16801</v>
      </c>
    </row>
    <row r="2292">
      <c r="A2292" s="4">
        <v>45534.33945597222</v>
      </c>
      <c r="B2292" s="5" t="s">
        <v>34</v>
      </c>
      <c r="D2292" s="5" t="s">
        <v>9020</v>
      </c>
      <c r="E2292" s="5" t="s">
        <v>16945</v>
      </c>
      <c r="F2292" s="5" t="s">
        <v>715</v>
      </c>
      <c r="G2292" s="5" t="s">
        <v>16946</v>
      </c>
      <c r="H2292" s="6" t="s">
        <v>16947</v>
      </c>
      <c r="K2292" s="5" t="s">
        <v>16801</v>
      </c>
    </row>
    <row r="2293">
      <c r="A2293" s="4">
        <v>45534.33947578704</v>
      </c>
      <c r="B2293" s="5" t="s">
        <v>19</v>
      </c>
      <c r="C2293" s="5" t="s">
        <v>292</v>
      </c>
      <c r="E2293" s="5" t="s">
        <v>16950</v>
      </c>
      <c r="F2293" s="5" t="s">
        <v>120</v>
      </c>
      <c r="G2293" s="5" t="s">
        <v>16951</v>
      </c>
      <c r="H2293" s="6" t="s">
        <v>16952</v>
      </c>
      <c r="K2293" s="5" t="s">
        <v>16801</v>
      </c>
    </row>
    <row r="2294">
      <c r="A2294" s="4">
        <v>45534.339483171294</v>
      </c>
      <c r="B2294" s="5" t="s">
        <v>34</v>
      </c>
      <c r="D2294" s="5" t="s">
        <v>35</v>
      </c>
      <c r="E2294" s="5" t="s">
        <v>14620</v>
      </c>
      <c r="F2294" s="5" t="s">
        <v>37</v>
      </c>
      <c r="G2294" s="5" t="s">
        <v>16955</v>
      </c>
      <c r="H2294" s="6" t="s">
        <v>16956</v>
      </c>
      <c r="K2294" s="5" t="s">
        <v>16801</v>
      </c>
    </row>
    <row r="2295">
      <c r="A2295" s="4">
        <v>45534.33948958333</v>
      </c>
      <c r="B2295" s="5" t="s">
        <v>19</v>
      </c>
      <c r="C2295" s="5" t="s">
        <v>466</v>
      </c>
      <c r="E2295" s="5" t="s">
        <v>16960</v>
      </c>
      <c r="F2295" s="5" t="s">
        <v>120</v>
      </c>
      <c r="G2295" s="5" t="s">
        <v>16961</v>
      </c>
      <c r="H2295" s="6" t="s">
        <v>16962</v>
      </c>
      <c r="I2295" s="7" t="s">
        <v>16963</v>
      </c>
      <c r="J2295" s="8" t="str">
        <f>HYPERLINK("https://drive.google.com/file/d/1y4bEtdQTLO9JUXYDBYK_q6xgIaaGSnbQ/view?usp=drivesdk","PANGESTUTI SERTIFIKAT BerAKHLAK")</f>
        <v>PANGESTUTI SERTIFIKAT BerAKHLAK</v>
      </c>
      <c r="K2295" s="5" t="s">
        <v>14116</v>
      </c>
      <c r="L2295" s="5" t="s">
        <v>16964</v>
      </c>
    </row>
    <row r="2296">
      <c r="A2296" s="4">
        <v>45534.339491018516</v>
      </c>
      <c r="B2296" s="5" t="s">
        <v>34</v>
      </c>
      <c r="D2296" s="5" t="s">
        <v>6232</v>
      </c>
      <c r="E2296" s="5" t="s">
        <v>16967</v>
      </c>
      <c r="F2296" s="5" t="s">
        <v>524</v>
      </c>
      <c r="G2296" s="5" t="s">
        <v>16968</v>
      </c>
      <c r="H2296" s="6" t="s">
        <v>16969</v>
      </c>
      <c r="I2296" s="7" t="s">
        <v>16970</v>
      </c>
      <c r="J2296" s="8" t="str">
        <f>HYPERLINK("https://drive.google.com/file/d/1WE0x45DMBbtaPHSyUtvvozWis3uoWLHA/view?usp=drivesdk","ENDANG SUMIATI  SERTIFIKAT BerAKHLAK")</f>
        <v>ENDANG SUMIATI  SERTIFIKAT BerAKHLAK</v>
      </c>
      <c r="K2296" s="5" t="s">
        <v>14116</v>
      </c>
      <c r="L2296" s="5" t="s">
        <v>16971</v>
      </c>
    </row>
    <row r="2297">
      <c r="A2297" s="4">
        <v>45534.33949230324</v>
      </c>
      <c r="B2297" s="5" t="s">
        <v>34</v>
      </c>
      <c r="D2297" s="5" t="s">
        <v>1206</v>
      </c>
      <c r="E2297" s="5" t="s">
        <v>16974</v>
      </c>
      <c r="F2297" s="5" t="s">
        <v>524</v>
      </c>
      <c r="G2297" s="5" t="s">
        <v>16975</v>
      </c>
      <c r="H2297" s="6" t="s">
        <v>16976</v>
      </c>
      <c r="I2297" s="7" t="s">
        <v>16977</v>
      </c>
      <c r="J2297" s="8" t="str">
        <f>HYPERLINK("https://drive.google.com/file/d/1hI8jEtH17yaqj-KRED1w_KOO6XcW4LVa/view?usp=drivesdk","MIFTACHUL MA'ARIF Amd Kep SERTIFIKAT BerAKHLAK")</f>
        <v>MIFTACHUL MA'ARIF Amd Kep SERTIFIKAT BerAKHLAK</v>
      </c>
      <c r="K2297" s="5" t="s">
        <v>14913</v>
      </c>
      <c r="L2297" s="5" t="s">
        <v>16978</v>
      </c>
    </row>
    <row r="2298">
      <c r="A2298" s="4">
        <v>45534.33949429398</v>
      </c>
      <c r="B2298" s="5" t="s">
        <v>34</v>
      </c>
      <c r="D2298" s="5" t="s">
        <v>996</v>
      </c>
      <c r="E2298" s="5" t="s">
        <v>16981</v>
      </c>
      <c r="F2298" s="5" t="s">
        <v>108</v>
      </c>
      <c r="G2298" s="5" t="s">
        <v>16982</v>
      </c>
      <c r="H2298" s="6" t="s">
        <v>16983</v>
      </c>
      <c r="I2298" s="7" t="s">
        <v>16984</v>
      </c>
      <c r="J2298" s="8" t="str">
        <f>HYPERLINK("https://drive.google.com/file/d/1h9ITuv5RmLxX5jyXgRFuNFEC33yBi8s0/view?usp=drivesdk","FUADI NOOR SERTIFIKAT BerAKHLAK")</f>
        <v>FUADI NOOR SERTIFIKAT BerAKHLAK</v>
      </c>
      <c r="K2298" s="5" t="s">
        <v>14913</v>
      </c>
      <c r="L2298" s="5" t="s">
        <v>16985</v>
      </c>
    </row>
    <row r="2299">
      <c r="A2299" s="4">
        <v>45534.33948096065</v>
      </c>
      <c r="B2299" s="5" t="s">
        <v>19</v>
      </c>
      <c r="C2299" s="5" t="s">
        <v>292</v>
      </c>
      <c r="E2299" s="5" t="s">
        <v>16988</v>
      </c>
      <c r="F2299" s="5" t="s">
        <v>72</v>
      </c>
      <c r="G2299" s="5" t="s">
        <v>16989</v>
      </c>
      <c r="H2299" s="6" t="s">
        <v>16990</v>
      </c>
      <c r="I2299" s="7" t="s">
        <v>16991</v>
      </c>
      <c r="J2299" s="8" t="str">
        <f>HYPERLINK("https://drive.google.com/file/d/1IOvn2-1GboAl-s0Xq_AOwyJ6g6pwnj__/view?usp=drivesdk","EVI NOPIYANTI SERTIFIKAT BerAKHLAK")</f>
        <v>EVI NOPIYANTI SERTIFIKAT BerAKHLAK</v>
      </c>
      <c r="K2299" s="5" t="s">
        <v>14913</v>
      </c>
      <c r="L2299" s="5" t="s">
        <v>16992</v>
      </c>
    </row>
    <row r="2300">
      <c r="A2300" s="4">
        <v>45534.339495416665</v>
      </c>
      <c r="B2300" s="5" t="s">
        <v>19</v>
      </c>
      <c r="C2300" s="5" t="s">
        <v>3471</v>
      </c>
      <c r="E2300" s="5" t="s">
        <v>16995</v>
      </c>
      <c r="F2300" s="5" t="s">
        <v>72</v>
      </c>
      <c r="G2300" s="5" t="s">
        <v>16996</v>
      </c>
      <c r="H2300" s="6" t="s">
        <v>16997</v>
      </c>
      <c r="I2300" s="7" t="s">
        <v>16998</v>
      </c>
      <c r="J2300" s="8" t="str">
        <f>HYPERLINK("https://drive.google.com/file/d/1d98CKOM3ALEPLoYhMIObdgFZY_khA5ze/view?usp=drivesdk","BAYU ARDHI PUTRA, S.Kom. SERTIFIKAT BerAKHLAK")</f>
        <v>BAYU ARDHI PUTRA, S.Kom. SERTIFIKAT BerAKHLAK</v>
      </c>
      <c r="K2300" s="5" t="s">
        <v>14913</v>
      </c>
      <c r="L2300" s="5" t="s">
        <v>16999</v>
      </c>
    </row>
    <row r="2301">
      <c r="A2301" s="4">
        <v>45534.33949600694</v>
      </c>
      <c r="B2301" s="5" t="s">
        <v>19</v>
      </c>
      <c r="C2301" s="5" t="s">
        <v>11593</v>
      </c>
      <c r="E2301" s="5" t="s">
        <v>17003</v>
      </c>
      <c r="F2301" s="5" t="s">
        <v>72</v>
      </c>
      <c r="G2301" s="5" t="s">
        <v>17004</v>
      </c>
      <c r="H2301" s="6" t="s">
        <v>17005</v>
      </c>
      <c r="K2301" s="5" t="s">
        <v>17006</v>
      </c>
    </row>
    <row r="2302">
      <c r="A2302" s="4">
        <v>45534.33949759259</v>
      </c>
      <c r="B2302" s="5" t="s">
        <v>34</v>
      </c>
      <c r="D2302" s="5" t="s">
        <v>6232</v>
      </c>
      <c r="E2302" s="5" t="s">
        <v>17009</v>
      </c>
      <c r="F2302" s="5" t="s">
        <v>524</v>
      </c>
      <c r="G2302" s="5" t="s">
        <v>17010</v>
      </c>
      <c r="H2302" s="6" t="s">
        <v>17011</v>
      </c>
      <c r="K2302" s="5" t="s">
        <v>17006</v>
      </c>
    </row>
    <row r="2303">
      <c r="A2303" s="4">
        <v>45534.3395220949</v>
      </c>
      <c r="B2303" s="5" t="s">
        <v>34</v>
      </c>
      <c r="D2303" s="5" t="s">
        <v>6232</v>
      </c>
      <c r="E2303" s="5" t="s">
        <v>17014</v>
      </c>
      <c r="F2303" s="5" t="s">
        <v>212</v>
      </c>
      <c r="G2303" s="5" t="s">
        <v>17015</v>
      </c>
      <c r="H2303" s="6" t="s">
        <v>17016</v>
      </c>
      <c r="K2303" s="5" t="s">
        <v>17006</v>
      </c>
    </row>
    <row r="2304">
      <c r="A2304" s="4">
        <v>45534.339523159724</v>
      </c>
      <c r="B2304" s="5" t="s">
        <v>34</v>
      </c>
      <c r="D2304" s="5" t="s">
        <v>9020</v>
      </c>
      <c r="E2304" s="5" t="s">
        <v>17019</v>
      </c>
      <c r="F2304" s="5" t="s">
        <v>72</v>
      </c>
      <c r="G2304" s="5" t="s">
        <v>17020</v>
      </c>
      <c r="H2304" s="6" t="s">
        <v>17021</v>
      </c>
      <c r="K2304" s="5" t="s">
        <v>17006</v>
      </c>
    </row>
    <row r="2305">
      <c r="A2305" s="4">
        <v>45534.33952681713</v>
      </c>
      <c r="B2305" s="5" t="s">
        <v>34</v>
      </c>
      <c r="D2305" s="5" t="s">
        <v>6232</v>
      </c>
      <c r="E2305" s="5" t="s">
        <v>17024</v>
      </c>
      <c r="F2305" s="5" t="s">
        <v>212</v>
      </c>
      <c r="G2305" s="5" t="s">
        <v>17025</v>
      </c>
      <c r="H2305" s="6" t="s">
        <v>17026</v>
      </c>
      <c r="K2305" s="5" t="s">
        <v>15376</v>
      </c>
    </row>
    <row r="2306">
      <c r="A2306" s="4">
        <v>45534.339503483796</v>
      </c>
      <c r="B2306" s="5" t="s">
        <v>34</v>
      </c>
      <c r="D2306" s="5" t="s">
        <v>3849</v>
      </c>
      <c r="E2306" s="5" t="s">
        <v>17029</v>
      </c>
      <c r="F2306" s="5" t="s">
        <v>108</v>
      </c>
      <c r="G2306" s="5" t="s">
        <v>17030</v>
      </c>
      <c r="H2306" s="6" t="s">
        <v>17031</v>
      </c>
      <c r="K2306" s="5" t="s">
        <v>15376</v>
      </c>
    </row>
    <row r="2307">
      <c r="A2307" s="4">
        <v>45534.33950690972</v>
      </c>
      <c r="B2307" s="5" t="s">
        <v>34</v>
      </c>
      <c r="D2307" s="5" t="s">
        <v>6232</v>
      </c>
      <c r="E2307" s="5" t="s">
        <v>17035</v>
      </c>
      <c r="F2307" s="5" t="s">
        <v>108</v>
      </c>
      <c r="G2307" s="5" t="s">
        <v>17036</v>
      </c>
      <c r="H2307" s="6" t="s">
        <v>17037</v>
      </c>
      <c r="K2307" s="5" t="s">
        <v>15376</v>
      </c>
    </row>
    <row r="2308">
      <c r="A2308" s="4">
        <v>45534.339508564815</v>
      </c>
      <c r="B2308" s="5" t="s">
        <v>34</v>
      </c>
      <c r="D2308" s="5" t="s">
        <v>4775</v>
      </c>
      <c r="E2308" s="5" t="s">
        <v>17040</v>
      </c>
      <c r="F2308" s="5" t="s">
        <v>212</v>
      </c>
      <c r="G2308" s="5" t="s">
        <v>17041</v>
      </c>
      <c r="H2308" s="6" t="s">
        <v>17042</v>
      </c>
      <c r="K2308" s="5" t="s">
        <v>15376</v>
      </c>
    </row>
    <row r="2309">
      <c r="A2309" s="4">
        <v>45534.33951427083</v>
      </c>
      <c r="B2309" s="5" t="s">
        <v>34</v>
      </c>
      <c r="D2309" s="5" t="s">
        <v>1206</v>
      </c>
      <c r="E2309" s="5" t="s">
        <v>17045</v>
      </c>
      <c r="F2309" s="5" t="s">
        <v>5859</v>
      </c>
      <c r="G2309" s="5" t="s">
        <v>17046</v>
      </c>
      <c r="H2309" s="6" t="s">
        <v>17047</v>
      </c>
      <c r="K2309" s="5" t="s">
        <v>15376</v>
      </c>
    </row>
    <row r="2310">
      <c r="A2310" s="4">
        <v>45534.33952784722</v>
      </c>
      <c r="B2310" s="5" t="s">
        <v>34</v>
      </c>
      <c r="D2310" s="5" t="s">
        <v>1206</v>
      </c>
      <c r="E2310" s="5" t="s">
        <v>17050</v>
      </c>
      <c r="F2310" s="5" t="s">
        <v>37</v>
      </c>
      <c r="G2310" s="5" t="s">
        <v>17051</v>
      </c>
      <c r="H2310" s="6" t="s">
        <v>17052</v>
      </c>
      <c r="K2310" s="5" t="s">
        <v>15376</v>
      </c>
    </row>
    <row r="2311">
      <c r="A2311" s="4">
        <v>45534.33952871528</v>
      </c>
      <c r="B2311" s="5" t="s">
        <v>34</v>
      </c>
      <c r="D2311" s="5" t="s">
        <v>35</v>
      </c>
      <c r="E2311" s="5" t="s">
        <v>17055</v>
      </c>
      <c r="F2311" s="5" t="s">
        <v>37</v>
      </c>
      <c r="G2311" s="5" t="s">
        <v>17056</v>
      </c>
      <c r="H2311" s="6" t="s">
        <v>17057</v>
      </c>
      <c r="K2311" s="5" t="s">
        <v>15376</v>
      </c>
    </row>
    <row r="2312">
      <c r="A2312" s="4">
        <v>45534.33953099537</v>
      </c>
      <c r="B2312" s="5" t="s">
        <v>34</v>
      </c>
      <c r="D2312" s="5" t="s">
        <v>701</v>
      </c>
      <c r="E2312" s="5" t="s">
        <v>17060</v>
      </c>
      <c r="F2312" s="5" t="s">
        <v>37</v>
      </c>
      <c r="G2312" s="5" t="s">
        <v>17061</v>
      </c>
      <c r="H2312" s="6" t="s">
        <v>17062</v>
      </c>
      <c r="K2312" s="5" t="s">
        <v>15376</v>
      </c>
    </row>
    <row r="2313">
      <c r="A2313" s="4">
        <v>45534.33955388889</v>
      </c>
      <c r="B2313" s="5" t="s">
        <v>34</v>
      </c>
      <c r="D2313" s="5" t="s">
        <v>4775</v>
      </c>
      <c r="E2313" s="5" t="s">
        <v>17066</v>
      </c>
      <c r="F2313" s="5" t="s">
        <v>212</v>
      </c>
      <c r="G2313" s="5" t="s">
        <v>17067</v>
      </c>
      <c r="H2313" s="6" t="s">
        <v>17068</v>
      </c>
      <c r="K2313" s="5" t="s">
        <v>15376</v>
      </c>
    </row>
    <row r="2314">
      <c r="A2314" s="4">
        <v>45534.33955510416</v>
      </c>
      <c r="B2314" s="5" t="s">
        <v>19</v>
      </c>
      <c r="C2314" s="5" t="s">
        <v>3301</v>
      </c>
      <c r="E2314" s="5" t="s">
        <v>17071</v>
      </c>
      <c r="F2314" s="5" t="s">
        <v>37</v>
      </c>
      <c r="G2314" s="5" t="s">
        <v>17072</v>
      </c>
      <c r="H2314" s="6" t="s">
        <v>17073</v>
      </c>
      <c r="K2314" s="5" t="s">
        <v>15376</v>
      </c>
    </row>
    <row r="2315">
      <c r="A2315" s="4">
        <v>45534.33956267362</v>
      </c>
      <c r="B2315" s="5" t="s">
        <v>34</v>
      </c>
      <c r="D2315" s="5" t="s">
        <v>35</v>
      </c>
      <c r="E2315" s="5" t="s">
        <v>17076</v>
      </c>
      <c r="F2315" s="5" t="s">
        <v>37</v>
      </c>
      <c r="G2315" s="5" t="s">
        <v>17077</v>
      </c>
      <c r="H2315" s="6" t="s">
        <v>17078</v>
      </c>
      <c r="K2315" s="5" t="s">
        <v>15376</v>
      </c>
    </row>
    <row r="2316">
      <c r="A2316" s="4">
        <v>45534.33956395833</v>
      </c>
      <c r="B2316" s="5" t="s">
        <v>34</v>
      </c>
      <c r="D2316" s="5" t="s">
        <v>35</v>
      </c>
      <c r="E2316" s="5" t="s">
        <v>17081</v>
      </c>
      <c r="F2316" s="5" t="s">
        <v>375</v>
      </c>
      <c r="G2316" s="5" t="s">
        <v>17082</v>
      </c>
      <c r="H2316" s="6" t="s">
        <v>17083</v>
      </c>
      <c r="K2316" s="5" t="s">
        <v>15376</v>
      </c>
    </row>
    <row r="2317">
      <c r="A2317" s="4">
        <v>45534.339564849535</v>
      </c>
      <c r="B2317" s="5" t="s">
        <v>34</v>
      </c>
      <c r="D2317" s="5" t="s">
        <v>1206</v>
      </c>
      <c r="E2317" s="5" t="s">
        <v>17086</v>
      </c>
      <c r="F2317" s="5" t="s">
        <v>199</v>
      </c>
      <c r="G2317" s="5" t="s">
        <v>17087</v>
      </c>
      <c r="H2317" s="6" t="s">
        <v>17088</v>
      </c>
      <c r="K2317" s="5" t="s">
        <v>15376</v>
      </c>
    </row>
    <row r="2318">
      <c r="A2318" s="4">
        <v>45534.33957140046</v>
      </c>
      <c r="B2318" s="5" t="s">
        <v>34</v>
      </c>
      <c r="D2318" s="5" t="s">
        <v>9394</v>
      </c>
      <c r="E2318" s="5" t="s">
        <v>17092</v>
      </c>
      <c r="F2318" s="5" t="s">
        <v>37</v>
      </c>
      <c r="G2318" s="5" t="s">
        <v>17093</v>
      </c>
      <c r="H2318" s="6" t="s">
        <v>17094</v>
      </c>
      <c r="K2318" s="5" t="s">
        <v>15376</v>
      </c>
    </row>
    <row r="2319">
      <c r="A2319" s="4">
        <v>45534.339534618055</v>
      </c>
      <c r="B2319" s="5" t="s">
        <v>34</v>
      </c>
      <c r="D2319" s="5" t="s">
        <v>12978</v>
      </c>
      <c r="E2319" s="5" t="s">
        <v>17097</v>
      </c>
      <c r="F2319" s="5" t="s">
        <v>37</v>
      </c>
      <c r="G2319" s="5" t="s">
        <v>17098</v>
      </c>
      <c r="H2319" s="6" t="s">
        <v>17099</v>
      </c>
      <c r="K2319" s="5" t="s">
        <v>15376</v>
      </c>
    </row>
    <row r="2320">
      <c r="A2320" s="4">
        <v>45534.33954726852</v>
      </c>
      <c r="B2320" s="5" t="s">
        <v>34</v>
      </c>
      <c r="D2320" s="5" t="s">
        <v>1206</v>
      </c>
      <c r="E2320" s="5" t="s">
        <v>17102</v>
      </c>
      <c r="F2320" s="5" t="s">
        <v>37</v>
      </c>
      <c r="G2320" s="5" t="s">
        <v>17103</v>
      </c>
      <c r="H2320" s="6" t="s">
        <v>17104</v>
      </c>
      <c r="K2320" s="5" t="s">
        <v>15376</v>
      </c>
    </row>
    <row r="2321">
      <c r="A2321" s="4">
        <v>45534.339556562496</v>
      </c>
      <c r="B2321" s="5" t="s">
        <v>34</v>
      </c>
      <c r="D2321" s="5" t="s">
        <v>35</v>
      </c>
      <c r="E2321" s="5" t="s">
        <v>17107</v>
      </c>
      <c r="F2321" s="5" t="s">
        <v>212</v>
      </c>
      <c r="G2321" s="5" t="s">
        <v>17108</v>
      </c>
      <c r="H2321" s="6" t="s">
        <v>17109</v>
      </c>
      <c r="K2321" s="5" t="s">
        <v>15376</v>
      </c>
    </row>
    <row r="2322">
      <c r="A2322" s="4">
        <v>45534.33955675926</v>
      </c>
      <c r="B2322" s="5" t="s">
        <v>34</v>
      </c>
      <c r="D2322" s="5" t="s">
        <v>1768</v>
      </c>
      <c r="E2322" s="5" t="s">
        <v>17112</v>
      </c>
      <c r="F2322" s="5" t="s">
        <v>72</v>
      </c>
      <c r="G2322" s="5" t="s">
        <v>17113</v>
      </c>
      <c r="H2322" s="6" t="s">
        <v>17114</v>
      </c>
      <c r="K2322" s="5" t="s">
        <v>15376</v>
      </c>
    </row>
    <row r="2323">
      <c r="A2323" s="4">
        <v>45534.33957578704</v>
      </c>
      <c r="B2323" s="5" t="s">
        <v>34</v>
      </c>
      <c r="D2323" s="5" t="s">
        <v>9394</v>
      </c>
      <c r="E2323" s="5" t="s">
        <v>17118</v>
      </c>
      <c r="F2323" s="5" t="s">
        <v>715</v>
      </c>
      <c r="G2323" s="5" t="s">
        <v>17119</v>
      </c>
      <c r="H2323" s="6" t="s">
        <v>17120</v>
      </c>
      <c r="K2323" s="5" t="s">
        <v>15376</v>
      </c>
    </row>
    <row r="2324">
      <c r="A2324" s="4">
        <v>45534.33957693287</v>
      </c>
      <c r="B2324" s="5" t="s">
        <v>34</v>
      </c>
      <c r="D2324" s="5" t="s">
        <v>35</v>
      </c>
      <c r="E2324" s="5" t="s">
        <v>17123</v>
      </c>
      <c r="F2324" s="5" t="s">
        <v>37</v>
      </c>
      <c r="G2324" s="5" t="s">
        <v>17124</v>
      </c>
      <c r="H2324" s="6" t="s">
        <v>17125</v>
      </c>
      <c r="K2324" s="5" t="s">
        <v>15376</v>
      </c>
    </row>
    <row r="2325">
      <c r="A2325" s="4">
        <v>45534.33957835648</v>
      </c>
      <c r="B2325" s="5" t="s">
        <v>34</v>
      </c>
      <c r="D2325" s="5" t="s">
        <v>1206</v>
      </c>
      <c r="E2325" s="5" t="s">
        <v>17128</v>
      </c>
      <c r="F2325" s="5" t="s">
        <v>37</v>
      </c>
      <c r="G2325" s="5" t="s">
        <v>17129</v>
      </c>
      <c r="H2325" s="6" t="s">
        <v>17130</v>
      </c>
      <c r="K2325" s="5" t="s">
        <v>15376</v>
      </c>
    </row>
    <row r="2326">
      <c r="A2326" s="4">
        <v>45534.33958554398</v>
      </c>
      <c r="B2326" s="5" t="s">
        <v>34</v>
      </c>
      <c r="D2326" s="5" t="s">
        <v>996</v>
      </c>
      <c r="E2326" s="5" t="s">
        <v>17133</v>
      </c>
      <c r="F2326" s="5" t="s">
        <v>37</v>
      </c>
      <c r="G2326" s="5" t="s">
        <v>17134</v>
      </c>
      <c r="H2326" s="6" t="s">
        <v>17135</v>
      </c>
      <c r="K2326" s="5" t="s">
        <v>15376</v>
      </c>
    </row>
    <row r="2327">
      <c r="A2327" s="4">
        <v>45534.33958915509</v>
      </c>
      <c r="B2327" s="5" t="s">
        <v>34</v>
      </c>
      <c r="D2327" s="5" t="s">
        <v>10444</v>
      </c>
      <c r="E2327" s="5" t="s">
        <v>17138</v>
      </c>
      <c r="F2327" s="5" t="s">
        <v>212</v>
      </c>
      <c r="G2327" s="5" t="s">
        <v>17139</v>
      </c>
      <c r="H2327" s="6" t="s">
        <v>17140</v>
      </c>
      <c r="K2327" s="5" t="s">
        <v>15376</v>
      </c>
    </row>
    <row r="2328">
      <c r="A2328" s="4">
        <v>45534.339594571764</v>
      </c>
      <c r="B2328" s="5" t="s">
        <v>34</v>
      </c>
      <c r="D2328" s="5" t="s">
        <v>35</v>
      </c>
      <c r="E2328" s="5" t="s">
        <v>17143</v>
      </c>
      <c r="F2328" s="5" t="s">
        <v>524</v>
      </c>
      <c r="G2328" s="5" t="s">
        <v>17144</v>
      </c>
      <c r="H2328" s="6" t="s">
        <v>17145</v>
      </c>
      <c r="K2328" s="5" t="s">
        <v>15376</v>
      </c>
    </row>
    <row r="2329">
      <c r="A2329" s="4">
        <v>45534.33960009259</v>
      </c>
      <c r="B2329" s="5" t="s">
        <v>34</v>
      </c>
      <c r="D2329" s="5" t="s">
        <v>1206</v>
      </c>
      <c r="E2329" s="5" t="s">
        <v>17149</v>
      </c>
      <c r="F2329" s="5" t="s">
        <v>37</v>
      </c>
      <c r="G2329" s="5" t="s">
        <v>17150</v>
      </c>
      <c r="H2329" s="6" t="s">
        <v>17151</v>
      </c>
      <c r="K2329" s="5" t="s">
        <v>15376</v>
      </c>
    </row>
    <row r="2330">
      <c r="A2330" s="4">
        <v>45534.33960614583</v>
      </c>
      <c r="B2330" s="5" t="s">
        <v>34</v>
      </c>
      <c r="D2330" s="5" t="s">
        <v>4775</v>
      </c>
      <c r="E2330" s="5" t="s">
        <v>17154</v>
      </c>
      <c r="F2330" s="5" t="s">
        <v>212</v>
      </c>
      <c r="G2330" s="5" t="s">
        <v>17155</v>
      </c>
      <c r="H2330" s="6" t="s">
        <v>17156</v>
      </c>
      <c r="K2330" s="5" t="s">
        <v>15376</v>
      </c>
    </row>
    <row r="2331">
      <c r="A2331" s="4">
        <v>45534.33960694444</v>
      </c>
      <c r="B2331" s="5" t="s">
        <v>19</v>
      </c>
      <c r="C2331" s="5" t="s">
        <v>8666</v>
      </c>
      <c r="E2331" s="5" t="s">
        <v>17159</v>
      </c>
      <c r="F2331" s="5" t="s">
        <v>5859</v>
      </c>
      <c r="G2331" s="5" t="s">
        <v>17160</v>
      </c>
      <c r="H2331" s="6" t="s">
        <v>17161</v>
      </c>
      <c r="K2331" s="5" t="s">
        <v>17162</v>
      </c>
    </row>
    <row r="2332">
      <c r="A2332" s="4">
        <v>45534.339607118054</v>
      </c>
      <c r="B2332" s="5" t="s">
        <v>34</v>
      </c>
      <c r="D2332" s="5" t="s">
        <v>12978</v>
      </c>
      <c r="E2332" s="5" t="s">
        <v>17165</v>
      </c>
      <c r="F2332" s="5" t="s">
        <v>37</v>
      </c>
      <c r="G2332" s="5" t="s">
        <v>17166</v>
      </c>
      <c r="H2332" s="6" t="s">
        <v>17167</v>
      </c>
      <c r="K2332" s="5" t="s">
        <v>17162</v>
      </c>
    </row>
    <row r="2333">
      <c r="A2333" s="4">
        <v>45534.339619872684</v>
      </c>
      <c r="B2333" s="5" t="s">
        <v>34</v>
      </c>
      <c r="D2333" s="5" t="s">
        <v>35</v>
      </c>
      <c r="E2333" s="5" t="s">
        <v>17170</v>
      </c>
      <c r="F2333" s="5" t="s">
        <v>108</v>
      </c>
      <c r="G2333" s="5" t="s">
        <v>17171</v>
      </c>
      <c r="H2333" s="6" t="s">
        <v>17172</v>
      </c>
      <c r="K2333" s="5" t="s">
        <v>17162</v>
      </c>
    </row>
    <row r="2334">
      <c r="A2334" s="4">
        <v>45534.33962144676</v>
      </c>
      <c r="B2334" s="5" t="s">
        <v>34</v>
      </c>
      <c r="D2334" s="5" t="s">
        <v>1206</v>
      </c>
      <c r="E2334" s="5" t="s">
        <v>17175</v>
      </c>
      <c r="F2334" s="5" t="s">
        <v>212</v>
      </c>
      <c r="G2334" s="5" t="s">
        <v>17176</v>
      </c>
      <c r="H2334" s="6" t="s">
        <v>17177</v>
      </c>
      <c r="K2334" s="5" t="s">
        <v>17162</v>
      </c>
    </row>
    <row r="2335">
      <c r="A2335" s="4">
        <v>45534.33962179398</v>
      </c>
      <c r="B2335" s="5" t="s">
        <v>34</v>
      </c>
      <c r="D2335" s="5" t="s">
        <v>2903</v>
      </c>
      <c r="E2335" s="5" t="s">
        <v>17180</v>
      </c>
      <c r="F2335" s="5" t="s">
        <v>72</v>
      </c>
      <c r="G2335" s="5" t="s">
        <v>17181</v>
      </c>
      <c r="H2335" s="6" t="s">
        <v>17182</v>
      </c>
      <c r="K2335" s="5" t="s">
        <v>17162</v>
      </c>
    </row>
    <row r="2336">
      <c r="A2336" s="4">
        <v>45534.33962732639</v>
      </c>
      <c r="B2336" s="5" t="s">
        <v>34</v>
      </c>
      <c r="D2336" s="5" t="s">
        <v>1206</v>
      </c>
      <c r="E2336" s="5" t="s">
        <v>17186</v>
      </c>
      <c r="F2336" s="5" t="s">
        <v>37</v>
      </c>
      <c r="G2336" s="5" t="s">
        <v>17187</v>
      </c>
      <c r="H2336" s="6" t="s">
        <v>17188</v>
      </c>
      <c r="K2336" s="5" t="s">
        <v>17162</v>
      </c>
    </row>
    <row r="2337">
      <c r="A2337" s="4">
        <v>45534.339633738426</v>
      </c>
      <c r="B2337" s="5" t="s">
        <v>34</v>
      </c>
      <c r="D2337" s="5" t="s">
        <v>1206</v>
      </c>
      <c r="E2337" s="5" t="s">
        <v>17191</v>
      </c>
      <c r="F2337" s="5" t="s">
        <v>212</v>
      </c>
      <c r="G2337" s="5" t="s">
        <v>17192</v>
      </c>
      <c r="H2337" s="6" t="s">
        <v>17193</v>
      </c>
      <c r="K2337" s="5" t="s">
        <v>15652</v>
      </c>
    </row>
    <row r="2338">
      <c r="A2338" s="4">
        <v>45534.33963771991</v>
      </c>
      <c r="B2338" s="5" t="s">
        <v>34</v>
      </c>
      <c r="D2338" s="5" t="s">
        <v>267</v>
      </c>
      <c r="E2338" s="5" t="s">
        <v>17196</v>
      </c>
      <c r="F2338" s="5" t="s">
        <v>524</v>
      </c>
      <c r="G2338" s="5" t="s">
        <v>17197</v>
      </c>
      <c r="H2338" s="6" t="s">
        <v>17198</v>
      </c>
      <c r="K2338" s="5" t="s">
        <v>15652</v>
      </c>
    </row>
    <row r="2339">
      <c r="A2339" s="4">
        <v>45534.33963862268</v>
      </c>
      <c r="B2339" s="5" t="s">
        <v>34</v>
      </c>
      <c r="D2339" s="5" t="s">
        <v>4775</v>
      </c>
      <c r="E2339" s="5" t="s">
        <v>17201</v>
      </c>
      <c r="F2339" s="5" t="s">
        <v>212</v>
      </c>
      <c r="G2339" s="5" t="s">
        <v>17202</v>
      </c>
      <c r="H2339" s="6" t="s">
        <v>17203</v>
      </c>
      <c r="K2339" s="5" t="s">
        <v>15652</v>
      </c>
    </row>
    <row r="2340">
      <c r="A2340" s="4">
        <v>45534.339642418985</v>
      </c>
      <c r="B2340" s="5" t="s">
        <v>34</v>
      </c>
      <c r="D2340" s="5" t="s">
        <v>1663</v>
      </c>
      <c r="E2340" s="5" t="s">
        <v>17206</v>
      </c>
      <c r="F2340" s="5" t="s">
        <v>798</v>
      </c>
      <c r="G2340" s="5" t="s">
        <v>17207</v>
      </c>
      <c r="H2340" s="6" t="s">
        <v>17208</v>
      </c>
      <c r="K2340" s="5" t="s">
        <v>15652</v>
      </c>
    </row>
    <row r="2341">
      <c r="A2341" s="4">
        <v>45534.33964513888</v>
      </c>
      <c r="B2341" s="5" t="s">
        <v>34</v>
      </c>
      <c r="D2341" s="5" t="s">
        <v>35</v>
      </c>
      <c r="E2341" s="5" t="s">
        <v>17211</v>
      </c>
      <c r="F2341" s="5" t="s">
        <v>108</v>
      </c>
      <c r="G2341" s="5" t="s">
        <v>17212</v>
      </c>
      <c r="H2341" s="6" t="s">
        <v>17213</v>
      </c>
      <c r="K2341" s="5" t="s">
        <v>15652</v>
      </c>
    </row>
    <row r="2342">
      <c r="A2342" s="4">
        <v>45534.33964822917</v>
      </c>
      <c r="B2342" s="5" t="s">
        <v>34</v>
      </c>
      <c r="D2342" s="5" t="s">
        <v>9020</v>
      </c>
      <c r="E2342" s="5" t="s">
        <v>17217</v>
      </c>
      <c r="F2342" s="5" t="s">
        <v>212</v>
      </c>
      <c r="G2342" s="5" t="s">
        <v>17218</v>
      </c>
      <c r="H2342" s="6" t="s">
        <v>17219</v>
      </c>
      <c r="K2342" s="5" t="s">
        <v>15652</v>
      </c>
    </row>
    <row r="2343">
      <c r="A2343" s="4">
        <v>45534.339652650466</v>
      </c>
      <c r="B2343" s="5" t="s">
        <v>34</v>
      </c>
      <c r="D2343" s="5" t="s">
        <v>522</v>
      </c>
      <c r="E2343" s="5" t="s">
        <v>17222</v>
      </c>
      <c r="F2343" s="5" t="s">
        <v>212</v>
      </c>
      <c r="G2343" s="5" t="s">
        <v>17223</v>
      </c>
      <c r="H2343" s="6" t="s">
        <v>17224</v>
      </c>
      <c r="K2343" s="5" t="s">
        <v>15652</v>
      </c>
    </row>
    <row r="2344">
      <c r="A2344" s="4">
        <v>45534.33965369213</v>
      </c>
      <c r="B2344" s="5" t="s">
        <v>34</v>
      </c>
      <c r="D2344" s="5" t="s">
        <v>35</v>
      </c>
      <c r="E2344" s="5" t="s">
        <v>17227</v>
      </c>
      <c r="F2344" s="5" t="s">
        <v>108</v>
      </c>
      <c r="G2344" s="5" t="s">
        <v>17228</v>
      </c>
      <c r="H2344" s="6" t="s">
        <v>17229</v>
      </c>
      <c r="K2344" s="5" t="s">
        <v>15652</v>
      </c>
    </row>
    <row r="2345">
      <c r="A2345" s="4">
        <v>45534.33966032407</v>
      </c>
      <c r="B2345" s="5" t="s">
        <v>34</v>
      </c>
      <c r="D2345" s="5" t="s">
        <v>7858</v>
      </c>
      <c r="E2345" s="5" t="s">
        <v>17232</v>
      </c>
      <c r="F2345" s="5" t="s">
        <v>524</v>
      </c>
      <c r="G2345" s="5" t="s">
        <v>17233</v>
      </c>
      <c r="H2345" s="6" t="s">
        <v>17234</v>
      </c>
      <c r="K2345" s="5" t="s">
        <v>15652</v>
      </c>
    </row>
    <row r="2346">
      <c r="A2346" s="4">
        <v>45534.33967273148</v>
      </c>
      <c r="B2346" s="5" t="s">
        <v>34</v>
      </c>
      <c r="D2346" s="5" t="s">
        <v>35</v>
      </c>
      <c r="E2346" s="5" t="s">
        <v>17237</v>
      </c>
      <c r="F2346" s="5" t="s">
        <v>37</v>
      </c>
      <c r="G2346" s="5" t="s">
        <v>17238</v>
      </c>
      <c r="H2346" s="6" t="s">
        <v>17239</v>
      </c>
      <c r="K2346" s="5" t="s">
        <v>15652</v>
      </c>
    </row>
    <row r="2347">
      <c r="A2347" s="4">
        <v>45534.339675324074</v>
      </c>
      <c r="B2347" s="5" t="s">
        <v>34</v>
      </c>
      <c r="D2347" s="5" t="s">
        <v>4775</v>
      </c>
      <c r="E2347" s="5" t="s">
        <v>17242</v>
      </c>
      <c r="F2347" s="5" t="s">
        <v>212</v>
      </c>
      <c r="G2347" s="5" t="s">
        <v>17243</v>
      </c>
      <c r="H2347" s="6" t="s">
        <v>17244</v>
      </c>
      <c r="K2347" s="5" t="s">
        <v>15652</v>
      </c>
    </row>
    <row r="2348">
      <c r="A2348" s="4">
        <v>45534.33967914352</v>
      </c>
      <c r="B2348" s="5" t="s">
        <v>34</v>
      </c>
      <c r="D2348" s="5" t="s">
        <v>580</v>
      </c>
      <c r="E2348" s="5" t="s">
        <v>17248</v>
      </c>
      <c r="F2348" s="5" t="s">
        <v>375</v>
      </c>
      <c r="G2348" s="5" t="s">
        <v>17249</v>
      </c>
      <c r="H2348" s="6" t="s">
        <v>17250</v>
      </c>
      <c r="K2348" s="5" t="s">
        <v>15652</v>
      </c>
    </row>
    <row r="2349">
      <c r="A2349" s="4">
        <v>45534.3396809838</v>
      </c>
      <c r="B2349" s="5" t="s">
        <v>34</v>
      </c>
      <c r="D2349" s="5" t="s">
        <v>4775</v>
      </c>
      <c r="E2349" s="5" t="s">
        <v>17253</v>
      </c>
      <c r="F2349" s="5" t="s">
        <v>120</v>
      </c>
      <c r="G2349" s="5" t="s">
        <v>17254</v>
      </c>
      <c r="H2349" s="6" t="s">
        <v>17255</v>
      </c>
      <c r="K2349" s="5" t="s">
        <v>15652</v>
      </c>
    </row>
    <row r="2350">
      <c r="A2350" s="4">
        <v>45534.339683645834</v>
      </c>
      <c r="B2350" s="5" t="s">
        <v>19</v>
      </c>
      <c r="C2350" s="5" t="s">
        <v>1498</v>
      </c>
      <c r="E2350" s="5" t="s">
        <v>17258</v>
      </c>
      <c r="F2350" s="5" t="s">
        <v>120</v>
      </c>
      <c r="G2350" s="5" t="s">
        <v>17259</v>
      </c>
      <c r="H2350" s="6" t="s">
        <v>17260</v>
      </c>
      <c r="K2350" s="5" t="s">
        <v>15652</v>
      </c>
    </row>
    <row r="2351">
      <c r="A2351" s="4">
        <v>45534.33968983796</v>
      </c>
      <c r="B2351" s="5" t="s">
        <v>34</v>
      </c>
      <c r="D2351" s="5" t="s">
        <v>1206</v>
      </c>
      <c r="E2351" s="5" t="s">
        <v>17263</v>
      </c>
      <c r="F2351" s="5" t="s">
        <v>375</v>
      </c>
      <c r="G2351" s="5" t="s">
        <v>17264</v>
      </c>
      <c r="H2351" s="6" t="s">
        <v>17265</v>
      </c>
      <c r="K2351" s="5" t="s">
        <v>15652</v>
      </c>
    </row>
    <row r="2352">
      <c r="A2352" s="4">
        <v>45534.339700324075</v>
      </c>
      <c r="B2352" s="5" t="s">
        <v>34</v>
      </c>
      <c r="D2352" s="5" t="s">
        <v>35</v>
      </c>
      <c r="E2352" s="5" t="s">
        <v>17268</v>
      </c>
      <c r="F2352" s="5" t="s">
        <v>108</v>
      </c>
      <c r="G2352" s="5" t="s">
        <v>17269</v>
      </c>
      <c r="H2352" s="6" t="s">
        <v>17270</v>
      </c>
      <c r="K2352" s="5" t="s">
        <v>17271</v>
      </c>
    </row>
    <row r="2353">
      <c r="A2353" s="4">
        <v>45534.339706875</v>
      </c>
      <c r="B2353" s="5" t="s">
        <v>34</v>
      </c>
      <c r="D2353" s="5" t="s">
        <v>35</v>
      </c>
      <c r="E2353" s="5" t="s">
        <v>17275</v>
      </c>
      <c r="F2353" s="5" t="s">
        <v>375</v>
      </c>
      <c r="G2353" s="5" t="s">
        <v>17276</v>
      </c>
      <c r="H2353" s="6" t="s">
        <v>17277</v>
      </c>
      <c r="K2353" s="5" t="s">
        <v>17271</v>
      </c>
    </row>
    <row r="2354">
      <c r="A2354" s="4">
        <v>45534.33970701389</v>
      </c>
      <c r="B2354" s="5" t="s">
        <v>34</v>
      </c>
      <c r="D2354" s="5" t="s">
        <v>35</v>
      </c>
      <c r="E2354" s="5" t="s">
        <v>17280</v>
      </c>
      <c r="F2354" s="5" t="s">
        <v>375</v>
      </c>
      <c r="G2354" s="5" t="s">
        <v>17281</v>
      </c>
      <c r="H2354" s="6" t="s">
        <v>17282</v>
      </c>
      <c r="K2354" s="5" t="s">
        <v>17271</v>
      </c>
    </row>
    <row r="2355">
      <c r="A2355" s="4">
        <v>45534.33971325231</v>
      </c>
      <c r="B2355" s="5" t="s">
        <v>34</v>
      </c>
      <c r="D2355" s="5" t="s">
        <v>1206</v>
      </c>
      <c r="E2355" s="5" t="s">
        <v>17285</v>
      </c>
      <c r="F2355" s="5" t="s">
        <v>37</v>
      </c>
      <c r="G2355" s="5" t="s">
        <v>17286</v>
      </c>
      <c r="H2355" s="6" t="s">
        <v>17287</v>
      </c>
      <c r="K2355" s="5" t="s">
        <v>17271</v>
      </c>
    </row>
    <row r="2356">
      <c r="A2356" s="4">
        <v>45534.33969328704</v>
      </c>
      <c r="B2356" s="5" t="s">
        <v>34</v>
      </c>
      <c r="D2356" s="5" t="s">
        <v>4775</v>
      </c>
      <c r="E2356" s="5" t="s">
        <v>17290</v>
      </c>
      <c r="F2356" s="5" t="s">
        <v>72</v>
      </c>
      <c r="G2356" s="5" t="s">
        <v>17291</v>
      </c>
      <c r="H2356" s="6" t="s">
        <v>17292</v>
      </c>
      <c r="K2356" s="5" t="s">
        <v>17271</v>
      </c>
    </row>
    <row r="2357">
      <c r="A2357" s="4">
        <v>45534.3397341088</v>
      </c>
      <c r="B2357" s="5" t="s">
        <v>34</v>
      </c>
      <c r="D2357" s="5" t="s">
        <v>4775</v>
      </c>
      <c r="E2357" s="5" t="s">
        <v>17295</v>
      </c>
      <c r="F2357" s="5" t="s">
        <v>375</v>
      </c>
      <c r="G2357" s="5" t="s">
        <v>17296</v>
      </c>
      <c r="H2357" s="6" t="s">
        <v>17297</v>
      </c>
      <c r="K2357" s="5" t="s">
        <v>17271</v>
      </c>
    </row>
    <row r="2358">
      <c r="A2358" s="4">
        <v>45534.339736828704</v>
      </c>
      <c r="B2358" s="5" t="s">
        <v>34</v>
      </c>
      <c r="D2358" s="5" t="s">
        <v>9020</v>
      </c>
      <c r="E2358" s="5" t="s">
        <v>17301</v>
      </c>
      <c r="F2358" s="5" t="s">
        <v>37</v>
      </c>
      <c r="G2358" s="5" t="s">
        <v>17302</v>
      </c>
      <c r="H2358" s="6" t="s">
        <v>17303</v>
      </c>
      <c r="K2358" s="5" t="s">
        <v>17271</v>
      </c>
    </row>
    <row r="2359">
      <c r="A2359" s="4">
        <v>45534.339737118054</v>
      </c>
      <c r="B2359" s="5" t="s">
        <v>34</v>
      </c>
      <c r="D2359" s="5" t="s">
        <v>35</v>
      </c>
      <c r="E2359" s="5" t="s">
        <v>17306</v>
      </c>
      <c r="F2359" s="5" t="s">
        <v>212</v>
      </c>
      <c r="G2359" s="5" t="s">
        <v>17307</v>
      </c>
      <c r="H2359" s="6" t="s">
        <v>17308</v>
      </c>
      <c r="K2359" s="5" t="s">
        <v>17271</v>
      </c>
    </row>
    <row r="2360">
      <c r="A2360" s="4">
        <v>45534.339745254634</v>
      </c>
      <c r="B2360" s="5" t="s">
        <v>34</v>
      </c>
      <c r="D2360" s="5" t="s">
        <v>996</v>
      </c>
      <c r="E2360" s="5" t="s">
        <v>17311</v>
      </c>
      <c r="F2360" s="5" t="s">
        <v>108</v>
      </c>
      <c r="G2360" s="5" t="s">
        <v>17312</v>
      </c>
      <c r="H2360" s="6" t="s">
        <v>17313</v>
      </c>
      <c r="K2360" s="5" t="s">
        <v>17271</v>
      </c>
    </row>
    <row r="2361">
      <c r="A2361" s="4">
        <v>45534.3397496875</v>
      </c>
      <c r="B2361" s="5" t="s">
        <v>34</v>
      </c>
      <c r="D2361" s="5" t="s">
        <v>996</v>
      </c>
      <c r="E2361" s="5" t="s">
        <v>17316</v>
      </c>
      <c r="F2361" s="5" t="s">
        <v>524</v>
      </c>
      <c r="G2361" s="5" t="s">
        <v>17317</v>
      </c>
      <c r="H2361" s="6" t="s">
        <v>17318</v>
      </c>
      <c r="K2361" s="5" t="s">
        <v>17271</v>
      </c>
    </row>
    <row r="2362">
      <c r="A2362" s="4">
        <v>45534.33975201389</v>
      </c>
      <c r="B2362" s="5" t="s">
        <v>34</v>
      </c>
      <c r="D2362" s="5" t="s">
        <v>522</v>
      </c>
      <c r="E2362" s="5" t="s">
        <v>17321</v>
      </c>
      <c r="F2362" s="5" t="s">
        <v>715</v>
      </c>
      <c r="G2362" s="5" t="s">
        <v>17322</v>
      </c>
      <c r="H2362" s="6" t="s">
        <v>17323</v>
      </c>
      <c r="K2362" s="5" t="s">
        <v>17271</v>
      </c>
    </row>
    <row r="2363">
      <c r="A2363" s="4">
        <v>45534.339753912034</v>
      </c>
      <c r="B2363" s="5" t="s">
        <v>34</v>
      </c>
      <c r="D2363" s="5" t="s">
        <v>522</v>
      </c>
      <c r="E2363" s="5" t="s">
        <v>17326</v>
      </c>
      <c r="F2363" s="5" t="s">
        <v>37</v>
      </c>
      <c r="G2363" s="5" t="s">
        <v>17327</v>
      </c>
      <c r="H2363" s="6" t="s">
        <v>17328</v>
      </c>
      <c r="K2363" s="5" t="s">
        <v>17271</v>
      </c>
    </row>
    <row r="2364">
      <c r="A2364" s="4">
        <v>45534.339756354166</v>
      </c>
      <c r="B2364" s="5" t="s">
        <v>34</v>
      </c>
      <c r="D2364" s="5" t="s">
        <v>4775</v>
      </c>
      <c r="E2364" s="5" t="s">
        <v>17332</v>
      </c>
      <c r="F2364" s="5" t="s">
        <v>72</v>
      </c>
      <c r="G2364" s="5" t="s">
        <v>17333</v>
      </c>
      <c r="H2364" s="6" t="s">
        <v>17334</v>
      </c>
      <c r="I2364" s="7" t="s">
        <v>17335</v>
      </c>
      <c r="J2364" s="8" t="str">
        <f>HYPERLINK("https://drive.google.com/file/d/1W2MsuyRpUnj2PX8znNooVJkIpUdXyoIm/view?usp=drivesdk","NUR WAHYUNI SERTIFIKAT BerAKHLAK")</f>
        <v>NUR WAHYUNI SERTIFIKAT BerAKHLAK</v>
      </c>
      <c r="K2364" s="5" t="s">
        <v>14116</v>
      </c>
      <c r="L2364" s="5" t="s">
        <v>17336</v>
      </c>
    </row>
    <row r="2365">
      <c r="A2365" s="4">
        <v>45534.339757939815</v>
      </c>
      <c r="B2365" s="5" t="s">
        <v>34</v>
      </c>
      <c r="D2365" s="5" t="s">
        <v>1206</v>
      </c>
      <c r="E2365" s="5" t="s">
        <v>17339</v>
      </c>
      <c r="F2365" s="5" t="s">
        <v>212</v>
      </c>
      <c r="G2365" s="5" t="s">
        <v>17340</v>
      </c>
      <c r="H2365" s="6" t="s">
        <v>17341</v>
      </c>
      <c r="I2365" s="7" t="s">
        <v>17342</v>
      </c>
      <c r="J2365" s="8" t="str">
        <f>HYPERLINK("https://drive.google.com/file/d/1besq3kXp5mPW3lLnkGi-q3n_bSioAsER/view?usp=drivesdk","DWI ENDAH AGUSTINA  SERTIFIKAT BerAKHLAK")</f>
        <v>DWI ENDAH AGUSTINA  SERTIFIKAT BerAKHLAK</v>
      </c>
      <c r="K2365" s="5" t="s">
        <v>14913</v>
      </c>
      <c r="L2365" s="5" t="s">
        <v>17343</v>
      </c>
    </row>
    <row r="2366">
      <c r="A2366" s="4">
        <v>45534.33976150463</v>
      </c>
      <c r="B2366" s="5" t="s">
        <v>19</v>
      </c>
      <c r="C2366" s="5" t="s">
        <v>20</v>
      </c>
      <c r="E2366" s="5" t="s">
        <v>17346</v>
      </c>
      <c r="F2366" s="5" t="s">
        <v>375</v>
      </c>
      <c r="G2366" s="5" t="s">
        <v>17347</v>
      </c>
      <c r="H2366" s="6" t="s">
        <v>17348</v>
      </c>
      <c r="K2366" s="5" t="s">
        <v>17349</v>
      </c>
    </row>
    <row r="2367">
      <c r="A2367" s="4">
        <v>45534.33976202546</v>
      </c>
      <c r="B2367" s="5" t="s">
        <v>34</v>
      </c>
      <c r="D2367" s="5" t="s">
        <v>9394</v>
      </c>
      <c r="E2367" s="5" t="s">
        <v>17352</v>
      </c>
      <c r="F2367" s="5" t="s">
        <v>120</v>
      </c>
      <c r="G2367" s="5" t="s">
        <v>17353</v>
      </c>
      <c r="H2367" s="6" t="s">
        <v>17354</v>
      </c>
      <c r="K2367" s="5" t="s">
        <v>17349</v>
      </c>
    </row>
    <row r="2368">
      <c r="A2368" s="4">
        <v>45534.33977695602</v>
      </c>
      <c r="B2368" s="5" t="s">
        <v>34</v>
      </c>
      <c r="D2368" s="5" t="s">
        <v>4775</v>
      </c>
      <c r="E2368" s="5" t="s">
        <v>17357</v>
      </c>
      <c r="F2368" s="5" t="s">
        <v>37</v>
      </c>
      <c r="G2368" s="5" t="s">
        <v>17358</v>
      </c>
      <c r="H2368" s="6" t="s">
        <v>17359</v>
      </c>
      <c r="K2368" s="5" t="s">
        <v>17349</v>
      </c>
    </row>
    <row r="2369">
      <c r="A2369" s="4">
        <v>45534.33978019676</v>
      </c>
      <c r="B2369" s="5" t="s">
        <v>34</v>
      </c>
      <c r="D2369" s="5" t="s">
        <v>1206</v>
      </c>
      <c r="E2369" s="5" t="s">
        <v>17362</v>
      </c>
      <c r="F2369" s="5" t="s">
        <v>37</v>
      </c>
      <c r="G2369" s="5" t="s">
        <v>17363</v>
      </c>
      <c r="H2369" s="6" t="s">
        <v>17364</v>
      </c>
      <c r="K2369" s="5" t="s">
        <v>17349</v>
      </c>
    </row>
    <row r="2370">
      <c r="A2370" s="4">
        <v>45534.339785000004</v>
      </c>
      <c r="B2370" s="5" t="s">
        <v>34</v>
      </c>
      <c r="D2370" s="5" t="s">
        <v>4775</v>
      </c>
      <c r="E2370" s="5" t="s">
        <v>17368</v>
      </c>
      <c r="F2370" s="5" t="s">
        <v>328</v>
      </c>
      <c r="G2370" s="5" t="s">
        <v>17369</v>
      </c>
      <c r="H2370" s="6" t="s">
        <v>17370</v>
      </c>
      <c r="K2370" s="5" t="s">
        <v>17371</v>
      </c>
    </row>
    <row r="2371">
      <c r="A2371" s="4">
        <v>45534.33976686343</v>
      </c>
      <c r="B2371" s="5" t="s">
        <v>34</v>
      </c>
      <c r="D2371" s="5" t="s">
        <v>4775</v>
      </c>
      <c r="E2371" s="5" t="s">
        <v>17374</v>
      </c>
      <c r="F2371" s="5" t="s">
        <v>37</v>
      </c>
      <c r="G2371" s="5" t="s">
        <v>17375</v>
      </c>
      <c r="H2371" s="6" t="s">
        <v>17376</v>
      </c>
      <c r="K2371" s="5" t="s">
        <v>17371</v>
      </c>
    </row>
    <row r="2372">
      <c r="A2372" s="4">
        <v>45534.33980976851</v>
      </c>
      <c r="B2372" s="5" t="s">
        <v>34</v>
      </c>
      <c r="D2372" s="5" t="s">
        <v>4775</v>
      </c>
      <c r="E2372" s="5" t="s">
        <v>17379</v>
      </c>
      <c r="F2372" s="5" t="s">
        <v>72</v>
      </c>
      <c r="G2372" s="5" t="s">
        <v>17380</v>
      </c>
      <c r="H2372" s="6" t="s">
        <v>17381</v>
      </c>
      <c r="K2372" s="5" t="s">
        <v>17371</v>
      </c>
    </row>
    <row r="2373">
      <c r="A2373" s="4">
        <v>45534.33982621528</v>
      </c>
      <c r="B2373" s="5" t="s">
        <v>34</v>
      </c>
      <c r="D2373" s="5" t="s">
        <v>522</v>
      </c>
      <c r="E2373" s="5" t="s">
        <v>17384</v>
      </c>
      <c r="F2373" s="5" t="s">
        <v>6776</v>
      </c>
      <c r="G2373" s="5" t="s">
        <v>17385</v>
      </c>
      <c r="H2373" s="6" t="s">
        <v>17386</v>
      </c>
      <c r="K2373" s="5" t="s">
        <v>17371</v>
      </c>
    </row>
    <row r="2374">
      <c r="A2374" s="4">
        <v>45534.339829432865</v>
      </c>
      <c r="B2374" s="5" t="s">
        <v>19</v>
      </c>
      <c r="C2374" s="5" t="s">
        <v>3301</v>
      </c>
      <c r="E2374" s="5" t="s">
        <v>17389</v>
      </c>
      <c r="F2374" s="5" t="s">
        <v>524</v>
      </c>
      <c r="G2374" s="5" t="s">
        <v>17390</v>
      </c>
      <c r="H2374" s="6" t="s">
        <v>17391</v>
      </c>
      <c r="K2374" s="5" t="s">
        <v>17371</v>
      </c>
    </row>
    <row r="2375">
      <c r="A2375" s="4">
        <v>45534.33978768518</v>
      </c>
      <c r="B2375" s="5" t="s">
        <v>34</v>
      </c>
      <c r="D2375" s="5" t="s">
        <v>280</v>
      </c>
      <c r="E2375" s="5" t="s">
        <v>17394</v>
      </c>
      <c r="F2375" s="5" t="s">
        <v>212</v>
      </c>
      <c r="G2375" s="5" t="s">
        <v>17395</v>
      </c>
      <c r="H2375" s="6" t="s">
        <v>17396</v>
      </c>
      <c r="K2375" s="5" t="s">
        <v>17371</v>
      </c>
    </row>
    <row r="2376">
      <c r="A2376" s="4">
        <v>45534.33979017361</v>
      </c>
      <c r="B2376" s="5" t="s">
        <v>34</v>
      </c>
      <c r="D2376" s="5" t="s">
        <v>996</v>
      </c>
      <c r="E2376" s="5" t="s">
        <v>17400</v>
      </c>
      <c r="F2376" s="5" t="s">
        <v>37</v>
      </c>
      <c r="G2376" s="5" t="s">
        <v>17401</v>
      </c>
      <c r="H2376" s="6" t="s">
        <v>17402</v>
      </c>
      <c r="K2376" s="5" t="s">
        <v>17371</v>
      </c>
    </row>
    <row r="2377">
      <c r="A2377" s="4">
        <v>45534.33979186343</v>
      </c>
      <c r="B2377" s="5" t="s">
        <v>34</v>
      </c>
      <c r="D2377" s="5" t="s">
        <v>4775</v>
      </c>
      <c r="E2377" s="5" t="s">
        <v>17405</v>
      </c>
      <c r="F2377" s="5" t="s">
        <v>212</v>
      </c>
      <c r="G2377" s="5" t="s">
        <v>17406</v>
      </c>
      <c r="H2377" s="6" t="s">
        <v>17407</v>
      </c>
      <c r="K2377" s="5" t="s">
        <v>17371</v>
      </c>
    </row>
    <row r="2378">
      <c r="A2378" s="4">
        <v>45534.339796782406</v>
      </c>
      <c r="B2378" s="5" t="s">
        <v>34</v>
      </c>
      <c r="D2378" s="5" t="s">
        <v>9020</v>
      </c>
      <c r="E2378" s="5" t="s">
        <v>17410</v>
      </c>
      <c r="F2378" s="5" t="s">
        <v>120</v>
      </c>
      <c r="G2378" s="5" t="s">
        <v>17411</v>
      </c>
      <c r="H2378" s="6" t="s">
        <v>17412</v>
      </c>
      <c r="K2378" s="5" t="s">
        <v>17371</v>
      </c>
    </row>
    <row r="2379">
      <c r="A2379" s="4">
        <v>45534.33979711805</v>
      </c>
      <c r="B2379" s="5" t="s">
        <v>34</v>
      </c>
      <c r="D2379" s="5" t="s">
        <v>35</v>
      </c>
      <c r="E2379" s="5" t="s">
        <v>17415</v>
      </c>
      <c r="F2379" s="5" t="s">
        <v>212</v>
      </c>
      <c r="G2379" s="5" t="s">
        <v>17416</v>
      </c>
      <c r="H2379" s="6" t="s">
        <v>17417</v>
      </c>
      <c r="K2379" s="5" t="s">
        <v>17371</v>
      </c>
    </row>
    <row r="2380">
      <c r="A2380" s="4">
        <v>45534.33979759259</v>
      </c>
      <c r="B2380" s="5" t="s">
        <v>34</v>
      </c>
      <c r="D2380" s="5" t="s">
        <v>3849</v>
      </c>
      <c r="E2380" s="5" t="s">
        <v>17420</v>
      </c>
      <c r="F2380" s="5" t="s">
        <v>37</v>
      </c>
      <c r="G2380" s="5" t="s">
        <v>17421</v>
      </c>
      <c r="H2380" s="6" t="s">
        <v>17422</v>
      </c>
      <c r="K2380" s="5" t="s">
        <v>17371</v>
      </c>
    </row>
    <row r="2381">
      <c r="A2381" s="4">
        <v>45534.339797650464</v>
      </c>
      <c r="B2381" s="5" t="s">
        <v>34</v>
      </c>
      <c r="D2381" s="5" t="s">
        <v>4775</v>
      </c>
      <c r="E2381" s="5" t="s">
        <v>17425</v>
      </c>
      <c r="F2381" s="5" t="s">
        <v>375</v>
      </c>
      <c r="G2381" s="5" t="s">
        <v>17426</v>
      </c>
      <c r="H2381" s="6" t="s">
        <v>17427</v>
      </c>
      <c r="K2381" s="5" t="s">
        <v>17371</v>
      </c>
    </row>
    <row r="2382">
      <c r="A2382" s="4">
        <v>45534.339800173606</v>
      </c>
      <c r="B2382" s="5" t="s">
        <v>34</v>
      </c>
      <c r="D2382" s="5" t="s">
        <v>267</v>
      </c>
      <c r="E2382" s="5" t="s">
        <v>17431</v>
      </c>
      <c r="F2382" s="5" t="s">
        <v>375</v>
      </c>
      <c r="G2382" s="5" t="s">
        <v>17432</v>
      </c>
      <c r="H2382" s="6" t="s">
        <v>17433</v>
      </c>
      <c r="K2382" s="5" t="s">
        <v>17371</v>
      </c>
    </row>
    <row r="2383">
      <c r="A2383" s="4">
        <v>45534.339830868055</v>
      </c>
      <c r="B2383" s="5" t="s">
        <v>34</v>
      </c>
      <c r="D2383" s="5" t="s">
        <v>996</v>
      </c>
      <c r="E2383" s="5" t="s">
        <v>17436</v>
      </c>
      <c r="F2383" s="5" t="s">
        <v>108</v>
      </c>
      <c r="G2383" s="5" t="s">
        <v>17437</v>
      </c>
      <c r="H2383" s="6" t="s">
        <v>17438</v>
      </c>
      <c r="K2383" s="5" t="s">
        <v>17371</v>
      </c>
    </row>
    <row r="2384">
      <c r="A2384" s="4">
        <v>45534.33984046296</v>
      </c>
      <c r="B2384" s="5" t="s">
        <v>34</v>
      </c>
      <c r="D2384" s="5" t="s">
        <v>12978</v>
      </c>
      <c r="E2384" s="5" t="s">
        <v>17441</v>
      </c>
      <c r="F2384" s="5" t="s">
        <v>37</v>
      </c>
      <c r="G2384" s="5" t="s">
        <v>17442</v>
      </c>
      <c r="H2384" s="6" t="s">
        <v>17443</v>
      </c>
      <c r="K2384" s="5" t="s">
        <v>17371</v>
      </c>
    </row>
    <row r="2385">
      <c r="A2385" s="4">
        <v>45534.339843587964</v>
      </c>
      <c r="B2385" s="5" t="s">
        <v>34</v>
      </c>
      <c r="D2385" s="5" t="s">
        <v>1206</v>
      </c>
      <c r="E2385" s="5" t="s">
        <v>17446</v>
      </c>
      <c r="F2385" s="5" t="s">
        <v>212</v>
      </c>
      <c r="G2385" s="5" t="s">
        <v>17447</v>
      </c>
      <c r="H2385" s="6" t="s">
        <v>17448</v>
      </c>
      <c r="K2385" s="5" t="s">
        <v>17371</v>
      </c>
    </row>
    <row r="2386">
      <c r="A2386" s="4">
        <v>45534.339850081014</v>
      </c>
      <c r="B2386" s="5" t="s">
        <v>34</v>
      </c>
      <c r="D2386" s="5" t="s">
        <v>1206</v>
      </c>
      <c r="E2386" s="5" t="s">
        <v>17452</v>
      </c>
      <c r="F2386" s="5" t="s">
        <v>37</v>
      </c>
      <c r="G2386" s="5" t="s">
        <v>17453</v>
      </c>
      <c r="H2386" s="6" t="s">
        <v>17454</v>
      </c>
      <c r="K2386" s="5" t="s">
        <v>17371</v>
      </c>
    </row>
    <row r="2387">
      <c r="A2387" s="4">
        <v>45534.339853564816</v>
      </c>
      <c r="B2387" s="5" t="s">
        <v>34</v>
      </c>
      <c r="D2387" s="5" t="s">
        <v>4775</v>
      </c>
      <c r="E2387" s="5" t="s">
        <v>17457</v>
      </c>
      <c r="F2387" s="5" t="s">
        <v>212</v>
      </c>
      <c r="G2387" s="5" t="s">
        <v>17458</v>
      </c>
      <c r="H2387" s="6" t="s">
        <v>17459</v>
      </c>
      <c r="K2387" s="5" t="s">
        <v>15955</v>
      </c>
    </row>
    <row r="2388">
      <c r="A2388" s="4">
        <v>45534.33986020833</v>
      </c>
      <c r="B2388" s="5" t="s">
        <v>34</v>
      </c>
      <c r="D2388" s="5" t="s">
        <v>9020</v>
      </c>
      <c r="E2388" s="5" t="s">
        <v>17462</v>
      </c>
      <c r="F2388" s="5" t="s">
        <v>212</v>
      </c>
      <c r="G2388" s="5" t="s">
        <v>17463</v>
      </c>
      <c r="H2388" s="6" t="s">
        <v>17464</v>
      </c>
      <c r="K2388" s="5" t="s">
        <v>15955</v>
      </c>
    </row>
    <row r="2389">
      <c r="A2389" s="4">
        <v>45534.339862002314</v>
      </c>
      <c r="B2389" s="5" t="s">
        <v>34</v>
      </c>
      <c r="D2389" s="5" t="s">
        <v>280</v>
      </c>
      <c r="E2389" s="5" t="s">
        <v>17467</v>
      </c>
      <c r="F2389" s="5" t="s">
        <v>37</v>
      </c>
      <c r="G2389" s="5" t="s">
        <v>17468</v>
      </c>
      <c r="H2389" s="6" t="s">
        <v>17469</v>
      </c>
      <c r="K2389" s="5" t="s">
        <v>15955</v>
      </c>
    </row>
    <row r="2390">
      <c r="A2390" s="4">
        <v>45534.339864375</v>
      </c>
      <c r="B2390" s="5" t="s">
        <v>34</v>
      </c>
      <c r="D2390" s="5" t="s">
        <v>35</v>
      </c>
      <c r="E2390" s="5" t="s">
        <v>17472</v>
      </c>
      <c r="F2390" s="5" t="s">
        <v>328</v>
      </c>
      <c r="G2390" s="5" t="s">
        <v>17473</v>
      </c>
      <c r="H2390" s="6" t="s">
        <v>17474</v>
      </c>
      <c r="K2390" s="5" t="s">
        <v>15955</v>
      </c>
    </row>
    <row r="2391">
      <c r="A2391" s="4">
        <v>45534.33986680556</v>
      </c>
      <c r="B2391" s="5" t="s">
        <v>34</v>
      </c>
      <c r="D2391" s="5" t="s">
        <v>35</v>
      </c>
      <c r="E2391" s="5" t="s">
        <v>17477</v>
      </c>
      <c r="F2391" s="5" t="s">
        <v>212</v>
      </c>
      <c r="G2391" s="5" t="s">
        <v>17478</v>
      </c>
      <c r="H2391" s="6" t="s">
        <v>17479</v>
      </c>
      <c r="K2391" s="5" t="s">
        <v>15955</v>
      </c>
    </row>
    <row r="2392">
      <c r="A2392" s="4">
        <v>45534.339867187504</v>
      </c>
      <c r="B2392" s="5" t="s">
        <v>34</v>
      </c>
      <c r="D2392" s="5" t="s">
        <v>522</v>
      </c>
      <c r="E2392" s="5" t="s">
        <v>17483</v>
      </c>
      <c r="F2392" s="5" t="s">
        <v>72</v>
      </c>
      <c r="G2392" s="5" t="s">
        <v>17484</v>
      </c>
      <c r="H2392" s="6" t="s">
        <v>17485</v>
      </c>
      <c r="K2392" s="5" t="s">
        <v>15955</v>
      </c>
    </row>
    <row r="2393">
      <c r="A2393" s="4">
        <v>45534.33987189815</v>
      </c>
      <c r="B2393" s="5" t="s">
        <v>34</v>
      </c>
      <c r="D2393" s="5" t="s">
        <v>1206</v>
      </c>
      <c r="E2393" s="5" t="s">
        <v>17488</v>
      </c>
      <c r="F2393" s="5" t="s">
        <v>5859</v>
      </c>
      <c r="G2393" s="5" t="s">
        <v>17489</v>
      </c>
      <c r="H2393" s="6" t="s">
        <v>17490</v>
      </c>
      <c r="K2393" s="5" t="s">
        <v>15955</v>
      </c>
    </row>
    <row r="2394">
      <c r="A2394" s="4">
        <v>45534.33987600694</v>
      </c>
      <c r="B2394" s="5" t="s">
        <v>34</v>
      </c>
      <c r="D2394" s="5" t="s">
        <v>4775</v>
      </c>
      <c r="E2394" s="5" t="s">
        <v>17493</v>
      </c>
      <c r="F2394" s="5" t="s">
        <v>108</v>
      </c>
      <c r="G2394" s="5" t="s">
        <v>17494</v>
      </c>
      <c r="H2394" s="6" t="s">
        <v>17495</v>
      </c>
      <c r="K2394" s="5" t="s">
        <v>15955</v>
      </c>
    </row>
    <row r="2395">
      <c r="A2395" s="4">
        <v>45534.33987957176</v>
      </c>
      <c r="B2395" s="5" t="s">
        <v>34</v>
      </c>
      <c r="D2395" s="5" t="s">
        <v>1206</v>
      </c>
      <c r="E2395" s="5" t="s">
        <v>17498</v>
      </c>
      <c r="F2395" s="5" t="s">
        <v>37</v>
      </c>
      <c r="G2395" s="5" t="s">
        <v>17499</v>
      </c>
      <c r="H2395" s="6" t="s">
        <v>17500</v>
      </c>
      <c r="K2395" s="5" t="s">
        <v>15955</v>
      </c>
    </row>
    <row r="2396">
      <c r="A2396" s="4">
        <v>45534.33989166666</v>
      </c>
      <c r="B2396" s="5" t="s">
        <v>34</v>
      </c>
      <c r="D2396" s="5" t="s">
        <v>1206</v>
      </c>
      <c r="E2396" s="5" t="s">
        <v>17503</v>
      </c>
      <c r="F2396" s="5" t="s">
        <v>212</v>
      </c>
      <c r="G2396" s="5" t="s">
        <v>17504</v>
      </c>
      <c r="H2396" s="6" t="s">
        <v>17505</v>
      </c>
      <c r="K2396" s="5" t="s">
        <v>15955</v>
      </c>
    </row>
    <row r="2397">
      <c r="A2397" s="4">
        <v>45534.339897858794</v>
      </c>
      <c r="B2397" s="5" t="s">
        <v>34</v>
      </c>
      <c r="D2397" s="5" t="s">
        <v>975</v>
      </c>
      <c r="E2397" s="5" t="s">
        <v>17508</v>
      </c>
      <c r="F2397" s="5" t="s">
        <v>212</v>
      </c>
      <c r="G2397" s="5" t="s">
        <v>17509</v>
      </c>
      <c r="H2397" s="6" t="s">
        <v>17510</v>
      </c>
      <c r="K2397" s="5" t="s">
        <v>15955</v>
      </c>
    </row>
    <row r="2398">
      <c r="A2398" s="4">
        <v>45534.33990612268</v>
      </c>
      <c r="B2398" s="5" t="s">
        <v>34</v>
      </c>
      <c r="D2398" s="5" t="s">
        <v>3849</v>
      </c>
      <c r="E2398" s="5" t="s">
        <v>17514</v>
      </c>
      <c r="F2398" s="5" t="s">
        <v>37</v>
      </c>
      <c r="G2398" s="5" t="s">
        <v>17515</v>
      </c>
      <c r="H2398" s="6" t="s">
        <v>17516</v>
      </c>
      <c r="I2398" s="7" t="s">
        <v>17517</v>
      </c>
      <c r="J2398" s="8" t="str">
        <f>HYPERLINK("https://drive.google.com/file/d/1FeqVxcf1HKM7vdryHQkcbU9rseIq1nmU/view?usp=drivesdk","JAMILAH SERTIFIKAT BerAKHLAK")</f>
        <v>JAMILAH SERTIFIKAT BerAKHLAK</v>
      </c>
      <c r="K2398" s="5" t="s">
        <v>14913</v>
      </c>
      <c r="L2398" s="5" t="s">
        <v>17518</v>
      </c>
    </row>
    <row r="2399">
      <c r="A2399" s="4">
        <v>45534.339906284724</v>
      </c>
      <c r="B2399" s="5" t="s">
        <v>34</v>
      </c>
      <c r="D2399" s="5" t="s">
        <v>1206</v>
      </c>
      <c r="E2399" s="5" t="s">
        <v>17521</v>
      </c>
      <c r="F2399" s="5" t="s">
        <v>212</v>
      </c>
      <c r="G2399" s="5" t="s">
        <v>17522</v>
      </c>
      <c r="H2399" s="6" t="s">
        <v>17523</v>
      </c>
      <c r="I2399" s="7" t="s">
        <v>17524</v>
      </c>
      <c r="J2399" s="8" t="str">
        <f>HYPERLINK("https://drive.google.com/file/d/1zUJb3MPNJB8l0lrJkbwzGSHBiVHCGJPa/view?usp=drivesdk","SITI ASIYAH SERTIFIKAT BerAKHLAK")</f>
        <v>SITI ASIYAH SERTIFIKAT BerAKHLAK</v>
      </c>
      <c r="K2399" s="5" t="s">
        <v>14913</v>
      </c>
      <c r="L2399" s="5" t="s">
        <v>17525</v>
      </c>
    </row>
    <row r="2400">
      <c r="A2400" s="4">
        <v>45534.33990791667</v>
      </c>
      <c r="B2400" s="5" t="s">
        <v>34</v>
      </c>
      <c r="D2400" s="5" t="s">
        <v>1206</v>
      </c>
      <c r="E2400" s="5" t="s">
        <v>17528</v>
      </c>
      <c r="F2400" s="5" t="s">
        <v>37</v>
      </c>
      <c r="G2400" s="5" t="s">
        <v>17529</v>
      </c>
      <c r="H2400" s="6" t="s">
        <v>17530</v>
      </c>
      <c r="K2400" s="5" t="s">
        <v>17531</v>
      </c>
    </row>
    <row r="2401">
      <c r="A2401" s="4">
        <v>45534.33990869213</v>
      </c>
      <c r="B2401" s="5" t="s">
        <v>34</v>
      </c>
      <c r="D2401" s="5" t="s">
        <v>996</v>
      </c>
      <c r="E2401" s="5" t="s">
        <v>17534</v>
      </c>
      <c r="F2401" s="5" t="s">
        <v>72</v>
      </c>
      <c r="G2401" s="5" t="s">
        <v>17535</v>
      </c>
      <c r="H2401" s="6" t="s">
        <v>17536</v>
      </c>
      <c r="K2401" s="5" t="s">
        <v>17531</v>
      </c>
    </row>
    <row r="2402">
      <c r="A2402" s="4">
        <v>45534.339921192135</v>
      </c>
      <c r="B2402" s="5" t="s">
        <v>34</v>
      </c>
      <c r="D2402" s="5" t="s">
        <v>4775</v>
      </c>
      <c r="E2402" s="5" t="s">
        <v>17539</v>
      </c>
      <c r="F2402" s="5" t="s">
        <v>212</v>
      </c>
      <c r="G2402" s="5" t="s">
        <v>17540</v>
      </c>
      <c r="H2402" s="6" t="s">
        <v>17541</v>
      </c>
      <c r="K2402" s="5" t="s">
        <v>17531</v>
      </c>
    </row>
    <row r="2403">
      <c r="A2403" s="4">
        <v>45534.33992412037</v>
      </c>
      <c r="B2403" s="5" t="s">
        <v>34</v>
      </c>
      <c r="D2403" s="5" t="s">
        <v>35</v>
      </c>
      <c r="E2403" s="5" t="s">
        <v>17544</v>
      </c>
      <c r="F2403" s="5" t="s">
        <v>328</v>
      </c>
      <c r="G2403" s="5" t="s">
        <v>17545</v>
      </c>
      <c r="H2403" s="6" t="s">
        <v>17546</v>
      </c>
      <c r="K2403" s="5" t="s">
        <v>17531</v>
      </c>
    </row>
    <row r="2404">
      <c r="A2404" s="4">
        <v>45534.33992545139</v>
      </c>
      <c r="B2404" s="5" t="s">
        <v>34</v>
      </c>
      <c r="D2404" s="5" t="s">
        <v>1206</v>
      </c>
      <c r="E2404" s="5" t="s">
        <v>17550</v>
      </c>
      <c r="F2404" s="5" t="s">
        <v>199</v>
      </c>
      <c r="G2404" s="5" t="s">
        <v>17551</v>
      </c>
      <c r="H2404" s="6" t="s">
        <v>17552</v>
      </c>
      <c r="K2404" s="5" t="s">
        <v>17531</v>
      </c>
    </row>
    <row r="2405">
      <c r="A2405" s="4">
        <v>45534.3399297338</v>
      </c>
      <c r="B2405" s="5" t="s">
        <v>34</v>
      </c>
      <c r="D2405" s="5" t="s">
        <v>9020</v>
      </c>
      <c r="E2405" s="5" t="s">
        <v>17555</v>
      </c>
      <c r="F2405" s="5" t="s">
        <v>37</v>
      </c>
      <c r="G2405" s="5" t="s">
        <v>17556</v>
      </c>
      <c r="H2405" s="6" t="s">
        <v>17557</v>
      </c>
      <c r="K2405" s="5" t="s">
        <v>17531</v>
      </c>
    </row>
    <row r="2406">
      <c r="A2406" s="4">
        <v>45534.33993105324</v>
      </c>
      <c r="B2406" s="5" t="s">
        <v>34</v>
      </c>
      <c r="D2406" s="5" t="s">
        <v>4775</v>
      </c>
      <c r="E2406" s="5" t="s">
        <v>17560</v>
      </c>
      <c r="F2406" s="5" t="s">
        <v>37</v>
      </c>
      <c r="G2406" s="5" t="s">
        <v>17561</v>
      </c>
      <c r="H2406" s="6" t="s">
        <v>17562</v>
      </c>
      <c r="K2406" s="5" t="s">
        <v>17531</v>
      </c>
    </row>
    <row r="2407">
      <c r="A2407" s="4">
        <v>45534.3399311574</v>
      </c>
      <c r="B2407" s="5" t="s">
        <v>34</v>
      </c>
      <c r="D2407" s="5" t="s">
        <v>1206</v>
      </c>
      <c r="E2407" s="5" t="s">
        <v>17565</v>
      </c>
      <c r="F2407" s="5" t="s">
        <v>37</v>
      </c>
      <c r="G2407" s="5" t="s">
        <v>17566</v>
      </c>
      <c r="H2407" s="6" t="s">
        <v>17567</v>
      </c>
      <c r="K2407" s="5" t="s">
        <v>17531</v>
      </c>
    </row>
    <row r="2408">
      <c r="A2408" s="4">
        <v>45534.33993185185</v>
      </c>
      <c r="B2408" s="5" t="s">
        <v>34</v>
      </c>
      <c r="D2408" s="5" t="s">
        <v>10444</v>
      </c>
      <c r="E2408" s="5" t="s">
        <v>17570</v>
      </c>
      <c r="F2408" s="5" t="s">
        <v>37</v>
      </c>
      <c r="G2408" s="5" t="s">
        <v>17571</v>
      </c>
      <c r="H2408" s="6" t="s">
        <v>17572</v>
      </c>
      <c r="K2408" s="5" t="s">
        <v>17531</v>
      </c>
    </row>
    <row r="2409">
      <c r="A2409" s="4">
        <v>45534.339936805554</v>
      </c>
      <c r="B2409" s="5" t="s">
        <v>34</v>
      </c>
      <c r="D2409" s="5" t="s">
        <v>35</v>
      </c>
      <c r="E2409" s="5" t="s">
        <v>17575</v>
      </c>
      <c r="F2409" s="5" t="s">
        <v>37</v>
      </c>
      <c r="G2409" s="5" t="s">
        <v>17576</v>
      </c>
      <c r="H2409" s="6" t="s">
        <v>17577</v>
      </c>
      <c r="K2409" s="5" t="s">
        <v>17531</v>
      </c>
    </row>
    <row r="2410">
      <c r="A2410" s="4">
        <v>45534.33994118056</v>
      </c>
      <c r="B2410" s="5" t="s">
        <v>34</v>
      </c>
      <c r="D2410" s="5" t="s">
        <v>1206</v>
      </c>
      <c r="E2410" s="5" t="s">
        <v>17581</v>
      </c>
      <c r="F2410" s="5" t="s">
        <v>37</v>
      </c>
      <c r="G2410" s="5" t="s">
        <v>17582</v>
      </c>
      <c r="H2410" s="6" t="s">
        <v>17583</v>
      </c>
      <c r="K2410" s="5" t="s">
        <v>17531</v>
      </c>
    </row>
    <row r="2411">
      <c r="A2411" s="4">
        <v>45534.339941377315</v>
      </c>
      <c r="B2411" s="5" t="s">
        <v>34</v>
      </c>
      <c r="D2411" s="5" t="s">
        <v>6232</v>
      </c>
      <c r="E2411" s="5" t="s">
        <v>17586</v>
      </c>
      <c r="F2411" s="5" t="s">
        <v>212</v>
      </c>
      <c r="G2411" s="5" t="s">
        <v>17587</v>
      </c>
      <c r="H2411" s="6" t="s">
        <v>17588</v>
      </c>
      <c r="K2411" s="5" t="s">
        <v>17531</v>
      </c>
    </row>
    <row r="2412">
      <c r="A2412" s="4">
        <v>45534.33995490741</v>
      </c>
      <c r="B2412" s="5" t="s">
        <v>34</v>
      </c>
      <c r="D2412" s="5" t="s">
        <v>12010</v>
      </c>
      <c r="E2412" s="5" t="s">
        <v>17591</v>
      </c>
      <c r="F2412" s="5" t="s">
        <v>524</v>
      </c>
      <c r="G2412" s="5" t="s">
        <v>17592</v>
      </c>
      <c r="H2412" s="6" t="s">
        <v>17593</v>
      </c>
      <c r="K2412" s="5" t="s">
        <v>17531</v>
      </c>
    </row>
    <row r="2413">
      <c r="A2413" s="4">
        <v>45534.33995717592</v>
      </c>
      <c r="B2413" s="5" t="s">
        <v>34</v>
      </c>
      <c r="D2413" s="5" t="s">
        <v>4775</v>
      </c>
      <c r="E2413" s="5" t="s">
        <v>17596</v>
      </c>
      <c r="F2413" s="5" t="s">
        <v>375</v>
      </c>
      <c r="G2413" s="5" t="s">
        <v>17597</v>
      </c>
      <c r="H2413" s="6" t="s">
        <v>17598</v>
      </c>
      <c r="K2413" s="5" t="s">
        <v>17531</v>
      </c>
    </row>
    <row r="2414">
      <c r="A2414" s="4">
        <v>45534.33990905093</v>
      </c>
      <c r="B2414" s="5" t="s">
        <v>34</v>
      </c>
      <c r="D2414" s="5" t="s">
        <v>4775</v>
      </c>
      <c r="E2414" s="5" t="s">
        <v>17601</v>
      </c>
      <c r="F2414" s="5" t="s">
        <v>108</v>
      </c>
      <c r="G2414" s="5" t="s">
        <v>17602</v>
      </c>
      <c r="H2414" s="6" t="s">
        <v>17603</v>
      </c>
      <c r="K2414" s="5" t="s">
        <v>17531</v>
      </c>
    </row>
    <row r="2415">
      <c r="A2415" s="4">
        <v>45534.33991401621</v>
      </c>
      <c r="B2415" s="5" t="s">
        <v>34</v>
      </c>
      <c r="D2415" s="5" t="s">
        <v>12978</v>
      </c>
      <c r="E2415" s="5" t="s">
        <v>17607</v>
      </c>
      <c r="F2415" s="5" t="s">
        <v>715</v>
      </c>
      <c r="G2415" s="5" t="s">
        <v>17608</v>
      </c>
      <c r="H2415" s="6" t="s">
        <v>17609</v>
      </c>
      <c r="K2415" s="5" t="s">
        <v>17531</v>
      </c>
    </row>
    <row r="2416">
      <c r="A2416" s="4">
        <v>45534.33992520833</v>
      </c>
      <c r="B2416" s="5" t="s">
        <v>34</v>
      </c>
      <c r="D2416" s="5" t="s">
        <v>2903</v>
      </c>
      <c r="E2416" s="5" t="s">
        <v>17612</v>
      </c>
      <c r="F2416" s="5" t="s">
        <v>375</v>
      </c>
      <c r="G2416" s="5" t="s">
        <v>17613</v>
      </c>
      <c r="H2416" s="6" t="s">
        <v>17614</v>
      </c>
      <c r="K2416" s="5" t="s">
        <v>17531</v>
      </c>
    </row>
    <row r="2417">
      <c r="A2417" s="4">
        <v>45534.33993207176</v>
      </c>
      <c r="B2417" s="5" t="s">
        <v>19</v>
      </c>
      <c r="C2417" s="5" t="s">
        <v>11593</v>
      </c>
      <c r="E2417" s="5" t="s">
        <v>17617</v>
      </c>
      <c r="F2417" s="5" t="s">
        <v>120</v>
      </c>
      <c r="G2417" s="5" t="s">
        <v>17618</v>
      </c>
      <c r="H2417" s="6" t="s">
        <v>17619</v>
      </c>
      <c r="K2417" s="5" t="s">
        <v>17531</v>
      </c>
    </row>
    <row r="2418">
      <c r="A2418" s="4">
        <v>45534.339960578705</v>
      </c>
      <c r="B2418" s="5" t="s">
        <v>34</v>
      </c>
      <c r="D2418" s="5" t="s">
        <v>10444</v>
      </c>
      <c r="E2418" s="5" t="s">
        <v>17622</v>
      </c>
      <c r="F2418" s="5" t="s">
        <v>108</v>
      </c>
      <c r="G2418" s="5" t="s">
        <v>17623</v>
      </c>
      <c r="H2418" s="6" t="s">
        <v>17624</v>
      </c>
      <c r="K2418" s="5" t="s">
        <v>17531</v>
      </c>
    </row>
    <row r="2419">
      <c r="A2419" s="4">
        <v>45534.33996265046</v>
      </c>
      <c r="B2419" s="5" t="s">
        <v>34</v>
      </c>
      <c r="D2419" s="5" t="s">
        <v>35</v>
      </c>
      <c r="E2419" s="5" t="s">
        <v>17627</v>
      </c>
      <c r="F2419" s="5" t="s">
        <v>375</v>
      </c>
      <c r="G2419" s="5" t="s">
        <v>17628</v>
      </c>
      <c r="H2419" s="6" t="s">
        <v>17629</v>
      </c>
      <c r="K2419" s="5" t="s">
        <v>17531</v>
      </c>
    </row>
    <row r="2420">
      <c r="A2420" s="4">
        <v>45534.33996943287</v>
      </c>
      <c r="B2420" s="5" t="s">
        <v>34</v>
      </c>
      <c r="D2420" s="5" t="s">
        <v>580</v>
      </c>
      <c r="E2420" s="5" t="s">
        <v>17633</v>
      </c>
      <c r="F2420" s="5" t="s">
        <v>108</v>
      </c>
      <c r="G2420" s="5" t="s">
        <v>17634</v>
      </c>
      <c r="H2420" s="6" t="s">
        <v>17635</v>
      </c>
      <c r="K2420" s="5" t="s">
        <v>17531</v>
      </c>
    </row>
    <row r="2421">
      <c r="A2421" s="4">
        <v>45534.33997498843</v>
      </c>
      <c r="B2421" s="5" t="s">
        <v>34</v>
      </c>
      <c r="D2421" s="5" t="s">
        <v>35</v>
      </c>
      <c r="E2421" s="5" t="s">
        <v>15455</v>
      </c>
      <c r="F2421" s="5" t="s">
        <v>212</v>
      </c>
      <c r="G2421" s="5" t="s">
        <v>17638</v>
      </c>
      <c r="H2421" s="6" t="s">
        <v>17639</v>
      </c>
      <c r="K2421" s="5" t="s">
        <v>17531</v>
      </c>
    </row>
    <row r="2422">
      <c r="A2422" s="4">
        <v>45534.33998300926</v>
      </c>
      <c r="B2422" s="5" t="s">
        <v>34</v>
      </c>
      <c r="D2422" s="5" t="s">
        <v>580</v>
      </c>
      <c r="E2422" s="5" t="s">
        <v>17642</v>
      </c>
      <c r="F2422" s="5" t="s">
        <v>37</v>
      </c>
      <c r="G2422" s="5" t="s">
        <v>17643</v>
      </c>
      <c r="H2422" s="6" t="s">
        <v>17644</v>
      </c>
      <c r="K2422" s="5" t="s">
        <v>17531</v>
      </c>
    </row>
    <row r="2423">
      <c r="A2423" s="4">
        <v>45534.33998658565</v>
      </c>
      <c r="B2423" s="5" t="s">
        <v>34</v>
      </c>
      <c r="D2423" s="5" t="s">
        <v>3849</v>
      </c>
      <c r="E2423" s="5" t="s">
        <v>17647</v>
      </c>
      <c r="F2423" s="5" t="s">
        <v>212</v>
      </c>
      <c r="G2423" s="5" t="s">
        <v>17648</v>
      </c>
      <c r="H2423" s="6" t="s">
        <v>17649</v>
      </c>
      <c r="K2423" s="5" t="s">
        <v>17531</v>
      </c>
    </row>
    <row r="2424">
      <c r="A2424" s="4">
        <v>45534.33999146991</v>
      </c>
      <c r="B2424" s="5" t="s">
        <v>34</v>
      </c>
      <c r="D2424" s="5" t="s">
        <v>12010</v>
      </c>
      <c r="E2424" s="5" t="s">
        <v>17652</v>
      </c>
      <c r="F2424" s="5" t="s">
        <v>212</v>
      </c>
      <c r="G2424" s="5" t="s">
        <v>17653</v>
      </c>
      <c r="H2424" s="6" t="s">
        <v>17654</v>
      </c>
      <c r="K2424" s="5" t="s">
        <v>17531</v>
      </c>
    </row>
    <row r="2425">
      <c r="A2425" s="4">
        <v>45534.33997565972</v>
      </c>
      <c r="B2425" s="5" t="s">
        <v>34</v>
      </c>
      <c r="D2425" s="5" t="s">
        <v>12978</v>
      </c>
      <c r="E2425" s="5" t="s">
        <v>17657</v>
      </c>
      <c r="F2425" s="5" t="s">
        <v>212</v>
      </c>
      <c r="G2425" s="5" t="s">
        <v>17658</v>
      </c>
      <c r="H2425" s="6" t="s">
        <v>17659</v>
      </c>
      <c r="K2425" s="5" t="s">
        <v>17531</v>
      </c>
    </row>
    <row r="2426">
      <c r="A2426" s="4">
        <v>45534.33998143519</v>
      </c>
      <c r="B2426" s="5" t="s">
        <v>19</v>
      </c>
      <c r="C2426" s="5" t="s">
        <v>466</v>
      </c>
      <c r="E2426" s="5" t="s">
        <v>17662</v>
      </c>
      <c r="F2426" s="5" t="s">
        <v>72</v>
      </c>
      <c r="G2426" s="5" t="s">
        <v>17663</v>
      </c>
      <c r="H2426" s="6" t="s">
        <v>17664</v>
      </c>
      <c r="K2426" s="5" t="s">
        <v>17531</v>
      </c>
    </row>
    <row r="2427">
      <c r="A2427" s="4">
        <v>45534.33999368055</v>
      </c>
      <c r="B2427" s="5" t="s">
        <v>19</v>
      </c>
      <c r="C2427" s="5" t="s">
        <v>5564</v>
      </c>
      <c r="E2427" s="5" t="s">
        <v>17668</v>
      </c>
      <c r="F2427" s="5" t="s">
        <v>212</v>
      </c>
      <c r="G2427" s="5" t="s">
        <v>17669</v>
      </c>
      <c r="H2427" s="6" t="s">
        <v>17670</v>
      </c>
      <c r="K2427" s="5" t="s">
        <v>17531</v>
      </c>
    </row>
    <row r="2428">
      <c r="A2428" s="4">
        <v>45534.34000210648</v>
      </c>
      <c r="B2428" s="5" t="s">
        <v>34</v>
      </c>
      <c r="D2428" s="5" t="s">
        <v>4775</v>
      </c>
      <c r="E2428" s="5" t="s">
        <v>17673</v>
      </c>
      <c r="F2428" s="5" t="s">
        <v>212</v>
      </c>
      <c r="G2428" s="5" t="s">
        <v>17674</v>
      </c>
      <c r="H2428" s="6" t="s">
        <v>17675</v>
      </c>
      <c r="K2428" s="5" t="s">
        <v>17531</v>
      </c>
    </row>
    <row r="2429">
      <c r="A2429" s="4">
        <v>45534.340002638884</v>
      </c>
      <c r="B2429" s="5" t="s">
        <v>34</v>
      </c>
      <c r="D2429" s="5" t="s">
        <v>522</v>
      </c>
      <c r="E2429" s="5" t="s">
        <v>17678</v>
      </c>
      <c r="F2429" s="5" t="s">
        <v>524</v>
      </c>
      <c r="G2429" s="5" t="s">
        <v>17679</v>
      </c>
      <c r="H2429" s="6" t="s">
        <v>17680</v>
      </c>
      <c r="K2429" s="5" t="s">
        <v>17531</v>
      </c>
    </row>
    <row r="2430">
      <c r="A2430" s="4">
        <v>45534.34000293982</v>
      </c>
      <c r="B2430" s="5" t="s">
        <v>34</v>
      </c>
      <c r="D2430" s="5" t="s">
        <v>1206</v>
      </c>
      <c r="E2430" s="5" t="s">
        <v>17683</v>
      </c>
      <c r="F2430" s="5" t="s">
        <v>212</v>
      </c>
      <c r="G2430" s="5" t="s">
        <v>17684</v>
      </c>
      <c r="H2430" s="6" t="s">
        <v>17685</v>
      </c>
      <c r="K2430" s="5" t="s">
        <v>17531</v>
      </c>
    </row>
    <row r="2431">
      <c r="A2431" s="4">
        <v>45534.34000431713</v>
      </c>
      <c r="B2431" s="5" t="s">
        <v>34</v>
      </c>
      <c r="D2431" s="5" t="s">
        <v>975</v>
      </c>
      <c r="E2431" s="5" t="s">
        <v>17688</v>
      </c>
      <c r="F2431" s="5" t="s">
        <v>37</v>
      </c>
      <c r="G2431" s="5" t="s">
        <v>17689</v>
      </c>
      <c r="H2431" s="6" t="s">
        <v>17690</v>
      </c>
      <c r="K2431" s="5" t="s">
        <v>17531</v>
      </c>
    </row>
    <row r="2432">
      <c r="A2432" s="4">
        <v>45534.34000467593</v>
      </c>
      <c r="B2432" s="5" t="s">
        <v>19</v>
      </c>
      <c r="C2432" s="5" t="s">
        <v>5564</v>
      </c>
      <c r="E2432" s="5" t="s">
        <v>17693</v>
      </c>
      <c r="F2432" s="5" t="s">
        <v>120</v>
      </c>
      <c r="G2432" s="5" t="s">
        <v>17694</v>
      </c>
      <c r="H2432" s="6" t="s">
        <v>17695</v>
      </c>
      <c r="K2432" s="5" t="s">
        <v>17531</v>
      </c>
    </row>
    <row r="2433">
      <c r="A2433" s="4">
        <v>45534.34000493056</v>
      </c>
      <c r="B2433" s="5" t="s">
        <v>34</v>
      </c>
      <c r="D2433" s="5" t="s">
        <v>1206</v>
      </c>
      <c r="E2433" s="5" t="s">
        <v>17699</v>
      </c>
      <c r="F2433" s="5" t="s">
        <v>37</v>
      </c>
      <c r="G2433" s="5" t="s">
        <v>17700</v>
      </c>
      <c r="H2433" s="6" t="s">
        <v>17701</v>
      </c>
      <c r="K2433" s="5" t="s">
        <v>17531</v>
      </c>
    </row>
    <row r="2434">
      <c r="A2434" s="4">
        <v>45534.340007280094</v>
      </c>
      <c r="B2434" s="5" t="s">
        <v>34</v>
      </c>
      <c r="D2434" s="5" t="s">
        <v>522</v>
      </c>
      <c r="E2434" s="5" t="s">
        <v>17704</v>
      </c>
      <c r="F2434" s="5" t="s">
        <v>37</v>
      </c>
      <c r="G2434" s="5" t="s">
        <v>17705</v>
      </c>
      <c r="H2434" s="6" t="s">
        <v>17706</v>
      </c>
      <c r="K2434" s="5" t="s">
        <v>17531</v>
      </c>
    </row>
    <row r="2435">
      <c r="A2435" s="4">
        <v>45534.34001652778</v>
      </c>
      <c r="B2435" s="5" t="s">
        <v>34</v>
      </c>
      <c r="D2435" s="5" t="s">
        <v>3849</v>
      </c>
      <c r="E2435" s="5" t="s">
        <v>17709</v>
      </c>
      <c r="F2435" s="5" t="s">
        <v>37</v>
      </c>
      <c r="G2435" s="5" t="s">
        <v>17710</v>
      </c>
      <c r="H2435" s="6" t="s">
        <v>17711</v>
      </c>
      <c r="K2435" s="5" t="s">
        <v>17531</v>
      </c>
    </row>
    <row r="2436">
      <c r="A2436" s="4">
        <v>45534.3400237037</v>
      </c>
      <c r="B2436" s="5" t="s">
        <v>34</v>
      </c>
      <c r="D2436" s="5" t="s">
        <v>280</v>
      </c>
      <c r="E2436" s="5" t="s">
        <v>17714</v>
      </c>
      <c r="F2436" s="5" t="s">
        <v>212</v>
      </c>
      <c r="G2436" s="5" t="s">
        <v>17715</v>
      </c>
      <c r="H2436" s="6" t="s">
        <v>17716</v>
      </c>
      <c r="K2436" s="5" t="s">
        <v>15807</v>
      </c>
    </row>
    <row r="2437">
      <c r="A2437" s="4">
        <v>45534.340031493055</v>
      </c>
      <c r="B2437" s="5" t="s">
        <v>34</v>
      </c>
      <c r="D2437" s="5" t="s">
        <v>2903</v>
      </c>
      <c r="E2437" s="5" t="s">
        <v>17719</v>
      </c>
      <c r="F2437" s="5" t="s">
        <v>524</v>
      </c>
      <c r="G2437" s="5" t="s">
        <v>17720</v>
      </c>
      <c r="H2437" s="6" t="s">
        <v>17721</v>
      </c>
      <c r="K2437" s="5" t="s">
        <v>15807</v>
      </c>
    </row>
    <row r="2438">
      <c r="A2438" s="4">
        <v>45534.34003825231</v>
      </c>
      <c r="B2438" s="5" t="s">
        <v>34</v>
      </c>
      <c r="D2438" s="5" t="s">
        <v>4775</v>
      </c>
      <c r="E2438" s="5" t="s">
        <v>17725</v>
      </c>
      <c r="F2438" s="5" t="s">
        <v>212</v>
      </c>
      <c r="G2438" s="5" t="s">
        <v>17726</v>
      </c>
      <c r="H2438" s="6" t="s">
        <v>17727</v>
      </c>
      <c r="K2438" s="5" t="s">
        <v>15807</v>
      </c>
    </row>
    <row r="2439">
      <c r="A2439" s="4">
        <v>45534.340040428244</v>
      </c>
      <c r="B2439" s="5" t="s">
        <v>34</v>
      </c>
      <c r="D2439" s="5" t="s">
        <v>4775</v>
      </c>
      <c r="E2439" s="5" t="s">
        <v>17730</v>
      </c>
      <c r="F2439" s="5" t="s">
        <v>328</v>
      </c>
      <c r="G2439" s="5" t="s">
        <v>17731</v>
      </c>
      <c r="H2439" s="6" t="s">
        <v>17732</v>
      </c>
      <c r="K2439" s="5" t="s">
        <v>15807</v>
      </c>
    </row>
    <row r="2440">
      <c r="A2440" s="4">
        <v>45534.34004402778</v>
      </c>
      <c r="B2440" s="5" t="s">
        <v>34</v>
      </c>
      <c r="D2440" s="5" t="s">
        <v>35</v>
      </c>
      <c r="E2440" s="5" t="s">
        <v>17735</v>
      </c>
      <c r="F2440" s="5" t="s">
        <v>715</v>
      </c>
      <c r="G2440" s="5" t="s">
        <v>17736</v>
      </c>
      <c r="H2440" s="6" t="s">
        <v>17737</v>
      </c>
      <c r="K2440" s="5" t="s">
        <v>15807</v>
      </c>
    </row>
    <row r="2441">
      <c r="A2441" s="4">
        <v>45534.34004418981</v>
      </c>
      <c r="B2441" s="5" t="s">
        <v>34</v>
      </c>
      <c r="D2441" s="5" t="s">
        <v>1768</v>
      </c>
      <c r="E2441" s="5" t="s">
        <v>17740</v>
      </c>
      <c r="F2441" s="5" t="s">
        <v>37</v>
      </c>
      <c r="G2441" s="5" t="s">
        <v>17741</v>
      </c>
      <c r="H2441" s="6" t="s">
        <v>17742</v>
      </c>
      <c r="K2441" s="5" t="s">
        <v>15807</v>
      </c>
    </row>
    <row r="2442">
      <c r="A2442" s="4">
        <v>45534.34005306713</v>
      </c>
      <c r="B2442" s="5" t="s">
        <v>34</v>
      </c>
      <c r="D2442" s="5" t="s">
        <v>975</v>
      </c>
      <c r="E2442" s="5" t="s">
        <v>17745</v>
      </c>
      <c r="F2442" s="5" t="s">
        <v>37</v>
      </c>
      <c r="G2442" s="5" t="s">
        <v>17746</v>
      </c>
      <c r="H2442" s="6" t="s">
        <v>17747</v>
      </c>
      <c r="K2442" s="5" t="s">
        <v>15807</v>
      </c>
    </row>
    <row r="2443">
      <c r="A2443" s="4">
        <v>45534.3400558912</v>
      </c>
      <c r="B2443" s="5" t="s">
        <v>34</v>
      </c>
      <c r="D2443" s="5" t="s">
        <v>9020</v>
      </c>
      <c r="E2443" s="5" t="s">
        <v>17751</v>
      </c>
      <c r="F2443" s="5" t="s">
        <v>37</v>
      </c>
      <c r="G2443" s="5" t="s">
        <v>17752</v>
      </c>
      <c r="H2443" s="6" t="s">
        <v>17753</v>
      </c>
      <c r="K2443" s="5" t="s">
        <v>15807</v>
      </c>
    </row>
    <row r="2444">
      <c r="A2444" s="4">
        <v>45534.3400153588</v>
      </c>
      <c r="B2444" s="5" t="s">
        <v>34</v>
      </c>
      <c r="D2444" s="5" t="s">
        <v>280</v>
      </c>
      <c r="E2444" s="5" t="s">
        <v>17756</v>
      </c>
      <c r="F2444" s="5" t="s">
        <v>375</v>
      </c>
      <c r="G2444" s="5" t="s">
        <v>17757</v>
      </c>
      <c r="H2444" s="6" t="s">
        <v>17758</v>
      </c>
      <c r="K2444" s="5" t="s">
        <v>15807</v>
      </c>
    </row>
    <row r="2445">
      <c r="A2445" s="4">
        <v>45534.34001540509</v>
      </c>
      <c r="B2445" s="5" t="s">
        <v>34</v>
      </c>
      <c r="D2445" s="5" t="s">
        <v>996</v>
      </c>
      <c r="E2445" s="5" t="s">
        <v>17761</v>
      </c>
      <c r="F2445" s="5" t="s">
        <v>37</v>
      </c>
      <c r="G2445" s="5" t="s">
        <v>17762</v>
      </c>
      <c r="H2445" s="6" t="s">
        <v>17763</v>
      </c>
      <c r="K2445" s="5" t="s">
        <v>15807</v>
      </c>
    </row>
    <row r="2446">
      <c r="A2446" s="4">
        <v>45534.34001746528</v>
      </c>
      <c r="B2446" s="5" t="s">
        <v>34</v>
      </c>
      <c r="D2446" s="5" t="s">
        <v>1206</v>
      </c>
      <c r="E2446" s="5" t="s">
        <v>17766</v>
      </c>
      <c r="F2446" s="5" t="s">
        <v>212</v>
      </c>
      <c r="G2446" s="5" t="s">
        <v>17767</v>
      </c>
      <c r="H2446" s="6" t="s">
        <v>17768</v>
      </c>
      <c r="K2446" s="5" t="s">
        <v>15807</v>
      </c>
    </row>
    <row r="2447">
      <c r="A2447" s="4">
        <v>45534.340058842594</v>
      </c>
      <c r="B2447" s="5" t="s">
        <v>34</v>
      </c>
      <c r="D2447" s="5" t="s">
        <v>35</v>
      </c>
      <c r="E2447" s="5" t="s">
        <v>17771</v>
      </c>
      <c r="F2447" s="5" t="s">
        <v>715</v>
      </c>
      <c r="G2447" s="5" t="s">
        <v>17772</v>
      </c>
      <c r="H2447" s="6" t="s">
        <v>17773</v>
      </c>
      <c r="K2447" s="5" t="s">
        <v>15807</v>
      </c>
    </row>
    <row r="2448">
      <c r="A2448" s="4">
        <v>45534.34005917824</v>
      </c>
      <c r="B2448" s="5" t="s">
        <v>34</v>
      </c>
      <c r="D2448" s="5" t="s">
        <v>280</v>
      </c>
      <c r="E2448" s="5" t="s">
        <v>17777</v>
      </c>
      <c r="F2448" s="5" t="s">
        <v>72</v>
      </c>
      <c r="G2448" s="5" t="s">
        <v>12972</v>
      </c>
      <c r="H2448" s="6" t="s">
        <v>17778</v>
      </c>
      <c r="K2448" s="5" t="s">
        <v>15807</v>
      </c>
    </row>
    <row r="2449">
      <c r="A2449" s="4">
        <v>45534.3400606713</v>
      </c>
      <c r="B2449" s="5" t="s">
        <v>34</v>
      </c>
      <c r="D2449" s="5" t="s">
        <v>4775</v>
      </c>
      <c r="E2449" s="5" t="s">
        <v>17781</v>
      </c>
      <c r="F2449" s="5" t="s">
        <v>37</v>
      </c>
      <c r="G2449" s="5" t="s">
        <v>17782</v>
      </c>
      <c r="H2449" s="6" t="s">
        <v>17783</v>
      </c>
      <c r="K2449" s="5" t="s">
        <v>15807</v>
      </c>
    </row>
    <row r="2450">
      <c r="A2450" s="4">
        <v>45534.34007239583</v>
      </c>
      <c r="B2450" s="5" t="s">
        <v>34</v>
      </c>
      <c r="D2450" s="5" t="s">
        <v>4775</v>
      </c>
      <c r="E2450" s="5" t="s">
        <v>17786</v>
      </c>
      <c r="F2450" s="5" t="s">
        <v>212</v>
      </c>
      <c r="G2450" s="5" t="s">
        <v>17787</v>
      </c>
      <c r="H2450" s="6" t="s">
        <v>17788</v>
      </c>
      <c r="K2450" s="5" t="s">
        <v>15807</v>
      </c>
    </row>
    <row r="2451">
      <c r="A2451" s="4">
        <v>45534.3400846875</v>
      </c>
      <c r="B2451" s="5" t="s">
        <v>34</v>
      </c>
      <c r="D2451" s="5" t="s">
        <v>1206</v>
      </c>
      <c r="E2451" s="5" t="s">
        <v>17791</v>
      </c>
      <c r="F2451" s="5" t="s">
        <v>37</v>
      </c>
      <c r="G2451" s="5" t="s">
        <v>17792</v>
      </c>
      <c r="H2451" s="6" t="s">
        <v>17793</v>
      </c>
      <c r="K2451" s="5" t="s">
        <v>15807</v>
      </c>
    </row>
    <row r="2452">
      <c r="A2452" s="4">
        <v>45534.34008710648</v>
      </c>
      <c r="B2452" s="5" t="s">
        <v>19</v>
      </c>
      <c r="C2452" s="5" t="s">
        <v>292</v>
      </c>
      <c r="E2452" s="5" t="s">
        <v>17796</v>
      </c>
      <c r="F2452" s="5" t="s">
        <v>72</v>
      </c>
      <c r="G2452" s="5" t="s">
        <v>17797</v>
      </c>
      <c r="H2452" s="6" t="s">
        <v>17798</v>
      </c>
      <c r="K2452" s="5" t="s">
        <v>15807</v>
      </c>
    </row>
    <row r="2453">
      <c r="A2453" s="4">
        <v>45534.340061828705</v>
      </c>
      <c r="B2453" s="5" t="s">
        <v>19</v>
      </c>
      <c r="C2453" s="5" t="s">
        <v>1606</v>
      </c>
      <c r="E2453" s="5" t="s">
        <v>17801</v>
      </c>
      <c r="F2453" s="5" t="s">
        <v>524</v>
      </c>
      <c r="G2453" s="5" t="s">
        <v>17802</v>
      </c>
      <c r="H2453" s="6" t="s">
        <v>17803</v>
      </c>
      <c r="K2453" s="5" t="s">
        <v>15807</v>
      </c>
    </row>
    <row r="2454">
      <c r="A2454" s="4">
        <v>45534.340091562495</v>
      </c>
      <c r="B2454" s="5" t="s">
        <v>34</v>
      </c>
      <c r="D2454" s="5" t="s">
        <v>6232</v>
      </c>
      <c r="E2454" s="5" t="s">
        <v>17806</v>
      </c>
      <c r="F2454" s="5" t="s">
        <v>120</v>
      </c>
      <c r="G2454" s="5" t="s">
        <v>17807</v>
      </c>
      <c r="H2454" s="6" t="s">
        <v>17808</v>
      </c>
      <c r="K2454" s="5" t="s">
        <v>15807</v>
      </c>
    </row>
    <row r="2455">
      <c r="A2455" s="4">
        <v>45534.3401062037</v>
      </c>
      <c r="B2455" s="5" t="s">
        <v>34</v>
      </c>
      <c r="D2455" s="5" t="s">
        <v>35</v>
      </c>
      <c r="E2455" s="5" t="s">
        <v>17812</v>
      </c>
      <c r="F2455" s="5" t="s">
        <v>37</v>
      </c>
      <c r="G2455" s="5" t="s">
        <v>17813</v>
      </c>
      <c r="H2455" s="6" t="s">
        <v>17814</v>
      </c>
      <c r="K2455" s="5" t="s">
        <v>15807</v>
      </c>
    </row>
    <row r="2456">
      <c r="A2456" s="4">
        <v>45534.340110185185</v>
      </c>
      <c r="B2456" s="5" t="s">
        <v>34</v>
      </c>
      <c r="D2456" s="5" t="s">
        <v>2903</v>
      </c>
      <c r="E2456" s="5" t="s">
        <v>17817</v>
      </c>
      <c r="F2456" s="5" t="s">
        <v>22</v>
      </c>
      <c r="G2456" s="5" t="s">
        <v>17818</v>
      </c>
      <c r="H2456" s="6" t="s">
        <v>17819</v>
      </c>
      <c r="K2456" s="5" t="s">
        <v>15807</v>
      </c>
    </row>
    <row r="2457">
      <c r="A2457" s="4">
        <v>45534.340113136575</v>
      </c>
      <c r="B2457" s="5" t="s">
        <v>34</v>
      </c>
      <c r="D2457" s="5" t="s">
        <v>1206</v>
      </c>
      <c r="E2457" s="5" t="s">
        <v>10371</v>
      </c>
      <c r="F2457" s="5" t="s">
        <v>37</v>
      </c>
      <c r="G2457" s="5" t="s">
        <v>17822</v>
      </c>
      <c r="H2457" s="6" t="s">
        <v>17823</v>
      </c>
      <c r="K2457" s="5" t="s">
        <v>15807</v>
      </c>
    </row>
    <row r="2458">
      <c r="A2458" s="4">
        <v>45534.34011928241</v>
      </c>
      <c r="B2458" s="5" t="s">
        <v>34</v>
      </c>
      <c r="D2458" s="5" t="s">
        <v>522</v>
      </c>
      <c r="E2458" s="5" t="s">
        <v>17826</v>
      </c>
      <c r="F2458" s="5" t="s">
        <v>37</v>
      </c>
      <c r="G2458" s="5" t="s">
        <v>17827</v>
      </c>
      <c r="H2458" s="6" t="s">
        <v>17828</v>
      </c>
      <c r="K2458" s="5" t="s">
        <v>15807</v>
      </c>
    </row>
    <row r="2459">
      <c r="A2459" s="4">
        <v>45534.340120486115</v>
      </c>
      <c r="B2459" s="5" t="s">
        <v>34</v>
      </c>
      <c r="D2459" s="5" t="s">
        <v>3849</v>
      </c>
      <c r="E2459" s="5" t="s">
        <v>17831</v>
      </c>
      <c r="F2459" s="5" t="s">
        <v>524</v>
      </c>
      <c r="G2459" s="5" t="s">
        <v>17832</v>
      </c>
      <c r="H2459" s="6" t="s">
        <v>17833</v>
      </c>
      <c r="K2459" s="5" t="s">
        <v>15807</v>
      </c>
    </row>
    <row r="2460">
      <c r="A2460" s="4">
        <v>45534.34012577546</v>
      </c>
      <c r="B2460" s="5" t="s">
        <v>34</v>
      </c>
      <c r="D2460" s="5" t="s">
        <v>14313</v>
      </c>
      <c r="E2460" s="5" t="s">
        <v>17836</v>
      </c>
      <c r="F2460" s="5" t="s">
        <v>212</v>
      </c>
      <c r="G2460" s="5" t="s">
        <v>17837</v>
      </c>
      <c r="H2460" s="6" t="s">
        <v>17838</v>
      </c>
      <c r="K2460" s="5" t="s">
        <v>15807</v>
      </c>
    </row>
    <row r="2461">
      <c r="A2461" s="4">
        <v>45534.34009574074</v>
      </c>
      <c r="B2461" s="5" t="s">
        <v>34</v>
      </c>
      <c r="D2461" s="5" t="s">
        <v>996</v>
      </c>
      <c r="E2461" s="5" t="s">
        <v>17842</v>
      </c>
      <c r="F2461" s="5" t="s">
        <v>212</v>
      </c>
      <c r="G2461" s="5" t="s">
        <v>17843</v>
      </c>
      <c r="H2461" s="6" t="s">
        <v>17844</v>
      </c>
      <c r="K2461" s="5" t="s">
        <v>15807</v>
      </c>
    </row>
    <row r="2462">
      <c r="A2462" s="4">
        <v>45534.340096562504</v>
      </c>
      <c r="B2462" s="5" t="s">
        <v>19</v>
      </c>
      <c r="C2462" s="5" t="s">
        <v>292</v>
      </c>
      <c r="E2462" s="5" t="s">
        <v>17847</v>
      </c>
      <c r="F2462" s="5" t="s">
        <v>37</v>
      </c>
      <c r="G2462" s="5" t="s">
        <v>17848</v>
      </c>
      <c r="H2462" s="6" t="s">
        <v>17849</v>
      </c>
      <c r="K2462" s="5" t="s">
        <v>15807</v>
      </c>
    </row>
    <row r="2463">
      <c r="A2463" s="4">
        <v>45534.34009773148</v>
      </c>
      <c r="B2463" s="5" t="s">
        <v>34</v>
      </c>
      <c r="D2463" s="5" t="s">
        <v>1206</v>
      </c>
      <c r="E2463" s="5" t="s">
        <v>17852</v>
      </c>
      <c r="F2463" s="5" t="s">
        <v>212</v>
      </c>
      <c r="G2463" s="5" t="s">
        <v>17853</v>
      </c>
      <c r="H2463" s="6" t="s">
        <v>17854</v>
      </c>
      <c r="K2463" s="5" t="s">
        <v>15807</v>
      </c>
    </row>
    <row r="2464">
      <c r="A2464" s="4">
        <v>45534.34013611111</v>
      </c>
      <c r="B2464" s="5" t="s">
        <v>34</v>
      </c>
      <c r="D2464" s="5" t="s">
        <v>35</v>
      </c>
      <c r="E2464" s="5" t="s">
        <v>17857</v>
      </c>
      <c r="F2464" s="5" t="s">
        <v>212</v>
      </c>
      <c r="G2464" s="5" t="s">
        <v>17858</v>
      </c>
      <c r="H2464" s="6" t="s">
        <v>17859</v>
      </c>
      <c r="K2464" s="5" t="s">
        <v>16801</v>
      </c>
    </row>
    <row r="2465">
      <c r="A2465" s="4">
        <v>45534.34013953704</v>
      </c>
      <c r="B2465" s="5" t="s">
        <v>34</v>
      </c>
      <c r="D2465" s="5" t="s">
        <v>1206</v>
      </c>
      <c r="E2465" s="5" t="s">
        <v>17862</v>
      </c>
      <c r="F2465" s="5" t="s">
        <v>37</v>
      </c>
      <c r="G2465" s="5" t="s">
        <v>17863</v>
      </c>
      <c r="H2465" s="6" t="s">
        <v>17864</v>
      </c>
      <c r="K2465" s="5" t="s">
        <v>16801</v>
      </c>
    </row>
    <row r="2466">
      <c r="A2466" s="4">
        <v>45534.34014655092</v>
      </c>
      <c r="B2466" s="5" t="s">
        <v>34</v>
      </c>
      <c r="D2466" s="5" t="s">
        <v>4775</v>
      </c>
      <c r="E2466" s="5" t="s">
        <v>17867</v>
      </c>
      <c r="F2466" s="5" t="s">
        <v>212</v>
      </c>
      <c r="G2466" s="5" t="s">
        <v>17868</v>
      </c>
      <c r="H2466" s="6" t="s">
        <v>17869</v>
      </c>
      <c r="K2466" s="5" t="s">
        <v>16801</v>
      </c>
    </row>
    <row r="2467">
      <c r="A2467" s="4">
        <v>45534.34015079861</v>
      </c>
      <c r="B2467" s="5" t="s">
        <v>34</v>
      </c>
      <c r="D2467" s="5" t="s">
        <v>6232</v>
      </c>
      <c r="E2467" s="5" t="s">
        <v>17873</v>
      </c>
      <c r="F2467" s="5" t="s">
        <v>72</v>
      </c>
      <c r="G2467" s="5" t="s">
        <v>17874</v>
      </c>
      <c r="H2467" s="6" t="s">
        <v>17875</v>
      </c>
      <c r="K2467" s="5" t="s">
        <v>16801</v>
      </c>
    </row>
    <row r="2468">
      <c r="A2468" s="4">
        <v>45534.34015609954</v>
      </c>
      <c r="B2468" s="5" t="s">
        <v>34</v>
      </c>
      <c r="D2468" s="5" t="s">
        <v>3849</v>
      </c>
      <c r="E2468" s="5" t="s">
        <v>17878</v>
      </c>
      <c r="F2468" s="5" t="s">
        <v>37</v>
      </c>
      <c r="G2468" s="5" t="s">
        <v>17879</v>
      </c>
      <c r="H2468" s="6" t="s">
        <v>17880</v>
      </c>
      <c r="K2468" s="5" t="s">
        <v>16801</v>
      </c>
    </row>
    <row r="2469">
      <c r="A2469" s="4">
        <v>45534.340156412036</v>
      </c>
      <c r="B2469" s="5" t="s">
        <v>34</v>
      </c>
      <c r="D2469" s="5" t="s">
        <v>1206</v>
      </c>
      <c r="E2469" s="5" t="s">
        <v>17883</v>
      </c>
      <c r="F2469" s="5" t="s">
        <v>37</v>
      </c>
      <c r="G2469" s="5" t="s">
        <v>17884</v>
      </c>
      <c r="H2469" s="6" t="s">
        <v>17885</v>
      </c>
      <c r="K2469" s="5" t="s">
        <v>16801</v>
      </c>
    </row>
    <row r="2470">
      <c r="A2470" s="4">
        <v>45534.34015695602</v>
      </c>
      <c r="B2470" s="5" t="s">
        <v>34</v>
      </c>
      <c r="D2470" s="5" t="s">
        <v>1768</v>
      </c>
      <c r="E2470" s="5" t="s">
        <v>17888</v>
      </c>
      <c r="F2470" s="5" t="s">
        <v>108</v>
      </c>
      <c r="G2470" s="5" t="s">
        <v>17889</v>
      </c>
      <c r="H2470" s="6" t="s">
        <v>17890</v>
      </c>
      <c r="K2470" s="5" t="s">
        <v>16801</v>
      </c>
    </row>
    <row r="2471">
      <c r="A2471" s="4">
        <v>45534.34016122685</v>
      </c>
      <c r="B2471" s="5" t="s">
        <v>34</v>
      </c>
      <c r="D2471" s="5" t="s">
        <v>1206</v>
      </c>
      <c r="E2471" s="5" t="s">
        <v>17894</v>
      </c>
      <c r="F2471" s="5" t="s">
        <v>212</v>
      </c>
      <c r="G2471" s="5" t="s">
        <v>17895</v>
      </c>
      <c r="H2471" s="6" t="s">
        <v>17896</v>
      </c>
      <c r="K2471" s="5" t="s">
        <v>16801</v>
      </c>
    </row>
    <row r="2472">
      <c r="A2472" s="4">
        <v>45534.34016438657</v>
      </c>
      <c r="B2472" s="5" t="s">
        <v>34</v>
      </c>
      <c r="D2472" s="5" t="s">
        <v>35</v>
      </c>
      <c r="E2472" s="5" t="s">
        <v>17899</v>
      </c>
      <c r="F2472" s="5" t="s">
        <v>72</v>
      </c>
      <c r="G2472" s="5" t="s">
        <v>17900</v>
      </c>
      <c r="H2472" s="6" t="s">
        <v>17901</v>
      </c>
      <c r="K2472" s="5" t="s">
        <v>16801</v>
      </c>
    </row>
    <row r="2473">
      <c r="A2473" s="4">
        <v>45534.34016824074</v>
      </c>
      <c r="B2473" s="5" t="s">
        <v>34</v>
      </c>
      <c r="D2473" s="5" t="s">
        <v>12978</v>
      </c>
      <c r="E2473" s="5" t="s">
        <v>17904</v>
      </c>
      <c r="F2473" s="5" t="s">
        <v>212</v>
      </c>
      <c r="G2473" s="5" t="s">
        <v>17905</v>
      </c>
      <c r="H2473" s="6" t="s">
        <v>17906</v>
      </c>
      <c r="K2473" s="5" t="s">
        <v>16801</v>
      </c>
    </row>
    <row r="2474">
      <c r="A2474" s="4">
        <v>45534.34017135417</v>
      </c>
      <c r="B2474" s="5" t="s">
        <v>34</v>
      </c>
      <c r="D2474" s="5" t="s">
        <v>1206</v>
      </c>
      <c r="E2474" s="5" t="s">
        <v>17909</v>
      </c>
      <c r="F2474" s="5" t="s">
        <v>212</v>
      </c>
      <c r="G2474" s="5" t="s">
        <v>17910</v>
      </c>
      <c r="H2474" s="6" t="s">
        <v>17911</v>
      </c>
      <c r="K2474" s="5" t="s">
        <v>16801</v>
      </c>
    </row>
    <row r="2475">
      <c r="A2475" s="4">
        <v>45534.3401758449</v>
      </c>
      <c r="B2475" s="5" t="s">
        <v>34</v>
      </c>
      <c r="D2475" s="5" t="s">
        <v>4775</v>
      </c>
      <c r="E2475" s="5" t="s">
        <v>17914</v>
      </c>
      <c r="F2475" s="5" t="s">
        <v>37</v>
      </c>
      <c r="G2475" s="5" t="s">
        <v>17915</v>
      </c>
      <c r="H2475" s="6" t="s">
        <v>17916</v>
      </c>
      <c r="K2475" s="5" t="s">
        <v>16801</v>
      </c>
    </row>
    <row r="2476">
      <c r="A2476" s="4">
        <v>45534.340176134254</v>
      </c>
      <c r="B2476" s="5" t="s">
        <v>34</v>
      </c>
      <c r="D2476" s="5" t="s">
        <v>1206</v>
      </c>
      <c r="E2476" s="5" t="s">
        <v>17920</v>
      </c>
      <c r="F2476" s="5" t="s">
        <v>212</v>
      </c>
      <c r="G2476" s="5" t="s">
        <v>17921</v>
      </c>
      <c r="H2476" s="6" t="s">
        <v>17922</v>
      </c>
      <c r="K2476" s="5" t="s">
        <v>16801</v>
      </c>
    </row>
    <row r="2477">
      <c r="A2477" s="4">
        <v>45534.34017804398</v>
      </c>
      <c r="B2477" s="5" t="s">
        <v>34</v>
      </c>
      <c r="D2477" s="5" t="s">
        <v>6232</v>
      </c>
      <c r="E2477" s="5" t="s">
        <v>17925</v>
      </c>
      <c r="F2477" s="5" t="s">
        <v>524</v>
      </c>
      <c r="G2477" s="5" t="s">
        <v>17926</v>
      </c>
      <c r="H2477" s="6" t="s">
        <v>17927</v>
      </c>
      <c r="K2477" s="5" t="s">
        <v>16801</v>
      </c>
    </row>
    <row r="2478">
      <c r="A2478" s="4">
        <v>45534.34018150463</v>
      </c>
      <c r="B2478" s="5" t="s">
        <v>34</v>
      </c>
      <c r="D2478" s="5" t="s">
        <v>6232</v>
      </c>
      <c r="E2478" s="5" t="s">
        <v>17930</v>
      </c>
      <c r="F2478" s="5" t="s">
        <v>108</v>
      </c>
      <c r="G2478" s="5" t="s">
        <v>17931</v>
      </c>
      <c r="H2478" s="6" t="s">
        <v>17932</v>
      </c>
      <c r="K2478" s="5" t="s">
        <v>16801</v>
      </c>
    </row>
    <row r="2479">
      <c r="A2479" s="4">
        <v>45534.34018332176</v>
      </c>
      <c r="B2479" s="5" t="s">
        <v>34</v>
      </c>
      <c r="D2479" s="5" t="s">
        <v>35</v>
      </c>
      <c r="E2479" s="5" t="s">
        <v>17935</v>
      </c>
      <c r="F2479" s="5" t="s">
        <v>199</v>
      </c>
      <c r="G2479" s="5" t="s">
        <v>17936</v>
      </c>
      <c r="H2479" s="6" t="s">
        <v>17937</v>
      </c>
      <c r="K2479" s="5" t="s">
        <v>16801</v>
      </c>
    </row>
    <row r="2480">
      <c r="A2480" s="4">
        <v>45534.3401850463</v>
      </c>
      <c r="B2480" s="5" t="s">
        <v>34</v>
      </c>
      <c r="D2480" s="5" t="s">
        <v>701</v>
      </c>
      <c r="E2480" s="5" t="s">
        <v>17940</v>
      </c>
      <c r="F2480" s="5" t="s">
        <v>524</v>
      </c>
      <c r="G2480" s="5" t="s">
        <v>17941</v>
      </c>
      <c r="H2480" s="6" t="s">
        <v>17942</v>
      </c>
      <c r="K2480" s="5" t="s">
        <v>16801</v>
      </c>
    </row>
    <row r="2481">
      <c r="A2481" s="4">
        <v>45534.340190752315</v>
      </c>
      <c r="B2481" s="5" t="s">
        <v>34</v>
      </c>
      <c r="D2481" s="5" t="s">
        <v>4775</v>
      </c>
      <c r="E2481" s="5" t="s">
        <v>17946</v>
      </c>
      <c r="F2481" s="5" t="s">
        <v>72</v>
      </c>
      <c r="G2481" s="5" t="s">
        <v>17947</v>
      </c>
      <c r="H2481" s="6" t="s">
        <v>17948</v>
      </c>
      <c r="K2481" s="5" t="s">
        <v>16801</v>
      </c>
    </row>
    <row r="2482">
      <c r="A2482" s="4">
        <v>45534.34019621528</v>
      </c>
      <c r="B2482" s="5" t="s">
        <v>34</v>
      </c>
      <c r="D2482" s="5" t="s">
        <v>4775</v>
      </c>
      <c r="E2482" s="5" t="s">
        <v>17951</v>
      </c>
      <c r="F2482" s="5" t="s">
        <v>72</v>
      </c>
      <c r="G2482" s="5" t="s">
        <v>17952</v>
      </c>
      <c r="H2482" s="6" t="s">
        <v>17953</v>
      </c>
      <c r="K2482" s="5" t="s">
        <v>16801</v>
      </c>
    </row>
    <row r="2483">
      <c r="A2483" s="4">
        <v>45534.34019798611</v>
      </c>
      <c r="B2483" s="5" t="s">
        <v>34</v>
      </c>
      <c r="D2483" s="5" t="s">
        <v>267</v>
      </c>
      <c r="E2483" s="5" t="s">
        <v>17956</v>
      </c>
      <c r="F2483" s="5" t="s">
        <v>212</v>
      </c>
      <c r="G2483" s="5" t="s">
        <v>17957</v>
      </c>
      <c r="H2483" s="6" t="s">
        <v>17958</v>
      </c>
      <c r="K2483" s="5" t="s">
        <v>16801</v>
      </c>
    </row>
    <row r="2484">
      <c r="A2484" s="4">
        <v>45534.340199293976</v>
      </c>
      <c r="B2484" s="5" t="s">
        <v>34</v>
      </c>
      <c r="D2484" s="5" t="s">
        <v>35</v>
      </c>
      <c r="E2484" s="5" t="s">
        <v>17961</v>
      </c>
      <c r="F2484" s="5" t="s">
        <v>212</v>
      </c>
      <c r="G2484" s="5" t="s">
        <v>17962</v>
      </c>
      <c r="H2484" s="6" t="s">
        <v>17963</v>
      </c>
      <c r="K2484" s="5" t="s">
        <v>16801</v>
      </c>
    </row>
    <row r="2485">
      <c r="A2485" s="4">
        <v>45534.34019872685</v>
      </c>
      <c r="B2485" s="5" t="s">
        <v>34</v>
      </c>
      <c r="D2485" s="5" t="s">
        <v>35</v>
      </c>
      <c r="E2485" s="5" t="s">
        <v>17966</v>
      </c>
      <c r="F2485" s="5" t="s">
        <v>375</v>
      </c>
      <c r="G2485" s="5" t="s">
        <v>17967</v>
      </c>
      <c r="H2485" s="6" t="s">
        <v>17968</v>
      </c>
      <c r="K2485" s="5" t="s">
        <v>16801</v>
      </c>
    </row>
    <row r="2486">
      <c r="A2486" s="4">
        <v>45534.34020089121</v>
      </c>
      <c r="B2486" s="5" t="s">
        <v>34</v>
      </c>
      <c r="D2486" s="5" t="s">
        <v>9394</v>
      </c>
      <c r="E2486" s="5" t="s">
        <v>17972</v>
      </c>
      <c r="F2486" s="5" t="s">
        <v>212</v>
      </c>
      <c r="G2486" s="5" t="s">
        <v>17973</v>
      </c>
      <c r="H2486" s="6" t="s">
        <v>17974</v>
      </c>
      <c r="K2486" s="5" t="s">
        <v>16801</v>
      </c>
    </row>
    <row r="2487">
      <c r="A2487" s="4">
        <v>45534.340212372685</v>
      </c>
      <c r="B2487" s="5" t="s">
        <v>34</v>
      </c>
      <c r="D2487" s="5" t="s">
        <v>14313</v>
      </c>
      <c r="E2487" s="5" t="s">
        <v>17977</v>
      </c>
      <c r="F2487" s="5" t="s">
        <v>715</v>
      </c>
      <c r="G2487" s="5" t="s">
        <v>17978</v>
      </c>
      <c r="H2487" s="6" t="s">
        <v>17979</v>
      </c>
      <c r="K2487" s="5" t="s">
        <v>16801</v>
      </c>
    </row>
    <row r="2488">
      <c r="A2488" s="4">
        <v>45534.34023130787</v>
      </c>
      <c r="B2488" s="5" t="s">
        <v>34</v>
      </c>
      <c r="D2488" s="5" t="s">
        <v>3849</v>
      </c>
      <c r="E2488" s="5" t="s">
        <v>17982</v>
      </c>
      <c r="F2488" s="5" t="s">
        <v>37</v>
      </c>
      <c r="G2488" s="5" t="s">
        <v>17983</v>
      </c>
      <c r="H2488" s="6" t="s">
        <v>17984</v>
      </c>
      <c r="K2488" s="5" t="s">
        <v>16801</v>
      </c>
    </row>
    <row r="2489">
      <c r="A2489" s="4">
        <v>45534.34023184028</v>
      </c>
      <c r="B2489" s="5" t="s">
        <v>34</v>
      </c>
      <c r="D2489" s="5" t="s">
        <v>1206</v>
      </c>
      <c r="E2489" s="5" t="s">
        <v>17987</v>
      </c>
      <c r="F2489" s="5" t="s">
        <v>212</v>
      </c>
      <c r="G2489" s="5" t="s">
        <v>17988</v>
      </c>
      <c r="H2489" s="6" t="s">
        <v>17989</v>
      </c>
      <c r="K2489" s="5" t="s">
        <v>16801</v>
      </c>
    </row>
    <row r="2490">
      <c r="A2490" s="4">
        <v>45534.34023194444</v>
      </c>
      <c r="B2490" s="5" t="s">
        <v>34</v>
      </c>
      <c r="D2490" s="5" t="s">
        <v>35</v>
      </c>
      <c r="E2490" s="5" t="s">
        <v>17993</v>
      </c>
      <c r="F2490" s="5" t="s">
        <v>524</v>
      </c>
      <c r="G2490" s="5" t="s">
        <v>17994</v>
      </c>
      <c r="H2490" s="6" t="s">
        <v>17995</v>
      </c>
      <c r="K2490" s="5" t="s">
        <v>16801</v>
      </c>
    </row>
    <row r="2491">
      <c r="A2491" s="4">
        <v>45534.340234930554</v>
      </c>
      <c r="B2491" s="5" t="s">
        <v>34</v>
      </c>
      <c r="D2491" s="5" t="s">
        <v>4775</v>
      </c>
      <c r="E2491" s="5" t="s">
        <v>17998</v>
      </c>
      <c r="F2491" s="5" t="s">
        <v>72</v>
      </c>
      <c r="G2491" s="5" t="s">
        <v>17999</v>
      </c>
      <c r="H2491" s="6" t="s">
        <v>18000</v>
      </c>
      <c r="K2491" s="5" t="s">
        <v>16801</v>
      </c>
    </row>
    <row r="2492">
      <c r="A2492" s="4">
        <v>45534.340238599536</v>
      </c>
      <c r="B2492" s="5" t="s">
        <v>34</v>
      </c>
      <c r="D2492" s="5" t="s">
        <v>7858</v>
      </c>
      <c r="E2492" s="5" t="s">
        <v>18003</v>
      </c>
      <c r="F2492" s="5" t="s">
        <v>37</v>
      </c>
      <c r="G2492" s="5" t="s">
        <v>18004</v>
      </c>
      <c r="H2492" s="6" t="s">
        <v>18005</v>
      </c>
      <c r="K2492" s="5" t="s">
        <v>16801</v>
      </c>
    </row>
    <row r="2493">
      <c r="A2493" s="4">
        <v>45534.34020269676</v>
      </c>
      <c r="B2493" s="5" t="s">
        <v>34</v>
      </c>
      <c r="D2493" s="5" t="s">
        <v>701</v>
      </c>
      <c r="E2493" s="5" t="s">
        <v>18008</v>
      </c>
      <c r="F2493" s="5" t="s">
        <v>37</v>
      </c>
      <c r="G2493" s="5" t="s">
        <v>18009</v>
      </c>
      <c r="H2493" s="6" t="s">
        <v>18010</v>
      </c>
      <c r="K2493" s="5" t="s">
        <v>16801</v>
      </c>
    </row>
    <row r="2494">
      <c r="A2494" s="4">
        <v>45534.34020914352</v>
      </c>
      <c r="B2494" s="5" t="s">
        <v>34</v>
      </c>
      <c r="D2494" s="5" t="s">
        <v>1206</v>
      </c>
      <c r="E2494" s="5" t="s">
        <v>18014</v>
      </c>
      <c r="F2494" s="5" t="s">
        <v>212</v>
      </c>
      <c r="G2494" s="5" t="s">
        <v>18015</v>
      </c>
      <c r="H2494" s="6" t="s">
        <v>18016</v>
      </c>
      <c r="K2494" s="5" t="s">
        <v>16801</v>
      </c>
    </row>
    <row r="2495">
      <c r="A2495" s="4">
        <v>45534.34021263889</v>
      </c>
      <c r="B2495" s="5" t="s">
        <v>19</v>
      </c>
      <c r="C2495" s="5" t="s">
        <v>292</v>
      </c>
      <c r="E2495" s="5" t="s">
        <v>18019</v>
      </c>
      <c r="F2495" s="5" t="s">
        <v>72</v>
      </c>
      <c r="G2495" s="5" t="s">
        <v>18020</v>
      </c>
      <c r="H2495" s="6" t="s">
        <v>18021</v>
      </c>
      <c r="K2495" s="5" t="s">
        <v>16801</v>
      </c>
    </row>
    <row r="2496">
      <c r="A2496" s="4">
        <v>45534.34021763889</v>
      </c>
      <c r="B2496" s="5" t="s">
        <v>34</v>
      </c>
      <c r="D2496" s="5" t="s">
        <v>9020</v>
      </c>
      <c r="E2496" s="5" t="s">
        <v>18024</v>
      </c>
      <c r="F2496" s="5" t="s">
        <v>375</v>
      </c>
      <c r="G2496" s="5" t="s">
        <v>18025</v>
      </c>
      <c r="H2496" s="6" t="s">
        <v>18026</v>
      </c>
      <c r="K2496" s="5" t="s">
        <v>16801</v>
      </c>
    </row>
    <row r="2497">
      <c r="A2497" s="4">
        <v>45534.34021927083</v>
      </c>
      <c r="B2497" s="5" t="s">
        <v>34</v>
      </c>
      <c r="D2497" s="5" t="s">
        <v>975</v>
      </c>
      <c r="E2497" s="5" t="s">
        <v>18029</v>
      </c>
      <c r="F2497" s="5" t="s">
        <v>37</v>
      </c>
      <c r="G2497" s="5" t="s">
        <v>18030</v>
      </c>
      <c r="H2497" s="6" t="s">
        <v>18031</v>
      </c>
      <c r="K2497" s="5" t="s">
        <v>16801</v>
      </c>
    </row>
    <row r="2498">
      <c r="A2498" s="4">
        <v>45534.34021995371</v>
      </c>
      <c r="B2498" s="5" t="s">
        <v>34</v>
      </c>
      <c r="D2498" s="5" t="s">
        <v>10444</v>
      </c>
      <c r="E2498" s="5" t="s">
        <v>18034</v>
      </c>
      <c r="F2498" s="5" t="s">
        <v>72</v>
      </c>
      <c r="G2498" s="5" t="s">
        <v>18035</v>
      </c>
      <c r="H2498" s="6" t="s">
        <v>18036</v>
      </c>
      <c r="K2498" s="5" t="s">
        <v>16801</v>
      </c>
    </row>
    <row r="2499">
      <c r="A2499" s="4">
        <v>45534.34022246528</v>
      </c>
      <c r="B2499" s="5" t="s">
        <v>34</v>
      </c>
      <c r="D2499" s="5" t="s">
        <v>1206</v>
      </c>
      <c r="E2499" s="5" t="s">
        <v>18040</v>
      </c>
      <c r="F2499" s="5" t="s">
        <v>375</v>
      </c>
      <c r="G2499" s="5" t="s">
        <v>18041</v>
      </c>
      <c r="H2499" s="6" t="s">
        <v>18042</v>
      </c>
      <c r="K2499" s="5" t="s">
        <v>16801</v>
      </c>
    </row>
    <row r="2500">
      <c r="A2500" s="4">
        <v>45534.34022322917</v>
      </c>
      <c r="B2500" s="5" t="s">
        <v>34</v>
      </c>
      <c r="D2500" s="5" t="s">
        <v>10444</v>
      </c>
      <c r="E2500" s="5" t="s">
        <v>18045</v>
      </c>
      <c r="F2500" s="5" t="s">
        <v>715</v>
      </c>
      <c r="G2500" s="5" t="s">
        <v>18046</v>
      </c>
      <c r="H2500" s="6" t="s">
        <v>18047</v>
      </c>
      <c r="K2500" s="5" t="s">
        <v>16801</v>
      </c>
    </row>
    <row r="2501">
      <c r="A2501" s="4">
        <v>45534.340223252315</v>
      </c>
      <c r="B2501" s="5" t="s">
        <v>34</v>
      </c>
      <c r="D2501" s="5" t="s">
        <v>9020</v>
      </c>
      <c r="E2501" s="5" t="s">
        <v>18050</v>
      </c>
      <c r="F2501" s="5" t="s">
        <v>72</v>
      </c>
      <c r="G2501" s="5" t="s">
        <v>18051</v>
      </c>
      <c r="H2501" s="6" t="s">
        <v>18052</v>
      </c>
      <c r="K2501" s="5" t="s">
        <v>16801</v>
      </c>
    </row>
    <row r="2502">
      <c r="A2502" s="4">
        <v>45534.340224837964</v>
      </c>
      <c r="B2502" s="5" t="s">
        <v>34</v>
      </c>
      <c r="D2502" s="5" t="s">
        <v>9020</v>
      </c>
      <c r="E2502" s="5" t="s">
        <v>18055</v>
      </c>
      <c r="F2502" s="5" t="s">
        <v>108</v>
      </c>
      <c r="G2502" s="5" t="s">
        <v>18056</v>
      </c>
      <c r="H2502" s="6" t="s">
        <v>18057</v>
      </c>
      <c r="K2502" s="5" t="s">
        <v>16801</v>
      </c>
    </row>
    <row r="2503">
      <c r="A2503" s="4">
        <v>45534.34026070602</v>
      </c>
      <c r="B2503" s="5" t="s">
        <v>34</v>
      </c>
      <c r="D2503" s="5" t="s">
        <v>522</v>
      </c>
      <c r="E2503" s="5" t="s">
        <v>18060</v>
      </c>
      <c r="F2503" s="5" t="s">
        <v>37</v>
      </c>
      <c r="G2503" s="5" t="s">
        <v>18061</v>
      </c>
      <c r="H2503" s="6" t="s">
        <v>18062</v>
      </c>
      <c r="K2503" s="5" t="s">
        <v>16801</v>
      </c>
    </row>
    <row r="2504">
      <c r="A2504" s="4">
        <v>45534.34026145833</v>
      </c>
      <c r="B2504" s="5" t="s">
        <v>34</v>
      </c>
      <c r="D2504" s="5" t="s">
        <v>522</v>
      </c>
      <c r="E2504" s="5" t="s">
        <v>18066</v>
      </c>
      <c r="F2504" s="5" t="s">
        <v>108</v>
      </c>
      <c r="G2504" s="5" t="s">
        <v>18067</v>
      </c>
      <c r="H2504" s="6" t="s">
        <v>18068</v>
      </c>
      <c r="K2504" s="5" t="s">
        <v>16801</v>
      </c>
    </row>
    <row r="2505">
      <c r="A2505" s="4">
        <v>45534.34026186343</v>
      </c>
      <c r="B2505" s="5" t="s">
        <v>34</v>
      </c>
      <c r="D2505" s="5" t="s">
        <v>2903</v>
      </c>
      <c r="E2505" s="5" t="s">
        <v>18071</v>
      </c>
      <c r="F2505" s="5" t="s">
        <v>212</v>
      </c>
      <c r="G2505" s="5" t="s">
        <v>18072</v>
      </c>
      <c r="H2505" s="6" t="s">
        <v>18073</v>
      </c>
      <c r="K2505" s="5" t="s">
        <v>16801</v>
      </c>
    </row>
    <row r="2506">
      <c r="A2506" s="4">
        <v>45534.34028261574</v>
      </c>
      <c r="B2506" s="5" t="s">
        <v>34</v>
      </c>
      <c r="D2506" s="5" t="s">
        <v>2903</v>
      </c>
      <c r="E2506" s="5" t="s">
        <v>18076</v>
      </c>
      <c r="F2506" s="5" t="s">
        <v>37</v>
      </c>
      <c r="G2506" s="5" t="s">
        <v>18077</v>
      </c>
      <c r="H2506" s="6" t="s">
        <v>18078</v>
      </c>
      <c r="K2506" s="5" t="s">
        <v>16801</v>
      </c>
    </row>
    <row r="2507">
      <c r="A2507" s="4">
        <v>45534.34028709491</v>
      </c>
      <c r="B2507" s="5" t="s">
        <v>34</v>
      </c>
      <c r="D2507" s="5" t="s">
        <v>10444</v>
      </c>
      <c r="E2507" s="5" t="s">
        <v>18081</v>
      </c>
      <c r="F2507" s="5" t="s">
        <v>108</v>
      </c>
      <c r="G2507" s="5" t="s">
        <v>18082</v>
      </c>
      <c r="H2507" s="6" t="s">
        <v>18083</v>
      </c>
      <c r="K2507" s="5" t="s">
        <v>16801</v>
      </c>
    </row>
    <row r="2508">
      <c r="A2508" s="4">
        <v>45534.340292002315</v>
      </c>
      <c r="B2508" s="5" t="s">
        <v>34</v>
      </c>
      <c r="D2508" s="5" t="s">
        <v>4775</v>
      </c>
      <c r="E2508" s="5" t="s">
        <v>18086</v>
      </c>
      <c r="F2508" s="5" t="s">
        <v>108</v>
      </c>
      <c r="G2508" s="5" t="s">
        <v>18087</v>
      </c>
      <c r="H2508" s="6" t="s">
        <v>18088</v>
      </c>
      <c r="K2508" s="5" t="s">
        <v>16801</v>
      </c>
    </row>
    <row r="2509">
      <c r="A2509" s="4">
        <v>45534.3402393287</v>
      </c>
      <c r="B2509" s="5" t="s">
        <v>34</v>
      </c>
      <c r="D2509" s="5" t="s">
        <v>3849</v>
      </c>
      <c r="E2509" s="5" t="s">
        <v>18091</v>
      </c>
      <c r="F2509" s="5" t="s">
        <v>37</v>
      </c>
      <c r="G2509" s="5" t="s">
        <v>18092</v>
      </c>
      <c r="H2509" s="6" t="s">
        <v>18093</v>
      </c>
      <c r="K2509" s="5" t="s">
        <v>16801</v>
      </c>
    </row>
    <row r="2510">
      <c r="A2510" s="4">
        <v>45534.34024077546</v>
      </c>
      <c r="B2510" s="5" t="s">
        <v>34</v>
      </c>
      <c r="D2510" s="5" t="s">
        <v>1456</v>
      </c>
      <c r="E2510" s="5" t="s">
        <v>18097</v>
      </c>
      <c r="F2510" s="5" t="s">
        <v>37</v>
      </c>
      <c r="G2510" s="5" t="s">
        <v>18098</v>
      </c>
      <c r="H2510" s="6" t="s">
        <v>18099</v>
      </c>
      <c r="K2510" s="5" t="s">
        <v>16801</v>
      </c>
    </row>
    <row r="2511">
      <c r="A2511" s="4">
        <v>45534.34026256944</v>
      </c>
      <c r="B2511" s="5" t="s">
        <v>34</v>
      </c>
      <c r="D2511" s="5" t="s">
        <v>701</v>
      </c>
      <c r="E2511" s="5" t="s">
        <v>18102</v>
      </c>
      <c r="F2511" s="5" t="s">
        <v>715</v>
      </c>
      <c r="G2511" s="5" t="s">
        <v>18103</v>
      </c>
      <c r="H2511" s="6" t="s">
        <v>18104</v>
      </c>
      <c r="K2511" s="5" t="s">
        <v>16801</v>
      </c>
    </row>
    <row r="2512">
      <c r="A2512" s="4">
        <v>45534.34026271991</v>
      </c>
      <c r="B2512" s="5" t="s">
        <v>34</v>
      </c>
      <c r="D2512" s="5" t="s">
        <v>4775</v>
      </c>
      <c r="E2512" s="5" t="s">
        <v>18107</v>
      </c>
      <c r="F2512" s="5" t="s">
        <v>212</v>
      </c>
      <c r="G2512" s="5" t="s">
        <v>18108</v>
      </c>
      <c r="H2512" s="6" t="s">
        <v>18109</v>
      </c>
      <c r="K2512" s="5" t="s">
        <v>16801</v>
      </c>
    </row>
    <row r="2513">
      <c r="A2513" s="4">
        <v>45534.3402727662</v>
      </c>
      <c r="B2513" s="5" t="s">
        <v>34</v>
      </c>
      <c r="D2513" s="5" t="s">
        <v>35</v>
      </c>
      <c r="E2513" s="5" t="s">
        <v>18112</v>
      </c>
      <c r="F2513" s="5" t="s">
        <v>524</v>
      </c>
      <c r="G2513" s="5" t="s">
        <v>18113</v>
      </c>
      <c r="H2513" s="6" t="s">
        <v>18114</v>
      </c>
      <c r="K2513" s="5" t="s">
        <v>16801</v>
      </c>
    </row>
    <row r="2514">
      <c r="A2514" s="4">
        <v>45534.340314305555</v>
      </c>
      <c r="B2514" s="5" t="s">
        <v>34</v>
      </c>
      <c r="D2514" s="5" t="s">
        <v>35</v>
      </c>
      <c r="E2514" s="5" t="s">
        <v>18117</v>
      </c>
      <c r="F2514" s="5" t="s">
        <v>37</v>
      </c>
      <c r="G2514" s="5" t="s">
        <v>18118</v>
      </c>
      <c r="H2514" s="6" t="s">
        <v>18119</v>
      </c>
      <c r="K2514" s="5" t="s">
        <v>16801</v>
      </c>
    </row>
    <row r="2515">
      <c r="A2515" s="4">
        <v>45534.34032145834</v>
      </c>
      <c r="B2515" s="5" t="s">
        <v>34</v>
      </c>
      <c r="D2515" s="5" t="s">
        <v>35</v>
      </c>
      <c r="E2515" s="5" t="s">
        <v>18122</v>
      </c>
      <c r="F2515" s="5" t="s">
        <v>375</v>
      </c>
      <c r="G2515" s="5" t="s">
        <v>18123</v>
      </c>
      <c r="H2515" s="6" t="s">
        <v>18124</v>
      </c>
      <c r="K2515" s="5" t="s">
        <v>16801</v>
      </c>
    </row>
    <row r="2516">
      <c r="A2516" s="4">
        <v>45534.34028221064</v>
      </c>
      <c r="B2516" s="5" t="s">
        <v>34</v>
      </c>
      <c r="D2516" s="5" t="s">
        <v>4775</v>
      </c>
      <c r="E2516" s="5" t="s">
        <v>18128</v>
      </c>
      <c r="F2516" s="5" t="s">
        <v>72</v>
      </c>
      <c r="G2516" s="5" t="s">
        <v>18129</v>
      </c>
      <c r="H2516" s="6" t="s">
        <v>18130</v>
      </c>
      <c r="K2516" s="5" t="s">
        <v>16801</v>
      </c>
    </row>
    <row r="2517">
      <c r="A2517" s="4">
        <v>45534.3402965162</v>
      </c>
      <c r="B2517" s="5" t="s">
        <v>34</v>
      </c>
      <c r="D2517" s="5" t="s">
        <v>4775</v>
      </c>
      <c r="E2517" s="5" t="s">
        <v>18133</v>
      </c>
      <c r="F2517" s="5" t="s">
        <v>120</v>
      </c>
      <c r="G2517" s="5" t="s">
        <v>18134</v>
      </c>
      <c r="H2517" s="6" t="s">
        <v>18135</v>
      </c>
      <c r="K2517" s="5" t="s">
        <v>16801</v>
      </c>
    </row>
    <row r="2518">
      <c r="A2518" s="4">
        <v>45534.34029723379</v>
      </c>
      <c r="B2518" s="5" t="s">
        <v>34</v>
      </c>
      <c r="D2518" s="5" t="s">
        <v>35</v>
      </c>
      <c r="E2518" s="5" t="s">
        <v>18138</v>
      </c>
      <c r="F2518" s="5" t="s">
        <v>212</v>
      </c>
      <c r="G2518" s="5" t="s">
        <v>18139</v>
      </c>
      <c r="H2518" s="6" t="s">
        <v>18140</v>
      </c>
      <c r="K2518" s="5" t="s">
        <v>16801</v>
      </c>
    </row>
    <row r="2519">
      <c r="A2519" s="4">
        <v>45534.34032444445</v>
      </c>
      <c r="B2519" s="5" t="s">
        <v>19</v>
      </c>
      <c r="C2519" s="5" t="s">
        <v>292</v>
      </c>
      <c r="E2519" s="5" t="s">
        <v>18143</v>
      </c>
      <c r="F2519" s="5" t="s">
        <v>524</v>
      </c>
      <c r="G2519" s="5" t="s">
        <v>18144</v>
      </c>
      <c r="H2519" s="6" t="s">
        <v>18145</v>
      </c>
      <c r="K2519" s="5" t="s">
        <v>16801</v>
      </c>
    </row>
    <row r="2520">
      <c r="A2520" s="4">
        <v>45534.34032539352</v>
      </c>
      <c r="B2520" s="5" t="s">
        <v>34</v>
      </c>
      <c r="D2520" s="5" t="s">
        <v>3849</v>
      </c>
      <c r="E2520" s="5" t="s">
        <v>18148</v>
      </c>
      <c r="F2520" s="5" t="s">
        <v>37</v>
      </c>
      <c r="G2520" s="5" t="s">
        <v>18149</v>
      </c>
      <c r="H2520" s="6" t="s">
        <v>18150</v>
      </c>
      <c r="K2520" s="5" t="s">
        <v>16801</v>
      </c>
    </row>
    <row r="2521">
      <c r="A2521" s="4">
        <v>45534.34032902778</v>
      </c>
      <c r="B2521" s="5" t="s">
        <v>34</v>
      </c>
      <c r="D2521" s="5" t="s">
        <v>4775</v>
      </c>
      <c r="E2521" s="5" t="s">
        <v>18154</v>
      </c>
      <c r="F2521" s="5" t="s">
        <v>37</v>
      </c>
      <c r="G2521" s="5" t="s">
        <v>18155</v>
      </c>
      <c r="H2521" s="6" t="s">
        <v>18156</v>
      </c>
      <c r="K2521" s="5" t="s">
        <v>16801</v>
      </c>
    </row>
    <row r="2522">
      <c r="A2522" s="4">
        <v>45534.34032891203</v>
      </c>
      <c r="B2522" s="5" t="s">
        <v>34</v>
      </c>
      <c r="D2522" s="5" t="s">
        <v>4775</v>
      </c>
      <c r="E2522" s="5" t="s">
        <v>18159</v>
      </c>
      <c r="F2522" s="5" t="s">
        <v>212</v>
      </c>
      <c r="G2522" s="5" t="s">
        <v>18160</v>
      </c>
      <c r="H2522" s="6" t="s">
        <v>18161</v>
      </c>
      <c r="K2522" s="5" t="s">
        <v>16801</v>
      </c>
    </row>
    <row r="2523">
      <c r="A2523" s="4">
        <v>45534.34033090278</v>
      </c>
      <c r="B2523" s="5" t="s">
        <v>34</v>
      </c>
      <c r="D2523" s="5" t="s">
        <v>12978</v>
      </c>
      <c r="E2523" s="5" t="s">
        <v>18164</v>
      </c>
      <c r="F2523" s="5" t="s">
        <v>108</v>
      </c>
      <c r="G2523" s="5" t="s">
        <v>18165</v>
      </c>
      <c r="H2523" s="6" t="s">
        <v>18166</v>
      </c>
      <c r="K2523" s="5" t="s">
        <v>16801</v>
      </c>
    </row>
    <row r="2524">
      <c r="A2524" s="4">
        <v>45534.340306921295</v>
      </c>
      <c r="B2524" s="5" t="s">
        <v>34</v>
      </c>
      <c r="D2524" s="5" t="s">
        <v>4775</v>
      </c>
      <c r="E2524" s="5" t="s">
        <v>18169</v>
      </c>
      <c r="F2524" s="5" t="s">
        <v>212</v>
      </c>
      <c r="G2524" s="5" t="s">
        <v>18170</v>
      </c>
      <c r="H2524" s="6" t="s">
        <v>18171</v>
      </c>
      <c r="K2524" s="5" t="s">
        <v>16801</v>
      </c>
    </row>
    <row r="2525">
      <c r="A2525" s="4">
        <v>45534.340359803246</v>
      </c>
      <c r="B2525" s="5" t="s">
        <v>34</v>
      </c>
      <c r="D2525" s="5" t="s">
        <v>522</v>
      </c>
      <c r="E2525" s="5" t="s">
        <v>18174</v>
      </c>
      <c r="F2525" s="5" t="s">
        <v>72</v>
      </c>
      <c r="G2525" s="5" t="s">
        <v>18175</v>
      </c>
      <c r="H2525" s="6" t="s">
        <v>18176</v>
      </c>
      <c r="K2525" s="5" t="s">
        <v>16801</v>
      </c>
    </row>
    <row r="2526">
      <c r="A2526" s="4">
        <v>45534.340361724535</v>
      </c>
      <c r="B2526" s="5" t="s">
        <v>34</v>
      </c>
      <c r="D2526" s="5" t="s">
        <v>4775</v>
      </c>
      <c r="E2526" s="5" t="s">
        <v>18180</v>
      </c>
      <c r="F2526" s="5" t="s">
        <v>108</v>
      </c>
      <c r="G2526" s="5" t="s">
        <v>18181</v>
      </c>
      <c r="H2526" s="6" t="s">
        <v>18182</v>
      </c>
      <c r="K2526" s="5" t="s">
        <v>16801</v>
      </c>
    </row>
    <row r="2527">
      <c r="A2527" s="4">
        <v>45534.34036918981</v>
      </c>
      <c r="B2527" s="5" t="s">
        <v>34</v>
      </c>
      <c r="D2527" s="5" t="s">
        <v>35</v>
      </c>
      <c r="E2527" s="5" t="s">
        <v>18185</v>
      </c>
      <c r="F2527" s="5" t="s">
        <v>212</v>
      </c>
      <c r="G2527" s="5" t="s">
        <v>18186</v>
      </c>
      <c r="H2527" s="6" t="s">
        <v>18187</v>
      </c>
      <c r="K2527" s="5" t="s">
        <v>16801</v>
      </c>
    </row>
    <row r="2528">
      <c r="A2528" s="4">
        <v>45534.340375775464</v>
      </c>
      <c r="B2528" s="5" t="s">
        <v>34</v>
      </c>
      <c r="D2528" s="5" t="s">
        <v>35</v>
      </c>
      <c r="E2528" s="5" t="s">
        <v>18190</v>
      </c>
      <c r="F2528" s="5" t="s">
        <v>37</v>
      </c>
      <c r="G2528" s="5" t="s">
        <v>18191</v>
      </c>
      <c r="H2528" s="6" t="s">
        <v>18192</v>
      </c>
      <c r="K2528" s="5" t="s">
        <v>16801</v>
      </c>
    </row>
    <row r="2529">
      <c r="A2529" s="4">
        <v>45534.34037626158</v>
      </c>
      <c r="B2529" s="5" t="s">
        <v>19</v>
      </c>
      <c r="C2529" s="5" t="s">
        <v>292</v>
      </c>
      <c r="E2529" s="5" t="s">
        <v>18195</v>
      </c>
      <c r="F2529" s="5" t="s">
        <v>524</v>
      </c>
      <c r="G2529" s="5" t="s">
        <v>18196</v>
      </c>
      <c r="H2529" s="6" t="s">
        <v>18197</v>
      </c>
      <c r="K2529" s="5" t="s">
        <v>16801</v>
      </c>
    </row>
    <row r="2530">
      <c r="A2530" s="4">
        <v>45534.3403774537</v>
      </c>
      <c r="B2530" s="5" t="s">
        <v>34</v>
      </c>
      <c r="D2530" s="5" t="s">
        <v>604</v>
      </c>
      <c r="E2530" s="5" t="s">
        <v>18200</v>
      </c>
      <c r="F2530" s="5" t="s">
        <v>524</v>
      </c>
      <c r="G2530" s="5" t="s">
        <v>18201</v>
      </c>
      <c r="H2530" s="6" t="s">
        <v>18202</v>
      </c>
      <c r="K2530" s="5" t="s">
        <v>16801</v>
      </c>
    </row>
    <row r="2531">
      <c r="A2531" s="4">
        <v>45534.340378900466</v>
      </c>
      <c r="B2531" s="5" t="s">
        <v>34</v>
      </c>
      <c r="D2531" s="5" t="s">
        <v>12978</v>
      </c>
      <c r="E2531" s="5" t="s">
        <v>18206</v>
      </c>
      <c r="F2531" s="5" t="s">
        <v>212</v>
      </c>
      <c r="G2531" s="5" t="s">
        <v>18207</v>
      </c>
      <c r="H2531" s="6" t="s">
        <v>18208</v>
      </c>
      <c r="K2531" s="5" t="s">
        <v>16801</v>
      </c>
    </row>
    <row r="2532">
      <c r="A2532" s="4">
        <v>45534.34037950232</v>
      </c>
      <c r="B2532" s="5" t="s">
        <v>34</v>
      </c>
      <c r="D2532" s="5" t="s">
        <v>4775</v>
      </c>
      <c r="E2532" s="5" t="s">
        <v>18211</v>
      </c>
      <c r="F2532" s="5" t="s">
        <v>524</v>
      </c>
      <c r="G2532" s="5" t="s">
        <v>18212</v>
      </c>
      <c r="H2532" s="6" t="s">
        <v>18213</v>
      </c>
      <c r="K2532" s="5" t="s">
        <v>16801</v>
      </c>
    </row>
    <row r="2533">
      <c r="A2533" s="4">
        <v>45534.340386192125</v>
      </c>
      <c r="B2533" s="5" t="s">
        <v>34</v>
      </c>
      <c r="D2533" s="5" t="s">
        <v>35</v>
      </c>
      <c r="E2533" s="5" t="s">
        <v>18216</v>
      </c>
      <c r="F2533" s="5" t="s">
        <v>37</v>
      </c>
      <c r="G2533" s="5" t="s">
        <v>18217</v>
      </c>
      <c r="H2533" s="6" t="s">
        <v>18218</v>
      </c>
      <c r="K2533" s="5" t="s">
        <v>16801</v>
      </c>
    </row>
    <row r="2534">
      <c r="A2534" s="4">
        <v>45534.340388854165</v>
      </c>
      <c r="B2534" s="5" t="s">
        <v>34</v>
      </c>
      <c r="D2534" s="5" t="s">
        <v>35</v>
      </c>
      <c r="E2534" s="5" t="s">
        <v>18221</v>
      </c>
      <c r="F2534" s="5" t="s">
        <v>37</v>
      </c>
      <c r="G2534" s="5" t="s">
        <v>18222</v>
      </c>
      <c r="H2534" s="6" t="s">
        <v>18223</v>
      </c>
      <c r="K2534" s="5" t="s">
        <v>16801</v>
      </c>
    </row>
    <row r="2535">
      <c r="A2535" s="4">
        <v>45534.34038991898</v>
      </c>
      <c r="B2535" s="5" t="s">
        <v>34</v>
      </c>
      <c r="D2535" s="5" t="s">
        <v>35</v>
      </c>
      <c r="E2535" s="5" t="s">
        <v>18226</v>
      </c>
      <c r="F2535" s="5" t="s">
        <v>37</v>
      </c>
      <c r="G2535" s="5" t="s">
        <v>18227</v>
      </c>
      <c r="H2535" s="6" t="s">
        <v>18228</v>
      </c>
      <c r="K2535" s="5" t="s">
        <v>16801</v>
      </c>
    </row>
    <row r="2536">
      <c r="A2536" s="4">
        <v>45534.3403975</v>
      </c>
      <c r="B2536" s="5" t="s">
        <v>34</v>
      </c>
      <c r="D2536" s="5" t="s">
        <v>6232</v>
      </c>
      <c r="E2536" s="5" t="s">
        <v>18231</v>
      </c>
      <c r="F2536" s="5" t="s">
        <v>212</v>
      </c>
      <c r="G2536" s="5" t="s">
        <v>18232</v>
      </c>
      <c r="H2536" s="6" t="s">
        <v>18233</v>
      </c>
      <c r="K2536" s="5" t="s">
        <v>16801</v>
      </c>
    </row>
    <row r="2537">
      <c r="A2537" s="4">
        <v>45534.34039881945</v>
      </c>
      <c r="B2537" s="5" t="s">
        <v>34</v>
      </c>
      <c r="D2537" s="5" t="s">
        <v>9020</v>
      </c>
      <c r="E2537" s="5" t="s">
        <v>18237</v>
      </c>
      <c r="F2537" s="5" t="s">
        <v>212</v>
      </c>
      <c r="G2537" s="5" t="s">
        <v>18238</v>
      </c>
      <c r="H2537" s="6" t="s">
        <v>18239</v>
      </c>
      <c r="I2537" s="7" t="s">
        <v>18240</v>
      </c>
      <c r="J2537" s="8" t="str">
        <f>HYPERLINK("https://drive.google.com/file/d/1Osu7mwUpZGddueAh8pmSTANPQj7XVlNr/view?usp=drivesdk","BETSAIDA SITUMORANG SERTIFIKAT BerAKHLAK")</f>
        <v>BETSAIDA SITUMORANG SERTIFIKAT BerAKHLAK</v>
      </c>
      <c r="K2537" s="5" t="s">
        <v>14929</v>
      </c>
      <c r="L2537" s="5" t="s">
        <v>18241</v>
      </c>
    </row>
    <row r="2538">
      <c r="A2538" s="4">
        <v>45534.340405740746</v>
      </c>
      <c r="B2538" s="5" t="s">
        <v>34</v>
      </c>
      <c r="D2538" s="5" t="s">
        <v>2903</v>
      </c>
      <c r="E2538" s="5" t="s">
        <v>18244</v>
      </c>
      <c r="F2538" s="5" t="s">
        <v>524</v>
      </c>
      <c r="G2538" s="5" t="s">
        <v>18245</v>
      </c>
      <c r="H2538" s="6" t="s">
        <v>18246</v>
      </c>
      <c r="I2538" s="7" t="s">
        <v>18247</v>
      </c>
      <c r="J2538" s="8" t="str">
        <f>HYPERLINK("https://drive.google.com/file/d/1zgxKdtRp1TxXG5rQt7l-g47H7CGCFRn2/view?usp=drivesdk","ANISA YULIANTARI SERTIFIKAT BerAKHLAK")</f>
        <v>ANISA YULIANTARI SERTIFIKAT BerAKHLAK</v>
      </c>
      <c r="K2538" s="5" t="s">
        <v>14929</v>
      </c>
      <c r="L2538" s="5" t="s">
        <v>18248</v>
      </c>
    </row>
    <row r="2539">
      <c r="A2539" s="4">
        <v>45534.340406863426</v>
      </c>
      <c r="B2539" s="5" t="s">
        <v>34</v>
      </c>
      <c r="D2539" s="5" t="s">
        <v>4775</v>
      </c>
      <c r="E2539" s="5" t="s">
        <v>18251</v>
      </c>
      <c r="F2539" s="5" t="s">
        <v>375</v>
      </c>
      <c r="G2539" s="5" t="s">
        <v>18252</v>
      </c>
      <c r="H2539" s="6" t="s">
        <v>18253</v>
      </c>
      <c r="K2539" s="5" t="s">
        <v>18254</v>
      </c>
    </row>
    <row r="2540">
      <c r="A2540" s="4">
        <v>45534.34041385417</v>
      </c>
      <c r="B2540" s="5" t="s">
        <v>34</v>
      </c>
      <c r="D2540" s="5" t="s">
        <v>4775</v>
      </c>
      <c r="E2540" s="5" t="s">
        <v>18257</v>
      </c>
      <c r="F2540" s="5" t="s">
        <v>212</v>
      </c>
      <c r="G2540" s="5" t="s">
        <v>18258</v>
      </c>
      <c r="H2540" s="6" t="s">
        <v>18259</v>
      </c>
      <c r="K2540" s="5" t="s">
        <v>18254</v>
      </c>
    </row>
    <row r="2541">
      <c r="A2541" s="4">
        <v>45534.34041509259</v>
      </c>
      <c r="B2541" s="5" t="s">
        <v>34</v>
      </c>
      <c r="D2541" s="5" t="s">
        <v>701</v>
      </c>
      <c r="E2541" s="5" t="s">
        <v>18262</v>
      </c>
      <c r="F2541" s="5" t="s">
        <v>37</v>
      </c>
      <c r="G2541" s="5" t="s">
        <v>18263</v>
      </c>
      <c r="H2541" s="6" t="s">
        <v>18264</v>
      </c>
      <c r="K2541" s="5" t="s">
        <v>18254</v>
      </c>
    </row>
    <row r="2542">
      <c r="A2542" s="4">
        <v>45534.34041657408</v>
      </c>
      <c r="B2542" s="5" t="s">
        <v>34</v>
      </c>
      <c r="D2542" s="5" t="s">
        <v>996</v>
      </c>
      <c r="E2542" s="5" t="s">
        <v>18267</v>
      </c>
      <c r="F2542" s="5" t="s">
        <v>37</v>
      </c>
      <c r="G2542" s="5" t="s">
        <v>18268</v>
      </c>
      <c r="H2542" s="6" t="s">
        <v>18269</v>
      </c>
      <c r="K2542" s="5" t="s">
        <v>18254</v>
      </c>
    </row>
    <row r="2543">
      <c r="A2543" s="4">
        <v>45534.34041851852</v>
      </c>
      <c r="B2543" s="5" t="s">
        <v>34</v>
      </c>
      <c r="D2543" s="5" t="s">
        <v>1206</v>
      </c>
      <c r="E2543" s="5" t="s">
        <v>18272</v>
      </c>
      <c r="F2543" s="5" t="s">
        <v>212</v>
      </c>
      <c r="G2543" s="5" t="s">
        <v>18273</v>
      </c>
      <c r="H2543" s="6" t="s">
        <v>18274</v>
      </c>
      <c r="K2543" s="5" t="s">
        <v>18254</v>
      </c>
    </row>
    <row r="2544">
      <c r="A2544" s="4">
        <v>45534.34042060185</v>
      </c>
      <c r="B2544" s="5" t="s">
        <v>34</v>
      </c>
      <c r="D2544" s="5" t="s">
        <v>12978</v>
      </c>
      <c r="E2544" s="5" t="s">
        <v>18278</v>
      </c>
      <c r="F2544" s="5" t="s">
        <v>37</v>
      </c>
      <c r="G2544" s="5" t="s">
        <v>18279</v>
      </c>
      <c r="H2544" s="6" t="s">
        <v>18280</v>
      </c>
      <c r="K2544" s="5" t="s">
        <v>18254</v>
      </c>
    </row>
    <row r="2545">
      <c r="A2545" s="4">
        <v>45534.34042363426</v>
      </c>
      <c r="B2545" s="5" t="s">
        <v>19</v>
      </c>
      <c r="C2545" s="5" t="s">
        <v>292</v>
      </c>
      <c r="E2545" s="5" t="s">
        <v>18283</v>
      </c>
      <c r="F2545" s="5" t="s">
        <v>524</v>
      </c>
      <c r="G2545" s="5" t="s">
        <v>18284</v>
      </c>
      <c r="H2545" s="6" t="s">
        <v>18285</v>
      </c>
      <c r="K2545" s="5" t="s">
        <v>18254</v>
      </c>
    </row>
    <row r="2546">
      <c r="A2546" s="4">
        <v>45534.34042680556</v>
      </c>
      <c r="B2546" s="5" t="s">
        <v>34</v>
      </c>
      <c r="D2546" s="5" t="s">
        <v>6232</v>
      </c>
      <c r="E2546" s="5" t="s">
        <v>18288</v>
      </c>
      <c r="F2546" s="5" t="s">
        <v>212</v>
      </c>
      <c r="G2546" s="5" t="s">
        <v>18289</v>
      </c>
      <c r="H2546" s="6" t="s">
        <v>18290</v>
      </c>
      <c r="K2546" s="5" t="s">
        <v>18254</v>
      </c>
    </row>
    <row r="2547">
      <c r="A2547" s="4">
        <v>45534.340428923606</v>
      </c>
      <c r="B2547" s="5" t="s">
        <v>34</v>
      </c>
      <c r="D2547" s="5" t="s">
        <v>1206</v>
      </c>
      <c r="E2547" s="5" t="s">
        <v>18293</v>
      </c>
      <c r="F2547" s="5" t="s">
        <v>72</v>
      </c>
      <c r="G2547" s="5" t="s">
        <v>18294</v>
      </c>
      <c r="H2547" s="6" t="s">
        <v>18295</v>
      </c>
      <c r="K2547" s="5" t="s">
        <v>18254</v>
      </c>
    </row>
    <row r="2548">
      <c r="A2548" s="4">
        <v>45534.34042962963</v>
      </c>
      <c r="B2548" s="5" t="s">
        <v>34</v>
      </c>
      <c r="D2548" s="5" t="s">
        <v>4775</v>
      </c>
      <c r="E2548" s="5" t="s">
        <v>18298</v>
      </c>
      <c r="F2548" s="5" t="s">
        <v>212</v>
      </c>
      <c r="G2548" s="5" t="s">
        <v>18299</v>
      </c>
      <c r="H2548" s="6" t="s">
        <v>18300</v>
      </c>
      <c r="K2548" s="5" t="s">
        <v>18254</v>
      </c>
    </row>
    <row r="2549">
      <c r="A2549" s="4">
        <v>45534.34043116898</v>
      </c>
      <c r="B2549" s="5" t="s">
        <v>34</v>
      </c>
      <c r="D2549" s="5" t="s">
        <v>522</v>
      </c>
      <c r="E2549" s="5" t="s">
        <v>18303</v>
      </c>
      <c r="F2549" s="5" t="s">
        <v>375</v>
      </c>
      <c r="G2549" s="5" t="s">
        <v>18304</v>
      </c>
      <c r="H2549" s="6" t="s">
        <v>18305</v>
      </c>
      <c r="K2549" s="5" t="s">
        <v>18254</v>
      </c>
    </row>
    <row r="2550">
      <c r="A2550" s="4">
        <v>45534.340432199075</v>
      </c>
      <c r="B2550" s="5" t="s">
        <v>34</v>
      </c>
      <c r="D2550" s="5" t="s">
        <v>4775</v>
      </c>
      <c r="E2550" s="5" t="s">
        <v>18309</v>
      </c>
      <c r="F2550" s="5" t="s">
        <v>212</v>
      </c>
      <c r="G2550" s="5" t="s">
        <v>18310</v>
      </c>
      <c r="H2550" s="6" t="s">
        <v>18311</v>
      </c>
      <c r="K2550" s="5" t="s">
        <v>18254</v>
      </c>
    </row>
    <row r="2551">
      <c r="A2551" s="4">
        <v>45534.34039217593</v>
      </c>
      <c r="B2551" s="5" t="s">
        <v>34</v>
      </c>
      <c r="D2551" s="5" t="s">
        <v>996</v>
      </c>
      <c r="E2551" s="5" t="s">
        <v>18314</v>
      </c>
      <c r="F2551" s="5" t="s">
        <v>108</v>
      </c>
      <c r="G2551" s="5" t="s">
        <v>18315</v>
      </c>
      <c r="H2551" s="6" t="s">
        <v>18316</v>
      </c>
      <c r="K2551" s="5" t="s">
        <v>18254</v>
      </c>
    </row>
    <row r="2552">
      <c r="A2552" s="4">
        <v>45534.340430682874</v>
      </c>
      <c r="B2552" s="5" t="s">
        <v>34</v>
      </c>
      <c r="D2552" s="5" t="s">
        <v>522</v>
      </c>
      <c r="E2552" s="5" t="s">
        <v>18319</v>
      </c>
      <c r="F2552" s="5" t="s">
        <v>108</v>
      </c>
      <c r="G2552" s="5" t="s">
        <v>18320</v>
      </c>
      <c r="H2552" s="6" t="s">
        <v>18321</v>
      </c>
      <c r="K2552" s="5" t="s">
        <v>18254</v>
      </c>
    </row>
    <row r="2553">
      <c r="A2553" s="4">
        <v>45534.34044046296</v>
      </c>
      <c r="B2553" s="5" t="s">
        <v>34</v>
      </c>
      <c r="D2553" s="5" t="s">
        <v>4775</v>
      </c>
      <c r="E2553" s="5" t="s">
        <v>18324</v>
      </c>
      <c r="F2553" s="5" t="s">
        <v>212</v>
      </c>
      <c r="G2553" s="5" t="s">
        <v>18325</v>
      </c>
      <c r="H2553" s="6" t="s">
        <v>18326</v>
      </c>
      <c r="K2553" s="5" t="s">
        <v>18254</v>
      </c>
    </row>
    <row r="2554">
      <c r="A2554" s="4">
        <v>45534.34044216435</v>
      </c>
      <c r="B2554" s="5" t="s">
        <v>34</v>
      </c>
      <c r="D2554" s="5" t="s">
        <v>9020</v>
      </c>
      <c r="E2554" s="5" t="s">
        <v>18329</v>
      </c>
      <c r="F2554" s="5" t="s">
        <v>715</v>
      </c>
      <c r="G2554" s="5" t="s">
        <v>18330</v>
      </c>
      <c r="H2554" s="6" t="s">
        <v>18331</v>
      </c>
      <c r="K2554" s="5" t="s">
        <v>18254</v>
      </c>
    </row>
    <row r="2555">
      <c r="A2555" s="4">
        <v>45534.340443090274</v>
      </c>
      <c r="B2555" s="5" t="s">
        <v>34</v>
      </c>
      <c r="D2555" s="5" t="s">
        <v>12978</v>
      </c>
      <c r="E2555" s="5" t="s">
        <v>18335</v>
      </c>
      <c r="F2555" s="5" t="s">
        <v>715</v>
      </c>
      <c r="G2555" s="5" t="s">
        <v>18336</v>
      </c>
      <c r="H2555" s="6" t="s">
        <v>18337</v>
      </c>
      <c r="K2555" s="5" t="s">
        <v>18254</v>
      </c>
    </row>
    <row r="2556">
      <c r="A2556" s="4">
        <v>45534.34045480324</v>
      </c>
      <c r="B2556" s="5" t="s">
        <v>34</v>
      </c>
      <c r="D2556" s="5" t="s">
        <v>9020</v>
      </c>
      <c r="E2556" s="5" t="s">
        <v>18340</v>
      </c>
      <c r="F2556" s="5" t="s">
        <v>72</v>
      </c>
      <c r="G2556" s="5" t="s">
        <v>18341</v>
      </c>
      <c r="H2556" s="6" t="s">
        <v>18342</v>
      </c>
      <c r="K2556" s="5" t="s">
        <v>18254</v>
      </c>
    </row>
    <row r="2557">
      <c r="A2557" s="4">
        <v>45534.340454606485</v>
      </c>
      <c r="B2557" s="5" t="s">
        <v>34</v>
      </c>
      <c r="D2557" s="5" t="s">
        <v>267</v>
      </c>
      <c r="E2557" s="5" t="s">
        <v>18345</v>
      </c>
      <c r="F2557" s="5" t="s">
        <v>37</v>
      </c>
      <c r="G2557" s="5" t="s">
        <v>18346</v>
      </c>
      <c r="H2557" s="6" t="s">
        <v>18347</v>
      </c>
      <c r="K2557" s="5" t="s">
        <v>18254</v>
      </c>
    </row>
    <row r="2558">
      <c r="A2558" s="4">
        <v>45534.34044608797</v>
      </c>
      <c r="B2558" s="5" t="s">
        <v>34</v>
      </c>
      <c r="D2558" s="5" t="s">
        <v>35</v>
      </c>
      <c r="E2558" s="5" t="s">
        <v>18350</v>
      </c>
      <c r="F2558" s="5" t="s">
        <v>37</v>
      </c>
      <c r="G2558" s="5" t="s">
        <v>18351</v>
      </c>
      <c r="H2558" s="6" t="s">
        <v>18352</v>
      </c>
      <c r="K2558" s="5" t="s">
        <v>18254</v>
      </c>
    </row>
    <row r="2559">
      <c r="A2559" s="4">
        <v>45534.34046143519</v>
      </c>
      <c r="B2559" s="5" t="s">
        <v>34</v>
      </c>
      <c r="D2559" s="5" t="s">
        <v>12010</v>
      </c>
      <c r="E2559" s="5" t="s">
        <v>18356</v>
      </c>
      <c r="F2559" s="5" t="s">
        <v>524</v>
      </c>
      <c r="G2559" s="5" t="s">
        <v>18357</v>
      </c>
      <c r="H2559" s="6" t="s">
        <v>18358</v>
      </c>
      <c r="K2559" s="5" t="s">
        <v>18254</v>
      </c>
    </row>
    <row r="2560">
      <c r="A2560" s="4">
        <v>45534.340463182874</v>
      </c>
      <c r="B2560" s="5" t="s">
        <v>34</v>
      </c>
      <c r="D2560" s="5" t="s">
        <v>580</v>
      </c>
      <c r="E2560" s="5" t="s">
        <v>18361</v>
      </c>
      <c r="F2560" s="5" t="s">
        <v>72</v>
      </c>
      <c r="G2560" s="5" t="s">
        <v>18362</v>
      </c>
      <c r="H2560" s="6" t="s">
        <v>18363</v>
      </c>
      <c r="K2560" s="5" t="s">
        <v>18254</v>
      </c>
    </row>
    <row r="2561">
      <c r="A2561" s="4">
        <v>45534.34050046296</v>
      </c>
      <c r="B2561" s="5" t="s">
        <v>34</v>
      </c>
      <c r="D2561" s="5" t="s">
        <v>35</v>
      </c>
      <c r="E2561" s="5" t="s">
        <v>18367</v>
      </c>
      <c r="F2561" s="5" t="s">
        <v>37</v>
      </c>
      <c r="G2561" s="5" t="s">
        <v>18368</v>
      </c>
      <c r="H2561" s="6" t="s">
        <v>18369</v>
      </c>
      <c r="K2561" s="5" t="s">
        <v>18254</v>
      </c>
    </row>
    <row r="2562">
      <c r="A2562" s="4">
        <v>45534.340503263884</v>
      </c>
      <c r="B2562" s="5" t="s">
        <v>34</v>
      </c>
      <c r="D2562" s="5" t="s">
        <v>14313</v>
      </c>
      <c r="E2562" s="5" t="s">
        <v>18372</v>
      </c>
      <c r="F2562" s="5" t="s">
        <v>715</v>
      </c>
      <c r="G2562" s="5" t="s">
        <v>18373</v>
      </c>
      <c r="H2562" s="6" t="s">
        <v>18374</v>
      </c>
      <c r="K2562" s="5" t="s">
        <v>18254</v>
      </c>
    </row>
    <row r="2563">
      <c r="A2563" s="4">
        <v>45534.34050474537</v>
      </c>
      <c r="B2563" s="5" t="s">
        <v>34</v>
      </c>
      <c r="D2563" s="5" t="s">
        <v>12978</v>
      </c>
      <c r="E2563" s="5" t="s">
        <v>18377</v>
      </c>
      <c r="F2563" s="5" t="s">
        <v>37</v>
      </c>
      <c r="G2563" s="5" t="s">
        <v>18378</v>
      </c>
      <c r="H2563" s="6" t="s">
        <v>18379</v>
      </c>
      <c r="K2563" s="5" t="s">
        <v>18254</v>
      </c>
    </row>
    <row r="2564">
      <c r="A2564" s="4">
        <v>45534.34047084491</v>
      </c>
      <c r="B2564" s="5" t="s">
        <v>34</v>
      </c>
      <c r="D2564" s="5" t="s">
        <v>604</v>
      </c>
      <c r="E2564" s="5" t="s">
        <v>18382</v>
      </c>
      <c r="F2564" s="5" t="s">
        <v>108</v>
      </c>
      <c r="G2564" s="5" t="s">
        <v>18383</v>
      </c>
      <c r="H2564" s="6" t="s">
        <v>18384</v>
      </c>
      <c r="K2564" s="5" t="s">
        <v>18254</v>
      </c>
    </row>
    <row r="2565">
      <c r="A2565" s="4">
        <v>45534.34048168981</v>
      </c>
      <c r="B2565" s="5" t="s">
        <v>34</v>
      </c>
      <c r="D2565" s="5" t="s">
        <v>1768</v>
      </c>
      <c r="E2565" s="5" t="s">
        <v>18388</v>
      </c>
      <c r="F2565" s="5" t="s">
        <v>72</v>
      </c>
      <c r="G2565" s="5" t="s">
        <v>18389</v>
      </c>
      <c r="H2565" s="6" t="s">
        <v>18390</v>
      </c>
      <c r="K2565" s="5" t="s">
        <v>18254</v>
      </c>
    </row>
    <row r="2566">
      <c r="A2566" s="4">
        <v>45534.34048946759</v>
      </c>
      <c r="B2566" s="5" t="s">
        <v>34</v>
      </c>
      <c r="D2566" s="5" t="s">
        <v>12978</v>
      </c>
      <c r="E2566" s="5" t="s">
        <v>18393</v>
      </c>
      <c r="F2566" s="5" t="s">
        <v>375</v>
      </c>
      <c r="G2566" s="5" t="s">
        <v>18394</v>
      </c>
      <c r="H2566" s="6" t="s">
        <v>18395</v>
      </c>
      <c r="K2566" s="5" t="s">
        <v>18254</v>
      </c>
    </row>
    <row r="2567">
      <c r="A2567" s="4">
        <v>45534.34049096065</v>
      </c>
      <c r="B2567" s="5" t="s">
        <v>34</v>
      </c>
      <c r="D2567" s="5" t="s">
        <v>1206</v>
      </c>
      <c r="E2567" s="5" t="s">
        <v>18398</v>
      </c>
      <c r="F2567" s="5" t="s">
        <v>108</v>
      </c>
      <c r="G2567" s="5" t="s">
        <v>18399</v>
      </c>
      <c r="H2567" s="6" t="s">
        <v>18400</v>
      </c>
      <c r="K2567" s="5" t="s">
        <v>18254</v>
      </c>
    </row>
    <row r="2568">
      <c r="A2568" s="4">
        <v>45534.34049369213</v>
      </c>
      <c r="B2568" s="5" t="s">
        <v>34</v>
      </c>
      <c r="D2568" s="5" t="s">
        <v>2903</v>
      </c>
      <c r="E2568" s="5" t="s">
        <v>18403</v>
      </c>
      <c r="F2568" s="5" t="s">
        <v>524</v>
      </c>
      <c r="G2568" s="5" t="s">
        <v>18404</v>
      </c>
      <c r="H2568" s="6" t="s">
        <v>18405</v>
      </c>
      <c r="K2568" s="5" t="s">
        <v>18254</v>
      </c>
    </row>
    <row r="2569">
      <c r="A2569" s="4">
        <v>45534.34050828704</v>
      </c>
      <c r="B2569" s="5" t="s">
        <v>34</v>
      </c>
      <c r="D2569" s="5" t="s">
        <v>996</v>
      </c>
      <c r="E2569" s="5" t="s">
        <v>18409</v>
      </c>
      <c r="F2569" s="5" t="s">
        <v>37</v>
      </c>
      <c r="G2569" s="5" t="s">
        <v>18410</v>
      </c>
      <c r="H2569" s="6" t="s">
        <v>18411</v>
      </c>
      <c r="K2569" s="5" t="s">
        <v>18254</v>
      </c>
    </row>
    <row r="2570">
      <c r="A2570" s="4">
        <v>45534.34053861111</v>
      </c>
      <c r="B2570" s="5" t="s">
        <v>34</v>
      </c>
      <c r="D2570" s="5" t="s">
        <v>10297</v>
      </c>
      <c r="E2570" s="5" t="s">
        <v>18414</v>
      </c>
      <c r="F2570" s="5" t="s">
        <v>37</v>
      </c>
      <c r="G2570" s="5" t="s">
        <v>18415</v>
      </c>
      <c r="H2570" s="6" t="s">
        <v>18416</v>
      </c>
      <c r="K2570" s="5" t="s">
        <v>18254</v>
      </c>
    </row>
    <row r="2571">
      <c r="A2571" s="4">
        <v>45534.34054988426</v>
      </c>
      <c r="B2571" s="5" t="s">
        <v>34</v>
      </c>
      <c r="D2571" s="5" t="s">
        <v>9020</v>
      </c>
      <c r="E2571" s="5" t="s">
        <v>18419</v>
      </c>
      <c r="F2571" s="5" t="s">
        <v>212</v>
      </c>
      <c r="G2571" s="5" t="s">
        <v>18420</v>
      </c>
      <c r="H2571" s="6" t="s">
        <v>18421</v>
      </c>
      <c r="K2571" s="5" t="s">
        <v>18254</v>
      </c>
    </row>
    <row r="2572">
      <c r="A2572" s="4">
        <v>45534.340551875</v>
      </c>
      <c r="B2572" s="5" t="s">
        <v>34</v>
      </c>
      <c r="D2572" s="5" t="s">
        <v>580</v>
      </c>
      <c r="E2572" s="5" t="s">
        <v>18424</v>
      </c>
      <c r="F2572" s="5" t="s">
        <v>108</v>
      </c>
      <c r="G2572" s="5" t="s">
        <v>18425</v>
      </c>
      <c r="H2572" s="6" t="s">
        <v>18426</v>
      </c>
      <c r="K2572" s="5" t="s">
        <v>18254</v>
      </c>
    </row>
    <row r="2573">
      <c r="A2573" s="4">
        <v>45534.340553726855</v>
      </c>
      <c r="B2573" s="5" t="s">
        <v>34</v>
      </c>
      <c r="D2573" s="5" t="s">
        <v>35</v>
      </c>
      <c r="E2573" s="5" t="s">
        <v>18430</v>
      </c>
      <c r="F2573" s="5" t="s">
        <v>108</v>
      </c>
      <c r="G2573" s="5" t="s">
        <v>18431</v>
      </c>
      <c r="H2573" s="6" t="s">
        <v>18432</v>
      </c>
      <c r="K2573" s="5" t="s">
        <v>18254</v>
      </c>
    </row>
    <row r="2574">
      <c r="A2574" s="4">
        <v>45534.340555138886</v>
      </c>
      <c r="B2574" s="5" t="s">
        <v>34</v>
      </c>
      <c r="D2574" s="5" t="s">
        <v>4775</v>
      </c>
      <c r="E2574" s="5" t="s">
        <v>18435</v>
      </c>
      <c r="F2574" s="5" t="s">
        <v>212</v>
      </c>
      <c r="G2574" s="5" t="s">
        <v>18436</v>
      </c>
      <c r="H2574" s="6" t="s">
        <v>18437</v>
      </c>
      <c r="K2574" s="5" t="s">
        <v>18254</v>
      </c>
    </row>
    <row r="2575">
      <c r="A2575" s="4">
        <v>45534.340509166665</v>
      </c>
      <c r="B2575" s="5" t="s">
        <v>34</v>
      </c>
      <c r="D2575" s="5" t="s">
        <v>4775</v>
      </c>
      <c r="E2575" s="5" t="s">
        <v>18440</v>
      </c>
      <c r="F2575" s="5" t="s">
        <v>375</v>
      </c>
      <c r="G2575" s="5" t="s">
        <v>18441</v>
      </c>
      <c r="H2575" s="6" t="s">
        <v>18442</v>
      </c>
      <c r="K2575" s="5" t="s">
        <v>18254</v>
      </c>
    </row>
    <row r="2576">
      <c r="A2576" s="4">
        <v>45534.34051278935</v>
      </c>
      <c r="B2576" s="5" t="s">
        <v>34</v>
      </c>
      <c r="D2576" s="5" t="s">
        <v>4775</v>
      </c>
      <c r="E2576" s="5" t="s">
        <v>18445</v>
      </c>
      <c r="F2576" s="5" t="s">
        <v>212</v>
      </c>
      <c r="G2576" s="5" t="s">
        <v>18446</v>
      </c>
      <c r="H2576" s="6" t="s">
        <v>18447</v>
      </c>
      <c r="K2576" s="5" t="s">
        <v>18254</v>
      </c>
    </row>
    <row r="2577">
      <c r="A2577" s="4">
        <v>45534.34051923611</v>
      </c>
      <c r="B2577" s="5" t="s">
        <v>34</v>
      </c>
      <c r="D2577" s="5" t="s">
        <v>9020</v>
      </c>
      <c r="E2577" s="5" t="s">
        <v>18451</v>
      </c>
      <c r="F2577" s="5" t="s">
        <v>37</v>
      </c>
      <c r="G2577" s="5" t="s">
        <v>18452</v>
      </c>
      <c r="H2577" s="6" t="s">
        <v>18453</v>
      </c>
      <c r="K2577" s="5" t="s">
        <v>18254</v>
      </c>
    </row>
    <row r="2578">
      <c r="A2578" s="4">
        <v>45534.34052197917</v>
      </c>
      <c r="B2578" s="5" t="s">
        <v>34</v>
      </c>
      <c r="D2578" s="5" t="s">
        <v>1206</v>
      </c>
      <c r="E2578" s="5" t="s">
        <v>18456</v>
      </c>
      <c r="F2578" s="5" t="s">
        <v>37</v>
      </c>
      <c r="G2578" s="5" t="s">
        <v>18457</v>
      </c>
      <c r="H2578" s="6" t="s">
        <v>18458</v>
      </c>
      <c r="K2578" s="5" t="s">
        <v>18254</v>
      </c>
    </row>
    <row r="2579">
      <c r="A2579" s="4">
        <v>45534.34052237269</v>
      </c>
      <c r="B2579" s="5" t="s">
        <v>34</v>
      </c>
      <c r="D2579" s="5" t="s">
        <v>1206</v>
      </c>
      <c r="E2579" s="5" t="s">
        <v>18461</v>
      </c>
      <c r="F2579" s="5" t="s">
        <v>37</v>
      </c>
      <c r="G2579" s="5" t="s">
        <v>18462</v>
      </c>
      <c r="H2579" s="6" t="s">
        <v>18463</v>
      </c>
      <c r="K2579" s="5" t="s">
        <v>18254</v>
      </c>
    </row>
    <row r="2580">
      <c r="A2580" s="4">
        <v>45534.340563136575</v>
      </c>
      <c r="B2580" s="5" t="s">
        <v>34</v>
      </c>
      <c r="D2580" s="5" t="s">
        <v>14313</v>
      </c>
      <c r="E2580" s="5" t="s">
        <v>18466</v>
      </c>
      <c r="F2580" s="5" t="s">
        <v>37</v>
      </c>
      <c r="G2580" s="5" t="s">
        <v>18467</v>
      </c>
      <c r="H2580" s="6" t="s">
        <v>18468</v>
      </c>
      <c r="K2580" s="5" t="s">
        <v>18254</v>
      </c>
    </row>
    <row r="2581">
      <c r="A2581" s="4">
        <v>45534.34056730324</v>
      </c>
      <c r="B2581" s="5" t="s">
        <v>34</v>
      </c>
      <c r="D2581" s="5" t="s">
        <v>12978</v>
      </c>
      <c r="E2581" s="5" t="s">
        <v>18472</v>
      </c>
      <c r="F2581" s="5" t="s">
        <v>524</v>
      </c>
      <c r="G2581" s="5" t="s">
        <v>18473</v>
      </c>
      <c r="H2581" s="6" t="s">
        <v>18474</v>
      </c>
      <c r="K2581" s="5" t="s">
        <v>18254</v>
      </c>
    </row>
    <row r="2582">
      <c r="A2582" s="4">
        <v>45534.34057122685</v>
      </c>
      <c r="B2582" s="5" t="s">
        <v>19</v>
      </c>
      <c r="C2582" s="5" t="s">
        <v>3301</v>
      </c>
      <c r="E2582" s="5" t="s">
        <v>18477</v>
      </c>
      <c r="F2582" s="5" t="s">
        <v>212</v>
      </c>
      <c r="G2582" s="5" t="s">
        <v>18478</v>
      </c>
      <c r="H2582" s="6" t="s">
        <v>18479</v>
      </c>
      <c r="K2582" s="5" t="s">
        <v>18254</v>
      </c>
    </row>
    <row r="2583">
      <c r="A2583" s="4">
        <v>45534.34057185185</v>
      </c>
      <c r="B2583" s="5" t="s">
        <v>34</v>
      </c>
      <c r="D2583" s="5" t="s">
        <v>3432</v>
      </c>
      <c r="E2583" s="5" t="s">
        <v>18482</v>
      </c>
      <c r="F2583" s="5" t="s">
        <v>37</v>
      </c>
      <c r="G2583" s="5" t="s">
        <v>18483</v>
      </c>
      <c r="H2583" s="6" t="s">
        <v>18484</v>
      </c>
      <c r="K2583" s="5" t="s">
        <v>18254</v>
      </c>
    </row>
    <row r="2584">
      <c r="A2584" s="4">
        <v>45534.34057221065</v>
      </c>
      <c r="B2584" s="5" t="s">
        <v>34</v>
      </c>
      <c r="D2584" s="5" t="s">
        <v>35</v>
      </c>
      <c r="E2584" s="5" t="s">
        <v>18487</v>
      </c>
      <c r="F2584" s="5" t="s">
        <v>328</v>
      </c>
      <c r="G2584" s="5" t="s">
        <v>18488</v>
      </c>
      <c r="H2584" s="6" t="s">
        <v>18489</v>
      </c>
      <c r="K2584" s="5" t="s">
        <v>18254</v>
      </c>
    </row>
    <row r="2585">
      <c r="A2585" s="4">
        <v>45534.34058063658</v>
      </c>
      <c r="B2585" s="5" t="s">
        <v>34</v>
      </c>
      <c r="D2585" s="5" t="s">
        <v>4775</v>
      </c>
      <c r="E2585" s="5" t="s">
        <v>18493</v>
      </c>
      <c r="F2585" s="5" t="s">
        <v>212</v>
      </c>
      <c r="G2585" s="5" t="s">
        <v>18494</v>
      </c>
      <c r="H2585" s="6" t="s">
        <v>18495</v>
      </c>
      <c r="K2585" s="5" t="s">
        <v>18254</v>
      </c>
    </row>
    <row r="2586">
      <c r="A2586" s="4">
        <v>45534.34058880787</v>
      </c>
      <c r="B2586" s="5" t="s">
        <v>34</v>
      </c>
      <c r="D2586" s="5" t="s">
        <v>1206</v>
      </c>
      <c r="E2586" s="5" t="s">
        <v>18498</v>
      </c>
      <c r="F2586" s="5" t="s">
        <v>72</v>
      </c>
      <c r="G2586" s="5" t="s">
        <v>18499</v>
      </c>
      <c r="H2586" s="6" t="s">
        <v>18500</v>
      </c>
      <c r="K2586" s="5" t="s">
        <v>18254</v>
      </c>
    </row>
    <row r="2587">
      <c r="A2587" s="4">
        <v>45534.34059165509</v>
      </c>
      <c r="B2587" s="5" t="s">
        <v>34</v>
      </c>
      <c r="D2587" s="5" t="s">
        <v>9020</v>
      </c>
      <c r="E2587" s="5" t="s">
        <v>18503</v>
      </c>
      <c r="F2587" s="5" t="s">
        <v>375</v>
      </c>
      <c r="G2587" s="5" t="s">
        <v>18504</v>
      </c>
      <c r="H2587" s="6" t="s">
        <v>18505</v>
      </c>
      <c r="K2587" s="5" t="s">
        <v>18254</v>
      </c>
    </row>
    <row r="2588">
      <c r="A2588" s="4">
        <v>45534.340602743054</v>
      </c>
      <c r="B2588" s="5" t="s">
        <v>34</v>
      </c>
      <c r="D2588" s="5" t="s">
        <v>35</v>
      </c>
      <c r="E2588" s="5" t="s">
        <v>18508</v>
      </c>
      <c r="F2588" s="5" t="s">
        <v>37</v>
      </c>
      <c r="G2588" s="5" t="s">
        <v>18509</v>
      </c>
      <c r="H2588" s="6" t="s">
        <v>18510</v>
      </c>
      <c r="K2588" s="5" t="s">
        <v>18254</v>
      </c>
    </row>
    <row r="2589">
      <c r="A2589" s="4">
        <v>45534.34060971065</v>
      </c>
      <c r="B2589" s="5" t="s">
        <v>34</v>
      </c>
      <c r="D2589" s="5" t="s">
        <v>4775</v>
      </c>
      <c r="E2589" s="5" t="s">
        <v>18514</v>
      </c>
      <c r="F2589" s="5" t="s">
        <v>328</v>
      </c>
      <c r="G2589" s="5" t="s">
        <v>18515</v>
      </c>
      <c r="H2589" s="6" t="s">
        <v>18516</v>
      </c>
      <c r="K2589" s="5" t="s">
        <v>18254</v>
      </c>
    </row>
    <row r="2590">
      <c r="A2590" s="4">
        <v>45534.34061449074</v>
      </c>
      <c r="B2590" s="5" t="s">
        <v>34</v>
      </c>
      <c r="D2590" s="5" t="s">
        <v>4775</v>
      </c>
      <c r="E2590" s="5" t="s">
        <v>18519</v>
      </c>
      <c r="F2590" s="5" t="s">
        <v>120</v>
      </c>
      <c r="G2590" s="5" t="s">
        <v>18520</v>
      </c>
      <c r="H2590" s="6" t="s">
        <v>18521</v>
      </c>
      <c r="K2590" s="5" t="s">
        <v>18254</v>
      </c>
    </row>
    <row r="2591">
      <c r="A2591" s="4">
        <v>45534.34061564815</v>
      </c>
      <c r="B2591" s="5" t="s">
        <v>34</v>
      </c>
      <c r="D2591" s="5" t="s">
        <v>4775</v>
      </c>
      <c r="E2591" s="5" t="s">
        <v>18524</v>
      </c>
      <c r="F2591" s="5" t="s">
        <v>72</v>
      </c>
      <c r="G2591" s="5" t="s">
        <v>18525</v>
      </c>
      <c r="H2591" s="6" t="s">
        <v>18526</v>
      </c>
      <c r="K2591" s="5" t="s">
        <v>18254</v>
      </c>
    </row>
    <row r="2592">
      <c r="A2592" s="4">
        <v>45534.34062509259</v>
      </c>
      <c r="B2592" s="5" t="s">
        <v>34</v>
      </c>
      <c r="D2592" s="5" t="s">
        <v>4775</v>
      </c>
      <c r="E2592" s="5" t="s">
        <v>18529</v>
      </c>
      <c r="F2592" s="5" t="s">
        <v>72</v>
      </c>
      <c r="G2592" s="5" t="s">
        <v>18530</v>
      </c>
      <c r="H2592" s="6" t="s">
        <v>18531</v>
      </c>
      <c r="K2592" s="5" t="s">
        <v>18254</v>
      </c>
    </row>
    <row r="2593">
      <c r="A2593" s="4">
        <v>45534.340638622685</v>
      </c>
      <c r="B2593" s="5" t="s">
        <v>34</v>
      </c>
      <c r="D2593" s="5" t="s">
        <v>1206</v>
      </c>
      <c r="E2593" s="5" t="s">
        <v>18535</v>
      </c>
      <c r="F2593" s="5" t="s">
        <v>72</v>
      </c>
      <c r="G2593" s="5" t="s">
        <v>18536</v>
      </c>
      <c r="H2593" s="6" t="s">
        <v>18537</v>
      </c>
      <c r="K2593" s="5" t="s">
        <v>18254</v>
      </c>
    </row>
    <row r="2594">
      <c r="A2594" s="4">
        <v>45534.34064810185</v>
      </c>
      <c r="B2594" s="5" t="s">
        <v>34</v>
      </c>
      <c r="D2594" s="5" t="s">
        <v>12978</v>
      </c>
      <c r="E2594" s="5" t="s">
        <v>18540</v>
      </c>
      <c r="F2594" s="5" t="s">
        <v>37</v>
      </c>
      <c r="G2594" s="5" t="s">
        <v>18541</v>
      </c>
      <c r="H2594" s="6" t="s">
        <v>18542</v>
      </c>
      <c r="K2594" s="5" t="s">
        <v>18254</v>
      </c>
    </row>
    <row r="2595">
      <c r="A2595" s="4">
        <v>45534.34065387731</v>
      </c>
      <c r="B2595" s="5" t="s">
        <v>34</v>
      </c>
      <c r="D2595" s="5" t="s">
        <v>1456</v>
      </c>
      <c r="E2595" s="5" t="s">
        <v>18545</v>
      </c>
      <c r="F2595" s="5" t="s">
        <v>212</v>
      </c>
      <c r="G2595" s="5" t="s">
        <v>18546</v>
      </c>
      <c r="H2595" s="6" t="s">
        <v>18547</v>
      </c>
      <c r="K2595" s="5" t="s">
        <v>18254</v>
      </c>
    </row>
    <row r="2596">
      <c r="A2596" s="4">
        <v>45534.34065524305</v>
      </c>
      <c r="B2596" s="5" t="s">
        <v>34</v>
      </c>
      <c r="D2596" s="5" t="s">
        <v>35</v>
      </c>
      <c r="E2596" s="5" t="s">
        <v>18550</v>
      </c>
      <c r="F2596" s="5" t="s">
        <v>37</v>
      </c>
      <c r="G2596" s="5" t="s">
        <v>18551</v>
      </c>
      <c r="H2596" s="6" t="s">
        <v>18552</v>
      </c>
      <c r="K2596" s="5" t="s">
        <v>18254</v>
      </c>
    </row>
    <row r="2597">
      <c r="A2597" s="4">
        <v>45534.34065974537</v>
      </c>
      <c r="B2597" s="5" t="s">
        <v>34</v>
      </c>
      <c r="D2597" s="5" t="s">
        <v>9020</v>
      </c>
      <c r="E2597" s="5" t="s">
        <v>18555</v>
      </c>
      <c r="F2597" s="5" t="s">
        <v>72</v>
      </c>
      <c r="G2597" s="5" t="s">
        <v>18556</v>
      </c>
      <c r="H2597" s="6" t="s">
        <v>18557</v>
      </c>
      <c r="K2597" s="5" t="s">
        <v>18254</v>
      </c>
    </row>
    <row r="2598">
      <c r="A2598" s="4">
        <v>45534.34066952547</v>
      </c>
      <c r="B2598" s="5" t="s">
        <v>34</v>
      </c>
      <c r="D2598" s="5" t="s">
        <v>522</v>
      </c>
      <c r="E2598" s="5" t="s">
        <v>18561</v>
      </c>
      <c r="F2598" s="5" t="s">
        <v>524</v>
      </c>
      <c r="G2598" s="5" t="s">
        <v>18562</v>
      </c>
      <c r="H2598" s="6" t="s">
        <v>18563</v>
      </c>
      <c r="K2598" s="5" t="s">
        <v>18254</v>
      </c>
    </row>
    <row r="2599">
      <c r="A2599" s="4">
        <v>45534.34067650463</v>
      </c>
      <c r="B2599" s="5" t="s">
        <v>34</v>
      </c>
      <c r="D2599" s="5" t="s">
        <v>2903</v>
      </c>
      <c r="E2599" s="5" t="s">
        <v>18566</v>
      </c>
      <c r="F2599" s="5" t="s">
        <v>37</v>
      </c>
      <c r="G2599" s="5" t="s">
        <v>18567</v>
      </c>
      <c r="H2599" s="6" t="s">
        <v>18568</v>
      </c>
      <c r="K2599" s="5" t="s">
        <v>18254</v>
      </c>
    </row>
    <row r="2600">
      <c r="A2600" s="4">
        <v>45534.34067744213</v>
      </c>
      <c r="B2600" s="5" t="s">
        <v>34</v>
      </c>
      <c r="D2600" s="5" t="s">
        <v>9020</v>
      </c>
      <c r="E2600" s="5" t="s">
        <v>18571</v>
      </c>
      <c r="F2600" s="5" t="s">
        <v>37</v>
      </c>
      <c r="G2600" s="5" t="s">
        <v>18572</v>
      </c>
      <c r="H2600" s="6" t="s">
        <v>18573</v>
      </c>
      <c r="K2600" s="5" t="s">
        <v>18254</v>
      </c>
    </row>
    <row r="2601">
      <c r="A2601" s="4">
        <v>45534.34068496528</v>
      </c>
      <c r="B2601" s="5" t="s">
        <v>34</v>
      </c>
      <c r="D2601" s="5" t="s">
        <v>4775</v>
      </c>
      <c r="E2601" s="5" t="s">
        <v>18576</v>
      </c>
      <c r="F2601" s="5" t="s">
        <v>212</v>
      </c>
      <c r="G2601" s="5" t="s">
        <v>18577</v>
      </c>
      <c r="H2601" s="6" t="s">
        <v>18578</v>
      </c>
      <c r="K2601" s="5" t="s">
        <v>18254</v>
      </c>
    </row>
    <row r="2602">
      <c r="A2602" s="4">
        <v>45534.340692557875</v>
      </c>
      <c r="B2602" s="5" t="s">
        <v>19</v>
      </c>
      <c r="C2602" s="5" t="s">
        <v>3301</v>
      </c>
      <c r="E2602" s="5" t="s">
        <v>18582</v>
      </c>
      <c r="F2602" s="5" t="s">
        <v>715</v>
      </c>
      <c r="G2602" s="5" t="s">
        <v>18583</v>
      </c>
      <c r="H2602" s="6" t="s">
        <v>18584</v>
      </c>
      <c r="K2602" s="5" t="s">
        <v>18254</v>
      </c>
    </row>
    <row r="2603">
      <c r="A2603" s="4">
        <v>45534.34070180556</v>
      </c>
      <c r="B2603" s="5" t="s">
        <v>34</v>
      </c>
      <c r="D2603" s="5" t="s">
        <v>35</v>
      </c>
      <c r="E2603" s="5" t="s">
        <v>18587</v>
      </c>
      <c r="F2603" s="5" t="s">
        <v>715</v>
      </c>
      <c r="G2603" s="5" t="s">
        <v>18588</v>
      </c>
      <c r="H2603" s="6" t="s">
        <v>18589</v>
      </c>
      <c r="K2603" s="5" t="s">
        <v>18254</v>
      </c>
    </row>
    <row r="2604">
      <c r="A2604" s="4">
        <v>45534.3407112037</v>
      </c>
      <c r="B2604" s="5" t="s">
        <v>34</v>
      </c>
      <c r="D2604" s="5" t="s">
        <v>35</v>
      </c>
      <c r="E2604" s="5" t="s">
        <v>18593</v>
      </c>
      <c r="F2604" s="5" t="s">
        <v>212</v>
      </c>
      <c r="G2604" s="5" t="s">
        <v>18594</v>
      </c>
      <c r="H2604" s="6" t="s">
        <v>18595</v>
      </c>
      <c r="K2604" s="5" t="s">
        <v>18254</v>
      </c>
    </row>
    <row r="2605">
      <c r="A2605" s="4">
        <v>45534.340711909725</v>
      </c>
      <c r="B2605" s="5" t="s">
        <v>34</v>
      </c>
      <c r="D2605" s="5" t="s">
        <v>4775</v>
      </c>
      <c r="E2605" s="5" t="s">
        <v>18598</v>
      </c>
      <c r="F2605" s="5" t="s">
        <v>37</v>
      </c>
      <c r="G2605" s="5" t="s">
        <v>18599</v>
      </c>
      <c r="H2605" s="6" t="s">
        <v>18600</v>
      </c>
      <c r="K2605" s="5" t="s">
        <v>18254</v>
      </c>
    </row>
    <row r="2606">
      <c r="A2606" s="4">
        <v>45534.34071453704</v>
      </c>
      <c r="B2606" s="5" t="s">
        <v>34</v>
      </c>
      <c r="D2606" s="5" t="s">
        <v>1692</v>
      </c>
      <c r="E2606" s="5" t="s">
        <v>18603</v>
      </c>
      <c r="F2606" s="5" t="s">
        <v>524</v>
      </c>
      <c r="G2606" s="5" t="s">
        <v>18604</v>
      </c>
      <c r="H2606" s="6" t="s">
        <v>18605</v>
      </c>
      <c r="K2606" s="5" t="s">
        <v>18254</v>
      </c>
    </row>
    <row r="2607">
      <c r="A2607" s="4">
        <v>45534.340721238426</v>
      </c>
      <c r="B2607" s="5" t="s">
        <v>34</v>
      </c>
      <c r="D2607" s="5" t="s">
        <v>2903</v>
      </c>
      <c r="E2607" s="5" t="s">
        <v>18608</v>
      </c>
      <c r="F2607" s="5" t="s">
        <v>375</v>
      </c>
      <c r="G2607" s="5" t="s">
        <v>18609</v>
      </c>
      <c r="H2607" s="6" t="s">
        <v>18610</v>
      </c>
      <c r="K2607" s="5" t="s">
        <v>18254</v>
      </c>
    </row>
    <row r="2608">
      <c r="A2608" s="4">
        <v>45534.34072289352</v>
      </c>
      <c r="B2608" s="5" t="s">
        <v>34</v>
      </c>
      <c r="D2608" s="5" t="s">
        <v>35</v>
      </c>
      <c r="E2608" s="5" t="s">
        <v>18613</v>
      </c>
      <c r="F2608" s="5" t="s">
        <v>37</v>
      </c>
      <c r="G2608" s="5" t="s">
        <v>18614</v>
      </c>
      <c r="H2608" s="6" t="s">
        <v>18615</v>
      </c>
      <c r="K2608" s="5" t="s">
        <v>18254</v>
      </c>
    </row>
    <row r="2609">
      <c r="A2609" s="4">
        <v>45534.34073163195</v>
      </c>
      <c r="B2609" s="5" t="s">
        <v>34</v>
      </c>
      <c r="D2609" s="5" t="s">
        <v>1206</v>
      </c>
      <c r="E2609" s="5" t="s">
        <v>18619</v>
      </c>
      <c r="F2609" s="5" t="s">
        <v>212</v>
      </c>
      <c r="G2609" s="5" t="s">
        <v>18620</v>
      </c>
      <c r="H2609" s="6" t="s">
        <v>18621</v>
      </c>
      <c r="K2609" s="5" t="s">
        <v>18254</v>
      </c>
    </row>
    <row r="2610">
      <c r="A2610" s="4">
        <v>45534.34073243056</v>
      </c>
      <c r="B2610" s="5" t="s">
        <v>34</v>
      </c>
      <c r="D2610" s="5" t="s">
        <v>267</v>
      </c>
      <c r="E2610" s="5" t="s">
        <v>18624</v>
      </c>
      <c r="F2610" s="5" t="s">
        <v>108</v>
      </c>
      <c r="G2610" s="5" t="s">
        <v>18625</v>
      </c>
      <c r="H2610" s="6" t="s">
        <v>18626</v>
      </c>
      <c r="K2610" s="5" t="s">
        <v>18254</v>
      </c>
    </row>
    <row r="2611">
      <c r="A2611" s="4">
        <v>45534.34073635416</v>
      </c>
      <c r="B2611" s="5" t="s">
        <v>34</v>
      </c>
      <c r="D2611" s="5" t="s">
        <v>6232</v>
      </c>
      <c r="E2611" s="5" t="s">
        <v>17217</v>
      </c>
      <c r="F2611" s="5" t="s">
        <v>212</v>
      </c>
      <c r="G2611" s="5" t="s">
        <v>18629</v>
      </c>
      <c r="H2611" s="6" t="s">
        <v>18630</v>
      </c>
      <c r="I2611" s="7" t="s">
        <v>18631</v>
      </c>
      <c r="J2611" s="8" t="str">
        <f>HYPERLINK("https://drive.google.com/file/d/1vD8yFNqjkQuhF4vQqhmFLmuMZPIyoz8K/view?usp=drivesdk","SRI YANTI SERTIFIKAT BerAKHLAK")</f>
        <v>SRI YANTI SERTIFIKAT BerAKHLAK</v>
      </c>
      <c r="K2611" s="5" t="s">
        <v>14929</v>
      </c>
      <c r="L2611" s="5" t="s">
        <v>18632</v>
      </c>
    </row>
    <row r="2612">
      <c r="A2612" s="4">
        <v>45534.34074168981</v>
      </c>
      <c r="B2612" s="5" t="s">
        <v>34</v>
      </c>
      <c r="D2612" s="5" t="s">
        <v>4775</v>
      </c>
      <c r="E2612" s="5" t="s">
        <v>18635</v>
      </c>
      <c r="F2612" s="5" t="s">
        <v>212</v>
      </c>
      <c r="G2612" s="5" t="s">
        <v>18636</v>
      </c>
      <c r="H2612" s="6" t="s">
        <v>18637</v>
      </c>
      <c r="I2612" s="7" t="s">
        <v>18638</v>
      </c>
      <c r="J2612" s="8" t="str">
        <f>HYPERLINK("https://drive.google.com/file/d/1ewNBY4Zxl80YM8KmLRPuhk067TidkgMG/view?usp=drivesdk","YUNI SETIYOWATI SERTIFIKAT BerAKHLAK")</f>
        <v>YUNI SETIYOWATI SERTIFIKAT BerAKHLAK</v>
      </c>
      <c r="K2612" s="5" t="s">
        <v>14929</v>
      </c>
      <c r="L2612" s="5" t="s">
        <v>18639</v>
      </c>
    </row>
    <row r="2613">
      <c r="A2613" s="4">
        <v>45534.34075081018</v>
      </c>
      <c r="B2613" s="5" t="s">
        <v>34</v>
      </c>
      <c r="D2613" s="5" t="s">
        <v>4775</v>
      </c>
      <c r="E2613" s="5" t="s">
        <v>18643</v>
      </c>
      <c r="F2613" s="5" t="s">
        <v>212</v>
      </c>
      <c r="G2613" s="5" t="s">
        <v>18644</v>
      </c>
      <c r="H2613" s="6" t="s">
        <v>18645</v>
      </c>
      <c r="I2613" s="7" t="s">
        <v>18646</v>
      </c>
      <c r="J2613" s="8" t="str">
        <f>HYPERLINK("https://drive.google.com/file/d/1IW_r0f-4nyGCcyHQy3dSc4Dp_Y8L0SJ8/view?usp=drivesdk","SUWARSO SERTIFIKAT BerAKHLAK")</f>
        <v>SUWARSO SERTIFIKAT BerAKHLAK</v>
      </c>
      <c r="K2613" s="5" t="s">
        <v>14929</v>
      </c>
      <c r="L2613" s="5" t="s">
        <v>18647</v>
      </c>
    </row>
    <row r="2614">
      <c r="A2614" s="4">
        <v>45534.340754791665</v>
      </c>
      <c r="B2614" s="5" t="s">
        <v>34</v>
      </c>
      <c r="D2614" s="5" t="s">
        <v>4775</v>
      </c>
      <c r="E2614" s="5" t="s">
        <v>18650</v>
      </c>
      <c r="F2614" s="5" t="s">
        <v>375</v>
      </c>
      <c r="G2614" s="5" t="s">
        <v>18651</v>
      </c>
      <c r="H2614" s="6" t="s">
        <v>18652</v>
      </c>
      <c r="I2614" s="7" t="s">
        <v>18653</v>
      </c>
      <c r="J2614" s="8" t="str">
        <f>HYPERLINK("https://drive.google.com/file/d/1Sc5tAbuiW2S1LgCiha0QSzSlg670gKtQ/view?usp=drivesdk","TATI SUDARWATI SERTIFIKAT BerAKHLAK")</f>
        <v>TATI SUDARWATI SERTIFIKAT BerAKHLAK</v>
      </c>
      <c r="K2614" s="5" t="s">
        <v>18654</v>
      </c>
      <c r="L2614" s="5" t="s">
        <v>18655</v>
      </c>
    </row>
    <row r="2615">
      <c r="A2615" s="4">
        <v>45534.34075659722</v>
      </c>
      <c r="B2615" s="5" t="s">
        <v>34</v>
      </c>
      <c r="D2615" s="5" t="s">
        <v>604</v>
      </c>
      <c r="E2615" s="5" t="s">
        <v>18658</v>
      </c>
      <c r="F2615" s="5" t="s">
        <v>72</v>
      </c>
      <c r="G2615" s="5" t="s">
        <v>18659</v>
      </c>
      <c r="H2615" s="6" t="s">
        <v>18660</v>
      </c>
      <c r="I2615" s="7" t="s">
        <v>18661</v>
      </c>
      <c r="J2615" s="8" t="str">
        <f>HYPERLINK("https://drive.google.com/file/d/174iqAIEz3S0DnlkRWqUTK1bJVVaniQ0u/view?usp=drivesdk","WAHID NOR HUDA SERTIFIKAT BerAKHLAK")</f>
        <v>WAHID NOR HUDA SERTIFIKAT BerAKHLAK</v>
      </c>
      <c r="K2615" s="5" t="s">
        <v>18654</v>
      </c>
      <c r="L2615" s="5" t="s">
        <v>18662</v>
      </c>
    </row>
    <row r="2616">
      <c r="A2616" s="4">
        <v>45534.34076076389</v>
      </c>
      <c r="B2616" s="5" t="s">
        <v>34</v>
      </c>
      <c r="D2616" s="5" t="s">
        <v>1206</v>
      </c>
      <c r="E2616" s="5" t="s">
        <v>18665</v>
      </c>
      <c r="F2616" s="5" t="s">
        <v>37</v>
      </c>
      <c r="G2616" s="5" t="s">
        <v>18666</v>
      </c>
      <c r="H2616" s="6" t="s">
        <v>18667</v>
      </c>
      <c r="I2616" s="7" t="s">
        <v>18668</v>
      </c>
      <c r="J2616" s="8" t="str">
        <f>HYPERLINK("https://drive.google.com/file/d/1OQUW1q8Xahpf5wMj7wkigEgfnzAgekay/view?usp=drivesdk","ANDRIANTO SERTIFIKAT BerAKHLAK")</f>
        <v>ANDRIANTO SERTIFIKAT BerAKHLAK</v>
      </c>
      <c r="K2616" s="5" t="s">
        <v>18654</v>
      </c>
      <c r="L2616" s="5" t="s">
        <v>18669</v>
      </c>
    </row>
    <row r="2617">
      <c r="A2617" s="4">
        <v>45534.3407621875</v>
      </c>
      <c r="B2617" s="5" t="s">
        <v>34</v>
      </c>
      <c r="D2617" s="5" t="s">
        <v>604</v>
      </c>
      <c r="E2617" s="5" t="s">
        <v>18673</v>
      </c>
      <c r="F2617" s="5" t="s">
        <v>120</v>
      </c>
      <c r="G2617" s="5" t="s">
        <v>18674</v>
      </c>
      <c r="H2617" s="6" t="s">
        <v>18675</v>
      </c>
      <c r="I2617" s="7" t="s">
        <v>18676</v>
      </c>
      <c r="J2617" s="8" t="str">
        <f>HYPERLINK("https://drive.google.com/file/d/1Y8a6DC8xKFxjfE_vSnVO_gI_CoDVSLOJ/view?usp=drivesdk","HERI PAMUJI WIBOWO, S.E.  SERTIFIKAT BerAKHLAK")</f>
        <v>HERI PAMUJI WIBOWO, S.E.  SERTIFIKAT BerAKHLAK</v>
      </c>
      <c r="K2617" s="5" t="s">
        <v>18654</v>
      </c>
      <c r="L2617" s="5" t="s">
        <v>18677</v>
      </c>
    </row>
    <row r="2618">
      <c r="A2618" s="4">
        <v>45534.34079960648</v>
      </c>
      <c r="B2618" s="5" t="s">
        <v>34</v>
      </c>
      <c r="D2618" s="5" t="s">
        <v>1206</v>
      </c>
      <c r="E2618" s="5" t="s">
        <v>18680</v>
      </c>
      <c r="F2618" s="5" t="s">
        <v>212</v>
      </c>
      <c r="G2618" s="5" t="s">
        <v>18681</v>
      </c>
      <c r="H2618" s="6" t="s">
        <v>18682</v>
      </c>
      <c r="I2618" s="7" t="s">
        <v>18683</v>
      </c>
      <c r="J2618" s="8" t="str">
        <f>HYPERLINK("https://drive.google.com/file/d/1PkOGcpulVLPQAvthHbW561v8qnmUwEnx/view?usp=drivesdk","JULI ANDAYANI SERTIFIKAT BerAKHLAK")</f>
        <v>JULI ANDAYANI SERTIFIKAT BerAKHLAK</v>
      </c>
      <c r="K2618" s="5" t="s">
        <v>18654</v>
      </c>
      <c r="L2618" s="5" t="s">
        <v>18684</v>
      </c>
    </row>
    <row r="2619">
      <c r="A2619" s="4">
        <v>45534.340806249995</v>
      </c>
      <c r="B2619" s="5" t="s">
        <v>34</v>
      </c>
      <c r="D2619" s="5" t="s">
        <v>2903</v>
      </c>
      <c r="E2619" s="5" t="s">
        <v>18687</v>
      </c>
      <c r="F2619" s="5" t="s">
        <v>108</v>
      </c>
      <c r="G2619" s="5" t="s">
        <v>18688</v>
      </c>
      <c r="H2619" s="6" t="s">
        <v>18689</v>
      </c>
      <c r="I2619" s="7" t="s">
        <v>18690</v>
      </c>
      <c r="J2619" s="8" t="str">
        <f>HYPERLINK("https://drive.google.com/file/d/1rtGdTKmDWG6bpRymC9NPu3cgOKHNXzCG/view?usp=drivesdk","EPA AFRIANI SERTIFIKAT BerAKHLAK")</f>
        <v>EPA AFRIANI SERTIFIKAT BerAKHLAK</v>
      </c>
      <c r="K2619" s="5" t="s">
        <v>18691</v>
      </c>
      <c r="L2619" s="5" t="s">
        <v>18692</v>
      </c>
    </row>
    <row r="2620">
      <c r="A2620" s="4">
        <v>45534.34080934028</v>
      </c>
      <c r="B2620" s="5" t="s">
        <v>19</v>
      </c>
      <c r="C2620" s="5" t="s">
        <v>14000</v>
      </c>
      <c r="E2620" s="5" t="s">
        <v>18695</v>
      </c>
      <c r="F2620" s="5" t="s">
        <v>212</v>
      </c>
      <c r="G2620" s="5" t="s">
        <v>18696</v>
      </c>
      <c r="H2620" s="6" t="s">
        <v>18697</v>
      </c>
      <c r="I2620" s="7" t="s">
        <v>18698</v>
      </c>
      <c r="J2620" s="8" t="str">
        <f>HYPERLINK("https://drive.google.com/file/d/18fdSeRZjMf4Xu906nFp8ccN7L3EkvBYy/view?usp=drivesdk","DEWI SARTIKA SERTIFIKAT BerAKHLAK")</f>
        <v>DEWI SARTIKA SERTIFIKAT BerAKHLAK</v>
      </c>
      <c r="K2620" s="5" t="s">
        <v>18691</v>
      </c>
      <c r="L2620" s="5" t="s">
        <v>18699</v>
      </c>
    </row>
    <row r="2621">
      <c r="A2621" s="4">
        <v>45534.34081313657</v>
      </c>
      <c r="B2621" s="5" t="s">
        <v>34</v>
      </c>
      <c r="D2621" s="5" t="s">
        <v>1206</v>
      </c>
      <c r="E2621" s="5" t="s">
        <v>18703</v>
      </c>
      <c r="F2621" s="5" t="s">
        <v>715</v>
      </c>
      <c r="G2621" s="5" t="s">
        <v>18704</v>
      </c>
      <c r="H2621" s="6" t="s">
        <v>18705</v>
      </c>
      <c r="I2621" s="7" t="s">
        <v>18706</v>
      </c>
      <c r="J2621" s="8" t="str">
        <f>HYPERLINK("https://drive.google.com/file/d/11TpN1DfNkKhMmBzV-S7D1BxVT1ST_1u7/view?usp=drivesdk","YANI PRASETYA FAJARWATI, SE SERTIFIKAT BerAKHLAK")</f>
        <v>YANI PRASETYA FAJARWATI, SE SERTIFIKAT BerAKHLAK</v>
      </c>
      <c r="K2621" s="5" t="s">
        <v>18691</v>
      </c>
      <c r="L2621" s="5" t="s">
        <v>18707</v>
      </c>
    </row>
    <row r="2622">
      <c r="A2622" s="4">
        <v>45534.34081472222</v>
      </c>
      <c r="B2622" s="5" t="s">
        <v>34</v>
      </c>
      <c r="D2622" s="5" t="s">
        <v>1206</v>
      </c>
      <c r="E2622" s="5" t="s">
        <v>18710</v>
      </c>
      <c r="F2622" s="5" t="s">
        <v>212</v>
      </c>
      <c r="G2622" s="5" t="s">
        <v>18711</v>
      </c>
      <c r="H2622" s="6" t="s">
        <v>18712</v>
      </c>
      <c r="K2622" s="5" t="s">
        <v>18713</v>
      </c>
    </row>
    <row r="2623">
      <c r="A2623" s="4">
        <v>45534.34081559027</v>
      </c>
      <c r="B2623" s="5" t="s">
        <v>34</v>
      </c>
      <c r="D2623" s="5" t="s">
        <v>522</v>
      </c>
      <c r="E2623" s="5" t="s">
        <v>18716</v>
      </c>
      <c r="F2623" s="5" t="s">
        <v>72</v>
      </c>
      <c r="G2623" s="5" t="s">
        <v>18717</v>
      </c>
      <c r="H2623" s="6" t="s">
        <v>18718</v>
      </c>
      <c r="K2623" s="5" t="s">
        <v>18713</v>
      </c>
    </row>
    <row r="2624">
      <c r="A2624" s="4">
        <v>45534.34081577546</v>
      </c>
      <c r="B2624" s="5" t="s">
        <v>34</v>
      </c>
      <c r="D2624" s="5" t="s">
        <v>9020</v>
      </c>
      <c r="E2624" s="5" t="s">
        <v>18721</v>
      </c>
      <c r="F2624" s="5" t="s">
        <v>375</v>
      </c>
      <c r="G2624" s="5" t="s">
        <v>18722</v>
      </c>
      <c r="H2624" s="6" t="s">
        <v>18723</v>
      </c>
      <c r="K2624" s="5" t="s">
        <v>18713</v>
      </c>
    </row>
    <row r="2625">
      <c r="A2625" s="4">
        <v>45534.34081616898</v>
      </c>
      <c r="B2625" s="5" t="s">
        <v>34</v>
      </c>
      <c r="D2625" s="5" t="s">
        <v>35</v>
      </c>
      <c r="E2625" s="5" t="s">
        <v>18727</v>
      </c>
      <c r="F2625" s="5" t="s">
        <v>72</v>
      </c>
      <c r="G2625" s="5" t="s">
        <v>18728</v>
      </c>
      <c r="H2625" s="6" t="s">
        <v>18729</v>
      </c>
      <c r="K2625" s="5" t="s">
        <v>18713</v>
      </c>
    </row>
    <row r="2626">
      <c r="A2626" s="4">
        <v>45534.34081701389</v>
      </c>
      <c r="B2626" s="5" t="s">
        <v>34</v>
      </c>
      <c r="D2626" s="5" t="s">
        <v>267</v>
      </c>
      <c r="E2626" s="5" t="s">
        <v>18732</v>
      </c>
      <c r="F2626" s="5" t="s">
        <v>212</v>
      </c>
      <c r="G2626" s="5" t="s">
        <v>18733</v>
      </c>
      <c r="H2626" s="6" t="s">
        <v>18734</v>
      </c>
      <c r="K2626" s="5" t="s">
        <v>18713</v>
      </c>
    </row>
    <row r="2627">
      <c r="A2627" s="4">
        <v>45534.34082333333</v>
      </c>
      <c r="B2627" s="5" t="s">
        <v>19</v>
      </c>
      <c r="C2627" s="5" t="s">
        <v>20</v>
      </c>
      <c r="E2627" s="5" t="s">
        <v>18737</v>
      </c>
      <c r="F2627" s="5" t="s">
        <v>120</v>
      </c>
      <c r="G2627" s="5" t="s">
        <v>18738</v>
      </c>
      <c r="H2627" s="6" t="s">
        <v>18739</v>
      </c>
      <c r="K2627" s="5" t="s">
        <v>18713</v>
      </c>
    </row>
    <row r="2628">
      <c r="A2628" s="4">
        <v>45534.34083168981</v>
      </c>
      <c r="B2628" s="5" t="s">
        <v>34</v>
      </c>
      <c r="D2628" s="5" t="s">
        <v>12978</v>
      </c>
      <c r="E2628" s="5" t="s">
        <v>18742</v>
      </c>
      <c r="F2628" s="5" t="s">
        <v>715</v>
      </c>
      <c r="G2628" s="5" t="s">
        <v>18743</v>
      </c>
      <c r="H2628" s="6" t="s">
        <v>18744</v>
      </c>
      <c r="K2628" s="5" t="s">
        <v>18713</v>
      </c>
    </row>
    <row r="2629">
      <c r="A2629" s="4">
        <v>45534.34083170139</v>
      </c>
      <c r="B2629" s="5" t="s">
        <v>34</v>
      </c>
      <c r="D2629" s="5" t="s">
        <v>1206</v>
      </c>
      <c r="E2629" s="5" t="s">
        <v>18748</v>
      </c>
      <c r="F2629" s="5" t="s">
        <v>37</v>
      </c>
      <c r="G2629" s="5" t="s">
        <v>18749</v>
      </c>
      <c r="H2629" s="6" t="s">
        <v>18750</v>
      </c>
      <c r="K2629" s="5" t="s">
        <v>18713</v>
      </c>
    </row>
    <row r="2630">
      <c r="A2630" s="4">
        <v>45534.34083428241</v>
      </c>
      <c r="B2630" s="5" t="s">
        <v>34</v>
      </c>
      <c r="D2630" s="5" t="s">
        <v>4775</v>
      </c>
      <c r="E2630" s="5" t="s">
        <v>18754</v>
      </c>
      <c r="F2630" s="5" t="s">
        <v>212</v>
      </c>
      <c r="G2630" s="5" t="s">
        <v>18755</v>
      </c>
      <c r="H2630" s="6" t="s">
        <v>18756</v>
      </c>
      <c r="K2630" s="5" t="s">
        <v>18713</v>
      </c>
    </row>
    <row r="2631">
      <c r="A2631" s="4">
        <v>45534.34084761574</v>
      </c>
      <c r="B2631" s="5" t="s">
        <v>34</v>
      </c>
      <c r="D2631" s="5" t="s">
        <v>2903</v>
      </c>
      <c r="E2631" s="5" t="s">
        <v>18759</v>
      </c>
      <c r="F2631" s="5" t="s">
        <v>212</v>
      </c>
      <c r="G2631" s="5" t="s">
        <v>18760</v>
      </c>
      <c r="H2631" s="6" t="s">
        <v>18761</v>
      </c>
      <c r="K2631" s="5" t="s">
        <v>18713</v>
      </c>
    </row>
    <row r="2632">
      <c r="A2632" s="4">
        <v>45534.34084778935</v>
      </c>
      <c r="B2632" s="5" t="s">
        <v>34</v>
      </c>
      <c r="D2632" s="5" t="s">
        <v>6232</v>
      </c>
      <c r="E2632" s="5" t="s">
        <v>18764</v>
      </c>
      <c r="F2632" s="5" t="s">
        <v>715</v>
      </c>
      <c r="G2632" s="5" t="s">
        <v>18765</v>
      </c>
      <c r="H2632" s="6" t="s">
        <v>18766</v>
      </c>
      <c r="K2632" s="5" t="s">
        <v>18713</v>
      </c>
    </row>
    <row r="2633">
      <c r="A2633" s="4">
        <v>45534.34084993055</v>
      </c>
      <c r="B2633" s="5" t="s">
        <v>34</v>
      </c>
      <c r="D2633" s="5" t="s">
        <v>9020</v>
      </c>
      <c r="E2633" s="5" t="s">
        <v>18769</v>
      </c>
      <c r="F2633" s="5" t="s">
        <v>524</v>
      </c>
      <c r="G2633" s="5" t="s">
        <v>18770</v>
      </c>
      <c r="H2633" s="6" t="s">
        <v>18771</v>
      </c>
      <c r="K2633" s="5" t="s">
        <v>18713</v>
      </c>
    </row>
    <row r="2634">
      <c r="A2634" s="4">
        <v>45534.340852071764</v>
      </c>
      <c r="B2634" s="5" t="s">
        <v>34</v>
      </c>
      <c r="D2634" s="5" t="s">
        <v>4775</v>
      </c>
      <c r="E2634" s="5" t="s">
        <v>18774</v>
      </c>
      <c r="F2634" s="5" t="s">
        <v>37</v>
      </c>
      <c r="G2634" s="5" t="s">
        <v>18775</v>
      </c>
      <c r="H2634" s="6" t="s">
        <v>18776</v>
      </c>
      <c r="K2634" s="5" t="s">
        <v>18713</v>
      </c>
    </row>
    <row r="2635">
      <c r="A2635" s="4">
        <v>45534.340854803246</v>
      </c>
      <c r="B2635" s="5" t="s">
        <v>34</v>
      </c>
      <c r="D2635" s="5" t="s">
        <v>4775</v>
      </c>
      <c r="E2635" s="5" t="s">
        <v>18779</v>
      </c>
      <c r="F2635" s="5" t="s">
        <v>108</v>
      </c>
      <c r="G2635" s="5" t="s">
        <v>18780</v>
      </c>
      <c r="H2635" s="6" t="s">
        <v>18781</v>
      </c>
      <c r="K2635" s="5" t="s">
        <v>18782</v>
      </c>
    </row>
    <row r="2636">
      <c r="A2636" s="4">
        <v>45534.34086523148</v>
      </c>
      <c r="B2636" s="5" t="s">
        <v>34</v>
      </c>
      <c r="D2636" s="5" t="s">
        <v>9020</v>
      </c>
      <c r="E2636" s="5" t="s">
        <v>18786</v>
      </c>
      <c r="F2636" s="5" t="s">
        <v>37</v>
      </c>
      <c r="G2636" s="5" t="s">
        <v>18787</v>
      </c>
      <c r="H2636" s="6" t="s">
        <v>18788</v>
      </c>
      <c r="K2636" s="5" t="s">
        <v>18782</v>
      </c>
    </row>
    <row r="2637">
      <c r="A2637" s="4">
        <v>45534.340866238424</v>
      </c>
      <c r="B2637" s="5" t="s">
        <v>34</v>
      </c>
      <c r="D2637" s="5" t="s">
        <v>1206</v>
      </c>
      <c r="E2637" s="5" t="s">
        <v>18791</v>
      </c>
      <c r="F2637" s="5" t="s">
        <v>212</v>
      </c>
      <c r="G2637" s="5" t="s">
        <v>18792</v>
      </c>
      <c r="H2637" s="6" t="s">
        <v>18793</v>
      </c>
      <c r="K2637" s="5" t="s">
        <v>18782</v>
      </c>
    </row>
    <row r="2638">
      <c r="A2638" s="4">
        <v>45534.34086684028</v>
      </c>
      <c r="B2638" s="5" t="s">
        <v>34</v>
      </c>
      <c r="D2638" s="5" t="s">
        <v>12978</v>
      </c>
      <c r="E2638" s="5" t="s">
        <v>18796</v>
      </c>
      <c r="F2638" s="5" t="s">
        <v>108</v>
      </c>
      <c r="G2638" s="5" t="s">
        <v>18797</v>
      </c>
      <c r="H2638" s="6" t="s">
        <v>18798</v>
      </c>
      <c r="K2638" s="5" t="s">
        <v>18782</v>
      </c>
    </row>
    <row r="2639">
      <c r="A2639" s="4">
        <v>45534.34086737268</v>
      </c>
      <c r="B2639" s="5" t="s">
        <v>34</v>
      </c>
      <c r="D2639" s="5" t="s">
        <v>35</v>
      </c>
      <c r="E2639" s="5" t="s">
        <v>18801</v>
      </c>
      <c r="F2639" s="5" t="s">
        <v>37</v>
      </c>
      <c r="G2639" s="5" t="s">
        <v>18802</v>
      </c>
      <c r="H2639" s="6" t="s">
        <v>18803</v>
      </c>
      <c r="K2639" s="5" t="s">
        <v>18782</v>
      </c>
    </row>
    <row r="2640">
      <c r="A2640" s="4">
        <v>45534.34087056713</v>
      </c>
      <c r="B2640" s="5" t="s">
        <v>34</v>
      </c>
      <c r="D2640" s="5" t="s">
        <v>996</v>
      </c>
      <c r="E2640" s="5" t="s">
        <v>18806</v>
      </c>
      <c r="F2640" s="5" t="s">
        <v>212</v>
      </c>
      <c r="G2640" s="5" t="s">
        <v>18807</v>
      </c>
      <c r="H2640" s="6" t="s">
        <v>18808</v>
      </c>
      <c r="K2640" s="5" t="s">
        <v>18782</v>
      </c>
    </row>
    <row r="2641">
      <c r="A2641" s="4">
        <v>45534.34087733796</v>
      </c>
      <c r="B2641" s="5" t="s">
        <v>34</v>
      </c>
      <c r="D2641" s="5" t="s">
        <v>10444</v>
      </c>
      <c r="E2641" s="5" t="s">
        <v>18811</v>
      </c>
      <c r="F2641" s="5" t="s">
        <v>37</v>
      </c>
      <c r="G2641" s="5" t="s">
        <v>18812</v>
      </c>
      <c r="H2641" s="6" t="s">
        <v>18813</v>
      </c>
      <c r="K2641" s="5" t="s">
        <v>18782</v>
      </c>
    </row>
    <row r="2642">
      <c r="A2642" s="4">
        <v>45534.34087837963</v>
      </c>
      <c r="B2642" s="5" t="s">
        <v>34</v>
      </c>
      <c r="D2642" s="5" t="s">
        <v>1206</v>
      </c>
      <c r="E2642" s="5" t="s">
        <v>18817</v>
      </c>
      <c r="F2642" s="5" t="s">
        <v>212</v>
      </c>
      <c r="G2642" s="5" t="s">
        <v>18818</v>
      </c>
      <c r="H2642" s="6" t="s">
        <v>18819</v>
      </c>
      <c r="K2642" s="5" t="s">
        <v>18782</v>
      </c>
    </row>
    <row r="2643">
      <c r="A2643" s="4">
        <v>45534.34087996528</v>
      </c>
      <c r="B2643" s="5" t="s">
        <v>34</v>
      </c>
      <c r="D2643" s="5" t="s">
        <v>1206</v>
      </c>
      <c r="E2643" s="5" t="s">
        <v>18822</v>
      </c>
      <c r="F2643" s="5" t="s">
        <v>108</v>
      </c>
      <c r="G2643" s="5" t="s">
        <v>18823</v>
      </c>
      <c r="H2643" s="6" t="s">
        <v>18824</v>
      </c>
      <c r="K2643" s="5" t="s">
        <v>18782</v>
      </c>
    </row>
    <row r="2644">
      <c r="A2644" s="4">
        <v>45534.34088744213</v>
      </c>
      <c r="B2644" s="5" t="s">
        <v>34</v>
      </c>
      <c r="D2644" s="5" t="s">
        <v>4775</v>
      </c>
      <c r="E2644" s="5" t="s">
        <v>18827</v>
      </c>
      <c r="F2644" s="5" t="s">
        <v>37</v>
      </c>
      <c r="G2644" s="5" t="s">
        <v>18828</v>
      </c>
      <c r="H2644" s="6" t="s">
        <v>18829</v>
      </c>
      <c r="K2644" s="5" t="s">
        <v>18782</v>
      </c>
    </row>
    <row r="2645">
      <c r="A2645" s="4">
        <v>45534.340887638886</v>
      </c>
      <c r="B2645" s="5" t="s">
        <v>34</v>
      </c>
      <c r="D2645" s="5" t="s">
        <v>996</v>
      </c>
      <c r="E2645" s="5" t="s">
        <v>18832</v>
      </c>
      <c r="F2645" s="5" t="s">
        <v>212</v>
      </c>
      <c r="G2645" s="5" t="s">
        <v>18833</v>
      </c>
      <c r="H2645" s="6" t="s">
        <v>18834</v>
      </c>
      <c r="K2645" s="5" t="s">
        <v>18782</v>
      </c>
    </row>
    <row r="2646">
      <c r="A2646" s="4">
        <v>45534.34088834491</v>
      </c>
      <c r="B2646" s="5" t="s">
        <v>34</v>
      </c>
      <c r="D2646" s="5" t="s">
        <v>10444</v>
      </c>
      <c r="E2646" s="5" t="s">
        <v>18837</v>
      </c>
      <c r="F2646" s="5" t="s">
        <v>212</v>
      </c>
      <c r="G2646" s="5" t="s">
        <v>18838</v>
      </c>
      <c r="H2646" s="6" t="s">
        <v>18839</v>
      </c>
      <c r="K2646" s="5" t="s">
        <v>18782</v>
      </c>
    </row>
    <row r="2647">
      <c r="A2647" s="4">
        <v>45534.340888923616</v>
      </c>
      <c r="B2647" s="5" t="s">
        <v>34</v>
      </c>
      <c r="D2647" s="5" t="s">
        <v>7858</v>
      </c>
      <c r="E2647" s="5" t="s">
        <v>18842</v>
      </c>
      <c r="F2647" s="5" t="s">
        <v>524</v>
      </c>
      <c r="G2647" s="5" t="s">
        <v>18843</v>
      </c>
      <c r="H2647" s="6" t="s">
        <v>18844</v>
      </c>
      <c r="K2647" s="5" t="s">
        <v>18782</v>
      </c>
    </row>
    <row r="2648">
      <c r="A2648" s="4">
        <v>45534.34089065972</v>
      </c>
      <c r="B2648" s="5" t="s">
        <v>34</v>
      </c>
      <c r="D2648" s="5" t="s">
        <v>35</v>
      </c>
      <c r="E2648" s="5" t="s">
        <v>18848</v>
      </c>
      <c r="F2648" s="5" t="s">
        <v>212</v>
      </c>
      <c r="G2648" s="5" t="s">
        <v>18849</v>
      </c>
      <c r="H2648" s="6" t="s">
        <v>18850</v>
      </c>
      <c r="K2648" s="5" t="s">
        <v>18782</v>
      </c>
    </row>
    <row r="2649">
      <c r="A2649" s="4">
        <v>45534.340896747686</v>
      </c>
      <c r="B2649" s="5" t="s">
        <v>34</v>
      </c>
      <c r="D2649" s="5" t="s">
        <v>522</v>
      </c>
      <c r="E2649" s="5" t="s">
        <v>18853</v>
      </c>
      <c r="F2649" s="5" t="s">
        <v>72</v>
      </c>
      <c r="G2649" s="5" t="s">
        <v>18854</v>
      </c>
      <c r="H2649" s="6" t="s">
        <v>18855</v>
      </c>
      <c r="K2649" s="5" t="s">
        <v>18782</v>
      </c>
    </row>
    <row r="2650">
      <c r="A2650" s="4">
        <v>45534.3408802662</v>
      </c>
      <c r="B2650" s="5" t="s">
        <v>34</v>
      </c>
      <c r="D2650" s="5" t="s">
        <v>9020</v>
      </c>
      <c r="E2650" s="5" t="s">
        <v>18858</v>
      </c>
      <c r="F2650" s="5" t="s">
        <v>37</v>
      </c>
      <c r="G2650" s="5" t="s">
        <v>18859</v>
      </c>
      <c r="H2650" s="6" t="s">
        <v>18860</v>
      </c>
      <c r="K2650" s="5" t="s">
        <v>18782</v>
      </c>
    </row>
    <row r="2651">
      <c r="A2651" s="4">
        <v>45534.34089392361</v>
      </c>
      <c r="B2651" s="5" t="s">
        <v>34</v>
      </c>
      <c r="D2651" s="5" t="s">
        <v>1206</v>
      </c>
      <c r="E2651" s="5" t="s">
        <v>18863</v>
      </c>
      <c r="F2651" s="5" t="s">
        <v>72</v>
      </c>
      <c r="G2651" s="5" t="s">
        <v>18864</v>
      </c>
      <c r="H2651" s="6" t="s">
        <v>18865</v>
      </c>
      <c r="K2651" s="5" t="s">
        <v>18782</v>
      </c>
    </row>
    <row r="2652">
      <c r="A2652" s="4">
        <v>45534.34089475694</v>
      </c>
      <c r="B2652" s="5" t="s">
        <v>34</v>
      </c>
      <c r="D2652" s="5" t="s">
        <v>9020</v>
      </c>
      <c r="E2652" s="5" t="s">
        <v>18868</v>
      </c>
      <c r="F2652" s="5" t="s">
        <v>120</v>
      </c>
      <c r="G2652" s="5" t="s">
        <v>18869</v>
      </c>
      <c r="H2652" s="6" t="s">
        <v>18870</v>
      </c>
      <c r="K2652" s="5" t="s">
        <v>18782</v>
      </c>
    </row>
    <row r="2653">
      <c r="A2653" s="4">
        <v>45534.34090200231</v>
      </c>
      <c r="B2653" s="5" t="s">
        <v>34</v>
      </c>
      <c r="D2653" s="5" t="s">
        <v>1206</v>
      </c>
      <c r="E2653" s="5" t="s">
        <v>18874</v>
      </c>
      <c r="F2653" s="5" t="s">
        <v>18875</v>
      </c>
      <c r="G2653" s="5" t="s">
        <v>18876</v>
      </c>
      <c r="H2653" s="6" t="s">
        <v>18877</v>
      </c>
      <c r="K2653" s="5" t="s">
        <v>18782</v>
      </c>
    </row>
    <row r="2654">
      <c r="A2654" s="4">
        <v>45534.34090952546</v>
      </c>
      <c r="B2654" s="5" t="s">
        <v>34</v>
      </c>
      <c r="D2654" s="5" t="s">
        <v>1692</v>
      </c>
      <c r="E2654" s="5" t="s">
        <v>18880</v>
      </c>
      <c r="F2654" s="5" t="s">
        <v>37</v>
      </c>
      <c r="G2654" s="5" t="s">
        <v>18881</v>
      </c>
      <c r="H2654" s="6" t="s">
        <v>18882</v>
      </c>
      <c r="K2654" s="5" t="s">
        <v>18782</v>
      </c>
    </row>
    <row r="2655">
      <c r="A2655" s="4">
        <v>45534.34091724537</v>
      </c>
      <c r="B2655" s="5" t="s">
        <v>34</v>
      </c>
      <c r="D2655" s="5" t="s">
        <v>267</v>
      </c>
      <c r="E2655" s="5" t="s">
        <v>18885</v>
      </c>
      <c r="F2655" s="5" t="s">
        <v>212</v>
      </c>
      <c r="G2655" s="5" t="s">
        <v>18886</v>
      </c>
      <c r="H2655" s="6" t="s">
        <v>18887</v>
      </c>
      <c r="K2655" s="5" t="s">
        <v>18782</v>
      </c>
    </row>
    <row r="2656">
      <c r="A2656" s="4">
        <v>45534.34092991898</v>
      </c>
      <c r="B2656" s="5" t="s">
        <v>19</v>
      </c>
      <c r="C2656" s="5" t="s">
        <v>292</v>
      </c>
      <c r="E2656" s="5" t="s">
        <v>18890</v>
      </c>
      <c r="F2656" s="5" t="s">
        <v>37</v>
      </c>
      <c r="G2656" s="5" t="s">
        <v>18891</v>
      </c>
      <c r="H2656" s="6" t="s">
        <v>18892</v>
      </c>
      <c r="K2656" s="5" t="s">
        <v>18782</v>
      </c>
    </row>
    <row r="2657">
      <c r="A2657" s="4">
        <v>45534.34093125</v>
      </c>
      <c r="B2657" s="5" t="s">
        <v>34</v>
      </c>
      <c r="D2657" s="5" t="s">
        <v>9394</v>
      </c>
      <c r="E2657" s="5" t="s">
        <v>18895</v>
      </c>
      <c r="F2657" s="5" t="s">
        <v>199</v>
      </c>
      <c r="G2657" s="5" t="s">
        <v>18896</v>
      </c>
      <c r="H2657" s="6" t="s">
        <v>18897</v>
      </c>
      <c r="K2657" s="5" t="s">
        <v>18782</v>
      </c>
    </row>
    <row r="2658">
      <c r="A2658" s="4">
        <v>45534.34093449074</v>
      </c>
      <c r="B2658" s="5" t="s">
        <v>19</v>
      </c>
      <c r="C2658" s="5" t="s">
        <v>11593</v>
      </c>
      <c r="E2658" s="5" t="s">
        <v>18901</v>
      </c>
      <c r="F2658" s="5" t="s">
        <v>212</v>
      </c>
      <c r="G2658" s="5" t="s">
        <v>18902</v>
      </c>
      <c r="H2658" s="6" t="s">
        <v>18903</v>
      </c>
      <c r="K2658" s="5" t="s">
        <v>18782</v>
      </c>
    </row>
    <row r="2659">
      <c r="A2659" s="4">
        <v>45534.34093628472</v>
      </c>
      <c r="B2659" s="5" t="s">
        <v>34</v>
      </c>
      <c r="D2659" s="5" t="s">
        <v>4775</v>
      </c>
      <c r="E2659" s="5" t="s">
        <v>18907</v>
      </c>
      <c r="F2659" s="5" t="s">
        <v>212</v>
      </c>
      <c r="G2659" s="5" t="s">
        <v>18908</v>
      </c>
      <c r="H2659" s="6" t="s">
        <v>18909</v>
      </c>
      <c r="K2659" s="5" t="s">
        <v>18782</v>
      </c>
    </row>
    <row r="2660">
      <c r="A2660" s="4">
        <v>45534.340918946764</v>
      </c>
      <c r="B2660" s="5" t="s">
        <v>19</v>
      </c>
      <c r="C2660" s="5" t="s">
        <v>315</v>
      </c>
      <c r="E2660" s="5" t="s">
        <v>18912</v>
      </c>
      <c r="F2660" s="5" t="s">
        <v>524</v>
      </c>
      <c r="G2660" s="5" t="s">
        <v>18913</v>
      </c>
      <c r="H2660" s="6" t="s">
        <v>18914</v>
      </c>
      <c r="K2660" s="5" t="s">
        <v>18782</v>
      </c>
    </row>
    <row r="2661">
      <c r="A2661" s="4">
        <v>45534.34094967593</v>
      </c>
      <c r="B2661" s="5" t="s">
        <v>34</v>
      </c>
      <c r="D2661" s="5" t="s">
        <v>35</v>
      </c>
      <c r="E2661" s="5" t="s">
        <v>18917</v>
      </c>
      <c r="F2661" s="5" t="s">
        <v>5859</v>
      </c>
      <c r="G2661" s="5" t="s">
        <v>18918</v>
      </c>
      <c r="H2661" s="6" t="s">
        <v>18919</v>
      </c>
      <c r="K2661" s="5" t="s">
        <v>18782</v>
      </c>
    </row>
    <row r="2662">
      <c r="A2662" s="4">
        <v>45534.340957430555</v>
      </c>
      <c r="B2662" s="5" t="s">
        <v>34</v>
      </c>
      <c r="D2662" s="5" t="s">
        <v>9020</v>
      </c>
      <c r="E2662" s="5" t="s">
        <v>18922</v>
      </c>
      <c r="F2662" s="5" t="s">
        <v>37</v>
      </c>
      <c r="G2662" s="5" t="s">
        <v>18923</v>
      </c>
      <c r="H2662" s="6" t="s">
        <v>18924</v>
      </c>
      <c r="K2662" s="5" t="s">
        <v>18782</v>
      </c>
    </row>
    <row r="2663">
      <c r="A2663" s="4">
        <v>45534.34097225695</v>
      </c>
      <c r="B2663" s="5" t="s">
        <v>34</v>
      </c>
      <c r="D2663" s="5" t="s">
        <v>35</v>
      </c>
      <c r="E2663" s="5" t="s">
        <v>18928</v>
      </c>
      <c r="F2663" s="5" t="s">
        <v>375</v>
      </c>
      <c r="G2663" s="5" t="s">
        <v>18929</v>
      </c>
      <c r="H2663" s="6" t="s">
        <v>18930</v>
      </c>
      <c r="K2663" s="5" t="s">
        <v>18782</v>
      </c>
    </row>
    <row r="2664">
      <c r="A2664" s="4">
        <v>45534.34097715278</v>
      </c>
      <c r="B2664" s="5" t="s">
        <v>34</v>
      </c>
      <c r="D2664" s="5" t="s">
        <v>1768</v>
      </c>
      <c r="E2664" s="5" t="s">
        <v>18933</v>
      </c>
      <c r="F2664" s="5" t="s">
        <v>72</v>
      </c>
      <c r="G2664" s="5" t="s">
        <v>18934</v>
      </c>
      <c r="H2664" s="6" t="s">
        <v>18935</v>
      </c>
      <c r="K2664" s="5" t="s">
        <v>18782</v>
      </c>
    </row>
    <row r="2665">
      <c r="A2665" s="4">
        <v>45534.34097736111</v>
      </c>
      <c r="B2665" s="5" t="s">
        <v>34</v>
      </c>
      <c r="D2665" s="5" t="s">
        <v>1768</v>
      </c>
      <c r="E2665" s="5" t="s">
        <v>18938</v>
      </c>
      <c r="F2665" s="5" t="s">
        <v>108</v>
      </c>
      <c r="G2665" s="5" t="s">
        <v>18939</v>
      </c>
      <c r="H2665" s="6" t="s">
        <v>18940</v>
      </c>
      <c r="K2665" s="5" t="s">
        <v>18782</v>
      </c>
    </row>
    <row r="2666">
      <c r="A2666" s="4">
        <v>45534.340977824075</v>
      </c>
      <c r="B2666" s="5" t="s">
        <v>34</v>
      </c>
      <c r="D2666" s="5" t="s">
        <v>1206</v>
      </c>
      <c r="E2666" s="5" t="s">
        <v>18943</v>
      </c>
      <c r="F2666" s="5" t="s">
        <v>199</v>
      </c>
      <c r="G2666" s="5" t="s">
        <v>18944</v>
      </c>
      <c r="H2666" s="6" t="s">
        <v>18945</v>
      </c>
      <c r="K2666" s="5" t="s">
        <v>18782</v>
      </c>
    </row>
    <row r="2667">
      <c r="A2667" s="4">
        <v>45534.34097774306</v>
      </c>
      <c r="B2667" s="5" t="s">
        <v>34</v>
      </c>
      <c r="D2667" s="5" t="s">
        <v>12978</v>
      </c>
      <c r="E2667" s="5" t="s">
        <v>18948</v>
      </c>
      <c r="F2667" s="5" t="s">
        <v>37</v>
      </c>
      <c r="G2667" s="5" t="s">
        <v>18949</v>
      </c>
      <c r="H2667" s="6" t="s">
        <v>18950</v>
      </c>
      <c r="K2667" s="5" t="s">
        <v>18782</v>
      </c>
    </row>
    <row r="2668">
      <c r="A2668" s="4">
        <v>45534.34097981481</v>
      </c>
      <c r="B2668" s="5" t="s">
        <v>34</v>
      </c>
      <c r="D2668" s="5" t="s">
        <v>1206</v>
      </c>
      <c r="E2668" s="5" t="s">
        <v>18954</v>
      </c>
      <c r="F2668" s="5" t="s">
        <v>37</v>
      </c>
      <c r="G2668" s="5" t="s">
        <v>18955</v>
      </c>
      <c r="H2668" s="6" t="s">
        <v>18956</v>
      </c>
      <c r="K2668" s="5" t="s">
        <v>18782</v>
      </c>
    </row>
    <row r="2669">
      <c r="A2669" s="4">
        <v>45534.34098111111</v>
      </c>
      <c r="B2669" s="5" t="s">
        <v>34</v>
      </c>
      <c r="D2669" s="5" t="s">
        <v>604</v>
      </c>
      <c r="E2669" s="5" t="s">
        <v>15671</v>
      </c>
      <c r="F2669" s="5" t="s">
        <v>212</v>
      </c>
      <c r="G2669" s="5" t="s">
        <v>18959</v>
      </c>
      <c r="H2669" s="6" t="s">
        <v>18960</v>
      </c>
      <c r="K2669" s="5" t="s">
        <v>18782</v>
      </c>
    </row>
    <row r="2670">
      <c r="A2670" s="4">
        <v>45534.34098710648</v>
      </c>
      <c r="B2670" s="5" t="s">
        <v>34</v>
      </c>
      <c r="D2670" s="5" t="s">
        <v>12978</v>
      </c>
      <c r="E2670" s="5" t="s">
        <v>18963</v>
      </c>
      <c r="F2670" s="5" t="s">
        <v>715</v>
      </c>
      <c r="G2670" s="5" t="s">
        <v>18964</v>
      </c>
      <c r="H2670" s="6" t="s">
        <v>18965</v>
      </c>
      <c r="K2670" s="5" t="s">
        <v>18782</v>
      </c>
    </row>
    <row r="2671">
      <c r="A2671" s="4">
        <v>45534.3409975463</v>
      </c>
      <c r="B2671" s="5" t="s">
        <v>34</v>
      </c>
      <c r="D2671" s="5" t="s">
        <v>9020</v>
      </c>
      <c r="E2671" s="5" t="s">
        <v>18969</v>
      </c>
      <c r="F2671" s="5" t="s">
        <v>37</v>
      </c>
      <c r="G2671" s="5" t="s">
        <v>18970</v>
      </c>
      <c r="H2671" s="6" t="s">
        <v>18971</v>
      </c>
      <c r="K2671" s="5" t="s">
        <v>18782</v>
      </c>
    </row>
    <row r="2672">
      <c r="A2672" s="4">
        <v>45534.34099872685</v>
      </c>
      <c r="B2672" s="5" t="s">
        <v>34</v>
      </c>
      <c r="D2672" s="5" t="s">
        <v>1768</v>
      </c>
      <c r="E2672" s="5" t="s">
        <v>18974</v>
      </c>
      <c r="F2672" s="5" t="s">
        <v>212</v>
      </c>
      <c r="G2672" s="5" t="s">
        <v>18975</v>
      </c>
      <c r="H2672" s="6" t="s">
        <v>18976</v>
      </c>
      <c r="K2672" s="5" t="s">
        <v>18782</v>
      </c>
    </row>
    <row r="2673">
      <c r="A2673" s="4">
        <v>45534.34099928241</v>
      </c>
      <c r="B2673" s="5" t="s">
        <v>34</v>
      </c>
      <c r="D2673" s="5" t="s">
        <v>35</v>
      </c>
      <c r="E2673" s="5" t="s">
        <v>18979</v>
      </c>
      <c r="F2673" s="5" t="s">
        <v>37</v>
      </c>
      <c r="G2673" s="5" t="s">
        <v>18980</v>
      </c>
      <c r="H2673" s="6" t="s">
        <v>18981</v>
      </c>
      <c r="K2673" s="5" t="s">
        <v>18782</v>
      </c>
    </row>
    <row r="2674">
      <c r="A2674" s="4">
        <v>45534.34099978009</v>
      </c>
      <c r="B2674" s="5" t="s">
        <v>34</v>
      </c>
      <c r="D2674" s="5" t="s">
        <v>1206</v>
      </c>
      <c r="E2674" s="5" t="s">
        <v>18984</v>
      </c>
      <c r="F2674" s="5" t="s">
        <v>375</v>
      </c>
      <c r="G2674" s="5" t="s">
        <v>18985</v>
      </c>
      <c r="H2674" s="6" t="s">
        <v>18986</v>
      </c>
      <c r="K2674" s="5" t="s">
        <v>18782</v>
      </c>
    </row>
    <row r="2675">
      <c r="A2675" s="4">
        <v>45534.34100172453</v>
      </c>
      <c r="B2675" s="5" t="s">
        <v>34</v>
      </c>
      <c r="D2675" s="5" t="s">
        <v>35</v>
      </c>
      <c r="E2675" s="5" t="s">
        <v>18989</v>
      </c>
      <c r="F2675" s="5" t="s">
        <v>375</v>
      </c>
      <c r="G2675" s="5" t="s">
        <v>18990</v>
      </c>
      <c r="H2675" s="6" t="s">
        <v>18991</v>
      </c>
      <c r="K2675" s="5" t="s">
        <v>18782</v>
      </c>
    </row>
    <row r="2676">
      <c r="A2676" s="4">
        <v>45534.34100810185</v>
      </c>
      <c r="B2676" s="5" t="s">
        <v>34</v>
      </c>
      <c r="D2676" s="5" t="s">
        <v>1206</v>
      </c>
      <c r="E2676" s="5" t="s">
        <v>18995</v>
      </c>
      <c r="F2676" s="5" t="s">
        <v>212</v>
      </c>
      <c r="G2676" s="5" t="s">
        <v>18996</v>
      </c>
      <c r="H2676" s="6" t="s">
        <v>18997</v>
      </c>
      <c r="K2676" s="5" t="s">
        <v>18782</v>
      </c>
    </row>
    <row r="2677">
      <c r="A2677" s="4">
        <v>45534.34101186343</v>
      </c>
      <c r="B2677" s="5" t="s">
        <v>19</v>
      </c>
      <c r="C2677" s="5" t="s">
        <v>3301</v>
      </c>
      <c r="E2677" s="5" t="s">
        <v>19000</v>
      </c>
      <c r="F2677" s="5" t="s">
        <v>37</v>
      </c>
      <c r="G2677" s="5" t="s">
        <v>19001</v>
      </c>
      <c r="H2677" s="6" t="s">
        <v>19002</v>
      </c>
      <c r="K2677" s="5" t="s">
        <v>18782</v>
      </c>
    </row>
    <row r="2678">
      <c r="A2678" s="4">
        <v>45534.34102636574</v>
      </c>
      <c r="B2678" s="5" t="s">
        <v>34</v>
      </c>
      <c r="D2678" s="5" t="s">
        <v>6232</v>
      </c>
      <c r="E2678" s="5" t="s">
        <v>19005</v>
      </c>
      <c r="F2678" s="5" t="s">
        <v>212</v>
      </c>
      <c r="G2678" s="5" t="s">
        <v>19006</v>
      </c>
      <c r="H2678" s="6" t="s">
        <v>19007</v>
      </c>
      <c r="K2678" s="5" t="s">
        <v>18782</v>
      </c>
    </row>
    <row r="2679">
      <c r="A2679" s="4">
        <v>45534.34102704861</v>
      </c>
      <c r="B2679" s="5" t="s">
        <v>34</v>
      </c>
      <c r="D2679" s="5" t="s">
        <v>1768</v>
      </c>
      <c r="E2679" s="5" t="s">
        <v>19011</v>
      </c>
      <c r="F2679" s="5" t="s">
        <v>108</v>
      </c>
      <c r="G2679" s="5" t="s">
        <v>19012</v>
      </c>
      <c r="H2679" s="6" t="s">
        <v>19013</v>
      </c>
      <c r="K2679" s="5" t="s">
        <v>18782</v>
      </c>
    </row>
    <row r="2680">
      <c r="A2680" s="4">
        <v>45534.34102939814</v>
      </c>
      <c r="B2680" s="5" t="s">
        <v>19</v>
      </c>
      <c r="C2680" s="5" t="s">
        <v>292</v>
      </c>
      <c r="E2680" s="5" t="s">
        <v>19016</v>
      </c>
      <c r="F2680" s="5" t="s">
        <v>37</v>
      </c>
      <c r="G2680" s="5" t="s">
        <v>19017</v>
      </c>
      <c r="H2680" s="6" t="s">
        <v>19018</v>
      </c>
      <c r="K2680" s="5" t="s">
        <v>18782</v>
      </c>
    </row>
    <row r="2681">
      <c r="A2681" s="4">
        <v>45534.34104453704</v>
      </c>
      <c r="B2681" s="5" t="s">
        <v>34</v>
      </c>
      <c r="D2681" s="5" t="s">
        <v>14313</v>
      </c>
      <c r="E2681" s="5" t="s">
        <v>19021</v>
      </c>
      <c r="F2681" s="5" t="s">
        <v>524</v>
      </c>
      <c r="G2681" s="5" t="s">
        <v>19022</v>
      </c>
      <c r="H2681" s="6" t="s">
        <v>19023</v>
      </c>
      <c r="K2681" s="5" t="s">
        <v>19024</v>
      </c>
    </row>
    <row r="2682">
      <c r="A2682" s="4">
        <v>45534.34105337963</v>
      </c>
      <c r="B2682" s="5" t="s">
        <v>34</v>
      </c>
      <c r="D2682" s="5" t="s">
        <v>4775</v>
      </c>
      <c r="E2682" s="5" t="s">
        <v>19027</v>
      </c>
      <c r="F2682" s="5" t="s">
        <v>375</v>
      </c>
      <c r="G2682" s="5" t="s">
        <v>19028</v>
      </c>
      <c r="H2682" s="6" t="s">
        <v>19029</v>
      </c>
      <c r="K2682" s="5" t="s">
        <v>19024</v>
      </c>
    </row>
    <row r="2683">
      <c r="A2683" s="4">
        <v>45534.34105476852</v>
      </c>
      <c r="B2683" s="5" t="s">
        <v>34</v>
      </c>
      <c r="D2683" s="5" t="s">
        <v>35</v>
      </c>
      <c r="E2683" s="5" t="s">
        <v>19033</v>
      </c>
      <c r="F2683" s="5" t="s">
        <v>212</v>
      </c>
      <c r="G2683" s="5" t="s">
        <v>19034</v>
      </c>
      <c r="H2683" s="6" t="s">
        <v>19035</v>
      </c>
      <c r="K2683" s="5" t="s">
        <v>19024</v>
      </c>
    </row>
    <row r="2684">
      <c r="A2684" s="4">
        <v>45534.341068090274</v>
      </c>
      <c r="B2684" s="5" t="s">
        <v>34</v>
      </c>
      <c r="D2684" s="5" t="s">
        <v>12978</v>
      </c>
      <c r="E2684" s="5" t="s">
        <v>19038</v>
      </c>
      <c r="F2684" s="5" t="s">
        <v>37</v>
      </c>
      <c r="G2684" s="5" t="s">
        <v>19039</v>
      </c>
      <c r="H2684" s="6" t="s">
        <v>19040</v>
      </c>
      <c r="K2684" s="5" t="s">
        <v>19024</v>
      </c>
    </row>
    <row r="2685">
      <c r="A2685" s="4">
        <v>45534.341069710645</v>
      </c>
      <c r="B2685" s="5" t="s">
        <v>34</v>
      </c>
      <c r="D2685" s="5" t="s">
        <v>1663</v>
      </c>
      <c r="E2685" s="5" t="s">
        <v>19043</v>
      </c>
      <c r="F2685" s="5" t="s">
        <v>72</v>
      </c>
      <c r="G2685" s="5" t="s">
        <v>19044</v>
      </c>
      <c r="H2685" s="6" t="s">
        <v>19045</v>
      </c>
      <c r="I2685" s="7" t="s">
        <v>19046</v>
      </c>
      <c r="J2685" s="8" t="str">
        <f>HYPERLINK("https://drive.google.com/file/d/1XImIbwWnxo2M-Cz-kJRQJiEtxF7othdp/view?usp=drivesdk","dr. PUPUT PUTRI SETYAWATI SERTIFIKAT BerAKHLAK")</f>
        <v>dr. PUPUT PUTRI SETYAWATI SERTIFIKAT BerAKHLAK</v>
      </c>
      <c r="K2685" s="5" t="s">
        <v>14929</v>
      </c>
      <c r="L2685" s="5" t="s">
        <v>19047</v>
      </c>
    </row>
    <row r="2686">
      <c r="A2686" s="4">
        <v>45534.34107313657</v>
      </c>
      <c r="B2686" s="5" t="s">
        <v>34</v>
      </c>
      <c r="D2686" s="5" t="s">
        <v>6232</v>
      </c>
      <c r="E2686" s="5" t="s">
        <v>19050</v>
      </c>
      <c r="F2686" s="5" t="s">
        <v>108</v>
      </c>
      <c r="G2686" s="5" t="s">
        <v>19051</v>
      </c>
      <c r="H2686" s="6" t="s">
        <v>19052</v>
      </c>
      <c r="K2686" s="5" t="s">
        <v>19053</v>
      </c>
    </row>
    <row r="2687">
      <c r="A2687" s="4">
        <v>45534.34103055556</v>
      </c>
      <c r="B2687" s="5" t="s">
        <v>19</v>
      </c>
      <c r="C2687" s="5" t="s">
        <v>20</v>
      </c>
      <c r="E2687" s="5" t="s">
        <v>19057</v>
      </c>
      <c r="F2687" s="5" t="s">
        <v>37</v>
      </c>
      <c r="G2687" s="5" t="s">
        <v>19058</v>
      </c>
      <c r="H2687" s="6" t="s">
        <v>19059</v>
      </c>
      <c r="K2687" s="5" t="s">
        <v>19053</v>
      </c>
    </row>
    <row r="2688">
      <c r="A2688" s="4">
        <v>45534.341054178236</v>
      </c>
      <c r="B2688" s="5" t="s">
        <v>34</v>
      </c>
      <c r="D2688" s="5" t="s">
        <v>1206</v>
      </c>
      <c r="E2688" s="5" t="s">
        <v>19062</v>
      </c>
      <c r="F2688" s="5" t="s">
        <v>212</v>
      </c>
      <c r="G2688" s="5" t="s">
        <v>19063</v>
      </c>
      <c r="H2688" s="6" t="s">
        <v>19064</v>
      </c>
      <c r="K2688" s="5" t="s">
        <v>19053</v>
      </c>
    </row>
    <row r="2689">
      <c r="A2689" s="4">
        <v>45534.34106987268</v>
      </c>
      <c r="B2689" s="5" t="s">
        <v>34</v>
      </c>
      <c r="D2689" s="5" t="s">
        <v>35</v>
      </c>
      <c r="E2689" s="5" t="s">
        <v>19067</v>
      </c>
      <c r="F2689" s="5" t="s">
        <v>37</v>
      </c>
      <c r="G2689" s="5" t="s">
        <v>19068</v>
      </c>
      <c r="H2689" s="6" t="s">
        <v>19069</v>
      </c>
      <c r="K2689" s="5" t="s">
        <v>19053</v>
      </c>
    </row>
    <row r="2690">
      <c r="A2690" s="4">
        <v>45534.34109236111</v>
      </c>
      <c r="B2690" s="5" t="s">
        <v>34</v>
      </c>
      <c r="D2690" s="5" t="s">
        <v>1206</v>
      </c>
      <c r="E2690" s="5" t="s">
        <v>19072</v>
      </c>
      <c r="F2690" s="5" t="s">
        <v>37</v>
      </c>
      <c r="G2690" s="5" t="s">
        <v>19073</v>
      </c>
      <c r="H2690" s="6" t="s">
        <v>19074</v>
      </c>
      <c r="K2690" s="5" t="s">
        <v>19053</v>
      </c>
    </row>
    <row r="2691">
      <c r="A2691" s="4">
        <v>45534.34110457176</v>
      </c>
      <c r="B2691" s="5" t="s">
        <v>19</v>
      </c>
      <c r="C2691" s="5" t="s">
        <v>292</v>
      </c>
      <c r="E2691" s="5" t="s">
        <v>19078</v>
      </c>
      <c r="F2691" s="5" t="s">
        <v>72</v>
      </c>
      <c r="G2691" s="5" t="s">
        <v>19079</v>
      </c>
      <c r="H2691" s="6" t="s">
        <v>19080</v>
      </c>
      <c r="K2691" s="5" t="s">
        <v>19053</v>
      </c>
    </row>
    <row r="2692">
      <c r="A2692" s="4">
        <v>45534.34110518519</v>
      </c>
      <c r="B2692" s="5" t="s">
        <v>34</v>
      </c>
      <c r="D2692" s="5" t="s">
        <v>12978</v>
      </c>
      <c r="E2692" s="5" t="s">
        <v>19083</v>
      </c>
      <c r="F2692" s="5" t="s">
        <v>72</v>
      </c>
      <c r="G2692" s="5" t="s">
        <v>19084</v>
      </c>
      <c r="H2692" s="6" t="s">
        <v>19085</v>
      </c>
      <c r="K2692" s="5" t="s">
        <v>19053</v>
      </c>
    </row>
    <row r="2693">
      <c r="A2693" s="4">
        <v>45534.341105416665</v>
      </c>
      <c r="B2693" s="5" t="s">
        <v>34</v>
      </c>
      <c r="D2693" s="5" t="s">
        <v>35</v>
      </c>
      <c r="E2693" s="5" t="s">
        <v>19088</v>
      </c>
      <c r="F2693" s="5" t="s">
        <v>375</v>
      </c>
      <c r="G2693" s="5" t="s">
        <v>19089</v>
      </c>
      <c r="H2693" s="6" t="s">
        <v>19090</v>
      </c>
      <c r="K2693" s="5" t="s">
        <v>19053</v>
      </c>
    </row>
    <row r="2694">
      <c r="A2694" s="4">
        <v>45534.34108349537</v>
      </c>
      <c r="B2694" s="5" t="s">
        <v>34</v>
      </c>
      <c r="D2694" s="5" t="s">
        <v>1206</v>
      </c>
      <c r="E2694" s="5" t="s">
        <v>327</v>
      </c>
      <c r="F2694" s="5" t="s">
        <v>37</v>
      </c>
      <c r="G2694" s="5" t="s">
        <v>19093</v>
      </c>
      <c r="H2694" s="6" t="s">
        <v>19094</v>
      </c>
      <c r="K2694" s="5" t="s">
        <v>19053</v>
      </c>
    </row>
    <row r="2695">
      <c r="A2695" s="4">
        <v>45534.34109431713</v>
      </c>
      <c r="B2695" s="5" t="s">
        <v>34</v>
      </c>
      <c r="D2695" s="5" t="s">
        <v>35</v>
      </c>
      <c r="E2695" s="5" t="s">
        <v>19098</v>
      </c>
      <c r="F2695" s="5" t="s">
        <v>212</v>
      </c>
      <c r="G2695" s="5" t="s">
        <v>19099</v>
      </c>
      <c r="H2695" s="6" t="s">
        <v>19100</v>
      </c>
      <c r="K2695" s="5" t="s">
        <v>19053</v>
      </c>
    </row>
    <row r="2696">
      <c r="A2696" s="4">
        <v>45534.34109608796</v>
      </c>
      <c r="B2696" s="5" t="s">
        <v>34</v>
      </c>
      <c r="D2696" s="5" t="s">
        <v>580</v>
      </c>
      <c r="E2696" s="5" t="s">
        <v>19103</v>
      </c>
      <c r="F2696" s="5" t="s">
        <v>524</v>
      </c>
      <c r="G2696" s="5" t="s">
        <v>19104</v>
      </c>
      <c r="H2696" s="6" t="s">
        <v>19105</v>
      </c>
      <c r="K2696" s="5" t="s">
        <v>19053</v>
      </c>
    </row>
    <row r="2697">
      <c r="A2697" s="4">
        <v>45534.34109665509</v>
      </c>
      <c r="B2697" s="5" t="s">
        <v>34</v>
      </c>
      <c r="D2697" s="5" t="s">
        <v>6232</v>
      </c>
      <c r="E2697" s="5" t="s">
        <v>19108</v>
      </c>
      <c r="F2697" s="5" t="s">
        <v>37</v>
      </c>
      <c r="G2697" s="5" t="s">
        <v>19109</v>
      </c>
      <c r="H2697" s="6" t="s">
        <v>19110</v>
      </c>
      <c r="K2697" s="5" t="s">
        <v>19053</v>
      </c>
    </row>
    <row r="2698">
      <c r="A2698" s="4">
        <v>45534.34111837963</v>
      </c>
      <c r="B2698" s="5" t="s">
        <v>34</v>
      </c>
      <c r="D2698" s="5" t="s">
        <v>1206</v>
      </c>
      <c r="E2698" s="5" t="s">
        <v>19113</v>
      </c>
      <c r="F2698" s="5" t="s">
        <v>524</v>
      </c>
      <c r="G2698" s="5" t="s">
        <v>19114</v>
      </c>
      <c r="H2698" s="6" t="s">
        <v>19115</v>
      </c>
      <c r="K2698" s="5" t="s">
        <v>19053</v>
      </c>
    </row>
    <row r="2699">
      <c r="A2699" s="4">
        <v>45534.34111833334</v>
      </c>
      <c r="B2699" s="5" t="s">
        <v>34</v>
      </c>
      <c r="D2699" s="5" t="s">
        <v>9020</v>
      </c>
      <c r="E2699" s="5" t="s">
        <v>19119</v>
      </c>
      <c r="F2699" s="5" t="s">
        <v>524</v>
      </c>
      <c r="G2699" s="5" t="s">
        <v>19120</v>
      </c>
      <c r="H2699" s="6" t="s">
        <v>19121</v>
      </c>
      <c r="K2699" s="5" t="s">
        <v>19053</v>
      </c>
    </row>
    <row r="2700">
      <c r="A2700" s="4">
        <v>45534.34112181713</v>
      </c>
      <c r="B2700" s="5" t="s">
        <v>34</v>
      </c>
      <c r="D2700" s="5" t="s">
        <v>12978</v>
      </c>
      <c r="E2700" s="5" t="s">
        <v>19124</v>
      </c>
      <c r="F2700" s="5" t="s">
        <v>524</v>
      </c>
      <c r="G2700" s="5" t="s">
        <v>19125</v>
      </c>
      <c r="H2700" s="6" t="s">
        <v>19126</v>
      </c>
      <c r="K2700" s="5" t="s">
        <v>19053</v>
      </c>
    </row>
    <row r="2701">
      <c r="A2701" s="4">
        <v>45534.34112377315</v>
      </c>
      <c r="B2701" s="5" t="s">
        <v>34</v>
      </c>
      <c r="D2701" s="5" t="s">
        <v>12978</v>
      </c>
      <c r="E2701" s="5" t="s">
        <v>19130</v>
      </c>
      <c r="F2701" s="5" t="s">
        <v>212</v>
      </c>
      <c r="G2701" s="5" t="s">
        <v>19131</v>
      </c>
      <c r="H2701" s="6" t="s">
        <v>19132</v>
      </c>
      <c r="K2701" s="5" t="s">
        <v>19053</v>
      </c>
    </row>
    <row r="2702">
      <c r="A2702" s="4">
        <v>45534.34113431713</v>
      </c>
      <c r="B2702" s="5" t="s">
        <v>34</v>
      </c>
      <c r="D2702" s="5" t="s">
        <v>3849</v>
      </c>
      <c r="E2702" s="5" t="s">
        <v>19135</v>
      </c>
      <c r="F2702" s="5" t="s">
        <v>108</v>
      </c>
      <c r="G2702" s="5" t="s">
        <v>19136</v>
      </c>
      <c r="H2702" s="6" t="s">
        <v>19137</v>
      </c>
      <c r="K2702" s="5" t="s">
        <v>19053</v>
      </c>
    </row>
    <row r="2703">
      <c r="A2703" s="4">
        <v>45534.34115123843</v>
      </c>
      <c r="B2703" s="5" t="s">
        <v>34</v>
      </c>
      <c r="D2703" s="5" t="s">
        <v>1768</v>
      </c>
      <c r="E2703" s="5" t="s">
        <v>19140</v>
      </c>
      <c r="F2703" s="5" t="s">
        <v>108</v>
      </c>
      <c r="G2703" s="5" t="s">
        <v>19141</v>
      </c>
      <c r="H2703" s="6" t="s">
        <v>19142</v>
      </c>
      <c r="I2703" s="7" t="s">
        <v>19143</v>
      </c>
      <c r="J2703" s="8" t="str">
        <f>HYPERLINK("https://drive.google.com/file/d/1LKSLga7lCuEUz19RZ893xSmBJyFmxDRt/view?usp=drivesdk","WALSINEM SERTIFIKAT BerAKHLAK")</f>
        <v>WALSINEM SERTIFIKAT BerAKHLAK</v>
      </c>
      <c r="K2703" s="5" t="s">
        <v>14929</v>
      </c>
      <c r="L2703" s="5" t="s">
        <v>19144</v>
      </c>
    </row>
    <row r="2704">
      <c r="A2704" s="4">
        <v>45534.3411524074</v>
      </c>
      <c r="B2704" s="5" t="s">
        <v>34</v>
      </c>
      <c r="D2704" s="5" t="s">
        <v>3849</v>
      </c>
      <c r="E2704" s="5" t="s">
        <v>19147</v>
      </c>
      <c r="F2704" s="5" t="s">
        <v>37</v>
      </c>
      <c r="G2704" s="5" t="s">
        <v>19148</v>
      </c>
      <c r="H2704" s="6" t="s">
        <v>19149</v>
      </c>
      <c r="I2704" s="7" t="s">
        <v>19150</v>
      </c>
      <c r="J2704" s="8" t="str">
        <f>HYPERLINK("https://drive.google.com/file/d/14acEu0rV33LJspPPMSEg_1XetnKFigKs/view?usp=drivesdk","NABILA AMELIA, A.Md. Kep SERTIFIKAT BerAKHLAK")</f>
        <v>NABILA AMELIA, A.Md. Kep SERTIFIKAT BerAKHLAK</v>
      </c>
      <c r="K2704" s="5" t="s">
        <v>18654</v>
      </c>
      <c r="L2704" s="5" t="s">
        <v>19151</v>
      </c>
    </row>
    <row r="2705">
      <c r="A2705" s="4">
        <v>45534.341160682874</v>
      </c>
      <c r="B2705" s="5" t="s">
        <v>34</v>
      </c>
      <c r="D2705" s="5" t="s">
        <v>6232</v>
      </c>
      <c r="E2705" s="5" t="s">
        <v>19155</v>
      </c>
      <c r="F2705" s="5" t="s">
        <v>108</v>
      </c>
      <c r="G2705" s="5" t="s">
        <v>19156</v>
      </c>
      <c r="H2705" s="6" t="s">
        <v>19157</v>
      </c>
      <c r="I2705" s="7" t="s">
        <v>19158</v>
      </c>
      <c r="J2705" s="8" t="str">
        <f>HYPERLINK("https://drive.google.com/file/d/1h3si2tj3nxfPri8tLHzsKYSL5ZO7VrMr/view?usp=drivesdk","MEI ANGGRAINI SERTIFIKAT BerAKHLAK")</f>
        <v>MEI ANGGRAINI SERTIFIKAT BerAKHLAK</v>
      </c>
      <c r="K2705" s="5" t="s">
        <v>18654</v>
      </c>
      <c r="L2705" s="5" t="s">
        <v>19159</v>
      </c>
    </row>
    <row r="2706">
      <c r="A2706" s="4">
        <v>45534.341160625</v>
      </c>
      <c r="B2706" s="5" t="s">
        <v>19</v>
      </c>
      <c r="C2706" s="5" t="s">
        <v>3301</v>
      </c>
      <c r="E2706" s="5" t="s">
        <v>19162</v>
      </c>
      <c r="F2706" s="5" t="s">
        <v>37</v>
      </c>
      <c r="G2706" s="5" t="s">
        <v>19163</v>
      </c>
      <c r="H2706" s="6" t="s">
        <v>19164</v>
      </c>
      <c r="I2706" s="7" t="s">
        <v>19165</v>
      </c>
      <c r="J2706" s="8" t="str">
        <f>HYPERLINK("https://drive.google.com/file/d/1oI_htmIgRZaXvu0JIC-kBXArFKxNwnqK/view?usp=drivesdk","DZIKRI SHALAHUDIN SYABANI, A.Md.Farm. SERTIFIKAT BerAKHLAK")</f>
        <v>DZIKRI SHALAHUDIN SYABANI, A.Md.Farm. SERTIFIKAT BerAKHLAK</v>
      </c>
      <c r="K2706" s="5" t="s">
        <v>18654</v>
      </c>
      <c r="L2706" s="5" t="s">
        <v>19166</v>
      </c>
    </row>
    <row r="2707">
      <c r="A2707" s="4">
        <v>45534.341163391204</v>
      </c>
      <c r="B2707" s="5" t="s">
        <v>34</v>
      </c>
      <c r="D2707" s="5" t="s">
        <v>12978</v>
      </c>
      <c r="E2707" s="5" t="s">
        <v>19169</v>
      </c>
      <c r="F2707" s="5" t="s">
        <v>212</v>
      </c>
      <c r="G2707" s="5" t="s">
        <v>19170</v>
      </c>
      <c r="H2707" s="6" t="s">
        <v>19171</v>
      </c>
      <c r="I2707" s="7" t="s">
        <v>19172</v>
      </c>
      <c r="J2707" s="8" t="str">
        <f>HYPERLINK("https://drive.google.com/file/d/1HGt39hBphCaUbFClisroLUKxD65sw4M7/view?usp=drivesdk","KOMALA SARI, SH SERTIFIKAT BerAKHLAK")</f>
        <v>KOMALA SARI, SH SERTIFIKAT BerAKHLAK</v>
      </c>
      <c r="K2707" s="5" t="s">
        <v>18654</v>
      </c>
      <c r="L2707" s="5" t="s">
        <v>19173</v>
      </c>
    </row>
    <row r="2708">
      <c r="A2708" s="4">
        <v>45534.341164618054</v>
      </c>
      <c r="B2708" s="5" t="s">
        <v>34</v>
      </c>
      <c r="D2708" s="5" t="s">
        <v>12026</v>
      </c>
      <c r="E2708" s="5" t="s">
        <v>19176</v>
      </c>
      <c r="F2708" s="5" t="s">
        <v>120</v>
      </c>
      <c r="G2708" s="5" t="s">
        <v>19177</v>
      </c>
      <c r="H2708" s="6" t="s">
        <v>19178</v>
      </c>
      <c r="I2708" s="7" t="s">
        <v>19179</v>
      </c>
      <c r="J2708" s="8" t="str">
        <f>HYPERLINK("https://drive.google.com/file/d/1G2-FCiS0Zv4uirQTMmSCQKcsl2FVYjN5/view?usp=drivesdk","TITIK APRIYANTI S.PSI., M.SI SERTIFIKAT BerAKHLAK")</f>
        <v>TITIK APRIYANTI S.PSI., M.SI SERTIFIKAT BerAKHLAK</v>
      </c>
      <c r="K2708" s="5" t="s">
        <v>18654</v>
      </c>
      <c r="L2708" s="5" t="s">
        <v>19180</v>
      </c>
    </row>
    <row r="2709">
      <c r="A2709" s="4">
        <v>45534.3411708912</v>
      </c>
      <c r="B2709" s="5" t="s">
        <v>34</v>
      </c>
      <c r="D2709" s="5" t="s">
        <v>35</v>
      </c>
      <c r="E2709" s="5" t="s">
        <v>19183</v>
      </c>
      <c r="F2709" s="5" t="s">
        <v>37</v>
      </c>
      <c r="G2709" s="5" t="s">
        <v>19184</v>
      </c>
      <c r="H2709" s="6" t="s">
        <v>19185</v>
      </c>
      <c r="I2709" s="7" t="s">
        <v>19186</v>
      </c>
      <c r="J2709" s="8" t="str">
        <f>HYPERLINK("https://drive.google.com/file/d/17cwTaSXWpJotWSvOzrB-svLje6fNmPbV/view?usp=drivesdk","TRI  ANDRIANI SERTIFIKAT BerAKHLAK")</f>
        <v>TRI  ANDRIANI SERTIFIKAT BerAKHLAK</v>
      </c>
      <c r="K2709" s="5" t="s">
        <v>18691</v>
      </c>
      <c r="L2709" s="5" t="s">
        <v>19187</v>
      </c>
    </row>
    <row r="2710">
      <c r="A2710" s="4">
        <v>45534.34117706018</v>
      </c>
      <c r="B2710" s="5" t="s">
        <v>34</v>
      </c>
      <c r="D2710" s="5" t="s">
        <v>15401</v>
      </c>
      <c r="E2710" s="5" t="s">
        <v>19191</v>
      </c>
      <c r="F2710" s="5" t="s">
        <v>120</v>
      </c>
      <c r="G2710" s="5" t="s">
        <v>19192</v>
      </c>
      <c r="H2710" s="6" t="s">
        <v>19193</v>
      </c>
      <c r="I2710" s="7" t="s">
        <v>19194</v>
      </c>
      <c r="J2710" s="8" t="str">
        <f>HYPERLINK("https://drive.google.com/file/d/1mhqnf5XYIndN6bIeiotpCEZsX7YKCAWl/view?usp=drivesdk","SRI WAHYUNI RACHMAWATY, S.T. SERTIFIKAT BerAKHLAK")</f>
        <v>SRI WAHYUNI RACHMAWATY, S.T. SERTIFIKAT BerAKHLAK</v>
      </c>
      <c r="K2710" s="5" t="s">
        <v>18691</v>
      </c>
      <c r="L2710" s="5" t="s">
        <v>19195</v>
      </c>
    </row>
    <row r="2711">
      <c r="A2711" s="4">
        <v>45534.34117849537</v>
      </c>
      <c r="B2711" s="5" t="s">
        <v>34</v>
      </c>
      <c r="D2711" s="5" t="s">
        <v>1206</v>
      </c>
      <c r="E2711" s="5" t="s">
        <v>19198</v>
      </c>
      <c r="F2711" s="5" t="s">
        <v>72</v>
      </c>
      <c r="G2711" s="5" t="s">
        <v>19199</v>
      </c>
      <c r="H2711" s="6" t="s">
        <v>19200</v>
      </c>
      <c r="K2711" s="5" t="s">
        <v>19201</v>
      </c>
    </row>
    <row r="2712">
      <c r="A2712" s="4">
        <v>45534.34118267361</v>
      </c>
      <c r="B2712" s="5" t="s">
        <v>34</v>
      </c>
      <c r="D2712" s="5" t="s">
        <v>12978</v>
      </c>
      <c r="E2712" s="5" t="s">
        <v>19204</v>
      </c>
      <c r="F2712" s="5" t="s">
        <v>212</v>
      </c>
      <c r="G2712" s="5" t="s">
        <v>19205</v>
      </c>
      <c r="H2712" s="6" t="s">
        <v>19206</v>
      </c>
      <c r="K2712" s="5" t="s">
        <v>19207</v>
      </c>
    </row>
    <row r="2713">
      <c r="A2713" s="4">
        <v>45534.341183958335</v>
      </c>
      <c r="B2713" s="5" t="s">
        <v>34</v>
      </c>
      <c r="D2713" s="5" t="s">
        <v>35</v>
      </c>
      <c r="E2713" s="5" t="s">
        <v>19210</v>
      </c>
      <c r="F2713" s="5" t="s">
        <v>72</v>
      </c>
      <c r="G2713" s="5" t="s">
        <v>19211</v>
      </c>
      <c r="H2713" s="6" t="s">
        <v>19212</v>
      </c>
      <c r="K2713" s="5" t="s">
        <v>19207</v>
      </c>
    </row>
    <row r="2714">
      <c r="A2714" s="4">
        <v>45534.34118855324</v>
      </c>
      <c r="B2714" s="5" t="s">
        <v>34</v>
      </c>
      <c r="D2714" s="5" t="s">
        <v>1768</v>
      </c>
      <c r="E2714" s="5" t="s">
        <v>19215</v>
      </c>
      <c r="F2714" s="5" t="s">
        <v>212</v>
      </c>
      <c r="G2714" s="5" t="s">
        <v>19216</v>
      </c>
      <c r="H2714" s="6" t="s">
        <v>19217</v>
      </c>
      <c r="K2714" s="5" t="s">
        <v>19207</v>
      </c>
    </row>
    <row r="2715">
      <c r="A2715" s="4">
        <v>45534.34119332176</v>
      </c>
      <c r="B2715" s="5" t="s">
        <v>34</v>
      </c>
      <c r="D2715" s="5" t="s">
        <v>4775</v>
      </c>
      <c r="E2715" s="5" t="s">
        <v>19221</v>
      </c>
      <c r="F2715" s="5" t="s">
        <v>108</v>
      </c>
      <c r="G2715" s="5" t="s">
        <v>19222</v>
      </c>
      <c r="H2715" s="6" t="s">
        <v>19223</v>
      </c>
      <c r="K2715" s="5" t="s">
        <v>19207</v>
      </c>
    </row>
    <row r="2716">
      <c r="A2716" s="4">
        <v>45534.341198368056</v>
      </c>
      <c r="B2716" s="5" t="s">
        <v>34</v>
      </c>
      <c r="D2716" s="5" t="s">
        <v>701</v>
      </c>
      <c r="E2716" s="5" t="s">
        <v>19227</v>
      </c>
      <c r="F2716" s="5" t="s">
        <v>524</v>
      </c>
      <c r="G2716" s="5" t="s">
        <v>19228</v>
      </c>
      <c r="H2716" s="6" t="s">
        <v>19229</v>
      </c>
      <c r="K2716" s="5" t="s">
        <v>19207</v>
      </c>
    </row>
    <row r="2717">
      <c r="A2717" s="4">
        <v>45534.34120138889</v>
      </c>
      <c r="B2717" s="5" t="s">
        <v>34</v>
      </c>
      <c r="D2717" s="5" t="s">
        <v>6232</v>
      </c>
      <c r="E2717" s="5" t="s">
        <v>19233</v>
      </c>
      <c r="F2717" s="5" t="s">
        <v>37</v>
      </c>
      <c r="G2717" s="5" t="s">
        <v>19234</v>
      </c>
      <c r="H2717" s="6" t="s">
        <v>19235</v>
      </c>
      <c r="K2717" s="5" t="s">
        <v>19207</v>
      </c>
    </row>
    <row r="2718">
      <c r="A2718" s="4">
        <v>45534.341207743055</v>
      </c>
      <c r="B2718" s="5" t="s">
        <v>34</v>
      </c>
      <c r="D2718" s="5" t="s">
        <v>35</v>
      </c>
      <c r="E2718" s="5" t="s">
        <v>19239</v>
      </c>
      <c r="F2718" s="5" t="s">
        <v>37</v>
      </c>
      <c r="G2718" s="5" t="s">
        <v>19240</v>
      </c>
      <c r="H2718" s="6" t="s">
        <v>19241</v>
      </c>
      <c r="K2718" s="5" t="s">
        <v>19207</v>
      </c>
    </row>
    <row r="2719">
      <c r="A2719" s="4">
        <v>45534.34120873843</v>
      </c>
      <c r="B2719" s="5" t="s">
        <v>34</v>
      </c>
      <c r="D2719" s="5" t="s">
        <v>10444</v>
      </c>
      <c r="E2719" s="5" t="s">
        <v>19245</v>
      </c>
      <c r="F2719" s="5" t="s">
        <v>212</v>
      </c>
      <c r="G2719" s="5" t="s">
        <v>19246</v>
      </c>
      <c r="H2719" s="6" t="s">
        <v>19247</v>
      </c>
      <c r="K2719" s="5" t="s">
        <v>19207</v>
      </c>
    </row>
    <row r="2720">
      <c r="A2720" s="4">
        <v>45534.341213067135</v>
      </c>
      <c r="B2720" s="5" t="s">
        <v>34</v>
      </c>
      <c r="D2720" s="5" t="s">
        <v>604</v>
      </c>
      <c r="E2720" s="5" t="s">
        <v>19251</v>
      </c>
      <c r="F2720" s="5" t="s">
        <v>108</v>
      </c>
      <c r="G2720" s="5" t="s">
        <v>19252</v>
      </c>
      <c r="H2720" s="6" t="s">
        <v>19253</v>
      </c>
      <c r="K2720" s="5" t="s">
        <v>19207</v>
      </c>
    </row>
    <row r="2721">
      <c r="A2721" s="4">
        <v>45534.3412225</v>
      </c>
      <c r="B2721" s="5" t="s">
        <v>34</v>
      </c>
      <c r="D2721" s="5" t="s">
        <v>12978</v>
      </c>
      <c r="E2721" s="5" t="s">
        <v>19257</v>
      </c>
      <c r="F2721" s="5" t="s">
        <v>524</v>
      </c>
      <c r="G2721" s="5" t="s">
        <v>19258</v>
      </c>
      <c r="H2721" s="6" t="s">
        <v>19259</v>
      </c>
      <c r="K2721" s="5" t="s">
        <v>19207</v>
      </c>
    </row>
    <row r="2722">
      <c r="A2722" s="4">
        <v>45534.34122466436</v>
      </c>
      <c r="B2722" s="5" t="s">
        <v>19</v>
      </c>
      <c r="C2722" s="5" t="s">
        <v>14000</v>
      </c>
      <c r="E2722" s="5" t="s">
        <v>19263</v>
      </c>
      <c r="F2722" s="5" t="s">
        <v>72</v>
      </c>
      <c r="G2722" s="5" t="s">
        <v>19264</v>
      </c>
      <c r="H2722" s="6" t="s">
        <v>19265</v>
      </c>
      <c r="K2722" s="5" t="s">
        <v>19207</v>
      </c>
    </row>
    <row r="2723">
      <c r="A2723" s="4">
        <v>45534.34123391204</v>
      </c>
      <c r="B2723" s="5" t="s">
        <v>19</v>
      </c>
      <c r="C2723" s="5" t="s">
        <v>11593</v>
      </c>
      <c r="E2723" s="5" t="s">
        <v>19269</v>
      </c>
      <c r="F2723" s="5" t="s">
        <v>212</v>
      </c>
      <c r="G2723" s="5" t="s">
        <v>19270</v>
      </c>
      <c r="H2723" s="6" t="s">
        <v>19271</v>
      </c>
      <c r="K2723" s="5" t="s">
        <v>19207</v>
      </c>
    </row>
    <row r="2724">
      <c r="A2724" s="4">
        <v>45534.34123385417</v>
      </c>
      <c r="B2724" s="5" t="s">
        <v>34</v>
      </c>
      <c r="D2724" s="5" t="s">
        <v>7858</v>
      </c>
      <c r="E2724" s="5" t="s">
        <v>19275</v>
      </c>
      <c r="F2724" s="5" t="s">
        <v>120</v>
      </c>
      <c r="G2724" s="5" t="s">
        <v>19276</v>
      </c>
      <c r="H2724" s="6" t="s">
        <v>19277</v>
      </c>
      <c r="K2724" s="5" t="s">
        <v>19207</v>
      </c>
    </row>
    <row r="2725">
      <c r="A2725" s="4">
        <v>45534.34123438658</v>
      </c>
      <c r="B2725" s="5" t="s">
        <v>34</v>
      </c>
      <c r="D2725" s="5" t="s">
        <v>580</v>
      </c>
      <c r="E2725" s="5" t="s">
        <v>19281</v>
      </c>
      <c r="F2725" s="5" t="s">
        <v>524</v>
      </c>
      <c r="G2725" s="5" t="s">
        <v>19282</v>
      </c>
      <c r="H2725" s="6" t="s">
        <v>19283</v>
      </c>
      <c r="K2725" s="5" t="s">
        <v>19207</v>
      </c>
    </row>
    <row r="2726">
      <c r="A2726" s="4">
        <v>45534.34124146991</v>
      </c>
      <c r="B2726" s="5" t="s">
        <v>34</v>
      </c>
      <c r="D2726" s="5" t="s">
        <v>4775</v>
      </c>
      <c r="E2726" s="5" t="s">
        <v>19287</v>
      </c>
      <c r="F2726" s="5" t="s">
        <v>524</v>
      </c>
      <c r="G2726" s="5" t="s">
        <v>19288</v>
      </c>
      <c r="H2726" s="6" t="s">
        <v>19289</v>
      </c>
      <c r="K2726" s="5" t="s">
        <v>19207</v>
      </c>
    </row>
    <row r="2727">
      <c r="A2727" s="4">
        <v>45534.34124142361</v>
      </c>
      <c r="B2727" s="5" t="s">
        <v>19</v>
      </c>
      <c r="C2727" s="5" t="s">
        <v>292</v>
      </c>
      <c r="E2727" s="5" t="s">
        <v>19293</v>
      </c>
      <c r="F2727" s="5" t="s">
        <v>108</v>
      </c>
      <c r="G2727" s="5" t="s">
        <v>19294</v>
      </c>
      <c r="H2727" s="6" t="s">
        <v>19295</v>
      </c>
      <c r="K2727" s="5" t="s">
        <v>19207</v>
      </c>
    </row>
    <row r="2728">
      <c r="A2728" s="4">
        <v>45534.341244131945</v>
      </c>
      <c r="B2728" s="5" t="s">
        <v>34</v>
      </c>
      <c r="D2728" s="5" t="s">
        <v>1206</v>
      </c>
      <c r="E2728" s="5" t="s">
        <v>19299</v>
      </c>
      <c r="F2728" s="5" t="s">
        <v>212</v>
      </c>
      <c r="G2728" s="5" t="s">
        <v>19300</v>
      </c>
      <c r="H2728" s="6" t="s">
        <v>19301</v>
      </c>
      <c r="K2728" s="5" t="s">
        <v>19207</v>
      </c>
    </row>
    <row r="2729">
      <c r="A2729" s="4">
        <v>45534.34124886574</v>
      </c>
      <c r="B2729" s="5" t="s">
        <v>34</v>
      </c>
      <c r="D2729" s="5" t="s">
        <v>1206</v>
      </c>
      <c r="E2729" s="5" t="s">
        <v>19305</v>
      </c>
      <c r="F2729" s="5" t="s">
        <v>37</v>
      </c>
      <c r="G2729" s="5" t="s">
        <v>19306</v>
      </c>
      <c r="H2729" s="6" t="s">
        <v>19307</v>
      </c>
      <c r="K2729" s="5" t="s">
        <v>19207</v>
      </c>
    </row>
    <row r="2730">
      <c r="A2730" s="4">
        <v>45534.3412487037</v>
      </c>
      <c r="B2730" s="5" t="s">
        <v>34</v>
      </c>
      <c r="D2730" s="5" t="s">
        <v>580</v>
      </c>
      <c r="E2730" s="5" t="s">
        <v>19310</v>
      </c>
      <c r="F2730" s="5" t="s">
        <v>37</v>
      </c>
      <c r="G2730" s="5" t="s">
        <v>19311</v>
      </c>
      <c r="H2730" s="6" t="s">
        <v>19312</v>
      </c>
      <c r="K2730" s="5" t="s">
        <v>19207</v>
      </c>
    </row>
    <row r="2731">
      <c r="A2731" s="4">
        <v>45534.341249537036</v>
      </c>
      <c r="B2731" s="5" t="s">
        <v>34</v>
      </c>
      <c r="D2731" s="5" t="s">
        <v>14424</v>
      </c>
      <c r="E2731" s="5" t="s">
        <v>19316</v>
      </c>
      <c r="F2731" s="5" t="s">
        <v>120</v>
      </c>
      <c r="G2731" s="5" t="s">
        <v>19317</v>
      </c>
      <c r="H2731" s="6" t="s">
        <v>19318</v>
      </c>
      <c r="K2731" s="5" t="s">
        <v>19207</v>
      </c>
    </row>
    <row r="2732">
      <c r="A2732" s="4">
        <v>45534.341252303246</v>
      </c>
      <c r="B2732" s="5" t="s">
        <v>34</v>
      </c>
      <c r="D2732" s="5" t="s">
        <v>1206</v>
      </c>
      <c r="E2732" s="5" t="s">
        <v>19321</v>
      </c>
      <c r="F2732" s="5" t="s">
        <v>212</v>
      </c>
      <c r="G2732" s="5" t="s">
        <v>19322</v>
      </c>
      <c r="H2732" s="6" t="s">
        <v>19323</v>
      </c>
      <c r="K2732" s="5" t="s">
        <v>19207</v>
      </c>
    </row>
    <row r="2733">
      <c r="A2733" s="4">
        <v>45534.34125935185</v>
      </c>
      <c r="B2733" s="5" t="s">
        <v>34</v>
      </c>
      <c r="D2733" s="5" t="s">
        <v>4775</v>
      </c>
      <c r="E2733" s="5" t="s">
        <v>19326</v>
      </c>
      <c r="F2733" s="5" t="s">
        <v>524</v>
      </c>
      <c r="G2733" s="5" t="s">
        <v>19327</v>
      </c>
      <c r="H2733" s="6" t="s">
        <v>19328</v>
      </c>
      <c r="K2733" s="5" t="s">
        <v>19207</v>
      </c>
    </row>
    <row r="2734">
      <c r="A2734" s="4">
        <v>45534.341262754635</v>
      </c>
      <c r="B2734" s="5" t="s">
        <v>34</v>
      </c>
      <c r="D2734" s="5" t="s">
        <v>580</v>
      </c>
      <c r="E2734" s="5" t="s">
        <v>19331</v>
      </c>
      <c r="F2734" s="5" t="s">
        <v>715</v>
      </c>
      <c r="G2734" s="5" t="s">
        <v>19332</v>
      </c>
      <c r="H2734" s="6" t="s">
        <v>19333</v>
      </c>
      <c r="K2734" s="5" t="s">
        <v>19207</v>
      </c>
    </row>
    <row r="2735">
      <c r="A2735" s="4">
        <v>45534.34126408565</v>
      </c>
      <c r="B2735" s="5" t="s">
        <v>34</v>
      </c>
      <c r="D2735" s="5" t="s">
        <v>12978</v>
      </c>
      <c r="E2735" s="5" t="s">
        <v>19336</v>
      </c>
      <c r="F2735" s="5" t="s">
        <v>375</v>
      </c>
      <c r="G2735" s="5" t="s">
        <v>19337</v>
      </c>
      <c r="H2735" s="6" t="s">
        <v>19338</v>
      </c>
      <c r="I2735" s="7" t="s">
        <v>19339</v>
      </c>
      <c r="J2735" s="8" t="str">
        <f>HYPERLINK("https://drive.google.com/file/d/1KnTBvQbfdIxIEmonAkcBOXFSV7PSlfi1/view?usp=drivesdk","ITA IZZAKAH, S.H., M.H. SERTIFIKAT BerAKHLAK")</f>
        <v>ITA IZZAKAH, S.H., M.H. SERTIFIKAT BerAKHLAK</v>
      </c>
      <c r="K2735" s="5" t="s">
        <v>14929</v>
      </c>
      <c r="L2735" s="5" t="s">
        <v>19340</v>
      </c>
    </row>
    <row r="2736">
      <c r="A2736" s="4">
        <v>45534.34126594907</v>
      </c>
      <c r="B2736" s="5" t="s">
        <v>34</v>
      </c>
      <c r="D2736" s="5" t="s">
        <v>1206</v>
      </c>
      <c r="E2736" s="5" t="s">
        <v>19344</v>
      </c>
      <c r="F2736" s="5" t="s">
        <v>199</v>
      </c>
      <c r="G2736" s="5" t="s">
        <v>19345</v>
      </c>
      <c r="H2736" s="6" t="s">
        <v>19346</v>
      </c>
      <c r="K2736" s="5" t="s">
        <v>19347</v>
      </c>
    </row>
    <row r="2737">
      <c r="A2737" s="4">
        <v>45534.34126962963</v>
      </c>
      <c r="B2737" s="5" t="s">
        <v>34</v>
      </c>
      <c r="D2737" s="5" t="s">
        <v>2903</v>
      </c>
      <c r="E2737" s="5" t="s">
        <v>19350</v>
      </c>
      <c r="F2737" s="5" t="s">
        <v>212</v>
      </c>
      <c r="G2737" s="5" t="s">
        <v>19351</v>
      </c>
      <c r="H2737" s="6" t="s">
        <v>19352</v>
      </c>
      <c r="K2737" s="5" t="s">
        <v>19347</v>
      </c>
    </row>
    <row r="2738">
      <c r="A2738" s="4">
        <v>45534.34126959491</v>
      </c>
      <c r="B2738" s="5" t="s">
        <v>34</v>
      </c>
      <c r="D2738" s="5" t="s">
        <v>35</v>
      </c>
      <c r="E2738" s="5" t="s">
        <v>19355</v>
      </c>
      <c r="F2738" s="5" t="s">
        <v>108</v>
      </c>
      <c r="G2738" s="5" t="s">
        <v>19356</v>
      </c>
      <c r="H2738" s="6" t="s">
        <v>19357</v>
      </c>
      <c r="K2738" s="5" t="s">
        <v>19347</v>
      </c>
    </row>
    <row r="2739">
      <c r="A2739" s="4">
        <v>45534.34127268518</v>
      </c>
      <c r="B2739" s="5" t="s">
        <v>34</v>
      </c>
      <c r="D2739" s="5" t="s">
        <v>7858</v>
      </c>
      <c r="E2739" s="5" t="s">
        <v>19360</v>
      </c>
      <c r="F2739" s="5" t="s">
        <v>120</v>
      </c>
      <c r="G2739" s="5" t="s">
        <v>19361</v>
      </c>
      <c r="H2739" s="6" t="s">
        <v>19362</v>
      </c>
      <c r="K2739" s="5" t="s">
        <v>19347</v>
      </c>
    </row>
    <row r="2740">
      <c r="A2740" s="4">
        <v>45534.341275810184</v>
      </c>
      <c r="B2740" s="5" t="s">
        <v>34</v>
      </c>
      <c r="D2740" s="5" t="s">
        <v>2903</v>
      </c>
      <c r="E2740" s="5" t="s">
        <v>19366</v>
      </c>
      <c r="F2740" s="5" t="s">
        <v>37</v>
      </c>
      <c r="G2740" s="5" t="s">
        <v>19367</v>
      </c>
      <c r="H2740" s="6" t="s">
        <v>19368</v>
      </c>
      <c r="K2740" s="5" t="s">
        <v>19347</v>
      </c>
    </row>
    <row r="2741">
      <c r="A2741" s="4">
        <v>45534.341276377316</v>
      </c>
      <c r="B2741" s="5" t="s">
        <v>34</v>
      </c>
      <c r="D2741" s="5" t="s">
        <v>4775</v>
      </c>
      <c r="E2741" s="5" t="s">
        <v>19371</v>
      </c>
      <c r="F2741" s="5" t="s">
        <v>212</v>
      </c>
      <c r="G2741" s="5" t="s">
        <v>19372</v>
      </c>
      <c r="H2741" s="6" t="s">
        <v>19373</v>
      </c>
      <c r="K2741" s="5" t="s">
        <v>19347</v>
      </c>
    </row>
    <row r="2742">
      <c r="A2742" s="4">
        <v>45534.3412878588</v>
      </c>
      <c r="B2742" s="5" t="s">
        <v>34</v>
      </c>
      <c r="D2742" s="5" t="s">
        <v>14313</v>
      </c>
      <c r="E2742" s="5" t="s">
        <v>19376</v>
      </c>
      <c r="F2742" s="5" t="s">
        <v>715</v>
      </c>
      <c r="G2742" s="5" t="s">
        <v>19377</v>
      </c>
      <c r="H2742" s="6" t="s">
        <v>19378</v>
      </c>
      <c r="K2742" s="5" t="s">
        <v>19347</v>
      </c>
    </row>
    <row r="2743">
      <c r="A2743" s="4">
        <v>45534.34129020834</v>
      </c>
      <c r="B2743" s="5" t="s">
        <v>34</v>
      </c>
      <c r="D2743" s="5" t="s">
        <v>1206</v>
      </c>
      <c r="E2743" s="5" t="s">
        <v>19381</v>
      </c>
      <c r="F2743" s="5" t="s">
        <v>212</v>
      </c>
      <c r="G2743" s="5" t="s">
        <v>19382</v>
      </c>
      <c r="H2743" s="6" t="s">
        <v>19383</v>
      </c>
      <c r="K2743" s="5" t="s">
        <v>19347</v>
      </c>
    </row>
    <row r="2744">
      <c r="A2744" s="4">
        <v>45534.34128980324</v>
      </c>
      <c r="B2744" s="5" t="s">
        <v>34</v>
      </c>
      <c r="D2744" s="5" t="s">
        <v>3849</v>
      </c>
      <c r="E2744" s="5" t="s">
        <v>19387</v>
      </c>
      <c r="F2744" s="5" t="s">
        <v>37</v>
      </c>
      <c r="G2744" s="5" t="s">
        <v>19388</v>
      </c>
      <c r="H2744" s="6" t="s">
        <v>19389</v>
      </c>
      <c r="K2744" s="5" t="s">
        <v>19347</v>
      </c>
    </row>
    <row r="2745">
      <c r="A2745" s="4">
        <v>45534.341297430554</v>
      </c>
      <c r="B2745" s="5" t="s">
        <v>34</v>
      </c>
      <c r="D2745" s="5" t="s">
        <v>1768</v>
      </c>
      <c r="E2745" s="5" t="s">
        <v>19392</v>
      </c>
      <c r="F2745" s="5" t="s">
        <v>108</v>
      </c>
      <c r="G2745" s="5" t="s">
        <v>19393</v>
      </c>
      <c r="H2745" s="6" t="s">
        <v>19394</v>
      </c>
      <c r="K2745" s="5" t="s">
        <v>19347</v>
      </c>
    </row>
    <row r="2746">
      <c r="A2746" s="4">
        <v>45534.341306030095</v>
      </c>
      <c r="B2746" s="5" t="s">
        <v>34</v>
      </c>
      <c r="D2746" s="5" t="s">
        <v>362</v>
      </c>
      <c r="E2746" s="5" t="s">
        <v>19397</v>
      </c>
      <c r="F2746" s="5" t="s">
        <v>375</v>
      </c>
      <c r="G2746" s="5" t="s">
        <v>19398</v>
      </c>
      <c r="H2746" s="6" t="s">
        <v>19399</v>
      </c>
      <c r="K2746" s="5" t="s">
        <v>19347</v>
      </c>
    </row>
    <row r="2747">
      <c r="A2747" s="4">
        <v>45534.34131105324</v>
      </c>
      <c r="B2747" s="5" t="s">
        <v>34</v>
      </c>
      <c r="D2747" s="5" t="s">
        <v>12010</v>
      </c>
      <c r="E2747" s="5" t="s">
        <v>19402</v>
      </c>
      <c r="F2747" s="5" t="s">
        <v>37</v>
      </c>
      <c r="G2747" s="5" t="s">
        <v>19403</v>
      </c>
      <c r="H2747" s="6" t="s">
        <v>19404</v>
      </c>
      <c r="K2747" s="5" t="s">
        <v>19347</v>
      </c>
    </row>
    <row r="2748">
      <c r="A2748" s="4">
        <v>45534.34131467593</v>
      </c>
      <c r="B2748" s="5" t="s">
        <v>34</v>
      </c>
      <c r="D2748" s="5" t="s">
        <v>9020</v>
      </c>
      <c r="E2748" s="5" t="s">
        <v>19408</v>
      </c>
      <c r="F2748" s="5" t="s">
        <v>72</v>
      </c>
      <c r="G2748" s="5" t="s">
        <v>19409</v>
      </c>
      <c r="H2748" s="6" t="s">
        <v>19410</v>
      </c>
      <c r="K2748" s="5" t="s">
        <v>19347</v>
      </c>
    </row>
    <row r="2749">
      <c r="A2749" s="4">
        <v>45534.34131665509</v>
      </c>
      <c r="B2749" s="5" t="s">
        <v>34</v>
      </c>
      <c r="D2749" s="5" t="s">
        <v>1206</v>
      </c>
      <c r="E2749" s="5" t="s">
        <v>19414</v>
      </c>
      <c r="F2749" s="5" t="s">
        <v>37</v>
      </c>
      <c r="G2749" s="5" t="s">
        <v>19415</v>
      </c>
      <c r="H2749" s="6" t="s">
        <v>19416</v>
      </c>
      <c r="K2749" s="5" t="s">
        <v>19347</v>
      </c>
    </row>
    <row r="2750">
      <c r="A2750" s="4">
        <v>45534.34132070602</v>
      </c>
      <c r="B2750" s="5" t="s">
        <v>19</v>
      </c>
      <c r="C2750" s="5" t="s">
        <v>292</v>
      </c>
      <c r="E2750" s="5" t="s">
        <v>19419</v>
      </c>
      <c r="F2750" s="5" t="s">
        <v>212</v>
      </c>
      <c r="G2750" s="5" t="s">
        <v>19420</v>
      </c>
      <c r="H2750" s="6" t="s">
        <v>19421</v>
      </c>
      <c r="K2750" s="5" t="s">
        <v>19347</v>
      </c>
    </row>
    <row r="2751">
      <c r="A2751" s="4">
        <v>45534.341321678236</v>
      </c>
      <c r="B2751" s="5" t="s">
        <v>34</v>
      </c>
      <c r="D2751" s="5" t="s">
        <v>35</v>
      </c>
      <c r="E2751" s="5" t="s">
        <v>19424</v>
      </c>
      <c r="F2751" s="5" t="s">
        <v>37</v>
      </c>
      <c r="G2751" s="5" t="s">
        <v>19425</v>
      </c>
      <c r="H2751" s="6" t="s">
        <v>19426</v>
      </c>
      <c r="K2751" s="5" t="s">
        <v>19347</v>
      </c>
    </row>
    <row r="2752">
      <c r="A2752" s="4">
        <v>45534.34132201389</v>
      </c>
      <c r="B2752" s="5" t="s">
        <v>34</v>
      </c>
      <c r="D2752" s="5" t="s">
        <v>996</v>
      </c>
      <c r="E2752" s="5" t="s">
        <v>19429</v>
      </c>
      <c r="F2752" s="5" t="s">
        <v>212</v>
      </c>
      <c r="G2752" s="5" t="s">
        <v>19430</v>
      </c>
      <c r="H2752" s="6" t="s">
        <v>19431</v>
      </c>
      <c r="K2752" s="5" t="s">
        <v>19347</v>
      </c>
    </row>
    <row r="2753">
      <c r="A2753" s="4">
        <v>45534.34133761574</v>
      </c>
      <c r="B2753" s="5" t="s">
        <v>34</v>
      </c>
      <c r="D2753" s="5" t="s">
        <v>522</v>
      </c>
      <c r="E2753" s="5" t="s">
        <v>19434</v>
      </c>
      <c r="F2753" s="5" t="s">
        <v>212</v>
      </c>
      <c r="G2753" s="5" t="s">
        <v>19435</v>
      </c>
      <c r="H2753" s="6" t="s">
        <v>19436</v>
      </c>
      <c r="K2753" s="5" t="s">
        <v>19347</v>
      </c>
    </row>
    <row r="2754">
      <c r="A2754" s="4">
        <v>45534.34134262732</v>
      </c>
      <c r="B2754" s="5" t="s">
        <v>34</v>
      </c>
      <c r="D2754" s="5" t="s">
        <v>1206</v>
      </c>
      <c r="E2754" s="5" t="s">
        <v>19440</v>
      </c>
      <c r="F2754" s="5" t="s">
        <v>37</v>
      </c>
      <c r="G2754" s="5" t="s">
        <v>19441</v>
      </c>
      <c r="H2754" s="6" t="s">
        <v>19442</v>
      </c>
      <c r="K2754" s="5" t="s">
        <v>19347</v>
      </c>
    </row>
    <row r="2755">
      <c r="A2755" s="4">
        <v>45534.34134368056</v>
      </c>
      <c r="B2755" s="5" t="s">
        <v>34</v>
      </c>
      <c r="D2755" s="5" t="s">
        <v>9020</v>
      </c>
      <c r="E2755" s="5" t="s">
        <v>19445</v>
      </c>
      <c r="F2755" s="5" t="s">
        <v>212</v>
      </c>
      <c r="G2755" s="5" t="s">
        <v>19446</v>
      </c>
      <c r="H2755" s="6" t="s">
        <v>19447</v>
      </c>
      <c r="K2755" s="5" t="s">
        <v>19347</v>
      </c>
    </row>
    <row r="2756">
      <c r="A2756" s="4">
        <v>45534.3413506713</v>
      </c>
      <c r="B2756" s="5" t="s">
        <v>34</v>
      </c>
      <c r="D2756" s="5" t="s">
        <v>996</v>
      </c>
      <c r="E2756" s="5" t="s">
        <v>19450</v>
      </c>
      <c r="F2756" s="5" t="s">
        <v>212</v>
      </c>
      <c r="G2756" s="5" t="s">
        <v>19451</v>
      </c>
      <c r="H2756" s="6" t="s">
        <v>19452</v>
      </c>
      <c r="K2756" s="5" t="s">
        <v>19347</v>
      </c>
    </row>
    <row r="2757">
      <c r="A2757" s="4">
        <v>45534.34137577546</v>
      </c>
      <c r="B2757" s="5" t="s">
        <v>34</v>
      </c>
      <c r="D2757" s="5" t="s">
        <v>4775</v>
      </c>
      <c r="E2757" s="5" t="s">
        <v>19455</v>
      </c>
      <c r="F2757" s="5" t="s">
        <v>37</v>
      </c>
      <c r="G2757" s="5" t="s">
        <v>19456</v>
      </c>
      <c r="H2757" s="6" t="s">
        <v>19457</v>
      </c>
      <c r="K2757" s="5" t="s">
        <v>19347</v>
      </c>
    </row>
    <row r="2758">
      <c r="A2758" s="4">
        <v>45534.34137922454</v>
      </c>
      <c r="B2758" s="5" t="s">
        <v>34</v>
      </c>
      <c r="D2758" s="5" t="s">
        <v>9394</v>
      </c>
      <c r="E2758" s="5" t="s">
        <v>19461</v>
      </c>
      <c r="F2758" s="5" t="s">
        <v>37</v>
      </c>
      <c r="G2758" s="5" t="s">
        <v>19462</v>
      </c>
      <c r="H2758" s="6" t="s">
        <v>19463</v>
      </c>
      <c r="K2758" s="5" t="s">
        <v>19347</v>
      </c>
    </row>
    <row r="2759">
      <c r="A2759" s="4">
        <v>45534.34138185185</v>
      </c>
      <c r="B2759" s="5" t="s">
        <v>34</v>
      </c>
      <c r="D2759" s="5" t="s">
        <v>4775</v>
      </c>
      <c r="E2759" s="5" t="s">
        <v>19466</v>
      </c>
      <c r="F2759" s="5" t="s">
        <v>37</v>
      </c>
      <c r="G2759" s="5" t="s">
        <v>19467</v>
      </c>
      <c r="H2759" s="6" t="s">
        <v>19468</v>
      </c>
      <c r="K2759" s="5" t="s">
        <v>19347</v>
      </c>
    </row>
    <row r="2760">
      <c r="A2760" s="4">
        <v>45534.341381990744</v>
      </c>
      <c r="B2760" s="5" t="s">
        <v>34</v>
      </c>
      <c r="D2760" s="5" t="s">
        <v>604</v>
      </c>
      <c r="E2760" s="5" t="s">
        <v>19471</v>
      </c>
      <c r="F2760" s="5" t="s">
        <v>5585</v>
      </c>
      <c r="G2760" s="5" t="s">
        <v>19472</v>
      </c>
      <c r="H2760" s="6" t="s">
        <v>19473</v>
      </c>
      <c r="K2760" s="5" t="s">
        <v>19347</v>
      </c>
    </row>
    <row r="2761">
      <c r="A2761" s="4">
        <v>45534.34138125</v>
      </c>
      <c r="B2761" s="5" t="s">
        <v>19</v>
      </c>
      <c r="C2761" s="5" t="s">
        <v>20</v>
      </c>
      <c r="E2761" s="5" t="s">
        <v>19476</v>
      </c>
      <c r="F2761" s="5" t="s">
        <v>120</v>
      </c>
      <c r="G2761" s="5" t="s">
        <v>19477</v>
      </c>
      <c r="H2761" s="6" t="s">
        <v>19478</v>
      </c>
      <c r="K2761" s="5" t="s">
        <v>19347</v>
      </c>
    </row>
    <row r="2762">
      <c r="A2762" s="4">
        <v>45534.341383657404</v>
      </c>
      <c r="B2762" s="5" t="s">
        <v>34</v>
      </c>
      <c r="D2762" s="5" t="s">
        <v>9020</v>
      </c>
      <c r="E2762" s="5" t="s">
        <v>19482</v>
      </c>
      <c r="F2762" s="5" t="s">
        <v>37</v>
      </c>
      <c r="G2762" s="5" t="s">
        <v>19483</v>
      </c>
      <c r="H2762" s="6" t="s">
        <v>19484</v>
      </c>
      <c r="K2762" s="5" t="s">
        <v>19347</v>
      </c>
    </row>
    <row r="2763">
      <c r="A2763" s="4">
        <v>45534.34138722222</v>
      </c>
      <c r="B2763" s="5" t="s">
        <v>34</v>
      </c>
      <c r="D2763" s="5" t="s">
        <v>280</v>
      </c>
      <c r="E2763" s="5" t="s">
        <v>19487</v>
      </c>
      <c r="F2763" s="5" t="s">
        <v>37</v>
      </c>
      <c r="G2763" s="5" t="s">
        <v>19488</v>
      </c>
      <c r="H2763" s="6" t="s">
        <v>19489</v>
      </c>
      <c r="K2763" s="5" t="s">
        <v>19347</v>
      </c>
    </row>
    <row r="2764">
      <c r="A2764" s="4">
        <v>45534.34139436342</v>
      </c>
      <c r="B2764" s="5" t="s">
        <v>34</v>
      </c>
      <c r="D2764" s="5" t="s">
        <v>12978</v>
      </c>
      <c r="E2764" s="5" t="s">
        <v>19492</v>
      </c>
      <c r="F2764" s="5" t="s">
        <v>715</v>
      </c>
      <c r="G2764" s="5" t="s">
        <v>19493</v>
      </c>
      <c r="H2764" s="6" t="s">
        <v>19494</v>
      </c>
      <c r="K2764" s="5" t="s">
        <v>19347</v>
      </c>
    </row>
    <row r="2765">
      <c r="A2765" s="4">
        <v>45534.34139851852</v>
      </c>
      <c r="B2765" s="5" t="s">
        <v>19</v>
      </c>
      <c r="C2765" s="5" t="s">
        <v>5564</v>
      </c>
      <c r="E2765" s="5" t="s">
        <v>19497</v>
      </c>
      <c r="F2765" s="5" t="s">
        <v>212</v>
      </c>
      <c r="G2765" s="5" t="s">
        <v>19498</v>
      </c>
      <c r="H2765" s="6" t="s">
        <v>19499</v>
      </c>
      <c r="K2765" s="5" t="s">
        <v>19347</v>
      </c>
    </row>
    <row r="2766">
      <c r="A2766" s="4">
        <v>45534.34140539352</v>
      </c>
      <c r="B2766" s="5" t="s">
        <v>34</v>
      </c>
      <c r="D2766" s="5" t="s">
        <v>9394</v>
      </c>
      <c r="E2766" s="5" t="s">
        <v>19502</v>
      </c>
      <c r="F2766" s="5" t="s">
        <v>108</v>
      </c>
      <c r="G2766" s="5" t="s">
        <v>19503</v>
      </c>
      <c r="H2766" s="6" t="s">
        <v>19504</v>
      </c>
      <c r="K2766" s="5" t="s">
        <v>19347</v>
      </c>
    </row>
    <row r="2767">
      <c r="A2767" s="4">
        <v>45534.341411851856</v>
      </c>
      <c r="B2767" s="5" t="s">
        <v>34</v>
      </c>
      <c r="D2767" s="5" t="s">
        <v>1206</v>
      </c>
      <c r="E2767" s="5" t="s">
        <v>19508</v>
      </c>
      <c r="F2767" s="5" t="s">
        <v>37</v>
      </c>
      <c r="G2767" s="5" t="s">
        <v>19509</v>
      </c>
      <c r="H2767" s="6" t="s">
        <v>19510</v>
      </c>
      <c r="K2767" s="5" t="s">
        <v>19347</v>
      </c>
    </row>
    <row r="2768">
      <c r="A2768" s="4">
        <v>45534.34142163194</v>
      </c>
      <c r="B2768" s="5" t="s">
        <v>34</v>
      </c>
      <c r="D2768" s="5" t="s">
        <v>3849</v>
      </c>
      <c r="E2768" s="5" t="s">
        <v>19513</v>
      </c>
      <c r="F2768" s="5" t="s">
        <v>72</v>
      </c>
      <c r="G2768" s="5" t="s">
        <v>19514</v>
      </c>
      <c r="H2768" s="6" t="s">
        <v>19515</v>
      </c>
      <c r="I2768" s="7" t="s">
        <v>19516</v>
      </c>
      <c r="J2768" s="8" t="str">
        <f>HYPERLINK("https://drive.google.com/file/d/1D1qIVaJXAb6hEtkETfRuJyZkVmdalvSB/view?usp=drivesdk","LISWARNY SERTIFIKAT BerAKHLAK")</f>
        <v>LISWARNY SERTIFIKAT BerAKHLAK</v>
      </c>
      <c r="K2768" s="5" t="s">
        <v>18654</v>
      </c>
      <c r="L2768" s="5" t="s">
        <v>19517</v>
      </c>
    </row>
    <row r="2769">
      <c r="A2769" s="4">
        <v>45534.341422743055</v>
      </c>
      <c r="B2769" s="5" t="s">
        <v>34</v>
      </c>
      <c r="D2769" s="5" t="s">
        <v>12978</v>
      </c>
      <c r="E2769" s="5" t="s">
        <v>19520</v>
      </c>
      <c r="F2769" s="5" t="s">
        <v>212</v>
      </c>
      <c r="G2769" s="5" t="s">
        <v>19521</v>
      </c>
      <c r="H2769" s="6" t="s">
        <v>19522</v>
      </c>
      <c r="I2769" s="7" t="s">
        <v>19523</v>
      </c>
      <c r="J2769" s="8" t="str">
        <f>HYPERLINK("https://drive.google.com/file/d/136-Xmio8IgN936wqeJDmpKYbUF6sk1J9/view?usp=drivesdk","RESSI YANTI  SERTIFIKAT BerAKHLAK")</f>
        <v>RESSI YANTI  SERTIFIKAT BerAKHLAK</v>
      </c>
      <c r="K2769" s="5" t="s">
        <v>18654</v>
      </c>
      <c r="L2769" s="5" t="s">
        <v>19524</v>
      </c>
    </row>
    <row r="2770">
      <c r="A2770" s="4">
        <v>45534.34142349537</v>
      </c>
      <c r="B2770" s="5" t="s">
        <v>34</v>
      </c>
      <c r="D2770" s="5" t="s">
        <v>1206</v>
      </c>
      <c r="E2770" s="5" t="s">
        <v>19527</v>
      </c>
      <c r="F2770" s="5" t="s">
        <v>212</v>
      </c>
      <c r="G2770" s="5" t="s">
        <v>19528</v>
      </c>
      <c r="H2770" s="6" t="s">
        <v>19529</v>
      </c>
      <c r="I2770" s="7" t="s">
        <v>19530</v>
      </c>
      <c r="J2770" s="8" t="str">
        <f>HYPERLINK("https://drive.google.com/file/d/1ixoKDJvsMce3YH3d6YqPAxmU8w__GK_e/view?usp=drivesdk","JUNARTI, SP.d SERTIFIKAT BerAKHLAK")</f>
        <v>JUNARTI, SP.d SERTIFIKAT BerAKHLAK</v>
      </c>
      <c r="K2770" s="5" t="s">
        <v>18654</v>
      </c>
      <c r="L2770" s="5" t="s">
        <v>19531</v>
      </c>
    </row>
    <row r="2771">
      <c r="A2771" s="4">
        <v>45534.34144883102</v>
      </c>
      <c r="B2771" s="5" t="s">
        <v>34</v>
      </c>
      <c r="D2771" s="5" t="s">
        <v>280</v>
      </c>
      <c r="E2771" s="5" t="s">
        <v>19534</v>
      </c>
      <c r="F2771" s="5" t="s">
        <v>37</v>
      </c>
      <c r="G2771" s="5" t="s">
        <v>19535</v>
      </c>
      <c r="H2771" s="6" t="s">
        <v>19536</v>
      </c>
      <c r="I2771" s="7" t="s">
        <v>19537</v>
      </c>
      <c r="J2771" s="8" t="str">
        <f>HYPERLINK("https://drive.google.com/file/d/1zYo3iOLlHEI9IvcrVFdDbcW4n2llIIOQ/view?usp=drivesdk","AHMAD BETA SERTIFIKAT BerAKHLAK")</f>
        <v>AHMAD BETA SERTIFIKAT BerAKHLAK</v>
      </c>
      <c r="K2771" s="5" t="s">
        <v>18654</v>
      </c>
      <c r="L2771" s="5" t="s">
        <v>19538</v>
      </c>
    </row>
    <row r="2772">
      <c r="A2772" s="4">
        <v>45534.341450092594</v>
      </c>
      <c r="B2772" s="5" t="s">
        <v>19</v>
      </c>
      <c r="C2772" s="5" t="s">
        <v>442</v>
      </c>
      <c r="E2772" s="5" t="s">
        <v>19542</v>
      </c>
      <c r="F2772" s="5" t="s">
        <v>212</v>
      </c>
      <c r="G2772" s="5" t="s">
        <v>19543</v>
      </c>
      <c r="H2772" s="6" t="s">
        <v>19544</v>
      </c>
      <c r="I2772" s="7" t="s">
        <v>19545</v>
      </c>
      <c r="J2772" s="8" t="str">
        <f>HYPERLINK("https://drive.google.com/file/d/1T67XzK1lZZNgeFh6fH723SCk169SgD9V/view?usp=drivesdk","SRI YANTIN  SERTIFIKAT BerAKHLAK")</f>
        <v>SRI YANTIN  SERTIFIKAT BerAKHLAK</v>
      </c>
      <c r="K2772" s="5" t="s">
        <v>18654</v>
      </c>
      <c r="L2772" s="5" t="s">
        <v>19546</v>
      </c>
    </row>
    <row r="2773">
      <c r="A2773" s="4">
        <v>45534.34146309028</v>
      </c>
      <c r="B2773" s="5" t="s">
        <v>34</v>
      </c>
      <c r="D2773" s="5" t="s">
        <v>10444</v>
      </c>
      <c r="E2773" s="5" t="s">
        <v>19550</v>
      </c>
      <c r="F2773" s="5" t="s">
        <v>212</v>
      </c>
      <c r="G2773" s="5" t="s">
        <v>19551</v>
      </c>
      <c r="H2773" s="6" t="s">
        <v>19552</v>
      </c>
      <c r="I2773" s="7" t="s">
        <v>19553</v>
      </c>
      <c r="J2773" s="8" t="str">
        <f>HYPERLINK("https://drive.google.com/file/d/1V9xaCN3D5ch0xifKsF7ItMsewvqg59oE/view?usp=drivesdk","SARI NURMAYA SERTIFIKAT BerAKHLAK")</f>
        <v>SARI NURMAYA SERTIFIKAT BerAKHLAK</v>
      </c>
      <c r="K2773" s="5" t="s">
        <v>18691</v>
      </c>
      <c r="L2773" s="5" t="s">
        <v>19554</v>
      </c>
    </row>
    <row r="2774">
      <c r="A2774" s="4">
        <v>45534.34146509259</v>
      </c>
      <c r="B2774" s="5" t="s">
        <v>34</v>
      </c>
      <c r="D2774" s="5" t="s">
        <v>35</v>
      </c>
      <c r="E2774" s="5" t="s">
        <v>19557</v>
      </c>
      <c r="F2774" s="5" t="s">
        <v>524</v>
      </c>
      <c r="G2774" s="5" t="s">
        <v>19558</v>
      </c>
      <c r="H2774" s="6" t="s">
        <v>19559</v>
      </c>
      <c r="I2774" s="7" t="s">
        <v>19560</v>
      </c>
      <c r="J2774" s="8" t="str">
        <f>HYPERLINK("https://drive.google.com/file/d/1Zyb80k4bPFlscDzsSG6IOXG7DXjLPYxs/view?usp=drivesdk","NUR APRILLAH,Amd.Kep SERTIFIKAT BerAKHLAK")</f>
        <v>NUR APRILLAH,Amd.Kep SERTIFIKAT BerAKHLAK</v>
      </c>
      <c r="K2774" s="5" t="s">
        <v>18691</v>
      </c>
      <c r="L2774" s="5" t="s">
        <v>19561</v>
      </c>
    </row>
    <row r="2775">
      <c r="A2775" s="4">
        <v>45534.34146945602</v>
      </c>
      <c r="B2775" s="5" t="s">
        <v>34</v>
      </c>
      <c r="D2775" s="5" t="s">
        <v>4775</v>
      </c>
      <c r="E2775" s="5" t="s">
        <v>19564</v>
      </c>
      <c r="F2775" s="5" t="s">
        <v>72</v>
      </c>
      <c r="G2775" s="5" t="s">
        <v>19565</v>
      </c>
      <c r="H2775" s="6" t="s">
        <v>19566</v>
      </c>
      <c r="I2775" s="7" t="s">
        <v>19567</v>
      </c>
      <c r="J2775" s="8" t="str">
        <f>HYPERLINK("https://drive.google.com/file/d/1lxmLw6jqJVfYrnSiJU0m0w_jVa1bFeEK/view?usp=drivesdk","HARTINI SERTIFIKAT BerAKHLAK")</f>
        <v>HARTINI SERTIFIKAT BerAKHLAK</v>
      </c>
      <c r="K2775" s="5" t="s">
        <v>18691</v>
      </c>
      <c r="L2775" s="5" t="s">
        <v>19568</v>
      </c>
    </row>
    <row r="2776">
      <c r="A2776" s="4">
        <v>45534.341476435184</v>
      </c>
      <c r="B2776" s="5" t="s">
        <v>34</v>
      </c>
      <c r="D2776" s="5" t="s">
        <v>280</v>
      </c>
      <c r="E2776" s="5" t="s">
        <v>18938</v>
      </c>
      <c r="F2776" s="5" t="s">
        <v>524</v>
      </c>
      <c r="G2776" s="5" t="s">
        <v>19571</v>
      </c>
      <c r="H2776" s="6" t="s">
        <v>19572</v>
      </c>
      <c r="K2776" s="5" t="s">
        <v>19573</v>
      </c>
    </row>
    <row r="2777">
      <c r="A2777" s="4">
        <v>45534.34148130787</v>
      </c>
      <c r="B2777" s="5" t="s">
        <v>34</v>
      </c>
      <c r="D2777" s="5" t="s">
        <v>9020</v>
      </c>
      <c r="E2777" s="5" t="s">
        <v>19577</v>
      </c>
      <c r="F2777" s="5" t="s">
        <v>212</v>
      </c>
      <c r="G2777" s="5" t="s">
        <v>19578</v>
      </c>
      <c r="H2777" s="6" t="s">
        <v>19579</v>
      </c>
      <c r="K2777" s="5" t="s">
        <v>19573</v>
      </c>
    </row>
    <row r="2778">
      <c r="A2778" s="4">
        <v>45534.341486122685</v>
      </c>
      <c r="B2778" s="5" t="s">
        <v>34</v>
      </c>
      <c r="D2778" s="5" t="s">
        <v>10297</v>
      </c>
      <c r="E2778" s="5" t="s">
        <v>19582</v>
      </c>
      <c r="F2778" s="5" t="s">
        <v>37</v>
      </c>
      <c r="G2778" s="5" t="s">
        <v>19583</v>
      </c>
      <c r="H2778" s="6" t="s">
        <v>19584</v>
      </c>
      <c r="K2778" s="5" t="s">
        <v>19573</v>
      </c>
    </row>
    <row r="2779">
      <c r="A2779" s="4">
        <v>45534.341490543986</v>
      </c>
      <c r="B2779" s="5" t="s">
        <v>34</v>
      </c>
      <c r="D2779" s="5" t="s">
        <v>1206</v>
      </c>
      <c r="E2779" s="5" t="s">
        <v>19587</v>
      </c>
      <c r="F2779" s="5" t="s">
        <v>37</v>
      </c>
      <c r="G2779" s="5" t="s">
        <v>19588</v>
      </c>
      <c r="H2779" s="6" t="s">
        <v>19589</v>
      </c>
      <c r="K2779" s="5" t="s">
        <v>19573</v>
      </c>
    </row>
    <row r="2780">
      <c r="A2780" s="4">
        <v>45534.341492499996</v>
      </c>
      <c r="B2780" s="5" t="s">
        <v>34</v>
      </c>
      <c r="D2780" s="5" t="s">
        <v>1206</v>
      </c>
      <c r="E2780" s="5" t="s">
        <v>19592</v>
      </c>
      <c r="F2780" s="5" t="s">
        <v>37</v>
      </c>
      <c r="G2780" s="5" t="s">
        <v>19593</v>
      </c>
      <c r="H2780" s="6" t="s">
        <v>19594</v>
      </c>
      <c r="K2780" s="5" t="s">
        <v>19573</v>
      </c>
    </row>
    <row r="2781">
      <c r="A2781" s="4">
        <v>45534.34149244213</v>
      </c>
      <c r="B2781" s="5" t="s">
        <v>34</v>
      </c>
      <c r="D2781" s="5" t="s">
        <v>1456</v>
      </c>
      <c r="E2781" s="5" t="s">
        <v>19598</v>
      </c>
      <c r="F2781" s="5" t="s">
        <v>37</v>
      </c>
      <c r="G2781" s="5" t="s">
        <v>19599</v>
      </c>
      <c r="H2781" s="6" t="s">
        <v>19600</v>
      </c>
      <c r="K2781" s="5" t="s">
        <v>19573</v>
      </c>
    </row>
    <row r="2782">
      <c r="A2782" s="4">
        <v>45534.34149922454</v>
      </c>
      <c r="B2782" s="5" t="s">
        <v>34</v>
      </c>
      <c r="D2782" s="5" t="s">
        <v>280</v>
      </c>
      <c r="E2782" s="5" t="s">
        <v>19603</v>
      </c>
      <c r="F2782" s="5" t="s">
        <v>212</v>
      </c>
      <c r="G2782" s="5" t="s">
        <v>19604</v>
      </c>
      <c r="H2782" s="6" t="s">
        <v>19605</v>
      </c>
      <c r="K2782" s="5" t="s">
        <v>19573</v>
      </c>
    </row>
    <row r="2783">
      <c r="A2783" s="4">
        <v>45534.341499270835</v>
      </c>
      <c r="B2783" s="5" t="s">
        <v>34</v>
      </c>
      <c r="D2783" s="5" t="s">
        <v>1206</v>
      </c>
      <c r="E2783" s="5" t="s">
        <v>19608</v>
      </c>
      <c r="F2783" s="5" t="s">
        <v>37</v>
      </c>
      <c r="G2783" s="5" t="s">
        <v>19609</v>
      </c>
      <c r="H2783" s="6" t="s">
        <v>19610</v>
      </c>
      <c r="K2783" s="5" t="s">
        <v>19573</v>
      </c>
    </row>
    <row r="2784">
      <c r="A2784" s="4">
        <v>45534.341499745366</v>
      </c>
      <c r="B2784" s="5" t="s">
        <v>34</v>
      </c>
      <c r="D2784" s="5" t="s">
        <v>522</v>
      </c>
      <c r="E2784" s="7" t="s">
        <v>19613</v>
      </c>
      <c r="F2784" s="5" t="s">
        <v>212</v>
      </c>
      <c r="G2784" s="5" t="s">
        <v>19614</v>
      </c>
      <c r="H2784" s="6" t="s">
        <v>19615</v>
      </c>
      <c r="K2784" s="5" t="s">
        <v>19573</v>
      </c>
    </row>
    <row r="2785">
      <c r="A2785" s="4">
        <v>45534.34150962963</v>
      </c>
      <c r="B2785" s="5" t="s">
        <v>34</v>
      </c>
      <c r="D2785" s="5" t="s">
        <v>1206</v>
      </c>
      <c r="E2785" s="5" t="s">
        <v>19618</v>
      </c>
      <c r="F2785" s="5" t="s">
        <v>37</v>
      </c>
      <c r="G2785" s="5" t="s">
        <v>19619</v>
      </c>
      <c r="H2785" s="6" t="s">
        <v>19620</v>
      </c>
      <c r="K2785" s="5" t="s">
        <v>19573</v>
      </c>
    </row>
    <row r="2786">
      <c r="A2786" s="4">
        <v>45534.34151738426</v>
      </c>
      <c r="B2786" s="5" t="s">
        <v>19</v>
      </c>
      <c r="C2786" s="5" t="s">
        <v>10418</v>
      </c>
      <c r="E2786" s="5" t="s">
        <v>19624</v>
      </c>
      <c r="F2786" s="5" t="s">
        <v>375</v>
      </c>
      <c r="G2786" s="5" t="s">
        <v>19625</v>
      </c>
      <c r="H2786" s="6" t="s">
        <v>19626</v>
      </c>
      <c r="K2786" s="5" t="s">
        <v>19573</v>
      </c>
    </row>
    <row r="2787">
      <c r="A2787" s="4">
        <v>45534.34152298611</v>
      </c>
      <c r="B2787" s="5" t="s">
        <v>34</v>
      </c>
      <c r="D2787" s="5" t="s">
        <v>14313</v>
      </c>
      <c r="E2787" s="5" t="s">
        <v>19629</v>
      </c>
      <c r="F2787" s="5" t="s">
        <v>108</v>
      </c>
      <c r="G2787" s="5" t="s">
        <v>19630</v>
      </c>
      <c r="H2787" s="6" t="s">
        <v>19631</v>
      </c>
      <c r="K2787" s="5" t="s">
        <v>19573</v>
      </c>
    </row>
    <row r="2788">
      <c r="A2788" s="4">
        <v>45534.34152646991</v>
      </c>
      <c r="B2788" s="5" t="s">
        <v>34</v>
      </c>
      <c r="D2788" s="5" t="s">
        <v>1206</v>
      </c>
      <c r="E2788" s="5" t="s">
        <v>19634</v>
      </c>
      <c r="F2788" s="5" t="s">
        <v>328</v>
      </c>
      <c r="G2788" s="5" t="s">
        <v>19635</v>
      </c>
      <c r="H2788" s="6" t="s">
        <v>19636</v>
      </c>
      <c r="K2788" s="5" t="s">
        <v>19573</v>
      </c>
    </row>
    <row r="2789">
      <c r="A2789" s="4">
        <v>45534.341538796296</v>
      </c>
      <c r="B2789" s="5" t="s">
        <v>34</v>
      </c>
      <c r="D2789" s="5" t="s">
        <v>3432</v>
      </c>
      <c r="E2789" s="5" t="s">
        <v>19639</v>
      </c>
      <c r="F2789" s="5" t="s">
        <v>37</v>
      </c>
      <c r="G2789" s="5" t="s">
        <v>19640</v>
      </c>
      <c r="H2789" s="6" t="s">
        <v>19641</v>
      </c>
      <c r="K2789" s="5" t="s">
        <v>19573</v>
      </c>
    </row>
    <row r="2790">
      <c r="A2790" s="4">
        <v>45534.34154140046</v>
      </c>
      <c r="B2790" s="5" t="s">
        <v>19</v>
      </c>
      <c r="C2790" s="5" t="s">
        <v>14000</v>
      </c>
      <c r="E2790" s="5" t="s">
        <v>19645</v>
      </c>
      <c r="F2790" s="5" t="s">
        <v>37</v>
      </c>
      <c r="G2790" s="5" t="s">
        <v>19646</v>
      </c>
      <c r="H2790" s="6" t="s">
        <v>19647</v>
      </c>
      <c r="K2790" s="5" t="s">
        <v>19573</v>
      </c>
    </row>
    <row r="2791">
      <c r="A2791" s="4">
        <v>45534.34154486111</v>
      </c>
      <c r="B2791" s="5" t="s">
        <v>34</v>
      </c>
      <c r="D2791" s="5" t="s">
        <v>35</v>
      </c>
      <c r="E2791" s="5" t="s">
        <v>19650</v>
      </c>
      <c r="F2791" s="5" t="s">
        <v>212</v>
      </c>
      <c r="G2791" s="5" t="s">
        <v>19651</v>
      </c>
      <c r="H2791" s="6" t="s">
        <v>19652</v>
      </c>
      <c r="K2791" s="5" t="s">
        <v>19573</v>
      </c>
    </row>
    <row r="2792">
      <c r="A2792" s="4">
        <v>45534.341554189814</v>
      </c>
      <c r="B2792" s="5" t="s">
        <v>34</v>
      </c>
      <c r="D2792" s="5" t="s">
        <v>4775</v>
      </c>
      <c r="E2792" s="5" t="s">
        <v>19655</v>
      </c>
      <c r="F2792" s="5" t="s">
        <v>375</v>
      </c>
      <c r="G2792" s="5" t="s">
        <v>19656</v>
      </c>
      <c r="H2792" s="6" t="s">
        <v>19657</v>
      </c>
      <c r="K2792" s="5" t="s">
        <v>19573</v>
      </c>
    </row>
    <row r="2793">
      <c r="A2793" s="4">
        <v>45534.34156133102</v>
      </c>
      <c r="B2793" s="5" t="s">
        <v>34</v>
      </c>
      <c r="D2793" s="5" t="s">
        <v>4775</v>
      </c>
      <c r="E2793" s="5" t="s">
        <v>19661</v>
      </c>
      <c r="F2793" s="5" t="s">
        <v>212</v>
      </c>
      <c r="G2793" s="5" t="s">
        <v>19662</v>
      </c>
      <c r="H2793" s="6" t="s">
        <v>19663</v>
      </c>
      <c r="K2793" s="5" t="s">
        <v>19573</v>
      </c>
    </row>
    <row r="2794">
      <c r="A2794" s="4">
        <v>45534.34156664352</v>
      </c>
      <c r="B2794" s="5" t="s">
        <v>34</v>
      </c>
      <c r="D2794" s="5" t="s">
        <v>1768</v>
      </c>
      <c r="E2794" s="5" t="s">
        <v>19666</v>
      </c>
      <c r="F2794" s="5" t="s">
        <v>120</v>
      </c>
      <c r="G2794" s="5" t="s">
        <v>19667</v>
      </c>
      <c r="H2794" s="6" t="s">
        <v>19668</v>
      </c>
      <c r="K2794" s="5" t="s">
        <v>19573</v>
      </c>
    </row>
    <row r="2795">
      <c r="A2795" s="4">
        <v>45534.341585891205</v>
      </c>
      <c r="B2795" s="5" t="s">
        <v>34</v>
      </c>
      <c r="D2795" s="5" t="s">
        <v>1206</v>
      </c>
      <c r="E2795" s="7" t="s">
        <v>19671</v>
      </c>
      <c r="F2795" s="5" t="s">
        <v>715</v>
      </c>
      <c r="G2795" s="5" t="s">
        <v>19672</v>
      </c>
      <c r="H2795" s="6" t="s">
        <v>19673</v>
      </c>
      <c r="I2795" s="7" t="s">
        <v>19674</v>
      </c>
      <c r="J2795" s="8" t="str">
        <f>HYPERLINK("https://drive.google.com/file/d/1u7XKnzosx8IxV7TmC_biTVqXaNSDshmx/view?usp=drivesdk","SULASTUTIK.SH SERTIFIKAT BerAKHLAK")</f>
        <v>SULASTUTIK.SH SERTIFIKAT BerAKHLAK</v>
      </c>
      <c r="K2795" s="5" t="s">
        <v>18654</v>
      </c>
      <c r="L2795" s="5" t="s">
        <v>19675</v>
      </c>
    </row>
    <row r="2796">
      <c r="A2796" s="4">
        <v>45534.341589421296</v>
      </c>
      <c r="B2796" s="5" t="s">
        <v>19</v>
      </c>
      <c r="C2796" s="5" t="s">
        <v>466</v>
      </c>
      <c r="E2796" s="5" t="s">
        <v>19679</v>
      </c>
      <c r="F2796" s="5" t="s">
        <v>72</v>
      </c>
      <c r="G2796" s="5" t="s">
        <v>19680</v>
      </c>
      <c r="H2796" s="6" t="s">
        <v>19681</v>
      </c>
      <c r="I2796" s="7" t="s">
        <v>19682</v>
      </c>
      <c r="J2796" s="8" t="str">
        <f>HYPERLINK("https://drive.google.com/file/d/1eiE71FXh1wM2UsZdHpw3H6JrowzGmly-/view?usp=drivesdk","NANIK YULIASTUTI  SERTIFIKAT BerAKHLAK")</f>
        <v>NANIK YULIASTUTI  SERTIFIKAT BerAKHLAK</v>
      </c>
      <c r="K2796" s="5" t="s">
        <v>18654</v>
      </c>
      <c r="L2796" s="5" t="s">
        <v>19683</v>
      </c>
    </row>
    <row r="2797">
      <c r="A2797" s="4">
        <v>45534.34160112268</v>
      </c>
      <c r="B2797" s="5" t="s">
        <v>34</v>
      </c>
      <c r="D2797" s="5" t="s">
        <v>9020</v>
      </c>
      <c r="E2797" s="5" t="s">
        <v>19686</v>
      </c>
      <c r="F2797" s="5" t="s">
        <v>72</v>
      </c>
      <c r="G2797" s="5" t="s">
        <v>19687</v>
      </c>
      <c r="H2797" s="6" t="s">
        <v>19688</v>
      </c>
      <c r="I2797" s="7" t="s">
        <v>19689</v>
      </c>
      <c r="J2797" s="8" t="str">
        <f>HYPERLINK("https://drive.google.com/file/d/11kNzuzlQMBvuLqB40PUjqSC7h4o3zCDW/view?usp=drivesdk","ALIDA  LJ SILALAHI, SE SERTIFIKAT BerAKHLAK")</f>
        <v>ALIDA  LJ SILALAHI, SE SERTIFIKAT BerAKHLAK</v>
      </c>
      <c r="K2797" s="5" t="s">
        <v>18654</v>
      </c>
      <c r="L2797" s="5" t="s">
        <v>19690</v>
      </c>
    </row>
    <row r="2798">
      <c r="A2798" s="4">
        <v>45534.34161004629</v>
      </c>
      <c r="B2798" s="5" t="s">
        <v>34</v>
      </c>
      <c r="D2798" s="5" t="s">
        <v>1206</v>
      </c>
      <c r="E2798" s="5" t="s">
        <v>19693</v>
      </c>
      <c r="F2798" s="5" t="s">
        <v>37</v>
      </c>
      <c r="G2798" s="5" t="s">
        <v>19694</v>
      </c>
      <c r="H2798" s="6" t="s">
        <v>19695</v>
      </c>
      <c r="I2798" s="7" t="s">
        <v>19696</v>
      </c>
      <c r="J2798" s="8" t="str">
        <f>HYPERLINK("https://drive.google.com/file/d/179yJqbC0nAY0lIE0Reo6-Hj80sCAB31p/view?usp=drivesdk","EKO PRIYANTO SERTIFIKAT BerAKHLAK")</f>
        <v>EKO PRIYANTO SERTIFIKAT BerAKHLAK</v>
      </c>
      <c r="K2798" s="5" t="s">
        <v>18654</v>
      </c>
      <c r="L2798" s="5" t="s">
        <v>19697</v>
      </c>
    </row>
    <row r="2799">
      <c r="A2799" s="4">
        <v>45534.341612731485</v>
      </c>
      <c r="B2799" s="5" t="s">
        <v>34</v>
      </c>
      <c r="D2799" s="5" t="s">
        <v>1456</v>
      </c>
      <c r="E2799" s="5" t="s">
        <v>19700</v>
      </c>
      <c r="F2799" s="5" t="s">
        <v>37</v>
      </c>
      <c r="G2799" s="5" t="s">
        <v>19701</v>
      </c>
      <c r="H2799" s="6" t="s">
        <v>19702</v>
      </c>
      <c r="I2799" s="7" t="s">
        <v>19703</v>
      </c>
      <c r="J2799" s="8" t="str">
        <f>HYPERLINK("https://drive.google.com/file/d/1xOixOUDEYpOXBEr2cGsrBu9XU5fzn0KJ/view?usp=drivesdk","MUHAMAD SANI SERTIFIKAT BerAKHLAK")</f>
        <v>MUHAMAD SANI SERTIFIKAT BerAKHLAK</v>
      </c>
      <c r="K2799" s="5" t="s">
        <v>18654</v>
      </c>
      <c r="L2799" s="5" t="s">
        <v>19704</v>
      </c>
    </row>
    <row r="2800">
      <c r="A2800" s="4">
        <v>45534.341612881944</v>
      </c>
      <c r="B2800" s="5" t="s">
        <v>34</v>
      </c>
      <c r="D2800" s="5" t="s">
        <v>35</v>
      </c>
      <c r="E2800" s="5" t="s">
        <v>19708</v>
      </c>
      <c r="F2800" s="5" t="s">
        <v>108</v>
      </c>
      <c r="G2800" s="5" t="s">
        <v>19709</v>
      </c>
      <c r="H2800" s="6" t="s">
        <v>19710</v>
      </c>
      <c r="I2800" s="7" t="s">
        <v>19711</v>
      </c>
      <c r="J2800" s="8" t="str">
        <f>HYPERLINK("https://drive.google.com/file/d/12r3GUvf9o5B0hri1lG86KeX-qCewnfth/view?usp=drivesdk","SITI MURTINI SERTIFIKAT BerAKHLAK")</f>
        <v>SITI MURTINI SERTIFIKAT BerAKHLAK</v>
      </c>
      <c r="K2800" s="5" t="s">
        <v>18654</v>
      </c>
      <c r="L2800" s="5" t="s">
        <v>19712</v>
      </c>
    </row>
    <row r="2801">
      <c r="A2801" s="4">
        <v>45534.34161459491</v>
      </c>
      <c r="B2801" s="5" t="s">
        <v>34</v>
      </c>
      <c r="D2801" s="5" t="s">
        <v>522</v>
      </c>
      <c r="E2801" s="5" t="s">
        <v>19715</v>
      </c>
      <c r="F2801" s="5" t="s">
        <v>212</v>
      </c>
      <c r="G2801" s="5" t="s">
        <v>19716</v>
      </c>
      <c r="H2801" s="6" t="s">
        <v>19717</v>
      </c>
      <c r="I2801" s="7" t="s">
        <v>19718</v>
      </c>
      <c r="J2801" s="8" t="str">
        <f>HYPERLINK("https://drive.google.com/file/d/1XqoYxOnl2K8p-91VBEu-CfzuNJ9eowHQ/view?usp=drivesdk","MISNAYO SERTIFIKAT BerAKHLAK")</f>
        <v>MISNAYO SERTIFIKAT BerAKHLAK</v>
      </c>
      <c r="K2801" s="5" t="s">
        <v>18654</v>
      </c>
      <c r="L2801" s="5" t="s">
        <v>19719</v>
      </c>
    </row>
    <row r="2802">
      <c r="A2802" s="4">
        <v>45534.341621562504</v>
      </c>
      <c r="B2802" s="5" t="s">
        <v>34</v>
      </c>
      <c r="D2802" s="5" t="s">
        <v>267</v>
      </c>
      <c r="E2802" s="5" t="s">
        <v>19722</v>
      </c>
      <c r="F2802" s="5" t="s">
        <v>524</v>
      </c>
      <c r="G2802" s="5" t="s">
        <v>19723</v>
      </c>
      <c r="H2802" s="6" t="s">
        <v>19724</v>
      </c>
      <c r="I2802" s="7" t="s">
        <v>19725</v>
      </c>
      <c r="J2802" s="8" t="str">
        <f>HYPERLINK("https://drive.google.com/file/d/1ESZNXOv75MNLbAkB3-Icz_6RgeW6h3F5/view?usp=drivesdk","SUPARMAN SERTIFIKAT BerAKHLAK")</f>
        <v>SUPARMAN SERTIFIKAT BerAKHLAK</v>
      </c>
      <c r="K2802" s="5" t="s">
        <v>18654</v>
      </c>
      <c r="L2802" s="5" t="s">
        <v>19726</v>
      </c>
    </row>
    <row r="2803">
      <c r="A2803" s="4">
        <v>45534.341624733795</v>
      </c>
      <c r="B2803" s="5" t="s">
        <v>34</v>
      </c>
      <c r="D2803" s="5" t="s">
        <v>9020</v>
      </c>
      <c r="E2803" s="5" t="s">
        <v>19729</v>
      </c>
      <c r="F2803" s="5" t="s">
        <v>72</v>
      </c>
      <c r="G2803" s="5" t="s">
        <v>19730</v>
      </c>
      <c r="H2803" s="6" t="s">
        <v>19731</v>
      </c>
      <c r="I2803" s="7" t="s">
        <v>19732</v>
      </c>
      <c r="J2803" s="8" t="str">
        <f>HYPERLINK("https://drive.google.com/file/d/1H4B8lDhuGrPHu1wPFWuI4SgK04zvxy5g/view?usp=drivesdk","Tusiyah,SST.FT SERTIFIKAT BerAKHLAK")</f>
        <v>Tusiyah,SST.FT SERTIFIKAT BerAKHLAK</v>
      </c>
      <c r="K2803" s="5" t="s">
        <v>18691</v>
      </c>
      <c r="L2803" s="5" t="s">
        <v>19733</v>
      </c>
    </row>
    <row r="2804">
      <c r="A2804" s="4">
        <v>45534.34164047454</v>
      </c>
      <c r="B2804" s="5" t="s">
        <v>19</v>
      </c>
      <c r="C2804" s="5" t="s">
        <v>5564</v>
      </c>
      <c r="E2804" s="5" t="s">
        <v>19737</v>
      </c>
      <c r="F2804" s="5" t="s">
        <v>212</v>
      </c>
      <c r="G2804" s="5" t="s">
        <v>19738</v>
      </c>
      <c r="H2804" s="6" t="s">
        <v>19739</v>
      </c>
      <c r="I2804" s="7" t="s">
        <v>19740</v>
      </c>
      <c r="J2804" s="8" t="str">
        <f>HYPERLINK("https://drive.google.com/file/d/15Fwtzw7sBZloAPQ1yxrCnG64U2JQ1pxl/view?usp=drivesdk","TUSYAL RIYANI  SERTIFIKAT BerAKHLAK")</f>
        <v>TUSYAL RIYANI  SERTIFIKAT BerAKHLAK</v>
      </c>
      <c r="K2804" s="5" t="s">
        <v>18691</v>
      </c>
      <c r="L2804" s="5" t="s">
        <v>19741</v>
      </c>
    </row>
    <row r="2805">
      <c r="A2805" s="4">
        <v>45534.341642060186</v>
      </c>
      <c r="B2805" s="5" t="s">
        <v>34</v>
      </c>
      <c r="D2805" s="5" t="s">
        <v>4775</v>
      </c>
      <c r="E2805" s="5" t="s">
        <v>19744</v>
      </c>
      <c r="F2805" s="5" t="s">
        <v>212</v>
      </c>
      <c r="G2805" s="5" t="s">
        <v>19745</v>
      </c>
      <c r="H2805" s="6" t="s">
        <v>19746</v>
      </c>
      <c r="K2805" s="5" t="s">
        <v>19747</v>
      </c>
    </row>
    <row r="2806">
      <c r="A2806" s="4">
        <v>45534.34164327546</v>
      </c>
      <c r="B2806" s="5" t="s">
        <v>34</v>
      </c>
      <c r="D2806" s="5" t="s">
        <v>1206</v>
      </c>
      <c r="E2806" s="5" t="s">
        <v>19750</v>
      </c>
      <c r="F2806" s="5" t="s">
        <v>375</v>
      </c>
      <c r="G2806" s="5" t="s">
        <v>19751</v>
      </c>
      <c r="H2806" s="6" t="s">
        <v>19752</v>
      </c>
      <c r="K2806" s="5" t="s">
        <v>19747</v>
      </c>
    </row>
    <row r="2807">
      <c r="A2807" s="4">
        <v>45534.34165915509</v>
      </c>
      <c r="B2807" s="5" t="s">
        <v>34</v>
      </c>
      <c r="D2807" s="5" t="s">
        <v>35</v>
      </c>
      <c r="E2807" s="5" t="s">
        <v>19755</v>
      </c>
      <c r="F2807" s="5" t="s">
        <v>212</v>
      </c>
      <c r="G2807" s="5" t="s">
        <v>19756</v>
      </c>
      <c r="H2807" s="6" t="s">
        <v>19757</v>
      </c>
      <c r="K2807" s="5" t="s">
        <v>19747</v>
      </c>
    </row>
    <row r="2808">
      <c r="A2808" s="4">
        <v>45534.34166144676</v>
      </c>
      <c r="B2808" s="5" t="s">
        <v>34</v>
      </c>
      <c r="D2808" s="5" t="s">
        <v>280</v>
      </c>
      <c r="E2808" s="5" t="s">
        <v>19761</v>
      </c>
      <c r="F2808" s="5" t="s">
        <v>524</v>
      </c>
      <c r="G2808" s="5" t="s">
        <v>19762</v>
      </c>
      <c r="H2808" s="6" t="s">
        <v>19763</v>
      </c>
      <c r="K2808" s="5" t="s">
        <v>19747</v>
      </c>
    </row>
    <row r="2809">
      <c r="A2809" s="4">
        <v>45534.34166892361</v>
      </c>
      <c r="B2809" s="5" t="s">
        <v>34</v>
      </c>
      <c r="D2809" s="5" t="s">
        <v>1206</v>
      </c>
      <c r="E2809" s="5" t="s">
        <v>19766</v>
      </c>
      <c r="F2809" s="5" t="s">
        <v>85</v>
      </c>
      <c r="G2809" s="5" t="s">
        <v>19767</v>
      </c>
      <c r="H2809" s="6" t="s">
        <v>19768</v>
      </c>
      <c r="K2809" s="5" t="s">
        <v>19747</v>
      </c>
    </row>
    <row r="2810">
      <c r="A2810" s="4">
        <v>45534.34166888889</v>
      </c>
      <c r="B2810" s="5" t="s">
        <v>19</v>
      </c>
      <c r="C2810" s="5" t="s">
        <v>5564</v>
      </c>
      <c r="E2810" s="5" t="s">
        <v>19771</v>
      </c>
      <c r="F2810" s="5" t="s">
        <v>120</v>
      </c>
      <c r="G2810" s="5" t="s">
        <v>19772</v>
      </c>
      <c r="H2810" s="6" t="s">
        <v>19773</v>
      </c>
      <c r="K2810" s="5" t="s">
        <v>19747</v>
      </c>
    </row>
    <row r="2811">
      <c r="A2811" s="4">
        <v>45534.34167517361</v>
      </c>
      <c r="B2811" s="5" t="s">
        <v>34</v>
      </c>
      <c r="D2811" s="5" t="s">
        <v>1692</v>
      </c>
      <c r="E2811" s="5" t="s">
        <v>19776</v>
      </c>
      <c r="F2811" s="5" t="s">
        <v>524</v>
      </c>
      <c r="G2811" s="5" t="s">
        <v>19777</v>
      </c>
      <c r="H2811" s="6" t="s">
        <v>19778</v>
      </c>
      <c r="K2811" s="5" t="s">
        <v>19747</v>
      </c>
    </row>
    <row r="2812">
      <c r="A2812" s="4">
        <v>45534.34168413194</v>
      </c>
      <c r="B2812" s="5" t="s">
        <v>34</v>
      </c>
      <c r="D2812" s="5" t="s">
        <v>1206</v>
      </c>
      <c r="E2812" s="5" t="s">
        <v>19781</v>
      </c>
      <c r="F2812" s="5" t="s">
        <v>37</v>
      </c>
      <c r="G2812" s="5" t="s">
        <v>19782</v>
      </c>
      <c r="H2812" s="6" t="s">
        <v>19783</v>
      </c>
      <c r="K2812" s="5" t="s">
        <v>19747</v>
      </c>
    </row>
    <row r="2813">
      <c r="A2813" s="4">
        <v>45534.341685555555</v>
      </c>
      <c r="B2813" s="5" t="s">
        <v>34</v>
      </c>
      <c r="D2813" s="5" t="s">
        <v>35</v>
      </c>
      <c r="E2813" s="5" t="s">
        <v>19787</v>
      </c>
      <c r="F2813" s="5" t="s">
        <v>375</v>
      </c>
      <c r="G2813" s="5" t="s">
        <v>19788</v>
      </c>
      <c r="H2813" s="6" t="s">
        <v>19789</v>
      </c>
      <c r="I2813" s="7" t="s">
        <v>19790</v>
      </c>
      <c r="J2813" s="8" t="str">
        <f>HYPERLINK("https://drive.google.com/file/d/1T4DtVzDEC-huQrA8kyk1st7P8v5UsnZg/view?usp=drivesdk","ADENG WISNU WARDANA, S.Sos SERTIFIKAT BerAKHLAK")</f>
        <v>ADENG WISNU WARDANA, S.Sos SERTIFIKAT BerAKHLAK</v>
      </c>
      <c r="K2813" s="5" t="s">
        <v>18654</v>
      </c>
      <c r="L2813" s="5" t="s">
        <v>19791</v>
      </c>
    </row>
    <row r="2814">
      <c r="A2814" s="4">
        <v>45534.34168748843</v>
      </c>
      <c r="B2814" s="5" t="s">
        <v>34</v>
      </c>
      <c r="D2814" s="5" t="s">
        <v>3849</v>
      </c>
      <c r="E2814" s="5" t="s">
        <v>19794</v>
      </c>
      <c r="F2814" s="5" t="s">
        <v>328</v>
      </c>
      <c r="G2814" s="5" t="s">
        <v>19795</v>
      </c>
      <c r="H2814" s="6" t="s">
        <v>19796</v>
      </c>
      <c r="I2814" s="7" t="s">
        <v>19797</v>
      </c>
      <c r="J2814" s="8" t="str">
        <f>HYPERLINK("https://drive.google.com/file/d/1EMPifs_iDtUB-veGS55nKEJsLQ7UwJr1/view?usp=drivesdk","RUDY MARYONO SERTIFIKAT BerAKHLAK")</f>
        <v>RUDY MARYONO SERTIFIKAT BerAKHLAK</v>
      </c>
      <c r="K2814" s="5" t="s">
        <v>18654</v>
      </c>
      <c r="L2814" s="5" t="s">
        <v>19798</v>
      </c>
    </row>
    <row r="2815">
      <c r="A2815" s="4">
        <v>45534.341689629626</v>
      </c>
      <c r="B2815" s="5" t="s">
        <v>34</v>
      </c>
      <c r="D2815" s="5" t="s">
        <v>3849</v>
      </c>
      <c r="E2815" s="5" t="s">
        <v>19802</v>
      </c>
      <c r="F2815" s="5" t="s">
        <v>72</v>
      </c>
      <c r="G2815" s="5" t="s">
        <v>19803</v>
      </c>
      <c r="H2815" s="6" t="s">
        <v>19804</v>
      </c>
      <c r="I2815" s="7" t="s">
        <v>19805</v>
      </c>
      <c r="J2815" s="8" t="str">
        <f>HYPERLINK("https://drive.google.com/file/d/1MQ8-ByV0n8ZJIXsrEgyyKlem9gxAHB_w/view?usp=drivesdk","ERYANI, AM.D SERTIFIKAT BerAKHLAK")</f>
        <v>ERYANI, AM.D SERTIFIKAT BerAKHLAK</v>
      </c>
      <c r="K2815" s="5" t="s">
        <v>18654</v>
      </c>
      <c r="L2815" s="5" t="s">
        <v>19806</v>
      </c>
    </row>
    <row r="2816">
      <c r="A2816" s="4">
        <v>45534.34169155093</v>
      </c>
      <c r="B2816" s="5" t="s">
        <v>34</v>
      </c>
      <c r="D2816" s="5" t="s">
        <v>35</v>
      </c>
      <c r="E2816" s="5" t="s">
        <v>19809</v>
      </c>
      <c r="F2816" s="5" t="s">
        <v>37</v>
      </c>
      <c r="G2816" s="5" t="s">
        <v>19810</v>
      </c>
      <c r="H2816" s="6" t="s">
        <v>19811</v>
      </c>
      <c r="I2816" s="7" t="s">
        <v>19812</v>
      </c>
      <c r="J2816" s="8" t="str">
        <f>HYPERLINK("https://drive.google.com/file/d/1v-x06coa_6kz0E2CyZX8TMMnyFicibKY/view?usp=drivesdk","AGI SAPUTRA KURNIA UTAMA  SERTIFIKAT BerAKHLAK")</f>
        <v>AGI SAPUTRA KURNIA UTAMA  SERTIFIKAT BerAKHLAK</v>
      </c>
      <c r="K2816" s="5" t="s">
        <v>18654</v>
      </c>
      <c r="L2816" s="5" t="s">
        <v>19813</v>
      </c>
    </row>
    <row r="2817">
      <c r="A2817" s="4">
        <v>45534.34170149306</v>
      </c>
      <c r="B2817" s="5" t="s">
        <v>34</v>
      </c>
      <c r="D2817" s="5" t="s">
        <v>9394</v>
      </c>
      <c r="E2817" s="5" t="s">
        <v>19817</v>
      </c>
      <c r="F2817" s="5" t="s">
        <v>715</v>
      </c>
      <c r="G2817" s="5" t="s">
        <v>19818</v>
      </c>
      <c r="H2817" s="6" t="s">
        <v>19819</v>
      </c>
      <c r="I2817" s="7" t="s">
        <v>19820</v>
      </c>
      <c r="J2817" s="8" t="str">
        <f>HYPERLINK("https://drive.google.com/file/d/1OH73lgNet_VV7qrUKuGbkXYNzaSdHgRO/view?usp=drivesdk","DUMIATUN RAHAYUNINGSIH, SE SERTIFIKAT BerAKHLAK")</f>
        <v>DUMIATUN RAHAYUNINGSIH, SE SERTIFIKAT BerAKHLAK</v>
      </c>
      <c r="K2817" s="5" t="s">
        <v>18654</v>
      </c>
      <c r="L2817" s="5" t="s">
        <v>19821</v>
      </c>
    </row>
    <row r="2818">
      <c r="A2818" s="4">
        <v>45534.341705162034</v>
      </c>
      <c r="B2818" s="5" t="s">
        <v>34</v>
      </c>
      <c r="D2818" s="5" t="s">
        <v>4775</v>
      </c>
      <c r="E2818" s="5" t="s">
        <v>19824</v>
      </c>
      <c r="F2818" s="5" t="s">
        <v>328</v>
      </c>
      <c r="G2818" s="5" t="s">
        <v>19825</v>
      </c>
      <c r="H2818" s="6" t="s">
        <v>19826</v>
      </c>
      <c r="I2818" s="7" t="s">
        <v>19827</v>
      </c>
      <c r="J2818" s="8" t="str">
        <f>HYPERLINK("https://drive.google.com/file/d/1mth5qoSGzuN0nA0kFTCLPFEy4lsxJiiS/view?usp=drivesdk","TRI KUWATNO  SERTIFIKAT BerAKHLAK")</f>
        <v>TRI KUWATNO  SERTIFIKAT BerAKHLAK</v>
      </c>
      <c r="K2818" s="5" t="s">
        <v>18691</v>
      </c>
      <c r="L2818" s="5" t="s">
        <v>19828</v>
      </c>
    </row>
    <row r="2819">
      <c r="A2819" s="4">
        <v>45534.341707141204</v>
      </c>
      <c r="B2819" s="5" t="s">
        <v>34</v>
      </c>
      <c r="D2819" s="5" t="s">
        <v>12978</v>
      </c>
      <c r="E2819" s="5" t="s">
        <v>19831</v>
      </c>
      <c r="F2819" s="5" t="s">
        <v>375</v>
      </c>
      <c r="G2819" s="5" t="s">
        <v>19832</v>
      </c>
      <c r="H2819" s="6" t="s">
        <v>19833</v>
      </c>
      <c r="I2819" s="7" t="s">
        <v>19834</v>
      </c>
      <c r="J2819" s="8" t="str">
        <f>HYPERLINK("https://drive.google.com/file/d/1iBkdJhhrq96JF7_jyEZkTm8z8DHc34gf/view?usp=drivesdk","SITI PATIMA.S.Kom.M.M SERTIFIKAT BerAKHLAK")</f>
        <v>SITI PATIMA.S.Kom.M.M SERTIFIKAT BerAKHLAK</v>
      </c>
      <c r="K2819" s="5" t="s">
        <v>18691</v>
      </c>
      <c r="L2819" s="5" t="s">
        <v>19835</v>
      </c>
    </row>
    <row r="2820">
      <c r="A2820" s="4">
        <v>45534.341708946755</v>
      </c>
      <c r="B2820" s="5" t="s">
        <v>34</v>
      </c>
      <c r="D2820" s="5" t="s">
        <v>12010</v>
      </c>
      <c r="E2820" s="5" t="s">
        <v>19839</v>
      </c>
      <c r="F2820" s="5" t="s">
        <v>524</v>
      </c>
      <c r="G2820" s="5" t="s">
        <v>19840</v>
      </c>
      <c r="H2820" s="6" t="s">
        <v>19841</v>
      </c>
      <c r="I2820" s="7" t="s">
        <v>19842</v>
      </c>
      <c r="J2820" s="8" t="str">
        <f>HYPERLINK("https://drive.google.com/file/d/1y346h8RHjcrgwCnKhhl6c-yeYjrdSfin/view?usp=drivesdk","KASMA LAADI SERTIFIKAT BerAKHLAK")</f>
        <v>KASMA LAADI SERTIFIKAT BerAKHLAK</v>
      </c>
      <c r="K2820" s="5" t="s">
        <v>18691</v>
      </c>
      <c r="L2820" s="5" t="s">
        <v>19843</v>
      </c>
    </row>
    <row r="2821">
      <c r="A2821" s="4">
        <v>45534.34171420139</v>
      </c>
      <c r="B2821" s="5" t="s">
        <v>34</v>
      </c>
      <c r="D2821" s="5" t="s">
        <v>1206</v>
      </c>
      <c r="E2821" s="5" t="s">
        <v>19846</v>
      </c>
      <c r="F2821" s="5" t="s">
        <v>199</v>
      </c>
      <c r="G2821" s="5" t="s">
        <v>19847</v>
      </c>
      <c r="H2821" s="6" t="s">
        <v>19848</v>
      </c>
      <c r="K2821" s="5" t="s">
        <v>19849</v>
      </c>
    </row>
    <row r="2822">
      <c r="A2822" s="4">
        <v>45534.34171840278</v>
      </c>
      <c r="B2822" s="5" t="s">
        <v>34</v>
      </c>
      <c r="D2822" s="5" t="s">
        <v>35</v>
      </c>
      <c r="E2822" s="5" t="s">
        <v>19852</v>
      </c>
      <c r="F2822" s="5" t="s">
        <v>212</v>
      </c>
      <c r="G2822" s="5" t="s">
        <v>19853</v>
      </c>
      <c r="H2822" s="6" t="s">
        <v>19854</v>
      </c>
      <c r="I2822" s="7" t="s">
        <v>19855</v>
      </c>
      <c r="J2822" s="8" t="str">
        <f>HYPERLINK("https://drive.google.com/file/d/15lf0kwKAbkoq343nix_DdVHpG60tqh9a/view?usp=drivesdk","MISJADI SERTIFIKAT BerAKHLAK")</f>
        <v>MISJADI SERTIFIKAT BerAKHLAK</v>
      </c>
      <c r="K2822" s="5" t="s">
        <v>18654</v>
      </c>
      <c r="L2822" s="5" t="s">
        <v>19856</v>
      </c>
    </row>
    <row r="2823">
      <c r="A2823" s="4">
        <v>45534.34172383102</v>
      </c>
      <c r="B2823" s="5" t="s">
        <v>34</v>
      </c>
      <c r="D2823" s="5" t="s">
        <v>7858</v>
      </c>
      <c r="E2823" s="5" t="s">
        <v>19860</v>
      </c>
      <c r="F2823" s="5" t="s">
        <v>524</v>
      </c>
      <c r="G2823" s="5" t="s">
        <v>19861</v>
      </c>
      <c r="H2823" s="6" t="s">
        <v>19862</v>
      </c>
      <c r="I2823" s="7" t="s">
        <v>19863</v>
      </c>
      <c r="J2823" s="8" t="str">
        <f>HYPERLINK("https://drive.google.com/file/d/1_qNQl25SUblu5sthjPJ75-j_RcO1J8ea/view?usp=drivesdk","HELIS MULYANINGSIH  SERTIFIKAT BerAKHLAK")</f>
        <v>HELIS MULYANINGSIH  SERTIFIKAT BerAKHLAK</v>
      </c>
      <c r="K2823" s="5" t="s">
        <v>18654</v>
      </c>
      <c r="L2823" s="5" t="s">
        <v>19864</v>
      </c>
    </row>
    <row r="2824">
      <c r="A2824" s="4">
        <v>45534.34172783565</v>
      </c>
      <c r="B2824" s="5" t="s">
        <v>34</v>
      </c>
      <c r="D2824" s="5" t="s">
        <v>522</v>
      </c>
      <c r="E2824" s="5" t="s">
        <v>19868</v>
      </c>
      <c r="F2824" s="5" t="s">
        <v>524</v>
      </c>
      <c r="G2824" s="5" t="s">
        <v>19869</v>
      </c>
      <c r="H2824" s="6" t="s">
        <v>19870</v>
      </c>
      <c r="I2824" s="7" t="s">
        <v>19871</v>
      </c>
      <c r="J2824" s="8" t="str">
        <f>HYPERLINK("https://drive.google.com/file/d/14hxEP0dFwe3xkxqJfVPzyyYE4n49PpDv/view?usp=drivesdk","SARTONO PRIADI, SE SERTIFIKAT BerAKHLAK")</f>
        <v>SARTONO PRIADI, SE SERTIFIKAT BerAKHLAK</v>
      </c>
      <c r="K2824" s="5" t="s">
        <v>18654</v>
      </c>
      <c r="L2824" s="5" t="s">
        <v>19872</v>
      </c>
    </row>
    <row r="2825">
      <c r="A2825" s="4">
        <v>45534.341739421296</v>
      </c>
      <c r="B2825" s="5" t="s">
        <v>34</v>
      </c>
      <c r="D2825" s="5" t="s">
        <v>6232</v>
      </c>
      <c r="E2825" s="5" t="s">
        <v>19876</v>
      </c>
      <c r="F2825" s="5" t="s">
        <v>108</v>
      </c>
      <c r="G2825" s="5" t="s">
        <v>19877</v>
      </c>
      <c r="H2825" s="6" t="s">
        <v>19878</v>
      </c>
      <c r="I2825" s="7" t="s">
        <v>19879</v>
      </c>
      <c r="J2825" s="8" t="str">
        <f>HYPERLINK("https://drive.google.com/file/d/1yTE_4OXL2riwD0jrwA-wQJePeYouDsoI/view?usp=drivesdk","BENNY FIRMANSYAH SERTIFIKAT BerAKHLAK")</f>
        <v>BENNY FIRMANSYAH SERTIFIKAT BerAKHLAK</v>
      </c>
      <c r="K2825" s="5" t="s">
        <v>18654</v>
      </c>
      <c r="L2825" s="5" t="s">
        <v>19880</v>
      </c>
    </row>
    <row r="2826">
      <c r="A2826" s="4">
        <v>45534.34174739583</v>
      </c>
      <c r="B2826" s="5" t="s">
        <v>34</v>
      </c>
      <c r="D2826" s="5" t="s">
        <v>701</v>
      </c>
      <c r="E2826" s="5" t="s">
        <v>19884</v>
      </c>
      <c r="F2826" s="5" t="s">
        <v>37</v>
      </c>
      <c r="G2826" s="5" t="s">
        <v>19885</v>
      </c>
      <c r="H2826" s="6" t="s">
        <v>19886</v>
      </c>
      <c r="I2826" s="7" t="s">
        <v>19887</v>
      </c>
      <c r="J2826" s="8" t="str">
        <f>HYPERLINK("https://drive.google.com/file/d/1QFsvmRkfmi9aT85xacKTePhZ4PsqBCuk/view?usp=drivesdk","RAFLI PATMEL SERTIFIKAT BerAKHLAK")</f>
        <v>RAFLI PATMEL SERTIFIKAT BerAKHLAK</v>
      </c>
      <c r="K2826" s="5" t="s">
        <v>18654</v>
      </c>
      <c r="L2826" s="5" t="s">
        <v>19888</v>
      </c>
    </row>
    <row r="2827">
      <c r="A2827" s="4">
        <v>45534.34175032408</v>
      </c>
      <c r="B2827" s="5" t="s">
        <v>19</v>
      </c>
      <c r="C2827" s="5" t="s">
        <v>466</v>
      </c>
      <c r="E2827" s="5" t="s">
        <v>19892</v>
      </c>
      <c r="F2827" s="5" t="s">
        <v>72</v>
      </c>
      <c r="G2827" s="5" t="s">
        <v>19893</v>
      </c>
      <c r="H2827" s="6" t="s">
        <v>19894</v>
      </c>
      <c r="I2827" s="7" t="s">
        <v>19895</v>
      </c>
      <c r="J2827" s="8" t="str">
        <f>HYPERLINK("https://drive.google.com/file/d/1Q27jJHLnqxoMQh4jOebAG-gRbUTMCyko/view?usp=drivesdk","SITI ROKHIMAH, A.Md SERTIFIKAT BerAKHLAK")</f>
        <v>SITI ROKHIMAH, A.Md SERTIFIKAT BerAKHLAK</v>
      </c>
      <c r="K2827" s="5" t="s">
        <v>18654</v>
      </c>
      <c r="L2827" s="5" t="s">
        <v>19896</v>
      </c>
    </row>
    <row r="2828">
      <c r="A2828" s="4">
        <v>45534.34175133102</v>
      </c>
      <c r="B2828" s="5" t="s">
        <v>34</v>
      </c>
      <c r="D2828" s="5" t="s">
        <v>1206</v>
      </c>
      <c r="E2828" s="5" t="s">
        <v>19900</v>
      </c>
      <c r="F2828" s="5" t="s">
        <v>37</v>
      </c>
      <c r="G2828" s="5" t="s">
        <v>19901</v>
      </c>
      <c r="H2828" s="6" t="s">
        <v>19902</v>
      </c>
      <c r="I2828" s="7" t="s">
        <v>19903</v>
      </c>
      <c r="J2828" s="8" t="str">
        <f>HYPERLINK("https://drive.google.com/file/d/16aVqHR_2QwHLTW8gIdej1m91oLzjNpWW/view?usp=drivesdk","Ning Maya Prahasti SERTIFIKAT BerAKHLAK")</f>
        <v>Ning Maya Prahasti SERTIFIKAT BerAKHLAK</v>
      </c>
      <c r="K2828" s="5" t="s">
        <v>18654</v>
      </c>
      <c r="L2828" s="5" t="s">
        <v>19904</v>
      </c>
    </row>
    <row r="2829">
      <c r="A2829" s="4">
        <v>45534.34176572917</v>
      </c>
      <c r="B2829" s="5" t="s">
        <v>34</v>
      </c>
      <c r="D2829" s="5" t="s">
        <v>9020</v>
      </c>
      <c r="E2829" s="5" t="s">
        <v>19908</v>
      </c>
      <c r="F2829" s="5" t="s">
        <v>524</v>
      </c>
      <c r="G2829" s="5" t="s">
        <v>19909</v>
      </c>
      <c r="H2829" s="6" t="s">
        <v>19910</v>
      </c>
      <c r="I2829" s="7" t="s">
        <v>19911</v>
      </c>
      <c r="J2829" s="8" t="str">
        <f>HYPERLINK("https://drive.google.com/file/d/1BFCv5WoQxlpJ6jyN4XggNRhAhbPxgi5G/view?usp=drivesdk","ANITA RAMAYANTI TURNIP SERTIFIKAT BerAKHLAK")</f>
        <v>ANITA RAMAYANTI TURNIP SERTIFIKAT BerAKHLAK</v>
      </c>
      <c r="K2829" s="5" t="s">
        <v>18691</v>
      </c>
      <c r="L2829" s="5" t="s">
        <v>19912</v>
      </c>
    </row>
    <row r="2830">
      <c r="A2830" s="4">
        <v>45534.34176733796</v>
      </c>
      <c r="B2830" s="5" t="s">
        <v>34</v>
      </c>
      <c r="D2830" s="5" t="s">
        <v>9394</v>
      </c>
      <c r="E2830" s="5" t="s">
        <v>19916</v>
      </c>
      <c r="F2830" s="5" t="s">
        <v>72</v>
      </c>
      <c r="G2830" s="5" t="s">
        <v>19917</v>
      </c>
      <c r="H2830" s="6" t="s">
        <v>19918</v>
      </c>
      <c r="I2830" s="7" t="s">
        <v>19919</v>
      </c>
      <c r="J2830" s="8" t="str">
        <f>HYPERLINK("https://drive.google.com/file/d/1O8O0kUomY3nnXEng7f03ZlsI3_ynruM0/view?usp=drivesdk","MARLIA, S. Sos SERTIFIKAT BerAKHLAK")</f>
        <v>MARLIA, S. Sos SERTIFIKAT BerAKHLAK</v>
      </c>
      <c r="K2830" s="5" t="s">
        <v>18691</v>
      </c>
      <c r="L2830" s="5" t="s">
        <v>19920</v>
      </c>
    </row>
    <row r="2831">
      <c r="A2831" s="4">
        <v>45534.3417672338</v>
      </c>
      <c r="B2831" s="5" t="s">
        <v>34</v>
      </c>
      <c r="D2831" s="5" t="s">
        <v>996</v>
      </c>
      <c r="E2831" s="5" t="s">
        <v>19924</v>
      </c>
      <c r="F2831" s="5" t="s">
        <v>72</v>
      </c>
      <c r="G2831" s="5" t="s">
        <v>19925</v>
      </c>
      <c r="H2831" s="6" t="s">
        <v>19926</v>
      </c>
      <c r="I2831" s="7" t="s">
        <v>19927</v>
      </c>
      <c r="J2831" s="8" t="str">
        <f>HYPERLINK("https://drive.google.com/file/d/1Cj1e_DCMf2mTtWmKTMgSfr_WgFH-p7Mj/view?usp=drivesdk","MUTIAH SERTIFIKAT BerAKHLAK")</f>
        <v>MUTIAH SERTIFIKAT BerAKHLAK</v>
      </c>
      <c r="K2831" s="5" t="s">
        <v>18691</v>
      </c>
      <c r="L2831" s="5" t="s">
        <v>19928</v>
      </c>
    </row>
    <row r="2832">
      <c r="A2832" s="4">
        <v>45534.34176787037</v>
      </c>
      <c r="B2832" s="5" t="s">
        <v>34</v>
      </c>
      <c r="D2832" s="5" t="s">
        <v>12978</v>
      </c>
      <c r="E2832" s="5" t="s">
        <v>19932</v>
      </c>
      <c r="F2832" s="5" t="s">
        <v>6776</v>
      </c>
      <c r="G2832" s="5" t="s">
        <v>19933</v>
      </c>
      <c r="H2832" s="6" t="s">
        <v>19934</v>
      </c>
      <c r="I2832" s="7" t="s">
        <v>19935</v>
      </c>
      <c r="J2832" s="8" t="str">
        <f>HYPERLINK("https://drive.google.com/file/d/1xm7oXilNmIRCQPAziXwf47KoOnB-alwz/view?usp=drivesdk","ALAM NASRO SERTIFIKAT BerAKHLAK")</f>
        <v>ALAM NASRO SERTIFIKAT BerAKHLAK</v>
      </c>
      <c r="K2832" s="5" t="s">
        <v>18691</v>
      </c>
      <c r="L2832" s="5" t="s">
        <v>19936</v>
      </c>
    </row>
    <row r="2833">
      <c r="A2833" s="4">
        <v>45534.34177068287</v>
      </c>
      <c r="B2833" s="5" t="s">
        <v>34</v>
      </c>
      <c r="D2833" s="5" t="s">
        <v>35</v>
      </c>
      <c r="E2833" s="5" t="s">
        <v>19940</v>
      </c>
      <c r="F2833" s="5" t="s">
        <v>212</v>
      </c>
      <c r="G2833" s="5" t="s">
        <v>19941</v>
      </c>
      <c r="H2833" s="6" t="s">
        <v>19942</v>
      </c>
      <c r="K2833" s="5" t="s">
        <v>19943</v>
      </c>
    </row>
    <row r="2834">
      <c r="A2834" s="4">
        <v>45534.34177601852</v>
      </c>
      <c r="B2834" s="5" t="s">
        <v>34</v>
      </c>
      <c r="D2834" s="5" t="s">
        <v>996</v>
      </c>
      <c r="E2834" s="5" t="s">
        <v>19947</v>
      </c>
      <c r="F2834" s="5" t="s">
        <v>375</v>
      </c>
      <c r="G2834" s="5" t="s">
        <v>19948</v>
      </c>
      <c r="H2834" s="6" t="s">
        <v>19949</v>
      </c>
      <c r="K2834" s="5" t="s">
        <v>19943</v>
      </c>
    </row>
    <row r="2835">
      <c r="A2835" s="4">
        <v>45534.341784178236</v>
      </c>
      <c r="B2835" s="5" t="s">
        <v>34</v>
      </c>
      <c r="D2835" s="5" t="s">
        <v>280</v>
      </c>
      <c r="E2835" s="5" t="s">
        <v>19953</v>
      </c>
      <c r="F2835" s="5" t="s">
        <v>524</v>
      </c>
      <c r="G2835" s="5" t="s">
        <v>19954</v>
      </c>
      <c r="H2835" s="6" t="s">
        <v>19955</v>
      </c>
      <c r="K2835" s="5" t="s">
        <v>19943</v>
      </c>
    </row>
    <row r="2836">
      <c r="A2836" s="4">
        <v>45534.34178827546</v>
      </c>
      <c r="B2836" s="5" t="s">
        <v>34</v>
      </c>
      <c r="D2836" s="5" t="s">
        <v>996</v>
      </c>
      <c r="E2836" s="5" t="s">
        <v>19959</v>
      </c>
      <c r="F2836" s="5" t="s">
        <v>72</v>
      </c>
      <c r="G2836" s="5" t="s">
        <v>19960</v>
      </c>
      <c r="H2836" s="6" t="s">
        <v>19961</v>
      </c>
      <c r="K2836" s="5" t="s">
        <v>19943</v>
      </c>
    </row>
    <row r="2837">
      <c r="A2837" s="4">
        <v>45534.34178902778</v>
      </c>
      <c r="B2837" s="5" t="s">
        <v>34</v>
      </c>
      <c r="D2837" s="5" t="s">
        <v>1206</v>
      </c>
      <c r="E2837" s="5" t="s">
        <v>19965</v>
      </c>
      <c r="F2837" s="5" t="s">
        <v>375</v>
      </c>
      <c r="G2837" s="5" t="s">
        <v>19966</v>
      </c>
      <c r="H2837" s="6" t="s">
        <v>19967</v>
      </c>
      <c r="K2837" s="5" t="s">
        <v>19943</v>
      </c>
    </row>
    <row r="2838">
      <c r="A2838" s="4">
        <v>45534.3417903588</v>
      </c>
      <c r="B2838" s="5" t="s">
        <v>34</v>
      </c>
      <c r="D2838" s="5" t="s">
        <v>1768</v>
      </c>
      <c r="E2838" s="5" t="s">
        <v>19971</v>
      </c>
      <c r="F2838" s="5" t="s">
        <v>37</v>
      </c>
      <c r="G2838" s="5" t="s">
        <v>19972</v>
      </c>
      <c r="H2838" s="6" t="s">
        <v>19973</v>
      </c>
      <c r="K2838" s="5" t="s">
        <v>19943</v>
      </c>
    </row>
    <row r="2839">
      <c r="A2839" s="4">
        <v>45534.341797800924</v>
      </c>
      <c r="B2839" s="5" t="s">
        <v>34</v>
      </c>
      <c r="D2839" s="5" t="s">
        <v>2903</v>
      </c>
      <c r="E2839" s="5" t="s">
        <v>19977</v>
      </c>
      <c r="F2839" s="5" t="s">
        <v>108</v>
      </c>
      <c r="G2839" s="5" t="s">
        <v>19978</v>
      </c>
      <c r="H2839" s="6" t="s">
        <v>19979</v>
      </c>
      <c r="K2839" s="5" t="s">
        <v>19943</v>
      </c>
    </row>
    <row r="2840">
      <c r="A2840" s="4">
        <v>45534.34180739583</v>
      </c>
      <c r="B2840" s="5" t="s">
        <v>34</v>
      </c>
      <c r="D2840" s="5" t="s">
        <v>4775</v>
      </c>
      <c r="E2840" s="5" t="s">
        <v>19983</v>
      </c>
      <c r="F2840" s="5" t="s">
        <v>524</v>
      </c>
      <c r="G2840" s="5" t="s">
        <v>19984</v>
      </c>
      <c r="H2840" s="6" t="s">
        <v>19985</v>
      </c>
      <c r="K2840" s="5" t="s">
        <v>19943</v>
      </c>
    </row>
    <row r="2841">
      <c r="A2841" s="4">
        <v>45534.3418185301</v>
      </c>
      <c r="B2841" s="5" t="s">
        <v>34</v>
      </c>
      <c r="D2841" s="5" t="s">
        <v>4775</v>
      </c>
      <c r="E2841" s="5" t="s">
        <v>19989</v>
      </c>
      <c r="F2841" s="5" t="s">
        <v>72</v>
      </c>
      <c r="G2841" s="5" t="s">
        <v>19990</v>
      </c>
      <c r="H2841" s="6" t="s">
        <v>19991</v>
      </c>
      <c r="I2841" s="7" t="s">
        <v>19992</v>
      </c>
      <c r="J2841" s="8" t="str">
        <f>HYPERLINK("https://drive.google.com/file/d/1aW9o-dE3uftf1sDAliLGmyFkZYouQA4Z/view?usp=drivesdk","TRI WIDAYANTI  SERTIFIKAT BerAKHLAK")</f>
        <v>TRI WIDAYANTI  SERTIFIKAT BerAKHLAK</v>
      </c>
      <c r="K2841" s="5" t="s">
        <v>18654</v>
      </c>
      <c r="L2841" s="5" t="s">
        <v>19993</v>
      </c>
    </row>
    <row r="2842">
      <c r="A2842" s="4">
        <v>45534.34182890046</v>
      </c>
      <c r="B2842" s="5" t="s">
        <v>34</v>
      </c>
      <c r="D2842" s="5" t="s">
        <v>35</v>
      </c>
      <c r="E2842" s="5" t="s">
        <v>19997</v>
      </c>
      <c r="F2842" s="5" t="s">
        <v>108</v>
      </c>
      <c r="G2842" s="5" t="s">
        <v>19998</v>
      </c>
      <c r="H2842" s="6" t="s">
        <v>19999</v>
      </c>
      <c r="I2842" s="7" t="s">
        <v>20000</v>
      </c>
      <c r="J2842" s="8" t="str">
        <f>HYPERLINK("https://drive.google.com/file/d/1mNcBMevpLjMLVb0Nc-qvoMULTx81FU7u/view?usp=drivesdk","EHA JULAEHA SERTIFIKAT BerAKHLAK")</f>
        <v>EHA JULAEHA SERTIFIKAT BerAKHLAK</v>
      </c>
      <c r="K2842" s="5" t="s">
        <v>18654</v>
      </c>
      <c r="L2842" s="5" t="s">
        <v>20001</v>
      </c>
    </row>
    <row r="2843">
      <c r="A2843" s="4">
        <v>45534.341829895835</v>
      </c>
      <c r="B2843" s="5" t="s">
        <v>34</v>
      </c>
      <c r="D2843" s="5" t="s">
        <v>4775</v>
      </c>
      <c r="E2843" s="5" t="s">
        <v>20005</v>
      </c>
      <c r="F2843" s="5" t="s">
        <v>120</v>
      </c>
      <c r="G2843" s="5" t="s">
        <v>20006</v>
      </c>
      <c r="H2843" s="6" t="s">
        <v>20007</v>
      </c>
      <c r="I2843" s="7" t="s">
        <v>20008</v>
      </c>
      <c r="J2843" s="8" t="str">
        <f>HYPERLINK("https://drive.google.com/file/d/17LKz8TUgePdeCe4DizKbskGMY2t2xN9y/view?usp=drivesdk","KRISNAWATI INDRASARI, S.H., M.H. SERTIFIKAT BerAKHLAK")</f>
        <v>KRISNAWATI INDRASARI, S.H., M.H. SERTIFIKAT BerAKHLAK</v>
      </c>
      <c r="K2843" s="5" t="s">
        <v>18691</v>
      </c>
      <c r="L2843" s="5" t="s">
        <v>20009</v>
      </c>
    </row>
    <row r="2844">
      <c r="A2844" s="4">
        <v>45534.341832881946</v>
      </c>
      <c r="B2844" s="5" t="s">
        <v>34</v>
      </c>
      <c r="D2844" s="5" t="s">
        <v>1206</v>
      </c>
      <c r="E2844" s="5" t="s">
        <v>20013</v>
      </c>
      <c r="F2844" s="5" t="s">
        <v>524</v>
      </c>
      <c r="G2844" s="5" t="s">
        <v>20014</v>
      </c>
      <c r="H2844" s="6" t="s">
        <v>20015</v>
      </c>
      <c r="I2844" s="7" t="s">
        <v>20016</v>
      </c>
      <c r="J2844" s="8" t="str">
        <f>HYPERLINK("https://drive.google.com/file/d/1j87hyEI26JOZ-HmFuuhvDY7jKP1QcRTF/view?usp=drivesdk","RIA WIDHIANARTI, S.Kep, Ns SERTIFIKAT BerAKHLAK")</f>
        <v>RIA WIDHIANARTI, S.Kep, Ns SERTIFIKAT BerAKHLAK</v>
      </c>
      <c r="K2844" s="5" t="s">
        <v>18691</v>
      </c>
      <c r="L2844" s="5" t="s">
        <v>20017</v>
      </c>
    </row>
    <row r="2845">
      <c r="A2845" s="4">
        <v>45534.34184113426</v>
      </c>
      <c r="B2845" s="5" t="s">
        <v>19</v>
      </c>
      <c r="C2845" s="5" t="s">
        <v>292</v>
      </c>
      <c r="E2845" s="5" t="s">
        <v>20021</v>
      </c>
      <c r="F2845" s="5" t="s">
        <v>524</v>
      </c>
      <c r="G2845" s="5" t="s">
        <v>20022</v>
      </c>
      <c r="H2845" s="6" t="s">
        <v>20023</v>
      </c>
      <c r="K2845" s="5" t="s">
        <v>20024</v>
      </c>
    </row>
    <row r="2846">
      <c r="A2846" s="4">
        <v>45534.341842037036</v>
      </c>
      <c r="B2846" s="5" t="s">
        <v>34</v>
      </c>
      <c r="D2846" s="5" t="s">
        <v>1206</v>
      </c>
      <c r="E2846" s="5" t="s">
        <v>20028</v>
      </c>
      <c r="F2846" s="5" t="s">
        <v>328</v>
      </c>
      <c r="G2846" s="5" t="s">
        <v>20029</v>
      </c>
      <c r="H2846" s="6" t="s">
        <v>20030</v>
      </c>
      <c r="K2846" s="5" t="s">
        <v>20024</v>
      </c>
    </row>
    <row r="2847">
      <c r="A2847" s="4">
        <v>45534.34184512732</v>
      </c>
      <c r="B2847" s="5" t="s">
        <v>34</v>
      </c>
      <c r="D2847" s="5" t="s">
        <v>267</v>
      </c>
      <c r="E2847" s="5" t="s">
        <v>20034</v>
      </c>
      <c r="F2847" s="5" t="s">
        <v>375</v>
      </c>
      <c r="G2847" s="5" t="s">
        <v>20035</v>
      </c>
      <c r="H2847" s="6" t="s">
        <v>20036</v>
      </c>
      <c r="K2847" s="5" t="s">
        <v>20024</v>
      </c>
    </row>
    <row r="2848">
      <c r="A2848" s="4">
        <v>45534.341848275464</v>
      </c>
      <c r="B2848" s="5" t="s">
        <v>34</v>
      </c>
      <c r="D2848" s="5" t="s">
        <v>4775</v>
      </c>
      <c r="E2848" s="5" t="s">
        <v>20040</v>
      </c>
      <c r="F2848" s="5" t="s">
        <v>37</v>
      </c>
      <c r="G2848" s="5" t="s">
        <v>20041</v>
      </c>
      <c r="H2848" s="6" t="s">
        <v>20042</v>
      </c>
      <c r="K2848" s="5" t="s">
        <v>20024</v>
      </c>
    </row>
    <row r="2849">
      <c r="A2849" s="4">
        <v>45534.341850578705</v>
      </c>
      <c r="B2849" s="5" t="s">
        <v>34</v>
      </c>
      <c r="D2849" s="5" t="s">
        <v>1206</v>
      </c>
      <c r="E2849" s="5" t="s">
        <v>20046</v>
      </c>
      <c r="F2849" s="5" t="s">
        <v>37</v>
      </c>
      <c r="G2849" s="5" t="s">
        <v>20047</v>
      </c>
      <c r="H2849" s="6" t="s">
        <v>20048</v>
      </c>
      <c r="K2849" s="5" t="s">
        <v>20024</v>
      </c>
    </row>
    <row r="2850">
      <c r="A2850" s="4">
        <v>45534.34185627315</v>
      </c>
      <c r="B2850" s="5" t="s">
        <v>34</v>
      </c>
      <c r="D2850" s="5" t="s">
        <v>1206</v>
      </c>
      <c r="E2850" s="5" t="s">
        <v>20052</v>
      </c>
      <c r="F2850" s="5" t="s">
        <v>120</v>
      </c>
      <c r="G2850" s="5" t="s">
        <v>20053</v>
      </c>
      <c r="H2850" s="6" t="s">
        <v>20054</v>
      </c>
      <c r="K2850" s="5" t="s">
        <v>20024</v>
      </c>
    </row>
    <row r="2851">
      <c r="A2851" s="4">
        <v>45534.3418591088</v>
      </c>
      <c r="B2851" s="5" t="s">
        <v>34</v>
      </c>
      <c r="D2851" s="5" t="s">
        <v>1558</v>
      </c>
      <c r="E2851" s="5" t="s">
        <v>20058</v>
      </c>
      <c r="F2851" s="5" t="s">
        <v>6625</v>
      </c>
      <c r="G2851" s="5" t="s">
        <v>20059</v>
      </c>
      <c r="H2851" s="6" t="s">
        <v>20060</v>
      </c>
      <c r="K2851" s="5" t="s">
        <v>20024</v>
      </c>
    </row>
    <row r="2852">
      <c r="A2852" s="4">
        <v>45534.34185914352</v>
      </c>
      <c r="B2852" s="5" t="s">
        <v>34</v>
      </c>
      <c r="D2852" s="5" t="s">
        <v>4775</v>
      </c>
      <c r="E2852" s="5" t="s">
        <v>20064</v>
      </c>
      <c r="F2852" s="5" t="s">
        <v>212</v>
      </c>
      <c r="G2852" s="5" t="s">
        <v>20065</v>
      </c>
      <c r="H2852" s="6" t="s">
        <v>20066</v>
      </c>
      <c r="K2852" s="5" t="s">
        <v>20024</v>
      </c>
    </row>
    <row r="2853">
      <c r="A2853" s="4">
        <v>45534.34188547454</v>
      </c>
      <c r="B2853" s="5" t="s">
        <v>34</v>
      </c>
      <c r="D2853" s="5" t="s">
        <v>15401</v>
      </c>
      <c r="E2853" s="5" t="s">
        <v>20070</v>
      </c>
      <c r="F2853" s="5" t="s">
        <v>715</v>
      </c>
      <c r="G2853" s="5" t="s">
        <v>20071</v>
      </c>
      <c r="H2853" s="6" t="s">
        <v>20072</v>
      </c>
      <c r="K2853" s="5" t="s">
        <v>18713</v>
      </c>
    </row>
    <row r="2854">
      <c r="A2854" s="4">
        <v>45534.34189303241</v>
      </c>
      <c r="B2854" s="5" t="s">
        <v>34</v>
      </c>
      <c r="D2854" s="5" t="s">
        <v>9020</v>
      </c>
      <c r="E2854" s="5" t="s">
        <v>20076</v>
      </c>
      <c r="F2854" s="5" t="s">
        <v>120</v>
      </c>
      <c r="G2854" s="5" t="s">
        <v>20077</v>
      </c>
      <c r="H2854" s="6" t="s">
        <v>20078</v>
      </c>
      <c r="K2854" s="5" t="s">
        <v>18713</v>
      </c>
    </row>
    <row r="2855">
      <c r="A2855" s="4">
        <v>45534.341897349535</v>
      </c>
      <c r="B2855" s="5" t="s">
        <v>34</v>
      </c>
      <c r="D2855" s="5" t="s">
        <v>1206</v>
      </c>
      <c r="E2855" s="5" t="s">
        <v>20082</v>
      </c>
      <c r="F2855" s="5" t="s">
        <v>375</v>
      </c>
      <c r="G2855" s="5" t="s">
        <v>20083</v>
      </c>
      <c r="H2855" s="6" t="s">
        <v>20084</v>
      </c>
      <c r="K2855" s="5" t="s">
        <v>18713</v>
      </c>
    </row>
    <row r="2856">
      <c r="A2856" s="4">
        <v>45534.34189856482</v>
      </c>
      <c r="B2856" s="5" t="s">
        <v>34</v>
      </c>
      <c r="D2856" s="5" t="s">
        <v>12978</v>
      </c>
      <c r="E2856" s="5" t="s">
        <v>20088</v>
      </c>
      <c r="F2856" s="5" t="s">
        <v>212</v>
      </c>
      <c r="G2856" s="5" t="s">
        <v>20089</v>
      </c>
      <c r="H2856" s="6" t="s">
        <v>20090</v>
      </c>
      <c r="K2856" s="5" t="s">
        <v>18713</v>
      </c>
    </row>
    <row r="2857">
      <c r="A2857" s="4">
        <v>45534.341901203705</v>
      </c>
      <c r="B2857" s="5" t="s">
        <v>34</v>
      </c>
      <c r="D2857" s="5" t="s">
        <v>1206</v>
      </c>
      <c r="E2857" s="5" t="s">
        <v>20094</v>
      </c>
      <c r="F2857" s="5" t="s">
        <v>212</v>
      </c>
      <c r="G2857" s="5" t="s">
        <v>20095</v>
      </c>
      <c r="H2857" s="6" t="s">
        <v>20096</v>
      </c>
      <c r="I2857" s="7" t="s">
        <v>20097</v>
      </c>
      <c r="J2857" s="8" t="str">
        <f>HYPERLINK("https://drive.google.com/file/d/1xOeFIEv1Zbgwe-aMhdjLxXlmFE0v90qS/view?usp=drivesdk","AGASSI PAMUNGKAS INTIARTO, S.PSI SERTIFIKAT BerAKHLAK")</f>
        <v>AGASSI PAMUNGKAS INTIARTO, S.PSI SERTIFIKAT BerAKHLAK</v>
      </c>
      <c r="K2857" s="5" t="s">
        <v>18654</v>
      </c>
      <c r="L2857" s="5" t="s">
        <v>20098</v>
      </c>
    </row>
    <row r="2858">
      <c r="A2858" s="4">
        <v>45534.34190791666</v>
      </c>
      <c r="B2858" s="5" t="s">
        <v>34</v>
      </c>
      <c r="D2858" s="5" t="s">
        <v>14313</v>
      </c>
      <c r="E2858" s="5" t="s">
        <v>20102</v>
      </c>
      <c r="F2858" s="5" t="s">
        <v>199</v>
      </c>
      <c r="G2858" s="5" t="s">
        <v>20103</v>
      </c>
      <c r="H2858" s="6" t="s">
        <v>20104</v>
      </c>
      <c r="I2858" s="7" t="s">
        <v>20105</v>
      </c>
      <c r="J2858" s="8" t="str">
        <f>HYPERLINK("https://drive.google.com/file/d/17_iZBVasrSrtnRT-NEQinMMTs9KM7f-w/view?usp=drivesdk","HJ.NURHAYATI MUHAMMAD SERTIFIKAT BerAKHLAK")</f>
        <v>HJ.NURHAYATI MUHAMMAD SERTIFIKAT BerAKHLAK</v>
      </c>
      <c r="K2858" s="5" t="s">
        <v>18654</v>
      </c>
      <c r="L2858" s="5" t="s">
        <v>20106</v>
      </c>
    </row>
    <row r="2859">
      <c r="A2859" s="4">
        <v>45534.34191482639</v>
      </c>
      <c r="B2859" s="5" t="s">
        <v>34</v>
      </c>
      <c r="D2859" s="5" t="s">
        <v>267</v>
      </c>
      <c r="E2859" s="5" t="s">
        <v>20110</v>
      </c>
      <c r="F2859" s="5" t="s">
        <v>108</v>
      </c>
      <c r="G2859" s="5" t="s">
        <v>20111</v>
      </c>
      <c r="H2859" s="6" t="s">
        <v>20112</v>
      </c>
      <c r="I2859" s="7" t="s">
        <v>20113</v>
      </c>
      <c r="J2859" s="8" t="str">
        <f>HYPERLINK("https://drive.google.com/file/d/1VrHZvQ7-v6l3RyEpa0hc91mVlKiRy5TX/view?usp=drivesdk","YUNIAR FATMANINGSIH, A. Md. Farm SERTIFIKAT BerAKHLAK")</f>
        <v>YUNIAR FATMANINGSIH, A. Md. Farm SERTIFIKAT BerAKHLAK</v>
      </c>
      <c r="K2859" s="5" t="s">
        <v>18654</v>
      </c>
      <c r="L2859" s="5" t="s">
        <v>20114</v>
      </c>
    </row>
    <row r="2860">
      <c r="A2860" s="4">
        <v>45534.34192391204</v>
      </c>
      <c r="B2860" s="5" t="s">
        <v>34</v>
      </c>
      <c r="D2860" s="5" t="s">
        <v>522</v>
      </c>
      <c r="E2860" s="5" t="s">
        <v>20118</v>
      </c>
      <c r="F2860" s="5" t="s">
        <v>72</v>
      </c>
      <c r="G2860" s="5" t="s">
        <v>20119</v>
      </c>
      <c r="H2860" s="6" t="s">
        <v>20120</v>
      </c>
      <c r="I2860" s="7" t="s">
        <v>20121</v>
      </c>
      <c r="J2860" s="8" t="str">
        <f>HYPERLINK("https://drive.google.com/file/d/1zxQUGUfckrZXpaRDXRk1Gi0jdh5KQFOn/view?usp=drivesdk","dr FITA NIRMA LISTYA SERTIFIKAT BerAKHLAK")</f>
        <v>dr FITA NIRMA LISTYA SERTIFIKAT BerAKHLAK</v>
      </c>
      <c r="K2860" s="5" t="s">
        <v>18691</v>
      </c>
      <c r="L2860" s="5" t="s">
        <v>20122</v>
      </c>
    </row>
    <row r="2861">
      <c r="A2861" s="4">
        <v>45534.341926863424</v>
      </c>
      <c r="B2861" s="5" t="s">
        <v>34</v>
      </c>
      <c r="D2861" s="5" t="s">
        <v>1456</v>
      </c>
      <c r="E2861" s="5" t="s">
        <v>20126</v>
      </c>
      <c r="F2861" s="5" t="s">
        <v>37</v>
      </c>
      <c r="G2861" s="5" t="s">
        <v>20127</v>
      </c>
      <c r="H2861" s="6" t="s">
        <v>20128</v>
      </c>
      <c r="I2861" s="7" t="s">
        <v>20129</v>
      </c>
      <c r="J2861" s="8" t="str">
        <f>HYPERLINK("https://drive.google.com/file/d/1gFpvTLYYqCMEDwCopk7lVVCg80rNv8RV/view?usp=drivesdk","EKA KARTIKA APRIANI SERTIFIKAT BerAKHLAK")</f>
        <v>EKA KARTIKA APRIANI SERTIFIKAT BerAKHLAK</v>
      </c>
      <c r="K2861" s="5" t="s">
        <v>18654</v>
      </c>
      <c r="L2861" s="5" t="s">
        <v>20130</v>
      </c>
    </row>
    <row r="2862">
      <c r="A2862" s="4">
        <v>45534.3419315625</v>
      </c>
      <c r="B2862" s="5" t="s">
        <v>34</v>
      </c>
      <c r="D2862" s="5" t="s">
        <v>4775</v>
      </c>
      <c r="E2862" s="5" t="s">
        <v>20134</v>
      </c>
      <c r="F2862" s="5" t="s">
        <v>212</v>
      </c>
      <c r="G2862" s="5" t="s">
        <v>20135</v>
      </c>
      <c r="H2862" s="6" t="s">
        <v>20136</v>
      </c>
      <c r="I2862" s="7" t="s">
        <v>20137</v>
      </c>
      <c r="J2862" s="8" t="str">
        <f>HYPERLINK("https://drive.google.com/file/d/1lwUxrdPw3zor0HhgovKXsGUe4T_G1E3s/view?usp=drivesdk","SETIYANINGSIH SERTIFIKAT BerAKHLAK")</f>
        <v>SETIYANINGSIH SERTIFIKAT BerAKHLAK</v>
      </c>
      <c r="K2862" s="5" t="s">
        <v>18654</v>
      </c>
      <c r="L2862" s="5" t="s">
        <v>20138</v>
      </c>
    </row>
    <row r="2863">
      <c r="A2863" s="4">
        <v>45534.34193758102</v>
      </c>
      <c r="B2863" s="5" t="s">
        <v>34</v>
      </c>
      <c r="D2863" s="5" t="s">
        <v>12978</v>
      </c>
      <c r="E2863" s="5" t="s">
        <v>20142</v>
      </c>
      <c r="F2863" s="5" t="s">
        <v>120</v>
      </c>
      <c r="G2863" s="5" t="s">
        <v>20143</v>
      </c>
      <c r="H2863" s="6" t="s">
        <v>20144</v>
      </c>
      <c r="I2863" s="7" t="s">
        <v>20145</v>
      </c>
      <c r="J2863" s="8" t="str">
        <f>HYPERLINK("https://drive.google.com/file/d/1fBt0yyQgdenDfFXp5zA4iOiTxhtYUw4q/view?usp=drivesdk","Niryasti.,S.Si.,M.Si SERTIFIKAT BerAKHLAK")</f>
        <v>Niryasti.,S.Si.,M.Si SERTIFIKAT BerAKHLAK</v>
      </c>
      <c r="K2863" s="5" t="s">
        <v>18691</v>
      </c>
      <c r="L2863" s="5" t="s">
        <v>20146</v>
      </c>
    </row>
    <row r="2864">
      <c r="A2864" s="4">
        <v>45534.34193997685</v>
      </c>
      <c r="B2864" s="5" t="s">
        <v>34</v>
      </c>
      <c r="D2864" s="5" t="s">
        <v>4775</v>
      </c>
      <c r="E2864" s="5" t="s">
        <v>20150</v>
      </c>
      <c r="F2864" s="5" t="s">
        <v>375</v>
      </c>
      <c r="G2864" s="5" t="s">
        <v>20151</v>
      </c>
      <c r="H2864" s="6" t="s">
        <v>20152</v>
      </c>
      <c r="I2864" s="7" t="s">
        <v>20153</v>
      </c>
      <c r="J2864" s="8" t="str">
        <f>HYPERLINK("https://drive.google.com/file/d/1qfX8HpU7T2q1dL2MmsP_8U4CcCvvZQN8/view?usp=drivesdk","SULISTRIANINGSIH SERTIFIKAT BerAKHLAK")</f>
        <v>SULISTRIANINGSIH SERTIFIKAT BerAKHLAK</v>
      </c>
      <c r="K2864" s="5" t="s">
        <v>18691</v>
      </c>
      <c r="L2864" s="5" t="s">
        <v>20154</v>
      </c>
    </row>
    <row r="2865">
      <c r="A2865" s="4">
        <v>45534.34194201389</v>
      </c>
      <c r="B2865" s="5" t="s">
        <v>34</v>
      </c>
      <c r="D2865" s="5" t="s">
        <v>4775</v>
      </c>
      <c r="E2865" s="5" t="s">
        <v>20158</v>
      </c>
      <c r="F2865" s="5" t="s">
        <v>37</v>
      </c>
      <c r="G2865" s="5" t="s">
        <v>20159</v>
      </c>
      <c r="H2865" s="6" t="s">
        <v>20160</v>
      </c>
      <c r="K2865" s="5" t="s">
        <v>20161</v>
      </c>
    </row>
    <row r="2866">
      <c r="A2866" s="4">
        <v>45534.341947395835</v>
      </c>
      <c r="B2866" s="5" t="s">
        <v>34</v>
      </c>
      <c r="D2866" s="5" t="s">
        <v>12978</v>
      </c>
      <c r="E2866" s="5" t="s">
        <v>20165</v>
      </c>
      <c r="F2866" s="5" t="s">
        <v>120</v>
      </c>
      <c r="G2866" s="5" t="s">
        <v>20166</v>
      </c>
      <c r="H2866" s="6" t="s">
        <v>20167</v>
      </c>
      <c r="K2866" s="5" t="s">
        <v>20161</v>
      </c>
    </row>
    <row r="2867">
      <c r="A2867" s="4">
        <v>45534.341949594906</v>
      </c>
      <c r="B2867" s="5" t="s">
        <v>34</v>
      </c>
      <c r="D2867" s="5" t="s">
        <v>12010</v>
      </c>
      <c r="E2867" s="5" t="s">
        <v>20171</v>
      </c>
      <c r="F2867" s="5" t="s">
        <v>120</v>
      </c>
      <c r="G2867" s="5" t="s">
        <v>20172</v>
      </c>
      <c r="H2867" s="6" t="s">
        <v>20173</v>
      </c>
      <c r="I2867" s="7" t="s">
        <v>20174</v>
      </c>
      <c r="J2867" s="8" t="str">
        <f>HYPERLINK("https://drive.google.com/file/d/1U2FEfGgMDbGDbPF-bmv5CRfGg_T1JhZh/view?usp=drivesdk","SILVIA PUSPANATAN PREMCY, S. Kom SERTIFIKAT BerAKHLAK")</f>
        <v>SILVIA PUSPANATAN PREMCY, S. Kom SERTIFIKAT BerAKHLAK</v>
      </c>
      <c r="K2867" s="5" t="s">
        <v>18654</v>
      </c>
      <c r="L2867" s="5" t="s">
        <v>20175</v>
      </c>
    </row>
    <row r="2868">
      <c r="A2868" s="4">
        <v>45534.34195163194</v>
      </c>
      <c r="B2868" s="5" t="s">
        <v>34</v>
      </c>
      <c r="D2868" s="5" t="s">
        <v>35</v>
      </c>
      <c r="E2868" s="5" t="s">
        <v>20179</v>
      </c>
      <c r="F2868" s="5" t="s">
        <v>212</v>
      </c>
      <c r="G2868" s="5" t="s">
        <v>20180</v>
      </c>
      <c r="H2868" s="6" t="s">
        <v>20181</v>
      </c>
      <c r="I2868" s="7" t="s">
        <v>20182</v>
      </c>
      <c r="J2868" s="8" t="str">
        <f>HYPERLINK("https://drive.google.com/file/d/14P1qYep2B1bJFBcYnL-aNYccNO4voQRv/view?usp=drivesdk","BUDI HARSONO SERTIFIKAT BerAKHLAK")</f>
        <v>BUDI HARSONO SERTIFIKAT BerAKHLAK</v>
      </c>
      <c r="K2868" s="5" t="s">
        <v>18654</v>
      </c>
      <c r="L2868" s="5" t="s">
        <v>20183</v>
      </c>
    </row>
    <row r="2869">
      <c r="A2869" s="4">
        <v>45534.34196449074</v>
      </c>
      <c r="B2869" s="5" t="s">
        <v>34</v>
      </c>
      <c r="D2869" s="5" t="s">
        <v>9020</v>
      </c>
      <c r="E2869" s="5" t="s">
        <v>20187</v>
      </c>
      <c r="F2869" s="5" t="s">
        <v>212</v>
      </c>
      <c r="G2869" s="5" t="s">
        <v>20188</v>
      </c>
      <c r="H2869" s="6" t="s">
        <v>20189</v>
      </c>
      <c r="I2869" s="7" t="s">
        <v>20190</v>
      </c>
      <c r="J2869" s="8" t="str">
        <f>HYPERLINK("https://drive.google.com/file/d/149TGvmVuSrwgmd0bqhy7YkIkbSrexJw2/view?usp=drivesdk","EFFENDI SERTIFIKAT BerAKHLAK")</f>
        <v>EFFENDI SERTIFIKAT BerAKHLAK</v>
      </c>
      <c r="K2869" s="5" t="s">
        <v>18691</v>
      </c>
      <c r="L2869" s="5" t="s">
        <v>20191</v>
      </c>
    </row>
    <row r="2870">
      <c r="A2870" s="4">
        <v>45534.341971851856</v>
      </c>
      <c r="B2870" s="5" t="s">
        <v>34</v>
      </c>
      <c r="D2870" s="5" t="s">
        <v>12978</v>
      </c>
      <c r="E2870" s="5" t="s">
        <v>20195</v>
      </c>
      <c r="F2870" s="5" t="s">
        <v>212</v>
      </c>
      <c r="G2870" s="5" t="s">
        <v>20196</v>
      </c>
      <c r="H2870" s="6" t="s">
        <v>20197</v>
      </c>
      <c r="I2870" s="7" t="s">
        <v>20198</v>
      </c>
      <c r="J2870" s="8" t="str">
        <f>HYPERLINK("https://drive.google.com/file/d/1nfZQMDRvYFSR8JgdY8l5g2Rkm-nvTJaI/view?usp=drivesdk","ASN LINDA SERTIFIKAT BerAKHLAK")</f>
        <v>ASN LINDA SERTIFIKAT BerAKHLAK</v>
      </c>
      <c r="K2870" s="5" t="s">
        <v>18691</v>
      </c>
      <c r="L2870" s="5" t="s">
        <v>20199</v>
      </c>
    </row>
    <row r="2871">
      <c r="A2871" s="4">
        <v>45534.341974930554</v>
      </c>
      <c r="B2871" s="5" t="s">
        <v>34</v>
      </c>
      <c r="D2871" s="5" t="s">
        <v>1206</v>
      </c>
      <c r="E2871" s="5" t="s">
        <v>20203</v>
      </c>
      <c r="F2871" s="5" t="s">
        <v>212</v>
      </c>
      <c r="G2871" s="5" t="s">
        <v>20204</v>
      </c>
      <c r="H2871" s="6" t="s">
        <v>20205</v>
      </c>
      <c r="I2871" s="7" t="s">
        <v>20206</v>
      </c>
      <c r="J2871" s="8" t="str">
        <f>HYPERLINK("https://drive.google.com/file/d/1V-dYPW8rDOsVec7XOok4jT1o9zYRiWF7/view?usp=drivesdk","DENI APRILOWATI PURWANINGSIH SERTIFIKAT BerAKHLAK")</f>
        <v>DENI APRILOWATI PURWANINGSIH SERTIFIKAT BerAKHLAK</v>
      </c>
      <c r="K2871" s="5" t="s">
        <v>18691</v>
      </c>
      <c r="L2871" s="5" t="s">
        <v>20207</v>
      </c>
    </row>
    <row r="2872">
      <c r="A2872" s="4">
        <v>45534.341976979165</v>
      </c>
      <c r="B2872" s="5" t="s">
        <v>34</v>
      </c>
      <c r="D2872" s="5" t="s">
        <v>1206</v>
      </c>
      <c r="E2872" s="5" t="s">
        <v>20211</v>
      </c>
      <c r="F2872" s="5" t="s">
        <v>212</v>
      </c>
      <c r="G2872" s="5" t="s">
        <v>20212</v>
      </c>
      <c r="H2872" s="6" t="s">
        <v>20213</v>
      </c>
      <c r="K2872" s="5" t="s">
        <v>20214</v>
      </c>
    </row>
    <row r="2873">
      <c r="A2873" s="4">
        <v>45534.341982303245</v>
      </c>
      <c r="B2873" s="5" t="s">
        <v>34</v>
      </c>
      <c r="D2873" s="5" t="s">
        <v>35</v>
      </c>
      <c r="E2873" s="5" t="s">
        <v>20217</v>
      </c>
      <c r="F2873" s="5" t="s">
        <v>108</v>
      </c>
      <c r="G2873" s="5" t="s">
        <v>20218</v>
      </c>
      <c r="H2873" s="6" t="s">
        <v>20219</v>
      </c>
      <c r="K2873" s="5" t="s">
        <v>20214</v>
      </c>
    </row>
    <row r="2874">
      <c r="A2874" s="4">
        <v>45534.341984108796</v>
      </c>
      <c r="B2874" s="5" t="s">
        <v>34</v>
      </c>
      <c r="D2874" s="5" t="s">
        <v>4775</v>
      </c>
      <c r="E2874" s="5" t="s">
        <v>17170</v>
      </c>
      <c r="F2874" s="5" t="s">
        <v>5859</v>
      </c>
      <c r="G2874" s="5" t="s">
        <v>20222</v>
      </c>
      <c r="H2874" s="6" t="s">
        <v>20223</v>
      </c>
      <c r="K2874" s="5" t="s">
        <v>20214</v>
      </c>
    </row>
    <row r="2875">
      <c r="A2875" s="4">
        <v>45534.34198802084</v>
      </c>
      <c r="B2875" s="5" t="s">
        <v>34</v>
      </c>
      <c r="D2875" s="5" t="s">
        <v>10444</v>
      </c>
      <c r="E2875" s="5" t="s">
        <v>20227</v>
      </c>
      <c r="F2875" s="5" t="s">
        <v>212</v>
      </c>
      <c r="G2875" s="5" t="s">
        <v>20228</v>
      </c>
      <c r="H2875" s="6" t="s">
        <v>20229</v>
      </c>
      <c r="K2875" s="5" t="s">
        <v>20214</v>
      </c>
    </row>
    <row r="2876">
      <c r="A2876" s="4">
        <v>45534.341997129624</v>
      </c>
      <c r="B2876" s="5" t="s">
        <v>34</v>
      </c>
      <c r="D2876" s="5" t="s">
        <v>10297</v>
      </c>
      <c r="E2876" s="5" t="s">
        <v>20232</v>
      </c>
      <c r="F2876" s="5" t="s">
        <v>37</v>
      </c>
      <c r="G2876" s="5" t="s">
        <v>20233</v>
      </c>
      <c r="H2876" s="6" t="s">
        <v>20234</v>
      </c>
      <c r="K2876" s="5" t="s">
        <v>20214</v>
      </c>
    </row>
    <row r="2877">
      <c r="A2877" s="4">
        <v>45534.34201278935</v>
      </c>
      <c r="B2877" s="5" t="s">
        <v>34</v>
      </c>
      <c r="D2877" s="5" t="s">
        <v>3849</v>
      </c>
      <c r="E2877" s="5" t="s">
        <v>20237</v>
      </c>
      <c r="F2877" s="5" t="s">
        <v>72</v>
      </c>
      <c r="G2877" s="5" t="s">
        <v>20238</v>
      </c>
      <c r="H2877" s="6" t="s">
        <v>20239</v>
      </c>
      <c r="I2877" s="7" t="s">
        <v>20240</v>
      </c>
      <c r="J2877" s="8" t="str">
        <f>HYPERLINK("https://drive.google.com/file/d/1__EDXY16Q1nmIRAJs0cxAH073bmps01q/view?usp=drivesdk","LIDIANTI SERTIFIKAT BerAKHLAK")</f>
        <v>LIDIANTI SERTIFIKAT BerAKHLAK</v>
      </c>
      <c r="K2877" s="5" t="s">
        <v>18654</v>
      </c>
      <c r="L2877" s="5" t="s">
        <v>20241</v>
      </c>
    </row>
    <row r="2878">
      <c r="A2878" s="4">
        <v>45534.34201600694</v>
      </c>
      <c r="B2878" s="5" t="s">
        <v>34</v>
      </c>
      <c r="D2878" s="5" t="s">
        <v>35</v>
      </c>
      <c r="E2878" s="5" t="s">
        <v>20244</v>
      </c>
      <c r="F2878" s="5" t="s">
        <v>212</v>
      </c>
      <c r="G2878" s="5" t="s">
        <v>20245</v>
      </c>
      <c r="H2878" s="6" t="s">
        <v>20246</v>
      </c>
      <c r="I2878" s="7" t="s">
        <v>20247</v>
      </c>
      <c r="J2878" s="8" t="str">
        <f>HYPERLINK("https://drive.google.com/file/d/1Gzoa6HTbk83toBJX1eRo7mMxJsbg37lK/view?usp=drivesdk","MOCHAMMAD SAFEI  SERTIFIKAT BerAKHLAK")</f>
        <v>MOCHAMMAD SAFEI  SERTIFIKAT BerAKHLAK</v>
      </c>
      <c r="K2878" s="5" t="s">
        <v>18654</v>
      </c>
      <c r="L2878" s="5" t="s">
        <v>20248</v>
      </c>
    </row>
    <row r="2879">
      <c r="A2879" s="4">
        <v>45534.34201645834</v>
      </c>
      <c r="B2879" s="5" t="s">
        <v>34</v>
      </c>
      <c r="D2879" s="5" t="s">
        <v>12010</v>
      </c>
      <c r="E2879" s="5" t="s">
        <v>20252</v>
      </c>
      <c r="F2879" s="5" t="s">
        <v>524</v>
      </c>
      <c r="G2879" s="5" t="s">
        <v>20253</v>
      </c>
      <c r="H2879" s="6" t="s">
        <v>20254</v>
      </c>
      <c r="I2879" s="7" t="s">
        <v>20255</v>
      </c>
      <c r="J2879" s="8" t="str">
        <f>HYPERLINK("https://drive.google.com/file/d/1t7PzDxQMtNrwDHiDSDgVzAOH0xtCNENf/view?usp=drivesdk","YATI NUI HURUSANI SERTIFIKAT BerAKHLAK")</f>
        <v>YATI NUI HURUSANI SERTIFIKAT BerAKHLAK</v>
      </c>
      <c r="K2879" s="5" t="s">
        <v>18691</v>
      </c>
      <c r="L2879" s="5" t="s">
        <v>20256</v>
      </c>
    </row>
    <row r="2880">
      <c r="A2880" s="4">
        <v>45534.34202119213</v>
      </c>
      <c r="B2880" s="5" t="s">
        <v>34</v>
      </c>
      <c r="D2880" s="5" t="s">
        <v>996</v>
      </c>
      <c r="E2880" s="5" t="s">
        <v>20259</v>
      </c>
      <c r="F2880" s="5" t="s">
        <v>212</v>
      </c>
      <c r="G2880" s="5" t="s">
        <v>20260</v>
      </c>
      <c r="H2880" s="6" t="s">
        <v>20261</v>
      </c>
      <c r="I2880" s="7" t="s">
        <v>20262</v>
      </c>
      <c r="J2880" s="8" t="str">
        <f>HYPERLINK("https://drive.google.com/file/d/12MDGOgm5C8uPH5DsvHpx5KUWossSwiiO/view?usp=drivesdk","TUMINI SERTIFIKAT BerAKHLAK")</f>
        <v>TUMINI SERTIFIKAT BerAKHLAK</v>
      </c>
      <c r="K2880" s="5" t="s">
        <v>18691</v>
      </c>
      <c r="L2880" s="5" t="s">
        <v>20263</v>
      </c>
    </row>
    <row r="2881">
      <c r="A2881" s="4">
        <v>45534.342022997684</v>
      </c>
      <c r="B2881" s="5" t="s">
        <v>34</v>
      </c>
      <c r="D2881" s="5" t="s">
        <v>35</v>
      </c>
      <c r="E2881" s="5" t="s">
        <v>20266</v>
      </c>
      <c r="F2881" s="5" t="s">
        <v>328</v>
      </c>
      <c r="G2881" s="5" t="s">
        <v>20267</v>
      </c>
      <c r="H2881" s="6" t="s">
        <v>20268</v>
      </c>
      <c r="I2881" s="7" t="s">
        <v>20269</v>
      </c>
      <c r="J2881" s="8" t="str">
        <f>HYPERLINK("https://drive.google.com/file/d/1syFs3vxBeZd551T3HYSZD47hDWxHYA1o/view?usp=drivesdk","YANTO AJA  SERTIFIKAT BerAKHLAK")</f>
        <v>YANTO AJA  SERTIFIKAT BerAKHLAK</v>
      </c>
      <c r="K2881" s="5" t="s">
        <v>18691</v>
      </c>
      <c r="L2881" s="5" t="s">
        <v>20270</v>
      </c>
    </row>
    <row r="2882">
      <c r="A2882" s="4">
        <v>45534.34203002315</v>
      </c>
      <c r="B2882" s="5" t="s">
        <v>34</v>
      </c>
      <c r="D2882" s="5" t="s">
        <v>35</v>
      </c>
      <c r="E2882" s="5" t="s">
        <v>20273</v>
      </c>
      <c r="F2882" s="5" t="s">
        <v>108</v>
      </c>
      <c r="G2882" s="5" t="s">
        <v>20274</v>
      </c>
      <c r="H2882" s="6" t="s">
        <v>20275</v>
      </c>
      <c r="I2882" s="7" t="s">
        <v>20276</v>
      </c>
      <c r="J2882" s="8" t="str">
        <f>HYPERLINK("https://drive.google.com/file/d/1BR-a4ZDEdIJxnUn0w6OU7oSOpYQCCwrP/view?usp=drivesdk","ARNASIH SERTIFIKAT BerAKHLAK")</f>
        <v>ARNASIH SERTIFIKAT BerAKHLAK</v>
      </c>
      <c r="K2882" s="5" t="s">
        <v>18654</v>
      </c>
      <c r="L2882" s="5" t="s">
        <v>20277</v>
      </c>
    </row>
    <row r="2883">
      <c r="A2883" s="4">
        <v>45534.34203194444</v>
      </c>
      <c r="B2883" s="5" t="s">
        <v>19</v>
      </c>
      <c r="C2883" s="5" t="s">
        <v>292</v>
      </c>
      <c r="E2883" s="5" t="s">
        <v>20281</v>
      </c>
      <c r="F2883" s="5" t="s">
        <v>212</v>
      </c>
      <c r="G2883" s="5" t="s">
        <v>20282</v>
      </c>
      <c r="H2883" s="6" t="s">
        <v>20283</v>
      </c>
      <c r="I2883" s="7" t="s">
        <v>20284</v>
      </c>
      <c r="J2883" s="8" t="str">
        <f>HYPERLINK("https://drive.google.com/file/d/1qCSwYK6rEVAwrxvFFgzF1PAilLaKHEmS/view?usp=drivesdk","REVY SAEPUROHMAN,S.Pd SERTIFIKAT BerAKHLAK")</f>
        <v>REVY SAEPUROHMAN,S.Pd SERTIFIKAT BerAKHLAK</v>
      </c>
      <c r="K2883" s="5" t="s">
        <v>18691</v>
      </c>
      <c r="L2883" s="5" t="s">
        <v>20285</v>
      </c>
    </row>
    <row r="2884">
      <c r="A2884" s="4">
        <v>45534.34203547453</v>
      </c>
      <c r="B2884" s="5" t="s">
        <v>34</v>
      </c>
      <c r="D2884" s="5" t="s">
        <v>4775</v>
      </c>
      <c r="E2884" s="5" t="s">
        <v>19564</v>
      </c>
      <c r="F2884" s="5" t="s">
        <v>72</v>
      </c>
      <c r="G2884" s="5" t="s">
        <v>20288</v>
      </c>
      <c r="H2884" s="6" t="s">
        <v>20289</v>
      </c>
      <c r="I2884" s="7" t="s">
        <v>20290</v>
      </c>
      <c r="J2884" s="8" t="str">
        <f>HYPERLINK("https://drive.google.com/file/d/1sVA3Qrx3cpZ41HWZqVlozVtXVNp8Le8-/view?usp=drivesdk","HARTINI SERTIFIKAT BerAKHLAK")</f>
        <v>HARTINI SERTIFIKAT BerAKHLAK</v>
      </c>
      <c r="K2884" s="5" t="s">
        <v>18691</v>
      </c>
      <c r="L2884" s="5" t="s">
        <v>20291</v>
      </c>
    </row>
    <row r="2885">
      <c r="A2885" s="4">
        <v>45534.342038738425</v>
      </c>
      <c r="B2885" s="5" t="s">
        <v>34</v>
      </c>
      <c r="D2885" s="5" t="s">
        <v>3849</v>
      </c>
      <c r="E2885" s="5" t="s">
        <v>20294</v>
      </c>
      <c r="F2885" s="5" t="s">
        <v>715</v>
      </c>
      <c r="G2885" s="5" t="s">
        <v>20295</v>
      </c>
      <c r="H2885" s="6" t="s">
        <v>20296</v>
      </c>
      <c r="K2885" s="5" t="s">
        <v>20297</v>
      </c>
    </row>
    <row r="2886">
      <c r="A2886" s="4">
        <v>45534.34204335648</v>
      </c>
      <c r="B2886" s="5" t="s">
        <v>34</v>
      </c>
      <c r="D2886" s="5" t="s">
        <v>35</v>
      </c>
      <c r="E2886" s="5" t="s">
        <v>20300</v>
      </c>
      <c r="F2886" s="5" t="s">
        <v>375</v>
      </c>
      <c r="G2886" s="5" t="s">
        <v>20301</v>
      </c>
      <c r="H2886" s="6" t="s">
        <v>20302</v>
      </c>
      <c r="K2886" s="5" t="s">
        <v>20297</v>
      </c>
    </row>
    <row r="2887">
      <c r="A2887" s="4">
        <v>45534.34204577546</v>
      </c>
      <c r="B2887" s="5" t="s">
        <v>34</v>
      </c>
      <c r="D2887" s="5" t="s">
        <v>1206</v>
      </c>
      <c r="E2887" s="5" t="s">
        <v>20306</v>
      </c>
      <c r="F2887" s="5" t="s">
        <v>37</v>
      </c>
      <c r="G2887" s="5" t="s">
        <v>20307</v>
      </c>
      <c r="H2887" s="6" t="s">
        <v>20308</v>
      </c>
      <c r="K2887" s="5" t="s">
        <v>20297</v>
      </c>
    </row>
    <row r="2888">
      <c r="A2888" s="4">
        <v>45534.34204613426</v>
      </c>
      <c r="B2888" s="5" t="s">
        <v>34</v>
      </c>
      <c r="D2888" s="5" t="s">
        <v>1768</v>
      </c>
      <c r="E2888" s="5" t="s">
        <v>20311</v>
      </c>
      <c r="F2888" s="5" t="s">
        <v>72</v>
      </c>
      <c r="G2888" s="5" t="s">
        <v>20312</v>
      </c>
      <c r="H2888" s="6" t="s">
        <v>20313</v>
      </c>
      <c r="K2888" s="5" t="s">
        <v>20297</v>
      </c>
    </row>
    <row r="2889">
      <c r="A2889" s="4">
        <v>45534.3420484838</v>
      </c>
      <c r="B2889" s="5" t="s">
        <v>34</v>
      </c>
      <c r="D2889" s="5" t="s">
        <v>996</v>
      </c>
      <c r="E2889" s="5" t="s">
        <v>20316</v>
      </c>
      <c r="F2889" s="5" t="s">
        <v>212</v>
      </c>
      <c r="G2889" s="5" t="s">
        <v>20317</v>
      </c>
      <c r="H2889" s="6" t="s">
        <v>20318</v>
      </c>
      <c r="K2889" s="5" t="s">
        <v>20297</v>
      </c>
    </row>
    <row r="2890">
      <c r="A2890" s="4">
        <v>45534.342050798616</v>
      </c>
      <c r="B2890" s="5" t="s">
        <v>34</v>
      </c>
      <c r="D2890" s="5" t="s">
        <v>1206</v>
      </c>
      <c r="E2890" s="5" t="s">
        <v>20321</v>
      </c>
      <c r="F2890" s="5" t="s">
        <v>72</v>
      </c>
      <c r="G2890" s="5" t="s">
        <v>20322</v>
      </c>
      <c r="H2890" s="6" t="s">
        <v>20323</v>
      </c>
      <c r="K2890" s="5" t="s">
        <v>20297</v>
      </c>
    </row>
    <row r="2891">
      <c r="A2891" s="4">
        <v>45534.342052962966</v>
      </c>
      <c r="B2891" s="5" t="s">
        <v>34</v>
      </c>
      <c r="D2891" s="5" t="s">
        <v>35</v>
      </c>
      <c r="E2891" s="5" t="s">
        <v>20326</v>
      </c>
      <c r="F2891" s="5" t="s">
        <v>375</v>
      </c>
      <c r="G2891" s="5" t="s">
        <v>20327</v>
      </c>
      <c r="H2891" s="6" t="s">
        <v>20328</v>
      </c>
      <c r="K2891" s="5" t="s">
        <v>20297</v>
      </c>
    </row>
    <row r="2892">
      <c r="A2892" s="4">
        <v>45534.342055243054</v>
      </c>
      <c r="B2892" s="5" t="s">
        <v>34</v>
      </c>
      <c r="D2892" s="5" t="s">
        <v>4775</v>
      </c>
      <c r="E2892" s="5" t="s">
        <v>20332</v>
      </c>
      <c r="F2892" s="5" t="s">
        <v>375</v>
      </c>
      <c r="G2892" s="5" t="s">
        <v>20333</v>
      </c>
      <c r="H2892" s="6" t="s">
        <v>20334</v>
      </c>
      <c r="K2892" s="5" t="s">
        <v>20297</v>
      </c>
    </row>
    <row r="2893">
      <c r="A2893" s="4">
        <v>45534.34205690972</v>
      </c>
      <c r="B2893" s="5" t="s">
        <v>19</v>
      </c>
      <c r="C2893" s="5" t="s">
        <v>11593</v>
      </c>
      <c r="E2893" s="5" t="s">
        <v>20337</v>
      </c>
      <c r="F2893" s="5" t="s">
        <v>120</v>
      </c>
      <c r="G2893" s="5" t="s">
        <v>20338</v>
      </c>
      <c r="H2893" s="6" t="s">
        <v>20339</v>
      </c>
      <c r="K2893" s="5" t="s">
        <v>20297</v>
      </c>
    </row>
    <row r="2894">
      <c r="A2894" s="4">
        <v>45534.34206497685</v>
      </c>
      <c r="B2894" s="5" t="s">
        <v>34</v>
      </c>
      <c r="D2894" s="5" t="s">
        <v>4775</v>
      </c>
      <c r="E2894" s="5" t="s">
        <v>20343</v>
      </c>
      <c r="F2894" s="5" t="s">
        <v>212</v>
      </c>
      <c r="G2894" s="5" t="s">
        <v>20344</v>
      </c>
      <c r="H2894" s="6" t="s">
        <v>20345</v>
      </c>
      <c r="K2894" s="5" t="s">
        <v>20297</v>
      </c>
    </row>
    <row r="2895">
      <c r="A2895" s="4">
        <v>45534.34206517361</v>
      </c>
      <c r="B2895" s="5" t="s">
        <v>19</v>
      </c>
      <c r="C2895" s="5" t="s">
        <v>3301</v>
      </c>
      <c r="E2895" s="5" t="s">
        <v>20349</v>
      </c>
      <c r="F2895" s="5" t="s">
        <v>72</v>
      </c>
      <c r="G2895" s="5" t="s">
        <v>20350</v>
      </c>
      <c r="H2895" s="6" t="s">
        <v>20351</v>
      </c>
      <c r="K2895" s="5" t="s">
        <v>20297</v>
      </c>
    </row>
    <row r="2896">
      <c r="A2896" s="4">
        <v>45534.34206917824</v>
      </c>
      <c r="B2896" s="5" t="s">
        <v>34</v>
      </c>
      <c r="D2896" s="5" t="s">
        <v>1206</v>
      </c>
      <c r="E2896" s="5" t="s">
        <v>20355</v>
      </c>
      <c r="F2896" s="5" t="s">
        <v>212</v>
      </c>
      <c r="G2896" s="5" t="s">
        <v>20356</v>
      </c>
      <c r="H2896" s="6" t="s">
        <v>20357</v>
      </c>
      <c r="I2896" s="7" t="s">
        <v>20358</v>
      </c>
      <c r="J2896" s="8" t="str">
        <f>HYPERLINK("https://drive.google.com/file/d/1ln_hma5M4oUQmfCN3bKP0T1OivDMs_zH/view?usp=drivesdk","Dwi Retno Juliati SERTIFIKAT BerAKHLAK")</f>
        <v>Dwi Retno Juliati SERTIFIKAT BerAKHLAK</v>
      </c>
      <c r="K2896" s="5" t="s">
        <v>18654</v>
      </c>
      <c r="L2896" s="5" t="s">
        <v>20359</v>
      </c>
    </row>
    <row r="2897">
      <c r="A2897" s="4">
        <v>45534.342071377316</v>
      </c>
      <c r="B2897" s="5" t="s">
        <v>34</v>
      </c>
      <c r="D2897" s="5" t="s">
        <v>522</v>
      </c>
      <c r="E2897" s="5" t="s">
        <v>20363</v>
      </c>
      <c r="F2897" s="5" t="s">
        <v>524</v>
      </c>
      <c r="G2897" s="5" t="s">
        <v>20364</v>
      </c>
      <c r="H2897" s="6" t="s">
        <v>20365</v>
      </c>
      <c r="I2897" s="7" t="s">
        <v>20366</v>
      </c>
      <c r="J2897" s="8" t="str">
        <f>HYPERLINK("https://drive.google.com/file/d/1-7YXegD1lSOhYmZegCZhybPFXefkC5JD/view?usp=drivesdk","HETTY SUTRINI SERTIFIKAT BerAKHLAK")</f>
        <v>HETTY SUTRINI SERTIFIKAT BerAKHLAK</v>
      </c>
      <c r="K2897" s="5" t="s">
        <v>18691</v>
      </c>
      <c r="L2897" s="5" t="s">
        <v>20367</v>
      </c>
    </row>
    <row r="2898">
      <c r="A2898" s="4">
        <v>45534.34207518518</v>
      </c>
      <c r="B2898" s="5" t="s">
        <v>34</v>
      </c>
      <c r="D2898" s="5" t="s">
        <v>2903</v>
      </c>
      <c r="E2898" s="5" t="s">
        <v>20371</v>
      </c>
      <c r="F2898" s="5" t="s">
        <v>37</v>
      </c>
      <c r="G2898" s="5" t="s">
        <v>20372</v>
      </c>
      <c r="H2898" s="6" t="s">
        <v>20373</v>
      </c>
      <c r="I2898" s="7" t="s">
        <v>20374</v>
      </c>
      <c r="J2898" s="8" t="str">
        <f>HYPERLINK("https://drive.google.com/file/d/1ThtNLwUBBbyzL1BJG-l-0QKsGFKAe30U/view?usp=drivesdk","TRI DARMAWAN SERTIFIKAT BerAKHLAK")</f>
        <v>TRI DARMAWAN SERTIFIKAT BerAKHLAK</v>
      </c>
      <c r="K2898" s="5" t="s">
        <v>18691</v>
      </c>
      <c r="L2898" s="5" t="s">
        <v>20375</v>
      </c>
    </row>
    <row r="2899">
      <c r="A2899" s="4">
        <v>45534.34207903935</v>
      </c>
      <c r="B2899" s="5" t="s">
        <v>34</v>
      </c>
      <c r="D2899" s="5" t="s">
        <v>6232</v>
      </c>
      <c r="E2899" s="5" t="s">
        <v>20379</v>
      </c>
      <c r="F2899" s="5" t="s">
        <v>37</v>
      </c>
      <c r="G2899" s="5" t="s">
        <v>20380</v>
      </c>
      <c r="H2899" s="6" t="s">
        <v>20381</v>
      </c>
      <c r="I2899" s="7" t="s">
        <v>20382</v>
      </c>
      <c r="J2899" s="8" t="str">
        <f>HYPERLINK("https://drive.google.com/file/d/1dgdoXb56MstXb5hKb4lU3faOXSqXgK9d/view?usp=drivesdk","DARNIATI  SERTIFIKAT BerAKHLAK")</f>
        <v>DARNIATI  SERTIFIKAT BerAKHLAK</v>
      </c>
      <c r="K2899" s="5" t="s">
        <v>18691</v>
      </c>
      <c r="L2899" s="5" t="s">
        <v>20383</v>
      </c>
    </row>
    <row r="2900">
      <c r="A2900" s="4">
        <v>45534.34207918981</v>
      </c>
      <c r="B2900" s="5" t="s">
        <v>34</v>
      </c>
      <c r="D2900" s="5" t="s">
        <v>9020</v>
      </c>
      <c r="E2900" s="5" t="s">
        <v>20387</v>
      </c>
      <c r="F2900" s="5" t="s">
        <v>212</v>
      </c>
      <c r="G2900" s="5" t="s">
        <v>20388</v>
      </c>
      <c r="H2900" s="6" t="s">
        <v>20389</v>
      </c>
      <c r="I2900" s="7" t="s">
        <v>20390</v>
      </c>
      <c r="J2900" s="8" t="str">
        <f>HYPERLINK("https://drive.google.com/file/d/12fgHm-kFUcfj0yTDPSS4HKRI9vnl4JAQ/view?usp=drivesdk","SITI ROHANI SERTIFIKAT BerAKHLAK")</f>
        <v>SITI ROHANI SERTIFIKAT BerAKHLAK</v>
      </c>
      <c r="K2900" s="5" t="s">
        <v>20391</v>
      </c>
      <c r="L2900" s="5" t="s">
        <v>20392</v>
      </c>
    </row>
    <row r="2901">
      <c r="A2901" s="4">
        <v>45534.342080625</v>
      </c>
      <c r="B2901" s="5" t="s">
        <v>34</v>
      </c>
      <c r="D2901" s="5" t="s">
        <v>35</v>
      </c>
      <c r="E2901" s="5" t="s">
        <v>20396</v>
      </c>
      <c r="F2901" s="5" t="s">
        <v>37</v>
      </c>
      <c r="G2901" s="5" t="s">
        <v>20397</v>
      </c>
      <c r="H2901" s="6" t="s">
        <v>20398</v>
      </c>
      <c r="I2901" s="7" t="s">
        <v>20399</v>
      </c>
      <c r="J2901" s="8" t="str">
        <f>HYPERLINK("https://drive.google.com/file/d/1YbJYNHXJNtNNsjVGeEoQ7noufIsT4XT1/view?usp=drivesdk","RUSTIWAN, S. KOM. SERTIFIKAT BerAKHLAK")</f>
        <v>RUSTIWAN, S. KOM. SERTIFIKAT BerAKHLAK</v>
      </c>
      <c r="K2901" s="5" t="s">
        <v>20391</v>
      </c>
      <c r="L2901" s="5" t="s">
        <v>20400</v>
      </c>
    </row>
    <row r="2902">
      <c r="A2902" s="4">
        <v>45534.342081215276</v>
      </c>
      <c r="B2902" s="5" t="s">
        <v>34</v>
      </c>
      <c r="D2902" s="5" t="s">
        <v>4775</v>
      </c>
      <c r="E2902" s="5" t="s">
        <v>20404</v>
      </c>
      <c r="F2902" s="5" t="s">
        <v>37</v>
      </c>
      <c r="G2902" s="5" t="s">
        <v>20405</v>
      </c>
      <c r="H2902" s="6" t="s">
        <v>20406</v>
      </c>
      <c r="K2902" s="5" t="s">
        <v>20407</v>
      </c>
    </row>
    <row r="2903">
      <c r="A2903" s="4">
        <v>45534.342084398144</v>
      </c>
      <c r="B2903" s="5" t="s">
        <v>34</v>
      </c>
      <c r="D2903" s="5" t="s">
        <v>9394</v>
      </c>
      <c r="E2903" s="5" t="s">
        <v>20411</v>
      </c>
      <c r="F2903" s="5" t="s">
        <v>37</v>
      </c>
      <c r="G2903" s="5" t="s">
        <v>20412</v>
      </c>
      <c r="H2903" s="6" t="s">
        <v>20413</v>
      </c>
      <c r="K2903" s="5" t="s">
        <v>20407</v>
      </c>
    </row>
    <row r="2904">
      <c r="A2904" s="4">
        <v>45534.34209356482</v>
      </c>
      <c r="B2904" s="5" t="s">
        <v>34</v>
      </c>
      <c r="D2904" s="5" t="s">
        <v>4775</v>
      </c>
      <c r="E2904" s="5" t="s">
        <v>20417</v>
      </c>
      <c r="F2904" s="5" t="s">
        <v>212</v>
      </c>
      <c r="G2904" s="5" t="s">
        <v>20418</v>
      </c>
      <c r="H2904" s="6" t="s">
        <v>20419</v>
      </c>
      <c r="K2904" s="5" t="s">
        <v>20407</v>
      </c>
    </row>
    <row r="2905">
      <c r="A2905" s="4">
        <v>45534.34209715278</v>
      </c>
      <c r="B2905" s="5" t="s">
        <v>34</v>
      </c>
      <c r="D2905" s="5" t="s">
        <v>35</v>
      </c>
      <c r="E2905" s="5" t="s">
        <v>20423</v>
      </c>
      <c r="F2905" s="5" t="s">
        <v>212</v>
      </c>
      <c r="G2905" s="5" t="s">
        <v>20424</v>
      </c>
      <c r="H2905" s="6" t="s">
        <v>20425</v>
      </c>
      <c r="K2905" s="5" t="s">
        <v>20407</v>
      </c>
    </row>
    <row r="2906">
      <c r="A2906" s="4">
        <v>45534.34210072916</v>
      </c>
      <c r="B2906" s="5" t="s">
        <v>34</v>
      </c>
      <c r="D2906" s="5" t="s">
        <v>280</v>
      </c>
      <c r="E2906" s="5" t="s">
        <v>20429</v>
      </c>
      <c r="F2906" s="5" t="s">
        <v>212</v>
      </c>
      <c r="G2906" s="5" t="s">
        <v>20430</v>
      </c>
      <c r="H2906" s="6" t="s">
        <v>20431</v>
      </c>
      <c r="I2906" s="7" t="s">
        <v>20432</v>
      </c>
      <c r="J2906" s="8" t="str">
        <f>HYPERLINK("https://drive.google.com/file/d/1SjzAWl-WLTKQwh7BQ3TYHBip1ORQBfsY/view?usp=drivesdk","ADIYANTO SERTIFIKAT BerAKHLAK")</f>
        <v>ADIYANTO SERTIFIKAT BerAKHLAK</v>
      </c>
      <c r="K2906" s="5" t="s">
        <v>18654</v>
      </c>
      <c r="L2906" s="5" t="s">
        <v>20433</v>
      </c>
    </row>
    <row r="2907">
      <c r="A2907" s="4">
        <v>45534.34210112269</v>
      </c>
      <c r="B2907" s="5" t="s">
        <v>34</v>
      </c>
      <c r="D2907" s="5" t="s">
        <v>1206</v>
      </c>
      <c r="E2907" s="5" t="s">
        <v>20437</v>
      </c>
      <c r="F2907" s="5" t="s">
        <v>199</v>
      </c>
      <c r="G2907" s="5" t="s">
        <v>20438</v>
      </c>
      <c r="H2907" s="6" t="s">
        <v>20439</v>
      </c>
      <c r="I2907" s="7" t="s">
        <v>20440</v>
      </c>
      <c r="J2907" s="8" t="str">
        <f>HYPERLINK("https://drive.google.com/file/d/1f5wntPBtuAhfZHTgzOFcywBG_bdjILnp/view?usp=drivesdk","KUSNUL IVASARI SERTIFIKAT BerAKHLAK")</f>
        <v>KUSNUL IVASARI SERTIFIKAT BerAKHLAK</v>
      </c>
      <c r="K2907" s="5" t="s">
        <v>18691</v>
      </c>
      <c r="L2907" s="5" t="s">
        <v>20441</v>
      </c>
    </row>
    <row r="2908">
      <c r="A2908" s="4">
        <v>45534.342103020834</v>
      </c>
      <c r="B2908" s="5" t="s">
        <v>34</v>
      </c>
      <c r="D2908" s="5" t="s">
        <v>280</v>
      </c>
      <c r="E2908" s="5" t="s">
        <v>20445</v>
      </c>
      <c r="F2908" s="5" t="s">
        <v>72</v>
      </c>
      <c r="G2908" s="5" t="s">
        <v>20446</v>
      </c>
      <c r="H2908" s="6" t="s">
        <v>20447</v>
      </c>
      <c r="I2908" s="7" t="s">
        <v>20448</v>
      </c>
      <c r="J2908" s="8" t="str">
        <f>HYPERLINK("https://drive.google.com/file/d/1DgkmteweDRn62q21pSJHrhqt9g4m5gSb/view?usp=drivesdk","AYU ULAN DARI SERTIFIKAT BerAKHLAK")</f>
        <v>AYU ULAN DARI SERTIFIKAT BerAKHLAK</v>
      </c>
      <c r="K2908" s="5" t="s">
        <v>18691</v>
      </c>
      <c r="L2908" s="5" t="s">
        <v>20449</v>
      </c>
    </row>
    <row r="2909">
      <c r="A2909" s="4">
        <v>45534.34210688657</v>
      </c>
      <c r="B2909" s="5" t="s">
        <v>19</v>
      </c>
      <c r="C2909" s="5" t="s">
        <v>5564</v>
      </c>
      <c r="E2909" s="5" t="s">
        <v>20453</v>
      </c>
      <c r="F2909" s="5" t="s">
        <v>798</v>
      </c>
      <c r="G2909" s="5" t="s">
        <v>20454</v>
      </c>
      <c r="H2909" s="6" t="s">
        <v>20455</v>
      </c>
      <c r="I2909" s="7" t="s">
        <v>20456</v>
      </c>
      <c r="J2909" s="8" t="str">
        <f>HYPERLINK("https://drive.google.com/file/d/1fcrIK29kpu7tl-P80fRqfLJXVFb1rNqd/view?usp=drivesdk","RIZKI AFRILYANTI SERTIFIKAT BerAKHLAK")</f>
        <v>RIZKI AFRILYANTI SERTIFIKAT BerAKHLAK</v>
      </c>
      <c r="K2909" s="5" t="s">
        <v>18691</v>
      </c>
      <c r="L2909" s="5" t="s">
        <v>20457</v>
      </c>
    </row>
    <row r="2910">
      <c r="A2910" s="4">
        <v>45534.34210814815</v>
      </c>
      <c r="B2910" s="5" t="s">
        <v>34</v>
      </c>
      <c r="D2910" s="5" t="s">
        <v>1206</v>
      </c>
      <c r="E2910" s="5" t="s">
        <v>20461</v>
      </c>
      <c r="F2910" s="5" t="s">
        <v>212</v>
      </c>
      <c r="G2910" s="5" t="s">
        <v>20462</v>
      </c>
      <c r="H2910" s="6" t="s">
        <v>20463</v>
      </c>
      <c r="I2910" s="7" t="s">
        <v>20464</v>
      </c>
      <c r="J2910" s="8" t="str">
        <f>HYPERLINK("https://drive.google.com/file/d/1NddDxwaSCphN4-fUYseLX7UN9Nn_RuYt/view?usp=drivesdk","EKA IRIANAWATI SERTIFIKAT BerAKHLAK")</f>
        <v>EKA IRIANAWATI SERTIFIKAT BerAKHLAK</v>
      </c>
      <c r="K2910" s="5" t="s">
        <v>18691</v>
      </c>
      <c r="L2910" s="5" t="s">
        <v>20465</v>
      </c>
    </row>
    <row r="2911">
      <c r="A2911" s="4">
        <v>45534.3421087037</v>
      </c>
      <c r="B2911" s="5" t="s">
        <v>34</v>
      </c>
      <c r="D2911" s="5" t="s">
        <v>4775</v>
      </c>
      <c r="E2911" s="5" t="s">
        <v>20469</v>
      </c>
      <c r="F2911" s="5" t="s">
        <v>212</v>
      </c>
      <c r="G2911" s="5" t="s">
        <v>20470</v>
      </c>
      <c r="H2911" s="6" t="s">
        <v>20471</v>
      </c>
      <c r="I2911" s="7" t="s">
        <v>20472</v>
      </c>
      <c r="J2911" s="8" t="str">
        <f>HYPERLINK("https://drive.google.com/file/d/1LF8xPJ-JLdnWt54lh85Z0WtXZDFeOZDG/view?usp=drivesdk","RIYADI AGUS SUSWOYO  SERTIFIKAT BerAKHLAK")</f>
        <v>RIYADI AGUS SUSWOYO  SERTIFIKAT BerAKHLAK</v>
      </c>
      <c r="K2911" s="5" t="s">
        <v>20391</v>
      </c>
      <c r="L2911" s="5" t="s">
        <v>20473</v>
      </c>
    </row>
    <row r="2912">
      <c r="A2912" s="4">
        <v>45534.3421202662</v>
      </c>
      <c r="B2912" s="5" t="s">
        <v>34</v>
      </c>
      <c r="D2912" s="5" t="s">
        <v>9394</v>
      </c>
      <c r="E2912" s="5" t="s">
        <v>20477</v>
      </c>
      <c r="F2912" s="5" t="s">
        <v>72</v>
      </c>
      <c r="G2912" s="5" t="s">
        <v>20478</v>
      </c>
      <c r="H2912" s="6" t="s">
        <v>20479</v>
      </c>
      <c r="I2912" s="7" t="s">
        <v>20480</v>
      </c>
      <c r="J2912" s="8" t="str">
        <f>HYPERLINK("https://drive.google.com/file/d/1C-3KXbMWCARYjVkaxka_kuZ_z163qHhs/view?usp=drivesdk","ERMA DEWITA SERTIFIKAT BerAKHLAK")</f>
        <v>ERMA DEWITA SERTIFIKAT BerAKHLAK</v>
      </c>
      <c r="K2912" s="5" t="s">
        <v>20391</v>
      </c>
      <c r="L2912" s="5" t="s">
        <v>20481</v>
      </c>
    </row>
    <row r="2913">
      <c r="A2913" s="4">
        <v>45534.34212547453</v>
      </c>
      <c r="B2913" s="5" t="s">
        <v>34</v>
      </c>
      <c r="D2913" s="5" t="s">
        <v>1206</v>
      </c>
      <c r="E2913" s="5" t="s">
        <v>20485</v>
      </c>
      <c r="F2913" s="5" t="s">
        <v>524</v>
      </c>
      <c r="G2913" s="5" t="s">
        <v>20486</v>
      </c>
      <c r="H2913" s="6" t="s">
        <v>20487</v>
      </c>
      <c r="K2913" s="5" t="s">
        <v>20488</v>
      </c>
    </row>
    <row r="2914">
      <c r="A2914" s="4">
        <v>45534.34213438658</v>
      </c>
      <c r="B2914" s="5" t="s">
        <v>34</v>
      </c>
      <c r="D2914" s="5" t="s">
        <v>2903</v>
      </c>
      <c r="E2914" s="5" t="s">
        <v>20492</v>
      </c>
      <c r="F2914" s="5" t="s">
        <v>524</v>
      </c>
      <c r="G2914" s="5" t="s">
        <v>20493</v>
      </c>
      <c r="H2914" s="6" t="s">
        <v>20494</v>
      </c>
      <c r="K2914" s="5" t="s">
        <v>19201</v>
      </c>
    </row>
    <row r="2915">
      <c r="A2915" s="4">
        <v>45534.342143622685</v>
      </c>
      <c r="B2915" s="5" t="s">
        <v>34</v>
      </c>
      <c r="D2915" s="5" t="s">
        <v>9020</v>
      </c>
      <c r="E2915" s="5" t="s">
        <v>20498</v>
      </c>
      <c r="F2915" s="5" t="s">
        <v>524</v>
      </c>
      <c r="G2915" s="5" t="s">
        <v>20499</v>
      </c>
      <c r="H2915" s="6" t="s">
        <v>20500</v>
      </c>
      <c r="K2915" s="5" t="s">
        <v>19201</v>
      </c>
    </row>
    <row r="2916">
      <c r="A2916" s="4">
        <v>45534.34214594908</v>
      </c>
      <c r="B2916" s="5" t="s">
        <v>34</v>
      </c>
      <c r="D2916" s="5" t="s">
        <v>1206</v>
      </c>
      <c r="E2916" s="5" t="s">
        <v>20504</v>
      </c>
      <c r="F2916" s="5" t="s">
        <v>37</v>
      </c>
      <c r="G2916" s="5" t="s">
        <v>20505</v>
      </c>
      <c r="H2916" s="6" t="s">
        <v>20506</v>
      </c>
      <c r="K2916" s="5" t="s">
        <v>19201</v>
      </c>
    </row>
    <row r="2917">
      <c r="A2917" s="4">
        <v>45534.34214700232</v>
      </c>
      <c r="B2917" s="5" t="s">
        <v>19</v>
      </c>
      <c r="C2917" s="5" t="s">
        <v>3301</v>
      </c>
      <c r="E2917" s="5" t="s">
        <v>20510</v>
      </c>
      <c r="F2917" s="5" t="s">
        <v>37</v>
      </c>
      <c r="G2917" s="5" t="s">
        <v>20511</v>
      </c>
      <c r="H2917" s="6" t="s">
        <v>20512</v>
      </c>
      <c r="K2917" s="5" t="s">
        <v>19201</v>
      </c>
    </row>
    <row r="2918">
      <c r="A2918" s="4">
        <v>45534.342151770834</v>
      </c>
      <c r="B2918" s="5" t="s">
        <v>34</v>
      </c>
      <c r="D2918" s="5" t="s">
        <v>4775</v>
      </c>
      <c r="E2918" s="5" t="s">
        <v>20516</v>
      </c>
      <c r="F2918" s="5" t="s">
        <v>37</v>
      </c>
      <c r="G2918" s="5" t="s">
        <v>20517</v>
      </c>
      <c r="H2918" s="6" t="s">
        <v>20518</v>
      </c>
      <c r="K2918" s="5" t="s">
        <v>19201</v>
      </c>
    </row>
    <row r="2919">
      <c r="A2919" s="4">
        <v>45534.34215818287</v>
      </c>
      <c r="B2919" s="5" t="s">
        <v>34</v>
      </c>
      <c r="D2919" s="5" t="s">
        <v>604</v>
      </c>
      <c r="E2919" s="5" t="s">
        <v>20522</v>
      </c>
      <c r="F2919" s="5" t="s">
        <v>375</v>
      </c>
      <c r="G2919" s="5" t="s">
        <v>20523</v>
      </c>
      <c r="H2919" s="6" t="s">
        <v>20524</v>
      </c>
      <c r="K2919" s="5" t="s">
        <v>19201</v>
      </c>
    </row>
    <row r="2920">
      <c r="A2920" s="4">
        <v>45534.342161504625</v>
      </c>
      <c r="B2920" s="5" t="s">
        <v>34</v>
      </c>
      <c r="D2920" s="5" t="s">
        <v>1206</v>
      </c>
      <c r="E2920" s="5" t="s">
        <v>20528</v>
      </c>
      <c r="F2920" s="5" t="s">
        <v>375</v>
      </c>
      <c r="G2920" s="5" t="s">
        <v>20529</v>
      </c>
      <c r="H2920" s="6" t="s">
        <v>20530</v>
      </c>
      <c r="K2920" s="5" t="s">
        <v>19201</v>
      </c>
    </row>
    <row r="2921">
      <c r="A2921" s="4">
        <v>45534.34216732639</v>
      </c>
      <c r="B2921" s="5" t="s">
        <v>34</v>
      </c>
      <c r="D2921" s="5" t="s">
        <v>1206</v>
      </c>
      <c r="E2921" s="5" t="s">
        <v>20534</v>
      </c>
      <c r="F2921" s="5" t="s">
        <v>37</v>
      </c>
      <c r="G2921" s="5" t="s">
        <v>20535</v>
      </c>
      <c r="H2921" s="6" t="s">
        <v>20536</v>
      </c>
      <c r="K2921" s="5" t="s">
        <v>19201</v>
      </c>
    </row>
    <row r="2922">
      <c r="A2922" s="4">
        <v>45534.342171412034</v>
      </c>
      <c r="B2922" s="5" t="s">
        <v>34</v>
      </c>
      <c r="D2922" s="5" t="s">
        <v>1206</v>
      </c>
      <c r="E2922" s="5" t="s">
        <v>20540</v>
      </c>
      <c r="F2922" s="5" t="s">
        <v>72</v>
      </c>
      <c r="G2922" s="5" t="s">
        <v>20541</v>
      </c>
      <c r="H2922" s="6" t="s">
        <v>20542</v>
      </c>
      <c r="K2922" s="5" t="s">
        <v>19201</v>
      </c>
    </row>
    <row r="2923">
      <c r="A2923" s="4">
        <v>45534.3421762037</v>
      </c>
      <c r="B2923" s="5" t="s">
        <v>34</v>
      </c>
      <c r="D2923" s="5" t="s">
        <v>1206</v>
      </c>
      <c r="E2923" s="5" t="s">
        <v>20546</v>
      </c>
      <c r="F2923" s="5" t="s">
        <v>72</v>
      </c>
      <c r="G2923" s="5" t="s">
        <v>20547</v>
      </c>
      <c r="H2923" s="6" t="s">
        <v>20548</v>
      </c>
      <c r="K2923" s="5" t="s">
        <v>19201</v>
      </c>
    </row>
    <row r="2924">
      <c r="A2924" s="4">
        <v>45534.3421777662</v>
      </c>
      <c r="B2924" s="5" t="s">
        <v>34</v>
      </c>
      <c r="D2924" s="5" t="s">
        <v>604</v>
      </c>
      <c r="E2924" s="5" t="s">
        <v>20552</v>
      </c>
      <c r="F2924" s="5" t="s">
        <v>72</v>
      </c>
      <c r="G2924" s="5" t="s">
        <v>20553</v>
      </c>
      <c r="H2924" s="6" t="s">
        <v>20554</v>
      </c>
      <c r="I2924" s="7" t="s">
        <v>20555</v>
      </c>
      <c r="J2924" s="8" t="str">
        <f>HYPERLINK("https://drive.google.com/file/d/13bbG0ANuzs1MnzBRvPgOyLYKbY5512R8/view?usp=drivesdk","IMMA ROSDIAWATI, A.Md SERTIFIKAT BerAKHLAK")</f>
        <v>IMMA ROSDIAWATI, A.Md SERTIFIKAT BerAKHLAK</v>
      </c>
      <c r="K2924" s="5" t="s">
        <v>18691</v>
      </c>
      <c r="L2924" s="5" t="s">
        <v>20556</v>
      </c>
    </row>
    <row r="2925">
      <c r="A2925" s="4">
        <v>45534.34218403936</v>
      </c>
      <c r="B2925" s="5" t="s">
        <v>34</v>
      </c>
      <c r="D2925" s="5" t="s">
        <v>35</v>
      </c>
      <c r="E2925" s="5" t="s">
        <v>20560</v>
      </c>
      <c r="F2925" s="5" t="s">
        <v>37</v>
      </c>
      <c r="G2925" s="5" t="s">
        <v>20561</v>
      </c>
      <c r="H2925" s="6" t="s">
        <v>20562</v>
      </c>
      <c r="I2925" s="7" t="s">
        <v>20563</v>
      </c>
      <c r="J2925" s="8" t="str">
        <f>HYPERLINK("https://drive.google.com/file/d/1Y5k7-SUbX7TGFnk8bnP9eXcKAELOBFCW/view?usp=drivesdk","NURHAYATI SERTIFIKAT BerAKHLAK")</f>
        <v>NURHAYATI SERTIFIKAT BerAKHLAK</v>
      </c>
      <c r="K2925" s="5" t="s">
        <v>18691</v>
      </c>
      <c r="L2925" s="5" t="s">
        <v>20564</v>
      </c>
    </row>
    <row r="2926">
      <c r="A2926" s="4">
        <v>45534.34218766204</v>
      </c>
      <c r="B2926" s="5" t="s">
        <v>34</v>
      </c>
      <c r="D2926" s="5" t="s">
        <v>1206</v>
      </c>
      <c r="E2926" s="5" t="s">
        <v>20568</v>
      </c>
      <c r="F2926" s="5" t="s">
        <v>212</v>
      </c>
      <c r="G2926" s="5" t="s">
        <v>20569</v>
      </c>
      <c r="H2926" s="6" t="s">
        <v>20570</v>
      </c>
      <c r="I2926" s="7" t="s">
        <v>20571</v>
      </c>
      <c r="J2926" s="8" t="str">
        <f>HYPERLINK("https://drive.google.com/file/d/1JSY-zVgAiPV22dXlReSupkxxIlWCdVtD/view?usp=drivesdk","MARNO SARWO EDY SERTIFIKAT BerAKHLAK")</f>
        <v>MARNO SARWO EDY SERTIFIKAT BerAKHLAK</v>
      </c>
      <c r="K2926" s="5" t="s">
        <v>18691</v>
      </c>
      <c r="L2926" s="5" t="s">
        <v>20572</v>
      </c>
    </row>
    <row r="2927">
      <c r="A2927" s="4">
        <v>45534.342191504635</v>
      </c>
      <c r="B2927" s="5" t="s">
        <v>34</v>
      </c>
      <c r="D2927" s="5" t="s">
        <v>9020</v>
      </c>
      <c r="E2927" s="5" t="s">
        <v>15300</v>
      </c>
      <c r="F2927" s="5" t="s">
        <v>37</v>
      </c>
      <c r="G2927" s="5" t="s">
        <v>15301</v>
      </c>
      <c r="H2927" s="6" t="s">
        <v>20576</v>
      </c>
      <c r="I2927" s="7" t="s">
        <v>20577</v>
      </c>
      <c r="J2927" s="8" t="str">
        <f>HYPERLINK("https://drive.google.com/file/d/1UNFSt6u1udySpRPtN-Bdqvt-stgyTUlD/view?usp=drivesdk","ESTER IMELDA MUNTE SERTIFIKAT BerAKHLAK")</f>
        <v>ESTER IMELDA MUNTE SERTIFIKAT BerAKHLAK</v>
      </c>
      <c r="K2927" s="5" t="s">
        <v>18691</v>
      </c>
      <c r="L2927" s="5" t="s">
        <v>20578</v>
      </c>
    </row>
    <row r="2928">
      <c r="A2928" s="4">
        <v>45534.34219222222</v>
      </c>
      <c r="B2928" s="5" t="s">
        <v>34</v>
      </c>
      <c r="D2928" s="5" t="s">
        <v>4775</v>
      </c>
      <c r="E2928" s="5" t="s">
        <v>20582</v>
      </c>
      <c r="F2928" s="5" t="s">
        <v>212</v>
      </c>
      <c r="G2928" s="5" t="s">
        <v>20583</v>
      </c>
      <c r="H2928" s="6" t="s">
        <v>20584</v>
      </c>
      <c r="I2928" s="7" t="s">
        <v>20585</v>
      </c>
      <c r="J2928" s="8" t="str">
        <f>HYPERLINK("https://drive.google.com/file/d/15mnqyZtgbD8tMLdSRqT8HWU3tiJ_3yn5/view?usp=drivesdk","SRI ENDRAWATI SERTIFIKAT BerAKHLAK")</f>
        <v>SRI ENDRAWATI SERTIFIKAT BerAKHLAK</v>
      </c>
      <c r="K2928" s="5" t="s">
        <v>18691</v>
      </c>
      <c r="L2928" s="5" t="s">
        <v>20586</v>
      </c>
    </row>
    <row r="2929">
      <c r="A2929" s="4">
        <v>45534.342196122685</v>
      </c>
      <c r="B2929" s="5" t="s">
        <v>34</v>
      </c>
      <c r="D2929" s="5" t="s">
        <v>1206</v>
      </c>
      <c r="E2929" s="5" t="s">
        <v>20590</v>
      </c>
      <c r="F2929" s="5" t="s">
        <v>37</v>
      </c>
      <c r="G2929" s="5" t="s">
        <v>20591</v>
      </c>
      <c r="H2929" s="6" t="s">
        <v>20592</v>
      </c>
      <c r="K2929" s="5" t="s">
        <v>20593</v>
      </c>
    </row>
    <row r="2930">
      <c r="A2930" s="4">
        <v>45534.34220479167</v>
      </c>
      <c r="B2930" s="5" t="s">
        <v>34</v>
      </c>
      <c r="D2930" s="5" t="s">
        <v>4775</v>
      </c>
      <c r="E2930" s="5" t="s">
        <v>20597</v>
      </c>
      <c r="F2930" s="5" t="s">
        <v>37</v>
      </c>
      <c r="G2930" s="5" t="s">
        <v>20598</v>
      </c>
      <c r="H2930" s="6" t="s">
        <v>20599</v>
      </c>
      <c r="K2930" s="5" t="s">
        <v>20593</v>
      </c>
    </row>
    <row r="2931">
      <c r="A2931" s="4">
        <v>45534.342214062504</v>
      </c>
      <c r="B2931" s="5" t="s">
        <v>34</v>
      </c>
      <c r="D2931" s="5" t="s">
        <v>280</v>
      </c>
      <c r="E2931" s="5" t="s">
        <v>20603</v>
      </c>
      <c r="F2931" s="5" t="s">
        <v>37</v>
      </c>
      <c r="G2931" s="5" t="s">
        <v>20604</v>
      </c>
      <c r="H2931" s="6" t="s">
        <v>20605</v>
      </c>
      <c r="K2931" s="5" t="s">
        <v>20593</v>
      </c>
    </row>
    <row r="2932">
      <c r="A2932" s="4">
        <v>45534.34222712963</v>
      </c>
      <c r="B2932" s="5" t="s">
        <v>34</v>
      </c>
      <c r="D2932" s="5" t="s">
        <v>604</v>
      </c>
      <c r="E2932" s="5" t="s">
        <v>20609</v>
      </c>
      <c r="F2932" s="5" t="s">
        <v>37</v>
      </c>
      <c r="G2932" s="5" t="s">
        <v>20610</v>
      </c>
      <c r="H2932" s="6" t="s">
        <v>20611</v>
      </c>
      <c r="K2932" s="5" t="s">
        <v>20593</v>
      </c>
    </row>
    <row r="2933">
      <c r="A2933" s="4">
        <v>45534.34222892361</v>
      </c>
      <c r="B2933" s="5" t="s">
        <v>19</v>
      </c>
      <c r="C2933" s="5" t="s">
        <v>5564</v>
      </c>
      <c r="E2933" s="5" t="s">
        <v>20615</v>
      </c>
      <c r="F2933" s="5" t="s">
        <v>212</v>
      </c>
      <c r="G2933" s="5" t="s">
        <v>20616</v>
      </c>
      <c r="H2933" s="6" t="s">
        <v>20617</v>
      </c>
      <c r="K2933" s="5" t="s">
        <v>20593</v>
      </c>
    </row>
    <row r="2934">
      <c r="A2934" s="4">
        <v>45534.34224597222</v>
      </c>
      <c r="B2934" s="5" t="s">
        <v>34</v>
      </c>
      <c r="D2934" s="5" t="s">
        <v>996</v>
      </c>
      <c r="E2934" s="5" t="s">
        <v>20621</v>
      </c>
      <c r="F2934" s="5" t="s">
        <v>212</v>
      </c>
      <c r="G2934" s="5" t="s">
        <v>20622</v>
      </c>
      <c r="H2934" s="6" t="s">
        <v>20623</v>
      </c>
      <c r="I2934" s="7" t="s">
        <v>20624</v>
      </c>
      <c r="J2934" s="8" t="str">
        <f>HYPERLINK("https://drive.google.com/file/d/1pBYSJIH47YTCke1MJhsi9QSXvWd3Qn0G/view?usp=drivesdk","HENDRA RUSADY SERTIFIKAT BerAKHLAK")</f>
        <v>HENDRA RUSADY SERTIFIKAT BerAKHLAK</v>
      </c>
      <c r="K2934" s="5" t="s">
        <v>18691</v>
      </c>
      <c r="L2934" s="5" t="s">
        <v>20625</v>
      </c>
    </row>
    <row r="2935">
      <c r="A2935" s="4">
        <v>45534.34224987269</v>
      </c>
      <c r="B2935" s="5" t="s">
        <v>34</v>
      </c>
      <c r="D2935" s="5" t="s">
        <v>267</v>
      </c>
      <c r="E2935" s="5" t="s">
        <v>20629</v>
      </c>
      <c r="F2935" s="5" t="s">
        <v>212</v>
      </c>
      <c r="G2935" s="5" t="s">
        <v>20630</v>
      </c>
      <c r="H2935" s="6" t="s">
        <v>20631</v>
      </c>
      <c r="K2935" s="5" t="s">
        <v>20632</v>
      </c>
    </row>
    <row r="2936">
      <c r="A2936" s="4">
        <v>45534.34225173611</v>
      </c>
      <c r="B2936" s="5" t="s">
        <v>34</v>
      </c>
      <c r="D2936" s="5" t="s">
        <v>35</v>
      </c>
      <c r="E2936" s="5" t="s">
        <v>20636</v>
      </c>
      <c r="F2936" s="5" t="s">
        <v>375</v>
      </c>
      <c r="G2936" s="5" t="s">
        <v>20637</v>
      </c>
      <c r="H2936" s="6" t="s">
        <v>20638</v>
      </c>
      <c r="K2936" s="5" t="s">
        <v>20632</v>
      </c>
    </row>
    <row r="2937">
      <c r="A2937" s="4">
        <v>45534.34225215278</v>
      </c>
      <c r="B2937" s="5" t="s">
        <v>34</v>
      </c>
      <c r="D2937" s="5" t="s">
        <v>1206</v>
      </c>
      <c r="E2937" s="5" t="s">
        <v>20642</v>
      </c>
      <c r="F2937" s="5" t="s">
        <v>212</v>
      </c>
      <c r="G2937" s="5" t="s">
        <v>20643</v>
      </c>
      <c r="H2937" s="6" t="s">
        <v>20644</v>
      </c>
      <c r="K2937" s="5" t="s">
        <v>20632</v>
      </c>
    </row>
    <row r="2938">
      <c r="A2938" s="4">
        <v>45534.34226100694</v>
      </c>
      <c r="B2938" s="5" t="s">
        <v>34</v>
      </c>
      <c r="D2938" s="5" t="s">
        <v>35</v>
      </c>
      <c r="E2938" s="5" t="s">
        <v>20648</v>
      </c>
      <c r="F2938" s="5" t="s">
        <v>108</v>
      </c>
      <c r="G2938" s="5" t="s">
        <v>20649</v>
      </c>
      <c r="H2938" s="6" t="s">
        <v>20650</v>
      </c>
      <c r="K2938" s="5" t="s">
        <v>20632</v>
      </c>
    </row>
    <row r="2939">
      <c r="A2939" s="4">
        <v>45534.342263541665</v>
      </c>
      <c r="B2939" s="5" t="s">
        <v>34</v>
      </c>
      <c r="D2939" s="5" t="s">
        <v>35</v>
      </c>
      <c r="E2939" s="5" t="s">
        <v>20654</v>
      </c>
      <c r="F2939" s="5" t="s">
        <v>212</v>
      </c>
      <c r="G2939" s="5" t="s">
        <v>20655</v>
      </c>
      <c r="H2939" s="6" t="s">
        <v>20656</v>
      </c>
      <c r="K2939" s="5" t="s">
        <v>20632</v>
      </c>
    </row>
    <row r="2940">
      <c r="A2940" s="4">
        <v>45534.342264120365</v>
      </c>
      <c r="B2940" s="5" t="s">
        <v>34</v>
      </c>
      <c r="D2940" s="5" t="s">
        <v>4775</v>
      </c>
      <c r="E2940" s="5" t="s">
        <v>20660</v>
      </c>
      <c r="F2940" s="5" t="s">
        <v>375</v>
      </c>
      <c r="G2940" s="5" t="s">
        <v>20661</v>
      </c>
      <c r="H2940" s="6" t="s">
        <v>20662</v>
      </c>
      <c r="K2940" s="5" t="s">
        <v>20632</v>
      </c>
    </row>
    <row r="2941">
      <c r="A2941" s="4">
        <v>45534.34227853009</v>
      </c>
      <c r="B2941" s="5" t="s">
        <v>34</v>
      </c>
      <c r="D2941" s="5" t="s">
        <v>15401</v>
      </c>
      <c r="E2941" s="5" t="s">
        <v>20665</v>
      </c>
      <c r="F2941" s="5" t="s">
        <v>715</v>
      </c>
      <c r="G2941" s="5" t="s">
        <v>20666</v>
      </c>
      <c r="H2941" s="6" t="s">
        <v>20667</v>
      </c>
      <c r="K2941" s="5" t="s">
        <v>20632</v>
      </c>
    </row>
    <row r="2942">
      <c r="A2942" s="4">
        <v>45534.342286886575</v>
      </c>
      <c r="B2942" s="5" t="s">
        <v>34</v>
      </c>
      <c r="D2942" s="5" t="s">
        <v>267</v>
      </c>
      <c r="E2942" s="5" t="s">
        <v>20670</v>
      </c>
      <c r="F2942" s="5" t="s">
        <v>212</v>
      </c>
      <c r="G2942" s="5" t="s">
        <v>20671</v>
      </c>
      <c r="H2942" s="6" t="s">
        <v>20672</v>
      </c>
      <c r="K2942" s="5" t="s">
        <v>20632</v>
      </c>
    </row>
    <row r="2943">
      <c r="A2943" s="4">
        <v>45534.34230037037</v>
      </c>
      <c r="B2943" s="5" t="s">
        <v>34</v>
      </c>
      <c r="D2943" s="5" t="s">
        <v>10297</v>
      </c>
      <c r="E2943" s="5" t="s">
        <v>20675</v>
      </c>
      <c r="F2943" s="5" t="s">
        <v>37</v>
      </c>
      <c r="G2943" s="5" t="s">
        <v>20676</v>
      </c>
      <c r="H2943" s="6" t="s">
        <v>20677</v>
      </c>
      <c r="I2943" s="7" t="s">
        <v>20678</v>
      </c>
      <c r="J2943" s="8" t="str">
        <f>HYPERLINK("https://drive.google.com/file/d/1BKE2QpRviNA4a5Oulo1NTUlNITqJUJeY/view?usp=drivesdk","HERMAN, AMK SERTIFIKAT BerAKHLAK")</f>
        <v>HERMAN, AMK SERTIFIKAT BerAKHLAK</v>
      </c>
      <c r="K2943" s="5" t="s">
        <v>18691</v>
      </c>
      <c r="L2943" s="5" t="s">
        <v>20679</v>
      </c>
    </row>
    <row r="2944">
      <c r="A2944" s="4">
        <v>45534.34230326389</v>
      </c>
      <c r="B2944" s="5" t="s">
        <v>34</v>
      </c>
      <c r="D2944" s="5" t="s">
        <v>1206</v>
      </c>
      <c r="E2944" s="5" t="s">
        <v>20683</v>
      </c>
      <c r="F2944" s="5" t="s">
        <v>212</v>
      </c>
      <c r="G2944" s="5" t="s">
        <v>20684</v>
      </c>
      <c r="H2944" s="6" t="s">
        <v>20685</v>
      </c>
      <c r="I2944" s="7" t="s">
        <v>20686</v>
      </c>
      <c r="J2944" s="8" t="str">
        <f>HYPERLINK("https://drive.google.com/file/d/1lqkBXrKTNAD9I-ZLyFKw7e5XJNVXgJgI/view?usp=drivesdk","ZAIROZI SERTIFIKAT BerAKHLAK")</f>
        <v>ZAIROZI SERTIFIKAT BerAKHLAK</v>
      </c>
      <c r="K2944" s="5" t="s">
        <v>18691</v>
      </c>
      <c r="L2944" s="5" t="s">
        <v>20687</v>
      </c>
    </row>
    <row r="2945">
      <c r="A2945" s="4">
        <v>45534.34231422454</v>
      </c>
      <c r="B2945" s="5" t="s">
        <v>34</v>
      </c>
      <c r="D2945" s="5" t="s">
        <v>35</v>
      </c>
      <c r="E2945" s="5" t="s">
        <v>20690</v>
      </c>
      <c r="F2945" s="5" t="s">
        <v>108</v>
      </c>
      <c r="G2945" s="5" t="s">
        <v>20691</v>
      </c>
      <c r="H2945" s="6" t="s">
        <v>20692</v>
      </c>
      <c r="I2945" s="7" t="s">
        <v>20693</v>
      </c>
      <c r="J2945" s="8" t="str">
        <f>HYPERLINK("https://drive.google.com/file/d/10KN4dzSL_mxkNisH6zastM758rjT_174/view?usp=drivesdk","ROHAYANI SERTIFIKAT BerAKHLAK")</f>
        <v>ROHAYANI SERTIFIKAT BerAKHLAK</v>
      </c>
      <c r="K2945" s="5" t="s">
        <v>18691</v>
      </c>
      <c r="L2945" s="5" t="s">
        <v>20694</v>
      </c>
    </row>
    <row r="2946">
      <c r="A2946" s="4">
        <v>45534.34231467593</v>
      </c>
      <c r="B2946" s="5" t="s">
        <v>34</v>
      </c>
      <c r="D2946" s="5" t="s">
        <v>1456</v>
      </c>
      <c r="E2946" s="5" t="s">
        <v>20697</v>
      </c>
      <c r="F2946" s="5" t="s">
        <v>37</v>
      </c>
      <c r="G2946" s="5" t="s">
        <v>20698</v>
      </c>
      <c r="H2946" s="6" t="s">
        <v>20699</v>
      </c>
      <c r="K2946" s="5" t="s">
        <v>20700</v>
      </c>
    </row>
    <row r="2947">
      <c r="A2947" s="4">
        <v>45534.342319131945</v>
      </c>
      <c r="B2947" s="5" t="s">
        <v>19</v>
      </c>
      <c r="C2947" s="5" t="s">
        <v>442</v>
      </c>
      <c r="E2947" s="5" t="s">
        <v>20703</v>
      </c>
      <c r="F2947" s="5" t="s">
        <v>375</v>
      </c>
      <c r="G2947" s="5" t="s">
        <v>20704</v>
      </c>
      <c r="H2947" s="6" t="s">
        <v>20705</v>
      </c>
      <c r="I2947" s="7" t="s">
        <v>20706</v>
      </c>
      <c r="J2947" s="8" t="str">
        <f>HYPERLINK("https://drive.google.com/file/d/1LofptS-72FIL1KiGO2pTekePi8btDUI7/view?usp=drivesdk","JUWARIYAH SERTIFIKAT BerAKHLAK")</f>
        <v>JUWARIYAH SERTIFIKAT BerAKHLAK</v>
      </c>
      <c r="K2947" s="5" t="s">
        <v>18691</v>
      </c>
      <c r="L2947" s="5" t="s">
        <v>20707</v>
      </c>
    </row>
    <row r="2948">
      <c r="A2948" s="4">
        <v>45534.34231998843</v>
      </c>
      <c r="B2948" s="5" t="s">
        <v>34</v>
      </c>
      <c r="D2948" s="5" t="s">
        <v>3849</v>
      </c>
      <c r="E2948" s="5" t="s">
        <v>20711</v>
      </c>
      <c r="F2948" s="5" t="s">
        <v>37</v>
      </c>
      <c r="G2948" s="5" t="s">
        <v>20712</v>
      </c>
      <c r="H2948" s="6" t="s">
        <v>20713</v>
      </c>
      <c r="I2948" s="7" t="s">
        <v>20714</v>
      </c>
      <c r="J2948" s="8" t="str">
        <f>HYPERLINK("https://drive.google.com/file/d/1B_v-o-_n71IHtYCOlDqf6I-jzKddbSMI/view?usp=drivesdk","SHINTA NIRWANA SERTIFIKAT BerAKHLAK")</f>
        <v>SHINTA NIRWANA SERTIFIKAT BerAKHLAK</v>
      </c>
      <c r="K2948" s="5" t="s">
        <v>18691</v>
      </c>
      <c r="L2948" s="5" t="s">
        <v>20715</v>
      </c>
    </row>
    <row r="2949">
      <c r="A2949" s="4">
        <v>45534.3423227662</v>
      </c>
      <c r="B2949" s="5" t="s">
        <v>34</v>
      </c>
      <c r="D2949" s="5" t="s">
        <v>522</v>
      </c>
      <c r="E2949" s="5" t="s">
        <v>20718</v>
      </c>
      <c r="F2949" s="5" t="s">
        <v>37</v>
      </c>
      <c r="G2949" s="5" t="s">
        <v>20719</v>
      </c>
      <c r="H2949" s="6" t="s">
        <v>20720</v>
      </c>
      <c r="I2949" s="7" t="s">
        <v>20721</v>
      </c>
      <c r="J2949" s="8" t="str">
        <f>HYPERLINK("https://drive.google.com/file/d/1Ojt9nxP4o-n9R-CzYWYw1MCuDvjyPrja/view?usp=drivesdk","BAIQ SUHAENI SERTIFIKAT BerAKHLAK")</f>
        <v>BAIQ SUHAENI SERTIFIKAT BerAKHLAK</v>
      </c>
      <c r="K2949" s="5" t="s">
        <v>18691</v>
      </c>
      <c r="L2949" s="5" t="s">
        <v>20722</v>
      </c>
    </row>
    <row r="2950">
      <c r="A2950" s="4">
        <v>45534.34232364583</v>
      </c>
      <c r="B2950" s="5" t="s">
        <v>34</v>
      </c>
      <c r="D2950" s="5" t="s">
        <v>1206</v>
      </c>
      <c r="E2950" s="5" t="s">
        <v>17446</v>
      </c>
      <c r="F2950" s="5" t="s">
        <v>37</v>
      </c>
      <c r="G2950" s="5" t="s">
        <v>20725</v>
      </c>
      <c r="H2950" s="6" t="s">
        <v>20726</v>
      </c>
      <c r="I2950" s="7" t="s">
        <v>20727</v>
      </c>
      <c r="J2950" s="8" t="str">
        <f>HYPERLINK("https://drive.google.com/file/d/1i-Y1m01akCKGCXyQsHim2gxN4ZNhX-Vn/view?usp=drivesdk","WINARTI SERTIFIKAT BerAKHLAK")</f>
        <v>WINARTI SERTIFIKAT BerAKHLAK</v>
      </c>
      <c r="K2950" s="5" t="s">
        <v>18691</v>
      </c>
      <c r="L2950" s="5" t="s">
        <v>20728</v>
      </c>
    </row>
    <row r="2951">
      <c r="A2951" s="4">
        <v>45534.34232398148</v>
      </c>
      <c r="B2951" s="5" t="s">
        <v>34</v>
      </c>
      <c r="D2951" s="5" t="s">
        <v>2903</v>
      </c>
      <c r="E2951" s="5" t="s">
        <v>20731</v>
      </c>
      <c r="F2951" s="5" t="s">
        <v>120</v>
      </c>
      <c r="G2951" s="5" t="s">
        <v>20732</v>
      </c>
      <c r="H2951" s="6" t="s">
        <v>20733</v>
      </c>
      <c r="I2951" s="7" t="s">
        <v>20734</v>
      </c>
      <c r="J2951" s="8" t="str">
        <f>HYPERLINK("https://drive.google.com/file/d/1S8DLEEZp7hpITnNpuka2dB3mi0DkF7y7/view?usp=drivesdk","SITI YUYA,S.KOM SERTIFIKAT BerAKHLAK")</f>
        <v>SITI YUYA,S.KOM SERTIFIKAT BerAKHLAK</v>
      </c>
      <c r="K2951" s="5" t="s">
        <v>20391</v>
      </c>
      <c r="L2951" s="5" t="s">
        <v>20735</v>
      </c>
    </row>
    <row r="2952">
      <c r="A2952" s="4">
        <v>45534.34233035879</v>
      </c>
      <c r="B2952" s="5" t="s">
        <v>34</v>
      </c>
      <c r="D2952" s="5" t="s">
        <v>2903</v>
      </c>
      <c r="E2952" s="5" t="s">
        <v>20739</v>
      </c>
      <c r="F2952" s="5" t="s">
        <v>524</v>
      </c>
      <c r="G2952" s="5" t="s">
        <v>20740</v>
      </c>
      <c r="H2952" s="6" t="s">
        <v>20741</v>
      </c>
      <c r="K2952" s="5" t="s">
        <v>20742</v>
      </c>
    </row>
    <row r="2953">
      <c r="A2953" s="4">
        <v>45534.34233658564</v>
      </c>
      <c r="B2953" s="5" t="s">
        <v>34</v>
      </c>
      <c r="D2953" s="5" t="s">
        <v>1206</v>
      </c>
      <c r="E2953" s="5" t="s">
        <v>20745</v>
      </c>
      <c r="F2953" s="5" t="s">
        <v>524</v>
      </c>
      <c r="G2953" s="5" t="s">
        <v>20746</v>
      </c>
      <c r="H2953" s="6" t="s">
        <v>20747</v>
      </c>
      <c r="K2953" s="5" t="s">
        <v>20742</v>
      </c>
    </row>
    <row r="2954">
      <c r="A2954" s="4">
        <v>45534.34233767361</v>
      </c>
      <c r="B2954" s="5" t="s">
        <v>34</v>
      </c>
      <c r="D2954" s="5" t="s">
        <v>35</v>
      </c>
      <c r="E2954" s="5" t="s">
        <v>20750</v>
      </c>
      <c r="F2954" s="5" t="s">
        <v>212</v>
      </c>
      <c r="G2954" s="5" t="s">
        <v>20751</v>
      </c>
      <c r="H2954" s="6" t="s">
        <v>20752</v>
      </c>
      <c r="K2954" s="5" t="s">
        <v>20742</v>
      </c>
    </row>
    <row r="2955">
      <c r="A2955" s="4">
        <v>45534.34234239583</v>
      </c>
      <c r="B2955" s="5" t="s">
        <v>34</v>
      </c>
      <c r="D2955" s="5" t="s">
        <v>35</v>
      </c>
      <c r="E2955" s="5" t="s">
        <v>20755</v>
      </c>
      <c r="F2955" s="5" t="s">
        <v>120</v>
      </c>
      <c r="G2955" s="5" t="s">
        <v>20756</v>
      </c>
      <c r="H2955" s="6" t="s">
        <v>20757</v>
      </c>
      <c r="K2955" s="5" t="s">
        <v>20742</v>
      </c>
    </row>
    <row r="2956">
      <c r="A2956" s="4">
        <v>45534.342353472224</v>
      </c>
      <c r="B2956" s="5" t="s">
        <v>34</v>
      </c>
      <c r="D2956" s="5" t="s">
        <v>9020</v>
      </c>
      <c r="E2956" s="5" t="s">
        <v>20760</v>
      </c>
      <c r="F2956" s="5" t="s">
        <v>37</v>
      </c>
      <c r="G2956" s="5" t="s">
        <v>20761</v>
      </c>
      <c r="H2956" s="6" t="s">
        <v>20762</v>
      </c>
      <c r="K2956" s="5" t="s">
        <v>20742</v>
      </c>
    </row>
    <row r="2957">
      <c r="A2957" s="4">
        <v>45534.34235555556</v>
      </c>
      <c r="B2957" s="5" t="s">
        <v>34</v>
      </c>
      <c r="D2957" s="5" t="s">
        <v>35</v>
      </c>
      <c r="E2957" s="5" t="s">
        <v>20766</v>
      </c>
      <c r="F2957" s="5" t="s">
        <v>212</v>
      </c>
      <c r="G2957" s="5" t="s">
        <v>20767</v>
      </c>
      <c r="H2957" s="6" t="s">
        <v>20768</v>
      </c>
      <c r="I2957" s="7" t="s">
        <v>20769</v>
      </c>
      <c r="J2957" s="8" t="str">
        <f>HYPERLINK("https://drive.google.com/file/d/1WiF8rFhhAgNOuDYmxeztkdSDFuyxjhaw/view?usp=drivesdk","MOKHAMAD KHAMIM SERTIFIKAT BerAKHLAK")</f>
        <v>MOKHAMAD KHAMIM SERTIFIKAT BerAKHLAK</v>
      </c>
      <c r="K2957" s="5" t="s">
        <v>18691</v>
      </c>
      <c r="L2957" s="5" t="s">
        <v>20770</v>
      </c>
    </row>
    <row r="2958">
      <c r="A2958" s="4">
        <v>45534.34235935185</v>
      </c>
      <c r="B2958" s="5" t="s">
        <v>34</v>
      </c>
      <c r="D2958" s="5" t="s">
        <v>1206</v>
      </c>
      <c r="E2958" s="5" t="s">
        <v>20773</v>
      </c>
      <c r="F2958" s="5" t="s">
        <v>37</v>
      </c>
      <c r="G2958" s="5" t="s">
        <v>20774</v>
      </c>
      <c r="H2958" s="6" t="s">
        <v>20775</v>
      </c>
      <c r="I2958" s="7" t="s">
        <v>20776</v>
      </c>
      <c r="J2958" s="8" t="str">
        <f>HYPERLINK("https://drive.google.com/file/d/17ADUHLPS598MP27kiRbC5k1N6DxjxUww/view?usp=drivesdk","DIDIK YUDHIA PRATOMO SERTIFIKAT BerAKHLAK")</f>
        <v>DIDIK YUDHIA PRATOMO SERTIFIKAT BerAKHLAK</v>
      </c>
      <c r="K2958" s="5" t="s">
        <v>18691</v>
      </c>
      <c r="L2958" s="5" t="s">
        <v>20777</v>
      </c>
    </row>
    <row r="2959">
      <c r="A2959" s="4">
        <v>45534.34237012731</v>
      </c>
      <c r="B2959" s="5" t="s">
        <v>19</v>
      </c>
      <c r="C2959" s="5" t="s">
        <v>11593</v>
      </c>
      <c r="E2959" s="5" t="s">
        <v>20780</v>
      </c>
      <c r="F2959" s="5" t="s">
        <v>212</v>
      </c>
      <c r="G2959" s="5" t="s">
        <v>20781</v>
      </c>
      <c r="H2959" s="6" t="s">
        <v>20782</v>
      </c>
      <c r="K2959" s="5" t="s">
        <v>20783</v>
      </c>
    </row>
    <row r="2960">
      <c r="A2960" s="4">
        <v>45534.34237021991</v>
      </c>
      <c r="B2960" s="5" t="s">
        <v>34</v>
      </c>
      <c r="D2960" s="5" t="s">
        <v>522</v>
      </c>
      <c r="E2960" s="5" t="s">
        <v>20787</v>
      </c>
      <c r="F2960" s="5" t="s">
        <v>212</v>
      </c>
      <c r="G2960" s="5" t="s">
        <v>20788</v>
      </c>
      <c r="H2960" s="6" t="s">
        <v>20789</v>
      </c>
      <c r="K2960" s="5" t="s">
        <v>20783</v>
      </c>
    </row>
    <row r="2961">
      <c r="A2961" s="4">
        <v>45534.342390844904</v>
      </c>
      <c r="B2961" s="5" t="s">
        <v>34</v>
      </c>
      <c r="D2961" s="5" t="s">
        <v>4775</v>
      </c>
      <c r="E2961" s="5" t="s">
        <v>20792</v>
      </c>
      <c r="F2961" s="5" t="s">
        <v>37</v>
      </c>
      <c r="G2961" s="5" t="s">
        <v>20793</v>
      </c>
      <c r="H2961" s="6" t="s">
        <v>20794</v>
      </c>
      <c r="K2961" s="5" t="s">
        <v>20783</v>
      </c>
    </row>
    <row r="2962">
      <c r="A2962" s="4">
        <v>45534.34239524306</v>
      </c>
      <c r="B2962" s="5" t="s">
        <v>34</v>
      </c>
      <c r="D2962" s="5" t="s">
        <v>4775</v>
      </c>
      <c r="E2962" s="5" t="s">
        <v>20797</v>
      </c>
      <c r="F2962" s="5" t="s">
        <v>120</v>
      </c>
      <c r="G2962" s="5" t="s">
        <v>20798</v>
      </c>
      <c r="H2962" s="6" t="s">
        <v>20799</v>
      </c>
      <c r="K2962" s="5" t="s">
        <v>20783</v>
      </c>
    </row>
    <row r="2963">
      <c r="A2963" s="4">
        <v>45534.34239798611</v>
      </c>
      <c r="B2963" s="5" t="s">
        <v>34</v>
      </c>
      <c r="D2963" s="5" t="s">
        <v>35</v>
      </c>
      <c r="E2963" s="5" t="s">
        <v>20802</v>
      </c>
      <c r="F2963" s="5" t="s">
        <v>328</v>
      </c>
      <c r="G2963" s="5" t="s">
        <v>20803</v>
      </c>
      <c r="H2963" s="6" t="s">
        <v>20804</v>
      </c>
      <c r="K2963" s="5" t="s">
        <v>20783</v>
      </c>
    </row>
    <row r="2964">
      <c r="A2964" s="4">
        <v>45534.342399375004</v>
      </c>
      <c r="B2964" s="5" t="s">
        <v>34</v>
      </c>
      <c r="D2964" s="5" t="s">
        <v>1206</v>
      </c>
      <c r="E2964" s="5" t="s">
        <v>20807</v>
      </c>
      <c r="F2964" s="5" t="s">
        <v>37</v>
      </c>
      <c r="G2964" s="5" t="s">
        <v>20808</v>
      </c>
      <c r="H2964" s="6" t="s">
        <v>20809</v>
      </c>
      <c r="K2964" s="5" t="s">
        <v>20783</v>
      </c>
    </row>
    <row r="2965">
      <c r="A2965" s="4">
        <v>45534.34240631944</v>
      </c>
      <c r="B2965" s="5" t="s">
        <v>34</v>
      </c>
      <c r="D2965" s="5" t="s">
        <v>522</v>
      </c>
      <c r="E2965" s="5" t="s">
        <v>20813</v>
      </c>
      <c r="F2965" s="5" t="s">
        <v>375</v>
      </c>
      <c r="G2965" s="5" t="s">
        <v>20814</v>
      </c>
      <c r="H2965" s="6" t="s">
        <v>20815</v>
      </c>
      <c r="K2965" s="5" t="s">
        <v>20783</v>
      </c>
    </row>
    <row r="2966">
      <c r="A2966" s="4">
        <v>45534.34240944445</v>
      </c>
      <c r="B2966" s="5" t="s">
        <v>34</v>
      </c>
      <c r="D2966" s="5" t="s">
        <v>267</v>
      </c>
      <c r="E2966" s="5" t="s">
        <v>20818</v>
      </c>
      <c r="F2966" s="5" t="s">
        <v>108</v>
      </c>
      <c r="G2966" s="5" t="s">
        <v>20819</v>
      </c>
      <c r="H2966" s="6" t="s">
        <v>20820</v>
      </c>
      <c r="I2966" s="7" t="s">
        <v>20821</v>
      </c>
      <c r="J2966" s="8" t="str">
        <f>HYPERLINK("https://drive.google.com/file/d/16v6Gn9MgV9Sas87tA6Rsv-W8dSTNG6kr/view?usp=drivesdk","WANTONO SERTIFIKAT BerAKHLAK")</f>
        <v>WANTONO SERTIFIKAT BerAKHLAK</v>
      </c>
      <c r="K2966" s="5" t="s">
        <v>18691</v>
      </c>
      <c r="L2966" s="5" t="s">
        <v>20822</v>
      </c>
    </row>
    <row r="2967">
      <c r="A2967" s="4">
        <v>45534.34242045139</v>
      </c>
      <c r="B2967" s="5" t="s">
        <v>34</v>
      </c>
      <c r="D2967" s="5" t="s">
        <v>267</v>
      </c>
      <c r="E2967" s="5" t="s">
        <v>20825</v>
      </c>
      <c r="F2967" s="5" t="s">
        <v>37</v>
      </c>
      <c r="G2967" s="5" t="s">
        <v>20826</v>
      </c>
      <c r="H2967" s="6" t="s">
        <v>20827</v>
      </c>
      <c r="K2967" s="5" t="s">
        <v>20828</v>
      </c>
    </row>
    <row r="2968">
      <c r="A2968" s="4">
        <v>45534.34242760416</v>
      </c>
      <c r="B2968" s="5" t="s">
        <v>34</v>
      </c>
      <c r="D2968" s="5" t="s">
        <v>522</v>
      </c>
      <c r="E2968" s="5" t="s">
        <v>20831</v>
      </c>
      <c r="F2968" s="5" t="s">
        <v>108</v>
      </c>
      <c r="G2968" s="5" t="s">
        <v>20832</v>
      </c>
      <c r="H2968" s="6" t="s">
        <v>20833</v>
      </c>
      <c r="K2968" s="5" t="s">
        <v>20828</v>
      </c>
    </row>
    <row r="2969">
      <c r="A2969" s="4">
        <v>45534.34243445602</v>
      </c>
      <c r="B2969" s="5" t="s">
        <v>34</v>
      </c>
      <c r="D2969" s="5" t="s">
        <v>12978</v>
      </c>
      <c r="E2969" s="5" t="s">
        <v>20837</v>
      </c>
      <c r="F2969" s="5" t="s">
        <v>715</v>
      </c>
      <c r="G2969" s="5" t="s">
        <v>20838</v>
      </c>
      <c r="H2969" s="6" t="s">
        <v>20839</v>
      </c>
      <c r="I2969" s="7" t="s">
        <v>20840</v>
      </c>
      <c r="J2969" s="8" t="str">
        <f>HYPERLINK("https://drive.google.com/file/d/1no8gV0MV0mzVVziwzOT0DJz2VyX7RLZP/view?usp=drivesdk","SANDRA AGUSTINA, S.H SERTIFIKAT BerAKHLAK")</f>
        <v>SANDRA AGUSTINA, S.H SERTIFIKAT BerAKHLAK</v>
      </c>
      <c r="K2969" s="5" t="s">
        <v>18691</v>
      </c>
      <c r="L2969" s="5" t="s">
        <v>20841</v>
      </c>
    </row>
    <row r="2970">
      <c r="A2970" s="4">
        <v>45534.34243929398</v>
      </c>
      <c r="B2970" s="5" t="s">
        <v>19</v>
      </c>
      <c r="C2970" s="5" t="s">
        <v>3301</v>
      </c>
      <c r="E2970" s="5" t="s">
        <v>20844</v>
      </c>
      <c r="F2970" s="5" t="s">
        <v>212</v>
      </c>
      <c r="G2970" s="5" t="s">
        <v>20845</v>
      </c>
      <c r="H2970" s="6" t="s">
        <v>20846</v>
      </c>
      <c r="I2970" s="7" t="s">
        <v>20847</v>
      </c>
      <c r="J2970" s="8" t="str">
        <f>HYPERLINK("https://drive.google.com/file/d/1HbgzHZA8n9AUWP38nCS9ZTfT5-9Ht8ey/view?usp=drivesdk","HARTATIK, A.MD.FARM SERTIFIKAT BerAKHLAK")</f>
        <v>HARTATIK, A.MD.FARM SERTIFIKAT BerAKHLAK</v>
      </c>
      <c r="K2970" s="5" t="s">
        <v>18691</v>
      </c>
      <c r="L2970" s="5" t="s">
        <v>20848</v>
      </c>
    </row>
    <row r="2971">
      <c r="A2971" s="4">
        <v>45534.34244123843</v>
      </c>
      <c r="B2971" s="5" t="s">
        <v>34</v>
      </c>
      <c r="D2971" s="5" t="s">
        <v>4775</v>
      </c>
      <c r="E2971" s="5" t="s">
        <v>20851</v>
      </c>
      <c r="F2971" s="5" t="s">
        <v>212</v>
      </c>
      <c r="G2971" s="5" t="s">
        <v>20852</v>
      </c>
      <c r="H2971" s="6" t="s">
        <v>20853</v>
      </c>
      <c r="K2971" s="5" t="s">
        <v>20854</v>
      </c>
    </row>
    <row r="2972">
      <c r="A2972" s="4">
        <v>45534.34244483797</v>
      </c>
      <c r="B2972" s="5" t="s">
        <v>34</v>
      </c>
      <c r="D2972" s="5" t="s">
        <v>9020</v>
      </c>
      <c r="E2972" s="5" t="s">
        <v>20857</v>
      </c>
      <c r="F2972" s="5" t="s">
        <v>524</v>
      </c>
      <c r="G2972" s="5" t="s">
        <v>20858</v>
      </c>
      <c r="H2972" s="6" t="s">
        <v>20859</v>
      </c>
      <c r="K2972" s="5" t="s">
        <v>20854</v>
      </c>
    </row>
    <row r="2973">
      <c r="A2973" s="4">
        <v>45534.34245030093</v>
      </c>
      <c r="B2973" s="5" t="s">
        <v>34</v>
      </c>
      <c r="D2973" s="5" t="s">
        <v>701</v>
      </c>
      <c r="E2973" s="5" t="s">
        <v>20862</v>
      </c>
      <c r="F2973" s="5" t="s">
        <v>108</v>
      </c>
      <c r="G2973" s="5" t="s">
        <v>20863</v>
      </c>
      <c r="H2973" s="6" t="s">
        <v>20864</v>
      </c>
      <c r="K2973" s="5" t="s">
        <v>20854</v>
      </c>
    </row>
    <row r="2974">
      <c r="A2974" s="4">
        <v>45534.34245319445</v>
      </c>
      <c r="B2974" s="5" t="s">
        <v>34</v>
      </c>
      <c r="D2974" s="5" t="s">
        <v>35</v>
      </c>
      <c r="E2974" s="5" t="s">
        <v>20868</v>
      </c>
      <c r="F2974" s="5" t="s">
        <v>375</v>
      </c>
      <c r="G2974" s="5" t="s">
        <v>20869</v>
      </c>
      <c r="H2974" s="6" t="s">
        <v>20870</v>
      </c>
      <c r="K2974" s="5" t="s">
        <v>20854</v>
      </c>
    </row>
    <row r="2975">
      <c r="A2975" s="4">
        <v>45534.34245534722</v>
      </c>
      <c r="B2975" s="5" t="s">
        <v>19</v>
      </c>
      <c r="C2975" s="5" t="s">
        <v>1606</v>
      </c>
      <c r="E2975" s="5" t="s">
        <v>20873</v>
      </c>
      <c r="F2975" s="5" t="s">
        <v>375</v>
      </c>
      <c r="G2975" s="5" t="s">
        <v>20874</v>
      </c>
      <c r="H2975" s="6" t="s">
        <v>20875</v>
      </c>
      <c r="K2975" s="5" t="s">
        <v>20854</v>
      </c>
    </row>
    <row r="2976">
      <c r="A2976" s="4">
        <v>45534.342460370375</v>
      </c>
      <c r="B2976" s="5" t="s">
        <v>34</v>
      </c>
      <c r="D2976" s="5" t="s">
        <v>12978</v>
      </c>
      <c r="E2976" s="5" t="s">
        <v>20878</v>
      </c>
      <c r="F2976" s="5" t="s">
        <v>524</v>
      </c>
      <c r="G2976" s="5" t="s">
        <v>20879</v>
      </c>
      <c r="H2976" s="6" t="s">
        <v>20880</v>
      </c>
      <c r="K2976" s="5" t="s">
        <v>20854</v>
      </c>
    </row>
    <row r="2977">
      <c r="A2977" s="4">
        <v>45534.34247217592</v>
      </c>
      <c r="B2977" s="5" t="s">
        <v>19</v>
      </c>
      <c r="C2977" s="5" t="s">
        <v>466</v>
      </c>
      <c r="E2977" s="5" t="s">
        <v>20883</v>
      </c>
      <c r="F2977" s="5" t="s">
        <v>212</v>
      </c>
      <c r="G2977" s="5" t="s">
        <v>20884</v>
      </c>
      <c r="H2977" s="6" t="s">
        <v>20885</v>
      </c>
      <c r="K2977" s="5" t="s">
        <v>20854</v>
      </c>
    </row>
    <row r="2978">
      <c r="A2978" s="4">
        <v>45534.34247375</v>
      </c>
      <c r="B2978" s="5" t="s">
        <v>34</v>
      </c>
      <c r="D2978" s="5" t="s">
        <v>12978</v>
      </c>
      <c r="E2978" s="5" t="s">
        <v>20888</v>
      </c>
      <c r="F2978" s="5" t="s">
        <v>108</v>
      </c>
      <c r="G2978" s="5" t="s">
        <v>20889</v>
      </c>
      <c r="H2978" s="6" t="s">
        <v>20890</v>
      </c>
      <c r="K2978" s="5" t="s">
        <v>20854</v>
      </c>
    </row>
    <row r="2979">
      <c r="A2979" s="4">
        <v>45534.34247674768</v>
      </c>
      <c r="B2979" s="5" t="s">
        <v>34</v>
      </c>
      <c r="D2979" s="5" t="s">
        <v>9020</v>
      </c>
      <c r="E2979" s="5" t="s">
        <v>20894</v>
      </c>
      <c r="F2979" s="5" t="s">
        <v>72</v>
      </c>
      <c r="G2979" s="5" t="s">
        <v>20895</v>
      </c>
      <c r="H2979" s="6" t="s">
        <v>20896</v>
      </c>
      <c r="K2979" s="5" t="s">
        <v>20854</v>
      </c>
    </row>
    <row r="2980">
      <c r="A2980" s="4">
        <v>45534.34248572917</v>
      </c>
      <c r="B2980" s="5" t="s">
        <v>34</v>
      </c>
      <c r="D2980" s="5" t="s">
        <v>12978</v>
      </c>
      <c r="E2980" s="5" t="s">
        <v>20899</v>
      </c>
      <c r="F2980" s="5" t="s">
        <v>212</v>
      </c>
      <c r="G2980" s="5" t="s">
        <v>20900</v>
      </c>
      <c r="H2980" s="6" t="s">
        <v>20901</v>
      </c>
      <c r="K2980" s="5" t="s">
        <v>20854</v>
      </c>
    </row>
    <row r="2981">
      <c r="A2981" s="4">
        <v>45534.34248571759</v>
      </c>
      <c r="B2981" s="5" t="s">
        <v>34</v>
      </c>
      <c r="D2981" s="5" t="s">
        <v>580</v>
      </c>
      <c r="E2981" s="5" t="s">
        <v>20904</v>
      </c>
      <c r="F2981" s="5" t="s">
        <v>212</v>
      </c>
      <c r="G2981" s="5" t="s">
        <v>20905</v>
      </c>
      <c r="H2981" s="6" t="s">
        <v>20906</v>
      </c>
      <c r="K2981" s="5" t="s">
        <v>20854</v>
      </c>
    </row>
    <row r="2982">
      <c r="A2982" s="4">
        <v>45534.3424893287</v>
      </c>
      <c r="B2982" s="5" t="s">
        <v>34</v>
      </c>
      <c r="D2982" s="5" t="s">
        <v>7858</v>
      </c>
      <c r="E2982" s="5" t="s">
        <v>20910</v>
      </c>
      <c r="F2982" s="5" t="s">
        <v>375</v>
      </c>
      <c r="G2982" s="5" t="s">
        <v>20911</v>
      </c>
      <c r="H2982" s="6" t="s">
        <v>20912</v>
      </c>
      <c r="K2982" s="5" t="s">
        <v>20854</v>
      </c>
    </row>
    <row r="2983">
      <c r="A2983" s="4">
        <v>45534.34249646991</v>
      </c>
      <c r="B2983" s="5" t="s">
        <v>34</v>
      </c>
      <c r="D2983" s="5" t="s">
        <v>4775</v>
      </c>
      <c r="E2983" s="5" t="s">
        <v>20915</v>
      </c>
      <c r="F2983" s="5" t="s">
        <v>715</v>
      </c>
      <c r="G2983" s="5" t="s">
        <v>20916</v>
      </c>
      <c r="H2983" s="6" t="s">
        <v>20917</v>
      </c>
      <c r="K2983" s="5" t="s">
        <v>20854</v>
      </c>
    </row>
    <row r="2984">
      <c r="A2984" s="4">
        <v>45534.34250377315</v>
      </c>
      <c r="B2984" s="5" t="s">
        <v>34</v>
      </c>
      <c r="D2984" s="5" t="s">
        <v>1206</v>
      </c>
      <c r="E2984" s="5" t="s">
        <v>20920</v>
      </c>
      <c r="F2984" s="5" t="s">
        <v>37</v>
      </c>
      <c r="G2984" s="5" t="s">
        <v>20921</v>
      </c>
      <c r="H2984" s="6" t="s">
        <v>20922</v>
      </c>
      <c r="I2984" s="7" t="s">
        <v>20923</v>
      </c>
      <c r="J2984" s="8" t="str">
        <f>HYPERLINK("https://drive.google.com/file/d/1macXzyp17Jzf4L3DCNnt59H1gTZPa1n3/view?usp=drivesdk","YUDI SANTOSA  SERTIFIKAT BerAKHLAK")</f>
        <v>YUDI SANTOSA  SERTIFIKAT BerAKHLAK</v>
      </c>
      <c r="K2984" s="5" t="s">
        <v>18691</v>
      </c>
      <c r="L2984" s="5" t="s">
        <v>20924</v>
      </c>
    </row>
    <row r="2985">
      <c r="A2985" s="4">
        <v>45534.34250798611</v>
      </c>
      <c r="B2985" s="5" t="s">
        <v>34</v>
      </c>
      <c r="D2985" s="5" t="s">
        <v>6232</v>
      </c>
      <c r="E2985" s="5" t="s">
        <v>20928</v>
      </c>
      <c r="F2985" s="5" t="s">
        <v>37</v>
      </c>
      <c r="G2985" s="5" t="s">
        <v>20929</v>
      </c>
      <c r="H2985" s="6" t="s">
        <v>20930</v>
      </c>
      <c r="K2985" s="5" t="s">
        <v>20931</v>
      </c>
    </row>
    <row r="2986">
      <c r="A2986" s="4">
        <v>45534.34251011574</v>
      </c>
      <c r="B2986" s="5" t="s">
        <v>19</v>
      </c>
      <c r="C2986" s="5" t="s">
        <v>292</v>
      </c>
      <c r="E2986" s="5" t="s">
        <v>20934</v>
      </c>
      <c r="F2986" s="5" t="s">
        <v>375</v>
      </c>
      <c r="G2986" s="5" t="s">
        <v>20935</v>
      </c>
      <c r="H2986" s="6" t="s">
        <v>20936</v>
      </c>
      <c r="K2986" s="5" t="s">
        <v>20931</v>
      </c>
    </row>
    <row r="2987">
      <c r="A2987" s="4">
        <v>45534.342510208335</v>
      </c>
      <c r="B2987" s="5" t="s">
        <v>34</v>
      </c>
      <c r="D2987" s="5" t="s">
        <v>12978</v>
      </c>
      <c r="E2987" s="5" t="s">
        <v>20939</v>
      </c>
      <c r="F2987" s="5" t="s">
        <v>524</v>
      </c>
      <c r="G2987" s="5" t="s">
        <v>20940</v>
      </c>
      <c r="H2987" s="6" t="s">
        <v>20941</v>
      </c>
      <c r="K2987" s="5" t="s">
        <v>20931</v>
      </c>
    </row>
    <row r="2988">
      <c r="A2988" s="4">
        <v>45534.34251511574</v>
      </c>
      <c r="B2988" s="5" t="s">
        <v>19</v>
      </c>
      <c r="C2988" s="5" t="s">
        <v>292</v>
      </c>
      <c r="E2988" s="5" t="s">
        <v>20944</v>
      </c>
      <c r="F2988" s="5" t="s">
        <v>524</v>
      </c>
      <c r="G2988" s="5" t="s">
        <v>20945</v>
      </c>
      <c r="H2988" s="6" t="s">
        <v>20946</v>
      </c>
      <c r="K2988" s="5" t="s">
        <v>20931</v>
      </c>
    </row>
    <row r="2989">
      <c r="A2989" s="4">
        <v>45534.342517349534</v>
      </c>
      <c r="B2989" s="5" t="s">
        <v>34</v>
      </c>
      <c r="D2989" s="5" t="s">
        <v>1206</v>
      </c>
      <c r="E2989" s="5" t="s">
        <v>20949</v>
      </c>
      <c r="F2989" s="5" t="s">
        <v>212</v>
      </c>
      <c r="G2989" s="5" t="s">
        <v>20950</v>
      </c>
      <c r="H2989" s="6" t="s">
        <v>20951</v>
      </c>
      <c r="K2989" s="5" t="s">
        <v>20931</v>
      </c>
    </row>
    <row r="2990">
      <c r="A2990" s="4">
        <v>45534.3425231713</v>
      </c>
      <c r="B2990" s="5" t="s">
        <v>34</v>
      </c>
      <c r="D2990" s="5" t="s">
        <v>11527</v>
      </c>
      <c r="E2990" s="5" t="s">
        <v>20954</v>
      </c>
      <c r="F2990" s="5" t="s">
        <v>375</v>
      </c>
      <c r="G2990" s="5" t="s">
        <v>20955</v>
      </c>
      <c r="H2990" s="6" t="s">
        <v>20956</v>
      </c>
      <c r="K2990" s="5" t="s">
        <v>20931</v>
      </c>
    </row>
    <row r="2991">
      <c r="A2991" s="4">
        <v>45534.34252578704</v>
      </c>
      <c r="B2991" s="5" t="s">
        <v>34</v>
      </c>
      <c r="D2991" s="5" t="s">
        <v>35</v>
      </c>
      <c r="E2991" s="5" t="s">
        <v>20960</v>
      </c>
      <c r="F2991" s="5" t="s">
        <v>37</v>
      </c>
      <c r="G2991" s="5" t="s">
        <v>20961</v>
      </c>
      <c r="H2991" s="6" t="s">
        <v>20962</v>
      </c>
      <c r="K2991" s="5" t="s">
        <v>20931</v>
      </c>
    </row>
    <row r="2992">
      <c r="A2992" s="4">
        <v>45534.34252814815</v>
      </c>
      <c r="B2992" s="5" t="s">
        <v>34</v>
      </c>
      <c r="D2992" s="5" t="s">
        <v>12978</v>
      </c>
      <c r="E2992" s="5" t="s">
        <v>20965</v>
      </c>
      <c r="F2992" s="5" t="s">
        <v>212</v>
      </c>
      <c r="G2992" s="5" t="s">
        <v>20966</v>
      </c>
      <c r="H2992" s="6" t="s">
        <v>20967</v>
      </c>
      <c r="K2992" s="5" t="s">
        <v>20931</v>
      </c>
    </row>
    <row r="2993">
      <c r="A2993" s="4">
        <v>45534.34253324074</v>
      </c>
      <c r="B2993" s="5" t="s">
        <v>34</v>
      </c>
      <c r="D2993" s="5" t="s">
        <v>12978</v>
      </c>
      <c r="E2993" s="5" t="s">
        <v>20970</v>
      </c>
      <c r="F2993" s="5" t="s">
        <v>108</v>
      </c>
      <c r="G2993" s="5" t="s">
        <v>20971</v>
      </c>
      <c r="H2993" s="6" t="s">
        <v>20972</v>
      </c>
      <c r="K2993" s="5" t="s">
        <v>20931</v>
      </c>
    </row>
    <row r="2994">
      <c r="A2994" s="4">
        <v>45534.34253849537</v>
      </c>
      <c r="B2994" s="5" t="s">
        <v>34</v>
      </c>
      <c r="D2994" s="5" t="s">
        <v>4775</v>
      </c>
      <c r="E2994" s="5" t="s">
        <v>20975</v>
      </c>
      <c r="F2994" s="5" t="s">
        <v>212</v>
      </c>
      <c r="G2994" s="5" t="s">
        <v>20976</v>
      </c>
      <c r="H2994" s="6" t="s">
        <v>20977</v>
      </c>
      <c r="K2994" s="5" t="s">
        <v>20931</v>
      </c>
    </row>
    <row r="2995">
      <c r="A2995" s="4">
        <v>45534.342539074074</v>
      </c>
      <c r="B2995" s="5" t="s">
        <v>34</v>
      </c>
      <c r="D2995" s="5" t="s">
        <v>35</v>
      </c>
      <c r="E2995" s="5" t="s">
        <v>20980</v>
      </c>
      <c r="F2995" s="5" t="s">
        <v>524</v>
      </c>
      <c r="G2995" s="5" t="s">
        <v>20981</v>
      </c>
      <c r="H2995" s="6" t="s">
        <v>20982</v>
      </c>
      <c r="K2995" s="5" t="s">
        <v>20931</v>
      </c>
    </row>
    <row r="2996">
      <c r="A2996" s="4">
        <v>45534.342548078705</v>
      </c>
      <c r="B2996" s="5" t="s">
        <v>34</v>
      </c>
      <c r="D2996" s="5" t="s">
        <v>4775</v>
      </c>
      <c r="E2996" s="5" t="s">
        <v>20985</v>
      </c>
      <c r="F2996" s="5" t="s">
        <v>212</v>
      </c>
      <c r="G2996" s="5" t="s">
        <v>20986</v>
      </c>
      <c r="H2996" s="6" t="s">
        <v>20987</v>
      </c>
      <c r="K2996" s="5" t="s">
        <v>20931</v>
      </c>
    </row>
    <row r="2997">
      <c r="A2997" s="4">
        <v>45534.342548333334</v>
      </c>
      <c r="B2997" s="5" t="s">
        <v>19</v>
      </c>
      <c r="C2997" s="5" t="s">
        <v>1498</v>
      </c>
      <c r="E2997" s="5" t="s">
        <v>20991</v>
      </c>
      <c r="F2997" s="5" t="s">
        <v>37</v>
      </c>
      <c r="G2997" s="5" t="s">
        <v>20992</v>
      </c>
      <c r="H2997" s="6" t="s">
        <v>20993</v>
      </c>
      <c r="K2997" s="5" t="s">
        <v>20931</v>
      </c>
    </row>
    <row r="2998">
      <c r="A2998" s="4">
        <v>45534.34255998842</v>
      </c>
      <c r="B2998" s="5" t="s">
        <v>34</v>
      </c>
      <c r="D2998" s="5" t="s">
        <v>9020</v>
      </c>
      <c r="E2998" s="5" t="s">
        <v>20996</v>
      </c>
      <c r="F2998" s="5" t="s">
        <v>212</v>
      </c>
      <c r="G2998" s="5" t="s">
        <v>20997</v>
      </c>
      <c r="H2998" s="6" t="s">
        <v>20998</v>
      </c>
      <c r="I2998" s="7" t="s">
        <v>20999</v>
      </c>
      <c r="J2998" s="8" t="str">
        <f>HYPERLINK("https://drive.google.com/file/d/1RMEAkfdYQo5YILx7eDPYifRbTknxgsjC/view?usp=drivesdk","MARIONO SERTIFIKAT BerAKHLAK")</f>
        <v>MARIONO SERTIFIKAT BerAKHLAK</v>
      </c>
      <c r="K2998" s="5" t="s">
        <v>18691</v>
      </c>
      <c r="L2998" s="5" t="s">
        <v>21000</v>
      </c>
    </row>
    <row r="2999">
      <c r="A2999" s="4">
        <v>45534.34256160879</v>
      </c>
      <c r="B2999" s="5" t="s">
        <v>34</v>
      </c>
      <c r="D2999" s="5" t="s">
        <v>4775</v>
      </c>
      <c r="E2999" s="5" t="s">
        <v>21003</v>
      </c>
      <c r="F2999" s="5" t="s">
        <v>108</v>
      </c>
      <c r="G2999" s="5" t="s">
        <v>21004</v>
      </c>
      <c r="H2999" s="6" t="s">
        <v>21005</v>
      </c>
      <c r="K2999" s="5" t="s">
        <v>21006</v>
      </c>
    </row>
    <row r="3000">
      <c r="A3000" s="4">
        <v>45534.34258041666</v>
      </c>
      <c r="B3000" s="5" t="s">
        <v>34</v>
      </c>
      <c r="D3000" s="5" t="s">
        <v>9020</v>
      </c>
      <c r="E3000" s="5" t="s">
        <v>21009</v>
      </c>
      <c r="F3000" s="5" t="s">
        <v>37</v>
      </c>
      <c r="G3000" s="5" t="s">
        <v>21010</v>
      </c>
      <c r="H3000" s="6" t="s">
        <v>21011</v>
      </c>
      <c r="K3000" s="5" t="s">
        <v>21006</v>
      </c>
    </row>
    <row r="3001">
      <c r="A3001" s="4">
        <v>45534.34259071759</v>
      </c>
      <c r="B3001" s="5" t="s">
        <v>34</v>
      </c>
      <c r="D3001" s="5" t="s">
        <v>10444</v>
      </c>
      <c r="E3001" s="5" t="s">
        <v>21014</v>
      </c>
      <c r="F3001" s="5" t="s">
        <v>375</v>
      </c>
      <c r="G3001" s="5" t="s">
        <v>21015</v>
      </c>
      <c r="H3001" s="6" t="s">
        <v>21016</v>
      </c>
      <c r="K3001" s="5" t="s">
        <v>21006</v>
      </c>
    </row>
    <row r="3002">
      <c r="A3002" s="4">
        <v>45534.34259105324</v>
      </c>
      <c r="B3002" s="5" t="s">
        <v>34</v>
      </c>
      <c r="D3002" s="5" t="s">
        <v>996</v>
      </c>
      <c r="E3002" s="5" t="s">
        <v>21020</v>
      </c>
      <c r="F3002" s="5" t="s">
        <v>108</v>
      </c>
      <c r="G3002" s="5" t="s">
        <v>21021</v>
      </c>
      <c r="H3002" s="6" t="s">
        <v>21022</v>
      </c>
      <c r="K3002" s="5" t="s">
        <v>21023</v>
      </c>
    </row>
    <row r="3003">
      <c r="A3003" s="4">
        <v>45534.342599131945</v>
      </c>
      <c r="B3003" s="5" t="s">
        <v>34</v>
      </c>
      <c r="D3003" s="5" t="s">
        <v>975</v>
      </c>
      <c r="E3003" s="5" t="s">
        <v>21026</v>
      </c>
      <c r="F3003" s="5" t="s">
        <v>37</v>
      </c>
      <c r="G3003" s="5" t="s">
        <v>21027</v>
      </c>
      <c r="H3003" s="6" t="s">
        <v>21028</v>
      </c>
      <c r="K3003" s="5" t="s">
        <v>21023</v>
      </c>
    </row>
    <row r="3004">
      <c r="A3004" s="4">
        <v>45534.34259818287</v>
      </c>
      <c r="B3004" s="5" t="s">
        <v>19</v>
      </c>
      <c r="C3004" s="5" t="s">
        <v>292</v>
      </c>
      <c r="E3004" s="5" t="s">
        <v>21031</v>
      </c>
      <c r="F3004" s="5" t="s">
        <v>37</v>
      </c>
      <c r="G3004" s="5" t="s">
        <v>21032</v>
      </c>
      <c r="H3004" s="6" t="s">
        <v>21033</v>
      </c>
      <c r="K3004" s="5" t="s">
        <v>21023</v>
      </c>
    </row>
    <row r="3005">
      <c r="A3005" s="4">
        <v>45534.34260311343</v>
      </c>
      <c r="B3005" s="5" t="s">
        <v>34</v>
      </c>
      <c r="D3005" s="5" t="s">
        <v>1206</v>
      </c>
      <c r="E3005" s="5" t="s">
        <v>21036</v>
      </c>
      <c r="F3005" s="5" t="s">
        <v>375</v>
      </c>
      <c r="G3005" s="5" t="s">
        <v>21037</v>
      </c>
      <c r="H3005" s="6" t="s">
        <v>21038</v>
      </c>
      <c r="K3005" s="5" t="s">
        <v>21023</v>
      </c>
    </row>
    <row r="3006">
      <c r="A3006" s="4">
        <v>45534.34260420139</v>
      </c>
      <c r="B3006" s="5" t="s">
        <v>34</v>
      </c>
      <c r="D3006" s="5" t="s">
        <v>996</v>
      </c>
      <c r="E3006" s="5" t="s">
        <v>21042</v>
      </c>
      <c r="F3006" s="5" t="s">
        <v>72</v>
      </c>
      <c r="G3006" s="5" t="s">
        <v>21043</v>
      </c>
      <c r="H3006" s="6" t="s">
        <v>21044</v>
      </c>
      <c r="K3006" s="5" t="s">
        <v>21023</v>
      </c>
    </row>
    <row r="3007">
      <c r="A3007" s="4">
        <v>45534.34261049768</v>
      </c>
      <c r="B3007" s="5" t="s">
        <v>34</v>
      </c>
      <c r="D3007" s="5" t="s">
        <v>4775</v>
      </c>
      <c r="E3007" s="5" t="s">
        <v>21048</v>
      </c>
      <c r="F3007" s="5" t="s">
        <v>212</v>
      </c>
      <c r="G3007" s="5" t="s">
        <v>21049</v>
      </c>
      <c r="H3007" s="6" t="s">
        <v>21050</v>
      </c>
      <c r="K3007" s="5" t="s">
        <v>21023</v>
      </c>
    </row>
    <row r="3008">
      <c r="A3008" s="4">
        <v>45534.34261891204</v>
      </c>
      <c r="B3008" s="5" t="s">
        <v>34</v>
      </c>
      <c r="D3008" s="5" t="s">
        <v>996</v>
      </c>
      <c r="E3008" s="5" t="s">
        <v>21053</v>
      </c>
      <c r="F3008" s="5" t="s">
        <v>37</v>
      </c>
      <c r="G3008" s="5" t="s">
        <v>21054</v>
      </c>
      <c r="H3008" s="6" t="s">
        <v>21055</v>
      </c>
      <c r="K3008" s="5" t="s">
        <v>21023</v>
      </c>
    </row>
    <row r="3009">
      <c r="A3009" s="4">
        <v>45534.3426210301</v>
      </c>
      <c r="B3009" s="5" t="s">
        <v>34</v>
      </c>
      <c r="D3009" s="5" t="s">
        <v>4775</v>
      </c>
      <c r="E3009" s="5" t="s">
        <v>21058</v>
      </c>
      <c r="F3009" s="5" t="s">
        <v>37</v>
      </c>
      <c r="G3009" s="5" t="s">
        <v>21059</v>
      </c>
      <c r="H3009" s="6" t="s">
        <v>21060</v>
      </c>
      <c r="K3009" s="5" t="s">
        <v>21061</v>
      </c>
    </row>
    <row r="3010">
      <c r="A3010" s="4">
        <v>45534.34262409722</v>
      </c>
      <c r="B3010" s="5" t="s">
        <v>34</v>
      </c>
      <c r="D3010" s="5" t="s">
        <v>9020</v>
      </c>
      <c r="E3010" s="5" t="s">
        <v>21064</v>
      </c>
      <c r="F3010" s="5" t="s">
        <v>108</v>
      </c>
      <c r="G3010" s="5" t="s">
        <v>21065</v>
      </c>
      <c r="H3010" s="6" t="s">
        <v>21066</v>
      </c>
      <c r="K3010" s="5" t="s">
        <v>21061</v>
      </c>
    </row>
    <row r="3011">
      <c r="A3011" s="4">
        <v>45534.34263380787</v>
      </c>
      <c r="B3011" s="5" t="s">
        <v>34</v>
      </c>
      <c r="D3011" s="5" t="s">
        <v>6232</v>
      </c>
      <c r="E3011" s="5" t="s">
        <v>21069</v>
      </c>
      <c r="F3011" s="5" t="s">
        <v>375</v>
      </c>
      <c r="G3011" s="5" t="s">
        <v>21070</v>
      </c>
      <c r="H3011" s="6" t="s">
        <v>21071</v>
      </c>
      <c r="K3011" s="5" t="s">
        <v>21061</v>
      </c>
    </row>
    <row r="3012">
      <c r="A3012" s="4">
        <v>45534.34264981482</v>
      </c>
      <c r="B3012" s="5" t="s">
        <v>34</v>
      </c>
      <c r="D3012" s="5" t="s">
        <v>1206</v>
      </c>
      <c r="E3012" s="5" t="s">
        <v>21075</v>
      </c>
      <c r="F3012" s="5" t="s">
        <v>199</v>
      </c>
      <c r="G3012" s="5" t="s">
        <v>21076</v>
      </c>
      <c r="H3012" s="6" t="s">
        <v>21077</v>
      </c>
      <c r="K3012" s="5" t="s">
        <v>19849</v>
      </c>
    </row>
    <row r="3013">
      <c r="A3013" s="4">
        <v>45534.342656458335</v>
      </c>
      <c r="B3013" s="5" t="s">
        <v>34</v>
      </c>
      <c r="D3013" s="5" t="s">
        <v>580</v>
      </c>
      <c r="E3013" s="5" t="s">
        <v>21080</v>
      </c>
      <c r="F3013" s="5" t="s">
        <v>108</v>
      </c>
      <c r="G3013" s="5" t="s">
        <v>21081</v>
      </c>
      <c r="H3013" s="6" t="s">
        <v>21082</v>
      </c>
      <c r="K3013" s="5" t="s">
        <v>19849</v>
      </c>
    </row>
    <row r="3014">
      <c r="A3014" s="4">
        <v>45534.34266447916</v>
      </c>
      <c r="B3014" s="5" t="s">
        <v>34</v>
      </c>
      <c r="D3014" s="5" t="s">
        <v>9020</v>
      </c>
      <c r="E3014" s="5" t="s">
        <v>21085</v>
      </c>
      <c r="F3014" s="5" t="s">
        <v>72</v>
      </c>
      <c r="G3014" s="5" t="s">
        <v>21086</v>
      </c>
      <c r="H3014" s="6" t="s">
        <v>21087</v>
      </c>
      <c r="K3014" s="5" t="s">
        <v>21088</v>
      </c>
    </row>
    <row r="3015">
      <c r="A3015" s="4">
        <v>45534.34266789352</v>
      </c>
      <c r="B3015" s="5" t="s">
        <v>34</v>
      </c>
      <c r="D3015" s="5" t="s">
        <v>4775</v>
      </c>
      <c r="E3015" s="5" t="s">
        <v>21092</v>
      </c>
      <c r="F3015" s="5" t="s">
        <v>375</v>
      </c>
      <c r="G3015" s="5" t="s">
        <v>21093</v>
      </c>
      <c r="H3015" s="6" t="s">
        <v>21094</v>
      </c>
      <c r="K3015" s="5" t="s">
        <v>21088</v>
      </c>
    </row>
    <row r="3016">
      <c r="A3016" s="4">
        <v>45534.34267155093</v>
      </c>
      <c r="B3016" s="5" t="s">
        <v>34</v>
      </c>
      <c r="D3016" s="5" t="s">
        <v>267</v>
      </c>
      <c r="E3016" s="5" t="s">
        <v>21097</v>
      </c>
      <c r="F3016" s="5" t="s">
        <v>6776</v>
      </c>
      <c r="G3016" s="5" t="s">
        <v>21098</v>
      </c>
      <c r="H3016" s="6" t="s">
        <v>21099</v>
      </c>
      <c r="K3016" s="5" t="s">
        <v>21088</v>
      </c>
    </row>
    <row r="3017">
      <c r="A3017" s="4">
        <v>45534.34267309028</v>
      </c>
      <c r="B3017" s="5" t="s">
        <v>34</v>
      </c>
      <c r="D3017" s="5" t="s">
        <v>9020</v>
      </c>
      <c r="E3017" s="5" t="s">
        <v>21102</v>
      </c>
      <c r="F3017" s="5" t="s">
        <v>37</v>
      </c>
      <c r="G3017" s="5" t="s">
        <v>21103</v>
      </c>
      <c r="H3017" s="6" t="s">
        <v>21104</v>
      </c>
      <c r="K3017" s="5" t="s">
        <v>21088</v>
      </c>
    </row>
    <row r="3018">
      <c r="A3018" s="4">
        <v>45534.34267322917</v>
      </c>
      <c r="B3018" s="5" t="s">
        <v>34</v>
      </c>
      <c r="D3018" s="5" t="s">
        <v>9020</v>
      </c>
      <c r="E3018" s="5" t="s">
        <v>21107</v>
      </c>
      <c r="F3018" s="5" t="s">
        <v>108</v>
      </c>
      <c r="G3018" s="5" t="s">
        <v>21108</v>
      </c>
      <c r="H3018" s="6" t="s">
        <v>21109</v>
      </c>
      <c r="K3018" s="5" t="s">
        <v>21088</v>
      </c>
    </row>
    <row r="3019">
      <c r="A3019" s="4">
        <v>45534.342677430555</v>
      </c>
      <c r="B3019" s="5" t="s">
        <v>34</v>
      </c>
      <c r="D3019" s="5" t="s">
        <v>4775</v>
      </c>
      <c r="E3019" s="5" t="s">
        <v>21113</v>
      </c>
      <c r="F3019" s="5" t="s">
        <v>375</v>
      </c>
      <c r="G3019" s="5" t="s">
        <v>21114</v>
      </c>
      <c r="H3019" s="6" t="s">
        <v>21115</v>
      </c>
      <c r="K3019" s="5" t="s">
        <v>21088</v>
      </c>
    </row>
    <row r="3020">
      <c r="A3020" s="4">
        <v>45534.34268048611</v>
      </c>
      <c r="B3020" s="5" t="s">
        <v>34</v>
      </c>
      <c r="D3020" s="5" t="s">
        <v>12978</v>
      </c>
      <c r="E3020" s="5" t="s">
        <v>21118</v>
      </c>
      <c r="F3020" s="5" t="s">
        <v>37</v>
      </c>
      <c r="G3020" s="5" t="s">
        <v>21119</v>
      </c>
      <c r="H3020" s="6" t="s">
        <v>21120</v>
      </c>
      <c r="K3020" s="5" t="s">
        <v>21088</v>
      </c>
    </row>
    <row r="3021">
      <c r="A3021" s="4">
        <v>45534.34268262731</v>
      </c>
      <c r="B3021" s="5" t="s">
        <v>34</v>
      </c>
      <c r="D3021" s="5" t="s">
        <v>1206</v>
      </c>
      <c r="E3021" s="5" t="s">
        <v>21123</v>
      </c>
      <c r="F3021" s="5" t="s">
        <v>375</v>
      </c>
      <c r="G3021" s="5" t="s">
        <v>21124</v>
      </c>
      <c r="H3021" s="6" t="s">
        <v>21125</v>
      </c>
      <c r="K3021" s="5" t="s">
        <v>21088</v>
      </c>
    </row>
    <row r="3022">
      <c r="A3022" s="4">
        <v>45534.34268741898</v>
      </c>
      <c r="B3022" s="5" t="s">
        <v>19</v>
      </c>
      <c r="C3022" s="5" t="s">
        <v>466</v>
      </c>
      <c r="E3022" s="5" t="s">
        <v>21128</v>
      </c>
      <c r="F3022" s="5" t="s">
        <v>108</v>
      </c>
      <c r="G3022" s="5" t="s">
        <v>21129</v>
      </c>
      <c r="H3022" s="6" t="s">
        <v>21130</v>
      </c>
      <c r="K3022" s="5" t="s">
        <v>21088</v>
      </c>
    </row>
    <row r="3023">
      <c r="A3023" s="4">
        <v>45534.34268994213</v>
      </c>
      <c r="B3023" s="5" t="s">
        <v>19</v>
      </c>
      <c r="C3023" s="5" t="s">
        <v>292</v>
      </c>
      <c r="E3023" s="5" t="s">
        <v>21134</v>
      </c>
      <c r="F3023" s="5" t="s">
        <v>212</v>
      </c>
      <c r="G3023" s="5" t="s">
        <v>21135</v>
      </c>
      <c r="H3023" s="6" t="s">
        <v>21136</v>
      </c>
      <c r="K3023" s="5" t="s">
        <v>21088</v>
      </c>
    </row>
    <row r="3024">
      <c r="A3024" s="4">
        <v>45534.34269443287</v>
      </c>
      <c r="B3024" s="5" t="s">
        <v>19</v>
      </c>
      <c r="C3024" s="5" t="s">
        <v>292</v>
      </c>
      <c r="E3024" s="5" t="s">
        <v>21139</v>
      </c>
      <c r="F3024" s="5" t="s">
        <v>72</v>
      </c>
      <c r="G3024" s="5" t="s">
        <v>21140</v>
      </c>
      <c r="H3024" s="6" t="s">
        <v>21141</v>
      </c>
      <c r="K3024" s="5" t="s">
        <v>21088</v>
      </c>
    </row>
    <row r="3025">
      <c r="A3025" s="4">
        <v>45534.342695694446</v>
      </c>
      <c r="B3025" s="5" t="s">
        <v>34</v>
      </c>
      <c r="D3025" s="5" t="s">
        <v>4775</v>
      </c>
      <c r="E3025" s="5" t="s">
        <v>21144</v>
      </c>
      <c r="F3025" s="5" t="s">
        <v>212</v>
      </c>
      <c r="G3025" s="5" t="s">
        <v>21145</v>
      </c>
      <c r="H3025" s="6" t="s">
        <v>21146</v>
      </c>
      <c r="K3025" s="5" t="s">
        <v>21088</v>
      </c>
    </row>
    <row r="3026">
      <c r="A3026" s="4">
        <v>45534.342703738424</v>
      </c>
      <c r="B3026" s="5" t="s">
        <v>34</v>
      </c>
      <c r="D3026" s="5" t="s">
        <v>12978</v>
      </c>
      <c r="E3026" s="5" t="s">
        <v>21150</v>
      </c>
      <c r="F3026" s="5" t="s">
        <v>37</v>
      </c>
      <c r="G3026" s="5" t="s">
        <v>21151</v>
      </c>
      <c r="H3026" s="6" t="s">
        <v>21152</v>
      </c>
      <c r="K3026" s="5" t="s">
        <v>21088</v>
      </c>
    </row>
    <row r="3027">
      <c r="A3027" s="4">
        <v>45534.34270450231</v>
      </c>
      <c r="B3027" s="5" t="s">
        <v>34</v>
      </c>
      <c r="D3027" s="5" t="s">
        <v>14313</v>
      </c>
      <c r="E3027" s="5" t="s">
        <v>21156</v>
      </c>
      <c r="F3027" s="5" t="s">
        <v>715</v>
      </c>
      <c r="G3027" s="5" t="s">
        <v>21157</v>
      </c>
      <c r="H3027" s="6" t="s">
        <v>21158</v>
      </c>
      <c r="K3027" s="5" t="s">
        <v>21088</v>
      </c>
    </row>
    <row r="3028">
      <c r="A3028" s="4">
        <v>45534.342712233796</v>
      </c>
      <c r="B3028" s="5" t="s">
        <v>34</v>
      </c>
      <c r="D3028" s="5" t="s">
        <v>12978</v>
      </c>
      <c r="E3028" s="5" t="s">
        <v>21161</v>
      </c>
      <c r="F3028" s="5" t="s">
        <v>72</v>
      </c>
      <c r="G3028" s="5" t="s">
        <v>21162</v>
      </c>
      <c r="H3028" s="6" t="s">
        <v>21163</v>
      </c>
      <c r="K3028" s="5" t="s">
        <v>21088</v>
      </c>
    </row>
    <row r="3029">
      <c r="A3029" s="4">
        <v>45534.34271363426</v>
      </c>
      <c r="B3029" s="5" t="s">
        <v>34</v>
      </c>
      <c r="D3029" s="5" t="s">
        <v>9020</v>
      </c>
      <c r="E3029" s="5" t="s">
        <v>21167</v>
      </c>
      <c r="F3029" s="5" t="s">
        <v>37</v>
      </c>
      <c r="G3029" s="5" t="s">
        <v>21168</v>
      </c>
      <c r="H3029" s="6" t="s">
        <v>21169</v>
      </c>
      <c r="K3029" s="5" t="s">
        <v>21088</v>
      </c>
    </row>
    <row r="3030">
      <c r="A3030" s="4">
        <v>45534.34272414352</v>
      </c>
      <c r="B3030" s="5" t="s">
        <v>34</v>
      </c>
      <c r="D3030" s="5" t="s">
        <v>1206</v>
      </c>
      <c r="E3030" s="5" t="s">
        <v>21172</v>
      </c>
      <c r="F3030" s="5" t="s">
        <v>212</v>
      </c>
      <c r="G3030" s="5" t="s">
        <v>21173</v>
      </c>
      <c r="H3030" s="6" t="s">
        <v>21174</v>
      </c>
      <c r="I3030" s="7" t="s">
        <v>21175</v>
      </c>
      <c r="J3030" s="8" t="str">
        <f>HYPERLINK("https://drive.google.com/file/d/1cW6Rs0Jf-D2mcjiRvdfEolOBMTmR2kI8/view?usp=drivesdk","BAGYO S SERTIFIKAT BerAKHLAK")</f>
        <v>BAGYO S SERTIFIKAT BerAKHLAK</v>
      </c>
      <c r="K3030" s="5" t="s">
        <v>18691</v>
      </c>
      <c r="L3030" s="5" t="s">
        <v>21176</v>
      </c>
    </row>
    <row r="3031">
      <c r="A3031" s="4">
        <v>45534.34272696759</v>
      </c>
      <c r="B3031" s="5" t="s">
        <v>34</v>
      </c>
      <c r="D3031" s="5" t="s">
        <v>4775</v>
      </c>
      <c r="E3031" s="5" t="s">
        <v>21179</v>
      </c>
      <c r="F3031" s="5" t="s">
        <v>212</v>
      </c>
      <c r="G3031" s="5" t="s">
        <v>21180</v>
      </c>
      <c r="H3031" s="6" t="s">
        <v>21181</v>
      </c>
      <c r="I3031" s="7" t="s">
        <v>21182</v>
      </c>
      <c r="J3031" s="8" t="str">
        <f>HYPERLINK("https://drive.google.com/file/d/1oql6Oc6afuF_0wI5vhMOz6-IOh7DpqfE/view?usp=drivesdk","ANTUN SUGIYARTI, S.H. SERTIFIKAT BerAKHLAK")</f>
        <v>ANTUN SUGIYARTI, S.H. SERTIFIKAT BerAKHLAK</v>
      </c>
      <c r="K3031" s="5" t="s">
        <v>20391</v>
      </c>
      <c r="L3031" s="5" t="s">
        <v>21183</v>
      </c>
    </row>
    <row r="3032">
      <c r="A3032" s="4">
        <v>45534.34273158565</v>
      </c>
      <c r="B3032" s="5" t="s">
        <v>34</v>
      </c>
      <c r="D3032" s="5" t="s">
        <v>10444</v>
      </c>
      <c r="E3032" s="5" t="s">
        <v>21186</v>
      </c>
      <c r="F3032" s="5" t="s">
        <v>212</v>
      </c>
      <c r="G3032" s="5" t="s">
        <v>21187</v>
      </c>
      <c r="H3032" s="6" t="s">
        <v>21188</v>
      </c>
      <c r="I3032" s="7" t="s">
        <v>21189</v>
      </c>
      <c r="J3032" s="8" t="str">
        <f>HYPERLINK("https://drive.google.com/file/d/1bEHVuSLmlVrsnZMiTOlMITux8yw5c71w/view?usp=drivesdk","MEY INDRIYANI SERTIFIKAT BerAKHLAK")</f>
        <v>MEY INDRIYANI SERTIFIKAT BerAKHLAK</v>
      </c>
      <c r="K3032" s="5" t="s">
        <v>20391</v>
      </c>
      <c r="L3032" s="5" t="s">
        <v>21190</v>
      </c>
    </row>
    <row r="3033">
      <c r="A3033" s="4">
        <v>45534.34273215278</v>
      </c>
      <c r="B3033" s="5" t="s">
        <v>34</v>
      </c>
      <c r="D3033" s="5" t="s">
        <v>35</v>
      </c>
      <c r="E3033" s="5" t="s">
        <v>21193</v>
      </c>
      <c r="F3033" s="5" t="s">
        <v>212</v>
      </c>
      <c r="G3033" s="5" t="s">
        <v>21194</v>
      </c>
      <c r="H3033" s="6" t="s">
        <v>21195</v>
      </c>
      <c r="I3033" s="7" t="s">
        <v>21196</v>
      </c>
      <c r="J3033" s="8" t="str">
        <f>HYPERLINK("https://drive.google.com/file/d/1nJzrEfJTTTyCS-uJwxeYOQEww1y0s0UV/view?usp=drivesdk","LILIS MARYATI SERTIFIKAT BerAKHLAK")</f>
        <v>LILIS MARYATI SERTIFIKAT BerAKHLAK</v>
      </c>
      <c r="K3033" s="5" t="s">
        <v>20391</v>
      </c>
      <c r="L3033" s="5" t="s">
        <v>21197</v>
      </c>
    </row>
    <row r="3034">
      <c r="A3034" s="4">
        <v>45534.342755844904</v>
      </c>
      <c r="B3034" s="5" t="s">
        <v>34</v>
      </c>
      <c r="D3034" s="5" t="s">
        <v>1206</v>
      </c>
      <c r="E3034" s="5" t="s">
        <v>21201</v>
      </c>
      <c r="F3034" s="5" t="s">
        <v>212</v>
      </c>
      <c r="G3034" s="5" t="s">
        <v>21202</v>
      </c>
      <c r="H3034" s="6" t="s">
        <v>21203</v>
      </c>
      <c r="I3034" s="7" t="s">
        <v>21204</v>
      </c>
      <c r="J3034" s="8" t="str">
        <f>HYPERLINK("https://drive.google.com/file/d/1BTH_dieWbxZot1vWbrVL0N3l08Hutdhk/view?usp=drivesdk","YENI YULIANA SERTIFIKAT BerAKHLAK")</f>
        <v>YENI YULIANA SERTIFIKAT BerAKHLAK</v>
      </c>
      <c r="K3034" s="5" t="s">
        <v>18691</v>
      </c>
      <c r="L3034" s="5" t="s">
        <v>21205</v>
      </c>
    </row>
    <row r="3035">
      <c r="A3035" s="4">
        <v>45534.34276113426</v>
      </c>
      <c r="B3035" s="5" t="s">
        <v>34</v>
      </c>
      <c r="D3035" s="5" t="s">
        <v>12978</v>
      </c>
      <c r="E3035" s="5" t="s">
        <v>21208</v>
      </c>
      <c r="F3035" s="5" t="s">
        <v>212</v>
      </c>
      <c r="G3035" s="5" t="s">
        <v>21209</v>
      </c>
      <c r="H3035" s="6" t="s">
        <v>21210</v>
      </c>
      <c r="I3035" s="7" t="s">
        <v>21211</v>
      </c>
      <c r="J3035" s="8" t="str">
        <f>HYPERLINK("https://drive.google.com/file/d/13ZtCjUJlqWZtdsXewPe2FB17MoGXPOQS/view?usp=drivesdk","RIKA PURNAMA SARI SERTIFIKAT BerAKHLAK")</f>
        <v>RIKA PURNAMA SARI SERTIFIKAT BerAKHLAK</v>
      </c>
      <c r="K3035" s="5" t="s">
        <v>20391</v>
      </c>
      <c r="L3035" s="5" t="s">
        <v>21212</v>
      </c>
    </row>
    <row r="3036">
      <c r="A3036" s="4">
        <v>45534.342763368055</v>
      </c>
      <c r="B3036" s="5" t="s">
        <v>34</v>
      </c>
      <c r="D3036" s="5" t="s">
        <v>701</v>
      </c>
      <c r="E3036" s="5" t="s">
        <v>21215</v>
      </c>
      <c r="F3036" s="5" t="s">
        <v>5859</v>
      </c>
      <c r="G3036" s="5" t="s">
        <v>21216</v>
      </c>
      <c r="H3036" s="6" t="s">
        <v>21217</v>
      </c>
      <c r="I3036" s="7" t="s">
        <v>21218</v>
      </c>
      <c r="J3036" s="8" t="str">
        <f>HYPERLINK("https://drive.google.com/file/d/1ClbRYwKy5rPhHCEj83jMAFJQqFDhLhCf/view?usp=drivesdk","JURU BEJO SERTIFIKAT BerAKHLAK")</f>
        <v>JURU BEJO SERTIFIKAT BerAKHLAK</v>
      </c>
      <c r="K3036" s="5" t="s">
        <v>20391</v>
      </c>
      <c r="L3036" s="5" t="s">
        <v>21219</v>
      </c>
    </row>
    <row r="3037">
      <c r="A3037" s="4">
        <v>45534.34278077546</v>
      </c>
      <c r="B3037" s="5" t="s">
        <v>34</v>
      </c>
      <c r="D3037" s="5" t="s">
        <v>975</v>
      </c>
      <c r="E3037" s="5" t="s">
        <v>21222</v>
      </c>
      <c r="F3037" s="5" t="s">
        <v>37</v>
      </c>
      <c r="G3037" s="5" t="s">
        <v>21223</v>
      </c>
      <c r="H3037" s="6" t="s">
        <v>21224</v>
      </c>
      <c r="K3037" s="5" t="s">
        <v>21225</v>
      </c>
    </row>
    <row r="3038">
      <c r="A3038" s="4">
        <v>45534.3427878588</v>
      </c>
      <c r="B3038" s="5" t="s">
        <v>34</v>
      </c>
      <c r="D3038" s="5" t="s">
        <v>996</v>
      </c>
      <c r="E3038" s="5" t="s">
        <v>21228</v>
      </c>
      <c r="F3038" s="5" t="s">
        <v>212</v>
      </c>
      <c r="G3038" s="5" t="s">
        <v>21229</v>
      </c>
      <c r="H3038" s="6" t="s">
        <v>21230</v>
      </c>
      <c r="K3038" s="5" t="s">
        <v>21225</v>
      </c>
    </row>
    <row r="3039">
      <c r="A3039" s="4">
        <v>45534.34279548611</v>
      </c>
      <c r="B3039" s="5" t="s">
        <v>34</v>
      </c>
      <c r="D3039" s="5" t="s">
        <v>35</v>
      </c>
      <c r="E3039" s="5" t="s">
        <v>21234</v>
      </c>
      <c r="F3039" s="5" t="s">
        <v>375</v>
      </c>
      <c r="G3039" s="5" t="s">
        <v>21235</v>
      </c>
      <c r="H3039" s="6" t="s">
        <v>21236</v>
      </c>
      <c r="K3039" s="5" t="s">
        <v>21225</v>
      </c>
    </row>
    <row r="3040">
      <c r="A3040" s="4">
        <v>45534.34279875</v>
      </c>
      <c r="B3040" s="5" t="s">
        <v>34</v>
      </c>
      <c r="D3040" s="5" t="s">
        <v>4775</v>
      </c>
      <c r="E3040" s="5" t="s">
        <v>21239</v>
      </c>
      <c r="F3040" s="5" t="s">
        <v>72</v>
      </c>
      <c r="G3040" s="5" t="s">
        <v>21240</v>
      </c>
      <c r="H3040" s="6" t="s">
        <v>21241</v>
      </c>
      <c r="K3040" s="5" t="s">
        <v>21225</v>
      </c>
    </row>
    <row r="3041">
      <c r="A3041" s="4">
        <v>45534.3428016088</v>
      </c>
      <c r="B3041" s="5" t="s">
        <v>34</v>
      </c>
      <c r="D3041" s="5" t="s">
        <v>1206</v>
      </c>
      <c r="E3041" s="5" t="s">
        <v>21244</v>
      </c>
      <c r="F3041" s="5" t="s">
        <v>72</v>
      </c>
      <c r="G3041" s="5" t="s">
        <v>21245</v>
      </c>
      <c r="H3041" s="6" t="s">
        <v>21246</v>
      </c>
      <c r="K3041" s="5" t="s">
        <v>21225</v>
      </c>
    </row>
    <row r="3042">
      <c r="A3042" s="4">
        <v>45534.342801273146</v>
      </c>
      <c r="B3042" s="5" t="s">
        <v>34</v>
      </c>
      <c r="D3042" s="5" t="s">
        <v>1206</v>
      </c>
      <c r="E3042" s="5" t="s">
        <v>21249</v>
      </c>
      <c r="F3042" s="5" t="s">
        <v>199</v>
      </c>
      <c r="G3042" s="5" t="s">
        <v>21250</v>
      </c>
      <c r="H3042" s="6" t="s">
        <v>21251</v>
      </c>
      <c r="K3042" s="5" t="s">
        <v>21225</v>
      </c>
    </row>
    <row r="3043">
      <c r="A3043" s="4">
        <v>45534.34282185185</v>
      </c>
      <c r="B3043" s="5" t="s">
        <v>34</v>
      </c>
      <c r="D3043" s="5" t="s">
        <v>3432</v>
      </c>
      <c r="E3043" s="5" t="s">
        <v>21255</v>
      </c>
      <c r="F3043" s="5" t="s">
        <v>37</v>
      </c>
      <c r="G3043" s="5" t="s">
        <v>21256</v>
      </c>
      <c r="H3043" s="6" t="s">
        <v>21257</v>
      </c>
      <c r="I3043" s="7" t="s">
        <v>21258</v>
      </c>
      <c r="J3043" s="8" t="str">
        <f>HYPERLINK("https://drive.google.com/file/d/1KLQQqisDyDP328-KGogeLcQ_dvFq4hh6/view?usp=drivesdk","UCOK KAMIL. A.MD.KEP SERTIFIKAT BerAKHLAK")</f>
        <v>UCOK KAMIL. A.MD.KEP SERTIFIKAT BerAKHLAK</v>
      </c>
      <c r="K3043" s="5" t="s">
        <v>18691</v>
      </c>
      <c r="L3043" s="5" t="s">
        <v>21259</v>
      </c>
    </row>
    <row r="3044">
      <c r="A3044" s="4">
        <v>45534.34282460649</v>
      </c>
      <c r="B3044" s="5" t="s">
        <v>34</v>
      </c>
      <c r="D3044" s="5" t="s">
        <v>996</v>
      </c>
      <c r="E3044" s="5" t="s">
        <v>21262</v>
      </c>
      <c r="F3044" s="5" t="s">
        <v>108</v>
      </c>
      <c r="G3044" s="5" t="s">
        <v>21263</v>
      </c>
      <c r="H3044" s="6" t="s">
        <v>21264</v>
      </c>
      <c r="I3044" s="7" t="s">
        <v>21265</v>
      </c>
      <c r="J3044" s="8" t="str">
        <f>HYPERLINK("https://drive.google.com/file/d/1ypzZuFBokyQySER7GZtfp8YneTMDacpv/view?usp=drivesdk","MARLIATINAH SERTIFIKAT BerAKHLAK")</f>
        <v>MARLIATINAH SERTIFIKAT BerAKHLAK</v>
      </c>
      <c r="K3044" s="5" t="s">
        <v>20391</v>
      </c>
      <c r="L3044" s="5" t="s">
        <v>21266</v>
      </c>
    </row>
    <row r="3045">
      <c r="A3045" s="4">
        <v>45534.34282474537</v>
      </c>
      <c r="B3045" s="5" t="s">
        <v>19</v>
      </c>
      <c r="C3045" s="5" t="s">
        <v>3301</v>
      </c>
      <c r="E3045" s="5" t="s">
        <v>21269</v>
      </c>
      <c r="F3045" s="5" t="s">
        <v>37</v>
      </c>
      <c r="G3045" s="5" t="s">
        <v>21270</v>
      </c>
      <c r="H3045" s="6" t="s">
        <v>21271</v>
      </c>
      <c r="I3045" s="7" t="s">
        <v>21272</v>
      </c>
      <c r="J3045" s="8" t="str">
        <f>HYPERLINK("https://drive.google.com/file/d/1Ee0nEyNsn5W4IT64mwyl1aKGrRMe1W5m/view?usp=drivesdk","DWI SARIUTAMI, AMK  SERTIFIKAT BerAKHLAK")</f>
        <v>DWI SARIUTAMI, AMK  SERTIFIKAT BerAKHLAK</v>
      </c>
      <c r="K3045" s="5" t="s">
        <v>20391</v>
      </c>
      <c r="L3045" s="5" t="s">
        <v>21273</v>
      </c>
    </row>
    <row r="3046">
      <c r="A3046" s="4">
        <v>45534.34282842593</v>
      </c>
      <c r="B3046" s="5" t="s">
        <v>34</v>
      </c>
      <c r="D3046" s="5" t="s">
        <v>9020</v>
      </c>
      <c r="E3046" s="5" t="s">
        <v>21276</v>
      </c>
      <c r="F3046" s="5" t="s">
        <v>37</v>
      </c>
      <c r="G3046" s="5" t="s">
        <v>21277</v>
      </c>
      <c r="H3046" s="6" t="s">
        <v>21278</v>
      </c>
      <c r="I3046" s="7" t="s">
        <v>21279</v>
      </c>
      <c r="J3046" s="8" t="str">
        <f>HYPERLINK("https://drive.google.com/file/d/1Kg-GJmyMfoFC9KpGlUiVrJhoxC_cmcJc/view?usp=drivesdk","IKA TRI SUCI  SERTIFIKAT BerAKHLAK")</f>
        <v>IKA TRI SUCI  SERTIFIKAT BerAKHLAK</v>
      </c>
      <c r="K3046" s="5" t="s">
        <v>20391</v>
      </c>
      <c r="L3046" s="5" t="s">
        <v>21280</v>
      </c>
    </row>
    <row r="3047">
      <c r="A3047" s="4">
        <v>45534.34283247685</v>
      </c>
      <c r="B3047" s="5" t="s">
        <v>34</v>
      </c>
      <c r="D3047" s="5" t="s">
        <v>12978</v>
      </c>
      <c r="E3047" s="5" t="s">
        <v>21283</v>
      </c>
      <c r="F3047" s="5" t="s">
        <v>37</v>
      </c>
      <c r="G3047" s="5" t="s">
        <v>21284</v>
      </c>
      <c r="H3047" s="6" t="s">
        <v>21285</v>
      </c>
      <c r="I3047" s="7" t="s">
        <v>21286</v>
      </c>
      <c r="J3047" s="8" t="str">
        <f>HYPERLINK("https://drive.google.com/file/d/1-jnRLCjfl3DX33kTtu76j2GuxKnLvggn/view?usp=drivesdk","RAHMAT APRIYANTO  SERTIFIKAT BerAKHLAK")</f>
        <v>RAHMAT APRIYANTO  SERTIFIKAT BerAKHLAK</v>
      </c>
      <c r="K3047" s="5" t="s">
        <v>20391</v>
      </c>
      <c r="L3047" s="5" t="s">
        <v>21287</v>
      </c>
    </row>
    <row r="3048">
      <c r="A3048" s="4">
        <v>45534.34283613426</v>
      </c>
      <c r="B3048" s="5" t="s">
        <v>34</v>
      </c>
      <c r="D3048" s="5" t="s">
        <v>15401</v>
      </c>
      <c r="E3048" s="5" t="s">
        <v>21290</v>
      </c>
      <c r="F3048" s="5" t="s">
        <v>524</v>
      </c>
      <c r="G3048" s="5" t="s">
        <v>21291</v>
      </c>
      <c r="H3048" s="6" t="s">
        <v>21292</v>
      </c>
      <c r="I3048" s="7" t="s">
        <v>21293</v>
      </c>
      <c r="J3048" s="8" t="str">
        <f>HYPERLINK("https://drive.google.com/file/d/1xFKGPEaB7lTPnMOG5gvIFZFHMoRHxWPk/view?usp=drivesdk","HENNY DOLLYN LONDANG SERTIFIKAT BerAKHLAK")</f>
        <v>HENNY DOLLYN LONDANG SERTIFIKAT BerAKHLAK</v>
      </c>
      <c r="K3048" s="5" t="s">
        <v>20391</v>
      </c>
      <c r="L3048" s="5" t="s">
        <v>21294</v>
      </c>
    </row>
    <row r="3049">
      <c r="A3049" s="4">
        <v>45534.342852511574</v>
      </c>
      <c r="B3049" s="5" t="s">
        <v>19</v>
      </c>
      <c r="C3049" s="5" t="s">
        <v>14000</v>
      </c>
      <c r="E3049" s="5" t="s">
        <v>21297</v>
      </c>
      <c r="F3049" s="5" t="s">
        <v>37</v>
      </c>
      <c r="G3049" s="5" t="s">
        <v>21298</v>
      </c>
      <c r="H3049" s="6" t="s">
        <v>21299</v>
      </c>
      <c r="I3049" s="7" t="s">
        <v>21300</v>
      </c>
      <c r="J3049" s="8" t="str">
        <f>HYPERLINK("https://drive.google.com/file/d/1j1VEfGseGjJmuyt74GyZviiwx2gU2SvV/view?usp=drivesdk","YAN FEBRYARDI  SERTIFIKAT BerAKHLAK")</f>
        <v>YAN FEBRYARDI  SERTIFIKAT BerAKHLAK</v>
      </c>
      <c r="K3049" s="5" t="s">
        <v>18691</v>
      </c>
      <c r="L3049" s="5" t="s">
        <v>21301</v>
      </c>
    </row>
    <row r="3050">
      <c r="A3050" s="4">
        <v>45534.342857870375</v>
      </c>
      <c r="B3050" s="5" t="s">
        <v>34</v>
      </c>
      <c r="D3050" s="5" t="s">
        <v>6232</v>
      </c>
      <c r="E3050" s="5" t="s">
        <v>21305</v>
      </c>
      <c r="F3050" s="5" t="s">
        <v>212</v>
      </c>
      <c r="G3050" s="5" t="s">
        <v>21306</v>
      </c>
      <c r="H3050" s="6" t="s">
        <v>21307</v>
      </c>
      <c r="I3050" s="7" t="s">
        <v>21308</v>
      </c>
      <c r="J3050" s="8" t="str">
        <f>HYPERLINK("https://drive.google.com/file/d/1Bh1NXgCM3ZUNltH-55fkH1fU51v5-sfS/view?usp=drivesdk","FITRIANI SERTIFIKAT BerAKHLAK")</f>
        <v>FITRIANI SERTIFIKAT BerAKHLAK</v>
      </c>
      <c r="K3050" s="5" t="s">
        <v>20391</v>
      </c>
      <c r="L3050" s="5" t="s">
        <v>21309</v>
      </c>
    </row>
    <row r="3051">
      <c r="A3051" s="4">
        <v>45534.34287087963</v>
      </c>
      <c r="B3051" s="5" t="s">
        <v>34</v>
      </c>
      <c r="D3051" s="5" t="s">
        <v>9020</v>
      </c>
      <c r="E3051" s="5" t="s">
        <v>21313</v>
      </c>
      <c r="F3051" s="5" t="s">
        <v>37</v>
      </c>
      <c r="G3051" s="5" t="s">
        <v>21314</v>
      </c>
      <c r="H3051" s="6" t="s">
        <v>21315</v>
      </c>
      <c r="I3051" s="7" t="s">
        <v>21316</v>
      </c>
      <c r="J3051" s="8" t="str">
        <f>HYPERLINK("https://drive.google.com/file/d/1dQr9gOv1xFmyuKhgOSKttGYxnDh22vDz/view?usp=drivesdk","Rumondang Tetty M Siahaan SERTIFIKAT BerAKHLAK")</f>
        <v>Rumondang Tetty M Siahaan SERTIFIKAT BerAKHLAK</v>
      </c>
      <c r="K3051" s="5" t="s">
        <v>20391</v>
      </c>
      <c r="L3051" s="5" t="s">
        <v>21317</v>
      </c>
    </row>
    <row r="3052">
      <c r="A3052" s="4">
        <v>45534.34287416667</v>
      </c>
      <c r="B3052" s="5" t="s">
        <v>34</v>
      </c>
      <c r="D3052" s="5" t="s">
        <v>35</v>
      </c>
      <c r="E3052" s="5" t="s">
        <v>21321</v>
      </c>
      <c r="F3052" s="5" t="s">
        <v>524</v>
      </c>
      <c r="G3052" s="5" t="s">
        <v>21322</v>
      </c>
      <c r="H3052" s="6" t="s">
        <v>21323</v>
      </c>
      <c r="I3052" s="7" t="s">
        <v>21324</v>
      </c>
      <c r="J3052" s="8" t="str">
        <f>HYPERLINK("https://drive.google.com/file/d/1n7EKSE8lYGjvzp0z6kN9IEOcXP6E0HCq/view?usp=drivesdk","ANIK RAHAYU SERTIFIKAT BerAKHLAK")</f>
        <v>ANIK RAHAYU SERTIFIKAT BerAKHLAK</v>
      </c>
      <c r="K3052" s="5" t="s">
        <v>20391</v>
      </c>
      <c r="L3052" s="5" t="s">
        <v>21325</v>
      </c>
    </row>
    <row r="3053">
      <c r="A3053" s="4">
        <v>45534.342884467595</v>
      </c>
      <c r="B3053" s="5" t="s">
        <v>34</v>
      </c>
      <c r="D3053" s="5" t="s">
        <v>522</v>
      </c>
      <c r="E3053" s="5" t="s">
        <v>21329</v>
      </c>
      <c r="F3053" s="5" t="s">
        <v>212</v>
      </c>
      <c r="G3053" s="5" t="s">
        <v>21330</v>
      </c>
      <c r="H3053" s="6" t="s">
        <v>21331</v>
      </c>
      <c r="K3053" s="5" t="s">
        <v>21332</v>
      </c>
    </row>
    <row r="3054">
      <c r="A3054" s="4">
        <v>45534.34288571759</v>
      </c>
      <c r="B3054" s="5" t="s">
        <v>34</v>
      </c>
      <c r="D3054" s="5" t="s">
        <v>10444</v>
      </c>
      <c r="E3054" s="5" t="s">
        <v>21336</v>
      </c>
      <c r="F3054" s="5" t="s">
        <v>37</v>
      </c>
      <c r="G3054" s="5" t="s">
        <v>21337</v>
      </c>
      <c r="H3054" s="6" t="s">
        <v>21338</v>
      </c>
      <c r="K3054" s="5" t="s">
        <v>21332</v>
      </c>
    </row>
    <row r="3055">
      <c r="A3055" s="4">
        <v>45534.34290054398</v>
      </c>
      <c r="B3055" s="5" t="s">
        <v>34</v>
      </c>
      <c r="D3055" s="5" t="s">
        <v>9020</v>
      </c>
      <c r="E3055" s="5" t="s">
        <v>21342</v>
      </c>
      <c r="F3055" s="5" t="s">
        <v>108</v>
      </c>
      <c r="G3055" s="5" t="s">
        <v>21343</v>
      </c>
      <c r="H3055" s="6" t="s">
        <v>21344</v>
      </c>
      <c r="I3055" s="7" t="s">
        <v>21345</v>
      </c>
      <c r="J3055" s="8" t="str">
        <f>HYPERLINK("https://drive.google.com/file/d/1HGfyeedXg46Z7qVOAd_Pr5x9fA2PO1Mw/view?usp=drivesdk","ELI ULASTRI SERTIFIKAT BerAKHLAK")</f>
        <v>ELI ULASTRI SERTIFIKAT BerAKHLAK</v>
      </c>
      <c r="K3055" s="5" t="s">
        <v>20391</v>
      </c>
      <c r="L3055" s="5" t="s">
        <v>21346</v>
      </c>
    </row>
    <row r="3056">
      <c r="A3056" s="4">
        <v>45534.34290221064</v>
      </c>
      <c r="B3056" s="5" t="s">
        <v>19</v>
      </c>
      <c r="C3056" s="5" t="s">
        <v>466</v>
      </c>
      <c r="E3056" s="5" t="s">
        <v>21350</v>
      </c>
      <c r="F3056" s="5" t="s">
        <v>524</v>
      </c>
      <c r="G3056" s="5" t="s">
        <v>21351</v>
      </c>
      <c r="H3056" s="6" t="s">
        <v>21352</v>
      </c>
      <c r="I3056" s="7" t="s">
        <v>21353</v>
      </c>
      <c r="J3056" s="8" t="str">
        <f>HYPERLINK("https://drive.google.com/file/d/1Pjd9AkzTQSOIrJ2sXp8SYddZProf4RNJ/view?usp=drivesdk","MUHAMMAD NURSYEHA SERTIFIKAT BerAKHLAK")</f>
        <v>MUHAMMAD NURSYEHA SERTIFIKAT BerAKHLAK</v>
      </c>
      <c r="K3056" s="5" t="s">
        <v>20391</v>
      </c>
      <c r="L3056" s="5" t="s">
        <v>21354</v>
      </c>
    </row>
    <row r="3057">
      <c r="A3057" s="4">
        <v>45534.34291760417</v>
      </c>
      <c r="B3057" s="5" t="s">
        <v>34</v>
      </c>
      <c r="D3057" s="5" t="s">
        <v>1206</v>
      </c>
      <c r="E3057" s="5" t="s">
        <v>21358</v>
      </c>
      <c r="F3057" s="5" t="s">
        <v>37</v>
      </c>
      <c r="G3057" s="5" t="s">
        <v>21359</v>
      </c>
      <c r="H3057" s="6" t="s">
        <v>21360</v>
      </c>
      <c r="I3057" s="7" t="s">
        <v>21361</v>
      </c>
      <c r="J3057" s="8" t="str">
        <f>HYPERLINK("https://drive.google.com/file/d/1UOO2TvFZMZThTP_tjxh1kY0-Rtm1fdxF/view?usp=drivesdk","SUSIATI SERTIFIKAT BerAKHLAK")</f>
        <v>SUSIATI SERTIFIKAT BerAKHLAK</v>
      </c>
      <c r="K3057" s="5" t="s">
        <v>18691</v>
      </c>
      <c r="L3057" s="5" t="s">
        <v>21362</v>
      </c>
    </row>
    <row r="3058">
      <c r="A3058" s="4">
        <v>45534.342919097224</v>
      </c>
      <c r="B3058" s="5" t="s">
        <v>34</v>
      </c>
      <c r="D3058" s="5" t="s">
        <v>35</v>
      </c>
      <c r="E3058" s="5" t="s">
        <v>21366</v>
      </c>
      <c r="F3058" s="5" t="s">
        <v>524</v>
      </c>
      <c r="G3058" s="5" t="s">
        <v>21367</v>
      </c>
      <c r="H3058" s="6" t="s">
        <v>21368</v>
      </c>
      <c r="I3058" s="7" t="s">
        <v>21369</v>
      </c>
      <c r="J3058" s="8" t="str">
        <f>HYPERLINK("https://drive.google.com/file/d/1eHV45DbhCX4WAkxO8kQWNR2boRncmu8M/view?usp=drivesdk","TATANG SUTISNA SERTIFIKAT BerAKHLAK")</f>
        <v>TATANG SUTISNA SERTIFIKAT BerAKHLAK</v>
      </c>
      <c r="K3058" s="5" t="s">
        <v>20391</v>
      </c>
      <c r="L3058" s="5" t="s">
        <v>21370</v>
      </c>
    </row>
    <row r="3059">
      <c r="A3059" s="4">
        <v>45534.342921550924</v>
      </c>
      <c r="B3059" s="5" t="s">
        <v>34</v>
      </c>
      <c r="D3059" s="5" t="s">
        <v>1206</v>
      </c>
      <c r="E3059" s="5" t="s">
        <v>21374</v>
      </c>
      <c r="F3059" s="5" t="s">
        <v>328</v>
      </c>
      <c r="G3059" s="5" t="s">
        <v>21375</v>
      </c>
      <c r="H3059" s="6" t="s">
        <v>21376</v>
      </c>
      <c r="I3059" s="7" t="s">
        <v>21377</v>
      </c>
      <c r="J3059" s="8" t="str">
        <f>HYPERLINK("https://drive.google.com/file/d/1BofehexRCdKsVEC4bvHspfeCZBopa5-V/view?usp=drivesdk","SUDIONO SERTIFIKAT BerAKHLAK")</f>
        <v>SUDIONO SERTIFIKAT BerAKHLAK</v>
      </c>
      <c r="K3059" s="5" t="s">
        <v>20391</v>
      </c>
      <c r="L3059" s="5" t="s">
        <v>21378</v>
      </c>
    </row>
    <row r="3060">
      <c r="A3060" s="4">
        <v>45534.34292322917</v>
      </c>
      <c r="B3060" s="5" t="s">
        <v>34</v>
      </c>
      <c r="D3060" s="5" t="s">
        <v>3432</v>
      </c>
      <c r="E3060" s="5" t="s">
        <v>21382</v>
      </c>
      <c r="F3060" s="5" t="s">
        <v>524</v>
      </c>
      <c r="G3060" s="5" t="s">
        <v>21383</v>
      </c>
      <c r="H3060" s="6" t="s">
        <v>21384</v>
      </c>
      <c r="I3060" s="7" t="s">
        <v>21385</v>
      </c>
      <c r="J3060" s="8" t="str">
        <f>HYPERLINK("https://drive.google.com/file/d/11eaurBWHHAj1XSGATOAKgOcFpllIQVGA/view?usp=drivesdk","LILY SURYANI SERTIFIKAT BerAKHLAK")</f>
        <v>LILY SURYANI SERTIFIKAT BerAKHLAK</v>
      </c>
      <c r="K3060" s="5" t="s">
        <v>20391</v>
      </c>
      <c r="L3060" s="5" t="s">
        <v>21386</v>
      </c>
    </row>
    <row r="3061">
      <c r="A3061" s="4">
        <v>45534.342933692125</v>
      </c>
      <c r="B3061" s="5" t="s">
        <v>34</v>
      </c>
      <c r="D3061" s="5" t="s">
        <v>12010</v>
      </c>
      <c r="E3061" s="5" t="s">
        <v>21390</v>
      </c>
      <c r="F3061" s="5" t="s">
        <v>72</v>
      </c>
      <c r="G3061" s="5" t="s">
        <v>21391</v>
      </c>
      <c r="H3061" s="6" t="s">
        <v>21392</v>
      </c>
      <c r="I3061" s="7" t="s">
        <v>21393</v>
      </c>
      <c r="J3061" s="8" t="str">
        <f>HYPERLINK("https://drive.google.com/file/d/1zTuH8CrOybABHRlxdynLg9N33I2UNrYw/view?usp=drivesdk","ADE SHANTY KATILI SERTIFIKAT BerAKHLAK")</f>
        <v>ADE SHANTY KATILI SERTIFIKAT BerAKHLAK</v>
      </c>
      <c r="K3061" s="5" t="s">
        <v>20391</v>
      </c>
      <c r="L3061" s="5" t="s">
        <v>21394</v>
      </c>
    </row>
    <row r="3062">
      <c r="A3062" s="4">
        <v>45534.342935266206</v>
      </c>
      <c r="B3062" s="5" t="s">
        <v>34</v>
      </c>
      <c r="D3062" s="5" t="s">
        <v>4775</v>
      </c>
      <c r="E3062" s="5" t="s">
        <v>21398</v>
      </c>
      <c r="F3062" s="5" t="s">
        <v>37</v>
      </c>
      <c r="G3062" s="5" t="s">
        <v>21399</v>
      </c>
      <c r="H3062" s="6" t="s">
        <v>21400</v>
      </c>
      <c r="I3062" s="7" t="s">
        <v>21401</v>
      </c>
      <c r="J3062" s="8" t="str">
        <f>HYPERLINK("https://drive.google.com/file/d/1cWHKiCwBwEudmLkgS3cT6rQwFMdzA09f/view?usp=drivesdk","SARIMAN SERTIFIKAT BerAKHLAK")</f>
        <v>SARIMAN SERTIFIKAT BerAKHLAK</v>
      </c>
      <c r="K3062" s="5" t="s">
        <v>20391</v>
      </c>
      <c r="L3062" s="5" t="s">
        <v>21402</v>
      </c>
    </row>
    <row r="3063">
      <c r="A3063" s="4">
        <v>45534.34293547454</v>
      </c>
      <c r="B3063" s="5" t="s">
        <v>34</v>
      </c>
      <c r="D3063" s="5" t="s">
        <v>9020</v>
      </c>
      <c r="E3063" s="5" t="s">
        <v>21406</v>
      </c>
      <c r="F3063" s="5" t="s">
        <v>72</v>
      </c>
      <c r="G3063" s="5" t="s">
        <v>21407</v>
      </c>
      <c r="H3063" s="6" t="s">
        <v>21408</v>
      </c>
      <c r="I3063" s="7" t="s">
        <v>21409</v>
      </c>
      <c r="J3063" s="8" t="str">
        <f>HYPERLINK("https://drive.google.com/file/d/1BNpsLEvZk04wWsPmKUjVUnujzHTk7TQW/view?usp=drivesdk","MEI KRISTINA SERTIFIKAT BerAKHLAK")</f>
        <v>MEI KRISTINA SERTIFIKAT BerAKHLAK</v>
      </c>
      <c r="K3063" s="5" t="s">
        <v>20391</v>
      </c>
      <c r="L3063" s="5" t="s">
        <v>21410</v>
      </c>
    </row>
    <row r="3064">
      <c r="A3064" s="4">
        <v>45534.3429365162</v>
      </c>
      <c r="B3064" s="5" t="s">
        <v>34</v>
      </c>
      <c r="D3064" s="5" t="s">
        <v>1206</v>
      </c>
      <c r="E3064" s="5" t="s">
        <v>21414</v>
      </c>
      <c r="F3064" s="5" t="s">
        <v>37</v>
      </c>
      <c r="G3064" s="5" t="s">
        <v>21415</v>
      </c>
      <c r="H3064" s="6" t="s">
        <v>21416</v>
      </c>
      <c r="I3064" s="7" t="s">
        <v>21417</v>
      </c>
      <c r="J3064" s="8" t="str">
        <f>HYPERLINK("https://drive.google.com/file/d/1IUWvarHlMoJ3wNkgTZyl2qbicW5R6eW_/view?usp=drivesdk","NUR HESTI HAIRI UTOMO, A.MD.KEP SERTIFIKAT BerAKHLAK")</f>
        <v>NUR HESTI HAIRI UTOMO, A.MD.KEP SERTIFIKAT BerAKHLAK</v>
      </c>
      <c r="K3064" s="5" t="s">
        <v>20391</v>
      </c>
      <c r="L3064" s="5" t="s">
        <v>21418</v>
      </c>
    </row>
    <row r="3065">
      <c r="A3065" s="4">
        <v>45534.34294346065</v>
      </c>
      <c r="B3065" s="5" t="s">
        <v>34</v>
      </c>
      <c r="D3065" s="5" t="s">
        <v>1206</v>
      </c>
      <c r="E3065" s="5" t="s">
        <v>21422</v>
      </c>
      <c r="F3065" s="5" t="s">
        <v>199</v>
      </c>
      <c r="G3065" s="5" t="s">
        <v>21423</v>
      </c>
      <c r="H3065" s="6" t="s">
        <v>21424</v>
      </c>
      <c r="I3065" s="7" t="s">
        <v>21425</v>
      </c>
      <c r="J3065" s="8" t="str">
        <f>HYPERLINK("https://drive.google.com/file/d/1nAqHv-QzHUgl4P6o7bx5tN5ptr0X1P-N/view?usp=drivesdk","ULFIYAH, S. E.  SERTIFIKAT BerAKHLAK")</f>
        <v>ULFIYAH, S. E.  SERTIFIKAT BerAKHLAK</v>
      </c>
      <c r="K3065" s="5" t="s">
        <v>21426</v>
      </c>
      <c r="L3065" s="5" t="s">
        <v>21427</v>
      </c>
    </row>
    <row r="3066">
      <c r="A3066" s="4">
        <v>45534.342953680556</v>
      </c>
      <c r="B3066" s="5" t="s">
        <v>34</v>
      </c>
      <c r="D3066" s="5" t="s">
        <v>522</v>
      </c>
      <c r="E3066" s="5" t="s">
        <v>21431</v>
      </c>
      <c r="F3066" s="5" t="s">
        <v>715</v>
      </c>
      <c r="G3066" s="5" t="s">
        <v>21432</v>
      </c>
      <c r="H3066" s="6" t="s">
        <v>21433</v>
      </c>
      <c r="I3066" s="7" t="s">
        <v>21434</v>
      </c>
      <c r="J3066" s="8" t="str">
        <f>HYPERLINK("https://drive.google.com/file/d/13JSearYUC2fM1dJTa6zrkLG31zSwx_ne/view?usp=drivesdk","FAUJIAH, AMK SERTIFIKAT BerAKHLAK")</f>
        <v>FAUJIAH, AMK SERTIFIKAT BerAKHLAK</v>
      </c>
      <c r="K3066" s="5" t="s">
        <v>20391</v>
      </c>
      <c r="L3066" s="5" t="s">
        <v>21435</v>
      </c>
    </row>
    <row r="3067">
      <c r="A3067" s="4">
        <v>45534.34295542824</v>
      </c>
      <c r="B3067" s="5" t="s">
        <v>19</v>
      </c>
      <c r="C3067" s="5" t="s">
        <v>292</v>
      </c>
      <c r="E3067" s="5" t="s">
        <v>21439</v>
      </c>
      <c r="F3067" s="5" t="s">
        <v>212</v>
      </c>
      <c r="G3067" s="5" t="s">
        <v>21440</v>
      </c>
      <c r="H3067" s="6" t="s">
        <v>21441</v>
      </c>
      <c r="I3067" s="7" t="s">
        <v>21442</v>
      </c>
      <c r="J3067" s="8" t="str">
        <f>HYPERLINK("https://drive.google.com/file/d/1LvRV-Ok5U3N1fiMJFLV29j59E3UEj67O/view?usp=drivesdk","ENDARWATI SERTIFIKAT BerAKHLAK")</f>
        <v>ENDARWATI SERTIFIKAT BerAKHLAK</v>
      </c>
      <c r="K3067" s="5" t="s">
        <v>20391</v>
      </c>
      <c r="L3067" s="5" t="s">
        <v>21443</v>
      </c>
    </row>
    <row r="3068">
      <c r="A3068" s="4">
        <v>45534.34296025463</v>
      </c>
      <c r="B3068" s="5" t="s">
        <v>34</v>
      </c>
      <c r="D3068" s="5" t="s">
        <v>4775</v>
      </c>
      <c r="E3068" s="5" t="s">
        <v>21447</v>
      </c>
      <c r="F3068" s="5" t="s">
        <v>524</v>
      </c>
      <c r="G3068" s="5" t="s">
        <v>21448</v>
      </c>
      <c r="H3068" s="6" t="s">
        <v>21449</v>
      </c>
      <c r="K3068" s="5" t="s">
        <v>21450</v>
      </c>
    </row>
    <row r="3069">
      <c r="A3069" s="4">
        <v>45534.34296591435</v>
      </c>
      <c r="B3069" s="5" t="s">
        <v>34</v>
      </c>
      <c r="D3069" s="5" t="s">
        <v>1206</v>
      </c>
      <c r="E3069" s="5" t="s">
        <v>21454</v>
      </c>
      <c r="F3069" s="5" t="s">
        <v>212</v>
      </c>
      <c r="G3069" s="5" t="s">
        <v>21455</v>
      </c>
      <c r="H3069" s="6" t="s">
        <v>21456</v>
      </c>
      <c r="K3069" s="5" t="s">
        <v>21450</v>
      </c>
    </row>
    <row r="3070">
      <c r="A3070" s="4">
        <v>45534.342966944445</v>
      </c>
      <c r="B3070" s="5" t="s">
        <v>34</v>
      </c>
      <c r="D3070" s="5" t="s">
        <v>4775</v>
      </c>
      <c r="E3070" s="5" t="s">
        <v>21460</v>
      </c>
      <c r="F3070" s="5" t="s">
        <v>212</v>
      </c>
      <c r="G3070" s="5" t="s">
        <v>21461</v>
      </c>
      <c r="H3070" s="6" t="s">
        <v>21462</v>
      </c>
      <c r="K3070" s="5" t="s">
        <v>21450</v>
      </c>
    </row>
    <row r="3071">
      <c r="A3071" s="4">
        <v>45534.34297675926</v>
      </c>
      <c r="B3071" s="5" t="s">
        <v>34</v>
      </c>
      <c r="D3071" s="5" t="s">
        <v>1206</v>
      </c>
      <c r="E3071" s="5" t="s">
        <v>21466</v>
      </c>
      <c r="F3071" s="5" t="s">
        <v>5859</v>
      </c>
      <c r="G3071" s="5" t="s">
        <v>21467</v>
      </c>
      <c r="H3071" s="6" t="s">
        <v>21468</v>
      </c>
      <c r="K3071" s="5" t="s">
        <v>21450</v>
      </c>
    </row>
    <row r="3072">
      <c r="A3072" s="4">
        <v>45534.34297701389</v>
      </c>
      <c r="B3072" s="5" t="s">
        <v>34</v>
      </c>
      <c r="D3072" s="5" t="s">
        <v>1206</v>
      </c>
      <c r="E3072" s="5" t="s">
        <v>21472</v>
      </c>
      <c r="F3072" s="5" t="s">
        <v>212</v>
      </c>
      <c r="G3072" s="5" t="s">
        <v>21473</v>
      </c>
      <c r="H3072" s="6" t="s">
        <v>21474</v>
      </c>
      <c r="I3072" s="7" t="s">
        <v>21475</v>
      </c>
      <c r="J3072" s="8" t="str">
        <f>HYPERLINK("https://drive.google.com/file/d/1VYiInd5KuB53xMxq4Yk6ChNPhgkboIRR/view?usp=drivesdk","MOH. ANDANI SERTIFIKAT BerAKHLAK")</f>
        <v>MOH. ANDANI SERTIFIKAT BerAKHLAK</v>
      </c>
      <c r="K3072" s="5" t="s">
        <v>20391</v>
      </c>
      <c r="L3072" s="5" t="s">
        <v>21476</v>
      </c>
    </row>
    <row r="3073">
      <c r="A3073" s="4">
        <v>45534.34297875</v>
      </c>
      <c r="B3073" s="5" t="s">
        <v>34</v>
      </c>
      <c r="D3073" s="5" t="s">
        <v>1558</v>
      </c>
      <c r="E3073" s="5" t="s">
        <v>21480</v>
      </c>
      <c r="F3073" s="5" t="s">
        <v>108</v>
      </c>
      <c r="G3073" s="5" t="s">
        <v>21481</v>
      </c>
      <c r="H3073" s="6" t="s">
        <v>21482</v>
      </c>
      <c r="I3073" s="7" t="s">
        <v>21483</v>
      </c>
      <c r="J3073" s="8" t="str">
        <f>HYPERLINK("https://drive.google.com/file/d/1LQkws5BKmRljVMz6r4DIAgagd-nYVCjO/view?usp=drivesdk","FAUZIAH, A. Md SERTIFIKAT BerAKHLAK")</f>
        <v>FAUZIAH, A. Md SERTIFIKAT BerAKHLAK</v>
      </c>
      <c r="K3073" s="5" t="s">
        <v>20391</v>
      </c>
      <c r="L3073" s="5" t="s">
        <v>21484</v>
      </c>
    </row>
    <row r="3074">
      <c r="A3074" s="4">
        <v>45534.34298556713</v>
      </c>
      <c r="B3074" s="5" t="s">
        <v>34</v>
      </c>
      <c r="D3074" s="5" t="s">
        <v>3849</v>
      </c>
      <c r="E3074" s="5" t="s">
        <v>21488</v>
      </c>
      <c r="F3074" s="5" t="s">
        <v>37</v>
      </c>
      <c r="G3074" s="5" t="s">
        <v>21489</v>
      </c>
      <c r="H3074" s="6" t="s">
        <v>21490</v>
      </c>
      <c r="K3074" s="5" t="s">
        <v>21491</v>
      </c>
    </row>
    <row r="3075">
      <c r="A3075" s="4">
        <v>45534.34300032408</v>
      </c>
      <c r="B3075" s="5" t="s">
        <v>34</v>
      </c>
      <c r="D3075" s="5" t="s">
        <v>35</v>
      </c>
      <c r="E3075" s="5" t="s">
        <v>21495</v>
      </c>
      <c r="F3075" s="5" t="s">
        <v>524</v>
      </c>
      <c r="G3075" s="5" t="s">
        <v>21496</v>
      </c>
      <c r="H3075" s="6" t="s">
        <v>21497</v>
      </c>
      <c r="K3075" s="5" t="s">
        <v>21491</v>
      </c>
    </row>
    <row r="3076">
      <c r="A3076" s="4">
        <v>45534.34300046296</v>
      </c>
      <c r="B3076" s="5" t="s">
        <v>34</v>
      </c>
      <c r="D3076" s="5" t="s">
        <v>10444</v>
      </c>
      <c r="E3076" s="5" t="s">
        <v>21501</v>
      </c>
      <c r="F3076" s="5" t="s">
        <v>72</v>
      </c>
      <c r="G3076" s="5" t="s">
        <v>21502</v>
      </c>
      <c r="H3076" s="6" t="s">
        <v>21503</v>
      </c>
      <c r="K3076" s="5" t="s">
        <v>21491</v>
      </c>
    </row>
    <row r="3077">
      <c r="A3077" s="4">
        <v>45534.34300594908</v>
      </c>
      <c r="B3077" s="5" t="s">
        <v>34</v>
      </c>
      <c r="D3077" s="5" t="s">
        <v>701</v>
      </c>
      <c r="E3077" s="5" t="s">
        <v>21507</v>
      </c>
      <c r="F3077" s="5" t="s">
        <v>108</v>
      </c>
      <c r="G3077" s="5" t="s">
        <v>21508</v>
      </c>
      <c r="H3077" s="6" t="s">
        <v>21509</v>
      </c>
      <c r="K3077" s="5" t="s">
        <v>21491</v>
      </c>
    </row>
    <row r="3078">
      <c r="A3078" s="4">
        <v>45534.34302137731</v>
      </c>
      <c r="B3078" s="5" t="s">
        <v>34</v>
      </c>
      <c r="D3078" s="5" t="s">
        <v>4775</v>
      </c>
      <c r="E3078" s="5" t="s">
        <v>21513</v>
      </c>
      <c r="F3078" s="5" t="s">
        <v>37</v>
      </c>
      <c r="G3078" s="5" t="s">
        <v>21514</v>
      </c>
      <c r="H3078" s="6" t="s">
        <v>21515</v>
      </c>
      <c r="I3078" s="7" t="s">
        <v>21516</v>
      </c>
      <c r="J3078" s="8" t="str">
        <f>HYPERLINK("https://drive.google.com/file/d/1qY9lciUE04CPvrSiEQX-zuLF4qKpRvey/view?usp=drivesdk","AKHMAD JAELANI SERTIFIKAT BerAKHLAK")</f>
        <v>AKHMAD JAELANI SERTIFIKAT BerAKHLAK</v>
      </c>
      <c r="K3078" s="5" t="s">
        <v>20391</v>
      </c>
      <c r="L3078" s="5" t="s">
        <v>21517</v>
      </c>
    </row>
    <row r="3079">
      <c r="A3079" s="4">
        <v>45534.34302986111</v>
      </c>
      <c r="B3079" s="5" t="s">
        <v>34</v>
      </c>
      <c r="D3079" s="5" t="s">
        <v>1768</v>
      </c>
      <c r="E3079" s="5" t="s">
        <v>21521</v>
      </c>
      <c r="F3079" s="5" t="s">
        <v>212</v>
      </c>
      <c r="G3079" s="5" t="s">
        <v>21522</v>
      </c>
      <c r="H3079" s="6" t="s">
        <v>21523</v>
      </c>
      <c r="I3079" s="7" t="s">
        <v>21524</v>
      </c>
      <c r="J3079" s="8" t="str">
        <f>HYPERLINK("https://drive.google.com/file/d/1fYVP5eJsgmGcnTzmtY1QMaWK0MoL7hLj/view?usp=drivesdk","SUPIYATI SERTIFIKAT BerAKHLAK")</f>
        <v>SUPIYATI SERTIFIKAT BerAKHLAK</v>
      </c>
      <c r="K3079" s="5" t="s">
        <v>20391</v>
      </c>
      <c r="L3079" s="5" t="s">
        <v>21525</v>
      </c>
    </row>
    <row r="3080">
      <c r="A3080" s="4">
        <v>45534.343038692125</v>
      </c>
      <c r="B3080" s="5" t="s">
        <v>34</v>
      </c>
      <c r="D3080" s="5" t="s">
        <v>1206</v>
      </c>
      <c r="E3080" s="5" t="s">
        <v>21529</v>
      </c>
      <c r="F3080" s="5" t="s">
        <v>212</v>
      </c>
      <c r="G3080" s="5" t="s">
        <v>21530</v>
      </c>
      <c r="H3080" s="6" t="s">
        <v>21531</v>
      </c>
      <c r="I3080" s="7" t="s">
        <v>21532</v>
      </c>
      <c r="J3080" s="8" t="str">
        <f>HYPERLINK("https://drive.google.com/file/d/18_eH09DSjzmQLfI_TUohWHO6fWODqubK/view?usp=drivesdk","NUR ALI NUGROHO SERTIFIKAT BerAKHLAK")</f>
        <v>NUR ALI NUGROHO SERTIFIKAT BerAKHLAK</v>
      </c>
      <c r="K3080" s="5" t="s">
        <v>20391</v>
      </c>
      <c r="L3080" s="5" t="s">
        <v>21533</v>
      </c>
    </row>
    <row r="3081">
      <c r="A3081" s="4">
        <v>45534.34305564815</v>
      </c>
      <c r="B3081" s="5" t="s">
        <v>34</v>
      </c>
      <c r="D3081" s="5" t="s">
        <v>7858</v>
      </c>
      <c r="E3081" s="5" t="s">
        <v>21537</v>
      </c>
      <c r="F3081" s="5" t="s">
        <v>524</v>
      </c>
      <c r="G3081" s="5" t="s">
        <v>21538</v>
      </c>
      <c r="H3081" s="6" t="s">
        <v>21539</v>
      </c>
      <c r="K3081" s="5" t="s">
        <v>21540</v>
      </c>
    </row>
    <row r="3082">
      <c r="A3082" s="4">
        <v>45534.343056134254</v>
      </c>
      <c r="B3082" s="5" t="s">
        <v>34</v>
      </c>
      <c r="D3082" s="5" t="s">
        <v>522</v>
      </c>
      <c r="E3082" s="5" t="s">
        <v>21544</v>
      </c>
      <c r="F3082" s="5" t="s">
        <v>375</v>
      </c>
      <c r="G3082" s="5" t="s">
        <v>21545</v>
      </c>
      <c r="H3082" s="6" t="s">
        <v>21546</v>
      </c>
      <c r="K3082" s="5" t="s">
        <v>21540</v>
      </c>
    </row>
    <row r="3083">
      <c r="A3083" s="4">
        <v>45534.34305938658</v>
      </c>
      <c r="B3083" s="5" t="s">
        <v>34</v>
      </c>
      <c r="D3083" s="5" t="s">
        <v>4775</v>
      </c>
      <c r="E3083" s="5" t="s">
        <v>21550</v>
      </c>
      <c r="F3083" s="5" t="s">
        <v>199</v>
      </c>
      <c r="G3083" s="5" t="s">
        <v>21551</v>
      </c>
      <c r="H3083" s="6" t="s">
        <v>21552</v>
      </c>
      <c r="K3083" s="5" t="s">
        <v>21540</v>
      </c>
    </row>
    <row r="3084">
      <c r="A3084" s="4">
        <v>45534.34306925926</v>
      </c>
      <c r="B3084" s="5" t="s">
        <v>34</v>
      </c>
      <c r="D3084" s="5" t="s">
        <v>4775</v>
      </c>
      <c r="E3084" s="5" t="s">
        <v>21556</v>
      </c>
      <c r="F3084" s="5" t="s">
        <v>212</v>
      </c>
      <c r="G3084" s="5" t="s">
        <v>21557</v>
      </c>
      <c r="H3084" s="6" t="s">
        <v>21558</v>
      </c>
      <c r="I3084" s="7" t="s">
        <v>21559</v>
      </c>
      <c r="J3084" s="8" t="str">
        <f>HYPERLINK("https://drive.google.com/file/d/1MfVl3eCjRlAsv2S7cR1I2kEB2OdqMQDu/view?usp=drivesdk","ASTY TRIANDINI,AMd Keb SERTIFIKAT BerAKHLAK")</f>
        <v>ASTY TRIANDINI,AMd Keb SERTIFIKAT BerAKHLAK</v>
      </c>
      <c r="K3084" s="5" t="s">
        <v>20391</v>
      </c>
      <c r="L3084" s="5" t="s">
        <v>21560</v>
      </c>
    </row>
    <row r="3085">
      <c r="A3085" s="4">
        <v>45534.343070717594</v>
      </c>
      <c r="B3085" s="5" t="s">
        <v>34</v>
      </c>
      <c r="D3085" s="5" t="s">
        <v>1206</v>
      </c>
      <c r="E3085" s="5" t="s">
        <v>21564</v>
      </c>
      <c r="F3085" s="5" t="s">
        <v>375</v>
      </c>
      <c r="G3085" s="5" t="s">
        <v>21565</v>
      </c>
      <c r="H3085" s="6" t="s">
        <v>21566</v>
      </c>
      <c r="I3085" s="7" t="s">
        <v>21567</v>
      </c>
      <c r="J3085" s="8" t="str">
        <f>HYPERLINK("https://drive.google.com/file/d/1kZsb6_wPQ7l2ynCY3oS0N6mEvEvyzeAo/view?usp=drivesdk","DWI ANA SASVIYANI. S.Psi SERTIFIKAT BerAKHLAK")</f>
        <v>DWI ANA SASVIYANI. S.Psi SERTIFIKAT BerAKHLAK</v>
      </c>
      <c r="K3085" s="5" t="s">
        <v>20391</v>
      </c>
      <c r="L3085" s="5" t="s">
        <v>21568</v>
      </c>
    </row>
    <row r="3086">
      <c r="A3086" s="4">
        <v>45534.343071724536</v>
      </c>
      <c r="B3086" s="5" t="s">
        <v>34</v>
      </c>
      <c r="D3086" s="5" t="s">
        <v>1456</v>
      </c>
      <c r="E3086" s="5" t="s">
        <v>21572</v>
      </c>
      <c r="F3086" s="5" t="s">
        <v>108</v>
      </c>
      <c r="G3086" s="5" t="s">
        <v>21573</v>
      </c>
      <c r="H3086" s="6" t="s">
        <v>21574</v>
      </c>
      <c r="I3086" s="7" t="s">
        <v>21575</v>
      </c>
      <c r="J3086" s="8" t="str">
        <f>HYPERLINK("https://drive.google.com/file/d/1iT1ODZ7qsdFmH22tU10AFyH2dZXgsW2W/view?usp=drivesdk","YULI AFRIANI, S.E SERTIFIKAT BerAKHLAK")</f>
        <v>YULI AFRIANI, S.E SERTIFIKAT BerAKHLAK</v>
      </c>
      <c r="K3086" s="5" t="s">
        <v>21426</v>
      </c>
      <c r="L3086" s="5" t="s">
        <v>21576</v>
      </c>
    </row>
    <row r="3087">
      <c r="A3087" s="4">
        <v>45534.34308153935</v>
      </c>
      <c r="B3087" s="5" t="s">
        <v>34</v>
      </c>
      <c r="D3087" s="5" t="s">
        <v>975</v>
      </c>
      <c r="E3087" s="5" t="s">
        <v>21580</v>
      </c>
      <c r="F3087" s="5" t="s">
        <v>108</v>
      </c>
      <c r="G3087" s="5" t="s">
        <v>21581</v>
      </c>
      <c r="H3087" s="6" t="s">
        <v>21582</v>
      </c>
      <c r="K3087" s="5" t="s">
        <v>21583</v>
      </c>
    </row>
    <row r="3088">
      <c r="A3088" s="4">
        <v>45534.34308357639</v>
      </c>
      <c r="B3088" s="5" t="s">
        <v>19</v>
      </c>
      <c r="C3088" s="5" t="s">
        <v>292</v>
      </c>
      <c r="E3088" s="5" t="s">
        <v>21587</v>
      </c>
      <c r="F3088" s="5" t="s">
        <v>37</v>
      </c>
      <c r="G3088" s="5" t="s">
        <v>21588</v>
      </c>
      <c r="H3088" s="6" t="s">
        <v>21589</v>
      </c>
      <c r="K3088" s="5" t="s">
        <v>21583</v>
      </c>
    </row>
    <row r="3089">
      <c r="A3089" s="4">
        <v>45534.34308381945</v>
      </c>
      <c r="B3089" s="5" t="s">
        <v>34</v>
      </c>
      <c r="D3089" s="5" t="s">
        <v>1206</v>
      </c>
      <c r="E3089" s="5" t="s">
        <v>21593</v>
      </c>
      <c r="F3089" s="5" t="s">
        <v>37</v>
      </c>
      <c r="G3089" s="5" t="s">
        <v>21594</v>
      </c>
      <c r="H3089" s="6" t="s">
        <v>21595</v>
      </c>
      <c r="K3089" s="5" t="s">
        <v>21583</v>
      </c>
    </row>
    <row r="3090">
      <c r="A3090" s="4">
        <v>45534.34309137732</v>
      </c>
      <c r="B3090" s="5" t="s">
        <v>34</v>
      </c>
      <c r="D3090" s="5" t="s">
        <v>9020</v>
      </c>
      <c r="E3090" s="5" t="s">
        <v>21599</v>
      </c>
      <c r="F3090" s="5" t="s">
        <v>108</v>
      </c>
      <c r="G3090" s="5" t="s">
        <v>21600</v>
      </c>
      <c r="H3090" s="6" t="s">
        <v>21601</v>
      </c>
      <c r="I3090" s="7" t="s">
        <v>21602</v>
      </c>
      <c r="J3090" s="8" t="str">
        <f>HYPERLINK("https://drive.google.com/file/d/1gxT5bTNo6Xn3rxPi5xo7GnfoFoE3f7hk/view?usp=drivesdk","POLMAN SIRAIT SERTIFIKAT BerAKHLAK")</f>
        <v>POLMAN SIRAIT SERTIFIKAT BerAKHLAK</v>
      </c>
      <c r="K3090" s="5" t="s">
        <v>20391</v>
      </c>
      <c r="L3090" s="5" t="s">
        <v>21603</v>
      </c>
    </row>
    <row r="3091">
      <c r="A3091" s="4">
        <v>45534.34309928241</v>
      </c>
      <c r="B3091" s="5" t="s">
        <v>19</v>
      </c>
      <c r="C3091" s="5" t="s">
        <v>3301</v>
      </c>
      <c r="E3091" s="5" t="s">
        <v>21607</v>
      </c>
      <c r="F3091" s="5" t="s">
        <v>120</v>
      </c>
      <c r="G3091" s="5" t="s">
        <v>21608</v>
      </c>
      <c r="H3091" s="6" t="s">
        <v>21609</v>
      </c>
      <c r="I3091" s="7" t="s">
        <v>21610</v>
      </c>
      <c r="J3091" s="8" t="str">
        <f>HYPERLINK("https://drive.google.com/file/d/1Z5z0u3EJ2g9PeYUVi5E9TgNsDc_DPkNd/view?usp=drivesdk","dr.Veronika Eppana Silaen SERTIFIKAT BerAKHLAK")</f>
        <v>dr.Veronika Eppana Silaen SERTIFIKAT BerAKHLAK</v>
      </c>
      <c r="K3091" s="5" t="s">
        <v>20391</v>
      </c>
      <c r="L3091" s="5" t="s">
        <v>21611</v>
      </c>
    </row>
    <row r="3092">
      <c r="A3092" s="4">
        <v>45534.34310731481</v>
      </c>
      <c r="B3092" s="5" t="s">
        <v>34</v>
      </c>
      <c r="D3092" s="5" t="s">
        <v>9020</v>
      </c>
      <c r="E3092" s="5" t="s">
        <v>21615</v>
      </c>
      <c r="F3092" s="5" t="s">
        <v>212</v>
      </c>
      <c r="G3092" s="5" t="s">
        <v>21616</v>
      </c>
      <c r="H3092" s="6" t="s">
        <v>21617</v>
      </c>
      <c r="I3092" s="7" t="s">
        <v>21618</v>
      </c>
      <c r="J3092" s="8" t="str">
        <f>HYPERLINK("https://drive.google.com/file/d/1OQmmios2K-kyFH7ZOnS_cLVoB4cTiEOB/view?usp=drivesdk","RATNA JUITA BR PINEM SERTIFIKAT BerAKHLAK")</f>
        <v>RATNA JUITA BR PINEM SERTIFIKAT BerAKHLAK</v>
      </c>
      <c r="K3092" s="5" t="s">
        <v>20391</v>
      </c>
      <c r="L3092" s="5" t="s">
        <v>21619</v>
      </c>
    </row>
    <row r="3093">
      <c r="A3093" s="4">
        <v>45534.34310912037</v>
      </c>
      <c r="B3093" s="5" t="s">
        <v>34</v>
      </c>
      <c r="D3093" s="5" t="s">
        <v>1206</v>
      </c>
      <c r="E3093" s="5" t="s">
        <v>21623</v>
      </c>
      <c r="F3093" s="5" t="s">
        <v>37</v>
      </c>
      <c r="G3093" s="5" t="s">
        <v>21624</v>
      </c>
      <c r="H3093" s="6" t="s">
        <v>21625</v>
      </c>
      <c r="I3093" s="7" t="s">
        <v>21626</v>
      </c>
      <c r="J3093" s="8" t="str">
        <f>HYPERLINK("https://drive.google.com/file/d/1SPfj3xKJFuWSbD3dtYEg-55bpjq6lD9Y/view?usp=drivesdk","AKHMAD SYARIFUDIN SERTIFIKAT BerAKHLAK")</f>
        <v>AKHMAD SYARIFUDIN SERTIFIKAT BerAKHLAK</v>
      </c>
      <c r="K3093" s="5" t="s">
        <v>21627</v>
      </c>
      <c r="L3093" s="5" t="s">
        <v>21628</v>
      </c>
    </row>
    <row r="3094">
      <c r="A3094" s="4">
        <v>45534.343111180555</v>
      </c>
      <c r="B3094" s="5" t="s">
        <v>34</v>
      </c>
      <c r="D3094" s="5" t="s">
        <v>12978</v>
      </c>
      <c r="E3094" s="5" t="s">
        <v>21632</v>
      </c>
      <c r="F3094" s="5" t="s">
        <v>108</v>
      </c>
      <c r="G3094" s="5" t="s">
        <v>21633</v>
      </c>
      <c r="H3094" s="6" t="s">
        <v>21634</v>
      </c>
      <c r="I3094" s="7" t="s">
        <v>21635</v>
      </c>
      <c r="J3094" s="8" t="str">
        <f>HYPERLINK("https://drive.google.com/file/d/1rxgvWYNOd2T5trjhsODuckWy8Osmc2ls/view?usp=drivesdk","LISNAWATI SERTIFIKAT BerAKHLAK")</f>
        <v>LISNAWATI SERTIFIKAT BerAKHLAK</v>
      </c>
      <c r="K3094" s="5" t="s">
        <v>21426</v>
      </c>
      <c r="L3094" s="5" t="s">
        <v>21636</v>
      </c>
    </row>
    <row r="3095">
      <c r="A3095" s="4">
        <v>45534.34311954861</v>
      </c>
      <c r="B3095" s="5" t="s">
        <v>34</v>
      </c>
      <c r="D3095" s="5" t="s">
        <v>1206</v>
      </c>
      <c r="E3095" s="5" t="s">
        <v>21640</v>
      </c>
      <c r="F3095" s="5" t="s">
        <v>37</v>
      </c>
      <c r="G3095" s="5" t="s">
        <v>21641</v>
      </c>
      <c r="H3095" s="6" t="s">
        <v>21642</v>
      </c>
      <c r="K3095" s="5" t="s">
        <v>21643</v>
      </c>
    </row>
    <row r="3096">
      <c r="A3096" s="4">
        <v>45534.34312104167</v>
      </c>
      <c r="B3096" s="5" t="s">
        <v>34</v>
      </c>
      <c r="D3096" s="5" t="s">
        <v>4775</v>
      </c>
      <c r="E3096" s="5" t="s">
        <v>21647</v>
      </c>
      <c r="F3096" s="5" t="s">
        <v>72</v>
      </c>
      <c r="G3096" s="5" t="s">
        <v>21648</v>
      </c>
      <c r="H3096" s="6" t="s">
        <v>21649</v>
      </c>
      <c r="K3096" s="5" t="s">
        <v>21643</v>
      </c>
    </row>
    <row r="3097">
      <c r="A3097" s="4">
        <v>45534.343123819446</v>
      </c>
      <c r="B3097" s="5" t="s">
        <v>34</v>
      </c>
      <c r="D3097" s="5" t="s">
        <v>1206</v>
      </c>
      <c r="E3097" s="5" t="s">
        <v>21653</v>
      </c>
      <c r="F3097" s="5" t="s">
        <v>37</v>
      </c>
      <c r="G3097" s="5" t="s">
        <v>21654</v>
      </c>
      <c r="H3097" s="6" t="s">
        <v>21655</v>
      </c>
      <c r="K3097" s="5" t="s">
        <v>21643</v>
      </c>
    </row>
    <row r="3098">
      <c r="A3098" s="4">
        <v>45534.3431266088</v>
      </c>
      <c r="B3098" s="5" t="s">
        <v>19</v>
      </c>
      <c r="C3098" s="5" t="s">
        <v>5564</v>
      </c>
      <c r="E3098" s="5" t="s">
        <v>21659</v>
      </c>
      <c r="F3098" s="5" t="s">
        <v>212</v>
      </c>
      <c r="G3098" s="5" t="s">
        <v>21660</v>
      </c>
      <c r="H3098" s="6" t="s">
        <v>21661</v>
      </c>
      <c r="K3098" s="5" t="s">
        <v>21643</v>
      </c>
    </row>
    <row r="3099">
      <c r="A3099" s="4">
        <v>45534.34313097222</v>
      </c>
      <c r="B3099" s="5" t="s">
        <v>34</v>
      </c>
      <c r="D3099" s="5" t="s">
        <v>522</v>
      </c>
      <c r="E3099" s="5" t="s">
        <v>21664</v>
      </c>
      <c r="F3099" s="5" t="s">
        <v>37</v>
      </c>
      <c r="G3099" s="5" t="s">
        <v>21665</v>
      </c>
      <c r="H3099" s="6" t="s">
        <v>21666</v>
      </c>
      <c r="K3099" s="5" t="s">
        <v>21643</v>
      </c>
    </row>
    <row r="3100">
      <c r="A3100" s="4">
        <v>45534.34313587963</v>
      </c>
      <c r="B3100" s="5" t="s">
        <v>34</v>
      </c>
      <c r="D3100" s="5" t="s">
        <v>1768</v>
      </c>
      <c r="E3100" s="5" t="s">
        <v>21669</v>
      </c>
      <c r="F3100" s="5" t="s">
        <v>212</v>
      </c>
      <c r="G3100" s="5" t="s">
        <v>21670</v>
      </c>
      <c r="H3100" s="6" t="s">
        <v>21671</v>
      </c>
      <c r="I3100" s="7" t="s">
        <v>21672</v>
      </c>
      <c r="J3100" s="8" t="str">
        <f>HYPERLINK("https://drive.google.com/file/d/1QYaitsjZ3bTuBv0PQNhKQTeEj2dtYqVI/view?usp=drivesdk","DEWI LESTARI SERTIFIKAT BerAKHLAK")</f>
        <v>DEWI LESTARI SERTIFIKAT BerAKHLAK</v>
      </c>
      <c r="K3100" s="5" t="s">
        <v>20391</v>
      </c>
      <c r="L3100" s="5" t="s">
        <v>21673</v>
      </c>
    </row>
    <row r="3101">
      <c r="A3101" s="4">
        <v>45534.343137696764</v>
      </c>
      <c r="B3101" s="5" t="s">
        <v>34</v>
      </c>
      <c r="D3101" s="5" t="s">
        <v>12978</v>
      </c>
      <c r="E3101" s="5" t="s">
        <v>21676</v>
      </c>
      <c r="F3101" s="5" t="s">
        <v>37</v>
      </c>
      <c r="G3101" s="5" t="s">
        <v>21677</v>
      </c>
      <c r="H3101" s="6" t="s">
        <v>21678</v>
      </c>
      <c r="K3101" s="5" t="s">
        <v>21679</v>
      </c>
    </row>
    <row r="3102">
      <c r="A3102" s="4">
        <v>45534.34313991899</v>
      </c>
      <c r="B3102" s="5" t="s">
        <v>34</v>
      </c>
      <c r="D3102" s="5" t="s">
        <v>996</v>
      </c>
      <c r="E3102" s="5" t="s">
        <v>21683</v>
      </c>
      <c r="F3102" s="5" t="s">
        <v>212</v>
      </c>
      <c r="G3102" s="5" t="s">
        <v>21684</v>
      </c>
      <c r="H3102" s="6" t="s">
        <v>21685</v>
      </c>
      <c r="K3102" s="5" t="s">
        <v>21679</v>
      </c>
    </row>
    <row r="3103">
      <c r="A3103" s="4">
        <v>45534.34315490741</v>
      </c>
      <c r="B3103" s="5" t="s">
        <v>34</v>
      </c>
      <c r="D3103" s="5" t="s">
        <v>522</v>
      </c>
      <c r="E3103" s="5" t="s">
        <v>21688</v>
      </c>
      <c r="F3103" s="5" t="s">
        <v>37</v>
      </c>
      <c r="G3103" s="5" t="s">
        <v>21689</v>
      </c>
      <c r="H3103" s="6" t="s">
        <v>21690</v>
      </c>
      <c r="K3103" s="5" t="s">
        <v>21679</v>
      </c>
    </row>
    <row r="3104">
      <c r="A3104" s="4">
        <v>45534.34316053241</v>
      </c>
      <c r="B3104" s="5" t="s">
        <v>34</v>
      </c>
      <c r="D3104" s="5" t="s">
        <v>7858</v>
      </c>
      <c r="E3104" s="5" t="s">
        <v>21693</v>
      </c>
      <c r="F3104" s="5" t="s">
        <v>715</v>
      </c>
      <c r="G3104" s="5" t="s">
        <v>21694</v>
      </c>
      <c r="H3104" s="6" t="s">
        <v>21695</v>
      </c>
      <c r="I3104" s="7" t="s">
        <v>21696</v>
      </c>
      <c r="J3104" s="8" t="str">
        <f>HYPERLINK("https://drive.google.com/file/d/1C1mop9Lenfrw9siY9V4fxGgdeEKh_iTc/view?usp=drivesdk","PIPIT NOVIANTI, S. Sos SERTIFIKAT BerAKHLAK")</f>
        <v>PIPIT NOVIANTI, S. Sos SERTIFIKAT BerAKHLAK</v>
      </c>
      <c r="K3104" s="5" t="s">
        <v>20391</v>
      </c>
      <c r="L3104" s="5" t="s">
        <v>21697</v>
      </c>
    </row>
    <row r="3105">
      <c r="A3105" s="4">
        <v>45534.34316740741</v>
      </c>
      <c r="B3105" s="5" t="s">
        <v>34</v>
      </c>
      <c r="D3105" s="5" t="s">
        <v>4775</v>
      </c>
      <c r="E3105" s="5" t="s">
        <v>21701</v>
      </c>
      <c r="F3105" s="5" t="s">
        <v>72</v>
      </c>
      <c r="G3105" s="5" t="s">
        <v>21702</v>
      </c>
      <c r="H3105" s="6" t="s">
        <v>21703</v>
      </c>
      <c r="I3105" s="7" t="s">
        <v>21704</v>
      </c>
      <c r="J3105" s="8" t="str">
        <f>HYPERLINK("https://drive.google.com/file/d/1qFCDWKqw3hgRtQfyf8YBsixPBDBb1MCG/view?usp=drivesdk","Angela Suma,S.Kep SERTIFIKAT BerAKHLAK")</f>
        <v>Angela Suma,S.Kep SERTIFIKAT BerAKHLAK</v>
      </c>
      <c r="K3105" s="5" t="s">
        <v>21426</v>
      </c>
      <c r="L3105" s="5" t="s">
        <v>21705</v>
      </c>
    </row>
    <row r="3106">
      <c r="A3106" s="4">
        <v>45534.34317681713</v>
      </c>
      <c r="B3106" s="5" t="s">
        <v>34</v>
      </c>
      <c r="D3106" s="5" t="s">
        <v>1768</v>
      </c>
      <c r="E3106" s="5" t="s">
        <v>21708</v>
      </c>
      <c r="F3106" s="5" t="s">
        <v>524</v>
      </c>
      <c r="G3106" s="5" t="s">
        <v>21709</v>
      </c>
      <c r="H3106" s="6" t="s">
        <v>21710</v>
      </c>
      <c r="I3106" s="7" t="s">
        <v>21711</v>
      </c>
      <c r="J3106" s="8" t="str">
        <f>HYPERLINK("https://drive.google.com/file/d/11KIxZcujnlM5V6EB_U7rhYV7bbEyWdpe/view?usp=drivesdk","Irine Dini Anggraini SERTIFIKAT BerAKHLAK")</f>
        <v>Irine Dini Anggraini SERTIFIKAT BerAKHLAK</v>
      </c>
      <c r="K3106" s="5" t="s">
        <v>21426</v>
      </c>
      <c r="L3106" s="5" t="s">
        <v>21712</v>
      </c>
    </row>
    <row r="3107">
      <c r="A3107" s="4">
        <v>45534.34317717592</v>
      </c>
      <c r="B3107" s="5" t="s">
        <v>34</v>
      </c>
      <c r="D3107" s="5" t="s">
        <v>9020</v>
      </c>
      <c r="E3107" s="5" t="s">
        <v>21715</v>
      </c>
      <c r="F3107" s="5" t="s">
        <v>212</v>
      </c>
      <c r="G3107" s="5" t="s">
        <v>21716</v>
      </c>
      <c r="H3107" s="6" t="s">
        <v>21717</v>
      </c>
      <c r="K3107" s="5" t="s">
        <v>21718</v>
      </c>
    </row>
    <row r="3108">
      <c r="A3108" s="4">
        <v>45534.34318576389</v>
      </c>
      <c r="B3108" s="5" t="s">
        <v>34</v>
      </c>
      <c r="D3108" s="5" t="s">
        <v>280</v>
      </c>
      <c r="E3108" s="5" t="s">
        <v>21721</v>
      </c>
      <c r="F3108" s="5" t="s">
        <v>37</v>
      </c>
      <c r="G3108" s="5" t="s">
        <v>21722</v>
      </c>
      <c r="H3108" s="6" t="s">
        <v>21723</v>
      </c>
      <c r="K3108" s="5" t="s">
        <v>21718</v>
      </c>
    </row>
    <row r="3109">
      <c r="A3109" s="4">
        <v>45534.34319484954</v>
      </c>
      <c r="B3109" s="5" t="s">
        <v>34</v>
      </c>
      <c r="D3109" s="5" t="s">
        <v>1206</v>
      </c>
      <c r="E3109" s="5" t="s">
        <v>21727</v>
      </c>
      <c r="F3109" s="5" t="s">
        <v>37</v>
      </c>
      <c r="G3109" s="5" t="s">
        <v>21728</v>
      </c>
      <c r="H3109" s="6" t="s">
        <v>21729</v>
      </c>
      <c r="K3109" s="5" t="s">
        <v>21718</v>
      </c>
    </row>
    <row r="3110">
      <c r="A3110" s="4">
        <v>45534.3431953588</v>
      </c>
      <c r="B3110" s="5" t="s">
        <v>34</v>
      </c>
      <c r="D3110" s="5" t="s">
        <v>996</v>
      </c>
      <c r="E3110" s="5" t="s">
        <v>21732</v>
      </c>
      <c r="F3110" s="5" t="s">
        <v>108</v>
      </c>
      <c r="G3110" s="5" t="s">
        <v>21733</v>
      </c>
      <c r="H3110" s="6" t="s">
        <v>21734</v>
      </c>
      <c r="K3110" s="5" t="s">
        <v>21718</v>
      </c>
    </row>
    <row r="3111">
      <c r="A3111" s="4">
        <v>45534.34319847223</v>
      </c>
      <c r="B3111" s="5" t="s">
        <v>34</v>
      </c>
      <c r="D3111" s="5" t="s">
        <v>1206</v>
      </c>
      <c r="E3111" s="5" t="s">
        <v>21737</v>
      </c>
      <c r="F3111" s="5" t="s">
        <v>37</v>
      </c>
      <c r="G3111" s="5" t="s">
        <v>21738</v>
      </c>
      <c r="H3111" s="6" t="s">
        <v>21739</v>
      </c>
      <c r="K3111" s="5" t="s">
        <v>21718</v>
      </c>
    </row>
    <row r="3112">
      <c r="A3112" s="4">
        <v>45534.34319961806</v>
      </c>
      <c r="B3112" s="5" t="s">
        <v>34</v>
      </c>
      <c r="D3112" s="5" t="s">
        <v>4775</v>
      </c>
      <c r="E3112" s="5" t="s">
        <v>21742</v>
      </c>
      <c r="F3112" s="5" t="s">
        <v>212</v>
      </c>
      <c r="G3112" s="5" t="s">
        <v>21743</v>
      </c>
      <c r="H3112" s="6" t="s">
        <v>21744</v>
      </c>
      <c r="K3112" s="5" t="s">
        <v>21718</v>
      </c>
    </row>
    <row r="3113">
      <c r="A3113" s="4">
        <v>45534.34320047454</v>
      </c>
      <c r="B3113" s="5" t="s">
        <v>34</v>
      </c>
      <c r="D3113" s="5" t="s">
        <v>1206</v>
      </c>
      <c r="E3113" s="5" t="s">
        <v>21747</v>
      </c>
      <c r="F3113" s="5" t="s">
        <v>108</v>
      </c>
      <c r="G3113" s="5" t="s">
        <v>21748</v>
      </c>
      <c r="H3113" s="6" t="s">
        <v>21749</v>
      </c>
      <c r="K3113" s="5" t="s">
        <v>21718</v>
      </c>
    </row>
    <row r="3114">
      <c r="A3114" s="4">
        <v>45534.34320212963</v>
      </c>
      <c r="B3114" s="5" t="s">
        <v>34</v>
      </c>
      <c r="D3114" s="5" t="s">
        <v>1456</v>
      </c>
      <c r="E3114" s="5" t="s">
        <v>21753</v>
      </c>
      <c r="F3114" s="5" t="s">
        <v>212</v>
      </c>
      <c r="G3114" s="5" t="s">
        <v>21754</v>
      </c>
      <c r="H3114" s="6" t="s">
        <v>21755</v>
      </c>
      <c r="K3114" s="5" t="s">
        <v>21718</v>
      </c>
    </row>
    <row r="3115">
      <c r="A3115" s="4">
        <v>45534.343208680555</v>
      </c>
      <c r="B3115" s="5" t="s">
        <v>34</v>
      </c>
      <c r="D3115" s="5" t="s">
        <v>1206</v>
      </c>
      <c r="E3115" s="5" t="s">
        <v>21758</v>
      </c>
      <c r="F3115" s="5" t="s">
        <v>212</v>
      </c>
      <c r="G3115" s="5" t="s">
        <v>21759</v>
      </c>
      <c r="H3115" s="6" t="s">
        <v>21760</v>
      </c>
      <c r="K3115" s="5" t="s">
        <v>21718</v>
      </c>
    </row>
    <row r="3116">
      <c r="A3116" s="4">
        <v>45534.343209756946</v>
      </c>
      <c r="B3116" s="5" t="s">
        <v>34</v>
      </c>
      <c r="D3116" s="5" t="s">
        <v>9020</v>
      </c>
      <c r="E3116" s="5" t="s">
        <v>21764</v>
      </c>
      <c r="F3116" s="5" t="s">
        <v>22</v>
      </c>
      <c r="G3116" s="5" t="s">
        <v>21765</v>
      </c>
      <c r="H3116" s="6" t="s">
        <v>21766</v>
      </c>
      <c r="K3116" s="5" t="s">
        <v>21718</v>
      </c>
    </row>
    <row r="3117">
      <c r="A3117" s="4">
        <v>45534.34321333333</v>
      </c>
      <c r="B3117" s="5" t="s">
        <v>34</v>
      </c>
      <c r="D3117" s="5" t="s">
        <v>1206</v>
      </c>
      <c r="E3117" s="5" t="s">
        <v>21769</v>
      </c>
      <c r="F3117" s="5" t="s">
        <v>212</v>
      </c>
      <c r="G3117" s="5" t="s">
        <v>21770</v>
      </c>
      <c r="H3117" s="6" t="s">
        <v>21771</v>
      </c>
      <c r="I3117" s="7" t="s">
        <v>21772</v>
      </c>
      <c r="J3117" s="8" t="str">
        <f>HYPERLINK("https://drive.google.com/file/d/1S51U1Anp_P-uAsRy8-L2mGReo7vj9zxn/view?usp=drivesdk","CATUR LUH WIDYAWATI  SERTIFIKAT BerAKHLAK")</f>
        <v>CATUR LUH WIDYAWATI  SERTIFIKAT BerAKHLAK</v>
      </c>
      <c r="K3117" s="5" t="s">
        <v>20391</v>
      </c>
      <c r="L3117" s="5" t="s">
        <v>21773</v>
      </c>
    </row>
    <row r="3118">
      <c r="A3118" s="4">
        <v>45534.34321375</v>
      </c>
      <c r="B3118" s="5" t="s">
        <v>34</v>
      </c>
      <c r="D3118" s="5" t="s">
        <v>35</v>
      </c>
      <c r="E3118" s="5" t="s">
        <v>21776</v>
      </c>
      <c r="F3118" s="5" t="s">
        <v>108</v>
      </c>
      <c r="G3118" s="5" t="s">
        <v>21777</v>
      </c>
      <c r="H3118" s="6" t="s">
        <v>21778</v>
      </c>
      <c r="K3118" s="5" t="s">
        <v>21718</v>
      </c>
    </row>
    <row r="3119">
      <c r="A3119" s="4">
        <v>45534.34322368055</v>
      </c>
      <c r="B3119" s="5" t="s">
        <v>34</v>
      </c>
      <c r="D3119" s="5" t="s">
        <v>7858</v>
      </c>
      <c r="E3119" s="5" t="s">
        <v>21781</v>
      </c>
      <c r="F3119" s="5" t="s">
        <v>120</v>
      </c>
      <c r="G3119" s="5" t="s">
        <v>21782</v>
      </c>
      <c r="H3119" s="6" t="s">
        <v>21783</v>
      </c>
      <c r="K3119" s="5" t="s">
        <v>21718</v>
      </c>
    </row>
    <row r="3120">
      <c r="A3120" s="4">
        <v>45534.34323140046</v>
      </c>
      <c r="B3120" s="5" t="s">
        <v>34</v>
      </c>
      <c r="D3120" s="5" t="s">
        <v>9020</v>
      </c>
      <c r="E3120" s="5" t="s">
        <v>21787</v>
      </c>
      <c r="F3120" s="5" t="s">
        <v>108</v>
      </c>
      <c r="G3120" s="5" t="s">
        <v>21788</v>
      </c>
      <c r="H3120" s="6" t="s">
        <v>21789</v>
      </c>
      <c r="K3120" s="5" t="s">
        <v>21718</v>
      </c>
    </row>
    <row r="3121">
      <c r="A3121" s="4">
        <v>45534.34324375</v>
      </c>
      <c r="B3121" s="5" t="s">
        <v>34</v>
      </c>
      <c r="D3121" s="5" t="s">
        <v>996</v>
      </c>
      <c r="E3121" s="5" t="s">
        <v>21792</v>
      </c>
      <c r="F3121" s="5" t="s">
        <v>72</v>
      </c>
      <c r="G3121" s="5" t="s">
        <v>21793</v>
      </c>
      <c r="H3121" s="6" t="s">
        <v>21794</v>
      </c>
      <c r="K3121" s="5" t="s">
        <v>21795</v>
      </c>
    </row>
    <row r="3122">
      <c r="A3122" s="4">
        <v>45534.34326032407</v>
      </c>
      <c r="B3122" s="5" t="s">
        <v>34</v>
      </c>
      <c r="D3122" s="5" t="s">
        <v>267</v>
      </c>
      <c r="E3122" s="5" t="s">
        <v>21798</v>
      </c>
      <c r="F3122" s="5" t="s">
        <v>37</v>
      </c>
      <c r="G3122" s="5" t="s">
        <v>21799</v>
      </c>
      <c r="H3122" s="6" t="s">
        <v>21800</v>
      </c>
      <c r="I3122" s="7" t="s">
        <v>21801</v>
      </c>
      <c r="J3122" s="8" t="str">
        <f>HYPERLINK("https://drive.google.com/file/d/1vvffcqXoO3eC6RsJTtqNVU2JPD-VJslX/view?usp=drivesdk","DODOK WALJIYANYO SERTIFIKAT BerAKHLAK")</f>
        <v>DODOK WALJIYANYO SERTIFIKAT BerAKHLAK</v>
      </c>
      <c r="K3122" s="5" t="s">
        <v>21426</v>
      </c>
      <c r="L3122" s="5" t="s">
        <v>21802</v>
      </c>
    </row>
    <row r="3123">
      <c r="A3123" s="4">
        <v>45534.343264027775</v>
      </c>
      <c r="B3123" s="5" t="s">
        <v>34</v>
      </c>
      <c r="D3123" s="5" t="s">
        <v>35</v>
      </c>
      <c r="E3123" s="5" t="s">
        <v>21805</v>
      </c>
      <c r="F3123" s="5" t="s">
        <v>37</v>
      </c>
      <c r="G3123" s="5" t="s">
        <v>21806</v>
      </c>
      <c r="H3123" s="6" t="s">
        <v>21807</v>
      </c>
      <c r="K3123" s="5" t="s">
        <v>21808</v>
      </c>
    </row>
    <row r="3124">
      <c r="A3124" s="4">
        <v>45534.343264131945</v>
      </c>
      <c r="B3124" s="5" t="s">
        <v>34</v>
      </c>
      <c r="D3124" s="5" t="s">
        <v>12978</v>
      </c>
      <c r="E3124" s="5" t="s">
        <v>21812</v>
      </c>
      <c r="F3124" s="5" t="s">
        <v>524</v>
      </c>
      <c r="G3124" s="5" t="s">
        <v>21813</v>
      </c>
      <c r="H3124" s="6" t="s">
        <v>21814</v>
      </c>
      <c r="K3124" s="5" t="s">
        <v>21808</v>
      </c>
    </row>
    <row r="3125">
      <c r="A3125" s="4">
        <v>45534.34326625</v>
      </c>
      <c r="B3125" s="5" t="s">
        <v>19</v>
      </c>
      <c r="C3125" s="5" t="s">
        <v>466</v>
      </c>
      <c r="E3125" s="5" t="s">
        <v>21817</v>
      </c>
      <c r="F3125" s="5" t="s">
        <v>108</v>
      </c>
      <c r="G3125" s="5" t="s">
        <v>21818</v>
      </c>
      <c r="H3125" s="6" t="s">
        <v>21819</v>
      </c>
      <c r="K3125" s="5" t="s">
        <v>21808</v>
      </c>
    </row>
    <row r="3126">
      <c r="A3126" s="4">
        <v>45534.343270219906</v>
      </c>
      <c r="B3126" s="5" t="s">
        <v>34</v>
      </c>
      <c r="D3126" s="5" t="s">
        <v>10444</v>
      </c>
      <c r="E3126" s="5" t="s">
        <v>21823</v>
      </c>
      <c r="F3126" s="5" t="s">
        <v>212</v>
      </c>
      <c r="G3126" s="5" t="s">
        <v>21824</v>
      </c>
      <c r="H3126" s="6" t="s">
        <v>21825</v>
      </c>
      <c r="K3126" s="5" t="s">
        <v>21826</v>
      </c>
    </row>
    <row r="3127">
      <c r="A3127" s="4">
        <v>45534.343270937505</v>
      </c>
      <c r="B3127" s="5" t="s">
        <v>34</v>
      </c>
      <c r="D3127" s="5" t="s">
        <v>1206</v>
      </c>
      <c r="E3127" s="5" t="s">
        <v>21829</v>
      </c>
      <c r="F3127" s="5" t="s">
        <v>37</v>
      </c>
      <c r="G3127" s="5" t="s">
        <v>21830</v>
      </c>
      <c r="H3127" s="6" t="s">
        <v>21831</v>
      </c>
      <c r="K3127" s="5" t="s">
        <v>21826</v>
      </c>
    </row>
    <row r="3128">
      <c r="A3128" s="4">
        <v>45534.343274224535</v>
      </c>
      <c r="B3128" s="5" t="s">
        <v>34</v>
      </c>
      <c r="D3128" s="5" t="s">
        <v>1206</v>
      </c>
      <c r="E3128" s="5" t="s">
        <v>21834</v>
      </c>
      <c r="F3128" s="5" t="s">
        <v>375</v>
      </c>
      <c r="G3128" s="5" t="s">
        <v>21835</v>
      </c>
      <c r="H3128" s="6" t="s">
        <v>21836</v>
      </c>
      <c r="K3128" s="5" t="s">
        <v>21826</v>
      </c>
    </row>
    <row r="3129">
      <c r="A3129" s="4">
        <v>45534.34327631944</v>
      </c>
      <c r="B3129" s="5" t="s">
        <v>34</v>
      </c>
      <c r="D3129" s="5" t="s">
        <v>1206</v>
      </c>
      <c r="E3129" s="5" t="s">
        <v>21840</v>
      </c>
      <c r="F3129" s="5" t="s">
        <v>212</v>
      </c>
      <c r="G3129" s="5" t="s">
        <v>21841</v>
      </c>
      <c r="H3129" s="6" t="s">
        <v>21842</v>
      </c>
      <c r="K3129" s="5" t="s">
        <v>21826</v>
      </c>
    </row>
    <row r="3130">
      <c r="A3130" s="4">
        <v>45534.34327972222</v>
      </c>
      <c r="B3130" s="5" t="s">
        <v>34</v>
      </c>
      <c r="D3130" s="5" t="s">
        <v>1206</v>
      </c>
      <c r="E3130" s="5" t="s">
        <v>21845</v>
      </c>
      <c r="F3130" s="5" t="s">
        <v>199</v>
      </c>
      <c r="G3130" s="5" t="s">
        <v>21846</v>
      </c>
      <c r="H3130" s="6" t="s">
        <v>21847</v>
      </c>
      <c r="K3130" s="5" t="s">
        <v>21826</v>
      </c>
    </row>
    <row r="3131">
      <c r="A3131" s="4">
        <v>45534.343286250005</v>
      </c>
      <c r="B3131" s="5" t="s">
        <v>34</v>
      </c>
      <c r="D3131" s="5" t="s">
        <v>996</v>
      </c>
      <c r="E3131" s="5" t="s">
        <v>21850</v>
      </c>
      <c r="F3131" s="5" t="s">
        <v>72</v>
      </c>
      <c r="G3131" s="5" t="s">
        <v>21851</v>
      </c>
      <c r="H3131" s="6" t="s">
        <v>21852</v>
      </c>
      <c r="K3131" s="5" t="s">
        <v>21826</v>
      </c>
    </row>
    <row r="3132">
      <c r="A3132" s="4">
        <v>45534.34330059028</v>
      </c>
      <c r="B3132" s="5" t="s">
        <v>34</v>
      </c>
      <c r="D3132" s="5" t="s">
        <v>12978</v>
      </c>
      <c r="E3132" s="5" t="s">
        <v>21855</v>
      </c>
      <c r="F3132" s="5" t="s">
        <v>212</v>
      </c>
      <c r="G3132" s="5" t="s">
        <v>21856</v>
      </c>
      <c r="H3132" s="6" t="s">
        <v>21857</v>
      </c>
      <c r="K3132" s="5" t="s">
        <v>21826</v>
      </c>
    </row>
    <row r="3133">
      <c r="A3133" s="4">
        <v>45534.3433009838</v>
      </c>
      <c r="B3133" s="5" t="s">
        <v>34</v>
      </c>
      <c r="D3133" s="5" t="s">
        <v>4775</v>
      </c>
      <c r="E3133" s="5" t="s">
        <v>21861</v>
      </c>
      <c r="F3133" s="5" t="s">
        <v>108</v>
      </c>
      <c r="G3133" s="5" t="s">
        <v>21862</v>
      </c>
      <c r="H3133" s="6" t="s">
        <v>21863</v>
      </c>
      <c r="K3133" s="5" t="s">
        <v>21826</v>
      </c>
    </row>
    <row r="3134">
      <c r="A3134" s="4">
        <v>45534.34331171296</v>
      </c>
      <c r="B3134" s="5" t="s">
        <v>34</v>
      </c>
      <c r="D3134" s="5" t="s">
        <v>9020</v>
      </c>
      <c r="E3134" s="5" t="s">
        <v>21866</v>
      </c>
      <c r="F3134" s="5" t="s">
        <v>37</v>
      </c>
      <c r="G3134" s="5" t="s">
        <v>21867</v>
      </c>
      <c r="H3134" s="6" t="s">
        <v>21868</v>
      </c>
      <c r="K3134" s="5" t="s">
        <v>21826</v>
      </c>
    </row>
    <row r="3135">
      <c r="A3135" s="4">
        <v>45534.34331892361</v>
      </c>
      <c r="B3135" s="5" t="s">
        <v>34</v>
      </c>
      <c r="D3135" s="5" t="s">
        <v>1206</v>
      </c>
      <c r="E3135" s="5" t="s">
        <v>21871</v>
      </c>
      <c r="F3135" s="5" t="s">
        <v>715</v>
      </c>
      <c r="G3135" s="5" t="s">
        <v>21872</v>
      </c>
      <c r="H3135" s="6" t="s">
        <v>21873</v>
      </c>
      <c r="K3135" s="5" t="s">
        <v>21826</v>
      </c>
    </row>
    <row r="3136">
      <c r="A3136" s="4">
        <v>45534.34331998843</v>
      </c>
      <c r="B3136" s="5" t="s">
        <v>34</v>
      </c>
      <c r="D3136" s="5" t="s">
        <v>975</v>
      </c>
      <c r="E3136" s="5" t="s">
        <v>21876</v>
      </c>
      <c r="F3136" s="5" t="s">
        <v>37</v>
      </c>
      <c r="G3136" s="5" t="s">
        <v>21877</v>
      </c>
      <c r="H3136" s="6" t="s">
        <v>21878</v>
      </c>
      <c r="K3136" s="5" t="s">
        <v>21826</v>
      </c>
    </row>
    <row r="3137">
      <c r="A3137" s="4">
        <v>45534.34332971065</v>
      </c>
      <c r="B3137" s="5" t="s">
        <v>34</v>
      </c>
      <c r="D3137" s="5" t="s">
        <v>1206</v>
      </c>
      <c r="E3137" s="5" t="s">
        <v>21882</v>
      </c>
      <c r="F3137" s="5" t="s">
        <v>37</v>
      </c>
      <c r="G3137" s="5" t="s">
        <v>21883</v>
      </c>
      <c r="H3137" s="6" t="s">
        <v>21884</v>
      </c>
      <c r="K3137" s="5" t="s">
        <v>21826</v>
      </c>
    </row>
    <row r="3138">
      <c r="A3138" s="4">
        <v>45534.34333052083</v>
      </c>
      <c r="B3138" s="5" t="s">
        <v>34</v>
      </c>
      <c r="D3138" s="5" t="s">
        <v>2903</v>
      </c>
      <c r="E3138" s="5" t="s">
        <v>20560</v>
      </c>
      <c r="F3138" s="5" t="s">
        <v>212</v>
      </c>
      <c r="G3138" s="5" t="s">
        <v>21887</v>
      </c>
      <c r="H3138" s="6" t="s">
        <v>21888</v>
      </c>
      <c r="K3138" s="5" t="s">
        <v>21826</v>
      </c>
    </row>
    <row r="3139">
      <c r="A3139" s="4">
        <v>45534.34334445602</v>
      </c>
      <c r="B3139" s="5" t="s">
        <v>34</v>
      </c>
      <c r="D3139" s="5" t="s">
        <v>10444</v>
      </c>
      <c r="E3139" s="5" t="s">
        <v>21891</v>
      </c>
      <c r="F3139" s="5" t="s">
        <v>212</v>
      </c>
      <c r="G3139" s="5" t="s">
        <v>21892</v>
      </c>
      <c r="H3139" s="6" t="s">
        <v>21893</v>
      </c>
      <c r="K3139" s="5" t="s">
        <v>21894</v>
      </c>
    </row>
    <row r="3140">
      <c r="A3140" s="4">
        <v>45534.34336806713</v>
      </c>
      <c r="B3140" s="5" t="s">
        <v>34</v>
      </c>
      <c r="D3140" s="5" t="s">
        <v>267</v>
      </c>
      <c r="E3140" s="5" t="s">
        <v>21897</v>
      </c>
      <c r="F3140" s="5" t="s">
        <v>375</v>
      </c>
      <c r="G3140" s="5" t="s">
        <v>21898</v>
      </c>
      <c r="H3140" s="6" t="s">
        <v>21899</v>
      </c>
      <c r="K3140" s="5" t="s">
        <v>21894</v>
      </c>
    </row>
    <row r="3141">
      <c r="A3141" s="4">
        <v>45534.34336791666</v>
      </c>
      <c r="B3141" s="5" t="s">
        <v>34</v>
      </c>
      <c r="D3141" s="5" t="s">
        <v>12978</v>
      </c>
      <c r="E3141" s="5" t="s">
        <v>21902</v>
      </c>
      <c r="F3141" s="5" t="s">
        <v>212</v>
      </c>
      <c r="G3141" s="5" t="s">
        <v>21903</v>
      </c>
      <c r="H3141" s="6" t="s">
        <v>21904</v>
      </c>
      <c r="K3141" s="5" t="s">
        <v>21894</v>
      </c>
    </row>
    <row r="3142">
      <c r="A3142" s="4">
        <v>45534.34337445602</v>
      </c>
      <c r="B3142" s="5" t="s">
        <v>34</v>
      </c>
      <c r="D3142" s="5" t="s">
        <v>1206</v>
      </c>
      <c r="E3142" s="5" t="s">
        <v>21908</v>
      </c>
      <c r="F3142" s="5" t="s">
        <v>375</v>
      </c>
      <c r="G3142" s="5" t="s">
        <v>21909</v>
      </c>
      <c r="H3142" s="6" t="s">
        <v>21910</v>
      </c>
      <c r="K3142" s="5" t="s">
        <v>21894</v>
      </c>
    </row>
    <row r="3143">
      <c r="A3143" s="4">
        <v>45534.34337884259</v>
      </c>
      <c r="B3143" s="5" t="s">
        <v>34</v>
      </c>
      <c r="D3143" s="5" t="s">
        <v>280</v>
      </c>
      <c r="E3143" s="5" t="s">
        <v>21913</v>
      </c>
      <c r="F3143" s="5" t="s">
        <v>212</v>
      </c>
      <c r="G3143" s="5" t="s">
        <v>21914</v>
      </c>
      <c r="H3143" s="6" t="s">
        <v>21915</v>
      </c>
      <c r="K3143" s="5" t="s">
        <v>21894</v>
      </c>
    </row>
    <row r="3144">
      <c r="A3144" s="4">
        <v>45534.34339126157</v>
      </c>
      <c r="B3144" s="5" t="s">
        <v>34</v>
      </c>
      <c r="D3144" s="5" t="s">
        <v>35</v>
      </c>
      <c r="E3144" s="5" t="s">
        <v>21918</v>
      </c>
      <c r="F3144" s="5" t="s">
        <v>37</v>
      </c>
      <c r="G3144" s="5" t="s">
        <v>21919</v>
      </c>
      <c r="H3144" s="6" t="s">
        <v>21920</v>
      </c>
      <c r="K3144" s="5" t="s">
        <v>21921</v>
      </c>
    </row>
    <row r="3145">
      <c r="A3145" s="4">
        <v>45534.343394282405</v>
      </c>
      <c r="B3145" s="5" t="s">
        <v>34</v>
      </c>
      <c r="D3145" s="5" t="s">
        <v>1206</v>
      </c>
      <c r="E3145" s="5" t="s">
        <v>21924</v>
      </c>
      <c r="F3145" s="5" t="s">
        <v>212</v>
      </c>
      <c r="G3145" s="5" t="s">
        <v>21925</v>
      </c>
      <c r="H3145" s="6" t="s">
        <v>21926</v>
      </c>
      <c r="K3145" s="5" t="s">
        <v>21921</v>
      </c>
    </row>
    <row r="3146">
      <c r="A3146" s="4">
        <v>45534.34339751158</v>
      </c>
      <c r="B3146" s="5" t="s">
        <v>34</v>
      </c>
      <c r="D3146" s="5" t="s">
        <v>4775</v>
      </c>
      <c r="E3146" s="5" t="s">
        <v>21930</v>
      </c>
      <c r="F3146" s="5" t="s">
        <v>108</v>
      </c>
      <c r="G3146" s="5" t="s">
        <v>21931</v>
      </c>
      <c r="H3146" s="6" t="s">
        <v>21932</v>
      </c>
      <c r="K3146" s="5" t="s">
        <v>21921</v>
      </c>
    </row>
    <row r="3147">
      <c r="A3147" s="4">
        <v>45534.34340172454</v>
      </c>
      <c r="B3147" s="5" t="s">
        <v>34</v>
      </c>
      <c r="D3147" s="5" t="s">
        <v>6232</v>
      </c>
      <c r="E3147" s="5" t="s">
        <v>21935</v>
      </c>
      <c r="F3147" s="5" t="s">
        <v>22</v>
      </c>
      <c r="G3147" s="5" t="s">
        <v>21936</v>
      </c>
      <c r="H3147" s="6" t="s">
        <v>21937</v>
      </c>
      <c r="K3147" s="5" t="s">
        <v>21921</v>
      </c>
    </row>
    <row r="3148">
      <c r="A3148" s="4">
        <v>45534.34340967593</v>
      </c>
      <c r="B3148" s="5" t="s">
        <v>34</v>
      </c>
      <c r="D3148" s="5" t="s">
        <v>4775</v>
      </c>
      <c r="E3148" s="5" t="s">
        <v>21940</v>
      </c>
      <c r="F3148" s="5" t="s">
        <v>212</v>
      </c>
      <c r="G3148" s="5" t="s">
        <v>21941</v>
      </c>
      <c r="H3148" s="6" t="s">
        <v>21942</v>
      </c>
      <c r="K3148" s="5" t="s">
        <v>21921</v>
      </c>
    </row>
    <row r="3149">
      <c r="A3149" s="4">
        <v>45534.34341826389</v>
      </c>
      <c r="B3149" s="5" t="s">
        <v>34</v>
      </c>
      <c r="D3149" s="5" t="s">
        <v>1206</v>
      </c>
      <c r="E3149" s="5" t="s">
        <v>21945</v>
      </c>
      <c r="F3149" s="5" t="s">
        <v>37</v>
      </c>
      <c r="G3149" s="5" t="s">
        <v>21946</v>
      </c>
      <c r="H3149" s="6" t="s">
        <v>21947</v>
      </c>
      <c r="K3149" s="5" t="s">
        <v>21921</v>
      </c>
    </row>
    <row r="3150">
      <c r="A3150" s="4">
        <v>45534.34341988426</v>
      </c>
      <c r="B3150" s="5" t="s">
        <v>34</v>
      </c>
      <c r="D3150" s="5" t="s">
        <v>2903</v>
      </c>
      <c r="E3150" s="5" t="s">
        <v>21951</v>
      </c>
      <c r="F3150" s="5" t="s">
        <v>120</v>
      </c>
      <c r="G3150" s="5" t="s">
        <v>21952</v>
      </c>
      <c r="H3150" s="6" t="s">
        <v>21953</v>
      </c>
      <c r="K3150" s="5" t="s">
        <v>21921</v>
      </c>
    </row>
    <row r="3151">
      <c r="A3151" s="4">
        <v>45534.3434209375</v>
      </c>
      <c r="B3151" s="5" t="s">
        <v>34</v>
      </c>
      <c r="D3151" s="5" t="s">
        <v>1206</v>
      </c>
      <c r="E3151" s="5" t="s">
        <v>21956</v>
      </c>
      <c r="F3151" s="5" t="s">
        <v>212</v>
      </c>
      <c r="G3151" s="5" t="s">
        <v>21957</v>
      </c>
      <c r="H3151" s="6" t="s">
        <v>21958</v>
      </c>
      <c r="K3151" s="5" t="s">
        <v>21921</v>
      </c>
    </row>
    <row r="3152">
      <c r="A3152" s="4">
        <v>45534.34343574074</v>
      </c>
      <c r="B3152" s="5" t="s">
        <v>34</v>
      </c>
      <c r="D3152" s="5" t="s">
        <v>1206</v>
      </c>
      <c r="E3152" s="5" t="s">
        <v>21961</v>
      </c>
      <c r="F3152" s="5" t="s">
        <v>37</v>
      </c>
      <c r="G3152" s="5" t="s">
        <v>21962</v>
      </c>
      <c r="H3152" s="6" t="s">
        <v>21963</v>
      </c>
      <c r="K3152" s="5" t="s">
        <v>21921</v>
      </c>
    </row>
    <row r="3153">
      <c r="A3153" s="4">
        <v>45534.34344456019</v>
      </c>
      <c r="B3153" s="5" t="s">
        <v>34</v>
      </c>
      <c r="D3153" s="5" t="s">
        <v>4775</v>
      </c>
      <c r="E3153" s="5" t="s">
        <v>21966</v>
      </c>
      <c r="F3153" s="5" t="s">
        <v>524</v>
      </c>
      <c r="G3153" s="5" t="s">
        <v>21967</v>
      </c>
      <c r="H3153" s="6" t="s">
        <v>21968</v>
      </c>
      <c r="K3153" s="5" t="s">
        <v>21921</v>
      </c>
    </row>
    <row r="3154">
      <c r="A3154" s="4">
        <v>45534.343448252315</v>
      </c>
      <c r="B3154" s="5" t="s">
        <v>34</v>
      </c>
      <c r="D3154" s="5" t="s">
        <v>35</v>
      </c>
      <c r="E3154" s="5" t="s">
        <v>21971</v>
      </c>
      <c r="F3154" s="5" t="s">
        <v>212</v>
      </c>
      <c r="G3154" s="5" t="s">
        <v>21972</v>
      </c>
      <c r="H3154" s="6" t="s">
        <v>21973</v>
      </c>
      <c r="K3154" s="5" t="s">
        <v>21921</v>
      </c>
    </row>
    <row r="3155">
      <c r="A3155" s="4">
        <v>45534.343458958334</v>
      </c>
      <c r="B3155" s="5" t="s">
        <v>19</v>
      </c>
      <c r="C3155" s="5" t="s">
        <v>5564</v>
      </c>
      <c r="E3155" s="5" t="s">
        <v>21976</v>
      </c>
      <c r="F3155" s="5" t="s">
        <v>212</v>
      </c>
      <c r="G3155" s="5" t="s">
        <v>21977</v>
      </c>
      <c r="H3155" s="6" t="s">
        <v>21978</v>
      </c>
      <c r="K3155" s="5" t="s">
        <v>21921</v>
      </c>
    </row>
    <row r="3156">
      <c r="A3156" s="4">
        <v>45534.343468900464</v>
      </c>
      <c r="B3156" s="5" t="s">
        <v>34</v>
      </c>
      <c r="D3156" s="5" t="s">
        <v>4775</v>
      </c>
      <c r="E3156" s="5" t="s">
        <v>21982</v>
      </c>
      <c r="F3156" s="5" t="s">
        <v>212</v>
      </c>
      <c r="G3156" s="5" t="s">
        <v>21983</v>
      </c>
      <c r="H3156" s="6" t="s">
        <v>21984</v>
      </c>
      <c r="K3156" s="5" t="s">
        <v>21921</v>
      </c>
    </row>
    <row r="3157">
      <c r="A3157" s="4">
        <v>45534.3434722338</v>
      </c>
      <c r="B3157" s="5" t="s">
        <v>19</v>
      </c>
      <c r="C3157" s="5" t="s">
        <v>292</v>
      </c>
      <c r="E3157" s="5" t="s">
        <v>21987</v>
      </c>
      <c r="F3157" s="5" t="s">
        <v>72</v>
      </c>
      <c r="G3157" s="5" t="s">
        <v>21988</v>
      </c>
      <c r="H3157" s="6" t="s">
        <v>21989</v>
      </c>
      <c r="K3157" s="5" t="s">
        <v>21921</v>
      </c>
    </row>
    <row r="3158">
      <c r="A3158" s="4">
        <v>45534.343474189816</v>
      </c>
      <c r="B3158" s="5" t="s">
        <v>34</v>
      </c>
      <c r="D3158" s="5" t="s">
        <v>580</v>
      </c>
      <c r="E3158" s="5" t="s">
        <v>21992</v>
      </c>
      <c r="F3158" s="5" t="s">
        <v>715</v>
      </c>
      <c r="G3158" s="5" t="s">
        <v>21993</v>
      </c>
      <c r="H3158" s="6" t="s">
        <v>21994</v>
      </c>
      <c r="K3158" s="5" t="s">
        <v>21995</v>
      </c>
    </row>
    <row r="3159">
      <c r="A3159" s="4">
        <v>45534.34347542824</v>
      </c>
      <c r="B3159" s="5" t="s">
        <v>34</v>
      </c>
      <c r="D3159" s="5" t="s">
        <v>1768</v>
      </c>
      <c r="E3159" s="5" t="s">
        <v>16873</v>
      </c>
      <c r="F3159" s="5" t="s">
        <v>72</v>
      </c>
      <c r="G3159" s="5" t="s">
        <v>21998</v>
      </c>
      <c r="H3159" s="6" t="s">
        <v>21999</v>
      </c>
      <c r="K3159" s="5" t="s">
        <v>21995</v>
      </c>
    </row>
    <row r="3160">
      <c r="A3160" s="4">
        <v>45534.34348686342</v>
      </c>
      <c r="B3160" s="5" t="s">
        <v>34</v>
      </c>
      <c r="D3160" s="5" t="s">
        <v>522</v>
      </c>
      <c r="E3160" s="5" t="s">
        <v>22002</v>
      </c>
      <c r="F3160" s="5" t="s">
        <v>524</v>
      </c>
      <c r="G3160" s="5" t="s">
        <v>22003</v>
      </c>
      <c r="H3160" s="6" t="s">
        <v>22004</v>
      </c>
      <c r="K3160" s="5" t="s">
        <v>21995</v>
      </c>
    </row>
    <row r="3161">
      <c r="A3161" s="4">
        <v>45534.34348892361</v>
      </c>
      <c r="B3161" s="5" t="s">
        <v>34</v>
      </c>
      <c r="D3161" s="5" t="s">
        <v>11527</v>
      </c>
      <c r="E3161" s="5" t="s">
        <v>22007</v>
      </c>
      <c r="F3161" s="5" t="s">
        <v>72</v>
      </c>
      <c r="G3161" s="5" t="s">
        <v>22008</v>
      </c>
      <c r="H3161" s="6" t="s">
        <v>22009</v>
      </c>
      <c r="K3161" s="5" t="s">
        <v>21995</v>
      </c>
    </row>
    <row r="3162">
      <c r="A3162" s="4">
        <v>45534.3434928125</v>
      </c>
      <c r="B3162" s="5" t="s">
        <v>34</v>
      </c>
      <c r="D3162" s="5" t="s">
        <v>3849</v>
      </c>
      <c r="E3162" s="5" t="s">
        <v>22012</v>
      </c>
      <c r="F3162" s="5" t="s">
        <v>212</v>
      </c>
      <c r="G3162" s="5" t="s">
        <v>22013</v>
      </c>
      <c r="H3162" s="6" t="s">
        <v>22014</v>
      </c>
      <c r="K3162" s="5" t="s">
        <v>21995</v>
      </c>
    </row>
    <row r="3163">
      <c r="A3163" s="4">
        <v>45534.343493645836</v>
      </c>
      <c r="B3163" s="5" t="s">
        <v>34</v>
      </c>
      <c r="D3163" s="5" t="s">
        <v>1456</v>
      </c>
      <c r="E3163" s="5" t="s">
        <v>22018</v>
      </c>
      <c r="F3163" s="5" t="s">
        <v>524</v>
      </c>
      <c r="G3163" s="5" t="s">
        <v>22019</v>
      </c>
      <c r="H3163" s="6" t="s">
        <v>22020</v>
      </c>
      <c r="K3163" s="5" t="s">
        <v>21995</v>
      </c>
    </row>
    <row r="3164">
      <c r="A3164" s="4">
        <v>45534.343495243054</v>
      </c>
      <c r="B3164" s="5" t="s">
        <v>34</v>
      </c>
      <c r="D3164" s="5" t="s">
        <v>9020</v>
      </c>
      <c r="E3164" s="5" t="s">
        <v>22023</v>
      </c>
      <c r="F3164" s="5" t="s">
        <v>72</v>
      </c>
      <c r="G3164" s="5" t="s">
        <v>22024</v>
      </c>
      <c r="H3164" s="6" t="s">
        <v>22025</v>
      </c>
      <c r="K3164" s="5" t="s">
        <v>21995</v>
      </c>
    </row>
    <row r="3165">
      <c r="A3165" s="4">
        <v>45534.34350853009</v>
      </c>
      <c r="B3165" s="5" t="s">
        <v>34</v>
      </c>
      <c r="D3165" s="5" t="s">
        <v>580</v>
      </c>
      <c r="E3165" s="5" t="s">
        <v>22028</v>
      </c>
      <c r="F3165" s="5" t="s">
        <v>212</v>
      </c>
      <c r="G3165" s="5" t="s">
        <v>22029</v>
      </c>
      <c r="H3165" s="6" t="s">
        <v>22030</v>
      </c>
      <c r="I3165" s="7" t="s">
        <v>22031</v>
      </c>
      <c r="J3165" s="8" t="str">
        <f>HYPERLINK("https://drive.google.com/file/d/1uOEyAaBbOkUaXRIMMnFors4hAeXKTKR_/view?usp=drivesdk","DEWA AYU ARIASIH SERTIFIKAT BerAKHLAK")</f>
        <v>DEWA AYU ARIASIH SERTIFIKAT BerAKHLAK</v>
      </c>
      <c r="K3165" s="5" t="s">
        <v>20391</v>
      </c>
      <c r="L3165" s="5" t="s">
        <v>22032</v>
      </c>
    </row>
    <row r="3166">
      <c r="A3166" s="4">
        <v>45534.34351416667</v>
      </c>
      <c r="B3166" s="5" t="s">
        <v>34</v>
      </c>
      <c r="D3166" s="5" t="s">
        <v>7858</v>
      </c>
      <c r="E3166" s="5" t="s">
        <v>22035</v>
      </c>
      <c r="F3166" s="5" t="s">
        <v>375</v>
      </c>
      <c r="G3166" s="5" t="s">
        <v>22036</v>
      </c>
      <c r="H3166" s="6" t="s">
        <v>22037</v>
      </c>
      <c r="I3166" s="7" t="s">
        <v>22038</v>
      </c>
      <c r="J3166" s="8" t="str">
        <f>HYPERLINK("https://drive.google.com/file/d/1Vw5OwhlPRBaBha9kK87dh_kOY4U6TUse/view?usp=drivesdk","WAHYU MADHONA SUJATMOKO, S.E  SERTIFIKAT BerAKHLAK")</f>
        <v>WAHYU MADHONA SUJATMOKO, S.E  SERTIFIKAT BerAKHLAK</v>
      </c>
      <c r="K3166" s="5" t="s">
        <v>21426</v>
      </c>
      <c r="L3166" s="5" t="s">
        <v>22039</v>
      </c>
    </row>
    <row r="3167">
      <c r="A3167" s="4">
        <v>45534.34351806713</v>
      </c>
      <c r="B3167" s="5" t="s">
        <v>34</v>
      </c>
      <c r="D3167" s="5" t="s">
        <v>1206</v>
      </c>
      <c r="E3167" s="5" t="s">
        <v>22042</v>
      </c>
      <c r="F3167" s="5" t="s">
        <v>37</v>
      </c>
      <c r="G3167" s="5" t="s">
        <v>22043</v>
      </c>
      <c r="H3167" s="6" t="s">
        <v>22044</v>
      </c>
      <c r="I3167" s="7" t="s">
        <v>22045</v>
      </c>
      <c r="J3167" s="8" t="str">
        <f>HYPERLINK("https://drive.google.com/file/d/1cHPNphnFfiDU8LMrEcDhuS7Km8aQLRdd/view?usp=drivesdk","RITA OKTORINA HAPSARI SERTIFIKAT BerAKHLAK")</f>
        <v>RITA OKTORINA HAPSARI SERTIFIKAT BerAKHLAK</v>
      </c>
      <c r="K3167" s="5" t="s">
        <v>20391</v>
      </c>
      <c r="L3167" s="5" t="s">
        <v>22046</v>
      </c>
    </row>
    <row r="3168">
      <c r="A3168" s="4">
        <v>45534.34352079861</v>
      </c>
      <c r="B3168" s="5" t="s">
        <v>34</v>
      </c>
      <c r="D3168" s="5" t="s">
        <v>12978</v>
      </c>
      <c r="E3168" s="5" t="s">
        <v>22049</v>
      </c>
      <c r="F3168" s="5" t="s">
        <v>37</v>
      </c>
      <c r="G3168" s="5" t="s">
        <v>22050</v>
      </c>
      <c r="H3168" s="6" t="s">
        <v>22051</v>
      </c>
      <c r="I3168" s="7" t="s">
        <v>22052</v>
      </c>
      <c r="J3168" s="8" t="str">
        <f>HYPERLINK("https://drive.google.com/file/d/1hzzTx57iBKaUPDBe1236J3L4Swet2ypQ/view?usp=drivesdk","RINA JUNIARSA SERTIFIKAT BerAKHLAK")</f>
        <v>RINA JUNIARSA SERTIFIKAT BerAKHLAK</v>
      </c>
      <c r="K3168" s="5" t="s">
        <v>21426</v>
      </c>
      <c r="L3168" s="5" t="s">
        <v>22053</v>
      </c>
    </row>
    <row r="3169">
      <c r="A3169" s="4">
        <v>45534.34351935185</v>
      </c>
      <c r="B3169" s="5" t="s">
        <v>34</v>
      </c>
      <c r="D3169" s="5" t="s">
        <v>35</v>
      </c>
      <c r="E3169" s="5" t="s">
        <v>22057</v>
      </c>
      <c r="F3169" s="5" t="s">
        <v>524</v>
      </c>
      <c r="G3169" s="5" t="s">
        <v>22058</v>
      </c>
      <c r="H3169" s="6" t="s">
        <v>22059</v>
      </c>
      <c r="K3169" s="5" t="s">
        <v>22060</v>
      </c>
    </row>
    <row r="3170">
      <c r="A3170" s="4">
        <v>45534.343529351856</v>
      </c>
      <c r="B3170" s="5" t="s">
        <v>34</v>
      </c>
      <c r="D3170" s="5" t="s">
        <v>1206</v>
      </c>
      <c r="E3170" s="5" t="s">
        <v>22063</v>
      </c>
      <c r="F3170" s="5" t="s">
        <v>108</v>
      </c>
      <c r="G3170" s="5" t="s">
        <v>22064</v>
      </c>
      <c r="H3170" s="6" t="s">
        <v>22065</v>
      </c>
      <c r="K3170" s="5" t="s">
        <v>22060</v>
      </c>
    </row>
    <row r="3171">
      <c r="A3171" s="4">
        <v>45534.34355931713</v>
      </c>
      <c r="B3171" s="5" t="s">
        <v>34</v>
      </c>
      <c r="D3171" s="5" t="s">
        <v>35</v>
      </c>
      <c r="E3171" s="5" t="s">
        <v>22068</v>
      </c>
      <c r="F3171" s="5" t="s">
        <v>212</v>
      </c>
      <c r="G3171" s="5" t="s">
        <v>22069</v>
      </c>
      <c r="H3171" s="6" t="s">
        <v>22070</v>
      </c>
      <c r="K3171" s="5" t="s">
        <v>22060</v>
      </c>
    </row>
    <row r="3172">
      <c r="A3172" s="4">
        <v>45534.343561284724</v>
      </c>
      <c r="B3172" s="5" t="s">
        <v>34</v>
      </c>
      <c r="D3172" s="5" t="s">
        <v>4775</v>
      </c>
      <c r="E3172" s="5" t="s">
        <v>22073</v>
      </c>
      <c r="F3172" s="5" t="s">
        <v>212</v>
      </c>
      <c r="G3172" s="5" t="s">
        <v>22074</v>
      </c>
      <c r="H3172" s="6" t="s">
        <v>22075</v>
      </c>
      <c r="I3172" s="7" t="s">
        <v>22076</v>
      </c>
      <c r="J3172" s="8" t="str">
        <f>HYPERLINK("https://drive.google.com/file/d/1ht8bgrCT997nsCAciYYj2UeI-0f_W3Mx/view?usp=drivesdk","LAILY HARININGSIH SERTIFIKAT BerAKHLAK")</f>
        <v>LAILY HARININGSIH SERTIFIKAT BerAKHLAK</v>
      </c>
      <c r="K3172" s="5" t="s">
        <v>21426</v>
      </c>
      <c r="L3172" s="5" t="s">
        <v>22077</v>
      </c>
    </row>
    <row r="3173">
      <c r="A3173" s="4">
        <v>45534.34356550926</v>
      </c>
      <c r="B3173" s="5" t="s">
        <v>34</v>
      </c>
      <c r="D3173" s="5" t="s">
        <v>4775</v>
      </c>
      <c r="E3173" s="5" t="s">
        <v>22080</v>
      </c>
      <c r="F3173" s="5" t="s">
        <v>72</v>
      </c>
      <c r="G3173" s="5" t="s">
        <v>22081</v>
      </c>
      <c r="H3173" s="6" t="s">
        <v>22082</v>
      </c>
      <c r="I3173" s="7" t="s">
        <v>22083</v>
      </c>
      <c r="J3173" s="8" t="str">
        <f>HYPERLINK("https://drive.google.com/file/d/1mm5FpZwuLBlASqm3bDJPToahku89yK5C/view?usp=drivesdk","SUHARTI, SE SERTIFIKAT BerAKHLAK")</f>
        <v>SUHARTI, SE SERTIFIKAT BerAKHLAK</v>
      </c>
      <c r="K3173" s="5" t="s">
        <v>21426</v>
      </c>
      <c r="L3173" s="5" t="s">
        <v>22084</v>
      </c>
    </row>
    <row r="3174">
      <c r="A3174" s="4">
        <v>45534.34356605324</v>
      </c>
      <c r="B3174" s="5" t="s">
        <v>34</v>
      </c>
      <c r="D3174" s="5" t="s">
        <v>996</v>
      </c>
      <c r="E3174" s="5" t="s">
        <v>22087</v>
      </c>
      <c r="F3174" s="5" t="s">
        <v>212</v>
      </c>
      <c r="G3174" s="5" t="s">
        <v>22088</v>
      </c>
      <c r="H3174" s="6" t="s">
        <v>22089</v>
      </c>
      <c r="K3174" s="5" t="s">
        <v>22090</v>
      </c>
    </row>
    <row r="3175">
      <c r="A3175" s="4">
        <v>45534.343572743055</v>
      </c>
      <c r="B3175" s="5" t="s">
        <v>34</v>
      </c>
      <c r="D3175" s="5" t="s">
        <v>1558</v>
      </c>
      <c r="E3175" s="5" t="s">
        <v>22094</v>
      </c>
      <c r="F3175" s="5" t="s">
        <v>375</v>
      </c>
      <c r="G3175" s="5" t="s">
        <v>22095</v>
      </c>
      <c r="H3175" s="6" t="s">
        <v>22096</v>
      </c>
      <c r="K3175" s="5" t="s">
        <v>22090</v>
      </c>
    </row>
    <row r="3176">
      <c r="A3176" s="4">
        <v>45534.34357513889</v>
      </c>
      <c r="B3176" s="5" t="s">
        <v>34</v>
      </c>
      <c r="D3176" s="5" t="s">
        <v>1206</v>
      </c>
      <c r="E3176" s="5" t="s">
        <v>22099</v>
      </c>
      <c r="F3176" s="5" t="s">
        <v>120</v>
      </c>
      <c r="G3176" s="5" t="s">
        <v>22100</v>
      </c>
      <c r="H3176" s="6" t="s">
        <v>22101</v>
      </c>
      <c r="K3176" s="5" t="s">
        <v>22090</v>
      </c>
    </row>
    <row r="3177">
      <c r="A3177" s="4">
        <v>45534.34357699074</v>
      </c>
      <c r="B3177" s="5" t="s">
        <v>34</v>
      </c>
      <c r="D3177" s="5" t="s">
        <v>6232</v>
      </c>
      <c r="E3177" s="5" t="s">
        <v>22105</v>
      </c>
      <c r="F3177" s="5" t="s">
        <v>72</v>
      </c>
      <c r="G3177" s="5" t="s">
        <v>22106</v>
      </c>
      <c r="H3177" s="6" t="s">
        <v>22107</v>
      </c>
      <c r="K3177" s="5" t="s">
        <v>22090</v>
      </c>
    </row>
    <row r="3178">
      <c r="A3178" s="4">
        <v>45534.3435900926</v>
      </c>
      <c r="B3178" s="5" t="s">
        <v>34</v>
      </c>
      <c r="D3178" s="5" t="s">
        <v>4775</v>
      </c>
      <c r="E3178" s="5" t="s">
        <v>22111</v>
      </c>
      <c r="F3178" s="5" t="s">
        <v>108</v>
      </c>
      <c r="G3178" s="5" t="s">
        <v>22112</v>
      </c>
      <c r="H3178" s="6" t="s">
        <v>22113</v>
      </c>
      <c r="I3178" s="7" t="s">
        <v>22114</v>
      </c>
      <c r="J3178" s="8" t="str">
        <f>HYPERLINK("https://drive.google.com/file/d/1rodQOJ_KGqKkNzwgA8GWsVIyKaQE_QGJ/view?usp=drivesdk","SARI SUMARYATI SERTIFIKAT BerAKHLAK")</f>
        <v>SARI SUMARYATI SERTIFIKAT BerAKHLAK</v>
      </c>
      <c r="K3178" s="5" t="s">
        <v>21426</v>
      </c>
      <c r="L3178" s="5" t="s">
        <v>22115</v>
      </c>
    </row>
    <row r="3179">
      <c r="A3179" s="4">
        <v>45534.34359429398</v>
      </c>
      <c r="B3179" s="5" t="s">
        <v>34</v>
      </c>
      <c r="D3179" s="5" t="s">
        <v>4775</v>
      </c>
      <c r="E3179" s="5" t="s">
        <v>22119</v>
      </c>
      <c r="F3179" s="5" t="s">
        <v>72</v>
      </c>
      <c r="G3179" s="5" t="s">
        <v>22120</v>
      </c>
      <c r="H3179" s="6" t="s">
        <v>22121</v>
      </c>
      <c r="I3179" s="7" t="s">
        <v>22122</v>
      </c>
      <c r="J3179" s="8" t="str">
        <f>HYPERLINK("https://drive.google.com/file/d/1nSGwCKeYHaxs5g9P0DSiZeib8r9RB1h_/view?usp=drivesdk","TRIYOGO SERTIFIKAT BerAKHLAK")</f>
        <v>TRIYOGO SERTIFIKAT BerAKHLAK</v>
      </c>
      <c r="K3179" s="5" t="s">
        <v>21426</v>
      </c>
      <c r="L3179" s="5" t="s">
        <v>22123</v>
      </c>
    </row>
    <row r="3180">
      <c r="A3180" s="4">
        <v>45534.3435945949</v>
      </c>
      <c r="B3180" s="5" t="s">
        <v>34</v>
      </c>
      <c r="D3180" s="5" t="s">
        <v>9394</v>
      </c>
      <c r="E3180" s="5" t="s">
        <v>22127</v>
      </c>
      <c r="F3180" s="5" t="s">
        <v>22</v>
      </c>
      <c r="G3180" s="5" t="s">
        <v>22128</v>
      </c>
      <c r="H3180" s="6" t="s">
        <v>22129</v>
      </c>
      <c r="I3180" s="7" t="s">
        <v>22130</v>
      </c>
      <c r="J3180" s="8" t="str">
        <f>HYPERLINK("https://drive.google.com/file/d/1ZJijB1GTizydmw8bBS94YBFHDGOFqTSu/view?usp=drivesdk","Drs.MAHMUD SERTIFIKAT BerAKHLAK")</f>
        <v>Drs.MAHMUD SERTIFIKAT BerAKHLAK</v>
      </c>
      <c r="K3180" s="5" t="s">
        <v>21426</v>
      </c>
      <c r="L3180" s="5" t="s">
        <v>22131</v>
      </c>
    </row>
    <row r="3181">
      <c r="A3181" s="4">
        <v>45534.343602442124</v>
      </c>
      <c r="B3181" s="5" t="s">
        <v>34</v>
      </c>
      <c r="D3181" s="5" t="s">
        <v>1206</v>
      </c>
      <c r="E3181" s="5" t="s">
        <v>22135</v>
      </c>
      <c r="F3181" s="5" t="s">
        <v>37</v>
      </c>
      <c r="G3181" s="5" t="s">
        <v>22136</v>
      </c>
      <c r="H3181" s="6" t="s">
        <v>22137</v>
      </c>
      <c r="K3181" s="5" t="s">
        <v>22138</v>
      </c>
    </row>
    <row r="3182">
      <c r="A3182" s="4">
        <v>45534.343605625</v>
      </c>
      <c r="B3182" s="5" t="s">
        <v>19</v>
      </c>
      <c r="C3182" s="5" t="s">
        <v>292</v>
      </c>
      <c r="E3182" s="5" t="s">
        <v>22142</v>
      </c>
      <c r="F3182" s="5" t="s">
        <v>120</v>
      </c>
      <c r="G3182" s="5" t="s">
        <v>22143</v>
      </c>
      <c r="H3182" s="6" t="s">
        <v>22144</v>
      </c>
      <c r="K3182" s="5" t="s">
        <v>22138</v>
      </c>
    </row>
    <row r="3183">
      <c r="A3183" s="4">
        <v>45534.34360789352</v>
      </c>
      <c r="B3183" s="5" t="s">
        <v>34</v>
      </c>
      <c r="D3183" s="5" t="s">
        <v>4775</v>
      </c>
      <c r="E3183" s="5" t="s">
        <v>22148</v>
      </c>
      <c r="F3183" s="5" t="s">
        <v>212</v>
      </c>
      <c r="G3183" s="5" t="s">
        <v>22149</v>
      </c>
      <c r="H3183" s="6" t="s">
        <v>22150</v>
      </c>
      <c r="K3183" s="5" t="s">
        <v>22138</v>
      </c>
    </row>
    <row r="3184">
      <c r="A3184" s="4">
        <v>45534.3436128125</v>
      </c>
      <c r="B3184" s="5" t="s">
        <v>34</v>
      </c>
      <c r="D3184" s="5" t="s">
        <v>1206</v>
      </c>
      <c r="E3184" s="5" t="s">
        <v>22154</v>
      </c>
      <c r="F3184" s="5" t="s">
        <v>328</v>
      </c>
      <c r="G3184" s="5" t="s">
        <v>22155</v>
      </c>
      <c r="H3184" s="6" t="s">
        <v>22156</v>
      </c>
      <c r="K3184" s="5" t="s">
        <v>22138</v>
      </c>
    </row>
    <row r="3185">
      <c r="A3185" s="4">
        <v>45534.34362349537</v>
      </c>
      <c r="B3185" s="5" t="s">
        <v>19</v>
      </c>
      <c r="C3185" s="5" t="s">
        <v>292</v>
      </c>
      <c r="E3185" s="5" t="s">
        <v>22160</v>
      </c>
      <c r="F3185" s="5" t="s">
        <v>715</v>
      </c>
      <c r="G3185" s="5" t="s">
        <v>22161</v>
      </c>
      <c r="H3185" s="6" t="s">
        <v>22162</v>
      </c>
      <c r="I3185" s="7" t="s">
        <v>22163</v>
      </c>
      <c r="J3185" s="8" t="str">
        <f>HYPERLINK("https://drive.google.com/file/d/1-Q5HlTqnFTO9QMTWHGanGY2j3FQp-V_1/view?usp=drivesdk","HENDRIK KUNTORO S.E SERTIFIKAT BerAKHLAK")</f>
        <v>HENDRIK KUNTORO S.E SERTIFIKAT BerAKHLAK</v>
      </c>
      <c r="K3185" s="5" t="s">
        <v>21426</v>
      </c>
      <c r="L3185" s="5" t="s">
        <v>22164</v>
      </c>
    </row>
    <row r="3186">
      <c r="A3186" s="4">
        <v>45534.343627870374</v>
      </c>
      <c r="B3186" s="5" t="s">
        <v>34</v>
      </c>
      <c r="D3186" s="5" t="s">
        <v>12978</v>
      </c>
      <c r="E3186" s="5" t="s">
        <v>22168</v>
      </c>
      <c r="F3186" s="5" t="s">
        <v>375</v>
      </c>
      <c r="G3186" s="5" t="s">
        <v>22169</v>
      </c>
      <c r="H3186" s="6" t="s">
        <v>22170</v>
      </c>
      <c r="I3186" s="7" t="s">
        <v>22171</v>
      </c>
      <c r="J3186" s="8" t="str">
        <f>HYPERLINK("https://drive.google.com/file/d/1RH1AO2o5_TEeroNLlMXoDhgQma84dAFJ/view?usp=drivesdk","NOVIE WIDIASTUTI, S.E. SERTIFIKAT BerAKHLAK")</f>
        <v>NOVIE WIDIASTUTI, S.E. SERTIFIKAT BerAKHLAK</v>
      </c>
      <c r="K3186" s="5" t="s">
        <v>21426</v>
      </c>
      <c r="L3186" s="5" t="s">
        <v>22172</v>
      </c>
    </row>
    <row r="3187">
      <c r="A3187" s="4">
        <v>45534.34362994213</v>
      </c>
      <c r="B3187" s="5" t="s">
        <v>34</v>
      </c>
      <c r="D3187" s="5" t="s">
        <v>280</v>
      </c>
      <c r="E3187" s="5" t="s">
        <v>22176</v>
      </c>
      <c r="F3187" s="5" t="s">
        <v>375</v>
      </c>
      <c r="G3187" s="5" t="s">
        <v>22177</v>
      </c>
      <c r="H3187" s="6" t="s">
        <v>22178</v>
      </c>
      <c r="K3187" s="5" t="s">
        <v>22179</v>
      </c>
    </row>
    <row r="3188">
      <c r="A3188" s="4">
        <v>45534.34363430555</v>
      </c>
      <c r="B3188" s="5" t="s">
        <v>34</v>
      </c>
      <c r="D3188" s="5" t="s">
        <v>14313</v>
      </c>
      <c r="E3188" s="5" t="s">
        <v>22183</v>
      </c>
      <c r="F3188" s="5" t="s">
        <v>375</v>
      </c>
      <c r="G3188" s="5" t="s">
        <v>22184</v>
      </c>
      <c r="H3188" s="6" t="s">
        <v>22185</v>
      </c>
      <c r="K3188" s="5" t="s">
        <v>22179</v>
      </c>
    </row>
    <row r="3189">
      <c r="A3189" s="4">
        <v>45534.34363545139</v>
      </c>
      <c r="B3189" s="5" t="s">
        <v>34</v>
      </c>
      <c r="D3189" s="5" t="s">
        <v>6232</v>
      </c>
      <c r="E3189" s="5" t="s">
        <v>22189</v>
      </c>
      <c r="F3189" s="5" t="s">
        <v>72</v>
      </c>
      <c r="G3189" s="5" t="s">
        <v>22190</v>
      </c>
      <c r="H3189" s="6" t="s">
        <v>22191</v>
      </c>
      <c r="K3189" s="5" t="s">
        <v>22179</v>
      </c>
    </row>
    <row r="3190">
      <c r="A3190" s="4">
        <v>45534.34363688657</v>
      </c>
      <c r="B3190" s="5" t="s">
        <v>34</v>
      </c>
      <c r="D3190" s="5" t="s">
        <v>35</v>
      </c>
      <c r="E3190" s="5" t="s">
        <v>22195</v>
      </c>
      <c r="F3190" s="5" t="s">
        <v>328</v>
      </c>
      <c r="G3190" s="5" t="s">
        <v>22196</v>
      </c>
      <c r="H3190" s="6" t="s">
        <v>22197</v>
      </c>
      <c r="K3190" s="5" t="s">
        <v>22179</v>
      </c>
    </row>
    <row r="3191">
      <c r="A3191" s="4">
        <v>45534.343641875</v>
      </c>
      <c r="B3191" s="5" t="s">
        <v>34</v>
      </c>
      <c r="D3191" s="5" t="s">
        <v>9020</v>
      </c>
      <c r="E3191" s="5" t="s">
        <v>22201</v>
      </c>
      <c r="F3191" s="5" t="s">
        <v>212</v>
      </c>
      <c r="G3191" s="5" t="s">
        <v>22202</v>
      </c>
      <c r="H3191" s="6" t="s">
        <v>22203</v>
      </c>
      <c r="K3191" s="5" t="s">
        <v>22179</v>
      </c>
    </row>
    <row r="3192">
      <c r="A3192" s="4">
        <v>45534.343643182874</v>
      </c>
      <c r="B3192" s="5" t="s">
        <v>34</v>
      </c>
      <c r="D3192" s="5" t="s">
        <v>12978</v>
      </c>
      <c r="E3192" s="5" t="s">
        <v>22207</v>
      </c>
      <c r="F3192" s="5" t="s">
        <v>524</v>
      </c>
      <c r="G3192" s="5" t="s">
        <v>22208</v>
      </c>
      <c r="H3192" s="6" t="s">
        <v>22209</v>
      </c>
      <c r="K3192" s="5" t="s">
        <v>22179</v>
      </c>
    </row>
    <row r="3193">
      <c r="A3193" s="4">
        <v>45534.34364871528</v>
      </c>
      <c r="B3193" s="5" t="s">
        <v>34</v>
      </c>
      <c r="D3193" s="5" t="s">
        <v>1206</v>
      </c>
      <c r="E3193" s="5" t="s">
        <v>22213</v>
      </c>
      <c r="F3193" s="5" t="s">
        <v>6776</v>
      </c>
      <c r="G3193" s="5" t="s">
        <v>22214</v>
      </c>
      <c r="H3193" s="6" t="s">
        <v>22215</v>
      </c>
      <c r="K3193" s="5" t="s">
        <v>22179</v>
      </c>
    </row>
    <row r="3194">
      <c r="A3194" s="4">
        <v>45534.34365206018</v>
      </c>
      <c r="B3194" s="5" t="s">
        <v>34</v>
      </c>
      <c r="D3194" s="5" t="s">
        <v>4775</v>
      </c>
      <c r="E3194" s="5" t="s">
        <v>22219</v>
      </c>
      <c r="F3194" s="5" t="s">
        <v>108</v>
      </c>
      <c r="G3194" s="5" t="s">
        <v>22220</v>
      </c>
      <c r="H3194" s="6" t="s">
        <v>22221</v>
      </c>
      <c r="K3194" s="5" t="s">
        <v>22179</v>
      </c>
    </row>
    <row r="3195">
      <c r="A3195" s="4">
        <v>45534.34365746527</v>
      </c>
      <c r="B3195" s="5" t="s">
        <v>34</v>
      </c>
      <c r="D3195" s="5" t="s">
        <v>9020</v>
      </c>
      <c r="E3195" s="5" t="s">
        <v>22225</v>
      </c>
      <c r="F3195" s="5" t="s">
        <v>72</v>
      </c>
      <c r="G3195" s="5" t="s">
        <v>22226</v>
      </c>
      <c r="H3195" s="6" t="s">
        <v>22227</v>
      </c>
      <c r="K3195" s="5" t="s">
        <v>22179</v>
      </c>
    </row>
    <row r="3196">
      <c r="A3196" s="4">
        <v>45534.343666643515</v>
      </c>
      <c r="B3196" s="5" t="s">
        <v>34</v>
      </c>
      <c r="D3196" s="5" t="s">
        <v>1206</v>
      </c>
      <c r="E3196" s="5" t="s">
        <v>22231</v>
      </c>
      <c r="F3196" s="5" t="s">
        <v>524</v>
      </c>
      <c r="G3196" s="5" t="s">
        <v>22232</v>
      </c>
      <c r="H3196" s="6" t="s">
        <v>22233</v>
      </c>
      <c r="K3196" s="5" t="s">
        <v>22179</v>
      </c>
    </row>
    <row r="3197">
      <c r="A3197" s="4">
        <v>45534.343683680556</v>
      </c>
      <c r="B3197" s="5" t="s">
        <v>34</v>
      </c>
      <c r="D3197" s="5" t="s">
        <v>12978</v>
      </c>
      <c r="E3197" s="5" t="s">
        <v>22237</v>
      </c>
      <c r="F3197" s="5" t="s">
        <v>212</v>
      </c>
      <c r="G3197" s="5" t="s">
        <v>22238</v>
      </c>
      <c r="H3197" s="6" t="s">
        <v>22239</v>
      </c>
      <c r="K3197" s="5" t="s">
        <v>22240</v>
      </c>
    </row>
    <row r="3198">
      <c r="A3198" s="4">
        <v>45534.34368467593</v>
      </c>
      <c r="B3198" s="5" t="s">
        <v>34</v>
      </c>
      <c r="D3198" s="5" t="s">
        <v>1206</v>
      </c>
      <c r="E3198" s="5" t="s">
        <v>22244</v>
      </c>
      <c r="F3198" s="5" t="s">
        <v>37</v>
      </c>
      <c r="G3198" s="5" t="s">
        <v>22245</v>
      </c>
      <c r="H3198" s="6" t="s">
        <v>22246</v>
      </c>
      <c r="K3198" s="5" t="s">
        <v>22247</v>
      </c>
    </row>
    <row r="3199">
      <c r="A3199" s="4">
        <v>45534.34369653935</v>
      </c>
      <c r="B3199" s="5" t="s">
        <v>34</v>
      </c>
      <c r="D3199" s="5" t="s">
        <v>9020</v>
      </c>
      <c r="E3199" s="5" t="s">
        <v>22251</v>
      </c>
      <c r="F3199" s="5" t="s">
        <v>120</v>
      </c>
      <c r="G3199" s="5" t="s">
        <v>22252</v>
      </c>
      <c r="H3199" s="6" t="s">
        <v>22253</v>
      </c>
      <c r="K3199" s="5" t="s">
        <v>22254</v>
      </c>
    </row>
    <row r="3200">
      <c r="A3200" s="4">
        <v>45534.34370111111</v>
      </c>
      <c r="B3200" s="5" t="s">
        <v>34</v>
      </c>
      <c r="D3200" s="5" t="s">
        <v>267</v>
      </c>
      <c r="E3200" s="5" t="s">
        <v>22258</v>
      </c>
      <c r="F3200" s="5" t="s">
        <v>212</v>
      </c>
      <c r="G3200" s="5" t="s">
        <v>22259</v>
      </c>
      <c r="H3200" s="6" t="s">
        <v>22260</v>
      </c>
      <c r="K3200" s="5" t="s">
        <v>22254</v>
      </c>
    </row>
    <row r="3201">
      <c r="A3201" s="4">
        <v>45534.34370680556</v>
      </c>
      <c r="B3201" s="5" t="s">
        <v>34</v>
      </c>
      <c r="D3201" s="5" t="s">
        <v>4775</v>
      </c>
      <c r="E3201" s="5" t="s">
        <v>22264</v>
      </c>
      <c r="F3201" s="5" t="s">
        <v>375</v>
      </c>
      <c r="G3201" s="5" t="s">
        <v>22265</v>
      </c>
      <c r="H3201" s="6" t="s">
        <v>22266</v>
      </c>
      <c r="K3201" s="5" t="s">
        <v>22254</v>
      </c>
    </row>
    <row r="3202">
      <c r="A3202" s="4">
        <v>45534.34370534722</v>
      </c>
      <c r="B3202" s="5" t="s">
        <v>34</v>
      </c>
      <c r="D3202" s="5" t="s">
        <v>35</v>
      </c>
      <c r="E3202" s="5" t="s">
        <v>22270</v>
      </c>
      <c r="F3202" s="5" t="s">
        <v>37</v>
      </c>
      <c r="G3202" s="5" t="s">
        <v>22271</v>
      </c>
      <c r="H3202" s="6" t="s">
        <v>22272</v>
      </c>
      <c r="K3202" s="5" t="s">
        <v>22254</v>
      </c>
    </row>
    <row r="3203">
      <c r="A3203" s="4">
        <v>45534.343709305555</v>
      </c>
      <c r="B3203" s="5" t="s">
        <v>34</v>
      </c>
      <c r="D3203" s="5" t="s">
        <v>701</v>
      </c>
      <c r="E3203" s="5" t="s">
        <v>22276</v>
      </c>
      <c r="F3203" s="5" t="s">
        <v>212</v>
      </c>
      <c r="G3203" s="5" t="s">
        <v>22277</v>
      </c>
      <c r="H3203" s="6" t="s">
        <v>22278</v>
      </c>
      <c r="K3203" s="5" t="s">
        <v>22254</v>
      </c>
    </row>
    <row r="3204">
      <c r="A3204" s="4">
        <v>45534.343714386574</v>
      </c>
      <c r="B3204" s="5" t="s">
        <v>34</v>
      </c>
      <c r="D3204" s="5" t="s">
        <v>4775</v>
      </c>
      <c r="E3204" s="5" t="s">
        <v>22282</v>
      </c>
      <c r="F3204" s="5" t="s">
        <v>108</v>
      </c>
      <c r="G3204" s="5" t="s">
        <v>22283</v>
      </c>
      <c r="H3204" s="6" t="s">
        <v>22284</v>
      </c>
      <c r="K3204" s="5" t="s">
        <v>22254</v>
      </c>
    </row>
    <row r="3205">
      <c r="A3205" s="4">
        <v>45534.34372012732</v>
      </c>
      <c r="B3205" s="5" t="s">
        <v>34</v>
      </c>
      <c r="D3205" s="5" t="s">
        <v>9020</v>
      </c>
      <c r="E3205" s="5" t="s">
        <v>22288</v>
      </c>
      <c r="F3205" s="5" t="s">
        <v>212</v>
      </c>
      <c r="G3205" s="5" t="s">
        <v>22289</v>
      </c>
      <c r="H3205" s="6" t="s">
        <v>22290</v>
      </c>
      <c r="K3205" s="5" t="s">
        <v>22291</v>
      </c>
    </row>
    <row r="3206">
      <c r="A3206" s="4">
        <v>45534.34372217592</v>
      </c>
      <c r="B3206" s="5" t="s">
        <v>34</v>
      </c>
      <c r="D3206" s="5" t="s">
        <v>6232</v>
      </c>
      <c r="E3206" s="5" t="s">
        <v>22295</v>
      </c>
      <c r="F3206" s="5" t="s">
        <v>524</v>
      </c>
      <c r="G3206" s="5" t="s">
        <v>22296</v>
      </c>
      <c r="H3206" s="6" t="s">
        <v>22297</v>
      </c>
      <c r="K3206" s="5" t="s">
        <v>22291</v>
      </c>
    </row>
    <row r="3207">
      <c r="A3207" s="4">
        <v>45534.34372247686</v>
      </c>
      <c r="B3207" s="5" t="s">
        <v>34</v>
      </c>
      <c r="D3207" s="5" t="s">
        <v>12978</v>
      </c>
      <c r="E3207" s="5" t="s">
        <v>22301</v>
      </c>
      <c r="F3207" s="5" t="s">
        <v>108</v>
      </c>
      <c r="G3207" s="5" t="s">
        <v>22302</v>
      </c>
      <c r="H3207" s="6" t="s">
        <v>22303</v>
      </c>
      <c r="K3207" s="5" t="s">
        <v>22291</v>
      </c>
    </row>
    <row r="3208">
      <c r="A3208" s="4">
        <v>45534.343726990744</v>
      </c>
      <c r="B3208" s="5" t="s">
        <v>34</v>
      </c>
      <c r="D3208" s="5" t="s">
        <v>35</v>
      </c>
      <c r="E3208" s="5" t="s">
        <v>22307</v>
      </c>
      <c r="F3208" s="5" t="s">
        <v>375</v>
      </c>
      <c r="G3208" s="5" t="s">
        <v>22308</v>
      </c>
      <c r="H3208" s="6" t="s">
        <v>22309</v>
      </c>
      <c r="K3208" s="5" t="s">
        <v>22291</v>
      </c>
    </row>
    <row r="3209">
      <c r="A3209" s="4">
        <v>45534.343733229165</v>
      </c>
      <c r="B3209" s="5" t="s">
        <v>34</v>
      </c>
      <c r="D3209" s="5" t="s">
        <v>6232</v>
      </c>
      <c r="E3209" s="5" t="s">
        <v>22313</v>
      </c>
      <c r="F3209" s="5" t="s">
        <v>108</v>
      </c>
      <c r="G3209" s="5" t="s">
        <v>22314</v>
      </c>
      <c r="H3209" s="6" t="s">
        <v>22315</v>
      </c>
      <c r="K3209" s="5" t="s">
        <v>22291</v>
      </c>
    </row>
    <row r="3210">
      <c r="A3210" s="4">
        <v>45534.343749074076</v>
      </c>
      <c r="B3210" s="5" t="s">
        <v>34</v>
      </c>
      <c r="D3210" s="5" t="s">
        <v>10444</v>
      </c>
      <c r="E3210" s="5" t="s">
        <v>22319</v>
      </c>
      <c r="F3210" s="5" t="s">
        <v>212</v>
      </c>
      <c r="G3210" s="5" t="s">
        <v>22320</v>
      </c>
      <c r="H3210" s="6" t="s">
        <v>22321</v>
      </c>
      <c r="K3210" s="5" t="s">
        <v>22291</v>
      </c>
    </row>
    <row r="3211">
      <c r="A3211" s="4">
        <v>45534.34374923611</v>
      </c>
      <c r="B3211" s="5" t="s">
        <v>34</v>
      </c>
      <c r="D3211" s="5" t="s">
        <v>267</v>
      </c>
      <c r="E3211" s="5" t="s">
        <v>22325</v>
      </c>
      <c r="F3211" s="5" t="s">
        <v>524</v>
      </c>
      <c r="G3211" s="5" t="s">
        <v>22326</v>
      </c>
      <c r="H3211" s="6" t="s">
        <v>22327</v>
      </c>
      <c r="K3211" s="5" t="s">
        <v>22291</v>
      </c>
    </row>
    <row r="3212">
      <c r="A3212" s="4">
        <v>45534.343749594904</v>
      </c>
      <c r="B3212" s="5" t="s">
        <v>34</v>
      </c>
      <c r="D3212" s="5" t="s">
        <v>280</v>
      </c>
      <c r="E3212" s="5" t="s">
        <v>22331</v>
      </c>
      <c r="F3212" s="5" t="s">
        <v>375</v>
      </c>
      <c r="G3212" s="5" t="s">
        <v>22332</v>
      </c>
      <c r="H3212" s="6" t="s">
        <v>22333</v>
      </c>
      <c r="K3212" s="5" t="s">
        <v>22291</v>
      </c>
    </row>
    <row r="3213">
      <c r="A3213" s="4">
        <v>45534.3437706713</v>
      </c>
      <c r="B3213" s="5" t="s">
        <v>34</v>
      </c>
      <c r="D3213" s="5" t="s">
        <v>4775</v>
      </c>
      <c r="E3213" s="5" t="s">
        <v>22337</v>
      </c>
      <c r="F3213" s="5" t="s">
        <v>212</v>
      </c>
      <c r="G3213" s="5" t="s">
        <v>22338</v>
      </c>
      <c r="H3213" s="6" t="s">
        <v>22339</v>
      </c>
      <c r="K3213" s="5" t="s">
        <v>22340</v>
      </c>
    </row>
    <row r="3214">
      <c r="A3214" s="4">
        <v>45534.343774340276</v>
      </c>
      <c r="B3214" s="5" t="s">
        <v>34</v>
      </c>
      <c r="D3214" s="5" t="s">
        <v>580</v>
      </c>
      <c r="E3214" s="5" t="s">
        <v>22344</v>
      </c>
      <c r="F3214" s="5" t="s">
        <v>72</v>
      </c>
      <c r="G3214" s="5" t="s">
        <v>22345</v>
      </c>
      <c r="H3214" s="6" t="s">
        <v>22346</v>
      </c>
      <c r="K3214" s="5" t="s">
        <v>22340</v>
      </c>
    </row>
    <row r="3215">
      <c r="A3215" s="4">
        <v>45534.343779999996</v>
      </c>
      <c r="B3215" s="5" t="s">
        <v>34</v>
      </c>
      <c r="D3215" s="5" t="s">
        <v>1206</v>
      </c>
      <c r="E3215" s="5" t="s">
        <v>22350</v>
      </c>
      <c r="F3215" s="5" t="s">
        <v>212</v>
      </c>
      <c r="G3215" s="5" t="s">
        <v>22351</v>
      </c>
      <c r="H3215" s="6" t="s">
        <v>22352</v>
      </c>
      <c r="K3215" s="5" t="s">
        <v>22340</v>
      </c>
    </row>
    <row r="3216">
      <c r="A3216" s="4">
        <v>45534.343788252314</v>
      </c>
      <c r="B3216" s="5" t="s">
        <v>34</v>
      </c>
      <c r="D3216" s="5" t="s">
        <v>35</v>
      </c>
      <c r="E3216" s="5" t="s">
        <v>22356</v>
      </c>
      <c r="F3216" s="5" t="s">
        <v>212</v>
      </c>
      <c r="G3216" s="5" t="s">
        <v>22357</v>
      </c>
      <c r="H3216" s="6" t="s">
        <v>22358</v>
      </c>
      <c r="K3216" s="5" t="s">
        <v>22340</v>
      </c>
    </row>
    <row r="3217">
      <c r="A3217" s="4">
        <v>45534.34379402778</v>
      </c>
      <c r="B3217" s="5" t="s">
        <v>34</v>
      </c>
      <c r="D3217" s="5" t="s">
        <v>1206</v>
      </c>
      <c r="E3217" s="5" t="s">
        <v>22362</v>
      </c>
      <c r="F3217" s="5" t="s">
        <v>72</v>
      </c>
      <c r="G3217" s="5" t="s">
        <v>22363</v>
      </c>
      <c r="H3217" s="6" t="s">
        <v>22364</v>
      </c>
      <c r="K3217" s="5" t="s">
        <v>22340</v>
      </c>
    </row>
    <row r="3218">
      <c r="A3218" s="4">
        <v>45534.343798773145</v>
      </c>
      <c r="B3218" s="5" t="s">
        <v>34</v>
      </c>
      <c r="D3218" s="5" t="s">
        <v>522</v>
      </c>
      <c r="E3218" s="5" t="s">
        <v>22367</v>
      </c>
      <c r="F3218" s="5" t="s">
        <v>72</v>
      </c>
      <c r="G3218" s="5" t="s">
        <v>22368</v>
      </c>
      <c r="H3218" s="6" t="s">
        <v>22369</v>
      </c>
      <c r="K3218" s="5" t="s">
        <v>22340</v>
      </c>
    </row>
    <row r="3219">
      <c r="A3219" s="4">
        <v>45534.34380353009</v>
      </c>
      <c r="B3219" s="5" t="s">
        <v>34</v>
      </c>
      <c r="D3219" s="5" t="s">
        <v>1206</v>
      </c>
      <c r="E3219" s="5" t="s">
        <v>22373</v>
      </c>
      <c r="F3219" s="5" t="s">
        <v>5859</v>
      </c>
      <c r="G3219" s="5" t="s">
        <v>22374</v>
      </c>
      <c r="H3219" s="6" t="s">
        <v>22375</v>
      </c>
      <c r="K3219" s="5" t="s">
        <v>22340</v>
      </c>
    </row>
    <row r="3220">
      <c r="A3220" s="4">
        <v>45534.343803842596</v>
      </c>
      <c r="B3220" s="5" t="s">
        <v>34</v>
      </c>
      <c r="D3220" s="5" t="s">
        <v>7858</v>
      </c>
      <c r="E3220" s="5" t="s">
        <v>22378</v>
      </c>
      <c r="F3220" s="5" t="s">
        <v>715</v>
      </c>
      <c r="G3220" s="5" t="s">
        <v>22379</v>
      </c>
      <c r="H3220" s="6" t="s">
        <v>22380</v>
      </c>
      <c r="K3220" s="5" t="s">
        <v>22340</v>
      </c>
    </row>
    <row r="3221">
      <c r="A3221" s="4">
        <v>45534.34380584491</v>
      </c>
      <c r="B3221" s="5" t="s">
        <v>34</v>
      </c>
      <c r="D3221" s="5" t="s">
        <v>280</v>
      </c>
      <c r="E3221" s="5" t="s">
        <v>22383</v>
      </c>
      <c r="F3221" s="5" t="s">
        <v>212</v>
      </c>
      <c r="G3221" s="5" t="s">
        <v>22384</v>
      </c>
      <c r="H3221" s="6" t="s">
        <v>22385</v>
      </c>
      <c r="K3221" s="5" t="s">
        <v>22340</v>
      </c>
    </row>
    <row r="3222">
      <c r="A3222" s="4">
        <v>45534.34380688657</v>
      </c>
      <c r="B3222" s="5" t="s">
        <v>34</v>
      </c>
      <c r="D3222" s="5" t="s">
        <v>1768</v>
      </c>
      <c r="E3222" s="5" t="s">
        <v>22389</v>
      </c>
      <c r="F3222" s="5" t="s">
        <v>375</v>
      </c>
      <c r="G3222" s="5" t="s">
        <v>22390</v>
      </c>
      <c r="H3222" s="6" t="s">
        <v>22391</v>
      </c>
      <c r="K3222" s="5" t="s">
        <v>22340</v>
      </c>
    </row>
    <row r="3223">
      <c r="A3223" s="4">
        <v>45534.343817326386</v>
      </c>
      <c r="B3223" s="5" t="s">
        <v>34</v>
      </c>
      <c r="D3223" s="5" t="s">
        <v>267</v>
      </c>
      <c r="E3223" s="5" t="s">
        <v>16208</v>
      </c>
      <c r="F3223" s="5" t="s">
        <v>37</v>
      </c>
      <c r="G3223" s="5" t="s">
        <v>22394</v>
      </c>
      <c r="H3223" s="6" t="s">
        <v>22395</v>
      </c>
      <c r="K3223" s="5" t="s">
        <v>22340</v>
      </c>
    </row>
    <row r="3224">
      <c r="A3224" s="4">
        <v>45534.343827442135</v>
      </c>
      <c r="B3224" s="5" t="s">
        <v>34</v>
      </c>
      <c r="D3224" s="5" t="s">
        <v>10444</v>
      </c>
      <c r="E3224" s="5" t="s">
        <v>22398</v>
      </c>
      <c r="F3224" s="5" t="s">
        <v>72</v>
      </c>
      <c r="G3224" s="5" t="s">
        <v>22399</v>
      </c>
      <c r="H3224" s="6" t="s">
        <v>22400</v>
      </c>
      <c r="K3224" s="5" t="s">
        <v>22340</v>
      </c>
    </row>
    <row r="3225">
      <c r="A3225" s="4">
        <v>45534.343831273145</v>
      </c>
      <c r="B3225" s="5" t="s">
        <v>34</v>
      </c>
      <c r="D3225" s="5" t="s">
        <v>2903</v>
      </c>
      <c r="E3225" s="5" t="s">
        <v>22404</v>
      </c>
      <c r="F3225" s="5" t="s">
        <v>37</v>
      </c>
      <c r="G3225" s="5" t="s">
        <v>22405</v>
      </c>
      <c r="H3225" s="6" t="s">
        <v>22406</v>
      </c>
      <c r="K3225" s="5" t="s">
        <v>22407</v>
      </c>
    </row>
    <row r="3226">
      <c r="A3226" s="4">
        <v>45534.343834259256</v>
      </c>
      <c r="B3226" s="5" t="s">
        <v>34</v>
      </c>
      <c r="D3226" s="5" t="s">
        <v>1206</v>
      </c>
      <c r="E3226" s="5" t="s">
        <v>22411</v>
      </c>
      <c r="F3226" s="5" t="s">
        <v>108</v>
      </c>
      <c r="G3226" s="5" t="s">
        <v>22412</v>
      </c>
      <c r="H3226" s="6" t="s">
        <v>22413</v>
      </c>
      <c r="K3226" s="5" t="s">
        <v>22407</v>
      </c>
    </row>
    <row r="3227">
      <c r="A3227" s="4">
        <v>45534.34384872685</v>
      </c>
      <c r="B3227" s="5" t="s">
        <v>34</v>
      </c>
      <c r="D3227" s="5" t="s">
        <v>9020</v>
      </c>
      <c r="E3227" s="5" t="s">
        <v>22416</v>
      </c>
      <c r="F3227" s="5" t="s">
        <v>72</v>
      </c>
      <c r="G3227" s="5" t="s">
        <v>22417</v>
      </c>
      <c r="H3227" s="6" t="s">
        <v>22418</v>
      </c>
      <c r="K3227" s="5" t="s">
        <v>22407</v>
      </c>
    </row>
    <row r="3228">
      <c r="A3228" s="4">
        <v>45534.34385741898</v>
      </c>
      <c r="B3228" s="5" t="s">
        <v>34</v>
      </c>
      <c r="D3228" s="5" t="s">
        <v>35</v>
      </c>
      <c r="E3228" s="5" t="s">
        <v>22422</v>
      </c>
      <c r="F3228" s="5" t="s">
        <v>37</v>
      </c>
      <c r="G3228" s="5" t="s">
        <v>22423</v>
      </c>
      <c r="H3228" s="6" t="s">
        <v>22424</v>
      </c>
      <c r="K3228" s="5" t="s">
        <v>22407</v>
      </c>
    </row>
    <row r="3229">
      <c r="A3229" s="4">
        <v>45534.34385859953</v>
      </c>
      <c r="B3229" s="5" t="s">
        <v>34</v>
      </c>
      <c r="D3229" s="5" t="s">
        <v>35</v>
      </c>
      <c r="E3229" s="5" t="s">
        <v>22427</v>
      </c>
      <c r="F3229" s="5" t="s">
        <v>15386</v>
      </c>
      <c r="G3229" s="5" t="s">
        <v>22428</v>
      </c>
      <c r="H3229" s="6" t="s">
        <v>22429</v>
      </c>
      <c r="K3229" s="5" t="s">
        <v>22407</v>
      </c>
    </row>
    <row r="3230">
      <c r="A3230" s="4">
        <v>45534.34386043981</v>
      </c>
      <c r="B3230" s="5" t="s">
        <v>34</v>
      </c>
      <c r="D3230" s="5" t="s">
        <v>10444</v>
      </c>
      <c r="E3230" s="5" t="s">
        <v>22432</v>
      </c>
      <c r="F3230" s="5" t="s">
        <v>37</v>
      </c>
      <c r="G3230" s="5" t="s">
        <v>22433</v>
      </c>
      <c r="H3230" s="6" t="s">
        <v>22434</v>
      </c>
      <c r="K3230" s="5" t="s">
        <v>22407</v>
      </c>
    </row>
    <row r="3231">
      <c r="A3231" s="4">
        <v>45534.343869641205</v>
      </c>
      <c r="B3231" s="5" t="s">
        <v>34</v>
      </c>
      <c r="D3231" s="5" t="s">
        <v>35</v>
      </c>
      <c r="E3231" s="5" t="s">
        <v>22437</v>
      </c>
      <c r="F3231" s="5" t="s">
        <v>37</v>
      </c>
      <c r="G3231" s="5" t="s">
        <v>22438</v>
      </c>
      <c r="H3231" s="6" t="s">
        <v>22439</v>
      </c>
      <c r="K3231" s="5" t="s">
        <v>22407</v>
      </c>
    </row>
    <row r="3232">
      <c r="A3232" s="4">
        <v>45534.34387412037</v>
      </c>
      <c r="B3232" s="5" t="s">
        <v>34</v>
      </c>
      <c r="D3232" s="5" t="s">
        <v>1206</v>
      </c>
      <c r="E3232" s="5" t="s">
        <v>22442</v>
      </c>
      <c r="F3232" s="5" t="s">
        <v>37</v>
      </c>
      <c r="G3232" s="5" t="s">
        <v>22443</v>
      </c>
      <c r="H3232" s="6" t="s">
        <v>22444</v>
      </c>
      <c r="K3232" s="5" t="s">
        <v>22407</v>
      </c>
    </row>
    <row r="3233">
      <c r="A3233" s="4">
        <v>45534.34387866898</v>
      </c>
      <c r="B3233" s="5" t="s">
        <v>34</v>
      </c>
      <c r="D3233" s="5" t="s">
        <v>4775</v>
      </c>
      <c r="E3233" s="5" t="s">
        <v>22448</v>
      </c>
      <c r="F3233" s="5" t="s">
        <v>375</v>
      </c>
      <c r="G3233" s="5" t="s">
        <v>22449</v>
      </c>
      <c r="H3233" s="6" t="s">
        <v>22450</v>
      </c>
      <c r="K3233" s="5" t="s">
        <v>22407</v>
      </c>
    </row>
    <row r="3234">
      <c r="A3234" s="4">
        <v>45534.34387909722</v>
      </c>
      <c r="B3234" s="5" t="s">
        <v>34</v>
      </c>
      <c r="D3234" s="5" t="s">
        <v>9020</v>
      </c>
      <c r="E3234" s="5" t="s">
        <v>22453</v>
      </c>
      <c r="F3234" s="5" t="s">
        <v>212</v>
      </c>
      <c r="G3234" s="5" t="s">
        <v>22454</v>
      </c>
      <c r="H3234" s="6" t="s">
        <v>22455</v>
      </c>
      <c r="K3234" s="5" t="s">
        <v>22456</v>
      </c>
    </row>
    <row r="3235">
      <c r="A3235" s="4">
        <v>45534.34388458333</v>
      </c>
      <c r="B3235" s="5" t="s">
        <v>34</v>
      </c>
      <c r="D3235" s="5" t="s">
        <v>35</v>
      </c>
      <c r="E3235" s="5" t="s">
        <v>22459</v>
      </c>
      <c r="F3235" s="5" t="s">
        <v>37</v>
      </c>
      <c r="G3235" s="5" t="s">
        <v>22460</v>
      </c>
      <c r="H3235" s="6" t="s">
        <v>22461</v>
      </c>
      <c r="K3235" s="5" t="s">
        <v>22456</v>
      </c>
    </row>
    <row r="3236">
      <c r="A3236" s="4">
        <v>45534.34389185185</v>
      </c>
      <c r="B3236" s="5" t="s">
        <v>34</v>
      </c>
      <c r="D3236" s="5" t="s">
        <v>14424</v>
      </c>
      <c r="E3236" s="5" t="s">
        <v>22465</v>
      </c>
      <c r="F3236" s="5" t="s">
        <v>72</v>
      </c>
      <c r="G3236" s="5" t="s">
        <v>22466</v>
      </c>
      <c r="H3236" s="6" t="s">
        <v>22467</v>
      </c>
      <c r="K3236" s="5" t="s">
        <v>22456</v>
      </c>
    </row>
    <row r="3237">
      <c r="A3237" s="4">
        <v>45534.34389478009</v>
      </c>
      <c r="B3237" s="5" t="s">
        <v>19</v>
      </c>
      <c r="C3237" s="5" t="s">
        <v>5564</v>
      </c>
      <c r="E3237" s="5" t="s">
        <v>22470</v>
      </c>
      <c r="F3237" s="5" t="s">
        <v>212</v>
      </c>
      <c r="G3237" s="5" t="s">
        <v>22471</v>
      </c>
      <c r="H3237" s="6" t="s">
        <v>22472</v>
      </c>
      <c r="K3237" s="5" t="s">
        <v>22456</v>
      </c>
    </row>
    <row r="3238">
      <c r="A3238" s="4">
        <v>45534.34391318287</v>
      </c>
      <c r="B3238" s="5" t="s">
        <v>19</v>
      </c>
      <c r="C3238" s="5" t="s">
        <v>442</v>
      </c>
      <c r="E3238" s="5" t="s">
        <v>22475</v>
      </c>
      <c r="F3238" s="5" t="s">
        <v>375</v>
      </c>
      <c r="G3238" s="5" t="s">
        <v>22476</v>
      </c>
      <c r="H3238" s="6" t="s">
        <v>22477</v>
      </c>
      <c r="K3238" s="5" t="s">
        <v>22456</v>
      </c>
    </row>
    <row r="3239">
      <c r="A3239" s="4">
        <v>45534.34393319444</v>
      </c>
      <c r="B3239" s="5" t="s">
        <v>34</v>
      </c>
      <c r="D3239" s="5" t="s">
        <v>9020</v>
      </c>
      <c r="E3239" s="5" t="s">
        <v>22480</v>
      </c>
      <c r="F3239" s="5" t="s">
        <v>108</v>
      </c>
      <c r="G3239" s="5" t="s">
        <v>22481</v>
      </c>
      <c r="H3239" s="6" t="s">
        <v>22482</v>
      </c>
      <c r="K3239" s="5" t="s">
        <v>22456</v>
      </c>
    </row>
    <row r="3240">
      <c r="A3240" s="4">
        <v>45534.34393824074</v>
      </c>
      <c r="B3240" s="5" t="s">
        <v>34</v>
      </c>
      <c r="D3240" s="5" t="s">
        <v>1206</v>
      </c>
      <c r="E3240" s="5" t="s">
        <v>22485</v>
      </c>
      <c r="F3240" s="5" t="s">
        <v>212</v>
      </c>
      <c r="G3240" s="5" t="s">
        <v>22486</v>
      </c>
      <c r="H3240" s="6" t="s">
        <v>22487</v>
      </c>
      <c r="K3240" s="5" t="s">
        <v>22488</v>
      </c>
    </row>
    <row r="3241">
      <c r="A3241" s="4">
        <v>45534.34394111111</v>
      </c>
      <c r="B3241" s="5" t="s">
        <v>34</v>
      </c>
      <c r="D3241" s="5" t="s">
        <v>1206</v>
      </c>
      <c r="E3241" s="5" t="s">
        <v>22492</v>
      </c>
      <c r="F3241" s="5" t="s">
        <v>212</v>
      </c>
      <c r="G3241" s="5" t="s">
        <v>22493</v>
      </c>
      <c r="H3241" s="6" t="s">
        <v>22494</v>
      </c>
      <c r="K3241" s="5" t="s">
        <v>22488</v>
      </c>
    </row>
    <row r="3242">
      <c r="A3242" s="4">
        <v>45534.3439412963</v>
      </c>
      <c r="B3242" s="5" t="s">
        <v>34</v>
      </c>
      <c r="D3242" s="5" t="s">
        <v>522</v>
      </c>
      <c r="E3242" s="5" t="s">
        <v>22497</v>
      </c>
      <c r="F3242" s="5" t="s">
        <v>37</v>
      </c>
      <c r="G3242" s="5" t="s">
        <v>22498</v>
      </c>
      <c r="H3242" s="6" t="s">
        <v>22499</v>
      </c>
      <c r="K3242" s="5" t="s">
        <v>22488</v>
      </c>
    </row>
    <row r="3243">
      <c r="A3243" s="4">
        <v>45534.343947800924</v>
      </c>
      <c r="B3243" s="5" t="s">
        <v>34</v>
      </c>
      <c r="D3243" s="5" t="s">
        <v>1558</v>
      </c>
      <c r="E3243" s="5" t="s">
        <v>22502</v>
      </c>
      <c r="F3243" s="5" t="s">
        <v>212</v>
      </c>
      <c r="G3243" s="5" t="s">
        <v>22503</v>
      </c>
      <c r="H3243" s="6" t="s">
        <v>22504</v>
      </c>
      <c r="K3243" s="5" t="s">
        <v>22488</v>
      </c>
    </row>
    <row r="3244">
      <c r="A3244" s="4">
        <v>45534.343951504634</v>
      </c>
      <c r="B3244" s="5" t="s">
        <v>34</v>
      </c>
      <c r="D3244" s="5" t="s">
        <v>35</v>
      </c>
      <c r="E3244" s="5" t="s">
        <v>22507</v>
      </c>
      <c r="F3244" s="5" t="s">
        <v>212</v>
      </c>
      <c r="G3244" s="5" t="s">
        <v>22508</v>
      </c>
      <c r="H3244" s="6" t="s">
        <v>22509</v>
      </c>
      <c r="K3244" s="5" t="s">
        <v>22488</v>
      </c>
    </row>
    <row r="3245">
      <c r="A3245" s="4">
        <v>45534.34395337963</v>
      </c>
      <c r="B3245" s="5" t="s">
        <v>34</v>
      </c>
      <c r="D3245" s="5" t="s">
        <v>1206</v>
      </c>
      <c r="E3245" s="5" t="s">
        <v>22513</v>
      </c>
      <c r="F3245" s="5" t="s">
        <v>108</v>
      </c>
      <c r="G3245" s="5" t="s">
        <v>22514</v>
      </c>
      <c r="H3245" s="6" t="s">
        <v>22515</v>
      </c>
      <c r="K3245" s="5" t="s">
        <v>22488</v>
      </c>
    </row>
    <row r="3246">
      <c r="A3246" s="4">
        <v>45534.34398140047</v>
      </c>
      <c r="B3246" s="5" t="s">
        <v>34</v>
      </c>
      <c r="D3246" s="5" t="s">
        <v>4775</v>
      </c>
      <c r="E3246" s="5" t="s">
        <v>22518</v>
      </c>
      <c r="F3246" s="5" t="s">
        <v>5859</v>
      </c>
      <c r="G3246" s="5" t="s">
        <v>22519</v>
      </c>
      <c r="H3246" s="6" t="s">
        <v>22520</v>
      </c>
      <c r="K3246" s="5" t="s">
        <v>22521</v>
      </c>
    </row>
    <row r="3247">
      <c r="A3247" s="4">
        <v>45534.3439871875</v>
      </c>
      <c r="B3247" s="5" t="s">
        <v>34</v>
      </c>
      <c r="D3247" s="5" t="s">
        <v>3849</v>
      </c>
      <c r="E3247" s="5" t="s">
        <v>22524</v>
      </c>
      <c r="F3247" s="5" t="s">
        <v>37</v>
      </c>
      <c r="G3247" s="5" t="s">
        <v>22525</v>
      </c>
      <c r="H3247" s="6" t="s">
        <v>22526</v>
      </c>
      <c r="K3247" s="5" t="s">
        <v>22521</v>
      </c>
    </row>
    <row r="3248">
      <c r="A3248" s="4">
        <v>45534.34399837963</v>
      </c>
      <c r="B3248" s="5" t="s">
        <v>34</v>
      </c>
      <c r="D3248" s="5" t="s">
        <v>522</v>
      </c>
      <c r="E3248" s="5" t="s">
        <v>22530</v>
      </c>
      <c r="F3248" s="5" t="s">
        <v>72</v>
      </c>
      <c r="G3248" s="5" t="s">
        <v>22531</v>
      </c>
      <c r="H3248" s="6" t="s">
        <v>22532</v>
      </c>
      <c r="K3248" s="5" t="s">
        <v>22521</v>
      </c>
    </row>
    <row r="3249">
      <c r="A3249" s="4">
        <v>45534.34400534722</v>
      </c>
      <c r="B3249" s="5" t="s">
        <v>34</v>
      </c>
      <c r="D3249" s="5" t="s">
        <v>996</v>
      </c>
      <c r="E3249" s="5" t="s">
        <v>22535</v>
      </c>
      <c r="F3249" s="5" t="s">
        <v>37</v>
      </c>
      <c r="G3249" s="5" t="s">
        <v>22536</v>
      </c>
      <c r="H3249" s="6" t="s">
        <v>22537</v>
      </c>
      <c r="K3249" s="5" t="s">
        <v>22521</v>
      </c>
    </row>
    <row r="3250">
      <c r="A3250" s="4">
        <v>45534.344023240745</v>
      </c>
      <c r="B3250" s="5" t="s">
        <v>34</v>
      </c>
      <c r="D3250" s="5" t="s">
        <v>35</v>
      </c>
      <c r="E3250" s="5" t="s">
        <v>22540</v>
      </c>
      <c r="F3250" s="5" t="s">
        <v>72</v>
      </c>
      <c r="G3250" s="5" t="s">
        <v>22541</v>
      </c>
      <c r="H3250" s="6" t="s">
        <v>22542</v>
      </c>
      <c r="I3250" s="7" t="s">
        <v>22543</v>
      </c>
      <c r="J3250" s="8" t="str">
        <f>HYPERLINK("https://drive.google.com/file/d/1mNbIRdUVIpZARghwQsqyN1IFb3Opc6aO/view?usp=drivesdk","NURIMI SERTIFIKAT BerAKHLAK")</f>
        <v>NURIMI SERTIFIKAT BerAKHLAK</v>
      </c>
      <c r="K3250" s="5" t="s">
        <v>21426</v>
      </c>
      <c r="L3250" s="5" t="s">
        <v>22544</v>
      </c>
    </row>
    <row r="3251">
      <c r="A3251" s="4">
        <v>45534.34402351852</v>
      </c>
      <c r="B3251" s="5" t="s">
        <v>34</v>
      </c>
      <c r="D3251" s="5" t="s">
        <v>14313</v>
      </c>
      <c r="E3251" s="5" t="s">
        <v>22547</v>
      </c>
      <c r="F3251" s="5" t="s">
        <v>212</v>
      </c>
      <c r="G3251" s="5" t="s">
        <v>22548</v>
      </c>
      <c r="H3251" s="6" t="s">
        <v>22549</v>
      </c>
      <c r="I3251" s="7" t="s">
        <v>22550</v>
      </c>
      <c r="J3251" s="8" t="str">
        <f>HYPERLINK("https://drive.google.com/file/d/1qJ7vdMXFWdeXYiTMTYrzp1Y58t4-doNH/view?usp=drivesdk","ANDI SUKMA SERTIFIKAT BerAKHLAK")</f>
        <v>ANDI SUKMA SERTIFIKAT BerAKHLAK</v>
      </c>
      <c r="K3251" s="5" t="s">
        <v>22551</v>
      </c>
      <c r="L3251" s="5" t="s">
        <v>22552</v>
      </c>
    </row>
    <row r="3252">
      <c r="A3252" s="4">
        <v>45534.34403177083</v>
      </c>
      <c r="B3252" s="5" t="s">
        <v>34</v>
      </c>
      <c r="D3252" s="5" t="s">
        <v>12978</v>
      </c>
      <c r="E3252" s="5" t="s">
        <v>22556</v>
      </c>
      <c r="F3252" s="5" t="s">
        <v>212</v>
      </c>
      <c r="G3252" s="5" t="s">
        <v>22557</v>
      </c>
      <c r="H3252" s="6" t="s">
        <v>22558</v>
      </c>
      <c r="K3252" s="5" t="s">
        <v>22559</v>
      </c>
    </row>
    <row r="3253">
      <c r="A3253" s="4">
        <v>45534.34403574074</v>
      </c>
      <c r="B3253" s="5" t="s">
        <v>19</v>
      </c>
      <c r="C3253" s="5" t="s">
        <v>3301</v>
      </c>
      <c r="E3253" s="5" t="s">
        <v>22562</v>
      </c>
      <c r="F3253" s="5" t="s">
        <v>22</v>
      </c>
      <c r="G3253" s="5" t="s">
        <v>22563</v>
      </c>
      <c r="H3253" s="6" t="s">
        <v>22564</v>
      </c>
      <c r="K3253" s="5" t="s">
        <v>22559</v>
      </c>
    </row>
    <row r="3254">
      <c r="A3254" s="4">
        <v>45534.344037118055</v>
      </c>
      <c r="B3254" s="5" t="s">
        <v>19</v>
      </c>
      <c r="C3254" s="5" t="s">
        <v>292</v>
      </c>
      <c r="E3254" s="5" t="s">
        <v>22567</v>
      </c>
      <c r="F3254" s="5" t="s">
        <v>212</v>
      </c>
      <c r="G3254" s="5" t="s">
        <v>22568</v>
      </c>
      <c r="H3254" s="6" t="s">
        <v>22569</v>
      </c>
      <c r="K3254" s="5" t="s">
        <v>22559</v>
      </c>
    </row>
    <row r="3255">
      <c r="A3255" s="4">
        <v>45534.34406001157</v>
      </c>
      <c r="B3255" s="5" t="s">
        <v>34</v>
      </c>
      <c r="D3255" s="5" t="s">
        <v>4775</v>
      </c>
      <c r="E3255" s="5" t="s">
        <v>22573</v>
      </c>
      <c r="F3255" s="5" t="s">
        <v>212</v>
      </c>
      <c r="G3255" s="5" t="s">
        <v>22574</v>
      </c>
      <c r="H3255" s="6" t="s">
        <v>22575</v>
      </c>
      <c r="K3255" s="5" t="s">
        <v>22559</v>
      </c>
    </row>
    <row r="3256">
      <c r="A3256" s="4">
        <v>45534.34407057871</v>
      </c>
      <c r="B3256" s="5" t="s">
        <v>34</v>
      </c>
      <c r="D3256" s="5" t="s">
        <v>1206</v>
      </c>
      <c r="E3256" s="5" t="s">
        <v>22578</v>
      </c>
      <c r="F3256" s="5" t="s">
        <v>212</v>
      </c>
      <c r="G3256" s="5" t="s">
        <v>22579</v>
      </c>
      <c r="H3256" s="6" t="s">
        <v>22580</v>
      </c>
      <c r="K3256" s="5" t="s">
        <v>22559</v>
      </c>
    </row>
    <row r="3257">
      <c r="A3257" s="4">
        <v>45534.344072754626</v>
      </c>
      <c r="B3257" s="5" t="s">
        <v>34</v>
      </c>
      <c r="D3257" s="5" t="s">
        <v>1206</v>
      </c>
      <c r="E3257" s="5" t="s">
        <v>22583</v>
      </c>
      <c r="F3257" s="5" t="s">
        <v>375</v>
      </c>
      <c r="G3257" s="5" t="s">
        <v>22584</v>
      </c>
      <c r="H3257" s="6" t="s">
        <v>22585</v>
      </c>
      <c r="K3257" s="5" t="s">
        <v>22559</v>
      </c>
    </row>
    <row r="3258">
      <c r="A3258" s="4">
        <v>45534.34407767361</v>
      </c>
      <c r="B3258" s="5" t="s">
        <v>34</v>
      </c>
      <c r="D3258" s="5" t="s">
        <v>9020</v>
      </c>
      <c r="E3258" s="5" t="s">
        <v>22588</v>
      </c>
      <c r="F3258" s="5" t="s">
        <v>524</v>
      </c>
      <c r="G3258" s="5" t="s">
        <v>22589</v>
      </c>
      <c r="H3258" s="6" t="s">
        <v>22590</v>
      </c>
      <c r="K3258" s="5" t="s">
        <v>22559</v>
      </c>
    </row>
    <row r="3259">
      <c r="A3259" s="4">
        <v>45534.344083240736</v>
      </c>
      <c r="B3259" s="5" t="s">
        <v>34</v>
      </c>
      <c r="D3259" s="5" t="s">
        <v>1206</v>
      </c>
      <c r="E3259" s="5" t="s">
        <v>22594</v>
      </c>
      <c r="F3259" s="5" t="s">
        <v>212</v>
      </c>
      <c r="G3259" s="5" t="s">
        <v>22595</v>
      </c>
      <c r="H3259" s="6" t="s">
        <v>22596</v>
      </c>
      <c r="K3259" s="5" t="s">
        <v>22559</v>
      </c>
    </row>
    <row r="3260">
      <c r="A3260" s="4">
        <v>45534.34409675926</v>
      </c>
      <c r="B3260" s="5" t="s">
        <v>34</v>
      </c>
      <c r="D3260" s="5" t="s">
        <v>1206</v>
      </c>
      <c r="E3260" s="5" t="s">
        <v>22599</v>
      </c>
      <c r="F3260" s="5" t="s">
        <v>524</v>
      </c>
      <c r="G3260" s="5" t="s">
        <v>22600</v>
      </c>
      <c r="H3260" s="6" t="s">
        <v>22601</v>
      </c>
      <c r="I3260" s="7" t="s">
        <v>22602</v>
      </c>
      <c r="J3260" s="8" t="str">
        <f>HYPERLINK("https://drive.google.com/file/d/1oW-xcpERB03t89wnz6RFEZnvz3PVoco6/view?usp=drivesdk","WIWIN WINARTI A.Md.,Farm SERTIFIKAT BerAKHLAK")</f>
        <v>WIWIN WINARTI A.Md.,Farm SERTIFIKAT BerAKHLAK</v>
      </c>
      <c r="K3260" s="5" t="s">
        <v>21426</v>
      </c>
      <c r="L3260" s="5" t="s">
        <v>22603</v>
      </c>
    </row>
    <row r="3261">
      <c r="A3261" s="4">
        <v>45534.344107233796</v>
      </c>
      <c r="B3261" s="5" t="s">
        <v>34</v>
      </c>
      <c r="D3261" s="5" t="s">
        <v>1206</v>
      </c>
      <c r="E3261" s="5" t="s">
        <v>22606</v>
      </c>
      <c r="F3261" s="5" t="s">
        <v>212</v>
      </c>
      <c r="G3261" s="5" t="s">
        <v>22607</v>
      </c>
      <c r="H3261" s="6" t="s">
        <v>22608</v>
      </c>
      <c r="I3261" s="7" t="s">
        <v>22609</v>
      </c>
      <c r="J3261" s="8" t="str">
        <f>HYPERLINK("https://drive.google.com/file/d/14KBiZJK8eogJ2qOwWDwGJAiwUtpjaPCs/view?usp=drivesdk","JUJUK IKA WINDARTI, S.Pd. SERTIFIKAT BerAKHLAK")</f>
        <v>JUJUK IKA WINDARTI, S.Pd. SERTIFIKAT BerAKHLAK</v>
      </c>
      <c r="K3261" s="5" t="s">
        <v>22551</v>
      </c>
      <c r="L3261" s="5" t="s">
        <v>22610</v>
      </c>
    </row>
    <row r="3262">
      <c r="A3262" s="4">
        <v>45534.344110659724</v>
      </c>
      <c r="B3262" s="5" t="s">
        <v>34</v>
      </c>
      <c r="D3262" s="5" t="s">
        <v>280</v>
      </c>
      <c r="E3262" s="5" t="s">
        <v>22614</v>
      </c>
      <c r="F3262" s="5" t="s">
        <v>212</v>
      </c>
      <c r="G3262" s="5" t="s">
        <v>22615</v>
      </c>
      <c r="H3262" s="6" t="s">
        <v>22616</v>
      </c>
      <c r="K3262" s="5" t="s">
        <v>22617</v>
      </c>
    </row>
    <row r="3263">
      <c r="A3263" s="4">
        <v>45534.34411107639</v>
      </c>
      <c r="B3263" s="5" t="s">
        <v>34</v>
      </c>
      <c r="D3263" s="5" t="s">
        <v>9394</v>
      </c>
      <c r="E3263" s="5" t="s">
        <v>22620</v>
      </c>
      <c r="F3263" s="5" t="s">
        <v>37</v>
      </c>
      <c r="G3263" s="5" t="s">
        <v>22621</v>
      </c>
      <c r="H3263" s="6" t="s">
        <v>22622</v>
      </c>
      <c r="K3263" s="5" t="s">
        <v>22617</v>
      </c>
    </row>
    <row r="3264">
      <c r="A3264" s="4">
        <v>45534.34411153935</v>
      </c>
      <c r="B3264" s="5" t="s">
        <v>34</v>
      </c>
      <c r="D3264" s="5" t="s">
        <v>1206</v>
      </c>
      <c r="E3264" s="5" t="s">
        <v>22626</v>
      </c>
      <c r="F3264" s="5" t="s">
        <v>328</v>
      </c>
      <c r="G3264" s="5" t="s">
        <v>22627</v>
      </c>
      <c r="H3264" s="6" t="s">
        <v>22628</v>
      </c>
      <c r="K3264" s="5" t="s">
        <v>22617</v>
      </c>
    </row>
    <row r="3265">
      <c r="A3265" s="4">
        <v>45534.344115925924</v>
      </c>
      <c r="B3265" s="5" t="s">
        <v>34</v>
      </c>
      <c r="D3265" s="5" t="s">
        <v>1206</v>
      </c>
      <c r="E3265" s="5" t="s">
        <v>22631</v>
      </c>
      <c r="F3265" s="5" t="s">
        <v>199</v>
      </c>
      <c r="G3265" s="5" t="s">
        <v>22632</v>
      </c>
      <c r="H3265" s="6" t="s">
        <v>22633</v>
      </c>
      <c r="K3265" s="5" t="s">
        <v>22617</v>
      </c>
    </row>
    <row r="3266">
      <c r="A3266" s="4">
        <v>45534.344132199076</v>
      </c>
      <c r="B3266" s="5" t="s">
        <v>19</v>
      </c>
      <c r="C3266" s="5" t="s">
        <v>292</v>
      </c>
      <c r="E3266" s="5" t="s">
        <v>22637</v>
      </c>
      <c r="F3266" s="5" t="s">
        <v>212</v>
      </c>
      <c r="G3266" s="5" t="s">
        <v>22638</v>
      </c>
      <c r="H3266" s="6" t="s">
        <v>22639</v>
      </c>
      <c r="I3266" s="7" t="s">
        <v>22640</v>
      </c>
      <c r="J3266" s="8" t="str">
        <f>HYPERLINK("https://drive.google.com/file/d/1JqkRNyqDT8qMPwIzS6qCrUfXqo0x_r_d/view?usp=drivesdk","SUHERDI SERTIFIKAT BerAKHLAK")</f>
        <v>SUHERDI SERTIFIKAT BerAKHLAK</v>
      </c>
      <c r="K3266" s="5" t="s">
        <v>21426</v>
      </c>
      <c r="L3266" s="5" t="s">
        <v>22641</v>
      </c>
    </row>
    <row r="3267">
      <c r="A3267" s="4">
        <v>45534.34413979166</v>
      </c>
      <c r="B3267" s="5" t="s">
        <v>34</v>
      </c>
      <c r="D3267" s="5" t="s">
        <v>1206</v>
      </c>
      <c r="E3267" s="5" t="s">
        <v>22644</v>
      </c>
      <c r="F3267" s="5" t="s">
        <v>212</v>
      </c>
      <c r="G3267" s="5" t="s">
        <v>22645</v>
      </c>
      <c r="H3267" s="6" t="s">
        <v>22646</v>
      </c>
      <c r="I3267" s="7" t="s">
        <v>22647</v>
      </c>
      <c r="J3267" s="8" t="str">
        <f>HYPERLINK("https://drive.google.com/file/d/13LumqHxsTnywaFuDwt9lmJGcJFFfdCtb/view?usp=drivesdk","EDY WING SETIAWAN S.PUTRA SERTIFIKAT BerAKHLAK")</f>
        <v>EDY WING SETIAWAN S.PUTRA SERTIFIKAT BerAKHLAK</v>
      </c>
      <c r="K3267" s="5" t="s">
        <v>22551</v>
      </c>
      <c r="L3267" s="5" t="s">
        <v>22648</v>
      </c>
    </row>
    <row r="3268">
      <c r="A3268" s="4">
        <v>45534.344141967595</v>
      </c>
      <c r="B3268" s="5" t="s">
        <v>34</v>
      </c>
      <c r="D3268" s="5" t="s">
        <v>1558</v>
      </c>
      <c r="E3268" s="5" t="s">
        <v>22651</v>
      </c>
      <c r="F3268" s="5" t="s">
        <v>375</v>
      </c>
      <c r="G3268" s="5" t="s">
        <v>22652</v>
      </c>
      <c r="H3268" s="6" t="s">
        <v>22653</v>
      </c>
      <c r="I3268" s="7" t="s">
        <v>22654</v>
      </c>
      <c r="J3268" s="8" t="str">
        <f>HYPERLINK("https://drive.google.com/file/d/19z_T7TvLUwSSSj4jpTNy_yzqiRCAcYF1/view?usp=drivesdk","DAYAT, S.AG SERTIFIKAT BerAKHLAK")</f>
        <v>DAYAT, S.AG SERTIFIKAT BerAKHLAK</v>
      </c>
      <c r="K3268" s="5" t="s">
        <v>22551</v>
      </c>
      <c r="L3268" s="5" t="s">
        <v>22655</v>
      </c>
    </row>
    <row r="3269">
      <c r="A3269" s="4">
        <v>45534.34414594907</v>
      </c>
      <c r="B3269" s="5" t="s">
        <v>34</v>
      </c>
      <c r="D3269" s="5" t="s">
        <v>701</v>
      </c>
      <c r="E3269" s="5" t="s">
        <v>22659</v>
      </c>
      <c r="F3269" s="5" t="s">
        <v>37</v>
      </c>
      <c r="G3269" s="5" t="s">
        <v>22660</v>
      </c>
      <c r="H3269" s="6" t="s">
        <v>22661</v>
      </c>
      <c r="I3269" s="7" t="s">
        <v>22662</v>
      </c>
      <c r="J3269" s="8" t="str">
        <f>HYPERLINK("https://drive.google.com/file/d/1F_inWuOxmJ2kVM4ZRrRkYyyP-E-_oOlS/view?usp=drivesdk","DIO OCTA CHANDRA, A.Md.Kep SERTIFIKAT BerAKHLAK")</f>
        <v>DIO OCTA CHANDRA, A.Md.Kep SERTIFIKAT BerAKHLAK</v>
      </c>
      <c r="K3269" s="5" t="s">
        <v>22551</v>
      </c>
      <c r="L3269" s="5" t="s">
        <v>22663</v>
      </c>
    </row>
    <row r="3270">
      <c r="A3270" s="4">
        <v>45534.34415729166</v>
      </c>
      <c r="B3270" s="5" t="s">
        <v>34</v>
      </c>
      <c r="D3270" s="5" t="s">
        <v>9020</v>
      </c>
      <c r="E3270" s="5" t="s">
        <v>22666</v>
      </c>
      <c r="F3270" s="5" t="s">
        <v>37</v>
      </c>
      <c r="G3270" s="5" t="s">
        <v>22667</v>
      </c>
      <c r="H3270" s="6" t="s">
        <v>22668</v>
      </c>
      <c r="K3270" s="5" t="s">
        <v>22669</v>
      </c>
    </row>
    <row r="3271">
      <c r="A3271" s="4">
        <v>45534.34415737269</v>
      </c>
      <c r="B3271" s="5" t="s">
        <v>34</v>
      </c>
      <c r="D3271" s="5" t="s">
        <v>1206</v>
      </c>
      <c r="E3271" s="5" t="s">
        <v>22672</v>
      </c>
      <c r="F3271" s="5" t="s">
        <v>37</v>
      </c>
      <c r="G3271" s="5" t="s">
        <v>22673</v>
      </c>
      <c r="H3271" s="6" t="s">
        <v>22674</v>
      </c>
      <c r="K3271" s="5" t="s">
        <v>22669</v>
      </c>
    </row>
    <row r="3272">
      <c r="A3272" s="4">
        <v>45534.34416332176</v>
      </c>
      <c r="B3272" s="5" t="s">
        <v>34</v>
      </c>
      <c r="D3272" s="5" t="s">
        <v>4775</v>
      </c>
      <c r="E3272" s="5" t="s">
        <v>22677</v>
      </c>
      <c r="F3272" s="5" t="s">
        <v>212</v>
      </c>
      <c r="G3272" s="5" t="s">
        <v>22678</v>
      </c>
      <c r="H3272" s="6" t="s">
        <v>22679</v>
      </c>
      <c r="K3272" s="5" t="s">
        <v>22669</v>
      </c>
    </row>
    <row r="3273">
      <c r="A3273" s="4">
        <v>45534.34416476852</v>
      </c>
      <c r="B3273" s="5" t="s">
        <v>34</v>
      </c>
      <c r="D3273" s="5" t="s">
        <v>35</v>
      </c>
      <c r="E3273" s="5" t="s">
        <v>22683</v>
      </c>
      <c r="F3273" s="5" t="s">
        <v>120</v>
      </c>
      <c r="G3273" s="5" t="s">
        <v>22684</v>
      </c>
      <c r="H3273" s="6" t="s">
        <v>22685</v>
      </c>
      <c r="K3273" s="5" t="s">
        <v>22669</v>
      </c>
    </row>
    <row r="3274">
      <c r="A3274" s="4">
        <v>45534.3441729051</v>
      </c>
      <c r="B3274" s="5" t="s">
        <v>34</v>
      </c>
      <c r="D3274" s="5" t="s">
        <v>6232</v>
      </c>
      <c r="E3274" s="5" t="s">
        <v>22688</v>
      </c>
      <c r="F3274" s="5" t="s">
        <v>212</v>
      </c>
      <c r="G3274" s="5" t="s">
        <v>22689</v>
      </c>
      <c r="H3274" s="6" t="s">
        <v>22690</v>
      </c>
      <c r="K3274" s="5" t="s">
        <v>22669</v>
      </c>
    </row>
    <row r="3275">
      <c r="A3275" s="4">
        <v>45534.34417344908</v>
      </c>
      <c r="B3275" s="5" t="s">
        <v>34</v>
      </c>
      <c r="D3275" s="5" t="s">
        <v>522</v>
      </c>
      <c r="E3275" s="5" t="s">
        <v>22693</v>
      </c>
      <c r="F3275" s="5" t="s">
        <v>108</v>
      </c>
      <c r="G3275" s="5" t="s">
        <v>22694</v>
      </c>
      <c r="H3275" s="6" t="s">
        <v>22695</v>
      </c>
      <c r="K3275" s="5" t="s">
        <v>22669</v>
      </c>
    </row>
    <row r="3276">
      <c r="A3276" s="4">
        <v>45534.34419930556</v>
      </c>
      <c r="B3276" s="5" t="s">
        <v>34</v>
      </c>
      <c r="D3276" s="5" t="s">
        <v>1558</v>
      </c>
      <c r="E3276" s="5" t="s">
        <v>22698</v>
      </c>
      <c r="F3276" s="5" t="s">
        <v>72</v>
      </c>
      <c r="G3276" s="5" t="s">
        <v>22699</v>
      </c>
      <c r="H3276" s="6" t="s">
        <v>22700</v>
      </c>
      <c r="I3276" s="7" t="s">
        <v>22701</v>
      </c>
      <c r="J3276" s="8" t="str">
        <f>HYPERLINK("https://drive.google.com/file/d/1YkGVKFJgYQCfXGYDj77f5Axjr0RtuJhf/view?usp=drivesdk","SRI SEJATI SERTIFIKAT BerAKHLAK")</f>
        <v>SRI SEJATI SERTIFIKAT BerAKHLAK</v>
      </c>
      <c r="K3276" s="5" t="s">
        <v>21426</v>
      </c>
      <c r="L3276" s="5" t="s">
        <v>22702</v>
      </c>
    </row>
    <row r="3277">
      <c r="A3277" s="4">
        <v>45534.34420045139</v>
      </c>
      <c r="B3277" s="5" t="s">
        <v>34</v>
      </c>
      <c r="D3277" s="5" t="s">
        <v>1456</v>
      </c>
      <c r="E3277" s="5" t="s">
        <v>22705</v>
      </c>
      <c r="F3277" s="5" t="s">
        <v>715</v>
      </c>
      <c r="G3277" s="5" t="s">
        <v>22706</v>
      </c>
      <c r="H3277" s="6" t="s">
        <v>22707</v>
      </c>
      <c r="I3277" s="7" t="s">
        <v>22708</v>
      </c>
      <c r="J3277" s="8" t="str">
        <f>HYPERLINK("https://drive.google.com/file/d/16qNr6Qgk2HIzj9xKcgATJsO-Y0fhJO5C/view?usp=drivesdk","SITI HADIJAH, A.MD SERTIFIKAT BerAKHLAK")</f>
        <v>SITI HADIJAH, A.MD SERTIFIKAT BerAKHLAK</v>
      </c>
      <c r="K3277" s="5" t="s">
        <v>22551</v>
      </c>
      <c r="L3277" s="5" t="s">
        <v>22709</v>
      </c>
    </row>
    <row r="3278">
      <c r="A3278" s="4">
        <v>45534.344214212964</v>
      </c>
      <c r="B3278" s="5" t="s">
        <v>34</v>
      </c>
      <c r="D3278" s="5" t="s">
        <v>996</v>
      </c>
      <c r="E3278" s="5" t="s">
        <v>22713</v>
      </c>
      <c r="F3278" s="5" t="s">
        <v>212</v>
      </c>
      <c r="G3278" s="5" t="s">
        <v>22714</v>
      </c>
      <c r="H3278" s="6" t="s">
        <v>22715</v>
      </c>
      <c r="I3278" s="7" t="s">
        <v>22716</v>
      </c>
      <c r="J3278" s="8" t="str">
        <f>HYPERLINK("https://drive.google.com/file/d/1Sv9IJ4EZDgSXiZ54l-ylKDBAvpNgYAno/view?usp=drivesdk","MUHAMMAD JUNI SERTIFIKAT BerAKHLAK")</f>
        <v>MUHAMMAD JUNI SERTIFIKAT BerAKHLAK</v>
      </c>
      <c r="K3278" s="5" t="s">
        <v>22551</v>
      </c>
      <c r="L3278" s="5" t="s">
        <v>22717</v>
      </c>
    </row>
    <row r="3279">
      <c r="A3279" s="4">
        <v>45534.3442214699</v>
      </c>
      <c r="B3279" s="5" t="s">
        <v>34</v>
      </c>
      <c r="D3279" s="5" t="s">
        <v>1206</v>
      </c>
      <c r="E3279" s="5" t="s">
        <v>22720</v>
      </c>
      <c r="F3279" s="5" t="s">
        <v>37</v>
      </c>
      <c r="G3279" s="5" t="s">
        <v>22721</v>
      </c>
      <c r="H3279" s="6" t="s">
        <v>22722</v>
      </c>
      <c r="I3279" s="7" t="s">
        <v>22723</v>
      </c>
      <c r="J3279" s="8" t="str">
        <f>HYPERLINK("https://drive.google.com/file/d/1b0AE8lXhUIfkaQXcPOBbNX7royapJK_q/view?usp=drivesdk","SUPRIYADI  SERTIFIKAT BerAKHLAK")</f>
        <v>SUPRIYADI  SERTIFIKAT BerAKHLAK</v>
      </c>
      <c r="K3279" s="5" t="s">
        <v>22551</v>
      </c>
      <c r="L3279" s="5" t="s">
        <v>22724</v>
      </c>
    </row>
    <row r="3280">
      <c r="A3280" s="4">
        <v>45534.34422315972</v>
      </c>
      <c r="B3280" s="5" t="s">
        <v>34</v>
      </c>
      <c r="D3280" s="5" t="s">
        <v>1456</v>
      </c>
      <c r="E3280" s="5" t="s">
        <v>22727</v>
      </c>
      <c r="F3280" s="5" t="s">
        <v>212</v>
      </c>
      <c r="G3280" s="5" t="s">
        <v>22728</v>
      </c>
      <c r="H3280" s="6" t="s">
        <v>22729</v>
      </c>
      <c r="I3280" s="7" t="s">
        <v>22730</v>
      </c>
      <c r="J3280" s="8" t="str">
        <f>HYPERLINK("https://drive.google.com/file/d/1abDfb4uwtK9RGf4Ex-M01kwXNUvjzxnd/view?usp=drivesdk","EVi YULIANTI SERTIFIKAT BerAKHLAK")</f>
        <v>EVi YULIANTI SERTIFIKAT BerAKHLAK</v>
      </c>
      <c r="K3280" s="5" t="s">
        <v>22551</v>
      </c>
      <c r="L3280" s="5" t="s">
        <v>22731</v>
      </c>
    </row>
    <row r="3281">
      <c r="A3281" s="4">
        <v>45534.34422460648</v>
      </c>
      <c r="B3281" s="5" t="s">
        <v>34</v>
      </c>
      <c r="D3281" s="5" t="s">
        <v>522</v>
      </c>
      <c r="E3281" s="5" t="s">
        <v>22734</v>
      </c>
      <c r="F3281" s="5" t="s">
        <v>108</v>
      </c>
      <c r="G3281" s="5" t="s">
        <v>22735</v>
      </c>
      <c r="H3281" s="6" t="s">
        <v>22736</v>
      </c>
      <c r="K3281" s="5" t="s">
        <v>22737</v>
      </c>
    </row>
    <row r="3282">
      <c r="A3282" s="4">
        <v>45534.34423096065</v>
      </c>
      <c r="B3282" s="5" t="s">
        <v>19</v>
      </c>
      <c r="C3282" s="5" t="s">
        <v>442</v>
      </c>
      <c r="E3282" s="5" t="s">
        <v>22741</v>
      </c>
      <c r="F3282" s="5" t="s">
        <v>375</v>
      </c>
      <c r="G3282" s="5" t="s">
        <v>22742</v>
      </c>
      <c r="H3282" s="6" t="s">
        <v>22743</v>
      </c>
      <c r="K3282" s="5" t="s">
        <v>22737</v>
      </c>
    </row>
    <row r="3283">
      <c r="A3283" s="4">
        <v>45534.344233553245</v>
      </c>
      <c r="B3283" s="5" t="s">
        <v>34</v>
      </c>
      <c r="D3283" s="5" t="s">
        <v>4775</v>
      </c>
      <c r="E3283" s="5" t="s">
        <v>22746</v>
      </c>
      <c r="F3283" s="5" t="s">
        <v>120</v>
      </c>
      <c r="G3283" s="5" t="s">
        <v>22747</v>
      </c>
      <c r="H3283" s="6" t="s">
        <v>22748</v>
      </c>
      <c r="K3283" s="5" t="s">
        <v>22737</v>
      </c>
    </row>
    <row r="3284">
      <c r="A3284" s="4">
        <v>45534.34424752315</v>
      </c>
      <c r="B3284" s="5" t="s">
        <v>34</v>
      </c>
      <c r="D3284" s="5" t="s">
        <v>6232</v>
      </c>
      <c r="E3284" s="5" t="s">
        <v>22751</v>
      </c>
      <c r="F3284" s="5" t="s">
        <v>120</v>
      </c>
      <c r="G3284" s="5" t="s">
        <v>22752</v>
      </c>
      <c r="H3284" s="6" t="s">
        <v>22753</v>
      </c>
      <c r="K3284" s="5" t="s">
        <v>22737</v>
      </c>
    </row>
    <row r="3285">
      <c r="A3285" s="4">
        <v>45534.344268125</v>
      </c>
      <c r="B3285" s="5" t="s">
        <v>34</v>
      </c>
      <c r="D3285" s="5" t="s">
        <v>4775</v>
      </c>
      <c r="E3285" s="5" t="s">
        <v>22757</v>
      </c>
      <c r="F3285" s="5" t="s">
        <v>37</v>
      </c>
      <c r="G3285" s="5" t="s">
        <v>22758</v>
      </c>
      <c r="H3285" s="6" t="s">
        <v>22759</v>
      </c>
      <c r="I3285" s="7" t="s">
        <v>22760</v>
      </c>
      <c r="J3285" s="8" t="str">
        <f>HYPERLINK("https://drive.google.com/file/d/1TIqNQtsstuPCKNlFB-e5QXUPGdWNbB0D/view?usp=drivesdk","JARWONO SERTIFIKAT BerAKHLAK")</f>
        <v>JARWONO SERTIFIKAT BerAKHLAK</v>
      </c>
      <c r="K3285" s="5" t="s">
        <v>22551</v>
      </c>
      <c r="L3285" s="5" t="s">
        <v>22761</v>
      </c>
    </row>
    <row r="3286">
      <c r="A3286" s="4">
        <v>45534.34427074074</v>
      </c>
      <c r="B3286" s="5" t="s">
        <v>34</v>
      </c>
      <c r="D3286" s="5" t="s">
        <v>1206</v>
      </c>
      <c r="E3286" s="5" t="s">
        <v>22764</v>
      </c>
      <c r="F3286" s="5" t="s">
        <v>524</v>
      </c>
      <c r="G3286" s="5" t="s">
        <v>22765</v>
      </c>
      <c r="H3286" s="6" t="s">
        <v>22766</v>
      </c>
      <c r="I3286" s="7" t="s">
        <v>22767</v>
      </c>
      <c r="J3286" s="8" t="str">
        <f>HYPERLINK("https://drive.google.com/file/d/1m_2K7t5RJAEkmX1M47NWWvlTOSPXgQbr/view?usp=drivesdk","SUPIYATI,Amd,Kes,Gi SERTIFIKAT BerAKHLAK")</f>
        <v>SUPIYATI,Amd,Kes,Gi SERTIFIKAT BerAKHLAK</v>
      </c>
      <c r="K3286" s="5" t="s">
        <v>22551</v>
      </c>
      <c r="L3286" s="5" t="s">
        <v>22768</v>
      </c>
    </row>
    <row r="3287">
      <c r="A3287" s="4">
        <v>45534.34427736111</v>
      </c>
      <c r="B3287" s="5" t="s">
        <v>34</v>
      </c>
      <c r="D3287" s="5" t="s">
        <v>35</v>
      </c>
      <c r="E3287" s="5" t="s">
        <v>22772</v>
      </c>
      <c r="F3287" s="5" t="s">
        <v>37</v>
      </c>
      <c r="G3287" s="5" t="s">
        <v>22773</v>
      </c>
      <c r="H3287" s="6" t="s">
        <v>22774</v>
      </c>
      <c r="K3287" s="5" t="s">
        <v>22775</v>
      </c>
    </row>
    <row r="3288">
      <c r="A3288" s="4">
        <v>45534.34428065972</v>
      </c>
      <c r="B3288" s="5" t="s">
        <v>34</v>
      </c>
      <c r="D3288" s="5" t="s">
        <v>6232</v>
      </c>
      <c r="E3288" s="5" t="s">
        <v>22778</v>
      </c>
      <c r="F3288" s="5" t="s">
        <v>524</v>
      </c>
      <c r="G3288" s="5" t="s">
        <v>22779</v>
      </c>
      <c r="H3288" s="6" t="s">
        <v>22780</v>
      </c>
      <c r="K3288" s="5" t="s">
        <v>22775</v>
      </c>
    </row>
    <row r="3289">
      <c r="A3289" s="4">
        <v>45534.34428824074</v>
      </c>
      <c r="B3289" s="5" t="s">
        <v>34</v>
      </c>
      <c r="D3289" s="5" t="s">
        <v>1206</v>
      </c>
      <c r="E3289" s="5" t="s">
        <v>22783</v>
      </c>
      <c r="F3289" s="5" t="s">
        <v>212</v>
      </c>
      <c r="G3289" s="5" t="s">
        <v>22784</v>
      </c>
      <c r="H3289" s="6" t="s">
        <v>22785</v>
      </c>
      <c r="K3289" s="5" t="s">
        <v>22775</v>
      </c>
    </row>
    <row r="3290">
      <c r="A3290" s="4">
        <v>45534.34431237269</v>
      </c>
      <c r="B3290" s="5" t="s">
        <v>34</v>
      </c>
      <c r="D3290" s="5" t="s">
        <v>4775</v>
      </c>
      <c r="E3290" s="5" t="s">
        <v>22788</v>
      </c>
      <c r="F3290" s="5" t="s">
        <v>37</v>
      </c>
      <c r="G3290" s="5" t="s">
        <v>22789</v>
      </c>
      <c r="H3290" s="6" t="s">
        <v>22790</v>
      </c>
      <c r="I3290" s="7" t="s">
        <v>22791</v>
      </c>
      <c r="J3290" s="8" t="str">
        <f>HYPERLINK("https://drive.google.com/file/d/1dknBJNvwtPUlHQ35fKtsCQrIzrty0lSS/view?usp=drivesdk","EDI SUPRIYADI SERTIFIKAT BerAKHLAK")</f>
        <v>EDI SUPRIYADI SERTIFIKAT BerAKHLAK</v>
      </c>
      <c r="K3290" s="5" t="s">
        <v>22551</v>
      </c>
      <c r="L3290" s="5" t="s">
        <v>22792</v>
      </c>
    </row>
    <row r="3291">
      <c r="A3291" s="4">
        <v>45534.344312615736</v>
      </c>
      <c r="B3291" s="5" t="s">
        <v>34</v>
      </c>
      <c r="D3291" s="5" t="s">
        <v>1206</v>
      </c>
      <c r="E3291" s="5" t="s">
        <v>22796</v>
      </c>
      <c r="F3291" s="5" t="s">
        <v>37</v>
      </c>
      <c r="G3291" s="5" t="s">
        <v>22797</v>
      </c>
      <c r="H3291" s="6" t="s">
        <v>22798</v>
      </c>
      <c r="I3291" s="7" t="s">
        <v>22799</v>
      </c>
      <c r="J3291" s="8" t="str">
        <f>HYPERLINK("https://drive.google.com/file/d/1Fj39NT68MG3HzXoUWiNu7WmZwlpJgaeV/view?usp=drivesdk","DHANY TYAS DEWI PUTRI SERTIFIKAT BerAKHLAK")</f>
        <v>DHANY TYAS DEWI PUTRI SERTIFIKAT BerAKHLAK</v>
      </c>
      <c r="K3291" s="5" t="s">
        <v>22551</v>
      </c>
      <c r="L3291" s="5" t="s">
        <v>22800</v>
      </c>
    </row>
    <row r="3292">
      <c r="A3292" s="4">
        <v>45534.34431435185</v>
      </c>
      <c r="B3292" s="5" t="s">
        <v>34</v>
      </c>
      <c r="D3292" s="5" t="s">
        <v>1206</v>
      </c>
      <c r="E3292" s="5" t="s">
        <v>22803</v>
      </c>
      <c r="F3292" s="5" t="s">
        <v>212</v>
      </c>
      <c r="G3292" s="5" t="s">
        <v>22804</v>
      </c>
      <c r="H3292" s="6" t="s">
        <v>22805</v>
      </c>
      <c r="K3292" s="5" t="s">
        <v>22806</v>
      </c>
    </row>
    <row r="3293">
      <c r="A3293" s="4">
        <v>45534.34432010417</v>
      </c>
      <c r="B3293" s="5" t="s">
        <v>34</v>
      </c>
      <c r="D3293" s="5" t="s">
        <v>11527</v>
      </c>
      <c r="E3293" s="5" t="s">
        <v>22809</v>
      </c>
      <c r="F3293" s="5" t="s">
        <v>37</v>
      </c>
      <c r="G3293" s="5" t="s">
        <v>22810</v>
      </c>
      <c r="H3293" s="6" t="s">
        <v>22811</v>
      </c>
      <c r="K3293" s="5" t="s">
        <v>22806</v>
      </c>
    </row>
    <row r="3294">
      <c r="A3294" s="4">
        <v>45534.34432769676</v>
      </c>
      <c r="B3294" s="5" t="s">
        <v>34</v>
      </c>
      <c r="D3294" s="5" t="s">
        <v>9020</v>
      </c>
      <c r="E3294" s="5" t="s">
        <v>22814</v>
      </c>
      <c r="F3294" s="5" t="s">
        <v>212</v>
      </c>
      <c r="G3294" s="5" t="s">
        <v>22815</v>
      </c>
      <c r="H3294" s="6" t="s">
        <v>22816</v>
      </c>
      <c r="K3294" s="5" t="s">
        <v>22806</v>
      </c>
    </row>
    <row r="3295">
      <c r="A3295" s="4">
        <v>45534.34432805555</v>
      </c>
      <c r="B3295" s="5" t="s">
        <v>34</v>
      </c>
      <c r="D3295" s="5" t="s">
        <v>1206</v>
      </c>
      <c r="E3295" s="5" t="s">
        <v>22820</v>
      </c>
      <c r="F3295" s="5" t="s">
        <v>108</v>
      </c>
      <c r="G3295" s="5" t="s">
        <v>22821</v>
      </c>
      <c r="H3295" s="6" t="s">
        <v>22822</v>
      </c>
      <c r="K3295" s="5" t="s">
        <v>22806</v>
      </c>
    </row>
    <row r="3296">
      <c r="A3296" s="4">
        <v>45534.34433953704</v>
      </c>
      <c r="B3296" s="5" t="s">
        <v>34</v>
      </c>
      <c r="D3296" s="5" t="s">
        <v>1206</v>
      </c>
      <c r="E3296" s="5" t="s">
        <v>22825</v>
      </c>
      <c r="F3296" s="5" t="s">
        <v>212</v>
      </c>
      <c r="G3296" s="5" t="s">
        <v>22826</v>
      </c>
      <c r="H3296" s="6" t="s">
        <v>22827</v>
      </c>
      <c r="K3296" s="5" t="s">
        <v>22806</v>
      </c>
    </row>
    <row r="3297">
      <c r="A3297" s="4">
        <v>45534.344364062505</v>
      </c>
      <c r="B3297" s="5" t="s">
        <v>34</v>
      </c>
      <c r="D3297" s="5" t="s">
        <v>1206</v>
      </c>
      <c r="E3297" s="5" t="s">
        <v>20560</v>
      </c>
      <c r="F3297" s="5" t="s">
        <v>108</v>
      </c>
      <c r="G3297" s="5" t="s">
        <v>22830</v>
      </c>
      <c r="H3297" s="6" t="s">
        <v>22831</v>
      </c>
      <c r="I3297" s="7" t="s">
        <v>22832</v>
      </c>
      <c r="J3297" s="8" t="str">
        <f>HYPERLINK("https://drive.google.com/file/d/1H4JRwBd15xMSzudWgAR6CAoW6G1bpTXY/view?usp=drivesdk","NURHAYATI SERTIFIKAT BerAKHLAK")</f>
        <v>NURHAYATI SERTIFIKAT BerAKHLAK</v>
      </c>
      <c r="K3297" s="5" t="s">
        <v>22551</v>
      </c>
      <c r="L3297" s="5" t="s">
        <v>22833</v>
      </c>
    </row>
    <row r="3298">
      <c r="A3298" s="4">
        <v>45534.34436457176</v>
      </c>
      <c r="B3298" s="5" t="s">
        <v>19</v>
      </c>
      <c r="C3298" s="5" t="s">
        <v>292</v>
      </c>
      <c r="E3298" s="5" t="s">
        <v>22837</v>
      </c>
      <c r="F3298" s="5" t="s">
        <v>37</v>
      </c>
      <c r="G3298" s="5" t="s">
        <v>22838</v>
      </c>
      <c r="H3298" s="6" t="s">
        <v>22839</v>
      </c>
      <c r="K3298" s="5" t="s">
        <v>22840</v>
      </c>
    </row>
    <row r="3299">
      <c r="A3299" s="4">
        <v>45534.34436618055</v>
      </c>
      <c r="B3299" s="5" t="s">
        <v>34</v>
      </c>
      <c r="D3299" s="5" t="s">
        <v>9020</v>
      </c>
      <c r="E3299" s="5" t="s">
        <v>22843</v>
      </c>
      <c r="F3299" s="5" t="s">
        <v>212</v>
      </c>
      <c r="G3299" s="5" t="s">
        <v>22844</v>
      </c>
      <c r="H3299" s="6" t="s">
        <v>22845</v>
      </c>
      <c r="K3299" s="5" t="s">
        <v>22840</v>
      </c>
    </row>
    <row r="3300">
      <c r="A3300" s="4">
        <v>45534.344369467595</v>
      </c>
      <c r="B3300" s="5" t="s">
        <v>34</v>
      </c>
      <c r="D3300" s="5" t="s">
        <v>7858</v>
      </c>
      <c r="E3300" s="5" t="s">
        <v>22848</v>
      </c>
      <c r="F3300" s="5" t="s">
        <v>212</v>
      </c>
      <c r="G3300" s="5" t="s">
        <v>22849</v>
      </c>
      <c r="H3300" s="6" t="s">
        <v>22850</v>
      </c>
      <c r="K3300" s="5" t="s">
        <v>22840</v>
      </c>
    </row>
    <row r="3301">
      <c r="A3301" s="4">
        <v>45534.34439201389</v>
      </c>
      <c r="B3301" s="5" t="s">
        <v>19</v>
      </c>
      <c r="C3301" s="5" t="s">
        <v>3301</v>
      </c>
      <c r="E3301" s="5" t="s">
        <v>22854</v>
      </c>
      <c r="F3301" s="5" t="s">
        <v>72</v>
      </c>
      <c r="G3301" s="5" t="s">
        <v>22855</v>
      </c>
      <c r="H3301" s="6" t="s">
        <v>22856</v>
      </c>
      <c r="I3301" s="7" t="s">
        <v>22857</v>
      </c>
      <c r="J3301" s="8" t="str">
        <f>HYPERLINK("https://drive.google.com/file/d/1oME51enZRX3Edl5OKy08eWj5NhvUkGYm/view?usp=drivesdk","LINAH ROSINAH AMK SERTIFIKAT BerAKHLAK")</f>
        <v>LINAH ROSINAH AMK SERTIFIKAT BerAKHLAK</v>
      </c>
      <c r="K3301" s="5" t="s">
        <v>22551</v>
      </c>
      <c r="L3301" s="5" t="s">
        <v>22858</v>
      </c>
    </row>
    <row r="3302">
      <c r="A3302" s="4">
        <v>45534.3443958912</v>
      </c>
      <c r="B3302" s="5" t="s">
        <v>34</v>
      </c>
      <c r="D3302" s="5" t="s">
        <v>12978</v>
      </c>
      <c r="E3302" s="5" t="s">
        <v>22861</v>
      </c>
      <c r="F3302" s="5" t="s">
        <v>375</v>
      </c>
      <c r="G3302" s="5" t="s">
        <v>22862</v>
      </c>
      <c r="H3302" s="6" t="s">
        <v>22863</v>
      </c>
      <c r="K3302" s="5" t="s">
        <v>22864</v>
      </c>
    </row>
    <row r="3303">
      <c r="A3303" s="4">
        <v>45534.344400173606</v>
      </c>
      <c r="B3303" s="5" t="s">
        <v>34</v>
      </c>
      <c r="D3303" s="5" t="s">
        <v>35</v>
      </c>
      <c r="E3303" s="5" t="s">
        <v>22867</v>
      </c>
      <c r="F3303" s="5" t="s">
        <v>72</v>
      </c>
      <c r="G3303" s="5" t="s">
        <v>22868</v>
      </c>
      <c r="H3303" s="6" t="s">
        <v>22869</v>
      </c>
      <c r="K3303" s="5" t="s">
        <v>22864</v>
      </c>
    </row>
    <row r="3304">
      <c r="A3304" s="4">
        <v>45534.344412418985</v>
      </c>
      <c r="B3304" s="5" t="s">
        <v>34</v>
      </c>
      <c r="D3304" s="5" t="s">
        <v>9020</v>
      </c>
      <c r="E3304" s="5" t="s">
        <v>22873</v>
      </c>
      <c r="F3304" s="5" t="s">
        <v>524</v>
      </c>
      <c r="G3304" s="5" t="s">
        <v>22874</v>
      </c>
      <c r="H3304" s="6" t="s">
        <v>22875</v>
      </c>
      <c r="I3304" s="7" t="s">
        <v>22876</v>
      </c>
      <c r="J3304" s="8" t="str">
        <f>HYPERLINK("https://drive.google.com/file/d/1zH6CWQyMPVb4VUeSK2tUvLPjBjUE-kuA/view?usp=drivesdk","AHMAD ZULHAIRI, Amd SERTIFIKAT BerAKHLAK")</f>
        <v>AHMAD ZULHAIRI, Amd SERTIFIKAT BerAKHLAK</v>
      </c>
      <c r="K3304" s="5" t="s">
        <v>22551</v>
      </c>
      <c r="L3304" s="5" t="s">
        <v>22877</v>
      </c>
    </row>
    <row r="3305">
      <c r="A3305" s="4">
        <v>45534.34441741898</v>
      </c>
      <c r="B3305" s="5" t="s">
        <v>34</v>
      </c>
      <c r="D3305" s="5" t="s">
        <v>1456</v>
      </c>
      <c r="E3305" s="5" t="s">
        <v>22880</v>
      </c>
      <c r="F3305" s="5" t="s">
        <v>37</v>
      </c>
      <c r="G3305" s="5" t="s">
        <v>22881</v>
      </c>
      <c r="H3305" s="6" t="s">
        <v>22882</v>
      </c>
      <c r="K3305" s="5" t="s">
        <v>22883</v>
      </c>
    </row>
    <row r="3306">
      <c r="A3306" s="4">
        <v>45534.34442137732</v>
      </c>
      <c r="B3306" s="5" t="s">
        <v>34</v>
      </c>
      <c r="D3306" s="5" t="s">
        <v>9394</v>
      </c>
      <c r="E3306" s="5" t="s">
        <v>22886</v>
      </c>
      <c r="F3306" s="5" t="s">
        <v>212</v>
      </c>
      <c r="G3306" s="5" t="s">
        <v>22887</v>
      </c>
      <c r="H3306" s="6" t="s">
        <v>22888</v>
      </c>
      <c r="K3306" s="5" t="s">
        <v>22883</v>
      </c>
    </row>
    <row r="3307">
      <c r="A3307" s="4">
        <v>45534.34442241898</v>
      </c>
      <c r="B3307" s="5" t="s">
        <v>34</v>
      </c>
      <c r="D3307" s="5" t="s">
        <v>4775</v>
      </c>
      <c r="E3307" s="5" t="s">
        <v>22891</v>
      </c>
      <c r="F3307" s="5" t="s">
        <v>108</v>
      </c>
      <c r="G3307" s="5" t="s">
        <v>22892</v>
      </c>
      <c r="H3307" s="6" t="s">
        <v>22893</v>
      </c>
      <c r="K3307" s="5" t="s">
        <v>22883</v>
      </c>
    </row>
    <row r="3308">
      <c r="A3308" s="4">
        <v>45534.34442461806</v>
      </c>
      <c r="B3308" s="5" t="s">
        <v>34</v>
      </c>
      <c r="D3308" s="5" t="s">
        <v>4775</v>
      </c>
      <c r="E3308" s="5" t="s">
        <v>22897</v>
      </c>
      <c r="F3308" s="5" t="s">
        <v>212</v>
      </c>
      <c r="G3308" s="5" t="s">
        <v>22898</v>
      </c>
      <c r="H3308" s="6" t="s">
        <v>22899</v>
      </c>
      <c r="K3308" s="5" t="s">
        <v>22883</v>
      </c>
    </row>
    <row r="3309">
      <c r="A3309" s="4">
        <v>45534.344427118056</v>
      </c>
      <c r="B3309" s="5" t="s">
        <v>34</v>
      </c>
      <c r="D3309" s="5" t="s">
        <v>3849</v>
      </c>
      <c r="E3309" s="5" t="s">
        <v>22902</v>
      </c>
      <c r="F3309" s="5" t="s">
        <v>108</v>
      </c>
      <c r="G3309" s="5" t="s">
        <v>22903</v>
      </c>
      <c r="H3309" s="6" t="s">
        <v>22904</v>
      </c>
      <c r="K3309" s="5" t="s">
        <v>22883</v>
      </c>
    </row>
    <row r="3310">
      <c r="A3310" s="4">
        <v>45534.34443603009</v>
      </c>
      <c r="B3310" s="5" t="s">
        <v>34</v>
      </c>
      <c r="D3310" s="5" t="s">
        <v>3849</v>
      </c>
      <c r="E3310" s="5" t="s">
        <v>22907</v>
      </c>
      <c r="F3310" s="5" t="s">
        <v>715</v>
      </c>
      <c r="G3310" s="5" t="s">
        <v>22908</v>
      </c>
      <c r="H3310" s="6" t="s">
        <v>22909</v>
      </c>
      <c r="K3310" s="5" t="s">
        <v>22883</v>
      </c>
    </row>
    <row r="3311">
      <c r="A3311" s="4">
        <v>45534.34445975695</v>
      </c>
      <c r="B3311" s="5" t="s">
        <v>34</v>
      </c>
      <c r="D3311" s="5" t="s">
        <v>1206</v>
      </c>
      <c r="E3311" s="5" t="s">
        <v>22912</v>
      </c>
      <c r="F3311" s="5" t="s">
        <v>199</v>
      </c>
      <c r="G3311" s="5" t="s">
        <v>22913</v>
      </c>
      <c r="H3311" s="6" t="s">
        <v>22914</v>
      </c>
      <c r="I3311" s="7" t="s">
        <v>22915</v>
      </c>
      <c r="J3311" s="8" t="str">
        <f>HYPERLINK("https://drive.google.com/file/d/1v3ufs_oQvLivPA_FH0NSZ83SOZHVgrmb/view?usp=drivesdk","DJUNAEDI  SERTIFIKAT BerAKHLAK")</f>
        <v>DJUNAEDI  SERTIFIKAT BerAKHLAK</v>
      </c>
      <c r="K3311" s="5" t="s">
        <v>22551</v>
      </c>
      <c r="L3311" s="5" t="s">
        <v>22916</v>
      </c>
    </row>
    <row r="3312">
      <c r="A3312" s="4">
        <v>45534.34446302083</v>
      </c>
      <c r="B3312" s="5" t="s">
        <v>34</v>
      </c>
      <c r="D3312" s="5" t="s">
        <v>280</v>
      </c>
      <c r="E3312" s="5" t="s">
        <v>22920</v>
      </c>
      <c r="F3312" s="5" t="s">
        <v>212</v>
      </c>
      <c r="G3312" s="5" t="s">
        <v>22921</v>
      </c>
      <c r="H3312" s="6" t="s">
        <v>22922</v>
      </c>
      <c r="K3312" s="5" t="s">
        <v>22923</v>
      </c>
    </row>
    <row r="3313">
      <c r="A3313" s="4">
        <v>45534.34446436343</v>
      </c>
      <c r="B3313" s="5" t="s">
        <v>34</v>
      </c>
      <c r="D3313" s="5" t="s">
        <v>522</v>
      </c>
      <c r="E3313" s="5" t="s">
        <v>22926</v>
      </c>
      <c r="F3313" s="5" t="s">
        <v>328</v>
      </c>
      <c r="G3313" s="5" t="s">
        <v>22927</v>
      </c>
      <c r="H3313" s="6" t="s">
        <v>22928</v>
      </c>
      <c r="K3313" s="5" t="s">
        <v>22923</v>
      </c>
    </row>
    <row r="3314">
      <c r="A3314" s="4">
        <v>45534.344464884256</v>
      </c>
      <c r="B3314" s="5" t="s">
        <v>34</v>
      </c>
      <c r="D3314" s="5" t="s">
        <v>35</v>
      </c>
      <c r="E3314" s="5" t="s">
        <v>22931</v>
      </c>
      <c r="F3314" s="5" t="s">
        <v>22</v>
      </c>
      <c r="G3314" s="5" t="s">
        <v>22932</v>
      </c>
      <c r="H3314" s="6" t="s">
        <v>22933</v>
      </c>
      <c r="K3314" s="5" t="s">
        <v>22923</v>
      </c>
    </row>
    <row r="3315">
      <c r="A3315" s="4">
        <v>45534.344463263886</v>
      </c>
      <c r="B3315" s="5" t="s">
        <v>34</v>
      </c>
      <c r="D3315" s="5" t="s">
        <v>1206</v>
      </c>
      <c r="E3315" s="5" t="s">
        <v>22936</v>
      </c>
      <c r="F3315" s="5" t="s">
        <v>37</v>
      </c>
      <c r="G3315" s="5" t="s">
        <v>22937</v>
      </c>
      <c r="H3315" s="6" t="s">
        <v>22938</v>
      </c>
      <c r="K3315" s="5" t="s">
        <v>22923</v>
      </c>
    </row>
    <row r="3316">
      <c r="A3316" s="4">
        <v>45534.344468344905</v>
      </c>
      <c r="B3316" s="5" t="s">
        <v>34</v>
      </c>
      <c r="D3316" s="5" t="s">
        <v>1206</v>
      </c>
      <c r="E3316" s="5" t="s">
        <v>22941</v>
      </c>
      <c r="F3316" s="5" t="s">
        <v>375</v>
      </c>
      <c r="G3316" s="5" t="s">
        <v>22942</v>
      </c>
      <c r="H3316" s="6" t="s">
        <v>22943</v>
      </c>
      <c r="K3316" s="5" t="s">
        <v>22923</v>
      </c>
    </row>
    <row r="3317">
      <c r="A3317" s="4">
        <v>45534.34447491898</v>
      </c>
      <c r="B3317" s="5" t="s">
        <v>34</v>
      </c>
      <c r="D3317" s="5" t="s">
        <v>35</v>
      </c>
      <c r="E3317" s="5" t="s">
        <v>22947</v>
      </c>
      <c r="F3317" s="5" t="s">
        <v>375</v>
      </c>
      <c r="G3317" s="5" t="s">
        <v>22948</v>
      </c>
      <c r="H3317" s="6" t="s">
        <v>22949</v>
      </c>
      <c r="K3317" s="5" t="s">
        <v>22923</v>
      </c>
    </row>
    <row r="3318">
      <c r="A3318" s="4">
        <v>45534.34447891204</v>
      </c>
      <c r="B3318" s="5" t="s">
        <v>34</v>
      </c>
      <c r="D3318" s="5" t="s">
        <v>1206</v>
      </c>
      <c r="E3318" s="5" t="s">
        <v>22952</v>
      </c>
      <c r="F3318" s="5" t="s">
        <v>72</v>
      </c>
      <c r="G3318" s="5" t="s">
        <v>22953</v>
      </c>
      <c r="H3318" s="6" t="s">
        <v>22954</v>
      </c>
      <c r="K3318" s="5" t="s">
        <v>22923</v>
      </c>
    </row>
    <row r="3319">
      <c r="A3319" s="4">
        <v>45534.3444800463</v>
      </c>
      <c r="B3319" s="5" t="s">
        <v>34</v>
      </c>
      <c r="D3319" s="5" t="s">
        <v>35</v>
      </c>
      <c r="E3319" s="5" t="s">
        <v>22957</v>
      </c>
      <c r="F3319" s="5" t="s">
        <v>524</v>
      </c>
      <c r="G3319" s="5" t="s">
        <v>22958</v>
      </c>
      <c r="H3319" s="6" t="s">
        <v>22959</v>
      </c>
      <c r="K3319" s="5" t="s">
        <v>22923</v>
      </c>
    </row>
    <row r="3320">
      <c r="A3320" s="4">
        <v>45534.34448600694</v>
      </c>
      <c r="B3320" s="5" t="s">
        <v>34</v>
      </c>
      <c r="D3320" s="5" t="s">
        <v>35</v>
      </c>
      <c r="E3320" s="5" t="s">
        <v>22962</v>
      </c>
      <c r="F3320" s="5" t="s">
        <v>212</v>
      </c>
      <c r="G3320" s="5" t="s">
        <v>22963</v>
      </c>
      <c r="H3320" s="6" t="s">
        <v>22964</v>
      </c>
      <c r="K3320" s="5" t="s">
        <v>22965</v>
      </c>
    </row>
    <row r="3321">
      <c r="A3321" s="4">
        <v>45534.3444878588</v>
      </c>
      <c r="B3321" s="5" t="s">
        <v>34</v>
      </c>
      <c r="D3321" s="5" t="s">
        <v>12978</v>
      </c>
      <c r="E3321" s="5" t="s">
        <v>22969</v>
      </c>
      <c r="F3321" s="5" t="s">
        <v>212</v>
      </c>
      <c r="G3321" s="5" t="s">
        <v>22970</v>
      </c>
      <c r="H3321" s="6" t="s">
        <v>22971</v>
      </c>
      <c r="K3321" s="5" t="s">
        <v>22965</v>
      </c>
    </row>
    <row r="3322">
      <c r="A3322" s="4">
        <v>45534.34449577546</v>
      </c>
      <c r="B3322" s="5" t="s">
        <v>34</v>
      </c>
      <c r="D3322" s="5" t="s">
        <v>6232</v>
      </c>
      <c r="E3322" s="5" t="s">
        <v>22974</v>
      </c>
      <c r="F3322" s="5" t="s">
        <v>375</v>
      </c>
      <c r="G3322" s="5" t="s">
        <v>22975</v>
      </c>
      <c r="H3322" s="6" t="s">
        <v>22976</v>
      </c>
      <c r="K3322" s="5" t="s">
        <v>22965</v>
      </c>
    </row>
    <row r="3323">
      <c r="A3323" s="4">
        <v>45534.34449876157</v>
      </c>
      <c r="B3323" s="5" t="s">
        <v>34</v>
      </c>
      <c r="D3323" s="5" t="s">
        <v>580</v>
      </c>
      <c r="E3323" s="5" t="s">
        <v>22979</v>
      </c>
      <c r="F3323" s="5" t="s">
        <v>72</v>
      </c>
      <c r="G3323" s="5" t="s">
        <v>22980</v>
      </c>
      <c r="H3323" s="6" t="s">
        <v>22981</v>
      </c>
      <c r="K3323" s="5" t="s">
        <v>22982</v>
      </c>
    </row>
    <row r="3324">
      <c r="A3324" s="4">
        <v>45534.34449981482</v>
      </c>
      <c r="B3324" s="5" t="s">
        <v>34</v>
      </c>
      <c r="D3324" s="5" t="s">
        <v>6232</v>
      </c>
      <c r="E3324" s="5" t="s">
        <v>22985</v>
      </c>
      <c r="F3324" s="5" t="s">
        <v>212</v>
      </c>
      <c r="G3324" s="5" t="s">
        <v>22986</v>
      </c>
      <c r="H3324" s="6" t="s">
        <v>22987</v>
      </c>
      <c r="K3324" s="5" t="s">
        <v>22982</v>
      </c>
    </row>
    <row r="3325">
      <c r="A3325" s="4">
        <v>45534.34450423611</v>
      </c>
      <c r="B3325" s="5" t="s">
        <v>34</v>
      </c>
      <c r="D3325" s="5" t="s">
        <v>701</v>
      </c>
      <c r="E3325" s="5" t="s">
        <v>22991</v>
      </c>
      <c r="F3325" s="5" t="s">
        <v>72</v>
      </c>
      <c r="G3325" s="5" t="s">
        <v>22992</v>
      </c>
      <c r="H3325" s="6" t="s">
        <v>22993</v>
      </c>
      <c r="K3325" s="5" t="s">
        <v>22982</v>
      </c>
    </row>
    <row r="3326">
      <c r="A3326" s="4">
        <v>45534.34450607639</v>
      </c>
      <c r="B3326" s="5" t="s">
        <v>34</v>
      </c>
      <c r="D3326" s="5" t="s">
        <v>3849</v>
      </c>
      <c r="E3326" s="5" t="s">
        <v>22997</v>
      </c>
      <c r="F3326" s="5" t="s">
        <v>108</v>
      </c>
      <c r="G3326" s="5" t="s">
        <v>22998</v>
      </c>
      <c r="H3326" s="6" t="s">
        <v>22999</v>
      </c>
      <c r="K3326" s="5" t="s">
        <v>22982</v>
      </c>
    </row>
    <row r="3327">
      <c r="A3327" s="4">
        <v>45534.344526076384</v>
      </c>
      <c r="B3327" s="5" t="s">
        <v>34</v>
      </c>
      <c r="D3327" s="5" t="s">
        <v>280</v>
      </c>
      <c r="E3327" s="5" t="s">
        <v>23002</v>
      </c>
      <c r="F3327" s="5" t="s">
        <v>108</v>
      </c>
      <c r="G3327" s="5" t="s">
        <v>23003</v>
      </c>
      <c r="H3327" s="6" t="s">
        <v>23004</v>
      </c>
      <c r="K3327" s="5" t="s">
        <v>22982</v>
      </c>
    </row>
    <row r="3328">
      <c r="A3328" s="4">
        <v>45534.344527256944</v>
      </c>
      <c r="B3328" s="5" t="s">
        <v>19</v>
      </c>
      <c r="C3328" s="5" t="s">
        <v>442</v>
      </c>
      <c r="E3328" s="5" t="s">
        <v>23008</v>
      </c>
      <c r="F3328" s="5" t="s">
        <v>120</v>
      </c>
      <c r="G3328" s="5" t="s">
        <v>23009</v>
      </c>
      <c r="H3328" s="6" t="s">
        <v>23010</v>
      </c>
      <c r="K3328" s="5" t="s">
        <v>22982</v>
      </c>
    </row>
    <row r="3329">
      <c r="A3329" s="4">
        <v>45534.34453326389</v>
      </c>
      <c r="B3329" s="5" t="s">
        <v>34</v>
      </c>
      <c r="D3329" s="5" t="s">
        <v>9394</v>
      </c>
      <c r="E3329" s="5" t="s">
        <v>23013</v>
      </c>
      <c r="F3329" s="5" t="s">
        <v>715</v>
      </c>
      <c r="G3329" s="5" t="s">
        <v>23014</v>
      </c>
      <c r="H3329" s="6" t="s">
        <v>23015</v>
      </c>
      <c r="K3329" s="5" t="s">
        <v>22982</v>
      </c>
    </row>
    <row r="3330">
      <c r="A3330" s="4">
        <v>45534.34453648148</v>
      </c>
      <c r="B3330" s="5" t="s">
        <v>34</v>
      </c>
      <c r="D3330" s="5" t="s">
        <v>580</v>
      </c>
      <c r="E3330" s="5" t="s">
        <v>23018</v>
      </c>
      <c r="F3330" s="5" t="s">
        <v>37</v>
      </c>
      <c r="G3330" s="5" t="s">
        <v>23019</v>
      </c>
      <c r="H3330" s="6" t="s">
        <v>23020</v>
      </c>
      <c r="K3330" s="5" t="s">
        <v>23021</v>
      </c>
    </row>
    <row r="3331">
      <c r="A3331" s="4">
        <v>45534.34453853009</v>
      </c>
      <c r="B3331" s="5" t="s">
        <v>34</v>
      </c>
      <c r="D3331" s="5" t="s">
        <v>6232</v>
      </c>
      <c r="E3331" s="5" t="s">
        <v>23024</v>
      </c>
      <c r="F3331" s="5" t="s">
        <v>37</v>
      </c>
      <c r="G3331" s="5" t="s">
        <v>23025</v>
      </c>
      <c r="H3331" s="6" t="s">
        <v>23026</v>
      </c>
      <c r="K3331" s="5" t="s">
        <v>23021</v>
      </c>
    </row>
    <row r="3332">
      <c r="A3332" s="4">
        <v>45534.344544583335</v>
      </c>
      <c r="B3332" s="5" t="s">
        <v>34</v>
      </c>
      <c r="D3332" s="5" t="s">
        <v>12978</v>
      </c>
      <c r="E3332" s="5" t="s">
        <v>23030</v>
      </c>
      <c r="F3332" s="5" t="s">
        <v>212</v>
      </c>
      <c r="G3332" s="5" t="s">
        <v>23031</v>
      </c>
      <c r="H3332" s="6" t="s">
        <v>23032</v>
      </c>
      <c r="K3332" s="5" t="s">
        <v>23033</v>
      </c>
    </row>
    <row r="3333">
      <c r="A3333" s="4">
        <v>45534.34455060185</v>
      </c>
      <c r="B3333" s="5" t="s">
        <v>34</v>
      </c>
      <c r="D3333" s="5" t="s">
        <v>7858</v>
      </c>
      <c r="E3333" s="5" t="s">
        <v>23036</v>
      </c>
      <c r="F3333" s="5" t="s">
        <v>524</v>
      </c>
      <c r="G3333" s="5" t="s">
        <v>23037</v>
      </c>
      <c r="H3333" s="6" t="s">
        <v>23038</v>
      </c>
      <c r="K3333" s="5" t="s">
        <v>23033</v>
      </c>
    </row>
    <row r="3334">
      <c r="A3334" s="4">
        <v>45534.3445565625</v>
      </c>
      <c r="B3334" s="5" t="s">
        <v>34</v>
      </c>
      <c r="D3334" s="5" t="s">
        <v>12978</v>
      </c>
      <c r="E3334" s="5" t="s">
        <v>23041</v>
      </c>
      <c r="F3334" s="5" t="s">
        <v>328</v>
      </c>
      <c r="G3334" s="5" t="s">
        <v>23042</v>
      </c>
      <c r="H3334" s="6" t="s">
        <v>23043</v>
      </c>
      <c r="K3334" s="5" t="s">
        <v>23044</v>
      </c>
    </row>
    <row r="3335">
      <c r="A3335" s="4">
        <v>45534.344566608794</v>
      </c>
      <c r="B3335" s="5" t="s">
        <v>34</v>
      </c>
      <c r="D3335" s="5" t="s">
        <v>4775</v>
      </c>
      <c r="E3335" s="5" t="s">
        <v>23047</v>
      </c>
      <c r="F3335" s="5" t="s">
        <v>108</v>
      </c>
      <c r="G3335" s="5" t="s">
        <v>23048</v>
      </c>
      <c r="H3335" s="6" t="s">
        <v>23049</v>
      </c>
      <c r="K3335" s="5" t="s">
        <v>23044</v>
      </c>
    </row>
    <row r="3336">
      <c r="A3336" s="4">
        <v>45534.34456949074</v>
      </c>
      <c r="B3336" s="5" t="s">
        <v>34</v>
      </c>
      <c r="D3336" s="5" t="s">
        <v>6232</v>
      </c>
      <c r="E3336" s="5" t="s">
        <v>23053</v>
      </c>
      <c r="F3336" s="5" t="s">
        <v>375</v>
      </c>
      <c r="G3336" s="5" t="s">
        <v>23054</v>
      </c>
      <c r="H3336" s="6" t="s">
        <v>23055</v>
      </c>
      <c r="K3336" s="5" t="s">
        <v>23044</v>
      </c>
    </row>
    <row r="3337">
      <c r="A3337" s="4">
        <v>45534.344576331016</v>
      </c>
      <c r="B3337" s="5" t="s">
        <v>34</v>
      </c>
      <c r="D3337" s="5" t="s">
        <v>9394</v>
      </c>
      <c r="E3337" s="5" t="s">
        <v>23058</v>
      </c>
      <c r="F3337" s="5" t="s">
        <v>37</v>
      </c>
      <c r="G3337" s="5" t="s">
        <v>23059</v>
      </c>
      <c r="H3337" s="6" t="s">
        <v>23060</v>
      </c>
      <c r="K3337" s="5" t="s">
        <v>23044</v>
      </c>
    </row>
    <row r="3338">
      <c r="A3338" s="4">
        <v>45534.344579675926</v>
      </c>
      <c r="B3338" s="5" t="s">
        <v>34</v>
      </c>
      <c r="D3338" s="5" t="s">
        <v>996</v>
      </c>
      <c r="E3338" s="5" t="s">
        <v>23063</v>
      </c>
      <c r="F3338" s="5" t="s">
        <v>212</v>
      </c>
      <c r="G3338" s="5" t="s">
        <v>23064</v>
      </c>
      <c r="H3338" s="6" t="s">
        <v>23065</v>
      </c>
      <c r="K3338" s="5" t="s">
        <v>23044</v>
      </c>
    </row>
    <row r="3339">
      <c r="A3339" s="4">
        <v>45534.34458320602</v>
      </c>
      <c r="B3339" s="5" t="s">
        <v>34</v>
      </c>
      <c r="D3339" s="5" t="s">
        <v>9020</v>
      </c>
      <c r="E3339" s="5" t="s">
        <v>23068</v>
      </c>
      <c r="F3339" s="5" t="s">
        <v>212</v>
      </c>
      <c r="G3339" s="5" t="s">
        <v>23069</v>
      </c>
      <c r="H3339" s="6" t="s">
        <v>23070</v>
      </c>
      <c r="K3339" s="5" t="s">
        <v>23044</v>
      </c>
    </row>
    <row r="3340">
      <c r="A3340" s="4">
        <v>45534.34460831019</v>
      </c>
      <c r="B3340" s="5" t="s">
        <v>34</v>
      </c>
      <c r="D3340" s="5" t="s">
        <v>35</v>
      </c>
      <c r="E3340" s="5" t="s">
        <v>23074</v>
      </c>
      <c r="F3340" s="5" t="s">
        <v>37</v>
      </c>
      <c r="G3340" s="5" t="s">
        <v>23075</v>
      </c>
      <c r="H3340" s="6" t="s">
        <v>23076</v>
      </c>
      <c r="K3340" s="5" t="s">
        <v>23077</v>
      </c>
    </row>
    <row r="3341">
      <c r="A3341" s="4">
        <v>45534.34460998843</v>
      </c>
      <c r="B3341" s="5" t="s">
        <v>34</v>
      </c>
      <c r="D3341" s="5" t="s">
        <v>4775</v>
      </c>
      <c r="E3341" s="5" t="s">
        <v>23080</v>
      </c>
      <c r="F3341" s="5" t="s">
        <v>212</v>
      </c>
      <c r="G3341" s="5" t="s">
        <v>23081</v>
      </c>
      <c r="H3341" s="6" t="s">
        <v>23082</v>
      </c>
      <c r="K3341" s="5" t="s">
        <v>23077</v>
      </c>
    </row>
    <row r="3342">
      <c r="A3342" s="4">
        <v>45534.344617106486</v>
      </c>
      <c r="B3342" s="5" t="s">
        <v>34</v>
      </c>
      <c r="D3342" s="5" t="s">
        <v>701</v>
      </c>
      <c r="E3342" s="5" t="s">
        <v>23085</v>
      </c>
      <c r="F3342" s="5" t="s">
        <v>72</v>
      </c>
      <c r="G3342" s="5" t="s">
        <v>23086</v>
      </c>
      <c r="H3342" s="6" t="s">
        <v>23087</v>
      </c>
      <c r="K3342" s="5" t="s">
        <v>23077</v>
      </c>
    </row>
    <row r="3343">
      <c r="A3343" s="4">
        <v>45534.34461827546</v>
      </c>
      <c r="B3343" s="5" t="s">
        <v>34</v>
      </c>
      <c r="D3343" s="5" t="s">
        <v>10444</v>
      </c>
      <c r="E3343" s="5" t="s">
        <v>23090</v>
      </c>
      <c r="F3343" s="5" t="s">
        <v>212</v>
      </c>
      <c r="G3343" s="5" t="s">
        <v>23091</v>
      </c>
      <c r="H3343" s="6" t="s">
        <v>23092</v>
      </c>
      <c r="K3343" s="5" t="s">
        <v>23077</v>
      </c>
    </row>
    <row r="3344">
      <c r="A3344" s="4">
        <v>45534.344627094906</v>
      </c>
      <c r="B3344" s="5" t="s">
        <v>34</v>
      </c>
      <c r="D3344" s="5" t="s">
        <v>12978</v>
      </c>
      <c r="E3344" s="5" t="s">
        <v>23096</v>
      </c>
      <c r="F3344" s="5" t="s">
        <v>212</v>
      </c>
      <c r="G3344" s="5" t="s">
        <v>23097</v>
      </c>
      <c r="H3344" s="6" t="s">
        <v>23098</v>
      </c>
      <c r="K3344" s="5" t="s">
        <v>23077</v>
      </c>
    </row>
    <row r="3345">
      <c r="A3345" s="4">
        <v>45534.3446275</v>
      </c>
      <c r="B3345" s="5" t="s">
        <v>34</v>
      </c>
      <c r="D3345" s="5" t="s">
        <v>1456</v>
      </c>
      <c r="E3345" s="5" t="s">
        <v>23101</v>
      </c>
      <c r="F3345" s="5" t="s">
        <v>37</v>
      </c>
      <c r="G3345" s="5" t="s">
        <v>23102</v>
      </c>
      <c r="H3345" s="6" t="s">
        <v>23103</v>
      </c>
      <c r="K3345" s="5" t="s">
        <v>23077</v>
      </c>
    </row>
    <row r="3346">
      <c r="A3346" s="4">
        <v>45534.34462795139</v>
      </c>
      <c r="B3346" s="5" t="s">
        <v>34</v>
      </c>
      <c r="D3346" s="5" t="s">
        <v>267</v>
      </c>
      <c r="E3346" s="5" t="s">
        <v>23106</v>
      </c>
      <c r="F3346" s="5" t="s">
        <v>212</v>
      </c>
      <c r="G3346" s="5" t="s">
        <v>23107</v>
      </c>
      <c r="H3346" s="6" t="s">
        <v>23108</v>
      </c>
      <c r="K3346" s="5" t="s">
        <v>23077</v>
      </c>
    </row>
    <row r="3347">
      <c r="A3347" s="4">
        <v>45534.34462888889</v>
      </c>
      <c r="B3347" s="5" t="s">
        <v>34</v>
      </c>
      <c r="D3347" s="5" t="s">
        <v>9020</v>
      </c>
      <c r="E3347" s="5" t="s">
        <v>23111</v>
      </c>
      <c r="F3347" s="5" t="s">
        <v>212</v>
      </c>
      <c r="G3347" s="5" t="s">
        <v>23112</v>
      </c>
      <c r="H3347" s="6" t="s">
        <v>23113</v>
      </c>
      <c r="K3347" s="5" t="s">
        <v>23077</v>
      </c>
    </row>
    <row r="3348">
      <c r="A3348" s="4">
        <v>45534.34463762731</v>
      </c>
      <c r="B3348" s="5" t="s">
        <v>34</v>
      </c>
      <c r="D3348" s="5" t="s">
        <v>580</v>
      </c>
      <c r="E3348" s="5" t="s">
        <v>23117</v>
      </c>
      <c r="F3348" s="5" t="s">
        <v>212</v>
      </c>
      <c r="G3348" s="5" t="s">
        <v>23118</v>
      </c>
      <c r="H3348" s="6" t="s">
        <v>23119</v>
      </c>
      <c r="K3348" s="5" t="s">
        <v>23077</v>
      </c>
    </row>
    <row r="3349">
      <c r="A3349" s="4">
        <v>45534.3446419213</v>
      </c>
      <c r="B3349" s="5" t="s">
        <v>34</v>
      </c>
      <c r="D3349" s="5" t="s">
        <v>9020</v>
      </c>
      <c r="E3349" s="5" t="s">
        <v>23122</v>
      </c>
      <c r="F3349" s="5" t="s">
        <v>212</v>
      </c>
      <c r="G3349" s="5" t="s">
        <v>23123</v>
      </c>
      <c r="H3349" s="6" t="s">
        <v>23124</v>
      </c>
      <c r="K3349" s="5" t="s">
        <v>23125</v>
      </c>
    </row>
    <row r="3350">
      <c r="A3350" s="4">
        <v>45534.34465372685</v>
      </c>
      <c r="B3350" s="5" t="s">
        <v>34</v>
      </c>
      <c r="D3350" s="5" t="s">
        <v>267</v>
      </c>
      <c r="E3350" s="5" t="s">
        <v>23128</v>
      </c>
      <c r="F3350" s="5" t="s">
        <v>375</v>
      </c>
      <c r="G3350" s="5" t="s">
        <v>23129</v>
      </c>
      <c r="H3350" s="6" t="s">
        <v>23130</v>
      </c>
      <c r="K3350" s="5" t="s">
        <v>23125</v>
      </c>
    </row>
    <row r="3351">
      <c r="A3351" s="4">
        <v>45534.3446602662</v>
      </c>
      <c r="B3351" s="5" t="s">
        <v>34</v>
      </c>
      <c r="D3351" s="5" t="s">
        <v>9020</v>
      </c>
      <c r="E3351" s="5" t="s">
        <v>23133</v>
      </c>
      <c r="F3351" s="5" t="s">
        <v>72</v>
      </c>
      <c r="G3351" s="5" t="s">
        <v>23134</v>
      </c>
      <c r="H3351" s="6" t="s">
        <v>23135</v>
      </c>
      <c r="K3351" s="5" t="s">
        <v>23125</v>
      </c>
    </row>
    <row r="3352">
      <c r="A3352" s="4">
        <v>45534.34467136574</v>
      </c>
      <c r="B3352" s="5" t="s">
        <v>34</v>
      </c>
      <c r="D3352" s="5" t="s">
        <v>12978</v>
      </c>
      <c r="E3352" s="5" t="s">
        <v>16234</v>
      </c>
      <c r="F3352" s="5" t="s">
        <v>37</v>
      </c>
      <c r="G3352" s="5" t="s">
        <v>23138</v>
      </c>
      <c r="H3352" s="6" t="s">
        <v>23139</v>
      </c>
      <c r="K3352" s="5" t="s">
        <v>23125</v>
      </c>
    </row>
    <row r="3353">
      <c r="A3353" s="4">
        <v>45534.3446803125</v>
      </c>
      <c r="B3353" s="5" t="s">
        <v>34</v>
      </c>
      <c r="D3353" s="5" t="s">
        <v>35</v>
      </c>
      <c r="E3353" s="5" t="s">
        <v>16286</v>
      </c>
      <c r="F3353" s="5" t="s">
        <v>524</v>
      </c>
      <c r="G3353" s="5" t="s">
        <v>23143</v>
      </c>
      <c r="H3353" s="6" t="s">
        <v>23144</v>
      </c>
      <c r="K3353" s="5" t="s">
        <v>23145</v>
      </c>
    </row>
    <row r="3354">
      <c r="A3354" s="4">
        <v>45534.34468366898</v>
      </c>
      <c r="B3354" s="5" t="s">
        <v>34</v>
      </c>
      <c r="D3354" s="5" t="s">
        <v>35</v>
      </c>
      <c r="E3354" s="5" t="s">
        <v>23148</v>
      </c>
      <c r="F3354" s="5" t="s">
        <v>37</v>
      </c>
      <c r="G3354" s="5" t="s">
        <v>23149</v>
      </c>
      <c r="H3354" s="6" t="s">
        <v>23150</v>
      </c>
      <c r="K3354" s="5" t="s">
        <v>23151</v>
      </c>
    </row>
    <row r="3355">
      <c r="A3355" s="4">
        <v>45534.34468834491</v>
      </c>
      <c r="B3355" s="5" t="s">
        <v>34</v>
      </c>
      <c r="D3355" s="5" t="s">
        <v>35</v>
      </c>
      <c r="E3355" s="5" t="s">
        <v>23154</v>
      </c>
      <c r="F3355" s="5" t="s">
        <v>108</v>
      </c>
      <c r="G3355" s="5" t="s">
        <v>23155</v>
      </c>
      <c r="H3355" s="6" t="s">
        <v>23156</v>
      </c>
      <c r="K3355" s="5" t="s">
        <v>23151</v>
      </c>
    </row>
    <row r="3356">
      <c r="A3356" s="4">
        <v>45534.34469722222</v>
      </c>
      <c r="B3356" s="5" t="s">
        <v>34</v>
      </c>
      <c r="D3356" s="5" t="s">
        <v>12978</v>
      </c>
      <c r="E3356" s="5" t="s">
        <v>23159</v>
      </c>
      <c r="F3356" s="5" t="s">
        <v>715</v>
      </c>
      <c r="G3356" s="5" t="s">
        <v>23160</v>
      </c>
      <c r="H3356" s="6" t="s">
        <v>23161</v>
      </c>
      <c r="K3356" s="5" t="s">
        <v>23151</v>
      </c>
    </row>
    <row r="3357">
      <c r="A3357" s="4">
        <v>45534.344705509255</v>
      </c>
      <c r="B3357" s="5" t="s">
        <v>34</v>
      </c>
      <c r="D3357" s="5" t="s">
        <v>975</v>
      </c>
      <c r="E3357" s="5" t="s">
        <v>23165</v>
      </c>
      <c r="F3357" s="5" t="s">
        <v>108</v>
      </c>
      <c r="G3357" s="5" t="s">
        <v>23166</v>
      </c>
      <c r="H3357" s="6" t="s">
        <v>23167</v>
      </c>
      <c r="K3357" s="5" t="s">
        <v>23151</v>
      </c>
    </row>
    <row r="3358">
      <c r="A3358" s="4">
        <v>45534.34471164352</v>
      </c>
      <c r="B3358" s="5" t="s">
        <v>34</v>
      </c>
      <c r="D3358" s="5" t="s">
        <v>522</v>
      </c>
      <c r="E3358" s="5" t="s">
        <v>23170</v>
      </c>
      <c r="F3358" s="5" t="s">
        <v>212</v>
      </c>
      <c r="G3358" s="5" t="s">
        <v>23171</v>
      </c>
      <c r="H3358" s="6" t="s">
        <v>23172</v>
      </c>
      <c r="K3358" s="5" t="s">
        <v>23151</v>
      </c>
    </row>
    <row r="3359">
      <c r="A3359" s="4">
        <v>45534.34471480324</v>
      </c>
      <c r="B3359" s="5" t="s">
        <v>34</v>
      </c>
      <c r="D3359" s="5" t="s">
        <v>4775</v>
      </c>
      <c r="E3359" s="5" t="s">
        <v>23175</v>
      </c>
      <c r="F3359" s="5" t="s">
        <v>212</v>
      </c>
      <c r="G3359" s="5" t="s">
        <v>23176</v>
      </c>
      <c r="H3359" s="6" t="s">
        <v>23177</v>
      </c>
      <c r="K3359" s="5" t="s">
        <v>23151</v>
      </c>
    </row>
    <row r="3360">
      <c r="A3360" s="4">
        <v>45534.34471796296</v>
      </c>
      <c r="B3360" s="5" t="s">
        <v>34</v>
      </c>
      <c r="D3360" s="5" t="s">
        <v>7858</v>
      </c>
      <c r="E3360" s="5" t="s">
        <v>23180</v>
      </c>
      <c r="F3360" s="5" t="s">
        <v>108</v>
      </c>
      <c r="G3360" s="5" t="s">
        <v>23181</v>
      </c>
      <c r="H3360" s="6" t="s">
        <v>23182</v>
      </c>
      <c r="K3360" s="5" t="s">
        <v>23151</v>
      </c>
    </row>
    <row r="3361">
      <c r="A3361" s="4">
        <v>45534.34472050926</v>
      </c>
      <c r="B3361" s="5" t="s">
        <v>34</v>
      </c>
      <c r="D3361" s="5" t="s">
        <v>1206</v>
      </c>
      <c r="E3361" s="5" t="s">
        <v>23186</v>
      </c>
      <c r="F3361" s="5" t="s">
        <v>72</v>
      </c>
      <c r="G3361" s="5" t="s">
        <v>23187</v>
      </c>
      <c r="H3361" s="6" t="s">
        <v>23188</v>
      </c>
      <c r="K3361" s="5" t="s">
        <v>23151</v>
      </c>
    </row>
    <row r="3362">
      <c r="A3362" s="4">
        <v>45534.34472393518</v>
      </c>
      <c r="B3362" s="5" t="s">
        <v>34</v>
      </c>
      <c r="D3362" s="5" t="s">
        <v>1206</v>
      </c>
      <c r="E3362" s="5" t="s">
        <v>23191</v>
      </c>
      <c r="F3362" s="5" t="s">
        <v>37</v>
      </c>
      <c r="G3362" s="5" t="s">
        <v>23192</v>
      </c>
      <c r="H3362" s="6" t="s">
        <v>23193</v>
      </c>
      <c r="K3362" s="5" t="s">
        <v>23151</v>
      </c>
    </row>
    <row r="3363">
      <c r="A3363" s="4">
        <v>45534.34472907407</v>
      </c>
      <c r="B3363" s="5" t="s">
        <v>19</v>
      </c>
      <c r="C3363" s="5" t="s">
        <v>3301</v>
      </c>
      <c r="E3363" s="5" t="s">
        <v>23196</v>
      </c>
      <c r="F3363" s="5" t="s">
        <v>37</v>
      </c>
      <c r="G3363" s="5" t="s">
        <v>23197</v>
      </c>
      <c r="H3363" s="6" t="s">
        <v>23198</v>
      </c>
      <c r="K3363" s="5" t="s">
        <v>23151</v>
      </c>
    </row>
    <row r="3364">
      <c r="A3364" s="4">
        <v>45534.34473520833</v>
      </c>
      <c r="B3364" s="5" t="s">
        <v>34</v>
      </c>
      <c r="D3364" s="5" t="s">
        <v>12978</v>
      </c>
      <c r="E3364" s="5" t="s">
        <v>23201</v>
      </c>
      <c r="F3364" s="5" t="s">
        <v>72</v>
      </c>
      <c r="G3364" s="5" t="s">
        <v>23202</v>
      </c>
      <c r="H3364" s="6" t="s">
        <v>23203</v>
      </c>
      <c r="K3364" s="5" t="s">
        <v>23151</v>
      </c>
    </row>
    <row r="3365">
      <c r="A3365" s="4">
        <v>45534.344735879626</v>
      </c>
      <c r="B3365" s="5" t="s">
        <v>34</v>
      </c>
      <c r="D3365" s="5" t="s">
        <v>580</v>
      </c>
      <c r="E3365" s="5" t="s">
        <v>23207</v>
      </c>
      <c r="F3365" s="5" t="s">
        <v>108</v>
      </c>
      <c r="G3365" s="5" t="s">
        <v>23208</v>
      </c>
      <c r="H3365" s="6" t="s">
        <v>23209</v>
      </c>
      <c r="K3365" s="5" t="s">
        <v>23151</v>
      </c>
    </row>
    <row r="3366">
      <c r="A3366" s="4">
        <v>45534.344751365745</v>
      </c>
      <c r="B3366" s="5" t="s">
        <v>34</v>
      </c>
      <c r="D3366" s="5" t="s">
        <v>7858</v>
      </c>
      <c r="E3366" s="5" t="s">
        <v>23212</v>
      </c>
      <c r="F3366" s="5" t="s">
        <v>375</v>
      </c>
      <c r="G3366" s="5" t="s">
        <v>23213</v>
      </c>
      <c r="H3366" s="6" t="s">
        <v>23214</v>
      </c>
      <c r="K3366" s="5" t="s">
        <v>23151</v>
      </c>
    </row>
    <row r="3367">
      <c r="A3367" s="4">
        <v>45534.34475793982</v>
      </c>
      <c r="B3367" s="5" t="s">
        <v>34</v>
      </c>
      <c r="D3367" s="5" t="s">
        <v>10444</v>
      </c>
      <c r="E3367" s="5" t="s">
        <v>23217</v>
      </c>
      <c r="F3367" s="5" t="s">
        <v>37</v>
      </c>
      <c r="G3367" s="5" t="s">
        <v>23218</v>
      </c>
      <c r="H3367" s="6" t="s">
        <v>23219</v>
      </c>
      <c r="K3367" s="5" t="s">
        <v>23220</v>
      </c>
    </row>
    <row r="3368">
      <c r="A3368" s="4">
        <v>45534.3447753588</v>
      </c>
      <c r="B3368" s="5" t="s">
        <v>19</v>
      </c>
      <c r="C3368" s="5" t="s">
        <v>3471</v>
      </c>
      <c r="E3368" s="5" t="s">
        <v>23224</v>
      </c>
      <c r="F3368" s="5" t="s">
        <v>375</v>
      </c>
      <c r="G3368" s="5" t="s">
        <v>23225</v>
      </c>
      <c r="H3368" s="6" t="s">
        <v>23226</v>
      </c>
      <c r="K3368" s="5" t="s">
        <v>23220</v>
      </c>
    </row>
    <row r="3369">
      <c r="A3369" s="4">
        <v>45534.34477751158</v>
      </c>
      <c r="B3369" s="5" t="s">
        <v>34</v>
      </c>
      <c r="D3369" s="5" t="s">
        <v>1768</v>
      </c>
      <c r="E3369" s="5" t="s">
        <v>23229</v>
      </c>
      <c r="F3369" s="5" t="s">
        <v>108</v>
      </c>
      <c r="G3369" s="5" t="s">
        <v>23230</v>
      </c>
      <c r="H3369" s="6" t="s">
        <v>23231</v>
      </c>
      <c r="K3369" s="5" t="s">
        <v>23232</v>
      </c>
    </row>
    <row r="3370">
      <c r="A3370" s="4">
        <v>45534.3447794213</v>
      </c>
      <c r="B3370" s="5" t="s">
        <v>34</v>
      </c>
      <c r="D3370" s="5" t="s">
        <v>1206</v>
      </c>
      <c r="E3370" s="5" t="s">
        <v>23235</v>
      </c>
      <c r="F3370" s="5" t="s">
        <v>212</v>
      </c>
      <c r="G3370" s="5" t="s">
        <v>23236</v>
      </c>
      <c r="H3370" s="6" t="s">
        <v>23237</v>
      </c>
      <c r="K3370" s="5" t="s">
        <v>23232</v>
      </c>
    </row>
    <row r="3371">
      <c r="A3371" s="4">
        <v>45534.34478043982</v>
      </c>
      <c r="B3371" s="5" t="s">
        <v>34</v>
      </c>
      <c r="D3371" s="5" t="s">
        <v>1206</v>
      </c>
      <c r="E3371" s="5" t="s">
        <v>23241</v>
      </c>
      <c r="F3371" s="5" t="s">
        <v>199</v>
      </c>
      <c r="G3371" s="5" t="s">
        <v>23242</v>
      </c>
      <c r="H3371" s="6" t="s">
        <v>23243</v>
      </c>
      <c r="K3371" s="5" t="s">
        <v>23232</v>
      </c>
    </row>
    <row r="3372">
      <c r="A3372" s="4">
        <v>45534.34478104167</v>
      </c>
      <c r="B3372" s="5" t="s">
        <v>34</v>
      </c>
      <c r="D3372" s="5" t="s">
        <v>267</v>
      </c>
      <c r="E3372" s="5" t="s">
        <v>23246</v>
      </c>
      <c r="F3372" s="5" t="s">
        <v>72</v>
      </c>
      <c r="G3372" s="5" t="s">
        <v>23247</v>
      </c>
      <c r="H3372" s="6" t="s">
        <v>23248</v>
      </c>
      <c r="K3372" s="5" t="s">
        <v>23232</v>
      </c>
    </row>
    <row r="3373">
      <c r="A3373" s="4">
        <v>45534.34478165509</v>
      </c>
      <c r="B3373" s="5" t="s">
        <v>34</v>
      </c>
      <c r="D3373" s="5" t="s">
        <v>9020</v>
      </c>
      <c r="E3373" s="5" t="s">
        <v>23251</v>
      </c>
      <c r="F3373" s="5" t="s">
        <v>715</v>
      </c>
      <c r="G3373" s="5" t="s">
        <v>23252</v>
      </c>
      <c r="H3373" s="6" t="s">
        <v>23253</v>
      </c>
      <c r="K3373" s="5" t="s">
        <v>23232</v>
      </c>
    </row>
    <row r="3374">
      <c r="A3374" s="4">
        <v>45534.344783125</v>
      </c>
      <c r="B3374" s="5" t="s">
        <v>34</v>
      </c>
      <c r="D3374" s="5" t="s">
        <v>35</v>
      </c>
      <c r="E3374" s="5" t="s">
        <v>23257</v>
      </c>
      <c r="F3374" s="5" t="s">
        <v>37</v>
      </c>
      <c r="G3374" s="5" t="s">
        <v>23258</v>
      </c>
      <c r="H3374" s="6" t="s">
        <v>23259</v>
      </c>
      <c r="K3374" s="5" t="s">
        <v>23232</v>
      </c>
    </row>
    <row r="3375">
      <c r="A3375" s="4">
        <v>45534.34478796297</v>
      </c>
      <c r="B3375" s="5" t="s">
        <v>34</v>
      </c>
      <c r="D3375" s="5" t="s">
        <v>9020</v>
      </c>
      <c r="E3375" s="5" t="s">
        <v>23262</v>
      </c>
      <c r="F3375" s="5" t="s">
        <v>715</v>
      </c>
      <c r="G3375" s="5" t="s">
        <v>23263</v>
      </c>
      <c r="H3375" s="6" t="s">
        <v>23264</v>
      </c>
      <c r="K3375" s="5" t="s">
        <v>23232</v>
      </c>
    </row>
    <row r="3376">
      <c r="A3376" s="4">
        <v>45534.34480923611</v>
      </c>
      <c r="B3376" s="5" t="s">
        <v>34</v>
      </c>
      <c r="D3376" s="5" t="s">
        <v>35</v>
      </c>
      <c r="E3376" s="5" t="s">
        <v>23267</v>
      </c>
      <c r="F3376" s="5" t="s">
        <v>37</v>
      </c>
      <c r="G3376" s="5" t="s">
        <v>23268</v>
      </c>
      <c r="H3376" s="6" t="s">
        <v>23269</v>
      </c>
      <c r="K3376" s="5" t="s">
        <v>23232</v>
      </c>
    </row>
    <row r="3377">
      <c r="A3377" s="4">
        <v>45534.34481756944</v>
      </c>
      <c r="B3377" s="5" t="s">
        <v>34</v>
      </c>
      <c r="D3377" s="5" t="s">
        <v>7858</v>
      </c>
      <c r="E3377" s="5" t="s">
        <v>23272</v>
      </c>
      <c r="F3377" s="5" t="s">
        <v>212</v>
      </c>
      <c r="G3377" s="5" t="s">
        <v>23273</v>
      </c>
      <c r="H3377" s="6" t="s">
        <v>23274</v>
      </c>
      <c r="K3377" s="5" t="s">
        <v>23232</v>
      </c>
    </row>
    <row r="3378">
      <c r="A3378" s="4">
        <v>45534.34482387731</v>
      </c>
      <c r="B3378" s="5" t="s">
        <v>34</v>
      </c>
      <c r="D3378" s="5" t="s">
        <v>1206</v>
      </c>
      <c r="E3378" s="5" t="s">
        <v>23278</v>
      </c>
      <c r="F3378" s="5" t="s">
        <v>37</v>
      </c>
      <c r="G3378" s="5" t="s">
        <v>23279</v>
      </c>
      <c r="H3378" s="6" t="s">
        <v>23280</v>
      </c>
      <c r="I3378" s="7" t="s">
        <v>23281</v>
      </c>
      <c r="J3378" s="8" t="str">
        <f>HYPERLINK("https://drive.google.com/file/d/1QMCPtNoHPYjRR02zbGMHh6BHzMSXU_Mp/view?usp=drivesdk","SUMARJI SERTIFIKAT BerAKHLAK")</f>
        <v>SUMARJI SERTIFIKAT BerAKHLAK</v>
      </c>
      <c r="K3378" s="5" t="s">
        <v>22551</v>
      </c>
      <c r="L3378" s="5" t="s">
        <v>23282</v>
      </c>
    </row>
    <row r="3379">
      <c r="A3379" s="4">
        <v>45534.34483328703</v>
      </c>
      <c r="B3379" s="5" t="s">
        <v>34</v>
      </c>
      <c r="D3379" s="5" t="s">
        <v>1206</v>
      </c>
      <c r="E3379" s="5" t="s">
        <v>23285</v>
      </c>
      <c r="F3379" s="5" t="s">
        <v>37</v>
      </c>
      <c r="G3379" s="5" t="s">
        <v>23286</v>
      </c>
      <c r="H3379" s="6" t="s">
        <v>23287</v>
      </c>
      <c r="I3379" s="7" t="s">
        <v>23288</v>
      </c>
      <c r="J3379" s="8" t="str">
        <f>HYPERLINK("https://drive.google.com/file/d/1cZ6lkNfSJnZEftOAEAZAhIxuYMm1pwM_/view?usp=drivesdk","SUTIK,S.H. SERTIFIKAT BerAKHLAK")</f>
        <v>SUTIK,S.H. SERTIFIKAT BerAKHLAK</v>
      </c>
      <c r="K3379" s="5" t="s">
        <v>23289</v>
      </c>
      <c r="L3379" s="5" t="s">
        <v>23290</v>
      </c>
    </row>
    <row r="3380">
      <c r="A3380" s="4">
        <v>45534.3448403588</v>
      </c>
      <c r="B3380" s="5" t="s">
        <v>34</v>
      </c>
      <c r="D3380" s="5" t="s">
        <v>35</v>
      </c>
      <c r="E3380" s="5" t="s">
        <v>23293</v>
      </c>
      <c r="F3380" s="5" t="s">
        <v>212</v>
      </c>
      <c r="G3380" s="5" t="s">
        <v>23294</v>
      </c>
      <c r="H3380" s="6" t="s">
        <v>23295</v>
      </c>
      <c r="K3380" s="5" t="s">
        <v>23296</v>
      </c>
    </row>
    <row r="3381">
      <c r="A3381" s="4">
        <v>45534.34484895833</v>
      </c>
      <c r="B3381" s="5" t="s">
        <v>34</v>
      </c>
      <c r="D3381" s="5" t="s">
        <v>3849</v>
      </c>
      <c r="E3381" s="5" t="s">
        <v>23299</v>
      </c>
      <c r="F3381" s="5" t="s">
        <v>37</v>
      </c>
      <c r="G3381" s="5" t="s">
        <v>23300</v>
      </c>
      <c r="H3381" s="6" t="s">
        <v>23301</v>
      </c>
      <c r="K3381" s="5" t="s">
        <v>23296</v>
      </c>
    </row>
    <row r="3382">
      <c r="A3382" s="4">
        <v>45534.34485196759</v>
      </c>
      <c r="B3382" s="5" t="s">
        <v>34</v>
      </c>
      <c r="D3382" s="5" t="s">
        <v>6232</v>
      </c>
      <c r="E3382" s="5" t="s">
        <v>23305</v>
      </c>
      <c r="F3382" s="5" t="s">
        <v>212</v>
      </c>
      <c r="G3382" s="5" t="s">
        <v>23306</v>
      </c>
      <c r="H3382" s="6" t="s">
        <v>23307</v>
      </c>
      <c r="K3382" s="5" t="s">
        <v>23296</v>
      </c>
    </row>
    <row r="3383">
      <c r="A3383" s="4">
        <v>45534.34485365741</v>
      </c>
      <c r="B3383" s="5" t="s">
        <v>34</v>
      </c>
      <c r="D3383" s="5" t="s">
        <v>1206</v>
      </c>
      <c r="E3383" s="5" t="s">
        <v>23310</v>
      </c>
      <c r="F3383" s="5" t="s">
        <v>212</v>
      </c>
      <c r="G3383" s="5" t="s">
        <v>23311</v>
      </c>
      <c r="H3383" s="6" t="s">
        <v>23312</v>
      </c>
      <c r="K3383" s="5" t="s">
        <v>23296</v>
      </c>
    </row>
    <row r="3384">
      <c r="A3384" s="4">
        <v>45534.34485771991</v>
      </c>
      <c r="B3384" s="5" t="s">
        <v>34</v>
      </c>
      <c r="D3384" s="5" t="s">
        <v>1692</v>
      </c>
      <c r="E3384" s="5" t="s">
        <v>23315</v>
      </c>
      <c r="F3384" s="5" t="s">
        <v>120</v>
      </c>
      <c r="G3384" s="5" t="s">
        <v>23316</v>
      </c>
      <c r="H3384" s="6" t="s">
        <v>23317</v>
      </c>
      <c r="K3384" s="5" t="s">
        <v>23296</v>
      </c>
    </row>
    <row r="3385">
      <c r="A3385" s="4">
        <v>45534.34488040509</v>
      </c>
      <c r="B3385" s="5" t="s">
        <v>34</v>
      </c>
      <c r="D3385" s="5" t="s">
        <v>35</v>
      </c>
      <c r="E3385" s="5" t="s">
        <v>23320</v>
      </c>
      <c r="F3385" s="5" t="s">
        <v>37</v>
      </c>
      <c r="G3385" s="5" t="s">
        <v>23321</v>
      </c>
      <c r="H3385" s="6" t="s">
        <v>23322</v>
      </c>
      <c r="I3385" s="7" t="s">
        <v>23323</v>
      </c>
      <c r="J3385" s="8" t="str">
        <f>HYPERLINK("https://drive.google.com/file/d/1Qi-FAJ9zQjP4gZSt9DEMGSMGNoh_AExv/view?usp=drivesdk","HANI NURHAYATI, A.MD.KEP SERTIFIKAT BerAKHLAK")</f>
        <v>HANI NURHAYATI, A.MD.KEP SERTIFIKAT BerAKHLAK</v>
      </c>
      <c r="K3385" s="5" t="s">
        <v>22551</v>
      </c>
      <c r="L3385" s="5" t="s">
        <v>23324</v>
      </c>
    </row>
    <row r="3386">
      <c r="A3386" s="4">
        <v>45534.34488181713</v>
      </c>
      <c r="B3386" s="5" t="s">
        <v>34</v>
      </c>
      <c r="D3386" s="5" t="s">
        <v>522</v>
      </c>
      <c r="E3386" s="5" t="s">
        <v>23328</v>
      </c>
      <c r="F3386" s="5" t="s">
        <v>212</v>
      </c>
      <c r="G3386" s="5" t="s">
        <v>23329</v>
      </c>
      <c r="H3386" s="6" t="s">
        <v>23330</v>
      </c>
      <c r="I3386" s="7" t="s">
        <v>23331</v>
      </c>
      <c r="J3386" s="8" t="str">
        <f>HYPERLINK("https://drive.google.com/file/d/1pltwjDPxDCA_OlrhsjFj-xteATNWrBxl/view?usp=drivesdk","JURIAH SERTIFIKAT BerAKHLAK")</f>
        <v>JURIAH SERTIFIKAT BerAKHLAK</v>
      </c>
      <c r="K3386" s="5" t="s">
        <v>23289</v>
      </c>
      <c r="L3386" s="5" t="s">
        <v>23332</v>
      </c>
    </row>
    <row r="3387">
      <c r="A3387" s="4">
        <v>45534.34488431713</v>
      </c>
      <c r="B3387" s="5" t="s">
        <v>34</v>
      </c>
      <c r="D3387" s="5" t="s">
        <v>4775</v>
      </c>
      <c r="E3387" s="5" t="s">
        <v>23335</v>
      </c>
      <c r="F3387" s="5" t="s">
        <v>375</v>
      </c>
      <c r="G3387" s="5" t="s">
        <v>23336</v>
      </c>
      <c r="H3387" s="6" t="s">
        <v>23337</v>
      </c>
      <c r="I3387" s="7" t="s">
        <v>23338</v>
      </c>
      <c r="J3387" s="8" t="str">
        <f>HYPERLINK("https://drive.google.com/file/d/1kTjNzHv13JJoATRNmIh3fvcaPlIc_zpn/view?usp=drivesdk","DWI SANTOSO, S.E. SERTIFIKAT BerAKHLAK")</f>
        <v>DWI SANTOSO, S.E. SERTIFIKAT BerAKHLAK</v>
      </c>
      <c r="K3387" s="5" t="s">
        <v>23289</v>
      </c>
      <c r="L3387" s="5" t="s">
        <v>23339</v>
      </c>
    </row>
    <row r="3388">
      <c r="A3388" s="4">
        <v>45534.3448845949</v>
      </c>
      <c r="B3388" s="5" t="s">
        <v>34</v>
      </c>
      <c r="D3388" s="5" t="s">
        <v>12978</v>
      </c>
      <c r="E3388" s="5" t="s">
        <v>23342</v>
      </c>
      <c r="F3388" s="5" t="s">
        <v>715</v>
      </c>
      <c r="G3388" s="5" t="s">
        <v>23343</v>
      </c>
      <c r="H3388" s="6" t="s">
        <v>23344</v>
      </c>
      <c r="K3388" s="5" t="s">
        <v>23345</v>
      </c>
    </row>
    <row r="3389">
      <c r="A3389" s="4">
        <v>45534.34489729167</v>
      </c>
      <c r="B3389" s="5" t="s">
        <v>34</v>
      </c>
      <c r="D3389" s="5" t="s">
        <v>1768</v>
      </c>
      <c r="E3389" s="5" t="s">
        <v>18938</v>
      </c>
      <c r="F3389" s="5" t="s">
        <v>108</v>
      </c>
      <c r="G3389" s="5" t="s">
        <v>23349</v>
      </c>
      <c r="H3389" s="6" t="s">
        <v>23350</v>
      </c>
      <c r="K3389" s="5" t="s">
        <v>23345</v>
      </c>
    </row>
    <row r="3390">
      <c r="A3390" s="4">
        <v>45534.34490065972</v>
      </c>
      <c r="B3390" s="5" t="s">
        <v>34</v>
      </c>
      <c r="D3390" s="5" t="s">
        <v>6232</v>
      </c>
      <c r="E3390" s="5" t="s">
        <v>23353</v>
      </c>
      <c r="F3390" s="5" t="s">
        <v>37</v>
      </c>
      <c r="G3390" s="5" t="s">
        <v>23354</v>
      </c>
      <c r="H3390" s="6" t="s">
        <v>23355</v>
      </c>
      <c r="K3390" s="5" t="s">
        <v>23345</v>
      </c>
    </row>
    <row r="3391">
      <c r="A3391" s="4">
        <v>45534.34490243056</v>
      </c>
      <c r="B3391" s="5" t="s">
        <v>34</v>
      </c>
      <c r="D3391" s="5" t="s">
        <v>9020</v>
      </c>
      <c r="E3391" s="5" t="s">
        <v>23358</v>
      </c>
      <c r="F3391" s="5" t="s">
        <v>212</v>
      </c>
      <c r="G3391" s="5" t="s">
        <v>23359</v>
      </c>
      <c r="H3391" s="6" t="s">
        <v>23360</v>
      </c>
      <c r="K3391" s="5" t="s">
        <v>23345</v>
      </c>
    </row>
    <row r="3392">
      <c r="A3392" s="4">
        <v>45534.34490630787</v>
      </c>
      <c r="B3392" s="5" t="s">
        <v>34</v>
      </c>
      <c r="D3392" s="5" t="s">
        <v>1206</v>
      </c>
      <c r="E3392" s="5" t="s">
        <v>23363</v>
      </c>
      <c r="F3392" s="5" t="s">
        <v>212</v>
      </c>
      <c r="G3392" s="5" t="s">
        <v>23364</v>
      </c>
      <c r="H3392" s="6" t="s">
        <v>23365</v>
      </c>
      <c r="K3392" s="5" t="s">
        <v>23345</v>
      </c>
    </row>
    <row r="3393">
      <c r="A3393" s="4">
        <v>45534.34491547453</v>
      </c>
      <c r="B3393" s="5" t="s">
        <v>19</v>
      </c>
      <c r="C3393" s="5" t="s">
        <v>11593</v>
      </c>
      <c r="E3393" s="5" t="s">
        <v>23368</v>
      </c>
      <c r="F3393" s="5" t="s">
        <v>22</v>
      </c>
      <c r="G3393" s="5" t="s">
        <v>23369</v>
      </c>
      <c r="H3393" s="6" t="s">
        <v>23370</v>
      </c>
      <c r="I3393" s="7" t="s">
        <v>23371</v>
      </c>
      <c r="J3393" s="8" t="str">
        <f>HYPERLINK("https://drive.google.com/file/d/1PUTJk3wZCsMXtUyIxJcSBmVYx60C5q7M/view?usp=drivesdk","ANDON SUPRIYANTI SERTIFIKAT BerAKHLAK")</f>
        <v>ANDON SUPRIYANTI SERTIFIKAT BerAKHLAK</v>
      </c>
      <c r="K3393" s="5" t="s">
        <v>23289</v>
      </c>
      <c r="L3393" s="5" t="s">
        <v>23372</v>
      </c>
    </row>
    <row r="3394">
      <c r="A3394" s="4">
        <v>45534.34492971065</v>
      </c>
      <c r="B3394" s="5" t="s">
        <v>34</v>
      </c>
      <c r="D3394" s="5" t="s">
        <v>1206</v>
      </c>
      <c r="E3394" s="5" t="s">
        <v>23376</v>
      </c>
      <c r="F3394" s="5" t="s">
        <v>72</v>
      </c>
      <c r="G3394" s="5" t="s">
        <v>23377</v>
      </c>
      <c r="H3394" s="6" t="s">
        <v>23378</v>
      </c>
      <c r="I3394" s="7" t="s">
        <v>23379</v>
      </c>
      <c r="J3394" s="8" t="str">
        <f>HYPERLINK("https://drive.google.com/file/d/1rx3vP1riDBvsUyJkPqYCuQzN6bGGEI_c/view?usp=drivesdk","DWI ELIANA  SERTIFIKAT BerAKHLAK")</f>
        <v>DWI ELIANA  SERTIFIKAT BerAKHLAK</v>
      </c>
      <c r="K3394" s="5" t="s">
        <v>23289</v>
      </c>
      <c r="L3394" s="5" t="s">
        <v>23380</v>
      </c>
    </row>
    <row r="3395">
      <c r="A3395" s="4">
        <v>45534.344929872685</v>
      </c>
      <c r="B3395" s="5" t="s">
        <v>34</v>
      </c>
      <c r="D3395" s="5" t="s">
        <v>9394</v>
      </c>
      <c r="E3395" s="5" t="s">
        <v>23383</v>
      </c>
      <c r="F3395" s="5" t="s">
        <v>715</v>
      </c>
      <c r="G3395" s="5" t="s">
        <v>23384</v>
      </c>
      <c r="H3395" s="6" t="s">
        <v>23385</v>
      </c>
      <c r="I3395" s="7" t="s">
        <v>23386</v>
      </c>
      <c r="J3395" s="8" t="str">
        <f>HYPERLINK("https://drive.google.com/file/d/1k2hDBvEYfS42yfL_DvlNKlTfuwiD8y72/view?usp=drivesdk","SITI NUR KHASANAH SERTIFIKAT BerAKHLAK")</f>
        <v>SITI NUR KHASANAH SERTIFIKAT BerAKHLAK</v>
      </c>
      <c r="K3395" s="5" t="s">
        <v>23289</v>
      </c>
      <c r="L3395" s="5" t="s">
        <v>23387</v>
      </c>
    </row>
    <row r="3396">
      <c r="A3396" s="4">
        <v>45534.344936388894</v>
      </c>
      <c r="B3396" s="5" t="s">
        <v>34</v>
      </c>
      <c r="D3396" s="5" t="s">
        <v>12978</v>
      </c>
      <c r="E3396" s="5" t="s">
        <v>23390</v>
      </c>
      <c r="F3396" s="5" t="s">
        <v>120</v>
      </c>
      <c r="G3396" s="5" t="s">
        <v>23391</v>
      </c>
      <c r="H3396" s="6" t="s">
        <v>23392</v>
      </c>
      <c r="K3396" s="5" t="s">
        <v>23393</v>
      </c>
    </row>
    <row r="3397">
      <c r="A3397" s="4">
        <v>45534.34495063657</v>
      </c>
      <c r="B3397" s="5" t="s">
        <v>34</v>
      </c>
      <c r="D3397" s="5" t="s">
        <v>267</v>
      </c>
      <c r="E3397" s="5" t="s">
        <v>23396</v>
      </c>
      <c r="F3397" s="5" t="s">
        <v>212</v>
      </c>
      <c r="G3397" s="5" t="s">
        <v>23397</v>
      </c>
      <c r="H3397" s="6" t="s">
        <v>23398</v>
      </c>
      <c r="I3397" s="7" t="s">
        <v>23399</v>
      </c>
      <c r="J3397" s="8" t="str">
        <f>HYPERLINK("https://drive.google.com/file/d/1f_q7kSe2QdIpX3i8UNs1Z7xv8TZkyCCI/view?usp=drivesdk","SASMINTO SERTIFIKAT BerAKHLAK")</f>
        <v>SASMINTO SERTIFIKAT BerAKHLAK</v>
      </c>
      <c r="K3397" s="5" t="s">
        <v>23289</v>
      </c>
      <c r="L3397" s="5" t="s">
        <v>23400</v>
      </c>
    </row>
    <row r="3398">
      <c r="A3398" s="4">
        <v>45534.34495399306</v>
      </c>
      <c r="B3398" s="5" t="s">
        <v>34</v>
      </c>
      <c r="D3398" s="5" t="s">
        <v>1206</v>
      </c>
      <c r="E3398" s="5" t="s">
        <v>23404</v>
      </c>
      <c r="F3398" s="5" t="s">
        <v>15386</v>
      </c>
      <c r="G3398" s="5" t="s">
        <v>23405</v>
      </c>
      <c r="H3398" s="6" t="s">
        <v>23406</v>
      </c>
      <c r="I3398" s="7" t="s">
        <v>23407</v>
      </c>
      <c r="J3398" s="8" t="str">
        <f>HYPERLINK("https://drive.google.com/file/d/1h13GAxCayx24Z5B0t0KnHxGsMHrvz9RU/view?usp=drivesdk","SUHARTONO SERTIFIKAT BerAKHLAK")</f>
        <v>SUHARTONO SERTIFIKAT BerAKHLAK</v>
      </c>
      <c r="K3398" s="5" t="s">
        <v>23289</v>
      </c>
      <c r="L3398" s="5" t="s">
        <v>23408</v>
      </c>
    </row>
    <row r="3399">
      <c r="A3399" s="4">
        <v>45534.34495424769</v>
      </c>
      <c r="B3399" s="5" t="s">
        <v>34</v>
      </c>
      <c r="D3399" s="5" t="s">
        <v>9020</v>
      </c>
      <c r="E3399" s="5" t="s">
        <v>23411</v>
      </c>
      <c r="F3399" s="5" t="s">
        <v>108</v>
      </c>
      <c r="G3399" s="5" t="s">
        <v>23412</v>
      </c>
      <c r="H3399" s="6" t="s">
        <v>23413</v>
      </c>
      <c r="I3399" s="7" t="s">
        <v>23414</v>
      </c>
      <c r="J3399" s="8" t="str">
        <f>HYPERLINK("https://drive.google.com/file/d/1Ks3klBAw4uMk5o6A5UD7WdQgAaF9WrKS/view?usp=drivesdk","SAMPURNAMA SERTIFIKAT BerAKHLAK")</f>
        <v>SAMPURNAMA SERTIFIKAT BerAKHLAK</v>
      </c>
      <c r="K3399" s="5" t="s">
        <v>23289</v>
      </c>
      <c r="L3399" s="5" t="s">
        <v>23415</v>
      </c>
    </row>
    <row r="3400">
      <c r="A3400" s="4">
        <v>45534.3449559375</v>
      </c>
      <c r="B3400" s="5" t="s">
        <v>34</v>
      </c>
      <c r="D3400" s="5" t="s">
        <v>9020</v>
      </c>
      <c r="E3400" s="5" t="s">
        <v>23418</v>
      </c>
      <c r="F3400" s="5" t="s">
        <v>212</v>
      </c>
      <c r="G3400" s="5" t="s">
        <v>23419</v>
      </c>
      <c r="H3400" s="6" t="s">
        <v>23420</v>
      </c>
      <c r="I3400" s="7" t="s">
        <v>23421</v>
      </c>
      <c r="J3400" s="8" t="str">
        <f>HYPERLINK("https://drive.google.com/file/d/12Hd3MAxD0Au9iQMhp9jakd2ElxRsaRJ4/view?usp=drivesdk","SUGIMAN  SERTIFIKAT BerAKHLAK")</f>
        <v>SUGIMAN  SERTIFIKAT BerAKHLAK</v>
      </c>
      <c r="K3400" s="5" t="s">
        <v>23422</v>
      </c>
      <c r="L3400" s="5" t="s">
        <v>23423</v>
      </c>
    </row>
    <row r="3401">
      <c r="A3401" s="4">
        <v>45534.34498443287</v>
      </c>
      <c r="B3401" s="5" t="s">
        <v>34</v>
      </c>
      <c r="D3401" s="5" t="s">
        <v>1768</v>
      </c>
      <c r="E3401" s="5" t="s">
        <v>23426</v>
      </c>
      <c r="F3401" s="5" t="s">
        <v>524</v>
      </c>
      <c r="G3401" s="5" t="s">
        <v>23427</v>
      </c>
      <c r="H3401" s="6" t="s">
        <v>23428</v>
      </c>
      <c r="I3401" s="7" t="s">
        <v>23429</v>
      </c>
      <c r="J3401" s="8" t="str">
        <f>HYPERLINK("https://drive.google.com/file/d/10WgSp_ckDZ8v5FoaCpR4Dhp-UyqoXqUf/view?usp=drivesdk","SUWIJI SERTIFIKAT BerAKHLAK")</f>
        <v>SUWIJI SERTIFIKAT BerAKHLAK</v>
      </c>
      <c r="K3401" s="5" t="s">
        <v>23289</v>
      </c>
      <c r="L3401" s="5" t="s">
        <v>23430</v>
      </c>
    </row>
    <row r="3402">
      <c r="A3402" s="4">
        <v>45534.34498523148</v>
      </c>
      <c r="B3402" s="5" t="s">
        <v>34</v>
      </c>
      <c r="D3402" s="5" t="s">
        <v>1206</v>
      </c>
      <c r="E3402" s="5" t="s">
        <v>23433</v>
      </c>
      <c r="F3402" s="5" t="s">
        <v>524</v>
      </c>
      <c r="G3402" s="5" t="s">
        <v>23434</v>
      </c>
      <c r="H3402" s="6" t="s">
        <v>23435</v>
      </c>
      <c r="I3402" s="7" t="s">
        <v>23436</v>
      </c>
      <c r="J3402" s="8" t="str">
        <f>HYPERLINK("https://drive.google.com/file/d/1YrNMUP7hP5HX6VX2M9GS_EYzEZ5OKA8r/view?usp=drivesdk","SITI ALFIAH  SERTIFIKAT BerAKHLAK")</f>
        <v>SITI ALFIAH  SERTIFIKAT BerAKHLAK</v>
      </c>
      <c r="K3402" s="5" t="s">
        <v>23289</v>
      </c>
      <c r="L3402" s="5" t="s">
        <v>23437</v>
      </c>
    </row>
    <row r="3403">
      <c r="A3403" s="4">
        <v>45534.34498819444</v>
      </c>
      <c r="B3403" s="5" t="s">
        <v>34</v>
      </c>
      <c r="D3403" s="5" t="s">
        <v>4775</v>
      </c>
      <c r="E3403" s="5" t="s">
        <v>23441</v>
      </c>
      <c r="F3403" s="5" t="s">
        <v>212</v>
      </c>
      <c r="G3403" s="5" t="s">
        <v>23442</v>
      </c>
      <c r="H3403" s="6" t="s">
        <v>23443</v>
      </c>
      <c r="I3403" s="7" t="s">
        <v>23444</v>
      </c>
      <c r="J3403" s="8" t="str">
        <f>HYPERLINK("https://drive.google.com/file/d/15UAQLorFZ8KeG2AT5U8PDUfwz4qQIvW6/view?usp=drivesdk","SULIKAH SERTIFIKAT BerAKHLAK")</f>
        <v>SULIKAH SERTIFIKAT BerAKHLAK</v>
      </c>
      <c r="K3403" s="5" t="s">
        <v>23289</v>
      </c>
      <c r="L3403" s="5" t="s">
        <v>23445</v>
      </c>
    </row>
    <row r="3404">
      <c r="A3404" s="4">
        <v>45534.34499104167</v>
      </c>
      <c r="B3404" s="5" t="s">
        <v>34</v>
      </c>
      <c r="D3404" s="5" t="s">
        <v>7858</v>
      </c>
      <c r="E3404" s="5" t="s">
        <v>23448</v>
      </c>
      <c r="F3404" s="5" t="s">
        <v>212</v>
      </c>
      <c r="G3404" s="5" t="s">
        <v>23449</v>
      </c>
      <c r="H3404" s="6" t="s">
        <v>23450</v>
      </c>
      <c r="I3404" s="7" t="s">
        <v>23451</v>
      </c>
      <c r="J3404" s="8" t="str">
        <f>HYPERLINK("https://drive.google.com/file/d/1Hzwx7amBmbuD0tEsUqBt1U2DGQo8YK0V/view?usp=drivesdk","EKO RIYANTO SERTIFIKAT BerAKHLAK")</f>
        <v>EKO RIYANTO SERTIFIKAT BerAKHLAK</v>
      </c>
      <c r="K3404" s="5" t="s">
        <v>23289</v>
      </c>
      <c r="L3404" s="5" t="s">
        <v>23452</v>
      </c>
    </row>
    <row r="3405">
      <c r="A3405" s="4">
        <v>45534.34499261574</v>
      </c>
      <c r="B3405" s="5" t="s">
        <v>34</v>
      </c>
      <c r="D3405" s="5" t="s">
        <v>4775</v>
      </c>
      <c r="E3405" s="5" t="s">
        <v>23455</v>
      </c>
      <c r="F3405" s="5" t="s">
        <v>375</v>
      </c>
      <c r="G3405" s="5" t="s">
        <v>23456</v>
      </c>
      <c r="H3405" s="6" t="s">
        <v>23457</v>
      </c>
      <c r="I3405" s="7" t="s">
        <v>23458</v>
      </c>
      <c r="J3405" s="8" t="str">
        <f>HYPERLINK("https://drive.google.com/file/d/150jZwdR6jOS4oISGNH1QCQsKVZwjajW-/view?usp=drivesdk","AMBARWATI. S.E SERTIFIKAT BerAKHLAK")</f>
        <v>AMBARWATI. S.E SERTIFIKAT BerAKHLAK</v>
      </c>
      <c r="K3405" s="5" t="s">
        <v>23289</v>
      </c>
      <c r="L3405" s="5" t="s">
        <v>23459</v>
      </c>
    </row>
    <row r="3406">
      <c r="A3406" s="4">
        <v>45534.34499354167</v>
      </c>
      <c r="B3406" s="5" t="s">
        <v>34</v>
      </c>
      <c r="D3406" s="5" t="s">
        <v>35</v>
      </c>
      <c r="E3406" s="5" t="s">
        <v>23462</v>
      </c>
      <c r="F3406" s="5" t="s">
        <v>108</v>
      </c>
      <c r="G3406" s="5" t="s">
        <v>23463</v>
      </c>
      <c r="H3406" s="6" t="s">
        <v>23464</v>
      </c>
      <c r="K3406" s="5" t="s">
        <v>23465</v>
      </c>
    </row>
    <row r="3407">
      <c r="A3407" s="4">
        <v>45534.34499855324</v>
      </c>
      <c r="B3407" s="5" t="s">
        <v>34</v>
      </c>
      <c r="D3407" s="5" t="s">
        <v>35</v>
      </c>
      <c r="E3407" s="5" t="s">
        <v>23469</v>
      </c>
      <c r="F3407" s="5" t="s">
        <v>524</v>
      </c>
      <c r="G3407" s="5" t="s">
        <v>23470</v>
      </c>
      <c r="H3407" s="6" t="s">
        <v>23471</v>
      </c>
      <c r="K3407" s="5" t="s">
        <v>23465</v>
      </c>
    </row>
    <row r="3408">
      <c r="A3408" s="4">
        <v>45534.345002546295</v>
      </c>
      <c r="B3408" s="5" t="s">
        <v>34</v>
      </c>
      <c r="D3408" s="5" t="s">
        <v>1206</v>
      </c>
      <c r="E3408" s="5" t="s">
        <v>23474</v>
      </c>
      <c r="F3408" s="5" t="s">
        <v>212</v>
      </c>
      <c r="G3408" s="5" t="s">
        <v>23475</v>
      </c>
      <c r="H3408" s="6" t="s">
        <v>23476</v>
      </c>
      <c r="K3408" s="5" t="s">
        <v>23465</v>
      </c>
    </row>
    <row r="3409">
      <c r="A3409" s="4">
        <v>45534.34501053241</v>
      </c>
      <c r="B3409" s="5" t="s">
        <v>19</v>
      </c>
      <c r="C3409" s="5" t="s">
        <v>1606</v>
      </c>
      <c r="E3409" s="5" t="s">
        <v>23479</v>
      </c>
      <c r="F3409" s="5" t="s">
        <v>212</v>
      </c>
      <c r="G3409" s="5" t="s">
        <v>23480</v>
      </c>
      <c r="H3409" s="6" t="s">
        <v>23481</v>
      </c>
      <c r="I3409" s="7" t="s">
        <v>23482</v>
      </c>
      <c r="J3409" s="8" t="str">
        <f>HYPERLINK("https://drive.google.com/file/d/1rTGXNQHpsbtnPl0BKRBWRjn_Nt7pqErt/view?usp=drivesdk","IIN SUMIATI  SERTIFIKAT BerAKHLAK")</f>
        <v>IIN SUMIATI  SERTIFIKAT BerAKHLAK</v>
      </c>
      <c r="K3409" s="5" t="s">
        <v>23289</v>
      </c>
      <c r="L3409" s="5" t="s">
        <v>23483</v>
      </c>
    </row>
    <row r="3410">
      <c r="A3410" s="4">
        <v>45534.34501877315</v>
      </c>
      <c r="B3410" s="5" t="s">
        <v>34</v>
      </c>
      <c r="D3410" s="5" t="s">
        <v>996</v>
      </c>
      <c r="E3410" s="5" t="s">
        <v>23487</v>
      </c>
      <c r="F3410" s="5" t="s">
        <v>72</v>
      </c>
      <c r="G3410" s="5" t="s">
        <v>23488</v>
      </c>
      <c r="H3410" s="6" t="s">
        <v>23489</v>
      </c>
      <c r="I3410" s="7" t="s">
        <v>23490</v>
      </c>
      <c r="J3410" s="8" t="str">
        <f>HYPERLINK("https://drive.google.com/file/d/1Bu8Xdqki47Jg6jNE3uV8geoiwN9nyOev/view?usp=drivesdk","EDI SUBAGIO, S.H.,M.M. SERTIFIKAT BerAKHLAK")</f>
        <v>EDI SUBAGIO, S.H.,M.M. SERTIFIKAT BerAKHLAK</v>
      </c>
      <c r="K3410" s="5" t="s">
        <v>23289</v>
      </c>
      <c r="L3410" s="5" t="s">
        <v>23491</v>
      </c>
    </row>
    <row r="3411">
      <c r="A3411" s="4">
        <v>45534.34502050926</v>
      </c>
      <c r="B3411" s="5" t="s">
        <v>34</v>
      </c>
      <c r="D3411" s="5" t="s">
        <v>6232</v>
      </c>
      <c r="E3411" s="5" t="s">
        <v>23494</v>
      </c>
      <c r="F3411" s="5" t="s">
        <v>72</v>
      </c>
      <c r="G3411" s="5" t="s">
        <v>23495</v>
      </c>
      <c r="H3411" s="6" t="s">
        <v>23496</v>
      </c>
      <c r="I3411" s="7" t="s">
        <v>23497</v>
      </c>
      <c r="J3411" s="8" t="str">
        <f>HYPERLINK("https://drive.google.com/file/d/1eRyfYUftaSZ9vscpD5AJIU_LfMgookaa/view?usp=drivesdk","dr. RHESIWENNY RUSHE SERTIFIKAT BerAKHLAK")</f>
        <v>dr. RHESIWENNY RUSHE SERTIFIKAT BerAKHLAK</v>
      </c>
      <c r="K3411" s="5" t="s">
        <v>23289</v>
      </c>
      <c r="L3411" s="5" t="s">
        <v>23498</v>
      </c>
    </row>
    <row r="3412">
      <c r="A3412" s="4">
        <v>45534.34502405093</v>
      </c>
      <c r="B3412" s="5" t="s">
        <v>19</v>
      </c>
      <c r="C3412" s="5" t="s">
        <v>442</v>
      </c>
      <c r="E3412" s="5" t="s">
        <v>23501</v>
      </c>
      <c r="F3412" s="5" t="s">
        <v>375</v>
      </c>
      <c r="G3412" s="5" t="s">
        <v>23502</v>
      </c>
      <c r="H3412" s="6" t="s">
        <v>23503</v>
      </c>
      <c r="I3412" s="7" t="s">
        <v>23504</v>
      </c>
      <c r="J3412" s="8" t="str">
        <f>HYPERLINK("https://drive.google.com/file/d/14hZgpz3FmNhAjCQPAXmuF1PdrTVnNlgs/view?usp=drivesdk","KARIFUDDIN, S. Sos., M. H.  SERTIFIKAT BerAKHLAK")</f>
        <v>KARIFUDDIN, S. Sos., M. H.  SERTIFIKAT BerAKHLAK</v>
      </c>
      <c r="K3412" s="5" t="s">
        <v>23289</v>
      </c>
      <c r="L3412" s="5" t="s">
        <v>23505</v>
      </c>
    </row>
    <row r="3413">
      <c r="A3413" s="4">
        <v>45534.3450312037</v>
      </c>
      <c r="B3413" s="5" t="s">
        <v>34</v>
      </c>
      <c r="D3413" s="5" t="s">
        <v>1206</v>
      </c>
      <c r="E3413" s="5" t="s">
        <v>23508</v>
      </c>
      <c r="F3413" s="5" t="s">
        <v>375</v>
      </c>
      <c r="G3413" s="5" t="s">
        <v>23509</v>
      </c>
      <c r="H3413" s="6" t="s">
        <v>23510</v>
      </c>
      <c r="I3413" s="7" t="s">
        <v>23511</v>
      </c>
      <c r="J3413" s="8" t="str">
        <f>HYPERLINK("https://drive.google.com/file/d/1EeGok6G_MDnRsSxhfh1Yx9aBewdrSeI0/view?usp=drivesdk","INDRADI SERTIFIKAT BerAKHLAK")</f>
        <v>INDRADI SERTIFIKAT BerAKHLAK</v>
      </c>
      <c r="K3413" s="5" t="s">
        <v>23289</v>
      </c>
      <c r="L3413" s="5" t="s">
        <v>23512</v>
      </c>
    </row>
    <row r="3414">
      <c r="A3414" s="4">
        <v>45534.34503430556</v>
      </c>
      <c r="B3414" s="5" t="s">
        <v>34</v>
      </c>
      <c r="D3414" s="5" t="s">
        <v>4775</v>
      </c>
      <c r="E3414" s="5" t="s">
        <v>23516</v>
      </c>
      <c r="F3414" s="5" t="s">
        <v>37</v>
      </c>
      <c r="G3414" s="5" t="s">
        <v>23517</v>
      </c>
      <c r="H3414" s="6" t="s">
        <v>23518</v>
      </c>
      <c r="I3414" s="7" t="s">
        <v>23519</v>
      </c>
      <c r="J3414" s="8" t="str">
        <f>HYPERLINK("https://drive.google.com/file/d/15Jv-ADgMaVVkx-W99aK6reF2qcmHw6wr/view?usp=drivesdk","FAJARINA BUDIARTI  SERTIFIKAT BerAKHLAK")</f>
        <v>FAJARINA BUDIARTI  SERTIFIKAT BerAKHLAK</v>
      </c>
      <c r="K3414" s="5" t="s">
        <v>23289</v>
      </c>
      <c r="L3414" s="5" t="s">
        <v>23520</v>
      </c>
    </row>
    <row r="3415">
      <c r="A3415" s="4">
        <v>45534.34503458333</v>
      </c>
      <c r="B3415" s="5" t="s">
        <v>34</v>
      </c>
      <c r="D3415" s="5" t="s">
        <v>1206</v>
      </c>
      <c r="E3415" s="5" t="s">
        <v>23523</v>
      </c>
      <c r="F3415" s="5" t="s">
        <v>37</v>
      </c>
      <c r="G3415" s="5" t="s">
        <v>23524</v>
      </c>
      <c r="H3415" s="6" t="s">
        <v>23525</v>
      </c>
      <c r="K3415" s="5" t="s">
        <v>23526</v>
      </c>
    </row>
    <row r="3416">
      <c r="A3416" s="4">
        <v>45534.34504248842</v>
      </c>
      <c r="B3416" s="5" t="s">
        <v>34</v>
      </c>
      <c r="D3416" s="5" t="s">
        <v>4775</v>
      </c>
      <c r="E3416" s="5" t="s">
        <v>23529</v>
      </c>
      <c r="F3416" s="5" t="s">
        <v>524</v>
      </c>
      <c r="G3416" s="5" t="s">
        <v>23530</v>
      </c>
      <c r="H3416" s="6" t="s">
        <v>23531</v>
      </c>
      <c r="K3416" s="5" t="s">
        <v>23526</v>
      </c>
    </row>
    <row r="3417">
      <c r="A3417" s="4">
        <v>45534.34505065972</v>
      </c>
      <c r="B3417" s="5" t="s">
        <v>34</v>
      </c>
      <c r="D3417" s="5" t="s">
        <v>14313</v>
      </c>
      <c r="E3417" s="5" t="s">
        <v>23535</v>
      </c>
      <c r="F3417" s="5" t="s">
        <v>715</v>
      </c>
      <c r="G3417" s="5" t="s">
        <v>23536</v>
      </c>
      <c r="H3417" s="6" t="s">
        <v>23537</v>
      </c>
      <c r="K3417" s="5" t="s">
        <v>23526</v>
      </c>
    </row>
    <row r="3418">
      <c r="A3418" s="4">
        <v>45534.345061064814</v>
      </c>
      <c r="B3418" s="5" t="s">
        <v>34</v>
      </c>
      <c r="D3418" s="5" t="s">
        <v>1206</v>
      </c>
      <c r="E3418" s="5" t="s">
        <v>23540</v>
      </c>
      <c r="F3418" s="5" t="s">
        <v>108</v>
      </c>
      <c r="G3418" s="5" t="s">
        <v>23541</v>
      </c>
      <c r="H3418" s="6" t="s">
        <v>23542</v>
      </c>
      <c r="I3418" s="7" t="s">
        <v>23543</v>
      </c>
      <c r="J3418" s="8" t="str">
        <f>HYPERLINK("https://drive.google.com/file/d/1m0m2c_aNtwFLMgFI2eiBsA73S7vgSrqQ/view?usp=drivesdk","ANIK WINARTI SERTIFIKAT BerAKHLAK")</f>
        <v>ANIK WINARTI SERTIFIKAT BerAKHLAK</v>
      </c>
      <c r="K3418" s="5" t="s">
        <v>23289</v>
      </c>
      <c r="L3418" s="5" t="s">
        <v>23544</v>
      </c>
    </row>
    <row r="3419">
      <c r="A3419" s="4">
        <v>45534.34506172454</v>
      </c>
      <c r="B3419" s="5" t="s">
        <v>34</v>
      </c>
      <c r="D3419" s="5" t="s">
        <v>267</v>
      </c>
      <c r="E3419" s="5" t="s">
        <v>23547</v>
      </c>
      <c r="F3419" s="5" t="s">
        <v>72</v>
      </c>
      <c r="G3419" s="5" t="s">
        <v>23548</v>
      </c>
      <c r="H3419" s="6" t="s">
        <v>23549</v>
      </c>
      <c r="K3419" s="5" t="s">
        <v>23550</v>
      </c>
    </row>
    <row r="3420">
      <c r="A3420" s="4">
        <v>45534.34506440972</v>
      </c>
      <c r="B3420" s="5" t="s">
        <v>34</v>
      </c>
      <c r="D3420" s="5" t="s">
        <v>4775</v>
      </c>
      <c r="E3420" s="5" t="s">
        <v>23553</v>
      </c>
      <c r="F3420" s="5" t="s">
        <v>199</v>
      </c>
      <c r="G3420" s="5" t="s">
        <v>23554</v>
      </c>
      <c r="H3420" s="6" t="s">
        <v>23555</v>
      </c>
      <c r="K3420" s="5" t="s">
        <v>23550</v>
      </c>
    </row>
    <row r="3421">
      <c r="A3421" s="4">
        <v>45534.34506902778</v>
      </c>
      <c r="B3421" s="5" t="s">
        <v>34</v>
      </c>
      <c r="D3421" s="5" t="s">
        <v>3849</v>
      </c>
      <c r="E3421" s="5" t="s">
        <v>23559</v>
      </c>
      <c r="F3421" s="5" t="s">
        <v>524</v>
      </c>
      <c r="G3421" s="5" t="s">
        <v>23560</v>
      </c>
      <c r="H3421" s="6" t="s">
        <v>23561</v>
      </c>
      <c r="K3421" s="5" t="s">
        <v>23550</v>
      </c>
    </row>
    <row r="3422">
      <c r="A3422" s="4">
        <v>45534.34507436343</v>
      </c>
      <c r="B3422" s="5" t="s">
        <v>34</v>
      </c>
      <c r="D3422" s="5" t="s">
        <v>6232</v>
      </c>
      <c r="E3422" s="5" t="s">
        <v>23564</v>
      </c>
      <c r="F3422" s="5" t="s">
        <v>108</v>
      </c>
      <c r="G3422" s="5" t="s">
        <v>23565</v>
      </c>
      <c r="H3422" s="6" t="s">
        <v>23566</v>
      </c>
      <c r="K3422" s="5" t="s">
        <v>23550</v>
      </c>
    </row>
    <row r="3423">
      <c r="A3423" s="4">
        <v>45534.34507763889</v>
      </c>
      <c r="B3423" s="5" t="s">
        <v>34</v>
      </c>
      <c r="D3423" s="5" t="s">
        <v>7858</v>
      </c>
      <c r="E3423" s="5" t="s">
        <v>23569</v>
      </c>
      <c r="F3423" s="5" t="s">
        <v>375</v>
      </c>
      <c r="G3423" s="5" t="s">
        <v>23570</v>
      </c>
      <c r="H3423" s="6" t="s">
        <v>23571</v>
      </c>
      <c r="K3423" s="5" t="s">
        <v>23550</v>
      </c>
    </row>
    <row r="3424">
      <c r="A3424" s="4">
        <v>45534.345099872684</v>
      </c>
      <c r="B3424" s="5" t="s">
        <v>34</v>
      </c>
      <c r="D3424" s="5" t="s">
        <v>35</v>
      </c>
      <c r="E3424" s="5" t="s">
        <v>23575</v>
      </c>
      <c r="F3424" s="5" t="s">
        <v>375</v>
      </c>
      <c r="G3424" s="5" t="s">
        <v>23576</v>
      </c>
      <c r="H3424" s="6" t="s">
        <v>23577</v>
      </c>
      <c r="K3424" s="5" t="s">
        <v>23550</v>
      </c>
    </row>
    <row r="3425">
      <c r="A3425" s="4">
        <v>45534.34510607639</v>
      </c>
      <c r="B3425" s="5" t="s">
        <v>34</v>
      </c>
      <c r="D3425" s="5" t="s">
        <v>9020</v>
      </c>
      <c r="E3425" s="5" t="s">
        <v>23580</v>
      </c>
      <c r="F3425" s="5" t="s">
        <v>212</v>
      </c>
      <c r="G3425" s="5" t="s">
        <v>23581</v>
      </c>
      <c r="H3425" s="6" t="s">
        <v>23582</v>
      </c>
      <c r="I3425" s="7" t="s">
        <v>23583</v>
      </c>
      <c r="J3425" s="8" t="str">
        <f>HYPERLINK("https://drive.google.com/file/d/1PzFufXqDFlPHTGTp40wgWOeqcSWVVJj0/view?usp=drivesdk","SUPARLI  SERTIFIKAT BerAKHLAK")</f>
        <v>SUPARLI  SERTIFIKAT BerAKHLAK</v>
      </c>
      <c r="K3425" s="5" t="s">
        <v>23289</v>
      </c>
      <c r="L3425" s="5" t="s">
        <v>23584</v>
      </c>
    </row>
    <row r="3426">
      <c r="A3426" s="4">
        <v>45534.345106249995</v>
      </c>
      <c r="B3426" s="5" t="s">
        <v>34</v>
      </c>
      <c r="D3426" s="5" t="s">
        <v>1206</v>
      </c>
      <c r="E3426" s="5" t="s">
        <v>23587</v>
      </c>
      <c r="F3426" s="5" t="s">
        <v>120</v>
      </c>
      <c r="G3426" s="5" t="s">
        <v>23588</v>
      </c>
      <c r="H3426" s="6" t="s">
        <v>23589</v>
      </c>
      <c r="K3426" s="5" t="s">
        <v>23590</v>
      </c>
    </row>
    <row r="3427">
      <c r="A3427" s="4">
        <v>45534.3451077662</v>
      </c>
      <c r="B3427" s="5" t="s">
        <v>34</v>
      </c>
      <c r="D3427" s="5" t="s">
        <v>1206</v>
      </c>
      <c r="E3427" s="5" t="s">
        <v>23593</v>
      </c>
      <c r="F3427" s="5" t="s">
        <v>212</v>
      </c>
      <c r="G3427" s="5" t="s">
        <v>23594</v>
      </c>
      <c r="H3427" s="6" t="s">
        <v>23595</v>
      </c>
      <c r="K3427" s="5" t="s">
        <v>23590</v>
      </c>
    </row>
    <row r="3428">
      <c r="A3428" s="4">
        <v>45534.34511459491</v>
      </c>
      <c r="B3428" s="5" t="s">
        <v>34</v>
      </c>
      <c r="D3428" s="5" t="s">
        <v>267</v>
      </c>
      <c r="E3428" s="5" t="s">
        <v>23598</v>
      </c>
      <c r="F3428" s="5" t="s">
        <v>37</v>
      </c>
      <c r="G3428" s="5" t="s">
        <v>23599</v>
      </c>
      <c r="H3428" s="6" t="s">
        <v>23600</v>
      </c>
      <c r="K3428" s="5" t="s">
        <v>23590</v>
      </c>
    </row>
    <row r="3429">
      <c r="A3429" s="4">
        <v>45534.34511930555</v>
      </c>
      <c r="B3429" s="5" t="s">
        <v>19</v>
      </c>
      <c r="C3429" s="5" t="s">
        <v>8666</v>
      </c>
      <c r="E3429" s="5" t="s">
        <v>23604</v>
      </c>
      <c r="F3429" s="5" t="s">
        <v>5859</v>
      </c>
      <c r="G3429" s="5" t="s">
        <v>23605</v>
      </c>
      <c r="H3429" s="6" t="s">
        <v>23606</v>
      </c>
      <c r="K3429" s="5" t="s">
        <v>23590</v>
      </c>
    </row>
    <row r="3430">
      <c r="A3430" s="4">
        <v>45534.34512425926</v>
      </c>
      <c r="B3430" s="5" t="s">
        <v>19</v>
      </c>
      <c r="C3430" s="5" t="s">
        <v>466</v>
      </c>
      <c r="E3430" s="5" t="s">
        <v>23609</v>
      </c>
      <c r="F3430" s="5" t="s">
        <v>375</v>
      </c>
      <c r="G3430" s="5" t="s">
        <v>23610</v>
      </c>
      <c r="H3430" s="6" t="s">
        <v>23611</v>
      </c>
      <c r="K3430" s="5" t="s">
        <v>23590</v>
      </c>
    </row>
    <row r="3431">
      <c r="A3431" s="4">
        <v>45534.34513832176</v>
      </c>
      <c r="B3431" s="5" t="s">
        <v>34</v>
      </c>
      <c r="D3431" s="5" t="s">
        <v>4775</v>
      </c>
      <c r="E3431" s="5" t="s">
        <v>23614</v>
      </c>
      <c r="F3431" s="5" t="s">
        <v>212</v>
      </c>
      <c r="G3431" s="5" t="s">
        <v>23615</v>
      </c>
      <c r="H3431" s="6" t="s">
        <v>23616</v>
      </c>
      <c r="K3431" s="5" t="s">
        <v>23590</v>
      </c>
    </row>
    <row r="3432">
      <c r="A3432" s="4">
        <v>45534.34514207176</v>
      </c>
      <c r="B3432" s="5" t="s">
        <v>34</v>
      </c>
      <c r="D3432" s="5" t="s">
        <v>1206</v>
      </c>
      <c r="E3432" s="5" t="s">
        <v>23620</v>
      </c>
      <c r="F3432" s="5" t="s">
        <v>212</v>
      </c>
      <c r="G3432" s="5" t="s">
        <v>23621</v>
      </c>
      <c r="H3432" s="6" t="s">
        <v>23622</v>
      </c>
      <c r="K3432" s="5" t="s">
        <v>23590</v>
      </c>
    </row>
    <row r="3433">
      <c r="A3433" s="4">
        <v>45534.34515436343</v>
      </c>
      <c r="B3433" s="5" t="s">
        <v>34</v>
      </c>
      <c r="D3433" s="5" t="s">
        <v>4775</v>
      </c>
      <c r="E3433" s="5" t="s">
        <v>23625</v>
      </c>
      <c r="F3433" s="5" t="s">
        <v>375</v>
      </c>
      <c r="G3433" s="5" t="s">
        <v>23626</v>
      </c>
      <c r="H3433" s="6" t="s">
        <v>23627</v>
      </c>
      <c r="I3433" s="7" t="s">
        <v>23628</v>
      </c>
      <c r="J3433" s="8" t="str">
        <f>HYPERLINK("https://drive.google.com/file/d/1YCHIWLngVnu7VpQ3ile7-OeNtMPHkZ9k/view?usp=drivesdk","IDA PADMAWATI SERTIFIKAT BerAKHLAK")</f>
        <v>IDA PADMAWATI SERTIFIKAT BerAKHLAK</v>
      </c>
      <c r="K3433" s="5" t="s">
        <v>23289</v>
      </c>
      <c r="L3433" s="5" t="s">
        <v>23629</v>
      </c>
    </row>
    <row r="3434">
      <c r="A3434" s="4">
        <v>45534.345166018524</v>
      </c>
      <c r="B3434" s="5" t="s">
        <v>34</v>
      </c>
      <c r="D3434" s="5" t="s">
        <v>4775</v>
      </c>
      <c r="E3434" s="5" t="s">
        <v>23632</v>
      </c>
      <c r="F3434" s="5" t="s">
        <v>199</v>
      </c>
      <c r="G3434" s="5" t="s">
        <v>23633</v>
      </c>
      <c r="H3434" s="6" t="s">
        <v>23634</v>
      </c>
      <c r="I3434" s="7" t="s">
        <v>23635</v>
      </c>
      <c r="J3434" s="8" t="str">
        <f>HYPERLINK("https://drive.google.com/file/d/1lXZrsFKaY3DmGGSKedGiVo8rA0LwKMFY/view?usp=drivesdk","RUDIYANTO SERTIFIKAT BerAKHLAK")</f>
        <v>RUDIYANTO SERTIFIKAT BerAKHLAK</v>
      </c>
      <c r="K3434" s="5" t="s">
        <v>23289</v>
      </c>
      <c r="L3434" s="5" t="s">
        <v>23636</v>
      </c>
    </row>
    <row r="3435">
      <c r="A3435" s="4">
        <v>45534.34517204861</v>
      </c>
      <c r="B3435" s="5" t="s">
        <v>34</v>
      </c>
      <c r="D3435" s="5" t="s">
        <v>4775</v>
      </c>
      <c r="E3435" s="5" t="s">
        <v>23639</v>
      </c>
      <c r="F3435" s="5" t="s">
        <v>524</v>
      </c>
      <c r="G3435" s="5" t="s">
        <v>23640</v>
      </c>
      <c r="H3435" s="6" t="s">
        <v>23641</v>
      </c>
      <c r="I3435" s="7" t="s">
        <v>23642</v>
      </c>
      <c r="J3435" s="8" t="str">
        <f>HYPERLINK("https://drive.google.com/file/d/1Febew1g69iCSrbJCCEuD0aZwIkDpc7aw/view?usp=drivesdk","ACHMAD MUROFIK SERTIFIKAT BerAKHLAK")</f>
        <v>ACHMAD MUROFIK SERTIFIKAT BerAKHLAK</v>
      </c>
      <c r="K3435" s="5" t="s">
        <v>23289</v>
      </c>
      <c r="L3435" s="5" t="s">
        <v>23643</v>
      </c>
    </row>
    <row r="3436">
      <c r="A3436" s="4">
        <v>45534.34517252315</v>
      </c>
      <c r="B3436" s="5" t="s">
        <v>34</v>
      </c>
      <c r="D3436" s="5" t="s">
        <v>4775</v>
      </c>
      <c r="E3436" s="5" t="s">
        <v>23647</v>
      </c>
      <c r="F3436" s="5" t="s">
        <v>72</v>
      </c>
      <c r="G3436" s="5" t="s">
        <v>23648</v>
      </c>
      <c r="H3436" s="6" t="s">
        <v>23649</v>
      </c>
      <c r="K3436" s="5" t="s">
        <v>23650</v>
      </c>
    </row>
    <row r="3437">
      <c r="A3437" s="4">
        <v>45534.34517314815</v>
      </c>
      <c r="B3437" s="5" t="s">
        <v>34</v>
      </c>
      <c r="D3437" s="5" t="s">
        <v>267</v>
      </c>
      <c r="E3437" s="5" t="s">
        <v>23653</v>
      </c>
      <c r="F3437" s="5" t="s">
        <v>524</v>
      </c>
      <c r="G3437" s="5" t="s">
        <v>23654</v>
      </c>
      <c r="H3437" s="6" t="s">
        <v>23655</v>
      </c>
      <c r="K3437" s="5" t="s">
        <v>23650</v>
      </c>
    </row>
    <row r="3438">
      <c r="A3438" s="4">
        <v>45534.34517672454</v>
      </c>
      <c r="B3438" s="5" t="s">
        <v>34</v>
      </c>
      <c r="D3438" s="5" t="s">
        <v>4775</v>
      </c>
      <c r="E3438" s="5" t="s">
        <v>23658</v>
      </c>
      <c r="F3438" s="5" t="s">
        <v>72</v>
      </c>
      <c r="G3438" s="5" t="s">
        <v>23659</v>
      </c>
      <c r="H3438" s="6" t="s">
        <v>23660</v>
      </c>
      <c r="K3438" s="5" t="s">
        <v>23650</v>
      </c>
    </row>
    <row r="3439">
      <c r="A3439" s="4">
        <v>45534.34518493056</v>
      </c>
      <c r="B3439" s="5" t="s">
        <v>34</v>
      </c>
      <c r="D3439" s="5" t="s">
        <v>35</v>
      </c>
      <c r="E3439" s="5" t="s">
        <v>23663</v>
      </c>
      <c r="F3439" s="5" t="s">
        <v>212</v>
      </c>
      <c r="G3439" s="5" t="s">
        <v>23664</v>
      </c>
      <c r="H3439" s="6" t="s">
        <v>23665</v>
      </c>
      <c r="K3439" s="5" t="s">
        <v>23650</v>
      </c>
    </row>
    <row r="3440">
      <c r="A3440" s="4">
        <v>45534.34518615741</v>
      </c>
      <c r="B3440" s="5" t="s">
        <v>34</v>
      </c>
      <c r="D3440" s="5" t="s">
        <v>580</v>
      </c>
      <c r="E3440" s="5" t="s">
        <v>23669</v>
      </c>
      <c r="F3440" s="5" t="s">
        <v>108</v>
      </c>
      <c r="G3440" s="5" t="s">
        <v>23670</v>
      </c>
      <c r="H3440" s="6" t="s">
        <v>23671</v>
      </c>
      <c r="K3440" s="5" t="s">
        <v>23650</v>
      </c>
    </row>
    <row r="3441">
      <c r="A3441" s="4">
        <v>45534.34518903935</v>
      </c>
      <c r="B3441" s="5" t="s">
        <v>34</v>
      </c>
      <c r="D3441" s="5" t="s">
        <v>1206</v>
      </c>
      <c r="E3441" s="5" t="s">
        <v>23674</v>
      </c>
      <c r="F3441" s="5" t="s">
        <v>212</v>
      </c>
      <c r="G3441" s="5" t="s">
        <v>23675</v>
      </c>
      <c r="H3441" s="6" t="s">
        <v>23676</v>
      </c>
      <c r="K3441" s="5" t="s">
        <v>23650</v>
      </c>
    </row>
    <row r="3442">
      <c r="A3442" s="4">
        <v>45534.345190625</v>
      </c>
      <c r="B3442" s="5" t="s">
        <v>34</v>
      </c>
      <c r="D3442" s="5" t="s">
        <v>12978</v>
      </c>
      <c r="E3442" s="5" t="s">
        <v>23679</v>
      </c>
      <c r="F3442" s="5" t="s">
        <v>212</v>
      </c>
      <c r="G3442" s="5" t="s">
        <v>23680</v>
      </c>
      <c r="H3442" s="6" t="s">
        <v>23681</v>
      </c>
      <c r="K3442" s="5" t="s">
        <v>23650</v>
      </c>
    </row>
    <row r="3443">
      <c r="A3443" s="4">
        <v>45534.34519127315</v>
      </c>
      <c r="B3443" s="5" t="s">
        <v>19</v>
      </c>
      <c r="C3443" s="5" t="s">
        <v>5564</v>
      </c>
      <c r="E3443" s="5" t="s">
        <v>23684</v>
      </c>
      <c r="F3443" s="5" t="s">
        <v>375</v>
      </c>
      <c r="G3443" s="5" t="s">
        <v>23685</v>
      </c>
      <c r="H3443" s="6" t="s">
        <v>23686</v>
      </c>
      <c r="K3443" s="5" t="s">
        <v>23650</v>
      </c>
    </row>
    <row r="3444">
      <c r="A3444" s="4">
        <v>45534.34520347222</v>
      </c>
      <c r="B3444" s="5" t="s">
        <v>34</v>
      </c>
      <c r="D3444" s="5" t="s">
        <v>9394</v>
      </c>
      <c r="E3444" s="5" t="s">
        <v>23689</v>
      </c>
      <c r="F3444" s="5" t="s">
        <v>37</v>
      </c>
      <c r="G3444" s="5" t="s">
        <v>23690</v>
      </c>
      <c r="H3444" s="6" t="s">
        <v>23691</v>
      </c>
      <c r="K3444" s="5" t="s">
        <v>23650</v>
      </c>
    </row>
    <row r="3445">
      <c r="A3445" s="4">
        <v>45534.34520440972</v>
      </c>
      <c r="B3445" s="5" t="s">
        <v>34</v>
      </c>
      <c r="D3445" s="5" t="s">
        <v>6232</v>
      </c>
      <c r="E3445" s="5" t="s">
        <v>23695</v>
      </c>
      <c r="F3445" s="5" t="s">
        <v>328</v>
      </c>
      <c r="G3445" s="5" t="s">
        <v>23696</v>
      </c>
      <c r="H3445" s="6" t="s">
        <v>23697</v>
      </c>
      <c r="K3445" s="5" t="s">
        <v>23698</v>
      </c>
    </row>
    <row r="3446">
      <c r="A3446" s="4">
        <v>45534.34520644676</v>
      </c>
      <c r="B3446" s="5" t="s">
        <v>34</v>
      </c>
      <c r="D3446" s="5" t="s">
        <v>1206</v>
      </c>
      <c r="E3446" s="5" t="s">
        <v>23701</v>
      </c>
      <c r="F3446" s="5" t="s">
        <v>108</v>
      </c>
      <c r="G3446" s="5" t="s">
        <v>23702</v>
      </c>
      <c r="H3446" s="6" t="s">
        <v>23703</v>
      </c>
      <c r="K3446" s="5" t="s">
        <v>23698</v>
      </c>
    </row>
    <row r="3447">
      <c r="A3447" s="4">
        <v>45534.34520902778</v>
      </c>
      <c r="B3447" s="5" t="s">
        <v>34</v>
      </c>
      <c r="D3447" s="5" t="s">
        <v>996</v>
      </c>
      <c r="E3447" s="5" t="s">
        <v>23706</v>
      </c>
      <c r="F3447" s="5" t="s">
        <v>212</v>
      </c>
      <c r="G3447" s="5" t="s">
        <v>23707</v>
      </c>
      <c r="H3447" s="6" t="s">
        <v>23708</v>
      </c>
      <c r="K3447" s="5" t="s">
        <v>23698</v>
      </c>
    </row>
    <row r="3448">
      <c r="A3448" s="4">
        <v>45534.34520957176</v>
      </c>
      <c r="B3448" s="5" t="s">
        <v>34</v>
      </c>
      <c r="D3448" s="5" t="s">
        <v>9020</v>
      </c>
      <c r="E3448" s="5" t="s">
        <v>23711</v>
      </c>
      <c r="F3448" s="5" t="s">
        <v>524</v>
      </c>
      <c r="G3448" s="5" t="s">
        <v>23712</v>
      </c>
      <c r="H3448" s="6" t="s">
        <v>23713</v>
      </c>
      <c r="K3448" s="5" t="s">
        <v>23714</v>
      </c>
    </row>
    <row r="3449">
      <c r="A3449" s="4">
        <v>45534.34521175926</v>
      </c>
      <c r="B3449" s="5" t="s">
        <v>19</v>
      </c>
      <c r="C3449" s="5" t="s">
        <v>3471</v>
      </c>
      <c r="E3449" s="5" t="s">
        <v>23717</v>
      </c>
      <c r="F3449" s="5" t="s">
        <v>108</v>
      </c>
      <c r="G3449" s="5" t="s">
        <v>23718</v>
      </c>
      <c r="H3449" s="6" t="s">
        <v>23719</v>
      </c>
      <c r="K3449" s="5" t="s">
        <v>23714</v>
      </c>
    </row>
    <row r="3450">
      <c r="A3450" s="4">
        <v>45534.34521533565</v>
      </c>
      <c r="B3450" s="5" t="s">
        <v>34</v>
      </c>
      <c r="D3450" s="5" t="s">
        <v>10444</v>
      </c>
      <c r="E3450" s="5" t="s">
        <v>23723</v>
      </c>
      <c r="F3450" s="5" t="s">
        <v>37</v>
      </c>
      <c r="G3450" s="5" t="s">
        <v>23724</v>
      </c>
      <c r="H3450" s="6" t="s">
        <v>23725</v>
      </c>
      <c r="K3450" s="5" t="s">
        <v>23714</v>
      </c>
    </row>
    <row r="3451">
      <c r="A3451" s="4">
        <v>45534.34522127315</v>
      </c>
      <c r="B3451" s="5" t="s">
        <v>19</v>
      </c>
      <c r="C3451" s="5" t="s">
        <v>14000</v>
      </c>
      <c r="E3451" s="5" t="s">
        <v>23729</v>
      </c>
      <c r="F3451" s="5" t="s">
        <v>72</v>
      </c>
      <c r="G3451" s="5" t="s">
        <v>23730</v>
      </c>
      <c r="H3451" s="6" t="s">
        <v>23731</v>
      </c>
      <c r="K3451" s="5" t="s">
        <v>23714</v>
      </c>
    </row>
    <row r="3452">
      <c r="A3452" s="4">
        <v>45534.34522318287</v>
      </c>
      <c r="B3452" s="5" t="s">
        <v>34</v>
      </c>
      <c r="D3452" s="5" t="s">
        <v>1206</v>
      </c>
      <c r="E3452" s="5" t="s">
        <v>23734</v>
      </c>
      <c r="F3452" s="5" t="s">
        <v>375</v>
      </c>
      <c r="G3452" s="5" t="s">
        <v>23735</v>
      </c>
      <c r="H3452" s="6" t="s">
        <v>23736</v>
      </c>
      <c r="K3452" s="5" t="s">
        <v>23714</v>
      </c>
    </row>
    <row r="3453">
      <c r="A3453" s="4">
        <v>45534.345222916665</v>
      </c>
      <c r="B3453" s="5" t="s">
        <v>34</v>
      </c>
      <c r="D3453" s="5" t="s">
        <v>1206</v>
      </c>
      <c r="E3453" s="5" t="s">
        <v>23739</v>
      </c>
      <c r="F3453" s="5" t="s">
        <v>328</v>
      </c>
      <c r="G3453" s="5" t="s">
        <v>23740</v>
      </c>
      <c r="H3453" s="6" t="s">
        <v>23741</v>
      </c>
      <c r="K3453" s="5" t="s">
        <v>23714</v>
      </c>
    </row>
    <row r="3454">
      <c r="A3454" s="4">
        <v>45534.3452271412</v>
      </c>
      <c r="B3454" s="5" t="s">
        <v>34</v>
      </c>
      <c r="D3454" s="5" t="s">
        <v>12978</v>
      </c>
      <c r="E3454" s="5" t="s">
        <v>23744</v>
      </c>
      <c r="F3454" s="5" t="s">
        <v>108</v>
      </c>
      <c r="G3454" s="5" t="s">
        <v>23745</v>
      </c>
      <c r="H3454" s="6" t="s">
        <v>23746</v>
      </c>
      <c r="K3454" s="5" t="s">
        <v>23714</v>
      </c>
    </row>
    <row r="3455">
      <c r="A3455" s="4">
        <v>45534.34523023148</v>
      </c>
      <c r="B3455" s="5" t="s">
        <v>34</v>
      </c>
      <c r="D3455" s="5" t="s">
        <v>1768</v>
      </c>
      <c r="E3455" s="5" t="s">
        <v>23749</v>
      </c>
      <c r="F3455" s="5" t="s">
        <v>212</v>
      </c>
      <c r="G3455" s="5" t="s">
        <v>23750</v>
      </c>
      <c r="H3455" s="6" t="s">
        <v>23751</v>
      </c>
      <c r="K3455" s="5" t="s">
        <v>23714</v>
      </c>
    </row>
    <row r="3456">
      <c r="A3456" s="4">
        <v>45534.34523097222</v>
      </c>
      <c r="B3456" s="5" t="s">
        <v>34</v>
      </c>
      <c r="D3456" s="5" t="s">
        <v>35</v>
      </c>
      <c r="E3456" s="5" t="s">
        <v>23755</v>
      </c>
      <c r="F3456" s="5" t="s">
        <v>72</v>
      </c>
      <c r="G3456" s="5" t="s">
        <v>23756</v>
      </c>
      <c r="H3456" s="6" t="s">
        <v>23757</v>
      </c>
      <c r="K3456" s="5" t="s">
        <v>23714</v>
      </c>
    </row>
    <row r="3457">
      <c r="A3457" s="4">
        <v>45534.345230844905</v>
      </c>
      <c r="B3457" s="5" t="s">
        <v>34</v>
      </c>
      <c r="D3457" s="5" t="s">
        <v>701</v>
      </c>
      <c r="E3457" s="5" t="s">
        <v>23760</v>
      </c>
      <c r="F3457" s="5" t="s">
        <v>37</v>
      </c>
      <c r="G3457" s="5" t="s">
        <v>23761</v>
      </c>
      <c r="H3457" s="6" t="s">
        <v>23762</v>
      </c>
      <c r="K3457" s="5" t="s">
        <v>23714</v>
      </c>
    </row>
    <row r="3458">
      <c r="A3458" s="4">
        <v>45534.34523200231</v>
      </c>
      <c r="B3458" s="5" t="s">
        <v>34</v>
      </c>
      <c r="D3458" s="5" t="s">
        <v>35</v>
      </c>
      <c r="E3458" s="5" t="s">
        <v>23765</v>
      </c>
      <c r="F3458" s="5" t="s">
        <v>212</v>
      </c>
      <c r="G3458" s="5" t="s">
        <v>23766</v>
      </c>
      <c r="H3458" s="6" t="s">
        <v>23767</v>
      </c>
      <c r="K3458" s="5" t="s">
        <v>23714</v>
      </c>
    </row>
    <row r="3459">
      <c r="A3459" s="4">
        <v>45534.345255231485</v>
      </c>
      <c r="B3459" s="5" t="s">
        <v>34</v>
      </c>
      <c r="D3459" s="5" t="s">
        <v>4775</v>
      </c>
      <c r="E3459" s="5" t="s">
        <v>23770</v>
      </c>
      <c r="F3459" s="5" t="s">
        <v>375</v>
      </c>
      <c r="G3459" s="5" t="s">
        <v>23771</v>
      </c>
      <c r="H3459" s="6" t="s">
        <v>23772</v>
      </c>
      <c r="K3459" s="5" t="s">
        <v>23714</v>
      </c>
    </row>
    <row r="3460">
      <c r="A3460" s="4">
        <v>45534.34525857639</v>
      </c>
      <c r="B3460" s="5" t="s">
        <v>34</v>
      </c>
      <c r="D3460" s="5" t="s">
        <v>1206</v>
      </c>
      <c r="E3460" s="5" t="s">
        <v>23776</v>
      </c>
      <c r="F3460" s="5" t="s">
        <v>37</v>
      </c>
      <c r="G3460" s="5" t="s">
        <v>23777</v>
      </c>
      <c r="H3460" s="6" t="s">
        <v>23778</v>
      </c>
      <c r="K3460" s="5" t="s">
        <v>23779</v>
      </c>
    </row>
    <row r="3461">
      <c r="A3461" s="4">
        <v>45534.34526516203</v>
      </c>
      <c r="B3461" s="5" t="s">
        <v>34</v>
      </c>
      <c r="D3461" s="5" t="s">
        <v>1206</v>
      </c>
      <c r="E3461" s="5" t="s">
        <v>23782</v>
      </c>
      <c r="F3461" s="5" t="s">
        <v>199</v>
      </c>
      <c r="G3461" s="5" t="s">
        <v>23783</v>
      </c>
      <c r="H3461" s="6" t="s">
        <v>23784</v>
      </c>
      <c r="K3461" s="5" t="s">
        <v>23779</v>
      </c>
    </row>
    <row r="3462">
      <c r="A3462" s="4">
        <v>45534.34526920139</v>
      </c>
      <c r="B3462" s="5" t="s">
        <v>34</v>
      </c>
      <c r="D3462" s="5" t="s">
        <v>35</v>
      </c>
      <c r="E3462" s="5" t="s">
        <v>23787</v>
      </c>
      <c r="F3462" s="5" t="s">
        <v>72</v>
      </c>
      <c r="G3462" s="5" t="s">
        <v>23788</v>
      </c>
      <c r="H3462" s="6" t="s">
        <v>23789</v>
      </c>
      <c r="K3462" s="5" t="s">
        <v>23779</v>
      </c>
    </row>
    <row r="3463">
      <c r="A3463" s="4">
        <v>45534.34527829861</v>
      </c>
      <c r="B3463" s="5" t="s">
        <v>19</v>
      </c>
      <c r="C3463" s="5" t="s">
        <v>442</v>
      </c>
      <c r="E3463" s="5" t="s">
        <v>23793</v>
      </c>
      <c r="F3463" s="5" t="s">
        <v>72</v>
      </c>
      <c r="G3463" s="5" t="s">
        <v>23794</v>
      </c>
      <c r="H3463" s="6" t="s">
        <v>23795</v>
      </c>
      <c r="K3463" s="5" t="s">
        <v>23779</v>
      </c>
    </row>
    <row r="3464">
      <c r="A3464" s="4">
        <v>45534.34528149306</v>
      </c>
      <c r="B3464" s="5" t="s">
        <v>34</v>
      </c>
      <c r="D3464" s="5" t="s">
        <v>35</v>
      </c>
      <c r="E3464" s="5" t="s">
        <v>23798</v>
      </c>
      <c r="F3464" s="5" t="s">
        <v>108</v>
      </c>
      <c r="G3464" s="5" t="s">
        <v>23799</v>
      </c>
      <c r="H3464" s="6" t="s">
        <v>23800</v>
      </c>
      <c r="K3464" s="5" t="s">
        <v>23779</v>
      </c>
    </row>
    <row r="3465">
      <c r="A3465" s="4">
        <v>45534.34528819444</v>
      </c>
      <c r="B3465" s="5" t="s">
        <v>34</v>
      </c>
      <c r="D3465" s="5" t="s">
        <v>522</v>
      </c>
      <c r="E3465" s="5" t="s">
        <v>23803</v>
      </c>
      <c r="F3465" s="5" t="s">
        <v>72</v>
      </c>
      <c r="G3465" s="5" t="s">
        <v>23804</v>
      </c>
      <c r="H3465" s="6" t="s">
        <v>23805</v>
      </c>
      <c r="K3465" s="5" t="s">
        <v>23806</v>
      </c>
    </row>
    <row r="3466">
      <c r="A3466" s="4">
        <v>45534.34529646991</v>
      </c>
      <c r="B3466" s="5" t="s">
        <v>19</v>
      </c>
      <c r="C3466" s="5" t="s">
        <v>5564</v>
      </c>
      <c r="E3466" s="5" t="s">
        <v>23809</v>
      </c>
      <c r="F3466" s="5" t="s">
        <v>120</v>
      </c>
      <c r="G3466" s="5" t="s">
        <v>23810</v>
      </c>
      <c r="H3466" s="6" t="s">
        <v>23811</v>
      </c>
      <c r="K3466" s="5" t="s">
        <v>23806</v>
      </c>
    </row>
    <row r="3467">
      <c r="A3467" s="4">
        <v>45534.34530630787</v>
      </c>
      <c r="B3467" s="5" t="s">
        <v>34</v>
      </c>
      <c r="D3467" s="5" t="s">
        <v>1206</v>
      </c>
      <c r="E3467" s="5" t="s">
        <v>23814</v>
      </c>
      <c r="F3467" s="5" t="s">
        <v>108</v>
      </c>
      <c r="G3467" s="5" t="s">
        <v>23815</v>
      </c>
      <c r="H3467" s="6" t="s">
        <v>23816</v>
      </c>
      <c r="K3467" s="5" t="s">
        <v>23806</v>
      </c>
    </row>
    <row r="3468">
      <c r="A3468" s="4">
        <v>45534.34531685185</v>
      </c>
      <c r="B3468" s="5" t="s">
        <v>34</v>
      </c>
      <c r="D3468" s="5" t="s">
        <v>35</v>
      </c>
      <c r="E3468" s="5" t="s">
        <v>23820</v>
      </c>
      <c r="F3468" s="5" t="s">
        <v>212</v>
      </c>
      <c r="G3468" s="5" t="s">
        <v>23821</v>
      </c>
      <c r="H3468" s="6" t="s">
        <v>23822</v>
      </c>
      <c r="K3468" s="5" t="s">
        <v>23823</v>
      </c>
    </row>
    <row r="3469">
      <c r="A3469" s="4">
        <v>45534.34531826389</v>
      </c>
      <c r="B3469" s="5" t="s">
        <v>34</v>
      </c>
      <c r="D3469" s="5" t="s">
        <v>9020</v>
      </c>
      <c r="E3469" s="5" t="s">
        <v>23826</v>
      </c>
      <c r="F3469" s="5" t="s">
        <v>524</v>
      </c>
      <c r="G3469" s="5" t="s">
        <v>23827</v>
      </c>
      <c r="H3469" s="6" t="s">
        <v>23828</v>
      </c>
      <c r="K3469" s="5" t="s">
        <v>23823</v>
      </c>
    </row>
    <row r="3470">
      <c r="A3470" s="4">
        <v>45534.34532743055</v>
      </c>
      <c r="B3470" s="5" t="s">
        <v>34</v>
      </c>
      <c r="D3470" s="5" t="s">
        <v>9020</v>
      </c>
      <c r="E3470" s="5" t="s">
        <v>23831</v>
      </c>
      <c r="F3470" s="5" t="s">
        <v>375</v>
      </c>
      <c r="G3470" s="5" t="s">
        <v>23832</v>
      </c>
      <c r="H3470" s="6" t="s">
        <v>23833</v>
      </c>
      <c r="K3470" s="5" t="s">
        <v>23823</v>
      </c>
    </row>
    <row r="3471">
      <c r="A3471" s="4">
        <v>45534.34533423611</v>
      </c>
      <c r="B3471" s="5" t="s">
        <v>19</v>
      </c>
      <c r="C3471" s="5" t="s">
        <v>3301</v>
      </c>
      <c r="E3471" s="5" t="s">
        <v>23836</v>
      </c>
      <c r="F3471" s="5" t="s">
        <v>37</v>
      </c>
      <c r="G3471" s="5" t="s">
        <v>23837</v>
      </c>
      <c r="H3471" s="6" t="s">
        <v>23838</v>
      </c>
      <c r="K3471" s="5" t="s">
        <v>23823</v>
      </c>
    </row>
    <row r="3472">
      <c r="A3472" s="4">
        <v>45534.3453497338</v>
      </c>
      <c r="B3472" s="5" t="s">
        <v>34</v>
      </c>
      <c r="D3472" s="5" t="s">
        <v>1206</v>
      </c>
      <c r="E3472" s="5" t="s">
        <v>23842</v>
      </c>
      <c r="F3472" s="5" t="s">
        <v>212</v>
      </c>
      <c r="G3472" s="5" t="s">
        <v>23843</v>
      </c>
      <c r="H3472" s="6" t="s">
        <v>23844</v>
      </c>
      <c r="K3472" s="5" t="s">
        <v>23845</v>
      </c>
    </row>
    <row r="3473">
      <c r="A3473" s="4">
        <v>45534.34535530093</v>
      </c>
      <c r="B3473" s="5" t="s">
        <v>34</v>
      </c>
      <c r="D3473" s="5" t="s">
        <v>1768</v>
      </c>
      <c r="E3473" s="5" t="s">
        <v>23848</v>
      </c>
      <c r="F3473" s="5" t="s">
        <v>37</v>
      </c>
      <c r="G3473" s="5" t="s">
        <v>23849</v>
      </c>
      <c r="H3473" s="6" t="s">
        <v>23850</v>
      </c>
      <c r="K3473" s="5" t="s">
        <v>23851</v>
      </c>
    </row>
    <row r="3474">
      <c r="A3474" s="4">
        <v>45534.345359942134</v>
      </c>
      <c r="B3474" s="5" t="s">
        <v>34</v>
      </c>
      <c r="D3474" s="5" t="s">
        <v>12978</v>
      </c>
      <c r="E3474" s="5" t="s">
        <v>20560</v>
      </c>
      <c r="F3474" s="5" t="s">
        <v>328</v>
      </c>
      <c r="G3474" s="5" t="s">
        <v>23854</v>
      </c>
      <c r="H3474" s="6" t="s">
        <v>23855</v>
      </c>
      <c r="K3474" s="5" t="s">
        <v>23851</v>
      </c>
    </row>
    <row r="3475">
      <c r="A3475" s="4">
        <v>45534.3453646875</v>
      </c>
      <c r="B3475" s="5" t="s">
        <v>19</v>
      </c>
      <c r="C3475" s="5" t="s">
        <v>5564</v>
      </c>
      <c r="E3475" s="5" t="s">
        <v>23858</v>
      </c>
      <c r="F3475" s="5" t="s">
        <v>212</v>
      </c>
      <c r="G3475" s="5" t="s">
        <v>23859</v>
      </c>
      <c r="H3475" s="6" t="s">
        <v>23860</v>
      </c>
      <c r="K3475" s="5" t="s">
        <v>23851</v>
      </c>
    </row>
    <row r="3476">
      <c r="A3476" s="4">
        <v>45534.345370104165</v>
      </c>
      <c r="B3476" s="5" t="s">
        <v>34</v>
      </c>
      <c r="D3476" s="5" t="s">
        <v>35</v>
      </c>
      <c r="E3476" s="5" t="s">
        <v>23864</v>
      </c>
      <c r="F3476" s="5" t="s">
        <v>715</v>
      </c>
      <c r="G3476" s="5" t="s">
        <v>23865</v>
      </c>
      <c r="H3476" s="6" t="s">
        <v>23866</v>
      </c>
      <c r="K3476" s="5" t="s">
        <v>23851</v>
      </c>
    </row>
    <row r="3477">
      <c r="A3477" s="4">
        <v>45534.34537034722</v>
      </c>
      <c r="B3477" s="5" t="s">
        <v>34</v>
      </c>
      <c r="D3477" s="5" t="s">
        <v>7858</v>
      </c>
      <c r="E3477" s="5" t="s">
        <v>23869</v>
      </c>
      <c r="F3477" s="5" t="s">
        <v>120</v>
      </c>
      <c r="G3477" s="5" t="s">
        <v>23870</v>
      </c>
      <c r="H3477" s="6" t="s">
        <v>23871</v>
      </c>
      <c r="K3477" s="5" t="s">
        <v>23851</v>
      </c>
    </row>
    <row r="3478">
      <c r="A3478" s="4">
        <v>45534.34538108796</v>
      </c>
      <c r="B3478" s="5" t="s">
        <v>34</v>
      </c>
      <c r="D3478" s="5" t="s">
        <v>3849</v>
      </c>
      <c r="E3478" s="5" t="s">
        <v>23874</v>
      </c>
      <c r="F3478" s="5" t="s">
        <v>37</v>
      </c>
      <c r="G3478" s="5" t="s">
        <v>23875</v>
      </c>
      <c r="H3478" s="6" t="s">
        <v>23876</v>
      </c>
      <c r="K3478" s="5" t="s">
        <v>23851</v>
      </c>
    </row>
    <row r="3479">
      <c r="A3479" s="4">
        <v>45534.34538881945</v>
      </c>
      <c r="B3479" s="5" t="s">
        <v>34</v>
      </c>
      <c r="D3479" s="5" t="s">
        <v>35</v>
      </c>
      <c r="E3479" s="5" t="s">
        <v>23879</v>
      </c>
      <c r="F3479" s="5" t="s">
        <v>108</v>
      </c>
      <c r="G3479" s="5" t="s">
        <v>23880</v>
      </c>
      <c r="H3479" s="6" t="s">
        <v>23881</v>
      </c>
      <c r="K3479" s="5" t="s">
        <v>23851</v>
      </c>
    </row>
    <row r="3480">
      <c r="A3480" s="4">
        <v>45534.34539519676</v>
      </c>
      <c r="B3480" s="5" t="s">
        <v>19</v>
      </c>
      <c r="C3480" s="5" t="s">
        <v>3471</v>
      </c>
      <c r="E3480" s="5" t="s">
        <v>23884</v>
      </c>
      <c r="F3480" s="5" t="s">
        <v>524</v>
      </c>
      <c r="G3480" s="5" t="s">
        <v>23885</v>
      </c>
      <c r="H3480" s="6" t="s">
        <v>23886</v>
      </c>
      <c r="K3480" s="5" t="s">
        <v>23851</v>
      </c>
    </row>
    <row r="3481">
      <c r="A3481" s="4">
        <v>45534.34539512731</v>
      </c>
      <c r="B3481" s="5" t="s">
        <v>34</v>
      </c>
      <c r="D3481" s="5" t="s">
        <v>1206</v>
      </c>
      <c r="E3481" s="5" t="s">
        <v>23890</v>
      </c>
      <c r="F3481" s="5" t="s">
        <v>375</v>
      </c>
      <c r="G3481" s="5" t="s">
        <v>23891</v>
      </c>
      <c r="H3481" s="6" t="s">
        <v>23892</v>
      </c>
      <c r="K3481" s="5" t="s">
        <v>23893</v>
      </c>
    </row>
    <row r="3482">
      <c r="A3482" s="4">
        <v>45534.34540186342</v>
      </c>
      <c r="B3482" s="5" t="s">
        <v>34</v>
      </c>
      <c r="D3482" s="5" t="s">
        <v>6232</v>
      </c>
      <c r="E3482" s="5" t="s">
        <v>23896</v>
      </c>
      <c r="F3482" s="5" t="s">
        <v>37</v>
      </c>
      <c r="G3482" s="5" t="s">
        <v>23897</v>
      </c>
      <c r="H3482" s="6" t="s">
        <v>23898</v>
      </c>
      <c r="K3482" s="5" t="s">
        <v>23893</v>
      </c>
    </row>
    <row r="3483">
      <c r="A3483" s="4">
        <v>45534.345411898146</v>
      </c>
      <c r="B3483" s="5" t="s">
        <v>34</v>
      </c>
      <c r="D3483" s="5" t="s">
        <v>9394</v>
      </c>
      <c r="E3483" s="5" t="s">
        <v>23901</v>
      </c>
      <c r="F3483" s="5" t="s">
        <v>120</v>
      </c>
      <c r="G3483" s="5" t="s">
        <v>23902</v>
      </c>
      <c r="H3483" s="6" t="s">
        <v>23903</v>
      </c>
      <c r="K3483" s="5" t="s">
        <v>23893</v>
      </c>
    </row>
    <row r="3484">
      <c r="A3484" s="4">
        <v>45534.3454120949</v>
      </c>
      <c r="B3484" s="5" t="s">
        <v>34</v>
      </c>
      <c r="D3484" s="5" t="s">
        <v>1206</v>
      </c>
      <c r="E3484" s="5" t="s">
        <v>23906</v>
      </c>
      <c r="F3484" s="5" t="s">
        <v>212</v>
      </c>
      <c r="G3484" s="5" t="s">
        <v>23907</v>
      </c>
      <c r="H3484" s="6" t="s">
        <v>23908</v>
      </c>
      <c r="K3484" s="5" t="s">
        <v>23893</v>
      </c>
    </row>
    <row r="3485">
      <c r="A3485" s="4">
        <v>45534.34541675926</v>
      </c>
      <c r="B3485" s="5" t="s">
        <v>34</v>
      </c>
      <c r="D3485" s="5" t="s">
        <v>6232</v>
      </c>
      <c r="E3485" s="5" t="s">
        <v>23912</v>
      </c>
      <c r="F3485" s="5" t="s">
        <v>72</v>
      </c>
      <c r="G3485" s="5" t="s">
        <v>23913</v>
      </c>
      <c r="H3485" s="6" t="s">
        <v>23914</v>
      </c>
      <c r="K3485" s="5" t="s">
        <v>23893</v>
      </c>
    </row>
    <row r="3486">
      <c r="A3486" s="4">
        <v>45534.345438634264</v>
      </c>
      <c r="B3486" s="5" t="s">
        <v>34</v>
      </c>
      <c r="D3486" s="5" t="s">
        <v>280</v>
      </c>
      <c r="E3486" s="5" t="s">
        <v>23917</v>
      </c>
      <c r="F3486" s="5" t="s">
        <v>212</v>
      </c>
      <c r="G3486" s="5" t="s">
        <v>23918</v>
      </c>
      <c r="H3486" s="6" t="s">
        <v>23919</v>
      </c>
      <c r="K3486" s="5" t="s">
        <v>23920</v>
      </c>
    </row>
    <row r="3487">
      <c r="A3487" s="4">
        <v>45534.345440439814</v>
      </c>
      <c r="B3487" s="5" t="s">
        <v>34</v>
      </c>
      <c r="D3487" s="5" t="s">
        <v>522</v>
      </c>
      <c r="E3487" s="5" t="s">
        <v>23923</v>
      </c>
      <c r="F3487" s="5" t="s">
        <v>524</v>
      </c>
      <c r="G3487" s="5" t="s">
        <v>23924</v>
      </c>
      <c r="H3487" s="6" t="s">
        <v>23925</v>
      </c>
      <c r="K3487" s="5" t="s">
        <v>23920</v>
      </c>
    </row>
    <row r="3488">
      <c r="A3488" s="4">
        <v>45534.345446203704</v>
      </c>
      <c r="B3488" s="5" t="s">
        <v>34</v>
      </c>
      <c r="D3488" s="5" t="s">
        <v>1456</v>
      </c>
      <c r="E3488" s="5" t="s">
        <v>23928</v>
      </c>
      <c r="F3488" s="5" t="s">
        <v>108</v>
      </c>
      <c r="G3488" s="5" t="s">
        <v>23929</v>
      </c>
      <c r="H3488" s="6" t="s">
        <v>23930</v>
      </c>
      <c r="K3488" s="5" t="s">
        <v>23920</v>
      </c>
    </row>
    <row r="3489">
      <c r="A3489" s="4">
        <v>45534.34544780092</v>
      </c>
      <c r="B3489" s="5" t="s">
        <v>34</v>
      </c>
      <c r="D3489" s="5" t="s">
        <v>1456</v>
      </c>
      <c r="E3489" s="5" t="s">
        <v>23933</v>
      </c>
      <c r="F3489" s="5" t="s">
        <v>524</v>
      </c>
      <c r="G3489" s="5" t="s">
        <v>23934</v>
      </c>
      <c r="H3489" s="6" t="s">
        <v>23935</v>
      </c>
      <c r="K3489" s="5" t="s">
        <v>23920</v>
      </c>
    </row>
    <row r="3490">
      <c r="A3490" s="4">
        <v>45534.3454512037</v>
      </c>
      <c r="B3490" s="5" t="s">
        <v>34</v>
      </c>
      <c r="D3490" s="5" t="s">
        <v>1206</v>
      </c>
      <c r="E3490" s="5" t="s">
        <v>23939</v>
      </c>
      <c r="F3490" s="5" t="s">
        <v>212</v>
      </c>
      <c r="G3490" s="5" t="s">
        <v>23940</v>
      </c>
      <c r="H3490" s="6" t="s">
        <v>23941</v>
      </c>
      <c r="K3490" s="5" t="s">
        <v>23920</v>
      </c>
    </row>
    <row r="3491">
      <c r="A3491" s="4">
        <v>45534.34545451389</v>
      </c>
      <c r="B3491" s="5" t="s">
        <v>34</v>
      </c>
      <c r="D3491" s="5" t="s">
        <v>9020</v>
      </c>
      <c r="E3491" s="5" t="s">
        <v>23944</v>
      </c>
      <c r="F3491" s="5" t="s">
        <v>212</v>
      </c>
      <c r="G3491" s="5" t="s">
        <v>23945</v>
      </c>
      <c r="H3491" s="6" t="s">
        <v>23946</v>
      </c>
      <c r="K3491" s="5" t="s">
        <v>23920</v>
      </c>
    </row>
    <row r="3492">
      <c r="A3492" s="4">
        <v>45534.345458298616</v>
      </c>
      <c r="B3492" s="5" t="s">
        <v>34</v>
      </c>
      <c r="D3492" s="5" t="s">
        <v>35</v>
      </c>
      <c r="E3492" s="5" t="s">
        <v>23949</v>
      </c>
      <c r="F3492" s="5" t="s">
        <v>375</v>
      </c>
      <c r="G3492" s="5" t="s">
        <v>23950</v>
      </c>
      <c r="H3492" s="6" t="s">
        <v>23951</v>
      </c>
      <c r="K3492" s="5" t="s">
        <v>23920</v>
      </c>
    </row>
    <row r="3493">
      <c r="A3493" s="4">
        <v>45534.345458842596</v>
      </c>
      <c r="B3493" s="5" t="s">
        <v>34</v>
      </c>
      <c r="D3493" s="5" t="s">
        <v>267</v>
      </c>
      <c r="E3493" s="5" t="s">
        <v>23954</v>
      </c>
      <c r="F3493" s="5" t="s">
        <v>375</v>
      </c>
      <c r="G3493" s="5" t="s">
        <v>23955</v>
      </c>
      <c r="H3493" s="6" t="s">
        <v>23956</v>
      </c>
      <c r="K3493" s="5" t="s">
        <v>23920</v>
      </c>
    </row>
    <row r="3494">
      <c r="A3494" s="4">
        <v>45534.34548063658</v>
      </c>
      <c r="B3494" s="5" t="s">
        <v>19</v>
      </c>
      <c r="C3494" s="5" t="s">
        <v>3301</v>
      </c>
      <c r="E3494" s="5" t="s">
        <v>23959</v>
      </c>
      <c r="F3494" s="5" t="s">
        <v>37</v>
      </c>
      <c r="G3494" s="5" t="s">
        <v>23960</v>
      </c>
      <c r="H3494" s="6" t="s">
        <v>23961</v>
      </c>
      <c r="K3494" s="5" t="s">
        <v>23920</v>
      </c>
    </row>
    <row r="3495">
      <c r="A3495" s="4">
        <v>45534.345495104164</v>
      </c>
      <c r="B3495" s="5" t="s">
        <v>34</v>
      </c>
      <c r="D3495" s="5" t="s">
        <v>9394</v>
      </c>
      <c r="E3495" s="5" t="s">
        <v>23965</v>
      </c>
      <c r="F3495" s="5" t="s">
        <v>524</v>
      </c>
      <c r="G3495" s="5" t="s">
        <v>23966</v>
      </c>
      <c r="H3495" s="6" t="s">
        <v>23967</v>
      </c>
      <c r="K3495" s="5" t="s">
        <v>23968</v>
      </c>
    </row>
    <row r="3496">
      <c r="A3496" s="4">
        <v>45534.34549637731</v>
      </c>
      <c r="B3496" s="5" t="s">
        <v>34</v>
      </c>
      <c r="D3496" s="5" t="s">
        <v>4775</v>
      </c>
      <c r="E3496" s="5" t="s">
        <v>23971</v>
      </c>
      <c r="F3496" s="5" t="s">
        <v>212</v>
      </c>
      <c r="G3496" s="5" t="s">
        <v>23972</v>
      </c>
      <c r="H3496" s="6" t="s">
        <v>23973</v>
      </c>
      <c r="K3496" s="5" t="s">
        <v>23968</v>
      </c>
    </row>
    <row r="3497">
      <c r="A3497" s="4">
        <v>45534.345515451394</v>
      </c>
      <c r="B3497" s="5" t="s">
        <v>34</v>
      </c>
      <c r="D3497" s="5" t="s">
        <v>12978</v>
      </c>
      <c r="E3497" s="5" t="s">
        <v>23976</v>
      </c>
      <c r="F3497" s="5" t="s">
        <v>212</v>
      </c>
      <c r="G3497" s="5" t="s">
        <v>23977</v>
      </c>
      <c r="H3497" s="6" t="s">
        <v>23978</v>
      </c>
      <c r="K3497" s="5" t="s">
        <v>23968</v>
      </c>
    </row>
    <row r="3498">
      <c r="A3498" s="4">
        <v>45534.34552116898</v>
      </c>
      <c r="B3498" s="5" t="s">
        <v>34</v>
      </c>
      <c r="D3498" s="5" t="s">
        <v>580</v>
      </c>
      <c r="E3498" s="5" t="s">
        <v>23982</v>
      </c>
      <c r="F3498" s="5" t="s">
        <v>212</v>
      </c>
      <c r="G3498" s="5" t="s">
        <v>23983</v>
      </c>
      <c r="H3498" s="6" t="s">
        <v>23984</v>
      </c>
      <c r="K3498" s="5" t="s">
        <v>23968</v>
      </c>
    </row>
    <row r="3499">
      <c r="A3499" s="4">
        <v>45534.345522407406</v>
      </c>
      <c r="B3499" s="5" t="s">
        <v>34</v>
      </c>
      <c r="D3499" s="5" t="s">
        <v>267</v>
      </c>
      <c r="E3499" s="5" t="s">
        <v>23987</v>
      </c>
      <c r="F3499" s="5" t="s">
        <v>72</v>
      </c>
      <c r="G3499" s="5" t="s">
        <v>23988</v>
      </c>
      <c r="H3499" s="6" t="s">
        <v>23989</v>
      </c>
      <c r="K3499" s="5" t="s">
        <v>23968</v>
      </c>
    </row>
    <row r="3500">
      <c r="A3500" s="4">
        <v>45534.34552619213</v>
      </c>
      <c r="B3500" s="5" t="s">
        <v>34</v>
      </c>
      <c r="D3500" s="5" t="s">
        <v>1456</v>
      </c>
      <c r="E3500" s="5" t="s">
        <v>23992</v>
      </c>
      <c r="F3500" s="5" t="s">
        <v>120</v>
      </c>
      <c r="G3500" s="5" t="s">
        <v>23993</v>
      </c>
      <c r="H3500" s="6" t="s">
        <v>23994</v>
      </c>
      <c r="K3500" s="5" t="s">
        <v>23968</v>
      </c>
    </row>
    <row r="3501">
      <c r="A3501" s="4">
        <v>45534.345567627315</v>
      </c>
      <c r="B3501" s="5" t="s">
        <v>34</v>
      </c>
      <c r="D3501" s="5" t="s">
        <v>35</v>
      </c>
      <c r="E3501" s="5" t="s">
        <v>23997</v>
      </c>
      <c r="F3501" s="5" t="s">
        <v>37</v>
      </c>
      <c r="G3501" s="5" t="s">
        <v>23998</v>
      </c>
      <c r="H3501" s="6" t="s">
        <v>23999</v>
      </c>
      <c r="K3501" s="5" t="s">
        <v>24000</v>
      </c>
    </row>
    <row r="3502">
      <c r="A3502" s="4">
        <v>45534.345590613426</v>
      </c>
      <c r="B3502" s="5" t="s">
        <v>34</v>
      </c>
      <c r="D3502" s="5" t="s">
        <v>580</v>
      </c>
      <c r="E3502" s="5" t="s">
        <v>24003</v>
      </c>
      <c r="F3502" s="5" t="s">
        <v>108</v>
      </c>
      <c r="G3502" s="5" t="s">
        <v>24004</v>
      </c>
      <c r="H3502" s="6" t="s">
        <v>24005</v>
      </c>
      <c r="I3502" s="7" t="s">
        <v>24006</v>
      </c>
      <c r="J3502" s="8" t="str">
        <f>HYPERLINK("https://drive.google.com/file/d/1qQ7Sh6iY5nL0JgB96ielQx-lxS8dlWOd/view?usp=drivesdk","NI WAYAN SANTI LASTRI SERTIFIKAT BerAKHLAK")</f>
        <v>NI WAYAN SANTI LASTRI SERTIFIKAT BerAKHLAK</v>
      </c>
      <c r="K3502" s="5" t="s">
        <v>23289</v>
      </c>
      <c r="L3502" s="5" t="s">
        <v>24007</v>
      </c>
    </row>
    <row r="3503">
      <c r="A3503" s="4">
        <v>45534.345618252315</v>
      </c>
      <c r="B3503" s="5" t="s">
        <v>34</v>
      </c>
      <c r="D3503" s="5" t="s">
        <v>4775</v>
      </c>
      <c r="E3503" s="5" t="s">
        <v>24011</v>
      </c>
      <c r="F3503" s="5" t="s">
        <v>37</v>
      </c>
      <c r="G3503" s="5" t="s">
        <v>24012</v>
      </c>
      <c r="H3503" s="6" t="s">
        <v>24013</v>
      </c>
      <c r="K3503" s="5" t="s">
        <v>24014</v>
      </c>
    </row>
    <row r="3504">
      <c r="A3504" s="4">
        <v>45534.3456225</v>
      </c>
      <c r="B3504" s="5" t="s">
        <v>34</v>
      </c>
      <c r="D3504" s="5" t="s">
        <v>4775</v>
      </c>
      <c r="E3504" s="5" t="s">
        <v>24017</v>
      </c>
      <c r="F3504" s="5" t="s">
        <v>37</v>
      </c>
      <c r="G3504" s="5" t="s">
        <v>24018</v>
      </c>
      <c r="H3504" s="6" t="s">
        <v>24019</v>
      </c>
      <c r="I3504" s="7" t="s">
        <v>24020</v>
      </c>
      <c r="J3504" s="8" t="str">
        <f>HYPERLINK("https://drive.google.com/file/d/1pLP6EpIwJU-I2upr89SNW7UigiG8l4bs/view?usp=drivesdk","DEDI SURYADI SERTIFIKAT BerAKHLAK")</f>
        <v>DEDI SURYADI SERTIFIKAT BerAKHLAK</v>
      </c>
      <c r="K3504" s="5" t="s">
        <v>23289</v>
      </c>
      <c r="L3504" s="5" t="s">
        <v>24021</v>
      </c>
    </row>
    <row r="3505">
      <c r="A3505" s="4">
        <v>45534.34563747685</v>
      </c>
      <c r="B3505" s="5" t="s">
        <v>34</v>
      </c>
      <c r="D3505" s="5" t="s">
        <v>1206</v>
      </c>
      <c r="E3505" s="5" t="s">
        <v>24024</v>
      </c>
      <c r="F3505" s="5" t="s">
        <v>37</v>
      </c>
      <c r="G3505" s="5" t="s">
        <v>24025</v>
      </c>
      <c r="H3505" s="6" t="s">
        <v>24026</v>
      </c>
      <c r="I3505" s="7" t="s">
        <v>24027</v>
      </c>
      <c r="J3505" s="8" t="str">
        <f>HYPERLINK("https://drive.google.com/file/d/1fjm1JvvXnAMrgZ2LU5w0mZI7i9tHU9sO/view?usp=drivesdk","RATNA HIDAYATI SERTIFIKAT BerAKHLAK")</f>
        <v>RATNA HIDAYATI SERTIFIKAT BerAKHLAK</v>
      </c>
      <c r="K3505" s="5" t="s">
        <v>23289</v>
      </c>
      <c r="L3505" s="5" t="s">
        <v>24028</v>
      </c>
    </row>
    <row r="3506">
      <c r="A3506" s="4">
        <v>45534.34563902778</v>
      </c>
      <c r="B3506" s="5" t="s">
        <v>34</v>
      </c>
      <c r="D3506" s="5" t="s">
        <v>12978</v>
      </c>
      <c r="E3506" s="5" t="s">
        <v>24031</v>
      </c>
      <c r="F3506" s="5" t="s">
        <v>212</v>
      </c>
      <c r="G3506" s="5" t="s">
        <v>24032</v>
      </c>
      <c r="H3506" s="6" t="s">
        <v>24033</v>
      </c>
      <c r="I3506" s="7" t="s">
        <v>24034</v>
      </c>
      <c r="J3506" s="8" t="str">
        <f>HYPERLINK("https://drive.google.com/file/d/1BLmCczIjlmzBw7zNnwghZWM9XucGdHSz/view?usp=drivesdk","ELRISA APRIANI ROSA  SERTIFIKAT BerAKHLAK")</f>
        <v>ELRISA APRIANI ROSA  SERTIFIKAT BerAKHLAK</v>
      </c>
      <c r="K3506" s="5" t="s">
        <v>23422</v>
      </c>
      <c r="L3506" s="5" t="s">
        <v>24035</v>
      </c>
    </row>
    <row r="3507">
      <c r="A3507" s="4">
        <v>45534.34564290509</v>
      </c>
      <c r="B3507" s="5" t="s">
        <v>34</v>
      </c>
      <c r="D3507" s="5" t="s">
        <v>1206</v>
      </c>
      <c r="E3507" s="5" t="s">
        <v>24038</v>
      </c>
      <c r="F3507" s="5" t="s">
        <v>37</v>
      </c>
      <c r="G3507" s="5" t="s">
        <v>24039</v>
      </c>
      <c r="H3507" s="6" t="s">
        <v>24040</v>
      </c>
      <c r="I3507" s="7" t="s">
        <v>24041</v>
      </c>
      <c r="J3507" s="8" t="str">
        <f>HYPERLINK("https://drive.google.com/file/d/1A634yY16lxWmTpkVp5y0kBrp14UBU5g7/view?usp=drivesdk","DEVY YUNITA SULISTIYANTI  SERTIFIKAT BerAKHLAK")</f>
        <v>DEVY YUNITA SULISTIYANTI  SERTIFIKAT BerAKHLAK</v>
      </c>
      <c r="K3507" s="5" t="s">
        <v>23422</v>
      </c>
      <c r="L3507" s="5" t="s">
        <v>24042</v>
      </c>
    </row>
    <row r="3508">
      <c r="A3508" s="4">
        <v>45534.3456440625</v>
      </c>
      <c r="B3508" s="5" t="s">
        <v>34</v>
      </c>
      <c r="D3508" s="5" t="s">
        <v>12978</v>
      </c>
      <c r="E3508" s="5" t="s">
        <v>24046</v>
      </c>
      <c r="F3508" s="5" t="s">
        <v>37</v>
      </c>
      <c r="G3508" s="5" t="s">
        <v>24047</v>
      </c>
      <c r="H3508" s="6" t="s">
        <v>24048</v>
      </c>
      <c r="I3508" s="7" t="s">
        <v>24049</v>
      </c>
      <c r="J3508" s="8" t="str">
        <f>HYPERLINK("https://drive.google.com/file/d/1IUxDIIzelT_117p4lcMi2vWxo_0mo5TY/view?usp=drivesdk","HALOMOAN ADI KUSUMA SIAHAAN SERTIFIKAT BerAKHLAK")</f>
        <v>HALOMOAN ADI KUSUMA SIAHAAN SERTIFIKAT BerAKHLAK</v>
      </c>
      <c r="K3508" s="5" t="s">
        <v>23422</v>
      </c>
      <c r="L3508" s="5" t="s">
        <v>24050</v>
      </c>
    </row>
    <row r="3509">
      <c r="A3509" s="4">
        <v>45534.34564738426</v>
      </c>
      <c r="B3509" s="5" t="s">
        <v>34</v>
      </c>
      <c r="D3509" s="5" t="s">
        <v>2903</v>
      </c>
      <c r="E3509" s="5" t="s">
        <v>24053</v>
      </c>
      <c r="F3509" s="5" t="s">
        <v>328</v>
      </c>
      <c r="G3509" s="5" t="s">
        <v>24054</v>
      </c>
      <c r="H3509" s="6" t="s">
        <v>24055</v>
      </c>
      <c r="I3509" s="7" t="s">
        <v>24056</v>
      </c>
      <c r="J3509" s="8" t="str">
        <f>HYPERLINK("https://drive.google.com/file/d/1mUjzACLFe_SR2I1fyEXECUD2VeSW5u_A/view?usp=drivesdk","ALEX SUPRIANTO SERTIFIKAT BerAKHLAK")</f>
        <v>ALEX SUPRIANTO SERTIFIKAT BerAKHLAK</v>
      </c>
      <c r="K3509" s="5" t="s">
        <v>24057</v>
      </c>
      <c r="L3509" s="5" t="s">
        <v>24058</v>
      </c>
    </row>
    <row r="3510">
      <c r="A3510" s="4">
        <v>45534.34565116898</v>
      </c>
      <c r="B3510" s="5" t="s">
        <v>34</v>
      </c>
      <c r="D3510" s="5" t="s">
        <v>1206</v>
      </c>
      <c r="E3510" s="5" t="s">
        <v>24061</v>
      </c>
      <c r="F3510" s="5" t="s">
        <v>328</v>
      </c>
      <c r="G3510" s="5" t="s">
        <v>24062</v>
      </c>
      <c r="H3510" s="6" t="s">
        <v>24063</v>
      </c>
      <c r="K3510" s="5" t="s">
        <v>24064</v>
      </c>
    </row>
    <row r="3511">
      <c r="A3511" s="4">
        <v>45534.345652916665</v>
      </c>
      <c r="B3511" s="5" t="s">
        <v>34</v>
      </c>
      <c r="D3511" s="5" t="s">
        <v>522</v>
      </c>
      <c r="E3511" s="5" t="s">
        <v>18319</v>
      </c>
      <c r="F3511" s="5" t="s">
        <v>108</v>
      </c>
      <c r="G3511" s="5" t="s">
        <v>18320</v>
      </c>
      <c r="H3511" s="6" t="s">
        <v>24067</v>
      </c>
      <c r="K3511" s="5" t="s">
        <v>24064</v>
      </c>
    </row>
    <row r="3512">
      <c r="A3512" s="4">
        <v>45534.34565319444</v>
      </c>
      <c r="B3512" s="5" t="s">
        <v>34</v>
      </c>
      <c r="D3512" s="5" t="s">
        <v>1206</v>
      </c>
      <c r="E3512" s="5" t="s">
        <v>24071</v>
      </c>
      <c r="F3512" s="5" t="s">
        <v>212</v>
      </c>
      <c r="G3512" s="5" t="s">
        <v>24072</v>
      </c>
      <c r="H3512" s="6" t="s">
        <v>24073</v>
      </c>
      <c r="K3512" s="5" t="s">
        <v>24064</v>
      </c>
    </row>
    <row r="3513">
      <c r="A3513" s="4">
        <v>45534.345655729165</v>
      </c>
      <c r="B3513" s="5" t="s">
        <v>19</v>
      </c>
      <c r="C3513" s="5" t="s">
        <v>24076</v>
      </c>
      <c r="E3513" s="5" t="s">
        <v>20560</v>
      </c>
      <c r="F3513" s="5" t="s">
        <v>212</v>
      </c>
      <c r="G3513" s="5" t="s">
        <v>24077</v>
      </c>
      <c r="H3513" s="6" t="s">
        <v>24078</v>
      </c>
      <c r="K3513" s="5" t="s">
        <v>24064</v>
      </c>
    </row>
    <row r="3514">
      <c r="A3514" s="4">
        <v>45534.345663726854</v>
      </c>
      <c r="B3514" s="5" t="s">
        <v>34</v>
      </c>
      <c r="D3514" s="5" t="s">
        <v>9394</v>
      </c>
      <c r="E3514" s="5" t="s">
        <v>24081</v>
      </c>
      <c r="F3514" s="5" t="s">
        <v>524</v>
      </c>
      <c r="G3514" s="5" t="s">
        <v>24082</v>
      </c>
      <c r="H3514" s="6" t="s">
        <v>24083</v>
      </c>
      <c r="K3514" s="5" t="s">
        <v>24064</v>
      </c>
    </row>
    <row r="3515">
      <c r="A3515" s="4">
        <v>45534.345666875</v>
      </c>
      <c r="B3515" s="5" t="s">
        <v>34</v>
      </c>
      <c r="D3515" s="5" t="s">
        <v>10297</v>
      </c>
      <c r="E3515" s="5" t="s">
        <v>24086</v>
      </c>
      <c r="F3515" s="5" t="s">
        <v>37</v>
      </c>
      <c r="G3515" s="5" t="s">
        <v>24087</v>
      </c>
      <c r="H3515" s="6" t="s">
        <v>24088</v>
      </c>
      <c r="K3515" s="5" t="s">
        <v>24064</v>
      </c>
    </row>
    <row r="3516">
      <c r="A3516" s="4">
        <v>45534.34566752314</v>
      </c>
      <c r="B3516" s="5" t="s">
        <v>34</v>
      </c>
      <c r="D3516" s="5" t="s">
        <v>12978</v>
      </c>
      <c r="E3516" s="5" t="s">
        <v>24091</v>
      </c>
      <c r="F3516" s="5" t="s">
        <v>715</v>
      </c>
      <c r="G3516" s="5" t="s">
        <v>24092</v>
      </c>
      <c r="H3516" s="6" t="s">
        <v>24093</v>
      </c>
      <c r="K3516" s="5" t="s">
        <v>24064</v>
      </c>
    </row>
    <row r="3517">
      <c r="A3517" s="4">
        <v>45534.34568993056</v>
      </c>
      <c r="B3517" s="5" t="s">
        <v>34</v>
      </c>
      <c r="D3517" s="5" t="s">
        <v>1206</v>
      </c>
      <c r="E3517" s="5" t="s">
        <v>24097</v>
      </c>
      <c r="F3517" s="5" t="s">
        <v>37</v>
      </c>
      <c r="G3517" s="5" t="s">
        <v>24098</v>
      </c>
      <c r="H3517" s="6" t="s">
        <v>24099</v>
      </c>
      <c r="I3517" s="7" t="s">
        <v>24100</v>
      </c>
      <c r="J3517" s="8" t="str">
        <f>HYPERLINK("https://drive.google.com/file/d/1jEK_l2HNRW4lpfpb6-4IbxEGR60vaGqc/view?usp=drivesdk","SULISTYONINGSIH SERTIFIKAT BerAKHLAK")</f>
        <v>SULISTYONINGSIH SERTIFIKAT BerAKHLAK</v>
      </c>
      <c r="K3517" s="5" t="s">
        <v>23422</v>
      </c>
      <c r="L3517" s="5" t="s">
        <v>24101</v>
      </c>
    </row>
    <row r="3518">
      <c r="A3518" s="4">
        <v>45534.345699247686</v>
      </c>
      <c r="B3518" s="5" t="s">
        <v>34</v>
      </c>
      <c r="D3518" s="5" t="s">
        <v>1206</v>
      </c>
      <c r="E3518" s="5" t="s">
        <v>24104</v>
      </c>
      <c r="F3518" s="5" t="s">
        <v>212</v>
      </c>
      <c r="G3518" s="5" t="s">
        <v>24105</v>
      </c>
      <c r="H3518" s="6" t="s">
        <v>24106</v>
      </c>
      <c r="I3518" s="7" t="s">
        <v>24107</v>
      </c>
      <c r="J3518" s="8" t="str">
        <f>HYPERLINK("https://drive.google.com/file/d/103DePo5_xq9lc4SjhETYkmMzosqGq86F/view?usp=drivesdk","SUMARDIN SERTIFIKAT BerAKHLAK")</f>
        <v>SUMARDIN SERTIFIKAT BerAKHLAK</v>
      </c>
      <c r="K3518" s="5" t="s">
        <v>23422</v>
      </c>
      <c r="L3518" s="5" t="s">
        <v>24108</v>
      </c>
    </row>
    <row r="3519">
      <c r="A3519" s="4">
        <v>45534.34570535879</v>
      </c>
      <c r="B3519" s="5" t="s">
        <v>34</v>
      </c>
      <c r="D3519" s="5" t="s">
        <v>4775</v>
      </c>
      <c r="E3519" s="5" t="s">
        <v>24111</v>
      </c>
      <c r="F3519" s="5" t="s">
        <v>375</v>
      </c>
      <c r="G3519" s="5" t="s">
        <v>24112</v>
      </c>
      <c r="H3519" s="6" t="s">
        <v>24113</v>
      </c>
      <c r="I3519" s="7" t="s">
        <v>24114</v>
      </c>
      <c r="J3519" s="8" t="str">
        <f>HYPERLINK("https://drive.google.com/file/d/1IwVYCIrCh2I8GlI1UzZEPZ0bKtFXhj8v/view?usp=drivesdk","FIKA MEIRINA, S.Si SERTIFIKAT BerAKHLAK")</f>
        <v>FIKA MEIRINA, S.Si SERTIFIKAT BerAKHLAK</v>
      </c>
      <c r="K3519" s="5" t="s">
        <v>23422</v>
      </c>
      <c r="L3519" s="5" t="s">
        <v>24115</v>
      </c>
    </row>
    <row r="3520">
      <c r="A3520" s="4">
        <v>45534.34571030093</v>
      </c>
      <c r="B3520" s="5" t="s">
        <v>34</v>
      </c>
      <c r="D3520" s="5" t="s">
        <v>4775</v>
      </c>
      <c r="E3520" s="5" t="s">
        <v>24118</v>
      </c>
      <c r="F3520" s="5" t="s">
        <v>199</v>
      </c>
      <c r="G3520" s="5" t="s">
        <v>24119</v>
      </c>
      <c r="H3520" s="6" t="s">
        <v>24120</v>
      </c>
      <c r="I3520" s="7" t="s">
        <v>24121</v>
      </c>
      <c r="J3520" s="8" t="str">
        <f>HYPERLINK("https://drive.google.com/file/d/1W86Q7tJds0KibaBzcpnr65gvVB6gVBtT/view?usp=drivesdk","KARIMUN SERTIFIKAT BerAKHLAK")</f>
        <v>KARIMUN SERTIFIKAT BerAKHLAK</v>
      </c>
      <c r="K3520" s="5" t="s">
        <v>23422</v>
      </c>
      <c r="L3520" s="5" t="s">
        <v>24122</v>
      </c>
    </row>
    <row r="3521">
      <c r="A3521" s="4">
        <v>45534.34571525463</v>
      </c>
      <c r="B3521" s="5" t="s">
        <v>34</v>
      </c>
      <c r="D3521" s="5" t="s">
        <v>35</v>
      </c>
      <c r="E3521" s="5" t="s">
        <v>24126</v>
      </c>
      <c r="F3521" s="5" t="s">
        <v>37</v>
      </c>
      <c r="G3521" s="5" t="s">
        <v>24127</v>
      </c>
      <c r="H3521" s="6" t="s">
        <v>24128</v>
      </c>
      <c r="K3521" s="5" t="s">
        <v>24129</v>
      </c>
    </row>
    <row r="3522">
      <c r="A3522" s="4">
        <v>45534.34571552083</v>
      </c>
      <c r="B3522" s="5" t="s">
        <v>34</v>
      </c>
      <c r="D3522" s="5" t="s">
        <v>12978</v>
      </c>
      <c r="E3522" s="5" t="s">
        <v>24132</v>
      </c>
      <c r="F3522" s="5" t="s">
        <v>212</v>
      </c>
      <c r="G3522" s="5" t="s">
        <v>24133</v>
      </c>
      <c r="H3522" s="6" t="s">
        <v>24134</v>
      </c>
      <c r="K3522" s="5" t="s">
        <v>24129</v>
      </c>
    </row>
    <row r="3523">
      <c r="A3523" s="4">
        <v>45534.345717731485</v>
      </c>
      <c r="B3523" s="5" t="s">
        <v>34</v>
      </c>
      <c r="D3523" s="5" t="s">
        <v>9020</v>
      </c>
      <c r="E3523" s="5" t="s">
        <v>24137</v>
      </c>
      <c r="F3523" s="5" t="s">
        <v>375</v>
      </c>
      <c r="G3523" s="5" t="s">
        <v>24138</v>
      </c>
      <c r="H3523" s="6" t="s">
        <v>24139</v>
      </c>
      <c r="K3523" s="5" t="s">
        <v>24129</v>
      </c>
    </row>
    <row r="3524">
      <c r="A3524" s="4">
        <v>45534.34572565972</v>
      </c>
      <c r="B3524" s="5" t="s">
        <v>34</v>
      </c>
      <c r="D3524" s="5" t="s">
        <v>4775</v>
      </c>
      <c r="E3524" s="5" t="s">
        <v>24142</v>
      </c>
      <c r="F3524" s="5" t="s">
        <v>212</v>
      </c>
      <c r="G3524" s="5" t="s">
        <v>24143</v>
      </c>
      <c r="H3524" s="6" t="s">
        <v>24144</v>
      </c>
      <c r="K3524" s="5" t="s">
        <v>24129</v>
      </c>
    </row>
    <row r="3525">
      <c r="A3525" s="4">
        <v>45534.3457322801</v>
      </c>
      <c r="B3525" s="5" t="s">
        <v>34</v>
      </c>
      <c r="D3525" s="5" t="s">
        <v>4775</v>
      </c>
      <c r="E3525" s="5" t="s">
        <v>24147</v>
      </c>
      <c r="F3525" s="5" t="s">
        <v>37</v>
      </c>
      <c r="G3525" s="5" t="s">
        <v>24148</v>
      </c>
      <c r="H3525" s="6" t="s">
        <v>24149</v>
      </c>
      <c r="I3525" s="7" t="s">
        <v>24150</v>
      </c>
      <c r="J3525" s="8" t="str">
        <f>HYPERLINK("https://drive.google.com/file/d/1ooVZGZ8mXmP2Gt3gll2JxGJ4vOER8dLB/view?usp=drivesdk","BUDI PERMONO SERTIFIKAT BerAKHLAK")</f>
        <v>BUDI PERMONO SERTIFIKAT BerAKHLAK</v>
      </c>
      <c r="K3525" s="5" t="s">
        <v>23422</v>
      </c>
      <c r="L3525" s="5" t="s">
        <v>24151</v>
      </c>
    </row>
    <row r="3526">
      <c r="A3526" s="4">
        <v>45534.34573339121</v>
      </c>
      <c r="B3526" s="5" t="s">
        <v>34</v>
      </c>
      <c r="D3526" s="5" t="s">
        <v>1206</v>
      </c>
      <c r="E3526" s="5" t="s">
        <v>24155</v>
      </c>
      <c r="F3526" s="5" t="s">
        <v>37</v>
      </c>
      <c r="G3526" s="5" t="s">
        <v>24156</v>
      </c>
      <c r="H3526" s="6" t="s">
        <v>24157</v>
      </c>
      <c r="I3526" s="7" t="s">
        <v>24158</v>
      </c>
      <c r="J3526" s="8" t="str">
        <f>HYPERLINK("https://drive.google.com/file/d/1wkO9UzGW7FY7inLup0S_HTg7mWBNmt_5/view?usp=drivesdk","ETY YUNIASTUTIK SERTIFIKAT BerAKHLAK")</f>
        <v>ETY YUNIASTUTIK SERTIFIKAT BerAKHLAK</v>
      </c>
      <c r="K3526" s="5" t="s">
        <v>23422</v>
      </c>
      <c r="L3526" s="5" t="s">
        <v>24159</v>
      </c>
    </row>
    <row r="3527">
      <c r="A3527" s="4">
        <v>45534.34573598379</v>
      </c>
      <c r="B3527" s="5" t="s">
        <v>34</v>
      </c>
      <c r="D3527" s="5" t="s">
        <v>1206</v>
      </c>
      <c r="E3527" s="5" t="s">
        <v>24162</v>
      </c>
      <c r="F3527" s="5" t="s">
        <v>524</v>
      </c>
      <c r="G3527" s="5" t="s">
        <v>24163</v>
      </c>
      <c r="H3527" s="6" t="s">
        <v>24164</v>
      </c>
      <c r="I3527" s="7" t="s">
        <v>24165</v>
      </c>
      <c r="J3527" s="8" t="str">
        <f>HYPERLINK("https://drive.google.com/file/d/1Wu3XjyJ55yFINgeraylCx2JCjeLlVoGn/view?usp=drivesdk","SUPANI,SE SERTIFIKAT BerAKHLAK")</f>
        <v>SUPANI,SE SERTIFIKAT BerAKHLAK</v>
      </c>
      <c r="K3527" s="5" t="s">
        <v>23422</v>
      </c>
      <c r="L3527" s="5" t="s">
        <v>24166</v>
      </c>
    </row>
    <row r="3528">
      <c r="A3528" s="4">
        <v>45534.345745081024</v>
      </c>
      <c r="B3528" s="5" t="s">
        <v>34</v>
      </c>
      <c r="D3528" s="5" t="s">
        <v>1456</v>
      </c>
      <c r="E3528" s="5" t="s">
        <v>21753</v>
      </c>
      <c r="F3528" s="5" t="s">
        <v>212</v>
      </c>
      <c r="G3528" s="5" t="s">
        <v>24169</v>
      </c>
      <c r="H3528" s="6" t="s">
        <v>24170</v>
      </c>
      <c r="I3528" s="7" t="s">
        <v>24171</v>
      </c>
      <c r="J3528" s="8" t="str">
        <f>HYPERLINK("https://drive.google.com/file/d/1cCjFH2RfrCw2y3yfYj5aMcgZiBp2myFH/view?usp=drivesdk","SARI WIDIAWATI SERTIFIKAT BerAKHLAK")</f>
        <v>SARI WIDIAWATI SERTIFIKAT BerAKHLAK</v>
      </c>
      <c r="K3528" s="5" t="s">
        <v>23422</v>
      </c>
      <c r="L3528" s="5" t="s">
        <v>24172</v>
      </c>
    </row>
    <row r="3529">
      <c r="A3529" s="4">
        <v>45534.345748935186</v>
      </c>
      <c r="B3529" s="5" t="s">
        <v>34</v>
      </c>
      <c r="D3529" s="5" t="s">
        <v>6232</v>
      </c>
      <c r="E3529" s="5" t="s">
        <v>24175</v>
      </c>
      <c r="F3529" s="5" t="s">
        <v>108</v>
      </c>
      <c r="G3529" s="5" t="s">
        <v>24176</v>
      </c>
      <c r="H3529" s="6" t="s">
        <v>24177</v>
      </c>
      <c r="K3529" s="5" t="s">
        <v>24178</v>
      </c>
    </row>
    <row r="3530">
      <c r="A3530" s="4">
        <v>45534.345754560185</v>
      </c>
      <c r="B3530" s="5" t="s">
        <v>34</v>
      </c>
      <c r="D3530" s="5" t="s">
        <v>1206</v>
      </c>
      <c r="E3530" s="5" t="s">
        <v>16410</v>
      </c>
      <c r="F3530" s="5" t="s">
        <v>328</v>
      </c>
      <c r="G3530" s="5" t="s">
        <v>24182</v>
      </c>
      <c r="H3530" s="6" t="s">
        <v>24183</v>
      </c>
      <c r="K3530" s="5" t="s">
        <v>24178</v>
      </c>
    </row>
    <row r="3531">
      <c r="A3531" s="4">
        <v>45534.34575408565</v>
      </c>
      <c r="B3531" s="5" t="s">
        <v>34</v>
      </c>
      <c r="D3531" s="5" t="s">
        <v>35</v>
      </c>
      <c r="E3531" s="5" t="s">
        <v>24186</v>
      </c>
      <c r="F3531" s="5" t="s">
        <v>37</v>
      </c>
      <c r="G3531" s="5" t="s">
        <v>24187</v>
      </c>
      <c r="H3531" s="6" t="s">
        <v>24188</v>
      </c>
      <c r="K3531" s="5" t="s">
        <v>24178</v>
      </c>
    </row>
    <row r="3532">
      <c r="A3532" s="4">
        <v>45534.345755</v>
      </c>
      <c r="B3532" s="5" t="s">
        <v>34</v>
      </c>
      <c r="D3532" s="5" t="s">
        <v>1206</v>
      </c>
      <c r="E3532" s="5" t="s">
        <v>24191</v>
      </c>
      <c r="F3532" s="5" t="s">
        <v>37</v>
      </c>
      <c r="G3532" s="5" t="s">
        <v>24192</v>
      </c>
      <c r="H3532" s="6" t="s">
        <v>24193</v>
      </c>
      <c r="I3532" s="7" t="s">
        <v>24194</v>
      </c>
      <c r="J3532" s="8" t="str">
        <f>HYPERLINK("https://drive.google.com/file/d/1YQMSudcwYwvrVzlC81JVmtqIMtasYpME/view?usp=drivesdk","UMAR ALI SERTIFIKAT BerAKHLAK")</f>
        <v>UMAR ALI SERTIFIKAT BerAKHLAK</v>
      </c>
      <c r="K3532" s="5" t="s">
        <v>23422</v>
      </c>
      <c r="L3532" s="5" t="s">
        <v>24195</v>
      </c>
    </row>
    <row r="3533">
      <c r="A3533" s="4">
        <v>45534.34576292824</v>
      </c>
      <c r="B3533" s="5" t="s">
        <v>19</v>
      </c>
      <c r="C3533" s="5" t="s">
        <v>10418</v>
      </c>
      <c r="E3533" s="5" t="s">
        <v>24198</v>
      </c>
      <c r="F3533" s="5" t="s">
        <v>375</v>
      </c>
      <c r="G3533" s="5" t="s">
        <v>24199</v>
      </c>
      <c r="H3533" s="6" t="s">
        <v>24200</v>
      </c>
      <c r="I3533" s="7" t="s">
        <v>24201</v>
      </c>
      <c r="J3533" s="8" t="str">
        <f>HYPERLINK("https://drive.google.com/file/d/1GIlkdWvRS5SDdK7cODBbAmV_T4_s1Ed2/view?usp=drivesdk","RETNO TRI UTAMI, S. E.  SERTIFIKAT BerAKHLAK")</f>
        <v>RETNO TRI UTAMI, S. E.  SERTIFIKAT BerAKHLAK</v>
      </c>
      <c r="K3533" s="5" t="s">
        <v>23422</v>
      </c>
      <c r="L3533" s="5" t="s">
        <v>24202</v>
      </c>
    </row>
    <row r="3534">
      <c r="A3534" s="4">
        <v>45534.34576856482</v>
      </c>
      <c r="B3534" s="5" t="s">
        <v>34</v>
      </c>
      <c r="D3534" s="5" t="s">
        <v>9020</v>
      </c>
      <c r="E3534" s="5" t="s">
        <v>24205</v>
      </c>
      <c r="F3534" s="5" t="s">
        <v>715</v>
      </c>
      <c r="G3534" s="5" t="s">
        <v>24206</v>
      </c>
      <c r="H3534" s="6" t="s">
        <v>24207</v>
      </c>
      <c r="I3534" s="7" t="s">
        <v>24208</v>
      </c>
      <c r="J3534" s="8" t="str">
        <f>HYPERLINK("https://drive.google.com/file/d/1AQ_ciiDkNKxxtnryuc5EE_ONUT8U-cpj/view?usp=drivesdk","MUHAMMAD RIZKY ERNANDA, S.Kom SERTIFIKAT BerAKHLAK")</f>
        <v>MUHAMMAD RIZKY ERNANDA, S.Kom SERTIFIKAT BerAKHLAK</v>
      </c>
      <c r="K3534" s="5" t="s">
        <v>23422</v>
      </c>
      <c r="L3534" s="5" t="s">
        <v>24209</v>
      </c>
    </row>
    <row r="3535">
      <c r="A3535" s="4">
        <v>45534.345772719906</v>
      </c>
      <c r="B3535" s="5" t="s">
        <v>34</v>
      </c>
      <c r="D3535" s="5" t="s">
        <v>4775</v>
      </c>
      <c r="E3535" s="5" t="s">
        <v>24213</v>
      </c>
      <c r="F3535" s="5" t="s">
        <v>375</v>
      </c>
      <c r="G3535" s="5" t="s">
        <v>24214</v>
      </c>
      <c r="H3535" s="6" t="s">
        <v>24215</v>
      </c>
      <c r="I3535" s="7" t="s">
        <v>24216</v>
      </c>
      <c r="J3535" s="8" t="str">
        <f>HYPERLINK("https://drive.google.com/file/d/1XIP8AyZDDhs3cASFloVOvPBlDVjGopx0/view?usp=drivesdk","PANUWUN PRIO HUTOMO, S.Kom SERTIFIKAT BerAKHLAK")</f>
        <v>PANUWUN PRIO HUTOMO, S.Kom SERTIFIKAT BerAKHLAK</v>
      </c>
      <c r="K3535" s="5" t="s">
        <v>23422</v>
      </c>
      <c r="L3535" s="5" t="s">
        <v>24217</v>
      </c>
    </row>
    <row r="3536">
      <c r="A3536" s="4">
        <v>45534.34577984954</v>
      </c>
      <c r="B3536" s="5" t="s">
        <v>34</v>
      </c>
      <c r="D3536" s="5" t="s">
        <v>14424</v>
      </c>
      <c r="E3536" s="7" t="s">
        <v>24220</v>
      </c>
      <c r="F3536" s="5" t="s">
        <v>375</v>
      </c>
      <c r="G3536" s="5" t="s">
        <v>24221</v>
      </c>
      <c r="H3536" s="6" t="s">
        <v>24222</v>
      </c>
      <c r="I3536" s="7" t="s">
        <v>24223</v>
      </c>
      <c r="J3536" s="8" t="str">
        <f>HYPERLINK("https://drive.google.com/file/d/1fPjFJYZk0XNgKSrFTwtQBe2hMLJiXpJM/view?usp=drivesdk","YULISMAWATI.S.ST SERTIFIKAT BerAKHLAK")</f>
        <v>YULISMAWATI.S.ST SERTIFIKAT BerAKHLAK</v>
      </c>
      <c r="K3536" s="5" t="s">
        <v>24057</v>
      </c>
      <c r="L3536" s="5" t="s">
        <v>24224</v>
      </c>
    </row>
    <row r="3537">
      <c r="A3537" s="4">
        <v>45534.345795138885</v>
      </c>
      <c r="B3537" s="5" t="s">
        <v>34</v>
      </c>
      <c r="D3537" s="5" t="s">
        <v>35</v>
      </c>
      <c r="E3537" s="5" t="s">
        <v>24227</v>
      </c>
      <c r="F3537" s="5" t="s">
        <v>37</v>
      </c>
      <c r="G3537" s="5" t="s">
        <v>24228</v>
      </c>
      <c r="H3537" s="6" t="s">
        <v>24229</v>
      </c>
      <c r="I3537" s="7" t="s">
        <v>24230</v>
      </c>
      <c r="J3537" s="8" t="str">
        <f>HYPERLINK("https://drive.google.com/file/d/1OaNmPUoi_SVUIqiFlilFKEFd0fqTRFS_/view?usp=drivesdk","SOMA,SE SERTIFIKAT BerAKHLAK")</f>
        <v>SOMA,SE SERTIFIKAT BerAKHLAK</v>
      </c>
      <c r="K3537" s="5" t="s">
        <v>23422</v>
      </c>
      <c r="L3537" s="5" t="s">
        <v>24231</v>
      </c>
    </row>
    <row r="3538">
      <c r="A3538" s="4">
        <v>45534.34580144676</v>
      </c>
      <c r="B3538" s="5" t="s">
        <v>34</v>
      </c>
      <c r="D3538" s="5" t="s">
        <v>4775</v>
      </c>
      <c r="E3538" s="5" t="s">
        <v>24234</v>
      </c>
      <c r="F3538" s="5" t="s">
        <v>108</v>
      </c>
      <c r="G3538" s="5" t="s">
        <v>24235</v>
      </c>
      <c r="H3538" s="6" t="s">
        <v>24236</v>
      </c>
      <c r="I3538" s="7" t="s">
        <v>24237</v>
      </c>
      <c r="J3538" s="8" t="str">
        <f>HYPERLINK("https://drive.google.com/file/d/1GAN4PUNuBhk-0zLAeDfHGlgUo9QCs_Gd/view?usp=drivesdk","SEPIYANI SERTIFIKAT BerAKHLAK")</f>
        <v>SEPIYANI SERTIFIKAT BerAKHLAK</v>
      </c>
      <c r="K3538" s="5" t="s">
        <v>23422</v>
      </c>
      <c r="L3538" s="5" t="s">
        <v>24238</v>
      </c>
    </row>
    <row r="3539">
      <c r="A3539" s="4">
        <v>45534.34580369213</v>
      </c>
      <c r="B3539" s="5" t="s">
        <v>34</v>
      </c>
      <c r="D3539" s="5" t="s">
        <v>1206</v>
      </c>
      <c r="E3539" s="5" t="s">
        <v>24241</v>
      </c>
      <c r="F3539" s="5" t="s">
        <v>199</v>
      </c>
      <c r="G3539" s="5" t="s">
        <v>24242</v>
      </c>
      <c r="H3539" s="6" t="s">
        <v>24243</v>
      </c>
      <c r="I3539" s="7" t="s">
        <v>24244</v>
      </c>
      <c r="J3539" s="8" t="str">
        <f>HYPERLINK("https://drive.google.com/file/d/1VnyKElh4Fnd2WzfaP1gGP2lqeu8dZDCf/view?usp=drivesdk","PUPUT SETYO WAHYUNINGSIH SERTIFIKAT BerAKHLAK")</f>
        <v>PUPUT SETYO WAHYUNINGSIH SERTIFIKAT BerAKHLAK</v>
      </c>
      <c r="K3539" s="5" t="s">
        <v>23422</v>
      </c>
      <c r="L3539" s="5" t="s">
        <v>24245</v>
      </c>
    </row>
    <row r="3540">
      <c r="A3540" s="4">
        <v>45534.34581068287</v>
      </c>
      <c r="B3540" s="5" t="s">
        <v>34</v>
      </c>
      <c r="D3540" s="5" t="s">
        <v>1558</v>
      </c>
      <c r="E3540" s="5" t="s">
        <v>24249</v>
      </c>
      <c r="F3540" s="5" t="s">
        <v>37</v>
      </c>
      <c r="G3540" s="5" t="s">
        <v>24250</v>
      </c>
      <c r="H3540" s="6" t="s">
        <v>24251</v>
      </c>
      <c r="K3540" s="5" t="s">
        <v>24252</v>
      </c>
    </row>
    <row r="3541">
      <c r="A3541" s="4">
        <v>45534.345813645836</v>
      </c>
      <c r="B3541" s="5" t="s">
        <v>34</v>
      </c>
      <c r="D3541" s="5" t="s">
        <v>12978</v>
      </c>
      <c r="E3541" s="5" t="s">
        <v>24255</v>
      </c>
      <c r="F3541" s="5" t="s">
        <v>108</v>
      </c>
      <c r="G3541" s="5" t="s">
        <v>24256</v>
      </c>
      <c r="H3541" s="6" t="s">
        <v>24257</v>
      </c>
      <c r="K3541" s="5" t="s">
        <v>24252</v>
      </c>
    </row>
    <row r="3542">
      <c r="A3542" s="4">
        <v>45534.345814988425</v>
      </c>
      <c r="B3542" s="5" t="s">
        <v>34</v>
      </c>
      <c r="D3542" s="5" t="s">
        <v>3849</v>
      </c>
      <c r="E3542" s="5" t="s">
        <v>24260</v>
      </c>
      <c r="F3542" s="5" t="s">
        <v>212</v>
      </c>
      <c r="G3542" s="5" t="s">
        <v>24261</v>
      </c>
      <c r="H3542" s="6" t="s">
        <v>24262</v>
      </c>
      <c r="K3542" s="5" t="s">
        <v>24252</v>
      </c>
    </row>
    <row r="3543">
      <c r="A3543" s="4">
        <v>45534.34584064815</v>
      </c>
      <c r="B3543" s="5" t="s">
        <v>34</v>
      </c>
      <c r="D3543" s="5" t="s">
        <v>1456</v>
      </c>
      <c r="E3543" s="5" t="s">
        <v>24265</v>
      </c>
      <c r="F3543" s="5" t="s">
        <v>37</v>
      </c>
      <c r="G3543" s="5" t="s">
        <v>24266</v>
      </c>
      <c r="H3543" s="6" t="s">
        <v>24267</v>
      </c>
      <c r="I3543" s="7" t="s">
        <v>24268</v>
      </c>
      <c r="J3543" s="8" t="str">
        <f>HYPERLINK("https://drive.google.com/file/d/17oyI5L9gIfX2O3ijUKvc5xDik6gZ2czh/view?usp=drivesdk","YUNIDA WIDIATI SERTIFIKAT BerAKHLAK")</f>
        <v>YUNIDA WIDIATI SERTIFIKAT BerAKHLAK</v>
      </c>
      <c r="K3543" s="5" t="s">
        <v>23422</v>
      </c>
      <c r="L3543" s="5" t="s">
        <v>24269</v>
      </c>
    </row>
    <row r="3544">
      <c r="A3544" s="4">
        <v>45534.34584137732</v>
      </c>
      <c r="B3544" s="5" t="s">
        <v>34</v>
      </c>
      <c r="D3544" s="5" t="s">
        <v>4775</v>
      </c>
      <c r="E3544" s="5" t="s">
        <v>23090</v>
      </c>
      <c r="F3544" s="5" t="s">
        <v>212</v>
      </c>
      <c r="G3544" s="5" t="s">
        <v>24273</v>
      </c>
      <c r="H3544" s="6" t="s">
        <v>24274</v>
      </c>
      <c r="I3544" s="7" t="s">
        <v>24275</v>
      </c>
      <c r="J3544" s="8" t="str">
        <f>HYPERLINK("https://drive.google.com/file/d/1fI6FAJ-FdovTS1xteBxcC0cTwcm8dKIJ/view?usp=drivesdk","SUNARTI SERTIFIKAT BerAKHLAK")</f>
        <v>SUNARTI SERTIFIKAT BerAKHLAK</v>
      </c>
      <c r="K3544" s="5" t="s">
        <v>23422</v>
      </c>
      <c r="L3544" s="5" t="s">
        <v>24276</v>
      </c>
    </row>
    <row r="3545">
      <c r="A3545" s="4">
        <v>45534.345848576384</v>
      </c>
      <c r="B3545" s="5" t="s">
        <v>19</v>
      </c>
      <c r="C3545" s="5" t="s">
        <v>442</v>
      </c>
      <c r="E3545" s="5" t="s">
        <v>24279</v>
      </c>
      <c r="F3545" s="5" t="s">
        <v>72</v>
      </c>
      <c r="G3545" s="5" t="s">
        <v>24280</v>
      </c>
      <c r="H3545" s="6" t="s">
        <v>24281</v>
      </c>
      <c r="I3545" s="7" t="s">
        <v>24282</v>
      </c>
      <c r="J3545" s="8" t="str">
        <f>HYPERLINK("https://drive.google.com/file/d/1_XM_XneHxUbFbKQ3Rw2_wuDzlyapGzwP/view?usp=drivesdk","WAWAN RAHWAN,A.Md SERTIFIKAT BerAKHLAK")</f>
        <v>WAWAN RAHWAN,A.Md SERTIFIKAT BerAKHLAK</v>
      </c>
      <c r="K3545" s="5" t="s">
        <v>23422</v>
      </c>
      <c r="L3545" s="5" t="s">
        <v>24283</v>
      </c>
    </row>
    <row r="3546">
      <c r="A3546" s="4">
        <v>45534.34586828704</v>
      </c>
      <c r="B3546" s="5" t="s">
        <v>34</v>
      </c>
      <c r="D3546" s="5" t="s">
        <v>12978</v>
      </c>
      <c r="E3546" s="5" t="s">
        <v>24286</v>
      </c>
      <c r="F3546" s="5" t="s">
        <v>212</v>
      </c>
      <c r="G3546" s="5" t="s">
        <v>24287</v>
      </c>
      <c r="H3546" s="6" t="s">
        <v>24288</v>
      </c>
      <c r="I3546" s="7" t="s">
        <v>24289</v>
      </c>
      <c r="J3546" s="8" t="str">
        <f>HYPERLINK("https://drive.google.com/file/d/1K8-yMnkHH5QERM23hcL5BVxMzsWwu99j/view?usp=drivesdk","NENI DIANTI, S.E. SERTIFIKAT BerAKHLAK")</f>
        <v>NENI DIANTI, S.E. SERTIFIKAT BerAKHLAK</v>
      </c>
      <c r="K3546" s="5" t="s">
        <v>23422</v>
      </c>
      <c r="L3546" s="5" t="s">
        <v>24290</v>
      </c>
    </row>
    <row r="3547">
      <c r="A3547" s="4">
        <v>45534.34587356482</v>
      </c>
      <c r="B3547" s="5" t="s">
        <v>34</v>
      </c>
      <c r="D3547" s="5" t="s">
        <v>1206</v>
      </c>
      <c r="E3547" s="5" t="s">
        <v>24293</v>
      </c>
      <c r="F3547" s="5" t="s">
        <v>72</v>
      </c>
      <c r="G3547" s="5" t="s">
        <v>24294</v>
      </c>
      <c r="H3547" s="6" t="s">
        <v>24295</v>
      </c>
      <c r="K3547" s="5" t="s">
        <v>24296</v>
      </c>
    </row>
    <row r="3548">
      <c r="A3548" s="4">
        <v>45534.34588868056</v>
      </c>
      <c r="B3548" s="5" t="s">
        <v>34</v>
      </c>
      <c r="D3548" s="5" t="s">
        <v>12978</v>
      </c>
      <c r="E3548" s="5" t="s">
        <v>24300</v>
      </c>
      <c r="F3548" s="5" t="s">
        <v>72</v>
      </c>
      <c r="G3548" s="5" t="s">
        <v>24301</v>
      </c>
      <c r="H3548" s="6" t="s">
        <v>24302</v>
      </c>
      <c r="I3548" s="7" t="s">
        <v>24303</v>
      </c>
      <c r="J3548" s="8" t="str">
        <f>HYPERLINK("https://drive.google.com/file/d/1r1b2I43IFdjBe0jLN879pBFKhBJE35A1/view?usp=drivesdk","INA MELYATI.SKM SERTIFIKAT BerAKHLAK")</f>
        <v>INA MELYATI.SKM SERTIFIKAT BerAKHLAK</v>
      </c>
      <c r="K3548" s="5" t="s">
        <v>23422</v>
      </c>
      <c r="L3548" s="5" t="s">
        <v>24304</v>
      </c>
    </row>
    <row r="3549">
      <c r="A3549" s="4">
        <v>45534.34589524305</v>
      </c>
      <c r="B3549" s="5" t="s">
        <v>34</v>
      </c>
      <c r="D3549" s="5" t="s">
        <v>10444</v>
      </c>
      <c r="E3549" s="5" t="s">
        <v>24307</v>
      </c>
      <c r="F3549" s="5" t="s">
        <v>72</v>
      </c>
      <c r="G3549" s="5" t="s">
        <v>24308</v>
      </c>
      <c r="H3549" s="6" t="s">
        <v>24309</v>
      </c>
      <c r="I3549" s="7" t="s">
        <v>24310</v>
      </c>
      <c r="J3549" s="8" t="str">
        <f>HYPERLINK("https://drive.google.com/file/d/1SSM037jm1mESmGkBYykCWCpfqejhRJnm/view?usp=drivesdk","dr. RENI MASYITA SERTIFIKAT BerAKHLAK")</f>
        <v>dr. RENI MASYITA SERTIFIKAT BerAKHLAK</v>
      </c>
      <c r="K3549" s="5" t="s">
        <v>23422</v>
      </c>
      <c r="L3549" s="5" t="s">
        <v>24311</v>
      </c>
    </row>
    <row r="3550">
      <c r="A3550" s="4">
        <v>45534.345899374995</v>
      </c>
      <c r="B3550" s="5" t="s">
        <v>34</v>
      </c>
      <c r="D3550" s="5" t="s">
        <v>12978</v>
      </c>
      <c r="E3550" s="5" t="s">
        <v>24314</v>
      </c>
      <c r="F3550" s="5" t="s">
        <v>37</v>
      </c>
      <c r="G3550" s="5" t="s">
        <v>24315</v>
      </c>
      <c r="H3550" s="6" t="s">
        <v>24316</v>
      </c>
      <c r="K3550" s="5" t="s">
        <v>24317</v>
      </c>
    </row>
    <row r="3551">
      <c r="A3551" s="4">
        <v>45534.34590123843</v>
      </c>
      <c r="B3551" s="5" t="s">
        <v>34</v>
      </c>
      <c r="D3551" s="5" t="s">
        <v>280</v>
      </c>
      <c r="E3551" s="5" t="s">
        <v>24320</v>
      </c>
      <c r="F3551" s="5" t="s">
        <v>108</v>
      </c>
      <c r="G3551" s="5" t="s">
        <v>24321</v>
      </c>
      <c r="H3551" s="6" t="s">
        <v>24322</v>
      </c>
      <c r="K3551" s="5" t="s">
        <v>24317</v>
      </c>
    </row>
    <row r="3552">
      <c r="A3552" s="4">
        <v>45534.34590748843</v>
      </c>
      <c r="B3552" s="5" t="s">
        <v>34</v>
      </c>
      <c r="D3552" s="5" t="s">
        <v>10444</v>
      </c>
      <c r="E3552" s="5" t="s">
        <v>24326</v>
      </c>
      <c r="F3552" s="5" t="s">
        <v>37</v>
      </c>
      <c r="G3552" s="5" t="s">
        <v>24327</v>
      </c>
      <c r="H3552" s="6" t="s">
        <v>24328</v>
      </c>
      <c r="K3552" s="5" t="s">
        <v>24317</v>
      </c>
    </row>
    <row r="3553">
      <c r="A3553" s="4">
        <v>45534.345913321755</v>
      </c>
      <c r="B3553" s="5" t="s">
        <v>34</v>
      </c>
      <c r="D3553" s="5" t="s">
        <v>6232</v>
      </c>
      <c r="E3553" s="5" t="s">
        <v>24331</v>
      </c>
      <c r="F3553" s="5" t="s">
        <v>72</v>
      </c>
      <c r="G3553" s="5" t="s">
        <v>24332</v>
      </c>
      <c r="H3553" s="6" t="s">
        <v>24333</v>
      </c>
      <c r="I3553" s="7" t="s">
        <v>24334</v>
      </c>
      <c r="J3553" s="8" t="str">
        <f>HYPERLINK("https://drive.google.com/file/d/1kJLnUMoYixv2KcU2Ah2hazxqiJ_B3YX4/view?usp=drivesdk","dr. YUNI HASMITA SERTIFIKAT BerAKHLAK")</f>
        <v>dr. YUNI HASMITA SERTIFIKAT BerAKHLAK</v>
      </c>
      <c r="K3553" s="5" t="s">
        <v>23422</v>
      </c>
      <c r="L3553" s="5" t="s">
        <v>24335</v>
      </c>
    </row>
    <row r="3554">
      <c r="A3554" s="4">
        <v>45534.34591452546</v>
      </c>
      <c r="B3554" s="5" t="s">
        <v>34</v>
      </c>
      <c r="D3554" s="5" t="s">
        <v>701</v>
      </c>
      <c r="E3554" s="5" t="s">
        <v>24338</v>
      </c>
      <c r="F3554" s="5" t="s">
        <v>212</v>
      </c>
      <c r="G3554" s="5" t="s">
        <v>24339</v>
      </c>
      <c r="H3554" s="6" t="s">
        <v>24340</v>
      </c>
      <c r="I3554" s="7" t="s">
        <v>24341</v>
      </c>
      <c r="J3554" s="8" t="str">
        <f>HYPERLINK("https://drive.google.com/file/d/1ikXSZGiQjLWVK_RU-tOJwUbfZ7OqrS-t/view?usp=drivesdk","MISRAWATY SERTIFIKAT BerAKHLAK")</f>
        <v>MISRAWATY SERTIFIKAT BerAKHLAK</v>
      </c>
      <c r="K3554" s="5" t="s">
        <v>23422</v>
      </c>
      <c r="L3554" s="5" t="s">
        <v>24342</v>
      </c>
    </row>
    <row r="3555">
      <c r="A3555" s="4">
        <v>45534.34594017361</v>
      </c>
      <c r="B3555" s="5" t="s">
        <v>19</v>
      </c>
      <c r="C3555" s="5" t="s">
        <v>5564</v>
      </c>
      <c r="E3555" s="5" t="s">
        <v>24345</v>
      </c>
      <c r="F3555" s="5" t="s">
        <v>375</v>
      </c>
      <c r="G3555" s="5" t="s">
        <v>24346</v>
      </c>
      <c r="H3555" s="6" t="s">
        <v>24347</v>
      </c>
      <c r="I3555" s="7" t="s">
        <v>24348</v>
      </c>
      <c r="J3555" s="8" t="str">
        <f>HYPERLINK("https://drive.google.com/file/d/1kt1XPKcUu1JtjL6iHxB2c3ctMiPQJbqy/view?usp=drivesdk","ASIH SURANI SERTIFIKAT BerAKHLAK")</f>
        <v>ASIH SURANI SERTIFIKAT BerAKHLAK</v>
      </c>
      <c r="K3555" s="5" t="s">
        <v>23422</v>
      </c>
      <c r="L3555" s="5" t="s">
        <v>24349</v>
      </c>
    </row>
    <row r="3556">
      <c r="A3556" s="4">
        <v>45534.3459409375</v>
      </c>
      <c r="B3556" s="5" t="s">
        <v>34</v>
      </c>
      <c r="D3556" s="5" t="s">
        <v>9394</v>
      </c>
      <c r="E3556" s="5" t="s">
        <v>24352</v>
      </c>
      <c r="F3556" s="5" t="s">
        <v>375</v>
      </c>
      <c r="G3556" s="5" t="s">
        <v>24353</v>
      </c>
      <c r="H3556" s="6" t="s">
        <v>24354</v>
      </c>
      <c r="K3556" s="5" t="s">
        <v>24355</v>
      </c>
    </row>
    <row r="3557">
      <c r="A3557" s="4">
        <v>45534.34594370371</v>
      </c>
      <c r="B3557" s="5" t="s">
        <v>34</v>
      </c>
      <c r="D3557" s="5" t="s">
        <v>9020</v>
      </c>
      <c r="E3557" s="5" t="s">
        <v>24359</v>
      </c>
      <c r="F3557" s="5" t="s">
        <v>37</v>
      </c>
      <c r="G3557" s="5" t="s">
        <v>24360</v>
      </c>
      <c r="H3557" s="6" t="s">
        <v>24361</v>
      </c>
      <c r="K3557" s="5" t="s">
        <v>24355</v>
      </c>
    </row>
    <row r="3558">
      <c r="A3558" s="4">
        <v>45534.345959722225</v>
      </c>
      <c r="B3558" s="5" t="s">
        <v>34</v>
      </c>
      <c r="D3558" s="5" t="s">
        <v>2903</v>
      </c>
      <c r="E3558" s="5" t="s">
        <v>24364</v>
      </c>
      <c r="F3558" s="5" t="s">
        <v>37</v>
      </c>
      <c r="G3558" s="5" t="s">
        <v>24365</v>
      </c>
      <c r="H3558" s="6" t="s">
        <v>24366</v>
      </c>
      <c r="K3558" s="5" t="s">
        <v>24355</v>
      </c>
    </row>
    <row r="3559">
      <c r="A3559" s="4">
        <v>45534.34596716435</v>
      </c>
      <c r="B3559" s="5" t="s">
        <v>34</v>
      </c>
      <c r="D3559" s="5" t="s">
        <v>1206</v>
      </c>
      <c r="E3559" s="5" t="s">
        <v>24369</v>
      </c>
      <c r="F3559" s="5" t="s">
        <v>375</v>
      </c>
      <c r="G3559" s="5" t="s">
        <v>24370</v>
      </c>
      <c r="H3559" s="6" t="s">
        <v>24371</v>
      </c>
      <c r="K3559" s="5" t="s">
        <v>24355</v>
      </c>
    </row>
    <row r="3560">
      <c r="A3560" s="4">
        <v>45534.3459825</v>
      </c>
      <c r="B3560" s="5" t="s">
        <v>34</v>
      </c>
      <c r="D3560" s="5" t="s">
        <v>1206</v>
      </c>
      <c r="E3560" s="5" t="s">
        <v>24374</v>
      </c>
      <c r="F3560" s="5" t="s">
        <v>37</v>
      </c>
      <c r="G3560" s="5" t="s">
        <v>24375</v>
      </c>
      <c r="H3560" s="6" t="s">
        <v>24376</v>
      </c>
      <c r="I3560" s="7" t="s">
        <v>24377</v>
      </c>
      <c r="J3560" s="8" t="str">
        <f>HYPERLINK("https://drive.google.com/file/d/1VHSOxXVz-Y6hE2EGyh0f68h1Q5R6tSKW/view?usp=drivesdk","hARTIPAH SERTIFIKAT BerAKHLAK")</f>
        <v>hARTIPAH SERTIFIKAT BerAKHLAK</v>
      </c>
      <c r="K3560" s="5" t="s">
        <v>23422</v>
      </c>
      <c r="L3560" s="5" t="s">
        <v>24378</v>
      </c>
    </row>
    <row r="3561">
      <c r="A3561" s="4">
        <v>45534.345989016205</v>
      </c>
      <c r="B3561" s="5" t="s">
        <v>34</v>
      </c>
      <c r="D3561" s="5" t="s">
        <v>9020</v>
      </c>
      <c r="E3561" s="5" t="s">
        <v>24382</v>
      </c>
      <c r="F3561" s="5" t="s">
        <v>524</v>
      </c>
      <c r="G3561" s="5" t="s">
        <v>24383</v>
      </c>
      <c r="H3561" s="6" t="s">
        <v>24384</v>
      </c>
      <c r="K3561" s="5" t="s">
        <v>24385</v>
      </c>
    </row>
    <row r="3562">
      <c r="A3562" s="4">
        <v>45534.34599533565</v>
      </c>
      <c r="B3562" s="5" t="s">
        <v>34</v>
      </c>
      <c r="D3562" s="5" t="s">
        <v>4775</v>
      </c>
      <c r="E3562" s="5" t="s">
        <v>24388</v>
      </c>
      <c r="F3562" s="5" t="s">
        <v>212</v>
      </c>
      <c r="G3562" s="5" t="s">
        <v>24389</v>
      </c>
      <c r="H3562" s="6" t="s">
        <v>24390</v>
      </c>
      <c r="K3562" s="5" t="s">
        <v>24385</v>
      </c>
    </row>
    <row r="3563">
      <c r="A3563" s="4">
        <v>45534.345999074074</v>
      </c>
      <c r="B3563" s="5" t="s">
        <v>19</v>
      </c>
      <c r="C3563" s="5" t="s">
        <v>292</v>
      </c>
      <c r="E3563" s="5" t="s">
        <v>24393</v>
      </c>
      <c r="F3563" s="5" t="s">
        <v>715</v>
      </c>
      <c r="G3563" s="5" t="s">
        <v>24394</v>
      </c>
      <c r="H3563" s="6" t="s">
        <v>24395</v>
      </c>
      <c r="K3563" s="5" t="s">
        <v>24385</v>
      </c>
    </row>
    <row r="3564">
      <c r="A3564" s="4">
        <v>45534.34601166667</v>
      </c>
      <c r="B3564" s="5" t="s">
        <v>34</v>
      </c>
      <c r="D3564" s="5" t="s">
        <v>9394</v>
      </c>
      <c r="E3564" s="5" t="s">
        <v>24398</v>
      </c>
      <c r="F3564" s="5" t="s">
        <v>375</v>
      </c>
      <c r="G3564" s="5" t="s">
        <v>24399</v>
      </c>
      <c r="H3564" s="6" t="s">
        <v>24400</v>
      </c>
      <c r="K3564" s="5" t="s">
        <v>24385</v>
      </c>
    </row>
    <row r="3565">
      <c r="A3565" s="4">
        <v>45534.34601657407</v>
      </c>
      <c r="B3565" s="5" t="s">
        <v>34</v>
      </c>
      <c r="D3565" s="5" t="s">
        <v>35</v>
      </c>
      <c r="E3565" s="5" t="s">
        <v>24403</v>
      </c>
      <c r="F3565" s="5" t="s">
        <v>37</v>
      </c>
      <c r="G3565" s="5" t="s">
        <v>24404</v>
      </c>
      <c r="H3565" s="6" t="s">
        <v>24405</v>
      </c>
      <c r="K3565" s="5" t="s">
        <v>24406</v>
      </c>
    </row>
    <row r="3566">
      <c r="A3566" s="4">
        <v>45534.34603482639</v>
      </c>
      <c r="B3566" s="5" t="s">
        <v>19</v>
      </c>
      <c r="C3566" s="5" t="s">
        <v>466</v>
      </c>
      <c r="E3566" s="5" t="s">
        <v>24410</v>
      </c>
      <c r="F3566" s="5" t="s">
        <v>212</v>
      </c>
      <c r="G3566" s="5" t="s">
        <v>24411</v>
      </c>
      <c r="H3566" s="6" t="s">
        <v>24412</v>
      </c>
      <c r="K3566" s="5" t="s">
        <v>24406</v>
      </c>
    </row>
    <row r="3567">
      <c r="A3567" s="4">
        <v>45534.346036620365</v>
      </c>
      <c r="B3567" s="5" t="s">
        <v>34</v>
      </c>
      <c r="D3567" s="5" t="s">
        <v>35</v>
      </c>
      <c r="E3567" s="5" t="s">
        <v>24415</v>
      </c>
      <c r="F3567" s="5" t="s">
        <v>120</v>
      </c>
      <c r="G3567" s="5" t="s">
        <v>24416</v>
      </c>
      <c r="H3567" s="6" t="s">
        <v>24417</v>
      </c>
      <c r="K3567" s="5" t="s">
        <v>24406</v>
      </c>
    </row>
    <row r="3568">
      <c r="A3568" s="4">
        <v>45534.346038449075</v>
      </c>
      <c r="B3568" s="5" t="s">
        <v>34</v>
      </c>
      <c r="D3568" s="5" t="s">
        <v>12978</v>
      </c>
      <c r="E3568" s="5" t="s">
        <v>24420</v>
      </c>
      <c r="F3568" s="5" t="s">
        <v>212</v>
      </c>
      <c r="G3568" s="5" t="s">
        <v>24421</v>
      </c>
      <c r="H3568" s="6" t="s">
        <v>24422</v>
      </c>
      <c r="K3568" s="5" t="s">
        <v>24406</v>
      </c>
    </row>
    <row r="3569">
      <c r="A3569" s="4">
        <v>45534.34603861111</v>
      </c>
      <c r="B3569" s="5" t="s">
        <v>34</v>
      </c>
      <c r="D3569" s="5" t="s">
        <v>280</v>
      </c>
      <c r="E3569" s="5" t="s">
        <v>24426</v>
      </c>
      <c r="F3569" s="5" t="s">
        <v>72</v>
      </c>
      <c r="G3569" s="5" t="s">
        <v>24427</v>
      </c>
      <c r="H3569" s="6" t="s">
        <v>24428</v>
      </c>
      <c r="K3569" s="5" t="s">
        <v>24406</v>
      </c>
    </row>
    <row r="3570">
      <c r="A3570" s="4">
        <v>45534.3460440625</v>
      </c>
      <c r="B3570" s="5" t="s">
        <v>34</v>
      </c>
      <c r="D3570" s="5" t="s">
        <v>35</v>
      </c>
      <c r="E3570" s="5" t="s">
        <v>24431</v>
      </c>
      <c r="F3570" s="5" t="s">
        <v>108</v>
      </c>
      <c r="G3570" s="5" t="s">
        <v>24432</v>
      </c>
      <c r="H3570" s="6" t="s">
        <v>24433</v>
      </c>
      <c r="K3570" s="5" t="s">
        <v>24406</v>
      </c>
    </row>
    <row r="3571">
      <c r="A3571" s="4">
        <v>45534.34605247685</v>
      </c>
      <c r="B3571" s="5" t="s">
        <v>34</v>
      </c>
      <c r="D3571" s="5" t="s">
        <v>522</v>
      </c>
      <c r="E3571" s="5" t="s">
        <v>24436</v>
      </c>
      <c r="F3571" s="5" t="s">
        <v>375</v>
      </c>
      <c r="G3571" s="5" t="s">
        <v>24437</v>
      </c>
      <c r="H3571" s="6" t="s">
        <v>24438</v>
      </c>
      <c r="K3571" s="5" t="s">
        <v>24406</v>
      </c>
    </row>
    <row r="3572">
      <c r="A3572" s="4">
        <v>45534.34606542824</v>
      </c>
      <c r="B3572" s="5" t="s">
        <v>34</v>
      </c>
      <c r="D3572" s="5" t="s">
        <v>10444</v>
      </c>
      <c r="E3572" s="5" t="s">
        <v>24441</v>
      </c>
      <c r="F3572" s="5" t="s">
        <v>212</v>
      </c>
      <c r="G3572" s="5" t="s">
        <v>24442</v>
      </c>
      <c r="H3572" s="6" t="s">
        <v>24443</v>
      </c>
      <c r="K3572" s="5" t="s">
        <v>24406</v>
      </c>
    </row>
    <row r="3573">
      <c r="A3573" s="4">
        <v>45534.346067418985</v>
      </c>
      <c r="B3573" s="5" t="s">
        <v>34</v>
      </c>
      <c r="D3573" s="5" t="s">
        <v>9020</v>
      </c>
      <c r="E3573" s="5" t="s">
        <v>24447</v>
      </c>
      <c r="F3573" s="5" t="s">
        <v>212</v>
      </c>
      <c r="G3573" s="5" t="s">
        <v>24448</v>
      </c>
      <c r="H3573" s="6" t="s">
        <v>24449</v>
      </c>
      <c r="K3573" s="5" t="s">
        <v>24406</v>
      </c>
    </row>
    <row r="3574">
      <c r="A3574" s="4">
        <v>45534.34607542824</v>
      </c>
      <c r="B3574" s="5" t="s">
        <v>34</v>
      </c>
      <c r="D3574" s="5" t="s">
        <v>701</v>
      </c>
      <c r="E3574" s="5" t="s">
        <v>24452</v>
      </c>
      <c r="F3574" s="5" t="s">
        <v>212</v>
      </c>
      <c r="G3574" s="5" t="s">
        <v>24453</v>
      </c>
      <c r="H3574" s="6" t="s">
        <v>24454</v>
      </c>
      <c r="K3574" s="5" t="s">
        <v>24406</v>
      </c>
    </row>
    <row r="3575">
      <c r="A3575" s="4">
        <v>45534.34607586806</v>
      </c>
      <c r="B3575" s="5" t="s">
        <v>34</v>
      </c>
      <c r="D3575" s="5" t="s">
        <v>9020</v>
      </c>
      <c r="E3575" s="5" t="s">
        <v>24457</v>
      </c>
      <c r="F3575" s="5" t="s">
        <v>37</v>
      </c>
      <c r="G3575" s="5" t="s">
        <v>24458</v>
      </c>
      <c r="H3575" s="6" t="s">
        <v>24459</v>
      </c>
      <c r="K3575" s="5" t="s">
        <v>24406</v>
      </c>
    </row>
    <row r="3576">
      <c r="A3576" s="4">
        <v>45534.346081689815</v>
      </c>
      <c r="B3576" s="5" t="s">
        <v>34</v>
      </c>
      <c r="D3576" s="5" t="s">
        <v>35</v>
      </c>
      <c r="E3576" s="5" t="s">
        <v>24462</v>
      </c>
      <c r="F3576" s="5" t="s">
        <v>72</v>
      </c>
      <c r="G3576" s="5" t="s">
        <v>24463</v>
      </c>
      <c r="H3576" s="6" t="s">
        <v>24464</v>
      </c>
      <c r="K3576" s="5" t="s">
        <v>24406</v>
      </c>
    </row>
    <row r="3577">
      <c r="A3577" s="4">
        <v>45534.346078206014</v>
      </c>
      <c r="B3577" s="5" t="s">
        <v>34</v>
      </c>
      <c r="D3577" s="5" t="s">
        <v>1206</v>
      </c>
      <c r="E3577" s="5" t="s">
        <v>24467</v>
      </c>
      <c r="F3577" s="5" t="s">
        <v>375</v>
      </c>
      <c r="G3577" s="5" t="s">
        <v>24468</v>
      </c>
      <c r="H3577" s="6" t="s">
        <v>24469</v>
      </c>
      <c r="K3577" s="5" t="s">
        <v>24406</v>
      </c>
    </row>
    <row r="3578">
      <c r="A3578" s="4">
        <v>45534.34608329861</v>
      </c>
      <c r="B3578" s="5" t="s">
        <v>34</v>
      </c>
      <c r="D3578" s="5" t="s">
        <v>12978</v>
      </c>
      <c r="E3578" s="5" t="s">
        <v>24473</v>
      </c>
      <c r="F3578" s="5" t="s">
        <v>212</v>
      </c>
      <c r="G3578" s="5" t="s">
        <v>24474</v>
      </c>
      <c r="H3578" s="6" t="s">
        <v>24475</v>
      </c>
      <c r="K3578" s="5" t="s">
        <v>24406</v>
      </c>
    </row>
    <row r="3579">
      <c r="A3579" s="4">
        <v>45534.34609371528</v>
      </c>
      <c r="B3579" s="5" t="s">
        <v>19</v>
      </c>
      <c r="C3579" s="5" t="s">
        <v>3301</v>
      </c>
      <c r="E3579" s="5" t="s">
        <v>24478</v>
      </c>
      <c r="F3579" s="5" t="s">
        <v>120</v>
      </c>
      <c r="G3579" s="5" t="s">
        <v>24479</v>
      </c>
      <c r="H3579" s="6" t="s">
        <v>24480</v>
      </c>
      <c r="K3579" s="5" t="s">
        <v>24406</v>
      </c>
    </row>
    <row r="3580">
      <c r="A3580" s="4">
        <v>45534.34609423611</v>
      </c>
      <c r="B3580" s="5" t="s">
        <v>34</v>
      </c>
      <c r="D3580" s="5" t="s">
        <v>1206</v>
      </c>
      <c r="E3580" s="5" t="s">
        <v>24483</v>
      </c>
      <c r="F3580" s="5" t="s">
        <v>212</v>
      </c>
      <c r="G3580" s="5" t="s">
        <v>24484</v>
      </c>
      <c r="H3580" s="6" t="s">
        <v>24485</v>
      </c>
      <c r="K3580" s="5" t="s">
        <v>24406</v>
      </c>
    </row>
    <row r="3581">
      <c r="A3581" s="4">
        <v>45534.34610768518</v>
      </c>
      <c r="B3581" s="5" t="s">
        <v>34</v>
      </c>
      <c r="D3581" s="5" t="s">
        <v>12978</v>
      </c>
      <c r="E3581" s="5" t="s">
        <v>24488</v>
      </c>
      <c r="F3581" s="5" t="s">
        <v>715</v>
      </c>
      <c r="G3581" s="5" t="s">
        <v>24489</v>
      </c>
      <c r="H3581" s="6" t="s">
        <v>24490</v>
      </c>
      <c r="K3581" s="5" t="s">
        <v>24406</v>
      </c>
    </row>
    <row r="3582">
      <c r="A3582" s="4">
        <v>45534.34610969907</v>
      </c>
      <c r="B3582" s="5" t="s">
        <v>34</v>
      </c>
      <c r="D3582" s="5" t="s">
        <v>35</v>
      </c>
      <c r="E3582" s="5" t="s">
        <v>24494</v>
      </c>
      <c r="F3582" s="5" t="s">
        <v>328</v>
      </c>
      <c r="G3582" s="5" t="s">
        <v>24495</v>
      </c>
      <c r="H3582" s="6" t="s">
        <v>24496</v>
      </c>
      <c r="K3582" s="5" t="s">
        <v>24406</v>
      </c>
    </row>
    <row r="3583">
      <c r="A3583" s="4">
        <v>45534.3461183912</v>
      </c>
      <c r="B3583" s="5" t="s">
        <v>34</v>
      </c>
      <c r="D3583" s="5" t="s">
        <v>1206</v>
      </c>
      <c r="E3583" s="5" t="s">
        <v>24499</v>
      </c>
      <c r="F3583" s="5" t="s">
        <v>199</v>
      </c>
      <c r="G3583" s="5" t="s">
        <v>24500</v>
      </c>
      <c r="H3583" s="6" t="s">
        <v>24501</v>
      </c>
      <c r="K3583" s="5" t="s">
        <v>24502</v>
      </c>
    </row>
    <row r="3584">
      <c r="A3584" s="4">
        <v>45534.34612069445</v>
      </c>
      <c r="B3584" s="5" t="s">
        <v>34</v>
      </c>
      <c r="D3584" s="5" t="s">
        <v>267</v>
      </c>
      <c r="E3584" s="5" t="s">
        <v>24505</v>
      </c>
      <c r="F3584" s="5" t="s">
        <v>212</v>
      </c>
      <c r="G3584" s="5" t="s">
        <v>24506</v>
      </c>
      <c r="H3584" s="6" t="s">
        <v>24507</v>
      </c>
      <c r="K3584" s="5" t="s">
        <v>24502</v>
      </c>
    </row>
    <row r="3585">
      <c r="A3585" s="4">
        <v>45534.34612310185</v>
      </c>
      <c r="B3585" s="5" t="s">
        <v>34</v>
      </c>
      <c r="D3585" s="5" t="s">
        <v>580</v>
      </c>
      <c r="E3585" s="5" t="s">
        <v>24510</v>
      </c>
      <c r="F3585" s="5" t="s">
        <v>108</v>
      </c>
      <c r="G3585" s="5" t="s">
        <v>24511</v>
      </c>
      <c r="H3585" s="6" t="s">
        <v>24512</v>
      </c>
      <c r="K3585" s="5" t="s">
        <v>24502</v>
      </c>
    </row>
    <row r="3586">
      <c r="A3586" s="4">
        <v>45534.34615211806</v>
      </c>
      <c r="B3586" s="5" t="s">
        <v>34</v>
      </c>
      <c r="D3586" s="5" t="s">
        <v>35</v>
      </c>
      <c r="E3586" s="5" t="s">
        <v>24516</v>
      </c>
      <c r="F3586" s="5" t="s">
        <v>37</v>
      </c>
      <c r="G3586" s="5" t="s">
        <v>24517</v>
      </c>
      <c r="H3586" s="6" t="s">
        <v>24518</v>
      </c>
      <c r="K3586" s="5" t="s">
        <v>24519</v>
      </c>
    </row>
    <row r="3587">
      <c r="A3587" s="4">
        <v>45534.34617105324</v>
      </c>
      <c r="B3587" s="5" t="s">
        <v>34</v>
      </c>
      <c r="D3587" s="5" t="s">
        <v>1206</v>
      </c>
      <c r="E3587" s="5" t="s">
        <v>24522</v>
      </c>
      <c r="F3587" s="5" t="s">
        <v>72</v>
      </c>
      <c r="G3587" s="5" t="s">
        <v>24523</v>
      </c>
      <c r="H3587" s="6" t="s">
        <v>24524</v>
      </c>
      <c r="K3587" s="5" t="s">
        <v>24525</v>
      </c>
    </row>
    <row r="3588">
      <c r="A3588" s="4">
        <v>45534.34617300926</v>
      </c>
      <c r="B3588" s="5" t="s">
        <v>19</v>
      </c>
      <c r="C3588" s="5" t="s">
        <v>3301</v>
      </c>
      <c r="E3588" s="5" t="s">
        <v>24528</v>
      </c>
      <c r="F3588" s="5" t="s">
        <v>108</v>
      </c>
      <c r="G3588" s="5" t="s">
        <v>24529</v>
      </c>
      <c r="H3588" s="6" t="s">
        <v>24530</v>
      </c>
      <c r="K3588" s="5" t="s">
        <v>24525</v>
      </c>
    </row>
    <row r="3589">
      <c r="A3589" s="4">
        <v>45534.346174583334</v>
      </c>
      <c r="B3589" s="5" t="s">
        <v>34</v>
      </c>
      <c r="D3589" s="5" t="s">
        <v>35</v>
      </c>
      <c r="E3589" s="5" t="s">
        <v>24533</v>
      </c>
      <c r="F3589" s="5" t="s">
        <v>524</v>
      </c>
      <c r="G3589" s="5" t="s">
        <v>24534</v>
      </c>
      <c r="H3589" s="6" t="s">
        <v>24535</v>
      </c>
      <c r="K3589" s="5" t="s">
        <v>24525</v>
      </c>
    </row>
    <row r="3590">
      <c r="A3590" s="4">
        <v>45534.34618383102</v>
      </c>
      <c r="B3590" s="5" t="s">
        <v>34</v>
      </c>
      <c r="D3590" s="5" t="s">
        <v>701</v>
      </c>
      <c r="E3590" s="5" t="s">
        <v>24538</v>
      </c>
      <c r="F3590" s="5" t="s">
        <v>37</v>
      </c>
      <c r="G3590" s="5" t="s">
        <v>24539</v>
      </c>
      <c r="H3590" s="6" t="s">
        <v>24540</v>
      </c>
      <c r="K3590" s="5" t="s">
        <v>24541</v>
      </c>
    </row>
    <row r="3591">
      <c r="A3591" s="4">
        <v>45534.346185497685</v>
      </c>
      <c r="B3591" s="5" t="s">
        <v>34</v>
      </c>
      <c r="D3591" s="5" t="s">
        <v>1456</v>
      </c>
      <c r="E3591" s="5" t="s">
        <v>24545</v>
      </c>
      <c r="F3591" s="5" t="s">
        <v>37</v>
      </c>
      <c r="G3591" s="5" t="s">
        <v>24546</v>
      </c>
      <c r="H3591" s="6" t="s">
        <v>24547</v>
      </c>
      <c r="K3591" s="5" t="s">
        <v>24541</v>
      </c>
    </row>
    <row r="3592">
      <c r="A3592" s="4">
        <v>45534.346185532406</v>
      </c>
      <c r="B3592" s="5" t="s">
        <v>34</v>
      </c>
      <c r="D3592" s="5" t="s">
        <v>4775</v>
      </c>
      <c r="E3592" s="5" t="s">
        <v>24550</v>
      </c>
      <c r="F3592" s="5" t="s">
        <v>37</v>
      </c>
      <c r="G3592" s="5" t="s">
        <v>24551</v>
      </c>
      <c r="H3592" s="6" t="s">
        <v>24552</v>
      </c>
      <c r="K3592" s="5" t="s">
        <v>24541</v>
      </c>
    </row>
    <row r="3593">
      <c r="A3593" s="4">
        <v>45534.34618635417</v>
      </c>
      <c r="B3593" s="5" t="s">
        <v>34</v>
      </c>
      <c r="D3593" s="5" t="s">
        <v>12978</v>
      </c>
      <c r="E3593" s="5" t="s">
        <v>24555</v>
      </c>
      <c r="F3593" s="5" t="s">
        <v>375</v>
      </c>
      <c r="G3593" s="5" t="s">
        <v>24556</v>
      </c>
      <c r="H3593" s="6" t="s">
        <v>24557</v>
      </c>
      <c r="K3593" s="5" t="s">
        <v>24541</v>
      </c>
    </row>
    <row r="3594">
      <c r="A3594" s="4">
        <v>45534.34619758102</v>
      </c>
      <c r="B3594" s="5" t="s">
        <v>34</v>
      </c>
      <c r="D3594" s="5" t="s">
        <v>1206</v>
      </c>
      <c r="E3594" s="5" t="s">
        <v>24560</v>
      </c>
      <c r="F3594" s="5" t="s">
        <v>37</v>
      </c>
      <c r="G3594" s="5" t="s">
        <v>24561</v>
      </c>
      <c r="H3594" s="6" t="s">
        <v>24562</v>
      </c>
      <c r="K3594" s="5" t="s">
        <v>24541</v>
      </c>
    </row>
    <row r="3595">
      <c r="A3595" s="4">
        <v>45534.34619969907</v>
      </c>
      <c r="B3595" s="5" t="s">
        <v>34</v>
      </c>
      <c r="D3595" s="5" t="s">
        <v>1206</v>
      </c>
      <c r="E3595" s="5" t="s">
        <v>24566</v>
      </c>
      <c r="F3595" s="5" t="s">
        <v>108</v>
      </c>
      <c r="G3595" s="5" t="s">
        <v>24567</v>
      </c>
      <c r="H3595" s="6" t="s">
        <v>24568</v>
      </c>
      <c r="K3595" s="5" t="s">
        <v>24541</v>
      </c>
    </row>
    <row r="3596">
      <c r="A3596" s="4">
        <v>45534.346230509254</v>
      </c>
      <c r="B3596" s="5" t="s">
        <v>34</v>
      </c>
      <c r="D3596" s="5" t="s">
        <v>267</v>
      </c>
      <c r="E3596" s="5" t="s">
        <v>24571</v>
      </c>
      <c r="F3596" s="5" t="s">
        <v>72</v>
      </c>
      <c r="G3596" s="5" t="s">
        <v>24572</v>
      </c>
      <c r="H3596" s="6" t="s">
        <v>24573</v>
      </c>
      <c r="K3596" s="5" t="s">
        <v>24574</v>
      </c>
    </row>
    <row r="3597">
      <c r="A3597" s="4">
        <v>45534.346248125</v>
      </c>
      <c r="B3597" s="5" t="s">
        <v>34</v>
      </c>
      <c r="D3597" s="5" t="s">
        <v>701</v>
      </c>
      <c r="E3597" s="5" t="s">
        <v>24577</v>
      </c>
      <c r="F3597" s="5" t="s">
        <v>37</v>
      </c>
      <c r="G3597" s="5" t="s">
        <v>24578</v>
      </c>
      <c r="H3597" s="6" t="s">
        <v>24579</v>
      </c>
      <c r="K3597" s="5" t="s">
        <v>24574</v>
      </c>
    </row>
    <row r="3598">
      <c r="A3598" s="4">
        <v>45534.34626752315</v>
      </c>
      <c r="B3598" s="5" t="s">
        <v>34</v>
      </c>
      <c r="D3598" s="5" t="s">
        <v>1206</v>
      </c>
      <c r="E3598" s="5" t="s">
        <v>24582</v>
      </c>
      <c r="F3598" s="5" t="s">
        <v>37</v>
      </c>
      <c r="G3598" s="5" t="s">
        <v>24583</v>
      </c>
      <c r="H3598" s="6" t="s">
        <v>24584</v>
      </c>
      <c r="K3598" s="5" t="s">
        <v>24574</v>
      </c>
    </row>
    <row r="3599">
      <c r="A3599" s="4">
        <v>45534.34628005787</v>
      </c>
      <c r="B3599" s="5" t="s">
        <v>34</v>
      </c>
      <c r="D3599" s="5" t="s">
        <v>996</v>
      </c>
      <c r="E3599" s="5" t="s">
        <v>24588</v>
      </c>
      <c r="F3599" s="5" t="s">
        <v>212</v>
      </c>
      <c r="G3599" s="5" t="s">
        <v>24589</v>
      </c>
      <c r="H3599" s="6" t="s">
        <v>24590</v>
      </c>
      <c r="I3599" s="7" t="s">
        <v>24591</v>
      </c>
      <c r="J3599" s="8" t="str">
        <f>HYPERLINK("https://drive.google.com/file/d/1BuMHPdLIX-cEYMGvyKOY-l64ikPG56rq/view?usp=drivesdk","SUMARLIK SERTIFIKAT BerAKHLAK")</f>
        <v>SUMARLIK SERTIFIKAT BerAKHLAK</v>
      </c>
      <c r="K3599" s="5" t="s">
        <v>23422</v>
      </c>
      <c r="L3599" s="5" t="s">
        <v>24592</v>
      </c>
    </row>
    <row r="3600">
      <c r="A3600" s="4">
        <v>45534.346285127314</v>
      </c>
      <c r="B3600" s="5" t="s">
        <v>34</v>
      </c>
      <c r="D3600" s="5" t="s">
        <v>35</v>
      </c>
      <c r="E3600" s="5" t="s">
        <v>24595</v>
      </c>
      <c r="F3600" s="5" t="s">
        <v>212</v>
      </c>
      <c r="G3600" s="5" t="s">
        <v>24596</v>
      </c>
      <c r="H3600" s="6" t="s">
        <v>24597</v>
      </c>
      <c r="I3600" s="7" t="s">
        <v>24598</v>
      </c>
      <c r="J3600" s="8" t="str">
        <f>HYPERLINK("https://drive.google.com/file/d/1qlZ77zLfYV08d5ATgoETBQtKV-czrFeE/view?usp=drivesdk","DEWI SUSILOWATI SERTIFIKAT BerAKHLAK")</f>
        <v>DEWI SUSILOWATI SERTIFIKAT BerAKHLAK</v>
      </c>
      <c r="K3600" s="5" t="s">
        <v>24057</v>
      </c>
      <c r="L3600" s="5" t="s">
        <v>24599</v>
      </c>
    </row>
    <row r="3601">
      <c r="A3601" s="4">
        <v>45534.346287465276</v>
      </c>
      <c r="B3601" s="5" t="s">
        <v>34</v>
      </c>
      <c r="D3601" s="5" t="s">
        <v>1206</v>
      </c>
      <c r="E3601" s="5" t="s">
        <v>24602</v>
      </c>
      <c r="F3601" s="5" t="s">
        <v>108</v>
      </c>
      <c r="G3601" s="5" t="s">
        <v>24603</v>
      </c>
      <c r="H3601" s="6" t="s">
        <v>24604</v>
      </c>
      <c r="I3601" s="7" t="s">
        <v>24605</v>
      </c>
      <c r="J3601" s="8" t="str">
        <f>HYPERLINK("https://drive.google.com/file/d/1SEbQC66mTHK45A7FWju3UPaj7sWyUIxF/view?usp=drivesdk","ANDRI DIANASARI, S.Kep.Ners SERTIFIKAT BerAKHLAK")</f>
        <v>ANDRI DIANASARI, S.Kep.Ners SERTIFIKAT BerAKHLAK</v>
      </c>
      <c r="K3601" s="5" t="s">
        <v>24057</v>
      </c>
      <c r="L3601" s="5" t="s">
        <v>24606</v>
      </c>
    </row>
    <row r="3602">
      <c r="A3602" s="4">
        <v>45534.34630430555</v>
      </c>
      <c r="B3602" s="5" t="s">
        <v>34</v>
      </c>
      <c r="D3602" s="5" t="s">
        <v>35</v>
      </c>
      <c r="E3602" s="5" t="s">
        <v>24609</v>
      </c>
      <c r="F3602" s="5" t="s">
        <v>37</v>
      </c>
      <c r="G3602" s="5" t="s">
        <v>24610</v>
      </c>
      <c r="H3602" s="6" t="s">
        <v>24611</v>
      </c>
      <c r="I3602" s="7" t="s">
        <v>24612</v>
      </c>
      <c r="J3602" s="8" t="str">
        <f>HYPERLINK("https://drive.google.com/file/d/1DAlmLMWGqjtfuO8oRi-6SGev1t7EX6Do/view?usp=drivesdk","SOFYAN HARIS SERTIFIKAT BerAKHLAK")</f>
        <v>SOFYAN HARIS SERTIFIKAT BerAKHLAK</v>
      </c>
      <c r="K3602" s="5" t="s">
        <v>24057</v>
      </c>
      <c r="L3602" s="5" t="s">
        <v>24613</v>
      </c>
    </row>
    <row r="3603">
      <c r="A3603" s="4">
        <v>45534.34630903935</v>
      </c>
      <c r="B3603" s="5" t="s">
        <v>34</v>
      </c>
      <c r="D3603" s="5" t="s">
        <v>1558</v>
      </c>
      <c r="E3603" s="5" t="s">
        <v>24617</v>
      </c>
      <c r="F3603" s="5" t="s">
        <v>375</v>
      </c>
      <c r="G3603" s="5" t="s">
        <v>24618</v>
      </c>
      <c r="H3603" s="6" t="s">
        <v>24619</v>
      </c>
      <c r="I3603" s="7" t="s">
        <v>24620</v>
      </c>
      <c r="J3603" s="8" t="str">
        <f>HYPERLINK("https://drive.google.com/file/d/1VNIrvR5lOVhIT4EjgJFOalhN61DGnGlF/view?usp=drivesdk","WORONINGROEM FATMASARI, S.Psi SERTIFIKAT BerAKHLAK")</f>
        <v>WORONINGROEM FATMASARI, S.Psi SERTIFIKAT BerAKHLAK</v>
      </c>
      <c r="K3603" s="5" t="s">
        <v>24057</v>
      </c>
      <c r="L3603" s="5" t="s">
        <v>24621</v>
      </c>
    </row>
    <row r="3604">
      <c r="A3604" s="4">
        <v>45534.3463093287</v>
      </c>
      <c r="B3604" s="5" t="s">
        <v>34</v>
      </c>
      <c r="D3604" s="5" t="s">
        <v>9020</v>
      </c>
      <c r="E3604" s="5" t="s">
        <v>24624</v>
      </c>
      <c r="F3604" s="5" t="s">
        <v>37</v>
      </c>
      <c r="G3604" s="5" t="s">
        <v>24625</v>
      </c>
      <c r="H3604" s="6" t="s">
        <v>24626</v>
      </c>
      <c r="K3604" s="5" t="s">
        <v>24627</v>
      </c>
    </row>
    <row r="3605">
      <c r="A3605" s="4">
        <v>45534.34631317129</v>
      </c>
      <c r="B3605" s="5" t="s">
        <v>34</v>
      </c>
      <c r="D3605" s="5" t="s">
        <v>1206</v>
      </c>
      <c r="E3605" s="5" t="s">
        <v>24630</v>
      </c>
      <c r="F3605" s="5" t="s">
        <v>212</v>
      </c>
      <c r="G3605" s="5" t="s">
        <v>24631</v>
      </c>
      <c r="H3605" s="6" t="s">
        <v>24632</v>
      </c>
      <c r="K3605" s="5" t="s">
        <v>24627</v>
      </c>
    </row>
    <row r="3606">
      <c r="A3606" s="4">
        <v>45534.34631504629</v>
      </c>
      <c r="B3606" s="5" t="s">
        <v>34</v>
      </c>
      <c r="D3606" s="5" t="s">
        <v>1206</v>
      </c>
      <c r="E3606" s="5" t="s">
        <v>19744</v>
      </c>
      <c r="F3606" s="5" t="s">
        <v>37</v>
      </c>
      <c r="G3606" s="5" t="s">
        <v>24635</v>
      </c>
      <c r="H3606" s="6" t="s">
        <v>24636</v>
      </c>
      <c r="K3606" s="5" t="s">
        <v>24627</v>
      </c>
    </row>
    <row r="3607">
      <c r="A3607" s="4">
        <v>45534.346334201386</v>
      </c>
      <c r="B3607" s="5" t="s">
        <v>34</v>
      </c>
      <c r="D3607" s="5" t="s">
        <v>9394</v>
      </c>
      <c r="E3607" s="5" t="s">
        <v>24639</v>
      </c>
      <c r="F3607" s="5" t="s">
        <v>37</v>
      </c>
      <c r="G3607" s="5" t="s">
        <v>24640</v>
      </c>
      <c r="H3607" s="6" t="s">
        <v>24641</v>
      </c>
      <c r="K3607" s="5" t="s">
        <v>24627</v>
      </c>
    </row>
    <row r="3608">
      <c r="A3608" s="4">
        <v>45534.34635212963</v>
      </c>
      <c r="B3608" s="5" t="s">
        <v>34</v>
      </c>
      <c r="D3608" s="5" t="s">
        <v>1768</v>
      </c>
      <c r="E3608" s="5" t="s">
        <v>24645</v>
      </c>
      <c r="F3608" s="5" t="s">
        <v>37</v>
      </c>
      <c r="G3608" s="5" t="s">
        <v>24646</v>
      </c>
      <c r="H3608" s="6" t="s">
        <v>24647</v>
      </c>
      <c r="I3608" s="7" t="s">
        <v>24648</v>
      </c>
      <c r="J3608" s="8" t="str">
        <f>HYPERLINK("https://drive.google.com/file/d/1dtILI4zsMjhJ9XClfQGMBHNGJI2a8bmY/view?usp=drivesdk","MAHMUDAH  SERTIFIKAT BerAKHLAK")</f>
        <v>MAHMUDAH  SERTIFIKAT BerAKHLAK</v>
      </c>
      <c r="K3608" s="5" t="s">
        <v>24057</v>
      </c>
      <c r="L3608" s="5" t="s">
        <v>24649</v>
      </c>
    </row>
    <row r="3609">
      <c r="A3609" s="4">
        <v>45534.346360868054</v>
      </c>
      <c r="B3609" s="5" t="s">
        <v>34</v>
      </c>
      <c r="D3609" s="5" t="s">
        <v>7858</v>
      </c>
      <c r="E3609" s="5" t="s">
        <v>24652</v>
      </c>
      <c r="F3609" s="5" t="s">
        <v>22</v>
      </c>
      <c r="G3609" s="5" t="s">
        <v>24653</v>
      </c>
      <c r="H3609" s="6" t="s">
        <v>24654</v>
      </c>
      <c r="I3609" s="7" t="s">
        <v>24655</v>
      </c>
      <c r="J3609" s="8" t="str">
        <f>HYPERLINK("https://drive.google.com/file/d/1BReSeNtiC7UM3yK58Tf4wKECzLZCJbzP/view?usp=drivesdk","dr. Donald Rinaldi Kusumaningrat, Sp.FM, MHKes SERTIFIKAT BerAKHLAK")</f>
        <v>dr. Donald Rinaldi Kusumaningrat, Sp.FM, MHKes SERTIFIKAT BerAKHLAK</v>
      </c>
      <c r="K3609" s="5" t="s">
        <v>24057</v>
      </c>
      <c r="L3609" s="5" t="s">
        <v>24656</v>
      </c>
    </row>
    <row r="3610">
      <c r="A3610" s="4">
        <v>45534.3463624537</v>
      </c>
      <c r="B3610" s="5" t="s">
        <v>34</v>
      </c>
      <c r="D3610" s="5" t="s">
        <v>10444</v>
      </c>
      <c r="E3610" s="5" t="s">
        <v>24659</v>
      </c>
      <c r="F3610" s="5" t="s">
        <v>375</v>
      </c>
      <c r="G3610" s="5" t="s">
        <v>24660</v>
      </c>
      <c r="H3610" s="6" t="s">
        <v>24661</v>
      </c>
      <c r="I3610" s="7" t="s">
        <v>24662</v>
      </c>
      <c r="J3610" s="8" t="str">
        <f>HYPERLINK("https://drive.google.com/file/d/1fSZxZ0MNvsKJunKUC36Leyt8ZrCSyNs6/view?usp=drivesdk","SUGIJANTO SERTIFIKAT BerAKHLAK")</f>
        <v>SUGIJANTO SERTIFIKAT BerAKHLAK</v>
      </c>
      <c r="K3610" s="5" t="s">
        <v>24057</v>
      </c>
      <c r="L3610" s="5" t="s">
        <v>24663</v>
      </c>
    </row>
    <row r="3611">
      <c r="A3611" s="4">
        <v>45534.346366134254</v>
      </c>
      <c r="B3611" s="5" t="s">
        <v>19</v>
      </c>
      <c r="C3611" s="5" t="s">
        <v>11593</v>
      </c>
      <c r="E3611" s="5" t="s">
        <v>24666</v>
      </c>
      <c r="F3611" s="5" t="s">
        <v>120</v>
      </c>
      <c r="G3611" s="5" t="s">
        <v>24667</v>
      </c>
      <c r="H3611" s="6" t="s">
        <v>24668</v>
      </c>
      <c r="K3611" s="5" t="s">
        <v>24669</v>
      </c>
    </row>
    <row r="3612">
      <c r="A3612" s="4">
        <v>45534.34637912037</v>
      </c>
      <c r="B3612" s="5" t="s">
        <v>34</v>
      </c>
      <c r="D3612" s="5" t="s">
        <v>1558</v>
      </c>
      <c r="E3612" s="5" t="s">
        <v>24673</v>
      </c>
      <c r="F3612" s="5" t="s">
        <v>108</v>
      </c>
      <c r="G3612" s="5" t="s">
        <v>24674</v>
      </c>
      <c r="H3612" s="6" t="s">
        <v>24675</v>
      </c>
      <c r="K3612" s="5" t="s">
        <v>24669</v>
      </c>
    </row>
    <row r="3613">
      <c r="A3613" s="4">
        <v>45534.34638768519</v>
      </c>
      <c r="B3613" s="5" t="s">
        <v>34</v>
      </c>
      <c r="D3613" s="5" t="s">
        <v>701</v>
      </c>
      <c r="E3613" s="5" t="s">
        <v>24678</v>
      </c>
      <c r="F3613" s="5" t="s">
        <v>212</v>
      </c>
      <c r="G3613" s="5" t="s">
        <v>24679</v>
      </c>
      <c r="H3613" s="6" t="s">
        <v>24680</v>
      </c>
      <c r="I3613" s="7" t="s">
        <v>24681</v>
      </c>
      <c r="J3613" s="8" t="str">
        <f>HYPERLINK("https://drive.google.com/file/d/1KT4BK2REMtlzUedD5VwySKS2mUw0wOvy/view?usp=drivesdk","WAHIDAH BAHAR SERTIFIKAT BerAKHLAK")</f>
        <v>WAHIDAH BAHAR SERTIFIKAT BerAKHLAK</v>
      </c>
      <c r="K3613" s="5" t="s">
        <v>24057</v>
      </c>
      <c r="L3613" s="5" t="s">
        <v>24682</v>
      </c>
    </row>
    <row r="3614">
      <c r="A3614" s="4">
        <v>45534.34638890046</v>
      </c>
      <c r="B3614" s="5" t="s">
        <v>34</v>
      </c>
      <c r="D3614" s="5" t="s">
        <v>4775</v>
      </c>
      <c r="E3614" s="5" t="s">
        <v>24685</v>
      </c>
      <c r="F3614" s="5" t="s">
        <v>715</v>
      </c>
      <c r="G3614" s="5" t="s">
        <v>24686</v>
      </c>
      <c r="H3614" s="6" t="s">
        <v>24687</v>
      </c>
      <c r="I3614" s="7" t="s">
        <v>24688</v>
      </c>
      <c r="J3614" s="8" t="str">
        <f>HYPERLINK("https://drive.google.com/file/d/1fBU9rFR0G18gi0d5WPST36umrSQEy2Pp/view?usp=drivesdk","SAFA'ATUL MUJAHIDILAH SERTIFIKAT BerAKHLAK")</f>
        <v>SAFA'ATUL MUJAHIDILAH SERTIFIKAT BerAKHLAK</v>
      </c>
      <c r="K3614" s="5" t="s">
        <v>24057</v>
      </c>
      <c r="L3614" s="5" t="s">
        <v>24689</v>
      </c>
    </row>
    <row r="3615">
      <c r="A3615" s="4">
        <v>45534.346393263884</v>
      </c>
      <c r="B3615" s="5" t="s">
        <v>34</v>
      </c>
      <c r="D3615" s="5" t="s">
        <v>1206</v>
      </c>
      <c r="E3615" s="5" t="s">
        <v>24692</v>
      </c>
      <c r="F3615" s="5" t="s">
        <v>72</v>
      </c>
      <c r="G3615" s="5" t="s">
        <v>24693</v>
      </c>
      <c r="H3615" s="6" t="s">
        <v>24694</v>
      </c>
      <c r="K3615" s="5" t="s">
        <v>24695</v>
      </c>
    </row>
    <row r="3616">
      <c r="A3616" s="4">
        <v>45534.346401215276</v>
      </c>
      <c r="B3616" s="5" t="s">
        <v>34</v>
      </c>
      <c r="D3616" s="5" t="s">
        <v>4775</v>
      </c>
      <c r="E3616" s="5" t="s">
        <v>24699</v>
      </c>
      <c r="F3616" s="5" t="s">
        <v>212</v>
      </c>
      <c r="G3616" s="5" t="s">
        <v>24700</v>
      </c>
      <c r="H3616" s="6" t="s">
        <v>24701</v>
      </c>
      <c r="I3616" s="7" t="s">
        <v>24702</v>
      </c>
      <c r="J3616" s="8" t="str">
        <f>HYPERLINK("https://drive.google.com/file/d/1NJT7PD6A4A878qedJ8V2wvGqcUMappZn/view?usp=drivesdk","DJATMIKO SERTIFIKAT BerAKHLAK")</f>
        <v>DJATMIKO SERTIFIKAT BerAKHLAK</v>
      </c>
      <c r="K3616" s="5" t="s">
        <v>24057</v>
      </c>
      <c r="L3616" s="5" t="s">
        <v>24703</v>
      </c>
    </row>
    <row r="3617">
      <c r="A3617" s="4">
        <v>45534.346401828705</v>
      </c>
      <c r="B3617" s="5" t="s">
        <v>34</v>
      </c>
      <c r="D3617" s="5" t="s">
        <v>12978</v>
      </c>
      <c r="E3617" s="5" t="s">
        <v>24706</v>
      </c>
      <c r="F3617" s="5" t="s">
        <v>715</v>
      </c>
      <c r="G3617" s="5" t="s">
        <v>24707</v>
      </c>
      <c r="H3617" s="6" t="s">
        <v>24708</v>
      </c>
      <c r="K3617" s="5" t="s">
        <v>24709</v>
      </c>
    </row>
    <row r="3618">
      <c r="A3618" s="4">
        <v>45534.34640520833</v>
      </c>
      <c r="B3618" s="5" t="s">
        <v>34</v>
      </c>
      <c r="D3618" s="5" t="s">
        <v>9020</v>
      </c>
      <c r="E3618" s="5" t="s">
        <v>24712</v>
      </c>
      <c r="F3618" s="5" t="s">
        <v>524</v>
      </c>
      <c r="G3618" s="5" t="s">
        <v>24713</v>
      </c>
      <c r="H3618" s="6" t="s">
        <v>24714</v>
      </c>
      <c r="K3618" s="5" t="s">
        <v>24709</v>
      </c>
    </row>
    <row r="3619">
      <c r="A3619" s="4">
        <v>45534.34641203703</v>
      </c>
      <c r="B3619" s="5" t="s">
        <v>34</v>
      </c>
      <c r="D3619" s="5" t="s">
        <v>10444</v>
      </c>
      <c r="E3619" s="5" t="s">
        <v>24717</v>
      </c>
      <c r="F3619" s="5" t="s">
        <v>375</v>
      </c>
      <c r="G3619" s="5" t="s">
        <v>24718</v>
      </c>
      <c r="H3619" s="6" t="s">
        <v>24719</v>
      </c>
      <c r="K3619" s="5" t="s">
        <v>24709</v>
      </c>
    </row>
    <row r="3620">
      <c r="A3620" s="4">
        <v>45534.346416458335</v>
      </c>
      <c r="B3620" s="5" t="s">
        <v>34</v>
      </c>
      <c r="D3620" s="5" t="s">
        <v>280</v>
      </c>
      <c r="E3620" s="5" t="s">
        <v>24722</v>
      </c>
      <c r="F3620" s="5" t="s">
        <v>212</v>
      </c>
      <c r="G3620" s="5" t="s">
        <v>24723</v>
      </c>
      <c r="H3620" s="6" t="s">
        <v>24724</v>
      </c>
      <c r="K3620" s="5" t="s">
        <v>24709</v>
      </c>
    </row>
    <row r="3621">
      <c r="A3621" s="4">
        <v>45534.346419849535</v>
      </c>
      <c r="B3621" s="5" t="s">
        <v>34</v>
      </c>
      <c r="D3621" s="5" t="s">
        <v>1206</v>
      </c>
      <c r="E3621" s="5" t="s">
        <v>24728</v>
      </c>
      <c r="F3621" s="5" t="s">
        <v>375</v>
      </c>
      <c r="G3621" s="5" t="s">
        <v>24729</v>
      </c>
      <c r="H3621" s="6" t="s">
        <v>24730</v>
      </c>
      <c r="K3621" s="5" t="s">
        <v>24709</v>
      </c>
    </row>
    <row r="3622">
      <c r="A3622" s="4">
        <v>45534.34642261574</v>
      </c>
      <c r="B3622" s="5" t="s">
        <v>34</v>
      </c>
      <c r="D3622" s="5" t="s">
        <v>1206</v>
      </c>
      <c r="E3622" s="5" t="s">
        <v>24733</v>
      </c>
      <c r="F3622" s="5" t="s">
        <v>375</v>
      </c>
      <c r="G3622" s="5" t="s">
        <v>24734</v>
      </c>
      <c r="H3622" s="6" t="s">
        <v>24735</v>
      </c>
      <c r="K3622" s="5" t="s">
        <v>24709</v>
      </c>
    </row>
    <row r="3623">
      <c r="A3623" s="4">
        <v>45534.34642501158</v>
      </c>
      <c r="B3623" s="5" t="s">
        <v>19</v>
      </c>
      <c r="C3623" s="5" t="s">
        <v>3301</v>
      </c>
      <c r="E3623" s="5" t="s">
        <v>24738</v>
      </c>
      <c r="F3623" s="5" t="s">
        <v>37</v>
      </c>
      <c r="G3623" s="5" t="s">
        <v>24739</v>
      </c>
      <c r="H3623" s="6" t="s">
        <v>24740</v>
      </c>
      <c r="K3623" s="5" t="s">
        <v>24709</v>
      </c>
    </row>
    <row r="3624">
      <c r="A3624" s="4">
        <v>45534.3464312963</v>
      </c>
      <c r="B3624" s="5" t="s">
        <v>34</v>
      </c>
      <c r="D3624" s="5" t="s">
        <v>12978</v>
      </c>
      <c r="E3624" s="5" t="s">
        <v>24743</v>
      </c>
      <c r="F3624" s="5" t="s">
        <v>375</v>
      </c>
      <c r="G3624" s="5" t="s">
        <v>24744</v>
      </c>
      <c r="H3624" s="6" t="s">
        <v>24745</v>
      </c>
      <c r="K3624" s="5" t="s">
        <v>24709</v>
      </c>
    </row>
    <row r="3625">
      <c r="A3625" s="4">
        <v>45534.346437291664</v>
      </c>
      <c r="B3625" s="5" t="s">
        <v>34</v>
      </c>
      <c r="D3625" s="5" t="s">
        <v>1206</v>
      </c>
      <c r="E3625" s="5" t="s">
        <v>24749</v>
      </c>
      <c r="F3625" s="5" t="s">
        <v>328</v>
      </c>
      <c r="G3625" s="5" t="s">
        <v>24750</v>
      </c>
      <c r="H3625" s="6" t="s">
        <v>24751</v>
      </c>
      <c r="K3625" s="5" t="s">
        <v>24709</v>
      </c>
    </row>
    <row r="3626">
      <c r="A3626" s="4">
        <v>45534.34645395834</v>
      </c>
      <c r="B3626" s="5" t="s">
        <v>34</v>
      </c>
      <c r="D3626" s="5" t="s">
        <v>4775</v>
      </c>
      <c r="E3626" s="5" t="s">
        <v>24754</v>
      </c>
      <c r="F3626" s="5" t="s">
        <v>212</v>
      </c>
      <c r="G3626" s="5" t="s">
        <v>24755</v>
      </c>
      <c r="H3626" s="6" t="s">
        <v>24756</v>
      </c>
      <c r="I3626" s="7" t="s">
        <v>24757</v>
      </c>
      <c r="J3626" s="8" t="str">
        <f>HYPERLINK("https://drive.google.com/file/d/1jTeF8u79Padsurw5H9k0idcb91o9YGtU/view?usp=drivesdk","Anastasia Barek Bunga  SERTIFIKAT BerAKHLAK")</f>
        <v>Anastasia Barek Bunga  SERTIFIKAT BerAKHLAK</v>
      </c>
      <c r="K3626" s="5" t="s">
        <v>24057</v>
      </c>
      <c r="L3626" s="5" t="s">
        <v>24758</v>
      </c>
    </row>
    <row r="3627">
      <c r="A3627" s="4">
        <v>45534.346468125004</v>
      </c>
      <c r="B3627" s="5" t="s">
        <v>34</v>
      </c>
      <c r="D3627" s="5" t="s">
        <v>9020</v>
      </c>
      <c r="E3627" s="5" t="s">
        <v>24761</v>
      </c>
      <c r="F3627" s="5" t="s">
        <v>212</v>
      </c>
      <c r="G3627" s="5" t="s">
        <v>24762</v>
      </c>
      <c r="H3627" s="6" t="s">
        <v>24763</v>
      </c>
      <c r="K3627" s="5" t="s">
        <v>24764</v>
      </c>
    </row>
    <row r="3628">
      <c r="A3628" s="4">
        <v>45534.3464691088</v>
      </c>
      <c r="B3628" s="5" t="s">
        <v>34</v>
      </c>
      <c r="D3628" s="5" t="s">
        <v>35</v>
      </c>
      <c r="E3628" s="5" t="s">
        <v>24767</v>
      </c>
      <c r="F3628" s="5" t="s">
        <v>5859</v>
      </c>
      <c r="G3628" s="5" t="s">
        <v>24768</v>
      </c>
      <c r="H3628" s="6" t="s">
        <v>24769</v>
      </c>
      <c r="K3628" s="5" t="s">
        <v>24764</v>
      </c>
    </row>
    <row r="3629">
      <c r="A3629" s="4">
        <v>45534.346475150465</v>
      </c>
      <c r="B3629" s="5" t="s">
        <v>34</v>
      </c>
      <c r="D3629" s="5" t="s">
        <v>12978</v>
      </c>
      <c r="E3629" s="5" t="s">
        <v>24772</v>
      </c>
      <c r="F3629" s="5" t="s">
        <v>72</v>
      </c>
      <c r="G3629" s="5" t="s">
        <v>24773</v>
      </c>
      <c r="H3629" s="6" t="s">
        <v>24774</v>
      </c>
      <c r="K3629" s="5" t="s">
        <v>24764</v>
      </c>
    </row>
    <row r="3630">
      <c r="A3630" s="4">
        <v>45534.34648571759</v>
      </c>
      <c r="B3630" s="5" t="s">
        <v>34</v>
      </c>
      <c r="D3630" s="5" t="s">
        <v>1768</v>
      </c>
      <c r="E3630" s="5" t="s">
        <v>24778</v>
      </c>
      <c r="F3630" s="5" t="s">
        <v>37</v>
      </c>
      <c r="G3630" s="5" t="s">
        <v>24779</v>
      </c>
      <c r="H3630" s="6" t="s">
        <v>24780</v>
      </c>
      <c r="K3630" s="5" t="s">
        <v>24764</v>
      </c>
    </row>
    <row r="3631">
      <c r="A3631" s="4">
        <v>45534.34648688657</v>
      </c>
      <c r="B3631" s="5" t="s">
        <v>19</v>
      </c>
      <c r="C3631" s="5" t="s">
        <v>292</v>
      </c>
      <c r="E3631" s="5" t="s">
        <v>24783</v>
      </c>
      <c r="F3631" s="5" t="s">
        <v>524</v>
      </c>
      <c r="G3631" s="5" t="s">
        <v>24784</v>
      </c>
      <c r="H3631" s="6" t="s">
        <v>24785</v>
      </c>
      <c r="K3631" s="5" t="s">
        <v>24764</v>
      </c>
    </row>
    <row r="3632">
      <c r="A3632" s="4">
        <v>45534.34650583334</v>
      </c>
      <c r="B3632" s="5" t="s">
        <v>34</v>
      </c>
      <c r="D3632" s="5" t="s">
        <v>1206</v>
      </c>
      <c r="E3632" s="5" t="s">
        <v>24788</v>
      </c>
      <c r="F3632" s="5" t="s">
        <v>212</v>
      </c>
      <c r="G3632" s="5" t="s">
        <v>24789</v>
      </c>
      <c r="H3632" s="6" t="s">
        <v>24790</v>
      </c>
      <c r="K3632" s="5" t="s">
        <v>24791</v>
      </c>
    </row>
    <row r="3633">
      <c r="A3633" s="4">
        <v>45534.34650802083</v>
      </c>
      <c r="B3633" s="5" t="s">
        <v>34</v>
      </c>
      <c r="D3633" s="5" t="s">
        <v>12978</v>
      </c>
      <c r="E3633" s="5" t="s">
        <v>24794</v>
      </c>
      <c r="F3633" s="5" t="s">
        <v>524</v>
      </c>
      <c r="G3633" s="5" t="s">
        <v>24795</v>
      </c>
      <c r="H3633" s="6" t="s">
        <v>24796</v>
      </c>
      <c r="K3633" s="5" t="s">
        <v>24791</v>
      </c>
    </row>
    <row r="3634">
      <c r="A3634" s="4">
        <v>45534.34650940972</v>
      </c>
      <c r="B3634" s="5" t="s">
        <v>34</v>
      </c>
      <c r="D3634" s="5" t="s">
        <v>1206</v>
      </c>
      <c r="E3634" s="5" t="s">
        <v>24799</v>
      </c>
      <c r="F3634" s="5" t="s">
        <v>212</v>
      </c>
      <c r="G3634" s="5" t="s">
        <v>24800</v>
      </c>
      <c r="H3634" s="6" t="s">
        <v>24801</v>
      </c>
      <c r="K3634" s="5" t="s">
        <v>24791</v>
      </c>
    </row>
    <row r="3635">
      <c r="A3635" s="4">
        <v>45534.34651055555</v>
      </c>
      <c r="B3635" s="5" t="s">
        <v>34</v>
      </c>
      <c r="D3635" s="5" t="s">
        <v>4775</v>
      </c>
      <c r="E3635" s="5" t="s">
        <v>24805</v>
      </c>
      <c r="F3635" s="5" t="s">
        <v>212</v>
      </c>
      <c r="G3635" s="5" t="s">
        <v>24806</v>
      </c>
      <c r="H3635" s="6" t="s">
        <v>24807</v>
      </c>
      <c r="K3635" s="5" t="s">
        <v>24791</v>
      </c>
    </row>
    <row r="3636">
      <c r="A3636" s="4">
        <v>45534.346516481484</v>
      </c>
      <c r="B3636" s="5" t="s">
        <v>34</v>
      </c>
      <c r="D3636" s="5" t="s">
        <v>12978</v>
      </c>
      <c r="E3636" s="5" t="s">
        <v>24810</v>
      </c>
      <c r="F3636" s="5" t="s">
        <v>72</v>
      </c>
      <c r="G3636" s="5" t="s">
        <v>24811</v>
      </c>
      <c r="H3636" s="6" t="s">
        <v>24812</v>
      </c>
      <c r="K3636" s="5" t="s">
        <v>24791</v>
      </c>
    </row>
    <row r="3637">
      <c r="A3637" s="4">
        <v>45534.34652918982</v>
      </c>
      <c r="B3637" s="5" t="s">
        <v>34</v>
      </c>
      <c r="D3637" s="5" t="s">
        <v>35</v>
      </c>
      <c r="E3637" s="5" t="s">
        <v>24815</v>
      </c>
      <c r="F3637" s="5" t="s">
        <v>37</v>
      </c>
      <c r="G3637" s="5" t="s">
        <v>24816</v>
      </c>
      <c r="H3637" s="6" t="s">
        <v>24817</v>
      </c>
      <c r="K3637" s="5" t="s">
        <v>24791</v>
      </c>
    </row>
    <row r="3638">
      <c r="A3638" s="4">
        <v>45534.346532083335</v>
      </c>
      <c r="B3638" s="5" t="s">
        <v>34</v>
      </c>
      <c r="D3638" s="5" t="s">
        <v>267</v>
      </c>
      <c r="E3638" s="5" t="s">
        <v>24821</v>
      </c>
      <c r="F3638" s="5" t="s">
        <v>108</v>
      </c>
      <c r="G3638" s="5" t="s">
        <v>24822</v>
      </c>
      <c r="H3638" s="6" t="s">
        <v>24823</v>
      </c>
      <c r="K3638" s="5" t="s">
        <v>24791</v>
      </c>
    </row>
    <row r="3639">
      <c r="A3639" s="4">
        <v>45534.346532800926</v>
      </c>
      <c r="B3639" s="5" t="s">
        <v>34</v>
      </c>
      <c r="D3639" s="5" t="s">
        <v>10297</v>
      </c>
      <c r="E3639" s="5" t="s">
        <v>24826</v>
      </c>
      <c r="F3639" s="5" t="s">
        <v>37</v>
      </c>
      <c r="G3639" s="5" t="s">
        <v>24827</v>
      </c>
      <c r="H3639" s="6" t="s">
        <v>24828</v>
      </c>
      <c r="K3639" s="5" t="s">
        <v>24791</v>
      </c>
    </row>
    <row r="3640">
      <c r="A3640" s="4">
        <v>45534.34653659722</v>
      </c>
      <c r="B3640" s="5" t="s">
        <v>34</v>
      </c>
      <c r="D3640" s="5" t="s">
        <v>1206</v>
      </c>
      <c r="E3640" s="5" t="s">
        <v>24831</v>
      </c>
      <c r="F3640" s="5" t="s">
        <v>328</v>
      </c>
      <c r="G3640" s="5" t="s">
        <v>24832</v>
      </c>
      <c r="H3640" s="6" t="s">
        <v>24833</v>
      </c>
      <c r="K3640" s="5" t="s">
        <v>24791</v>
      </c>
    </row>
    <row r="3641">
      <c r="A3641" s="4">
        <v>45534.346538067126</v>
      </c>
      <c r="B3641" s="5" t="s">
        <v>34</v>
      </c>
      <c r="D3641" s="5" t="s">
        <v>10444</v>
      </c>
      <c r="E3641" s="5" t="s">
        <v>24836</v>
      </c>
      <c r="F3641" s="5" t="s">
        <v>212</v>
      </c>
      <c r="G3641" s="5" t="s">
        <v>24837</v>
      </c>
      <c r="H3641" s="6" t="s">
        <v>24838</v>
      </c>
      <c r="K3641" s="5" t="s">
        <v>24791</v>
      </c>
    </row>
    <row r="3642">
      <c r="A3642" s="4">
        <v>45534.34654106481</v>
      </c>
      <c r="B3642" s="5" t="s">
        <v>34</v>
      </c>
      <c r="D3642" s="5" t="s">
        <v>1206</v>
      </c>
      <c r="E3642" s="5" t="s">
        <v>24841</v>
      </c>
      <c r="F3642" s="5" t="s">
        <v>37</v>
      </c>
      <c r="G3642" s="5" t="s">
        <v>24842</v>
      </c>
      <c r="H3642" s="6" t="s">
        <v>24843</v>
      </c>
      <c r="K3642" s="5" t="s">
        <v>24791</v>
      </c>
    </row>
    <row r="3643">
      <c r="A3643" s="4">
        <v>45534.346543935186</v>
      </c>
      <c r="B3643" s="5" t="s">
        <v>34</v>
      </c>
      <c r="D3643" s="5" t="s">
        <v>9020</v>
      </c>
      <c r="E3643" s="5" t="s">
        <v>24847</v>
      </c>
      <c r="F3643" s="5" t="s">
        <v>715</v>
      </c>
      <c r="G3643" s="5" t="s">
        <v>24848</v>
      </c>
      <c r="H3643" s="6" t="s">
        <v>24849</v>
      </c>
      <c r="K3643" s="5" t="s">
        <v>24791</v>
      </c>
    </row>
    <row r="3644">
      <c r="A3644" s="4">
        <v>45534.3465450463</v>
      </c>
      <c r="B3644" s="5" t="s">
        <v>19</v>
      </c>
      <c r="C3644" s="5" t="s">
        <v>292</v>
      </c>
      <c r="E3644" s="5" t="s">
        <v>24852</v>
      </c>
      <c r="F3644" s="5" t="s">
        <v>72</v>
      </c>
      <c r="G3644" s="5" t="s">
        <v>24853</v>
      </c>
      <c r="H3644" s="6" t="s">
        <v>24854</v>
      </c>
      <c r="K3644" s="5" t="s">
        <v>24791</v>
      </c>
    </row>
    <row r="3645">
      <c r="A3645" s="4">
        <v>45534.3465637037</v>
      </c>
      <c r="B3645" s="5" t="s">
        <v>34</v>
      </c>
      <c r="D3645" s="5" t="s">
        <v>280</v>
      </c>
      <c r="E3645" s="5" t="s">
        <v>24857</v>
      </c>
      <c r="F3645" s="5" t="s">
        <v>108</v>
      </c>
      <c r="G3645" s="5" t="s">
        <v>24858</v>
      </c>
      <c r="H3645" s="6" t="s">
        <v>24859</v>
      </c>
      <c r="K3645" s="5" t="s">
        <v>24791</v>
      </c>
    </row>
    <row r="3646">
      <c r="A3646" s="4">
        <v>45534.34656690972</v>
      </c>
      <c r="B3646" s="5" t="s">
        <v>34</v>
      </c>
      <c r="D3646" s="5" t="s">
        <v>12978</v>
      </c>
      <c r="E3646" s="5" t="s">
        <v>24862</v>
      </c>
      <c r="F3646" s="5" t="s">
        <v>108</v>
      </c>
      <c r="G3646" s="5" t="s">
        <v>24863</v>
      </c>
      <c r="H3646" s="6" t="s">
        <v>24864</v>
      </c>
      <c r="K3646" s="5" t="s">
        <v>24791</v>
      </c>
    </row>
    <row r="3647">
      <c r="A3647" s="4">
        <v>45534.34657076389</v>
      </c>
      <c r="B3647" s="5" t="s">
        <v>34</v>
      </c>
      <c r="D3647" s="5" t="s">
        <v>4775</v>
      </c>
      <c r="E3647" s="5" t="s">
        <v>24868</v>
      </c>
      <c r="F3647" s="5" t="s">
        <v>108</v>
      </c>
      <c r="G3647" s="5" t="s">
        <v>24869</v>
      </c>
      <c r="H3647" s="6" t="s">
        <v>24870</v>
      </c>
      <c r="K3647" s="5" t="s">
        <v>24871</v>
      </c>
    </row>
    <row r="3648">
      <c r="A3648" s="4">
        <v>45534.34657548611</v>
      </c>
      <c r="B3648" s="5" t="s">
        <v>34</v>
      </c>
      <c r="D3648" s="5" t="s">
        <v>12010</v>
      </c>
      <c r="E3648" s="5" t="s">
        <v>24874</v>
      </c>
      <c r="F3648" s="5" t="s">
        <v>524</v>
      </c>
      <c r="G3648" s="5" t="s">
        <v>24875</v>
      </c>
      <c r="H3648" s="6" t="s">
        <v>24876</v>
      </c>
      <c r="K3648" s="5" t="s">
        <v>24871</v>
      </c>
    </row>
    <row r="3649">
      <c r="A3649" s="4">
        <v>45534.3465874074</v>
      </c>
      <c r="B3649" s="5" t="s">
        <v>34</v>
      </c>
      <c r="D3649" s="5" t="s">
        <v>1206</v>
      </c>
      <c r="E3649" s="5" t="s">
        <v>24879</v>
      </c>
      <c r="F3649" s="5" t="s">
        <v>524</v>
      </c>
      <c r="G3649" s="5" t="s">
        <v>24880</v>
      </c>
      <c r="H3649" s="6" t="s">
        <v>24881</v>
      </c>
      <c r="K3649" s="5" t="s">
        <v>24871</v>
      </c>
    </row>
    <row r="3650">
      <c r="A3650" s="4">
        <v>45534.34658813657</v>
      </c>
      <c r="B3650" s="5" t="s">
        <v>34</v>
      </c>
      <c r="D3650" s="5" t="s">
        <v>12978</v>
      </c>
      <c r="E3650" s="5" t="s">
        <v>24884</v>
      </c>
      <c r="F3650" s="5" t="s">
        <v>212</v>
      </c>
      <c r="G3650" s="5" t="s">
        <v>24885</v>
      </c>
      <c r="H3650" s="6" t="s">
        <v>24886</v>
      </c>
      <c r="K3650" s="5" t="s">
        <v>24871</v>
      </c>
    </row>
    <row r="3651">
      <c r="A3651" s="4">
        <v>45534.3465990625</v>
      </c>
      <c r="B3651" s="5" t="s">
        <v>34</v>
      </c>
      <c r="D3651" s="5" t="s">
        <v>4775</v>
      </c>
      <c r="E3651" s="5" t="s">
        <v>24890</v>
      </c>
      <c r="F3651" s="5" t="s">
        <v>72</v>
      </c>
      <c r="G3651" s="5" t="s">
        <v>24891</v>
      </c>
      <c r="H3651" s="6" t="s">
        <v>24892</v>
      </c>
      <c r="K3651" s="5" t="s">
        <v>24871</v>
      </c>
    </row>
    <row r="3652">
      <c r="A3652" s="4">
        <v>45534.34659998842</v>
      </c>
      <c r="B3652" s="5" t="s">
        <v>19</v>
      </c>
      <c r="C3652" s="5" t="s">
        <v>292</v>
      </c>
      <c r="E3652" s="5" t="s">
        <v>24895</v>
      </c>
      <c r="F3652" s="5" t="s">
        <v>524</v>
      </c>
      <c r="G3652" s="5" t="s">
        <v>24896</v>
      </c>
      <c r="H3652" s="6" t="s">
        <v>24897</v>
      </c>
      <c r="K3652" s="5" t="s">
        <v>24871</v>
      </c>
    </row>
    <row r="3653">
      <c r="A3653" s="4">
        <v>45534.34661515046</v>
      </c>
      <c r="B3653" s="5" t="s">
        <v>34</v>
      </c>
      <c r="D3653" s="5" t="s">
        <v>701</v>
      </c>
      <c r="E3653" s="5" t="s">
        <v>24900</v>
      </c>
      <c r="F3653" s="5" t="s">
        <v>37</v>
      </c>
      <c r="G3653" s="5" t="s">
        <v>24901</v>
      </c>
      <c r="H3653" s="6" t="s">
        <v>24902</v>
      </c>
      <c r="K3653" s="5" t="s">
        <v>24871</v>
      </c>
    </row>
    <row r="3654">
      <c r="A3654" s="4">
        <v>45534.34661703704</v>
      </c>
      <c r="B3654" s="5" t="s">
        <v>34</v>
      </c>
      <c r="D3654" s="5" t="s">
        <v>9020</v>
      </c>
      <c r="E3654" s="5" t="s">
        <v>24905</v>
      </c>
      <c r="F3654" s="5" t="s">
        <v>37</v>
      </c>
      <c r="G3654" s="5" t="s">
        <v>24906</v>
      </c>
      <c r="H3654" s="6" t="s">
        <v>24907</v>
      </c>
      <c r="K3654" s="5" t="s">
        <v>24871</v>
      </c>
    </row>
    <row r="3655">
      <c r="A3655" s="4">
        <v>45534.34662773148</v>
      </c>
      <c r="B3655" s="5" t="s">
        <v>34</v>
      </c>
      <c r="D3655" s="5" t="s">
        <v>35</v>
      </c>
      <c r="E3655" s="5" t="s">
        <v>24910</v>
      </c>
      <c r="F3655" s="5" t="s">
        <v>212</v>
      </c>
      <c r="G3655" s="5" t="s">
        <v>24911</v>
      </c>
      <c r="H3655" s="6" t="s">
        <v>24912</v>
      </c>
      <c r="K3655" s="5" t="s">
        <v>24871</v>
      </c>
    </row>
    <row r="3656">
      <c r="A3656" s="4">
        <v>45534.34663581019</v>
      </c>
      <c r="B3656" s="5" t="s">
        <v>34</v>
      </c>
      <c r="D3656" s="5" t="s">
        <v>1206</v>
      </c>
      <c r="E3656" s="5" t="s">
        <v>24916</v>
      </c>
      <c r="F3656" s="5" t="s">
        <v>212</v>
      </c>
      <c r="G3656" s="5" t="s">
        <v>24917</v>
      </c>
      <c r="H3656" s="6" t="s">
        <v>24918</v>
      </c>
      <c r="K3656" s="5" t="s">
        <v>24871</v>
      </c>
    </row>
    <row r="3657">
      <c r="A3657" s="4">
        <v>45534.346636041664</v>
      </c>
      <c r="B3657" s="5" t="s">
        <v>34</v>
      </c>
      <c r="D3657" s="5" t="s">
        <v>580</v>
      </c>
      <c r="E3657" s="5" t="s">
        <v>24921</v>
      </c>
      <c r="F3657" s="5" t="s">
        <v>72</v>
      </c>
      <c r="G3657" s="5" t="s">
        <v>24922</v>
      </c>
      <c r="H3657" s="6" t="s">
        <v>24923</v>
      </c>
      <c r="K3657" s="5" t="s">
        <v>24871</v>
      </c>
    </row>
    <row r="3658">
      <c r="A3658" s="4">
        <v>45534.34664671296</v>
      </c>
      <c r="B3658" s="5" t="s">
        <v>34</v>
      </c>
      <c r="D3658" s="5" t="s">
        <v>280</v>
      </c>
      <c r="E3658" s="5" t="s">
        <v>24926</v>
      </c>
      <c r="F3658" s="5" t="s">
        <v>108</v>
      </c>
      <c r="G3658" s="5" t="s">
        <v>24927</v>
      </c>
      <c r="H3658" s="6" t="s">
        <v>24928</v>
      </c>
      <c r="K3658" s="5" t="s">
        <v>24871</v>
      </c>
    </row>
    <row r="3659">
      <c r="A3659" s="4">
        <v>45534.346655138885</v>
      </c>
      <c r="B3659" s="5" t="s">
        <v>34</v>
      </c>
      <c r="D3659" s="5" t="s">
        <v>35</v>
      </c>
      <c r="E3659" s="5" t="s">
        <v>24931</v>
      </c>
      <c r="F3659" s="5" t="s">
        <v>72</v>
      </c>
      <c r="G3659" s="5" t="s">
        <v>24932</v>
      </c>
      <c r="H3659" s="6" t="s">
        <v>24933</v>
      </c>
      <c r="K3659" s="5" t="s">
        <v>24871</v>
      </c>
    </row>
    <row r="3660">
      <c r="A3660" s="4">
        <v>45534.34665600694</v>
      </c>
      <c r="B3660" s="5" t="s">
        <v>34</v>
      </c>
      <c r="D3660" s="5" t="s">
        <v>4775</v>
      </c>
      <c r="E3660" s="5" t="s">
        <v>24937</v>
      </c>
      <c r="F3660" s="5" t="s">
        <v>212</v>
      </c>
      <c r="G3660" s="5" t="s">
        <v>24938</v>
      </c>
      <c r="H3660" s="6" t="s">
        <v>24939</v>
      </c>
      <c r="K3660" s="5" t="s">
        <v>24871</v>
      </c>
    </row>
    <row r="3661">
      <c r="A3661" s="4">
        <v>45534.346656863425</v>
      </c>
      <c r="B3661" s="5" t="s">
        <v>34</v>
      </c>
      <c r="D3661" s="5" t="s">
        <v>1206</v>
      </c>
      <c r="E3661" s="5" t="s">
        <v>24942</v>
      </c>
      <c r="F3661" s="5" t="s">
        <v>212</v>
      </c>
      <c r="G3661" s="5" t="s">
        <v>24943</v>
      </c>
      <c r="H3661" s="6" t="s">
        <v>24944</v>
      </c>
      <c r="K3661" s="5" t="s">
        <v>24871</v>
      </c>
    </row>
    <row r="3662">
      <c r="A3662" s="4">
        <v>45534.34666599537</v>
      </c>
      <c r="B3662" s="5" t="s">
        <v>34</v>
      </c>
      <c r="D3662" s="5" t="s">
        <v>4775</v>
      </c>
      <c r="E3662" s="5" t="s">
        <v>24947</v>
      </c>
      <c r="F3662" s="5" t="s">
        <v>72</v>
      </c>
      <c r="G3662" s="5" t="s">
        <v>24948</v>
      </c>
      <c r="H3662" s="6" t="s">
        <v>24949</v>
      </c>
      <c r="K3662" s="5" t="s">
        <v>24950</v>
      </c>
    </row>
    <row r="3663">
      <c r="A3663" s="4">
        <v>45534.34669608796</v>
      </c>
      <c r="B3663" s="5" t="s">
        <v>34</v>
      </c>
      <c r="D3663" s="5" t="s">
        <v>9020</v>
      </c>
      <c r="E3663" s="5" t="s">
        <v>24953</v>
      </c>
      <c r="F3663" s="5" t="s">
        <v>72</v>
      </c>
      <c r="G3663" s="5" t="s">
        <v>24954</v>
      </c>
      <c r="H3663" s="6" t="s">
        <v>24955</v>
      </c>
      <c r="K3663" s="5" t="s">
        <v>24950</v>
      </c>
    </row>
    <row r="3664">
      <c r="A3664" s="4">
        <v>45534.34669658565</v>
      </c>
      <c r="B3664" s="5" t="s">
        <v>34</v>
      </c>
      <c r="D3664" s="5" t="s">
        <v>35</v>
      </c>
      <c r="E3664" s="5" t="s">
        <v>24959</v>
      </c>
      <c r="F3664" s="5" t="s">
        <v>524</v>
      </c>
      <c r="G3664" s="5" t="s">
        <v>24960</v>
      </c>
      <c r="H3664" s="6" t="s">
        <v>24961</v>
      </c>
      <c r="K3664" s="5" t="s">
        <v>24950</v>
      </c>
    </row>
    <row r="3665">
      <c r="A3665" s="4">
        <v>45534.346712708335</v>
      </c>
      <c r="B3665" s="5" t="s">
        <v>34</v>
      </c>
      <c r="D3665" s="5" t="s">
        <v>267</v>
      </c>
      <c r="E3665" s="5" t="s">
        <v>24964</v>
      </c>
      <c r="F3665" s="5" t="s">
        <v>72</v>
      </c>
      <c r="G3665" s="5" t="s">
        <v>24965</v>
      </c>
      <c r="H3665" s="6" t="s">
        <v>24966</v>
      </c>
      <c r="K3665" s="5" t="s">
        <v>24950</v>
      </c>
    </row>
    <row r="3666">
      <c r="A3666" s="4">
        <v>45534.34671686342</v>
      </c>
      <c r="B3666" s="5" t="s">
        <v>19</v>
      </c>
      <c r="C3666" s="5" t="s">
        <v>442</v>
      </c>
      <c r="E3666" s="5" t="s">
        <v>24969</v>
      </c>
      <c r="F3666" s="5" t="s">
        <v>524</v>
      </c>
      <c r="G3666" s="5" t="s">
        <v>24970</v>
      </c>
      <c r="H3666" s="6" t="s">
        <v>24971</v>
      </c>
      <c r="K3666" s="5" t="s">
        <v>24950</v>
      </c>
    </row>
    <row r="3667">
      <c r="A3667" s="4">
        <v>45534.34672516204</v>
      </c>
      <c r="B3667" s="5" t="s">
        <v>34</v>
      </c>
      <c r="D3667" s="5" t="s">
        <v>12010</v>
      </c>
      <c r="E3667" s="5" t="s">
        <v>24974</v>
      </c>
      <c r="F3667" s="5" t="s">
        <v>715</v>
      </c>
      <c r="G3667" s="5" t="s">
        <v>24975</v>
      </c>
      <c r="H3667" s="6" t="s">
        <v>24976</v>
      </c>
      <c r="K3667" s="5" t="s">
        <v>24950</v>
      </c>
    </row>
    <row r="3668">
      <c r="A3668" s="4">
        <v>45534.34672616898</v>
      </c>
      <c r="B3668" s="5" t="s">
        <v>34</v>
      </c>
      <c r="D3668" s="5" t="s">
        <v>35</v>
      </c>
      <c r="E3668" s="5" t="s">
        <v>24979</v>
      </c>
      <c r="F3668" s="5" t="s">
        <v>212</v>
      </c>
      <c r="G3668" s="5" t="s">
        <v>24980</v>
      </c>
      <c r="H3668" s="6" t="s">
        <v>24981</v>
      </c>
      <c r="K3668" s="5" t="s">
        <v>24950</v>
      </c>
    </row>
    <row r="3669">
      <c r="A3669" s="4">
        <v>45534.34672891204</v>
      </c>
      <c r="B3669" s="5" t="s">
        <v>34</v>
      </c>
      <c r="D3669" s="5" t="s">
        <v>4775</v>
      </c>
      <c r="E3669" s="5" t="s">
        <v>24985</v>
      </c>
      <c r="F3669" s="5" t="s">
        <v>212</v>
      </c>
      <c r="G3669" s="5" t="s">
        <v>24986</v>
      </c>
      <c r="H3669" s="6" t="s">
        <v>24987</v>
      </c>
      <c r="K3669" s="5" t="s">
        <v>24950</v>
      </c>
    </row>
    <row r="3670">
      <c r="A3670" s="4">
        <v>45534.346733819446</v>
      </c>
      <c r="B3670" s="5" t="s">
        <v>34</v>
      </c>
      <c r="D3670" s="5" t="s">
        <v>35</v>
      </c>
      <c r="E3670" s="5" t="s">
        <v>24990</v>
      </c>
      <c r="F3670" s="5" t="s">
        <v>37</v>
      </c>
      <c r="G3670" s="5" t="s">
        <v>24991</v>
      </c>
      <c r="H3670" s="6" t="s">
        <v>24992</v>
      </c>
      <c r="K3670" s="5" t="s">
        <v>24950</v>
      </c>
    </row>
    <row r="3671">
      <c r="A3671" s="4">
        <v>45534.34673725694</v>
      </c>
      <c r="B3671" s="5" t="s">
        <v>19</v>
      </c>
      <c r="C3671" s="5" t="s">
        <v>292</v>
      </c>
      <c r="E3671" s="5" t="s">
        <v>24995</v>
      </c>
      <c r="F3671" s="5" t="s">
        <v>120</v>
      </c>
      <c r="G3671" s="5" t="s">
        <v>24996</v>
      </c>
      <c r="H3671" s="6" t="s">
        <v>24997</v>
      </c>
      <c r="K3671" s="5" t="s">
        <v>24998</v>
      </c>
    </row>
    <row r="3672">
      <c r="A3672" s="4">
        <v>45534.34673824074</v>
      </c>
      <c r="B3672" s="5" t="s">
        <v>34</v>
      </c>
      <c r="D3672" s="5" t="s">
        <v>1456</v>
      </c>
      <c r="E3672" s="5" t="s">
        <v>25001</v>
      </c>
      <c r="F3672" s="5" t="s">
        <v>72</v>
      </c>
      <c r="G3672" s="5" t="s">
        <v>25002</v>
      </c>
      <c r="H3672" s="6" t="s">
        <v>25003</v>
      </c>
      <c r="K3672" s="5" t="s">
        <v>24998</v>
      </c>
    </row>
    <row r="3673">
      <c r="A3673" s="4">
        <v>45534.34676695602</v>
      </c>
      <c r="B3673" s="5" t="s">
        <v>34</v>
      </c>
      <c r="D3673" s="5" t="s">
        <v>9020</v>
      </c>
      <c r="E3673" s="5" t="s">
        <v>25007</v>
      </c>
      <c r="F3673" s="5" t="s">
        <v>22</v>
      </c>
      <c r="G3673" s="5" t="s">
        <v>25008</v>
      </c>
      <c r="H3673" s="6" t="s">
        <v>25009</v>
      </c>
      <c r="K3673" s="5" t="s">
        <v>24998</v>
      </c>
    </row>
    <row r="3674">
      <c r="A3674" s="4">
        <v>45534.34676803241</v>
      </c>
      <c r="B3674" s="5" t="s">
        <v>19</v>
      </c>
      <c r="C3674" s="5" t="s">
        <v>3471</v>
      </c>
      <c r="E3674" s="5" t="s">
        <v>25012</v>
      </c>
      <c r="F3674" s="5" t="s">
        <v>108</v>
      </c>
      <c r="G3674" s="5" t="s">
        <v>25013</v>
      </c>
      <c r="H3674" s="6" t="s">
        <v>25014</v>
      </c>
      <c r="K3674" s="5" t="s">
        <v>24998</v>
      </c>
    </row>
    <row r="3675">
      <c r="A3675" s="4">
        <v>45534.34679107639</v>
      </c>
      <c r="B3675" s="5" t="s">
        <v>34</v>
      </c>
      <c r="D3675" s="5" t="s">
        <v>701</v>
      </c>
      <c r="E3675" s="5" t="s">
        <v>25017</v>
      </c>
      <c r="F3675" s="5" t="s">
        <v>72</v>
      </c>
      <c r="G3675" s="5" t="s">
        <v>25018</v>
      </c>
      <c r="H3675" s="6" t="s">
        <v>25019</v>
      </c>
      <c r="K3675" s="5" t="s">
        <v>25020</v>
      </c>
    </row>
    <row r="3676">
      <c r="A3676" s="4">
        <v>45534.34679457176</v>
      </c>
      <c r="B3676" s="5" t="s">
        <v>34</v>
      </c>
      <c r="D3676" s="5" t="s">
        <v>6232</v>
      </c>
      <c r="E3676" s="5" t="s">
        <v>25023</v>
      </c>
      <c r="F3676" s="5" t="s">
        <v>524</v>
      </c>
      <c r="G3676" s="5" t="s">
        <v>25024</v>
      </c>
      <c r="H3676" s="6" t="s">
        <v>25025</v>
      </c>
      <c r="K3676" s="5" t="s">
        <v>25020</v>
      </c>
    </row>
    <row r="3677">
      <c r="A3677" s="4">
        <v>45534.34679607639</v>
      </c>
      <c r="B3677" s="5" t="s">
        <v>34</v>
      </c>
      <c r="D3677" s="5" t="s">
        <v>6232</v>
      </c>
      <c r="E3677" s="5" t="s">
        <v>25029</v>
      </c>
      <c r="F3677" s="5" t="s">
        <v>212</v>
      </c>
      <c r="G3677" s="5" t="s">
        <v>25030</v>
      </c>
      <c r="H3677" s="6" t="s">
        <v>25031</v>
      </c>
      <c r="K3677" s="5" t="s">
        <v>25020</v>
      </c>
    </row>
    <row r="3678">
      <c r="A3678" s="4">
        <v>45534.34679739583</v>
      </c>
      <c r="B3678" s="5" t="s">
        <v>34</v>
      </c>
      <c r="D3678" s="5" t="s">
        <v>9020</v>
      </c>
      <c r="E3678" s="5" t="s">
        <v>25034</v>
      </c>
      <c r="F3678" s="5" t="s">
        <v>375</v>
      </c>
      <c r="G3678" s="5" t="s">
        <v>25035</v>
      </c>
      <c r="H3678" s="6" t="s">
        <v>25036</v>
      </c>
      <c r="K3678" s="5" t="s">
        <v>25020</v>
      </c>
    </row>
    <row r="3679">
      <c r="A3679" s="4">
        <v>45534.34680509259</v>
      </c>
      <c r="B3679" s="5" t="s">
        <v>34</v>
      </c>
      <c r="D3679" s="5" t="s">
        <v>1558</v>
      </c>
      <c r="E3679" s="5" t="s">
        <v>25039</v>
      </c>
      <c r="F3679" s="5" t="s">
        <v>120</v>
      </c>
      <c r="G3679" s="5" t="s">
        <v>25040</v>
      </c>
      <c r="H3679" s="6" t="s">
        <v>25041</v>
      </c>
      <c r="K3679" s="5" t="s">
        <v>25020</v>
      </c>
    </row>
    <row r="3680">
      <c r="A3680" s="4">
        <v>45534.34680554398</v>
      </c>
      <c r="B3680" s="5" t="s">
        <v>34</v>
      </c>
      <c r="D3680" s="5" t="s">
        <v>4775</v>
      </c>
      <c r="E3680" s="5" t="s">
        <v>25044</v>
      </c>
      <c r="F3680" s="5" t="s">
        <v>375</v>
      </c>
      <c r="G3680" s="5" t="s">
        <v>25045</v>
      </c>
      <c r="H3680" s="6" t="s">
        <v>25046</v>
      </c>
      <c r="K3680" s="5" t="s">
        <v>25020</v>
      </c>
    </row>
    <row r="3681">
      <c r="A3681" s="4">
        <v>45534.34680755787</v>
      </c>
      <c r="B3681" s="5" t="s">
        <v>34</v>
      </c>
      <c r="D3681" s="5" t="s">
        <v>4775</v>
      </c>
      <c r="E3681" s="5" t="s">
        <v>25050</v>
      </c>
      <c r="F3681" s="5" t="s">
        <v>5859</v>
      </c>
      <c r="G3681" s="5" t="s">
        <v>25051</v>
      </c>
      <c r="H3681" s="6" t="s">
        <v>25052</v>
      </c>
      <c r="K3681" s="5" t="s">
        <v>25020</v>
      </c>
    </row>
    <row r="3682">
      <c r="A3682" s="4">
        <v>45534.346809571754</v>
      </c>
      <c r="B3682" s="5" t="s">
        <v>19</v>
      </c>
      <c r="C3682" s="5" t="s">
        <v>5564</v>
      </c>
      <c r="E3682" s="5" t="s">
        <v>25055</v>
      </c>
      <c r="F3682" s="5" t="s">
        <v>22</v>
      </c>
      <c r="G3682" s="5" t="s">
        <v>25056</v>
      </c>
      <c r="H3682" s="6" t="s">
        <v>25057</v>
      </c>
      <c r="K3682" s="5" t="s">
        <v>25020</v>
      </c>
    </row>
    <row r="3683">
      <c r="A3683" s="4">
        <v>45534.34681311343</v>
      </c>
      <c r="B3683" s="5" t="s">
        <v>34</v>
      </c>
      <c r="D3683" s="5" t="s">
        <v>362</v>
      </c>
      <c r="E3683" s="5" t="s">
        <v>25060</v>
      </c>
      <c r="F3683" s="5" t="s">
        <v>715</v>
      </c>
      <c r="G3683" s="5" t="s">
        <v>25061</v>
      </c>
      <c r="H3683" s="6" t="s">
        <v>25062</v>
      </c>
      <c r="K3683" s="5" t="s">
        <v>25020</v>
      </c>
    </row>
    <row r="3684">
      <c r="A3684" s="4">
        <v>45534.34682233796</v>
      </c>
      <c r="B3684" s="5" t="s">
        <v>34</v>
      </c>
      <c r="D3684" s="5" t="s">
        <v>3849</v>
      </c>
      <c r="E3684" s="5" t="s">
        <v>25065</v>
      </c>
      <c r="F3684" s="5" t="s">
        <v>37</v>
      </c>
      <c r="G3684" s="5" t="s">
        <v>25066</v>
      </c>
      <c r="H3684" s="6" t="s">
        <v>25067</v>
      </c>
      <c r="K3684" s="5" t="s">
        <v>25068</v>
      </c>
    </row>
    <row r="3685">
      <c r="A3685" s="4">
        <v>45534.34683333333</v>
      </c>
      <c r="B3685" s="5" t="s">
        <v>34</v>
      </c>
      <c r="D3685" s="5" t="s">
        <v>11527</v>
      </c>
      <c r="E3685" s="5" t="s">
        <v>25072</v>
      </c>
      <c r="F3685" s="5" t="s">
        <v>37</v>
      </c>
      <c r="G3685" s="5" t="s">
        <v>25073</v>
      </c>
      <c r="H3685" s="6" t="s">
        <v>25074</v>
      </c>
      <c r="K3685" s="5" t="s">
        <v>25068</v>
      </c>
    </row>
    <row r="3686">
      <c r="A3686" s="4">
        <v>45534.34684052083</v>
      </c>
      <c r="B3686" s="5" t="s">
        <v>34</v>
      </c>
      <c r="D3686" s="5" t="s">
        <v>1768</v>
      </c>
      <c r="E3686" s="5" t="s">
        <v>25077</v>
      </c>
      <c r="F3686" s="5" t="s">
        <v>212</v>
      </c>
      <c r="G3686" s="5" t="s">
        <v>25078</v>
      </c>
      <c r="H3686" s="6" t="s">
        <v>25079</v>
      </c>
      <c r="K3686" s="5" t="s">
        <v>25068</v>
      </c>
    </row>
    <row r="3687">
      <c r="A3687" s="4">
        <v>45534.346851979164</v>
      </c>
      <c r="B3687" s="5" t="s">
        <v>34</v>
      </c>
      <c r="D3687" s="5" t="s">
        <v>35</v>
      </c>
      <c r="E3687" s="5" t="s">
        <v>25082</v>
      </c>
      <c r="F3687" s="5" t="s">
        <v>108</v>
      </c>
      <c r="G3687" s="5" t="s">
        <v>25083</v>
      </c>
      <c r="H3687" s="6" t="s">
        <v>25084</v>
      </c>
      <c r="K3687" s="5" t="s">
        <v>25068</v>
      </c>
    </row>
    <row r="3688">
      <c r="A3688" s="4">
        <v>45534.346852476854</v>
      </c>
      <c r="B3688" s="5" t="s">
        <v>34</v>
      </c>
      <c r="D3688" s="5" t="s">
        <v>4775</v>
      </c>
      <c r="E3688" s="5" t="s">
        <v>25087</v>
      </c>
      <c r="F3688" s="5" t="s">
        <v>72</v>
      </c>
      <c r="G3688" s="5" t="s">
        <v>24948</v>
      </c>
      <c r="H3688" s="6" t="s">
        <v>25088</v>
      </c>
      <c r="K3688" s="5" t="s">
        <v>25068</v>
      </c>
    </row>
    <row r="3689">
      <c r="A3689" s="4">
        <v>45534.34686027778</v>
      </c>
      <c r="B3689" s="5" t="s">
        <v>34</v>
      </c>
      <c r="D3689" s="5" t="s">
        <v>6232</v>
      </c>
      <c r="E3689" s="5" t="s">
        <v>25091</v>
      </c>
      <c r="F3689" s="5" t="s">
        <v>37</v>
      </c>
      <c r="G3689" s="5" t="s">
        <v>25092</v>
      </c>
      <c r="H3689" s="6" t="s">
        <v>25093</v>
      </c>
      <c r="K3689" s="5" t="s">
        <v>25094</v>
      </c>
    </row>
    <row r="3690">
      <c r="A3690" s="4">
        <v>45534.34686837963</v>
      </c>
      <c r="B3690" s="5" t="s">
        <v>19</v>
      </c>
      <c r="C3690" s="5" t="s">
        <v>24076</v>
      </c>
      <c r="E3690" s="5" t="s">
        <v>25098</v>
      </c>
      <c r="F3690" s="5" t="s">
        <v>375</v>
      </c>
      <c r="G3690" s="5" t="s">
        <v>25099</v>
      </c>
      <c r="H3690" s="6" t="s">
        <v>25100</v>
      </c>
      <c r="K3690" s="5" t="s">
        <v>25094</v>
      </c>
    </row>
    <row r="3691">
      <c r="A3691" s="4">
        <v>45534.346869305555</v>
      </c>
      <c r="B3691" s="5" t="s">
        <v>19</v>
      </c>
      <c r="C3691" s="5" t="s">
        <v>442</v>
      </c>
      <c r="E3691" s="5" t="s">
        <v>25103</v>
      </c>
      <c r="F3691" s="5" t="s">
        <v>72</v>
      </c>
      <c r="G3691" s="5" t="s">
        <v>25104</v>
      </c>
      <c r="H3691" s="6" t="s">
        <v>25105</v>
      </c>
      <c r="K3691" s="5" t="s">
        <v>25094</v>
      </c>
    </row>
    <row r="3692">
      <c r="A3692" s="4">
        <v>45534.34687695601</v>
      </c>
      <c r="B3692" s="5" t="s">
        <v>34</v>
      </c>
      <c r="D3692" s="5" t="s">
        <v>4775</v>
      </c>
      <c r="E3692" s="5" t="s">
        <v>25108</v>
      </c>
      <c r="F3692" s="5" t="s">
        <v>375</v>
      </c>
      <c r="G3692" s="5" t="s">
        <v>25109</v>
      </c>
      <c r="H3692" s="6" t="s">
        <v>25110</v>
      </c>
      <c r="K3692" s="5" t="s">
        <v>25094</v>
      </c>
    </row>
    <row r="3693">
      <c r="A3693" s="4">
        <v>45534.34688012731</v>
      </c>
      <c r="B3693" s="5" t="s">
        <v>34</v>
      </c>
      <c r="D3693" s="5" t="s">
        <v>996</v>
      </c>
      <c r="E3693" s="5" t="s">
        <v>25113</v>
      </c>
      <c r="F3693" s="5" t="s">
        <v>212</v>
      </c>
      <c r="G3693" s="5" t="s">
        <v>25114</v>
      </c>
      <c r="H3693" s="6" t="s">
        <v>25115</v>
      </c>
      <c r="K3693" s="5" t="s">
        <v>25094</v>
      </c>
    </row>
    <row r="3694">
      <c r="A3694" s="4">
        <v>45534.346889293985</v>
      </c>
      <c r="B3694" s="5" t="s">
        <v>34</v>
      </c>
      <c r="D3694" s="5" t="s">
        <v>4775</v>
      </c>
      <c r="E3694" s="5" t="s">
        <v>25119</v>
      </c>
      <c r="F3694" s="5" t="s">
        <v>72</v>
      </c>
      <c r="G3694" s="5" t="s">
        <v>25120</v>
      </c>
      <c r="H3694" s="6" t="s">
        <v>25121</v>
      </c>
      <c r="K3694" s="5" t="s">
        <v>25122</v>
      </c>
    </row>
    <row r="3695">
      <c r="A3695" s="4">
        <v>45534.34688927083</v>
      </c>
      <c r="B3695" s="5" t="s">
        <v>34</v>
      </c>
      <c r="D3695" s="5" t="s">
        <v>10444</v>
      </c>
      <c r="E3695" s="5" t="s">
        <v>25125</v>
      </c>
      <c r="F3695" s="5" t="s">
        <v>37</v>
      </c>
      <c r="G3695" s="5" t="s">
        <v>25126</v>
      </c>
      <c r="H3695" s="6" t="s">
        <v>25127</v>
      </c>
      <c r="K3695" s="5" t="s">
        <v>25122</v>
      </c>
    </row>
    <row r="3696">
      <c r="A3696" s="4">
        <v>45534.34690197917</v>
      </c>
      <c r="B3696" s="5" t="s">
        <v>34</v>
      </c>
      <c r="D3696" s="5" t="s">
        <v>1768</v>
      </c>
      <c r="E3696" s="5" t="s">
        <v>25130</v>
      </c>
      <c r="F3696" s="5" t="s">
        <v>375</v>
      </c>
      <c r="G3696" s="5" t="s">
        <v>25131</v>
      </c>
      <c r="H3696" s="6" t="s">
        <v>25132</v>
      </c>
      <c r="K3696" s="5" t="s">
        <v>25122</v>
      </c>
    </row>
    <row r="3697">
      <c r="A3697" s="4">
        <v>45534.346909224536</v>
      </c>
      <c r="B3697" s="5" t="s">
        <v>34</v>
      </c>
      <c r="D3697" s="5" t="s">
        <v>1206</v>
      </c>
      <c r="E3697" s="5" t="s">
        <v>25135</v>
      </c>
      <c r="F3697" s="5" t="s">
        <v>212</v>
      </c>
      <c r="G3697" s="5" t="s">
        <v>25136</v>
      </c>
      <c r="H3697" s="6" t="s">
        <v>25137</v>
      </c>
      <c r="K3697" s="5" t="s">
        <v>25122</v>
      </c>
    </row>
    <row r="3698">
      <c r="A3698" s="4">
        <v>45534.3469137963</v>
      </c>
      <c r="B3698" s="5" t="s">
        <v>34</v>
      </c>
      <c r="D3698" s="5" t="s">
        <v>1206</v>
      </c>
      <c r="E3698" s="5" t="s">
        <v>17521</v>
      </c>
      <c r="F3698" s="5" t="s">
        <v>212</v>
      </c>
      <c r="G3698" s="5" t="s">
        <v>25140</v>
      </c>
      <c r="H3698" s="6" t="s">
        <v>25141</v>
      </c>
      <c r="K3698" s="5" t="s">
        <v>25122</v>
      </c>
    </row>
    <row r="3699">
      <c r="A3699" s="4">
        <v>45534.3469196875</v>
      </c>
      <c r="B3699" s="5" t="s">
        <v>34</v>
      </c>
      <c r="D3699" s="5" t="s">
        <v>12010</v>
      </c>
      <c r="E3699" s="5" t="s">
        <v>25145</v>
      </c>
      <c r="F3699" s="5" t="s">
        <v>212</v>
      </c>
      <c r="G3699" s="5" t="s">
        <v>25146</v>
      </c>
      <c r="H3699" s="6" t="s">
        <v>25147</v>
      </c>
      <c r="K3699" s="5" t="s">
        <v>25148</v>
      </c>
    </row>
    <row r="3700">
      <c r="A3700" s="4">
        <v>45534.346920474534</v>
      </c>
      <c r="B3700" s="5" t="s">
        <v>34</v>
      </c>
      <c r="D3700" s="5" t="s">
        <v>4775</v>
      </c>
      <c r="E3700" s="5" t="s">
        <v>25151</v>
      </c>
      <c r="F3700" s="5" t="s">
        <v>72</v>
      </c>
      <c r="G3700" s="5" t="s">
        <v>25152</v>
      </c>
      <c r="H3700" s="6" t="s">
        <v>25153</v>
      </c>
      <c r="K3700" s="5" t="s">
        <v>25148</v>
      </c>
    </row>
    <row r="3701">
      <c r="A3701" s="4">
        <v>45534.34692280093</v>
      </c>
      <c r="B3701" s="5" t="s">
        <v>34</v>
      </c>
      <c r="D3701" s="5" t="s">
        <v>701</v>
      </c>
      <c r="E3701" s="5" t="s">
        <v>25156</v>
      </c>
      <c r="F3701" s="5" t="s">
        <v>524</v>
      </c>
      <c r="G3701" s="5" t="s">
        <v>25157</v>
      </c>
      <c r="H3701" s="6" t="s">
        <v>25158</v>
      </c>
      <c r="K3701" s="5" t="s">
        <v>25148</v>
      </c>
    </row>
    <row r="3702">
      <c r="A3702" s="4">
        <v>45534.346926122686</v>
      </c>
      <c r="B3702" s="5" t="s">
        <v>34</v>
      </c>
      <c r="D3702" s="5" t="s">
        <v>6232</v>
      </c>
      <c r="E3702" s="5" t="s">
        <v>25161</v>
      </c>
      <c r="F3702" s="5" t="s">
        <v>37</v>
      </c>
      <c r="G3702" s="5" t="s">
        <v>25162</v>
      </c>
      <c r="H3702" s="6" t="s">
        <v>25163</v>
      </c>
      <c r="K3702" s="5" t="s">
        <v>25148</v>
      </c>
    </row>
    <row r="3703">
      <c r="A3703" s="4">
        <v>45534.346932650464</v>
      </c>
      <c r="B3703" s="5" t="s">
        <v>34</v>
      </c>
      <c r="D3703" s="5" t="s">
        <v>14424</v>
      </c>
      <c r="E3703" s="5" t="s">
        <v>25167</v>
      </c>
      <c r="F3703" s="5" t="s">
        <v>375</v>
      </c>
      <c r="G3703" s="5" t="s">
        <v>25168</v>
      </c>
      <c r="H3703" s="6" t="s">
        <v>25169</v>
      </c>
      <c r="K3703" s="5" t="s">
        <v>25148</v>
      </c>
    </row>
    <row r="3704">
      <c r="A3704" s="4">
        <v>45534.346959953706</v>
      </c>
      <c r="B3704" s="5" t="s">
        <v>34</v>
      </c>
      <c r="D3704" s="5" t="s">
        <v>4775</v>
      </c>
      <c r="E3704" s="5" t="s">
        <v>25172</v>
      </c>
      <c r="F3704" s="5" t="s">
        <v>108</v>
      </c>
      <c r="G3704" s="5" t="s">
        <v>25173</v>
      </c>
      <c r="H3704" s="6" t="s">
        <v>25174</v>
      </c>
      <c r="I3704" s="7" t="s">
        <v>25175</v>
      </c>
      <c r="J3704" s="8" t="str">
        <f>HYPERLINK("https://drive.google.com/file/d/1L1tD4PiRafNcDQ1we1_6SY7nGHpeRHR0/view?usp=drivesdk","PUTDWIHANDA BAYU ANGGORO SERTIFIKAT BerAKHLAK")</f>
        <v>PUTDWIHANDA BAYU ANGGORO SERTIFIKAT BerAKHLAK</v>
      </c>
      <c r="K3704" s="5" t="s">
        <v>24057</v>
      </c>
      <c r="L3704" s="5" t="s">
        <v>25176</v>
      </c>
    </row>
    <row r="3705">
      <c r="A3705" s="4">
        <v>45534.34696502315</v>
      </c>
      <c r="B3705" s="5" t="s">
        <v>19</v>
      </c>
      <c r="C3705" s="5" t="s">
        <v>292</v>
      </c>
      <c r="E3705" s="5" t="s">
        <v>25179</v>
      </c>
      <c r="F3705" s="5" t="s">
        <v>212</v>
      </c>
      <c r="G3705" s="5" t="s">
        <v>25180</v>
      </c>
      <c r="H3705" s="6" t="s">
        <v>25181</v>
      </c>
      <c r="I3705" s="7" t="s">
        <v>25182</v>
      </c>
      <c r="J3705" s="8" t="str">
        <f>HYPERLINK("https://drive.google.com/file/d/1SQj1b1SITswbWsczQq-xr7N49Vepeyv2/view?usp=drivesdk","KEMAS HARYADI SERTIFIKAT BerAKHLAK")</f>
        <v>KEMAS HARYADI SERTIFIKAT BerAKHLAK</v>
      </c>
      <c r="K3705" s="5" t="s">
        <v>25183</v>
      </c>
      <c r="L3705" s="5" t="s">
        <v>25184</v>
      </c>
    </row>
    <row r="3706">
      <c r="A3706" s="4">
        <v>45534.346973391206</v>
      </c>
      <c r="B3706" s="5" t="s">
        <v>34</v>
      </c>
      <c r="D3706" s="5" t="s">
        <v>267</v>
      </c>
      <c r="E3706" s="5" t="s">
        <v>25187</v>
      </c>
      <c r="F3706" s="5" t="s">
        <v>108</v>
      </c>
      <c r="G3706" s="5" t="s">
        <v>25188</v>
      </c>
      <c r="H3706" s="6" t="s">
        <v>25189</v>
      </c>
      <c r="K3706" s="5" t="s">
        <v>25190</v>
      </c>
    </row>
    <row r="3707">
      <c r="A3707" s="4">
        <v>45534.346977511574</v>
      </c>
      <c r="B3707" s="5" t="s">
        <v>34</v>
      </c>
      <c r="D3707" s="5" t="s">
        <v>35</v>
      </c>
      <c r="E3707" s="5" t="s">
        <v>25194</v>
      </c>
      <c r="F3707" s="5" t="s">
        <v>212</v>
      </c>
      <c r="G3707" s="5" t="s">
        <v>25195</v>
      </c>
      <c r="H3707" s="6" t="s">
        <v>25196</v>
      </c>
      <c r="I3707" s="7" t="s">
        <v>25197</v>
      </c>
      <c r="J3707" s="8" t="str">
        <f>HYPERLINK("https://drive.google.com/file/d/1DaBeRKSfCGtVTh8Gq8fRycKHnMRy3plw/view?usp=drivesdk","OJO SANDI SERTIFIKAT BerAKHLAK")</f>
        <v>OJO SANDI SERTIFIKAT BerAKHLAK</v>
      </c>
      <c r="K3707" s="5" t="s">
        <v>24057</v>
      </c>
      <c r="L3707" s="5" t="s">
        <v>25198</v>
      </c>
    </row>
    <row r="3708">
      <c r="A3708" s="4">
        <v>45534.34698508102</v>
      </c>
      <c r="B3708" s="5" t="s">
        <v>34</v>
      </c>
      <c r="D3708" s="5" t="s">
        <v>1206</v>
      </c>
      <c r="E3708" s="5" t="s">
        <v>25201</v>
      </c>
      <c r="F3708" s="5" t="s">
        <v>212</v>
      </c>
      <c r="G3708" s="5" t="s">
        <v>25202</v>
      </c>
      <c r="H3708" s="6" t="s">
        <v>25203</v>
      </c>
      <c r="I3708" s="7" t="s">
        <v>25204</v>
      </c>
      <c r="J3708" s="8" t="str">
        <f>HYPERLINK("https://drive.google.com/file/d/1aSYhbnRpRKW9rZ_9HLw0G2stnWkqthHJ/view?usp=drivesdk","DIDIK SANTOSO SERTIFIKAT BerAKHLAK")</f>
        <v>DIDIK SANTOSO SERTIFIKAT BerAKHLAK</v>
      </c>
      <c r="K3708" s="5" t="s">
        <v>25183</v>
      </c>
      <c r="L3708" s="5" t="s">
        <v>25205</v>
      </c>
    </row>
    <row r="3709">
      <c r="A3709" s="4">
        <v>45534.34698552084</v>
      </c>
      <c r="B3709" s="5" t="s">
        <v>34</v>
      </c>
      <c r="D3709" s="5" t="s">
        <v>9020</v>
      </c>
      <c r="E3709" s="5" t="s">
        <v>25208</v>
      </c>
      <c r="F3709" s="5" t="s">
        <v>37</v>
      </c>
      <c r="G3709" s="5" t="s">
        <v>25209</v>
      </c>
      <c r="H3709" s="6" t="s">
        <v>25210</v>
      </c>
      <c r="I3709" s="7" t="s">
        <v>25211</v>
      </c>
      <c r="J3709" s="8" t="str">
        <f>HYPERLINK("https://drive.google.com/file/d/19XCAdrVZtW9Yx9vGDpt8J1OMU7hE5H0b/view?usp=drivesdk","SILVIA SIREGAR,S.kep SERTIFIKAT BerAKHLAK")</f>
        <v>SILVIA SIREGAR,S.kep SERTIFIKAT BerAKHLAK</v>
      </c>
      <c r="K3709" s="5" t="s">
        <v>25183</v>
      </c>
      <c r="L3709" s="5" t="s">
        <v>25212</v>
      </c>
    </row>
    <row r="3710">
      <c r="A3710" s="4">
        <v>45534.34698736111</v>
      </c>
      <c r="B3710" s="5" t="s">
        <v>34</v>
      </c>
      <c r="D3710" s="5" t="s">
        <v>6232</v>
      </c>
      <c r="E3710" s="5" t="s">
        <v>25215</v>
      </c>
      <c r="F3710" s="5" t="s">
        <v>72</v>
      </c>
      <c r="G3710" s="5" t="s">
        <v>25216</v>
      </c>
      <c r="H3710" s="6" t="s">
        <v>25217</v>
      </c>
      <c r="I3710" s="7" t="s">
        <v>25218</v>
      </c>
      <c r="J3710" s="8" t="str">
        <f>HYPERLINK("https://drive.google.com/file/d/12PdFovyGYdLUTA6yKY2McdLk6GIr-M8_/view?usp=drivesdk","ETI MARTATI SERTIFIKAT BerAKHLAK")</f>
        <v>ETI MARTATI SERTIFIKAT BerAKHLAK</v>
      </c>
      <c r="K3710" s="5" t="s">
        <v>25183</v>
      </c>
      <c r="L3710" s="5" t="s">
        <v>25219</v>
      </c>
    </row>
    <row r="3711">
      <c r="A3711" s="4">
        <v>45534.3469925463</v>
      </c>
      <c r="B3711" s="5" t="s">
        <v>34</v>
      </c>
      <c r="D3711" s="5" t="s">
        <v>7858</v>
      </c>
      <c r="E3711" s="5" t="s">
        <v>25223</v>
      </c>
      <c r="F3711" s="5" t="s">
        <v>120</v>
      </c>
      <c r="G3711" s="5" t="s">
        <v>19361</v>
      </c>
      <c r="H3711" s="6" t="s">
        <v>25224</v>
      </c>
      <c r="K3711" s="5" t="s">
        <v>25225</v>
      </c>
    </row>
    <row r="3712">
      <c r="A3712" s="4">
        <v>45534.34699899306</v>
      </c>
      <c r="B3712" s="5" t="s">
        <v>34</v>
      </c>
      <c r="D3712" s="5" t="s">
        <v>9020</v>
      </c>
      <c r="E3712" s="5" t="s">
        <v>25228</v>
      </c>
      <c r="F3712" s="5" t="s">
        <v>375</v>
      </c>
      <c r="G3712" s="5" t="s">
        <v>25229</v>
      </c>
      <c r="H3712" s="6" t="s">
        <v>25230</v>
      </c>
      <c r="K3712" s="5" t="s">
        <v>25225</v>
      </c>
    </row>
    <row r="3713">
      <c r="A3713" s="4">
        <v>45534.3470094213</v>
      </c>
      <c r="B3713" s="5" t="s">
        <v>34</v>
      </c>
      <c r="D3713" s="5" t="s">
        <v>1206</v>
      </c>
      <c r="E3713" s="5" t="s">
        <v>25233</v>
      </c>
      <c r="F3713" s="5" t="s">
        <v>212</v>
      </c>
      <c r="G3713" s="5" t="s">
        <v>25234</v>
      </c>
      <c r="H3713" s="6" t="s">
        <v>25235</v>
      </c>
      <c r="I3713" s="7" t="s">
        <v>25236</v>
      </c>
      <c r="J3713" s="8" t="str">
        <f>HYPERLINK("https://drive.google.com/file/d/1ihC4YglMvBw7Gc85Sm2aC8qpNUk7Npll/view?usp=drivesdk","MARTATIK  SERTIFIKAT BerAKHLAK")</f>
        <v>MARTATIK  SERTIFIKAT BerAKHLAK</v>
      </c>
      <c r="K3713" s="5" t="s">
        <v>24057</v>
      </c>
      <c r="L3713" s="5" t="s">
        <v>25237</v>
      </c>
    </row>
    <row r="3714">
      <c r="A3714" s="4">
        <v>45534.34701133102</v>
      </c>
      <c r="B3714" s="5" t="s">
        <v>34</v>
      </c>
      <c r="D3714" s="5" t="s">
        <v>1456</v>
      </c>
      <c r="E3714" s="5" t="s">
        <v>24545</v>
      </c>
      <c r="F3714" s="5" t="s">
        <v>37</v>
      </c>
      <c r="G3714" s="5" t="s">
        <v>25240</v>
      </c>
      <c r="H3714" s="6" t="s">
        <v>25241</v>
      </c>
      <c r="I3714" s="7" t="s">
        <v>25242</v>
      </c>
      <c r="J3714" s="8" t="str">
        <f>HYPERLINK("https://drive.google.com/file/d/1lv0yzvmcj9P8wn2lGJabsvSJyvdhgP2n/view?usp=drivesdk","SANDI, S.M SERTIFIKAT BerAKHLAK")</f>
        <v>SANDI, S.M SERTIFIKAT BerAKHLAK</v>
      </c>
      <c r="K3714" s="5" t="s">
        <v>25183</v>
      </c>
      <c r="L3714" s="5" t="s">
        <v>25243</v>
      </c>
    </row>
    <row r="3715">
      <c r="A3715" s="4">
        <v>45534.34702724537</v>
      </c>
      <c r="B3715" s="5" t="s">
        <v>34</v>
      </c>
      <c r="D3715" s="5" t="s">
        <v>1206</v>
      </c>
      <c r="E3715" s="5" t="s">
        <v>25246</v>
      </c>
      <c r="F3715" s="5" t="s">
        <v>212</v>
      </c>
      <c r="G3715" s="5" t="s">
        <v>25247</v>
      </c>
      <c r="H3715" s="6" t="s">
        <v>25248</v>
      </c>
      <c r="I3715" s="7" t="s">
        <v>25249</v>
      </c>
      <c r="J3715" s="8" t="str">
        <f>HYPERLINK("https://drive.google.com/file/d/1B6NHCnQdaqxinmadQ1YTFrQ8qA1jVFNj/view?usp=drivesdk","SITI MUNAWAROH SERTIFIKAT BerAKHLAK")</f>
        <v>SITI MUNAWAROH SERTIFIKAT BerAKHLAK</v>
      </c>
      <c r="K3715" s="5" t="s">
        <v>25183</v>
      </c>
      <c r="L3715" s="5" t="s">
        <v>25250</v>
      </c>
    </row>
    <row r="3716">
      <c r="A3716" s="4">
        <v>45534.34703040509</v>
      </c>
      <c r="B3716" s="5" t="s">
        <v>34</v>
      </c>
      <c r="D3716" s="5" t="s">
        <v>35</v>
      </c>
      <c r="E3716" s="5" t="s">
        <v>25254</v>
      </c>
      <c r="F3716" s="5" t="s">
        <v>524</v>
      </c>
      <c r="G3716" s="5" t="s">
        <v>25255</v>
      </c>
      <c r="H3716" s="6" t="s">
        <v>25256</v>
      </c>
      <c r="I3716" s="7" t="s">
        <v>25257</v>
      </c>
      <c r="J3716" s="8" t="str">
        <f>HYPERLINK("https://drive.google.com/file/d/1_8gdEAO5C4qXcpDSLIRNAcwMh6B5lKMu/view?usp=drivesdk","JURAHMI SERTIFIKAT BerAKHLAK")</f>
        <v>JURAHMI SERTIFIKAT BerAKHLAK</v>
      </c>
      <c r="K3716" s="5" t="s">
        <v>25183</v>
      </c>
      <c r="L3716" s="5" t="s">
        <v>25258</v>
      </c>
    </row>
    <row r="3717">
      <c r="A3717" s="4">
        <v>45534.34703295139</v>
      </c>
      <c r="B3717" s="5" t="s">
        <v>34</v>
      </c>
      <c r="D3717" s="5" t="s">
        <v>10444</v>
      </c>
      <c r="E3717" s="5" t="s">
        <v>25261</v>
      </c>
      <c r="F3717" s="5" t="s">
        <v>375</v>
      </c>
      <c r="G3717" s="5" t="s">
        <v>25262</v>
      </c>
      <c r="H3717" s="6" t="s">
        <v>25263</v>
      </c>
      <c r="I3717" s="7" t="s">
        <v>25264</v>
      </c>
      <c r="J3717" s="8" t="str">
        <f>HYPERLINK("https://drive.google.com/file/d/1f2slyUbtvpIi8QYLLvESuRJtAd9D64rr/view?usp=drivesdk","ADE MUKRI, S.E SERTIFIKAT BerAKHLAK")</f>
        <v>ADE MUKRI, S.E SERTIFIKAT BerAKHLAK</v>
      </c>
      <c r="K3717" s="5" t="s">
        <v>25183</v>
      </c>
      <c r="L3717" s="5" t="s">
        <v>25265</v>
      </c>
    </row>
    <row r="3718">
      <c r="A3718" s="4">
        <v>45534.34703802083</v>
      </c>
      <c r="B3718" s="5" t="s">
        <v>34</v>
      </c>
      <c r="D3718" s="5" t="s">
        <v>4775</v>
      </c>
      <c r="E3718" s="5" t="s">
        <v>25268</v>
      </c>
      <c r="F3718" s="5" t="s">
        <v>120</v>
      </c>
      <c r="G3718" s="5" t="s">
        <v>25269</v>
      </c>
      <c r="H3718" s="6" t="s">
        <v>25270</v>
      </c>
      <c r="I3718" s="7" t="s">
        <v>25271</v>
      </c>
      <c r="J3718" s="8" t="str">
        <f>HYPERLINK("https://drive.google.com/file/d/1tQzCNxQrt3ve-ygQAdmqs-vbCYFIU_Sp/view?usp=drivesdk","FARIDAH NUGRAHANI SERTIFIKAT BerAKHLAK")</f>
        <v>FARIDAH NUGRAHANI SERTIFIKAT BerAKHLAK</v>
      </c>
      <c r="K3718" s="5" t="s">
        <v>25183</v>
      </c>
      <c r="L3718" s="5" t="s">
        <v>25272</v>
      </c>
    </row>
    <row r="3719">
      <c r="A3719" s="4">
        <v>45534.347041388886</v>
      </c>
      <c r="B3719" s="5" t="s">
        <v>34</v>
      </c>
      <c r="D3719" s="5" t="s">
        <v>1206</v>
      </c>
      <c r="E3719" s="5" t="s">
        <v>25275</v>
      </c>
      <c r="F3719" s="5" t="s">
        <v>524</v>
      </c>
      <c r="G3719" s="5" t="s">
        <v>25276</v>
      </c>
      <c r="H3719" s="6" t="s">
        <v>25277</v>
      </c>
      <c r="I3719" s="7" t="s">
        <v>25278</v>
      </c>
      <c r="J3719" s="8" t="str">
        <f>HYPERLINK("https://drive.google.com/file/d/1KKg2i3bfyM5ozRYTIqp9fQ8tiA7JVYRq/view?usp=drivesdk","SUNARTI S SOS SERTIFIKAT BerAKHLAK")</f>
        <v>SUNARTI S SOS SERTIFIKAT BerAKHLAK</v>
      </c>
      <c r="K3719" s="5" t="s">
        <v>25183</v>
      </c>
      <c r="L3719" s="5" t="s">
        <v>25279</v>
      </c>
    </row>
    <row r="3720">
      <c r="A3720" s="4">
        <v>45534.34706438657</v>
      </c>
      <c r="B3720" s="5" t="s">
        <v>34</v>
      </c>
      <c r="D3720" s="5" t="s">
        <v>10444</v>
      </c>
      <c r="E3720" s="5" t="s">
        <v>5498</v>
      </c>
      <c r="F3720" s="5" t="s">
        <v>212</v>
      </c>
      <c r="G3720" s="5" t="s">
        <v>25282</v>
      </c>
      <c r="H3720" s="6" t="s">
        <v>25283</v>
      </c>
      <c r="I3720" s="7" t="s">
        <v>25284</v>
      </c>
      <c r="J3720" s="8" t="str">
        <f>HYPERLINK("https://drive.google.com/file/d/1aWmt5ZuqcHQSkeAFQBnHXqTclcPCl98X/view?usp=drivesdk","SULISTYOWATI SERTIFIKAT BerAKHLAK")</f>
        <v>SULISTYOWATI SERTIFIKAT BerAKHLAK</v>
      </c>
      <c r="K3720" s="5" t="s">
        <v>25183</v>
      </c>
      <c r="L3720" s="5" t="s">
        <v>25285</v>
      </c>
    </row>
    <row r="3721">
      <c r="A3721" s="4">
        <v>45534.34706472223</v>
      </c>
      <c r="B3721" s="5" t="s">
        <v>34</v>
      </c>
      <c r="D3721" s="5" t="s">
        <v>12010</v>
      </c>
      <c r="E3721" s="5" t="s">
        <v>25289</v>
      </c>
      <c r="F3721" s="5" t="s">
        <v>715</v>
      </c>
      <c r="G3721" s="5" t="s">
        <v>25290</v>
      </c>
      <c r="H3721" s="6" t="s">
        <v>25291</v>
      </c>
      <c r="I3721" s="7" t="s">
        <v>25292</v>
      </c>
      <c r="J3721" s="8" t="str">
        <f>HYPERLINK("https://drive.google.com/file/d/1ZBHVhB6nPs3P8jLmwfcw57fDS0Tp1_KA/view?usp=drivesdk","HERDI R. LONE S.SI SERTIFIKAT BerAKHLAK")</f>
        <v>HERDI R. LONE S.SI SERTIFIKAT BerAKHLAK</v>
      </c>
      <c r="K3721" s="5" t="s">
        <v>25183</v>
      </c>
      <c r="L3721" s="5" t="s">
        <v>25293</v>
      </c>
    </row>
    <row r="3722">
      <c r="A3722" s="4">
        <v>45534.347064629634</v>
      </c>
      <c r="B3722" s="5" t="s">
        <v>19</v>
      </c>
      <c r="C3722" s="5" t="s">
        <v>14000</v>
      </c>
      <c r="E3722" s="5" t="s">
        <v>25296</v>
      </c>
      <c r="F3722" s="5" t="s">
        <v>37</v>
      </c>
      <c r="G3722" s="5" t="s">
        <v>25297</v>
      </c>
      <c r="H3722" s="6" t="s">
        <v>25298</v>
      </c>
      <c r="I3722" s="7" t="s">
        <v>25299</v>
      </c>
      <c r="J3722" s="8" t="str">
        <f>HYPERLINK("https://drive.google.com/file/d/1Fr8RXDc6YTDrFo2KDLtDSfzph3OvjIbC/view?usp=drivesdk","RINI PRAWITASARI SERTIFIKAT BerAKHLAK")</f>
        <v>RINI PRAWITASARI SERTIFIKAT BerAKHLAK</v>
      </c>
      <c r="K3722" s="5" t="s">
        <v>25183</v>
      </c>
      <c r="L3722" s="5" t="s">
        <v>25300</v>
      </c>
    </row>
    <row r="3723">
      <c r="A3723" s="4">
        <v>45534.34706483796</v>
      </c>
      <c r="B3723" s="5" t="s">
        <v>34</v>
      </c>
      <c r="D3723" s="5" t="s">
        <v>1206</v>
      </c>
      <c r="E3723" s="5" t="s">
        <v>25303</v>
      </c>
      <c r="F3723" s="5" t="s">
        <v>212</v>
      </c>
      <c r="G3723" s="5" t="s">
        <v>25304</v>
      </c>
      <c r="H3723" s="6" t="s">
        <v>25305</v>
      </c>
      <c r="K3723" s="5" t="s">
        <v>25306</v>
      </c>
    </row>
    <row r="3724">
      <c r="A3724" s="4">
        <v>45534.347077314815</v>
      </c>
      <c r="B3724" s="5" t="s">
        <v>19</v>
      </c>
      <c r="C3724" s="5" t="s">
        <v>442</v>
      </c>
      <c r="E3724" s="5" t="s">
        <v>25309</v>
      </c>
      <c r="F3724" s="5" t="s">
        <v>72</v>
      </c>
      <c r="G3724" s="5" t="s">
        <v>25310</v>
      </c>
      <c r="H3724" s="6" t="s">
        <v>25311</v>
      </c>
      <c r="K3724" s="5" t="s">
        <v>25306</v>
      </c>
    </row>
    <row r="3725">
      <c r="A3725" s="4">
        <v>45534.347077557875</v>
      </c>
      <c r="B3725" s="5" t="s">
        <v>34</v>
      </c>
      <c r="D3725" s="5" t="s">
        <v>701</v>
      </c>
      <c r="E3725" s="5" t="s">
        <v>25315</v>
      </c>
      <c r="F3725" s="5" t="s">
        <v>212</v>
      </c>
      <c r="G3725" s="5" t="s">
        <v>25316</v>
      </c>
      <c r="H3725" s="6" t="s">
        <v>25317</v>
      </c>
      <c r="K3725" s="5" t="s">
        <v>25306</v>
      </c>
    </row>
    <row r="3726">
      <c r="A3726" s="4">
        <v>45534.34709045139</v>
      </c>
      <c r="B3726" s="5" t="s">
        <v>34</v>
      </c>
      <c r="D3726" s="5" t="s">
        <v>1206</v>
      </c>
      <c r="E3726" s="5" t="s">
        <v>25320</v>
      </c>
      <c r="F3726" s="5" t="s">
        <v>72</v>
      </c>
      <c r="G3726" s="5" t="s">
        <v>25321</v>
      </c>
      <c r="H3726" s="6" t="s">
        <v>25322</v>
      </c>
      <c r="I3726" s="7" t="s">
        <v>25323</v>
      </c>
      <c r="J3726" s="8" t="str">
        <f>HYPERLINK("https://drive.google.com/file/d/1tMGoVpbtDFtck0Do4-BXZXkhvfxWK4_w/view?usp=drivesdk","NUR PRASETYO HADI, S.T SERTIFIKAT BerAKHLAK")</f>
        <v>NUR PRASETYO HADI, S.T SERTIFIKAT BerAKHLAK</v>
      </c>
      <c r="K3726" s="5" t="s">
        <v>25183</v>
      </c>
      <c r="L3726" s="5" t="s">
        <v>25324</v>
      </c>
    </row>
    <row r="3727">
      <c r="A3727" s="4">
        <v>45534.347096875004</v>
      </c>
      <c r="B3727" s="5" t="s">
        <v>34</v>
      </c>
      <c r="D3727" s="5" t="s">
        <v>701</v>
      </c>
      <c r="E3727" s="5" t="s">
        <v>25327</v>
      </c>
      <c r="F3727" s="5" t="s">
        <v>37</v>
      </c>
      <c r="G3727" s="5" t="s">
        <v>25328</v>
      </c>
      <c r="H3727" s="6" t="s">
        <v>25329</v>
      </c>
      <c r="I3727" s="7" t="s">
        <v>25330</v>
      </c>
      <c r="J3727" s="8" t="str">
        <f>HYPERLINK("https://drive.google.com/file/d/1NbjlaalrypQ5D9XTmt1g07siKS5I3onB/view?usp=drivesdk","RATNA SARI DEWI SERTIFIKAT BerAKHLAK")</f>
        <v>RATNA SARI DEWI SERTIFIKAT BerAKHLAK</v>
      </c>
      <c r="K3727" s="5" t="s">
        <v>25183</v>
      </c>
      <c r="L3727" s="5" t="s">
        <v>25331</v>
      </c>
    </row>
    <row r="3728">
      <c r="A3728" s="4">
        <v>45534.34710157407</v>
      </c>
      <c r="B3728" s="5" t="s">
        <v>34</v>
      </c>
      <c r="D3728" s="5" t="s">
        <v>10444</v>
      </c>
      <c r="E3728" s="5" t="s">
        <v>25334</v>
      </c>
      <c r="F3728" s="5" t="s">
        <v>72</v>
      </c>
      <c r="G3728" s="5" t="s">
        <v>25335</v>
      </c>
      <c r="H3728" s="6" t="s">
        <v>25336</v>
      </c>
      <c r="K3728" s="5" t="s">
        <v>25337</v>
      </c>
    </row>
    <row r="3729">
      <c r="A3729" s="4">
        <v>45534.34711449074</v>
      </c>
      <c r="B3729" s="5" t="s">
        <v>34</v>
      </c>
      <c r="D3729" s="5" t="s">
        <v>10444</v>
      </c>
      <c r="E3729" s="5" t="s">
        <v>25341</v>
      </c>
      <c r="F3729" s="5" t="s">
        <v>108</v>
      </c>
      <c r="G3729" s="5" t="s">
        <v>25342</v>
      </c>
      <c r="H3729" s="6" t="s">
        <v>25343</v>
      </c>
      <c r="K3729" s="5" t="s">
        <v>25337</v>
      </c>
    </row>
    <row r="3730">
      <c r="A3730" s="4">
        <v>45534.34711528935</v>
      </c>
      <c r="B3730" s="5" t="s">
        <v>34</v>
      </c>
      <c r="D3730" s="5" t="s">
        <v>4775</v>
      </c>
      <c r="E3730" s="5" t="s">
        <v>25346</v>
      </c>
      <c r="F3730" s="5" t="s">
        <v>524</v>
      </c>
      <c r="G3730" s="5" t="s">
        <v>25347</v>
      </c>
      <c r="H3730" s="6" t="s">
        <v>25348</v>
      </c>
      <c r="I3730" s="7" t="s">
        <v>25349</v>
      </c>
      <c r="J3730" s="8" t="str">
        <f>HYPERLINK("https://drive.google.com/file/d/1jJdTP_p-XwgseRPVt_cwXMHOJMi_vCVy/view?usp=drivesdk","WAHYU HIDAYAT SINGANJAYA, A.Md.Kep. SERTIFIKAT BerAKHLAK")</f>
        <v>WAHYU HIDAYAT SINGANJAYA, A.Md.Kep. SERTIFIKAT BerAKHLAK</v>
      </c>
      <c r="K3730" s="5" t="s">
        <v>25183</v>
      </c>
      <c r="L3730" s="5" t="s">
        <v>25350</v>
      </c>
    </row>
    <row r="3731">
      <c r="A3731" s="4">
        <v>45534.34711563657</v>
      </c>
      <c r="B3731" s="5" t="s">
        <v>19</v>
      </c>
      <c r="C3731" s="5" t="s">
        <v>442</v>
      </c>
      <c r="E3731" s="5" t="s">
        <v>25353</v>
      </c>
      <c r="F3731" s="5" t="s">
        <v>375</v>
      </c>
      <c r="G3731" s="5" t="s">
        <v>25354</v>
      </c>
      <c r="H3731" s="6" t="s">
        <v>25355</v>
      </c>
      <c r="I3731" s="7" t="s">
        <v>25356</v>
      </c>
      <c r="J3731" s="8" t="str">
        <f>HYPERLINK("https://drive.google.com/file/d/1Lc_KiS2O979xEJEOd_5EoUgAdMzpsmhU/view?usp=drivesdk","RITA FUJI HASTUTI SERTIFIKAT BerAKHLAK")</f>
        <v>RITA FUJI HASTUTI SERTIFIKAT BerAKHLAK</v>
      </c>
      <c r="K3731" s="5" t="s">
        <v>25183</v>
      </c>
      <c r="L3731" s="5" t="s">
        <v>25357</v>
      </c>
    </row>
    <row r="3732">
      <c r="A3732" s="4">
        <v>45534.34713744213</v>
      </c>
      <c r="B3732" s="5" t="s">
        <v>34</v>
      </c>
      <c r="D3732" s="5" t="s">
        <v>6232</v>
      </c>
      <c r="E3732" s="5" t="s">
        <v>25360</v>
      </c>
      <c r="F3732" s="5" t="s">
        <v>108</v>
      </c>
      <c r="G3732" s="5" t="s">
        <v>25361</v>
      </c>
      <c r="H3732" s="6" t="s">
        <v>25362</v>
      </c>
      <c r="I3732" s="7" t="s">
        <v>25363</v>
      </c>
      <c r="J3732" s="8" t="str">
        <f>HYPERLINK("https://drive.google.com/file/d/1IBgMA7OV80W2ZhvUiA2XCJuEFimREr7-/view?usp=drivesdk","SAMIJAN SERTIFIKAT BerAKHLAK")</f>
        <v>SAMIJAN SERTIFIKAT BerAKHLAK</v>
      </c>
      <c r="K3732" s="5" t="s">
        <v>25183</v>
      </c>
      <c r="L3732" s="5" t="s">
        <v>25364</v>
      </c>
    </row>
    <row r="3733">
      <c r="A3733" s="4">
        <v>45534.34715053241</v>
      </c>
      <c r="B3733" s="5" t="s">
        <v>34</v>
      </c>
      <c r="D3733" s="5" t="s">
        <v>4775</v>
      </c>
      <c r="E3733" s="5" t="s">
        <v>25367</v>
      </c>
      <c r="F3733" s="5" t="s">
        <v>37</v>
      </c>
      <c r="G3733" s="5" t="s">
        <v>25368</v>
      </c>
      <c r="H3733" s="6" t="s">
        <v>25369</v>
      </c>
      <c r="K3733" s="5" t="s">
        <v>25370</v>
      </c>
    </row>
    <row r="3734">
      <c r="A3734" s="4">
        <v>45534.347156874996</v>
      </c>
      <c r="B3734" s="5" t="s">
        <v>34</v>
      </c>
      <c r="D3734" s="5" t="s">
        <v>10444</v>
      </c>
      <c r="E3734" s="5" t="s">
        <v>25374</v>
      </c>
      <c r="F3734" s="5" t="s">
        <v>524</v>
      </c>
      <c r="G3734" s="5" t="s">
        <v>25375</v>
      </c>
      <c r="H3734" s="6" t="s">
        <v>25376</v>
      </c>
      <c r="I3734" s="7" t="s">
        <v>25377</v>
      </c>
      <c r="J3734" s="8" t="str">
        <f>HYPERLINK("https://drive.google.com/file/d/1hBRioDHrtjVdKSuOmBrEcY3R4OF1KkO9/view?usp=drivesdk","ISMUN SADE SERTIFIKAT BerAKHLAK")</f>
        <v>ISMUN SADE SERTIFIKAT BerAKHLAK</v>
      </c>
      <c r="K3734" s="5" t="s">
        <v>25183</v>
      </c>
      <c r="L3734" s="5" t="s">
        <v>25378</v>
      </c>
    </row>
    <row r="3735">
      <c r="A3735" s="4">
        <v>45534.34717085648</v>
      </c>
      <c r="B3735" s="5" t="s">
        <v>34</v>
      </c>
      <c r="D3735" s="5" t="s">
        <v>1768</v>
      </c>
      <c r="E3735" s="5" t="s">
        <v>25381</v>
      </c>
      <c r="F3735" s="5" t="s">
        <v>199</v>
      </c>
      <c r="G3735" s="5" t="s">
        <v>25382</v>
      </c>
      <c r="H3735" s="6" t="s">
        <v>25383</v>
      </c>
      <c r="I3735" s="7" t="s">
        <v>25384</v>
      </c>
      <c r="J3735" s="8" t="str">
        <f>HYPERLINK("https://drive.google.com/file/d/1-9RZWf9a2GPRDs-_tRoYelPVjVY4MrhM/view?usp=drivesdk","KUSNIKUSNI SERTIFIKAT BerAKHLAK")</f>
        <v>KUSNIKUSNI SERTIFIKAT BerAKHLAK</v>
      </c>
      <c r="K3735" s="5" t="s">
        <v>25183</v>
      </c>
      <c r="L3735" s="5" t="s">
        <v>25385</v>
      </c>
    </row>
    <row r="3736">
      <c r="A3736" s="4">
        <v>45534.347174826384</v>
      </c>
      <c r="B3736" s="5" t="s">
        <v>34</v>
      </c>
      <c r="D3736" s="5" t="s">
        <v>14424</v>
      </c>
      <c r="E3736" s="5" t="s">
        <v>25388</v>
      </c>
      <c r="F3736" s="5" t="s">
        <v>375</v>
      </c>
      <c r="G3736" s="5" t="s">
        <v>25389</v>
      </c>
      <c r="H3736" s="6" t="s">
        <v>25390</v>
      </c>
      <c r="I3736" s="7" t="s">
        <v>25391</v>
      </c>
      <c r="J3736" s="8" t="str">
        <f>HYPERLINK("https://drive.google.com/file/d/1wcJ6De2_yqo83K71hsnnnkienDwRrN7A/view?usp=drivesdk","MUKHLIS, SHI SERTIFIKAT BerAKHLAK")</f>
        <v>MUKHLIS, SHI SERTIFIKAT BerAKHLAK</v>
      </c>
      <c r="K3736" s="5" t="s">
        <v>25183</v>
      </c>
      <c r="L3736" s="5" t="s">
        <v>25392</v>
      </c>
    </row>
    <row r="3737">
      <c r="A3737" s="4">
        <v>45534.34717633102</v>
      </c>
      <c r="B3737" s="5" t="s">
        <v>19</v>
      </c>
      <c r="C3737" s="5" t="s">
        <v>292</v>
      </c>
      <c r="E3737" s="5" t="s">
        <v>25395</v>
      </c>
      <c r="F3737" s="5" t="s">
        <v>212</v>
      </c>
      <c r="G3737" s="5" t="s">
        <v>25396</v>
      </c>
      <c r="H3737" s="6" t="s">
        <v>25397</v>
      </c>
      <c r="K3737" s="5" t="s">
        <v>25398</v>
      </c>
    </row>
    <row r="3738">
      <c r="A3738" s="4">
        <v>45534.34717641203</v>
      </c>
      <c r="B3738" s="5" t="s">
        <v>34</v>
      </c>
      <c r="D3738" s="5" t="s">
        <v>1206</v>
      </c>
      <c r="E3738" s="5" t="s">
        <v>25402</v>
      </c>
      <c r="F3738" s="5" t="s">
        <v>524</v>
      </c>
      <c r="G3738" s="5" t="s">
        <v>25403</v>
      </c>
      <c r="H3738" s="6" t="s">
        <v>25404</v>
      </c>
      <c r="K3738" s="5" t="s">
        <v>25398</v>
      </c>
    </row>
    <row r="3739">
      <c r="A3739" s="4">
        <v>45534.34717684028</v>
      </c>
      <c r="B3739" s="5" t="s">
        <v>34</v>
      </c>
      <c r="D3739" s="5" t="s">
        <v>9394</v>
      </c>
      <c r="E3739" s="5" t="s">
        <v>25407</v>
      </c>
      <c r="F3739" s="5" t="s">
        <v>212</v>
      </c>
      <c r="G3739" s="5" t="s">
        <v>25408</v>
      </c>
      <c r="H3739" s="6" t="s">
        <v>25409</v>
      </c>
      <c r="K3739" s="5" t="s">
        <v>25398</v>
      </c>
    </row>
    <row r="3740">
      <c r="A3740" s="4">
        <v>45534.347199606476</v>
      </c>
      <c r="B3740" s="5" t="s">
        <v>34</v>
      </c>
      <c r="D3740" s="5" t="s">
        <v>3432</v>
      </c>
      <c r="E3740" s="5" t="s">
        <v>25412</v>
      </c>
      <c r="F3740" s="5" t="s">
        <v>375</v>
      </c>
      <c r="G3740" s="5" t="s">
        <v>25413</v>
      </c>
      <c r="H3740" s="6" t="s">
        <v>25414</v>
      </c>
      <c r="I3740" s="7" t="s">
        <v>25415</v>
      </c>
      <c r="J3740" s="8" t="str">
        <f>HYPERLINK("https://drive.google.com/file/d/1RYD7-PhZ4spAZaB6X-sTLr7QMr25vgUY/view?usp=drivesdk","KURNIAHTI HAYATUN  SERTIFIKAT BerAKHLAK")</f>
        <v>KURNIAHTI HAYATUN  SERTIFIKAT BerAKHLAK</v>
      </c>
      <c r="K3740" s="5" t="s">
        <v>25183</v>
      </c>
      <c r="L3740" s="5" t="s">
        <v>25416</v>
      </c>
    </row>
    <row r="3741">
      <c r="A3741" s="4">
        <v>45534.347201412034</v>
      </c>
      <c r="B3741" s="5" t="s">
        <v>34</v>
      </c>
      <c r="D3741" s="5" t="s">
        <v>1206</v>
      </c>
      <c r="E3741" s="5" t="s">
        <v>25419</v>
      </c>
      <c r="F3741" s="5" t="s">
        <v>328</v>
      </c>
      <c r="G3741" s="5" t="s">
        <v>25420</v>
      </c>
      <c r="H3741" s="6" t="s">
        <v>25421</v>
      </c>
      <c r="I3741" s="7" t="s">
        <v>25422</v>
      </c>
      <c r="J3741" s="8" t="str">
        <f>HYPERLINK("https://drive.google.com/file/d/1xj48OZ5gu5k5jBUGcFecvmnw88lCXVYr/view?usp=drivesdk","LIA NOVIANTI  SERTIFIKAT BerAKHLAK")</f>
        <v>LIA NOVIANTI  SERTIFIKAT BerAKHLAK</v>
      </c>
      <c r="K3741" s="5" t="s">
        <v>25183</v>
      </c>
      <c r="L3741" s="5" t="s">
        <v>25423</v>
      </c>
    </row>
    <row r="3742">
      <c r="A3742" s="4">
        <v>45534.34721460648</v>
      </c>
      <c r="B3742" s="5" t="s">
        <v>34</v>
      </c>
      <c r="D3742" s="5" t="s">
        <v>1206</v>
      </c>
      <c r="E3742" s="5" t="s">
        <v>25426</v>
      </c>
      <c r="F3742" s="5" t="s">
        <v>212</v>
      </c>
      <c r="G3742" s="5" t="s">
        <v>25427</v>
      </c>
      <c r="H3742" s="6" t="s">
        <v>25428</v>
      </c>
      <c r="K3742" s="5" t="s">
        <v>25429</v>
      </c>
    </row>
    <row r="3743">
      <c r="A3743" s="4">
        <v>45534.347236319445</v>
      </c>
      <c r="B3743" s="5" t="s">
        <v>34</v>
      </c>
      <c r="D3743" s="5" t="s">
        <v>701</v>
      </c>
      <c r="E3743" s="5" t="s">
        <v>25433</v>
      </c>
      <c r="F3743" s="5" t="s">
        <v>37</v>
      </c>
      <c r="G3743" s="5" t="s">
        <v>25434</v>
      </c>
      <c r="H3743" s="6" t="s">
        <v>25435</v>
      </c>
      <c r="I3743" s="7" t="s">
        <v>25436</v>
      </c>
      <c r="J3743" s="8" t="str">
        <f>HYPERLINK("https://drive.google.com/file/d/1IsP8nsIZ96WaDPCCofVWkyvJNLARbFbB/view?usp=drivesdk","SONIA ZHAHARA,A.Md.Kep SERTIFIKAT BerAKHLAK")</f>
        <v>SONIA ZHAHARA,A.Md.Kep SERTIFIKAT BerAKHLAK</v>
      </c>
      <c r="K3743" s="5" t="s">
        <v>25183</v>
      </c>
      <c r="L3743" s="5" t="s">
        <v>25437</v>
      </c>
    </row>
    <row r="3744">
      <c r="A3744" s="4">
        <v>45534.34723655092</v>
      </c>
      <c r="B3744" s="5" t="s">
        <v>34</v>
      </c>
      <c r="D3744" s="5" t="s">
        <v>9020</v>
      </c>
      <c r="E3744" s="5" t="s">
        <v>25440</v>
      </c>
      <c r="F3744" s="5" t="s">
        <v>212</v>
      </c>
      <c r="G3744" s="5" t="s">
        <v>25441</v>
      </c>
      <c r="H3744" s="6" t="s">
        <v>25442</v>
      </c>
      <c r="I3744" s="7" t="s">
        <v>25443</v>
      </c>
      <c r="J3744" s="8" t="str">
        <f>HYPERLINK("https://drive.google.com/file/d/19_iMGh_-i6HDjl_YsdM2qtW-6mlOVpod/view?usp=drivesdk","MARINTAN PAKPAHAN SERTIFIKAT BerAKHLAK")</f>
        <v>MARINTAN PAKPAHAN SERTIFIKAT BerAKHLAK</v>
      </c>
      <c r="K3744" s="5" t="s">
        <v>25183</v>
      </c>
      <c r="L3744" s="5" t="s">
        <v>25444</v>
      </c>
    </row>
    <row r="3745">
      <c r="A3745" s="4">
        <v>45534.34724476852</v>
      </c>
      <c r="B3745" s="5" t="s">
        <v>34</v>
      </c>
      <c r="D3745" s="5" t="s">
        <v>1206</v>
      </c>
      <c r="E3745" s="5" t="s">
        <v>25447</v>
      </c>
      <c r="F3745" s="5" t="s">
        <v>37</v>
      </c>
      <c r="G3745" s="5" t="s">
        <v>25448</v>
      </c>
      <c r="H3745" s="6" t="s">
        <v>25449</v>
      </c>
      <c r="I3745" s="7" t="s">
        <v>25450</v>
      </c>
      <c r="J3745" s="8" t="str">
        <f>HYPERLINK("https://drive.google.com/file/d/1r6JP_ZADl01sXl9gjONB8W1rMJnZGqqN/view?usp=drivesdk","DIANSAH LOEBIS SERTIFIKAT BerAKHLAK")</f>
        <v>DIANSAH LOEBIS SERTIFIKAT BerAKHLAK</v>
      </c>
      <c r="K3745" s="5" t="s">
        <v>25183</v>
      </c>
      <c r="L3745" s="5" t="s">
        <v>25451</v>
      </c>
    </row>
    <row r="3746">
      <c r="A3746" s="4">
        <v>45534.34725885416</v>
      </c>
      <c r="B3746" s="5" t="s">
        <v>34</v>
      </c>
      <c r="D3746" s="5" t="s">
        <v>12978</v>
      </c>
      <c r="E3746" s="5" t="s">
        <v>25454</v>
      </c>
      <c r="F3746" s="5" t="s">
        <v>212</v>
      </c>
      <c r="G3746" s="5" t="s">
        <v>25455</v>
      </c>
      <c r="H3746" s="6" t="s">
        <v>25456</v>
      </c>
      <c r="I3746" s="7" t="s">
        <v>25457</v>
      </c>
      <c r="J3746" s="8" t="str">
        <f>HYPERLINK("https://drive.google.com/file/d/1NRt6fj2VxatBHDy96qqihrMs3ji_b-uM/view?usp=drivesdk","ROBIYATUL ADAWIYAH SERTIFIKAT BerAKHLAK")</f>
        <v>ROBIYATUL ADAWIYAH SERTIFIKAT BerAKHLAK</v>
      </c>
      <c r="K3746" s="5" t="s">
        <v>25183</v>
      </c>
      <c r="L3746" s="5" t="s">
        <v>25458</v>
      </c>
    </row>
    <row r="3747">
      <c r="A3747" s="4">
        <v>45534.3472678588</v>
      </c>
      <c r="B3747" s="5" t="s">
        <v>34</v>
      </c>
      <c r="D3747" s="5" t="s">
        <v>14424</v>
      </c>
      <c r="E3747" s="5" t="s">
        <v>25461</v>
      </c>
      <c r="F3747" s="5" t="s">
        <v>37</v>
      </c>
      <c r="G3747" s="5" t="s">
        <v>25462</v>
      </c>
      <c r="H3747" s="6" t="s">
        <v>25463</v>
      </c>
      <c r="I3747" s="7" t="s">
        <v>25464</v>
      </c>
      <c r="J3747" s="8" t="str">
        <f>HYPERLINK("https://drive.google.com/file/d/1aKk7zYUeptRSgGgcXcgN7DpZGOAesN13/view?usp=drivesdk","MUHAMMAD YUSRI  SERTIFIKAT BerAKHLAK")</f>
        <v>MUHAMMAD YUSRI  SERTIFIKAT BerAKHLAK</v>
      </c>
      <c r="K3747" s="5" t="s">
        <v>25183</v>
      </c>
      <c r="L3747" s="5" t="s">
        <v>25465</v>
      </c>
    </row>
    <row r="3748">
      <c r="A3748" s="4">
        <v>45534.347269398146</v>
      </c>
      <c r="B3748" s="5" t="s">
        <v>34</v>
      </c>
      <c r="D3748" s="5" t="s">
        <v>35</v>
      </c>
      <c r="E3748" s="5" t="s">
        <v>25469</v>
      </c>
      <c r="F3748" s="5" t="s">
        <v>328</v>
      </c>
      <c r="G3748" s="5" t="s">
        <v>25470</v>
      </c>
      <c r="H3748" s="6" t="s">
        <v>25471</v>
      </c>
      <c r="K3748" s="5" t="s">
        <v>25472</v>
      </c>
    </row>
    <row r="3749">
      <c r="A3749" s="4">
        <v>45534.34728541667</v>
      </c>
      <c r="B3749" s="5" t="s">
        <v>34</v>
      </c>
      <c r="D3749" s="5" t="s">
        <v>10444</v>
      </c>
      <c r="E3749" s="5" t="s">
        <v>25475</v>
      </c>
      <c r="F3749" s="5" t="s">
        <v>212</v>
      </c>
      <c r="G3749" s="5" t="s">
        <v>25476</v>
      </c>
      <c r="H3749" s="6" t="s">
        <v>25477</v>
      </c>
      <c r="I3749" s="7" t="s">
        <v>25478</v>
      </c>
      <c r="J3749" s="8" t="str">
        <f>HYPERLINK("https://drive.google.com/file/d/1_Bx_zF8_KV2Bd3nPciLgA80_2HwtxDdg/view?usp=drivesdk","Rika Mustika. A.Md SERTIFIKAT BerAKHLAK")</f>
        <v>Rika Mustika. A.Md SERTIFIKAT BerAKHLAK</v>
      </c>
      <c r="K3749" s="5" t="s">
        <v>25183</v>
      </c>
      <c r="L3749" s="5" t="s">
        <v>25479</v>
      </c>
    </row>
    <row r="3750">
      <c r="A3750" s="4">
        <v>45534.34728923611</v>
      </c>
      <c r="B3750" s="5" t="s">
        <v>34</v>
      </c>
      <c r="D3750" s="5" t="s">
        <v>1206</v>
      </c>
      <c r="E3750" s="5" t="s">
        <v>25482</v>
      </c>
      <c r="F3750" s="5" t="s">
        <v>212</v>
      </c>
      <c r="G3750" s="5" t="s">
        <v>25483</v>
      </c>
      <c r="H3750" s="6" t="s">
        <v>25484</v>
      </c>
      <c r="I3750" s="7" t="s">
        <v>25485</v>
      </c>
      <c r="J3750" s="8" t="str">
        <f>HYPERLINK("https://drive.google.com/file/d/1FC1qHEm6CYt2dvKw1RdvX2oOt-LK31aA/view?usp=drivesdk","JULIANTO SERTIFIKAT BerAKHLAK")</f>
        <v>JULIANTO SERTIFIKAT BerAKHLAK</v>
      </c>
      <c r="K3750" s="5" t="s">
        <v>25486</v>
      </c>
      <c r="L3750" s="5" t="s">
        <v>25487</v>
      </c>
    </row>
    <row r="3751">
      <c r="A3751" s="4">
        <v>45534.34728916667</v>
      </c>
      <c r="B3751" s="5" t="s">
        <v>34</v>
      </c>
      <c r="D3751" s="5" t="s">
        <v>4775</v>
      </c>
      <c r="E3751" s="5" t="s">
        <v>25490</v>
      </c>
      <c r="F3751" s="5" t="s">
        <v>524</v>
      </c>
      <c r="G3751" s="5" t="s">
        <v>25491</v>
      </c>
      <c r="H3751" s="6" t="s">
        <v>25492</v>
      </c>
      <c r="I3751" s="7" t="s">
        <v>25493</v>
      </c>
      <c r="J3751" s="8" t="str">
        <f>HYPERLINK("https://drive.google.com/file/d/1Qh6KMtMuWWU_x8nnZ6rjb80aSWX1j1us/view?usp=drivesdk","SRI REDJEKI, SE SERTIFIKAT BerAKHLAK")</f>
        <v>SRI REDJEKI, SE SERTIFIKAT BerAKHLAK</v>
      </c>
      <c r="K3751" s="5" t="s">
        <v>25486</v>
      </c>
      <c r="L3751" s="5" t="s">
        <v>25494</v>
      </c>
    </row>
    <row r="3752">
      <c r="A3752" s="4">
        <v>45534.347289791665</v>
      </c>
      <c r="B3752" s="5" t="s">
        <v>34</v>
      </c>
      <c r="D3752" s="5" t="s">
        <v>6232</v>
      </c>
      <c r="E3752" s="5" t="s">
        <v>25498</v>
      </c>
      <c r="F3752" s="5" t="s">
        <v>108</v>
      </c>
      <c r="G3752" s="5" t="s">
        <v>25499</v>
      </c>
      <c r="H3752" s="6" t="s">
        <v>25500</v>
      </c>
      <c r="I3752" s="7" t="s">
        <v>25501</v>
      </c>
      <c r="J3752" s="8" t="str">
        <f>HYPERLINK("https://drive.google.com/file/d/1C9U5CMfOwZwe1P_dlu79fAQfjsMxAAfv/view?usp=drivesdk","dr.WILIARTI SEPUTRI SERTIFIKAT BerAKHLAK")</f>
        <v>dr.WILIARTI SEPUTRI SERTIFIKAT BerAKHLAK</v>
      </c>
      <c r="K3752" s="5" t="s">
        <v>25486</v>
      </c>
      <c r="L3752" s="5" t="s">
        <v>25502</v>
      </c>
    </row>
    <row r="3753">
      <c r="A3753" s="4">
        <v>45534.34730363426</v>
      </c>
      <c r="B3753" s="5" t="s">
        <v>34</v>
      </c>
      <c r="D3753" s="5" t="s">
        <v>6232</v>
      </c>
      <c r="E3753" s="5" t="s">
        <v>25505</v>
      </c>
      <c r="F3753" s="5" t="s">
        <v>715</v>
      </c>
      <c r="G3753" s="5" t="s">
        <v>25506</v>
      </c>
      <c r="H3753" s="6" t="s">
        <v>25507</v>
      </c>
      <c r="K3753" s="5" t="s">
        <v>25508</v>
      </c>
    </row>
    <row r="3754">
      <c r="A3754" s="4">
        <v>45534.3473116088</v>
      </c>
      <c r="B3754" s="5" t="s">
        <v>34</v>
      </c>
      <c r="D3754" s="5" t="s">
        <v>1206</v>
      </c>
      <c r="E3754" s="5" t="s">
        <v>25511</v>
      </c>
      <c r="F3754" s="5" t="s">
        <v>212</v>
      </c>
      <c r="G3754" s="5" t="s">
        <v>25512</v>
      </c>
      <c r="H3754" s="6" t="s">
        <v>25513</v>
      </c>
      <c r="K3754" s="5" t="s">
        <v>25508</v>
      </c>
    </row>
    <row r="3755">
      <c r="A3755" s="4">
        <v>45534.34732028935</v>
      </c>
      <c r="B3755" s="5" t="s">
        <v>34</v>
      </c>
      <c r="D3755" s="5" t="s">
        <v>12978</v>
      </c>
      <c r="E3755" s="5" t="s">
        <v>25516</v>
      </c>
      <c r="F3755" s="5" t="s">
        <v>212</v>
      </c>
      <c r="G3755" s="5" t="s">
        <v>25517</v>
      </c>
      <c r="H3755" s="6" t="s">
        <v>25518</v>
      </c>
      <c r="I3755" s="7" t="s">
        <v>25519</v>
      </c>
      <c r="J3755" s="8" t="str">
        <f>HYPERLINK("https://drive.google.com/file/d/1qW2ubu-QV_uUN3LSvmtcNbPCqCkcTwB9/view?usp=drivesdk","AL FURKON SERTIFIKAT BerAKHLAK")</f>
        <v>AL FURKON SERTIFIKAT BerAKHLAK</v>
      </c>
      <c r="K3755" s="5" t="s">
        <v>25183</v>
      </c>
      <c r="L3755" s="5" t="s">
        <v>25520</v>
      </c>
    </row>
    <row r="3756">
      <c r="A3756" s="4">
        <v>45534.34732973379</v>
      </c>
      <c r="B3756" s="5" t="s">
        <v>34</v>
      </c>
      <c r="D3756" s="5" t="s">
        <v>35</v>
      </c>
      <c r="E3756" s="5" t="s">
        <v>25524</v>
      </c>
      <c r="F3756" s="5" t="s">
        <v>212</v>
      </c>
      <c r="G3756" s="5" t="s">
        <v>25525</v>
      </c>
      <c r="H3756" s="6" t="s">
        <v>25526</v>
      </c>
      <c r="I3756" s="7" t="s">
        <v>25527</v>
      </c>
      <c r="J3756" s="8" t="str">
        <f>HYPERLINK("https://drive.google.com/file/d/1LWnn8BW12ohtdy3k04HDpMXyoHt5STEo/view?usp=drivesdk","LIN NUR ISNAWATI SERTIFIKAT BerAKHLAK")</f>
        <v>LIN NUR ISNAWATI SERTIFIKAT BerAKHLAK</v>
      </c>
      <c r="K3756" s="5" t="s">
        <v>25486</v>
      </c>
      <c r="L3756" s="5" t="s">
        <v>25528</v>
      </c>
    </row>
    <row r="3757">
      <c r="A3757" s="4">
        <v>45534.34733230324</v>
      </c>
      <c r="B3757" s="5" t="s">
        <v>34</v>
      </c>
      <c r="D3757" s="5" t="s">
        <v>996</v>
      </c>
      <c r="E3757" s="5" t="s">
        <v>25531</v>
      </c>
      <c r="F3757" s="5" t="s">
        <v>212</v>
      </c>
      <c r="G3757" s="5" t="s">
        <v>25532</v>
      </c>
      <c r="H3757" s="6" t="s">
        <v>25533</v>
      </c>
      <c r="I3757" s="7" t="s">
        <v>25534</v>
      </c>
      <c r="J3757" s="8" t="str">
        <f>HYPERLINK("https://drive.google.com/file/d/1r0KQAOolojE4crKDHUBCt1bppTXbvYez/view?usp=drivesdk","NISWOYO SERTIFIKAT BerAKHLAK")</f>
        <v>NISWOYO SERTIFIKAT BerAKHLAK</v>
      </c>
      <c r="K3757" s="5" t="s">
        <v>25486</v>
      </c>
      <c r="L3757" s="5" t="s">
        <v>25535</v>
      </c>
    </row>
    <row r="3758">
      <c r="A3758" s="4">
        <v>45534.34733396991</v>
      </c>
      <c r="B3758" s="5" t="s">
        <v>34</v>
      </c>
      <c r="D3758" s="5" t="s">
        <v>701</v>
      </c>
      <c r="E3758" s="5" t="s">
        <v>25538</v>
      </c>
      <c r="F3758" s="5" t="s">
        <v>37</v>
      </c>
      <c r="G3758" s="5" t="s">
        <v>25539</v>
      </c>
      <c r="H3758" s="6" t="s">
        <v>25540</v>
      </c>
      <c r="K3758" s="5" t="s">
        <v>25541</v>
      </c>
    </row>
    <row r="3759">
      <c r="A3759" s="4">
        <v>45534.34733496528</v>
      </c>
      <c r="B3759" s="5" t="s">
        <v>34</v>
      </c>
      <c r="D3759" s="5" t="s">
        <v>9020</v>
      </c>
      <c r="E3759" s="5" t="s">
        <v>25544</v>
      </c>
      <c r="F3759" s="5" t="s">
        <v>212</v>
      </c>
      <c r="G3759" s="5" t="s">
        <v>25545</v>
      </c>
      <c r="H3759" s="6" t="s">
        <v>25546</v>
      </c>
      <c r="K3759" s="5" t="s">
        <v>25541</v>
      </c>
    </row>
    <row r="3760">
      <c r="A3760" s="4">
        <v>45534.34733996528</v>
      </c>
      <c r="B3760" s="5" t="s">
        <v>34</v>
      </c>
      <c r="D3760" s="5" t="s">
        <v>1206</v>
      </c>
      <c r="E3760" s="5" t="s">
        <v>25549</v>
      </c>
      <c r="F3760" s="5" t="s">
        <v>108</v>
      </c>
      <c r="G3760" s="5" t="s">
        <v>25550</v>
      </c>
      <c r="H3760" s="6" t="s">
        <v>25551</v>
      </c>
      <c r="K3760" s="5" t="s">
        <v>25541</v>
      </c>
    </row>
    <row r="3761">
      <c r="A3761" s="4">
        <v>45534.34734025463</v>
      </c>
      <c r="B3761" s="5" t="s">
        <v>34</v>
      </c>
      <c r="D3761" s="5" t="s">
        <v>35</v>
      </c>
      <c r="E3761" s="5" t="s">
        <v>25555</v>
      </c>
      <c r="F3761" s="5" t="s">
        <v>108</v>
      </c>
      <c r="G3761" s="5" t="s">
        <v>25556</v>
      </c>
      <c r="H3761" s="6" t="s">
        <v>25557</v>
      </c>
      <c r="K3761" s="5" t="s">
        <v>25541</v>
      </c>
    </row>
    <row r="3762">
      <c r="A3762" s="4">
        <v>45534.34735043981</v>
      </c>
      <c r="B3762" s="5" t="s">
        <v>34</v>
      </c>
      <c r="D3762" s="5" t="s">
        <v>1206</v>
      </c>
      <c r="E3762" s="5" t="s">
        <v>25560</v>
      </c>
      <c r="F3762" s="5" t="s">
        <v>212</v>
      </c>
      <c r="G3762" s="5" t="s">
        <v>25561</v>
      </c>
      <c r="H3762" s="6" t="s">
        <v>25562</v>
      </c>
      <c r="K3762" s="5" t="s">
        <v>25541</v>
      </c>
    </row>
    <row r="3763">
      <c r="A3763" s="4">
        <v>45534.34736699074</v>
      </c>
      <c r="B3763" s="5" t="s">
        <v>34</v>
      </c>
      <c r="D3763" s="5" t="s">
        <v>701</v>
      </c>
      <c r="E3763" s="5" t="s">
        <v>25565</v>
      </c>
      <c r="F3763" s="5" t="s">
        <v>72</v>
      </c>
      <c r="G3763" s="5" t="s">
        <v>25566</v>
      </c>
      <c r="H3763" s="6" t="s">
        <v>25567</v>
      </c>
      <c r="K3763" s="5" t="s">
        <v>25541</v>
      </c>
    </row>
    <row r="3764">
      <c r="A3764" s="4">
        <v>45534.347382430555</v>
      </c>
      <c r="B3764" s="5" t="s">
        <v>34</v>
      </c>
      <c r="D3764" s="5" t="s">
        <v>9020</v>
      </c>
      <c r="E3764" s="5" t="s">
        <v>25570</v>
      </c>
      <c r="F3764" s="5" t="s">
        <v>212</v>
      </c>
      <c r="G3764" s="5" t="s">
        <v>25571</v>
      </c>
      <c r="H3764" s="6" t="s">
        <v>25572</v>
      </c>
      <c r="K3764" s="5" t="s">
        <v>25541</v>
      </c>
    </row>
    <row r="3765">
      <c r="A3765" s="4">
        <v>45534.34738643518</v>
      </c>
      <c r="B3765" s="5" t="s">
        <v>34</v>
      </c>
      <c r="D3765" s="5" t="s">
        <v>15401</v>
      </c>
      <c r="E3765" s="5" t="s">
        <v>25576</v>
      </c>
      <c r="F3765" s="5" t="s">
        <v>715</v>
      </c>
      <c r="G3765" s="5" t="s">
        <v>25577</v>
      </c>
      <c r="H3765" s="6" t="s">
        <v>25578</v>
      </c>
      <c r="K3765" s="5" t="s">
        <v>25541</v>
      </c>
    </row>
    <row r="3766">
      <c r="A3766" s="4">
        <v>45534.34738704861</v>
      </c>
      <c r="B3766" s="5" t="s">
        <v>34</v>
      </c>
      <c r="D3766" s="5" t="s">
        <v>1206</v>
      </c>
      <c r="E3766" s="5" t="s">
        <v>25581</v>
      </c>
      <c r="F3766" s="5" t="s">
        <v>328</v>
      </c>
      <c r="G3766" s="5" t="s">
        <v>25582</v>
      </c>
      <c r="H3766" s="6" t="s">
        <v>25583</v>
      </c>
      <c r="K3766" s="5" t="s">
        <v>25541</v>
      </c>
    </row>
    <row r="3767">
      <c r="A3767" s="4">
        <v>45534.34738724537</v>
      </c>
      <c r="B3767" s="5" t="s">
        <v>34</v>
      </c>
      <c r="D3767" s="5" t="s">
        <v>1692</v>
      </c>
      <c r="E3767" s="5" t="s">
        <v>25586</v>
      </c>
      <c r="F3767" s="5" t="s">
        <v>108</v>
      </c>
      <c r="G3767" s="5" t="s">
        <v>25587</v>
      </c>
      <c r="H3767" s="6" t="s">
        <v>25588</v>
      </c>
      <c r="K3767" s="5" t="s">
        <v>25541</v>
      </c>
    </row>
    <row r="3768">
      <c r="A3768" s="4">
        <v>45534.34739215278</v>
      </c>
      <c r="B3768" s="5" t="s">
        <v>34</v>
      </c>
      <c r="D3768" s="5" t="s">
        <v>1206</v>
      </c>
      <c r="E3768" s="5" t="s">
        <v>25591</v>
      </c>
      <c r="F3768" s="5" t="s">
        <v>328</v>
      </c>
      <c r="G3768" s="5" t="s">
        <v>25592</v>
      </c>
      <c r="H3768" s="6" t="s">
        <v>25593</v>
      </c>
      <c r="K3768" s="5" t="s">
        <v>25541</v>
      </c>
    </row>
    <row r="3769">
      <c r="A3769" s="4">
        <v>45534.347395046294</v>
      </c>
      <c r="B3769" s="5" t="s">
        <v>19</v>
      </c>
      <c r="C3769" s="5" t="s">
        <v>466</v>
      </c>
      <c r="E3769" s="5" t="s">
        <v>25597</v>
      </c>
      <c r="F3769" s="5" t="s">
        <v>72</v>
      </c>
      <c r="G3769" s="5" t="s">
        <v>25598</v>
      </c>
      <c r="H3769" s="6" t="s">
        <v>25599</v>
      </c>
      <c r="K3769" s="5" t="s">
        <v>25541</v>
      </c>
    </row>
    <row r="3770">
      <c r="A3770" s="4">
        <v>45534.34740032407</v>
      </c>
      <c r="B3770" s="5" t="s">
        <v>34</v>
      </c>
      <c r="D3770" s="5" t="s">
        <v>11527</v>
      </c>
      <c r="E3770" s="5" t="s">
        <v>25602</v>
      </c>
      <c r="F3770" s="5" t="s">
        <v>120</v>
      </c>
      <c r="G3770" s="5" t="s">
        <v>25603</v>
      </c>
      <c r="H3770" s="6" t="s">
        <v>25604</v>
      </c>
      <c r="K3770" s="5" t="s">
        <v>25541</v>
      </c>
    </row>
    <row r="3771">
      <c r="A3771" s="4">
        <v>45534.347410937495</v>
      </c>
      <c r="B3771" s="5" t="s">
        <v>34</v>
      </c>
      <c r="D3771" s="5" t="s">
        <v>1206</v>
      </c>
      <c r="E3771" s="5" t="s">
        <v>25607</v>
      </c>
      <c r="F3771" s="5" t="s">
        <v>524</v>
      </c>
      <c r="G3771" s="5" t="s">
        <v>25608</v>
      </c>
      <c r="H3771" s="6" t="s">
        <v>25609</v>
      </c>
      <c r="I3771" s="7" t="s">
        <v>25610</v>
      </c>
      <c r="J3771" s="8" t="str">
        <f>HYPERLINK("https://drive.google.com/file/d/1-jXUDNaRPtEyrAzvLOTcFHb8r1hObcBq/view?usp=drivesdk","SUAIBAH, S.P.,S.Pd., M.Pd. SERTIFIKAT BerAKHLAK")</f>
        <v>SUAIBAH, S.P.,S.Pd., M.Pd. SERTIFIKAT BerAKHLAK</v>
      </c>
      <c r="K3771" s="5" t="s">
        <v>25486</v>
      </c>
      <c r="L3771" s="5" t="s">
        <v>25611</v>
      </c>
    </row>
    <row r="3772">
      <c r="A3772" s="4">
        <v>45534.34741731481</v>
      </c>
      <c r="B3772" s="5" t="s">
        <v>34</v>
      </c>
      <c r="D3772" s="5" t="s">
        <v>1206</v>
      </c>
      <c r="E3772" s="5" t="s">
        <v>25614</v>
      </c>
      <c r="F3772" s="5" t="s">
        <v>328</v>
      </c>
      <c r="G3772" s="5" t="s">
        <v>25615</v>
      </c>
      <c r="H3772" s="6" t="s">
        <v>25616</v>
      </c>
      <c r="I3772" s="7" t="s">
        <v>25617</v>
      </c>
      <c r="J3772" s="8" t="str">
        <f>HYPERLINK("https://drive.google.com/file/d/1kZA9rCFW_K8mSH5Ii-rGCo8hXEaU9zXo/view?usp=drivesdk","INTAN NOFITA ARIFIANI  SERTIFIKAT BerAKHLAK")</f>
        <v>INTAN NOFITA ARIFIANI  SERTIFIKAT BerAKHLAK</v>
      </c>
      <c r="K3772" s="5" t="s">
        <v>25486</v>
      </c>
      <c r="L3772" s="5" t="s">
        <v>25618</v>
      </c>
    </row>
    <row r="3773">
      <c r="A3773" s="4">
        <v>45534.34742439815</v>
      </c>
      <c r="B3773" s="5" t="s">
        <v>19</v>
      </c>
      <c r="C3773" s="5" t="s">
        <v>5564</v>
      </c>
      <c r="E3773" s="5" t="s">
        <v>25621</v>
      </c>
      <c r="F3773" s="5" t="s">
        <v>524</v>
      </c>
      <c r="G3773" s="5" t="s">
        <v>25622</v>
      </c>
      <c r="H3773" s="6" t="s">
        <v>25623</v>
      </c>
      <c r="I3773" s="7" t="s">
        <v>25624</v>
      </c>
      <c r="J3773" s="8" t="str">
        <f>HYPERLINK("https://drive.google.com/file/d/1ZHfHh1lQs2mVdOVBd6W6DOgUjfZFOoBB/view?usp=drivesdk","MERIKA WIDYANINGSIH SERTIFIKAT BerAKHLAK")</f>
        <v>MERIKA WIDYANINGSIH SERTIFIKAT BerAKHLAK</v>
      </c>
      <c r="K3773" s="5" t="s">
        <v>25486</v>
      </c>
      <c r="L3773" s="5" t="s">
        <v>25625</v>
      </c>
    </row>
    <row r="3774">
      <c r="A3774" s="4">
        <v>45534.34742608796</v>
      </c>
      <c r="B3774" s="5" t="s">
        <v>34</v>
      </c>
      <c r="D3774" s="5" t="s">
        <v>4775</v>
      </c>
      <c r="E3774" s="5" t="s">
        <v>25629</v>
      </c>
      <c r="F3774" s="5" t="s">
        <v>375</v>
      </c>
      <c r="G3774" s="5" t="s">
        <v>25630</v>
      </c>
      <c r="H3774" s="6" t="s">
        <v>25631</v>
      </c>
      <c r="K3774" s="5" t="s">
        <v>25632</v>
      </c>
    </row>
    <row r="3775">
      <c r="A3775" s="4">
        <v>45534.34743497685</v>
      </c>
      <c r="B3775" s="5" t="s">
        <v>34</v>
      </c>
      <c r="D3775" s="5" t="s">
        <v>4775</v>
      </c>
      <c r="E3775" s="5" t="s">
        <v>25635</v>
      </c>
      <c r="F3775" s="5" t="s">
        <v>37</v>
      </c>
      <c r="G3775" s="5" t="s">
        <v>25636</v>
      </c>
      <c r="H3775" s="6" t="s">
        <v>25637</v>
      </c>
      <c r="K3775" s="5" t="s">
        <v>25632</v>
      </c>
    </row>
    <row r="3776">
      <c r="A3776" s="4">
        <v>45534.3474441088</v>
      </c>
      <c r="B3776" s="5" t="s">
        <v>34</v>
      </c>
      <c r="D3776" s="5" t="s">
        <v>9020</v>
      </c>
      <c r="E3776" s="5" t="s">
        <v>25640</v>
      </c>
      <c r="F3776" s="5" t="s">
        <v>37</v>
      </c>
      <c r="G3776" s="5" t="s">
        <v>25641</v>
      </c>
      <c r="H3776" s="6" t="s">
        <v>25642</v>
      </c>
      <c r="K3776" s="5" t="s">
        <v>25632</v>
      </c>
    </row>
    <row r="3777">
      <c r="A3777" s="4">
        <v>45534.34744817129</v>
      </c>
      <c r="B3777" s="5" t="s">
        <v>34</v>
      </c>
      <c r="D3777" s="5" t="s">
        <v>10444</v>
      </c>
      <c r="E3777" s="5" t="s">
        <v>16441</v>
      </c>
      <c r="F3777" s="5" t="s">
        <v>212</v>
      </c>
      <c r="G3777" s="5" t="s">
        <v>25645</v>
      </c>
      <c r="H3777" s="6" t="s">
        <v>25646</v>
      </c>
      <c r="K3777" s="5" t="s">
        <v>25632</v>
      </c>
    </row>
    <row r="3778">
      <c r="A3778" s="4">
        <v>45534.34745505787</v>
      </c>
      <c r="B3778" s="5" t="s">
        <v>34</v>
      </c>
      <c r="D3778" s="5" t="s">
        <v>12978</v>
      </c>
      <c r="E3778" s="5" t="s">
        <v>25650</v>
      </c>
      <c r="F3778" s="5" t="s">
        <v>212</v>
      </c>
      <c r="G3778" s="5" t="s">
        <v>25651</v>
      </c>
      <c r="H3778" s="6" t="s">
        <v>25652</v>
      </c>
      <c r="K3778" s="5" t="s">
        <v>25632</v>
      </c>
    </row>
    <row r="3779">
      <c r="A3779" s="4">
        <v>45534.34745913194</v>
      </c>
      <c r="B3779" s="5" t="s">
        <v>34</v>
      </c>
      <c r="D3779" s="5" t="s">
        <v>7858</v>
      </c>
      <c r="E3779" s="5" t="s">
        <v>25655</v>
      </c>
      <c r="F3779" s="5" t="s">
        <v>37</v>
      </c>
      <c r="G3779" s="5" t="s">
        <v>25656</v>
      </c>
      <c r="H3779" s="6" t="s">
        <v>25657</v>
      </c>
      <c r="K3779" s="5" t="s">
        <v>25632</v>
      </c>
    </row>
    <row r="3780">
      <c r="A3780" s="4">
        <v>45534.34745945602</v>
      </c>
      <c r="B3780" s="5" t="s">
        <v>34</v>
      </c>
      <c r="D3780" s="5" t="s">
        <v>1206</v>
      </c>
      <c r="E3780" s="5" t="s">
        <v>25660</v>
      </c>
      <c r="F3780" s="5" t="s">
        <v>524</v>
      </c>
      <c r="G3780" s="5" t="s">
        <v>25661</v>
      </c>
      <c r="H3780" s="6" t="s">
        <v>25662</v>
      </c>
      <c r="K3780" s="5" t="s">
        <v>25632</v>
      </c>
    </row>
    <row r="3781">
      <c r="A3781" s="4">
        <v>45534.34746189815</v>
      </c>
      <c r="B3781" s="5" t="s">
        <v>34</v>
      </c>
      <c r="D3781" s="5" t="s">
        <v>1206</v>
      </c>
      <c r="E3781" s="5" t="s">
        <v>25665</v>
      </c>
      <c r="F3781" s="5" t="s">
        <v>37</v>
      </c>
      <c r="G3781" s="5" t="s">
        <v>25666</v>
      </c>
      <c r="H3781" s="6" t="s">
        <v>25667</v>
      </c>
      <c r="K3781" s="5" t="s">
        <v>25632</v>
      </c>
    </row>
    <row r="3782">
      <c r="A3782" s="4">
        <v>45534.34746888889</v>
      </c>
      <c r="B3782" s="5" t="s">
        <v>34</v>
      </c>
      <c r="D3782" s="5" t="s">
        <v>604</v>
      </c>
      <c r="E3782" s="5" t="s">
        <v>25671</v>
      </c>
      <c r="F3782" s="5" t="s">
        <v>524</v>
      </c>
      <c r="G3782" s="5" t="s">
        <v>25672</v>
      </c>
      <c r="H3782" s="6" t="s">
        <v>25673</v>
      </c>
      <c r="K3782" s="5" t="s">
        <v>25632</v>
      </c>
    </row>
    <row r="3783">
      <c r="A3783" s="4">
        <v>45534.34747825231</v>
      </c>
      <c r="B3783" s="5" t="s">
        <v>34</v>
      </c>
      <c r="D3783" s="5" t="s">
        <v>9020</v>
      </c>
      <c r="E3783" s="5" t="s">
        <v>25676</v>
      </c>
      <c r="F3783" s="5" t="s">
        <v>37</v>
      </c>
      <c r="G3783" s="5" t="s">
        <v>25677</v>
      </c>
      <c r="H3783" s="6" t="s">
        <v>25678</v>
      </c>
      <c r="K3783" s="5" t="s">
        <v>25632</v>
      </c>
    </row>
    <row r="3784">
      <c r="A3784" s="4">
        <v>45534.34748589121</v>
      </c>
      <c r="B3784" s="5" t="s">
        <v>34</v>
      </c>
      <c r="D3784" s="5" t="s">
        <v>522</v>
      </c>
      <c r="E3784" s="5" t="s">
        <v>25681</v>
      </c>
      <c r="F3784" s="5" t="s">
        <v>72</v>
      </c>
      <c r="G3784" s="5" t="s">
        <v>25682</v>
      </c>
      <c r="H3784" s="6" t="s">
        <v>25683</v>
      </c>
      <c r="K3784" s="5" t="s">
        <v>25632</v>
      </c>
    </row>
    <row r="3785">
      <c r="A3785" s="4">
        <v>45534.34748888889</v>
      </c>
      <c r="B3785" s="5" t="s">
        <v>34</v>
      </c>
      <c r="D3785" s="5" t="s">
        <v>4775</v>
      </c>
      <c r="E3785" s="5" t="s">
        <v>25686</v>
      </c>
      <c r="F3785" s="5" t="s">
        <v>37</v>
      </c>
      <c r="G3785" s="5" t="s">
        <v>25687</v>
      </c>
      <c r="H3785" s="6" t="s">
        <v>25688</v>
      </c>
      <c r="K3785" s="5" t="s">
        <v>25632</v>
      </c>
    </row>
    <row r="3786">
      <c r="A3786" s="4">
        <v>45534.347493043984</v>
      </c>
      <c r="B3786" s="5" t="s">
        <v>34</v>
      </c>
      <c r="D3786" s="5" t="s">
        <v>7858</v>
      </c>
      <c r="E3786" s="5" t="s">
        <v>25692</v>
      </c>
      <c r="F3786" s="5" t="s">
        <v>524</v>
      </c>
      <c r="G3786" s="5" t="s">
        <v>25693</v>
      </c>
      <c r="H3786" s="6" t="s">
        <v>25694</v>
      </c>
      <c r="K3786" s="5" t="s">
        <v>25632</v>
      </c>
    </row>
    <row r="3787">
      <c r="A3787" s="4">
        <v>45534.347497696755</v>
      </c>
      <c r="B3787" s="5" t="s">
        <v>34</v>
      </c>
      <c r="D3787" s="5" t="s">
        <v>1206</v>
      </c>
      <c r="E3787" s="5" t="s">
        <v>25697</v>
      </c>
      <c r="F3787" s="5" t="s">
        <v>375</v>
      </c>
      <c r="G3787" s="5" t="s">
        <v>25698</v>
      </c>
      <c r="H3787" s="6" t="s">
        <v>25699</v>
      </c>
      <c r="K3787" s="5" t="s">
        <v>25632</v>
      </c>
    </row>
    <row r="3788">
      <c r="A3788" s="4">
        <v>45534.34749637732</v>
      </c>
      <c r="B3788" s="5" t="s">
        <v>34</v>
      </c>
      <c r="D3788" s="5" t="s">
        <v>6232</v>
      </c>
      <c r="E3788" s="5" t="s">
        <v>25702</v>
      </c>
      <c r="F3788" s="5" t="s">
        <v>212</v>
      </c>
      <c r="G3788" s="5" t="s">
        <v>25703</v>
      </c>
      <c r="H3788" s="6" t="s">
        <v>25704</v>
      </c>
      <c r="K3788" s="5" t="s">
        <v>25632</v>
      </c>
    </row>
    <row r="3789">
      <c r="A3789" s="4">
        <v>45534.347500937496</v>
      </c>
      <c r="B3789" s="5" t="s">
        <v>34</v>
      </c>
      <c r="D3789" s="5" t="s">
        <v>4775</v>
      </c>
      <c r="E3789" s="5" t="s">
        <v>25707</v>
      </c>
      <c r="F3789" s="5" t="s">
        <v>37</v>
      </c>
      <c r="G3789" s="5" t="s">
        <v>25708</v>
      </c>
      <c r="H3789" s="6" t="s">
        <v>25709</v>
      </c>
      <c r="K3789" s="5" t="s">
        <v>25632</v>
      </c>
    </row>
    <row r="3790">
      <c r="A3790" s="4">
        <v>45534.34750857639</v>
      </c>
      <c r="B3790" s="5" t="s">
        <v>34</v>
      </c>
      <c r="D3790" s="5" t="s">
        <v>7858</v>
      </c>
      <c r="E3790" s="5" t="s">
        <v>25712</v>
      </c>
      <c r="F3790" s="5" t="s">
        <v>37</v>
      </c>
      <c r="G3790" s="5" t="s">
        <v>25713</v>
      </c>
      <c r="H3790" s="6" t="s">
        <v>25714</v>
      </c>
      <c r="K3790" s="5" t="s">
        <v>25632</v>
      </c>
    </row>
    <row r="3791">
      <c r="A3791" s="4">
        <v>45534.34751662037</v>
      </c>
      <c r="B3791" s="5" t="s">
        <v>34</v>
      </c>
      <c r="D3791" s="5" t="s">
        <v>10444</v>
      </c>
      <c r="E3791" s="5" t="s">
        <v>25718</v>
      </c>
      <c r="F3791" s="5" t="s">
        <v>108</v>
      </c>
      <c r="G3791" s="5" t="s">
        <v>25719</v>
      </c>
      <c r="H3791" s="6" t="s">
        <v>25720</v>
      </c>
      <c r="K3791" s="5" t="s">
        <v>25632</v>
      </c>
    </row>
    <row r="3792">
      <c r="A3792" s="4">
        <v>45534.34751854167</v>
      </c>
      <c r="B3792" s="5" t="s">
        <v>34</v>
      </c>
      <c r="D3792" s="5" t="s">
        <v>701</v>
      </c>
      <c r="E3792" s="5" t="s">
        <v>25723</v>
      </c>
      <c r="F3792" s="5" t="s">
        <v>524</v>
      </c>
      <c r="G3792" s="5" t="s">
        <v>25724</v>
      </c>
      <c r="H3792" s="6" t="s">
        <v>25725</v>
      </c>
      <c r="K3792" s="5" t="s">
        <v>25632</v>
      </c>
    </row>
    <row r="3793">
      <c r="A3793" s="4">
        <v>45534.347519629635</v>
      </c>
      <c r="B3793" s="5" t="s">
        <v>34</v>
      </c>
      <c r="D3793" s="5" t="s">
        <v>3432</v>
      </c>
      <c r="E3793" s="5" t="s">
        <v>25728</v>
      </c>
      <c r="F3793" s="5" t="s">
        <v>375</v>
      </c>
      <c r="G3793" s="5" t="s">
        <v>25729</v>
      </c>
      <c r="H3793" s="6" t="s">
        <v>25730</v>
      </c>
      <c r="K3793" s="5" t="s">
        <v>25632</v>
      </c>
    </row>
    <row r="3794">
      <c r="A3794" s="4">
        <v>45534.34751982639</v>
      </c>
      <c r="B3794" s="5" t="s">
        <v>34</v>
      </c>
      <c r="D3794" s="5" t="s">
        <v>12978</v>
      </c>
      <c r="E3794" s="5" t="s">
        <v>25733</v>
      </c>
      <c r="F3794" s="5" t="s">
        <v>120</v>
      </c>
      <c r="G3794" s="5" t="s">
        <v>25734</v>
      </c>
      <c r="H3794" s="6" t="s">
        <v>25735</v>
      </c>
      <c r="K3794" s="5" t="s">
        <v>25632</v>
      </c>
    </row>
    <row r="3795">
      <c r="A3795" s="4">
        <v>45534.34754662037</v>
      </c>
      <c r="B3795" s="5" t="s">
        <v>19</v>
      </c>
      <c r="C3795" s="5" t="s">
        <v>14000</v>
      </c>
      <c r="E3795" s="5" t="s">
        <v>25739</v>
      </c>
      <c r="F3795" s="5" t="s">
        <v>72</v>
      </c>
      <c r="G3795" s="5" t="s">
        <v>25740</v>
      </c>
      <c r="H3795" s="6" t="s">
        <v>25741</v>
      </c>
      <c r="I3795" s="7" t="s">
        <v>25742</v>
      </c>
      <c r="J3795" s="8" t="str">
        <f>HYPERLINK("https://drive.google.com/file/d/1xRQbLwsem3XzdNbRp_wA9FCXw78LNi-1/view?usp=drivesdk","MIMIN MINTARSIH SERTIFIKAT BerAKHLAK")</f>
        <v>MIMIN MINTARSIH SERTIFIKAT BerAKHLAK</v>
      </c>
      <c r="K3795" s="5" t="s">
        <v>25183</v>
      </c>
      <c r="L3795" s="5" t="s">
        <v>25743</v>
      </c>
    </row>
    <row r="3796">
      <c r="A3796" s="4">
        <v>45534.347549791666</v>
      </c>
      <c r="B3796" s="5" t="s">
        <v>34</v>
      </c>
      <c r="D3796" s="5" t="s">
        <v>9020</v>
      </c>
      <c r="E3796" s="5" t="s">
        <v>24624</v>
      </c>
      <c r="F3796" s="5" t="s">
        <v>37</v>
      </c>
      <c r="G3796" s="5" t="s">
        <v>25746</v>
      </c>
      <c r="H3796" s="6" t="s">
        <v>25747</v>
      </c>
      <c r="I3796" s="7" t="s">
        <v>25748</v>
      </c>
      <c r="J3796" s="8" t="str">
        <f>HYPERLINK("https://drive.google.com/file/d/1a1UizuzcR1Odv6hOh6s_Cu6xks-EgjAK/view?usp=drivesdk","SUGIONO SERTIFIKAT BerAKHLAK")</f>
        <v>SUGIONO SERTIFIKAT BerAKHLAK</v>
      </c>
      <c r="K3796" s="5" t="s">
        <v>25486</v>
      </c>
      <c r="L3796" s="5" t="s">
        <v>25749</v>
      </c>
    </row>
    <row r="3797">
      <c r="A3797" s="4">
        <v>45534.34755416667</v>
      </c>
      <c r="B3797" s="5" t="s">
        <v>34</v>
      </c>
      <c r="D3797" s="5" t="s">
        <v>4775</v>
      </c>
      <c r="E3797" s="5" t="s">
        <v>25752</v>
      </c>
      <c r="F3797" s="5" t="s">
        <v>524</v>
      </c>
      <c r="G3797" s="5" t="s">
        <v>25753</v>
      </c>
      <c r="H3797" s="6" t="s">
        <v>25754</v>
      </c>
      <c r="I3797" s="7" t="s">
        <v>25755</v>
      </c>
      <c r="J3797" s="8" t="str">
        <f>HYPERLINK("https://drive.google.com/file/d/1tx3xh6lp3bYAlB8M3vJfhXhlckyCzT8X/view?usp=drivesdk","WAHYONO SANTOSO, S.M. SERTIFIKAT BerAKHLAK")</f>
        <v>WAHYONO SANTOSO, S.M. SERTIFIKAT BerAKHLAK</v>
      </c>
      <c r="K3797" s="5" t="s">
        <v>25486</v>
      </c>
      <c r="L3797" s="5" t="s">
        <v>25756</v>
      </c>
    </row>
    <row r="3798">
      <c r="A3798" s="4">
        <v>45534.34756416667</v>
      </c>
      <c r="B3798" s="5" t="s">
        <v>34</v>
      </c>
      <c r="D3798" s="5" t="s">
        <v>1206</v>
      </c>
      <c r="E3798" s="5" t="s">
        <v>25759</v>
      </c>
      <c r="F3798" s="5" t="s">
        <v>212</v>
      </c>
      <c r="G3798" s="5" t="s">
        <v>25760</v>
      </c>
      <c r="H3798" s="6" t="s">
        <v>25761</v>
      </c>
      <c r="K3798" s="5" t="s">
        <v>25632</v>
      </c>
    </row>
    <row r="3799">
      <c r="A3799" s="4">
        <v>45534.34757010417</v>
      </c>
      <c r="B3799" s="5" t="s">
        <v>34</v>
      </c>
      <c r="D3799" s="5" t="s">
        <v>12978</v>
      </c>
      <c r="E3799" s="5" t="s">
        <v>25765</v>
      </c>
      <c r="F3799" s="5" t="s">
        <v>328</v>
      </c>
      <c r="G3799" s="5" t="s">
        <v>25766</v>
      </c>
      <c r="H3799" s="6" t="s">
        <v>25767</v>
      </c>
      <c r="I3799" s="7" t="s">
        <v>25768</v>
      </c>
      <c r="J3799" s="8" t="str">
        <f>HYPERLINK("https://drive.google.com/file/d/18eRSwFvaMWo2RAm5jZHLk9Geo-DbZAme/view?usp=drivesdk","AHMAD MIRDAT  SERTIFIKAT BerAKHLAK")</f>
        <v>AHMAD MIRDAT  SERTIFIKAT BerAKHLAK</v>
      </c>
      <c r="K3799" s="5" t="s">
        <v>25486</v>
      </c>
      <c r="L3799" s="5" t="s">
        <v>25769</v>
      </c>
    </row>
    <row r="3800">
      <c r="A3800" s="4">
        <v>45534.347572326384</v>
      </c>
      <c r="B3800" s="5" t="s">
        <v>19</v>
      </c>
      <c r="C3800" s="5" t="s">
        <v>292</v>
      </c>
      <c r="E3800" s="5" t="s">
        <v>25772</v>
      </c>
      <c r="F3800" s="5" t="s">
        <v>212</v>
      </c>
      <c r="G3800" s="5" t="s">
        <v>25773</v>
      </c>
      <c r="H3800" s="6" t="s">
        <v>25774</v>
      </c>
      <c r="I3800" s="7" t="s">
        <v>25775</v>
      </c>
      <c r="J3800" s="8" t="str">
        <f>HYPERLINK("https://drive.google.com/file/d/1q4FB9Jnn2YZa-UE-6KhHGqXjOPeBE58w/view?usp=drivesdk","KUSMANA SERTIFIKAT BerAKHLAK")</f>
        <v>KUSMANA SERTIFIKAT BerAKHLAK</v>
      </c>
      <c r="K3800" s="5" t="s">
        <v>25486</v>
      </c>
      <c r="L3800" s="5" t="s">
        <v>25776</v>
      </c>
    </row>
    <row r="3801">
      <c r="A3801" s="4">
        <v>45534.34757629629</v>
      </c>
      <c r="B3801" s="5" t="s">
        <v>34</v>
      </c>
      <c r="D3801" s="5" t="s">
        <v>4775</v>
      </c>
      <c r="E3801" s="5" t="s">
        <v>25779</v>
      </c>
      <c r="F3801" s="5" t="s">
        <v>72</v>
      </c>
      <c r="G3801" s="5" t="s">
        <v>25780</v>
      </c>
      <c r="H3801" s="6" t="s">
        <v>25781</v>
      </c>
      <c r="I3801" s="7" t="s">
        <v>25782</v>
      </c>
      <c r="J3801" s="8" t="str">
        <f>HYPERLINK("https://drive.google.com/file/d/1qPezSDT2iFVIcwDE96tqYqhkbykTGs_w/view?usp=drivesdk","SURINTO PML SERTIFIKAT BerAKHLAK")</f>
        <v>SURINTO PML SERTIFIKAT BerAKHLAK</v>
      </c>
      <c r="K3801" s="5" t="s">
        <v>25486</v>
      </c>
      <c r="L3801" s="5" t="s">
        <v>25783</v>
      </c>
    </row>
    <row r="3802">
      <c r="A3802" s="4">
        <v>45534.3475853125</v>
      </c>
      <c r="B3802" s="5" t="s">
        <v>34</v>
      </c>
      <c r="D3802" s="5" t="s">
        <v>9394</v>
      </c>
      <c r="E3802" s="5" t="s">
        <v>25786</v>
      </c>
      <c r="F3802" s="5" t="s">
        <v>212</v>
      </c>
      <c r="G3802" s="5" t="s">
        <v>25787</v>
      </c>
      <c r="H3802" s="6" t="s">
        <v>25788</v>
      </c>
      <c r="K3802" s="5" t="s">
        <v>25789</v>
      </c>
    </row>
    <row r="3803">
      <c r="A3803" s="4">
        <v>45534.34759068287</v>
      </c>
      <c r="B3803" s="5" t="s">
        <v>34</v>
      </c>
      <c r="D3803" s="5" t="s">
        <v>604</v>
      </c>
      <c r="E3803" s="5" t="s">
        <v>25793</v>
      </c>
      <c r="F3803" s="5" t="s">
        <v>108</v>
      </c>
      <c r="G3803" s="5" t="s">
        <v>25794</v>
      </c>
      <c r="H3803" s="6" t="s">
        <v>25795</v>
      </c>
      <c r="K3803" s="5" t="s">
        <v>25789</v>
      </c>
    </row>
    <row r="3804">
      <c r="A3804" s="4">
        <v>45534.347610717596</v>
      </c>
      <c r="B3804" s="5" t="s">
        <v>34</v>
      </c>
      <c r="D3804" s="5" t="s">
        <v>701</v>
      </c>
      <c r="E3804" s="5" t="s">
        <v>25798</v>
      </c>
      <c r="F3804" s="5" t="s">
        <v>212</v>
      </c>
      <c r="G3804" s="5" t="s">
        <v>25799</v>
      </c>
      <c r="H3804" s="6" t="s">
        <v>25800</v>
      </c>
      <c r="I3804" s="7" t="s">
        <v>25801</v>
      </c>
      <c r="J3804" s="8" t="str">
        <f>HYPERLINK("https://drive.google.com/file/d/1oIsSxSXdPZiI9hGJu89KxW2C7mKMrmsT/view?usp=drivesdk","LASMIATI SERTIFIKAT BerAKHLAK")</f>
        <v>LASMIATI SERTIFIKAT BerAKHLAK</v>
      </c>
      <c r="K3804" s="5" t="s">
        <v>25486</v>
      </c>
      <c r="L3804" s="5" t="s">
        <v>25802</v>
      </c>
    </row>
    <row r="3805">
      <c r="A3805" s="4">
        <v>45534.3476136574</v>
      </c>
      <c r="B3805" s="5" t="s">
        <v>34</v>
      </c>
      <c r="D3805" s="5" t="s">
        <v>7858</v>
      </c>
      <c r="E3805" s="5" t="s">
        <v>25805</v>
      </c>
      <c r="F3805" s="5" t="s">
        <v>212</v>
      </c>
      <c r="G3805" s="5" t="s">
        <v>25806</v>
      </c>
      <c r="H3805" s="6" t="s">
        <v>25807</v>
      </c>
      <c r="I3805" s="7" t="s">
        <v>25808</v>
      </c>
      <c r="J3805" s="8" t="str">
        <f>HYPERLINK("https://drive.google.com/file/d/1tH1AjmivUV3H-h7-5tiIRzBr6pIabqto/view?usp=drivesdk","ANDRIANI  SERTIFIKAT BerAKHLAK")</f>
        <v>ANDRIANI  SERTIFIKAT BerAKHLAK</v>
      </c>
      <c r="K3805" s="5" t="s">
        <v>25486</v>
      </c>
      <c r="L3805" s="5" t="s">
        <v>25809</v>
      </c>
    </row>
    <row r="3806">
      <c r="A3806" s="4">
        <v>45534.347614224534</v>
      </c>
      <c r="B3806" s="5" t="s">
        <v>34</v>
      </c>
      <c r="D3806" s="5" t="s">
        <v>522</v>
      </c>
      <c r="E3806" s="5" t="s">
        <v>25812</v>
      </c>
      <c r="F3806" s="5" t="s">
        <v>37</v>
      </c>
      <c r="G3806" s="5" t="s">
        <v>25813</v>
      </c>
      <c r="H3806" s="6" t="s">
        <v>25814</v>
      </c>
      <c r="I3806" s="7" t="s">
        <v>25815</v>
      </c>
      <c r="J3806" s="8" t="str">
        <f>HYPERLINK("https://drive.google.com/file/d/1QHXUmWmWHhS0EqHQoe4XevJZjaa3MqzX/view?usp=drivesdk","IHSAN,S.H SERTIFIKAT BerAKHLAK")</f>
        <v>IHSAN,S.H SERTIFIKAT BerAKHLAK</v>
      </c>
      <c r="K3806" s="5" t="s">
        <v>25486</v>
      </c>
      <c r="L3806" s="5" t="s">
        <v>25816</v>
      </c>
    </row>
    <row r="3807">
      <c r="A3807" s="4">
        <v>45534.34761862268</v>
      </c>
      <c r="B3807" s="5" t="s">
        <v>34</v>
      </c>
      <c r="D3807" s="5" t="s">
        <v>1558</v>
      </c>
      <c r="E3807" s="5" t="s">
        <v>25819</v>
      </c>
      <c r="F3807" s="5" t="s">
        <v>375</v>
      </c>
      <c r="G3807" s="5" t="s">
        <v>25820</v>
      </c>
      <c r="H3807" s="6" t="s">
        <v>25821</v>
      </c>
      <c r="I3807" s="7" t="s">
        <v>25822</v>
      </c>
      <c r="J3807" s="8" t="str">
        <f>HYPERLINK("https://drive.google.com/file/d/1b9YAewE-yYDy1lOaPGlIbnEMKf8eMAzP/view?usp=drivesdk","CHAIRUL ARLIYANSYAH, S.E. SERTIFIKAT BerAKHLAK")</f>
        <v>CHAIRUL ARLIYANSYAH, S.E. SERTIFIKAT BerAKHLAK</v>
      </c>
      <c r="K3807" s="5" t="s">
        <v>25486</v>
      </c>
      <c r="L3807" s="5" t="s">
        <v>25823</v>
      </c>
    </row>
    <row r="3808">
      <c r="A3808" s="4">
        <v>45534.34762479167</v>
      </c>
      <c r="B3808" s="5" t="s">
        <v>34</v>
      </c>
      <c r="D3808" s="5" t="s">
        <v>1206</v>
      </c>
      <c r="E3808" s="5" t="s">
        <v>25827</v>
      </c>
      <c r="F3808" s="5" t="s">
        <v>199</v>
      </c>
      <c r="G3808" s="5" t="s">
        <v>25828</v>
      </c>
      <c r="H3808" s="6" t="s">
        <v>25829</v>
      </c>
      <c r="I3808" s="7" t="s">
        <v>25830</v>
      </c>
      <c r="J3808" s="8" t="str">
        <f>HYPERLINK("https://drive.google.com/file/d/1CMDHyPa-4Ug5mL0SFBBKMay1A70SkDPh/view?usp=drivesdk","ARIK YUNIATI SERTIFIKAT BerAKHLAK")</f>
        <v>ARIK YUNIATI SERTIFIKAT BerAKHLAK</v>
      </c>
      <c r="K3808" s="5" t="s">
        <v>25486</v>
      </c>
      <c r="L3808" s="5" t="s">
        <v>25831</v>
      </c>
    </row>
    <row r="3809">
      <c r="A3809" s="4">
        <v>45534.34762583333</v>
      </c>
      <c r="B3809" s="5" t="s">
        <v>34</v>
      </c>
      <c r="D3809" s="5" t="s">
        <v>1206</v>
      </c>
      <c r="E3809" s="5" t="s">
        <v>25834</v>
      </c>
      <c r="F3809" s="5" t="s">
        <v>524</v>
      </c>
      <c r="G3809" s="5" t="s">
        <v>25835</v>
      </c>
      <c r="H3809" s="6" t="s">
        <v>25836</v>
      </c>
      <c r="I3809" s="7" t="s">
        <v>25837</v>
      </c>
      <c r="J3809" s="8" t="str">
        <f>HYPERLINK("https://drive.google.com/file/d/11fWszxZ-xsw6M2KHCV13Wcy1ac2uGtWd/view?usp=drivesdk","KRISTIYANI JUWATISARI AMd.Far SERTIFIKAT BerAKHLAK")</f>
        <v>KRISTIYANI JUWATISARI AMd.Far SERTIFIKAT BerAKHLAK</v>
      </c>
      <c r="K3809" s="5" t="s">
        <v>25486</v>
      </c>
      <c r="L3809" s="5" t="s">
        <v>25838</v>
      </c>
    </row>
    <row r="3810">
      <c r="A3810" s="4">
        <v>45534.34763719907</v>
      </c>
      <c r="B3810" s="5" t="s">
        <v>34</v>
      </c>
      <c r="D3810" s="5" t="s">
        <v>701</v>
      </c>
      <c r="E3810" s="5" t="s">
        <v>25841</v>
      </c>
      <c r="F3810" s="5" t="s">
        <v>108</v>
      </c>
      <c r="G3810" s="5" t="s">
        <v>25842</v>
      </c>
      <c r="H3810" s="6" t="s">
        <v>25843</v>
      </c>
      <c r="I3810" s="7" t="s">
        <v>25844</v>
      </c>
      <c r="J3810" s="8" t="str">
        <f>HYPERLINK("https://drive.google.com/file/d/12djq_NX5VEFyGTCVRhlYjLZrIWz-3mIo/view?usp=drivesdk","WAWAN KURNIADI, SE, M. Si SERTIFIKAT BerAKHLAK")</f>
        <v>WAWAN KURNIADI, SE, M. Si SERTIFIKAT BerAKHLAK</v>
      </c>
      <c r="K3810" s="5" t="s">
        <v>25486</v>
      </c>
      <c r="L3810" s="5" t="s">
        <v>25845</v>
      </c>
    </row>
    <row r="3811">
      <c r="A3811" s="4">
        <v>45534.34764069444</v>
      </c>
      <c r="B3811" s="5" t="s">
        <v>34</v>
      </c>
      <c r="D3811" s="5" t="s">
        <v>1206</v>
      </c>
      <c r="E3811" s="5" t="s">
        <v>25848</v>
      </c>
      <c r="F3811" s="5" t="s">
        <v>212</v>
      </c>
      <c r="G3811" s="5" t="s">
        <v>25849</v>
      </c>
      <c r="H3811" s="6" t="s">
        <v>25850</v>
      </c>
      <c r="I3811" s="7" t="s">
        <v>25851</v>
      </c>
      <c r="J3811" s="8" t="str">
        <f>HYPERLINK("https://drive.google.com/file/d/1kqmAQJqGwoP97q7XG0dYaQvVLwEd6MCX/view?usp=drivesdk","AGUS SUPRIYANTO SERTIFIKAT BerAKHLAK")</f>
        <v>AGUS SUPRIYANTO SERTIFIKAT BerAKHLAK</v>
      </c>
      <c r="K3811" s="5" t="s">
        <v>25486</v>
      </c>
      <c r="L3811" s="5" t="s">
        <v>25852</v>
      </c>
    </row>
    <row r="3812">
      <c r="A3812" s="4">
        <v>45534.347643194444</v>
      </c>
      <c r="B3812" s="5" t="s">
        <v>34</v>
      </c>
      <c r="D3812" s="5" t="s">
        <v>1206</v>
      </c>
      <c r="E3812" s="5" t="s">
        <v>17149</v>
      </c>
      <c r="F3812" s="5" t="s">
        <v>37</v>
      </c>
      <c r="G3812" s="5" t="s">
        <v>25855</v>
      </c>
      <c r="H3812" s="6" t="s">
        <v>25856</v>
      </c>
      <c r="K3812" s="5" t="s">
        <v>25857</v>
      </c>
    </row>
    <row r="3813">
      <c r="A3813" s="4">
        <v>45534.347646168986</v>
      </c>
      <c r="B3813" s="5" t="s">
        <v>34</v>
      </c>
      <c r="D3813" s="5" t="s">
        <v>35</v>
      </c>
      <c r="E3813" s="5" t="s">
        <v>25861</v>
      </c>
      <c r="F3813" s="5" t="s">
        <v>6776</v>
      </c>
      <c r="G3813" s="5" t="s">
        <v>25862</v>
      </c>
      <c r="H3813" s="6" t="s">
        <v>25863</v>
      </c>
      <c r="K3813" s="5" t="s">
        <v>25857</v>
      </c>
    </row>
    <row r="3814">
      <c r="A3814" s="4">
        <v>45534.34766363426</v>
      </c>
      <c r="B3814" s="5" t="s">
        <v>19</v>
      </c>
      <c r="C3814" s="5" t="s">
        <v>292</v>
      </c>
      <c r="E3814" s="5" t="s">
        <v>25866</v>
      </c>
      <c r="F3814" s="5" t="s">
        <v>375</v>
      </c>
      <c r="G3814" s="5" t="s">
        <v>25867</v>
      </c>
      <c r="H3814" s="6" t="s">
        <v>25868</v>
      </c>
      <c r="K3814" s="5" t="s">
        <v>25857</v>
      </c>
    </row>
    <row r="3815">
      <c r="A3815" s="4">
        <v>45534.34766434028</v>
      </c>
      <c r="B3815" s="5" t="s">
        <v>34</v>
      </c>
      <c r="D3815" s="5" t="s">
        <v>267</v>
      </c>
      <c r="E3815" s="5" t="s">
        <v>25871</v>
      </c>
      <c r="F3815" s="5" t="s">
        <v>375</v>
      </c>
      <c r="G3815" s="5" t="s">
        <v>25872</v>
      </c>
      <c r="H3815" s="6" t="s">
        <v>25873</v>
      </c>
      <c r="I3815" s="7" t="s">
        <v>25874</v>
      </c>
      <c r="J3815" s="8" t="str">
        <f>HYPERLINK("https://drive.google.com/file/d/1WzmGm479PijjKK6osvx-PSPiK7Fz3cHC/view?usp=drivesdk","SUDARSIH, S. KM SERTIFIKAT BerAKHLAK")</f>
        <v>SUDARSIH, S. KM SERTIFIKAT BerAKHLAK</v>
      </c>
      <c r="K3815" s="5" t="s">
        <v>25486</v>
      </c>
      <c r="L3815" s="5" t="s">
        <v>25875</v>
      </c>
    </row>
    <row r="3816">
      <c r="A3816" s="4">
        <v>45534.34766745371</v>
      </c>
      <c r="B3816" s="5" t="s">
        <v>34</v>
      </c>
      <c r="D3816" s="5" t="s">
        <v>12978</v>
      </c>
      <c r="E3816" s="5" t="s">
        <v>25878</v>
      </c>
      <c r="F3816" s="5" t="s">
        <v>212</v>
      </c>
      <c r="G3816" s="5" t="s">
        <v>25879</v>
      </c>
      <c r="H3816" s="6" t="s">
        <v>25880</v>
      </c>
      <c r="I3816" s="7" t="s">
        <v>25881</v>
      </c>
      <c r="J3816" s="8" t="str">
        <f>HYPERLINK("https://drive.google.com/file/d/1SxJFy9SueUHZOeyowitMq1YNSoGeSmRE/view?usp=drivesdk","HARDI SURYANTO SERTIFIKAT BerAKHLAK")</f>
        <v>HARDI SURYANTO SERTIFIKAT BerAKHLAK</v>
      </c>
      <c r="K3816" s="5" t="s">
        <v>25486</v>
      </c>
      <c r="L3816" s="5" t="s">
        <v>25882</v>
      </c>
    </row>
    <row r="3817">
      <c r="A3817" s="4">
        <v>45534.34766730324</v>
      </c>
      <c r="B3817" s="5" t="s">
        <v>34</v>
      </c>
      <c r="D3817" s="5" t="s">
        <v>267</v>
      </c>
      <c r="E3817" s="5" t="s">
        <v>25886</v>
      </c>
      <c r="F3817" s="5" t="s">
        <v>108</v>
      </c>
      <c r="G3817" s="5" t="s">
        <v>25887</v>
      </c>
      <c r="H3817" s="6" t="s">
        <v>25888</v>
      </c>
      <c r="K3817" s="5" t="s">
        <v>25889</v>
      </c>
    </row>
    <row r="3818">
      <c r="A3818" s="4">
        <v>45534.34767394676</v>
      </c>
      <c r="B3818" s="5" t="s">
        <v>34</v>
      </c>
      <c r="D3818" s="5" t="s">
        <v>701</v>
      </c>
      <c r="E3818" s="5" t="s">
        <v>25892</v>
      </c>
      <c r="F3818" s="5" t="s">
        <v>212</v>
      </c>
      <c r="G3818" s="5" t="s">
        <v>25893</v>
      </c>
      <c r="H3818" s="6" t="s">
        <v>25894</v>
      </c>
      <c r="K3818" s="5" t="s">
        <v>25889</v>
      </c>
    </row>
    <row r="3819">
      <c r="A3819" s="4">
        <v>45534.34768818287</v>
      </c>
      <c r="B3819" s="5" t="s">
        <v>34</v>
      </c>
      <c r="D3819" s="5" t="s">
        <v>701</v>
      </c>
      <c r="E3819" s="5" t="s">
        <v>25897</v>
      </c>
      <c r="F3819" s="5" t="s">
        <v>212</v>
      </c>
      <c r="G3819" s="5" t="s">
        <v>25898</v>
      </c>
      <c r="H3819" s="6" t="s">
        <v>25899</v>
      </c>
      <c r="K3819" s="5" t="s">
        <v>25889</v>
      </c>
    </row>
    <row r="3820">
      <c r="A3820" s="4">
        <v>45534.347692361116</v>
      </c>
      <c r="B3820" s="5" t="s">
        <v>34</v>
      </c>
      <c r="D3820" s="5" t="s">
        <v>9020</v>
      </c>
      <c r="E3820" s="5" t="s">
        <v>25902</v>
      </c>
      <c r="F3820" s="5" t="s">
        <v>524</v>
      </c>
      <c r="G3820" s="5" t="s">
        <v>25903</v>
      </c>
      <c r="H3820" s="6" t="s">
        <v>25904</v>
      </c>
      <c r="K3820" s="5" t="s">
        <v>25889</v>
      </c>
    </row>
    <row r="3821">
      <c r="A3821" s="4">
        <v>45534.34770172454</v>
      </c>
      <c r="B3821" s="5" t="s">
        <v>34</v>
      </c>
      <c r="D3821" s="5" t="s">
        <v>9394</v>
      </c>
      <c r="E3821" s="5" t="s">
        <v>25907</v>
      </c>
      <c r="F3821" s="5" t="s">
        <v>715</v>
      </c>
      <c r="G3821" s="5" t="s">
        <v>25908</v>
      </c>
      <c r="H3821" s="6" t="s">
        <v>25909</v>
      </c>
      <c r="K3821" s="5" t="s">
        <v>25889</v>
      </c>
    </row>
    <row r="3822">
      <c r="A3822" s="4">
        <v>45534.347708113426</v>
      </c>
      <c r="B3822" s="5" t="s">
        <v>34</v>
      </c>
      <c r="D3822" s="5" t="s">
        <v>1206</v>
      </c>
      <c r="E3822" s="5" t="s">
        <v>25913</v>
      </c>
      <c r="F3822" s="5" t="s">
        <v>37</v>
      </c>
      <c r="G3822" s="5" t="s">
        <v>25914</v>
      </c>
      <c r="H3822" s="6" t="s">
        <v>25915</v>
      </c>
      <c r="K3822" s="5" t="s">
        <v>25889</v>
      </c>
    </row>
    <row r="3823">
      <c r="A3823" s="4">
        <v>45534.347712800925</v>
      </c>
      <c r="B3823" s="5" t="s">
        <v>34</v>
      </c>
      <c r="D3823" s="5" t="s">
        <v>1206</v>
      </c>
      <c r="E3823" s="5" t="s">
        <v>25918</v>
      </c>
      <c r="F3823" s="5" t="s">
        <v>212</v>
      </c>
      <c r="G3823" s="5" t="s">
        <v>25919</v>
      </c>
      <c r="H3823" s="6" t="s">
        <v>25920</v>
      </c>
      <c r="K3823" s="5" t="s">
        <v>25889</v>
      </c>
    </row>
    <row r="3824">
      <c r="A3824" s="4">
        <v>45534.347723252315</v>
      </c>
      <c r="B3824" s="5" t="s">
        <v>34</v>
      </c>
      <c r="D3824" s="5" t="s">
        <v>9020</v>
      </c>
      <c r="E3824" s="5" t="s">
        <v>25923</v>
      </c>
      <c r="F3824" s="5" t="s">
        <v>72</v>
      </c>
      <c r="G3824" s="5" t="s">
        <v>25924</v>
      </c>
      <c r="H3824" s="6" t="s">
        <v>25925</v>
      </c>
      <c r="K3824" s="5" t="s">
        <v>25889</v>
      </c>
    </row>
    <row r="3825">
      <c r="A3825" s="4">
        <v>45534.3477255787</v>
      </c>
      <c r="B3825" s="5" t="s">
        <v>34</v>
      </c>
      <c r="D3825" s="5" t="s">
        <v>1663</v>
      </c>
      <c r="E3825" s="5" t="s">
        <v>25928</v>
      </c>
      <c r="F3825" s="5" t="s">
        <v>108</v>
      </c>
      <c r="G3825" s="5" t="s">
        <v>25929</v>
      </c>
      <c r="H3825" s="6" t="s">
        <v>25930</v>
      </c>
      <c r="K3825" s="5" t="s">
        <v>25889</v>
      </c>
    </row>
    <row r="3826">
      <c r="A3826" s="4">
        <v>45534.34773366898</v>
      </c>
      <c r="B3826" s="5" t="s">
        <v>34</v>
      </c>
      <c r="D3826" s="5" t="s">
        <v>4775</v>
      </c>
      <c r="E3826" s="5" t="s">
        <v>25934</v>
      </c>
      <c r="F3826" s="5" t="s">
        <v>212</v>
      </c>
      <c r="G3826" s="5" t="s">
        <v>25935</v>
      </c>
      <c r="H3826" s="6" t="s">
        <v>25936</v>
      </c>
      <c r="K3826" s="5" t="s">
        <v>25889</v>
      </c>
    </row>
    <row r="3827">
      <c r="A3827" s="4">
        <v>45534.34775314815</v>
      </c>
      <c r="B3827" s="5" t="s">
        <v>34</v>
      </c>
      <c r="D3827" s="5" t="s">
        <v>9394</v>
      </c>
      <c r="E3827" s="5" t="s">
        <v>25939</v>
      </c>
      <c r="F3827" s="5" t="s">
        <v>212</v>
      </c>
      <c r="G3827" s="5" t="s">
        <v>25940</v>
      </c>
      <c r="H3827" s="6" t="s">
        <v>25941</v>
      </c>
      <c r="I3827" s="7" t="s">
        <v>25942</v>
      </c>
      <c r="J3827" s="8" t="str">
        <f>HYPERLINK("https://drive.google.com/file/d/1hXTSfUd5yDEMtw_LA3dg1X2QdVCkFCZD/view?usp=drivesdk","MELLYZIA SERTIFIKAT BerAKHLAK")</f>
        <v>MELLYZIA SERTIFIKAT BerAKHLAK</v>
      </c>
      <c r="K3827" s="5" t="s">
        <v>25486</v>
      </c>
      <c r="L3827" s="5" t="s">
        <v>25943</v>
      </c>
    </row>
    <row r="3828">
      <c r="A3828" s="4">
        <v>45534.347751504625</v>
      </c>
      <c r="B3828" s="5" t="s">
        <v>34</v>
      </c>
      <c r="D3828" s="5" t="s">
        <v>6232</v>
      </c>
      <c r="E3828" s="5" t="s">
        <v>25946</v>
      </c>
      <c r="F3828" s="5" t="s">
        <v>37</v>
      </c>
      <c r="G3828" s="5" t="s">
        <v>25947</v>
      </c>
      <c r="H3828" s="6" t="s">
        <v>25948</v>
      </c>
      <c r="I3828" s="7" t="s">
        <v>25949</v>
      </c>
      <c r="J3828" s="8" t="str">
        <f>HYPERLINK("https://drive.google.com/file/d/1CYzdgK6q59Yd6wQmcn5ycR6IUo9ux28v/view?usp=drivesdk","AL HUSAIRI SERTIFIKAT BerAKHLAK")</f>
        <v>AL HUSAIRI SERTIFIKAT BerAKHLAK</v>
      </c>
      <c r="K3828" s="5" t="s">
        <v>25486</v>
      </c>
      <c r="L3828" s="5" t="s">
        <v>25950</v>
      </c>
    </row>
    <row r="3829">
      <c r="A3829" s="4">
        <v>45534.34775782407</v>
      </c>
      <c r="B3829" s="5" t="s">
        <v>34</v>
      </c>
      <c r="D3829" s="5" t="s">
        <v>1206</v>
      </c>
      <c r="E3829" s="5" t="s">
        <v>25953</v>
      </c>
      <c r="F3829" s="5" t="s">
        <v>212</v>
      </c>
      <c r="G3829" s="5" t="s">
        <v>25954</v>
      </c>
      <c r="H3829" s="6" t="s">
        <v>25955</v>
      </c>
      <c r="K3829" s="5" t="s">
        <v>25956</v>
      </c>
    </row>
    <row r="3830">
      <c r="A3830" s="4">
        <v>45534.34776292824</v>
      </c>
      <c r="B3830" s="5" t="s">
        <v>19</v>
      </c>
      <c r="C3830" s="5" t="s">
        <v>10418</v>
      </c>
      <c r="E3830" s="5" t="s">
        <v>25959</v>
      </c>
      <c r="F3830" s="5" t="s">
        <v>375</v>
      </c>
      <c r="G3830" s="5" t="s">
        <v>25960</v>
      </c>
      <c r="H3830" s="6" t="s">
        <v>25961</v>
      </c>
      <c r="K3830" s="5" t="s">
        <v>25956</v>
      </c>
    </row>
    <row r="3831">
      <c r="A3831" s="4">
        <v>45534.34777190972</v>
      </c>
      <c r="B3831" s="5" t="s">
        <v>19</v>
      </c>
      <c r="C3831" s="5" t="s">
        <v>20</v>
      </c>
      <c r="E3831" s="5" t="s">
        <v>25965</v>
      </c>
      <c r="F3831" s="5" t="s">
        <v>22</v>
      </c>
      <c r="G3831" s="5" t="s">
        <v>25966</v>
      </c>
      <c r="H3831" s="6" t="s">
        <v>25967</v>
      </c>
      <c r="K3831" s="5" t="s">
        <v>25956</v>
      </c>
    </row>
    <row r="3832">
      <c r="A3832" s="4">
        <v>45534.34777400463</v>
      </c>
      <c r="B3832" s="5" t="s">
        <v>34</v>
      </c>
      <c r="D3832" s="5" t="s">
        <v>12978</v>
      </c>
      <c r="E3832" s="5" t="s">
        <v>25970</v>
      </c>
      <c r="F3832" s="5" t="s">
        <v>108</v>
      </c>
      <c r="G3832" s="5" t="s">
        <v>25971</v>
      </c>
      <c r="H3832" s="6" t="s">
        <v>25972</v>
      </c>
      <c r="K3832" s="5" t="s">
        <v>25956</v>
      </c>
    </row>
    <row r="3833">
      <c r="A3833" s="4">
        <v>45534.347779097225</v>
      </c>
      <c r="B3833" s="5" t="s">
        <v>34</v>
      </c>
      <c r="D3833" s="5" t="s">
        <v>1456</v>
      </c>
      <c r="E3833" s="5" t="s">
        <v>25975</v>
      </c>
      <c r="F3833" s="5" t="s">
        <v>37</v>
      </c>
      <c r="G3833" s="5" t="s">
        <v>25976</v>
      </c>
      <c r="H3833" s="6" t="s">
        <v>25977</v>
      </c>
      <c r="I3833" s="7" t="s">
        <v>25978</v>
      </c>
      <c r="J3833" s="8" t="str">
        <f>HYPERLINK("https://drive.google.com/file/d/1I-y1LDctPnrlawAY1l6DK9AYEZ7A0SgT/view?usp=drivesdk","WIDODO NARSASIH SERTIFIKAT BerAKHLAK")</f>
        <v>WIDODO NARSASIH SERTIFIKAT BerAKHLAK</v>
      </c>
      <c r="K3833" s="5" t="s">
        <v>25486</v>
      </c>
      <c r="L3833" s="5" t="s">
        <v>25979</v>
      </c>
    </row>
    <row r="3834">
      <c r="A3834" s="4">
        <v>45534.34778899305</v>
      </c>
      <c r="B3834" s="5" t="s">
        <v>34</v>
      </c>
      <c r="D3834" s="5" t="s">
        <v>10444</v>
      </c>
      <c r="E3834" s="5" t="s">
        <v>25982</v>
      </c>
      <c r="F3834" s="5" t="s">
        <v>212</v>
      </c>
      <c r="G3834" s="5" t="s">
        <v>25983</v>
      </c>
      <c r="H3834" s="6" t="s">
        <v>25984</v>
      </c>
      <c r="I3834" s="7" t="s">
        <v>25985</v>
      </c>
      <c r="J3834" s="8" t="str">
        <f>HYPERLINK("https://drive.google.com/file/d/1nufEuaspDEa33ald1WnPA3FJe7u32-Ze/view?usp=drivesdk","BAROKAH ARIATRI SERTIFIKAT BerAKHLAK")</f>
        <v>BAROKAH ARIATRI SERTIFIKAT BerAKHLAK</v>
      </c>
      <c r="K3834" s="5" t="s">
        <v>25486</v>
      </c>
      <c r="L3834" s="5" t="s">
        <v>25986</v>
      </c>
    </row>
    <row r="3835">
      <c r="A3835" s="4">
        <v>45534.34779417824</v>
      </c>
      <c r="B3835" s="5" t="s">
        <v>34</v>
      </c>
      <c r="D3835" s="5" t="s">
        <v>4775</v>
      </c>
      <c r="E3835" s="5" t="s">
        <v>25990</v>
      </c>
      <c r="F3835" s="5" t="s">
        <v>524</v>
      </c>
      <c r="G3835" s="5" t="s">
        <v>25991</v>
      </c>
      <c r="H3835" s="6" t="s">
        <v>25992</v>
      </c>
      <c r="K3835" s="5" t="s">
        <v>25993</v>
      </c>
    </row>
    <row r="3836">
      <c r="A3836" s="4">
        <v>45534.347795856476</v>
      </c>
      <c r="B3836" s="5" t="s">
        <v>34</v>
      </c>
      <c r="D3836" s="5" t="s">
        <v>12978</v>
      </c>
      <c r="E3836" s="5" t="s">
        <v>25996</v>
      </c>
      <c r="F3836" s="5" t="s">
        <v>524</v>
      </c>
      <c r="G3836" s="5" t="s">
        <v>25997</v>
      </c>
      <c r="H3836" s="6" t="s">
        <v>25998</v>
      </c>
      <c r="K3836" s="5" t="s">
        <v>25993</v>
      </c>
    </row>
    <row r="3837">
      <c r="A3837" s="4">
        <v>45534.34779733796</v>
      </c>
      <c r="B3837" s="5" t="s">
        <v>34</v>
      </c>
      <c r="D3837" s="5" t="s">
        <v>996</v>
      </c>
      <c r="E3837" s="5" t="s">
        <v>26001</v>
      </c>
      <c r="F3837" s="5" t="s">
        <v>375</v>
      </c>
      <c r="G3837" s="5" t="s">
        <v>26002</v>
      </c>
      <c r="H3837" s="6" t="s">
        <v>26003</v>
      </c>
      <c r="K3837" s="5" t="s">
        <v>25993</v>
      </c>
    </row>
    <row r="3838">
      <c r="A3838" s="4">
        <v>45534.34779748843</v>
      </c>
      <c r="B3838" s="5" t="s">
        <v>19</v>
      </c>
      <c r="C3838" s="5" t="s">
        <v>5564</v>
      </c>
      <c r="E3838" s="5" t="s">
        <v>26006</v>
      </c>
      <c r="F3838" s="5" t="s">
        <v>37</v>
      </c>
      <c r="G3838" s="5" t="s">
        <v>26007</v>
      </c>
      <c r="H3838" s="6" t="s">
        <v>26008</v>
      </c>
      <c r="K3838" s="5" t="s">
        <v>25993</v>
      </c>
    </row>
    <row r="3839">
      <c r="A3839" s="4">
        <v>45534.3478033912</v>
      </c>
      <c r="B3839" s="5" t="s">
        <v>34</v>
      </c>
      <c r="D3839" s="5" t="s">
        <v>35</v>
      </c>
      <c r="E3839" s="5" t="s">
        <v>26011</v>
      </c>
      <c r="F3839" s="5" t="s">
        <v>37</v>
      </c>
      <c r="G3839" s="5" t="s">
        <v>26012</v>
      </c>
      <c r="H3839" s="6" t="s">
        <v>26013</v>
      </c>
      <c r="K3839" s="5" t="s">
        <v>25993</v>
      </c>
    </row>
    <row r="3840">
      <c r="A3840" s="4">
        <v>45534.347807048616</v>
      </c>
      <c r="B3840" s="5" t="s">
        <v>34</v>
      </c>
      <c r="D3840" s="5" t="s">
        <v>35</v>
      </c>
      <c r="E3840" s="5" t="s">
        <v>26017</v>
      </c>
      <c r="F3840" s="5" t="s">
        <v>212</v>
      </c>
      <c r="G3840" s="5" t="s">
        <v>26018</v>
      </c>
      <c r="H3840" s="6" t="s">
        <v>26019</v>
      </c>
      <c r="K3840" s="5" t="s">
        <v>25993</v>
      </c>
    </row>
    <row r="3841">
      <c r="A3841" s="4">
        <v>45534.34781041667</v>
      </c>
      <c r="B3841" s="5" t="s">
        <v>34</v>
      </c>
      <c r="D3841" s="5" t="s">
        <v>267</v>
      </c>
      <c r="E3841" s="5" t="s">
        <v>26022</v>
      </c>
      <c r="F3841" s="5" t="s">
        <v>375</v>
      </c>
      <c r="G3841" s="5" t="s">
        <v>26023</v>
      </c>
      <c r="H3841" s="6" t="s">
        <v>26024</v>
      </c>
      <c r="K3841" s="5" t="s">
        <v>25993</v>
      </c>
    </row>
    <row r="3842">
      <c r="A3842" s="4">
        <v>45534.347811064814</v>
      </c>
      <c r="B3842" s="5" t="s">
        <v>34</v>
      </c>
      <c r="D3842" s="5" t="s">
        <v>14424</v>
      </c>
      <c r="E3842" s="5" t="s">
        <v>26027</v>
      </c>
      <c r="F3842" s="5" t="s">
        <v>108</v>
      </c>
      <c r="G3842" s="5" t="s">
        <v>26028</v>
      </c>
      <c r="H3842" s="6" t="s">
        <v>26029</v>
      </c>
      <c r="K3842" s="5" t="s">
        <v>25993</v>
      </c>
    </row>
    <row r="3843">
      <c r="A3843" s="4">
        <v>45534.347811493055</v>
      </c>
      <c r="B3843" s="5" t="s">
        <v>34</v>
      </c>
      <c r="D3843" s="5" t="s">
        <v>10444</v>
      </c>
      <c r="E3843" s="5" t="s">
        <v>26032</v>
      </c>
      <c r="F3843" s="5" t="s">
        <v>120</v>
      </c>
      <c r="G3843" s="5" t="s">
        <v>26033</v>
      </c>
      <c r="H3843" s="6" t="s">
        <v>26034</v>
      </c>
      <c r="K3843" s="5" t="s">
        <v>25993</v>
      </c>
    </row>
    <row r="3844">
      <c r="A3844" s="4">
        <v>45534.34781371528</v>
      </c>
      <c r="B3844" s="5" t="s">
        <v>34</v>
      </c>
      <c r="D3844" s="5" t="s">
        <v>1206</v>
      </c>
      <c r="E3844" s="5" t="s">
        <v>26037</v>
      </c>
      <c r="F3844" s="5" t="s">
        <v>108</v>
      </c>
      <c r="G3844" s="5" t="s">
        <v>26038</v>
      </c>
      <c r="H3844" s="6" t="s">
        <v>26039</v>
      </c>
      <c r="K3844" s="5" t="s">
        <v>25993</v>
      </c>
    </row>
    <row r="3845">
      <c r="A3845" s="4">
        <v>45534.347814583336</v>
      </c>
      <c r="B3845" s="5" t="s">
        <v>34</v>
      </c>
      <c r="D3845" s="5" t="s">
        <v>11527</v>
      </c>
      <c r="E3845" s="5" t="s">
        <v>26043</v>
      </c>
      <c r="F3845" s="5" t="s">
        <v>524</v>
      </c>
      <c r="G3845" s="5" t="s">
        <v>26044</v>
      </c>
      <c r="H3845" s="6" t="s">
        <v>26045</v>
      </c>
      <c r="K3845" s="5" t="s">
        <v>25993</v>
      </c>
    </row>
    <row r="3846">
      <c r="A3846" s="4">
        <v>45534.34781601852</v>
      </c>
      <c r="B3846" s="5" t="s">
        <v>34</v>
      </c>
      <c r="D3846" s="5" t="s">
        <v>280</v>
      </c>
      <c r="E3846" s="5" t="s">
        <v>26048</v>
      </c>
      <c r="F3846" s="5" t="s">
        <v>72</v>
      </c>
      <c r="G3846" s="5" t="s">
        <v>26049</v>
      </c>
      <c r="H3846" s="6" t="s">
        <v>26050</v>
      </c>
      <c r="K3846" s="5" t="s">
        <v>25993</v>
      </c>
    </row>
    <row r="3847">
      <c r="A3847" s="4">
        <v>45534.3478309375</v>
      </c>
      <c r="B3847" s="5" t="s">
        <v>34</v>
      </c>
      <c r="D3847" s="5" t="s">
        <v>12978</v>
      </c>
      <c r="E3847" s="5" t="s">
        <v>26053</v>
      </c>
      <c r="F3847" s="5" t="s">
        <v>37</v>
      </c>
      <c r="G3847" s="5" t="s">
        <v>26054</v>
      </c>
      <c r="H3847" s="6" t="s">
        <v>26055</v>
      </c>
      <c r="K3847" s="5" t="s">
        <v>25993</v>
      </c>
    </row>
    <row r="3848">
      <c r="A3848" s="4">
        <v>45534.34785021991</v>
      </c>
      <c r="B3848" s="5" t="s">
        <v>34</v>
      </c>
      <c r="D3848" s="5" t="s">
        <v>701</v>
      </c>
      <c r="E3848" s="5" t="s">
        <v>26058</v>
      </c>
      <c r="F3848" s="5" t="s">
        <v>37</v>
      </c>
      <c r="G3848" s="5" t="s">
        <v>26059</v>
      </c>
      <c r="H3848" s="6" t="s">
        <v>26060</v>
      </c>
      <c r="K3848" s="5" t="s">
        <v>25993</v>
      </c>
    </row>
    <row r="3849">
      <c r="A3849" s="4">
        <v>45534.3478562963</v>
      </c>
      <c r="B3849" s="5" t="s">
        <v>34</v>
      </c>
      <c r="D3849" s="5" t="s">
        <v>10444</v>
      </c>
      <c r="E3849" s="5" t="s">
        <v>16234</v>
      </c>
      <c r="F3849" s="5" t="s">
        <v>72</v>
      </c>
      <c r="G3849" s="5" t="s">
        <v>26064</v>
      </c>
      <c r="H3849" s="6" t="s">
        <v>26065</v>
      </c>
      <c r="I3849" s="7" t="s">
        <v>26066</v>
      </c>
      <c r="J3849" s="8" t="str">
        <f>HYPERLINK("https://drive.google.com/file/d/1OxjK93w-FttJThpn6c2gAXW-F5eNUZWW/view?usp=drivesdk","YULIANA SERTIFIKAT BerAKHLAK")</f>
        <v>YULIANA SERTIFIKAT BerAKHLAK</v>
      </c>
      <c r="K3849" s="5" t="s">
        <v>25486</v>
      </c>
      <c r="L3849" s="5" t="s">
        <v>26067</v>
      </c>
    </row>
    <row r="3850">
      <c r="A3850" s="4">
        <v>45534.34786175926</v>
      </c>
      <c r="B3850" s="5" t="s">
        <v>34</v>
      </c>
      <c r="D3850" s="5" t="s">
        <v>35</v>
      </c>
      <c r="E3850" s="5" t="s">
        <v>26070</v>
      </c>
      <c r="F3850" s="5" t="s">
        <v>37</v>
      </c>
      <c r="G3850" s="5" t="s">
        <v>26071</v>
      </c>
      <c r="H3850" s="6" t="s">
        <v>26072</v>
      </c>
      <c r="K3850" s="5" t="s">
        <v>26073</v>
      </c>
    </row>
    <row r="3851">
      <c r="A3851" s="4">
        <v>45534.34786366898</v>
      </c>
      <c r="B3851" s="5" t="s">
        <v>34</v>
      </c>
      <c r="D3851" s="5" t="s">
        <v>1206</v>
      </c>
      <c r="E3851" s="5" t="s">
        <v>26076</v>
      </c>
      <c r="F3851" s="5" t="s">
        <v>37</v>
      </c>
      <c r="G3851" s="5" t="s">
        <v>26077</v>
      </c>
      <c r="H3851" s="6" t="s">
        <v>26078</v>
      </c>
      <c r="K3851" s="5" t="s">
        <v>26073</v>
      </c>
    </row>
    <row r="3852">
      <c r="A3852" s="4">
        <v>45534.34786412037</v>
      </c>
      <c r="B3852" s="5" t="s">
        <v>34</v>
      </c>
      <c r="D3852" s="5" t="s">
        <v>1206</v>
      </c>
      <c r="E3852" s="5" t="s">
        <v>26081</v>
      </c>
      <c r="F3852" s="5" t="s">
        <v>37</v>
      </c>
      <c r="G3852" s="5" t="s">
        <v>26082</v>
      </c>
      <c r="H3852" s="6" t="s">
        <v>26083</v>
      </c>
      <c r="K3852" s="5" t="s">
        <v>26073</v>
      </c>
    </row>
    <row r="3853">
      <c r="A3853" s="4">
        <v>45534.34786512732</v>
      </c>
      <c r="B3853" s="5" t="s">
        <v>34</v>
      </c>
      <c r="D3853" s="5" t="s">
        <v>4775</v>
      </c>
      <c r="E3853" s="5" t="s">
        <v>26087</v>
      </c>
      <c r="F3853" s="5" t="s">
        <v>37</v>
      </c>
      <c r="G3853" s="5" t="s">
        <v>26088</v>
      </c>
      <c r="H3853" s="6" t="s">
        <v>26089</v>
      </c>
      <c r="K3853" s="5" t="s">
        <v>26073</v>
      </c>
    </row>
    <row r="3854">
      <c r="A3854" s="4">
        <v>45534.347878252316</v>
      </c>
      <c r="B3854" s="5" t="s">
        <v>34</v>
      </c>
      <c r="D3854" s="5" t="s">
        <v>9020</v>
      </c>
      <c r="E3854" s="5" t="s">
        <v>26092</v>
      </c>
      <c r="F3854" s="5" t="s">
        <v>212</v>
      </c>
      <c r="G3854" s="5" t="s">
        <v>26093</v>
      </c>
      <c r="H3854" s="6" t="s">
        <v>26094</v>
      </c>
      <c r="K3854" s="5" t="s">
        <v>26073</v>
      </c>
    </row>
    <row r="3855">
      <c r="A3855" s="4">
        <v>45534.34788623842</v>
      </c>
      <c r="B3855" s="5" t="s">
        <v>34</v>
      </c>
      <c r="D3855" s="5" t="s">
        <v>4775</v>
      </c>
      <c r="E3855" s="5" t="s">
        <v>26097</v>
      </c>
      <c r="F3855" s="5" t="s">
        <v>37</v>
      </c>
      <c r="G3855" s="5" t="s">
        <v>26098</v>
      </c>
      <c r="H3855" s="6" t="s">
        <v>26099</v>
      </c>
      <c r="K3855" s="5" t="s">
        <v>26073</v>
      </c>
    </row>
    <row r="3856">
      <c r="A3856" s="4">
        <v>45534.34790328704</v>
      </c>
      <c r="B3856" s="5" t="s">
        <v>34</v>
      </c>
      <c r="D3856" s="5" t="s">
        <v>10444</v>
      </c>
      <c r="E3856" s="5" t="s">
        <v>26102</v>
      </c>
      <c r="F3856" s="5" t="s">
        <v>524</v>
      </c>
      <c r="G3856" s="5" t="s">
        <v>26103</v>
      </c>
      <c r="H3856" s="6" t="s">
        <v>26104</v>
      </c>
      <c r="K3856" s="5" t="s">
        <v>26073</v>
      </c>
    </row>
    <row r="3857">
      <c r="A3857" s="4">
        <v>45534.34790435185</v>
      </c>
      <c r="B3857" s="5" t="s">
        <v>34</v>
      </c>
      <c r="D3857" s="5" t="s">
        <v>701</v>
      </c>
      <c r="E3857" s="5" t="s">
        <v>26107</v>
      </c>
      <c r="F3857" s="5" t="s">
        <v>108</v>
      </c>
      <c r="G3857" s="5" t="s">
        <v>26108</v>
      </c>
      <c r="H3857" s="6" t="s">
        <v>26109</v>
      </c>
      <c r="K3857" s="5" t="s">
        <v>26073</v>
      </c>
    </row>
    <row r="3858">
      <c r="A3858" s="4">
        <v>45534.34791053241</v>
      </c>
      <c r="B3858" s="5" t="s">
        <v>34</v>
      </c>
      <c r="D3858" s="5" t="s">
        <v>522</v>
      </c>
      <c r="E3858" s="5" t="s">
        <v>26113</v>
      </c>
      <c r="F3858" s="5" t="s">
        <v>72</v>
      </c>
      <c r="G3858" s="5" t="s">
        <v>26114</v>
      </c>
      <c r="H3858" s="6" t="s">
        <v>26115</v>
      </c>
      <c r="K3858" s="5" t="s">
        <v>26073</v>
      </c>
    </row>
    <row r="3859">
      <c r="A3859" s="4">
        <v>45534.34792273148</v>
      </c>
      <c r="B3859" s="5" t="s">
        <v>34</v>
      </c>
      <c r="D3859" s="5" t="s">
        <v>267</v>
      </c>
      <c r="E3859" s="5" t="s">
        <v>26118</v>
      </c>
      <c r="F3859" s="5" t="s">
        <v>37</v>
      </c>
      <c r="G3859" s="5" t="s">
        <v>26119</v>
      </c>
      <c r="H3859" s="6" t="s">
        <v>26120</v>
      </c>
      <c r="K3859" s="5" t="s">
        <v>26073</v>
      </c>
    </row>
    <row r="3860">
      <c r="A3860" s="4">
        <v>45534.34792392361</v>
      </c>
      <c r="B3860" s="5" t="s">
        <v>34</v>
      </c>
      <c r="D3860" s="5" t="s">
        <v>1206</v>
      </c>
      <c r="E3860" s="5" t="s">
        <v>26123</v>
      </c>
      <c r="F3860" s="5" t="s">
        <v>375</v>
      </c>
      <c r="G3860" s="5" t="s">
        <v>26124</v>
      </c>
      <c r="H3860" s="6" t="s">
        <v>26125</v>
      </c>
      <c r="K3860" s="5" t="s">
        <v>26073</v>
      </c>
    </row>
    <row r="3861">
      <c r="A3861" s="4">
        <v>45534.34792667824</v>
      </c>
      <c r="B3861" s="5" t="s">
        <v>34</v>
      </c>
      <c r="D3861" s="5" t="s">
        <v>1206</v>
      </c>
      <c r="E3861" s="5" t="s">
        <v>26128</v>
      </c>
      <c r="F3861" s="5" t="s">
        <v>37</v>
      </c>
      <c r="G3861" s="5" t="s">
        <v>26129</v>
      </c>
      <c r="H3861" s="6" t="s">
        <v>26130</v>
      </c>
      <c r="K3861" s="5" t="s">
        <v>26073</v>
      </c>
    </row>
    <row r="3862">
      <c r="A3862" s="4">
        <v>45534.34792662037</v>
      </c>
      <c r="B3862" s="5" t="s">
        <v>34</v>
      </c>
      <c r="D3862" s="5" t="s">
        <v>35</v>
      </c>
      <c r="E3862" s="5" t="s">
        <v>26133</v>
      </c>
      <c r="F3862" s="5" t="s">
        <v>108</v>
      </c>
      <c r="G3862" s="5" t="s">
        <v>26134</v>
      </c>
      <c r="H3862" s="6" t="s">
        <v>26135</v>
      </c>
      <c r="K3862" s="5" t="s">
        <v>26073</v>
      </c>
    </row>
    <row r="3863">
      <c r="A3863" s="4">
        <v>45534.3479290625</v>
      </c>
      <c r="B3863" s="5" t="s">
        <v>34</v>
      </c>
      <c r="D3863" s="5" t="s">
        <v>35</v>
      </c>
      <c r="E3863" s="5" t="s">
        <v>26139</v>
      </c>
      <c r="F3863" s="5" t="s">
        <v>108</v>
      </c>
      <c r="G3863" s="5" t="s">
        <v>26140</v>
      </c>
      <c r="H3863" s="6" t="s">
        <v>26141</v>
      </c>
      <c r="K3863" s="5" t="s">
        <v>26073</v>
      </c>
    </row>
    <row r="3864">
      <c r="A3864" s="4">
        <v>45534.347943263885</v>
      </c>
      <c r="B3864" s="5" t="s">
        <v>34</v>
      </c>
      <c r="D3864" s="5" t="s">
        <v>267</v>
      </c>
      <c r="E3864" s="5" t="s">
        <v>26144</v>
      </c>
      <c r="F3864" s="5" t="s">
        <v>72</v>
      </c>
      <c r="G3864" s="5" t="s">
        <v>26145</v>
      </c>
      <c r="H3864" s="6" t="s">
        <v>26146</v>
      </c>
      <c r="K3864" s="5" t="s">
        <v>26073</v>
      </c>
    </row>
    <row r="3865">
      <c r="A3865" s="4">
        <v>45534.34794688657</v>
      </c>
      <c r="B3865" s="5" t="s">
        <v>34</v>
      </c>
      <c r="D3865" s="5" t="s">
        <v>12978</v>
      </c>
      <c r="E3865" s="5" t="s">
        <v>26149</v>
      </c>
      <c r="F3865" s="5" t="s">
        <v>37</v>
      </c>
      <c r="G3865" s="5" t="s">
        <v>26150</v>
      </c>
      <c r="H3865" s="6" t="s">
        <v>26151</v>
      </c>
      <c r="K3865" s="5" t="s">
        <v>26073</v>
      </c>
    </row>
    <row r="3866">
      <c r="A3866" s="4">
        <v>45534.347978854166</v>
      </c>
      <c r="B3866" s="5" t="s">
        <v>34</v>
      </c>
      <c r="D3866" s="5" t="s">
        <v>522</v>
      </c>
      <c r="E3866" s="5" t="s">
        <v>26154</v>
      </c>
      <c r="F3866" s="5" t="s">
        <v>212</v>
      </c>
      <c r="G3866" s="5" t="s">
        <v>26155</v>
      </c>
      <c r="H3866" s="6" t="s">
        <v>26156</v>
      </c>
      <c r="K3866" s="5" t="s">
        <v>26157</v>
      </c>
    </row>
    <row r="3867">
      <c r="A3867" s="4">
        <v>45534.34797928241</v>
      </c>
      <c r="B3867" s="5" t="s">
        <v>34</v>
      </c>
      <c r="D3867" s="5" t="s">
        <v>4775</v>
      </c>
      <c r="E3867" s="5" t="s">
        <v>26160</v>
      </c>
      <c r="F3867" s="5" t="s">
        <v>37</v>
      </c>
      <c r="G3867" s="5" t="s">
        <v>26161</v>
      </c>
      <c r="H3867" s="6" t="s">
        <v>26162</v>
      </c>
      <c r="K3867" s="5" t="s">
        <v>26163</v>
      </c>
    </row>
    <row r="3868">
      <c r="A3868" s="4">
        <v>45534.34798060185</v>
      </c>
      <c r="B3868" s="5" t="s">
        <v>34</v>
      </c>
      <c r="D3868" s="5" t="s">
        <v>9020</v>
      </c>
      <c r="E3868" s="5" t="s">
        <v>26167</v>
      </c>
      <c r="F3868" s="5" t="s">
        <v>72</v>
      </c>
      <c r="G3868" s="5" t="s">
        <v>26168</v>
      </c>
      <c r="H3868" s="6" t="s">
        <v>26169</v>
      </c>
      <c r="K3868" s="5" t="s">
        <v>26163</v>
      </c>
    </row>
    <row r="3869">
      <c r="A3869" s="4">
        <v>45534.34798407408</v>
      </c>
      <c r="B3869" s="5" t="s">
        <v>34</v>
      </c>
      <c r="D3869" s="5" t="s">
        <v>1206</v>
      </c>
      <c r="E3869" s="5" t="s">
        <v>26172</v>
      </c>
      <c r="F3869" s="5" t="s">
        <v>37</v>
      </c>
      <c r="G3869" s="5" t="s">
        <v>26173</v>
      </c>
      <c r="H3869" s="6" t="s">
        <v>26174</v>
      </c>
      <c r="K3869" s="5" t="s">
        <v>26163</v>
      </c>
    </row>
    <row r="3870">
      <c r="A3870" s="4">
        <v>45534.34798525463</v>
      </c>
      <c r="B3870" s="5" t="s">
        <v>34</v>
      </c>
      <c r="D3870" s="5" t="s">
        <v>280</v>
      </c>
      <c r="E3870" s="5" t="s">
        <v>16105</v>
      </c>
      <c r="F3870" s="5" t="s">
        <v>375</v>
      </c>
      <c r="G3870" s="5" t="s">
        <v>26177</v>
      </c>
      <c r="H3870" s="6" t="s">
        <v>26178</v>
      </c>
      <c r="K3870" s="5" t="s">
        <v>26163</v>
      </c>
    </row>
    <row r="3871">
      <c r="A3871" s="4">
        <v>45534.347986134264</v>
      </c>
      <c r="B3871" s="5" t="s">
        <v>34</v>
      </c>
      <c r="D3871" s="5" t="s">
        <v>2903</v>
      </c>
      <c r="E3871" s="5" t="s">
        <v>26181</v>
      </c>
      <c r="F3871" s="5" t="s">
        <v>37</v>
      </c>
      <c r="G3871" s="5" t="s">
        <v>26182</v>
      </c>
      <c r="H3871" s="6" t="s">
        <v>26183</v>
      </c>
      <c r="K3871" s="5" t="s">
        <v>26163</v>
      </c>
    </row>
    <row r="3872">
      <c r="A3872" s="4">
        <v>45534.34799351852</v>
      </c>
      <c r="B3872" s="5" t="s">
        <v>19</v>
      </c>
      <c r="C3872" s="5" t="s">
        <v>26187</v>
      </c>
      <c r="E3872" s="5" t="s">
        <v>26188</v>
      </c>
      <c r="F3872" s="5" t="s">
        <v>120</v>
      </c>
      <c r="G3872" s="5" t="s">
        <v>26189</v>
      </c>
      <c r="H3872" s="6" t="s">
        <v>26190</v>
      </c>
      <c r="K3872" s="5" t="s">
        <v>26163</v>
      </c>
    </row>
    <row r="3873">
      <c r="A3873" s="4">
        <v>45534.34801645833</v>
      </c>
      <c r="B3873" s="5" t="s">
        <v>34</v>
      </c>
      <c r="D3873" s="5" t="s">
        <v>9394</v>
      </c>
      <c r="E3873" s="5" t="s">
        <v>26193</v>
      </c>
      <c r="F3873" s="5" t="s">
        <v>37</v>
      </c>
      <c r="G3873" s="5" t="s">
        <v>26194</v>
      </c>
      <c r="H3873" s="6" t="s">
        <v>26195</v>
      </c>
      <c r="K3873" s="5" t="s">
        <v>26163</v>
      </c>
    </row>
    <row r="3874">
      <c r="A3874" s="4">
        <v>45534.348027824075</v>
      </c>
      <c r="B3874" s="5" t="s">
        <v>34</v>
      </c>
      <c r="D3874" s="5" t="s">
        <v>9020</v>
      </c>
      <c r="E3874" s="5" t="s">
        <v>26198</v>
      </c>
      <c r="F3874" s="5" t="s">
        <v>37</v>
      </c>
      <c r="G3874" s="5" t="s">
        <v>26199</v>
      </c>
      <c r="H3874" s="6" t="s">
        <v>26200</v>
      </c>
      <c r="K3874" s="5" t="s">
        <v>26163</v>
      </c>
    </row>
    <row r="3875">
      <c r="A3875" s="4">
        <v>45534.34802709491</v>
      </c>
      <c r="B3875" s="5" t="s">
        <v>34</v>
      </c>
      <c r="D3875" s="5" t="s">
        <v>1206</v>
      </c>
      <c r="E3875" s="5" t="s">
        <v>26203</v>
      </c>
      <c r="F3875" s="5" t="s">
        <v>212</v>
      </c>
      <c r="G3875" s="5" t="s">
        <v>26204</v>
      </c>
      <c r="H3875" s="6" t="s">
        <v>26205</v>
      </c>
      <c r="K3875" s="5" t="s">
        <v>26163</v>
      </c>
    </row>
    <row r="3876">
      <c r="A3876" s="4">
        <v>45534.34803310185</v>
      </c>
      <c r="B3876" s="5" t="s">
        <v>34</v>
      </c>
      <c r="D3876" s="5" t="s">
        <v>4775</v>
      </c>
      <c r="E3876" s="5" t="s">
        <v>26209</v>
      </c>
      <c r="F3876" s="5" t="s">
        <v>212</v>
      </c>
      <c r="G3876" s="5" t="s">
        <v>26210</v>
      </c>
      <c r="H3876" s="6" t="s">
        <v>26211</v>
      </c>
      <c r="K3876" s="5" t="s">
        <v>26163</v>
      </c>
    </row>
    <row r="3877">
      <c r="A3877" s="4">
        <v>45534.34803783565</v>
      </c>
      <c r="B3877" s="5" t="s">
        <v>34</v>
      </c>
      <c r="D3877" s="5" t="s">
        <v>1206</v>
      </c>
      <c r="E3877" s="5" t="s">
        <v>26214</v>
      </c>
      <c r="F3877" s="5" t="s">
        <v>212</v>
      </c>
      <c r="G3877" s="5" t="s">
        <v>26215</v>
      </c>
      <c r="H3877" s="6" t="s">
        <v>26216</v>
      </c>
      <c r="K3877" s="5" t="s">
        <v>26163</v>
      </c>
    </row>
    <row r="3878">
      <c r="A3878" s="4">
        <v>45534.348041377314</v>
      </c>
      <c r="B3878" s="5" t="s">
        <v>34</v>
      </c>
      <c r="D3878" s="5" t="s">
        <v>1206</v>
      </c>
      <c r="E3878" s="5" t="s">
        <v>26219</v>
      </c>
      <c r="F3878" s="5" t="s">
        <v>72</v>
      </c>
      <c r="G3878" s="5" t="s">
        <v>26220</v>
      </c>
      <c r="H3878" s="6" t="s">
        <v>26221</v>
      </c>
      <c r="K3878" s="5" t="s">
        <v>26163</v>
      </c>
    </row>
    <row r="3879">
      <c r="A3879" s="4">
        <v>45534.34804165509</v>
      </c>
      <c r="B3879" s="5" t="s">
        <v>34</v>
      </c>
      <c r="D3879" s="5" t="s">
        <v>35</v>
      </c>
      <c r="E3879" s="5" t="s">
        <v>26224</v>
      </c>
      <c r="F3879" s="5" t="s">
        <v>108</v>
      </c>
      <c r="G3879" s="5" t="s">
        <v>26225</v>
      </c>
      <c r="H3879" s="6" t="s">
        <v>26226</v>
      </c>
      <c r="K3879" s="5" t="s">
        <v>26163</v>
      </c>
    </row>
    <row r="3880">
      <c r="A3880" s="4">
        <v>45534.34805119213</v>
      </c>
      <c r="B3880" s="5" t="s">
        <v>34</v>
      </c>
      <c r="D3880" s="5" t="s">
        <v>1206</v>
      </c>
      <c r="E3880" s="5" t="s">
        <v>26230</v>
      </c>
      <c r="F3880" s="5" t="s">
        <v>37</v>
      </c>
      <c r="G3880" s="5" t="s">
        <v>26231</v>
      </c>
      <c r="H3880" s="6" t="s">
        <v>26232</v>
      </c>
      <c r="K3880" s="5" t="s">
        <v>26163</v>
      </c>
    </row>
    <row r="3881">
      <c r="A3881" s="4">
        <v>45534.34805327546</v>
      </c>
      <c r="B3881" s="5" t="s">
        <v>34</v>
      </c>
      <c r="D3881" s="5" t="s">
        <v>35</v>
      </c>
      <c r="E3881" s="5" t="s">
        <v>26235</v>
      </c>
      <c r="F3881" s="5" t="s">
        <v>375</v>
      </c>
      <c r="G3881" s="5" t="s">
        <v>26236</v>
      </c>
      <c r="H3881" s="6" t="s">
        <v>26237</v>
      </c>
      <c r="K3881" s="5" t="s">
        <v>26163</v>
      </c>
    </row>
    <row r="3882">
      <c r="A3882" s="4">
        <v>45534.34805399306</v>
      </c>
      <c r="B3882" s="5" t="s">
        <v>34</v>
      </c>
      <c r="D3882" s="5" t="s">
        <v>1206</v>
      </c>
      <c r="E3882" s="5" t="s">
        <v>26240</v>
      </c>
      <c r="F3882" s="5" t="s">
        <v>37</v>
      </c>
      <c r="G3882" s="5" t="s">
        <v>26241</v>
      </c>
      <c r="H3882" s="6" t="s">
        <v>26242</v>
      </c>
      <c r="K3882" s="5" t="s">
        <v>26163</v>
      </c>
    </row>
    <row r="3883">
      <c r="A3883" s="4">
        <v>45534.34805756944</v>
      </c>
      <c r="B3883" s="5" t="s">
        <v>34</v>
      </c>
      <c r="D3883" s="5" t="s">
        <v>1206</v>
      </c>
      <c r="E3883" s="5" t="s">
        <v>26245</v>
      </c>
      <c r="F3883" s="5" t="s">
        <v>37</v>
      </c>
      <c r="G3883" s="5" t="s">
        <v>26246</v>
      </c>
      <c r="H3883" s="6" t="s">
        <v>26247</v>
      </c>
      <c r="K3883" s="5" t="s">
        <v>26163</v>
      </c>
    </row>
    <row r="3884">
      <c r="A3884" s="4">
        <v>45534.34807707176</v>
      </c>
      <c r="B3884" s="5" t="s">
        <v>34</v>
      </c>
      <c r="D3884" s="5" t="s">
        <v>1206</v>
      </c>
      <c r="E3884" s="5" t="s">
        <v>26250</v>
      </c>
      <c r="F3884" s="5" t="s">
        <v>212</v>
      </c>
      <c r="G3884" s="5" t="s">
        <v>26251</v>
      </c>
      <c r="H3884" s="6" t="s">
        <v>26252</v>
      </c>
      <c r="K3884" s="5" t="s">
        <v>26163</v>
      </c>
    </row>
    <row r="3885">
      <c r="A3885" s="4">
        <v>45534.348077511575</v>
      </c>
      <c r="B3885" s="5" t="s">
        <v>34</v>
      </c>
      <c r="D3885" s="5" t="s">
        <v>6232</v>
      </c>
      <c r="E3885" s="5" t="s">
        <v>26256</v>
      </c>
      <c r="F3885" s="5" t="s">
        <v>108</v>
      </c>
      <c r="G3885" s="5" t="s">
        <v>26257</v>
      </c>
      <c r="H3885" s="6" t="s">
        <v>26258</v>
      </c>
      <c r="K3885" s="5" t="s">
        <v>26163</v>
      </c>
    </row>
    <row r="3886">
      <c r="A3886" s="4">
        <v>45534.34809078704</v>
      </c>
      <c r="B3886" s="5" t="s">
        <v>34</v>
      </c>
      <c r="D3886" s="5" t="s">
        <v>1206</v>
      </c>
      <c r="E3886" s="5" t="s">
        <v>26261</v>
      </c>
      <c r="F3886" s="5" t="s">
        <v>37</v>
      </c>
      <c r="G3886" s="5" t="s">
        <v>26262</v>
      </c>
      <c r="H3886" s="6" t="s">
        <v>26263</v>
      </c>
      <c r="K3886" s="5" t="s">
        <v>26163</v>
      </c>
    </row>
    <row r="3887">
      <c r="A3887" s="4">
        <v>45534.34809290509</v>
      </c>
      <c r="B3887" s="5" t="s">
        <v>34</v>
      </c>
      <c r="D3887" s="5" t="s">
        <v>267</v>
      </c>
      <c r="E3887" s="5" t="s">
        <v>26266</v>
      </c>
      <c r="F3887" s="5" t="s">
        <v>72</v>
      </c>
      <c r="G3887" s="5" t="s">
        <v>26267</v>
      </c>
      <c r="H3887" s="6" t="s">
        <v>26268</v>
      </c>
      <c r="K3887" s="5" t="s">
        <v>26163</v>
      </c>
    </row>
    <row r="3888">
      <c r="A3888" s="4">
        <v>45534.348094155095</v>
      </c>
      <c r="B3888" s="5" t="s">
        <v>34</v>
      </c>
      <c r="D3888" s="5" t="s">
        <v>14424</v>
      </c>
      <c r="E3888" s="5" t="s">
        <v>26271</v>
      </c>
      <c r="F3888" s="5" t="s">
        <v>72</v>
      </c>
      <c r="G3888" s="5" t="s">
        <v>26272</v>
      </c>
      <c r="H3888" s="6" t="s">
        <v>26273</v>
      </c>
      <c r="K3888" s="5" t="s">
        <v>26163</v>
      </c>
    </row>
    <row r="3889">
      <c r="A3889" s="4">
        <v>45534.3480963426</v>
      </c>
      <c r="B3889" s="5" t="s">
        <v>34</v>
      </c>
      <c r="D3889" s="5" t="s">
        <v>580</v>
      </c>
      <c r="E3889" s="5" t="s">
        <v>26276</v>
      </c>
      <c r="F3889" s="5" t="s">
        <v>72</v>
      </c>
      <c r="G3889" s="5" t="s">
        <v>26277</v>
      </c>
      <c r="H3889" s="6" t="s">
        <v>26278</v>
      </c>
      <c r="K3889" s="5" t="s">
        <v>26163</v>
      </c>
    </row>
    <row r="3890">
      <c r="A3890" s="4">
        <v>45534.34809840278</v>
      </c>
      <c r="B3890" s="5" t="s">
        <v>34</v>
      </c>
      <c r="D3890" s="5" t="s">
        <v>1206</v>
      </c>
      <c r="E3890" s="5" t="s">
        <v>26282</v>
      </c>
      <c r="F3890" s="5" t="s">
        <v>375</v>
      </c>
      <c r="G3890" s="5" t="s">
        <v>26283</v>
      </c>
      <c r="H3890" s="6" t="s">
        <v>26284</v>
      </c>
      <c r="K3890" s="5" t="s">
        <v>26163</v>
      </c>
    </row>
    <row r="3891">
      <c r="A3891" s="4">
        <v>45534.34811334491</v>
      </c>
      <c r="B3891" s="5" t="s">
        <v>34</v>
      </c>
      <c r="D3891" s="5" t="s">
        <v>1206</v>
      </c>
      <c r="E3891" s="5" t="s">
        <v>26287</v>
      </c>
      <c r="F3891" s="5" t="s">
        <v>212</v>
      </c>
      <c r="G3891" s="5" t="s">
        <v>26288</v>
      </c>
      <c r="H3891" s="6" t="s">
        <v>26289</v>
      </c>
      <c r="K3891" s="5" t="s">
        <v>26290</v>
      </c>
    </row>
    <row r="3892">
      <c r="A3892" s="4">
        <v>45534.34811766204</v>
      </c>
      <c r="B3892" s="5" t="s">
        <v>34</v>
      </c>
      <c r="D3892" s="5" t="s">
        <v>7858</v>
      </c>
      <c r="E3892" s="5" t="s">
        <v>26293</v>
      </c>
      <c r="F3892" s="5" t="s">
        <v>212</v>
      </c>
      <c r="G3892" s="5" t="s">
        <v>26294</v>
      </c>
      <c r="H3892" s="6" t="s">
        <v>26295</v>
      </c>
      <c r="K3892" s="5" t="s">
        <v>26290</v>
      </c>
    </row>
    <row r="3893">
      <c r="A3893" s="4">
        <v>45534.34812012731</v>
      </c>
      <c r="B3893" s="5" t="s">
        <v>34</v>
      </c>
      <c r="D3893" s="5" t="s">
        <v>1206</v>
      </c>
      <c r="E3893" s="5" t="s">
        <v>26298</v>
      </c>
      <c r="F3893" s="5" t="s">
        <v>37</v>
      </c>
      <c r="G3893" s="5" t="s">
        <v>26299</v>
      </c>
      <c r="H3893" s="6" t="s">
        <v>26300</v>
      </c>
      <c r="K3893" s="5" t="s">
        <v>26301</v>
      </c>
    </row>
    <row r="3894">
      <c r="A3894" s="4">
        <v>45534.34812541667</v>
      </c>
      <c r="B3894" s="5" t="s">
        <v>34</v>
      </c>
      <c r="D3894" s="5" t="s">
        <v>9020</v>
      </c>
      <c r="E3894" s="5" t="s">
        <v>26304</v>
      </c>
      <c r="F3894" s="5" t="s">
        <v>212</v>
      </c>
      <c r="G3894" s="5" t="s">
        <v>26305</v>
      </c>
      <c r="H3894" s="6" t="s">
        <v>26306</v>
      </c>
      <c r="K3894" s="5" t="s">
        <v>26301</v>
      </c>
    </row>
    <row r="3895">
      <c r="A3895" s="4">
        <v>45534.348131597224</v>
      </c>
      <c r="B3895" s="5" t="s">
        <v>34</v>
      </c>
      <c r="D3895" s="5" t="s">
        <v>10444</v>
      </c>
      <c r="E3895" s="5" t="s">
        <v>26310</v>
      </c>
      <c r="F3895" s="5" t="s">
        <v>72</v>
      </c>
      <c r="G3895" s="5" t="s">
        <v>26311</v>
      </c>
      <c r="H3895" s="6" t="s">
        <v>26312</v>
      </c>
      <c r="K3895" s="5" t="s">
        <v>26301</v>
      </c>
    </row>
    <row r="3896">
      <c r="A3896" s="4">
        <v>45534.348134375</v>
      </c>
      <c r="B3896" s="5" t="s">
        <v>34</v>
      </c>
      <c r="D3896" s="5" t="s">
        <v>4775</v>
      </c>
      <c r="E3896" s="5" t="s">
        <v>26315</v>
      </c>
      <c r="F3896" s="5" t="s">
        <v>375</v>
      </c>
      <c r="G3896" s="5" t="s">
        <v>26316</v>
      </c>
      <c r="H3896" s="6" t="s">
        <v>26317</v>
      </c>
      <c r="K3896" s="5" t="s">
        <v>26301</v>
      </c>
    </row>
    <row r="3897">
      <c r="A3897" s="4">
        <v>45534.34814480324</v>
      </c>
      <c r="B3897" s="5" t="s">
        <v>34</v>
      </c>
      <c r="D3897" s="5" t="s">
        <v>1206</v>
      </c>
      <c r="E3897" s="5" t="s">
        <v>26320</v>
      </c>
      <c r="F3897" s="5" t="s">
        <v>212</v>
      </c>
      <c r="G3897" s="5" t="s">
        <v>26321</v>
      </c>
      <c r="H3897" s="6" t="s">
        <v>26322</v>
      </c>
      <c r="K3897" s="5" t="s">
        <v>26301</v>
      </c>
    </row>
    <row r="3898">
      <c r="A3898" s="4">
        <v>45534.34815259259</v>
      </c>
      <c r="B3898" s="5" t="s">
        <v>34</v>
      </c>
      <c r="D3898" s="5" t="s">
        <v>9394</v>
      </c>
      <c r="E3898" s="5" t="s">
        <v>26325</v>
      </c>
      <c r="F3898" s="5" t="s">
        <v>212</v>
      </c>
      <c r="G3898" s="5" t="s">
        <v>26326</v>
      </c>
      <c r="H3898" s="6" t="s">
        <v>26327</v>
      </c>
      <c r="K3898" s="5" t="s">
        <v>26301</v>
      </c>
    </row>
    <row r="3899">
      <c r="A3899" s="4">
        <v>45534.348155960644</v>
      </c>
      <c r="B3899" s="5" t="s">
        <v>34</v>
      </c>
      <c r="D3899" s="5" t="s">
        <v>14424</v>
      </c>
      <c r="E3899" s="5" t="s">
        <v>26331</v>
      </c>
      <c r="F3899" s="5" t="s">
        <v>108</v>
      </c>
      <c r="G3899" s="5" t="s">
        <v>26332</v>
      </c>
      <c r="H3899" s="6" t="s">
        <v>26333</v>
      </c>
      <c r="K3899" s="5" t="s">
        <v>26301</v>
      </c>
    </row>
    <row r="3900">
      <c r="A3900" s="4">
        <v>45534.34816105324</v>
      </c>
      <c r="B3900" s="5" t="s">
        <v>34</v>
      </c>
      <c r="D3900" s="5" t="s">
        <v>6232</v>
      </c>
      <c r="E3900" s="5" t="s">
        <v>26336</v>
      </c>
      <c r="F3900" s="5" t="s">
        <v>108</v>
      </c>
      <c r="G3900" s="5" t="s">
        <v>26337</v>
      </c>
      <c r="H3900" s="6" t="s">
        <v>26338</v>
      </c>
      <c r="K3900" s="5" t="s">
        <v>26301</v>
      </c>
    </row>
    <row r="3901">
      <c r="A3901" s="4">
        <v>45534.34817513889</v>
      </c>
      <c r="B3901" s="5" t="s">
        <v>34</v>
      </c>
      <c r="D3901" s="5" t="s">
        <v>9020</v>
      </c>
      <c r="E3901" s="5" t="s">
        <v>26341</v>
      </c>
      <c r="F3901" s="5" t="s">
        <v>524</v>
      </c>
      <c r="G3901" s="5" t="s">
        <v>26342</v>
      </c>
      <c r="H3901" s="6" t="s">
        <v>26343</v>
      </c>
      <c r="K3901" s="5" t="s">
        <v>26344</v>
      </c>
    </row>
    <row r="3902">
      <c r="A3902" s="4">
        <v>45534.34819259259</v>
      </c>
      <c r="B3902" s="5" t="s">
        <v>19</v>
      </c>
      <c r="C3902" s="5" t="s">
        <v>442</v>
      </c>
      <c r="E3902" s="5" t="s">
        <v>26347</v>
      </c>
      <c r="F3902" s="5" t="s">
        <v>524</v>
      </c>
      <c r="G3902" s="5" t="s">
        <v>26348</v>
      </c>
      <c r="H3902" s="6" t="s">
        <v>26349</v>
      </c>
      <c r="K3902" s="5" t="s">
        <v>26344</v>
      </c>
    </row>
    <row r="3903">
      <c r="A3903" s="4">
        <v>45534.34819510416</v>
      </c>
      <c r="B3903" s="5" t="s">
        <v>34</v>
      </c>
      <c r="D3903" s="5" t="s">
        <v>267</v>
      </c>
      <c r="E3903" s="5" t="s">
        <v>15428</v>
      </c>
      <c r="F3903" s="5" t="s">
        <v>72</v>
      </c>
      <c r="G3903" s="5" t="s">
        <v>26352</v>
      </c>
      <c r="H3903" s="6" t="s">
        <v>26353</v>
      </c>
      <c r="K3903" s="5" t="s">
        <v>26344</v>
      </c>
    </row>
    <row r="3904">
      <c r="A3904" s="4">
        <v>45534.348195625</v>
      </c>
      <c r="B3904" s="5" t="s">
        <v>34</v>
      </c>
      <c r="D3904" s="5" t="s">
        <v>35</v>
      </c>
      <c r="E3904" s="5" t="s">
        <v>26357</v>
      </c>
      <c r="F3904" s="5" t="s">
        <v>328</v>
      </c>
      <c r="G3904" s="5" t="s">
        <v>26358</v>
      </c>
      <c r="H3904" s="6" t="s">
        <v>26359</v>
      </c>
      <c r="K3904" s="5" t="s">
        <v>26344</v>
      </c>
    </row>
    <row r="3905">
      <c r="A3905" s="4">
        <v>45534.34820799768</v>
      </c>
      <c r="B3905" s="5" t="s">
        <v>34</v>
      </c>
      <c r="D3905" s="5" t="s">
        <v>9020</v>
      </c>
      <c r="E3905" s="5" t="s">
        <v>26362</v>
      </c>
      <c r="F3905" s="5" t="s">
        <v>715</v>
      </c>
      <c r="G3905" s="5" t="s">
        <v>26363</v>
      </c>
      <c r="H3905" s="6" t="s">
        <v>26364</v>
      </c>
      <c r="K3905" s="5" t="s">
        <v>26344</v>
      </c>
    </row>
    <row r="3906">
      <c r="A3906" s="4">
        <v>45534.34821561343</v>
      </c>
      <c r="B3906" s="5" t="s">
        <v>34</v>
      </c>
      <c r="D3906" s="5" t="s">
        <v>12978</v>
      </c>
      <c r="E3906" s="5" t="s">
        <v>26367</v>
      </c>
      <c r="F3906" s="5" t="s">
        <v>212</v>
      </c>
      <c r="G3906" s="5" t="s">
        <v>26368</v>
      </c>
      <c r="H3906" s="6" t="s">
        <v>26369</v>
      </c>
      <c r="K3906" s="5" t="s">
        <v>26344</v>
      </c>
    </row>
    <row r="3907">
      <c r="A3907" s="4">
        <v>45534.348217384264</v>
      </c>
      <c r="B3907" s="5" t="s">
        <v>34</v>
      </c>
      <c r="D3907" s="5" t="s">
        <v>580</v>
      </c>
      <c r="E3907" s="5" t="s">
        <v>26372</v>
      </c>
      <c r="F3907" s="5" t="s">
        <v>212</v>
      </c>
      <c r="G3907" s="5" t="s">
        <v>26373</v>
      </c>
      <c r="H3907" s="6" t="s">
        <v>26374</v>
      </c>
      <c r="K3907" s="5" t="s">
        <v>26344</v>
      </c>
    </row>
    <row r="3908">
      <c r="A3908" s="4">
        <v>45534.3482180787</v>
      </c>
      <c r="B3908" s="5" t="s">
        <v>34</v>
      </c>
      <c r="D3908" s="5" t="s">
        <v>6232</v>
      </c>
      <c r="E3908" s="5" t="s">
        <v>26377</v>
      </c>
      <c r="F3908" s="5" t="s">
        <v>524</v>
      </c>
      <c r="G3908" s="5" t="s">
        <v>26378</v>
      </c>
      <c r="H3908" s="6" t="s">
        <v>26379</v>
      </c>
      <c r="K3908" s="5" t="s">
        <v>26344</v>
      </c>
    </row>
    <row r="3909">
      <c r="A3909" s="4">
        <v>45534.348235972226</v>
      </c>
      <c r="B3909" s="5" t="s">
        <v>34</v>
      </c>
      <c r="D3909" s="5" t="s">
        <v>10444</v>
      </c>
      <c r="E3909" s="5" t="s">
        <v>18430</v>
      </c>
      <c r="F3909" s="5" t="s">
        <v>108</v>
      </c>
      <c r="G3909" s="5" t="s">
        <v>26383</v>
      </c>
      <c r="H3909" s="6" t="s">
        <v>26384</v>
      </c>
      <c r="K3909" s="5" t="s">
        <v>26385</v>
      </c>
    </row>
    <row r="3910">
      <c r="A3910" s="4">
        <v>45534.34824344907</v>
      </c>
      <c r="B3910" s="5" t="s">
        <v>34</v>
      </c>
      <c r="D3910" s="5" t="s">
        <v>12978</v>
      </c>
      <c r="E3910" s="5" t="s">
        <v>26388</v>
      </c>
      <c r="F3910" s="5" t="s">
        <v>72</v>
      </c>
      <c r="G3910" s="5" t="s">
        <v>26389</v>
      </c>
      <c r="H3910" s="6" t="s">
        <v>26390</v>
      </c>
      <c r="K3910" s="5" t="s">
        <v>26385</v>
      </c>
    </row>
    <row r="3911">
      <c r="A3911" s="4">
        <v>45534.34824395833</v>
      </c>
      <c r="B3911" s="5" t="s">
        <v>34</v>
      </c>
      <c r="D3911" s="5" t="s">
        <v>1206</v>
      </c>
      <c r="E3911" s="5" t="s">
        <v>26393</v>
      </c>
      <c r="F3911" s="5" t="s">
        <v>375</v>
      </c>
      <c r="G3911" s="5" t="s">
        <v>26394</v>
      </c>
      <c r="H3911" s="6" t="s">
        <v>26395</v>
      </c>
      <c r="K3911" s="5" t="s">
        <v>26385</v>
      </c>
    </row>
    <row r="3912">
      <c r="A3912" s="4">
        <v>45534.3482442824</v>
      </c>
      <c r="B3912" s="5" t="s">
        <v>34</v>
      </c>
      <c r="D3912" s="5" t="s">
        <v>9020</v>
      </c>
      <c r="E3912" s="5" t="s">
        <v>26398</v>
      </c>
      <c r="F3912" s="5" t="s">
        <v>524</v>
      </c>
      <c r="G3912" s="5" t="s">
        <v>26399</v>
      </c>
      <c r="H3912" s="6" t="s">
        <v>26400</v>
      </c>
      <c r="K3912" s="5" t="s">
        <v>26385</v>
      </c>
    </row>
    <row r="3913">
      <c r="A3913" s="4">
        <v>45534.348246608795</v>
      </c>
      <c r="B3913" s="5" t="s">
        <v>34</v>
      </c>
      <c r="D3913" s="5" t="s">
        <v>996</v>
      </c>
      <c r="E3913" s="5" t="s">
        <v>26403</v>
      </c>
      <c r="F3913" s="5" t="s">
        <v>199</v>
      </c>
      <c r="G3913" s="5" t="s">
        <v>26404</v>
      </c>
      <c r="H3913" s="6" t="s">
        <v>26405</v>
      </c>
      <c r="K3913" s="5" t="s">
        <v>26385</v>
      </c>
    </row>
    <row r="3914">
      <c r="A3914" s="4">
        <v>45534.34825648148</v>
      </c>
      <c r="B3914" s="5" t="s">
        <v>19</v>
      </c>
      <c r="C3914" s="5" t="s">
        <v>466</v>
      </c>
      <c r="E3914" s="5" t="s">
        <v>26409</v>
      </c>
      <c r="F3914" s="5" t="s">
        <v>212</v>
      </c>
      <c r="G3914" s="5" t="s">
        <v>26410</v>
      </c>
      <c r="H3914" s="6" t="s">
        <v>26411</v>
      </c>
      <c r="K3914" s="5" t="s">
        <v>26385</v>
      </c>
    </row>
    <row r="3915">
      <c r="A3915" s="4">
        <v>45534.34828597222</v>
      </c>
      <c r="B3915" s="5" t="s">
        <v>34</v>
      </c>
      <c r="D3915" s="5" t="s">
        <v>701</v>
      </c>
      <c r="E3915" s="5" t="s">
        <v>26414</v>
      </c>
      <c r="F3915" s="5" t="s">
        <v>37</v>
      </c>
      <c r="G3915" s="5" t="s">
        <v>26415</v>
      </c>
      <c r="H3915" s="6" t="s">
        <v>26416</v>
      </c>
      <c r="K3915" s="5" t="s">
        <v>26385</v>
      </c>
    </row>
    <row r="3916">
      <c r="A3916" s="4">
        <v>45534.34830371528</v>
      </c>
      <c r="B3916" s="5" t="s">
        <v>19</v>
      </c>
      <c r="C3916" s="5" t="s">
        <v>11593</v>
      </c>
      <c r="E3916" s="5" t="s">
        <v>26419</v>
      </c>
      <c r="F3916" s="5" t="s">
        <v>375</v>
      </c>
      <c r="G3916" s="5" t="s">
        <v>26420</v>
      </c>
      <c r="H3916" s="6" t="s">
        <v>26421</v>
      </c>
      <c r="I3916" s="7" t="s">
        <v>26422</v>
      </c>
      <c r="J3916" s="8" t="str">
        <f>HYPERLINK("https://drive.google.com/file/d/16grxy4USKK-WeTpOVWuM4lr-H9d0QtI9/view?usp=drivesdk","SRI RAHAYUNINGSIH SERTIFIKAT BerAKHLAK")</f>
        <v>SRI RAHAYUNINGSIH SERTIFIKAT BerAKHLAK</v>
      </c>
      <c r="K3916" s="5" t="s">
        <v>25486</v>
      </c>
      <c r="L3916" s="5" t="s">
        <v>26423</v>
      </c>
    </row>
    <row r="3917">
      <c r="A3917" s="4">
        <v>45534.3483056713</v>
      </c>
      <c r="B3917" s="5" t="s">
        <v>34</v>
      </c>
      <c r="D3917" s="5" t="s">
        <v>35</v>
      </c>
      <c r="E3917" s="5" t="s">
        <v>26426</v>
      </c>
      <c r="F3917" s="5" t="s">
        <v>72</v>
      </c>
      <c r="G3917" s="5" t="s">
        <v>26427</v>
      </c>
      <c r="H3917" s="6" t="s">
        <v>26428</v>
      </c>
      <c r="I3917" s="7" t="s">
        <v>26429</v>
      </c>
      <c r="J3917" s="8" t="str">
        <f>HYPERLINK("https://drive.google.com/file/d/1OKPKtNZ_gIublyvR159w3i6iJGTXnjCI/view?usp=drivesdk","NOVA AYU WINARNING. S SKep SERTIFIKAT BerAKHLAK")</f>
        <v>NOVA AYU WINARNING. S SKep SERTIFIKAT BerAKHLAK</v>
      </c>
      <c r="K3917" s="5" t="s">
        <v>26430</v>
      </c>
      <c r="L3917" s="5" t="s">
        <v>26431</v>
      </c>
    </row>
    <row r="3918">
      <c r="A3918" s="4">
        <v>45534.348306342596</v>
      </c>
      <c r="B3918" s="5" t="s">
        <v>34</v>
      </c>
      <c r="D3918" s="5" t="s">
        <v>4775</v>
      </c>
      <c r="E3918" s="5" t="s">
        <v>26435</v>
      </c>
      <c r="F3918" s="5" t="s">
        <v>37</v>
      </c>
      <c r="G3918" s="5" t="s">
        <v>26436</v>
      </c>
      <c r="H3918" s="6" t="s">
        <v>26437</v>
      </c>
      <c r="I3918" s="7" t="s">
        <v>26438</v>
      </c>
      <c r="J3918" s="8" t="str">
        <f>HYPERLINK("https://drive.google.com/file/d/1oHkhcKvYbTHfTr2YpYHrha_HfJQFTgbM/view?usp=drivesdk","IMAM SURYONO SERTIFIKAT BerAKHLAK")</f>
        <v>IMAM SURYONO SERTIFIKAT BerAKHLAK</v>
      </c>
      <c r="K3918" s="5" t="s">
        <v>26430</v>
      </c>
      <c r="L3918" s="5" t="s">
        <v>26439</v>
      </c>
    </row>
    <row r="3919">
      <c r="A3919" s="4">
        <v>45534.34831799769</v>
      </c>
      <c r="B3919" s="5" t="s">
        <v>34</v>
      </c>
      <c r="D3919" s="5" t="s">
        <v>1206</v>
      </c>
      <c r="E3919" s="5" t="s">
        <v>26442</v>
      </c>
      <c r="F3919" s="5" t="s">
        <v>212</v>
      </c>
      <c r="G3919" s="5" t="s">
        <v>26443</v>
      </c>
      <c r="H3919" s="6" t="s">
        <v>26444</v>
      </c>
      <c r="I3919" s="7" t="s">
        <v>26445</v>
      </c>
      <c r="J3919" s="8" t="str">
        <f>HYPERLINK("https://drive.google.com/file/d/1d8vBuX4RHQrzlJuh-j1mvN94R1IahJcp/view?usp=drivesdk","KARUNIA HADI SETIJONO, S.Sos SERTIFIKAT BerAKHLAK")</f>
        <v>KARUNIA HADI SETIJONO, S.Sos SERTIFIKAT BerAKHLAK</v>
      </c>
      <c r="K3919" s="5" t="s">
        <v>26430</v>
      </c>
      <c r="L3919" s="5" t="s">
        <v>26446</v>
      </c>
    </row>
    <row r="3920">
      <c r="A3920" s="4">
        <v>45534.348317662036</v>
      </c>
      <c r="B3920" s="5" t="s">
        <v>34</v>
      </c>
      <c r="D3920" s="5" t="s">
        <v>9020</v>
      </c>
      <c r="E3920" s="5" t="s">
        <v>26449</v>
      </c>
      <c r="F3920" s="5" t="s">
        <v>72</v>
      </c>
      <c r="G3920" s="5" t="s">
        <v>26450</v>
      </c>
      <c r="H3920" s="6" t="s">
        <v>26451</v>
      </c>
      <c r="I3920" s="7" t="s">
        <v>26452</v>
      </c>
      <c r="J3920" s="8" t="str">
        <f>HYPERLINK("https://drive.google.com/file/d/1AuvRg3tnao45oUyxvNHn6chmEqHgtinh/view?usp=drivesdk","SARIA MANGOPO JULIANA SITORUS SERTIFIKAT BerAKHLAK")</f>
        <v>SARIA MANGOPO JULIANA SITORUS SERTIFIKAT BerAKHLAK</v>
      </c>
      <c r="K3920" s="5" t="s">
        <v>26430</v>
      </c>
      <c r="L3920" s="5" t="s">
        <v>26453</v>
      </c>
    </row>
    <row r="3921">
      <c r="A3921" s="4">
        <v>45534.34831840278</v>
      </c>
      <c r="B3921" s="5" t="s">
        <v>34</v>
      </c>
      <c r="D3921" s="5" t="s">
        <v>1206</v>
      </c>
      <c r="E3921" s="5" t="s">
        <v>26456</v>
      </c>
      <c r="F3921" s="5" t="s">
        <v>524</v>
      </c>
      <c r="G3921" s="5" t="s">
        <v>26457</v>
      </c>
      <c r="H3921" s="6" t="s">
        <v>26458</v>
      </c>
      <c r="I3921" s="7" t="s">
        <v>26459</v>
      </c>
      <c r="J3921" s="8" t="str">
        <f>HYPERLINK("https://drive.google.com/file/d/1GAFc3Ns9qXf1xDqEcrSwwnz8HlPPCLjU/view?usp=drivesdk","YENI FITRI YULIASTUTIK, S.M. SERTIFIKAT BerAKHLAK")</f>
        <v>YENI FITRI YULIASTUTIK, S.M. SERTIFIKAT BerAKHLAK</v>
      </c>
      <c r="K3921" s="5" t="s">
        <v>26460</v>
      </c>
      <c r="L3921" s="5" t="s">
        <v>26461</v>
      </c>
    </row>
    <row r="3922">
      <c r="A3922" s="4">
        <v>45534.34832412037</v>
      </c>
      <c r="B3922" s="5" t="s">
        <v>34</v>
      </c>
      <c r="D3922" s="5" t="s">
        <v>1206</v>
      </c>
      <c r="E3922" s="5" t="s">
        <v>26464</v>
      </c>
      <c r="F3922" s="5" t="s">
        <v>72</v>
      </c>
      <c r="G3922" s="5" t="s">
        <v>26465</v>
      </c>
      <c r="H3922" s="6" t="s">
        <v>26466</v>
      </c>
      <c r="I3922" s="7" t="s">
        <v>26467</v>
      </c>
      <c r="J3922" s="8" t="str">
        <f>HYPERLINK("https://drive.google.com/file/d/1cJXasOll3E4M3DsY16F11AMmzmJEfdsS/view?usp=drivesdk","FILANTARI CAHYANI A.Md SERTIFIKAT BerAKHLAK")</f>
        <v>FILANTARI CAHYANI A.Md SERTIFIKAT BerAKHLAK</v>
      </c>
      <c r="K3922" s="5" t="s">
        <v>26460</v>
      </c>
      <c r="L3922" s="5" t="s">
        <v>26468</v>
      </c>
    </row>
    <row r="3923">
      <c r="A3923" s="4">
        <v>45534.34832416667</v>
      </c>
      <c r="B3923" s="5" t="s">
        <v>34</v>
      </c>
      <c r="D3923" s="5" t="s">
        <v>1206</v>
      </c>
      <c r="E3923" s="5" t="s">
        <v>26472</v>
      </c>
      <c r="F3923" s="5" t="s">
        <v>37</v>
      </c>
      <c r="G3923" s="5" t="s">
        <v>26473</v>
      </c>
      <c r="H3923" s="6" t="s">
        <v>26474</v>
      </c>
      <c r="K3923" s="5" t="s">
        <v>26475</v>
      </c>
    </row>
    <row r="3924">
      <c r="A3924" s="4">
        <v>45534.348325439816</v>
      </c>
      <c r="B3924" s="5" t="s">
        <v>19</v>
      </c>
      <c r="C3924" s="5" t="s">
        <v>5564</v>
      </c>
      <c r="E3924" s="5" t="s">
        <v>26478</v>
      </c>
      <c r="F3924" s="5" t="s">
        <v>212</v>
      </c>
      <c r="G3924" s="5" t="s">
        <v>26479</v>
      </c>
      <c r="H3924" s="6" t="s">
        <v>26480</v>
      </c>
      <c r="K3924" s="5" t="s">
        <v>26475</v>
      </c>
    </row>
    <row r="3925">
      <c r="A3925" s="4">
        <v>45534.348327430554</v>
      </c>
      <c r="B3925" s="5" t="s">
        <v>34</v>
      </c>
      <c r="D3925" s="5" t="s">
        <v>1206</v>
      </c>
      <c r="E3925" s="5" t="s">
        <v>26483</v>
      </c>
      <c r="F3925" s="5" t="s">
        <v>37</v>
      </c>
      <c r="G3925" s="5" t="s">
        <v>26484</v>
      </c>
      <c r="H3925" s="6" t="s">
        <v>26485</v>
      </c>
      <c r="K3925" s="5" t="s">
        <v>26475</v>
      </c>
    </row>
    <row r="3926">
      <c r="A3926" s="4">
        <v>45534.34832680556</v>
      </c>
      <c r="B3926" s="5" t="s">
        <v>34</v>
      </c>
      <c r="D3926" s="5" t="s">
        <v>3432</v>
      </c>
      <c r="E3926" s="5" t="s">
        <v>26488</v>
      </c>
      <c r="F3926" s="5" t="s">
        <v>524</v>
      </c>
      <c r="G3926" s="5" t="s">
        <v>26489</v>
      </c>
      <c r="H3926" s="6" t="s">
        <v>26490</v>
      </c>
      <c r="K3926" s="5" t="s">
        <v>26475</v>
      </c>
    </row>
    <row r="3927">
      <c r="A3927" s="4">
        <v>45534.34835144676</v>
      </c>
      <c r="B3927" s="5" t="s">
        <v>34</v>
      </c>
      <c r="D3927" s="5" t="s">
        <v>1206</v>
      </c>
      <c r="E3927" s="5" t="s">
        <v>26494</v>
      </c>
      <c r="F3927" s="5" t="s">
        <v>72</v>
      </c>
      <c r="G3927" s="5" t="s">
        <v>26495</v>
      </c>
      <c r="H3927" s="6" t="s">
        <v>26496</v>
      </c>
      <c r="K3927" s="5" t="s">
        <v>26475</v>
      </c>
    </row>
    <row r="3928">
      <c r="A3928" s="4">
        <v>45534.348351967594</v>
      </c>
      <c r="B3928" s="5" t="s">
        <v>34</v>
      </c>
      <c r="D3928" s="5" t="s">
        <v>9020</v>
      </c>
      <c r="E3928" s="5" t="s">
        <v>26499</v>
      </c>
      <c r="F3928" s="5" t="s">
        <v>375</v>
      </c>
      <c r="G3928" s="5" t="s">
        <v>26500</v>
      </c>
      <c r="H3928" s="6" t="s">
        <v>26501</v>
      </c>
      <c r="K3928" s="5" t="s">
        <v>26475</v>
      </c>
    </row>
    <row r="3929">
      <c r="A3929" s="4">
        <v>45534.34835339121</v>
      </c>
      <c r="B3929" s="5" t="s">
        <v>34</v>
      </c>
      <c r="D3929" s="5" t="s">
        <v>1206</v>
      </c>
      <c r="E3929" s="5" t="s">
        <v>26504</v>
      </c>
      <c r="F3929" s="5" t="s">
        <v>212</v>
      </c>
      <c r="G3929" s="5" t="s">
        <v>26505</v>
      </c>
      <c r="H3929" s="6" t="s">
        <v>26506</v>
      </c>
      <c r="K3929" s="5" t="s">
        <v>26475</v>
      </c>
    </row>
    <row r="3930">
      <c r="A3930" s="4">
        <v>45534.34835988426</v>
      </c>
      <c r="B3930" s="5" t="s">
        <v>34</v>
      </c>
      <c r="D3930" s="5" t="s">
        <v>1206</v>
      </c>
      <c r="E3930" s="5" t="s">
        <v>26509</v>
      </c>
      <c r="F3930" s="5" t="s">
        <v>212</v>
      </c>
      <c r="G3930" s="5" t="s">
        <v>26510</v>
      </c>
      <c r="H3930" s="6" t="s">
        <v>26511</v>
      </c>
      <c r="K3930" s="5" t="s">
        <v>26475</v>
      </c>
    </row>
    <row r="3931">
      <c r="A3931" s="4">
        <v>45534.34836326389</v>
      </c>
      <c r="B3931" s="5" t="s">
        <v>19</v>
      </c>
      <c r="C3931" s="5" t="s">
        <v>442</v>
      </c>
      <c r="E3931" s="5" t="s">
        <v>26514</v>
      </c>
      <c r="F3931" s="5" t="s">
        <v>72</v>
      </c>
      <c r="G3931" s="5" t="s">
        <v>26515</v>
      </c>
      <c r="H3931" s="6" t="s">
        <v>26516</v>
      </c>
      <c r="K3931" s="5" t="s">
        <v>26475</v>
      </c>
    </row>
    <row r="3932">
      <c r="A3932" s="4">
        <v>45534.34836701389</v>
      </c>
      <c r="B3932" s="5" t="s">
        <v>34</v>
      </c>
      <c r="D3932" s="5" t="s">
        <v>1206</v>
      </c>
      <c r="E3932" s="5" t="s">
        <v>26520</v>
      </c>
      <c r="F3932" s="5" t="s">
        <v>72</v>
      </c>
      <c r="G3932" s="5" t="s">
        <v>26521</v>
      </c>
      <c r="H3932" s="6" t="s">
        <v>26522</v>
      </c>
      <c r="K3932" s="5" t="s">
        <v>26475</v>
      </c>
    </row>
    <row r="3933">
      <c r="A3933" s="4">
        <v>45534.348379166666</v>
      </c>
      <c r="B3933" s="5" t="s">
        <v>34</v>
      </c>
      <c r="D3933" s="5" t="s">
        <v>4775</v>
      </c>
      <c r="E3933" s="5" t="s">
        <v>26525</v>
      </c>
      <c r="F3933" s="5" t="s">
        <v>212</v>
      </c>
      <c r="G3933" s="5" t="s">
        <v>26526</v>
      </c>
      <c r="H3933" s="6" t="s">
        <v>26527</v>
      </c>
      <c r="I3933" s="7" t="s">
        <v>26528</v>
      </c>
      <c r="J3933" s="8" t="str">
        <f>HYPERLINK("https://drive.google.com/file/d/16yYsf9gApE_2Jqb3SKt66moUVc36vfgS/view?usp=drivesdk","AGUNG TRI WAHANA SERTIFIKAT BerAKHLAK")</f>
        <v>AGUNG TRI WAHANA SERTIFIKAT BerAKHLAK</v>
      </c>
      <c r="K3933" s="5" t="s">
        <v>26475</v>
      </c>
      <c r="L3933" s="5" t="s">
        <v>26529</v>
      </c>
    </row>
    <row r="3934">
      <c r="A3934" s="4">
        <v>45534.34837921296</v>
      </c>
      <c r="B3934" s="5" t="s">
        <v>34</v>
      </c>
      <c r="D3934" s="5" t="s">
        <v>1206</v>
      </c>
      <c r="E3934" s="5" t="s">
        <v>26532</v>
      </c>
      <c r="F3934" s="5" t="s">
        <v>212</v>
      </c>
      <c r="G3934" s="5" t="s">
        <v>26533</v>
      </c>
      <c r="H3934" s="6" t="s">
        <v>26534</v>
      </c>
      <c r="I3934" s="7" t="s">
        <v>26535</v>
      </c>
      <c r="J3934" s="8" t="str">
        <f>HYPERLINK("https://drive.google.com/file/d/1tMVMo8Zc8AVdufH8U_zrTz5XxBI1F5KB/view?usp=drivesdk","TRI ROHMATUL DWI WULAN NINGSIH SERTIFIKAT BerAKHLAK")</f>
        <v>TRI ROHMATUL DWI WULAN NINGSIH SERTIFIKAT BerAKHLAK</v>
      </c>
      <c r="K3934" s="5" t="s">
        <v>26475</v>
      </c>
      <c r="L3934" s="5" t="s">
        <v>26536</v>
      </c>
    </row>
    <row r="3935">
      <c r="A3935" s="4">
        <v>45534.34838240741</v>
      </c>
      <c r="B3935" s="5" t="s">
        <v>34</v>
      </c>
      <c r="D3935" s="5" t="s">
        <v>1206</v>
      </c>
      <c r="E3935" s="5" t="s">
        <v>26539</v>
      </c>
      <c r="F3935" s="5" t="s">
        <v>37</v>
      </c>
      <c r="G3935" s="5" t="s">
        <v>26540</v>
      </c>
      <c r="H3935" s="6" t="s">
        <v>26541</v>
      </c>
      <c r="I3935" s="7" t="s">
        <v>26542</v>
      </c>
      <c r="J3935" s="8" t="str">
        <f>HYPERLINK("https://drive.google.com/file/d/1HyWYUepl1byzaYoyM4Su_5ppJFJq7zRy/view?usp=drivesdk","LILIK FATCHILLAH SERTIFIKAT BerAKHLAK")</f>
        <v>LILIK FATCHILLAH SERTIFIKAT BerAKHLAK</v>
      </c>
      <c r="K3935" s="5" t="s">
        <v>26475</v>
      </c>
      <c r="L3935" s="5" t="s">
        <v>26543</v>
      </c>
    </row>
    <row r="3936">
      <c r="A3936" s="4">
        <v>45534.34838616898</v>
      </c>
      <c r="B3936" s="5" t="s">
        <v>34</v>
      </c>
      <c r="D3936" s="5" t="s">
        <v>9020</v>
      </c>
      <c r="E3936" s="5" t="s">
        <v>26546</v>
      </c>
      <c r="F3936" s="5" t="s">
        <v>120</v>
      </c>
      <c r="G3936" s="5" t="s">
        <v>26547</v>
      </c>
      <c r="H3936" s="6" t="s">
        <v>26548</v>
      </c>
      <c r="I3936" s="7" t="s">
        <v>26549</v>
      </c>
      <c r="J3936" s="8" t="str">
        <f>HYPERLINK("https://drive.google.com/file/d/1gLtleYo0CRVc7jmJI149yXlUAZWASTOq/view?usp=drivesdk","EDDY WIJAYA SUKATENDEL. SE. MM SERTIFIKAT BerAKHLAK")</f>
        <v>EDDY WIJAYA SUKATENDEL. SE. MM SERTIFIKAT BerAKHLAK</v>
      </c>
      <c r="K3936" s="5" t="s">
        <v>26475</v>
      </c>
      <c r="L3936" s="5" t="s">
        <v>26550</v>
      </c>
    </row>
    <row r="3937">
      <c r="A3937" s="4">
        <v>45534.348390949075</v>
      </c>
      <c r="B3937" s="5" t="s">
        <v>19</v>
      </c>
      <c r="C3937" s="5" t="s">
        <v>292</v>
      </c>
      <c r="E3937" s="5" t="s">
        <v>26554</v>
      </c>
      <c r="F3937" s="5" t="s">
        <v>108</v>
      </c>
      <c r="G3937" s="5" t="s">
        <v>26555</v>
      </c>
      <c r="H3937" s="6" t="s">
        <v>26556</v>
      </c>
      <c r="K3937" s="5" t="s">
        <v>26475</v>
      </c>
    </row>
    <row r="3938">
      <c r="A3938" s="4">
        <v>45534.348392291664</v>
      </c>
      <c r="B3938" s="5" t="s">
        <v>34</v>
      </c>
      <c r="D3938" s="5" t="s">
        <v>1692</v>
      </c>
      <c r="E3938" s="5" t="s">
        <v>26559</v>
      </c>
      <c r="F3938" s="5" t="s">
        <v>212</v>
      </c>
      <c r="G3938" s="5" t="s">
        <v>26560</v>
      </c>
      <c r="H3938" s="6" t="s">
        <v>26561</v>
      </c>
      <c r="K3938" s="5" t="s">
        <v>26562</v>
      </c>
    </row>
    <row r="3939">
      <c r="A3939" s="4">
        <v>45534.34838967593</v>
      </c>
      <c r="B3939" s="5" t="s">
        <v>34</v>
      </c>
      <c r="D3939" s="5" t="s">
        <v>4775</v>
      </c>
      <c r="E3939" s="5" t="s">
        <v>26565</v>
      </c>
      <c r="F3939" s="5" t="s">
        <v>328</v>
      </c>
      <c r="G3939" s="5" t="s">
        <v>26566</v>
      </c>
      <c r="H3939" s="6" t="s">
        <v>26567</v>
      </c>
      <c r="K3939" s="5" t="s">
        <v>26562</v>
      </c>
    </row>
    <row r="3940">
      <c r="A3940" s="4">
        <v>45534.34839387731</v>
      </c>
      <c r="B3940" s="5" t="s">
        <v>34</v>
      </c>
      <c r="D3940" s="5" t="s">
        <v>267</v>
      </c>
      <c r="E3940" s="5" t="s">
        <v>26570</v>
      </c>
      <c r="F3940" s="5" t="s">
        <v>375</v>
      </c>
      <c r="G3940" s="5" t="s">
        <v>26571</v>
      </c>
      <c r="H3940" s="6" t="s">
        <v>26572</v>
      </c>
      <c r="K3940" s="5" t="s">
        <v>26562</v>
      </c>
    </row>
    <row r="3941">
      <c r="A3941" s="4">
        <v>45534.34841057871</v>
      </c>
      <c r="B3941" s="5" t="s">
        <v>34</v>
      </c>
      <c r="D3941" s="5" t="s">
        <v>1206</v>
      </c>
      <c r="E3941" s="5" t="s">
        <v>26575</v>
      </c>
      <c r="F3941" s="5" t="s">
        <v>37</v>
      </c>
      <c r="G3941" s="5" t="s">
        <v>26576</v>
      </c>
      <c r="H3941" s="6" t="s">
        <v>26577</v>
      </c>
      <c r="K3941" s="5" t="s">
        <v>26562</v>
      </c>
    </row>
    <row r="3942">
      <c r="A3942" s="4">
        <v>45534.34841384259</v>
      </c>
      <c r="B3942" s="5" t="s">
        <v>34</v>
      </c>
      <c r="D3942" s="5" t="s">
        <v>1206</v>
      </c>
      <c r="E3942" s="5" t="s">
        <v>26581</v>
      </c>
      <c r="F3942" s="5" t="s">
        <v>212</v>
      </c>
      <c r="G3942" s="5" t="s">
        <v>26582</v>
      </c>
      <c r="H3942" s="6" t="s">
        <v>26583</v>
      </c>
      <c r="K3942" s="5" t="s">
        <v>26562</v>
      </c>
    </row>
    <row r="3943">
      <c r="A3943" s="4">
        <v>45534.34841502315</v>
      </c>
      <c r="B3943" s="5" t="s">
        <v>34</v>
      </c>
      <c r="D3943" s="5" t="s">
        <v>1206</v>
      </c>
      <c r="E3943" s="5" t="s">
        <v>26586</v>
      </c>
      <c r="F3943" s="5" t="s">
        <v>212</v>
      </c>
      <c r="G3943" s="5" t="s">
        <v>26587</v>
      </c>
      <c r="H3943" s="6" t="s">
        <v>26588</v>
      </c>
      <c r="K3943" s="5" t="s">
        <v>26562</v>
      </c>
    </row>
    <row r="3944">
      <c r="A3944" s="4">
        <v>45534.34841560185</v>
      </c>
      <c r="B3944" s="5" t="s">
        <v>34</v>
      </c>
      <c r="D3944" s="5" t="s">
        <v>4775</v>
      </c>
      <c r="E3944" s="5" t="s">
        <v>26591</v>
      </c>
      <c r="F3944" s="5" t="s">
        <v>72</v>
      </c>
      <c r="G3944" s="5" t="s">
        <v>26592</v>
      </c>
      <c r="H3944" s="6" t="s">
        <v>26593</v>
      </c>
      <c r="K3944" s="5" t="s">
        <v>26562</v>
      </c>
    </row>
    <row r="3945">
      <c r="A3945" s="4">
        <v>45534.3484228125</v>
      </c>
      <c r="B3945" s="5" t="s">
        <v>34</v>
      </c>
      <c r="D3945" s="5" t="s">
        <v>604</v>
      </c>
      <c r="E3945" s="5" t="s">
        <v>26596</v>
      </c>
      <c r="F3945" s="5" t="s">
        <v>108</v>
      </c>
      <c r="G3945" s="5" t="s">
        <v>26597</v>
      </c>
      <c r="H3945" s="6" t="s">
        <v>26598</v>
      </c>
      <c r="I3945" s="7" t="s">
        <v>26599</v>
      </c>
      <c r="J3945" s="8" t="str">
        <f>HYPERLINK("https://drive.google.com/file/d/1skjSIHpRS6pDwD7CeZFz7ecklcKHWRMI/view?usp=drivesdk","SRI ANI SERTIFIKAT BerAKHLAK")</f>
        <v>SRI ANI SERTIFIKAT BerAKHLAK</v>
      </c>
      <c r="K3945" s="5" t="s">
        <v>25486</v>
      </c>
      <c r="L3945" s="5" t="s">
        <v>26600</v>
      </c>
    </row>
    <row r="3946">
      <c r="A3946" s="4">
        <v>45534.34843085648</v>
      </c>
      <c r="B3946" s="5" t="s">
        <v>34</v>
      </c>
      <c r="D3946" s="5" t="s">
        <v>9020</v>
      </c>
      <c r="E3946" s="5" t="s">
        <v>26604</v>
      </c>
      <c r="F3946" s="5" t="s">
        <v>72</v>
      </c>
      <c r="G3946" s="5" t="s">
        <v>26605</v>
      </c>
      <c r="H3946" s="6" t="s">
        <v>26606</v>
      </c>
      <c r="I3946" s="7" t="s">
        <v>26607</v>
      </c>
      <c r="J3946" s="8" t="str">
        <f>HYPERLINK("https://drive.google.com/file/d/16EaAlbgfD-4vpu-tlTelK-NgQtAezxzT/view?usp=drivesdk","ERWIN MULIADI  SERTIFIKAT BerAKHLAK")</f>
        <v>ERWIN MULIADI  SERTIFIKAT BerAKHLAK</v>
      </c>
      <c r="K3946" s="5" t="s">
        <v>26430</v>
      </c>
      <c r="L3946" s="5" t="s">
        <v>26608</v>
      </c>
    </row>
    <row r="3947">
      <c r="A3947" s="4">
        <v>45534.34844913194</v>
      </c>
      <c r="B3947" s="5" t="s">
        <v>34</v>
      </c>
      <c r="D3947" s="5" t="s">
        <v>12978</v>
      </c>
      <c r="E3947" s="5" t="s">
        <v>26611</v>
      </c>
      <c r="F3947" s="5" t="s">
        <v>120</v>
      </c>
      <c r="G3947" s="5" t="s">
        <v>26612</v>
      </c>
      <c r="H3947" s="6" t="s">
        <v>26613</v>
      </c>
      <c r="I3947" s="7" t="s">
        <v>26614</v>
      </c>
      <c r="J3947" s="8" t="str">
        <f>HYPERLINK("https://drive.google.com/file/d/1fAbxfj9PglCqZjzxCtyC0yO2k2Me3WPN/view?usp=drivesdk","Henny Ernaida S.Sos.Msi SERTIFIKAT BerAKHLAK")</f>
        <v>Henny Ernaida S.Sos.Msi SERTIFIKAT BerAKHLAK</v>
      </c>
      <c r="K3947" s="5" t="s">
        <v>26430</v>
      </c>
      <c r="L3947" s="5" t="s">
        <v>26615</v>
      </c>
    </row>
    <row r="3948">
      <c r="A3948" s="4">
        <v>45534.34844990741</v>
      </c>
      <c r="B3948" s="5" t="s">
        <v>34</v>
      </c>
      <c r="D3948" s="5" t="s">
        <v>267</v>
      </c>
      <c r="E3948" s="5" t="s">
        <v>26618</v>
      </c>
      <c r="F3948" s="5" t="s">
        <v>212</v>
      </c>
      <c r="G3948" s="5" t="s">
        <v>26619</v>
      </c>
      <c r="H3948" s="6" t="s">
        <v>26620</v>
      </c>
      <c r="K3948" s="5" t="s">
        <v>26621</v>
      </c>
    </row>
    <row r="3949">
      <c r="A3949" s="4">
        <v>45534.34845089121</v>
      </c>
      <c r="B3949" s="5" t="s">
        <v>34</v>
      </c>
      <c r="D3949" s="5" t="s">
        <v>1206</v>
      </c>
      <c r="E3949" s="5" t="s">
        <v>26624</v>
      </c>
      <c r="F3949" s="5" t="s">
        <v>37</v>
      </c>
      <c r="G3949" s="5" t="s">
        <v>26625</v>
      </c>
      <c r="H3949" s="6" t="s">
        <v>26626</v>
      </c>
      <c r="K3949" s="5" t="s">
        <v>26621</v>
      </c>
    </row>
    <row r="3950">
      <c r="A3950" s="4">
        <v>45534.348464571754</v>
      </c>
      <c r="B3950" s="5" t="s">
        <v>34</v>
      </c>
      <c r="D3950" s="5" t="s">
        <v>1206</v>
      </c>
      <c r="E3950" s="5" t="s">
        <v>26630</v>
      </c>
      <c r="F3950" s="5" t="s">
        <v>108</v>
      </c>
      <c r="G3950" s="5" t="s">
        <v>26631</v>
      </c>
      <c r="H3950" s="6" t="s">
        <v>26632</v>
      </c>
      <c r="K3950" s="5" t="s">
        <v>26621</v>
      </c>
    </row>
    <row r="3951">
      <c r="A3951" s="4">
        <v>45534.34846465278</v>
      </c>
      <c r="B3951" s="5" t="s">
        <v>34</v>
      </c>
      <c r="D3951" s="5" t="s">
        <v>1206</v>
      </c>
      <c r="E3951" s="5" t="s">
        <v>26635</v>
      </c>
      <c r="F3951" s="5" t="s">
        <v>72</v>
      </c>
      <c r="G3951" s="5" t="s">
        <v>26636</v>
      </c>
      <c r="H3951" s="6" t="s">
        <v>26637</v>
      </c>
      <c r="I3951" s="7" t="s">
        <v>26638</v>
      </c>
      <c r="J3951" s="8" t="str">
        <f>HYPERLINK("https://drive.google.com/file/d/1bzldVyQ2_QTdtTEByFUlgfr7ANL-6wrn/view?usp=drivesdk","ELLY IRIANTY OKTAVIA, S.Kep. Ns. SERTIFIKAT BerAKHLAK")</f>
        <v>ELLY IRIANTY OKTAVIA, S.Kep. Ns. SERTIFIKAT BerAKHLAK</v>
      </c>
      <c r="K3951" s="5" t="s">
        <v>26430</v>
      </c>
      <c r="L3951" s="5" t="s">
        <v>26639</v>
      </c>
    </row>
    <row r="3952">
      <c r="A3952" s="4">
        <v>45534.348465648145</v>
      </c>
      <c r="B3952" s="5" t="s">
        <v>34</v>
      </c>
      <c r="D3952" s="5" t="s">
        <v>4775</v>
      </c>
      <c r="E3952" s="5" t="s">
        <v>26642</v>
      </c>
      <c r="F3952" s="5" t="s">
        <v>212</v>
      </c>
      <c r="G3952" s="5" t="s">
        <v>26643</v>
      </c>
      <c r="H3952" s="6" t="s">
        <v>26644</v>
      </c>
      <c r="I3952" s="7" t="s">
        <v>26645</v>
      </c>
      <c r="J3952" s="8" t="str">
        <f>HYPERLINK("https://drive.google.com/file/d/1K36hGgGVvbEe0ACizWvTWGDOiufOivWI/view?usp=drivesdk","DIDIK RIYANTO  SERTIFIKAT BerAKHLAK")</f>
        <v>DIDIK RIYANTO  SERTIFIKAT BerAKHLAK</v>
      </c>
      <c r="K3952" s="5" t="s">
        <v>26430</v>
      </c>
      <c r="L3952" s="5" t="s">
        <v>26646</v>
      </c>
    </row>
    <row r="3953">
      <c r="A3953" s="4">
        <v>45534.3484721875</v>
      </c>
      <c r="B3953" s="5" t="s">
        <v>34</v>
      </c>
      <c r="D3953" s="5" t="s">
        <v>1206</v>
      </c>
      <c r="E3953" s="5" t="s">
        <v>26649</v>
      </c>
      <c r="F3953" s="5" t="s">
        <v>212</v>
      </c>
      <c r="G3953" s="5" t="s">
        <v>26650</v>
      </c>
      <c r="H3953" s="6" t="s">
        <v>26651</v>
      </c>
      <c r="I3953" s="7" t="s">
        <v>26652</v>
      </c>
      <c r="J3953" s="8" t="str">
        <f>HYPERLINK("https://drive.google.com/file/d/1TdY9Hy49zjYhUG6E4V5W8g0wTgwMBdXa/view?usp=drivesdk","MUJI ASTUTIK SERTIFIKAT BerAKHLAK")</f>
        <v>MUJI ASTUTIK SERTIFIKAT BerAKHLAK</v>
      </c>
      <c r="K3953" s="5" t="s">
        <v>26430</v>
      </c>
      <c r="L3953" s="5" t="s">
        <v>26653</v>
      </c>
    </row>
    <row r="3954">
      <c r="A3954" s="4">
        <v>45534.34847456019</v>
      </c>
      <c r="B3954" s="5" t="s">
        <v>34</v>
      </c>
      <c r="D3954" s="5" t="s">
        <v>35</v>
      </c>
      <c r="E3954" s="5" t="s">
        <v>26656</v>
      </c>
      <c r="F3954" s="5" t="s">
        <v>37</v>
      </c>
      <c r="G3954" s="5" t="s">
        <v>26657</v>
      </c>
      <c r="H3954" s="6" t="s">
        <v>26658</v>
      </c>
      <c r="I3954" s="7" t="s">
        <v>26659</v>
      </c>
      <c r="J3954" s="8" t="str">
        <f>HYPERLINK("https://drive.google.com/file/d/18jdAVU0g5KH_U-RnpQtAoGMX-LCDl6QF/view?usp=drivesdk","YAYAT SUMITRA SERTIFIKAT BerAKHLAK")</f>
        <v>YAYAT SUMITRA SERTIFIKAT BerAKHLAK</v>
      </c>
      <c r="K3954" s="5" t="s">
        <v>26430</v>
      </c>
      <c r="L3954" s="5" t="s">
        <v>26660</v>
      </c>
    </row>
    <row r="3955">
      <c r="A3955" s="4">
        <v>45534.34847549768</v>
      </c>
      <c r="B3955" s="5" t="s">
        <v>34</v>
      </c>
      <c r="D3955" s="5" t="s">
        <v>6232</v>
      </c>
      <c r="E3955" s="5" t="s">
        <v>26664</v>
      </c>
      <c r="F3955" s="5" t="s">
        <v>524</v>
      </c>
      <c r="G3955" s="5" t="s">
        <v>26665</v>
      </c>
      <c r="H3955" s="6" t="s">
        <v>26666</v>
      </c>
      <c r="K3955" s="5" t="s">
        <v>26667</v>
      </c>
    </row>
    <row r="3956">
      <c r="A3956" s="4">
        <v>45534.34847986111</v>
      </c>
      <c r="B3956" s="5" t="s">
        <v>34</v>
      </c>
      <c r="D3956" s="5" t="s">
        <v>701</v>
      </c>
      <c r="E3956" s="5" t="s">
        <v>26670</v>
      </c>
      <c r="F3956" s="5" t="s">
        <v>524</v>
      </c>
      <c r="G3956" s="5" t="s">
        <v>26671</v>
      </c>
      <c r="H3956" s="6" t="s">
        <v>26672</v>
      </c>
      <c r="K3956" s="5" t="s">
        <v>26667</v>
      </c>
    </row>
    <row r="3957">
      <c r="A3957" s="4">
        <v>45534.348491701385</v>
      </c>
      <c r="B3957" s="5" t="s">
        <v>34</v>
      </c>
      <c r="D3957" s="5" t="s">
        <v>9020</v>
      </c>
      <c r="E3957" s="5" t="s">
        <v>26675</v>
      </c>
      <c r="F3957" s="5" t="s">
        <v>108</v>
      </c>
      <c r="G3957" s="5" t="s">
        <v>26676</v>
      </c>
      <c r="H3957" s="6" t="s">
        <v>26677</v>
      </c>
      <c r="K3957" s="5" t="s">
        <v>26667</v>
      </c>
    </row>
    <row r="3958">
      <c r="A3958" s="4">
        <v>45534.34851261574</v>
      </c>
      <c r="B3958" s="5" t="s">
        <v>34</v>
      </c>
      <c r="D3958" s="5" t="s">
        <v>1206</v>
      </c>
      <c r="E3958" s="5" t="s">
        <v>26680</v>
      </c>
      <c r="F3958" s="5" t="s">
        <v>212</v>
      </c>
      <c r="G3958" s="5" t="s">
        <v>26681</v>
      </c>
      <c r="H3958" s="6" t="s">
        <v>26682</v>
      </c>
      <c r="I3958" s="7" t="s">
        <v>26683</v>
      </c>
      <c r="J3958" s="8" t="str">
        <f>HYPERLINK("https://drive.google.com/file/d/1Epbck5SqpKIvXa13lluOmFCl_zLsHUBs/view?usp=drivesdk","HERUWANTO SERTIFIKAT BerAKHLAK")</f>
        <v>HERUWANTO SERTIFIKAT BerAKHLAK</v>
      </c>
      <c r="K3958" s="5" t="s">
        <v>26430</v>
      </c>
      <c r="L3958" s="5" t="s">
        <v>26684</v>
      </c>
    </row>
    <row r="3959">
      <c r="A3959" s="4">
        <v>45534.34852167824</v>
      </c>
      <c r="B3959" s="5" t="s">
        <v>34</v>
      </c>
      <c r="D3959" s="5" t="s">
        <v>1206</v>
      </c>
      <c r="E3959" s="5" t="s">
        <v>26687</v>
      </c>
      <c r="F3959" s="5" t="s">
        <v>37</v>
      </c>
      <c r="G3959" s="5" t="s">
        <v>26688</v>
      </c>
      <c r="H3959" s="6" t="s">
        <v>26689</v>
      </c>
      <c r="I3959" s="7" t="s">
        <v>26690</v>
      </c>
      <c r="J3959" s="8" t="str">
        <f>HYPERLINK("https://drive.google.com/file/d/1oI5VXcLjxtWUe1D8TpzC2l1dt1DvZytS/view?usp=drivesdk","AMIR SUBEKTI SERTIFIKAT BerAKHLAK")</f>
        <v>AMIR SUBEKTI SERTIFIKAT BerAKHLAK</v>
      </c>
      <c r="K3959" s="5" t="s">
        <v>26430</v>
      </c>
      <c r="L3959" s="5" t="s">
        <v>26691</v>
      </c>
    </row>
    <row r="3960">
      <c r="A3960" s="4">
        <v>45534.348526180554</v>
      </c>
      <c r="B3960" s="5" t="s">
        <v>34</v>
      </c>
      <c r="D3960" s="5" t="s">
        <v>12978</v>
      </c>
      <c r="E3960" s="5" t="s">
        <v>26695</v>
      </c>
      <c r="F3960" s="5" t="s">
        <v>524</v>
      </c>
      <c r="G3960" s="5" t="s">
        <v>26696</v>
      </c>
      <c r="H3960" s="6" t="s">
        <v>26697</v>
      </c>
      <c r="I3960" s="7" t="s">
        <v>26698</v>
      </c>
      <c r="J3960" s="8" t="str">
        <f>HYPERLINK("https://drive.google.com/file/d/1J1-jSx13Rys7eZtcKrtPtYmt9rhcHsMa/view?usp=drivesdk","APRIANI SIAHAAN SERTIFIKAT BerAKHLAK")</f>
        <v>APRIANI SIAHAAN SERTIFIKAT BerAKHLAK</v>
      </c>
      <c r="K3960" s="5" t="s">
        <v>26430</v>
      </c>
      <c r="L3960" s="5" t="s">
        <v>26699</v>
      </c>
    </row>
    <row r="3961">
      <c r="A3961" s="4">
        <v>45534.3485372338</v>
      </c>
      <c r="B3961" s="5" t="s">
        <v>34</v>
      </c>
      <c r="D3961" s="5" t="s">
        <v>12978</v>
      </c>
      <c r="E3961" s="5" t="s">
        <v>26702</v>
      </c>
      <c r="F3961" s="5" t="s">
        <v>524</v>
      </c>
      <c r="G3961" s="5" t="s">
        <v>26703</v>
      </c>
      <c r="H3961" s="6" t="s">
        <v>26704</v>
      </c>
      <c r="I3961" s="7" t="s">
        <v>26705</v>
      </c>
      <c r="J3961" s="8" t="str">
        <f>HYPERLINK("https://drive.google.com/file/d/1Fd3AYMC2eZ4g-Icyf4RebocLw4SQE4YF/view?usp=drivesdk","RINDA UTAMA,SH SERTIFIKAT BerAKHLAK")</f>
        <v>RINDA UTAMA,SH SERTIFIKAT BerAKHLAK</v>
      </c>
      <c r="K3961" s="5" t="s">
        <v>26430</v>
      </c>
      <c r="L3961" s="5" t="s">
        <v>26706</v>
      </c>
    </row>
    <row r="3962">
      <c r="A3962" s="4">
        <v>45534.34854569445</v>
      </c>
      <c r="B3962" s="5" t="s">
        <v>34</v>
      </c>
      <c r="D3962" s="5" t="s">
        <v>1768</v>
      </c>
      <c r="E3962" s="5" t="s">
        <v>26709</v>
      </c>
      <c r="F3962" s="5" t="s">
        <v>108</v>
      </c>
      <c r="G3962" s="5" t="s">
        <v>26710</v>
      </c>
      <c r="H3962" s="6" t="s">
        <v>26711</v>
      </c>
      <c r="K3962" s="5" t="s">
        <v>26712</v>
      </c>
    </row>
    <row r="3963">
      <c r="A3963" s="4">
        <v>45534.34854695602</v>
      </c>
      <c r="B3963" s="5" t="s">
        <v>34</v>
      </c>
      <c r="D3963" s="5" t="s">
        <v>522</v>
      </c>
      <c r="E3963" s="5" t="s">
        <v>22497</v>
      </c>
      <c r="F3963" s="5" t="s">
        <v>37</v>
      </c>
      <c r="G3963" s="5" t="s">
        <v>22498</v>
      </c>
      <c r="H3963" s="6" t="s">
        <v>26715</v>
      </c>
      <c r="K3963" s="5" t="s">
        <v>26712</v>
      </c>
    </row>
    <row r="3964">
      <c r="A3964" s="4">
        <v>45534.34855027778</v>
      </c>
      <c r="B3964" s="5" t="s">
        <v>34</v>
      </c>
      <c r="D3964" s="5" t="s">
        <v>1206</v>
      </c>
      <c r="E3964" s="5" t="s">
        <v>26718</v>
      </c>
      <c r="F3964" s="5" t="s">
        <v>120</v>
      </c>
      <c r="G3964" s="5" t="s">
        <v>26719</v>
      </c>
      <c r="H3964" s="6" t="s">
        <v>26720</v>
      </c>
      <c r="I3964" s="7" t="s">
        <v>26721</v>
      </c>
      <c r="J3964" s="8" t="str">
        <f>HYPERLINK("https://drive.google.com/file/d/12EujYx1wOnQ8kQFffuKIS4ngpBwe5dee/view?usp=drivesdk","NINIK SETYORINI, S.E. SERTIFIKAT BerAKHLAK")</f>
        <v>NINIK SETYORINI, S.E. SERTIFIKAT BerAKHLAK</v>
      </c>
      <c r="K3964" s="5" t="s">
        <v>26430</v>
      </c>
      <c r="L3964" s="5" t="s">
        <v>26722</v>
      </c>
    </row>
    <row r="3965">
      <c r="A3965" s="4">
        <v>45534.34855285879</v>
      </c>
      <c r="B3965" s="5" t="s">
        <v>34</v>
      </c>
      <c r="D3965" s="5" t="s">
        <v>9020</v>
      </c>
      <c r="E3965" s="5" t="s">
        <v>26726</v>
      </c>
      <c r="F3965" s="5" t="s">
        <v>715</v>
      </c>
      <c r="G3965" s="5" t="s">
        <v>26727</v>
      </c>
      <c r="H3965" s="6" t="s">
        <v>26728</v>
      </c>
      <c r="I3965" s="7" t="s">
        <v>26729</v>
      </c>
      <c r="J3965" s="8" t="str">
        <f>HYPERLINK("https://drive.google.com/file/d/138rSDp3rySntHjA-8onNNC75sAWw0vWE/view?usp=drivesdk","DESRIANA SIHOMBING, SE SERTIFIKAT BerAKHLAK")</f>
        <v>DESRIANA SIHOMBING, SE SERTIFIKAT BerAKHLAK</v>
      </c>
      <c r="K3965" s="5" t="s">
        <v>26430</v>
      </c>
      <c r="L3965" s="5" t="s">
        <v>26730</v>
      </c>
    </row>
    <row r="3966">
      <c r="A3966" s="4">
        <v>45534.34855679398</v>
      </c>
      <c r="B3966" s="5" t="s">
        <v>34</v>
      </c>
      <c r="D3966" s="5" t="s">
        <v>1206</v>
      </c>
      <c r="E3966" s="5" t="s">
        <v>26733</v>
      </c>
      <c r="F3966" s="5" t="s">
        <v>37</v>
      </c>
      <c r="G3966" s="5" t="s">
        <v>26734</v>
      </c>
      <c r="H3966" s="6" t="s">
        <v>26735</v>
      </c>
      <c r="I3966" s="7" t="s">
        <v>26736</v>
      </c>
      <c r="J3966" s="8" t="str">
        <f>HYPERLINK("https://drive.google.com/file/d/1XaFxw4uuf5vResD0mI8J8XiCpBiolTzH/view?usp=drivesdk","TRI CAHYONO SERTIFIKAT BerAKHLAK")</f>
        <v>TRI CAHYONO SERTIFIKAT BerAKHLAK</v>
      </c>
      <c r="K3966" s="5" t="s">
        <v>26430</v>
      </c>
      <c r="L3966" s="5" t="s">
        <v>26737</v>
      </c>
    </row>
    <row r="3967">
      <c r="A3967" s="4">
        <v>45534.34856020834</v>
      </c>
      <c r="B3967" s="5" t="s">
        <v>34</v>
      </c>
      <c r="D3967" s="5" t="s">
        <v>1206</v>
      </c>
      <c r="E3967" s="5" t="s">
        <v>26740</v>
      </c>
      <c r="F3967" s="5" t="s">
        <v>72</v>
      </c>
      <c r="G3967" s="5" t="s">
        <v>26741</v>
      </c>
      <c r="H3967" s="6" t="s">
        <v>26742</v>
      </c>
      <c r="I3967" s="7" t="s">
        <v>26743</v>
      </c>
      <c r="J3967" s="8" t="str">
        <f>HYPERLINK("https://drive.google.com/file/d/1bG1pElJyQAWTnPfFeHv4WPPhyN8U5_Xo/view?usp=drivesdk","SUKESTIN, S.Psi SERTIFIKAT BerAKHLAK")</f>
        <v>SUKESTIN, S.Psi SERTIFIKAT BerAKHLAK</v>
      </c>
      <c r="K3967" s="5" t="s">
        <v>26430</v>
      </c>
      <c r="L3967" s="5" t="s">
        <v>26744</v>
      </c>
    </row>
    <row r="3968">
      <c r="A3968" s="4">
        <v>45534.34856844907</v>
      </c>
      <c r="B3968" s="5" t="s">
        <v>34</v>
      </c>
      <c r="D3968" s="5" t="s">
        <v>1206</v>
      </c>
      <c r="E3968" s="5" t="s">
        <v>26747</v>
      </c>
      <c r="F3968" s="5" t="s">
        <v>212</v>
      </c>
      <c r="G3968" s="5" t="s">
        <v>26748</v>
      </c>
      <c r="H3968" s="6" t="s">
        <v>26749</v>
      </c>
      <c r="I3968" s="7" t="s">
        <v>26750</v>
      </c>
      <c r="J3968" s="8" t="str">
        <f>HYPERLINK("https://drive.google.com/file/d/1iVBI5NKOQWwhAtnPbBS5lb4nHqpvJPjW/view?usp=drivesdk","Vonne Agustien Tasiam SERTIFIKAT BerAKHLAK")</f>
        <v>Vonne Agustien Tasiam SERTIFIKAT BerAKHLAK</v>
      </c>
      <c r="K3968" s="5" t="s">
        <v>26460</v>
      </c>
      <c r="L3968" s="5" t="s">
        <v>26751</v>
      </c>
    </row>
    <row r="3969">
      <c r="A3969" s="4">
        <v>45534.348569062495</v>
      </c>
      <c r="B3969" s="5" t="s">
        <v>34</v>
      </c>
      <c r="D3969" s="5" t="s">
        <v>1206</v>
      </c>
      <c r="E3969" s="5" t="s">
        <v>26755</v>
      </c>
      <c r="F3969" s="5" t="s">
        <v>37</v>
      </c>
      <c r="G3969" s="5" t="s">
        <v>26756</v>
      </c>
      <c r="H3969" s="6" t="s">
        <v>26757</v>
      </c>
      <c r="I3969" s="7" t="s">
        <v>26758</v>
      </c>
      <c r="J3969" s="8" t="str">
        <f>HYPERLINK("https://drive.google.com/file/d/1ef7AgOYovhZmR20b5Q2DkmK2_bpVf_tq/view?usp=drivesdk","AGUSTINI SERTIFIKAT BerAKHLAK")</f>
        <v>AGUSTINI SERTIFIKAT BerAKHLAK</v>
      </c>
      <c r="K3969" s="5" t="s">
        <v>26460</v>
      </c>
      <c r="L3969" s="5" t="s">
        <v>26759</v>
      </c>
    </row>
    <row r="3970">
      <c r="A3970" s="4">
        <v>45534.34857177083</v>
      </c>
      <c r="B3970" s="5" t="s">
        <v>34</v>
      </c>
      <c r="D3970" s="5" t="s">
        <v>14424</v>
      </c>
      <c r="E3970" s="5" t="s">
        <v>26762</v>
      </c>
      <c r="F3970" s="5" t="s">
        <v>120</v>
      </c>
      <c r="G3970" s="5" t="s">
        <v>26763</v>
      </c>
      <c r="H3970" s="6" t="s">
        <v>26764</v>
      </c>
      <c r="I3970" s="7" t="s">
        <v>26765</v>
      </c>
      <c r="J3970" s="8" t="str">
        <f>HYPERLINK("https://drive.google.com/file/d/1amoFRvcsUo04bNGmdVCS9vqqiCMo9x-Z/view?usp=drivesdk","SUKMA YULIANA SARI, S.E, M.M. SERTIFIKAT BerAKHLAK")</f>
        <v>SUKMA YULIANA SARI, S.E, M.M. SERTIFIKAT BerAKHLAK</v>
      </c>
      <c r="K3970" s="5" t="s">
        <v>26460</v>
      </c>
      <c r="L3970" s="5" t="s">
        <v>26766</v>
      </c>
    </row>
    <row r="3971">
      <c r="A3971" s="4">
        <v>45534.34857703703</v>
      </c>
      <c r="B3971" s="5" t="s">
        <v>34</v>
      </c>
      <c r="D3971" s="5" t="s">
        <v>522</v>
      </c>
      <c r="E3971" s="5" t="s">
        <v>26769</v>
      </c>
      <c r="F3971" s="5" t="s">
        <v>715</v>
      </c>
      <c r="G3971" s="5" t="s">
        <v>26770</v>
      </c>
      <c r="H3971" s="6" t="s">
        <v>26771</v>
      </c>
      <c r="K3971" s="5" t="s">
        <v>26772</v>
      </c>
    </row>
    <row r="3972">
      <c r="A3972" s="4">
        <v>45534.34858277778</v>
      </c>
      <c r="B3972" s="5" t="s">
        <v>34</v>
      </c>
      <c r="D3972" s="5" t="s">
        <v>9394</v>
      </c>
      <c r="E3972" s="5" t="s">
        <v>26776</v>
      </c>
      <c r="F3972" s="5" t="s">
        <v>37</v>
      </c>
      <c r="G3972" s="5" t="s">
        <v>26777</v>
      </c>
      <c r="H3972" s="6" t="s">
        <v>26778</v>
      </c>
      <c r="K3972" s="5" t="s">
        <v>26772</v>
      </c>
    </row>
    <row r="3973">
      <c r="A3973" s="4">
        <v>45534.348587002314</v>
      </c>
      <c r="B3973" s="5" t="s">
        <v>34</v>
      </c>
      <c r="D3973" s="5" t="s">
        <v>2903</v>
      </c>
      <c r="E3973" s="5" t="s">
        <v>26781</v>
      </c>
      <c r="F3973" s="5" t="s">
        <v>37</v>
      </c>
      <c r="G3973" s="5" t="s">
        <v>26782</v>
      </c>
      <c r="H3973" s="6" t="s">
        <v>26783</v>
      </c>
      <c r="K3973" s="5" t="s">
        <v>26772</v>
      </c>
    </row>
    <row r="3974">
      <c r="A3974" s="4">
        <v>45534.34858841435</v>
      </c>
      <c r="B3974" s="5" t="s">
        <v>34</v>
      </c>
      <c r="D3974" s="5" t="s">
        <v>1456</v>
      </c>
      <c r="E3974" s="5" t="s">
        <v>26787</v>
      </c>
      <c r="F3974" s="5" t="s">
        <v>212</v>
      </c>
      <c r="G3974" s="5" t="s">
        <v>26788</v>
      </c>
      <c r="H3974" s="6" t="s">
        <v>26789</v>
      </c>
      <c r="K3974" s="5" t="s">
        <v>26772</v>
      </c>
    </row>
    <row r="3975">
      <c r="A3975" s="4">
        <v>45534.3485939699</v>
      </c>
      <c r="B3975" s="5" t="s">
        <v>34</v>
      </c>
      <c r="D3975" s="5" t="s">
        <v>35</v>
      </c>
      <c r="E3975" s="5" t="s">
        <v>26792</v>
      </c>
      <c r="F3975" s="5" t="s">
        <v>212</v>
      </c>
      <c r="G3975" s="5" t="s">
        <v>26793</v>
      </c>
      <c r="H3975" s="6" t="s">
        <v>26794</v>
      </c>
      <c r="K3975" s="5" t="s">
        <v>26772</v>
      </c>
    </row>
    <row r="3976">
      <c r="A3976" s="4">
        <v>45534.34859849537</v>
      </c>
      <c r="B3976" s="5" t="s">
        <v>34</v>
      </c>
      <c r="D3976" s="5" t="s">
        <v>35</v>
      </c>
      <c r="E3976" s="5" t="s">
        <v>26797</v>
      </c>
      <c r="F3976" s="5" t="s">
        <v>37</v>
      </c>
      <c r="G3976" s="5" t="s">
        <v>26798</v>
      </c>
      <c r="H3976" s="6" t="s">
        <v>26799</v>
      </c>
      <c r="K3976" s="5" t="s">
        <v>26772</v>
      </c>
    </row>
    <row r="3977">
      <c r="A3977" s="4">
        <v>45534.348600694444</v>
      </c>
      <c r="B3977" s="5" t="s">
        <v>34</v>
      </c>
      <c r="D3977" s="5" t="s">
        <v>1206</v>
      </c>
      <c r="E3977" s="5" t="s">
        <v>26802</v>
      </c>
      <c r="F3977" s="5" t="s">
        <v>524</v>
      </c>
      <c r="G3977" s="5" t="s">
        <v>26803</v>
      </c>
      <c r="H3977" s="6" t="s">
        <v>26804</v>
      </c>
      <c r="K3977" s="5" t="s">
        <v>26772</v>
      </c>
    </row>
    <row r="3978">
      <c r="A3978" s="4">
        <v>45534.348602928236</v>
      </c>
      <c r="B3978" s="5" t="s">
        <v>34</v>
      </c>
      <c r="D3978" s="5" t="s">
        <v>4775</v>
      </c>
      <c r="E3978" s="5" t="s">
        <v>26808</v>
      </c>
      <c r="F3978" s="5" t="s">
        <v>37</v>
      </c>
      <c r="G3978" s="5" t="s">
        <v>26809</v>
      </c>
      <c r="H3978" s="6" t="s">
        <v>26810</v>
      </c>
      <c r="K3978" s="5" t="s">
        <v>26772</v>
      </c>
    </row>
    <row r="3979">
      <c r="A3979" s="4">
        <v>45534.34861789352</v>
      </c>
      <c r="B3979" s="5" t="s">
        <v>34</v>
      </c>
      <c r="D3979" s="5" t="s">
        <v>4775</v>
      </c>
      <c r="E3979" s="5" t="s">
        <v>26813</v>
      </c>
      <c r="F3979" s="5" t="s">
        <v>212</v>
      </c>
      <c r="G3979" s="5" t="s">
        <v>26814</v>
      </c>
      <c r="H3979" s="6" t="s">
        <v>26815</v>
      </c>
      <c r="K3979" s="5" t="s">
        <v>26772</v>
      </c>
    </row>
    <row r="3980">
      <c r="A3980" s="4">
        <v>45534.34862133102</v>
      </c>
      <c r="B3980" s="5" t="s">
        <v>34</v>
      </c>
      <c r="D3980" s="5" t="s">
        <v>522</v>
      </c>
      <c r="E3980" s="5" t="s">
        <v>26818</v>
      </c>
      <c r="F3980" s="5" t="s">
        <v>108</v>
      </c>
      <c r="G3980" s="5" t="s">
        <v>26819</v>
      </c>
      <c r="H3980" s="6" t="s">
        <v>26820</v>
      </c>
      <c r="K3980" s="5" t="s">
        <v>26772</v>
      </c>
    </row>
    <row r="3981">
      <c r="A3981" s="4">
        <v>45534.34864972222</v>
      </c>
      <c r="B3981" s="5" t="s">
        <v>34</v>
      </c>
      <c r="D3981" s="5" t="s">
        <v>12978</v>
      </c>
      <c r="E3981" s="5" t="s">
        <v>26823</v>
      </c>
      <c r="F3981" s="5" t="s">
        <v>715</v>
      </c>
      <c r="G3981" s="5" t="s">
        <v>26824</v>
      </c>
      <c r="H3981" s="6" t="s">
        <v>26825</v>
      </c>
      <c r="I3981" s="7" t="s">
        <v>26826</v>
      </c>
      <c r="J3981" s="8" t="str">
        <f>HYPERLINK("https://drive.google.com/file/d/1cytReAKv55YJwyyxd2HH1uSR9dxrsEOX/view?usp=drivesdk","SURYO WIJOYO.,S.H. SERTIFIKAT BerAKHLAK")</f>
        <v>SURYO WIJOYO.,S.H. SERTIFIKAT BerAKHLAK</v>
      </c>
      <c r="K3981" s="5" t="s">
        <v>26430</v>
      </c>
      <c r="L3981" s="5" t="s">
        <v>26827</v>
      </c>
    </row>
    <row r="3982">
      <c r="A3982" s="4">
        <v>45534.34865064815</v>
      </c>
      <c r="B3982" s="5" t="s">
        <v>34</v>
      </c>
      <c r="D3982" s="5" t="s">
        <v>1206</v>
      </c>
      <c r="E3982" s="5" t="s">
        <v>26830</v>
      </c>
      <c r="F3982" s="5" t="s">
        <v>212</v>
      </c>
      <c r="G3982" s="5" t="s">
        <v>26831</v>
      </c>
      <c r="H3982" s="6" t="s">
        <v>26832</v>
      </c>
      <c r="I3982" s="7" t="s">
        <v>26833</v>
      </c>
      <c r="J3982" s="8" t="str">
        <f>HYPERLINK("https://drive.google.com/file/d/1eL1M13b90f3Aa_No6ckin1Nr-y_Nb8Ek/view?usp=drivesdk","Ignasius Bambang Wahyu susilo SERTIFIKAT BerAKHLAK")</f>
        <v>Ignasius Bambang Wahyu susilo SERTIFIKAT BerAKHLAK</v>
      </c>
      <c r="K3982" s="5" t="s">
        <v>26430</v>
      </c>
      <c r="L3982" s="5" t="s">
        <v>26834</v>
      </c>
    </row>
    <row r="3983">
      <c r="A3983" s="4">
        <v>45534.34865222222</v>
      </c>
      <c r="B3983" s="5" t="s">
        <v>19</v>
      </c>
      <c r="C3983" s="5" t="s">
        <v>14000</v>
      </c>
      <c r="E3983" s="5" t="s">
        <v>26838</v>
      </c>
      <c r="F3983" s="5" t="s">
        <v>37</v>
      </c>
      <c r="G3983" s="5" t="s">
        <v>26839</v>
      </c>
      <c r="H3983" s="6" t="s">
        <v>26840</v>
      </c>
      <c r="K3983" s="5" t="s">
        <v>26841</v>
      </c>
    </row>
    <row r="3984">
      <c r="A3984" s="4">
        <v>45534.34865545139</v>
      </c>
      <c r="B3984" s="5" t="s">
        <v>34</v>
      </c>
      <c r="D3984" s="5" t="s">
        <v>14313</v>
      </c>
      <c r="E3984" s="5" t="s">
        <v>26844</v>
      </c>
      <c r="F3984" s="5" t="s">
        <v>212</v>
      </c>
      <c r="G3984" s="5" t="s">
        <v>26845</v>
      </c>
      <c r="H3984" s="6" t="s">
        <v>26846</v>
      </c>
      <c r="K3984" s="5" t="s">
        <v>26841</v>
      </c>
    </row>
    <row r="3985">
      <c r="A3985" s="4">
        <v>45534.34865584491</v>
      </c>
      <c r="B3985" s="5" t="s">
        <v>34</v>
      </c>
      <c r="D3985" s="5" t="s">
        <v>4775</v>
      </c>
      <c r="E3985" s="5" t="s">
        <v>26849</v>
      </c>
      <c r="F3985" s="5" t="s">
        <v>212</v>
      </c>
      <c r="G3985" s="5" t="s">
        <v>26850</v>
      </c>
      <c r="H3985" s="6" t="s">
        <v>26851</v>
      </c>
      <c r="K3985" s="5" t="s">
        <v>26841</v>
      </c>
    </row>
    <row r="3986">
      <c r="A3986" s="4">
        <v>45534.34867744213</v>
      </c>
      <c r="B3986" s="5" t="s">
        <v>34</v>
      </c>
      <c r="D3986" s="5" t="s">
        <v>604</v>
      </c>
      <c r="E3986" s="5" t="s">
        <v>26854</v>
      </c>
      <c r="F3986" s="5" t="s">
        <v>37</v>
      </c>
      <c r="G3986" s="5" t="s">
        <v>26855</v>
      </c>
      <c r="H3986" s="6" t="s">
        <v>26856</v>
      </c>
      <c r="I3986" s="7" t="s">
        <v>26857</v>
      </c>
      <c r="J3986" s="8" t="str">
        <f>HYPERLINK("https://drive.google.com/file/d/1Q0gCuntEi_xgVlrHNuaLlG5iH5g6dR6W/view?usp=drivesdk","SRI MARYANI SERTIFIKAT BerAKHLAK")</f>
        <v>SRI MARYANI SERTIFIKAT BerAKHLAK</v>
      </c>
      <c r="K3986" s="5" t="s">
        <v>26430</v>
      </c>
      <c r="L3986" s="5" t="s">
        <v>26858</v>
      </c>
    </row>
    <row r="3987">
      <c r="A3987" s="4">
        <v>45534.34868949074</v>
      </c>
      <c r="B3987" s="5" t="s">
        <v>34</v>
      </c>
      <c r="D3987" s="5" t="s">
        <v>1206</v>
      </c>
      <c r="E3987" s="5" t="s">
        <v>26862</v>
      </c>
      <c r="F3987" s="5" t="s">
        <v>108</v>
      </c>
      <c r="G3987" s="5" t="s">
        <v>26863</v>
      </c>
      <c r="H3987" s="6" t="s">
        <v>26864</v>
      </c>
      <c r="K3987" s="5" t="s">
        <v>26865</v>
      </c>
    </row>
    <row r="3988">
      <c r="A3988" s="4">
        <v>45534.34869296296</v>
      </c>
      <c r="B3988" s="5" t="s">
        <v>34</v>
      </c>
      <c r="D3988" s="5" t="s">
        <v>975</v>
      </c>
      <c r="E3988" s="5" t="s">
        <v>26868</v>
      </c>
      <c r="F3988" s="5" t="s">
        <v>37</v>
      </c>
      <c r="G3988" s="5" t="s">
        <v>26869</v>
      </c>
      <c r="H3988" s="6" t="s">
        <v>26870</v>
      </c>
      <c r="I3988" s="7" t="s">
        <v>26871</v>
      </c>
      <c r="J3988" s="8" t="str">
        <f>HYPERLINK("https://drive.google.com/file/d/12z3NJNqfWu_Pl_Lr3k1hFC2Ejwaz3dZs/view?usp=drivesdk","SRIWAHYUNI SERTIFIKAT BerAKHLAK")</f>
        <v>SRIWAHYUNI SERTIFIKAT BerAKHLAK</v>
      </c>
      <c r="K3988" s="5" t="s">
        <v>26430</v>
      </c>
      <c r="L3988" s="5" t="s">
        <v>26872</v>
      </c>
    </row>
    <row r="3989">
      <c r="A3989" s="4">
        <v>45534.34869554398</v>
      </c>
      <c r="B3989" s="5" t="s">
        <v>34</v>
      </c>
      <c r="D3989" s="5" t="s">
        <v>4775</v>
      </c>
      <c r="E3989" s="5" t="s">
        <v>26875</v>
      </c>
      <c r="F3989" s="5" t="s">
        <v>212</v>
      </c>
      <c r="G3989" s="5" t="s">
        <v>26876</v>
      </c>
      <c r="H3989" s="6" t="s">
        <v>26877</v>
      </c>
      <c r="I3989" s="7" t="s">
        <v>26878</v>
      </c>
      <c r="J3989" s="8" t="str">
        <f>HYPERLINK("https://drive.google.com/file/d/1ch_qiLN5xteQIZohvSbFLj0ySgQMf278/view?usp=drivesdk","SUDIYO SERTIFIKAT BerAKHLAK")</f>
        <v>SUDIYO SERTIFIKAT BerAKHLAK</v>
      </c>
      <c r="K3989" s="5" t="s">
        <v>26430</v>
      </c>
      <c r="L3989" s="5" t="s">
        <v>26879</v>
      </c>
    </row>
    <row r="3990">
      <c r="A3990" s="4">
        <v>45534.348697511574</v>
      </c>
      <c r="B3990" s="5" t="s">
        <v>34</v>
      </c>
      <c r="D3990" s="5" t="s">
        <v>604</v>
      </c>
      <c r="E3990" s="5" t="s">
        <v>26882</v>
      </c>
      <c r="F3990" s="5" t="s">
        <v>72</v>
      </c>
      <c r="G3990" s="5" t="s">
        <v>26883</v>
      </c>
      <c r="H3990" s="6" t="s">
        <v>26884</v>
      </c>
      <c r="I3990" s="7" t="s">
        <v>26885</v>
      </c>
      <c r="J3990" s="8" t="str">
        <f>HYPERLINK("https://drive.google.com/file/d/187pomCOOZLYTIGbVRL0lVudzVrcLF-PJ/view?usp=drivesdk","Dr. MARINA SERTIFIKAT BerAKHLAK")</f>
        <v>Dr. MARINA SERTIFIKAT BerAKHLAK</v>
      </c>
      <c r="K3990" s="5" t="s">
        <v>26460</v>
      </c>
      <c r="L3990" s="5" t="s">
        <v>26886</v>
      </c>
    </row>
    <row r="3991">
      <c r="A3991" s="4">
        <v>45534.34870084491</v>
      </c>
      <c r="B3991" s="5" t="s">
        <v>34</v>
      </c>
      <c r="D3991" s="5" t="s">
        <v>9020</v>
      </c>
      <c r="E3991" s="5" t="s">
        <v>26889</v>
      </c>
      <c r="F3991" s="5" t="s">
        <v>524</v>
      </c>
      <c r="G3991" s="5" t="s">
        <v>26890</v>
      </c>
      <c r="H3991" s="6" t="s">
        <v>26891</v>
      </c>
      <c r="I3991" s="7" t="s">
        <v>26892</v>
      </c>
      <c r="J3991" s="8" t="str">
        <f>HYPERLINK("https://drive.google.com/file/d/198dZprrCgQqRL0tOenVeK28GXeQxms-W/view?usp=drivesdk","EKA PRASTUA RINI, SE SERTIFIKAT BerAKHLAK")</f>
        <v>EKA PRASTUA RINI, SE SERTIFIKAT BerAKHLAK</v>
      </c>
      <c r="K3991" s="5" t="s">
        <v>26460</v>
      </c>
      <c r="L3991" s="5" t="s">
        <v>26893</v>
      </c>
    </row>
    <row r="3992">
      <c r="A3992" s="4">
        <v>45534.34870368056</v>
      </c>
      <c r="B3992" s="5" t="s">
        <v>34</v>
      </c>
      <c r="D3992" s="5" t="s">
        <v>1206</v>
      </c>
      <c r="E3992" s="5" t="s">
        <v>26897</v>
      </c>
      <c r="F3992" s="5" t="s">
        <v>72</v>
      </c>
      <c r="G3992" s="5" t="s">
        <v>26898</v>
      </c>
      <c r="H3992" s="6" t="s">
        <v>26899</v>
      </c>
      <c r="K3992" s="5" t="s">
        <v>26900</v>
      </c>
    </row>
    <row r="3993">
      <c r="A3993" s="4">
        <v>45534.34870598379</v>
      </c>
      <c r="B3993" s="5" t="s">
        <v>34</v>
      </c>
      <c r="D3993" s="5" t="s">
        <v>1206</v>
      </c>
      <c r="E3993" s="5" t="s">
        <v>26903</v>
      </c>
      <c r="F3993" s="5" t="s">
        <v>524</v>
      </c>
      <c r="G3993" s="5" t="s">
        <v>26904</v>
      </c>
      <c r="H3993" s="6" t="s">
        <v>26905</v>
      </c>
      <c r="K3993" s="5" t="s">
        <v>26900</v>
      </c>
    </row>
    <row r="3994">
      <c r="A3994" s="4">
        <v>45534.34871194445</v>
      </c>
      <c r="B3994" s="5" t="s">
        <v>34</v>
      </c>
      <c r="D3994" s="5" t="s">
        <v>1206</v>
      </c>
      <c r="E3994" s="5" t="s">
        <v>26908</v>
      </c>
      <c r="F3994" s="5" t="s">
        <v>120</v>
      </c>
      <c r="G3994" s="5" t="s">
        <v>26909</v>
      </c>
      <c r="H3994" s="6" t="s">
        <v>26910</v>
      </c>
      <c r="K3994" s="5" t="s">
        <v>26900</v>
      </c>
    </row>
    <row r="3995">
      <c r="A3995" s="4">
        <v>45534.34873171296</v>
      </c>
      <c r="B3995" s="5" t="s">
        <v>34</v>
      </c>
      <c r="D3995" s="5" t="s">
        <v>3849</v>
      </c>
      <c r="E3995" s="5" t="s">
        <v>26913</v>
      </c>
      <c r="F3995" s="5" t="s">
        <v>108</v>
      </c>
      <c r="G3995" s="5" t="s">
        <v>26914</v>
      </c>
      <c r="H3995" s="6" t="s">
        <v>26915</v>
      </c>
      <c r="K3995" s="5" t="s">
        <v>26900</v>
      </c>
    </row>
    <row r="3996">
      <c r="A3996" s="4">
        <v>45534.34873574074</v>
      </c>
      <c r="B3996" s="5" t="s">
        <v>34</v>
      </c>
      <c r="D3996" s="5" t="s">
        <v>1206</v>
      </c>
      <c r="E3996" s="5" t="s">
        <v>26919</v>
      </c>
      <c r="F3996" s="5" t="s">
        <v>212</v>
      </c>
      <c r="G3996" s="5" t="s">
        <v>26920</v>
      </c>
      <c r="H3996" s="6" t="s">
        <v>26921</v>
      </c>
      <c r="K3996" s="5" t="s">
        <v>26900</v>
      </c>
    </row>
    <row r="3997">
      <c r="A3997" s="4">
        <v>45534.34873990741</v>
      </c>
      <c r="B3997" s="5" t="s">
        <v>34</v>
      </c>
      <c r="D3997" s="5" t="s">
        <v>1206</v>
      </c>
      <c r="E3997" s="5" t="s">
        <v>26924</v>
      </c>
      <c r="F3997" s="5" t="s">
        <v>37</v>
      </c>
      <c r="G3997" s="5" t="s">
        <v>26925</v>
      </c>
      <c r="H3997" s="6" t="s">
        <v>26926</v>
      </c>
      <c r="I3997" s="7" t="s">
        <v>26927</v>
      </c>
      <c r="J3997" s="8" t="str">
        <f>HYPERLINK("https://drive.google.com/file/d/1d0JPh61h1CaowS15a3vPpUJ0aaVtSaS3/view?usp=drivesdk","SULISTYORINI SERTIFIKAT BerAKHLAK")</f>
        <v>SULISTYORINI SERTIFIKAT BerAKHLAK</v>
      </c>
      <c r="K3997" s="5" t="s">
        <v>26430</v>
      </c>
      <c r="L3997" s="5" t="s">
        <v>26928</v>
      </c>
    </row>
    <row r="3998">
      <c r="A3998" s="4">
        <v>45534.34874819445</v>
      </c>
      <c r="B3998" s="5" t="s">
        <v>34</v>
      </c>
      <c r="D3998" s="5" t="s">
        <v>1206</v>
      </c>
      <c r="E3998" s="5" t="s">
        <v>26931</v>
      </c>
      <c r="F3998" s="5" t="s">
        <v>37</v>
      </c>
      <c r="G3998" s="5" t="s">
        <v>26932</v>
      </c>
      <c r="H3998" s="6" t="s">
        <v>26933</v>
      </c>
      <c r="I3998" s="7" t="s">
        <v>26934</v>
      </c>
      <c r="J3998" s="8" t="str">
        <f>HYPERLINK("https://drive.google.com/file/d/1OExjfn4uJjPg7PTTB-U6Xam68wHOvsuj/view?usp=drivesdk","MOCHAMAD BAHRUDIN SERTIFIKAT BerAKHLAK")</f>
        <v>MOCHAMAD BAHRUDIN SERTIFIKAT BerAKHLAK</v>
      </c>
      <c r="K3998" s="5" t="s">
        <v>26430</v>
      </c>
      <c r="L3998" s="5" t="s">
        <v>26935</v>
      </c>
    </row>
    <row r="3999">
      <c r="A3999" s="4">
        <v>45534.34875671296</v>
      </c>
      <c r="B3999" s="5" t="s">
        <v>34</v>
      </c>
      <c r="D3999" s="5" t="s">
        <v>14424</v>
      </c>
      <c r="E3999" s="5" t="s">
        <v>26938</v>
      </c>
      <c r="F3999" s="5" t="s">
        <v>37</v>
      </c>
      <c r="G3999" s="5" t="s">
        <v>26939</v>
      </c>
      <c r="H3999" s="6" t="s">
        <v>26940</v>
      </c>
      <c r="I3999" s="7" t="s">
        <v>26941</v>
      </c>
      <c r="J3999" s="8" t="str">
        <f>HYPERLINK("https://drive.google.com/file/d/1k5PhfKl4j0JfSmlqe_m3qFtP4qOcTgih/view?usp=drivesdk","MUHAMMAD RIZKI AMD.FARM SERTIFIKAT BerAKHLAK")</f>
        <v>MUHAMMAD RIZKI AMD.FARM SERTIFIKAT BerAKHLAK</v>
      </c>
      <c r="K3999" s="5" t="s">
        <v>26430</v>
      </c>
      <c r="L3999" s="5" t="s">
        <v>26942</v>
      </c>
    </row>
    <row r="4000">
      <c r="A4000" s="4">
        <v>45534.34876309028</v>
      </c>
      <c r="B4000" s="5" t="s">
        <v>34</v>
      </c>
      <c r="D4000" s="5" t="s">
        <v>7858</v>
      </c>
      <c r="E4000" s="5" t="s">
        <v>26946</v>
      </c>
      <c r="F4000" s="5" t="s">
        <v>524</v>
      </c>
      <c r="G4000" s="5" t="s">
        <v>26947</v>
      </c>
      <c r="H4000" s="6" t="s">
        <v>26948</v>
      </c>
      <c r="I4000" s="7" t="s">
        <v>26949</v>
      </c>
      <c r="J4000" s="8" t="str">
        <f>HYPERLINK("https://drive.google.com/file/d/1mt3fyAcwDOf7jeLf0UTGDKpYFP7ha3-b/view?usp=drivesdk","ENI YULIANI SERTIFIKAT BerAKHLAK")</f>
        <v>ENI YULIANI SERTIFIKAT BerAKHLAK</v>
      </c>
      <c r="K4000" s="5" t="s">
        <v>26460</v>
      </c>
      <c r="L4000" s="5" t="s">
        <v>26950</v>
      </c>
    </row>
    <row r="4001">
      <c r="A4001" s="4">
        <v>45534.34876512732</v>
      </c>
      <c r="B4001" s="5" t="s">
        <v>34</v>
      </c>
      <c r="D4001" s="5" t="s">
        <v>4775</v>
      </c>
      <c r="E4001" s="5" t="s">
        <v>26953</v>
      </c>
      <c r="F4001" s="5" t="s">
        <v>37</v>
      </c>
      <c r="G4001" s="5" t="s">
        <v>26954</v>
      </c>
      <c r="H4001" s="6" t="s">
        <v>26955</v>
      </c>
      <c r="I4001" s="7" t="s">
        <v>26956</v>
      </c>
      <c r="J4001" s="8" t="str">
        <f>HYPERLINK("https://drive.google.com/file/d/1cZlxT16L-EfmqFd9d7pk2LXssW_xtzuN/view?usp=drivesdk","RETNO PEIHATINI  SERTIFIKAT BerAKHLAK")</f>
        <v>RETNO PEIHATINI  SERTIFIKAT BerAKHLAK</v>
      </c>
      <c r="K4001" s="5" t="s">
        <v>26460</v>
      </c>
      <c r="L4001" s="5" t="s">
        <v>26957</v>
      </c>
    </row>
    <row r="4002">
      <c r="A4002" s="4">
        <v>45534.34876878472</v>
      </c>
      <c r="B4002" s="5" t="s">
        <v>19</v>
      </c>
      <c r="C4002" s="5" t="s">
        <v>292</v>
      </c>
      <c r="E4002" s="5" t="s">
        <v>26960</v>
      </c>
      <c r="F4002" s="5" t="s">
        <v>212</v>
      </c>
      <c r="G4002" s="5" t="s">
        <v>26961</v>
      </c>
      <c r="H4002" s="6" t="s">
        <v>26962</v>
      </c>
      <c r="I4002" s="7" t="s">
        <v>26963</v>
      </c>
      <c r="J4002" s="8" t="str">
        <f>HYPERLINK("https://drive.google.com/file/d/1JrcJI12n7Xs9GjrFMCP-Lt5wLh6zpxWZ/view?usp=drivesdk","SUWARTINI SERTIFIKAT BerAKHLAK")</f>
        <v>SUWARTINI SERTIFIKAT BerAKHLAK</v>
      </c>
      <c r="K4002" s="5" t="s">
        <v>26460</v>
      </c>
      <c r="L4002" s="5" t="s">
        <v>26964</v>
      </c>
    </row>
    <row r="4003">
      <c r="A4003" s="4">
        <v>45534.34877189815</v>
      </c>
      <c r="B4003" s="5" t="s">
        <v>34</v>
      </c>
      <c r="D4003" s="5" t="s">
        <v>1206</v>
      </c>
      <c r="E4003" s="5" t="s">
        <v>26967</v>
      </c>
      <c r="F4003" s="5" t="s">
        <v>212</v>
      </c>
      <c r="G4003" s="5" t="s">
        <v>26968</v>
      </c>
      <c r="H4003" s="6" t="s">
        <v>26969</v>
      </c>
      <c r="K4003" s="5" t="s">
        <v>26970</v>
      </c>
    </row>
    <row r="4004">
      <c r="A4004" s="4">
        <v>45534.34878349537</v>
      </c>
      <c r="B4004" s="5" t="s">
        <v>34</v>
      </c>
      <c r="D4004" s="5" t="s">
        <v>9394</v>
      </c>
      <c r="E4004" s="5" t="s">
        <v>26974</v>
      </c>
      <c r="F4004" s="5" t="s">
        <v>37</v>
      </c>
      <c r="G4004" s="5" t="s">
        <v>26975</v>
      </c>
      <c r="H4004" s="6" t="s">
        <v>26976</v>
      </c>
      <c r="K4004" s="5" t="s">
        <v>26970</v>
      </c>
    </row>
    <row r="4005">
      <c r="A4005" s="4">
        <v>45534.34879056713</v>
      </c>
      <c r="B4005" s="5" t="s">
        <v>34</v>
      </c>
      <c r="D4005" s="5" t="s">
        <v>280</v>
      </c>
      <c r="E4005" s="5" t="s">
        <v>26979</v>
      </c>
      <c r="F4005" s="5" t="s">
        <v>212</v>
      </c>
      <c r="G4005" s="5" t="s">
        <v>26980</v>
      </c>
      <c r="H4005" s="6" t="s">
        <v>26981</v>
      </c>
      <c r="K4005" s="5" t="s">
        <v>26970</v>
      </c>
    </row>
    <row r="4006">
      <c r="A4006" s="4">
        <v>45534.348793784724</v>
      </c>
      <c r="B4006" s="5" t="s">
        <v>19</v>
      </c>
      <c r="C4006" s="5" t="s">
        <v>292</v>
      </c>
      <c r="E4006" s="5" t="s">
        <v>26984</v>
      </c>
      <c r="F4006" s="5" t="s">
        <v>524</v>
      </c>
      <c r="G4006" s="5" t="s">
        <v>26985</v>
      </c>
      <c r="H4006" s="6" t="s">
        <v>26986</v>
      </c>
      <c r="K4006" s="5" t="s">
        <v>26970</v>
      </c>
    </row>
    <row r="4007">
      <c r="A4007" s="4">
        <v>45534.34880800926</v>
      </c>
      <c r="B4007" s="5" t="s">
        <v>34</v>
      </c>
      <c r="D4007" s="5" t="s">
        <v>11527</v>
      </c>
      <c r="E4007" s="5" t="s">
        <v>26989</v>
      </c>
      <c r="F4007" s="5" t="s">
        <v>37</v>
      </c>
      <c r="G4007" s="5" t="s">
        <v>26990</v>
      </c>
      <c r="H4007" s="6" t="s">
        <v>26991</v>
      </c>
      <c r="K4007" s="5" t="s">
        <v>26970</v>
      </c>
    </row>
    <row r="4008">
      <c r="A4008" s="4">
        <v>45534.34886261574</v>
      </c>
      <c r="B4008" s="5" t="s">
        <v>19</v>
      </c>
      <c r="C4008" s="5" t="s">
        <v>292</v>
      </c>
      <c r="E4008" s="5" t="s">
        <v>26994</v>
      </c>
      <c r="F4008" s="5" t="s">
        <v>524</v>
      </c>
      <c r="G4008" s="5" t="s">
        <v>26995</v>
      </c>
      <c r="H4008" s="6" t="s">
        <v>26996</v>
      </c>
      <c r="I4008" s="7" t="s">
        <v>26997</v>
      </c>
      <c r="J4008" s="8" t="str">
        <f>HYPERLINK("https://drive.google.com/file/d/1UcYRlSenOQJWfNzTQVEvGAXNbCrpQRzj/view?usp=drivesdk","Rossita Guspita Sari SERTIFIKAT BerAKHLAK")</f>
        <v>Rossita Guspita Sari SERTIFIKAT BerAKHLAK</v>
      </c>
      <c r="K4008" s="5" t="s">
        <v>26430</v>
      </c>
      <c r="L4008" s="5" t="s">
        <v>26998</v>
      </c>
    </row>
    <row r="4009">
      <c r="A4009" s="4">
        <v>45534.3488675463</v>
      </c>
      <c r="B4009" s="5" t="s">
        <v>34</v>
      </c>
      <c r="D4009" s="5" t="s">
        <v>996</v>
      </c>
      <c r="E4009" s="5" t="s">
        <v>27002</v>
      </c>
      <c r="F4009" s="5" t="s">
        <v>212</v>
      </c>
      <c r="G4009" s="5" t="s">
        <v>27003</v>
      </c>
      <c r="H4009" s="6" t="s">
        <v>27004</v>
      </c>
      <c r="I4009" s="7" t="s">
        <v>27005</v>
      </c>
      <c r="J4009" s="8" t="str">
        <f>HYPERLINK("https://drive.google.com/file/d/1BOdRZcynvgQm-ZmoHYfb7pmXCRfB095C/view?usp=drivesdk","CUCU SAADAH SERTIFIKAT BerAKHLAK")</f>
        <v>CUCU SAADAH SERTIFIKAT BerAKHLAK</v>
      </c>
      <c r="K4009" s="5" t="s">
        <v>26430</v>
      </c>
      <c r="L4009" s="5" t="s">
        <v>27006</v>
      </c>
    </row>
    <row r="4010">
      <c r="A4010" s="4">
        <v>45534.34886784722</v>
      </c>
      <c r="B4010" s="5" t="s">
        <v>34</v>
      </c>
      <c r="D4010" s="5" t="s">
        <v>6232</v>
      </c>
      <c r="E4010" s="5" t="s">
        <v>27009</v>
      </c>
      <c r="F4010" s="5" t="s">
        <v>199</v>
      </c>
      <c r="G4010" s="5" t="s">
        <v>27010</v>
      </c>
      <c r="H4010" s="6" t="s">
        <v>27011</v>
      </c>
      <c r="I4010" s="7" t="s">
        <v>27012</v>
      </c>
      <c r="J4010" s="8" t="str">
        <f>HYPERLINK("https://drive.google.com/file/d/1pudCk9zSvaN4PTDthkcODTpMmU0diaTf/view?usp=drivesdk","NILAWATI.S.A.P SERTIFIKAT BerAKHLAK")</f>
        <v>NILAWATI.S.A.P SERTIFIKAT BerAKHLAK</v>
      </c>
      <c r="K4010" s="5" t="s">
        <v>26460</v>
      </c>
      <c r="L4010" s="5" t="s">
        <v>27013</v>
      </c>
    </row>
    <row r="4011">
      <c r="A4011" s="4">
        <v>45534.34887320602</v>
      </c>
      <c r="B4011" s="5" t="s">
        <v>34</v>
      </c>
      <c r="D4011" s="5" t="s">
        <v>35</v>
      </c>
      <c r="E4011" s="5" t="s">
        <v>17159</v>
      </c>
      <c r="F4011" s="5" t="s">
        <v>199</v>
      </c>
      <c r="G4011" s="5" t="s">
        <v>27016</v>
      </c>
      <c r="H4011" s="6" t="s">
        <v>27017</v>
      </c>
      <c r="I4011" s="7" t="s">
        <v>27018</v>
      </c>
      <c r="J4011" s="8" t="str">
        <f>HYPERLINK("https://drive.google.com/file/d/1iojiTIhb1p4L5PR1uQmhF3Q3DzyJzWeG/view?usp=drivesdk","SUHERMAN SERTIFIKAT BerAKHLAK")</f>
        <v>SUHERMAN SERTIFIKAT BerAKHLAK</v>
      </c>
      <c r="K4011" s="5" t="s">
        <v>26460</v>
      </c>
      <c r="L4011" s="5" t="s">
        <v>27019</v>
      </c>
    </row>
    <row r="4012">
      <c r="A4012" s="4">
        <v>45534.348873553245</v>
      </c>
      <c r="B4012" s="5" t="s">
        <v>19</v>
      </c>
      <c r="C4012" s="5" t="s">
        <v>292</v>
      </c>
      <c r="E4012" s="5" t="s">
        <v>27022</v>
      </c>
      <c r="F4012" s="5" t="s">
        <v>375</v>
      </c>
      <c r="G4012" s="5" t="s">
        <v>27023</v>
      </c>
      <c r="H4012" s="6" t="s">
        <v>27024</v>
      </c>
      <c r="I4012" s="7" t="s">
        <v>27025</v>
      </c>
      <c r="J4012" s="8" t="str">
        <f>HYPERLINK("https://drive.google.com/file/d/1zOasguDHf0W6fe0d8I3C-CCz9xpIywmv/view?usp=drivesdk","NINING MURDININGSIH SERTIFIKAT BerAKHLAK")</f>
        <v>NINING MURDININGSIH SERTIFIKAT BerAKHLAK</v>
      </c>
      <c r="K4012" s="5" t="s">
        <v>26460</v>
      </c>
      <c r="L4012" s="5" t="s">
        <v>27026</v>
      </c>
    </row>
    <row r="4013">
      <c r="A4013" s="4">
        <v>45534.34887407407</v>
      </c>
      <c r="B4013" s="5" t="s">
        <v>34</v>
      </c>
      <c r="D4013" s="5" t="s">
        <v>604</v>
      </c>
      <c r="E4013" s="5" t="s">
        <v>27029</v>
      </c>
      <c r="F4013" s="5" t="s">
        <v>524</v>
      </c>
      <c r="G4013" s="5" t="s">
        <v>27030</v>
      </c>
      <c r="H4013" s="6" t="s">
        <v>27031</v>
      </c>
      <c r="K4013" s="5" t="s">
        <v>27032</v>
      </c>
    </row>
    <row r="4014">
      <c r="A4014" s="4">
        <v>45534.34887454861</v>
      </c>
      <c r="B4014" s="5" t="s">
        <v>34</v>
      </c>
      <c r="D4014" s="5" t="s">
        <v>975</v>
      </c>
      <c r="E4014" s="5" t="s">
        <v>27036</v>
      </c>
      <c r="F4014" s="5" t="s">
        <v>37</v>
      </c>
      <c r="G4014" s="5" t="s">
        <v>27037</v>
      </c>
      <c r="H4014" s="6" t="s">
        <v>27038</v>
      </c>
      <c r="K4014" s="5" t="s">
        <v>27032</v>
      </c>
    </row>
    <row r="4015">
      <c r="A4015" s="4">
        <v>45534.34889725695</v>
      </c>
      <c r="B4015" s="5" t="s">
        <v>34</v>
      </c>
      <c r="D4015" s="5" t="s">
        <v>1206</v>
      </c>
      <c r="E4015" s="5" t="s">
        <v>27041</v>
      </c>
      <c r="F4015" s="5" t="s">
        <v>199</v>
      </c>
      <c r="G4015" s="5" t="s">
        <v>27042</v>
      </c>
      <c r="H4015" s="6" t="s">
        <v>27043</v>
      </c>
      <c r="K4015" s="5" t="s">
        <v>27032</v>
      </c>
    </row>
    <row r="4016">
      <c r="A4016" s="4">
        <v>45534.348901562495</v>
      </c>
      <c r="B4016" s="5" t="s">
        <v>34</v>
      </c>
      <c r="D4016" s="5" t="s">
        <v>9394</v>
      </c>
      <c r="E4016" s="5" t="s">
        <v>27046</v>
      </c>
      <c r="F4016" s="5" t="s">
        <v>37</v>
      </c>
      <c r="G4016" s="5" t="s">
        <v>27047</v>
      </c>
      <c r="H4016" s="6" t="s">
        <v>27048</v>
      </c>
      <c r="K4016" s="5" t="s">
        <v>27032</v>
      </c>
    </row>
    <row r="4017">
      <c r="A4017" s="4">
        <v>45534.34891002315</v>
      </c>
      <c r="B4017" s="5" t="s">
        <v>34</v>
      </c>
      <c r="D4017" s="5" t="s">
        <v>1768</v>
      </c>
      <c r="E4017" s="5" t="s">
        <v>27051</v>
      </c>
      <c r="F4017" s="5" t="s">
        <v>120</v>
      </c>
      <c r="G4017" s="5" t="s">
        <v>27052</v>
      </c>
      <c r="H4017" s="6" t="s">
        <v>27053</v>
      </c>
      <c r="K4017" s="5" t="s">
        <v>27032</v>
      </c>
    </row>
    <row r="4018">
      <c r="A4018" s="4">
        <v>45534.348911712965</v>
      </c>
      <c r="B4018" s="5" t="s">
        <v>34</v>
      </c>
      <c r="D4018" s="5" t="s">
        <v>701</v>
      </c>
      <c r="E4018" s="5" t="s">
        <v>27057</v>
      </c>
      <c r="F4018" s="5" t="s">
        <v>524</v>
      </c>
      <c r="G4018" s="5" t="s">
        <v>27058</v>
      </c>
      <c r="H4018" s="6" t="s">
        <v>27059</v>
      </c>
      <c r="K4018" s="5" t="s">
        <v>27032</v>
      </c>
    </row>
    <row r="4019">
      <c r="A4019" s="4">
        <v>45534.348923321755</v>
      </c>
      <c r="B4019" s="5" t="s">
        <v>19</v>
      </c>
      <c r="C4019" s="5" t="s">
        <v>292</v>
      </c>
      <c r="E4019" s="5" t="s">
        <v>27062</v>
      </c>
      <c r="F4019" s="5" t="s">
        <v>715</v>
      </c>
      <c r="G4019" s="5" t="s">
        <v>27063</v>
      </c>
      <c r="H4019" s="6" t="s">
        <v>27064</v>
      </c>
      <c r="I4019" s="7" t="s">
        <v>27065</v>
      </c>
      <c r="J4019" s="8" t="str">
        <f>HYPERLINK("https://drive.google.com/file/d/1N4osntDw_bAWSm_78FjSxJhrAlFgRefU/view?usp=drivesdk","E.NILAWATi.,S.KOM SERTIFIKAT BerAKHLAK")</f>
        <v>E.NILAWATi.,S.KOM SERTIFIKAT BerAKHLAK</v>
      </c>
      <c r="K4019" s="5" t="s">
        <v>26460</v>
      </c>
      <c r="L4019" s="5" t="s">
        <v>27066</v>
      </c>
    </row>
    <row r="4020">
      <c r="A4020" s="4">
        <v>45534.348942881945</v>
      </c>
      <c r="B4020" s="5" t="s">
        <v>34</v>
      </c>
      <c r="D4020" s="5" t="s">
        <v>12978</v>
      </c>
      <c r="E4020" s="5" t="s">
        <v>27069</v>
      </c>
      <c r="F4020" s="5" t="s">
        <v>375</v>
      </c>
      <c r="G4020" s="5" t="s">
        <v>27070</v>
      </c>
      <c r="H4020" s="6" t="s">
        <v>27071</v>
      </c>
      <c r="K4020" s="5" t="s">
        <v>27072</v>
      </c>
    </row>
    <row r="4021">
      <c r="A4021" s="4">
        <v>45534.34894789352</v>
      </c>
      <c r="B4021" s="5" t="s">
        <v>34</v>
      </c>
      <c r="D4021" s="5" t="s">
        <v>9020</v>
      </c>
      <c r="E4021" s="5" t="s">
        <v>27075</v>
      </c>
      <c r="F4021" s="5" t="s">
        <v>212</v>
      </c>
      <c r="G4021" s="5" t="s">
        <v>27076</v>
      </c>
      <c r="H4021" s="6" t="s">
        <v>27077</v>
      </c>
      <c r="I4021" s="7" t="s">
        <v>27078</v>
      </c>
      <c r="J4021" s="8" t="str">
        <f>HYPERLINK("https://drive.google.com/file/d/1XyXyoMOVGqjt6YtURRTKS_oV1ANwYLYm/view?usp=drivesdk","SRI ARDYANTI SERTIFIKAT BerAKHLAK")</f>
        <v>SRI ARDYANTI SERTIFIKAT BerAKHLAK</v>
      </c>
      <c r="K4021" s="5" t="s">
        <v>26430</v>
      </c>
      <c r="L4021" s="5" t="s">
        <v>27079</v>
      </c>
    </row>
    <row r="4022">
      <c r="A4022" s="4">
        <v>45534.3489484375</v>
      </c>
      <c r="B4022" s="5" t="s">
        <v>34</v>
      </c>
      <c r="D4022" s="5" t="s">
        <v>522</v>
      </c>
      <c r="E4022" s="5" t="s">
        <v>27083</v>
      </c>
      <c r="F4022" s="5" t="s">
        <v>72</v>
      </c>
      <c r="G4022" s="5" t="s">
        <v>27084</v>
      </c>
      <c r="H4022" s="6" t="s">
        <v>27085</v>
      </c>
      <c r="I4022" s="7" t="s">
        <v>27086</v>
      </c>
      <c r="J4022" s="8" t="str">
        <f>HYPERLINK("https://drive.google.com/file/d/1tZeVSk1fxLs2ba95fJLzAaC8bMoYdcB4/view?usp=drivesdk","JUNAIDI SERTIFIKAT BerAKHLAK")</f>
        <v>JUNAIDI SERTIFIKAT BerAKHLAK</v>
      </c>
      <c r="K4022" s="5" t="s">
        <v>26460</v>
      </c>
      <c r="L4022" s="5" t="s">
        <v>27087</v>
      </c>
    </row>
    <row r="4023">
      <c r="A4023" s="4">
        <v>45534.348964398145</v>
      </c>
      <c r="B4023" s="5" t="s">
        <v>34</v>
      </c>
      <c r="D4023" s="5" t="s">
        <v>1206</v>
      </c>
      <c r="E4023" s="5" t="s">
        <v>27090</v>
      </c>
      <c r="F4023" s="5" t="s">
        <v>37</v>
      </c>
      <c r="G4023" s="5" t="s">
        <v>27091</v>
      </c>
      <c r="H4023" s="6" t="s">
        <v>27092</v>
      </c>
      <c r="I4023" s="7" t="s">
        <v>27093</v>
      </c>
      <c r="J4023" s="8" t="str">
        <f>HYPERLINK("https://drive.google.com/file/d/1tytXRrGcJ-nLmUXMyZrpu8My0Zl2dmu5/view?usp=drivesdk","HARIS WAHYUDI  SERTIFIKAT BerAKHLAK")</f>
        <v>HARIS WAHYUDI  SERTIFIKAT BerAKHLAK</v>
      </c>
      <c r="K4023" s="5" t="s">
        <v>26460</v>
      </c>
      <c r="L4023" s="5" t="s">
        <v>27094</v>
      </c>
    </row>
    <row r="4024">
      <c r="A4024" s="4">
        <v>45534.348976504625</v>
      </c>
      <c r="B4024" s="5" t="s">
        <v>34</v>
      </c>
      <c r="D4024" s="5" t="s">
        <v>12978</v>
      </c>
      <c r="E4024" s="5" t="s">
        <v>27097</v>
      </c>
      <c r="F4024" s="5" t="s">
        <v>108</v>
      </c>
      <c r="G4024" s="5" t="s">
        <v>27098</v>
      </c>
      <c r="H4024" s="6" t="s">
        <v>27099</v>
      </c>
      <c r="I4024" s="7" t="s">
        <v>27100</v>
      </c>
      <c r="J4024" s="8" t="str">
        <f>HYPERLINK("https://drive.google.com/file/d/1YhYA82_hbwa6EWb9k6ztvnMjRnBMZRXk/view?usp=drivesdk","JUMIRAH SERTIFIKAT BerAKHLAK")</f>
        <v>JUMIRAH SERTIFIKAT BerAKHLAK</v>
      </c>
      <c r="K4024" s="5" t="s">
        <v>26460</v>
      </c>
      <c r="L4024" s="5" t="s">
        <v>27101</v>
      </c>
    </row>
    <row r="4025">
      <c r="A4025" s="4">
        <v>45534.34899041666</v>
      </c>
      <c r="B4025" s="5" t="s">
        <v>34</v>
      </c>
      <c r="D4025" s="5" t="s">
        <v>7858</v>
      </c>
      <c r="E4025" s="5" t="s">
        <v>27104</v>
      </c>
      <c r="F4025" s="5" t="s">
        <v>37</v>
      </c>
      <c r="G4025" s="5" t="s">
        <v>27105</v>
      </c>
      <c r="H4025" s="6" t="s">
        <v>27106</v>
      </c>
      <c r="I4025" s="7" t="s">
        <v>27107</v>
      </c>
      <c r="J4025" s="8" t="str">
        <f>HYPERLINK("https://drive.google.com/file/d/1_-d467bw3QuUc3xlQE16lxzK-2K9R5R_/view?usp=drivesdk","EDI SUMARDI SERTIFIKAT BerAKHLAK")</f>
        <v>EDI SUMARDI SERTIFIKAT BerAKHLAK</v>
      </c>
      <c r="K4025" s="5" t="s">
        <v>26460</v>
      </c>
      <c r="L4025" s="5" t="s">
        <v>27108</v>
      </c>
    </row>
    <row r="4026">
      <c r="A4026" s="4">
        <v>45534.3489922338</v>
      </c>
      <c r="B4026" s="5" t="s">
        <v>34</v>
      </c>
      <c r="D4026" s="5" t="s">
        <v>14424</v>
      </c>
      <c r="E4026" s="5" t="s">
        <v>27111</v>
      </c>
      <c r="F4026" s="5" t="s">
        <v>715</v>
      </c>
      <c r="G4026" s="5" t="s">
        <v>27112</v>
      </c>
      <c r="H4026" s="6" t="s">
        <v>27113</v>
      </c>
      <c r="I4026" s="7" t="s">
        <v>27114</v>
      </c>
      <c r="J4026" s="8" t="str">
        <f>HYPERLINK("https://drive.google.com/file/d/1jHJv7u3sk9eGjc50CyX71jS1c4AFllGJ/view?usp=drivesdk","ELVIDAYANTI,SE SERTIFIKAT BerAKHLAK")</f>
        <v>ELVIDAYANTI,SE SERTIFIKAT BerAKHLAK</v>
      </c>
      <c r="K4026" s="5" t="s">
        <v>26460</v>
      </c>
      <c r="L4026" s="5" t="s">
        <v>27115</v>
      </c>
    </row>
    <row r="4027">
      <c r="A4027" s="4">
        <v>45534.34899180556</v>
      </c>
      <c r="B4027" s="5" t="s">
        <v>34</v>
      </c>
      <c r="D4027" s="5" t="s">
        <v>267</v>
      </c>
      <c r="E4027" s="5" t="s">
        <v>27119</v>
      </c>
      <c r="F4027" s="5" t="s">
        <v>375</v>
      </c>
      <c r="G4027" s="5" t="s">
        <v>27120</v>
      </c>
      <c r="H4027" s="6" t="s">
        <v>27121</v>
      </c>
      <c r="I4027" s="7" t="s">
        <v>27122</v>
      </c>
      <c r="J4027" s="8" t="str">
        <f>HYPERLINK("https://drive.google.com/file/d/1mxfImIM1yD53j-DujuF_EsQO6G9eLm2w/view?usp=drivesdk","FX HENDRY PAMUNGKAS SERTIFIKAT BerAKHLAK")</f>
        <v>FX HENDRY PAMUNGKAS SERTIFIKAT BerAKHLAK</v>
      </c>
      <c r="K4027" s="5" t="s">
        <v>26460</v>
      </c>
      <c r="L4027" s="5" t="s">
        <v>27123</v>
      </c>
    </row>
    <row r="4028">
      <c r="A4028" s="4">
        <v>45534.3489978588</v>
      </c>
      <c r="B4028" s="5" t="s">
        <v>34</v>
      </c>
      <c r="D4028" s="5" t="s">
        <v>1206</v>
      </c>
      <c r="E4028" s="5" t="s">
        <v>27126</v>
      </c>
      <c r="F4028" s="5" t="s">
        <v>37</v>
      </c>
      <c r="G4028" s="5" t="s">
        <v>27127</v>
      </c>
      <c r="H4028" s="6" t="s">
        <v>27128</v>
      </c>
      <c r="K4028" s="5" t="s">
        <v>27129</v>
      </c>
    </row>
    <row r="4029">
      <c r="A4029" s="4">
        <v>45534.348998472226</v>
      </c>
      <c r="B4029" s="5" t="s">
        <v>34</v>
      </c>
      <c r="D4029" s="5" t="s">
        <v>1206</v>
      </c>
      <c r="E4029" s="5" t="s">
        <v>27132</v>
      </c>
      <c r="F4029" s="5" t="s">
        <v>37</v>
      </c>
      <c r="G4029" s="5" t="s">
        <v>27133</v>
      </c>
      <c r="H4029" s="6" t="s">
        <v>27134</v>
      </c>
      <c r="K4029" s="5" t="s">
        <v>27129</v>
      </c>
    </row>
    <row r="4030">
      <c r="A4030" s="4">
        <v>45534.34900109954</v>
      </c>
      <c r="B4030" s="5" t="s">
        <v>34</v>
      </c>
      <c r="D4030" s="5" t="s">
        <v>4775</v>
      </c>
      <c r="E4030" s="5" t="s">
        <v>27137</v>
      </c>
      <c r="F4030" s="5" t="s">
        <v>72</v>
      </c>
      <c r="G4030" s="5" t="s">
        <v>27138</v>
      </c>
      <c r="H4030" s="6" t="s">
        <v>27139</v>
      </c>
      <c r="K4030" s="5" t="s">
        <v>27129</v>
      </c>
    </row>
    <row r="4031">
      <c r="A4031" s="4">
        <v>45534.34901668981</v>
      </c>
      <c r="B4031" s="5" t="s">
        <v>34</v>
      </c>
      <c r="D4031" s="5" t="s">
        <v>1206</v>
      </c>
      <c r="E4031" s="5" t="s">
        <v>27142</v>
      </c>
      <c r="F4031" s="5" t="s">
        <v>212</v>
      </c>
      <c r="G4031" s="5" t="s">
        <v>27143</v>
      </c>
      <c r="H4031" s="6" t="s">
        <v>27144</v>
      </c>
      <c r="K4031" s="5" t="s">
        <v>27129</v>
      </c>
    </row>
    <row r="4032">
      <c r="A4032" s="4">
        <v>45534.34902847222</v>
      </c>
      <c r="B4032" s="5" t="s">
        <v>34</v>
      </c>
      <c r="D4032" s="5" t="s">
        <v>1692</v>
      </c>
      <c r="E4032" s="5" t="s">
        <v>27148</v>
      </c>
      <c r="F4032" s="5" t="s">
        <v>375</v>
      </c>
      <c r="G4032" s="5" t="s">
        <v>27149</v>
      </c>
      <c r="H4032" s="6" t="s">
        <v>27150</v>
      </c>
      <c r="K4032" s="5" t="s">
        <v>27129</v>
      </c>
    </row>
    <row r="4033">
      <c r="A4033" s="4">
        <v>45534.34903133102</v>
      </c>
      <c r="B4033" s="5" t="s">
        <v>34</v>
      </c>
      <c r="D4033" s="5" t="s">
        <v>35</v>
      </c>
      <c r="E4033" s="5" t="s">
        <v>27153</v>
      </c>
      <c r="F4033" s="5" t="s">
        <v>524</v>
      </c>
      <c r="G4033" s="5" t="s">
        <v>27154</v>
      </c>
      <c r="H4033" s="6" t="s">
        <v>27155</v>
      </c>
      <c r="K4033" s="5" t="s">
        <v>27129</v>
      </c>
    </row>
    <row r="4034">
      <c r="A4034" s="4">
        <v>45534.34903236111</v>
      </c>
      <c r="B4034" s="5" t="s">
        <v>34</v>
      </c>
      <c r="D4034" s="5" t="s">
        <v>35</v>
      </c>
      <c r="E4034" s="5" t="s">
        <v>27158</v>
      </c>
      <c r="F4034" s="5" t="s">
        <v>212</v>
      </c>
      <c r="G4034" s="5" t="s">
        <v>27159</v>
      </c>
      <c r="H4034" s="6" t="s">
        <v>27160</v>
      </c>
      <c r="K4034" s="5" t="s">
        <v>27129</v>
      </c>
    </row>
    <row r="4035">
      <c r="A4035" s="4">
        <v>45534.34903990741</v>
      </c>
      <c r="B4035" s="5" t="s">
        <v>34</v>
      </c>
      <c r="D4035" s="5" t="s">
        <v>1206</v>
      </c>
      <c r="E4035" s="5" t="s">
        <v>27163</v>
      </c>
      <c r="F4035" s="5" t="s">
        <v>524</v>
      </c>
      <c r="G4035" s="5" t="s">
        <v>27164</v>
      </c>
      <c r="H4035" s="6" t="s">
        <v>27165</v>
      </c>
      <c r="I4035" s="7" t="s">
        <v>27166</v>
      </c>
      <c r="J4035" s="8" t="str">
        <f>HYPERLINK("https://drive.google.com/file/d/1P0n8lj_1rTjcd5Jgy7bTDMPmJAgFNMeD/view?usp=drivesdk","ASIH DWI UTAMI,S.Kep.Ners SERTIFIKAT BerAKHLAK")</f>
        <v>ASIH DWI UTAMI,S.Kep.Ners SERTIFIKAT BerAKHLAK</v>
      </c>
      <c r="K4035" s="5" t="s">
        <v>26460</v>
      </c>
      <c r="L4035" s="5" t="s">
        <v>27167</v>
      </c>
    </row>
    <row r="4036">
      <c r="A4036" s="4">
        <v>45534.34905320602</v>
      </c>
      <c r="B4036" s="5" t="s">
        <v>34</v>
      </c>
      <c r="D4036" s="5" t="s">
        <v>7858</v>
      </c>
      <c r="E4036" s="5" t="s">
        <v>27170</v>
      </c>
      <c r="F4036" s="5" t="s">
        <v>37</v>
      </c>
      <c r="G4036" s="5" t="s">
        <v>27171</v>
      </c>
      <c r="H4036" s="6" t="s">
        <v>27172</v>
      </c>
      <c r="I4036" s="7" t="s">
        <v>27173</v>
      </c>
      <c r="J4036" s="8" t="str">
        <f>HYPERLINK("https://drive.google.com/file/d/1YZykOuEQr5Oen3Lj8W_OAT-bYanB7g-e/view?usp=drivesdk","DESI RISMAWATI  SERTIFIKAT BerAKHLAK")</f>
        <v>DESI RISMAWATI  SERTIFIKAT BerAKHLAK</v>
      </c>
      <c r="K4036" s="5" t="s">
        <v>26460</v>
      </c>
      <c r="L4036" s="5" t="s">
        <v>27174</v>
      </c>
    </row>
    <row r="4037">
      <c r="A4037" s="4">
        <v>45534.34906818287</v>
      </c>
      <c r="B4037" s="5" t="s">
        <v>34</v>
      </c>
      <c r="D4037" s="5" t="s">
        <v>1206</v>
      </c>
      <c r="E4037" s="5" t="s">
        <v>27178</v>
      </c>
      <c r="F4037" s="5" t="s">
        <v>375</v>
      </c>
      <c r="G4037" s="5" t="s">
        <v>27179</v>
      </c>
      <c r="H4037" s="6" t="s">
        <v>27180</v>
      </c>
      <c r="I4037" s="7" t="s">
        <v>27181</v>
      </c>
      <c r="J4037" s="8" t="str">
        <f>HYPERLINK("https://drive.google.com/file/d/18gR6LO4f15bsSSNGupajQfuSe5ZTaoVE/view?usp=drivesdk","HARYONO, Skep. Ns. SERTIFIKAT BerAKHLAK")</f>
        <v>HARYONO, Skep. Ns. SERTIFIKAT BerAKHLAK</v>
      </c>
      <c r="K4037" s="5" t="s">
        <v>26460</v>
      </c>
      <c r="L4037" s="5" t="s">
        <v>27182</v>
      </c>
    </row>
    <row r="4038">
      <c r="A4038" s="4">
        <v>45534.34906883102</v>
      </c>
      <c r="B4038" s="5" t="s">
        <v>34</v>
      </c>
      <c r="D4038" s="5" t="s">
        <v>1206</v>
      </c>
      <c r="E4038" s="5" t="s">
        <v>27185</v>
      </c>
      <c r="F4038" s="5" t="s">
        <v>524</v>
      </c>
      <c r="G4038" s="5" t="s">
        <v>27186</v>
      </c>
      <c r="H4038" s="6" t="s">
        <v>27187</v>
      </c>
      <c r="K4038" s="5" t="s">
        <v>27188</v>
      </c>
    </row>
    <row r="4039">
      <c r="A4039" s="4">
        <v>45534.349083587964</v>
      </c>
      <c r="B4039" s="5" t="s">
        <v>34</v>
      </c>
      <c r="D4039" s="5" t="s">
        <v>10444</v>
      </c>
      <c r="E4039" s="5" t="s">
        <v>27191</v>
      </c>
      <c r="F4039" s="5" t="s">
        <v>120</v>
      </c>
      <c r="G4039" s="5" t="s">
        <v>27192</v>
      </c>
      <c r="H4039" s="6" t="s">
        <v>27193</v>
      </c>
      <c r="K4039" s="5" t="s">
        <v>27188</v>
      </c>
    </row>
    <row r="4040">
      <c r="A4040" s="4">
        <v>45534.3490871875</v>
      </c>
      <c r="B4040" s="5" t="s">
        <v>34</v>
      </c>
      <c r="D4040" s="5" t="s">
        <v>1206</v>
      </c>
      <c r="E4040" s="5" t="s">
        <v>27196</v>
      </c>
      <c r="F4040" s="5" t="s">
        <v>22</v>
      </c>
      <c r="G4040" s="5" t="s">
        <v>27197</v>
      </c>
      <c r="H4040" s="6" t="s">
        <v>27198</v>
      </c>
      <c r="I4040" s="7" t="s">
        <v>27199</v>
      </c>
      <c r="J4040" s="8" t="str">
        <f>HYPERLINK("https://drive.google.com/file/d/1fuHDR5_biNkozrbeEAqnaFPxSW0RQiOR/view?usp=drivesdk","dr. Prasti Adhi Dharmasanti, SpDVE. SERTIFIKAT BerAKHLAK")</f>
        <v>dr. Prasti Adhi Dharmasanti, SpDVE. SERTIFIKAT BerAKHLAK</v>
      </c>
      <c r="K4040" s="5" t="s">
        <v>26460</v>
      </c>
      <c r="L4040" s="5" t="s">
        <v>27200</v>
      </c>
    </row>
    <row r="4041">
      <c r="A4041" s="4">
        <v>45534.349089027775</v>
      </c>
      <c r="B4041" s="5" t="s">
        <v>34</v>
      </c>
      <c r="D4041" s="5" t="s">
        <v>12978</v>
      </c>
      <c r="E4041" s="5" t="s">
        <v>27203</v>
      </c>
      <c r="F4041" s="5" t="s">
        <v>524</v>
      </c>
      <c r="G4041" s="5" t="s">
        <v>27204</v>
      </c>
      <c r="H4041" s="6" t="s">
        <v>27205</v>
      </c>
      <c r="I4041" s="7" t="s">
        <v>27206</v>
      </c>
      <c r="J4041" s="8" t="str">
        <f>HYPERLINK("https://drive.google.com/file/d/1r3p4ZSp53GWAONHAnyP3mH63Wzbq3oNR/view?usp=drivesdk","PENDA MISNO SERTIFIKAT BerAKHLAK")</f>
        <v>PENDA MISNO SERTIFIKAT BerAKHLAK</v>
      </c>
      <c r="K4041" s="5" t="s">
        <v>26460</v>
      </c>
      <c r="L4041" s="5" t="s">
        <v>27207</v>
      </c>
    </row>
    <row r="4042">
      <c r="A4042" s="4">
        <v>45534.34909002315</v>
      </c>
      <c r="B4042" s="5" t="s">
        <v>34</v>
      </c>
      <c r="D4042" s="5" t="s">
        <v>1206</v>
      </c>
      <c r="E4042" s="5" t="s">
        <v>27211</v>
      </c>
      <c r="F4042" s="5" t="s">
        <v>72</v>
      </c>
      <c r="G4042" s="5" t="s">
        <v>27212</v>
      </c>
      <c r="H4042" s="6" t="s">
        <v>27213</v>
      </c>
      <c r="K4042" s="5" t="s">
        <v>27214</v>
      </c>
    </row>
    <row r="4043">
      <c r="A4043" s="4">
        <v>45534.349098402774</v>
      </c>
      <c r="B4043" s="5" t="s">
        <v>34</v>
      </c>
      <c r="D4043" s="5" t="s">
        <v>4775</v>
      </c>
      <c r="E4043" s="5" t="s">
        <v>27217</v>
      </c>
      <c r="F4043" s="5" t="s">
        <v>524</v>
      </c>
      <c r="G4043" s="5" t="s">
        <v>27218</v>
      </c>
      <c r="H4043" s="6" t="s">
        <v>27219</v>
      </c>
      <c r="K4043" s="5" t="s">
        <v>27214</v>
      </c>
    </row>
    <row r="4044">
      <c r="A4044" s="4">
        <v>45534.34910497685</v>
      </c>
      <c r="B4044" s="5" t="s">
        <v>34</v>
      </c>
      <c r="D4044" s="5" t="s">
        <v>12978</v>
      </c>
      <c r="E4044" s="5" t="s">
        <v>27222</v>
      </c>
      <c r="F4044" s="5" t="s">
        <v>328</v>
      </c>
      <c r="G4044" s="5" t="s">
        <v>27223</v>
      </c>
      <c r="H4044" s="6" t="s">
        <v>27224</v>
      </c>
      <c r="I4044" s="7" t="s">
        <v>27225</v>
      </c>
      <c r="J4044" s="8" t="str">
        <f>HYPERLINK("https://drive.google.com/file/d/1OWJxgWFQemkHowDOt1ppmywubPC_oBs0/view?usp=drivesdk","SAIFUL IJAD SERTIFIKAT BerAKHLAK")</f>
        <v>SAIFUL IJAD SERTIFIKAT BerAKHLAK</v>
      </c>
      <c r="K4044" s="5" t="s">
        <v>26460</v>
      </c>
      <c r="L4044" s="5" t="s">
        <v>27226</v>
      </c>
    </row>
    <row r="4045">
      <c r="A4045" s="4">
        <v>45534.34910922454</v>
      </c>
      <c r="B4045" s="5" t="s">
        <v>34</v>
      </c>
      <c r="D4045" s="5" t="s">
        <v>1206</v>
      </c>
      <c r="E4045" s="5" t="s">
        <v>27229</v>
      </c>
      <c r="F4045" s="5" t="s">
        <v>375</v>
      </c>
      <c r="G4045" s="5" t="s">
        <v>27230</v>
      </c>
      <c r="H4045" s="6" t="s">
        <v>27231</v>
      </c>
      <c r="I4045" s="7" t="s">
        <v>27232</v>
      </c>
      <c r="J4045" s="8" t="str">
        <f>HYPERLINK("https://drive.google.com/file/d/1maTf2f0m19x8nINq_KuhVF1FZ4vHnJ-X/view?usp=drivesdk","GUNARTO, S.H. SERTIFIKAT BerAKHLAK")</f>
        <v>GUNARTO, S.H. SERTIFIKAT BerAKHLAK</v>
      </c>
      <c r="K4045" s="5" t="s">
        <v>26460</v>
      </c>
      <c r="L4045" s="5" t="s">
        <v>27233</v>
      </c>
    </row>
    <row r="4046">
      <c r="A4046" s="4">
        <v>45534.34911542824</v>
      </c>
      <c r="B4046" s="5" t="s">
        <v>34</v>
      </c>
      <c r="D4046" s="5" t="s">
        <v>1206</v>
      </c>
      <c r="E4046" s="5" t="s">
        <v>27237</v>
      </c>
      <c r="F4046" s="5" t="s">
        <v>212</v>
      </c>
      <c r="G4046" s="5" t="s">
        <v>27238</v>
      </c>
      <c r="H4046" s="6" t="s">
        <v>27239</v>
      </c>
      <c r="K4046" s="5" t="s">
        <v>27240</v>
      </c>
    </row>
    <row r="4047">
      <c r="A4047" s="4">
        <v>45534.349118321756</v>
      </c>
      <c r="B4047" s="5" t="s">
        <v>34</v>
      </c>
      <c r="D4047" s="5" t="s">
        <v>14313</v>
      </c>
      <c r="E4047" s="5" t="s">
        <v>27243</v>
      </c>
      <c r="F4047" s="5" t="s">
        <v>715</v>
      </c>
      <c r="G4047" s="5" t="s">
        <v>27244</v>
      </c>
      <c r="H4047" s="6" t="s">
        <v>27245</v>
      </c>
      <c r="K4047" s="5" t="s">
        <v>27240</v>
      </c>
    </row>
    <row r="4048">
      <c r="A4048" s="4">
        <v>45534.34912144676</v>
      </c>
      <c r="B4048" s="5" t="s">
        <v>34</v>
      </c>
      <c r="D4048" s="5" t="s">
        <v>12978</v>
      </c>
      <c r="E4048" s="5" t="s">
        <v>27248</v>
      </c>
      <c r="F4048" s="5" t="s">
        <v>212</v>
      </c>
      <c r="G4048" s="5" t="s">
        <v>27249</v>
      </c>
      <c r="H4048" s="6" t="s">
        <v>27250</v>
      </c>
      <c r="K4048" s="5" t="s">
        <v>27240</v>
      </c>
    </row>
    <row r="4049">
      <c r="A4049" s="4">
        <v>45534.349135833334</v>
      </c>
      <c r="B4049" s="5" t="s">
        <v>19</v>
      </c>
      <c r="C4049" s="5" t="s">
        <v>466</v>
      </c>
      <c r="E4049" s="5" t="s">
        <v>27253</v>
      </c>
      <c r="F4049" s="5" t="s">
        <v>212</v>
      </c>
      <c r="G4049" s="5" t="s">
        <v>27254</v>
      </c>
      <c r="H4049" s="6" t="s">
        <v>27255</v>
      </c>
      <c r="K4049" s="5" t="s">
        <v>27240</v>
      </c>
    </row>
    <row r="4050">
      <c r="A4050" s="4">
        <v>45534.349140185186</v>
      </c>
      <c r="B4050" s="5" t="s">
        <v>34</v>
      </c>
      <c r="D4050" s="5" t="s">
        <v>9394</v>
      </c>
      <c r="E4050" s="5" t="s">
        <v>15628</v>
      </c>
      <c r="F4050" s="5" t="s">
        <v>212</v>
      </c>
      <c r="G4050" s="5" t="s">
        <v>27258</v>
      </c>
      <c r="H4050" s="6" t="s">
        <v>27259</v>
      </c>
      <c r="K4050" s="5" t="s">
        <v>27240</v>
      </c>
    </row>
    <row r="4051">
      <c r="A4051" s="4">
        <v>45534.34915016204</v>
      </c>
      <c r="B4051" s="5" t="s">
        <v>34</v>
      </c>
      <c r="D4051" s="5" t="s">
        <v>35</v>
      </c>
      <c r="E4051" s="5" t="s">
        <v>27263</v>
      </c>
      <c r="F4051" s="5" t="s">
        <v>328</v>
      </c>
      <c r="G4051" s="5" t="s">
        <v>27264</v>
      </c>
      <c r="H4051" s="6" t="s">
        <v>27265</v>
      </c>
      <c r="K4051" s="5" t="s">
        <v>27240</v>
      </c>
    </row>
    <row r="4052">
      <c r="A4052" s="4">
        <v>45534.349165775464</v>
      </c>
      <c r="B4052" s="5" t="s">
        <v>34</v>
      </c>
      <c r="D4052" s="5" t="s">
        <v>522</v>
      </c>
      <c r="E4052" s="5" t="s">
        <v>27268</v>
      </c>
      <c r="F4052" s="5" t="s">
        <v>37</v>
      </c>
      <c r="G4052" s="5" t="s">
        <v>27269</v>
      </c>
      <c r="H4052" s="6" t="s">
        <v>27270</v>
      </c>
      <c r="I4052" s="7" t="s">
        <v>27271</v>
      </c>
      <c r="J4052" s="8" t="str">
        <f>HYPERLINK("https://drive.google.com/file/d/14QCjhGUOFy1RbSb6OqP7TlgXwGuqUAVD/view?usp=drivesdk","DEVI OKTAVIANA, A.Md.Kep. SERTIFIKAT BerAKHLAK")</f>
        <v>DEVI OKTAVIANA, A.Md.Kep. SERTIFIKAT BerAKHLAK</v>
      </c>
      <c r="K4052" s="5" t="s">
        <v>26460</v>
      </c>
      <c r="L4052" s="5" t="s">
        <v>27272</v>
      </c>
    </row>
    <row r="4053">
      <c r="A4053" s="4">
        <v>45534.34916803241</v>
      </c>
      <c r="B4053" s="5" t="s">
        <v>34</v>
      </c>
      <c r="D4053" s="5" t="s">
        <v>1456</v>
      </c>
      <c r="E4053" s="5" t="s">
        <v>27275</v>
      </c>
      <c r="F4053" s="5" t="s">
        <v>72</v>
      </c>
      <c r="G4053" s="5" t="s">
        <v>27276</v>
      </c>
      <c r="H4053" s="6" t="s">
        <v>27277</v>
      </c>
      <c r="I4053" s="7" t="s">
        <v>27278</v>
      </c>
      <c r="J4053" s="8" t="str">
        <f>HYPERLINK("https://drive.google.com/file/d/1-jA7mxT0ArBmA1COQ2GfZJKTO97EcqEO/view?usp=drivesdk","DINI SARASWATI SE., MM SERTIFIKAT BerAKHLAK")</f>
        <v>DINI SARASWATI SE., MM SERTIFIKAT BerAKHLAK</v>
      </c>
      <c r="K4053" s="5" t="s">
        <v>26460</v>
      </c>
      <c r="L4053" s="5" t="s">
        <v>27279</v>
      </c>
    </row>
    <row r="4054">
      <c r="A4054" s="4">
        <v>45534.34918446759</v>
      </c>
      <c r="B4054" s="5" t="s">
        <v>34</v>
      </c>
      <c r="D4054" s="5" t="s">
        <v>1206</v>
      </c>
      <c r="E4054" s="5" t="s">
        <v>27282</v>
      </c>
      <c r="F4054" s="5" t="s">
        <v>37</v>
      </c>
      <c r="G4054" s="5" t="s">
        <v>27283</v>
      </c>
      <c r="H4054" s="6" t="s">
        <v>27284</v>
      </c>
      <c r="I4054" s="7" t="s">
        <v>27285</v>
      </c>
      <c r="J4054" s="8" t="str">
        <f>HYPERLINK("https://drive.google.com/file/d/1GYOa-vy0IpUQrPE6jbzLKa1ROAWa9vGN/view?usp=drivesdk","NUR KHOLIS, S.H. SERTIFIKAT BerAKHLAK")</f>
        <v>NUR KHOLIS, S.H. SERTIFIKAT BerAKHLAK</v>
      </c>
      <c r="K4054" s="5" t="s">
        <v>26460</v>
      </c>
      <c r="L4054" s="5" t="s">
        <v>27286</v>
      </c>
    </row>
    <row r="4055">
      <c r="A4055" s="4">
        <v>45534.349185983796</v>
      </c>
      <c r="B4055" s="5" t="s">
        <v>34</v>
      </c>
      <c r="D4055" s="5" t="s">
        <v>9020</v>
      </c>
      <c r="E4055" s="5" t="s">
        <v>27289</v>
      </c>
      <c r="F4055" s="5" t="s">
        <v>524</v>
      </c>
      <c r="G4055" s="5" t="s">
        <v>27290</v>
      </c>
      <c r="H4055" s="6" t="s">
        <v>27291</v>
      </c>
      <c r="K4055" s="5" t="s">
        <v>27292</v>
      </c>
    </row>
    <row r="4056">
      <c r="A4056" s="4">
        <v>45534.349190266206</v>
      </c>
      <c r="B4056" s="5" t="s">
        <v>34</v>
      </c>
      <c r="D4056" s="5" t="s">
        <v>1206</v>
      </c>
      <c r="E4056" s="5" t="s">
        <v>27296</v>
      </c>
      <c r="F4056" s="5" t="s">
        <v>212</v>
      </c>
      <c r="G4056" s="5" t="s">
        <v>27297</v>
      </c>
      <c r="H4056" s="6" t="s">
        <v>27298</v>
      </c>
      <c r="K4056" s="5" t="s">
        <v>27292</v>
      </c>
    </row>
    <row r="4057">
      <c r="A4057" s="4">
        <v>45534.349191608795</v>
      </c>
      <c r="B4057" s="5" t="s">
        <v>19</v>
      </c>
      <c r="C4057" s="5" t="s">
        <v>3301</v>
      </c>
      <c r="E4057" s="5" t="s">
        <v>27301</v>
      </c>
      <c r="F4057" s="5" t="s">
        <v>108</v>
      </c>
      <c r="G4057" s="5" t="s">
        <v>27302</v>
      </c>
      <c r="H4057" s="6" t="s">
        <v>27303</v>
      </c>
      <c r="K4057" s="5" t="s">
        <v>27292</v>
      </c>
    </row>
    <row r="4058">
      <c r="A4058" s="4">
        <v>45534.34919313657</v>
      </c>
      <c r="B4058" s="5" t="s">
        <v>34</v>
      </c>
      <c r="D4058" s="5" t="s">
        <v>4775</v>
      </c>
      <c r="E4058" s="5" t="s">
        <v>27306</v>
      </c>
      <c r="F4058" s="5" t="s">
        <v>72</v>
      </c>
      <c r="G4058" s="5" t="s">
        <v>27307</v>
      </c>
      <c r="H4058" s="6" t="s">
        <v>27308</v>
      </c>
      <c r="K4058" s="5" t="s">
        <v>27292</v>
      </c>
    </row>
    <row r="4059">
      <c r="A4059" s="4">
        <v>45534.34919606481</v>
      </c>
      <c r="B4059" s="5" t="s">
        <v>34</v>
      </c>
      <c r="D4059" s="5" t="s">
        <v>1558</v>
      </c>
      <c r="E4059" s="5" t="s">
        <v>27311</v>
      </c>
      <c r="F4059" s="5" t="s">
        <v>120</v>
      </c>
      <c r="G4059" s="5" t="s">
        <v>27312</v>
      </c>
      <c r="H4059" s="6" t="s">
        <v>27313</v>
      </c>
      <c r="K4059" s="5" t="s">
        <v>27292</v>
      </c>
    </row>
    <row r="4060">
      <c r="A4060" s="4">
        <v>45534.349197187505</v>
      </c>
      <c r="B4060" s="5" t="s">
        <v>34</v>
      </c>
      <c r="D4060" s="5" t="s">
        <v>9020</v>
      </c>
      <c r="E4060" s="5" t="s">
        <v>27316</v>
      </c>
      <c r="F4060" s="5" t="s">
        <v>212</v>
      </c>
      <c r="G4060" s="5" t="s">
        <v>27317</v>
      </c>
      <c r="H4060" s="6" t="s">
        <v>27318</v>
      </c>
      <c r="K4060" s="5" t="s">
        <v>27292</v>
      </c>
    </row>
    <row r="4061">
      <c r="A4061" s="4">
        <v>45534.349204375</v>
      </c>
      <c r="B4061" s="5" t="s">
        <v>34</v>
      </c>
      <c r="D4061" s="5" t="s">
        <v>701</v>
      </c>
      <c r="E4061" s="5" t="s">
        <v>27322</v>
      </c>
      <c r="F4061" s="5" t="s">
        <v>524</v>
      </c>
      <c r="G4061" s="5" t="s">
        <v>27323</v>
      </c>
      <c r="H4061" s="6" t="s">
        <v>27324</v>
      </c>
      <c r="I4061" s="7" t="s">
        <v>27325</v>
      </c>
      <c r="J4061" s="8" t="str">
        <f>HYPERLINK("https://drive.google.com/file/d/1_b8dA02crIc2VkmSWB1AyCH7svWpgcT-/view?usp=drivesdk","RATIH DESVITASARI SERTIFIKAT BerAKHLAK")</f>
        <v>RATIH DESVITASARI SERTIFIKAT BerAKHLAK</v>
      </c>
      <c r="K4061" s="5" t="s">
        <v>26460</v>
      </c>
      <c r="L4061" s="5" t="s">
        <v>27326</v>
      </c>
    </row>
    <row r="4062">
      <c r="A4062" s="4">
        <v>45534.34921212963</v>
      </c>
      <c r="B4062" s="5" t="s">
        <v>34</v>
      </c>
      <c r="D4062" s="5" t="s">
        <v>35</v>
      </c>
      <c r="E4062" s="5" t="s">
        <v>27329</v>
      </c>
      <c r="F4062" s="5" t="s">
        <v>212</v>
      </c>
      <c r="G4062" s="5" t="s">
        <v>27330</v>
      </c>
      <c r="H4062" s="6" t="s">
        <v>27331</v>
      </c>
      <c r="K4062" s="5" t="s">
        <v>27332</v>
      </c>
    </row>
    <row r="4063">
      <c r="A4063" s="4">
        <v>45534.34921770833</v>
      </c>
      <c r="B4063" s="5" t="s">
        <v>34</v>
      </c>
      <c r="D4063" s="5" t="s">
        <v>4775</v>
      </c>
      <c r="E4063" s="5" t="s">
        <v>27335</v>
      </c>
      <c r="F4063" s="5" t="s">
        <v>212</v>
      </c>
      <c r="G4063" s="5" t="s">
        <v>27336</v>
      </c>
      <c r="H4063" s="6" t="s">
        <v>27337</v>
      </c>
      <c r="K4063" s="5" t="s">
        <v>27332</v>
      </c>
    </row>
    <row r="4064">
      <c r="A4064" s="4">
        <v>45534.34922596064</v>
      </c>
      <c r="B4064" s="5" t="s">
        <v>34</v>
      </c>
      <c r="D4064" s="5" t="s">
        <v>1206</v>
      </c>
      <c r="E4064" s="5" t="s">
        <v>25786</v>
      </c>
      <c r="F4064" s="5" t="s">
        <v>37</v>
      </c>
      <c r="G4064" s="5" t="s">
        <v>27340</v>
      </c>
      <c r="H4064" s="6" t="s">
        <v>27341</v>
      </c>
      <c r="K4064" s="5" t="s">
        <v>27332</v>
      </c>
    </row>
    <row r="4065">
      <c r="A4065" s="4">
        <v>45534.349231851855</v>
      </c>
      <c r="B4065" s="5" t="s">
        <v>34</v>
      </c>
      <c r="D4065" s="5" t="s">
        <v>35</v>
      </c>
      <c r="E4065" s="5" t="s">
        <v>27345</v>
      </c>
      <c r="F4065" s="5" t="s">
        <v>212</v>
      </c>
      <c r="G4065" s="5" t="s">
        <v>27346</v>
      </c>
      <c r="H4065" s="6" t="s">
        <v>27347</v>
      </c>
      <c r="K4065" s="5" t="s">
        <v>27332</v>
      </c>
    </row>
    <row r="4066">
      <c r="A4066" s="4">
        <v>45534.34923717593</v>
      </c>
      <c r="B4066" s="5" t="s">
        <v>34</v>
      </c>
      <c r="D4066" s="5" t="s">
        <v>1206</v>
      </c>
      <c r="E4066" s="5" t="s">
        <v>17175</v>
      </c>
      <c r="F4066" s="5" t="s">
        <v>37</v>
      </c>
      <c r="G4066" s="5" t="s">
        <v>27350</v>
      </c>
      <c r="H4066" s="6" t="s">
        <v>27351</v>
      </c>
      <c r="K4066" s="5" t="s">
        <v>27332</v>
      </c>
    </row>
    <row r="4067">
      <c r="A4067" s="4">
        <v>45534.34923548611</v>
      </c>
      <c r="B4067" s="5" t="s">
        <v>34</v>
      </c>
      <c r="D4067" s="5" t="s">
        <v>1206</v>
      </c>
      <c r="E4067" s="5" t="s">
        <v>27354</v>
      </c>
      <c r="F4067" s="5" t="s">
        <v>375</v>
      </c>
      <c r="G4067" s="5" t="s">
        <v>27355</v>
      </c>
      <c r="H4067" s="6" t="s">
        <v>27356</v>
      </c>
      <c r="K4067" s="5" t="s">
        <v>27332</v>
      </c>
    </row>
    <row r="4068">
      <c r="A4068" s="4">
        <v>45534.34924538195</v>
      </c>
      <c r="B4068" s="5" t="s">
        <v>34</v>
      </c>
      <c r="D4068" s="5" t="s">
        <v>1206</v>
      </c>
      <c r="E4068" s="5" t="s">
        <v>27359</v>
      </c>
      <c r="F4068" s="5" t="s">
        <v>37</v>
      </c>
      <c r="G4068" s="5" t="s">
        <v>27360</v>
      </c>
      <c r="H4068" s="6" t="s">
        <v>27361</v>
      </c>
      <c r="K4068" s="5" t="s">
        <v>27332</v>
      </c>
    </row>
    <row r="4069">
      <c r="A4069" s="4">
        <v>45534.34925204861</v>
      </c>
      <c r="B4069" s="5" t="s">
        <v>34</v>
      </c>
      <c r="D4069" s="5" t="s">
        <v>1206</v>
      </c>
      <c r="E4069" s="5" t="s">
        <v>27364</v>
      </c>
      <c r="F4069" s="5" t="s">
        <v>72</v>
      </c>
      <c r="G4069" s="5" t="s">
        <v>27365</v>
      </c>
      <c r="H4069" s="6" t="s">
        <v>27366</v>
      </c>
      <c r="K4069" s="5" t="s">
        <v>27332</v>
      </c>
    </row>
    <row r="4070">
      <c r="A4070" s="4">
        <v>45534.34925298611</v>
      </c>
      <c r="B4070" s="5" t="s">
        <v>34</v>
      </c>
      <c r="D4070" s="5" t="s">
        <v>1206</v>
      </c>
      <c r="E4070" s="5" t="s">
        <v>27370</v>
      </c>
      <c r="F4070" s="5" t="s">
        <v>212</v>
      </c>
      <c r="G4070" s="5" t="s">
        <v>27371</v>
      </c>
      <c r="H4070" s="6" t="s">
        <v>27372</v>
      </c>
      <c r="K4070" s="5" t="s">
        <v>27332</v>
      </c>
    </row>
    <row r="4071">
      <c r="A4071" s="4">
        <v>45534.34926307871</v>
      </c>
      <c r="B4071" s="5" t="s">
        <v>34</v>
      </c>
      <c r="D4071" s="5" t="s">
        <v>9020</v>
      </c>
      <c r="E4071" s="5" t="s">
        <v>27375</v>
      </c>
      <c r="F4071" s="5" t="s">
        <v>524</v>
      </c>
      <c r="G4071" s="5" t="s">
        <v>27376</v>
      </c>
      <c r="H4071" s="6" t="s">
        <v>27377</v>
      </c>
      <c r="K4071" s="5" t="s">
        <v>27332</v>
      </c>
    </row>
    <row r="4072">
      <c r="A4072" s="4">
        <v>45534.34927128472</v>
      </c>
      <c r="B4072" s="5" t="s">
        <v>34</v>
      </c>
      <c r="D4072" s="5" t="s">
        <v>1206</v>
      </c>
      <c r="E4072" s="5" t="s">
        <v>27380</v>
      </c>
      <c r="F4072" s="5" t="s">
        <v>524</v>
      </c>
      <c r="G4072" s="5" t="s">
        <v>27381</v>
      </c>
      <c r="H4072" s="6" t="s">
        <v>27382</v>
      </c>
      <c r="K4072" s="5" t="s">
        <v>27332</v>
      </c>
    </row>
    <row r="4073">
      <c r="A4073" s="4">
        <v>45534.349271643514</v>
      </c>
      <c r="B4073" s="5" t="s">
        <v>34</v>
      </c>
      <c r="D4073" s="5" t="s">
        <v>9020</v>
      </c>
      <c r="E4073" s="5" t="s">
        <v>27385</v>
      </c>
      <c r="F4073" s="5" t="s">
        <v>375</v>
      </c>
      <c r="G4073" s="5" t="s">
        <v>27386</v>
      </c>
      <c r="H4073" s="6" t="s">
        <v>27387</v>
      </c>
      <c r="K4073" s="5" t="s">
        <v>27332</v>
      </c>
    </row>
    <row r="4074">
      <c r="A4074" s="4">
        <v>45534.34927450231</v>
      </c>
      <c r="B4074" s="5" t="s">
        <v>34</v>
      </c>
      <c r="D4074" s="5" t="s">
        <v>12978</v>
      </c>
      <c r="E4074" s="5" t="s">
        <v>27391</v>
      </c>
      <c r="F4074" s="5" t="s">
        <v>108</v>
      </c>
      <c r="G4074" s="5" t="s">
        <v>27392</v>
      </c>
      <c r="H4074" s="6" t="s">
        <v>27393</v>
      </c>
      <c r="K4074" s="5" t="s">
        <v>27332</v>
      </c>
    </row>
    <row r="4075">
      <c r="A4075" s="4">
        <v>45534.34927876157</v>
      </c>
      <c r="B4075" s="5" t="s">
        <v>34</v>
      </c>
      <c r="D4075" s="5" t="s">
        <v>1692</v>
      </c>
      <c r="E4075" s="5" t="s">
        <v>27396</v>
      </c>
      <c r="F4075" s="5" t="s">
        <v>212</v>
      </c>
      <c r="G4075" s="5" t="s">
        <v>27397</v>
      </c>
      <c r="H4075" s="6" t="s">
        <v>27398</v>
      </c>
      <c r="K4075" s="5" t="s">
        <v>27332</v>
      </c>
    </row>
    <row r="4076">
      <c r="A4076" s="4">
        <v>45534.3492815162</v>
      </c>
      <c r="B4076" s="5" t="s">
        <v>34</v>
      </c>
      <c r="D4076" s="5" t="s">
        <v>9394</v>
      </c>
      <c r="E4076" s="5" t="s">
        <v>27401</v>
      </c>
      <c r="F4076" s="5" t="s">
        <v>37</v>
      </c>
      <c r="G4076" s="5" t="s">
        <v>27402</v>
      </c>
      <c r="H4076" s="6" t="s">
        <v>27403</v>
      </c>
      <c r="K4076" s="5" t="s">
        <v>27332</v>
      </c>
    </row>
    <row r="4077">
      <c r="A4077" s="4">
        <v>45534.34928368055</v>
      </c>
      <c r="B4077" s="5" t="s">
        <v>19</v>
      </c>
      <c r="C4077" s="5" t="s">
        <v>14000</v>
      </c>
      <c r="E4077" s="5" t="s">
        <v>27406</v>
      </c>
      <c r="F4077" s="5" t="s">
        <v>212</v>
      </c>
      <c r="G4077" s="5" t="s">
        <v>27407</v>
      </c>
      <c r="H4077" s="6" t="s">
        <v>27408</v>
      </c>
      <c r="K4077" s="5" t="s">
        <v>27332</v>
      </c>
    </row>
    <row r="4078">
      <c r="A4078" s="4">
        <v>45534.349285185184</v>
      </c>
      <c r="B4078" s="5" t="s">
        <v>34</v>
      </c>
      <c r="D4078" s="5" t="s">
        <v>35</v>
      </c>
      <c r="E4078" s="5" t="s">
        <v>27411</v>
      </c>
      <c r="F4078" s="5" t="s">
        <v>524</v>
      </c>
      <c r="G4078" s="5" t="s">
        <v>27412</v>
      </c>
      <c r="H4078" s="6" t="s">
        <v>27413</v>
      </c>
      <c r="K4078" s="5" t="s">
        <v>27332</v>
      </c>
    </row>
    <row r="4079">
      <c r="A4079" s="4">
        <v>45534.34928596065</v>
      </c>
      <c r="B4079" s="5" t="s">
        <v>34</v>
      </c>
      <c r="D4079" s="5" t="s">
        <v>1206</v>
      </c>
      <c r="E4079" s="5" t="s">
        <v>27417</v>
      </c>
      <c r="F4079" s="5" t="s">
        <v>108</v>
      </c>
      <c r="G4079" s="5" t="s">
        <v>27418</v>
      </c>
      <c r="H4079" s="6" t="s">
        <v>27419</v>
      </c>
      <c r="K4079" s="5" t="s">
        <v>27332</v>
      </c>
    </row>
    <row r="4080">
      <c r="A4080" s="4">
        <v>45534.34928987268</v>
      </c>
      <c r="B4080" s="5" t="s">
        <v>34</v>
      </c>
      <c r="D4080" s="5" t="s">
        <v>9020</v>
      </c>
      <c r="E4080" s="5" t="s">
        <v>27422</v>
      </c>
      <c r="F4080" s="5" t="s">
        <v>212</v>
      </c>
      <c r="G4080" s="5" t="s">
        <v>27423</v>
      </c>
      <c r="H4080" s="6" t="s">
        <v>27424</v>
      </c>
      <c r="K4080" s="5" t="s">
        <v>27332</v>
      </c>
    </row>
    <row r="4081">
      <c r="A4081" s="4">
        <v>45534.34930457176</v>
      </c>
      <c r="B4081" s="5" t="s">
        <v>34</v>
      </c>
      <c r="D4081" s="5" t="s">
        <v>522</v>
      </c>
      <c r="E4081" s="5" t="s">
        <v>27427</v>
      </c>
      <c r="F4081" s="5" t="s">
        <v>212</v>
      </c>
      <c r="G4081" s="5" t="s">
        <v>27428</v>
      </c>
      <c r="H4081" s="6" t="s">
        <v>27429</v>
      </c>
      <c r="K4081" s="5" t="s">
        <v>27332</v>
      </c>
    </row>
    <row r="4082">
      <c r="A4082" s="4">
        <v>45534.34931497685</v>
      </c>
      <c r="B4082" s="5" t="s">
        <v>34</v>
      </c>
      <c r="D4082" s="5" t="s">
        <v>9394</v>
      </c>
      <c r="E4082" s="5" t="s">
        <v>27432</v>
      </c>
      <c r="F4082" s="5" t="s">
        <v>72</v>
      </c>
      <c r="G4082" s="5" t="s">
        <v>27433</v>
      </c>
      <c r="H4082" s="6" t="s">
        <v>27434</v>
      </c>
      <c r="K4082" s="5" t="s">
        <v>27332</v>
      </c>
    </row>
    <row r="4083">
      <c r="A4083" s="4">
        <v>45534.349325462965</v>
      </c>
      <c r="B4083" s="5" t="s">
        <v>19</v>
      </c>
      <c r="C4083" s="5" t="s">
        <v>292</v>
      </c>
      <c r="E4083" s="5" t="s">
        <v>27437</v>
      </c>
      <c r="F4083" s="5" t="s">
        <v>524</v>
      </c>
      <c r="G4083" s="5" t="s">
        <v>27438</v>
      </c>
      <c r="H4083" s="6" t="s">
        <v>27439</v>
      </c>
      <c r="K4083" s="5" t="s">
        <v>27440</v>
      </c>
    </row>
    <row r="4084">
      <c r="A4084" s="4">
        <v>45534.34932809028</v>
      </c>
      <c r="B4084" s="5" t="s">
        <v>34</v>
      </c>
      <c r="D4084" s="5" t="s">
        <v>580</v>
      </c>
      <c r="E4084" s="5" t="s">
        <v>27444</v>
      </c>
      <c r="F4084" s="5" t="s">
        <v>108</v>
      </c>
      <c r="G4084" s="5" t="s">
        <v>27445</v>
      </c>
      <c r="H4084" s="6" t="s">
        <v>27446</v>
      </c>
      <c r="K4084" s="5" t="s">
        <v>27440</v>
      </c>
    </row>
    <row r="4085">
      <c r="A4085" s="4">
        <v>45534.349329212964</v>
      </c>
      <c r="B4085" s="5" t="s">
        <v>34</v>
      </c>
      <c r="D4085" s="5" t="s">
        <v>280</v>
      </c>
      <c r="E4085" s="5" t="s">
        <v>27449</v>
      </c>
      <c r="F4085" s="5" t="s">
        <v>212</v>
      </c>
      <c r="G4085" s="5" t="s">
        <v>27450</v>
      </c>
      <c r="H4085" s="6" t="s">
        <v>27451</v>
      </c>
      <c r="K4085" s="5" t="s">
        <v>27440</v>
      </c>
    </row>
    <row r="4086">
      <c r="A4086" s="4">
        <v>45534.34933211806</v>
      </c>
      <c r="B4086" s="5" t="s">
        <v>34</v>
      </c>
      <c r="D4086" s="5" t="s">
        <v>7858</v>
      </c>
      <c r="E4086" s="5" t="s">
        <v>27454</v>
      </c>
      <c r="F4086" s="5" t="s">
        <v>524</v>
      </c>
      <c r="G4086" s="5" t="s">
        <v>27455</v>
      </c>
      <c r="H4086" s="6" t="s">
        <v>27456</v>
      </c>
      <c r="K4086" s="5" t="s">
        <v>27440</v>
      </c>
    </row>
    <row r="4087">
      <c r="A4087" s="4">
        <v>45534.349341319445</v>
      </c>
      <c r="B4087" s="5" t="s">
        <v>19</v>
      </c>
      <c r="C4087" s="5" t="s">
        <v>466</v>
      </c>
      <c r="E4087" s="5" t="s">
        <v>27459</v>
      </c>
      <c r="F4087" s="5" t="s">
        <v>108</v>
      </c>
      <c r="G4087" s="5" t="s">
        <v>27460</v>
      </c>
      <c r="H4087" s="6" t="s">
        <v>27461</v>
      </c>
      <c r="K4087" s="5" t="s">
        <v>27440</v>
      </c>
    </row>
    <row r="4088">
      <c r="A4088" s="4">
        <v>45534.349341493056</v>
      </c>
      <c r="B4088" s="5" t="s">
        <v>19</v>
      </c>
      <c r="C4088" s="5" t="s">
        <v>5058</v>
      </c>
      <c r="E4088" s="5" t="s">
        <v>27465</v>
      </c>
      <c r="F4088" s="5" t="s">
        <v>108</v>
      </c>
      <c r="G4088" s="5" t="s">
        <v>27466</v>
      </c>
      <c r="H4088" s="6" t="s">
        <v>27467</v>
      </c>
      <c r="K4088" s="5" t="s">
        <v>27440</v>
      </c>
    </row>
    <row r="4089">
      <c r="A4089" s="4">
        <v>45534.34936586805</v>
      </c>
      <c r="B4089" s="5" t="s">
        <v>34</v>
      </c>
      <c r="D4089" s="5" t="s">
        <v>4775</v>
      </c>
      <c r="E4089" s="5" t="s">
        <v>27470</v>
      </c>
      <c r="F4089" s="5" t="s">
        <v>37</v>
      </c>
      <c r="G4089" s="5" t="s">
        <v>27471</v>
      </c>
      <c r="H4089" s="6" t="s">
        <v>27472</v>
      </c>
      <c r="K4089" s="5" t="s">
        <v>27440</v>
      </c>
    </row>
    <row r="4090">
      <c r="A4090" s="4">
        <v>45534.34937988426</v>
      </c>
      <c r="B4090" s="5" t="s">
        <v>34</v>
      </c>
      <c r="D4090" s="5" t="s">
        <v>4775</v>
      </c>
      <c r="E4090" s="5" t="s">
        <v>27475</v>
      </c>
      <c r="F4090" s="5" t="s">
        <v>37</v>
      </c>
      <c r="G4090" s="5" t="s">
        <v>27476</v>
      </c>
      <c r="H4090" s="6" t="s">
        <v>27477</v>
      </c>
      <c r="K4090" s="5" t="s">
        <v>27440</v>
      </c>
    </row>
    <row r="4091">
      <c r="A4091" s="4">
        <v>45534.34938373843</v>
      </c>
      <c r="B4091" s="5" t="s">
        <v>34</v>
      </c>
      <c r="D4091" s="5" t="s">
        <v>267</v>
      </c>
      <c r="E4091" s="5" t="s">
        <v>27480</v>
      </c>
      <c r="F4091" s="5" t="s">
        <v>375</v>
      </c>
      <c r="G4091" s="5" t="s">
        <v>27481</v>
      </c>
      <c r="H4091" s="6" t="s">
        <v>27482</v>
      </c>
      <c r="K4091" s="5" t="s">
        <v>27440</v>
      </c>
    </row>
    <row r="4092">
      <c r="A4092" s="4">
        <v>45534.34938721065</v>
      </c>
      <c r="B4092" s="5" t="s">
        <v>34</v>
      </c>
      <c r="D4092" s="5" t="s">
        <v>580</v>
      </c>
      <c r="E4092" s="5" t="s">
        <v>27485</v>
      </c>
      <c r="F4092" s="5" t="s">
        <v>72</v>
      </c>
      <c r="G4092" s="5" t="s">
        <v>27486</v>
      </c>
      <c r="H4092" s="6" t="s">
        <v>27487</v>
      </c>
      <c r="K4092" s="5" t="s">
        <v>27440</v>
      </c>
    </row>
    <row r="4093">
      <c r="A4093" s="4">
        <v>45534.34939206019</v>
      </c>
      <c r="B4093" s="5" t="s">
        <v>34</v>
      </c>
      <c r="D4093" s="5" t="s">
        <v>996</v>
      </c>
      <c r="E4093" s="5" t="s">
        <v>27491</v>
      </c>
      <c r="F4093" s="5" t="s">
        <v>72</v>
      </c>
      <c r="G4093" s="5" t="s">
        <v>27492</v>
      </c>
      <c r="H4093" s="6" t="s">
        <v>27493</v>
      </c>
      <c r="K4093" s="5" t="s">
        <v>27440</v>
      </c>
    </row>
    <row r="4094">
      <c r="A4094" s="4">
        <v>45534.34939780092</v>
      </c>
      <c r="B4094" s="5" t="s">
        <v>34</v>
      </c>
      <c r="D4094" s="5" t="s">
        <v>1206</v>
      </c>
      <c r="E4094" s="5" t="s">
        <v>27496</v>
      </c>
      <c r="F4094" s="5" t="s">
        <v>328</v>
      </c>
      <c r="G4094" s="5" t="s">
        <v>27497</v>
      </c>
      <c r="H4094" s="6" t="s">
        <v>27498</v>
      </c>
      <c r="K4094" s="5" t="s">
        <v>27499</v>
      </c>
    </row>
    <row r="4095">
      <c r="A4095" s="4">
        <v>45534.34942230324</v>
      </c>
      <c r="B4095" s="5" t="s">
        <v>34</v>
      </c>
      <c r="D4095" s="5" t="s">
        <v>9394</v>
      </c>
      <c r="E4095" s="5" t="s">
        <v>27502</v>
      </c>
      <c r="F4095" s="5" t="s">
        <v>524</v>
      </c>
      <c r="G4095" s="5" t="s">
        <v>27503</v>
      </c>
      <c r="H4095" s="6" t="s">
        <v>27504</v>
      </c>
      <c r="K4095" s="5" t="s">
        <v>27499</v>
      </c>
    </row>
    <row r="4096">
      <c r="A4096" s="4">
        <v>45534.349426388886</v>
      </c>
      <c r="B4096" s="5" t="s">
        <v>34</v>
      </c>
      <c r="D4096" s="5" t="s">
        <v>1768</v>
      </c>
      <c r="E4096" s="5" t="s">
        <v>27507</v>
      </c>
      <c r="F4096" s="5" t="s">
        <v>375</v>
      </c>
      <c r="G4096" s="5" t="s">
        <v>27508</v>
      </c>
      <c r="H4096" s="6" t="s">
        <v>27509</v>
      </c>
      <c r="K4096" s="5" t="s">
        <v>27499</v>
      </c>
    </row>
    <row r="4097">
      <c r="A4097" s="4">
        <v>45534.34943159722</v>
      </c>
      <c r="B4097" s="5" t="s">
        <v>34</v>
      </c>
      <c r="D4097" s="5" t="s">
        <v>1206</v>
      </c>
      <c r="E4097" s="5" t="s">
        <v>27513</v>
      </c>
      <c r="F4097" s="5" t="s">
        <v>108</v>
      </c>
      <c r="G4097" s="5" t="s">
        <v>27514</v>
      </c>
      <c r="H4097" s="6" t="s">
        <v>27515</v>
      </c>
      <c r="K4097" s="5" t="s">
        <v>27499</v>
      </c>
    </row>
    <row r="4098">
      <c r="A4098" s="4">
        <v>45534.34944708333</v>
      </c>
      <c r="B4098" s="5" t="s">
        <v>34</v>
      </c>
      <c r="D4098" s="5" t="s">
        <v>1768</v>
      </c>
      <c r="E4098" s="5" t="s">
        <v>27518</v>
      </c>
      <c r="F4098" s="5" t="s">
        <v>524</v>
      </c>
      <c r="G4098" s="5" t="s">
        <v>27519</v>
      </c>
      <c r="H4098" s="6" t="s">
        <v>27520</v>
      </c>
      <c r="K4098" s="5" t="s">
        <v>27499</v>
      </c>
    </row>
    <row r="4099">
      <c r="A4099" s="4">
        <v>45534.349459282406</v>
      </c>
      <c r="B4099" s="5" t="s">
        <v>34</v>
      </c>
      <c r="D4099" s="5" t="s">
        <v>12978</v>
      </c>
      <c r="E4099" s="5" t="s">
        <v>27523</v>
      </c>
      <c r="F4099" s="5" t="s">
        <v>120</v>
      </c>
      <c r="G4099" s="5" t="s">
        <v>27524</v>
      </c>
      <c r="H4099" s="6" t="s">
        <v>27525</v>
      </c>
      <c r="K4099" s="5" t="s">
        <v>27499</v>
      </c>
    </row>
    <row r="4100">
      <c r="A4100" s="4">
        <v>45534.34947908565</v>
      </c>
      <c r="B4100" s="5" t="s">
        <v>34</v>
      </c>
      <c r="D4100" s="5" t="s">
        <v>4775</v>
      </c>
      <c r="E4100" s="5" t="s">
        <v>27528</v>
      </c>
      <c r="F4100" s="5" t="s">
        <v>212</v>
      </c>
      <c r="G4100" s="5" t="s">
        <v>27529</v>
      </c>
      <c r="H4100" s="6" t="s">
        <v>27530</v>
      </c>
      <c r="K4100" s="5" t="s">
        <v>26475</v>
      </c>
    </row>
    <row r="4101">
      <c r="A4101" s="4">
        <v>45534.3494858912</v>
      </c>
      <c r="B4101" s="5" t="s">
        <v>34</v>
      </c>
      <c r="D4101" s="5" t="s">
        <v>1206</v>
      </c>
      <c r="E4101" s="5" t="s">
        <v>27533</v>
      </c>
      <c r="F4101" s="5" t="s">
        <v>212</v>
      </c>
      <c r="G4101" s="5" t="s">
        <v>27534</v>
      </c>
      <c r="H4101" s="6" t="s">
        <v>27535</v>
      </c>
      <c r="K4101" s="5" t="s">
        <v>26475</v>
      </c>
    </row>
    <row r="4102">
      <c r="A4102" s="4">
        <v>45534.349504791666</v>
      </c>
      <c r="B4102" s="5" t="s">
        <v>34</v>
      </c>
      <c r="D4102" s="5" t="s">
        <v>9020</v>
      </c>
      <c r="E4102" s="5" t="s">
        <v>27539</v>
      </c>
      <c r="F4102" s="5" t="s">
        <v>212</v>
      </c>
      <c r="G4102" s="5" t="s">
        <v>27540</v>
      </c>
      <c r="H4102" s="6" t="s">
        <v>27541</v>
      </c>
      <c r="K4102" s="5" t="s">
        <v>26475</v>
      </c>
    </row>
    <row r="4103">
      <c r="A4103" s="4">
        <v>45534.34950673611</v>
      </c>
      <c r="B4103" s="5" t="s">
        <v>34</v>
      </c>
      <c r="D4103" s="5" t="s">
        <v>4775</v>
      </c>
      <c r="E4103" s="5" t="s">
        <v>27544</v>
      </c>
      <c r="F4103" s="5" t="s">
        <v>375</v>
      </c>
      <c r="G4103" s="5" t="s">
        <v>27545</v>
      </c>
      <c r="H4103" s="6" t="s">
        <v>27546</v>
      </c>
      <c r="K4103" s="5" t="s">
        <v>26475</v>
      </c>
    </row>
    <row r="4104">
      <c r="A4104" s="4">
        <v>45534.349507430554</v>
      </c>
      <c r="B4104" s="5" t="s">
        <v>34</v>
      </c>
      <c r="D4104" s="5" t="s">
        <v>1206</v>
      </c>
      <c r="E4104" s="5" t="s">
        <v>20883</v>
      </c>
      <c r="F4104" s="5" t="s">
        <v>199</v>
      </c>
      <c r="G4104" s="5" t="s">
        <v>27549</v>
      </c>
      <c r="H4104" s="6" t="s">
        <v>27550</v>
      </c>
      <c r="K4104" s="5" t="s">
        <v>26475</v>
      </c>
    </row>
    <row r="4105">
      <c r="A4105" s="4">
        <v>45534.34950783565</v>
      </c>
      <c r="B4105" s="5" t="s">
        <v>34</v>
      </c>
      <c r="D4105" s="5" t="s">
        <v>1206</v>
      </c>
      <c r="E4105" s="5" t="s">
        <v>27553</v>
      </c>
      <c r="F4105" s="5" t="s">
        <v>375</v>
      </c>
      <c r="G4105" s="5" t="s">
        <v>27554</v>
      </c>
      <c r="H4105" s="6" t="s">
        <v>27555</v>
      </c>
      <c r="K4105" s="5" t="s">
        <v>27556</v>
      </c>
    </row>
    <row r="4106">
      <c r="A4106" s="4">
        <v>45534.349507858795</v>
      </c>
      <c r="B4106" s="5" t="s">
        <v>34</v>
      </c>
      <c r="D4106" s="5" t="s">
        <v>10444</v>
      </c>
      <c r="E4106" s="5" t="s">
        <v>27559</v>
      </c>
      <c r="F4106" s="5" t="s">
        <v>72</v>
      </c>
      <c r="G4106" s="5" t="s">
        <v>27560</v>
      </c>
      <c r="H4106" s="6" t="s">
        <v>27561</v>
      </c>
      <c r="K4106" s="5" t="s">
        <v>27556</v>
      </c>
    </row>
    <row r="4107">
      <c r="A4107" s="4">
        <v>45534.349513946756</v>
      </c>
      <c r="B4107" s="5" t="s">
        <v>34</v>
      </c>
      <c r="D4107" s="5" t="s">
        <v>9020</v>
      </c>
      <c r="E4107" s="5" t="s">
        <v>27565</v>
      </c>
      <c r="F4107" s="5" t="s">
        <v>212</v>
      </c>
      <c r="G4107" s="5" t="s">
        <v>27566</v>
      </c>
      <c r="H4107" s="6" t="s">
        <v>27567</v>
      </c>
      <c r="K4107" s="5" t="s">
        <v>27556</v>
      </c>
    </row>
    <row r="4108">
      <c r="A4108" s="4">
        <v>45534.34952503472</v>
      </c>
      <c r="B4108" s="5" t="s">
        <v>34</v>
      </c>
      <c r="D4108" s="5" t="s">
        <v>35</v>
      </c>
      <c r="E4108" s="5" t="s">
        <v>27570</v>
      </c>
      <c r="F4108" s="5" t="s">
        <v>37</v>
      </c>
      <c r="G4108" s="5" t="s">
        <v>27571</v>
      </c>
      <c r="H4108" s="6" t="s">
        <v>27572</v>
      </c>
      <c r="K4108" s="5" t="s">
        <v>27556</v>
      </c>
    </row>
    <row r="4109">
      <c r="A4109" s="4">
        <v>45534.349550555555</v>
      </c>
      <c r="B4109" s="5" t="s">
        <v>34</v>
      </c>
      <c r="D4109" s="5" t="s">
        <v>1456</v>
      </c>
      <c r="E4109" s="5" t="s">
        <v>27575</v>
      </c>
      <c r="F4109" s="5" t="s">
        <v>37</v>
      </c>
      <c r="G4109" s="5" t="s">
        <v>27576</v>
      </c>
      <c r="H4109" s="6" t="s">
        <v>27577</v>
      </c>
      <c r="K4109" s="5" t="s">
        <v>27556</v>
      </c>
    </row>
    <row r="4110">
      <c r="A4110" s="4">
        <v>45534.349554942135</v>
      </c>
      <c r="B4110" s="5" t="s">
        <v>19</v>
      </c>
      <c r="C4110" s="5" t="s">
        <v>3471</v>
      </c>
      <c r="E4110" s="5" t="s">
        <v>27580</v>
      </c>
      <c r="F4110" s="5" t="s">
        <v>199</v>
      </c>
      <c r="G4110" s="5" t="s">
        <v>27581</v>
      </c>
      <c r="H4110" s="6" t="s">
        <v>27582</v>
      </c>
      <c r="K4110" s="5" t="s">
        <v>27583</v>
      </c>
    </row>
    <row r="4111">
      <c r="A4111" s="4">
        <v>45534.34956074074</v>
      </c>
      <c r="B4111" s="5" t="s">
        <v>34</v>
      </c>
      <c r="D4111" s="5" t="s">
        <v>9020</v>
      </c>
      <c r="E4111" s="5" t="s">
        <v>27586</v>
      </c>
      <c r="F4111" s="5" t="s">
        <v>72</v>
      </c>
      <c r="G4111" s="5" t="s">
        <v>27587</v>
      </c>
      <c r="H4111" s="6" t="s">
        <v>27588</v>
      </c>
      <c r="K4111" s="5" t="s">
        <v>27583</v>
      </c>
    </row>
    <row r="4112">
      <c r="A4112" s="4">
        <v>45534.349571597224</v>
      </c>
      <c r="B4112" s="5" t="s">
        <v>34</v>
      </c>
      <c r="D4112" s="5" t="s">
        <v>1206</v>
      </c>
      <c r="E4112" s="5" t="s">
        <v>27592</v>
      </c>
      <c r="F4112" s="5" t="s">
        <v>37</v>
      </c>
      <c r="G4112" s="5" t="s">
        <v>27593</v>
      </c>
      <c r="H4112" s="6" t="s">
        <v>27594</v>
      </c>
      <c r="K4112" s="5" t="s">
        <v>27583</v>
      </c>
    </row>
    <row r="4113">
      <c r="A4113" s="4">
        <v>45534.34957258102</v>
      </c>
      <c r="B4113" s="5" t="s">
        <v>34</v>
      </c>
      <c r="D4113" s="5" t="s">
        <v>522</v>
      </c>
      <c r="E4113" s="5" t="s">
        <v>27597</v>
      </c>
      <c r="F4113" s="5" t="s">
        <v>212</v>
      </c>
      <c r="G4113" s="5" t="s">
        <v>27598</v>
      </c>
      <c r="H4113" s="6" t="s">
        <v>27599</v>
      </c>
      <c r="K4113" s="5" t="s">
        <v>27583</v>
      </c>
    </row>
    <row r="4114">
      <c r="A4114" s="4">
        <v>45534.349580243055</v>
      </c>
      <c r="B4114" s="5" t="s">
        <v>34</v>
      </c>
      <c r="D4114" s="5" t="s">
        <v>7858</v>
      </c>
      <c r="E4114" s="5" t="s">
        <v>27602</v>
      </c>
      <c r="F4114" s="5" t="s">
        <v>524</v>
      </c>
      <c r="G4114" s="5" t="s">
        <v>27603</v>
      </c>
      <c r="H4114" s="6" t="s">
        <v>27604</v>
      </c>
      <c r="K4114" s="5" t="s">
        <v>27583</v>
      </c>
    </row>
    <row r="4115">
      <c r="A4115" s="4">
        <v>45534.34959008102</v>
      </c>
      <c r="B4115" s="5" t="s">
        <v>34</v>
      </c>
      <c r="D4115" s="5" t="s">
        <v>1206</v>
      </c>
      <c r="E4115" s="5" t="s">
        <v>27607</v>
      </c>
      <c r="F4115" s="5" t="s">
        <v>212</v>
      </c>
      <c r="G4115" s="5" t="s">
        <v>27608</v>
      </c>
      <c r="H4115" s="6" t="s">
        <v>27609</v>
      </c>
      <c r="K4115" s="5" t="s">
        <v>27583</v>
      </c>
    </row>
    <row r="4116">
      <c r="A4116" s="4">
        <v>45534.3495907176</v>
      </c>
      <c r="B4116" s="5" t="s">
        <v>34</v>
      </c>
      <c r="D4116" s="5" t="s">
        <v>9020</v>
      </c>
      <c r="E4116" s="5" t="s">
        <v>27613</v>
      </c>
      <c r="F4116" s="5" t="s">
        <v>524</v>
      </c>
      <c r="G4116" s="5" t="s">
        <v>27614</v>
      </c>
      <c r="H4116" s="6" t="s">
        <v>27615</v>
      </c>
      <c r="K4116" s="5" t="s">
        <v>27583</v>
      </c>
    </row>
    <row r="4117">
      <c r="A4117" s="4">
        <v>45534.34959574074</v>
      </c>
      <c r="B4117" s="5" t="s">
        <v>34</v>
      </c>
      <c r="D4117" s="5" t="s">
        <v>522</v>
      </c>
      <c r="E4117" s="5" t="s">
        <v>27618</v>
      </c>
      <c r="F4117" s="5" t="s">
        <v>108</v>
      </c>
      <c r="G4117" s="5" t="s">
        <v>27619</v>
      </c>
      <c r="H4117" s="6" t="s">
        <v>27620</v>
      </c>
      <c r="K4117" s="5" t="s">
        <v>27583</v>
      </c>
    </row>
    <row r="4118">
      <c r="A4118" s="4">
        <v>45534.34960107639</v>
      </c>
      <c r="B4118" s="5" t="s">
        <v>34</v>
      </c>
      <c r="D4118" s="5" t="s">
        <v>9020</v>
      </c>
      <c r="E4118" s="5" t="s">
        <v>27623</v>
      </c>
      <c r="F4118" s="5" t="s">
        <v>37</v>
      </c>
      <c r="G4118" s="5" t="s">
        <v>27624</v>
      </c>
      <c r="H4118" s="6" t="s">
        <v>27625</v>
      </c>
      <c r="K4118" s="5" t="s">
        <v>27583</v>
      </c>
    </row>
    <row r="4119">
      <c r="A4119" s="4">
        <v>45534.34960825232</v>
      </c>
      <c r="B4119" s="5" t="s">
        <v>34</v>
      </c>
      <c r="D4119" s="5" t="s">
        <v>4775</v>
      </c>
      <c r="E4119" s="5" t="s">
        <v>27628</v>
      </c>
      <c r="F4119" s="5" t="s">
        <v>524</v>
      </c>
      <c r="G4119" s="5" t="s">
        <v>27629</v>
      </c>
      <c r="H4119" s="6" t="s">
        <v>27630</v>
      </c>
      <c r="K4119" s="5" t="s">
        <v>27583</v>
      </c>
    </row>
    <row r="4120">
      <c r="A4120" s="4">
        <v>45534.349615266205</v>
      </c>
      <c r="B4120" s="5" t="s">
        <v>34</v>
      </c>
      <c r="D4120" s="5" t="s">
        <v>1206</v>
      </c>
      <c r="E4120" s="5" t="s">
        <v>27634</v>
      </c>
      <c r="F4120" s="5" t="s">
        <v>72</v>
      </c>
      <c r="G4120" s="5" t="s">
        <v>27635</v>
      </c>
      <c r="H4120" s="6" t="s">
        <v>27636</v>
      </c>
      <c r="K4120" s="5" t="s">
        <v>27583</v>
      </c>
    </row>
    <row r="4121">
      <c r="A4121" s="4">
        <v>45534.34961953704</v>
      </c>
      <c r="B4121" s="5" t="s">
        <v>34</v>
      </c>
      <c r="D4121" s="5" t="s">
        <v>996</v>
      </c>
      <c r="E4121" s="5" t="s">
        <v>27639</v>
      </c>
      <c r="F4121" s="5" t="s">
        <v>212</v>
      </c>
      <c r="G4121" s="5" t="s">
        <v>27640</v>
      </c>
      <c r="H4121" s="6" t="s">
        <v>27641</v>
      </c>
      <c r="K4121" s="5" t="s">
        <v>27583</v>
      </c>
    </row>
    <row r="4122">
      <c r="A4122" s="4">
        <v>45534.349620740744</v>
      </c>
      <c r="B4122" s="5" t="s">
        <v>34</v>
      </c>
      <c r="D4122" s="5" t="s">
        <v>2903</v>
      </c>
      <c r="E4122" s="5" t="s">
        <v>27644</v>
      </c>
      <c r="F4122" s="5" t="s">
        <v>37</v>
      </c>
      <c r="G4122" s="5" t="s">
        <v>27645</v>
      </c>
      <c r="H4122" s="6" t="s">
        <v>27646</v>
      </c>
      <c r="K4122" s="5" t="s">
        <v>27583</v>
      </c>
    </row>
    <row r="4123">
      <c r="A4123" s="4">
        <v>45534.34962443287</v>
      </c>
      <c r="B4123" s="5" t="s">
        <v>34</v>
      </c>
      <c r="D4123" s="5" t="s">
        <v>12978</v>
      </c>
      <c r="E4123" s="5" t="s">
        <v>16453</v>
      </c>
      <c r="F4123" s="5" t="s">
        <v>375</v>
      </c>
      <c r="G4123" s="5" t="s">
        <v>27649</v>
      </c>
      <c r="H4123" s="6" t="s">
        <v>27650</v>
      </c>
      <c r="K4123" s="5" t="s">
        <v>27583</v>
      </c>
    </row>
    <row r="4124">
      <c r="A4124" s="4">
        <v>45534.34963023148</v>
      </c>
      <c r="B4124" s="5" t="s">
        <v>34</v>
      </c>
      <c r="D4124" s="5" t="s">
        <v>12978</v>
      </c>
      <c r="E4124" s="5" t="s">
        <v>27653</v>
      </c>
      <c r="F4124" s="5" t="s">
        <v>212</v>
      </c>
      <c r="G4124" s="5" t="s">
        <v>27654</v>
      </c>
      <c r="H4124" s="6" t="s">
        <v>27655</v>
      </c>
      <c r="I4124" s="7" t="s">
        <v>27656</v>
      </c>
      <c r="J4124" s="8" t="str">
        <f>HYPERLINK("https://drive.google.com/file/d/1yw-GFD5pmO5UWaR2NMwJQidutmlmqkKk/view?usp=drivesdk","DIANA SUPRI SERTIFIKAT BerAKHLAK")</f>
        <v>DIANA SUPRI SERTIFIKAT BerAKHLAK</v>
      </c>
      <c r="K4124" s="5" t="s">
        <v>27657</v>
      </c>
      <c r="L4124" s="5" t="s">
        <v>27658</v>
      </c>
    </row>
    <row r="4125">
      <c r="A4125" s="4">
        <v>45534.34963164352</v>
      </c>
      <c r="B4125" s="5" t="s">
        <v>34</v>
      </c>
      <c r="D4125" s="5" t="s">
        <v>35</v>
      </c>
      <c r="E4125" s="5" t="s">
        <v>27662</v>
      </c>
      <c r="F4125" s="5" t="s">
        <v>37</v>
      </c>
      <c r="G4125" s="5" t="s">
        <v>27663</v>
      </c>
      <c r="H4125" s="6" t="s">
        <v>27664</v>
      </c>
      <c r="I4125" s="7" t="s">
        <v>27665</v>
      </c>
      <c r="J4125" s="8" t="str">
        <f>HYPERLINK("https://drive.google.com/file/d/1Ego8Dqo2g4cPHDzzkRgnH55e-BbGZ4O4/view?usp=drivesdk","SURTINAH SERTIFIKAT BerAKHLAK")</f>
        <v>SURTINAH SERTIFIKAT BerAKHLAK</v>
      </c>
      <c r="K4125" s="5" t="s">
        <v>27657</v>
      </c>
      <c r="L4125" s="5" t="s">
        <v>27666</v>
      </c>
    </row>
    <row r="4126">
      <c r="A4126" s="4">
        <v>45534.34963292824</v>
      </c>
      <c r="B4126" s="5" t="s">
        <v>34</v>
      </c>
      <c r="D4126" s="5" t="s">
        <v>4775</v>
      </c>
      <c r="E4126" s="5" t="s">
        <v>27669</v>
      </c>
      <c r="F4126" s="5" t="s">
        <v>108</v>
      </c>
      <c r="G4126" s="5" t="s">
        <v>27670</v>
      </c>
      <c r="H4126" s="6" t="s">
        <v>27671</v>
      </c>
      <c r="I4126" s="7" t="s">
        <v>27672</v>
      </c>
      <c r="J4126" s="8" t="str">
        <f>HYPERLINK("https://drive.google.com/file/d/1wMlZ9OUtmTE0BeEpA8o7g8IxQcO1Z5Pz/view?usp=drivesdk","YULIANA SAUSELE SERTIFIKAT BerAKHLAK")</f>
        <v>YULIANA SAUSELE SERTIFIKAT BerAKHLAK</v>
      </c>
      <c r="K4126" s="5" t="s">
        <v>27657</v>
      </c>
      <c r="L4126" s="5" t="s">
        <v>27673</v>
      </c>
    </row>
    <row r="4127">
      <c r="A4127" s="4">
        <v>45534.349634583334</v>
      </c>
      <c r="B4127" s="5" t="s">
        <v>34</v>
      </c>
      <c r="D4127" s="5" t="s">
        <v>1206</v>
      </c>
      <c r="E4127" s="5" t="s">
        <v>20883</v>
      </c>
      <c r="F4127" s="5" t="s">
        <v>37</v>
      </c>
      <c r="G4127" s="5" t="s">
        <v>27676</v>
      </c>
      <c r="H4127" s="6" t="s">
        <v>27677</v>
      </c>
      <c r="I4127" s="7" t="s">
        <v>27678</v>
      </c>
      <c r="J4127" s="8" t="str">
        <f>HYPERLINK("https://drive.google.com/file/d/1BMVOcw0S0KiKK7RpW3Ogf6mQsWJoxQRE/view?usp=drivesdk","SUNARYO SERTIFIKAT BerAKHLAK")</f>
        <v>SUNARYO SERTIFIKAT BerAKHLAK</v>
      </c>
      <c r="K4127" s="5" t="s">
        <v>27679</v>
      </c>
      <c r="L4127" s="5" t="s">
        <v>27680</v>
      </c>
    </row>
    <row r="4128">
      <c r="A4128" s="4">
        <v>45534.34963997685</v>
      </c>
      <c r="B4128" s="5" t="s">
        <v>34</v>
      </c>
      <c r="D4128" s="5" t="s">
        <v>1206</v>
      </c>
      <c r="E4128" s="5" t="s">
        <v>27683</v>
      </c>
      <c r="F4128" s="5" t="s">
        <v>212</v>
      </c>
      <c r="G4128" s="5" t="s">
        <v>27684</v>
      </c>
      <c r="H4128" s="6" t="s">
        <v>27685</v>
      </c>
      <c r="I4128" s="7" t="s">
        <v>27686</v>
      </c>
      <c r="J4128" s="8" t="str">
        <f>HYPERLINK("https://drive.google.com/file/d/1_a05ddT-HQcMgJWInYQ2YZ52P3KVW5Kz/view?usp=drivesdk","PURIYONO SERTIFIKAT BerAKHLAK")</f>
        <v>PURIYONO SERTIFIKAT BerAKHLAK</v>
      </c>
      <c r="K4128" s="5" t="s">
        <v>27687</v>
      </c>
      <c r="L4128" s="5" t="s">
        <v>27688</v>
      </c>
    </row>
    <row r="4129">
      <c r="A4129" s="4">
        <v>45534.34964417824</v>
      </c>
      <c r="B4129" s="5" t="s">
        <v>34</v>
      </c>
      <c r="D4129" s="5" t="s">
        <v>35</v>
      </c>
      <c r="E4129" s="5" t="s">
        <v>27691</v>
      </c>
      <c r="F4129" s="5" t="s">
        <v>212</v>
      </c>
      <c r="G4129" s="5" t="s">
        <v>27692</v>
      </c>
      <c r="H4129" s="6" t="s">
        <v>27693</v>
      </c>
      <c r="I4129" s="7" t="s">
        <v>27694</v>
      </c>
      <c r="J4129" s="8" t="str">
        <f>HYPERLINK("https://drive.google.com/file/d/10EjXQw2CaLOUTWCCDfpkYdYoGIw3WG7C/view?usp=drivesdk","EMMA MULYANI, A.md SERTIFIKAT BerAKHLAK")</f>
        <v>EMMA MULYANI, A.md SERTIFIKAT BerAKHLAK</v>
      </c>
      <c r="K4129" s="5" t="s">
        <v>27687</v>
      </c>
      <c r="L4129" s="5" t="s">
        <v>27695</v>
      </c>
    </row>
    <row r="4130">
      <c r="A4130" s="4">
        <v>45534.34965873843</v>
      </c>
      <c r="B4130" s="5" t="s">
        <v>34</v>
      </c>
      <c r="D4130" s="5" t="s">
        <v>1206</v>
      </c>
      <c r="E4130" s="5" t="s">
        <v>27699</v>
      </c>
      <c r="F4130" s="5" t="s">
        <v>212</v>
      </c>
      <c r="G4130" s="5" t="s">
        <v>27700</v>
      </c>
      <c r="H4130" s="6" t="s">
        <v>27701</v>
      </c>
      <c r="I4130" s="7" t="s">
        <v>27702</v>
      </c>
      <c r="J4130" s="8" t="str">
        <f>HYPERLINK("https://drive.google.com/file/d/1cl0WUhzQRoKf0diPIshdl82DjGo-l6ZE/view?usp=drivesdk","SITI KHOIRIYAH SERTIFIKAT BerAKHLAK")</f>
        <v>SITI KHOIRIYAH SERTIFIKAT BerAKHLAK</v>
      </c>
      <c r="K4130" s="5" t="s">
        <v>27687</v>
      </c>
      <c r="L4130" s="5" t="s">
        <v>27703</v>
      </c>
    </row>
    <row r="4131">
      <c r="A4131" s="4">
        <v>45534.34966175926</v>
      </c>
      <c r="B4131" s="5" t="s">
        <v>19</v>
      </c>
      <c r="C4131" s="5" t="s">
        <v>20</v>
      </c>
      <c r="E4131" s="5" t="s">
        <v>27706</v>
      </c>
      <c r="F4131" s="5" t="s">
        <v>120</v>
      </c>
      <c r="G4131" s="5" t="s">
        <v>27707</v>
      </c>
      <c r="H4131" s="6" t="s">
        <v>27708</v>
      </c>
      <c r="I4131" s="7" t="s">
        <v>27709</v>
      </c>
      <c r="J4131" s="8" t="str">
        <f>HYPERLINK("https://drive.google.com/file/d/1qTUeDonYtOkdc0KQ6toY8v4KrI65p3F4/view?usp=drivesdk","SITI JAYANTI SERTIFIKAT BerAKHLAK")</f>
        <v>SITI JAYANTI SERTIFIKAT BerAKHLAK</v>
      </c>
      <c r="K4131" s="5" t="s">
        <v>27687</v>
      </c>
      <c r="L4131" s="5" t="s">
        <v>27710</v>
      </c>
    </row>
    <row r="4132">
      <c r="A4132" s="4">
        <v>45534.34966502315</v>
      </c>
      <c r="B4132" s="5" t="s">
        <v>34</v>
      </c>
      <c r="D4132" s="5" t="s">
        <v>6232</v>
      </c>
      <c r="E4132" s="5" t="s">
        <v>27713</v>
      </c>
      <c r="F4132" s="5" t="s">
        <v>524</v>
      </c>
      <c r="G4132" s="5" t="s">
        <v>27714</v>
      </c>
      <c r="H4132" s="6" t="s">
        <v>27715</v>
      </c>
      <c r="K4132" s="5" t="s">
        <v>27687</v>
      </c>
    </row>
    <row r="4133">
      <c r="A4133" s="4">
        <v>45534.34966641203</v>
      </c>
      <c r="B4133" s="5" t="s">
        <v>34</v>
      </c>
      <c r="D4133" s="5" t="s">
        <v>10444</v>
      </c>
      <c r="E4133" s="5" t="s">
        <v>27718</v>
      </c>
      <c r="F4133" s="5" t="s">
        <v>328</v>
      </c>
      <c r="G4133" s="5" t="s">
        <v>27719</v>
      </c>
      <c r="H4133" s="6" t="s">
        <v>27720</v>
      </c>
      <c r="K4133" s="5" t="s">
        <v>27687</v>
      </c>
    </row>
    <row r="4134">
      <c r="A4134" s="4">
        <v>45534.34967146991</v>
      </c>
      <c r="B4134" s="5" t="s">
        <v>34</v>
      </c>
      <c r="D4134" s="5" t="s">
        <v>1663</v>
      </c>
      <c r="E4134" s="5" t="s">
        <v>27723</v>
      </c>
      <c r="F4134" s="5" t="s">
        <v>37</v>
      </c>
      <c r="G4134" s="5" t="s">
        <v>27724</v>
      </c>
      <c r="H4134" s="6" t="s">
        <v>27725</v>
      </c>
      <c r="K4134" s="5" t="s">
        <v>27687</v>
      </c>
    </row>
    <row r="4135">
      <c r="A4135" s="4">
        <v>45534.34967609953</v>
      </c>
      <c r="B4135" s="5" t="s">
        <v>34</v>
      </c>
      <c r="D4135" s="5" t="s">
        <v>10444</v>
      </c>
      <c r="E4135" s="5" t="s">
        <v>27729</v>
      </c>
      <c r="F4135" s="5" t="s">
        <v>524</v>
      </c>
      <c r="G4135" s="5" t="s">
        <v>27730</v>
      </c>
      <c r="H4135" s="6" t="s">
        <v>27731</v>
      </c>
      <c r="K4135" s="5" t="s">
        <v>27687</v>
      </c>
    </row>
    <row r="4136">
      <c r="A4136" s="4">
        <v>45534.349689305556</v>
      </c>
      <c r="B4136" s="5" t="s">
        <v>19</v>
      </c>
      <c r="C4136" s="5" t="s">
        <v>442</v>
      </c>
      <c r="E4136" s="5" t="s">
        <v>27734</v>
      </c>
      <c r="F4136" s="5" t="s">
        <v>108</v>
      </c>
      <c r="G4136" s="5" t="s">
        <v>27735</v>
      </c>
      <c r="H4136" s="6" t="s">
        <v>27736</v>
      </c>
      <c r="K4136" s="5" t="s">
        <v>27687</v>
      </c>
    </row>
    <row r="4137">
      <c r="A4137" s="4">
        <v>45534.349699513885</v>
      </c>
      <c r="B4137" s="5" t="s">
        <v>19</v>
      </c>
      <c r="C4137" s="5" t="s">
        <v>5564</v>
      </c>
      <c r="E4137" s="5" t="s">
        <v>27739</v>
      </c>
      <c r="F4137" s="5" t="s">
        <v>212</v>
      </c>
      <c r="G4137" s="5" t="s">
        <v>27740</v>
      </c>
      <c r="H4137" s="6" t="s">
        <v>27741</v>
      </c>
      <c r="K4137" s="5" t="s">
        <v>27687</v>
      </c>
    </row>
    <row r="4138">
      <c r="A4138" s="4">
        <v>45534.349716620374</v>
      </c>
      <c r="B4138" s="5" t="s">
        <v>34</v>
      </c>
      <c r="D4138" s="5" t="s">
        <v>267</v>
      </c>
      <c r="E4138" s="5" t="s">
        <v>27744</v>
      </c>
      <c r="F4138" s="5" t="s">
        <v>212</v>
      </c>
      <c r="G4138" s="5" t="s">
        <v>27745</v>
      </c>
      <c r="H4138" s="6" t="s">
        <v>27746</v>
      </c>
      <c r="K4138" s="5" t="s">
        <v>27747</v>
      </c>
    </row>
    <row r="4139">
      <c r="A4139" s="4">
        <v>45534.34972153935</v>
      </c>
      <c r="B4139" s="5" t="s">
        <v>34</v>
      </c>
      <c r="D4139" s="5" t="s">
        <v>12978</v>
      </c>
      <c r="E4139" s="5" t="s">
        <v>27750</v>
      </c>
      <c r="F4139" s="5" t="s">
        <v>524</v>
      </c>
      <c r="G4139" s="5" t="s">
        <v>27751</v>
      </c>
      <c r="H4139" s="6" t="s">
        <v>27752</v>
      </c>
      <c r="K4139" s="5" t="s">
        <v>27747</v>
      </c>
    </row>
    <row r="4140">
      <c r="A4140" s="4">
        <v>45534.34973094908</v>
      </c>
      <c r="B4140" s="5" t="s">
        <v>34</v>
      </c>
      <c r="D4140" s="5" t="s">
        <v>4775</v>
      </c>
      <c r="E4140" s="5" t="s">
        <v>27756</v>
      </c>
      <c r="F4140" s="5" t="s">
        <v>212</v>
      </c>
      <c r="G4140" s="5" t="s">
        <v>27757</v>
      </c>
      <c r="H4140" s="6" t="s">
        <v>27758</v>
      </c>
      <c r="K4140" s="5" t="s">
        <v>27747</v>
      </c>
    </row>
    <row r="4141">
      <c r="A4141" s="4">
        <v>45534.34973284722</v>
      </c>
      <c r="B4141" s="5" t="s">
        <v>34</v>
      </c>
      <c r="D4141" s="5" t="s">
        <v>7858</v>
      </c>
      <c r="E4141" s="5" t="s">
        <v>27761</v>
      </c>
      <c r="F4141" s="5" t="s">
        <v>37</v>
      </c>
      <c r="G4141" s="5" t="s">
        <v>27762</v>
      </c>
      <c r="H4141" s="6" t="s">
        <v>27763</v>
      </c>
      <c r="K4141" s="5" t="s">
        <v>27747</v>
      </c>
    </row>
    <row r="4142">
      <c r="A4142" s="4">
        <v>45534.34973777778</v>
      </c>
      <c r="B4142" s="5" t="s">
        <v>34</v>
      </c>
      <c r="D4142" s="5" t="s">
        <v>1206</v>
      </c>
      <c r="E4142" s="5" t="s">
        <v>27766</v>
      </c>
      <c r="F4142" s="5" t="s">
        <v>72</v>
      </c>
      <c r="G4142" s="5" t="s">
        <v>27767</v>
      </c>
      <c r="H4142" s="6" t="s">
        <v>27768</v>
      </c>
      <c r="I4142" s="7" t="s">
        <v>27769</v>
      </c>
      <c r="J4142" s="8" t="str">
        <f>HYPERLINK("https://drive.google.com/file/d/1B5agQyMf6SQFLDD0Gnuo8aG60rMCTzwa/view?usp=drivesdk","PATONI SERTIFIKAT BerAKHLAK")</f>
        <v>PATONI SERTIFIKAT BerAKHLAK</v>
      </c>
      <c r="K4142" s="5" t="s">
        <v>27657</v>
      </c>
      <c r="L4142" s="5" t="s">
        <v>27770</v>
      </c>
    </row>
    <row r="4143">
      <c r="A4143" s="4">
        <v>45534.34974143519</v>
      </c>
      <c r="B4143" s="5" t="s">
        <v>34</v>
      </c>
      <c r="D4143" s="5" t="s">
        <v>4775</v>
      </c>
      <c r="E4143" s="5" t="s">
        <v>27773</v>
      </c>
      <c r="F4143" s="5" t="s">
        <v>108</v>
      </c>
      <c r="G4143" s="5" t="s">
        <v>27774</v>
      </c>
      <c r="H4143" s="6" t="s">
        <v>27775</v>
      </c>
      <c r="I4143" s="7" t="s">
        <v>27776</v>
      </c>
      <c r="J4143" s="8" t="str">
        <f>HYPERLINK("https://drive.google.com/file/d/1vIm9caVPqQxrz-2LiBs6PwdUAFqFeR9j/view?usp=drivesdk","PILAR ADI PAMUNGKAS SERTIFIKAT BerAKHLAK")</f>
        <v>PILAR ADI PAMUNGKAS SERTIFIKAT BerAKHLAK</v>
      </c>
      <c r="K4143" s="5" t="s">
        <v>27657</v>
      </c>
      <c r="L4143" s="5" t="s">
        <v>27777</v>
      </c>
    </row>
    <row r="4144">
      <c r="A4144" s="4">
        <v>45534.34974586805</v>
      </c>
      <c r="B4144" s="5" t="s">
        <v>19</v>
      </c>
      <c r="C4144" s="5" t="s">
        <v>5564</v>
      </c>
      <c r="E4144" s="5" t="s">
        <v>27781</v>
      </c>
      <c r="F4144" s="5" t="s">
        <v>37</v>
      </c>
      <c r="G4144" s="5" t="s">
        <v>27782</v>
      </c>
      <c r="H4144" s="6" t="s">
        <v>27783</v>
      </c>
      <c r="I4144" s="7" t="s">
        <v>27784</v>
      </c>
      <c r="J4144" s="8" t="str">
        <f>HYPERLINK("https://drive.google.com/file/d/1JubeCy4sPTkvPdUleZcFIUIMKEr2mis5/view?usp=drivesdk","EDI PITRIADi SERTIFIKAT BerAKHLAK")</f>
        <v>EDI PITRIADi SERTIFIKAT BerAKHLAK</v>
      </c>
      <c r="K4144" s="5" t="s">
        <v>27657</v>
      </c>
      <c r="L4144" s="5" t="s">
        <v>27785</v>
      </c>
    </row>
    <row r="4145">
      <c r="A4145" s="4">
        <v>45534.34974677084</v>
      </c>
      <c r="B4145" s="5" t="s">
        <v>34</v>
      </c>
      <c r="D4145" s="5" t="s">
        <v>1768</v>
      </c>
      <c r="E4145" s="5" t="s">
        <v>27788</v>
      </c>
      <c r="F4145" s="5" t="s">
        <v>212</v>
      </c>
      <c r="G4145" s="5" t="s">
        <v>27789</v>
      </c>
      <c r="H4145" s="6" t="s">
        <v>27790</v>
      </c>
      <c r="I4145" s="7" t="s">
        <v>27791</v>
      </c>
      <c r="J4145" s="8" t="str">
        <f>HYPERLINK("https://drive.google.com/file/d/1CHblbJ0CRwqmnZIubHXjVGPTa-W-zIS1/view?usp=drivesdk","MARTINI SERTIFIKAT BerAKHLAK")</f>
        <v>MARTINI SERTIFIKAT BerAKHLAK</v>
      </c>
      <c r="K4145" s="5" t="s">
        <v>27657</v>
      </c>
      <c r="L4145" s="5" t="s">
        <v>27792</v>
      </c>
    </row>
    <row r="4146">
      <c r="A4146" s="4">
        <v>45534.34975163195</v>
      </c>
      <c r="B4146" s="5" t="s">
        <v>34</v>
      </c>
      <c r="D4146" s="5" t="s">
        <v>1206</v>
      </c>
      <c r="E4146" s="5" t="s">
        <v>27795</v>
      </c>
      <c r="F4146" s="5" t="s">
        <v>524</v>
      </c>
      <c r="G4146" s="5" t="s">
        <v>27796</v>
      </c>
      <c r="H4146" s="6" t="s">
        <v>27797</v>
      </c>
      <c r="K4146" s="5" t="s">
        <v>27798</v>
      </c>
    </row>
    <row r="4147">
      <c r="A4147" s="4">
        <v>45534.34976822916</v>
      </c>
      <c r="B4147" s="5" t="s">
        <v>34</v>
      </c>
      <c r="D4147" s="5" t="s">
        <v>1768</v>
      </c>
      <c r="E4147" s="5" t="s">
        <v>27801</v>
      </c>
      <c r="F4147" s="5" t="s">
        <v>212</v>
      </c>
      <c r="G4147" s="5" t="s">
        <v>27802</v>
      </c>
      <c r="H4147" s="6" t="s">
        <v>27803</v>
      </c>
      <c r="K4147" s="5" t="s">
        <v>27798</v>
      </c>
    </row>
    <row r="4148">
      <c r="A4148" s="4">
        <v>45534.349767974534</v>
      </c>
      <c r="B4148" s="5" t="s">
        <v>34</v>
      </c>
      <c r="D4148" s="5" t="s">
        <v>35</v>
      </c>
      <c r="E4148" s="5" t="s">
        <v>27807</v>
      </c>
      <c r="F4148" s="5" t="s">
        <v>37</v>
      </c>
      <c r="G4148" s="5" t="s">
        <v>27808</v>
      </c>
      <c r="H4148" s="6" t="s">
        <v>27809</v>
      </c>
      <c r="K4148" s="5" t="s">
        <v>27798</v>
      </c>
    </row>
    <row r="4149">
      <c r="A4149" s="4">
        <v>45534.34978870371</v>
      </c>
      <c r="B4149" s="5" t="s">
        <v>34</v>
      </c>
      <c r="D4149" s="5" t="s">
        <v>580</v>
      </c>
      <c r="E4149" s="5" t="s">
        <v>27812</v>
      </c>
      <c r="F4149" s="5" t="s">
        <v>375</v>
      </c>
      <c r="G4149" s="5" t="s">
        <v>27813</v>
      </c>
      <c r="H4149" s="6" t="s">
        <v>27814</v>
      </c>
      <c r="I4149" s="7" t="s">
        <v>27815</v>
      </c>
      <c r="J4149" s="8" t="str">
        <f>HYPERLINK("https://drive.google.com/file/d/1ACMp5FebXWzacMVC2CE_IMDC_pc36yj9/view?usp=drivesdk","NI WAYAN SUWENI SERTIFIKAT BerAKHLAK")</f>
        <v>NI WAYAN SUWENI SERTIFIKAT BerAKHLAK</v>
      </c>
      <c r="K4149" s="5" t="s">
        <v>26460</v>
      </c>
      <c r="L4149" s="5" t="s">
        <v>27816</v>
      </c>
    </row>
    <row r="4150">
      <c r="A4150" s="4">
        <v>45534.34980015046</v>
      </c>
      <c r="B4150" s="5" t="s">
        <v>34</v>
      </c>
      <c r="D4150" s="5" t="s">
        <v>701</v>
      </c>
      <c r="E4150" s="5" t="s">
        <v>27819</v>
      </c>
      <c r="F4150" s="5" t="s">
        <v>212</v>
      </c>
      <c r="G4150" s="5" t="s">
        <v>27820</v>
      </c>
      <c r="H4150" s="6" t="s">
        <v>27821</v>
      </c>
      <c r="K4150" s="5" t="s">
        <v>27822</v>
      </c>
    </row>
    <row r="4151">
      <c r="A4151" s="4">
        <v>45534.34980630787</v>
      </c>
      <c r="B4151" s="5" t="s">
        <v>34</v>
      </c>
      <c r="D4151" s="5" t="s">
        <v>10444</v>
      </c>
      <c r="E4151" s="5" t="s">
        <v>27825</v>
      </c>
      <c r="F4151" s="5" t="s">
        <v>212</v>
      </c>
      <c r="G4151" s="5" t="s">
        <v>27826</v>
      </c>
      <c r="H4151" s="6" t="s">
        <v>27827</v>
      </c>
      <c r="K4151" s="5" t="s">
        <v>27822</v>
      </c>
    </row>
    <row r="4152">
      <c r="A4152" s="4">
        <v>45534.34982261574</v>
      </c>
      <c r="B4152" s="5" t="s">
        <v>19</v>
      </c>
      <c r="C4152" s="5" t="s">
        <v>11593</v>
      </c>
      <c r="E4152" s="7" t="s">
        <v>27830</v>
      </c>
      <c r="F4152" s="5" t="s">
        <v>72</v>
      </c>
      <c r="G4152" s="5" t="s">
        <v>27831</v>
      </c>
      <c r="H4152" s="6" t="s">
        <v>27832</v>
      </c>
      <c r="K4152" s="5" t="s">
        <v>27822</v>
      </c>
    </row>
    <row r="4153">
      <c r="A4153" s="4">
        <v>45534.34982880787</v>
      </c>
      <c r="B4153" s="5" t="s">
        <v>34</v>
      </c>
      <c r="D4153" s="5" t="s">
        <v>35</v>
      </c>
      <c r="E4153" s="5" t="s">
        <v>27836</v>
      </c>
      <c r="F4153" s="5" t="s">
        <v>37</v>
      </c>
      <c r="G4153" s="5" t="s">
        <v>27837</v>
      </c>
      <c r="H4153" s="6" t="s">
        <v>27838</v>
      </c>
      <c r="K4153" s="5" t="s">
        <v>27822</v>
      </c>
    </row>
    <row r="4154">
      <c r="A4154" s="4">
        <v>45534.34982979167</v>
      </c>
      <c r="B4154" s="5" t="s">
        <v>19</v>
      </c>
      <c r="C4154" s="5" t="s">
        <v>5564</v>
      </c>
      <c r="E4154" s="5" t="s">
        <v>27841</v>
      </c>
      <c r="F4154" s="5" t="s">
        <v>5566</v>
      </c>
      <c r="G4154" s="5" t="s">
        <v>27842</v>
      </c>
      <c r="H4154" s="6" t="s">
        <v>27843</v>
      </c>
      <c r="K4154" s="5" t="s">
        <v>27822</v>
      </c>
    </row>
    <row r="4155">
      <c r="A4155" s="4">
        <v>45534.349838587965</v>
      </c>
      <c r="B4155" s="5" t="s">
        <v>34</v>
      </c>
      <c r="D4155" s="5" t="s">
        <v>1768</v>
      </c>
      <c r="E4155" s="5" t="s">
        <v>27846</v>
      </c>
      <c r="F4155" s="5" t="s">
        <v>375</v>
      </c>
      <c r="G4155" s="5" t="s">
        <v>27847</v>
      </c>
      <c r="H4155" s="6" t="s">
        <v>27848</v>
      </c>
      <c r="K4155" s="5" t="s">
        <v>27822</v>
      </c>
    </row>
    <row r="4156">
      <c r="A4156" s="4">
        <v>45534.34984199074</v>
      </c>
      <c r="B4156" s="5" t="s">
        <v>34</v>
      </c>
      <c r="D4156" s="5" t="s">
        <v>1206</v>
      </c>
      <c r="E4156" s="5" t="s">
        <v>27851</v>
      </c>
      <c r="F4156" s="5" t="s">
        <v>15386</v>
      </c>
      <c r="G4156" s="5" t="s">
        <v>27852</v>
      </c>
      <c r="H4156" s="6" t="s">
        <v>27853</v>
      </c>
      <c r="K4156" s="5" t="s">
        <v>27822</v>
      </c>
    </row>
    <row r="4157">
      <c r="A4157" s="4">
        <v>45534.349843564814</v>
      </c>
      <c r="B4157" s="5" t="s">
        <v>19</v>
      </c>
      <c r="C4157" s="5" t="s">
        <v>292</v>
      </c>
      <c r="E4157" s="5" t="s">
        <v>27856</v>
      </c>
      <c r="F4157" s="5" t="s">
        <v>212</v>
      </c>
      <c r="G4157" s="5" t="s">
        <v>27857</v>
      </c>
      <c r="H4157" s="6" t="s">
        <v>27858</v>
      </c>
      <c r="K4157" s="5" t="s">
        <v>27822</v>
      </c>
    </row>
    <row r="4158">
      <c r="A4158" s="4">
        <v>45534.349847418984</v>
      </c>
      <c r="B4158" s="5" t="s">
        <v>34</v>
      </c>
      <c r="D4158" s="5" t="s">
        <v>9020</v>
      </c>
      <c r="E4158" s="5" t="s">
        <v>27862</v>
      </c>
      <c r="F4158" s="5" t="s">
        <v>37</v>
      </c>
      <c r="G4158" s="5" t="s">
        <v>27863</v>
      </c>
      <c r="H4158" s="6" t="s">
        <v>27864</v>
      </c>
      <c r="K4158" s="5" t="s">
        <v>27822</v>
      </c>
    </row>
    <row r="4159">
      <c r="A4159" s="4">
        <v>45534.3498558912</v>
      </c>
      <c r="B4159" s="5" t="s">
        <v>34</v>
      </c>
      <c r="D4159" s="5" t="s">
        <v>9020</v>
      </c>
      <c r="E4159" s="5" t="s">
        <v>27867</v>
      </c>
      <c r="F4159" s="5" t="s">
        <v>212</v>
      </c>
      <c r="G4159" s="5" t="s">
        <v>27868</v>
      </c>
      <c r="H4159" s="6" t="s">
        <v>27869</v>
      </c>
      <c r="K4159" s="5" t="s">
        <v>27822</v>
      </c>
    </row>
    <row r="4160">
      <c r="A4160" s="4">
        <v>45534.34986071759</v>
      </c>
      <c r="B4160" s="5" t="s">
        <v>19</v>
      </c>
      <c r="C4160" s="5" t="s">
        <v>3301</v>
      </c>
      <c r="E4160" s="5" t="s">
        <v>27872</v>
      </c>
      <c r="F4160" s="5" t="s">
        <v>72</v>
      </c>
      <c r="G4160" s="5" t="s">
        <v>27873</v>
      </c>
      <c r="H4160" s="6" t="s">
        <v>27874</v>
      </c>
      <c r="K4160" s="5" t="s">
        <v>27822</v>
      </c>
    </row>
    <row r="4161">
      <c r="A4161" s="4">
        <v>45534.349872025465</v>
      </c>
      <c r="B4161" s="5" t="s">
        <v>34</v>
      </c>
      <c r="D4161" s="5" t="s">
        <v>14424</v>
      </c>
      <c r="E4161" s="5" t="s">
        <v>27877</v>
      </c>
      <c r="F4161" s="5" t="s">
        <v>108</v>
      </c>
      <c r="G4161" s="5" t="s">
        <v>27878</v>
      </c>
      <c r="H4161" s="6" t="s">
        <v>27879</v>
      </c>
      <c r="I4161" s="7" t="s">
        <v>27880</v>
      </c>
      <c r="J4161" s="8" t="str">
        <f>HYPERLINK("https://drive.google.com/file/d/1jYCHKPZXG_h4xYfQxFVgF0wI8c1E-9fC/view?usp=drivesdk","drg. MISRA HANUM, M.K.M SERTIFIKAT BerAKHLAK")</f>
        <v>drg. MISRA HANUM, M.K.M SERTIFIKAT BerAKHLAK</v>
      </c>
      <c r="K4161" s="5" t="s">
        <v>27657</v>
      </c>
      <c r="L4161" s="5" t="s">
        <v>27881</v>
      </c>
    </row>
    <row r="4162">
      <c r="A4162" s="4">
        <v>45534.349872465275</v>
      </c>
      <c r="B4162" s="5" t="s">
        <v>34</v>
      </c>
      <c r="D4162" s="5" t="s">
        <v>4775</v>
      </c>
      <c r="E4162" s="5" t="s">
        <v>27884</v>
      </c>
      <c r="F4162" s="5" t="s">
        <v>72</v>
      </c>
      <c r="G4162" s="5" t="s">
        <v>27885</v>
      </c>
      <c r="H4162" s="6" t="s">
        <v>27886</v>
      </c>
      <c r="I4162" s="7" t="s">
        <v>27887</v>
      </c>
      <c r="J4162" s="8" t="str">
        <f>HYPERLINK("https://drive.google.com/file/d/1fPDPik7eXURLg1eIF2kKxKyfI4qbTaj4/view?usp=drivesdk","TITI SOFIANI SERTIFIKAT BerAKHLAK")</f>
        <v>TITI SOFIANI SERTIFIKAT BerAKHLAK</v>
      </c>
      <c r="K4162" s="5" t="s">
        <v>27657</v>
      </c>
      <c r="L4162" s="5" t="s">
        <v>27888</v>
      </c>
    </row>
    <row r="4163">
      <c r="A4163" s="4">
        <v>45534.349877395834</v>
      </c>
      <c r="B4163" s="5" t="s">
        <v>34</v>
      </c>
      <c r="D4163" s="5" t="s">
        <v>4775</v>
      </c>
      <c r="E4163" s="5" t="s">
        <v>27892</v>
      </c>
      <c r="F4163" s="5" t="s">
        <v>212</v>
      </c>
      <c r="G4163" s="5" t="s">
        <v>27893</v>
      </c>
      <c r="H4163" s="6" t="s">
        <v>27894</v>
      </c>
      <c r="I4163" s="7" t="s">
        <v>27895</v>
      </c>
      <c r="J4163" s="8" t="str">
        <f>HYPERLINK("https://drive.google.com/file/d/1V9oMXFzaqS4XnY2X8IgjZWhwFx7TbT76/view?usp=drivesdk","RAMINI SERTIFIKAT BerAKHLAK")</f>
        <v>RAMINI SERTIFIKAT BerAKHLAK</v>
      </c>
      <c r="K4163" s="5" t="s">
        <v>27657</v>
      </c>
      <c r="L4163" s="5" t="s">
        <v>27896</v>
      </c>
    </row>
    <row r="4164">
      <c r="A4164" s="4">
        <v>45534.34988069444</v>
      </c>
      <c r="B4164" s="5" t="s">
        <v>34</v>
      </c>
      <c r="D4164" s="5" t="s">
        <v>15401</v>
      </c>
      <c r="E4164" s="5" t="s">
        <v>27899</v>
      </c>
      <c r="F4164" s="5" t="s">
        <v>212</v>
      </c>
      <c r="G4164" s="5" t="s">
        <v>27900</v>
      </c>
      <c r="H4164" s="6" t="s">
        <v>27901</v>
      </c>
      <c r="I4164" s="7" t="s">
        <v>27902</v>
      </c>
      <c r="J4164" s="8" t="str">
        <f>HYPERLINK("https://drive.google.com/file/d/15X1vj4XD-LXOTbLNuzaRFG54iyK_6eN3/view?usp=drivesdk","MULYATI, A.Md.Kep SERTIFIKAT BerAKHLAK")</f>
        <v>MULYATI, A.Md.Kep SERTIFIKAT BerAKHLAK</v>
      </c>
      <c r="K4164" s="5" t="s">
        <v>27657</v>
      </c>
      <c r="L4164" s="5" t="s">
        <v>27903</v>
      </c>
    </row>
    <row r="4165">
      <c r="A4165" s="4">
        <v>45534.34988460648</v>
      </c>
      <c r="B4165" s="5" t="s">
        <v>34</v>
      </c>
      <c r="D4165" s="5" t="s">
        <v>1206</v>
      </c>
      <c r="E4165" s="5" t="s">
        <v>27906</v>
      </c>
      <c r="F4165" s="5" t="s">
        <v>375</v>
      </c>
      <c r="G4165" s="5" t="s">
        <v>27907</v>
      </c>
      <c r="H4165" s="6" t="s">
        <v>27908</v>
      </c>
      <c r="I4165" s="7" t="s">
        <v>27909</v>
      </c>
      <c r="J4165" s="8" t="str">
        <f>HYPERLINK("https://drive.google.com/file/d/1fIfzj-DSNxgCVeOrliKnojuGteaLKXMG/view?usp=drivesdk","WARAS AL ISMIANTO, S.E. SERTIFIKAT BerAKHLAK")</f>
        <v>WARAS AL ISMIANTO, S.E. SERTIFIKAT BerAKHLAK</v>
      </c>
      <c r="K4165" s="5" t="s">
        <v>27657</v>
      </c>
      <c r="L4165" s="5" t="s">
        <v>27910</v>
      </c>
    </row>
    <row r="4166">
      <c r="A4166" s="4">
        <v>45534.34989175926</v>
      </c>
      <c r="B4166" s="5" t="s">
        <v>34</v>
      </c>
      <c r="D4166" s="5" t="s">
        <v>280</v>
      </c>
      <c r="E4166" s="5" t="s">
        <v>27913</v>
      </c>
      <c r="F4166" s="5" t="s">
        <v>375</v>
      </c>
      <c r="G4166" s="5" t="s">
        <v>27914</v>
      </c>
      <c r="H4166" s="6" t="s">
        <v>27915</v>
      </c>
      <c r="I4166" s="7" t="s">
        <v>27916</v>
      </c>
      <c r="J4166" s="8" t="str">
        <f>HYPERLINK("https://drive.google.com/file/d/1Zm0P9kQUDkjkUMNguRX-SNAvZLX1No5R/view?usp=drivesdk","ZELVI ZASMITA S.Kep.,Ns SERTIFIKAT BerAKHLAK")</f>
        <v>ZELVI ZASMITA S.Kep.,Ns SERTIFIKAT BerAKHLAK</v>
      </c>
      <c r="K4166" s="5" t="s">
        <v>27679</v>
      </c>
      <c r="L4166" s="5" t="s">
        <v>27917</v>
      </c>
    </row>
    <row r="4167">
      <c r="A4167" s="4">
        <v>45534.34989190972</v>
      </c>
      <c r="B4167" s="5" t="s">
        <v>34</v>
      </c>
      <c r="D4167" s="5" t="s">
        <v>1558</v>
      </c>
      <c r="E4167" s="5" t="s">
        <v>27921</v>
      </c>
      <c r="F4167" s="5" t="s">
        <v>120</v>
      </c>
      <c r="G4167" s="5" t="s">
        <v>27922</v>
      </c>
      <c r="H4167" s="6" t="s">
        <v>27923</v>
      </c>
      <c r="I4167" s="7" t="s">
        <v>27924</v>
      </c>
      <c r="J4167" s="8" t="str">
        <f>HYPERLINK("https://drive.google.com/file/d/1PjPtpv2OW6c111u189kF16QzOSqmPlTR/view?usp=drivesdk","CURIE HALIMATUS SOFIA, S.E., M.Ak SERTIFIKAT BerAKHLAK")</f>
        <v>CURIE HALIMATUS SOFIA, S.E., M.Ak SERTIFIKAT BerAKHLAK</v>
      </c>
      <c r="K4167" s="5" t="s">
        <v>27657</v>
      </c>
      <c r="L4167" s="5" t="s">
        <v>27925</v>
      </c>
    </row>
    <row r="4168">
      <c r="A4168" s="4">
        <v>45534.349904814815</v>
      </c>
      <c r="B4168" s="5" t="s">
        <v>34</v>
      </c>
      <c r="D4168" s="5" t="s">
        <v>1206</v>
      </c>
      <c r="E4168" s="5" t="s">
        <v>17521</v>
      </c>
      <c r="F4168" s="5" t="s">
        <v>212</v>
      </c>
      <c r="G4168" s="5" t="s">
        <v>27928</v>
      </c>
      <c r="H4168" s="6" t="s">
        <v>27929</v>
      </c>
      <c r="I4168" s="7" t="s">
        <v>27930</v>
      </c>
      <c r="J4168" s="8" t="str">
        <f>HYPERLINK("https://drive.google.com/file/d/1JsrTIQRguqNKh7DzQ_1mNqPU0XGPt91a/view?usp=drivesdk","SITI ASIYAH SERTIFIKAT BerAKHLAK")</f>
        <v>SITI ASIYAH SERTIFIKAT BerAKHLAK</v>
      </c>
      <c r="K4168" s="5" t="s">
        <v>27657</v>
      </c>
      <c r="L4168" s="5" t="s">
        <v>27931</v>
      </c>
    </row>
    <row r="4169">
      <c r="A4169" s="4">
        <v>45534.34991315972</v>
      </c>
      <c r="B4169" s="5" t="s">
        <v>34</v>
      </c>
      <c r="D4169" s="5" t="s">
        <v>267</v>
      </c>
      <c r="E4169" s="5" t="s">
        <v>27934</v>
      </c>
      <c r="F4169" s="5" t="s">
        <v>212</v>
      </c>
      <c r="G4169" s="5" t="s">
        <v>27935</v>
      </c>
      <c r="H4169" s="6" t="s">
        <v>27936</v>
      </c>
      <c r="I4169" s="7" t="s">
        <v>27937</v>
      </c>
      <c r="J4169" s="8" t="str">
        <f>HYPERLINK("https://drive.google.com/file/d/1ExjT-VqCqFzgISN9mEqM2igppZHmCQbQ/view?usp=drivesdk","RENDRA AJI KUSWORO SERTIFIKAT BerAKHLAK")</f>
        <v>RENDRA AJI KUSWORO SERTIFIKAT BerAKHLAK</v>
      </c>
      <c r="K4169" s="5" t="s">
        <v>27657</v>
      </c>
      <c r="L4169" s="5" t="s">
        <v>27938</v>
      </c>
    </row>
    <row r="4170">
      <c r="A4170" s="4">
        <v>45534.34991576389</v>
      </c>
      <c r="B4170" s="5" t="s">
        <v>19</v>
      </c>
      <c r="C4170" s="5" t="s">
        <v>24076</v>
      </c>
      <c r="E4170" s="5" t="s">
        <v>27941</v>
      </c>
      <c r="F4170" s="5" t="s">
        <v>715</v>
      </c>
      <c r="G4170" s="5" t="s">
        <v>27942</v>
      </c>
      <c r="H4170" s="6" t="s">
        <v>27943</v>
      </c>
      <c r="I4170" s="7" t="s">
        <v>27944</v>
      </c>
      <c r="J4170" s="8" t="str">
        <f>HYPERLINK("https://drive.google.com/file/d/1S_N-xiwhEiCeoxZRAxHnOE0N7QyQlvbo/view?usp=drivesdk","WANDA APRINDO, S.H. SERTIFIKAT BerAKHLAK")</f>
        <v>WANDA APRINDO, S.H. SERTIFIKAT BerAKHLAK</v>
      </c>
      <c r="K4170" s="5" t="s">
        <v>27657</v>
      </c>
      <c r="L4170" s="5" t="s">
        <v>27945</v>
      </c>
    </row>
    <row r="4171">
      <c r="A4171" s="4">
        <v>45534.34993118056</v>
      </c>
      <c r="B4171" s="5" t="s">
        <v>34</v>
      </c>
      <c r="D4171" s="5" t="s">
        <v>4775</v>
      </c>
      <c r="E4171" s="5" t="s">
        <v>27949</v>
      </c>
      <c r="F4171" s="5" t="s">
        <v>72</v>
      </c>
      <c r="G4171" s="5" t="s">
        <v>27950</v>
      </c>
      <c r="H4171" s="6" t="s">
        <v>27951</v>
      </c>
      <c r="I4171" s="7" t="s">
        <v>27952</v>
      </c>
      <c r="J4171" s="8" t="str">
        <f>HYPERLINK("https://drive.google.com/file/d/1QbJw_MFq7--oVI775qrrIpOKQJB5Z7uh/view?usp=drivesdk","DEBBY YULIANTY, AMK SERTIFIKAT BerAKHLAK")</f>
        <v>DEBBY YULIANTY, AMK SERTIFIKAT BerAKHLAK</v>
      </c>
      <c r="K4171" s="5" t="s">
        <v>27657</v>
      </c>
      <c r="L4171" s="5" t="s">
        <v>27953</v>
      </c>
    </row>
    <row r="4172">
      <c r="A4172" s="4">
        <v>45534.34993546296</v>
      </c>
      <c r="B4172" s="5" t="s">
        <v>34</v>
      </c>
      <c r="D4172" s="5" t="s">
        <v>9020</v>
      </c>
      <c r="E4172" s="5" t="s">
        <v>27956</v>
      </c>
      <c r="F4172" s="5" t="s">
        <v>212</v>
      </c>
      <c r="G4172" s="5" t="s">
        <v>27957</v>
      </c>
      <c r="H4172" s="6" t="s">
        <v>27958</v>
      </c>
      <c r="I4172" s="7" t="s">
        <v>27959</v>
      </c>
      <c r="J4172" s="8" t="str">
        <f>HYPERLINK("https://drive.google.com/file/d/14dSDlYKVBbjOkrk20TkpbgPvohonXpFZ/view?usp=drivesdk","SILVA MONITA SERTIFIKAT BerAKHLAK")</f>
        <v>SILVA MONITA SERTIFIKAT BerAKHLAK</v>
      </c>
      <c r="K4172" s="5" t="s">
        <v>27657</v>
      </c>
      <c r="L4172" s="5" t="s">
        <v>27960</v>
      </c>
    </row>
    <row r="4173">
      <c r="A4173" s="4">
        <v>45534.34993646991</v>
      </c>
      <c r="B4173" s="5" t="s">
        <v>34</v>
      </c>
      <c r="D4173" s="5" t="s">
        <v>1206</v>
      </c>
      <c r="E4173" s="5" t="s">
        <v>27963</v>
      </c>
      <c r="F4173" s="5" t="s">
        <v>37</v>
      </c>
      <c r="G4173" s="5" t="s">
        <v>27964</v>
      </c>
      <c r="H4173" s="6" t="s">
        <v>27965</v>
      </c>
      <c r="I4173" s="7" t="s">
        <v>27966</v>
      </c>
      <c r="J4173" s="8" t="str">
        <f>HYPERLINK("https://drive.google.com/file/d/1dFOWuheHKQD2s_LGBOV6prcIl0Caf8lU/view?usp=drivesdk","AGGUSTININGTYAS DWI HARINI, S.H. SERTIFIKAT BerAKHLAK")</f>
        <v>AGGUSTININGTYAS DWI HARINI, S.H. SERTIFIKAT BerAKHLAK</v>
      </c>
      <c r="K4173" s="5" t="s">
        <v>27657</v>
      </c>
      <c r="L4173" s="5" t="s">
        <v>27967</v>
      </c>
    </row>
    <row r="4174">
      <c r="A4174" s="4">
        <v>45534.349948773146</v>
      </c>
      <c r="B4174" s="5" t="s">
        <v>34</v>
      </c>
      <c r="D4174" s="5" t="s">
        <v>701</v>
      </c>
      <c r="E4174" s="5" t="s">
        <v>27970</v>
      </c>
      <c r="F4174" s="5" t="s">
        <v>108</v>
      </c>
      <c r="G4174" s="5" t="s">
        <v>27971</v>
      </c>
      <c r="H4174" s="6" t="s">
        <v>27972</v>
      </c>
      <c r="I4174" s="7" t="s">
        <v>27973</v>
      </c>
      <c r="J4174" s="8" t="str">
        <f>HYPERLINK("https://drive.google.com/file/d/1KPec4fgjK25ZKFXrFscn-SCSGZbUq-gc/view?usp=drivesdk","ROSMIATI SERTIFIKAT BerAKHLAK")</f>
        <v>ROSMIATI SERTIFIKAT BerAKHLAK</v>
      </c>
      <c r="K4174" s="5" t="s">
        <v>27657</v>
      </c>
      <c r="L4174" s="5" t="s">
        <v>27974</v>
      </c>
    </row>
    <row r="4175">
      <c r="A4175" s="4">
        <v>45534.3499669213</v>
      </c>
      <c r="B4175" s="5" t="s">
        <v>34</v>
      </c>
      <c r="D4175" s="5" t="s">
        <v>9020</v>
      </c>
      <c r="E4175" s="5" t="s">
        <v>27977</v>
      </c>
      <c r="F4175" s="5" t="s">
        <v>212</v>
      </c>
      <c r="G4175" s="5" t="s">
        <v>27978</v>
      </c>
      <c r="H4175" s="6" t="s">
        <v>27979</v>
      </c>
      <c r="I4175" s="7" t="s">
        <v>27980</v>
      </c>
      <c r="J4175" s="8" t="str">
        <f>HYPERLINK("https://drive.google.com/file/d/1Ts2FIU0ch3Sg_acHlYmQdCroZaiYwnK5/view?usp=drivesdk","NORVALIYANTI BR TARIGAN SERTIFIKAT BerAKHLAK")</f>
        <v>NORVALIYANTI BR TARIGAN SERTIFIKAT BerAKHLAK</v>
      </c>
      <c r="K4175" s="5" t="s">
        <v>27679</v>
      </c>
      <c r="L4175" s="5" t="s">
        <v>27981</v>
      </c>
    </row>
    <row r="4176">
      <c r="A4176" s="4">
        <v>45534.34996724537</v>
      </c>
      <c r="B4176" s="5" t="s">
        <v>34</v>
      </c>
      <c r="D4176" s="5" t="s">
        <v>267</v>
      </c>
      <c r="E4176" s="5" t="s">
        <v>27985</v>
      </c>
      <c r="F4176" s="5" t="s">
        <v>212</v>
      </c>
      <c r="G4176" s="5" t="s">
        <v>27986</v>
      </c>
      <c r="H4176" s="6" t="s">
        <v>27987</v>
      </c>
      <c r="K4176" s="5" t="s">
        <v>27988</v>
      </c>
    </row>
    <row r="4177">
      <c r="A4177" s="4">
        <v>45534.34997912037</v>
      </c>
      <c r="B4177" s="5" t="s">
        <v>34</v>
      </c>
      <c r="D4177" s="5" t="s">
        <v>280</v>
      </c>
      <c r="E4177" s="5" t="s">
        <v>21913</v>
      </c>
      <c r="F4177" s="5" t="s">
        <v>212</v>
      </c>
      <c r="G4177" s="5" t="s">
        <v>21914</v>
      </c>
      <c r="H4177" s="6" t="s">
        <v>27991</v>
      </c>
      <c r="K4177" s="5" t="s">
        <v>27992</v>
      </c>
    </row>
    <row r="4178">
      <c r="A4178" s="4">
        <v>45534.349983125</v>
      </c>
      <c r="B4178" s="5" t="s">
        <v>34</v>
      </c>
      <c r="D4178" s="5" t="s">
        <v>1206</v>
      </c>
      <c r="E4178" s="5" t="s">
        <v>27995</v>
      </c>
      <c r="F4178" s="5" t="s">
        <v>37</v>
      </c>
      <c r="G4178" s="5" t="s">
        <v>27996</v>
      </c>
      <c r="H4178" s="6" t="s">
        <v>27997</v>
      </c>
      <c r="K4178" s="5" t="s">
        <v>27992</v>
      </c>
    </row>
    <row r="4179">
      <c r="A4179" s="4">
        <v>45534.34998759259</v>
      </c>
      <c r="B4179" s="5" t="s">
        <v>34</v>
      </c>
      <c r="D4179" s="5" t="s">
        <v>9020</v>
      </c>
      <c r="E4179" s="5" t="s">
        <v>28000</v>
      </c>
      <c r="F4179" s="5" t="s">
        <v>212</v>
      </c>
      <c r="G4179" s="5" t="s">
        <v>28001</v>
      </c>
      <c r="H4179" s="6" t="s">
        <v>28002</v>
      </c>
      <c r="K4179" s="5" t="s">
        <v>27992</v>
      </c>
    </row>
    <row r="4180">
      <c r="A4180" s="4">
        <v>45534.349990243056</v>
      </c>
      <c r="B4180" s="5" t="s">
        <v>34</v>
      </c>
      <c r="D4180" s="5" t="s">
        <v>1558</v>
      </c>
      <c r="E4180" s="5" t="s">
        <v>28005</v>
      </c>
      <c r="F4180" s="5" t="s">
        <v>375</v>
      </c>
      <c r="G4180" s="5" t="s">
        <v>28006</v>
      </c>
      <c r="H4180" s="6" t="s">
        <v>28007</v>
      </c>
      <c r="K4180" s="5" t="s">
        <v>27992</v>
      </c>
    </row>
    <row r="4181">
      <c r="A4181" s="4">
        <v>45534.34999108796</v>
      </c>
      <c r="B4181" s="5" t="s">
        <v>34</v>
      </c>
      <c r="D4181" s="5" t="s">
        <v>10444</v>
      </c>
      <c r="E4181" s="5" t="s">
        <v>28011</v>
      </c>
      <c r="F4181" s="5" t="s">
        <v>72</v>
      </c>
      <c r="G4181" s="5" t="s">
        <v>28012</v>
      </c>
      <c r="H4181" s="6" t="s">
        <v>28013</v>
      </c>
      <c r="K4181" s="5" t="s">
        <v>27992</v>
      </c>
    </row>
    <row r="4182">
      <c r="A4182" s="4">
        <v>45534.34999436342</v>
      </c>
      <c r="B4182" s="5" t="s">
        <v>34</v>
      </c>
      <c r="D4182" s="5" t="s">
        <v>9020</v>
      </c>
      <c r="E4182" s="5" t="s">
        <v>28016</v>
      </c>
      <c r="F4182" s="5" t="s">
        <v>212</v>
      </c>
      <c r="G4182" s="5" t="s">
        <v>28017</v>
      </c>
      <c r="H4182" s="6" t="s">
        <v>28018</v>
      </c>
      <c r="K4182" s="5" t="s">
        <v>27992</v>
      </c>
    </row>
    <row r="4183">
      <c r="A4183" s="4">
        <v>45534.34999497685</v>
      </c>
      <c r="B4183" s="5" t="s">
        <v>34</v>
      </c>
      <c r="D4183" s="5" t="s">
        <v>604</v>
      </c>
      <c r="E4183" s="5" t="s">
        <v>28021</v>
      </c>
      <c r="F4183" s="5" t="s">
        <v>108</v>
      </c>
      <c r="G4183" s="5" t="s">
        <v>28022</v>
      </c>
      <c r="H4183" s="6" t="s">
        <v>28023</v>
      </c>
      <c r="K4183" s="5" t="s">
        <v>27992</v>
      </c>
    </row>
    <row r="4184">
      <c r="A4184" s="4">
        <v>45534.350007175926</v>
      </c>
      <c r="B4184" s="5" t="s">
        <v>19</v>
      </c>
      <c r="C4184" s="5" t="s">
        <v>292</v>
      </c>
      <c r="E4184" s="5" t="s">
        <v>28026</v>
      </c>
      <c r="F4184" s="5" t="s">
        <v>108</v>
      </c>
      <c r="G4184" s="5" t="s">
        <v>28027</v>
      </c>
      <c r="H4184" s="6" t="s">
        <v>28028</v>
      </c>
      <c r="K4184" s="5" t="s">
        <v>27992</v>
      </c>
    </row>
    <row r="4185">
      <c r="A4185" s="4">
        <v>45534.35001925926</v>
      </c>
      <c r="B4185" s="5" t="s">
        <v>34</v>
      </c>
      <c r="D4185" s="5" t="s">
        <v>1206</v>
      </c>
      <c r="E4185" s="5" t="s">
        <v>28031</v>
      </c>
      <c r="F4185" s="5" t="s">
        <v>108</v>
      </c>
      <c r="G4185" s="5" t="s">
        <v>28032</v>
      </c>
      <c r="H4185" s="6" t="s">
        <v>28033</v>
      </c>
      <c r="K4185" s="5" t="s">
        <v>27992</v>
      </c>
    </row>
    <row r="4186">
      <c r="A4186" s="4">
        <v>45534.35001978009</v>
      </c>
      <c r="B4186" s="5" t="s">
        <v>34</v>
      </c>
      <c r="D4186" s="5" t="s">
        <v>1206</v>
      </c>
      <c r="E4186" s="5" t="s">
        <v>27528</v>
      </c>
      <c r="F4186" s="5" t="s">
        <v>328</v>
      </c>
      <c r="G4186" s="5" t="s">
        <v>28037</v>
      </c>
      <c r="H4186" s="6" t="s">
        <v>28038</v>
      </c>
      <c r="K4186" s="5" t="s">
        <v>27992</v>
      </c>
    </row>
    <row r="4187">
      <c r="A4187" s="4">
        <v>45534.35002189815</v>
      </c>
      <c r="B4187" s="5" t="s">
        <v>34</v>
      </c>
      <c r="D4187" s="5" t="s">
        <v>9020</v>
      </c>
      <c r="E4187" s="5" t="s">
        <v>28041</v>
      </c>
      <c r="F4187" s="5" t="s">
        <v>212</v>
      </c>
      <c r="G4187" s="5" t="s">
        <v>28042</v>
      </c>
      <c r="H4187" s="6" t="s">
        <v>28043</v>
      </c>
      <c r="K4187" s="5" t="s">
        <v>27992</v>
      </c>
    </row>
    <row r="4188">
      <c r="A4188" s="4">
        <v>45534.350027974535</v>
      </c>
      <c r="B4188" s="5" t="s">
        <v>34</v>
      </c>
      <c r="D4188" s="5" t="s">
        <v>9020</v>
      </c>
      <c r="E4188" s="5" t="s">
        <v>28046</v>
      </c>
      <c r="F4188" s="5" t="s">
        <v>37</v>
      </c>
      <c r="G4188" s="5" t="s">
        <v>28047</v>
      </c>
      <c r="H4188" s="6" t="s">
        <v>28048</v>
      </c>
      <c r="K4188" s="5" t="s">
        <v>27992</v>
      </c>
    </row>
    <row r="4189">
      <c r="A4189" s="4">
        <v>45534.35003584491</v>
      </c>
      <c r="B4189" s="5" t="s">
        <v>34</v>
      </c>
      <c r="D4189" s="5" t="s">
        <v>9020</v>
      </c>
      <c r="E4189" s="5" t="s">
        <v>28051</v>
      </c>
      <c r="F4189" s="5" t="s">
        <v>212</v>
      </c>
      <c r="G4189" s="5" t="s">
        <v>28052</v>
      </c>
      <c r="H4189" s="6" t="s">
        <v>28053</v>
      </c>
      <c r="K4189" s="5" t="s">
        <v>27992</v>
      </c>
    </row>
    <row r="4190">
      <c r="A4190" s="4">
        <v>45534.35004128472</v>
      </c>
      <c r="B4190" s="5" t="s">
        <v>34</v>
      </c>
      <c r="D4190" s="5" t="s">
        <v>4775</v>
      </c>
      <c r="E4190" s="5" t="s">
        <v>28057</v>
      </c>
      <c r="F4190" s="5" t="s">
        <v>199</v>
      </c>
      <c r="G4190" s="5" t="s">
        <v>28058</v>
      </c>
      <c r="H4190" s="6" t="s">
        <v>28059</v>
      </c>
      <c r="K4190" s="5" t="s">
        <v>27992</v>
      </c>
    </row>
    <row r="4191">
      <c r="A4191" s="4">
        <v>45534.35004902778</v>
      </c>
      <c r="B4191" s="5" t="s">
        <v>34</v>
      </c>
      <c r="D4191" s="5" t="s">
        <v>4775</v>
      </c>
      <c r="E4191" s="5" t="s">
        <v>28062</v>
      </c>
      <c r="F4191" s="5" t="s">
        <v>212</v>
      </c>
      <c r="G4191" s="5" t="s">
        <v>28063</v>
      </c>
      <c r="H4191" s="6" t="s">
        <v>28064</v>
      </c>
      <c r="K4191" s="5" t="s">
        <v>27992</v>
      </c>
    </row>
    <row r="4192">
      <c r="A4192" s="4">
        <v>45534.350056828705</v>
      </c>
      <c r="B4192" s="5" t="s">
        <v>34</v>
      </c>
      <c r="D4192" s="5" t="s">
        <v>1768</v>
      </c>
      <c r="E4192" s="5" t="s">
        <v>28067</v>
      </c>
      <c r="F4192" s="5" t="s">
        <v>120</v>
      </c>
      <c r="G4192" s="5" t="s">
        <v>28068</v>
      </c>
      <c r="H4192" s="6" t="s">
        <v>28069</v>
      </c>
      <c r="K4192" s="5" t="s">
        <v>27992</v>
      </c>
    </row>
    <row r="4193">
      <c r="A4193" s="4">
        <v>45534.35005898148</v>
      </c>
      <c r="B4193" s="5" t="s">
        <v>34</v>
      </c>
      <c r="D4193" s="5" t="s">
        <v>4775</v>
      </c>
      <c r="E4193" s="5" t="s">
        <v>24213</v>
      </c>
      <c r="F4193" s="5" t="s">
        <v>375</v>
      </c>
      <c r="G4193" s="5" t="s">
        <v>24214</v>
      </c>
      <c r="H4193" s="6" t="s">
        <v>28072</v>
      </c>
      <c r="K4193" s="5" t="s">
        <v>27992</v>
      </c>
    </row>
    <row r="4194">
      <c r="A4194" s="4">
        <v>45534.35005903935</v>
      </c>
      <c r="B4194" s="5" t="s">
        <v>34</v>
      </c>
      <c r="D4194" s="5" t="s">
        <v>35</v>
      </c>
      <c r="E4194" s="5" t="s">
        <v>28076</v>
      </c>
      <c r="F4194" s="5" t="s">
        <v>798</v>
      </c>
      <c r="G4194" s="5" t="s">
        <v>28077</v>
      </c>
      <c r="H4194" s="6" t="s">
        <v>28078</v>
      </c>
      <c r="K4194" s="5" t="s">
        <v>27992</v>
      </c>
    </row>
    <row r="4195">
      <c r="A4195" s="4">
        <v>45534.35006049769</v>
      </c>
      <c r="B4195" s="5" t="s">
        <v>34</v>
      </c>
      <c r="D4195" s="5" t="s">
        <v>12978</v>
      </c>
      <c r="E4195" s="5" t="s">
        <v>28081</v>
      </c>
      <c r="F4195" s="5" t="s">
        <v>108</v>
      </c>
      <c r="G4195" s="5" t="s">
        <v>28082</v>
      </c>
      <c r="H4195" s="6" t="s">
        <v>28083</v>
      </c>
      <c r="K4195" s="5" t="s">
        <v>27992</v>
      </c>
    </row>
    <row r="4196">
      <c r="A4196" s="4">
        <v>45534.3500612037</v>
      </c>
      <c r="B4196" s="5" t="s">
        <v>34</v>
      </c>
      <c r="D4196" s="5" t="s">
        <v>1206</v>
      </c>
      <c r="E4196" s="5" t="s">
        <v>28086</v>
      </c>
      <c r="F4196" s="5" t="s">
        <v>212</v>
      </c>
      <c r="G4196" s="5" t="s">
        <v>28087</v>
      </c>
      <c r="H4196" s="6" t="s">
        <v>28088</v>
      </c>
      <c r="K4196" s="5" t="s">
        <v>27992</v>
      </c>
    </row>
    <row r="4197">
      <c r="A4197" s="4">
        <v>45534.350064178245</v>
      </c>
      <c r="B4197" s="5" t="s">
        <v>34</v>
      </c>
      <c r="D4197" s="5" t="s">
        <v>12978</v>
      </c>
      <c r="E4197" s="5" t="s">
        <v>28091</v>
      </c>
      <c r="F4197" s="5" t="s">
        <v>375</v>
      </c>
      <c r="G4197" s="5" t="s">
        <v>28092</v>
      </c>
      <c r="H4197" s="6" t="s">
        <v>28093</v>
      </c>
      <c r="K4197" s="5" t="s">
        <v>27992</v>
      </c>
    </row>
    <row r="4198">
      <c r="A4198" s="4">
        <v>45534.350069120366</v>
      </c>
      <c r="B4198" s="5" t="s">
        <v>34</v>
      </c>
      <c r="D4198" s="5" t="s">
        <v>604</v>
      </c>
      <c r="E4198" s="5" t="s">
        <v>28096</v>
      </c>
      <c r="F4198" s="5" t="s">
        <v>108</v>
      </c>
      <c r="G4198" s="5" t="s">
        <v>28097</v>
      </c>
      <c r="H4198" s="6" t="s">
        <v>28098</v>
      </c>
      <c r="K4198" s="5" t="s">
        <v>27992</v>
      </c>
    </row>
    <row r="4199">
      <c r="A4199" s="4">
        <v>45534.35008508102</v>
      </c>
      <c r="B4199" s="5" t="s">
        <v>34</v>
      </c>
      <c r="D4199" s="5" t="s">
        <v>4775</v>
      </c>
      <c r="E4199" s="5" t="s">
        <v>28102</v>
      </c>
      <c r="F4199" s="5" t="s">
        <v>72</v>
      </c>
      <c r="G4199" s="5" t="s">
        <v>28103</v>
      </c>
      <c r="H4199" s="6" t="s">
        <v>28104</v>
      </c>
      <c r="I4199" s="7" t="s">
        <v>28105</v>
      </c>
      <c r="J4199" s="8" t="str">
        <f>HYPERLINK("https://drive.google.com/file/d/1V-RlqvnjuOlGTzdyMwHPE1YQ-3VySPMx/view?usp=drivesdk","ABDUl JALiL SERTIFIKAT BerAKHLAK")</f>
        <v>ABDUl JALiL SERTIFIKAT BerAKHLAK</v>
      </c>
      <c r="K4199" s="5" t="s">
        <v>27657</v>
      </c>
      <c r="L4199" s="5" t="s">
        <v>28106</v>
      </c>
    </row>
    <row r="4200">
      <c r="A4200" s="4">
        <v>45534.35009738426</v>
      </c>
      <c r="B4200" s="5" t="s">
        <v>19</v>
      </c>
      <c r="C4200" s="5" t="s">
        <v>292</v>
      </c>
      <c r="E4200" s="5" t="s">
        <v>28109</v>
      </c>
      <c r="F4200" s="5" t="s">
        <v>72</v>
      </c>
      <c r="G4200" s="5" t="s">
        <v>28110</v>
      </c>
      <c r="H4200" s="6" t="s">
        <v>28111</v>
      </c>
      <c r="I4200" s="7" t="s">
        <v>28112</v>
      </c>
      <c r="J4200" s="8" t="str">
        <f>HYPERLINK("https://drive.google.com/file/d/1NmnE_A_zbyDFyjMlfhZSeO-BJGqpFm0J/view?usp=drivesdk","Siangga Wirapasi Buana SERTIFIKAT BerAKHLAK")</f>
        <v>Siangga Wirapasi Buana SERTIFIKAT BerAKHLAK</v>
      </c>
      <c r="K4200" s="5" t="s">
        <v>27657</v>
      </c>
      <c r="L4200" s="5" t="s">
        <v>28113</v>
      </c>
    </row>
    <row r="4201">
      <c r="A4201" s="4">
        <v>45534.35010202546</v>
      </c>
      <c r="B4201" s="5" t="s">
        <v>34</v>
      </c>
      <c r="D4201" s="5" t="s">
        <v>4775</v>
      </c>
      <c r="E4201" s="5" t="s">
        <v>28116</v>
      </c>
      <c r="F4201" s="5" t="s">
        <v>37</v>
      </c>
      <c r="G4201" s="5" t="s">
        <v>28117</v>
      </c>
      <c r="H4201" s="6" t="s">
        <v>28118</v>
      </c>
      <c r="I4201" s="7" t="s">
        <v>28119</v>
      </c>
      <c r="J4201" s="8" t="str">
        <f>HYPERLINK("https://drive.google.com/file/d/1-VUHHirePeb_ar6QZRZ3rY999Z05IEEU/view?usp=drivesdk","BUDIYANTO SERTIFIKAT BerAKHLAK")</f>
        <v>BUDIYANTO SERTIFIKAT BerAKHLAK</v>
      </c>
      <c r="K4201" s="5" t="s">
        <v>27657</v>
      </c>
      <c r="L4201" s="5" t="s">
        <v>28120</v>
      </c>
    </row>
    <row r="4202">
      <c r="A4202" s="4">
        <v>45534.35014767361</v>
      </c>
      <c r="B4202" s="5" t="s">
        <v>34</v>
      </c>
      <c r="D4202" s="5" t="s">
        <v>1206</v>
      </c>
      <c r="E4202" s="5" t="s">
        <v>28123</v>
      </c>
      <c r="F4202" s="5" t="s">
        <v>524</v>
      </c>
      <c r="G4202" s="5" t="s">
        <v>28124</v>
      </c>
      <c r="H4202" s="6" t="s">
        <v>28125</v>
      </c>
      <c r="I4202" s="7" t="s">
        <v>28126</v>
      </c>
      <c r="J4202" s="8" t="str">
        <f>HYPERLINK("https://drive.google.com/file/d/14Cf6knXobAAkmZEFwCkfXSUVZjEW8TOm/view?usp=drivesdk","MOKH SALEH SERTIFIKAT BerAKHLAK")</f>
        <v>MOKH SALEH SERTIFIKAT BerAKHLAK</v>
      </c>
      <c r="K4202" s="5" t="s">
        <v>27657</v>
      </c>
      <c r="L4202" s="5" t="s">
        <v>28127</v>
      </c>
    </row>
    <row r="4203">
      <c r="A4203" s="4">
        <v>45534.35014821759</v>
      </c>
      <c r="B4203" s="5" t="s">
        <v>34</v>
      </c>
      <c r="D4203" s="5" t="s">
        <v>1206</v>
      </c>
      <c r="E4203" s="5" t="s">
        <v>28130</v>
      </c>
      <c r="F4203" s="5" t="s">
        <v>212</v>
      </c>
      <c r="G4203" s="5" t="s">
        <v>28131</v>
      </c>
      <c r="H4203" s="6" t="s">
        <v>28132</v>
      </c>
      <c r="I4203" s="7" t="s">
        <v>28133</v>
      </c>
      <c r="J4203" s="8" t="str">
        <f>HYPERLINK("https://drive.google.com/file/d/1BooB-izGZOOtmaxWutoACwy6himUsZQT/view?usp=drivesdk","MOCHAMAD CHOMSIN SERTIFIKAT BerAKHLAK")</f>
        <v>MOCHAMAD CHOMSIN SERTIFIKAT BerAKHLAK</v>
      </c>
      <c r="K4203" s="5" t="s">
        <v>27657</v>
      </c>
      <c r="L4203" s="5" t="s">
        <v>28134</v>
      </c>
    </row>
    <row r="4204">
      <c r="A4204" s="4">
        <v>45534.35015440972</v>
      </c>
      <c r="B4204" s="5" t="s">
        <v>34</v>
      </c>
      <c r="D4204" s="5" t="s">
        <v>9020</v>
      </c>
      <c r="E4204" s="5" t="s">
        <v>28138</v>
      </c>
      <c r="F4204" s="5" t="s">
        <v>37</v>
      </c>
      <c r="G4204" s="5" t="s">
        <v>28139</v>
      </c>
      <c r="H4204" s="6" t="s">
        <v>28140</v>
      </c>
      <c r="I4204" s="7" t="s">
        <v>28141</v>
      </c>
      <c r="J4204" s="8" t="str">
        <f>HYPERLINK("https://drive.google.com/file/d/1GFQWetifeqtono55JeJqQfkaGsNVCVeG/view?usp=drivesdk","SAMSUDDIN  SERTIFIKAT BerAKHLAK")</f>
        <v>SAMSUDDIN  SERTIFIKAT BerAKHLAK</v>
      </c>
      <c r="K4204" s="5" t="s">
        <v>27657</v>
      </c>
      <c r="L4204" s="5" t="s">
        <v>28142</v>
      </c>
    </row>
    <row r="4205">
      <c r="A4205" s="4">
        <v>45534.35016255787</v>
      </c>
      <c r="B4205" s="5" t="s">
        <v>34</v>
      </c>
      <c r="D4205" s="5" t="s">
        <v>35</v>
      </c>
      <c r="E4205" s="5" t="s">
        <v>28145</v>
      </c>
      <c r="F4205" s="5" t="s">
        <v>524</v>
      </c>
      <c r="G4205" s="5" t="s">
        <v>28146</v>
      </c>
      <c r="H4205" s="6" t="s">
        <v>28147</v>
      </c>
      <c r="I4205" s="7" t="s">
        <v>28148</v>
      </c>
      <c r="J4205" s="8" t="str">
        <f>HYPERLINK("https://drive.google.com/file/d/1fYP6cS52Ty-0eK4_mdqPvZ6OsbJeswSw/view?usp=drivesdk","NURKESI SERTIFIKAT BerAKHLAK")</f>
        <v>NURKESI SERTIFIKAT BerAKHLAK</v>
      </c>
      <c r="K4205" s="5" t="s">
        <v>27679</v>
      </c>
      <c r="L4205" s="5" t="s">
        <v>28149</v>
      </c>
    </row>
    <row r="4206">
      <c r="A4206" s="4">
        <v>45534.35016354166</v>
      </c>
      <c r="B4206" s="5" t="s">
        <v>34</v>
      </c>
      <c r="D4206" s="5" t="s">
        <v>4775</v>
      </c>
      <c r="E4206" s="5" t="s">
        <v>28152</v>
      </c>
      <c r="F4206" s="5" t="s">
        <v>212</v>
      </c>
      <c r="G4206" s="5" t="s">
        <v>28153</v>
      </c>
      <c r="H4206" s="6" t="s">
        <v>28154</v>
      </c>
      <c r="I4206" s="7" t="s">
        <v>28155</v>
      </c>
      <c r="J4206" s="8" t="str">
        <f>HYPERLINK("https://drive.google.com/file/d/1rC99Y-sOXAOTvK1Oecg8zOSsbZTGUeSB/view?usp=drivesdk","TRI HANDOKO SERTIFIKAT BerAKHLAK")</f>
        <v>TRI HANDOKO SERTIFIKAT BerAKHLAK</v>
      </c>
      <c r="K4206" s="5" t="s">
        <v>27657</v>
      </c>
      <c r="L4206" s="5" t="s">
        <v>28156</v>
      </c>
    </row>
    <row r="4207">
      <c r="A4207" s="4">
        <v>45534.35016408565</v>
      </c>
      <c r="B4207" s="5" t="s">
        <v>34</v>
      </c>
      <c r="D4207" s="5" t="s">
        <v>1206</v>
      </c>
      <c r="E4207" s="5" t="s">
        <v>28159</v>
      </c>
      <c r="F4207" s="5" t="s">
        <v>37</v>
      </c>
      <c r="G4207" s="5" t="s">
        <v>28160</v>
      </c>
      <c r="H4207" s="6" t="s">
        <v>28161</v>
      </c>
      <c r="I4207" s="7" t="s">
        <v>28162</v>
      </c>
      <c r="J4207" s="8" t="str">
        <f>HYPERLINK("https://drive.google.com/file/d/1L9LW_3qtsmWdH4sqqrerzyIgOD3lnXwe/view?usp=drivesdk","MOCH HARIS SERTIFIKAT BerAKHLAK")</f>
        <v>MOCH HARIS SERTIFIKAT BerAKHLAK</v>
      </c>
      <c r="K4207" s="5" t="s">
        <v>27657</v>
      </c>
      <c r="L4207" s="5" t="s">
        <v>28163</v>
      </c>
    </row>
    <row r="4208">
      <c r="A4208" s="4">
        <v>45534.3501671875</v>
      </c>
      <c r="B4208" s="5" t="s">
        <v>19</v>
      </c>
      <c r="C4208" s="5" t="s">
        <v>292</v>
      </c>
      <c r="E4208" s="5" t="s">
        <v>28166</v>
      </c>
      <c r="F4208" s="5" t="s">
        <v>524</v>
      </c>
      <c r="G4208" s="5" t="s">
        <v>28167</v>
      </c>
      <c r="H4208" s="6" t="s">
        <v>28168</v>
      </c>
      <c r="I4208" s="7" t="s">
        <v>28169</v>
      </c>
      <c r="J4208" s="8" t="str">
        <f>HYPERLINK("https://drive.google.com/file/d/1sGJTYuDx3Si1pqbRAbGxS7CLS7TviwSO/view?usp=drivesdk","SRI HARYADI, SPd SERTIFIKAT BerAKHLAK")</f>
        <v>SRI HARYADI, SPd SERTIFIKAT BerAKHLAK</v>
      </c>
      <c r="K4208" s="5" t="s">
        <v>27679</v>
      </c>
      <c r="L4208" s="5" t="s">
        <v>28170</v>
      </c>
    </row>
    <row r="4209">
      <c r="A4209" s="4">
        <v>45534.350171886574</v>
      </c>
      <c r="B4209" s="5" t="s">
        <v>34</v>
      </c>
      <c r="D4209" s="5" t="s">
        <v>9020</v>
      </c>
      <c r="E4209" s="5" t="s">
        <v>28174</v>
      </c>
      <c r="F4209" s="5" t="s">
        <v>212</v>
      </c>
      <c r="G4209" s="5" t="s">
        <v>28175</v>
      </c>
      <c r="H4209" s="6" t="s">
        <v>28176</v>
      </c>
      <c r="K4209" s="5" t="s">
        <v>28177</v>
      </c>
    </row>
    <row r="4210">
      <c r="A4210" s="4">
        <v>45534.35017200232</v>
      </c>
      <c r="B4210" s="5" t="s">
        <v>34</v>
      </c>
      <c r="D4210" s="5" t="s">
        <v>9394</v>
      </c>
      <c r="E4210" s="5" t="s">
        <v>28180</v>
      </c>
      <c r="F4210" s="5" t="s">
        <v>72</v>
      </c>
      <c r="G4210" s="5" t="s">
        <v>28181</v>
      </c>
      <c r="H4210" s="6" t="s">
        <v>28182</v>
      </c>
      <c r="K4210" s="5" t="s">
        <v>28177</v>
      </c>
    </row>
    <row r="4211">
      <c r="A4211" s="4">
        <v>45534.35017327547</v>
      </c>
      <c r="B4211" s="5" t="s">
        <v>34</v>
      </c>
      <c r="D4211" s="5" t="s">
        <v>1206</v>
      </c>
      <c r="E4211" s="5" t="s">
        <v>28185</v>
      </c>
      <c r="F4211" s="5" t="s">
        <v>524</v>
      </c>
      <c r="G4211" s="5" t="s">
        <v>28186</v>
      </c>
      <c r="H4211" s="6" t="s">
        <v>28187</v>
      </c>
      <c r="K4211" s="5" t="s">
        <v>28177</v>
      </c>
    </row>
    <row r="4212">
      <c r="A4212" s="4">
        <v>45534.35017908565</v>
      </c>
      <c r="B4212" s="5" t="s">
        <v>34</v>
      </c>
      <c r="D4212" s="5" t="s">
        <v>35</v>
      </c>
      <c r="E4212" s="5" t="s">
        <v>28190</v>
      </c>
      <c r="F4212" s="5" t="s">
        <v>72</v>
      </c>
      <c r="G4212" s="5" t="s">
        <v>28191</v>
      </c>
      <c r="H4212" s="6" t="s">
        <v>28192</v>
      </c>
      <c r="K4212" s="5" t="s">
        <v>28177</v>
      </c>
    </row>
    <row r="4213">
      <c r="A4213" s="4">
        <v>45534.35018476852</v>
      </c>
      <c r="B4213" s="5" t="s">
        <v>34</v>
      </c>
      <c r="D4213" s="5" t="s">
        <v>9020</v>
      </c>
      <c r="E4213" s="5" t="s">
        <v>28196</v>
      </c>
      <c r="F4213" s="5" t="s">
        <v>524</v>
      </c>
      <c r="G4213" s="5" t="s">
        <v>28197</v>
      </c>
      <c r="H4213" s="6" t="s">
        <v>28198</v>
      </c>
      <c r="K4213" s="5" t="s">
        <v>28177</v>
      </c>
    </row>
    <row r="4214">
      <c r="A4214" s="4">
        <v>45534.35019203703</v>
      </c>
      <c r="B4214" s="5" t="s">
        <v>19</v>
      </c>
      <c r="C4214" s="5" t="s">
        <v>5564</v>
      </c>
      <c r="E4214" s="5" t="s">
        <v>28201</v>
      </c>
      <c r="F4214" s="5" t="s">
        <v>37</v>
      </c>
      <c r="G4214" s="5" t="s">
        <v>28202</v>
      </c>
      <c r="H4214" s="6" t="s">
        <v>28203</v>
      </c>
      <c r="K4214" s="5" t="s">
        <v>28177</v>
      </c>
    </row>
    <row r="4215">
      <c r="A4215" s="4">
        <v>45534.35021048611</v>
      </c>
      <c r="B4215" s="5" t="s">
        <v>34</v>
      </c>
      <c r="D4215" s="5" t="s">
        <v>522</v>
      </c>
      <c r="E4215" s="5" t="s">
        <v>28206</v>
      </c>
      <c r="F4215" s="5" t="s">
        <v>37</v>
      </c>
      <c r="G4215" s="5" t="s">
        <v>28207</v>
      </c>
      <c r="H4215" s="6" t="s">
        <v>28208</v>
      </c>
      <c r="I4215" s="7" t="s">
        <v>28209</v>
      </c>
      <c r="J4215" s="8" t="str">
        <f>HYPERLINK("https://drive.google.com/file/d/10VWcKXtYueUucw2p0aHwZ6T8ki-DiaJV/view?usp=drivesdk","NOVITA PUTRI UTAMI, A.Md., Kep SERTIFIKAT BerAKHLAK")</f>
        <v>NOVITA PUTRI UTAMI, A.Md., Kep SERTIFIKAT BerAKHLAK</v>
      </c>
      <c r="K4215" s="5" t="s">
        <v>27657</v>
      </c>
      <c r="L4215" s="5" t="s">
        <v>28210</v>
      </c>
    </row>
    <row r="4216">
      <c r="A4216" s="4">
        <v>45534.350210752316</v>
      </c>
      <c r="B4216" s="5" t="s">
        <v>34</v>
      </c>
      <c r="D4216" s="5" t="s">
        <v>12010</v>
      </c>
      <c r="E4216" s="5" t="s">
        <v>28213</v>
      </c>
      <c r="F4216" s="5" t="s">
        <v>108</v>
      </c>
      <c r="G4216" s="5" t="s">
        <v>28214</v>
      </c>
      <c r="H4216" s="6" t="s">
        <v>28215</v>
      </c>
      <c r="I4216" s="7" t="s">
        <v>28216</v>
      </c>
      <c r="J4216" s="8" t="str">
        <f>HYPERLINK("https://drive.google.com/file/d/16IrUZnSRqmRPl148FwBh9upjoA4a3O8_/view?usp=drivesdk","RUSNI RUSLAN DALI SERTIFIKAT BerAKHLAK")</f>
        <v>RUSNI RUSLAN DALI SERTIFIKAT BerAKHLAK</v>
      </c>
      <c r="K4216" s="5" t="s">
        <v>27657</v>
      </c>
      <c r="L4216" s="5" t="s">
        <v>28217</v>
      </c>
    </row>
    <row r="4217">
      <c r="A4217" s="4">
        <v>45534.350211377314</v>
      </c>
      <c r="B4217" s="5" t="s">
        <v>34</v>
      </c>
      <c r="D4217" s="5" t="s">
        <v>35</v>
      </c>
      <c r="E4217" s="5" t="s">
        <v>23997</v>
      </c>
      <c r="F4217" s="5" t="s">
        <v>37</v>
      </c>
      <c r="G4217" s="5" t="s">
        <v>28221</v>
      </c>
      <c r="H4217" s="6" t="s">
        <v>28222</v>
      </c>
      <c r="I4217" s="7" t="s">
        <v>28223</v>
      </c>
      <c r="J4217" s="8" t="str">
        <f>HYPERLINK("https://drive.google.com/file/d/1TbkaBkW85KI9v_FVntsjpaELJ-hmcnAq/view?usp=drivesdk","BUDI HERMAWANTO, S.IP. SERTIFIKAT BerAKHLAK")</f>
        <v>BUDI HERMAWANTO, S.IP. SERTIFIKAT BerAKHLAK</v>
      </c>
      <c r="K4217" s="5" t="s">
        <v>27679</v>
      </c>
      <c r="L4217" s="5" t="s">
        <v>28224</v>
      </c>
    </row>
    <row r="4218">
      <c r="A4218" s="4">
        <v>45534.35021826389</v>
      </c>
      <c r="B4218" s="5" t="s">
        <v>34</v>
      </c>
      <c r="D4218" s="5" t="s">
        <v>1206</v>
      </c>
      <c r="E4218" s="5" t="s">
        <v>28227</v>
      </c>
      <c r="F4218" s="5" t="s">
        <v>212</v>
      </c>
      <c r="G4218" s="5" t="s">
        <v>28228</v>
      </c>
      <c r="H4218" s="6" t="s">
        <v>28229</v>
      </c>
      <c r="I4218" s="7" t="s">
        <v>28230</v>
      </c>
      <c r="J4218" s="8" t="str">
        <f>HYPERLINK("https://drive.google.com/file/d/1WV-KijHFHRtMnrlu_CUKQzgHs-awAJ-w/view?usp=drivesdk","LUSI AGUSTINI, SE SERTIFIKAT BerAKHLAK")</f>
        <v>LUSI AGUSTINI, SE SERTIFIKAT BerAKHLAK</v>
      </c>
      <c r="K4218" s="5" t="s">
        <v>27679</v>
      </c>
      <c r="L4218" s="5" t="s">
        <v>28231</v>
      </c>
    </row>
    <row r="4219">
      <c r="A4219" s="4">
        <v>45534.350240775464</v>
      </c>
      <c r="B4219" s="5" t="s">
        <v>34</v>
      </c>
      <c r="D4219" s="5" t="s">
        <v>6232</v>
      </c>
      <c r="E4219" s="5" t="s">
        <v>28234</v>
      </c>
      <c r="F4219" s="5" t="s">
        <v>524</v>
      </c>
      <c r="G4219" s="5" t="s">
        <v>28235</v>
      </c>
      <c r="H4219" s="6" t="s">
        <v>28236</v>
      </c>
      <c r="I4219" s="7" t="s">
        <v>28237</v>
      </c>
      <c r="J4219" s="8" t="str">
        <f>HYPERLINK("https://drive.google.com/file/d/1rZy_yQWddM7OW504sdEpGXmZYOe9Gl1K/view?usp=drivesdk","HAPPY NAZIA, S.Pd. AUD SERTIFIKAT BerAKHLAK")</f>
        <v>HAPPY NAZIA, S.Pd. AUD SERTIFIKAT BerAKHLAK</v>
      </c>
      <c r="K4219" s="5" t="s">
        <v>27657</v>
      </c>
      <c r="L4219" s="5" t="s">
        <v>28238</v>
      </c>
    </row>
    <row r="4220">
      <c r="A4220" s="4">
        <v>45534.35024489583</v>
      </c>
      <c r="B4220" s="5" t="s">
        <v>34</v>
      </c>
      <c r="D4220" s="5" t="s">
        <v>1206</v>
      </c>
      <c r="E4220" s="5" t="s">
        <v>28242</v>
      </c>
      <c r="F4220" s="5" t="s">
        <v>37</v>
      </c>
      <c r="G4220" s="5" t="s">
        <v>28243</v>
      </c>
      <c r="H4220" s="6" t="s">
        <v>28244</v>
      </c>
      <c r="I4220" s="7" t="s">
        <v>28245</v>
      </c>
      <c r="J4220" s="8" t="str">
        <f>HYPERLINK("https://drive.google.com/file/d/170uXcQaycfL5L5MGCkxbxsyzreo9YqI3/view?usp=drivesdk","NINIK DWI ERLINA SERTIFIKAT BerAKHLAK")</f>
        <v>NINIK DWI ERLINA SERTIFIKAT BerAKHLAK</v>
      </c>
      <c r="K4220" s="5" t="s">
        <v>27657</v>
      </c>
      <c r="L4220" s="5" t="s">
        <v>28246</v>
      </c>
    </row>
    <row r="4221">
      <c r="A4221" s="4">
        <v>45534.3502452199</v>
      </c>
      <c r="B4221" s="5" t="s">
        <v>34</v>
      </c>
      <c r="D4221" s="5" t="s">
        <v>1206</v>
      </c>
      <c r="E4221" s="5" t="s">
        <v>28249</v>
      </c>
      <c r="F4221" s="5" t="s">
        <v>37</v>
      </c>
      <c r="G4221" s="5" t="s">
        <v>28250</v>
      </c>
      <c r="H4221" s="6" t="s">
        <v>28251</v>
      </c>
      <c r="I4221" s="7" t="s">
        <v>28252</v>
      </c>
      <c r="J4221" s="8" t="str">
        <f>HYPERLINK("https://drive.google.com/file/d/1AjbaEr6tqbm7fg_xwkiwWphIaUwHp_45/view?usp=drivesdk","SITI MUTMAINAH SERTIFIKAT BerAKHLAK")</f>
        <v>SITI MUTMAINAH SERTIFIKAT BerAKHLAK</v>
      </c>
      <c r="K4221" s="5" t="s">
        <v>27657</v>
      </c>
      <c r="L4221" s="5" t="s">
        <v>28253</v>
      </c>
    </row>
    <row r="4222">
      <c r="A4222" s="4">
        <v>45534.350246064816</v>
      </c>
      <c r="B4222" s="5" t="s">
        <v>34</v>
      </c>
      <c r="D4222" s="5" t="s">
        <v>10444</v>
      </c>
      <c r="E4222" s="5" t="s">
        <v>28256</v>
      </c>
      <c r="F4222" s="5" t="s">
        <v>212</v>
      </c>
      <c r="G4222" s="5" t="s">
        <v>28257</v>
      </c>
      <c r="H4222" s="6" t="s">
        <v>28258</v>
      </c>
      <c r="I4222" s="7" t="s">
        <v>28259</v>
      </c>
      <c r="J4222" s="8" t="str">
        <f>HYPERLINK("https://drive.google.com/file/d/1yPVxcEA8HBVrWPmMs-n09oZJWp9C88B-/view?usp=drivesdk","INDAH OKTAVIANTI SERTIFIKAT BerAKHLAK")</f>
        <v>INDAH OKTAVIANTI SERTIFIKAT BerAKHLAK</v>
      </c>
      <c r="K4222" s="5" t="s">
        <v>27679</v>
      </c>
      <c r="L4222" s="5" t="s">
        <v>28260</v>
      </c>
    </row>
    <row r="4223">
      <c r="A4223" s="4">
        <v>45534.35024810185</v>
      </c>
      <c r="B4223" s="5" t="s">
        <v>34</v>
      </c>
      <c r="D4223" s="5" t="s">
        <v>9020</v>
      </c>
      <c r="E4223" s="5" t="s">
        <v>28263</v>
      </c>
      <c r="F4223" s="5" t="s">
        <v>524</v>
      </c>
      <c r="G4223" s="5" t="s">
        <v>28264</v>
      </c>
      <c r="H4223" s="6" t="s">
        <v>28265</v>
      </c>
      <c r="I4223" s="7" t="s">
        <v>28266</v>
      </c>
      <c r="J4223" s="8" t="str">
        <f>HYPERLINK("https://drive.google.com/file/d/1zQuzQWFz1UkVukXrPWyyqjBltoJL3S9D/view?usp=drivesdk","FATIMAH SIAHAAN SH SERTIFIKAT BerAKHLAK")</f>
        <v>FATIMAH SIAHAAN SH SERTIFIKAT BerAKHLAK</v>
      </c>
      <c r="K4223" s="5" t="s">
        <v>27679</v>
      </c>
      <c r="L4223" s="5" t="s">
        <v>28267</v>
      </c>
    </row>
    <row r="4224">
      <c r="A4224" s="4">
        <v>45534.35025173611</v>
      </c>
      <c r="B4224" s="5" t="s">
        <v>19</v>
      </c>
      <c r="C4224" s="5" t="s">
        <v>292</v>
      </c>
      <c r="E4224" s="5" t="s">
        <v>28271</v>
      </c>
      <c r="F4224" s="5" t="s">
        <v>72</v>
      </c>
      <c r="G4224" s="5" t="s">
        <v>28272</v>
      </c>
      <c r="H4224" s="6" t="s">
        <v>28273</v>
      </c>
      <c r="I4224" s="7" t="s">
        <v>28274</v>
      </c>
      <c r="J4224" s="8" t="str">
        <f>HYPERLINK("https://drive.google.com/file/d/1Isjs3P9OO5oBJ3NJhpegFbEO8tmERr-1/view?usp=drivesdk","SASLI KUSUMA SERTIFIKAT BerAKHLAK")</f>
        <v>SASLI KUSUMA SERTIFIKAT BerAKHLAK</v>
      </c>
      <c r="K4224" s="5" t="s">
        <v>27679</v>
      </c>
      <c r="L4224" s="5" t="s">
        <v>28275</v>
      </c>
    </row>
    <row r="4225">
      <c r="A4225" s="4">
        <v>45534.35025778935</v>
      </c>
      <c r="B4225" s="5" t="s">
        <v>34</v>
      </c>
      <c r="D4225" s="5" t="s">
        <v>9020</v>
      </c>
      <c r="E4225" s="5" t="s">
        <v>28278</v>
      </c>
      <c r="F4225" s="5" t="s">
        <v>199</v>
      </c>
      <c r="G4225" s="5" t="s">
        <v>28279</v>
      </c>
      <c r="H4225" s="6" t="s">
        <v>28280</v>
      </c>
      <c r="K4225" s="5" t="s">
        <v>28281</v>
      </c>
    </row>
    <row r="4226">
      <c r="A4226" s="4">
        <v>45534.35026375</v>
      </c>
      <c r="B4226" s="5" t="s">
        <v>34</v>
      </c>
      <c r="D4226" s="5" t="s">
        <v>522</v>
      </c>
      <c r="E4226" s="5" t="s">
        <v>28284</v>
      </c>
      <c r="F4226" s="5" t="s">
        <v>375</v>
      </c>
      <c r="G4226" s="5" t="s">
        <v>28285</v>
      </c>
      <c r="H4226" s="6" t="s">
        <v>28286</v>
      </c>
      <c r="I4226" s="7" t="s">
        <v>28287</v>
      </c>
      <c r="J4226" s="8" t="str">
        <f>HYPERLINK("https://drive.google.com/file/d/1-bu0ThHDegsHn78jcl_gko_MF8VUCCle/view?usp=drivesdk","SAHLAN S.SOS SERTIFIKAT BerAKHLAK")</f>
        <v>SAHLAN S.SOS SERTIFIKAT BerAKHLAK</v>
      </c>
      <c r="K4226" s="5" t="s">
        <v>27657</v>
      </c>
      <c r="L4226" s="5" t="s">
        <v>28288</v>
      </c>
    </row>
    <row r="4227">
      <c r="A4227" s="4">
        <v>45534.35028878472</v>
      </c>
      <c r="B4227" s="5" t="s">
        <v>19</v>
      </c>
      <c r="C4227" s="5" t="s">
        <v>292</v>
      </c>
      <c r="E4227" s="5" t="s">
        <v>28292</v>
      </c>
      <c r="F4227" s="5" t="s">
        <v>375</v>
      </c>
      <c r="G4227" s="5" t="s">
        <v>28293</v>
      </c>
      <c r="H4227" s="6" t="s">
        <v>28294</v>
      </c>
      <c r="I4227" s="7" t="s">
        <v>28295</v>
      </c>
      <c r="J4227" s="8" t="str">
        <f>HYPERLINK("https://drive.google.com/file/d/1AP4IaGnt1F6_-pQvYn1Greye7KsZG4cU/view?usp=drivesdk","RINI PUSPADEWI SERTIFIKAT BerAKHLAK")</f>
        <v>RINI PUSPADEWI SERTIFIKAT BerAKHLAK</v>
      </c>
      <c r="K4227" s="5" t="s">
        <v>27657</v>
      </c>
      <c r="L4227" s="5" t="s">
        <v>28296</v>
      </c>
    </row>
    <row r="4228">
      <c r="A4228" s="4">
        <v>45534.350295763885</v>
      </c>
      <c r="B4228" s="5" t="s">
        <v>34</v>
      </c>
      <c r="D4228" s="5" t="s">
        <v>10444</v>
      </c>
      <c r="E4228" s="5" t="s">
        <v>28299</v>
      </c>
      <c r="F4228" s="5" t="s">
        <v>375</v>
      </c>
      <c r="G4228" s="5" t="s">
        <v>28300</v>
      </c>
      <c r="H4228" s="6" t="s">
        <v>28301</v>
      </c>
      <c r="I4228" s="7" t="s">
        <v>28302</v>
      </c>
      <c r="J4228" s="8" t="str">
        <f>HYPERLINK("https://drive.google.com/file/d/1BhJW6UDcdqWObxNVp8NDshxpsicQUKgB/view?usp=drivesdk","DODY ARDIYONO, S.KOM SERTIFIKAT BerAKHLAK")</f>
        <v>DODY ARDIYONO, S.KOM SERTIFIKAT BerAKHLAK</v>
      </c>
      <c r="K4228" s="5" t="s">
        <v>27679</v>
      </c>
      <c r="L4228" s="5" t="s">
        <v>28303</v>
      </c>
    </row>
    <row r="4229">
      <c r="A4229" s="4">
        <v>45534.35029702546</v>
      </c>
      <c r="B4229" s="5" t="s">
        <v>34</v>
      </c>
      <c r="D4229" s="5" t="s">
        <v>4775</v>
      </c>
      <c r="E4229" s="5" t="s">
        <v>28306</v>
      </c>
      <c r="F4229" s="5" t="s">
        <v>524</v>
      </c>
      <c r="G4229" s="5" t="s">
        <v>28307</v>
      </c>
      <c r="H4229" s="6" t="s">
        <v>28308</v>
      </c>
      <c r="I4229" s="7" t="s">
        <v>28309</v>
      </c>
      <c r="J4229" s="8" t="str">
        <f>HYPERLINK("https://drive.google.com/file/d/1RqIVr8QlAU1eXZF06F4Ww3ZXSHZAoCCF/view?usp=drivesdk","PITO, A. Md SERTIFIKAT BerAKHLAK")</f>
        <v>PITO, A. Md SERTIFIKAT BerAKHLAK</v>
      </c>
      <c r="K4229" s="5" t="s">
        <v>27679</v>
      </c>
      <c r="L4229" s="5" t="s">
        <v>28310</v>
      </c>
    </row>
    <row r="4230">
      <c r="A4230" s="4">
        <v>45534.35030498843</v>
      </c>
      <c r="B4230" s="5" t="s">
        <v>34</v>
      </c>
      <c r="D4230" s="5" t="s">
        <v>35</v>
      </c>
      <c r="E4230" s="5" t="s">
        <v>28313</v>
      </c>
      <c r="F4230" s="5" t="s">
        <v>72</v>
      </c>
      <c r="G4230" s="5" t="s">
        <v>28314</v>
      </c>
      <c r="H4230" s="6" t="s">
        <v>28315</v>
      </c>
      <c r="I4230" s="7" t="s">
        <v>28316</v>
      </c>
      <c r="J4230" s="8" t="str">
        <f>HYPERLINK("https://drive.google.com/file/d/1cICb6DgoyJNMP06xBAcb0sceJ-csXSJn/view?usp=drivesdk","SUYATMAN SERTIFIKAT BerAKHLAK")</f>
        <v>SUYATMAN SERTIFIKAT BerAKHLAK</v>
      </c>
      <c r="K4230" s="5" t="s">
        <v>27679</v>
      </c>
      <c r="L4230" s="5" t="s">
        <v>28317</v>
      </c>
    </row>
    <row r="4231">
      <c r="A4231" s="4">
        <v>45534.350305914355</v>
      </c>
      <c r="B4231" s="5" t="s">
        <v>34</v>
      </c>
      <c r="D4231" s="5" t="s">
        <v>1206</v>
      </c>
      <c r="E4231" s="5" t="s">
        <v>28321</v>
      </c>
      <c r="F4231" s="5" t="s">
        <v>212</v>
      </c>
      <c r="G4231" s="5" t="s">
        <v>28322</v>
      </c>
      <c r="H4231" s="6" t="s">
        <v>28323</v>
      </c>
      <c r="K4231" s="5" t="s">
        <v>28324</v>
      </c>
    </row>
    <row r="4232">
      <c r="A4232" s="4">
        <v>45534.35030578704</v>
      </c>
      <c r="B4232" s="5" t="s">
        <v>19</v>
      </c>
      <c r="C4232" s="5" t="s">
        <v>292</v>
      </c>
      <c r="E4232" s="5" t="s">
        <v>28327</v>
      </c>
      <c r="F4232" s="5" t="s">
        <v>524</v>
      </c>
      <c r="G4232" s="5" t="s">
        <v>28328</v>
      </c>
      <c r="H4232" s="6" t="s">
        <v>28329</v>
      </c>
      <c r="K4232" s="5" t="s">
        <v>28324</v>
      </c>
    </row>
    <row r="4233">
      <c r="A4233" s="4">
        <v>45534.350308124995</v>
      </c>
      <c r="B4233" s="5" t="s">
        <v>34</v>
      </c>
      <c r="D4233" s="5" t="s">
        <v>9020</v>
      </c>
      <c r="E4233" s="5" t="s">
        <v>28332</v>
      </c>
      <c r="F4233" s="5" t="s">
        <v>524</v>
      </c>
      <c r="G4233" s="5" t="s">
        <v>28333</v>
      </c>
      <c r="H4233" s="6" t="s">
        <v>28334</v>
      </c>
      <c r="K4233" s="5" t="s">
        <v>28335</v>
      </c>
    </row>
    <row r="4234">
      <c r="A4234" s="4">
        <v>45534.350313206014</v>
      </c>
      <c r="B4234" s="5" t="s">
        <v>19</v>
      </c>
      <c r="C4234" s="5" t="s">
        <v>3471</v>
      </c>
      <c r="E4234" s="5" t="s">
        <v>28338</v>
      </c>
      <c r="F4234" s="5" t="s">
        <v>108</v>
      </c>
      <c r="G4234" s="5" t="s">
        <v>28339</v>
      </c>
      <c r="H4234" s="6" t="s">
        <v>28340</v>
      </c>
      <c r="K4234" s="5" t="s">
        <v>28335</v>
      </c>
    </row>
    <row r="4235">
      <c r="A4235" s="4">
        <v>45534.35032809028</v>
      </c>
      <c r="B4235" s="5" t="s">
        <v>34</v>
      </c>
      <c r="D4235" s="5" t="s">
        <v>9020</v>
      </c>
      <c r="E4235" s="5" t="s">
        <v>28344</v>
      </c>
      <c r="F4235" s="5" t="s">
        <v>212</v>
      </c>
      <c r="G4235" s="5" t="s">
        <v>28345</v>
      </c>
      <c r="H4235" s="6" t="s">
        <v>28346</v>
      </c>
      <c r="K4235" s="5" t="s">
        <v>28335</v>
      </c>
    </row>
    <row r="4236">
      <c r="A4236" s="4">
        <v>45534.35033015047</v>
      </c>
      <c r="B4236" s="5" t="s">
        <v>34</v>
      </c>
      <c r="D4236" s="5" t="s">
        <v>35</v>
      </c>
      <c r="E4236" s="5" t="s">
        <v>28349</v>
      </c>
      <c r="F4236" s="5" t="s">
        <v>37</v>
      </c>
      <c r="G4236" s="5" t="s">
        <v>28350</v>
      </c>
      <c r="H4236" s="6" t="s">
        <v>28351</v>
      </c>
      <c r="K4236" s="5" t="s">
        <v>28352</v>
      </c>
    </row>
    <row r="4237">
      <c r="A4237" s="4">
        <v>45534.35034171296</v>
      </c>
      <c r="B4237" s="5" t="s">
        <v>34</v>
      </c>
      <c r="D4237" s="5" t="s">
        <v>1206</v>
      </c>
      <c r="E4237" s="5" t="s">
        <v>28355</v>
      </c>
      <c r="F4237" s="5" t="s">
        <v>37</v>
      </c>
      <c r="G4237" s="5" t="s">
        <v>28356</v>
      </c>
      <c r="H4237" s="6" t="s">
        <v>28357</v>
      </c>
      <c r="K4237" s="5" t="s">
        <v>28352</v>
      </c>
    </row>
    <row r="4238">
      <c r="A4238" s="4">
        <v>45534.35034331019</v>
      </c>
      <c r="B4238" s="5" t="s">
        <v>34</v>
      </c>
      <c r="D4238" s="5" t="s">
        <v>1206</v>
      </c>
      <c r="E4238" s="5" t="s">
        <v>28360</v>
      </c>
      <c r="F4238" s="5" t="s">
        <v>22</v>
      </c>
      <c r="G4238" s="5" t="s">
        <v>28361</v>
      </c>
      <c r="H4238" s="6" t="s">
        <v>28362</v>
      </c>
      <c r="K4238" s="5" t="s">
        <v>28352</v>
      </c>
    </row>
    <row r="4239">
      <c r="A4239" s="4">
        <v>45534.35034913194</v>
      </c>
      <c r="B4239" s="5" t="s">
        <v>34</v>
      </c>
      <c r="D4239" s="5" t="s">
        <v>10444</v>
      </c>
      <c r="E4239" s="5" t="s">
        <v>28366</v>
      </c>
      <c r="F4239" s="5" t="s">
        <v>108</v>
      </c>
      <c r="G4239" s="5" t="s">
        <v>28367</v>
      </c>
      <c r="H4239" s="6" t="s">
        <v>28368</v>
      </c>
      <c r="K4239" s="5" t="s">
        <v>28369</v>
      </c>
    </row>
    <row r="4240">
      <c r="A4240" s="4">
        <v>45534.35035017361</v>
      </c>
      <c r="B4240" s="5" t="s">
        <v>34</v>
      </c>
      <c r="D4240" s="5" t="s">
        <v>9020</v>
      </c>
      <c r="E4240" s="5" t="s">
        <v>28372</v>
      </c>
      <c r="F4240" s="5" t="s">
        <v>715</v>
      </c>
      <c r="G4240" s="5" t="s">
        <v>28373</v>
      </c>
      <c r="H4240" s="6" t="s">
        <v>28374</v>
      </c>
      <c r="K4240" s="5" t="s">
        <v>28369</v>
      </c>
    </row>
    <row r="4241">
      <c r="A4241" s="4">
        <v>45534.35036803241</v>
      </c>
      <c r="B4241" s="5" t="s">
        <v>34</v>
      </c>
      <c r="D4241" s="5" t="s">
        <v>9020</v>
      </c>
      <c r="E4241" s="5" t="s">
        <v>28377</v>
      </c>
      <c r="F4241" s="5" t="s">
        <v>37</v>
      </c>
      <c r="G4241" s="5" t="s">
        <v>28378</v>
      </c>
      <c r="H4241" s="6" t="s">
        <v>28379</v>
      </c>
      <c r="I4241" s="7" t="s">
        <v>28380</v>
      </c>
      <c r="J4241" s="8" t="str">
        <f>HYPERLINK("https://drive.google.com/file/d/1yCaEx0WJX6sIJFQEthk4OYDIR7TY_ty7/view?usp=drivesdk","SILVIA YUNDARI  SERTIFIKAT BerAKHLAK")</f>
        <v>SILVIA YUNDARI  SERTIFIKAT BerAKHLAK</v>
      </c>
      <c r="K4241" s="5" t="s">
        <v>27679</v>
      </c>
      <c r="L4241" s="5" t="s">
        <v>28381</v>
      </c>
    </row>
    <row r="4242">
      <c r="A4242" s="4">
        <v>45534.35037130787</v>
      </c>
      <c r="B4242" s="5" t="s">
        <v>34</v>
      </c>
      <c r="D4242" s="5" t="s">
        <v>9020</v>
      </c>
      <c r="E4242" s="5" t="s">
        <v>28384</v>
      </c>
      <c r="F4242" s="5" t="s">
        <v>120</v>
      </c>
      <c r="G4242" s="5" t="s">
        <v>28385</v>
      </c>
      <c r="H4242" s="6" t="s">
        <v>28386</v>
      </c>
      <c r="I4242" s="7" t="s">
        <v>28387</v>
      </c>
      <c r="J4242" s="8" t="str">
        <f>HYPERLINK("https://drive.google.com/file/d/1kqYT7R49lGdz5EeOFpWhCNxGPnXUjz_W/view?usp=drivesdk","Dr Lesly Nelvawaty Sitorus SERTIFIKAT BerAKHLAK")</f>
        <v>Dr Lesly Nelvawaty Sitorus SERTIFIKAT BerAKHLAK</v>
      </c>
      <c r="K4242" s="5" t="s">
        <v>27679</v>
      </c>
      <c r="L4242" s="5" t="s">
        <v>28388</v>
      </c>
    </row>
    <row r="4243">
      <c r="A4243" s="4">
        <v>45534.3503838426</v>
      </c>
      <c r="B4243" s="5" t="s">
        <v>34</v>
      </c>
      <c r="D4243" s="5" t="s">
        <v>35</v>
      </c>
      <c r="E4243" s="5" t="s">
        <v>28392</v>
      </c>
      <c r="F4243" s="5" t="s">
        <v>37</v>
      </c>
      <c r="G4243" s="5" t="s">
        <v>28393</v>
      </c>
      <c r="H4243" s="6" t="s">
        <v>28394</v>
      </c>
      <c r="I4243" s="7" t="s">
        <v>28395</v>
      </c>
      <c r="J4243" s="8" t="str">
        <f>HYPERLINK("https://drive.google.com/file/d/15PYweRxLiVls29e2DUUU3BcI3Im7Vjw-/view?usp=drivesdk","YULI SETIOWATI SERTIFIKAT BerAKHLAK")</f>
        <v>YULI SETIOWATI SERTIFIKAT BerAKHLAK</v>
      </c>
      <c r="K4243" s="5" t="s">
        <v>27657</v>
      </c>
      <c r="L4243" s="5" t="s">
        <v>28396</v>
      </c>
    </row>
    <row r="4244">
      <c r="A4244" s="4">
        <v>45534.35038725694</v>
      </c>
      <c r="B4244" s="5" t="s">
        <v>34</v>
      </c>
      <c r="D4244" s="5" t="s">
        <v>1558</v>
      </c>
      <c r="E4244" s="5" t="s">
        <v>28399</v>
      </c>
      <c r="F4244" s="5" t="s">
        <v>524</v>
      </c>
      <c r="G4244" s="5" t="s">
        <v>28400</v>
      </c>
      <c r="H4244" s="6" t="s">
        <v>28401</v>
      </c>
      <c r="I4244" s="7" t="s">
        <v>28402</v>
      </c>
      <c r="J4244" s="8" t="str">
        <f>HYPERLINK("https://drive.google.com/file/d/1rEo6yyah8Pk9Z8cJICfr1YQJYw37LTRk/view?usp=drivesdk","SUTARBI, SH SERTIFIKAT BerAKHLAK")</f>
        <v>SUTARBI, SH SERTIFIKAT BerAKHLAK</v>
      </c>
      <c r="K4244" s="5" t="s">
        <v>27679</v>
      </c>
      <c r="L4244" s="5" t="s">
        <v>28403</v>
      </c>
    </row>
    <row r="4245">
      <c r="A4245" s="4">
        <v>45534.35038856481</v>
      </c>
      <c r="B4245" s="5" t="s">
        <v>34</v>
      </c>
      <c r="D4245" s="5" t="s">
        <v>12010</v>
      </c>
      <c r="E4245" s="5" t="s">
        <v>28406</v>
      </c>
      <c r="F4245" s="5" t="s">
        <v>212</v>
      </c>
      <c r="G4245" s="5" t="s">
        <v>28407</v>
      </c>
      <c r="H4245" s="6" t="s">
        <v>28408</v>
      </c>
      <c r="K4245" s="5" t="s">
        <v>28409</v>
      </c>
    </row>
    <row r="4246">
      <c r="A4246" s="4">
        <v>45534.35038978009</v>
      </c>
      <c r="B4246" s="5" t="s">
        <v>34</v>
      </c>
      <c r="D4246" s="5" t="s">
        <v>701</v>
      </c>
      <c r="E4246" s="5" t="s">
        <v>28412</v>
      </c>
      <c r="F4246" s="5" t="s">
        <v>524</v>
      </c>
      <c r="G4246" s="5" t="s">
        <v>28413</v>
      </c>
      <c r="H4246" s="6" t="s">
        <v>28414</v>
      </c>
      <c r="K4246" s="5" t="s">
        <v>28409</v>
      </c>
    </row>
    <row r="4247">
      <c r="A4247" s="4">
        <v>45534.3504058449</v>
      </c>
      <c r="B4247" s="5" t="s">
        <v>34</v>
      </c>
      <c r="D4247" s="5" t="s">
        <v>1206</v>
      </c>
      <c r="E4247" s="5" t="s">
        <v>28418</v>
      </c>
      <c r="F4247" s="5" t="s">
        <v>212</v>
      </c>
      <c r="G4247" s="5" t="s">
        <v>28419</v>
      </c>
      <c r="H4247" s="6" t="s">
        <v>28420</v>
      </c>
      <c r="I4247" s="7" t="s">
        <v>28421</v>
      </c>
      <c r="J4247" s="8" t="str">
        <f>HYPERLINK("https://drive.google.com/file/d/19lsJ03XeInr_s8L-wCm30dkUIYoL2yQP/view?usp=drivesdk","HADI SUMONO SERTIFIKAT BerAKHLAK")</f>
        <v>HADI SUMONO SERTIFIKAT BerAKHLAK</v>
      </c>
      <c r="K4247" s="5" t="s">
        <v>27679</v>
      </c>
      <c r="L4247" s="5" t="s">
        <v>28422</v>
      </c>
    </row>
    <row r="4248">
      <c r="A4248" s="4">
        <v>45534.35040809028</v>
      </c>
      <c r="B4248" s="5" t="s">
        <v>34</v>
      </c>
      <c r="D4248" s="5" t="s">
        <v>35</v>
      </c>
      <c r="E4248" s="5" t="s">
        <v>28425</v>
      </c>
      <c r="F4248" s="5" t="s">
        <v>37</v>
      </c>
      <c r="G4248" s="5" t="s">
        <v>28426</v>
      </c>
      <c r="H4248" s="6" t="s">
        <v>28427</v>
      </c>
      <c r="I4248" s="7" t="s">
        <v>28428</v>
      </c>
      <c r="J4248" s="8" t="str">
        <f>HYPERLINK("https://drive.google.com/file/d/1Lz4H7YXDs4zfx4AGX-ZBtmPVRMX_qmCo/view?usp=drivesdk","PENGATUR TARWIN  SERTIFIKAT BerAKHLAK")</f>
        <v>PENGATUR TARWIN  SERTIFIKAT BerAKHLAK</v>
      </c>
      <c r="K4248" s="5" t="s">
        <v>27679</v>
      </c>
      <c r="L4248" s="5" t="s">
        <v>28429</v>
      </c>
    </row>
    <row r="4249">
      <c r="A4249" s="4">
        <v>45534.35041135417</v>
      </c>
      <c r="B4249" s="5" t="s">
        <v>34</v>
      </c>
      <c r="D4249" s="5" t="s">
        <v>996</v>
      </c>
      <c r="E4249" s="5" t="s">
        <v>28432</v>
      </c>
      <c r="F4249" s="5" t="s">
        <v>212</v>
      </c>
      <c r="G4249" s="5" t="s">
        <v>28433</v>
      </c>
      <c r="H4249" s="6" t="s">
        <v>28434</v>
      </c>
      <c r="I4249" s="7" t="s">
        <v>28435</v>
      </c>
      <c r="J4249" s="8" t="str">
        <f>HYPERLINK("https://drive.google.com/file/d/1R2E_eOgLqXClL71CcHo2by6LFM-32Ah4/view?usp=drivesdk","NURJANNAH SERTIFIKAT BerAKHLAK")</f>
        <v>NURJANNAH SERTIFIKAT BerAKHLAK</v>
      </c>
      <c r="K4249" s="5" t="s">
        <v>27679</v>
      </c>
      <c r="L4249" s="5" t="s">
        <v>28436</v>
      </c>
    </row>
    <row r="4250">
      <c r="A4250" s="4">
        <v>45534.350423194446</v>
      </c>
      <c r="B4250" s="5" t="s">
        <v>34</v>
      </c>
      <c r="D4250" s="5" t="s">
        <v>2903</v>
      </c>
      <c r="E4250" s="5" t="s">
        <v>28440</v>
      </c>
      <c r="F4250" s="5" t="s">
        <v>37</v>
      </c>
      <c r="G4250" s="5" t="s">
        <v>28441</v>
      </c>
      <c r="H4250" s="6" t="s">
        <v>28442</v>
      </c>
      <c r="K4250" s="5" t="s">
        <v>28443</v>
      </c>
    </row>
    <row r="4251">
      <c r="A4251" s="4">
        <v>45534.35043795139</v>
      </c>
      <c r="B4251" s="5" t="s">
        <v>34</v>
      </c>
      <c r="D4251" s="5" t="s">
        <v>1206</v>
      </c>
      <c r="E4251" s="5" t="s">
        <v>28446</v>
      </c>
      <c r="F4251" s="5" t="s">
        <v>375</v>
      </c>
      <c r="G4251" s="5" t="s">
        <v>28447</v>
      </c>
      <c r="H4251" s="6" t="s">
        <v>28448</v>
      </c>
      <c r="K4251" s="5" t="s">
        <v>28443</v>
      </c>
    </row>
    <row r="4252">
      <c r="A4252" s="4">
        <v>45534.35044490741</v>
      </c>
      <c r="B4252" s="5" t="s">
        <v>34</v>
      </c>
      <c r="D4252" s="5" t="s">
        <v>9020</v>
      </c>
      <c r="E4252" s="5" t="s">
        <v>28451</v>
      </c>
      <c r="F4252" s="5" t="s">
        <v>524</v>
      </c>
      <c r="G4252" s="5" t="s">
        <v>28452</v>
      </c>
      <c r="H4252" s="6" t="s">
        <v>28453</v>
      </c>
      <c r="K4252" s="5" t="s">
        <v>28443</v>
      </c>
    </row>
    <row r="4253">
      <c r="A4253" s="4">
        <v>45534.350457175926</v>
      </c>
      <c r="B4253" s="5" t="s">
        <v>34</v>
      </c>
      <c r="D4253" s="5" t="s">
        <v>12978</v>
      </c>
      <c r="E4253" s="5" t="s">
        <v>28456</v>
      </c>
      <c r="F4253" s="5" t="s">
        <v>524</v>
      </c>
      <c r="G4253" s="5" t="s">
        <v>28457</v>
      </c>
      <c r="H4253" s="6" t="s">
        <v>28458</v>
      </c>
      <c r="K4253" s="5" t="s">
        <v>28443</v>
      </c>
    </row>
    <row r="4254">
      <c r="A4254" s="4">
        <v>45534.35047935185</v>
      </c>
      <c r="B4254" s="5" t="s">
        <v>34</v>
      </c>
      <c r="D4254" s="5" t="s">
        <v>1206</v>
      </c>
      <c r="E4254" s="5" t="s">
        <v>28462</v>
      </c>
      <c r="F4254" s="5" t="s">
        <v>37</v>
      </c>
      <c r="G4254" s="5" t="s">
        <v>28463</v>
      </c>
      <c r="H4254" s="6" t="s">
        <v>28464</v>
      </c>
      <c r="K4254" s="5" t="s">
        <v>28443</v>
      </c>
    </row>
    <row r="4255">
      <c r="A4255" s="4">
        <v>45534.35049442129</v>
      </c>
      <c r="B4255" s="5" t="s">
        <v>34</v>
      </c>
      <c r="D4255" s="5" t="s">
        <v>9020</v>
      </c>
      <c r="E4255" s="5" t="s">
        <v>28467</v>
      </c>
      <c r="F4255" s="5" t="s">
        <v>212</v>
      </c>
      <c r="G4255" s="5" t="s">
        <v>28468</v>
      </c>
      <c r="H4255" s="6" t="s">
        <v>28469</v>
      </c>
      <c r="K4255" s="5" t="s">
        <v>28443</v>
      </c>
    </row>
    <row r="4256">
      <c r="A4256" s="4">
        <v>45534.350499479166</v>
      </c>
      <c r="B4256" s="5" t="s">
        <v>34</v>
      </c>
      <c r="D4256" s="5" t="s">
        <v>35</v>
      </c>
      <c r="E4256" s="5" t="s">
        <v>28472</v>
      </c>
      <c r="F4256" s="5" t="s">
        <v>108</v>
      </c>
      <c r="G4256" s="5" t="s">
        <v>28473</v>
      </c>
      <c r="H4256" s="6" t="s">
        <v>28474</v>
      </c>
      <c r="K4256" s="5" t="s">
        <v>28443</v>
      </c>
    </row>
    <row r="4257">
      <c r="A4257" s="4">
        <v>45534.350508159725</v>
      </c>
      <c r="B4257" s="5" t="s">
        <v>34</v>
      </c>
      <c r="D4257" s="5" t="s">
        <v>9394</v>
      </c>
      <c r="E4257" s="5" t="s">
        <v>28477</v>
      </c>
      <c r="F4257" s="5" t="s">
        <v>715</v>
      </c>
      <c r="G4257" s="5" t="s">
        <v>28478</v>
      </c>
      <c r="H4257" s="6" t="s">
        <v>28479</v>
      </c>
      <c r="K4257" s="5" t="s">
        <v>28443</v>
      </c>
    </row>
    <row r="4258">
      <c r="A4258" s="4">
        <v>45534.350508738426</v>
      </c>
      <c r="B4258" s="5" t="s">
        <v>19</v>
      </c>
      <c r="C4258" s="5" t="s">
        <v>466</v>
      </c>
      <c r="E4258" s="5" t="s">
        <v>28483</v>
      </c>
      <c r="F4258" s="5" t="s">
        <v>375</v>
      </c>
      <c r="G4258" s="5" t="s">
        <v>28484</v>
      </c>
      <c r="H4258" s="6" t="s">
        <v>28485</v>
      </c>
      <c r="I4258" s="7" t="s">
        <v>28486</v>
      </c>
      <c r="J4258" s="8" t="str">
        <f>HYPERLINK("https://drive.google.com/file/d/1Xu08Dzmsf2knXt1Tr4A3MH-K1dGBK2ef/view?usp=drivesdk","CECEP HIDAYAT SERTIFIKAT BerAKHLAK")</f>
        <v>CECEP HIDAYAT SERTIFIKAT BerAKHLAK</v>
      </c>
      <c r="K4258" s="5" t="s">
        <v>27679</v>
      </c>
      <c r="L4258" s="5" t="s">
        <v>28487</v>
      </c>
    </row>
    <row r="4259">
      <c r="A4259" s="4">
        <v>45534.35051258102</v>
      </c>
      <c r="B4259" s="5" t="s">
        <v>34</v>
      </c>
      <c r="D4259" s="5" t="s">
        <v>4775</v>
      </c>
      <c r="E4259" s="5" t="s">
        <v>28490</v>
      </c>
      <c r="F4259" s="5" t="s">
        <v>212</v>
      </c>
      <c r="G4259" s="5" t="s">
        <v>28491</v>
      </c>
      <c r="H4259" s="6" t="s">
        <v>28492</v>
      </c>
      <c r="I4259" s="7" t="s">
        <v>28493</v>
      </c>
      <c r="J4259" s="8" t="str">
        <f>HYPERLINK("https://drive.google.com/file/d/1dJEoeC2sO1hcSPoO6rGeMFyW4RMChpDf/view?usp=drivesdk","SOPHIAN SERTIFIKAT BerAKHLAK")</f>
        <v>SOPHIAN SERTIFIKAT BerAKHLAK</v>
      </c>
      <c r="K4259" s="5" t="s">
        <v>27679</v>
      </c>
      <c r="L4259" s="5" t="s">
        <v>28494</v>
      </c>
    </row>
    <row r="4260">
      <c r="A4260" s="4">
        <v>45534.350512743054</v>
      </c>
      <c r="B4260" s="5" t="s">
        <v>34</v>
      </c>
      <c r="D4260" s="5" t="s">
        <v>1206</v>
      </c>
      <c r="E4260" s="5" t="s">
        <v>28497</v>
      </c>
      <c r="F4260" s="5" t="s">
        <v>524</v>
      </c>
      <c r="G4260" s="5" t="s">
        <v>28498</v>
      </c>
      <c r="H4260" s="6" t="s">
        <v>28499</v>
      </c>
      <c r="K4260" s="5" t="s">
        <v>28500</v>
      </c>
    </row>
    <row r="4261">
      <c r="A4261" s="4">
        <v>45534.350521053246</v>
      </c>
      <c r="B4261" s="5" t="s">
        <v>34</v>
      </c>
      <c r="D4261" s="5" t="s">
        <v>580</v>
      </c>
      <c r="E4261" s="5" t="s">
        <v>28504</v>
      </c>
      <c r="F4261" s="5" t="s">
        <v>37</v>
      </c>
      <c r="G4261" s="5" t="s">
        <v>28505</v>
      </c>
      <c r="H4261" s="6" t="s">
        <v>28506</v>
      </c>
      <c r="K4261" s="5" t="s">
        <v>28500</v>
      </c>
    </row>
    <row r="4262">
      <c r="A4262" s="4">
        <v>45534.35052219908</v>
      </c>
      <c r="B4262" s="5" t="s">
        <v>34</v>
      </c>
      <c r="D4262" s="5" t="s">
        <v>1206</v>
      </c>
      <c r="E4262" s="5" t="s">
        <v>28509</v>
      </c>
      <c r="F4262" s="5" t="s">
        <v>212</v>
      </c>
      <c r="G4262" s="5" t="s">
        <v>28510</v>
      </c>
      <c r="H4262" s="6" t="s">
        <v>28511</v>
      </c>
      <c r="K4262" s="5" t="s">
        <v>28500</v>
      </c>
    </row>
    <row r="4263">
      <c r="A4263" s="4">
        <v>45534.3505284375</v>
      </c>
      <c r="B4263" s="5" t="s">
        <v>34</v>
      </c>
      <c r="D4263" s="5" t="s">
        <v>10444</v>
      </c>
      <c r="E4263" s="5" t="s">
        <v>28514</v>
      </c>
      <c r="F4263" s="5" t="s">
        <v>212</v>
      </c>
      <c r="G4263" s="5" t="s">
        <v>28515</v>
      </c>
      <c r="H4263" s="6" t="s">
        <v>28516</v>
      </c>
      <c r="K4263" s="5" t="s">
        <v>28500</v>
      </c>
    </row>
    <row r="4264">
      <c r="A4264" s="4">
        <v>45534.35053108796</v>
      </c>
      <c r="B4264" s="5" t="s">
        <v>34</v>
      </c>
      <c r="D4264" s="5" t="s">
        <v>701</v>
      </c>
      <c r="E4264" s="5" t="s">
        <v>28519</v>
      </c>
      <c r="F4264" s="5" t="s">
        <v>108</v>
      </c>
      <c r="G4264" s="5" t="s">
        <v>28520</v>
      </c>
      <c r="H4264" s="6" t="s">
        <v>28521</v>
      </c>
      <c r="K4264" s="5" t="s">
        <v>28500</v>
      </c>
    </row>
    <row r="4265">
      <c r="A4265" s="4">
        <v>45534.35053383102</v>
      </c>
      <c r="B4265" s="5" t="s">
        <v>34</v>
      </c>
      <c r="D4265" s="5" t="s">
        <v>15401</v>
      </c>
      <c r="E4265" s="5" t="s">
        <v>28524</v>
      </c>
      <c r="F4265" s="5" t="s">
        <v>715</v>
      </c>
      <c r="G4265" s="5" t="s">
        <v>28525</v>
      </c>
      <c r="H4265" s="6" t="s">
        <v>28526</v>
      </c>
      <c r="K4265" s="5" t="s">
        <v>28500</v>
      </c>
    </row>
    <row r="4266">
      <c r="A4266" s="4">
        <v>45534.35053755787</v>
      </c>
      <c r="B4266" s="5" t="s">
        <v>34</v>
      </c>
      <c r="D4266" s="5" t="s">
        <v>9020</v>
      </c>
      <c r="E4266" s="5" t="s">
        <v>28530</v>
      </c>
      <c r="F4266" s="5" t="s">
        <v>108</v>
      </c>
      <c r="G4266" s="5" t="s">
        <v>28531</v>
      </c>
      <c r="H4266" s="6" t="s">
        <v>28532</v>
      </c>
      <c r="K4266" s="5" t="s">
        <v>28500</v>
      </c>
    </row>
    <row r="4267">
      <c r="A4267" s="4">
        <v>45534.350558564816</v>
      </c>
      <c r="B4267" s="5" t="s">
        <v>34</v>
      </c>
      <c r="D4267" s="5" t="s">
        <v>1206</v>
      </c>
      <c r="E4267" s="5" t="s">
        <v>28535</v>
      </c>
      <c r="F4267" s="5" t="s">
        <v>72</v>
      </c>
      <c r="G4267" s="5" t="s">
        <v>28536</v>
      </c>
      <c r="H4267" s="6" t="s">
        <v>28537</v>
      </c>
      <c r="K4267" s="5" t="s">
        <v>28538</v>
      </c>
    </row>
    <row r="4268">
      <c r="A4268" s="4">
        <v>45534.350559108796</v>
      </c>
      <c r="B4268" s="5" t="s">
        <v>34</v>
      </c>
      <c r="D4268" s="5" t="s">
        <v>9394</v>
      </c>
      <c r="E4268" s="5" t="s">
        <v>28541</v>
      </c>
      <c r="F4268" s="5" t="s">
        <v>715</v>
      </c>
      <c r="G4268" s="5" t="s">
        <v>28542</v>
      </c>
      <c r="H4268" s="6" t="s">
        <v>28543</v>
      </c>
      <c r="I4268" s="7" t="s">
        <v>28544</v>
      </c>
      <c r="J4268" s="8" t="str">
        <f>HYPERLINK("https://drive.google.com/file/d/13_OOXeinTXbyBtjeI8LMwgP15xjk4Kcx/view?usp=drivesdk","SRI WAHYUNI S.E SERTIFIKAT BerAKHLAK")</f>
        <v>SRI WAHYUNI S.E SERTIFIKAT BerAKHLAK</v>
      </c>
      <c r="K4268" s="5" t="s">
        <v>27679</v>
      </c>
      <c r="L4268" s="5" t="s">
        <v>28545</v>
      </c>
    </row>
    <row r="4269">
      <c r="A4269" s="4">
        <v>45534.350576192126</v>
      </c>
      <c r="B4269" s="5" t="s">
        <v>34</v>
      </c>
      <c r="D4269" s="5" t="s">
        <v>1206</v>
      </c>
      <c r="E4269" s="5" t="s">
        <v>28549</v>
      </c>
      <c r="F4269" s="5" t="s">
        <v>212</v>
      </c>
      <c r="G4269" s="5" t="s">
        <v>28550</v>
      </c>
      <c r="H4269" s="6" t="s">
        <v>28551</v>
      </c>
      <c r="I4269" s="7" t="s">
        <v>28552</v>
      </c>
      <c r="J4269" s="8" t="str">
        <f>HYPERLINK("https://drive.google.com/file/d/1eP8FjrxXCxFNZuF2AZ9FsWbUDxI9tFSc/view?usp=drivesdk","SEPTI MIRIYANTI SERTIFIKAT BerAKHLAK")</f>
        <v>SEPTI MIRIYANTI SERTIFIKAT BerAKHLAK</v>
      </c>
      <c r="K4269" s="5" t="s">
        <v>27679</v>
      </c>
      <c r="L4269" s="5" t="s">
        <v>28553</v>
      </c>
    </row>
    <row r="4270">
      <c r="A4270" s="4">
        <v>45534.350579942125</v>
      </c>
      <c r="B4270" s="5" t="s">
        <v>34</v>
      </c>
      <c r="D4270" s="5" t="s">
        <v>6232</v>
      </c>
      <c r="E4270" s="5" t="s">
        <v>28556</v>
      </c>
      <c r="F4270" s="5" t="s">
        <v>108</v>
      </c>
      <c r="G4270" s="5" t="s">
        <v>28557</v>
      </c>
      <c r="H4270" s="6" t="s">
        <v>28558</v>
      </c>
      <c r="I4270" s="7" t="s">
        <v>28559</v>
      </c>
      <c r="J4270" s="8" t="str">
        <f>HYPERLINK("https://drive.google.com/file/d/1AlrKt-6vrPNIt98ut19OLxDmXIk5m7jr/view?usp=drivesdk","HERI SUGITO SERTIFIKAT BerAKHLAK")</f>
        <v>HERI SUGITO SERTIFIKAT BerAKHLAK</v>
      </c>
      <c r="K4270" s="5" t="s">
        <v>27679</v>
      </c>
      <c r="L4270" s="5" t="s">
        <v>28560</v>
      </c>
    </row>
    <row r="4271">
      <c r="A4271" s="4">
        <v>45534.350584444444</v>
      </c>
      <c r="B4271" s="5" t="s">
        <v>34</v>
      </c>
      <c r="D4271" s="5" t="s">
        <v>1206</v>
      </c>
      <c r="E4271" s="5" t="s">
        <v>28563</v>
      </c>
      <c r="F4271" s="5" t="s">
        <v>37</v>
      </c>
      <c r="G4271" s="5" t="s">
        <v>28564</v>
      </c>
      <c r="H4271" s="6" t="s">
        <v>28565</v>
      </c>
      <c r="K4271" s="5" t="s">
        <v>28566</v>
      </c>
    </row>
    <row r="4272">
      <c r="A4272" s="4">
        <v>45534.350582743056</v>
      </c>
      <c r="B4272" s="5" t="s">
        <v>34</v>
      </c>
      <c r="D4272" s="5" t="s">
        <v>701</v>
      </c>
      <c r="E4272" s="5" t="s">
        <v>28569</v>
      </c>
      <c r="F4272" s="5" t="s">
        <v>37</v>
      </c>
      <c r="G4272" s="5" t="s">
        <v>28570</v>
      </c>
      <c r="H4272" s="6" t="s">
        <v>28571</v>
      </c>
      <c r="I4272" s="7" t="s">
        <v>28572</v>
      </c>
      <c r="J4272" s="8" t="str">
        <f>HYPERLINK("https://drive.google.com/file/d/1mmZWTLyEKGuTud9wEOZ20kqBtSoc6ech/view?usp=drivesdk","SILVI MARSYA YUYU, A.md.Kep SERTIFIKAT BerAKHLAK")</f>
        <v>SILVI MARSYA YUYU, A.md.Kep SERTIFIKAT BerAKHLAK</v>
      </c>
      <c r="K4272" s="5" t="s">
        <v>27679</v>
      </c>
      <c r="L4272" s="5" t="s">
        <v>28573</v>
      </c>
    </row>
    <row r="4273">
      <c r="A4273" s="4">
        <v>45534.350593194446</v>
      </c>
      <c r="B4273" s="5" t="s">
        <v>34</v>
      </c>
      <c r="D4273" s="5" t="s">
        <v>1206</v>
      </c>
      <c r="E4273" s="5" t="s">
        <v>28577</v>
      </c>
      <c r="F4273" s="5" t="s">
        <v>72</v>
      </c>
      <c r="G4273" s="5" t="s">
        <v>28578</v>
      </c>
      <c r="H4273" s="6" t="s">
        <v>28579</v>
      </c>
      <c r="K4273" s="5" t="s">
        <v>28580</v>
      </c>
    </row>
    <row r="4274">
      <c r="A4274" s="4">
        <v>45534.350597557874</v>
      </c>
      <c r="B4274" s="5" t="s">
        <v>34</v>
      </c>
      <c r="D4274" s="5" t="s">
        <v>1206</v>
      </c>
      <c r="E4274" s="5" t="s">
        <v>28583</v>
      </c>
      <c r="F4274" s="5" t="s">
        <v>212</v>
      </c>
      <c r="G4274" s="5" t="s">
        <v>28584</v>
      </c>
      <c r="H4274" s="6" t="s">
        <v>28585</v>
      </c>
      <c r="I4274" s="7" t="s">
        <v>28586</v>
      </c>
      <c r="J4274" s="8" t="str">
        <f>HYPERLINK("https://drive.google.com/file/d/1jCnapzq-QAPpUq20U5N8Z4j8gUZcqMkC/view?usp=drivesdk","ANTUN WIJAYATI  SERTIFIKAT BerAKHLAK")</f>
        <v>ANTUN WIJAYATI  SERTIFIKAT BerAKHLAK</v>
      </c>
      <c r="K4274" s="5" t="s">
        <v>27679</v>
      </c>
      <c r="L4274" s="5" t="s">
        <v>28587</v>
      </c>
    </row>
    <row r="4275">
      <c r="A4275" s="4">
        <v>45534.35059940972</v>
      </c>
      <c r="B4275" s="5" t="s">
        <v>34</v>
      </c>
      <c r="D4275" s="5" t="s">
        <v>280</v>
      </c>
      <c r="E4275" s="5" t="s">
        <v>28590</v>
      </c>
      <c r="F4275" s="5" t="s">
        <v>37</v>
      </c>
      <c r="G4275" s="5" t="s">
        <v>28591</v>
      </c>
      <c r="H4275" s="6" t="s">
        <v>28592</v>
      </c>
      <c r="K4275" s="5" t="s">
        <v>28593</v>
      </c>
    </row>
    <row r="4276">
      <c r="A4276" s="4">
        <v>45534.350603796294</v>
      </c>
      <c r="B4276" s="5" t="s">
        <v>34</v>
      </c>
      <c r="D4276" s="5" t="s">
        <v>1206</v>
      </c>
      <c r="E4276" s="5" t="s">
        <v>24588</v>
      </c>
      <c r="F4276" s="5" t="s">
        <v>37</v>
      </c>
      <c r="G4276" s="5" t="s">
        <v>28597</v>
      </c>
      <c r="H4276" s="6" t="s">
        <v>28598</v>
      </c>
      <c r="K4276" s="5" t="s">
        <v>28593</v>
      </c>
    </row>
    <row r="4277">
      <c r="A4277" s="4">
        <v>45534.350617731485</v>
      </c>
      <c r="B4277" s="5" t="s">
        <v>34</v>
      </c>
      <c r="D4277" s="5" t="s">
        <v>14313</v>
      </c>
      <c r="E4277" s="5" t="s">
        <v>28601</v>
      </c>
      <c r="F4277" s="5" t="s">
        <v>212</v>
      </c>
      <c r="G4277" s="5" t="s">
        <v>28602</v>
      </c>
      <c r="H4277" s="6" t="s">
        <v>28603</v>
      </c>
      <c r="I4277" s="7" t="s">
        <v>28604</v>
      </c>
      <c r="J4277" s="8" t="str">
        <f>HYPERLINK("https://drive.google.com/file/d/112M3PwvoexIvVU5om-YLFrZqK-jH3Uvt/view?usp=drivesdk","MARYAM HR SERTIFIKAT BerAKHLAK")</f>
        <v>MARYAM HR SERTIFIKAT BerAKHLAK</v>
      </c>
      <c r="K4277" s="5" t="s">
        <v>27679</v>
      </c>
      <c r="L4277" s="5" t="s">
        <v>28605</v>
      </c>
    </row>
    <row r="4278">
      <c r="A4278" s="4">
        <v>45534.35062881945</v>
      </c>
      <c r="B4278" s="5" t="s">
        <v>34</v>
      </c>
      <c r="D4278" s="5" t="s">
        <v>3849</v>
      </c>
      <c r="E4278" s="5" t="s">
        <v>28608</v>
      </c>
      <c r="F4278" s="5" t="s">
        <v>37</v>
      </c>
      <c r="G4278" s="5" t="s">
        <v>28609</v>
      </c>
      <c r="H4278" s="6" t="s">
        <v>28610</v>
      </c>
      <c r="K4278" s="5" t="s">
        <v>28611</v>
      </c>
    </row>
    <row r="4279">
      <c r="A4279" s="4">
        <v>45534.35062873842</v>
      </c>
      <c r="B4279" s="5" t="s">
        <v>34</v>
      </c>
      <c r="D4279" s="5" t="s">
        <v>1206</v>
      </c>
      <c r="E4279" s="5" t="s">
        <v>28615</v>
      </c>
      <c r="F4279" s="5" t="s">
        <v>37</v>
      </c>
      <c r="G4279" s="5" t="s">
        <v>28616</v>
      </c>
      <c r="H4279" s="6" t="s">
        <v>28617</v>
      </c>
      <c r="K4279" s="5" t="s">
        <v>28611</v>
      </c>
    </row>
    <row r="4280">
      <c r="A4280" s="4">
        <v>45534.350650486114</v>
      </c>
      <c r="B4280" s="5" t="s">
        <v>34</v>
      </c>
      <c r="D4280" s="5" t="s">
        <v>15401</v>
      </c>
      <c r="E4280" s="5" t="s">
        <v>28621</v>
      </c>
      <c r="F4280" s="5" t="s">
        <v>37</v>
      </c>
      <c r="G4280" s="5" t="s">
        <v>28622</v>
      </c>
      <c r="H4280" s="6" t="s">
        <v>28623</v>
      </c>
      <c r="I4280" s="7" t="s">
        <v>28624</v>
      </c>
      <c r="J4280" s="8" t="str">
        <f>HYPERLINK("https://drive.google.com/file/d/1j31p5eGYqpofK6mzwfzcQYnK6h8IFuUZ/view?usp=drivesdk","NURHIDAYAH SERTIFIKAT BerAKHLAK")</f>
        <v>NURHIDAYAH SERTIFIKAT BerAKHLAK</v>
      </c>
      <c r="K4280" s="5" t="s">
        <v>27679</v>
      </c>
      <c r="L4280" s="5" t="s">
        <v>28625</v>
      </c>
    </row>
    <row r="4281">
      <c r="A4281" s="4">
        <v>45534.35065204861</v>
      </c>
      <c r="B4281" s="5" t="s">
        <v>34</v>
      </c>
      <c r="D4281" s="5" t="s">
        <v>14424</v>
      </c>
      <c r="E4281" s="5" t="s">
        <v>28628</v>
      </c>
      <c r="F4281" s="5" t="s">
        <v>37</v>
      </c>
      <c r="G4281" s="5" t="s">
        <v>28629</v>
      </c>
      <c r="H4281" s="6" t="s">
        <v>28630</v>
      </c>
      <c r="I4281" s="7" t="s">
        <v>28631</v>
      </c>
      <c r="J4281" s="8" t="str">
        <f>HYPERLINK("https://drive.google.com/file/d/19S0AFJrOvPRVzVIBKJ4b0Yee9vvJmR-L/view?usp=drivesdk","MAKHFIRAH SERTIFIKAT BerAKHLAK")</f>
        <v>MAKHFIRAH SERTIFIKAT BerAKHLAK</v>
      </c>
      <c r="K4281" s="5" t="s">
        <v>27679</v>
      </c>
      <c r="L4281" s="5" t="s">
        <v>28632</v>
      </c>
    </row>
    <row r="4282">
      <c r="A4282" s="4">
        <v>45534.35065487269</v>
      </c>
      <c r="B4282" s="5" t="s">
        <v>34</v>
      </c>
      <c r="D4282" s="5" t="s">
        <v>10444</v>
      </c>
      <c r="E4282" s="5" t="s">
        <v>28635</v>
      </c>
      <c r="F4282" s="5" t="s">
        <v>108</v>
      </c>
      <c r="G4282" s="5" t="s">
        <v>28636</v>
      </c>
      <c r="H4282" s="6" t="s">
        <v>28637</v>
      </c>
      <c r="I4282" s="7" t="s">
        <v>28638</v>
      </c>
      <c r="J4282" s="8" t="str">
        <f>HYPERLINK("https://drive.google.com/file/d/1OkD9YD_R7nXkc5epY_8G66BwFZz2WwkB/view?usp=drivesdk","dr. RISNAWATI WAHAB SERTIFIKAT BerAKHLAK")</f>
        <v>dr. RISNAWATI WAHAB SERTIFIKAT BerAKHLAK</v>
      </c>
      <c r="K4282" s="5" t="s">
        <v>28639</v>
      </c>
      <c r="L4282" s="5" t="s">
        <v>28640</v>
      </c>
    </row>
    <row r="4283">
      <c r="A4283" s="4">
        <v>45534.35065746528</v>
      </c>
      <c r="B4283" s="5" t="s">
        <v>34</v>
      </c>
      <c r="D4283" s="5" t="s">
        <v>267</v>
      </c>
      <c r="E4283" s="5" t="s">
        <v>28644</v>
      </c>
      <c r="F4283" s="5" t="s">
        <v>375</v>
      </c>
      <c r="G4283" s="5" t="s">
        <v>28645</v>
      </c>
      <c r="H4283" s="6" t="s">
        <v>28646</v>
      </c>
      <c r="I4283" s="7" t="s">
        <v>28647</v>
      </c>
      <c r="J4283" s="8" t="str">
        <f>HYPERLINK("https://drive.google.com/file/d/1VrjdNjPffxE87oMrVN71mnT_2ChykLXj/view?usp=drivesdk","Dra. ANY SETYAWATI SERTIFIKAT BerAKHLAK")</f>
        <v>Dra. ANY SETYAWATI SERTIFIKAT BerAKHLAK</v>
      </c>
      <c r="K4283" s="5" t="s">
        <v>28639</v>
      </c>
      <c r="L4283" s="5" t="s">
        <v>28648</v>
      </c>
    </row>
    <row r="4284">
      <c r="A4284" s="4">
        <v>45534.35066210648</v>
      </c>
      <c r="B4284" s="5" t="s">
        <v>34</v>
      </c>
      <c r="D4284" s="5" t="s">
        <v>580</v>
      </c>
      <c r="E4284" s="5" t="s">
        <v>28651</v>
      </c>
      <c r="F4284" s="5" t="s">
        <v>524</v>
      </c>
      <c r="G4284" s="5" t="s">
        <v>28652</v>
      </c>
      <c r="H4284" s="6" t="s">
        <v>28653</v>
      </c>
      <c r="I4284" s="7" t="s">
        <v>28654</v>
      </c>
      <c r="J4284" s="8" t="str">
        <f>HYPERLINK("https://drive.google.com/file/d/1gBw8xHb0BIuGYBToSDoB6if9f80z8Oun/view?usp=drivesdk","NI WAYAN KUSUMATIWATI SERTIFIKAT BerAKHLAK")</f>
        <v>NI WAYAN KUSUMATIWATI SERTIFIKAT BerAKHLAK</v>
      </c>
      <c r="K4284" s="5" t="s">
        <v>28639</v>
      </c>
      <c r="L4284" s="5" t="s">
        <v>28655</v>
      </c>
    </row>
    <row r="4285">
      <c r="A4285" s="4">
        <v>45534.350669155094</v>
      </c>
      <c r="B4285" s="5" t="s">
        <v>34</v>
      </c>
      <c r="D4285" s="5" t="s">
        <v>14424</v>
      </c>
      <c r="E4285" s="5" t="s">
        <v>28658</v>
      </c>
      <c r="F4285" s="5" t="s">
        <v>72</v>
      </c>
      <c r="G4285" s="5" t="s">
        <v>28659</v>
      </c>
      <c r="H4285" s="6" t="s">
        <v>28660</v>
      </c>
      <c r="K4285" s="5" t="s">
        <v>28661</v>
      </c>
    </row>
    <row r="4286">
      <c r="A4286" s="4">
        <v>45534.35067122686</v>
      </c>
      <c r="B4286" s="5" t="s">
        <v>34</v>
      </c>
      <c r="D4286" s="5" t="s">
        <v>10444</v>
      </c>
      <c r="E4286" s="5" t="s">
        <v>28664</v>
      </c>
      <c r="F4286" s="5" t="s">
        <v>37</v>
      </c>
      <c r="G4286" s="5" t="s">
        <v>28665</v>
      </c>
      <c r="H4286" s="6" t="s">
        <v>28666</v>
      </c>
      <c r="K4286" s="5" t="s">
        <v>28661</v>
      </c>
    </row>
    <row r="4287">
      <c r="A4287" s="4">
        <v>45534.350680613425</v>
      </c>
      <c r="B4287" s="5" t="s">
        <v>34</v>
      </c>
      <c r="D4287" s="5" t="s">
        <v>1206</v>
      </c>
      <c r="E4287" s="5" t="s">
        <v>28669</v>
      </c>
      <c r="F4287" s="5" t="s">
        <v>72</v>
      </c>
      <c r="G4287" s="5" t="s">
        <v>28670</v>
      </c>
      <c r="H4287" s="6" t="s">
        <v>28671</v>
      </c>
      <c r="K4287" s="5" t="s">
        <v>28672</v>
      </c>
    </row>
    <row r="4288">
      <c r="A4288" s="4">
        <v>45534.350710081024</v>
      </c>
      <c r="B4288" s="5" t="s">
        <v>34</v>
      </c>
      <c r="D4288" s="5" t="s">
        <v>1206</v>
      </c>
      <c r="E4288" s="5" t="s">
        <v>28676</v>
      </c>
      <c r="F4288" s="5" t="s">
        <v>715</v>
      </c>
      <c r="G4288" s="5" t="s">
        <v>28677</v>
      </c>
      <c r="H4288" s="6" t="s">
        <v>28678</v>
      </c>
      <c r="K4288" s="5" t="s">
        <v>28679</v>
      </c>
    </row>
    <row r="4289">
      <c r="A4289" s="4">
        <v>45534.35071064815</v>
      </c>
      <c r="B4289" s="5" t="s">
        <v>34</v>
      </c>
      <c r="D4289" s="5" t="s">
        <v>1206</v>
      </c>
      <c r="E4289" s="5" t="s">
        <v>28682</v>
      </c>
      <c r="F4289" s="5" t="s">
        <v>37</v>
      </c>
      <c r="G4289" s="5" t="s">
        <v>28683</v>
      </c>
      <c r="H4289" s="6" t="s">
        <v>28684</v>
      </c>
      <c r="K4289" s="5" t="s">
        <v>28679</v>
      </c>
    </row>
    <row r="4290">
      <c r="A4290" s="4">
        <v>45534.350714768516</v>
      </c>
      <c r="B4290" s="5" t="s">
        <v>34</v>
      </c>
      <c r="D4290" s="5" t="s">
        <v>1206</v>
      </c>
      <c r="E4290" s="5" t="s">
        <v>28687</v>
      </c>
      <c r="F4290" s="5" t="s">
        <v>212</v>
      </c>
      <c r="G4290" s="5" t="s">
        <v>28688</v>
      </c>
      <c r="H4290" s="6" t="s">
        <v>28689</v>
      </c>
      <c r="K4290" s="5" t="s">
        <v>28679</v>
      </c>
    </row>
    <row r="4291">
      <c r="A4291" s="4">
        <v>45534.350726805555</v>
      </c>
      <c r="B4291" s="5" t="s">
        <v>34</v>
      </c>
      <c r="D4291" s="5" t="s">
        <v>975</v>
      </c>
      <c r="E4291" s="5" t="s">
        <v>28692</v>
      </c>
      <c r="F4291" s="5" t="s">
        <v>212</v>
      </c>
      <c r="G4291" s="5" t="s">
        <v>28693</v>
      </c>
      <c r="H4291" s="6" t="s">
        <v>28694</v>
      </c>
      <c r="K4291" s="5" t="s">
        <v>27687</v>
      </c>
    </row>
    <row r="4292">
      <c r="A4292" s="4">
        <v>45534.35073655093</v>
      </c>
      <c r="B4292" s="5" t="s">
        <v>19</v>
      </c>
      <c r="C4292" s="5" t="s">
        <v>466</v>
      </c>
      <c r="E4292" s="5" t="s">
        <v>28697</v>
      </c>
      <c r="F4292" s="5" t="s">
        <v>108</v>
      </c>
      <c r="G4292" s="5" t="s">
        <v>28698</v>
      </c>
      <c r="H4292" s="6" t="s">
        <v>28699</v>
      </c>
      <c r="K4292" s="5" t="s">
        <v>27687</v>
      </c>
    </row>
    <row r="4293">
      <c r="A4293" s="4">
        <v>45534.35073959491</v>
      </c>
      <c r="B4293" s="5" t="s">
        <v>34</v>
      </c>
      <c r="D4293" s="5" t="s">
        <v>9020</v>
      </c>
      <c r="E4293" s="5" t="s">
        <v>28703</v>
      </c>
      <c r="F4293" s="5" t="s">
        <v>375</v>
      </c>
      <c r="G4293" s="5" t="s">
        <v>28704</v>
      </c>
      <c r="H4293" s="6" t="s">
        <v>28705</v>
      </c>
      <c r="K4293" s="5" t="s">
        <v>27687</v>
      </c>
    </row>
    <row r="4294">
      <c r="A4294" s="4">
        <v>45534.35074040509</v>
      </c>
      <c r="B4294" s="5" t="s">
        <v>34</v>
      </c>
      <c r="D4294" s="5" t="s">
        <v>10444</v>
      </c>
      <c r="E4294" s="5" t="s">
        <v>28708</v>
      </c>
      <c r="F4294" s="5" t="s">
        <v>108</v>
      </c>
      <c r="G4294" s="5" t="s">
        <v>28709</v>
      </c>
      <c r="H4294" s="6" t="s">
        <v>28710</v>
      </c>
      <c r="K4294" s="5" t="s">
        <v>27687</v>
      </c>
    </row>
    <row r="4295">
      <c r="A4295" s="4">
        <v>45534.350741030095</v>
      </c>
      <c r="B4295" s="5" t="s">
        <v>34</v>
      </c>
      <c r="D4295" s="5" t="s">
        <v>1206</v>
      </c>
      <c r="E4295" s="5" t="s">
        <v>28713</v>
      </c>
      <c r="F4295" s="5" t="s">
        <v>37</v>
      </c>
      <c r="G4295" s="5" t="s">
        <v>28714</v>
      </c>
      <c r="H4295" s="6" t="s">
        <v>28715</v>
      </c>
      <c r="K4295" s="5" t="s">
        <v>27687</v>
      </c>
    </row>
    <row r="4296">
      <c r="A4296" s="4">
        <v>45534.3507469676</v>
      </c>
      <c r="B4296" s="5" t="s">
        <v>34</v>
      </c>
      <c r="D4296" s="5" t="s">
        <v>4775</v>
      </c>
      <c r="E4296" s="5" t="s">
        <v>28718</v>
      </c>
      <c r="F4296" s="5" t="s">
        <v>120</v>
      </c>
      <c r="G4296" s="5" t="s">
        <v>28719</v>
      </c>
      <c r="H4296" s="6" t="s">
        <v>28720</v>
      </c>
      <c r="K4296" s="5" t="s">
        <v>27687</v>
      </c>
    </row>
    <row r="4297">
      <c r="A4297" s="4">
        <v>45534.35074765046</v>
      </c>
      <c r="B4297" s="5" t="s">
        <v>34</v>
      </c>
      <c r="D4297" s="5" t="s">
        <v>4775</v>
      </c>
      <c r="E4297" s="5" t="s">
        <v>28723</v>
      </c>
      <c r="F4297" s="5" t="s">
        <v>108</v>
      </c>
      <c r="G4297" s="5" t="s">
        <v>28724</v>
      </c>
      <c r="H4297" s="6" t="s">
        <v>28725</v>
      </c>
      <c r="K4297" s="5" t="s">
        <v>27687</v>
      </c>
    </row>
    <row r="4298">
      <c r="A4298" s="4">
        <v>45534.350751087964</v>
      </c>
      <c r="B4298" s="5" t="s">
        <v>34</v>
      </c>
      <c r="D4298" s="5" t="s">
        <v>522</v>
      </c>
      <c r="E4298" s="5" t="s">
        <v>28729</v>
      </c>
      <c r="F4298" s="5" t="s">
        <v>524</v>
      </c>
      <c r="G4298" s="5" t="s">
        <v>28730</v>
      </c>
      <c r="H4298" s="6" t="s">
        <v>28731</v>
      </c>
      <c r="K4298" s="5" t="s">
        <v>27687</v>
      </c>
    </row>
    <row r="4299">
      <c r="A4299" s="4">
        <v>45534.35075486111</v>
      </c>
      <c r="B4299" s="5" t="s">
        <v>19</v>
      </c>
      <c r="C4299" s="5" t="s">
        <v>292</v>
      </c>
      <c r="E4299" s="5" t="s">
        <v>28734</v>
      </c>
      <c r="F4299" s="5" t="s">
        <v>37</v>
      </c>
      <c r="G4299" s="5" t="s">
        <v>28735</v>
      </c>
      <c r="H4299" s="6" t="s">
        <v>28736</v>
      </c>
      <c r="K4299" s="5" t="s">
        <v>28737</v>
      </c>
    </row>
    <row r="4300">
      <c r="A4300" s="4">
        <v>45534.35076002315</v>
      </c>
      <c r="B4300" s="5" t="s">
        <v>34</v>
      </c>
      <c r="D4300" s="5" t="s">
        <v>9020</v>
      </c>
      <c r="E4300" s="5" t="s">
        <v>28740</v>
      </c>
      <c r="F4300" s="5" t="s">
        <v>375</v>
      </c>
      <c r="G4300" s="5" t="s">
        <v>28741</v>
      </c>
      <c r="H4300" s="6" t="s">
        <v>28742</v>
      </c>
      <c r="K4300" s="5" t="s">
        <v>28737</v>
      </c>
    </row>
    <row r="4301">
      <c r="A4301" s="4">
        <v>45534.3507725</v>
      </c>
      <c r="B4301" s="5" t="s">
        <v>34</v>
      </c>
      <c r="D4301" s="5" t="s">
        <v>4775</v>
      </c>
      <c r="E4301" s="5" t="s">
        <v>28746</v>
      </c>
      <c r="F4301" s="5" t="s">
        <v>72</v>
      </c>
      <c r="G4301" s="5" t="s">
        <v>28747</v>
      </c>
      <c r="H4301" s="6" t="s">
        <v>28748</v>
      </c>
      <c r="K4301" s="5" t="s">
        <v>28737</v>
      </c>
    </row>
    <row r="4302">
      <c r="A4302" s="4">
        <v>45534.35077878472</v>
      </c>
      <c r="B4302" s="5" t="s">
        <v>19</v>
      </c>
      <c r="C4302" s="5" t="s">
        <v>292</v>
      </c>
      <c r="E4302" s="5" t="s">
        <v>14925</v>
      </c>
      <c r="F4302" s="5" t="s">
        <v>524</v>
      </c>
      <c r="G4302" s="5" t="s">
        <v>28751</v>
      </c>
      <c r="H4302" s="6" t="s">
        <v>28752</v>
      </c>
      <c r="K4302" s="5" t="s">
        <v>28737</v>
      </c>
    </row>
    <row r="4303">
      <c r="A4303" s="4">
        <v>45534.350782106485</v>
      </c>
      <c r="B4303" s="5" t="s">
        <v>34</v>
      </c>
      <c r="D4303" s="5" t="s">
        <v>1768</v>
      </c>
      <c r="E4303" s="5" t="s">
        <v>28755</v>
      </c>
      <c r="F4303" s="5" t="s">
        <v>108</v>
      </c>
      <c r="G4303" s="5" t="s">
        <v>28756</v>
      </c>
      <c r="H4303" s="6" t="s">
        <v>28757</v>
      </c>
      <c r="K4303" s="5" t="s">
        <v>28737</v>
      </c>
    </row>
    <row r="4304">
      <c r="A4304" s="4">
        <v>45534.3507832176</v>
      </c>
      <c r="B4304" s="5" t="s">
        <v>34</v>
      </c>
      <c r="D4304" s="5" t="s">
        <v>12978</v>
      </c>
      <c r="E4304" s="5" t="s">
        <v>28761</v>
      </c>
      <c r="F4304" s="5" t="s">
        <v>6776</v>
      </c>
      <c r="G4304" s="5" t="s">
        <v>28762</v>
      </c>
      <c r="H4304" s="6" t="s">
        <v>28763</v>
      </c>
      <c r="K4304" s="5" t="s">
        <v>28737</v>
      </c>
    </row>
    <row r="4305">
      <c r="A4305" s="4">
        <v>45534.35078796296</v>
      </c>
      <c r="B4305" s="5" t="s">
        <v>34</v>
      </c>
      <c r="D4305" s="5" t="s">
        <v>35</v>
      </c>
      <c r="E4305" s="5" t="s">
        <v>28766</v>
      </c>
      <c r="F4305" s="5" t="s">
        <v>37</v>
      </c>
      <c r="G4305" s="5" t="s">
        <v>28767</v>
      </c>
      <c r="H4305" s="6" t="s">
        <v>28768</v>
      </c>
      <c r="K4305" s="5" t="s">
        <v>28737</v>
      </c>
    </row>
    <row r="4306">
      <c r="A4306" s="4">
        <v>45534.35079096065</v>
      </c>
      <c r="B4306" s="5" t="s">
        <v>34</v>
      </c>
      <c r="D4306" s="5" t="s">
        <v>35</v>
      </c>
      <c r="E4306" s="5" t="s">
        <v>28771</v>
      </c>
      <c r="F4306" s="5" t="s">
        <v>37</v>
      </c>
      <c r="G4306" s="5" t="s">
        <v>28772</v>
      </c>
      <c r="H4306" s="6" t="s">
        <v>28773</v>
      </c>
      <c r="K4306" s="5" t="s">
        <v>28737</v>
      </c>
    </row>
    <row r="4307">
      <c r="A4307" s="4">
        <v>45534.3507944213</v>
      </c>
      <c r="B4307" s="5" t="s">
        <v>34</v>
      </c>
      <c r="D4307" s="5" t="s">
        <v>1206</v>
      </c>
      <c r="E4307" s="5" t="s">
        <v>28776</v>
      </c>
      <c r="F4307" s="5" t="s">
        <v>212</v>
      </c>
      <c r="G4307" s="5" t="s">
        <v>28777</v>
      </c>
      <c r="H4307" s="6" t="s">
        <v>28778</v>
      </c>
      <c r="K4307" s="5" t="s">
        <v>28737</v>
      </c>
    </row>
    <row r="4308">
      <c r="A4308" s="4">
        <v>45534.35079672454</v>
      </c>
      <c r="B4308" s="5" t="s">
        <v>34</v>
      </c>
      <c r="D4308" s="5" t="s">
        <v>1206</v>
      </c>
      <c r="E4308" s="5" t="s">
        <v>28782</v>
      </c>
      <c r="F4308" s="5" t="s">
        <v>37</v>
      </c>
      <c r="G4308" s="5" t="s">
        <v>28783</v>
      </c>
      <c r="H4308" s="6" t="s">
        <v>28784</v>
      </c>
      <c r="K4308" s="5" t="s">
        <v>28737</v>
      </c>
    </row>
    <row r="4309">
      <c r="A4309" s="4">
        <v>45534.35080134259</v>
      </c>
      <c r="B4309" s="5" t="s">
        <v>34</v>
      </c>
      <c r="D4309" s="5" t="s">
        <v>1206</v>
      </c>
      <c r="E4309" s="5" t="s">
        <v>28787</v>
      </c>
      <c r="F4309" s="5" t="s">
        <v>212</v>
      </c>
      <c r="G4309" s="5" t="s">
        <v>28788</v>
      </c>
      <c r="H4309" s="6" t="s">
        <v>28789</v>
      </c>
      <c r="K4309" s="5" t="s">
        <v>28737</v>
      </c>
    </row>
    <row r="4310">
      <c r="A4310" s="4">
        <v>45534.350801759254</v>
      </c>
      <c r="B4310" s="5" t="s">
        <v>34</v>
      </c>
      <c r="D4310" s="5" t="s">
        <v>522</v>
      </c>
      <c r="E4310" s="5" t="s">
        <v>28792</v>
      </c>
      <c r="F4310" s="5" t="s">
        <v>37</v>
      </c>
      <c r="G4310" s="5" t="s">
        <v>28793</v>
      </c>
      <c r="H4310" s="6" t="s">
        <v>28794</v>
      </c>
      <c r="K4310" s="5" t="s">
        <v>28737</v>
      </c>
    </row>
    <row r="4311">
      <c r="A4311" s="4">
        <v>45534.35080375</v>
      </c>
      <c r="B4311" s="5" t="s">
        <v>34</v>
      </c>
      <c r="D4311" s="5" t="s">
        <v>9020</v>
      </c>
      <c r="E4311" s="5" t="s">
        <v>28798</v>
      </c>
      <c r="F4311" s="5" t="s">
        <v>37</v>
      </c>
      <c r="G4311" s="5" t="s">
        <v>28799</v>
      </c>
      <c r="H4311" s="6" t="s">
        <v>28800</v>
      </c>
      <c r="K4311" s="5" t="s">
        <v>28737</v>
      </c>
    </row>
    <row r="4312">
      <c r="A4312" s="4">
        <v>45534.35082678241</v>
      </c>
      <c r="B4312" s="5" t="s">
        <v>34</v>
      </c>
      <c r="D4312" s="5" t="s">
        <v>580</v>
      </c>
      <c r="E4312" s="5" t="s">
        <v>28803</v>
      </c>
      <c r="F4312" s="5" t="s">
        <v>37</v>
      </c>
      <c r="G4312" s="5" t="s">
        <v>28804</v>
      </c>
      <c r="H4312" s="6" t="s">
        <v>28805</v>
      </c>
      <c r="K4312" s="5" t="s">
        <v>28737</v>
      </c>
    </row>
    <row r="4313">
      <c r="A4313" s="4">
        <v>45534.3508065625</v>
      </c>
      <c r="B4313" s="5" t="s">
        <v>34</v>
      </c>
      <c r="D4313" s="5" t="s">
        <v>9020</v>
      </c>
      <c r="E4313" s="5" t="s">
        <v>28808</v>
      </c>
      <c r="F4313" s="5" t="s">
        <v>120</v>
      </c>
      <c r="G4313" s="5" t="s">
        <v>28809</v>
      </c>
      <c r="H4313" s="6" t="s">
        <v>28810</v>
      </c>
      <c r="K4313" s="5" t="s">
        <v>28737</v>
      </c>
    </row>
    <row r="4314">
      <c r="A4314" s="4">
        <v>45534.35081189815</v>
      </c>
      <c r="B4314" s="5" t="s">
        <v>34</v>
      </c>
      <c r="D4314" s="5" t="s">
        <v>4775</v>
      </c>
      <c r="E4314" s="5" t="s">
        <v>28813</v>
      </c>
      <c r="F4314" s="5" t="s">
        <v>375</v>
      </c>
      <c r="G4314" s="5" t="s">
        <v>28814</v>
      </c>
      <c r="H4314" s="6" t="s">
        <v>28815</v>
      </c>
      <c r="K4314" s="5" t="s">
        <v>28737</v>
      </c>
    </row>
    <row r="4315">
      <c r="A4315" s="4">
        <v>45534.350840300925</v>
      </c>
      <c r="B4315" s="5" t="s">
        <v>19</v>
      </c>
      <c r="C4315" s="5" t="s">
        <v>292</v>
      </c>
      <c r="E4315" s="5" t="s">
        <v>28818</v>
      </c>
      <c r="F4315" s="5" t="s">
        <v>715</v>
      </c>
      <c r="G4315" s="5" t="s">
        <v>28819</v>
      </c>
      <c r="H4315" s="6" t="s">
        <v>28820</v>
      </c>
      <c r="K4315" s="5" t="s">
        <v>28737</v>
      </c>
    </row>
    <row r="4316">
      <c r="A4316" s="4">
        <v>45534.350849305556</v>
      </c>
      <c r="B4316" s="5" t="s">
        <v>34</v>
      </c>
      <c r="D4316" s="5" t="s">
        <v>12978</v>
      </c>
      <c r="E4316" s="5" t="s">
        <v>28824</v>
      </c>
      <c r="F4316" s="5" t="s">
        <v>108</v>
      </c>
      <c r="G4316" s="5" t="s">
        <v>28825</v>
      </c>
      <c r="H4316" s="6" t="s">
        <v>28826</v>
      </c>
      <c r="K4316" s="5" t="s">
        <v>28737</v>
      </c>
    </row>
    <row r="4317">
      <c r="A4317" s="4">
        <v>45534.350854282406</v>
      </c>
      <c r="B4317" s="5" t="s">
        <v>34</v>
      </c>
      <c r="D4317" s="5" t="s">
        <v>996</v>
      </c>
      <c r="E4317" s="5" t="s">
        <v>28829</v>
      </c>
      <c r="F4317" s="5" t="s">
        <v>212</v>
      </c>
      <c r="G4317" s="5" t="s">
        <v>28830</v>
      </c>
      <c r="H4317" s="6" t="s">
        <v>28831</v>
      </c>
      <c r="K4317" s="5" t="s">
        <v>28737</v>
      </c>
    </row>
    <row r="4318">
      <c r="A4318" s="4">
        <v>45534.35087094907</v>
      </c>
      <c r="B4318" s="5" t="s">
        <v>34</v>
      </c>
      <c r="D4318" s="5" t="s">
        <v>1206</v>
      </c>
      <c r="E4318" s="5" t="s">
        <v>28834</v>
      </c>
      <c r="F4318" s="5" t="s">
        <v>37</v>
      </c>
      <c r="G4318" s="5" t="s">
        <v>28835</v>
      </c>
      <c r="H4318" s="6" t="s">
        <v>28836</v>
      </c>
      <c r="K4318" s="5" t="s">
        <v>28737</v>
      </c>
    </row>
    <row r="4319">
      <c r="A4319" s="4">
        <v>45534.35087454861</v>
      </c>
      <c r="B4319" s="5" t="s">
        <v>34</v>
      </c>
      <c r="D4319" s="5" t="s">
        <v>10444</v>
      </c>
      <c r="E4319" s="5" t="s">
        <v>28839</v>
      </c>
      <c r="F4319" s="5" t="s">
        <v>72</v>
      </c>
      <c r="G4319" s="5" t="s">
        <v>28840</v>
      </c>
      <c r="H4319" s="6" t="s">
        <v>28841</v>
      </c>
      <c r="K4319" s="5" t="s">
        <v>28737</v>
      </c>
    </row>
    <row r="4320">
      <c r="A4320" s="4">
        <v>45534.35088938657</v>
      </c>
      <c r="B4320" s="5" t="s">
        <v>34</v>
      </c>
      <c r="D4320" s="5" t="s">
        <v>35</v>
      </c>
      <c r="E4320" s="5" t="s">
        <v>28845</v>
      </c>
      <c r="F4320" s="5" t="s">
        <v>524</v>
      </c>
      <c r="G4320" s="5" t="s">
        <v>28846</v>
      </c>
      <c r="H4320" s="6" t="s">
        <v>28847</v>
      </c>
      <c r="K4320" s="5" t="s">
        <v>28737</v>
      </c>
    </row>
    <row r="4321">
      <c r="A4321" s="4">
        <v>45534.35090965278</v>
      </c>
      <c r="B4321" s="5" t="s">
        <v>34</v>
      </c>
      <c r="D4321" s="5" t="s">
        <v>1768</v>
      </c>
      <c r="E4321" s="5" t="s">
        <v>28850</v>
      </c>
      <c r="F4321" s="5" t="s">
        <v>72</v>
      </c>
      <c r="G4321" s="5" t="s">
        <v>28851</v>
      </c>
      <c r="H4321" s="6" t="s">
        <v>28852</v>
      </c>
      <c r="K4321" s="5" t="s">
        <v>28737</v>
      </c>
    </row>
    <row r="4322">
      <c r="A4322" s="4">
        <v>45534.35091490741</v>
      </c>
      <c r="B4322" s="5" t="s">
        <v>34</v>
      </c>
      <c r="D4322" s="5" t="s">
        <v>35</v>
      </c>
      <c r="E4322" s="5" t="s">
        <v>28855</v>
      </c>
      <c r="F4322" s="5" t="s">
        <v>524</v>
      </c>
      <c r="G4322" s="5" t="s">
        <v>28856</v>
      </c>
      <c r="H4322" s="6" t="s">
        <v>28857</v>
      </c>
      <c r="K4322" s="5" t="s">
        <v>28737</v>
      </c>
    </row>
    <row r="4323">
      <c r="A4323" s="4">
        <v>45534.35092138889</v>
      </c>
      <c r="B4323" s="5" t="s">
        <v>34</v>
      </c>
      <c r="D4323" s="5" t="s">
        <v>1456</v>
      </c>
      <c r="E4323" s="5" t="s">
        <v>28860</v>
      </c>
      <c r="F4323" s="5" t="s">
        <v>37</v>
      </c>
      <c r="G4323" s="5" t="s">
        <v>28861</v>
      </c>
      <c r="H4323" s="6" t="s">
        <v>28862</v>
      </c>
      <c r="K4323" s="5" t="s">
        <v>28863</v>
      </c>
    </row>
    <row r="4324">
      <c r="A4324" s="4">
        <v>45534.350928125</v>
      </c>
      <c r="B4324" s="5" t="s">
        <v>34</v>
      </c>
      <c r="D4324" s="5" t="s">
        <v>1558</v>
      </c>
      <c r="E4324" s="5" t="s">
        <v>28867</v>
      </c>
      <c r="F4324" s="5" t="s">
        <v>375</v>
      </c>
      <c r="G4324" s="5" t="s">
        <v>28868</v>
      </c>
      <c r="H4324" s="6" t="s">
        <v>28869</v>
      </c>
      <c r="K4324" s="5" t="s">
        <v>28863</v>
      </c>
    </row>
    <row r="4325">
      <c r="A4325" s="4">
        <v>45534.35093663195</v>
      </c>
      <c r="B4325" s="5" t="s">
        <v>34</v>
      </c>
      <c r="D4325" s="5" t="s">
        <v>522</v>
      </c>
      <c r="E4325" s="5" t="s">
        <v>28872</v>
      </c>
      <c r="F4325" s="5" t="s">
        <v>212</v>
      </c>
      <c r="G4325" s="5" t="s">
        <v>28873</v>
      </c>
      <c r="H4325" s="6" t="s">
        <v>28874</v>
      </c>
      <c r="K4325" s="5" t="s">
        <v>28875</v>
      </c>
    </row>
    <row r="4326">
      <c r="A4326" s="4">
        <v>45534.35095436343</v>
      </c>
      <c r="B4326" s="5" t="s">
        <v>34</v>
      </c>
      <c r="D4326" s="5" t="s">
        <v>1206</v>
      </c>
      <c r="E4326" s="5" t="s">
        <v>28878</v>
      </c>
      <c r="F4326" s="5" t="s">
        <v>375</v>
      </c>
      <c r="G4326" s="5" t="s">
        <v>28879</v>
      </c>
      <c r="H4326" s="6" t="s">
        <v>28880</v>
      </c>
      <c r="K4326" s="5" t="s">
        <v>28881</v>
      </c>
    </row>
    <row r="4327">
      <c r="A4327" s="4">
        <v>45534.35096876157</v>
      </c>
      <c r="B4327" s="5" t="s">
        <v>34</v>
      </c>
      <c r="D4327" s="5" t="s">
        <v>1206</v>
      </c>
      <c r="E4327" s="5" t="s">
        <v>28884</v>
      </c>
      <c r="F4327" s="5" t="s">
        <v>212</v>
      </c>
      <c r="G4327" s="5" t="s">
        <v>28885</v>
      </c>
      <c r="H4327" s="6" t="s">
        <v>28886</v>
      </c>
      <c r="K4327" s="5" t="s">
        <v>28881</v>
      </c>
    </row>
    <row r="4328">
      <c r="A4328" s="4">
        <v>45534.3509727662</v>
      </c>
      <c r="B4328" s="5" t="s">
        <v>34</v>
      </c>
      <c r="D4328" s="5" t="s">
        <v>12978</v>
      </c>
      <c r="E4328" s="5" t="s">
        <v>28889</v>
      </c>
      <c r="F4328" s="5" t="s">
        <v>72</v>
      </c>
      <c r="G4328" s="5" t="s">
        <v>28890</v>
      </c>
      <c r="H4328" s="6" t="s">
        <v>28891</v>
      </c>
      <c r="K4328" s="5" t="s">
        <v>28881</v>
      </c>
    </row>
    <row r="4329">
      <c r="A4329" s="4">
        <v>45534.350976643516</v>
      </c>
      <c r="B4329" s="5" t="s">
        <v>34</v>
      </c>
      <c r="D4329" s="5" t="s">
        <v>12978</v>
      </c>
      <c r="E4329" s="5" t="s">
        <v>28895</v>
      </c>
      <c r="F4329" s="5" t="s">
        <v>212</v>
      </c>
      <c r="G4329" s="5" t="s">
        <v>28896</v>
      </c>
      <c r="H4329" s="6" t="s">
        <v>28897</v>
      </c>
      <c r="K4329" s="5" t="s">
        <v>28881</v>
      </c>
    </row>
    <row r="4330">
      <c r="A4330" s="4">
        <v>45534.350979016206</v>
      </c>
      <c r="B4330" s="5" t="s">
        <v>19</v>
      </c>
      <c r="C4330" s="5" t="s">
        <v>292</v>
      </c>
      <c r="E4330" s="5" t="s">
        <v>28900</v>
      </c>
      <c r="F4330" s="5" t="s">
        <v>37</v>
      </c>
      <c r="G4330" s="5" t="s">
        <v>28901</v>
      </c>
      <c r="H4330" s="6" t="s">
        <v>28902</v>
      </c>
      <c r="K4330" s="5" t="s">
        <v>28881</v>
      </c>
    </row>
    <row r="4331">
      <c r="A4331" s="4">
        <v>45534.350980752315</v>
      </c>
      <c r="B4331" s="5" t="s">
        <v>34</v>
      </c>
      <c r="D4331" s="5" t="s">
        <v>4775</v>
      </c>
      <c r="E4331" s="5" t="s">
        <v>28905</v>
      </c>
      <c r="F4331" s="5" t="s">
        <v>212</v>
      </c>
      <c r="G4331" s="5" t="s">
        <v>28906</v>
      </c>
      <c r="H4331" s="6" t="s">
        <v>28907</v>
      </c>
      <c r="K4331" s="5" t="s">
        <v>28881</v>
      </c>
    </row>
    <row r="4332">
      <c r="A4332" s="4">
        <v>45534.35098662037</v>
      </c>
      <c r="B4332" s="5" t="s">
        <v>34</v>
      </c>
      <c r="D4332" s="5" t="s">
        <v>9020</v>
      </c>
      <c r="E4332" s="5" t="s">
        <v>28910</v>
      </c>
      <c r="F4332" s="5" t="s">
        <v>375</v>
      </c>
      <c r="G4332" s="5" t="s">
        <v>28911</v>
      </c>
      <c r="H4332" s="6" t="s">
        <v>28912</v>
      </c>
      <c r="K4332" s="5" t="s">
        <v>28881</v>
      </c>
    </row>
    <row r="4333">
      <c r="A4333" s="4">
        <v>45534.35098754629</v>
      </c>
      <c r="B4333" s="5" t="s">
        <v>34</v>
      </c>
      <c r="D4333" s="5" t="s">
        <v>35</v>
      </c>
      <c r="E4333" s="5" t="s">
        <v>28916</v>
      </c>
      <c r="F4333" s="5" t="s">
        <v>212</v>
      </c>
      <c r="G4333" s="5" t="s">
        <v>28917</v>
      </c>
      <c r="H4333" s="6" t="s">
        <v>28918</v>
      </c>
      <c r="K4333" s="5" t="s">
        <v>28919</v>
      </c>
    </row>
    <row r="4334">
      <c r="A4334" s="4">
        <v>45534.35099427083</v>
      </c>
      <c r="B4334" s="5" t="s">
        <v>34</v>
      </c>
      <c r="D4334" s="5" t="s">
        <v>701</v>
      </c>
      <c r="E4334" s="5" t="s">
        <v>28922</v>
      </c>
      <c r="F4334" s="5" t="s">
        <v>37</v>
      </c>
      <c r="G4334" s="5" t="s">
        <v>28923</v>
      </c>
      <c r="H4334" s="6" t="s">
        <v>28924</v>
      </c>
      <c r="K4334" s="5" t="s">
        <v>28919</v>
      </c>
    </row>
    <row r="4335">
      <c r="A4335" s="4">
        <v>45534.35100253472</v>
      </c>
      <c r="B4335" s="5" t="s">
        <v>34</v>
      </c>
      <c r="D4335" s="5" t="s">
        <v>10444</v>
      </c>
      <c r="E4335" s="5" t="s">
        <v>28927</v>
      </c>
      <c r="F4335" s="5" t="s">
        <v>212</v>
      </c>
      <c r="G4335" s="5" t="s">
        <v>28928</v>
      </c>
      <c r="H4335" s="6" t="s">
        <v>28929</v>
      </c>
      <c r="K4335" s="5" t="s">
        <v>28919</v>
      </c>
    </row>
    <row r="4336">
      <c r="A4336" s="4">
        <v>45534.35100300926</v>
      </c>
      <c r="B4336" s="5" t="s">
        <v>34</v>
      </c>
      <c r="D4336" s="5" t="s">
        <v>996</v>
      </c>
      <c r="E4336" s="5" t="s">
        <v>28932</v>
      </c>
      <c r="F4336" s="5" t="s">
        <v>212</v>
      </c>
      <c r="G4336" s="5" t="s">
        <v>28933</v>
      </c>
      <c r="H4336" s="6" t="s">
        <v>28934</v>
      </c>
      <c r="K4336" s="5" t="s">
        <v>28919</v>
      </c>
    </row>
    <row r="4337">
      <c r="A4337" s="4">
        <v>45534.351011018516</v>
      </c>
      <c r="B4337" s="5" t="s">
        <v>34</v>
      </c>
      <c r="D4337" s="5" t="s">
        <v>701</v>
      </c>
      <c r="E4337" s="5" t="s">
        <v>28937</v>
      </c>
      <c r="F4337" s="5" t="s">
        <v>37</v>
      </c>
      <c r="G4337" s="5" t="s">
        <v>28938</v>
      </c>
      <c r="H4337" s="6" t="s">
        <v>28939</v>
      </c>
      <c r="K4337" s="5" t="s">
        <v>28919</v>
      </c>
    </row>
    <row r="4338">
      <c r="A4338" s="4">
        <v>45534.35102556713</v>
      </c>
      <c r="B4338" s="5" t="s">
        <v>34</v>
      </c>
      <c r="D4338" s="5" t="s">
        <v>1558</v>
      </c>
      <c r="E4338" s="5" t="s">
        <v>28943</v>
      </c>
      <c r="F4338" s="5" t="s">
        <v>199</v>
      </c>
      <c r="G4338" s="5" t="s">
        <v>28944</v>
      </c>
      <c r="H4338" s="6" t="s">
        <v>28945</v>
      </c>
      <c r="K4338" s="5" t="s">
        <v>28919</v>
      </c>
    </row>
    <row r="4339">
      <c r="A4339" s="4">
        <v>45534.35102780093</v>
      </c>
      <c r="B4339" s="5" t="s">
        <v>34</v>
      </c>
      <c r="D4339" s="5" t="s">
        <v>4775</v>
      </c>
      <c r="E4339" s="5" t="s">
        <v>28948</v>
      </c>
      <c r="F4339" s="5" t="s">
        <v>37</v>
      </c>
      <c r="G4339" s="5" t="s">
        <v>28949</v>
      </c>
      <c r="H4339" s="6" t="s">
        <v>28950</v>
      </c>
      <c r="K4339" s="5" t="s">
        <v>28919</v>
      </c>
    </row>
    <row r="4340">
      <c r="A4340" s="4">
        <v>45534.35103266204</v>
      </c>
      <c r="B4340" s="5" t="s">
        <v>19</v>
      </c>
      <c r="C4340" s="5" t="s">
        <v>466</v>
      </c>
      <c r="E4340" s="5" t="s">
        <v>19722</v>
      </c>
      <c r="F4340" s="5" t="s">
        <v>212</v>
      </c>
      <c r="G4340" s="5" t="s">
        <v>28953</v>
      </c>
      <c r="H4340" s="6" t="s">
        <v>28954</v>
      </c>
      <c r="K4340" s="5" t="s">
        <v>28919</v>
      </c>
    </row>
    <row r="4341">
      <c r="A4341" s="4">
        <v>45534.351038900466</v>
      </c>
      <c r="B4341" s="5" t="s">
        <v>19</v>
      </c>
      <c r="C4341" s="5" t="s">
        <v>292</v>
      </c>
      <c r="E4341" s="5" t="s">
        <v>28957</v>
      </c>
      <c r="F4341" s="5" t="s">
        <v>108</v>
      </c>
      <c r="G4341" s="5" t="s">
        <v>28958</v>
      </c>
      <c r="H4341" s="6" t="s">
        <v>28959</v>
      </c>
      <c r="K4341" s="5" t="s">
        <v>28919</v>
      </c>
    </row>
    <row r="4342">
      <c r="A4342" s="4">
        <v>45534.351042696755</v>
      </c>
      <c r="B4342" s="5" t="s">
        <v>34</v>
      </c>
      <c r="D4342" s="5" t="s">
        <v>1206</v>
      </c>
      <c r="E4342" s="5" t="s">
        <v>24624</v>
      </c>
      <c r="F4342" s="5" t="s">
        <v>37</v>
      </c>
      <c r="G4342" s="5" t="s">
        <v>28963</v>
      </c>
      <c r="H4342" s="6" t="s">
        <v>28964</v>
      </c>
      <c r="K4342" s="5" t="s">
        <v>28919</v>
      </c>
    </row>
    <row r="4343">
      <c r="A4343" s="4">
        <v>45534.3510449537</v>
      </c>
      <c r="B4343" s="5" t="s">
        <v>34</v>
      </c>
      <c r="D4343" s="5" t="s">
        <v>9020</v>
      </c>
      <c r="E4343" s="5" t="s">
        <v>28967</v>
      </c>
      <c r="F4343" s="5" t="s">
        <v>524</v>
      </c>
      <c r="G4343" s="5" t="s">
        <v>28968</v>
      </c>
      <c r="H4343" s="6" t="s">
        <v>28969</v>
      </c>
      <c r="K4343" s="5" t="s">
        <v>28919</v>
      </c>
    </row>
    <row r="4344">
      <c r="A4344" s="4">
        <v>45534.35104555555</v>
      </c>
      <c r="B4344" s="5" t="s">
        <v>34</v>
      </c>
      <c r="D4344" s="5" t="s">
        <v>2903</v>
      </c>
      <c r="E4344" s="5" t="s">
        <v>28972</v>
      </c>
      <c r="F4344" s="5" t="s">
        <v>120</v>
      </c>
      <c r="G4344" s="5" t="s">
        <v>28973</v>
      </c>
      <c r="H4344" s="6" t="s">
        <v>28974</v>
      </c>
      <c r="K4344" s="5" t="s">
        <v>28919</v>
      </c>
    </row>
    <row r="4345">
      <c r="A4345" s="4">
        <v>45534.35104982639</v>
      </c>
      <c r="B4345" s="5" t="s">
        <v>34</v>
      </c>
      <c r="D4345" s="5" t="s">
        <v>9394</v>
      </c>
      <c r="E4345" s="5" t="s">
        <v>17857</v>
      </c>
      <c r="F4345" s="5" t="s">
        <v>212</v>
      </c>
      <c r="G4345" s="5" t="s">
        <v>28977</v>
      </c>
      <c r="H4345" s="6" t="s">
        <v>28978</v>
      </c>
      <c r="K4345" s="5" t="s">
        <v>28919</v>
      </c>
    </row>
    <row r="4346">
      <c r="A4346" s="4">
        <v>45534.35105513889</v>
      </c>
      <c r="B4346" s="5" t="s">
        <v>34</v>
      </c>
      <c r="D4346" s="5" t="s">
        <v>14313</v>
      </c>
      <c r="E4346" s="5" t="s">
        <v>28982</v>
      </c>
      <c r="F4346" s="5" t="s">
        <v>375</v>
      </c>
      <c r="G4346" s="5" t="s">
        <v>28983</v>
      </c>
      <c r="H4346" s="6" t="s">
        <v>28984</v>
      </c>
      <c r="K4346" s="5" t="s">
        <v>28919</v>
      </c>
    </row>
    <row r="4347">
      <c r="A4347" s="4">
        <v>45534.35106017361</v>
      </c>
      <c r="B4347" s="5" t="s">
        <v>34</v>
      </c>
      <c r="D4347" s="5" t="s">
        <v>522</v>
      </c>
      <c r="E4347" s="5" t="s">
        <v>28987</v>
      </c>
      <c r="F4347" s="5" t="s">
        <v>120</v>
      </c>
      <c r="G4347" s="5" t="s">
        <v>28988</v>
      </c>
      <c r="H4347" s="6" t="s">
        <v>28989</v>
      </c>
      <c r="K4347" s="5" t="s">
        <v>28919</v>
      </c>
    </row>
    <row r="4348">
      <c r="A4348" s="4">
        <v>45534.3510641551</v>
      </c>
      <c r="B4348" s="5" t="s">
        <v>19</v>
      </c>
      <c r="C4348" s="5" t="s">
        <v>5058</v>
      </c>
      <c r="E4348" s="5" t="s">
        <v>28992</v>
      </c>
      <c r="F4348" s="5" t="s">
        <v>108</v>
      </c>
      <c r="G4348" s="5" t="s">
        <v>28993</v>
      </c>
      <c r="H4348" s="6" t="s">
        <v>28994</v>
      </c>
      <c r="K4348" s="5" t="s">
        <v>28919</v>
      </c>
    </row>
    <row r="4349">
      <c r="A4349" s="4">
        <v>45534.35108415509</v>
      </c>
      <c r="B4349" s="5" t="s">
        <v>19</v>
      </c>
      <c r="C4349" s="5" t="s">
        <v>466</v>
      </c>
      <c r="E4349" s="5" t="s">
        <v>28997</v>
      </c>
      <c r="F4349" s="5" t="s">
        <v>212</v>
      </c>
      <c r="G4349" s="5" t="s">
        <v>28998</v>
      </c>
      <c r="H4349" s="6" t="s">
        <v>28999</v>
      </c>
      <c r="K4349" s="5" t="s">
        <v>28919</v>
      </c>
    </row>
    <row r="4350">
      <c r="A4350" s="4">
        <v>45534.351086875</v>
      </c>
      <c r="B4350" s="5" t="s">
        <v>34</v>
      </c>
      <c r="D4350" s="5" t="s">
        <v>9020</v>
      </c>
      <c r="E4350" s="5" t="s">
        <v>29003</v>
      </c>
      <c r="F4350" s="5" t="s">
        <v>212</v>
      </c>
      <c r="G4350" s="5" t="s">
        <v>29004</v>
      </c>
      <c r="H4350" s="6" t="s">
        <v>29005</v>
      </c>
      <c r="K4350" s="5" t="s">
        <v>28919</v>
      </c>
    </row>
    <row r="4351">
      <c r="A4351" s="4">
        <v>45534.35110332176</v>
      </c>
      <c r="B4351" s="5" t="s">
        <v>34</v>
      </c>
      <c r="D4351" s="5" t="s">
        <v>6232</v>
      </c>
      <c r="E4351" s="5" t="s">
        <v>29008</v>
      </c>
      <c r="F4351" s="5" t="s">
        <v>212</v>
      </c>
      <c r="G4351" s="5" t="s">
        <v>29009</v>
      </c>
      <c r="H4351" s="6" t="s">
        <v>29010</v>
      </c>
      <c r="K4351" s="5" t="s">
        <v>29011</v>
      </c>
    </row>
    <row r="4352">
      <c r="A4352" s="4">
        <v>45534.351106030095</v>
      </c>
      <c r="B4352" s="5" t="s">
        <v>34</v>
      </c>
      <c r="D4352" s="5" t="s">
        <v>9020</v>
      </c>
      <c r="E4352" s="5" t="s">
        <v>29014</v>
      </c>
      <c r="F4352" s="5" t="s">
        <v>37</v>
      </c>
      <c r="G4352" s="5" t="s">
        <v>29015</v>
      </c>
      <c r="H4352" s="6" t="s">
        <v>29016</v>
      </c>
      <c r="K4352" s="5" t="s">
        <v>29011</v>
      </c>
    </row>
    <row r="4353">
      <c r="A4353" s="4">
        <v>45534.351116631944</v>
      </c>
      <c r="B4353" s="5" t="s">
        <v>34</v>
      </c>
      <c r="D4353" s="5" t="s">
        <v>9020</v>
      </c>
      <c r="E4353" s="5" t="s">
        <v>29019</v>
      </c>
      <c r="F4353" s="5" t="s">
        <v>328</v>
      </c>
      <c r="G4353" s="5" t="s">
        <v>29020</v>
      </c>
      <c r="H4353" s="6" t="s">
        <v>29021</v>
      </c>
      <c r="K4353" s="5" t="s">
        <v>29022</v>
      </c>
    </row>
    <row r="4354">
      <c r="A4354" s="4">
        <v>45534.35112390046</v>
      </c>
      <c r="B4354" s="5" t="s">
        <v>34</v>
      </c>
      <c r="D4354" s="5" t="s">
        <v>1206</v>
      </c>
      <c r="E4354" s="5" t="s">
        <v>29025</v>
      </c>
      <c r="F4354" s="5" t="s">
        <v>37</v>
      </c>
      <c r="G4354" s="5" t="s">
        <v>29026</v>
      </c>
      <c r="H4354" s="6" t="s">
        <v>29027</v>
      </c>
      <c r="K4354" s="5" t="s">
        <v>29022</v>
      </c>
    </row>
    <row r="4355">
      <c r="A4355" s="4">
        <v>45534.351135578705</v>
      </c>
      <c r="B4355" s="5" t="s">
        <v>34</v>
      </c>
      <c r="D4355" s="5" t="s">
        <v>1206</v>
      </c>
      <c r="E4355" s="5" t="s">
        <v>17242</v>
      </c>
      <c r="F4355" s="5" t="s">
        <v>37</v>
      </c>
      <c r="G4355" s="5" t="s">
        <v>29031</v>
      </c>
      <c r="H4355" s="6" t="s">
        <v>29032</v>
      </c>
      <c r="K4355" s="5" t="s">
        <v>29033</v>
      </c>
    </row>
    <row r="4356">
      <c r="A4356" s="4">
        <v>45534.35116586805</v>
      </c>
      <c r="B4356" s="5" t="s">
        <v>34</v>
      </c>
      <c r="D4356" s="5" t="s">
        <v>1206</v>
      </c>
      <c r="E4356" s="5" t="s">
        <v>29036</v>
      </c>
      <c r="F4356" s="5" t="s">
        <v>37</v>
      </c>
      <c r="G4356" s="5" t="s">
        <v>29037</v>
      </c>
      <c r="H4356" s="6" t="s">
        <v>29038</v>
      </c>
      <c r="I4356" s="7" t="s">
        <v>29039</v>
      </c>
      <c r="J4356" s="8" t="str">
        <f>HYPERLINK("https://drive.google.com/file/d/1UpcmFk2477Ef3bmyX8lNk69fADFRKC8s/view?usp=drivesdk","TITIK NENG RAHAYU, S.Psi. SERTIFIKAT BerAKHLAK")</f>
        <v>TITIK NENG RAHAYU, S.Psi. SERTIFIKAT BerAKHLAK</v>
      </c>
      <c r="K4356" s="5" t="s">
        <v>27679</v>
      </c>
      <c r="L4356" s="5" t="s">
        <v>29040</v>
      </c>
    </row>
    <row r="4357">
      <c r="A4357" s="4">
        <v>45534.351170532405</v>
      </c>
      <c r="B4357" s="5" t="s">
        <v>34</v>
      </c>
      <c r="D4357" s="5" t="s">
        <v>4775</v>
      </c>
      <c r="E4357" s="5" t="s">
        <v>29043</v>
      </c>
      <c r="F4357" s="5" t="s">
        <v>328</v>
      </c>
      <c r="G4357" s="5" t="s">
        <v>29044</v>
      </c>
      <c r="H4357" s="6" t="s">
        <v>29045</v>
      </c>
      <c r="I4357" s="7" t="s">
        <v>29046</v>
      </c>
      <c r="J4357" s="8" t="str">
        <f>HYPERLINK("https://drive.google.com/file/d/1QF3mZvfQq-RLgcRo60HPyMVX0a2-STTy/view?usp=drivesdk","SURIPTO SERTIFIKAT BerAKHLAK")</f>
        <v>SURIPTO SERTIFIKAT BerAKHLAK</v>
      </c>
      <c r="K4357" s="5" t="s">
        <v>28639</v>
      </c>
      <c r="L4357" s="5" t="s">
        <v>29047</v>
      </c>
    </row>
    <row r="4358">
      <c r="A4358" s="4">
        <v>45534.351181875</v>
      </c>
      <c r="B4358" s="5" t="s">
        <v>34</v>
      </c>
      <c r="D4358" s="5" t="s">
        <v>1206</v>
      </c>
      <c r="E4358" s="5" t="s">
        <v>29051</v>
      </c>
      <c r="F4358" s="5" t="s">
        <v>375</v>
      </c>
      <c r="G4358" s="5" t="s">
        <v>29052</v>
      </c>
      <c r="H4358" s="6" t="s">
        <v>29053</v>
      </c>
      <c r="I4358" s="7" t="s">
        <v>29054</v>
      </c>
      <c r="J4358" s="8" t="str">
        <f>HYPERLINK("https://drive.google.com/file/d/138XS91MSmV4HvQ_ILwcte13bO5TzWXJk/view?usp=drivesdk","ANISA PURNAWATI, SE. SERTIFIKAT BerAKHLAK")</f>
        <v>ANISA PURNAWATI, SE. SERTIFIKAT BerAKHLAK</v>
      </c>
      <c r="K4358" s="5" t="s">
        <v>28639</v>
      </c>
      <c r="L4358" s="5" t="s">
        <v>29055</v>
      </c>
    </row>
    <row r="4359">
      <c r="A4359" s="4">
        <v>45534.35119253473</v>
      </c>
      <c r="B4359" s="5" t="s">
        <v>34</v>
      </c>
      <c r="D4359" s="5" t="s">
        <v>1558</v>
      </c>
      <c r="E4359" s="5" t="s">
        <v>29059</v>
      </c>
      <c r="F4359" s="5" t="s">
        <v>375</v>
      </c>
      <c r="G4359" s="5" t="s">
        <v>29060</v>
      </c>
      <c r="H4359" s="6" t="s">
        <v>29061</v>
      </c>
      <c r="K4359" s="5" t="s">
        <v>29062</v>
      </c>
    </row>
    <row r="4360">
      <c r="A4360" s="4">
        <v>45534.35119371528</v>
      </c>
      <c r="B4360" s="5" t="s">
        <v>34</v>
      </c>
      <c r="D4360" s="5" t="s">
        <v>701</v>
      </c>
      <c r="E4360" s="5" t="s">
        <v>29065</v>
      </c>
      <c r="F4360" s="5" t="s">
        <v>37</v>
      </c>
      <c r="G4360" s="5" t="s">
        <v>29066</v>
      </c>
      <c r="H4360" s="6" t="s">
        <v>29067</v>
      </c>
      <c r="K4360" s="5" t="s">
        <v>29062</v>
      </c>
    </row>
    <row r="4361">
      <c r="A4361" s="4">
        <v>45534.35119825232</v>
      </c>
      <c r="B4361" s="5" t="s">
        <v>34</v>
      </c>
      <c r="D4361" s="5" t="s">
        <v>1206</v>
      </c>
      <c r="E4361" s="5" t="s">
        <v>29071</v>
      </c>
      <c r="F4361" s="5" t="s">
        <v>212</v>
      </c>
      <c r="G4361" s="5" t="s">
        <v>29072</v>
      </c>
      <c r="H4361" s="6" t="s">
        <v>29073</v>
      </c>
      <c r="I4361" s="7" t="s">
        <v>29074</v>
      </c>
      <c r="J4361" s="8" t="str">
        <f>HYPERLINK("https://drive.google.com/file/d/16B-MrkrfxLjSLBjtR0-1op2NroIuT4XN/view?usp=drivesdk","WIWIN PUJAYANTI, A.Md.Far. SERTIFIKAT BerAKHLAK")</f>
        <v>WIWIN PUJAYANTI, A.Md.Far. SERTIFIKAT BerAKHLAK</v>
      </c>
      <c r="K4361" s="5" t="s">
        <v>28639</v>
      </c>
      <c r="L4361" s="5" t="s">
        <v>29075</v>
      </c>
    </row>
    <row r="4362">
      <c r="A4362" s="4">
        <v>45534.351202743055</v>
      </c>
      <c r="B4362" s="5" t="s">
        <v>34</v>
      </c>
      <c r="D4362" s="5" t="s">
        <v>4775</v>
      </c>
      <c r="E4362" s="5" t="s">
        <v>21737</v>
      </c>
      <c r="F4362" s="5" t="s">
        <v>212</v>
      </c>
      <c r="G4362" s="5" t="s">
        <v>29078</v>
      </c>
      <c r="H4362" s="6" t="s">
        <v>29079</v>
      </c>
      <c r="I4362" s="7" t="s">
        <v>29080</v>
      </c>
      <c r="J4362" s="8" t="str">
        <f>HYPERLINK("https://drive.google.com/file/d/1y3-9cUwoXGoDBFyV_Bcw6Wa_zhUjghb4/view?usp=drivesdk","SRI HARTINI SERTIFIKAT BerAKHLAK")</f>
        <v>SRI HARTINI SERTIFIKAT BerAKHLAK</v>
      </c>
      <c r="K4362" s="5" t="s">
        <v>28639</v>
      </c>
      <c r="L4362" s="5" t="s">
        <v>29081</v>
      </c>
    </row>
    <row r="4363">
      <c r="A4363" s="4">
        <v>45534.35120405092</v>
      </c>
      <c r="B4363" s="5" t="s">
        <v>34</v>
      </c>
      <c r="D4363" s="5" t="s">
        <v>1206</v>
      </c>
      <c r="E4363" s="5" t="s">
        <v>29084</v>
      </c>
      <c r="F4363" s="5" t="s">
        <v>37</v>
      </c>
      <c r="G4363" s="5" t="s">
        <v>29085</v>
      </c>
      <c r="H4363" s="6" t="s">
        <v>29086</v>
      </c>
      <c r="I4363" s="7" t="s">
        <v>29087</v>
      </c>
      <c r="J4363" s="8" t="str">
        <f>HYPERLINK("https://drive.google.com/file/d/1SkwCxQuraO_wmuOhfsF4q3LHMXUOYKlk/view?usp=drivesdk","SUGIARTO SERTIFIKAT BerAKHLAK")</f>
        <v>SUGIARTO SERTIFIKAT BerAKHLAK</v>
      </c>
      <c r="K4363" s="5" t="s">
        <v>28639</v>
      </c>
      <c r="L4363" s="5" t="s">
        <v>29088</v>
      </c>
    </row>
    <row r="4364">
      <c r="A4364" s="4">
        <v>45534.35121849537</v>
      </c>
      <c r="B4364" s="5" t="s">
        <v>34</v>
      </c>
      <c r="D4364" s="5" t="s">
        <v>1206</v>
      </c>
      <c r="E4364" s="5" t="s">
        <v>29092</v>
      </c>
      <c r="F4364" s="5" t="s">
        <v>72</v>
      </c>
      <c r="G4364" s="5" t="s">
        <v>29093</v>
      </c>
      <c r="H4364" s="6" t="s">
        <v>29094</v>
      </c>
      <c r="K4364" s="5" t="s">
        <v>29095</v>
      </c>
    </row>
    <row r="4365">
      <c r="A4365" s="4">
        <v>45534.351225439816</v>
      </c>
      <c r="B4365" s="5" t="s">
        <v>34</v>
      </c>
      <c r="D4365" s="5" t="s">
        <v>12978</v>
      </c>
      <c r="E4365" s="5" t="s">
        <v>29098</v>
      </c>
      <c r="F4365" s="5" t="s">
        <v>212</v>
      </c>
      <c r="G4365" s="5" t="s">
        <v>29099</v>
      </c>
      <c r="H4365" s="6" t="s">
        <v>29100</v>
      </c>
      <c r="I4365" s="7" t="s">
        <v>29101</v>
      </c>
      <c r="J4365" s="8" t="str">
        <f>HYPERLINK("https://drive.google.com/file/d/1aCvB2CWKpbwR4OSf6_71Ceplsun3Kkrr/view?usp=drivesdk","SUMiYATI SERTIFIKAT BerAKHLAK")</f>
        <v>SUMiYATI SERTIFIKAT BerAKHLAK</v>
      </c>
      <c r="K4365" s="5" t="s">
        <v>28639</v>
      </c>
      <c r="L4365" s="5" t="s">
        <v>29102</v>
      </c>
    </row>
    <row r="4366">
      <c r="A4366" s="4">
        <v>45534.3512481713</v>
      </c>
      <c r="B4366" s="5" t="s">
        <v>34</v>
      </c>
      <c r="D4366" s="5" t="s">
        <v>1206</v>
      </c>
      <c r="E4366" s="5" t="s">
        <v>29105</v>
      </c>
      <c r="F4366" s="5" t="s">
        <v>375</v>
      </c>
      <c r="G4366" s="5" t="s">
        <v>29106</v>
      </c>
      <c r="H4366" s="6" t="s">
        <v>29107</v>
      </c>
      <c r="I4366" s="7" t="s">
        <v>29108</v>
      </c>
      <c r="J4366" s="8" t="str">
        <f>HYPERLINK("https://drive.google.com/file/d/1MdAdjfJkMNEZbameoY8zuhdEHgaQNU6z/view?usp=drivesdk","SELVIA FITRI MULYANTI  SERTIFIKAT BerAKHLAK")</f>
        <v>SELVIA FITRI MULYANTI  SERTIFIKAT BerAKHLAK</v>
      </c>
      <c r="K4366" s="5" t="s">
        <v>28639</v>
      </c>
      <c r="L4366" s="5" t="s">
        <v>29109</v>
      </c>
    </row>
    <row r="4367">
      <c r="A4367" s="4">
        <v>45534.35125775463</v>
      </c>
      <c r="B4367" s="5" t="s">
        <v>34</v>
      </c>
      <c r="D4367" s="5" t="s">
        <v>4775</v>
      </c>
      <c r="E4367" s="5" t="s">
        <v>29112</v>
      </c>
      <c r="F4367" s="5" t="s">
        <v>212</v>
      </c>
      <c r="G4367" s="5" t="s">
        <v>29113</v>
      </c>
      <c r="H4367" s="6" t="s">
        <v>29114</v>
      </c>
      <c r="I4367" s="7" t="s">
        <v>29115</v>
      </c>
      <c r="J4367" s="8" t="str">
        <f>HYPERLINK("https://drive.google.com/file/d/1v5IdnspGr5YzfqNLSmGydOuJ5huK2NJ8/view?usp=drivesdk","TUGI EKWAN SERTIFIKAT BerAKHLAK")</f>
        <v>TUGI EKWAN SERTIFIKAT BerAKHLAK</v>
      </c>
      <c r="K4367" s="5" t="s">
        <v>28639</v>
      </c>
      <c r="L4367" s="5" t="s">
        <v>29116</v>
      </c>
    </row>
    <row r="4368">
      <c r="A4368" s="4">
        <v>45534.351267060185</v>
      </c>
      <c r="B4368" s="5" t="s">
        <v>34</v>
      </c>
      <c r="D4368" s="5" t="s">
        <v>35</v>
      </c>
      <c r="E4368" s="5" t="s">
        <v>29119</v>
      </c>
      <c r="F4368" s="5" t="s">
        <v>375</v>
      </c>
      <c r="G4368" s="5" t="s">
        <v>29120</v>
      </c>
      <c r="H4368" s="6" t="s">
        <v>29121</v>
      </c>
      <c r="I4368" s="7" t="s">
        <v>29122</v>
      </c>
      <c r="J4368" s="8" t="str">
        <f>HYPERLINK("https://drive.google.com/file/d/1wC6hmDqeK-gUbV6-RnvbuEXLzA6f165b/view?usp=drivesdk","YUNO ALYUDIN, S.T. SERTIFIKAT BerAKHLAK")</f>
        <v>YUNO ALYUDIN, S.T. SERTIFIKAT BerAKHLAK</v>
      </c>
      <c r="K4368" s="5" t="s">
        <v>28639</v>
      </c>
      <c r="L4368" s="5" t="s">
        <v>29123</v>
      </c>
    </row>
    <row r="4369">
      <c r="A4369" s="4">
        <v>45534.35127636574</v>
      </c>
      <c r="B4369" s="5" t="s">
        <v>34</v>
      </c>
      <c r="D4369" s="5" t="s">
        <v>35</v>
      </c>
      <c r="E4369" s="5" t="s">
        <v>29127</v>
      </c>
      <c r="F4369" s="5" t="s">
        <v>72</v>
      </c>
      <c r="G4369" s="5" t="s">
        <v>29128</v>
      </c>
      <c r="H4369" s="6" t="s">
        <v>29129</v>
      </c>
      <c r="I4369" s="7" t="s">
        <v>29130</v>
      </c>
      <c r="J4369" s="8" t="str">
        <f>HYPERLINK("https://drive.google.com/file/d/1GyruqO0cpkdI3O7yM-0ojaynkZdPhD8f/view?usp=drivesdk","SRI REJEKI WINDARNINGSIH SERTIFIKAT BerAKHLAK")</f>
        <v>SRI REJEKI WINDARNINGSIH SERTIFIKAT BerAKHLAK</v>
      </c>
      <c r="K4369" s="5" t="s">
        <v>28639</v>
      </c>
      <c r="L4369" s="5" t="s">
        <v>29131</v>
      </c>
    </row>
    <row r="4370">
      <c r="A4370" s="4">
        <v>45534.35128371528</v>
      </c>
      <c r="B4370" s="5" t="s">
        <v>34</v>
      </c>
      <c r="D4370" s="5" t="s">
        <v>701</v>
      </c>
      <c r="E4370" s="5" t="s">
        <v>29134</v>
      </c>
      <c r="F4370" s="5" t="s">
        <v>212</v>
      </c>
      <c r="G4370" s="5" t="s">
        <v>29135</v>
      </c>
      <c r="H4370" s="6" t="s">
        <v>29136</v>
      </c>
      <c r="I4370" s="7" t="s">
        <v>29137</v>
      </c>
      <c r="J4370" s="8" t="str">
        <f>HYPERLINK("https://drive.google.com/file/d/1HERXb2N_a5jLLgv56AojRw2F2xWBvBT6/view?usp=drivesdk","NI YUR YURNI SERTIFIKAT BerAKHLAK")</f>
        <v>NI YUR YURNI SERTIFIKAT BerAKHLAK</v>
      </c>
      <c r="K4370" s="5" t="s">
        <v>28639</v>
      </c>
      <c r="L4370" s="5" t="s">
        <v>29138</v>
      </c>
    </row>
    <row r="4371">
      <c r="A4371" s="4">
        <v>45534.35129012731</v>
      </c>
      <c r="B4371" s="5" t="s">
        <v>34</v>
      </c>
      <c r="D4371" s="5" t="s">
        <v>996</v>
      </c>
      <c r="E4371" s="5" t="s">
        <v>29141</v>
      </c>
      <c r="F4371" s="5" t="s">
        <v>375</v>
      </c>
      <c r="G4371" s="5" t="s">
        <v>29142</v>
      </c>
      <c r="H4371" s="6" t="s">
        <v>29143</v>
      </c>
      <c r="I4371" s="7" t="s">
        <v>29144</v>
      </c>
      <c r="J4371" s="8" t="str">
        <f>HYPERLINK("https://drive.google.com/file/d/1JZ6sHAeFOCKjWmRzG8csPe2BVI9T2sAX/view?usp=drivesdk","NURUL MUNA,S.E. SERTIFIKAT BerAKHLAK")</f>
        <v>NURUL MUNA,S.E. SERTIFIKAT BerAKHLAK</v>
      </c>
      <c r="K4371" s="5" t="s">
        <v>28639</v>
      </c>
      <c r="L4371" s="5" t="s">
        <v>29145</v>
      </c>
    </row>
    <row r="4372">
      <c r="A4372" s="4">
        <v>45534.35128592592</v>
      </c>
      <c r="B4372" s="5" t="s">
        <v>34</v>
      </c>
      <c r="D4372" s="5" t="s">
        <v>3849</v>
      </c>
      <c r="E4372" s="5" t="s">
        <v>29148</v>
      </c>
      <c r="F4372" s="5" t="s">
        <v>37</v>
      </c>
      <c r="G4372" s="5" t="s">
        <v>29149</v>
      </c>
      <c r="H4372" s="6" t="s">
        <v>29150</v>
      </c>
      <c r="I4372" s="7" t="s">
        <v>29151</v>
      </c>
      <c r="J4372" s="8" t="str">
        <f>HYPERLINK("https://drive.google.com/file/d/1R2mJn-2V-i93uQDQiKe62-TiQkj_wgIb/view?usp=drivesdk","DEDY DERMAWAN SERTIFIKAT BerAKHLAK")</f>
        <v>DEDY DERMAWAN SERTIFIKAT BerAKHLAK</v>
      </c>
      <c r="K4372" s="5" t="s">
        <v>28639</v>
      </c>
      <c r="L4372" s="5" t="s">
        <v>29152</v>
      </c>
    </row>
    <row r="4373">
      <c r="A4373" s="4">
        <v>45534.351291597224</v>
      </c>
      <c r="B4373" s="5" t="s">
        <v>34</v>
      </c>
      <c r="D4373" s="5" t="s">
        <v>1206</v>
      </c>
      <c r="E4373" s="5" t="s">
        <v>29156</v>
      </c>
      <c r="F4373" s="5" t="s">
        <v>212</v>
      </c>
      <c r="G4373" s="5" t="s">
        <v>29157</v>
      </c>
      <c r="H4373" s="6" t="s">
        <v>29158</v>
      </c>
      <c r="I4373" s="7" t="s">
        <v>29159</v>
      </c>
      <c r="J4373" s="8" t="str">
        <f>HYPERLINK("https://drive.google.com/file/d/1HQPmB41WbaTyXFvnJ8mnGsLuDGkhxRck/view?usp=drivesdk","HARI SUTIYONO SERTIFIKAT BerAKHLAK")</f>
        <v>HARI SUTIYONO SERTIFIKAT BerAKHLAK</v>
      </c>
      <c r="K4373" s="5" t="s">
        <v>28639</v>
      </c>
      <c r="L4373" s="5" t="s">
        <v>29160</v>
      </c>
    </row>
    <row r="4374">
      <c r="A4374" s="4">
        <v>45534.35129820602</v>
      </c>
      <c r="B4374" s="5" t="s">
        <v>34</v>
      </c>
      <c r="D4374" s="5" t="s">
        <v>701</v>
      </c>
      <c r="E4374" s="5" t="s">
        <v>29163</v>
      </c>
      <c r="F4374" s="5" t="s">
        <v>37</v>
      </c>
      <c r="G4374" s="5" t="s">
        <v>29164</v>
      </c>
      <c r="H4374" s="6" t="s">
        <v>29165</v>
      </c>
      <c r="K4374" s="5" t="s">
        <v>29166</v>
      </c>
    </row>
    <row r="4375">
      <c r="A4375" s="4">
        <v>45534.35129893519</v>
      </c>
      <c r="B4375" s="5" t="s">
        <v>34</v>
      </c>
      <c r="D4375" s="5" t="s">
        <v>1558</v>
      </c>
      <c r="E4375" s="5" t="s">
        <v>29169</v>
      </c>
      <c r="F4375" s="5" t="s">
        <v>212</v>
      </c>
      <c r="G4375" s="5" t="s">
        <v>29170</v>
      </c>
      <c r="H4375" s="6" t="s">
        <v>29171</v>
      </c>
      <c r="K4375" s="5" t="s">
        <v>29166</v>
      </c>
    </row>
    <row r="4376">
      <c r="A4376" s="4">
        <v>45534.35130112269</v>
      </c>
      <c r="B4376" s="5" t="s">
        <v>34</v>
      </c>
      <c r="D4376" s="5" t="s">
        <v>1768</v>
      </c>
      <c r="E4376" s="5" t="s">
        <v>29175</v>
      </c>
      <c r="F4376" s="5" t="s">
        <v>72</v>
      </c>
      <c r="G4376" s="5" t="s">
        <v>29176</v>
      </c>
      <c r="H4376" s="6" t="s">
        <v>29177</v>
      </c>
      <c r="K4376" s="5" t="s">
        <v>29166</v>
      </c>
    </row>
    <row r="4377">
      <c r="A4377" s="4">
        <v>45534.35131431713</v>
      </c>
      <c r="B4377" s="5" t="s">
        <v>34</v>
      </c>
      <c r="D4377" s="5" t="s">
        <v>2903</v>
      </c>
      <c r="E4377" s="5" t="s">
        <v>29180</v>
      </c>
      <c r="F4377" s="5" t="s">
        <v>212</v>
      </c>
      <c r="G4377" s="5" t="s">
        <v>29181</v>
      </c>
      <c r="H4377" s="6" t="s">
        <v>29182</v>
      </c>
      <c r="I4377" s="7" t="s">
        <v>29183</v>
      </c>
      <c r="J4377" s="8" t="str">
        <f>HYPERLINK("https://drive.google.com/file/d/1hh5JM3MpwOricWlsjsZ2ElQC1q48Os6p/view?usp=drivesdk","SEPTARINA CITRA LESTARI, AMD. Kep SERTIFIKAT BerAKHLAK")</f>
        <v>SEPTARINA CITRA LESTARI, AMD. Kep SERTIFIKAT BerAKHLAK</v>
      </c>
      <c r="K4377" s="5" t="s">
        <v>28639</v>
      </c>
      <c r="L4377" s="5" t="s">
        <v>29184</v>
      </c>
    </row>
    <row r="4378">
      <c r="A4378" s="4">
        <v>45534.35132138889</v>
      </c>
      <c r="B4378" s="5" t="s">
        <v>34</v>
      </c>
      <c r="D4378" s="5" t="s">
        <v>12978</v>
      </c>
      <c r="E4378" s="5" t="s">
        <v>29188</v>
      </c>
      <c r="F4378" s="5" t="s">
        <v>375</v>
      </c>
      <c r="G4378" s="5" t="s">
        <v>29189</v>
      </c>
      <c r="H4378" s="6" t="s">
        <v>29190</v>
      </c>
      <c r="I4378" s="7" t="s">
        <v>29191</v>
      </c>
      <c r="J4378" s="8" t="str">
        <f>HYPERLINK("https://drive.google.com/file/d/1STgggQZbZiurUWzcSPDFk7YzYQ2H97cr/view?usp=drivesdk","DANIAL, S.E. SERTIFIKAT BerAKHLAK")</f>
        <v>DANIAL, S.E. SERTIFIKAT BerAKHLAK</v>
      </c>
      <c r="K4378" s="5" t="s">
        <v>28639</v>
      </c>
      <c r="L4378" s="5" t="s">
        <v>29192</v>
      </c>
    </row>
    <row r="4379">
      <c r="A4379" s="4">
        <v>45534.35132740741</v>
      </c>
      <c r="B4379" s="5" t="s">
        <v>19</v>
      </c>
      <c r="C4379" s="5" t="s">
        <v>292</v>
      </c>
      <c r="E4379" s="5" t="s">
        <v>29195</v>
      </c>
      <c r="F4379" s="5" t="s">
        <v>375</v>
      </c>
      <c r="G4379" s="5" t="s">
        <v>29196</v>
      </c>
      <c r="H4379" s="6" t="s">
        <v>29197</v>
      </c>
      <c r="I4379" s="7" t="s">
        <v>29198</v>
      </c>
      <c r="J4379" s="8" t="str">
        <f>HYPERLINK("https://drive.google.com/file/d/1T7-0LDRubgbikCryU5hcdvddlaMG6sJW/view?usp=drivesdk","YANI HERAWATI, S.E. SERTIFIKAT BerAKHLAK")</f>
        <v>YANI HERAWATI, S.E. SERTIFIKAT BerAKHLAK</v>
      </c>
      <c r="K4379" s="5" t="s">
        <v>28639</v>
      </c>
      <c r="L4379" s="5" t="s">
        <v>29199</v>
      </c>
    </row>
    <row r="4380">
      <c r="A4380" s="4">
        <v>45534.35133089121</v>
      </c>
      <c r="B4380" s="5" t="s">
        <v>34</v>
      </c>
      <c r="D4380" s="5" t="s">
        <v>12978</v>
      </c>
      <c r="E4380" s="5" t="s">
        <v>29202</v>
      </c>
      <c r="F4380" s="5" t="s">
        <v>108</v>
      </c>
      <c r="G4380" s="5" t="s">
        <v>29203</v>
      </c>
      <c r="H4380" s="6" t="s">
        <v>29204</v>
      </c>
      <c r="I4380" s="7" t="s">
        <v>29205</v>
      </c>
      <c r="J4380" s="8" t="str">
        <f>HYPERLINK("https://drive.google.com/file/d/1upwUH1hirD2S3yVqnKYwxjtHhrqe9Vu9/view?usp=drivesdk","RUSMIYATI SERTIFIKAT BerAKHLAK")</f>
        <v>RUSMIYATI SERTIFIKAT BerAKHLAK</v>
      </c>
      <c r="K4380" s="5" t="s">
        <v>28639</v>
      </c>
      <c r="L4380" s="5" t="s">
        <v>29206</v>
      </c>
    </row>
    <row r="4381">
      <c r="A4381" s="4">
        <v>45534.351331956015</v>
      </c>
      <c r="B4381" s="5" t="s">
        <v>34</v>
      </c>
      <c r="D4381" s="5" t="s">
        <v>2903</v>
      </c>
      <c r="E4381" s="5" t="s">
        <v>29209</v>
      </c>
      <c r="F4381" s="5" t="s">
        <v>108</v>
      </c>
      <c r="G4381" s="5" t="s">
        <v>29210</v>
      </c>
      <c r="H4381" s="6" t="s">
        <v>29211</v>
      </c>
      <c r="K4381" s="5" t="s">
        <v>29212</v>
      </c>
    </row>
    <row r="4382">
      <c r="A4382" s="4">
        <v>45534.35133423611</v>
      </c>
      <c r="B4382" s="5" t="s">
        <v>34</v>
      </c>
      <c r="D4382" s="5" t="s">
        <v>35</v>
      </c>
      <c r="E4382" s="5" t="s">
        <v>29216</v>
      </c>
      <c r="F4382" s="5" t="s">
        <v>37</v>
      </c>
      <c r="G4382" s="5" t="s">
        <v>29217</v>
      </c>
      <c r="H4382" s="6" t="s">
        <v>29218</v>
      </c>
      <c r="K4382" s="5" t="s">
        <v>29212</v>
      </c>
    </row>
    <row r="4383">
      <c r="A4383" s="4">
        <v>45534.35133978009</v>
      </c>
      <c r="B4383" s="5" t="s">
        <v>34</v>
      </c>
      <c r="D4383" s="5" t="s">
        <v>9020</v>
      </c>
      <c r="E4383" s="5" t="s">
        <v>29221</v>
      </c>
      <c r="F4383" s="5" t="s">
        <v>37</v>
      </c>
      <c r="G4383" s="5" t="s">
        <v>29222</v>
      </c>
      <c r="H4383" s="6" t="s">
        <v>29223</v>
      </c>
      <c r="K4383" s="5" t="s">
        <v>29212</v>
      </c>
    </row>
    <row r="4384">
      <c r="A4384" s="4">
        <v>45534.35134538195</v>
      </c>
      <c r="B4384" s="5" t="s">
        <v>34</v>
      </c>
      <c r="D4384" s="5" t="s">
        <v>1692</v>
      </c>
      <c r="E4384" s="5" t="s">
        <v>29226</v>
      </c>
      <c r="F4384" s="5" t="s">
        <v>212</v>
      </c>
      <c r="G4384" s="5" t="s">
        <v>29227</v>
      </c>
      <c r="H4384" s="6" t="s">
        <v>29228</v>
      </c>
      <c r="I4384" s="7" t="s">
        <v>29229</v>
      </c>
      <c r="J4384" s="8" t="str">
        <f>HYPERLINK("https://drive.google.com/file/d/13xm6je0pO8yGWwuiIaUwCp7gM2kZeWXn/view?usp=drivesdk","NURDIANA UMANAHU, AMD. KEB SERTIFIKAT BerAKHLAK")</f>
        <v>NURDIANA UMANAHU, AMD. KEB SERTIFIKAT BerAKHLAK</v>
      </c>
      <c r="K4384" s="5" t="s">
        <v>28639</v>
      </c>
      <c r="L4384" s="5" t="s">
        <v>29230</v>
      </c>
    </row>
    <row r="4385">
      <c r="A4385" s="4">
        <v>45534.351349386576</v>
      </c>
      <c r="B4385" s="5" t="s">
        <v>34</v>
      </c>
      <c r="D4385" s="5" t="s">
        <v>1206</v>
      </c>
      <c r="E4385" s="5" t="s">
        <v>29233</v>
      </c>
      <c r="F4385" s="5" t="s">
        <v>212</v>
      </c>
      <c r="G4385" s="5" t="s">
        <v>29234</v>
      </c>
      <c r="H4385" s="6" t="s">
        <v>29235</v>
      </c>
      <c r="I4385" s="7" t="s">
        <v>29236</v>
      </c>
      <c r="J4385" s="8" t="str">
        <f>HYPERLINK("https://drive.google.com/file/d/1ejbVAZrRNs9U7hLZw8DDdN61xCfE5UKx/view?usp=drivesdk","RINA KARTIKANINGRUM SERTIFIKAT BerAKHLAK")</f>
        <v>RINA KARTIKANINGRUM SERTIFIKAT BerAKHLAK</v>
      </c>
      <c r="K4385" s="5" t="s">
        <v>28639</v>
      </c>
      <c r="L4385" s="5" t="s">
        <v>29237</v>
      </c>
    </row>
    <row r="4386">
      <c r="A4386" s="4">
        <v>45534.35135357639</v>
      </c>
      <c r="B4386" s="5" t="s">
        <v>34</v>
      </c>
      <c r="D4386" s="5" t="s">
        <v>522</v>
      </c>
      <c r="E4386" s="5" t="s">
        <v>29240</v>
      </c>
      <c r="F4386" s="5" t="s">
        <v>72</v>
      </c>
      <c r="G4386" s="5" t="s">
        <v>29241</v>
      </c>
      <c r="H4386" s="6" t="s">
        <v>29242</v>
      </c>
      <c r="I4386" s="7" t="s">
        <v>29243</v>
      </c>
      <c r="J4386" s="8" t="str">
        <f>HYPERLINK("https://drive.google.com/file/d/1TyrYp1ti71ng5bzcRfulzkZ9AUliH6HO/view?usp=drivesdk","IRMA JULIYANTI,A.Md.Keb. SERTIFIKAT BerAKHLAK")</f>
        <v>IRMA JULIYANTI,A.Md.Keb. SERTIFIKAT BerAKHLAK</v>
      </c>
      <c r="K4386" s="5" t="s">
        <v>28639</v>
      </c>
      <c r="L4386" s="5" t="s">
        <v>29244</v>
      </c>
    </row>
    <row r="4387">
      <c r="A4387" s="4">
        <v>45534.35135236111</v>
      </c>
      <c r="B4387" s="5" t="s">
        <v>34</v>
      </c>
      <c r="D4387" s="5" t="s">
        <v>1206</v>
      </c>
      <c r="E4387" s="5" t="s">
        <v>29247</v>
      </c>
      <c r="F4387" s="5" t="s">
        <v>212</v>
      </c>
      <c r="G4387" s="5" t="s">
        <v>29248</v>
      </c>
      <c r="H4387" s="6" t="s">
        <v>29249</v>
      </c>
      <c r="K4387" s="5" t="s">
        <v>29250</v>
      </c>
    </row>
    <row r="4388">
      <c r="A4388" s="4">
        <v>45534.35136488426</v>
      </c>
      <c r="B4388" s="5" t="s">
        <v>34</v>
      </c>
      <c r="D4388" s="5" t="s">
        <v>10444</v>
      </c>
      <c r="E4388" s="5" t="s">
        <v>29254</v>
      </c>
      <c r="F4388" s="5" t="s">
        <v>72</v>
      </c>
      <c r="G4388" s="5" t="s">
        <v>29255</v>
      </c>
      <c r="H4388" s="6" t="s">
        <v>29256</v>
      </c>
      <c r="K4388" s="5" t="s">
        <v>29250</v>
      </c>
    </row>
    <row r="4389">
      <c r="A4389" s="4">
        <v>45534.35136774306</v>
      </c>
      <c r="B4389" s="5" t="s">
        <v>34</v>
      </c>
      <c r="D4389" s="5" t="s">
        <v>1768</v>
      </c>
      <c r="E4389" s="5" t="s">
        <v>29259</v>
      </c>
      <c r="F4389" s="5" t="s">
        <v>37</v>
      </c>
      <c r="G4389" s="5" t="s">
        <v>29260</v>
      </c>
      <c r="H4389" s="6" t="s">
        <v>29261</v>
      </c>
      <c r="K4389" s="5" t="s">
        <v>29250</v>
      </c>
    </row>
    <row r="4390">
      <c r="A4390" s="4">
        <v>45534.35137097222</v>
      </c>
      <c r="B4390" s="5" t="s">
        <v>19</v>
      </c>
      <c r="C4390" s="5" t="s">
        <v>5564</v>
      </c>
      <c r="E4390" s="5" t="s">
        <v>29264</v>
      </c>
      <c r="F4390" s="5" t="s">
        <v>212</v>
      </c>
      <c r="G4390" s="5" t="s">
        <v>29265</v>
      </c>
      <c r="H4390" s="6" t="s">
        <v>29266</v>
      </c>
      <c r="K4390" s="5" t="s">
        <v>29250</v>
      </c>
    </row>
    <row r="4391">
      <c r="A4391" s="4">
        <v>45534.351371192126</v>
      </c>
      <c r="B4391" s="5" t="s">
        <v>19</v>
      </c>
      <c r="C4391" s="5" t="s">
        <v>5564</v>
      </c>
      <c r="E4391" s="5" t="s">
        <v>29269</v>
      </c>
      <c r="F4391" s="5" t="s">
        <v>120</v>
      </c>
      <c r="G4391" s="5" t="s">
        <v>29270</v>
      </c>
      <c r="H4391" s="6" t="s">
        <v>29271</v>
      </c>
      <c r="I4391" s="7" t="s">
        <v>29272</v>
      </c>
      <c r="J4391" s="8" t="str">
        <f>HYPERLINK("https://drive.google.com/file/d/1MrgyBIQS0TIS4HL20tNQTKO52h8gV-wg/view?usp=drivesdk","YUNITA WAHYUNINGTYAS, S.Psi, Psikolog, M.M SERTIFIKAT BerAKHLAK")</f>
        <v>YUNITA WAHYUNINGTYAS, S.Psi, Psikolog, M.M SERTIFIKAT BerAKHLAK</v>
      </c>
      <c r="K4391" s="5" t="s">
        <v>28639</v>
      </c>
      <c r="L4391" s="5" t="s">
        <v>29273</v>
      </c>
    </row>
    <row r="4392">
      <c r="A4392" s="4">
        <v>45534.351376307866</v>
      </c>
      <c r="B4392" s="5" t="s">
        <v>34</v>
      </c>
      <c r="D4392" s="5" t="s">
        <v>1206</v>
      </c>
      <c r="E4392" s="5" t="s">
        <v>29276</v>
      </c>
      <c r="F4392" s="5" t="s">
        <v>212</v>
      </c>
      <c r="G4392" s="5" t="s">
        <v>29277</v>
      </c>
      <c r="H4392" s="6" t="s">
        <v>29278</v>
      </c>
      <c r="I4392" s="7" t="s">
        <v>29279</v>
      </c>
      <c r="J4392" s="8" t="str">
        <f>HYPERLINK("https://drive.google.com/file/d/1UneiM9Hh2mQgDGtuPC6KgCib-6h9GshM/view?usp=drivesdk","WiDI ASTUTIK SERTIFIKAT BerAKHLAK")</f>
        <v>WiDI ASTUTIK SERTIFIKAT BerAKHLAK</v>
      </c>
      <c r="K4392" s="5" t="s">
        <v>28639</v>
      </c>
      <c r="L4392" s="5" t="s">
        <v>29280</v>
      </c>
    </row>
    <row r="4393">
      <c r="A4393" s="4">
        <v>45534.35138107639</v>
      </c>
      <c r="B4393" s="5" t="s">
        <v>34</v>
      </c>
      <c r="D4393" s="5" t="s">
        <v>1206</v>
      </c>
      <c r="E4393" s="5" t="s">
        <v>29284</v>
      </c>
      <c r="F4393" s="5" t="s">
        <v>375</v>
      </c>
      <c r="G4393" s="5" t="s">
        <v>29285</v>
      </c>
      <c r="H4393" s="6" t="s">
        <v>29286</v>
      </c>
      <c r="I4393" s="7" t="s">
        <v>29287</v>
      </c>
      <c r="J4393" s="8" t="str">
        <f>HYPERLINK("https://drive.google.com/file/d/1iYMjHCGyi_qR4qMCyKHTQrQSTFeolOhJ/view?usp=drivesdk","IKA SUCI RAHMAWATI, S.H. SERTIFIKAT BerAKHLAK")</f>
        <v>IKA SUCI RAHMAWATI, S.H. SERTIFIKAT BerAKHLAK</v>
      </c>
      <c r="K4393" s="5" t="s">
        <v>28639</v>
      </c>
      <c r="L4393" s="5" t="s">
        <v>29288</v>
      </c>
    </row>
    <row r="4394">
      <c r="A4394" s="4">
        <v>45534.35139489583</v>
      </c>
      <c r="B4394" s="5" t="s">
        <v>34</v>
      </c>
      <c r="D4394" s="5" t="s">
        <v>9394</v>
      </c>
      <c r="E4394" s="5" t="s">
        <v>29291</v>
      </c>
      <c r="F4394" s="5" t="s">
        <v>72</v>
      </c>
      <c r="G4394" s="5" t="s">
        <v>29292</v>
      </c>
      <c r="H4394" s="6" t="s">
        <v>29293</v>
      </c>
      <c r="K4394" s="5" t="s">
        <v>29294</v>
      </c>
    </row>
    <row r="4395">
      <c r="A4395" s="4">
        <v>45534.35141379629</v>
      </c>
      <c r="B4395" s="5" t="s">
        <v>34</v>
      </c>
      <c r="D4395" s="5" t="s">
        <v>9020</v>
      </c>
      <c r="E4395" s="5" t="s">
        <v>29297</v>
      </c>
      <c r="F4395" s="5" t="s">
        <v>37</v>
      </c>
      <c r="G4395" s="5" t="s">
        <v>29298</v>
      </c>
      <c r="H4395" s="6" t="s">
        <v>29299</v>
      </c>
      <c r="I4395" s="7" t="s">
        <v>29300</v>
      </c>
      <c r="J4395" s="8" t="str">
        <f>HYPERLINK("https://drive.google.com/file/d/1lesmlKrSudqOxsO9PEL258oMpjKiohyj/view?usp=drivesdk","ARLAN HUTAHAEAN SERTIFIKAT BerAKHLAK")</f>
        <v>ARLAN HUTAHAEAN SERTIFIKAT BerAKHLAK</v>
      </c>
      <c r="K4395" s="5" t="s">
        <v>28639</v>
      </c>
      <c r="L4395" s="5" t="s">
        <v>29301</v>
      </c>
    </row>
    <row r="4396">
      <c r="A4396" s="4">
        <v>45534.3514259838</v>
      </c>
      <c r="B4396" s="5" t="s">
        <v>34</v>
      </c>
      <c r="D4396" s="5" t="s">
        <v>2903</v>
      </c>
      <c r="E4396" s="5" t="s">
        <v>29304</v>
      </c>
      <c r="F4396" s="5" t="s">
        <v>375</v>
      </c>
      <c r="G4396" s="5" t="s">
        <v>29305</v>
      </c>
      <c r="H4396" s="6" t="s">
        <v>29306</v>
      </c>
      <c r="I4396" s="7" t="s">
        <v>29307</v>
      </c>
      <c r="J4396" s="8" t="str">
        <f>HYPERLINK("https://drive.google.com/file/d/1WE6rcitHuHuax_Um643aDwLz1dpPytdb/view?usp=drivesdk","Ns.Rita Zahara S.Kep SERTIFIKAT BerAKHLAK")</f>
        <v>Ns.Rita Zahara S.Kep SERTIFIKAT BerAKHLAK</v>
      </c>
      <c r="K4396" s="5" t="s">
        <v>28639</v>
      </c>
      <c r="L4396" s="5" t="s">
        <v>29308</v>
      </c>
    </row>
    <row r="4397">
      <c r="A4397" s="4">
        <v>45534.351439108796</v>
      </c>
      <c r="B4397" s="5" t="s">
        <v>19</v>
      </c>
      <c r="C4397" s="5" t="s">
        <v>292</v>
      </c>
      <c r="E4397" s="5" t="s">
        <v>29311</v>
      </c>
      <c r="F4397" s="5" t="s">
        <v>120</v>
      </c>
      <c r="G4397" s="5" t="s">
        <v>29312</v>
      </c>
      <c r="H4397" s="6" t="s">
        <v>29313</v>
      </c>
      <c r="I4397" s="7" t="s">
        <v>29314</v>
      </c>
      <c r="J4397" s="8" t="str">
        <f>HYPERLINK("https://drive.google.com/file/d/18I4GKCXz7iQ1ZGah5Uu9o_vQleDuskxl/view?usp=drivesdk","DR. WAHDAN SANUR TARIHORAN, S.Sos.I., M.M SERTIFIKAT BerAKHLAK")</f>
        <v>DR. WAHDAN SANUR TARIHORAN, S.Sos.I., M.M SERTIFIKAT BerAKHLAK</v>
      </c>
      <c r="K4397" s="5" t="s">
        <v>28639</v>
      </c>
      <c r="L4397" s="5" t="s">
        <v>29315</v>
      </c>
    </row>
    <row r="4398">
      <c r="A4398" s="4">
        <v>45534.35145596065</v>
      </c>
      <c r="B4398" s="5" t="s">
        <v>34</v>
      </c>
      <c r="D4398" s="5" t="s">
        <v>14424</v>
      </c>
      <c r="E4398" s="5" t="s">
        <v>29318</v>
      </c>
      <c r="F4398" s="5" t="s">
        <v>72</v>
      </c>
      <c r="G4398" s="5" t="s">
        <v>29319</v>
      </c>
      <c r="H4398" s="6" t="s">
        <v>29320</v>
      </c>
      <c r="K4398" s="5" t="s">
        <v>29321</v>
      </c>
    </row>
    <row r="4399">
      <c r="A4399" s="4">
        <v>45534.35146032408</v>
      </c>
      <c r="B4399" s="5" t="s">
        <v>34</v>
      </c>
      <c r="D4399" s="5" t="s">
        <v>1206</v>
      </c>
      <c r="E4399" s="5" t="s">
        <v>29325</v>
      </c>
      <c r="F4399" s="5" t="s">
        <v>5859</v>
      </c>
      <c r="G4399" s="5" t="s">
        <v>29326</v>
      </c>
      <c r="H4399" s="6" t="s">
        <v>29327</v>
      </c>
      <c r="K4399" s="5" t="s">
        <v>29321</v>
      </c>
    </row>
    <row r="4400">
      <c r="A4400" s="4">
        <v>45534.35146167824</v>
      </c>
      <c r="B4400" s="5" t="s">
        <v>34</v>
      </c>
      <c r="D4400" s="5" t="s">
        <v>9020</v>
      </c>
      <c r="E4400" s="5" t="s">
        <v>29330</v>
      </c>
      <c r="F4400" s="5" t="s">
        <v>37</v>
      </c>
      <c r="G4400" s="5" t="s">
        <v>29331</v>
      </c>
      <c r="H4400" s="6" t="s">
        <v>29332</v>
      </c>
      <c r="K4400" s="5" t="s">
        <v>29321</v>
      </c>
    </row>
    <row r="4401">
      <c r="A4401" s="4">
        <v>45534.35147956018</v>
      </c>
      <c r="B4401" s="5" t="s">
        <v>34</v>
      </c>
      <c r="D4401" s="5" t="s">
        <v>1206</v>
      </c>
      <c r="E4401" s="5" t="s">
        <v>29335</v>
      </c>
      <c r="F4401" s="5" t="s">
        <v>37</v>
      </c>
      <c r="G4401" s="5" t="s">
        <v>29336</v>
      </c>
      <c r="H4401" s="6" t="s">
        <v>29337</v>
      </c>
      <c r="K4401" s="5" t="s">
        <v>29321</v>
      </c>
    </row>
    <row r="4402">
      <c r="A4402" s="4">
        <v>45534.351487604166</v>
      </c>
      <c r="B4402" s="5" t="s">
        <v>34</v>
      </c>
      <c r="D4402" s="5" t="s">
        <v>1206</v>
      </c>
      <c r="E4402" s="5" t="s">
        <v>15428</v>
      </c>
      <c r="F4402" s="5" t="s">
        <v>328</v>
      </c>
      <c r="G4402" s="5" t="s">
        <v>29340</v>
      </c>
      <c r="H4402" s="6" t="s">
        <v>29341</v>
      </c>
      <c r="K4402" s="5" t="s">
        <v>29321</v>
      </c>
    </row>
    <row r="4403">
      <c r="A4403" s="4">
        <v>45534.35150412037</v>
      </c>
      <c r="B4403" s="5" t="s">
        <v>34</v>
      </c>
      <c r="D4403" s="5" t="s">
        <v>4775</v>
      </c>
      <c r="E4403" s="5" t="s">
        <v>29344</v>
      </c>
      <c r="F4403" s="5" t="s">
        <v>375</v>
      </c>
      <c r="G4403" s="5" t="s">
        <v>29345</v>
      </c>
      <c r="H4403" s="6" t="s">
        <v>29346</v>
      </c>
      <c r="K4403" s="5" t="s">
        <v>29321</v>
      </c>
    </row>
    <row r="4404">
      <c r="A4404" s="4">
        <v>45534.35150498843</v>
      </c>
      <c r="B4404" s="5" t="s">
        <v>34</v>
      </c>
      <c r="D4404" s="5" t="s">
        <v>580</v>
      </c>
      <c r="E4404" s="5" t="s">
        <v>29350</v>
      </c>
      <c r="F4404" s="5" t="s">
        <v>524</v>
      </c>
      <c r="G4404" s="5" t="s">
        <v>29351</v>
      </c>
      <c r="H4404" s="6" t="s">
        <v>29352</v>
      </c>
      <c r="K4404" s="5" t="s">
        <v>29321</v>
      </c>
    </row>
    <row r="4405">
      <c r="A4405" s="4">
        <v>45534.35151094907</v>
      </c>
      <c r="B4405" s="5" t="s">
        <v>19</v>
      </c>
      <c r="C4405" s="5" t="s">
        <v>292</v>
      </c>
      <c r="E4405" s="5" t="s">
        <v>29356</v>
      </c>
      <c r="F4405" s="5" t="s">
        <v>212</v>
      </c>
      <c r="G4405" s="5" t="s">
        <v>29357</v>
      </c>
      <c r="H4405" s="6" t="s">
        <v>29358</v>
      </c>
      <c r="K4405" s="5" t="s">
        <v>29321</v>
      </c>
    </row>
    <row r="4406">
      <c r="A4406" s="4">
        <v>45534.351511597226</v>
      </c>
      <c r="B4406" s="5" t="s">
        <v>34</v>
      </c>
      <c r="D4406" s="5" t="s">
        <v>9394</v>
      </c>
      <c r="E4406" s="5" t="s">
        <v>29362</v>
      </c>
      <c r="F4406" s="5" t="s">
        <v>212</v>
      </c>
      <c r="G4406" s="5" t="s">
        <v>29363</v>
      </c>
      <c r="H4406" s="6" t="s">
        <v>29364</v>
      </c>
      <c r="K4406" s="5" t="s">
        <v>29321</v>
      </c>
    </row>
    <row r="4407">
      <c r="A4407" s="4">
        <v>45534.35152454861</v>
      </c>
      <c r="B4407" s="5" t="s">
        <v>34</v>
      </c>
      <c r="D4407" s="5" t="s">
        <v>1768</v>
      </c>
      <c r="E4407" s="5" t="s">
        <v>29367</v>
      </c>
      <c r="F4407" s="5" t="s">
        <v>72</v>
      </c>
      <c r="G4407" s="5" t="s">
        <v>29368</v>
      </c>
      <c r="H4407" s="6" t="s">
        <v>29369</v>
      </c>
      <c r="I4407" s="7" t="s">
        <v>29370</v>
      </c>
      <c r="J4407" s="8" t="str">
        <f>HYPERLINK("https://drive.google.com/file/d/1JqBrtEVYNmfxdNKsuSozXIKT7xScc-Mp/view?usp=drivesdk","YAENAH  SERTIFIKAT BerAKHLAK")</f>
        <v>YAENAH  SERTIFIKAT BerAKHLAK</v>
      </c>
      <c r="K4407" s="5" t="s">
        <v>28639</v>
      </c>
      <c r="L4407" s="5" t="s">
        <v>29371</v>
      </c>
    </row>
    <row r="4408">
      <c r="A4408" s="4">
        <v>45534.35152862269</v>
      </c>
      <c r="B4408" s="5" t="s">
        <v>34</v>
      </c>
      <c r="D4408" s="5" t="s">
        <v>1206</v>
      </c>
      <c r="E4408" s="5" t="s">
        <v>29374</v>
      </c>
      <c r="F4408" s="5" t="s">
        <v>199</v>
      </c>
      <c r="G4408" s="5" t="s">
        <v>29375</v>
      </c>
      <c r="H4408" s="6" t="s">
        <v>29376</v>
      </c>
      <c r="K4408" s="5" t="s">
        <v>29377</v>
      </c>
    </row>
    <row r="4409">
      <c r="A4409" s="4">
        <v>45534.35152982639</v>
      </c>
      <c r="B4409" s="5" t="s">
        <v>34</v>
      </c>
      <c r="D4409" s="5" t="s">
        <v>4775</v>
      </c>
      <c r="E4409" s="5" t="s">
        <v>29380</v>
      </c>
      <c r="F4409" s="5" t="s">
        <v>212</v>
      </c>
      <c r="G4409" s="5" t="s">
        <v>29381</v>
      </c>
      <c r="H4409" s="6" t="s">
        <v>29382</v>
      </c>
      <c r="K4409" s="5" t="s">
        <v>29377</v>
      </c>
    </row>
    <row r="4410">
      <c r="A4410" s="4">
        <v>45534.35153277778</v>
      </c>
      <c r="B4410" s="5" t="s">
        <v>34</v>
      </c>
      <c r="D4410" s="5" t="s">
        <v>4775</v>
      </c>
      <c r="E4410" s="5" t="s">
        <v>29386</v>
      </c>
      <c r="F4410" s="5" t="s">
        <v>375</v>
      </c>
      <c r="G4410" s="5" t="s">
        <v>29387</v>
      </c>
      <c r="H4410" s="6" t="s">
        <v>29388</v>
      </c>
      <c r="K4410" s="5" t="s">
        <v>29377</v>
      </c>
    </row>
    <row r="4411">
      <c r="A4411" s="4">
        <v>45534.351549189814</v>
      </c>
      <c r="B4411" s="5" t="s">
        <v>34</v>
      </c>
      <c r="D4411" s="5" t="s">
        <v>1206</v>
      </c>
      <c r="E4411" s="5" t="s">
        <v>29391</v>
      </c>
      <c r="F4411" s="5" t="s">
        <v>375</v>
      </c>
      <c r="G4411" s="5" t="s">
        <v>29392</v>
      </c>
      <c r="H4411" s="6" t="s">
        <v>29393</v>
      </c>
      <c r="K4411" s="5" t="s">
        <v>29394</v>
      </c>
    </row>
    <row r="4412">
      <c r="A4412" s="4">
        <v>45534.351550300926</v>
      </c>
      <c r="B4412" s="5" t="s">
        <v>34</v>
      </c>
      <c r="D4412" s="5" t="s">
        <v>1206</v>
      </c>
      <c r="E4412" s="5" t="s">
        <v>29397</v>
      </c>
      <c r="F4412" s="5" t="s">
        <v>212</v>
      </c>
      <c r="G4412" s="5" t="s">
        <v>29398</v>
      </c>
      <c r="H4412" s="6" t="s">
        <v>29399</v>
      </c>
      <c r="K4412" s="5" t="s">
        <v>29394</v>
      </c>
    </row>
    <row r="4413">
      <c r="A4413" s="4">
        <v>45534.3515728125</v>
      </c>
      <c r="B4413" s="5" t="s">
        <v>19</v>
      </c>
      <c r="C4413" s="5" t="s">
        <v>3301</v>
      </c>
      <c r="E4413" s="5" t="s">
        <v>29402</v>
      </c>
      <c r="F4413" s="5" t="s">
        <v>715</v>
      </c>
      <c r="G4413" s="5" t="s">
        <v>29403</v>
      </c>
      <c r="H4413" s="6" t="s">
        <v>29404</v>
      </c>
      <c r="K4413" s="5" t="s">
        <v>29394</v>
      </c>
    </row>
    <row r="4414">
      <c r="A4414" s="4">
        <v>45534.35157564815</v>
      </c>
      <c r="B4414" s="5" t="s">
        <v>34</v>
      </c>
      <c r="D4414" s="5" t="s">
        <v>1206</v>
      </c>
      <c r="E4414" s="5" t="s">
        <v>23734</v>
      </c>
      <c r="F4414" s="5" t="s">
        <v>375</v>
      </c>
      <c r="G4414" s="5" t="s">
        <v>23735</v>
      </c>
      <c r="H4414" s="6" t="s">
        <v>29407</v>
      </c>
      <c r="K4414" s="5" t="s">
        <v>29394</v>
      </c>
    </row>
    <row r="4415">
      <c r="A4415" s="4">
        <v>45534.35158130787</v>
      </c>
      <c r="B4415" s="5" t="s">
        <v>34</v>
      </c>
      <c r="D4415" s="5" t="s">
        <v>1206</v>
      </c>
      <c r="E4415" s="5" t="s">
        <v>29411</v>
      </c>
      <c r="F4415" s="5" t="s">
        <v>37</v>
      </c>
      <c r="G4415" s="5" t="s">
        <v>29412</v>
      </c>
      <c r="H4415" s="6" t="s">
        <v>29413</v>
      </c>
      <c r="K4415" s="5" t="s">
        <v>29394</v>
      </c>
    </row>
    <row r="4416">
      <c r="A4416" s="4">
        <v>45534.35158969907</v>
      </c>
      <c r="B4416" s="5" t="s">
        <v>34</v>
      </c>
      <c r="D4416" s="5" t="s">
        <v>7858</v>
      </c>
      <c r="E4416" s="5" t="s">
        <v>29416</v>
      </c>
      <c r="F4416" s="5" t="s">
        <v>212</v>
      </c>
      <c r="G4416" s="5" t="s">
        <v>29417</v>
      </c>
      <c r="H4416" s="6" t="s">
        <v>29418</v>
      </c>
      <c r="K4416" s="5" t="s">
        <v>29394</v>
      </c>
    </row>
    <row r="4417">
      <c r="A4417" s="4">
        <v>45534.35159148148</v>
      </c>
      <c r="B4417" s="5" t="s">
        <v>34</v>
      </c>
      <c r="D4417" s="5" t="s">
        <v>1558</v>
      </c>
      <c r="E4417" s="5" t="s">
        <v>29421</v>
      </c>
      <c r="F4417" s="5" t="s">
        <v>72</v>
      </c>
      <c r="G4417" s="5" t="s">
        <v>29422</v>
      </c>
      <c r="H4417" s="6" t="s">
        <v>29423</v>
      </c>
      <c r="K4417" s="5" t="s">
        <v>29394</v>
      </c>
    </row>
    <row r="4418">
      <c r="A4418" s="4">
        <v>45534.351592962965</v>
      </c>
      <c r="B4418" s="5" t="s">
        <v>34</v>
      </c>
      <c r="D4418" s="5" t="s">
        <v>12978</v>
      </c>
      <c r="E4418" s="5" t="s">
        <v>29426</v>
      </c>
      <c r="F4418" s="5" t="s">
        <v>72</v>
      </c>
      <c r="G4418" s="5" t="s">
        <v>29427</v>
      </c>
      <c r="H4418" s="6" t="s">
        <v>29428</v>
      </c>
      <c r="K4418" s="5" t="s">
        <v>29394</v>
      </c>
    </row>
    <row r="4419">
      <c r="A4419" s="4">
        <v>45534.351598912035</v>
      </c>
      <c r="B4419" s="5" t="s">
        <v>34</v>
      </c>
      <c r="D4419" s="5" t="s">
        <v>4775</v>
      </c>
      <c r="E4419" s="5" t="s">
        <v>29431</v>
      </c>
      <c r="F4419" s="5" t="s">
        <v>212</v>
      </c>
      <c r="G4419" s="5" t="s">
        <v>29432</v>
      </c>
      <c r="H4419" s="6" t="s">
        <v>29433</v>
      </c>
      <c r="K4419" s="5" t="s">
        <v>29394</v>
      </c>
    </row>
    <row r="4420">
      <c r="A4420" s="4">
        <v>45534.35160016204</v>
      </c>
      <c r="B4420" s="5" t="s">
        <v>34</v>
      </c>
      <c r="D4420" s="5" t="s">
        <v>1558</v>
      </c>
      <c r="E4420" s="5" t="s">
        <v>29437</v>
      </c>
      <c r="F4420" s="5" t="s">
        <v>199</v>
      </c>
      <c r="G4420" s="5" t="s">
        <v>29438</v>
      </c>
      <c r="H4420" s="6" t="s">
        <v>29439</v>
      </c>
      <c r="K4420" s="5" t="s">
        <v>29394</v>
      </c>
    </row>
    <row r="4421">
      <c r="A4421" s="4">
        <v>45534.3516078588</v>
      </c>
      <c r="B4421" s="5" t="s">
        <v>34</v>
      </c>
      <c r="D4421" s="5" t="s">
        <v>1206</v>
      </c>
      <c r="E4421" s="5" t="s">
        <v>29442</v>
      </c>
      <c r="F4421" s="5" t="s">
        <v>212</v>
      </c>
      <c r="G4421" s="5" t="s">
        <v>29443</v>
      </c>
      <c r="H4421" s="6" t="s">
        <v>29444</v>
      </c>
      <c r="K4421" s="5" t="s">
        <v>29394</v>
      </c>
    </row>
    <row r="4422">
      <c r="A4422" s="4">
        <v>45534.35161763889</v>
      </c>
      <c r="B4422" s="5" t="s">
        <v>34</v>
      </c>
      <c r="D4422" s="5" t="s">
        <v>996</v>
      </c>
      <c r="E4422" s="5" t="s">
        <v>29447</v>
      </c>
      <c r="F4422" s="5" t="s">
        <v>37</v>
      </c>
      <c r="G4422" s="5" t="s">
        <v>29448</v>
      </c>
      <c r="H4422" s="6" t="s">
        <v>29449</v>
      </c>
      <c r="K4422" s="5" t="s">
        <v>29394</v>
      </c>
    </row>
    <row r="4423">
      <c r="A4423" s="4">
        <v>45534.35163306713</v>
      </c>
      <c r="B4423" s="5" t="s">
        <v>34</v>
      </c>
      <c r="D4423" s="5" t="s">
        <v>4775</v>
      </c>
      <c r="E4423" s="5" t="s">
        <v>29452</v>
      </c>
      <c r="F4423" s="5" t="s">
        <v>375</v>
      </c>
      <c r="G4423" s="5" t="s">
        <v>29453</v>
      </c>
      <c r="H4423" s="6" t="s">
        <v>29454</v>
      </c>
      <c r="K4423" s="5" t="s">
        <v>29455</v>
      </c>
    </row>
    <row r="4424">
      <c r="A4424" s="4">
        <v>45534.35163664352</v>
      </c>
      <c r="B4424" s="5" t="s">
        <v>34</v>
      </c>
      <c r="D4424" s="5" t="s">
        <v>1206</v>
      </c>
      <c r="E4424" s="5" t="s">
        <v>29459</v>
      </c>
      <c r="F4424" s="5" t="s">
        <v>212</v>
      </c>
      <c r="G4424" s="5" t="s">
        <v>29460</v>
      </c>
      <c r="H4424" s="6" t="s">
        <v>29461</v>
      </c>
      <c r="K4424" s="5" t="s">
        <v>29455</v>
      </c>
    </row>
    <row r="4425">
      <c r="A4425" s="4">
        <v>45534.35165527777</v>
      </c>
      <c r="B4425" s="5" t="s">
        <v>34</v>
      </c>
      <c r="D4425" s="5" t="s">
        <v>9020</v>
      </c>
      <c r="E4425" s="5" t="s">
        <v>29464</v>
      </c>
      <c r="F4425" s="5" t="s">
        <v>37</v>
      </c>
      <c r="G4425" s="5" t="s">
        <v>29465</v>
      </c>
      <c r="H4425" s="6" t="s">
        <v>29466</v>
      </c>
      <c r="K4425" s="5" t="s">
        <v>29455</v>
      </c>
    </row>
    <row r="4426">
      <c r="A4426" s="4">
        <v>45534.35166728009</v>
      </c>
      <c r="B4426" s="5" t="s">
        <v>34</v>
      </c>
      <c r="D4426" s="5" t="s">
        <v>1206</v>
      </c>
      <c r="E4426" s="5" t="s">
        <v>29469</v>
      </c>
      <c r="F4426" s="5" t="s">
        <v>37</v>
      </c>
      <c r="G4426" s="5" t="s">
        <v>29470</v>
      </c>
      <c r="H4426" s="6" t="s">
        <v>29471</v>
      </c>
      <c r="K4426" s="5" t="s">
        <v>29455</v>
      </c>
    </row>
    <row r="4427">
      <c r="A4427" s="4">
        <v>45534.351670289354</v>
      </c>
      <c r="B4427" s="5" t="s">
        <v>34</v>
      </c>
      <c r="D4427" s="5" t="s">
        <v>12978</v>
      </c>
      <c r="E4427" s="5" t="s">
        <v>29475</v>
      </c>
      <c r="F4427" s="5" t="s">
        <v>212</v>
      </c>
      <c r="G4427" s="5" t="s">
        <v>29476</v>
      </c>
      <c r="H4427" s="6" t="s">
        <v>29477</v>
      </c>
      <c r="K4427" s="5" t="s">
        <v>29478</v>
      </c>
    </row>
    <row r="4428">
      <c r="A4428" s="4">
        <v>45534.35167554398</v>
      </c>
      <c r="B4428" s="5" t="s">
        <v>34</v>
      </c>
      <c r="D4428" s="5" t="s">
        <v>6232</v>
      </c>
      <c r="E4428" s="5" t="s">
        <v>29481</v>
      </c>
      <c r="F4428" s="5" t="s">
        <v>108</v>
      </c>
      <c r="G4428" s="5" t="s">
        <v>29482</v>
      </c>
      <c r="H4428" s="6" t="s">
        <v>29483</v>
      </c>
      <c r="K4428" s="5" t="s">
        <v>29478</v>
      </c>
    </row>
    <row r="4429">
      <c r="A4429" s="4">
        <v>45534.35172805555</v>
      </c>
      <c r="B4429" s="5" t="s">
        <v>34</v>
      </c>
      <c r="D4429" s="5" t="s">
        <v>6232</v>
      </c>
      <c r="E4429" s="5" t="s">
        <v>29486</v>
      </c>
      <c r="F4429" s="5" t="s">
        <v>108</v>
      </c>
      <c r="G4429" s="5" t="s">
        <v>29487</v>
      </c>
      <c r="H4429" s="6" t="s">
        <v>29488</v>
      </c>
      <c r="K4429" s="5" t="s">
        <v>29489</v>
      </c>
    </row>
    <row r="4430">
      <c r="A4430" s="4">
        <v>45534.3517302199</v>
      </c>
      <c r="B4430" s="5" t="s">
        <v>34</v>
      </c>
      <c r="D4430" s="5" t="s">
        <v>4775</v>
      </c>
      <c r="E4430" s="5" t="s">
        <v>29493</v>
      </c>
      <c r="F4430" s="5" t="s">
        <v>375</v>
      </c>
      <c r="G4430" s="5" t="s">
        <v>29494</v>
      </c>
      <c r="H4430" s="6" t="s">
        <v>29495</v>
      </c>
      <c r="K4430" s="5" t="s">
        <v>29489</v>
      </c>
    </row>
    <row r="4431">
      <c r="A4431" s="4">
        <v>45534.351732511575</v>
      </c>
      <c r="B4431" s="5" t="s">
        <v>34</v>
      </c>
      <c r="D4431" s="5" t="s">
        <v>1206</v>
      </c>
      <c r="E4431" s="5" t="s">
        <v>29498</v>
      </c>
      <c r="F4431" s="5" t="s">
        <v>37</v>
      </c>
      <c r="G4431" s="5" t="s">
        <v>29499</v>
      </c>
      <c r="H4431" s="6" t="s">
        <v>29500</v>
      </c>
      <c r="K4431" s="5" t="s">
        <v>29489</v>
      </c>
    </row>
    <row r="4432">
      <c r="A4432" s="4">
        <v>45534.351732337964</v>
      </c>
      <c r="B4432" s="5" t="s">
        <v>34</v>
      </c>
      <c r="D4432" s="5" t="s">
        <v>10444</v>
      </c>
      <c r="E4432" s="5" t="s">
        <v>29503</v>
      </c>
      <c r="F4432" s="5" t="s">
        <v>37</v>
      </c>
      <c r="G4432" s="5" t="s">
        <v>29504</v>
      </c>
      <c r="H4432" s="6" t="s">
        <v>29505</v>
      </c>
      <c r="K4432" s="5" t="s">
        <v>29489</v>
      </c>
    </row>
    <row r="4433">
      <c r="A4433" s="4">
        <v>45534.35173299769</v>
      </c>
      <c r="B4433" s="5" t="s">
        <v>34</v>
      </c>
      <c r="D4433" s="5" t="s">
        <v>4775</v>
      </c>
      <c r="E4433" s="5" t="s">
        <v>29508</v>
      </c>
      <c r="F4433" s="5" t="s">
        <v>524</v>
      </c>
      <c r="G4433" s="5" t="s">
        <v>29509</v>
      </c>
      <c r="H4433" s="6" t="s">
        <v>29510</v>
      </c>
      <c r="K4433" s="5" t="s">
        <v>29489</v>
      </c>
    </row>
    <row r="4434">
      <c r="A4434" s="4">
        <v>45534.3517333912</v>
      </c>
      <c r="B4434" s="5" t="s">
        <v>34</v>
      </c>
      <c r="D4434" s="5" t="s">
        <v>12978</v>
      </c>
      <c r="E4434" s="5" t="s">
        <v>29513</v>
      </c>
      <c r="F4434" s="5" t="s">
        <v>199</v>
      </c>
      <c r="G4434" s="5" t="s">
        <v>29514</v>
      </c>
      <c r="H4434" s="6" t="s">
        <v>29515</v>
      </c>
      <c r="K4434" s="5" t="s">
        <v>29489</v>
      </c>
    </row>
    <row r="4435">
      <c r="A4435" s="4">
        <v>45534.35173570602</v>
      </c>
      <c r="B4435" s="5" t="s">
        <v>34</v>
      </c>
      <c r="D4435" s="5" t="s">
        <v>1206</v>
      </c>
      <c r="E4435" s="5" t="s">
        <v>29519</v>
      </c>
      <c r="F4435" s="5" t="s">
        <v>199</v>
      </c>
      <c r="G4435" s="5" t="s">
        <v>29520</v>
      </c>
      <c r="H4435" s="6" t="s">
        <v>29521</v>
      </c>
      <c r="K4435" s="5" t="s">
        <v>29489</v>
      </c>
    </row>
    <row r="4436">
      <c r="A4436" s="4">
        <v>45534.35174333333</v>
      </c>
      <c r="B4436" s="5" t="s">
        <v>34</v>
      </c>
      <c r="D4436" s="5" t="s">
        <v>4775</v>
      </c>
      <c r="E4436" s="5" t="s">
        <v>17539</v>
      </c>
      <c r="F4436" s="5" t="s">
        <v>212</v>
      </c>
      <c r="G4436" s="5" t="s">
        <v>29524</v>
      </c>
      <c r="H4436" s="6" t="s">
        <v>29525</v>
      </c>
      <c r="K4436" s="5" t="s">
        <v>29489</v>
      </c>
    </row>
    <row r="4437">
      <c r="A4437" s="4">
        <v>45534.35175479167</v>
      </c>
      <c r="B4437" s="5" t="s">
        <v>34</v>
      </c>
      <c r="D4437" s="5" t="s">
        <v>4775</v>
      </c>
      <c r="E4437" s="5" t="s">
        <v>18419</v>
      </c>
      <c r="F4437" s="5" t="s">
        <v>212</v>
      </c>
      <c r="G4437" s="5" t="s">
        <v>29528</v>
      </c>
      <c r="H4437" s="6" t="s">
        <v>29529</v>
      </c>
      <c r="K4437" s="5" t="s">
        <v>29489</v>
      </c>
    </row>
    <row r="4438">
      <c r="A4438" s="4">
        <v>45534.35175710648</v>
      </c>
      <c r="B4438" s="5" t="s">
        <v>34</v>
      </c>
      <c r="D4438" s="5" t="s">
        <v>6232</v>
      </c>
      <c r="E4438" s="5" t="s">
        <v>29532</v>
      </c>
      <c r="F4438" s="5" t="s">
        <v>120</v>
      </c>
      <c r="G4438" s="5" t="s">
        <v>29533</v>
      </c>
      <c r="H4438" s="6" t="s">
        <v>29534</v>
      </c>
      <c r="K4438" s="5" t="s">
        <v>29489</v>
      </c>
    </row>
    <row r="4439">
      <c r="A4439" s="4">
        <v>45534.351768506946</v>
      </c>
      <c r="B4439" s="5" t="s">
        <v>34</v>
      </c>
      <c r="D4439" s="5" t="s">
        <v>701</v>
      </c>
      <c r="E4439" s="5" t="s">
        <v>29537</v>
      </c>
      <c r="F4439" s="5" t="s">
        <v>108</v>
      </c>
      <c r="G4439" s="5" t="s">
        <v>29538</v>
      </c>
      <c r="H4439" s="6" t="s">
        <v>29539</v>
      </c>
      <c r="K4439" s="5" t="s">
        <v>29540</v>
      </c>
    </row>
    <row r="4440">
      <c r="A4440" s="4">
        <v>45534.35177954861</v>
      </c>
      <c r="B4440" s="5" t="s">
        <v>34</v>
      </c>
      <c r="D4440" s="5" t="s">
        <v>35</v>
      </c>
      <c r="E4440" s="5" t="s">
        <v>29543</v>
      </c>
      <c r="F4440" s="5" t="s">
        <v>37</v>
      </c>
      <c r="G4440" s="5" t="s">
        <v>29544</v>
      </c>
      <c r="H4440" s="6" t="s">
        <v>29545</v>
      </c>
      <c r="K4440" s="5" t="s">
        <v>29540</v>
      </c>
    </row>
    <row r="4441">
      <c r="A4441" s="4">
        <v>45534.35178087963</v>
      </c>
      <c r="B4441" s="5" t="s">
        <v>34</v>
      </c>
      <c r="D4441" s="5" t="s">
        <v>701</v>
      </c>
      <c r="E4441" s="5" t="s">
        <v>29549</v>
      </c>
      <c r="F4441" s="5" t="s">
        <v>212</v>
      </c>
      <c r="G4441" s="5" t="s">
        <v>29550</v>
      </c>
      <c r="H4441" s="6" t="s">
        <v>29551</v>
      </c>
      <c r="K4441" s="5" t="s">
        <v>29540</v>
      </c>
    </row>
    <row r="4442">
      <c r="A4442" s="4">
        <v>45534.35178675926</v>
      </c>
      <c r="B4442" s="5" t="s">
        <v>34</v>
      </c>
      <c r="D4442" s="5" t="s">
        <v>1206</v>
      </c>
      <c r="E4442" s="5" t="s">
        <v>29554</v>
      </c>
      <c r="F4442" s="5" t="s">
        <v>212</v>
      </c>
      <c r="G4442" s="5" t="s">
        <v>29555</v>
      </c>
      <c r="H4442" s="6" t="s">
        <v>29556</v>
      </c>
      <c r="K4442" s="5" t="s">
        <v>29557</v>
      </c>
    </row>
    <row r="4443">
      <c r="A4443" s="4">
        <v>45534.35181207176</v>
      </c>
      <c r="B4443" s="5" t="s">
        <v>34</v>
      </c>
      <c r="D4443" s="5" t="s">
        <v>6232</v>
      </c>
      <c r="E4443" s="5" t="s">
        <v>29560</v>
      </c>
      <c r="F4443" s="5" t="s">
        <v>72</v>
      </c>
      <c r="G4443" s="5" t="s">
        <v>29561</v>
      </c>
      <c r="H4443" s="6" t="s">
        <v>29562</v>
      </c>
      <c r="K4443" s="5" t="s">
        <v>29557</v>
      </c>
    </row>
    <row r="4444">
      <c r="A4444" s="4">
        <v>45534.35181486111</v>
      </c>
      <c r="B4444" s="5" t="s">
        <v>34</v>
      </c>
      <c r="D4444" s="5" t="s">
        <v>1558</v>
      </c>
      <c r="E4444" s="5" t="s">
        <v>29565</v>
      </c>
      <c r="F4444" s="5" t="s">
        <v>212</v>
      </c>
      <c r="G4444" s="5" t="s">
        <v>29566</v>
      </c>
      <c r="H4444" s="6" t="s">
        <v>29567</v>
      </c>
      <c r="K4444" s="5" t="s">
        <v>29568</v>
      </c>
    </row>
    <row r="4445">
      <c r="A4445" s="4">
        <v>45534.35182033565</v>
      </c>
      <c r="B4445" s="5" t="s">
        <v>34</v>
      </c>
      <c r="D4445" s="5" t="s">
        <v>35</v>
      </c>
      <c r="E4445" s="5" t="s">
        <v>29571</v>
      </c>
      <c r="F4445" s="5" t="s">
        <v>37</v>
      </c>
      <c r="G4445" s="5" t="s">
        <v>29572</v>
      </c>
      <c r="H4445" s="6" t="s">
        <v>29573</v>
      </c>
      <c r="K4445" s="5" t="s">
        <v>29568</v>
      </c>
    </row>
    <row r="4446">
      <c r="A4446" s="4">
        <v>45534.35182311342</v>
      </c>
      <c r="B4446" s="5" t="s">
        <v>34</v>
      </c>
      <c r="D4446" s="5" t="s">
        <v>10444</v>
      </c>
      <c r="E4446" s="5" t="s">
        <v>29577</v>
      </c>
      <c r="F4446" s="5" t="s">
        <v>524</v>
      </c>
      <c r="G4446" s="5" t="s">
        <v>29578</v>
      </c>
      <c r="H4446" s="6" t="s">
        <v>29579</v>
      </c>
      <c r="K4446" s="5" t="s">
        <v>29568</v>
      </c>
    </row>
    <row r="4447">
      <c r="A4447" s="4">
        <v>45534.35182471065</v>
      </c>
      <c r="B4447" s="5" t="s">
        <v>34</v>
      </c>
      <c r="D4447" s="5" t="s">
        <v>9394</v>
      </c>
      <c r="E4447" s="5" t="s">
        <v>29582</v>
      </c>
      <c r="F4447" s="5" t="s">
        <v>37</v>
      </c>
      <c r="G4447" s="5" t="s">
        <v>29583</v>
      </c>
      <c r="H4447" s="6" t="s">
        <v>29584</v>
      </c>
      <c r="K4447" s="5" t="s">
        <v>29568</v>
      </c>
    </row>
    <row r="4448">
      <c r="A4448" s="4">
        <v>45534.35183027778</v>
      </c>
      <c r="B4448" s="5" t="s">
        <v>34</v>
      </c>
      <c r="D4448" s="5" t="s">
        <v>12978</v>
      </c>
      <c r="E4448" s="5" t="s">
        <v>29587</v>
      </c>
      <c r="F4448" s="5" t="s">
        <v>524</v>
      </c>
      <c r="G4448" s="5" t="s">
        <v>29588</v>
      </c>
      <c r="H4448" s="6" t="s">
        <v>29589</v>
      </c>
      <c r="K4448" s="5" t="s">
        <v>29568</v>
      </c>
    </row>
    <row r="4449">
      <c r="A4449" s="4">
        <v>45534.3518397338</v>
      </c>
      <c r="B4449" s="5" t="s">
        <v>34</v>
      </c>
      <c r="D4449" s="5" t="s">
        <v>1206</v>
      </c>
      <c r="E4449" s="5" t="s">
        <v>29592</v>
      </c>
      <c r="F4449" s="5" t="s">
        <v>5859</v>
      </c>
      <c r="G4449" s="5" t="s">
        <v>29593</v>
      </c>
      <c r="H4449" s="6" t="s">
        <v>29594</v>
      </c>
      <c r="I4449" s="7" t="s">
        <v>29595</v>
      </c>
      <c r="J4449" s="8" t="str">
        <f>HYPERLINK("https://drive.google.com/file/d/12hTI2KcPpUHOWLxuYkq9m-l9zWGa_W2O/view?usp=drivesdk","YULIATI SERTIFIKAT BerAKHLAK")</f>
        <v>YULIATI SERTIFIKAT BerAKHLAK</v>
      </c>
      <c r="K4449" s="5" t="s">
        <v>28639</v>
      </c>
      <c r="L4449" s="5" t="s">
        <v>29596</v>
      </c>
    </row>
    <row r="4450">
      <c r="A4450" s="4">
        <v>45534.351845983794</v>
      </c>
      <c r="B4450" s="5" t="s">
        <v>34</v>
      </c>
      <c r="D4450" s="5" t="s">
        <v>1692</v>
      </c>
      <c r="E4450" s="5" t="s">
        <v>29599</v>
      </c>
      <c r="F4450" s="5" t="s">
        <v>108</v>
      </c>
      <c r="G4450" s="5" t="s">
        <v>29600</v>
      </c>
      <c r="H4450" s="6" t="s">
        <v>29601</v>
      </c>
      <c r="I4450" s="7" t="s">
        <v>29602</v>
      </c>
      <c r="J4450" s="8" t="str">
        <f>HYPERLINK("https://drive.google.com/file/d/1w1gq7Ir__MHKDNREaAbAxqUm65fBH5Tt/view?usp=drivesdk","ERNAWATY EFIYANTI LESILOLO SERTIFIKAT BerAKHLAK")</f>
        <v>ERNAWATY EFIYANTI LESILOLO SERTIFIKAT BerAKHLAK</v>
      </c>
      <c r="K4450" s="5" t="s">
        <v>29603</v>
      </c>
      <c r="L4450" s="5" t="s">
        <v>29604</v>
      </c>
    </row>
    <row r="4451">
      <c r="A4451" s="4">
        <v>45534.35185247685</v>
      </c>
      <c r="B4451" s="5" t="s">
        <v>34</v>
      </c>
      <c r="D4451" s="5" t="s">
        <v>6232</v>
      </c>
      <c r="E4451" s="5" t="s">
        <v>29608</v>
      </c>
      <c r="F4451" s="5" t="s">
        <v>108</v>
      </c>
      <c r="G4451" s="5" t="s">
        <v>29609</v>
      </c>
      <c r="H4451" s="6" t="s">
        <v>29610</v>
      </c>
      <c r="I4451" s="7" t="s">
        <v>29611</v>
      </c>
      <c r="J4451" s="8" t="str">
        <f>HYPERLINK("https://drive.google.com/file/d/1Tpxw4RVUlniyHg_ydjzfHJz7D54K69TQ/view?usp=drivesdk","JOJOR HUTABARAT, S.E SERTIFIKAT BerAKHLAK")</f>
        <v>JOJOR HUTABARAT, S.E SERTIFIKAT BerAKHLAK</v>
      </c>
      <c r="K4451" s="5" t="s">
        <v>29603</v>
      </c>
      <c r="L4451" s="5" t="s">
        <v>29612</v>
      </c>
    </row>
    <row r="4452">
      <c r="A4452" s="4">
        <v>45534.35185652778</v>
      </c>
      <c r="B4452" s="5" t="s">
        <v>34</v>
      </c>
      <c r="D4452" s="5" t="s">
        <v>1206</v>
      </c>
      <c r="E4452" s="5" t="s">
        <v>29615</v>
      </c>
      <c r="F4452" s="5" t="s">
        <v>37</v>
      </c>
      <c r="G4452" s="5" t="s">
        <v>29616</v>
      </c>
      <c r="H4452" s="6" t="s">
        <v>29617</v>
      </c>
      <c r="I4452" s="7" t="s">
        <v>29618</v>
      </c>
      <c r="J4452" s="8" t="str">
        <f>HYPERLINK("https://drive.google.com/file/d/1uHtaa7RZ3-WRRt2oSOsq9RiV4SI_pwZR/view?usp=drivesdk","SUPARNI  SERTIFIKAT BerAKHLAK")</f>
        <v>SUPARNI  SERTIFIKAT BerAKHLAK</v>
      </c>
      <c r="K4452" s="5" t="s">
        <v>28639</v>
      </c>
      <c r="L4452" s="5" t="s">
        <v>29619</v>
      </c>
    </row>
    <row r="4453">
      <c r="A4453" s="4">
        <v>45534.35187128472</v>
      </c>
      <c r="B4453" s="5" t="s">
        <v>34</v>
      </c>
      <c r="D4453" s="5" t="s">
        <v>1558</v>
      </c>
      <c r="E4453" s="5" t="s">
        <v>29623</v>
      </c>
      <c r="F4453" s="5" t="s">
        <v>212</v>
      </c>
      <c r="G4453" s="5" t="s">
        <v>29624</v>
      </c>
      <c r="H4453" s="6" t="s">
        <v>29625</v>
      </c>
      <c r="I4453" s="7" t="s">
        <v>29626</v>
      </c>
      <c r="J4453" s="8" t="str">
        <f>HYPERLINK("https://drive.google.com/file/d/1Ps0UkrO2kUWyO3HX6Uw45k5SwhQQAXch/view?usp=drivesdk","WIWIK SUGIARTINI SERTIFIKAT BerAKHLAK")</f>
        <v>WIWIK SUGIARTINI SERTIFIKAT BerAKHLAK</v>
      </c>
      <c r="K4453" s="5" t="s">
        <v>29603</v>
      </c>
      <c r="L4453" s="5" t="s">
        <v>29627</v>
      </c>
    </row>
    <row r="4454">
      <c r="A4454" s="4">
        <v>45534.351873900465</v>
      </c>
      <c r="B4454" s="5" t="s">
        <v>34</v>
      </c>
      <c r="D4454" s="5" t="s">
        <v>4775</v>
      </c>
      <c r="E4454" s="5" t="s">
        <v>29630</v>
      </c>
      <c r="F4454" s="5" t="s">
        <v>212</v>
      </c>
      <c r="G4454" s="5" t="s">
        <v>29631</v>
      </c>
      <c r="H4454" s="6" t="s">
        <v>29632</v>
      </c>
      <c r="I4454" s="7" t="s">
        <v>29633</v>
      </c>
      <c r="J4454" s="8" t="str">
        <f>HYPERLINK("https://drive.google.com/file/d/1xLBmZ9-2nOTJ7_RMl_Fhh2lOeJVWjHXh/view?usp=drivesdk","ERNY KURNIASIH SERTIFIKAT BerAKHLAK")</f>
        <v>ERNY KURNIASIH SERTIFIKAT BerAKHLAK</v>
      </c>
      <c r="K4454" s="5" t="s">
        <v>29603</v>
      </c>
      <c r="L4454" s="5" t="s">
        <v>29634</v>
      </c>
    </row>
    <row r="4455">
      <c r="A4455" s="4">
        <v>45534.35188212963</v>
      </c>
      <c r="B4455" s="5" t="s">
        <v>34</v>
      </c>
      <c r="D4455" s="5" t="s">
        <v>1206</v>
      </c>
      <c r="E4455" s="5" t="s">
        <v>29637</v>
      </c>
      <c r="F4455" s="5" t="s">
        <v>212</v>
      </c>
      <c r="G4455" s="5" t="s">
        <v>29638</v>
      </c>
      <c r="H4455" s="6" t="s">
        <v>29639</v>
      </c>
      <c r="I4455" s="7" t="s">
        <v>29640</v>
      </c>
      <c r="J4455" s="8" t="str">
        <f>HYPERLINK("https://drive.google.com/file/d/1h8cJQ9QkLJR5jHxVPa7Urg8l5lVOlcFq/view?usp=drivesdk","BUDIONO,S.I.P. SERTIFIKAT BerAKHLAK")</f>
        <v>BUDIONO,S.I.P. SERTIFIKAT BerAKHLAK</v>
      </c>
      <c r="K4455" s="5" t="s">
        <v>29603</v>
      </c>
      <c r="L4455" s="5" t="s">
        <v>29641</v>
      </c>
    </row>
    <row r="4456">
      <c r="A4456" s="4">
        <v>45534.3518867824</v>
      </c>
      <c r="B4456" s="5" t="s">
        <v>34</v>
      </c>
      <c r="D4456" s="5" t="s">
        <v>35</v>
      </c>
      <c r="E4456" s="5" t="s">
        <v>29644</v>
      </c>
      <c r="F4456" s="5" t="s">
        <v>120</v>
      </c>
      <c r="G4456" s="5" t="s">
        <v>29645</v>
      </c>
      <c r="H4456" s="6" t="s">
        <v>29646</v>
      </c>
      <c r="K4456" s="5" t="s">
        <v>29647</v>
      </c>
    </row>
    <row r="4457">
      <c r="A4457" s="4">
        <v>45534.351890474536</v>
      </c>
      <c r="B4457" s="5" t="s">
        <v>34</v>
      </c>
      <c r="D4457" s="5" t="s">
        <v>4775</v>
      </c>
      <c r="E4457" s="5" t="s">
        <v>29651</v>
      </c>
      <c r="F4457" s="5" t="s">
        <v>212</v>
      </c>
      <c r="G4457" s="5" t="s">
        <v>29652</v>
      </c>
      <c r="H4457" s="6" t="s">
        <v>29653</v>
      </c>
      <c r="K4457" s="5" t="s">
        <v>29647</v>
      </c>
    </row>
    <row r="4458">
      <c r="A4458" s="4">
        <v>45534.35191387731</v>
      </c>
      <c r="B4458" s="5" t="s">
        <v>34</v>
      </c>
      <c r="D4458" s="5" t="s">
        <v>996</v>
      </c>
      <c r="E4458" s="5" t="s">
        <v>29656</v>
      </c>
      <c r="F4458" s="5" t="s">
        <v>108</v>
      </c>
      <c r="G4458" s="5" t="s">
        <v>29657</v>
      </c>
      <c r="H4458" s="6" t="s">
        <v>29658</v>
      </c>
      <c r="I4458" s="7" t="s">
        <v>29659</v>
      </c>
      <c r="J4458" s="8" t="str">
        <f>HYPERLINK("https://drive.google.com/file/d/1hmiOqSdfi01fAIifLnjU1G7sS6VEwoXu/view?usp=drivesdk","MUHAMMAD YULIADIVRAHMAN, A.Md SERTIFIKAT BerAKHLAK")</f>
        <v>MUHAMMAD YULIADIVRAHMAN, A.Md SERTIFIKAT BerAKHLAK</v>
      </c>
      <c r="K4458" s="5" t="s">
        <v>28639</v>
      </c>
      <c r="L4458" s="5" t="s">
        <v>29660</v>
      </c>
    </row>
    <row r="4459">
      <c r="A4459" s="4">
        <v>45534.35191834491</v>
      </c>
      <c r="B4459" s="5" t="s">
        <v>34</v>
      </c>
      <c r="D4459" s="5" t="s">
        <v>996</v>
      </c>
      <c r="E4459" s="5" t="s">
        <v>29663</v>
      </c>
      <c r="F4459" s="5" t="s">
        <v>524</v>
      </c>
      <c r="G4459" s="5" t="s">
        <v>29664</v>
      </c>
      <c r="H4459" s="6" t="s">
        <v>29665</v>
      </c>
      <c r="I4459" s="7" t="s">
        <v>29666</v>
      </c>
      <c r="J4459" s="8" t="str">
        <f>HYPERLINK("https://drive.google.com/file/d/1sjD7044Jnm_lMXBJ2JEfwXqOjPQQuNPo/view?usp=drivesdk","SITI HADIZAH SERTIFIKAT BerAKHLAK")</f>
        <v>SITI HADIZAH SERTIFIKAT BerAKHLAK</v>
      </c>
      <c r="K4459" s="5" t="s">
        <v>29603</v>
      </c>
      <c r="L4459" s="5" t="s">
        <v>29667</v>
      </c>
    </row>
    <row r="4460">
      <c r="A4460" s="4">
        <v>45534.351923483795</v>
      </c>
      <c r="B4460" s="5" t="s">
        <v>34</v>
      </c>
      <c r="D4460" s="5" t="s">
        <v>35</v>
      </c>
      <c r="E4460" s="5" t="s">
        <v>327</v>
      </c>
      <c r="F4460" s="5" t="s">
        <v>108</v>
      </c>
      <c r="G4460" s="5" t="s">
        <v>29670</v>
      </c>
      <c r="H4460" s="6" t="s">
        <v>29671</v>
      </c>
      <c r="I4460" s="7" t="s">
        <v>29672</v>
      </c>
      <c r="J4460" s="8" t="str">
        <f>HYPERLINK("https://drive.google.com/file/d/1KJ8bAizvFaK3a6d3mo7J8ValMTm3cyB4/view?usp=drivesdk","AGUS SETIAWAN SERTIFIKAT BerAKHLAK")</f>
        <v>AGUS SETIAWAN SERTIFIKAT BerAKHLAK</v>
      </c>
      <c r="K4460" s="5" t="s">
        <v>29603</v>
      </c>
      <c r="L4460" s="5" t="s">
        <v>29673</v>
      </c>
    </row>
    <row r="4461">
      <c r="A4461" s="4">
        <v>45534.35192765047</v>
      </c>
      <c r="B4461" s="5" t="s">
        <v>34</v>
      </c>
      <c r="D4461" s="5" t="s">
        <v>4775</v>
      </c>
      <c r="E4461" s="5" t="s">
        <v>29676</v>
      </c>
      <c r="F4461" s="5" t="s">
        <v>72</v>
      </c>
      <c r="G4461" s="5" t="s">
        <v>29677</v>
      </c>
      <c r="H4461" s="6" t="s">
        <v>29678</v>
      </c>
      <c r="I4461" s="7" t="s">
        <v>29679</v>
      </c>
      <c r="J4461" s="8" t="str">
        <f>HYPERLINK("https://drive.google.com/file/d/1N8YO0cEF647J8Ok0YdTKC1B0xBbRgtQj/view?usp=drivesdk","NOEROCHMAH ROMDONIJATUN  SERTIFIKAT BerAKHLAK")</f>
        <v>NOEROCHMAH ROMDONIJATUN  SERTIFIKAT BerAKHLAK</v>
      </c>
      <c r="K4461" s="5" t="s">
        <v>29603</v>
      </c>
      <c r="L4461" s="5" t="s">
        <v>29680</v>
      </c>
    </row>
    <row r="4462">
      <c r="A4462" s="4">
        <v>45534.35194341435</v>
      </c>
      <c r="B4462" s="5" t="s">
        <v>34</v>
      </c>
      <c r="D4462" s="5" t="s">
        <v>701</v>
      </c>
      <c r="E4462" s="5" t="s">
        <v>29684</v>
      </c>
      <c r="F4462" s="5" t="s">
        <v>524</v>
      </c>
      <c r="G4462" s="5" t="s">
        <v>29685</v>
      </c>
      <c r="H4462" s="6" t="s">
        <v>29686</v>
      </c>
      <c r="I4462" s="7" t="s">
        <v>29687</v>
      </c>
      <c r="J4462" s="8" t="str">
        <f>HYPERLINK("https://drive.google.com/file/d/1tlwBK9Yt5v4S-eFZVB-9GgU2vbhp-sn7/view?usp=drivesdk","RIZA NURHAYATI, S.Kep SERTIFIKAT BerAKHLAK")</f>
        <v>RIZA NURHAYATI, S.Kep SERTIFIKAT BerAKHLAK</v>
      </c>
      <c r="K4462" s="5" t="s">
        <v>29603</v>
      </c>
      <c r="L4462" s="5" t="s">
        <v>29688</v>
      </c>
    </row>
    <row r="4463">
      <c r="A4463" s="4">
        <v>45534.35194541667</v>
      </c>
      <c r="B4463" s="5" t="s">
        <v>34</v>
      </c>
      <c r="D4463" s="5" t="s">
        <v>975</v>
      </c>
      <c r="E4463" s="5" t="s">
        <v>29691</v>
      </c>
      <c r="F4463" s="5" t="s">
        <v>37</v>
      </c>
      <c r="G4463" s="5" t="s">
        <v>29692</v>
      </c>
      <c r="H4463" s="6" t="s">
        <v>29693</v>
      </c>
      <c r="I4463" s="7" t="s">
        <v>29694</v>
      </c>
      <c r="J4463" s="8" t="str">
        <f>HYPERLINK("https://drive.google.com/file/d/1k4UmjVD2Xim7Z-oFTqGjUqxHenChishs/view?usp=drivesdk","APRIANI, A. Md Kes SERTIFIKAT BerAKHLAK")</f>
        <v>APRIANI, A. Md Kes SERTIFIKAT BerAKHLAK</v>
      </c>
      <c r="K4463" s="5" t="s">
        <v>29695</v>
      </c>
      <c r="L4463" s="5" t="s">
        <v>29696</v>
      </c>
    </row>
    <row r="4464">
      <c r="A4464" s="4">
        <v>45534.35194710648</v>
      </c>
      <c r="B4464" s="5" t="s">
        <v>34</v>
      </c>
      <c r="D4464" s="5" t="s">
        <v>1206</v>
      </c>
      <c r="E4464" s="5" t="s">
        <v>29699</v>
      </c>
      <c r="F4464" s="5" t="s">
        <v>37</v>
      </c>
      <c r="G4464" s="5" t="s">
        <v>29700</v>
      </c>
      <c r="H4464" s="6" t="s">
        <v>29701</v>
      </c>
      <c r="I4464" s="7" t="s">
        <v>29702</v>
      </c>
      <c r="J4464" s="8" t="str">
        <f>HYPERLINK("https://drive.google.com/file/d/19JqWc4tN0IRs5xE7sZbD2DCbSisSzuJ7/view?usp=drivesdk","MULADI SERTIFIKAT BerAKHLAK")</f>
        <v>MULADI SERTIFIKAT BerAKHLAK</v>
      </c>
      <c r="K4464" s="5" t="s">
        <v>29695</v>
      </c>
      <c r="L4464" s="5" t="s">
        <v>29703</v>
      </c>
    </row>
    <row r="4465">
      <c r="A4465" s="4">
        <v>45534.351952060184</v>
      </c>
      <c r="B4465" s="5" t="s">
        <v>34</v>
      </c>
      <c r="D4465" s="5" t="s">
        <v>12978</v>
      </c>
      <c r="E4465" s="5" t="s">
        <v>29706</v>
      </c>
      <c r="F4465" s="5" t="s">
        <v>524</v>
      </c>
      <c r="G4465" s="5" t="s">
        <v>29707</v>
      </c>
      <c r="H4465" s="6" t="s">
        <v>29708</v>
      </c>
      <c r="I4465" s="7" t="s">
        <v>29709</v>
      </c>
      <c r="J4465" s="8" t="str">
        <f>HYPERLINK("https://drive.google.com/file/d/1neKpLk8yv-9ZY32FpzS7-iEsWf0n52wu/view?usp=drivesdk","LINDA.Amd SERTIFIKAT BerAKHLAK")</f>
        <v>LINDA.Amd SERTIFIKAT BerAKHLAK</v>
      </c>
      <c r="K4465" s="5" t="s">
        <v>29695</v>
      </c>
      <c r="L4465" s="5" t="s">
        <v>29710</v>
      </c>
    </row>
    <row r="4466">
      <c r="A4466" s="4">
        <v>45534.35195469907</v>
      </c>
      <c r="B4466" s="5" t="s">
        <v>34</v>
      </c>
      <c r="D4466" s="5" t="s">
        <v>4775</v>
      </c>
      <c r="E4466" s="5" t="s">
        <v>29713</v>
      </c>
      <c r="F4466" s="5" t="s">
        <v>375</v>
      </c>
      <c r="G4466" s="5" t="s">
        <v>29714</v>
      </c>
      <c r="H4466" s="6" t="s">
        <v>29715</v>
      </c>
      <c r="I4466" s="7" t="s">
        <v>29716</v>
      </c>
      <c r="J4466" s="8" t="str">
        <f>HYPERLINK("https://drive.google.com/file/d/1W26yOZlkP1LfXZ7S5b70mXlzfjtw14Mf/view?usp=drivesdk","LINA APRILIANI, S.Kom SERTIFIKAT BerAKHLAK")</f>
        <v>LINA APRILIANI, S.Kom SERTIFIKAT BerAKHLAK</v>
      </c>
      <c r="K4466" s="5" t="s">
        <v>29717</v>
      </c>
      <c r="L4466" s="5" t="s">
        <v>29718</v>
      </c>
    </row>
    <row r="4467">
      <c r="A4467" s="4">
        <v>45534.35195972222</v>
      </c>
      <c r="B4467" s="5" t="s">
        <v>34</v>
      </c>
      <c r="D4467" s="5" t="s">
        <v>11527</v>
      </c>
      <c r="E4467" s="5" t="s">
        <v>29722</v>
      </c>
      <c r="F4467" s="5" t="s">
        <v>37</v>
      </c>
      <c r="G4467" s="5" t="s">
        <v>29723</v>
      </c>
      <c r="H4467" s="6" t="s">
        <v>29724</v>
      </c>
      <c r="K4467" s="5" t="s">
        <v>29725</v>
      </c>
    </row>
    <row r="4468">
      <c r="A4468" s="4">
        <v>45534.35196138889</v>
      </c>
      <c r="B4468" s="5" t="s">
        <v>34</v>
      </c>
      <c r="D4468" s="5" t="s">
        <v>3432</v>
      </c>
      <c r="E4468" s="5" t="s">
        <v>29728</v>
      </c>
      <c r="F4468" s="5" t="s">
        <v>375</v>
      </c>
      <c r="G4468" s="5" t="s">
        <v>29729</v>
      </c>
      <c r="H4468" s="6" t="s">
        <v>29730</v>
      </c>
      <c r="K4468" s="5" t="s">
        <v>29725</v>
      </c>
    </row>
    <row r="4469">
      <c r="A4469" s="4">
        <v>45534.35198133102</v>
      </c>
      <c r="B4469" s="5" t="s">
        <v>34</v>
      </c>
      <c r="D4469" s="5" t="s">
        <v>1206</v>
      </c>
      <c r="E4469" s="5" t="s">
        <v>29733</v>
      </c>
      <c r="F4469" s="5" t="s">
        <v>375</v>
      </c>
      <c r="G4469" s="5" t="s">
        <v>29734</v>
      </c>
      <c r="H4469" s="6" t="s">
        <v>29735</v>
      </c>
      <c r="I4469" s="7" t="s">
        <v>29736</v>
      </c>
      <c r="J4469" s="8" t="str">
        <f>HYPERLINK("https://drive.google.com/file/d/1IvJteFCj802Gqes1yB-UDGGW5xPQP-Pp/view?usp=drivesdk","DEWI RAHMAWATI, S.H. SERTIFIKAT BerAKHLAK")</f>
        <v>DEWI RAHMAWATI, S.H. SERTIFIKAT BerAKHLAK</v>
      </c>
      <c r="K4469" s="5" t="s">
        <v>29603</v>
      </c>
      <c r="L4469" s="5" t="s">
        <v>29737</v>
      </c>
    </row>
    <row r="4470">
      <c r="A4470" s="4">
        <v>45534.35198630787</v>
      </c>
      <c r="B4470" s="5" t="s">
        <v>34</v>
      </c>
      <c r="D4470" s="5" t="s">
        <v>35</v>
      </c>
      <c r="E4470" s="5" t="s">
        <v>29740</v>
      </c>
      <c r="F4470" s="5" t="s">
        <v>108</v>
      </c>
      <c r="G4470" s="5" t="s">
        <v>29741</v>
      </c>
      <c r="H4470" s="6" t="s">
        <v>29742</v>
      </c>
      <c r="I4470" s="7" t="s">
        <v>29743</v>
      </c>
      <c r="J4470" s="8" t="str">
        <f>HYPERLINK("https://drive.google.com/file/d/1SNNeXu1cfYWUI45o77ZSA3AQHtBgUPJt/view?usp=drivesdk","SAIDIN SAJIDIN SERTIFIKAT BerAKHLAK")</f>
        <v>SAIDIN SAJIDIN SERTIFIKAT BerAKHLAK</v>
      </c>
      <c r="K4470" s="5" t="s">
        <v>29603</v>
      </c>
      <c r="L4470" s="5" t="s">
        <v>29744</v>
      </c>
    </row>
    <row r="4471">
      <c r="A4471" s="4">
        <v>45534.352003101856</v>
      </c>
      <c r="B4471" s="5" t="s">
        <v>34</v>
      </c>
      <c r="D4471" s="5" t="s">
        <v>12978</v>
      </c>
      <c r="E4471" s="5" t="s">
        <v>29748</v>
      </c>
      <c r="F4471" s="5" t="s">
        <v>212</v>
      </c>
      <c r="G4471" s="5" t="s">
        <v>29749</v>
      </c>
      <c r="H4471" s="6" t="s">
        <v>29750</v>
      </c>
      <c r="I4471" s="7" t="s">
        <v>29751</v>
      </c>
      <c r="J4471" s="8" t="str">
        <f>HYPERLINK("https://drive.google.com/file/d/1HuW25CSlisyv05Mdbz9RRXMcPs6svHD2/view?usp=drivesdk","PATIMAWATI SERTIFIKAT BerAKHLAK")</f>
        <v>PATIMAWATI SERTIFIKAT BerAKHLAK</v>
      </c>
      <c r="K4471" s="5" t="s">
        <v>29603</v>
      </c>
      <c r="L4471" s="5" t="s">
        <v>29752</v>
      </c>
    </row>
    <row r="4472">
      <c r="A4472" s="4">
        <v>45534.3520046412</v>
      </c>
      <c r="B4472" s="5" t="s">
        <v>34</v>
      </c>
      <c r="D4472" s="5" t="s">
        <v>1206</v>
      </c>
      <c r="E4472" s="5" t="s">
        <v>29755</v>
      </c>
      <c r="F4472" s="5" t="s">
        <v>328</v>
      </c>
      <c r="G4472" s="5" t="s">
        <v>29756</v>
      </c>
      <c r="H4472" s="6" t="s">
        <v>29757</v>
      </c>
      <c r="I4472" s="7" t="s">
        <v>29758</v>
      </c>
      <c r="J4472" s="8" t="str">
        <f>HYPERLINK("https://drive.google.com/file/d/1nSDY3vmTiatq9jM_8Zrs2C1LkUU3DxFY/view?usp=drivesdk","AGUS SALIM SERTIFIKAT BerAKHLAK")</f>
        <v>AGUS SALIM SERTIFIKAT BerAKHLAK</v>
      </c>
      <c r="K4472" s="5" t="s">
        <v>29603</v>
      </c>
      <c r="L4472" s="5" t="s">
        <v>29759</v>
      </c>
    </row>
    <row r="4473">
      <c r="A4473" s="4">
        <v>45534.35201248842</v>
      </c>
      <c r="B4473" s="5" t="s">
        <v>19</v>
      </c>
      <c r="C4473" s="5" t="s">
        <v>292</v>
      </c>
      <c r="E4473" s="5" t="s">
        <v>29762</v>
      </c>
      <c r="F4473" s="5" t="s">
        <v>715</v>
      </c>
      <c r="G4473" s="5" t="s">
        <v>29763</v>
      </c>
      <c r="H4473" s="6" t="s">
        <v>29764</v>
      </c>
      <c r="I4473" s="7" t="s">
        <v>29765</v>
      </c>
      <c r="J4473" s="8" t="str">
        <f>HYPERLINK("https://drive.google.com/file/d/19o3HZoeRNTeMQOBBHoYD_Sz5fuWst4B6/view?usp=drivesdk","ZAENAL ABIDIN S, H.  SERTIFIKAT BerAKHLAK")</f>
        <v>ZAENAL ABIDIN S, H.  SERTIFIKAT BerAKHLAK</v>
      </c>
      <c r="K4473" s="5" t="s">
        <v>29603</v>
      </c>
      <c r="L4473" s="5" t="s">
        <v>29766</v>
      </c>
    </row>
    <row r="4474">
      <c r="A4474" s="4">
        <v>45534.35201898148</v>
      </c>
      <c r="B4474" s="5" t="s">
        <v>34</v>
      </c>
      <c r="D4474" s="5" t="s">
        <v>267</v>
      </c>
      <c r="E4474" s="5" t="s">
        <v>29769</v>
      </c>
      <c r="F4474" s="5" t="s">
        <v>212</v>
      </c>
      <c r="G4474" s="5" t="s">
        <v>29770</v>
      </c>
      <c r="H4474" s="6" t="s">
        <v>29771</v>
      </c>
      <c r="I4474" s="7" t="s">
        <v>29772</v>
      </c>
      <c r="J4474" s="8" t="str">
        <f>HYPERLINK("https://drive.google.com/file/d/1Or-51F5C-7AVmz90gWLgbAuWxhAoSLf2/view?usp=drivesdk","MARYANI, A.MD SERTIFIKAT BerAKHLAK")</f>
        <v>MARYANI, A.MD SERTIFIKAT BerAKHLAK</v>
      </c>
      <c r="K4474" s="5" t="s">
        <v>29603</v>
      </c>
      <c r="L4474" s="5" t="s">
        <v>29773</v>
      </c>
    </row>
    <row r="4475">
      <c r="A4475" s="4">
        <v>45534.35202651621</v>
      </c>
      <c r="B4475" s="5" t="s">
        <v>34</v>
      </c>
      <c r="D4475" s="5" t="s">
        <v>1206</v>
      </c>
      <c r="E4475" s="5" t="s">
        <v>29776</v>
      </c>
      <c r="F4475" s="5" t="s">
        <v>15386</v>
      </c>
      <c r="G4475" s="5" t="s">
        <v>29777</v>
      </c>
      <c r="H4475" s="6" t="s">
        <v>29778</v>
      </c>
      <c r="I4475" s="7" t="s">
        <v>29779</v>
      </c>
      <c r="J4475" s="8" t="str">
        <f>HYPERLINK("https://drive.google.com/file/d/1B9aM2VxtezW_BJWMHy572jYNj9agHdW7/view?usp=drivesdk","SHOLEH SERTIFIKAT BerAKHLAK")</f>
        <v>SHOLEH SERTIFIKAT BerAKHLAK</v>
      </c>
      <c r="K4475" s="5" t="s">
        <v>29603</v>
      </c>
      <c r="L4475" s="5" t="s">
        <v>29780</v>
      </c>
    </row>
    <row r="4476">
      <c r="A4476" s="4">
        <v>45534.35203563658</v>
      </c>
      <c r="B4476" s="5" t="s">
        <v>34</v>
      </c>
      <c r="D4476" s="5" t="s">
        <v>1558</v>
      </c>
      <c r="E4476" s="5" t="s">
        <v>29783</v>
      </c>
      <c r="F4476" s="5" t="s">
        <v>212</v>
      </c>
      <c r="G4476" s="5" t="s">
        <v>29784</v>
      </c>
      <c r="H4476" s="6" t="s">
        <v>29785</v>
      </c>
      <c r="I4476" s="7" t="s">
        <v>29786</v>
      </c>
      <c r="J4476" s="8" t="str">
        <f>HYPERLINK("https://drive.google.com/file/d/1dcGaJRYP09L-IMP1tFkzDWtLoCWDE7Xq/view?usp=drivesdk","LIZA TRI INDRA LESTARI SERTIFIKAT BerAKHLAK")</f>
        <v>LIZA TRI INDRA LESTARI SERTIFIKAT BerAKHLAK</v>
      </c>
      <c r="K4476" s="5" t="s">
        <v>29603</v>
      </c>
      <c r="L4476" s="5" t="s">
        <v>29787</v>
      </c>
    </row>
    <row r="4477">
      <c r="A4477" s="4">
        <v>45534.35205688658</v>
      </c>
      <c r="B4477" s="5" t="s">
        <v>34</v>
      </c>
      <c r="D4477" s="5" t="s">
        <v>1206</v>
      </c>
      <c r="E4477" s="5" t="s">
        <v>29790</v>
      </c>
      <c r="F4477" s="5" t="s">
        <v>37</v>
      </c>
      <c r="G4477" s="5" t="s">
        <v>29791</v>
      </c>
      <c r="H4477" s="6" t="s">
        <v>29792</v>
      </c>
      <c r="K4477" s="5" t="s">
        <v>29793</v>
      </c>
    </row>
    <row r="4478">
      <c r="A4478" s="4">
        <v>45534.35205886574</v>
      </c>
      <c r="B4478" s="5" t="s">
        <v>34</v>
      </c>
      <c r="D4478" s="5" t="s">
        <v>4775</v>
      </c>
      <c r="E4478" s="5" t="s">
        <v>29796</v>
      </c>
      <c r="F4478" s="5" t="s">
        <v>212</v>
      </c>
      <c r="G4478" s="5" t="s">
        <v>29797</v>
      </c>
      <c r="H4478" s="6" t="s">
        <v>29798</v>
      </c>
      <c r="K4478" s="5" t="s">
        <v>29793</v>
      </c>
    </row>
    <row r="4479">
      <c r="A4479" s="4">
        <v>45534.352061631944</v>
      </c>
      <c r="B4479" s="5" t="s">
        <v>34</v>
      </c>
      <c r="D4479" s="5" t="s">
        <v>10444</v>
      </c>
      <c r="E4479" s="5" t="s">
        <v>29802</v>
      </c>
      <c r="F4479" s="5" t="s">
        <v>524</v>
      </c>
      <c r="G4479" s="5" t="s">
        <v>29803</v>
      </c>
      <c r="H4479" s="6" t="s">
        <v>29804</v>
      </c>
      <c r="I4479" s="7" t="s">
        <v>29805</v>
      </c>
      <c r="J4479" s="8" t="str">
        <f>HYPERLINK("https://drive.google.com/file/d/14Uop2_yoBIgAodj-2Xm4vSlihVrdKFsT/view?usp=drivesdk","YOGA DWI PRASTIYA, S.Tr.Ak SERTIFIKAT BerAKHLAK")</f>
        <v>YOGA DWI PRASTIYA, S.Tr.Ak SERTIFIKAT BerAKHLAK</v>
      </c>
      <c r="K4479" s="5" t="s">
        <v>29603</v>
      </c>
      <c r="L4479" s="5" t="s">
        <v>29806</v>
      </c>
    </row>
    <row r="4480">
      <c r="A4480" s="4">
        <v>45534.352090960645</v>
      </c>
      <c r="B4480" s="5" t="s">
        <v>34</v>
      </c>
      <c r="D4480" s="5" t="s">
        <v>6232</v>
      </c>
      <c r="E4480" s="5" t="s">
        <v>29809</v>
      </c>
      <c r="F4480" s="5" t="s">
        <v>524</v>
      </c>
      <c r="G4480" s="5" t="s">
        <v>29810</v>
      </c>
      <c r="H4480" s="6" t="s">
        <v>29811</v>
      </c>
      <c r="I4480" s="7" t="s">
        <v>29812</v>
      </c>
      <c r="J4480" s="8" t="str">
        <f>HYPERLINK("https://drive.google.com/file/d/10ppAIQ67bq9QUPV1B3xI6wJAZ3mLy8mF/view?usp=drivesdk","ASMIDA SERTIFIKAT BerAKHLAK")</f>
        <v>ASMIDA SERTIFIKAT BerAKHLAK</v>
      </c>
      <c r="K4480" s="5" t="s">
        <v>29603</v>
      </c>
      <c r="L4480" s="5" t="s">
        <v>29813</v>
      </c>
    </row>
    <row r="4481">
      <c r="A4481" s="4">
        <v>45534.35209115741</v>
      </c>
      <c r="B4481" s="5" t="s">
        <v>34</v>
      </c>
      <c r="D4481" s="5" t="s">
        <v>522</v>
      </c>
      <c r="E4481" s="5" t="s">
        <v>29816</v>
      </c>
      <c r="F4481" s="5" t="s">
        <v>120</v>
      </c>
      <c r="G4481" s="5" t="s">
        <v>29817</v>
      </c>
      <c r="H4481" s="6" t="s">
        <v>29818</v>
      </c>
      <c r="I4481" s="7" t="s">
        <v>29819</v>
      </c>
      <c r="J4481" s="8" t="str">
        <f>HYPERLINK("https://drive.google.com/file/d/1a2SMVHJGvWYVKJSLhvADpZlAUTutMojU/view?usp=drivesdk","ABDUL KAMAL, S.Sos. SERTIFIKAT BerAKHLAK")</f>
        <v>ABDUL KAMAL, S.Sos. SERTIFIKAT BerAKHLAK</v>
      </c>
      <c r="K4481" s="5" t="s">
        <v>29603</v>
      </c>
      <c r="L4481" s="5" t="s">
        <v>29820</v>
      </c>
    </row>
    <row r="4482">
      <c r="A4482" s="4">
        <v>45534.352092291665</v>
      </c>
      <c r="B4482" s="5" t="s">
        <v>34</v>
      </c>
      <c r="D4482" s="5" t="s">
        <v>701</v>
      </c>
      <c r="E4482" s="5" t="s">
        <v>29823</v>
      </c>
      <c r="F4482" s="5" t="s">
        <v>37</v>
      </c>
      <c r="G4482" s="5" t="s">
        <v>29824</v>
      </c>
      <c r="H4482" s="6" t="s">
        <v>29825</v>
      </c>
      <c r="K4482" s="5" t="s">
        <v>29826</v>
      </c>
    </row>
    <row r="4483">
      <c r="A4483" s="4">
        <v>45534.35210181713</v>
      </c>
      <c r="B4483" s="5" t="s">
        <v>34</v>
      </c>
      <c r="D4483" s="5" t="s">
        <v>4775</v>
      </c>
      <c r="E4483" s="5" t="s">
        <v>29829</v>
      </c>
      <c r="F4483" s="5" t="s">
        <v>37</v>
      </c>
      <c r="G4483" s="5" t="s">
        <v>29830</v>
      </c>
      <c r="H4483" s="6" t="s">
        <v>29831</v>
      </c>
      <c r="K4483" s="5" t="s">
        <v>29826</v>
      </c>
    </row>
    <row r="4484">
      <c r="A4484" s="4">
        <v>45534.3521025463</v>
      </c>
      <c r="B4484" s="5" t="s">
        <v>34</v>
      </c>
      <c r="D4484" s="5" t="s">
        <v>1558</v>
      </c>
      <c r="E4484" s="5" t="s">
        <v>29835</v>
      </c>
      <c r="F4484" s="5" t="s">
        <v>72</v>
      </c>
      <c r="G4484" s="5" t="s">
        <v>29836</v>
      </c>
      <c r="H4484" s="6" t="s">
        <v>29837</v>
      </c>
      <c r="K4484" s="5" t="s">
        <v>29826</v>
      </c>
    </row>
    <row r="4485">
      <c r="A4485" s="4">
        <v>45534.35210592592</v>
      </c>
      <c r="B4485" s="5" t="s">
        <v>34</v>
      </c>
      <c r="D4485" s="5" t="s">
        <v>14424</v>
      </c>
      <c r="E4485" s="5" t="s">
        <v>29840</v>
      </c>
      <c r="F4485" s="5" t="s">
        <v>375</v>
      </c>
      <c r="G4485" s="5" t="s">
        <v>29841</v>
      </c>
      <c r="H4485" s="6" t="s">
        <v>29842</v>
      </c>
      <c r="K4485" s="5" t="s">
        <v>29826</v>
      </c>
    </row>
    <row r="4486">
      <c r="A4486" s="4">
        <v>45534.35211013889</v>
      </c>
      <c r="B4486" s="5" t="s">
        <v>19</v>
      </c>
      <c r="C4486" s="5" t="s">
        <v>292</v>
      </c>
      <c r="E4486" s="5" t="s">
        <v>29845</v>
      </c>
      <c r="F4486" s="5" t="s">
        <v>22</v>
      </c>
      <c r="G4486" s="5" t="s">
        <v>29846</v>
      </c>
      <c r="H4486" s="6" t="s">
        <v>29847</v>
      </c>
      <c r="K4486" s="5" t="s">
        <v>29826</v>
      </c>
    </row>
    <row r="4487">
      <c r="A4487" s="4">
        <v>45534.35211449074</v>
      </c>
      <c r="B4487" s="5" t="s">
        <v>34</v>
      </c>
      <c r="D4487" s="5" t="s">
        <v>1206</v>
      </c>
      <c r="E4487" s="5" t="s">
        <v>29851</v>
      </c>
      <c r="F4487" s="5" t="s">
        <v>37</v>
      </c>
      <c r="G4487" s="5" t="s">
        <v>29852</v>
      </c>
      <c r="H4487" s="6" t="s">
        <v>29853</v>
      </c>
      <c r="K4487" s="5" t="s">
        <v>29826</v>
      </c>
    </row>
    <row r="4488">
      <c r="A4488" s="4">
        <v>45534.352123854165</v>
      </c>
      <c r="B4488" s="5" t="s">
        <v>34</v>
      </c>
      <c r="D4488" s="5" t="s">
        <v>1558</v>
      </c>
      <c r="E4488" s="5" t="s">
        <v>29856</v>
      </c>
      <c r="F4488" s="5" t="s">
        <v>120</v>
      </c>
      <c r="G4488" s="5" t="s">
        <v>29857</v>
      </c>
      <c r="H4488" s="6" t="s">
        <v>29858</v>
      </c>
      <c r="I4488" s="7" t="s">
        <v>29859</v>
      </c>
      <c r="J4488" s="8" t="str">
        <f>HYPERLINK("https://drive.google.com/file/d/19m_xh7OebdBn9WJ6Fb8lv6aAODzZC4pD/view?usp=drivesdk","EDY NUGROHO, S.SOS.I SERTIFIKAT BerAKHLAK")</f>
        <v>EDY NUGROHO, S.SOS.I SERTIFIKAT BerAKHLAK</v>
      </c>
      <c r="K4488" s="5" t="s">
        <v>29603</v>
      </c>
      <c r="L4488" s="5" t="s">
        <v>29860</v>
      </c>
    </row>
    <row r="4489">
      <c r="A4489" s="4">
        <v>45534.35213696759</v>
      </c>
      <c r="B4489" s="5" t="s">
        <v>34</v>
      </c>
      <c r="D4489" s="5" t="s">
        <v>1206</v>
      </c>
      <c r="E4489" s="5" t="s">
        <v>29863</v>
      </c>
      <c r="F4489" s="5" t="s">
        <v>375</v>
      </c>
      <c r="G4489" s="5" t="s">
        <v>29864</v>
      </c>
      <c r="H4489" s="6" t="s">
        <v>29865</v>
      </c>
      <c r="I4489" s="7" t="s">
        <v>29866</v>
      </c>
      <c r="J4489" s="8" t="str">
        <f>HYPERLINK("https://drive.google.com/file/d/1D0Fgtl0cNVY17xwmRsnc-RgIkxK4bmAG/view?usp=drivesdk","MEYLANY RATIH I, S.Farm., Apt SERTIFIKAT BerAKHLAK")</f>
        <v>MEYLANY RATIH I, S.Farm., Apt SERTIFIKAT BerAKHLAK</v>
      </c>
      <c r="K4489" s="5" t="s">
        <v>29603</v>
      </c>
      <c r="L4489" s="5" t="s">
        <v>29867</v>
      </c>
    </row>
    <row r="4490">
      <c r="A4490" s="4">
        <v>45534.35214407407</v>
      </c>
      <c r="B4490" s="5" t="s">
        <v>34</v>
      </c>
      <c r="D4490" s="5" t="s">
        <v>1206</v>
      </c>
      <c r="E4490" s="5" t="s">
        <v>29870</v>
      </c>
      <c r="F4490" s="5" t="s">
        <v>212</v>
      </c>
      <c r="G4490" s="5" t="s">
        <v>29871</v>
      </c>
      <c r="H4490" s="6" t="s">
        <v>29872</v>
      </c>
      <c r="I4490" s="7" t="s">
        <v>29873</v>
      </c>
      <c r="J4490" s="8" t="str">
        <f>HYPERLINK("https://drive.google.com/file/d/1gW4r5-02VJ4MdIuE8CqcW0GewozK_DfD/view?usp=drivesdk","ANJAR SRI LESTARI SERTIFIKAT BerAKHLAK")</f>
        <v>ANJAR SRI LESTARI SERTIFIKAT BerAKHLAK</v>
      </c>
      <c r="K4490" s="5" t="s">
        <v>29603</v>
      </c>
      <c r="L4490" s="5" t="s">
        <v>29874</v>
      </c>
    </row>
    <row r="4491">
      <c r="A4491" s="4">
        <v>45534.35218128472</v>
      </c>
      <c r="B4491" s="5" t="s">
        <v>34</v>
      </c>
      <c r="D4491" s="5" t="s">
        <v>1206</v>
      </c>
      <c r="E4491" s="5" t="s">
        <v>29877</v>
      </c>
      <c r="F4491" s="5" t="s">
        <v>199</v>
      </c>
      <c r="G4491" s="5" t="s">
        <v>29878</v>
      </c>
      <c r="H4491" s="6" t="s">
        <v>29879</v>
      </c>
      <c r="I4491" s="7" t="s">
        <v>29880</v>
      </c>
      <c r="J4491" s="8" t="str">
        <f>HYPERLINK("https://drive.google.com/file/d/1V8eALJACOU6lSYoYPVvjL_VAdJhaUqm_/view?usp=drivesdk","SUMARTONO SERTIFIKAT BerAKHLAK")</f>
        <v>SUMARTONO SERTIFIKAT BerAKHLAK</v>
      </c>
      <c r="K4491" s="5" t="s">
        <v>29603</v>
      </c>
      <c r="L4491" s="5" t="s">
        <v>29881</v>
      </c>
    </row>
    <row r="4492">
      <c r="A4492" s="4">
        <v>45534.35218854167</v>
      </c>
      <c r="B4492" s="5" t="s">
        <v>34</v>
      </c>
      <c r="D4492" s="5" t="s">
        <v>35</v>
      </c>
      <c r="E4492" s="5" t="s">
        <v>29884</v>
      </c>
      <c r="F4492" s="5" t="s">
        <v>212</v>
      </c>
      <c r="G4492" s="5" t="s">
        <v>29885</v>
      </c>
      <c r="H4492" s="6" t="s">
        <v>29886</v>
      </c>
      <c r="K4492" s="5" t="s">
        <v>29887</v>
      </c>
    </row>
    <row r="4493">
      <c r="A4493" s="4">
        <v>45534.35219344907</v>
      </c>
      <c r="B4493" s="5" t="s">
        <v>34</v>
      </c>
      <c r="D4493" s="5" t="s">
        <v>35</v>
      </c>
      <c r="E4493" s="5" t="s">
        <v>29891</v>
      </c>
      <c r="F4493" s="5" t="s">
        <v>328</v>
      </c>
      <c r="G4493" s="5" t="s">
        <v>29892</v>
      </c>
      <c r="H4493" s="6" t="s">
        <v>29893</v>
      </c>
      <c r="K4493" s="5" t="s">
        <v>29887</v>
      </c>
    </row>
    <row r="4494">
      <c r="A4494" s="4">
        <v>45534.3521968287</v>
      </c>
      <c r="B4494" s="5" t="s">
        <v>34</v>
      </c>
      <c r="D4494" s="5" t="s">
        <v>4775</v>
      </c>
      <c r="E4494" s="5" t="s">
        <v>29897</v>
      </c>
      <c r="F4494" s="5" t="s">
        <v>524</v>
      </c>
      <c r="G4494" s="5" t="s">
        <v>29898</v>
      </c>
      <c r="H4494" s="6" t="s">
        <v>29899</v>
      </c>
      <c r="K4494" s="5" t="s">
        <v>29887</v>
      </c>
    </row>
    <row r="4495">
      <c r="A4495" s="4">
        <v>45534.35219842593</v>
      </c>
      <c r="B4495" s="5" t="s">
        <v>34</v>
      </c>
      <c r="D4495" s="5" t="s">
        <v>35</v>
      </c>
      <c r="E4495" s="5" t="s">
        <v>29902</v>
      </c>
      <c r="F4495" s="5" t="s">
        <v>72</v>
      </c>
      <c r="G4495" s="5" t="s">
        <v>29903</v>
      </c>
      <c r="H4495" s="6" t="s">
        <v>29904</v>
      </c>
      <c r="K4495" s="5" t="s">
        <v>29887</v>
      </c>
    </row>
    <row r="4496">
      <c r="A4496" s="4">
        <v>45534.35220050926</v>
      </c>
      <c r="B4496" s="5" t="s">
        <v>34</v>
      </c>
      <c r="D4496" s="5" t="s">
        <v>15401</v>
      </c>
      <c r="E4496" s="5" t="s">
        <v>29907</v>
      </c>
      <c r="F4496" s="5" t="s">
        <v>37</v>
      </c>
      <c r="G4496" s="5" t="s">
        <v>29908</v>
      </c>
      <c r="H4496" s="6" t="s">
        <v>29909</v>
      </c>
      <c r="K4496" s="5" t="s">
        <v>29887</v>
      </c>
    </row>
    <row r="4497">
      <c r="A4497" s="4">
        <v>45534.35220188658</v>
      </c>
      <c r="B4497" s="5" t="s">
        <v>34</v>
      </c>
      <c r="D4497" s="5" t="s">
        <v>1558</v>
      </c>
      <c r="E4497" s="5" t="s">
        <v>29912</v>
      </c>
      <c r="F4497" s="5" t="s">
        <v>108</v>
      </c>
      <c r="G4497" s="5" t="s">
        <v>29913</v>
      </c>
      <c r="H4497" s="6" t="s">
        <v>29914</v>
      </c>
      <c r="K4497" s="5" t="s">
        <v>29887</v>
      </c>
    </row>
    <row r="4498">
      <c r="A4498" s="4">
        <v>45534.352211226855</v>
      </c>
      <c r="B4498" s="5" t="s">
        <v>34</v>
      </c>
      <c r="D4498" s="5" t="s">
        <v>35</v>
      </c>
      <c r="E4498" s="5" t="s">
        <v>29917</v>
      </c>
      <c r="F4498" s="5" t="s">
        <v>328</v>
      </c>
      <c r="G4498" s="5" t="s">
        <v>29918</v>
      </c>
      <c r="H4498" s="6" t="s">
        <v>29919</v>
      </c>
      <c r="K4498" s="5" t="s">
        <v>29887</v>
      </c>
    </row>
    <row r="4499">
      <c r="A4499" s="4">
        <v>45534.35221539352</v>
      </c>
      <c r="B4499" s="5" t="s">
        <v>34</v>
      </c>
      <c r="D4499" s="5" t="s">
        <v>35</v>
      </c>
      <c r="E4499" s="5" t="s">
        <v>29923</v>
      </c>
      <c r="F4499" s="5" t="s">
        <v>37</v>
      </c>
      <c r="G4499" s="5" t="s">
        <v>29924</v>
      </c>
      <c r="H4499" s="6" t="s">
        <v>29925</v>
      </c>
      <c r="K4499" s="5" t="s">
        <v>29887</v>
      </c>
    </row>
    <row r="4500">
      <c r="A4500" s="4">
        <v>45534.35221701389</v>
      </c>
      <c r="B4500" s="5" t="s">
        <v>34</v>
      </c>
      <c r="D4500" s="5" t="s">
        <v>1206</v>
      </c>
      <c r="E4500" s="5" t="s">
        <v>29928</v>
      </c>
      <c r="F4500" s="5" t="s">
        <v>37</v>
      </c>
      <c r="G4500" s="5" t="s">
        <v>29929</v>
      </c>
      <c r="H4500" s="6" t="s">
        <v>29930</v>
      </c>
      <c r="K4500" s="5" t="s">
        <v>29887</v>
      </c>
    </row>
    <row r="4501">
      <c r="A4501" s="4">
        <v>45534.35221899305</v>
      </c>
      <c r="B4501" s="5" t="s">
        <v>34</v>
      </c>
      <c r="D4501" s="5" t="s">
        <v>4775</v>
      </c>
      <c r="E4501" s="5" t="s">
        <v>29933</v>
      </c>
      <c r="F4501" s="5" t="s">
        <v>212</v>
      </c>
      <c r="G4501" s="5" t="s">
        <v>29934</v>
      </c>
      <c r="H4501" s="6" t="s">
        <v>29935</v>
      </c>
      <c r="K4501" s="5" t="s">
        <v>29887</v>
      </c>
    </row>
    <row r="4502">
      <c r="A4502" s="4">
        <v>45534.35223748843</v>
      </c>
      <c r="B4502" s="5" t="s">
        <v>34</v>
      </c>
      <c r="D4502" s="5" t="s">
        <v>12978</v>
      </c>
      <c r="E4502" s="5" t="s">
        <v>29938</v>
      </c>
      <c r="F4502" s="5" t="s">
        <v>715</v>
      </c>
      <c r="G4502" s="5" t="s">
        <v>29939</v>
      </c>
      <c r="H4502" s="6" t="s">
        <v>29940</v>
      </c>
      <c r="K4502" s="5" t="s">
        <v>29941</v>
      </c>
    </row>
    <row r="4503">
      <c r="A4503" s="4">
        <v>45534.35227016204</v>
      </c>
      <c r="B4503" s="5" t="s">
        <v>34</v>
      </c>
      <c r="D4503" s="5" t="s">
        <v>35</v>
      </c>
      <c r="E4503" s="5" t="s">
        <v>29945</v>
      </c>
      <c r="F4503" s="5" t="s">
        <v>37</v>
      </c>
      <c r="G4503" s="5" t="s">
        <v>29946</v>
      </c>
      <c r="H4503" s="6" t="s">
        <v>29947</v>
      </c>
      <c r="I4503" s="7" t="s">
        <v>29948</v>
      </c>
      <c r="J4503" s="8" t="str">
        <f>HYPERLINK("https://drive.google.com/file/d/1zTvtMBIfuva6CBQO2yTGXSoE2GDouDeX/view?usp=drivesdk","PENGATUR TONI BUSTONI SERTIFIKAT BerAKHLAK")</f>
        <v>PENGATUR TONI BUSTONI SERTIFIKAT BerAKHLAK</v>
      </c>
      <c r="K4503" s="5" t="s">
        <v>29603</v>
      </c>
      <c r="L4503" s="5" t="s">
        <v>29949</v>
      </c>
    </row>
    <row r="4504">
      <c r="A4504" s="4">
        <v>45534.35227693287</v>
      </c>
      <c r="B4504" s="5" t="s">
        <v>34</v>
      </c>
      <c r="D4504" s="5" t="s">
        <v>1558</v>
      </c>
      <c r="E4504" s="5" t="s">
        <v>29952</v>
      </c>
      <c r="F4504" s="5" t="s">
        <v>37</v>
      </c>
      <c r="G4504" s="5" t="s">
        <v>29953</v>
      </c>
      <c r="H4504" s="6" t="s">
        <v>29954</v>
      </c>
      <c r="I4504" s="7" t="s">
        <v>29955</v>
      </c>
      <c r="J4504" s="8" t="str">
        <f>HYPERLINK("https://drive.google.com/file/d/1jlfo-2Cx8YDizwS3UOCy8wW6h-Dy6x_m/view?usp=drivesdk","RAKHMAT GUNAWAN SERTIFIKAT BerAKHLAK")</f>
        <v>RAKHMAT GUNAWAN SERTIFIKAT BerAKHLAK</v>
      </c>
      <c r="K4504" s="5" t="s">
        <v>29695</v>
      </c>
      <c r="L4504" s="5" t="s">
        <v>29956</v>
      </c>
    </row>
    <row r="4505">
      <c r="A4505" s="4">
        <v>45534.35227733797</v>
      </c>
      <c r="B4505" s="5" t="s">
        <v>34</v>
      </c>
      <c r="D4505" s="5" t="s">
        <v>10444</v>
      </c>
      <c r="E4505" s="5" t="s">
        <v>29959</v>
      </c>
      <c r="F4505" s="5" t="s">
        <v>108</v>
      </c>
      <c r="G4505" s="5" t="s">
        <v>29960</v>
      </c>
      <c r="H4505" s="6" t="s">
        <v>29961</v>
      </c>
      <c r="I4505" s="7" t="s">
        <v>29962</v>
      </c>
      <c r="J4505" s="8" t="str">
        <f>HYPERLINK("https://drive.google.com/file/d/1ATWy8SfL-2bfEVPkTxvUXmft2nAd1dLd/view?usp=drivesdk","ROSDIANA SITINJAK SERTIFIKAT BerAKHLAK")</f>
        <v>ROSDIANA SITINJAK SERTIFIKAT BerAKHLAK</v>
      </c>
      <c r="K4505" s="5" t="s">
        <v>29695</v>
      </c>
      <c r="L4505" s="5" t="s">
        <v>29963</v>
      </c>
    </row>
    <row r="4506">
      <c r="A4506" s="4">
        <v>45534.352281087966</v>
      </c>
      <c r="B4506" s="5" t="s">
        <v>34</v>
      </c>
      <c r="D4506" s="5" t="s">
        <v>4775</v>
      </c>
      <c r="E4506" s="5" t="s">
        <v>29966</v>
      </c>
      <c r="F4506" s="5" t="s">
        <v>524</v>
      </c>
      <c r="G4506" s="5" t="s">
        <v>29967</v>
      </c>
      <c r="H4506" s="6" t="s">
        <v>29968</v>
      </c>
      <c r="K4506" s="5" t="s">
        <v>29969</v>
      </c>
    </row>
    <row r="4507">
      <c r="A4507" s="4">
        <v>45534.35228950232</v>
      </c>
      <c r="B4507" s="5" t="s">
        <v>34</v>
      </c>
      <c r="D4507" s="5" t="s">
        <v>1206</v>
      </c>
      <c r="E4507" s="5" t="s">
        <v>29973</v>
      </c>
      <c r="F4507" s="5" t="s">
        <v>37</v>
      </c>
      <c r="G4507" s="5" t="s">
        <v>29974</v>
      </c>
      <c r="H4507" s="6" t="s">
        <v>29975</v>
      </c>
      <c r="K4507" s="5" t="s">
        <v>29969</v>
      </c>
    </row>
    <row r="4508">
      <c r="A4508" s="4">
        <v>45534.35229488426</v>
      </c>
      <c r="B4508" s="5" t="s">
        <v>34</v>
      </c>
      <c r="D4508" s="5" t="s">
        <v>10297</v>
      </c>
      <c r="E4508" s="5" t="s">
        <v>29978</v>
      </c>
      <c r="F4508" s="5" t="s">
        <v>37</v>
      </c>
      <c r="G4508" s="5" t="s">
        <v>29979</v>
      </c>
      <c r="H4508" s="6" t="s">
        <v>29980</v>
      </c>
      <c r="K4508" s="5" t="s">
        <v>29969</v>
      </c>
    </row>
    <row r="4509">
      <c r="A4509" s="4">
        <v>45534.352294641205</v>
      </c>
      <c r="B4509" s="5" t="s">
        <v>19</v>
      </c>
      <c r="C4509" s="5" t="s">
        <v>292</v>
      </c>
      <c r="E4509" s="5" t="s">
        <v>29983</v>
      </c>
      <c r="F4509" s="5" t="s">
        <v>524</v>
      </c>
      <c r="G4509" s="5" t="s">
        <v>29984</v>
      </c>
      <c r="H4509" s="6" t="s">
        <v>29985</v>
      </c>
      <c r="K4509" s="5" t="s">
        <v>29969</v>
      </c>
    </row>
    <row r="4510">
      <c r="A4510" s="4">
        <v>45534.3522969676</v>
      </c>
      <c r="B4510" s="5" t="s">
        <v>34</v>
      </c>
      <c r="D4510" s="5" t="s">
        <v>701</v>
      </c>
      <c r="E4510" s="5" t="s">
        <v>17060</v>
      </c>
      <c r="F4510" s="5" t="s">
        <v>524</v>
      </c>
      <c r="G4510" s="5" t="s">
        <v>29988</v>
      </c>
      <c r="H4510" s="6" t="s">
        <v>29989</v>
      </c>
      <c r="K4510" s="5" t="s">
        <v>29969</v>
      </c>
    </row>
    <row r="4511">
      <c r="A4511" s="4">
        <v>45534.352300659724</v>
      </c>
      <c r="B4511" s="5" t="s">
        <v>34</v>
      </c>
      <c r="D4511" s="5" t="s">
        <v>35</v>
      </c>
      <c r="E4511" s="5" t="s">
        <v>29993</v>
      </c>
      <c r="F4511" s="5" t="s">
        <v>375</v>
      </c>
      <c r="G4511" s="5" t="s">
        <v>29994</v>
      </c>
      <c r="H4511" s="6" t="s">
        <v>29995</v>
      </c>
      <c r="K4511" s="5" t="s">
        <v>29969</v>
      </c>
    </row>
    <row r="4512">
      <c r="A4512" s="4">
        <v>45534.35230770834</v>
      </c>
      <c r="B4512" s="5" t="s">
        <v>34</v>
      </c>
      <c r="D4512" s="5" t="s">
        <v>9020</v>
      </c>
      <c r="E4512" s="5" t="s">
        <v>29998</v>
      </c>
      <c r="F4512" s="5" t="s">
        <v>37</v>
      </c>
      <c r="G4512" s="5" t="s">
        <v>29999</v>
      </c>
      <c r="H4512" s="6" t="s">
        <v>30000</v>
      </c>
      <c r="K4512" s="5" t="s">
        <v>29969</v>
      </c>
    </row>
    <row r="4513">
      <c r="A4513" s="4">
        <v>45534.35230837963</v>
      </c>
      <c r="B4513" s="5" t="s">
        <v>34</v>
      </c>
      <c r="D4513" s="5" t="s">
        <v>4775</v>
      </c>
      <c r="E4513" s="5" t="s">
        <v>30003</v>
      </c>
      <c r="F4513" s="5" t="s">
        <v>37</v>
      </c>
      <c r="G4513" s="5" t="s">
        <v>30004</v>
      </c>
      <c r="H4513" s="6" t="s">
        <v>30005</v>
      </c>
      <c r="K4513" s="5" t="s">
        <v>29969</v>
      </c>
    </row>
    <row r="4514">
      <c r="A4514" s="4">
        <v>45534.352320370366</v>
      </c>
      <c r="B4514" s="5" t="s">
        <v>34</v>
      </c>
      <c r="D4514" s="5" t="s">
        <v>9394</v>
      </c>
      <c r="E4514" s="5" t="s">
        <v>30008</v>
      </c>
      <c r="F4514" s="5" t="s">
        <v>37</v>
      </c>
      <c r="G4514" s="5" t="s">
        <v>30009</v>
      </c>
      <c r="H4514" s="6" t="s">
        <v>30010</v>
      </c>
      <c r="K4514" s="5" t="s">
        <v>29969</v>
      </c>
    </row>
    <row r="4515">
      <c r="A4515" s="4">
        <v>45534.3523458912</v>
      </c>
      <c r="B4515" s="5" t="s">
        <v>19</v>
      </c>
      <c r="C4515" s="5" t="s">
        <v>466</v>
      </c>
      <c r="E4515" s="5" t="s">
        <v>30013</v>
      </c>
      <c r="F4515" s="5" t="s">
        <v>375</v>
      </c>
      <c r="G4515" s="5" t="s">
        <v>30014</v>
      </c>
      <c r="H4515" s="6" t="s">
        <v>30015</v>
      </c>
      <c r="I4515" s="7" t="s">
        <v>30016</v>
      </c>
      <c r="J4515" s="8" t="str">
        <f>HYPERLINK("https://drive.google.com/file/d/1rJ8Ej4E4a9lCIUtpLztKS389LAZNuvXo/view?usp=drivesdk","KUSWIYATI SERTIFIKAT BerAKHLAK")</f>
        <v>KUSWIYATI SERTIFIKAT BerAKHLAK</v>
      </c>
      <c r="K4515" s="5" t="s">
        <v>29603</v>
      </c>
      <c r="L4515" s="5" t="s">
        <v>30017</v>
      </c>
    </row>
    <row r="4516">
      <c r="A4516" s="4">
        <v>45534.35234695602</v>
      </c>
      <c r="B4516" s="5" t="s">
        <v>34</v>
      </c>
      <c r="D4516" s="5" t="s">
        <v>4775</v>
      </c>
      <c r="E4516" s="5" t="s">
        <v>30020</v>
      </c>
      <c r="F4516" s="5" t="s">
        <v>108</v>
      </c>
      <c r="G4516" s="5" t="s">
        <v>30021</v>
      </c>
      <c r="H4516" s="6" t="s">
        <v>30022</v>
      </c>
      <c r="I4516" s="7" t="s">
        <v>30023</v>
      </c>
      <c r="J4516" s="8" t="str">
        <f>HYPERLINK("https://drive.google.com/file/d/1yXwkR8hkSY8HqcWvB0FmhhrP7mNGjkoL/view?usp=drivesdk","SRI KADAR SUYATMI SERTIFIKAT BerAKHLAK")</f>
        <v>SRI KADAR SUYATMI SERTIFIKAT BerAKHLAK</v>
      </c>
      <c r="K4516" s="5" t="s">
        <v>29695</v>
      </c>
      <c r="L4516" s="5" t="s">
        <v>30024</v>
      </c>
    </row>
    <row r="4517">
      <c r="A4517" s="4">
        <v>45534.35235487268</v>
      </c>
      <c r="B4517" s="5" t="s">
        <v>34</v>
      </c>
      <c r="D4517" s="5" t="s">
        <v>35</v>
      </c>
      <c r="E4517" s="5" t="s">
        <v>30028</v>
      </c>
      <c r="F4517" s="5" t="s">
        <v>37</v>
      </c>
      <c r="G4517" s="5" t="s">
        <v>30029</v>
      </c>
      <c r="H4517" s="6" t="s">
        <v>30030</v>
      </c>
      <c r="I4517" s="7" t="s">
        <v>30031</v>
      </c>
      <c r="J4517" s="8" t="str">
        <f>HYPERLINK("https://drive.google.com/file/d/1YG1IJpG2T4W9liqWlBUAnogxWS08iute/view?usp=drivesdk","NINA DIANA SERTIFIKAT BerAKHLAK")</f>
        <v>NINA DIANA SERTIFIKAT BerAKHLAK</v>
      </c>
      <c r="K4517" s="5" t="s">
        <v>29695</v>
      </c>
      <c r="L4517" s="5" t="s">
        <v>30032</v>
      </c>
    </row>
    <row r="4518">
      <c r="A4518" s="4">
        <v>45534.35237046296</v>
      </c>
      <c r="B4518" s="5" t="s">
        <v>34</v>
      </c>
      <c r="D4518" s="5" t="s">
        <v>522</v>
      </c>
      <c r="E4518" s="5" t="s">
        <v>30035</v>
      </c>
      <c r="F4518" s="5" t="s">
        <v>375</v>
      </c>
      <c r="G4518" s="5" t="s">
        <v>30036</v>
      </c>
      <c r="H4518" s="6" t="s">
        <v>30037</v>
      </c>
      <c r="I4518" s="7" t="s">
        <v>30038</v>
      </c>
      <c r="J4518" s="8" t="str">
        <f>HYPERLINK("https://drive.google.com/file/d/16imI7PCFUV1J-a1Nppilfg-f_yET-3o0/view?usp=drivesdk","NI KADEK ENDAH DHARMAYANTI, AMd.Keb., S.Si., M.M. SERTIFIKAT BerAKHLAK")</f>
        <v>NI KADEK ENDAH DHARMAYANTI, AMd.Keb., S.Si., M.M. SERTIFIKAT BerAKHLAK</v>
      </c>
      <c r="K4518" s="5" t="s">
        <v>29695</v>
      </c>
      <c r="L4518" s="5" t="s">
        <v>30039</v>
      </c>
    </row>
    <row r="4519">
      <c r="A4519" s="4">
        <v>45534.35238296296</v>
      </c>
      <c r="B4519" s="5" t="s">
        <v>19</v>
      </c>
      <c r="C4519" s="5" t="s">
        <v>292</v>
      </c>
      <c r="E4519" s="5" t="s">
        <v>30042</v>
      </c>
      <c r="F4519" s="5" t="s">
        <v>120</v>
      </c>
      <c r="G4519" s="5" t="s">
        <v>30043</v>
      </c>
      <c r="H4519" s="6" t="s">
        <v>30044</v>
      </c>
      <c r="K4519" s="5" t="s">
        <v>30045</v>
      </c>
    </row>
    <row r="4520">
      <c r="A4520" s="4">
        <v>45534.352384224534</v>
      </c>
      <c r="B4520" s="5" t="s">
        <v>34</v>
      </c>
      <c r="D4520" s="5" t="s">
        <v>6232</v>
      </c>
      <c r="E4520" s="5" t="s">
        <v>30048</v>
      </c>
      <c r="F4520" s="5" t="s">
        <v>375</v>
      </c>
      <c r="G4520" s="5" t="s">
        <v>30049</v>
      </c>
      <c r="H4520" s="6" t="s">
        <v>30050</v>
      </c>
      <c r="K4520" s="5" t="s">
        <v>30045</v>
      </c>
    </row>
    <row r="4521">
      <c r="A4521" s="4">
        <v>45534.35239097222</v>
      </c>
      <c r="B4521" s="5" t="s">
        <v>34</v>
      </c>
      <c r="D4521" s="5" t="s">
        <v>1206</v>
      </c>
      <c r="E4521" s="5" t="s">
        <v>30053</v>
      </c>
      <c r="F4521" s="5" t="s">
        <v>108</v>
      </c>
      <c r="G4521" s="5" t="s">
        <v>30054</v>
      </c>
      <c r="H4521" s="6" t="s">
        <v>30055</v>
      </c>
      <c r="K4521" s="5" t="s">
        <v>30045</v>
      </c>
    </row>
    <row r="4522">
      <c r="A4522" s="4">
        <v>45534.35239141204</v>
      </c>
      <c r="B4522" s="5" t="s">
        <v>34</v>
      </c>
      <c r="D4522" s="5" t="s">
        <v>9020</v>
      </c>
      <c r="E4522" s="5" t="s">
        <v>30059</v>
      </c>
      <c r="F4522" s="5" t="s">
        <v>212</v>
      </c>
      <c r="G4522" s="5" t="s">
        <v>30060</v>
      </c>
      <c r="H4522" s="6" t="s">
        <v>30061</v>
      </c>
      <c r="K4522" s="5" t="s">
        <v>30045</v>
      </c>
    </row>
    <row r="4523">
      <c r="A4523" s="4">
        <v>45534.35242417824</v>
      </c>
      <c r="B4523" s="5" t="s">
        <v>34</v>
      </c>
      <c r="D4523" s="5" t="s">
        <v>35</v>
      </c>
      <c r="E4523" s="5" t="s">
        <v>30064</v>
      </c>
      <c r="F4523" s="5" t="s">
        <v>37</v>
      </c>
      <c r="G4523" s="5" t="s">
        <v>30065</v>
      </c>
      <c r="H4523" s="6" t="s">
        <v>30066</v>
      </c>
      <c r="I4523" s="7" t="s">
        <v>30067</v>
      </c>
      <c r="J4523" s="8" t="str">
        <f>HYPERLINK("https://drive.google.com/file/d/15W814H1ZIFtyebY6c5oHcK273NGsPzuk/view?usp=drivesdk","NENENG RAKHMAWATI  SERTIFIKAT BerAKHLAK")</f>
        <v>NENENG RAKHMAWATI  SERTIFIKAT BerAKHLAK</v>
      </c>
      <c r="K4523" s="5" t="s">
        <v>29695</v>
      </c>
      <c r="L4523" s="5" t="s">
        <v>30068</v>
      </c>
    </row>
    <row r="4524">
      <c r="A4524" s="4">
        <v>45534.3524244213</v>
      </c>
      <c r="B4524" s="5" t="s">
        <v>34</v>
      </c>
      <c r="D4524" s="5" t="s">
        <v>9020</v>
      </c>
      <c r="E4524" s="5" t="s">
        <v>30071</v>
      </c>
      <c r="F4524" s="5" t="s">
        <v>524</v>
      </c>
      <c r="G4524" s="5" t="s">
        <v>30072</v>
      </c>
      <c r="H4524" s="6" t="s">
        <v>30073</v>
      </c>
      <c r="I4524" s="7" t="s">
        <v>30074</v>
      </c>
      <c r="J4524" s="8" t="str">
        <f>HYPERLINK("https://drive.google.com/file/d/1IuRD82p0p2rCaymtJMEAP4Ps3gKXhLhj/view?usp=drivesdk","DWI SRIWULAN, S.K.M SERTIFIKAT BerAKHLAK")</f>
        <v>DWI SRIWULAN, S.K.M SERTIFIKAT BerAKHLAK</v>
      </c>
      <c r="K4524" s="5" t="s">
        <v>29695</v>
      </c>
      <c r="L4524" s="5" t="s">
        <v>30075</v>
      </c>
    </row>
    <row r="4525">
      <c r="A4525" s="4">
        <v>45534.35242876157</v>
      </c>
      <c r="B4525" s="5" t="s">
        <v>19</v>
      </c>
      <c r="C4525" s="5" t="s">
        <v>5564</v>
      </c>
      <c r="E4525" s="5" t="s">
        <v>30078</v>
      </c>
      <c r="F4525" s="5" t="s">
        <v>212</v>
      </c>
      <c r="G4525" s="5" t="s">
        <v>30079</v>
      </c>
      <c r="H4525" s="6" t="s">
        <v>30080</v>
      </c>
      <c r="I4525" s="7" t="s">
        <v>30081</v>
      </c>
      <c r="J4525" s="8" t="str">
        <f>HYPERLINK("https://drive.google.com/file/d/1hIob9XTmgd_VeMxLzCETRURJiQIvi4lz/view?usp=drivesdk","HERMAWATI, S.Pd. SERTIFIKAT BerAKHLAK")</f>
        <v>HERMAWATI, S.Pd. SERTIFIKAT BerAKHLAK</v>
      </c>
      <c r="K4525" s="5" t="s">
        <v>29695</v>
      </c>
      <c r="L4525" s="5" t="s">
        <v>30082</v>
      </c>
    </row>
    <row r="4526">
      <c r="A4526" s="4">
        <v>45534.35242898148</v>
      </c>
      <c r="B4526" s="5" t="s">
        <v>34</v>
      </c>
      <c r="D4526" s="5" t="s">
        <v>35</v>
      </c>
      <c r="E4526" s="5" t="s">
        <v>30086</v>
      </c>
      <c r="F4526" s="5" t="s">
        <v>524</v>
      </c>
      <c r="G4526" s="5" t="s">
        <v>30087</v>
      </c>
      <c r="H4526" s="6" t="s">
        <v>30088</v>
      </c>
      <c r="I4526" s="7" t="s">
        <v>30089</v>
      </c>
      <c r="J4526" s="8" t="str">
        <f>HYPERLINK("https://drive.google.com/file/d/1iVTlZk8FEhtulcoz3Tsf__HgefsaHgSq/view?usp=drivesdk","YAYU INDRAYANI SUDIBYO, S.K.M SERTIFIKAT BerAKHLAK")</f>
        <v>YAYU INDRAYANI SUDIBYO, S.K.M SERTIFIKAT BerAKHLAK</v>
      </c>
      <c r="K4526" s="5" t="s">
        <v>29695</v>
      </c>
      <c r="L4526" s="5" t="s">
        <v>30090</v>
      </c>
    </row>
    <row r="4527">
      <c r="A4527" s="4">
        <v>45534.35243408565</v>
      </c>
      <c r="B4527" s="5" t="s">
        <v>34</v>
      </c>
      <c r="D4527" s="5" t="s">
        <v>12978</v>
      </c>
      <c r="E4527" s="5" t="s">
        <v>30093</v>
      </c>
      <c r="F4527" s="5" t="s">
        <v>375</v>
      </c>
      <c r="G4527" s="5" t="s">
        <v>30094</v>
      </c>
      <c r="H4527" s="6" t="s">
        <v>30095</v>
      </c>
      <c r="K4527" s="5" t="s">
        <v>30096</v>
      </c>
    </row>
    <row r="4528">
      <c r="A4528" s="4">
        <v>45534.35244771991</v>
      </c>
      <c r="B4528" s="5" t="s">
        <v>34</v>
      </c>
      <c r="D4528" s="5" t="s">
        <v>9020</v>
      </c>
      <c r="E4528" s="5" t="s">
        <v>30100</v>
      </c>
      <c r="F4528" s="5" t="s">
        <v>72</v>
      </c>
      <c r="G4528" s="5" t="s">
        <v>30101</v>
      </c>
      <c r="H4528" s="6" t="s">
        <v>30102</v>
      </c>
      <c r="K4528" s="5" t="s">
        <v>30096</v>
      </c>
    </row>
    <row r="4529">
      <c r="A4529" s="4">
        <v>45534.3524496875</v>
      </c>
      <c r="B4529" s="5" t="s">
        <v>34</v>
      </c>
      <c r="D4529" s="5" t="s">
        <v>1558</v>
      </c>
      <c r="E4529" s="5" t="s">
        <v>30105</v>
      </c>
      <c r="F4529" s="5" t="s">
        <v>37</v>
      </c>
      <c r="G4529" s="5" t="s">
        <v>30106</v>
      </c>
      <c r="H4529" s="6" t="s">
        <v>30107</v>
      </c>
      <c r="K4529" s="5" t="s">
        <v>30096</v>
      </c>
    </row>
    <row r="4530">
      <c r="A4530" s="4">
        <v>45534.35245708333</v>
      </c>
      <c r="B4530" s="5" t="s">
        <v>34</v>
      </c>
      <c r="D4530" s="5" t="s">
        <v>4775</v>
      </c>
      <c r="E4530" s="5" t="s">
        <v>13019</v>
      </c>
      <c r="F4530" s="5" t="s">
        <v>72</v>
      </c>
      <c r="G4530" s="5" t="s">
        <v>30110</v>
      </c>
      <c r="H4530" s="6" t="s">
        <v>30111</v>
      </c>
      <c r="K4530" s="5" t="s">
        <v>30096</v>
      </c>
    </row>
    <row r="4531">
      <c r="A4531" s="4">
        <v>45534.35246537037</v>
      </c>
      <c r="B4531" s="5" t="s">
        <v>34</v>
      </c>
      <c r="D4531" s="5" t="s">
        <v>4775</v>
      </c>
      <c r="E4531" s="5" t="s">
        <v>30114</v>
      </c>
      <c r="F4531" s="5" t="s">
        <v>37</v>
      </c>
      <c r="G4531" s="5" t="s">
        <v>30115</v>
      </c>
      <c r="H4531" s="6" t="s">
        <v>30116</v>
      </c>
      <c r="K4531" s="5" t="s">
        <v>30096</v>
      </c>
    </row>
    <row r="4532">
      <c r="A4532" s="4">
        <v>45534.35246659722</v>
      </c>
      <c r="B4532" s="5" t="s">
        <v>34</v>
      </c>
      <c r="D4532" s="5" t="s">
        <v>4775</v>
      </c>
      <c r="E4532" s="5" t="s">
        <v>30120</v>
      </c>
      <c r="F4532" s="5" t="s">
        <v>524</v>
      </c>
      <c r="G4532" s="5" t="s">
        <v>30121</v>
      </c>
      <c r="H4532" s="6" t="s">
        <v>30122</v>
      </c>
      <c r="K4532" s="5" t="s">
        <v>30096</v>
      </c>
    </row>
    <row r="4533">
      <c r="A4533" s="4">
        <v>45534.35246693287</v>
      </c>
      <c r="B4533" s="5" t="s">
        <v>34</v>
      </c>
      <c r="D4533" s="5" t="s">
        <v>580</v>
      </c>
      <c r="E4533" s="5" t="s">
        <v>30125</v>
      </c>
      <c r="F4533" s="5" t="s">
        <v>37</v>
      </c>
      <c r="G4533" s="5" t="s">
        <v>30126</v>
      </c>
      <c r="H4533" s="6" t="s">
        <v>30127</v>
      </c>
      <c r="K4533" s="5" t="s">
        <v>30096</v>
      </c>
    </row>
    <row r="4534">
      <c r="A4534" s="4">
        <v>45534.35247707176</v>
      </c>
      <c r="B4534" s="5" t="s">
        <v>34</v>
      </c>
      <c r="D4534" s="5" t="s">
        <v>1558</v>
      </c>
      <c r="E4534" s="5" t="s">
        <v>30130</v>
      </c>
      <c r="F4534" s="5" t="s">
        <v>375</v>
      </c>
      <c r="G4534" s="5" t="s">
        <v>30131</v>
      </c>
      <c r="H4534" s="6" t="s">
        <v>30132</v>
      </c>
      <c r="K4534" s="5" t="s">
        <v>30096</v>
      </c>
    </row>
    <row r="4535">
      <c r="A4535" s="4">
        <v>45534.35248043982</v>
      </c>
      <c r="B4535" s="5" t="s">
        <v>34</v>
      </c>
      <c r="D4535" s="5" t="s">
        <v>522</v>
      </c>
      <c r="E4535" s="5" t="s">
        <v>30136</v>
      </c>
      <c r="F4535" s="5" t="s">
        <v>375</v>
      </c>
      <c r="G4535" s="5" t="s">
        <v>30137</v>
      </c>
      <c r="H4535" s="6" t="s">
        <v>30138</v>
      </c>
      <c r="K4535" s="5" t="s">
        <v>30096</v>
      </c>
    </row>
    <row r="4536">
      <c r="A4536" s="4">
        <v>45534.35248163194</v>
      </c>
      <c r="B4536" s="5" t="s">
        <v>34</v>
      </c>
      <c r="D4536" s="5" t="s">
        <v>1206</v>
      </c>
      <c r="E4536" s="5" t="s">
        <v>30141</v>
      </c>
      <c r="F4536" s="5" t="s">
        <v>37</v>
      </c>
      <c r="G4536" s="5" t="s">
        <v>30142</v>
      </c>
      <c r="H4536" s="6" t="s">
        <v>30143</v>
      </c>
      <c r="K4536" s="5" t="s">
        <v>30096</v>
      </c>
    </row>
    <row r="4537">
      <c r="A4537" s="4">
        <v>45534.35248435185</v>
      </c>
      <c r="B4537" s="5" t="s">
        <v>34</v>
      </c>
      <c r="D4537" s="5" t="s">
        <v>6232</v>
      </c>
      <c r="E4537" s="5" t="s">
        <v>30146</v>
      </c>
      <c r="F4537" s="5" t="s">
        <v>37</v>
      </c>
      <c r="G4537" s="5" t="s">
        <v>30147</v>
      </c>
      <c r="H4537" s="6" t="s">
        <v>30148</v>
      </c>
      <c r="K4537" s="5" t="s">
        <v>30096</v>
      </c>
    </row>
    <row r="4538">
      <c r="A4538" s="4">
        <v>45534.35248770833</v>
      </c>
      <c r="B4538" s="5" t="s">
        <v>34</v>
      </c>
      <c r="D4538" s="5" t="s">
        <v>267</v>
      </c>
      <c r="E4538" s="5" t="s">
        <v>30151</v>
      </c>
      <c r="F4538" s="5" t="s">
        <v>375</v>
      </c>
      <c r="G4538" s="5" t="s">
        <v>30152</v>
      </c>
      <c r="H4538" s="6" t="s">
        <v>30153</v>
      </c>
      <c r="K4538" s="5" t="s">
        <v>30096</v>
      </c>
    </row>
    <row r="4539">
      <c r="A4539" s="4">
        <v>45534.35249907407</v>
      </c>
      <c r="B4539" s="5" t="s">
        <v>34</v>
      </c>
      <c r="D4539" s="5" t="s">
        <v>522</v>
      </c>
      <c r="E4539" s="5" t="s">
        <v>30156</v>
      </c>
      <c r="F4539" s="5" t="s">
        <v>72</v>
      </c>
      <c r="G4539" s="5" t="s">
        <v>30157</v>
      </c>
      <c r="H4539" s="6" t="s">
        <v>30158</v>
      </c>
      <c r="K4539" s="5" t="s">
        <v>30096</v>
      </c>
    </row>
    <row r="4540">
      <c r="A4540" s="4">
        <v>45534.35250496528</v>
      </c>
      <c r="B4540" s="5" t="s">
        <v>34</v>
      </c>
      <c r="D4540" s="5" t="s">
        <v>1206</v>
      </c>
      <c r="E4540" s="5" t="s">
        <v>30162</v>
      </c>
      <c r="F4540" s="5" t="s">
        <v>375</v>
      </c>
      <c r="G4540" s="5" t="s">
        <v>30163</v>
      </c>
      <c r="H4540" s="6" t="s">
        <v>30164</v>
      </c>
      <c r="K4540" s="5" t="s">
        <v>30045</v>
      </c>
    </row>
    <row r="4541">
      <c r="A4541" s="4">
        <v>45534.352505243056</v>
      </c>
      <c r="B4541" s="5" t="s">
        <v>34</v>
      </c>
      <c r="D4541" s="5" t="s">
        <v>12978</v>
      </c>
      <c r="E4541" s="5" t="s">
        <v>30167</v>
      </c>
      <c r="F4541" s="5" t="s">
        <v>72</v>
      </c>
      <c r="G4541" s="5" t="s">
        <v>30168</v>
      </c>
      <c r="H4541" s="6" t="s">
        <v>30169</v>
      </c>
      <c r="K4541" s="5" t="s">
        <v>30045</v>
      </c>
    </row>
    <row r="4542">
      <c r="A4542" s="4">
        <v>45534.35250969908</v>
      </c>
      <c r="B4542" s="5" t="s">
        <v>34</v>
      </c>
      <c r="D4542" s="5" t="s">
        <v>1558</v>
      </c>
      <c r="E4542" s="5" t="s">
        <v>30172</v>
      </c>
      <c r="F4542" s="5" t="s">
        <v>212</v>
      </c>
      <c r="G4542" s="5" t="s">
        <v>30173</v>
      </c>
      <c r="H4542" s="6" t="s">
        <v>30174</v>
      </c>
      <c r="K4542" s="5" t="s">
        <v>30045</v>
      </c>
    </row>
    <row r="4543">
      <c r="A4543" s="4">
        <v>45534.35252035879</v>
      </c>
      <c r="B4543" s="5" t="s">
        <v>34</v>
      </c>
      <c r="D4543" s="5" t="s">
        <v>1768</v>
      </c>
      <c r="E4543" s="5" t="s">
        <v>30177</v>
      </c>
      <c r="F4543" s="5" t="s">
        <v>22</v>
      </c>
      <c r="G4543" s="5" t="s">
        <v>30178</v>
      </c>
      <c r="H4543" s="6" t="s">
        <v>30179</v>
      </c>
      <c r="K4543" s="5" t="s">
        <v>30045</v>
      </c>
    </row>
    <row r="4544">
      <c r="A4544" s="4">
        <v>45534.35252641204</v>
      </c>
      <c r="B4544" s="5" t="s">
        <v>34</v>
      </c>
      <c r="D4544" s="5" t="s">
        <v>280</v>
      </c>
      <c r="E4544" s="5" t="s">
        <v>30183</v>
      </c>
      <c r="F4544" s="5" t="s">
        <v>37</v>
      </c>
      <c r="G4544" s="5" t="s">
        <v>30184</v>
      </c>
      <c r="H4544" s="6" t="s">
        <v>30185</v>
      </c>
      <c r="I4544" s="7" t="s">
        <v>30186</v>
      </c>
      <c r="J4544" s="8" t="str">
        <f>HYPERLINK("https://drive.google.com/file/d/1dund-meAKwWhzi8L6UvCbkji-uZiLFuH/view?usp=drivesdk","ROCHMAN  SERTIFIKAT BerAKHLAK")</f>
        <v>ROCHMAN  SERTIFIKAT BerAKHLAK</v>
      </c>
      <c r="K4544" s="5" t="s">
        <v>29695</v>
      </c>
      <c r="L4544" s="5" t="s">
        <v>30187</v>
      </c>
    </row>
    <row r="4545">
      <c r="A4545" s="4">
        <v>45534.35252758102</v>
      </c>
      <c r="B4545" s="5" t="s">
        <v>34</v>
      </c>
      <c r="D4545" s="5" t="s">
        <v>9020</v>
      </c>
      <c r="E4545" s="5" t="s">
        <v>30190</v>
      </c>
      <c r="F4545" s="5" t="s">
        <v>199</v>
      </c>
      <c r="G4545" s="5" t="s">
        <v>30191</v>
      </c>
      <c r="H4545" s="6" t="s">
        <v>30192</v>
      </c>
      <c r="I4545" s="7" t="s">
        <v>30193</v>
      </c>
      <c r="J4545" s="8" t="str">
        <f>HYPERLINK("https://drive.google.com/file/d/1SqR06cJ8f9sS9V3zyAk1WG11QZnducxL/view?usp=drivesdk","TIGOR HASUDUNGAN SITUMORANG SERTIFIKAT BerAKHLAK")</f>
        <v>TIGOR HASUDUNGAN SITUMORANG SERTIFIKAT BerAKHLAK</v>
      </c>
      <c r="K4545" s="5" t="s">
        <v>29695</v>
      </c>
      <c r="L4545" s="5" t="s">
        <v>30194</v>
      </c>
    </row>
    <row r="4546">
      <c r="A4546" s="4">
        <v>45534.35253074074</v>
      </c>
      <c r="B4546" s="5" t="s">
        <v>34</v>
      </c>
      <c r="D4546" s="5" t="s">
        <v>1206</v>
      </c>
      <c r="E4546" s="5" t="s">
        <v>30197</v>
      </c>
      <c r="F4546" s="5" t="s">
        <v>212</v>
      </c>
      <c r="G4546" s="5" t="s">
        <v>30198</v>
      </c>
      <c r="H4546" s="6" t="s">
        <v>30199</v>
      </c>
      <c r="I4546" s="7" t="s">
        <v>30200</v>
      </c>
      <c r="J4546" s="8" t="str">
        <f>HYPERLINK("https://drive.google.com/file/d/1FJqGMAomuNVgz83uGyq7ggE8-MTb7VQY/view?usp=drivesdk","AMANG SETIAWAN  SERTIFIKAT BerAKHLAK")</f>
        <v>AMANG SETIAWAN  SERTIFIKAT BerAKHLAK</v>
      </c>
      <c r="K4546" s="5" t="s">
        <v>29695</v>
      </c>
      <c r="L4546" s="5" t="s">
        <v>30201</v>
      </c>
    </row>
    <row r="4547">
      <c r="A4547" s="4">
        <v>45534.352551840275</v>
      </c>
      <c r="B4547" s="5" t="s">
        <v>34</v>
      </c>
      <c r="D4547" s="5" t="s">
        <v>9394</v>
      </c>
      <c r="E4547" s="5" t="s">
        <v>30204</v>
      </c>
      <c r="F4547" s="5" t="s">
        <v>72</v>
      </c>
      <c r="G4547" s="5" t="s">
        <v>30205</v>
      </c>
      <c r="H4547" s="6" t="s">
        <v>30206</v>
      </c>
      <c r="I4547" s="7" t="s">
        <v>30207</v>
      </c>
      <c r="J4547" s="8" t="str">
        <f>HYPERLINK("https://drive.google.com/file/d/1xKRxX49y_CaDI7LOdn-j1kaGne-Ssqsb/view?usp=drivesdk","LINCHE SRIANA SERTIFIKAT BerAKHLAK")</f>
        <v>LINCHE SRIANA SERTIFIKAT BerAKHLAK</v>
      </c>
      <c r="K4547" s="5" t="s">
        <v>29695</v>
      </c>
      <c r="L4547" s="5" t="s">
        <v>30208</v>
      </c>
    </row>
    <row r="4548">
      <c r="A4548" s="4">
        <v>45534.35255952546</v>
      </c>
      <c r="B4548" s="5" t="s">
        <v>19</v>
      </c>
      <c r="C4548" s="5" t="s">
        <v>315</v>
      </c>
      <c r="E4548" s="5" t="s">
        <v>30212</v>
      </c>
      <c r="F4548" s="5" t="s">
        <v>72</v>
      </c>
      <c r="G4548" s="5" t="s">
        <v>30213</v>
      </c>
      <c r="H4548" s="6" t="s">
        <v>30214</v>
      </c>
      <c r="I4548" s="7" t="s">
        <v>30215</v>
      </c>
      <c r="J4548" s="8" t="str">
        <f>HYPERLINK("https://drive.google.com/file/d/12nJkfkWV8d_eZBg6hWbwmIGc54DTLQRj/view?usp=drivesdk","ENDAH WAHYUNI SERTIFIKAT BerAKHLAK")</f>
        <v>ENDAH WAHYUNI SERTIFIKAT BerAKHLAK</v>
      </c>
      <c r="K4548" s="5" t="s">
        <v>29717</v>
      </c>
      <c r="L4548" s="5" t="s">
        <v>30216</v>
      </c>
    </row>
    <row r="4549">
      <c r="A4549" s="4">
        <v>45534.35257300926</v>
      </c>
      <c r="B4549" s="5" t="s">
        <v>34</v>
      </c>
      <c r="D4549" s="5" t="s">
        <v>4775</v>
      </c>
      <c r="E4549" s="5" t="s">
        <v>30219</v>
      </c>
      <c r="F4549" s="5" t="s">
        <v>108</v>
      </c>
      <c r="G4549" s="5" t="s">
        <v>30220</v>
      </c>
      <c r="H4549" s="6" t="s">
        <v>30221</v>
      </c>
      <c r="I4549" s="7" t="s">
        <v>30222</v>
      </c>
      <c r="J4549" s="8" t="str">
        <f>HYPERLINK("https://drive.google.com/file/d/1xwXdnZnLmFOcATnKw5kDnPPHCVjuU-F6/view?usp=drivesdk","CAHYO NUGROHO, A.Md SERTIFIKAT BerAKHLAK")</f>
        <v>CAHYO NUGROHO, A.Md SERTIFIKAT BerAKHLAK</v>
      </c>
      <c r="K4549" s="5" t="s">
        <v>29695</v>
      </c>
      <c r="L4549" s="5" t="s">
        <v>30223</v>
      </c>
    </row>
    <row r="4550">
      <c r="A4550" s="4">
        <v>45534.352565821755</v>
      </c>
      <c r="B4550" s="5" t="s">
        <v>34</v>
      </c>
      <c r="D4550" s="5" t="s">
        <v>1206</v>
      </c>
      <c r="E4550" s="5" t="s">
        <v>30226</v>
      </c>
      <c r="F4550" s="5" t="s">
        <v>375</v>
      </c>
      <c r="G4550" s="5" t="s">
        <v>30227</v>
      </c>
      <c r="H4550" s="6" t="s">
        <v>30228</v>
      </c>
      <c r="I4550" s="7" t="s">
        <v>30229</v>
      </c>
      <c r="J4550" s="8" t="str">
        <f>HYPERLINK("https://drive.google.com/file/d/1MY7bc9sRJu7tvCUd3AriTsWytUMpX79p/view?usp=drivesdk","SITI AMBAR FATONAH SERTIFIKAT BerAKHLAK")</f>
        <v>SITI AMBAR FATONAH SERTIFIKAT BerAKHLAK</v>
      </c>
      <c r="K4550" s="5" t="s">
        <v>29695</v>
      </c>
      <c r="L4550" s="5" t="s">
        <v>30230</v>
      </c>
    </row>
    <row r="4551">
      <c r="A4551" s="4">
        <v>45534.35259429398</v>
      </c>
      <c r="B4551" s="5" t="s">
        <v>34</v>
      </c>
      <c r="D4551" s="5" t="s">
        <v>12978</v>
      </c>
      <c r="E4551" s="5" t="s">
        <v>30233</v>
      </c>
      <c r="F4551" s="5" t="s">
        <v>212</v>
      </c>
      <c r="G4551" s="5" t="s">
        <v>30234</v>
      </c>
      <c r="H4551" s="6" t="s">
        <v>30235</v>
      </c>
      <c r="I4551" s="7" t="s">
        <v>30236</v>
      </c>
      <c r="J4551" s="8" t="str">
        <f>HYPERLINK("https://drive.google.com/file/d/1qLl1gx8Gv4HU3PHGwU6ivRL86FODleoo/view?usp=drivesdk","TUTI HANDAYANI SERTIFIKAT BerAKHLAK")</f>
        <v>TUTI HANDAYANI SERTIFIKAT BerAKHLAK</v>
      </c>
      <c r="K4551" s="5" t="s">
        <v>29717</v>
      </c>
      <c r="L4551" s="5" t="s">
        <v>30237</v>
      </c>
    </row>
    <row r="4552">
      <c r="A4552" s="4">
        <v>45534.35260554398</v>
      </c>
      <c r="B4552" s="5" t="s">
        <v>34</v>
      </c>
      <c r="D4552" s="5" t="s">
        <v>3849</v>
      </c>
      <c r="E4552" s="5" t="s">
        <v>30241</v>
      </c>
      <c r="F4552" s="5" t="s">
        <v>37</v>
      </c>
      <c r="G4552" s="5" t="s">
        <v>30242</v>
      </c>
      <c r="H4552" s="6" t="s">
        <v>30243</v>
      </c>
      <c r="I4552" s="7" t="s">
        <v>30244</v>
      </c>
      <c r="J4552" s="8" t="str">
        <f>HYPERLINK("https://drive.google.com/file/d/1QPVbul5P8rF8n5qJvfUD93WwzFfhtnkp/view?usp=drivesdk","NIAAZLIA SERTIFIKAT BerAKHLAK")</f>
        <v>NIAAZLIA SERTIFIKAT BerAKHLAK</v>
      </c>
      <c r="K4552" s="5" t="s">
        <v>29717</v>
      </c>
      <c r="L4552" s="5" t="s">
        <v>30245</v>
      </c>
    </row>
    <row r="4553">
      <c r="A4553" s="4">
        <v>45534.35261392361</v>
      </c>
      <c r="B4553" s="5" t="s">
        <v>34</v>
      </c>
      <c r="D4553" s="5" t="s">
        <v>1558</v>
      </c>
      <c r="E4553" s="5" t="s">
        <v>30249</v>
      </c>
      <c r="F4553" s="5" t="s">
        <v>375</v>
      </c>
      <c r="G4553" s="5" t="s">
        <v>30250</v>
      </c>
      <c r="H4553" s="6" t="s">
        <v>30251</v>
      </c>
      <c r="K4553" s="5" t="s">
        <v>30252</v>
      </c>
    </row>
    <row r="4554">
      <c r="A4554" s="4">
        <v>45534.35261434028</v>
      </c>
      <c r="B4554" s="5" t="s">
        <v>34</v>
      </c>
      <c r="D4554" s="5" t="s">
        <v>35</v>
      </c>
      <c r="E4554" s="5" t="s">
        <v>30255</v>
      </c>
      <c r="F4554" s="5" t="s">
        <v>72</v>
      </c>
      <c r="G4554" s="5" t="s">
        <v>30256</v>
      </c>
      <c r="H4554" s="6" t="s">
        <v>30257</v>
      </c>
      <c r="K4554" s="5" t="s">
        <v>30252</v>
      </c>
    </row>
    <row r="4555">
      <c r="A4555" s="4">
        <v>45534.35262585648</v>
      </c>
      <c r="B4555" s="5" t="s">
        <v>34</v>
      </c>
      <c r="D4555" s="5" t="s">
        <v>1206</v>
      </c>
      <c r="E4555" s="5" t="s">
        <v>26203</v>
      </c>
      <c r="F4555" s="5" t="s">
        <v>212</v>
      </c>
      <c r="G4555" s="5" t="s">
        <v>30260</v>
      </c>
      <c r="H4555" s="6" t="s">
        <v>30261</v>
      </c>
      <c r="K4555" s="5" t="s">
        <v>30252</v>
      </c>
    </row>
    <row r="4556">
      <c r="A4556" s="4">
        <v>45534.35263542824</v>
      </c>
      <c r="B4556" s="5" t="s">
        <v>34</v>
      </c>
      <c r="D4556" s="5" t="s">
        <v>6232</v>
      </c>
      <c r="E4556" s="5" t="s">
        <v>30265</v>
      </c>
      <c r="F4556" s="5" t="s">
        <v>37</v>
      </c>
      <c r="G4556" s="5" t="s">
        <v>30266</v>
      </c>
      <c r="H4556" s="6" t="s">
        <v>30267</v>
      </c>
      <c r="K4556" s="5" t="s">
        <v>30252</v>
      </c>
    </row>
    <row r="4557">
      <c r="A4557" s="4">
        <v>45534.352638854165</v>
      </c>
      <c r="B4557" s="5" t="s">
        <v>34</v>
      </c>
      <c r="D4557" s="5" t="s">
        <v>4775</v>
      </c>
      <c r="E4557" s="5" t="s">
        <v>30270</v>
      </c>
      <c r="F4557" s="5" t="s">
        <v>375</v>
      </c>
      <c r="G4557" s="5" t="s">
        <v>30271</v>
      </c>
      <c r="H4557" s="6" t="s">
        <v>30272</v>
      </c>
      <c r="K4557" s="5" t="s">
        <v>30252</v>
      </c>
    </row>
    <row r="4558">
      <c r="A4558" s="4">
        <v>45534.35264241898</v>
      </c>
      <c r="B4558" s="5" t="s">
        <v>34</v>
      </c>
      <c r="D4558" s="5" t="s">
        <v>4775</v>
      </c>
      <c r="E4558" s="5" t="s">
        <v>30275</v>
      </c>
      <c r="F4558" s="5" t="s">
        <v>212</v>
      </c>
      <c r="G4558" s="5" t="s">
        <v>30276</v>
      </c>
      <c r="H4558" s="6" t="s">
        <v>30277</v>
      </c>
      <c r="K4558" s="5" t="s">
        <v>30252</v>
      </c>
    </row>
    <row r="4559">
      <c r="A4559" s="4">
        <v>45534.35264300926</v>
      </c>
      <c r="B4559" s="5" t="s">
        <v>34</v>
      </c>
      <c r="D4559" s="5" t="s">
        <v>1558</v>
      </c>
      <c r="E4559" s="5" t="s">
        <v>30280</v>
      </c>
      <c r="F4559" s="5" t="s">
        <v>199</v>
      </c>
      <c r="G4559" s="5" t="s">
        <v>30281</v>
      </c>
      <c r="H4559" s="6" t="s">
        <v>30282</v>
      </c>
      <c r="K4559" s="5" t="s">
        <v>30252</v>
      </c>
    </row>
    <row r="4560">
      <c r="A4560" s="4">
        <v>45534.35266552083</v>
      </c>
      <c r="B4560" s="5" t="s">
        <v>34</v>
      </c>
      <c r="D4560" s="5" t="s">
        <v>1206</v>
      </c>
      <c r="E4560" s="5" t="s">
        <v>30286</v>
      </c>
      <c r="F4560" s="5" t="s">
        <v>37</v>
      </c>
      <c r="G4560" s="5" t="s">
        <v>30287</v>
      </c>
      <c r="H4560" s="6" t="s">
        <v>30288</v>
      </c>
      <c r="I4560" s="7" t="s">
        <v>30289</v>
      </c>
      <c r="J4560" s="8" t="str">
        <f>HYPERLINK("https://drive.google.com/file/d/1GK6JERlD-1AyvXxAVRXX4BceuXDR4-Oy/view?usp=drivesdk","HARIYATI SERTIFIKAT BerAKHLAK")</f>
        <v>HARIYATI SERTIFIKAT BerAKHLAK</v>
      </c>
      <c r="K4560" s="5" t="s">
        <v>29695</v>
      </c>
      <c r="L4560" s="5" t="s">
        <v>30290</v>
      </c>
    </row>
    <row r="4561">
      <c r="A4561" s="4">
        <v>45534.352667280094</v>
      </c>
      <c r="B4561" s="5" t="s">
        <v>34</v>
      </c>
      <c r="D4561" s="5" t="s">
        <v>1206</v>
      </c>
      <c r="E4561" s="5" t="s">
        <v>30293</v>
      </c>
      <c r="F4561" s="5" t="s">
        <v>212</v>
      </c>
      <c r="G4561" s="5" t="s">
        <v>30294</v>
      </c>
      <c r="H4561" s="6" t="s">
        <v>30295</v>
      </c>
      <c r="K4561" s="5" t="s">
        <v>30296</v>
      </c>
    </row>
    <row r="4562">
      <c r="A4562" s="4">
        <v>45534.35267789352</v>
      </c>
      <c r="B4562" s="5" t="s">
        <v>34</v>
      </c>
      <c r="D4562" s="5" t="s">
        <v>12978</v>
      </c>
      <c r="E4562" s="5" t="s">
        <v>30299</v>
      </c>
      <c r="F4562" s="5" t="s">
        <v>524</v>
      </c>
      <c r="G4562" s="5" t="s">
        <v>30300</v>
      </c>
      <c r="H4562" s="6" t="s">
        <v>30301</v>
      </c>
      <c r="K4562" s="5" t="s">
        <v>30296</v>
      </c>
    </row>
    <row r="4563">
      <c r="A4563" s="4">
        <v>45534.35268019676</v>
      </c>
      <c r="B4563" s="5" t="s">
        <v>34</v>
      </c>
      <c r="D4563" s="5" t="s">
        <v>9394</v>
      </c>
      <c r="E4563" s="5" t="s">
        <v>30304</v>
      </c>
      <c r="F4563" s="5" t="s">
        <v>375</v>
      </c>
      <c r="G4563" s="5" t="s">
        <v>30305</v>
      </c>
      <c r="H4563" s="6" t="s">
        <v>30306</v>
      </c>
      <c r="K4563" s="5" t="s">
        <v>30296</v>
      </c>
    </row>
    <row r="4564">
      <c r="A4564" s="4">
        <v>45534.35268473379</v>
      </c>
      <c r="B4564" s="5" t="s">
        <v>34</v>
      </c>
      <c r="D4564" s="5" t="s">
        <v>1206</v>
      </c>
      <c r="E4564" s="5" t="s">
        <v>30309</v>
      </c>
      <c r="F4564" s="5" t="s">
        <v>120</v>
      </c>
      <c r="G4564" s="5" t="s">
        <v>30310</v>
      </c>
      <c r="H4564" s="6" t="s">
        <v>30311</v>
      </c>
      <c r="K4564" s="5" t="s">
        <v>30252</v>
      </c>
    </row>
    <row r="4565">
      <c r="A4565" s="4">
        <v>45534.35268953704</v>
      </c>
      <c r="B4565" s="5" t="s">
        <v>34</v>
      </c>
      <c r="D4565" s="5" t="s">
        <v>12978</v>
      </c>
      <c r="E4565" s="5" t="s">
        <v>30315</v>
      </c>
      <c r="F4565" s="5" t="s">
        <v>524</v>
      </c>
      <c r="G4565" s="5" t="s">
        <v>30316</v>
      </c>
      <c r="H4565" s="6" t="s">
        <v>30317</v>
      </c>
      <c r="K4565" s="5" t="s">
        <v>30252</v>
      </c>
    </row>
    <row r="4566">
      <c r="A4566" s="4">
        <v>45534.35269487269</v>
      </c>
      <c r="B4566" s="5" t="s">
        <v>34</v>
      </c>
      <c r="D4566" s="5" t="s">
        <v>1558</v>
      </c>
      <c r="E4566" s="5" t="s">
        <v>30320</v>
      </c>
      <c r="F4566" s="5" t="s">
        <v>199</v>
      </c>
      <c r="G4566" s="5" t="s">
        <v>30321</v>
      </c>
      <c r="H4566" s="6" t="s">
        <v>30322</v>
      </c>
      <c r="I4566" s="7" t="s">
        <v>30323</v>
      </c>
      <c r="J4566" s="8" t="str">
        <f>HYPERLINK("https://drive.google.com/file/d/1qy8QFRYT-LF8oepfcMfFduudlwiprg3y/view?usp=drivesdk","MUHAMMAD SARTONO  SERTIFIKAT BerAKHLAK")</f>
        <v>MUHAMMAD SARTONO  SERTIFIKAT BerAKHLAK</v>
      </c>
      <c r="K4566" s="5" t="s">
        <v>29695</v>
      </c>
      <c r="L4566" s="5" t="s">
        <v>30324</v>
      </c>
    </row>
    <row r="4567">
      <c r="A4567" s="4">
        <v>45534.35271248843</v>
      </c>
      <c r="B4567" s="5" t="s">
        <v>34</v>
      </c>
      <c r="D4567" s="5" t="s">
        <v>6232</v>
      </c>
      <c r="E4567" s="5" t="s">
        <v>30327</v>
      </c>
      <c r="F4567" s="5" t="s">
        <v>375</v>
      </c>
      <c r="G4567" s="5" t="s">
        <v>30328</v>
      </c>
      <c r="H4567" s="6" t="s">
        <v>30329</v>
      </c>
      <c r="I4567" s="7" t="s">
        <v>30330</v>
      </c>
      <c r="J4567" s="8" t="str">
        <f>HYPERLINK("https://drive.google.com/file/d/1kcfB-9w1vgRjokv0Vl4_6bqhWeD9gBrc/view?usp=drivesdk","RENTA ROIDA SIMANJUNTAK  SERTIFIKAT BerAKHLAK")</f>
        <v>RENTA ROIDA SIMANJUNTAK  SERTIFIKAT BerAKHLAK</v>
      </c>
      <c r="K4567" s="5" t="s">
        <v>29695</v>
      </c>
      <c r="L4567" s="5" t="s">
        <v>30331</v>
      </c>
    </row>
    <row r="4568">
      <c r="A4568" s="4">
        <v>45534.35271546296</v>
      </c>
      <c r="B4568" s="5" t="s">
        <v>34</v>
      </c>
      <c r="D4568" s="5" t="s">
        <v>1768</v>
      </c>
      <c r="E4568" s="5" t="s">
        <v>30334</v>
      </c>
      <c r="F4568" s="5" t="s">
        <v>22</v>
      </c>
      <c r="G4568" s="5" t="s">
        <v>30335</v>
      </c>
      <c r="H4568" s="6" t="s">
        <v>30336</v>
      </c>
      <c r="K4568" s="5" t="s">
        <v>30337</v>
      </c>
    </row>
    <row r="4569">
      <c r="A4569" s="4">
        <v>45534.35271545139</v>
      </c>
      <c r="B4569" s="5" t="s">
        <v>34</v>
      </c>
      <c r="D4569" s="5" t="s">
        <v>35</v>
      </c>
      <c r="E4569" s="5" t="s">
        <v>2413</v>
      </c>
      <c r="F4569" s="5" t="s">
        <v>37</v>
      </c>
      <c r="G4569" s="5" t="s">
        <v>2414</v>
      </c>
      <c r="H4569" s="6" t="s">
        <v>30340</v>
      </c>
      <c r="K4569" s="5" t="s">
        <v>30337</v>
      </c>
    </row>
    <row r="4570">
      <c r="A4570" s="4">
        <v>45534.35271972222</v>
      </c>
      <c r="B4570" s="5" t="s">
        <v>34</v>
      </c>
      <c r="D4570" s="5" t="s">
        <v>1206</v>
      </c>
      <c r="E4570" s="5" t="s">
        <v>30344</v>
      </c>
      <c r="F4570" s="5" t="s">
        <v>108</v>
      </c>
      <c r="G4570" s="5" t="s">
        <v>30345</v>
      </c>
      <c r="H4570" s="6" t="s">
        <v>30346</v>
      </c>
      <c r="K4570" s="5" t="s">
        <v>30337</v>
      </c>
    </row>
    <row r="4571">
      <c r="A4571" s="4">
        <v>45534.352732893516</v>
      </c>
      <c r="B4571" s="5" t="s">
        <v>34</v>
      </c>
      <c r="D4571" s="5" t="s">
        <v>9020</v>
      </c>
      <c r="E4571" s="5" t="s">
        <v>30349</v>
      </c>
      <c r="F4571" s="5" t="s">
        <v>212</v>
      </c>
      <c r="G4571" s="5" t="s">
        <v>30350</v>
      </c>
      <c r="H4571" s="6" t="s">
        <v>30351</v>
      </c>
      <c r="K4571" s="5" t="s">
        <v>30337</v>
      </c>
    </row>
    <row r="4572">
      <c r="A4572" s="4">
        <v>45534.35273701389</v>
      </c>
      <c r="B4572" s="5" t="s">
        <v>34</v>
      </c>
      <c r="D4572" s="5" t="s">
        <v>12010</v>
      </c>
      <c r="E4572" s="5" t="s">
        <v>30354</v>
      </c>
      <c r="F4572" s="5" t="s">
        <v>37</v>
      </c>
      <c r="G4572" s="5" t="s">
        <v>30355</v>
      </c>
      <c r="H4572" s="6" t="s">
        <v>30356</v>
      </c>
      <c r="I4572" s="7" t="s">
        <v>30357</v>
      </c>
      <c r="J4572" s="8" t="str">
        <f>HYPERLINK("https://drive.google.com/file/d/10K20Ht5LJQULpCaJhJDHK4wZcPIvlmTC/view?usp=drivesdk","FAHRIYADI PURNAMA THAIB, A.MD.KOM SERTIFIKAT BerAKHLAK")</f>
        <v>FAHRIYADI PURNAMA THAIB, A.MD.KOM SERTIFIKAT BerAKHLAK</v>
      </c>
      <c r="K4572" s="5" t="s">
        <v>29695</v>
      </c>
      <c r="L4572" s="5" t="s">
        <v>30358</v>
      </c>
    </row>
    <row r="4573">
      <c r="A4573" s="4">
        <v>45534.35273784722</v>
      </c>
      <c r="B4573" s="5" t="s">
        <v>34</v>
      </c>
      <c r="D4573" s="5" t="s">
        <v>1206</v>
      </c>
      <c r="E4573" s="5" t="s">
        <v>30361</v>
      </c>
      <c r="F4573" s="5" t="s">
        <v>37</v>
      </c>
      <c r="G4573" s="5" t="s">
        <v>30362</v>
      </c>
      <c r="H4573" s="6" t="s">
        <v>30363</v>
      </c>
      <c r="I4573" s="7" t="s">
        <v>30364</v>
      </c>
      <c r="J4573" s="8" t="str">
        <f>HYPERLINK("https://drive.google.com/file/d/1cmQiOinxnjcuJTWzeG40lOT0f2Qt5Owx/view?usp=drivesdk","MISAN BIN NYARMAN SERTIFIKAT BerAKHLAK")</f>
        <v>MISAN BIN NYARMAN SERTIFIKAT BerAKHLAK</v>
      </c>
      <c r="K4573" s="5" t="s">
        <v>29695</v>
      </c>
      <c r="L4573" s="5" t="s">
        <v>30365</v>
      </c>
    </row>
    <row r="4574">
      <c r="A4574" s="4">
        <v>45534.35274306713</v>
      </c>
      <c r="B4574" s="5" t="s">
        <v>34</v>
      </c>
      <c r="D4574" s="5" t="s">
        <v>1206</v>
      </c>
      <c r="E4574" s="5" t="s">
        <v>30368</v>
      </c>
      <c r="F4574" s="5" t="s">
        <v>212</v>
      </c>
      <c r="G4574" s="5" t="s">
        <v>30369</v>
      </c>
      <c r="H4574" s="6" t="s">
        <v>30370</v>
      </c>
      <c r="I4574" s="7" t="s">
        <v>30371</v>
      </c>
      <c r="J4574" s="8" t="str">
        <f>HYPERLINK("https://drive.google.com/file/d/1F07Tp5uq5Dfcy3jA_IS7CtunfgzRRebH/view?usp=drivesdk","MARLIN EKO ARIFIANTO SERTIFIKAT BerAKHLAK")</f>
        <v>MARLIN EKO ARIFIANTO SERTIFIKAT BerAKHLAK</v>
      </c>
      <c r="K4574" s="5" t="s">
        <v>29717</v>
      </c>
      <c r="L4574" s="5" t="s">
        <v>30372</v>
      </c>
    </row>
    <row r="4575">
      <c r="A4575" s="4">
        <v>45534.35274405092</v>
      </c>
      <c r="B4575" s="5" t="s">
        <v>34</v>
      </c>
      <c r="D4575" s="5" t="s">
        <v>1206</v>
      </c>
      <c r="E4575" s="5" t="s">
        <v>30375</v>
      </c>
      <c r="F4575" s="5" t="s">
        <v>212</v>
      </c>
      <c r="G4575" s="5" t="s">
        <v>30376</v>
      </c>
      <c r="H4575" s="6" t="s">
        <v>30377</v>
      </c>
      <c r="I4575" s="7" t="s">
        <v>30378</v>
      </c>
      <c r="J4575" s="8" t="str">
        <f>HYPERLINK("https://drive.google.com/file/d/12Xz5fNfaD5hrM7fvz3SbjSJPFxVr_OsZ/view?usp=drivesdk","KISWANTO SERTIFIKAT BerAKHLAK")</f>
        <v>KISWANTO SERTIFIKAT BerAKHLAK</v>
      </c>
      <c r="K4575" s="5" t="s">
        <v>29717</v>
      </c>
      <c r="L4575" s="5" t="s">
        <v>30379</v>
      </c>
    </row>
    <row r="4576">
      <c r="A4576" s="4">
        <v>45534.3527441551</v>
      </c>
      <c r="B4576" s="5" t="s">
        <v>34</v>
      </c>
      <c r="D4576" s="5" t="s">
        <v>701</v>
      </c>
      <c r="E4576" s="5" t="s">
        <v>30382</v>
      </c>
      <c r="F4576" s="5" t="s">
        <v>212</v>
      </c>
      <c r="G4576" s="5" t="s">
        <v>30383</v>
      </c>
      <c r="H4576" s="6" t="s">
        <v>30384</v>
      </c>
      <c r="I4576" s="7" t="s">
        <v>30385</v>
      </c>
      <c r="J4576" s="8" t="str">
        <f>HYPERLINK("https://drive.google.com/file/d/1XVm6O79wvP37Bifs6GbJGLM2UAXCxNWf/view?usp=drivesdk","MASDIATI SERTIFIKAT BerAKHLAK")</f>
        <v>MASDIATI SERTIFIKAT BerAKHLAK</v>
      </c>
      <c r="K4576" s="5" t="s">
        <v>29717</v>
      </c>
      <c r="L4576" s="5" t="s">
        <v>30386</v>
      </c>
    </row>
    <row r="4577">
      <c r="A4577" s="4">
        <v>45534.35275306713</v>
      </c>
      <c r="B4577" s="5" t="s">
        <v>34</v>
      </c>
      <c r="D4577" s="5" t="s">
        <v>35</v>
      </c>
      <c r="E4577" s="5" t="s">
        <v>30390</v>
      </c>
      <c r="F4577" s="5" t="s">
        <v>375</v>
      </c>
      <c r="G4577" s="5" t="s">
        <v>30391</v>
      </c>
      <c r="H4577" s="6" t="s">
        <v>30392</v>
      </c>
      <c r="K4577" s="5" t="s">
        <v>30393</v>
      </c>
    </row>
    <row r="4578">
      <c r="A4578" s="4">
        <v>45534.352753784726</v>
      </c>
      <c r="B4578" s="5" t="s">
        <v>34</v>
      </c>
      <c r="D4578" s="5" t="s">
        <v>1558</v>
      </c>
      <c r="E4578" s="5" t="s">
        <v>30396</v>
      </c>
      <c r="F4578" s="5" t="s">
        <v>108</v>
      </c>
      <c r="G4578" s="5" t="s">
        <v>30397</v>
      </c>
      <c r="H4578" s="6" t="s">
        <v>30398</v>
      </c>
      <c r="K4578" s="5" t="s">
        <v>30393</v>
      </c>
    </row>
    <row r="4579">
      <c r="A4579" s="4">
        <v>45534.35276165509</v>
      </c>
      <c r="B4579" s="5" t="s">
        <v>34</v>
      </c>
      <c r="D4579" s="5" t="s">
        <v>9020</v>
      </c>
      <c r="E4579" s="5" t="s">
        <v>30401</v>
      </c>
      <c r="F4579" s="5" t="s">
        <v>212</v>
      </c>
      <c r="G4579" s="5" t="s">
        <v>30402</v>
      </c>
      <c r="H4579" s="6" t="s">
        <v>30403</v>
      </c>
      <c r="K4579" s="5" t="s">
        <v>30393</v>
      </c>
    </row>
    <row r="4580">
      <c r="A4580" s="4">
        <v>45534.35276253472</v>
      </c>
      <c r="B4580" s="5" t="s">
        <v>34</v>
      </c>
      <c r="D4580" s="5" t="s">
        <v>6232</v>
      </c>
      <c r="E4580" s="5" t="s">
        <v>30406</v>
      </c>
      <c r="F4580" s="5" t="s">
        <v>108</v>
      </c>
      <c r="G4580" s="5" t="s">
        <v>30407</v>
      </c>
      <c r="H4580" s="6" t="s">
        <v>30408</v>
      </c>
      <c r="K4580" s="5" t="s">
        <v>30393</v>
      </c>
    </row>
    <row r="4581">
      <c r="A4581" s="4">
        <v>45534.352774756946</v>
      </c>
      <c r="B4581" s="5" t="s">
        <v>34</v>
      </c>
      <c r="D4581" s="5" t="s">
        <v>1206</v>
      </c>
      <c r="E4581" s="5" t="s">
        <v>30411</v>
      </c>
      <c r="F4581" s="5" t="s">
        <v>37</v>
      </c>
      <c r="G4581" s="5" t="s">
        <v>30412</v>
      </c>
      <c r="H4581" s="6" t="s">
        <v>30413</v>
      </c>
      <c r="K4581" s="5" t="s">
        <v>30393</v>
      </c>
    </row>
    <row r="4582">
      <c r="A4582" s="4">
        <v>45534.35277883102</v>
      </c>
      <c r="B4582" s="5" t="s">
        <v>34</v>
      </c>
      <c r="D4582" s="5" t="s">
        <v>4775</v>
      </c>
      <c r="E4582" s="5" t="s">
        <v>30417</v>
      </c>
      <c r="F4582" s="5" t="s">
        <v>120</v>
      </c>
      <c r="G4582" s="5" t="s">
        <v>30418</v>
      </c>
      <c r="H4582" s="6" t="s">
        <v>30419</v>
      </c>
      <c r="K4582" s="5" t="s">
        <v>30393</v>
      </c>
    </row>
    <row r="4583">
      <c r="A4583" s="4">
        <v>45534.3527824537</v>
      </c>
      <c r="B4583" s="5" t="s">
        <v>34</v>
      </c>
      <c r="D4583" s="5" t="s">
        <v>1206</v>
      </c>
      <c r="E4583" s="5" t="s">
        <v>30422</v>
      </c>
      <c r="F4583" s="5" t="s">
        <v>375</v>
      </c>
      <c r="G4583" s="5" t="s">
        <v>30423</v>
      </c>
      <c r="H4583" s="6" t="s">
        <v>30424</v>
      </c>
      <c r="K4583" s="5" t="s">
        <v>30393</v>
      </c>
    </row>
    <row r="4584">
      <c r="A4584" s="4">
        <v>45534.35279106481</v>
      </c>
      <c r="B4584" s="5" t="s">
        <v>34</v>
      </c>
      <c r="D4584" s="5" t="s">
        <v>35</v>
      </c>
      <c r="E4584" s="5" t="s">
        <v>30427</v>
      </c>
      <c r="F4584" s="5" t="s">
        <v>524</v>
      </c>
      <c r="G4584" s="5" t="s">
        <v>30428</v>
      </c>
      <c r="H4584" s="6" t="s">
        <v>30429</v>
      </c>
      <c r="K4584" s="5" t="s">
        <v>30393</v>
      </c>
    </row>
    <row r="4585">
      <c r="A4585" s="4">
        <v>45534.352809375</v>
      </c>
      <c r="B4585" s="5" t="s">
        <v>34</v>
      </c>
      <c r="D4585" s="5" t="s">
        <v>1206</v>
      </c>
      <c r="E4585" s="5" t="s">
        <v>30432</v>
      </c>
      <c r="F4585" s="5" t="s">
        <v>120</v>
      </c>
      <c r="G4585" s="5" t="s">
        <v>30433</v>
      </c>
      <c r="H4585" s="6" t="s">
        <v>30434</v>
      </c>
      <c r="I4585" s="7" t="s">
        <v>30435</v>
      </c>
      <c r="J4585" s="8" t="str">
        <f>HYPERLINK("https://drive.google.com/file/d/18QEU0KXihry-mMWsE12JsrOg7kcIbSU-/view?usp=drivesdk","ANIKA VIDIANA, S.E., M.M. SERTIFIKAT BerAKHLAK")</f>
        <v>ANIKA VIDIANA, S.E., M.M. SERTIFIKAT BerAKHLAK</v>
      </c>
      <c r="K4585" s="5" t="s">
        <v>29695</v>
      </c>
      <c r="L4585" s="5" t="s">
        <v>30436</v>
      </c>
    </row>
    <row r="4586">
      <c r="A4586" s="4">
        <v>45534.3528159375</v>
      </c>
      <c r="B4586" s="5" t="s">
        <v>34</v>
      </c>
      <c r="D4586" s="5" t="s">
        <v>9020</v>
      </c>
      <c r="E4586" s="5" t="s">
        <v>30439</v>
      </c>
      <c r="F4586" s="5" t="s">
        <v>37</v>
      </c>
      <c r="G4586" s="5" t="s">
        <v>30440</v>
      </c>
      <c r="H4586" s="6" t="s">
        <v>30441</v>
      </c>
      <c r="K4586" s="5" t="s">
        <v>30442</v>
      </c>
    </row>
    <row r="4587">
      <c r="A4587" s="4">
        <v>45534.35282748843</v>
      </c>
      <c r="B4587" s="5" t="s">
        <v>34</v>
      </c>
      <c r="D4587" s="5" t="s">
        <v>1558</v>
      </c>
      <c r="E4587" s="5" t="s">
        <v>30446</v>
      </c>
      <c r="F4587" s="5" t="s">
        <v>212</v>
      </c>
      <c r="G4587" s="5" t="s">
        <v>30447</v>
      </c>
      <c r="H4587" s="6" t="s">
        <v>30448</v>
      </c>
      <c r="K4587" s="5" t="s">
        <v>30442</v>
      </c>
    </row>
    <row r="4588">
      <c r="A4588" s="4">
        <v>45534.35282813657</v>
      </c>
      <c r="B4588" s="5" t="s">
        <v>19</v>
      </c>
      <c r="C4588" s="5" t="s">
        <v>3301</v>
      </c>
      <c r="E4588" s="5" t="s">
        <v>30451</v>
      </c>
      <c r="F4588" s="5" t="s">
        <v>524</v>
      </c>
      <c r="G4588" s="5" t="s">
        <v>30452</v>
      </c>
      <c r="H4588" s="6" t="s">
        <v>30453</v>
      </c>
      <c r="K4588" s="5" t="s">
        <v>30442</v>
      </c>
    </row>
    <row r="4589">
      <c r="A4589" s="4">
        <v>45534.35282871527</v>
      </c>
      <c r="B4589" s="5" t="s">
        <v>34</v>
      </c>
      <c r="D4589" s="5" t="s">
        <v>9394</v>
      </c>
      <c r="E4589" s="5" t="s">
        <v>30456</v>
      </c>
      <c r="F4589" s="5" t="s">
        <v>37</v>
      </c>
      <c r="G4589" s="5" t="s">
        <v>30457</v>
      </c>
      <c r="H4589" s="6" t="s">
        <v>30458</v>
      </c>
      <c r="K4589" s="5" t="s">
        <v>30442</v>
      </c>
    </row>
    <row r="4590">
      <c r="A4590" s="4">
        <v>45534.352832986115</v>
      </c>
      <c r="B4590" s="5" t="s">
        <v>19</v>
      </c>
      <c r="C4590" s="5" t="s">
        <v>1606</v>
      </c>
      <c r="E4590" s="5" t="s">
        <v>15628</v>
      </c>
      <c r="F4590" s="5" t="s">
        <v>375</v>
      </c>
      <c r="G4590" s="5" t="s">
        <v>30461</v>
      </c>
      <c r="H4590" s="6" t="s">
        <v>30462</v>
      </c>
      <c r="K4590" s="5" t="s">
        <v>30442</v>
      </c>
    </row>
    <row r="4591">
      <c r="A4591" s="4">
        <v>45534.352834652775</v>
      </c>
      <c r="B4591" s="5" t="s">
        <v>34</v>
      </c>
      <c r="D4591" s="5" t="s">
        <v>35</v>
      </c>
      <c r="E4591" s="5" t="s">
        <v>30466</v>
      </c>
      <c r="F4591" s="5" t="s">
        <v>37</v>
      </c>
      <c r="G4591" s="5" t="s">
        <v>30467</v>
      </c>
      <c r="H4591" s="6" t="s">
        <v>30468</v>
      </c>
      <c r="K4591" s="5" t="s">
        <v>30442</v>
      </c>
    </row>
    <row r="4592">
      <c r="A4592" s="4">
        <v>45534.35283725694</v>
      </c>
      <c r="B4592" s="5" t="s">
        <v>34</v>
      </c>
      <c r="D4592" s="5" t="s">
        <v>1206</v>
      </c>
      <c r="E4592" s="5" t="s">
        <v>30471</v>
      </c>
      <c r="F4592" s="5" t="s">
        <v>212</v>
      </c>
      <c r="G4592" s="5" t="s">
        <v>30472</v>
      </c>
      <c r="H4592" s="6" t="s">
        <v>30473</v>
      </c>
      <c r="K4592" s="5" t="s">
        <v>30442</v>
      </c>
    </row>
    <row r="4593">
      <c r="A4593" s="4">
        <v>45534.35283738426</v>
      </c>
      <c r="B4593" s="5" t="s">
        <v>34</v>
      </c>
      <c r="D4593" s="5" t="s">
        <v>4775</v>
      </c>
      <c r="E4593" s="5" t="s">
        <v>30476</v>
      </c>
      <c r="F4593" s="5" t="s">
        <v>212</v>
      </c>
      <c r="G4593" s="5" t="s">
        <v>30477</v>
      </c>
      <c r="H4593" s="6" t="s">
        <v>30478</v>
      </c>
      <c r="K4593" s="5" t="s">
        <v>30442</v>
      </c>
    </row>
    <row r="4594">
      <c r="A4594" s="4">
        <v>45534.35284009259</v>
      </c>
      <c r="B4594" s="5" t="s">
        <v>34</v>
      </c>
      <c r="D4594" s="5" t="s">
        <v>4775</v>
      </c>
      <c r="E4594" s="5" t="s">
        <v>30481</v>
      </c>
      <c r="F4594" s="5" t="s">
        <v>108</v>
      </c>
      <c r="G4594" s="5" t="s">
        <v>30482</v>
      </c>
      <c r="H4594" s="6" t="s">
        <v>30483</v>
      </c>
      <c r="K4594" s="5" t="s">
        <v>30442</v>
      </c>
    </row>
    <row r="4595">
      <c r="A4595" s="4">
        <v>45534.35284126157</v>
      </c>
      <c r="B4595" s="5" t="s">
        <v>34</v>
      </c>
      <c r="D4595" s="5" t="s">
        <v>4775</v>
      </c>
      <c r="E4595" s="5" t="s">
        <v>30487</v>
      </c>
      <c r="F4595" s="5" t="s">
        <v>212</v>
      </c>
      <c r="G4595" s="5" t="s">
        <v>30488</v>
      </c>
      <c r="H4595" s="6" t="s">
        <v>30489</v>
      </c>
      <c r="K4595" s="5" t="s">
        <v>30490</v>
      </c>
    </row>
    <row r="4596">
      <c r="A4596" s="4">
        <v>45534.35285081019</v>
      </c>
      <c r="B4596" s="5" t="s">
        <v>34</v>
      </c>
      <c r="D4596" s="5" t="s">
        <v>10444</v>
      </c>
      <c r="E4596" s="5" t="s">
        <v>30493</v>
      </c>
      <c r="F4596" s="5" t="s">
        <v>37</v>
      </c>
      <c r="G4596" s="5" t="s">
        <v>30494</v>
      </c>
      <c r="H4596" s="6" t="s">
        <v>30495</v>
      </c>
      <c r="K4596" s="5" t="s">
        <v>30490</v>
      </c>
    </row>
    <row r="4597">
      <c r="A4597" s="4">
        <v>45534.352873587966</v>
      </c>
      <c r="B4597" s="5" t="s">
        <v>34</v>
      </c>
      <c r="D4597" s="5" t="s">
        <v>1206</v>
      </c>
      <c r="E4597" s="5" t="s">
        <v>30498</v>
      </c>
      <c r="F4597" s="5" t="s">
        <v>72</v>
      </c>
      <c r="G4597" s="5" t="s">
        <v>30499</v>
      </c>
      <c r="H4597" s="6" t="s">
        <v>30500</v>
      </c>
      <c r="K4597" s="5" t="s">
        <v>30490</v>
      </c>
    </row>
    <row r="4598">
      <c r="A4598" s="4">
        <v>45534.35287916666</v>
      </c>
      <c r="B4598" s="5" t="s">
        <v>34</v>
      </c>
      <c r="D4598" s="5" t="s">
        <v>267</v>
      </c>
      <c r="E4598" s="5" t="s">
        <v>30503</v>
      </c>
      <c r="F4598" s="5" t="s">
        <v>37</v>
      </c>
      <c r="G4598" s="5" t="s">
        <v>30504</v>
      </c>
      <c r="H4598" s="6" t="s">
        <v>30505</v>
      </c>
      <c r="K4598" s="5" t="s">
        <v>30490</v>
      </c>
    </row>
    <row r="4599">
      <c r="A4599" s="4">
        <v>45534.35288813658</v>
      </c>
      <c r="B4599" s="5" t="s">
        <v>34</v>
      </c>
      <c r="D4599" s="5" t="s">
        <v>1206</v>
      </c>
      <c r="E4599" s="5" t="s">
        <v>30508</v>
      </c>
      <c r="F4599" s="5" t="s">
        <v>5859</v>
      </c>
      <c r="G4599" s="5" t="s">
        <v>30509</v>
      </c>
      <c r="H4599" s="6" t="s">
        <v>30510</v>
      </c>
      <c r="K4599" s="5" t="s">
        <v>30490</v>
      </c>
    </row>
    <row r="4600">
      <c r="A4600" s="4">
        <v>45534.35289267361</v>
      </c>
      <c r="B4600" s="5" t="s">
        <v>34</v>
      </c>
      <c r="D4600" s="5" t="s">
        <v>1206</v>
      </c>
      <c r="E4600" s="5" t="s">
        <v>30514</v>
      </c>
      <c r="F4600" s="5" t="s">
        <v>37</v>
      </c>
      <c r="G4600" s="5" t="s">
        <v>30515</v>
      </c>
      <c r="H4600" s="6" t="s">
        <v>30516</v>
      </c>
      <c r="K4600" s="5" t="s">
        <v>30490</v>
      </c>
    </row>
    <row r="4601">
      <c r="A4601" s="4">
        <v>45534.352899687496</v>
      </c>
      <c r="B4601" s="5" t="s">
        <v>34</v>
      </c>
      <c r="D4601" s="5" t="s">
        <v>1206</v>
      </c>
      <c r="E4601" s="5" t="s">
        <v>30519</v>
      </c>
      <c r="F4601" s="5" t="s">
        <v>199</v>
      </c>
      <c r="G4601" s="5" t="s">
        <v>30520</v>
      </c>
      <c r="H4601" s="6" t="s">
        <v>30521</v>
      </c>
      <c r="K4601" s="5" t="s">
        <v>30490</v>
      </c>
    </row>
    <row r="4602">
      <c r="A4602" s="4">
        <v>45534.35292260417</v>
      </c>
      <c r="B4602" s="5" t="s">
        <v>34</v>
      </c>
      <c r="D4602" s="5" t="s">
        <v>1558</v>
      </c>
      <c r="E4602" s="5" t="s">
        <v>30524</v>
      </c>
      <c r="F4602" s="5" t="s">
        <v>37</v>
      </c>
      <c r="G4602" s="5" t="s">
        <v>30525</v>
      </c>
      <c r="H4602" s="6" t="s">
        <v>30526</v>
      </c>
      <c r="K4602" s="5" t="s">
        <v>30527</v>
      </c>
    </row>
    <row r="4603">
      <c r="A4603" s="4">
        <v>45534.35292443287</v>
      </c>
      <c r="B4603" s="5" t="s">
        <v>34</v>
      </c>
      <c r="D4603" s="5" t="s">
        <v>1206</v>
      </c>
      <c r="E4603" s="5" t="s">
        <v>30530</v>
      </c>
      <c r="F4603" s="5" t="s">
        <v>212</v>
      </c>
      <c r="G4603" s="5" t="s">
        <v>30531</v>
      </c>
      <c r="H4603" s="6" t="s">
        <v>30532</v>
      </c>
      <c r="K4603" s="5" t="s">
        <v>30527</v>
      </c>
    </row>
    <row r="4604">
      <c r="A4604" s="4">
        <v>45534.352926203705</v>
      </c>
      <c r="B4604" s="5" t="s">
        <v>34</v>
      </c>
      <c r="D4604" s="5" t="s">
        <v>580</v>
      </c>
      <c r="E4604" s="5" t="s">
        <v>30535</v>
      </c>
      <c r="F4604" s="5" t="s">
        <v>375</v>
      </c>
      <c r="G4604" s="5" t="s">
        <v>30536</v>
      </c>
      <c r="H4604" s="6" t="s">
        <v>30537</v>
      </c>
      <c r="K4604" s="5" t="s">
        <v>30527</v>
      </c>
    </row>
    <row r="4605">
      <c r="A4605" s="4">
        <v>45534.35292631944</v>
      </c>
      <c r="B4605" s="5" t="s">
        <v>19</v>
      </c>
      <c r="C4605" s="5" t="s">
        <v>466</v>
      </c>
      <c r="E4605" s="5" t="s">
        <v>327</v>
      </c>
      <c r="F4605" s="5" t="s">
        <v>212</v>
      </c>
      <c r="G4605" s="5" t="s">
        <v>30541</v>
      </c>
      <c r="H4605" s="6" t="s">
        <v>30542</v>
      </c>
      <c r="K4605" s="5" t="s">
        <v>30527</v>
      </c>
    </row>
    <row r="4606">
      <c r="A4606" s="4">
        <v>45534.35293248843</v>
      </c>
      <c r="B4606" s="5" t="s">
        <v>34</v>
      </c>
      <c r="D4606" s="5" t="s">
        <v>701</v>
      </c>
      <c r="E4606" s="5" t="s">
        <v>30545</v>
      </c>
      <c r="F4606" s="5" t="s">
        <v>212</v>
      </c>
      <c r="G4606" s="5" t="s">
        <v>30546</v>
      </c>
      <c r="H4606" s="6" t="s">
        <v>30547</v>
      </c>
      <c r="K4606" s="5" t="s">
        <v>30527</v>
      </c>
    </row>
    <row r="4607">
      <c r="A4607" s="4">
        <v>45534.35293358796</v>
      </c>
      <c r="B4607" s="5" t="s">
        <v>34</v>
      </c>
      <c r="D4607" s="5" t="s">
        <v>1206</v>
      </c>
      <c r="E4607" s="5" t="s">
        <v>30550</v>
      </c>
      <c r="F4607" s="5" t="s">
        <v>212</v>
      </c>
      <c r="G4607" s="5" t="s">
        <v>30551</v>
      </c>
      <c r="H4607" s="6" t="s">
        <v>30552</v>
      </c>
      <c r="K4607" s="5" t="s">
        <v>30527</v>
      </c>
    </row>
    <row r="4608">
      <c r="A4608" s="4">
        <v>45534.352934375</v>
      </c>
      <c r="B4608" s="5" t="s">
        <v>34</v>
      </c>
      <c r="D4608" s="5" t="s">
        <v>362</v>
      </c>
      <c r="E4608" s="5" t="s">
        <v>30556</v>
      </c>
      <c r="F4608" s="5" t="s">
        <v>37</v>
      </c>
      <c r="G4608" s="5" t="s">
        <v>30557</v>
      </c>
      <c r="H4608" s="6" t="s">
        <v>30558</v>
      </c>
      <c r="K4608" s="5" t="s">
        <v>30527</v>
      </c>
    </row>
    <row r="4609">
      <c r="A4609" s="4">
        <v>45534.35294907408</v>
      </c>
      <c r="B4609" s="5" t="s">
        <v>34</v>
      </c>
      <c r="D4609" s="5" t="s">
        <v>10444</v>
      </c>
      <c r="E4609" s="5" t="s">
        <v>30561</v>
      </c>
      <c r="F4609" s="5" t="s">
        <v>108</v>
      </c>
      <c r="G4609" s="5" t="s">
        <v>30562</v>
      </c>
      <c r="H4609" s="6" t="s">
        <v>30563</v>
      </c>
      <c r="K4609" s="5" t="s">
        <v>30527</v>
      </c>
    </row>
    <row r="4610">
      <c r="A4610" s="4">
        <v>45534.352963935184</v>
      </c>
      <c r="B4610" s="5" t="s">
        <v>34</v>
      </c>
      <c r="D4610" s="5" t="s">
        <v>10444</v>
      </c>
      <c r="E4610" s="5" t="s">
        <v>30566</v>
      </c>
      <c r="F4610" s="5" t="s">
        <v>375</v>
      </c>
      <c r="G4610" s="5" t="s">
        <v>30567</v>
      </c>
      <c r="H4610" s="6" t="s">
        <v>30568</v>
      </c>
      <c r="K4610" s="5" t="s">
        <v>30527</v>
      </c>
    </row>
    <row r="4611">
      <c r="A4611" s="4">
        <v>45534.3529746875</v>
      </c>
      <c r="B4611" s="5" t="s">
        <v>34</v>
      </c>
      <c r="D4611" s="5" t="s">
        <v>1768</v>
      </c>
      <c r="E4611" s="5" t="s">
        <v>15413</v>
      </c>
      <c r="F4611" s="5" t="s">
        <v>72</v>
      </c>
      <c r="G4611" s="5" t="s">
        <v>30571</v>
      </c>
      <c r="H4611" s="6" t="s">
        <v>30572</v>
      </c>
      <c r="K4611" s="5" t="s">
        <v>30573</v>
      </c>
    </row>
    <row r="4612">
      <c r="A4612" s="4">
        <v>45534.35299629629</v>
      </c>
      <c r="B4612" s="5" t="s">
        <v>34</v>
      </c>
      <c r="D4612" s="5" t="s">
        <v>604</v>
      </c>
      <c r="E4612" s="5" t="s">
        <v>30576</v>
      </c>
      <c r="F4612" s="5" t="s">
        <v>108</v>
      </c>
      <c r="G4612" s="5" t="s">
        <v>30577</v>
      </c>
      <c r="H4612" s="6" t="s">
        <v>30578</v>
      </c>
      <c r="K4612" s="5" t="s">
        <v>30573</v>
      </c>
    </row>
    <row r="4613">
      <c r="A4613" s="4">
        <v>45534.35300858796</v>
      </c>
      <c r="B4613" s="5" t="s">
        <v>34</v>
      </c>
      <c r="D4613" s="5" t="s">
        <v>35</v>
      </c>
      <c r="E4613" s="5" t="s">
        <v>30582</v>
      </c>
      <c r="F4613" s="5" t="s">
        <v>715</v>
      </c>
      <c r="G4613" s="5" t="s">
        <v>30583</v>
      </c>
      <c r="H4613" s="6" t="s">
        <v>30584</v>
      </c>
      <c r="K4613" s="5" t="s">
        <v>30585</v>
      </c>
    </row>
    <row r="4614">
      <c r="A4614" s="4">
        <v>45534.353018344904</v>
      </c>
      <c r="B4614" s="5" t="s">
        <v>19</v>
      </c>
      <c r="C4614" s="5" t="s">
        <v>30588</v>
      </c>
      <c r="E4614" s="5" t="s">
        <v>30589</v>
      </c>
      <c r="F4614" s="5" t="s">
        <v>72</v>
      </c>
      <c r="G4614" s="5" t="s">
        <v>30590</v>
      </c>
      <c r="H4614" s="6" t="s">
        <v>30591</v>
      </c>
      <c r="K4614" s="5" t="s">
        <v>30585</v>
      </c>
    </row>
    <row r="4615">
      <c r="A4615" s="4">
        <v>45534.35301943287</v>
      </c>
      <c r="B4615" s="5" t="s">
        <v>34</v>
      </c>
      <c r="D4615" s="5" t="s">
        <v>1206</v>
      </c>
      <c r="E4615" s="5" t="s">
        <v>30594</v>
      </c>
      <c r="F4615" s="5" t="s">
        <v>108</v>
      </c>
      <c r="G4615" s="5" t="s">
        <v>30595</v>
      </c>
      <c r="H4615" s="6" t="s">
        <v>30596</v>
      </c>
      <c r="K4615" s="5" t="s">
        <v>30585</v>
      </c>
    </row>
    <row r="4616">
      <c r="A4616" s="4">
        <v>45534.353021006944</v>
      </c>
      <c r="B4616" s="5" t="s">
        <v>34</v>
      </c>
      <c r="D4616" s="5" t="s">
        <v>1206</v>
      </c>
      <c r="E4616" s="5" t="s">
        <v>30599</v>
      </c>
      <c r="F4616" s="5" t="s">
        <v>524</v>
      </c>
      <c r="G4616" s="5" t="s">
        <v>30600</v>
      </c>
      <c r="H4616" s="6" t="s">
        <v>30601</v>
      </c>
      <c r="K4616" s="5" t="s">
        <v>30585</v>
      </c>
    </row>
    <row r="4617">
      <c r="A4617" s="4">
        <v>45534.35302224537</v>
      </c>
      <c r="B4617" s="5" t="s">
        <v>34</v>
      </c>
      <c r="D4617" s="5" t="s">
        <v>1206</v>
      </c>
      <c r="E4617" s="5" t="s">
        <v>30604</v>
      </c>
      <c r="F4617" s="5" t="s">
        <v>212</v>
      </c>
      <c r="G4617" s="5" t="s">
        <v>30605</v>
      </c>
      <c r="H4617" s="6" t="s">
        <v>30606</v>
      </c>
      <c r="K4617" s="5" t="s">
        <v>30585</v>
      </c>
    </row>
    <row r="4618">
      <c r="A4618" s="4">
        <v>45534.35302388889</v>
      </c>
      <c r="B4618" s="5" t="s">
        <v>34</v>
      </c>
      <c r="D4618" s="5" t="s">
        <v>4775</v>
      </c>
      <c r="E4618" s="5" t="s">
        <v>30610</v>
      </c>
      <c r="F4618" s="5" t="s">
        <v>72</v>
      </c>
      <c r="G4618" s="5" t="s">
        <v>30611</v>
      </c>
      <c r="H4618" s="6" t="s">
        <v>30612</v>
      </c>
      <c r="K4618" s="5" t="s">
        <v>30585</v>
      </c>
    </row>
    <row r="4619">
      <c r="A4619" s="4">
        <v>45534.3530240625</v>
      </c>
      <c r="B4619" s="5" t="s">
        <v>34</v>
      </c>
      <c r="D4619" s="5" t="s">
        <v>9394</v>
      </c>
      <c r="E4619" s="5" t="s">
        <v>30615</v>
      </c>
      <c r="F4619" s="5" t="s">
        <v>212</v>
      </c>
      <c r="G4619" s="5" t="s">
        <v>30616</v>
      </c>
      <c r="H4619" s="6" t="s">
        <v>30617</v>
      </c>
      <c r="K4619" s="5" t="s">
        <v>30585</v>
      </c>
    </row>
    <row r="4620">
      <c r="A4620" s="4">
        <v>45534.3530284375</v>
      </c>
      <c r="B4620" s="5" t="s">
        <v>34</v>
      </c>
      <c r="D4620" s="5" t="s">
        <v>12978</v>
      </c>
      <c r="E4620" s="5" t="s">
        <v>30620</v>
      </c>
      <c r="F4620" s="5" t="s">
        <v>37</v>
      </c>
      <c r="G4620" s="5" t="s">
        <v>30621</v>
      </c>
      <c r="H4620" s="6" t="s">
        <v>30622</v>
      </c>
      <c r="K4620" s="5" t="s">
        <v>30585</v>
      </c>
    </row>
    <row r="4621">
      <c r="A4621" s="4">
        <v>45534.35302866898</v>
      </c>
      <c r="B4621" s="5" t="s">
        <v>34</v>
      </c>
      <c r="D4621" s="5" t="s">
        <v>11527</v>
      </c>
      <c r="E4621" s="5" t="s">
        <v>30626</v>
      </c>
      <c r="F4621" s="5" t="s">
        <v>715</v>
      </c>
      <c r="G4621" s="5" t="s">
        <v>30627</v>
      </c>
      <c r="H4621" s="6" t="s">
        <v>30628</v>
      </c>
      <c r="K4621" s="5" t="s">
        <v>30585</v>
      </c>
    </row>
    <row r="4622">
      <c r="A4622" s="4">
        <v>45534.353055416665</v>
      </c>
      <c r="B4622" s="5" t="s">
        <v>34</v>
      </c>
      <c r="D4622" s="5" t="s">
        <v>1768</v>
      </c>
      <c r="E4622" s="5" t="s">
        <v>30631</v>
      </c>
      <c r="F4622" s="5" t="s">
        <v>212</v>
      </c>
      <c r="G4622" s="5" t="s">
        <v>30632</v>
      </c>
      <c r="H4622" s="6" t="s">
        <v>30633</v>
      </c>
      <c r="K4622" s="5" t="s">
        <v>30634</v>
      </c>
    </row>
    <row r="4623">
      <c r="A4623" s="4">
        <v>45534.35307181713</v>
      </c>
      <c r="B4623" s="5" t="s">
        <v>34</v>
      </c>
      <c r="D4623" s="5" t="s">
        <v>522</v>
      </c>
      <c r="E4623" s="5" t="s">
        <v>30637</v>
      </c>
      <c r="F4623" s="5" t="s">
        <v>37</v>
      </c>
      <c r="G4623" s="5" t="s">
        <v>30638</v>
      </c>
      <c r="H4623" s="6" t="s">
        <v>30639</v>
      </c>
      <c r="K4623" s="5" t="s">
        <v>30634</v>
      </c>
    </row>
    <row r="4624">
      <c r="A4624" s="4">
        <v>45534.35307585648</v>
      </c>
      <c r="B4624" s="5" t="s">
        <v>34</v>
      </c>
      <c r="D4624" s="5" t="s">
        <v>1206</v>
      </c>
      <c r="E4624" s="5" t="s">
        <v>30642</v>
      </c>
      <c r="F4624" s="5" t="s">
        <v>375</v>
      </c>
      <c r="G4624" s="5" t="s">
        <v>30643</v>
      </c>
      <c r="H4624" s="6" t="s">
        <v>30644</v>
      </c>
      <c r="K4624" s="5" t="s">
        <v>30634</v>
      </c>
    </row>
    <row r="4625">
      <c r="A4625" s="4">
        <v>45534.353079733795</v>
      </c>
      <c r="B4625" s="5" t="s">
        <v>34</v>
      </c>
      <c r="D4625" s="5" t="s">
        <v>12978</v>
      </c>
      <c r="E4625" s="5" t="s">
        <v>30648</v>
      </c>
      <c r="F4625" s="5" t="s">
        <v>108</v>
      </c>
      <c r="G4625" s="5" t="s">
        <v>30649</v>
      </c>
      <c r="H4625" s="6" t="s">
        <v>30650</v>
      </c>
      <c r="K4625" s="5" t="s">
        <v>30634</v>
      </c>
    </row>
    <row r="4626">
      <c r="A4626" s="4">
        <v>45534.35309674768</v>
      </c>
      <c r="B4626" s="5" t="s">
        <v>34</v>
      </c>
      <c r="D4626" s="5" t="s">
        <v>1206</v>
      </c>
      <c r="E4626" s="5" t="s">
        <v>30653</v>
      </c>
      <c r="F4626" s="5" t="s">
        <v>37</v>
      </c>
      <c r="G4626" s="5" t="s">
        <v>30654</v>
      </c>
      <c r="H4626" s="6" t="s">
        <v>30655</v>
      </c>
      <c r="K4626" s="5" t="s">
        <v>30634</v>
      </c>
    </row>
    <row r="4627">
      <c r="A4627" s="4">
        <v>45534.353114467594</v>
      </c>
      <c r="B4627" s="5" t="s">
        <v>34</v>
      </c>
      <c r="D4627" s="5" t="s">
        <v>1206</v>
      </c>
      <c r="E4627" s="5" t="s">
        <v>30658</v>
      </c>
      <c r="F4627" s="5" t="s">
        <v>524</v>
      </c>
      <c r="G4627" s="5" t="s">
        <v>30659</v>
      </c>
      <c r="H4627" s="6" t="s">
        <v>30660</v>
      </c>
      <c r="K4627" s="5" t="s">
        <v>30661</v>
      </c>
    </row>
    <row r="4628">
      <c r="A4628" s="4">
        <v>45534.353128738425</v>
      </c>
      <c r="B4628" s="5" t="s">
        <v>34</v>
      </c>
      <c r="D4628" s="5" t="s">
        <v>1206</v>
      </c>
      <c r="E4628" s="5" t="s">
        <v>16441</v>
      </c>
      <c r="F4628" s="5" t="s">
        <v>108</v>
      </c>
      <c r="G4628" s="5" t="s">
        <v>30665</v>
      </c>
      <c r="H4628" s="6" t="s">
        <v>30666</v>
      </c>
      <c r="K4628" s="5" t="s">
        <v>30661</v>
      </c>
    </row>
    <row r="4629">
      <c r="A4629" s="4">
        <v>45534.3531309838</v>
      </c>
      <c r="B4629" s="5" t="s">
        <v>34</v>
      </c>
      <c r="D4629" s="5" t="s">
        <v>9394</v>
      </c>
      <c r="E4629" s="5" t="s">
        <v>30669</v>
      </c>
      <c r="F4629" s="5" t="s">
        <v>524</v>
      </c>
      <c r="G4629" s="5" t="s">
        <v>30670</v>
      </c>
      <c r="H4629" s="6" t="s">
        <v>30671</v>
      </c>
      <c r="K4629" s="5" t="s">
        <v>30661</v>
      </c>
    </row>
    <row r="4630">
      <c r="A4630" s="4">
        <v>45534.35313513889</v>
      </c>
      <c r="B4630" s="5" t="s">
        <v>34</v>
      </c>
      <c r="D4630" s="5" t="s">
        <v>4775</v>
      </c>
      <c r="E4630" s="5" t="s">
        <v>30674</v>
      </c>
      <c r="F4630" s="5" t="s">
        <v>212</v>
      </c>
      <c r="G4630" s="5" t="s">
        <v>30675</v>
      </c>
      <c r="H4630" s="6" t="s">
        <v>30676</v>
      </c>
      <c r="K4630" s="5" t="s">
        <v>30661</v>
      </c>
    </row>
    <row r="4631">
      <c r="A4631" s="4">
        <v>45534.353135763886</v>
      </c>
      <c r="B4631" s="5" t="s">
        <v>34</v>
      </c>
      <c r="D4631" s="5" t="s">
        <v>4775</v>
      </c>
      <c r="E4631" s="5" t="s">
        <v>30679</v>
      </c>
      <c r="F4631" s="5" t="s">
        <v>375</v>
      </c>
      <c r="G4631" s="5" t="s">
        <v>30680</v>
      </c>
      <c r="H4631" s="6" t="s">
        <v>30681</v>
      </c>
      <c r="K4631" s="5" t="s">
        <v>30661</v>
      </c>
    </row>
    <row r="4632">
      <c r="A4632" s="4">
        <v>45534.35313957176</v>
      </c>
      <c r="B4632" s="5" t="s">
        <v>34</v>
      </c>
      <c r="D4632" s="5" t="s">
        <v>12978</v>
      </c>
      <c r="E4632" s="5" t="s">
        <v>30684</v>
      </c>
      <c r="F4632" s="5" t="s">
        <v>72</v>
      </c>
      <c r="G4632" s="5" t="s">
        <v>30685</v>
      </c>
      <c r="H4632" s="6" t="s">
        <v>30686</v>
      </c>
      <c r="K4632" s="5" t="s">
        <v>30661</v>
      </c>
    </row>
    <row r="4633">
      <c r="A4633" s="4">
        <v>45534.35314114583</v>
      </c>
      <c r="B4633" s="5" t="s">
        <v>34</v>
      </c>
      <c r="D4633" s="5" t="s">
        <v>1206</v>
      </c>
      <c r="E4633" s="5" t="s">
        <v>30690</v>
      </c>
      <c r="F4633" s="5" t="s">
        <v>375</v>
      </c>
      <c r="G4633" s="5" t="s">
        <v>30691</v>
      </c>
      <c r="H4633" s="6" t="s">
        <v>30692</v>
      </c>
      <c r="K4633" s="5" t="s">
        <v>30661</v>
      </c>
    </row>
    <row r="4634">
      <c r="A4634" s="4">
        <v>45534.353145891204</v>
      </c>
      <c r="B4634" s="5" t="s">
        <v>34</v>
      </c>
      <c r="D4634" s="5" t="s">
        <v>4775</v>
      </c>
      <c r="E4634" s="5" t="s">
        <v>30695</v>
      </c>
      <c r="F4634" s="5" t="s">
        <v>37</v>
      </c>
      <c r="G4634" s="5" t="s">
        <v>30696</v>
      </c>
      <c r="H4634" s="6" t="s">
        <v>30697</v>
      </c>
      <c r="K4634" s="5" t="s">
        <v>30661</v>
      </c>
    </row>
    <row r="4635">
      <c r="A4635" s="4">
        <v>45534.35315069444</v>
      </c>
      <c r="B4635" s="5" t="s">
        <v>34</v>
      </c>
      <c r="D4635" s="5" t="s">
        <v>280</v>
      </c>
      <c r="E4635" s="5" t="s">
        <v>30700</v>
      </c>
      <c r="F4635" s="5" t="s">
        <v>72</v>
      </c>
      <c r="G4635" s="5" t="s">
        <v>30701</v>
      </c>
      <c r="H4635" s="6" t="s">
        <v>30702</v>
      </c>
      <c r="I4635" s="7" t="s">
        <v>30703</v>
      </c>
      <c r="J4635" s="8" t="str">
        <f>HYPERLINK("https://drive.google.com/file/d/1TsmmVIa2qLyusvGvViJIF-TSD3jNG5WO/view?usp=drivesdk","CHRISTOPHER P SIMARMATA, S.KOM., M.H. SERTIFIKAT BerAKHLAK")</f>
        <v>CHRISTOPHER P SIMARMATA, S.KOM., M.H. SERTIFIKAT BerAKHLAK</v>
      </c>
      <c r="K4635" s="5" t="s">
        <v>29695</v>
      </c>
      <c r="L4635" s="5" t="s">
        <v>30704</v>
      </c>
    </row>
    <row r="4636">
      <c r="A4636" s="4">
        <v>45534.353154247685</v>
      </c>
      <c r="B4636" s="5" t="s">
        <v>34</v>
      </c>
      <c r="D4636" s="5" t="s">
        <v>1206</v>
      </c>
      <c r="E4636" s="5" t="s">
        <v>30707</v>
      </c>
      <c r="F4636" s="5" t="s">
        <v>212</v>
      </c>
      <c r="G4636" s="5" t="s">
        <v>30708</v>
      </c>
      <c r="H4636" s="6" t="s">
        <v>30709</v>
      </c>
      <c r="I4636" s="7" t="s">
        <v>30710</v>
      </c>
      <c r="J4636" s="8" t="str">
        <f>HYPERLINK("https://drive.google.com/file/d/1OP37KpGEpGQb9vmVsCpdB17C_mnlJ7rE/view?usp=drivesdk","HENI WAHYUNINGSIH SERTIFIKAT BerAKHLAK")</f>
        <v>HENI WAHYUNINGSIH SERTIFIKAT BerAKHLAK</v>
      </c>
      <c r="K4636" s="5" t="s">
        <v>29717</v>
      </c>
      <c r="L4636" s="5" t="s">
        <v>30711</v>
      </c>
    </row>
    <row r="4637">
      <c r="A4637" s="4">
        <v>45534.35315510417</v>
      </c>
      <c r="B4637" s="5" t="s">
        <v>34</v>
      </c>
      <c r="D4637" s="5" t="s">
        <v>4775</v>
      </c>
      <c r="E4637" s="5" t="s">
        <v>12578</v>
      </c>
      <c r="F4637" s="5" t="s">
        <v>72</v>
      </c>
      <c r="G4637" s="5" t="s">
        <v>30714</v>
      </c>
      <c r="H4637" s="6" t="s">
        <v>30715</v>
      </c>
      <c r="I4637" s="7" t="s">
        <v>30716</v>
      </c>
      <c r="J4637" s="8" t="str">
        <f>HYPERLINK("https://drive.google.com/file/d/17NR8hS4GDk15Mxe6C33-pivqkpTZ1iU8/view?usp=drivesdk","SULISTYOWATI  SERTIFIKAT BerAKHLAK")</f>
        <v>SULISTYOWATI  SERTIFIKAT BerAKHLAK</v>
      </c>
      <c r="K4637" s="5" t="s">
        <v>29695</v>
      </c>
      <c r="L4637" s="5" t="s">
        <v>30717</v>
      </c>
    </row>
    <row r="4638">
      <c r="A4638" s="4">
        <v>45534.35315753472</v>
      </c>
      <c r="B4638" s="5" t="s">
        <v>34</v>
      </c>
      <c r="D4638" s="5" t="s">
        <v>4775</v>
      </c>
      <c r="E4638" s="5" t="s">
        <v>30721</v>
      </c>
      <c r="F4638" s="5" t="s">
        <v>375</v>
      </c>
      <c r="G4638" s="5" t="s">
        <v>30722</v>
      </c>
      <c r="H4638" s="6" t="s">
        <v>30723</v>
      </c>
      <c r="I4638" s="7" t="s">
        <v>30724</v>
      </c>
      <c r="J4638" s="8" t="str">
        <f>HYPERLINK("https://drive.google.com/file/d/1CUz3x1qseR4RcBuYFqMHCmbHSwyfEI9-/view?usp=drivesdk","AGUS SUWARTONO SERTIFIKAT BerAKHLAK")</f>
        <v>AGUS SUWARTONO SERTIFIKAT BerAKHLAK</v>
      </c>
      <c r="K4638" s="5" t="s">
        <v>29717</v>
      </c>
      <c r="L4638" s="5" t="s">
        <v>30725</v>
      </c>
    </row>
    <row r="4639">
      <c r="A4639" s="4">
        <v>45534.3531649537</v>
      </c>
      <c r="B4639" s="5" t="s">
        <v>34</v>
      </c>
      <c r="D4639" s="5" t="s">
        <v>996</v>
      </c>
      <c r="E4639" s="5" t="s">
        <v>30728</v>
      </c>
      <c r="F4639" s="5" t="s">
        <v>212</v>
      </c>
      <c r="G4639" s="5" t="s">
        <v>30729</v>
      </c>
      <c r="H4639" s="6" t="s">
        <v>30730</v>
      </c>
      <c r="I4639" s="7" t="s">
        <v>30731</v>
      </c>
      <c r="J4639" s="8" t="str">
        <f>HYPERLINK("https://drive.google.com/file/d/1A7khHt5NuldLI__mqw5kTHbil5gMSPko/view?usp=drivesdk","ENDANG SRI WAHYUNI  SERTIFIKAT BerAKHLAK")</f>
        <v>ENDANG SRI WAHYUNI  SERTIFIKAT BerAKHLAK</v>
      </c>
      <c r="K4639" s="5" t="s">
        <v>29717</v>
      </c>
      <c r="L4639" s="5" t="s">
        <v>30732</v>
      </c>
    </row>
    <row r="4640">
      <c r="A4640" s="4">
        <v>45534.35316583334</v>
      </c>
      <c r="B4640" s="5" t="s">
        <v>34</v>
      </c>
      <c r="D4640" s="5" t="s">
        <v>12978</v>
      </c>
      <c r="E4640" s="5" t="s">
        <v>30735</v>
      </c>
      <c r="F4640" s="5" t="s">
        <v>212</v>
      </c>
      <c r="G4640" s="5" t="s">
        <v>30736</v>
      </c>
      <c r="H4640" s="6" t="s">
        <v>30737</v>
      </c>
      <c r="I4640" s="7" t="s">
        <v>30738</v>
      </c>
      <c r="J4640" s="8" t="str">
        <f>HYPERLINK("https://drive.google.com/file/d/18sRS__j3DDipG7Z2YKwezHl_poIhAMo6/view?usp=drivesdk","SUGIATNI SERTIFIKAT BerAKHLAK")</f>
        <v>SUGIATNI SERTIFIKAT BerAKHLAK</v>
      </c>
      <c r="K4640" s="5" t="s">
        <v>29717</v>
      </c>
      <c r="L4640" s="5" t="s">
        <v>30739</v>
      </c>
    </row>
    <row r="4641">
      <c r="A4641" s="4">
        <v>45534.35318100694</v>
      </c>
      <c r="B4641" s="5" t="s">
        <v>34</v>
      </c>
      <c r="D4641" s="5" t="s">
        <v>1768</v>
      </c>
      <c r="E4641" s="5" t="s">
        <v>22677</v>
      </c>
      <c r="F4641" s="5" t="s">
        <v>108</v>
      </c>
      <c r="G4641" s="5" t="s">
        <v>30742</v>
      </c>
      <c r="H4641" s="6" t="s">
        <v>30743</v>
      </c>
      <c r="I4641" s="7" t="s">
        <v>30744</v>
      </c>
      <c r="J4641" s="8" t="str">
        <f>HYPERLINK("https://drive.google.com/file/d/1gSfBlzRs2ctzCaoZ8MUxkrH2A9KD_qWf/view?usp=drivesdk","SUNARDI SERTIFIKAT BerAKHLAK")</f>
        <v>SUNARDI SERTIFIKAT BerAKHLAK</v>
      </c>
      <c r="K4641" s="5" t="s">
        <v>29717</v>
      </c>
      <c r="L4641" s="5" t="s">
        <v>30745</v>
      </c>
    </row>
    <row r="4642">
      <c r="A4642" s="4">
        <v>45534.35318063658</v>
      </c>
      <c r="B4642" s="5" t="s">
        <v>34</v>
      </c>
      <c r="D4642" s="5" t="s">
        <v>280</v>
      </c>
      <c r="E4642" s="5" t="s">
        <v>30749</v>
      </c>
      <c r="F4642" s="5" t="s">
        <v>37</v>
      </c>
      <c r="G4642" s="5" t="s">
        <v>30750</v>
      </c>
      <c r="H4642" s="6" t="s">
        <v>30751</v>
      </c>
      <c r="I4642" s="7" t="s">
        <v>30752</v>
      </c>
      <c r="J4642" s="8" t="str">
        <f>HYPERLINK("https://drive.google.com/file/d/1OoW2fGVF4nGXTJFJ0lJhpPy-yNrcms_L/view?usp=drivesdk","MURNALIS SERTIFIKAT BerAKHLAK")</f>
        <v>MURNALIS SERTIFIKAT BerAKHLAK</v>
      </c>
      <c r="K4642" s="5" t="s">
        <v>29717</v>
      </c>
      <c r="L4642" s="5" t="s">
        <v>30753</v>
      </c>
    </row>
    <row r="4643">
      <c r="A4643" s="4">
        <v>45534.35319363426</v>
      </c>
      <c r="B4643" s="5" t="s">
        <v>34</v>
      </c>
      <c r="D4643" s="5" t="s">
        <v>10444</v>
      </c>
      <c r="E4643" s="5" t="s">
        <v>30756</v>
      </c>
      <c r="F4643" s="5" t="s">
        <v>524</v>
      </c>
      <c r="G4643" s="5" t="s">
        <v>30757</v>
      </c>
      <c r="H4643" s="6" t="s">
        <v>30758</v>
      </c>
      <c r="K4643" s="5" t="s">
        <v>30759</v>
      </c>
    </row>
    <row r="4644">
      <c r="A4644" s="4">
        <v>45534.35319951389</v>
      </c>
      <c r="B4644" s="5" t="s">
        <v>19</v>
      </c>
      <c r="C4644" s="5" t="s">
        <v>1498</v>
      </c>
      <c r="E4644" s="5" t="s">
        <v>30762</v>
      </c>
      <c r="F4644" s="5" t="s">
        <v>108</v>
      </c>
      <c r="G4644" s="5" t="s">
        <v>30763</v>
      </c>
      <c r="H4644" s="6" t="s">
        <v>30764</v>
      </c>
      <c r="K4644" s="5" t="s">
        <v>30759</v>
      </c>
    </row>
    <row r="4645">
      <c r="A4645" s="4">
        <v>45534.35320912037</v>
      </c>
      <c r="B4645" s="5" t="s">
        <v>34</v>
      </c>
      <c r="D4645" s="5" t="s">
        <v>35</v>
      </c>
      <c r="E4645" s="5" t="s">
        <v>13894</v>
      </c>
      <c r="F4645" s="5" t="s">
        <v>524</v>
      </c>
      <c r="G4645" s="5" t="s">
        <v>30768</v>
      </c>
      <c r="H4645" s="6" t="s">
        <v>30769</v>
      </c>
      <c r="K4645" s="5" t="s">
        <v>30770</v>
      </c>
    </row>
    <row r="4646">
      <c r="A4646" s="4">
        <v>45534.35321608796</v>
      </c>
      <c r="B4646" s="5" t="s">
        <v>34</v>
      </c>
      <c r="D4646" s="5" t="s">
        <v>9020</v>
      </c>
      <c r="E4646" s="5" t="s">
        <v>30773</v>
      </c>
      <c r="F4646" s="5" t="s">
        <v>212</v>
      </c>
      <c r="G4646" s="5" t="s">
        <v>30774</v>
      </c>
      <c r="H4646" s="6" t="s">
        <v>30775</v>
      </c>
      <c r="K4646" s="5" t="s">
        <v>30770</v>
      </c>
    </row>
    <row r="4647">
      <c r="A4647" s="4">
        <v>45534.353218530094</v>
      </c>
      <c r="B4647" s="5" t="s">
        <v>34</v>
      </c>
      <c r="D4647" s="5" t="s">
        <v>1206</v>
      </c>
      <c r="E4647" s="5" t="s">
        <v>30778</v>
      </c>
      <c r="F4647" s="5" t="s">
        <v>37</v>
      </c>
      <c r="G4647" s="5" t="s">
        <v>30779</v>
      </c>
      <c r="H4647" s="6" t="s">
        <v>30780</v>
      </c>
      <c r="K4647" s="5" t="s">
        <v>30770</v>
      </c>
    </row>
    <row r="4648">
      <c r="A4648" s="4">
        <v>45534.35321891204</v>
      </c>
      <c r="B4648" s="5" t="s">
        <v>34</v>
      </c>
      <c r="D4648" s="5" t="s">
        <v>1206</v>
      </c>
      <c r="E4648" s="5" t="s">
        <v>30783</v>
      </c>
      <c r="F4648" s="5" t="s">
        <v>375</v>
      </c>
      <c r="G4648" s="5" t="s">
        <v>30784</v>
      </c>
      <c r="H4648" s="6" t="s">
        <v>30785</v>
      </c>
      <c r="I4648" s="7" t="s">
        <v>30786</v>
      </c>
      <c r="J4648" s="8" t="str">
        <f>HYPERLINK("https://drive.google.com/file/d/1My3x_WkZk0SEwSMQNTIPsc9zMAmhECvj/view?usp=drivesdk","ENNI TRI WAHYURINI SERTIFIKAT BerAKHLAK")</f>
        <v>ENNI TRI WAHYURINI SERTIFIKAT BerAKHLAK</v>
      </c>
      <c r="K4648" s="5" t="s">
        <v>29717</v>
      </c>
      <c r="L4648" s="5" t="s">
        <v>30787</v>
      </c>
    </row>
    <row r="4649">
      <c r="A4649" s="4">
        <v>45534.35322414352</v>
      </c>
      <c r="B4649" s="5" t="s">
        <v>34</v>
      </c>
      <c r="D4649" s="5" t="s">
        <v>1206</v>
      </c>
      <c r="E4649" s="5" t="s">
        <v>30790</v>
      </c>
      <c r="F4649" s="5" t="s">
        <v>212</v>
      </c>
      <c r="G4649" s="5" t="s">
        <v>30791</v>
      </c>
      <c r="H4649" s="6" t="s">
        <v>30792</v>
      </c>
      <c r="I4649" s="7" t="s">
        <v>30793</v>
      </c>
      <c r="J4649" s="8" t="str">
        <f>HYPERLINK("https://drive.google.com/file/d/13Ga6HxuMguLJANsM-32Fkwh2qJ6eTkdI/view?usp=drivesdk","ERYANTO  SERTIFIKAT BerAKHLAK")</f>
        <v>ERYANTO  SERTIFIKAT BerAKHLAK</v>
      </c>
      <c r="K4649" s="5" t="s">
        <v>29717</v>
      </c>
      <c r="L4649" s="5" t="s">
        <v>30794</v>
      </c>
    </row>
    <row r="4650">
      <c r="A4650" s="4">
        <v>45534.35322682871</v>
      </c>
      <c r="B4650" s="5" t="s">
        <v>34</v>
      </c>
      <c r="D4650" s="5" t="s">
        <v>1206</v>
      </c>
      <c r="E4650" s="5" t="s">
        <v>30798</v>
      </c>
      <c r="F4650" s="5" t="s">
        <v>212</v>
      </c>
      <c r="G4650" s="5" t="s">
        <v>30799</v>
      </c>
      <c r="H4650" s="6" t="s">
        <v>30800</v>
      </c>
      <c r="K4650" s="5" t="s">
        <v>30801</v>
      </c>
    </row>
    <row r="4651">
      <c r="A4651" s="4">
        <v>45534.353229699074</v>
      </c>
      <c r="B4651" s="5" t="s">
        <v>34</v>
      </c>
      <c r="D4651" s="5" t="s">
        <v>11527</v>
      </c>
      <c r="E4651" s="5" t="s">
        <v>30804</v>
      </c>
      <c r="F4651" s="5" t="s">
        <v>212</v>
      </c>
      <c r="G4651" s="5" t="s">
        <v>30805</v>
      </c>
      <c r="H4651" s="6" t="s">
        <v>30806</v>
      </c>
      <c r="K4651" s="5" t="s">
        <v>30801</v>
      </c>
    </row>
    <row r="4652">
      <c r="A4652" s="4">
        <v>45534.353255497685</v>
      </c>
      <c r="B4652" s="5" t="s">
        <v>34</v>
      </c>
      <c r="D4652" s="5" t="s">
        <v>9020</v>
      </c>
      <c r="E4652" s="5" t="s">
        <v>30809</v>
      </c>
      <c r="F4652" s="5" t="s">
        <v>72</v>
      </c>
      <c r="G4652" s="5" t="s">
        <v>30810</v>
      </c>
      <c r="H4652" s="6" t="s">
        <v>30811</v>
      </c>
      <c r="I4652" s="7" t="s">
        <v>30812</v>
      </c>
      <c r="J4652" s="8" t="str">
        <f>HYPERLINK("https://drive.google.com/file/d/1NOEeHrSiuboVXW1A_cXKG-uAc6toIB8r/view?usp=drivesdk","dr. FENTI OKTAVIANI MENDROFA SERTIFIKAT BerAKHLAK")</f>
        <v>dr. FENTI OKTAVIANI MENDROFA SERTIFIKAT BerAKHLAK</v>
      </c>
      <c r="K4652" s="5" t="s">
        <v>29717</v>
      </c>
      <c r="L4652" s="5" t="s">
        <v>30813</v>
      </c>
    </row>
    <row r="4653">
      <c r="A4653" s="4">
        <v>45534.353259166666</v>
      </c>
      <c r="B4653" s="5" t="s">
        <v>34</v>
      </c>
      <c r="D4653" s="5" t="s">
        <v>12010</v>
      </c>
      <c r="E4653" s="5" t="s">
        <v>30817</v>
      </c>
      <c r="F4653" s="5" t="s">
        <v>37</v>
      </c>
      <c r="G4653" s="5" t="s">
        <v>30818</v>
      </c>
      <c r="H4653" s="6" t="s">
        <v>30819</v>
      </c>
      <c r="I4653" s="7" t="s">
        <v>30820</v>
      </c>
      <c r="J4653" s="8" t="str">
        <f>HYPERLINK("https://drive.google.com/file/d/1UsIVlHLrAs-_Hs7vEOMwyLlSKIgEZUNn/view?usp=drivesdk","RITA JUSUF EYATO SERTIFIKAT BerAKHLAK")</f>
        <v>RITA JUSUF EYATO SERTIFIKAT BerAKHLAK</v>
      </c>
      <c r="K4653" s="5" t="s">
        <v>29717</v>
      </c>
      <c r="L4653" s="5" t="s">
        <v>30821</v>
      </c>
    </row>
    <row r="4654">
      <c r="A4654" s="4">
        <v>45534.35326686343</v>
      </c>
      <c r="B4654" s="5" t="s">
        <v>34</v>
      </c>
      <c r="D4654" s="5" t="s">
        <v>1206</v>
      </c>
      <c r="E4654" s="5" t="s">
        <v>30824</v>
      </c>
      <c r="F4654" s="5" t="s">
        <v>72</v>
      </c>
      <c r="G4654" s="5" t="s">
        <v>30825</v>
      </c>
      <c r="H4654" s="6" t="s">
        <v>30826</v>
      </c>
      <c r="I4654" s="7" t="s">
        <v>30827</v>
      </c>
      <c r="J4654" s="8" t="str">
        <f>HYPERLINK("https://drive.google.com/file/d/1ALjVb7YGMxG0HmCuTcRHihCK3loNAWJ_/view?usp=drivesdk","SISWANTININGSIH, SH SERTIFIKAT BerAKHLAK")</f>
        <v>SISWANTININGSIH, SH SERTIFIKAT BerAKHLAK</v>
      </c>
      <c r="K4654" s="5" t="s">
        <v>29717</v>
      </c>
      <c r="L4654" s="5" t="s">
        <v>30828</v>
      </c>
    </row>
    <row r="4655">
      <c r="A4655" s="4">
        <v>45534.35327744213</v>
      </c>
      <c r="B4655" s="5" t="s">
        <v>34</v>
      </c>
      <c r="D4655" s="5" t="s">
        <v>4775</v>
      </c>
      <c r="E4655" s="5" t="s">
        <v>30831</v>
      </c>
      <c r="F4655" s="5" t="s">
        <v>524</v>
      </c>
      <c r="G4655" s="5" t="s">
        <v>30832</v>
      </c>
      <c r="H4655" s="6" t="s">
        <v>30833</v>
      </c>
      <c r="K4655" s="5" t="s">
        <v>30834</v>
      </c>
    </row>
    <row r="4656">
      <c r="A4656" s="4">
        <v>45534.35327733796</v>
      </c>
      <c r="B4656" s="5" t="s">
        <v>34</v>
      </c>
      <c r="D4656" s="5" t="s">
        <v>10444</v>
      </c>
      <c r="E4656" s="5" t="s">
        <v>30837</v>
      </c>
      <c r="F4656" s="5" t="s">
        <v>375</v>
      </c>
      <c r="G4656" s="5" t="s">
        <v>30838</v>
      </c>
      <c r="H4656" s="6" t="s">
        <v>30839</v>
      </c>
      <c r="K4656" s="5" t="s">
        <v>30834</v>
      </c>
    </row>
    <row r="4657">
      <c r="A4657" s="4">
        <v>45534.35329802083</v>
      </c>
      <c r="B4657" s="5" t="s">
        <v>34</v>
      </c>
      <c r="D4657" s="5" t="s">
        <v>4775</v>
      </c>
      <c r="E4657" s="5" t="s">
        <v>30842</v>
      </c>
      <c r="F4657" s="5" t="s">
        <v>72</v>
      </c>
      <c r="G4657" s="5" t="s">
        <v>30843</v>
      </c>
      <c r="H4657" s="6" t="s">
        <v>30844</v>
      </c>
      <c r="I4657" s="7" t="s">
        <v>30845</v>
      </c>
      <c r="J4657" s="8" t="str">
        <f>HYPERLINK("https://drive.google.com/file/d/1tWfNjHGHDmp2GHDca8ygI7s9NqMD-yJx/view?usp=drivesdk","MOH. SYAICHU, S.I.P. SERTIFIKAT BerAKHLAK")</f>
        <v>MOH. SYAICHU, S.I.P. SERTIFIKAT BerAKHLAK</v>
      </c>
      <c r="K4657" s="5" t="s">
        <v>29717</v>
      </c>
      <c r="L4657" s="5" t="s">
        <v>30846</v>
      </c>
    </row>
    <row r="4658">
      <c r="A4658" s="4">
        <v>45534.35329868055</v>
      </c>
      <c r="B4658" s="5" t="s">
        <v>34</v>
      </c>
      <c r="D4658" s="5" t="s">
        <v>12978</v>
      </c>
      <c r="E4658" s="5" t="s">
        <v>30850</v>
      </c>
      <c r="F4658" s="5" t="s">
        <v>715</v>
      </c>
      <c r="G4658" s="5" t="s">
        <v>30851</v>
      </c>
      <c r="H4658" s="6" t="s">
        <v>30852</v>
      </c>
      <c r="I4658" s="7" t="s">
        <v>30853</v>
      </c>
      <c r="J4658" s="8" t="str">
        <f>HYPERLINK("https://drive.google.com/file/d/1r9iU_k1r8trUvbac68LZWX7dKsUnvYK9/view?usp=drivesdk","Wahyu wibowo AMD com SERTIFIKAT BerAKHLAK")</f>
        <v>Wahyu wibowo AMD com SERTIFIKAT BerAKHLAK</v>
      </c>
      <c r="K4658" s="5" t="s">
        <v>29717</v>
      </c>
      <c r="L4658" s="5" t="s">
        <v>30854</v>
      </c>
    </row>
    <row r="4659">
      <c r="A4659" s="4">
        <v>45534.3533065625</v>
      </c>
      <c r="B4659" s="5" t="s">
        <v>34</v>
      </c>
      <c r="D4659" s="5" t="s">
        <v>280</v>
      </c>
      <c r="E4659" s="5" t="s">
        <v>30857</v>
      </c>
      <c r="F4659" s="5" t="s">
        <v>524</v>
      </c>
      <c r="G4659" s="5" t="s">
        <v>30858</v>
      </c>
      <c r="H4659" s="6" t="s">
        <v>30859</v>
      </c>
      <c r="K4659" s="5" t="s">
        <v>30860</v>
      </c>
    </row>
    <row r="4660">
      <c r="A4660" s="4">
        <v>45534.35330673611</v>
      </c>
      <c r="B4660" s="5" t="s">
        <v>34</v>
      </c>
      <c r="D4660" s="5" t="s">
        <v>1206</v>
      </c>
      <c r="E4660" s="5" t="s">
        <v>30863</v>
      </c>
      <c r="F4660" s="5" t="s">
        <v>212</v>
      </c>
      <c r="G4660" s="5" t="s">
        <v>30864</v>
      </c>
      <c r="H4660" s="6" t="s">
        <v>30865</v>
      </c>
      <c r="K4660" s="5" t="s">
        <v>30860</v>
      </c>
    </row>
    <row r="4661">
      <c r="A4661" s="4">
        <v>45534.353308645834</v>
      </c>
      <c r="B4661" s="5" t="s">
        <v>34</v>
      </c>
      <c r="D4661" s="5" t="s">
        <v>1206</v>
      </c>
      <c r="E4661" s="5" t="s">
        <v>15697</v>
      </c>
      <c r="F4661" s="5" t="s">
        <v>37</v>
      </c>
      <c r="G4661" s="5" t="s">
        <v>30869</v>
      </c>
      <c r="H4661" s="6" t="s">
        <v>30870</v>
      </c>
      <c r="K4661" s="5" t="s">
        <v>30860</v>
      </c>
    </row>
    <row r="4662">
      <c r="A4662" s="4">
        <v>45534.353309259255</v>
      </c>
      <c r="B4662" s="5" t="s">
        <v>34</v>
      </c>
      <c r="D4662" s="5" t="s">
        <v>1206</v>
      </c>
      <c r="E4662" s="5" t="s">
        <v>30873</v>
      </c>
      <c r="F4662" s="5" t="s">
        <v>37</v>
      </c>
      <c r="G4662" s="5" t="s">
        <v>30874</v>
      </c>
      <c r="H4662" s="6" t="s">
        <v>30875</v>
      </c>
      <c r="K4662" s="5" t="s">
        <v>30860</v>
      </c>
    </row>
    <row r="4663">
      <c r="A4663" s="4">
        <v>45534.353319375005</v>
      </c>
      <c r="B4663" s="5" t="s">
        <v>34</v>
      </c>
      <c r="D4663" s="5" t="s">
        <v>12978</v>
      </c>
      <c r="E4663" s="5" t="s">
        <v>30878</v>
      </c>
      <c r="F4663" s="5" t="s">
        <v>212</v>
      </c>
      <c r="G4663" s="5" t="s">
        <v>30879</v>
      </c>
      <c r="H4663" s="6" t="s">
        <v>30880</v>
      </c>
      <c r="K4663" s="5" t="s">
        <v>30860</v>
      </c>
    </row>
    <row r="4664">
      <c r="A4664" s="4">
        <v>45534.35335841435</v>
      </c>
      <c r="B4664" s="5" t="s">
        <v>34</v>
      </c>
      <c r="D4664" s="5" t="s">
        <v>267</v>
      </c>
      <c r="E4664" s="5" t="s">
        <v>30883</v>
      </c>
      <c r="F4664" s="5" t="s">
        <v>108</v>
      </c>
      <c r="G4664" s="5" t="s">
        <v>30884</v>
      </c>
      <c r="H4664" s="6" t="s">
        <v>30885</v>
      </c>
      <c r="I4664" s="7" t="s">
        <v>30886</v>
      </c>
      <c r="J4664" s="8" t="str">
        <f>HYPERLINK("https://drive.google.com/file/d/1pZpR_50NDPjHjGRfwrsaO1w9mD3vNJVC/view?usp=drivesdk","ALI RACHMAN SERTIFIKAT BerAKHLAK")</f>
        <v>ALI RACHMAN SERTIFIKAT BerAKHLAK</v>
      </c>
      <c r="K4664" s="5" t="s">
        <v>29717</v>
      </c>
      <c r="L4664" s="5" t="s">
        <v>30887</v>
      </c>
    </row>
    <row r="4665">
      <c r="A4665" s="4">
        <v>45534.353360312496</v>
      </c>
      <c r="B4665" s="5" t="s">
        <v>19</v>
      </c>
      <c r="C4665" s="5" t="s">
        <v>24076</v>
      </c>
      <c r="E4665" s="5" t="s">
        <v>30890</v>
      </c>
      <c r="F4665" s="5" t="s">
        <v>212</v>
      </c>
      <c r="G4665" s="5" t="s">
        <v>30891</v>
      </c>
      <c r="H4665" s="6" t="s">
        <v>30892</v>
      </c>
      <c r="I4665" s="7" t="s">
        <v>30893</v>
      </c>
      <c r="J4665" s="8" t="str">
        <f>HYPERLINK("https://drive.google.com/file/d/1o9cfk0b9MxiBzhsTiURiYH9CCWGU7II3/view?usp=drivesdk","SUPARDI, S.H. SERTIFIKAT BerAKHLAK")</f>
        <v>SUPARDI, S.H. SERTIFIKAT BerAKHLAK</v>
      </c>
      <c r="K4665" s="5" t="s">
        <v>29717</v>
      </c>
      <c r="L4665" s="5" t="s">
        <v>30894</v>
      </c>
    </row>
    <row r="4666">
      <c r="A4666" s="4">
        <v>45534.35337266204</v>
      </c>
      <c r="B4666" s="5" t="s">
        <v>34</v>
      </c>
      <c r="D4666" s="5" t="s">
        <v>996</v>
      </c>
      <c r="E4666" s="5" t="s">
        <v>30897</v>
      </c>
      <c r="F4666" s="5" t="s">
        <v>37</v>
      </c>
      <c r="G4666" s="5" t="s">
        <v>30898</v>
      </c>
      <c r="H4666" s="6" t="s">
        <v>30899</v>
      </c>
      <c r="K4666" s="5" t="s">
        <v>30900</v>
      </c>
    </row>
    <row r="4667">
      <c r="A4667" s="4">
        <v>45534.35337265047</v>
      </c>
      <c r="B4667" s="5" t="s">
        <v>34</v>
      </c>
      <c r="D4667" s="5" t="s">
        <v>1206</v>
      </c>
      <c r="E4667" s="5" t="s">
        <v>30904</v>
      </c>
      <c r="F4667" s="5" t="s">
        <v>6776</v>
      </c>
      <c r="G4667" s="5" t="s">
        <v>30905</v>
      </c>
      <c r="H4667" s="6" t="s">
        <v>30906</v>
      </c>
      <c r="K4667" s="5" t="s">
        <v>30900</v>
      </c>
    </row>
    <row r="4668">
      <c r="A4668" s="4">
        <v>45534.353374259255</v>
      </c>
      <c r="B4668" s="5" t="s">
        <v>34</v>
      </c>
      <c r="D4668" s="5" t="s">
        <v>975</v>
      </c>
      <c r="E4668" s="5" t="s">
        <v>30909</v>
      </c>
      <c r="F4668" s="5" t="s">
        <v>37</v>
      </c>
      <c r="G4668" s="5" t="s">
        <v>30910</v>
      </c>
      <c r="H4668" s="6" t="s">
        <v>30911</v>
      </c>
      <c r="I4668" s="7" t="s">
        <v>30912</v>
      </c>
      <c r="J4668" s="8" t="str">
        <f>HYPERLINK("https://drive.google.com/file/d/1ns9EaJbvL4KpniLIa_QK9DvRghBhovhv/view?usp=drivesdk","BELLA CHOLIFANI DYAH HARSO, A.Md  SERTIFIKAT BerAKHLAK")</f>
        <v>BELLA CHOLIFANI DYAH HARSO, A.Md  SERTIFIKAT BerAKHLAK</v>
      </c>
      <c r="K4668" s="5" t="s">
        <v>29717</v>
      </c>
      <c r="L4668" s="5" t="s">
        <v>30913</v>
      </c>
    </row>
    <row r="4669">
      <c r="A4669" s="4">
        <v>45534.35337858796</v>
      </c>
      <c r="B4669" s="5" t="s">
        <v>34</v>
      </c>
      <c r="D4669" s="5" t="s">
        <v>701</v>
      </c>
      <c r="E4669" s="5" t="s">
        <v>30916</v>
      </c>
      <c r="F4669" s="5" t="s">
        <v>108</v>
      </c>
      <c r="G4669" s="5" t="s">
        <v>30917</v>
      </c>
      <c r="H4669" s="6" t="s">
        <v>30918</v>
      </c>
      <c r="K4669" s="5" t="s">
        <v>30919</v>
      </c>
    </row>
    <row r="4670">
      <c r="A4670" s="4">
        <v>45534.35340320602</v>
      </c>
      <c r="B4670" s="5" t="s">
        <v>34</v>
      </c>
      <c r="D4670" s="5" t="s">
        <v>9394</v>
      </c>
      <c r="E4670" s="5" t="s">
        <v>30922</v>
      </c>
      <c r="F4670" s="5" t="s">
        <v>37</v>
      </c>
      <c r="G4670" s="5" t="s">
        <v>30923</v>
      </c>
      <c r="H4670" s="6" t="s">
        <v>30924</v>
      </c>
      <c r="K4670" s="5" t="s">
        <v>30919</v>
      </c>
    </row>
    <row r="4671">
      <c r="A4671" s="4">
        <v>45534.353433125</v>
      </c>
      <c r="B4671" s="5" t="s">
        <v>34</v>
      </c>
      <c r="D4671" s="5" t="s">
        <v>10444</v>
      </c>
      <c r="E4671" s="5" t="s">
        <v>30928</v>
      </c>
      <c r="F4671" s="5" t="s">
        <v>524</v>
      </c>
      <c r="G4671" s="5" t="s">
        <v>30929</v>
      </c>
      <c r="H4671" s="6" t="s">
        <v>30930</v>
      </c>
      <c r="I4671" s="7" t="s">
        <v>30931</v>
      </c>
      <c r="J4671" s="8" t="str">
        <f>HYPERLINK("https://drive.google.com/file/d/1KfrYt23xMX6cbTavRiDp4AY1J0GzyVEf/view?usp=drivesdk","UTARI TRI KUSUMA, S.AK SERTIFIKAT BerAKHLAK")</f>
        <v>UTARI TRI KUSUMA, S.AK SERTIFIKAT BerAKHLAK</v>
      </c>
      <c r="K4671" s="5" t="s">
        <v>29717</v>
      </c>
      <c r="L4671" s="5" t="s">
        <v>30932</v>
      </c>
    </row>
    <row r="4672">
      <c r="A4672" s="4">
        <v>45534.35345094907</v>
      </c>
      <c r="B4672" s="5" t="s">
        <v>34</v>
      </c>
      <c r="D4672" s="5" t="s">
        <v>1456</v>
      </c>
      <c r="E4672" s="5" t="s">
        <v>30935</v>
      </c>
      <c r="F4672" s="5" t="s">
        <v>212</v>
      </c>
      <c r="G4672" s="5" t="s">
        <v>30936</v>
      </c>
      <c r="H4672" s="6" t="s">
        <v>30937</v>
      </c>
      <c r="K4672" s="5" t="s">
        <v>30938</v>
      </c>
    </row>
    <row r="4673">
      <c r="A4673" s="4">
        <v>45534.35345303241</v>
      </c>
      <c r="B4673" s="5" t="s">
        <v>34</v>
      </c>
      <c r="D4673" s="5" t="s">
        <v>4775</v>
      </c>
      <c r="E4673" s="5" t="s">
        <v>30941</v>
      </c>
      <c r="F4673" s="5" t="s">
        <v>524</v>
      </c>
      <c r="G4673" s="5" t="s">
        <v>30942</v>
      </c>
      <c r="H4673" s="6" t="s">
        <v>30943</v>
      </c>
      <c r="K4673" s="5" t="s">
        <v>30938</v>
      </c>
    </row>
    <row r="4674">
      <c r="A4674" s="4">
        <v>45534.35345451389</v>
      </c>
      <c r="B4674" s="5" t="s">
        <v>34</v>
      </c>
      <c r="D4674" s="5" t="s">
        <v>996</v>
      </c>
      <c r="E4674" s="5" t="s">
        <v>30946</v>
      </c>
      <c r="F4674" s="5" t="s">
        <v>524</v>
      </c>
      <c r="G4674" s="5" t="s">
        <v>30947</v>
      </c>
      <c r="H4674" s="6" t="s">
        <v>30948</v>
      </c>
      <c r="K4674" s="5" t="s">
        <v>30938</v>
      </c>
    </row>
    <row r="4675">
      <c r="A4675" s="4">
        <v>45534.35346458333</v>
      </c>
      <c r="B4675" s="5" t="s">
        <v>34</v>
      </c>
      <c r="D4675" s="5" t="s">
        <v>1206</v>
      </c>
      <c r="E4675" s="5" t="s">
        <v>30952</v>
      </c>
      <c r="F4675" s="5" t="s">
        <v>37</v>
      </c>
      <c r="G4675" s="5" t="s">
        <v>30953</v>
      </c>
      <c r="H4675" s="6" t="s">
        <v>30954</v>
      </c>
      <c r="K4675" s="5" t="s">
        <v>30938</v>
      </c>
    </row>
    <row r="4676">
      <c r="A4676" s="4">
        <v>45534.35348273148</v>
      </c>
      <c r="B4676" s="5" t="s">
        <v>34</v>
      </c>
      <c r="D4676" s="5" t="s">
        <v>1206</v>
      </c>
      <c r="E4676" s="5" t="s">
        <v>30957</v>
      </c>
      <c r="F4676" s="5" t="s">
        <v>120</v>
      </c>
      <c r="G4676" s="5" t="s">
        <v>30958</v>
      </c>
      <c r="H4676" s="6" t="s">
        <v>30959</v>
      </c>
      <c r="K4676" s="5" t="s">
        <v>30938</v>
      </c>
    </row>
    <row r="4677">
      <c r="A4677" s="4">
        <v>45534.35348706019</v>
      </c>
      <c r="B4677" s="5" t="s">
        <v>34</v>
      </c>
      <c r="D4677" s="5" t="s">
        <v>9020</v>
      </c>
      <c r="E4677" s="5" t="s">
        <v>30962</v>
      </c>
      <c r="F4677" s="5" t="s">
        <v>72</v>
      </c>
      <c r="G4677" s="5" t="s">
        <v>30963</v>
      </c>
      <c r="H4677" s="6" t="s">
        <v>30964</v>
      </c>
      <c r="K4677" s="5" t="s">
        <v>30965</v>
      </c>
    </row>
    <row r="4678">
      <c r="A4678" s="4">
        <v>45534.35348777778</v>
      </c>
      <c r="B4678" s="5" t="s">
        <v>34</v>
      </c>
      <c r="D4678" s="5" t="s">
        <v>9394</v>
      </c>
      <c r="E4678" s="5" t="s">
        <v>30968</v>
      </c>
      <c r="F4678" s="5" t="s">
        <v>108</v>
      </c>
      <c r="G4678" s="5" t="s">
        <v>30969</v>
      </c>
      <c r="H4678" s="6" t="s">
        <v>30970</v>
      </c>
      <c r="K4678" s="5" t="s">
        <v>30971</v>
      </c>
    </row>
    <row r="4679">
      <c r="A4679" s="4">
        <v>45534.35350278935</v>
      </c>
      <c r="B4679" s="5" t="s">
        <v>34</v>
      </c>
      <c r="D4679" s="5" t="s">
        <v>1206</v>
      </c>
      <c r="E4679" s="5" t="s">
        <v>30974</v>
      </c>
      <c r="F4679" s="5" t="s">
        <v>199</v>
      </c>
      <c r="G4679" s="5" t="s">
        <v>30975</v>
      </c>
      <c r="H4679" s="6" t="s">
        <v>30976</v>
      </c>
      <c r="K4679" s="5" t="s">
        <v>30971</v>
      </c>
    </row>
    <row r="4680">
      <c r="A4680" s="4">
        <v>45534.3535170949</v>
      </c>
      <c r="B4680" s="5" t="s">
        <v>34</v>
      </c>
      <c r="D4680" s="5" t="s">
        <v>1206</v>
      </c>
      <c r="E4680" s="5" t="s">
        <v>30980</v>
      </c>
      <c r="F4680" s="5" t="s">
        <v>524</v>
      </c>
      <c r="G4680" s="5" t="s">
        <v>30981</v>
      </c>
      <c r="H4680" s="6" t="s">
        <v>30982</v>
      </c>
      <c r="K4680" s="5" t="s">
        <v>30971</v>
      </c>
    </row>
    <row r="4681">
      <c r="A4681" s="4">
        <v>45534.353520115736</v>
      </c>
      <c r="B4681" s="5" t="s">
        <v>34</v>
      </c>
      <c r="D4681" s="5" t="s">
        <v>10444</v>
      </c>
      <c r="E4681" s="5" t="s">
        <v>30985</v>
      </c>
      <c r="F4681" s="5" t="s">
        <v>37</v>
      </c>
      <c r="G4681" s="5" t="s">
        <v>30986</v>
      </c>
      <c r="H4681" s="6" t="s">
        <v>30987</v>
      </c>
      <c r="K4681" s="5" t="s">
        <v>30971</v>
      </c>
    </row>
    <row r="4682">
      <c r="A4682" s="4">
        <v>45534.35354325231</v>
      </c>
      <c r="B4682" s="5" t="s">
        <v>19</v>
      </c>
      <c r="C4682" s="5" t="s">
        <v>292</v>
      </c>
      <c r="E4682" s="5" t="s">
        <v>21976</v>
      </c>
      <c r="F4682" s="5" t="s">
        <v>524</v>
      </c>
      <c r="G4682" s="5" t="s">
        <v>30990</v>
      </c>
      <c r="H4682" s="6" t="s">
        <v>30991</v>
      </c>
      <c r="K4682" s="5" t="s">
        <v>30992</v>
      </c>
    </row>
    <row r="4683">
      <c r="A4683" s="4">
        <v>45534.353549120366</v>
      </c>
      <c r="B4683" s="5" t="s">
        <v>34</v>
      </c>
      <c r="D4683" s="5" t="s">
        <v>3849</v>
      </c>
      <c r="E4683" s="5" t="s">
        <v>30995</v>
      </c>
      <c r="F4683" s="5" t="s">
        <v>108</v>
      </c>
      <c r="G4683" s="5" t="s">
        <v>30996</v>
      </c>
      <c r="H4683" s="6" t="s">
        <v>30997</v>
      </c>
      <c r="K4683" s="5" t="s">
        <v>30992</v>
      </c>
    </row>
    <row r="4684">
      <c r="A4684" s="4">
        <v>45534.35356710648</v>
      </c>
      <c r="B4684" s="5" t="s">
        <v>34</v>
      </c>
      <c r="D4684" s="5" t="s">
        <v>1206</v>
      </c>
      <c r="E4684" s="5" t="s">
        <v>31001</v>
      </c>
      <c r="F4684" s="5" t="s">
        <v>212</v>
      </c>
      <c r="G4684" s="5" t="s">
        <v>31002</v>
      </c>
      <c r="H4684" s="6" t="s">
        <v>31003</v>
      </c>
      <c r="K4684" s="5" t="s">
        <v>31004</v>
      </c>
    </row>
    <row r="4685">
      <c r="A4685" s="4">
        <v>45534.3535708912</v>
      </c>
      <c r="B4685" s="5" t="s">
        <v>34</v>
      </c>
      <c r="D4685" s="5" t="s">
        <v>1206</v>
      </c>
      <c r="E4685" s="5" t="s">
        <v>31007</v>
      </c>
      <c r="F4685" s="5" t="s">
        <v>524</v>
      </c>
      <c r="G4685" s="5" t="s">
        <v>31008</v>
      </c>
      <c r="H4685" s="6" t="s">
        <v>31009</v>
      </c>
      <c r="K4685" s="5" t="s">
        <v>31004</v>
      </c>
    </row>
    <row r="4686">
      <c r="A4686" s="4">
        <v>45534.35357438657</v>
      </c>
      <c r="B4686" s="5" t="s">
        <v>34</v>
      </c>
      <c r="D4686" s="5" t="s">
        <v>1692</v>
      </c>
      <c r="E4686" s="5" t="s">
        <v>31012</v>
      </c>
      <c r="F4686" s="5" t="s">
        <v>375</v>
      </c>
      <c r="G4686" s="5" t="s">
        <v>31013</v>
      </c>
      <c r="H4686" s="6" t="s">
        <v>31014</v>
      </c>
      <c r="K4686" s="5" t="s">
        <v>31004</v>
      </c>
    </row>
    <row r="4687">
      <c r="A4687" s="4">
        <v>45534.35358390046</v>
      </c>
      <c r="B4687" s="5" t="s">
        <v>34</v>
      </c>
      <c r="D4687" s="5" t="s">
        <v>4775</v>
      </c>
      <c r="E4687" s="5" t="s">
        <v>31017</v>
      </c>
      <c r="F4687" s="5" t="s">
        <v>212</v>
      </c>
      <c r="G4687" s="5" t="s">
        <v>31018</v>
      </c>
      <c r="H4687" s="6" t="s">
        <v>31019</v>
      </c>
      <c r="K4687" s="5" t="s">
        <v>31004</v>
      </c>
    </row>
    <row r="4688">
      <c r="A4688" s="4">
        <v>45534.35359116898</v>
      </c>
      <c r="B4688" s="5" t="s">
        <v>34</v>
      </c>
      <c r="D4688" s="5" t="s">
        <v>580</v>
      </c>
      <c r="E4688" s="5" t="s">
        <v>31023</v>
      </c>
      <c r="F4688" s="5" t="s">
        <v>72</v>
      </c>
      <c r="G4688" s="5" t="s">
        <v>31024</v>
      </c>
      <c r="H4688" s="6" t="s">
        <v>31025</v>
      </c>
      <c r="K4688" s="5" t="s">
        <v>31004</v>
      </c>
    </row>
    <row r="4689">
      <c r="A4689" s="4">
        <v>45534.35359385417</v>
      </c>
      <c r="B4689" s="5" t="s">
        <v>34</v>
      </c>
      <c r="D4689" s="5" t="s">
        <v>4775</v>
      </c>
      <c r="E4689" s="5" t="s">
        <v>31028</v>
      </c>
      <c r="F4689" s="5" t="s">
        <v>22</v>
      </c>
      <c r="G4689" s="5" t="s">
        <v>31029</v>
      </c>
      <c r="H4689" s="6" t="s">
        <v>31030</v>
      </c>
      <c r="K4689" s="5" t="s">
        <v>31004</v>
      </c>
    </row>
    <row r="4690">
      <c r="A4690" s="4">
        <v>45534.35360065972</v>
      </c>
      <c r="B4690" s="5" t="s">
        <v>34</v>
      </c>
      <c r="D4690" s="5" t="s">
        <v>4775</v>
      </c>
      <c r="E4690" s="5" t="s">
        <v>31033</v>
      </c>
      <c r="F4690" s="5" t="s">
        <v>72</v>
      </c>
      <c r="G4690" s="5" t="s">
        <v>31034</v>
      </c>
      <c r="H4690" s="6" t="s">
        <v>31035</v>
      </c>
      <c r="K4690" s="5" t="s">
        <v>30992</v>
      </c>
    </row>
    <row r="4691">
      <c r="A4691" s="4">
        <v>45534.35360261574</v>
      </c>
      <c r="B4691" s="5" t="s">
        <v>34</v>
      </c>
      <c r="D4691" s="5" t="s">
        <v>4775</v>
      </c>
      <c r="E4691" s="5" t="s">
        <v>31038</v>
      </c>
      <c r="F4691" s="5" t="s">
        <v>37</v>
      </c>
      <c r="G4691" s="5" t="s">
        <v>31039</v>
      </c>
      <c r="H4691" s="6" t="s">
        <v>31040</v>
      </c>
      <c r="K4691" s="5" t="s">
        <v>30992</v>
      </c>
    </row>
    <row r="4692">
      <c r="A4692" s="4">
        <v>45534.353604062504</v>
      </c>
      <c r="B4692" s="5" t="s">
        <v>34</v>
      </c>
      <c r="D4692" s="5" t="s">
        <v>4775</v>
      </c>
      <c r="E4692" s="5" t="s">
        <v>31044</v>
      </c>
      <c r="F4692" s="5" t="s">
        <v>212</v>
      </c>
      <c r="G4692" s="5" t="s">
        <v>31045</v>
      </c>
      <c r="H4692" s="6" t="s">
        <v>31046</v>
      </c>
      <c r="K4692" s="5" t="s">
        <v>31047</v>
      </c>
    </row>
    <row r="4693">
      <c r="A4693" s="4">
        <v>45534.35361369213</v>
      </c>
      <c r="B4693" s="5" t="s">
        <v>34</v>
      </c>
      <c r="D4693" s="5" t="s">
        <v>1206</v>
      </c>
      <c r="E4693" s="5" t="s">
        <v>31050</v>
      </c>
      <c r="F4693" s="5" t="s">
        <v>212</v>
      </c>
      <c r="G4693" s="5" t="s">
        <v>31051</v>
      </c>
      <c r="H4693" s="6" t="s">
        <v>31052</v>
      </c>
      <c r="K4693" s="5" t="s">
        <v>31047</v>
      </c>
    </row>
    <row r="4694">
      <c r="A4694" s="4">
        <v>45534.35361420139</v>
      </c>
      <c r="B4694" s="5" t="s">
        <v>34</v>
      </c>
      <c r="D4694" s="5" t="s">
        <v>4775</v>
      </c>
      <c r="E4694" s="5" t="s">
        <v>31055</v>
      </c>
      <c r="F4694" s="5" t="s">
        <v>37</v>
      </c>
      <c r="G4694" s="5" t="s">
        <v>31056</v>
      </c>
      <c r="H4694" s="6" t="s">
        <v>31057</v>
      </c>
      <c r="K4694" s="5" t="s">
        <v>31047</v>
      </c>
    </row>
    <row r="4695">
      <c r="A4695" s="4">
        <v>45534.3536174537</v>
      </c>
      <c r="B4695" s="5" t="s">
        <v>34</v>
      </c>
      <c r="D4695" s="5" t="s">
        <v>12978</v>
      </c>
      <c r="E4695" s="5" t="s">
        <v>31060</v>
      </c>
      <c r="F4695" s="5" t="s">
        <v>37</v>
      </c>
      <c r="G4695" s="5" t="s">
        <v>31061</v>
      </c>
      <c r="H4695" s="6" t="s">
        <v>31062</v>
      </c>
      <c r="K4695" s="5" t="s">
        <v>31047</v>
      </c>
    </row>
    <row r="4696">
      <c r="A4696" s="4">
        <v>45534.353619016205</v>
      </c>
      <c r="B4696" s="5" t="s">
        <v>34</v>
      </c>
      <c r="D4696" s="5" t="s">
        <v>12978</v>
      </c>
      <c r="E4696" s="5" t="s">
        <v>31065</v>
      </c>
      <c r="F4696" s="5" t="s">
        <v>37</v>
      </c>
      <c r="G4696" s="5" t="s">
        <v>31066</v>
      </c>
      <c r="H4696" s="6" t="s">
        <v>31067</v>
      </c>
      <c r="K4696" s="5" t="s">
        <v>31047</v>
      </c>
    </row>
    <row r="4697">
      <c r="A4697" s="4">
        <v>45534.35361924769</v>
      </c>
      <c r="B4697" s="5" t="s">
        <v>34</v>
      </c>
      <c r="D4697" s="5" t="s">
        <v>4775</v>
      </c>
      <c r="E4697" s="5" t="s">
        <v>31071</v>
      </c>
      <c r="F4697" s="5" t="s">
        <v>212</v>
      </c>
      <c r="G4697" s="5" t="s">
        <v>31072</v>
      </c>
      <c r="H4697" s="6" t="s">
        <v>31073</v>
      </c>
      <c r="K4697" s="5" t="s">
        <v>31047</v>
      </c>
    </row>
    <row r="4698">
      <c r="A4698" s="4">
        <v>45534.35362034722</v>
      </c>
      <c r="B4698" s="5" t="s">
        <v>34</v>
      </c>
      <c r="D4698" s="5" t="s">
        <v>996</v>
      </c>
      <c r="E4698" s="5" t="s">
        <v>31076</v>
      </c>
      <c r="F4698" s="5" t="s">
        <v>212</v>
      </c>
      <c r="G4698" s="5" t="s">
        <v>31077</v>
      </c>
      <c r="H4698" s="6" t="s">
        <v>31078</v>
      </c>
      <c r="K4698" s="5" t="s">
        <v>31047</v>
      </c>
    </row>
    <row r="4699">
      <c r="A4699" s="4">
        <v>45534.35362202546</v>
      </c>
      <c r="B4699" s="5" t="s">
        <v>34</v>
      </c>
      <c r="D4699" s="5" t="s">
        <v>12010</v>
      </c>
      <c r="E4699" s="5" t="s">
        <v>31081</v>
      </c>
      <c r="F4699" s="5" t="s">
        <v>37</v>
      </c>
      <c r="G4699" s="5" t="s">
        <v>31082</v>
      </c>
      <c r="H4699" s="6" t="s">
        <v>31083</v>
      </c>
      <c r="K4699" s="5" t="s">
        <v>31047</v>
      </c>
    </row>
    <row r="4700">
      <c r="A4700" s="4">
        <v>45534.3536330787</v>
      </c>
      <c r="B4700" s="5" t="s">
        <v>34</v>
      </c>
      <c r="D4700" s="5" t="s">
        <v>604</v>
      </c>
      <c r="E4700" s="5" t="s">
        <v>31086</v>
      </c>
      <c r="F4700" s="5" t="s">
        <v>375</v>
      </c>
      <c r="G4700" s="5" t="s">
        <v>31087</v>
      </c>
      <c r="H4700" s="6" t="s">
        <v>31088</v>
      </c>
      <c r="K4700" s="5" t="s">
        <v>31047</v>
      </c>
    </row>
    <row r="4701">
      <c r="A4701" s="4">
        <v>45534.35363787037</v>
      </c>
      <c r="B4701" s="5" t="s">
        <v>19</v>
      </c>
      <c r="C4701" s="5" t="s">
        <v>30588</v>
      </c>
      <c r="E4701" s="5" t="s">
        <v>31091</v>
      </c>
      <c r="F4701" s="5" t="s">
        <v>72</v>
      </c>
      <c r="G4701" s="5" t="s">
        <v>31092</v>
      </c>
      <c r="H4701" s="6" t="s">
        <v>31093</v>
      </c>
      <c r="K4701" s="5" t="s">
        <v>31047</v>
      </c>
    </row>
    <row r="4702">
      <c r="A4702" s="4">
        <v>45534.353645613424</v>
      </c>
      <c r="B4702" s="5" t="s">
        <v>34</v>
      </c>
      <c r="D4702" s="5" t="s">
        <v>9020</v>
      </c>
      <c r="E4702" s="5" t="s">
        <v>31097</v>
      </c>
      <c r="F4702" s="5" t="s">
        <v>37</v>
      </c>
      <c r="G4702" s="5" t="s">
        <v>31098</v>
      </c>
      <c r="H4702" s="6" t="s">
        <v>31099</v>
      </c>
      <c r="K4702" s="5" t="s">
        <v>31047</v>
      </c>
    </row>
    <row r="4703">
      <c r="A4703" s="4">
        <v>45534.353650289355</v>
      </c>
      <c r="B4703" s="5" t="s">
        <v>34</v>
      </c>
      <c r="D4703" s="5" t="s">
        <v>4775</v>
      </c>
      <c r="E4703" s="5" t="s">
        <v>31102</v>
      </c>
      <c r="F4703" s="5" t="s">
        <v>37</v>
      </c>
      <c r="G4703" s="5" t="s">
        <v>31103</v>
      </c>
      <c r="H4703" s="6" t="s">
        <v>31104</v>
      </c>
      <c r="K4703" s="5" t="s">
        <v>31047</v>
      </c>
    </row>
    <row r="4704">
      <c r="A4704" s="4">
        <v>45534.35368310185</v>
      </c>
      <c r="B4704" s="5" t="s">
        <v>34</v>
      </c>
      <c r="D4704" s="5" t="s">
        <v>1768</v>
      </c>
      <c r="E4704" s="5" t="s">
        <v>31107</v>
      </c>
      <c r="F4704" s="5" t="s">
        <v>108</v>
      </c>
      <c r="G4704" s="5" t="s">
        <v>31108</v>
      </c>
      <c r="H4704" s="6" t="s">
        <v>31109</v>
      </c>
      <c r="I4704" s="7" t="s">
        <v>31110</v>
      </c>
      <c r="J4704" s="8" t="str">
        <f>HYPERLINK("https://drive.google.com/file/d/1BSu_-X24caatleC4ppb9o5Vjwrx5LYj7/view?usp=drivesdk","Ida Ayu Nyoman witari SERTIFIKAT BerAKHLAK")</f>
        <v>Ida Ayu Nyoman witari SERTIFIKAT BerAKHLAK</v>
      </c>
      <c r="K4704" s="5" t="s">
        <v>29717</v>
      </c>
      <c r="L4704" s="5" t="s">
        <v>31111</v>
      </c>
    </row>
    <row r="4705">
      <c r="A4705" s="4">
        <v>45534.35369164352</v>
      </c>
      <c r="B4705" s="5" t="s">
        <v>34</v>
      </c>
      <c r="D4705" s="5" t="s">
        <v>1558</v>
      </c>
      <c r="E4705" s="5" t="s">
        <v>31114</v>
      </c>
      <c r="F4705" s="5" t="s">
        <v>199</v>
      </c>
      <c r="G4705" s="5" t="s">
        <v>31115</v>
      </c>
      <c r="H4705" s="6" t="s">
        <v>31116</v>
      </c>
      <c r="I4705" s="7" t="s">
        <v>31117</v>
      </c>
      <c r="J4705" s="8" t="str">
        <f>HYPERLINK("https://drive.google.com/file/d/1gTe1_x3H9Bx6cLOVN4UScqyEkq5oiLD7/view?usp=drivesdk","RUSMIANTO SERTIFIKAT BerAKHLAK")</f>
        <v>RUSMIANTO SERTIFIKAT BerAKHLAK</v>
      </c>
      <c r="K4705" s="5" t="s">
        <v>31118</v>
      </c>
      <c r="L4705" s="5" t="s">
        <v>31119</v>
      </c>
    </row>
    <row r="4706">
      <c r="A4706" s="4">
        <v>45534.353693564815</v>
      </c>
      <c r="B4706" s="5" t="s">
        <v>19</v>
      </c>
      <c r="C4706" s="5" t="s">
        <v>466</v>
      </c>
      <c r="E4706" s="5" t="s">
        <v>31123</v>
      </c>
      <c r="F4706" s="5" t="s">
        <v>524</v>
      </c>
      <c r="G4706" s="5" t="s">
        <v>31124</v>
      </c>
      <c r="H4706" s="6" t="s">
        <v>31125</v>
      </c>
      <c r="I4706" s="7" t="s">
        <v>31126</v>
      </c>
      <c r="J4706" s="8" t="str">
        <f>HYPERLINK("https://drive.google.com/file/d/1rSL6Gdr8YSMRxvthSFP-A-aH8GMI4FaY/view?usp=drivesdk","DIDIK,S.H. SERTIFIKAT BerAKHLAK")</f>
        <v>DIDIK,S.H. SERTIFIKAT BerAKHLAK</v>
      </c>
      <c r="K4706" s="5" t="s">
        <v>31118</v>
      </c>
      <c r="L4706" s="5" t="s">
        <v>31127</v>
      </c>
    </row>
    <row r="4707">
      <c r="A4707" s="4">
        <v>45534.35369471065</v>
      </c>
      <c r="B4707" s="5" t="s">
        <v>34</v>
      </c>
      <c r="D4707" s="5" t="s">
        <v>1558</v>
      </c>
      <c r="E4707" s="5" t="s">
        <v>31130</v>
      </c>
      <c r="F4707" s="5" t="s">
        <v>108</v>
      </c>
      <c r="G4707" s="5" t="s">
        <v>31131</v>
      </c>
      <c r="H4707" s="6" t="s">
        <v>31132</v>
      </c>
      <c r="K4707" s="5" t="s">
        <v>31133</v>
      </c>
    </row>
    <row r="4708">
      <c r="A4708" s="4">
        <v>45534.35369552083</v>
      </c>
      <c r="B4708" s="5" t="s">
        <v>34</v>
      </c>
      <c r="D4708" s="5" t="s">
        <v>1206</v>
      </c>
      <c r="E4708" s="5" t="s">
        <v>31136</v>
      </c>
      <c r="F4708" s="5" t="s">
        <v>212</v>
      </c>
      <c r="G4708" s="5" t="s">
        <v>31137</v>
      </c>
      <c r="H4708" s="6" t="s">
        <v>31138</v>
      </c>
      <c r="K4708" s="5" t="s">
        <v>31133</v>
      </c>
    </row>
    <row r="4709">
      <c r="A4709" s="4">
        <v>45534.35369978009</v>
      </c>
      <c r="B4709" s="5" t="s">
        <v>34</v>
      </c>
      <c r="D4709" s="5" t="s">
        <v>1206</v>
      </c>
      <c r="E4709" s="5" t="s">
        <v>31141</v>
      </c>
      <c r="F4709" s="5" t="s">
        <v>72</v>
      </c>
      <c r="G4709" s="5" t="s">
        <v>31142</v>
      </c>
      <c r="H4709" s="6" t="s">
        <v>31143</v>
      </c>
      <c r="K4709" s="5" t="s">
        <v>31133</v>
      </c>
    </row>
    <row r="4710">
      <c r="A4710" s="4">
        <v>45534.35370248843</v>
      </c>
      <c r="B4710" s="5" t="s">
        <v>34</v>
      </c>
      <c r="D4710" s="5" t="s">
        <v>12978</v>
      </c>
      <c r="E4710" s="5" t="s">
        <v>31147</v>
      </c>
      <c r="F4710" s="5" t="s">
        <v>524</v>
      </c>
      <c r="G4710" s="5" t="s">
        <v>31148</v>
      </c>
      <c r="H4710" s="6" t="s">
        <v>31149</v>
      </c>
      <c r="K4710" s="5" t="s">
        <v>31133</v>
      </c>
    </row>
    <row r="4711">
      <c r="A4711" s="4">
        <v>45534.35371361111</v>
      </c>
      <c r="B4711" s="5" t="s">
        <v>34</v>
      </c>
      <c r="D4711" s="5" t="s">
        <v>267</v>
      </c>
      <c r="E4711" s="5" t="s">
        <v>31152</v>
      </c>
      <c r="F4711" s="5" t="s">
        <v>524</v>
      </c>
      <c r="G4711" s="5" t="s">
        <v>31153</v>
      </c>
      <c r="H4711" s="6" t="s">
        <v>31154</v>
      </c>
      <c r="K4711" s="5" t="s">
        <v>31133</v>
      </c>
    </row>
    <row r="4712">
      <c r="A4712" s="4">
        <v>45534.35371998843</v>
      </c>
      <c r="B4712" s="5" t="s">
        <v>34</v>
      </c>
      <c r="D4712" s="5" t="s">
        <v>1206</v>
      </c>
      <c r="E4712" s="5" t="s">
        <v>31158</v>
      </c>
      <c r="F4712" s="5" t="s">
        <v>37</v>
      </c>
      <c r="G4712" s="5" t="s">
        <v>31159</v>
      </c>
      <c r="H4712" s="6" t="s">
        <v>31160</v>
      </c>
      <c r="K4712" s="5" t="s">
        <v>31133</v>
      </c>
    </row>
    <row r="4713">
      <c r="A4713" s="4">
        <v>45534.353730821764</v>
      </c>
      <c r="B4713" s="5" t="s">
        <v>34</v>
      </c>
      <c r="D4713" s="5" t="s">
        <v>12978</v>
      </c>
      <c r="E4713" s="5" t="s">
        <v>31163</v>
      </c>
      <c r="F4713" s="5" t="s">
        <v>375</v>
      </c>
      <c r="G4713" s="5" t="s">
        <v>31164</v>
      </c>
      <c r="H4713" s="6" t="s">
        <v>31165</v>
      </c>
      <c r="K4713" s="5" t="s">
        <v>31133</v>
      </c>
    </row>
    <row r="4714">
      <c r="A4714" s="4">
        <v>45534.35373283565</v>
      </c>
      <c r="B4714" s="5" t="s">
        <v>34</v>
      </c>
      <c r="D4714" s="5" t="s">
        <v>1206</v>
      </c>
      <c r="E4714" s="5" t="s">
        <v>31168</v>
      </c>
      <c r="F4714" s="5" t="s">
        <v>72</v>
      </c>
      <c r="G4714" s="5" t="s">
        <v>31169</v>
      </c>
      <c r="H4714" s="6" t="s">
        <v>31170</v>
      </c>
      <c r="K4714" s="5" t="s">
        <v>31133</v>
      </c>
    </row>
    <row r="4715">
      <c r="A4715" s="4">
        <v>45534.35373990741</v>
      </c>
      <c r="B4715" s="5" t="s">
        <v>34</v>
      </c>
      <c r="D4715" s="5" t="s">
        <v>362</v>
      </c>
      <c r="E4715" s="5" t="s">
        <v>31173</v>
      </c>
      <c r="F4715" s="5" t="s">
        <v>37</v>
      </c>
      <c r="G4715" s="5" t="s">
        <v>31174</v>
      </c>
      <c r="H4715" s="6" t="s">
        <v>31175</v>
      </c>
      <c r="K4715" s="5" t="s">
        <v>31133</v>
      </c>
    </row>
    <row r="4716">
      <c r="A4716" s="4">
        <v>45534.35375673611</v>
      </c>
      <c r="B4716" s="5" t="s">
        <v>34</v>
      </c>
      <c r="D4716" s="5" t="s">
        <v>12978</v>
      </c>
      <c r="E4716" s="5" t="s">
        <v>31179</v>
      </c>
      <c r="F4716" s="5" t="s">
        <v>212</v>
      </c>
      <c r="G4716" s="5" t="s">
        <v>31180</v>
      </c>
      <c r="H4716" s="6" t="s">
        <v>31181</v>
      </c>
      <c r="K4716" s="5" t="s">
        <v>31133</v>
      </c>
    </row>
    <row r="4717">
      <c r="A4717" s="4">
        <v>45534.353758032405</v>
      </c>
      <c r="B4717" s="5" t="s">
        <v>34</v>
      </c>
      <c r="D4717" s="5" t="s">
        <v>267</v>
      </c>
      <c r="E4717" s="5" t="s">
        <v>31184</v>
      </c>
      <c r="F4717" s="5" t="s">
        <v>212</v>
      </c>
      <c r="G4717" s="5" t="s">
        <v>31185</v>
      </c>
      <c r="H4717" s="6" t="s">
        <v>31186</v>
      </c>
      <c r="K4717" s="5" t="s">
        <v>31133</v>
      </c>
    </row>
    <row r="4718">
      <c r="A4718" s="4">
        <v>45534.3537607176</v>
      </c>
      <c r="B4718" s="5" t="s">
        <v>34</v>
      </c>
      <c r="D4718" s="5" t="s">
        <v>267</v>
      </c>
      <c r="E4718" s="5" t="s">
        <v>31189</v>
      </c>
      <c r="F4718" s="5" t="s">
        <v>72</v>
      </c>
      <c r="G4718" s="5" t="s">
        <v>31190</v>
      </c>
      <c r="H4718" s="6" t="s">
        <v>31191</v>
      </c>
      <c r="K4718" s="5" t="s">
        <v>31133</v>
      </c>
    </row>
    <row r="4719">
      <c r="A4719" s="4">
        <v>45534.35377372685</v>
      </c>
      <c r="B4719" s="5" t="s">
        <v>34</v>
      </c>
      <c r="D4719" s="5" t="s">
        <v>35</v>
      </c>
      <c r="E4719" s="5" t="s">
        <v>31194</v>
      </c>
      <c r="F4719" s="5" t="s">
        <v>37</v>
      </c>
      <c r="G4719" s="5" t="s">
        <v>31195</v>
      </c>
      <c r="H4719" s="6" t="s">
        <v>31196</v>
      </c>
      <c r="K4719" s="5" t="s">
        <v>31133</v>
      </c>
    </row>
    <row r="4720">
      <c r="A4720" s="4">
        <v>45534.353779212965</v>
      </c>
      <c r="B4720" s="5" t="s">
        <v>34</v>
      </c>
      <c r="D4720" s="5" t="s">
        <v>10444</v>
      </c>
      <c r="E4720" s="5" t="s">
        <v>31200</v>
      </c>
      <c r="F4720" s="5" t="s">
        <v>37</v>
      </c>
      <c r="G4720" s="5" t="s">
        <v>31201</v>
      </c>
      <c r="H4720" s="6" t="s">
        <v>31202</v>
      </c>
      <c r="K4720" s="5" t="s">
        <v>31133</v>
      </c>
    </row>
    <row r="4721">
      <c r="A4721" s="4">
        <v>45534.35378148148</v>
      </c>
      <c r="B4721" s="5" t="s">
        <v>34</v>
      </c>
      <c r="D4721" s="5" t="s">
        <v>9394</v>
      </c>
      <c r="E4721" s="5" t="s">
        <v>31205</v>
      </c>
      <c r="F4721" s="5" t="s">
        <v>120</v>
      </c>
      <c r="G4721" s="5" t="s">
        <v>31206</v>
      </c>
      <c r="H4721" s="6" t="s">
        <v>31207</v>
      </c>
      <c r="K4721" s="5" t="s">
        <v>31133</v>
      </c>
    </row>
    <row r="4722">
      <c r="A4722" s="4">
        <v>45534.35378609954</v>
      </c>
      <c r="B4722" s="5" t="s">
        <v>34</v>
      </c>
      <c r="D4722" s="5" t="s">
        <v>9394</v>
      </c>
      <c r="E4722" s="5" t="s">
        <v>31210</v>
      </c>
      <c r="F4722" s="5" t="s">
        <v>212</v>
      </c>
      <c r="G4722" s="5" t="s">
        <v>31211</v>
      </c>
      <c r="H4722" s="6" t="s">
        <v>31212</v>
      </c>
      <c r="K4722" s="5" t="s">
        <v>31133</v>
      </c>
    </row>
    <row r="4723">
      <c r="A4723" s="4">
        <v>45534.35379425926</v>
      </c>
      <c r="B4723" s="5" t="s">
        <v>34</v>
      </c>
      <c r="D4723" s="5" t="s">
        <v>1558</v>
      </c>
      <c r="E4723" s="5" t="s">
        <v>31215</v>
      </c>
      <c r="F4723" s="5" t="s">
        <v>212</v>
      </c>
      <c r="G4723" s="5" t="s">
        <v>31216</v>
      </c>
      <c r="H4723" s="6" t="s">
        <v>31217</v>
      </c>
      <c r="K4723" s="5" t="s">
        <v>31133</v>
      </c>
    </row>
    <row r="4724">
      <c r="A4724" s="4">
        <v>45534.3537947338</v>
      </c>
      <c r="B4724" s="5" t="s">
        <v>34</v>
      </c>
      <c r="D4724" s="5" t="s">
        <v>4775</v>
      </c>
      <c r="E4724" s="5" t="s">
        <v>31220</v>
      </c>
      <c r="F4724" s="5" t="s">
        <v>212</v>
      </c>
      <c r="G4724" s="5" t="s">
        <v>31221</v>
      </c>
      <c r="H4724" s="6" t="s">
        <v>31222</v>
      </c>
      <c r="K4724" s="5" t="s">
        <v>31133</v>
      </c>
    </row>
    <row r="4725">
      <c r="A4725" s="4">
        <v>45534.35380488426</v>
      </c>
      <c r="B4725" s="5" t="s">
        <v>34</v>
      </c>
      <c r="D4725" s="5" t="s">
        <v>9020</v>
      </c>
      <c r="E4725" s="5" t="s">
        <v>31226</v>
      </c>
      <c r="F4725" s="5" t="s">
        <v>212</v>
      </c>
      <c r="G4725" s="5" t="s">
        <v>31227</v>
      </c>
      <c r="H4725" s="6" t="s">
        <v>31228</v>
      </c>
      <c r="K4725" s="5" t="s">
        <v>31133</v>
      </c>
    </row>
    <row r="4726">
      <c r="A4726" s="4">
        <v>45534.353809409724</v>
      </c>
      <c r="B4726" s="5" t="s">
        <v>34</v>
      </c>
      <c r="D4726" s="5" t="s">
        <v>1558</v>
      </c>
      <c r="E4726" s="5" t="s">
        <v>31231</v>
      </c>
      <c r="F4726" s="5" t="s">
        <v>212</v>
      </c>
      <c r="G4726" s="5" t="s">
        <v>31232</v>
      </c>
      <c r="H4726" s="6" t="s">
        <v>31233</v>
      </c>
      <c r="K4726" s="5" t="s">
        <v>31133</v>
      </c>
    </row>
    <row r="4727">
      <c r="A4727" s="4">
        <v>45534.35381021991</v>
      </c>
      <c r="B4727" s="5" t="s">
        <v>34</v>
      </c>
      <c r="D4727" s="5" t="s">
        <v>4775</v>
      </c>
      <c r="E4727" s="5" t="s">
        <v>31236</v>
      </c>
      <c r="F4727" s="5" t="s">
        <v>212</v>
      </c>
      <c r="G4727" s="5" t="s">
        <v>31237</v>
      </c>
      <c r="H4727" s="6" t="s">
        <v>31238</v>
      </c>
      <c r="K4727" s="5" t="s">
        <v>31133</v>
      </c>
    </row>
    <row r="4728">
      <c r="A4728" s="4">
        <v>45534.35381353009</v>
      </c>
      <c r="B4728" s="5" t="s">
        <v>34</v>
      </c>
      <c r="D4728" s="5" t="s">
        <v>522</v>
      </c>
      <c r="E4728" s="5" t="s">
        <v>31241</v>
      </c>
      <c r="F4728" s="5" t="s">
        <v>199</v>
      </c>
      <c r="G4728" s="5" t="s">
        <v>31242</v>
      </c>
      <c r="H4728" s="6" t="s">
        <v>31243</v>
      </c>
      <c r="K4728" s="5" t="s">
        <v>31133</v>
      </c>
    </row>
    <row r="4729">
      <c r="A4729" s="4">
        <v>45534.35382059027</v>
      </c>
      <c r="B4729" s="5" t="s">
        <v>34</v>
      </c>
      <c r="D4729" s="5" t="s">
        <v>267</v>
      </c>
      <c r="E4729" s="5" t="s">
        <v>31247</v>
      </c>
      <c r="F4729" s="5" t="s">
        <v>524</v>
      </c>
      <c r="G4729" s="5" t="s">
        <v>31248</v>
      </c>
      <c r="H4729" s="6" t="s">
        <v>31249</v>
      </c>
      <c r="K4729" s="5" t="s">
        <v>31133</v>
      </c>
    </row>
    <row r="4730">
      <c r="A4730" s="4">
        <v>45534.35382621527</v>
      </c>
      <c r="B4730" s="5" t="s">
        <v>34</v>
      </c>
      <c r="D4730" s="5" t="s">
        <v>701</v>
      </c>
      <c r="E4730" s="5" t="s">
        <v>31252</v>
      </c>
      <c r="F4730" s="5" t="s">
        <v>212</v>
      </c>
      <c r="G4730" s="5" t="s">
        <v>31253</v>
      </c>
      <c r="H4730" s="6" t="s">
        <v>31254</v>
      </c>
      <c r="K4730" s="5" t="s">
        <v>31133</v>
      </c>
    </row>
    <row r="4731">
      <c r="A4731" s="4">
        <v>45534.35384293982</v>
      </c>
      <c r="B4731" s="5" t="s">
        <v>34</v>
      </c>
      <c r="D4731" s="5" t="s">
        <v>4775</v>
      </c>
      <c r="E4731" s="5" t="s">
        <v>31258</v>
      </c>
      <c r="F4731" s="5" t="s">
        <v>524</v>
      </c>
      <c r="G4731" s="5" t="s">
        <v>31259</v>
      </c>
      <c r="H4731" s="6" t="s">
        <v>31260</v>
      </c>
      <c r="I4731" s="7" t="s">
        <v>31261</v>
      </c>
      <c r="J4731" s="8" t="str">
        <f>HYPERLINK("https://drive.google.com/file/d/1a0Udg-GFWrJM71OTNhEBE-mrrQVuf91C/view?usp=drivesdk","NURHAEDA A,S.Psi., M.Psi SERTIFIKAT BerAKHLAK")</f>
        <v>NURHAEDA A,S.Psi., M.Psi SERTIFIKAT BerAKHLAK</v>
      </c>
      <c r="K4731" s="5" t="s">
        <v>29717</v>
      </c>
      <c r="L4731" s="5" t="s">
        <v>31262</v>
      </c>
    </row>
    <row r="4732">
      <c r="A4732" s="4">
        <v>45534.35384930555</v>
      </c>
      <c r="B4732" s="5" t="s">
        <v>34</v>
      </c>
      <c r="D4732" s="5" t="s">
        <v>1206</v>
      </c>
      <c r="E4732" s="5" t="s">
        <v>31265</v>
      </c>
      <c r="F4732" s="5" t="s">
        <v>72</v>
      </c>
      <c r="G4732" s="5" t="s">
        <v>31266</v>
      </c>
      <c r="H4732" s="6" t="s">
        <v>31267</v>
      </c>
      <c r="I4732" s="7" t="s">
        <v>31268</v>
      </c>
      <c r="J4732" s="8" t="str">
        <f>HYPERLINK("https://drive.google.com/file/d/1v3cdQYNDhoArdZylNbHbHOVMLKuYbTz1/view?usp=drivesdk","INDAH DWI SUSANTI SERTIFIKAT BerAKHLAK")</f>
        <v>INDAH DWI SUSANTI SERTIFIKAT BerAKHLAK</v>
      </c>
      <c r="K4732" s="5" t="s">
        <v>31118</v>
      </c>
      <c r="L4732" s="5" t="s">
        <v>31269</v>
      </c>
    </row>
    <row r="4733">
      <c r="A4733" s="4">
        <v>45534.35384943287</v>
      </c>
      <c r="B4733" s="5" t="s">
        <v>34</v>
      </c>
      <c r="D4733" s="5" t="s">
        <v>10297</v>
      </c>
      <c r="E4733" s="5" t="s">
        <v>31272</v>
      </c>
      <c r="F4733" s="5" t="s">
        <v>72</v>
      </c>
      <c r="G4733" s="5" t="s">
        <v>31273</v>
      </c>
      <c r="H4733" s="6" t="s">
        <v>31274</v>
      </c>
      <c r="I4733" s="7" t="s">
        <v>31275</v>
      </c>
      <c r="J4733" s="8" t="str">
        <f>HYPERLINK("https://drive.google.com/file/d/1_D3xu-4am2y_uCDJKUC1WjBb6vIrYKpf/view?usp=drivesdk","SYARIF HAGANDI SERTIFIKAT BerAKHLAK")</f>
        <v>SYARIF HAGANDI SERTIFIKAT BerAKHLAK</v>
      </c>
      <c r="K4733" s="5" t="s">
        <v>31118</v>
      </c>
      <c r="L4733" s="5" t="s">
        <v>31276</v>
      </c>
    </row>
    <row r="4734">
      <c r="A4734" s="4">
        <v>45534.353854479166</v>
      </c>
      <c r="B4734" s="5" t="s">
        <v>34</v>
      </c>
      <c r="D4734" s="5" t="s">
        <v>9394</v>
      </c>
      <c r="E4734" s="5" t="s">
        <v>31279</v>
      </c>
      <c r="F4734" s="5" t="s">
        <v>212</v>
      </c>
      <c r="G4734" s="5" t="s">
        <v>31280</v>
      </c>
      <c r="H4734" s="6" t="s">
        <v>31281</v>
      </c>
      <c r="I4734" s="7" t="s">
        <v>31282</v>
      </c>
      <c r="J4734" s="8" t="str">
        <f>HYPERLINK("https://drive.google.com/file/d/1AsC-m5QS-1c7ANGn92w_9imZVoMzS6Ig/view?usp=drivesdk","LIDYA ELANI SITORUS, Amd.Kep SERTIFIKAT BerAKHLAK")</f>
        <v>LIDYA ELANI SITORUS, Amd.Kep SERTIFIKAT BerAKHLAK</v>
      </c>
      <c r="K4734" s="5" t="s">
        <v>31118</v>
      </c>
      <c r="L4734" s="5" t="s">
        <v>31283</v>
      </c>
    </row>
    <row r="4735">
      <c r="A4735" s="4">
        <v>45534.35386449074</v>
      </c>
      <c r="B4735" s="5" t="s">
        <v>34</v>
      </c>
      <c r="D4735" s="5" t="s">
        <v>6232</v>
      </c>
      <c r="E4735" s="5" t="s">
        <v>31287</v>
      </c>
      <c r="F4735" s="5" t="s">
        <v>37</v>
      </c>
      <c r="G4735" s="5" t="s">
        <v>31288</v>
      </c>
      <c r="H4735" s="6" t="s">
        <v>31289</v>
      </c>
      <c r="I4735" s="7" t="s">
        <v>31290</v>
      </c>
      <c r="J4735" s="8" t="str">
        <f>HYPERLINK("https://drive.google.com/file/d/196bmwBb4WBkozdg8ETx2HyFSvAdPElrU/view?usp=drivesdk","OLVIE DITA CHYNTIA, A.Md.Far SERTIFIKAT BerAKHLAK")</f>
        <v>OLVIE DITA CHYNTIA, A.Md.Far SERTIFIKAT BerAKHLAK</v>
      </c>
      <c r="K4735" s="5" t="s">
        <v>31118</v>
      </c>
      <c r="L4735" s="5" t="s">
        <v>31291</v>
      </c>
    </row>
    <row r="4736">
      <c r="A4736" s="4">
        <v>45534.35387065972</v>
      </c>
      <c r="B4736" s="5" t="s">
        <v>34</v>
      </c>
      <c r="D4736" s="5" t="s">
        <v>1206</v>
      </c>
      <c r="E4736" s="5" t="s">
        <v>31294</v>
      </c>
      <c r="F4736" s="5" t="s">
        <v>37</v>
      </c>
      <c r="G4736" s="5" t="s">
        <v>31295</v>
      </c>
      <c r="H4736" s="6" t="s">
        <v>31296</v>
      </c>
      <c r="I4736" s="7" t="s">
        <v>31297</v>
      </c>
      <c r="J4736" s="8" t="str">
        <f>HYPERLINK("https://drive.google.com/file/d/18QnkFy1fFWnU1sCj6HfVCPERzAQIP7Rx/view?usp=drivesdk","ANGGER RAHMADANI PUTRI, A.Md.Kep SERTIFIKAT BerAKHLAK")</f>
        <v>ANGGER RAHMADANI PUTRI, A.Md.Kep SERTIFIKAT BerAKHLAK</v>
      </c>
      <c r="K4736" s="5" t="s">
        <v>31298</v>
      </c>
      <c r="L4736" s="5" t="s">
        <v>31299</v>
      </c>
    </row>
    <row r="4737">
      <c r="A4737" s="4">
        <v>45534.35388065972</v>
      </c>
      <c r="B4737" s="5" t="s">
        <v>34</v>
      </c>
      <c r="D4737" s="5" t="s">
        <v>1768</v>
      </c>
      <c r="E4737" s="5" t="s">
        <v>31302</v>
      </c>
      <c r="F4737" s="5" t="s">
        <v>108</v>
      </c>
      <c r="G4737" s="5" t="s">
        <v>31303</v>
      </c>
      <c r="H4737" s="6" t="s">
        <v>31304</v>
      </c>
      <c r="I4737" s="7" t="s">
        <v>31305</v>
      </c>
      <c r="J4737" s="8" t="str">
        <f>HYPERLINK("https://drive.google.com/file/d/1cHinNpBepUTNz2YPkYTk3dzI9Of9wDcW/view?usp=drivesdk","NURYNTO ROCHMAN  SERTIFIKAT BerAKHLAK")</f>
        <v>NURYNTO ROCHMAN  SERTIFIKAT BerAKHLAK</v>
      </c>
      <c r="K4737" s="5" t="s">
        <v>31298</v>
      </c>
      <c r="L4737" s="5" t="s">
        <v>31306</v>
      </c>
    </row>
    <row r="4738">
      <c r="A4738" s="4">
        <v>45534.35388391204</v>
      </c>
      <c r="B4738" s="5" t="s">
        <v>34</v>
      </c>
      <c r="D4738" s="5" t="s">
        <v>9394</v>
      </c>
      <c r="E4738" s="5" t="s">
        <v>31309</v>
      </c>
      <c r="F4738" s="5" t="s">
        <v>37</v>
      </c>
      <c r="G4738" s="5" t="s">
        <v>31310</v>
      </c>
      <c r="H4738" s="6" t="s">
        <v>31311</v>
      </c>
      <c r="I4738" s="7" t="s">
        <v>31312</v>
      </c>
      <c r="J4738" s="8" t="str">
        <f>HYPERLINK("https://drive.google.com/file/d/1lyPCu64nh0zV9PidZ0Pb8eJLvpfuqfD0/view?usp=drivesdk","IDDALINA SERTIFIKAT BerAKHLAK")</f>
        <v>IDDALINA SERTIFIKAT BerAKHLAK</v>
      </c>
      <c r="K4738" s="5" t="s">
        <v>31118</v>
      </c>
      <c r="L4738" s="5" t="s">
        <v>31313</v>
      </c>
    </row>
    <row r="4739">
      <c r="A4739" s="4">
        <v>45534.35389543981</v>
      </c>
      <c r="B4739" s="5" t="s">
        <v>34</v>
      </c>
      <c r="D4739" s="5" t="s">
        <v>4775</v>
      </c>
      <c r="E4739" s="5" t="s">
        <v>31317</v>
      </c>
      <c r="F4739" s="5" t="s">
        <v>108</v>
      </c>
      <c r="G4739" s="5" t="s">
        <v>31318</v>
      </c>
      <c r="H4739" s="6" t="s">
        <v>31319</v>
      </c>
      <c r="I4739" s="7" t="s">
        <v>31320</v>
      </c>
      <c r="J4739" s="8" t="str">
        <f>HYPERLINK("https://drive.google.com/file/d/1-oKNVZYiiqgKvNcTzZ8ZS0a_yayPfWx2/view?usp=drivesdk","KHALIMAH SERTIFIKAT BerAKHLAK")</f>
        <v>KHALIMAH SERTIFIKAT BerAKHLAK</v>
      </c>
      <c r="K4739" s="5" t="s">
        <v>31118</v>
      </c>
      <c r="L4739" s="5" t="s">
        <v>31321</v>
      </c>
    </row>
    <row r="4740">
      <c r="A4740" s="4">
        <v>45534.35389918981</v>
      </c>
      <c r="B4740" s="5" t="s">
        <v>34</v>
      </c>
      <c r="D4740" s="5" t="s">
        <v>15401</v>
      </c>
      <c r="E4740" s="5" t="s">
        <v>31324</v>
      </c>
      <c r="F4740" s="5" t="s">
        <v>328</v>
      </c>
      <c r="G4740" s="5" t="s">
        <v>31325</v>
      </c>
      <c r="H4740" s="6" t="s">
        <v>31326</v>
      </c>
      <c r="I4740" s="7" t="s">
        <v>31327</v>
      </c>
      <c r="J4740" s="8" t="str">
        <f>HYPERLINK("https://drive.google.com/file/d/1jYdS1MIguMsH0WZCQVfLad45D-R6FMBg/view?usp=drivesdk","ARIFIN SERTIFIKAT BerAKHLAK")</f>
        <v>ARIFIN SERTIFIKAT BerAKHLAK</v>
      </c>
      <c r="K4740" s="5" t="s">
        <v>31118</v>
      </c>
      <c r="L4740" s="5" t="s">
        <v>31328</v>
      </c>
    </row>
    <row r="4741">
      <c r="A4741" s="4">
        <v>45534.35392872685</v>
      </c>
      <c r="B4741" s="5" t="s">
        <v>34</v>
      </c>
      <c r="D4741" s="5" t="s">
        <v>1206</v>
      </c>
      <c r="E4741" s="5" t="s">
        <v>31331</v>
      </c>
      <c r="F4741" s="5" t="s">
        <v>108</v>
      </c>
      <c r="G4741" s="5" t="s">
        <v>31332</v>
      </c>
      <c r="H4741" s="6" t="s">
        <v>31333</v>
      </c>
      <c r="I4741" s="7" t="s">
        <v>31334</v>
      </c>
      <c r="J4741" s="8" t="str">
        <f>HYPERLINK("https://drive.google.com/file/d/1GplXKx_ksuVhO2xnUM_kNURA7q1hg5wi/view?usp=drivesdk","MAIMA EVA HANIFAH  SERTIFIKAT BerAKHLAK")</f>
        <v>MAIMA EVA HANIFAH  SERTIFIKAT BerAKHLAK</v>
      </c>
      <c r="K4741" s="5" t="s">
        <v>31118</v>
      </c>
      <c r="L4741" s="5" t="s">
        <v>31335</v>
      </c>
    </row>
    <row r="4742">
      <c r="A4742" s="4">
        <v>45534.35393498842</v>
      </c>
      <c r="B4742" s="5" t="s">
        <v>34</v>
      </c>
      <c r="D4742" s="5" t="s">
        <v>975</v>
      </c>
      <c r="E4742" s="5" t="s">
        <v>31338</v>
      </c>
      <c r="F4742" s="5" t="s">
        <v>108</v>
      </c>
      <c r="G4742" s="5" t="s">
        <v>31339</v>
      </c>
      <c r="H4742" s="6" t="s">
        <v>31340</v>
      </c>
      <c r="I4742" s="7" t="s">
        <v>31341</v>
      </c>
      <c r="J4742" s="8" t="str">
        <f>HYPERLINK("https://drive.google.com/file/d/1v_6-5WrPz1h7snee7Q2vRvpA_M5xnsiU/view?usp=drivesdk","KHAERIYAH.A.MD.KEP SERTIFIKAT BerAKHLAK")</f>
        <v>KHAERIYAH.A.MD.KEP SERTIFIKAT BerAKHLAK</v>
      </c>
      <c r="K4742" s="5" t="s">
        <v>31118</v>
      </c>
      <c r="L4742" s="5" t="s">
        <v>31342</v>
      </c>
    </row>
    <row r="4743">
      <c r="A4743" s="4">
        <v>45534.353942581016</v>
      </c>
      <c r="B4743" s="5" t="s">
        <v>34</v>
      </c>
      <c r="D4743" s="5" t="s">
        <v>4775</v>
      </c>
      <c r="E4743" s="5" t="s">
        <v>31345</v>
      </c>
      <c r="F4743" s="5" t="s">
        <v>72</v>
      </c>
      <c r="G4743" s="5" t="s">
        <v>31346</v>
      </c>
      <c r="H4743" s="6" t="s">
        <v>31347</v>
      </c>
      <c r="K4743" s="5" t="s">
        <v>31348</v>
      </c>
    </row>
    <row r="4744">
      <c r="A4744" s="4">
        <v>45534.35394508102</v>
      </c>
      <c r="B4744" s="5" t="s">
        <v>34</v>
      </c>
      <c r="D4744" s="5" t="s">
        <v>4775</v>
      </c>
      <c r="E4744" s="5" t="s">
        <v>31352</v>
      </c>
      <c r="F4744" s="5" t="s">
        <v>37</v>
      </c>
      <c r="G4744" s="5" t="s">
        <v>31353</v>
      </c>
      <c r="H4744" s="6" t="s">
        <v>31354</v>
      </c>
      <c r="K4744" s="5" t="s">
        <v>31348</v>
      </c>
    </row>
    <row r="4745">
      <c r="A4745" s="4">
        <v>45534.353952731486</v>
      </c>
      <c r="B4745" s="5" t="s">
        <v>34</v>
      </c>
      <c r="D4745" s="5" t="s">
        <v>3849</v>
      </c>
      <c r="E4745" s="5" t="s">
        <v>31357</v>
      </c>
      <c r="F4745" s="5" t="s">
        <v>37</v>
      </c>
      <c r="G4745" s="5" t="s">
        <v>31358</v>
      </c>
      <c r="H4745" s="6" t="s">
        <v>31359</v>
      </c>
      <c r="K4745" s="5" t="s">
        <v>31348</v>
      </c>
    </row>
    <row r="4746">
      <c r="A4746" s="4">
        <v>45534.35396162037</v>
      </c>
      <c r="B4746" s="5" t="s">
        <v>34</v>
      </c>
      <c r="D4746" s="5" t="s">
        <v>1206</v>
      </c>
      <c r="E4746" s="5" t="s">
        <v>31362</v>
      </c>
      <c r="F4746" s="5" t="s">
        <v>212</v>
      </c>
      <c r="G4746" s="5" t="s">
        <v>31363</v>
      </c>
      <c r="H4746" s="6" t="s">
        <v>31364</v>
      </c>
      <c r="K4746" s="5" t="s">
        <v>31348</v>
      </c>
    </row>
    <row r="4747">
      <c r="A4747" s="4">
        <v>45534.35396820602</v>
      </c>
      <c r="B4747" s="5" t="s">
        <v>34</v>
      </c>
      <c r="D4747" s="5" t="s">
        <v>9020</v>
      </c>
      <c r="E4747" s="5" t="s">
        <v>31367</v>
      </c>
      <c r="F4747" s="5" t="s">
        <v>524</v>
      </c>
      <c r="G4747" s="5" t="s">
        <v>31368</v>
      </c>
      <c r="H4747" s="6" t="s">
        <v>31369</v>
      </c>
      <c r="K4747" s="5" t="s">
        <v>31348</v>
      </c>
    </row>
    <row r="4748">
      <c r="A4748" s="4">
        <v>45534.35399582176</v>
      </c>
      <c r="B4748" s="5" t="s">
        <v>34</v>
      </c>
      <c r="D4748" s="5" t="s">
        <v>14313</v>
      </c>
      <c r="E4748" s="5" t="s">
        <v>31373</v>
      </c>
      <c r="F4748" s="5" t="s">
        <v>715</v>
      </c>
      <c r="G4748" s="5" t="s">
        <v>31374</v>
      </c>
      <c r="H4748" s="6" t="s">
        <v>31375</v>
      </c>
      <c r="I4748" s="7" t="s">
        <v>31376</v>
      </c>
      <c r="J4748" s="8" t="str">
        <f>HYPERLINK("https://drive.google.com/file/d/1rtgos_gCRYbNVT5JAS2ZVQJC_k1LcJEa/view?usp=drivesdk","NURWAHIDAH, SE SERTIFIKAT BerAKHLAK")</f>
        <v>NURWAHIDAH, SE SERTIFIKAT BerAKHLAK</v>
      </c>
      <c r="K4748" s="5" t="s">
        <v>31118</v>
      </c>
      <c r="L4748" s="5" t="s">
        <v>31377</v>
      </c>
    </row>
    <row r="4749">
      <c r="A4749" s="4">
        <v>45534.35399752315</v>
      </c>
      <c r="B4749" s="5" t="s">
        <v>34</v>
      </c>
      <c r="D4749" s="5" t="s">
        <v>522</v>
      </c>
      <c r="E4749" s="5" t="s">
        <v>31380</v>
      </c>
      <c r="F4749" s="5" t="s">
        <v>328</v>
      </c>
      <c r="G4749" s="5" t="s">
        <v>31381</v>
      </c>
      <c r="H4749" s="6" t="s">
        <v>31382</v>
      </c>
      <c r="I4749" s="7" t="s">
        <v>31383</v>
      </c>
      <c r="J4749" s="8" t="str">
        <f>HYPERLINK("https://drive.google.com/file/d/1LreIgJx1pG1M454ahl40h_MdAV92h1BS/view?usp=drivesdk","M ARIPIN SERTIFIKAT BerAKHLAK")</f>
        <v>M ARIPIN SERTIFIKAT BerAKHLAK</v>
      </c>
      <c r="K4749" s="5" t="s">
        <v>31118</v>
      </c>
      <c r="L4749" s="5" t="s">
        <v>31384</v>
      </c>
    </row>
    <row r="4750">
      <c r="A4750" s="4">
        <v>45534.35400412037</v>
      </c>
      <c r="B4750" s="5" t="s">
        <v>34</v>
      </c>
      <c r="D4750" s="5" t="s">
        <v>4775</v>
      </c>
      <c r="E4750" s="5" t="s">
        <v>31387</v>
      </c>
      <c r="F4750" s="5" t="s">
        <v>212</v>
      </c>
      <c r="G4750" s="5" t="s">
        <v>31388</v>
      </c>
      <c r="H4750" s="6" t="s">
        <v>31389</v>
      </c>
      <c r="I4750" s="7" t="s">
        <v>31390</v>
      </c>
      <c r="J4750" s="8" t="str">
        <f>HYPERLINK("https://drive.google.com/file/d/1fu34gRWaCaVEN9wC2RNulsAJkBHvi_qr/view?usp=drivesdk","HARTUTI SERTIFIKAT BerAKHLAK")</f>
        <v>HARTUTI SERTIFIKAT BerAKHLAK</v>
      </c>
      <c r="K4750" s="5" t="s">
        <v>31118</v>
      </c>
      <c r="L4750" s="5" t="s">
        <v>31391</v>
      </c>
    </row>
    <row r="4751">
      <c r="A4751" s="4">
        <v>45534.35400464121</v>
      </c>
      <c r="B4751" s="5" t="s">
        <v>34</v>
      </c>
      <c r="D4751" s="5" t="s">
        <v>4775</v>
      </c>
      <c r="E4751" s="5" t="s">
        <v>31394</v>
      </c>
      <c r="F4751" s="5" t="s">
        <v>199</v>
      </c>
      <c r="G4751" s="5" t="s">
        <v>31395</v>
      </c>
      <c r="H4751" s="6" t="s">
        <v>31396</v>
      </c>
      <c r="K4751" s="5" t="s">
        <v>31397</v>
      </c>
    </row>
    <row r="4752">
      <c r="A4752" s="4">
        <v>45534.3540087963</v>
      </c>
      <c r="B4752" s="5" t="s">
        <v>34</v>
      </c>
      <c r="D4752" s="5" t="s">
        <v>975</v>
      </c>
      <c r="E4752" s="5" t="s">
        <v>31401</v>
      </c>
      <c r="F4752" s="5" t="s">
        <v>108</v>
      </c>
      <c r="G4752" s="5" t="s">
        <v>31402</v>
      </c>
      <c r="H4752" s="6" t="s">
        <v>31403</v>
      </c>
      <c r="K4752" s="5" t="s">
        <v>31397</v>
      </c>
    </row>
    <row r="4753">
      <c r="A4753" s="4">
        <v>45534.354011180556</v>
      </c>
      <c r="B4753" s="5" t="s">
        <v>34</v>
      </c>
      <c r="D4753" s="5" t="s">
        <v>14424</v>
      </c>
      <c r="E4753" s="5" t="s">
        <v>31406</v>
      </c>
      <c r="F4753" s="5" t="s">
        <v>120</v>
      </c>
      <c r="G4753" s="5" t="s">
        <v>31407</v>
      </c>
      <c r="H4753" s="6" t="s">
        <v>31408</v>
      </c>
      <c r="K4753" s="5" t="s">
        <v>31397</v>
      </c>
    </row>
    <row r="4754">
      <c r="A4754" s="4">
        <v>45534.35401252315</v>
      </c>
      <c r="B4754" s="5" t="s">
        <v>34</v>
      </c>
      <c r="D4754" s="5" t="s">
        <v>1206</v>
      </c>
      <c r="E4754" s="5" t="s">
        <v>31411</v>
      </c>
      <c r="F4754" s="5" t="s">
        <v>37</v>
      </c>
      <c r="G4754" s="5" t="s">
        <v>31412</v>
      </c>
      <c r="H4754" s="6" t="s">
        <v>31413</v>
      </c>
      <c r="K4754" s="5" t="s">
        <v>31397</v>
      </c>
    </row>
    <row r="4755">
      <c r="A4755" s="4">
        <v>45534.35401550926</v>
      </c>
      <c r="B4755" s="5" t="s">
        <v>34</v>
      </c>
      <c r="D4755" s="5" t="s">
        <v>35</v>
      </c>
      <c r="E4755" s="5" t="s">
        <v>31416</v>
      </c>
      <c r="F4755" s="5" t="s">
        <v>328</v>
      </c>
      <c r="G4755" s="5" t="s">
        <v>31417</v>
      </c>
      <c r="H4755" s="6" t="s">
        <v>31418</v>
      </c>
      <c r="K4755" s="5" t="s">
        <v>31397</v>
      </c>
    </row>
    <row r="4756">
      <c r="A4756" s="4">
        <v>45534.35402881945</v>
      </c>
      <c r="B4756" s="5" t="s">
        <v>34</v>
      </c>
      <c r="D4756" s="5" t="s">
        <v>10444</v>
      </c>
      <c r="E4756" s="5" t="s">
        <v>31421</v>
      </c>
      <c r="F4756" s="5" t="s">
        <v>37</v>
      </c>
      <c r="G4756" s="5" t="s">
        <v>31422</v>
      </c>
      <c r="H4756" s="6" t="s">
        <v>31423</v>
      </c>
      <c r="I4756" s="7" t="s">
        <v>31424</v>
      </c>
      <c r="J4756" s="8" t="str">
        <f>HYPERLINK("https://drive.google.com/file/d/1aWDp-pFeJTvWX5lAPDg6ZcK43jg1fRka/view?usp=drivesdk","INES FRAMITA, A.MD.KEB SERTIFIKAT BerAKHLAK")</f>
        <v>INES FRAMITA, A.MD.KEB SERTIFIKAT BerAKHLAK</v>
      </c>
      <c r="K4756" s="5" t="s">
        <v>31118</v>
      </c>
      <c r="L4756" s="5" t="s">
        <v>31425</v>
      </c>
    </row>
    <row r="4757">
      <c r="A4757" s="4">
        <v>45534.354041412036</v>
      </c>
      <c r="B4757" s="5" t="s">
        <v>34</v>
      </c>
      <c r="D4757" s="5" t="s">
        <v>604</v>
      </c>
      <c r="E4757" s="5" t="s">
        <v>31429</v>
      </c>
      <c r="F4757" s="5" t="s">
        <v>37</v>
      </c>
      <c r="G4757" s="5" t="s">
        <v>31430</v>
      </c>
      <c r="H4757" s="6" t="s">
        <v>31431</v>
      </c>
      <c r="I4757" s="7" t="s">
        <v>31432</v>
      </c>
      <c r="J4757" s="8" t="str">
        <f>HYPERLINK("https://drive.google.com/file/d/1gKJAjystUAxwx_1FulV1vgp5UxEOR2XV/view?usp=drivesdk","Fredrik Meki Ansanay  SERTIFIKAT BerAKHLAK")</f>
        <v>Fredrik Meki Ansanay  SERTIFIKAT BerAKHLAK</v>
      </c>
      <c r="K4757" s="5" t="s">
        <v>31118</v>
      </c>
      <c r="L4757" s="5" t="s">
        <v>31433</v>
      </c>
    </row>
    <row r="4758">
      <c r="A4758" s="4">
        <v>45534.354052662035</v>
      </c>
      <c r="B4758" s="5" t="s">
        <v>34</v>
      </c>
      <c r="D4758" s="5" t="s">
        <v>4775</v>
      </c>
      <c r="E4758" s="5" t="s">
        <v>31436</v>
      </c>
      <c r="F4758" s="5" t="s">
        <v>212</v>
      </c>
      <c r="G4758" s="5" t="s">
        <v>31437</v>
      </c>
      <c r="H4758" s="6" t="s">
        <v>31438</v>
      </c>
      <c r="I4758" s="7" t="s">
        <v>31439</v>
      </c>
      <c r="J4758" s="8" t="str">
        <f>HYPERLINK("https://drive.google.com/file/d/1K3XW3Rk4AnSVbtDGHHzXV1GK5zVn2Cfp/view?usp=drivesdk","NGESTI SRI HARTATI SERTIFIKAT BerAKHLAK")</f>
        <v>NGESTI SRI HARTATI SERTIFIKAT BerAKHLAK</v>
      </c>
      <c r="K4758" s="5" t="s">
        <v>31118</v>
      </c>
      <c r="L4758" s="5" t="s">
        <v>31440</v>
      </c>
    </row>
    <row r="4759">
      <c r="A4759" s="4">
        <v>45534.35407315972</v>
      </c>
      <c r="B4759" s="5" t="s">
        <v>34</v>
      </c>
      <c r="D4759" s="5" t="s">
        <v>9020</v>
      </c>
      <c r="E4759" s="5" t="s">
        <v>31443</v>
      </c>
      <c r="F4759" s="5" t="s">
        <v>212</v>
      </c>
      <c r="G4759" s="5" t="s">
        <v>31444</v>
      </c>
      <c r="H4759" s="6" t="s">
        <v>31445</v>
      </c>
      <c r="K4759" s="5" t="s">
        <v>31446</v>
      </c>
    </row>
    <row r="4760">
      <c r="A4760" s="4">
        <v>45534.35407774306</v>
      </c>
      <c r="B4760" s="5" t="s">
        <v>34</v>
      </c>
      <c r="D4760" s="5" t="s">
        <v>4775</v>
      </c>
      <c r="E4760" s="5" t="s">
        <v>31449</v>
      </c>
      <c r="F4760" s="5" t="s">
        <v>37</v>
      </c>
      <c r="G4760" s="5" t="s">
        <v>31450</v>
      </c>
      <c r="H4760" s="6" t="s">
        <v>31451</v>
      </c>
      <c r="K4760" s="5" t="s">
        <v>31446</v>
      </c>
    </row>
    <row r="4761">
      <c r="A4761" s="4">
        <v>45534.3540900463</v>
      </c>
      <c r="B4761" s="5" t="s">
        <v>34</v>
      </c>
      <c r="D4761" s="5" t="s">
        <v>4775</v>
      </c>
      <c r="E4761" s="5" t="s">
        <v>31454</v>
      </c>
      <c r="F4761" s="5" t="s">
        <v>212</v>
      </c>
      <c r="G4761" s="5" t="s">
        <v>31455</v>
      </c>
      <c r="H4761" s="6" t="s">
        <v>31456</v>
      </c>
      <c r="K4761" s="5" t="s">
        <v>31446</v>
      </c>
    </row>
    <row r="4762">
      <c r="A4762" s="4">
        <v>45534.35409460648</v>
      </c>
      <c r="B4762" s="5" t="s">
        <v>34</v>
      </c>
      <c r="D4762" s="5" t="s">
        <v>9020</v>
      </c>
      <c r="E4762" s="5" t="s">
        <v>31460</v>
      </c>
      <c r="F4762" s="5" t="s">
        <v>212</v>
      </c>
      <c r="G4762" s="5" t="s">
        <v>31461</v>
      </c>
      <c r="H4762" s="6" t="s">
        <v>31462</v>
      </c>
      <c r="I4762" s="7" t="s">
        <v>31463</v>
      </c>
      <c r="J4762" s="8" t="str">
        <f>HYPERLINK("https://drive.google.com/file/d/1QPUsHaUm6IzlO5bLuQUPReqVg2eV_1kB/view?usp=drivesdk","RUSLII SERTIFIKAT BerAKHLAK")</f>
        <v>RUSLII SERTIFIKAT BerAKHLAK</v>
      </c>
      <c r="K4762" s="5" t="s">
        <v>31118</v>
      </c>
      <c r="L4762" s="5" t="s">
        <v>31464</v>
      </c>
    </row>
    <row r="4763">
      <c r="A4763" s="4">
        <v>45534.35410778935</v>
      </c>
      <c r="B4763" s="5" t="s">
        <v>34</v>
      </c>
      <c r="D4763" s="5" t="s">
        <v>4775</v>
      </c>
      <c r="E4763" s="5" t="s">
        <v>31467</v>
      </c>
      <c r="F4763" s="5" t="s">
        <v>524</v>
      </c>
      <c r="G4763" s="5" t="s">
        <v>31468</v>
      </c>
      <c r="H4763" s="6" t="s">
        <v>31469</v>
      </c>
      <c r="I4763" s="7" t="s">
        <v>31470</v>
      </c>
      <c r="J4763" s="8" t="str">
        <f>HYPERLINK("https://drive.google.com/file/d/1rV7WL7iYa7Mjxfn1e-kR6g9fcpHG6Ny9/view?usp=drivesdk","DIDIK SEPTIYONO, S.E. SERTIFIKAT BerAKHLAK")</f>
        <v>DIDIK SEPTIYONO, S.E. SERTIFIKAT BerAKHLAK</v>
      </c>
      <c r="K4763" s="5" t="s">
        <v>31118</v>
      </c>
      <c r="L4763" s="5" t="s">
        <v>31471</v>
      </c>
    </row>
    <row r="4764">
      <c r="A4764" s="4">
        <v>45534.35410978009</v>
      </c>
      <c r="B4764" s="5" t="s">
        <v>34</v>
      </c>
      <c r="D4764" s="5" t="s">
        <v>35</v>
      </c>
      <c r="E4764" s="5" t="s">
        <v>31474</v>
      </c>
      <c r="F4764" s="5" t="s">
        <v>199</v>
      </c>
      <c r="G4764" s="5" t="s">
        <v>31475</v>
      </c>
      <c r="H4764" s="6" t="s">
        <v>31476</v>
      </c>
      <c r="I4764" s="7" t="s">
        <v>31477</v>
      </c>
      <c r="J4764" s="8" t="str">
        <f>HYPERLINK("https://drive.google.com/file/d/1REfpt1ks78ax55-kEM6bbZZCnwKlMWhh/view?usp=drivesdk","SOPYAN SERTIFIKAT BerAKHLAK")</f>
        <v>SOPYAN SERTIFIKAT BerAKHLAK</v>
      </c>
      <c r="K4764" s="5" t="s">
        <v>31118</v>
      </c>
      <c r="L4764" s="5" t="s">
        <v>31478</v>
      </c>
    </row>
    <row r="4765">
      <c r="A4765" s="4">
        <v>45534.354135625</v>
      </c>
      <c r="B4765" s="5" t="s">
        <v>34</v>
      </c>
      <c r="D4765" s="5" t="s">
        <v>10444</v>
      </c>
      <c r="E4765" s="5" t="s">
        <v>31481</v>
      </c>
      <c r="F4765" s="5" t="s">
        <v>715</v>
      </c>
      <c r="G4765" s="5" t="s">
        <v>31482</v>
      </c>
      <c r="H4765" s="6" t="s">
        <v>31483</v>
      </c>
      <c r="I4765" s="7" t="s">
        <v>31484</v>
      </c>
      <c r="J4765" s="8" t="str">
        <f>HYPERLINK("https://drive.google.com/file/d/1Lqz-LkKQflnLBK16nr04qjJOYpNErrzU/view?usp=drivesdk","DESSY TRI WAHYUNI, A.Md SERTIFIKAT BerAKHLAK")</f>
        <v>DESSY TRI WAHYUNI, A.Md SERTIFIKAT BerAKHLAK</v>
      </c>
      <c r="K4765" s="5" t="s">
        <v>31118</v>
      </c>
      <c r="L4765" s="5" t="s">
        <v>31485</v>
      </c>
    </row>
    <row r="4766">
      <c r="A4766" s="4">
        <v>45534.35414314815</v>
      </c>
      <c r="B4766" s="5" t="s">
        <v>19</v>
      </c>
      <c r="C4766" s="5" t="s">
        <v>14000</v>
      </c>
      <c r="E4766" s="5" t="s">
        <v>31488</v>
      </c>
      <c r="F4766" s="5" t="s">
        <v>108</v>
      </c>
      <c r="G4766" s="5" t="s">
        <v>31489</v>
      </c>
      <c r="H4766" s="6" t="s">
        <v>31490</v>
      </c>
      <c r="I4766" s="7" t="s">
        <v>31491</v>
      </c>
      <c r="J4766" s="8" t="str">
        <f>HYPERLINK("https://drive.google.com/file/d/1VIpsXiGMNXxNPc47S32XbRV7rQX7vp4T/view?usp=drivesdk","WIDI KUMORO, A.Md. SERTIFIKAT BerAKHLAK")</f>
        <v>WIDI KUMORO, A.Md. SERTIFIKAT BerAKHLAK</v>
      </c>
      <c r="K4766" s="5" t="s">
        <v>31118</v>
      </c>
      <c r="L4766" s="5" t="s">
        <v>31492</v>
      </c>
    </row>
    <row r="4767">
      <c r="A4767" s="4">
        <v>45534.354149189814</v>
      </c>
      <c r="B4767" s="5" t="s">
        <v>34</v>
      </c>
      <c r="D4767" s="5" t="s">
        <v>9020</v>
      </c>
      <c r="E4767" s="5" t="s">
        <v>31496</v>
      </c>
      <c r="F4767" s="5" t="s">
        <v>212</v>
      </c>
      <c r="G4767" s="5" t="s">
        <v>31497</v>
      </c>
      <c r="H4767" s="6" t="s">
        <v>31498</v>
      </c>
      <c r="K4767" s="5" t="s">
        <v>31499</v>
      </c>
    </row>
    <row r="4768">
      <c r="A4768" s="4">
        <v>45534.3541533449</v>
      </c>
      <c r="B4768" s="5" t="s">
        <v>34</v>
      </c>
      <c r="D4768" s="5" t="s">
        <v>4775</v>
      </c>
      <c r="E4768" s="5" t="s">
        <v>31502</v>
      </c>
      <c r="F4768" s="5" t="s">
        <v>375</v>
      </c>
      <c r="G4768" s="5" t="s">
        <v>31503</v>
      </c>
      <c r="H4768" s="6" t="s">
        <v>31504</v>
      </c>
      <c r="K4768" s="5" t="s">
        <v>31499</v>
      </c>
    </row>
    <row r="4769">
      <c r="A4769" s="4">
        <v>45534.354153692126</v>
      </c>
      <c r="B4769" s="5" t="s">
        <v>19</v>
      </c>
      <c r="C4769" s="5" t="s">
        <v>442</v>
      </c>
      <c r="E4769" s="5" t="s">
        <v>31507</v>
      </c>
      <c r="F4769" s="5" t="s">
        <v>120</v>
      </c>
      <c r="G4769" s="5" t="s">
        <v>31508</v>
      </c>
      <c r="H4769" s="6" t="s">
        <v>31509</v>
      </c>
      <c r="K4769" s="5" t="s">
        <v>31499</v>
      </c>
    </row>
    <row r="4770">
      <c r="A4770" s="4">
        <v>45534.354161932875</v>
      </c>
      <c r="B4770" s="5" t="s">
        <v>34</v>
      </c>
      <c r="D4770" s="5" t="s">
        <v>9020</v>
      </c>
      <c r="E4770" s="5" t="s">
        <v>31512</v>
      </c>
      <c r="F4770" s="5" t="s">
        <v>212</v>
      </c>
      <c r="G4770" s="5" t="s">
        <v>31513</v>
      </c>
      <c r="H4770" s="6" t="s">
        <v>31514</v>
      </c>
      <c r="K4770" s="5" t="s">
        <v>31499</v>
      </c>
    </row>
    <row r="4771">
      <c r="A4771" s="4">
        <v>45534.354171747684</v>
      </c>
      <c r="B4771" s="5" t="s">
        <v>34</v>
      </c>
      <c r="D4771" s="5" t="s">
        <v>1206</v>
      </c>
      <c r="E4771" s="5" t="s">
        <v>31518</v>
      </c>
      <c r="F4771" s="5" t="s">
        <v>212</v>
      </c>
      <c r="G4771" s="5" t="s">
        <v>31519</v>
      </c>
      <c r="H4771" s="6" t="s">
        <v>31520</v>
      </c>
      <c r="K4771" s="5" t="s">
        <v>31499</v>
      </c>
    </row>
    <row r="4772">
      <c r="A4772" s="4">
        <v>45534.35418206018</v>
      </c>
      <c r="B4772" s="5" t="s">
        <v>34</v>
      </c>
      <c r="D4772" s="5" t="s">
        <v>9020</v>
      </c>
      <c r="E4772" s="5" t="s">
        <v>31523</v>
      </c>
      <c r="F4772" s="5" t="s">
        <v>37</v>
      </c>
      <c r="G4772" s="5" t="s">
        <v>31524</v>
      </c>
      <c r="H4772" s="6" t="s">
        <v>31525</v>
      </c>
      <c r="K4772" s="5" t="s">
        <v>31499</v>
      </c>
    </row>
    <row r="4773">
      <c r="A4773" s="4">
        <v>45534.35419241898</v>
      </c>
      <c r="B4773" s="5" t="s">
        <v>34</v>
      </c>
      <c r="D4773" s="5" t="s">
        <v>4775</v>
      </c>
      <c r="E4773" s="5" t="s">
        <v>31528</v>
      </c>
      <c r="F4773" s="5" t="s">
        <v>375</v>
      </c>
      <c r="G4773" s="5" t="s">
        <v>31529</v>
      </c>
      <c r="H4773" s="6" t="s">
        <v>31530</v>
      </c>
      <c r="K4773" s="5" t="s">
        <v>31499</v>
      </c>
    </row>
    <row r="4774">
      <c r="A4774" s="4">
        <v>45534.35419916667</v>
      </c>
      <c r="B4774" s="5" t="s">
        <v>34</v>
      </c>
      <c r="D4774" s="5" t="s">
        <v>1206</v>
      </c>
      <c r="E4774" s="5" t="s">
        <v>31534</v>
      </c>
      <c r="F4774" s="5" t="s">
        <v>524</v>
      </c>
      <c r="G4774" s="5" t="s">
        <v>31535</v>
      </c>
      <c r="H4774" s="6" t="s">
        <v>31536</v>
      </c>
      <c r="K4774" s="5" t="s">
        <v>31499</v>
      </c>
    </row>
    <row r="4775">
      <c r="A4775" s="4">
        <v>45534.35421665509</v>
      </c>
      <c r="B4775" s="5" t="s">
        <v>34</v>
      </c>
      <c r="D4775" s="5" t="s">
        <v>1558</v>
      </c>
      <c r="E4775" s="5" t="s">
        <v>31539</v>
      </c>
      <c r="F4775" s="5" t="s">
        <v>108</v>
      </c>
      <c r="G4775" s="5" t="s">
        <v>31540</v>
      </c>
      <c r="H4775" s="6" t="s">
        <v>31541</v>
      </c>
      <c r="I4775" s="7" t="s">
        <v>31542</v>
      </c>
      <c r="J4775" s="8" t="str">
        <f>HYPERLINK("https://drive.google.com/file/d/1khaOLjqbe5iOlkEFKn7H7-MNC4KNutTM/view?usp=drivesdk","RADEN RORO FRANSISCA NANIK PRASETYAWATI,SE SERTIFIKAT BerAKHLAK")</f>
        <v>RADEN RORO FRANSISCA NANIK PRASETYAWATI,SE SERTIFIKAT BerAKHLAK</v>
      </c>
      <c r="K4775" s="5" t="s">
        <v>31118</v>
      </c>
      <c r="L4775" s="5" t="s">
        <v>31543</v>
      </c>
    </row>
    <row r="4776">
      <c r="A4776" s="4">
        <v>45534.35422775463</v>
      </c>
      <c r="B4776" s="5" t="s">
        <v>34</v>
      </c>
      <c r="D4776" s="5" t="s">
        <v>4775</v>
      </c>
      <c r="E4776" s="5" t="s">
        <v>31546</v>
      </c>
      <c r="F4776" s="5" t="s">
        <v>108</v>
      </c>
      <c r="G4776" s="5" t="s">
        <v>31547</v>
      </c>
      <c r="H4776" s="6" t="s">
        <v>31548</v>
      </c>
      <c r="I4776" s="7" t="s">
        <v>31549</v>
      </c>
      <c r="J4776" s="8" t="str">
        <f>HYPERLINK("https://drive.google.com/file/d/1twtxEMjbeyG7Hbya7Xj4f4GhE-aM-7As/view?usp=drivesdk","PRAPTI HANDAYANI, A.Md,PK SERTIFIKAT BerAKHLAK")</f>
        <v>PRAPTI HANDAYANI, A.Md,PK SERTIFIKAT BerAKHLAK</v>
      </c>
      <c r="K4776" s="5" t="s">
        <v>31118</v>
      </c>
      <c r="L4776" s="5" t="s">
        <v>31550</v>
      </c>
    </row>
    <row r="4777">
      <c r="A4777" s="4">
        <v>45534.35423296296</v>
      </c>
      <c r="B4777" s="5" t="s">
        <v>34</v>
      </c>
      <c r="D4777" s="5" t="s">
        <v>1206</v>
      </c>
      <c r="E4777" s="5" t="s">
        <v>31553</v>
      </c>
      <c r="F4777" s="5" t="s">
        <v>212</v>
      </c>
      <c r="G4777" s="5" t="s">
        <v>31554</v>
      </c>
      <c r="H4777" s="6" t="s">
        <v>31555</v>
      </c>
      <c r="I4777" s="7" t="s">
        <v>31556</v>
      </c>
      <c r="J4777" s="8" t="str">
        <f>HYPERLINK("https://drive.google.com/file/d/1EX5XFyUmHYqcRaN54XrV33IvJ6Rtbu64/view?usp=drivesdk","INDRI NINGTYAS UTAMI SERTIFIKAT BerAKHLAK")</f>
        <v>INDRI NINGTYAS UTAMI SERTIFIKAT BerAKHLAK</v>
      </c>
      <c r="K4777" s="5" t="s">
        <v>31118</v>
      </c>
      <c r="L4777" s="5" t="s">
        <v>31557</v>
      </c>
    </row>
    <row r="4778">
      <c r="A4778" s="4">
        <v>45534.35424497685</v>
      </c>
      <c r="B4778" s="5" t="s">
        <v>34</v>
      </c>
      <c r="D4778" s="5" t="s">
        <v>1206</v>
      </c>
      <c r="E4778" s="5" t="s">
        <v>31560</v>
      </c>
      <c r="F4778" s="5" t="s">
        <v>212</v>
      </c>
      <c r="G4778" s="5" t="s">
        <v>31561</v>
      </c>
      <c r="H4778" s="6" t="s">
        <v>31562</v>
      </c>
      <c r="K4778" s="5" t="s">
        <v>31563</v>
      </c>
    </row>
    <row r="4779">
      <c r="A4779" s="4">
        <v>45534.35426846065</v>
      </c>
      <c r="B4779" s="5" t="s">
        <v>34</v>
      </c>
      <c r="D4779" s="5" t="s">
        <v>1206</v>
      </c>
      <c r="E4779" s="5" t="s">
        <v>31567</v>
      </c>
      <c r="F4779" s="5" t="s">
        <v>199</v>
      </c>
      <c r="G4779" s="5" t="s">
        <v>31568</v>
      </c>
      <c r="H4779" s="6" t="s">
        <v>31569</v>
      </c>
      <c r="K4779" s="5" t="s">
        <v>31570</v>
      </c>
    </row>
    <row r="4780">
      <c r="A4780" s="4">
        <v>45534.354270104166</v>
      </c>
      <c r="B4780" s="5" t="s">
        <v>34</v>
      </c>
      <c r="D4780" s="5" t="s">
        <v>996</v>
      </c>
      <c r="E4780" s="5" t="s">
        <v>31573</v>
      </c>
      <c r="F4780" s="5" t="s">
        <v>37</v>
      </c>
      <c r="G4780" s="5" t="s">
        <v>31574</v>
      </c>
      <c r="H4780" s="6" t="s">
        <v>31575</v>
      </c>
      <c r="K4780" s="5" t="s">
        <v>31570</v>
      </c>
    </row>
    <row r="4781">
      <c r="A4781" s="4">
        <v>45534.35427763889</v>
      </c>
      <c r="B4781" s="5" t="s">
        <v>34</v>
      </c>
      <c r="D4781" s="5" t="s">
        <v>1206</v>
      </c>
      <c r="E4781" s="5" t="s">
        <v>31578</v>
      </c>
      <c r="F4781" s="5" t="s">
        <v>212</v>
      </c>
      <c r="G4781" s="5" t="s">
        <v>31579</v>
      </c>
      <c r="H4781" s="6" t="s">
        <v>31580</v>
      </c>
      <c r="K4781" s="5" t="s">
        <v>31570</v>
      </c>
    </row>
    <row r="4782">
      <c r="A4782" s="4">
        <v>45534.35427790509</v>
      </c>
      <c r="B4782" s="5" t="s">
        <v>19</v>
      </c>
      <c r="C4782" s="5" t="s">
        <v>30588</v>
      </c>
      <c r="E4782" s="5" t="s">
        <v>31583</v>
      </c>
      <c r="F4782" s="5" t="s">
        <v>108</v>
      </c>
      <c r="G4782" s="5" t="s">
        <v>31584</v>
      </c>
      <c r="H4782" s="6" t="s">
        <v>31585</v>
      </c>
      <c r="K4782" s="5" t="s">
        <v>31570</v>
      </c>
    </row>
    <row r="4783">
      <c r="A4783" s="4">
        <v>45534.354282581015</v>
      </c>
      <c r="B4783" s="5" t="s">
        <v>34</v>
      </c>
      <c r="D4783" s="5" t="s">
        <v>1206</v>
      </c>
      <c r="E4783" s="5" t="s">
        <v>31589</v>
      </c>
      <c r="F4783" s="5" t="s">
        <v>375</v>
      </c>
      <c r="G4783" s="5" t="s">
        <v>31590</v>
      </c>
      <c r="H4783" s="6" t="s">
        <v>31591</v>
      </c>
      <c r="K4783" s="5" t="s">
        <v>31570</v>
      </c>
    </row>
    <row r="4784">
      <c r="A4784" s="4">
        <v>45534.3542883912</v>
      </c>
      <c r="B4784" s="5" t="s">
        <v>19</v>
      </c>
      <c r="C4784" s="5" t="s">
        <v>30588</v>
      </c>
      <c r="E4784" s="5" t="s">
        <v>31594</v>
      </c>
      <c r="F4784" s="5" t="s">
        <v>375</v>
      </c>
      <c r="G4784" s="5" t="s">
        <v>31595</v>
      </c>
      <c r="H4784" s="6" t="s">
        <v>31596</v>
      </c>
      <c r="K4784" s="5" t="s">
        <v>31570</v>
      </c>
    </row>
    <row r="4785">
      <c r="A4785" s="4">
        <v>45534.35429737269</v>
      </c>
      <c r="B4785" s="5" t="s">
        <v>34</v>
      </c>
      <c r="D4785" s="5" t="s">
        <v>9020</v>
      </c>
      <c r="E4785" s="5" t="s">
        <v>31599</v>
      </c>
      <c r="F4785" s="5" t="s">
        <v>37</v>
      </c>
      <c r="G4785" s="5" t="s">
        <v>31600</v>
      </c>
      <c r="H4785" s="6" t="s">
        <v>31601</v>
      </c>
      <c r="K4785" s="5" t="s">
        <v>31570</v>
      </c>
    </row>
    <row r="4786">
      <c r="A4786" s="4">
        <v>45534.354298923616</v>
      </c>
      <c r="B4786" s="5" t="s">
        <v>19</v>
      </c>
      <c r="C4786" s="5" t="s">
        <v>3471</v>
      </c>
      <c r="E4786" s="5" t="s">
        <v>31604</v>
      </c>
      <c r="F4786" s="5" t="s">
        <v>375</v>
      </c>
      <c r="G4786" s="5" t="s">
        <v>31605</v>
      </c>
      <c r="H4786" s="6" t="s">
        <v>31606</v>
      </c>
      <c r="K4786" s="5" t="s">
        <v>31570</v>
      </c>
    </row>
    <row r="4787">
      <c r="A4787" s="4">
        <v>45534.3543343287</v>
      </c>
      <c r="B4787" s="5" t="s">
        <v>34</v>
      </c>
      <c r="D4787" s="5" t="s">
        <v>4775</v>
      </c>
      <c r="E4787" s="5" t="s">
        <v>31609</v>
      </c>
      <c r="F4787" s="5" t="s">
        <v>524</v>
      </c>
      <c r="G4787" s="5" t="s">
        <v>31610</v>
      </c>
      <c r="H4787" s="6" t="s">
        <v>31611</v>
      </c>
      <c r="I4787" s="7" t="s">
        <v>31612</v>
      </c>
      <c r="J4787" s="8" t="str">
        <f>HYPERLINK("https://drive.google.com/file/d/1dyVCKL9wQl66CuMiBa7anC7zkY_8aymG/view?usp=drivesdk","IRAWATI,S.Kep SERTIFIKAT BerAKHLAK")</f>
        <v>IRAWATI,S.Kep SERTIFIKAT BerAKHLAK</v>
      </c>
      <c r="K4787" s="5" t="s">
        <v>31118</v>
      </c>
      <c r="L4787" s="5" t="s">
        <v>31613</v>
      </c>
    </row>
    <row r="4788">
      <c r="A4788" s="4">
        <v>45534.35433916667</v>
      </c>
      <c r="B4788" s="5" t="s">
        <v>34</v>
      </c>
      <c r="D4788" s="5" t="s">
        <v>1206</v>
      </c>
      <c r="E4788" s="5" t="s">
        <v>31616</v>
      </c>
      <c r="F4788" s="5" t="s">
        <v>37</v>
      </c>
      <c r="G4788" s="5" t="s">
        <v>31617</v>
      </c>
      <c r="H4788" s="6" t="s">
        <v>31618</v>
      </c>
      <c r="K4788" s="5" t="s">
        <v>31619</v>
      </c>
    </row>
    <row r="4789">
      <c r="A4789" s="4">
        <v>45534.354340000005</v>
      </c>
      <c r="B4789" s="5" t="s">
        <v>34</v>
      </c>
      <c r="D4789" s="5" t="s">
        <v>4775</v>
      </c>
      <c r="E4789" s="5" t="s">
        <v>31623</v>
      </c>
      <c r="F4789" s="5" t="s">
        <v>72</v>
      </c>
      <c r="G4789" s="5" t="s">
        <v>31624</v>
      </c>
      <c r="H4789" s="6" t="s">
        <v>31625</v>
      </c>
      <c r="K4789" s="5" t="s">
        <v>31619</v>
      </c>
    </row>
    <row r="4790">
      <c r="A4790" s="4">
        <v>45534.35435238426</v>
      </c>
      <c r="B4790" s="5" t="s">
        <v>34</v>
      </c>
      <c r="D4790" s="5" t="s">
        <v>1206</v>
      </c>
      <c r="E4790" s="5" t="s">
        <v>31628</v>
      </c>
      <c r="F4790" s="5" t="s">
        <v>212</v>
      </c>
      <c r="G4790" s="5" t="s">
        <v>31629</v>
      </c>
      <c r="H4790" s="6" t="s">
        <v>31630</v>
      </c>
      <c r="K4790" s="5" t="s">
        <v>31619</v>
      </c>
    </row>
    <row r="4791">
      <c r="A4791" s="4">
        <v>45534.3543637963</v>
      </c>
      <c r="B4791" s="5" t="s">
        <v>19</v>
      </c>
      <c r="C4791" s="5" t="s">
        <v>3301</v>
      </c>
      <c r="E4791" s="5" t="s">
        <v>31633</v>
      </c>
      <c r="F4791" s="5" t="s">
        <v>524</v>
      </c>
      <c r="G4791" s="5" t="s">
        <v>31634</v>
      </c>
      <c r="H4791" s="6" t="s">
        <v>31635</v>
      </c>
      <c r="K4791" s="5" t="s">
        <v>31636</v>
      </c>
    </row>
    <row r="4792">
      <c r="A4792" s="4">
        <v>45534.35436482639</v>
      </c>
      <c r="B4792" s="5" t="s">
        <v>34</v>
      </c>
      <c r="D4792" s="5" t="s">
        <v>4775</v>
      </c>
      <c r="E4792" s="5" t="s">
        <v>31639</v>
      </c>
      <c r="F4792" s="5" t="s">
        <v>108</v>
      </c>
      <c r="G4792" s="5" t="s">
        <v>31640</v>
      </c>
      <c r="H4792" s="6" t="s">
        <v>31641</v>
      </c>
      <c r="K4792" s="5" t="s">
        <v>31636</v>
      </c>
    </row>
    <row r="4793">
      <c r="A4793" s="4">
        <v>45534.35436520833</v>
      </c>
      <c r="B4793" s="5" t="s">
        <v>34</v>
      </c>
      <c r="D4793" s="5" t="s">
        <v>1206</v>
      </c>
      <c r="E4793" s="5" t="s">
        <v>31645</v>
      </c>
      <c r="F4793" s="5" t="s">
        <v>212</v>
      </c>
      <c r="G4793" s="5" t="s">
        <v>31646</v>
      </c>
      <c r="H4793" s="6" t="s">
        <v>31647</v>
      </c>
      <c r="K4793" s="5" t="s">
        <v>31636</v>
      </c>
    </row>
    <row r="4794">
      <c r="A4794" s="4">
        <v>45534.354371759255</v>
      </c>
      <c r="B4794" s="5" t="s">
        <v>34</v>
      </c>
      <c r="D4794" s="5" t="s">
        <v>1456</v>
      </c>
      <c r="E4794" s="5" t="s">
        <v>31650</v>
      </c>
      <c r="F4794" s="5" t="s">
        <v>212</v>
      </c>
      <c r="G4794" s="5" t="s">
        <v>31651</v>
      </c>
      <c r="H4794" s="6" t="s">
        <v>31652</v>
      </c>
      <c r="K4794" s="5" t="s">
        <v>31636</v>
      </c>
    </row>
    <row r="4795">
      <c r="A4795" s="4">
        <v>45534.35437295139</v>
      </c>
      <c r="B4795" s="5" t="s">
        <v>34</v>
      </c>
      <c r="D4795" s="5" t="s">
        <v>35</v>
      </c>
      <c r="E4795" s="5" t="s">
        <v>31655</v>
      </c>
      <c r="F4795" s="5" t="s">
        <v>37</v>
      </c>
      <c r="G4795" s="5" t="s">
        <v>31656</v>
      </c>
      <c r="H4795" s="6" t="s">
        <v>31657</v>
      </c>
      <c r="K4795" s="5" t="s">
        <v>31636</v>
      </c>
    </row>
    <row r="4796">
      <c r="A4796" s="4">
        <v>45534.35437545139</v>
      </c>
      <c r="B4796" s="5" t="s">
        <v>34</v>
      </c>
      <c r="D4796" s="5" t="s">
        <v>7858</v>
      </c>
      <c r="E4796" s="5" t="s">
        <v>19603</v>
      </c>
      <c r="F4796" s="5" t="s">
        <v>212</v>
      </c>
      <c r="G4796" s="5" t="s">
        <v>31661</v>
      </c>
      <c r="H4796" s="6" t="s">
        <v>31662</v>
      </c>
      <c r="K4796" s="5" t="s">
        <v>31636</v>
      </c>
    </row>
    <row r="4797">
      <c r="A4797" s="4">
        <v>45534.35437556713</v>
      </c>
      <c r="B4797" s="5" t="s">
        <v>34</v>
      </c>
      <c r="D4797" s="5" t="s">
        <v>1206</v>
      </c>
      <c r="E4797" s="5" t="s">
        <v>31665</v>
      </c>
      <c r="F4797" s="5" t="s">
        <v>108</v>
      </c>
      <c r="G4797" s="5" t="s">
        <v>31666</v>
      </c>
      <c r="H4797" s="6" t="s">
        <v>31667</v>
      </c>
      <c r="K4797" s="5" t="s">
        <v>31636</v>
      </c>
    </row>
    <row r="4798">
      <c r="A4798" s="4">
        <v>45534.3543812037</v>
      </c>
      <c r="B4798" s="5" t="s">
        <v>34</v>
      </c>
      <c r="D4798" s="5" t="s">
        <v>4775</v>
      </c>
      <c r="E4798" s="5" t="s">
        <v>31670</v>
      </c>
      <c r="F4798" s="5" t="s">
        <v>72</v>
      </c>
      <c r="G4798" s="5" t="s">
        <v>31671</v>
      </c>
      <c r="H4798" s="6" t="s">
        <v>31672</v>
      </c>
      <c r="K4798" s="5" t="s">
        <v>31636</v>
      </c>
    </row>
    <row r="4799">
      <c r="A4799" s="4">
        <v>45534.35438784723</v>
      </c>
      <c r="B4799" s="5" t="s">
        <v>34</v>
      </c>
      <c r="D4799" s="5" t="s">
        <v>10444</v>
      </c>
      <c r="E4799" s="5" t="s">
        <v>31675</v>
      </c>
      <c r="F4799" s="5" t="s">
        <v>37</v>
      </c>
      <c r="G4799" s="5" t="s">
        <v>31676</v>
      </c>
      <c r="H4799" s="6" t="s">
        <v>31677</v>
      </c>
      <c r="K4799" s="5" t="s">
        <v>31636</v>
      </c>
    </row>
    <row r="4800">
      <c r="A4800" s="4">
        <v>45534.354389409724</v>
      </c>
      <c r="B4800" s="5" t="s">
        <v>34</v>
      </c>
      <c r="D4800" s="5" t="s">
        <v>6232</v>
      </c>
      <c r="E4800" s="5" t="s">
        <v>31681</v>
      </c>
      <c r="F4800" s="5" t="s">
        <v>120</v>
      </c>
      <c r="G4800" s="5" t="s">
        <v>31682</v>
      </c>
      <c r="H4800" s="6" t="s">
        <v>31683</v>
      </c>
      <c r="K4800" s="5" t="s">
        <v>31636</v>
      </c>
    </row>
    <row r="4801">
      <c r="A4801" s="4">
        <v>45534.35439245371</v>
      </c>
      <c r="B4801" s="5" t="s">
        <v>34</v>
      </c>
      <c r="D4801" s="5" t="s">
        <v>14424</v>
      </c>
      <c r="E4801" s="5" t="s">
        <v>26403</v>
      </c>
      <c r="F4801" s="5" t="s">
        <v>375</v>
      </c>
      <c r="G4801" s="5" t="s">
        <v>31686</v>
      </c>
      <c r="H4801" s="6" t="s">
        <v>31687</v>
      </c>
      <c r="K4801" s="5" t="s">
        <v>31636</v>
      </c>
    </row>
    <row r="4802">
      <c r="A4802" s="4">
        <v>45534.35439434028</v>
      </c>
      <c r="B4802" s="5" t="s">
        <v>34</v>
      </c>
      <c r="D4802" s="5" t="s">
        <v>12010</v>
      </c>
      <c r="E4802" s="5" t="s">
        <v>31690</v>
      </c>
      <c r="F4802" s="5" t="s">
        <v>524</v>
      </c>
      <c r="G4802" s="5" t="s">
        <v>31691</v>
      </c>
      <c r="H4802" s="6" t="s">
        <v>31692</v>
      </c>
      <c r="K4802" s="5" t="s">
        <v>31636</v>
      </c>
    </row>
    <row r="4803">
      <c r="A4803" s="4">
        <v>45534.35439965277</v>
      </c>
      <c r="B4803" s="5" t="s">
        <v>19</v>
      </c>
      <c r="C4803" s="5" t="s">
        <v>292</v>
      </c>
      <c r="E4803" s="5" t="s">
        <v>31695</v>
      </c>
      <c r="F4803" s="5" t="s">
        <v>37</v>
      </c>
      <c r="G4803" s="5" t="s">
        <v>31696</v>
      </c>
      <c r="H4803" s="6" t="s">
        <v>31697</v>
      </c>
      <c r="K4803" s="5" t="s">
        <v>31636</v>
      </c>
    </row>
    <row r="4804">
      <c r="A4804" s="4">
        <v>45534.35440306713</v>
      </c>
      <c r="B4804" s="5" t="s">
        <v>34</v>
      </c>
      <c r="D4804" s="5" t="s">
        <v>2903</v>
      </c>
      <c r="E4804" s="5" t="s">
        <v>31700</v>
      </c>
      <c r="F4804" s="5" t="s">
        <v>199</v>
      </c>
      <c r="G4804" s="5" t="s">
        <v>31701</v>
      </c>
      <c r="H4804" s="6" t="s">
        <v>31702</v>
      </c>
      <c r="K4804" s="5" t="s">
        <v>31636</v>
      </c>
    </row>
    <row r="4805">
      <c r="A4805" s="4">
        <v>45534.3544036574</v>
      </c>
      <c r="B4805" s="5" t="s">
        <v>34</v>
      </c>
      <c r="D4805" s="5" t="s">
        <v>604</v>
      </c>
      <c r="E4805" s="5" t="s">
        <v>31706</v>
      </c>
      <c r="F4805" s="5" t="s">
        <v>715</v>
      </c>
      <c r="G4805" s="5" t="s">
        <v>31707</v>
      </c>
      <c r="H4805" s="6" t="s">
        <v>31708</v>
      </c>
      <c r="K4805" s="5" t="s">
        <v>31636</v>
      </c>
    </row>
    <row r="4806">
      <c r="A4806" s="4">
        <v>45534.35440923611</v>
      </c>
      <c r="B4806" s="5" t="s">
        <v>34</v>
      </c>
      <c r="D4806" s="5" t="s">
        <v>35</v>
      </c>
      <c r="E4806" s="5" t="s">
        <v>31711</v>
      </c>
      <c r="F4806" s="5" t="s">
        <v>524</v>
      </c>
      <c r="G4806" s="5" t="s">
        <v>31712</v>
      </c>
      <c r="H4806" s="6" t="s">
        <v>31713</v>
      </c>
      <c r="K4806" s="5" t="s">
        <v>31636</v>
      </c>
    </row>
    <row r="4807">
      <c r="A4807" s="4">
        <v>45534.3544099537</v>
      </c>
      <c r="B4807" s="5" t="s">
        <v>34</v>
      </c>
      <c r="D4807" s="5" t="s">
        <v>9020</v>
      </c>
      <c r="E4807" s="5" t="s">
        <v>31716</v>
      </c>
      <c r="F4807" s="5" t="s">
        <v>524</v>
      </c>
      <c r="G4807" s="5" t="s">
        <v>31717</v>
      </c>
      <c r="H4807" s="6" t="s">
        <v>31718</v>
      </c>
      <c r="K4807" s="5" t="s">
        <v>31636</v>
      </c>
    </row>
    <row r="4808">
      <c r="A4808" s="4">
        <v>45534.35441111111</v>
      </c>
      <c r="B4808" s="5" t="s">
        <v>34</v>
      </c>
      <c r="D4808" s="5" t="s">
        <v>35</v>
      </c>
      <c r="E4808" s="5" t="s">
        <v>31721</v>
      </c>
      <c r="F4808" s="5" t="s">
        <v>524</v>
      </c>
      <c r="G4808" s="5" t="s">
        <v>31722</v>
      </c>
      <c r="H4808" s="6" t="s">
        <v>31723</v>
      </c>
      <c r="K4808" s="5" t="s">
        <v>31636</v>
      </c>
    </row>
    <row r="4809">
      <c r="A4809" s="4">
        <v>45534.35441122685</v>
      </c>
      <c r="B4809" s="5" t="s">
        <v>34</v>
      </c>
      <c r="D4809" s="5" t="s">
        <v>10444</v>
      </c>
      <c r="E4809" s="5" t="s">
        <v>31726</v>
      </c>
      <c r="F4809" s="5" t="s">
        <v>212</v>
      </c>
      <c r="G4809" s="5" t="s">
        <v>31727</v>
      </c>
      <c r="H4809" s="6" t="s">
        <v>31728</v>
      </c>
      <c r="K4809" s="5" t="s">
        <v>31636</v>
      </c>
    </row>
    <row r="4810">
      <c r="A4810" s="4">
        <v>45534.354421145836</v>
      </c>
      <c r="B4810" s="5" t="s">
        <v>34</v>
      </c>
      <c r="D4810" s="5" t="s">
        <v>1206</v>
      </c>
      <c r="E4810" s="5" t="s">
        <v>31732</v>
      </c>
      <c r="F4810" s="5" t="s">
        <v>524</v>
      </c>
      <c r="G4810" s="5" t="s">
        <v>31733</v>
      </c>
      <c r="H4810" s="6" t="s">
        <v>31734</v>
      </c>
      <c r="K4810" s="5" t="s">
        <v>31636</v>
      </c>
    </row>
    <row r="4811">
      <c r="A4811" s="4">
        <v>45534.35442396991</v>
      </c>
      <c r="B4811" s="5" t="s">
        <v>34</v>
      </c>
      <c r="D4811" s="5" t="s">
        <v>35</v>
      </c>
      <c r="E4811" s="5" t="s">
        <v>31737</v>
      </c>
      <c r="F4811" s="5" t="s">
        <v>375</v>
      </c>
      <c r="G4811" s="5" t="s">
        <v>31738</v>
      </c>
      <c r="H4811" s="6" t="s">
        <v>31739</v>
      </c>
      <c r="K4811" s="5" t="s">
        <v>31636</v>
      </c>
    </row>
    <row r="4812">
      <c r="A4812" s="4">
        <v>45534.354424571764</v>
      </c>
      <c r="B4812" s="5" t="s">
        <v>34</v>
      </c>
      <c r="D4812" s="5" t="s">
        <v>35</v>
      </c>
      <c r="E4812" s="5" t="s">
        <v>31742</v>
      </c>
      <c r="F4812" s="5" t="s">
        <v>37</v>
      </c>
      <c r="G4812" s="5" t="s">
        <v>31743</v>
      </c>
      <c r="H4812" s="6" t="s">
        <v>31744</v>
      </c>
      <c r="K4812" s="5" t="s">
        <v>31636</v>
      </c>
    </row>
    <row r="4813">
      <c r="A4813" s="4">
        <v>45534.35443989583</v>
      </c>
      <c r="B4813" s="5" t="s">
        <v>34</v>
      </c>
      <c r="D4813" s="5" t="s">
        <v>1206</v>
      </c>
      <c r="E4813" s="5" t="s">
        <v>31747</v>
      </c>
      <c r="F4813" s="5" t="s">
        <v>37</v>
      </c>
      <c r="G4813" s="5" t="s">
        <v>5359</v>
      </c>
      <c r="H4813" s="6" t="s">
        <v>31748</v>
      </c>
      <c r="K4813" s="5" t="s">
        <v>31636</v>
      </c>
    </row>
    <row r="4814">
      <c r="A4814" s="4">
        <v>45534.35444394676</v>
      </c>
      <c r="B4814" s="5" t="s">
        <v>34</v>
      </c>
      <c r="D4814" s="5" t="s">
        <v>12978</v>
      </c>
      <c r="E4814" s="5" t="s">
        <v>31751</v>
      </c>
      <c r="F4814" s="5" t="s">
        <v>375</v>
      </c>
      <c r="G4814" s="5" t="s">
        <v>31752</v>
      </c>
      <c r="H4814" s="6" t="s">
        <v>31753</v>
      </c>
      <c r="K4814" s="5" t="s">
        <v>31754</v>
      </c>
    </row>
    <row r="4815">
      <c r="A4815" s="4">
        <v>45534.354446157406</v>
      </c>
      <c r="B4815" s="5" t="s">
        <v>34</v>
      </c>
      <c r="D4815" s="5" t="s">
        <v>1206</v>
      </c>
      <c r="E4815" s="5" t="s">
        <v>31758</v>
      </c>
      <c r="F4815" s="5" t="s">
        <v>212</v>
      </c>
      <c r="G4815" s="5" t="s">
        <v>31759</v>
      </c>
      <c r="H4815" s="6" t="s">
        <v>31760</v>
      </c>
      <c r="K4815" s="5" t="s">
        <v>31754</v>
      </c>
    </row>
    <row r="4816">
      <c r="A4816" s="4">
        <v>45534.354447418984</v>
      </c>
      <c r="B4816" s="5" t="s">
        <v>34</v>
      </c>
      <c r="D4816" s="5" t="s">
        <v>1206</v>
      </c>
      <c r="E4816" s="5" t="s">
        <v>31763</v>
      </c>
      <c r="F4816" s="5" t="s">
        <v>212</v>
      </c>
      <c r="G4816" s="5" t="s">
        <v>31764</v>
      </c>
      <c r="H4816" s="6" t="s">
        <v>31765</v>
      </c>
      <c r="K4816" s="5" t="s">
        <v>31754</v>
      </c>
    </row>
    <row r="4817">
      <c r="A4817" s="4">
        <v>45534.35445890046</v>
      </c>
      <c r="B4817" s="5" t="s">
        <v>34</v>
      </c>
      <c r="D4817" s="5" t="s">
        <v>4775</v>
      </c>
      <c r="E4817" s="5" t="s">
        <v>31768</v>
      </c>
      <c r="F4817" s="5" t="s">
        <v>375</v>
      </c>
      <c r="G4817" s="5" t="s">
        <v>31769</v>
      </c>
      <c r="H4817" s="6" t="s">
        <v>31770</v>
      </c>
      <c r="K4817" s="5" t="s">
        <v>31754</v>
      </c>
    </row>
    <row r="4818">
      <c r="A4818" s="4">
        <v>45534.35446097222</v>
      </c>
      <c r="B4818" s="5" t="s">
        <v>34</v>
      </c>
      <c r="D4818" s="5" t="s">
        <v>7858</v>
      </c>
      <c r="E4818" s="5" t="s">
        <v>31773</v>
      </c>
      <c r="F4818" s="5" t="s">
        <v>72</v>
      </c>
      <c r="G4818" s="5" t="s">
        <v>31774</v>
      </c>
      <c r="H4818" s="6" t="s">
        <v>31775</v>
      </c>
      <c r="K4818" s="5" t="s">
        <v>31754</v>
      </c>
    </row>
    <row r="4819">
      <c r="A4819" s="4">
        <v>45534.35446174769</v>
      </c>
      <c r="B4819" s="5" t="s">
        <v>34</v>
      </c>
      <c r="D4819" s="5" t="s">
        <v>1206</v>
      </c>
      <c r="E4819" s="5" t="s">
        <v>31778</v>
      </c>
      <c r="F4819" s="5" t="s">
        <v>72</v>
      </c>
      <c r="G4819" s="5" t="s">
        <v>31779</v>
      </c>
      <c r="H4819" s="6" t="s">
        <v>31780</v>
      </c>
      <c r="K4819" s="5" t="s">
        <v>31754</v>
      </c>
    </row>
    <row r="4820">
      <c r="A4820" s="4">
        <v>45534.3544666088</v>
      </c>
      <c r="B4820" s="5" t="s">
        <v>34</v>
      </c>
      <c r="D4820" s="5" t="s">
        <v>35</v>
      </c>
      <c r="E4820" s="5" t="s">
        <v>31784</v>
      </c>
      <c r="F4820" s="5" t="s">
        <v>212</v>
      </c>
      <c r="G4820" s="5" t="s">
        <v>31785</v>
      </c>
      <c r="H4820" s="6" t="s">
        <v>31786</v>
      </c>
      <c r="K4820" s="5" t="s">
        <v>31754</v>
      </c>
    </row>
    <row r="4821">
      <c r="A4821" s="4">
        <v>45534.354469247686</v>
      </c>
      <c r="B4821" s="5" t="s">
        <v>34</v>
      </c>
      <c r="D4821" s="5" t="s">
        <v>996</v>
      </c>
      <c r="E4821" s="5" t="s">
        <v>31789</v>
      </c>
      <c r="F4821" s="5" t="s">
        <v>37</v>
      </c>
      <c r="G4821" s="5" t="s">
        <v>31790</v>
      </c>
      <c r="H4821" s="6" t="s">
        <v>31791</v>
      </c>
      <c r="K4821" s="5" t="s">
        <v>31754</v>
      </c>
    </row>
    <row r="4822">
      <c r="A4822" s="4">
        <v>45534.35447716435</v>
      </c>
      <c r="B4822" s="5" t="s">
        <v>34</v>
      </c>
      <c r="D4822" s="5" t="s">
        <v>35</v>
      </c>
      <c r="E4822" s="5" t="s">
        <v>31794</v>
      </c>
      <c r="F4822" s="5" t="s">
        <v>37</v>
      </c>
      <c r="G4822" s="5" t="s">
        <v>31795</v>
      </c>
      <c r="H4822" s="6" t="s">
        <v>31796</v>
      </c>
      <c r="K4822" s="5" t="s">
        <v>31797</v>
      </c>
    </row>
    <row r="4823">
      <c r="A4823" s="4">
        <v>45534.35447722222</v>
      </c>
      <c r="B4823" s="5" t="s">
        <v>34</v>
      </c>
      <c r="D4823" s="5" t="s">
        <v>4775</v>
      </c>
      <c r="E4823" s="5" t="s">
        <v>31801</v>
      </c>
      <c r="F4823" s="5" t="s">
        <v>37</v>
      </c>
      <c r="G4823" s="5" t="s">
        <v>31802</v>
      </c>
      <c r="H4823" s="6" t="s">
        <v>31803</v>
      </c>
      <c r="K4823" s="5" t="s">
        <v>31797</v>
      </c>
    </row>
    <row r="4824">
      <c r="A4824" s="4">
        <v>45534.35447975695</v>
      </c>
      <c r="B4824" s="5" t="s">
        <v>34</v>
      </c>
      <c r="D4824" s="5" t="s">
        <v>12010</v>
      </c>
      <c r="E4824" s="5" t="s">
        <v>31806</v>
      </c>
      <c r="F4824" s="5" t="s">
        <v>715</v>
      </c>
      <c r="G4824" s="5" t="s">
        <v>31807</v>
      </c>
      <c r="H4824" s="6" t="s">
        <v>31808</v>
      </c>
      <c r="K4824" s="5" t="s">
        <v>31797</v>
      </c>
    </row>
    <row r="4825">
      <c r="A4825" s="4">
        <v>45534.35448384259</v>
      </c>
      <c r="B4825" s="5" t="s">
        <v>34</v>
      </c>
      <c r="D4825" s="5" t="s">
        <v>580</v>
      </c>
      <c r="E4825" s="5" t="s">
        <v>31811</v>
      </c>
      <c r="F4825" s="5" t="s">
        <v>715</v>
      </c>
      <c r="G4825" s="5" t="s">
        <v>31812</v>
      </c>
      <c r="H4825" s="6" t="s">
        <v>31813</v>
      </c>
      <c r="K4825" s="5" t="s">
        <v>31797</v>
      </c>
    </row>
    <row r="4826">
      <c r="A4826" s="4">
        <v>45534.35449489583</v>
      </c>
      <c r="B4826" s="5" t="s">
        <v>34</v>
      </c>
      <c r="D4826" s="5" t="s">
        <v>267</v>
      </c>
      <c r="E4826" s="5" t="s">
        <v>31816</v>
      </c>
      <c r="F4826" s="5" t="s">
        <v>72</v>
      </c>
      <c r="G4826" s="5" t="s">
        <v>31817</v>
      </c>
      <c r="H4826" s="6" t="s">
        <v>31818</v>
      </c>
      <c r="K4826" s="5" t="s">
        <v>31797</v>
      </c>
    </row>
    <row r="4827">
      <c r="A4827" s="4">
        <v>45534.35451275463</v>
      </c>
      <c r="B4827" s="5" t="s">
        <v>34</v>
      </c>
      <c r="D4827" s="5" t="s">
        <v>6232</v>
      </c>
      <c r="E4827" s="5" t="s">
        <v>31821</v>
      </c>
      <c r="F4827" s="5" t="s">
        <v>37</v>
      </c>
      <c r="G4827" s="5" t="s">
        <v>31822</v>
      </c>
      <c r="H4827" s="6" t="s">
        <v>31823</v>
      </c>
      <c r="K4827" s="5" t="s">
        <v>31797</v>
      </c>
    </row>
    <row r="4828">
      <c r="A4828" s="4">
        <v>45534.35451415509</v>
      </c>
      <c r="B4828" s="5" t="s">
        <v>34</v>
      </c>
      <c r="D4828" s="5" t="s">
        <v>1206</v>
      </c>
      <c r="E4828" s="5" t="s">
        <v>31827</v>
      </c>
      <c r="F4828" s="5" t="s">
        <v>328</v>
      </c>
      <c r="G4828" s="5" t="s">
        <v>31828</v>
      </c>
      <c r="H4828" s="6" t="s">
        <v>31829</v>
      </c>
      <c r="K4828" s="5" t="s">
        <v>31797</v>
      </c>
    </row>
    <row r="4829">
      <c r="A4829" s="4">
        <v>45534.35451599537</v>
      </c>
      <c r="B4829" s="5" t="s">
        <v>34</v>
      </c>
      <c r="D4829" s="5" t="s">
        <v>1206</v>
      </c>
      <c r="E4829" s="5" t="s">
        <v>31832</v>
      </c>
      <c r="F4829" s="5" t="s">
        <v>37</v>
      </c>
      <c r="G4829" s="5" t="s">
        <v>31833</v>
      </c>
      <c r="H4829" s="6" t="s">
        <v>31834</v>
      </c>
      <c r="K4829" s="5" t="s">
        <v>31797</v>
      </c>
    </row>
    <row r="4830">
      <c r="A4830" s="4">
        <v>45534.35451716435</v>
      </c>
      <c r="B4830" s="5" t="s">
        <v>34</v>
      </c>
      <c r="D4830" s="5" t="s">
        <v>1206</v>
      </c>
      <c r="E4830" s="5" t="s">
        <v>31837</v>
      </c>
      <c r="F4830" s="5" t="s">
        <v>199</v>
      </c>
      <c r="G4830" s="5" t="s">
        <v>31838</v>
      </c>
      <c r="H4830" s="6" t="s">
        <v>31839</v>
      </c>
      <c r="K4830" s="5" t="s">
        <v>31797</v>
      </c>
    </row>
    <row r="4831">
      <c r="A4831" s="4">
        <v>45534.35451706019</v>
      </c>
      <c r="B4831" s="5" t="s">
        <v>34</v>
      </c>
      <c r="D4831" s="5" t="s">
        <v>4775</v>
      </c>
      <c r="E4831" s="5" t="s">
        <v>31842</v>
      </c>
      <c r="F4831" s="5" t="s">
        <v>37</v>
      </c>
      <c r="G4831" s="5" t="s">
        <v>31843</v>
      </c>
      <c r="H4831" s="6" t="s">
        <v>31844</v>
      </c>
      <c r="K4831" s="5" t="s">
        <v>31797</v>
      </c>
    </row>
    <row r="4832">
      <c r="A4832" s="4">
        <v>45534.35452113426</v>
      </c>
      <c r="B4832" s="5" t="s">
        <v>34</v>
      </c>
      <c r="D4832" s="5" t="s">
        <v>4775</v>
      </c>
      <c r="E4832" s="5" t="s">
        <v>31847</v>
      </c>
      <c r="F4832" s="5" t="s">
        <v>212</v>
      </c>
      <c r="G4832" s="5" t="s">
        <v>31848</v>
      </c>
      <c r="H4832" s="6" t="s">
        <v>31849</v>
      </c>
      <c r="K4832" s="5" t="s">
        <v>31797</v>
      </c>
    </row>
    <row r="4833">
      <c r="A4833" s="4">
        <v>45534.35452511574</v>
      </c>
      <c r="B4833" s="5" t="s">
        <v>34</v>
      </c>
      <c r="D4833" s="5" t="s">
        <v>280</v>
      </c>
      <c r="E4833" s="5" t="s">
        <v>31852</v>
      </c>
      <c r="F4833" s="5" t="s">
        <v>212</v>
      </c>
      <c r="G4833" s="5" t="s">
        <v>31853</v>
      </c>
      <c r="H4833" s="6" t="s">
        <v>31854</v>
      </c>
      <c r="K4833" s="5" t="s">
        <v>31797</v>
      </c>
    </row>
    <row r="4834">
      <c r="A4834" s="4">
        <v>45534.354528819444</v>
      </c>
      <c r="B4834" s="5" t="s">
        <v>34</v>
      </c>
      <c r="D4834" s="5" t="s">
        <v>280</v>
      </c>
      <c r="E4834" s="5" t="s">
        <v>31858</v>
      </c>
      <c r="F4834" s="5" t="s">
        <v>375</v>
      </c>
      <c r="G4834" s="5" t="s">
        <v>31859</v>
      </c>
      <c r="H4834" s="6" t="s">
        <v>31860</v>
      </c>
      <c r="K4834" s="5" t="s">
        <v>31797</v>
      </c>
    </row>
    <row r="4835">
      <c r="A4835" s="4">
        <v>45534.354529965276</v>
      </c>
      <c r="B4835" s="5" t="s">
        <v>34</v>
      </c>
      <c r="D4835" s="5" t="s">
        <v>1206</v>
      </c>
      <c r="E4835" s="5" t="s">
        <v>31863</v>
      </c>
      <c r="F4835" s="5" t="s">
        <v>524</v>
      </c>
      <c r="G4835" s="5" t="s">
        <v>31864</v>
      </c>
      <c r="H4835" s="6" t="s">
        <v>31865</v>
      </c>
      <c r="K4835" s="5" t="s">
        <v>31797</v>
      </c>
    </row>
    <row r="4836">
      <c r="A4836" s="4">
        <v>45534.354537453706</v>
      </c>
      <c r="B4836" s="5" t="s">
        <v>34</v>
      </c>
      <c r="D4836" s="5" t="s">
        <v>4775</v>
      </c>
      <c r="E4836" s="5" t="s">
        <v>31868</v>
      </c>
      <c r="F4836" s="5" t="s">
        <v>37</v>
      </c>
      <c r="G4836" s="5" t="s">
        <v>31869</v>
      </c>
      <c r="H4836" s="6" t="s">
        <v>31870</v>
      </c>
      <c r="K4836" s="5" t="s">
        <v>31797</v>
      </c>
    </row>
    <row r="4837">
      <c r="A4837" s="4">
        <v>45534.35453890046</v>
      </c>
      <c r="B4837" s="5" t="s">
        <v>34</v>
      </c>
      <c r="D4837" s="5" t="s">
        <v>1206</v>
      </c>
      <c r="E4837" s="5" t="s">
        <v>31873</v>
      </c>
      <c r="F4837" s="5" t="s">
        <v>212</v>
      </c>
      <c r="G4837" s="5" t="s">
        <v>31874</v>
      </c>
      <c r="H4837" s="6" t="s">
        <v>31875</v>
      </c>
      <c r="K4837" s="5" t="s">
        <v>31797</v>
      </c>
    </row>
    <row r="4838">
      <c r="A4838" s="4">
        <v>45534.35454078704</v>
      </c>
      <c r="B4838" s="5" t="s">
        <v>34</v>
      </c>
      <c r="D4838" s="5" t="s">
        <v>9020</v>
      </c>
      <c r="E4838" s="5" t="s">
        <v>31878</v>
      </c>
      <c r="F4838" s="5" t="s">
        <v>212</v>
      </c>
      <c r="G4838" s="5" t="s">
        <v>31879</v>
      </c>
      <c r="H4838" s="6" t="s">
        <v>31880</v>
      </c>
      <c r="K4838" s="5" t="s">
        <v>31797</v>
      </c>
    </row>
    <row r="4839">
      <c r="A4839" s="4">
        <v>45534.354544120375</v>
      </c>
      <c r="B4839" s="5" t="s">
        <v>34</v>
      </c>
      <c r="D4839" s="5" t="s">
        <v>1206</v>
      </c>
      <c r="E4839" s="5" t="s">
        <v>31884</v>
      </c>
      <c r="F4839" s="5" t="s">
        <v>37</v>
      </c>
      <c r="G4839" s="5" t="s">
        <v>31885</v>
      </c>
      <c r="H4839" s="6" t="s">
        <v>31886</v>
      </c>
      <c r="K4839" s="5" t="s">
        <v>31797</v>
      </c>
    </row>
    <row r="4840">
      <c r="A4840" s="4">
        <v>45534.354555185186</v>
      </c>
      <c r="B4840" s="5" t="s">
        <v>34</v>
      </c>
      <c r="D4840" s="5" t="s">
        <v>4775</v>
      </c>
      <c r="E4840" s="5" t="s">
        <v>31889</v>
      </c>
      <c r="F4840" s="5" t="s">
        <v>72</v>
      </c>
      <c r="G4840" s="5" t="s">
        <v>31890</v>
      </c>
      <c r="H4840" s="6" t="s">
        <v>31891</v>
      </c>
      <c r="K4840" s="5" t="s">
        <v>31797</v>
      </c>
    </row>
    <row r="4841">
      <c r="A4841" s="4">
        <v>45534.35455866898</v>
      </c>
      <c r="B4841" s="5" t="s">
        <v>34</v>
      </c>
      <c r="D4841" s="5" t="s">
        <v>10444</v>
      </c>
      <c r="E4841" s="5" t="s">
        <v>31894</v>
      </c>
      <c r="F4841" s="5" t="s">
        <v>37</v>
      </c>
      <c r="G4841" s="5" t="s">
        <v>31895</v>
      </c>
      <c r="H4841" s="6" t="s">
        <v>31896</v>
      </c>
      <c r="K4841" s="5" t="s">
        <v>31797</v>
      </c>
    </row>
    <row r="4842">
      <c r="A4842" s="4">
        <v>45534.3545599537</v>
      </c>
      <c r="B4842" s="5" t="s">
        <v>34</v>
      </c>
      <c r="D4842" s="5" t="s">
        <v>4775</v>
      </c>
      <c r="E4842" s="5" t="s">
        <v>31899</v>
      </c>
      <c r="F4842" s="5" t="s">
        <v>72</v>
      </c>
      <c r="G4842" s="5" t="s">
        <v>31900</v>
      </c>
      <c r="H4842" s="6" t="s">
        <v>31901</v>
      </c>
      <c r="K4842" s="5" t="s">
        <v>31797</v>
      </c>
    </row>
    <row r="4843">
      <c r="A4843" s="4">
        <v>45534.3545778588</v>
      </c>
      <c r="B4843" s="5" t="s">
        <v>34</v>
      </c>
      <c r="D4843" s="5" t="s">
        <v>4775</v>
      </c>
      <c r="E4843" s="5" t="s">
        <v>31904</v>
      </c>
      <c r="F4843" s="5" t="s">
        <v>37</v>
      </c>
      <c r="G4843" s="5" t="s">
        <v>31905</v>
      </c>
      <c r="H4843" s="6" t="s">
        <v>31906</v>
      </c>
      <c r="K4843" s="5" t="s">
        <v>31907</v>
      </c>
    </row>
    <row r="4844">
      <c r="A4844" s="4">
        <v>45534.35458013889</v>
      </c>
      <c r="B4844" s="5" t="s">
        <v>19</v>
      </c>
      <c r="C4844" s="5" t="s">
        <v>292</v>
      </c>
      <c r="E4844" s="5" t="s">
        <v>31911</v>
      </c>
      <c r="F4844" s="5" t="s">
        <v>212</v>
      </c>
      <c r="G4844" s="5" t="s">
        <v>31912</v>
      </c>
      <c r="H4844" s="6" t="s">
        <v>31913</v>
      </c>
      <c r="K4844" s="5" t="s">
        <v>31907</v>
      </c>
    </row>
    <row r="4845">
      <c r="A4845" s="4">
        <v>45534.35458068287</v>
      </c>
      <c r="B4845" s="5" t="s">
        <v>34</v>
      </c>
      <c r="D4845" s="5" t="s">
        <v>701</v>
      </c>
      <c r="E4845" s="5" t="s">
        <v>31916</v>
      </c>
      <c r="F4845" s="5" t="s">
        <v>212</v>
      </c>
      <c r="G4845" s="5" t="s">
        <v>31917</v>
      </c>
      <c r="H4845" s="6" t="s">
        <v>31918</v>
      </c>
      <c r="K4845" s="5" t="s">
        <v>31907</v>
      </c>
    </row>
    <row r="4846">
      <c r="A4846" s="4">
        <v>45534.35458530093</v>
      </c>
      <c r="B4846" s="5" t="s">
        <v>34</v>
      </c>
      <c r="D4846" s="5" t="s">
        <v>1206</v>
      </c>
      <c r="E4846" s="5" t="s">
        <v>31921</v>
      </c>
      <c r="F4846" s="5" t="s">
        <v>37</v>
      </c>
      <c r="G4846" s="5" t="s">
        <v>31922</v>
      </c>
      <c r="H4846" s="6" t="s">
        <v>31923</v>
      </c>
      <c r="K4846" s="5" t="s">
        <v>31907</v>
      </c>
    </row>
    <row r="4847">
      <c r="A4847" s="4">
        <v>45534.35459239583</v>
      </c>
      <c r="B4847" s="5" t="s">
        <v>34</v>
      </c>
      <c r="D4847" s="5" t="s">
        <v>1456</v>
      </c>
      <c r="E4847" s="5" t="s">
        <v>31927</v>
      </c>
      <c r="F4847" s="5" t="s">
        <v>72</v>
      </c>
      <c r="G4847" s="5" t="s">
        <v>31928</v>
      </c>
      <c r="H4847" s="6" t="s">
        <v>31929</v>
      </c>
      <c r="K4847" s="5" t="s">
        <v>31907</v>
      </c>
    </row>
    <row r="4848">
      <c r="A4848" s="4">
        <v>45534.35460723379</v>
      </c>
      <c r="B4848" s="5" t="s">
        <v>34</v>
      </c>
      <c r="D4848" s="5" t="s">
        <v>3849</v>
      </c>
      <c r="E4848" s="5" t="s">
        <v>31932</v>
      </c>
      <c r="F4848" s="5" t="s">
        <v>72</v>
      </c>
      <c r="G4848" s="5" t="s">
        <v>31933</v>
      </c>
      <c r="H4848" s="6" t="s">
        <v>31934</v>
      </c>
      <c r="I4848" s="7" t="s">
        <v>31935</v>
      </c>
      <c r="J4848" s="8" t="str">
        <f>HYPERLINK("https://drive.google.com/file/d/1w-6wIvTNk6u229H4lsEPKb2NdPAvlKZU/view?usp=drivesdk","NIRA ARIANTINI, S.KOM SERTIFIKAT BerAKHLAK")</f>
        <v>NIRA ARIANTINI, S.KOM SERTIFIKAT BerAKHLAK</v>
      </c>
      <c r="K4848" s="5" t="s">
        <v>31118</v>
      </c>
      <c r="L4848" s="5" t="s">
        <v>31936</v>
      </c>
    </row>
    <row r="4849">
      <c r="A4849" s="4">
        <v>45534.354612916664</v>
      </c>
      <c r="B4849" s="5" t="s">
        <v>34</v>
      </c>
      <c r="D4849" s="5" t="s">
        <v>1206</v>
      </c>
      <c r="E4849" s="5" t="s">
        <v>31939</v>
      </c>
      <c r="F4849" s="5" t="s">
        <v>375</v>
      </c>
      <c r="G4849" s="5" t="s">
        <v>31940</v>
      </c>
      <c r="H4849" s="6" t="s">
        <v>31941</v>
      </c>
      <c r="I4849" s="7" t="s">
        <v>31942</v>
      </c>
      <c r="J4849" s="8" t="str">
        <f>HYPERLINK("https://drive.google.com/file/d/1rVfNSXhCIsl1J5oR6RV0Wkj-ZLp79ah6/view?usp=drivesdk","RACHMAD SUGIYANTO, S.Sos., M.M. SERTIFIKAT BerAKHLAK")</f>
        <v>RACHMAD SUGIYANTO, S.Sos., M.M. SERTIFIKAT BerAKHLAK</v>
      </c>
      <c r="K4849" s="5" t="s">
        <v>31298</v>
      </c>
      <c r="L4849" s="5" t="s">
        <v>31943</v>
      </c>
    </row>
    <row r="4850">
      <c r="A4850" s="4">
        <v>45534.35461565972</v>
      </c>
      <c r="B4850" s="5" t="s">
        <v>34</v>
      </c>
      <c r="D4850" s="5" t="s">
        <v>1206</v>
      </c>
      <c r="E4850" s="5" t="s">
        <v>31946</v>
      </c>
      <c r="F4850" s="5" t="s">
        <v>212</v>
      </c>
      <c r="G4850" s="5" t="s">
        <v>31947</v>
      </c>
      <c r="H4850" s="6" t="s">
        <v>31948</v>
      </c>
      <c r="I4850" s="7" t="s">
        <v>31949</v>
      </c>
      <c r="J4850" s="8" t="str">
        <f>HYPERLINK("https://drive.google.com/file/d/1jKmHHAkSs0jqzJRjlSHH1SxXwWDAq5ge/view?usp=drivesdk","TRIWALUYO,AMD.KEP. SERTIFIKAT BerAKHLAK")</f>
        <v>TRIWALUYO,AMD.KEP. SERTIFIKAT BerAKHLAK</v>
      </c>
      <c r="K4850" s="5" t="s">
        <v>31298</v>
      </c>
      <c r="L4850" s="5" t="s">
        <v>31950</v>
      </c>
    </row>
    <row r="4851">
      <c r="A4851" s="4">
        <v>45534.35462</v>
      </c>
      <c r="B4851" s="5" t="s">
        <v>34</v>
      </c>
      <c r="D4851" s="5" t="s">
        <v>3849</v>
      </c>
      <c r="E4851" s="5" t="s">
        <v>31953</v>
      </c>
      <c r="F4851" s="5" t="s">
        <v>37</v>
      </c>
      <c r="G4851" s="5" t="s">
        <v>31954</v>
      </c>
      <c r="H4851" s="6" t="s">
        <v>31955</v>
      </c>
      <c r="I4851" s="7" t="s">
        <v>31956</v>
      </c>
      <c r="J4851" s="8" t="str">
        <f>HYPERLINK("https://drive.google.com/file/d/1iPdY52eujMnFPSJRFUPIrReEDUrKMRQs/view?usp=drivesdk","YESI SULASTRI AM.KEP SERTIFIKAT BerAKHLAK")</f>
        <v>YESI SULASTRI AM.KEP SERTIFIKAT BerAKHLAK</v>
      </c>
      <c r="K4851" s="5" t="s">
        <v>31298</v>
      </c>
      <c r="L4851" s="5" t="s">
        <v>31957</v>
      </c>
    </row>
    <row r="4852">
      <c r="A4852" s="4">
        <v>45534.35462244213</v>
      </c>
      <c r="B4852" s="5" t="s">
        <v>34</v>
      </c>
      <c r="D4852" s="5" t="s">
        <v>9020</v>
      </c>
      <c r="E4852" s="5" t="s">
        <v>31961</v>
      </c>
      <c r="F4852" s="5" t="s">
        <v>212</v>
      </c>
      <c r="G4852" s="5" t="s">
        <v>31962</v>
      </c>
      <c r="H4852" s="6" t="s">
        <v>31963</v>
      </c>
      <c r="I4852" s="7" t="s">
        <v>31964</v>
      </c>
      <c r="J4852" s="8" t="str">
        <f>HYPERLINK("https://drive.google.com/file/d/1BWKw8WR-4yyPdcgzrx2Atz7qTA0O-EOA/view?usp=drivesdk","MARLIANA TAMBUNAN  SERTIFIKAT BerAKHLAK")</f>
        <v>MARLIANA TAMBUNAN  SERTIFIKAT BerAKHLAK</v>
      </c>
      <c r="K4852" s="5" t="s">
        <v>31298</v>
      </c>
      <c r="L4852" s="5" t="s">
        <v>31965</v>
      </c>
    </row>
    <row r="4853">
      <c r="A4853" s="4">
        <v>45534.35462802083</v>
      </c>
      <c r="B4853" s="5" t="s">
        <v>34</v>
      </c>
      <c r="D4853" s="5" t="s">
        <v>1206</v>
      </c>
      <c r="E4853" s="5" t="s">
        <v>25275</v>
      </c>
      <c r="F4853" s="5" t="s">
        <v>524</v>
      </c>
      <c r="G4853" s="5" t="s">
        <v>31968</v>
      </c>
      <c r="H4853" s="6" t="s">
        <v>31969</v>
      </c>
      <c r="I4853" s="7" t="s">
        <v>31970</v>
      </c>
      <c r="J4853" s="8" t="str">
        <f>HYPERLINK("https://drive.google.com/file/d/1p_d2RPLEMMOE7ZRnsx1s-YnTlzrB3Pm1/view?usp=drivesdk","SUNARTI S SOS SERTIFIKAT BerAKHLAK")</f>
        <v>SUNARTI S SOS SERTIFIKAT BerAKHLAK</v>
      </c>
      <c r="K4853" s="5" t="s">
        <v>31298</v>
      </c>
      <c r="L4853" s="5" t="s">
        <v>31971</v>
      </c>
    </row>
    <row r="4854">
      <c r="A4854" s="4">
        <v>45534.35462935185</v>
      </c>
      <c r="B4854" s="5" t="s">
        <v>34</v>
      </c>
      <c r="D4854" s="5" t="s">
        <v>1206</v>
      </c>
      <c r="E4854" s="5" t="s">
        <v>31974</v>
      </c>
      <c r="F4854" s="5" t="s">
        <v>120</v>
      </c>
      <c r="G4854" s="5" t="s">
        <v>31975</v>
      </c>
      <c r="H4854" s="6" t="s">
        <v>31976</v>
      </c>
      <c r="I4854" s="7" t="s">
        <v>31977</v>
      </c>
      <c r="J4854" s="8" t="str">
        <f>HYPERLINK("https://drive.google.com/file/d/1jxzZZLhblYr8cc0gYwXO5tgfAmR9wFc7/view?usp=drivesdk","DRG.NANIK PUJi WAHYUNI,MM SERTIFIKAT BerAKHLAK")</f>
        <v>DRG.NANIK PUJi WAHYUNI,MM SERTIFIKAT BerAKHLAK</v>
      </c>
      <c r="K4854" s="5" t="s">
        <v>31978</v>
      </c>
      <c r="L4854" s="5" t="s">
        <v>31979</v>
      </c>
    </row>
    <row r="4855">
      <c r="A4855" s="4">
        <v>45534.35463527778</v>
      </c>
      <c r="B4855" s="5" t="s">
        <v>34</v>
      </c>
      <c r="D4855" s="5" t="s">
        <v>4775</v>
      </c>
      <c r="E4855" s="5" t="s">
        <v>31982</v>
      </c>
      <c r="F4855" s="5" t="s">
        <v>72</v>
      </c>
      <c r="G4855" s="5" t="s">
        <v>31983</v>
      </c>
      <c r="H4855" s="6" t="s">
        <v>31984</v>
      </c>
      <c r="I4855" s="7" t="s">
        <v>31985</v>
      </c>
      <c r="J4855" s="8" t="str">
        <f>HYPERLINK("https://drive.google.com/file/d/1ryTuRg3ZsbKg9SpTZv9O_zQCZWTkC5Ao/view?usp=drivesdk","WIDIYA PURWANTI, A. MD SERTIFIKAT BerAKHLAK")</f>
        <v>WIDIYA PURWANTI, A. MD SERTIFIKAT BerAKHLAK</v>
      </c>
      <c r="K4855" s="5" t="s">
        <v>31978</v>
      </c>
      <c r="L4855" s="5" t="s">
        <v>31986</v>
      </c>
    </row>
    <row r="4856">
      <c r="A4856" s="4">
        <v>45534.35463828704</v>
      </c>
      <c r="B4856" s="5" t="s">
        <v>34</v>
      </c>
      <c r="D4856" s="5" t="s">
        <v>522</v>
      </c>
      <c r="E4856" s="5" t="s">
        <v>31990</v>
      </c>
      <c r="F4856" s="5" t="s">
        <v>715</v>
      </c>
      <c r="G4856" s="5" t="s">
        <v>31991</v>
      </c>
      <c r="H4856" s="6" t="s">
        <v>31992</v>
      </c>
      <c r="I4856" s="7" t="s">
        <v>31993</v>
      </c>
      <c r="J4856" s="8" t="str">
        <f>HYPERLINK("https://drive.google.com/file/d/1H4hzN97LQ9noOZKn7jXD0Q-zDm8_jSca/view?usp=drivesdk","SUMARNI S.SOS SERTIFIKAT BerAKHLAK")</f>
        <v>SUMARNI S.SOS SERTIFIKAT BerAKHLAK</v>
      </c>
      <c r="K4856" s="5" t="s">
        <v>31118</v>
      </c>
      <c r="L4856" s="5" t="s">
        <v>31994</v>
      </c>
    </row>
    <row r="4857">
      <c r="A4857" s="4">
        <v>45534.35464320602</v>
      </c>
      <c r="B4857" s="5" t="s">
        <v>34</v>
      </c>
      <c r="D4857" s="5" t="s">
        <v>12978</v>
      </c>
      <c r="E4857" s="7" t="s">
        <v>31997</v>
      </c>
      <c r="F4857" s="5" t="s">
        <v>72</v>
      </c>
      <c r="G4857" s="5" t="s">
        <v>31998</v>
      </c>
      <c r="H4857" s="6" t="s">
        <v>31999</v>
      </c>
      <c r="I4857" s="7" t="s">
        <v>32000</v>
      </c>
      <c r="J4857" s="8" t="str">
        <f>HYPERLINK("https://drive.google.com/file/d/1x-qMjMdLm0M_5J0GS8G1-IkGmZm7aE3E/view?usp=drivesdk","ROHANI.A.S.Psi.M.Si SERTIFIKAT BerAKHLAK")</f>
        <v>ROHANI.A.S.Psi.M.Si SERTIFIKAT BerAKHLAK</v>
      </c>
      <c r="K4857" s="5" t="s">
        <v>31298</v>
      </c>
      <c r="L4857" s="5" t="s">
        <v>32001</v>
      </c>
    </row>
    <row r="4858">
      <c r="A4858" s="4">
        <v>45534.35464884259</v>
      </c>
      <c r="B4858" s="5" t="s">
        <v>34</v>
      </c>
      <c r="D4858" s="5" t="s">
        <v>4775</v>
      </c>
      <c r="E4858" s="5" t="s">
        <v>32004</v>
      </c>
      <c r="F4858" s="5" t="s">
        <v>524</v>
      </c>
      <c r="G4858" s="5" t="s">
        <v>32005</v>
      </c>
      <c r="H4858" s="6" t="s">
        <v>32006</v>
      </c>
      <c r="I4858" s="7" t="s">
        <v>32007</v>
      </c>
      <c r="J4858" s="8" t="str">
        <f>HYPERLINK("https://drive.google.com/file/d/1shnbRAuA-xtQ2TR-EPTvLOwatrB0i4SB/view?usp=drivesdk","DESY ARISANDI.A.Md SERTIFIKAT BerAKHLAK")</f>
        <v>DESY ARISANDI.A.Md SERTIFIKAT BerAKHLAK</v>
      </c>
      <c r="K4858" s="5" t="s">
        <v>31298</v>
      </c>
      <c r="L4858" s="5" t="s">
        <v>32008</v>
      </c>
    </row>
    <row r="4859">
      <c r="A4859" s="4">
        <v>45534.354659756944</v>
      </c>
      <c r="B4859" s="5" t="s">
        <v>34</v>
      </c>
      <c r="D4859" s="5" t="s">
        <v>1206</v>
      </c>
      <c r="E4859" s="5" t="s">
        <v>32011</v>
      </c>
      <c r="F4859" s="5" t="s">
        <v>37</v>
      </c>
      <c r="G4859" s="5" t="s">
        <v>32012</v>
      </c>
      <c r="H4859" s="6" t="s">
        <v>32013</v>
      </c>
      <c r="I4859" s="7" t="s">
        <v>32014</v>
      </c>
      <c r="J4859" s="8" t="str">
        <f>HYPERLINK("https://drive.google.com/file/d/1VQ_vob2ctJP-ZPbHAo4wR5Ht9Yq_4ILs/view?usp=drivesdk","HERRY WICAKSOKO SERTIFIKAT BerAKHLAK")</f>
        <v>HERRY WICAKSOKO SERTIFIKAT BerAKHLAK</v>
      </c>
      <c r="K4859" s="5" t="s">
        <v>31298</v>
      </c>
      <c r="L4859" s="5" t="s">
        <v>32015</v>
      </c>
    </row>
    <row r="4860">
      <c r="A4860" s="4">
        <v>45534.3546600463</v>
      </c>
      <c r="B4860" s="5" t="s">
        <v>34</v>
      </c>
      <c r="D4860" s="5" t="s">
        <v>580</v>
      </c>
      <c r="E4860" s="5" t="s">
        <v>32019</v>
      </c>
      <c r="F4860" s="5" t="s">
        <v>22</v>
      </c>
      <c r="G4860" s="5" t="s">
        <v>32020</v>
      </c>
      <c r="H4860" s="6" t="s">
        <v>32021</v>
      </c>
      <c r="I4860" s="7" t="s">
        <v>32022</v>
      </c>
      <c r="J4860" s="8" t="str">
        <f>HYPERLINK("https://drive.google.com/file/d/1UPsCNxS4XnO84-nP2omc3SnDQv6j3nP2/view?usp=drivesdk","dr. KETUT SUKADANI, S. Ked SERTIFIKAT BerAKHLAK")</f>
        <v>dr. KETUT SUKADANI, S. Ked SERTIFIKAT BerAKHLAK</v>
      </c>
      <c r="K4860" s="5" t="s">
        <v>31978</v>
      </c>
      <c r="L4860" s="5" t="s">
        <v>32023</v>
      </c>
    </row>
    <row r="4861">
      <c r="A4861" s="4">
        <v>45534.354669849534</v>
      </c>
      <c r="B4861" s="5" t="s">
        <v>34</v>
      </c>
      <c r="D4861" s="5" t="s">
        <v>4775</v>
      </c>
      <c r="E4861" s="5" t="s">
        <v>32026</v>
      </c>
      <c r="F4861" s="5" t="s">
        <v>120</v>
      </c>
      <c r="G4861" s="5" t="s">
        <v>32027</v>
      </c>
      <c r="H4861" s="6" t="s">
        <v>32028</v>
      </c>
      <c r="K4861" s="5" t="s">
        <v>32029</v>
      </c>
    </row>
    <row r="4862">
      <c r="A4862" s="4">
        <v>45534.35467425926</v>
      </c>
      <c r="B4862" s="5" t="s">
        <v>34</v>
      </c>
      <c r="D4862" s="5" t="s">
        <v>1206</v>
      </c>
      <c r="E4862" s="5" t="s">
        <v>32032</v>
      </c>
      <c r="F4862" s="5" t="s">
        <v>524</v>
      </c>
      <c r="G4862" s="5" t="s">
        <v>32033</v>
      </c>
      <c r="H4862" s="6" t="s">
        <v>32034</v>
      </c>
      <c r="K4862" s="5" t="s">
        <v>32029</v>
      </c>
    </row>
    <row r="4863">
      <c r="A4863" s="4">
        <v>45534.35467438657</v>
      </c>
      <c r="B4863" s="5" t="s">
        <v>19</v>
      </c>
      <c r="C4863" s="5" t="s">
        <v>3301</v>
      </c>
      <c r="E4863" s="5" t="s">
        <v>32037</v>
      </c>
      <c r="F4863" s="5" t="s">
        <v>72</v>
      </c>
      <c r="G4863" s="5" t="s">
        <v>32038</v>
      </c>
      <c r="H4863" s="6" t="s">
        <v>32039</v>
      </c>
      <c r="K4863" s="5" t="s">
        <v>32029</v>
      </c>
    </row>
    <row r="4864">
      <c r="A4864" s="4">
        <v>45534.354677372685</v>
      </c>
      <c r="B4864" s="5" t="s">
        <v>34</v>
      </c>
      <c r="D4864" s="5" t="s">
        <v>4775</v>
      </c>
      <c r="E4864" s="5" t="s">
        <v>32042</v>
      </c>
      <c r="F4864" s="5" t="s">
        <v>524</v>
      </c>
      <c r="G4864" s="5" t="s">
        <v>32043</v>
      </c>
      <c r="H4864" s="6" t="s">
        <v>32044</v>
      </c>
      <c r="K4864" s="5" t="s">
        <v>32029</v>
      </c>
    </row>
    <row r="4865">
      <c r="A4865" s="4">
        <v>45534.354686412036</v>
      </c>
      <c r="B4865" s="5" t="s">
        <v>34</v>
      </c>
      <c r="D4865" s="5" t="s">
        <v>3849</v>
      </c>
      <c r="E4865" s="5" t="s">
        <v>32048</v>
      </c>
      <c r="F4865" s="5" t="s">
        <v>108</v>
      </c>
      <c r="G4865" s="5" t="s">
        <v>32049</v>
      </c>
      <c r="H4865" s="6" t="s">
        <v>32050</v>
      </c>
      <c r="K4865" s="5" t="s">
        <v>32029</v>
      </c>
    </row>
    <row r="4866">
      <c r="A4866" s="4">
        <v>45534.35469064815</v>
      </c>
      <c r="B4866" s="5" t="s">
        <v>34</v>
      </c>
      <c r="D4866" s="5" t="s">
        <v>4775</v>
      </c>
      <c r="E4866" s="5" t="s">
        <v>32053</v>
      </c>
      <c r="F4866" s="5" t="s">
        <v>37</v>
      </c>
      <c r="G4866" s="5" t="s">
        <v>32054</v>
      </c>
      <c r="H4866" s="6" t="s">
        <v>32055</v>
      </c>
      <c r="K4866" s="5" t="s">
        <v>32029</v>
      </c>
    </row>
    <row r="4867">
      <c r="A4867" s="4">
        <v>45534.354693472225</v>
      </c>
      <c r="B4867" s="5" t="s">
        <v>34</v>
      </c>
      <c r="D4867" s="5" t="s">
        <v>3849</v>
      </c>
      <c r="E4867" s="5" t="s">
        <v>32058</v>
      </c>
      <c r="F4867" s="5" t="s">
        <v>37</v>
      </c>
      <c r="G4867" s="5" t="s">
        <v>32059</v>
      </c>
      <c r="H4867" s="6" t="s">
        <v>32060</v>
      </c>
      <c r="K4867" s="5" t="s">
        <v>32029</v>
      </c>
    </row>
    <row r="4868">
      <c r="A4868" s="4">
        <v>45534.35470869213</v>
      </c>
      <c r="B4868" s="5" t="s">
        <v>34</v>
      </c>
      <c r="D4868" s="5" t="s">
        <v>6232</v>
      </c>
      <c r="E4868" s="5" t="s">
        <v>32063</v>
      </c>
      <c r="F4868" s="5" t="s">
        <v>524</v>
      </c>
      <c r="G4868" s="5" t="s">
        <v>32064</v>
      </c>
      <c r="H4868" s="6" t="s">
        <v>32065</v>
      </c>
      <c r="I4868" s="7" t="s">
        <v>32066</v>
      </c>
      <c r="J4868" s="8" t="str">
        <f>HYPERLINK("https://drive.google.com/file/d/1rLm-LxLQQj_k88g3z5lCw-b-iCYejGZj/view?usp=drivesdk","LISRI OKTARIDA, S.PD SERTIFIKAT BerAKHLAK")</f>
        <v>LISRI OKTARIDA, S.PD SERTIFIKAT BerAKHLAK</v>
      </c>
      <c r="K4868" s="5" t="s">
        <v>31118</v>
      </c>
      <c r="L4868" s="5" t="s">
        <v>32067</v>
      </c>
    </row>
    <row r="4869">
      <c r="A4869" s="4">
        <v>45534.35471559028</v>
      </c>
      <c r="B4869" s="5" t="s">
        <v>34</v>
      </c>
      <c r="D4869" s="5" t="s">
        <v>4775</v>
      </c>
      <c r="E4869" s="5" t="s">
        <v>32070</v>
      </c>
      <c r="F4869" s="5" t="s">
        <v>120</v>
      </c>
      <c r="G4869" s="5" t="s">
        <v>32071</v>
      </c>
      <c r="H4869" s="6" t="s">
        <v>32072</v>
      </c>
      <c r="I4869" s="7" t="s">
        <v>32073</v>
      </c>
      <c r="J4869" s="8" t="str">
        <f>HYPERLINK("https://drive.google.com/file/d/1ImQ7_FVlfdkpCwqCBeeORvW7ga4COViy/view?usp=drivesdk","dr MICHAEL KHRISTIAWAN ARIESTADI SERTIFIKAT BerAKHLAK")</f>
        <v>dr MICHAEL KHRISTIAWAN ARIESTADI SERTIFIKAT BerAKHLAK</v>
      </c>
      <c r="K4869" s="5" t="s">
        <v>31298</v>
      </c>
      <c r="L4869" s="5" t="s">
        <v>32074</v>
      </c>
    </row>
    <row r="4870">
      <c r="A4870" s="4">
        <v>45534.354729212966</v>
      </c>
      <c r="B4870" s="5" t="s">
        <v>34</v>
      </c>
      <c r="D4870" s="5" t="s">
        <v>267</v>
      </c>
      <c r="E4870" s="5" t="s">
        <v>32078</v>
      </c>
      <c r="F4870" s="5" t="s">
        <v>108</v>
      </c>
      <c r="G4870" s="5" t="s">
        <v>32079</v>
      </c>
      <c r="H4870" s="6" t="s">
        <v>32080</v>
      </c>
      <c r="I4870" s="7" t="s">
        <v>32081</v>
      </c>
      <c r="J4870" s="8" t="str">
        <f>HYPERLINK("https://drive.google.com/file/d/1CdEQyYvLNTRD6SOCTHnEzNq4_7idYSso/view?usp=drivesdk","SRI WAHYUNINGSIH SERTIFIKAT BerAKHLAK")</f>
        <v>SRI WAHYUNINGSIH SERTIFIKAT BerAKHLAK</v>
      </c>
      <c r="K4870" s="5" t="s">
        <v>31298</v>
      </c>
      <c r="L4870" s="5" t="s">
        <v>32082</v>
      </c>
    </row>
    <row r="4871">
      <c r="A4871" s="4">
        <v>45534.354735925925</v>
      </c>
      <c r="B4871" s="5" t="s">
        <v>34</v>
      </c>
      <c r="D4871" s="5" t="s">
        <v>10444</v>
      </c>
      <c r="E4871" s="5" t="s">
        <v>32085</v>
      </c>
      <c r="F4871" s="5" t="s">
        <v>524</v>
      </c>
      <c r="G4871" s="5" t="s">
        <v>32086</v>
      </c>
      <c r="H4871" s="6" t="s">
        <v>32087</v>
      </c>
      <c r="I4871" s="7" t="s">
        <v>32088</v>
      </c>
      <c r="J4871" s="8" t="str">
        <f>HYPERLINK("https://drive.google.com/file/d/1RDp-e9RUvDTNl1NQHtFv1UNXtdMvZDR6/view?usp=drivesdk","RENDI EKA PUTRA, Amd SERTIFIKAT BerAKHLAK")</f>
        <v>RENDI EKA PUTRA, Amd SERTIFIKAT BerAKHLAK</v>
      </c>
      <c r="K4871" s="5" t="s">
        <v>31298</v>
      </c>
      <c r="L4871" s="5" t="s">
        <v>32089</v>
      </c>
    </row>
    <row r="4872">
      <c r="A4872" s="4">
        <v>45534.354742696756</v>
      </c>
      <c r="B4872" s="5" t="s">
        <v>34</v>
      </c>
      <c r="D4872" s="5" t="s">
        <v>10444</v>
      </c>
      <c r="E4872" s="5" t="s">
        <v>32092</v>
      </c>
      <c r="F4872" s="5" t="s">
        <v>212</v>
      </c>
      <c r="G4872" s="5" t="s">
        <v>32093</v>
      </c>
      <c r="H4872" s="6" t="s">
        <v>32094</v>
      </c>
      <c r="I4872" s="7" t="s">
        <v>32095</v>
      </c>
      <c r="J4872" s="8" t="str">
        <f>HYPERLINK("https://drive.google.com/file/d/1_OExGGBjAdYQ2E52VniESZK8P8IKaBBh/view?usp=drivesdk","MASNIARDI, A.Md.,Kep. SERTIFIKAT BerAKHLAK")</f>
        <v>MASNIARDI, A.Md.,Kep. SERTIFIKAT BerAKHLAK</v>
      </c>
      <c r="K4872" s="5" t="s">
        <v>31298</v>
      </c>
      <c r="L4872" s="5" t="s">
        <v>32096</v>
      </c>
    </row>
    <row r="4873">
      <c r="A4873" s="4">
        <v>45534.35474445602</v>
      </c>
      <c r="B4873" s="5" t="s">
        <v>34</v>
      </c>
      <c r="D4873" s="5" t="s">
        <v>522</v>
      </c>
      <c r="E4873" s="5" t="s">
        <v>32099</v>
      </c>
      <c r="F4873" s="5" t="s">
        <v>212</v>
      </c>
      <c r="G4873" s="5" t="s">
        <v>32100</v>
      </c>
      <c r="H4873" s="6" t="s">
        <v>32101</v>
      </c>
      <c r="I4873" s="7" t="s">
        <v>32102</v>
      </c>
      <c r="J4873" s="8" t="str">
        <f>HYPERLINK("https://drive.google.com/file/d/1ArVLOnZqcX5jehh3bn10vVF2xghjwvsr/view?usp=drivesdk","KOMANG SUDIARTA SERTIFIKAT BerAKHLAK")</f>
        <v>KOMANG SUDIARTA SERTIFIKAT BerAKHLAK</v>
      </c>
      <c r="K4873" s="5" t="s">
        <v>31298</v>
      </c>
      <c r="L4873" s="5" t="s">
        <v>32103</v>
      </c>
    </row>
    <row r="4874">
      <c r="A4874" s="4">
        <v>45534.35475375</v>
      </c>
      <c r="B4874" s="5" t="s">
        <v>34</v>
      </c>
      <c r="D4874" s="5" t="s">
        <v>12978</v>
      </c>
      <c r="E4874" s="5" t="s">
        <v>29221</v>
      </c>
      <c r="F4874" s="5" t="s">
        <v>108</v>
      </c>
      <c r="G4874" s="5" t="s">
        <v>32106</v>
      </c>
      <c r="H4874" s="6" t="s">
        <v>32107</v>
      </c>
      <c r="I4874" s="7" t="s">
        <v>32108</v>
      </c>
      <c r="J4874" s="8" t="str">
        <f>HYPERLINK("https://drive.google.com/file/d/1FCgDK4qVLeiaw-oGJRpF-EQPjuX0vnda/view?usp=drivesdk","SUSILAWATI SERTIFIKAT BerAKHLAK")</f>
        <v>SUSILAWATI SERTIFIKAT BerAKHLAK</v>
      </c>
      <c r="K4874" s="5" t="s">
        <v>31298</v>
      </c>
      <c r="L4874" s="5" t="s">
        <v>32109</v>
      </c>
    </row>
    <row r="4875">
      <c r="A4875" s="4">
        <v>45534.35475896991</v>
      </c>
      <c r="B4875" s="5" t="s">
        <v>34</v>
      </c>
      <c r="D4875" s="5" t="s">
        <v>10444</v>
      </c>
      <c r="E4875" s="5" t="s">
        <v>32113</v>
      </c>
      <c r="F4875" s="5" t="s">
        <v>120</v>
      </c>
      <c r="G4875" s="5" t="s">
        <v>32114</v>
      </c>
      <c r="H4875" s="6" t="s">
        <v>32115</v>
      </c>
      <c r="I4875" s="7" t="s">
        <v>32116</v>
      </c>
      <c r="J4875" s="8" t="str">
        <f>HYPERLINK("https://drive.google.com/file/d/1RFLC5JYAJ2EgnXkwa8obq5GIV14-qu9o/view?usp=drivesdk","EKO PRASATYO, S.E SERTIFIKAT BerAKHLAK")</f>
        <v>EKO PRASATYO, S.E SERTIFIKAT BerAKHLAK</v>
      </c>
      <c r="K4875" s="5" t="s">
        <v>31298</v>
      </c>
      <c r="L4875" s="5" t="s">
        <v>32117</v>
      </c>
    </row>
    <row r="4876">
      <c r="A4876" s="4">
        <v>45534.35476327546</v>
      </c>
      <c r="B4876" s="5" t="s">
        <v>34</v>
      </c>
      <c r="D4876" s="5" t="s">
        <v>4775</v>
      </c>
      <c r="E4876" s="5" t="s">
        <v>32120</v>
      </c>
      <c r="F4876" s="5" t="s">
        <v>524</v>
      </c>
      <c r="G4876" s="5" t="s">
        <v>32121</v>
      </c>
      <c r="H4876" s="6" t="s">
        <v>32122</v>
      </c>
      <c r="K4876" s="5" t="s">
        <v>32123</v>
      </c>
    </row>
    <row r="4877">
      <c r="A4877" s="4">
        <v>45534.35478083334</v>
      </c>
      <c r="B4877" s="5" t="s">
        <v>34</v>
      </c>
      <c r="D4877" s="5" t="s">
        <v>4775</v>
      </c>
      <c r="E4877" s="5" t="s">
        <v>32126</v>
      </c>
      <c r="F4877" s="5" t="s">
        <v>328</v>
      </c>
      <c r="G4877" s="5" t="s">
        <v>32127</v>
      </c>
      <c r="H4877" s="6" t="s">
        <v>32128</v>
      </c>
      <c r="I4877" s="7" t="s">
        <v>32129</v>
      </c>
      <c r="J4877" s="8" t="str">
        <f>HYPERLINK("https://drive.google.com/file/d/17XtC-aW6TN9cadVKwPHy_3prJGylvNhT/view?usp=drivesdk","ACHMAD TOHIR SERTIFIKAT BerAKHLAK")</f>
        <v>ACHMAD TOHIR SERTIFIKAT BerAKHLAK</v>
      </c>
      <c r="K4877" s="5" t="s">
        <v>31298</v>
      </c>
      <c r="L4877" s="5" t="s">
        <v>32130</v>
      </c>
    </row>
    <row r="4878">
      <c r="A4878" s="4">
        <v>45534.354790405094</v>
      </c>
      <c r="B4878" s="5" t="s">
        <v>34</v>
      </c>
      <c r="D4878" s="5" t="s">
        <v>1558</v>
      </c>
      <c r="E4878" s="5" t="s">
        <v>32134</v>
      </c>
      <c r="F4878" s="5" t="s">
        <v>212</v>
      </c>
      <c r="G4878" s="5" t="s">
        <v>32135</v>
      </c>
      <c r="H4878" s="6" t="s">
        <v>32136</v>
      </c>
      <c r="I4878" s="7" t="s">
        <v>32137</v>
      </c>
      <c r="J4878" s="8" t="str">
        <f>HYPERLINK("https://drive.google.com/file/d/10NvvSvUmnV_riakYk8HVMjNPNRS10uI9/view?usp=drivesdk","WAHYU PRATIWI SERTIFIKAT BerAKHLAK")</f>
        <v>WAHYU PRATIWI SERTIFIKAT BerAKHLAK</v>
      </c>
      <c r="K4878" s="5" t="s">
        <v>31298</v>
      </c>
      <c r="L4878" s="5" t="s">
        <v>32138</v>
      </c>
    </row>
    <row r="4879">
      <c r="A4879" s="4">
        <v>45534.35479280092</v>
      </c>
      <c r="B4879" s="5" t="s">
        <v>34</v>
      </c>
      <c r="D4879" s="5" t="s">
        <v>1206</v>
      </c>
      <c r="E4879" s="5" t="s">
        <v>32141</v>
      </c>
      <c r="F4879" s="5" t="s">
        <v>37</v>
      </c>
      <c r="G4879" s="5" t="s">
        <v>32142</v>
      </c>
      <c r="H4879" s="6" t="s">
        <v>32143</v>
      </c>
      <c r="I4879" s="7" t="s">
        <v>32144</v>
      </c>
      <c r="J4879" s="8" t="str">
        <f>HYPERLINK("https://drive.google.com/file/d/1CvR4uR084VDS0dv3HsDwQTowAbJ_6GhN/view?usp=drivesdk","DIAN HIDAYAT SERTIFIKAT BerAKHLAK")</f>
        <v>DIAN HIDAYAT SERTIFIKAT BerAKHLAK</v>
      </c>
      <c r="K4879" s="5" t="s">
        <v>31298</v>
      </c>
      <c r="L4879" s="5" t="s">
        <v>32145</v>
      </c>
    </row>
    <row r="4880">
      <c r="A4880" s="4">
        <v>45534.354793715276</v>
      </c>
      <c r="B4880" s="5" t="s">
        <v>34</v>
      </c>
      <c r="D4880" s="5" t="s">
        <v>9394</v>
      </c>
      <c r="E4880" s="5" t="s">
        <v>32148</v>
      </c>
      <c r="F4880" s="5" t="s">
        <v>37</v>
      </c>
      <c r="G4880" s="5" t="s">
        <v>32149</v>
      </c>
      <c r="H4880" s="6" t="s">
        <v>32150</v>
      </c>
      <c r="K4880" s="5" t="s">
        <v>32151</v>
      </c>
    </row>
    <row r="4881">
      <c r="A4881" s="4">
        <v>45534.354796747684</v>
      </c>
      <c r="B4881" s="5" t="s">
        <v>34</v>
      </c>
      <c r="D4881" s="5" t="s">
        <v>1206</v>
      </c>
      <c r="E4881" s="5" t="s">
        <v>32154</v>
      </c>
      <c r="F4881" s="5" t="s">
        <v>375</v>
      </c>
      <c r="G4881" s="5" t="s">
        <v>32155</v>
      </c>
      <c r="H4881" s="6" t="s">
        <v>32156</v>
      </c>
      <c r="K4881" s="5" t="s">
        <v>32151</v>
      </c>
    </row>
    <row r="4882">
      <c r="A4882" s="4">
        <v>45534.35481335648</v>
      </c>
      <c r="B4882" s="5" t="s">
        <v>34</v>
      </c>
      <c r="D4882" s="5" t="s">
        <v>1206</v>
      </c>
      <c r="E4882" s="5" t="s">
        <v>25786</v>
      </c>
      <c r="F4882" s="5" t="s">
        <v>37</v>
      </c>
      <c r="G4882" s="5" t="s">
        <v>32159</v>
      </c>
      <c r="H4882" s="6" t="s">
        <v>32160</v>
      </c>
      <c r="I4882" s="7" t="s">
        <v>32161</v>
      </c>
      <c r="J4882" s="8" t="str">
        <f>HYPERLINK("https://drive.google.com/file/d/153lnCdfCtb0Evg0s6W1XzXLDpSzLPgsO/view?usp=drivesdk","SULASTRI SERTIFIKAT BerAKHLAK")</f>
        <v>SULASTRI SERTIFIKAT BerAKHLAK</v>
      </c>
      <c r="K4882" s="5" t="s">
        <v>31298</v>
      </c>
      <c r="L4882" s="5" t="s">
        <v>32162</v>
      </c>
    </row>
    <row r="4883">
      <c r="A4883" s="4">
        <v>45534.35481875</v>
      </c>
      <c r="B4883" s="5" t="s">
        <v>34</v>
      </c>
      <c r="D4883" s="5" t="s">
        <v>4775</v>
      </c>
      <c r="E4883" s="5" t="s">
        <v>32165</v>
      </c>
      <c r="F4883" s="5" t="s">
        <v>108</v>
      </c>
      <c r="G4883" s="5" t="s">
        <v>32166</v>
      </c>
      <c r="H4883" s="6" t="s">
        <v>32167</v>
      </c>
      <c r="I4883" s="7" t="s">
        <v>32168</v>
      </c>
      <c r="J4883" s="8" t="str">
        <f>HYPERLINK("https://drive.google.com/file/d/1HaS_93jXmOgZj0cCNNMPbL1I9ichA_pC/view?usp=drivesdk","KUSWINI SERTIFIKAT BerAKHLAK")</f>
        <v>KUSWINI SERTIFIKAT BerAKHLAK</v>
      </c>
      <c r="K4883" s="5" t="s">
        <v>31298</v>
      </c>
      <c r="L4883" s="5" t="s">
        <v>32169</v>
      </c>
    </row>
    <row r="4884">
      <c r="A4884" s="4">
        <v>45534.35483053241</v>
      </c>
      <c r="B4884" s="5" t="s">
        <v>34</v>
      </c>
      <c r="D4884" s="5" t="s">
        <v>9020</v>
      </c>
      <c r="E4884" s="5" t="s">
        <v>32173</v>
      </c>
      <c r="F4884" s="5" t="s">
        <v>72</v>
      </c>
      <c r="G4884" s="5" t="s">
        <v>32174</v>
      </c>
      <c r="H4884" s="6" t="s">
        <v>32175</v>
      </c>
      <c r="I4884" s="7" t="s">
        <v>32176</v>
      </c>
      <c r="J4884" s="8" t="str">
        <f>HYPERLINK("https://drive.google.com/file/d/1gLrI9ECoTEYvQU9_2dO0QLRmSCffGXYA/view?usp=drivesdk","EMA SUSILAWATI SERTIFIKAT BerAKHLAK")</f>
        <v>EMA SUSILAWATI SERTIFIKAT BerAKHLAK</v>
      </c>
      <c r="K4884" s="5" t="s">
        <v>31298</v>
      </c>
      <c r="L4884" s="5" t="s">
        <v>32177</v>
      </c>
    </row>
    <row r="4885">
      <c r="A4885" s="4">
        <v>45534.35484335649</v>
      </c>
      <c r="B4885" s="5" t="s">
        <v>34</v>
      </c>
      <c r="D4885" s="5" t="s">
        <v>9020</v>
      </c>
      <c r="E4885" s="5" t="s">
        <v>32180</v>
      </c>
      <c r="F4885" s="5" t="s">
        <v>212</v>
      </c>
      <c r="G4885" s="5" t="s">
        <v>32181</v>
      </c>
      <c r="H4885" s="6" t="s">
        <v>32182</v>
      </c>
      <c r="K4885" s="5" t="s">
        <v>32183</v>
      </c>
    </row>
    <row r="4886">
      <c r="A4886" s="4">
        <v>45534.354844236106</v>
      </c>
      <c r="B4886" s="5" t="s">
        <v>34</v>
      </c>
      <c r="D4886" s="5" t="s">
        <v>4775</v>
      </c>
      <c r="E4886" s="5" t="s">
        <v>32186</v>
      </c>
      <c r="F4886" s="5" t="s">
        <v>108</v>
      </c>
      <c r="G4886" s="5" t="s">
        <v>32187</v>
      </c>
      <c r="H4886" s="6" t="s">
        <v>32188</v>
      </c>
      <c r="K4886" s="5" t="s">
        <v>32183</v>
      </c>
    </row>
    <row r="4887">
      <c r="A4887" s="4">
        <v>45534.35484393519</v>
      </c>
      <c r="B4887" s="5" t="s">
        <v>19</v>
      </c>
      <c r="C4887" s="5" t="s">
        <v>292</v>
      </c>
      <c r="E4887" s="5" t="s">
        <v>32191</v>
      </c>
      <c r="F4887" s="5" t="s">
        <v>212</v>
      </c>
      <c r="G4887" s="5" t="s">
        <v>32192</v>
      </c>
      <c r="H4887" s="6" t="s">
        <v>32193</v>
      </c>
      <c r="K4887" s="5" t="s">
        <v>32183</v>
      </c>
    </row>
    <row r="4888">
      <c r="A4888" s="4">
        <v>45534.35484560185</v>
      </c>
      <c r="B4888" s="5" t="s">
        <v>34</v>
      </c>
      <c r="D4888" s="5" t="s">
        <v>6232</v>
      </c>
      <c r="E4888" s="5" t="s">
        <v>32197</v>
      </c>
      <c r="F4888" s="5" t="s">
        <v>108</v>
      </c>
      <c r="G4888" s="5" t="s">
        <v>32198</v>
      </c>
      <c r="H4888" s="6" t="s">
        <v>32199</v>
      </c>
      <c r="K4888" s="5" t="s">
        <v>32183</v>
      </c>
    </row>
    <row r="4889">
      <c r="A4889" s="4">
        <v>45534.35485185185</v>
      </c>
      <c r="B4889" s="5" t="s">
        <v>34</v>
      </c>
      <c r="D4889" s="5" t="s">
        <v>1206</v>
      </c>
      <c r="E4889" s="5" t="s">
        <v>32202</v>
      </c>
      <c r="F4889" s="5" t="s">
        <v>37</v>
      </c>
      <c r="G4889" s="5" t="s">
        <v>32203</v>
      </c>
      <c r="H4889" s="6" t="s">
        <v>32204</v>
      </c>
      <c r="K4889" s="5" t="s">
        <v>32183</v>
      </c>
    </row>
    <row r="4890">
      <c r="A4890" s="4">
        <v>45534.35485878472</v>
      </c>
      <c r="B4890" s="5" t="s">
        <v>34</v>
      </c>
      <c r="D4890" s="5" t="s">
        <v>4775</v>
      </c>
      <c r="E4890" s="5" t="s">
        <v>32207</v>
      </c>
      <c r="F4890" s="5" t="s">
        <v>524</v>
      </c>
      <c r="G4890" s="5" t="s">
        <v>32208</v>
      </c>
      <c r="H4890" s="6" t="s">
        <v>32209</v>
      </c>
      <c r="K4890" s="5" t="s">
        <v>32183</v>
      </c>
    </row>
    <row r="4891">
      <c r="A4891" s="4">
        <v>45534.35486482639</v>
      </c>
      <c r="B4891" s="5" t="s">
        <v>34</v>
      </c>
      <c r="D4891" s="5" t="s">
        <v>12978</v>
      </c>
      <c r="E4891" s="5" t="s">
        <v>32212</v>
      </c>
      <c r="F4891" s="5" t="s">
        <v>212</v>
      </c>
      <c r="G4891" s="5" t="s">
        <v>32213</v>
      </c>
      <c r="H4891" s="6" t="s">
        <v>32214</v>
      </c>
      <c r="K4891" s="5" t="s">
        <v>32183</v>
      </c>
    </row>
    <row r="4892">
      <c r="A4892" s="4">
        <v>45534.35487335648</v>
      </c>
      <c r="B4892" s="5" t="s">
        <v>34</v>
      </c>
      <c r="D4892" s="5" t="s">
        <v>1206</v>
      </c>
      <c r="E4892" s="5" t="s">
        <v>32218</v>
      </c>
      <c r="F4892" s="5" t="s">
        <v>72</v>
      </c>
      <c r="G4892" s="5" t="s">
        <v>32219</v>
      </c>
      <c r="H4892" s="6" t="s">
        <v>32220</v>
      </c>
      <c r="K4892" s="5" t="s">
        <v>32183</v>
      </c>
    </row>
    <row r="4893">
      <c r="A4893" s="4">
        <v>45534.35488355324</v>
      </c>
      <c r="B4893" s="5" t="s">
        <v>34</v>
      </c>
      <c r="D4893" s="5" t="s">
        <v>580</v>
      </c>
      <c r="E4893" s="5" t="s">
        <v>32223</v>
      </c>
      <c r="F4893" s="5" t="s">
        <v>108</v>
      </c>
      <c r="G4893" s="5" t="s">
        <v>32224</v>
      </c>
      <c r="H4893" s="6" t="s">
        <v>32225</v>
      </c>
      <c r="I4893" s="7" t="s">
        <v>32226</v>
      </c>
      <c r="J4893" s="8" t="str">
        <f>HYPERLINK("https://drive.google.com/file/d/1JXzBCEBBt8n-BpbH_NvUQMuIjygFSzaq/view?usp=drivesdk","PUTU BALIFTA SAVITRI, S.E., M.Si. SERTIFIKAT BerAKHLAK")</f>
        <v>PUTU BALIFTA SAVITRI, S.E., M.Si. SERTIFIKAT BerAKHLAK</v>
      </c>
      <c r="K4893" s="5" t="s">
        <v>31298</v>
      </c>
      <c r="L4893" s="5" t="s">
        <v>32227</v>
      </c>
    </row>
    <row r="4894">
      <c r="A4894" s="4">
        <v>45534.354884305554</v>
      </c>
      <c r="B4894" s="5" t="s">
        <v>34</v>
      </c>
      <c r="D4894" s="5" t="s">
        <v>12978</v>
      </c>
      <c r="E4894" s="5" t="s">
        <v>32231</v>
      </c>
      <c r="F4894" s="5" t="s">
        <v>212</v>
      </c>
      <c r="G4894" s="5" t="s">
        <v>32232</v>
      </c>
      <c r="H4894" s="6" t="s">
        <v>32233</v>
      </c>
      <c r="I4894" s="7" t="s">
        <v>32234</v>
      </c>
      <c r="J4894" s="8" t="str">
        <f>HYPERLINK("https://drive.google.com/file/d/1_CGtDz-AMf_hoAoJRXOdRsdcKsqwXLPB/view?usp=drivesdk","HUSNA AGUSTINA SERTIFIKAT BerAKHLAK")</f>
        <v>HUSNA AGUSTINA SERTIFIKAT BerAKHLAK</v>
      </c>
      <c r="K4894" s="5" t="s">
        <v>31298</v>
      </c>
      <c r="L4894" s="5" t="s">
        <v>32235</v>
      </c>
    </row>
    <row r="4895">
      <c r="A4895" s="4">
        <v>45534.35491184027</v>
      </c>
      <c r="B4895" s="5" t="s">
        <v>34</v>
      </c>
      <c r="D4895" s="5" t="s">
        <v>10444</v>
      </c>
      <c r="E4895" s="5" t="s">
        <v>32238</v>
      </c>
      <c r="F4895" s="5" t="s">
        <v>375</v>
      </c>
      <c r="G4895" s="5" t="s">
        <v>32239</v>
      </c>
      <c r="H4895" s="6" t="s">
        <v>32240</v>
      </c>
      <c r="I4895" s="7" t="s">
        <v>32241</v>
      </c>
      <c r="J4895" s="8" t="str">
        <f>HYPERLINK("https://drive.google.com/file/d/1tlwaWAWthUvzsgRpz1Kmr0NAV1vaHa2g/view?usp=drivesdk","RAHMAWATI S.Kom SERTIFIKAT BerAKHLAK")</f>
        <v>RAHMAWATI S.Kom SERTIFIKAT BerAKHLAK</v>
      </c>
      <c r="K4895" s="5" t="s">
        <v>31298</v>
      </c>
      <c r="L4895" s="5" t="s">
        <v>32242</v>
      </c>
    </row>
    <row r="4896">
      <c r="A4896" s="4">
        <v>45534.354917199074</v>
      </c>
      <c r="B4896" s="5" t="s">
        <v>34</v>
      </c>
      <c r="D4896" s="5" t="s">
        <v>1206</v>
      </c>
      <c r="E4896" s="5" t="s">
        <v>32245</v>
      </c>
      <c r="F4896" s="5" t="s">
        <v>37</v>
      </c>
      <c r="G4896" s="5" t="s">
        <v>32246</v>
      </c>
      <c r="H4896" s="6" t="s">
        <v>32247</v>
      </c>
      <c r="I4896" s="7" t="s">
        <v>32248</v>
      </c>
      <c r="J4896" s="8" t="str">
        <f>HYPERLINK("https://drive.google.com/file/d/1GH0WMqJGLAmC4ISNwn95epp_aqcSnVXt/view?usp=drivesdk","LILLAH FITRIA, SS SERTIFIKAT BerAKHLAK")</f>
        <v>LILLAH FITRIA, SS SERTIFIKAT BerAKHLAK</v>
      </c>
      <c r="K4896" s="5" t="s">
        <v>31298</v>
      </c>
      <c r="L4896" s="5" t="s">
        <v>32249</v>
      </c>
    </row>
    <row r="4897">
      <c r="A4897" s="4">
        <v>45534.354917627315</v>
      </c>
      <c r="B4897" s="5" t="s">
        <v>34</v>
      </c>
      <c r="D4897" s="5" t="s">
        <v>4775</v>
      </c>
      <c r="E4897" s="5" t="s">
        <v>32252</v>
      </c>
      <c r="F4897" s="5" t="s">
        <v>5859</v>
      </c>
      <c r="G4897" s="5" t="s">
        <v>32253</v>
      </c>
      <c r="H4897" s="6" t="s">
        <v>32254</v>
      </c>
      <c r="I4897" s="7" t="s">
        <v>32255</v>
      </c>
      <c r="J4897" s="8" t="str">
        <f>HYPERLINK("https://drive.google.com/file/d/1tmZDxIvbZN-JpxxyUewdN0yjs4wWWLjs/view?usp=drivesdk","BAPAK NARSO SERTIFIKAT BerAKHLAK")</f>
        <v>BAPAK NARSO SERTIFIKAT BerAKHLAK</v>
      </c>
      <c r="K4897" s="5" t="s">
        <v>31298</v>
      </c>
      <c r="L4897" s="5" t="s">
        <v>32256</v>
      </c>
    </row>
    <row r="4898">
      <c r="A4898" s="4">
        <v>45534.3549403125</v>
      </c>
      <c r="B4898" s="5" t="s">
        <v>34</v>
      </c>
      <c r="D4898" s="5" t="s">
        <v>4775</v>
      </c>
      <c r="E4898" s="5" t="s">
        <v>32259</v>
      </c>
      <c r="F4898" s="5" t="s">
        <v>37</v>
      </c>
      <c r="G4898" s="5" t="s">
        <v>32260</v>
      </c>
      <c r="H4898" s="6" t="s">
        <v>32261</v>
      </c>
      <c r="I4898" s="7" t="s">
        <v>32262</v>
      </c>
      <c r="J4898" s="8" t="str">
        <f>HYPERLINK("https://drive.google.com/file/d/16rqeuyR4rM5NgWDEzS4-1pY_ubORfw7-/view?usp=drivesdk","CHRISTINA WAHYU WIDHI ASTUTI SERTIFIKAT BerAKHLAK")</f>
        <v>CHRISTINA WAHYU WIDHI ASTUTI SERTIFIKAT BerAKHLAK</v>
      </c>
      <c r="K4898" s="5" t="s">
        <v>31298</v>
      </c>
      <c r="L4898" s="5" t="s">
        <v>32263</v>
      </c>
    </row>
    <row r="4899">
      <c r="A4899" s="4">
        <v>45534.35494363426</v>
      </c>
      <c r="B4899" s="5" t="s">
        <v>34</v>
      </c>
      <c r="D4899" s="5" t="s">
        <v>1206</v>
      </c>
      <c r="E4899" s="5" t="s">
        <v>32267</v>
      </c>
      <c r="F4899" s="5" t="s">
        <v>212</v>
      </c>
      <c r="G4899" s="5" t="s">
        <v>32268</v>
      </c>
      <c r="H4899" s="6" t="s">
        <v>32269</v>
      </c>
      <c r="I4899" s="7" t="s">
        <v>32270</v>
      </c>
      <c r="J4899" s="8" t="str">
        <f>HYPERLINK("https://drive.google.com/file/d/1xHYI4Mz0bvP8zpvVNZtc81nuz5BaQckS/view?usp=drivesdk","PRABOWO SUBEKTI SERTIFIKAT BerAKHLAK")</f>
        <v>PRABOWO SUBEKTI SERTIFIKAT BerAKHLAK</v>
      </c>
      <c r="K4899" s="5" t="s">
        <v>31298</v>
      </c>
      <c r="L4899" s="5" t="s">
        <v>32271</v>
      </c>
    </row>
    <row r="4900">
      <c r="A4900" s="4">
        <v>45534.35495145833</v>
      </c>
      <c r="B4900" s="5" t="s">
        <v>34</v>
      </c>
      <c r="D4900" s="5" t="s">
        <v>7858</v>
      </c>
      <c r="E4900" s="5" t="s">
        <v>32274</v>
      </c>
      <c r="F4900" s="5" t="s">
        <v>37</v>
      </c>
      <c r="G4900" s="5" t="s">
        <v>32275</v>
      </c>
      <c r="H4900" s="6" t="s">
        <v>32276</v>
      </c>
      <c r="I4900" s="7" t="s">
        <v>32277</v>
      </c>
      <c r="J4900" s="8" t="str">
        <f>HYPERLINK("https://drive.google.com/file/d/17THPLLfX9Cp8zr3txe1_i0sQbVMiWflV/view?usp=drivesdk","MANDU HAERANI, S.Ak SERTIFIKAT BerAKHLAK")</f>
        <v>MANDU HAERANI, S.Ak SERTIFIKAT BerAKHLAK</v>
      </c>
      <c r="K4900" s="5" t="s">
        <v>31298</v>
      </c>
      <c r="L4900" s="5" t="s">
        <v>32278</v>
      </c>
    </row>
    <row r="4901">
      <c r="A4901" s="4">
        <v>45534.35497540509</v>
      </c>
      <c r="B4901" s="5" t="s">
        <v>34</v>
      </c>
      <c r="D4901" s="5" t="s">
        <v>9394</v>
      </c>
      <c r="E4901" s="5" t="s">
        <v>32281</v>
      </c>
      <c r="F4901" s="5" t="s">
        <v>715</v>
      </c>
      <c r="G4901" s="5" t="s">
        <v>32282</v>
      </c>
      <c r="H4901" s="6" t="s">
        <v>32283</v>
      </c>
      <c r="I4901" s="7" t="s">
        <v>32284</v>
      </c>
      <c r="J4901" s="8" t="str">
        <f>HYPERLINK("https://drive.google.com/file/d/1yLyf7oNp2aJB7-LU6PE0OfJwTCsVkKP2/view?usp=drivesdk","RITA AGUSTINA RIA, SH SERTIFIKAT BerAKHLAK")</f>
        <v>RITA AGUSTINA RIA, SH SERTIFIKAT BerAKHLAK</v>
      </c>
      <c r="K4901" s="5" t="s">
        <v>31298</v>
      </c>
      <c r="L4901" s="5" t="s">
        <v>32285</v>
      </c>
    </row>
    <row r="4902">
      <c r="A4902" s="4">
        <v>45534.35499590277</v>
      </c>
      <c r="B4902" s="5" t="s">
        <v>34</v>
      </c>
      <c r="D4902" s="5" t="s">
        <v>35</v>
      </c>
      <c r="E4902" s="5" t="s">
        <v>32288</v>
      </c>
      <c r="F4902" s="5" t="s">
        <v>37</v>
      </c>
      <c r="G4902" s="5" t="s">
        <v>32289</v>
      </c>
      <c r="H4902" s="6" t="s">
        <v>32290</v>
      </c>
      <c r="I4902" s="7" t="s">
        <v>32291</v>
      </c>
      <c r="J4902" s="8" t="str">
        <f>HYPERLINK("https://drive.google.com/file/d/1Cn4kWXSaxYP6JmDBON-hOv_xNciquPax/view?usp=drivesdk","PENGATUR IYUS SUMPENA SERTIFIKAT BerAKHLAK")</f>
        <v>PENGATUR IYUS SUMPENA SERTIFIKAT BerAKHLAK</v>
      </c>
      <c r="K4902" s="5" t="s">
        <v>31298</v>
      </c>
      <c r="L4902" s="5" t="s">
        <v>32292</v>
      </c>
    </row>
    <row r="4903">
      <c r="A4903" s="4">
        <v>45534.35500577546</v>
      </c>
      <c r="B4903" s="5" t="s">
        <v>34</v>
      </c>
      <c r="D4903" s="5" t="s">
        <v>4775</v>
      </c>
      <c r="E4903" s="5" t="s">
        <v>32296</v>
      </c>
      <c r="F4903" s="5" t="s">
        <v>212</v>
      </c>
      <c r="G4903" s="5" t="s">
        <v>32297</v>
      </c>
      <c r="H4903" s="6" t="s">
        <v>32298</v>
      </c>
      <c r="I4903" s="7" t="s">
        <v>32299</v>
      </c>
      <c r="J4903" s="8" t="str">
        <f>HYPERLINK("https://drive.google.com/file/d/17Mc-P50s_WkIW7wZz3t05d6DIa9O2ns_/view?usp=drivesdk","MATORI SERTIFIKAT BerAKHLAK")</f>
        <v>MATORI SERTIFIKAT BerAKHLAK</v>
      </c>
      <c r="K4903" s="5" t="s">
        <v>31978</v>
      </c>
      <c r="L4903" s="5" t="s">
        <v>32300</v>
      </c>
    </row>
    <row r="4904">
      <c r="A4904" s="4">
        <v>45534.35500729167</v>
      </c>
      <c r="B4904" s="5" t="s">
        <v>34</v>
      </c>
      <c r="D4904" s="5" t="s">
        <v>975</v>
      </c>
      <c r="E4904" s="5" t="s">
        <v>32303</v>
      </c>
      <c r="F4904" s="5" t="s">
        <v>108</v>
      </c>
      <c r="G4904" s="5" t="s">
        <v>32304</v>
      </c>
      <c r="H4904" s="6" t="s">
        <v>32305</v>
      </c>
      <c r="I4904" s="7" t="s">
        <v>32306</v>
      </c>
      <c r="J4904" s="8" t="str">
        <f>HYPERLINK("https://drive.google.com/file/d/1dk9KnAbmO3XQpL5Tk100zd_b8xH3XyHb/view?usp=drivesdk","dr. Vera Uliana Simanjuntak SERTIFIKAT BerAKHLAK")</f>
        <v>dr. Vera Uliana Simanjuntak SERTIFIKAT BerAKHLAK</v>
      </c>
      <c r="K4904" s="5" t="s">
        <v>31978</v>
      </c>
      <c r="L4904" s="5" t="s">
        <v>32307</v>
      </c>
    </row>
    <row r="4905">
      <c r="A4905" s="4">
        <v>45534.35501864583</v>
      </c>
      <c r="B4905" s="5" t="s">
        <v>34</v>
      </c>
      <c r="D4905" s="5" t="s">
        <v>1206</v>
      </c>
      <c r="E4905" s="5" t="s">
        <v>32310</v>
      </c>
      <c r="F4905" s="5" t="s">
        <v>37</v>
      </c>
      <c r="G4905" s="5" t="s">
        <v>32311</v>
      </c>
      <c r="H4905" s="6" t="s">
        <v>32312</v>
      </c>
      <c r="K4905" s="5" t="s">
        <v>32313</v>
      </c>
    </row>
    <row r="4906">
      <c r="A4906" s="4">
        <v>45534.35502055555</v>
      </c>
      <c r="B4906" s="5" t="s">
        <v>34</v>
      </c>
      <c r="D4906" s="5" t="s">
        <v>9020</v>
      </c>
      <c r="E4906" s="5" t="s">
        <v>32316</v>
      </c>
      <c r="F4906" s="5" t="s">
        <v>212</v>
      </c>
      <c r="G4906" s="5" t="s">
        <v>32317</v>
      </c>
      <c r="H4906" s="6" t="s">
        <v>32318</v>
      </c>
      <c r="K4906" s="5" t="s">
        <v>32319</v>
      </c>
    </row>
    <row r="4907">
      <c r="A4907" s="4">
        <v>45534.35503456018</v>
      </c>
      <c r="B4907" s="5" t="s">
        <v>34</v>
      </c>
      <c r="D4907" s="5" t="s">
        <v>4775</v>
      </c>
      <c r="E4907" s="5" t="s">
        <v>32322</v>
      </c>
      <c r="F4907" s="5" t="s">
        <v>524</v>
      </c>
      <c r="G4907" s="5" t="s">
        <v>32323</v>
      </c>
      <c r="H4907" s="6" t="s">
        <v>32324</v>
      </c>
      <c r="I4907" s="7" t="s">
        <v>32325</v>
      </c>
      <c r="J4907" s="8" t="str">
        <f>HYPERLINK("https://drive.google.com/file/d/1nycxrg4A154iueZdsvEQLqdtRut0ez0Z/view?usp=drivesdk","CHARISMA HANIF FEBRIA NUGROHO  SERTIFIKAT BerAKHLAK")</f>
        <v>CHARISMA HANIF FEBRIA NUGROHO  SERTIFIKAT BerAKHLAK</v>
      </c>
      <c r="K4907" s="5" t="s">
        <v>31298</v>
      </c>
      <c r="L4907" s="5" t="s">
        <v>32326</v>
      </c>
    </row>
    <row r="4908">
      <c r="A4908" s="4">
        <v>45534.35503820602</v>
      </c>
      <c r="B4908" s="5" t="s">
        <v>19</v>
      </c>
      <c r="C4908" s="5" t="s">
        <v>11593</v>
      </c>
      <c r="E4908" s="5" t="s">
        <v>32330</v>
      </c>
      <c r="F4908" s="5" t="s">
        <v>120</v>
      </c>
      <c r="G4908" s="5" t="s">
        <v>32331</v>
      </c>
      <c r="H4908" s="6" t="s">
        <v>32332</v>
      </c>
      <c r="I4908" s="7" t="s">
        <v>32333</v>
      </c>
      <c r="J4908" s="8" t="str">
        <f>HYPERLINK("https://drive.google.com/file/d/1Gnzfiginfo11NgOEsj2rzi7e_ykOE987/view?usp=drivesdk","Dr. ANINDITA BASUKI, Sp.RAD SERTIFIKAT BerAKHLAK")</f>
        <v>Dr. ANINDITA BASUKI, Sp.RAD SERTIFIKAT BerAKHLAK</v>
      </c>
      <c r="K4908" s="5" t="s">
        <v>31978</v>
      </c>
      <c r="L4908" s="5" t="s">
        <v>32334</v>
      </c>
    </row>
    <row r="4909">
      <c r="A4909" s="4">
        <v>45534.35503917824</v>
      </c>
      <c r="B4909" s="5" t="s">
        <v>34</v>
      </c>
      <c r="D4909" s="5" t="s">
        <v>10444</v>
      </c>
      <c r="E4909" s="5" t="s">
        <v>32337</v>
      </c>
      <c r="F4909" s="5" t="s">
        <v>375</v>
      </c>
      <c r="G4909" s="5" t="s">
        <v>32338</v>
      </c>
      <c r="H4909" s="6" t="s">
        <v>32339</v>
      </c>
      <c r="I4909" s="7" t="s">
        <v>32340</v>
      </c>
      <c r="J4909" s="8" t="str">
        <f>HYPERLINK("https://drive.google.com/file/d/1g4eYHFOMbyDbR9MdgyBBtQPuHrB62wHn/view?usp=drivesdk","AREIS RIZALDI SERTIFIKAT BerAKHLAK")</f>
        <v>AREIS RIZALDI SERTIFIKAT BerAKHLAK</v>
      </c>
      <c r="K4909" s="5" t="s">
        <v>31978</v>
      </c>
      <c r="L4909" s="5" t="s">
        <v>32341</v>
      </c>
    </row>
    <row r="4910">
      <c r="A4910" s="4">
        <v>45534.355058078705</v>
      </c>
      <c r="B4910" s="5" t="s">
        <v>34</v>
      </c>
      <c r="D4910" s="5" t="s">
        <v>7858</v>
      </c>
      <c r="E4910" s="5" t="s">
        <v>32344</v>
      </c>
      <c r="F4910" s="5" t="s">
        <v>120</v>
      </c>
      <c r="G4910" s="5" t="s">
        <v>32345</v>
      </c>
      <c r="H4910" s="6" t="s">
        <v>32346</v>
      </c>
      <c r="I4910" s="7" t="s">
        <v>32347</v>
      </c>
      <c r="J4910" s="8" t="str">
        <f>HYPERLINK("https://drive.google.com/file/d/1R-Y3dOSEbL8zjGgywPRUjSdOhGo9KZ8Y/view?usp=drivesdk","dr. EKA MARIANI SERTIFIKAT BerAKHLAK")</f>
        <v>dr. EKA MARIANI SERTIFIKAT BerAKHLAK</v>
      </c>
      <c r="K4910" s="5" t="s">
        <v>31978</v>
      </c>
      <c r="L4910" s="5" t="s">
        <v>32348</v>
      </c>
    </row>
    <row r="4911">
      <c r="A4911" s="4">
        <v>45534.355064664356</v>
      </c>
      <c r="B4911" s="5" t="s">
        <v>34</v>
      </c>
      <c r="D4911" s="5" t="s">
        <v>4775</v>
      </c>
      <c r="E4911" s="5" t="s">
        <v>32351</v>
      </c>
      <c r="F4911" s="5" t="s">
        <v>72</v>
      </c>
      <c r="G4911" s="5" t="s">
        <v>32352</v>
      </c>
      <c r="H4911" s="6" t="s">
        <v>32353</v>
      </c>
      <c r="I4911" s="7" t="s">
        <v>32354</v>
      </c>
      <c r="J4911" s="8" t="str">
        <f>HYPERLINK("https://drive.google.com/file/d/1f4Rtzdn81ABXWQUPrMMxp5ObYDRi3C5V/view?usp=drivesdk","ELIAWATI, S.H SERTIFIKAT BerAKHLAK")</f>
        <v>ELIAWATI, S.H SERTIFIKAT BerAKHLAK</v>
      </c>
      <c r="K4911" s="5" t="s">
        <v>31978</v>
      </c>
      <c r="L4911" s="5" t="s">
        <v>32355</v>
      </c>
    </row>
    <row r="4912">
      <c r="A4912" s="4">
        <v>45534.355069756944</v>
      </c>
      <c r="B4912" s="5" t="s">
        <v>34</v>
      </c>
      <c r="D4912" s="5" t="s">
        <v>1206</v>
      </c>
      <c r="E4912" s="5" t="s">
        <v>32358</v>
      </c>
      <c r="F4912" s="5" t="s">
        <v>524</v>
      </c>
      <c r="G4912" s="5" t="s">
        <v>32359</v>
      </c>
      <c r="H4912" s="6" t="s">
        <v>32360</v>
      </c>
      <c r="I4912" s="7" t="s">
        <v>32361</v>
      </c>
      <c r="J4912" s="8" t="str">
        <f>HYPERLINK("https://drive.google.com/file/d/1VJvryXXYesaqtsXo51CmDyDgyeiAWFGV/view?usp=drivesdk","IDA DWI NOPIA SARI  SERTIFIKAT BerAKHLAK")</f>
        <v>IDA DWI NOPIA SARI  SERTIFIKAT BerAKHLAK</v>
      </c>
      <c r="K4912" s="5" t="s">
        <v>31978</v>
      </c>
      <c r="L4912" s="5" t="s">
        <v>32362</v>
      </c>
    </row>
    <row r="4913">
      <c r="A4913" s="4">
        <v>45534.35507333333</v>
      </c>
      <c r="B4913" s="5" t="s">
        <v>34</v>
      </c>
      <c r="D4913" s="5" t="s">
        <v>522</v>
      </c>
      <c r="E4913" s="5" t="s">
        <v>32366</v>
      </c>
      <c r="F4913" s="5" t="s">
        <v>37</v>
      </c>
      <c r="G4913" s="5" t="s">
        <v>32367</v>
      </c>
      <c r="H4913" s="6" t="s">
        <v>32368</v>
      </c>
      <c r="K4913" s="5" t="s">
        <v>32369</v>
      </c>
    </row>
    <row r="4914">
      <c r="A4914" s="4">
        <v>45534.355084814815</v>
      </c>
      <c r="B4914" s="5" t="s">
        <v>34</v>
      </c>
      <c r="D4914" s="5" t="s">
        <v>4775</v>
      </c>
      <c r="E4914" s="5" t="s">
        <v>32372</v>
      </c>
      <c r="F4914" s="5" t="s">
        <v>375</v>
      </c>
      <c r="G4914" s="5" t="s">
        <v>32373</v>
      </c>
      <c r="H4914" s="6" t="s">
        <v>32374</v>
      </c>
      <c r="K4914" s="5" t="s">
        <v>32375</v>
      </c>
    </row>
    <row r="4915">
      <c r="A4915" s="4">
        <v>45534.355096134255</v>
      </c>
      <c r="B4915" s="5" t="s">
        <v>34</v>
      </c>
      <c r="D4915" s="5" t="s">
        <v>701</v>
      </c>
      <c r="E4915" s="5" t="s">
        <v>32378</v>
      </c>
      <c r="F4915" s="5" t="s">
        <v>37</v>
      </c>
      <c r="G4915" s="5" t="s">
        <v>32379</v>
      </c>
      <c r="H4915" s="6" t="s">
        <v>32380</v>
      </c>
      <c r="K4915" s="5" t="s">
        <v>32375</v>
      </c>
    </row>
    <row r="4916">
      <c r="A4916" s="4">
        <v>45534.355096631945</v>
      </c>
      <c r="B4916" s="5" t="s">
        <v>34</v>
      </c>
      <c r="D4916" s="5" t="s">
        <v>1206</v>
      </c>
      <c r="E4916" s="5" t="s">
        <v>32383</v>
      </c>
      <c r="F4916" s="5" t="s">
        <v>212</v>
      </c>
      <c r="G4916" s="5" t="s">
        <v>32384</v>
      </c>
      <c r="H4916" s="6" t="s">
        <v>32385</v>
      </c>
      <c r="K4916" s="5" t="s">
        <v>32375</v>
      </c>
    </row>
    <row r="4917">
      <c r="A4917" s="4">
        <v>45534.35509997685</v>
      </c>
      <c r="B4917" s="5" t="s">
        <v>34</v>
      </c>
      <c r="D4917" s="5" t="s">
        <v>35</v>
      </c>
      <c r="E4917" s="5" t="s">
        <v>32389</v>
      </c>
      <c r="F4917" s="5" t="s">
        <v>120</v>
      </c>
      <c r="G4917" s="5" t="s">
        <v>32390</v>
      </c>
      <c r="H4917" s="6" t="s">
        <v>32391</v>
      </c>
      <c r="K4917" s="5" t="s">
        <v>32375</v>
      </c>
    </row>
    <row r="4918">
      <c r="A4918" s="4">
        <v>45534.35511344907</v>
      </c>
      <c r="B4918" s="5" t="s">
        <v>34</v>
      </c>
      <c r="D4918" s="5" t="s">
        <v>4775</v>
      </c>
      <c r="E4918" s="5" t="s">
        <v>32394</v>
      </c>
      <c r="F4918" s="5" t="s">
        <v>524</v>
      </c>
      <c r="G4918" s="5" t="s">
        <v>32395</v>
      </c>
      <c r="H4918" s="6" t="s">
        <v>32396</v>
      </c>
      <c r="I4918" s="7" t="s">
        <v>32397</v>
      </c>
      <c r="J4918" s="8" t="str">
        <f>HYPERLINK("https://drive.google.com/file/d/1rdR5m8LNjBrSzPJf4Xkwy6Nkrko54HWN/view?usp=drivesdk","TRI ARTATI, A.MD. FARM SERTIFIKAT BerAKHLAK")</f>
        <v>TRI ARTATI, A.MD. FARM SERTIFIKAT BerAKHLAK</v>
      </c>
      <c r="K4918" s="5" t="s">
        <v>31978</v>
      </c>
      <c r="L4918" s="5" t="s">
        <v>32398</v>
      </c>
    </row>
    <row r="4919">
      <c r="A4919" s="4">
        <v>45534.355116701394</v>
      </c>
      <c r="B4919" s="5" t="s">
        <v>34</v>
      </c>
      <c r="D4919" s="5" t="s">
        <v>1206</v>
      </c>
      <c r="E4919" s="5" t="s">
        <v>32401</v>
      </c>
      <c r="F4919" s="5" t="s">
        <v>328</v>
      </c>
      <c r="G4919" s="5" t="s">
        <v>32402</v>
      </c>
      <c r="H4919" s="6" t="s">
        <v>32403</v>
      </c>
      <c r="I4919" s="7" t="s">
        <v>32404</v>
      </c>
      <c r="J4919" s="8" t="str">
        <f>HYPERLINK("https://drive.google.com/file/d/1u3r7iEnLo7Thfk5Ri7YXVBZt-Y0ARUuI/view?usp=drivesdk","ISMAWATI  SERTIFIKAT BerAKHLAK")</f>
        <v>ISMAWATI  SERTIFIKAT BerAKHLAK</v>
      </c>
      <c r="K4919" s="5" t="s">
        <v>31978</v>
      </c>
      <c r="L4919" s="5" t="s">
        <v>32405</v>
      </c>
    </row>
    <row r="4920">
      <c r="A4920" s="4">
        <v>45534.35511740741</v>
      </c>
      <c r="B4920" s="5" t="s">
        <v>34</v>
      </c>
      <c r="D4920" s="5" t="s">
        <v>4775</v>
      </c>
      <c r="E4920" s="5" t="s">
        <v>32409</v>
      </c>
      <c r="F4920" s="5" t="s">
        <v>212</v>
      </c>
      <c r="G4920" s="5" t="s">
        <v>32410</v>
      </c>
      <c r="H4920" s="6" t="s">
        <v>32411</v>
      </c>
      <c r="I4920" s="7" t="s">
        <v>32412</v>
      </c>
      <c r="J4920" s="8" t="str">
        <f>HYPERLINK("https://drive.google.com/file/d/1JigaYHd-2uP6iFR0Jvpv8J9OxO6YWSV9/view?usp=drivesdk","NING SUMEKAR SERTIFIKAT BerAKHLAK")</f>
        <v>NING SUMEKAR SERTIFIKAT BerAKHLAK</v>
      </c>
      <c r="K4920" s="5" t="s">
        <v>32413</v>
      </c>
      <c r="L4920" s="5" t="s">
        <v>32414</v>
      </c>
    </row>
    <row r="4921">
      <c r="A4921" s="4">
        <v>45534.35511762732</v>
      </c>
      <c r="B4921" s="5" t="s">
        <v>34</v>
      </c>
      <c r="D4921" s="5" t="s">
        <v>1206</v>
      </c>
      <c r="E4921" s="5" t="s">
        <v>32417</v>
      </c>
      <c r="F4921" s="5" t="s">
        <v>212</v>
      </c>
      <c r="G4921" s="5" t="s">
        <v>32418</v>
      </c>
      <c r="H4921" s="6" t="s">
        <v>32419</v>
      </c>
      <c r="K4921" s="5" t="s">
        <v>32420</v>
      </c>
    </row>
    <row r="4922">
      <c r="A4922" s="4">
        <v>45534.35512385417</v>
      </c>
      <c r="B4922" s="5" t="s">
        <v>19</v>
      </c>
      <c r="C4922" s="5" t="s">
        <v>1606</v>
      </c>
      <c r="E4922" s="5" t="s">
        <v>32423</v>
      </c>
      <c r="F4922" s="5" t="s">
        <v>108</v>
      </c>
      <c r="G4922" s="5" t="s">
        <v>32424</v>
      </c>
      <c r="H4922" s="6" t="s">
        <v>32425</v>
      </c>
      <c r="K4922" s="5" t="s">
        <v>32420</v>
      </c>
    </row>
    <row r="4923">
      <c r="A4923" s="4">
        <v>45534.35516324074</v>
      </c>
      <c r="B4923" s="5" t="s">
        <v>34</v>
      </c>
      <c r="D4923" s="5" t="s">
        <v>4775</v>
      </c>
      <c r="E4923" s="5" t="s">
        <v>32429</v>
      </c>
      <c r="F4923" s="5" t="s">
        <v>524</v>
      </c>
      <c r="G4923" s="5" t="s">
        <v>32430</v>
      </c>
      <c r="H4923" s="6" t="s">
        <v>32431</v>
      </c>
      <c r="I4923" s="7" t="s">
        <v>32432</v>
      </c>
      <c r="J4923" s="8" t="str">
        <f>HYPERLINK("https://drive.google.com/file/d/13Uowo2NkHWcpb1pJGurvOCUXwreIiEhb/view?usp=drivesdk","Ita Hapsari, S Kep SERTIFIKAT BerAKHLAK")</f>
        <v>Ita Hapsari, S Kep SERTIFIKAT BerAKHLAK</v>
      </c>
      <c r="K4923" s="5" t="s">
        <v>32420</v>
      </c>
      <c r="L4923" s="5" t="s">
        <v>32433</v>
      </c>
    </row>
    <row r="4924">
      <c r="A4924" s="4">
        <v>45534.35516497685</v>
      </c>
      <c r="B4924" s="5" t="s">
        <v>34</v>
      </c>
      <c r="D4924" s="5" t="s">
        <v>996</v>
      </c>
      <c r="E4924" s="5" t="s">
        <v>32436</v>
      </c>
      <c r="F4924" s="5" t="s">
        <v>212</v>
      </c>
      <c r="G4924" s="5" t="s">
        <v>32437</v>
      </c>
      <c r="H4924" s="6" t="s">
        <v>32438</v>
      </c>
      <c r="I4924" s="7" t="s">
        <v>32439</v>
      </c>
      <c r="J4924" s="8" t="str">
        <f>HYPERLINK("https://drive.google.com/file/d/1zHcUv7x7pWHdlrxfPAXR1C49IlQ9AHDl/view?usp=drivesdk","SUAULOWATI SERTIFIKAT BerAKHLAK")</f>
        <v>SUAULOWATI SERTIFIKAT BerAKHLAK</v>
      </c>
      <c r="K4924" s="5" t="s">
        <v>32420</v>
      </c>
      <c r="L4924" s="5" t="s">
        <v>32440</v>
      </c>
    </row>
    <row r="4925">
      <c r="A4925" s="4">
        <v>45534.355168842594</v>
      </c>
      <c r="B4925" s="5" t="s">
        <v>34</v>
      </c>
      <c r="D4925" s="5" t="s">
        <v>1206</v>
      </c>
      <c r="E4925" s="5" t="s">
        <v>32443</v>
      </c>
      <c r="F4925" s="5" t="s">
        <v>72</v>
      </c>
      <c r="G4925" s="5" t="s">
        <v>32444</v>
      </c>
      <c r="H4925" s="6" t="s">
        <v>32445</v>
      </c>
      <c r="K4925" s="5" t="s">
        <v>32420</v>
      </c>
    </row>
    <row r="4926">
      <c r="A4926" s="4">
        <v>45534.355174861106</v>
      </c>
      <c r="B4926" s="5" t="s">
        <v>34</v>
      </c>
      <c r="D4926" s="5" t="s">
        <v>12978</v>
      </c>
      <c r="E4926" s="5" t="s">
        <v>32448</v>
      </c>
      <c r="F4926" s="5" t="s">
        <v>72</v>
      </c>
      <c r="G4926" s="5" t="s">
        <v>32449</v>
      </c>
      <c r="H4926" s="6" t="s">
        <v>32450</v>
      </c>
      <c r="K4926" s="5" t="s">
        <v>32420</v>
      </c>
    </row>
    <row r="4927">
      <c r="A4927" s="4">
        <v>45534.35517627315</v>
      </c>
      <c r="B4927" s="5" t="s">
        <v>34</v>
      </c>
      <c r="D4927" s="5" t="s">
        <v>3849</v>
      </c>
      <c r="E4927" s="5" t="s">
        <v>32453</v>
      </c>
      <c r="F4927" s="5" t="s">
        <v>37</v>
      </c>
      <c r="G4927" s="5" t="s">
        <v>32454</v>
      </c>
      <c r="H4927" s="6" t="s">
        <v>32455</v>
      </c>
      <c r="I4927" s="7" t="s">
        <v>32456</v>
      </c>
      <c r="J4927" s="8" t="str">
        <f>HYPERLINK("https://drive.google.com/file/d/1QRG-dExBthcJtJe_piv-tTdxiLZm0M5y/view?usp=drivesdk","DEWI RISTIKA SERTIFIKAT BerAKHLAK")</f>
        <v>DEWI RISTIKA SERTIFIKAT BerAKHLAK</v>
      </c>
      <c r="K4927" s="5" t="s">
        <v>31978</v>
      </c>
      <c r="L4927" s="5" t="s">
        <v>32457</v>
      </c>
    </row>
    <row r="4928">
      <c r="A4928" s="4">
        <v>45534.3551869213</v>
      </c>
      <c r="B4928" s="5" t="s">
        <v>34</v>
      </c>
      <c r="D4928" s="5" t="s">
        <v>15401</v>
      </c>
      <c r="E4928" s="5" t="s">
        <v>32461</v>
      </c>
      <c r="F4928" s="5" t="s">
        <v>212</v>
      </c>
      <c r="G4928" s="5" t="s">
        <v>32462</v>
      </c>
      <c r="H4928" s="6" t="s">
        <v>32463</v>
      </c>
      <c r="I4928" s="7" t="s">
        <v>32464</v>
      </c>
      <c r="J4928" s="8" t="str">
        <f>HYPERLINK("https://drive.google.com/file/d/1JF446y5y2zdeVRwTXCkpjOAbdZfn8hdF/view?usp=drivesdk","ARMAN SYAH GENGGENG SERTIFIKAT BerAKHLAK")</f>
        <v>ARMAN SYAH GENGGENG SERTIFIKAT BerAKHLAK</v>
      </c>
      <c r="K4928" s="5" t="s">
        <v>31978</v>
      </c>
      <c r="L4928" s="5" t="s">
        <v>32465</v>
      </c>
    </row>
    <row r="4929">
      <c r="A4929" s="4">
        <v>45534.355187696754</v>
      </c>
      <c r="B4929" s="5" t="s">
        <v>34</v>
      </c>
      <c r="D4929" s="5" t="s">
        <v>4775</v>
      </c>
      <c r="E4929" s="5" t="s">
        <v>32468</v>
      </c>
      <c r="F4929" s="5" t="s">
        <v>524</v>
      </c>
      <c r="G4929" s="5" t="s">
        <v>32469</v>
      </c>
      <c r="H4929" s="6" t="s">
        <v>32470</v>
      </c>
      <c r="K4929" s="5" t="s">
        <v>32471</v>
      </c>
    </row>
    <row r="4930">
      <c r="A4930" s="4">
        <v>45534.35519498843</v>
      </c>
      <c r="B4930" s="5" t="s">
        <v>34</v>
      </c>
      <c r="D4930" s="5" t="s">
        <v>10297</v>
      </c>
      <c r="E4930" s="5" t="s">
        <v>32474</v>
      </c>
      <c r="F4930" s="5" t="s">
        <v>108</v>
      </c>
      <c r="G4930" s="5" t="s">
        <v>32475</v>
      </c>
      <c r="H4930" s="6" t="s">
        <v>32476</v>
      </c>
      <c r="K4930" s="5" t="s">
        <v>32471</v>
      </c>
    </row>
    <row r="4931">
      <c r="A4931" s="4">
        <v>45534.35520875</v>
      </c>
      <c r="B4931" s="5" t="s">
        <v>19</v>
      </c>
      <c r="C4931" s="5" t="s">
        <v>30588</v>
      </c>
      <c r="E4931" s="5" t="s">
        <v>32479</v>
      </c>
      <c r="F4931" s="5" t="s">
        <v>375</v>
      </c>
      <c r="G4931" s="5" t="s">
        <v>32480</v>
      </c>
      <c r="H4931" s="6" t="s">
        <v>32481</v>
      </c>
      <c r="K4931" s="5" t="s">
        <v>32471</v>
      </c>
    </row>
    <row r="4932">
      <c r="A4932" s="4">
        <v>45534.355211608796</v>
      </c>
      <c r="B4932" s="5" t="s">
        <v>34</v>
      </c>
      <c r="D4932" s="5" t="s">
        <v>10444</v>
      </c>
      <c r="E4932" s="5" t="s">
        <v>32484</v>
      </c>
      <c r="F4932" s="5" t="s">
        <v>37</v>
      </c>
      <c r="G4932" s="5" t="s">
        <v>32485</v>
      </c>
      <c r="H4932" s="6" t="s">
        <v>32486</v>
      </c>
      <c r="K4932" s="5" t="s">
        <v>32471</v>
      </c>
    </row>
    <row r="4933">
      <c r="A4933" s="4">
        <v>45534.35522142361</v>
      </c>
      <c r="B4933" s="5" t="s">
        <v>34</v>
      </c>
      <c r="D4933" s="5" t="s">
        <v>10444</v>
      </c>
      <c r="E4933" s="5" t="s">
        <v>32490</v>
      </c>
      <c r="F4933" s="5" t="s">
        <v>199</v>
      </c>
      <c r="G4933" s="5" t="s">
        <v>32491</v>
      </c>
      <c r="H4933" s="6" t="s">
        <v>32492</v>
      </c>
      <c r="K4933" s="5" t="s">
        <v>32471</v>
      </c>
    </row>
    <row r="4934">
      <c r="A4934" s="4">
        <v>45534.35522409722</v>
      </c>
      <c r="B4934" s="5" t="s">
        <v>34</v>
      </c>
      <c r="D4934" s="5" t="s">
        <v>1206</v>
      </c>
      <c r="E4934" s="5" t="s">
        <v>32495</v>
      </c>
      <c r="F4934" s="5" t="s">
        <v>37</v>
      </c>
      <c r="G4934" s="5" t="s">
        <v>32496</v>
      </c>
      <c r="H4934" s="6" t="s">
        <v>32497</v>
      </c>
      <c r="K4934" s="5" t="s">
        <v>32471</v>
      </c>
    </row>
    <row r="4935">
      <c r="A4935" s="4">
        <v>45534.35524246527</v>
      </c>
      <c r="B4935" s="5" t="s">
        <v>34</v>
      </c>
      <c r="D4935" s="5" t="s">
        <v>1206</v>
      </c>
      <c r="E4935" s="5" t="s">
        <v>32500</v>
      </c>
      <c r="F4935" s="5" t="s">
        <v>37</v>
      </c>
      <c r="G4935" s="5" t="s">
        <v>32501</v>
      </c>
      <c r="H4935" s="6" t="s">
        <v>32502</v>
      </c>
      <c r="K4935" s="5" t="s">
        <v>32471</v>
      </c>
    </row>
    <row r="4936">
      <c r="A4936" s="4">
        <v>45534.35524809027</v>
      </c>
      <c r="B4936" s="5" t="s">
        <v>34</v>
      </c>
      <c r="D4936" s="5" t="s">
        <v>9020</v>
      </c>
      <c r="E4936" s="5" t="s">
        <v>32505</v>
      </c>
      <c r="F4936" s="5" t="s">
        <v>37</v>
      </c>
      <c r="G4936" s="5" t="s">
        <v>32506</v>
      </c>
      <c r="H4936" s="6" t="s">
        <v>32507</v>
      </c>
      <c r="K4936" s="5" t="s">
        <v>32471</v>
      </c>
    </row>
    <row r="4937">
      <c r="A4937" s="4">
        <v>45534.35525245371</v>
      </c>
      <c r="B4937" s="5" t="s">
        <v>34</v>
      </c>
      <c r="D4937" s="5" t="s">
        <v>1206</v>
      </c>
      <c r="E4937" s="5" t="s">
        <v>32511</v>
      </c>
      <c r="F4937" s="5" t="s">
        <v>37</v>
      </c>
      <c r="G4937" s="5" t="s">
        <v>32512</v>
      </c>
      <c r="H4937" s="6" t="s">
        <v>32513</v>
      </c>
      <c r="K4937" s="5" t="s">
        <v>32471</v>
      </c>
    </row>
    <row r="4938">
      <c r="A4938" s="4">
        <v>45534.35525673611</v>
      </c>
      <c r="B4938" s="5" t="s">
        <v>34</v>
      </c>
      <c r="D4938" s="5" t="s">
        <v>9020</v>
      </c>
      <c r="E4938" s="5" t="s">
        <v>32516</v>
      </c>
      <c r="F4938" s="5" t="s">
        <v>212</v>
      </c>
      <c r="G4938" s="5" t="s">
        <v>32517</v>
      </c>
      <c r="H4938" s="6" t="s">
        <v>32518</v>
      </c>
      <c r="K4938" s="5" t="s">
        <v>32471</v>
      </c>
    </row>
    <row r="4939">
      <c r="A4939" s="4">
        <v>45534.3552694213</v>
      </c>
      <c r="B4939" s="5" t="s">
        <v>34</v>
      </c>
      <c r="D4939" s="5" t="s">
        <v>1206</v>
      </c>
      <c r="E4939" s="5" t="s">
        <v>32521</v>
      </c>
      <c r="F4939" s="5" t="s">
        <v>72</v>
      </c>
      <c r="G4939" s="5" t="s">
        <v>32522</v>
      </c>
      <c r="H4939" s="6" t="s">
        <v>32523</v>
      </c>
      <c r="K4939" s="5" t="s">
        <v>32471</v>
      </c>
    </row>
    <row r="4940">
      <c r="A4940" s="4">
        <v>45534.355301620366</v>
      </c>
      <c r="B4940" s="5" t="s">
        <v>34</v>
      </c>
      <c r="D4940" s="5" t="s">
        <v>1206</v>
      </c>
      <c r="E4940" s="5" t="s">
        <v>32526</v>
      </c>
      <c r="F4940" s="5" t="s">
        <v>6776</v>
      </c>
      <c r="G4940" s="5" t="s">
        <v>32527</v>
      </c>
      <c r="H4940" s="6" t="s">
        <v>32528</v>
      </c>
      <c r="I4940" s="7" t="s">
        <v>32529</v>
      </c>
      <c r="J4940" s="8" t="str">
        <f>HYPERLINK("https://drive.google.com/file/d/1P_ejFo5q8xtCDTZfGI9ZL32rTXnu_gvw/view?usp=drivesdk","LILIK MIASIH SERTIFIKAT BerAKHLAK")</f>
        <v>LILIK MIASIH SERTIFIKAT BerAKHLAK</v>
      </c>
      <c r="K4940" s="5" t="s">
        <v>31978</v>
      </c>
      <c r="L4940" s="5" t="s">
        <v>32530</v>
      </c>
    </row>
    <row r="4941">
      <c r="A4941" s="4">
        <v>45534.35530232639</v>
      </c>
      <c r="B4941" s="5" t="s">
        <v>34</v>
      </c>
      <c r="D4941" s="5" t="s">
        <v>9020</v>
      </c>
      <c r="E4941" s="5" t="s">
        <v>32534</v>
      </c>
      <c r="F4941" s="5" t="s">
        <v>715</v>
      </c>
      <c r="G4941" s="5" t="s">
        <v>32535</v>
      </c>
      <c r="H4941" s="6" t="s">
        <v>32536</v>
      </c>
      <c r="I4941" s="7" t="s">
        <v>32537</v>
      </c>
      <c r="J4941" s="8" t="str">
        <f>HYPERLINK("https://drive.google.com/file/d/1PDt37VyDCP5IYxgkwisv21l6oZP45f4e/view?usp=drivesdk","ELISMAWATY NASUTION  SERTIFIKAT BerAKHLAK")</f>
        <v>ELISMAWATY NASUTION  SERTIFIKAT BerAKHLAK</v>
      </c>
      <c r="K4941" s="5" t="s">
        <v>31978</v>
      </c>
      <c r="L4941" s="5" t="s">
        <v>32538</v>
      </c>
    </row>
    <row r="4942">
      <c r="A4942" s="4">
        <v>45534.35530780093</v>
      </c>
      <c r="B4942" s="5" t="s">
        <v>34</v>
      </c>
      <c r="D4942" s="5" t="s">
        <v>35</v>
      </c>
      <c r="E4942" s="5" t="s">
        <v>32541</v>
      </c>
      <c r="F4942" s="5" t="s">
        <v>212</v>
      </c>
      <c r="G4942" s="5" t="s">
        <v>32542</v>
      </c>
      <c r="H4942" s="6" t="s">
        <v>32543</v>
      </c>
      <c r="K4942" s="5" t="s">
        <v>32544</v>
      </c>
    </row>
    <row r="4943">
      <c r="A4943" s="4">
        <v>45534.355312245374</v>
      </c>
      <c r="B4943" s="5" t="s">
        <v>19</v>
      </c>
      <c r="C4943" s="5" t="s">
        <v>24076</v>
      </c>
      <c r="E4943" s="5" t="s">
        <v>32547</v>
      </c>
      <c r="F4943" s="5" t="s">
        <v>72</v>
      </c>
      <c r="G4943" s="5" t="s">
        <v>32548</v>
      </c>
      <c r="H4943" s="6" t="s">
        <v>32549</v>
      </c>
      <c r="K4943" s="5" t="s">
        <v>32544</v>
      </c>
    </row>
    <row r="4944">
      <c r="A4944" s="4">
        <v>45534.35531408565</v>
      </c>
      <c r="B4944" s="5" t="s">
        <v>34</v>
      </c>
      <c r="D4944" s="5" t="s">
        <v>1206</v>
      </c>
      <c r="E4944" s="5" t="s">
        <v>32552</v>
      </c>
      <c r="F4944" s="5" t="s">
        <v>199</v>
      </c>
      <c r="G4944" s="5" t="s">
        <v>32553</v>
      </c>
      <c r="H4944" s="6" t="s">
        <v>32554</v>
      </c>
      <c r="K4944" s="5" t="s">
        <v>32544</v>
      </c>
    </row>
    <row r="4945">
      <c r="A4945" s="4">
        <v>45534.355314942135</v>
      </c>
      <c r="B4945" s="5" t="s">
        <v>34</v>
      </c>
      <c r="D4945" s="5" t="s">
        <v>12978</v>
      </c>
      <c r="E4945" s="5" t="s">
        <v>32558</v>
      </c>
      <c r="F4945" s="5" t="s">
        <v>375</v>
      </c>
      <c r="G4945" s="5" t="s">
        <v>32559</v>
      </c>
      <c r="H4945" s="6" t="s">
        <v>32560</v>
      </c>
      <c r="K4945" s="5" t="s">
        <v>32544</v>
      </c>
    </row>
    <row r="4946">
      <c r="A4946" s="4">
        <v>45534.355323888885</v>
      </c>
      <c r="B4946" s="5" t="s">
        <v>34</v>
      </c>
      <c r="D4946" s="5" t="s">
        <v>9020</v>
      </c>
      <c r="E4946" s="5" t="s">
        <v>32563</v>
      </c>
      <c r="F4946" s="5" t="s">
        <v>37</v>
      </c>
      <c r="G4946" s="5" t="s">
        <v>32564</v>
      </c>
      <c r="H4946" s="6" t="s">
        <v>32565</v>
      </c>
      <c r="K4946" s="5" t="s">
        <v>32544</v>
      </c>
    </row>
    <row r="4947">
      <c r="A4947" s="4">
        <v>45534.355327337966</v>
      </c>
      <c r="B4947" s="5" t="s">
        <v>34</v>
      </c>
      <c r="D4947" s="5" t="s">
        <v>9020</v>
      </c>
      <c r="E4947" s="5" t="s">
        <v>32568</v>
      </c>
      <c r="F4947" s="5" t="s">
        <v>375</v>
      </c>
      <c r="G4947" s="5" t="s">
        <v>32569</v>
      </c>
      <c r="H4947" s="6" t="s">
        <v>32570</v>
      </c>
      <c r="K4947" s="5" t="s">
        <v>32544</v>
      </c>
    </row>
    <row r="4948">
      <c r="A4948" s="4">
        <v>45534.35533922454</v>
      </c>
      <c r="B4948" s="5" t="s">
        <v>34</v>
      </c>
      <c r="D4948" s="5" t="s">
        <v>1768</v>
      </c>
      <c r="E4948" s="5" t="s">
        <v>32574</v>
      </c>
      <c r="F4948" s="5" t="s">
        <v>72</v>
      </c>
      <c r="G4948" s="5" t="s">
        <v>32575</v>
      </c>
      <c r="H4948" s="6" t="s">
        <v>32576</v>
      </c>
      <c r="K4948" s="5" t="s">
        <v>32544</v>
      </c>
    </row>
    <row r="4949">
      <c r="A4949" s="4">
        <v>45534.355346516204</v>
      </c>
      <c r="B4949" s="5" t="s">
        <v>34</v>
      </c>
      <c r="D4949" s="5" t="s">
        <v>12978</v>
      </c>
      <c r="E4949" s="5" t="s">
        <v>32579</v>
      </c>
      <c r="F4949" s="5" t="s">
        <v>37</v>
      </c>
      <c r="G4949" s="5" t="s">
        <v>32580</v>
      </c>
      <c r="H4949" s="6" t="s">
        <v>32581</v>
      </c>
      <c r="K4949" s="5" t="s">
        <v>32544</v>
      </c>
    </row>
    <row r="4950">
      <c r="A4950" s="4">
        <v>45534.355352569444</v>
      </c>
      <c r="B4950" s="5" t="s">
        <v>19</v>
      </c>
      <c r="C4950" s="5" t="s">
        <v>315</v>
      </c>
      <c r="E4950" s="5" t="s">
        <v>32584</v>
      </c>
      <c r="F4950" s="5" t="s">
        <v>108</v>
      </c>
      <c r="G4950" s="5" t="s">
        <v>32585</v>
      </c>
      <c r="H4950" s="6" t="s">
        <v>32586</v>
      </c>
      <c r="K4950" s="5" t="s">
        <v>32544</v>
      </c>
    </row>
    <row r="4951">
      <c r="A4951" s="4">
        <v>45534.355363379625</v>
      </c>
      <c r="B4951" s="5" t="s">
        <v>34</v>
      </c>
      <c r="D4951" s="5" t="s">
        <v>267</v>
      </c>
      <c r="E4951" s="5" t="s">
        <v>32589</v>
      </c>
      <c r="F4951" s="5" t="s">
        <v>212</v>
      </c>
      <c r="G4951" s="5" t="s">
        <v>32590</v>
      </c>
      <c r="H4951" s="6" t="s">
        <v>32591</v>
      </c>
      <c r="I4951" s="7" t="s">
        <v>32592</v>
      </c>
      <c r="J4951" s="8" t="str">
        <f>HYPERLINK("https://drive.google.com/file/d/1sEQECUT7EdlY5IdL0-xvAHh05JAGCU0J/view?usp=drivesdk","HARYANTA SERTIFIKAT BerAKHLAK")</f>
        <v>HARYANTA SERTIFIKAT BerAKHLAK</v>
      </c>
      <c r="K4951" s="5" t="s">
        <v>31978</v>
      </c>
      <c r="L4951" s="5" t="s">
        <v>32593</v>
      </c>
    </row>
    <row r="4952">
      <c r="A4952" s="4">
        <v>45534.3553825</v>
      </c>
      <c r="B4952" s="5" t="s">
        <v>19</v>
      </c>
      <c r="C4952" s="5" t="s">
        <v>3301</v>
      </c>
      <c r="E4952" s="5" t="s">
        <v>32596</v>
      </c>
      <c r="F4952" s="5" t="s">
        <v>524</v>
      </c>
      <c r="G4952" s="5" t="s">
        <v>32597</v>
      </c>
      <c r="H4952" s="6" t="s">
        <v>32598</v>
      </c>
      <c r="I4952" s="7" t="s">
        <v>32599</v>
      </c>
      <c r="J4952" s="8" t="str">
        <f>HYPERLINK("https://drive.google.com/file/d/16ebK3MwzJPP9w96vEOYSw2GB58sJ7hYN/view?usp=drivesdk","HOLIPAH SERTIFIKAT BerAKHLAK")</f>
        <v>HOLIPAH SERTIFIKAT BerAKHLAK</v>
      </c>
      <c r="K4952" s="5" t="s">
        <v>31978</v>
      </c>
      <c r="L4952" s="5" t="s">
        <v>32600</v>
      </c>
    </row>
    <row r="4953">
      <c r="A4953" s="4">
        <v>45534.35539226852</v>
      </c>
      <c r="B4953" s="5" t="s">
        <v>34</v>
      </c>
      <c r="D4953" s="5" t="s">
        <v>10444</v>
      </c>
      <c r="E4953" s="5" t="s">
        <v>32604</v>
      </c>
      <c r="F4953" s="5" t="s">
        <v>37</v>
      </c>
      <c r="G4953" s="5" t="s">
        <v>32605</v>
      </c>
      <c r="H4953" s="6" t="s">
        <v>32606</v>
      </c>
      <c r="K4953" s="5" t="s">
        <v>32607</v>
      </c>
    </row>
    <row r="4954">
      <c r="A4954" s="4">
        <v>45534.35540173611</v>
      </c>
      <c r="B4954" s="5" t="s">
        <v>34</v>
      </c>
      <c r="D4954" s="5" t="s">
        <v>280</v>
      </c>
      <c r="E4954" s="5" t="s">
        <v>32610</v>
      </c>
      <c r="F4954" s="5" t="s">
        <v>524</v>
      </c>
      <c r="G4954" s="5" t="s">
        <v>32611</v>
      </c>
      <c r="H4954" s="6" t="s">
        <v>32612</v>
      </c>
      <c r="I4954" s="7" t="s">
        <v>32613</v>
      </c>
      <c r="J4954" s="8" t="str">
        <f>HYPERLINK("https://drive.google.com/file/d/1c2XfaABBQiZ4QBW9DPh7VrjSjwrDIVzw/view?usp=drivesdk","Arief Binsar Tampubolon  SERTIFIKAT BerAKHLAK")</f>
        <v>Arief Binsar Tampubolon  SERTIFIKAT BerAKHLAK</v>
      </c>
      <c r="K4954" s="5" t="s">
        <v>31978</v>
      </c>
      <c r="L4954" s="5" t="s">
        <v>32614</v>
      </c>
    </row>
    <row r="4955">
      <c r="A4955" s="4">
        <v>45534.35541708334</v>
      </c>
      <c r="B4955" s="5" t="s">
        <v>34</v>
      </c>
      <c r="D4955" s="5" t="s">
        <v>9020</v>
      </c>
      <c r="E4955" s="5" t="s">
        <v>32618</v>
      </c>
      <c r="F4955" s="5" t="s">
        <v>212</v>
      </c>
      <c r="G4955" s="5" t="s">
        <v>32619</v>
      </c>
      <c r="H4955" s="6" t="s">
        <v>32620</v>
      </c>
      <c r="I4955" s="7" t="s">
        <v>32621</v>
      </c>
      <c r="J4955" s="8" t="str">
        <f>HYPERLINK("https://drive.google.com/file/d/13s8rva-mIHGlCcrKnf7eEhYeRsQbKzuH/view?usp=drivesdk","RIDWAN PANJAITAN SERTIFIKAT BerAKHLAK")</f>
        <v>RIDWAN PANJAITAN SERTIFIKAT BerAKHLAK</v>
      </c>
      <c r="K4955" s="5" t="s">
        <v>31978</v>
      </c>
      <c r="L4955" s="5" t="s">
        <v>32622</v>
      </c>
    </row>
    <row r="4956">
      <c r="A4956" s="4">
        <v>45534.35542368055</v>
      </c>
      <c r="B4956" s="5" t="s">
        <v>34</v>
      </c>
      <c r="D4956" s="5" t="s">
        <v>4775</v>
      </c>
      <c r="E4956" s="5" t="s">
        <v>31502</v>
      </c>
      <c r="F4956" s="5" t="s">
        <v>375</v>
      </c>
      <c r="G4956" s="5" t="s">
        <v>32625</v>
      </c>
      <c r="H4956" s="6" t="s">
        <v>32626</v>
      </c>
      <c r="I4956" s="7" t="s">
        <v>32627</v>
      </c>
      <c r="J4956" s="8" t="str">
        <f>HYPERLINK("https://drive.google.com/file/d/1HU-A2n_QRGtLw9QyBzjM_oOKxxzetoIa/view?usp=drivesdk","HARYO WAHYU WIBOWO, ST SERTIFIKAT BerAKHLAK")</f>
        <v>HARYO WAHYU WIBOWO, ST SERTIFIKAT BerAKHLAK</v>
      </c>
      <c r="K4956" s="5" t="s">
        <v>31978</v>
      </c>
      <c r="L4956" s="5" t="s">
        <v>32628</v>
      </c>
    </row>
    <row r="4957">
      <c r="A4957" s="4">
        <v>45534.355436516205</v>
      </c>
      <c r="B4957" s="5" t="s">
        <v>34</v>
      </c>
      <c r="D4957" s="5" t="s">
        <v>1456</v>
      </c>
      <c r="E4957" s="5" t="s">
        <v>32631</v>
      </c>
      <c r="F4957" s="5" t="s">
        <v>108</v>
      </c>
      <c r="G4957" s="5" t="s">
        <v>32632</v>
      </c>
      <c r="H4957" s="6" t="s">
        <v>32633</v>
      </c>
      <c r="K4957" s="5" t="s">
        <v>32634</v>
      </c>
    </row>
    <row r="4958">
      <c r="A4958" s="4">
        <v>45534.35544010416</v>
      </c>
      <c r="B4958" s="5" t="s">
        <v>34</v>
      </c>
      <c r="D4958" s="5" t="s">
        <v>9020</v>
      </c>
      <c r="E4958" s="5" t="s">
        <v>32637</v>
      </c>
      <c r="F4958" s="5" t="s">
        <v>212</v>
      </c>
      <c r="G4958" s="5" t="s">
        <v>32638</v>
      </c>
      <c r="H4958" s="6" t="s">
        <v>32639</v>
      </c>
      <c r="I4958" s="7" t="s">
        <v>32640</v>
      </c>
      <c r="J4958" s="8" t="str">
        <f>HYPERLINK("https://drive.google.com/file/d/1P9_nlDjCGZWKJlp9X2N5ZT9YFygiDkCA/view?usp=drivesdk","ASLINIA HULU,S.KEP SERTIFIKAT BerAKHLAK")</f>
        <v>ASLINIA HULU,S.KEP SERTIFIKAT BerAKHLAK</v>
      </c>
      <c r="K4958" s="5" t="s">
        <v>31978</v>
      </c>
      <c r="L4958" s="5" t="s">
        <v>32641</v>
      </c>
    </row>
    <row r="4959">
      <c r="A4959" s="4">
        <v>45534.35546274306</v>
      </c>
      <c r="B4959" s="5" t="s">
        <v>34</v>
      </c>
      <c r="D4959" s="5" t="s">
        <v>996</v>
      </c>
      <c r="E4959" s="5" t="s">
        <v>32645</v>
      </c>
      <c r="F4959" s="5" t="s">
        <v>120</v>
      </c>
      <c r="G4959" s="5" t="s">
        <v>32646</v>
      </c>
      <c r="H4959" s="6" t="s">
        <v>32647</v>
      </c>
      <c r="K4959" s="5" t="s">
        <v>32648</v>
      </c>
    </row>
    <row r="4960">
      <c r="A4960" s="4">
        <v>45534.35546435185</v>
      </c>
      <c r="B4960" s="5" t="s">
        <v>34</v>
      </c>
      <c r="D4960" s="5" t="s">
        <v>280</v>
      </c>
      <c r="E4960" s="5" t="s">
        <v>32651</v>
      </c>
      <c r="F4960" s="5" t="s">
        <v>37</v>
      </c>
      <c r="G4960" s="5" t="s">
        <v>32652</v>
      </c>
      <c r="H4960" s="6" t="s">
        <v>32653</v>
      </c>
      <c r="I4960" s="7" t="s">
        <v>32654</v>
      </c>
      <c r="J4960" s="8" t="str">
        <f>HYPERLINK("https://drive.google.com/file/d/1AdiFfZq3bWEOx96LxUAeiI5kAx2nP621/view?usp=drivesdk","TITIN LAYONSARI SM SERTIFIKAT BerAKHLAK")</f>
        <v>TITIN LAYONSARI SM SERTIFIKAT BerAKHLAK</v>
      </c>
      <c r="K4960" s="5" t="s">
        <v>31978</v>
      </c>
      <c r="L4960" s="5" t="s">
        <v>32655</v>
      </c>
    </row>
    <row r="4961">
      <c r="A4961" s="4">
        <v>45534.355465636574</v>
      </c>
      <c r="B4961" s="5" t="s">
        <v>34</v>
      </c>
      <c r="D4961" s="5" t="s">
        <v>1206</v>
      </c>
      <c r="E4961" s="5" t="s">
        <v>32658</v>
      </c>
      <c r="F4961" s="5" t="s">
        <v>37</v>
      </c>
      <c r="G4961" s="5" t="s">
        <v>32659</v>
      </c>
      <c r="H4961" s="6" t="s">
        <v>32660</v>
      </c>
      <c r="K4961" s="5" t="s">
        <v>32661</v>
      </c>
    </row>
    <row r="4962">
      <c r="A4962" s="4">
        <v>45534.35547861111</v>
      </c>
      <c r="B4962" s="5" t="s">
        <v>34</v>
      </c>
      <c r="D4962" s="5" t="s">
        <v>1206</v>
      </c>
      <c r="E4962" s="5" t="s">
        <v>32664</v>
      </c>
      <c r="F4962" s="5" t="s">
        <v>212</v>
      </c>
      <c r="G4962" s="5" t="s">
        <v>32665</v>
      </c>
      <c r="H4962" s="6" t="s">
        <v>32666</v>
      </c>
      <c r="K4962" s="5" t="s">
        <v>32661</v>
      </c>
    </row>
    <row r="4963">
      <c r="A4963" s="4">
        <v>45534.355480949074</v>
      </c>
      <c r="B4963" s="5" t="s">
        <v>34</v>
      </c>
      <c r="D4963" s="5" t="s">
        <v>1558</v>
      </c>
      <c r="E4963" s="5" t="s">
        <v>32669</v>
      </c>
      <c r="F4963" s="5" t="s">
        <v>375</v>
      </c>
      <c r="G4963" s="5" t="s">
        <v>32670</v>
      </c>
      <c r="H4963" s="6" t="s">
        <v>32671</v>
      </c>
      <c r="K4963" s="5" t="s">
        <v>32661</v>
      </c>
    </row>
    <row r="4964">
      <c r="A4964" s="4">
        <v>45534.355487442124</v>
      </c>
      <c r="B4964" s="5" t="s">
        <v>34</v>
      </c>
      <c r="D4964" s="5" t="s">
        <v>12978</v>
      </c>
      <c r="E4964" s="5" t="s">
        <v>32675</v>
      </c>
      <c r="F4964" s="5" t="s">
        <v>212</v>
      </c>
      <c r="G4964" s="5" t="s">
        <v>32676</v>
      </c>
      <c r="H4964" s="6" t="s">
        <v>32677</v>
      </c>
      <c r="K4964" s="5" t="s">
        <v>32661</v>
      </c>
    </row>
    <row r="4965">
      <c r="A4965" s="4">
        <v>45534.35548726852</v>
      </c>
      <c r="B4965" s="5" t="s">
        <v>34</v>
      </c>
      <c r="D4965" s="5" t="s">
        <v>701</v>
      </c>
      <c r="E4965" s="5" t="s">
        <v>32680</v>
      </c>
      <c r="F4965" s="5" t="s">
        <v>37</v>
      </c>
      <c r="G4965" s="5" t="s">
        <v>32681</v>
      </c>
      <c r="H4965" s="6" t="s">
        <v>32682</v>
      </c>
      <c r="K4965" s="5" t="s">
        <v>32661</v>
      </c>
    </row>
    <row r="4966">
      <c r="A4966" s="4">
        <v>45534.35548868055</v>
      </c>
      <c r="B4966" s="5" t="s">
        <v>34</v>
      </c>
      <c r="D4966" s="5" t="s">
        <v>1558</v>
      </c>
      <c r="E4966" s="5" t="s">
        <v>32685</v>
      </c>
      <c r="F4966" s="5" t="s">
        <v>72</v>
      </c>
      <c r="G4966" s="5" t="s">
        <v>32686</v>
      </c>
      <c r="H4966" s="6" t="s">
        <v>32687</v>
      </c>
      <c r="K4966" s="5" t="s">
        <v>32688</v>
      </c>
    </row>
    <row r="4967">
      <c r="A4967" s="4">
        <v>45534.35549229167</v>
      </c>
      <c r="B4967" s="5" t="s">
        <v>34</v>
      </c>
      <c r="D4967" s="5" t="s">
        <v>9020</v>
      </c>
      <c r="E4967" s="5" t="s">
        <v>32691</v>
      </c>
      <c r="F4967" s="5" t="s">
        <v>524</v>
      </c>
      <c r="G4967" s="5" t="s">
        <v>32692</v>
      </c>
      <c r="H4967" s="6" t="s">
        <v>32693</v>
      </c>
      <c r="K4967" s="5" t="s">
        <v>32688</v>
      </c>
    </row>
    <row r="4968">
      <c r="A4968" s="4">
        <v>45534.35551109954</v>
      </c>
      <c r="B4968" s="5" t="s">
        <v>34</v>
      </c>
      <c r="D4968" s="5" t="s">
        <v>35</v>
      </c>
      <c r="E4968" s="5" t="s">
        <v>32696</v>
      </c>
      <c r="F4968" s="5" t="s">
        <v>108</v>
      </c>
      <c r="G4968" s="5" t="s">
        <v>32697</v>
      </c>
      <c r="H4968" s="6" t="s">
        <v>32698</v>
      </c>
      <c r="K4968" s="5" t="s">
        <v>32688</v>
      </c>
    </row>
    <row r="4969">
      <c r="A4969" s="4">
        <v>45534.35551739583</v>
      </c>
      <c r="B4969" s="5" t="s">
        <v>34</v>
      </c>
      <c r="D4969" s="5" t="s">
        <v>14424</v>
      </c>
      <c r="E4969" s="5" t="s">
        <v>32702</v>
      </c>
      <c r="F4969" s="5" t="s">
        <v>120</v>
      </c>
      <c r="G4969" s="5" t="s">
        <v>32703</v>
      </c>
      <c r="H4969" s="6" t="s">
        <v>32704</v>
      </c>
      <c r="K4969" s="5" t="s">
        <v>32688</v>
      </c>
    </row>
    <row r="4970">
      <c r="A4970" s="4">
        <v>45534.35551780093</v>
      </c>
      <c r="B4970" s="5" t="s">
        <v>34</v>
      </c>
      <c r="D4970" s="5" t="s">
        <v>1768</v>
      </c>
      <c r="E4970" s="5" t="s">
        <v>32707</v>
      </c>
      <c r="F4970" s="5" t="s">
        <v>37</v>
      </c>
      <c r="G4970" s="5" t="s">
        <v>32708</v>
      </c>
      <c r="H4970" s="6" t="s">
        <v>32709</v>
      </c>
      <c r="K4970" s="5" t="s">
        <v>32688</v>
      </c>
    </row>
    <row r="4971">
      <c r="A4971" s="4">
        <v>45534.35553944444</v>
      </c>
      <c r="B4971" s="5" t="s">
        <v>34</v>
      </c>
      <c r="D4971" s="5" t="s">
        <v>10444</v>
      </c>
      <c r="E4971" s="5" t="s">
        <v>32712</v>
      </c>
      <c r="F4971" s="5" t="s">
        <v>375</v>
      </c>
      <c r="G4971" s="5" t="s">
        <v>32713</v>
      </c>
      <c r="H4971" s="6" t="s">
        <v>32714</v>
      </c>
      <c r="I4971" s="7" t="s">
        <v>32715</v>
      </c>
      <c r="J4971" s="8" t="str">
        <f>HYPERLINK("https://drive.google.com/file/d/115zWjMcC-hF4SKhXHLhwFjbJ3W-nOkOD/view?usp=drivesdk","PRIO PRIONO NUGROHO, S.H. SERTIFIKAT BerAKHLAK")</f>
        <v>PRIO PRIONO NUGROHO, S.H. SERTIFIKAT BerAKHLAK</v>
      </c>
      <c r="K4971" s="5" t="s">
        <v>31978</v>
      </c>
      <c r="L4971" s="5" t="s">
        <v>32716</v>
      </c>
    </row>
    <row r="4972">
      <c r="A4972" s="4">
        <v>45534.35554534722</v>
      </c>
      <c r="B4972" s="5" t="s">
        <v>19</v>
      </c>
      <c r="C4972" s="5" t="s">
        <v>3471</v>
      </c>
      <c r="E4972" s="5" t="s">
        <v>32719</v>
      </c>
      <c r="F4972" s="5" t="s">
        <v>212</v>
      </c>
      <c r="G4972" s="5" t="s">
        <v>32720</v>
      </c>
      <c r="H4972" s="6" t="s">
        <v>32721</v>
      </c>
      <c r="K4972" s="5" t="s">
        <v>32722</v>
      </c>
    </row>
    <row r="4973">
      <c r="A4973" s="4">
        <v>45534.35554671296</v>
      </c>
      <c r="B4973" s="5" t="s">
        <v>34</v>
      </c>
      <c r="D4973" s="5" t="s">
        <v>996</v>
      </c>
      <c r="E4973" s="5" t="s">
        <v>32726</v>
      </c>
      <c r="F4973" s="5" t="s">
        <v>212</v>
      </c>
      <c r="G4973" s="5" t="s">
        <v>32727</v>
      </c>
      <c r="H4973" s="6" t="s">
        <v>32728</v>
      </c>
      <c r="K4973" s="5" t="s">
        <v>32722</v>
      </c>
    </row>
    <row r="4974">
      <c r="A4974" s="4">
        <v>45534.35555246528</v>
      </c>
      <c r="B4974" s="5" t="s">
        <v>34</v>
      </c>
      <c r="D4974" s="5" t="s">
        <v>4775</v>
      </c>
      <c r="E4974" s="5" t="s">
        <v>32731</v>
      </c>
      <c r="F4974" s="5" t="s">
        <v>524</v>
      </c>
      <c r="G4974" s="5" t="s">
        <v>32732</v>
      </c>
      <c r="H4974" s="6" t="s">
        <v>32733</v>
      </c>
      <c r="K4974" s="5" t="s">
        <v>32722</v>
      </c>
    </row>
    <row r="4975">
      <c r="A4975" s="4">
        <v>45534.35555373842</v>
      </c>
      <c r="B4975" s="5" t="s">
        <v>34</v>
      </c>
      <c r="D4975" s="5" t="s">
        <v>12978</v>
      </c>
      <c r="E4975" s="5" t="s">
        <v>21097</v>
      </c>
      <c r="F4975" s="5" t="s">
        <v>212</v>
      </c>
      <c r="G4975" s="5" t="s">
        <v>32736</v>
      </c>
      <c r="H4975" s="6" t="s">
        <v>32737</v>
      </c>
      <c r="K4975" s="5" t="s">
        <v>32722</v>
      </c>
    </row>
    <row r="4976">
      <c r="A4976" s="4">
        <v>45534.355554050926</v>
      </c>
      <c r="B4976" s="5" t="s">
        <v>19</v>
      </c>
      <c r="C4976" s="5" t="s">
        <v>10418</v>
      </c>
      <c r="E4976" s="5" t="s">
        <v>32740</v>
      </c>
      <c r="F4976" s="5" t="s">
        <v>375</v>
      </c>
      <c r="G4976" s="5" t="s">
        <v>32741</v>
      </c>
      <c r="H4976" s="6" t="s">
        <v>32742</v>
      </c>
      <c r="K4976" s="5" t="s">
        <v>32722</v>
      </c>
    </row>
    <row r="4977">
      <c r="A4977" s="4">
        <v>45534.3555546875</v>
      </c>
      <c r="B4977" s="5" t="s">
        <v>34</v>
      </c>
      <c r="D4977" s="5" t="s">
        <v>4775</v>
      </c>
      <c r="E4977" s="5" t="s">
        <v>32745</v>
      </c>
      <c r="F4977" s="5" t="s">
        <v>524</v>
      </c>
      <c r="G4977" s="5" t="s">
        <v>32746</v>
      </c>
      <c r="H4977" s="6" t="s">
        <v>32747</v>
      </c>
      <c r="K4977" s="5" t="s">
        <v>32722</v>
      </c>
    </row>
    <row r="4978">
      <c r="A4978" s="4">
        <v>45534.35556195602</v>
      </c>
      <c r="B4978" s="5" t="s">
        <v>34</v>
      </c>
      <c r="D4978" s="5" t="s">
        <v>1206</v>
      </c>
      <c r="E4978" s="5" t="s">
        <v>32751</v>
      </c>
      <c r="F4978" s="5" t="s">
        <v>108</v>
      </c>
      <c r="G4978" s="5" t="s">
        <v>32752</v>
      </c>
      <c r="H4978" s="6" t="s">
        <v>32753</v>
      </c>
      <c r="K4978" s="5" t="s">
        <v>32722</v>
      </c>
    </row>
    <row r="4979">
      <c r="A4979" s="4">
        <v>45534.3555643287</v>
      </c>
      <c r="B4979" s="5" t="s">
        <v>34</v>
      </c>
      <c r="D4979" s="5" t="s">
        <v>1206</v>
      </c>
      <c r="E4979" s="5" t="s">
        <v>32756</v>
      </c>
      <c r="F4979" s="5" t="s">
        <v>212</v>
      </c>
      <c r="G4979" s="5" t="s">
        <v>32757</v>
      </c>
      <c r="H4979" s="6" t="s">
        <v>32758</v>
      </c>
      <c r="K4979" s="5" t="s">
        <v>32722</v>
      </c>
    </row>
    <row r="4980">
      <c r="A4980" s="4">
        <v>45534.355571249995</v>
      </c>
      <c r="B4980" s="5" t="s">
        <v>34</v>
      </c>
      <c r="D4980" s="5" t="s">
        <v>1206</v>
      </c>
      <c r="E4980" s="5" t="s">
        <v>32761</v>
      </c>
      <c r="F4980" s="5" t="s">
        <v>212</v>
      </c>
      <c r="G4980" s="5" t="s">
        <v>32762</v>
      </c>
      <c r="H4980" s="6" t="s">
        <v>32763</v>
      </c>
      <c r="K4980" s="5" t="s">
        <v>32722</v>
      </c>
    </row>
    <row r="4981">
      <c r="A4981" s="4">
        <v>45534.35557640046</v>
      </c>
      <c r="B4981" s="5" t="s">
        <v>34</v>
      </c>
      <c r="D4981" s="5" t="s">
        <v>2903</v>
      </c>
      <c r="E4981" s="5" t="s">
        <v>32766</v>
      </c>
      <c r="F4981" s="5" t="s">
        <v>108</v>
      </c>
      <c r="G4981" s="5" t="s">
        <v>32767</v>
      </c>
      <c r="H4981" s="6" t="s">
        <v>32768</v>
      </c>
      <c r="K4981" s="5" t="s">
        <v>32722</v>
      </c>
    </row>
    <row r="4982">
      <c r="A4982" s="4">
        <v>45534.355582986114</v>
      </c>
      <c r="B4982" s="5" t="s">
        <v>34</v>
      </c>
      <c r="D4982" s="5" t="s">
        <v>12978</v>
      </c>
      <c r="E4982" s="5" t="s">
        <v>32772</v>
      </c>
      <c r="F4982" s="5" t="s">
        <v>524</v>
      </c>
      <c r="G4982" s="5" t="s">
        <v>32773</v>
      </c>
      <c r="H4982" s="6" t="s">
        <v>32774</v>
      </c>
      <c r="K4982" s="5" t="s">
        <v>32775</v>
      </c>
    </row>
    <row r="4983">
      <c r="A4983" s="4">
        <v>45534.35559005787</v>
      </c>
      <c r="B4983" s="5" t="s">
        <v>34</v>
      </c>
      <c r="D4983" s="5" t="s">
        <v>1456</v>
      </c>
      <c r="E4983" s="5" t="s">
        <v>32778</v>
      </c>
      <c r="F4983" s="5" t="s">
        <v>37</v>
      </c>
      <c r="G4983" s="5" t="s">
        <v>32779</v>
      </c>
      <c r="H4983" s="6" t="s">
        <v>32780</v>
      </c>
      <c r="K4983" s="5" t="s">
        <v>32775</v>
      </c>
    </row>
    <row r="4984">
      <c r="A4984" s="4">
        <v>45534.35561384259</v>
      </c>
      <c r="B4984" s="5" t="s">
        <v>34</v>
      </c>
      <c r="D4984" s="5" t="s">
        <v>4775</v>
      </c>
      <c r="E4984" s="5" t="s">
        <v>32783</v>
      </c>
      <c r="F4984" s="5" t="s">
        <v>72</v>
      </c>
      <c r="G4984" s="5" t="s">
        <v>32784</v>
      </c>
      <c r="H4984" s="6" t="s">
        <v>32785</v>
      </c>
      <c r="K4984" s="5" t="s">
        <v>32775</v>
      </c>
    </row>
    <row r="4985">
      <c r="A4985" s="4">
        <v>45534.355615567125</v>
      </c>
      <c r="B4985" s="5" t="s">
        <v>34</v>
      </c>
      <c r="D4985" s="5" t="s">
        <v>522</v>
      </c>
      <c r="E4985" s="5" t="s">
        <v>32788</v>
      </c>
      <c r="F4985" s="5" t="s">
        <v>108</v>
      </c>
      <c r="G4985" s="5" t="s">
        <v>32789</v>
      </c>
      <c r="H4985" s="6" t="s">
        <v>32790</v>
      </c>
      <c r="K4985" s="5" t="s">
        <v>32775</v>
      </c>
    </row>
    <row r="4986">
      <c r="A4986" s="4">
        <v>45534.35563712963</v>
      </c>
      <c r="B4986" s="5" t="s">
        <v>34</v>
      </c>
      <c r="D4986" s="5" t="s">
        <v>9020</v>
      </c>
      <c r="E4986" s="5" t="s">
        <v>32794</v>
      </c>
      <c r="F4986" s="5" t="s">
        <v>524</v>
      </c>
      <c r="G4986" s="5" t="s">
        <v>32795</v>
      </c>
      <c r="H4986" s="6" t="s">
        <v>32796</v>
      </c>
      <c r="K4986" s="5" t="s">
        <v>32775</v>
      </c>
    </row>
    <row r="4987">
      <c r="A4987" s="4">
        <v>45534.35563824074</v>
      </c>
      <c r="B4987" s="5" t="s">
        <v>34</v>
      </c>
      <c r="D4987" s="5" t="s">
        <v>1768</v>
      </c>
      <c r="E4987" s="5" t="s">
        <v>32799</v>
      </c>
      <c r="F4987" s="5" t="s">
        <v>72</v>
      </c>
      <c r="G4987" s="5" t="s">
        <v>32800</v>
      </c>
      <c r="H4987" s="6" t="s">
        <v>32801</v>
      </c>
      <c r="K4987" s="5" t="s">
        <v>32775</v>
      </c>
    </row>
    <row r="4988">
      <c r="A4988" s="4">
        <v>45534.35564015046</v>
      </c>
      <c r="B4988" s="5" t="s">
        <v>34</v>
      </c>
      <c r="D4988" s="5" t="s">
        <v>1206</v>
      </c>
      <c r="E4988" s="5" t="s">
        <v>32804</v>
      </c>
      <c r="F4988" s="5" t="s">
        <v>524</v>
      </c>
      <c r="G4988" s="5" t="s">
        <v>32805</v>
      </c>
      <c r="H4988" s="6" t="s">
        <v>32806</v>
      </c>
      <c r="K4988" s="5" t="s">
        <v>32775</v>
      </c>
    </row>
    <row r="4989">
      <c r="A4989" s="4">
        <v>45534.35564418981</v>
      </c>
      <c r="B4989" s="5" t="s">
        <v>34</v>
      </c>
      <c r="D4989" s="5" t="s">
        <v>1206</v>
      </c>
      <c r="E4989" s="5" t="s">
        <v>32809</v>
      </c>
      <c r="F4989" s="5" t="s">
        <v>108</v>
      </c>
      <c r="G4989" s="5" t="s">
        <v>32810</v>
      </c>
      <c r="H4989" s="6" t="s">
        <v>32811</v>
      </c>
      <c r="K4989" s="5" t="s">
        <v>32775</v>
      </c>
    </row>
    <row r="4990">
      <c r="A4990" s="4">
        <v>45534.355644537034</v>
      </c>
      <c r="B4990" s="5" t="s">
        <v>34</v>
      </c>
      <c r="D4990" s="5" t="s">
        <v>522</v>
      </c>
      <c r="E4990" s="5" t="s">
        <v>32814</v>
      </c>
      <c r="F4990" s="5" t="s">
        <v>524</v>
      </c>
      <c r="G4990" s="5" t="s">
        <v>32815</v>
      </c>
      <c r="H4990" s="6" t="s">
        <v>32816</v>
      </c>
      <c r="K4990" s="5" t="s">
        <v>32775</v>
      </c>
    </row>
    <row r="4991">
      <c r="A4991" s="4">
        <v>45534.35565353009</v>
      </c>
      <c r="B4991" s="5" t="s">
        <v>34</v>
      </c>
      <c r="D4991" s="5" t="s">
        <v>522</v>
      </c>
      <c r="E4991" s="5" t="s">
        <v>26154</v>
      </c>
      <c r="F4991" s="5" t="s">
        <v>212</v>
      </c>
      <c r="G4991" s="5" t="s">
        <v>32820</v>
      </c>
      <c r="H4991" s="6" t="s">
        <v>32821</v>
      </c>
      <c r="K4991" s="5" t="s">
        <v>32775</v>
      </c>
    </row>
    <row r="4992">
      <c r="A4992" s="4">
        <v>45534.355668564815</v>
      </c>
      <c r="B4992" s="5" t="s">
        <v>34</v>
      </c>
      <c r="D4992" s="5" t="s">
        <v>6232</v>
      </c>
      <c r="E4992" s="5" t="s">
        <v>32824</v>
      </c>
      <c r="F4992" s="5" t="s">
        <v>37</v>
      </c>
      <c r="G4992" s="5" t="s">
        <v>32825</v>
      </c>
      <c r="H4992" s="6" t="s">
        <v>32826</v>
      </c>
      <c r="K4992" s="5" t="s">
        <v>32775</v>
      </c>
    </row>
    <row r="4993">
      <c r="A4993" s="4">
        <v>45534.35567078704</v>
      </c>
      <c r="B4993" s="5" t="s">
        <v>19</v>
      </c>
      <c r="C4993" s="5" t="s">
        <v>292</v>
      </c>
      <c r="E4993" s="5" t="s">
        <v>32829</v>
      </c>
      <c r="F4993" s="5" t="s">
        <v>120</v>
      </c>
      <c r="G4993" s="5" t="s">
        <v>32830</v>
      </c>
      <c r="H4993" s="6" t="s">
        <v>32831</v>
      </c>
      <c r="K4993" s="5" t="s">
        <v>32775</v>
      </c>
    </row>
    <row r="4994">
      <c r="A4994" s="4">
        <v>45534.35567643518</v>
      </c>
      <c r="B4994" s="5" t="s">
        <v>34</v>
      </c>
      <c r="D4994" s="5" t="s">
        <v>522</v>
      </c>
      <c r="E4994" s="5" t="s">
        <v>32834</v>
      </c>
      <c r="F4994" s="5" t="s">
        <v>120</v>
      </c>
      <c r="G4994" s="5" t="s">
        <v>32835</v>
      </c>
      <c r="H4994" s="6" t="s">
        <v>32836</v>
      </c>
      <c r="K4994" s="5" t="s">
        <v>32775</v>
      </c>
    </row>
    <row r="4995">
      <c r="A4995" s="4">
        <v>45534.35568163195</v>
      </c>
      <c r="B4995" s="5" t="s">
        <v>34</v>
      </c>
      <c r="D4995" s="5" t="s">
        <v>12978</v>
      </c>
      <c r="E4995" s="5" t="s">
        <v>32839</v>
      </c>
      <c r="F4995" s="5" t="s">
        <v>375</v>
      </c>
      <c r="G4995" s="5" t="s">
        <v>32840</v>
      </c>
      <c r="H4995" s="6" t="s">
        <v>32841</v>
      </c>
      <c r="K4995" s="5" t="s">
        <v>32775</v>
      </c>
    </row>
    <row r="4996">
      <c r="A4996" s="4">
        <v>45534.35568260417</v>
      </c>
      <c r="B4996" s="5" t="s">
        <v>34</v>
      </c>
      <c r="D4996" s="5" t="s">
        <v>9020</v>
      </c>
      <c r="E4996" s="5" t="s">
        <v>32844</v>
      </c>
      <c r="F4996" s="5" t="s">
        <v>715</v>
      </c>
      <c r="G4996" s="5" t="s">
        <v>32845</v>
      </c>
      <c r="H4996" s="6" t="s">
        <v>32846</v>
      </c>
      <c r="K4996" s="5" t="s">
        <v>32775</v>
      </c>
    </row>
    <row r="4997">
      <c r="A4997" s="4">
        <v>45534.35568453703</v>
      </c>
      <c r="B4997" s="5" t="s">
        <v>34</v>
      </c>
      <c r="D4997" s="5" t="s">
        <v>14424</v>
      </c>
      <c r="E4997" s="5" t="s">
        <v>32850</v>
      </c>
      <c r="F4997" s="5" t="s">
        <v>212</v>
      </c>
      <c r="G4997" s="5" t="s">
        <v>32851</v>
      </c>
      <c r="H4997" s="6" t="s">
        <v>32852</v>
      </c>
      <c r="K4997" s="5" t="s">
        <v>32775</v>
      </c>
    </row>
    <row r="4998">
      <c r="A4998" s="4">
        <v>45534.35569060185</v>
      </c>
      <c r="B4998" s="5" t="s">
        <v>34</v>
      </c>
      <c r="D4998" s="5" t="s">
        <v>12010</v>
      </c>
      <c r="E4998" s="5" t="s">
        <v>32855</v>
      </c>
      <c r="F4998" s="5" t="s">
        <v>37</v>
      </c>
      <c r="G4998" s="5" t="s">
        <v>32856</v>
      </c>
      <c r="H4998" s="6" t="s">
        <v>32857</v>
      </c>
      <c r="K4998" s="5" t="s">
        <v>32775</v>
      </c>
    </row>
    <row r="4999">
      <c r="A4999" s="4">
        <v>45534.355700162036</v>
      </c>
      <c r="B4999" s="5" t="s">
        <v>34</v>
      </c>
      <c r="D4999" s="5" t="s">
        <v>1206</v>
      </c>
      <c r="E4999" s="5" t="s">
        <v>32860</v>
      </c>
      <c r="F4999" s="5" t="s">
        <v>212</v>
      </c>
      <c r="G4999" s="5" t="s">
        <v>32861</v>
      </c>
      <c r="H4999" s="6" t="s">
        <v>32862</v>
      </c>
      <c r="K4999" s="5" t="s">
        <v>32775</v>
      </c>
    </row>
    <row r="5000">
      <c r="A5000" s="4">
        <v>45534.3557091088</v>
      </c>
      <c r="B5000" s="5" t="s">
        <v>34</v>
      </c>
      <c r="D5000" s="5" t="s">
        <v>10444</v>
      </c>
      <c r="E5000" s="5" t="s">
        <v>32865</v>
      </c>
      <c r="F5000" s="5" t="s">
        <v>37</v>
      </c>
      <c r="G5000" s="5" t="s">
        <v>32866</v>
      </c>
      <c r="H5000" s="6" t="s">
        <v>32867</v>
      </c>
      <c r="K5000" s="5" t="s">
        <v>32775</v>
      </c>
    </row>
    <row r="5001">
      <c r="A5001" s="4">
        <v>45534.35571538194</v>
      </c>
      <c r="B5001" s="5" t="s">
        <v>34</v>
      </c>
      <c r="D5001" s="5" t="s">
        <v>35</v>
      </c>
      <c r="E5001" s="5" t="s">
        <v>32870</v>
      </c>
      <c r="F5001" s="5" t="s">
        <v>72</v>
      </c>
      <c r="G5001" s="5" t="s">
        <v>32871</v>
      </c>
      <c r="H5001" s="6" t="s">
        <v>32872</v>
      </c>
      <c r="K5001" s="5" t="s">
        <v>32873</v>
      </c>
    </row>
    <row r="5002">
      <c r="A5002" s="4">
        <v>45534.35571793982</v>
      </c>
      <c r="B5002" s="5" t="s">
        <v>34</v>
      </c>
      <c r="D5002" s="5" t="s">
        <v>4775</v>
      </c>
      <c r="E5002" s="5" t="s">
        <v>32877</v>
      </c>
      <c r="F5002" s="5" t="s">
        <v>72</v>
      </c>
      <c r="G5002" s="5" t="s">
        <v>32878</v>
      </c>
      <c r="H5002" s="6" t="s">
        <v>32879</v>
      </c>
      <c r="K5002" s="5" t="s">
        <v>32873</v>
      </c>
    </row>
    <row r="5003">
      <c r="A5003" s="4">
        <v>45534.35571900463</v>
      </c>
      <c r="B5003" s="5" t="s">
        <v>34</v>
      </c>
      <c r="D5003" s="5" t="s">
        <v>7858</v>
      </c>
      <c r="E5003" s="5" t="s">
        <v>32882</v>
      </c>
      <c r="F5003" s="5" t="s">
        <v>212</v>
      </c>
      <c r="G5003" s="5" t="s">
        <v>32883</v>
      </c>
      <c r="H5003" s="6" t="s">
        <v>32884</v>
      </c>
      <c r="K5003" s="5" t="s">
        <v>32873</v>
      </c>
    </row>
    <row r="5004">
      <c r="A5004" s="4">
        <v>45534.35572399305</v>
      </c>
      <c r="B5004" s="5" t="s">
        <v>34</v>
      </c>
      <c r="D5004" s="5" t="s">
        <v>1206</v>
      </c>
      <c r="E5004" s="5" t="s">
        <v>32887</v>
      </c>
      <c r="F5004" s="5" t="s">
        <v>212</v>
      </c>
      <c r="G5004" s="5" t="s">
        <v>32888</v>
      </c>
      <c r="H5004" s="6" t="s">
        <v>32889</v>
      </c>
      <c r="K5004" s="5" t="s">
        <v>32873</v>
      </c>
    </row>
    <row r="5005">
      <c r="A5005" s="4">
        <v>45534.3557425</v>
      </c>
      <c r="B5005" s="5" t="s">
        <v>34</v>
      </c>
      <c r="D5005" s="5" t="s">
        <v>12010</v>
      </c>
      <c r="E5005" s="5" t="s">
        <v>32892</v>
      </c>
      <c r="F5005" s="5" t="s">
        <v>524</v>
      </c>
      <c r="G5005" s="5" t="s">
        <v>32893</v>
      </c>
      <c r="H5005" s="6" t="s">
        <v>32894</v>
      </c>
      <c r="K5005" s="5" t="s">
        <v>32873</v>
      </c>
    </row>
    <row r="5006">
      <c r="A5006" s="4">
        <v>45534.355742291664</v>
      </c>
      <c r="B5006" s="5" t="s">
        <v>34</v>
      </c>
      <c r="D5006" s="5" t="s">
        <v>35</v>
      </c>
      <c r="E5006" s="5" t="s">
        <v>14694</v>
      </c>
      <c r="F5006" s="5" t="s">
        <v>212</v>
      </c>
      <c r="G5006" s="5" t="s">
        <v>14695</v>
      </c>
      <c r="H5006" s="6" t="s">
        <v>32897</v>
      </c>
      <c r="K5006" s="5" t="s">
        <v>32873</v>
      </c>
    </row>
    <row r="5007">
      <c r="A5007" s="4">
        <v>45534.35575664352</v>
      </c>
      <c r="B5007" s="5" t="s">
        <v>19</v>
      </c>
      <c r="C5007" s="5" t="s">
        <v>32901</v>
      </c>
      <c r="E5007" s="5" t="s">
        <v>32902</v>
      </c>
      <c r="F5007" s="5" t="s">
        <v>375</v>
      </c>
      <c r="G5007" s="5" t="s">
        <v>32903</v>
      </c>
      <c r="H5007" s="6" t="s">
        <v>32904</v>
      </c>
      <c r="K5007" s="5" t="s">
        <v>32873</v>
      </c>
    </row>
    <row r="5008">
      <c r="A5008" s="4">
        <v>45534.35577563658</v>
      </c>
      <c r="B5008" s="5" t="s">
        <v>34</v>
      </c>
      <c r="D5008" s="5" t="s">
        <v>9020</v>
      </c>
      <c r="E5008" s="5" t="s">
        <v>31512</v>
      </c>
      <c r="F5008" s="5" t="s">
        <v>212</v>
      </c>
      <c r="G5008" s="5" t="s">
        <v>31513</v>
      </c>
      <c r="H5008" s="6" t="s">
        <v>32907</v>
      </c>
      <c r="K5008" s="5" t="s">
        <v>32873</v>
      </c>
    </row>
    <row r="5009">
      <c r="A5009" s="4">
        <v>45534.35577944445</v>
      </c>
      <c r="B5009" s="5" t="s">
        <v>34</v>
      </c>
      <c r="D5009" s="5" t="s">
        <v>522</v>
      </c>
      <c r="E5009" s="5" t="s">
        <v>32910</v>
      </c>
      <c r="F5009" s="5" t="s">
        <v>37</v>
      </c>
      <c r="G5009" s="5" t="s">
        <v>32911</v>
      </c>
      <c r="H5009" s="6" t="s">
        <v>32912</v>
      </c>
      <c r="K5009" s="5" t="s">
        <v>32873</v>
      </c>
    </row>
    <row r="5010">
      <c r="A5010" s="4">
        <v>45534.355784178246</v>
      </c>
      <c r="B5010" s="5" t="s">
        <v>34</v>
      </c>
      <c r="D5010" s="5" t="s">
        <v>522</v>
      </c>
      <c r="E5010" s="5" t="s">
        <v>32915</v>
      </c>
      <c r="F5010" s="5" t="s">
        <v>212</v>
      </c>
      <c r="G5010" s="5" t="s">
        <v>32916</v>
      </c>
      <c r="H5010" s="6" t="s">
        <v>32917</v>
      </c>
      <c r="K5010" s="5" t="s">
        <v>32873</v>
      </c>
    </row>
    <row r="5011">
      <c r="A5011" s="4">
        <v>45534.35579796296</v>
      </c>
      <c r="B5011" s="5" t="s">
        <v>34</v>
      </c>
      <c r="D5011" s="5" t="s">
        <v>1206</v>
      </c>
      <c r="E5011" s="5" t="s">
        <v>32920</v>
      </c>
      <c r="F5011" s="5" t="s">
        <v>37</v>
      </c>
      <c r="G5011" s="5" t="s">
        <v>32921</v>
      </c>
      <c r="H5011" s="6" t="s">
        <v>32922</v>
      </c>
      <c r="K5011" s="5" t="s">
        <v>32923</v>
      </c>
    </row>
    <row r="5012">
      <c r="A5012" s="4">
        <v>45534.35579806713</v>
      </c>
      <c r="B5012" s="5" t="s">
        <v>34</v>
      </c>
      <c r="D5012" s="5" t="s">
        <v>1206</v>
      </c>
      <c r="E5012" s="5" t="s">
        <v>32927</v>
      </c>
      <c r="F5012" s="5" t="s">
        <v>37</v>
      </c>
      <c r="G5012" s="5" t="s">
        <v>32928</v>
      </c>
      <c r="H5012" s="6" t="s">
        <v>32929</v>
      </c>
      <c r="K5012" s="5" t="s">
        <v>32923</v>
      </c>
    </row>
    <row r="5013">
      <c r="A5013" s="4">
        <v>45534.35580704861</v>
      </c>
      <c r="B5013" s="5" t="s">
        <v>34</v>
      </c>
      <c r="D5013" s="5" t="s">
        <v>267</v>
      </c>
      <c r="E5013" s="5" t="s">
        <v>32932</v>
      </c>
      <c r="F5013" s="5" t="s">
        <v>524</v>
      </c>
      <c r="G5013" s="5" t="s">
        <v>32933</v>
      </c>
      <c r="H5013" s="6" t="s">
        <v>32934</v>
      </c>
      <c r="K5013" s="5" t="s">
        <v>32923</v>
      </c>
    </row>
    <row r="5014">
      <c r="A5014" s="4">
        <v>45534.35582418981</v>
      </c>
      <c r="B5014" s="5" t="s">
        <v>34</v>
      </c>
      <c r="D5014" s="5" t="s">
        <v>12978</v>
      </c>
      <c r="E5014" s="5" t="s">
        <v>32937</v>
      </c>
      <c r="F5014" s="5" t="s">
        <v>524</v>
      </c>
      <c r="G5014" s="5" t="s">
        <v>32938</v>
      </c>
      <c r="H5014" s="6" t="s">
        <v>32939</v>
      </c>
      <c r="K5014" s="5" t="s">
        <v>32923</v>
      </c>
    </row>
    <row r="5015">
      <c r="A5015" s="4">
        <v>45534.35582627315</v>
      </c>
      <c r="B5015" s="5" t="s">
        <v>34</v>
      </c>
      <c r="D5015" s="5" t="s">
        <v>1206</v>
      </c>
      <c r="E5015" s="5" t="s">
        <v>32942</v>
      </c>
      <c r="F5015" s="5" t="s">
        <v>212</v>
      </c>
      <c r="G5015" s="5" t="s">
        <v>32943</v>
      </c>
      <c r="H5015" s="6" t="s">
        <v>32944</v>
      </c>
      <c r="K5015" s="5" t="s">
        <v>32923</v>
      </c>
    </row>
    <row r="5016">
      <c r="A5016" s="4">
        <v>45534.35584131944</v>
      </c>
      <c r="B5016" s="5" t="s">
        <v>34</v>
      </c>
      <c r="D5016" s="5" t="s">
        <v>12978</v>
      </c>
      <c r="E5016" s="5" t="s">
        <v>32948</v>
      </c>
      <c r="F5016" s="5" t="s">
        <v>72</v>
      </c>
      <c r="G5016" s="5" t="s">
        <v>32949</v>
      </c>
      <c r="H5016" s="6" t="s">
        <v>32950</v>
      </c>
      <c r="I5016" s="7" t="s">
        <v>32951</v>
      </c>
      <c r="J5016" s="8" t="str">
        <f>HYPERLINK("https://drive.google.com/file/d/13riJv8Ag2w2gwr-mcNrm5zL44dDqeY8j/view?usp=drivesdk","PIMIZA LUSKA SERTIFIKAT BerAKHLAK")</f>
        <v>PIMIZA LUSKA SERTIFIKAT BerAKHLAK</v>
      </c>
      <c r="K5016" s="5" t="s">
        <v>31978</v>
      </c>
      <c r="L5016" s="5" t="s">
        <v>32952</v>
      </c>
    </row>
    <row r="5017">
      <c r="A5017" s="4">
        <v>45534.35585127315</v>
      </c>
      <c r="B5017" s="5" t="s">
        <v>34</v>
      </c>
      <c r="D5017" s="5" t="s">
        <v>6232</v>
      </c>
      <c r="E5017" s="5" t="s">
        <v>32955</v>
      </c>
      <c r="F5017" s="5" t="s">
        <v>108</v>
      </c>
      <c r="G5017" s="5" t="s">
        <v>32956</v>
      </c>
      <c r="H5017" s="6" t="s">
        <v>32957</v>
      </c>
      <c r="I5017" s="7" t="s">
        <v>32958</v>
      </c>
      <c r="J5017" s="8" t="str">
        <f>HYPERLINK("https://drive.google.com/file/d/1sanEOEFYbwgrYOkiwVJ6_eA7bIHrN9R9/view?usp=drivesdk","Destrian Chandra Putra., S.Pd SERTIFIKAT BerAKHLAK")</f>
        <v>Destrian Chandra Putra., S.Pd SERTIFIKAT BerAKHLAK</v>
      </c>
      <c r="K5017" s="5" t="s">
        <v>32413</v>
      </c>
      <c r="L5017" s="5" t="s">
        <v>32959</v>
      </c>
    </row>
    <row r="5018">
      <c r="A5018" s="4">
        <v>45534.355857268514</v>
      </c>
      <c r="B5018" s="5" t="s">
        <v>34</v>
      </c>
      <c r="D5018" s="5" t="s">
        <v>35</v>
      </c>
      <c r="E5018" s="5" t="s">
        <v>32962</v>
      </c>
      <c r="F5018" s="5" t="s">
        <v>37</v>
      </c>
      <c r="G5018" s="5" t="s">
        <v>32963</v>
      </c>
      <c r="H5018" s="6" t="s">
        <v>32964</v>
      </c>
      <c r="K5018" s="5" t="s">
        <v>32965</v>
      </c>
    </row>
    <row r="5019">
      <c r="A5019" s="4">
        <v>45534.35586732639</v>
      </c>
      <c r="B5019" s="5" t="s">
        <v>34</v>
      </c>
      <c r="D5019" s="5" t="s">
        <v>6232</v>
      </c>
      <c r="E5019" s="5" t="s">
        <v>32968</v>
      </c>
      <c r="F5019" s="5" t="s">
        <v>120</v>
      </c>
      <c r="G5019" s="5" t="s">
        <v>32969</v>
      </c>
      <c r="H5019" s="6" t="s">
        <v>32970</v>
      </c>
      <c r="K5019" s="5" t="s">
        <v>32965</v>
      </c>
    </row>
    <row r="5020">
      <c r="A5020" s="4">
        <v>45534.35587561343</v>
      </c>
      <c r="B5020" s="5" t="s">
        <v>34</v>
      </c>
      <c r="D5020" s="5" t="s">
        <v>701</v>
      </c>
      <c r="E5020" s="5" t="s">
        <v>32974</v>
      </c>
      <c r="F5020" s="5" t="s">
        <v>375</v>
      </c>
      <c r="G5020" s="5" t="s">
        <v>32975</v>
      </c>
      <c r="H5020" s="6" t="s">
        <v>32976</v>
      </c>
      <c r="K5020" s="5" t="s">
        <v>32965</v>
      </c>
    </row>
    <row r="5021">
      <c r="A5021" s="4">
        <v>45534.35590201389</v>
      </c>
      <c r="B5021" s="5" t="s">
        <v>34</v>
      </c>
      <c r="D5021" s="5" t="s">
        <v>12010</v>
      </c>
      <c r="E5021" s="5" t="s">
        <v>32979</v>
      </c>
      <c r="F5021" s="5" t="s">
        <v>108</v>
      </c>
      <c r="G5021" s="5" t="s">
        <v>32980</v>
      </c>
      <c r="H5021" s="6" t="s">
        <v>32981</v>
      </c>
      <c r="K5021" s="5" t="s">
        <v>32965</v>
      </c>
    </row>
    <row r="5022">
      <c r="A5022" s="4">
        <v>45534.35590285879</v>
      </c>
      <c r="B5022" s="5" t="s">
        <v>34</v>
      </c>
      <c r="D5022" s="5" t="s">
        <v>14424</v>
      </c>
      <c r="E5022" s="5" t="s">
        <v>32984</v>
      </c>
      <c r="F5022" s="5" t="s">
        <v>524</v>
      </c>
      <c r="G5022" s="5" t="s">
        <v>32985</v>
      </c>
      <c r="H5022" s="6" t="s">
        <v>32986</v>
      </c>
      <c r="K5022" s="5" t="s">
        <v>32965</v>
      </c>
    </row>
    <row r="5023">
      <c r="A5023" s="4">
        <v>45534.35591005787</v>
      </c>
      <c r="B5023" s="5" t="s">
        <v>34</v>
      </c>
      <c r="D5023" s="5" t="s">
        <v>6232</v>
      </c>
      <c r="E5023" s="5" t="s">
        <v>32989</v>
      </c>
      <c r="F5023" s="5" t="s">
        <v>212</v>
      </c>
      <c r="G5023" s="5" t="s">
        <v>32990</v>
      </c>
      <c r="H5023" s="6" t="s">
        <v>32991</v>
      </c>
      <c r="I5023" s="7" t="s">
        <v>32992</v>
      </c>
      <c r="J5023" s="8" t="str">
        <f>HYPERLINK("https://drive.google.com/file/d/1dpJoWLkQbLDYnVZ6DGQQu_szFN9ShV-P/view?usp=drivesdk","FEVI ROSMITA SERTIFIKAT BerAKHLAK")</f>
        <v>FEVI ROSMITA SERTIFIKAT BerAKHLAK</v>
      </c>
      <c r="K5023" s="5" t="s">
        <v>31978</v>
      </c>
      <c r="L5023" s="5" t="s">
        <v>32993</v>
      </c>
    </row>
    <row r="5024">
      <c r="A5024" s="4">
        <v>45534.355914687505</v>
      </c>
      <c r="B5024" s="5" t="s">
        <v>34</v>
      </c>
      <c r="D5024" s="5" t="s">
        <v>12978</v>
      </c>
      <c r="E5024" s="5" t="s">
        <v>32996</v>
      </c>
      <c r="F5024" s="5" t="s">
        <v>212</v>
      </c>
      <c r="G5024" s="5" t="s">
        <v>32997</v>
      </c>
      <c r="H5024" s="6" t="s">
        <v>32998</v>
      </c>
      <c r="I5024" s="7" t="s">
        <v>32999</v>
      </c>
      <c r="J5024" s="8" t="str">
        <f>HYPERLINK("https://drive.google.com/file/d/1lda_3MeuKCgsVjLAZ9L-Rjn7TzsxYg4I/view?usp=drivesdk","SUDARWATI  SERTIFIKAT BerAKHLAK")</f>
        <v>SUDARWATI  SERTIFIKAT BerAKHLAK</v>
      </c>
      <c r="K5024" s="5" t="s">
        <v>32413</v>
      </c>
      <c r="L5024" s="5" t="s">
        <v>33000</v>
      </c>
    </row>
    <row r="5025">
      <c r="A5025" s="4">
        <v>45534.355917719906</v>
      </c>
      <c r="B5025" s="5" t="s">
        <v>34</v>
      </c>
      <c r="D5025" s="5" t="s">
        <v>1558</v>
      </c>
      <c r="E5025" s="5" t="s">
        <v>33004</v>
      </c>
      <c r="F5025" s="5" t="s">
        <v>375</v>
      </c>
      <c r="G5025" s="5" t="s">
        <v>33005</v>
      </c>
      <c r="H5025" s="6" t="s">
        <v>33006</v>
      </c>
      <c r="I5025" s="7" t="s">
        <v>33007</v>
      </c>
      <c r="J5025" s="8" t="str">
        <f>HYPERLINK("https://drive.google.com/file/d/1dB2QT1WLafQ8K_7j4cDK-5KbLvLQxpJa/view?usp=drivesdk","NENI KURNIATI, S.Kom SERTIFIKAT BerAKHLAK")</f>
        <v>NENI KURNIATI, S.Kom SERTIFIKAT BerAKHLAK</v>
      </c>
      <c r="K5025" s="5" t="s">
        <v>32413</v>
      </c>
      <c r="L5025" s="5" t="s">
        <v>33008</v>
      </c>
    </row>
    <row r="5026">
      <c r="A5026" s="4">
        <v>45534.35592502315</v>
      </c>
      <c r="B5026" s="5" t="s">
        <v>34</v>
      </c>
      <c r="D5026" s="5" t="s">
        <v>6232</v>
      </c>
      <c r="E5026" s="5" t="s">
        <v>33011</v>
      </c>
      <c r="F5026" s="5" t="s">
        <v>37</v>
      </c>
      <c r="G5026" s="5" t="s">
        <v>33012</v>
      </c>
      <c r="H5026" s="6" t="s">
        <v>33013</v>
      </c>
      <c r="I5026" s="7" t="s">
        <v>33014</v>
      </c>
      <c r="J5026" s="8" t="str">
        <f>HYPERLINK("https://drive.google.com/file/d/1gHMYFb3ZCct4NxfS3W47O65e9j3bLeUZ/view?usp=drivesdk","EKA YUDI YANTI, S.Kom SERTIFIKAT BerAKHLAK")</f>
        <v>EKA YUDI YANTI, S.Kom SERTIFIKAT BerAKHLAK</v>
      </c>
      <c r="K5026" s="5" t="s">
        <v>32413</v>
      </c>
      <c r="L5026" s="5" t="s">
        <v>33015</v>
      </c>
    </row>
    <row r="5027">
      <c r="A5027" s="4">
        <v>45534.3559439699</v>
      </c>
      <c r="B5027" s="5" t="s">
        <v>34</v>
      </c>
      <c r="D5027" s="5" t="s">
        <v>4775</v>
      </c>
      <c r="E5027" s="5" t="s">
        <v>33018</v>
      </c>
      <c r="F5027" s="5" t="s">
        <v>524</v>
      </c>
      <c r="G5027" s="5" t="s">
        <v>33019</v>
      </c>
      <c r="H5027" s="6" t="s">
        <v>33020</v>
      </c>
      <c r="I5027" s="7" t="s">
        <v>33021</v>
      </c>
      <c r="J5027" s="8" t="str">
        <f>HYPERLINK("https://drive.google.com/file/d/1DWxLNUN0dZrfOisQwocTP6YVLn6O-nQh/view?usp=drivesdk","DWIYANTO, S.H. SERTIFIKAT BerAKHLAK")</f>
        <v>DWIYANTO, S.H. SERTIFIKAT BerAKHLAK</v>
      </c>
      <c r="K5027" s="5" t="s">
        <v>32413</v>
      </c>
      <c r="L5027" s="5" t="s">
        <v>33022</v>
      </c>
    </row>
    <row r="5028">
      <c r="A5028" s="4">
        <v>45534.355946435186</v>
      </c>
      <c r="B5028" s="5" t="s">
        <v>34</v>
      </c>
      <c r="D5028" s="5" t="s">
        <v>1456</v>
      </c>
      <c r="E5028" s="5" t="s">
        <v>33025</v>
      </c>
      <c r="F5028" s="5" t="s">
        <v>715</v>
      </c>
      <c r="G5028" s="5" t="s">
        <v>33026</v>
      </c>
      <c r="H5028" s="6" t="s">
        <v>33027</v>
      </c>
      <c r="I5028" s="7" t="s">
        <v>33028</v>
      </c>
      <c r="J5028" s="8" t="str">
        <f>HYPERLINK("https://drive.google.com/file/d/1-zU5o6Hum60D5l3-CLe8BUv4zWcbf3dT/view?usp=drivesdk","RATNA WATI SERTIFIKAT BerAKHLAK")</f>
        <v>RATNA WATI SERTIFIKAT BerAKHLAK</v>
      </c>
      <c r="K5028" s="5" t="s">
        <v>32413</v>
      </c>
      <c r="L5028" s="5" t="s">
        <v>33029</v>
      </c>
    </row>
    <row r="5029">
      <c r="A5029" s="4">
        <v>45534.35594194444</v>
      </c>
      <c r="B5029" s="5" t="s">
        <v>34</v>
      </c>
      <c r="D5029" s="5" t="s">
        <v>1558</v>
      </c>
      <c r="E5029" s="5" t="s">
        <v>33032</v>
      </c>
      <c r="F5029" s="5" t="s">
        <v>524</v>
      </c>
      <c r="G5029" s="5" t="s">
        <v>33033</v>
      </c>
      <c r="H5029" s="6" t="s">
        <v>33034</v>
      </c>
      <c r="K5029" s="5" t="s">
        <v>33035</v>
      </c>
    </row>
    <row r="5030">
      <c r="A5030" s="4">
        <v>45534.35594780093</v>
      </c>
      <c r="B5030" s="5" t="s">
        <v>34</v>
      </c>
      <c r="D5030" s="5" t="s">
        <v>14313</v>
      </c>
      <c r="E5030" s="5" t="s">
        <v>33038</v>
      </c>
      <c r="F5030" s="5" t="s">
        <v>524</v>
      </c>
      <c r="G5030" s="5" t="s">
        <v>33039</v>
      </c>
      <c r="H5030" s="6" t="s">
        <v>33040</v>
      </c>
      <c r="K5030" s="5" t="s">
        <v>33035</v>
      </c>
    </row>
    <row r="5031">
      <c r="A5031" s="4">
        <v>45534.35595804398</v>
      </c>
      <c r="B5031" s="5" t="s">
        <v>19</v>
      </c>
      <c r="C5031" s="5" t="s">
        <v>466</v>
      </c>
      <c r="E5031" s="5" t="s">
        <v>33044</v>
      </c>
      <c r="F5031" s="5" t="s">
        <v>212</v>
      </c>
      <c r="G5031" s="5" t="s">
        <v>33045</v>
      </c>
      <c r="H5031" s="6" t="s">
        <v>33046</v>
      </c>
      <c r="K5031" s="5" t="s">
        <v>33035</v>
      </c>
    </row>
    <row r="5032">
      <c r="A5032" s="4">
        <v>45534.35596097222</v>
      </c>
      <c r="B5032" s="5" t="s">
        <v>34</v>
      </c>
      <c r="D5032" s="5" t="s">
        <v>267</v>
      </c>
      <c r="E5032" s="5" t="s">
        <v>33049</v>
      </c>
      <c r="F5032" s="5" t="s">
        <v>212</v>
      </c>
      <c r="G5032" s="5" t="s">
        <v>33050</v>
      </c>
      <c r="H5032" s="6" t="s">
        <v>33051</v>
      </c>
      <c r="K5032" s="5" t="s">
        <v>33035</v>
      </c>
    </row>
    <row r="5033">
      <c r="A5033" s="4">
        <v>45534.35596671296</v>
      </c>
      <c r="B5033" s="5" t="s">
        <v>34</v>
      </c>
      <c r="D5033" s="5" t="s">
        <v>6232</v>
      </c>
      <c r="E5033" s="5" t="s">
        <v>33054</v>
      </c>
      <c r="F5033" s="5" t="s">
        <v>375</v>
      </c>
      <c r="G5033" s="5" t="s">
        <v>33055</v>
      </c>
      <c r="H5033" s="6" t="s">
        <v>33056</v>
      </c>
      <c r="K5033" s="5" t="s">
        <v>33035</v>
      </c>
    </row>
    <row r="5034">
      <c r="A5034" s="4">
        <v>45534.355971377314</v>
      </c>
      <c r="B5034" s="5" t="s">
        <v>34</v>
      </c>
      <c r="D5034" s="5" t="s">
        <v>1206</v>
      </c>
      <c r="E5034" s="5" t="s">
        <v>33059</v>
      </c>
      <c r="F5034" s="5" t="s">
        <v>212</v>
      </c>
      <c r="G5034" s="5" t="s">
        <v>33060</v>
      </c>
      <c r="H5034" s="6" t="s">
        <v>33061</v>
      </c>
      <c r="K5034" s="5" t="s">
        <v>33035</v>
      </c>
    </row>
    <row r="5035">
      <c r="A5035" s="4">
        <v>45534.35597842593</v>
      </c>
      <c r="B5035" s="5" t="s">
        <v>34</v>
      </c>
      <c r="D5035" s="5" t="s">
        <v>4775</v>
      </c>
      <c r="E5035" s="5" t="s">
        <v>33065</v>
      </c>
      <c r="F5035" s="5" t="s">
        <v>212</v>
      </c>
      <c r="G5035" s="5" t="s">
        <v>33066</v>
      </c>
      <c r="H5035" s="6" t="s">
        <v>33067</v>
      </c>
      <c r="K5035" s="5" t="s">
        <v>33035</v>
      </c>
    </row>
    <row r="5036">
      <c r="A5036" s="4">
        <v>45534.35598620371</v>
      </c>
      <c r="B5036" s="5" t="s">
        <v>34</v>
      </c>
      <c r="D5036" s="5" t="s">
        <v>35</v>
      </c>
      <c r="E5036" s="5" t="s">
        <v>19603</v>
      </c>
      <c r="F5036" s="5" t="s">
        <v>37</v>
      </c>
      <c r="G5036" s="5" t="s">
        <v>33070</v>
      </c>
      <c r="H5036" s="6" t="s">
        <v>33071</v>
      </c>
      <c r="K5036" s="5" t="s">
        <v>33035</v>
      </c>
    </row>
    <row r="5037">
      <c r="A5037" s="4">
        <v>45534.35598663194</v>
      </c>
      <c r="B5037" s="5" t="s">
        <v>34</v>
      </c>
      <c r="D5037" s="5" t="s">
        <v>1206</v>
      </c>
      <c r="E5037" s="5" t="s">
        <v>33074</v>
      </c>
      <c r="F5037" s="5" t="s">
        <v>72</v>
      </c>
      <c r="G5037" s="5" t="s">
        <v>33075</v>
      </c>
      <c r="H5037" s="6" t="s">
        <v>33076</v>
      </c>
      <c r="K5037" s="5" t="s">
        <v>33035</v>
      </c>
    </row>
    <row r="5038">
      <c r="A5038" s="4">
        <v>45534.35598917824</v>
      </c>
      <c r="B5038" s="5" t="s">
        <v>34</v>
      </c>
      <c r="D5038" s="5" t="s">
        <v>1206</v>
      </c>
      <c r="E5038" s="5" t="s">
        <v>33080</v>
      </c>
      <c r="F5038" s="5" t="s">
        <v>524</v>
      </c>
      <c r="G5038" s="5" t="s">
        <v>33081</v>
      </c>
      <c r="H5038" s="6" t="s">
        <v>33082</v>
      </c>
      <c r="I5038" s="7" t="s">
        <v>33083</v>
      </c>
      <c r="J5038" s="8" t="str">
        <f>HYPERLINK("https://drive.google.com/file/d/15lwYA-rMFf4wNjECOILG7DaMmKdsmUx6/view?usp=drivesdk","GOLANG ROCHMANTOYO SERTIFIKAT BerAKHLAK")</f>
        <v>GOLANG ROCHMANTOYO SERTIFIKAT BerAKHLAK</v>
      </c>
      <c r="K5038" s="5" t="s">
        <v>32413</v>
      </c>
      <c r="L5038" s="5" t="s">
        <v>33084</v>
      </c>
    </row>
    <row r="5039">
      <c r="A5039" s="4">
        <v>45534.35600072917</v>
      </c>
      <c r="B5039" s="5" t="s">
        <v>34</v>
      </c>
      <c r="D5039" s="5" t="s">
        <v>9020</v>
      </c>
      <c r="E5039" s="5" t="s">
        <v>33087</v>
      </c>
      <c r="F5039" s="5" t="s">
        <v>212</v>
      </c>
      <c r="G5039" s="5" t="s">
        <v>33088</v>
      </c>
      <c r="H5039" s="6" t="s">
        <v>33089</v>
      </c>
      <c r="I5039" s="7" t="s">
        <v>33090</v>
      </c>
      <c r="J5039" s="8" t="str">
        <f>HYPERLINK("https://drive.google.com/file/d/1uOh1dOCyQNFiKY_eMRxTVI_0VOSUGZTN/view?usp=drivesdk","NAJARUDDIN  SERTIFIKAT BerAKHLAK")</f>
        <v>NAJARUDDIN  SERTIFIKAT BerAKHLAK</v>
      </c>
      <c r="K5039" s="5" t="s">
        <v>32413</v>
      </c>
      <c r="L5039" s="5" t="s">
        <v>33091</v>
      </c>
    </row>
    <row r="5040">
      <c r="A5040" s="4">
        <v>45534.35601672454</v>
      </c>
      <c r="B5040" s="5" t="s">
        <v>34</v>
      </c>
      <c r="D5040" s="5" t="s">
        <v>1206</v>
      </c>
      <c r="E5040" s="5" t="s">
        <v>33094</v>
      </c>
      <c r="F5040" s="5" t="s">
        <v>524</v>
      </c>
      <c r="G5040" s="5" t="s">
        <v>33095</v>
      </c>
      <c r="H5040" s="6" t="s">
        <v>33096</v>
      </c>
      <c r="I5040" s="7" t="s">
        <v>33097</v>
      </c>
      <c r="J5040" s="8" t="str">
        <f>HYPERLINK("https://drive.google.com/file/d/1ux2yvRKWY8I-ATp4HMlV_LSCEHfordE1/view?usp=drivesdk","ANDRI SUSANTO, S.Sos SERTIFIKAT BerAKHLAK")</f>
        <v>ANDRI SUSANTO, S.Sos SERTIFIKAT BerAKHLAK</v>
      </c>
      <c r="K5040" s="5" t="s">
        <v>32413</v>
      </c>
      <c r="L5040" s="5" t="s">
        <v>33098</v>
      </c>
    </row>
    <row r="5041">
      <c r="A5041" s="4">
        <v>45534.35601758102</v>
      </c>
      <c r="B5041" s="5" t="s">
        <v>34</v>
      </c>
      <c r="D5041" s="5" t="s">
        <v>4775</v>
      </c>
      <c r="E5041" s="5" t="s">
        <v>25087</v>
      </c>
      <c r="F5041" s="5" t="s">
        <v>37</v>
      </c>
      <c r="G5041" s="5" t="s">
        <v>33101</v>
      </c>
      <c r="H5041" s="6" t="s">
        <v>33102</v>
      </c>
      <c r="K5041" s="5" t="s">
        <v>33103</v>
      </c>
    </row>
    <row r="5042">
      <c r="A5042" s="4">
        <v>45534.35603837963</v>
      </c>
      <c r="B5042" s="5" t="s">
        <v>34</v>
      </c>
      <c r="D5042" s="5" t="s">
        <v>975</v>
      </c>
      <c r="E5042" s="5" t="s">
        <v>33106</v>
      </c>
      <c r="F5042" s="5" t="s">
        <v>37</v>
      </c>
      <c r="G5042" s="5" t="s">
        <v>33107</v>
      </c>
      <c r="H5042" s="6" t="s">
        <v>33108</v>
      </c>
      <c r="I5042" s="7" t="s">
        <v>33109</v>
      </c>
      <c r="J5042" s="8" t="str">
        <f>HYPERLINK("https://drive.google.com/file/d/19vt9lNKAEgIHiEvwK_1yg2KVMR7tLwZ9/view?usp=drivesdk","ASNIAH A MD KEB SERTIFIKAT BerAKHLAK")</f>
        <v>ASNIAH A MD KEB SERTIFIKAT BerAKHLAK</v>
      </c>
      <c r="K5042" s="5" t="s">
        <v>32413</v>
      </c>
      <c r="L5042" s="5" t="s">
        <v>33110</v>
      </c>
    </row>
    <row r="5043">
      <c r="A5043" s="4">
        <v>45534.35605652777</v>
      </c>
      <c r="B5043" s="5" t="s">
        <v>34</v>
      </c>
      <c r="D5043" s="5" t="s">
        <v>1206</v>
      </c>
      <c r="E5043" s="5" t="s">
        <v>33114</v>
      </c>
      <c r="F5043" s="5" t="s">
        <v>524</v>
      </c>
      <c r="G5043" s="5" t="s">
        <v>33115</v>
      </c>
      <c r="H5043" s="6" t="s">
        <v>33116</v>
      </c>
      <c r="I5043" s="7" t="s">
        <v>33117</v>
      </c>
      <c r="J5043" s="8" t="str">
        <f>HYPERLINK("https://drive.google.com/file/d/1Goo_4HFsZ-mLsQSOTcrjNu7zncQhKo0K/view?usp=drivesdk","ARIS SURYANI, S. Kep., Ns SERTIFIKAT BerAKHLAK")</f>
        <v>ARIS SURYANI, S. Kep., Ns SERTIFIKAT BerAKHLAK</v>
      </c>
      <c r="K5043" s="5" t="s">
        <v>32413</v>
      </c>
      <c r="L5043" s="5" t="s">
        <v>33118</v>
      </c>
    </row>
    <row r="5044">
      <c r="A5044" s="4">
        <v>45534.35606363426</v>
      </c>
      <c r="B5044" s="5" t="s">
        <v>34</v>
      </c>
      <c r="D5044" s="5" t="s">
        <v>1206</v>
      </c>
      <c r="E5044" s="5" t="s">
        <v>33121</v>
      </c>
      <c r="F5044" s="5" t="s">
        <v>212</v>
      </c>
      <c r="G5044" s="5" t="s">
        <v>33122</v>
      </c>
      <c r="H5044" s="6" t="s">
        <v>33123</v>
      </c>
      <c r="I5044" s="7" t="s">
        <v>33124</v>
      </c>
      <c r="J5044" s="8" t="str">
        <f>HYPERLINK("https://drive.google.com/file/d/1brf40ucByIqmHlwCpxxQZVHhSstGHb0V/view?usp=drivesdk","ERICA SUSANTI,A.Md SERTIFIKAT BerAKHLAK")</f>
        <v>ERICA SUSANTI,A.Md SERTIFIKAT BerAKHLAK</v>
      </c>
      <c r="K5044" s="5" t="s">
        <v>32413</v>
      </c>
      <c r="L5044" s="5" t="s">
        <v>33125</v>
      </c>
    </row>
    <row r="5045">
      <c r="A5045" s="4">
        <v>45534.35609324074</v>
      </c>
      <c r="B5045" s="5" t="s">
        <v>34</v>
      </c>
      <c r="D5045" s="5" t="s">
        <v>10444</v>
      </c>
      <c r="E5045" s="5" t="s">
        <v>33128</v>
      </c>
      <c r="F5045" s="5" t="s">
        <v>212</v>
      </c>
      <c r="G5045" s="5" t="s">
        <v>33129</v>
      </c>
      <c r="H5045" s="6" t="s">
        <v>33130</v>
      </c>
      <c r="I5045" s="7" t="s">
        <v>33131</v>
      </c>
      <c r="J5045" s="8" t="str">
        <f>HYPERLINK("https://drive.google.com/file/d/1Q39hyj3B9AUW-dVbcnfWjlBczAicJV5m/view?usp=drivesdk","SRI NURTINI, A.Md SERTIFIKAT BerAKHLAK")</f>
        <v>SRI NURTINI, A.Md SERTIFIKAT BerAKHLAK</v>
      </c>
      <c r="K5045" s="5" t="s">
        <v>32413</v>
      </c>
      <c r="L5045" s="5" t="s">
        <v>33132</v>
      </c>
    </row>
    <row r="5046">
      <c r="A5046" s="4">
        <v>45534.35610564815</v>
      </c>
      <c r="B5046" s="5" t="s">
        <v>34</v>
      </c>
      <c r="D5046" s="5" t="s">
        <v>1206</v>
      </c>
      <c r="E5046" s="5" t="s">
        <v>33135</v>
      </c>
      <c r="F5046" s="5" t="s">
        <v>212</v>
      </c>
      <c r="G5046" s="5" t="s">
        <v>33136</v>
      </c>
      <c r="H5046" s="6" t="s">
        <v>33137</v>
      </c>
      <c r="I5046" s="7" t="s">
        <v>33138</v>
      </c>
      <c r="J5046" s="8" t="str">
        <f>HYPERLINK("https://drive.google.com/file/d/11eqUr9VEg3ZTvIIB6cWjJJ7qEpIS9swr/view?usp=drivesdk","AGUS PURWANTO  SERTIFIKAT BerAKHLAK")</f>
        <v>AGUS PURWANTO  SERTIFIKAT BerAKHLAK</v>
      </c>
      <c r="K5046" s="5" t="s">
        <v>32413</v>
      </c>
      <c r="L5046" s="5" t="s">
        <v>33139</v>
      </c>
    </row>
    <row r="5047">
      <c r="A5047" s="4">
        <v>45534.35610726852</v>
      </c>
      <c r="B5047" s="5" t="s">
        <v>34</v>
      </c>
      <c r="D5047" s="5" t="s">
        <v>12010</v>
      </c>
      <c r="E5047" s="5" t="s">
        <v>33142</v>
      </c>
      <c r="F5047" s="5" t="s">
        <v>715</v>
      </c>
      <c r="G5047" s="5" t="s">
        <v>33143</v>
      </c>
      <c r="H5047" s="6" t="s">
        <v>33144</v>
      </c>
      <c r="K5047" s="5" t="s">
        <v>33145</v>
      </c>
    </row>
    <row r="5048">
      <c r="A5048" s="4">
        <v>45534.35610797454</v>
      </c>
      <c r="B5048" s="5" t="s">
        <v>34</v>
      </c>
      <c r="D5048" s="5" t="s">
        <v>14424</v>
      </c>
      <c r="E5048" s="5" t="s">
        <v>33149</v>
      </c>
      <c r="F5048" s="5" t="s">
        <v>72</v>
      </c>
      <c r="G5048" s="5" t="s">
        <v>33150</v>
      </c>
      <c r="H5048" s="6" t="s">
        <v>33151</v>
      </c>
      <c r="K5048" s="5" t="s">
        <v>33145</v>
      </c>
    </row>
    <row r="5049">
      <c r="A5049" s="4">
        <v>45534.35611233796</v>
      </c>
      <c r="B5049" s="5" t="s">
        <v>34</v>
      </c>
      <c r="D5049" s="5" t="s">
        <v>701</v>
      </c>
      <c r="E5049" s="5" t="s">
        <v>10400</v>
      </c>
      <c r="F5049" s="5" t="s">
        <v>715</v>
      </c>
      <c r="G5049" s="5" t="s">
        <v>33154</v>
      </c>
      <c r="H5049" s="6" t="s">
        <v>33155</v>
      </c>
      <c r="K5049" s="5" t="s">
        <v>33145</v>
      </c>
    </row>
    <row r="5050">
      <c r="A5050" s="4">
        <v>45534.35612314814</v>
      </c>
      <c r="B5050" s="5" t="s">
        <v>34</v>
      </c>
      <c r="D5050" s="5" t="s">
        <v>1206</v>
      </c>
      <c r="E5050" s="5" t="s">
        <v>33158</v>
      </c>
      <c r="F5050" s="5" t="s">
        <v>37</v>
      </c>
      <c r="G5050" s="5" t="s">
        <v>33159</v>
      </c>
      <c r="H5050" s="6" t="s">
        <v>33160</v>
      </c>
      <c r="K5050" s="5" t="s">
        <v>33145</v>
      </c>
    </row>
    <row r="5051">
      <c r="A5051" s="4">
        <v>45534.356149687505</v>
      </c>
      <c r="B5051" s="5" t="s">
        <v>34</v>
      </c>
      <c r="D5051" s="5" t="s">
        <v>9020</v>
      </c>
      <c r="E5051" s="5" t="s">
        <v>33163</v>
      </c>
      <c r="F5051" s="5" t="s">
        <v>37</v>
      </c>
      <c r="G5051" s="5" t="s">
        <v>33164</v>
      </c>
      <c r="H5051" s="6" t="s">
        <v>33165</v>
      </c>
      <c r="I5051" s="7" t="s">
        <v>33166</v>
      </c>
      <c r="J5051" s="8" t="str">
        <f>HYPERLINK("https://drive.google.com/file/d/1Ti_-poYj4JE0Mhdj1VnPpkbRcWxjCKXy/view?usp=drivesdk","ELIDAWATI SIMANJUNTAK SERTIFIKAT BerAKHLAK")</f>
        <v>ELIDAWATI SIMANJUNTAK SERTIFIKAT BerAKHLAK</v>
      </c>
      <c r="K5051" s="5" t="s">
        <v>32413</v>
      </c>
      <c r="L5051" s="5" t="s">
        <v>33167</v>
      </c>
    </row>
    <row r="5052">
      <c r="A5052" s="4">
        <v>45534.35616510417</v>
      </c>
      <c r="B5052" s="5" t="s">
        <v>19</v>
      </c>
      <c r="C5052" s="5" t="s">
        <v>30588</v>
      </c>
      <c r="E5052" s="5" t="s">
        <v>32479</v>
      </c>
      <c r="F5052" s="5" t="s">
        <v>375</v>
      </c>
      <c r="G5052" s="5" t="s">
        <v>32480</v>
      </c>
      <c r="H5052" s="6" t="s">
        <v>33170</v>
      </c>
      <c r="I5052" s="7" t="s">
        <v>33171</v>
      </c>
      <c r="J5052" s="8" t="str">
        <f>HYPERLINK("https://drive.google.com/file/d/1U-pkepmUBIxpAV2bAevZEi-3QZPpeEP8/view?usp=drivesdk","NGATNI HARYATI SERTIFIKAT BerAKHLAK")</f>
        <v>NGATNI HARYATI SERTIFIKAT BerAKHLAK</v>
      </c>
      <c r="K5052" s="5" t="s">
        <v>32413</v>
      </c>
      <c r="L5052" s="5" t="s">
        <v>33172</v>
      </c>
    </row>
    <row r="5053">
      <c r="A5053" s="4">
        <v>45534.35618081018</v>
      </c>
      <c r="B5053" s="5" t="s">
        <v>34</v>
      </c>
      <c r="D5053" s="5" t="s">
        <v>35</v>
      </c>
      <c r="E5053" s="5" t="s">
        <v>33176</v>
      </c>
      <c r="F5053" s="5" t="s">
        <v>37</v>
      </c>
      <c r="G5053" s="5" t="s">
        <v>33177</v>
      </c>
      <c r="H5053" s="6" t="s">
        <v>33178</v>
      </c>
      <c r="K5053" s="5" t="s">
        <v>33179</v>
      </c>
    </row>
    <row r="5054">
      <c r="A5054" s="4">
        <v>45534.356182766205</v>
      </c>
      <c r="B5054" s="5" t="s">
        <v>34</v>
      </c>
      <c r="D5054" s="5" t="s">
        <v>4775</v>
      </c>
      <c r="E5054" s="5" t="s">
        <v>33182</v>
      </c>
      <c r="F5054" s="5" t="s">
        <v>37</v>
      </c>
      <c r="G5054" s="5" t="s">
        <v>33183</v>
      </c>
      <c r="H5054" s="6" t="s">
        <v>33184</v>
      </c>
      <c r="I5054" s="7" t="s">
        <v>33185</v>
      </c>
      <c r="J5054" s="8" t="str">
        <f>HYPERLINK("https://drive.google.com/file/d/1AKZtcGDGY_3oJrGzWGvazWbluxTiI0AW/view?usp=drivesdk","SABAR SANTOSO.A.Md.Farm SERTIFIKAT BerAKHLAK")</f>
        <v>SABAR SANTOSO.A.Md.Farm SERTIFIKAT BerAKHLAK</v>
      </c>
      <c r="K5054" s="5" t="s">
        <v>32413</v>
      </c>
      <c r="L5054" s="5" t="s">
        <v>33186</v>
      </c>
    </row>
    <row r="5055">
      <c r="A5055" s="4">
        <v>45534.3561834375</v>
      </c>
      <c r="B5055" s="5" t="s">
        <v>34</v>
      </c>
      <c r="D5055" s="5" t="s">
        <v>1558</v>
      </c>
      <c r="E5055" s="5" t="s">
        <v>33189</v>
      </c>
      <c r="F5055" s="5" t="s">
        <v>375</v>
      </c>
      <c r="G5055" s="5" t="s">
        <v>33190</v>
      </c>
      <c r="H5055" s="6" t="s">
        <v>33191</v>
      </c>
      <c r="I5055" s="7" t="s">
        <v>33192</v>
      </c>
      <c r="J5055" s="8" t="str">
        <f>HYPERLINK("https://drive.google.com/file/d/1hHBb8Udeopxld_15fn0vmqa6A_8hFowx/view?usp=drivesdk","SINDANG SARI PERTIWI SE SERTIFIKAT BerAKHLAK")</f>
        <v>SINDANG SARI PERTIWI SE SERTIFIKAT BerAKHLAK</v>
      </c>
      <c r="K5055" s="5" t="s">
        <v>32413</v>
      </c>
      <c r="L5055" s="5" t="s">
        <v>33193</v>
      </c>
    </row>
    <row r="5056">
      <c r="A5056" s="4">
        <v>45534.35618689815</v>
      </c>
      <c r="B5056" s="5" t="s">
        <v>34</v>
      </c>
      <c r="D5056" s="5" t="s">
        <v>4775</v>
      </c>
      <c r="E5056" s="5" t="s">
        <v>33196</v>
      </c>
      <c r="F5056" s="5" t="s">
        <v>120</v>
      </c>
      <c r="G5056" s="5" t="s">
        <v>33197</v>
      </c>
      <c r="H5056" s="6" t="s">
        <v>33198</v>
      </c>
      <c r="K5056" s="5" t="s">
        <v>33199</v>
      </c>
    </row>
    <row r="5057">
      <c r="A5057" s="4">
        <v>45534.35619142361</v>
      </c>
      <c r="B5057" s="5" t="s">
        <v>34</v>
      </c>
      <c r="D5057" s="5" t="s">
        <v>1206</v>
      </c>
      <c r="E5057" s="5" t="s">
        <v>33202</v>
      </c>
      <c r="F5057" s="5" t="s">
        <v>37</v>
      </c>
      <c r="G5057" s="5" t="s">
        <v>33203</v>
      </c>
      <c r="H5057" s="6" t="s">
        <v>33204</v>
      </c>
      <c r="K5057" s="5" t="s">
        <v>33199</v>
      </c>
    </row>
    <row r="5058">
      <c r="A5058" s="4">
        <v>45534.35619313657</v>
      </c>
      <c r="B5058" s="5" t="s">
        <v>34</v>
      </c>
      <c r="D5058" s="5" t="s">
        <v>7858</v>
      </c>
      <c r="E5058" s="5" t="s">
        <v>33208</v>
      </c>
      <c r="F5058" s="5" t="s">
        <v>212</v>
      </c>
      <c r="G5058" s="5" t="s">
        <v>33209</v>
      </c>
      <c r="H5058" s="6" t="s">
        <v>33210</v>
      </c>
      <c r="K5058" s="5" t="s">
        <v>33199</v>
      </c>
    </row>
    <row r="5059">
      <c r="A5059" s="4">
        <v>45534.356194259264</v>
      </c>
      <c r="B5059" s="5" t="s">
        <v>34</v>
      </c>
      <c r="D5059" s="5" t="s">
        <v>14424</v>
      </c>
      <c r="E5059" s="5" t="s">
        <v>33213</v>
      </c>
      <c r="F5059" s="5" t="s">
        <v>108</v>
      </c>
      <c r="G5059" s="5" t="s">
        <v>33214</v>
      </c>
      <c r="H5059" s="6" t="s">
        <v>33215</v>
      </c>
      <c r="K5059" s="5" t="s">
        <v>33199</v>
      </c>
    </row>
    <row r="5060">
      <c r="A5060" s="4">
        <v>45534.35621241898</v>
      </c>
      <c r="B5060" s="5" t="s">
        <v>34</v>
      </c>
      <c r="D5060" s="5" t="s">
        <v>4775</v>
      </c>
      <c r="E5060" s="5" t="s">
        <v>33218</v>
      </c>
      <c r="F5060" s="5" t="s">
        <v>212</v>
      </c>
      <c r="G5060" s="5" t="s">
        <v>33219</v>
      </c>
      <c r="H5060" s="6" t="s">
        <v>33220</v>
      </c>
      <c r="K5060" s="5" t="s">
        <v>33199</v>
      </c>
    </row>
    <row r="5061">
      <c r="A5061" s="4">
        <v>45534.35622540509</v>
      </c>
      <c r="B5061" s="5" t="s">
        <v>34</v>
      </c>
      <c r="D5061" s="5" t="s">
        <v>1206</v>
      </c>
      <c r="E5061" s="5" t="s">
        <v>33223</v>
      </c>
      <c r="F5061" s="5" t="s">
        <v>72</v>
      </c>
      <c r="G5061" s="5" t="s">
        <v>33224</v>
      </c>
      <c r="H5061" s="6" t="s">
        <v>33225</v>
      </c>
      <c r="I5061" s="7" t="s">
        <v>33226</v>
      </c>
      <c r="J5061" s="8" t="str">
        <f>HYPERLINK("https://drive.google.com/file/d/15dxu3zspe7LkBMkGq2okvM9sqqfhqRJl/view?usp=drivesdk","KUKUK DYAH KUSUMANINGRUM, S.Sos SERTIFIKAT BerAKHLAK")</f>
        <v>KUKUK DYAH KUSUMANINGRUM, S.Sos SERTIFIKAT BerAKHLAK</v>
      </c>
      <c r="K5061" s="5" t="s">
        <v>32413</v>
      </c>
      <c r="L5061" s="5" t="s">
        <v>33227</v>
      </c>
    </row>
    <row r="5062">
      <c r="A5062" s="4">
        <v>45534.35623149306</v>
      </c>
      <c r="B5062" s="5" t="s">
        <v>34</v>
      </c>
      <c r="D5062" s="5" t="s">
        <v>35</v>
      </c>
      <c r="E5062" s="5" t="s">
        <v>33231</v>
      </c>
      <c r="F5062" s="5" t="s">
        <v>108</v>
      </c>
      <c r="G5062" s="5" t="s">
        <v>33232</v>
      </c>
      <c r="H5062" s="6" t="s">
        <v>33233</v>
      </c>
      <c r="I5062" s="7" t="s">
        <v>33234</v>
      </c>
      <c r="J5062" s="8" t="str">
        <f>HYPERLINK("https://drive.google.com/file/d/12VYmRGeDggvD5O6b5o9jsis2sLQhrpFp/view?usp=drivesdk","EKA APRILIA PURWANINGSIH, S.KOM SERTIFIKAT BerAKHLAK")</f>
        <v>EKA APRILIA PURWANINGSIH, S.KOM SERTIFIKAT BerAKHLAK</v>
      </c>
      <c r="K5062" s="5" t="s">
        <v>32413</v>
      </c>
      <c r="L5062" s="5" t="s">
        <v>33235</v>
      </c>
    </row>
    <row r="5063">
      <c r="A5063" s="4">
        <v>45534.35625306713</v>
      </c>
      <c r="B5063" s="5" t="s">
        <v>34</v>
      </c>
      <c r="D5063" s="5" t="s">
        <v>4775</v>
      </c>
      <c r="E5063" s="5" t="s">
        <v>33238</v>
      </c>
      <c r="F5063" s="5" t="s">
        <v>108</v>
      </c>
      <c r="G5063" s="5" t="s">
        <v>33239</v>
      </c>
      <c r="H5063" s="6" t="s">
        <v>33240</v>
      </c>
      <c r="K5063" s="5" t="s">
        <v>33241</v>
      </c>
    </row>
    <row r="5064">
      <c r="A5064" s="4">
        <v>45534.35626927084</v>
      </c>
      <c r="B5064" s="5" t="s">
        <v>19</v>
      </c>
      <c r="C5064" s="5" t="s">
        <v>466</v>
      </c>
      <c r="E5064" s="5" t="s">
        <v>33244</v>
      </c>
      <c r="F5064" s="5" t="s">
        <v>375</v>
      </c>
      <c r="G5064" s="5" t="s">
        <v>33245</v>
      </c>
      <c r="H5064" s="6" t="s">
        <v>33246</v>
      </c>
      <c r="K5064" s="5" t="s">
        <v>33247</v>
      </c>
    </row>
    <row r="5065">
      <c r="A5065" s="4">
        <v>45534.35627265046</v>
      </c>
      <c r="B5065" s="5" t="s">
        <v>19</v>
      </c>
      <c r="C5065" s="5" t="s">
        <v>292</v>
      </c>
      <c r="E5065" s="5" t="s">
        <v>33250</v>
      </c>
      <c r="F5065" s="5" t="s">
        <v>37</v>
      </c>
      <c r="G5065" s="5" t="s">
        <v>33251</v>
      </c>
      <c r="H5065" s="6" t="s">
        <v>33252</v>
      </c>
      <c r="I5065" s="7" t="s">
        <v>33253</v>
      </c>
      <c r="J5065" s="8" t="str">
        <f>HYPERLINK("https://drive.google.com/file/d/1YKBvb6pHzkXucgnRDiJLS-CFTu1IgP9H/view?usp=drivesdk","YAJID SETIYONO SERTIFIKAT BerAKHLAK")</f>
        <v>YAJID SETIYONO SERTIFIKAT BerAKHLAK</v>
      </c>
      <c r="K5065" s="5" t="s">
        <v>32413</v>
      </c>
      <c r="L5065" s="5" t="s">
        <v>33254</v>
      </c>
    </row>
    <row r="5066">
      <c r="A5066" s="4">
        <v>45534.356282673616</v>
      </c>
      <c r="B5066" s="5" t="s">
        <v>34</v>
      </c>
      <c r="D5066" s="5" t="s">
        <v>12978</v>
      </c>
      <c r="E5066" s="5" t="s">
        <v>33257</v>
      </c>
      <c r="F5066" s="5" t="s">
        <v>212</v>
      </c>
      <c r="G5066" s="5" t="s">
        <v>33258</v>
      </c>
      <c r="H5066" s="6" t="s">
        <v>33259</v>
      </c>
      <c r="I5066" s="7" t="s">
        <v>33260</v>
      </c>
      <c r="J5066" s="8" t="str">
        <f>HYPERLINK("https://drive.google.com/file/d/15EkPeBDN5tWdFQJBTNaeA46sqPueGWQu/view?usp=drivesdk","SRI MURNI, SH SERTIFIKAT BerAKHLAK")</f>
        <v>SRI MURNI, SH SERTIFIKAT BerAKHLAK</v>
      </c>
      <c r="K5066" s="5" t="s">
        <v>32413</v>
      </c>
      <c r="L5066" s="5" t="s">
        <v>33261</v>
      </c>
    </row>
    <row r="5067">
      <c r="A5067" s="4">
        <v>45534.35630488426</v>
      </c>
      <c r="B5067" s="5" t="s">
        <v>34</v>
      </c>
      <c r="D5067" s="5" t="s">
        <v>1206</v>
      </c>
      <c r="E5067" s="5" t="s">
        <v>33264</v>
      </c>
      <c r="F5067" s="5" t="s">
        <v>72</v>
      </c>
      <c r="G5067" s="5" t="s">
        <v>33265</v>
      </c>
      <c r="H5067" s="6" t="s">
        <v>33266</v>
      </c>
      <c r="K5067" s="5" t="s">
        <v>32420</v>
      </c>
    </row>
    <row r="5068">
      <c r="A5068" s="4">
        <v>45534.35630986111</v>
      </c>
      <c r="B5068" s="5" t="s">
        <v>34</v>
      </c>
      <c r="D5068" s="5" t="s">
        <v>12978</v>
      </c>
      <c r="E5068" s="5" t="s">
        <v>33270</v>
      </c>
      <c r="F5068" s="5" t="s">
        <v>212</v>
      </c>
      <c r="G5068" s="5" t="s">
        <v>33271</v>
      </c>
      <c r="H5068" s="6" t="s">
        <v>33272</v>
      </c>
      <c r="K5068" s="5" t="s">
        <v>32420</v>
      </c>
    </row>
    <row r="5069">
      <c r="A5069" s="4">
        <v>45534.356314178236</v>
      </c>
      <c r="B5069" s="5" t="s">
        <v>19</v>
      </c>
      <c r="C5069" s="5" t="s">
        <v>32901</v>
      </c>
      <c r="E5069" s="5" t="s">
        <v>33275</v>
      </c>
      <c r="F5069" s="5" t="s">
        <v>212</v>
      </c>
      <c r="G5069" s="5" t="s">
        <v>33276</v>
      </c>
      <c r="H5069" s="6" t="s">
        <v>33277</v>
      </c>
      <c r="K5069" s="5" t="s">
        <v>32420</v>
      </c>
    </row>
    <row r="5070">
      <c r="A5070" s="4">
        <v>45534.35633572917</v>
      </c>
      <c r="B5070" s="5" t="s">
        <v>34</v>
      </c>
      <c r="D5070" s="5" t="s">
        <v>996</v>
      </c>
      <c r="E5070" s="5" t="s">
        <v>33280</v>
      </c>
      <c r="F5070" s="5" t="s">
        <v>212</v>
      </c>
      <c r="G5070" s="5" t="s">
        <v>33281</v>
      </c>
      <c r="H5070" s="6" t="s">
        <v>33282</v>
      </c>
      <c r="K5070" s="5" t="s">
        <v>32420</v>
      </c>
    </row>
    <row r="5071">
      <c r="A5071" s="4">
        <v>45534.356341238425</v>
      </c>
      <c r="B5071" s="5" t="s">
        <v>34</v>
      </c>
      <c r="D5071" s="5" t="s">
        <v>1206</v>
      </c>
      <c r="E5071" s="5" t="s">
        <v>33285</v>
      </c>
      <c r="F5071" s="5" t="s">
        <v>199</v>
      </c>
      <c r="G5071" s="5" t="s">
        <v>33286</v>
      </c>
      <c r="H5071" s="6" t="s">
        <v>33287</v>
      </c>
      <c r="K5071" s="5" t="s">
        <v>32420</v>
      </c>
    </row>
    <row r="5072">
      <c r="A5072" s="4">
        <v>45534.35634597222</v>
      </c>
      <c r="B5072" s="5" t="s">
        <v>34</v>
      </c>
      <c r="D5072" s="5" t="s">
        <v>1206</v>
      </c>
      <c r="E5072" s="5" t="s">
        <v>33290</v>
      </c>
      <c r="F5072" s="5" t="s">
        <v>37</v>
      </c>
      <c r="G5072" s="5" t="s">
        <v>33291</v>
      </c>
      <c r="H5072" s="6" t="s">
        <v>33292</v>
      </c>
      <c r="K5072" s="5" t="s">
        <v>32420</v>
      </c>
    </row>
    <row r="5073">
      <c r="A5073" s="4">
        <v>45534.35636667824</v>
      </c>
      <c r="B5073" s="5" t="s">
        <v>34</v>
      </c>
      <c r="D5073" s="5" t="s">
        <v>6232</v>
      </c>
      <c r="E5073" s="5" t="s">
        <v>33295</v>
      </c>
      <c r="F5073" s="5" t="s">
        <v>37</v>
      </c>
      <c r="G5073" s="5" t="s">
        <v>33296</v>
      </c>
      <c r="H5073" s="6" t="s">
        <v>33297</v>
      </c>
      <c r="K5073" s="5" t="s">
        <v>33298</v>
      </c>
    </row>
    <row r="5074">
      <c r="A5074" s="4">
        <v>45534.356369120374</v>
      </c>
      <c r="B5074" s="5" t="s">
        <v>34</v>
      </c>
      <c r="D5074" s="5" t="s">
        <v>4775</v>
      </c>
      <c r="E5074" s="5" t="s">
        <v>33302</v>
      </c>
      <c r="F5074" s="5" t="s">
        <v>524</v>
      </c>
      <c r="G5074" s="5" t="s">
        <v>33303</v>
      </c>
      <c r="H5074" s="6" t="s">
        <v>33304</v>
      </c>
      <c r="K5074" s="5" t="s">
        <v>33298</v>
      </c>
    </row>
    <row r="5075">
      <c r="A5075" s="4">
        <v>45534.35637013889</v>
      </c>
      <c r="B5075" s="5" t="s">
        <v>34</v>
      </c>
      <c r="D5075" s="5" t="s">
        <v>35</v>
      </c>
      <c r="E5075" s="5" t="s">
        <v>33307</v>
      </c>
      <c r="F5075" s="5" t="s">
        <v>72</v>
      </c>
      <c r="G5075" s="5" t="s">
        <v>33308</v>
      </c>
      <c r="H5075" s="6" t="s">
        <v>33309</v>
      </c>
      <c r="K5075" s="5" t="s">
        <v>33298</v>
      </c>
    </row>
    <row r="5076">
      <c r="A5076" s="4">
        <v>45534.35638456019</v>
      </c>
      <c r="B5076" s="5" t="s">
        <v>34</v>
      </c>
      <c r="D5076" s="5" t="s">
        <v>522</v>
      </c>
      <c r="E5076" s="5" t="s">
        <v>33313</v>
      </c>
      <c r="F5076" s="5" t="s">
        <v>524</v>
      </c>
      <c r="G5076" s="5" t="s">
        <v>33314</v>
      </c>
      <c r="H5076" s="6" t="s">
        <v>33315</v>
      </c>
      <c r="K5076" s="5" t="s">
        <v>33298</v>
      </c>
    </row>
    <row r="5077">
      <c r="A5077" s="4">
        <v>45534.35638975694</v>
      </c>
      <c r="B5077" s="5" t="s">
        <v>34</v>
      </c>
      <c r="D5077" s="5" t="s">
        <v>3849</v>
      </c>
      <c r="E5077" s="5" t="s">
        <v>33318</v>
      </c>
      <c r="F5077" s="5" t="s">
        <v>37</v>
      </c>
      <c r="G5077" s="5" t="s">
        <v>33319</v>
      </c>
      <c r="H5077" s="6" t="s">
        <v>33320</v>
      </c>
      <c r="K5077" s="5" t="s">
        <v>33298</v>
      </c>
    </row>
    <row r="5078">
      <c r="A5078" s="4">
        <v>45534.356390879635</v>
      </c>
      <c r="B5078" s="5" t="s">
        <v>34</v>
      </c>
      <c r="D5078" s="5" t="s">
        <v>1206</v>
      </c>
      <c r="E5078" s="5" t="s">
        <v>33323</v>
      </c>
      <c r="F5078" s="5" t="s">
        <v>212</v>
      </c>
      <c r="G5078" s="5" t="s">
        <v>33324</v>
      </c>
      <c r="H5078" s="6" t="s">
        <v>33325</v>
      </c>
      <c r="K5078" s="5" t="s">
        <v>33298</v>
      </c>
    </row>
    <row r="5079">
      <c r="A5079" s="4">
        <v>45534.35640087963</v>
      </c>
      <c r="B5079" s="5" t="s">
        <v>34</v>
      </c>
      <c r="D5079" s="5" t="s">
        <v>12978</v>
      </c>
      <c r="E5079" s="5" t="s">
        <v>33328</v>
      </c>
      <c r="F5079" s="5" t="s">
        <v>108</v>
      </c>
      <c r="G5079" s="5" t="s">
        <v>33329</v>
      </c>
      <c r="H5079" s="6" t="s">
        <v>33330</v>
      </c>
      <c r="K5079" s="5" t="s">
        <v>33298</v>
      </c>
    </row>
    <row r="5080">
      <c r="A5080" s="4">
        <v>45534.356428680556</v>
      </c>
      <c r="B5080" s="5" t="s">
        <v>34</v>
      </c>
      <c r="D5080" s="5" t="s">
        <v>1558</v>
      </c>
      <c r="E5080" s="5" t="s">
        <v>33333</v>
      </c>
      <c r="F5080" s="5" t="s">
        <v>212</v>
      </c>
      <c r="G5080" s="5" t="s">
        <v>33334</v>
      </c>
      <c r="H5080" s="6" t="s">
        <v>33335</v>
      </c>
      <c r="I5080" s="7" t="s">
        <v>33336</v>
      </c>
      <c r="J5080" s="8" t="str">
        <f>HYPERLINK("https://drive.google.com/file/d/11V79Tk-OOxgbmQRshOemyI9Wjtk9VT8O/view?usp=drivesdk","SRI MINANGSIH  SERTIFIKAT BerAKHLAK")</f>
        <v>SRI MINANGSIH  SERTIFIKAT BerAKHLAK</v>
      </c>
      <c r="K5080" s="5" t="s">
        <v>33337</v>
      </c>
      <c r="L5080" s="5" t="s">
        <v>33338</v>
      </c>
    </row>
    <row r="5081">
      <c r="A5081" s="4">
        <v>45534.35644195601</v>
      </c>
      <c r="B5081" s="5" t="s">
        <v>34</v>
      </c>
      <c r="D5081" s="5" t="s">
        <v>1206</v>
      </c>
      <c r="E5081" s="5" t="s">
        <v>33342</v>
      </c>
      <c r="F5081" s="5" t="s">
        <v>108</v>
      </c>
      <c r="G5081" s="5" t="s">
        <v>33343</v>
      </c>
      <c r="H5081" s="6" t="s">
        <v>33344</v>
      </c>
      <c r="I5081" s="7" t="s">
        <v>33345</v>
      </c>
      <c r="J5081" s="8" t="str">
        <f>HYPERLINK("https://drive.google.com/file/d/1IJEquzJkqPij8epA5mbnYXYvwmZwJpOf/view?usp=drivesdk","SUTARNI SERTIFIKAT BerAKHLAK")</f>
        <v>SUTARNI SERTIFIKAT BerAKHLAK</v>
      </c>
      <c r="K5081" s="5" t="s">
        <v>33337</v>
      </c>
      <c r="L5081" s="5" t="s">
        <v>33346</v>
      </c>
    </row>
    <row r="5082">
      <c r="A5082" s="4">
        <v>45534.356447453705</v>
      </c>
      <c r="B5082" s="5" t="s">
        <v>34</v>
      </c>
      <c r="D5082" s="5" t="s">
        <v>1206</v>
      </c>
      <c r="E5082" s="5" t="s">
        <v>33349</v>
      </c>
      <c r="F5082" s="5" t="s">
        <v>212</v>
      </c>
      <c r="G5082" s="5" t="s">
        <v>33350</v>
      </c>
      <c r="H5082" s="6" t="s">
        <v>33351</v>
      </c>
      <c r="I5082" s="7" t="s">
        <v>33352</v>
      </c>
      <c r="J5082" s="8" t="str">
        <f>HYPERLINK("https://drive.google.com/file/d/1-x9x_xgBzv4K46TgxxSijwfVJj4I-uYD/view?usp=drivesdk","KURNIATI SERTIFIKAT BerAKHLAK")</f>
        <v>KURNIATI SERTIFIKAT BerAKHLAK</v>
      </c>
      <c r="K5082" s="5" t="s">
        <v>33337</v>
      </c>
      <c r="L5082" s="5" t="s">
        <v>33353</v>
      </c>
    </row>
    <row r="5083">
      <c r="A5083" s="4">
        <v>45534.35645371528</v>
      </c>
      <c r="B5083" s="5" t="s">
        <v>34</v>
      </c>
      <c r="D5083" s="5" t="s">
        <v>9020</v>
      </c>
      <c r="E5083" s="5" t="s">
        <v>33356</v>
      </c>
      <c r="F5083" s="5" t="s">
        <v>72</v>
      </c>
      <c r="G5083" s="5" t="s">
        <v>33357</v>
      </c>
      <c r="H5083" s="6" t="s">
        <v>33358</v>
      </c>
      <c r="I5083" s="7" t="s">
        <v>33359</v>
      </c>
      <c r="J5083" s="8" t="str">
        <f>HYPERLINK("https://drive.google.com/file/d/1RcAz8tdXZvf3HeCiNmFiBpeWMXuOIQWw/view?usp=drivesdk","DELIMA SINAGA STR SERTIFIKAT BerAKHLAK")</f>
        <v>DELIMA SINAGA STR SERTIFIKAT BerAKHLAK</v>
      </c>
      <c r="K5083" s="5" t="s">
        <v>33337</v>
      </c>
      <c r="L5083" s="5" t="s">
        <v>33360</v>
      </c>
    </row>
    <row r="5084">
      <c r="A5084" s="4">
        <v>45534.35645622685</v>
      </c>
      <c r="B5084" s="5" t="s">
        <v>34</v>
      </c>
      <c r="D5084" s="5" t="s">
        <v>522</v>
      </c>
      <c r="E5084" s="5" t="s">
        <v>33364</v>
      </c>
      <c r="F5084" s="5" t="s">
        <v>37</v>
      </c>
      <c r="G5084" s="5" t="s">
        <v>33365</v>
      </c>
      <c r="H5084" s="6" t="s">
        <v>33366</v>
      </c>
      <c r="I5084" s="7" t="s">
        <v>33367</v>
      </c>
      <c r="J5084" s="8" t="str">
        <f>HYPERLINK("https://drive.google.com/file/d/16ZQcwY9XDSPq27lt7se4qMQNAZLGyb20/view?usp=drivesdk","I KETUT GEDE SAPUTRA SERTIFIKAT BerAKHLAK")</f>
        <v>I KETUT GEDE SAPUTRA SERTIFIKAT BerAKHLAK</v>
      </c>
      <c r="K5084" s="5" t="s">
        <v>33337</v>
      </c>
      <c r="L5084" s="5" t="s">
        <v>33368</v>
      </c>
    </row>
    <row r="5085">
      <c r="A5085" s="4">
        <v>45534.35645662037</v>
      </c>
      <c r="B5085" s="5" t="s">
        <v>34</v>
      </c>
      <c r="D5085" s="5" t="s">
        <v>1206</v>
      </c>
      <c r="E5085" s="5" t="s">
        <v>33371</v>
      </c>
      <c r="F5085" s="5" t="s">
        <v>375</v>
      </c>
      <c r="G5085" s="5" t="s">
        <v>33372</v>
      </c>
      <c r="H5085" s="6" t="s">
        <v>33373</v>
      </c>
      <c r="I5085" s="7" t="s">
        <v>33374</v>
      </c>
      <c r="J5085" s="8" t="str">
        <f>HYPERLINK("https://drive.google.com/file/d/1YIyEr4qJWoU463EoFBbCy2AoWjTC0Sd3/view?usp=drivesdk","WAHYUNI WIJAYATI, S.Si, S.Tr.Kes SERTIFIKAT BerAKHLAK")</f>
        <v>WAHYUNI WIJAYATI, S.Si, S.Tr.Kes SERTIFIKAT BerAKHLAK</v>
      </c>
      <c r="K5085" s="5" t="s">
        <v>33375</v>
      </c>
      <c r="L5085" s="5" t="s">
        <v>33376</v>
      </c>
    </row>
    <row r="5086">
      <c r="A5086" s="4">
        <v>45534.35647614583</v>
      </c>
      <c r="B5086" s="5" t="s">
        <v>34</v>
      </c>
      <c r="D5086" s="5" t="s">
        <v>4775</v>
      </c>
      <c r="E5086" s="5" t="s">
        <v>33379</v>
      </c>
      <c r="F5086" s="5" t="s">
        <v>37</v>
      </c>
      <c r="G5086" s="5" t="s">
        <v>33380</v>
      </c>
      <c r="H5086" s="6" t="s">
        <v>33381</v>
      </c>
      <c r="I5086" s="7" t="s">
        <v>33382</v>
      </c>
      <c r="J5086" s="8" t="str">
        <f>HYPERLINK("https://drive.google.com/file/d/1A0jI-xJW8r-VxyBFkGwoMnnltEphGvw-/view?usp=drivesdk","ADITYA PUSPITASARI, AMK SERTIFIKAT BerAKHLAK")</f>
        <v>ADITYA PUSPITASARI, AMK SERTIFIKAT BerAKHLAK</v>
      </c>
      <c r="K5086" s="5" t="s">
        <v>33375</v>
      </c>
      <c r="L5086" s="5" t="s">
        <v>33383</v>
      </c>
    </row>
    <row r="5087">
      <c r="A5087" s="4">
        <v>45534.35647590278</v>
      </c>
      <c r="B5087" s="5" t="s">
        <v>34</v>
      </c>
      <c r="D5087" s="5" t="s">
        <v>1206</v>
      </c>
      <c r="E5087" s="5" t="s">
        <v>33386</v>
      </c>
      <c r="F5087" s="5" t="s">
        <v>212</v>
      </c>
      <c r="G5087" s="5" t="s">
        <v>33387</v>
      </c>
      <c r="H5087" s="6" t="s">
        <v>33388</v>
      </c>
      <c r="I5087" s="7" t="s">
        <v>33389</v>
      </c>
      <c r="J5087" s="8" t="str">
        <f>HYPERLINK("https://drive.google.com/file/d/1Ut-_tqnrUwCCQPrn8Io2H7ERLHGbsUtF/view?usp=drivesdk","ISTIQOMARIYAH SERTIFIKAT BerAKHLAK")</f>
        <v>ISTIQOMARIYAH SERTIFIKAT BerAKHLAK</v>
      </c>
      <c r="K5087" s="5" t="s">
        <v>33375</v>
      </c>
      <c r="L5087" s="5" t="s">
        <v>33390</v>
      </c>
    </row>
    <row r="5088">
      <c r="A5088" s="4">
        <v>45534.356478229165</v>
      </c>
      <c r="B5088" s="5" t="s">
        <v>34</v>
      </c>
      <c r="D5088" s="5" t="s">
        <v>35</v>
      </c>
      <c r="E5088" s="5" t="s">
        <v>33394</v>
      </c>
      <c r="F5088" s="5" t="s">
        <v>375</v>
      </c>
      <c r="G5088" s="5" t="s">
        <v>33395</v>
      </c>
      <c r="H5088" s="6" t="s">
        <v>33396</v>
      </c>
      <c r="K5088" s="5" t="s">
        <v>33397</v>
      </c>
    </row>
    <row r="5089">
      <c r="A5089" s="4">
        <v>45534.35650196759</v>
      </c>
      <c r="B5089" s="5" t="s">
        <v>34</v>
      </c>
      <c r="D5089" s="5" t="s">
        <v>10444</v>
      </c>
      <c r="E5089" s="5" t="s">
        <v>33400</v>
      </c>
      <c r="F5089" s="5" t="s">
        <v>212</v>
      </c>
      <c r="G5089" s="5" t="s">
        <v>33401</v>
      </c>
      <c r="H5089" s="6" t="s">
        <v>33402</v>
      </c>
      <c r="K5089" s="5" t="s">
        <v>33397</v>
      </c>
    </row>
    <row r="5090">
      <c r="A5090" s="4">
        <v>45534.35650318287</v>
      </c>
      <c r="B5090" s="5" t="s">
        <v>34</v>
      </c>
      <c r="D5090" s="5" t="s">
        <v>6232</v>
      </c>
      <c r="E5090" s="5" t="s">
        <v>33405</v>
      </c>
      <c r="F5090" s="5" t="s">
        <v>715</v>
      </c>
      <c r="G5090" s="5" t="s">
        <v>33406</v>
      </c>
      <c r="H5090" s="6" t="s">
        <v>33407</v>
      </c>
      <c r="K5090" s="5" t="s">
        <v>33397</v>
      </c>
    </row>
    <row r="5091">
      <c r="A5091" s="4">
        <v>45534.35650475694</v>
      </c>
      <c r="B5091" s="5" t="s">
        <v>34</v>
      </c>
      <c r="D5091" s="5" t="s">
        <v>1558</v>
      </c>
      <c r="E5091" s="5" t="s">
        <v>33410</v>
      </c>
      <c r="F5091" s="5" t="s">
        <v>72</v>
      </c>
      <c r="G5091" s="5" t="s">
        <v>33411</v>
      </c>
      <c r="H5091" s="6" t="s">
        <v>33412</v>
      </c>
      <c r="K5091" s="5" t="s">
        <v>33397</v>
      </c>
    </row>
    <row r="5092">
      <c r="A5092" s="4">
        <v>45534.35651383102</v>
      </c>
      <c r="B5092" s="5" t="s">
        <v>34</v>
      </c>
      <c r="D5092" s="5" t="s">
        <v>1206</v>
      </c>
      <c r="E5092" s="5" t="s">
        <v>33415</v>
      </c>
      <c r="F5092" s="5" t="s">
        <v>212</v>
      </c>
      <c r="G5092" s="5" t="s">
        <v>33416</v>
      </c>
      <c r="H5092" s="6" t="s">
        <v>33417</v>
      </c>
      <c r="K5092" s="5" t="s">
        <v>33397</v>
      </c>
    </row>
    <row r="5093">
      <c r="A5093" s="4">
        <v>45534.35651986111</v>
      </c>
      <c r="B5093" s="5" t="s">
        <v>34</v>
      </c>
      <c r="D5093" s="5" t="s">
        <v>267</v>
      </c>
      <c r="E5093" s="5" t="s">
        <v>33421</v>
      </c>
      <c r="F5093" s="5" t="s">
        <v>108</v>
      </c>
      <c r="G5093" s="5" t="s">
        <v>33422</v>
      </c>
      <c r="H5093" s="6" t="s">
        <v>33423</v>
      </c>
      <c r="K5093" s="5" t="s">
        <v>33397</v>
      </c>
    </row>
    <row r="5094">
      <c r="A5094" s="4">
        <v>45534.35652792824</v>
      </c>
      <c r="B5094" s="5" t="s">
        <v>34</v>
      </c>
      <c r="D5094" s="5" t="s">
        <v>12978</v>
      </c>
      <c r="E5094" s="5" t="s">
        <v>33426</v>
      </c>
      <c r="F5094" s="5" t="s">
        <v>375</v>
      </c>
      <c r="G5094" s="5" t="s">
        <v>33427</v>
      </c>
      <c r="H5094" s="6" t="s">
        <v>33428</v>
      </c>
      <c r="K5094" s="5" t="s">
        <v>33397</v>
      </c>
    </row>
    <row r="5095">
      <c r="A5095" s="4">
        <v>45534.35653009259</v>
      </c>
      <c r="B5095" s="5" t="s">
        <v>34</v>
      </c>
      <c r="D5095" s="5" t="s">
        <v>9020</v>
      </c>
      <c r="E5095" s="5" t="s">
        <v>33431</v>
      </c>
      <c r="F5095" s="5" t="s">
        <v>37</v>
      </c>
      <c r="G5095" s="5" t="s">
        <v>33432</v>
      </c>
      <c r="H5095" s="6" t="s">
        <v>33433</v>
      </c>
      <c r="K5095" s="5" t="s">
        <v>33397</v>
      </c>
    </row>
    <row r="5096">
      <c r="A5096" s="4">
        <v>45534.356557245366</v>
      </c>
      <c r="B5096" s="5" t="s">
        <v>34</v>
      </c>
      <c r="D5096" s="5" t="s">
        <v>9020</v>
      </c>
      <c r="E5096" s="5" t="s">
        <v>33437</v>
      </c>
      <c r="F5096" s="5" t="s">
        <v>212</v>
      </c>
      <c r="G5096" s="5" t="s">
        <v>33438</v>
      </c>
      <c r="H5096" s="6" t="s">
        <v>33439</v>
      </c>
      <c r="K5096" s="5" t="s">
        <v>33440</v>
      </c>
    </row>
    <row r="5097">
      <c r="A5097" s="4">
        <v>45534.35657099537</v>
      </c>
      <c r="B5097" s="5" t="s">
        <v>34</v>
      </c>
      <c r="D5097" s="5" t="s">
        <v>1558</v>
      </c>
      <c r="E5097" s="5" t="s">
        <v>33443</v>
      </c>
      <c r="F5097" s="5" t="s">
        <v>212</v>
      </c>
      <c r="G5097" s="5" t="s">
        <v>33444</v>
      </c>
      <c r="H5097" s="6" t="s">
        <v>33445</v>
      </c>
      <c r="K5097" s="5" t="s">
        <v>33440</v>
      </c>
    </row>
    <row r="5098">
      <c r="A5098" s="4">
        <v>45534.35657314815</v>
      </c>
      <c r="B5098" s="5" t="s">
        <v>34</v>
      </c>
      <c r="D5098" s="5" t="s">
        <v>1456</v>
      </c>
      <c r="E5098" s="5" t="s">
        <v>33448</v>
      </c>
      <c r="F5098" s="5" t="s">
        <v>212</v>
      </c>
      <c r="G5098" s="5" t="s">
        <v>33449</v>
      </c>
      <c r="H5098" s="6" t="s">
        <v>33450</v>
      </c>
      <c r="K5098" s="5" t="s">
        <v>33440</v>
      </c>
    </row>
    <row r="5099">
      <c r="A5099" s="4">
        <v>45534.3565752662</v>
      </c>
      <c r="B5099" s="5" t="s">
        <v>34</v>
      </c>
      <c r="D5099" s="5" t="s">
        <v>10444</v>
      </c>
      <c r="E5099" s="5" t="s">
        <v>33453</v>
      </c>
      <c r="F5099" s="5" t="s">
        <v>212</v>
      </c>
      <c r="G5099" s="5" t="s">
        <v>33454</v>
      </c>
      <c r="H5099" s="6" t="s">
        <v>33455</v>
      </c>
      <c r="K5099" s="5" t="s">
        <v>33440</v>
      </c>
    </row>
    <row r="5100">
      <c r="A5100" s="4">
        <v>45534.356589999996</v>
      </c>
      <c r="B5100" s="5" t="s">
        <v>34</v>
      </c>
      <c r="D5100" s="5" t="s">
        <v>6232</v>
      </c>
      <c r="E5100" s="5" t="s">
        <v>33458</v>
      </c>
      <c r="F5100" s="5" t="s">
        <v>37</v>
      </c>
      <c r="G5100" s="5" t="s">
        <v>33459</v>
      </c>
      <c r="H5100" s="6" t="s">
        <v>33460</v>
      </c>
      <c r="K5100" s="5" t="s">
        <v>33440</v>
      </c>
    </row>
    <row r="5101">
      <c r="A5101" s="4">
        <v>45534.35659092593</v>
      </c>
      <c r="B5101" s="5" t="s">
        <v>34</v>
      </c>
      <c r="D5101" s="5" t="s">
        <v>9020</v>
      </c>
      <c r="E5101" s="5" t="s">
        <v>33464</v>
      </c>
      <c r="F5101" s="5" t="s">
        <v>37</v>
      </c>
      <c r="G5101" s="5" t="s">
        <v>33465</v>
      </c>
      <c r="H5101" s="6" t="s">
        <v>33466</v>
      </c>
      <c r="K5101" s="5" t="s">
        <v>33440</v>
      </c>
    </row>
    <row r="5102">
      <c r="A5102" s="4">
        <v>45534.35660945602</v>
      </c>
      <c r="B5102" s="5" t="s">
        <v>34</v>
      </c>
      <c r="D5102" s="5" t="s">
        <v>14424</v>
      </c>
      <c r="E5102" s="5" t="s">
        <v>33469</v>
      </c>
      <c r="F5102" s="5" t="s">
        <v>37</v>
      </c>
      <c r="G5102" s="5" t="s">
        <v>33470</v>
      </c>
      <c r="H5102" s="6" t="s">
        <v>33471</v>
      </c>
      <c r="K5102" s="5" t="s">
        <v>33440</v>
      </c>
    </row>
    <row r="5103">
      <c r="A5103" s="4">
        <v>45534.356614247685</v>
      </c>
      <c r="B5103" s="5" t="s">
        <v>34</v>
      </c>
      <c r="D5103" s="5" t="s">
        <v>522</v>
      </c>
      <c r="E5103" s="5" t="s">
        <v>33474</v>
      </c>
      <c r="F5103" s="5" t="s">
        <v>524</v>
      </c>
      <c r="G5103" s="5" t="s">
        <v>33475</v>
      </c>
      <c r="H5103" s="6" t="s">
        <v>33476</v>
      </c>
      <c r="K5103" s="5" t="s">
        <v>33440</v>
      </c>
    </row>
    <row r="5104">
      <c r="A5104" s="4">
        <v>45534.356637777775</v>
      </c>
      <c r="B5104" s="5" t="s">
        <v>34</v>
      </c>
      <c r="D5104" s="5" t="s">
        <v>996</v>
      </c>
      <c r="E5104" s="5" t="s">
        <v>33479</v>
      </c>
      <c r="F5104" s="5" t="s">
        <v>72</v>
      </c>
      <c r="G5104" s="5" t="s">
        <v>33480</v>
      </c>
      <c r="H5104" s="6" t="s">
        <v>33481</v>
      </c>
      <c r="K5104" s="5" t="s">
        <v>33482</v>
      </c>
    </row>
    <row r="5105">
      <c r="A5105" s="4">
        <v>45534.35665518518</v>
      </c>
      <c r="B5105" s="5" t="s">
        <v>34</v>
      </c>
      <c r="D5105" s="5" t="s">
        <v>4775</v>
      </c>
      <c r="E5105" s="5" t="s">
        <v>33485</v>
      </c>
      <c r="F5105" s="5" t="s">
        <v>108</v>
      </c>
      <c r="G5105" s="5" t="s">
        <v>33486</v>
      </c>
      <c r="H5105" s="6" t="s">
        <v>33487</v>
      </c>
      <c r="K5105" s="5" t="s">
        <v>33482</v>
      </c>
    </row>
    <row r="5106">
      <c r="A5106" s="4">
        <v>45534.356680462966</v>
      </c>
      <c r="B5106" s="5" t="s">
        <v>34</v>
      </c>
      <c r="D5106" s="5" t="s">
        <v>1206</v>
      </c>
      <c r="E5106" s="5" t="s">
        <v>33491</v>
      </c>
      <c r="F5106" s="5" t="s">
        <v>37</v>
      </c>
      <c r="G5106" s="5" t="s">
        <v>33492</v>
      </c>
      <c r="H5106" s="6" t="s">
        <v>33493</v>
      </c>
      <c r="K5106" s="5" t="s">
        <v>33494</v>
      </c>
    </row>
    <row r="5107">
      <c r="A5107" s="4">
        <v>45534.35668719908</v>
      </c>
      <c r="B5107" s="5" t="s">
        <v>34</v>
      </c>
      <c r="D5107" s="5" t="s">
        <v>9394</v>
      </c>
      <c r="E5107" s="5" t="s">
        <v>33497</v>
      </c>
      <c r="F5107" s="5" t="s">
        <v>375</v>
      </c>
      <c r="G5107" s="5" t="s">
        <v>33498</v>
      </c>
      <c r="H5107" s="6" t="s">
        <v>33499</v>
      </c>
      <c r="K5107" s="5" t="s">
        <v>33494</v>
      </c>
    </row>
    <row r="5108">
      <c r="A5108" s="4">
        <v>45534.35670232639</v>
      </c>
      <c r="B5108" s="5" t="s">
        <v>34</v>
      </c>
      <c r="D5108" s="5" t="s">
        <v>9020</v>
      </c>
      <c r="E5108" s="5" t="s">
        <v>33502</v>
      </c>
      <c r="F5108" s="5" t="s">
        <v>120</v>
      </c>
      <c r="G5108" s="5" t="s">
        <v>33503</v>
      </c>
      <c r="H5108" s="6" t="s">
        <v>33504</v>
      </c>
      <c r="K5108" s="5" t="s">
        <v>33494</v>
      </c>
    </row>
    <row r="5109">
      <c r="A5109" s="4">
        <v>45534.35672261574</v>
      </c>
      <c r="B5109" s="5" t="s">
        <v>34</v>
      </c>
      <c r="D5109" s="5" t="s">
        <v>9020</v>
      </c>
      <c r="E5109" s="5" t="s">
        <v>33508</v>
      </c>
      <c r="F5109" s="5" t="s">
        <v>212</v>
      </c>
      <c r="G5109" s="5" t="s">
        <v>33509</v>
      </c>
      <c r="H5109" s="6" t="s">
        <v>33510</v>
      </c>
      <c r="I5109" s="7" t="s">
        <v>33511</v>
      </c>
      <c r="J5109" s="8" t="str">
        <f>HYPERLINK("https://drive.google.com/file/d/1uEYO_BYPPmuTJhosSY8HxdMetRRp2pZT/view?usp=drivesdk","RIANINGSIH SERTIFIKAT BerAKHLAK")</f>
        <v>RIANINGSIH SERTIFIKAT BerAKHLAK</v>
      </c>
      <c r="K5109" s="5" t="s">
        <v>33337</v>
      </c>
      <c r="L5109" s="5" t="s">
        <v>33512</v>
      </c>
    </row>
    <row r="5110">
      <c r="A5110" s="4">
        <v>45534.35672847222</v>
      </c>
      <c r="B5110" s="5" t="s">
        <v>34</v>
      </c>
      <c r="D5110" s="5" t="s">
        <v>1206</v>
      </c>
      <c r="E5110" s="5" t="s">
        <v>33515</v>
      </c>
      <c r="F5110" s="5" t="s">
        <v>108</v>
      </c>
      <c r="G5110" s="5" t="s">
        <v>33516</v>
      </c>
      <c r="H5110" s="6" t="s">
        <v>33517</v>
      </c>
      <c r="I5110" s="7" t="s">
        <v>33518</v>
      </c>
      <c r="J5110" s="8" t="str">
        <f>HYPERLINK("https://drive.google.com/file/d/1k_jVbiqyzmq0BPwf6pP-IectOfgD0pOx/view?usp=drivesdk","HARIYADI SERTIFIKAT BerAKHLAK")</f>
        <v>HARIYADI SERTIFIKAT BerAKHLAK</v>
      </c>
      <c r="K5110" s="5" t="s">
        <v>33337</v>
      </c>
      <c r="L5110" s="5" t="s">
        <v>33519</v>
      </c>
    </row>
    <row r="5111">
      <c r="A5111" s="4">
        <v>45534.356731990745</v>
      </c>
      <c r="B5111" s="5" t="s">
        <v>19</v>
      </c>
      <c r="C5111" s="5" t="s">
        <v>442</v>
      </c>
      <c r="E5111" s="5" t="s">
        <v>33522</v>
      </c>
      <c r="F5111" s="5" t="s">
        <v>375</v>
      </c>
      <c r="G5111" s="5" t="s">
        <v>33523</v>
      </c>
      <c r="H5111" s="6" t="s">
        <v>33524</v>
      </c>
      <c r="I5111" s="7" t="s">
        <v>33525</v>
      </c>
      <c r="J5111" s="8" t="str">
        <f>HYPERLINK("https://drive.google.com/file/d/1U-s7iV2pAEji9oNmM9ShOYm-71OtZHxW/view?usp=drivesdk","Niken Rahma Wiraswati, S.E. SERTIFIKAT BerAKHLAK")</f>
        <v>Niken Rahma Wiraswati, S.E. SERTIFIKAT BerAKHLAK</v>
      </c>
      <c r="K5111" s="5" t="s">
        <v>33337</v>
      </c>
      <c r="L5111" s="5" t="s">
        <v>33526</v>
      </c>
    </row>
    <row r="5112">
      <c r="A5112" s="4">
        <v>45534.35673332176</v>
      </c>
      <c r="B5112" s="5" t="s">
        <v>34</v>
      </c>
      <c r="D5112" s="5" t="s">
        <v>4775</v>
      </c>
      <c r="E5112" s="5" t="s">
        <v>33529</v>
      </c>
      <c r="F5112" s="5" t="s">
        <v>120</v>
      </c>
      <c r="G5112" s="5" t="s">
        <v>33530</v>
      </c>
      <c r="H5112" s="6" t="s">
        <v>33531</v>
      </c>
      <c r="I5112" s="7" t="s">
        <v>33532</v>
      </c>
      <c r="J5112" s="8" t="str">
        <f>HYPERLINK("https://drive.google.com/file/d/1LbxlNwIVAqFWxWf59oNEpM2Eex5xK3jK/view?usp=drivesdk","dr RADITYA KUSUMA PUTRA SERTIFIKAT BerAKHLAK")</f>
        <v>dr RADITYA KUSUMA PUTRA SERTIFIKAT BerAKHLAK</v>
      </c>
      <c r="K5112" s="5" t="s">
        <v>33337</v>
      </c>
      <c r="L5112" s="5" t="s">
        <v>33533</v>
      </c>
    </row>
    <row r="5113">
      <c r="A5113" s="4">
        <v>45534.3567587037</v>
      </c>
      <c r="B5113" s="5" t="s">
        <v>34</v>
      </c>
      <c r="D5113" s="5" t="s">
        <v>35</v>
      </c>
      <c r="E5113" s="5" t="s">
        <v>33536</v>
      </c>
      <c r="F5113" s="5" t="s">
        <v>108</v>
      </c>
      <c r="G5113" s="5" t="s">
        <v>33537</v>
      </c>
      <c r="H5113" s="6" t="s">
        <v>33538</v>
      </c>
      <c r="I5113" s="7" t="s">
        <v>33539</v>
      </c>
      <c r="J5113" s="8" t="str">
        <f>HYPERLINK("https://drive.google.com/file/d/1hqUNL4USYU9iMYmFRwVwNY-gburtLWvf/view?usp=drivesdk","BUDI ROHIMAT SERTIFIKAT BerAKHLAK")</f>
        <v>BUDI ROHIMAT SERTIFIKAT BerAKHLAK</v>
      </c>
      <c r="K5113" s="5" t="s">
        <v>33337</v>
      </c>
      <c r="L5113" s="5" t="s">
        <v>33540</v>
      </c>
    </row>
    <row r="5114">
      <c r="A5114" s="4">
        <v>45534.356763460644</v>
      </c>
      <c r="B5114" s="5" t="s">
        <v>34</v>
      </c>
      <c r="D5114" s="5" t="s">
        <v>12978</v>
      </c>
      <c r="E5114" s="5" t="s">
        <v>33544</v>
      </c>
      <c r="F5114" s="5" t="s">
        <v>524</v>
      </c>
      <c r="G5114" s="5" t="s">
        <v>33545</v>
      </c>
      <c r="H5114" s="6" t="s">
        <v>33546</v>
      </c>
      <c r="I5114" s="7" t="s">
        <v>33547</v>
      </c>
      <c r="J5114" s="8" t="str">
        <f>HYPERLINK("https://drive.google.com/file/d/17WM46RZ96toLwREE3LpwkHhLXLt3yETe/view?usp=drivesdk","RICKA HANDAYANI, SKM  SERTIFIKAT BerAKHLAK")</f>
        <v>RICKA HANDAYANI, SKM  SERTIFIKAT BerAKHLAK</v>
      </c>
      <c r="K5114" s="5" t="s">
        <v>33337</v>
      </c>
      <c r="L5114" s="5" t="s">
        <v>33548</v>
      </c>
    </row>
    <row r="5115">
      <c r="A5115" s="4">
        <v>45534.35678128472</v>
      </c>
      <c r="B5115" s="5" t="s">
        <v>34</v>
      </c>
      <c r="D5115" s="5" t="s">
        <v>6232</v>
      </c>
      <c r="E5115" s="5" t="s">
        <v>33551</v>
      </c>
      <c r="F5115" s="5" t="s">
        <v>37</v>
      </c>
      <c r="G5115" s="5" t="s">
        <v>33552</v>
      </c>
      <c r="H5115" s="6" t="s">
        <v>33553</v>
      </c>
      <c r="I5115" s="7" t="s">
        <v>33554</v>
      </c>
      <c r="J5115" s="8" t="str">
        <f>HYPERLINK("https://drive.google.com/file/d/1agj_CC4Hi2pSb3HYwK_RD9OBu8RlwEX-/view?usp=drivesdk","ELI YARITATI SERTIFIKAT BerAKHLAK")</f>
        <v>ELI YARITATI SERTIFIKAT BerAKHLAK</v>
      </c>
      <c r="K5115" s="5" t="s">
        <v>33337</v>
      </c>
      <c r="L5115" s="5" t="s">
        <v>33555</v>
      </c>
    </row>
    <row r="5116">
      <c r="A5116" s="4">
        <v>45534.356783483796</v>
      </c>
      <c r="B5116" s="5" t="s">
        <v>34</v>
      </c>
      <c r="D5116" s="5" t="s">
        <v>10444</v>
      </c>
      <c r="E5116" s="5" t="s">
        <v>33558</v>
      </c>
      <c r="F5116" s="5" t="s">
        <v>72</v>
      </c>
      <c r="G5116" s="5" t="s">
        <v>33559</v>
      </c>
      <c r="H5116" s="6" t="s">
        <v>33560</v>
      </c>
      <c r="I5116" s="7" t="s">
        <v>33561</v>
      </c>
      <c r="J5116" s="8" t="str">
        <f>HYPERLINK("https://drive.google.com/file/d/1N4kAxZP991xkRSy3F9m6eL5yWKFIFvkQ/view?usp=drivesdk","Lely Yanusa Fitri SERTIFIKAT BerAKHLAK")</f>
        <v>Lely Yanusa Fitri SERTIFIKAT BerAKHLAK</v>
      </c>
      <c r="K5116" s="5" t="s">
        <v>33337</v>
      </c>
      <c r="L5116" s="5" t="s">
        <v>33562</v>
      </c>
    </row>
    <row r="5117">
      <c r="A5117" s="4">
        <v>45534.35679913194</v>
      </c>
      <c r="B5117" s="5" t="s">
        <v>34</v>
      </c>
      <c r="D5117" s="5" t="s">
        <v>4775</v>
      </c>
      <c r="E5117" s="5" t="s">
        <v>33565</v>
      </c>
      <c r="F5117" s="5" t="s">
        <v>212</v>
      </c>
      <c r="G5117" s="5" t="s">
        <v>33566</v>
      </c>
      <c r="H5117" s="6" t="s">
        <v>33567</v>
      </c>
      <c r="I5117" s="7" t="s">
        <v>33568</v>
      </c>
      <c r="J5117" s="8" t="str">
        <f>HYPERLINK("https://drive.google.com/file/d/1dJMgFTwdUa6XZPcvND4OnwhgBWxa8b1M/view?usp=drivesdk","KARYONO SERTIFIKAT BerAKHLAK")</f>
        <v>KARYONO SERTIFIKAT BerAKHLAK</v>
      </c>
      <c r="K5117" s="5" t="s">
        <v>33337</v>
      </c>
      <c r="L5117" s="5" t="s">
        <v>33569</v>
      </c>
    </row>
    <row r="5118">
      <c r="A5118" s="4">
        <v>45534.35681013889</v>
      </c>
      <c r="B5118" s="5" t="s">
        <v>34</v>
      </c>
      <c r="D5118" s="5" t="s">
        <v>4775</v>
      </c>
      <c r="E5118" s="5" t="s">
        <v>33572</v>
      </c>
      <c r="F5118" s="5" t="s">
        <v>375</v>
      </c>
      <c r="G5118" s="5" t="s">
        <v>33573</v>
      </c>
      <c r="H5118" s="6" t="s">
        <v>33574</v>
      </c>
      <c r="I5118" s="7" t="s">
        <v>33575</v>
      </c>
      <c r="J5118" s="8" t="str">
        <f>HYPERLINK("https://drive.google.com/file/d/1TkkkQaQsl-oHJvEHVz1Yr4zT_15FnVc6/view?usp=drivesdk","NUR TAUFIK, S.T. SERTIFIKAT BerAKHLAK")</f>
        <v>NUR TAUFIK, S.T. SERTIFIKAT BerAKHLAK</v>
      </c>
      <c r="K5118" s="5" t="s">
        <v>33337</v>
      </c>
      <c r="L5118" s="5" t="s">
        <v>33576</v>
      </c>
    </row>
    <row r="5119">
      <c r="A5119" s="4">
        <v>45534.356821423615</v>
      </c>
      <c r="B5119" s="5" t="s">
        <v>34</v>
      </c>
      <c r="D5119" s="5" t="s">
        <v>4775</v>
      </c>
      <c r="E5119" s="5" t="s">
        <v>33580</v>
      </c>
      <c r="F5119" s="5" t="s">
        <v>524</v>
      </c>
      <c r="G5119" s="5" t="s">
        <v>33581</v>
      </c>
      <c r="H5119" s="6" t="s">
        <v>33582</v>
      </c>
      <c r="I5119" s="7" t="s">
        <v>33583</v>
      </c>
      <c r="J5119" s="8" t="str">
        <f>HYPERLINK("https://drive.google.com/file/d/1kfd_PAhdj7RqnrxHUUC9mVCLkdBJiZE_/view?usp=drivesdk","INDAH SULISTYO INDRANI, S.H SERTIFIKAT BerAKHLAK")</f>
        <v>INDAH SULISTYO INDRANI, S.H SERTIFIKAT BerAKHLAK</v>
      </c>
      <c r="K5119" s="5" t="s">
        <v>33337</v>
      </c>
      <c r="L5119" s="5" t="s">
        <v>33584</v>
      </c>
    </row>
    <row r="5120">
      <c r="A5120" s="4">
        <v>45534.35683096065</v>
      </c>
      <c r="B5120" s="5" t="s">
        <v>34</v>
      </c>
      <c r="D5120" s="5" t="s">
        <v>1206</v>
      </c>
      <c r="E5120" s="5" t="s">
        <v>33587</v>
      </c>
      <c r="F5120" s="5" t="s">
        <v>375</v>
      </c>
      <c r="G5120" s="5" t="s">
        <v>33588</v>
      </c>
      <c r="H5120" s="6" t="s">
        <v>33589</v>
      </c>
      <c r="K5120" s="5" t="s">
        <v>33590</v>
      </c>
    </row>
    <row r="5121">
      <c r="A5121" s="4">
        <v>45534.35683553241</v>
      </c>
      <c r="B5121" s="5" t="s">
        <v>34</v>
      </c>
      <c r="D5121" s="5" t="s">
        <v>1206</v>
      </c>
      <c r="E5121" s="5" t="s">
        <v>33593</v>
      </c>
      <c r="F5121" s="5" t="s">
        <v>37</v>
      </c>
      <c r="G5121" s="5" t="s">
        <v>33594</v>
      </c>
      <c r="H5121" s="6" t="s">
        <v>33595</v>
      </c>
      <c r="K5121" s="5" t="s">
        <v>33590</v>
      </c>
    </row>
    <row r="5122">
      <c r="A5122" s="4">
        <v>45534.35683763889</v>
      </c>
      <c r="B5122" s="5" t="s">
        <v>34</v>
      </c>
      <c r="D5122" s="5" t="s">
        <v>1206</v>
      </c>
      <c r="E5122" s="5" t="s">
        <v>33598</v>
      </c>
      <c r="F5122" s="5" t="s">
        <v>108</v>
      </c>
      <c r="G5122" s="5" t="s">
        <v>33599</v>
      </c>
      <c r="H5122" s="6" t="s">
        <v>33600</v>
      </c>
      <c r="K5122" s="5" t="s">
        <v>33590</v>
      </c>
    </row>
    <row r="5123">
      <c r="A5123" s="4">
        <v>45534.356879756946</v>
      </c>
      <c r="B5123" s="5" t="s">
        <v>34</v>
      </c>
      <c r="D5123" s="5" t="s">
        <v>1206</v>
      </c>
      <c r="E5123" s="5" t="s">
        <v>33603</v>
      </c>
      <c r="F5123" s="5" t="s">
        <v>37</v>
      </c>
      <c r="G5123" s="5" t="s">
        <v>33604</v>
      </c>
      <c r="H5123" s="6" t="s">
        <v>33605</v>
      </c>
      <c r="I5123" s="7" t="s">
        <v>33606</v>
      </c>
      <c r="J5123" s="8" t="str">
        <f>HYPERLINK("https://drive.google.com/file/d/1FI9Nr9TDKHU62D18PFrxXwlySHCaYjIQ/view?usp=drivesdk","IMAM WIDODO SERTIFIKAT BerAKHLAK")</f>
        <v>IMAM WIDODO SERTIFIKAT BerAKHLAK</v>
      </c>
      <c r="K5123" s="5" t="s">
        <v>33337</v>
      </c>
      <c r="L5123" s="5" t="s">
        <v>33607</v>
      </c>
    </row>
    <row r="5124">
      <c r="A5124" s="4">
        <v>45534.35688651621</v>
      </c>
      <c r="B5124" s="5" t="s">
        <v>34</v>
      </c>
      <c r="D5124" s="5" t="s">
        <v>4775</v>
      </c>
      <c r="E5124" s="5" t="s">
        <v>33611</v>
      </c>
      <c r="F5124" s="5" t="s">
        <v>108</v>
      </c>
      <c r="G5124" s="5" t="s">
        <v>33612</v>
      </c>
      <c r="H5124" s="6" t="s">
        <v>33613</v>
      </c>
      <c r="I5124" s="7" t="s">
        <v>33614</v>
      </c>
      <c r="J5124" s="8" t="str">
        <f>HYPERLINK("https://drive.google.com/file/d/1HPPWwcxjuwwZxXoDPG4WU_JiteJvrPnD/view?usp=drivesdk","DEDI DWI SETYAWAN, AMK SERTIFIKAT BerAKHLAK")</f>
        <v>DEDI DWI SETYAWAN, AMK SERTIFIKAT BerAKHLAK</v>
      </c>
      <c r="K5124" s="5" t="s">
        <v>33337</v>
      </c>
      <c r="L5124" s="5" t="s">
        <v>33615</v>
      </c>
    </row>
    <row r="5125">
      <c r="A5125" s="4">
        <v>45534.356891655094</v>
      </c>
      <c r="B5125" s="5" t="s">
        <v>34</v>
      </c>
      <c r="D5125" s="5" t="s">
        <v>9020</v>
      </c>
      <c r="E5125" s="5" t="s">
        <v>33618</v>
      </c>
      <c r="F5125" s="5" t="s">
        <v>715</v>
      </c>
      <c r="G5125" s="5" t="s">
        <v>33619</v>
      </c>
      <c r="H5125" s="6" t="s">
        <v>33620</v>
      </c>
      <c r="I5125" s="7" t="s">
        <v>33621</v>
      </c>
      <c r="J5125" s="8" t="str">
        <f>HYPERLINK("https://drive.google.com/file/d/1LBsEL-QWWoAkr0aawZAjxyCnZt_sAaH3/view?usp=drivesdk","Yusan Yanti Sinaga  SERTIFIKAT BerAKHLAK")</f>
        <v>Yusan Yanti Sinaga  SERTIFIKAT BerAKHLAK</v>
      </c>
      <c r="K5125" s="5" t="s">
        <v>33337</v>
      </c>
      <c r="L5125" s="5" t="s">
        <v>33622</v>
      </c>
    </row>
    <row r="5126">
      <c r="A5126" s="4">
        <v>45534.356896921294</v>
      </c>
      <c r="B5126" s="5" t="s">
        <v>34</v>
      </c>
      <c r="D5126" s="5" t="s">
        <v>6232</v>
      </c>
      <c r="E5126" s="5" t="s">
        <v>33625</v>
      </c>
      <c r="F5126" s="5" t="s">
        <v>37</v>
      </c>
      <c r="G5126" s="5" t="s">
        <v>33626</v>
      </c>
      <c r="H5126" s="6" t="s">
        <v>33627</v>
      </c>
      <c r="I5126" s="7" t="s">
        <v>33628</v>
      </c>
      <c r="J5126" s="8" t="str">
        <f>HYPERLINK("https://drive.google.com/file/d/1g9OOeXCjMDtq7c__x5ODzeNSsiPJB1f7/view?usp=drivesdk","Deby Cinthia Yolanda,AMd.RM SERTIFIKAT BerAKHLAK")</f>
        <v>Deby Cinthia Yolanda,AMd.RM SERTIFIKAT BerAKHLAK</v>
      </c>
      <c r="K5126" s="5" t="s">
        <v>33337</v>
      </c>
      <c r="L5126" s="5" t="s">
        <v>33629</v>
      </c>
    </row>
    <row r="5127">
      <c r="A5127" s="4">
        <v>45534.35691761574</v>
      </c>
      <c r="B5127" s="5" t="s">
        <v>34</v>
      </c>
      <c r="D5127" s="5" t="s">
        <v>35</v>
      </c>
      <c r="E5127" s="5" t="s">
        <v>33632</v>
      </c>
      <c r="F5127" s="5" t="s">
        <v>37</v>
      </c>
      <c r="G5127" s="5" t="s">
        <v>33633</v>
      </c>
      <c r="H5127" s="6" t="s">
        <v>33634</v>
      </c>
      <c r="I5127" s="7" t="s">
        <v>33635</v>
      </c>
      <c r="J5127" s="8" t="str">
        <f>HYPERLINK("https://drive.google.com/file/d/1yCaUr8Wxv-WkDGtq60E-PHNLqqXhbyYX/view?usp=drivesdk","IDAR DARYANTI SERTIFIKAT BerAKHLAK")</f>
        <v>IDAR DARYANTI SERTIFIKAT BerAKHLAK</v>
      </c>
      <c r="K5127" s="5" t="s">
        <v>33337</v>
      </c>
      <c r="L5127" s="5" t="s">
        <v>33636</v>
      </c>
    </row>
    <row r="5128">
      <c r="A5128" s="4">
        <v>45534.35693443287</v>
      </c>
      <c r="B5128" s="5" t="s">
        <v>34</v>
      </c>
      <c r="D5128" s="5" t="s">
        <v>1692</v>
      </c>
      <c r="E5128" s="5" t="s">
        <v>33639</v>
      </c>
      <c r="F5128" s="5" t="s">
        <v>375</v>
      </c>
      <c r="G5128" s="5" t="s">
        <v>33640</v>
      </c>
      <c r="H5128" s="6" t="s">
        <v>33641</v>
      </c>
      <c r="I5128" s="7" t="s">
        <v>33642</v>
      </c>
      <c r="J5128" s="8" t="str">
        <f>HYPERLINK("https://drive.google.com/file/d/1FFpxyBKoRb5XEeXgrm-fFzib9Jfd0ftm/view?usp=drivesdk","JULIA WELTH SALIAMA,S.Kep SERTIFIKAT BerAKHLAK")</f>
        <v>JULIA WELTH SALIAMA,S.Kep SERTIFIKAT BerAKHLAK</v>
      </c>
      <c r="K5128" s="5" t="s">
        <v>33337</v>
      </c>
      <c r="L5128" s="5" t="s">
        <v>33643</v>
      </c>
    </row>
    <row r="5129">
      <c r="A5129" s="4">
        <v>45534.35693494213</v>
      </c>
      <c r="B5129" s="5" t="s">
        <v>34</v>
      </c>
      <c r="D5129" s="5" t="s">
        <v>4775</v>
      </c>
      <c r="E5129" s="5" t="s">
        <v>33646</v>
      </c>
      <c r="F5129" s="5" t="s">
        <v>212</v>
      </c>
      <c r="G5129" s="5" t="s">
        <v>33647</v>
      </c>
      <c r="H5129" s="6" t="s">
        <v>33648</v>
      </c>
      <c r="K5129" s="5" t="s">
        <v>33649</v>
      </c>
    </row>
    <row r="5130">
      <c r="A5130" s="4">
        <v>45534.356936261574</v>
      </c>
      <c r="B5130" s="5" t="s">
        <v>34</v>
      </c>
      <c r="D5130" s="5" t="s">
        <v>1456</v>
      </c>
      <c r="E5130" s="5" t="s">
        <v>33653</v>
      </c>
      <c r="F5130" s="5" t="s">
        <v>212</v>
      </c>
      <c r="G5130" s="5" t="s">
        <v>33654</v>
      </c>
      <c r="H5130" s="6" t="s">
        <v>33655</v>
      </c>
      <c r="K5130" s="5" t="s">
        <v>33649</v>
      </c>
    </row>
    <row r="5131">
      <c r="A5131" s="4">
        <v>45534.35694454861</v>
      </c>
      <c r="B5131" s="5" t="s">
        <v>34</v>
      </c>
      <c r="D5131" s="5" t="s">
        <v>9020</v>
      </c>
      <c r="E5131" s="5" t="s">
        <v>33658</v>
      </c>
      <c r="F5131" s="5" t="s">
        <v>715</v>
      </c>
      <c r="G5131" s="5" t="s">
        <v>33659</v>
      </c>
      <c r="H5131" s="6" t="s">
        <v>33660</v>
      </c>
      <c r="K5131" s="5" t="s">
        <v>33649</v>
      </c>
    </row>
    <row r="5132">
      <c r="A5132" s="4">
        <v>45534.356950671296</v>
      </c>
      <c r="B5132" s="5" t="s">
        <v>34</v>
      </c>
      <c r="D5132" s="5" t="s">
        <v>9020</v>
      </c>
      <c r="E5132" s="5" t="s">
        <v>33663</v>
      </c>
      <c r="F5132" s="5" t="s">
        <v>212</v>
      </c>
      <c r="G5132" s="5" t="s">
        <v>33664</v>
      </c>
      <c r="H5132" s="6" t="s">
        <v>33665</v>
      </c>
      <c r="I5132" s="7" t="s">
        <v>33666</v>
      </c>
      <c r="J5132" s="8" t="str">
        <f>HYPERLINK("https://drive.google.com/file/d/1HQTfL53mCfN4kZjlEXTqJz9ys3ZmcWPr/view?usp=drivesdk","IRWANSYAH PUTRA SERTIFIKAT BerAKHLAK")</f>
        <v>IRWANSYAH PUTRA SERTIFIKAT BerAKHLAK</v>
      </c>
      <c r="K5132" s="5" t="s">
        <v>33337</v>
      </c>
      <c r="L5132" s="5" t="s">
        <v>33667</v>
      </c>
    </row>
    <row r="5133">
      <c r="A5133" s="4">
        <v>45534.35695119213</v>
      </c>
      <c r="B5133" s="5" t="s">
        <v>34</v>
      </c>
      <c r="D5133" s="5" t="s">
        <v>1206</v>
      </c>
      <c r="E5133" s="5" t="s">
        <v>33671</v>
      </c>
      <c r="F5133" s="5" t="s">
        <v>37</v>
      </c>
      <c r="G5133" s="5" t="s">
        <v>33672</v>
      </c>
      <c r="H5133" s="6" t="s">
        <v>33673</v>
      </c>
      <c r="I5133" s="7" t="s">
        <v>33674</v>
      </c>
      <c r="J5133" s="8" t="str">
        <f>HYPERLINK("https://drive.google.com/file/d/18EcYl6AC8j6cUYgED7TqcwFf8UbPfFzm/view?usp=drivesdk","Nuning Mulyo Utami Amd,keb SERTIFIKAT BerAKHLAK")</f>
        <v>Nuning Mulyo Utami Amd,keb SERTIFIKAT BerAKHLAK</v>
      </c>
      <c r="K5133" s="5" t="s">
        <v>33337</v>
      </c>
      <c r="L5133" s="5" t="s">
        <v>33675</v>
      </c>
    </row>
    <row r="5134">
      <c r="A5134" s="4">
        <v>45534.356959675926</v>
      </c>
      <c r="B5134" s="5" t="s">
        <v>34</v>
      </c>
      <c r="D5134" s="5" t="s">
        <v>1206</v>
      </c>
      <c r="E5134" s="5" t="s">
        <v>33678</v>
      </c>
      <c r="F5134" s="5" t="s">
        <v>37</v>
      </c>
      <c r="G5134" s="5" t="s">
        <v>33679</v>
      </c>
      <c r="H5134" s="6" t="s">
        <v>33680</v>
      </c>
      <c r="I5134" s="7" t="s">
        <v>33681</v>
      </c>
      <c r="J5134" s="8" t="str">
        <f>HYPERLINK("https://drive.google.com/file/d/12WEiu3qkL8MUGr3gEqD10Oy1hLv7qPve/view?usp=drivesdk","ERNIS EFIYANA SERTIFIKAT BerAKHLAK")</f>
        <v>ERNIS EFIYANA SERTIFIKAT BerAKHLAK</v>
      </c>
      <c r="K5134" s="5" t="s">
        <v>33337</v>
      </c>
      <c r="L5134" s="5" t="s">
        <v>33682</v>
      </c>
    </row>
    <row r="5135">
      <c r="A5135" s="4">
        <v>45534.35696097222</v>
      </c>
      <c r="B5135" s="5" t="s">
        <v>34</v>
      </c>
      <c r="D5135" s="5" t="s">
        <v>9020</v>
      </c>
      <c r="E5135" s="5" t="s">
        <v>33685</v>
      </c>
      <c r="F5135" s="5" t="s">
        <v>524</v>
      </c>
      <c r="G5135" s="5" t="s">
        <v>33686</v>
      </c>
      <c r="H5135" s="6" t="s">
        <v>33687</v>
      </c>
      <c r="I5135" s="7" t="s">
        <v>33688</v>
      </c>
      <c r="J5135" s="8" t="str">
        <f>HYPERLINK("https://drive.google.com/file/d/1BQSoV7n_Ghjxr0Utsr_KbOJUC1OQw8P0/view?usp=drivesdk","SYAMSIAH TAMBUNAN SERTIFIKAT BerAKHLAK")</f>
        <v>SYAMSIAH TAMBUNAN SERTIFIKAT BerAKHLAK</v>
      </c>
      <c r="K5135" s="5" t="s">
        <v>33375</v>
      </c>
      <c r="L5135" s="5" t="s">
        <v>33689</v>
      </c>
    </row>
    <row r="5136">
      <c r="A5136" s="4">
        <v>45534.35696099537</v>
      </c>
      <c r="B5136" s="5" t="s">
        <v>19</v>
      </c>
      <c r="C5136" s="5" t="s">
        <v>442</v>
      </c>
      <c r="E5136" s="5" t="s">
        <v>33692</v>
      </c>
      <c r="F5136" s="5" t="s">
        <v>108</v>
      </c>
      <c r="G5136" s="5" t="s">
        <v>33693</v>
      </c>
      <c r="H5136" s="6" t="s">
        <v>33694</v>
      </c>
      <c r="I5136" s="7" t="s">
        <v>33695</v>
      </c>
      <c r="J5136" s="8" t="str">
        <f>HYPERLINK("https://drive.google.com/file/d/1E02EHDhyaO9IviTkJaX2kCJMbKGujPLg/view?usp=drivesdk","TETIANA, S.E. SERTIFIKAT BerAKHLAK")</f>
        <v>TETIANA, S.E. SERTIFIKAT BerAKHLAK</v>
      </c>
      <c r="K5136" s="5" t="s">
        <v>33375</v>
      </c>
      <c r="L5136" s="5" t="s">
        <v>33696</v>
      </c>
    </row>
    <row r="5137">
      <c r="A5137" s="4">
        <v>45534.3569621875</v>
      </c>
      <c r="B5137" s="5" t="s">
        <v>34</v>
      </c>
      <c r="D5137" s="5" t="s">
        <v>1206</v>
      </c>
      <c r="E5137" s="5" t="s">
        <v>33699</v>
      </c>
      <c r="F5137" s="5" t="s">
        <v>199</v>
      </c>
      <c r="G5137" s="5" t="s">
        <v>33700</v>
      </c>
      <c r="H5137" s="6" t="s">
        <v>33701</v>
      </c>
      <c r="K5137" s="5" t="s">
        <v>33702</v>
      </c>
    </row>
    <row r="5138">
      <c r="A5138" s="4">
        <v>45534.35696556713</v>
      </c>
      <c r="B5138" s="5" t="s">
        <v>34</v>
      </c>
      <c r="D5138" s="5" t="s">
        <v>9394</v>
      </c>
      <c r="E5138" s="5" t="s">
        <v>33706</v>
      </c>
      <c r="F5138" s="5" t="s">
        <v>524</v>
      </c>
      <c r="G5138" s="5" t="s">
        <v>33707</v>
      </c>
      <c r="H5138" s="6" t="s">
        <v>33708</v>
      </c>
      <c r="K5138" s="5" t="s">
        <v>33702</v>
      </c>
    </row>
    <row r="5139">
      <c r="A5139" s="4">
        <v>45534.35698372685</v>
      </c>
      <c r="B5139" s="5" t="s">
        <v>34</v>
      </c>
      <c r="D5139" s="5" t="s">
        <v>6232</v>
      </c>
      <c r="E5139" s="5" t="s">
        <v>33711</v>
      </c>
      <c r="F5139" s="5" t="s">
        <v>37</v>
      </c>
      <c r="G5139" s="5" t="s">
        <v>33712</v>
      </c>
      <c r="H5139" s="6" t="s">
        <v>33713</v>
      </c>
      <c r="K5139" s="5" t="s">
        <v>33702</v>
      </c>
    </row>
    <row r="5140">
      <c r="A5140" s="4">
        <v>45534.356996111106</v>
      </c>
      <c r="B5140" s="5" t="s">
        <v>34</v>
      </c>
      <c r="D5140" s="5" t="s">
        <v>9394</v>
      </c>
      <c r="E5140" s="5" t="s">
        <v>33716</v>
      </c>
      <c r="F5140" s="5" t="s">
        <v>212</v>
      </c>
      <c r="G5140" s="5" t="s">
        <v>33717</v>
      </c>
      <c r="H5140" s="6" t="s">
        <v>33718</v>
      </c>
      <c r="K5140" s="5" t="s">
        <v>33702</v>
      </c>
    </row>
    <row r="5141">
      <c r="A5141" s="4">
        <v>45534.357020069445</v>
      </c>
      <c r="B5141" s="5" t="s">
        <v>34</v>
      </c>
      <c r="D5141" s="5" t="s">
        <v>4775</v>
      </c>
      <c r="E5141" s="5" t="s">
        <v>33721</v>
      </c>
      <c r="F5141" s="5" t="s">
        <v>120</v>
      </c>
      <c r="G5141" s="5" t="s">
        <v>33722</v>
      </c>
      <c r="H5141" s="6" t="s">
        <v>33723</v>
      </c>
      <c r="I5141" s="7" t="s">
        <v>33724</v>
      </c>
      <c r="J5141" s="8" t="str">
        <f>HYPERLINK("https://drive.google.com/file/d/1482ncFcYV3fzWgUqnMKaQQ2PGBwOqxxC/view?usp=drivesdk","dr. LENNY EVI SUSANTI, M.H. SERTIFIKAT BerAKHLAK")</f>
        <v>dr. LENNY EVI SUSANTI, M.H. SERTIFIKAT BerAKHLAK</v>
      </c>
      <c r="K5141" s="5" t="s">
        <v>33337</v>
      </c>
      <c r="L5141" s="5" t="s">
        <v>33725</v>
      </c>
    </row>
    <row r="5142">
      <c r="A5142" s="4">
        <v>45534.357041041665</v>
      </c>
      <c r="B5142" s="5" t="s">
        <v>34</v>
      </c>
      <c r="D5142" s="5" t="s">
        <v>4775</v>
      </c>
      <c r="E5142" s="5" t="s">
        <v>33728</v>
      </c>
      <c r="F5142" s="5" t="s">
        <v>212</v>
      </c>
      <c r="G5142" s="5" t="s">
        <v>33729</v>
      </c>
      <c r="H5142" s="6" t="s">
        <v>33730</v>
      </c>
      <c r="K5142" s="5" t="s">
        <v>33731</v>
      </c>
    </row>
    <row r="5143">
      <c r="A5143" s="4">
        <v>45534.35707298611</v>
      </c>
      <c r="B5143" s="5" t="s">
        <v>34</v>
      </c>
      <c r="D5143" s="5" t="s">
        <v>1206</v>
      </c>
      <c r="E5143" s="5" t="s">
        <v>33735</v>
      </c>
      <c r="F5143" s="5" t="s">
        <v>108</v>
      </c>
      <c r="G5143" s="5" t="s">
        <v>33736</v>
      </c>
      <c r="H5143" s="6" t="s">
        <v>33737</v>
      </c>
      <c r="K5143" s="5" t="s">
        <v>33731</v>
      </c>
    </row>
    <row r="5144">
      <c r="A5144" s="4">
        <v>45534.357074155094</v>
      </c>
      <c r="B5144" s="5" t="s">
        <v>34</v>
      </c>
      <c r="D5144" s="5" t="s">
        <v>4775</v>
      </c>
      <c r="E5144" s="5" t="s">
        <v>33740</v>
      </c>
      <c r="F5144" s="5" t="s">
        <v>212</v>
      </c>
      <c r="G5144" s="5" t="s">
        <v>33741</v>
      </c>
      <c r="H5144" s="6" t="s">
        <v>33742</v>
      </c>
      <c r="K5144" s="5" t="s">
        <v>33731</v>
      </c>
    </row>
    <row r="5145">
      <c r="A5145" s="4">
        <v>45534.35707636574</v>
      </c>
      <c r="B5145" s="5" t="s">
        <v>34</v>
      </c>
      <c r="D5145" s="5" t="s">
        <v>701</v>
      </c>
      <c r="E5145" s="5" t="s">
        <v>33745</v>
      </c>
      <c r="F5145" s="5" t="s">
        <v>37</v>
      </c>
      <c r="G5145" s="5" t="s">
        <v>33746</v>
      </c>
      <c r="H5145" s="6" t="s">
        <v>33747</v>
      </c>
      <c r="K5145" s="5" t="s">
        <v>33731</v>
      </c>
    </row>
    <row r="5146">
      <c r="A5146" s="4">
        <v>45534.357079270834</v>
      </c>
      <c r="B5146" s="5" t="s">
        <v>34</v>
      </c>
      <c r="D5146" s="5" t="s">
        <v>4775</v>
      </c>
      <c r="E5146" s="5" t="s">
        <v>33750</v>
      </c>
      <c r="F5146" s="5" t="s">
        <v>212</v>
      </c>
      <c r="G5146" s="5" t="s">
        <v>33751</v>
      </c>
      <c r="H5146" s="6" t="s">
        <v>33752</v>
      </c>
      <c r="K5146" s="5" t="s">
        <v>33731</v>
      </c>
    </row>
    <row r="5147">
      <c r="A5147" s="4">
        <v>45534.35708440973</v>
      </c>
      <c r="B5147" s="5" t="s">
        <v>34</v>
      </c>
      <c r="D5147" s="5" t="s">
        <v>1456</v>
      </c>
      <c r="E5147" s="5" t="s">
        <v>33755</v>
      </c>
      <c r="F5147" s="5" t="s">
        <v>212</v>
      </c>
      <c r="G5147" s="5" t="s">
        <v>33756</v>
      </c>
      <c r="H5147" s="6" t="s">
        <v>33757</v>
      </c>
      <c r="K5147" s="5" t="s">
        <v>33731</v>
      </c>
    </row>
    <row r="5148">
      <c r="A5148" s="4">
        <v>45534.35709013889</v>
      </c>
      <c r="B5148" s="5" t="s">
        <v>34</v>
      </c>
      <c r="D5148" s="5" t="s">
        <v>996</v>
      </c>
      <c r="E5148" s="5" t="s">
        <v>33760</v>
      </c>
      <c r="F5148" s="5" t="s">
        <v>212</v>
      </c>
      <c r="G5148" s="5" t="s">
        <v>33761</v>
      </c>
      <c r="H5148" s="6" t="s">
        <v>33762</v>
      </c>
      <c r="K5148" s="5" t="s">
        <v>33731</v>
      </c>
    </row>
    <row r="5149">
      <c r="A5149" s="4">
        <v>45534.357111527774</v>
      </c>
      <c r="B5149" s="5" t="s">
        <v>34</v>
      </c>
      <c r="D5149" s="5" t="s">
        <v>4775</v>
      </c>
      <c r="E5149" s="5" t="s">
        <v>33766</v>
      </c>
      <c r="F5149" s="5" t="s">
        <v>37</v>
      </c>
      <c r="G5149" s="5" t="s">
        <v>33767</v>
      </c>
      <c r="H5149" s="6" t="s">
        <v>33768</v>
      </c>
      <c r="K5149" s="5" t="s">
        <v>33731</v>
      </c>
    </row>
    <row r="5150">
      <c r="A5150" s="4">
        <v>45534.35711582176</v>
      </c>
      <c r="B5150" s="5" t="s">
        <v>34</v>
      </c>
      <c r="D5150" s="5" t="s">
        <v>3849</v>
      </c>
      <c r="E5150" s="5" t="s">
        <v>33771</v>
      </c>
      <c r="F5150" s="5" t="s">
        <v>108</v>
      </c>
      <c r="G5150" s="5" t="s">
        <v>33772</v>
      </c>
      <c r="H5150" s="6" t="s">
        <v>33773</v>
      </c>
      <c r="K5150" s="5" t="s">
        <v>33731</v>
      </c>
    </row>
    <row r="5151">
      <c r="A5151" s="4">
        <v>45534.35716409722</v>
      </c>
      <c r="B5151" s="5" t="s">
        <v>34</v>
      </c>
      <c r="D5151" s="5" t="s">
        <v>35</v>
      </c>
      <c r="E5151" s="5" t="s">
        <v>33776</v>
      </c>
      <c r="F5151" s="5" t="s">
        <v>37</v>
      </c>
      <c r="G5151" s="5" t="s">
        <v>33777</v>
      </c>
      <c r="H5151" s="6" t="s">
        <v>33778</v>
      </c>
      <c r="K5151" s="5" t="s">
        <v>33731</v>
      </c>
    </row>
    <row r="5152">
      <c r="A5152" s="4">
        <v>45534.35718704861</v>
      </c>
      <c r="B5152" s="5" t="s">
        <v>34</v>
      </c>
      <c r="D5152" s="5" t="s">
        <v>1206</v>
      </c>
      <c r="E5152" s="5" t="s">
        <v>33781</v>
      </c>
      <c r="F5152" s="5" t="s">
        <v>212</v>
      </c>
      <c r="G5152" s="5" t="s">
        <v>33782</v>
      </c>
      <c r="H5152" s="6" t="s">
        <v>33783</v>
      </c>
      <c r="K5152" s="5" t="s">
        <v>33731</v>
      </c>
    </row>
    <row r="5153">
      <c r="A5153" s="4">
        <v>45534.35720549768</v>
      </c>
      <c r="B5153" s="5" t="s">
        <v>34</v>
      </c>
      <c r="D5153" s="5" t="s">
        <v>975</v>
      </c>
      <c r="E5153" s="5" t="s">
        <v>33786</v>
      </c>
      <c r="F5153" s="5" t="s">
        <v>37</v>
      </c>
      <c r="G5153" s="5" t="s">
        <v>33787</v>
      </c>
      <c r="H5153" s="6" t="s">
        <v>33788</v>
      </c>
      <c r="K5153" s="5" t="s">
        <v>33731</v>
      </c>
    </row>
    <row r="5154">
      <c r="A5154" s="4">
        <v>45534.357202569445</v>
      </c>
      <c r="B5154" s="5" t="s">
        <v>34</v>
      </c>
      <c r="D5154" s="5" t="s">
        <v>1206</v>
      </c>
      <c r="E5154" s="5" t="s">
        <v>33792</v>
      </c>
      <c r="F5154" s="5" t="s">
        <v>72</v>
      </c>
      <c r="G5154" s="5" t="s">
        <v>33793</v>
      </c>
      <c r="H5154" s="6" t="s">
        <v>33794</v>
      </c>
      <c r="K5154" s="5" t="s">
        <v>33731</v>
      </c>
    </row>
    <row r="5155">
      <c r="A5155" s="4">
        <v>45534.35720642361</v>
      </c>
      <c r="B5155" s="5" t="s">
        <v>34</v>
      </c>
      <c r="D5155" s="5" t="s">
        <v>4775</v>
      </c>
      <c r="E5155" s="5" t="s">
        <v>33797</v>
      </c>
      <c r="F5155" s="5" t="s">
        <v>212</v>
      </c>
      <c r="G5155" s="5" t="s">
        <v>33798</v>
      </c>
      <c r="H5155" s="6" t="s">
        <v>33799</v>
      </c>
      <c r="K5155" s="5" t="s">
        <v>33731</v>
      </c>
    </row>
    <row r="5156">
      <c r="A5156" s="4">
        <v>45534.357221122686</v>
      </c>
      <c r="B5156" s="5" t="s">
        <v>34</v>
      </c>
      <c r="D5156" s="5" t="s">
        <v>4775</v>
      </c>
      <c r="E5156" s="5" t="s">
        <v>33802</v>
      </c>
      <c r="F5156" s="5" t="s">
        <v>199</v>
      </c>
      <c r="G5156" s="5" t="s">
        <v>33803</v>
      </c>
      <c r="H5156" s="6" t="s">
        <v>33804</v>
      </c>
      <c r="K5156" s="5" t="s">
        <v>33731</v>
      </c>
    </row>
    <row r="5157">
      <c r="A5157" s="4">
        <v>45534.35722199074</v>
      </c>
      <c r="B5157" s="5" t="s">
        <v>34</v>
      </c>
      <c r="D5157" s="5" t="s">
        <v>1206</v>
      </c>
      <c r="E5157" s="5" t="s">
        <v>33807</v>
      </c>
      <c r="F5157" s="5" t="s">
        <v>108</v>
      </c>
      <c r="G5157" s="5" t="s">
        <v>33808</v>
      </c>
      <c r="H5157" s="6" t="s">
        <v>33809</v>
      </c>
      <c r="K5157" s="5" t="s">
        <v>33731</v>
      </c>
    </row>
    <row r="5158">
      <c r="A5158" s="4">
        <v>45534.35722690972</v>
      </c>
      <c r="B5158" s="5" t="s">
        <v>34</v>
      </c>
      <c r="D5158" s="5" t="s">
        <v>35</v>
      </c>
      <c r="E5158" s="5" t="s">
        <v>33813</v>
      </c>
      <c r="F5158" s="5" t="s">
        <v>375</v>
      </c>
      <c r="G5158" s="5" t="s">
        <v>33814</v>
      </c>
      <c r="H5158" s="6" t="s">
        <v>33815</v>
      </c>
      <c r="K5158" s="5" t="s">
        <v>33731</v>
      </c>
    </row>
    <row r="5159">
      <c r="A5159" s="4">
        <v>45534.35722942129</v>
      </c>
      <c r="B5159" s="5" t="s">
        <v>34</v>
      </c>
      <c r="D5159" s="5" t="s">
        <v>267</v>
      </c>
      <c r="E5159" s="5" t="s">
        <v>33818</v>
      </c>
      <c r="F5159" s="5" t="s">
        <v>108</v>
      </c>
      <c r="G5159" s="5" t="s">
        <v>33819</v>
      </c>
      <c r="H5159" s="6" t="s">
        <v>33820</v>
      </c>
      <c r="K5159" s="5" t="s">
        <v>33731</v>
      </c>
    </row>
    <row r="5160">
      <c r="A5160" s="4">
        <v>45534.35723554398</v>
      </c>
      <c r="B5160" s="5" t="s">
        <v>34</v>
      </c>
      <c r="D5160" s="5" t="s">
        <v>35</v>
      </c>
      <c r="E5160" s="5" t="s">
        <v>33823</v>
      </c>
      <c r="F5160" s="5" t="s">
        <v>524</v>
      </c>
      <c r="G5160" s="5" t="s">
        <v>33824</v>
      </c>
      <c r="H5160" s="6" t="s">
        <v>33825</v>
      </c>
      <c r="K5160" s="5" t="s">
        <v>33731</v>
      </c>
    </row>
    <row r="5161">
      <c r="A5161" s="4">
        <v>45534.35723796296</v>
      </c>
      <c r="B5161" s="5" t="s">
        <v>34</v>
      </c>
      <c r="D5161" s="5" t="s">
        <v>14424</v>
      </c>
      <c r="E5161" s="5" t="s">
        <v>33828</v>
      </c>
      <c r="F5161" s="5" t="s">
        <v>108</v>
      </c>
      <c r="G5161" s="5" t="s">
        <v>33829</v>
      </c>
      <c r="H5161" s="6" t="s">
        <v>33830</v>
      </c>
      <c r="K5161" s="5" t="s">
        <v>33731</v>
      </c>
    </row>
    <row r="5162">
      <c r="A5162" s="4">
        <v>45534.35725055556</v>
      </c>
      <c r="B5162" s="5" t="s">
        <v>34</v>
      </c>
      <c r="D5162" s="5" t="s">
        <v>1206</v>
      </c>
      <c r="E5162" s="5" t="s">
        <v>33834</v>
      </c>
      <c r="F5162" s="5" t="s">
        <v>108</v>
      </c>
      <c r="G5162" s="5" t="s">
        <v>33835</v>
      </c>
      <c r="H5162" s="6" t="s">
        <v>33836</v>
      </c>
      <c r="K5162" s="5" t="s">
        <v>33837</v>
      </c>
    </row>
    <row r="5163">
      <c r="A5163" s="4">
        <v>45534.3572527662</v>
      </c>
      <c r="B5163" s="5" t="s">
        <v>34</v>
      </c>
      <c r="D5163" s="5" t="s">
        <v>1206</v>
      </c>
      <c r="E5163" s="5" t="s">
        <v>33840</v>
      </c>
      <c r="F5163" s="5" t="s">
        <v>212</v>
      </c>
      <c r="G5163" s="5" t="s">
        <v>33841</v>
      </c>
      <c r="H5163" s="6" t="s">
        <v>33842</v>
      </c>
      <c r="K5163" s="5" t="s">
        <v>33837</v>
      </c>
    </row>
    <row r="5164">
      <c r="A5164" s="4">
        <v>45534.35725365741</v>
      </c>
      <c r="B5164" s="5" t="s">
        <v>34</v>
      </c>
      <c r="D5164" s="5" t="s">
        <v>12978</v>
      </c>
      <c r="E5164" s="5" t="s">
        <v>33845</v>
      </c>
      <c r="F5164" s="5" t="s">
        <v>375</v>
      </c>
      <c r="G5164" s="5" t="s">
        <v>33846</v>
      </c>
      <c r="H5164" s="6" t="s">
        <v>33847</v>
      </c>
      <c r="K5164" s="5" t="s">
        <v>33837</v>
      </c>
    </row>
    <row r="5165">
      <c r="A5165" s="4">
        <v>45534.35725747685</v>
      </c>
      <c r="B5165" s="5" t="s">
        <v>34</v>
      </c>
      <c r="D5165" s="5" t="s">
        <v>1206</v>
      </c>
      <c r="E5165" s="5" t="s">
        <v>33850</v>
      </c>
      <c r="F5165" s="5" t="s">
        <v>328</v>
      </c>
      <c r="G5165" s="5" t="s">
        <v>33851</v>
      </c>
      <c r="H5165" s="6" t="s">
        <v>33852</v>
      </c>
      <c r="K5165" s="5" t="s">
        <v>33837</v>
      </c>
    </row>
    <row r="5166">
      <c r="A5166" s="4">
        <v>45534.35726438658</v>
      </c>
      <c r="B5166" s="5" t="s">
        <v>34</v>
      </c>
      <c r="D5166" s="5" t="s">
        <v>12978</v>
      </c>
      <c r="E5166" s="5" t="s">
        <v>33856</v>
      </c>
      <c r="F5166" s="5" t="s">
        <v>212</v>
      </c>
      <c r="G5166" s="5" t="s">
        <v>33857</v>
      </c>
      <c r="H5166" s="6" t="s">
        <v>33858</v>
      </c>
      <c r="K5166" s="5" t="s">
        <v>33837</v>
      </c>
    </row>
    <row r="5167">
      <c r="A5167" s="4">
        <v>45534.35731572917</v>
      </c>
      <c r="B5167" s="5" t="s">
        <v>34</v>
      </c>
      <c r="D5167" s="5" t="s">
        <v>1206</v>
      </c>
      <c r="E5167" s="5" t="s">
        <v>19744</v>
      </c>
      <c r="F5167" s="5" t="s">
        <v>37</v>
      </c>
      <c r="G5167" s="5" t="s">
        <v>33861</v>
      </c>
      <c r="H5167" s="6" t="s">
        <v>33862</v>
      </c>
      <c r="K5167" s="5" t="s">
        <v>33863</v>
      </c>
    </row>
    <row r="5168">
      <c r="A5168" s="4">
        <v>45534.35733003472</v>
      </c>
      <c r="B5168" s="5" t="s">
        <v>34</v>
      </c>
      <c r="D5168" s="5" t="s">
        <v>280</v>
      </c>
      <c r="E5168" s="5" t="s">
        <v>33866</v>
      </c>
      <c r="F5168" s="5" t="s">
        <v>37</v>
      </c>
      <c r="G5168" s="5" t="s">
        <v>33867</v>
      </c>
      <c r="H5168" s="6" t="s">
        <v>33868</v>
      </c>
      <c r="K5168" s="5" t="s">
        <v>33863</v>
      </c>
    </row>
    <row r="5169">
      <c r="A5169" s="4">
        <v>45534.35733521991</v>
      </c>
      <c r="B5169" s="5" t="s">
        <v>34</v>
      </c>
      <c r="D5169" s="5" t="s">
        <v>4775</v>
      </c>
      <c r="E5169" s="5" t="s">
        <v>33871</v>
      </c>
      <c r="F5169" s="5" t="s">
        <v>108</v>
      </c>
      <c r="G5169" s="5" t="s">
        <v>33872</v>
      </c>
      <c r="H5169" s="6" t="s">
        <v>33873</v>
      </c>
      <c r="K5169" s="5" t="s">
        <v>33863</v>
      </c>
    </row>
    <row r="5170">
      <c r="A5170" s="4">
        <v>45534.35734552083</v>
      </c>
      <c r="B5170" s="5" t="s">
        <v>34</v>
      </c>
      <c r="D5170" s="5" t="s">
        <v>1558</v>
      </c>
      <c r="E5170" s="5" t="s">
        <v>33877</v>
      </c>
      <c r="F5170" s="5" t="s">
        <v>212</v>
      </c>
      <c r="G5170" s="5" t="s">
        <v>33878</v>
      </c>
      <c r="H5170" s="6" t="s">
        <v>33879</v>
      </c>
      <c r="K5170" s="5" t="s">
        <v>33863</v>
      </c>
    </row>
    <row r="5171">
      <c r="A5171" s="4">
        <v>45534.35736679398</v>
      </c>
      <c r="B5171" s="5" t="s">
        <v>34</v>
      </c>
      <c r="D5171" s="5" t="s">
        <v>3849</v>
      </c>
      <c r="E5171" s="5" t="s">
        <v>33882</v>
      </c>
      <c r="F5171" s="5" t="s">
        <v>37</v>
      </c>
      <c r="G5171" s="5" t="s">
        <v>33883</v>
      </c>
      <c r="H5171" s="6" t="s">
        <v>33884</v>
      </c>
      <c r="K5171" s="5" t="s">
        <v>33863</v>
      </c>
    </row>
    <row r="5172">
      <c r="A5172" s="4">
        <v>45534.3573775</v>
      </c>
      <c r="B5172" s="5" t="s">
        <v>34</v>
      </c>
      <c r="D5172" s="5" t="s">
        <v>1456</v>
      </c>
      <c r="E5172" s="5" t="s">
        <v>33887</v>
      </c>
      <c r="F5172" s="5" t="s">
        <v>524</v>
      </c>
      <c r="G5172" s="5" t="s">
        <v>33888</v>
      </c>
      <c r="H5172" s="6" t="s">
        <v>33889</v>
      </c>
      <c r="K5172" s="5" t="s">
        <v>33890</v>
      </c>
    </row>
    <row r="5173">
      <c r="A5173" s="4">
        <v>45534.3573831713</v>
      </c>
      <c r="B5173" s="5" t="s">
        <v>34</v>
      </c>
      <c r="D5173" s="5" t="s">
        <v>522</v>
      </c>
      <c r="E5173" s="5" t="s">
        <v>33893</v>
      </c>
      <c r="F5173" s="5" t="s">
        <v>108</v>
      </c>
      <c r="G5173" s="5" t="s">
        <v>33894</v>
      </c>
      <c r="H5173" s="6" t="s">
        <v>33895</v>
      </c>
      <c r="K5173" s="5" t="s">
        <v>33890</v>
      </c>
    </row>
    <row r="5174">
      <c r="A5174" s="4">
        <v>45534.35738548611</v>
      </c>
      <c r="B5174" s="5" t="s">
        <v>34</v>
      </c>
      <c r="D5174" s="5" t="s">
        <v>4775</v>
      </c>
      <c r="E5174" s="5" t="s">
        <v>33899</v>
      </c>
      <c r="F5174" s="5" t="s">
        <v>199</v>
      </c>
      <c r="G5174" s="5" t="s">
        <v>33900</v>
      </c>
      <c r="H5174" s="6" t="s">
        <v>33901</v>
      </c>
      <c r="K5174" s="5" t="s">
        <v>33890</v>
      </c>
    </row>
    <row r="5175">
      <c r="A5175" s="4">
        <v>45534.35738755787</v>
      </c>
      <c r="B5175" s="5" t="s">
        <v>34</v>
      </c>
      <c r="D5175" s="5" t="s">
        <v>4775</v>
      </c>
      <c r="E5175" s="5" t="s">
        <v>31560</v>
      </c>
      <c r="F5175" s="5" t="s">
        <v>37</v>
      </c>
      <c r="G5175" s="5" t="s">
        <v>33904</v>
      </c>
      <c r="H5175" s="6" t="s">
        <v>33905</v>
      </c>
      <c r="K5175" s="5" t="s">
        <v>33890</v>
      </c>
    </row>
    <row r="5176">
      <c r="A5176" s="4">
        <v>45534.3573947338</v>
      </c>
      <c r="B5176" s="5" t="s">
        <v>34</v>
      </c>
      <c r="D5176" s="5" t="s">
        <v>9020</v>
      </c>
      <c r="E5176" s="5" t="s">
        <v>33908</v>
      </c>
      <c r="F5176" s="5" t="s">
        <v>212</v>
      </c>
      <c r="G5176" s="5" t="s">
        <v>33909</v>
      </c>
      <c r="H5176" s="6" t="s">
        <v>33910</v>
      </c>
      <c r="K5176" s="5" t="s">
        <v>33890</v>
      </c>
    </row>
    <row r="5177">
      <c r="A5177" s="4">
        <v>45534.35740400463</v>
      </c>
      <c r="B5177" s="5" t="s">
        <v>34</v>
      </c>
      <c r="D5177" s="5" t="s">
        <v>14313</v>
      </c>
      <c r="E5177" s="5" t="s">
        <v>33913</v>
      </c>
      <c r="F5177" s="5" t="s">
        <v>375</v>
      </c>
      <c r="G5177" s="5" t="s">
        <v>33914</v>
      </c>
      <c r="H5177" s="6" t="s">
        <v>33915</v>
      </c>
      <c r="I5177" s="7" t="s">
        <v>33916</v>
      </c>
      <c r="J5177" s="8" t="str">
        <f>HYPERLINK("https://drive.google.com/file/d/156els75AH7g6nEO131iWHjhBHeblil6M/view?usp=drivesdk","IDAMUFIDAH SERTIFIKAT BerAKHLAK")</f>
        <v>IDAMUFIDAH SERTIFIKAT BerAKHLAK</v>
      </c>
      <c r="K5177" s="5" t="s">
        <v>33337</v>
      </c>
      <c r="L5177" s="5" t="s">
        <v>33917</v>
      </c>
    </row>
    <row r="5178">
      <c r="A5178" s="4">
        <v>45534.35740787037</v>
      </c>
      <c r="B5178" s="5" t="s">
        <v>34</v>
      </c>
      <c r="D5178" s="5" t="s">
        <v>4775</v>
      </c>
      <c r="E5178" s="5" t="s">
        <v>33920</v>
      </c>
      <c r="F5178" s="5" t="s">
        <v>524</v>
      </c>
      <c r="G5178" s="5" t="s">
        <v>33921</v>
      </c>
      <c r="H5178" s="6" t="s">
        <v>33922</v>
      </c>
      <c r="I5178" s="7" t="s">
        <v>33923</v>
      </c>
      <c r="J5178" s="8" t="str">
        <f>HYPERLINK("https://drive.google.com/file/d/1pLXqK_k1-IuUp2yDIhQA5zDXFnkVw8sQ/view?usp=drivesdk","WARTINI, A.Md.Keb SERTIFIKAT BerAKHLAK")</f>
        <v>WARTINI, A.Md.Keb SERTIFIKAT BerAKHLAK</v>
      </c>
      <c r="K5178" s="5" t="s">
        <v>33375</v>
      </c>
      <c r="L5178" s="5" t="s">
        <v>33924</v>
      </c>
    </row>
    <row r="5179">
      <c r="A5179" s="4">
        <v>45534.35741013889</v>
      </c>
      <c r="B5179" s="5" t="s">
        <v>34</v>
      </c>
      <c r="D5179" s="5" t="s">
        <v>1206</v>
      </c>
      <c r="E5179" s="5" t="s">
        <v>33927</v>
      </c>
      <c r="F5179" s="5" t="s">
        <v>212</v>
      </c>
      <c r="G5179" s="5" t="s">
        <v>33928</v>
      </c>
      <c r="H5179" s="6" t="s">
        <v>33929</v>
      </c>
      <c r="I5179" s="7" t="s">
        <v>33930</v>
      </c>
      <c r="J5179" s="8" t="str">
        <f>HYPERLINK("https://drive.google.com/file/d/1FNB6umijkjLyrCC5bCLIM89k2InfInZm/view?usp=drivesdk","LILIS SUNARMI SERTIFIKAT BerAKHLAK")</f>
        <v>LILIS SUNARMI SERTIFIKAT BerAKHLAK</v>
      </c>
      <c r="K5179" s="5" t="s">
        <v>33375</v>
      </c>
      <c r="L5179" s="5" t="s">
        <v>33931</v>
      </c>
    </row>
    <row r="5180">
      <c r="A5180" s="4">
        <v>45534.357412349535</v>
      </c>
      <c r="B5180" s="5" t="s">
        <v>34</v>
      </c>
      <c r="D5180" s="5" t="s">
        <v>6232</v>
      </c>
      <c r="E5180" s="5" t="s">
        <v>33935</v>
      </c>
      <c r="F5180" s="5" t="s">
        <v>524</v>
      </c>
      <c r="G5180" s="5" t="s">
        <v>33936</v>
      </c>
      <c r="H5180" s="6" t="s">
        <v>33937</v>
      </c>
      <c r="I5180" s="7" t="s">
        <v>33938</v>
      </c>
      <c r="J5180" s="8" t="str">
        <f>HYPERLINK("https://drive.google.com/file/d/1AgAscyyN8v83nw4E3TX2nckiGW2jqbFF/view?usp=drivesdk","ASMINA SERTIFIKAT BerAKHLAK")</f>
        <v>ASMINA SERTIFIKAT BerAKHLAK</v>
      </c>
      <c r="K5180" s="5" t="s">
        <v>33375</v>
      </c>
      <c r="L5180" s="5" t="s">
        <v>33939</v>
      </c>
    </row>
    <row r="5181">
      <c r="A5181" s="4">
        <v>45534.35741627315</v>
      </c>
      <c r="B5181" s="5" t="s">
        <v>34</v>
      </c>
      <c r="D5181" s="5" t="s">
        <v>1206</v>
      </c>
      <c r="E5181" s="5" t="s">
        <v>33942</v>
      </c>
      <c r="F5181" s="5" t="s">
        <v>212</v>
      </c>
      <c r="G5181" s="5" t="s">
        <v>33943</v>
      </c>
      <c r="H5181" s="6" t="s">
        <v>33944</v>
      </c>
      <c r="K5181" s="5" t="s">
        <v>33945</v>
      </c>
    </row>
    <row r="5182">
      <c r="A5182" s="4">
        <v>45534.35744775463</v>
      </c>
      <c r="B5182" s="5" t="s">
        <v>34</v>
      </c>
      <c r="D5182" s="5" t="s">
        <v>35</v>
      </c>
      <c r="E5182" s="5" t="s">
        <v>33948</v>
      </c>
      <c r="F5182" s="5" t="s">
        <v>108</v>
      </c>
      <c r="G5182" s="5" t="s">
        <v>33949</v>
      </c>
      <c r="H5182" s="6" t="s">
        <v>33950</v>
      </c>
      <c r="I5182" s="7" t="s">
        <v>33951</v>
      </c>
      <c r="J5182" s="8" t="str">
        <f>HYPERLINK("https://drive.google.com/file/d/1ta0j97f6uhRLKEyVYAWrBFLRo5aqUdeu/view?usp=drivesdk","JEJEN HIDAYAT SERTIFIKAT BerAKHLAK")</f>
        <v>JEJEN HIDAYAT SERTIFIKAT BerAKHLAK</v>
      </c>
      <c r="K5182" s="5" t="s">
        <v>33337</v>
      </c>
      <c r="L5182" s="5" t="s">
        <v>33952</v>
      </c>
    </row>
    <row r="5183">
      <c r="A5183" s="4">
        <v>45534.35745099537</v>
      </c>
      <c r="B5183" s="5" t="s">
        <v>34</v>
      </c>
      <c r="D5183" s="5" t="s">
        <v>3849</v>
      </c>
      <c r="E5183" s="5" t="s">
        <v>29592</v>
      </c>
      <c r="F5183" s="5" t="s">
        <v>37</v>
      </c>
      <c r="G5183" s="5" t="s">
        <v>33955</v>
      </c>
      <c r="H5183" s="6" t="s">
        <v>33956</v>
      </c>
      <c r="I5183" s="7" t="s">
        <v>33957</v>
      </c>
      <c r="J5183" s="8" t="str">
        <f>HYPERLINK("https://drive.google.com/file/d/1E3pcb71x0qPNpNAOyhvJ5lFrhWWoz2NC/view?usp=drivesdk","YULIATI SERTIFIKAT BerAKHLAK")</f>
        <v>YULIATI SERTIFIKAT BerAKHLAK</v>
      </c>
      <c r="K5183" s="5" t="s">
        <v>33375</v>
      </c>
      <c r="L5183" s="5" t="s">
        <v>33958</v>
      </c>
    </row>
    <row r="5184">
      <c r="A5184" s="4">
        <v>45534.3574530787</v>
      </c>
      <c r="B5184" s="5" t="s">
        <v>34</v>
      </c>
      <c r="D5184" s="5" t="s">
        <v>7858</v>
      </c>
      <c r="E5184" s="5" t="s">
        <v>33961</v>
      </c>
      <c r="F5184" s="5" t="s">
        <v>375</v>
      </c>
      <c r="G5184" s="5" t="s">
        <v>33962</v>
      </c>
      <c r="H5184" s="6" t="s">
        <v>33963</v>
      </c>
      <c r="I5184" s="7" t="s">
        <v>33964</v>
      </c>
      <c r="J5184" s="8" t="str">
        <f>HYPERLINK("https://drive.google.com/file/d/1swO8GJfdcsdIDumXqOKN8ofRNEuKuSQp/view?usp=drivesdk","dr. Hezar Salahudin SpB  SERTIFIKAT BerAKHLAK")</f>
        <v>dr. Hezar Salahudin SpB  SERTIFIKAT BerAKHLAK</v>
      </c>
      <c r="K5184" s="5" t="s">
        <v>33375</v>
      </c>
      <c r="L5184" s="5" t="s">
        <v>33965</v>
      </c>
    </row>
    <row r="5185">
      <c r="A5185" s="4">
        <v>45534.35746262732</v>
      </c>
      <c r="B5185" s="5" t="s">
        <v>34</v>
      </c>
      <c r="D5185" s="5" t="s">
        <v>1206</v>
      </c>
      <c r="E5185" s="5" t="s">
        <v>33969</v>
      </c>
      <c r="F5185" s="5" t="s">
        <v>524</v>
      </c>
      <c r="G5185" s="5" t="s">
        <v>33970</v>
      </c>
      <c r="H5185" s="6" t="s">
        <v>33971</v>
      </c>
      <c r="I5185" s="7" t="s">
        <v>33972</v>
      </c>
      <c r="J5185" s="8" t="str">
        <f>HYPERLINK("https://drive.google.com/file/d/15LT-BPDXZQ3crxNGd0OUCzMD0wr-ESVE/view?usp=drivesdk","LYLIANA, S. Kep., Ns SERTIFIKAT BerAKHLAK")</f>
        <v>LYLIANA, S. Kep., Ns SERTIFIKAT BerAKHLAK</v>
      </c>
      <c r="K5185" s="5" t="s">
        <v>33375</v>
      </c>
      <c r="L5185" s="5" t="s">
        <v>33973</v>
      </c>
    </row>
    <row r="5186">
      <c r="A5186" s="4">
        <v>45534.35746547453</v>
      </c>
      <c r="B5186" s="5" t="s">
        <v>34</v>
      </c>
      <c r="D5186" s="5" t="s">
        <v>1206</v>
      </c>
      <c r="E5186" s="5" t="s">
        <v>33976</v>
      </c>
      <c r="F5186" s="5" t="s">
        <v>6776</v>
      </c>
      <c r="G5186" s="5" t="s">
        <v>33977</v>
      </c>
      <c r="H5186" s="6" t="s">
        <v>33978</v>
      </c>
      <c r="K5186" s="5" t="s">
        <v>33979</v>
      </c>
    </row>
    <row r="5187">
      <c r="A5187" s="4">
        <v>45534.357476481484</v>
      </c>
      <c r="B5187" s="5" t="s">
        <v>34</v>
      </c>
      <c r="D5187" s="5" t="s">
        <v>267</v>
      </c>
      <c r="E5187" s="5" t="s">
        <v>33982</v>
      </c>
      <c r="F5187" s="5" t="s">
        <v>524</v>
      </c>
      <c r="G5187" s="5" t="s">
        <v>33983</v>
      </c>
      <c r="H5187" s="6" t="s">
        <v>33984</v>
      </c>
      <c r="K5187" s="5" t="s">
        <v>33979</v>
      </c>
    </row>
    <row r="5188">
      <c r="A5188" s="4">
        <v>45534.357477847225</v>
      </c>
      <c r="B5188" s="5" t="s">
        <v>34</v>
      </c>
      <c r="D5188" s="5" t="s">
        <v>9020</v>
      </c>
      <c r="E5188" s="5" t="s">
        <v>33988</v>
      </c>
      <c r="F5188" s="5" t="s">
        <v>37</v>
      </c>
      <c r="G5188" s="5" t="s">
        <v>33989</v>
      </c>
      <c r="H5188" s="6" t="s">
        <v>33990</v>
      </c>
      <c r="K5188" s="5" t="s">
        <v>33979</v>
      </c>
    </row>
    <row r="5189">
      <c r="A5189" s="4">
        <v>45534.35749538195</v>
      </c>
      <c r="B5189" s="5" t="s">
        <v>34</v>
      </c>
      <c r="D5189" s="5" t="s">
        <v>14313</v>
      </c>
      <c r="E5189" s="5" t="s">
        <v>33993</v>
      </c>
      <c r="F5189" s="5" t="s">
        <v>212</v>
      </c>
      <c r="G5189" s="5" t="s">
        <v>33994</v>
      </c>
      <c r="H5189" s="6" t="s">
        <v>33995</v>
      </c>
      <c r="I5189" s="7" t="s">
        <v>33996</v>
      </c>
      <c r="J5189" s="8" t="str">
        <f>HYPERLINK("https://drive.google.com/file/d/1V06-KgNKdsfaxKEmP2n-1bwn3WfK7y-n/view?usp=drivesdk","RUSNAH SERTIFIKAT BerAKHLAK")</f>
        <v>RUSNAH SERTIFIKAT BerAKHLAK</v>
      </c>
      <c r="K5189" s="5" t="s">
        <v>33375</v>
      </c>
      <c r="L5189" s="5" t="s">
        <v>33997</v>
      </c>
    </row>
    <row r="5190">
      <c r="A5190" s="4">
        <v>45534.35751144676</v>
      </c>
      <c r="B5190" s="5" t="s">
        <v>19</v>
      </c>
      <c r="C5190" s="5" t="s">
        <v>11593</v>
      </c>
      <c r="E5190" s="5" t="s">
        <v>34000</v>
      </c>
      <c r="F5190" s="5" t="s">
        <v>72</v>
      </c>
      <c r="G5190" s="5" t="s">
        <v>34001</v>
      </c>
      <c r="H5190" s="6" t="s">
        <v>34002</v>
      </c>
      <c r="I5190" s="7" t="s">
        <v>34003</v>
      </c>
      <c r="J5190" s="8" t="str">
        <f>HYPERLINK("https://drive.google.com/file/d/1BWjebya14M66KfMFQhQQ-iuAPT9C1xj5/view?usp=drivesdk","SULISTYOWATI,AMAK,S.P.si SERTIFIKAT BerAKHLAK")</f>
        <v>SULISTYOWATI,AMAK,S.P.si SERTIFIKAT BerAKHLAK</v>
      </c>
      <c r="K5190" s="5" t="s">
        <v>33375</v>
      </c>
      <c r="L5190" s="5" t="s">
        <v>34004</v>
      </c>
    </row>
    <row r="5191">
      <c r="A5191" s="4">
        <v>45534.35751944444</v>
      </c>
      <c r="B5191" s="5" t="s">
        <v>34</v>
      </c>
      <c r="D5191" s="5" t="s">
        <v>12978</v>
      </c>
      <c r="E5191" s="5" t="s">
        <v>34007</v>
      </c>
      <c r="F5191" s="5" t="s">
        <v>715</v>
      </c>
      <c r="G5191" s="5" t="s">
        <v>34008</v>
      </c>
      <c r="H5191" s="6" t="s">
        <v>34009</v>
      </c>
      <c r="I5191" s="7" t="s">
        <v>34010</v>
      </c>
      <c r="J5191" s="8" t="str">
        <f>HYPERLINK("https://drive.google.com/file/d/1vYwEC6VqQIYuHB3FznclGTvzeJRqPGwv/view?usp=drivesdk","ANDI SUMIYATI  SERTIFIKAT BerAKHLAK")</f>
        <v>ANDI SUMIYATI  SERTIFIKAT BerAKHLAK</v>
      </c>
      <c r="K5191" s="5" t="s">
        <v>33375</v>
      </c>
      <c r="L5191" s="5" t="s">
        <v>34011</v>
      </c>
    </row>
    <row r="5192">
      <c r="A5192" s="4">
        <v>45534.35752474537</v>
      </c>
      <c r="B5192" s="5" t="s">
        <v>34</v>
      </c>
      <c r="D5192" s="5" t="s">
        <v>1768</v>
      </c>
      <c r="E5192" s="5" t="s">
        <v>34014</v>
      </c>
      <c r="F5192" s="5" t="s">
        <v>524</v>
      </c>
      <c r="G5192" s="5" t="s">
        <v>34015</v>
      </c>
      <c r="H5192" s="6" t="s">
        <v>34016</v>
      </c>
      <c r="I5192" s="7" t="s">
        <v>34017</v>
      </c>
      <c r="J5192" s="8" t="str">
        <f>HYPERLINK("https://drive.google.com/file/d/1HVcVKgkcHZhG1yIkNfY4TErX4e8PlGBl/view?usp=drivesdk","RINI APRIYANTI,A.MD.KEP SERTIFIKAT BerAKHLAK")</f>
        <v>RINI APRIYANTI,A.MD.KEP SERTIFIKAT BerAKHLAK</v>
      </c>
      <c r="K5192" s="5" t="s">
        <v>33375</v>
      </c>
      <c r="L5192" s="5" t="s">
        <v>34018</v>
      </c>
    </row>
    <row r="5193">
      <c r="A5193" s="4">
        <v>45534.35752899306</v>
      </c>
      <c r="B5193" s="5" t="s">
        <v>34</v>
      </c>
      <c r="D5193" s="5" t="s">
        <v>35</v>
      </c>
      <c r="E5193" s="5" t="s">
        <v>34021</v>
      </c>
      <c r="F5193" s="5" t="s">
        <v>37</v>
      </c>
      <c r="G5193" s="5" t="s">
        <v>34022</v>
      </c>
      <c r="H5193" s="6" t="s">
        <v>34023</v>
      </c>
      <c r="I5193" s="7" t="s">
        <v>34024</v>
      </c>
      <c r="J5193" s="8" t="str">
        <f>HYPERLINK("https://drive.google.com/file/d/11nKmUuIS6oqHQ0lR3GGvKjhEpVlr6jOk/view?usp=drivesdk","BAMBANG HERYANTO SERTIFIKAT BerAKHLAK")</f>
        <v>BAMBANG HERYANTO SERTIFIKAT BerAKHLAK</v>
      </c>
      <c r="K5193" s="5" t="s">
        <v>33375</v>
      </c>
      <c r="L5193" s="5" t="s">
        <v>34025</v>
      </c>
    </row>
    <row r="5194">
      <c r="A5194" s="4">
        <v>45534.35753886574</v>
      </c>
      <c r="B5194" s="5" t="s">
        <v>34</v>
      </c>
      <c r="D5194" s="5" t="s">
        <v>35</v>
      </c>
      <c r="E5194" s="5" t="s">
        <v>34029</v>
      </c>
      <c r="F5194" s="5" t="s">
        <v>37</v>
      </c>
      <c r="G5194" s="5" t="s">
        <v>34030</v>
      </c>
      <c r="H5194" s="6" t="s">
        <v>34031</v>
      </c>
      <c r="I5194" s="7" t="s">
        <v>34032</v>
      </c>
      <c r="J5194" s="8" t="str">
        <f>HYPERLINK("https://drive.google.com/file/d/1sSGrMUvYJZpBaAgfDIlvLPDTQJnuRO-5/view?usp=drivesdk","ARIS RISTIAWAN SERTIFIKAT BerAKHLAK")</f>
        <v>ARIS RISTIAWAN SERTIFIKAT BerAKHLAK</v>
      </c>
      <c r="K5194" s="5" t="s">
        <v>33375</v>
      </c>
      <c r="L5194" s="5" t="s">
        <v>34033</v>
      </c>
    </row>
    <row r="5195">
      <c r="A5195" s="4">
        <v>45534.35754028935</v>
      </c>
      <c r="B5195" s="5" t="s">
        <v>34</v>
      </c>
      <c r="D5195" s="5" t="s">
        <v>2903</v>
      </c>
      <c r="E5195" s="5" t="s">
        <v>34036</v>
      </c>
      <c r="F5195" s="5" t="s">
        <v>120</v>
      </c>
      <c r="G5195" s="5" t="s">
        <v>34037</v>
      </c>
      <c r="H5195" s="6" t="s">
        <v>34038</v>
      </c>
      <c r="I5195" s="7" t="s">
        <v>34039</v>
      </c>
      <c r="J5195" s="8" t="str">
        <f>HYPERLINK("https://drive.google.com/file/d/1ozQVK7JgTivofSy3H7aq1IsWnzUcFloj/view?usp=drivesdk","REFNINI SERTIFIKAT BerAKHLAK")</f>
        <v>REFNINI SERTIFIKAT BerAKHLAK</v>
      </c>
      <c r="K5195" s="5" t="s">
        <v>33375</v>
      </c>
      <c r="L5195" s="5" t="s">
        <v>34040</v>
      </c>
    </row>
    <row r="5196">
      <c r="A5196" s="4">
        <v>45534.35756049769</v>
      </c>
      <c r="B5196" s="5" t="s">
        <v>34</v>
      </c>
      <c r="D5196" s="5" t="s">
        <v>9394</v>
      </c>
      <c r="E5196" s="5" t="s">
        <v>34043</v>
      </c>
      <c r="F5196" s="5" t="s">
        <v>37</v>
      </c>
      <c r="G5196" s="5" t="s">
        <v>34044</v>
      </c>
      <c r="H5196" s="6" t="s">
        <v>34045</v>
      </c>
      <c r="I5196" s="7" t="s">
        <v>34046</v>
      </c>
      <c r="J5196" s="8" t="str">
        <f>HYPERLINK("https://drive.google.com/file/d/1cVvjFjzp1HSKXHWJ1miOta82qsq_vIzZ/view?usp=drivesdk","ERNAWATI, S.E. SERTIFIKAT BerAKHLAK")</f>
        <v>ERNAWATI, S.E. SERTIFIKAT BerAKHLAK</v>
      </c>
      <c r="K5196" s="5" t="s">
        <v>33375</v>
      </c>
      <c r="L5196" s="5" t="s">
        <v>34047</v>
      </c>
    </row>
    <row r="5197">
      <c r="A5197" s="4">
        <v>45534.357571597226</v>
      </c>
      <c r="B5197" s="5" t="s">
        <v>34</v>
      </c>
      <c r="D5197" s="5" t="s">
        <v>12978</v>
      </c>
      <c r="E5197" s="5" t="s">
        <v>34050</v>
      </c>
      <c r="F5197" s="5" t="s">
        <v>715</v>
      </c>
      <c r="G5197" s="5" t="s">
        <v>34051</v>
      </c>
      <c r="H5197" s="6" t="s">
        <v>34052</v>
      </c>
      <c r="I5197" s="7" t="s">
        <v>34053</v>
      </c>
      <c r="J5197" s="8" t="str">
        <f>HYPERLINK("https://drive.google.com/file/d/1_N_PNFqShs9Oojxs32uOaC4uUq1eozdK/view?usp=drivesdk","MARLINA, S.E SERTIFIKAT BerAKHLAK")</f>
        <v>MARLINA, S.E SERTIFIKAT BerAKHLAK</v>
      </c>
      <c r="K5197" s="5" t="s">
        <v>33375</v>
      </c>
      <c r="L5197" s="5" t="s">
        <v>34054</v>
      </c>
    </row>
    <row r="5198">
      <c r="A5198" s="4">
        <v>45534.35758759259</v>
      </c>
      <c r="B5198" s="5" t="s">
        <v>34</v>
      </c>
      <c r="D5198" s="5" t="s">
        <v>701</v>
      </c>
      <c r="E5198" s="5" t="s">
        <v>34057</v>
      </c>
      <c r="F5198" s="5" t="s">
        <v>212</v>
      </c>
      <c r="G5198" s="5" t="s">
        <v>34058</v>
      </c>
      <c r="H5198" s="6" t="s">
        <v>34059</v>
      </c>
      <c r="K5198" s="5" t="s">
        <v>34060</v>
      </c>
    </row>
    <row r="5199">
      <c r="A5199" s="4">
        <v>45534.35760800926</v>
      </c>
      <c r="B5199" s="5" t="s">
        <v>34</v>
      </c>
      <c r="D5199" s="5" t="s">
        <v>1206</v>
      </c>
      <c r="E5199" s="5" t="s">
        <v>34064</v>
      </c>
      <c r="F5199" s="5" t="s">
        <v>524</v>
      </c>
      <c r="G5199" s="5" t="s">
        <v>34065</v>
      </c>
      <c r="H5199" s="6" t="s">
        <v>34066</v>
      </c>
      <c r="I5199" s="7" t="s">
        <v>34067</v>
      </c>
      <c r="J5199" s="8" t="str">
        <f>HYPERLINK("https://drive.google.com/file/d/1JaomYl1s6Wce3xr3BEGrz8ExUeOT0z6X/view?usp=drivesdk","NUR MUJI ASTUTIK, S.Kep.Ns SERTIFIKAT BerAKHLAK")</f>
        <v>NUR MUJI ASTUTIK, S.Kep.Ns SERTIFIKAT BerAKHLAK</v>
      </c>
      <c r="K5199" s="5" t="s">
        <v>33375</v>
      </c>
      <c r="L5199" s="5" t="s">
        <v>34068</v>
      </c>
    </row>
    <row r="5200">
      <c r="A5200" s="4">
        <v>45534.35760829861</v>
      </c>
      <c r="B5200" s="5" t="s">
        <v>34</v>
      </c>
      <c r="D5200" s="5" t="s">
        <v>1206</v>
      </c>
      <c r="E5200" s="5" t="s">
        <v>34071</v>
      </c>
      <c r="F5200" s="5" t="s">
        <v>108</v>
      </c>
      <c r="G5200" s="5" t="s">
        <v>34072</v>
      </c>
      <c r="H5200" s="6" t="s">
        <v>34073</v>
      </c>
      <c r="I5200" s="7" t="s">
        <v>34074</v>
      </c>
      <c r="J5200" s="8" t="str">
        <f>HYPERLINK("https://drive.google.com/file/d/1kainxWx2MswsDOkfSJZrzHB30PzfMrJl/view?usp=drivesdk","SUPRIYATIN.S.Sos SERTIFIKAT BerAKHLAK")</f>
        <v>SUPRIYATIN.S.Sos SERTIFIKAT BerAKHLAK</v>
      </c>
      <c r="K5200" s="5" t="s">
        <v>33375</v>
      </c>
      <c r="L5200" s="5" t="s">
        <v>34075</v>
      </c>
    </row>
    <row r="5201">
      <c r="A5201" s="4">
        <v>45534.35762599537</v>
      </c>
      <c r="B5201" s="5" t="s">
        <v>19</v>
      </c>
      <c r="C5201" s="5" t="s">
        <v>442</v>
      </c>
      <c r="E5201" s="5" t="s">
        <v>34078</v>
      </c>
      <c r="F5201" s="5" t="s">
        <v>108</v>
      </c>
      <c r="G5201" s="5" t="s">
        <v>34079</v>
      </c>
      <c r="H5201" s="6" t="s">
        <v>34080</v>
      </c>
      <c r="I5201" s="7" t="s">
        <v>34081</v>
      </c>
      <c r="J5201" s="8" t="str">
        <f>HYPERLINK("https://drive.google.com/file/d/1HJb8t2gPTM94JJYPISWsIgYBRsoYHhse/view?usp=drivesdk","ANDRIAS LOMO, S.H. SERTIFIKAT BerAKHLAK")</f>
        <v>ANDRIAS LOMO, S.H. SERTIFIKAT BerAKHLAK</v>
      </c>
      <c r="K5201" s="5" t="s">
        <v>33375</v>
      </c>
      <c r="L5201" s="5" t="s">
        <v>34082</v>
      </c>
    </row>
    <row r="5202">
      <c r="A5202" s="4">
        <v>45534.357628425925</v>
      </c>
      <c r="B5202" s="5" t="s">
        <v>34</v>
      </c>
      <c r="D5202" s="5" t="s">
        <v>4775</v>
      </c>
      <c r="E5202" s="5" t="s">
        <v>34085</v>
      </c>
      <c r="F5202" s="5" t="s">
        <v>212</v>
      </c>
      <c r="G5202" s="5" t="s">
        <v>34086</v>
      </c>
      <c r="H5202" s="6" t="s">
        <v>34087</v>
      </c>
      <c r="K5202" s="5" t="s">
        <v>34088</v>
      </c>
    </row>
    <row r="5203">
      <c r="A5203" s="4">
        <v>45534.35762969907</v>
      </c>
      <c r="B5203" s="5" t="s">
        <v>34</v>
      </c>
      <c r="D5203" s="5" t="s">
        <v>267</v>
      </c>
      <c r="E5203" s="5" t="s">
        <v>34091</v>
      </c>
      <c r="F5203" s="5" t="s">
        <v>524</v>
      </c>
      <c r="G5203" s="5" t="s">
        <v>34092</v>
      </c>
      <c r="H5203" s="6" t="s">
        <v>34093</v>
      </c>
      <c r="K5203" s="5" t="s">
        <v>34088</v>
      </c>
    </row>
    <row r="5204">
      <c r="A5204" s="4">
        <v>45534.35763453704</v>
      </c>
      <c r="B5204" s="5" t="s">
        <v>34</v>
      </c>
      <c r="D5204" s="5" t="s">
        <v>14313</v>
      </c>
      <c r="E5204" s="5" t="s">
        <v>34096</v>
      </c>
      <c r="F5204" s="5" t="s">
        <v>375</v>
      </c>
      <c r="G5204" s="5" t="s">
        <v>34097</v>
      </c>
      <c r="H5204" s="6" t="s">
        <v>34098</v>
      </c>
      <c r="K5204" s="5" t="s">
        <v>34088</v>
      </c>
    </row>
    <row r="5205">
      <c r="A5205" s="4">
        <v>45534.357653900464</v>
      </c>
      <c r="B5205" s="5" t="s">
        <v>34</v>
      </c>
      <c r="D5205" s="5" t="s">
        <v>12978</v>
      </c>
      <c r="E5205" s="5" t="s">
        <v>34102</v>
      </c>
      <c r="F5205" s="5" t="s">
        <v>212</v>
      </c>
      <c r="G5205" s="5" t="s">
        <v>34103</v>
      </c>
      <c r="H5205" s="6" t="s">
        <v>34104</v>
      </c>
      <c r="I5205" s="7" t="s">
        <v>34105</v>
      </c>
      <c r="J5205" s="8" t="str">
        <f>HYPERLINK("https://drive.google.com/file/d/1b-pZuG228daoFLmtMpSkVgZ89mRD0U8E/view?usp=drivesdk","YUNIARSIH SERTIFIKAT BerAKHLAK")</f>
        <v>YUNIARSIH SERTIFIKAT BerAKHLAK</v>
      </c>
      <c r="K5205" s="5" t="s">
        <v>33375</v>
      </c>
      <c r="L5205" s="5" t="s">
        <v>34106</v>
      </c>
    </row>
    <row r="5206">
      <c r="A5206" s="4">
        <v>45534.35766605324</v>
      </c>
      <c r="B5206" s="5" t="s">
        <v>34</v>
      </c>
      <c r="D5206" s="5" t="s">
        <v>14313</v>
      </c>
      <c r="E5206" s="5" t="s">
        <v>34109</v>
      </c>
      <c r="F5206" s="5" t="s">
        <v>375</v>
      </c>
      <c r="G5206" s="5" t="s">
        <v>34110</v>
      </c>
      <c r="H5206" s="6" t="s">
        <v>34111</v>
      </c>
      <c r="I5206" s="7" t="s">
        <v>34112</v>
      </c>
      <c r="J5206" s="8" t="str">
        <f>HYPERLINK("https://drive.google.com/file/d/180WIwad4qSDoksQiR3oQAVkxIQzrHVTW/view?usp=drivesdk","SRI MIARSIH SERTIFIKAT BerAKHLAK")</f>
        <v>SRI MIARSIH SERTIFIKAT BerAKHLAK</v>
      </c>
      <c r="K5206" s="5" t="s">
        <v>33375</v>
      </c>
      <c r="L5206" s="5" t="s">
        <v>34113</v>
      </c>
    </row>
    <row r="5207">
      <c r="A5207" s="4">
        <v>45534.35767084491</v>
      </c>
      <c r="B5207" s="5" t="s">
        <v>19</v>
      </c>
      <c r="C5207" s="5" t="s">
        <v>14000</v>
      </c>
      <c r="E5207" s="5" t="s">
        <v>34116</v>
      </c>
      <c r="F5207" s="5" t="s">
        <v>37</v>
      </c>
      <c r="G5207" s="5" t="s">
        <v>34117</v>
      </c>
      <c r="H5207" s="6" t="s">
        <v>34118</v>
      </c>
      <c r="I5207" s="7" t="s">
        <v>34119</v>
      </c>
      <c r="J5207" s="8" t="str">
        <f>HYPERLINK("https://drive.google.com/file/d/1Klmri6g5FxwUWt2pk3BQN4_tgOencHXP/view?usp=drivesdk","Dimas Setya Permana, A.Md SERTIFIKAT BerAKHLAK")</f>
        <v>Dimas Setya Permana, A.Md SERTIFIKAT BerAKHLAK</v>
      </c>
      <c r="K5207" s="5" t="s">
        <v>33375</v>
      </c>
      <c r="L5207" s="5" t="s">
        <v>34120</v>
      </c>
    </row>
    <row r="5208">
      <c r="A5208" s="4">
        <v>45534.35767082176</v>
      </c>
      <c r="B5208" s="5" t="s">
        <v>34</v>
      </c>
      <c r="D5208" s="5" t="s">
        <v>9020</v>
      </c>
      <c r="E5208" s="5" t="s">
        <v>34123</v>
      </c>
      <c r="F5208" s="5" t="s">
        <v>72</v>
      </c>
      <c r="G5208" s="5" t="s">
        <v>34124</v>
      </c>
      <c r="H5208" s="6" t="s">
        <v>34125</v>
      </c>
      <c r="I5208" s="7" t="s">
        <v>34126</v>
      </c>
      <c r="J5208" s="8" t="str">
        <f>HYPERLINK("https://drive.google.com/file/d/1Nm0b91elHljOLDf37TyN5MOA1dMEjzlP/view?usp=drivesdk","ROBBY IRWANSYAH, S.Pd SERTIFIKAT BerAKHLAK")</f>
        <v>ROBBY IRWANSYAH, S.Pd SERTIFIKAT BerAKHLAK</v>
      </c>
      <c r="K5208" s="5" t="s">
        <v>33375</v>
      </c>
      <c r="L5208" s="5" t="s">
        <v>34127</v>
      </c>
    </row>
    <row r="5209">
      <c r="A5209" s="4">
        <v>45534.357671550926</v>
      </c>
      <c r="B5209" s="5" t="s">
        <v>34</v>
      </c>
      <c r="D5209" s="5" t="s">
        <v>996</v>
      </c>
      <c r="E5209" s="5" t="s">
        <v>34131</v>
      </c>
      <c r="F5209" s="5" t="s">
        <v>72</v>
      </c>
      <c r="G5209" s="5" t="s">
        <v>34132</v>
      </c>
      <c r="H5209" s="6" t="s">
        <v>34133</v>
      </c>
      <c r="I5209" s="7" t="s">
        <v>34134</v>
      </c>
      <c r="J5209" s="8" t="str">
        <f>HYPERLINK("https://drive.google.com/file/d/1MLJzJ97bfh3v6se8CqTNCIZrYijJetEO/view?usp=drivesdk","WELLY RANTUNG SERTIFIKAT BerAKHLAK")</f>
        <v>WELLY RANTUNG SERTIFIKAT BerAKHLAK</v>
      </c>
      <c r="K5209" s="5" t="s">
        <v>34135</v>
      </c>
      <c r="L5209" s="5" t="s">
        <v>34136</v>
      </c>
    </row>
    <row r="5210">
      <c r="A5210" s="4">
        <v>45534.357678368055</v>
      </c>
      <c r="B5210" s="5" t="s">
        <v>34</v>
      </c>
      <c r="D5210" s="5" t="s">
        <v>267</v>
      </c>
      <c r="E5210" s="5" t="s">
        <v>34139</v>
      </c>
      <c r="F5210" s="5" t="s">
        <v>524</v>
      </c>
      <c r="G5210" s="5" t="s">
        <v>34140</v>
      </c>
      <c r="H5210" s="6" t="s">
        <v>34141</v>
      </c>
      <c r="I5210" s="7" t="s">
        <v>34142</v>
      </c>
      <c r="J5210" s="8" t="str">
        <f>HYPERLINK("https://drive.google.com/file/d/1ywyKrAVgsvkoAK14TrZtFodbctt286aD/view?usp=drivesdk","SATINEM SERTIFIKAT BerAKHLAK")</f>
        <v>SATINEM SERTIFIKAT BerAKHLAK</v>
      </c>
      <c r="K5210" s="5" t="s">
        <v>34135</v>
      </c>
      <c r="L5210" s="5" t="s">
        <v>34143</v>
      </c>
    </row>
    <row r="5211">
      <c r="A5211" s="4">
        <v>45534.357678217595</v>
      </c>
      <c r="B5211" s="5" t="s">
        <v>34</v>
      </c>
      <c r="D5211" s="5" t="s">
        <v>267</v>
      </c>
      <c r="E5211" s="5" t="s">
        <v>34146</v>
      </c>
      <c r="F5211" s="5" t="s">
        <v>375</v>
      </c>
      <c r="G5211" s="5" t="s">
        <v>34147</v>
      </c>
      <c r="H5211" s="6" t="s">
        <v>34148</v>
      </c>
      <c r="K5211" s="5" t="s">
        <v>34149</v>
      </c>
    </row>
    <row r="5212">
      <c r="A5212" s="4">
        <v>45534.35771532408</v>
      </c>
      <c r="B5212" s="5" t="s">
        <v>34</v>
      </c>
      <c r="D5212" s="5" t="s">
        <v>522</v>
      </c>
      <c r="E5212" s="5" t="s">
        <v>20560</v>
      </c>
      <c r="F5212" s="5" t="s">
        <v>212</v>
      </c>
      <c r="G5212" s="5" t="s">
        <v>34152</v>
      </c>
      <c r="H5212" s="6" t="s">
        <v>34153</v>
      </c>
      <c r="K5212" s="5" t="s">
        <v>34149</v>
      </c>
    </row>
    <row r="5213">
      <c r="A5213" s="4">
        <v>45534.35773236111</v>
      </c>
      <c r="B5213" s="5" t="s">
        <v>34</v>
      </c>
      <c r="D5213" s="5" t="s">
        <v>1206</v>
      </c>
      <c r="E5213" s="5" t="s">
        <v>34157</v>
      </c>
      <c r="F5213" s="5" t="s">
        <v>37</v>
      </c>
      <c r="G5213" s="5" t="s">
        <v>34158</v>
      </c>
      <c r="H5213" s="6" t="s">
        <v>34159</v>
      </c>
      <c r="K5213" s="5" t="s">
        <v>33397</v>
      </c>
    </row>
    <row r="5214">
      <c r="A5214" s="4">
        <v>45534.357733125</v>
      </c>
      <c r="B5214" s="5" t="s">
        <v>34</v>
      </c>
      <c r="D5214" s="5" t="s">
        <v>1456</v>
      </c>
      <c r="E5214" s="5" t="s">
        <v>34162</v>
      </c>
      <c r="F5214" s="5" t="s">
        <v>212</v>
      </c>
      <c r="G5214" s="5" t="s">
        <v>34163</v>
      </c>
      <c r="H5214" s="6" t="s">
        <v>34164</v>
      </c>
      <c r="K5214" s="5" t="s">
        <v>33397</v>
      </c>
    </row>
    <row r="5215">
      <c r="A5215" s="4">
        <v>45534.357736192134</v>
      </c>
      <c r="B5215" s="5" t="s">
        <v>34</v>
      </c>
      <c r="D5215" s="5" t="s">
        <v>996</v>
      </c>
      <c r="E5215" s="5" t="s">
        <v>34167</v>
      </c>
      <c r="F5215" s="5" t="s">
        <v>212</v>
      </c>
      <c r="G5215" s="5" t="s">
        <v>34168</v>
      </c>
      <c r="H5215" s="6" t="s">
        <v>34169</v>
      </c>
      <c r="K5215" s="5" t="s">
        <v>33397</v>
      </c>
    </row>
    <row r="5216">
      <c r="A5216" s="4">
        <v>45534.35775109954</v>
      </c>
      <c r="B5216" s="5" t="s">
        <v>34</v>
      </c>
      <c r="D5216" s="5" t="s">
        <v>996</v>
      </c>
      <c r="E5216" s="5" t="s">
        <v>34172</v>
      </c>
      <c r="F5216" s="5" t="s">
        <v>72</v>
      </c>
      <c r="G5216" s="5" t="s">
        <v>34173</v>
      </c>
      <c r="H5216" s="6" t="s">
        <v>34174</v>
      </c>
      <c r="K5216" s="5" t="s">
        <v>33397</v>
      </c>
    </row>
    <row r="5217">
      <c r="A5217" s="4">
        <v>45534.35776461806</v>
      </c>
      <c r="B5217" s="5" t="s">
        <v>34</v>
      </c>
      <c r="D5217" s="5" t="s">
        <v>280</v>
      </c>
      <c r="E5217" s="5" t="s">
        <v>34178</v>
      </c>
      <c r="F5217" s="5" t="s">
        <v>108</v>
      </c>
      <c r="G5217" s="5" t="s">
        <v>34179</v>
      </c>
      <c r="H5217" s="6" t="s">
        <v>34180</v>
      </c>
      <c r="I5217" s="7" t="s">
        <v>34181</v>
      </c>
      <c r="J5217" s="8" t="str">
        <f>HYPERLINK("https://drive.google.com/file/d/1iW2NkYBce24SdyFB_AFiGaxjx6w7Rzxx/view?usp=drivesdk","CHANDRA SIANIPAR SERTIFIKAT BerAKHLAK")</f>
        <v>CHANDRA SIANIPAR SERTIFIKAT BerAKHLAK</v>
      </c>
      <c r="K5217" s="5" t="s">
        <v>33375</v>
      </c>
      <c r="L5217" s="5" t="s">
        <v>34182</v>
      </c>
    </row>
    <row r="5218">
      <c r="A5218" s="4">
        <v>45534.35777253472</v>
      </c>
      <c r="B5218" s="5" t="s">
        <v>34</v>
      </c>
      <c r="D5218" s="5" t="s">
        <v>4775</v>
      </c>
      <c r="E5218" s="5" t="s">
        <v>34185</v>
      </c>
      <c r="F5218" s="5" t="s">
        <v>212</v>
      </c>
      <c r="G5218" s="5" t="s">
        <v>34186</v>
      </c>
      <c r="H5218" s="6" t="s">
        <v>34187</v>
      </c>
      <c r="K5218" s="5" t="s">
        <v>34188</v>
      </c>
    </row>
    <row r="5219">
      <c r="A5219" s="4">
        <v>45534.35777386574</v>
      </c>
      <c r="B5219" s="5" t="s">
        <v>34</v>
      </c>
      <c r="D5219" s="5" t="s">
        <v>1206</v>
      </c>
      <c r="E5219" s="5" t="s">
        <v>34191</v>
      </c>
      <c r="F5219" s="5" t="s">
        <v>212</v>
      </c>
      <c r="G5219" s="5" t="s">
        <v>34192</v>
      </c>
      <c r="H5219" s="6" t="s">
        <v>34193</v>
      </c>
      <c r="K5219" s="5" t="s">
        <v>34188</v>
      </c>
    </row>
    <row r="5220">
      <c r="A5220" s="4">
        <v>45534.35778697916</v>
      </c>
      <c r="B5220" s="5" t="s">
        <v>34</v>
      </c>
      <c r="D5220" s="5" t="s">
        <v>1206</v>
      </c>
      <c r="E5220" s="5" t="s">
        <v>34196</v>
      </c>
      <c r="F5220" s="5" t="s">
        <v>375</v>
      </c>
      <c r="G5220" s="5" t="s">
        <v>34197</v>
      </c>
      <c r="H5220" s="6" t="s">
        <v>34198</v>
      </c>
      <c r="K5220" s="5" t="s">
        <v>34188</v>
      </c>
    </row>
    <row r="5221">
      <c r="A5221" s="4">
        <v>45534.35779675926</v>
      </c>
      <c r="B5221" s="5" t="s">
        <v>34</v>
      </c>
      <c r="D5221" s="5" t="s">
        <v>9020</v>
      </c>
      <c r="E5221" s="5" t="s">
        <v>34201</v>
      </c>
      <c r="F5221" s="5" t="s">
        <v>375</v>
      </c>
      <c r="G5221" s="5" t="s">
        <v>34202</v>
      </c>
      <c r="H5221" s="6" t="s">
        <v>34203</v>
      </c>
      <c r="I5221" s="7" t="s">
        <v>34204</v>
      </c>
      <c r="J5221" s="8" t="str">
        <f>HYPERLINK("https://drive.google.com/file/d/1t0LVVJQRoHAaR9AAukPshndMJ-sNPQuS/view?usp=drivesdk","EMILAN SIBORO, S.Kom., M.M. SERTIFIKAT BerAKHLAK")</f>
        <v>EMILAN SIBORO, S.Kom., M.M. SERTIFIKAT BerAKHLAK</v>
      </c>
      <c r="K5221" s="5" t="s">
        <v>33375</v>
      </c>
      <c r="L5221" s="5" t="s">
        <v>34205</v>
      </c>
    </row>
    <row r="5222">
      <c r="A5222" s="4">
        <v>45534.35780302083</v>
      </c>
      <c r="B5222" s="5" t="s">
        <v>34</v>
      </c>
      <c r="D5222" s="5" t="s">
        <v>6232</v>
      </c>
      <c r="E5222" s="5" t="s">
        <v>34209</v>
      </c>
      <c r="F5222" s="5" t="s">
        <v>37</v>
      </c>
      <c r="G5222" s="5" t="s">
        <v>34210</v>
      </c>
      <c r="H5222" s="6" t="s">
        <v>34211</v>
      </c>
      <c r="I5222" s="7" t="s">
        <v>34212</v>
      </c>
      <c r="J5222" s="8" t="str">
        <f>HYPERLINK("https://drive.google.com/file/d/1PqsbmVr6bBsZ_EdEFVmz-Eeu4s8sVhqc/view?usp=drivesdk","ANNA ROSA LUCKYTA, A.Md.Far SERTIFIKAT BerAKHLAK")</f>
        <v>ANNA ROSA LUCKYTA, A.Md.Far SERTIFIKAT BerAKHLAK</v>
      </c>
      <c r="K5222" s="5" t="s">
        <v>33375</v>
      </c>
      <c r="L5222" s="5" t="s">
        <v>34213</v>
      </c>
    </row>
    <row r="5223">
      <c r="A5223" s="4">
        <v>45534.357814918985</v>
      </c>
      <c r="B5223" s="5" t="s">
        <v>34</v>
      </c>
      <c r="D5223" s="5" t="s">
        <v>2903</v>
      </c>
      <c r="E5223" s="5" t="s">
        <v>34216</v>
      </c>
      <c r="F5223" s="5" t="s">
        <v>120</v>
      </c>
      <c r="G5223" s="5" t="s">
        <v>34217</v>
      </c>
      <c r="H5223" s="6" t="s">
        <v>34218</v>
      </c>
      <c r="I5223" s="7" t="s">
        <v>34219</v>
      </c>
      <c r="J5223" s="8" t="str">
        <f>HYPERLINK("https://drive.google.com/file/d/1cN8fYGOLgLdT3v1NsUTNgRDPNptp8dU1/view?usp=drivesdk","BAIIR ARZAN, S.Sos SERTIFIKAT BerAKHLAK")</f>
        <v>BAIIR ARZAN, S.Sos SERTIFIKAT BerAKHLAK</v>
      </c>
      <c r="K5223" s="5" t="s">
        <v>34135</v>
      </c>
      <c r="L5223" s="5" t="s">
        <v>34220</v>
      </c>
    </row>
    <row r="5224">
      <c r="A5224" s="4">
        <v>45534.35782167824</v>
      </c>
      <c r="B5224" s="5" t="s">
        <v>34</v>
      </c>
      <c r="D5224" s="5" t="s">
        <v>3849</v>
      </c>
      <c r="E5224" s="5" t="s">
        <v>34223</v>
      </c>
      <c r="F5224" s="5" t="s">
        <v>37</v>
      </c>
      <c r="G5224" s="5" t="s">
        <v>34224</v>
      </c>
      <c r="H5224" s="6" t="s">
        <v>34225</v>
      </c>
      <c r="K5224" s="5" t="s">
        <v>34226</v>
      </c>
    </row>
    <row r="5225">
      <c r="A5225" s="4">
        <v>45534.35782733797</v>
      </c>
      <c r="B5225" s="5" t="s">
        <v>34</v>
      </c>
      <c r="D5225" s="5" t="s">
        <v>35</v>
      </c>
      <c r="E5225" s="5" t="s">
        <v>34229</v>
      </c>
      <c r="F5225" s="5" t="s">
        <v>37</v>
      </c>
      <c r="G5225" s="5" t="s">
        <v>34230</v>
      </c>
      <c r="H5225" s="6" t="s">
        <v>34231</v>
      </c>
      <c r="K5225" s="5" t="s">
        <v>34226</v>
      </c>
    </row>
    <row r="5226">
      <c r="A5226" s="4">
        <v>45534.35782885417</v>
      </c>
      <c r="B5226" s="5" t="s">
        <v>34</v>
      </c>
      <c r="D5226" s="5" t="s">
        <v>4775</v>
      </c>
      <c r="E5226" s="5" t="s">
        <v>34234</v>
      </c>
      <c r="F5226" s="5" t="s">
        <v>524</v>
      </c>
      <c r="G5226" s="5" t="s">
        <v>34235</v>
      </c>
      <c r="H5226" s="6" t="s">
        <v>34236</v>
      </c>
      <c r="K5226" s="5" t="s">
        <v>34226</v>
      </c>
    </row>
    <row r="5227">
      <c r="A5227" s="4">
        <v>45534.35784146991</v>
      </c>
      <c r="B5227" s="5" t="s">
        <v>34</v>
      </c>
      <c r="D5227" s="5" t="s">
        <v>1692</v>
      </c>
      <c r="E5227" s="5" t="s">
        <v>34239</v>
      </c>
      <c r="F5227" s="5" t="s">
        <v>524</v>
      </c>
      <c r="G5227" s="5" t="s">
        <v>34240</v>
      </c>
      <c r="H5227" s="6" t="s">
        <v>34241</v>
      </c>
      <c r="K5227" s="5" t="s">
        <v>34226</v>
      </c>
    </row>
    <row r="5228">
      <c r="A5228" s="4">
        <v>45534.35784351852</v>
      </c>
      <c r="B5228" s="5" t="s">
        <v>34</v>
      </c>
      <c r="D5228" s="5" t="s">
        <v>9020</v>
      </c>
      <c r="E5228" s="5" t="s">
        <v>34245</v>
      </c>
      <c r="F5228" s="5" t="s">
        <v>212</v>
      </c>
      <c r="G5228" s="5" t="s">
        <v>34246</v>
      </c>
      <c r="H5228" s="6" t="s">
        <v>34247</v>
      </c>
      <c r="K5228" s="5" t="s">
        <v>34226</v>
      </c>
    </row>
    <row r="5229">
      <c r="A5229" s="4">
        <v>45534.35784596065</v>
      </c>
      <c r="B5229" s="5" t="s">
        <v>34</v>
      </c>
      <c r="D5229" s="5" t="s">
        <v>14424</v>
      </c>
      <c r="E5229" s="5" t="s">
        <v>34250</v>
      </c>
      <c r="F5229" s="5" t="s">
        <v>120</v>
      </c>
      <c r="G5229" s="5" t="s">
        <v>34251</v>
      </c>
      <c r="H5229" s="6" t="s">
        <v>34252</v>
      </c>
      <c r="K5229" s="5" t="s">
        <v>34226</v>
      </c>
    </row>
    <row r="5230">
      <c r="A5230" s="4">
        <v>45534.35784861111</v>
      </c>
      <c r="B5230" s="5" t="s">
        <v>34</v>
      </c>
      <c r="D5230" s="5" t="s">
        <v>4775</v>
      </c>
      <c r="E5230" s="5" t="s">
        <v>34255</v>
      </c>
      <c r="F5230" s="5" t="s">
        <v>212</v>
      </c>
      <c r="G5230" s="5" t="s">
        <v>34256</v>
      </c>
      <c r="H5230" s="6" t="s">
        <v>34257</v>
      </c>
      <c r="K5230" s="5" t="s">
        <v>34226</v>
      </c>
    </row>
    <row r="5231">
      <c r="A5231" s="4">
        <v>45534.35785623842</v>
      </c>
      <c r="B5231" s="5" t="s">
        <v>34</v>
      </c>
      <c r="D5231" s="5" t="s">
        <v>1206</v>
      </c>
      <c r="E5231" s="5" t="s">
        <v>34260</v>
      </c>
      <c r="F5231" s="5" t="s">
        <v>328</v>
      </c>
      <c r="G5231" s="5" t="s">
        <v>34261</v>
      </c>
      <c r="H5231" s="6" t="s">
        <v>34262</v>
      </c>
      <c r="K5231" s="5" t="s">
        <v>34226</v>
      </c>
    </row>
    <row r="5232">
      <c r="A5232" s="4">
        <v>45534.357861701385</v>
      </c>
      <c r="B5232" s="5" t="s">
        <v>34</v>
      </c>
      <c r="D5232" s="5" t="s">
        <v>522</v>
      </c>
      <c r="E5232" s="5" t="s">
        <v>25544</v>
      </c>
      <c r="F5232" s="5" t="s">
        <v>524</v>
      </c>
      <c r="G5232" s="5" t="s">
        <v>34265</v>
      </c>
      <c r="H5232" s="6" t="s">
        <v>34266</v>
      </c>
      <c r="K5232" s="5" t="s">
        <v>34226</v>
      </c>
    </row>
    <row r="5233">
      <c r="A5233" s="4">
        <v>45534.357867280094</v>
      </c>
      <c r="B5233" s="5" t="s">
        <v>34</v>
      </c>
      <c r="D5233" s="5" t="s">
        <v>14424</v>
      </c>
      <c r="E5233" s="5" t="s">
        <v>34270</v>
      </c>
      <c r="F5233" s="5" t="s">
        <v>375</v>
      </c>
      <c r="G5233" s="5" t="s">
        <v>34271</v>
      </c>
      <c r="H5233" s="6" t="s">
        <v>34272</v>
      </c>
      <c r="K5233" s="5" t="s">
        <v>34226</v>
      </c>
    </row>
    <row r="5234">
      <c r="A5234" s="4">
        <v>45534.3578718287</v>
      </c>
      <c r="B5234" s="5" t="s">
        <v>34</v>
      </c>
      <c r="D5234" s="5" t="s">
        <v>14313</v>
      </c>
      <c r="E5234" s="5" t="s">
        <v>34275</v>
      </c>
      <c r="F5234" s="5" t="s">
        <v>37</v>
      </c>
      <c r="G5234" s="5" t="s">
        <v>34276</v>
      </c>
      <c r="H5234" s="6" t="s">
        <v>34277</v>
      </c>
      <c r="K5234" s="5" t="s">
        <v>34226</v>
      </c>
    </row>
    <row r="5235">
      <c r="A5235" s="4">
        <v>45534.357891377316</v>
      </c>
      <c r="B5235" s="5" t="s">
        <v>34</v>
      </c>
      <c r="D5235" s="5" t="s">
        <v>1206</v>
      </c>
      <c r="E5235" s="5" t="s">
        <v>34280</v>
      </c>
      <c r="F5235" s="5" t="s">
        <v>72</v>
      </c>
      <c r="G5235" s="5" t="s">
        <v>34281</v>
      </c>
      <c r="H5235" s="6" t="s">
        <v>34282</v>
      </c>
      <c r="K5235" s="5" t="s">
        <v>34226</v>
      </c>
    </row>
    <row r="5236">
      <c r="A5236" s="4">
        <v>45534.357908935184</v>
      </c>
      <c r="B5236" s="5" t="s">
        <v>34</v>
      </c>
      <c r="D5236" s="5" t="s">
        <v>10444</v>
      </c>
      <c r="E5236" s="5" t="s">
        <v>34285</v>
      </c>
      <c r="F5236" s="5" t="s">
        <v>108</v>
      </c>
      <c r="G5236" s="5" t="s">
        <v>34286</v>
      </c>
      <c r="H5236" s="6" t="s">
        <v>34287</v>
      </c>
      <c r="I5236" s="7" t="s">
        <v>34288</v>
      </c>
      <c r="J5236" s="8" t="str">
        <f>HYPERLINK("https://drive.google.com/file/d/11mSZ5l9yym_VTaZboFJ45SH-JhuhlGPj/view?usp=drivesdk","SHANTY RIVANNY, A.Md SERTIFIKAT BerAKHLAK")</f>
        <v>SHANTY RIVANNY, A.Md SERTIFIKAT BerAKHLAK</v>
      </c>
      <c r="K5236" s="5" t="s">
        <v>33375</v>
      </c>
      <c r="L5236" s="5" t="s">
        <v>34289</v>
      </c>
    </row>
    <row r="5237">
      <c r="A5237" s="4">
        <v>45534.35791274306</v>
      </c>
      <c r="B5237" s="5" t="s">
        <v>34</v>
      </c>
      <c r="D5237" s="5" t="s">
        <v>1206</v>
      </c>
      <c r="E5237" s="5" t="s">
        <v>34293</v>
      </c>
      <c r="F5237" s="5" t="s">
        <v>212</v>
      </c>
      <c r="G5237" s="5" t="s">
        <v>34294</v>
      </c>
      <c r="H5237" s="6" t="s">
        <v>34295</v>
      </c>
      <c r="I5237" s="7" t="s">
        <v>34296</v>
      </c>
      <c r="J5237" s="8" t="str">
        <f>HYPERLINK("https://drive.google.com/file/d/1BcyF4Wopb5MlmQuwAugOOncfBH6L9v2p/view?usp=drivesdk","YUDI ANDARTO  SERTIFIKAT BerAKHLAK")</f>
        <v>YUDI ANDARTO  SERTIFIKAT BerAKHLAK</v>
      </c>
      <c r="K5237" s="5" t="s">
        <v>34135</v>
      </c>
      <c r="L5237" s="5" t="s">
        <v>34297</v>
      </c>
    </row>
    <row r="5238">
      <c r="A5238" s="4">
        <v>45534.35791789352</v>
      </c>
      <c r="B5238" s="5" t="s">
        <v>34</v>
      </c>
      <c r="D5238" s="5" t="s">
        <v>15401</v>
      </c>
      <c r="E5238" s="5" t="s">
        <v>34300</v>
      </c>
      <c r="F5238" s="5" t="s">
        <v>37</v>
      </c>
      <c r="G5238" s="5" t="s">
        <v>34301</v>
      </c>
      <c r="H5238" s="6" t="s">
        <v>34302</v>
      </c>
      <c r="I5238" s="7" t="s">
        <v>34303</v>
      </c>
      <c r="J5238" s="8" t="str">
        <f>HYPERLINK("https://drive.google.com/file/d/1yj84-6v_UwcT2zXh9OiyTer_oaDJd8od/view?usp=drivesdk","I GEDE DARMAWAN PUTRA SERTIFIKAT BerAKHLAK")</f>
        <v>I GEDE DARMAWAN PUTRA SERTIFIKAT BerAKHLAK</v>
      </c>
      <c r="K5238" s="5" t="s">
        <v>34135</v>
      </c>
      <c r="L5238" s="5" t="s">
        <v>34304</v>
      </c>
    </row>
    <row r="5239">
      <c r="A5239" s="4">
        <v>45534.35792971065</v>
      </c>
      <c r="B5239" s="5" t="s">
        <v>34</v>
      </c>
      <c r="D5239" s="5" t="s">
        <v>9394</v>
      </c>
      <c r="E5239" s="5" t="s">
        <v>34307</v>
      </c>
      <c r="F5239" s="5" t="s">
        <v>108</v>
      </c>
      <c r="G5239" s="5" t="s">
        <v>34308</v>
      </c>
      <c r="H5239" s="6" t="s">
        <v>34309</v>
      </c>
      <c r="K5239" s="5" t="s">
        <v>34310</v>
      </c>
    </row>
    <row r="5240">
      <c r="A5240" s="4">
        <v>45534.35793416666</v>
      </c>
      <c r="B5240" s="5" t="s">
        <v>34</v>
      </c>
      <c r="D5240" s="5" t="s">
        <v>4775</v>
      </c>
      <c r="E5240" s="5" t="s">
        <v>34313</v>
      </c>
      <c r="F5240" s="5" t="s">
        <v>212</v>
      </c>
      <c r="G5240" s="5" t="s">
        <v>34314</v>
      </c>
      <c r="H5240" s="6" t="s">
        <v>34315</v>
      </c>
      <c r="K5240" s="5" t="s">
        <v>34310</v>
      </c>
    </row>
    <row r="5241">
      <c r="A5241" s="4">
        <v>45534.35795116898</v>
      </c>
      <c r="B5241" s="5" t="s">
        <v>34</v>
      </c>
      <c r="D5241" s="5" t="s">
        <v>15401</v>
      </c>
      <c r="E5241" s="5" t="s">
        <v>34319</v>
      </c>
      <c r="F5241" s="5" t="s">
        <v>715</v>
      </c>
      <c r="G5241" s="5" t="s">
        <v>34320</v>
      </c>
      <c r="H5241" s="6" t="s">
        <v>34321</v>
      </c>
      <c r="I5241" s="7" t="s">
        <v>34322</v>
      </c>
      <c r="J5241" s="8" t="str">
        <f>HYPERLINK("https://drive.google.com/file/d/1bKEgk_qM8nUb3cfJqU7aSqu5miWlO90i/view?usp=drivesdk","NORLIN TERONTJA, S.E SERTIFIKAT BerAKHLAK")</f>
        <v>NORLIN TERONTJA, S.E SERTIFIKAT BerAKHLAK</v>
      </c>
      <c r="K5241" s="5" t="s">
        <v>34135</v>
      </c>
      <c r="L5241" s="5" t="s">
        <v>34323</v>
      </c>
    </row>
    <row r="5242">
      <c r="A5242" s="4">
        <v>45534.35797898148</v>
      </c>
      <c r="B5242" s="5" t="s">
        <v>34</v>
      </c>
      <c r="D5242" s="5" t="s">
        <v>9020</v>
      </c>
      <c r="E5242" s="5" t="s">
        <v>34326</v>
      </c>
      <c r="F5242" s="5" t="s">
        <v>72</v>
      </c>
      <c r="G5242" s="5" t="s">
        <v>34327</v>
      </c>
      <c r="H5242" s="6" t="s">
        <v>34328</v>
      </c>
      <c r="I5242" s="7" t="s">
        <v>34329</v>
      </c>
      <c r="J5242" s="8" t="str">
        <f>HYPERLINK("https://drive.google.com/file/d/10Rta2lBnZ3FYVoYOZ_CD6FnRXNLZL7_p/view?usp=drivesdk","Junita indrawati Banurea, S.Kep. Ns SERTIFIKAT BerAKHLAK")</f>
        <v>Junita indrawati Banurea, S.Kep. Ns SERTIFIKAT BerAKHLAK</v>
      </c>
      <c r="K5242" s="5" t="s">
        <v>34135</v>
      </c>
      <c r="L5242" s="5" t="s">
        <v>34330</v>
      </c>
    </row>
    <row r="5243">
      <c r="A5243" s="4">
        <v>45534.35798003472</v>
      </c>
      <c r="B5243" s="5" t="s">
        <v>34</v>
      </c>
      <c r="D5243" s="5" t="s">
        <v>267</v>
      </c>
      <c r="E5243" s="5" t="s">
        <v>34333</v>
      </c>
      <c r="F5243" s="5" t="s">
        <v>212</v>
      </c>
      <c r="G5243" s="5" t="s">
        <v>34334</v>
      </c>
      <c r="H5243" s="6" t="s">
        <v>34335</v>
      </c>
      <c r="I5243" s="7" t="s">
        <v>34336</v>
      </c>
      <c r="J5243" s="8" t="str">
        <f>HYPERLINK("https://drive.google.com/file/d/1tZImnWMO6UX4xdlaByFkS44KzbG8Jjuy/view?usp=drivesdk","SUPARTINI SERTIFIKAT BerAKHLAK")</f>
        <v>SUPARTINI SERTIFIKAT BerAKHLAK</v>
      </c>
      <c r="K5243" s="5" t="s">
        <v>34135</v>
      </c>
      <c r="L5243" s="5" t="s">
        <v>34337</v>
      </c>
    </row>
    <row r="5244">
      <c r="A5244" s="4">
        <v>45534.35798052083</v>
      </c>
      <c r="B5244" s="5" t="s">
        <v>34</v>
      </c>
      <c r="D5244" s="5" t="s">
        <v>14424</v>
      </c>
      <c r="E5244" s="5" t="s">
        <v>34340</v>
      </c>
      <c r="F5244" s="5" t="s">
        <v>72</v>
      </c>
      <c r="G5244" s="5" t="s">
        <v>34341</v>
      </c>
      <c r="H5244" s="6" t="s">
        <v>34342</v>
      </c>
      <c r="I5244" s="7" t="s">
        <v>34343</v>
      </c>
      <c r="J5244" s="8" t="str">
        <f>HYPERLINK("https://drive.google.com/file/d/1iW9SDGE7mMXX0IFCgH0RlJyyWzLR1MG2/view?usp=drivesdk","SAMSUL AMBIA SERTIFIKAT BerAKHLAK")</f>
        <v>SAMSUL AMBIA SERTIFIKAT BerAKHLAK</v>
      </c>
      <c r="K5244" s="5" t="s">
        <v>34135</v>
      </c>
      <c r="L5244" s="5" t="s">
        <v>34344</v>
      </c>
    </row>
    <row r="5245">
      <c r="A5245" s="4">
        <v>45534.35798111111</v>
      </c>
      <c r="B5245" s="5" t="s">
        <v>34</v>
      </c>
      <c r="D5245" s="5" t="s">
        <v>14424</v>
      </c>
      <c r="E5245" s="5" t="s">
        <v>34347</v>
      </c>
      <c r="F5245" s="5" t="s">
        <v>72</v>
      </c>
      <c r="G5245" s="5" t="s">
        <v>34348</v>
      </c>
      <c r="H5245" s="6" t="s">
        <v>34349</v>
      </c>
      <c r="K5245" s="5" t="s">
        <v>34350</v>
      </c>
    </row>
    <row r="5246">
      <c r="A5246" s="4">
        <v>45534.35800709491</v>
      </c>
      <c r="B5246" s="5" t="s">
        <v>34</v>
      </c>
      <c r="D5246" s="5" t="s">
        <v>12978</v>
      </c>
      <c r="E5246" s="5" t="s">
        <v>34354</v>
      </c>
      <c r="F5246" s="5" t="s">
        <v>212</v>
      </c>
      <c r="G5246" s="5" t="s">
        <v>34355</v>
      </c>
      <c r="H5246" s="6" t="s">
        <v>34356</v>
      </c>
      <c r="K5246" s="5" t="s">
        <v>34350</v>
      </c>
    </row>
    <row r="5247">
      <c r="A5247" s="4">
        <v>45534.358007268514</v>
      </c>
      <c r="B5247" s="5" t="s">
        <v>34</v>
      </c>
      <c r="D5247" s="5" t="s">
        <v>267</v>
      </c>
      <c r="E5247" s="5" t="s">
        <v>34359</v>
      </c>
      <c r="F5247" s="5" t="s">
        <v>212</v>
      </c>
      <c r="G5247" s="5" t="s">
        <v>34360</v>
      </c>
      <c r="H5247" s="6" t="s">
        <v>34361</v>
      </c>
      <c r="K5247" s="5" t="s">
        <v>34350</v>
      </c>
    </row>
    <row r="5248">
      <c r="A5248" s="4">
        <v>45534.35801083333</v>
      </c>
      <c r="B5248" s="5" t="s">
        <v>34</v>
      </c>
      <c r="D5248" s="5" t="s">
        <v>4775</v>
      </c>
      <c r="E5248" s="5" t="s">
        <v>34364</v>
      </c>
      <c r="F5248" s="5" t="s">
        <v>108</v>
      </c>
      <c r="G5248" s="5" t="s">
        <v>34365</v>
      </c>
      <c r="H5248" s="6" t="s">
        <v>34366</v>
      </c>
      <c r="K5248" s="5" t="s">
        <v>34350</v>
      </c>
    </row>
    <row r="5249">
      <c r="A5249" s="4">
        <v>45534.358018865736</v>
      </c>
      <c r="B5249" s="5" t="s">
        <v>34</v>
      </c>
      <c r="D5249" s="5" t="s">
        <v>1558</v>
      </c>
      <c r="E5249" s="5" t="s">
        <v>34369</v>
      </c>
      <c r="F5249" s="5" t="s">
        <v>108</v>
      </c>
      <c r="G5249" s="5" t="s">
        <v>34370</v>
      </c>
      <c r="H5249" s="6" t="s">
        <v>34371</v>
      </c>
      <c r="K5249" s="5" t="s">
        <v>34350</v>
      </c>
    </row>
    <row r="5250">
      <c r="A5250" s="4">
        <v>45534.35802509259</v>
      </c>
      <c r="B5250" s="5" t="s">
        <v>34</v>
      </c>
      <c r="D5250" s="5" t="s">
        <v>1206</v>
      </c>
      <c r="E5250" s="5" t="s">
        <v>34374</v>
      </c>
      <c r="F5250" s="5" t="s">
        <v>37</v>
      </c>
      <c r="G5250" s="5" t="s">
        <v>34375</v>
      </c>
      <c r="H5250" s="6" t="s">
        <v>34376</v>
      </c>
      <c r="K5250" s="5" t="s">
        <v>34350</v>
      </c>
    </row>
    <row r="5251">
      <c r="A5251" s="4">
        <v>45534.35804302084</v>
      </c>
      <c r="B5251" s="5" t="s">
        <v>34</v>
      </c>
      <c r="D5251" s="5" t="s">
        <v>1206</v>
      </c>
      <c r="E5251" s="5" t="s">
        <v>34379</v>
      </c>
      <c r="F5251" s="5" t="s">
        <v>37</v>
      </c>
      <c r="G5251" s="5" t="s">
        <v>34380</v>
      </c>
      <c r="H5251" s="6" t="s">
        <v>34381</v>
      </c>
      <c r="K5251" s="5" t="s">
        <v>34350</v>
      </c>
    </row>
    <row r="5252">
      <c r="A5252" s="4">
        <v>45534.358048379625</v>
      </c>
      <c r="B5252" s="5" t="s">
        <v>34</v>
      </c>
      <c r="D5252" s="5" t="s">
        <v>1768</v>
      </c>
      <c r="E5252" s="5" t="s">
        <v>34385</v>
      </c>
      <c r="F5252" s="5" t="s">
        <v>212</v>
      </c>
      <c r="G5252" s="5" t="s">
        <v>34386</v>
      </c>
      <c r="H5252" s="6" t="s">
        <v>34387</v>
      </c>
      <c r="K5252" s="5" t="s">
        <v>34350</v>
      </c>
    </row>
    <row r="5253">
      <c r="A5253" s="4">
        <v>45534.35804802083</v>
      </c>
      <c r="B5253" s="5" t="s">
        <v>34</v>
      </c>
      <c r="D5253" s="5" t="s">
        <v>9020</v>
      </c>
      <c r="E5253" s="5" t="s">
        <v>34390</v>
      </c>
      <c r="F5253" s="5" t="s">
        <v>212</v>
      </c>
      <c r="G5253" s="5" t="s">
        <v>34391</v>
      </c>
      <c r="H5253" s="6" t="s">
        <v>34392</v>
      </c>
      <c r="K5253" s="5" t="s">
        <v>34350</v>
      </c>
    </row>
    <row r="5254">
      <c r="A5254" s="4">
        <v>45534.35805113426</v>
      </c>
      <c r="B5254" s="5" t="s">
        <v>34</v>
      </c>
      <c r="D5254" s="5" t="s">
        <v>1206</v>
      </c>
      <c r="E5254" s="5" t="s">
        <v>34395</v>
      </c>
      <c r="F5254" s="5" t="s">
        <v>524</v>
      </c>
      <c r="G5254" s="5" t="s">
        <v>34396</v>
      </c>
      <c r="H5254" s="6" t="s">
        <v>34397</v>
      </c>
      <c r="K5254" s="5" t="s">
        <v>34350</v>
      </c>
    </row>
    <row r="5255">
      <c r="A5255" s="4">
        <v>45534.35805148148</v>
      </c>
      <c r="B5255" s="5" t="s">
        <v>34</v>
      </c>
      <c r="D5255" s="5" t="s">
        <v>701</v>
      </c>
      <c r="E5255" s="5" t="s">
        <v>34400</v>
      </c>
      <c r="F5255" s="5" t="s">
        <v>72</v>
      </c>
      <c r="G5255" s="5" t="s">
        <v>34401</v>
      </c>
      <c r="H5255" s="6" t="s">
        <v>34402</v>
      </c>
      <c r="K5255" s="5" t="s">
        <v>34350</v>
      </c>
    </row>
    <row r="5256">
      <c r="A5256" s="4">
        <v>45534.35806005787</v>
      </c>
      <c r="B5256" s="5" t="s">
        <v>34</v>
      </c>
      <c r="D5256" s="5" t="s">
        <v>12978</v>
      </c>
      <c r="E5256" s="5" t="s">
        <v>34405</v>
      </c>
      <c r="F5256" s="5" t="s">
        <v>212</v>
      </c>
      <c r="G5256" s="5" t="s">
        <v>34406</v>
      </c>
      <c r="H5256" s="6" t="s">
        <v>34407</v>
      </c>
      <c r="K5256" s="5" t="s">
        <v>34350</v>
      </c>
    </row>
    <row r="5257">
      <c r="A5257" s="4">
        <v>45534.35806038194</v>
      </c>
      <c r="B5257" s="5" t="s">
        <v>19</v>
      </c>
      <c r="C5257" s="5" t="s">
        <v>315</v>
      </c>
      <c r="E5257" s="5" t="s">
        <v>34411</v>
      </c>
      <c r="F5257" s="5" t="s">
        <v>5566</v>
      </c>
      <c r="G5257" s="5" t="s">
        <v>34412</v>
      </c>
      <c r="H5257" s="6" t="s">
        <v>34413</v>
      </c>
      <c r="K5257" s="5" t="s">
        <v>34350</v>
      </c>
    </row>
    <row r="5258">
      <c r="A5258" s="4">
        <v>45534.358071967596</v>
      </c>
      <c r="B5258" s="5" t="s">
        <v>34</v>
      </c>
      <c r="D5258" s="5" t="s">
        <v>1206</v>
      </c>
      <c r="E5258" s="5" t="s">
        <v>34416</v>
      </c>
      <c r="F5258" s="5" t="s">
        <v>120</v>
      </c>
      <c r="G5258" s="5" t="s">
        <v>34417</v>
      </c>
      <c r="H5258" s="6" t="s">
        <v>34418</v>
      </c>
      <c r="K5258" s="5" t="s">
        <v>34350</v>
      </c>
    </row>
    <row r="5259">
      <c r="A5259" s="4">
        <v>45534.35809065972</v>
      </c>
      <c r="B5259" s="5" t="s">
        <v>34</v>
      </c>
      <c r="D5259" s="5" t="s">
        <v>522</v>
      </c>
      <c r="E5259" s="5" t="s">
        <v>34421</v>
      </c>
      <c r="F5259" s="5" t="s">
        <v>212</v>
      </c>
      <c r="G5259" s="5" t="s">
        <v>34422</v>
      </c>
      <c r="H5259" s="6" t="s">
        <v>34423</v>
      </c>
      <c r="K5259" s="5" t="s">
        <v>34350</v>
      </c>
    </row>
    <row r="5260">
      <c r="A5260" s="4">
        <v>45534.35809715278</v>
      </c>
      <c r="B5260" s="5" t="s">
        <v>34</v>
      </c>
      <c r="D5260" s="5" t="s">
        <v>701</v>
      </c>
      <c r="E5260" s="5" t="s">
        <v>34426</v>
      </c>
      <c r="F5260" s="5" t="s">
        <v>108</v>
      </c>
      <c r="G5260" s="5" t="s">
        <v>34427</v>
      </c>
      <c r="H5260" s="6" t="s">
        <v>34428</v>
      </c>
      <c r="K5260" s="5" t="s">
        <v>34350</v>
      </c>
    </row>
    <row r="5261">
      <c r="A5261" s="4">
        <v>45534.35809758102</v>
      </c>
      <c r="B5261" s="5" t="s">
        <v>34</v>
      </c>
      <c r="D5261" s="5" t="s">
        <v>4775</v>
      </c>
      <c r="E5261" s="5" t="s">
        <v>34431</v>
      </c>
      <c r="F5261" s="5" t="s">
        <v>37</v>
      </c>
      <c r="G5261" s="5" t="s">
        <v>34432</v>
      </c>
      <c r="H5261" s="6" t="s">
        <v>34433</v>
      </c>
      <c r="K5261" s="5" t="s">
        <v>34350</v>
      </c>
    </row>
    <row r="5262">
      <c r="A5262" s="4">
        <v>45534.35811335648</v>
      </c>
      <c r="B5262" s="5" t="s">
        <v>34</v>
      </c>
      <c r="D5262" s="5" t="s">
        <v>1768</v>
      </c>
      <c r="E5262" s="5" t="s">
        <v>34437</v>
      </c>
      <c r="F5262" s="5" t="s">
        <v>72</v>
      </c>
      <c r="G5262" s="5" t="s">
        <v>34438</v>
      </c>
      <c r="H5262" s="6" t="s">
        <v>34439</v>
      </c>
      <c r="K5262" s="5" t="s">
        <v>34350</v>
      </c>
    </row>
    <row r="5263">
      <c r="A5263" s="4">
        <v>45534.35812052083</v>
      </c>
      <c r="B5263" s="5" t="s">
        <v>34</v>
      </c>
      <c r="D5263" s="5" t="s">
        <v>4775</v>
      </c>
      <c r="E5263" s="5" t="s">
        <v>34442</v>
      </c>
      <c r="F5263" s="5" t="s">
        <v>72</v>
      </c>
      <c r="G5263" s="5" t="s">
        <v>34443</v>
      </c>
      <c r="H5263" s="6" t="s">
        <v>34444</v>
      </c>
      <c r="K5263" s="5" t="s">
        <v>34350</v>
      </c>
    </row>
    <row r="5264">
      <c r="A5264" s="4">
        <v>45534.35812291667</v>
      </c>
      <c r="B5264" s="5" t="s">
        <v>34</v>
      </c>
      <c r="D5264" s="5" t="s">
        <v>1206</v>
      </c>
      <c r="E5264" s="5" t="s">
        <v>34447</v>
      </c>
      <c r="F5264" s="5" t="s">
        <v>212</v>
      </c>
      <c r="G5264" s="5" t="s">
        <v>34448</v>
      </c>
      <c r="H5264" s="6" t="s">
        <v>34449</v>
      </c>
      <c r="K5264" s="5" t="s">
        <v>34350</v>
      </c>
    </row>
    <row r="5265">
      <c r="A5265" s="4">
        <v>45534.3581312037</v>
      </c>
      <c r="B5265" s="5" t="s">
        <v>34</v>
      </c>
      <c r="D5265" s="5" t="s">
        <v>4775</v>
      </c>
      <c r="E5265" s="5" t="s">
        <v>34452</v>
      </c>
      <c r="F5265" s="5" t="s">
        <v>72</v>
      </c>
      <c r="G5265" s="5" t="s">
        <v>34453</v>
      </c>
      <c r="H5265" s="6" t="s">
        <v>34454</v>
      </c>
      <c r="K5265" s="5" t="s">
        <v>34350</v>
      </c>
    </row>
    <row r="5266">
      <c r="A5266" s="4">
        <v>45534.358137187504</v>
      </c>
      <c r="B5266" s="5" t="s">
        <v>34</v>
      </c>
      <c r="D5266" s="5" t="s">
        <v>7858</v>
      </c>
      <c r="E5266" s="5" t="s">
        <v>34458</v>
      </c>
      <c r="F5266" s="5" t="s">
        <v>524</v>
      </c>
      <c r="G5266" s="5" t="s">
        <v>34459</v>
      </c>
      <c r="H5266" s="6" t="s">
        <v>34460</v>
      </c>
      <c r="K5266" s="5" t="s">
        <v>34350</v>
      </c>
    </row>
    <row r="5267">
      <c r="A5267" s="4">
        <v>45534.35816927083</v>
      </c>
      <c r="B5267" s="5" t="s">
        <v>34</v>
      </c>
      <c r="D5267" s="5" t="s">
        <v>267</v>
      </c>
      <c r="E5267" s="5" t="s">
        <v>34463</v>
      </c>
      <c r="F5267" s="5" t="s">
        <v>375</v>
      </c>
      <c r="G5267" s="5" t="s">
        <v>34464</v>
      </c>
      <c r="H5267" s="6" t="s">
        <v>34465</v>
      </c>
      <c r="K5267" s="5" t="s">
        <v>34350</v>
      </c>
    </row>
    <row r="5268">
      <c r="A5268" s="4">
        <v>45534.35816969907</v>
      </c>
      <c r="B5268" s="5" t="s">
        <v>34</v>
      </c>
      <c r="D5268" s="5" t="s">
        <v>6232</v>
      </c>
      <c r="E5268" s="5" t="s">
        <v>34468</v>
      </c>
      <c r="F5268" s="5" t="s">
        <v>37</v>
      </c>
      <c r="G5268" s="5" t="s">
        <v>34469</v>
      </c>
      <c r="H5268" s="6" t="s">
        <v>34470</v>
      </c>
      <c r="I5268" s="7" t="s">
        <v>34471</v>
      </c>
      <c r="J5268" s="8" t="str">
        <f>HYPERLINK("https://drive.google.com/file/d/1e7_DyW3RZTLyRr5ADqLOXwKZc2rImbWf/view?usp=drivesdk","AGUS MAHFUDIN, AM.Kep SERTIFIKAT BerAKHLAK")</f>
        <v>AGUS MAHFUDIN, AM.Kep SERTIFIKAT BerAKHLAK</v>
      </c>
      <c r="K5268" s="5" t="s">
        <v>34135</v>
      </c>
      <c r="L5268" s="5" t="s">
        <v>34472</v>
      </c>
    </row>
    <row r="5269">
      <c r="A5269" s="4">
        <v>45534.3581746875</v>
      </c>
      <c r="B5269" s="5" t="s">
        <v>34</v>
      </c>
      <c r="D5269" s="5" t="s">
        <v>1206</v>
      </c>
      <c r="E5269" s="5" t="s">
        <v>34475</v>
      </c>
      <c r="F5269" s="5" t="s">
        <v>199</v>
      </c>
      <c r="G5269" s="5" t="s">
        <v>34476</v>
      </c>
      <c r="H5269" s="6" t="s">
        <v>34477</v>
      </c>
      <c r="I5269" s="7" t="s">
        <v>34478</v>
      </c>
      <c r="J5269" s="8" t="str">
        <f>HYPERLINK("https://drive.google.com/file/d/1-z3YK5fPcP2E4axlNsucGpDBoe-p1tY-/view?usp=drivesdk","EDI SANTOSO SERTIFIKAT BerAKHLAK")</f>
        <v>EDI SANTOSO SERTIFIKAT BerAKHLAK</v>
      </c>
      <c r="K5269" s="5" t="s">
        <v>34135</v>
      </c>
      <c r="L5269" s="5" t="s">
        <v>34479</v>
      </c>
    </row>
    <row r="5270">
      <c r="A5270" s="4">
        <v>45534.35817857639</v>
      </c>
      <c r="B5270" s="5" t="s">
        <v>34</v>
      </c>
      <c r="D5270" s="5" t="s">
        <v>14313</v>
      </c>
      <c r="E5270" s="5" t="s">
        <v>34482</v>
      </c>
      <c r="F5270" s="5" t="s">
        <v>72</v>
      </c>
      <c r="G5270" s="5" t="s">
        <v>34483</v>
      </c>
      <c r="H5270" s="6" t="s">
        <v>34484</v>
      </c>
      <c r="K5270" s="5" t="s">
        <v>34485</v>
      </c>
    </row>
    <row r="5271">
      <c r="A5271" s="4">
        <v>45534.35818730324</v>
      </c>
      <c r="B5271" s="5" t="s">
        <v>34</v>
      </c>
      <c r="D5271" s="5" t="s">
        <v>1206</v>
      </c>
      <c r="E5271" s="5" t="s">
        <v>34489</v>
      </c>
      <c r="F5271" s="5" t="s">
        <v>212</v>
      </c>
      <c r="G5271" s="5" t="s">
        <v>34490</v>
      </c>
      <c r="H5271" s="6" t="s">
        <v>34491</v>
      </c>
      <c r="K5271" s="5" t="s">
        <v>34485</v>
      </c>
    </row>
    <row r="5272">
      <c r="A5272" s="4">
        <v>45534.358188240745</v>
      </c>
      <c r="B5272" s="5" t="s">
        <v>34</v>
      </c>
      <c r="D5272" s="5" t="s">
        <v>9394</v>
      </c>
      <c r="E5272" s="5" t="s">
        <v>34494</v>
      </c>
      <c r="F5272" s="5" t="s">
        <v>328</v>
      </c>
      <c r="G5272" s="5" t="s">
        <v>34495</v>
      </c>
      <c r="H5272" s="6" t="s">
        <v>34496</v>
      </c>
      <c r="K5272" s="5" t="s">
        <v>34485</v>
      </c>
    </row>
    <row r="5273">
      <c r="A5273" s="4">
        <v>45534.3582062037</v>
      </c>
      <c r="B5273" s="5" t="s">
        <v>34</v>
      </c>
      <c r="D5273" s="5" t="s">
        <v>280</v>
      </c>
      <c r="E5273" s="5" t="s">
        <v>34499</v>
      </c>
      <c r="F5273" s="5" t="s">
        <v>375</v>
      </c>
      <c r="G5273" s="5" t="s">
        <v>34500</v>
      </c>
      <c r="H5273" s="6" t="s">
        <v>34501</v>
      </c>
      <c r="I5273" s="7" t="s">
        <v>34502</v>
      </c>
      <c r="J5273" s="8" t="str">
        <f>HYPERLINK("https://drive.google.com/file/d/1vVuY9EJbbvICQY53MMegZqwwgpnnsDxg/view?usp=drivesdk","HENDRIK RAMBAEDY SERTIFIKAT BerAKHLAK")</f>
        <v>HENDRIK RAMBAEDY SERTIFIKAT BerAKHLAK</v>
      </c>
      <c r="K5273" s="5" t="s">
        <v>34135</v>
      </c>
      <c r="L5273" s="5" t="s">
        <v>34503</v>
      </c>
    </row>
    <row r="5274">
      <c r="A5274" s="4">
        <v>45534.35820686343</v>
      </c>
      <c r="B5274" s="5" t="s">
        <v>34</v>
      </c>
      <c r="D5274" s="5" t="s">
        <v>1692</v>
      </c>
      <c r="E5274" s="5" t="s">
        <v>34506</v>
      </c>
      <c r="F5274" s="5" t="s">
        <v>328</v>
      </c>
      <c r="G5274" s="5" t="s">
        <v>34507</v>
      </c>
      <c r="H5274" s="6" t="s">
        <v>34508</v>
      </c>
      <c r="I5274" s="7" t="s">
        <v>34509</v>
      </c>
      <c r="J5274" s="8" t="str">
        <f>HYPERLINK("https://drive.google.com/file/d/1ZaNvsn0gz9NDFsYnBllLvun6Z96XXUaD/view?usp=drivesdk","HERMAN MONATEN SERTIFIKAT BerAKHLAK")</f>
        <v>HERMAN MONATEN SERTIFIKAT BerAKHLAK</v>
      </c>
      <c r="K5274" s="5" t="s">
        <v>34135</v>
      </c>
      <c r="L5274" s="5" t="s">
        <v>34510</v>
      </c>
    </row>
    <row r="5275">
      <c r="A5275" s="4">
        <v>45534.35822013889</v>
      </c>
      <c r="B5275" s="5" t="s">
        <v>34</v>
      </c>
      <c r="D5275" s="5" t="s">
        <v>4775</v>
      </c>
      <c r="E5275" s="5" t="s">
        <v>34513</v>
      </c>
      <c r="F5275" s="5" t="s">
        <v>108</v>
      </c>
      <c r="G5275" s="5" t="s">
        <v>34514</v>
      </c>
      <c r="H5275" s="6" t="s">
        <v>34515</v>
      </c>
      <c r="I5275" s="7" t="s">
        <v>34516</v>
      </c>
      <c r="J5275" s="8" t="str">
        <f>HYPERLINK("https://drive.google.com/file/d/1uoEpyikIJGxyxaHjtyFZZ6u0I51blzsw/view?usp=drivesdk","DULHADI SERTIFIKAT BerAKHLAK")</f>
        <v>DULHADI SERTIFIKAT BerAKHLAK</v>
      </c>
      <c r="K5275" s="5" t="s">
        <v>34135</v>
      </c>
      <c r="L5275" s="5" t="s">
        <v>34517</v>
      </c>
    </row>
    <row r="5276">
      <c r="A5276" s="4">
        <v>45534.358224641204</v>
      </c>
      <c r="B5276" s="5" t="s">
        <v>34</v>
      </c>
      <c r="D5276" s="5" t="s">
        <v>522</v>
      </c>
      <c r="E5276" s="5" t="s">
        <v>34520</v>
      </c>
      <c r="F5276" s="5" t="s">
        <v>212</v>
      </c>
      <c r="G5276" s="5" t="s">
        <v>34521</v>
      </c>
      <c r="H5276" s="6" t="s">
        <v>34522</v>
      </c>
      <c r="I5276" s="7" t="s">
        <v>34523</v>
      </c>
      <c r="J5276" s="8" t="str">
        <f>HYPERLINK("https://drive.google.com/file/d/1zGvMYRjO4PgDJmdcAE2zT-gccoMvW2C7/view?usp=drivesdk","LALU BAYU ARYA SUNTANA, AMD. KEP SERTIFIKAT BerAKHLAK")</f>
        <v>LALU BAYU ARYA SUNTANA, AMD. KEP SERTIFIKAT BerAKHLAK</v>
      </c>
      <c r="K5276" s="5" t="s">
        <v>34135</v>
      </c>
      <c r="L5276" s="5" t="s">
        <v>34524</v>
      </c>
    </row>
    <row r="5277">
      <c r="A5277" s="4">
        <v>45534.35824572916</v>
      </c>
      <c r="B5277" s="5" t="s">
        <v>34</v>
      </c>
      <c r="D5277" s="5" t="s">
        <v>3849</v>
      </c>
      <c r="E5277" s="5" t="s">
        <v>34528</v>
      </c>
      <c r="F5277" s="5" t="s">
        <v>37</v>
      </c>
      <c r="G5277" s="5" t="s">
        <v>34529</v>
      </c>
      <c r="H5277" s="6" t="s">
        <v>34530</v>
      </c>
      <c r="I5277" s="7" t="s">
        <v>34531</v>
      </c>
      <c r="J5277" s="8" t="str">
        <f>HYPERLINK("https://drive.google.com/file/d/1P5-p3o3XHA6QPC_MDSSDAxpCgnRQKtup/view?usp=drivesdk","SUKIJAN SERTIFIKAT BerAKHLAK")</f>
        <v>SUKIJAN SERTIFIKAT BerAKHLAK</v>
      </c>
      <c r="K5277" s="5" t="s">
        <v>34135</v>
      </c>
      <c r="L5277" s="5" t="s">
        <v>34532</v>
      </c>
    </row>
    <row r="5278">
      <c r="A5278" s="4">
        <v>45534.35824706018</v>
      </c>
      <c r="B5278" s="5" t="s">
        <v>34</v>
      </c>
      <c r="D5278" s="5" t="s">
        <v>12978</v>
      </c>
      <c r="E5278" s="5" t="s">
        <v>34535</v>
      </c>
      <c r="F5278" s="5" t="s">
        <v>37</v>
      </c>
      <c r="G5278" s="5" t="s">
        <v>34536</v>
      </c>
      <c r="H5278" s="6" t="s">
        <v>34537</v>
      </c>
      <c r="I5278" s="7" t="s">
        <v>34538</v>
      </c>
      <c r="J5278" s="8" t="str">
        <f>HYPERLINK("https://drive.google.com/file/d/1FfbOZT63LlYcEPQdXDRzF1Ls-pkFv31G/view?usp=drivesdk","FERIDIYANA SERTIFIKAT BerAKHLAK")</f>
        <v>FERIDIYANA SERTIFIKAT BerAKHLAK</v>
      </c>
      <c r="K5278" s="5" t="s">
        <v>34135</v>
      </c>
      <c r="L5278" s="5" t="s">
        <v>34539</v>
      </c>
    </row>
    <row r="5279">
      <c r="A5279" s="4">
        <v>45534.35825380787</v>
      </c>
      <c r="B5279" s="5" t="s">
        <v>34</v>
      </c>
      <c r="D5279" s="5" t="s">
        <v>14313</v>
      </c>
      <c r="E5279" s="5" t="s">
        <v>34542</v>
      </c>
      <c r="F5279" s="5" t="s">
        <v>212</v>
      </c>
      <c r="G5279" s="5" t="s">
        <v>34543</v>
      </c>
      <c r="H5279" s="6" t="s">
        <v>34544</v>
      </c>
      <c r="K5279" s="5" t="s">
        <v>34545</v>
      </c>
    </row>
    <row r="5280">
      <c r="A5280" s="4">
        <v>45534.358264675924</v>
      </c>
      <c r="B5280" s="5" t="s">
        <v>34</v>
      </c>
      <c r="D5280" s="5" t="s">
        <v>522</v>
      </c>
      <c r="E5280" s="5" t="s">
        <v>34548</v>
      </c>
      <c r="F5280" s="5" t="s">
        <v>212</v>
      </c>
      <c r="G5280" s="5" t="s">
        <v>34549</v>
      </c>
      <c r="H5280" s="6" t="s">
        <v>34550</v>
      </c>
      <c r="I5280" s="7" t="s">
        <v>34551</v>
      </c>
      <c r="J5280" s="8" t="str">
        <f>HYPERLINK("https://drive.google.com/file/d/19iL79xi0D76NSVT3CKZRc2ysqIZRqFyE/view?usp=drivesdk","KEMALA DEWI SERTIFIKAT BerAKHLAK")</f>
        <v>KEMALA DEWI SERTIFIKAT BerAKHLAK</v>
      </c>
      <c r="K5280" s="5" t="s">
        <v>34135</v>
      </c>
      <c r="L5280" s="5" t="s">
        <v>34552</v>
      </c>
    </row>
    <row r="5281">
      <c r="A5281" s="4">
        <v>45534.358267777774</v>
      </c>
      <c r="B5281" s="5" t="s">
        <v>34</v>
      </c>
      <c r="D5281" s="5" t="s">
        <v>9394</v>
      </c>
      <c r="E5281" s="5" t="s">
        <v>34555</v>
      </c>
      <c r="F5281" s="5" t="s">
        <v>524</v>
      </c>
      <c r="G5281" s="5" t="s">
        <v>34556</v>
      </c>
      <c r="H5281" s="6" t="s">
        <v>34557</v>
      </c>
      <c r="I5281" s="7" t="s">
        <v>34558</v>
      </c>
      <c r="J5281" s="8" t="str">
        <f>HYPERLINK("https://drive.google.com/file/d/11plNrIDwWnA4uD5Bv0wCyQ9vWaO3-Wih/view?usp=drivesdk","MELDA SRI RAHAYU, S.M. SERTIFIKAT BerAKHLAK")</f>
        <v>MELDA SRI RAHAYU, S.M. SERTIFIKAT BerAKHLAK</v>
      </c>
      <c r="K5281" s="5" t="s">
        <v>34135</v>
      </c>
      <c r="L5281" s="5" t="s">
        <v>34559</v>
      </c>
    </row>
    <row r="5282">
      <c r="A5282" s="4">
        <v>45534.35830327546</v>
      </c>
      <c r="B5282" s="5" t="s">
        <v>34</v>
      </c>
      <c r="D5282" s="5" t="s">
        <v>10444</v>
      </c>
      <c r="E5282" s="5" t="s">
        <v>34563</v>
      </c>
      <c r="F5282" s="5" t="s">
        <v>108</v>
      </c>
      <c r="G5282" s="5" t="s">
        <v>34564</v>
      </c>
      <c r="H5282" s="6" t="s">
        <v>34565</v>
      </c>
      <c r="I5282" s="7" t="s">
        <v>34566</v>
      </c>
      <c r="J5282" s="8" t="str">
        <f>HYPERLINK("https://drive.google.com/file/d/1LR8q5CuBF_J1BlIy3kZkZgbWskFnvYVm/view?usp=drivesdk","ETIE GUSTINI SERTIFIKAT BerAKHLAK")</f>
        <v>ETIE GUSTINI SERTIFIKAT BerAKHLAK</v>
      </c>
      <c r="K5282" s="5" t="s">
        <v>34135</v>
      </c>
      <c r="L5282" s="5" t="s">
        <v>34567</v>
      </c>
    </row>
    <row r="5283">
      <c r="A5283" s="4">
        <v>45534.3583146412</v>
      </c>
      <c r="B5283" s="5" t="s">
        <v>34</v>
      </c>
      <c r="D5283" s="5" t="s">
        <v>1558</v>
      </c>
      <c r="E5283" s="5" t="s">
        <v>34570</v>
      </c>
      <c r="F5283" s="5" t="s">
        <v>199</v>
      </c>
      <c r="G5283" s="5" t="s">
        <v>34571</v>
      </c>
      <c r="H5283" s="6" t="s">
        <v>34572</v>
      </c>
      <c r="I5283" s="7" t="s">
        <v>34573</v>
      </c>
      <c r="J5283" s="8" t="str">
        <f>HYPERLINK("https://drive.google.com/file/d/1R_c5-JAXOlS-qbXud5QVHRNbC9XuAO_0/view?usp=drivesdk","SUDARSONO SERTIFIKAT BerAKHLAK")</f>
        <v>SUDARSONO SERTIFIKAT BerAKHLAK</v>
      </c>
      <c r="K5283" s="5" t="s">
        <v>34135</v>
      </c>
      <c r="L5283" s="5" t="s">
        <v>34574</v>
      </c>
    </row>
    <row r="5284">
      <c r="A5284" s="4">
        <v>45534.35831710648</v>
      </c>
      <c r="B5284" s="5" t="s">
        <v>34</v>
      </c>
      <c r="D5284" s="5" t="s">
        <v>4775</v>
      </c>
      <c r="E5284" s="5" t="s">
        <v>34577</v>
      </c>
      <c r="F5284" s="5" t="s">
        <v>108</v>
      </c>
      <c r="G5284" s="5" t="s">
        <v>34578</v>
      </c>
      <c r="H5284" s="6" t="s">
        <v>34579</v>
      </c>
      <c r="K5284" s="5" t="s">
        <v>34580</v>
      </c>
    </row>
    <row r="5285">
      <c r="A5285" s="4">
        <v>45534.35831707176</v>
      </c>
      <c r="B5285" s="5" t="s">
        <v>34</v>
      </c>
      <c r="D5285" s="5" t="s">
        <v>9394</v>
      </c>
      <c r="E5285" s="5" t="s">
        <v>34583</v>
      </c>
      <c r="F5285" s="5" t="s">
        <v>524</v>
      </c>
      <c r="G5285" s="5" t="s">
        <v>34584</v>
      </c>
      <c r="H5285" s="6" t="s">
        <v>34585</v>
      </c>
      <c r="K5285" s="5" t="s">
        <v>34580</v>
      </c>
    </row>
    <row r="5286">
      <c r="A5286" s="4">
        <v>45534.358356296296</v>
      </c>
      <c r="B5286" s="5" t="s">
        <v>19</v>
      </c>
      <c r="C5286" s="5" t="s">
        <v>292</v>
      </c>
      <c r="E5286" s="5" t="s">
        <v>34588</v>
      </c>
      <c r="F5286" s="5" t="s">
        <v>72</v>
      </c>
      <c r="G5286" s="5" t="s">
        <v>34589</v>
      </c>
      <c r="H5286" s="6" t="s">
        <v>34590</v>
      </c>
      <c r="K5286" s="5" t="s">
        <v>34591</v>
      </c>
    </row>
    <row r="5287">
      <c r="A5287" s="4">
        <v>45534.3583653588</v>
      </c>
      <c r="B5287" s="5" t="s">
        <v>34</v>
      </c>
      <c r="D5287" s="5" t="s">
        <v>11913</v>
      </c>
      <c r="E5287" s="5" t="s">
        <v>34595</v>
      </c>
      <c r="F5287" s="5" t="s">
        <v>72</v>
      </c>
      <c r="G5287" s="5" t="s">
        <v>34596</v>
      </c>
      <c r="H5287" s="6" t="s">
        <v>34597</v>
      </c>
      <c r="K5287" s="5" t="s">
        <v>34598</v>
      </c>
    </row>
    <row r="5288">
      <c r="A5288" s="4">
        <v>45534.35836974537</v>
      </c>
      <c r="B5288" s="5" t="s">
        <v>34</v>
      </c>
      <c r="D5288" s="5" t="s">
        <v>1206</v>
      </c>
      <c r="E5288" s="5" t="s">
        <v>34601</v>
      </c>
      <c r="F5288" s="5" t="s">
        <v>524</v>
      </c>
      <c r="G5288" s="5" t="s">
        <v>34602</v>
      </c>
      <c r="H5288" s="6" t="s">
        <v>34603</v>
      </c>
      <c r="K5288" s="5" t="s">
        <v>34598</v>
      </c>
    </row>
    <row r="5289">
      <c r="A5289" s="4">
        <v>45534.35837153935</v>
      </c>
      <c r="B5289" s="5" t="s">
        <v>34</v>
      </c>
      <c r="D5289" s="5" t="s">
        <v>1692</v>
      </c>
      <c r="E5289" s="5" t="s">
        <v>34606</v>
      </c>
      <c r="F5289" s="5" t="s">
        <v>212</v>
      </c>
      <c r="G5289" s="5" t="s">
        <v>34607</v>
      </c>
      <c r="H5289" s="6" t="s">
        <v>34608</v>
      </c>
      <c r="K5289" s="5" t="s">
        <v>34598</v>
      </c>
    </row>
    <row r="5290">
      <c r="A5290" s="4">
        <v>45534.35839001158</v>
      </c>
      <c r="B5290" s="5" t="s">
        <v>34</v>
      </c>
      <c r="D5290" s="5" t="s">
        <v>1206</v>
      </c>
      <c r="E5290" s="5" t="s">
        <v>34611</v>
      </c>
      <c r="F5290" s="5" t="s">
        <v>375</v>
      </c>
      <c r="G5290" s="5" t="s">
        <v>34612</v>
      </c>
      <c r="H5290" s="6" t="s">
        <v>34613</v>
      </c>
      <c r="K5290" s="5" t="s">
        <v>34598</v>
      </c>
    </row>
    <row r="5291">
      <c r="A5291" s="4">
        <v>45534.35839177083</v>
      </c>
      <c r="B5291" s="5" t="s">
        <v>34</v>
      </c>
      <c r="D5291" s="5" t="s">
        <v>14424</v>
      </c>
      <c r="E5291" s="5" t="s">
        <v>34616</v>
      </c>
      <c r="F5291" s="5" t="s">
        <v>108</v>
      </c>
      <c r="G5291" s="5" t="s">
        <v>34617</v>
      </c>
      <c r="H5291" s="6" t="s">
        <v>34618</v>
      </c>
      <c r="K5291" s="5" t="s">
        <v>34598</v>
      </c>
    </row>
    <row r="5292">
      <c r="A5292" s="4">
        <v>45534.35839728009</v>
      </c>
      <c r="B5292" s="5" t="s">
        <v>34</v>
      </c>
      <c r="D5292" s="5" t="s">
        <v>3849</v>
      </c>
      <c r="E5292" s="5" t="s">
        <v>34622</v>
      </c>
      <c r="F5292" s="5" t="s">
        <v>37</v>
      </c>
      <c r="G5292" s="5" t="s">
        <v>34623</v>
      </c>
      <c r="H5292" s="6" t="s">
        <v>34624</v>
      </c>
      <c r="K5292" s="5" t="s">
        <v>34598</v>
      </c>
    </row>
    <row r="5293">
      <c r="A5293" s="4">
        <v>45534.3584187963</v>
      </c>
      <c r="B5293" s="5" t="s">
        <v>34</v>
      </c>
      <c r="D5293" s="5" t="s">
        <v>14424</v>
      </c>
      <c r="E5293" s="5" t="s">
        <v>34627</v>
      </c>
      <c r="F5293" s="5" t="s">
        <v>212</v>
      </c>
      <c r="G5293" s="5" t="s">
        <v>34628</v>
      </c>
      <c r="H5293" s="6" t="s">
        <v>34629</v>
      </c>
      <c r="K5293" s="5" t="s">
        <v>34598</v>
      </c>
    </row>
    <row r="5294">
      <c r="A5294" s="4">
        <v>45534.35843883102</v>
      </c>
      <c r="B5294" s="5" t="s">
        <v>34</v>
      </c>
      <c r="D5294" s="5" t="s">
        <v>12978</v>
      </c>
      <c r="E5294" s="5" t="s">
        <v>34632</v>
      </c>
      <c r="F5294" s="5" t="s">
        <v>212</v>
      </c>
      <c r="G5294" s="5" t="s">
        <v>34633</v>
      </c>
      <c r="H5294" s="6" t="s">
        <v>34634</v>
      </c>
      <c r="K5294" s="5" t="s">
        <v>34635</v>
      </c>
    </row>
    <row r="5295">
      <c r="A5295" s="4">
        <v>45534.358441585646</v>
      </c>
      <c r="B5295" s="5" t="s">
        <v>34</v>
      </c>
      <c r="D5295" s="5" t="s">
        <v>4775</v>
      </c>
      <c r="E5295" s="5" t="s">
        <v>34638</v>
      </c>
      <c r="F5295" s="5" t="s">
        <v>212</v>
      </c>
      <c r="G5295" s="5" t="s">
        <v>34639</v>
      </c>
      <c r="H5295" s="6" t="s">
        <v>34640</v>
      </c>
      <c r="K5295" s="5" t="s">
        <v>34635</v>
      </c>
    </row>
    <row r="5296">
      <c r="A5296" s="4">
        <v>45534.35846263889</v>
      </c>
      <c r="B5296" s="5" t="s">
        <v>34</v>
      </c>
      <c r="D5296" s="5" t="s">
        <v>1206</v>
      </c>
      <c r="E5296" s="5" t="s">
        <v>34644</v>
      </c>
      <c r="F5296" s="5" t="s">
        <v>212</v>
      </c>
      <c r="G5296" s="5" t="s">
        <v>34645</v>
      </c>
      <c r="H5296" s="6" t="s">
        <v>34646</v>
      </c>
      <c r="K5296" s="5" t="s">
        <v>34647</v>
      </c>
    </row>
    <row r="5297">
      <c r="A5297" s="4">
        <v>45534.35846877315</v>
      </c>
      <c r="B5297" s="5" t="s">
        <v>34</v>
      </c>
      <c r="D5297" s="5" t="s">
        <v>1558</v>
      </c>
      <c r="E5297" s="5" t="s">
        <v>34650</v>
      </c>
      <c r="F5297" s="5" t="s">
        <v>375</v>
      </c>
      <c r="G5297" s="5" t="s">
        <v>34651</v>
      </c>
      <c r="H5297" s="6" t="s">
        <v>34652</v>
      </c>
      <c r="K5297" s="5" t="s">
        <v>34647</v>
      </c>
    </row>
    <row r="5298">
      <c r="A5298" s="4">
        <v>45534.358473472224</v>
      </c>
      <c r="B5298" s="5" t="s">
        <v>34</v>
      </c>
      <c r="D5298" s="5" t="s">
        <v>1206</v>
      </c>
      <c r="E5298" s="5" t="s">
        <v>34655</v>
      </c>
      <c r="F5298" s="5" t="s">
        <v>524</v>
      </c>
      <c r="G5298" s="5" t="s">
        <v>34656</v>
      </c>
      <c r="H5298" s="6" t="s">
        <v>34657</v>
      </c>
      <c r="K5298" s="5" t="s">
        <v>34647</v>
      </c>
    </row>
    <row r="5299">
      <c r="A5299" s="4">
        <v>45534.35848278935</v>
      </c>
      <c r="B5299" s="5" t="s">
        <v>34</v>
      </c>
      <c r="D5299" s="5" t="s">
        <v>14424</v>
      </c>
      <c r="E5299" s="5" t="s">
        <v>34660</v>
      </c>
      <c r="F5299" s="5" t="s">
        <v>524</v>
      </c>
      <c r="G5299" s="5" t="s">
        <v>34661</v>
      </c>
      <c r="H5299" s="6" t="s">
        <v>34662</v>
      </c>
      <c r="K5299" s="5" t="s">
        <v>34647</v>
      </c>
    </row>
    <row r="5300">
      <c r="A5300" s="4">
        <v>45534.35849313658</v>
      </c>
      <c r="B5300" s="5" t="s">
        <v>34</v>
      </c>
      <c r="D5300" s="5" t="s">
        <v>522</v>
      </c>
      <c r="E5300" s="5" t="s">
        <v>34665</v>
      </c>
      <c r="F5300" s="5" t="s">
        <v>212</v>
      </c>
      <c r="G5300" s="5" t="s">
        <v>34666</v>
      </c>
      <c r="H5300" s="6" t="s">
        <v>34667</v>
      </c>
      <c r="K5300" s="5" t="s">
        <v>34647</v>
      </c>
    </row>
    <row r="5301">
      <c r="A5301" s="4">
        <v>45534.35849268518</v>
      </c>
      <c r="B5301" s="5" t="s">
        <v>34</v>
      </c>
      <c r="D5301" s="5" t="s">
        <v>1558</v>
      </c>
      <c r="E5301" s="5" t="s">
        <v>34670</v>
      </c>
      <c r="F5301" s="5" t="s">
        <v>108</v>
      </c>
      <c r="G5301" s="5" t="s">
        <v>34671</v>
      </c>
      <c r="H5301" s="6" t="s">
        <v>34672</v>
      </c>
      <c r="K5301" s="5" t="s">
        <v>34647</v>
      </c>
    </row>
    <row r="5302">
      <c r="A5302" s="4">
        <v>45534.35850199074</v>
      </c>
      <c r="B5302" s="5" t="s">
        <v>34</v>
      </c>
      <c r="D5302" s="5" t="s">
        <v>4775</v>
      </c>
      <c r="E5302" s="5" t="s">
        <v>34676</v>
      </c>
      <c r="F5302" s="5" t="s">
        <v>37</v>
      </c>
      <c r="G5302" s="5" t="s">
        <v>34677</v>
      </c>
      <c r="H5302" s="6" t="s">
        <v>34678</v>
      </c>
      <c r="K5302" s="5" t="s">
        <v>34647</v>
      </c>
    </row>
    <row r="5303">
      <c r="A5303" s="4">
        <v>45534.358502083334</v>
      </c>
      <c r="B5303" s="5" t="s">
        <v>34</v>
      </c>
      <c r="D5303" s="5" t="s">
        <v>7858</v>
      </c>
      <c r="E5303" s="5" t="s">
        <v>34681</v>
      </c>
      <c r="F5303" s="5" t="s">
        <v>72</v>
      </c>
      <c r="G5303" s="5" t="s">
        <v>34682</v>
      </c>
      <c r="H5303" s="6" t="s">
        <v>34683</v>
      </c>
      <c r="K5303" s="5" t="s">
        <v>34647</v>
      </c>
    </row>
    <row r="5304">
      <c r="A5304" s="4">
        <v>45534.35850637731</v>
      </c>
      <c r="B5304" s="5" t="s">
        <v>34</v>
      </c>
      <c r="D5304" s="5" t="s">
        <v>9394</v>
      </c>
      <c r="E5304" s="5" t="s">
        <v>34686</v>
      </c>
      <c r="F5304" s="5" t="s">
        <v>72</v>
      </c>
      <c r="G5304" s="5" t="s">
        <v>34687</v>
      </c>
      <c r="H5304" s="6" t="s">
        <v>34688</v>
      </c>
      <c r="K5304" s="5" t="s">
        <v>34647</v>
      </c>
    </row>
    <row r="5305">
      <c r="A5305" s="4">
        <v>45534.35854356481</v>
      </c>
      <c r="B5305" s="5" t="s">
        <v>34</v>
      </c>
      <c r="D5305" s="5" t="s">
        <v>1206</v>
      </c>
      <c r="E5305" s="5" t="s">
        <v>34691</v>
      </c>
      <c r="F5305" s="5" t="s">
        <v>37</v>
      </c>
      <c r="G5305" s="5" t="s">
        <v>34692</v>
      </c>
      <c r="H5305" s="6" t="s">
        <v>34693</v>
      </c>
      <c r="K5305" s="5" t="s">
        <v>34647</v>
      </c>
    </row>
    <row r="5306">
      <c r="A5306" s="4">
        <v>45534.358558935186</v>
      </c>
      <c r="B5306" s="5" t="s">
        <v>34</v>
      </c>
      <c r="D5306" s="5" t="s">
        <v>4775</v>
      </c>
      <c r="E5306" s="5" t="s">
        <v>34696</v>
      </c>
      <c r="F5306" s="5" t="s">
        <v>212</v>
      </c>
      <c r="G5306" s="5" t="s">
        <v>34697</v>
      </c>
      <c r="H5306" s="6" t="s">
        <v>34698</v>
      </c>
      <c r="K5306" s="5" t="s">
        <v>34647</v>
      </c>
    </row>
    <row r="5307">
      <c r="A5307" s="4">
        <v>45534.35856366898</v>
      </c>
      <c r="B5307" s="5" t="s">
        <v>34</v>
      </c>
      <c r="D5307" s="5" t="s">
        <v>1558</v>
      </c>
      <c r="E5307" s="5" t="s">
        <v>34702</v>
      </c>
      <c r="F5307" s="5" t="s">
        <v>375</v>
      </c>
      <c r="G5307" s="5" t="s">
        <v>34703</v>
      </c>
      <c r="H5307" s="6" t="s">
        <v>34704</v>
      </c>
      <c r="K5307" s="5" t="s">
        <v>34647</v>
      </c>
    </row>
    <row r="5308">
      <c r="A5308" s="4">
        <v>45534.35856918982</v>
      </c>
      <c r="B5308" s="5" t="s">
        <v>34</v>
      </c>
      <c r="D5308" s="5" t="s">
        <v>14424</v>
      </c>
      <c r="E5308" s="5" t="s">
        <v>34707</v>
      </c>
      <c r="F5308" s="5" t="s">
        <v>212</v>
      </c>
      <c r="G5308" s="5" t="s">
        <v>34708</v>
      </c>
      <c r="H5308" s="6" t="s">
        <v>34709</v>
      </c>
      <c r="K5308" s="5" t="s">
        <v>34647</v>
      </c>
    </row>
    <row r="5309">
      <c r="A5309" s="4">
        <v>45534.358572199075</v>
      </c>
      <c r="B5309" s="5" t="s">
        <v>19</v>
      </c>
      <c r="C5309" s="5" t="s">
        <v>3301</v>
      </c>
      <c r="E5309" s="5" t="s">
        <v>34712</v>
      </c>
      <c r="F5309" s="5" t="s">
        <v>72</v>
      </c>
      <c r="G5309" s="5" t="s">
        <v>34713</v>
      </c>
      <c r="H5309" s="6" t="s">
        <v>34714</v>
      </c>
      <c r="K5309" s="5" t="s">
        <v>34715</v>
      </c>
    </row>
    <row r="5310">
      <c r="A5310" s="4">
        <v>45534.3585734838</v>
      </c>
      <c r="B5310" s="5" t="s">
        <v>19</v>
      </c>
      <c r="C5310" s="5" t="s">
        <v>5058</v>
      </c>
      <c r="E5310" s="5" t="s">
        <v>34718</v>
      </c>
      <c r="F5310" s="5" t="s">
        <v>108</v>
      </c>
      <c r="G5310" s="5" t="s">
        <v>34719</v>
      </c>
      <c r="H5310" s="6" t="s">
        <v>34720</v>
      </c>
      <c r="K5310" s="5" t="s">
        <v>34715</v>
      </c>
    </row>
    <row r="5311">
      <c r="A5311" s="4">
        <v>45534.35858259259</v>
      </c>
      <c r="B5311" s="5" t="s">
        <v>34</v>
      </c>
      <c r="D5311" s="5" t="s">
        <v>7858</v>
      </c>
      <c r="E5311" s="7" t="s">
        <v>34723</v>
      </c>
      <c r="F5311" s="5" t="s">
        <v>72</v>
      </c>
      <c r="G5311" s="5" t="s">
        <v>34724</v>
      </c>
      <c r="H5311" s="6" t="s">
        <v>34725</v>
      </c>
      <c r="K5311" s="5" t="s">
        <v>34715</v>
      </c>
    </row>
    <row r="5312">
      <c r="A5312" s="4">
        <v>45534.358598680556</v>
      </c>
      <c r="B5312" s="5" t="s">
        <v>34</v>
      </c>
      <c r="D5312" s="5" t="s">
        <v>280</v>
      </c>
      <c r="E5312" s="5" t="s">
        <v>34728</v>
      </c>
      <c r="F5312" s="5" t="s">
        <v>37</v>
      </c>
      <c r="G5312" s="5" t="s">
        <v>34729</v>
      </c>
      <c r="H5312" s="6" t="s">
        <v>34730</v>
      </c>
      <c r="K5312" s="5" t="s">
        <v>34715</v>
      </c>
    </row>
    <row r="5313">
      <c r="A5313" s="4">
        <v>45534.3586027662</v>
      </c>
      <c r="B5313" s="5" t="s">
        <v>34</v>
      </c>
      <c r="D5313" s="5" t="s">
        <v>1206</v>
      </c>
      <c r="E5313" s="5" t="s">
        <v>34734</v>
      </c>
      <c r="F5313" s="5" t="s">
        <v>212</v>
      </c>
      <c r="G5313" s="5" t="s">
        <v>34735</v>
      </c>
      <c r="H5313" s="6" t="s">
        <v>34736</v>
      </c>
      <c r="K5313" s="5" t="s">
        <v>34715</v>
      </c>
    </row>
    <row r="5314">
      <c r="A5314" s="4">
        <v>45534.358608738425</v>
      </c>
      <c r="B5314" s="5" t="s">
        <v>34</v>
      </c>
      <c r="D5314" s="5" t="s">
        <v>9020</v>
      </c>
      <c r="E5314" s="5" t="s">
        <v>34739</v>
      </c>
      <c r="F5314" s="5" t="s">
        <v>212</v>
      </c>
      <c r="G5314" s="5" t="s">
        <v>34740</v>
      </c>
      <c r="H5314" s="6" t="s">
        <v>34741</v>
      </c>
      <c r="K5314" s="5" t="s">
        <v>34715</v>
      </c>
    </row>
    <row r="5315">
      <c r="A5315" s="4">
        <v>45534.358613749995</v>
      </c>
      <c r="B5315" s="5" t="s">
        <v>34</v>
      </c>
      <c r="D5315" s="5" t="s">
        <v>4775</v>
      </c>
      <c r="E5315" s="5" t="s">
        <v>34744</v>
      </c>
      <c r="F5315" s="5" t="s">
        <v>72</v>
      </c>
      <c r="G5315" s="5" t="s">
        <v>34745</v>
      </c>
      <c r="H5315" s="6" t="s">
        <v>34746</v>
      </c>
      <c r="K5315" s="5" t="s">
        <v>34715</v>
      </c>
    </row>
    <row r="5316">
      <c r="A5316" s="4">
        <v>45534.3586349074</v>
      </c>
      <c r="B5316" s="5" t="s">
        <v>34</v>
      </c>
      <c r="D5316" s="5" t="s">
        <v>35</v>
      </c>
      <c r="E5316" s="5" t="s">
        <v>34749</v>
      </c>
      <c r="F5316" s="5" t="s">
        <v>37</v>
      </c>
      <c r="G5316" s="5" t="s">
        <v>34750</v>
      </c>
      <c r="H5316" s="6" t="s">
        <v>34751</v>
      </c>
      <c r="K5316" s="5" t="s">
        <v>34715</v>
      </c>
    </row>
    <row r="5317">
      <c r="A5317" s="4">
        <v>45534.35864332176</v>
      </c>
      <c r="B5317" s="5" t="s">
        <v>34</v>
      </c>
      <c r="D5317" s="5" t="s">
        <v>14313</v>
      </c>
      <c r="E5317" s="5" t="s">
        <v>34754</v>
      </c>
      <c r="F5317" s="5" t="s">
        <v>212</v>
      </c>
      <c r="G5317" s="5" t="s">
        <v>34755</v>
      </c>
      <c r="H5317" s="6" t="s">
        <v>34756</v>
      </c>
      <c r="K5317" s="5" t="s">
        <v>34715</v>
      </c>
    </row>
    <row r="5318">
      <c r="A5318" s="4">
        <v>45534.35864484953</v>
      </c>
      <c r="B5318" s="5" t="s">
        <v>34</v>
      </c>
      <c r="D5318" s="5" t="s">
        <v>996</v>
      </c>
      <c r="E5318" s="5" t="s">
        <v>34760</v>
      </c>
      <c r="F5318" s="5" t="s">
        <v>108</v>
      </c>
      <c r="G5318" s="5" t="s">
        <v>34761</v>
      </c>
      <c r="H5318" s="6" t="s">
        <v>34762</v>
      </c>
      <c r="K5318" s="5" t="s">
        <v>34715</v>
      </c>
    </row>
    <row r="5319">
      <c r="A5319" s="4">
        <v>45534.358659756945</v>
      </c>
      <c r="B5319" s="5" t="s">
        <v>34</v>
      </c>
      <c r="D5319" s="5" t="s">
        <v>1206</v>
      </c>
      <c r="E5319" s="5" t="s">
        <v>34765</v>
      </c>
      <c r="F5319" s="5" t="s">
        <v>108</v>
      </c>
      <c r="G5319" s="5" t="s">
        <v>34766</v>
      </c>
      <c r="H5319" s="6" t="s">
        <v>34767</v>
      </c>
      <c r="K5319" s="5" t="s">
        <v>34715</v>
      </c>
    </row>
    <row r="5320">
      <c r="A5320" s="4">
        <v>45534.358680219906</v>
      </c>
      <c r="B5320" s="5" t="s">
        <v>34</v>
      </c>
      <c r="D5320" s="5" t="s">
        <v>4775</v>
      </c>
      <c r="E5320" s="5" t="s">
        <v>34770</v>
      </c>
      <c r="F5320" s="5" t="s">
        <v>72</v>
      </c>
      <c r="G5320" s="5" t="s">
        <v>34771</v>
      </c>
      <c r="H5320" s="6" t="s">
        <v>34772</v>
      </c>
      <c r="K5320" s="5" t="s">
        <v>34715</v>
      </c>
    </row>
    <row r="5321">
      <c r="A5321" s="4">
        <v>45534.358698275464</v>
      </c>
      <c r="B5321" s="5" t="s">
        <v>34</v>
      </c>
      <c r="D5321" s="5" t="s">
        <v>7858</v>
      </c>
      <c r="E5321" s="5" t="s">
        <v>34775</v>
      </c>
      <c r="F5321" s="5" t="s">
        <v>37</v>
      </c>
      <c r="G5321" s="5" t="s">
        <v>34776</v>
      </c>
      <c r="H5321" s="6" t="s">
        <v>34777</v>
      </c>
      <c r="K5321" s="5" t="s">
        <v>34715</v>
      </c>
    </row>
    <row r="5322">
      <c r="A5322" s="4">
        <v>45534.35869916667</v>
      </c>
      <c r="B5322" s="5" t="s">
        <v>34</v>
      </c>
      <c r="D5322" s="5" t="s">
        <v>4775</v>
      </c>
      <c r="E5322" s="5" t="s">
        <v>34781</v>
      </c>
      <c r="F5322" s="5" t="s">
        <v>37</v>
      </c>
      <c r="G5322" s="5" t="s">
        <v>34782</v>
      </c>
      <c r="H5322" s="6" t="s">
        <v>34783</v>
      </c>
      <c r="K5322" s="5" t="s">
        <v>34715</v>
      </c>
    </row>
    <row r="5323">
      <c r="A5323" s="4">
        <v>45534.35870899305</v>
      </c>
      <c r="B5323" s="5" t="s">
        <v>34</v>
      </c>
      <c r="D5323" s="5" t="s">
        <v>14313</v>
      </c>
      <c r="E5323" s="5" t="s">
        <v>34786</v>
      </c>
      <c r="F5323" s="5" t="s">
        <v>72</v>
      </c>
      <c r="G5323" s="5" t="s">
        <v>34787</v>
      </c>
      <c r="H5323" s="6" t="s">
        <v>34788</v>
      </c>
      <c r="K5323" s="5" t="s">
        <v>34715</v>
      </c>
    </row>
    <row r="5324">
      <c r="A5324" s="4">
        <v>45534.358709479166</v>
      </c>
      <c r="B5324" s="5" t="s">
        <v>34</v>
      </c>
      <c r="D5324" s="5" t="s">
        <v>4775</v>
      </c>
      <c r="E5324" s="5" t="s">
        <v>34791</v>
      </c>
      <c r="F5324" s="5" t="s">
        <v>524</v>
      </c>
      <c r="G5324" s="5" t="s">
        <v>34792</v>
      </c>
      <c r="H5324" s="6" t="s">
        <v>34793</v>
      </c>
      <c r="K5324" s="5" t="s">
        <v>34715</v>
      </c>
    </row>
    <row r="5325">
      <c r="A5325" s="4">
        <v>45534.358712824076</v>
      </c>
      <c r="B5325" s="5" t="s">
        <v>34</v>
      </c>
      <c r="D5325" s="5" t="s">
        <v>4775</v>
      </c>
      <c r="E5325" s="5" t="s">
        <v>34796</v>
      </c>
      <c r="F5325" s="5" t="s">
        <v>212</v>
      </c>
      <c r="G5325" s="5" t="s">
        <v>34797</v>
      </c>
      <c r="H5325" s="6" t="s">
        <v>34798</v>
      </c>
      <c r="K5325" s="5" t="s">
        <v>34715</v>
      </c>
    </row>
    <row r="5326">
      <c r="A5326" s="4">
        <v>45534.35871591435</v>
      </c>
      <c r="B5326" s="5" t="s">
        <v>34</v>
      </c>
      <c r="D5326" s="5" t="s">
        <v>1206</v>
      </c>
      <c r="E5326" s="5" t="s">
        <v>34801</v>
      </c>
      <c r="F5326" s="5" t="s">
        <v>212</v>
      </c>
      <c r="G5326" s="5" t="s">
        <v>34802</v>
      </c>
      <c r="H5326" s="6" t="s">
        <v>34803</v>
      </c>
      <c r="K5326" s="5" t="s">
        <v>34715</v>
      </c>
    </row>
    <row r="5327">
      <c r="A5327" s="4">
        <v>45534.35873050926</v>
      </c>
      <c r="B5327" s="5" t="s">
        <v>34</v>
      </c>
      <c r="D5327" s="5" t="s">
        <v>4775</v>
      </c>
      <c r="E5327" s="5" t="s">
        <v>34806</v>
      </c>
      <c r="F5327" s="5" t="s">
        <v>524</v>
      </c>
      <c r="G5327" s="5" t="s">
        <v>34807</v>
      </c>
      <c r="H5327" s="6" t="s">
        <v>34808</v>
      </c>
      <c r="I5327" s="7" t="s">
        <v>34809</v>
      </c>
      <c r="J5327" s="8" t="str">
        <f>HYPERLINK("https://drive.google.com/file/d/1slJWwUrawhrRUW5DEV_e0ZCyUne_QRXL/view?usp=drivesdk","TRI LESTARI, S.Tr.Kom SERTIFIKAT BerAKHLAK")</f>
        <v>TRI LESTARI, S.Tr.Kom SERTIFIKAT BerAKHLAK</v>
      </c>
      <c r="K5327" s="5" t="s">
        <v>34135</v>
      </c>
      <c r="L5327" s="5" t="s">
        <v>34810</v>
      </c>
    </row>
    <row r="5328">
      <c r="A5328" s="4">
        <v>45534.35873703704</v>
      </c>
      <c r="B5328" s="5" t="s">
        <v>34</v>
      </c>
      <c r="D5328" s="5" t="s">
        <v>1206</v>
      </c>
      <c r="E5328" s="5" t="s">
        <v>34814</v>
      </c>
      <c r="F5328" s="5" t="s">
        <v>37</v>
      </c>
      <c r="G5328" s="5" t="s">
        <v>34815</v>
      </c>
      <c r="H5328" s="6" t="s">
        <v>34816</v>
      </c>
      <c r="I5328" s="7" t="s">
        <v>34817</v>
      </c>
      <c r="J5328" s="8" t="str">
        <f>HYPERLINK("https://drive.google.com/file/d/1SL0PbTSBoSTvAl6w-WyGpguB9ZtanyEY/view?usp=drivesdk","ANDIK SETYO UTOMO  SERTIFIKAT BerAKHLAK")</f>
        <v>ANDIK SETYO UTOMO  SERTIFIKAT BerAKHLAK</v>
      </c>
      <c r="K5328" s="5" t="s">
        <v>34818</v>
      </c>
      <c r="L5328" s="5" t="s">
        <v>34819</v>
      </c>
    </row>
    <row r="5329">
      <c r="A5329" s="4">
        <v>45534.35875053241</v>
      </c>
      <c r="B5329" s="5" t="s">
        <v>34</v>
      </c>
      <c r="D5329" s="5" t="s">
        <v>35</v>
      </c>
      <c r="E5329" s="5" t="s">
        <v>34822</v>
      </c>
      <c r="F5329" s="5" t="s">
        <v>72</v>
      </c>
      <c r="G5329" s="5" t="s">
        <v>34823</v>
      </c>
      <c r="H5329" s="6" t="s">
        <v>34824</v>
      </c>
      <c r="I5329" s="7" t="s">
        <v>34825</v>
      </c>
      <c r="J5329" s="8" t="str">
        <f>HYPERLINK("https://drive.google.com/file/d/16BkcIMqo8TJBd_itm-6qjV4b5bnW993j/view?usp=drivesdk","DWI YULI DARWANTO, S.KOM SERTIFIKAT BerAKHLAK")</f>
        <v>DWI YULI DARWANTO, S.KOM SERTIFIKAT BerAKHLAK</v>
      </c>
      <c r="K5329" s="5" t="s">
        <v>34818</v>
      </c>
      <c r="L5329" s="5" t="s">
        <v>34826</v>
      </c>
    </row>
    <row r="5330">
      <c r="A5330" s="4">
        <v>45534.35875162037</v>
      </c>
      <c r="B5330" s="5" t="s">
        <v>34</v>
      </c>
      <c r="D5330" s="5" t="s">
        <v>1206</v>
      </c>
      <c r="E5330" s="5" t="s">
        <v>34829</v>
      </c>
      <c r="F5330" s="5" t="s">
        <v>37</v>
      </c>
      <c r="G5330" s="5" t="s">
        <v>34830</v>
      </c>
      <c r="H5330" s="6" t="s">
        <v>34831</v>
      </c>
      <c r="I5330" s="7" t="s">
        <v>34832</v>
      </c>
      <c r="J5330" s="8" t="str">
        <f>HYPERLINK("https://drive.google.com/file/d/1IQaQaD7N8NdPdChqJWnHYt1giW2ENstl/view?usp=drivesdk","ARIJANI SERTIFIKAT BerAKHLAK")</f>
        <v>ARIJANI SERTIFIKAT BerAKHLAK</v>
      </c>
      <c r="K5330" s="5" t="s">
        <v>34818</v>
      </c>
      <c r="L5330" s="5" t="s">
        <v>34833</v>
      </c>
    </row>
    <row r="5331">
      <c r="A5331" s="4">
        <v>45534.35875737268</v>
      </c>
      <c r="B5331" s="5" t="s">
        <v>34</v>
      </c>
      <c r="D5331" s="5" t="s">
        <v>3849</v>
      </c>
      <c r="E5331" s="5" t="s">
        <v>34836</v>
      </c>
      <c r="F5331" s="5" t="s">
        <v>212</v>
      </c>
      <c r="G5331" s="5" t="s">
        <v>34837</v>
      </c>
      <c r="H5331" s="6" t="s">
        <v>34838</v>
      </c>
      <c r="K5331" s="5" t="s">
        <v>34839</v>
      </c>
    </row>
    <row r="5332">
      <c r="A5332" s="4">
        <v>45534.35876229167</v>
      </c>
      <c r="B5332" s="5" t="s">
        <v>34</v>
      </c>
      <c r="D5332" s="5" t="s">
        <v>1206</v>
      </c>
      <c r="E5332" s="5" t="s">
        <v>34842</v>
      </c>
      <c r="F5332" s="5" t="s">
        <v>5859</v>
      </c>
      <c r="G5332" s="5" t="s">
        <v>34843</v>
      </c>
      <c r="H5332" s="6" t="s">
        <v>34844</v>
      </c>
      <c r="K5332" s="5" t="s">
        <v>34839</v>
      </c>
    </row>
    <row r="5333">
      <c r="A5333" s="4">
        <v>45534.3587846875</v>
      </c>
      <c r="B5333" s="5" t="s">
        <v>34</v>
      </c>
      <c r="D5333" s="5" t="s">
        <v>1206</v>
      </c>
      <c r="E5333" s="5" t="s">
        <v>34848</v>
      </c>
      <c r="F5333" s="5" t="s">
        <v>37</v>
      </c>
      <c r="G5333" s="5" t="s">
        <v>34849</v>
      </c>
      <c r="H5333" s="6" t="s">
        <v>34850</v>
      </c>
      <c r="I5333" s="7" t="s">
        <v>34851</v>
      </c>
      <c r="J5333" s="8" t="str">
        <f>HYPERLINK("https://drive.google.com/file/d/1W6DQXgDhvKRDnueij-fWw9OV3Zv8dZPs/view?usp=drivesdk","FARICH SYAICHULLOH HADI  SERTIFIKAT BerAKHLAK")</f>
        <v>FARICH SYAICHULLOH HADI  SERTIFIKAT BerAKHLAK</v>
      </c>
      <c r="K5333" s="5" t="s">
        <v>34135</v>
      </c>
      <c r="L5333" s="5" t="s">
        <v>34852</v>
      </c>
    </row>
    <row r="5334">
      <c r="A5334" s="4">
        <v>45534.35878733796</v>
      </c>
      <c r="B5334" s="5" t="s">
        <v>34</v>
      </c>
      <c r="D5334" s="5" t="s">
        <v>1206</v>
      </c>
      <c r="E5334" s="5" t="s">
        <v>34855</v>
      </c>
      <c r="F5334" s="5" t="s">
        <v>212</v>
      </c>
      <c r="G5334" s="5" t="s">
        <v>34856</v>
      </c>
      <c r="H5334" s="6" t="s">
        <v>34857</v>
      </c>
      <c r="I5334" s="7" t="s">
        <v>34858</v>
      </c>
      <c r="J5334" s="8" t="str">
        <f>HYPERLINK("https://drive.google.com/file/d/16-PgM7JfV3ebmeburLPY1I057fllquU3/view?usp=drivesdk","RR WAHJU TJAHJANDARI SERTIFIKAT BerAKHLAK")</f>
        <v>RR WAHJU TJAHJANDARI SERTIFIKAT BerAKHLAK</v>
      </c>
      <c r="K5334" s="5" t="s">
        <v>34818</v>
      </c>
      <c r="L5334" s="5" t="s">
        <v>34859</v>
      </c>
    </row>
    <row r="5335">
      <c r="A5335" s="4">
        <v>45534.35879063657</v>
      </c>
      <c r="B5335" s="5" t="s">
        <v>34</v>
      </c>
      <c r="D5335" s="5" t="s">
        <v>14313</v>
      </c>
      <c r="E5335" s="5" t="s">
        <v>34862</v>
      </c>
      <c r="F5335" s="5" t="s">
        <v>715</v>
      </c>
      <c r="G5335" s="5" t="s">
        <v>34863</v>
      </c>
      <c r="H5335" s="6" t="s">
        <v>34864</v>
      </c>
      <c r="I5335" s="7" t="s">
        <v>34865</v>
      </c>
      <c r="J5335" s="8" t="str">
        <f>HYPERLINK("https://drive.google.com/file/d/1JQ7L7BA-7SkOQX6XeSdfK37qy_62EyH5/view?usp=drivesdk","MUSDALIFAH HAYONG AMK  SERTIFIKAT BerAKHLAK")</f>
        <v>MUSDALIFAH HAYONG AMK  SERTIFIKAT BerAKHLAK</v>
      </c>
      <c r="K5335" s="5" t="s">
        <v>34818</v>
      </c>
      <c r="L5335" s="5" t="s">
        <v>34866</v>
      </c>
    </row>
    <row r="5336">
      <c r="A5336" s="4">
        <v>45534.358790706014</v>
      </c>
      <c r="B5336" s="5" t="s">
        <v>34</v>
      </c>
      <c r="D5336" s="5" t="s">
        <v>14313</v>
      </c>
      <c r="E5336" s="5" t="s">
        <v>34869</v>
      </c>
      <c r="F5336" s="5" t="s">
        <v>375</v>
      </c>
      <c r="G5336" s="5" t="s">
        <v>34870</v>
      </c>
      <c r="H5336" s="6" t="s">
        <v>34871</v>
      </c>
      <c r="I5336" s="7" t="s">
        <v>34872</v>
      </c>
      <c r="J5336" s="8" t="str">
        <f>HYPERLINK("https://drive.google.com/file/d/1MK7OQyYpjluX6-M_--E5dwLl0A8klsYI/view?usp=drivesdk","Hastuti RA, SE, MM SERTIFIKAT BerAKHLAK")</f>
        <v>Hastuti RA, SE, MM SERTIFIKAT BerAKHLAK</v>
      </c>
      <c r="K5336" s="5" t="s">
        <v>34818</v>
      </c>
      <c r="L5336" s="5" t="s">
        <v>34873</v>
      </c>
    </row>
    <row r="5337">
      <c r="A5337" s="4">
        <v>45534.35881398148</v>
      </c>
      <c r="B5337" s="5" t="s">
        <v>34</v>
      </c>
      <c r="D5337" s="5" t="s">
        <v>1558</v>
      </c>
      <c r="E5337" s="5" t="s">
        <v>34876</v>
      </c>
      <c r="F5337" s="5" t="s">
        <v>212</v>
      </c>
      <c r="G5337" s="5" t="s">
        <v>34877</v>
      </c>
      <c r="H5337" s="6" t="s">
        <v>34878</v>
      </c>
      <c r="I5337" s="7" t="s">
        <v>34879</v>
      </c>
      <c r="J5337" s="8" t="str">
        <f>HYPERLINK("https://drive.google.com/file/d/1FjXdf8c_Sx2cZoNgsttoUEddRYMrNYEy/view?usp=drivesdk","SRI YANTINI SERTIFIKAT BerAKHLAK")</f>
        <v>SRI YANTINI SERTIFIKAT BerAKHLAK</v>
      </c>
      <c r="K5337" s="5" t="s">
        <v>34135</v>
      </c>
      <c r="L5337" s="5" t="s">
        <v>34880</v>
      </c>
    </row>
    <row r="5338">
      <c r="A5338" s="4">
        <v>45534.358814374995</v>
      </c>
      <c r="B5338" s="5" t="s">
        <v>34</v>
      </c>
      <c r="D5338" s="5" t="s">
        <v>362</v>
      </c>
      <c r="E5338" s="5" t="s">
        <v>34883</v>
      </c>
      <c r="F5338" s="5" t="s">
        <v>37</v>
      </c>
      <c r="G5338" s="5" t="s">
        <v>34884</v>
      </c>
      <c r="H5338" s="6" t="s">
        <v>34885</v>
      </c>
      <c r="I5338" s="7" t="s">
        <v>34886</v>
      </c>
      <c r="J5338" s="8" t="str">
        <f>HYPERLINK("https://drive.google.com/file/d/1CukwYPB89fPdmyHk6pmP18s3ausvxzOd/view?usp=drivesdk","OKTAVIANI TABANG KALUA  SERTIFIKAT BerAKHLAK")</f>
        <v>OKTAVIANI TABANG KALUA  SERTIFIKAT BerAKHLAK</v>
      </c>
      <c r="K5338" s="5" t="s">
        <v>34818</v>
      </c>
      <c r="L5338" s="5" t="s">
        <v>34887</v>
      </c>
    </row>
    <row r="5339">
      <c r="A5339" s="4">
        <v>45534.35882259259</v>
      </c>
      <c r="B5339" s="5" t="s">
        <v>34</v>
      </c>
      <c r="D5339" s="5" t="s">
        <v>4775</v>
      </c>
      <c r="E5339" s="5" t="s">
        <v>34891</v>
      </c>
      <c r="F5339" s="5" t="s">
        <v>212</v>
      </c>
      <c r="G5339" s="5" t="s">
        <v>34892</v>
      </c>
      <c r="H5339" s="6" t="s">
        <v>34893</v>
      </c>
      <c r="I5339" s="7" t="s">
        <v>34894</v>
      </c>
      <c r="J5339" s="8" t="str">
        <f>HYPERLINK("https://drive.google.com/file/d/1eTLe3HT8nCBcQwCPkaT7C5LviPGDWOCE/view?usp=drivesdk","ADI TRI RASTYO SERTIFIKAT BerAKHLAK")</f>
        <v>ADI TRI RASTYO SERTIFIKAT BerAKHLAK</v>
      </c>
      <c r="K5339" s="5" t="s">
        <v>34818</v>
      </c>
      <c r="L5339" s="5" t="s">
        <v>34895</v>
      </c>
    </row>
    <row r="5340">
      <c r="A5340" s="4">
        <v>45534.358848159725</v>
      </c>
      <c r="B5340" s="5" t="s">
        <v>34</v>
      </c>
      <c r="D5340" s="5" t="s">
        <v>1206</v>
      </c>
      <c r="E5340" s="5" t="s">
        <v>34898</v>
      </c>
      <c r="F5340" s="5" t="s">
        <v>72</v>
      </c>
      <c r="G5340" s="5" t="s">
        <v>34899</v>
      </c>
      <c r="H5340" s="6" t="s">
        <v>34900</v>
      </c>
      <c r="I5340" s="7" t="s">
        <v>34901</v>
      </c>
      <c r="J5340" s="8" t="str">
        <f>HYPERLINK("https://drive.google.com/file/d/1RLF2FKQANgQ45tpQ9nFUt-SpZXxxDpuQ/view?usp=drivesdk","ARIYANI,AMd. Kep SERTIFIKAT BerAKHLAK")</f>
        <v>ARIYANI,AMd. Kep SERTIFIKAT BerAKHLAK</v>
      </c>
      <c r="K5340" s="5" t="s">
        <v>34818</v>
      </c>
      <c r="L5340" s="5" t="s">
        <v>34902</v>
      </c>
    </row>
    <row r="5341">
      <c r="A5341" s="4">
        <v>45534.35885310185</v>
      </c>
      <c r="B5341" s="5" t="s">
        <v>34</v>
      </c>
      <c r="D5341" s="5" t="s">
        <v>4775</v>
      </c>
      <c r="E5341" s="5" t="s">
        <v>34905</v>
      </c>
      <c r="F5341" s="5" t="s">
        <v>72</v>
      </c>
      <c r="G5341" s="5" t="s">
        <v>34906</v>
      </c>
      <c r="H5341" s="6" t="s">
        <v>34907</v>
      </c>
      <c r="I5341" s="7" t="s">
        <v>34908</v>
      </c>
      <c r="J5341" s="8" t="str">
        <f>HYPERLINK("https://drive.google.com/file/d/1Jk7io0MeI0uGHk9KkvtHFRV8oeJVN61H/view?usp=drivesdk","DIANA CHRISTIJANTI HANITA KOEHOE, S. T.  SERTIFIKAT BerAKHLAK")</f>
        <v>DIANA CHRISTIJANTI HANITA KOEHOE, S. T.  SERTIFIKAT BerAKHLAK</v>
      </c>
      <c r="K5341" s="5" t="s">
        <v>34818</v>
      </c>
      <c r="L5341" s="5" t="s">
        <v>34909</v>
      </c>
    </row>
    <row r="5342">
      <c r="A5342" s="4">
        <v>45534.35885640046</v>
      </c>
      <c r="B5342" s="5" t="s">
        <v>34</v>
      </c>
      <c r="D5342" s="5" t="s">
        <v>701</v>
      </c>
      <c r="E5342" s="5" t="s">
        <v>34912</v>
      </c>
      <c r="F5342" s="5" t="s">
        <v>212</v>
      </c>
      <c r="G5342" s="5" t="s">
        <v>34913</v>
      </c>
      <c r="H5342" s="6" t="s">
        <v>34914</v>
      </c>
      <c r="I5342" s="7" t="s">
        <v>34915</v>
      </c>
      <c r="J5342" s="8" t="str">
        <f>HYPERLINK("https://drive.google.com/file/d/13iaFKLCxQoFq3xnoC7iw3od-0bSUEJaQ/view?usp=drivesdk","SRI RAHAYU WINARSIH SERTIFIKAT BerAKHLAK")</f>
        <v>SRI RAHAYU WINARSIH SERTIFIKAT BerAKHLAK</v>
      </c>
      <c r="K5342" s="5" t="s">
        <v>34818</v>
      </c>
      <c r="L5342" s="5" t="s">
        <v>34916</v>
      </c>
    </row>
    <row r="5343">
      <c r="A5343" s="4">
        <v>45534.35885630787</v>
      </c>
      <c r="B5343" s="5" t="s">
        <v>34</v>
      </c>
      <c r="D5343" s="5" t="s">
        <v>14424</v>
      </c>
      <c r="E5343" s="5" t="s">
        <v>34919</v>
      </c>
      <c r="F5343" s="5" t="s">
        <v>212</v>
      </c>
      <c r="G5343" s="5" t="s">
        <v>34920</v>
      </c>
      <c r="H5343" s="6" t="s">
        <v>34921</v>
      </c>
      <c r="I5343" s="7" t="s">
        <v>34922</v>
      </c>
      <c r="J5343" s="8" t="str">
        <f>HYPERLINK("https://drive.google.com/file/d/1x7OhideDaIdm-pu8zmu9CWXFOSDG1v8m/view?usp=drivesdk","AFRIDA A.md SERTIFIKAT BerAKHLAK")</f>
        <v>AFRIDA A.md SERTIFIKAT BerAKHLAK</v>
      </c>
      <c r="K5343" s="5" t="s">
        <v>34818</v>
      </c>
      <c r="L5343" s="5" t="s">
        <v>34923</v>
      </c>
    </row>
    <row r="5344">
      <c r="A5344" s="4">
        <v>45534.358868958334</v>
      </c>
      <c r="B5344" s="5" t="s">
        <v>19</v>
      </c>
      <c r="C5344" s="5" t="s">
        <v>292</v>
      </c>
      <c r="E5344" s="5" t="s">
        <v>34927</v>
      </c>
      <c r="F5344" s="5" t="s">
        <v>212</v>
      </c>
      <c r="G5344" s="5" t="s">
        <v>34928</v>
      </c>
      <c r="H5344" s="6" t="s">
        <v>34929</v>
      </c>
      <c r="I5344" s="7" t="s">
        <v>34930</v>
      </c>
      <c r="J5344" s="8" t="str">
        <f>HYPERLINK("https://drive.google.com/file/d/1DX9UYxPAKQWD6TRP8HHuAYjTysTHkbFz/view?usp=drivesdk","MERI ANDRIANA, A.MD SERTIFIKAT BerAKHLAK")</f>
        <v>MERI ANDRIANA, A.MD SERTIFIKAT BerAKHLAK</v>
      </c>
      <c r="K5344" s="5" t="s">
        <v>34818</v>
      </c>
      <c r="L5344" s="5" t="s">
        <v>34931</v>
      </c>
    </row>
    <row r="5345">
      <c r="A5345" s="4">
        <v>45534.3588749537</v>
      </c>
      <c r="B5345" s="5" t="s">
        <v>34</v>
      </c>
      <c r="D5345" s="5" t="s">
        <v>12978</v>
      </c>
      <c r="E5345" s="5" t="s">
        <v>34934</v>
      </c>
      <c r="F5345" s="5" t="s">
        <v>199</v>
      </c>
      <c r="G5345" s="5" t="s">
        <v>34935</v>
      </c>
      <c r="H5345" s="6" t="s">
        <v>34936</v>
      </c>
      <c r="I5345" s="7" t="s">
        <v>34937</v>
      </c>
      <c r="J5345" s="8" t="str">
        <f>HYPERLINK("https://drive.google.com/file/d/1ogC7bX99_8iVcwmzGcTK1McsVE10AnJT/view?usp=drivesdk","EVA ERTINA.SE SERTIFIKAT BerAKHLAK")</f>
        <v>EVA ERTINA.SE SERTIFIKAT BerAKHLAK</v>
      </c>
      <c r="K5345" s="5" t="s">
        <v>34938</v>
      </c>
      <c r="L5345" s="5" t="s">
        <v>34939</v>
      </c>
    </row>
    <row r="5346">
      <c r="A5346" s="4">
        <v>45534.35888377315</v>
      </c>
      <c r="B5346" s="5" t="s">
        <v>34</v>
      </c>
      <c r="D5346" s="5" t="s">
        <v>1206</v>
      </c>
      <c r="E5346" s="5" t="s">
        <v>34942</v>
      </c>
      <c r="F5346" s="5" t="s">
        <v>72</v>
      </c>
      <c r="G5346" s="5" t="s">
        <v>34943</v>
      </c>
      <c r="H5346" s="6" t="s">
        <v>34944</v>
      </c>
      <c r="I5346" s="7" t="s">
        <v>34945</v>
      </c>
      <c r="J5346" s="8" t="str">
        <f>HYPERLINK("https://drive.google.com/file/d/1jYCUj-JcSW26KV-9ujYL_8uDOeY-ag4d/view?usp=drivesdk","YANTA G SERTIFIKAT BerAKHLAK")</f>
        <v>YANTA G SERTIFIKAT BerAKHLAK</v>
      </c>
      <c r="K5346" s="5" t="s">
        <v>34938</v>
      </c>
      <c r="L5346" s="5" t="s">
        <v>34946</v>
      </c>
    </row>
    <row r="5347">
      <c r="A5347" s="4">
        <v>45534.3588843287</v>
      </c>
      <c r="B5347" s="5" t="s">
        <v>34</v>
      </c>
      <c r="D5347" s="5" t="s">
        <v>1206</v>
      </c>
      <c r="E5347" s="5" t="s">
        <v>34949</v>
      </c>
      <c r="F5347" s="5" t="s">
        <v>328</v>
      </c>
      <c r="G5347" s="5" t="s">
        <v>34950</v>
      </c>
      <c r="H5347" s="6" t="s">
        <v>34951</v>
      </c>
      <c r="I5347" s="7" t="s">
        <v>34952</v>
      </c>
      <c r="J5347" s="8" t="str">
        <f>HYPERLINK("https://drive.google.com/file/d/1onXWdaNBE43jP1lrgOUOHm9DdhCD_lai/view?usp=drivesdk","SUMARNO SERTIFIKAT BerAKHLAK")</f>
        <v>SUMARNO SERTIFIKAT BerAKHLAK</v>
      </c>
      <c r="K5347" s="5" t="s">
        <v>34938</v>
      </c>
      <c r="L5347" s="5" t="s">
        <v>34953</v>
      </c>
    </row>
    <row r="5348">
      <c r="A5348" s="4">
        <v>45534.35891846065</v>
      </c>
      <c r="B5348" s="5" t="s">
        <v>34</v>
      </c>
      <c r="D5348" s="5" t="s">
        <v>1206</v>
      </c>
      <c r="E5348" s="5" t="s">
        <v>34956</v>
      </c>
      <c r="F5348" s="5" t="s">
        <v>524</v>
      </c>
      <c r="G5348" s="5" t="s">
        <v>34957</v>
      </c>
      <c r="H5348" s="6" t="s">
        <v>34958</v>
      </c>
      <c r="I5348" s="7" t="s">
        <v>34959</v>
      </c>
      <c r="J5348" s="8" t="str">
        <f>HYPERLINK("https://drive.google.com/file/d/1hbAQ0wHX2fOYdDVoyZxnHhgT6t-oDzis/view?usp=drivesdk","UMI HIDAYAH,S.KEB.,BDN SERTIFIKAT BerAKHLAK")</f>
        <v>UMI HIDAYAH,S.KEB.,BDN SERTIFIKAT BerAKHLAK</v>
      </c>
      <c r="K5348" s="5" t="s">
        <v>34818</v>
      </c>
      <c r="L5348" s="5" t="s">
        <v>34960</v>
      </c>
    </row>
    <row r="5349">
      <c r="A5349" s="4">
        <v>45534.3589316088</v>
      </c>
      <c r="B5349" s="5" t="s">
        <v>34</v>
      </c>
      <c r="D5349" s="5" t="s">
        <v>14424</v>
      </c>
      <c r="E5349" s="5" t="s">
        <v>34964</v>
      </c>
      <c r="F5349" s="5" t="s">
        <v>108</v>
      </c>
      <c r="G5349" s="5" t="s">
        <v>34965</v>
      </c>
      <c r="H5349" s="6" t="s">
        <v>34966</v>
      </c>
      <c r="I5349" s="7" t="s">
        <v>34967</v>
      </c>
      <c r="J5349" s="8" t="str">
        <f>HYPERLINK("https://drive.google.com/file/d/1JAO44goTMW6HJz7qy1DwkijgmIZKkxvB/view?usp=drivesdk","WERLY DARINTAH, A.Md. SERTIFIKAT BerAKHLAK")</f>
        <v>WERLY DARINTAH, A.Md. SERTIFIKAT BerAKHLAK</v>
      </c>
      <c r="K5349" s="5" t="s">
        <v>34818</v>
      </c>
      <c r="L5349" s="5" t="s">
        <v>34968</v>
      </c>
    </row>
    <row r="5350">
      <c r="A5350" s="4">
        <v>45534.35893793982</v>
      </c>
      <c r="B5350" s="5" t="s">
        <v>34</v>
      </c>
      <c r="D5350" s="5" t="s">
        <v>3849</v>
      </c>
      <c r="E5350" s="5" t="s">
        <v>34971</v>
      </c>
      <c r="F5350" s="5" t="s">
        <v>72</v>
      </c>
      <c r="G5350" s="5" t="s">
        <v>34972</v>
      </c>
      <c r="H5350" s="6" t="s">
        <v>34973</v>
      </c>
      <c r="I5350" s="7" t="s">
        <v>34974</v>
      </c>
      <c r="J5350" s="8" t="str">
        <f>HYPERLINK("https://drive.google.com/file/d/1Gh2evcnNer-obEb8bUaLil3gXaECEWGb/view?usp=drivesdk","CORRY GERUNG SERTIFIKAT BerAKHLAK")</f>
        <v>CORRY GERUNG SERTIFIKAT BerAKHLAK</v>
      </c>
      <c r="K5350" s="5" t="s">
        <v>34818</v>
      </c>
      <c r="L5350" s="5" t="s">
        <v>34975</v>
      </c>
    </row>
    <row r="5351">
      <c r="A5351" s="4">
        <v>45534.35894841435</v>
      </c>
      <c r="B5351" s="5" t="s">
        <v>34</v>
      </c>
      <c r="D5351" s="5" t="s">
        <v>35</v>
      </c>
      <c r="E5351" s="5" t="s">
        <v>34978</v>
      </c>
      <c r="F5351" s="5" t="s">
        <v>375</v>
      </c>
      <c r="G5351" s="5" t="s">
        <v>34979</v>
      </c>
      <c r="H5351" s="6" t="s">
        <v>34980</v>
      </c>
      <c r="I5351" s="7" t="s">
        <v>34981</v>
      </c>
      <c r="J5351" s="8" t="str">
        <f>HYPERLINK("https://drive.google.com/file/d/1UWBpEiwPhrjh55I5hAYUx2uYa6MHJ_aX/view?usp=drivesdk","MOHAMAD IQBAL, S.E. SERTIFIKAT BerAKHLAK")</f>
        <v>MOHAMAD IQBAL, S.E. SERTIFIKAT BerAKHLAK</v>
      </c>
      <c r="K5351" s="5" t="s">
        <v>34818</v>
      </c>
      <c r="L5351" s="5" t="s">
        <v>34982</v>
      </c>
    </row>
    <row r="5352">
      <c r="A5352" s="4">
        <v>45534.358953310184</v>
      </c>
      <c r="B5352" s="5" t="s">
        <v>34</v>
      </c>
      <c r="D5352" s="5" t="s">
        <v>7858</v>
      </c>
      <c r="E5352" s="5" t="s">
        <v>34985</v>
      </c>
      <c r="F5352" s="5" t="s">
        <v>524</v>
      </c>
      <c r="G5352" s="5" t="s">
        <v>34986</v>
      </c>
      <c r="H5352" s="6" t="s">
        <v>34987</v>
      </c>
      <c r="I5352" s="7" t="s">
        <v>34988</v>
      </c>
      <c r="J5352" s="8" t="str">
        <f>HYPERLINK("https://drive.google.com/file/d/1tzcX5I-xFjKuwBL7ZEJUw-OXEzT5Naw9/view?usp=drivesdk","ROSITA ANGGRAINI P, S.Kep SERTIFIKAT BerAKHLAK")</f>
        <v>ROSITA ANGGRAINI P, S.Kep SERTIFIKAT BerAKHLAK</v>
      </c>
      <c r="K5352" s="5" t="s">
        <v>34818</v>
      </c>
      <c r="L5352" s="5" t="s">
        <v>34989</v>
      </c>
    </row>
    <row r="5353">
      <c r="A5353" s="4">
        <v>45534.35897273148</v>
      </c>
      <c r="B5353" s="5" t="s">
        <v>34</v>
      </c>
      <c r="D5353" s="5" t="s">
        <v>4775</v>
      </c>
      <c r="E5353" s="5" t="s">
        <v>34993</v>
      </c>
      <c r="F5353" s="5" t="s">
        <v>328</v>
      </c>
      <c r="G5353" s="5" t="s">
        <v>34994</v>
      </c>
      <c r="H5353" s="6" t="s">
        <v>34995</v>
      </c>
      <c r="I5353" s="7" t="s">
        <v>34996</v>
      </c>
      <c r="J5353" s="8" t="str">
        <f>HYPERLINK("https://drive.google.com/file/d/125Hqw2qTS93BBiJMg5A_cPvucEKazfjl/view?usp=drivesdk","YUSWANTO  SERTIFIKAT BerAKHLAK")</f>
        <v>YUSWANTO  SERTIFIKAT BerAKHLAK</v>
      </c>
      <c r="K5353" s="5" t="s">
        <v>34818</v>
      </c>
      <c r="L5353" s="5" t="s">
        <v>34997</v>
      </c>
    </row>
    <row r="5354">
      <c r="A5354" s="4">
        <v>45534.35898527778</v>
      </c>
      <c r="B5354" s="5" t="s">
        <v>19</v>
      </c>
      <c r="C5354" s="5" t="s">
        <v>292</v>
      </c>
      <c r="E5354" s="5" t="s">
        <v>35000</v>
      </c>
      <c r="F5354" s="5" t="s">
        <v>212</v>
      </c>
      <c r="G5354" s="5" t="s">
        <v>35001</v>
      </c>
      <c r="H5354" s="6" t="s">
        <v>35002</v>
      </c>
      <c r="I5354" s="7" t="s">
        <v>35003</v>
      </c>
      <c r="J5354" s="8" t="str">
        <f>HYPERLINK("https://drive.google.com/file/d/1d-ASStw_h1Nh2RVn_ktu_0XP-HgrAX63/view?usp=drivesdk","MARYANI SERTIFIKAT BerAKHLAK")</f>
        <v>MARYANI SERTIFIKAT BerAKHLAK</v>
      </c>
      <c r="K5354" s="5" t="s">
        <v>34938</v>
      </c>
      <c r="L5354" s="5" t="s">
        <v>35004</v>
      </c>
    </row>
    <row r="5355">
      <c r="A5355" s="4">
        <v>45534.35899432871</v>
      </c>
      <c r="B5355" s="5" t="s">
        <v>34</v>
      </c>
      <c r="D5355" s="5" t="s">
        <v>280</v>
      </c>
      <c r="E5355" s="5" t="s">
        <v>35007</v>
      </c>
      <c r="F5355" s="5" t="s">
        <v>212</v>
      </c>
      <c r="G5355" s="5" t="s">
        <v>35008</v>
      </c>
      <c r="H5355" s="6" t="s">
        <v>35009</v>
      </c>
      <c r="I5355" s="7" t="s">
        <v>35010</v>
      </c>
      <c r="J5355" s="8" t="str">
        <f>HYPERLINK("https://drive.google.com/file/d/12DW45I30fNulS9D2dQXoiURFOFN9M1yy/view?usp=drivesdk","EVY JAPRIJANTI SERTIFIKAT BerAKHLAK")</f>
        <v>EVY JAPRIJANTI SERTIFIKAT BerAKHLAK</v>
      </c>
      <c r="K5355" s="5" t="s">
        <v>34938</v>
      </c>
      <c r="L5355" s="5" t="s">
        <v>35011</v>
      </c>
    </row>
    <row r="5356">
      <c r="A5356" s="4">
        <v>45534.35901368056</v>
      </c>
      <c r="B5356" s="5" t="s">
        <v>34</v>
      </c>
      <c r="D5356" s="5" t="s">
        <v>4775</v>
      </c>
      <c r="E5356" s="5" t="s">
        <v>35014</v>
      </c>
      <c r="F5356" s="5" t="s">
        <v>37</v>
      </c>
      <c r="G5356" s="5" t="s">
        <v>35015</v>
      </c>
      <c r="H5356" s="6" t="s">
        <v>35016</v>
      </c>
      <c r="I5356" s="7" t="s">
        <v>35017</v>
      </c>
      <c r="J5356" s="8" t="str">
        <f>HYPERLINK("https://drive.google.com/file/d/1ucFiDPhSVUnZPct6dCE5-jsrKTCCTsF2/view?usp=drivesdk","SUKIMIN SERTIFIKAT BerAKHLAK")</f>
        <v>SUKIMIN SERTIFIKAT BerAKHLAK</v>
      </c>
      <c r="K5356" s="5" t="s">
        <v>34818</v>
      </c>
      <c r="L5356" s="5" t="s">
        <v>35018</v>
      </c>
    </row>
    <row r="5357">
      <c r="A5357" s="4">
        <v>45534.359049583334</v>
      </c>
      <c r="B5357" s="5" t="s">
        <v>34</v>
      </c>
      <c r="D5357" s="5" t="s">
        <v>35</v>
      </c>
      <c r="E5357" s="5" t="s">
        <v>35021</v>
      </c>
      <c r="F5357" s="5" t="s">
        <v>22</v>
      </c>
      <c r="G5357" s="5" t="s">
        <v>35022</v>
      </c>
      <c r="H5357" s="6" t="s">
        <v>35023</v>
      </c>
      <c r="K5357" s="5" t="s">
        <v>35024</v>
      </c>
    </row>
    <row r="5358">
      <c r="A5358" s="4">
        <v>45534.359052141204</v>
      </c>
      <c r="B5358" s="5" t="s">
        <v>34</v>
      </c>
      <c r="D5358" s="5" t="s">
        <v>1768</v>
      </c>
      <c r="E5358" s="5" t="s">
        <v>35027</v>
      </c>
      <c r="F5358" s="5" t="s">
        <v>524</v>
      </c>
      <c r="G5358" s="5" t="s">
        <v>35028</v>
      </c>
      <c r="H5358" s="6" t="s">
        <v>35029</v>
      </c>
      <c r="K5358" s="5" t="s">
        <v>35024</v>
      </c>
    </row>
    <row r="5359">
      <c r="A5359" s="4">
        <v>45534.35906120371</v>
      </c>
      <c r="B5359" s="5" t="s">
        <v>34</v>
      </c>
      <c r="D5359" s="5" t="s">
        <v>4775</v>
      </c>
      <c r="E5359" s="5" t="s">
        <v>35033</v>
      </c>
      <c r="F5359" s="5" t="s">
        <v>375</v>
      </c>
      <c r="G5359" s="5" t="s">
        <v>35034</v>
      </c>
      <c r="H5359" s="6" t="s">
        <v>35035</v>
      </c>
      <c r="I5359" s="7" t="s">
        <v>35036</v>
      </c>
      <c r="J5359" s="8" t="str">
        <f>HYPERLINK("https://drive.google.com/file/d/11bL0sxnw87TAGZcmFM52xm-Pkk8CIfje/view?usp=drivesdk","RETNO SUNDARI,S.E SERTIFIKAT BerAKHLAK")</f>
        <v>RETNO SUNDARI,S.E SERTIFIKAT BerAKHLAK</v>
      </c>
      <c r="K5359" s="5" t="s">
        <v>34818</v>
      </c>
      <c r="L5359" s="5" t="s">
        <v>35037</v>
      </c>
    </row>
    <row r="5360">
      <c r="A5360" s="4">
        <v>45534.35906747685</v>
      </c>
      <c r="B5360" s="5" t="s">
        <v>34</v>
      </c>
      <c r="D5360" s="5" t="s">
        <v>12978</v>
      </c>
      <c r="E5360" s="5" t="s">
        <v>35040</v>
      </c>
      <c r="F5360" s="5" t="s">
        <v>108</v>
      </c>
      <c r="G5360" s="5" t="s">
        <v>35041</v>
      </c>
      <c r="H5360" s="6" t="s">
        <v>35042</v>
      </c>
      <c r="K5360" s="5" t="s">
        <v>35043</v>
      </c>
    </row>
    <row r="5361">
      <c r="A5361" s="4">
        <v>45534.35909604166</v>
      </c>
      <c r="B5361" s="5" t="s">
        <v>34</v>
      </c>
      <c r="D5361" s="5" t="s">
        <v>9020</v>
      </c>
      <c r="E5361" s="5" t="s">
        <v>35046</v>
      </c>
      <c r="F5361" s="5" t="s">
        <v>524</v>
      </c>
      <c r="G5361" s="5" t="s">
        <v>35047</v>
      </c>
      <c r="H5361" s="6" t="s">
        <v>35048</v>
      </c>
      <c r="K5361" s="5" t="s">
        <v>35043</v>
      </c>
    </row>
    <row r="5362">
      <c r="A5362" s="4">
        <v>45534.359102511575</v>
      </c>
      <c r="B5362" s="5" t="s">
        <v>34</v>
      </c>
      <c r="D5362" s="5" t="s">
        <v>4775</v>
      </c>
      <c r="E5362" s="5" t="s">
        <v>35051</v>
      </c>
      <c r="F5362" s="5" t="s">
        <v>72</v>
      </c>
      <c r="G5362" s="5" t="s">
        <v>35052</v>
      </c>
      <c r="H5362" s="6" t="s">
        <v>35053</v>
      </c>
      <c r="K5362" s="5" t="s">
        <v>35043</v>
      </c>
    </row>
    <row r="5363">
      <c r="A5363" s="4">
        <v>45534.35910646991</v>
      </c>
      <c r="B5363" s="5" t="s">
        <v>34</v>
      </c>
      <c r="D5363" s="5" t="s">
        <v>1206</v>
      </c>
      <c r="E5363" s="5" t="s">
        <v>35057</v>
      </c>
      <c r="F5363" s="5" t="s">
        <v>37</v>
      </c>
      <c r="G5363" s="5" t="s">
        <v>35058</v>
      </c>
      <c r="H5363" s="6" t="s">
        <v>35059</v>
      </c>
      <c r="K5363" s="5" t="s">
        <v>35043</v>
      </c>
    </row>
    <row r="5364">
      <c r="A5364" s="4">
        <v>45534.359113819446</v>
      </c>
      <c r="B5364" s="5" t="s">
        <v>34</v>
      </c>
      <c r="D5364" s="5" t="s">
        <v>4775</v>
      </c>
      <c r="E5364" s="5" t="s">
        <v>35062</v>
      </c>
      <c r="F5364" s="5" t="s">
        <v>524</v>
      </c>
      <c r="G5364" s="5" t="s">
        <v>35063</v>
      </c>
      <c r="H5364" s="6" t="s">
        <v>35064</v>
      </c>
      <c r="I5364" s="7" t="s">
        <v>35065</v>
      </c>
      <c r="J5364" s="8" t="str">
        <f>HYPERLINK("https://drive.google.com/file/d/1lQiFIigaabJ3Nc0Bp7W4NnZlcEAH22bz/view?usp=drivesdk","SRI WIDODO  SERTIFIKAT BerAKHLAK")</f>
        <v>SRI WIDODO  SERTIFIKAT BerAKHLAK</v>
      </c>
      <c r="K5364" s="5" t="s">
        <v>34818</v>
      </c>
      <c r="L5364" s="5" t="s">
        <v>35066</v>
      </c>
    </row>
    <row r="5365">
      <c r="A5365" s="4">
        <v>45534.359113900464</v>
      </c>
      <c r="B5365" s="5" t="s">
        <v>34</v>
      </c>
      <c r="D5365" s="5" t="s">
        <v>1206</v>
      </c>
      <c r="E5365" s="5" t="s">
        <v>35069</v>
      </c>
      <c r="F5365" s="5" t="s">
        <v>37</v>
      </c>
      <c r="G5365" s="5" t="s">
        <v>35070</v>
      </c>
      <c r="H5365" s="6" t="s">
        <v>35071</v>
      </c>
      <c r="K5365" s="5" t="s">
        <v>35072</v>
      </c>
    </row>
    <row r="5366">
      <c r="A5366" s="4">
        <v>45534.359115960644</v>
      </c>
      <c r="B5366" s="5" t="s">
        <v>34</v>
      </c>
      <c r="D5366" s="5" t="s">
        <v>1206</v>
      </c>
      <c r="E5366" s="5" t="s">
        <v>24624</v>
      </c>
      <c r="F5366" s="5" t="s">
        <v>37</v>
      </c>
      <c r="G5366" s="5" t="s">
        <v>35075</v>
      </c>
      <c r="H5366" s="6" t="s">
        <v>35076</v>
      </c>
      <c r="K5366" s="5" t="s">
        <v>35072</v>
      </c>
    </row>
    <row r="5367">
      <c r="A5367" s="4">
        <v>45534.359117581014</v>
      </c>
      <c r="B5367" s="5" t="s">
        <v>34</v>
      </c>
      <c r="D5367" s="5" t="s">
        <v>4775</v>
      </c>
      <c r="E5367" s="5" t="s">
        <v>35079</v>
      </c>
      <c r="F5367" s="5" t="s">
        <v>212</v>
      </c>
      <c r="G5367" s="5" t="s">
        <v>35080</v>
      </c>
      <c r="H5367" s="6" t="s">
        <v>35081</v>
      </c>
      <c r="K5367" s="5" t="s">
        <v>35072</v>
      </c>
    </row>
    <row r="5368">
      <c r="A5368" s="4">
        <v>45534.35915881944</v>
      </c>
      <c r="B5368" s="5" t="s">
        <v>19</v>
      </c>
      <c r="C5368" s="5" t="s">
        <v>292</v>
      </c>
      <c r="E5368" s="5" t="s">
        <v>31324</v>
      </c>
      <c r="F5368" s="5" t="s">
        <v>72</v>
      </c>
      <c r="G5368" s="5" t="s">
        <v>35084</v>
      </c>
      <c r="H5368" s="6" t="s">
        <v>35085</v>
      </c>
      <c r="K5368" s="5" t="s">
        <v>35072</v>
      </c>
    </row>
    <row r="5369">
      <c r="A5369" s="4">
        <v>45534.35918543981</v>
      </c>
      <c r="B5369" s="5" t="s">
        <v>34</v>
      </c>
      <c r="D5369" s="5" t="s">
        <v>14313</v>
      </c>
      <c r="E5369" s="5" t="s">
        <v>35089</v>
      </c>
      <c r="F5369" s="5" t="s">
        <v>212</v>
      </c>
      <c r="G5369" s="5" t="s">
        <v>35090</v>
      </c>
      <c r="H5369" s="6" t="s">
        <v>35091</v>
      </c>
      <c r="K5369" s="5" t="s">
        <v>35072</v>
      </c>
    </row>
    <row r="5370">
      <c r="A5370" s="4">
        <v>45534.359189675924</v>
      </c>
      <c r="B5370" s="5" t="s">
        <v>19</v>
      </c>
      <c r="C5370" s="5" t="s">
        <v>5058</v>
      </c>
      <c r="E5370" s="5" t="s">
        <v>35094</v>
      </c>
      <c r="F5370" s="5" t="s">
        <v>120</v>
      </c>
      <c r="G5370" s="5" t="s">
        <v>35095</v>
      </c>
      <c r="H5370" s="6" t="s">
        <v>35096</v>
      </c>
      <c r="K5370" s="5" t="s">
        <v>35072</v>
      </c>
    </row>
    <row r="5371">
      <c r="A5371" s="4">
        <v>45534.359194108794</v>
      </c>
      <c r="B5371" s="5" t="s">
        <v>34</v>
      </c>
      <c r="D5371" s="5" t="s">
        <v>3849</v>
      </c>
      <c r="E5371" s="5" t="s">
        <v>35099</v>
      </c>
      <c r="F5371" s="5" t="s">
        <v>375</v>
      </c>
      <c r="G5371" s="5" t="s">
        <v>35100</v>
      </c>
      <c r="H5371" s="6" t="s">
        <v>35101</v>
      </c>
      <c r="K5371" s="5" t="s">
        <v>35072</v>
      </c>
    </row>
    <row r="5372">
      <c r="A5372" s="4">
        <v>45534.35921072916</v>
      </c>
      <c r="B5372" s="5" t="s">
        <v>34</v>
      </c>
      <c r="D5372" s="5" t="s">
        <v>701</v>
      </c>
      <c r="E5372" s="5" t="s">
        <v>35104</v>
      </c>
      <c r="F5372" s="5" t="s">
        <v>212</v>
      </c>
      <c r="G5372" s="5" t="s">
        <v>35105</v>
      </c>
      <c r="H5372" s="6" t="s">
        <v>35106</v>
      </c>
      <c r="K5372" s="5" t="s">
        <v>35072</v>
      </c>
    </row>
    <row r="5373">
      <c r="A5373" s="4">
        <v>45534.359232546296</v>
      </c>
      <c r="B5373" s="5" t="s">
        <v>34</v>
      </c>
      <c r="D5373" s="5" t="s">
        <v>1206</v>
      </c>
      <c r="E5373" s="5" t="s">
        <v>35109</v>
      </c>
      <c r="F5373" s="5" t="s">
        <v>524</v>
      </c>
      <c r="G5373" s="5" t="s">
        <v>35110</v>
      </c>
      <c r="H5373" s="6" t="s">
        <v>35111</v>
      </c>
      <c r="I5373" s="7" t="s">
        <v>35112</v>
      </c>
      <c r="J5373" s="8" t="str">
        <f>HYPERLINK("https://drive.google.com/file/d/11zw7Ltx_ru3JctY_0Cya6QhYPLhSWiKO/view?usp=drivesdk","SALIS ANDARI SERTIFIKAT BerAKHLAK")</f>
        <v>SALIS ANDARI SERTIFIKAT BerAKHLAK</v>
      </c>
      <c r="K5373" s="5" t="s">
        <v>34818</v>
      </c>
      <c r="L5373" s="5" t="s">
        <v>35113</v>
      </c>
    </row>
    <row r="5374">
      <c r="A5374" s="4">
        <v>45534.359256145835</v>
      </c>
      <c r="B5374" s="5" t="s">
        <v>34</v>
      </c>
      <c r="D5374" s="5" t="s">
        <v>1558</v>
      </c>
      <c r="E5374" s="5" t="s">
        <v>35117</v>
      </c>
      <c r="F5374" s="5" t="s">
        <v>108</v>
      </c>
      <c r="G5374" s="5" t="s">
        <v>35118</v>
      </c>
      <c r="H5374" s="6" t="s">
        <v>35119</v>
      </c>
      <c r="K5374" s="5" t="s">
        <v>35120</v>
      </c>
    </row>
    <row r="5375">
      <c r="A5375" s="4">
        <v>45534.3592594213</v>
      </c>
      <c r="B5375" s="5" t="s">
        <v>34</v>
      </c>
      <c r="D5375" s="5" t="s">
        <v>1456</v>
      </c>
      <c r="E5375" s="5" t="s">
        <v>35123</v>
      </c>
      <c r="F5375" s="5" t="s">
        <v>375</v>
      </c>
      <c r="G5375" s="5" t="s">
        <v>35124</v>
      </c>
      <c r="H5375" s="6" t="s">
        <v>35125</v>
      </c>
      <c r="K5375" s="5" t="s">
        <v>35120</v>
      </c>
    </row>
    <row r="5376">
      <c r="A5376" s="4">
        <v>45534.359275509254</v>
      </c>
      <c r="B5376" s="5" t="s">
        <v>34</v>
      </c>
      <c r="D5376" s="5" t="s">
        <v>4775</v>
      </c>
      <c r="E5376" s="5" t="s">
        <v>35128</v>
      </c>
      <c r="F5376" s="5" t="s">
        <v>37</v>
      </c>
      <c r="G5376" s="5" t="s">
        <v>35129</v>
      </c>
      <c r="H5376" s="6" t="s">
        <v>35130</v>
      </c>
      <c r="I5376" s="7" t="s">
        <v>35131</v>
      </c>
      <c r="J5376" s="8" t="str">
        <f>HYPERLINK("https://drive.google.com/file/d/1hobpGj5cMfjEkPh_DN1M7uKfJgcnVtMl/view?usp=drivesdk","YUNITA DESY RUSMAWATI  SERTIFIKAT BerAKHLAK")</f>
        <v>YUNITA DESY RUSMAWATI  SERTIFIKAT BerAKHLAK</v>
      </c>
      <c r="K5376" s="5" t="s">
        <v>34818</v>
      </c>
      <c r="L5376" s="5" t="s">
        <v>35132</v>
      </c>
    </row>
    <row r="5377">
      <c r="A5377" s="4">
        <v>45534.35929143519</v>
      </c>
      <c r="B5377" s="5" t="s">
        <v>34</v>
      </c>
      <c r="D5377" s="5" t="s">
        <v>1456</v>
      </c>
      <c r="E5377" s="5" t="s">
        <v>35135</v>
      </c>
      <c r="F5377" s="5" t="s">
        <v>37</v>
      </c>
      <c r="G5377" s="5" t="s">
        <v>35136</v>
      </c>
      <c r="H5377" s="6" t="s">
        <v>35137</v>
      </c>
      <c r="I5377" s="7" t="s">
        <v>35138</v>
      </c>
      <c r="J5377" s="8" t="str">
        <f>HYPERLINK("https://drive.google.com/file/d/1h540qfZB13K7Xy0xxXCgZjIDT_ZUzcvv/view?usp=drivesdk","HERU NITI PRAYITNO SERTIFIKAT BerAKHLAK")</f>
        <v>HERU NITI PRAYITNO SERTIFIKAT BerAKHLAK</v>
      </c>
      <c r="K5377" s="5" t="s">
        <v>34818</v>
      </c>
      <c r="L5377" s="5" t="s">
        <v>35139</v>
      </c>
    </row>
    <row r="5378">
      <c r="A5378" s="4">
        <v>45534.35929409722</v>
      </c>
      <c r="B5378" s="5" t="s">
        <v>34</v>
      </c>
      <c r="D5378" s="5" t="s">
        <v>4775</v>
      </c>
      <c r="E5378" s="5" t="s">
        <v>35143</v>
      </c>
      <c r="F5378" s="5" t="s">
        <v>375</v>
      </c>
      <c r="G5378" s="5" t="s">
        <v>35144</v>
      </c>
      <c r="H5378" s="6" t="s">
        <v>35145</v>
      </c>
      <c r="K5378" s="5" t="s">
        <v>35146</v>
      </c>
    </row>
    <row r="5379">
      <c r="A5379" s="4">
        <v>45534.35930398148</v>
      </c>
      <c r="B5379" s="5" t="s">
        <v>34</v>
      </c>
      <c r="D5379" s="5" t="s">
        <v>580</v>
      </c>
      <c r="E5379" s="5" t="s">
        <v>35149</v>
      </c>
      <c r="F5379" s="5" t="s">
        <v>120</v>
      </c>
      <c r="G5379" s="5" t="s">
        <v>35150</v>
      </c>
      <c r="H5379" s="6" t="s">
        <v>35151</v>
      </c>
      <c r="K5379" s="5" t="s">
        <v>35146</v>
      </c>
    </row>
    <row r="5380">
      <c r="A5380" s="4">
        <v>45534.359329652776</v>
      </c>
      <c r="B5380" s="5" t="s">
        <v>34</v>
      </c>
      <c r="D5380" s="5" t="s">
        <v>4775</v>
      </c>
      <c r="E5380" s="5" t="s">
        <v>35154</v>
      </c>
      <c r="F5380" s="5" t="s">
        <v>524</v>
      </c>
      <c r="G5380" s="5" t="s">
        <v>35155</v>
      </c>
      <c r="H5380" s="6" t="s">
        <v>35156</v>
      </c>
      <c r="K5380" s="5" t="s">
        <v>35146</v>
      </c>
    </row>
    <row r="5381">
      <c r="A5381" s="4">
        <v>45534.35934605324</v>
      </c>
      <c r="B5381" s="5" t="s">
        <v>34</v>
      </c>
      <c r="D5381" s="5" t="s">
        <v>522</v>
      </c>
      <c r="E5381" s="5" t="s">
        <v>35159</v>
      </c>
      <c r="F5381" s="5" t="s">
        <v>715</v>
      </c>
      <c r="G5381" s="5" t="s">
        <v>35160</v>
      </c>
      <c r="H5381" s="6" t="s">
        <v>35161</v>
      </c>
      <c r="K5381" s="5" t="s">
        <v>35162</v>
      </c>
    </row>
    <row r="5382">
      <c r="A5382" s="4">
        <v>45534.35935115741</v>
      </c>
      <c r="B5382" s="5" t="s">
        <v>19</v>
      </c>
      <c r="C5382" s="5" t="s">
        <v>292</v>
      </c>
      <c r="E5382" s="5" t="s">
        <v>35165</v>
      </c>
      <c r="F5382" s="5" t="s">
        <v>37</v>
      </c>
      <c r="G5382" s="5" t="s">
        <v>35166</v>
      </c>
      <c r="H5382" s="6" t="s">
        <v>35167</v>
      </c>
      <c r="K5382" s="5" t="s">
        <v>35162</v>
      </c>
    </row>
    <row r="5383">
      <c r="A5383" s="4">
        <v>45534.35935295139</v>
      </c>
      <c r="B5383" s="5" t="s">
        <v>34</v>
      </c>
      <c r="D5383" s="5" t="s">
        <v>10444</v>
      </c>
      <c r="E5383" s="5" t="s">
        <v>35171</v>
      </c>
      <c r="F5383" s="5" t="s">
        <v>212</v>
      </c>
      <c r="G5383" s="5" t="s">
        <v>35172</v>
      </c>
      <c r="H5383" s="6" t="s">
        <v>35173</v>
      </c>
      <c r="K5383" s="5" t="s">
        <v>35162</v>
      </c>
    </row>
    <row r="5384">
      <c r="A5384" s="4">
        <v>45534.35936177083</v>
      </c>
      <c r="B5384" s="5" t="s">
        <v>34</v>
      </c>
      <c r="D5384" s="5" t="s">
        <v>1206</v>
      </c>
      <c r="E5384" s="5" t="s">
        <v>35176</v>
      </c>
      <c r="F5384" s="5" t="s">
        <v>212</v>
      </c>
      <c r="G5384" s="5" t="s">
        <v>35177</v>
      </c>
      <c r="H5384" s="6" t="s">
        <v>35178</v>
      </c>
      <c r="K5384" s="5" t="s">
        <v>35162</v>
      </c>
    </row>
    <row r="5385">
      <c r="A5385" s="4">
        <v>45534.359362442134</v>
      </c>
      <c r="B5385" s="5" t="s">
        <v>34</v>
      </c>
      <c r="D5385" s="5" t="s">
        <v>11527</v>
      </c>
      <c r="E5385" s="5" t="s">
        <v>35181</v>
      </c>
      <c r="F5385" s="5" t="s">
        <v>72</v>
      </c>
      <c r="G5385" s="5" t="s">
        <v>35182</v>
      </c>
      <c r="H5385" s="6" t="s">
        <v>35183</v>
      </c>
      <c r="K5385" s="5" t="s">
        <v>35162</v>
      </c>
    </row>
    <row r="5386">
      <c r="A5386" s="4">
        <v>45534.35936724537</v>
      </c>
      <c r="B5386" s="5" t="s">
        <v>34</v>
      </c>
      <c r="D5386" s="5" t="s">
        <v>14424</v>
      </c>
      <c r="E5386" s="5" t="s">
        <v>35186</v>
      </c>
      <c r="F5386" s="5" t="s">
        <v>199</v>
      </c>
      <c r="G5386" s="5" t="s">
        <v>35187</v>
      </c>
      <c r="H5386" s="6" t="s">
        <v>35188</v>
      </c>
      <c r="K5386" s="5" t="s">
        <v>35162</v>
      </c>
    </row>
    <row r="5387">
      <c r="A5387" s="4">
        <v>45534.35936751157</v>
      </c>
      <c r="B5387" s="5" t="s">
        <v>34</v>
      </c>
      <c r="D5387" s="5" t="s">
        <v>12978</v>
      </c>
      <c r="E5387" s="5" t="s">
        <v>35191</v>
      </c>
      <c r="F5387" s="5" t="s">
        <v>212</v>
      </c>
      <c r="G5387" s="5" t="s">
        <v>35192</v>
      </c>
      <c r="H5387" s="6" t="s">
        <v>35193</v>
      </c>
      <c r="K5387" s="5" t="s">
        <v>35162</v>
      </c>
    </row>
    <row r="5388">
      <c r="A5388" s="4">
        <v>45534.35936886574</v>
      </c>
      <c r="B5388" s="5" t="s">
        <v>34</v>
      </c>
      <c r="D5388" s="5" t="s">
        <v>1206</v>
      </c>
      <c r="E5388" s="5" t="s">
        <v>35196</v>
      </c>
      <c r="F5388" s="5" t="s">
        <v>37</v>
      </c>
      <c r="G5388" s="5" t="s">
        <v>35197</v>
      </c>
      <c r="H5388" s="6" t="s">
        <v>35198</v>
      </c>
      <c r="K5388" s="5" t="s">
        <v>35162</v>
      </c>
    </row>
    <row r="5389">
      <c r="A5389" s="4">
        <v>45534.359400891204</v>
      </c>
      <c r="B5389" s="5" t="s">
        <v>34</v>
      </c>
      <c r="D5389" s="5" t="s">
        <v>1206</v>
      </c>
      <c r="E5389" s="5" t="s">
        <v>35202</v>
      </c>
      <c r="F5389" s="5" t="s">
        <v>108</v>
      </c>
      <c r="G5389" s="5" t="s">
        <v>35203</v>
      </c>
      <c r="H5389" s="6" t="s">
        <v>35204</v>
      </c>
      <c r="K5389" s="5" t="s">
        <v>35205</v>
      </c>
    </row>
    <row r="5390">
      <c r="A5390" s="4">
        <v>45534.35940774306</v>
      </c>
      <c r="B5390" s="5" t="s">
        <v>34</v>
      </c>
      <c r="D5390" s="5" t="s">
        <v>7858</v>
      </c>
      <c r="E5390" s="5" t="s">
        <v>35208</v>
      </c>
      <c r="F5390" s="5" t="s">
        <v>212</v>
      </c>
      <c r="G5390" s="5" t="s">
        <v>35209</v>
      </c>
      <c r="H5390" s="6" t="s">
        <v>35210</v>
      </c>
      <c r="K5390" s="5" t="s">
        <v>35205</v>
      </c>
    </row>
    <row r="5391">
      <c r="A5391" s="4">
        <v>45534.359411087964</v>
      </c>
      <c r="B5391" s="5" t="s">
        <v>34</v>
      </c>
      <c r="D5391" s="5" t="s">
        <v>267</v>
      </c>
      <c r="E5391" s="5" t="s">
        <v>35213</v>
      </c>
      <c r="F5391" s="5" t="s">
        <v>524</v>
      </c>
      <c r="G5391" s="5" t="s">
        <v>35214</v>
      </c>
      <c r="H5391" s="6" t="s">
        <v>35215</v>
      </c>
      <c r="K5391" s="5" t="s">
        <v>35205</v>
      </c>
    </row>
    <row r="5392">
      <c r="A5392" s="4">
        <v>45534.35941740741</v>
      </c>
      <c r="B5392" s="5" t="s">
        <v>34</v>
      </c>
      <c r="D5392" s="5" t="s">
        <v>280</v>
      </c>
      <c r="E5392" s="5" t="s">
        <v>35218</v>
      </c>
      <c r="F5392" s="5" t="s">
        <v>108</v>
      </c>
      <c r="G5392" s="5" t="s">
        <v>35219</v>
      </c>
      <c r="H5392" s="6" t="s">
        <v>35220</v>
      </c>
      <c r="I5392" s="7" t="s">
        <v>35221</v>
      </c>
      <c r="J5392" s="8" t="str">
        <f>HYPERLINK("https://drive.google.com/file/d/1OwnVNzZDeSRKMqLB_I3bTwFe9IqruDAC/view?usp=drivesdk","NIRA RAHMIATI,SE SERTIFIKAT BerAKHLAK")</f>
        <v>NIRA RAHMIATI,SE SERTIFIKAT BerAKHLAK</v>
      </c>
      <c r="K5392" s="5" t="s">
        <v>34818</v>
      </c>
      <c r="L5392" s="5" t="s">
        <v>35222</v>
      </c>
    </row>
    <row r="5393">
      <c r="A5393" s="4">
        <v>45534.35943133102</v>
      </c>
      <c r="B5393" s="5" t="s">
        <v>34</v>
      </c>
      <c r="D5393" s="5" t="s">
        <v>15401</v>
      </c>
      <c r="E5393" s="5" t="s">
        <v>35225</v>
      </c>
      <c r="F5393" s="5" t="s">
        <v>108</v>
      </c>
      <c r="G5393" s="5" t="s">
        <v>35226</v>
      </c>
      <c r="H5393" s="6" t="s">
        <v>35227</v>
      </c>
      <c r="I5393" s="7" t="s">
        <v>35228</v>
      </c>
      <c r="J5393" s="8" t="str">
        <f>HYPERLINK("https://drive.google.com/file/d/1w8Vzi0INm4JFdHv8ta5tKPCqXOxYxzM2/view?usp=drivesdk","SRIYANTI SERTIFIKAT BerAKHLAK")</f>
        <v>SRIYANTI SERTIFIKAT BerAKHLAK</v>
      </c>
      <c r="K5393" s="5" t="s">
        <v>34938</v>
      </c>
      <c r="L5393" s="5" t="s">
        <v>35229</v>
      </c>
    </row>
    <row r="5394">
      <c r="A5394" s="4">
        <v>45534.359492013886</v>
      </c>
      <c r="B5394" s="5" t="s">
        <v>34</v>
      </c>
      <c r="D5394" s="5" t="s">
        <v>1456</v>
      </c>
      <c r="E5394" s="5" t="s">
        <v>35233</v>
      </c>
      <c r="F5394" s="5" t="s">
        <v>715</v>
      </c>
      <c r="G5394" s="5" t="s">
        <v>35234</v>
      </c>
      <c r="H5394" s="6" t="s">
        <v>35235</v>
      </c>
      <c r="I5394" s="7" t="s">
        <v>35236</v>
      </c>
      <c r="J5394" s="8" t="str">
        <f>HYPERLINK("https://drive.google.com/file/d/13xUlOWearJfSKMC9TOIFeo9DoY5yZ655/view?usp=drivesdk","SEPTIN MARLINA ANGKASAWATI, S.Sos SERTIFIKAT BerAKHLAK")</f>
        <v>SEPTIN MARLINA ANGKASAWATI, S.Sos SERTIFIKAT BerAKHLAK</v>
      </c>
      <c r="K5394" s="5" t="s">
        <v>34818</v>
      </c>
      <c r="L5394" s="5" t="s">
        <v>35237</v>
      </c>
    </row>
    <row r="5395">
      <c r="A5395" s="4">
        <v>45534.35949570602</v>
      </c>
      <c r="B5395" s="5" t="s">
        <v>19</v>
      </c>
      <c r="C5395" s="5" t="s">
        <v>292</v>
      </c>
      <c r="E5395" s="5" t="s">
        <v>35240</v>
      </c>
      <c r="F5395" s="5" t="s">
        <v>375</v>
      </c>
      <c r="G5395" s="5" t="s">
        <v>35241</v>
      </c>
      <c r="H5395" s="6" t="s">
        <v>35242</v>
      </c>
      <c r="I5395" s="7" t="s">
        <v>35243</v>
      </c>
      <c r="J5395" s="8" t="str">
        <f>HYPERLINK("https://drive.google.com/file/d/1FF5Z8PCQNSDrLytkNk3F2PSq-tH_sJic/view?usp=drivesdk","ELLAN FEDDELIA SERTIFIKAT BerAKHLAK")</f>
        <v>ELLAN FEDDELIA SERTIFIKAT BerAKHLAK</v>
      </c>
      <c r="K5395" s="5" t="s">
        <v>34938</v>
      </c>
      <c r="L5395" s="5" t="s">
        <v>35244</v>
      </c>
    </row>
    <row r="5396">
      <c r="A5396" s="4">
        <v>45534.35950085648</v>
      </c>
      <c r="B5396" s="5" t="s">
        <v>19</v>
      </c>
      <c r="C5396" s="5" t="s">
        <v>14000</v>
      </c>
      <c r="E5396" s="5" t="s">
        <v>35247</v>
      </c>
      <c r="F5396" s="5" t="s">
        <v>37</v>
      </c>
      <c r="G5396" s="5" t="s">
        <v>35248</v>
      </c>
      <c r="H5396" s="6" t="s">
        <v>35249</v>
      </c>
      <c r="I5396" s="7" t="s">
        <v>35250</v>
      </c>
      <c r="J5396" s="8" t="str">
        <f>HYPERLINK("https://drive.google.com/file/d/1GaRWCmhCnpL7H7VYAMDN4M8IAdjkzMIt/view?usp=drivesdk","TEGUH SARJANTO SERTIFIKAT BerAKHLAK")</f>
        <v>TEGUH SARJANTO SERTIFIKAT BerAKHLAK</v>
      </c>
      <c r="K5396" s="5" t="s">
        <v>34938</v>
      </c>
      <c r="L5396" s="5" t="s">
        <v>35251</v>
      </c>
    </row>
    <row r="5397">
      <c r="A5397" s="4">
        <v>45534.35950707176</v>
      </c>
      <c r="B5397" s="5" t="s">
        <v>34</v>
      </c>
      <c r="D5397" s="5" t="s">
        <v>10297</v>
      </c>
      <c r="E5397" s="5" t="s">
        <v>35254</v>
      </c>
      <c r="F5397" s="5" t="s">
        <v>37</v>
      </c>
      <c r="G5397" s="5" t="s">
        <v>35255</v>
      </c>
      <c r="H5397" s="6" t="s">
        <v>35256</v>
      </c>
      <c r="I5397" s="7" t="s">
        <v>35257</v>
      </c>
      <c r="J5397" s="8" t="str">
        <f>HYPERLINK("https://drive.google.com/file/d/1T-5GyFPTL-gv8146Mol1bOYzy5zsXLN7/view?usp=drivesdk","SUHERMAN DG SITUJU KASO, A.MD.KOM. SERTIFIKAT BerAKHLAK")</f>
        <v>SUHERMAN DG SITUJU KASO, A.MD.KOM. SERTIFIKAT BerAKHLAK</v>
      </c>
      <c r="K5397" s="5" t="s">
        <v>34938</v>
      </c>
      <c r="L5397" s="5" t="s">
        <v>35258</v>
      </c>
    </row>
    <row r="5398">
      <c r="A5398" s="4">
        <v>45534.35951401621</v>
      </c>
      <c r="B5398" s="5" t="s">
        <v>34</v>
      </c>
      <c r="D5398" s="5" t="s">
        <v>1206</v>
      </c>
      <c r="E5398" s="5" t="s">
        <v>35261</v>
      </c>
      <c r="F5398" s="5" t="s">
        <v>108</v>
      </c>
      <c r="G5398" s="5" t="s">
        <v>35262</v>
      </c>
      <c r="H5398" s="6" t="s">
        <v>35263</v>
      </c>
      <c r="K5398" s="5" t="s">
        <v>35264</v>
      </c>
    </row>
    <row r="5399">
      <c r="A5399" s="4">
        <v>45534.35951645834</v>
      </c>
      <c r="B5399" s="5" t="s">
        <v>34</v>
      </c>
      <c r="D5399" s="5" t="s">
        <v>4775</v>
      </c>
      <c r="E5399" s="5" t="s">
        <v>35268</v>
      </c>
      <c r="F5399" s="5" t="s">
        <v>375</v>
      </c>
      <c r="G5399" s="5" t="s">
        <v>35269</v>
      </c>
      <c r="H5399" s="6" t="s">
        <v>35270</v>
      </c>
      <c r="K5399" s="5" t="s">
        <v>35264</v>
      </c>
    </row>
    <row r="5400">
      <c r="A5400" s="4">
        <v>45534.359524189815</v>
      </c>
      <c r="B5400" s="5" t="s">
        <v>34</v>
      </c>
      <c r="D5400" s="5" t="s">
        <v>701</v>
      </c>
      <c r="E5400" s="5" t="s">
        <v>35273</v>
      </c>
      <c r="F5400" s="5" t="s">
        <v>715</v>
      </c>
      <c r="G5400" s="5" t="s">
        <v>35274</v>
      </c>
      <c r="H5400" s="6" t="s">
        <v>35275</v>
      </c>
      <c r="I5400" s="7" t="s">
        <v>35276</v>
      </c>
      <c r="J5400" s="8" t="str">
        <f>HYPERLINK("https://drive.google.com/file/d/1HCE1wzWmrTy57_IOG7T2GcpxKCBC5vWd/view?usp=drivesdk","SUSMIATI.,SE SERTIFIKAT BerAKHLAK")</f>
        <v>SUSMIATI.,SE SERTIFIKAT BerAKHLAK</v>
      </c>
      <c r="K5400" s="5" t="s">
        <v>34938</v>
      </c>
      <c r="L5400" s="5" t="s">
        <v>35277</v>
      </c>
    </row>
    <row r="5401">
      <c r="A5401" s="4">
        <v>45534.359529340276</v>
      </c>
      <c r="B5401" s="5" t="s">
        <v>34</v>
      </c>
      <c r="D5401" s="5" t="s">
        <v>1206</v>
      </c>
      <c r="E5401" s="5" t="s">
        <v>35280</v>
      </c>
      <c r="F5401" s="5" t="s">
        <v>37</v>
      </c>
      <c r="G5401" s="5" t="s">
        <v>35281</v>
      </c>
      <c r="H5401" s="6" t="s">
        <v>35282</v>
      </c>
      <c r="I5401" s="7" t="s">
        <v>35283</v>
      </c>
      <c r="J5401" s="8" t="str">
        <f>HYPERLINK("https://drive.google.com/file/d/149akmiz0x0S_-_By7VM8IK30kU8w7RQx/view?usp=drivesdk","SERLI MUFIDDAH SERTIFIKAT BerAKHLAK")</f>
        <v>SERLI MUFIDDAH SERTIFIKAT BerAKHLAK</v>
      </c>
      <c r="K5401" s="5" t="s">
        <v>34938</v>
      </c>
      <c r="L5401" s="5" t="s">
        <v>35284</v>
      </c>
    </row>
    <row r="5402">
      <c r="A5402" s="4">
        <v>45534.35953375</v>
      </c>
      <c r="B5402" s="5" t="s">
        <v>34</v>
      </c>
      <c r="D5402" s="5" t="s">
        <v>9020</v>
      </c>
      <c r="E5402" s="5" t="s">
        <v>35287</v>
      </c>
      <c r="F5402" s="5" t="s">
        <v>375</v>
      </c>
      <c r="G5402" s="5" t="s">
        <v>35288</v>
      </c>
      <c r="H5402" s="6" t="s">
        <v>35289</v>
      </c>
      <c r="I5402" s="7" t="s">
        <v>35290</v>
      </c>
      <c r="J5402" s="8" t="str">
        <f>HYPERLINK("https://drive.google.com/file/d/1bR82uYlElKH8fJNS4zrcn1VdknWVEbLS/view?usp=drivesdk","Ns SURYANI Skep SERTIFIKAT BerAKHLAK")</f>
        <v>Ns SURYANI Skep SERTIFIKAT BerAKHLAK</v>
      </c>
      <c r="K5402" s="5" t="s">
        <v>34938</v>
      </c>
      <c r="L5402" s="5" t="s">
        <v>35291</v>
      </c>
    </row>
    <row r="5403">
      <c r="A5403" s="4">
        <v>45534.35953559028</v>
      </c>
      <c r="B5403" s="5" t="s">
        <v>34</v>
      </c>
      <c r="D5403" s="5" t="s">
        <v>7858</v>
      </c>
      <c r="E5403" s="5" t="s">
        <v>35294</v>
      </c>
      <c r="F5403" s="5" t="s">
        <v>72</v>
      </c>
      <c r="G5403" s="5" t="s">
        <v>35295</v>
      </c>
      <c r="H5403" s="6" t="s">
        <v>35296</v>
      </c>
      <c r="I5403" s="7" t="s">
        <v>35297</v>
      </c>
      <c r="J5403" s="8" t="str">
        <f>HYPERLINK("https://drive.google.com/file/d/1C5a79B3nurqmgkMMbOQJyBVRrEBa2LYq/view?usp=drivesdk","IRAWATI GIAN KEMUNING, S.Kom SERTIFIKAT BerAKHLAK")</f>
        <v>IRAWATI GIAN KEMUNING, S.Kom SERTIFIKAT BerAKHLAK</v>
      </c>
      <c r="K5403" s="5" t="s">
        <v>34938</v>
      </c>
      <c r="L5403" s="5" t="s">
        <v>35298</v>
      </c>
    </row>
    <row r="5404">
      <c r="A5404" s="4">
        <v>45534.35953821759</v>
      </c>
      <c r="B5404" s="5" t="s">
        <v>34</v>
      </c>
      <c r="D5404" s="5" t="s">
        <v>1206</v>
      </c>
      <c r="E5404" s="5" t="s">
        <v>35302</v>
      </c>
      <c r="F5404" s="5" t="s">
        <v>199</v>
      </c>
      <c r="G5404" s="5" t="s">
        <v>35303</v>
      </c>
      <c r="H5404" s="6" t="s">
        <v>35304</v>
      </c>
      <c r="I5404" s="7" t="s">
        <v>35305</v>
      </c>
      <c r="J5404" s="8" t="str">
        <f>HYPERLINK("https://drive.google.com/file/d/10w8UQqA0Y3w2Mq5uYULzKfPpaJ8EZcdc/view?usp=drivesdk","NURCAHYONO SERTIFIKAT BerAKHLAK")</f>
        <v>NURCAHYONO SERTIFIKAT BerAKHLAK</v>
      </c>
      <c r="K5404" s="5" t="s">
        <v>34938</v>
      </c>
      <c r="L5404" s="5" t="s">
        <v>35306</v>
      </c>
    </row>
    <row r="5405">
      <c r="A5405" s="4">
        <v>45534.35954961806</v>
      </c>
      <c r="B5405" s="5" t="s">
        <v>34</v>
      </c>
      <c r="D5405" s="5" t="s">
        <v>1768</v>
      </c>
      <c r="E5405" s="5" t="s">
        <v>35309</v>
      </c>
      <c r="F5405" s="5" t="s">
        <v>22</v>
      </c>
      <c r="G5405" s="5" t="s">
        <v>35310</v>
      </c>
      <c r="H5405" s="6" t="s">
        <v>35311</v>
      </c>
      <c r="I5405" s="7" t="s">
        <v>35312</v>
      </c>
      <c r="J5405" s="8" t="str">
        <f>HYPERLINK("https://drive.google.com/file/d/1ySpy4KeaHjZ2JV45h-QM6wbANoIWKMrv/view?usp=drivesdk","SUTIKTO, S.H. SERTIFIKAT BerAKHLAK")</f>
        <v>SUTIKTO, S.H. SERTIFIKAT BerAKHLAK</v>
      </c>
      <c r="K5405" s="5" t="s">
        <v>35313</v>
      </c>
      <c r="L5405" s="5" t="s">
        <v>35314</v>
      </c>
    </row>
    <row r="5406">
      <c r="A5406" s="4">
        <v>45534.35955188658</v>
      </c>
      <c r="B5406" s="5" t="s">
        <v>34</v>
      </c>
      <c r="D5406" s="5" t="s">
        <v>1206</v>
      </c>
      <c r="E5406" s="5" t="s">
        <v>35317</v>
      </c>
      <c r="F5406" s="5" t="s">
        <v>212</v>
      </c>
      <c r="G5406" s="5" t="s">
        <v>35318</v>
      </c>
      <c r="H5406" s="6" t="s">
        <v>35319</v>
      </c>
      <c r="I5406" s="7" t="s">
        <v>35320</v>
      </c>
      <c r="J5406" s="8" t="str">
        <f>HYPERLINK("https://drive.google.com/file/d/1CI1-spUDKIHRSbwH7No-uNUsgsXyVpVg/view?usp=drivesdk","ADIK SUKARNO PUTRI SWASTANTI, SPd. SERTIFIKAT BerAKHLAK")</f>
        <v>ADIK SUKARNO PUTRI SWASTANTI, SPd. SERTIFIKAT BerAKHLAK</v>
      </c>
      <c r="K5406" s="5" t="s">
        <v>35313</v>
      </c>
      <c r="L5406" s="5" t="s">
        <v>35321</v>
      </c>
    </row>
    <row r="5407">
      <c r="A5407" s="4">
        <v>45534.35955328704</v>
      </c>
      <c r="B5407" s="5" t="s">
        <v>34</v>
      </c>
      <c r="D5407" s="5" t="s">
        <v>35</v>
      </c>
      <c r="E5407" s="5" t="s">
        <v>35324</v>
      </c>
      <c r="F5407" s="5" t="s">
        <v>212</v>
      </c>
      <c r="G5407" s="5" t="s">
        <v>35325</v>
      </c>
      <c r="H5407" s="6" t="s">
        <v>35326</v>
      </c>
      <c r="I5407" s="7" t="s">
        <v>35327</v>
      </c>
      <c r="J5407" s="8" t="str">
        <f>HYPERLINK("https://drive.google.com/file/d/1XLV-WcJCwV7rnQ8mYYc5hI-oJCZ_XgcH/view?usp=drivesdk","DEWI LESTARI, Amd.Kep SERTIFIKAT BerAKHLAK")</f>
        <v>DEWI LESTARI, Amd.Kep SERTIFIKAT BerAKHLAK</v>
      </c>
      <c r="K5407" s="5" t="s">
        <v>35313</v>
      </c>
      <c r="L5407" s="5" t="s">
        <v>35328</v>
      </c>
    </row>
    <row r="5408">
      <c r="A5408" s="4">
        <v>45534.359553842594</v>
      </c>
      <c r="B5408" s="5" t="s">
        <v>34</v>
      </c>
      <c r="D5408" s="5" t="s">
        <v>1206</v>
      </c>
      <c r="E5408" s="5" t="s">
        <v>35331</v>
      </c>
      <c r="F5408" s="5" t="s">
        <v>375</v>
      </c>
      <c r="G5408" s="5" t="s">
        <v>35332</v>
      </c>
      <c r="H5408" s="6" t="s">
        <v>35333</v>
      </c>
      <c r="I5408" s="7" t="s">
        <v>35334</v>
      </c>
      <c r="J5408" s="8" t="str">
        <f>HYPERLINK("https://drive.google.com/file/d/1vMVgP84aCW2Fkid4WjF6y8jDetI17Fx0/view?usp=drivesdk","ARIE ASMAWATI, S.E. SERTIFIKAT BerAKHLAK")</f>
        <v>ARIE ASMAWATI, S.E. SERTIFIKAT BerAKHLAK</v>
      </c>
      <c r="K5408" s="5" t="s">
        <v>35335</v>
      </c>
      <c r="L5408" s="5" t="s">
        <v>35336</v>
      </c>
    </row>
    <row r="5409">
      <c r="A5409" s="4">
        <v>45534.35957123843</v>
      </c>
      <c r="B5409" s="5" t="s">
        <v>34</v>
      </c>
      <c r="D5409" s="5" t="s">
        <v>15401</v>
      </c>
      <c r="E5409" s="5" t="s">
        <v>35340</v>
      </c>
      <c r="F5409" s="5" t="s">
        <v>375</v>
      </c>
      <c r="G5409" s="5" t="s">
        <v>35341</v>
      </c>
      <c r="H5409" s="6" t="s">
        <v>35342</v>
      </c>
      <c r="I5409" s="7" t="s">
        <v>35343</v>
      </c>
      <c r="J5409" s="8" t="str">
        <f>HYPERLINK("https://drive.google.com/file/d/1ZZ_TcENdTP_CGDd9kH0pOoOkPUnqCwNL/view?usp=drivesdk","RAHMAT, S.H. SERTIFIKAT BerAKHLAK")</f>
        <v>RAHMAT, S.H. SERTIFIKAT BerAKHLAK</v>
      </c>
      <c r="K5409" s="5" t="s">
        <v>35335</v>
      </c>
      <c r="L5409" s="5" t="s">
        <v>35344</v>
      </c>
    </row>
    <row r="5410">
      <c r="A5410" s="4">
        <v>45534.359575891205</v>
      </c>
      <c r="B5410" s="5" t="s">
        <v>34</v>
      </c>
      <c r="D5410" s="5" t="s">
        <v>12978</v>
      </c>
      <c r="E5410" s="5" t="s">
        <v>35347</v>
      </c>
      <c r="F5410" s="5" t="s">
        <v>108</v>
      </c>
      <c r="G5410" s="5" t="s">
        <v>35348</v>
      </c>
      <c r="H5410" s="6" t="s">
        <v>35349</v>
      </c>
      <c r="I5410" s="7" t="s">
        <v>35350</v>
      </c>
      <c r="J5410" s="8" t="str">
        <f>HYPERLINK("https://drive.google.com/file/d/1YQ_L2E8VXWdcCeO5I41LOLMG26IytQ_N/view?usp=drivesdk","JUNARSIH SERTIFIKAT BerAKHLAK")</f>
        <v>JUNARSIH SERTIFIKAT BerAKHLAK</v>
      </c>
      <c r="K5410" s="5" t="s">
        <v>35335</v>
      </c>
      <c r="L5410" s="5" t="s">
        <v>35351</v>
      </c>
    </row>
    <row r="5411">
      <c r="A5411" s="4">
        <v>45534.35957973379</v>
      </c>
      <c r="B5411" s="5" t="s">
        <v>34</v>
      </c>
      <c r="D5411" s="5" t="s">
        <v>9020</v>
      </c>
      <c r="E5411" s="5" t="s">
        <v>21107</v>
      </c>
      <c r="F5411" s="5" t="s">
        <v>108</v>
      </c>
      <c r="G5411" s="5" t="s">
        <v>35354</v>
      </c>
      <c r="H5411" s="6" t="s">
        <v>35355</v>
      </c>
      <c r="I5411" s="7" t="s">
        <v>35356</v>
      </c>
      <c r="J5411" s="8" t="str">
        <f>HYPERLINK("https://drive.google.com/file/d/1fZTwLp0PVJYMedf7wLnjhiTgwzPUldVx/view?usp=drivesdk","ELDINA MANURUNG, SE SERTIFIKAT BerAKHLAK")</f>
        <v>ELDINA MANURUNG, SE SERTIFIKAT BerAKHLAK</v>
      </c>
      <c r="K5411" s="5" t="s">
        <v>35335</v>
      </c>
      <c r="L5411" s="5" t="s">
        <v>35357</v>
      </c>
    </row>
    <row r="5412">
      <c r="A5412" s="4">
        <v>45534.35961050926</v>
      </c>
      <c r="B5412" s="5" t="s">
        <v>34</v>
      </c>
      <c r="D5412" s="5" t="s">
        <v>14313</v>
      </c>
      <c r="E5412" s="5" t="s">
        <v>35360</v>
      </c>
      <c r="F5412" s="5" t="s">
        <v>212</v>
      </c>
      <c r="G5412" s="5" t="s">
        <v>35361</v>
      </c>
      <c r="H5412" s="6" t="s">
        <v>35362</v>
      </c>
      <c r="I5412" s="7" t="s">
        <v>35363</v>
      </c>
      <c r="J5412" s="8" t="str">
        <f>HYPERLINK("https://drive.google.com/file/d/1jPdarxhAoAumun1nwFSH-8RD-54F8DiC/view?usp=drivesdk","MAWAR MELATI MUIS SERTIFIKAT BerAKHLAK")</f>
        <v>MAWAR MELATI MUIS SERTIFIKAT BerAKHLAK</v>
      </c>
      <c r="K5412" s="5" t="s">
        <v>34938</v>
      </c>
      <c r="L5412" s="5" t="s">
        <v>35364</v>
      </c>
    </row>
    <row r="5413">
      <c r="A5413" s="4">
        <v>45534.359613912035</v>
      </c>
      <c r="B5413" s="5" t="s">
        <v>34</v>
      </c>
      <c r="D5413" s="5" t="s">
        <v>4775</v>
      </c>
      <c r="E5413" s="5" t="s">
        <v>35368</v>
      </c>
      <c r="F5413" s="5" t="s">
        <v>37</v>
      </c>
      <c r="G5413" s="5" t="s">
        <v>35369</v>
      </c>
      <c r="H5413" s="6" t="s">
        <v>35370</v>
      </c>
      <c r="I5413" s="7" t="s">
        <v>35371</v>
      </c>
      <c r="J5413" s="8" t="str">
        <f>HYPERLINK("https://drive.google.com/file/d/1jRnuE8Opia1DnO2Z8I2ERJkghUAu0V61/view?usp=drivesdk","RISKA AMELIA SARI, A.Md.Keb SERTIFIKAT BerAKHLAK")</f>
        <v>RISKA AMELIA SARI, A.Md.Keb SERTIFIKAT BerAKHLAK</v>
      </c>
      <c r="K5413" s="5" t="s">
        <v>34938</v>
      </c>
      <c r="L5413" s="5" t="s">
        <v>35372</v>
      </c>
    </row>
    <row r="5414">
      <c r="A5414" s="4">
        <v>45534.35961704861</v>
      </c>
      <c r="B5414" s="5" t="s">
        <v>34</v>
      </c>
      <c r="D5414" s="5" t="s">
        <v>14424</v>
      </c>
      <c r="E5414" s="5" t="s">
        <v>35375</v>
      </c>
      <c r="F5414" s="5" t="s">
        <v>72</v>
      </c>
      <c r="G5414" s="5" t="s">
        <v>35376</v>
      </c>
      <c r="H5414" s="6" t="s">
        <v>35377</v>
      </c>
      <c r="I5414" s="7" t="s">
        <v>35378</v>
      </c>
      <c r="J5414" s="8" t="str">
        <f>HYPERLINK("https://drive.google.com/file/d/1zjs8MmImVtwMiIoPxYCb_8ON-abca4OR/view?usp=drivesdk","ELLYANI,SKM SERTIFIKAT BerAKHLAK")</f>
        <v>ELLYANI,SKM SERTIFIKAT BerAKHLAK</v>
      </c>
      <c r="K5414" s="5" t="s">
        <v>34938</v>
      </c>
      <c r="L5414" s="5" t="s">
        <v>35379</v>
      </c>
    </row>
    <row r="5415">
      <c r="A5415" s="4">
        <v>45534.35962392361</v>
      </c>
      <c r="B5415" s="5" t="s">
        <v>34</v>
      </c>
      <c r="D5415" s="5" t="s">
        <v>1206</v>
      </c>
      <c r="E5415" s="5" t="s">
        <v>35382</v>
      </c>
      <c r="F5415" s="5" t="s">
        <v>212</v>
      </c>
      <c r="G5415" s="5" t="s">
        <v>35383</v>
      </c>
      <c r="H5415" s="6" t="s">
        <v>35384</v>
      </c>
      <c r="I5415" s="7" t="s">
        <v>35385</v>
      </c>
      <c r="J5415" s="8" t="str">
        <f>HYPERLINK("https://drive.google.com/file/d/1_MovZyhRcLGh2H0MH2B7rnobBX6-7_j-/view?usp=drivesdk","ANI MEI SUSANTI  SERTIFIKAT BerAKHLAK")</f>
        <v>ANI MEI SUSANTI  SERTIFIKAT BerAKHLAK</v>
      </c>
      <c r="K5415" s="5" t="s">
        <v>34938</v>
      </c>
      <c r="L5415" s="5" t="s">
        <v>35386</v>
      </c>
    </row>
    <row r="5416">
      <c r="A5416" s="4">
        <v>45534.35965266204</v>
      </c>
      <c r="B5416" s="5" t="s">
        <v>34</v>
      </c>
      <c r="D5416" s="5" t="s">
        <v>12978</v>
      </c>
      <c r="E5416" s="5" t="s">
        <v>35389</v>
      </c>
      <c r="F5416" s="5" t="s">
        <v>375</v>
      </c>
      <c r="G5416" s="5" t="s">
        <v>35390</v>
      </c>
      <c r="H5416" s="6" t="s">
        <v>35391</v>
      </c>
      <c r="I5416" s="7" t="s">
        <v>35392</v>
      </c>
      <c r="J5416" s="8" t="str">
        <f>HYPERLINK("https://drive.google.com/file/d/1u6-rlfJwJFbRccjR6_jOnGhduoK-m3sy/view?usp=drivesdk","Asti Fera M, S.H., M.M SERTIFIKAT BerAKHLAK")</f>
        <v>Asti Fera M, S.H., M.M SERTIFIKAT BerAKHLAK</v>
      </c>
      <c r="K5416" s="5" t="s">
        <v>34938</v>
      </c>
      <c r="L5416" s="5" t="s">
        <v>35393</v>
      </c>
    </row>
    <row r="5417">
      <c r="A5417" s="4">
        <v>45534.35965462963</v>
      </c>
      <c r="B5417" s="5" t="s">
        <v>34</v>
      </c>
      <c r="D5417" s="5" t="s">
        <v>4775</v>
      </c>
      <c r="E5417" s="5" t="s">
        <v>35396</v>
      </c>
      <c r="F5417" s="5" t="s">
        <v>524</v>
      </c>
      <c r="G5417" s="5" t="s">
        <v>35397</v>
      </c>
      <c r="H5417" s="6" t="s">
        <v>35398</v>
      </c>
      <c r="I5417" s="7" t="s">
        <v>35399</v>
      </c>
      <c r="J5417" s="8" t="str">
        <f>HYPERLINK("https://drive.google.com/file/d/10iP5Z3tARo1CB2R3NxgaZ85CeNQ4nway/view?usp=drivesdk","YUNITA TRI BUDHI MURDIATI,A.Md.Fam SERTIFIKAT BerAKHLAK")</f>
        <v>YUNITA TRI BUDHI MURDIATI,A.Md.Fam SERTIFIKAT BerAKHLAK</v>
      </c>
      <c r="K5417" s="5" t="s">
        <v>34938</v>
      </c>
      <c r="L5417" s="5" t="s">
        <v>35400</v>
      </c>
    </row>
    <row r="5418">
      <c r="A5418" s="4">
        <v>45534.3596611574</v>
      </c>
      <c r="B5418" s="5" t="s">
        <v>34</v>
      </c>
      <c r="D5418" s="5" t="s">
        <v>35</v>
      </c>
      <c r="E5418" s="5" t="s">
        <v>35404</v>
      </c>
      <c r="F5418" s="5" t="s">
        <v>108</v>
      </c>
      <c r="G5418" s="5" t="s">
        <v>35405</v>
      </c>
      <c r="H5418" s="6" t="s">
        <v>35406</v>
      </c>
      <c r="I5418" s="7" t="s">
        <v>35407</v>
      </c>
      <c r="J5418" s="8" t="str">
        <f>HYPERLINK("https://drive.google.com/file/d/1woYbVoaKZ3XDgZs3u1dJK-ZDptqzxsb6/view?usp=drivesdk","DWI INDRYULI, A. MD.  SERTIFIKAT BerAKHLAK")</f>
        <v>DWI INDRYULI, A. MD.  SERTIFIKAT BerAKHLAK</v>
      </c>
      <c r="K5418" s="5" t="s">
        <v>34938</v>
      </c>
      <c r="L5418" s="5" t="s">
        <v>35408</v>
      </c>
    </row>
    <row r="5419">
      <c r="A5419" s="4">
        <v>45534.35966476852</v>
      </c>
      <c r="B5419" s="5" t="s">
        <v>34</v>
      </c>
      <c r="D5419" s="5" t="s">
        <v>14424</v>
      </c>
      <c r="E5419" s="5" t="s">
        <v>35411</v>
      </c>
      <c r="F5419" s="5" t="s">
        <v>72</v>
      </c>
      <c r="G5419" s="5" t="s">
        <v>35412</v>
      </c>
      <c r="H5419" s="6" t="s">
        <v>35413</v>
      </c>
      <c r="K5419" s="5" t="s">
        <v>35414</v>
      </c>
    </row>
    <row r="5420">
      <c r="A5420" s="4">
        <v>45534.35967578704</v>
      </c>
      <c r="B5420" s="5" t="s">
        <v>34</v>
      </c>
      <c r="D5420" s="5" t="s">
        <v>1206</v>
      </c>
      <c r="E5420" s="5" t="s">
        <v>35417</v>
      </c>
      <c r="F5420" s="5" t="s">
        <v>37</v>
      </c>
      <c r="G5420" s="5" t="s">
        <v>35418</v>
      </c>
      <c r="H5420" s="6" t="s">
        <v>35419</v>
      </c>
      <c r="K5420" s="5" t="s">
        <v>35414</v>
      </c>
    </row>
    <row r="5421">
      <c r="A5421" s="4">
        <v>45534.35968488426</v>
      </c>
      <c r="B5421" s="5" t="s">
        <v>34</v>
      </c>
      <c r="D5421" s="5" t="s">
        <v>12978</v>
      </c>
      <c r="E5421" s="5" t="s">
        <v>35422</v>
      </c>
      <c r="F5421" s="5" t="s">
        <v>212</v>
      </c>
      <c r="G5421" s="5" t="s">
        <v>35423</v>
      </c>
      <c r="H5421" s="6" t="s">
        <v>35424</v>
      </c>
      <c r="K5421" s="5" t="s">
        <v>35414</v>
      </c>
    </row>
    <row r="5422">
      <c r="A5422" s="4">
        <v>45534.35969877314</v>
      </c>
      <c r="B5422" s="5" t="s">
        <v>34</v>
      </c>
      <c r="D5422" s="5" t="s">
        <v>1206</v>
      </c>
      <c r="E5422" s="5" t="s">
        <v>35427</v>
      </c>
      <c r="F5422" s="5" t="s">
        <v>212</v>
      </c>
      <c r="G5422" s="5" t="s">
        <v>35428</v>
      </c>
      <c r="H5422" s="6" t="s">
        <v>35429</v>
      </c>
      <c r="K5422" s="5" t="s">
        <v>35414</v>
      </c>
    </row>
    <row r="5423">
      <c r="A5423" s="4">
        <v>45534.35970425926</v>
      </c>
      <c r="B5423" s="5" t="s">
        <v>34</v>
      </c>
      <c r="D5423" s="5" t="s">
        <v>4775</v>
      </c>
      <c r="E5423" s="5" t="s">
        <v>35433</v>
      </c>
      <c r="F5423" s="5" t="s">
        <v>120</v>
      </c>
      <c r="G5423" s="5" t="s">
        <v>35434</v>
      </c>
      <c r="H5423" s="6" t="s">
        <v>35435</v>
      </c>
      <c r="K5423" s="5" t="s">
        <v>35414</v>
      </c>
    </row>
    <row r="5424">
      <c r="A5424" s="4">
        <v>45534.359723125</v>
      </c>
      <c r="B5424" s="5" t="s">
        <v>34</v>
      </c>
      <c r="D5424" s="5" t="s">
        <v>35</v>
      </c>
      <c r="E5424" s="5" t="s">
        <v>35438</v>
      </c>
      <c r="F5424" s="5" t="s">
        <v>212</v>
      </c>
      <c r="G5424" s="5" t="s">
        <v>35439</v>
      </c>
      <c r="H5424" s="6" t="s">
        <v>35440</v>
      </c>
      <c r="I5424" s="7" t="s">
        <v>35441</v>
      </c>
      <c r="J5424" s="8" t="str">
        <f>HYPERLINK("https://drive.google.com/file/d/1b16B56pG-6zWjwZGsDGE8DWsnLgH3RwU/view?usp=drivesdk","ENTIN SUARSIH SERTIFIKAT BerAKHLAK")</f>
        <v>ENTIN SUARSIH SERTIFIKAT BerAKHLAK</v>
      </c>
      <c r="K5424" s="5" t="s">
        <v>34938</v>
      </c>
      <c r="L5424" s="5" t="s">
        <v>35442</v>
      </c>
    </row>
    <row r="5425">
      <c r="A5425" s="4">
        <v>45534.35972303241</v>
      </c>
      <c r="B5425" s="5" t="s">
        <v>34</v>
      </c>
      <c r="D5425" s="5" t="s">
        <v>1558</v>
      </c>
      <c r="E5425" s="5" t="s">
        <v>35445</v>
      </c>
      <c r="F5425" s="5" t="s">
        <v>108</v>
      </c>
      <c r="G5425" s="5" t="s">
        <v>35446</v>
      </c>
      <c r="H5425" s="6" t="s">
        <v>35447</v>
      </c>
      <c r="I5425" s="7" t="s">
        <v>35448</v>
      </c>
      <c r="J5425" s="8" t="str">
        <f>HYPERLINK("https://drive.google.com/file/d/1pUpB4MPDYF-_XUrHhldz9Rr4sxetJ4_C/view?usp=drivesdk","SLAMET SUTIKWO  SERTIFIKAT BerAKHLAK")</f>
        <v>SLAMET SUTIKWO  SERTIFIKAT BerAKHLAK</v>
      </c>
      <c r="K5425" s="5" t="s">
        <v>34938</v>
      </c>
      <c r="L5425" s="5" t="s">
        <v>35449</v>
      </c>
    </row>
    <row r="5426">
      <c r="A5426" s="4">
        <v>45534.359737962965</v>
      </c>
      <c r="B5426" s="5" t="s">
        <v>34</v>
      </c>
      <c r="D5426" s="5" t="s">
        <v>4775</v>
      </c>
      <c r="E5426" s="5" t="s">
        <v>35452</v>
      </c>
      <c r="F5426" s="5" t="s">
        <v>375</v>
      </c>
      <c r="G5426" s="5" t="s">
        <v>35453</v>
      </c>
      <c r="H5426" s="6" t="s">
        <v>35454</v>
      </c>
      <c r="I5426" s="7" t="s">
        <v>35455</v>
      </c>
      <c r="J5426" s="8" t="str">
        <f>HYPERLINK("https://drive.google.com/file/d/1-bhwjvfh0mYrbMZjROmvckQgoynTlr2t/view?usp=drivesdk","SRI MULYANAH SERTIFIKAT BerAKHLAK")</f>
        <v>SRI MULYANAH SERTIFIKAT BerAKHLAK</v>
      </c>
      <c r="K5426" s="5" t="s">
        <v>34938</v>
      </c>
      <c r="L5426" s="5" t="s">
        <v>35456</v>
      </c>
    </row>
    <row r="5427">
      <c r="A5427" s="4">
        <v>45534.359738865736</v>
      </c>
      <c r="B5427" s="5" t="s">
        <v>34</v>
      </c>
      <c r="D5427" s="5" t="s">
        <v>701</v>
      </c>
      <c r="E5427" s="5" t="s">
        <v>35459</v>
      </c>
      <c r="F5427" s="5" t="s">
        <v>108</v>
      </c>
      <c r="G5427" s="5" t="s">
        <v>35460</v>
      </c>
      <c r="H5427" s="6" t="s">
        <v>35461</v>
      </c>
      <c r="I5427" s="7" t="s">
        <v>35462</v>
      </c>
      <c r="J5427" s="8" t="str">
        <f>HYPERLINK("https://drive.google.com/file/d/1A65zJFQM-rBr5N3c50ObBbbtzZbAcL1Y/view?usp=drivesdk","IMELDA RUSLI  SERTIFIKAT BerAKHLAK")</f>
        <v>IMELDA RUSLI  SERTIFIKAT BerAKHLAK</v>
      </c>
      <c r="K5427" s="5" t="s">
        <v>34938</v>
      </c>
      <c r="L5427" s="5" t="s">
        <v>35463</v>
      </c>
    </row>
    <row r="5428">
      <c r="A5428" s="4">
        <v>45534.35975037037</v>
      </c>
      <c r="B5428" s="5" t="s">
        <v>34</v>
      </c>
      <c r="D5428" s="5" t="s">
        <v>35</v>
      </c>
      <c r="E5428" s="5" t="s">
        <v>35467</v>
      </c>
      <c r="F5428" s="5" t="s">
        <v>37</v>
      </c>
      <c r="G5428" s="5" t="s">
        <v>35468</v>
      </c>
      <c r="H5428" s="6" t="s">
        <v>35469</v>
      </c>
      <c r="I5428" s="7" t="s">
        <v>35470</v>
      </c>
      <c r="J5428" s="8" t="str">
        <f>HYPERLINK("https://drive.google.com/file/d/1RCdYZ3IqYTNyMC1O5RxggHXpSnMI970o/view?usp=drivesdk","CUHANA SERTIFIKAT BerAKHLAK")</f>
        <v>CUHANA SERTIFIKAT BerAKHLAK</v>
      </c>
      <c r="K5428" s="5" t="s">
        <v>35313</v>
      </c>
      <c r="L5428" s="5" t="s">
        <v>35471</v>
      </c>
    </row>
    <row r="5429">
      <c r="A5429" s="4">
        <v>45534.35974991898</v>
      </c>
      <c r="B5429" s="5" t="s">
        <v>34</v>
      </c>
      <c r="D5429" s="5" t="s">
        <v>9020</v>
      </c>
      <c r="E5429" s="5" t="s">
        <v>35474</v>
      </c>
      <c r="F5429" s="5" t="s">
        <v>22</v>
      </c>
      <c r="G5429" s="5" t="s">
        <v>35475</v>
      </c>
      <c r="H5429" s="6" t="s">
        <v>35476</v>
      </c>
      <c r="K5429" s="5" t="s">
        <v>35477</v>
      </c>
    </row>
    <row r="5430">
      <c r="A5430" s="4">
        <v>45534.35975908565</v>
      </c>
      <c r="B5430" s="5" t="s">
        <v>34</v>
      </c>
      <c r="D5430" s="5" t="s">
        <v>1206</v>
      </c>
      <c r="E5430" s="5" t="s">
        <v>35480</v>
      </c>
      <c r="F5430" s="5" t="s">
        <v>37</v>
      </c>
      <c r="G5430" s="5" t="s">
        <v>35481</v>
      </c>
      <c r="H5430" s="6" t="s">
        <v>35482</v>
      </c>
      <c r="K5430" s="5" t="s">
        <v>35477</v>
      </c>
    </row>
    <row r="5431">
      <c r="A5431" s="4">
        <v>45534.35976033565</v>
      </c>
      <c r="B5431" s="5" t="s">
        <v>34</v>
      </c>
      <c r="D5431" s="5" t="s">
        <v>15401</v>
      </c>
      <c r="E5431" s="5" t="s">
        <v>35485</v>
      </c>
      <c r="F5431" s="5" t="s">
        <v>212</v>
      </c>
      <c r="G5431" s="5" t="s">
        <v>35486</v>
      </c>
      <c r="H5431" s="6" t="s">
        <v>35487</v>
      </c>
      <c r="I5431" s="7" t="s">
        <v>35488</v>
      </c>
      <c r="J5431" s="8" t="str">
        <f>HYPERLINK("https://drive.google.com/file/d/1vP0bVgj2altdXaa_CXYI0KIJ74C3SeM6/view?usp=drivesdk","SULFIAH SERTIFIKAT BerAKHLAK")</f>
        <v>SULFIAH SERTIFIKAT BerAKHLAK</v>
      </c>
      <c r="K5431" s="5" t="s">
        <v>34938</v>
      </c>
      <c r="L5431" s="5" t="s">
        <v>35489</v>
      </c>
    </row>
    <row r="5432">
      <c r="A5432" s="4">
        <v>45534.359760555555</v>
      </c>
      <c r="B5432" s="5" t="s">
        <v>34</v>
      </c>
      <c r="D5432" s="5" t="s">
        <v>996</v>
      </c>
      <c r="E5432" s="5" t="s">
        <v>21305</v>
      </c>
      <c r="F5432" s="5" t="s">
        <v>212</v>
      </c>
      <c r="G5432" s="5" t="s">
        <v>35493</v>
      </c>
      <c r="H5432" s="6" t="s">
        <v>35494</v>
      </c>
      <c r="I5432" s="7" t="s">
        <v>35495</v>
      </c>
      <c r="J5432" s="8" t="str">
        <f>HYPERLINK("https://drive.google.com/file/d/1BJLlFvUiHNyh3bkWFrQqzLiy7JyX1e8G/view?usp=drivesdk","FITRIANI SERTIFIKAT BerAKHLAK")</f>
        <v>FITRIANI SERTIFIKAT BerAKHLAK</v>
      </c>
      <c r="K5432" s="5" t="s">
        <v>34938</v>
      </c>
      <c r="L5432" s="5" t="s">
        <v>35496</v>
      </c>
    </row>
    <row r="5433">
      <c r="A5433" s="4">
        <v>45534.35976832176</v>
      </c>
      <c r="B5433" s="5" t="s">
        <v>34</v>
      </c>
      <c r="D5433" s="5" t="s">
        <v>1206</v>
      </c>
      <c r="E5433" s="5" t="s">
        <v>35499</v>
      </c>
      <c r="F5433" s="5" t="s">
        <v>524</v>
      </c>
      <c r="G5433" s="5" t="s">
        <v>35500</v>
      </c>
      <c r="H5433" s="6" t="s">
        <v>35501</v>
      </c>
      <c r="I5433" s="7" t="s">
        <v>35502</v>
      </c>
      <c r="J5433" s="8" t="str">
        <f>HYPERLINK("https://drive.google.com/file/d/1Vmp8rIkc6VB1J3XpNDaBtzLRXsiglKR9/view?usp=drivesdk","NANANG RAHMAWANTO, S.E SERTIFIKAT BerAKHLAK")</f>
        <v>NANANG RAHMAWANTO, S.E SERTIFIKAT BerAKHLAK</v>
      </c>
      <c r="K5433" s="5" t="s">
        <v>34938</v>
      </c>
      <c r="L5433" s="5" t="s">
        <v>35503</v>
      </c>
    </row>
    <row r="5434">
      <c r="A5434" s="4">
        <v>45534.35979408565</v>
      </c>
      <c r="B5434" s="5" t="s">
        <v>34</v>
      </c>
      <c r="D5434" s="5" t="s">
        <v>522</v>
      </c>
      <c r="E5434" s="5" t="s">
        <v>35506</v>
      </c>
      <c r="F5434" s="5" t="s">
        <v>375</v>
      </c>
      <c r="G5434" s="5" t="s">
        <v>35507</v>
      </c>
      <c r="H5434" s="6" t="s">
        <v>35508</v>
      </c>
      <c r="I5434" s="7" t="s">
        <v>35509</v>
      </c>
      <c r="J5434" s="8" t="str">
        <f>HYPERLINK("https://drive.google.com/file/d/1bqrdk7cwgc3NTwEzhoTbhkjRiD_jlo2u/view?usp=drivesdk","I WAYAN GATOT MADIYASA, S.H. SERTIFIKAT BerAKHLAK")</f>
        <v>I WAYAN GATOT MADIYASA, S.H. SERTIFIKAT BerAKHLAK</v>
      </c>
      <c r="K5434" s="5" t="s">
        <v>35313</v>
      </c>
      <c r="L5434" s="5" t="s">
        <v>35510</v>
      </c>
    </row>
    <row r="5435">
      <c r="A5435" s="4">
        <v>45534.35980482639</v>
      </c>
      <c r="B5435" s="5" t="s">
        <v>34</v>
      </c>
      <c r="D5435" s="5" t="s">
        <v>1206</v>
      </c>
      <c r="E5435" s="5" t="s">
        <v>35513</v>
      </c>
      <c r="F5435" s="5" t="s">
        <v>37</v>
      </c>
      <c r="G5435" s="5" t="s">
        <v>35514</v>
      </c>
      <c r="H5435" s="6" t="s">
        <v>35515</v>
      </c>
      <c r="I5435" s="7" t="s">
        <v>35516</v>
      </c>
      <c r="J5435" s="8" t="str">
        <f>HYPERLINK("https://drive.google.com/file/d/14Y_97c61qWc97KMQOcB-SFoiPR9L-Q7e/view?usp=drivesdk","RIBUT EKA WINARSIH SERTIFIKAT BerAKHLAK")</f>
        <v>RIBUT EKA WINARSIH SERTIFIKAT BerAKHLAK</v>
      </c>
      <c r="K5435" s="5" t="s">
        <v>35313</v>
      </c>
      <c r="L5435" s="5" t="s">
        <v>35517</v>
      </c>
    </row>
    <row r="5436">
      <c r="A5436" s="4">
        <v>45534.35980583333</v>
      </c>
      <c r="B5436" s="5" t="s">
        <v>34</v>
      </c>
      <c r="D5436" s="5" t="s">
        <v>4775</v>
      </c>
      <c r="E5436" s="5" t="s">
        <v>35520</v>
      </c>
      <c r="F5436" s="5" t="s">
        <v>375</v>
      </c>
      <c r="G5436" s="5" t="s">
        <v>35521</v>
      </c>
      <c r="H5436" s="6" t="s">
        <v>35522</v>
      </c>
      <c r="I5436" s="7" t="s">
        <v>35523</v>
      </c>
      <c r="J5436" s="8" t="str">
        <f>HYPERLINK("https://drive.google.com/file/d/15pRiXIXbwUxyd1d4HiDyVAXFpq3WeJKI/view?usp=drivesdk","MARFUAH,S.Kep SERTIFIKAT BerAKHLAK")</f>
        <v>MARFUAH,S.Kep SERTIFIKAT BerAKHLAK</v>
      </c>
      <c r="K5436" s="5" t="s">
        <v>35313</v>
      </c>
      <c r="L5436" s="5" t="s">
        <v>35524</v>
      </c>
    </row>
    <row r="5437">
      <c r="A5437" s="4">
        <v>45534.359817372686</v>
      </c>
      <c r="B5437" s="5" t="s">
        <v>34</v>
      </c>
      <c r="D5437" s="5" t="s">
        <v>701</v>
      </c>
      <c r="E5437" s="5" t="s">
        <v>35528</v>
      </c>
      <c r="F5437" s="5" t="s">
        <v>212</v>
      </c>
      <c r="G5437" s="5" t="s">
        <v>35529</v>
      </c>
      <c r="H5437" s="6" t="s">
        <v>35530</v>
      </c>
      <c r="I5437" s="7" t="s">
        <v>35531</v>
      </c>
      <c r="J5437" s="8" t="str">
        <f>HYPERLINK("https://drive.google.com/file/d/1edp-4b7UREqgw_9t5SHloQLdGvHWDz_G/view?usp=drivesdk","DESMAWATI SERTIFIKAT BerAKHLAK")</f>
        <v>DESMAWATI SERTIFIKAT BerAKHLAK</v>
      </c>
      <c r="K5437" s="5" t="s">
        <v>35313</v>
      </c>
      <c r="L5437" s="5" t="s">
        <v>35532</v>
      </c>
    </row>
    <row r="5438">
      <c r="A5438" s="4">
        <v>45534.35982333333</v>
      </c>
      <c r="B5438" s="5" t="s">
        <v>34</v>
      </c>
      <c r="D5438" s="5" t="s">
        <v>14424</v>
      </c>
      <c r="E5438" s="5" t="s">
        <v>35535</v>
      </c>
      <c r="F5438" s="5" t="s">
        <v>72</v>
      </c>
      <c r="G5438" s="5" t="s">
        <v>35536</v>
      </c>
      <c r="H5438" s="6" t="s">
        <v>35537</v>
      </c>
      <c r="I5438" s="7" t="s">
        <v>35538</v>
      </c>
      <c r="J5438" s="8" t="str">
        <f>HYPERLINK("https://drive.google.com/file/d/1alofqc6dndcc-B9rV-g1VuWJAMMICHi3/view?usp=drivesdk","DEWI RATNAWATI SERTIFIKAT BerAKHLAK")</f>
        <v>DEWI RATNAWATI SERTIFIKAT BerAKHLAK</v>
      </c>
      <c r="K5438" s="5" t="s">
        <v>35313</v>
      </c>
      <c r="L5438" s="5" t="s">
        <v>35539</v>
      </c>
    </row>
    <row r="5439">
      <c r="A5439" s="4">
        <v>45534.35983081019</v>
      </c>
      <c r="B5439" s="5" t="s">
        <v>19</v>
      </c>
      <c r="C5439" s="5" t="s">
        <v>442</v>
      </c>
      <c r="E5439" s="5" t="s">
        <v>35542</v>
      </c>
      <c r="F5439" s="5" t="s">
        <v>72</v>
      </c>
      <c r="G5439" s="5" t="s">
        <v>35543</v>
      </c>
      <c r="H5439" s="6" t="s">
        <v>35544</v>
      </c>
      <c r="I5439" s="7" t="s">
        <v>35545</v>
      </c>
      <c r="J5439" s="8" t="str">
        <f>HYPERLINK("https://drive.google.com/file/d/1L9PKlBVYWXGcHX8cWJqtJlDhBxaSmGVP/view?usp=drivesdk","HERYANI. S.H.  SERTIFIKAT BerAKHLAK")</f>
        <v>HERYANI. S.H.  SERTIFIKAT BerAKHLAK</v>
      </c>
      <c r="K5439" s="5" t="s">
        <v>35335</v>
      </c>
      <c r="L5439" s="5" t="s">
        <v>35546</v>
      </c>
    </row>
    <row r="5440">
      <c r="A5440" s="4">
        <v>45534.359830416666</v>
      </c>
      <c r="B5440" s="5" t="s">
        <v>34</v>
      </c>
      <c r="D5440" s="5" t="s">
        <v>14313</v>
      </c>
      <c r="E5440" s="5" t="s">
        <v>35549</v>
      </c>
      <c r="F5440" s="5" t="s">
        <v>199</v>
      </c>
      <c r="G5440" s="5" t="s">
        <v>35550</v>
      </c>
      <c r="H5440" s="6" t="s">
        <v>35551</v>
      </c>
      <c r="K5440" s="5" t="s">
        <v>35552</v>
      </c>
    </row>
    <row r="5441">
      <c r="A5441" s="4">
        <v>45534.35983901621</v>
      </c>
      <c r="B5441" s="5" t="s">
        <v>34</v>
      </c>
      <c r="D5441" s="5" t="s">
        <v>1206</v>
      </c>
      <c r="E5441" s="5" t="s">
        <v>35556</v>
      </c>
      <c r="F5441" s="5" t="s">
        <v>22</v>
      </c>
      <c r="G5441" s="5" t="s">
        <v>35557</v>
      </c>
      <c r="H5441" s="6" t="s">
        <v>35558</v>
      </c>
      <c r="I5441" s="7" t="s">
        <v>35559</v>
      </c>
      <c r="J5441" s="8" t="str">
        <f>HYPERLINK("https://drive.google.com/file/d/1mjTj7B4BWXEbZDmUMCV3DfGI6EH53PoQ/view?usp=drivesdk","dr FITRI MUSDALIFA SERTIFIKAT BerAKHLAK")</f>
        <v>dr FITRI MUSDALIFA SERTIFIKAT BerAKHLAK</v>
      </c>
      <c r="K5441" s="5" t="s">
        <v>34938</v>
      </c>
      <c r="L5441" s="5" t="s">
        <v>35560</v>
      </c>
    </row>
    <row r="5442">
      <c r="A5442" s="4">
        <v>45534.35984888889</v>
      </c>
      <c r="B5442" s="5" t="s">
        <v>34</v>
      </c>
      <c r="D5442" s="5" t="s">
        <v>522</v>
      </c>
      <c r="E5442" s="5" t="s">
        <v>35563</v>
      </c>
      <c r="F5442" s="5" t="s">
        <v>328</v>
      </c>
      <c r="G5442" s="5" t="s">
        <v>35564</v>
      </c>
      <c r="H5442" s="6" t="s">
        <v>35565</v>
      </c>
      <c r="I5442" s="7" t="s">
        <v>35566</v>
      </c>
      <c r="J5442" s="8" t="str">
        <f>HYPERLINK("https://drive.google.com/file/d/1YTP9lkWbVNEt3sJYqg4M6wwDNPAz3ABt/view?usp=drivesdk","LELY TAPIANA S SERTIFIKAT BerAKHLAK")</f>
        <v>LELY TAPIANA S SERTIFIKAT BerAKHLAK</v>
      </c>
      <c r="K5442" s="5" t="s">
        <v>34938</v>
      </c>
      <c r="L5442" s="5" t="s">
        <v>35567</v>
      </c>
    </row>
    <row r="5443">
      <c r="A5443" s="4">
        <v>45534.359856192124</v>
      </c>
      <c r="B5443" s="5" t="s">
        <v>34</v>
      </c>
      <c r="D5443" s="5" t="s">
        <v>12010</v>
      </c>
      <c r="E5443" s="5" t="s">
        <v>35570</v>
      </c>
      <c r="F5443" s="5" t="s">
        <v>375</v>
      </c>
      <c r="G5443" s="5" t="s">
        <v>35571</v>
      </c>
      <c r="H5443" s="6" t="s">
        <v>35572</v>
      </c>
      <c r="K5443" s="5" t="s">
        <v>35573</v>
      </c>
    </row>
    <row r="5444">
      <c r="A5444" s="4">
        <v>45534.35988375</v>
      </c>
      <c r="B5444" s="5" t="s">
        <v>34</v>
      </c>
      <c r="D5444" s="5" t="s">
        <v>4775</v>
      </c>
      <c r="E5444" s="5" t="s">
        <v>35576</v>
      </c>
      <c r="F5444" s="5" t="s">
        <v>72</v>
      </c>
      <c r="G5444" s="5" t="s">
        <v>35577</v>
      </c>
      <c r="H5444" s="6" t="s">
        <v>35578</v>
      </c>
      <c r="K5444" s="5" t="s">
        <v>35573</v>
      </c>
    </row>
    <row r="5445">
      <c r="A5445" s="4">
        <v>45534.359891817134</v>
      </c>
      <c r="B5445" s="5" t="s">
        <v>34</v>
      </c>
      <c r="D5445" s="5" t="s">
        <v>4775</v>
      </c>
      <c r="E5445" s="5" t="s">
        <v>35581</v>
      </c>
      <c r="F5445" s="5" t="s">
        <v>212</v>
      </c>
      <c r="G5445" s="5" t="s">
        <v>35582</v>
      </c>
      <c r="H5445" s="6" t="s">
        <v>35583</v>
      </c>
      <c r="K5445" s="5" t="s">
        <v>35573</v>
      </c>
    </row>
    <row r="5446">
      <c r="A5446" s="4">
        <v>45534.35989403936</v>
      </c>
      <c r="B5446" s="5" t="s">
        <v>19</v>
      </c>
      <c r="C5446" s="5" t="s">
        <v>30588</v>
      </c>
      <c r="E5446" s="5" t="s">
        <v>35587</v>
      </c>
      <c r="F5446" s="5" t="s">
        <v>524</v>
      </c>
      <c r="G5446" s="5" t="s">
        <v>35588</v>
      </c>
      <c r="H5446" s="6" t="s">
        <v>35589</v>
      </c>
      <c r="K5446" s="5" t="s">
        <v>35573</v>
      </c>
    </row>
    <row r="5447">
      <c r="A5447" s="4">
        <v>45534.35992097222</v>
      </c>
      <c r="B5447" s="5" t="s">
        <v>19</v>
      </c>
      <c r="C5447" s="5" t="s">
        <v>24076</v>
      </c>
      <c r="E5447" s="5" t="s">
        <v>35592</v>
      </c>
      <c r="F5447" s="5" t="s">
        <v>199</v>
      </c>
      <c r="G5447" s="5" t="s">
        <v>35593</v>
      </c>
      <c r="H5447" s="6" t="s">
        <v>35594</v>
      </c>
      <c r="I5447" s="7" t="s">
        <v>35595</v>
      </c>
      <c r="J5447" s="8" t="str">
        <f>HYPERLINK("https://drive.google.com/file/d/1k-ur6kf6HlNYxqqVVx7uKsw-ULdjqWgA/view?usp=drivesdk","SRI SUSANTI SERTIFIKAT BerAKHLAK")</f>
        <v>SRI SUSANTI SERTIFIKAT BerAKHLAK</v>
      </c>
      <c r="K5447" s="5" t="s">
        <v>34938</v>
      </c>
      <c r="L5447" s="5" t="s">
        <v>35596</v>
      </c>
    </row>
    <row r="5448">
      <c r="A5448" s="4">
        <v>45534.359921192125</v>
      </c>
      <c r="B5448" s="5" t="s">
        <v>34</v>
      </c>
      <c r="D5448" s="5" t="s">
        <v>35</v>
      </c>
      <c r="E5448" s="5" t="s">
        <v>35599</v>
      </c>
      <c r="F5448" s="5" t="s">
        <v>37</v>
      </c>
      <c r="G5448" s="5" t="s">
        <v>35600</v>
      </c>
      <c r="H5448" s="6" t="s">
        <v>35601</v>
      </c>
      <c r="K5448" s="5" t="s">
        <v>35602</v>
      </c>
    </row>
    <row r="5449">
      <c r="A5449" s="4">
        <v>45534.35992850694</v>
      </c>
      <c r="B5449" s="5" t="s">
        <v>34</v>
      </c>
      <c r="D5449" s="5" t="s">
        <v>4775</v>
      </c>
      <c r="E5449" s="5" t="s">
        <v>35605</v>
      </c>
      <c r="F5449" s="5" t="s">
        <v>37</v>
      </c>
      <c r="G5449" s="5" t="s">
        <v>35606</v>
      </c>
      <c r="H5449" s="6" t="s">
        <v>35607</v>
      </c>
      <c r="K5449" s="5" t="s">
        <v>35602</v>
      </c>
    </row>
    <row r="5450">
      <c r="A5450" s="4">
        <v>45534.35992870371</v>
      </c>
      <c r="B5450" s="5" t="s">
        <v>34</v>
      </c>
      <c r="D5450" s="5" t="s">
        <v>35</v>
      </c>
      <c r="E5450" s="5" t="s">
        <v>35610</v>
      </c>
      <c r="F5450" s="5" t="s">
        <v>212</v>
      </c>
      <c r="G5450" s="5" t="s">
        <v>35611</v>
      </c>
      <c r="H5450" s="6" t="s">
        <v>35612</v>
      </c>
      <c r="K5450" s="5" t="s">
        <v>35602</v>
      </c>
    </row>
    <row r="5451">
      <c r="A5451" s="4">
        <v>45534.35994201389</v>
      </c>
      <c r="B5451" s="5" t="s">
        <v>34</v>
      </c>
      <c r="D5451" s="5" t="s">
        <v>15401</v>
      </c>
      <c r="E5451" s="5" t="s">
        <v>35616</v>
      </c>
      <c r="F5451" s="5" t="s">
        <v>37</v>
      </c>
      <c r="G5451" s="5" t="s">
        <v>35617</v>
      </c>
      <c r="H5451" s="6" t="s">
        <v>35618</v>
      </c>
      <c r="K5451" s="5" t="s">
        <v>35602</v>
      </c>
    </row>
    <row r="5452">
      <c r="A5452" s="4">
        <v>45534.35994340278</v>
      </c>
      <c r="B5452" s="5" t="s">
        <v>34</v>
      </c>
      <c r="D5452" s="5" t="s">
        <v>267</v>
      </c>
      <c r="E5452" s="5" t="s">
        <v>35621</v>
      </c>
      <c r="F5452" s="5" t="s">
        <v>524</v>
      </c>
      <c r="G5452" s="5" t="s">
        <v>35622</v>
      </c>
      <c r="H5452" s="6" t="s">
        <v>35623</v>
      </c>
      <c r="K5452" s="5" t="s">
        <v>35602</v>
      </c>
    </row>
    <row r="5453">
      <c r="A5453" s="4">
        <v>45534.359944745374</v>
      </c>
      <c r="B5453" s="5" t="s">
        <v>34</v>
      </c>
      <c r="D5453" s="5" t="s">
        <v>12978</v>
      </c>
      <c r="E5453" s="5" t="s">
        <v>35626</v>
      </c>
      <c r="F5453" s="5" t="s">
        <v>212</v>
      </c>
      <c r="G5453" s="5" t="s">
        <v>35627</v>
      </c>
      <c r="H5453" s="6" t="s">
        <v>35628</v>
      </c>
      <c r="K5453" s="5" t="s">
        <v>35602</v>
      </c>
    </row>
    <row r="5454">
      <c r="A5454" s="4">
        <v>45534.359958333334</v>
      </c>
      <c r="B5454" s="5" t="s">
        <v>34</v>
      </c>
      <c r="D5454" s="5" t="s">
        <v>996</v>
      </c>
      <c r="E5454" s="5" t="s">
        <v>35631</v>
      </c>
      <c r="F5454" s="5" t="s">
        <v>37</v>
      </c>
      <c r="G5454" s="5" t="s">
        <v>35632</v>
      </c>
      <c r="H5454" s="6" t="s">
        <v>35633</v>
      </c>
      <c r="K5454" s="5" t="s">
        <v>35634</v>
      </c>
    </row>
    <row r="5455">
      <c r="A5455" s="4">
        <v>45534.35998180555</v>
      </c>
      <c r="B5455" s="5" t="s">
        <v>34</v>
      </c>
      <c r="D5455" s="5" t="s">
        <v>14313</v>
      </c>
      <c r="E5455" s="5" t="s">
        <v>35638</v>
      </c>
      <c r="F5455" s="5" t="s">
        <v>212</v>
      </c>
      <c r="G5455" s="5" t="s">
        <v>35639</v>
      </c>
      <c r="H5455" s="6" t="s">
        <v>35640</v>
      </c>
      <c r="K5455" s="5" t="s">
        <v>35634</v>
      </c>
    </row>
    <row r="5456">
      <c r="A5456" s="4">
        <v>45534.35998407408</v>
      </c>
      <c r="B5456" s="5" t="s">
        <v>34</v>
      </c>
      <c r="D5456" s="5" t="s">
        <v>9020</v>
      </c>
      <c r="E5456" s="5" t="s">
        <v>35643</v>
      </c>
      <c r="F5456" s="5" t="s">
        <v>72</v>
      </c>
      <c r="G5456" s="5" t="s">
        <v>35644</v>
      </c>
      <c r="H5456" s="6" t="s">
        <v>35645</v>
      </c>
      <c r="K5456" s="5" t="s">
        <v>35634</v>
      </c>
    </row>
    <row r="5457">
      <c r="A5457" s="4">
        <v>45534.35998606481</v>
      </c>
      <c r="B5457" s="5" t="s">
        <v>34</v>
      </c>
      <c r="D5457" s="5" t="s">
        <v>996</v>
      </c>
      <c r="E5457" s="5" t="s">
        <v>35648</v>
      </c>
      <c r="F5457" s="5" t="s">
        <v>37</v>
      </c>
      <c r="G5457" s="5" t="s">
        <v>35649</v>
      </c>
      <c r="H5457" s="6" t="s">
        <v>35650</v>
      </c>
      <c r="K5457" s="5" t="s">
        <v>35634</v>
      </c>
    </row>
    <row r="5458">
      <c r="A5458" s="4">
        <v>45534.3599878588</v>
      </c>
      <c r="B5458" s="5" t="s">
        <v>34</v>
      </c>
      <c r="D5458" s="5" t="s">
        <v>1456</v>
      </c>
      <c r="E5458" s="5" t="s">
        <v>35653</v>
      </c>
      <c r="F5458" s="5" t="s">
        <v>328</v>
      </c>
      <c r="G5458" s="5" t="s">
        <v>35654</v>
      </c>
      <c r="H5458" s="6" t="s">
        <v>35655</v>
      </c>
      <c r="K5458" s="5" t="s">
        <v>35634</v>
      </c>
    </row>
    <row r="5459">
      <c r="A5459" s="4">
        <v>45534.360003298614</v>
      </c>
      <c r="B5459" s="5" t="s">
        <v>19</v>
      </c>
      <c r="C5459" s="5" t="s">
        <v>1606</v>
      </c>
      <c r="E5459" s="5" t="s">
        <v>35658</v>
      </c>
      <c r="F5459" s="5" t="s">
        <v>524</v>
      </c>
      <c r="G5459" s="5" t="s">
        <v>35659</v>
      </c>
      <c r="H5459" s="6" t="s">
        <v>35660</v>
      </c>
      <c r="K5459" s="5" t="s">
        <v>35661</v>
      </c>
    </row>
    <row r="5460">
      <c r="A5460" s="4">
        <v>45534.36001716435</v>
      </c>
      <c r="B5460" s="5" t="s">
        <v>34</v>
      </c>
      <c r="D5460" s="5" t="s">
        <v>1206</v>
      </c>
      <c r="E5460" s="5" t="s">
        <v>32887</v>
      </c>
      <c r="F5460" s="5" t="s">
        <v>212</v>
      </c>
      <c r="G5460" s="5" t="s">
        <v>32888</v>
      </c>
      <c r="H5460" s="6" t="s">
        <v>35665</v>
      </c>
      <c r="K5460" s="5" t="s">
        <v>35661</v>
      </c>
    </row>
    <row r="5461">
      <c r="A5461" s="4">
        <v>45534.3600316088</v>
      </c>
      <c r="B5461" s="5" t="s">
        <v>34</v>
      </c>
      <c r="D5461" s="5" t="s">
        <v>9020</v>
      </c>
      <c r="E5461" s="5" t="s">
        <v>35668</v>
      </c>
      <c r="F5461" s="5" t="s">
        <v>37</v>
      </c>
      <c r="G5461" s="5" t="s">
        <v>35669</v>
      </c>
      <c r="H5461" s="6" t="s">
        <v>35670</v>
      </c>
      <c r="K5461" s="5" t="s">
        <v>35661</v>
      </c>
    </row>
    <row r="5462">
      <c r="A5462" s="4">
        <v>45534.36003863426</v>
      </c>
      <c r="B5462" s="5" t="s">
        <v>34</v>
      </c>
      <c r="D5462" s="5" t="s">
        <v>9020</v>
      </c>
      <c r="E5462" s="5" t="s">
        <v>35673</v>
      </c>
      <c r="F5462" s="5" t="s">
        <v>212</v>
      </c>
      <c r="G5462" s="5" t="s">
        <v>35674</v>
      </c>
      <c r="H5462" s="6" t="s">
        <v>35675</v>
      </c>
      <c r="K5462" s="5" t="s">
        <v>35661</v>
      </c>
    </row>
    <row r="5463">
      <c r="A5463" s="4">
        <v>45534.36006024305</v>
      </c>
      <c r="B5463" s="5" t="s">
        <v>34</v>
      </c>
      <c r="D5463" s="5" t="s">
        <v>12978</v>
      </c>
      <c r="E5463" s="5" t="s">
        <v>21976</v>
      </c>
      <c r="F5463" s="5" t="s">
        <v>108</v>
      </c>
      <c r="G5463" s="5" t="s">
        <v>35678</v>
      </c>
      <c r="H5463" s="6" t="s">
        <v>35679</v>
      </c>
      <c r="K5463" s="5" t="s">
        <v>35680</v>
      </c>
    </row>
    <row r="5464">
      <c r="A5464" s="4">
        <v>45534.36009212963</v>
      </c>
      <c r="B5464" s="5" t="s">
        <v>34</v>
      </c>
      <c r="D5464" s="5" t="s">
        <v>701</v>
      </c>
      <c r="E5464" s="5" t="s">
        <v>35684</v>
      </c>
      <c r="F5464" s="5" t="s">
        <v>375</v>
      </c>
      <c r="G5464" s="5" t="s">
        <v>35685</v>
      </c>
      <c r="H5464" s="6" t="s">
        <v>35686</v>
      </c>
      <c r="K5464" s="5" t="s">
        <v>35680</v>
      </c>
    </row>
    <row r="5465">
      <c r="A5465" s="4">
        <v>45534.3601058912</v>
      </c>
      <c r="B5465" s="5" t="s">
        <v>34</v>
      </c>
      <c r="D5465" s="5" t="s">
        <v>701</v>
      </c>
      <c r="E5465" s="5" t="s">
        <v>29755</v>
      </c>
      <c r="F5465" s="5" t="s">
        <v>212</v>
      </c>
      <c r="G5465" s="5" t="s">
        <v>35689</v>
      </c>
      <c r="H5465" s="6" t="s">
        <v>35690</v>
      </c>
      <c r="K5465" s="5" t="s">
        <v>35691</v>
      </c>
    </row>
    <row r="5466">
      <c r="A5466" s="4">
        <v>45534.36010655093</v>
      </c>
      <c r="B5466" s="5" t="s">
        <v>34</v>
      </c>
      <c r="D5466" s="5" t="s">
        <v>14424</v>
      </c>
      <c r="E5466" s="5" t="s">
        <v>35694</v>
      </c>
      <c r="F5466" s="5" t="s">
        <v>524</v>
      </c>
      <c r="G5466" s="5" t="s">
        <v>35695</v>
      </c>
      <c r="H5466" s="6" t="s">
        <v>35696</v>
      </c>
      <c r="K5466" s="5" t="s">
        <v>35691</v>
      </c>
    </row>
    <row r="5467">
      <c r="A5467" s="4">
        <v>45534.36012005787</v>
      </c>
      <c r="B5467" s="5" t="s">
        <v>34</v>
      </c>
      <c r="D5467" s="5" t="s">
        <v>1206</v>
      </c>
      <c r="E5467" s="5" t="s">
        <v>35699</v>
      </c>
      <c r="F5467" s="5" t="s">
        <v>212</v>
      </c>
      <c r="G5467" s="5" t="s">
        <v>35700</v>
      </c>
      <c r="H5467" s="6" t="s">
        <v>35701</v>
      </c>
      <c r="K5467" s="5" t="s">
        <v>35691</v>
      </c>
    </row>
    <row r="5468">
      <c r="A5468" s="4">
        <v>45534.3601334375</v>
      </c>
      <c r="B5468" s="5" t="s">
        <v>19</v>
      </c>
      <c r="C5468" s="5" t="s">
        <v>292</v>
      </c>
      <c r="E5468" s="5" t="s">
        <v>35704</v>
      </c>
      <c r="F5468" s="5" t="s">
        <v>6776</v>
      </c>
      <c r="G5468" s="5" t="s">
        <v>35705</v>
      </c>
      <c r="H5468" s="6" t="s">
        <v>35706</v>
      </c>
      <c r="K5468" s="5" t="s">
        <v>35707</v>
      </c>
    </row>
    <row r="5469">
      <c r="A5469" s="4">
        <v>45534.3601366088</v>
      </c>
      <c r="B5469" s="5" t="s">
        <v>19</v>
      </c>
      <c r="C5469" s="5" t="s">
        <v>292</v>
      </c>
      <c r="E5469" s="5" t="s">
        <v>35711</v>
      </c>
      <c r="F5469" s="5" t="s">
        <v>212</v>
      </c>
      <c r="G5469" s="5" t="s">
        <v>35712</v>
      </c>
      <c r="H5469" s="6" t="s">
        <v>35713</v>
      </c>
      <c r="K5469" s="5" t="s">
        <v>35707</v>
      </c>
    </row>
    <row r="5470">
      <c r="A5470" s="4">
        <v>45534.36016621528</v>
      </c>
      <c r="B5470" s="5" t="s">
        <v>34</v>
      </c>
      <c r="D5470" s="5" t="s">
        <v>1206</v>
      </c>
      <c r="E5470" s="5" t="s">
        <v>35716</v>
      </c>
      <c r="F5470" s="5" t="s">
        <v>212</v>
      </c>
      <c r="G5470" s="5" t="s">
        <v>35717</v>
      </c>
      <c r="H5470" s="6" t="s">
        <v>35718</v>
      </c>
      <c r="K5470" s="5" t="s">
        <v>35719</v>
      </c>
    </row>
    <row r="5471">
      <c r="A5471" s="4">
        <v>45534.3601784375</v>
      </c>
      <c r="B5471" s="5" t="s">
        <v>34</v>
      </c>
      <c r="D5471" s="5" t="s">
        <v>2903</v>
      </c>
      <c r="E5471" s="5" t="s">
        <v>35722</v>
      </c>
      <c r="F5471" s="5" t="s">
        <v>22</v>
      </c>
      <c r="G5471" s="5" t="s">
        <v>35723</v>
      </c>
      <c r="H5471" s="6" t="s">
        <v>35724</v>
      </c>
      <c r="K5471" s="5" t="s">
        <v>35719</v>
      </c>
    </row>
    <row r="5472">
      <c r="A5472" s="4">
        <v>45534.360212430554</v>
      </c>
      <c r="B5472" s="5" t="s">
        <v>34</v>
      </c>
      <c r="D5472" s="5" t="s">
        <v>9020</v>
      </c>
      <c r="E5472" s="5" t="s">
        <v>35727</v>
      </c>
      <c r="F5472" s="5" t="s">
        <v>715</v>
      </c>
      <c r="G5472" s="5" t="s">
        <v>35728</v>
      </c>
      <c r="H5472" s="6" t="s">
        <v>35729</v>
      </c>
      <c r="I5472" s="7" t="s">
        <v>35730</v>
      </c>
      <c r="J5472" s="8" t="str">
        <f>HYPERLINK("https://drive.google.com/file/d/1xuAd03lAUrWkqM59CbtWSr-Eq5oAfem9/view?usp=drivesdk","TRISNI KURNIATI, S.H SERTIFIKAT BerAKHLAK")</f>
        <v>TRISNI KURNIATI, S.H SERTIFIKAT BerAKHLAK</v>
      </c>
      <c r="K5472" s="5" t="s">
        <v>35313</v>
      </c>
      <c r="L5472" s="5" t="s">
        <v>35731</v>
      </c>
    </row>
    <row r="5473">
      <c r="A5473" s="4">
        <v>45534.3602196875</v>
      </c>
      <c r="B5473" s="5" t="s">
        <v>34</v>
      </c>
      <c r="D5473" s="5" t="s">
        <v>1206</v>
      </c>
      <c r="E5473" s="5" t="s">
        <v>35734</v>
      </c>
      <c r="F5473" s="5" t="s">
        <v>108</v>
      </c>
      <c r="G5473" s="5" t="s">
        <v>35735</v>
      </c>
      <c r="H5473" s="6" t="s">
        <v>35736</v>
      </c>
      <c r="I5473" s="7" t="s">
        <v>35737</v>
      </c>
      <c r="J5473" s="8" t="str">
        <f>HYPERLINK("https://drive.google.com/file/d/1IYtuuvg5tXpMJr6fCFPzxy-iZvq8Q5kB/view?usp=drivesdk","DWI ASTUTI SERTIFIKAT BerAKHLAK")</f>
        <v>DWI ASTUTI SERTIFIKAT BerAKHLAK</v>
      </c>
      <c r="K5473" s="5" t="s">
        <v>35313</v>
      </c>
      <c r="L5473" s="5" t="s">
        <v>35738</v>
      </c>
    </row>
    <row r="5474">
      <c r="A5474" s="4">
        <v>45534.360221145835</v>
      </c>
      <c r="B5474" s="5" t="s">
        <v>34</v>
      </c>
      <c r="D5474" s="5" t="s">
        <v>6232</v>
      </c>
      <c r="E5474" s="5" t="s">
        <v>35742</v>
      </c>
      <c r="F5474" s="5" t="s">
        <v>37</v>
      </c>
      <c r="G5474" s="5" t="s">
        <v>35743</v>
      </c>
      <c r="H5474" s="6" t="s">
        <v>35744</v>
      </c>
      <c r="I5474" s="7" t="s">
        <v>35745</v>
      </c>
      <c r="J5474" s="8" t="str">
        <f>HYPERLINK("https://drive.google.com/file/d/1CQ-oa46yU2bNj4NWGaztf6drin2OyuG-/view?usp=drivesdk","SELVIA MADONNA Am. Kep SERTIFIKAT BerAKHLAK")</f>
        <v>SELVIA MADONNA Am. Kep SERTIFIKAT BerAKHLAK</v>
      </c>
      <c r="K5474" s="5" t="s">
        <v>35313</v>
      </c>
      <c r="L5474" s="5" t="s">
        <v>35746</v>
      </c>
    </row>
    <row r="5475">
      <c r="A5475" s="4">
        <v>45534.360237037035</v>
      </c>
      <c r="B5475" s="5" t="s">
        <v>34</v>
      </c>
      <c r="D5475" s="5" t="s">
        <v>12978</v>
      </c>
      <c r="E5475" s="5" t="s">
        <v>35749</v>
      </c>
      <c r="F5475" s="5" t="s">
        <v>212</v>
      </c>
      <c r="G5475" s="5" t="s">
        <v>35750</v>
      </c>
      <c r="H5475" s="6" t="s">
        <v>35751</v>
      </c>
      <c r="I5475" s="7" t="s">
        <v>35752</v>
      </c>
      <c r="J5475" s="8" t="str">
        <f>HYPERLINK("https://drive.google.com/file/d/1u61vLX1WDgamTsWB8BbdWVWvUqmgdzrz/view?usp=drivesdk","MUHAMMAD NURDIN SERTIFIKAT BerAKHLAK")</f>
        <v>MUHAMMAD NURDIN SERTIFIKAT BerAKHLAK</v>
      </c>
      <c r="K5475" s="5" t="s">
        <v>35313</v>
      </c>
      <c r="L5475" s="5" t="s">
        <v>35753</v>
      </c>
    </row>
    <row r="5476">
      <c r="A5476" s="4">
        <v>45534.36024034722</v>
      </c>
      <c r="B5476" s="5" t="s">
        <v>34</v>
      </c>
      <c r="D5476" s="5" t="s">
        <v>12978</v>
      </c>
      <c r="E5476" s="5" t="s">
        <v>35756</v>
      </c>
      <c r="F5476" s="5" t="s">
        <v>212</v>
      </c>
      <c r="G5476" s="5" t="s">
        <v>35757</v>
      </c>
      <c r="H5476" s="6" t="s">
        <v>35758</v>
      </c>
      <c r="K5476" s="5" t="s">
        <v>35759</v>
      </c>
    </row>
    <row r="5477">
      <c r="A5477" s="4">
        <v>45534.36025748843</v>
      </c>
      <c r="B5477" s="5" t="s">
        <v>34</v>
      </c>
      <c r="D5477" s="5" t="s">
        <v>9020</v>
      </c>
      <c r="E5477" s="5" t="s">
        <v>35762</v>
      </c>
      <c r="F5477" s="5" t="s">
        <v>375</v>
      </c>
      <c r="G5477" s="5" t="s">
        <v>35763</v>
      </c>
      <c r="H5477" s="6" t="s">
        <v>35764</v>
      </c>
      <c r="K5477" s="5" t="s">
        <v>35759</v>
      </c>
    </row>
    <row r="5478">
      <c r="A5478" s="4">
        <v>45534.36026361111</v>
      </c>
      <c r="B5478" s="5" t="s">
        <v>34</v>
      </c>
      <c r="D5478" s="5" t="s">
        <v>7858</v>
      </c>
      <c r="E5478" s="5" t="s">
        <v>35767</v>
      </c>
      <c r="F5478" s="5" t="s">
        <v>37</v>
      </c>
      <c r="G5478" s="5" t="s">
        <v>35768</v>
      </c>
      <c r="H5478" s="6" t="s">
        <v>35769</v>
      </c>
      <c r="I5478" s="7" t="s">
        <v>35770</v>
      </c>
      <c r="J5478" s="8" t="str">
        <f>HYPERLINK("https://drive.google.com/file/d/1EIzW_xdXZaosHvmjtalWrEf6zDL46cmi/view?usp=drivesdk","EVI TAJWIDI, S. SOS.  SERTIFIKAT BerAKHLAK")</f>
        <v>EVI TAJWIDI, S. SOS.  SERTIFIKAT BerAKHLAK</v>
      </c>
      <c r="K5478" s="5" t="s">
        <v>35313</v>
      </c>
      <c r="L5478" s="5" t="s">
        <v>35771</v>
      </c>
    </row>
    <row r="5479">
      <c r="A5479" s="4">
        <v>45534.36027315972</v>
      </c>
      <c r="B5479" s="5" t="s">
        <v>34</v>
      </c>
      <c r="D5479" s="5" t="s">
        <v>701</v>
      </c>
      <c r="E5479" s="5" t="s">
        <v>35775</v>
      </c>
      <c r="F5479" s="5" t="s">
        <v>212</v>
      </c>
      <c r="G5479" s="5" t="s">
        <v>35776</v>
      </c>
      <c r="H5479" s="6" t="s">
        <v>35777</v>
      </c>
      <c r="I5479" s="7" t="s">
        <v>35778</v>
      </c>
      <c r="J5479" s="8" t="str">
        <f>HYPERLINK("https://drive.google.com/file/d/1_md3U7igo7HmlwYPNlxjMWAMO0BAfjuJ/view?usp=drivesdk","OLINA YETRI SERTIFIKAT BerAKHLAK")</f>
        <v>OLINA YETRI SERTIFIKAT BerAKHLAK</v>
      </c>
      <c r="K5479" s="5" t="s">
        <v>35313</v>
      </c>
      <c r="L5479" s="5" t="s">
        <v>35779</v>
      </c>
    </row>
    <row r="5480">
      <c r="A5480" s="4">
        <v>45534.360274375</v>
      </c>
      <c r="B5480" s="5" t="s">
        <v>34</v>
      </c>
      <c r="D5480" s="5" t="s">
        <v>14424</v>
      </c>
      <c r="E5480" s="5" t="s">
        <v>35782</v>
      </c>
      <c r="F5480" s="5" t="s">
        <v>37</v>
      </c>
      <c r="G5480" s="5" t="s">
        <v>35783</v>
      </c>
      <c r="H5480" s="6" t="s">
        <v>35784</v>
      </c>
      <c r="I5480" s="7" t="s">
        <v>35785</v>
      </c>
      <c r="J5480" s="8" t="str">
        <f>HYPERLINK("https://drive.google.com/file/d/1aeg1vhhz6Yeke9WpijCxxapEFbP1QDXM/view?usp=drivesdk","RIA LESTARI,AMd.Kep SERTIFIKAT BerAKHLAK")</f>
        <v>RIA LESTARI,AMd.Kep SERTIFIKAT BerAKHLAK</v>
      </c>
      <c r="K5480" s="5" t="s">
        <v>35313</v>
      </c>
      <c r="L5480" s="5" t="s">
        <v>35786</v>
      </c>
    </row>
    <row r="5481">
      <c r="A5481" s="4">
        <v>45534.3602953588</v>
      </c>
      <c r="B5481" s="5" t="s">
        <v>34</v>
      </c>
      <c r="D5481" s="5" t="s">
        <v>701</v>
      </c>
      <c r="E5481" s="5" t="s">
        <v>35789</v>
      </c>
      <c r="F5481" s="5" t="s">
        <v>108</v>
      </c>
      <c r="G5481" s="5" t="s">
        <v>35790</v>
      </c>
      <c r="H5481" s="6" t="s">
        <v>35791</v>
      </c>
      <c r="I5481" s="7" t="s">
        <v>35792</v>
      </c>
      <c r="J5481" s="8" t="str">
        <f>HYPERLINK("https://drive.google.com/file/d/1Tg0Nhjcqv48wM1kpFR_jKdaMI17mmAGd/view?usp=drivesdk","Ns AFNI MARLINA, S.Kep SERTIFIKAT BerAKHLAK")</f>
        <v>Ns AFNI MARLINA, S.Kep SERTIFIKAT BerAKHLAK</v>
      </c>
      <c r="K5481" s="5" t="s">
        <v>35313</v>
      </c>
      <c r="L5481" s="5" t="s">
        <v>35793</v>
      </c>
    </row>
    <row r="5482">
      <c r="A5482" s="4">
        <v>45534.360304664355</v>
      </c>
      <c r="B5482" s="5" t="s">
        <v>34</v>
      </c>
      <c r="D5482" s="5" t="s">
        <v>6232</v>
      </c>
      <c r="E5482" s="5" t="s">
        <v>35796</v>
      </c>
      <c r="F5482" s="5" t="s">
        <v>37</v>
      </c>
      <c r="G5482" s="5" t="s">
        <v>35797</v>
      </c>
      <c r="H5482" s="6" t="s">
        <v>35798</v>
      </c>
      <c r="I5482" s="7" t="s">
        <v>35799</v>
      </c>
      <c r="J5482" s="8" t="str">
        <f>HYPERLINK("https://drive.google.com/file/d/1qEX8kAY5YgYcMUMP_moNN74kOfFR2k-b/view?usp=drivesdk","AMALIA PUTRI SERTIFIKAT BerAKHLAK")</f>
        <v>AMALIA PUTRI SERTIFIKAT BerAKHLAK</v>
      </c>
      <c r="K5482" s="5" t="s">
        <v>35313</v>
      </c>
      <c r="L5482" s="5" t="s">
        <v>35800</v>
      </c>
    </row>
    <row r="5483">
      <c r="A5483" s="4">
        <v>45534.36032018518</v>
      </c>
      <c r="B5483" s="5" t="s">
        <v>19</v>
      </c>
      <c r="C5483" s="5" t="s">
        <v>292</v>
      </c>
      <c r="E5483" s="5" t="s">
        <v>35804</v>
      </c>
      <c r="F5483" s="5" t="s">
        <v>212</v>
      </c>
      <c r="G5483" s="5" t="s">
        <v>35805</v>
      </c>
      <c r="H5483" s="6" t="s">
        <v>35806</v>
      </c>
      <c r="I5483" s="7" t="s">
        <v>35807</v>
      </c>
      <c r="J5483" s="8" t="str">
        <f>HYPERLINK("https://drive.google.com/file/d/1HkGrDuorUAdhh9uWlUmySBUuFZoJL6v7/view?usp=drivesdk","HENDRA WIGUNA SERTIFIKAT BerAKHLAK")</f>
        <v>HENDRA WIGUNA SERTIFIKAT BerAKHLAK</v>
      </c>
      <c r="K5483" s="5" t="s">
        <v>35313</v>
      </c>
      <c r="L5483" s="5" t="s">
        <v>35808</v>
      </c>
    </row>
    <row r="5484">
      <c r="A5484" s="4">
        <v>45534.36032695602</v>
      </c>
      <c r="B5484" s="5" t="s">
        <v>34</v>
      </c>
      <c r="D5484" s="5" t="s">
        <v>14313</v>
      </c>
      <c r="E5484" s="5" t="s">
        <v>35811</v>
      </c>
      <c r="F5484" s="5" t="s">
        <v>72</v>
      </c>
      <c r="G5484" s="5" t="s">
        <v>35812</v>
      </c>
      <c r="H5484" s="6" t="s">
        <v>35813</v>
      </c>
      <c r="I5484" s="7" t="s">
        <v>35814</v>
      </c>
      <c r="J5484" s="8" t="str">
        <f>HYPERLINK("https://drive.google.com/file/d/1hYqaqxFPA4Sh0PHU0KDaOlVvJn5kD7jt/view?usp=drivesdk","ADOLPINA SARIANNA, SE SERTIFIKAT BerAKHLAK")</f>
        <v>ADOLPINA SARIANNA, SE SERTIFIKAT BerAKHLAK</v>
      </c>
      <c r="K5484" s="5" t="s">
        <v>35313</v>
      </c>
      <c r="L5484" s="5" t="s">
        <v>35815</v>
      </c>
    </row>
    <row r="5485">
      <c r="A5485" s="4">
        <v>45534.360328553244</v>
      </c>
      <c r="B5485" s="5" t="s">
        <v>34</v>
      </c>
      <c r="D5485" s="5" t="s">
        <v>701</v>
      </c>
      <c r="E5485" s="5" t="s">
        <v>35819</v>
      </c>
      <c r="F5485" s="5" t="s">
        <v>108</v>
      </c>
      <c r="G5485" s="5" t="s">
        <v>35820</v>
      </c>
      <c r="H5485" s="6" t="s">
        <v>35821</v>
      </c>
      <c r="I5485" s="7" t="s">
        <v>35822</v>
      </c>
      <c r="J5485" s="8" t="str">
        <f>HYPERLINK("https://drive.google.com/file/d/1WDPmKM530iUYpUTN8IbxLEarR8fkTjrJ/view?usp=drivesdk","PASMI JELITA SERTIFIKAT BerAKHLAK")</f>
        <v>PASMI JELITA SERTIFIKAT BerAKHLAK</v>
      </c>
      <c r="K5485" s="5" t="s">
        <v>35313</v>
      </c>
      <c r="L5485" s="5" t="s">
        <v>35823</v>
      </c>
    </row>
    <row r="5486">
      <c r="A5486" s="4">
        <v>45534.360331620366</v>
      </c>
      <c r="B5486" s="5" t="s">
        <v>34</v>
      </c>
      <c r="D5486" s="5" t="s">
        <v>9020</v>
      </c>
      <c r="E5486" s="5" t="s">
        <v>35827</v>
      </c>
      <c r="F5486" s="5" t="s">
        <v>375</v>
      </c>
      <c r="G5486" s="5" t="s">
        <v>35828</v>
      </c>
      <c r="H5486" s="6" t="s">
        <v>35829</v>
      </c>
      <c r="I5486" s="7" t="s">
        <v>35830</v>
      </c>
      <c r="J5486" s="8" t="str">
        <f>HYPERLINK("https://drive.google.com/file/d/1Qip0Yuum7XVsNPDPJ1uVRRbEvnseLB6p/view?usp=drivesdk","SURYA DARMA PURBA SE SERTIFIKAT BerAKHLAK")</f>
        <v>SURYA DARMA PURBA SE SERTIFIKAT BerAKHLAK</v>
      </c>
      <c r="K5486" s="5" t="s">
        <v>35313</v>
      </c>
      <c r="L5486" s="5" t="s">
        <v>35831</v>
      </c>
    </row>
    <row r="5487">
      <c r="A5487" s="4">
        <v>45534.36033541667</v>
      </c>
      <c r="B5487" s="5" t="s">
        <v>34</v>
      </c>
      <c r="D5487" s="5" t="s">
        <v>1206</v>
      </c>
      <c r="E5487" s="5" t="s">
        <v>32500</v>
      </c>
      <c r="F5487" s="5" t="s">
        <v>212</v>
      </c>
      <c r="G5487" s="5" t="s">
        <v>35835</v>
      </c>
      <c r="H5487" s="6" t="s">
        <v>35836</v>
      </c>
      <c r="K5487" s="5" t="s">
        <v>35837</v>
      </c>
    </row>
    <row r="5488">
      <c r="A5488" s="4">
        <v>45534.36034277778</v>
      </c>
      <c r="B5488" s="5" t="s">
        <v>34</v>
      </c>
      <c r="D5488" s="5" t="s">
        <v>1456</v>
      </c>
      <c r="E5488" s="5" t="s">
        <v>35841</v>
      </c>
      <c r="F5488" s="5" t="s">
        <v>212</v>
      </c>
      <c r="G5488" s="5" t="s">
        <v>35842</v>
      </c>
      <c r="H5488" s="6" t="s">
        <v>35843</v>
      </c>
      <c r="K5488" s="5" t="s">
        <v>35837</v>
      </c>
    </row>
    <row r="5489">
      <c r="A5489" s="4">
        <v>45534.360357604164</v>
      </c>
      <c r="B5489" s="5" t="s">
        <v>34</v>
      </c>
      <c r="D5489" s="5" t="s">
        <v>362</v>
      </c>
      <c r="E5489" s="5" t="s">
        <v>35847</v>
      </c>
      <c r="F5489" s="5" t="s">
        <v>524</v>
      </c>
      <c r="G5489" s="5" t="s">
        <v>35848</v>
      </c>
      <c r="H5489" s="6" t="s">
        <v>35849</v>
      </c>
      <c r="K5489" s="5" t="s">
        <v>35837</v>
      </c>
    </row>
    <row r="5490">
      <c r="A5490" s="4">
        <v>45534.36036136574</v>
      </c>
      <c r="B5490" s="5" t="s">
        <v>34</v>
      </c>
      <c r="D5490" s="5" t="s">
        <v>1558</v>
      </c>
      <c r="E5490" s="5" t="s">
        <v>35853</v>
      </c>
      <c r="F5490" s="5" t="s">
        <v>524</v>
      </c>
      <c r="G5490" s="5" t="s">
        <v>35854</v>
      </c>
      <c r="H5490" s="6" t="s">
        <v>35855</v>
      </c>
      <c r="K5490" s="5" t="s">
        <v>35837</v>
      </c>
    </row>
    <row r="5491">
      <c r="A5491" s="4">
        <v>45534.36037003472</v>
      </c>
      <c r="B5491" s="5" t="s">
        <v>19</v>
      </c>
      <c r="C5491" s="5" t="s">
        <v>1606</v>
      </c>
      <c r="E5491" s="5" t="s">
        <v>35859</v>
      </c>
      <c r="F5491" s="5" t="s">
        <v>108</v>
      </c>
      <c r="G5491" s="5" t="s">
        <v>35860</v>
      </c>
      <c r="H5491" s="6" t="s">
        <v>35861</v>
      </c>
      <c r="I5491" s="7" t="s">
        <v>35862</v>
      </c>
      <c r="J5491" s="8" t="str">
        <f>HYPERLINK("https://drive.google.com/file/d/1IZ-Rc3E35E75fNj-1sQ739Sw9WxeChFk/view?usp=drivesdk","SODIYAH SERTIFIKAT BerAKHLAK")</f>
        <v>SODIYAH SERTIFIKAT BerAKHLAK</v>
      </c>
      <c r="K5491" s="5" t="s">
        <v>35313</v>
      </c>
      <c r="L5491" s="5" t="s">
        <v>35863</v>
      </c>
    </row>
    <row r="5492">
      <c r="A5492" s="4">
        <v>45534.36039652777</v>
      </c>
      <c r="B5492" s="5" t="s">
        <v>34</v>
      </c>
      <c r="D5492" s="5" t="s">
        <v>267</v>
      </c>
      <c r="E5492" s="5" t="s">
        <v>35867</v>
      </c>
      <c r="F5492" s="5" t="s">
        <v>212</v>
      </c>
      <c r="G5492" s="5" t="s">
        <v>35868</v>
      </c>
      <c r="H5492" s="6" t="s">
        <v>35869</v>
      </c>
      <c r="I5492" s="7" t="s">
        <v>35870</v>
      </c>
      <c r="J5492" s="8" t="str">
        <f>HYPERLINK("https://drive.google.com/file/d/1zi9umAc_XlH3yr0XduiVvDQyJg4D0W-K/view?usp=drivesdk","RACHMAD HARI SANTOSO SERTIFIKAT BerAKHLAK")</f>
        <v>RACHMAD HARI SANTOSO SERTIFIKAT BerAKHLAK</v>
      </c>
      <c r="K5492" s="5" t="s">
        <v>35313</v>
      </c>
      <c r="L5492" s="5" t="s">
        <v>35871</v>
      </c>
    </row>
    <row r="5493">
      <c r="A5493" s="4">
        <v>45534.36039724537</v>
      </c>
      <c r="B5493" s="5" t="s">
        <v>34</v>
      </c>
      <c r="D5493" s="5" t="s">
        <v>9394</v>
      </c>
      <c r="E5493" s="5" t="s">
        <v>34555</v>
      </c>
      <c r="F5493" s="5" t="s">
        <v>524</v>
      </c>
      <c r="G5493" s="5" t="s">
        <v>35875</v>
      </c>
      <c r="H5493" s="6" t="s">
        <v>35876</v>
      </c>
      <c r="I5493" s="7" t="s">
        <v>35877</v>
      </c>
      <c r="J5493" s="8" t="str">
        <f>HYPERLINK("https://drive.google.com/file/d/1nJn3EmhLAOrnpTRH7MNirhVDQzf6gV6p/view?usp=drivesdk","MELDA SRI RAHAYU, S.M. SERTIFIKAT BerAKHLAK")</f>
        <v>MELDA SRI RAHAYU, S.M. SERTIFIKAT BerAKHLAK</v>
      </c>
      <c r="K5493" s="5" t="s">
        <v>35313</v>
      </c>
      <c r="L5493" s="5" t="s">
        <v>35878</v>
      </c>
    </row>
    <row r="5494">
      <c r="A5494" s="4">
        <v>45534.360399074074</v>
      </c>
      <c r="B5494" s="5" t="s">
        <v>34</v>
      </c>
      <c r="D5494" s="5" t="s">
        <v>4775</v>
      </c>
      <c r="E5494" s="5" t="s">
        <v>35882</v>
      </c>
      <c r="F5494" s="5" t="s">
        <v>108</v>
      </c>
      <c r="G5494" s="5" t="s">
        <v>35883</v>
      </c>
      <c r="H5494" s="6" t="s">
        <v>35884</v>
      </c>
      <c r="I5494" s="7" t="s">
        <v>35885</v>
      </c>
      <c r="J5494" s="8" t="str">
        <f>HYPERLINK("https://drive.google.com/file/d/1jmhFKvOTU5TayVr69vibLVzUA_oBJuh6/view?usp=drivesdk","DWI FEBRIANI, S.M. SERTIFIKAT BerAKHLAK")</f>
        <v>DWI FEBRIANI, S.M. SERTIFIKAT BerAKHLAK</v>
      </c>
      <c r="K5494" s="5" t="s">
        <v>35335</v>
      </c>
      <c r="L5494" s="5" t="s">
        <v>35886</v>
      </c>
    </row>
    <row r="5495">
      <c r="A5495" s="4">
        <v>45534.360400219906</v>
      </c>
      <c r="B5495" s="5" t="s">
        <v>34</v>
      </c>
      <c r="D5495" s="5" t="s">
        <v>1206</v>
      </c>
      <c r="E5495" s="5" t="s">
        <v>35890</v>
      </c>
      <c r="F5495" s="5" t="s">
        <v>108</v>
      </c>
      <c r="G5495" s="5" t="s">
        <v>35891</v>
      </c>
      <c r="H5495" s="6" t="s">
        <v>35892</v>
      </c>
      <c r="I5495" s="7" t="s">
        <v>35893</v>
      </c>
      <c r="J5495" s="8" t="str">
        <f>HYPERLINK("https://drive.google.com/file/d/1BlhnVv5J4mwHO59h2KGHqb3dkRh1vSZ5/view?usp=drivesdk","ENIK RENIATI SERTIFIKAT BerAKHLAK")</f>
        <v>ENIK RENIATI SERTIFIKAT BerAKHLAK</v>
      </c>
      <c r="K5495" s="5" t="s">
        <v>35335</v>
      </c>
      <c r="L5495" s="5" t="s">
        <v>35894</v>
      </c>
    </row>
    <row r="5496">
      <c r="A5496" s="4">
        <v>45534.36040847222</v>
      </c>
      <c r="B5496" s="5" t="s">
        <v>34</v>
      </c>
      <c r="D5496" s="5" t="s">
        <v>1206</v>
      </c>
      <c r="E5496" s="5" t="s">
        <v>35898</v>
      </c>
      <c r="F5496" s="5" t="s">
        <v>37</v>
      </c>
      <c r="G5496" s="5" t="s">
        <v>35899</v>
      </c>
      <c r="H5496" s="6" t="s">
        <v>35900</v>
      </c>
      <c r="I5496" s="7" t="s">
        <v>35901</v>
      </c>
      <c r="J5496" s="8" t="str">
        <f>HYPERLINK("https://drive.google.com/file/d/1xz51qLGqOcYTf-cYPEZfcs33JhZPHTj0/view?usp=drivesdk","RENNY AGUSTINENGTYAS SERTIFIKAT BerAKHLAK")</f>
        <v>RENNY AGUSTINENGTYAS SERTIFIKAT BerAKHLAK</v>
      </c>
      <c r="K5496" s="5" t="s">
        <v>35335</v>
      </c>
      <c r="L5496" s="5" t="s">
        <v>35902</v>
      </c>
    </row>
    <row r="5497">
      <c r="A5497" s="4">
        <v>45534.360448182866</v>
      </c>
      <c r="B5497" s="5" t="s">
        <v>34</v>
      </c>
      <c r="D5497" s="5" t="s">
        <v>1206</v>
      </c>
      <c r="E5497" s="5" t="s">
        <v>35906</v>
      </c>
      <c r="F5497" s="5" t="s">
        <v>37</v>
      </c>
      <c r="G5497" s="5" t="s">
        <v>35907</v>
      </c>
      <c r="H5497" s="6" t="s">
        <v>35908</v>
      </c>
      <c r="I5497" s="7" t="s">
        <v>35909</v>
      </c>
      <c r="J5497" s="8" t="str">
        <f>HYPERLINK("https://drive.google.com/file/d/15PRLkzVcp6oebRxvnIcsJXSBXLYijqtG/view?usp=drivesdk","SULIYAH SERTIFIKAT BerAKHLAK")</f>
        <v>SULIYAH SERTIFIKAT BerAKHLAK</v>
      </c>
      <c r="K5497" s="5" t="s">
        <v>35313</v>
      </c>
      <c r="L5497" s="5" t="s">
        <v>35910</v>
      </c>
    </row>
    <row r="5498">
      <c r="A5498" s="4">
        <v>45534.36045541667</v>
      </c>
      <c r="B5498" s="5" t="s">
        <v>34</v>
      </c>
      <c r="D5498" s="5" t="s">
        <v>267</v>
      </c>
      <c r="E5498" s="5" t="s">
        <v>35914</v>
      </c>
      <c r="F5498" s="5" t="s">
        <v>120</v>
      </c>
      <c r="G5498" s="5" t="s">
        <v>3520</v>
      </c>
      <c r="H5498" s="6" t="s">
        <v>35915</v>
      </c>
      <c r="I5498" s="7" t="s">
        <v>35916</v>
      </c>
      <c r="J5498" s="8" t="str">
        <f>HYPERLINK("https://drive.google.com/file/d/1b9V-x_Bxfs84ZA_jjdPyNif9K7XQ5-ma/view?usp=drivesdk","NUR SUPRIYANTI, S.T., M.M.  SERTIFIKAT BerAKHLAK")</f>
        <v>NUR SUPRIYANTI, S.T., M.M.  SERTIFIKAT BerAKHLAK</v>
      </c>
      <c r="K5498" s="5" t="s">
        <v>35313</v>
      </c>
      <c r="L5498" s="5" t="s">
        <v>35917</v>
      </c>
    </row>
    <row r="5499">
      <c r="A5499" s="4">
        <v>45534.36045814815</v>
      </c>
      <c r="B5499" s="5" t="s">
        <v>19</v>
      </c>
      <c r="C5499" s="5" t="s">
        <v>5564</v>
      </c>
      <c r="E5499" s="5" t="s">
        <v>35921</v>
      </c>
      <c r="F5499" s="5" t="s">
        <v>524</v>
      </c>
      <c r="G5499" s="5" t="s">
        <v>35922</v>
      </c>
      <c r="H5499" s="6" t="s">
        <v>35923</v>
      </c>
      <c r="I5499" s="7" t="s">
        <v>35924</v>
      </c>
      <c r="J5499" s="8" t="str">
        <f>HYPERLINK("https://drive.google.com/file/d/1T36QKsMc0fhqZkzAQ64Ydm0TQdNAfDct/view?usp=drivesdk","ARDIAN KAHARUDIN  SERTIFIKAT BerAKHLAK")</f>
        <v>ARDIAN KAHARUDIN  SERTIFIKAT BerAKHLAK</v>
      </c>
      <c r="K5499" s="5" t="s">
        <v>35313</v>
      </c>
      <c r="L5499" s="5" t="s">
        <v>35925</v>
      </c>
    </row>
    <row r="5500">
      <c r="A5500" s="4">
        <v>45534.36046635416</v>
      </c>
      <c r="B5500" s="5" t="s">
        <v>34</v>
      </c>
      <c r="D5500" s="5" t="s">
        <v>362</v>
      </c>
      <c r="E5500" s="5" t="s">
        <v>35929</v>
      </c>
      <c r="F5500" s="5" t="s">
        <v>212</v>
      </c>
      <c r="G5500" s="5" t="s">
        <v>35930</v>
      </c>
      <c r="H5500" s="6" t="s">
        <v>35931</v>
      </c>
      <c r="K5500" s="5" t="s">
        <v>35932</v>
      </c>
    </row>
    <row r="5501">
      <c r="A5501" s="4">
        <v>45534.36047385416</v>
      </c>
      <c r="B5501" s="5" t="s">
        <v>34</v>
      </c>
      <c r="D5501" s="5" t="s">
        <v>1206</v>
      </c>
      <c r="E5501" s="5" t="s">
        <v>35936</v>
      </c>
      <c r="F5501" s="5" t="s">
        <v>37</v>
      </c>
      <c r="G5501" s="5" t="s">
        <v>35937</v>
      </c>
      <c r="H5501" s="6" t="s">
        <v>35938</v>
      </c>
      <c r="K5501" s="5" t="s">
        <v>35932</v>
      </c>
    </row>
    <row r="5502">
      <c r="A5502" s="4">
        <v>45534.360477291666</v>
      </c>
      <c r="B5502" s="5" t="s">
        <v>34</v>
      </c>
      <c r="D5502" s="5" t="s">
        <v>9020</v>
      </c>
      <c r="E5502" s="5" t="s">
        <v>35942</v>
      </c>
      <c r="F5502" s="5" t="s">
        <v>715</v>
      </c>
      <c r="G5502" s="5" t="s">
        <v>35943</v>
      </c>
      <c r="H5502" s="6" t="s">
        <v>35944</v>
      </c>
      <c r="K5502" s="5" t="s">
        <v>35932</v>
      </c>
    </row>
    <row r="5503">
      <c r="A5503" s="4">
        <v>45534.3604816088</v>
      </c>
      <c r="B5503" s="5" t="s">
        <v>34</v>
      </c>
      <c r="D5503" s="5" t="s">
        <v>15401</v>
      </c>
      <c r="E5503" s="5" t="s">
        <v>35948</v>
      </c>
      <c r="F5503" s="5" t="s">
        <v>375</v>
      </c>
      <c r="G5503" s="5" t="s">
        <v>35949</v>
      </c>
      <c r="H5503" s="6" t="s">
        <v>35950</v>
      </c>
      <c r="K5503" s="5" t="s">
        <v>35932</v>
      </c>
    </row>
    <row r="5504">
      <c r="A5504" s="4">
        <v>45534.36048773148</v>
      </c>
      <c r="B5504" s="5" t="s">
        <v>34</v>
      </c>
      <c r="D5504" s="5" t="s">
        <v>9020</v>
      </c>
      <c r="E5504" s="5" t="s">
        <v>35954</v>
      </c>
      <c r="F5504" s="5" t="s">
        <v>37</v>
      </c>
      <c r="G5504" s="5" t="s">
        <v>35955</v>
      </c>
      <c r="H5504" s="6" t="s">
        <v>35956</v>
      </c>
      <c r="K5504" s="5" t="s">
        <v>35932</v>
      </c>
    </row>
    <row r="5505">
      <c r="A5505" s="4">
        <v>45534.36049559028</v>
      </c>
      <c r="B5505" s="5" t="s">
        <v>34</v>
      </c>
      <c r="D5505" s="5" t="s">
        <v>1206</v>
      </c>
      <c r="E5505" s="5" t="s">
        <v>28497</v>
      </c>
      <c r="F5505" s="5" t="s">
        <v>212</v>
      </c>
      <c r="G5505" s="5" t="s">
        <v>35960</v>
      </c>
      <c r="H5505" s="6" t="s">
        <v>35961</v>
      </c>
      <c r="K5505" s="5" t="s">
        <v>35932</v>
      </c>
    </row>
    <row r="5506">
      <c r="A5506" s="4">
        <v>45534.36049748842</v>
      </c>
      <c r="B5506" s="5" t="s">
        <v>34</v>
      </c>
      <c r="D5506" s="5" t="s">
        <v>15401</v>
      </c>
      <c r="E5506" s="5" t="s">
        <v>35965</v>
      </c>
      <c r="F5506" s="5" t="s">
        <v>524</v>
      </c>
      <c r="G5506" s="5" t="s">
        <v>35966</v>
      </c>
      <c r="H5506" s="6" t="s">
        <v>35967</v>
      </c>
      <c r="I5506" s="7" t="s">
        <v>35968</v>
      </c>
      <c r="J5506" s="8" t="str">
        <f>HYPERLINK("https://drive.google.com/file/d/1TBrw03lRNutPB9Q6v11UEVLgJw6rnu-P/view?usp=drivesdk","NI LUH MURYANTI, S.Kom. SERTIFIKAT BerAKHLAK")</f>
        <v>NI LUH MURYANTI, S.Kom. SERTIFIKAT BerAKHLAK</v>
      </c>
      <c r="K5506" s="5" t="s">
        <v>35313</v>
      </c>
      <c r="L5506" s="5" t="s">
        <v>35969</v>
      </c>
    </row>
    <row r="5507">
      <c r="A5507" s="4">
        <v>45534.360540231486</v>
      </c>
      <c r="B5507" s="5" t="s">
        <v>34</v>
      </c>
      <c r="D5507" s="5" t="s">
        <v>4775</v>
      </c>
      <c r="E5507" s="5" t="s">
        <v>35973</v>
      </c>
      <c r="F5507" s="5" t="s">
        <v>212</v>
      </c>
      <c r="G5507" s="5" t="s">
        <v>35974</v>
      </c>
      <c r="H5507" s="6" t="s">
        <v>35975</v>
      </c>
      <c r="I5507" s="7" t="s">
        <v>35976</v>
      </c>
      <c r="J5507" s="8" t="str">
        <f>HYPERLINK("https://drive.google.com/file/d/1Y7ns62slGhb0RC5-2yrboa7j6rFRF9Jd/view?usp=drivesdk","PODHO HARJANTO SERTIFIKAT BerAKHLAK")</f>
        <v>PODHO HARJANTO SERTIFIKAT BerAKHLAK</v>
      </c>
      <c r="K5507" s="5" t="s">
        <v>35313</v>
      </c>
      <c r="L5507" s="5" t="s">
        <v>35977</v>
      </c>
    </row>
    <row r="5508">
      <c r="A5508" s="4">
        <v>45534.360544525465</v>
      </c>
      <c r="B5508" s="5" t="s">
        <v>19</v>
      </c>
      <c r="C5508" s="5" t="s">
        <v>442</v>
      </c>
      <c r="E5508" s="5" t="s">
        <v>35981</v>
      </c>
      <c r="F5508" s="5" t="s">
        <v>72</v>
      </c>
      <c r="G5508" s="5" t="s">
        <v>35982</v>
      </c>
      <c r="H5508" s="6" t="s">
        <v>35983</v>
      </c>
      <c r="I5508" s="7" t="s">
        <v>35984</v>
      </c>
      <c r="J5508" s="8" t="str">
        <f>HYPERLINK("https://drive.google.com/file/d/1O1zpSEuP56-s64sXLM4m2j3sV0-SrP2-/view?usp=drivesdk","SUMARTINI,SH SERTIFIKAT BerAKHLAK")</f>
        <v>SUMARTINI,SH SERTIFIKAT BerAKHLAK</v>
      </c>
      <c r="K5508" s="5" t="s">
        <v>35313</v>
      </c>
      <c r="L5508" s="5" t="s">
        <v>35985</v>
      </c>
    </row>
    <row r="5509">
      <c r="A5509" s="4">
        <v>45534.36055104167</v>
      </c>
      <c r="B5509" s="5" t="s">
        <v>34</v>
      </c>
      <c r="D5509" s="5" t="s">
        <v>1206</v>
      </c>
      <c r="E5509" s="5" t="s">
        <v>35989</v>
      </c>
      <c r="F5509" s="5" t="s">
        <v>212</v>
      </c>
      <c r="G5509" s="5" t="s">
        <v>35990</v>
      </c>
      <c r="H5509" s="6" t="s">
        <v>35991</v>
      </c>
      <c r="K5509" s="5" t="s">
        <v>35992</v>
      </c>
    </row>
    <row r="5510">
      <c r="A5510" s="4">
        <v>45534.3605583912</v>
      </c>
      <c r="B5510" s="5" t="s">
        <v>34</v>
      </c>
      <c r="D5510" s="5" t="s">
        <v>11527</v>
      </c>
      <c r="E5510" s="5" t="s">
        <v>35996</v>
      </c>
      <c r="F5510" s="5" t="s">
        <v>715</v>
      </c>
      <c r="G5510" s="5" t="s">
        <v>35997</v>
      </c>
      <c r="H5510" s="6" t="s">
        <v>35998</v>
      </c>
      <c r="K5510" s="5" t="s">
        <v>35992</v>
      </c>
    </row>
    <row r="5511">
      <c r="A5511" s="4">
        <v>45534.36056461805</v>
      </c>
      <c r="B5511" s="5" t="s">
        <v>34</v>
      </c>
      <c r="D5511" s="5" t="s">
        <v>1206</v>
      </c>
      <c r="E5511" s="5" t="s">
        <v>36002</v>
      </c>
      <c r="F5511" s="5" t="s">
        <v>37</v>
      </c>
      <c r="G5511" s="5" t="s">
        <v>36003</v>
      </c>
      <c r="H5511" s="6" t="s">
        <v>36004</v>
      </c>
      <c r="K5511" s="5" t="s">
        <v>35992</v>
      </c>
    </row>
    <row r="5512">
      <c r="A5512" s="4">
        <v>45534.36056945602</v>
      </c>
      <c r="B5512" s="5" t="s">
        <v>34</v>
      </c>
      <c r="D5512" s="5" t="s">
        <v>14313</v>
      </c>
      <c r="E5512" s="5" t="s">
        <v>36008</v>
      </c>
      <c r="F5512" s="5" t="s">
        <v>72</v>
      </c>
      <c r="G5512" s="5" t="s">
        <v>36009</v>
      </c>
      <c r="H5512" s="6" t="s">
        <v>36010</v>
      </c>
      <c r="K5512" s="5" t="s">
        <v>35992</v>
      </c>
    </row>
    <row r="5513">
      <c r="A5513" s="4">
        <v>45534.3605775</v>
      </c>
      <c r="B5513" s="5" t="s">
        <v>34</v>
      </c>
      <c r="D5513" s="5" t="s">
        <v>4775</v>
      </c>
      <c r="E5513" s="5" t="s">
        <v>36014</v>
      </c>
      <c r="F5513" s="5" t="s">
        <v>108</v>
      </c>
      <c r="G5513" s="5" t="s">
        <v>36015</v>
      </c>
      <c r="H5513" s="6" t="s">
        <v>36016</v>
      </c>
      <c r="I5513" s="7" t="s">
        <v>36017</v>
      </c>
      <c r="J5513" s="8" t="str">
        <f>HYPERLINK("https://drive.google.com/file/d/1WwkRuHgh_FElBD0rpMPpRsmU4dIxvB9c/view?usp=drivesdk","RATNA PUSPA JATI, S.Pt SERTIFIKAT BerAKHLAK")</f>
        <v>RATNA PUSPA JATI, S.Pt SERTIFIKAT BerAKHLAK</v>
      </c>
      <c r="K5513" s="5" t="s">
        <v>35313</v>
      </c>
      <c r="L5513" s="5" t="s">
        <v>36018</v>
      </c>
    </row>
    <row r="5514">
      <c r="A5514" s="4">
        <v>45534.360582071764</v>
      </c>
      <c r="B5514" s="5" t="s">
        <v>34</v>
      </c>
      <c r="D5514" s="5" t="s">
        <v>14424</v>
      </c>
      <c r="E5514" s="5" t="s">
        <v>36022</v>
      </c>
      <c r="F5514" s="5" t="s">
        <v>375</v>
      </c>
      <c r="G5514" s="5" t="s">
        <v>36023</v>
      </c>
      <c r="H5514" s="6" t="s">
        <v>36024</v>
      </c>
      <c r="I5514" s="7" t="s">
        <v>36025</v>
      </c>
      <c r="J5514" s="8" t="str">
        <f>HYPERLINK("https://drive.google.com/file/d/1vlcC-hdNdnGnqXhyAZboG1kafgEFhUC0/view?usp=drivesdk","IDA HUSNAINI. S.Gz SERTIFIKAT BerAKHLAK")</f>
        <v>IDA HUSNAINI. S.Gz SERTIFIKAT BerAKHLAK</v>
      </c>
      <c r="K5514" s="5" t="s">
        <v>35313</v>
      </c>
      <c r="L5514" s="5" t="s">
        <v>36026</v>
      </c>
    </row>
    <row r="5515">
      <c r="A5515" s="4">
        <v>45534.36058489583</v>
      </c>
      <c r="B5515" s="5" t="s">
        <v>34</v>
      </c>
      <c r="D5515" s="5" t="s">
        <v>9394</v>
      </c>
      <c r="E5515" s="5" t="s">
        <v>36030</v>
      </c>
      <c r="F5515" s="5" t="s">
        <v>524</v>
      </c>
      <c r="G5515" s="5" t="s">
        <v>36031</v>
      </c>
      <c r="H5515" s="6" t="s">
        <v>36032</v>
      </c>
      <c r="I5515" s="7" t="s">
        <v>36033</v>
      </c>
      <c r="J5515" s="8" t="str">
        <f>HYPERLINK("https://drive.google.com/file/d/1IfRYjpx9sD-SJnuQ4QSNP82ZqOXUJ6Jh/view?usp=drivesdk","ELVIRA ROSA, S.Ak SERTIFIKAT BerAKHLAK")</f>
        <v>ELVIRA ROSA, S.Ak SERTIFIKAT BerAKHLAK</v>
      </c>
      <c r="K5515" s="5" t="s">
        <v>35313</v>
      </c>
      <c r="L5515" s="5" t="s">
        <v>36034</v>
      </c>
    </row>
    <row r="5516">
      <c r="A5516" s="4">
        <v>45534.36059996528</v>
      </c>
      <c r="B5516" s="5" t="s">
        <v>34</v>
      </c>
      <c r="D5516" s="5" t="s">
        <v>996</v>
      </c>
      <c r="E5516" s="5" t="s">
        <v>36038</v>
      </c>
      <c r="F5516" s="5" t="s">
        <v>108</v>
      </c>
      <c r="G5516" s="5" t="s">
        <v>36039</v>
      </c>
      <c r="H5516" s="6" t="s">
        <v>36040</v>
      </c>
      <c r="I5516" s="7" t="s">
        <v>36041</v>
      </c>
      <c r="J5516" s="8" t="str">
        <f>HYPERLINK("https://drive.google.com/file/d/1tpwfFW9WHH36Wz8I73CpoTV01OYoKm0E/view?usp=drivesdk","INDRIAWATI,SE SERTIFIKAT BerAKHLAK")</f>
        <v>INDRIAWATI,SE SERTIFIKAT BerAKHLAK</v>
      </c>
      <c r="K5516" s="5" t="s">
        <v>35335</v>
      </c>
      <c r="L5516" s="5" t="s">
        <v>36042</v>
      </c>
    </row>
    <row r="5517">
      <c r="A5517" s="4">
        <v>45534.360613310186</v>
      </c>
      <c r="B5517" s="5" t="s">
        <v>34</v>
      </c>
      <c r="D5517" s="5" t="s">
        <v>1768</v>
      </c>
      <c r="E5517" s="5" t="s">
        <v>36046</v>
      </c>
      <c r="F5517" s="5" t="s">
        <v>108</v>
      </c>
      <c r="G5517" s="5" t="s">
        <v>36047</v>
      </c>
      <c r="H5517" s="6" t="s">
        <v>36048</v>
      </c>
      <c r="I5517" s="7" t="s">
        <v>36049</v>
      </c>
      <c r="J5517" s="8" t="str">
        <f>HYPERLINK("https://drive.google.com/file/d/1QtJpsuqgWxVTjsSTDVxql8epGC2WzqBm/view?usp=drivesdk","YULIANA SARI SERTIFIKAT BerAKHLAK")</f>
        <v>YULIANA SARI SERTIFIKAT BerAKHLAK</v>
      </c>
      <c r="K5517" s="5" t="s">
        <v>35335</v>
      </c>
      <c r="L5517" s="5" t="s">
        <v>36050</v>
      </c>
    </row>
    <row r="5518">
      <c r="A5518" s="4">
        <v>45534.36063135417</v>
      </c>
      <c r="B5518" s="5" t="s">
        <v>19</v>
      </c>
      <c r="C5518" s="5" t="s">
        <v>315</v>
      </c>
      <c r="E5518" s="5" t="s">
        <v>36054</v>
      </c>
      <c r="F5518" s="5" t="s">
        <v>375</v>
      </c>
      <c r="G5518" s="5" t="s">
        <v>36055</v>
      </c>
      <c r="H5518" s="6" t="s">
        <v>36056</v>
      </c>
      <c r="I5518" s="7" t="s">
        <v>36057</v>
      </c>
      <c r="J5518" s="8" t="str">
        <f>HYPERLINK("https://drive.google.com/file/d/1Fl_KZtYX-7m3o6scvoIZEUJ34QX18IXf/view?usp=drivesdk","ADITYA KUSUMAWAN, S.S. SERTIFIKAT BerAKHLAK")</f>
        <v>ADITYA KUSUMAWAN, S.S. SERTIFIKAT BerAKHLAK</v>
      </c>
      <c r="K5518" s="5" t="s">
        <v>35313</v>
      </c>
      <c r="L5518" s="5" t="s">
        <v>36058</v>
      </c>
    </row>
    <row r="5519">
      <c r="A5519" s="4">
        <v>45534.360635219906</v>
      </c>
      <c r="B5519" s="5" t="s">
        <v>34</v>
      </c>
      <c r="D5519" s="5" t="s">
        <v>6232</v>
      </c>
      <c r="E5519" s="5" t="s">
        <v>36062</v>
      </c>
      <c r="F5519" s="5" t="s">
        <v>108</v>
      </c>
      <c r="G5519" s="5" t="s">
        <v>36063</v>
      </c>
      <c r="H5519" s="6" t="s">
        <v>36064</v>
      </c>
      <c r="I5519" s="7" t="s">
        <v>36065</v>
      </c>
      <c r="J5519" s="8" t="str">
        <f>HYPERLINK("https://drive.google.com/file/d/1bTrOI6mcSjF5MNHegHVYAfAH2e1zOFgE/view?usp=drivesdk","apt. SANTY YULIARTHA, S.Farm SERTIFIKAT BerAKHLAK")</f>
        <v>apt. SANTY YULIARTHA, S.Farm SERTIFIKAT BerAKHLAK</v>
      </c>
      <c r="K5519" s="5" t="s">
        <v>35313</v>
      </c>
      <c r="L5519" s="5" t="s">
        <v>36066</v>
      </c>
    </row>
    <row r="5520">
      <c r="A5520" s="4">
        <v>45534.360672650466</v>
      </c>
      <c r="B5520" s="5" t="s">
        <v>34</v>
      </c>
      <c r="D5520" s="5" t="s">
        <v>4775</v>
      </c>
      <c r="E5520" s="5" t="s">
        <v>36070</v>
      </c>
      <c r="F5520" s="5" t="s">
        <v>375</v>
      </c>
      <c r="G5520" s="5" t="s">
        <v>36071</v>
      </c>
      <c r="H5520" s="6" t="s">
        <v>36072</v>
      </c>
      <c r="I5520" s="7" t="s">
        <v>36073</v>
      </c>
      <c r="J5520" s="8" t="str">
        <f>HYPERLINK("https://drive.google.com/file/d/10D586iKo_tcX7Fcx-T3TMh1uDwiCqmrS/view?usp=drivesdk","SRI IKA HANDAYANI,S.Sos SERTIFIKAT BerAKHLAK")</f>
        <v>SRI IKA HANDAYANI,S.Sos SERTIFIKAT BerAKHLAK</v>
      </c>
      <c r="K5520" s="5" t="s">
        <v>35313</v>
      </c>
      <c r="L5520" s="5" t="s">
        <v>36074</v>
      </c>
    </row>
    <row r="5521">
      <c r="A5521" s="4">
        <v>45534.3606941551</v>
      </c>
      <c r="B5521" s="5" t="s">
        <v>34</v>
      </c>
      <c r="D5521" s="5" t="s">
        <v>975</v>
      </c>
      <c r="E5521" s="5" t="s">
        <v>36078</v>
      </c>
      <c r="F5521" s="5" t="s">
        <v>108</v>
      </c>
      <c r="G5521" s="5" t="s">
        <v>36079</v>
      </c>
      <c r="H5521" s="6" t="s">
        <v>36080</v>
      </c>
      <c r="K5521" s="5" t="s">
        <v>36081</v>
      </c>
    </row>
    <row r="5522">
      <c r="A5522" s="4">
        <v>45534.36069511574</v>
      </c>
      <c r="B5522" s="5" t="s">
        <v>34</v>
      </c>
      <c r="D5522" s="5" t="s">
        <v>14313</v>
      </c>
      <c r="E5522" s="5" t="s">
        <v>36085</v>
      </c>
      <c r="F5522" s="5" t="s">
        <v>37</v>
      </c>
      <c r="G5522" s="5" t="s">
        <v>36086</v>
      </c>
      <c r="H5522" s="6" t="s">
        <v>36087</v>
      </c>
      <c r="K5522" s="5" t="s">
        <v>36081</v>
      </c>
    </row>
    <row r="5523">
      <c r="A5523" s="4">
        <v>45534.36070179398</v>
      </c>
      <c r="B5523" s="5" t="s">
        <v>34</v>
      </c>
      <c r="D5523" s="5" t="s">
        <v>4775</v>
      </c>
      <c r="E5523" s="5" t="s">
        <v>36091</v>
      </c>
      <c r="F5523" s="5" t="s">
        <v>72</v>
      </c>
      <c r="G5523" s="5" t="s">
        <v>36092</v>
      </c>
      <c r="H5523" s="6" t="s">
        <v>36093</v>
      </c>
      <c r="K5523" s="5" t="s">
        <v>36081</v>
      </c>
    </row>
    <row r="5524">
      <c r="A5524" s="4">
        <v>45534.36070464121</v>
      </c>
      <c r="B5524" s="5" t="s">
        <v>34</v>
      </c>
      <c r="D5524" s="5" t="s">
        <v>7858</v>
      </c>
      <c r="E5524" s="5" t="s">
        <v>36097</v>
      </c>
      <c r="F5524" s="5" t="s">
        <v>524</v>
      </c>
      <c r="G5524" s="5" t="s">
        <v>36098</v>
      </c>
      <c r="H5524" s="6" t="s">
        <v>36099</v>
      </c>
      <c r="K5524" s="5" t="s">
        <v>36081</v>
      </c>
    </row>
    <row r="5525">
      <c r="A5525" s="4">
        <v>45534.36071010417</v>
      </c>
      <c r="B5525" s="5" t="s">
        <v>34</v>
      </c>
      <c r="D5525" s="5" t="s">
        <v>4775</v>
      </c>
      <c r="E5525" s="5" t="s">
        <v>36103</v>
      </c>
      <c r="F5525" s="5" t="s">
        <v>37</v>
      </c>
      <c r="G5525" s="5" t="s">
        <v>36104</v>
      </c>
      <c r="H5525" s="6" t="s">
        <v>36105</v>
      </c>
      <c r="K5525" s="5" t="s">
        <v>36081</v>
      </c>
    </row>
    <row r="5526">
      <c r="A5526" s="4">
        <v>45534.360715462964</v>
      </c>
      <c r="B5526" s="5" t="s">
        <v>34</v>
      </c>
      <c r="D5526" s="5" t="s">
        <v>975</v>
      </c>
      <c r="E5526" s="5" t="s">
        <v>36109</v>
      </c>
      <c r="F5526" s="5" t="s">
        <v>37</v>
      </c>
      <c r="G5526" s="5" t="s">
        <v>36110</v>
      </c>
      <c r="H5526" s="6" t="s">
        <v>36111</v>
      </c>
      <c r="K5526" s="5" t="s">
        <v>36081</v>
      </c>
    </row>
    <row r="5527">
      <c r="A5527" s="4">
        <v>45534.36072679398</v>
      </c>
      <c r="B5527" s="5" t="s">
        <v>34</v>
      </c>
      <c r="D5527" s="5" t="s">
        <v>1206</v>
      </c>
      <c r="E5527" s="5" t="s">
        <v>36115</v>
      </c>
      <c r="F5527" s="5" t="s">
        <v>375</v>
      </c>
      <c r="G5527" s="5" t="s">
        <v>36116</v>
      </c>
      <c r="H5527" s="6" t="s">
        <v>36117</v>
      </c>
      <c r="K5527" s="5" t="s">
        <v>36081</v>
      </c>
    </row>
    <row r="5528">
      <c r="A5528" s="4">
        <v>45534.36072684028</v>
      </c>
      <c r="B5528" s="5" t="s">
        <v>34</v>
      </c>
      <c r="D5528" s="5" t="s">
        <v>4775</v>
      </c>
      <c r="E5528" s="5" t="s">
        <v>25786</v>
      </c>
      <c r="F5528" s="5" t="s">
        <v>212</v>
      </c>
      <c r="G5528" s="5" t="s">
        <v>36121</v>
      </c>
      <c r="H5528" s="6" t="s">
        <v>36122</v>
      </c>
      <c r="K5528" s="5" t="s">
        <v>36081</v>
      </c>
    </row>
    <row r="5529">
      <c r="A5529" s="4">
        <v>45534.360765868056</v>
      </c>
      <c r="B5529" s="5" t="s">
        <v>19</v>
      </c>
      <c r="C5529" s="5" t="s">
        <v>3301</v>
      </c>
      <c r="E5529" s="5" t="s">
        <v>36126</v>
      </c>
      <c r="F5529" s="5" t="s">
        <v>524</v>
      </c>
      <c r="G5529" s="5" t="s">
        <v>36127</v>
      </c>
      <c r="H5529" s="6" t="s">
        <v>36128</v>
      </c>
      <c r="K5529" s="5" t="s">
        <v>36129</v>
      </c>
    </row>
    <row r="5530">
      <c r="A5530" s="4">
        <v>45534.36077792824</v>
      </c>
      <c r="B5530" s="5" t="s">
        <v>34</v>
      </c>
      <c r="D5530" s="5" t="s">
        <v>9394</v>
      </c>
      <c r="E5530" s="5" t="s">
        <v>36133</v>
      </c>
      <c r="F5530" s="5" t="s">
        <v>108</v>
      </c>
      <c r="G5530" s="5" t="s">
        <v>36134</v>
      </c>
      <c r="H5530" s="6" t="s">
        <v>36135</v>
      </c>
      <c r="K5530" s="5" t="s">
        <v>36129</v>
      </c>
    </row>
    <row r="5531">
      <c r="A5531" s="4">
        <v>45534.36080545139</v>
      </c>
      <c r="B5531" s="5" t="s">
        <v>34</v>
      </c>
      <c r="D5531" s="5" t="s">
        <v>35</v>
      </c>
      <c r="E5531" s="5" t="s">
        <v>36139</v>
      </c>
      <c r="F5531" s="5" t="s">
        <v>108</v>
      </c>
      <c r="G5531" s="5" t="s">
        <v>36140</v>
      </c>
      <c r="H5531" s="6" t="s">
        <v>36141</v>
      </c>
      <c r="K5531" s="5" t="s">
        <v>36129</v>
      </c>
    </row>
    <row r="5532">
      <c r="A5532" s="4">
        <v>45534.36082082176</v>
      </c>
      <c r="B5532" s="5" t="s">
        <v>34</v>
      </c>
      <c r="D5532" s="5" t="s">
        <v>1206</v>
      </c>
      <c r="E5532" s="5" t="s">
        <v>36145</v>
      </c>
      <c r="F5532" s="5" t="s">
        <v>212</v>
      </c>
      <c r="G5532" s="5" t="s">
        <v>36146</v>
      </c>
      <c r="H5532" s="6" t="s">
        <v>36147</v>
      </c>
      <c r="K5532" s="5" t="s">
        <v>36129</v>
      </c>
    </row>
    <row r="5533">
      <c r="A5533" s="4">
        <v>45534.36082618056</v>
      </c>
      <c r="B5533" s="5" t="s">
        <v>34</v>
      </c>
      <c r="D5533" s="5" t="s">
        <v>1206</v>
      </c>
      <c r="E5533" s="5" t="s">
        <v>36151</v>
      </c>
      <c r="F5533" s="5" t="s">
        <v>37</v>
      </c>
      <c r="G5533" s="5" t="s">
        <v>36152</v>
      </c>
      <c r="H5533" s="6" t="s">
        <v>36153</v>
      </c>
      <c r="K5533" s="5" t="s">
        <v>36129</v>
      </c>
    </row>
    <row r="5534">
      <c r="A5534" s="4">
        <v>45534.36083101852</v>
      </c>
      <c r="B5534" s="5" t="s">
        <v>34</v>
      </c>
      <c r="D5534" s="5" t="s">
        <v>1206</v>
      </c>
      <c r="E5534" s="5" t="s">
        <v>36157</v>
      </c>
      <c r="F5534" s="5" t="s">
        <v>212</v>
      </c>
      <c r="G5534" s="5" t="s">
        <v>36158</v>
      </c>
      <c r="H5534" s="6" t="s">
        <v>36159</v>
      </c>
      <c r="K5534" s="5" t="s">
        <v>36129</v>
      </c>
    </row>
    <row r="5535">
      <c r="A5535" s="4">
        <v>45534.36085337963</v>
      </c>
      <c r="B5535" s="5" t="s">
        <v>34</v>
      </c>
      <c r="D5535" s="5" t="s">
        <v>12978</v>
      </c>
      <c r="E5535" s="5" t="s">
        <v>36163</v>
      </c>
      <c r="F5535" s="5" t="s">
        <v>37</v>
      </c>
      <c r="G5535" s="5" t="s">
        <v>36164</v>
      </c>
      <c r="H5535" s="6" t="s">
        <v>36165</v>
      </c>
      <c r="I5535" s="7" t="s">
        <v>36166</v>
      </c>
      <c r="J5535" s="8" t="str">
        <f>HYPERLINK("https://drive.google.com/file/d/1tVFmZwPNe2Q0pE0Mrw-hGBO0QTDpkn0z/view?usp=drivesdk","EVA USMAN  SERTIFIKAT BerAKHLAK")</f>
        <v>EVA USMAN  SERTIFIKAT BerAKHLAK</v>
      </c>
      <c r="K5535" s="5" t="s">
        <v>35335</v>
      </c>
      <c r="L5535" s="5" t="s">
        <v>36167</v>
      </c>
    </row>
    <row r="5536">
      <c r="A5536" s="4">
        <v>45534.36085453704</v>
      </c>
      <c r="B5536" s="5" t="s">
        <v>34</v>
      </c>
      <c r="D5536" s="5" t="s">
        <v>6232</v>
      </c>
      <c r="E5536" s="5" t="s">
        <v>36171</v>
      </c>
      <c r="F5536" s="5" t="s">
        <v>108</v>
      </c>
      <c r="G5536" s="5" t="s">
        <v>36172</v>
      </c>
      <c r="H5536" s="6" t="s">
        <v>36173</v>
      </c>
      <c r="I5536" s="7" t="s">
        <v>36174</v>
      </c>
      <c r="J5536" s="8" t="str">
        <f>HYPERLINK("https://drive.google.com/file/d/1RfHT9taEyG1U-VbLz1gozUZKX_rP-St2/view?usp=drivesdk","RENNY INDRAWATI RITONGA SERTIFIKAT BerAKHLAK")</f>
        <v>RENNY INDRAWATI RITONGA SERTIFIKAT BerAKHLAK</v>
      </c>
      <c r="K5536" s="5" t="s">
        <v>35335</v>
      </c>
      <c r="L5536" s="5" t="s">
        <v>36175</v>
      </c>
    </row>
    <row r="5537">
      <c r="A5537" s="4">
        <v>45534.36086690972</v>
      </c>
      <c r="B5537" s="5" t="s">
        <v>34</v>
      </c>
      <c r="D5537" s="5" t="s">
        <v>1206</v>
      </c>
      <c r="E5537" s="5" t="s">
        <v>36179</v>
      </c>
      <c r="F5537" s="5" t="s">
        <v>328</v>
      </c>
      <c r="G5537" s="5" t="s">
        <v>36180</v>
      </c>
      <c r="H5537" s="6" t="s">
        <v>36181</v>
      </c>
      <c r="I5537" s="7" t="s">
        <v>36182</v>
      </c>
      <c r="J5537" s="8" t="str">
        <f>HYPERLINK("https://drive.google.com/file/d/1LcmxaSuRmDHWew-e4p1BxcDE3TXOoDNG/view?usp=drivesdk","HARDIE SERTIFIKAT BerAKHLAK")</f>
        <v>HARDIE SERTIFIKAT BerAKHLAK</v>
      </c>
      <c r="K5537" s="5" t="s">
        <v>36183</v>
      </c>
      <c r="L5537" s="5" t="s">
        <v>36184</v>
      </c>
    </row>
    <row r="5538">
      <c r="A5538" s="4">
        <v>45534.36087064815</v>
      </c>
      <c r="B5538" s="5" t="s">
        <v>34</v>
      </c>
      <c r="D5538" s="5" t="s">
        <v>9020</v>
      </c>
      <c r="E5538" s="5" t="s">
        <v>36188</v>
      </c>
      <c r="F5538" s="5" t="s">
        <v>212</v>
      </c>
      <c r="G5538" s="5" t="s">
        <v>36189</v>
      </c>
      <c r="H5538" s="6" t="s">
        <v>36190</v>
      </c>
      <c r="I5538" s="7" t="s">
        <v>36191</v>
      </c>
      <c r="J5538" s="8" t="str">
        <f>HYPERLINK("https://drive.google.com/file/d/1CgxAosg97ZNyzKotLGTsY0t2MaxK9wht/view?usp=drivesdk","HADI SUBOWO SERTIFIKAT BerAKHLAK")</f>
        <v>HADI SUBOWO SERTIFIKAT BerAKHLAK</v>
      </c>
      <c r="K5538" s="5" t="s">
        <v>36183</v>
      </c>
      <c r="L5538" s="5" t="s">
        <v>36192</v>
      </c>
    </row>
    <row r="5539">
      <c r="A5539" s="4">
        <v>45534.36087233796</v>
      </c>
      <c r="B5539" s="5" t="s">
        <v>34</v>
      </c>
      <c r="D5539" s="5" t="s">
        <v>9020</v>
      </c>
      <c r="E5539" s="5" t="s">
        <v>16572</v>
      </c>
      <c r="F5539" s="5" t="s">
        <v>108</v>
      </c>
      <c r="G5539" s="5" t="s">
        <v>36196</v>
      </c>
      <c r="H5539" s="6" t="s">
        <v>36197</v>
      </c>
      <c r="K5539" s="5" t="s">
        <v>36198</v>
      </c>
    </row>
    <row r="5540">
      <c r="A5540" s="4">
        <v>45534.360882824076</v>
      </c>
      <c r="B5540" s="5" t="s">
        <v>34</v>
      </c>
      <c r="D5540" s="5" t="s">
        <v>1206</v>
      </c>
      <c r="E5540" s="5" t="s">
        <v>36202</v>
      </c>
      <c r="F5540" s="5" t="s">
        <v>212</v>
      </c>
      <c r="G5540" s="5" t="s">
        <v>36203</v>
      </c>
      <c r="H5540" s="6" t="s">
        <v>36204</v>
      </c>
      <c r="K5540" s="5" t="s">
        <v>36198</v>
      </c>
    </row>
    <row r="5541">
      <c r="A5541" s="4">
        <v>45534.360878101856</v>
      </c>
      <c r="B5541" s="5" t="s">
        <v>34</v>
      </c>
      <c r="D5541" s="5" t="s">
        <v>701</v>
      </c>
      <c r="E5541" s="5" t="s">
        <v>36208</v>
      </c>
      <c r="F5541" s="5" t="s">
        <v>375</v>
      </c>
      <c r="G5541" s="5" t="s">
        <v>36209</v>
      </c>
      <c r="H5541" s="6" t="s">
        <v>36210</v>
      </c>
      <c r="K5541" s="5" t="s">
        <v>36198</v>
      </c>
    </row>
    <row r="5542">
      <c r="A5542" s="4">
        <v>45534.360891539356</v>
      </c>
      <c r="B5542" s="5" t="s">
        <v>34</v>
      </c>
      <c r="D5542" s="5" t="s">
        <v>1206</v>
      </c>
      <c r="E5542" s="5" t="s">
        <v>36214</v>
      </c>
      <c r="F5542" s="5" t="s">
        <v>37</v>
      </c>
      <c r="G5542" s="5" t="s">
        <v>36215</v>
      </c>
      <c r="H5542" s="6" t="s">
        <v>36216</v>
      </c>
      <c r="K5542" s="5" t="s">
        <v>36198</v>
      </c>
    </row>
    <row r="5543">
      <c r="A5543" s="4">
        <v>45534.36089739583</v>
      </c>
      <c r="B5543" s="5" t="s">
        <v>34</v>
      </c>
      <c r="D5543" s="5" t="s">
        <v>9020</v>
      </c>
      <c r="E5543" s="5" t="s">
        <v>36220</v>
      </c>
      <c r="F5543" s="5" t="s">
        <v>120</v>
      </c>
      <c r="G5543" s="5" t="s">
        <v>36221</v>
      </c>
      <c r="H5543" s="6" t="s">
        <v>36222</v>
      </c>
      <c r="I5543" s="7" t="s">
        <v>36223</v>
      </c>
      <c r="J5543" s="8" t="str">
        <f>HYPERLINK("https://drive.google.com/file/d/1n9kUeyA_UqvWUOEF6IGw9vfc9lBKyLFC/view?usp=drivesdk","SITI MARYAM LUBIS, S.P. SERTIFIKAT BerAKHLAK")</f>
        <v>SITI MARYAM LUBIS, S.P. SERTIFIKAT BerAKHLAK</v>
      </c>
      <c r="K5543" s="5" t="s">
        <v>35335</v>
      </c>
      <c r="L5543" s="5" t="s">
        <v>36224</v>
      </c>
    </row>
    <row r="5544">
      <c r="A5544" s="4">
        <v>45534.36091689815</v>
      </c>
      <c r="B5544" s="5" t="s">
        <v>34</v>
      </c>
      <c r="D5544" s="5" t="s">
        <v>280</v>
      </c>
      <c r="E5544" s="5" t="s">
        <v>36228</v>
      </c>
      <c r="F5544" s="5" t="s">
        <v>72</v>
      </c>
      <c r="G5544" s="5" t="s">
        <v>36229</v>
      </c>
      <c r="H5544" s="6" t="s">
        <v>36230</v>
      </c>
      <c r="I5544" s="7" t="s">
        <v>36231</v>
      </c>
      <c r="J5544" s="8" t="str">
        <f>HYPERLINK("https://drive.google.com/file/d/10alkqrV2_zF773ka4aUhdiiuvpKEjlrH/view?usp=drivesdk","ENI YUSDANELI, A.MD SERTIFIKAT BerAKHLAK")</f>
        <v>ENI YUSDANELI, A.MD SERTIFIKAT BerAKHLAK</v>
      </c>
      <c r="K5544" s="5" t="s">
        <v>35335</v>
      </c>
      <c r="L5544" s="5" t="s">
        <v>36232</v>
      </c>
    </row>
    <row r="5545">
      <c r="A5545" s="4">
        <v>45534.36091815973</v>
      </c>
      <c r="B5545" s="5" t="s">
        <v>34</v>
      </c>
      <c r="D5545" s="5" t="s">
        <v>4775</v>
      </c>
      <c r="E5545" s="5" t="s">
        <v>36236</v>
      </c>
      <c r="F5545" s="5" t="s">
        <v>212</v>
      </c>
      <c r="G5545" s="5" t="s">
        <v>36237</v>
      </c>
      <c r="H5545" s="6" t="s">
        <v>36238</v>
      </c>
      <c r="I5545" s="7" t="s">
        <v>36239</v>
      </c>
      <c r="J5545" s="8" t="str">
        <f>HYPERLINK("https://drive.google.com/file/d/1nr0eqrerw8Gv7VCL21UOU715LSRHuYoD/view?usp=drivesdk","SULMIARTI, A. Md. SERTIFIKAT BerAKHLAK")</f>
        <v>SULMIARTI, A. Md. SERTIFIKAT BerAKHLAK</v>
      </c>
      <c r="K5545" s="5" t="s">
        <v>35335</v>
      </c>
      <c r="L5545" s="5" t="s">
        <v>36240</v>
      </c>
    </row>
    <row r="5546">
      <c r="A5546" s="4">
        <v>45534.36094126158</v>
      </c>
      <c r="B5546" s="5" t="s">
        <v>34</v>
      </c>
      <c r="D5546" s="5" t="s">
        <v>1206</v>
      </c>
      <c r="E5546" s="5" t="s">
        <v>36244</v>
      </c>
      <c r="F5546" s="5" t="s">
        <v>212</v>
      </c>
      <c r="G5546" s="5" t="s">
        <v>36245</v>
      </c>
      <c r="H5546" s="6" t="s">
        <v>36246</v>
      </c>
      <c r="I5546" s="7" t="s">
        <v>36247</v>
      </c>
      <c r="J5546" s="8" t="str">
        <f>HYPERLINK("https://drive.google.com/file/d/1wxIhvdFTe7QFJIBeUMzG0q38JwNvidmZ/view?usp=drivesdk","LUHUR PRIHANDONO  SERTIFIKAT BerAKHLAK")</f>
        <v>LUHUR PRIHANDONO  SERTIFIKAT BerAKHLAK</v>
      </c>
      <c r="K5546" s="5" t="s">
        <v>35335</v>
      </c>
      <c r="L5546" s="5" t="s">
        <v>36248</v>
      </c>
    </row>
    <row r="5547">
      <c r="A5547" s="4">
        <v>45534.36094557871</v>
      </c>
      <c r="B5547" s="5" t="s">
        <v>34</v>
      </c>
      <c r="D5547" s="5" t="s">
        <v>1206</v>
      </c>
      <c r="E5547" s="5" t="s">
        <v>36252</v>
      </c>
      <c r="F5547" s="5" t="s">
        <v>212</v>
      </c>
      <c r="G5547" s="5" t="s">
        <v>36253</v>
      </c>
      <c r="H5547" s="6" t="s">
        <v>36254</v>
      </c>
      <c r="I5547" s="7" t="s">
        <v>36255</v>
      </c>
      <c r="J5547" s="8" t="str">
        <f>HYPERLINK("https://drive.google.com/file/d/16ItPh7YMozpxuHcDvmdDba2-T_BEwFzb/view?usp=drivesdk","MUNIEF ARDIANTO SERTIFIKAT BerAKHLAK")</f>
        <v>MUNIEF ARDIANTO SERTIFIKAT BerAKHLAK</v>
      </c>
      <c r="K5547" s="5" t="s">
        <v>35335</v>
      </c>
      <c r="L5547" s="5" t="s">
        <v>36256</v>
      </c>
    </row>
    <row r="5548">
      <c r="A5548" s="4">
        <v>45534.36094591435</v>
      </c>
      <c r="B5548" s="5" t="s">
        <v>34</v>
      </c>
      <c r="D5548" s="5" t="s">
        <v>15401</v>
      </c>
      <c r="E5548" s="5" t="s">
        <v>36260</v>
      </c>
      <c r="F5548" s="5" t="s">
        <v>72</v>
      </c>
      <c r="G5548" s="5" t="s">
        <v>36261</v>
      </c>
      <c r="H5548" s="6" t="s">
        <v>36262</v>
      </c>
      <c r="I5548" s="7" t="s">
        <v>36263</v>
      </c>
      <c r="J5548" s="8" t="str">
        <f>HYPERLINK("https://drive.google.com/file/d/1V1XxpN6314Cinu52rX1QcQWReUYowbcD/view?usp=drivesdk","DINA MARIYANTI  SERTIFIKAT BerAKHLAK")</f>
        <v>DINA MARIYANTI  SERTIFIKAT BerAKHLAK</v>
      </c>
      <c r="K5548" s="5" t="s">
        <v>35335</v>
      </c>
      <c r="L5548" s="5" t="s">
        <v>36264</v>
      </c>
    </row>
    <row r="5549">
      <c r="A5549" s="4">
        <v>45534.36095003472</v>
      </c>
      <c r="B5549" s="5" t="s">
        <v>34</v>
      </c>
      <c r="D5549" s="5" t="s">
        <v>701</v>
      </c>
      <c r="E5549" s="5" t="s">
        <v>36268</v>
      </c>
      <c r="F5549" s="5" t="s">
        <v>524</v>
      </c>
      <c r="G5549" s="5" t="s">
        <v>36269</v>
      </c>
      <c r="H5549" s="6" t="s">
        <v>36270</v>
      </c>
      <c r="I5549" s="7" t="s">
        <v>36271</v>
      </c>
      <c r="J5549" s="8" t="str">
        <f>HYPERLINK("https://drive.google.com/file/d/1YuU_sF3qu0qHYPdjWKYXRqh7YUIHpdvK/view?usp=drivesdk","ROSMALINAR, S. H SERTIFIKAT BerAKHLAK")</f>
        <v>ROSMALINAR, S. H SERTIFIKAT BerAKHLAK</v>
      </c>
      <c r="K5549" s="5" t="s">
        <v>35335</v>
      </c>
      <c r="L5549" s="5" t="s">
        <v>36272</v>
      </c>
    </row>
    <row r="5550">
      <c r="A5550" s="4">
        <v>45534.360976412034</v>
      </c>
      <c r="B5550" s="5" t="s">
        <v>19</v>
      </c>
      <c r="C5550" s="5" t="s">
        <v>20</v>
      </c>
      <c r="E5550" s="5" t="s">
        <v>20970</v>
      </c>
      <c r="F5550" s="5" t="s">
        <v>72</v>
      </c>
      <c r="G5550" s="5" t="s">
        <v>36276</v>
      </c>
      <c r="H5550" s="6" t="s">
        <v>36277</v>
      </c>
      <c r="I5550" s="7" t="s">
        <v>36278</v>
      </c>
      <c r="J5550" s="8" t="str">
        <f>HYPERLINK("https://drive.google.com/file/d/1_Vj9DqnlT51OpjCD9kDIeBSV1f4tCEWH/view?usp=drivesdk","INDRIANI SERTIFIKAT BerAKHLAK")</f>
        <v>INDRIANI SERTIFIKAT BerAKHLAK</v>
      </c>
      <c r="K5550" s="5" t="s">
        <v>35335</v>
      </c>
      <c r="L5550" s="5" t="s">
        <v>36279</v>
      </c>
    </row>
    <row r="5551">
      <c r="A5551" s="4">
        <v>45534.360993877315</v>
      </c>
      <c r="B5551" s="5" t="s">
        <v>34</v>
      </c>
      <c r="D5551" s="5" t="s">
        <v>1456</v>
      </c>
      <c r="E5551" s="5" t="s">
        <v>36283</v>
      </c>
      <c r="F5551" s="5" t="s">
        <v>524</v>
      </c>
      <c r="G5551" s="5" t="s">
        <v>36284</v>
      </c>
      <c r="H5551" s="6" t="s">
        <v>36285</v>
      </c>
      <c r="I5551" s="7" t="s">
        <v>36286</v>
      </c>
      <c r="J5551" s="8" t="str">
        <f>HYPERLINK("https://drive.google.com/file/d/1nVJvzy-IwQIXpQRQs2U7EcNs762zQfru/view?usp=drivesdk","ANDRI HIDAYAT, S.E. SERTIFIKAT BerAKHLAK")</f>
        <v>ANDRI HIDAYAT, S.E. SERTIFIKAT BerAKHLAK</v>
      </c>
      <c r="K5551" s="5" t="s">
        <v>35335</v>
      </c>
      <c r="L5551" s="5" t="s">
        <v>36287</v>
      </c>
    </row>
    <row r="5552">
      <c r="A5552" s="4">
        <v>45534.36099434028</v>
      </c>
      <c r="B5552" s="5" t="s">
        <v>34</v>
      </c>
      <c r="D5552" s="5" t="s">
        <v>14313</v>
      </c>
      <c r="E5552" s="5" t="s">
        <v>36291</v>
      </c>
      <c r="F5552" s="5" t="s">
        <v>524</v>
      </c>
      <c r="G5552" s="5" t="s">
        <v>36292</v>
      </c>
      <c r="H5552" s="6" t="s">
        <v>36293</v>
      </c>
      <c r="I5552" s="7" t="s">
        <v>36294</v>
      </c>
      <c r="J5552" s="8" t="str">
        <f>HYPERLINK("https://drive.google.com/file/d/1x39wbIzIZnBWZbvj1tl4CVS6vijzS9n5/view?usp=drivesdk","INDRIATY, S.E.  SERTIFIKAT BerAKHLAK")</f>
        <v>INDRIATY, S.E.  SERTIFIKAT BerAKHLAK</v>
      </c>
      <c r="K5552" s="5" t="s">
        <v>35335</v>
      </c>
      <c r="L5552" s="5" t="s">
        <v>36295</v>
      </c>
    </row>
    <row r="5553">
      <c r="A5553" s="4">
        <v>45534.360996469906</v>
      </c>
      <c r="B5553" s="5" t="s">
        <v>34</v>
      </c>
      <c r="D5553" s="5" t="s">
        <v>10297</v>
      </c>
      <c r="E5553" s="5" t="s">
        <v>36299</v>
      </c>
      <c r="F5553" s="5" t="s">
        <v>212</v>
      </c>
      <c r="G5553" s="5" t="s">
        <v>36300</v>
      </c>
      <c r="H5553" s="6" t="s">
        <v>36301</v>
      </c>
      <c r="I5553" s="7" t="s">
        <v>36302</v>
      </c>
      <c r="J5553" s="8" t="str">
        <f>HYPERLINK("https://drive.google.com/file/d/1WZjxuUzuReWC9DPvt5UVozqZAiMehHbC/view?usp=drivesdk","MAGDALENA YANTI SERTIFIKAT BerAKHLAK")</f>
        <v>MAGDALENA YANTI SERTIFIKAT BerAKHLAK</v>
      </c>
      <c r="K5553" s="5" t="s">
        <v>35335</v>
      </c>
      <c r="L5553" s="5" t="s">
        <v>36303</v>
      </c>
    </row>
    <row r="5554">
      <c r="A5554" s="4">
        <v>45534.36101920139</v>
      </c>
      <c r="B5554" s="5" t="s">
        <v>34</v>
      </c>
      <c r="D5554" s="5" t="s">
        <v>14424</v>
      </c>
      <c r="E5554" s="5" t="s">
        <v>36307</v>
      </c>
      <c r="F5554" s="5" t="s">
        <v>120</v>
      </c>
      <c r="G5554" s="5" t="s">
        <v>36308</v>
      </c>
      <c r="H5554" s="6" t="s">
        <v>36309</v>
      </c>
      <c r="I5554" s="7" t="s">
        <v>36310</v>
      </c>
      <c r="J5554" s="8" t="str">
        <f>HYPERLINK("https://drive.google.com/file/d/178RWIJ2cnegx8du5RjdkQQeQxeAV3OZg/view?usp=drivesdk","MAULITA, S.K.M.,M.Si. SERTIFIKAT BerAKHLAK")</f>
        <v>MAULITA, S.K.M.,M.Si. SERTIFIKAT BerAKHLAK</v>
      </c>
      <c r="K5554" s="5" t="s">
        <v>35335</v>
      </c>
      <c r="L5554" s="5" t="s">
        <v>36311</v>
      </c>
    </row>
    <row r="5555">
      <c r="A5555" s="4">
        <v>45534.361024224534</v>
      </c>
      <c r="B5555" s="5" t="s">
        <v>34</v>
      </c>
      <c r="D5555" s="5" t="s">
        <v>4775</v>
      </c>
      <c r="E5555" s="5" t="s">
        <v>36315</v>
      </c>
      <c r="F5555" s="5" t="s">
        <v>37</v>
      </c>
      <c r="G5555" s="5" t="s">
        <v>36316</v>
      </c>
      <c r="H5555" s="6" t="s">
        <v>36317</v>
      </c>
      <c r="I5555" s="7" t="s">
        <v>36318</v>
      </c>
      <c r="J5555" s="8" t="str">
        <f>HYPERLINK("https://drive.google.com/file/d/17UdHoUcoW_McYyMpMlByV3QtAXFUhTBb/view?usp=drivesdk","ROHANI SERTIFIKAT BerAKHLAK")</f>
        <v>ROHANI SERTIFIKAT BerAKHLAK</v>
      </c>
      <c r="K5555" s="5" t="s">
        <v>35335</v>
      </c>
      <c r="L5555" s="5" t="s">
        <v>36319</v>
      </c>
    </row>
    <row r="5556">
      <c r="A5556" s="4">
        <v>45534.36103884259</v>
      </c>
      <c r="B5556" s="5" t="s">
        <v>34</v>
      </c>
      <c r="D5556" s="5" t="s">
        <v>1206</v>
      </c>
      <c r="E5556" s="5" t="s">
        <v>36323</v>
      </c>
      <c r="F5556" s="5" t="s">
        <v>524</v>
      </c>
      <c r="G5556" s="5" t="s">
        <v>36324</v>
      </c>
      <c r="H5556" s="6" t="s">
        <v>36325</v>
      </c>
      <c r="I5556" s="7" t="s">
        <v>36326</v>
      </c>
      <c r="J5556" s="8" t="str">
        <f>HYPERLINK("https://drive.google.com/file/d/1prvUbgTqoKQji7TUv9LhpltjkFbV9n7a/view?usp=drivesdk","AGUS PRIBADI SERTIFIKAT BerAKHLAK")</f>
        <v>AGUS PRIBADI SERTIFIKAT BerAKHLAK</v>
      </c>
      <c r="K5556" s="5" t="s">
        <v>35335</v>
      </c>
      <c r="L5556" s="5" t="s">
        <v>36327</v>
      </c>
    </row>
    <row r="5557">
      <c r="A5557" s="4">
        <v>45534.36104447917</v>
      </c>
      <c r="B5557" s="5" t="s">
        <v>34</v>
      </c>
      <c r="D5557" s="5" t="s">
        <v>4775</v>
      </c>
      <c r="E5557" s="5" t="s">
        <v>36331</v>
      </c>
      <c r="F5557" s="5" t="s">
        <v>37</v>
      </c>
      <c r="G5557" s="5" t="s">
        <v>36332</v>
      </c>
      <c r="H5557" s="6" t="s">
        <v>36333</v>
      </c>
      <c r="I5557" s="7" t="s">
        <v>36334</v>
      </c>
      <c r="J5557" s="8" t="str">
        <f>HYPERLINK("https://drive.google.com/file/d/1jTStf-Dqt7zO16fcvM6ToHNElZV-gTie/view?usp=drivesdk","Nurul Eny Kusrini SERTIFIKAT BerAKHLAK")</f>
        <v>Nurul Eny Kusrini SERTIFIKAT BerAKHLAK</v>
      </c>
      <c r="K5557" s="5" t="s">
        <v>35335</v>
      </c>
      <c r="L5557" s="5" t="s">
        <v>36335</v>
      </c>
    </row>
    <row r="5558">
      <c r="A5558" s="4">
        <v>45534.36105497685</v>
      </c>
      <c r="B5558" s="5" t="s">
        <v>34</v>
      </c>
      <c r="D5558" s="5" t="s">
        <v>1206</v>
      </c>
      <c r="E5558" s="5" t="s">
        <v>36339</v>
      </c>
      <c r="F5558" s="5" t="s">
        <v>199</v>
      </c>
      <c r="G5558" s="5" t="s">
        <v>36340</v>
      </c>
      <c r="H5558" s="6" t="s">
        <v>36341</v>
      </c>
      <c r="I5558" s="7" t="s">
        <v>36342</v>
      </c>
      <c r="J5558" s="8" t="str">
        <f>HYPERLINK("https://drive.google.com/file/d/15mJQSBcI8BfBUB5JPa5rne2-8p1I5hVm/view?usp=drivesdk","YENI OKTAVIYANTI  SERTIFIKAT BerAKHLAK")</f>
        <v>YENI OKTAVIYANTI  SERTIFIKAT BerAKHLAK</v>
      </c>
      <c r="K5558" s="5" t="s">
        <v>35335</v>
      </c>
      <c r="L5558" s="5" t="s">
        <v>36343</v>
      </c>
    </row>
    <row r="5559">
      <c r="A5559" s="4">
        <v>45534.361058599534</v>
      </c>
      <c r="B5559" s="5" t="s">
        <v>34</v>
      </c>
      <c r="D5559" s="5" t="s">
        <v>14424</v>
      </c>
      <c r="E5559" s="5" t="s">
        <v>36347</v>
      </c>
      <c r="F5559" s="5" t="s">
        <v>375</v>
      </c>
      <c r="G5559" s="5" t="s">
        <v>36348</v>
      </c>
      <c r="H5559" s="6" t="s">
        <v>36349</v>
      </c>
      <c r="I5559" s="7" t="s">
        <v>36350</v>
      </c>
      <c r="J5559" s="8" t="str">
        <f>HYPERLINK("https://drive.google.com/file/d/1FUaJh289Vx5BtjXvxrLUnATikYoSDS2Y/view?usp=drivesdk","MAULIDAYANI SERTIFIKAT BerAKHLAK")</f>
        <v>MAULIDAYANI SERTIFIKAT BerAKHLAK</v>
      </c>
      <c r="K5559" s="5" t="s">
        <v>35335</v>
      </c>
      <c r="L5559" s="5" t="s">
        <v>36351</v>
      </c>
    </row>
    <row r="5560">
      <c r="A5560" s="4">
        <v>45534.36106758102</v>
      </c>
      <c r="B5560" s="5" t="s">
        <v>34</v>
      </c>
      <c r="D5560" s="5" t="s">
        <v>14313</v>
      </c>
      <c r="E5560" s="5" t="s">
        <v>36355</v>
      </c>
      <c r="F5560" s="5" t="s">
        <v>212</v>
      </c>
      <c r="G5560" s="5" t="s">
        <v>36356</v>
      </c>
      <c r="H5560" s="6" t="s">
        <v>36357</v>
      </c>
      <c r="I5560" s="7" t="s">
        <v>36358</v>
      </c>
      <c r="J5560" s="8" t="str">
        <f>HYPERLINK("https://drive.google.com/file/d/1B_tkNS7jZLt8BFG2i_vkbMvWaS2LY1Mi/view?usp=drivesdk","AGUS SETIONO SERTIFIKAT BerAKHLAK")</f>
        <v>AGUS SETIONO SERTIFIKAT BerAKHLAK</v>
      </c>
      <c r="K5560" s="5" t="s">
        <v>35335</v>
      </c>
      <c r="L5560" s="5" t="s">
        <v>36359</v>
      </c>
    </row>
    <row r="5561">
      <c r="A5561" s="4">
        <v>45534.361073946755</v>
      </c>
      <c r="B5561" s="5" t="s">
        <v>34</v>
      </c>
      <c r="D5561" s="5" t="s">
        <v>14424</v>
      </c>
      <c r="E5561" s="5" t="s">
        <v>36363</v>
      </c>
      <c r="F5561" s="5" t="s">
        <v>108</v>
      </c>
      <c r="G5561" s="5" t="s">
        <v>36364</v>
      </c>
      <c r="H5561" s="6" t="s">
        <v>36365</v>
      </c>
      <c r="I5561" s="7" t="s">
        <v>36366</v>
      </c>
      <c r="J5561" s="8" t="str">
        <f>HYPERLINK("https://drive.google.com/file/d/1BXoCuT7YNxJO3GU20VKK3cr-TB-vh8U9/view?usp=drivesdk","SITI HAZIZAH SERTIFIKAT BerAKHLAK")</f>
        <v>SITI HAZIZAH SERTIFIKAT BerAKHLAK</v>
      </c>
      <c r="K5561" s="5" t="s">
        <v>36183</v>
      </c>
      <c r="L5561" s="5" t="s">
        <v>36367</v>
      </c>
    </row>
    <row r="5562">
      <c r="A5562" s="4">
        <v>45534.361098113426</v>
      </c>
      <c r="B5562" s="5" t="s">
        <v>34</v>
      </c>
      <c r="D5562" s="5" t="s">
        <v>4775</v>
      </c>
      <c r="E5562" s="5" t="s">
        <v>36371</v>
      </c>
      <c r="F5562" s="5" t="s">
        <v>212</v>
      </c>
      <c r="G5562" s="5" t="s">
        <v>36372</v>
      </c>
      <c r="H5562" s="6" t="s">
        <v>36373</v>
      </c>
      <c r="I5562" s="7" t="s">
        <v>36374</v>
      </c>
      <c r="J5562" s="8" t="str">
        <f>HYPERLINK("https://drive.google.com/file/d/1k8rGoDsmJkYSpNobcLiPk6zDjgFlzPCB/view?usp=drivesdk","WIJI ASTUTI  SERTIFIKAT BerAKHLAK")</f>
        <v>WIJI ASTUTI  SERTIFIKAT BerAKHLAK</v>
      </c>
      <c r="K5562" s="5" t="s">
        <v>35335</v>
      </c>
      <c r="L5562" s="5" t="s">
        <v>36375</v>
      </c>
    </row>
    <row r="5563">
      <c r="A5563" s="4">
        <v>45534.361099131944</v>
      </c>
      <c r="B5563" s="5" t="s">
        <v>34</v>
      </c>
      <c r="D5563" s="5" t="s">
        <v>6232</v>
      </c>
      <c r="E5563" s="5" t="s">
        <v>36379</v>
      </c>
      <c r="F5563" s="5" t="s">
        <v>524</v>
      </c>
      <c r="G5563" s="5" t="s">
        <v>36380</v>
      </c>
      <c r="H5563" s="6" t="s">
        <v>36381</v>
      </c>
      <c r="I5563" s="7" t="s">
        <v>36382</v>
      </c>
      <c r="J5563" s="8" t="str">
        <f>HYPERLINK("https://drive.google.com/file/d/1C8j-61pA5xvE0l6lz7uTbM6jbeCCl_5r/view?usp=drivesdk","ISUS SUSANTI, S.AP SERTIFIKAT BerAKHLAK")</f>
        <v>ISUS SUSANTI, S.AP SERTIFIKAT BerAKHLAK</v>
      </c>
      <c r="K5563" s="5" t="s">
        <v>35335</v>
      </c>
      <c r="L5563" s="5" t="s">
        <v>36383</v>
      </c>
    </row>
    <row r="5564">
      <c r="A5564" s="4">
        <v>45534.36110314815</v>
      </c>
      <c r="B5564" s="5" t="s">
        <v>34</v>
      </c>
      <c r="D5564" s="5" t="s">
        <v>4775</v>
      </c>
      <c r="E5564" s="5" t="s">
        <v>36387</v>
      </c>
      <c r="F5564" s="5" t="s">
        <v>22</v>
      </c>
      <c r="G5564" s="5" t="s">
        <v>36388</v>
      </c>
      <c r="H5564" s="6" t="s">
        <v>36389</v>
      </c>
      <c r="I5564" s="7" t="s">
        <v>36390</v>
      </c>
      <c r="J5564" s="8" t="str">
        <f>HYPERLINK("https://drive.google.com/file/d/1jQPtpyrZjlFLNsj-SE52qz_vf9XD8ybn/view?usp=drivesdk","NANI YULIA SERTIFIKAT BerAKHLAK")</f>
        <v>NANI YULIA SERTIFIKAT BerAKHLAK</v>
      </c>
      <c r="K5564" s="5" t="s">
        <v>35335</v>
      </c>
      <c r="L5564" s="5" t="s">
        <v>36391</v>
      </c>
    </row>
    <row r="5565">
      <c r="A5565" s="4">
        <v>45534.36110976852</v>
      </c>
      <c r="B5565" s="5" t="s">
        <v>34</v>
      </c>
      <c r="D5565" s="5" t="s">
        <v>3849</v>
      </c>
      <c r="E5565" s="5" t="s">
        <v>36395</v>
      </c>
      <c r="F5565" s="5" t="s">
        <v>37</v>
      </c>
      <c r="G5565" s="5" t="s">
        <v>36396</v>
      </c>
      <c r="H5565" s="6" t="s">
        <v>36397</v>
      </c>
      <c r="I5565" s="7" t="s">
        <v>36398</v>
      </c>
      <c r="J5565" s="8" t="str">
        <f>HYPERLINK("https://drive.google.com/file/d/1fH2pQ1ZNabsPne7VJhL2rZiWpCBzdHGb/view?usp=drivesdk","RACHMAT SERTIFIKAT BerAKHLAK")</f>
        <v>RACHMAT SERTIFIKAT BerAKHLAK</v>
      </c>
      <c r="K5565" s="5" t="s">
        <v>35335</v>
      </c>
      <c r="L5565" s="5" t="s">
        <v>36399</v>
      </c>
    </row>
    <row r="5566">
      <c r="A5566" s="4">
        <v>45534.36111616898</v>
      </c>
      <c r="B5566" s="5" t="s">
        <v>34</v>
      </c>
      <c r="D5566" s="5" t="s">
        <v>280</v>
      </c>
      <c r="E5566" s="5" t="s">
        <v>36403</v>
      </c>
      <c r="F5566" s="5" t="s">
        <v>72</v>
      </c>
      <c r="G5566" s="5" t="s">
        <v>36404</v>
      </c>
      <c r="H5566" s="6" t="s">
        <v>36405</v>
      </c>
      <c r="I5566" s="7" t="s">
        <v>36406</v>
      </c>
      <c r="J5566" s="8" t="str">
        <f>HYPERLINK("https://drive.google.com/file/d/187wAO2mbph87wsl99mImyL8Wol96LBsQ/view?usp=drivesdk","MUHAMMAD ALWI, A. Md SERTIFIKAT BerAKHLAK")</f>
        <v>MUHAMMAD ALWI, A. Md SERTIFIKAT BerAKHLAK</v>
      </c>
      <c r="K5566" s="5" t="s">
        <v>35335</v>
      </c>
      <c r="L5566" s="5" t="s">
        <v>36407</v>
      </c>
    </row>
    <row r="5567">
      <c r="A5567" s="4">
        <v>45534.36112702546</v>
      </c>
      <c r="B5567" s="5" t="s">
        <v>34</v>
      </c>
      <c r="D5567" s="5" t="s">
        <v>4775</v>
      </c>
      <c r="E5567" s="5" t="s">
        <v>36411</v>
      </c>
      <c r="F5567" s="5" t="s">
        <v>72</v>
      </c>
      <c r="G5567" s="5" t="s">
        <v>36412</v>
      </c>
      <c r="H5567" s="6" t="s">
        <v>36413</v>
      </c>
      <c r="I5567" s="7" t="s">
        <v>36414</v>
      </c>
      <c r="J5567" s="8" t="str">
        <f>HYPERLINK("https://drive.google.com/file/d/1iVlEQHXzRRCuLal0Szm1emEc9ZN4_Ky3/view?usp=drivesdk","NANI SUHARNI SERTIFIKAT BerAKHLAK")</f>
        <v>NANI SUHARNI SERTIFIKAT BerAKHLAK</v>
      </c>
      <c r="K5567" s="5" t="s">
        <v>36183</v>
      </c>
      <c r="L5567" s="5" t="s">
        <v>36415</v>
      </c>
    </row>
    <row r="5568">
      <c r="A5568" s="4">
        <v>45534.36113579861</v>
      </c>
      <c r="B5568" s="5" t="s">
        <v>34</v>
      </c>
      <c r="D5568" s="5" t="s">
        <v>1206</v>
      </c>
      <c r="E5568" s="5" t="s">
        <v>36419</v>
      </c>
      <c r="F5568" s="5" t="s">
        <v>375</v>
      </c>
      <c r="G5568" s="5" t="s">
        <v>36420</v>
      </c>
      <c r="H5568" s="6" t="s">
        <v>36421</v>
      </c>
      <c r="I5568" s="7" t="s">
        <v>36422</v>
      </c>
      <c r="J5568" s="8" t="str">
        <f>HYPERLINK("https://drive.google.com/file/d/1hvWSzXjyAUDpv6B_ftrXj2drYCn5V4T3/view?usp=drivesdk","NURHAYATI  SERTIFIKAT BerAKHLAK")</f>
        <v>NURHAYATI  SERTIFIKAT BerAKHLAK</v>
      </c>
      <c r="K5568" s="5" t="s">
        <v>36183</v>
      </c>
      <c r="L5568" s="5" t="s">
        <v>36423</v>
      </c>
    </row>
    <row r="5569">
      <c r="A5569" s="4">
        <v>45534.36115409722</v>
      </c>
      <c r="B5569" s="5" t="s">
        <v>34</v>
      </c>
      <c r="D5569" s="5" t="s">
        <v>1206</v>
      </c>
      <c r="E5569" s="5" t="s">
        <v>36427</v>
      </c>
      <c r="F5569" s="5" t="s">
        <v>212</v>
      </c>
      <c r="G5569" s="5" t="s">
        <v>36428</v>
      </c>
      <c r="H5569" s="6" t="s">
        <v>36429</v>
      </c>
      <c r="I5569" s="7" t="s">
        <v>36430</v>
      </c>
      <c r="J5569" s="8" t="str">
        <f>HYPERLINK("https://drive.google.com/file/d/12tRTeE0AgxXzuCdrzQTuJTS2izeklWwq/view?usp=drivesdk","NUR QOIRI, S.IP. SERTIFIKAT BerAKHLAK")</f>
        <v>NUR QOIRI, S.IP. SERTIFIKAT BerAKHLAK</v>
      </c>
      <c r="K5569" s="5" t="s">
        <v>35335</v>
      </c>
      <c r="L5569" s="5" t="s">
        <v>36431</v>
      </c>
    </row>
    <row r="5570">
      <c r="A5570" s="4">
        <v>45534.36115636574</v>
      </c>
      <c r="B5570" s="5" t="s">
        <v>34</v>
      </c>
      <c r="D5570" s="5" t="s">
        <v>522</v>
      </c>
      <c r="E5570" s="5" t="s">
        <v>36435</v>
      </c>
      <c r="F5570" s="5" t="s">
        <v>375</v>
      </c>
      <c r="G5570" s="5" t="s">
        <v>36436</v>
      </c>
      <c r="H5570" s="6" t="s">
        <v>36437</v>
      </c>
      <c r="I5570" s="7" t="s">
        <v>36438</v>
      </c>
      <c r="J5570" s="8" t="str">
        <f>HYPERLINK("https://drive.google.com/file/d/1dgEpWD6tAzxtdGd5Y0iTAmw9lGfObOz_/view?usp=drivesdk","SAIFUL RAHMAN, SE SERTIFIKAT BerAKHLAK")</f>
        <v>SAIFUL RAHMAN, SE SERTIFIKAT BerAKHLAK</v>
      </c>
      <c r="K5570" s="5" t="s">
        <v>35335</v>
      </c>
      <c r="L5570" s="5" t="s">
        <v>36439</v>
      </c>
    </row>
    <row r="5571">
      <c r="A5571" s="4">
        <v>45534.36115950231</v>
      </c>
      <c r="B5571" s="5" t="s">
        <v>34</v>
      </c>
      <c r="D5571" s="5" t="s">
        <v>12978</v>
      </c>
      <c r="E5571" s="5" t="s">
        <v>36443</v>
      </c>
      <c r="F5571" s="5" t="s">
        <v>72</v>
      </c>
      <c r="G5571" s="5" t="s">
        <v>36444</v>
      </c>
      <c r="H5571" s="6" t="s">
        <v>36445</v>
      </c>
      <c r="I5571" s="7" t="s">
        <v>36446</v>
      </c>
      <c r="J5571" s="8" t="str">
        <f>HYPERLINK("https://drive.google.com/file/d/1tgqyDkn-2wIF3NVFp07S39XjEICs5S2C/view?usp=drivesdk","RENNY ROSALINA, AMKp SERTIFIKAT BerAKHLAK")</f>
        <v>RENNY ROSALINA, AMKp SERTIFIKAT BerAKHLAK</v>
      </c>
      <c r="K5571" s="5" t="s">
        <v>35335</v>
      </c>
      <c r="L5571" s="5" t="s">
        <v>36447</v>
      </c>
    </row>
    <row r="5572">
      <c r="A5572" s="4">
        <v>45534.36116446759</v>
      </c>
      <c r="B5572" s="5" t="s">
        <v>34</v>
      </c>
      <c r="D5572" s="5" t="s">
        <v>14424</v>
      </c>
      <c r="E5572" s="5" t="s">
        <v>19366</v>
      </c>
      <c r="F5572" s="5" t="s">
        <v>212</v>
      </c>
      <c r="G5572" s="5" t="s">
        <v>36451</v>
      </c>
      <c r="H5572" s="6" t="s">
        <v>36452</v>
      </c>
      <c r="I5572" s="7" t="s">
        <v>36453</v>
      </c>
      <c r="J5572" s="8" t="str">
        <f>HYPERLINK("https://drive.google.com/file/d/1g3j54965mTK4gUEXue57MFFOuznBPDnJ/view?usp=drivesdk","RATNA JUWITA SERTIFIKAT BerAKHLAK")</f>
        <v>RATNA JUWITA SERTIFIKAT BerAKHLAK</v>
      </c>
      <c r="K5572" s="5" t="s">
        <v>36183</v>
      </c>
      <c r="L5572" s="5" t="s">
        <v>36454</v>
      </c>
    </row>
    <row r="5573">
      <c r="A5573" s="4">
        <v>45534.361181678236</v>
      </c>
      <c r="B5573" s="5" t="s">
        <v>19</v>
      </c>
      <c r="C5573" s="5" t="s">
        <v>442</v>
      </c>
      <c r="E5573" s="5" t="s">
        <v>36458</v>
      </c>
      <c r="F5573" s="5" t="s">
        <v>120</v>
      </c>
      <c r="G5573" s="5" t="s">
        <v>36459</v>
      </c>
      <c r="H5573" s="6" t="s">
        <v>36460</v>
      </c>
      <c r="I5573" s="7" t="s">
        <v>36461</v>
      </c>
      <c r="J5573" s="8" t="str">
        <f>HYPERLINK("https://drive.google.com/file/d/1x5n1QekyiaRlmmUPGTqXtBA--jhSFM8l/view?usp=drivesdk","IBNU AROJAK, S.KOM., M.AP. SERTIFIKAT BerAKHLAK")</f>
        <v>IBNU AROJAK, S.KOM., M.AP. SERTIFIKAT BerAKHLAK</v>
      </c>
      <c r="K5573" s="5" t="s">
        <v>36183</v>
      </c>
      <c r="L5573" s="5" t="s">
        <v>36462</v>
      </c>
    </row>
    <row r="5574">
      <c r="A5574" s="4">
        <v>45534.36118209491</v>
      </c>
      <c r="B5574" s="5" t="s">
        <v>34</v>
      </c>
      <c r="D5574" s="5" t="s">
        <v>14424</v>
      </c>
      <c r="E5574" s="5" t="s">
        <v>36466</v>
      </c>
      <c r="F5574" s="5" t="s">
        <v>375</v>
      </c>
      <c r="G5574" s="5" t="s">
        <v>36467</v>
      </c>
      <c r="H5574" s="6" t="s">
        <v>36468</v>
      </c>
      <c r="I5574" s="7" t="s">
        <v>36469</v>
      </c>
      <c r="J5574" s="8" t="str">
        <f>HYPERLINK("https://drive.google.com/file/d/1Ys89XJXCKnlWRKipHmZWozw8_UWOftm-/view?usp=drivesdk","HASTUTI.S.Farm SERTIFIKAT BerAKHLAK")</f>
        <v>HASTUTI.S.Farm SERTIFIKAT BerAKHLAK</v>
      </c>
      <c r="K5574" s="5" t="s">
        <v>36183</v>
      </c>
      <c r="L5574" s="5" t="s">
        <v>36470</v>
      </c>
    </row>
    <row r="5575">
      <c r="A5575" s="4">
        <v>45534.36119960649</v>
      </c>
      <c r="B5575" s="5" t="s">
        <v>34</v>
      </c>
      <c r="D5575" s="5" t="s">
        <v>1206</v>
      </c>
      <c r="E5575" s="5" t="s">
        <v>36474</v>
      </c>
      <c r="F5575" s="5" t="s">
        <v>212</v>
      </c>
      <c r="G5575" s="5" t="s">
        <v>36475</v>
      </c>
      <c r="H5575" s="6" t="s">
        <v>36476</v>
      </c>
      <c r="K5575" s="5" t="s">
        <v>36477</v>
      </c>
    </row>
    <row r="5576">
      <c r="A5576" s="4">
        <v>45534.361201238426</v>
      </c>
      <c r="B5576" s="5" t="s">
        <v>34</v>
      </c>
      <c r="D5576" s="5" t="s">
        <v>580</v>
      </c>
      <c r="E5576" s="5" t="s">
        <v>36481</v>
      </c>
      <c r="F5576" s="5" t="s">
        <v>375</v>
      </c>
      <c r="G5576" s="5" t="s">
        <v>36482</v>
      </c>
      <c r="H5576" s="6" t="s">
        <v>36483</v>
      </c>
      <c r="K5576" s="5" t="s">
        <v>36477</v>
      </c>
    </row>
    <row r="5577">
      <c r="A5577" s="4">
        <v>45534.361208807866</v>
      </c>
      <c r="B5577" s="5" t="s">
        <v>34</v>
      </c>
      <c r="D5577" s="5" t="s">
        <v>15401</v>
      </c>
      <c r="E5577" s="5" t="s">
        <v>36487</v>
      </c>
      <c r="F5577" s="5" t="s">
        <v>108</v>
      </c>
      <c r="G5577" s="5" t="s">
        <v>36488</v>
      </c>
      <c r="H5577" s="6" t="s">
        <v>36489</v>
      </c>
      <c r="K5577" s="5" t="s">
        <v>36477</v>
      </c>
    </row>
    <row r="5578">
      <c r="A5578" s="4">
        <v>45534.361217812504</v>
      </c>
      <c r="B5578" s="5" t="s">
        <v>34</v>
      </c>
      <c r="D5578" s="5" t="s">
        <v>3432</v>
      </c>
      <c r="E5578" s="5" t="s">
        <v>36493</v>
      </c>
      <c r="F5578" s="5" t="s">
        <v>524</v>
      </c>
      <c r="G5578" s="5" t="s">
        <v>36494</v>
      </c>
      <c r="H5578" s="6" t="s">
        <v>36495</v>
      </c>
      <c r="K5578" s="5" t="s">
        <v>36477</v>
      </c>
    </row>
    <row r="5579">
      <c r="A5579" s="4">
        <v>45534.36124324074</v>
      </c>
      <c r="B5579" s="5" t="s">
        <v>34</v>
      </c>
      <c r="D5579" s="5" t="s">
        <v>12978</v>
      </c>
      <c r="E5579" s="5" t="s">
        <v>36499</v>
      </c>
      <c r="F5579" s="5" t="s">
        <v>212</v>
      </c>
      <c r="G5579" s="5" t="s">
        <v>36500</v>
      </c>
      <c r="H5579" s="6" t="s">
        <v>36501</v>
      </c>
      <c r="K5579" s="5" t="s">
        <v>36477</v>
      </c>
    </row>
    <row r="5580">
      <c r="A5580" s="4">
        <v>45534.36124425926</v>
      </c>
      <c r="B5580" s="5" t="s">
        <v>34</v>
      </c>
      <c r="D5580" s="5" t="s">
        <v>4775</v>
      </c>
      <c r="E5580" s="5" t="s">
        <v>36505</v>
      </c>
      <c r="F5580" s="5" t="s">
        <v>212</v>
      </c>
      <c r="G5580" s="5" t="s">
        <v>36506</v>
      </c>
      <c r="H5580" s="6" t="s">
        <v>36507</v>
      </c>
      <c r="K5580" s="5" t="s">
        <v>36477</v>
      </c>
    </row>
    <row r="5581">
      <c r="A5581" s="4">
        <v>45534.36124903936</v>
      </c>
      <c r="B5581" s="5" t="s">
        <v>34</v>
      </c>
      <c r="D5581" s="5" t="s">
        <v>14424</v>
      </c>
      <c r="E5581" s="5" t="s">
        <v>36511</v>
      </c>
      <c r="F5581" s="5" t="s">
        <v>375</v>
      </c>
      <c r="G5581" s="5" t="s">
        <v>36512</v>
      </c>
      <c r="H5581" s="6" t="s">
        <v>36513</v>
      </c>
      <c r="K5581" s="5" t="s">
        <v>36477</v>
      </c>
    </row>
    <row r="5582">
      <c r="A5582" s="4">
        <v>45534.36126988426</v>
      </c>
      <c r="B5582" s="5" t="s">
        <v>34</v>
      </c>
      <c r="D5582" s="5" t="s">
        <v>9020</v>
      </c>
      <c r="E5582" s="5" t="s">
        <v>36517</v>
      </c>
      <c r="F5582" s="5" t="s">
        <v>37</v>
      </c>
      <c r="G5582" s="5" t="s">
        <v>36518</v>
      </c>
      <c r="H5582" s="6" t="s">
        <v>36519</v>
      </c>
      <c r="I5582" s="7" t="s">
        <v>36520</v>
      </c>
      <c r="J5582" s="8" t="str">
        <f>HYPERLINK("https://drive.google.com/file/d/1KQHpxVi3IBKiw4sHBBTjD1nmlPUTLL-g/view?usp=drivesdk","SRI AGUSTINA SERTIFIKAT BerAKHLAK")</f>
        <v>SRI AGUSTINA SERTIFIKAT BerAKHLAK</v>
      </c>
      <c r="K5582" s="5" t="s">
        <v>35335</v>
      </c>
      <c r="L5582" s="5" t="s">
        <v>36521</v>
      </c>
    </row>
    <row r="5583">
      <c r="A5583" s="4">
        <v>45534.36127944445</v>
      </c>
      <c r="B5583" s="5" t="s">
        <v>34</v>
      </c>
      <c r="D5583" s="5" t="s">
        <v>12978</v>
      </c>
      <c r="E5583" s="5" t="s">
        <v>36525</v>
      </c>
      <c r="F5583" s="5" t="s">
        <v>524</v>
      </c>
      <c r="G5583" s="5" t="s">
        <v>36526</v>
      </c>
      <c r="H5583" s="6" t="s">
        <v>36527</v>
      </c>
      <c r="I5583" s="7" t="s">
        <v>36528</v>
      </c>
      <c r="J5583" s="8" t="str">
        <f>HYPERLINK("https://drive.google.com/file/d/12y8v03met3E3utU7iWjtGdjJe3nA3b-c/view?usp=drivesdk","YUSRON SERTIFIKAT BerAKHLAK")</f>
        <v>YUSRON SERTIFIKAT BerAKHLAK</v>
      </c>
      <c r="K5583" s="5" t="s">
        <v>35335</v>
      </c>
      <c r="L5583" s="5" t="s">
        <v>36529</v>
      </c>
    </row>
    <row r="5584">
      <c r="A5584" s="4">
        <v>45534.36128059028</v>
      </c>
      <c r="B5584" s="5" t="s">
        <v>34</v>
      </c>
      <c r="D5584" s="5" t="s">
        <v>4775</v>
      </c>
      <c r="E5584" s="5" t="s">
        <v>36533</v>
      </c>
      <c r="F5584" s="5" t="s">
        <v>524</v>
      </c>
      <c r="G5584" s="5" t="s">
        <v>36534</v>
      </c>
      <c r="H5584" s="6" t="s">
        <v>36535</v>
      </c>
      <c r="K5584" s="5" t="s">
        <v>36536</v>
      </c>
    </row>
    <row r="5585">
      <c r="A5585" s="4">
        <v>45534.36130925926</v>
      </c>
      <c r="B5585" s="5" t="s">
        <v>34</v>
      </c>
      <c r="D5585" s="5" t="s">
        <v>522</v>
      </c>
      <c r="E5585" s="5" t="s">
        <v>36540</v>
      </c>
      <c r="F5585" s="5" t="s">
        <v>212</v>
      </c>
      <c r="G5585" s="5" t="s">
        <v>36541</v>
      </c>
      <c r="H5585" s="6" t="s">
        <v>36542</v>
      </c>
      <c r="I5585" s="7" t="s">
        <v>36543</v>
      </c>
      <c r="J5585" s="8" t="str">
        <f>HYPERLINK("https://drive.google.com/file/d/1l_3Sv3AbH6WBHMSOGUYUMSEo2n5zqTfK/view?usp=drivesdk","SUPRIYANTO SERTIFIKAT BerAKHLAK")</f>
        <v>SUPRIYANTO SERTIFIKAT BerAKHLAK</v>
      </c>
      <c r="K5585" s="5" t="s">
        <v>35335</v>
      </c>
      <c r="L5585" s="5" t="s">
        <v>36544</v>
      </c>
    </row>
    <row r="5586">
      <c r="A5586" s="4">
        <v>45534.36132490741</v>
      </c>
      <c r="B5586" s="5" t="s">
        <v>34</v>
      </c>
      <c r="D5586" s="5" t="s">
        <v>12978</v>
      </c>
      <c r="E5586" s="5" t="s">
        <v>36548</v>
      </c>
      <c r="F5586" s="5" t="s">
        <v>212</v>
      </c>
      <c r="G5586" s="5" t="s">
        <v>36549</v>
      </c>
      <c r="H5586" s="6" t="s">
        <v>36550</v>
      </c>
      <c r="I5586" s="7" t="s">
        <v>36551</v>
      </c>
      <c r="J5586" s="8" t="str">
        <f>HYPERLINK("https://drive.google.com/file/d/1450t8N9SQjiOfnliGrpGaQZYQJ0hUzgc/view?usp=drivesdk","FITRIYANTI SERTIFIKAT BerAKHLAK")</f>
        <v>FITRIYANTI SERTIFIKAT BerAKHLAK</v>
      </c>
      <c r="K5586" s="5" t="s">
        <v>36183</v>
      </c>
      <c r="L5586" s="5" t="s">
        <v>36552</v>
      </c>
    </row>
    <row r="5587">
      <c r="A5587" s="4">
        <v>45534.361329224535</v>
      </c>
      <c r="B5587" s="5" t="s">
        <v>34</v>
      </c>
      <c r="D5587" s="5" t="s">
        <v>4775</v>
      </c>
      <c r="E5587" s="5" t="s">
        <v>36556</v>
      </c>
      <c r="F5587" s="5" t="s">
        <v>108</v>
      </c>
      <c r="G5587" s="5" t="s">
        <v>36557</v>
      </c>
      <c r="H5587" s="6" t="s">
        <v>36558</v>
      </c>
      <c r="I5587" s="7" t="s">
        <v>36559</v>
      </c>
      <c r="J5587" s="8" t="str">
        <f>HYPERLINK("https://drive.google.com/file/d/1o4rcPZbAAJbZ2MA489QneTxnlS7WFxoM/view?usp=drivesdk","HENI KRISTANTI SERTIFIKAT BerAKHLAK")</f>
        <v>HENI KRISTANTI SERTIFIKAT BerAKHLAK</v>
      </c>
      <c r="K5587" s="5" t="s">
        <v>36183</v>
      </c>
      <c r="L5587" s="5" t="s">
        <v>36560</v>
      </c>
    </row>
    <row r="5588">
      <c r="A5588" s="4">
        <v>45534.36133262732</v>
      </c>
      <c r="B5588" s="5" t="s">
        <v>34</v>
      </c>
      <c r="D5588" s="5" t="s">
        <v>996</v>
      </c>
      <c r="E5588" s="5" t="s">
        <v>36563</v>
      </c>
      <c r="F5588" s="5" t="s">
        <v>37</v>
      </c>
      <c r="G5588" s="5" t="s">
        <v>36564</v>
      </c>
      <c r="H5588" s="6" t="s">
        <v>36565</v>
      </c>
      <c r="I5588" s="7" t="s">
        <v>36566</v>
      </c>
      <c r="J5588" s="8" t="str">
        <f>HYPERLINK("https://drive.google.com/file/d/1uOB0rqp6bjbN7UD5-89VGTVkh_RtAnKV/view?usp=drivesdk","ROSIDA FAUL LINA  SERTIFIKAT BerAKHLAK")</f>
        <v>ROSIDA FAUL LINA  SERTIFIKAT BerAKHLAK</v>
      </c>
      <c r="K5588" s="5" t="s">
        <v>36183</v>
      </c>
      <c r="L5588" s="5" t="s">
        <v>36567</v>
      </c>
    </row>
    <row r="5589">
      <c r="A5589" s="4">
        <v>45534.3613353125</v>
      </c>
      <c r="B5589" s="5" t="s">
        <v>34</v>
      </c>
      <c r="D5589" s="5" t="s">
        <v>9394</v>
      </c>
      <c r="E5589" s="5" t="s">
        <v>36570</v>
      </c>
      <c r="F5589" s="5" t="s">
        <v>524</v>
      </c>
      <c r="G5589" s="5" t="s">
        <v>36571</v>
      </c>
      <c r="H5589" s="6" t="s">
        <v>36572</v>
      </c>
      <c r="I5589" s="7" t="s">
        <v>36573</v>
      </c>
      <c r="J5589" s="8" t="str">
        <f>HYPERLINK("https://drive.google.com/file/d/1vsuB_ocRX-XAsnyPlyGwRiE5kvaYZV1p/view?usp=drivesdk","JOKO SANTOSO SERTIFIKAT BerAKHLAK")</f>
        <v>JOKO SANTOSO SERTIFIKAT BerAKHLAK</v>
      </c>
      <c r="K5589" s="5" t="s">
        <v>36183</v>
      </c>
      <c r="L5589" s="5" t="s">
        <v>36574</v>
      </c>
    </row>
    <row r="5590">
      <c r="A5590" s="4">
        <v>45534.36133704861</v>
      </c>
      <c r="B5590" s="5" t="s">
        <v>34</v>
      </c>
      <c r="D5590" s="5" t="s">
        <v>10444</v>
      </c>
      <c r="E5590" s="5" t="s">
        <v>36577</v>
      </c>
      <c r="F5590" s="5" t="s">
        <v>212</v>
      </c>
      <c r="G5590" s="5" t="s">
        <v>36578</v>
      </c>
      <c r="H5590" s="6" t="s">
        <v>36579</v>
      </c>
      <c r="I5590" s="7" t="s">
        <v>36580</v>
      </c>
      <c r="J5590" s="8" t="str">
        <f>HYPERLINK("https://drive.google.com/file/d/1ZPIFsemyj7BEE9nueSLXzjbIQtiCl0Mf/view?usp=drivesdk","MUJIANTI CAHYA NINGSIH SERTIFIKAT BerAKHLAK")</f>
        <v>MUJIANTI CAHYA NINGSIH SERTIFIKAT BerAKHLAK</v>
      </c>
      <c r="K5590" s="5" t="s">
        <v>36183</v>
      </c>
      <c r="L5590" s="5" t="s">
        <v>36581</v>
      </c>
    </row>
    <row r="5591">
      <c r="A5591" s="4">
        <v>45534.361353506945</v>
      </c>
      <c r="B5591" s="5" t="s">
        <v>34</v>
      </c>
      <c r="D5591" s="5" t="s">
        <v>1206</v>
      </c>
      <c r="E5591" s="5" t="s">
        <v>28201</v>
      </c>
      <c r="F5591" s="5" t="s">
        <v>212</v>
      </c>
      <c r="G5591" s="5" t="s">
        <v>36584</v>
      </c>
      <c r="H5591" s="6" t="s">
        <v>36585</v>
      </c>
      <c r="I5591" s="7" t="s">
        <v>36586</v>
      </c>
      <c r="J5591" s="8" t="str">
        <f>HYPERLINK("https://drive.google.com/file/d/1bc2nVW6sdgnsqmhBNZb-WlfIYcVtkOoZ/view?usp=drivesdk","RAHMAT SERTIFIKAT BerAKHLAK")</f>
        <v>RAHMAT SERTIFIKAT BerAKHLAK</v>
      </c>
      <c r="K5591" s="5" t="s">
        <v>36587</v>
      </c>
      <c r="L5591" s="5" t="s">
        <v>36588</v>
      </c>
    </row>
    <row r="5592">
      <c r="A5592" s="4">
        <v>45534.36137052083</v>
      </c>
      <c r="B5592" s="5" t="s">
        <v>34</v>
      </c>
      <c r="D5592" s="5" t="s">
        <v>35</v>
      </c>
      <c r="E5592" s="5" t="s">
        <v>36592</v>
      </c>
      <c r="F5592" s="5" t="s">
        <v>72</v>
      </c>
      <c r="G5592" s="5" t="s">
        <v>36593</v>
      </c>
      <c r="H5592" s="6" t="s">
        <v>36594</v>
      </c>
      <c r="K5592" s="5" t="s">
        <v>36595</v>
      </c>
    </row>
    <row r="5593">
      <c r="A5593" s="4">
        <v>45534.36137180556</v>
      </c>
      <c r="B5593" s="5" t="s">
        <v>34</v>
      </c>
      <c r="D5593" s="5" t="s">
        <v>4775</v>
      </c>
      <c r="E5593" s="5" t="s">
        <v>36598</v>
      </c>
      <c r="F5593" s="5" t="s">
        <v>37</v>
      </c>
      <c r="G5593" s="5" t="s">
        <v>36599</v>
      </c>
      <c r="H5593" s="6" t="s">
        <v>36600</v>
      </c>
      <c r="K5593" s="5" t="s">
        <v>36595</v>
      </c>
    </row>
    <row r="5594">
      <c r="A5594" s="4">
        <v>45534.36139839121</v>
      </c>
      <c r="B5594" s="5" t="s">
        <v>34</v>
      </c>
      <c r="D5594" s="5" t="s">
        <v>1206</v>
      </c>
      <c r="E5594" s="5" t="s">
        <v>36603</v>
      </c>
      <c r="F5594" s="5" t="s">
        <v>37</v>
      </c>
      <c r="G5594" s="5" t="s">
        <v>36604</v>
      </c>
      <c r="H5594" s="6" t="s">
        <v>36605</v>
      </c>
      <c r="I5594" s="7" t="s">
        <v>36606</v>
      </c>
      <c r="J5594" s="8" t="str">
        <f>HYPERLINK("https://drive.google.com/file/d/1Rfk_XpQUkdjwsLHzyzkYjXlguT17AYvV/view?usp=drivesdk","DIDIK TRIHARYADI SERTIFIKAT BerAKHLAK")</f>
        <v>DIDIK TRIHARYADI SERTIFIKAT BerAKHLAK</v>
      </c>
      <c r="K5594" s="5" t="s">
        <v>35335</v>
      </c>
      <c r="L5594" s="5" t="s">
        <v>36607</v>
      </c>
    </row>
    <row r="5595">
      <c r="A5595" s="4">
        <v>45534.36140353009</v>
      </c>
      <c r="B5595" s="5" t="s">
        <v>34</v>
      </c>
      <c r="D5595" s="5" t="s">
        <v>1206</v>
      </c>
      <c r="E5595" s="5" t="s">
        <v>36610</v>
      </c>
      <c r="F5595" s="5" t="s">
        <v>37</v>
      </c>
      <c r="G5595" s="5" t="s">
        <v>36611</v>
      </c>
      <c r="H5595" s="6" t="s">
        <v>36612</v>
      </c>
      <c r="K5595" s="5" t="s">
        <v>36613</v>
      </c>
    </row>
    <row r="5596">
      <c r="A5596" s="4">
        <v>45534.36141400463</v>
      </c>
      <c r="B5596" s="5" t="s">
        <v>34</v>
      </c>
      <c r="D5596" s="5" t="s">
        <v>1206</v>
      </c>
      <c r="E5596" s="5" t="s">
        <v>36616</v>
      </c>
      <c r="F5596" s="5" t="s">
        <v>375</v>
      </c>
      <c r="G5596" s="5" t="s">
        <v>36617</v>
      </c>
      <c r="H5596" s="6" t="s">
        <v>36618</v>
      </c>
      <c r="K5596" s="5" t="s">
        <v>36613</v>
      </c>
    </row>
    <row r="5597">
      <c r="A5597" s="4">
        <v>45534.36141657407</v>
      </c>
      <c r="B5597" s="5" t="s">
        <v>34</v>
      </c>
      <c r="D5597" s="5" t="s">
        <v>4775</v>
      </c>
      <c r="E5597" s="5" t="s">
        <v>36622</v>
      </c>
      <c r="F5597" s="5" t="s">
        <v>37</v>
      </c>
      <c r="G5597" s="5" t="s">
        <v>36623</v>
      </c>
      <c r="H5597" s="6" t="s">
        <v>36624</v>
      </c>
      <c r="K5597" s="5" t="s">
        <v>36613</v>
      </c>
    </row>
    <row r="5598">
      <c r="A5598" s="4">
        <v>45534.36147304398</v>
      </c>
      <c r="B5598" s="5" t="s">
        <v>34</v>
      </c>
      <c r="D5598" s="5" t="s">
        <v>1206</v>
      </c>
      <c r="E5598" s="5" t="s">
        <v>36627</v>
      </c>
      <c r="F5598" s="5" t="s">
        <v>72</v>
      </c>
      <c r="G5598" s="5" t="s">
        <v>36628</v>
      </c>
      <c r="H5598" s="6" t="s">
        <v>36629</v>
      </c>
      <c r="K5598" s="5" t="s">
        <v>36613</v>
      </c>
    </row>
    <row r="5599">
      <c r="A5599" s="4">
        <v>45534.36147684028</v>
      </c>
      <c r="B5599" s="5" t="s">
        <v>34</v>
      </c>
      <c r="D5599" s="5" t="s">
        <v>2903</v>
      </c>
      <c r="E5599" s="5" t="s">
        <v>36632</v>
      </c>
      <c r="F5599" s="5" t="s">
        <v>524</v>
      </c>
      <c r="G5599" s="5" t="s">
        <v>36633</v>
      </c>
      <c r="H5599" s="6" t="s">
        <v>36634</v>
      </c>
      <c r="I5599" s="7" t="s">
        <v>36635</v>
      </c>
      <c r="J5599" s="8" t="str">
        <f>HYPERLINK("https://drive.google.com/file/d/14Jvl9FsC9xGlQMWcfnaE5b54aEgo6H8G/view?usp=drivesdk","BOANG ARIANGGA, S.KEP SERTIFIKAT BerAKHLAK")</f>
        <v>BOANG ARIANGGA, S.KEP SERTIFIKAT BerAKHLAK</v>
      </c>
      <c r="K5599" s="5" t="s">
        <v>36183</v>
      </c>
      <c r="L5599" s="5" t="s">
        <v>36636</v>
      </c>
    </row>
    <row r="5600">
      <c r="A5600" s="4">
        <v>45534.36148365741</v>
      </c>
      <c r="B5600" s="5" t="s">
        <v>34</v>
      </c>
      <c r="D5600" s="5" t="s">
        <v>12978</v>
      </c>
      <c r="E5600" s="5" t="s">
        <v>17159</v>
      </c>
      <c r="F5600" s="5" t="s">
        <v>108</v>
      </c>
      <c r="G5600" s="5" t="s">
        <v>36639</v>
      </c>
      <c r="H5600" s="6" t="s">
        <v>36640</v>
      </c>
      <c r="I5600" s="7" t="s">
        <v>36641</v>
      </c>
      <c r="J5600" s="8" t="str">
        <f>HYPERLINK("https://drive.google.com/file/d/1nlDAI3HW9WiuA5PcCdIjoRZtFqChO3pE/view?usp=drivesdk","SUHERMAN SERTIFIKAT BerAKHLAK")</f>
        <v>SUHERMAN SERTIFIKAT BerAKHLAK</v>
      </c>
      <c r="K5600" s="5" t="s">
        <v>36183</v>
      </c>
      <c r="L5600" s="5" t="s">
        <v>36642</v>
      </c>
    </row>
    <row r="5601">
      <c r="A5601" s="4">
        <v>45534.36148987268</v>
      </c>
      <c r="B5601" s="5" t="s">
        <v>34</v>
      </c>
      <c r="D5601" s="5" t="s">
        <v>1206</v>
      </c>
      <c r="E5601" s="5" t="s">
        <v>36645</v>
      </c>
      <c r="F5601" s="5" t="s">
        <v>212</v>
      </c>
      <c r="G5601" s="5" t="s">
        <v>36646</v>
      </c>
      <c r="H5601" s="6" t="s">
        <v>36647</v>
      </c>
      <c r="I5601" s="7" t="s">
        <v>36648</v>
      </c>
      <c r="J5601" s="8" t="str">
        <f>HYPERLINK("https://drive.google.com/file/d/142WDcW2_eSgodMRogdrKueiiDa39461_/view?usp=drivesdk","IRIANTO SERTIFIKAT BerAKHLAK")</f>
        <v>IRIANTO SERTIFIKAT BerAKHLAK</v>
      </c>
      <c r="K5601" s="5" t="s">
        <v>35335</v>
      </c>
      <c r="L5601" s="5" t="s">
        <v>36649</v>
      </c>
    </row>
    <row r="5602">
      <c r="A5602" s="4">
        <v>45534.36149576389</v>
      </c>
      <c r="B5602" s="5" t="s">
        <v>19</v>
      </c>
      <c r="C5602" s="5" t="s">
        <v>292</v>
      </c>
      <c r="E5602" s="5" t="s">
        <v>36653</v>
      </c>
      <c r="F5602" s="5" t="s">
        <v>120</v>
      </c>
      <c r="G5602" s="5" t="s">
        <v>36654</v>
      </c>
      <c r="H5602" s="6" t="s">
        <v>36655</v>
      </c>
      <c r="I5602" s="7" t="s">
        <v>36656</v>
      </c>
      <c r="J5602" s="8" t="str">
        <f>HYPERLINK("https://drive.google.com/file/d/19U2S985Kic410qcl0JCwRjo7PNSszTRi/view?usp=drivesdk","DEDAH RATNASARI S.IP., M.Si SERTIFIKAT BerAKHLAK")</f>
        <v>DEDAH RATNASARI S.IP., M.Si SERTIFIKAT BerAKHLAK</v>
      </c>
      <c r="K5602" s="5" t="s">
        <v>36183</v>
      </c>
      <c r="L5602" s="5" t="s">
        <v>36657</v>
      </c>
    </row>
    <row r="5603">
      <c r="A5603" s="4">
        <v>45534.36151891203</v>
      </c>
      <c r="B5603" s="5" t="s">
        <v>34</v>
      </c>
      <c r="D5603" s="5" t="s">
        <v>1206</v>
      </c>
      <c r="E5603" s="5" t="s">
        <v>36660</v>
      </c>
      <c r="F5603" s="5" t="s">
        <v>524</v>
      </c>
      <c r="G5603" s="5" t="s">
        <v>36661</v>
      </c>
      <c r="H5603" s="6" t="s">
        <v>36662</v>
      </c>
      <c r="I5603" s="7" t="s">
        <v>36663</v>
      </c>
      <c r="J5603" s="8" t="str">
        <f>HYPERLINK("https://drive.google.com/file/d/1IZWuGH4xKAK6JXPQ9oH_AX-X2cPZ8XNE/view?usp=drivesdk","WIWIK SUGIHARTINI, S.IP. SERTIFIKAT BerAKHLAK")</f>
        <v>WIWIK SUGIHARTINI, S.IP. SERTIFIKAT BerAKHLAK</v>
      </c>
      <c r="K5603" s="5" t="s">
        <v>36183</v>
      </c>
      <c r="L5603" s="5" t="s">
        <v>36664</v>
      </c>
    </row>
    <row r="5604">
      <c r="A5604" s="4">
        <v>45534.36152082176</v>
      </c>
      <c r="B5604" s="5" t="s">
        <v>34</v>
      </c>
      <c r="D5604" s="5" t="s">
        <v>1692</v>
      </c>
      <c r="E5604" s="5" t="s">
        <v>36667</v>
      </c>
      <c r="F5604" s="5" t="s">
        <v>108</v>
      </c>
      <c r="G5604" s="5" t="s">
        <v>36668</v>
      </c>
      <c r="H5604" s="6" t="s">
        <v>36669</v>
      </c>
      <c r="I5604" s="7" t="s">
        <v>36670</v>
      </c>
      <c r="J5604" s="8" t="str">
        <f>HYPERLINK("https://drive.google.com/file/d/1YXNKJv9G3N31n_ih2zd7S5i3o0nlFPYt/view?usp=drivesdk","LILLY SOFIAN SERTIFIKAT BerAKHLAK")</f>
        <v>LILLY SOFIAN SERTIFIKAT BerAKHLAK</v>
      </c>
      <c r="K5604" s="5" t="s">
        <v>36183</v>
      </c>
      <c r="L5604" s="5" t="s">
        <v>36671</v>
      </c>
    </row>
    <row r="5605">
      <c r="A5605" s="4">
        <v>45534.361554953706</v>
      </c>
      <c r="B5605" s="5" t="s">
        <v>34</v>
      </c>
      <c r="D5605" s="5" t="s">
        <v>7858</v>
      </c>
      <c r="E5605" s="5" t="s">
        <v>36674</v>
      </c>
      <c r="F5605" s="5" t="s">
        <v>108</v>
      </c>
      <c r="G5605" s="5" t="s">
        <v>36675</v>
      </c>
      <c r="H5605" s="6" t="s">
        <v>36676</v>
      </c>
      <c r="I5605" s="7" t="s">
        <v>36677</v>
      </c>
      <c r="J5605" s="8" t="str">
        <f>HYPERLINK("https://drive.google.com/file/d/1fDRF15zwUR8dgQ-3Sl6Wo5ShedyPEKri/view?usp=drivesdk","THOMI, S.A.P. SERTIFIKAT BerAKHLAK")</f>
        <v>THOMI, S.A.P. SERTIFIKAT BerAKHLAK</v>
      </c>
      <c r="K5605" s="5" t="s">
        <v>36183</v>
      </c>
      <c r="L5605" s="5" t="s">
        <v>36678</v>
      </c>
    </row>
    <row r="5606">
      <c r="A5606" s="4">
        <v>45534.36156217592</v>
      </c>
      <c r="B5606" s="5" t="s">
        <v>34</v>
      </c>
      <c r="D5606" s="5" t="s">
        <v>3849</v>
      </c>
      <c r="E5606" s="5" t="s">
        <v>36681</v>
      </c>
      <c r="F5606" s="5" t="s">
        <v>37</v>
      </c>
      <c r="G5606" s="5" t="s">
        <v>36682</v>
      </c>
      <c r="H5606" s="6" t="s">
        <v>36683</v>
      </c>
      <c r="I5606" s="7" t="s">
        <v>36684</v>
      </c>
      <c r="J5606" s="8" t="str">
        <f>HYPERLINK("https://drive.google.com/file/d/1RHP1AbMDNf-WhGGGWz1yCxLBQz1ENk-T/view?usp=drivesdk","RIZKAH ULMI SERTIFIKAT BerAKHLAK")</f>
        <v>RIZKAH ULMI SERTIFIKAT BerAKHLAK</v>
      </c>
      <c r="K5606" s="5" t="s">
        <v>36183</v>
      </c>
      <c r="L5606" s="5" t="s">
        <v>36685</v>
      </c>
    </row>
    <row r="5607">
      <c r="A5607" s="4">
        <v>45534.36156348379</v>
      </c>
      <c r="B5607" s="5" t="s">
        <v>34</v>
      </c>
      <c r="D5607" s="5" t="s">
        <v>12978</v>
      </c>
      <c r="E5607" s="5" t="s">
        <v>36689</v>
      </c>
      <c r="F5607" s="5" t="s">
        <v>375</v>
      </c>
      <c r="G5607" s="5" t="s">
        <v>36690</v>
      </c>
      <c r="H5607" s="6" t="s">
        <v>36691</v>
      </c>
      <c r="I5607" s="7" t="s">
        <v>36692</v>
      </c>
      <c r="J5607" s="8" t="str">
        <f>HYPERLINK("https://drive.google.com/file/d/1jhuxLkBr4eOZx0XSV0JUvOXLXGZ22kxp/view?usp=drivesdk","LILI MARYANI, S.E SERTIFIKAT BerAKHLAK")</f>
        <v>LILI MARYANI, S.E SERTIFIKAT BerAKHLAK</v>
      </c>
      <c r="K5607" s="5" t="s">
        <v>36183</v>
      </c>
      <c r="L5607" s="5" t="s">
        <v>36693</v>
      </c>
    </row>
    <row r="5608">
      <c r="A5608" s="4">
        <v>45534.36156420139</v>
      </c>
      <c r="B5608" s="5" t="s">
        <v>34</v>
      </c>
      <c r="D5608" s="5" t="s">
        <v>1206</v>
      </c>
      <c r="E5608" s="5" t="s">
        <v>17242</v>
      </c>
      <c r="F5608" s="5" t="s">
        <v>212</v>
      </c>
      <c r="G5608" s="5" t="s">
        <v>36696</v>
      </c>
      <c r="H5608" s="6" t="s">
        <v>36697</v>
      </c>
      <c r="I5608" s="7" t="s">
        <v>36698</v>
      </c>
      <c r="J5608" s="8" t="str">
        <f>HYPERLINK("https://drive.google.com/file/d/1ibGLP7fZLfrguh7XpQ49-YJPJ0Tx5hB0/view?usp=drivesdk","SUYITNO SERTIFIKAT BerAKHLAK")</f>
        <v>SUYITNO SERTIFIKAT BerAKHLAK</v>
      </c>
      <c r="K5608" s="5" t="s">
        <v>36183</v>
      </c>
      <c r="L5608" s="5" t="s">
        <v>36699</v>
      </c>
    </row>
    <row r="5609">
      <c r="A5609" s="4">
        <v>45534.36158979167</v>
      </c>
      <c r="B5609" s="5" t="s">
        <v>34</v>
      </c>
      <c r="D5609" s="5" t="s">
        <v>7858</v>
      </c>
      <c r="E5609" s="5" t="s">
        <v>36702</v>
      </c>
      <c r="F5609" s="5" t="s">
        <v>72</v>
      </c>
      <c r="G5609" s="5" t="s">
        <v>36703</v>
      </c>
      <c r="H5609" s="6" t="s">
        <v>36704</v>
      </c>
      <c r="I5609" s="7" t="s">
        <v>36705</v>
      </c>
      <c r="J5609" s="8" t="str">
        <f>HYPERLINK("https://drive.google.com/file/d/1hZMr263S5_kyfs0APT517RaKMI5e2zT3/view?usp=drivesdk","AGUSTINA HANA, S.KEP SERTIFIKAT BerAKHLAK")</f>
        <v>AGUSTINA HANA, S.KEP SERTIFIKAT BerAKHLAK</v>
      </c>
      <c r="K5609" s="5" t="s">
        <v>36587</v>
      </c>
      <c r="L5609" s="5" t="s">
        <v>36706</v>
      </c>
    </row>
    <row r="5610">
      <c r="A5610" s="4">
        <v>45534.36160109953</v>
      </c>
      <c r="B5610" s="5" t="s">
        <v>34</v>
      </c>
      <c r="D5610" s="5" t="s">
        <v>1206</v>
      </c>
      <c r="E5610" s="5" t="s">
        <v>36709</v>
      </c>
      <c r="F5610" s="5" t="s">
        <v>212</v>
      </c>
      <c r="G5610" s="5" t="s">
        <v>36710</v>
      </c>
      <c r="H5610" s="6" t="s">
        <v>36711</v>
      </c>
      <c r="I5610" s="7" t="s">
        <v>36712</v>
      </c>
      <c r="J5610" s="8" t="str">
        <f>HYPERLINK("https://drive.google.com/file/d/1YC5BJGZ4Wqj6eK9ZA_Cz9_TXsC_WyDv-/view?usp=drivesdk","MOHAMAD MUSTAJIB SERTIFIKAT BerAKHLAK")</f>
        <v>MOHAMAD MUSTAJIB SERTIFIKAT BerAKHLAK</v>
      </c>
      <c r="K5610" s="5" t="s">
        <v>36587</v>
      </c>
      <c r="L5610" s="5" t="s">
        <v>36713</v>
      </c>
    </row>
    <row r="5611">
      <c r="A5611" s="4">
        <v>45534.36160375</v>
      </c>
      <c r="B5611" s="5" t="s">
        <v>34</v>
      </c>
      <c r="D5611" s="5" t="s">
        <v>1206</v>
      </c>
      <c r="E5611" s="5" t="s">
        <v>36717</v>
      </c>
      <c r="F5611" s="5" t="s">
        <v>212</v>
      </c>
      <c r="G5611" s="5" t="s">
        <v>36718</v>
      </c>
      <c r="H5611" s="6" t="s">
        <v>36719</v>
      </c>
      <c r="I5611" s="7" t="s">
        <v>36720</v>
      </c>
      <c r="J5611" s="8" t="str">
        <f>HYPERLINK("https://drive.google.com/file/d/1yWPVbiKvPpIAUrtUp9HhpzBT5_R_KCXg/view?usp=drivesdk","AHMAD CHOJIT SERTIFIKAT BerAKHLAK")</f>
        <v>AHMAD CHOJIT SERTIFIKAT BerAKHLAK</v>
      </c>
      <c r="K5611" s="5" t="s">
        <v>36587</v>
      </c>
      <c r="L5611" s="5" t="s">
        <v>36721</v>
      </c>
    </row>
    <row r="5612">
      <c r="A5612" s="4">
        <v>45534.361604895836</v>
      </c>
      <c r="B5612" s="5" t="s">
        <v>34</v>
      </c>
      <c r="D5612" s="5" t="s">
        <v>9020</v>
      </c>
      <c r="E5612" s="5" t="s">
        <v>36724</v>
      </c>
      <c r="F5612" s="5" t="s">
        <v>108</v>
      </c>
      <c r="G5612" s="5" t="s">
        <v>36725</v>
      </c>
      <c r="H5612" s="6" t="s">
        <v>36726</v>
      </c>
      <c r="I5612" s="7" t="s">
        <v>36727</v>
      </c>
      <c r="J5612" s="8" t="str">
        <f>HYPERLINK("https://drive.google.com/file/d/1nq50Erwh6ipIs8afIouk3V09-Z0sdCha/view?usp=drivesdk","LILIF JUM SA'ADAH SERTIFIKAT BerAKHLAK")</f>
        <v>LILIF JUM SA'ADAH SERTIFIKAT BerAKHLAK</v>
      </c>
      <c r="K5612" s="5" t="s">
        <v>36587</v>
      </c>
      <c r="L5612" s="5" t="s">
        <v>36728</v>
      </c>
    </row>
    <row r="5613">
      <c r="A5613" s="4">
        <v>45534.36160633102</v>
      </c>
      <c r="B5613" s="5" t="s">
        <v>34</v>
      </c>
      <c r="D5613" s="5" t="s">
        <v>1206</v>
      </c>
      <c r="E5613" s="5" t="s">
        <v>36731</v>
      </c>
      <c r="F5613" s="5" t="s">
        <v>212</v>
      </c>
      <c r="G5613" s="5" t="s">
        <v>36732</v>
      </c>
      <c r="H5613" s="6" t="s">
        <v>36733</v>
      </c>
      <c r="K5613" s="5" t="s">
        <v>36734</v>
      </c>
    </row>
    <row r="5614">
      <c r="A5614" s="4">
        <v>45534.36161954861</v>
      </c>
      <c r="B5614" s="5" t="s">
        <v>19</v>
      </c>
      <c r="C5614" s="5" t="s">
        <v>14000</v>
      </c>
      <c r="E5614" s="5" t="s">
        <v>36737</v>
      </c>
      <c r="F5614" s="5" t="s">
        <v>375</v>
      </c>
      <c r="G5614" s="5" t="s">
        <v>36738</v>
      </c>
      <c r="H5614" s="6" t="s">
        <v>36739</v>
      </c>
      <c r="K5614" s="5" t="s">
        <v>36734</v>
      </c>
    </row>
    <row r="5615">
      <c r="A5615" s="4">
        <v>45534.361631631946</v>
      </c>
      <c r="B5615" s="5" t="s">
        <v>19</v>
      </c>
      <c r="C5615" s="5" t="s">
        <v>292</v>
      </c>
      <c r="E5615" s="5" t="s">
        <v>36742</v>
      </c>
      <c r="F5615" s="5" t="s">
        <v>199</v>
      </c>
      <c r="G5615" s="5" t="s">
        <v>36743</v>
      </c>
      <c r="H5615" s="6" t="s">
        <v>36744</v>
      </c>
      <c r="K5615" s="5" t="s">
        <v>36734</v>
      </c>
    </row>
    <row r="5616">
      <c r="A5616" s="4">
        <v>45534.36163373843</v>
      </c>
      <c r="B5616" s="5" t="s">
        <v>34</v>
      </c>
      <c r="D5616" s="5" t="s">
        <v>9394</v>
      </c>
      <c r="E5616" s="5" t="s">
        <v>36748</v>
      </c>
      <c r="F5616" s="5" t="s">
        <v>37</v>
      </c>
      <c r="G5616" s="5" t="s">
        <v>36749</v>
      </c>
      <c r="H5616" s="6" t="s">
        <v>36750</v>
      </c>
      <c r="K5616" s="5" t="s">
        <v>36734</v>
      </c>
    </row>
    <row r="5617">
      <c r="A5617" s="4">
        <v>45534.361639814815</v>
      </c>
      <c r="B5617" s="5" t="s">
        <v>34</v>
      </c>
      <c r="D5617" s="5" t="s">
        <v>1206</v>
      </c>
      <c r="E5617" s="5" t="s">
        <v>36753</v>
      </c>
      <c r="F5617" s="5" t="s">
        <v>212</v>
      </c>
      <c r="G5617" s="5" t="s">
        <v>36754</v>
      </c>
      <c r="H5617" s="6" t="s">
        <v>36755</v>
      </c>
      <c r="K5617" s="5" t="s">
        <v>36734</v>
      </c>
    </row>
    <row r="5618">
      <c r="A5618" s="4">
        <v>45534.36164369213</v>
      </c>
      <c r="B5618" s="5" t="s">
        <v>34</v>
      </c>
      <c r="D5618" s="5" t="s">
        <v>580</v>
      </c>
      <c r="E5618" s="5" t="s">
        <v>36758</v>
      </c>
      <c r="F5618" s="5" t="s">
        <v>108</v>
      </c>
      <c r="G5618" s="5" t="s">
        <v>36759</v>
      </c>
      <c r="H5618" s="6" t="s">
        <v>36760</v>
      </c>
      <c r="K5618" s="5" t="s">
        <v>36734</v>
      </c>
    </row>
    <row r="5619">
      <c r="A5619" s="4">
        <v>45534.36165005787</v>
      </c>
      <c r="B5619" s="5" t="s">
        <v>34</v>
      </c>
      <c r="D5619" s="5" t="s">
        <v>1692</v>
      </c>
      <c r="E5619" s="5" t="s">
        <v>36763</v>
      </c>
      <c r="F5619" s="5" t="s">
        <v>37</v>
      </c>
      <c r="G5619" s="5" t="s">
        <v>36764</v>
      </c>
      <c r="H5619" s="6" t="s">
        <v>36765</v>
      </c>
      <c r="I5619" s="7" t="s">
        <v>36766</v>
      </c>
      <c r="J5619" s="8" t="str">
        <f>HYPERLINK("https://drive.google.com/file/d/1cRwtAcdTCfDn-I_su7i-dVaTlzI6A8Xm/view?usp=drivesdk","PHILIPUS PAYUNG LANGI,A.MD SERTIFIKAT BerAKHLAK")</f>
        <v>PHILIPUS PAYUNG LANGI,A.MD SERTIFIKAT BerAKHLAK</v>
      </c>
      <c r="K5619" s="5" t="s">
        <v>36183</v>
      </c>
      <c r="L5619" s="5" t="s">
        <v>36767</v>
      </c>
    </row>
    <row r="5620">
      <c r="A5620" s="4">
        <v>45534.36165011574</v>
      </c>
      <c r="B5620" s="5" t="s">
        <v>34</v>
      </c>
      <c r="D5620" s="5" t="s">
        <v>4775</v>
      </c>
      <c r="E5620" s="5" t="s">
        <v>36770</v>
      </c>
      <c r="F5620" s="5" t="s">
        <v>72</v>
      </c>
      <c r="G5620" s="5" t="s">
        <v>36771</v>
      </c>
      <c r="H5620" s="6" t="s">
        <v>36772</v>
      </c>
      <c r="I5620" s="7" t="s">
        <v>36773</v>
      </c>
      <c r="J5620" s="8" t="str">
        <f>HYPERLINK("https://drive.google.com/file/d/1eFsZ_BktM9eR0xZTCbrY4Qw7ZawDNfpa/view?usp=drivesdk","MASKURI, S.Kep. SERTIFIKAT BerAKHLAK")</f>
        <v>MASKURI, S.Kep. SERTIFIKAT BerAKHLAK</v>
      </c>
      <c r="K5620" s="5" t="s">
        <v>36183</v>
      </c>
      <c r="L5620" s="5" t="s">
        <v>36774</v>
      </c>
    </row>
    <row r="5621">
      <c r="A5621" s="4">
        <v>45534.361683483796</v>
      </c>
      <c r="B5621" s="5" t="s">
        <v>34</v>
      </c>
      <c r="D5621" s="5" t="s">
        <v>11527</v>
      </c>
      <c r="E5621" s="5" t="s">
        <v>36777</v>
      </c>
      <c r="F5621" s="5" t="s">
        <v>37</v>
      </c>
      <c r="G5621" s="5" t="s">
        <v>36778</v>
      </c>
      <c r="H5621" s="6" t="s">
        <v>36779</v>
      </c>
      <c r="I5621" s="7" t="s">
        <v>36780</v>
      </c>
      <c r="J5621" s="8" t="str">
        <f>HYPERLINK("https://drive.google.com/file/d/1mT5d9gu2vFrUxg9gMxdIRwA_mWJMmgYX/view?usp=drivesdk","AMSYE MULDER SERTIFIKAT BerAKHLAK")</f>
        <v>AMSYE MULDER SERTIFIKAT BerAKHLAK</v>
      </c>
      <c r="K5621" s="5" t="s">
        <v>36183</v>
      </c>
      <c r="L5621" s="5" t="s">
        <v>36781</v>
      </c>
    </row>
    <row r="5622">
      <c r="A5622" s="4">
        <v>45534.36168454861</v>
      </c>
      <c r="B5622" s="5" t="s">
        <v>34</v>
      </c>
      <c r="D5622" s="5" t="s">
        <v>4775</v>
      </c>
      <c r="E5622" s="5" t="s">
        <v>36785</v>
      </c>
      <c r="F5622" s="5" t="s">
        <v>328</v>
      </c>
      <c r="G5622" s="5" t="s">
        <v>36786</v>
      </c>
      <c r="H5622" s="6" t="s">
        <v>36787</v>
      </c>
      <c r="K5622" s="5" t="s">
        <v>36788</v>
      </c>
    </row>
    <row r="5623">
      <c r="A5623" s="4">
        <v>45534.36169160879</v>
      </c>
      <c r="B5623" s="5" t="s">
        <v>34</v>
      </c>
      <c r="D5623" s="5" t="s">
        <v>4775</v>
      </c>
      <c r="E5623" s="5" t="s">
        <v>36791</v>
      </c>
      <c r="F5623" s="5" t="s">
        <v>715</v>
      </c>
      <c r="G5623" s="5" t="s">
        <v>36792</v>
      </c>
      <c r="H5623" s="6" t="s">
        <v>36793</v>
      </c>
      <c r="K5623" s="5" t="s">
        <v>36788</v>
      </c>
    </row>
    <row r="5624">
      <c r="A5624" s="4">
        <v>45534.36171091435</v>
      </c>
      <c r="B5624" s="5" t="s">
        <v>34</v>
      </c>
      <c r="D5624" s="5" t="s">
        <v>2903</v>
      </c>
      <c r="E5624" s="5" t="s">
        <v>36796</v>
      </c>
      <c r="F5624" s="5" t="s">
        <v>524</v>
      </c>
      <c r="G5624" s="5" t="s">
        <v>36797</v>
      </c>
      <c r="H5624" s="6" t="s">
        <v>36798</v>
      </c>
      <c r="K5624" s="5" t="s">
        <v>36788</v>
      </c>
    </row>
    <row r="5625">
      <c r="A5625" s="4">
        <v>45534.36173204861</v>
      </c>
      <c r="B5625" s="5" t="s">
        <v>34</v>
      </c>
      <c r="D5625" s="5" t="s">
        <v>1206</v>
      </c>
      <c r="E5625" s="5" t="s">
        <v>36801</v>
      </c>
      <c r="F5625" s="5" t="s">
        <v>375</v>
      </c>
      <c r="G5625" s="5" t="s">
        <v>36802</v>
      </c>
      <c r="H5625" s="6" t="s">
        <v>36803</v>
      </c>
      <c r="K5625" s="5" t="s">
        <v>36788</v>
      </c>
    </row>
    <row r="5626">
      <c r="A5626" s="4">
        <v>45534.36175001157</v>
      </c>
      <c r="B5626" s="5" t="s">
        <v>34</v>
      </c>
      <c r="D5626" s="5" t="s">
        <v>14313</v>
      </c>
      <c r="E5626" s="5" t="s">
        <v>36806</v>
      </c>
      <c r="F5626" s="5" t="s">
        <v>108</v>
      </c>
      <c r="G5626" s="5" t="s">
        <v>36807</v>
      </c>
      <c r="H5626" s="6" t="s">
        <v>36808</v>
      </c>
      <c r="I5626" s="7" t="s">
        <v>36809</v>
      </c>
      <c r="J5626" s="8" t="str">
        <f>HYPERLINK("https://drive.google.com/file/d/1LZY4raZrybi9CLTpg9THhJIuNhfQn00H/view?usp=drivesdk","NURLIYAH SERTIFIKAT BerAKHLAK")</f>
        <v>NURLIYAH SERTIFIKAT BerAKHLAK</v>
      </c>
      <c r="K5626" s="5" t="s">
        <v>36183</v>
      </c>
      <c r="L5626" s="5" t="s">
        <v>36810</v>
      </c>
    </row>
    <row r="5627">
      <c r="A5627" s="4">
        <v>45534.36176836806</v>
      </c>
      <c r="B5627" s="5" t="s">
        <v>34</v>
      </c>
      <c r="D5627" s="5" t="s">
        <v>1206</v>
      </c>
      <c r="E5627" s="5" t="s">
        <v>36814</v>
      </c>
      <c r="F5627" s="5" t="s">
        <v>524</v>
      </c>
      <c r="G5627" s="5" t="s">
        <v>36815</v>
      </c>
      <c r="H5627" s="6" t="s">
        <v>36816</v>
      </c>
      <c r="I5627" s="7" t="s">
        <v>36817</v>
      </c>
      <c r="J5627" s="8" t="str">
        <f>HYPERLINK("https://drive.google.com/file/d/1T3z-JjTu6P0QjSNedrahp0Xz3dvSSb3E/view?usp=drivesdk","PUJI RAHAYU SERTIFIKAT BerAKHLAK")</f>
        <v>PUJI RAHAYU SERTIFIKAT BerAKHLAK</v>
      </c>
      <c r="K5627" s="5" t="s">
        <v>36183</v>
      </c>
      <c r="L5627" s="5" t="s">
        <v>36818</v>
      </c>
    </row>
    <row r="5628">
      <c r="A5628" s="4">
        <v>45534.361777453705</v>
      </c>
      <c r="B5628" s="5" t="s">
        <v>34</v>
      </c>
      <c r="D5628" s="5" t="s">
        <v>14313</v>
      </c>
      <c r="E5628" s="5" t="s">
        <v>36821</v>
      </c>
      <c r="F5628" s="5" t="s">
        <v>212</v>
      </c>
      <c r="G5628" s="5" t="s">
        <v>36822</v>
      </c>
      <c r="H5628" s="6" t="s">
        <v>36823</v>
      </c>
      <c r="I5628" s="7" t="s">
        <v>36824</v>
      </c>
      <c r="J5628" s="8" t="str">
        <f>HYPERLINK("https://drive.google.com/file/d/1_Sfiv3xB9jAcqczfAE-bRUatSrQ_CzVx/view?usp=drivesdk","YANWAR KARNADI SERTIFIKAT BerAKHLAK")</f>
        <v>YANWAR KARNADI SERTIFIKAT BerAKHLAK</v>
      </c>
      <c r="K5628" s="5" t="s">
        <v>36183</v>
      </c>
      <c r="L5628" s="5" t="s">
        <v>36825</v>
      </c>
    </row>
    <row r="5629">
      <c r="A5629" s="4">
        <v>45534.36178422454</v>
      </c>
      <c r="B5629" s="5" t="s">
        <v>34</v>
      </c>
      <c r="D5629" s="5" t="s">
        <v>522</v>
      </c>
      <c r="E5629" s="5" t="s">
        <v>36828</v>
      </c>
      <c r="F5629" s="5" t="s">
        <v>108</v>
      </c>
      <c r="G5629" s="5" t="s">
        <v>36829</v>
      </c>
      <c r="H5629" s="6" t="s">
        <v>36830</v>
      </c>
      <c r="I5629" s="7" t="s">
        <v>36831</v>
      </c>
      <c r="J5629" s="8" t="str">
        <f>HYPERLINK("https://drive.google.com/file/d/1aAVigmtA5x-69nzRGZkjluOihjsDggiK/view?usp=drivesdk","WIS SAYEKTI SERTIFIKAT BerAKHLAK")</f>
        <v>WIS SAYEKTI SERTIFIKAT BerAKHLAK</v>
      </c>
      <c r="K5629" s="5" t="s">
        <v>36183</v>
      </c>
      <c r="L5629" s="5" t="s">
        <v>36832</v>
      </c>
    </row>
    <row r="5630">
      <c r="A5630" s="4">
        <v>45534.36178559028</v>
      </c>
      <c r="B5630" s="5" t="s">
        <v>34</v>
      </c>
      <c r="D5630" s="5" t="s">
        <v>1768</v>
      </c>
      <c r="E5630" s="5" t="s">
        <v>36835</v>
      </c>
      <c r="F5630" s="5" t="s">
        <v>212</v>
      </c>
      <c r="G5630" s="5" t="s">
        <v>36836</v>
      </c>
      <c r="H5630" s="6" t="s">
        <v>36837</v>
      </c>
      <c r="I5630" s="7" t="s">
        <v>36838</v>
      </c>
      <c r="J5630" s="8" t="str">
        <f>HYPERLINK("https://drive.google.com/file/d/1Tec-v4piq70CsEzTG3vdt792uEJIsr65/view?usp=drivesdk","DWI MAURINI  SERTIFIKAT BerAKHLAK")</f>
        <v>DWI MAURINI  SERTIFIKAT BerAKHLAK</v>
      </c>
      <c r="K5630" s="5" t="s">
        <v>36183</v>
      </c>
      <c r="L5630" s="5" t="s">
        <v>36839</v>
      </c>
    </row>
    <row r="5631">
      <c r="A5631" s="4">
        <v>45534.36180780093</v>
      </c>
      <c r="B5631" s="5" t="s">
        <v>34</v>
      </c>
      <c r="D5631" s="5" t="s">
        <v>9020</v>
      </c>
      <c r="E5631" s="5" t="s">
        <v>36843</v>
      </c>
      <c r="F5631" s="5" t="s">
        <v>524</v>
      </c>
      <c r="G5631" s="5" t="s">
        <v>36844</v>
      </c>
      <c r="H5631" s="6" t="s">
        <v>36845</v>
      </c>
      <c r="I5631" s="7" t="s">
        <v>36846</v>
      </c>
      <c r="J5631" s="8" t="str">
        <f>HYPERLINK("https://drive.google.com/file/d/15rFKNXrw1lW2-es0vHUfa_Qq3r2PVhMw/view?usp=drivesdk","MARIA, S.M. SERTIFIKAT BerAKHLAK")</f>
        <v>MARIA, S.M. SERTIFIKAT BerAKHLAK</v>
      </c>
      <c r="K5631" s="5" t="s">
        <v>36183</v>
      </c>
      <c r="L5631" s="5" t="s">
        <v>36847</v>
      </c>
    </row>
    <row r="5632">
      <c r="A5632" s="4">
        <v>45534.361808761576</v>
      </c>
      <c r="B5632" s="5" t="s">
        <v>34</v>
      </c>
      <c r="D5632" s="5" t="s">
        <v>4775</v>
      </c>
      <c r="E5632" s="5" t="s">
        <v>36850</v>
      </c>
      <c r="F5632" s="5" t="s">
        <v>37</v>
      </c>
      <c r="G5632" s="5" t="s">
        <v>36851</v>
      </c>
      <c r="H5632" s="6" t="s">
        <v>36852</v>
      </c>
      <c r="I5632" s="7" t="s">
        <v>36853</v>
      </c>
      <c r="J5632" s="8" t="str">
        <f>HYPERLINK("https://drive.google.com/file/d/1qqDnp9KLfO6RZlpc-S9SxZptHuv9BHgt/view?usp=drivesdk","ABDUR ROUF  SERTIFIKAT BerAKHLAK")</f>
        <v>ABDUR ROUF  SERTIFIKAT BerAKHLAK</v>
      </c>
      <c r="K5632" s="5" t="s">
        <v>36183</v>
      </c>
      <c r="L5632" s="5" t="s">
        <v>36854</v>
      </c>
    </row>
    <row r="5633">
      <c r="A5633" s="4">
        <v>45534.36181666667</v>
      </c>
      <c r="B5633" s="5" t="s">
        <v>34</v>
      </c>
      <c r="D5633" s="5" t="s">
        <v>14313</v>
      </c>
      <c r="E5633" s="5" t="s">
        <v>36857</v>
      </c>
      <c r="F5633" s="5" t="s">
        <v>524</v>
      </c>
      <c r="G5633" s="5" t="s">
        <v>36858</v>
      </c>
      <c r="H5633" s="6" t="s">
        <v>36859</v>
      </c>
      <c r="K5633" s="5" t="s">
        <v>36860</v>
      </c>
    </row>
    <row r="5634">
      <c r="A5634" s="4">
        <v>45534.36182394676</v>
      </c>
      <c r="B5634" s="5" t="s">
        <v>34</v>
      </c>
      <c r="D5634" s="5" t="s">
        <v>35</v>
      </c>
      <c r="E5634" s="5" t="s">
        <v>36863</v>
      </c>
      <c r="F5634" s="5" t="s">
        <v>524</v>
      </c>
      <c r="G5634" s="5" t="s">
        <v>36864</v>
      </c>
      <c r="H5634" s="6" t="s">
        <v>36865</v>
      </c>
      <c r="K5634" s="5" t="s">
        <v>36860</v>
      </c>
    </row>
    <row r="5635">
      <c r="A5635" s="4">
        <v>45534.36182572917</v>
      </c>
      <c r="B5635" s="5" t="s">
        <v>34</v>
      </c>
      <c r="D5635" s="5" t="s">
        <v>362</v>
      </c>
      <c r="E5635" s="5" t="s">
        <v>36869</v>
      </c>
      <c r="F5635" s="5" t="s">
        <v>108</v>
      </c>
      <c r="G5635" s="5" t="s">
        <v>36870</v>
      </c>
      <c r="H5635" s="6" t="s">
        <v>36871</v>
      </c>
      <c r="K5635" s="5" t="s">
        <v>36860</v>
      </c>
    </row>
    <row r="5636">
      <c r="A5636" s="4">
        <v>45534.36183163195</v>
      </c>
      <c r="B5636" s="5" t="s">
        <v>34</v>
      </c>
      <c r="D5636" s="5" t="s">
        <v>10444</v>
      </c>
      <c r="E5636" s="5" t="s">
        <v>36874</v>
      </c>
      <c r="F5636" s="5" t="s">
        <v>524</v>
      </c>
      <c r="G5636" s="5" t="s">
        <v>36875</v>
      </c>
      <c r="H5636" s="6" t="s">
        <v>36876</v>
      </c>
      <c r="K5636" s="5" t="s">
        <v>36860</v>
      </c>
    </row>
    <row r="5637">
      <c r="A5637" s="4">
        <v>45534.36183164352</v>
      </c>
      <c r="B5637" s="5" t="s">
        <v>34</v>
      </c>
      <c r="D5637" s="5" t="s">
        <v>14313</v>
      </c>
      <c r="E5637" s="5" t="s">
        <v>36879</v>
      </c>
      <c r="F5637" s="5" t="s">
        <v>375</v>
      </c>
      <c r="G5637" s="5" t="s">
        <v>36880</v>
      </c>
      <c r="H5637" s="6" t="s">
        <v>36881</v>
      </c>
      <c r="I5637" s="7" t="s">
        <v>36882</v>
      </c>
      <c r="J5637" s="8" t="str">
        <f>HYPERLINK("https://drive.google.com/file/d/1BPzaPrLE9G8Enwdi1KDUySwLluKXOkaI/view?usp=drivesdk","MUHAMMAD SYARIF, SE SERTIFIKAT BerAKHLAK")</f>
        <v>MUHAMMAD SYARIF, SE SERTIFIKAT BerAKHLAK</v>
      </c>
      <c r="K5637" s="5" t="s">
        <v>36183</v>
      </c>
      <c r="L5637" s="5" t="s">
        <v>36883</v>
      </c>
    </row>
    <row r="5638">
      <c r="A5638" s="4">
        <v>45534.36184171296</v>
      </c>
      <c r="B5638" s="5" t="s">
        <v>34</v>
      </c>
      <c r="D5638" s="5" t="s">
        <v>1206</v>
      </c>
      <c r="E5638" s="5" t="s">
        <v>36886</v>
      </c>
      <c r="F5638" s="5" t="s">
        <v>375</v>
      </c>
      <c r="G5638" s="5" t="s">
        <v>36887</v>
      </c>
      <c r="H5638" s="6" t="s">
        <v>36888</v>
      </c>
      <c r="I5638" s="7" t="s">
        <v>36889</v>
      </c>
      <c r="J5638" s="8" t="str">
        <f>HYPERLINK("https://drive.google.com/file/d/1NOsDG63xIeLu_CzDLIBJPIXesMXH0Sjy/view?usp=drivesdk","ENDAH SRI B SERTIFIKAT BerAKHLAK")</f>
        <v>ENDAH SRI B SERTIFIKAT BerAKHLAK</v>
      </c>
      <c r="K5638" s="5" t="s">
        <v>36183</v>
      </c>
      <c r="L5638" s="5" t="s">
        <v>36890</v>
      </c>
    </row>
    <row r="5639">
      <c r="A5639" s="4">
        <v>45534.36185730324</v>
      </c>
      <c r="B5639" s="5" t="s">
        <v>34</v>
      </c>
      <c r="D5639" s="5" t="s">
        <v>14313</v>
      </c>
      <c r="E5639" s="5" t="s">
        <v>36893</v>
      </c>
      <c r="F5639" s="5" t="s">
        <v>212</v>
      </c>
      <c r="G5639" s="5" t="s">
        <v>36894</v>
      </c>
      <c r="H5639" s="6" t="s">
        <v>36895</v>
      </c>
      <c r="I5639" s="7" t="s">
        <v>36896</v>
      </c>
      <c r="J5639" s="8" t="str">
        <f>HYPERLINK("https://drive.google.com/file/d/1HWF5lWqO-PS5wGlD3xBftlIBtuWtF6Pp/view?usp=drivesdk","NIRMAWATI, S.A.P SERTIFIKAT BerAKHLAK")</f>
        <v>NIRMAWATI, S.A.P SERTIFIKAT BerAKHLAK</v>
      </c>
      <c r="K5639" s="5" t="s">
        <v>36183</v>
      </c>
      <c r="L5639" s="5" t="s">
        <v>36897</v>
      </c>
    </row>
    <row r="5640">
      <c r="A5640" s="4">
        <v>45534.36186315972</v>
      </c>
      <c r="B5640" s="5" t="s">
        <v>34</v>
      </c>
      <c r="D5640" s="5" t="s">
        <v>14313</v>
      </c>
      <c r="E5640" s="5" t="s">
        <v>36901</v>
      </c>
      <c r="F5640" s="5" t="s">
        <v>524</v>
      </c>
      <c r="G5640" s="5" t="s">
        <v>36902</v>
      </c>
      <c r="H5640" s="6" t="s">
        <v>36903</v>
      </c>
      <c r="I5640" s="7" t="s">
        <v>36904</v>
      </c>
      <c r="J5640" s="8" t="str">
        <f>HYPERLINK("https://drive.google.com/file/d/1hEy9jBye_ggPjlNYN5_8VtXb43BOp6n7/view?usp=drivesdk","NURBAYA. SE SERTIFIKAT BerAKHLAK")</f>
        <v>NURBAYA. SE SERTIFIKAT BerAKHLAK</v>
      </c>
      <c r="K5640" s="5" t="s">
        <v>36587</v>
      </c>
      <c r="L5640" s="5" t="s">
        <v>36905</v>
      </c>
    </row>
    <row r="5641">
      <c r="A5641" s="4">
        <v>45534.36186934028</v>
      </c>
      <c r="B5641" s="5" t="s">
        <v>34</v>
      </c>
      <c r="D5641" s="5" t="s">
        <v>1206</v>
      </c>
      <c r="E5641" s="5" t="s">
        <v>36908</v>
      </c>
      <c r="F5641" s="5" t="s">
        <v>715</v>
      </c>
      <c r="G5641" s="5" t="s">
        <v>36909</v>
      </c>
      <c r="H5641" s="6" t="s">
        <v>36910</v>
      </c>
      <c r="K5641" s="5" t="s">
        <v>36911</v>
      </c>
    </row>
    <row r="5642">
      <c r="A5642" s="4">
        <v>45534.361873773145</v>
      </c>
      <c r="B5642" s="5" t="s">
        <v>34</v>
      </c>
      <c r="D5642" s="5" t="s">
        <v>9394</v>
      </c>
      <c r="E5642" s="5" t="s">
        <v>36914</v>
      </c>
      <c r="F5642" s="5" t="s">
        <v>72</v>
      </c>
      <c r="G5642" s="5" t="s">
        <v>36915</v>
      </c>
      <c r="H5642" s="6" t="s">
        <v>36916</v>
      </c>
      <c r="K5642" s="5" t="s">
        <v>36911</v>
      </c>
    </row>
    <row r="5643">
      <c r="A5643" s="4">
        <v>45534.361876944444</v>
      </c>
      <c r="B5643" s="5" t="s">
        <v>34</v>
      </c>
      <c r="D5643" s="5" t="s">
        <v>1206</v>
      </c>
      <c r="E5643" s="5" t="s">
        <v>24314</v>
      </c>
      <c r="F5643" s="5" t="s">
        <v>328</v>
      </c>
      <c r="G5643" s="5" t="s">
        <v>36919</v>
      </c>
      <c r="H5643" s="6" t="s">
        <v>36920</v>
      </c>
      <c r="K5643" s="5" t="s">
        <v>36911</v>
      </c>
    </row>
    <row r="5644">
      <c r="A5644" s="4">
        <v>45534.3618796875</v>
      </c>
      <c r="B5644" s="5" t="s">
        <v>34</v>
      </c>
      <c r="D5644" s="5" t="s">
        <v>1206</v>
      </c>
      <c r="E5644" s="5" t="s">
        <v>36923</v>
      </c>
      <c r="F5644" s="5" t="s">
        <v>37</v>
      </c>
      <c r="G5644" s="5" t="s">
        <v>36924</v>
      </c>
      <c r="H5644" s="6" t="s">
        <v>36925</v>
      </c>
      <c r="K5644" s="5" t="s">
        <v>36911</v>
      </c>
    </row>
    <row r="5645">
      <c r="A5645" s="4">
        <v>45534.361892870365</v>
      </c>
      <c r="B5645" s="5" t="s">
        <v>34</v>
      </c>
      <c r="D5645" s="5" t="s">
        <v>1206</v>
      </c>
      <c r="E5645" s="5" t="s">
        <v>31324</v>
      </c>
      <c r="F5645" s="5" t="s">
        <v>212</v>
      </c>
      <c r="G5645" s="5" t="s">
        <v>36929</v>
      </c>
      <c r="H5645" s="6" t="s">
        <v>36930</v>
      </c>
      <c r="I5645" s="7" t="s">
        <v>36931</v>
      </c>
      <c r="J5645" s="8" t="str">
        <f>HYPERLINK("https://drive.google.com/file/d/18aom2I2sXjC0SVLyklJg3F6wIf8dlViP/view?usp=drivesdk","ARIFIN SERTIFIKAT BerAKHLAK")</f>
        <v>ARIFIN SERTIFIKAT BerAKHLAK</v>
      </c>
      <c r="K5645" s="5" t="s">
        <v>36183</v>
      </c>
      <c r="L5645" s="5" t="s">
        <v>36932</v>
      </c>
    </row>
    <row r="5646">
      <c r="A5646" s="4">
        <v>45534.36189571759</v>
      </c>
      <c r="B5646" s="5" t="s">
        <v>34</v>
      </c>
      <c r="D5646" s="5" t="s">
        <v>10444</v>
      </c>
      <c r="E5646" s="5" t="s">
        <v>36935</v>
      </c>
      <c r="F5646" s="5" t="s">
        <v>72</v>
      </c>
      <c r="G5646" s="5" t="s">
        <v>36936</v>
      </c>
      <c r="H5646" s="6" t="s">
        <v>36937</v>
      </c>
      <c r="K5646" s="5" t="s">
        <v>36938</v>
      </c>
    </row>
    <row r="5647">
      <c r="A5647" s="4">
        <v>45534.36189825232</v>
      </c>
      <c r="B5647" s="5" t="s">
        <v>34</v>
      </c>
      <c r="D5647" s="5" t="s">
        <v>14424</v>
      </c>
      <c r="E5647" s="5" t="s">
        <v>36941</v>
      </c>
      <c r="F5647" s="5" t="s">
        <v>375</v>
      </c>
      <c r="G5647" s="5" t="s">
        <v>36942</v>
      </c>
      <c r="H5647" s="6" t="s">
        <v>36943</v>
      </c>
      <c r="K5647" s="5" t="s">
        <v>36938</v>
      </c>
    </row>
    <row r="5648">
      <c r="A5648" s="4">
        <v>45534.3619008449</v>
      </c>
      <c r="B5648" s="5" t="s">
        <v>34</v>
      </c>
      <c r="D5648" s="5" t="s">
        <v>1558</v>
      </c>
      <c r="E5648" s="5" t="s">
        <v>36946</v>
      </c>
      <c r="F5648" s="5" t="s">
        <v>108</v>
      </c>
      <c r="G5648" s="5" t="s">
        <v>36947</v>
      </c>
      <c r="H5648" s="6" t="s">
        <v>36948</v>
      </c>
      <c r="K5648" s="5" t="s">
        <v>36938</v>
      </c>
    </row>
    <row r="5649">
      <c r="A5649" s="4">
        <v>45534.36190164352</v>
      </c>
      <c r="B5649" s="5" t="s">
        <v>34</v>
      </c>
      <c r="D5649" s="5" t="s">
        <v>15401</v>
      </c>
      <c r="E5649" s="5" t="s">
        <v>36951</v>
      </c>
      <c r="F5649" s="5" t="s">
        <v>212</v>
      </c>
      <c r="G5649" s="5" t="s">
        <v>36952</v>
      </c>
      <c r="H5649" s="6" t="s">
        <v>36953</v>
      </c>
      <c r="K5649" s="5" t="s">
        <v>36938</v>
      </c>
    </row>
    <row r="5650">
      <c r="A5650" s="4">
        <v>45534.36191122685</v>
      </c>
      <c r="B5650" s="5" t="s">
        <v>34</v>
      </c>
      <c r="D5650" s="5" t="s">
        <v>1206</v>
      </c>
      <c r="E5650" s="5" t="s">
        <v>36957</v>
      </c>
      <c r="F5650" s="5" t="s">
        <v>212</v>
      </c>
      <c r="G5650" s="5" t="s">
        <v>36958</v>
      </c>
      <c r="H5650" s="6" t="s">
        <v>36959</v>
      </c>
      <c r="K5650" s="5" t="s">
        <v>36938</v>
      </c>
    </row>
    <row r="5651">
      <c r="A5651" s="4">
        <v>45534.36191245371</v>
      </c>
      <c r="B5651" s="5" t="s">
        <v>34</v>
      </c>
      <c r="D5651" s="5" t="s">
        <v>4775</v>
      </c>
      <c r="E5651" s="5" t="s">
        <v>16453</v>
      </c>
      <c r="F5651" s="5" t="s">
        <v>37</v>
      </c>
      <c r="G5651" s="5" t="s">
        <v>36962</v>
      </c>
      <c r="H5651" s="6" t="s">
        <v>36963</v>
      </c>
      <c r="K5651" s="5" t="s">
        <v>36938</v>
      </c>
    </row>
    <row r="5652">
      <c r="A5652" s="4">
        <v>45534.36191515047</v>
      </c>
      <c r="B5652" s="5" t="s">
        <v>34</v>
      </c>
      <c r="D5652" s="5" t="s">
        <v>15401</v>
      </c>
      <c r="E5652" s="5" t="s">
        <v>36966</v>
      </c>
      <c r="F5652" s="5" t="s">
        <v>108</v>
      </c>
      <c r="G5652" s="5" t="s">
        <v>36967</v>
      </c>
      <c r="H5652" s="6" t="s">
        <v>36968</v>
      </c>
      <c r="K5652" s="5" t="s">
        <v>36938</v>
      </c>
    </row>
    <row r="5653">
      <c r="A5653" s="4">
        <v>45534.36191797454</v>
      </c>
      <c r="B5653" s="5" t="s">
        <v>34</v>
      </c>
      <c r="D5653" s="5" t="s">
        <v>14313</v>
      </c>
      <c r="E5653" s="5" t="s">
        <v>36972</v>
      </c>
      <c r="F5653" s="5" t="s">
        <v>37</v>
      </c>
      <c r="G5653" s="5" t="s">
        <v>36973</v>
      </c>
      <c r="H5653" s="6" t="s">
        <v>36974</v>
      </c>
      <c r="K5653" s="5" t="s">
        <v>36938</v>
      </c>
    </row>
    <row r="5654">
      <c r="A5654" s="4">
        <v>45534.36192070602</v>
      </c>
      <c r="B5654" s="5" t="s">
        <v>34</v>
      </c>
      <c r="D5654" s="5" t="s">
        <v>4775</v>
      </c>
      <c r="E5654" s="5" t="s">
        <v>36977</v>
      </c>
      <c r="F5654" s="5" t="s">
        <v>37</v>
      </c>
      <c r="G5654" s="5" t="s">
        <v>36978</v>
      </c>
      <c r="H5654" s="6" t="s">
        <v>36979</v>
      </c>
      <c r="K5654" s="5" t="s">
        <v>36980</v>
      </c>
    </row>
    <row r="5655">
      <c r="A5655" s="4">
        <v>45534.36192934027</v>
      </c>
      <c r="B5655" s="5" t="s">
        <v>34</v>
      </c>
      <c r="D5655" s="5" t="s">
        <v>1206</v>
      </c>
      <c r="E5655" s="5" t="s">
        <v>36983</v>
      </c>
      <c r="F5655" s="5" t="s">
        <v>37</v>
      </c>
      <c r="G5655" s="5" t="s">
        <v>36984</v>
      </c>
      <c r="H5655" s="6" t="s">
        <v>36985</v>
      </c>
      <c r="K5655" s="5" t="s">
        <v>36980</v>
      </c>
    </row>
    <row r="5656">
      <c r="A5656" s="4">
        <v>45534.36194105324</v>
      </c>
      <c r="B5656" s="5" t="s">
        <v>34</v>
      </c>
      <c r="D5656" s="5" t="s">
        <v>35</v>
      </c>
      <c r="E5656" s="5" t="s">
        <v>36988</v>
      </c>
      <c r="F5656" s="5" t="s">
        <v>37</v>
      </c>
      <c r="G5656" s="5" t="s">
        <v>36989</v>
      </c>
      <c r="H5656" s="6" t="s">
        <v>36990</v>
      </c>
      <c r="K5656" s="5" t="s">
        <v>36980</v>
      </c>
    </row>
    <row r="5657">
      <c r="A5657" s="4">
        <v>45534.361950624996</v>
      </c>
      <c r="B5657" s="5" t="s">
        <v>34</v>
      </c>
      <c r="D5657" s="5" t="s">
        <v>35</v>
      </c>
      <c r="E5657" s="5" t="s">
        <v>36994</v>
      </c>
      <c r="F5657" s="5" t="s">
        <v>524</v>
      </c>
      <c r="G5657" s="5" t="s">
        <v>36995</v>
      </c>
      <c r="H5657" s="6" t="s">
        <v>36996</v>
      </c>
      <c r="K5657" s="5" t="s">
        <v>36980</v>
      </c>
    </row>
    <row r="5658">
      <c r="A5658" s="4">
        <v>45534.36195358796</v>
      </c>
      <c r="B5658" s="5" t="s">
        <v>34</v>
      </c>
      <c r="D5658" s="5" t="s">
        <v>2903</v>
      </c>
      <c r="E5658" s="5" t="s">
        <v>36999</v>
      </c>
      <c r="F5658" s="5" t="s">
        <v>524</v>
      </c>
      <c r="G5658" s="5" t="s">
        <v>37000</v>
      </c>
      <c r="H5658" s="6" t="s">
        <v>37001</v>
      </c>
      <c r="K5658" s="5" t="s">
        <v>36980</v>
      </c>
    </row>
    <row r="5659">
      <c r="A5659" s="4">
        <v>45534.36195983796</v>
      </c>
      <c r="B5659" s="5" t="s">
        <v>34</v>
      </c>
      <c r="D5659" s="5" t="s">
        <v>35</v>
      </c>
      <c r="E5659" s="5" t="s">
        <v>37004</v>
      </c>
      <c r="F5659" s="5" t="s">
        <v>37</v>
      </c>
      <c r="G5659" s="5" t="s">
        <v>37005</v>
      </c>
      <c r="H5659" s="6" t="s">
        <v>37006</v>
      </c>
      <c r="K5659" s="5" t="s">
        <v>36980</v>
      </c>
    </row>
    <row r="5660">
      <c r="A5660" s="4">
        <v>45534.36196171296</v>
      </c>
      <c r="B5660" s="5" t="s">
        <v>34</v>
      </c>
      <c r="D5660" s="5" t="s">
        <v>1558</v>
      </c>
      <c r="E5660" s="5" t="s">
        <v>37009</v>
      </c>
      <c r="F5660" s="5" t="s">
        <v>524</v>
      </c>
      <c r="G5660" s="5" t="s">
        <v>37010</v>
      </c>
      <c r="H5660" s="6" t="s">
        <v>37011</v>
      </c>
      <c r="K5660" s="5" t="s">
        <v>36980</v>
      </c>
    </row>
    <row r="5661">
      <c r="A5661" s="4">
        <v>45534.36196458334</v>
      </c>
      <c r="B5661" s="5" t="s">
        <v>34</v>
      </c>
      <c r="D5661" s="5" t="s">
        <v>6232</v>
      </c>
      <c r="E5661" s="5" t="s">
        <v>17930</v>
      </c>
      <c r="F5661" s="5" t="s">
        <v>108</v>
      </c>
      <c r="G5661" s="5" t="s">
        <v>17931</v>
      </c>
      <c r="H5661" s="6" t="s">
        <v>37014</v>
      </c>
      <c r="K5661" s="5" t="s">
        <v>36980</v>
      </c>
    </row>
    <row r="5662">
      <c r="A5662" s="4">
        <v>45534.36197738426</v>
      </c>
      <c r="B5662" s="5" t="s">
        <v>34</v>
      </c>
      <c r="D5662" s="5" t="s">
        <v>1206</v>
      </c>
      <c r="E5662" s="5" t="s">
        <v>37018</v>
      </c>
      <c r="F5662" s="5" t="s">
        <v>524</v>
      </c>
      <c r="G5662" s="5" t="s">
        <v>37019</v>
      </c>
      <c r="H5662" s="6" t="s">
        <v>37020</v>
      </c>
      <c r="K5662" s="5" t="s">
        <v>36980</v>
      </c>
    </row>
    <row r="5663">
      <c r="A5663" s="4">
        <v>45534.36198300926</v>
      </c>
      <c r="B5663" s="5" t="s">
        <v>34</v>
      </c>
      <c r="D5663" s="5" t="s">
        <v>14313</v>
      </c>
      <c r="E5663" s="5" t="s">
        <v>37023</v>
      </c>
      <c r="F5663" s="5" t="s">
        <v>212</v>
      </c>
      <c r="G5663" s="5" t="s">
        <v>37024</v>
      </c>
      <c r="H5663" s="6" t="s">
        <v>37025</v>
      </c>
      <c r="K5663" s="5" t="s">
        <v>36980</v>
      </c>
    </row>
    <row r="5664">
      <c r="A5664" s="4">
        <v>45534.36198607639</v>
      </c>
      <c r="B5664" s="5" t="s">
        <v>34</v>
      </c>
      <c r="D5664" s="5" t="s">
        <v>4775</v>
      </c>
      <c r="E5664" s="5" t="s">
        <v>37028</v>
      </c>
      <c r="F5664" s="5" t="s">
        <v>375</v>
      </c>
      <c r="G5664" s="5" t="s">
        <v>37029</v>
      </c>
      <c r="H5664" s="6" t="s">
        <v>37030</v>
      </c>
      <c r="K5664" s="5" t="s">
        <v>36980</v>
      </c>
    </row>
    <row r="5665">
      <c r="A5665" s="4">
        <v>45534.36198971065</v>
      </c>
      <c r="B5665" s="5" t="s">
        <v>34</v>
      </c>
      <c r="D5665" s="5" t="s">
        <v>12978</v>
      </c>
      <c r="E5665" s="5" t="s">
        <v>37033</v>
      </c>
      <c r="F5665" s="5" t="s">
        <v>37</v>
      </c>
      <c r="G5665" s="5" t="s">
        <v>37034</v>
      </c>
      <c r="H5665" s="6" t="s">
        <v>37035</v>
      </c>
      <c r="K5665" s="5" t="s">
        <v>36980</v>
      </c>
    </row>
    <row r="5666">
      <c r="A5666" s="4">
        <v>45534.361990000005</v>
      </c>
      <c r="B5666" s="5" t="s">
        <v>34</v>
      </c>
      <c r="D5666" s="5" t="s">
        <v>1206</v>
      </c>
      <c r="E5666" s="5" t="s">
        <v>37039</v>
      </c>
      <c r="F5666" s="5" t="s">
        <v>72</v>
      </c>
      <c r="G5666" s="5" t="s">
        <v>37040</v>
      </c>
      <c r="H5666" s="6" t="s">
        <v>37041</v>
      </c>
      <c r="K5666" s="5" t="s">
        <v>36980</v>
      </c>
    </row>
    <row r="5667">
      <c r="A5667" s="4">
        <v>45534.36199701389</v>
      </c>
      <c r="B5667" s="5" t="s">
        <v>34</v>
      </c>
      <c r="D5667" s="5" t="s">
        <v>1206</v>
      </c>
      <c r="E5667" s="5" t="s">
        <v>37044</v>
      </c>
      <c r="F5667" s="5" t="s">
        <v>524</v>
      </c>
      <c r="G5667" s="5" t="s">
        <v>37045</v>
      </c>
      <c r="H5667" s="6" t="s">
        <v>37046</v>
      </c>
      <c r="K5667" s="5" t="s">
        <v>36980</v>
      </c>
    </row>
    <row r="5668">
      <c r="A5668" s="4">
        <v>45534.361997685184</v>
      </c>
      <c r="B5668" s="5" t="s">
        <v>34</v>
      </c>
      <c r="D5668" s="5" t="s">
        <v>1206</v>
      </c>
      <c r="E5668" s="5" t="s">
        <v>37049</v>
      </c>
      <c r="F5668" s="5" t="s">
        <v>212</v>
      </c>
      <c r="G5668" s="5" t="s">
        <v>37050</v>
      </c>
      <c r="H5668" s="6" t="s">
        <v>37051</v>
      </c>
      <c r="K5668" s="5" t="s">
        <v>36980</v>
      </c>
    </row>
    <row r="5669">
      <c r="A5669" s="4">
        <v>45534.362001608795</v>
      </c>
      <c r="B5669" s="5" t="s">
        <v>34</v>
      </c>
      <c r="D5669" s="5" t="s">
        <v>1206</v>
      </c>
      <c r="E5669" s="5" t="s">
        <v>37054</v>
      </c>
      <c r="F5669" s="5" t="s">
        <v>199</v>
      </c>
      <c r="G5669" s="5" t="s">
        <v>37055</v>
      </c>
      <c r="H5669" s="6" t="s">
        <v>37056</v>
      </c>
      <c r="K5669" s="5" t="s">
        <v>36980</v>
      </c>
    </row>
    <row r="5670">
      <c r="A5670" s="4">
        <v>45534.36201070602</v>
      </c>
      <c r="B5670" s="5" t="s">
        <v>34</v>
      </c>
      <c r="D5670" s="5" t="s">
        <v>1558</v>
      </c>
      <c r="E5670" s="5" t="s">
        <v>37059</v>
      </c>
      <c r="F5670" s="5" t="s">
        <v>212</v>
      </c>
      <c r="G5670" s="5" t="s">
        <v>37060</v>
      </c>
      <c r="H5670" s="6" t="s">
        <v>37061</v>
      </c>
      <c r="K5670" s="5" t="s">
        <v>36980</v>
      </c>
    </row>
    <row r="5671">
      <c r="A5671" s="4">
        <v>45534.36201384259</v>
      </c>
      <c r="B5671" s="5" t="s">
        <v>34</v>
      </c>
      <c r="D5671" s="5" t="s">
        <v>35</v>
      </c>
      <c r="E5671" s="5" t="s">
        <v>37064</v>
      </c>
      <c r="F5671" s="5" t="s">
        <v>212</v>
      </c>
      <c r="G5671" s="5" t="s">
        <v>37065</v>
      </c>
      <c r="H5671" s="6" t="s">
        <v>37066</v>
      </c>
      <c r="K5671" s="5" t="s">
        <v>36980</v>
      </c>
    </row>
    <row r="5672">
      <c r="A5672" s="4">
        <v>45534.362030000004</v>
      </c>
      <c r="B5672" s="5" t="s">
        <v>34</v>
      </c>
      <c r="D5672" s="5" t="s">
        <v>9020</v>
      </c>
      <c r="E5672" s="5" t="s">
        <v>37070</v>
      </c>
      <c r="F5672" s="5" t="s">
        <v>72</v>
      </c>
      <c r="G5672" s="5" t="s">
        <v>37071</v>
      </c>
      <c r="H5672" s="6" t="s">
        <v>37072</v>
      </c>
      <c r="K5672" s="5" t="s">
        <v>37073</v>
      </c>
    </row>
    <row r="5673">
      <c r="A5673" s="4">
        <v>45534.36204770833</v>
      </c>
      <c r="B5673" s="5" t="s">
        <v>34</v>
      </c>
      <c r="D5673" s="5" t="s">
        <v>604</v>
      </c>
      <c r="E5673" s="5" t="s">
        <v>37076</v>
      </c>
      <c r="F5673" s="5" t="s">
        <v>108</v>
      </c>
      <c r="G5673" s="5" t="s">
        <v>37077</v>
      </c>
      <c r="H5673" s="6" t="s">
        <v>37078</v>
      </c>
      <c r="K5673" s="5" t="s">
        <v>37073</v>
      </c>
    </row>
    <row r="5674">
      <c r="A5674" s="4">
        <v>45534.36205282407</v>
      </c>
      <c r="B5674" s="5" t="s">
        <v>34</v>
      </c>
      <c r="D5674" s="5" t="s">
        <v>14424</v>
      </c>
      <c r="E5674" s="5" t="s">
        <v>37081</v>
      </c>
      <c r="F5674" s="5" t="s">
        <v>72</v>
      </c>
      <c r="G5674" s="5" t="s">
        <v>37082</v>
      </c>
      <c r="H5674" s="6" t="s">
        <v>37083</v>
      </c>
      <c r="K5674" s="5" t="s">
        <v>37073</v>
      </c>
    </row>
    <row r="5675">
      <c r="A5675" s="4">
        <v>45534.362084733795</v>
      </c>
      <c r="B5675" s="5" t="s">
        <v>34</v>
      </c>
      <c r="D5675" s="5" t="s">
        <v>14424</v>
      </c>
      <c r="E5675" s="5" t="s">
        <v>37086</v>
      </c>
      <c r="F5675" s="5" t="s">
        <v>715</v>
      </c>
      <c r="G5675" s="5" t="s">
        <v>37087</v>
      </c>
      <c r="H5675" s="6" t="s">
        <v>37088</v>
      </c>
      <c r="K5675" s="5" t="s">
        <v>37089</v>
      </c>
    </row>
    <row r="5676">
      <c r="A5676" s="4">
        <v>45534.362104513886</v>
      </c>
      <c r="B5676" s="5" t="s">
        <v>34</v>
      </c>
      <c r="D5676" s="5" t="s">
        <v>996</v>
      </c>
      <c r="E5676" s="5" t="s">
        <v>37093</v>
      </c>
      <c r="F5676" s="5" t="s">
        <v>72</v>
      </c>
      <c r="G5676" s="5" t="s">
        <v>37094</v>
      </c>
      <c r="H5676" s="6" t="s">
        <v>37095</v>
      </c>
      <c r="K5676" s="5" t="s">
        <v>37089</v>
      </c>
    </row>
    <row r="5677">
      <c r="A5677" s="4">
        <v>45534.362118680554</v>
      </c>
      <c r="B5677" s="5" t="s">
        <v>34</v>
      </c>
      <c r="D5677" s="5" t="s">
        <v>14313</v>
      </c>
      <c r="E5677" s="5" t="s">
        <v>37098</v>
      </c>
      <c r="F5677" s="5" t="s">
        <v>37</v>
      </c>
      <c r="G5677" s="5" t="s">
        <v>37099</v>
      </c>
      <c r="H5677" s="6" t="s">
        <v>37100</v>
      </c>
      <c r="K5677" s="5" t="s">
        <v>37089</v>
      </c>
    </row>
    <row r="5678">
      <c r="A5678" s="4">
        <v>45534.36212337963</v>
      </c>
      <c r="B5678" s="5" t="s">
        <v>34</v>
      </c>
      <c r="D5678" s="5" t="s">
        <v>14313</v>
      </c>
      <c r="E5678" s="5" t="s">
        <v>37103</v>
      </c>
      <c r="F5678" s="5" t="s">
        <v>375</v>
      </c>
      <c r="G5678" s="5" t="s">
        <v>37104</v>
      </c>
      <c r="H5678" s="6" t="s">
        <v>37105</v>
      </c>
      <c r="K5678" s="5" t="s">
        <v>37089</v>
      </c>
    </row>
    <row r="5679">
      <c r="A5679" s="4">
        <v>45534.36212931713</v>
      </c>
      <c r="B5679" s="5" t="s">
        <v>34</v>
      </c>
      <c r="D5679" s="5" t="s">
        <v>1768</v>
      </c>
      <c r="E5679" s="5" t="s">
        <v>37108</v>
      </c>
      <c r="F5679" s="5" t="s">
        <v>108</v>
      </c>
      <c r="G5679" s="5" t="s">
        <v>37109</v>
      </c>
      <c r="H5679" s="6" t="s">
        <v>37110</v>
      </c>
      <c r="K5679" s="5" t="s">
        <v>37089</v>
      </c>
    </row>
    <row r="5680">
      <c r="A5680" s="4">
        <v>45534.36217283565</v>
      </c>
      <c r="B5680" s="5" t="s">
        <v>34</v>
      </c>
      <c r="D5680" s="5" t="s">
        <v>1206</v>
      </c>
      <c r="E5680" s="5" t="s">
        <v>37113</v>
      </c>
      <c r="F5680" s="5" t="s">
        <v>375</v>
      </c>
      <c r="G5680" s="5" t="s">
        <v>37114</v>
      </c>
      <c r="H5680" s="6" t="s">
        <v>37115</v>
      </c>
      <c r="K5680" s="5" t="s">
        <v>37089</v>
      </c>
    </row>
    <row r="5681">
      <c r="A5681" s="4">
        <v>45534.362177187504</v>
      </c>
      <c r="B5681" s="5" t="s">
        <v>34</v>
      </c>
      <c r="D5681" s="5" t="s">
        <v>1206</v>
      </c>
      <c r="E5681" s="5" t="s">
        <v>37119</v>
      </c>
      <c r="F5681" s="5" t="s">
        <v>72</v>
      </c>
      <c r="G5681" s="5" t="s">
        <v>37120</v>
      </c>
      <c r="H5681" s="6" t="s">
        <v>37121</v>
      </c>
      <c r="K5681" s="5" t="s">
        <v>37089</v>
      </c>
    </row>
    <row r="5682">
      <c r="A5682" s="4">
        <v>45534.36218642361</v>
      </c>
      <c r="B5682" s="5" t="s">
        <v>34</v>
      </c>
      <c r="D5682" s="5" t="s">
        <v>9394</v>
      </c>
      <c r="E5682" s="5" t="s">
        <v>37124</v>
      </c>
      <c r="F5682" s="5" t="s">
        <v>37</v>
      </c>
      <c r="G5682" s="5" t="s">
        <v>37125</v>
      </c>
      <c r="H5682" s="6" t="s">
        <v>37126</v>
      </c>
      <c r="I5682" s="7" t="s">
        <v>37127</v>
      </c>
      <c r="J5682" s="8" t="str">
        <f>HYPERLINK("https://drive.google.com/file/d/1sv8B5Sd04BUnElz5lylVrYez5YVse_F1/view?usp=drivesdk","PONCO ADHI MARMONO SERTIFIKAT BerAKHLAK")</f>
        <v>PONCO ADHI MARMONO SERTIFIKAT BerAKHLAK</v>
      </c>
      <c r="K5682" s="5" t="s">
        <v>36587</v>
      </c>
      <c r="L5682" s="5" t="s">
        <v>37128</v>
      </c>
    </row>
    <row r="5683">
      <c r="A5683" s="4">
        <v>45534.362198738425</v>
      </c>
      <c r="B5683" s="5" t="s">
        <v>34</v>
      </c>
      <c r="D5683" s="5" t="s">
        <v>6232</v>
      </c>
      <c r="E5683" s="5" t="s">
        <v>37131</v>
      </c>
      <c r="F5683" s="5" t="s">
        <v>37</v>
      </c>
      <c r="G5683" s="5" t="s">
        <v>37132</v>
      </c>
      <c r="H5683" s="6" t="s">
        <v>37133</v>
      </c>
      <c r="I5683" s="7" t="s">
        <v>37134</v>
      </c>
      <c r="J5683" s="8" t="str">
        <f>HYPERLINK("https://drive.google.com/file/d/1-aGpUdoA11ePlSbJE70Wm1zhPFbCFGbb/view?usp=drivesdk","YESI DWI RIZKI, A.Md.Kes SERTIFIKAT BerAKHLAK")</f>
        <v>YESI DWI RIZKI, A.Md.Kes SERTIFIKAT BerAKHLAK</v>
      </c>
      <c r="K5683" s="5" t="s">
        <v>36587</v>
      </c>
      <c r="L5683" s="5" t="s">
        <v>37135</v>
      </c>
    </row>
    <row r="5684">
      <c r="A5684" s="4">
        <v>45534.362209768515</v>
      </c>
      <c r="B5684" s="5" t="s">
        <v>34</v>
      </c>
      <c r="D5684" s="5" t="s">
        <v>4775</v>
      </c>
      <c r="E5684" s="5" t="s">
        <v>37138</v>
      </c>
      <c r="F5684" s="5" t="s">
        <v>108</v>
      </c>
      <c r="G5684" s="5" t="s">
        <v>37139</v>
      </c>
      <c r="H5684" s="6" t="s">
        <v>37140</v>
      </c>
      <c r="I5684" s="7" t="s">
        <v>37141</v>
      </c>
      <c r="J5684" s="8" t="str">
        <f>HYPERLINK("https://drive.google.com/file/d/10PxCftUivtjGDxtCY3cZkHSwXXKjfo6P/view?usp=drivesdk","BUDI RIYANTO  SERTIFIKAT BerAKHLAK")</f>
        <v>BUDI RIYANTO  SERTIFIKAT BerAKHLAK</v>
      </c>
      <c r="K5684" s="5" t="s">
        <v>36183</v>
      </c>
      <c r="L5684" s="5" t="s">
        <v>37142</v>
      </c>
    </row>
    <row r="5685">
      <c r="A5685" s="4">
        <v>45534.36221375</v>
      </c>
      <c r="B5685" s="5" t="s">
        <v>34</v>
      </c>
      <c r="D5685" s="5" t="s">
        <v>9020</v>
      </c>
      <c r="E5685" s="5" t="s">
        <v>37146</v>
      </c>
      <c r="F5685" s="5" t="s">
        <v>212</v>
      </c>
      <c r="G5685" s="5" t="s">
        <v>37147</v>
      </c>
      <c r="H5685" s="6" t="s">
        <v>37148</v>
      </c>
      <c r="I5685" s="7" t="s">
        <v>37149</v>
      </c>
      <c r="J5685" s="8" t="str">
        <f>HYPERLINK("https://drive.google.com/file/d/1bEvO_0RrHPHXRzw_Zvwbo392B0uM0TuC/view?usp=drivesdk","SUPRIYANI SERTIFIKAT BerAKHLAK")</f>
        <v>SUPRIYANI SERTIFIKAT BerAKHLAK</v>
      </c>
      <c r="K5685" s="5" t="s">
        <v>36587</v>
      </c>
      <c r="L5685" s="5" t="s">
        <v>37150</v>
      </c>
    </row>
    <row r="5686">
      <c r="A5686" s="4">
        <v>45534.362223379634</v>
      </c>
      <c r="B5686" s="5" t="s">
        <v>34</v>
      </c>
      <c r="D5686" s="5" t="s">
        <v>9394</v>
      </c>
      <c r="E5686" s="5" t="s">
        <v>37153</v>
      </c>
      <c r="F5686" s="5" t="s">
        <v>37</v>
      </c>
      <c r="G5686" s="5" t="s">
        <v>37154</v>
      </c>
      <c r="H5686" s="6" t="s">
        <v>37155</v>
      </c>
      <c r="I5686" s="7" t="s">
        <v>37156</v>
      </c>
      <c r="J5686" s="8" t="str">
        <f>HYPERLINK("https://drive.google.com/file/d/1pR05O1Q692V-XGSjZ0cHNM63VeXk6xvA/view?usp=drivesdk","SONYA SOVANI SERTIFIKAT BerAKHLAK")</f>
        <v>SONYA SOVANI SERTIFIKAT BerAKHLAK</v>
      </c>
      <c r="K5686" s="5" t="s">
        <v>36587</v>
      </c>
      <c r="L5686" s="5" t="s">
        <v>37157</v>
      </c>
    </row>
    <row r="5687">
      <c r="A5687" s="4">
        <v>45534.36223699074</v>
      </c>
      <c r="B5687" s="5" t="s">
        <v>34</v>
      </c>
      <c r="D5687" s="5" t="s">
        <v>1206</v>
      </c>
      <c r="E5687" s="5" t="s">
        <v>18791</v>
      </c>
      <c r="F5687" s="5" t="s">
        <v>212</v>
      </c>
      <c r="G5687" s="5" t="s">
        <v>37160</v>
      </c>
      <c r="H5687" s="6" t="s">
        <v>37161</v>
      </c>
      <c r="K5687" s="5" t="s">
        <v>37162</v>
      </c>
    </row>
    <row r="5688">
      <c r="A5688" s="4">
        <v>45534.362237939815</v>
      </c>
      <c r="B5688" s="5" t="s">
        <v>34</v>
      </c>
      <c r="D5688" s="5" t="s">
        <v>35</v>
      </c>
      <c r="E5688" s="5" t="s">
        <v>37165</v>
      </c>
      <c r="F5688" s="5" t="s">
        <v>37</v>
      </c>
      <c r="G5688" s="5" t="s">
        <v>37166</v>
      </c>
      <c r="H5688" s="6" t="s">
        <v>37167</v>
      </c>
      <c r="K5688" s="5" t="s">
        <v>37162</v>
      </c>
    </row>
    <row r="5689">
      <c r="A5689" s="4">
        <v>45534.36224</v>
      </c>
      <c r="B5689" s="5" t="s">
        <v>34</v>
      </c>
      <c r="D5689" s="5" t="s">
        <v>1558</v>
      </c>
      <c r="E5689" s="5" t="s">
        <v>37170</v>
      </c>
      <c r="F5689" s="5" t="s">
        <v>375</v>
      </c>
      <c r="G5689" s="5" t="s">
        <v>37171</v>
      </c>
      <c r="H5689" s="6" t="s">
        <v>37172</v>
      </c>
      <c r="K5689" s="5" t="s">
        <v>37162</v>
      </c>
    </row>
    <row r="5690">
      <c r="A5690" s="4">
        <v>45534.36227012731</v>
      </c>
      <c r="B5690" s="5" t="s">
        <v>34</v>
      </c>
      <c r="D5690" s="5" t="s">
        <v>12978</v>
      </c>
      <c r="E5690" s="5" t="s">
        <v>37176</v>
      </c>
      <c r="F5690" s="5" t="s">
        <v>199</v>
      </c>
      <c r="G5690" s="5" t="s">
        <v>37177</v>
      </c>
      <c r="H5690" s="6" t="s">
        <v>37178</v>
      </c>
      <c r="K5690" s="5" t="s">
        <v>37162</v>
      </c>
    </row>
    <row r="5691">
      <c r="A5691" s="4">
        <v>45534.36228159722</v>
      </c>
      <c r="B5691" s="5" t="s">
        <v>34</v>
      </c>
      <c r="D5691" s="5" t="s">
        <v>14313</v>
      </c>
      <c r="E5691" s="5" t="s">
        <v>37181</v>
      </c>
      <c r="F5691" s="5" t="s">
        <v>212</v>
      </c>
      <c r="G5691" s="5" t="s">
        <v>37182</v>
      </c>
      <c r="H5691" s="6" t="s">
        <v>37183</v>
      </c>
      <c r="K5691" s="5" t="s">
        <v>37162</v>
      </c>
    </row>
    <row r="5692">
      <c r="A5692" s="4">
        <v>45534.36229715278</v>
      </c>
      <c r="B5692" s="5" t="s">
        <v>34</v>
      </c>
      <c r="D5692" s="5" t="s">
        <v>9020</v>
      </c>
      <c r="E5692" s="5" t="s">
        <v>37186</v>
      </c>
      <c r="F5692" s="5" t="s">
        <v>108</v>
      </c>
      <c r="G5692" s="5" t="s">
        <v>37187</v>
      </c>
      <c r="H5692" s="6" t="s">
        <v>37188</v>
      </c>
      <c r="I5692" s="7" t="s">
        <v>37189</v>
      </c>
      <c r="J5692" s="8" t="str">
        <f>HYPERLINK("https://drive.google.com/file/d/1qw6ltLGxVhn0tbEdtgyIDYKda__dwjzu/view?usp=drivesdk","DEWI DAMAYANTI HSB SKEP NS SERTIFIKAT BerAKHLAK")</f>
        <v>DEWI DAMAYANTI HSB SKEP NS SERTIFIKAT BerAKHLAK</v>
      </c>
      <c r="K5692" s="5" t="s">
        <v>36587</v>
      </c>
      <c r="L5692" s="5" t="s">
        <v>37190</v>
      </c>
    </row>
    <row r="5693">
      <c r="A5693" s="4">
        <v>45534.36232222222</v>
      </c>
      <c r="B5693" s="5" t="s">
        <v>34</v>
      </c>
      <c r="D5693" s="5" t="s">
        <v>1206</v>
      </c>
      <c r="E5693" s="5" t="s">
        <v>37193</v>
      </c>
      <c r="F5693" s="5" t="s">
        <v>524</v>
      </c>
      <c r="G5693" s="5" t="s">
        <v>37194</v>
      </c>
      <c r="H5693" s="6" t="s">
        <v>37195</v>
      </c>
      <c r="I5693" s="7" t="s">
        <v>37196</v>
      </c>
      <c r="J5693" s="8" t="str">
        <f>HYPERLINK("https://drive.google.com/file/d/1sy-OrsWsiiybmdciXveSNn3xanjXO9m4/view?usp=drivesdk","EVI ARIANI, A.Md.Kep SERTIFIKAT BerAKHLAK")</f>
        <v>EVI ARIANI, A.Md.Kep SERTIFIKAT BerAKHLAK</v>
      </c>
      <c r="K5693" s="5" t="s">
        <v>36587</v>
      </c>
      <c r="L5693" s="5" t="s">
        <v>37197</v>
      </c>
    </row>
    <row r="5694">
      <c r="A5694" s="4">
        <v>45534.36232597222</v>
      </c>
      <c r="B5694" s="5" t="s">
        <v>34</v>
      </c>
      <c r="D5694" s="5" t="s">
        <v>4775</v>
      </c>
      <c r="E5694" s="5" t="s">
        <v>37200</v>
      </c>
      <c r="F5694" s="5" t="s">
        <v>375</v>
      </c>
      <c r="G5694" s="5" t="s">
        <v>37201</v>
      </c>
      <c r="H5694" s="6" t="s">
        <v>37202</v>
      </c>
      <c r="I5694" s="7" t="s">
        <v>37203</v>
      </c>
      <c r="J5694" s="8" t="str">
        <f>HYPERLINK("https://drive.google.com/file/d/1d0n-D1-1YaxqLCflUHBoEaK0ATV5SsT6/view?usp=drivesdk","ELY SUMARNI.S.Kep. SERTIFIKAT BerAKHLAK")</f>
        <v>ELY SUMARNI.S.Kep. SERTIFIKAT BerAKHLAK</v>
      </c>
      <c r="K5694" s="5" t="s">
        <v>36587</v>
      </c>
      <c r="L5694" s="5" t="s">
        <v>37204</v>
      </c>
    </row>
    <row r="5695">
      <c r="A5695" s="4">
        <v>45534.36235393518</v>
      </c>
      <c r="B5695" s="5" t="s">
        <v>34</v>
      </c>
      <c r="D5695" s="5" t="s">
        <v>10444</v>
      </c>
      <c r="E5695" s="5" t="s">
        <v>37208</v>
      </c>
      <c r="F5695" s="5" t="s">
        <v>72</v>
      </c>
      <c r="G5695" s="5" t="s">
        <v>37209</v>
      </c>
      <c r="H5695" s="6" t="s">
        <v>37210</v>
      </c>
      <c r="K5695" s="5" t="s">
        <v>37211</v>
      </c>
    </row>
    <row r="5696">
      <c r="A5696" s="4">
        <v>45534.3623590625</v>
      </c>
      <c r="B5696" s="5" t="s">
        <v>34</v>
      </c>
      <c r="D5696" s="5" t="s">
        <v>4775</v>
      </c>
      <c r="E5696" s="5" t="s">
        <v>37214</v>
      </c>
      <c r="F5696" s="5" t="s">
        <v>212</v>
      </c>
      <c r="G5696" s="5" t="s">
        <v>37215</v>
      </c>
      <c r="H5696" s="6" t="s">
        <v>37216</v>
      </c>
      <c r="I5696" s="7" t="s">
        <v>37217</v>
      </c>
      <c r="J5696" s="8" t="str">
        <f>HYPERLINK("https://drive.google.com/file/d/1YLfHo-c3ZHy7yrnnfRvUbU1BO7_d-0KO/view?usp=drivesdk","SRI ENDANG GUMIASIH SERTIFIKAT BerAKHLAK")</f>
        <v>SRI ENDANG GUMIASIH SERTIFIKAT BerAKHLAK</v>
      </c>
      <c r="K5696" s="5" t="s">
        <v>36587</v>
      </c>
      <c r="L5696" s="5" t="s">
        <v>37218</v>
      </c>
    </row>
    <row r="5697">
      <c r="A5697" s="4">
        <v>45534.362374375</v>
      </c>
      <c r="B5697" s="5" t="s">
        <v>34</v>
      </c>
      <c r="D5697" s="5" t="s">
        <v>9020</v>
      </c>
      <c r="E5697" s="5" t="s">
        <v>37221</v>
      </c>
      <c r="F5697" s="5" t="s">
        <v>212</v>
      </c>
      <c r="G5697" s="5" t="s">
        <v>37222</v>
      </c>
      <c r="H5697" s="6" t="s">
        <v>37223</v>
      </c>
      <c r="I5697" s="7" t="s">
        <v>37224</v>
      </c>
      <c r="J5697" s="8" t="str">
        <f>HYPERLINK("https://drive.google.com/file/d/1vMfsoFYyEqhmLiYRT3BIRbhDtYhkni3O/view?usp=drivesdk","DOKMA ELY SARAGIH SERTIFIKAT BerAKHLAK")</f>
        <v>DOKMA ELY SARAGIH SERTIFIKAT BerAKHLAK</v>
      </c>
      <c r="K5697" s="5" t="s">
        <v>36587</v>
      </c>
      <c r="L5697" s="5" t="s">
        <v>37225</v>
      </c>
    </row>
    <row r="5698">
      <c r="A5698" s="4">
        <v>45534.36237894676</v>
      </c>
      <c r="B5698" s="5" t="s">
        <v>34</v>
      </c>
      <c r="D5698" s="5" t="s">
        <v>1456</v>
      </c>
      <c r="E5698" s="5" t="s">
        <v>37228</v>
      </c>
      <c r="F5698" s="5" t="s">
        <v>212</v>
      </c>
      <c r="G5698" s="5" t="s">
        <v>37229</v>
      </c>
      <c r="H5698" s="6" t="s">
        <v>37230</v>
      </c>
      <c r="I5698" s="7" t="s">
        <v>37231</v>
      </c>
      <c r="J5698" s="8" t="str">
        <f>HYPERLINK("https://drive.google.com/file/d/18UZie4haHSBiPYbTJ-HJA-n5cq7kW4bi/view?usp=drivesdk","ANITA PUTRI GUMAI SERTIFIKAT BerAKHLAK")</f>
        <v>ANITA PUTRI GUMAI SERTIFIKAT BerAKHLAK</v>
      </c>
      <c r="K5698" s="5" t="s">
        <v>36587</v>
      </c>
      <c r="L5698" s="5" t="s">
        <v>37232</v>
      </c>
    </row>
    <row r="5699">
      <c r="A5699" s="4">
        <v>45534.36240978009</v>
      </c>
      <c r="B5699" s="5" t="s">
        <v>34</v>
      </c>
      <c r="D5699" s="5" t="s">
        <v>4775</v>
      </c>
      <c r="E5699" s="5" t="s">
        <v>37236</v>
      </c>
      <c r="F5699" s="5" t="s">
        <v>212</v>
      </c>
      <c r="G5699" s="5" t="s">
        <v>37237</v>
      </c>
      <c r="H5699" s="6" t="s">
        <v>37238</v>
      </c>
      <c r="I5699" s="7" t="s">
        <v>37239</v>
      </c>
      <c r="J5699" s="8" t="str">
        <f>HYPERLINK("https://drive.google.com/file/d/1_RRcpv3wa2BForj5cP4mWxF2yGt1-vWB/view?usp=drivesdk","Teguh Widjonarko A. Md SERTIFIKAT BerAKHLAK")</f>
        <v>Teguh Widjonarko A. Md SERTIFIKAT BerAKHLAK</v>
      </c>
      <c r="K5699" s="5" t="s">
        <v>36587</v>
      </c>
      <c r="L5699" s="5" t="s">
        <v>37240</v>
      </c>
    </row>
    <row r="5700">
      <c r="A5700" s="4">
        <v>45534.362409849535</v>
      </c>
      <c r="B5700" s="5" t="s">
        <v>34</v>
      </c>
      <c r="D5700" s="5" t="s">
        <v>4775</v>
      </c>
      <c r="E5700" s="5" t="s">
        <v>37243</v>
      </c>
      <c r="F5700" s="5" t="s">
        <v>37</v>
      </c>
      <c r="G5700" s="5" t="s">
        <v>37244</v>
      </c>
      <c r="H5700" s="6" t="s">
        <v>37245</v>
      </c>
      <c r="I5700" s="7" t="s">
        <v>37246</v>
      </c>
      <c r="J5700" s="8" t="str">
        <f>HYPERLINK("https://drive.google.com/file/d/15mUDeLbj5kEgvCGK2PDRlgwMlRs_1G5Z/view?usp=drivesdk","HARSONO SERTIFIKAT BerAKHLAK")</f>
        <v>HARSONO SERTIFIKAT BerAKHLAK</v>
      </c>
      <c r="K5700" s="5" t="s">
        <v>36587</v>
      </c>
      <c r="L5700" s="5" t="s">
        <v>37247</v>
      </c>
    </row>
    <row r="5701">
      <c r="A5701" s="4">
        <v>45534.36241564815</v>
      </c>
      <c r="B5701" s="5" t="s">
        <v>34</v>
      </c>
      <c r="D5701" s="5" t="s">
        <v>6232</v>
      </c>
      <c r="E5701" s="5" t="s">
        <v>37250</v>
      </c>
      <c r="F5701" s="5" t="s">
        <v>37</v>
      </c>
      <c r="G5701" s="5" t="s">
        <v>37251</v>
      </c>
      <c r="H5701" s="6" t="s">
        <v>37252</v>
      </c>
      <c r="K5701" s="5" t="s">
        <v>37253</v>
      </c>
    </row>
    <row r="5702">
      <c r="A5702" s="4">
        <v>45534.36243173611</v>
      </c>
      <c r="B5702" s="5" t="s">
        <v>34</v>
      </c>
      <c r="D5702" s="5" t="s">
        <v>996</v>
      </c>
      <c r="E5702" s="5" t="s">
        <v>37256</v>
      </c>
      <c r="F5702" s="5" t="s">
        <v>524</v>
      </c>
      <c r="G5702" s="5" t="s">
        <v>37257</v>
      </c>
      <c r="H5702" s="6" t="s">
        <v>37258</v>
      </c>
      <c r="I5702" s="7" t="s">
        <v>37259</v>
      </c>
      <c r="J5702" s="8" t="str">
        <f>HYPERLINK("https://drive.google.com/file/d/11cSafSG0NZYOmx7YJ1EilPCGmwciHmmf/view?usp=drivesdk","YUDHI PERMANA, S.AP SERTIFIKAT BerAKHLAK")</f>
        <v>YUDHI PERMANA, S.AP SERTIFIKAT BerAKHLAK</v>
      </c>
      <c r="K5702" s="5" t="s">
        <v>36587</v>
      </c>
      <c r="L5702" s="5" t="s">
        <v>37260</v>
      </c>
    </row>
    <row r="5703">
      <c r="A5703" s="4">
        <v>45534.36245173611</v>
      </c>
      <c r="B5703" s="5" t="s">
        <v>34</v>
      </c>
      <c r="D5703" s="5" t="s">
        <v>12978</v>
      </c>
      <c r="E5703" s="5" t="s">
        <v>37264</v>
      </c>
      <c r="F5703" s="5" t="s">
        <v>72</v>
      </c>
      <c r="G5703" s="5" t="s">
        <v>37265</v>
      </c>
      <c r="H5703" s="6" t="s">
        <v>37266</v>
      </c>
      <c r="I5703" s="7" t="s">
        <v>37267</v>
      </c>
      <c r="J5703" s="8" t="str">
        <f>HYPERLINK("https://drive.google.com/file/d/1Gv9g4hL9GCbcMNojMNXD1tjgylzvK0o1/view?usp=drivesdk","dr. MOHD.RIZKI DESMADIA  SERTIFIKAT BerAKHLAK")</f>
        <v>dr. MOHD.RIZKI DESMADIA  SERTIFIKAT BerAKHLAK</v>
      </c>
      <c r="K5703" s="5" t="s">
        <v>36587</v>
      </c>
      <c r="L5703" s="5" t="s">
        <v>37268</v>
      </c>
    </row>
    <row r="5704">
      <c r="A5704" s="4">
        <v>45534.36246091435</v>
      </c>
      <c r="B5704" s="5" t="s">
        <v>34</v>
      </c>
      <c r="D5704" s="5" t="s">
        <v>267</v>
      </c>
      <c r="E5704" s="5" t="s">
        <v>37271</v>
      </c>
      <c r="F5704" s="5" t="s">
        <v>199</v>
      </c>
      <c r="G5704" s="5" t="s">
        <v>37272</v>
      </c>
      <c r="H5704" s="6" t="s">
        <v>37273</v>
      </c>
      <c r="I5704" s="7" t="s">
        <v>37274</v>
      </c>
      <c r="J5704" s="8" t="str">
        <f>HYPERLINK("https://drive.google.com/file/d/1XIEDY9I1JkGtTOyyjCdGcYdfFLP_x-HO/view?usp=drivesdk","BUDI SANTOSO, M.I.KOM. SERTIFIKAT BerAKHLAK")</f>
        <v>BUDI SANTOSO, M.I.KOM. SERTIFIKAT BerAKHLAK</v>
      </c>
      <c r="K5704" s="5" t="s">
        <v>36587</v>
      </c>
      <c r="L5704" s="5" t="s">
        <v>37275</v>
      </c>
    </row>
    <row r="5705">
      <c r="A5705" s="4">
        <v>45534.36246202546</v>
      </c>
      <c r="B5705" s="5" t="s">
        <v>19</v>
      </c>
      <c r="C5705" s="5" t="s">
        <v>32901</v>
      </c>
      <c r="E5705" s="5" t="s">
        <v>37278</v>
      </c>
      <c r="F5705" s="5" t="s">
        <v>524</v>
      </c>
      <c r="G5705" s="5" t="s">
        <v>37279</v>
      </c>
      <c r="H5705" s="6" t="s">
        <v>37280</v>
      </c>
      <c r="I5705" s="7" t="s">
        <v>37281</v>
      </c>
      <c r="J5705" s="8" t="str">
        <f>HYPERLINK("https://drive.google.com/file/d/1BYJAGBiTn36r2JsnaDMauC385Mq7zCRh/view?usp=drivesdk","EVI VERIYANTI SERTIFIKAT BerAKHLAK")</f>
        <v>EVI VERIYANTI SERTIFIKAT BerAKHLAK</v>
      </c>
      <c r="K5705" s="5" t="s">
        <v>36587</v>
      </c>
      <c r="L5705" s="5" t="s">
        <v>37282</v>
      </c>
    </row>
    <row r="5706">
      <c r="A5706" s="4">
        <v>45534.362465196755</v>
      </c>
      <c r="B5706" s="5" t="s">
        <v>34</v>
      </c>
      <c r="D5706" s="5" t="s">
        <v>4775</v>
      </c>
      <c r="E5706" s="5" t="s">
        <v>37285</v>
      </c>
      <c r="F5706" s="5" t="s">
        <v>212</v>
      </c>
      <c r="G5706" s="5" t="s">
        <v>37286</v>
      </c>
      <c r="H5706" s="6" t="s">
        <v>37287</v>
      </c>
      <c r="K5706" s="5" t="s">
        <v>37288</v>
      </c>
    </row>
    <row r="5707">
      <c r="A5707" s="4">
        <v>45534.36246761574</v>
      </c>
      <c r="B5707" s="5" t="s">
        <v>34</v>
      </c>
      <c r="D5707" s="5" t="s">
        <v>15401</v>
      </c>
      <c r="E5707" s="5" t="s">
        <v>37292</v>
      </c>
      <c r="F5707" s="5" t="s">
        <v>375</v>
      </c>
      <c r="G5707" s="5" t="s">
        <v>37293</v>
      </c>
      <c r="H5707" s="6" t="s">
        <v>37294</v>
      </c>
      <c r="K5707" s="5" t="s">
        <v>37288</v>
      </c>
    </row>
    <row r="5708">
      <c r="A5708" s="4">
        <v>45534.362467893516</v>
      </c>
      <c r="B5708" s="5" t="s">
        <v>34</v>
      </c>
      <c r="D5708" s="5" t="s">
        <v>14424</v>
      </c>
      <c r="E5708" s="5" t="s">
        <v>37297</v>
      </c>
      <c r="F5708" s="5" t="s">
        <v>375</v>
      </c>
      <c r="G5708" s="5" t="s">
        <v>37298</v>
      </c>
      <c r="H5708" s="6" t="s">
        <v>37299</v>
      </c>
      <c r="K5708" s="5" t="s">
        <v>37288</v>
      </c>
    </row>
    <row r="5709">
      <c r="A5709" s="4">
        <v>45534.36248489583</v>
      </c>
      <c r="B5709" s="5" t="s">
        <v>34</v>
      </c>
      <c r="D5709" s="5" t="s">
        <v>11527</v>
      </c>
      <c r="E5709" s="5" t="s">
        <v>37302</v>
      </c>
      <c r="F5709" s="5" t="s">
        <v>524</v>
      </c>
      <c r="G5709" s="5" t="s">
        <v>37303</v>
      </c>
      <c r="H5709" s="6" t="s">
        <v>37304</v>
      </c>
      <c r="I5709" s="7" t="s">
        <v>37305</v>
      </c>
      <c r="J5709" s="8" t="str">
        <f>HYPERLINK("https://drive.google.com/file/d/1JsUNa4eyGURnu4fY7GyWY25Z_iDu4g_g/view?usp=drivesdk","Ns.Lissa Carolina Jacobus,S.Kep SERTIFIKAT BerAKHLAK")</f>
        <v>Ns.Lissa Carolina Jacobus,S.Kep SERTIFIKAT BerAKHLAK</v>
      </c>
      <c r="K5709" s="5" t="s">
        <v>37306</v>
      </c>
      <c r="L5709" s="5" t="s">
        <v>37307</v>
      </c>
    </row>
    <row r="5710">
      <c r="A5710" s="4">
        <v>45534.36248869213</v>
      </c>
      <c r="B5710" s="5" t="s">
        <v>34</v>
      </c>
      <c r="D5710" s="5" t="s">
        <v>267</v>
      </c>
      <c r="E5710" s="5" t="s">
        <v>37310</v>
      </c>
      <c r="F5710" s="5" t="s">
        <v>72</v>
      </c>
      <c r="G5710" s="5" t="s">
        <v>37311</v>
      </c>
      <c r="H5710" s="6" t="s">
        <v>37312</v>
      </c>
      <c r="I5710" s="7" t="s">
        <v>37313</v>
      </c>
      <c r="J5710" s="8" t="str">
        <f>HYPERLINK("https://drive.google.com/file/d/1B8Zrjwc8jYqlwHOVlJXHiA2fe2pobpfz/view?usp=drivesdk","FAJAR ARIF WIBOWO, ST. SERTIFIKAT BerAKHLAK")</f>
        <v>FAJAR ARIF WIBOWO, ST. SERTIFIKAT BerAKHLAK</v>
      </c>
      <c r="K5710" s="5" t="s">
        <v>37306</v>
      </c>
      <c r="L5710" s="5" t="s">
        <v>37314</v>
      </c>
    </row>
    <row r="5711">
      <c r="A5711" s="4">
        <v>45534.36249835648</v>
      </c>
      <c r="B5711" s="5" t="s">
        <v>34</v>
      </c>
      <c r="D5711" s="5" t="s">
        <v>9020</v>
      </c>
      <c r="E5711" s="5" t="s">
        <v>37317</v>
      </c>
      <c r="F5711" s="5" t="s">
        <v>72</v>
      </c>
      <c r="G5711" s="5" t="s">
        <v>37318</v>
      </c>
      <c r="H5711" s="6" t="s">
        <v>37319</v>
      </c>
      <c r="K5711" s="5" t="s">
        <v>37320</v>
      </c>
    </row>
    <row r="5712">
      <c r="A5712" s="4">
        <v>45534.36251097222</v>
      </c>
      <c r="B5712" s="5" t="s">
        <v>34</v>
      </c>
      <c r="D5712" s="5" t="s">
        <v>4775</v>
      </c>
      <c r="E5712" s="5" t="s">
        <v>37324</v>
      </c>
      <c r="F5712" s="5" t="s">
        <v>37</v>
      </c>
      <c r="G5712" s="5" t="s">
        <v>37325</v>
      </c>
      <c r="H5712" s="6" t="s">
        <v>37326</v>
      </c>
      <c r="K5712" s="5" t="s">
        <v>37320</v>
      </c>
    </row>
    <row r="5713">
      <c r="A5713" s="4">
        <v>45534.362513796295</v>
      </c>
      <c r="B5713" s="5" t="s">
        <v>34</v>
      </c>
      <c r="D5713" s="5" t="s">
        <v>4775</v>
      </c>
      <c r="E5713" s="5" t="s">
        <v>37329</v>
      </c>
      <c r="F5713" s="5" t="s">
        <v>5859</v>
      </c>
      <c r="G5713" s="5" t="s">
        <v>37330</v>
      </c>
      <c r="H5713" s="6" t="s">
        <v>37331</v>
      </c>
      <c r="K5713" s="5" t="s">
        <v>37320</v>
      </c>
    </row>
    <row r="5714">
      <c r="A5714" s="4">
        <v>45534.36252241898</v>
      </c>
      <c r="B5714" s="5" t="s">
        <v>34</v>
      </c>
      <c r="D5714" s="5" t="s">
        <v>580</v>
      </c>
      <c r="E5714" s="5" t="s">
        <v>37334</v>
      </c>
      <c r="F5714" s="5" t="s">
        <v>72</v>
      </c>
      <c r="G5714" s="5" t="s">
        <v>37335</v>
      </c>
      <c r="H5714" s="6" t="s">
        <v>37336</v>
      </c>
      <c r="I5714" s="7" t="s">
        <v>37337</v>
      </c>
      <c r="J5714" s="8" t="str">
        <f>HYPERLINK("https://drive.google.com/file/d/1zAzDWxHE8DSUdB6RzWVVF9w42hAnVfmy/view?usp=drivesdk","NI PUTU EKA SUPRIATI,A.Md SERTIFIKAT BerAKHLAK")</f>
        <v>NI PUTU EKA SUPRIATI,A.Md SERTIFIKAT BerAKHLAK</v>
      </c>
      <c r="K5714" s="5" t="s">
        <v>36587</v>
      </c>
      <c r="L5714" s="5" t="s">
        <v>37338</v>
      </c>
    </row>
    <row r="5715">
      <c r="A5715" s="4">
        <v>45534.36252753472</v>
      </c>
      <c r="B5715" s="5" t="s">
        <v>34</v>
      </c>
      <c r="D5715" s="5" t="s">
        <v>1558</v>
      </c>
      <c r="E5715" s="5" t="s">
        <v>37342</v>
      </c>
      <c r="F5715" s="5" t="s">
        <v>524</v>
      </c>
      <c r="G5715" s="5" t="s">
        <v>37343</v>
      </c>
      <c r="H5715" s="6" t="s">
        <v>37344</v>
      </c>
      <c r="I5715" s="7" t="s">
        <v>37345</v>
      </c>
      <c r="J5715" s="8" t="str">
        <f>HYPERLINK("https://drive.google.com/file/d/1eo56Vmh-Y-EWvWoyx9uEkDCHk70oPhne/view?usp=drivesdk","AGUS SUPRIYA SERTIFIKAT BerAKHLAK")</f>
        <v>AGUS SUPRIYA SERTIFIKAT BerAKHLAK</v>
      </c>
      <c r="K5715" s="5" t="s">
        <v>36587</v>
      </c>
      <c r="L5715" s="5" t="s">
        <v>37346</v>
      </c>
    </row>
    <row r="5716">
      <c r="A5716" s="4">
        <v>45534.36257439815</v>
      </c>
      <c r="B5716" s="5" t="s">
        <v>34</v>
      </c>
      <c r="D5716" s="5" t="s">
        <v>9020</v>
      </c>
      <c r="E5716" s="5" t="s">
        <v>37349</v>
      </c>
      <c r="F5716" s="5" t="s">
        <v>72</v>
      </c>
      <c r="G5716" s="5" t="s">
        <v>37350</v>
      </c>
      <c r="H5716" s="6" t="s">
        <v>37351</v>
      </c>
      <c r="K5716" s="5" t="s">
        <v>37352</v>
      </c>
    </row>
    <row r="5717">
      <c r="A5717" s="4">
        <v>45534.36257518519</v>
      </c>
      <c r="B5717" s="5" t="s">
        <v>34</v>
      </c>
      <c r="D5717" s="5" t="s">
        <v>4775</v>
      </c>
      <c r="E5717" s="5" t="s">
        <v>37355</v>
      </c>
      <c r="F5717" s="5" t="s">
        <v>212</v>
      </c>
      <c r="G5717" s="5" t="s">
        <v>37356</v>
      </c>
      <c r="H5717" s="6" t="s">
        <v>37357</v>
      </c>
      <c r="K5717" s="5" t="s">
        <v>37352</v>
      </c>
    </row>
    <row r="5718">
      <c r="A5718" s="4">
        <v>45534.36258518518</v>
      </c>
      <c r="B5718" s="5" t="s">
        <v>34</v>
      </c>
      <c r="D5718" s="5" t="s">
        <v>4775</v>
      </c>
      <c r="E5718" s="5" t="s">
        <v>37361</v>
      </c>
      <c r="F5718" s="5" t="s">
        <v>108</v>
      </c>
      <c r="G5718" s="5" t="s">
        <v>37362</v>
      </c>
      <c r="H5718" s="6" t="s">
        <v>37363</v>
      </c>
      <c r="K5718" s="5" t="s">
        <v>37352</v>
      </c>
    </row>
    <row r="5719">
      <c r="A5719" s="4">
        <v>45534.362587766205</v>
      </c>
      <c r="B5719" s="5" t="s">
        <v>34</v>
      </c>
      <c r="D5719" s="5" t="s">
        <v>1206</v>
      </c>
      <c r="E5719" s="5" t="s">
        <v>37366</v>
      </c>
      <c r="F5719" s="5" t="s">
        <v>37</v>
      </c>
      <c r="G5719" s="5" t="s">
        <v>37367</v>
      </c>
      <c r="H5719" s="6" t="s">
        <v>37368</v>
      </c>
      <c r="K5719" s="5" t="s">
        <v>37352</v>
      </c>
    </row>
    <row r="5720">
      <c r="A5720" s="4">
        <v>45534.36258842592</v>
      </c>
      <c r="B5720" s="5" t="s">
        <v>34</v>
      </c>
      <c r="D5720" s="5" t="s">
        <v>9394</v>
      </c>
      <c r="E5720" s="5" t="s">
        <v>37371</v>
      </c>
      <c r="F5720" s="5" t="s">
        <v>37</v>
      </c>
      <c r="G5720" s="5" t="s">
        <v>37372</v>
      </c>
      <c r="H5720" s="6" t="s">
        <v>37373</v>
      </c>
      <c r="K5720" s="5" t="s">
        <v>37352</v>
      </c>
    </row>
    <row r="5721">
      <c r="A5721" s="4">
        <v>45534.36260037037</v>
      </c>
      <c r="B5721" s="5" t="s">
        <v>34</v>
      </c>
      <c r="D5721" s="5" t="s">
        <v>6232</v>
      </c>
      <c r="E5721" s="5" t="s">
        <v>37376</v>
      </c>
      <c r="F5721" s="5" t="s">
        <v>212</v>
      </c>
      <c r="G5721" s="5" t="s">
        <v>37377</v>
      </c>
      <c r="H5721" s="6" t="s">
        <v>37378</v>
      </c>
      <c r="K5721" s="5" t="s">
        <v>37352</v>
      </c>
    </row>
    <row r="5722">
      <c r="A5722" s="4">
        <v>45534.36260420139</v>
      </c>
      <c r="B5722" s="5" t="s">
        <v>34</v>
      </c>
      <c r="D5722" s="5" t="s">
        <v>1206</v>
      </c>
      <c r="E5722" s="5" t="s">
        <v>37382</v>
      </c>
      <c r="F5722" s="5" t="s">
        <v>212</v>
      </c>
      <c r="G5722" s="5" t="s">
        <v>37383</v>
      </c>
      <c r="H5722" s="6" t="s">
        <v>37384</v>
      </c>
      <c r="K5722" s="5" t="s">
        <v>37352</v>
      </c>
    </row>
    <row r="5723">
      <c r="A5723" s="4">
        <v>45534.36260756945</v>
      </c>
      <c r="B5723" s="5" t="s">
        <v>19</v>
      </c>
      <c r="C5723" s="5" t="s">
        <v>14000</v>
      </c>
      <c r="E5723" s="5" t="s">
        <v>23729</v>
      </c>
      <c r="F5723" s="5" t="s">
        <v>72</v>
      </c>
      <c r="G5723" s="5" t="s">
        <v>37387</v>
      </c>
      <c r="H5723" s="6" t="s">
        <v>37388</v>
      </c>
      <c r="K5723" s="5" t="s">
        <v>37352</v>
      </c>
    </row>
    <row r="5724">
      <c r="A5724" s="4">
        <v>45534.36260767361</v>
      </c>
      <c r="B5724" s="5" t="s">
        <v>34</v>
      </c>
      <c r="D5724" s="5" t="s">
        <v>701</v>
      </c>
      <c r="E5724" s="5" t="s">
        <v>37391</v>
      </c>
      <c r="F5724" s="5" t="s">
        <v>120</v>
      </c>
      <c r="G5724" s="5" t="s">
        <v>37392</v>
      </c>
      <c r="H5724" s="6" t="s">
        <v>37393</v>
      </c>
      <c r="K5724" s="5" t="s">
        <v>36595</v>
      </c>
    </row>
    <row r="5725">
      <c r="A5725" s="4">
        <v>45534.36262104167</v>
      </c>
      <c r="B5725" s="5" t="s">
        <v>34</v>
      </c>
      <c r="D5725" s="5" t="s">
        <v>280</v>
      </c>
      <c r="E5725" s="5" t="s">
        <v>37396</v>
      </c>
      <c r="F5725" s="5" t="s">
        <v>72</v>
      </c>
      <c r="G5725" s="5" t="s">
        <v>37397</v>
      </c>
      <c r="H5725" s="6" t="s">
        <v>37398</v>
      </c>
      <c r="K5725" s="5" t="s">
        <v>36595</v>
      </c>
    </row>
    <row r="5726">
      <c r="A5726" s="4">
        <v>45534.36261534722</v>
      </c>
      <c r="B5726" s="5" t="s">
        <v>34</v>
      </c>
      <c r="D5726" s="5" t="s">
        <v>1206</v>
      </c>
      <c r="E5726" s="5" t="s">
        <v>37402</v>
      </c>
      <c r="F5726" s="5" t="s">
        <v>212</v>
      </c>
      <c r="G5726" s="5" t="s">
        <v>37403</v>
      </c>
      <c r="H5726" s="6" t="s">
        <v>37404</v>
      </c>
      <c r="K5726" s="5" t="s">
        <v>36595</v>
      </c>
    </row>
    <row r="5727">
      <c r="A5727" s="4">
        <v>45534.36262457176</v>
      </c>
      <c r="B5727" s="5" t="s">
        <v>34</v>
      </c>
      <c r="D5727" s="5" t="s">
        <v>1206</v>
      </c>
      <c r="E5727" s="5" t="s">
        <v>37407</v>
      </c>
      <c r="F5727" s="5" t="s">
        <v>108</v>
      </c>
      <c r="G5727" s="5" t="s">
        <v>37408</v>
      </c>
      <c r="H5727" s="6" t="s">
        <v>37409</v>
      </c>
      <c r="K5727" s="5" t="s">
        <v>36595</v>
      </c>
    </row>
    <row r="5728">
      <c r="A5728" s="4">
        <v>45534.36262479167</v>
      </c>
      <c r="B5728" s="5" t="s">
        <v>34</v>
      </c>
      <c r="D5728" s="5" t="s">
        <v>2903</v>
      </c>
      <c r="E5728" s="5" t="s">
        <v>37412</v>
      </c>
      <c r="F5728" s="5" t="s">
        <v>212</v>
      </c>
      <c r="G5728" s="5" t="s">
        <v>37413</v>
      </c>
      <c r="H5728" s="6" t="s">
        <v>37414</v>
      </c>
      <c r="K5728" s="5" t="s">
        <v>36595</v>
      </c>
    </row>
    <row r="5729">
      <c r="A5729" s="4">
        <v>45534.36262630787</v>
      </c>
      <c r="B5729" s="5" t="s">
        <v>34</v>
      </c>
      <c r="D5729" s="5" t="s">
        <v>35</v>
      </c>
      <c r="E5729" s="5" t="s">
        <v>37417</v>
      </c>
      <c r="F5729" s="5" t="s">
        <v>375</v>
      </c>
      <c r="G5729" s="5" t="s">
        <v>37418</v>
      </c>
      <c r="H5729" s="6" t="s">
        <v>37419</v>
      </c>
      <c r="K5729" s="5" t="s">
        <v>36595</v>
      </c>
    </row>
    <row r="5730">
      <c r="A5730" s="4">
        <v>45534.362637199076</v>
      </c>
      <c r="B5730" s="5" t="s">
        <v>34</v>
      </c>
      <c r="D5730" s="5" t="s">
        <v>14313</v>
      </c>
      <c r="E5730" s="5" t="s">
        <v>37423</v>
      </c>
      <c r="F5730" s="5" t="s">
        <v>72</v>
      </c>
      <c r="G5730" s="5" t="s">
        <v>37424</v>
      </c>
      <c r="H5730" s="6" t="s">
        <v>37425</v>
      </c>
      <c r="K5730" s="5" t="s">
        <v>36595</v>
      </c>
    </row>
    <row r="5731">
      <c r="A5731" s="4">
        <v>45534.36264288194</v>
      </c>
      <c r="B5731" s="5" t="s">
        <v>34</v>
      </c>
      <c r="D5731" s="5" t="s">
        <v>35</v>
      </c>
      <c r="E5731" s="5" t="s">
        <v>37428</v>
      </c>
      <c r="F5731" s="5" t="s">
        <v>212</v>
      </c>
      <c r="G5731" s="5" t="s">
        <v>37429</v>
      </c>
      <c r="H5731" s="6" t="s">
        <v>37430</v>
      </c>
      <c r="K5731" s="5" t="s">
        <v>36595</v>
      </c>
    </row>
    <row r="5732">
      <c r="A5732" s="4">
        <v>45534.362650428244</v>
      </c>
      <c r="B5732" s="5" t="s">
        <v>34</v>
      </c>
      <c r="D5732" s="5" t="s">
        <v>1206</v>
      </c>
      <c r="E5732" s="5" t="s">
        <v>37433</v>
      </c>
      <c r="F5732" s="5" t="s">
        <v>37</v>
      </c>
      <c r="G5732" s="5" t="s">
        <v>37434</v>
      </c>
      <c r="H5732" s="6" t="s">
        <v>37435</v>
      </c>
      <c r="K5732" s="5" t="s">
        <v>36595</v>
      </c>
    </row>
    <row r="5733">
      <c r="A5733" s="4">
        <v>45534.36266461806</v>
      </c>
      <c r="B5733" s="5" t="s">
        <v>34</v>
      </c>
      <c r="D5733" s="5" t="s">
        <v>14313</v>
      </c>
      <c r="E5733" s="5" t="s">
        <v>37438</v>
      </c>
      <c r="F5733" s="5" t="s">
        <v>120</v>
      </c>
      <c r="G5733" s="5" t="s">
        <v>37439</v>
      </c>
      <c r="H5733" s="6" t="s">
        <v>37440</v>
      </c>
      <c r="K5733" s="5" t="s">
        <v>36595</v>
      </c>
    </row>
    <row r="5734">
      <c r="A5734" s="4">
        <v>45534.36267870371</v>
      </c>
      <c r="B5734" s="5" t="s">
        <v>34</v>
      </c>
      <c r="D5734" s="5" t="s">
        <v>267</v>
      </c>
      <c r="E5734" s="5" t="s">
        <v>37443</v>
      </c>
      <c r="F5734" s="5" t="s">
        <v>37</v>
      </c>
      <c r="G5734" s="5" t="s">
        <v>37444</v>
      </c>
      <c r="H5734" s="6" t="s">
        <v>37445</v>
      </c>
      <c r="K5734" s="5" t="s">
        <v>37446</v>
      </c>
    </row>
    <row r="5735">
      <c r="A5735" s="4">
        <v>45534.362690567126</v>
      </c>
      <c r="B5735" s="5" t="s">
        <v>34</v>
      </c>
      <c r="D5735" s="5" t="s">
        <v>14313</v>
      </c>
      <c r="E5735" s="5" t="s">
        <v>37450</v>
      </c>
      <c r="F5735" s="5" t="s">
        <v>199</v>
      </c>
      <c r="G5735" s="5" t="s">
        <v>37451</v>
      </c>
      <c r="H5735" s="6" t="s">
        <v>37452</v>
      </c>
      <c r="K5735" s="5" t="s">
        <v>37446</v>
      </c>
    </row>
    <row r="5736">
      <c r="A5736" s="4">
        <v>45534.36269101852</v>
      </c>
      <c r="B5736" s="5" t="s">
        <v>34</v>
      </c>
      <c r="D5736" s="5" t="s">
        <v>996</v>
      </c>
      <c r="E5736" s="5" t="s">
        <v>37455</v>
      </c>
      <c r="F5736" s="5" t="s">
        <v>524</v>
      </c>
      <c r="G5736" s="5" t="s">
        <v>37456</v>
      </c>
      <c r="H5736" s="6" t="s">
        <v>37457</v>
      </c>
      <c r="K5736" s="5" t="s">
        <v>37446</v>
      </c>
    </row>
    <row r="5737">
      <c r="A5737" s="4">
        <v>45534.36270761574</v>
      </c>
      <c r="B5737" s="5" t="s">
        <v>34</v>
      </c>
      <c r="D5737" s="5" t="s">
        <v>15401</v>
      </c>
      <c r="E5737" s="5" t="s">
        <v>37460</v>
      </c>
      <c r="F5737" s="5" t="s">
        <v>524</v>
      </c>
      <c r="G5737" s="5" t="s">
        <v>37461</v>
      </c>
      <c r="H5737" s="6" t="s">
        <v>37462</v>
      </c>
      <c r="K5737" s="5" t="s">
        <v>37463</v>
      </c>
    </row>
    <row r="5738">
      <c r="A5738" s="4">
        <v>45534.3627053588</v>
      </c>
      <c r="B5738" s="5" t="s">
        <v>34</v>
      </c>
      <c r="D5738" s="5" t="s">
        <v>9020</v>
      </c>
      <c r="E5738" s="5" t="s">
        <v>37466</v>
      </c>
      <c r="F5738" s="5" t="s">
        <v>212</v>
      </c>
      <c r="G5738" s="5" t="s">
        <v>37467</v>
      </c>
      <c r="H5738" s="6" t="s">
        <v>37468</v>
      </c>
      <c r="K5738" s="5" t="s">
        <v>37463</v>
      </c>
    </row>
    <row r="5739">
      <c r="A5739" s="4">
        <v>45534.36271940972</v>
      </c>
      <c r="B5739" s="5" t="s">
        <v>34</v>
      </c>
      <c r="D5739" s="5" t="s">
        <v>9020</v>
      </c>
      <c r="E5739" s="5" t="s">
        <v>37471</v>
      </c>
      <c r="F5739" s="5" t="s">
        <v>212</v>
      </c>
      <c r="G5739" s="5" t="s">
        <v>37472</v>
      </c>
      <c r="H5739" s="6" t="s">
        <v>37473</v>
      </c>
      <c r="K5739" s="5" t="s">
        <v>37474</v>
      </c>
    </row>
    <row r="5740">
      <c r="A5740" s="4">
        <v>45534.36276399306</v>
      </c>
      <c r="B5740" s="5" t="s">
        <v>34</v>
      </c>
      <c r="D5740" s="5" t="s">
        <v>12978</v>
      </c>
      <c r="E5740" s="5" t="s">
        <v>37478</v>
      </c>
      <c r="F5740" s="5" t="s">
        <v>72</v>
      </c>
      <c r="G5740" s="5" t="s">
        <v>37479</v>
      </c>
      <c r="H5740" s="6" t="s">
        <v>37480</v>
      </c>
      <c r="K5740" s="5" t="s">
        <v>37481</v>
      </c>
    </row>
    <row r="5741">
      <c r="A5741" s="4">
        <v>45534.362770949076</v>
      </c>
      <c r="B5741" s="5" t="s">
        <v>34</v>
      </c>
      <c r="D5741" s="5" t="s">
        <v>4775</v>
      </c>
      <c r="E5741" s="5" t="s">
        <v>37484</v>
      </c>
      <c r="F5741" s="5" t="s">
        <v>212</v>
      </c>
      <c r="G5741" s="5" t="s">
        <v>37485</v>
      </c>
      <c r="H5741" s="6" t="s">
        <v>37486</v>
      </c>
      <c r="K5741" s="5" t="s">
        <v>37481</v>
      </c>
    </row>
    <row r="5742">
      <c r="A5742" s="4">
        <v>45534.36281114584</v>
      </c>
      <c r="B5742" s="5" t="s">
        <v>34</v>
      </c>
      <c r="D5742" s="5" t="s">
        <v>9020</v>
      </c>
      <c r="E5742" s="5" t="s">
        <v>37489</v>
      </c>
      <c r="F5742" s="5" t="s">
        <v>212</v>
      </c>
      <c r="G5742" s="5" t="s">
        <v>37490</v>
      </c>
      <c r="H5742" s="6" t="s">
        <v>37491</v>
      </c>
      <c r="K5742" s="5" t="s">
        <v>36734</v>
      </c>
    </row>
    <row r="5743">
      <c r="A5743" s="4">
        <v>45534.36281519676</v>
      </c>
      <c r="B5743" s="5" t="s">
        <v>34</v>
      </c>
      <c r="D5743" s="5" t="s">
        <v>1206</v>
      </c>
      <c r="E5743" s="5" t="s">
        <v>37494</v>
      </c>
      <c r="F5743" s="5" t="s">
        <v>524</v>
      </c>
      <c r="G5743" s="5" t="s">
        <v>37495</v>
      </c>
      <c r="H5743" s="6" t="s">
        <v>37496</v>
      </c>
      <c r="K5743" s="5" t="s">
        <v>36734</v>
      </c>
    </row>
    <row r="5744">
      <c r="A5744" s="4">
        <v>45534.362819918984</v>
      </c>
      <c r="B5744" s="5" t="s">
        <v>34</v>
      </c>
      <c r="D5744" s="5" t="s">
        <v>12978</v>
      </c>
      <c r="E5744" s="5" t="s">
        <v>37499</v>
      </c>
      <c r="F5744" s="5" t="s">
        <v>524</v>
      </c>
      <c r="G5744" s="5" t="s">
        <v>37500</v>
      </c>
      <c r="H5744" s="6" t="s">
        <v>37501</v>
      </c>
      <c r="K5744" s="5" t="s">
        <v>36734</v>
      </c>
    </row>
    <row r="5745">
      <c r="A5745" s="4">
        <v>45534.36282335648</v>
      </c>
      <c r="B5745" s="5" t="s">
        <v>19</v>
      </c>
      <c r="C5745" s="5" t="s">
        <v>3301</v>
      </c>
      <c r="E5745" s="5" t="s">
        <v>37505</v>
      </c>
      <c r="F5745" s="5" t="s">
        <v>212</v>
      </c>
      <c r="G5745" s="5" t="s">
        <v>37506</v>
      </c>
      <c r="H5745" s="6" t="s">
        <v>37507</v>
      </c>
      <c r="K5745" s="5" t="s">
        <v>36734</v>
      </c>
    </row>
    <row r="5746">
      <c r="A5746" s="4">
        <v>45534.36282649306</v>
      </c>
      <c r="B5746" s="5" t="s">
        <v>34</v>
      </c>
      <c r="D5746" s="5" t="s">
        <v>4775</v>
      </c>
      <c r="E5746" s="5" t="s">
        <v>37510</v>
      </c>
      <c r="F5746" s="5" t="s">
        <v>375</v>
      </c>
      <c r="G5746" s="5" t="s">
        <v>37511</v>
      </c>
      <c r="H5746" s="6" t="s">
        <v>37512</v>
      </c>
      <c r="K5746" s="5" t="s">
        <v>36734</v>
      </c>
    </row>
    <row r="5747">
      <c r="A5747" s="4">
        <v>45534.362827060184</v>
      </c>
      <c r="B5747" s="5" t="s">
        <v>34</v>
      </c>
      <c r="D5747" s="5" t="s">
        <v>12978</v>
      </c>
      <c r="E5747" s="5" t="s">
        <v>37515</v>
      </c>
      <c r="F5747" s="5" t="s">
        <v>120</v>
      </c>
      <c r="G5747" s="5" t="s">
        <v>37516</v>
      </c>
      <c r="H5747" s="6" t="s">
        <v>37517</v>
      </c>
      <c r="K5747" s="5" t="s">
        <v>36734</v>
      </c>
    </row>
    <row r="5748">
      <c r="A5748" s="4">
        <v>45534.362828391204</v>
      </c>
      <c r="B5748" s="5" t="s">
        <v>34</v>
      </c>
      <c r="D5748" s="5" t="s">
        <v>4775</v>
      </c>
      <c r="E5748" s="5" t="s">
        <v>37520</v>
      </c>
      <c r="F5748" s="5" t="s">
        <v>524</v>
      </c>
      <c r="G5748" s="5" t="s">
        <v>37521</v>
      </c>
      <c r="H5748" s="6" t="s">
        <v>37522</v>
      </c>
      <c r="K5748" s="5" t="s">
        <v>36734</v>
      </c>
    </row>
    <row r="5749">
      <c r="A5749" s="4">
        <v>45534.36283033565</v>
      </c>
      <c r="B5749" s="5" t="s">
        <v>34</v>
      </c>
      <c r="D5749" s="5" t="s">
        <v>701</v>
      </c>
      <c r="E5749" s="5" t="s">
        <v>37525</v>
      </c>
      <c r="F5749" s="5" t="s">
        <v>212</v>
      </c>
      <c r="G5749" s="5" t="s">
        <v>37526</v>
      </c>
      <c r="H5749" s="6" t="s">
        <v>37527</v>
      </c>
      <c r="K5749" s="5" t="s">
        <v>36734</v>
      </c>
    </row>
    <row r="5750">
      <c r="A5750" s="4">
        <v>45534.3628353588</v>
      </c>
      <c r="B5750" s="5" t="s">
        <v>34</v>
      </c>
      <c r="D5750" s="5" t="s">
        <v>9020</v>
      </c>
      <c r="E5750" s="5" t="s">
        <v>37531</v>
      </c>
      <c r="F5750" s="5" t="s">
        <v>37</v>
      </c>
      <c r="G5750" s="5" t="s">
        <v>37532</v>
      </c>
      <c r="H5750" s="6" t="s">
        <v>37533</v>
      </c>
      <c r="K5750" s="5" t="s">
        <v>36734</v>
      </c>
    </row>
    <row r="5751">
      <c r="A5751" s="4">
        <v>45534.362848171295</v>
      </c>
      <c r="B5751" s="5" t="s">
        <v>34</v>
      </c>
      <c r="D5751" s="5" t="s">
        <v>1558</v>
      </c>
      <c r="E5751" s="5" t="s">
        <v>37536</v>
      </c>
      <c r="F5751" s="5" t="s">
        <v>212</v>
      </c>
      <c r="G5751" s="5" t="s">
        <v>37537</v>
      </c>
      <c r="H5751" s="6" t="s">
        <v>37538</v>
      </c>
      <c r="K5751" s="5" t="s">
        <v>36734</v>
      </c>
    </row>
    <row r="5752">
      <c r="A5752" s="4">
        <v>45534.36285268518</v>
      </c>
      <c r="B5752" s="5" t="s">
        <v>34</v>
      </c>
      <c r="D5752" s="5" t="s">
        <v>9020</v>
      </c>
      <c r="E5752" s="5" t="s">
        <v>37542</v>
      </c>
      <c r="F5752" s="5" t="s">
        <v>108</v>
      </c>
      <c r="G5752" s="5" t="s">
        <v>37543</v>
      </c>
      <c r="H5752" s="6" t="s">
        <v>37544</v>
      </c>
      <c r="K5752" s="5" t="s">
        <v>36734</v>
      </c>
    </row>
    <row r="5753">
      <c r="A5753" s="4">
        <v>45534.36285478009</v>
      </c>
      <c r="B5753" s="5" t="s">
        <v>34</v>
      </c>
      <c r="D5753" s="5" t="s">
        <v>1206</v>
      </c>
      <c r="E5753" s="5" t="s">
        <v>27097</v>
      </c>
      <c r="F5753" s="5" t="s">
        <v>212</v>
      </c>
      <c r="G5753" s="5" t="s">
        <v>37548</v>
      </c>
      <c r="H5753" s="6" t="s">
        <v>37549</v>
      </c>
      <c r="K5753" s="5" t="s">
        <v>36734</v>
      </c>
    </row>
    <row r="5754">
      <c r="A5754" s="4">
        <v>45534.36285780092</v>
      </c>
      <c r="B5754" s="5" t="s">
        <v>34</v>
      </c>
      <c r="D5754" s="5" t="s">
        <v>4775</v>
      </c>
      <c r="E5754" s="5" t="s">
        <v>37552</v>
      </c>
      <c r="F5754" s="5" t="s">
        <v>524</v>
      </c>
      <c r="G5754" s="5" t="s">
        <v>37553</v>
      </c>
      <c r="H5754" s="6" t="s">
        <v>37554</v>
      </c>
      <c r="K5754" s="5" t="s">
        <v>36734</v>
      </c>
    </row>
    <row r="5755">
      <c r="A5755" s="4">
        <v>45534.36286123843</v>
      </c>
      <c r="B5755" s="5" t="s">
        <v>34</v>
      </c>
      <c r="D5755" s="5" t="s">
        <v>4775</v>
      </c>
      <c r="E5755" s="5" t="s">
        <v>37557</v>
      </c>
      <c r="F5755" s="5" t="s">
        <v>524</v>
      </c>
      <c r="G5755" s="5" t="s">
        <v>37558</v>
      </c>
      <c r="H5755" s="6" t="s">
        <v>37559</v>
      </c>
      <c r="K5755" s="5" t="s">
        <v>36734</v>
      </c>
    </row>
    <row r="5756">
      <c r="A5756" s="4">
        <v>45534.36286248843</v>
      </c>
      <c r="B5756" s="5" t="s">
        <v>34</v>
      </c>
      <c r="D5756" s="5" t="s">
        <v>14313</v>
      </c>
      <c r="E5756" s="5" t="s">
        <v>37562</v>
      </c>
      <c r="F5756" s="5" t="s">
        <v>212</v>
      </c>
      <c r="G5756" s="5" t="s">
        <v>37563</v>
      </c>
      <c r="H5756" s="6" t="s">
        <v>37564</v>
      </c>
      <c r="K5756" s="5" t="s">
        <v>36734</v>
      </c>
    </row>
    <row r="5757">
      <c r="A5757" s="4">
        <v>45534.36286465278</v>
      </c>
      <c r="B5757" s="5" t="s">
        <v>34</v>
      </c>
      <c r="D5757" s="5" t="s">
        <v>10444</v>
      </c>
      <c r="E5757" s="5" t="s">
        <v>37567</v>
      </c>
      <c r="F5757" s="5" t="s">
        <v>212</v>
      </c>
      <c r="G5757" s="5" t="s">
        <v>37568</v>
      </c>
      <c r="H5757" s="6" t="s">
        <v>37569</v>
      </c>
      <c r="K5757" s="5" t="s">
        <v>36734</v>
      </c>
    </row>
    <row r="5758">
      <c r="A5758" s="4">
        <v>45534.362868055556</v>
      </c>
      <c r="B5758" s="5" t="s">
        <v>34</v>
      </c>
      <c r="D5758" s="5" t="s">
        <v>4775</v>
      </c>
      <c r="E5758" s="5" t="s">
        <v>37573</v>
      </c>
      <c r="F5758" s="5" t="s">
        <v>37</v>
      </c>
      <c r="G5758" s="5" t="s">
        <v>37574</v>
      </c>
      <c r="H5758" s="6" t="s">
        <v>37575</v>
      </c>
      <c r="K5758" s="5" t="s">
        <v>36734</v>
      </c>
    </row>
    <row r="5759">
      <c r="A5759" s="4">
        <v>45534.36287303241</v>
      </c>
      <c r="B5759" s="5" t="s">
        <v>34</v>
      </c>
      <c r="D5759" s="5" t="s">
        <v>2903</v>
      </c>
      <c r="E5759" s="5" t="s">
        <v>37578</v>
      </c>
      <c r="F5759" s="5" t="s">
        <v>212</v>
      </c>
      <c r="G5759" s="5" t="s">
        <v>37579</v>
      </c>
      <c r="H5759" s="6" t="s">
        <v>37580</v>
      </c>
      <c r="K5759" s="5" t="s">
        <v>37581</v>
      </c>
    </row>
    <row r="5760">
      <c r="A5760" s="4">
        <v>45534.362876597224</v>
      </c>
      <c r="B5760" s="5" t="s">
        <v>34</v>
      </c>
      <c r="D5760" s="5" t="s">
        <v>1558</v>
      </c>
      <c r="E5760" s="5" t="s">
        <v>37585</v>
      </c>
      <c r="F5760" s="5" t="s">
        <v>212</v>
      </c>
      <c r="G5760" s="5" t="s">
        <v>37586</v>
      </c>
      <c r="H5760" s="6" t="s">
        <v>37587</v>
      </c>
      <c r="K5760" s="5" t="s">
        <v>37581</v>
      </c>
    </row>
    <row r="5761">
      <c r="A5761" s="4">
        <v>45534.362876851854</v>
      </c>
      <c r="B5761" s="5" t="s">
        <v>34</v>
      </c>
      <c r="D5761" s="5" t="s">
        <v>9394</v>
      </c>
      <c r="E5761" s="5" t="s">
        <v>16275</v>
      </c>
      <c r="F5761" s="5" t="s">
        <v>212</v>
      </c>
      <c r="G5761" s="5" t="s">
        <v>37590</v>
      </c>
      <c r="H5761" s="6" t="s">
        <v>37591</v>
      </c>
      <c r="K5761" s="5" t="s">
        <v>37581</v>
      </c>
    </row>
    <row r="5762">
      <c r="A5762" s="4">
        <v>45534.36287824074</v>
      </c>
      <c r="B5762" s="5" t="s">
        <v>34</v>
      </c>
      <c r="D5762" s="5" t="s">
        <v>2903</v>
      </c>
      <c r="E5762" s="5" t="s">
        <v>37594</v>
      </c>
      <c r="F5762" s="5" t="s">
        <v>212</v>
      </c>
      <c r="G5762" s="5" t="s">
        <v>37595</v>
      </c>
      <c r="H5762" s="6" t="s">
        <v>37596</v>
      </c>
      <c r="K5762" s="5" t="s">
        <v>37581</v>
      </c>
    </row>
    <row r="5763">
      <c r="A5763" s="4">
        <v>45534.36289072917</v>
      </c>
      <c r="B5763" s="5" t="s">
        <v>34</v>
      </c>
      <c r="D5763" s="5" t="s">
        <v>267</v>
      </c>
      <c r="E5763" s="5" t="s">
        <v>37599</v>
      </c>
      <c r="F5763" s="5" t="s">
        <v>72</v>
      </c>
      <c r="G5763" s="5" t="s">
        <v>37600</v>
      </c>
      <c r="H5763" s="6" t="s">
        <v>37601</v>
      </c>
      <c r="K5763" s="5" t="s">
        <v>37581</v>
      </c>
    </row>
    <row r="5764">
      <c r="A5764" s="4">
        <v>45534.362906967595</v>
      </c>
      <c r="B5764" s="5" t="s">
        <v>34</v>
      </c>
      <c r="D5764" s="5" t="s">
        <v>1206</v>
      </c>
      <c r="E5764" s="5" t="s">
        <v>37605</v>
      </c>
      <c r="F5764" s="5" t="s">
        <v>212</v>
      </c>
      <c r="G5764" s="5" t="s">
        <v>37606</v>
      </c>
      <c r="H5764" s="6" t="s">
        <v>37607</v>
      </c>
      <c r="K5764" s="5" t="s">
        <v>37581</v>
      </c>
    </row>
    <row r="5765">
      <c r="A5765" s="4">
        <v>45534.36290796296</v>
      </c>
      <c r="B5765" s="5" t="s">
        <v>19</v>
      </c>
      <c r="C5765" s="5" t="s">
        <v>14000</v>
      </c>
      <c r="E5765" s="5" t="s">
        <v>37610</v>
      </c>
      <c r="F5765" s="5" t="s">
        <v>72</v>
      </c>
      <c r="G5765" s="5" t="s">
        <v>37611</v>
      </c>
      <c r="H5765" s="6" t="s">
        <v>37612</v>
      </c>
      <c r="K5765" s="5" t="s">
        <v>37581</v>
      </c>
    </row>
    <row r="5766">
      <c r="A5766" s="4">
        <v>45534.36291280093</v>
      </c>
      <c r="B5766" s="5" t="s">
        <v>34</v>
      </c>
      <c r="D5766" s="5" t="s">
        <v>1206</v>
      </c>
      <c r="E5766" s="5" t="s">
        <v>37615</v>
      </c>
      <c r="F5766" s="5" t="s">
        <v>212</v>
      </c>
      <c r="G5766" s="5" t="s">
        <v>37616</v>
      </c>
      <c r="H5766" s="6" t="s">
        <v>37617</v>
      </c>
      <c r="K5766" s="5" t="s">
        <v>37581</v>
      </c>
    </row>
    <row r="5767">
      <c r="A5767" s="4">
        <v>45534.36291755787</v>
      </c>
      <c r="B5767" s="5" t="s">
        <v>34</v>
      </c>
      <c r="D5767" s="5" t="s">
        <v>9020</v>
      </c>
      <c r="E5767" s="5" t="s">
        <v>37621</v>
      </c>
      <c r="F5767" s="5" t="s">
        <v>108</v>
      </c>
      <c r="G5767" s="5" t="s">
        <v>37622</v>
      </c>
      <c r="H5767" s="6" t="s">
        <v>37623</v>
      </c>
      <c r="K5767" s="5" t="s">
        <v>37581</v>
      </c>
    </row>
    <row r="5768">
      <c r="A5768" s="4">
        <v>45534.36293668981</v>
      </c>
      <c r="B5768" s="5" t="s">
        <v>34</v>
      </c>
      <c r="D5768" s="5" t="s">
        <v>1558</v>
      </c>
      <c r="E5768" s="5" t="s">
        <v>37626</v>
      </c>
      <c r="F5768" s="5" t="s">
        <v>375</v>
      </c>
      <c r="G5768" s="5" t="s">
        <v>37627</v>
      </c>
      <c r="H5768" s="6" t="s">
        <v>37628</v>
      </c>
      <c r="K5768" s="5" t="s">
        <v>37581</v>
      </c>
    </row>
    <row r="5769">
      <c r="A5769" s="4">
        <v>45534.362946099536</v>
      </c>
      <c r="B5769" s="5" t="s">
        <v>34</v>
      </c>
      <c r="D5769" s="5" t="s">
        <v>267</v>
      </c>
      <c r="E5769" s="5" t="s">
        <v>37631</v>
      </c>
      <c r="F5769" s="5" t="s">
        <v>108</v>
      </c>
      <c r="G5769" s="5" t="s">
        <v>37632</v>
      </c>
      <c r="H5769" s="6" t="s">
        <v>37633</v>
      </c>
      <c r="I5769" s="7" t="s">
        <v>37634</v>
      </c>
      <c r="J5769" s="8" t="str">
        <f>HYPERLINK("https://drive.google.com/file/d/1a3xdL2B4x9U7A31LAeSNOfFgGwqYLsyp/view?usp=drivesdk","ROBIUM, S. H SERTIFIKAT BerAKHLAK")</f>
        <v>ROBIUM, S. H SERTIFIKAT BerAKHLAK</v>
      </c>
      <c r="K5769" s="5" t="s">
        <v>36587</v>
      </c>
      <c r="L5769" s="5" t="s">
        <v>37635</v>
      </c>
    </row>
    <row r="5770">
      <c r="A5770" s="4">
        <v>45534.36294832176</v>
      </c>
      <c r="B5770" s="5" t="s">
        <v>34</v>
      </c>
      <c r="D5770" s="5" t="s">
        <v>1206</v>
      </c>
      <c r="E5770" s="5" t="s">
        <v>37638</v>
      </c>
      <c r="F5770" s="5" t="s">
        <v>212</v>
      </c>
      <c r="G5770" s="5" t="s">
        <v>37639</v>
      </c>
      <c r="H5770" s="6" t="s">
        <v>37640</v>
      </c>
      <c r="I5770" s="7" t="s">
        <v>37641</v>
      </c>
      <c r="J5770" s="8" t="str">
        <f>HYPERLINK("https://drive.google.com/file/d/1IK_ymfo_j0UZo7BeAmLuC2oJ1K23Eksw/view?usp=drivesdk","ROCHMAWATI SERTIFIKAT BerAKHLAK")</f>
        <v>ROCHMAWATI SERTIFIKAT BerAKHLAK</v>
      </c>
      <c r="K5770" s="5" t="s">
        <v>37306</v>
      </c>
      <c r="L5770" s="5" t="s">
        <v>37642</v>
      </c>
    </row>
    <row r="5771">
      <c r="A5771" s="4">
        <v>45534.362959351856</v>
      </c>
      <c r="B5771" s="5" t="s">
        <v>34</v>
      </c>
      <c r="D5771" s="5" t="s">
        <v>35</v>
      </c>
      <c r="E5771" s="5" t="s">
        <v>37646</v>
      </c>
      <c r="F5771" s="5" t="s">
        <v>72</v>
      </c>
      <c r="G5771" s="5" t="s">
        <v>37647</v>
      </c>
      <c r="H5771" s="6" t="s">
        <v>37648</v>
      </c>
      <c r="K5771" s="5" t="s">
        <v>37649</v>
      </c>
    </row>
    <row r="5772">
      <c r="A5772" s="4">
        <v>45534.3629603125</v>
      </c>
      <c r="B5772" s="5" t="s">
        <v>34</v>
      </c>
      <c r="D5772" s="5" t="s">
        <v>4775</v>
      </c>
      <c r="E5772" s="5" t="s">
        <v>37652</v>
      </c>
      <c r="F5772" s="5" t="s">
        <v>108</v>
      </c>
      <c r="G5772" s="5" t="s">
        <v>37653</v>
      </c>
      <c r="H5772" s="6" t="s">
        <v>37654</v>
      </c>
      <c r="I5772" s="7" t="s">
        <v>37655</v>
      </c>
      <c r="J5772" s="8" t="str">
        <f>HYPERLINK("https://drive.google.com/file/d/1mFM4ITt5xURJW-YJxyRM3JLK3lrgKbti/view?usp=drivesdk","TETY DIAN LESTARI SERTIFIKAT BerAKHLAK")</f>
        <v>TETY DIAN LESTARI SERTIFIKAT BerAKHLAK</v>
      </c>
      <c r="K5772" s="5" t="s">
        <v>36587</v>
      </c>
      <c r="L5772" s="5" t="s">
        <v>37656</v>
      </c>
    </row>
    <row r="5773">
      <c r="A5773" s="4">
        <v>45534.36296380787</v>
      </c>
      <c r="B5773" s="5" t="s">
        <v>34</v>
      </c>
      <c r="D5773" s="5" t="s">
        <v>4775</v>
      </c>
      <c r="E5773" s="5" t="s">
        <v>37659</v>
      </c>
      <c r="F5773" s="5" t="s">
        <v>212</v>
      </c>
      <c r="G5773" s="5" t="s">
        <v>37660</v>
      </c>
      <c r="H5773" s="6" t="s">
        <v>37661</v>
      </c>
      <c r="I5773" s="7" t="s">
        <v>37662</v>
      </c>
      <c r="J5773" s="8" t="str">
        <f>HYPERLINK("https://drive.google.com/file/d/1uGkptFIADzd95i_1z6zF34646e9xsl2x/view?usp=drivesdk","JAENAL ABIDIN ALI SERTIFIKAT BerAKHLAK")</f>
        <v>JAENAL ABIDIN ALI SERTIFIKAT BerAKHLAK</v>
      </c>
      <c r="K5773" s="5" t="s">
        <v>37306</v>
      </c>
      <c r="L5773" s="5" t="s">
        <v>37663</v>
      </c>
    </row>
    <row r="5774">
      <c r="A5774" s="4">
        <v>45534.3629767824</v>
      </c>
      <c r="B5774" s="5" t="s">
        <v>34</v>
      </c>
      <c r="D5774" s="5" t="s">
        <v>4775</v>
      </c>
      <c r="E5774" s="5" t="s">
        <v>37666</v>
      </c>
      <c r="F5774" s="5" t="s">
        <v>72</v>
      </c>
      <c r="G5774" s="5" t="s">
        <v>37667</v>
      </c>
      <c r="H5774" s="6" t="s">
        <v>37668</v>
      </c>
      <c r="I5774" s="7" t="s">
        <v>37669</v>
      </c>
      <c r="J5774" s="8" t="str">
        <f>HYPERLINK("https://drive.google.com/file/d/1swGcajmuAk2dPxjlIjLW4ue5aRSq4v5w/view?usp=drivesdk","SRI BUDI RAHAYU, Amd.Keb. SERTIFIKAT BerAKHLAK")</f>
        <v>SRI BUDI RAHAYU, Amd.Keb. SERTIFIKAT BerAKHLAK</v>
      </c>
      <c r="K5774" s="5" t="s">
        <v>36587</v>
      </c>
      <c r="L5774" s="5" t="s">
        <v>37670</v>
      </c>
    </row>
    <row r="5775">
      <c r="A5775" s="4">
        <v>45534.36298107639</v>
      </c>
      <c r="B5775" s="5" t="s">
        <v>34</v>
      </c>
      <c r="D5775" s="5" t="s">
        <v>9020</v>
      </c>
      <c r="E5775" s="5" t="s">
        <v>37674</v>
      </c>
      <c r="F5775" s="5" t="s">
        <v>37</v>
      </c>
      <c r="G5775" s="5" t="s">
        <v>37675</v>
      </c>
      <c r="H5775" s="6" t="s">
        <v>37676</v>
      </c>
      <c r="I5775" s="7" t="s">
        <v>37677</v>
      </c>
      <c r="J5775" s="8" t="str">
        <f>HYPERLINK("https://drive.google.com/file/d/1sKuuG-gqsTjT53-UtThLP9V176ivSDEJ/view?usp=drivesdk","ISMAiNI SERTIFIKAT BerAKHLAK")</f>
        <v>ISMAiNI SERTIFIKAT BerAKHLAK</v>
      </c>
      <c r="K5775" s="5" t="s">
        <v>37306</v>
      </c>
      <c r="L5775" s="5" t="s">
        <v>37678</v>
      </c>
    </row>
    <row r="5776">
      <c r="A5776" s="4">
        <v>45534.362983680556</v>
      </c>
      <c r="B5776" s="5" t="s">
        <v>34</v>
      </c>
      <c r="D5776" s="5" t="s">
        <v>35</v>
      </c>
      <c r="E5776" s="5" t="s">
        <v>37681</v>
      </c>
      <c r="F5776" s="5" t="s">
        <v>108</v>
      </c>
      <c r="G5776" s="5" t="s">
        <v>37682</v>
      </c>
      <c r="H5776" s="6" t="s">
        <v>37683</v>
      </c>
      <c r="I5776" s="7" t="s">
        <v>37684</v>
      </c>
      <c r="J5776" s="8" t="str">
        <f>HYPERLINK("https://drive.google.com/file/d/1BQWlY_DWfo4IRR_xAK5jayQMMBDw5Vxm/view?usp=drivesdk","YUDI YUDIANTO  SERTIFIKAT BerAKHLAK")</f>
        <v>YUDI YUDIANTO  SERTIFIKAT BerAKHLAK</v>
      </c>
      <c r="K5776" s="5" t="s">
        <v>37306</v>
      </c>
      <c r="L5776" s="5" t="s">
        <v>37685</v>
      </c>
    </row>
    <row r="5777">
      <c r="A5777" s="4">
        <v>45534.36299537037</v>
      </c>
      <c r="B5777" s="5" t="s">
        <v>34</v>
      </c>
      <c r="D5777" s="5" t="s">
        <v>14424</v>
      </c>
      <c r="E5777" s="5" t="s">
        <v>37688</v>
      </c>
      <c r="F5777" s="5" t="s">
        <v>37</v>
      </c>
      <c r="G5777" s="5" t="s">
        <v>37689</v>
      </c>
      <c r="H5777" s="6" t="s">
        <v>37690</v>
      </c>
      <c r="I5777" s="7" t="s">
        <v>37691</v>
      </c>
      <c r="J5777" s="8" t="str">
        <f>HYPERLINK("https://drive.google.com/file/d/1vKE7mOOpQyDuOUmVjUFOtoea1PWwxY_e/view?usp=drivesdk","NURUL AULIA SAFITRI, A. Md. Kep SERTIFIKAT BerAKHLAK")</f>
        <v>NURUL AULIA SAFITRI, A. Md. Kep SERTIFIKAT BerAKHLAK</v>
      </c>
      <c r="K5777" s="5" t="s">
        <v>37306</v>
      </c>
      <c r="L5777" s="5" t="s">
        <v>37692</v>
      </c>
    </row>
    <row r="5778">
      <c r="A5778" s="4">
        <v>45534.3630053588</v>
      </c>
      <c r="B5778" s="5" t="s">
        <v>34</v>
      </c>
      <c r="D5778" s="5" t="s">
        <v>1206</v>
      </c>
      <c r="E5778" s="5" t="s">
        <v>37695</v>
      </c>
      <c r="F5778" s="5" t="s">
        <v>37</v>
      </c>
      <c r="G5778" s="5" t="s">
        <v>37696</v>
      </c>
      <c r="H5778" s="6" t="s">
        <v>37697</v>
      </c>
      <c r="I5778" s="7" t="s">
        <v>37698</v>
      </c>
      <c r="J5778" s="8" t="str">
        <f>HYPERLINK("https://drive.google.com/file/d/1ym_kgM1PsWOoVhDDMvR9YokNrfoT_0s_/view?usp=drivesdk","ELY MABRUROH SERTIFIKAT BerAKHLAK")</f>
        <v>ELY MABRUROH SERTIFIKAT BerAKHLAK</v>
      </c>
      <c r="K5778" s="5" t="s">
        <v>37306</v>
      </c>
      <c r="L5778" s="5" t="s">
        <v>37699</v>
      </c>
    </row>
    <row r="5779">
      <c r="A5779" s="4">
        <v>45534.3630059375</v>
      </c>
      <c r="B5779" s="5" t="s">
        <v>34</v>
      </c>
      <c r="D5779" s="5" t="s">
        <v>14424</v>
      </c>
      <c r="E5779" s="5" t="s">
        <v>37703</v>
      </c>
      <c r="F5779" s="5" t="s">
        <v>212</v>
      </c>
      <c r="G5779" s="5" t="s">
        <v>37704</v>
      </c>
      <c r="H5779" s="6" t="s">
        <v>37705</v>
      </c>
      <c r="I5779" s="7" t="s">
        <v>37706</v>
      </c>
      <c r="J5779" s="8" t="str">
        <f>HYPERLINK("https://drive.google.com/file/d/1gbzV5biq3ywA0OXeBlzOi7qnqdgTIWs0/view?usp=drivesdk","Ns. Bambang Suriandi  SERTIFIKAT BerAKHLAK")</f>
        <v>Ns. Bambang Suriandi  SERTIFIKAT BerAKHLAK</v>
      </c>
      <c r="K5779" s="5" t="s">
        <v>36587</v>
      </c>
      <c r="L5779" s="5" t="s">
        <v>37707</v>
      </c>
    </row>
    <row r="5780">
      <c r="A5780" s="4">
        <v>45534.36302498843</v>
      </c>
      <c r="B5780" s="5" t="s">
        <v>34</v>
      </c>
      <c r="D5780" s="5" t="s">
        <v>580</v>
      </c>
      <c r="E5780" s="5" t="s">
        <v>37710</v>
      </c>
      <c r="F5780" s="5" t="s">
        <v>212</v>
      </c>
      <c r="G5780" s="5" t="s">
        <v>37711</v>
      </c>
      <c r="H5780" s="6" t="s">
        <v>37712</v>
      </c>
      <c r="I5780" s="7" t="s">
        <v>37713</v>
      </c>
      <c r="J5780" s="8" t="str">
        <f>HYPERLINK("https://drive.google.com/file/d/1mBYyxf4V_xeHYUHMSUVh3Zj-6Z4QAS8l/view?usp=drivesdk","NI MADE SUJANI  SERTIFIKAT BerAKHLAK")</f>
        <v>NI MADE SUJANI  SERTIFIKAT BerAKHLAK</v>
      </c>
      <c r="K5780" s="5" t="s">
        <v>37306</v>
      </c>
      <c r="L5780" s="5" t="s">
        <v>37714</v>
      </c>
    </row>
    <row r="5781">
      <c r="A5781" s="4">
        <v>45534.36302907407</v>
      </c>
      <c r="B5781" s="5" t="s">
        <v>34</v>
      </c>
      <c r="D5781" s="5" t="s">
        <v>14424</v>
      </c>
      <c r="E5781" s="5" t="s">
        <v>37717</v>
      </c>
      <c r="F5781" s="5" t="s">
        <v>120</v>
      </c>
      <c r="G5781" s="5" t="s">
        <v>37718</v>
      </c>
      <c r="H5781" s="6" t="s">
        <v>37719</v>
      </c>
      <c r="I5781" s="7" t="s">
        <v>37720</v>
      </c>
      <c r="J5781" s="8" t="str">
        <f>HYPERLINK("https://drive.google.com/file/d/1cyduJAZasZeJxrjtiGWbg9yrlaBLhR_l/view?usp=drivesdk","Dr. NORMA YUNITA, SKM, MM SERTIFIKAT BerAKHLAK")</f>
        <v>Dr. NORMA YUNITA, SKM, MM SERTIFIKAT BerAKHLAK</v>
      </c>
      <c r="K5781" s="5" t="s">
        <v>37306</v>
      </c>
      <c r="L5781" s="5" t="s">
        <v>37721</v>
      </c>
    </row>
    <row r="5782">
      <c r="A5782" s="4">
        <v>45534.36302896991</v>
      </c>
      <c r="B5782" s="5" t="s">
        <v>34</v>
      </c>
      <c r="D5782" s="5" t="s">
        <v>15401</v>
      </c>
      <c r="E5782" s="5" t="s">
        <v>37724</v>
      </c>
      <c r="F5782" s="5" t="s">
        <v>524</v>
      </c>
      <c r="G5782" s="5" t="s">
        <v>37725</v>
      </c>
      <c r="H5782" s="6" t="s">
        <v>37726</v>
      </c>
      <c r="I5782" s="7" t="s">
        <v>37727</v>
      </c>
      <c r="J5782" s="8" t="str">
        <f>HYPERLINK("https://drive.google.com/file/d/1dIs2HFjwEAKY1WflvzGQp4VOpSJVFQJz/view?usp=drivesdk","RACHMAWATI DJALALI,A.Md.Kep SERTIFIKAT BerAKHLAK")</f>
        <v>RACHMAWATI DJALALI,A.Md.Kep SERTIFIKAT BerAKHLAK</v>
      </c>
      <c r="K5782" s="5" t="s">
        <v>37306</v>
      </c>
      <c r="L5782" s="5" t="s">
        <v>37728</v>
      </c>
    </row>
    <row r="5783">
      <c r="A5783" s="4">
        <v>45534.36303927083</v>
      </c>
      <c r="B5783" s="5" t="s">
        <v>34</v>
      </c>
      <c r="D5783" s="5" t="s">
        <v>9020</v>
      </c>
      <c r="E5783" s="5" t="s">
        <v>37731</v>
      </c>
      <c r="F5783" s="5" t="s">
        <v>212</v>
      </c>
      <c r="G5783" s="5" t="s">
        <v>37732</v>
      </c>
      <c r="H5783" s="6" t="s">
        <v>37733</v>
      </c>
      <c r="I5783" s="7" t="s">
        <v>37734</v>
      </c>
      <c r="J5783" s="8" t="str">
        <f>HYPERLINK("https://drive.google.com/file/d/1GB-OSU1umuG_u4zYS1Xvo7Zc0YUE0FxT/view?usp=drivesdk","UUMI KALSUM, AMD. KEP SERTIFIKAT BerAKHLAK")</f>
        <v>UUMI KALSUM, AMD. KEP SERTIFIKAT BerAKHLAK</v>
      </c>
      <c r="K5783" s="5" t="s">
        <v>37306</v>
      </c>
      <c r="L5783" s="5" t="s">
        <v>37735</v>
      </c>
    </row>
    <row r="5784">
      <c r="A5784" s="4">
        <v>45534.36303789352</v>
      </c>
      <c r="B5784" s="5" t="s">
        <v>34</v>
      </c>
      <c r="D5784" s="5" t="s">
        <v>35</v>
      </c>
      <c r="E5784" s="5" t="s">
        <v>37739</v>
      </c>
      <c r="F5784" s="5" t="s">
        <v>37</v>
      </c>
      <c r="G5784" s="5" t="s">
        <v>37740</v>
      </c>
      <c r="H5784" s="6" t="s">
        <v>37741</v>
      </c>
      <c r="I5784" s="7" t="s">
        <v>37742</v>
      </c>
      <c r="J5784" s="8" t="str">
        <f>HYPERLINK("https://drive.google.com/file/d/16yPWtonjLlnTn2vMpzzHOG5_zXryFhz2/view?usp=drivesdk","SITI NURJANAH, A.MD.TRO SERTIFIKAT BerAKHLAK")</f>
        <v>SITI NURJANAH, A.MD.TRO SERTIFIKAT BerAKHLAK</v>
      </c>
      <c r="K5784" s="5" t="s">
        <v>37306</v>
      </c>
      <c r="L5784" s="5" t="s">
        <v>37743</v>
      </c>
    </row>
    <row r="5785">
      <c r="A5785" s="4">
        <v>45534.36304568287</v>
      </c>
      <c r="B5785" s="5" t="s">
        <v>34</v>
      </c>
      <c r="D5785" s="5" t="s">
        <v>996</v>
      </c>
      <c r="E5785" s="5" t="s">
        <v>37746</v>
      </c>
      <c r="F5785" s="5" t="s">
        <v>524</v>
      </c>
      <c r="G5785" s="5" t="s">
        <v>37747</v>
      </c>
      <c r="H5785" s="6" t="s">
        <v>37748</v>
      </c>
      <c r="I5785" s="7" t="s">
        <v>37749</v>
      </c>
      <c r="J5785" s="8" t="str">
        <f>HYPERLINK("https://drive.google.com/file/d/1o2u7D1oyv-uo3oGIYJiE69HKnwfpzTU0/view?usp=drivesdk","TRI WAHYUNI, S.K.M. SERTIFIKAT BerAKHLAK")</f>
        <v>TRI WAHYUNI, S.K.M. SERTIFIKAT BerAKHLAK</v>
      </c>
      <c r="K5785" s="5" t="s">
        <v>37306</v>
      </c>
      <c r="L5785" s="5" t="s">
        <v>37750</v>
      </c>
    </row>
    <row r="5786">
      <c r="A5786" s="4">
        <v>45534.36305726852</v>
      </c>
      <c r="B5786" s="5" t="s">
        <v>34</v>
      </c>
      <c r="D5786" s="5" t="s">
        <v>1206</v>
      </c>
      <c r="E5786" s="5" t="s">
        <v>37753</v>
      </c>
      <c r="F5786" s="5" t="s">
        <v>212</v>
      </c>
      <c r="G5786" s="5" t="s">
        <v>37754</v>
      </c>
      <c r="H5786" s="6" t="s">
        <v>37755</v>
      </c>
      <c r="K5786" s="5" t="s">
        <v>37756</v>
      </c>
    </row>
    <row r="5787">
      <c r="A5787" s="4">
        <v>45534.36307082176</v>
      </c>
      <c r="B5787" s="5" t="s">
        <v>34</v>
      </c>
      <c r="D5787" s="5" t="s">
        <v>14424</v>
      </c>
      <c r="E5787" s="5" t="s">
        <v>37759</v>
      </c>
      <c r="F5787" s="5" t="s">
        <v>212</v>
      </c>
      <c r="G5787" s="5" t="s">
        <v>37760</v>
      </c>
      <c r="H5787" s="6" t="s">
        <v>37761</v>
      </c>
      <c r="K5787" s="5" t="s">
        <v>37756</v>
      </c>
    </row>
    <row r="5788">
      <c r="A5788" s="4">
        <v>45534.36312090278</v>
      </c>
      <c r="B5788" s="5" t="s">
        <v>19</v>
      </c>
      <c r="C5788" s="5" t="s">
        <v>20</v>
      </c>
      <c r="E5788" s="5" t="s">
        <v>37764</v>
      </c>
      <c r="F5788" s="5" t="s">
        <v>22</v>
      </c>
      <c r="G5788" s="5" t="s">
        <v>37765</v>
      </c>
      <c r="H5788" s="6" t="s">
        <v>37766</v>
      </c>
      <c r="I5788" s="7" t="s">
        <v>37767</v>
      </c>
      <c r="J5788" s="8" t="str">
        <f>HYPERLINK("https://drive.google.com/file/d/13pCgeOZlKqUqJcYAYGk1Qhic2JKEd_FP/view?usp=drivesdk","Qorry Widianty, S. Ag. SERTIFIKAT BerAKHLAK")</f>
        <v>Qorry Widianty, S. Ag. SERTIFIKAT BerAKHLAK</v>
      </c>
      <c r="K5788" s="5" t="s">
        <v>37306</v>
      </c>
      <c r="L5788" s="5" t="s">
        <v>37768</v>
      </c>
    </row>
    <row r="5789">
      <c r="A5789" s="4">
        <v>45534.36312068287</v>
      </c>
      <c r="B5789" s="5" t="s">
        <v>34</v>
      </c>
      <c r="D5789" s="5" t="s">
        <v>1206</v>
      </c>
      <c r="E5789" s="5" t="s">
        <v>31130</v>
      </c>
      <c r="F5789" s="5" t="s">
        <v>212</v>
      </c>
      <c r="G5789" s="5" t="s">
        <v>37772</v>
      </c>
      <c r="H5789" s="6" t="s">
        <v>37773</v>
      </c>
      <c r="I5789" s="7" t="s">
        <v>37774</v>
      </c>
      <c r="J5789" s="8" t="str">
        <f>HYPERLINK("https://drive.google.com/file/d/191kh8soGuYlx7efyJxnB2LUiB0rngHnH/view?usp=drivesdk","SUNARSIH SERTIFIKAT BerAKHLAK")</f>
        <v>SUNARSIH SERTIFIKAT BerAKHLAK</v>
      </c>
      <c r="K5789" s="5" t="s">
        <v>37306</v>
      </c>
      <c r="L5789" s="5" t="s">
        <v>37775</v>
      </c>
    </row>
    <row r="5790">
      <c r="A5790" s="4">
        <v>45534.36312126157</v>
      </c>
      <c r="B5790" s="5" t="s">
        <v>34</v>
      </c>
      <c r="D5790" s="5" t="s">
        <v>522</v>
      </c>
      <c r="E5790" s="5" t="s">
        <v>37778</v>
      </c>
      <c r="F5790" s="5" t="s">
        <v>212</v>
      </c>
      <c r="G5790" s="5" t="s">
        <v>37779</v>
      </c>
      <c r="H5790" s="6" t="s">
        <v>37780</v>
      </c>
      <c r="I5790" s="7" t="s">
        <v>37781</v>
      </c>
      <c r="J5790" s="8" t="str">
        <f>HYPERLINK("https://drive.google.com/file/d/1n7ZOffUVwJ0vKa8cxy8TUf8dV8i4sqSa/view?usp=drivesdk","RAFIDAH SERTIFIKAT BerAKHLAK")</f>
        <v>RAFIDAH SERTIFIKAT BerAKHLAK</v>
      </c>
      <c r="K5790" s="5" t="s">
        <v>37306</v>
      </c>
      <c r="L5790" s="5" t="s">
        <v>37782</v>
      </c>
    </row>
    <row r="5791">
      <c r="A5791" s="4">
        <v>45534.36316069444</v>
      </c>
      <c r="B5791" s="5" t="s">
        <v>34</v>
      </c>
      <c r="D5791" s="5" t="s">
        <v>4775</v>
      </c>
      <c r="E5791" s="5" t="s">
        <v>37785</v>
      </c>
      <c r="F5791" s="5" t="s">
        <v>212</v>
      </c>
      <c r="G5791" s="5" t="s">
        <v>37786</v>
      </c>
      <c r="H5791" s="6" t="s">
        <v>37787</v>
      </c>
      <c r="I5791" s="7" t="s">
        <v>37788</v>
      </c>
      <c r="J5791" s="8" t="str">
        <f>HYPERLINK("https://drive.google.com/file/d/1AxBp9hXc4JqBBAmrBtqdgI00-wj4_aZN/view?usp=drivesdk","PARJILAH,AMKG SERTIFIKAT BerAKHLAK")</f>
        <v>PARJILAH,AMKG SERTIFIKAT BerAKHLAK</v>
      </c>
      <c r="K5791" s="5" t="s">
        <v>37306</v>
      </c>
      <c r="L5791" s="5" t="s">
        <v>37789</v>
      </c>
    </row>
    <row r="5792">
      <c r="A5792" s="4">
        <v>45534.36317458333</v>
      </c>
      <c r="B5792" s="5" t="s">
        <v>34</v>
      </c>
      <c r="D5792" s="5" t="s">
        <v>9020</v>
      </c>
      <c r="E5792" s="5" t="s">
        <v>37793</v>
      </c>
      <c r="F5792" s="5" t="s">
        <v>212</v>
      </c>
      <c r="G5792" s="5" t="s">
        <v>37794</v>
      </c>
      <c r="H5792" s="6" t="s">
        <v>37795</v>
      </c>
      <c r="I5792" s="7" t="s">
        <v>37796</v>
      </c>
      <c r="J5792" s="8" t="str">
        <f>HYPERLINK("https://drive.google.com/file/d/1tpWmkAfXI8djjTlogZXrtZKBV7KMy5Xc/view?usp=drivesdk","MANONGGOR PANJAITAN  SERTIFIKAT BerAKHLAK")</f>
        <v>MANONGGOR PANJAITAN  SERTIFIKAT BerAKHLAK</v>
      </c>
      <c r="K5792" s="5" t="s">
        <v>37306</v>
      </c>
      <c r="L5792" s="5" t="s">
        <v>37797</v>
      </c>
    </row>
    <row r="5793">
      <c r="A5793" s="4">
        <v>45534.36318056713</v>
      </c>
      <c r="B5793" s="5" t="s">
        <v>34</v>
      </c>
      <c r="D5793" s="5" t="s">
        <v>2903</v>
      </c>
      <c r="E5793" s="5" t="s">
        <v>37800</v>
      </c>
      <c r="F5793" s="5" t="s">
        <v>524</v>
      </c>
      <c r="G5793" s="5" t="s">
        <v>37801</v>
      </c>
      <c r="H5793" s="6" t="s">
        <v>37802</v>
      </c>
      <c r="I5793" s="7" t="s">
        <v>37803</v>
      </c>
      <c r="J5793" s="8" t="str">
        <f>HYPERLINK("https://drive.google.com/file/d/13X89HJqbZ37eX8L5cF7pUc3rdsFon6Xu/view?usp=drivesdk","WINDARSIH SERTIFIKAT BerAKHLAK")</f>
        <v>WINDARSIH SERTIFIKAT BerAKHLAK</v>
      </c>
      <c r="K5793" s="5" t="s">
        <v>37306</v>
      </c>
      <c r="L5793" s="5" t="s">
        <v>37804</v>
      </c>
    </row>
    <row r="5794">
      <c r="A5794" s="4">
        <v>45534.363187546296</v>
      </c>
      <c r="B5794" s="5" t="s">
        <v>34</v>
      </c>
      <c r="D5794" s="5" t="s">
        <v>1206</v>
      </c>
      <c r="E5794" s="5" t="s">
        <v>37808</v>
      </c>
      <c r="F5794" s="5" t="s">
        <v>524</v>
      </c>
      <c r="G5794" s="5" t="s">
        <v>37809</v>
      </c>
      <c r="H5794" s="6" t="s">
        <v>37810</v>
      </c>
      <c r="I5794" s="7" t="s">
        <v>37811</v>
      </c>
      <c r="J5794" s="8" t="str">
        <f>HYPERLINK("https://drive.google.com/file/d/1PTgpjue_cHZWyCBT6OtRsr4EBLBuivzR/view?usp=drivesdk","IMROM ROSYADI SERTIFIKAT BerAKHLAK")</f>
        <v>IMROM ROSYADI SERTIFIKAT BerAKHLAK</v>
      </c>
      <c r="K5794" s="5" t="s">
        <v>37306</v>
      </c>
      <c r="L5794" s="5" t="s">
        <v>37812</v>
      </c>
    </row>
    <row r="5795">
      <c r="A5795" s="4">
        <v>45534.363199363426</v>
      </c>
      <c r="B5795" s="5" t="s">
        <v>34</v>
      </c>
      <c r="D5795" s="5" t="s">
        <v>15401</v>
      </c>
      <c r="E5795" s="5" t="s">
        <v>37816</v>
      </c>
      <c r="F5795" s="5" t="s">
        <v>212</v>
      </c>
      <c r="G5795" s="5" t="s">
        <v>37817</v>
      </c>
      <c r="H5795" s="6" t="s">
        <v>37818</v>
      </c>
      <c r="I5795" s="7" t="s">
        <v>37819</v>
      </c>
      <c r="J5795" s="8" t="str">
        <f>HYPERLINK("https://drive.google.com/file/d/11Jg0t83hCCe48ka79dGEWWsvxSc2xMAY/view?usp=drivesdk","MOH. RUSLAN AGAMA SERTIFIKAT BerAKHLAK")</f>
        <v>MOH. RUSLAN AGAMA SERTIFIKAT BerAKHLAK</v>
      </c>
      <c r="K5795" s="5" t="s">
        <v>37306</v>
      </c>
      <c r="L5795" s="5" t="s">
        <v>37820</v>
      </c>
    </row>
    <row r="5796">
      <c r="A5796" s="4">
        <v>45534.36319986111</v>
      </c>
      <c r="B5796" s="5" t="s">
        <v>34</v>
      </c>
      <c r="D5796" s="5" t="s">
        <v>10297</v>
      </c>
      <c r="E5796" s="5" t="s">
        <v>37823</v>
      </c>
      <c r="F5796" s="5" t="s">
        <v>524</v>
      </c>
      <c r="G5796" s="5" t="s">
        <v>37824</v>
      </c>
      <c r="H5796" s="6" t="s">
        <v>37825</v>
      </c>
      <c r="I5796" s="7" t="s">
        <v>37826</v>
      </c>
      <c r="J5796" s="8" t="str">
        <f>HYPERLINK("https://drive.google.com/file/d/11Dq1MKjxa-oebWmeC-2QH0WjvZ9yiD3N/view?usp=drivesdk","SAFIRUN SERTIFIKAT BerAKHLAK")</f>
        <v>SAFIRUN SERTIFIKAT BerAKHLAK</v>
      </c>
      <c r="K5796" s="5" t="s">
        <v>37306</v>
      </c>
      <c r="L5796" s="5" t="s">
        <v>37827</v>
      </c>
    </row>
    <row r="5797">
      <c r="A5797" s="4">
        <v>45534.36320761574</v>
      </c>
      <c r="B5797" s="5" t="s">
        <v>34</v>
      </c>
      <c r="D5797" s="5" t="s">
        <v>1206</v>
      </c>
      <c r="E5797" s="5" t="s">
        <v>37830</v>
      </c>
      <c r="F5797" s="5" t="s">
        <v>37</v>
      </c>
      <c r="G5797" s="5" t="s">
        <v>37831</v>
      </c>
      <c r="H5797" s="6" t="s">
        <v>37832</v>
      </c>
      <c r="I5797" s="7" t="s">
        <v>37833</v>
      </c>
      <c r="J5797" s="8" t="str">
        <f>HYPERLINK("https://drive.google.com/file/d/1ElCh7aki_N1whSdbjt3EW3Cj9M-ZDUS4/view?usp=drivesdk","NURIL FAHIM SERTIFIKAT BerAKHLAK")</f>
        <v>NURIL FAHIM SERTIFIKAT BerAKHLAK</v>
      </c>
      <c r="K5797" s="5" t="s">
        <v>37306</v>
      </c>
      <c r="L5797" s="5" t="s">
        <v>37834</v>
      </c>
    </row>
    <row r="5798">
      <c r="A5798" s="4">
        <v>45534.3632259375</v>
      </c>
      <c r="B5798" s="5" t="s">
        <v>34</v>
      </c>
      <c r="D5798" s="5" t="s">
        <v>9020</v>
      </c>
      <c r="E5798" s="5" t="s">
        <v>37837</v>
      </c>
      <c r="F5798" s="5" t="s">
        <v>37</v>
      </c>
      <c r="G5798" s="5" t="s">
        <v>37838</v>
      </c>
      <c r="H5798" s="6" t="s">
        <v>37839</v>
      </c>
      <c r="I5798" s="7" t="s">
        <v>37840</v>
      </c>
      <c r="J5798" s="8" t="str">
        <f>HYPERLINK("https://drive.google.com/file/d/1L5vYvVdT4X9gMb5ABaVKNp5hKIKKGLWJ/view?usp=drivesdk","LIA PURWANTI SERTIFIKAT BerAKHLAK")</f>
        <v>LIA PURWANTI SERTIFIKAT BerAKHLAK</v>
      </c>
      <c r="K5798" s="5" t="s">
        <v>37841</v>
      </c>
      <c r="L5798" s="5" t="s">
        <v>37842</v>
      </c>
    </row>
    <row r="5799">
      <c r="A5799" s="4">
        <v>45534.363235868055</v>
      </c>
      <c r="B5799" s="5" t="s">
        <v>34</v>
      </c>
      <c r="D5799" s="5" t="s">
        <v>2903</v>
      </c>
      <c r="E5799" s="5" t="s">
        <v>37845</v>
      </c>
      <c r="F5799" s="5" t="s">
        <v>212</v>
      </c>
      <c r="G5799" s="5" t="s">
        <v>37846</v>
      </c>
      <c r="H5799" s="6" t="s">
        <v>37847</v>
      </c>
      <c r="I5799" s="7" t="s">
        <v>37848</v>
      </c>
      <c r="J5799" s="8" t="str">
        <f>HYPERLINK("https://drive.google.com/file/d/1XVteSAoNjKRrskmQ8LLKr7DTEnlHL2Oe/view?usp=drivesdk","RAMIDI SERTIFIKAT BerAKHLAK")</f>
        <v>RAMIDI SERTIFIKAT BerAKHLAK</v>
      </c>
      <c r="K5799" s="5" t="s">
        <v>37306</v>
      </c>
      <c r="L5799" s="5" t="s">
        <v>37849</v>
      </c>
    </row>
    <row r="5800">
      <c r="A5800" s="4">
        <v>45534.363257916666</v>
      </c>
      <c r="B5800" s="5" t="s">
        <v>34</v>
      </c>
      <c r="D5800" s="5" t="s">
        <v>9020</v>
      </c>
      <c r="E5800" s="5" t="s">
        <v>37853</v>
      </c>
      <c r="F5800" s="5" t="s">
        <v>212</v>
      </c>
      <c r="G5800" s="5" t="s">
        <v>37854</v>
      </c>
      <c r="H5800" s="6" t="s">
        <v>37855</v>
      </c>
      <c r="K5800" s="5" t="s">
        <v>37856</v>
      </c>
    </row>
    <row r="5801">
      <c r="A5801" s="4">
        <v>45534.363285370375</v>
      </c>
      <c r="B5801" s="5" t="s">
        <v>34</v>
      </c>
      <c r="D5801" s="5" t="s">
        <v>10297</v>
      </c>
      <c r="E5801" s="5" t="s">
        <v>37859</v>
      </c>
      <c r="F5801" s="5" t="s">
        <v>37</v>
      </c>
      <c r="G5801" s="5" t="s">
        <v>37860</v>
      </c>
      <c r="H5801" s="6" t="s">
        <v>37861</v>
      </c>
      <c r="I5801" s="7" t="s">
        <v>37862</v>
      </c>
      <c r="J5801" s="8" t="str">
        <f>HYPERLINK("https://drive.google.com/file/d/1xanLiyvMUV3uFMMqM8eyl2UcYLROIFr9/view?usp=drivesdk","JASMAN SERTIFIKAT BerAKHLAK")</f>
        <v>JASMAN SERTIFIKAT BerAKHLAK</v>
      </c>
      <c r="K5801" s="5" t="s">
        <v>37306</v>
      </c>
      <c r="L5801" s="5" t="s">
        <v>37863</v>
      </c>
    </row>
    <row r="5802">
      <c r="A5802" s="4">
        <v>45534.36329673611</v>
      </c>
      <c r="B5802" s="5" t="s">
        <v>34</v>
      </c>
      <c r="D5802" s="5" t="s">
        <v>15401</v>
      </c>
      <c r="E5802" s="5" t="s">
        <v>37866</v>
      </c>
      <c r="F5802" s="5" t="s">
        <v>120</v>
      </c>
      <c r="G5802" s="5" t="s">
        <v>37867</v>
      </c>
      <c r="H5802" s="6" t="s">
        <v>37868</v>
      </c>
      <c r="I5802" s="7" t="s">
        <v>37869</v>
      </c>
      <c r="J5802" s="8" t="str">
        <f>HYPERLINK("https://drive.google.com/file/d/1nj120piaP6-97pewYc8PzHaa5f3YEg7J/view?usp=drivesdk","YULIATIN,S.H. SERTIFIKAT BerAKHLAK")</f>
        <v>YULIATIN,S.H. SERTIFIKAT BerAKHLAK</v>
      </c>
      <c r="K5802" s="5" t="s">
        <v>37306</v>
      </c>
      <c r="L5802" s="5" t="s">
        <v>37870</v>
      </c>
    </row>
    <row r="5803">
      <c r="A5803" s="4">
        <v>45534.36329976852</v>
      </c>
      <c r="B5803" s="5" t="s">
        <v>34</v>
      </c>
      <c r="D5803" s="5" t="s">
        <v>580</v>
      </c>
      <c r="E5803" s="5" t="s">
        <v>37873</v>
      </c>
      <c r="F5803" s="5" t="s">
        <v>37</v>
      </c>
      <c r="G5803" s="5" t="s">
        <v>37874</v>
      </c>
      <c r="H5803" s="6" t="s">
        <v>37875</v>
      </c>
      <c r="I5803" s="7" t="s">
        <v>37876</v>
      </c>
      <c r="J5803" s="8" t="str">
        <f>HYPERLINK("https://drive.google.com/file/d/1iC-0hQX3g6oNjByiBqLxq929eezl0PlR/view?usp=drivesdk","GEDE MERTAYASA SERTIFIKAT BerAKHLAK")</f>
        <v>GEDE MERTAYASA SERTIFIKAT BerAKHLAK</v>
      </c>
      <c r="K5803" s="5" t="s">
        <v>37306</v>
      </c>
      <c r="L5803" s="5" t="s">
        <v>37877</v>
      </c>
    </row>
    <row r="5804">
      <c r="A5804" s="4">
        <v>45534.363300625</v>
      </c>
      <c r="B5804" s="5" t="s">
        <v>34</v>
      </c>
      <c r="D5804" s="5" t="s">
        <v>1206</v>
      </c>
      <c r="E5804" s="5" t="s">
        <v>37880</v>
      </c>
      <c r="F5804" s="5" t="s">
        <v>212</v>
      </c>
      <c r="G5804" s="5" t="s">
        <v>37881</v>
      </c>
      <c r="H5804" s="6" t="s">
        <v>37882</v>
      </c>
      <c r="I5804" s="7" t="s">
        <v>37883</v>
      </c>
      <c r="J5804" s="8" t="str">
        <f>HYPERLINK("https://drive.google.com/file/d/19TXfJathrGISk-OuKeBQYCb8FPkZ83EW/view?usp=drivesdk","PRANOTO, S. Kep. Ns SERTIFIKAT BerAKHLAK")</f>
        <v>PRANOTO, S. Kep. Ns SERTIFIKAT BerAKHLAK</v>
      </c>
      <c r="K5804" s="5" t="s">
        <v>37306</v>
      </c>
      <c r="L5804" s="5" t="s">
        <v>37884</v>
      </c>
    </row>
    <row r="5805">
      <c r="A5805" s="4">
        <v>45534.36330452547</v>
      </c>
      <c r="B5805" s="5" t="s">
        <v>34</v>
      </c>
      <c r="D5805" s="5" t="s">
        <v>701</v>
      </c>
      <c r="E5805" s="5" t="s">
        <v>37888</v>
      </c>
      <c r="F5805" s="5" t="s">
        <v>212</v>
      </c>
      <c r="G5805" s="5" t="s">
        <v>37889</v>
      </c>
      <c r="H5805" s="6" t="s">
        <v>37890</v>
      </c>
      <c r="I5805" s="7" t="s">
        <v>37891</v>
      </c>
      <c r="J5805" s="8" t="str">
        <f>HYPERLINK("https://drive.google.com/file/d/1uKWLeZoKmOdMqcIXkrsWGBa_xJ92BU06/view?usp=drivesdk","RENI ANGRAINI,A.MD.KEP SERTIFIKAT BerAKHLAK")</f>
        <v>RENI ANGRAINI,A.MD.KEP SERTIFIKAT BerAKHLAK</v>
      </c>
      <c r="K5805" s="5" t="s">
        <v>37306</v>
      </c>
      <c r="L5805" s="5" t="s">
        <v>37892</v>
      </c>
    </row>
    <row r="5806">
      <c r="A5806" s="4">
        <v>45534.36332613426</v>
      </c>
      <c r="B5806" s="5" t="s">
        <v>34</v>
      </c>
      <c r="D5806" s="5" t="s">
        <v>1206</v>
      </c>
      <c r="E5806" s="5" t="s">
        <v>37895</v>
      </c>
      <c r="F5806" s="5" t="s">
        <v>72</v>
      </c>
      <c r="G5806" s="5" t="s">
        <v>37896</v>
      </c>
      <c r="H5806" s="6" t="s">
        <v>37897</v>
      </c>
      <c r="I5806" s="7" t="s">
        <v>37898</v>
      </c>
      <c r="J5806" s="8" t="str">
        <f>HYPERLINK("https://drive.google.com/file/d/1bdHwU0gsPlMKz9nNJT48QnucWI206Jqt/view?usp=drivesdk","SUSANTO, S.Kom. SERTIFIKAT BerAKHLAK")</f>
        <v>SUSANTO, S.Kom. SERTIFIKAT BerAKHLAK</v>
      </c>
      <c r="K5806" s="5" t="s">
        <v>37306</v>
      </c>
      <c r="L5806" s="5" t="s">
        <v>37899</v>
      </c>
    </row>
    <row r="5807">
      <c r="A5807" s="4">
        <v>45534.36333939814</v>
      </c>
      <c r="B5807" s="5" t="s">
        <v>34</v>
      </c>
      <c r="D5807" s="5" t="s">
        <v>14313</v>
      </c>
      <c r="E5807" s="5" t="s">
        <v>37902</v>
      </c>
      <c r="F5807" s="5" t="s">
        <v>524</v>
      </c>
      <c r="G5807" s="5" t="s">
        <v>37903</v>
      </c>
      <c r="H5807" s="6" t="s">
        <v>37904</v>
      </c>
      <c r="I5807" s="7" t="s">
        <v>37905</v>
      </c>
      <c r="J5807" s="8" t="str">
        <f>HYPERLINK("https://drive.google.com/file/d/1_GlufRZ-yh2hcLQRzugpIswh_UFYgZRj/view?usp=drivesdk","ISMAYANTI IDRIS SERTIFIKAT BerAKHLAK")</f>
        <v>ISMAYANTI IDRIS SERTIFIKAT BerAKHLAK</v>
      </c>
      <c r="K5807" s="5" t="s">
        <v>37306</v>
      </c>
      <c r="L5807" s="5" t="s">
        <v>37906</v>
      </c>
    </row>
    <row r="5808">
      <c r="A5808" s="4">
        <v>45534.36334173611</v>
      </c>
      <c r="B5808" s="5" t="s">
        <v>34</v>
      </c>
      <c r="D5808" s="5" t="s">
        <v>1206</v>
      </c>
      <c r="E5808" s="5" t="s">
        <v>37909</v>
      </c>
      <c r="F5808" s="5" t="s">
        <v>199</v>
      </c>
      <c r="G5808" s="5" t="s">
        <v>37910</v>
      </c>
      <c r="H5808" s="6" t="s">
        <v>37911</v>
      </c>
      <c r="I5808" s="7" t="s">
        <v>37912</v>
      </c>
      <c r="J5808" s="8" t="str">
        <f>HYPERLINK("https://drive.google.com/file/d/1Qe1s4ysoBK7JQUCGHd5an6HUyi3R3Quj/view?usp=drivesdk","FITRIYAH SERTIFIKAT BerAKHLAK")</f>
        <v>FITRIYAH SERTIFIKAT BerAKHLAK</v>
      </c>
      <c r="K5808" s="5" t="s">
        <v>37306</v>
      </c>
      <c r="L5808" s="5" t="s">
        <v>37913</v>
      </c>
    </row>
    <row r="5809">
      <c r="A5809" s="4">
        <v>45534.36334181713</v>
      </c>
      <c r="B5809" s="5" t="s">
        <v>34</v>
      </c>
      <c r="D5809" s="5" t="s">
        <v>701</v>
      </c>
      <c r="E5809" s="5" t="s">
        <v>37917</v>
      </c>
      <c r="F5809" s="5" t="s">
        <v>37</v>
      </c>
      <c r="G5809" s="5" t="s">
        <v>37918</v>
      </c>
      <c r="H5809" s="6" t="s">
        <v>37919</v>
      </c>
      <c r="I5809" s="7" t="s">
        <v>37920</v>
      </c>
      <c r="J5809" s="8" t="str">
        <f>HYPERLINK("https://drive.google.com/file/d/1bBHuSI0AzB4CrPGE5SUMgpLxlh41TZ_A/view?usp=drivesdk","APRIDAWESTI SERTIFIKAT BerAKHLAK")</f>
        <v>APRIDAWESTI SERTIFIKAT BerAKHLAK</v>
      </c>
      <c r="K5809" s="5" t="s">
        <v>37306</v>
      </c>
      <c r="L5809" s="5" t="s">
        <v>37921</v>
      </c>
    </row>
    <row r="5810">
      <c r="A5810" s="4">
        <v>45534.363357361115</v>
      </c>
      <c r="B5810" s="5" t="s">
        <v>34</v>
      </c>
      <c r="D5810" s="5" t="s">
        <v>522</v>
      </c>
      <c r="E5810" s="5" t="s">
        <v>37924</v>
      </c>
      <c r="F5810" s="5" t="s">
        <v>199</v>
      </c>
      <c r="G5810" s="5" t="s">
        <v>37925</v>
      </c>
      <c r="H5810" s="6" t="s">
        <v>37926</v>
      </c>
      <c r="I5810" s="7" t="s">
        <v>37927</v>
      </c>
      <c r="J5810" s="8" t="str">
        <f>HYPERLINK("https://drive.google.com/file/d/168i5OgXsUYh7ONLHMM5Cz8OXYtTWfIHY/view?usp=drivesdk","FITRIANA SERTIFIKAT BerAKHLAK")</f>
        <v>FITRIANA SERTIFIKAT BerAKHLAK</v>
      </c>
      <c r="K5810" s="5" t="s">
        <v>37841</v>
      </c>
      <c r="L5810" s="5" t="s">
        <v>37928</v>
      </c>
    </row>
    <row r="5811">
      <c r="A5811" s="4">
        <v>45534.363370335646</v>
      </c>
      <c r="B5811" s="5" t="s">
        <v>34</v>
      </c>
      <c r="D5811" s="5" t="s">
        <v>280</v>
      </c>
      <c r="E5811" s="5" t="s">
        <v>22920</v>
      </c>
      <c r="F5811" s="5" t="s">
        <v>212</v>
      </c>
      <c r="G5811" s="5" t="s">
        <v>37931</v>
      </c>
      <c r="H5811" s="6" t="s">
        <v>37932</v>
      </c>
      <c r="I5811" s="7" t="s">
        <v>37933</v>
      </c>
      <c r="J5811" s="8" t="str">
        <f>HYPERLINK("https://drive.google.com/file/d/170Pndw54M5emcKVJzIYQbMA2K-EcHT80/view?usp=drivesdk","INDRA DESMEN SERTIFIKAT BerAKHLAK")</f>
        <v>INDRA DESMEN SERTIFIKAT BerAKHLAK</v>
      </c>
      <c r="K5811" s="5" t="s">
        <v>37841</v>
      </c>
      <c r="L5811" s="5" t="s">
        <v>37934</v>
      </c>
    </row>
    <row r="5812">
      <c r="A5812" s="4">
        <v>45534.36337597222</v>
      </c>
      <c r="B5812" s="5" t="s">
        <v>34</v>
      </c>
      <c r="D5812" s="5" t="s">
        <v>4775</v>
      </c>
      <c r="E5812" s="5" t="s">
        <v>37937</v>
      </c>
      <c r="F5812" s="5" t="s">
        <v>72</v>
      </c>
      <c r="G5812" s="5" t="s">
        <v>37938</v>
      </c>
      <c r="H5812" s="6" t="s">
        <v>37939</v>
      </c>
      <c r="I5812" s="7" t="s">
        <v>37940</v>
      </c>
      <c r="J5812" s="8" t="str">
        <f>HYPERLINK("https://drive.google.com/file/d/1helbPJownnonadhytWefUjluOCRNlPWW/view?usp=drivesdk","EKAWATI PURNAMASARI,SKEP SERTIFIKAT BerAKHLAK")</f>
        <v>EKAWATI PURNAMASARI,SKEP SERTIFIKAT BerAKHLAK</v>
      </c>
      <c r="K5812" s="5" t="s">
        <v>37841</v>
      </c>
      <c r="L5812" s="5" t="s">
        <v>37941</v>
      </c>
    </row>
    <row r="5813">
      <c r="A5813" s="4">
        <v>45534.363380243056</v>
      </c>
      <c r="B5813" s="5" t="s">
        <v>34</v>
      </c>
      <c r="D5813" s="5" t="s">
        <v>4775</v>
      </c>
      <c r="E5813" s="5" t="s">
        <v>37944</v>
      </c>
      <c r="F5813" s="5" t="s">
        <v>37</v>
      </c>
      <c r="G5813" s="5" t="s">
        <v>37945</v>
      </c>
      <c r="H5813" s="6" t="s">
        <v>37946</v>
      </c>
      <c r="K5813" s="5" t="s">
        <v>37947</v>
      </c>
    </row>
    <row r="5814">
      <c r="A5814" s="4">
        <v>45534.363383275464</v>
      </c>
      <c r="B5814" s="5" t="s">
        <v>34</v>
      </c>
      <c r="D5814" s="5" t="s">
        <v>1206</v>
      </c>
      <c r="E5814" s="5" t="s">
        <v>37951</v>
      </c>
      <c r="F5814" s="5" t="s">
        <v>72</v>
      </c>
      <c r="G5814" s="5" t="s">
        <v>37952</v>
      </c>
      <c r="H5814" s="6" t="s">
        <v>37953</v>
      </c>
      <c r="K5814" s="5" t="s">
        <v>37947</v>
      </c>
    </row>
    <row r="5815">
      <c r="A5815" s="4">
        <v>45534.36338563658</v>
      </c>
      <c r="B5815" s="5" t="s">
        <v>34</v>
      </c>
      <c r="D5815" s="5" t="s">
        <v>1206</v>
      </c>
      <c r="E5815" s="5" t="s">
        <v>37956</v>
      </c>
      <c r="F5815" s="5" t="s">
        <v>375</v>
      </c>
      <c r="G5815" s="5" t="s">
        <v>37957</v>
      </c>
      <c r="H5815" s="6" t="s">
        <v>37958</v>
      </c>
      <c r="K5815" s="5" t="s">
        <v>37947</v>
      </c>
    </row>
    <row r="5816">
      <c r="A5816" s="4">
        <v>45534.3633978125</v>
      </c>
      <c r="B5816" s="5" t="s">
        <v>34</v>
      </c>
      <c r="D5816" s="5" t="s">
        <v>4775</v>
      </c>
      <c r="E5816" s="5" t="s">
        <v>37961</v>
      </c>
      <c r="F5816" s="5" t="s">
        <v>37</v>
      </c>
      <c r="G5816" s="5" t="s">
        <v>37962</v>
      </c>
      <c r="H5816" s="6" t="s">
        <v>37963</v>
      </c>
      <c r="I5816" s="7" t="s">
        <v>37964</v>
      </c>
      <c r="J5816" s="8" t="str">
        <f>HYPERLINK("https://drive.google.com/file/d/1AohEdQpCXpviWvzKHtv8q4QVYxv44-T-/view?usp=drivesdk","PRATIWI ANGGRAENI SERTIFIKAT BerAKHLAK")</f>
        <v>PRATIWI ANGGRAENI SERTIFIKAT BerAKHLAK</v>
      </c>
      <c r="K5816" s="5" t="s">
        <v>37306</v>
      </c>
      <c r="L5816" s="5" t="s">
        <v>37965</v>
      </c>
    </row>
    <row r="5817">
      <c r="A5817" s="4">
        <v>45534.36340109954</v>
      </c>
      <c r="B5817" s="5" t="s">
        <v>34</v>
      </c>
      <c r="D5817" s="5" t="s">
        <v>1206</v>
      </c>
      <c r="E5817" s="5" t="s">
        <v>37968</v>
      </c>
      <c r="F5817" s="5" t="s">
        <v>212</v>
      </c>
      <c r="G5817" s="5" t="s">
        <v>37969</v>
      </c>
      <c r="H5817" s="6" t="s">
        <v>37970</v>
      </c>
      <c r="I5817" s="7" t="s">
        <v>37971</v>
      </c>
      <c r="J5817" s="8" t="str">
        <f>HYPERLINK("https://drive.google.com/file/d/1mlqGF1p4ImOBD0tf_tWOkenj70iWZN_K/view?usp=drivesdk","MARSINI SERTIFIKAT BerAKHLAK")</f>
        <v>MARSINI SERTIFIKAT BerAKHLAK</v>
      </c>
      <c r="K5817" s="5" t="s">
        <v>37306</v>
      </c>
      <c r="L5817" s="5" t="s">
        <v>37972</v>
      </c>
    </row>
    <row r="5818">
      <c r="A5818" s="4">
        <v>45534.36342878472</v>
      </c>
      <c r="B5818" s="5" t="s">
        <v>34</v>
      </c>
      <c r="D5818" s="5" t="s">
        <v>2903</v>
      </c>
      <c r="E5818" s="5" t="s">
        <v>37976</v>
      </c>
      <c r="F5818" s="5" t="s">
        <v>524</v>
      </c>
      <c r="G5818" s="5" t="s">
        <v>37977</v>
      </c>
      <c r="H5818" s="6" t="s">
        <v>37978</v>
      </c>
      <c r="I5818" s="7" t="s">
        <v>37979</v>
      </c>
      <c r="J5818" s="8" t="str">
        <f>HYPERLINK("https://drive.google.com/file/d/1CHL5PQw7HnqsUFP9XLeP8tExa6eNCU8X/view?usp=drivesdk","GITA WAHYUNINGSIH PUTRI, S.Ak SERTIFIKAT BerAKHLAK")</f>
        <v>GITA WAHYUNINGSIH PUTRI, S.Ak SERTIFIKAT BerAKHLAK</v>
      </c>
      <c r="K5818" s="5" t="s">
        <v>37841</v>
      </c>
      <c r="L5818" s="5" t="s">
        <v>37980</v>
      </c>
    </row>
    <row r="5819">
      <c r="A5819" s="4">
        <v>45534.36343150463</v>
      </c>
      <c r="B5819" s="5" t="s">
        <v>34</v>
      </c>
      <c r="D5819" s="5" t="s">
        <v>701</v>
      </c>
      <c r="E5819" s="5" t="s">
        <v>37983</v>
      </c>
      <c r="F5819" s="5" t="s">
        <v>120</v>
      </c>
      <c r="G5819" s="5" t="s">
        <v>37984</v>
      </c>
      <c r="H5819" s="6" t="s">
        <v>37985</v>
      </c>
      <c r="I5819" s="7" t="s">
        <v>37986</v>
      </c>
      <c r="J5819" s="8" t="str">
        <f>HYPERLINK("https://drive.google.com/file/d/1sW67j7QdS0zQ7HdWjjNikqn8FuoXyHYN/view?usp=drivesdk","SURI KARMILA, S.Sos.M.M SERTIFIKAT BerAKHLAK")</f>
        <v>SURI KARMILA, S.Sos.M.M SERTIFIKAT BerAKHLAK</v>
      </c>
      <c r="K5819" s="5" t="s">
        <v>37841</v>
      </c>
      <c r="L5819" s="5" t="s">
        <v>37987</v>
      </c>
    </row>
    <row r="5820">
      <c r="A5820" s="4">
        <v>45534.36343510417</v>
      </c>
      <c r="B5820" s="5" t="s">
        <v>34</v>
      </c>
      <c r="D5820" s="5" t="s">
        <v>6232</v>
      </c>
      <c r="E5820" s="5" t="s">
        <v>37990</v>
      </c>
      <c r="F5820" s="5" t="s">
        <v>37</v>
      </c>
      <c r="G5820" s="5" t="s">
        <v>37991</v>
      </c>
      <c r="H5820" s="6" t="s">
        <v>37992</v>
      </c>
      <c r="K5820" s="5" t="s">
        <v>37993</v>
      </c>
    </row>
    <row r="5821">
      <c r="A5821" s="4">
        <v>45534.36343543982</v>
      </c>
      <c r="B5821" s="5" t="s">
        <v>34</v>
      </c>
      <c r="D5821" s="5" t="s">
        <v>4775</v>
      </c>
      <c r="E5821" s="5" t="s">
        <v>37996</v>
      </c>
      <c r="F5821" s="5" t="s">
        <v>524</v>
      </c>
      <c r="G5821" s="5" t="s">
        <v>37997</v>
      </c>
      <c r="H5821" s="6" t="s">
        <v>37998</v>
      </c>
      <c r="K5821" s="5" t="s">
        <v>37993</v>
      </c>
    </row>
    <row r="5822">
      <c r="A5822" s="4">
        <v>45534.363447916665</v>
      </c>
      <c r="B5822" s="5" t="s">
        <v>34</v>
      </c>
      <c r="D5822" s="5" t="s">
        <v>267</v>
      </c>
      <c r="E5822" s="5" t="s">
        <v>38002</v>
      </c>
      <c r="F5822" s="5" t="s">
        <v>72</v>
      </c>
      <c r="G5822" s="5" t="s">
        <v>38003</v>
      </c>
      <c r="H5822" s="6" t="s">
        <v>38004</v>
      </c>
      <c r="K5822" s="5" t="s">
        <v>37993</v>
      </c>
    </row>
    <row r="5823">
      <c r="A5823" s="4">
        <v>45534.36345974537</v>
      </c>
      <c r="B5823" s="5" t="s">
        <v>34</v>
      </c>
      <c r="D5823" s="5" t="s">
        <v>9020</v>
      </c>
      <c r="E5823" s="5" t="s">
        <v>38007</v>
      </c>
      <c r="F5823" s="5" t="s">
        <v>37</v>
      </c>
      <c r="G5823" s="5" t="s">
        <v>38008</v>
      </c>
      <c r="H5823" s="6" t="s">
        <v>38009</v>
      </c>
      <c r="I5823" s="7" t="s">
        <v>38010</v>
      </c>
      <c r="J5823" s="8" t="str">
        <f>HYPERLINK("https://drive.google.com/file/d/1d_5AWAvHC1YOT_Gy87wcyJW-BxC6oS8J/view?usp=drivesdk","RAMLAN SARAGIH  SERTIFIKAT BerAKHLAK")</f>
        <v>RAMLAN SARAGIH  SERTIFIKAT BerAKHLAK</v>
      </c>
      <c r="K5823" s="5" t="s">
        <v>37306</v>
      </c>
      <c r="L5823" s="5" t="s">
        <v>38011</v>
      </c>
    </row>
    <row r="5824">
      <c r="A5824" s="4">
        <v>45534.36346127315</v>
      </c>
      <c r="B5824" s="5" t="s">
        <v>34</v>
      </c>
      <c r="D5824" s="5" t="s">
        <v>1206</v>
      </c>
      <c r="E5824" s="5" t="s">
        <v>38014</v>
      </c>
      <c r="F5824" s="5" t="s">
        <v>212</v>
      </c>
      <c r="G5824" s="5" t="s">
        <v>38015</v>
      </c>
      <c r="H5824" s="6" t="s">
        <v>38016</v>
      </c>
      <c r="I5824" s="7" t="s">
        <v>38017</v>
      </c>
      <c r="J5824" s="8" t="str">
        <f>HYPERLINK("https://drive.google.com/file/d/1ZREKl2Bh823NFZXR2gnLLCZL3g4lK8iI/view?usp=drivesdk","Titik Sri Handayani  SERTIFIKAT BerAKHLAK")</f>
        <v>Titik Sri Handayani  SERTIFIKAT BerAKHLAK</v>
      </c>
      <c r="K5824" s="5" t="s">
        <v>37841</v>
      </c>
      <c r="L5824" s="5" t="s">
        <v>38018</v>
      </c>
    </row>
    <row r="5825">
      <c r="A5825" s="4">
        <v>45534.36347150463</v>
      </c>
      <c r="B5825" s="5" t="s">
        <v>34</v>
      </c>
      <c r="D5825" s="5" t="s">
        <v>701</v>
      </c>
      <c r="E5825" s="5" t="s">
        <v>38021</v>
      </c>
      <c r="F5825" s="5" t="s">
        <v>212</v>
      </c>
      <c r="G5825" s="5" t="s">
        <v>38022</v>
      </c>
      <c r="H5825" s="6" t="s">
        <v>38023</v>
      </c>
      <c r="I5825" s="7" t="s">
        <v>38024</v>
      </c>
      <c r="J5825" s="8" t="str">
        <f>HYPERLINK("https://drive.google.com/file/d/1QDECDgRmI0yYGySfuOYFb1oTyPAmLeQu/view?usp=drivesdk","DEVI YUNITA ASTUTI Amd.Kep SERTIFIKAT BerAKHLAK")</f>
        <v>DEVI YUNITA ASTUTI Amd.Kep SERTIFIKAT BerAKHLAK</v>
      </c>
      <c r="K5825" s="5" t="s">
        <v>37841</v>
      </c>
      <c r="L5825" s="5" t="s">
        <v>38025</v>
      </c>
    </row>
    <row r="5826">
      <c r="A5826" s="4">
        <v>45534.36347170139</v>
      </c>
      <c r="B5826" s="5" t="s">
        <v>34</v>
      </c>
      <c r="D5826" s="5" t="s">
        <v>4775</v>
      </c>
      <c r="E5826" s="5" t="s">
        <v>38029</v>
      </c>
      <c r="F5826" s="5" t="s">
        <v>120</v>
      </c>
      <c r="G5826" s="5" t="s">
        <v>38030</v>
      </c>
      <c r="H5826" s="6" t="s">
        <v>38031</v>
      </c>
      <c r="I5826" s="7" t="s">
        <v>38032</v>
      </c>
      <c r="J5826" s="8" t="str">
        <f>HYPERLINK("https://drive.google.com/file/d/1fqRddJfl6mEwHe-ms7mP0E6sSGVCiKue/view?usp=drivesdk","SRI RUKIYATI, S.E., M.M. SERTIFIKAT BerAKHLAK")</f>
        <v>SRI RUKIYATI, S.E., M.M. SERTIFIKAT BerAKHLAK</v>
      </c>
      <c r="K5826" s="5" t="s">
        <v>37841</v>
      </c>
      <c r="L5826" s="5" t="s">
        <v>38033</v>
      </c>
    </row>
    <row r="5827">
      <c r="A5827" s="4">
        <v>45534.3634855787</v>
      </c>
      <c r="B5827" s="5" t="s">
        <v>34</v>
      </c>
      <c r="D5827" s="5" t="s">
        <v>6232</v>
      </c>
      <c r="E5827" s="5" t="s">
        <v>38037</v>
      </c>
      <c r="F5827" s="5" t="s">
        <v>108</v>
      </c>
      <c r="G5827" s="5" t="s">
        <v>38038</v>
      </c>
      <c r="H5827" s="6" t="s">
        <v>38039</v>
      </c>
      <c r="I5827" s="7" t="s">
        <v>38040</v>
      </c>
      <c r="J5827" s="8" t="str">
        <f>HYPERLINK("https://drive.google.com/file/d/11eC2B3fKk5oZPro9O3deC54rbJAbPdpd/view?usp=drivesdk","NS. YUNITA SAFITRI.S.KEP SERTIFIKAT BerAKHLAK")</f>
        <v>NS. YUNITA SAFITRI.S.KEP SERTIFIKAT BerAKHLAK</v>
      </c>
      <c r="K5827" s="5" t="s">
        <v>37841</v>
      </c>
      <c r="L5827" s="5" t="s">
        <v>38041</v>
      </c>
    </row>
    <row r="5828">
      <c r="A5828" s="4">
        <v>45534.36349150463</v>
      </c>
      <c r="B5828" s="5" t="s">
        <v>34</v>
      </c>
      <c r="D5828" s="5" t="s">
        <v>280</v>
      </c>
      <c r="E5828" s="5" t="s">
        <v>38044</v>
      </c>
      <c r="F5828" s="5" t="s">
        <v>72</v>
      </c>
      <c r="G5828" s="5" t="s">
        <v>38045</v>
      </c>
      <c r="H5828" s="6" t="s">
        <v>38046</v>
      </c>
      <c r="I5828" s="7" t="s">
        <v>38047</v>
      </c>
      <c r="J5828" s="8" t="str">
        <f>HYPERLINK("https://drive.google.com/file/d/1uR8sdFGtpeR-HNUabwFV8AlhLj8iEH-y/view?usp=drivesdk","LAILY SOFIA, S. Kep SERTIFIKAT BerAKHLAK")</f>
        <v>LAILY SOFIA, S. Kep SERTIFIKAT BerAKHLAK</v>
      </c>
      <c r="K5828" s="5" t="s">
        <v>37841</v>
      </c>
      <c r="L5828" s="5" t="s">
        <v>38048</v>
      </c>
    </row>
    <row r="5829">
      <c r="A5829" s="4">
        <v>45534.36349560185</v>
      </c>
      <c r="B5829" s="5" t="s">
        <v>34</v>
      </c>
      <c r="D5829" s="5" t="s">
        <v>701</v>
      </c>
      <c r="E5829" s="5" t="s">
        <v>38051</v>
      </c>
      <c r="F5829" s="5" t="s">
        <v>120</v>
      </c>
      <c r="G5829" s="5" t="s">
        <v>38052</v>
      </c>
      <c r="H5829" s="6" t="s">
        <v>38053</v>
      </c>
      <c r="K5829" s="5" t="s">
        <v>38054</v>
      </c>
    </row>
    <row r="5830">
      <c r="A5830" s="4">
        <v>45534.36349614583</v>
      </c>
      <c r="B5830" s="5" t="s">
        <v>34</v>
      </c>
      <c r="D5830" s="5" t="s">
        <v>1206</v>
      </c>
      <c r="E5830" s="5" t="s">
        <v>38058</v>
      </c>
      <c r="F5830" s="5" t="s">
        <v>212</v>
      </c>
      <c r="G5830" s="5" t="s">
        <v>38059</v>
      </c>
      <c r="H5830" s="6" t="s">
        <v>38060</v>
      </c>
      <c r="K5830" s="5" t="s">
        <v>38054</v>
      </c>
    </row>
    <row r="5831">
      <c r="A5831" s="4">
        <v>45534.36351403935</v>
      </c>
      <c r="B5831" s="5" t="s">
        <v>19</v>
      </c>
      <c r="C5831" s="5" t="s">
        <v>292</v>
      </c>
      <c r="E5831" s="5" t="s">
        <v>38063</v>
      </c>
      <c r="F5831" s="5" t="s">
        <v>37</v>
      </c>
      <c r="G5831" s="5" t="s">
        <v>38064</v>
      </c>
      <c r="H5831" s="6" t="s">
        <v>38065</v>
      </c>
      <c r="I5831" s="7" t="s">
        <v>38066</v>
      </c>
      <c r="J5831" s="8" t="str">
        <f>HYPERLINK("https://drive.google.com/file/d/19fJBby0IbS_A102pCLU2mxmez_wZa5yP/view?usp=drivesdk","SARAH RIZKI NURHANIFA, A.Md.Gz SERTIFIKAT BerAKHLAK")</f>
        <v>SARAH RIZKI NURHANIFA, A.Md.Gz SERTIFIKAT BerAKHLAK</v>
      </c>
      <c r="K5831" s="5" t="s">
        <v>37306</v>
      </c>
      <c r="L5831" s="5" t="s">
        <v>38067</v>
      </c>
    </row>
    <row r="5832">
      <c r="A5832" s="4">
        <v>45534.363520914354</v>
      </c>
      <c r="B5832" s="5" t="s">
        <v>34</v>
      </c>
      <c r="D5832" s="5" t="s">
        <v>14424</v>
      </c>
      <c r="E5832" s="5" t="s">
        <v>38070</v>
      </c>
      <c r="F5832" s="5" t="s">
        <v>108</v>
      </c>
      <c r="G5832" s="5" t="s">
        <v>38071</v>
      </c>
      <c r="H5832" s="6" t="s">
        <v>38072</v>
      </c>
      <c r="I5832" s="7" t="s">
        <v>38073</v>
      </c>
      <c r="J5832" s="8" t="str">
        <f>HYPERLINK("https://drive.google.com/file/d/1kwC0n1vQ3Xf5QIKs-8psxy5SL9ER2c-m/view?usp=drivesdk","ERNIZAR SINAGA AMK SERTIFIKAT BerAKHLAK")</f>
        <v>ERNIZAR SINAGA AMK SERTIFIKAT BerAKHLAK</v>
      </c>
      <c r="K5832" s="5" t="s">
        <v>37306</v>
      </c>
      <c r="L5832" s="5" t="s">
        <v>38074</v>
      </c>
    </row>
    <row r="5833">
      <c r="A5833" s="4">
        <v>45534.36352753472</v>
      </c>
      <c r="B5833" s="5" t="s">
        <v>34</v>
      </c>
      <c r="D5833" s="5" t="s">
        <v>3849</v>
      </c>
      <c r="E5833" s="5" t="s">
        <v>38077</v>
      </c>
      <c r="F5833" s="5" t="s">
        <v>72</v>
      </c>
      <c r="G5833" s="5" t="s">
        <v>38078</v>
      </c>
      <c r="H5833" s="6" t="s">
        <v>38079</v>
      </c>
      <c r="I5833" s="7" t="s">
        <v>38080</v>
      </c>
      <c r="J5833" s="8" t="str">
        <f>HYPERLINK("https://drive.google.com/file/d/1uwtyn5oEp9WWX2-7rMa5QYBSguZxrN8j/view?usp=drivesdk","Diny Argesti.Amk SERTIFIKAT BerAKHLAK")</f>
        <v>Diny Argesti.Amk SERTIFIKAT BerAKHLAK</v>
      </c>
      <c r="K5833" s="5" t="s">
        <v>37841</v>
      </c>
      <c r="L5833" s="5" t="s">
        <v>38081</v>
      </c>
    </row>
    <row r="5834">
      <c r="A5834" s="4">
        <v>45534.363552152776</v>
      </c>
      <c r="B5834" s="5" t="s">
        <v>34</v>
      </c>
      <c r="D5834" s="5" t="s">
        <v>10444</v>
      </c>
      <c r="E5834" s="5" t="s">
        <v>17400</v>
      </c>
      <c r="F5834" s="5" t="s">
        <v>37</v>
      </c>
      <c r="G5834" s="5" t="s">
        <v>38084</v>
      </c>
      <c r="H5834" s="6" t="s">
        <v>38085</v>
      </c>
      <c r="I5834" s="7" t="s">
        <v>38086</v>
      </c>
      <c r="J5834" s="8" t="str">
        <f>HYPERLINK("https://drive.google.com/file/d/1yrgKXtjgxHchFVbvLNVPaKNYY2p3RTV9/view?usp=drivesdk","RIDUANSYAH SERTIFIKAT BerAKHLAK")</f>
        <v>RIDUANSYAH SERTIFIKAT BerAKHLAK</v>
      </c>
      <c r="K5834" s="5" t="s">
        <v>37841</v>
      </c>
      <c r="L5834" s="5" t="s">
        <v>38087</v>
      </c>
    </row>
    <row r="5835">
      <c r="A5835" s="4">
        <v>45534.36356082176</v>
      </c>
      <c r="B5835" s="5" t="s">
        <v>34</v>
      </c>
      <c r="D5835" s="5" t="s">
        <v>15401</v>
      </c>
      <c r="E5835" s="5" t="s">
        <v>38091</v>
      </c>
      <c r="F5835" s="5" t="s">
        <v>375</v>
      </c>
      <c r="G5835" s="5" t="s">
        <v>38092</v>
      </c>
      <c r="H5835" s="6" t="s">
        <v>38093</v>
      </c>
      <c r="K5835" s="5" t="s">
        <v>38094</v>
      </c>
    </row>
    <row r="5836">
      <c r="A5836" s="4">
        <v>45534.363561666665</v>
      </c>
      <c r="B5836" s="5" t="s">
        <v>34</v>
      </c>
      <c r="D5836" s="5" t="s">
        <v>9020</v>
      </c>
      <c r="E5836" s="5" t="s">
        <v>38097</v>
      </c>
      <c r="F5836" s="5" t="s">
        <v>375</v>
      </c>
      <c r="G5836" s="5" t="s">
        <v>38098</v>
      </c>
      <c r="H5836" s="6" t="s">
        <v>38099</v>
      </c>
      <c r="K5836" s="5" t="s">
        <v>38094</v>
      </c>
    </row>
    <row r="5837">
      <c r="A5837" s="4">
        <v>45534.363564583335</v>
      </c>
      <c r="B5837" s="5" t="s">
        <v>34</v>
      </c>
      <c r="D5837" s="5" t="s">
        <v>12010</v>
      </c>
      <c r="E5837" s="5" t="s">
        <v>38102</v>
      </c>
      <c r="F5837" s="5" t="s">
        <v>37</v>
      </c>
      <c r="G5837" s="5" t="s">
        <v>38103</v>
      </c>
      <c r="H5837" s="6" t="s">
        <v>38104</v>
      </c>
      <c r="I5837" s="7" t="s">
        <v>38105</v>
      </c>
      <c r="J5837" s="8" t="str">
        <f>HYPERLINK("https://drive.google.com/file/d/1myGCJ5PhRdYX5MYmeNeO1ZwmA4LWpdft/view?usp=drivesdk","FANI SUMANTA SERTIFIKAT BerAKHLAK")</f>
        <v>FANI SUMANTA SERTIFIKAT BerAKHLAK</v>
      </c>
      <c r="K5837" s="5" t="s">
        <v>37306</v>
      </c>
      <c r="L5837" s="5" t="s">
        <v>38106</v>
      </c>
    </row>
    <row r="5838">
      <c r="A5838" s="4">
        <v>45534.36356604166</v>
      </c>
      <c r="B5838" s="5" t="s">
        <v>34</v>
      </c>
      <c r="D5838" s="5" t="s">
        <v>14313</v>
      </c>
      <c r="E5838" s="5" t="s">
        <v>16572</v>
      </c>
      <c r="F5838" s="5" t="s">
        <v>37</v>
      </c>
      <c r="G5838" s="5" t="s">
        <v>38109</v>
      </c>
      <c r="H5838" s="6" t="s">
        <v>38110</v>
      </c>
      <c r="I5838" s="7" t="s">
        <v>38111</v>
      </c>
      <c r="J5838" s="8" t="str">
        <f>HYPERLINK("https://drive.google.com/file/d/1DTrXIFS7Z5Ahhe0HIJcLXlHaF9Vuo9aM/view?usp=drivesdk","RAHMAWATI SERTIFIKAT BerAKHLAK")</f>
        <v>RAHMAWATI SERTIFIKAT BerAKHLAK</v>
      </c>
      <c r="K5838" s="5" t="s">
        <v>37841</v>
      </c>
      <c r="L5838" s="5" t="s">
        <v>38112</v>
      </c>
    </row>
    <row r="5839">
      <c r="A5839" s="4">
        <v>45534.36357204861</v>
      </c>
      <c r="B5839" s="5" t="s">
        <v>34</v>
      </c>
      <c r="D5839" s="5" t="s">
        <v>4775</v>
      </c>
      <c r="E5839" s="5" t="s">
        <v>38116</v>
      </c>
      <c r="F5839" s="5" t="s">
        <v>375</v>
      </c>
      <c r="G5839" s="5" t="s">
        <v>38117</v>
      </c>
      <c r="H5839" s="6" t="s">
        <v>38118</v>
      </c>
      <c r="I5839" s="7" t="s">
        <v>38119</v>
      </c>
      <c r="J5839" s="8" t="str">
        <f>HYPERLINK("https://drive.google.com/file/d/1ozy7Lv7AQW7AbfhP_riN9rtHVmIn_S1f/view?usp=drivesdk","RR TITIK ISMURWANI SERTIFIKAT BerAKHLAK")</f>
        <v>RR TITIK ISMURWANI SERTIFIKAT BerAKHLAK</v>
      </c>
      <c r="K5839" s="5" t="s">
        <v>37841</v>
      </c>
      <c r="L5839" s="5" t="s">
        <v>38120</v>
      </c>
    </row>
    <row r="5840">
      <c r="A5840" s="4">
        <v>45534.3635728588</v>
      </c>
      <c r="B5840" s="5" t="s">
        <v>34</v>
      </c>
      <c r="D5840" s="5" t="s">
        <v>2903</v>
      </c>
      <c r="E5840" s="5" t="s">
        <v>38123</v>
      </c>
      <c r="F5840" s="5" t="s">
        <v>108</v>
      </c>
      <c r="G5840" s="5" t="s">
        <v>38124</v>
      </c>
      <c r="H5840" s="6" t="s">
        <v>38125</v>
      </c>
      <c r="I5840" s="7" t="s">
        <v>38126</v>
      </c>
      <c r="J5840" s="8" t="str">
        <f>HYPERLINK("https://drive.google.com/file/d/1gPnzFaAo3zqz54YNzNo5Zqj5Kk8oFKOQ/view?usp=drivesdk","ANDRIANSYAH, A.Md Kom SERTIFIKAT BerAKHLAK")</f>
        <v>ANDRIANSYAH, A.Md Kom SERTIFIKAT BerAKHLAK</v>
      </c>
      <c r="K5840" s="5" t="s">
        <v>37841</v>
      </c>
      <c r="L5840" s="5" t="s">
        <v>38127</v>
      </c>
    </row>
    <row r="5841">
      <c r="A5841" s="4">
        <v>45534.36357579861</v>
      </c>
      <c r="B5841" s="5" t="s">
        <v>34</v>
      </c>
      <c r="D5841" s="5" t="s">
        <v>10444</v>
      </c>
      <c r="E5841" s="5" t="s">
        <v>38131</v>
      </c>
      <c r="F5841" s="5" t="s">
        <v>108</v>
      </c>
      <c r="G5841" s="5" t="s">
        <v>38132</v>
      </c>
      <c r="H5841" s="6" t="s">
        <v>38133</v>
      </c>
      <c r="K5841" s="5" t="s">
        <v>38134</v>
      </c>
    </row>
    <row r="5842">
      <c r="A5842" s="4">
        <v>45534.36357886574</v>
      </c>
      <c r="B5842" s="5" t="s">
        <v>34</v>
      </c>
      <c r="D5842" s="5" t="s">
        <v>10297</v>
      </c>
      <c r="E5842" s="5" t="s">
        <v>38137</v>
      </c>
      <c r="F5842" s="5" t="s">
        <v>212</v>
      </c>
      <c r="G5842" s="5" t="s">
        <v>38138</v>
      </c>
      <c r="H5842" s="6" t="s">
        <v>38139</v>
      </c>
      <c r="K5842" s="5" t="s">
        <v>38134</v>
      </c>
    </row>
    <row r="5843">
      <c r="A5843" s="4">
        <v>45534.3635881713</v>
      </c>
      <c r="B5843" s="5" t="s">
        <v>34</v>
      </c>
      <c r="D5843" s="5" t="s">
        <v>701</v>
      </c>
      <c r="E5843" s="5" t="s">
        <v>38142</v>
      </c>
      <c r="F5843" s="5" t="s">
        <v>72</v>
      </c>
      <c r="G5843" s="5" t="s">
        <v>38143</v>
      </c>
      <c r="H5843" s="6" t="s">
        <v>38144</v>
      </c>
      <c r="K5843" s="5" t="s">
        <v>38134</v>
      </c>
    </row>
    <row r="5844">
      <c r="A5844" s="4">
        <v>45534.36362726852</v>
      </c>
      <c r="B5844" s="5" t="s">
        <v>34</v>
      </c>
      <c r="D5844" s="5" t="s">
        <v>4775</v>
      </c>
      <c r="E5844" s="5" t="s">
        <v>38147</v>
      </c>
      <c r="F5844" s="5" t="s">
        <v>524</v>
      </c>
      <c r="G5844" s="5" t="s">
        <v>38148</v>
      </c>
      <c r="H5844" s="6" t="s">
        <v>38149</v>
      </c>
      <c r="K5844" s="5" t="s">
        <v>38134</v>
      </c>
    </row>
    <row r="5845">
      <c r="A5845" s="4">
        <v>45534.36362950232</v>
      </c>
      <c r="B5845" s="5" t="s">
        <v>34</v>
      </c>
      <c r="D5845" s="5" t="s">
        <v>12978</v>
      </c>
      <c r="E5845" s="5" t="s">
        <v>38152</v>
      </c>
      <c r="F5845" s="5" t="s">
        <v>212</v>
      </c>
      <c r="G5845" s="5" t="s">
        <v>38153</v>
      </c>
      <c r="H5845" s="6" t="s">
        <v>38154</v>
      </c>
      <c r="K5845" s="5" t="s">
        <v>38134</v>
      </c>
    </row>
    <row r="5846">
      <c r="A5846" s="4">
        <v>45534.36363599537</v>
      </c>
      <c r="B5846" s="5" t="s">
        <v>34</v>
      </c>
      <c r="D5846" s="5" t="s">
        <v>996</v>
      </c>
      <c r="E5846" s="5" t="s">
        <v>38158</v>
      </c>
      <c r="F5846" s="5" t="s">
        <v>108</v>
      </c>
      <c r="G5846" s="5" t="s">
        <v>38159</v>
      </c>
      <c r="H5846" s="6" t="s">
        <v>38160</v>
      </c>
      <c r="K5846" s="5" t="s">
        <v>38134</v>
      </c>
    </row>
    <row r="5847">
      <c r="A5847" s="4">
        <v>45534.363672569445</v>
      </c>
      <c r="B5847" s="5" t="s">
        <v>34</v>
      </c>
      <c r="D5847" s="5" t="s">
        <v>701</v>
      </c>
      <c r="E5847" s="5" t="s">
        <v>38163</v>
      </c>
      <c r="F5847" s="5" t="s">
        <v>120</v>
      </c>
      <c r="G5847" s="5" t="s">
        <v>38164</v>
      </c>
      <c r="H5847" s="6" t="s">
        <v>38165</v>
      </c>
      <c r="K5847" s="5" t="s">
        <v>38166</v>
      </c>
    </row>
    <row r="5848">
      <c r="A5848" s="4">
        <v>45534.36367337963</v>
      </c>
      <c r="B5848" s="5" t="s">
        <v>34</v>
      </c>
      <c r="D5848" s="5" t="s">
        <v>4775</v>
      </c>
      <c r="E5848" s="5" t="s">
        <v>38169</v>
      </c>
      <c r="F5848" s="5" t="s">
        <v>375</v>
      </c>
      <c r="G5848" s="5" t="s">
        <v>38170</v>
      </c>
      <c r="H5848" s="6" t="s">
        <v>38171</v>
      </c>
      <c r="K5848" s="5" t="s">
        <v>38166</v>
      </c>
    </row>
    <row r="5849">
      <c r="A5849" s="4">
        <v>45534.36369815972</v>
      </c>
      <c r="B5849" s="5" t="s">
        <v>34</v>
      </c>
      <c r="D5849" s="5" t="s">
        <v>280</v>
      </c>
      <c r="E5849" s="5" t="s">
        <v>38174</v>
      </c>
      <c r="F5849" s="5" t="s">
        <v>108</v>
      </c>
      <c r="G5849" s="5" t="s">
        <v>38175</v>
      </c>
      <c r="H5849" s="6" t="s">
        <v>38176</v>
      </c>
      <c r="I5849" s="7" t="s">
        <v>38177</v>
      </c>
      <c r="J5849" s="8" t="str">
        <f>HYPERLINK("https://drive.google.com/file/d/1kV_xW55vLaw2T_kRO_H_hpSluQrIcxFx/view?usp=drivesdk","RIAWATI SERTIFIKAT BerAKHLAK")</f>
        <v>RIAWATI SERTIFIKAT BerAKHLAK</v>
      </c>
      <c r="K5849" s="5" t="s">
        <v>37841</v>
      </c>
      <c r="L5849" s="5" t="s">
        <v>38178</v>
      </c>
    </row>
    <row r="5850">
      <c r="A5850" s="4">
        <v>45534.36373199074</v>
      </c>
      <c r="B5850" s="5" t="s">
        <v>34</v>
      </c>
      <c r="D5850" s="5" t="s">
        <v>10297</v>
      </c>
      <c r="E5850" s="5" t="s">
        <v>38182</v>
      </c>
      <c r="F5850" s="5" t="s">
        <v>212</v>
      </c>
      <c r="G5850" s="5" t="s">
        <v>38183</v>
      </c>
      <c r="H5850" s="6" t="s">
        <v>38184</v>
      </c>
      <c r="I5850" s="7" t="s">
        <v>38185</v>
      </c>
      <c r="J5850" s="8" t="str">
        <f>HYPERLINK("https://drive.google.com/file/d/1Ln304Rm6KdqSVuPsPVziBazQ-HTeZeN3/view?usp=drivesdk","NURMI, Amd SERTIFIKAT BerAKHLAK")</f>
        <v>NURMI, Amd SERTIFIKAT BerAKHLAK</v>
      </c>
      <c r="K5850" s="5" t="s">
        <v>37841</v>
      </c>
      <c r="L5850" s="5" t="s">
        <v>38186</v>
      </c>
    </row>
    <row r="5851">
      <c r="A5851" s="4">
        <v>45534.3637329051</v>
      </c>
      <c r="B5851" s="5" t="s">
        <v>19</v>
      </c>
      <c r="C5851" s="5" t="s">
        <v>3301</v>
      </c>
      <c r="E5851" s="5" t="s">
        <v>38189</v>
      </c>
      <c r="F5851" s="5" t="s">
        <v>72</v>
      </c>
      <c r="G5851" s="5" t="s">
        <v>38190</v>
      </c>
      <c r="H5851" s="6" t="s">
        <v>38191</v>
      </c>
      <c r="I5851" s="7" t="s">
        <v>38192</v>
      </c>
      <c r="J5851" s="8" t="str">
        <f>HYPERLINK("https://drive.google.com/file/d/1er0JAKLiPbnSX4dp7BcbTN6nPcPNzcSO/view?usp=drivesdk","RAHAYU KURNIAWATI  SERTIFIKAT BerAKHLAK")</f>
        <v>RAHAYU KURNIAWATI  SERTIFIKAT BerAKHLAK</v>
      </c>
      <c r="K5851" s="5" t="s">
        <v>37841</v>
      </c>
      <c r="L5851" s="5" t="s">
        <v>38193</v>
      </c>
    </row>
    <row r="5852">
      <c r="A5852" s="4">
        <v>45534.36373405093</v>
      </c>
      <c r="B5852" s="5" t="s">
        <v>34</v>
      </c>
      <c r="D5852" s="5" t="s">
        <v>14313</v>
      </c>
      <c r="E5852" s="5" t="s">
        <v>38196</v>
      </c>
      <c r="F5852" s="5" t="s">
        <v>212</v>
      </c>
      <c r="G5852" s="5" t="s">
        <v>38197</v>
      </c>
      <c r="H5852" s="6" t="s">
        <v>38198</v>
      </c>
      <c r="I5852" s="7" t="s">
        <v>38199</v>
      </c>
      <c r="J5852" s="8" t="str">
        <f>HYPERLINK("https://drive.google.com/file/d/1CKOZer7wexvNY_br-H2ceDK_n4Gdbikc/view?usp=drivesdk","KASMAN SERTIFIKAT BerAKHLAK")</f>
        <v>KASMAN SERTIFIKAT BerAKHLAK</v>
      </c>
      <c r="K5852" s="5" t="s">
        <v>37841</v>
      </c>
      <c r="L5852" s="5" t="s">
        <v>38200</v>
      </c>
    </row>
    <row r="5853">
      <c r="A5853" s="4">
        <v>45534.363749317126</v>
      </c>
      <c r="B5853" s="5" t="s">
        <v>34</v>
      </c>
      <c r="D5853" s="5" t="s">
        <v>10297</v>
      </c>
      <c r="E5853" s="5" t="s">
        <v>38203</v>
      </c>
      <c r="F5853" s="5" t="s">
        <v>108</v>
      </c>
      <c r="G5853" s="5" t="s">
        <v>38204</v>
      </c>
      <c r="H5853" s="6" t="s">
        <v>38205</v>
      </c>
      <c r="K5853" s="5" t="s">
        <v>38206</v>
      </c>
    </row>
    <row r="5854">
      <c r="A5854" s="4">
        <v>45534.36374918981</v>
      </c>
      <c r="B5854" s="5" t="s">
        <v>34</v>
      </c>
      <c r="D5854" s="5" t="s">
        <v>1206</v>
      </c>
      <c r="E5854" s="5" t="s">
        <v>38210</v>
      </c>
      <c r="F5854" s="5" t="s">
        <v>37</v>
      </c>
      <c r="G5854" s="5" t="s">
        <v>38211</v>
      </c>
      <c r="H5854" s="6" t="s">
        <v>38212</v>
      </c>
      <c r="K5854" s="5" t="s">
        <v>38206</v>
      </c>
    </row>
    <row r="5855">
      <c r="A5855" s="4">
        <v>45534.363754363425</v>
      </c>
      <c r="B5855" s="5" t="s">
        <v>34</v>
      </c>
      <c r="D5855" s="5" t="s">
        <v>1206</v>
      </c>
      <c r="E5855" s="5" t="s">
        <v>38215</v>
      </c>
      <c r="F5855" s="5" t="s">
        <v>108</v>
      </c>
      <c r="G5855" s="5" t="s">
        <v>38216</v>
      </c>
      <c r="H5855" s="6" t="s">
        <v>38217</v>
      </c>
      <c r="K5855" s="5" t="s">
        <v>38206</v>
      </c>
    </row>
    <row r="5856">
      <c r="A5856" s="4">
        <v>45534.36376755787</v>
      </c>
      <c r="B5856" s="5" t="s">
        <v>34</v>
      </c>
      <c r="D5856" s="5" t="s">
        <v>4775</v>
      </c>
      <c r="E5856" s="5" t="s">
        <v>38220</v>
      </c>
      <c r="F5856" s="5" t="s">
        <v>524</v>
      </c>
      <c r="G5856" s="5" t="s">
        <v>38221</v>
      </c>
      <c r="H5856" s="6" t="s">
        <v>38222</v>
      </c>
      <c r="I5856" s="7" t="s">
        <v>38223</v>
      </c>
      <c r="J5856" s="8" t="str">
        <f>HYPERLINK("https://drive.google.com/file/d/1dqIEK__9VRlJ-4axYbuaj15EBNoN5Vd9/view?usp=drivesdk","DANI ARMAYATI  SERTIFIKAT BerAKHLAK")</f>
        <v>DANI ARMAYATI  SERTIFIKAT BerAKHLAK</v>
      </c>
      <c r="K5856" s="5" t="s">
        <v>37841</v>
      </c>
      <c r="L5856" s="5" t="s">
        <v>38224</v>
      </c>
    </row>
    <row r="5857">
      <c r="A5857" s="4">
        <v>45534.36377790509</v>
      </c>
      <c r="B5857" s="5" t="s">
        <v>34</v>
      </c>
      <c r="D5857" s="5" t="s">
        <v>9020</v>
      </c>
      <c r="E5857" s="5" t="s">
        <v>38227</v>
      </c>
      <c r="F5857" s="5" t="s">
        <v>212</v>
      </c>
      <c r="G5857" s="5" t="s">
        <v>38228</v>
      </c>
      <c r="H5857" s="6" t="s">
        <v>38229</v>
      </c>
      <c r="I5857" s="7" t="s">
        <v>38230</v>
      </c>
      <c r="J5857" s="8" t="str">
        <f>HYPERLINK("https://drive.google.com/file/d/17blwnEOpf5Z_xhFb5RjIsuM1b_mHLkbS/view?usp=drivesdk","NURAIDA SERTIFIKAT BerAKHLAK")</f>
        <v>NURAIDA SERTIFIKAT BerAKHLAK</v>
      </c>
      <c r="K5857" s="5" t="s">
        <v>37841</v>
      </c>
      <c r="L5857" s="5" t="s">
        <v>38231</v>
      </c>
    </row>
    <row r="5858">
      <c r="A5858" s="4">
        <v>45534.36377871528</v>
      </c>
      <c r="B5858" s="5" t="s">
        <v>34</v>
      </c>
      <c r="D5858" s="5" t="s">
        <v>267</v>
      </c>
      <c r="E5858" s="5" t="s">
        <v>38235</v>
      </c>
      <c r="F5858" s="5" t="s">
        <v>72</v>
      </c>
      <c r="G5858" s="5" t="s">
        <v>38236</v>
      </c>
      <c r="H5858" s="6" t="s">
        <v>38237</v>
      </c>
      <c r="I5858" s="7" t="s">
        <v>38238</v>
      </c>
      <c r="J5858" s="8" t="str">
        <f>HYPERLINK("https://drive.google.com/file/d/19nVPUMwFnAJpGT6EluD7fubP_YN4PBWb/view?usp=drivesdk","SURATIN SERTIFIKAT BerAKHLAK")</f>
        <v>SURATIN SERTIFIKAT BerAKHLAK</v>
      </c>
      <c r="K5858" s="5" t="s">
        <v>37841</v>
      </c>
      <c r="L5858" s="5" t="s">
        <v>38239</v>
      </c>
    </row>
    <row r="5859">
      <c r="A5859" s="4">
        <v>45534.36380178241</v>
      </c>
      <c r="B5859" s="5" t="s">
        <v>34</v>
      </c>
      <c r="D5859" s="5" t="s">
        <v>7858</v>
      </c>
      <c r="E5859" s="5" t="s">
        <v>38242</v>
      </c>
      <c r="F5859" s="5" t="s">
        <v>212</v>
      </c>
      <c r="G5859" s="5" t="s">
        <v>38243</v>
      </c>
      <c r="H5859" s="6" t="s">
        <v>38244</v>
      </c>
      <c r="K5859" s="5" t="s">
        <v>38245</v>
      </c>
    </row>
    <row r="5860">
      <c r="A5860" s="4">
        <v>45534.36380494213</v>
      </c>
      <c r="B5860" s="5" t="s">
        <v>34</v>
      </c>
      <c r="D5860" s="5" t="s">
        <v>7858</v>
      </c>
      <c r="E5860" s="5" t="s">
        <v>38248</v>
      </c>
      <c r="F5860" s="5" t="s">
        <v>72</v>
      </c>
      <c r="G5860" s="5" t="s">
        <v>38249</v>
      </c>
      <c r="H5860" s="6" t="s">
        <v>38250</v>
      </c>
      <c r="I5860" s="7" t="s">
        <v>38251</v>
      </c>
      <c r="J5860" s="8" t="str">
        <f>HYPERLINK("https://drive.google.com/file/d/1golkJkuVgx4woV9lWB0sYXZ1NqlFOn0i/view?usp=drivesdk","NANI MULYATI SERTIFIKAT BerAKHLAK")</f>
        <v>NANI MULYATI SERTIFIKAT BerAKHLAK</v>
      </c>
      <c r="K5860" s="5" t="s">
        <v>37841</v>
      </c>
      <c r="L5860" s="5" t="s">
        <v>38252</v>
      </c>
    </row>
    <row r="5861">
      <c r="A5861" s="4">
        <v>45534.3638159375</v>
      </c>
      <c r="B5861" s="5" t="s">
        <v>34</v>
      </c>
      <c r="D5861" s="5" t="s">
        <v>701</v>
      </c>
      <c r="E5861" s="5" t="s">
        <v>38255</v>
      </c>
      <c r="F5861" s="5" t="s">
        <v>524</v>
      </c>
      <c r="G5861" s="5" t="s">
        <v>38256</v>
      </c>
      <c r="H5861" s="6" t="s">
        <v>38257</v>
      </c>
      <c r="I5861" s="7" t="s">
        <v>38258</v>
      </c>
      <c r="J5861" s="8" t="str">
        <f>HYPERLINK("https://drive.google.com/file/d/1vWIzzCuRWxMSIOZL2SEwC88R6ZfPDh3w/view?usp=drivesdk","Inney Silda Latifah SERTIFIKAT BerAKHLAK")</f>
        <v>Inney Silda Latifah SERTIFIKAT BerAKHLAK</v>
      </c>
      <c r="K5861" s="5" t="s">
        <v>37841</v>
      </c>
      <c r="L5861" s="5" t="s">
        <v>38259</v>
      </c>
    </row>
    <row r="5862">
      <c r="A5862" s="4">
        <v>45534.36383002315</v>
      </c>
      <c r="B5862" s="5" t="s">
        <v>34</v>
      </c>
      <c r="D5862" s="5" t="s">
        <v>1206</v>
      </c>
      <c r="E5862" s="5" t="s">
        <v>38263</v>
      </c>
      <c r="F5862" s="5" t="s">
        <v>72</v>
      </c>
      <c r="G5862" s="5" t="s">
        <v>38264</v>
      </c>
      <c r="H5862" s="6" t="s">
        <v>38265</v>
      </c>
      <c r="K5862" s="5" t="s">
        <v>38266</v>
      </c>
    </row>
    <row r="5863">
      <c r="A5863" s="4">
        <v>45534.36385076389</v>
      </c>
      <c r="B5863" s="5" t="s">
        <v>34</v>
      </c>
      <c r="D5863" s="5" t="s">
        <v>9394</v>
      </c>
      <c r="E5863" s="5" t="s">
        <v>38269</v>
      </c>
      <c r="F5863" s="5" t="s">
        <v>715</v>
      </c>
      <c r="G5863" s="5" t="s">
        <v>38270</v>
      </c>
      <c r="H5863" s="6" t="s">
        <v>38271</v>
      </c>
      <c r="I5863" s="7" t="s">
        <v>38272</v>
      </c>
      <c r="J5863" s="8" t="str">
        <f>HYPERLINK("https://drive.google.com/file/d/188rf0x_Gvd6yX-YVJynm_cVMM52jfb4t/view?usp=drivesdk","IRAWATI,A.Md. SERTIFIKAT BerAKHLAK")</f>
        <v>IRAWATI,A.Md. SERTIFIKAT BerAKHLAK</v>
      </c>
      <c r="K5863" s="5" t="s">
        <v>37841</v>
      </c>
      <c r="L5863" s="5" t="s">
        <v>38273</v>
      </c>
    </row>
    <row r="5864">
      <c r="A5864" s="4">
        <v>45534.36385108797</v>
      </c>
      <c r="B5864" s="5" t="s">
        <v>34</v>
      </c>
      <c r="D5864" s="5" t="s">
        <v>1206</v>
      </c>
      <c r="E5864" s="5" t="s">
        <v>38276</v>
      </c>
      <c r="F5864" s="5" t="s">
        <v>108</v>
      </c>
      <c r="G5864" s="5" t="s">
        <v>38277</v>
      </c>
      <c r="H5864" s="6" t="s">
        <v>38278</v>
      </c>
      <c r="I5864" s="7" t="s">
        <v>38279</v>
      </c>
      <c r="J5864" s="8" t="str">
        <f>HYPERLINK("https://drive.google.com/file/d/1AXr9mufaEmbcmGeNGq0ShHUqK1R6u4my/view?usp=drivesdk","EDY SUJAKA SERTIFIKAT BerAKHLAK")</f>
        <v>EDY SUJAKA SERTIFIKAT BerAKHLAK</v>
      </c>
      <c r="K5864" s="5" t="s">
        <v>37841</v>
      </c>
      <c r="L5864" s="5" t="s">
        <v>38280</v>
      </c>
    </row>
    <row r="5865">
      <c r="A5865" s="4">
        <v>45534.36385224537</v>
      </c>
      <c r="B5865" s="5" t="s">
        <v>34</v>
      </c>
      <c r="D5865" s="5" t="s">
        <v>35</v>
      </c>
      <c r="E5865" s="5" t="s">
        <v>38283</v>
      </c>
      <c r="F5865" s="5" t="s">
        <v>108</v>
      </c>
      <c r="G5865" s="5" t="s">
        <v>38284</v>
      </c>
      <c r="H5865" s="6" t="s">
        <v>38285</v>
      </c>
      <c r="K5865" s="5" t="s">
        <v>38286</v>
      </c>
    </row>
    <row r="5866">
      <c r="A5866" s="4">
        <v>45534.3638525</v>
      </c>
      <c r="B5866" s="5" t="s">
        <v>34</v>
      </c>
      <c r="D5866" s="5" t="s">
        <v>12978</v>
      </c>
      <c r="E5866" s="5" t="s">
        <v>38289</v>
      </c>
      <c r="F5866" s="5" t="s">
        <v>72</v>
      </c>
      <c r="G5866" s="5" t="s">
        <v>38290</v>
      </c>
      <c r="H5866" s="6" t="s">
        <v>38291</v>
      </c>
      <c r="K5866" s="5" t="s">
        <v>38286</v>
      </c>
    </row>
    <row r="5867">
      <c r="A5867" s="4">
        <v>45534.36385274306</v>
      </c>
      <c r="B5867" s="5" t="s">
        <v>34</v>
      </c>
      <c r="D5867" s="5" t="s">
        <v>12978</v>
      </c>
      <c r="E5867" s="5" t="s">
        <v>23090</v>
      </c>
      <c r="F5867" s="5" t="s">
        <v>212</v>
      </c>
      <c r="G5867" s="5" t="s">
        <v>38295</v>
      </c>
      <c r="H5867" s="6" t="s">
        <v>38296</v>
      </c>
      <c r="K5867" s="5" t="s">
        <v>38286</v>
      </c>
    </row>
    <row r="5868">
      <c r="A5868" s="4">
        <v>45534.36385554398</v>
      </c>
      <c r="B5868" s="5" t="s">
        <v>34</v>
      </c>
      <c r="D5868" s="5" t="s">
        <v>1206</v>
      </c>
      <c r="E5868" s="5" t="s">
        <v>38299</v>
      </c>
      <c r="F5868" s="5" t="s">
        <v>715</v>
      </c>
      <c r="G5868" s="5" t="s">
        <v>38300</v>
      </c>
      <c r="H5868" s="6" t="s">
        <v>38301</v>
      </c>
      <c r="K5868" s="5" t="s">
        <v>38286</v>
      </c>
    </row>
    <row r="5869">
      <c r="A5869" s="4">
        <v>45534.36385570602</v>
      </c>
      <c r="B5869" s="5" t="s">
        <v>34</v>
      </c>
      <c r="D5869" s="5" t="s">
        <v>7858</v>
      </c>
      <c r="E5869" s="5" t="s">
        <v>38304</v>
      </c>
      <c r="F5869" s="5" t="s">
        <v>715</v>
      </c>
      <c r="G5869" s="5" t="s">
        <v>38305</v>
      </c>
      <c r="H5869" s="6" t="s">
        <v>38306</v>
      </c>
      <c r="K5869" s="5" t="s">
        <v>38286</v>
      </c>
    </row>
    <row r="5870">
      <c r="A5870" s="4">
        <v>45534.36386660879</v>
      </c>
      <c r="B5870" s="5" t="s">
        <v>34</v>
      </c>
      <c r="D5870" s="5" t="s">
        <v>35</v>
      </c>
      <c r="E5870" s="5" t="s">
        <v>38309</v>
      </c>
      <c r="F5870" s="5" t="s">
        <v>37</v>
      </c>
      <c r="G5870" s="5" t="s">
        <v>38310</v>
      </c>
      <c r="H5870" s="6" t="s">
        <v>38311</v>
      </c>
      <c r="K5870" s="5" t="s">
        <v>38286</v>
      </c>
    </row>
    <row r="5871">
      <c r="A5871" s="4">
        <v>45534.36388034723</v>
      </c>
      <c r="B5871" s="5" t="s">
        <v>34</v>
      </c>
      <c r="D5871" s="5" t="s">
        <v>10444</v>
      </c>
      <c r="E5871" s="5" t="s">
        <v>38314</v>
      </c>
      <c r="F5871" s="5" t="s">
        <v>120</v>
      </c>
      <c r="G5871" s="5" t="s">
        <v>38315</v>
      </c>
      <c r="H5871" s="6" t="s">
        <v>38316</v>
      </c>
      <c r="I5871" s="7" t="s">
        <v>38317</v>
      </c>
      <c r="J5871" s="8" t="str">
        <f>HYPERLINK("https://drive.google.com/file/d/1rGW9MAb0KAyDNy1sLCKAqmk45AXH8XKt/view?usp=drivesdk","RAZIMIN S.SI M.M APT SERTIFIKAT BerAKHLAK")</f>
        <v>RAZIMIN S.SI M.M APT SERTIFIKAT BerAKHLAK</v>
      </c>
      <c r="K5871" s="5" t="s">
        <v>37841</v>
      </c>
      <c r="L5871" s="5" t="s">
        <v>38318</v>
      </c>
    </row>
    <row r="5872">
      <c r="A5872" s="4">
        <v>45534.363882233796</v>
      </c>
      <c r="B5872" s="5" t="s">
        <v>34</v>
      </c>
      <c r="D5872" s="5" t="s">
        <v>6232</v>
      </c>
      <c r="E5872" s="5" t="s">
        <v>38322</v>
      </c>
      <c r="F5872" s="5" t="s">
        <v>524</v>
      </c>
      <c r="G5872" s="5" t="s">
        <v>38323</v>
      </c>
      <c r="H5872" s="6" t="s">
        <v>38324</v>
      </c>
      <c r="I5872" s="7" t="s">
        <v>38325</v>
      </c>
      <c r="J5872" s="8" t="str">
        <f>HYPERLINK("https://drive.google.com/file/d/1Ik8M8xM_VfnPVT_1cEVu9bY5bKlBhjZ5/view?usp=drivesdk","UNTUNG. S. E SERTIFIKAT BerAKHLAK")</f>
        <v>UNTUNG. S. E SERTIFIKAT BerAKHLAK</v>
      </c>
      <c r="K5872" s="5" t="s">
        <v>37841</v>
      </c>
      <c r="L5872" s="5" t="s">
        <v>38326</v>
      </c>
    </row>
    <row r="5873">
      <c r="A5873" s="4">
        <v>45534.3639002662</v>
      </c>
      <c r="B5873" s="5" t="s">
        <v>34</v>
      </c>
      <c r="D5873" s="5" t="s">
        <v>4775</v>
      </c>
      <c r="E5873" s="5" t="s">
        <v>38329</v>
      </c>
      <c r="F5873" s="5" t="s">
        <v>212</v>
      </c>
      <c r="G5873" s="5" t="s">
        <v>38330</v>
      </c>
      <c r="H5873" s="6" t="s">
        <v>38331</v>
      </c>
      <c r="I5873" s="7" t="s">
        <v>38332</v>
      </c>
      <c r="J5873" s="8" t="str">
        <f>HYPERLINK("https://drive.google.com/file/d/1-Ip0iuDo7JierJuNfEumFsJ7B_x0bfYz/view?usp=drivesdk","GUMILAR HENDRAWAN TAUFIQ SERTIFIKAT BerAKHLAK")</f>
        <v>GUMILAR HENDRAWAN TAUFIQ SERTIFIKAT BerAKHLAK</v>
      </c>
      <c r="K5873" s="5" t="s">
        <v>37841</v>
      </c>
      <c r="L5873" s="5" t="s">
        <v>38333</v>
      </c>
    </row>
    <row r="5874">
      <c r="A5874" s="4">
        <v>45534.36391435185</v>
      </c>
      <c r="B5874" s="5" t="s">
        <v>34</v>
      </c>
      <c r="D5874" s="5" t="s">
        <v>6232</v>
      </c>
      <c r="E5874" s="5" t="s">
        <v>38336</v>
      </c>
      <c r="F5874" s="5" t="s">
        <v>37</v>
      </c>
      <c r="G5874" s="5" t="s">
        <v>38337</v>
      </c>
      <c r="H5874" s="6" t="s">
        <v>38338</v>
      </c>
      <c r="I5874" s="7" t="s">
        <v>38339</v>
      </c>
      <c r="J5874" s="8" t="str">
        <f>HYPERLINK("https://drive.google.com/file/d/1u4xuwMO7g4Wlwt2NAZF7a6iBommJO0_P/view?usp=drivesdk","NOPRIWATY PRETTY SIHOTANG, A.Md.Keb. SERTIFIKAT BerAKHLAK")</f>
        <v>NOPRIWATY PRETTY SIHOTANG, A.Md.Keb. SERTIFIKAT BerAKHLAK</v>
      </c>
      <c r="K5874" s="5" t="s">
        <v>37841</v>
      </c>
      <c r="L5874" s="5" t="s">
        <v>38340</v>
      </c>
    </row>
    <row r="5875">
      <c r="A5875" s="4">
        <v>45534.363936435184</v>
      </c>
      <c r="B5875" s="5" t="s">
        <v>19</v>
      </c>
      <c r="C5875" s="5" t="s">
        <v>38343</v>
      </c>
      <c r="E5875" s="5" t="s">
        <v>38344</v>
      </c>
      <c r="F5875" s="5" t="s">
        <v>212</v>
      </c>
      <c r="G5875" s="5" t="s">
        <v>38345</v>
      </c>
      <c r="H5875" s="6" t="s">
        <v>38346</v>
      </c>
      <c r="K5875" s="5" t="s">
        <v>38347</v>
      </c>
    </row>
    <row r="5876">
      <c r="A5876" s="4">
        <v>45534.363938738425</v>
      </c>
      <c r="B5876" s="5" t="s">
        <v>34</v>
      </c>
      <c r="D5876" s="5" t="s">
        <v>9020</v>
      </c>
      <c r="E5876" s="5" t="s">
        <v>38350</v>
      </c>
      <c r="F5876" s="5" t="s">
        <v>72</v>
      </c>
      <c r="G5876" s="5" t="s">
        <v>38351</v>
      </c>
      <c r="H5876" s="6" t="s">
        <v>38352</v>
      </c>
      <c r="K5876" s="5" t="s">
        <v>38347</v>
      </c>
    </row>
    <row r="5877">
      <c r="A5877" s="4">
        <v>45534.36394289352</v>
      </c>
      <c r="B5877" s="5" t="s">
        <v>34</v>
      </c>
      <c r="D5877" s="5" t="s">
        <v>701</v>
      </c>
      <c r="E5877" s="5" t="s">
        <v>38356</v>
      </c>
      <c r="F5877" s="5" t="s">
        <v>72</v>
      </c>
      <c r="G5877" s="5" t="s">
        <v>38357</v>
      </c>
      <c r="H5877" s="6" t="s">
        <v>38358</v>
      </c>
      <c r="K5877" s="5" t="s">
        <v>38347</v>
      </c>
    </row>
    <row r="5878">
      <c r="A5878" s="4">
        <v>45534.3639578125</v>
      </c>
      <c r="B5878" s="5" t="s">
        <v>34</v>
      </c>
      <c r="D5878" s="5" t="s">
        <v>9020</v>
      </c>
      <c r="E5878" s="5" t="s">
        <v>38361</v>
      </c>
      <c r="F5878" s="5" t="s">
        <v>37</v>
      </c>
      <c r="G5878" s="5" t="s">
        <v>38362</v>
      </c>
      <c r="H5878" s="6" t="s">
        <v>38363</v>
      </c>
      <c r="K5878" s="5" t="s">
        <v>38347</v>
      </c>
    </row>
    <row r="5879">
      <c r="A5879" s="4">
        <v>45534.36396498843</v>
      </c>
      <c r="B5879" s="5" t="s">
        <v>34</v>
      </c>
      <c r="D5879" s="5" t="s">
        <v>6232</v>
      </c>
      <c r="E5879" s="5" t="s">
        <v>38366</v>
      </c>
      <c r="F5879" s="5" t="s">
        <v>37</v>
      </c>
      <c r="G5879" s="5" t="s">
        <v>38367</v>
      </c>
      <c r="H5879" s="6" t="s">
        <v>38368</v>
      </c>
      <c r="K5879" s="5" t="s">
        <v>38347</v>
      </c>
    </row>
    <row r="5880">
      <c r="A5880" s="4">
        <v>45534.36397929398</v>
      </c>
      <c r="B5880" s="5" t="s">
        <v>34</v>
      </c>
      <c r="D5880" s="5" t="s">
        <v>10297</v>
      </c>
      <c r="E5880" s="5" t="s">
        <v>38371</v>
      </c>
      <c r="F5880" s="5" t="s">
        <v>212</v>
      </c>
      <c r="G5880" s="5" t="s">
        <v>38372</v>
      </c>
      <c r="H5880" s="6" t="s">
        <v>38373</v>
      </c>
      <c r="K5880" s="5" t="s">
        <v>38347</v>
      </c>
    </row>
    <row r="5881">
      <c r="A5881" s="4">
        <v>45534.36398920139</v>
      </c>
      <c r="B5881" s="5" t="s">
        <v>19</v>
      </c>
      <c r="C5881" s="5" t="s">
        <v>292</v>
      </c>
      <c r="E5881" s="5" t="s">
        <v>38376</v>
      </c>
      <c r="F5881" s="5" t="s">
        <v>524</v>
      </c>
      <c r="G5881" s="5" t="s">
        <v>38377</v>
      </c>
      <c r="H5881" s="6" t="s">
        <v>38378</v>
      </c>
      <c r="I5881" s="7" t="s">
        <v>38379</v>
      </c>
      <c r="J5881" s="8" t="str">
        <f>HYPERLINK("https://drive.google.com/file/d/1ng7ekn_BE3h3tyHCI3QjdZoKtwn8b2c2/view?usp=drivesdk","YETI KOMALASARI SERTIFIKAT BerAKHLAK")</f>
        <v>YETI KOMALASARI SERTIFIKAT BerAKHLAK</v>
      </c>
      <c r="K5881" s="5" t="s">
        <v>37841</v>
      </c>
      <c r="L5881" s="5" t="s">
        <v>38380</v>
      </c>
    </row>
    <row r="5882">
      <c r="A5882" s="4">
        <v>45534.363992604165</v>
      </c>
      <c r="B5882" s="5" t="s">
        <v>19</v>
      </c>
      <c r="C5882" s="5" t="s">
        <v>3471</v>
      </c>
      <c r="E5882" s="5" t="s">
        <v>38384</v>
      </c>
      <c r="F5882" s="5" t="s">
        <v>375</v>
      </c>
      <c r="G5882" s="5" t="s">
        <v>38385</v>
      </c>
      <c r="H5882" s="6" t="s">
        <v>38386</v>
      </c>
      <c r="K5882" s="5" t="s">
        <v>38387</v>
      </c>
    </row>
    <row r="5883">
      <c r="A5883" s="4">
        <v>45534.36402479166</v>
      </c>
      <c r="B5883" s="5" t="s">
        <v>34</v>
      </c>
      <c r="D5883" s="5" t="s">
        <v>9394</v>
      </c>
      <c r="E5883" s="5" t="s">
        <v>38390</v>
      </c>
      <c r="F5883" s="5" t="s">
        <v>715</v>
      </c>
      <c r="G5883" s="5" t="s">
        <v>38391</v>
      </c>
      <c r="H5883" s="6" t="s">
        <v>38392</v>
      </c>
      <c r="K5883" s="5" t="s">
        <v>38393</v>
      </c>
    </row>
    <row r="5884">
      <c r="A5884" s="4">
        <v>45534.36404284722</v>
      </c>
      <c r="B5884" s="5" t="s">
        <v>34</v>
      </c>
      <c r="D5884" s="5" t="s">
        <v>10297</v>
      </c>
      <c r="E5884" s="5" t="s">
        <v>38396</v>
      </c>
      <c r="F5884" s="5" t="s">
        <v>37</v>
      </c>
      <c r="G5884" s="5" t="s">
        <v>38397</v>
      </c>
      <c r="H5884" s="6" t="s">
        <v>38398</v>
      </c>
      <c r="K5884" s="5" t="s">
        <v>38393</v>
      </c>
    </row>
    <row r="5885">
      <c r="A5885" s="4">
        <v>45534.36404652778</v>
      </c>
      <c r="B5885" s="5" t="s">
        <v>34</v>
      </c>
      <c r="D5885" s="5" t="s">
        <v>10444</v>
      </c>
      <c r="E5885" s="5" t="s">
        <v>38402</v>
      </c>
      <c r="F5885" s="5" t="s">
        <v>37</v>
      </c>
      <c r="G5885" s="5" t="s">
        <v>38403</v>
      </c>
      <c r="H5885" s="6" t="s">
        <v>38404</v>
      </c>
      <c r="K5885" s="5" t="s">
        <v>38393</v>
      </c>
    </row>
    <row r="5886">
      <c r="A5886" s="4">
        <v>45534.36404789352</v>
      </c>
      <c r="B5886" s="5" t="s">
        <v>19</v>
      </c>
      <c r="C5886" s="5" t="s">
        <v>38343</v>
      </c>
      <c r="E5886" s="5" t="s">
        <v>38407</v>
      </c>
      <c r="F5886" s="5" t="s">
        <v>120</v>
      </c>
      <c r="G5886" s="5" t="s">
        <v>38408</v>
      </c>
      <c r="H5886" s="6" t="s">
        <v>38409</v>
      </c>
      <c r="K5886" s="5" t="s">
        <v>38393</v>
      </c>
    </row>
    <row r="5887">
      <c r="A5887" s="4">
        <v>45534.36405804398</v>
      </c>
      <c r="B5887" s="5" t="s">
        <v>34</v>
      </c>
      <c r="D5887" s="5" t="s">
        <v>1206</v>
      </c>
      <c r="E5887" s="5" t="s">
        <v>38412</v>
      </c>
      <c r="F5887" s="5" t="s">
        <v>72</v>
      </c>
      <c r="G5887" s="5" t="s">
        <v>38413</v>
      </c>
      <c r="H5887" s="6" t="s">
        <v>38414</v>
      </c>
      <c r="K5887" s="5" t="s">
        <v>38393</v>
      </c>
    </row>
    <row r="5888">
      <c r="A5888" s="4">
        <v>45534.36406013889</v>
      </c>
      <c r="B5888" s="5" t="s">
        <v>19</v>
      </c>
      <c r="C5888" s="5" t="s">
        <v>292</v>
      </c>
      <c r="E5888" s="5" t="s">
        <v>38417</v>
      </c>
      <c r="F5888" s="5" t="s">
        <v>212</v>
      </c>
      <c r="G5888" s="5" t="s">
        <v>38418</v>
      </c>
      <c r="H5888" s="6" t="s">
        <v>38419</v>
      </c>
      <c r="K5888" s="5" t="s">
        <v>38393</v>
      </c>
    </row>
    <row r="5889">
      <c r="A5889" s="4">
        <v>45534.36406228009</v>
      </c>
      <c r="B5889" s="5" t="s">
        <v>34</v>
      </c>
      <c r="D5889" s="5" t="s">
        <v>2903</v>
      </c>
      <c r="E5889" s="5" t="s">
        <v>38423</v>
      </c>
      <c r="F5889" s="5" t="s">
        <v>524</v>
      </c>
      <c r="G5889" s="5" t="s">
        <v>38424</v>
      </c>
      <c r="H5889" s="6" t="s">
        <v>38425</v>
      </c>
      <c r="K5889" s="5" t="s">
        <v>38393</v>
      </c>
    </row>
    <row r="5890">
      <c r="A5890" s="4">
        <v>45534.364064733796</v>
      </c>
      <c r="B5890" s="5" t="s">
        <v>34</v>
      </c>
      <c r="D5890" s="5" t="s">
        <v>6232</v>
      </c>
      <c r="E5890" s="5" t="s">
        <v>38428</v>
      </c>
      <c r="F5890" s="5" t="s">
        <v>108</v>
      </c>
      <c r="G5890" s="5" t="s">
        <v>38429</v>
      </c>
      <c r="H5890" s="6" t="s">
        <v>38430</v>
      </c>
      <c r="K5890" s="5" t="s">
        <v>38393</v>
      </c>
    </row>
    <row r="5891">
      <c r="A5891" s="4">
        <v>45534.36406857639</v>
      </c>
      <c r="B5891" s="5" t="s">
        <v>34</v>
      </c>
      <c r="D5891" s="5" t="s">
        <v>10297</v>
      </c>
      <c r="E5891" s="5" t="s">
        <v>38433</v>
      </c>
      <c r="F5891" s="5" t="s">
        <v>524</v>
      </c>
      <c r="G5891" s="5" t="s">
        <v>38434</v>
      </c>
      <c r="H5891" s="6" t="s">
        <v>38435</v>
      </c>
      <c r="K5891" s="5" t="s">
        <v>38393</v>
      </c>
    </row>
    <row r="5892">
      <c r="A5892" s="4">
        <v>45534.36407635416</v>
      </c>
      <c r="B5892" s="5" t="s">
        <v>34</v>
      </c>
      <c r="D5892" s="5" t="s">
        <v>1206</v>
      </c>
      <c r="E5892" s="5" t="s">
        <v>38438</v>
      </c>
      <c r="F5892" s="5" t="s">
        <v>212</v>
      </c>
      <c r="G5892" s="5" t="s">
        <v>38439</v>
      </c>
      <c r="H5892" s="6" t="s">
        <v>38440</v>
      </c>
      <c r="K5892" s="5" t="s">
        <v>38393</v>
      </c>
    </row>
    <row r="5893">
      <c r="A5893" s="4">
        <v>45534.364080011575</v>
      </c>
      <c r="B5893" s="5" t="s">
        <v>34</v>
      </c>
      <c r="D5893" s="5" t="s">
        <v>701</v>
      </c>
      <c r="E5893" s="5" t="s">
        <v>38443</v>
      </c>
      <c r="F5893" s="5" t="s">
        <v>524</v>
      </c>
      <c r="G5893" s="5" t="s">
        <v>38444</v>
      </c>
      <c r="H5893" s="6" t="s">
        <v>38445</v>
      </c>
      <c r="K5893" s="5" t="s">
        <v>38393</v>
      </c>
    </row>
    <row r="5894">
      <c r="A5894" s="4">
        <v>45534.36408449074</v>
      </c>
      <c r="B5894" s="5" t="s">
        <v>34</v>
      </c>
      <c r="D5894" s="5" t="s">
        <v>6232</v>
      </c>
      <c r="E5894" s="5" t="s">
        <v>38449</v>
      </c>
      <c r="F5894" s="5" t="s">
        <v>108</v>
      </c>
      <c r="G5894" s="5" t="s">
        <v>38450</v>
      </c>
      <c r="H5894" s="6" t="s">
        <v>38451</v>
      </c>
      <c r="K5894" s="5" t="s">
        <v>38393</v>
      </c>
    </row>
    <row r="5895">
      <c r="A5895" s="4">
        <v>45534.36409722222</v>
      </c>
      <c r="B5895" s="5" t="s">
        <v>34</v>
      </c>
      <c r="D5895" s="5" t="s">
        <v>6232</v>
      </c>
      <c r="E5895" s="5" t="s">
        <v>38454</v>
      </c>
      <c r="F5895" s="5" t="s">
        <v>524</v>
      </c>
      <c r="G5895" s="5" t="s">
        <v>38455</v>
      </c>
      <c r="H5895" s="6" t="s">
        <v>38456</v>
      </c>
      <c r="K5895" s="5" t="s">
        <v>38457</v>
      </c>
    </row>
    <row r="5896">
      <c r="A5896" s="4">
        <v>45534.364097708334</v>
      </c>
      <c r="B5896" s="5" t="s">
        <v>34</v>
      </c>
      <c r="D5896" s="5" t="s">
        <v>6232</v>
      </c>
      <c r="E5896" s="5" t="s">
        <v>38460</v>
      </c>
      <c r="F5896" s="5" t="s">
        <v>715</v>
      </c>
      <c r="G5896" s="5" t="s">
        <v>38461</v>
      </c>
      <c r="H5896" s="6" t="s">
        <v>38462</v>
      </c>
      <c r="K5896" s="5" t="s">
        <v>38457</v>
      </c>
    </row>
    <row r="5897">
      <c r="A5897" s="4">
        <v>45534.36410107639</v>
      </c>
      <c r="B5897" s="5" t="s">
        <v>34</v>
      </c>
      <c r="D5897" s="5" t="s">
        <v>9020</v>
      </c>
      <c r="E5897" s="5" t="s">
        <v>38465</v>
      </c>
      <c r="F5897" s="5" t="s">
        <v>72</v>
      </c>
      <c r="G5897" s="5" t="s">
        <v>38466</v>
      </c>
      <c r="H5897" s="6" t="s">
        <v>38467</v>
      </c>
      <c r="K5897" s="5" t="s">
        <v>38457</v>
      </c>
    </row>
    <row r="5898">
      <c r="A5898" s="4">
        <v>45534.364114282405</v>
      </c>
      <c r="B5898" s="5" t="s">
        <v>34</v>
      </c>
      <c r="D5898" s="5" t="s">
        <v>4775</v>
      </c>
      <c r="E5898" s="5" t="s">
        <v>38470</v>
      </c>
      <c r="F5898" s="5" t="s">
        <v>72</v>
      </c>
      <c r="G5898" s="5" t="s">
        <v>38471</v>
      </c>
      <c r="H5898" s="6" t="s">
        <v>38472</v>
      </c>
      <c r="K5898" s="5" t="s">
        <v>38457</v>
      </c>
    </row>
    <row r="5899">
      <c r="A5899" s="4">
        <v>45534.36413119213</v>
      </c>
      <c r="B5899" s="5" t="s">
        <v>34</v>
      </c>
      <c r="D5899" s="5" t="s">
        <v>9020</v>
      </c>
      <c r="E5899" s="5" t="s">
        <v>38476</v>
      </c>
      <c r="F5899" s="5" t="s">
        <v>37</v>
      </c>
      <c r="G5899" s="5" t="s">
        <v>38477</v>
      </c>
      <c r="H5899" s="6" t="s">
        <v>38478</v>
      </c>
      <c r="K5899" s="5" t="s">
        <v>38479</v>
      </c>
    </row>
    <row r="5900">
      <c r="A5900" s="4">
        <v>45534.364131967595</v>
      </c>
      <c r="B5900" s="5" t="s">
        <v>34</v>
      </c>
      <c r="D5900" s="5" t="s">
        <v>1206</v>
      </c>
      <c r="E5900" s="5" t="s">
        <v>38482</v>
      </c>
      <c r="F5900" s="5" t="s">
        <v>212</v>
      </c>
      <c r="G5900" s="5" t="s">
        <v>38483</v>
      </c>
      <c r="H5900" s="6" t="s">
        <v>38484</v>
      </c>
      <c r="K5900" s="5" t="s">
        <v>38479</v>
      </c>
    </row>
    <row r="5901">
      <c r="A5901" s="4">
        <v>45534.36415858797</v>
      </c>
      <c r="B5901" s="5" t="s">
        <v>34</v>
      </c>
      <c r="D5901" s="5" t="s">
        <v>12978</v>
      </c>
      <c r="E5901" s="5" t="s">
        <v>38487</v>
      </c>
      <c r="F5901" s="5" t="s">
        <v>375</v>
      </c>
      <c r="G5901" s="5" t="s">
        <v>38488</v>
      </c>
      <c r="H5901" s="6" t="s">
        <v>38489</v>
      </c>
      <c r="K5901" s="5" t="s">
        <v>38490</v>
      </c>
    </row>
    <row r="5902">
      <c r="A5902" s="4">
        <v>45534.36415869213</v>
      </c>
      <c r="B5902" s="5" t="s">
        <v>34</v>
      </c>
      <c r="D5902" s="5" t="s">
        <v>4775</v>
      </c>
      <c r="E5902" s="5" t="s">
        <v>34744</v>
      </c>
      <c r="F5902" s="5" t="s">
        <v>108</v>
      </c>
      <c r="G5902" s="5" t="s">
        <v>38493</v>
      </c>
      <c r="H5902" s="6" t="s">
        <v>38494</v>
      </c>
      <c r="K5902" s="5" t="s">
        <v>38490</v>
      </c>
    </row>
    <row r="5903">
      <c r="A5903" s="4">
        <v>45534.36416055556</v>
      </c>
      <c r="B5903" s="5" t="s">
        <v>34</v>
      </c>
      <c r="D5903" s="5" t="s">
        <v>1206</v>
      </c>
      <c r="E5903" s="5" t="s">
        <v>38498</v>
      </c>
      <c r="F5903" s="5" t="s">
        <v>212</v>
      </c>
      <c r="G5903" s="5" t="s">
        <v>38499</v>
      </c>
      <c r="H5903" s="6" t="s">
        <v>38500</v>
      </c>
      <c r="K5903" s="5" t="s">
        <v>38490</v>
      </c>
    </row>
    <row r="5904">
      <c r="A5904" s="4">
        <v>45534.36416332176</v>
      </c>
      <c r="B5904" s="5" t="s">
        <v>34</v>
      </c>
      <c r="D5904" s="5" t="s">
        <v>4775</v>
      </c>
      <c r="E5904" s="5" t="s">
        <v>38503</v>
      </c>
      <c r="F5904" s="5" t="s">
        <v>37</v>
      </c>
      <c r="G5904" s="5" t="s">
        <v>38504</v>
      </c>
      <c r="H5904" s="6" t="s">
        <v>38505</v>
      </c>
      <c r="K5904" s="5" t="s">
        <v>38490</v>
      </c>
    </row>
    <row r="5905">
      <c r="A5905" s="4">
        <v>45534.36417423611</v>
      </c>
      <c r="B5905" s="5" t="s">
        <v>34</v>
      </c>
      <c r="D5905" s="5" t="s">
        <v>267</v>
      </c>
      <c r="E5905" s="5" t="s">
        <v>38508</v>
      </c>
      <c r="F5905" s="5" t="s">
        <v>212</v>
      </c>
      <c r="G5905" s="5" t="s">
        <v>38509</v>
      </c>
      <c r="H5905" s="6" t="s">
        <v>38510</v>
      </c>
      <c r="K5905" s="5" t="s">
        <v>38490</v>
      </c>
    </row>
    <row r="5906">
      <c r="A5906" s="4">
        <v>45534.36417832176</v>
      </c>
      <c r="B5906" s="5" t="s">
        <v>19</v>
      </c>
      <c r="C5906" s="5" t="s">
        <v>442</v>
      </c>
      <c r="E5906" s="5" t="s">
        <v>38513</v>
      </c>
      <c r="F5906" s="5" t="s">
        <v>72</v>
      </c>
      <c r="G5906" s="5" t="s">
        <v>38514</v>
      </c>
      <c r="H5906" s="6" t="s">
        <v>38515</v>
      </c>
      <c r="K5906" s="5" t="s">
        <v>38516</v>
      </c>
    </row>
    <row r="5907">
      <c r="A5907" s="4">
        <v>45534.364181006946</v>
      </c>
      <c r="B5907" s="5" t="s">
        <v>34</v>
      </c>
      <c r="D5907" s="5" t="s">
        <v>280</v>
      </c>
      <c r="E5907" s="5" t="s">
        <v>38519</v>
      </c>
      <c r="F5907" s="5" t="s">
        <v>37</v>
      </c>
      <c r="G5907" s="5" t="s">
        <v>38520</v>
      </c>
      <c r="H5907" s="6" t="s">
        <v>38521</v>
      </c>
      <c r="K5907" s="5" t="s">
        <v>38516</v>
      </c>
    </row>
    <row r="5908">
      <c r="A5908" s="4">
        <v>45534.36419512732</v>
      </c>
      <c r="B5908" s="5" t="s">
        <v>34</v>
      </c>
      <c r="D5908" s="5" t="s">
        <v>10297</v>
      </c>
      <c r="E5908" s="5" t="s">
        <v>38525</v>
      </c>
      <c r="F5908" s="5" t="s">
        <v>120</v>
      </c>
      <c r="G5908" s="5" t="s">
        <v>38526</v>
      </c>
      <c r="H5908" s="6" t="s">
        <v>38527</v>
      </c>
      <c r="K5908" s="5" t="s">
        <v>38516</v>
      </c>
    </row>
    <row r="5909">
      <c r="A5909" s="4">
        <v>45534.36420413194</v>
      </c>
      <c r="B5909" s="5" t="s">
        <v>34</v>
      </c>
      <c r="D5909" s="5" t="s">
        <v>2903</v>
      </c>
      <c r="E5909" s="5" t="s">
        <v>38530</v>
      </c>
      <c r="F5909" s="5" t="s">
        <v>37</v>
      </c>
      <c r="G5909" s="5" t="s">
        <v>38531</v>
      </c>
      <c r="H5909" s="6" t="s">
        <v>38532</v>
      </c>
      <c r="K5909" s="5" t="s">
        <v>38516</v>
      </c>
    </row>
    <row r="5910">
      <c r="A5910" s="4">
        <v>45534.364216898146</v>
      </c>
      <c r="B5910" s="5" t="s">
        <v>34</v>
      </c>
      <c r="D5910" s="5" t="s">
        <v>701</v>
      </c>
      <c r="E5910" s="5" t="s">
        <v>38535</v>
      </c>
      <c r="F5910" s="5" t="s">
        <v>37</v>
      </c>
      <c r="G5910" s="5" t="s">
        <v>38536</v>
      </c>
      <c r="H5910" s="6" t="s">
        <v>38537</v>
      </c>
      <c r="K5910" s="5" t="s">
        <v>38516</v>
      </c>
    </row>
    <row r="5911">
      <c r="A5911" s="4">
        <v>45534.3642170949</v>
      </c>
      <c r="B5911" s="5" t="s">
        <v>34</v>
      </c>
      <c r="D5911" s="5" t="s">
        <v>35</v>
      </c>
      <c r="E5911" s="5" t="s">
        <v>24609</v>
      </c>
      <c r="F5911" s="5" t="s">
        <v>37</v>
      </c>
      <c r="G5911" s="5" t="s">
        <v>24610</v>
      </c>
      <c r="H5911" s="6" t="s">
        <v>38540</v>
      </c>
      <c r="K5911" s="5" t="s">
        <v>38516</v>
      </c>
    </row>
    <row r="5912">
      <c r="A5912" s="4">
        <v>45534.36422071759</v>
      </c>
      <c r="B5912" s="5" t="s">
        <v>34</v>
      </c>
      <c r="D5912" s="5" t="s">
        <v>14424</v>
      </c>
      <c r="E5912" s="5" t="s">
        <v>38544</v>
      </c>
      <c r="F5912" s="5" t="s">
        <v>375</v>
      </c>
      <c r="G5912" s="5" t="s">
        <v>38545</v>
      </c>
      <c r="H5912" s="6" t="s">
        <v>38546</v>
      </c>
      <c r="K5912" s="5" t="s">
        <v>38516</v>
      </c>
    </row>
    <row r="5913">
      <c r="A5913" s="4">
        <v>45534.36422283565</v>
      </c>
      <c r="B5913" s="5" t="s">
        <v>34</v>
      </c>
      <c r="D5913" s="5" t="s">
        <v>1206</v>
      </c>
      <c r="E5913" s="5" t="s">
        <v>38549</v>
      </c>
      <c r="F5913" s="5" t="s">
        <v>72</v>
      </c>
      <c r="G5913" s="5" t="s">
        <v>38550</v>
      </c>
      <c r="H5913" s="6" t="s">
        <v>38551</v>
      </c>
      <c r="K5913" s="5" t="s">
        <v>38516</v>
      </c>
    </row>
    <row r="5914">
      <c r="A5914" s="4">
        <v>45534.3642262963</v>
      </c>
      <c r="B5914" s="5" t="s">
        <v>34</v>
      </c>
      <c r="D5914" s="5" t="s">
        <v>4775</v>
      </c>
      <c r="E5914" s="5" t="s">
        <v>38554</v>
      </c>
      <c r="F5914" s="5" t="s">
        <v>212</v>
      </c>
      <c r="G5914" s="5" t="s">
        <v>38555</v>
      </c>
      <c r="H5914" s="6" t="s">
        <v>38556</v>
      </c>
      <c r="K5914" s="5" t="s">
        <v>38516</v>
      </c>
    </row>
    <row r="5915">
      <c r="A5915" s="4">
        <v>45534.36423821759</v>
      </c>
      <c r="B5915" s="5" t="s">
        <v>34</v>
      </c>
      <c r="D5915" s="5" t="s">
        <v>4775</v>
      </c>
      <c r="E5915" s="5" t="s">
        <v>38559</v>
      </c>
      <c r="F5915" s="5" t="s">
        <v>72</v>
      </c>
      <c r="G5915" s="5" t="s">
        <v>38560</v>
      </c>
      <c r="H5915" s="6" t="s">
        <v>38561</v>
      </c>
      <c r="K5915" s="5" t="s">
        <v>38516</v>
      </c>
    </row>
    <row r="5916">
      <c r="A5916" s="4">
        <v>45534.364238263894</v>
      </c>
      <c r="B5916" s="5" t="s">
        <v>34</v>
      </c>
      <c r="D5916" s="5" t="s">
        <v>12978</v>
      </c>
      <c r="E5916" s="5" t="s">
        <v>38565</v>
      </c>
      <c r="F5916" s="5" t="s">
        <v>524</v>
      </c>
      <c r="G5916" s="5" t="s">
        <v>38566</v>
      </c>
      <c r="H5916" s="6" t="s">
        <v>38567</v>
      </c>
      <c r="K5916" s="5" t="s">
        <v>38516</v>
      </c>
    </row>
    <row r="5917">
      <c r="A5917" s="4">
        <v>45534.36423924769</v>
      </c>
      <c r="B5917" s="5" t="s">
        <v>34</v>
      </c>
      <c r="D5917" s="5" t="s">
        <v>9020</v>
      </c>
      <c r="E5917" s="5" t="s">
        <v>38570</v>
      </c>
      <c r="F5917" s="5" t="s">
        <v>37</v>
      </c>
      <c r="G5917" s="5" t="s">
        <v>38571</v>
      </c>
      <c r="H5917" s="6" t="s">
        <v>38572</v>
      </c>
      <c r="K5917" s="5" t="s">
        <v>38573</v>
      </c>
    </row>
    <row r="5918">
      <c r="A5918" s="4">
        <v>45534.364246446756</v>
      </c>
      <c r="B5918" s="5" t="s">
        <v>19</v>
      </c>
      <c r="C5918" s="5" t="s">
        <v>24076</v>
      </c>
      <c r="E5918" s="5" t="s">
        <v>38576</v>
      </c>
      <c r="F5918" s="5" t="s">
        <v>199</v>
      </c>
      <c r="G5918" s="5" t="s">
        <v>38577</v>
      </c>
      <c r="H5918" s="6" t="s">
        <v>38578</v>
      </c>
      <c r="K5918" s="5" t="s">
        <v>38573</v>
      </c>
    </row>
    <row r="5919">
      <c r="A5919" s="4">
        <v>45534.364261875</v>
      </c>
      <c r="B5919" s="5" t="s">
        <v>34</v>
      </c>
      <c r="D5919" s="5" t="s">
        <v>10297</v>
      </c>
      <c r="E5919" s="5" t="s">
        <v>38581</v>
      </c>
      <c r="F5919" s="5" t="s">
        <v>524</v>
      </c>
      <c r="G5919" s="5" t="s">
        <v>38582</v>
      </c>
      <c r="H5919" s="6" t="s">
        <v>38583</v>
      </c>
      <c r="K5919" s="5" t="s">
        <v>38573</v>
      </c>
    </row>
    <row r="5920">
      <c r="A5920" s="4">
        <v>45534.36426391204</v>
      </c>
      <c r="B5920" s="5" t="s">
        <v>34</v>
      </c>
      <c r="D5920" s="5" t="s">
        <v>996</v>
      </c>
      <c r="E5920" s="5" t="s">
        <v>38587</v>
      </c>
      <c r="F5920" s="5" t="s">
        <v>212</v>
      </c>
      <c r="G5920" s="5" t="s">
        <v>38588</v>
      </c>
      <c r="H5920" s="6" t="s">
        <v>38589</v>
      </c>
      <c r="K5920" s="5" t="s">
        <v>38573</v>
      </c>
    </row>
    <row r="5921">
      <c r="A5921" s="4">
        <v>45534.36426598379</v>
      </c>
      <c r="B5921" s="5" t="s">
        <v>34</v>
      </c>
      <c r="D5921" s="5" t="s">
        <v>6232</v>
      </c>
      <c r="E5921" s="5" t="s">
        <v>38592</v>
      </c>
      <c r="F5921" s="5" t="s">
        <v>212</v>
      </c>
      <c r="G5921" s="5" t="s">
        <v>38593</v>
      </c>
      <c r="H5921" s="6" t="s">
        <v>38594</v>
      </c>
      <c r="K5921" s="5" t="s">
        <v>38573</v>
      </c>
    </row>
    <row r="5922">
      <c r="A5922" s="4">
        <v>45534.36430475695</v>
      </c>
      <c r="B5922" s="5" t="s">
        <v>34</v>
      </c>
      <c r="D5922" s="5" t="s">
        <v>4775</v>
      </c>
      <c r="E5922" s="5" t="s">
        <v>38597</v>
      </c>
      <c r="F5922" s="5" t="s">
        <v>37</v>
      </c>
      <c r="G5922" s="5" t="s">
        <v>38598</v>
      </c>
      <c r="H5922" s="6" t="s">
        <v>38599</v>
      </c>
      <c r="K5922" s="5" t="s">
        <v>38600</v>
      </c>
    </row>
    <row r="5923">
      <c r="A5923" s="4">
        <v>45534.364309236116</v>
      </c>
      <c r="B5923" s="5" t="s">
        <v>34</v>
      </c>
      <c r="D5923" s="5" t="s">
        <v>1206</v>
      </c>
      <c r="E5923" s="5" t="s">
        <v>38603</v>
      </c>
      <c r="F5923" s="5" t="s">
        <v>212</v>
      </c>
      <c r="G5923" s="5" t="s">
        <v>38604</v>
      </c>
      <c r="H5923" s="6" t="s">
        <v>38605</v>
      </c>
      <c r="K5923" s="5" t="s">
        <v>38600</v>
      </c>
    </row>
    <row r="5924">
      <c r="A5924" s="4">
        <v>45534.364325937495</v>
      </c>
      <c r="B5924" s="5" t="s">
        <v>34</v>
      </c>
      <c r="D5924" s="5" t="s">
        <v>4775</v>
      </c>
      <c r="E5924" s="5" t="s">
        <v>38608</v>
      </c>
      <c r="F5924" s="5" t="s">
        <v>375</v>
      </c>
      <c r="G5924" s="5" t="s">
        <v>38609</v>
      </c>
      <c r="H5924" s="6" t="s">
        <v>38610</v>
      </c>
      <c r="I5924" s="7" t="s">
        <v>38611</v>
      </c>
      <c r="J5924" s="8" t="str">
        <f>HYPERLINK("https://drive.google.com/file/d/13Nb8iWiJh5wsOltVe2RAWV5_qOWg93AJ/view?usp=drivesdk","ANDI PUJI HARTO ,S.I.Kom SERTIFIKAT BerAKHLAK")</f>
        <v>ANDI PUJI HARTO ,S.I.Kom SERTIFIKAT BerAKHLAK</v>
      </c>
      <c r="K5924" s="5" t="s">
        <v>37841</v>
      </c>
      <c r="L5924" s="5" t="s">
        <v>38612</v>
      </c>
    </row>
    <row r="5925">
      <c r="A5925" s="4">
        <v>45534.36433380787</v>
      </c>
      <c r="B5925" s="5" t="s">
        <v>34</v>
      </c>
      <c r="D5925" s="5" t="s">
        <v>9020</v>
      </c>
      <c r="E5925" s="5" t="s">
        <v>38615</v>
      </c>
      <c r="F5925" s="5" t="s">
        <v>37</v>
      </c>
      <c r="G5925" s="5" t="s">
        <v>38616</v>
      </c>
      <c r="H5925" s="6" t="s">
        <v>38617</v>
      </c>
      <c r="I5925" s="7" t="s">
        <v>38618</v>
      </c>
      <c r="J5925" s="8" t="str">
        <f>HYPERLINK("https://drive.google.com/file/d/1LQo2ttJqYJ7_ynXKAX0TwK6wiWNxlHhD/view?usp=drivesdk","BARIYAH SERTIFIKAT BerAKHLAK")</f>
        <v>BARIYAH SERTIFIKAT BerAKHLAK</v>
      </c>
      <c r="K5925" s="5" t="s">
        <v>37841</v>
      </c>
      <c r="L5925" s="5" t="s">
        <v>38619</v>
      </c>
    </row>
    <row r="5926">
      <c r="A5926" s="4">
        <v>45534.36434076389</v>
      </c>
      <c r="B5926" s="5" t="s">
        <v>34</v>
      </c>
      <c r="D5926" s="5" t="s">
        <v>2903</v>
      </c>
      <c r="E5926" s="5" t="s">
        <v>38623</v>
      </c>
      <c r="F5926" s="5" t="s">
        <v>37</v>
      </c>
      <c r="G5926" s="5" t="s">
        <v>38624</v>
      </c>
      <c r="H5926" s="6" t="s">
        <v>38625</v>
      </c>
      <c r="I5926" s="7" t="s">
        <v>38626</v>
      </c>
      <c r="J5926" s="8" t="str">
        <f>HYPERLINK("https://drive.google.com/file/d/1l6aNkHaUo7s8U5OYpggobdVhXsM4s18h/view?usp=drivesdk","RIKA HARTATI SERTIFIKAT BerAKHLAK")</f>
        <v>RIKA HARTATI SERTIFIKAT BerAKHLAK</v>
      </c>
      <c r="K5926" s="5" t="s">
        <v>38627</v>
      </c>
      <c r="L5926" s="5" t="s">
        <v>38628</v>
      </c>
    </row>
    <row r="5927">
      <c r="A5927" s="4">
        <v>45534.36435611111</v>
      </c>
      <c r="B5927" s="5" t="s">
        <v>19</v>
      </c>
      <c r="C5927" s="5" t="s">
        <v>38343</v>
      </c>
      <c r="E5927" s="5" t="s">
        <v>38631</v>
      </c>
      <c r="F5927" s="5" t="s">
        <v>72</v>
      </c>
      <c r="G5927" s="5" t="s">
        <v>38632</v>
      </c>
      <c r="H5927" s="6" t="s">
        <v>38633</v>
      </c>
      <c r="I5927" s="7" t="s">
        <v>38634</v>
      </c>
      <c r="J5927" s="8" t="str">
        <f>HYPERLINK("https://drive.google.com/file/d/1AkbecOk6QQNJSYs4mGZfeaSFQHOmk9_o/view?usp=drivesdk","UGAN FADLI SERTIFIKAT BerAKHLAK")</f>
        <v>UGAN FADLI SERTIFIKAT BerAKHLAK</v>
      </c>
      <c r="K5927" s="5" t="s">
        <v>37841</v>
      </c>
      <c r="L5927" s="5" t="s">
        <v>38635</v>
      </c>
    </row>
    <row r="5928">
      <c r="A5928" s="4">
        <v>45534.36436335648</v>
      </c>
      <c r="B5928" s="5" t="s">
        <v>34</v>
      </c>
      <c r="D5928" s="5" t="s">
        <v>6232</v>
      </c>
      <c r="E5928" s="5" t="s">
        <v>38638</v>
      </c>
      <c r="F5928" s="5" t="s">
        <v>524</v>
      </c>
      <c r="G5928" s="5" t="s">
        <v>38639</v>
      </c>
      <c r="H5928" s="6" t="s">
        <v>38640</v>
      </c>
      <c r="I5928" s="7" t="s">
        <v>38641</v>
      </c>
      <c r="J5928" s="8" t="str">
        <f>HYPERLINK("https://drive.google.com/file/d/1ICXm2PZjWLSU4VgKLru9d9ivFH_vBoOS/view?usp=drivesdk","Akhdiad Rizki Setiawan  SERTIFIKAT BerAKHLAK")</f>
        <v>Akhdiad Rizki Setiawan  SERTIFIKAT BerAKHLAK</v>
      </c>
      <c r="K5928" s="5" t="s">
        <v>38627</v>
      </c>
      <c r="L5928" s="5" t="s">
        <v>38642</v>
      </c>
    </row>
    <row r="5929">
      <c r="A5929" s="4">
        <v>45534.36438585648</v>
      </c>
      <c r="B5929" s="5" t="s">
        <v>34</v>
      </c>
      <c r="D5929" s="5" t="s">
        <v>9020</v>
      </c>
      <c r="E5929" s="5" t="s">
        <v>38645</v>
      </c>
      <c r="F5929" s="5" t="s">
        <v>72</v>
      </c>
      <c r="G5929" s="5" t="s">
        <v>38646</v>
      </c>
      <c r="H5929" s="6" t="s">
        <v>38647</v>
      </c>
      <c r="I5929" s="7" t="s">
        <v>38648</v>
      </c>
      <c r="J5929" s="8" t="str">
        <f>HYPERLINK("https://drive.google.com/file/d/1MRPsa2QODEwp1d10-u56eBOlPo2Xl8_-/view?usp=drivesdk","PARIDA EVA NOERMINCE NAINGGOLAN, S.PD SERTIFIKAT BerAKHLAK")</f>
        <v>PARIDA EVA NOERMINCE NAINGGOLAN, S.PD SERTIFIKAT BerAKHLAK</v>
      </c>
      <c r="K5929" s="5" t="s">
        <v>38627</v>
      </c>
      <c r="L5929" s="5" t="s">
        <v>38649</v>
      </c>
    </row>
    <row r="5930">
      <c r="A5930" s="4">
        <v>45534.364386597226</v>
      </c>
      <c r="B5930" s="5" t="s">
        <v>19</v>
      </c>
      <c r="C5930" s="5" t="s">
        <v>466</v>
      </c>
      <c r="E5930" s="5" t="s">
        <v>38653</v>
      </c>
      <c r="F5930" s="5" t="s">
        <v>72</v>
      </c>
      <c r="G5930" s="5" t="s">
        <v>38654</v>
      </c>
      <c r="H5930" s="6" t="s">
        <v>38655</v>
      </c>
      <c r="I5930" s="7" t="s">
        <v>38656</v>
      </c>
      <c r="J5930" s="8" t="str">
        <f>HYPERLINK("https://drive.google.com/file/d/1aLOMLvoWUTP1DI26e3sInUjqyvDJBVDQ/view?usp=drivesdk","AGUS SUHARYADI, A.md SERTIFIKAT BerAKHLAK")</f>
        <v>AGUS SUHARYADI, A.md SERTIFIKAT BerAKHLAK</v>
      </c>
      <c r="K5930" s="5" t="s">
        <v>38627</v>
      </c>
      <c r="L5930" s="5" t="s">
        <v>38657</v>
      </c>
    </row>
    <row r="5931">
      <c r="A5931" s="4">
        <v>45534.364390208335</v>
      </c>
      <c r="B5931" s="5" t="s">
        <v>34</v>
      </c>
      <c r="D5931" s="5" t="s">
        <v>701</v>
      </c>
      <c r="E5931" s="5" t="s">
        <v>38660</v>
      </c>
      <c r="F5931" s="5" t="s">
        <v>212</v>
      </c>
      <c r="G5931" s="5" t="s">
        <v>38661</v>
      </c>
      <c r="H5931" s="6" t="s">
        <v>38662</v>
      </c>
      <c r="I5931" s="7" t="s">
        <v>38663</v>
      </c>
      <c r="J5931" s="8" t="str">
        <f>HYPERLINK("https://drive.google.com/file/d/1cQ0lcyjAzYg7ZtfGNvyEcxCOcG5-jUdo/view?usp=drivesdk","ENDAH AULIA NOVITA, A.Md.Kep SERTIFIKAT BerAKHLAK")</f>
        <v>ENDAH AULIA NOVITA, A.Md.Kep SERTIFIKAT BerAKHLAK</v>
      </c>
      <c r="K5931" s="5" t="s">
        <v>38627</v>
      </c>
      <c r="L5931" s="5" t="s">
        <v>38664</v>
      </c>
    </row>
    <row r="5932">
      <c r="A5932" s="4">
        <v>45534.36439452546</v>
      </c>
      <c r="B5932" s="5" t="s">
        <v>34</v>
      </c>
      <c r="D5932" s="5" t="s">
        <v>4775</v>
      </c>
      <c r="E5932" s="5" t="s">
        <v>38667</v>
      </c>
      <c r="F5932" s="5" t="s">
        <v>212</v>
      </c>
      <c r="G5932" s="5" t="s">
        <v>38668</v>
      </c>
      <c r="H5932" s="6" t="s">
        <v>38669</v>
      </c>
      <c r="K5932" s="5" t="s">
        <v>38670</v>
      </c>
    </row>
    <row r="5933">
      <c r="A5933" s="4">
        <v>45534.36440747685</v>
      </c>
      <c r="B5933" s="5" t="s">
        <v>34</v>
      </c>
      <c r="D5933" s="5" t="s">
        <v>4775</v>
      </c>
      <c r="E5933" s="5" t="s">
        <v>38673</v>
      </c>
      <c r="F5933" s="5" t="s">
        <v>212</v>
      </c>
      <c r="G5933" s="5" t="s">
        <v>38674</v>
      </c>
      <c r="H5933" s="6" t="s">
        <v>38675</v>
      </c>
      <c r="K5933" s="5" t="s">
        <v>38670</v>
      </c>
    </row>
    <row r="5934">
      <c r="A5934" s="4">
        <v>45534.36441152778</v>
      </c>
      <c r="B5934" s="5" t="s">
        <v>34</v>
      </c>
      <c r="D5934" s="5" t="s">
        <v>1456</v>
      </c>
      <c r="E5934" s="5" t="s">
        <v>23614</v>
      </c>
      <c r="F5934" s="5" t="s">
        <v>108</v>
      </c>
      <c r="G5934" s="5" t="s">
        <v>38679</v>
      </c>
      <c r="H5934" s="6" t="s">
        <v>38680</v>
      </c>
      <c r="I5934" s="7" t="s">
        <v>38681</v>
      </c>
      <c r="J5934" s="8" t="str">
        <f>HYPERLINK("https://drive.google.com/file/d/1UMPzB_QWrQZVoSyCdWYOZ1tgQT4xqvcc/view?usp=drivesdk","YUNITA SERTIFIKAT BerAKHLAK")</f>
        <v>YUNITA SERTIFIKAT BerAKHLAK</v>
      </c>
      <c r="K5934" s="5" t="s">
        <v>38627</v>
      </c>
      <c r="L5934" s="5" t="s">
        <v>38682</v>
      </c>
    </row>
    <row r="5935">
      <c r="A5935" s="4">
        <v>45534.36442590278</v>
      </c>
      <c r="B5935" s="5" t="s">
        <v>34</v>
      </c>
      <c r="D5935" s="5" t="s">
        <v>1206</v>
      </c>
      <c r="E5935" s="5" t="s">
        <v>38685</v>
      </c>
      <c r="F5935" s="5" t="s">
        <v>375</v>
      </c>
      <c r="G5935" s="5" t="s">
        <v>38686</v>
      </c>
      <c r="H5935" s="6" t="s">
        <v>38687</v>
      </c>
      <c r="I5935" s="7" t="s">
        <v>38688</v>
      </c>
      <c r="J5935" s="8" t="str">
        <f>HYPERLINK("https://drive.google.com/file/d/1FU4MVbbyrEItVnVdcW3G_HTFQUDGijEy/view?usp=drivesdk","SUHARLIN, S.E. SERTIFIKAT BerAKHLAK")</f>
        <v>SUHARLIN, S.E. SERTIFIKAT BerAKHLAK</v>
      </c>
      <c r="K5935" s="5" t="s">
        <v>38627</v>
      </c>
      <c r="L5935" s="5" t="s">
        <v>38689</v>
      </c>
    </row>
    <row r="5936">
      <c r="A5936" s="4">
        <v>45534.36442288195</v>
      </c>
      <c r="B5936" s="5" t="s">
        <v>34</v>
      </c>
      <c r="D5936" s="5" t="s">
        <v>1206</v>
      </c>
      <c r="E5936" s="5" t="s">
        <v>38692</v>
      </c>
      <c r="F5936" s="5" t="s">
        <v>212</v>
      </c>
      <c r="G5936" s="5" t="s">
        <v>38693</v>
      </c>
      <c r="H5936" s="6" t="s">
        <v>38694</v>
      </c>
      <c r="I5936" s="7" t="s">
        <v>38695</v>
      </c>
      <c r="J5936" s="8" t="str">
        <f>HYPERLINK("https://drive.google.com/file/d/14rTdWGf4IK537z5rmLl4W1VMO5qGmT1w/view?usp=drivesdk","BALOK MUSIONO SERTIFIKAT BerAKHLAK")</f>
        <v>BALOK MUSIONO SERTIFIKAT BerAKHLAK</v>
      </c>
      <c r="K5936" s="5" t="s">
        <v>38627</v>
      </c>
      <c r="L5936" s="5" t="s">
        <v>38696</v>
      </c>
    </row>
    <row r="5937">
      <c r="A5937" s="4">
        <v>45534.364433043986</v>
      </c>
      <c r="B5937" s="5" t="s">
        <v>34</v>
      </c>
      <c r="D5937" s="5" t="s">
        <v>9020</v>
      </c>
      <c r="E5937" s="5" t="s">
        <v>38699</v>
      </c>
      <c r="F5937" s="5" t="s">
        <v>37</v>
      </c>
      <c r="G5937" s="5" t="s">
        <v>38700</v>
      </c>
      <c r="H5937" s="6" t="s">
        <v>38701</v>
      </c>
      <c r="K5937" s="5" t="s">
        <v>38702</v>
      </c>
    </row>
    <row r="5938">
      <c r="A5938" s="4">
        <v>45534.36443315972</v>
      </c>
      <c r="B5938" s="5" t="s">
        <v>34</v>
      </c>
      <c r="D5938" s="5" t="s">
        <v>12978</v>
      </c>
      <c r="E5938" s="5" t="s">
        <v>38705</v>
      </c>
      <c r="F5938" s="5" t="s">
        <v>108</v>
      </c>
      <c r="G5938" s="5" t="s">
        <v>38706</v>
      </c>
      <c r="H5938" s="6" t="s">
        <v>38707</v>
      </c>
      <c r="K5938" s="5" t="s">
        <v>38702</v>
      </c>
    </row>
    <row r="5939">
      <c r="A5939" s="4">
        <v>45534.36443741898</v>
      </c>
      <c r="B5939" s="5" t="s">
        <v>34</v>
      </c>
      <c r="D5939" s="5" t="s">
        <v>12026</v>
      </c>
      <c r="E5939" s="5" t="s">
        <v>38711</v>
      </c>
      <c r="F5939" s="5" t="s">
        <v>37</v>
      </c>
      <c r="G5939" s="5" t="s">
        <v>38712</v>
      </c>
      <c r="H5939" s="6" t="s">
        <v>38713</v>
      </c>
      <c r="K5939" s="5" t="s">
        <v>38702</v>
      </c>
    </row>
    <row r="5940">
      <c r="A5940" s="4">
        <v>45534.36443914352</v>
      </c>
      <c r="B5940" s="5" t="s">
        <v>34</v>
      </c>
      <c r="D5940" s="5" t="s">
        <v>267</v>
      </c>
      <c r="E5940" s="5" t="s">
        <v>38716</v>
      </c>
      <c r="F5940" s="5" t="s">
        <v>375</v>
      </c>
      <c r="G5940" s="5" t="s">
        <v>38717</v>
      </c>
      <c r="H5940" s="6" t="s">
        <v>38718</v>
      </c>
      <c r="K5940" s="5" t="s">
        <v>38702</v>
      </c>
    </row>
    <row r="5941">
      <c r="A5941" s="4">
        <v>45534.36443935185</v>
      </c>
      <c r="B5941" s="5" t="s">
        <v>34</v>
      </c>
      <c r="D5941" s="5" t="s">
        <v>4775</v>
      </c>
      <c r="E5941" s="5" t="s">
        <v>38721</v>
      </c>
      <c r="F5941" s="5" t="s">
        <v>212</v>
      </c>
      <c r="G5941" s="5" t="s">
        <v>38722</v>
      </c>
      <c r="H5941" s="6" t="s">
        <v>38723</v>
      </c>
      <c r="K5941" s="5" t="s">
        <v>38702</v>
      </c>
    </row>
    <row r="5942">
      <c r="A5942" s="4">
        <v>45534.364469872686</v>
      </c>
      <c r="B5942" s="5" t="s">
        <v>34</v>
      </c>
      <c r="D5942" s="5" t="s">
        <v>14424</v>
      </c>
      <c r="E5942" s="5" t="s">
        <v>38726</v>
      </c>
      <c r="F5942" s="5" t="s">
        <v>72</v>
      </c>
      <c r="G5942" s="5" t="s">
        <v>38727</v>
      </c>
      <c r="H5942" s="6" t="s">
        <v>38728</v>
      </c>
      <c r="I5942" s="7" t="s">
        <v>38729</v>
      </c>
      <c r="J5942" s="8" t="str">
        <f>HYPERLINK("https://drive.google.com/file/d/1HZjvzg9x4umS4kuqBbPB1UgB4rPPs840/view?usp=drivesdk","MARZIAH SERTIFIKAT BerAKHLAK")</f>
        <v>MARZIAH SERTIFIKAT BerAKHLAK</v>
      </c>
      <c r="K5942" s="5" t="s">
        <v>38627</v>
      </c>
      <c r="L5942" s="5" t="s">
        <v>38730</v>
      </c>
    </row>
    <row r="5943">
      <c r="A5943" s="4">
        <v>45534.3644750463</v>
      </c>
      <c r="B5943" s="5" t="s">
        <v>34</v>
      </c>
      <c r="D5943" s="5" t="s">
        <v>35</v>
      </c>
      <c r="E5943" s="5" t="s">
        <v>38734</v>
      </c>
      <c r="F5943" s="5" t="s">
        <v>37</v>
      </c>
      <c r="G5943" s="5" t="s">
        <v>38735</v>
      </c>
      <c r="H5943" s="6" t="s">
        <v>38736</v>
      </c>
      <c r="I5943" s="7" t="s">
        <v>38737</v>
      </c>
      <c r="J5943" s="8" t="str">
        <f>HYPERLINK("https://drive.google.com/file/d/1FUkBcGbJGf_OgS7zU8ceApKNVsvoyCgv/view?usp=drivesdk","RATUM, SE SERTIFIKAT BerAKHLAK")</f>
        <v>RATUM, SE SERTIFIKAT BerAKHLAK</v>
      </c>
      <c r="K5943" s="5" t="s">
        <v>38627</v>
      </c>
      <c r="L5943" s="5" t="s">
        <v>38738</v>
      </c>
    </row>
    <row r="5944">
      <c r="A5944" s="4">
        <v>45534.364493796296</v>
      </c>
      <c r="B5944" s="5" t="s">
        <v>34</v>
      </c>
      <c r="D5944" s="5" t="s">
        <v>701</v>
      </c>
      <c r="E5944" s="5" t="s">
        <v>38741</v>
      </c>
      <c r="F5944" s="5" t="s">
        <v>72</v>
      </c>
      <c r="G5944" s="5" t="s">
        <v>38742</v>
      </c>
      <c r="H5944" s="6" t="s">
        <v>38743</v>
      </c>
      <c r="I5944" s="7" t="s">
        <v>38744</v>
      </c>
      <c r="J5944" s="8" t="str">
        <f>HYPERLINK("https://drive.google.com/file/d/1DxhX9h5yib8XrDJhEr0xVzcwwDtu29sK/view?usp=drivesdk","FERINA, S.E SERTIFIKAT BerAKHLAK")</f>
        <v>FERINA, S.E SERTIFIKAT BerAKHLAK</v>
      </c>
      <c r="K5944" s="5" t="s">
        <v>38627</v>
      </c>
      <c r="L5944" s="5" t="s">
        <v>38745</v>
      </c>
    </row>
    <row r="5945">
      <c r="A5945" s="4">
        <v>45534.364498055555</v>
      </c>
      <c r="B5945" s="5" t="s">
        <v>34</v>
      </c>
      <c r="D5945" s="5" t="s">
        <v>9020</v>
      </c>
      <c r="E5945" s="5" t="s">
        <v>38748</v>
      </c>
      <c r="F5945" s="5" t="s">
        <v>375</v>
      </c>
      <c r="G5945" s="5" t="s">
        <v>38749</v>
      </c>
      <c r="H5945" s="6" t="s">
        <v>38750</v>
      </c>
      <c r="I5945" s="7" t="s">
        <v>38751</v>
      </c>
      <c r="J5945" s="8" t="str">
        <f>HYPERLINK("https://drive.google.com/file/d/1Jp6uIWf8tRxj2SULX9aRisObZTV7I2ID/view?usp=drivesdk","MARIATI SERTIFIKAT BerAKHLAK")</f>
        <v>MARIATI SERTIFIKAT BerAKHLAK</v>
      </c>
      <c r="K5945" s="5" t="s">
        <v>38627</v>
      </c>
      <c r="L5945" s="5" t="s">
        <v>38752</v>
      </c>
    </row>
    <row r="5946">
      <c r="A5946" s="4">
        <v>45534.364503125005</v>
      </c>
      <c r="B5946" s="5" t="s">
        <v>34</v>
      </c>
      <c r="D5946" s="5" t="s">
        <v>35</v>
      </c>
      <c r="E5946" s="5" t="s">
        <v>38755</v>
      </c>
      <c r="F5946" s="5" t="s">
        <v>72</v>
      </c>
      <c r="G5946" s="5" t="s">
        <v>38756</v>
      </c>
      <c r="H5946" s="6" t="s">
        <v>38757</v>
      </c>
      <c r="I5946" s="7" t="s">
        <v>38758</v>
      </c>
      <c r="J5946" s="8" t="str">
        <f>HYPERLINK("https://drive.google.com/file/d/1aOc_H8yflvLlIfJiG0fkBeeM5H_7mYvH/view?usp=drivesdk","SANTI SUSANTI, S.Kep.Ners, MKM SERTIFIKAT BerAKHLAK")</f>
        <v>SANTI SUSANTI, S.Kep.Ners, MKM SERTIFIKAT BerAKHLAK</v>
      </c>
      <c r="K5946" s="5" t="s">
        <v>38627</v>
      </c>
      <c r="L5946" s="5" t="s">
        <v>38759</v>
      </c>
    </row>
    <row r="5947">
      <c r="A5947" s="4">
        <v>45534.36450693287</v>
      </c>
      <c r="B5947" s="5" t="s">
        <v>34</v>
      </c>
      <c r="D5947" s="5" t="s">
        <v>267</v>
      </c>
      <c r="E5947" s="5" t="s">
        <v>22258</v>
      </c>
      <c r="F5947" s="5" t="s">
        <v>524</v>
      </c>
      <c r="G5947" s="5" t="s">
        <v>38762</v>
      </c>
      <c r="H5947" s="6" t="s">
        <v>38763</v>
      </c>
      <c r="I5947" s="7" t="s">
        <v>38764</v>
      </c>
      <c r="J5947" s="8" t="str">
        <f>HYPERLINK("https://drive.google.com/file/d/16HGkpWAlYkkpVSSbGmdyxHKkeENfygMT/view?usp=drivesdk","SUHARYANTI SERTIFIKAT BerAKHLAK")</f>
        <v>SUHARYANTI SERTIFIKAT BerAKHLAK</v>
      </c>
      <c r="K5947" s="5" t="s">
        <v>38627</v>
      </c>
      <c r="L5947" s="5" t="s">
        <v>38765</v>
      </c>
    </row>
    <row r="5948">
      <c r="A5948" s="4">
        <v>45534.36451475695</v>
      </c>
      <c r="B5948" s="5" t="s">
        <v>34</v>
      </c>
      <c r="D5948" s="5" t="s">
        <v>9020</v>
      </c>
      <c r="E5948" s="5" t="s">
        <v>38769</v>
      </c>
      <c r="F5948" s="5" t="s">
        <v>524</v>
      </c>
      <c r="G5948" s="5" t="s">
        <v>38770</v>
      </c>
      <c r="H5948" s="6" t="s">
        <v>38771</v>
      </c>
      <c r="I5948" s="7" t="s">
        <v>38772</v>
      </c>
      <c r="J5948" s="8" t="str">
        <f>HYPERLINK("https://drive.google.com/file/d/1ISU_Omawv19Q6z6PNBfatPn2aZdH2I2j/view?usp=drivesdk","RAHMI,S.FARM SERTIFIKAT BerAKHLAK")</f>
        <v>RAHMI,S.FARM SERTIFIKAT BerAKHLAK</v>
      </c>
      <c r="K5948" s="5" t="s">
        <v>38627</v>
      </c>
      <c r="L5948" s="5" t="s">
        <v>38773</v>
      </c>
    </row>
    <row r="5949">
      <c r="A5949" s="4">
        <v>45534.364518773145</v>
      </c>
      <c r="B5949" s="5" t="s">
        <v>34</v>
      </c>
      <c r="D5949" s="5" t="s">
        <v>9020</v>
      </c>
      <c r="E5949" s="5" t="s">
        <v>38776</v>
      </c>
      <c r="F5949" s="5" t="s">
        <v>212</v>
      </c>
      <c r="G5949" s="5" t="s">
        <v>38777</v>
      </c>
      <c r="H5949" s="6" t="s">
        <v>38778</v>
      </c>
      <c r="I5949" s="7" t="s">
        <v>38779</v>
      </c>
      <c r="J5949" s="8" t="str">
        <f>HYPERLINK("https://drive.google.com/file/d/1grlMC94KFiQ0JGp_uim3pMAEMX-MwRpg/view?usp=drivesdk","DELIMA MAHOMBAR SERTIFIKAT BerAKHLAK")</f>
        <v>DELIMA MAHOMBAR SERTIFIKAT BerAKHLAK</v>
      </c>
      <c r="K5949" s="5" t="s">
        <v>38627</v>
      </c>
      <c r="L5949" s="5" t="s">
        <v>38780</v>
      </c>
    </row>
    <row r="5950">
      <c r="A5950" s="4">
        <v>45534.364519062496</v>
      </c>
      <c r="B5950" s="5" t="s">
        <v>34</v>
      </c>
      <c r="D5950" s="5" t="s">
        <v>4775</v>
      </c>
      <c r="E5950" s="5" t="s">
        <v>38783</v>
      </c>
      <c r="F5950" s="5" t="s">
        <v>72</v>
      </c>
      <c r="G5950" s="5" t="s">
        <v>38784</v>
      </c>
      <c r="H5950" s="6" t="s">
        <v>38785</v>
      </c>
      <c r="I5950" s="7" t="s">
        <v>38786</v>
      </c>
      <c r="J5950" s="8" t="str">
        <f>HYPERLINK("https://drive.google.com/file/d/1tyDzE74gzeVF2fAqIjPj9zIt0RmrdHXk/view?usp=drivesdk","HENDI APRIANTO, Skep SERTIFIKAT BerAKHLAK")</f>
        <v>HENDI APRIANTO, Skep SERTIFIKAT BerAKHLAK</v>
      </c>
      <c r="K5950" s="5" t="s">
        <v>38627</v>
      </c>
      <c r="L5950" s="5" t="s">
        <v>38787</v>
      </c>
    </row>
    <row r="5951">
      <c r="A5951" s="4">
        <v>45534.36452141203</v>
      </c>
      <c r="B5951" s="5" t="s">
        <v>19</v>
      </c>
      <c r="C5951" s="5" t="s">
        <v>3301</v>
      </c>
      <c r="E5951" s="5" t="s">
        <v>38790</v>
      </c>
      <c r="F5951" s="5" t="s">
        <v>37</v>
      </c>
      <c r="G5951" s="5" t="s">
        <v>38791</v>
      </c>
      <c r="H5951" s="6" t="s">
        <v>38792</v>
      </c>
      <c r="K5951" s="5" t="s">
        <v>38793</v>
      </c>
    </row>
    <row r="5952">
      <c r="A5952" s="4">
        <v>45534.364539814815</v>
      </c>
      <c r="B5952" s="5" t="s">
        <v>34</v>
      </c>
      <c r="D5952" s="5" t="s">
        <v>1206</v>
      </c>
      <c r="E5952" s="5" t="s">
        <v>38796</v>
      </c>
      <c r="F5952" s="5" t="s">
        <v>37</v>
      </c>
      <c r="G5952" s="5" t="s">
        <v>38797</v>
      </c>
      <c r="H5952" s="6" t="s">
        <v>38798</v>
      </c>
      <c r="K5952" s="5" t="s">
        <v>38793</v>
      </c>
    </row>
    <row r="5953">
      <c r="A5953" s="4">
        <v>45534.36455946759</v>
      </c>
      <c r="B5953" s="5" t="s">
        <v>34</v>
      </c>
      <c r="D5953" s="5" t="s">
        <v>1206</v>
      </c>
      <c r="E5953" s="5" t="s">
        <v>38801</v>
      </c>
      <c r="F5953" s="5" t="s">
        <v>199</v>
      </c>
      <c r="G5953" s="5" t="s">
        <v>38802</v>
      </c>
      <c r="H5953" s="6" t="s">
        <v>38803</v>
      </c>
      <c r="K5953" s="5" t="s">
        <v>38793</v>
      </c>
    </row>
    <row r="5954">
      <c r="A5954" s="4">
        <v>45534.364567349534</v>
      </c>
      <c r="B5954" s="5" t="s">
        <v>34</v>
      </c>
      <c r="D5954" s="5" t="s">
        <v>4775</v>
      </c>
      <c r="E5954" s="5" t="s">
        <v>38807</v>
      </c>
      <c r="F5954" s="5" t="s">
        <v>212</v>
      </c>
      <c r="G5954" s="5" t="s">
        <v>38808</v>
      </c>
      <c r="H5954" s="6" t="s">
        <v>38809</v>
      </c>
      <c r="K5954" s="5" t="s">
        <v>38793</v>
      </c>
    </row>
    <row r="5955">
      <c r="A5955" s="4">
        <v>45534.36457101852</v>
      </c>
      <c r="B5955" s="5" t="s">
        <v>34</v>
      </c>
      <c r="D5955" s="5" t="s">
        <v>15401</v>
      </c>
      <c r="E5955" s="5" t="s">
        <v>38812</v>
      </c>
      <c r="F5955" s="5" t="s">
        <v>375</v>
      </c>
      <c r="G5955" s="5" t="s">
        <v>38813</v>
      </c>
      <c r="H5955" s="6" t="s">
        <v>38814</v>
      </c>
      <c r="I5955" s="7" t="s">
        <v>38815</v>
      </c>
      <c r="J5955" s="8" t="str">
        <f>HYPERLINK("https://drive.google.com/file/d/1YeCMp3CphW-K1gocEisjOLMoYWo8v02v/view?usp=drivesdk","ZEKIASTI MOKODOMPIS  SERTIFIKAT BerAKHLAK")</f>
        <v>ZEKIASTI MOKODOMPIS  SERTIFIKAT BerAKHLAK</v>
      </c>
      <c r="K5955" s="5" t="s">
        <v>38627</v>
      </c>
      <c r="L5955" s="5" t="s">
        <v>38816</v>
      </c>
    </row>
    <row r="5956">
      <c r="A5956" s="4">
        <v>45534.364572060185</v>
      </c>
      <c r="B5956" s="5" t="s">
        <v>34</v>
      </c>
      <c r="D5956" s="5" t="s">
        <v>701</v>
      </c>
      <c r="E5956" s="5" t="s">
        <v>38819</v>
      </c>
      <c r="F5956" s="5" t="s">
        <v>212</v>
      </c>
      <c r="G5956" s="5" t="s">
        <v>38820</v>
      </c>
      <c r="H5956" s="6" t="s">
        <v>38821</v>
      </c>
      <c r="I5956" s="7" t="s">
        <v>38822</v>
      </c>
      <c r="J5956" s="8" t="str">
        <f>HYPERLINK("https://drive.google.com/file/d/1ePB1oeSBOG7FioN3eebogdbnWvZX_Dku/view?usp=drivesdk","DIAN APRILLIA SERTIFIKAT BerAKHLAK")</f>
        <v>DIAN APRILLIA SERTIFIKAT BerAKHLAK</v>
      </c>
      <c r="K5956" s="5" t="s">
        <v>38627</v>
      </c>
      <c r="L5956" s="5" t="s">
        <v>38823</v>
      </c>
    </row>
    <row r="5957">
      <c r="A5957" s="4">
        <v>45534.36457837963</v>
      </c>
      <c r="B5957" s="5" t="s">
        <v>34</v>
      </c>
      <c r="D5957" s="5" t="s">
        <v>4775</v>
      </c>
      <c r="E5957" s="5" t="s">
        <v>38826</v>
      </c>
      <c r="F5957" s="5" t="s">
        <v>524</v>
      </c>
      <c r="G5957" s="5" t="s">
        <v>38827</v>
      </c>
      <c r="H5957" s="6" t="s">
        <v>38828</v>
      </c>
      <c r="K5957" s="5" t="s">
        <v>38829</v>
      </c>
    </row>
    <row r="5958">
      <c r="A5958" s="4">
        <v>45534.364581076385</v>
      </c>
      <c r="B5958" s="5" t="s">
        <v>34</v>
      </c>
      <c r="D5958" s="5" t="s">
        <v>4775</v>
      </c>
      <c r="E5958" s="5" t="s">
        <v>38833</v>
      </c>
      <c r="F5958" s="5" t="s">
        <v>37</v>
      </c>
      <c r="G5958" s="5" t="s">
        <v>38834</v>
      </c>
      <c r="H5958" s="6" t="s">
        <v>38835</v>
      </c>
      <c r="K5958" s="5" t="s">
        <v>38829</v>
      </c>
    </row>
    <row r="5959">
      <c r="A5959" s="4">
        <v>45534.36458163195</v>
      </c>
      <c r="B5959" s="5" t="s">
        <v>34</v>
      </c>
      <c r="D5959" s="5" t="s">
        <v>14424</v>
      </c>
      <c r="E5959" s="5" t="s">
        <v>38838</v>
      </c>
      <c r="F5959" s="5" t="s">
        <v>524</v>
      </c>
      <c r="G5959" s="5" t="s">
        <v>38839</v>
      </c>
      <c r="H5959" s="6" t="s">
        <v>38840</v>
      </c>
      <c r="K5959" s="5" t="s">
        <v>38829</v>
      </c>
    </row>
    <row r="5960">
      <c r="A5960" s="4">
        <v>45534.364592893515</v>
      </c>
      <c r="B5960" s="5" t="s">
        <v>19</v>
      </c>
      <c r="C5960" s="5" t="s">
        <v>3301</v>
      </c>
      <c r="E5960" s="5" t="s">
        <v>38843</v>
      </c>
      <c r="F5960" s="5" t="s">
        <v>375</v>
      </c>
      <c r="G5960" s="5" t="s">
        <v>38844</v>
      </c>
      <c r="H5960" s="6" t="s">
        <v>38845</v>
      </c>
      <c r="K5960" s="5" t="s">
        <v>38829</v>
      </c>
    </row>
    <row r="5961">
      <c r="A5961" s="4">
        <v>45534.36461348379</v>
      </c>
      <c r="B5961" s="5" t="s">
        <v>34</v>
      </c>
      <c r="D5961" s="5" t="s">
        <v>1206</v>
      </c>
      <c r="E5961" s="5" t="s">
        <v>38848</v>
      </c>
      <c r="F5961" s="5" t="s">
        <v>212</v>
      </c>
      <c r="G5961" s="5" t="s">
        <v>38849</v>
      </c>
      <c r="H5961" s="6" t="s">
        <v>38850</v>
      </c>
      <c r="I5961" s="7" t="s">
        <v>38851</v>
      </c>
      <c r="J5961" s="8" t="str">
        <f>HYPERLINK("https://drive.google.com/file/d/1vk_hCgyDnkvK0llPYGJrPkaWt0FCbO86/view?usp=drivesdk","ANI PRASETYOWATI SERTIFIKAT BerAKHLAK")</f>
        <v>ANI PRASETYOWATI SERTIFIKAT BerAKHLAK</v>
      </c>
      <c r="K5961" s="5" t="s">
        <v>38627</v>
      </c>
      <c r="L5961" s="5" t="s">
        <v>38852</v>
      </c>
    </row>
    <row r="5962">
      <c r="A5962" s="4">
        <v>45534.364621493056</v>
      </c>
      <c r="B5962" s="5" t="s">
        <v>34</v>
      </c>
      <c r="D5962" s="5" t="s">
        <v>35</v>
      </c>
      <c r="E5962" s="5" t="s">
        <v>38856</v>
      </c>
      <c r="F5962" s="5" t="s">
        <v>524</v>
      </c>
      <c r="G5962" s="5" t="s">
        <v>38857</v>
      </c>
      <c r="H5962" s="6" t="s">
        <v>38858</v>
      </c>
      <c r="I5962" s="7" t="s">
        <v>38859</v>
      </c>
      <c r="J5962" s="8" t="str">
        <f>HYPERLINK("https://drive.google.com/file/d/1q_qu54TmLeT-7fJEikDgVxyt_ryMXDQD/view?usp=drivesdk","MAYA KURNIA,S.KEP.,NERS SERTIFIKAT BerAKHLAK")</f>
        <v>MAYA KURNIA,S.KEP.,NERS SERTIFIKAT BerAKHLAK</v>
      </c>
      <c r="K5962" s="5" t="s">
        <v>38627</v>
      </c>
      <c r="L5962" s="5" t="s">
        <v>38860</v>
      </c>
    </row>
    <row r="5963">
      <c r="A5963" s="4">
        <v>45534.364622696754</v>
      </c>
      <c r="B5963" s="5" t="s">
        <v>34</v>
      </c>
      <c r="D5963" s="5" t="s">
        <v>10444</v>
      </c>
      <c r="E5963" s="5" t="s">
        <v>38863</v>
      </c>
      <c r="F5963" s="5" t="s">
        <v>72</v>
      </c>
      <c r="G5963" s="5" t="s">
        <v>38864</v>
      </c>
      <c r="H5963" s="6" t="s">
        <v>38865</v>
      </c>
      <c r="K5963" s="5" t="s">
        <v>38866</v>
      </c>
    </row>
    <row r="5964">
      <c r="A5964" s="4">
        <v>45534.36462806713</v>
      </c>
      <c r="B5964" s="5" t="s">
        <v>34</v>
      </c>
      <c r="D5964" s="5" t="s">
        <v>267</v>
      </c>
      <c r="E5964" s="5" t="s">
        <v>38869</v>
      </c>
      <c r="F5964" s="5" t="s">
        <v>524</v>
      </c>
      <c r="G5964" s="5" t="s">
        <v>38870</v>
      </c>
      <c r="H5964" s="6" t="s">
        <v>38871</v>
      </c>
      <c r="K5964" s="5" t="s">
        <v>38866</v>
      </c>
    </row>
    <row r="5965">
      <c r="A5965" s="4">
        <v>45534.36463287037</v>
      </c>
      <c r="B5965" s="5" t="s">
        <v>34</v>
      </c>
      <c r="D5965" s="5" t="s">
        <v>1206</v>
      </c>
      <c r="E5965" s="5" t="s">
        <v>38874</v>
      </c>
      <c r="F5965" s="5" t="s">
        <v>37</v>
      </c>
      <c r="G5965" s="5" t="s">
        <v>38875</v>
      </c>
      <c r="H5965" s="6" t="s">
        <v>38876</v>
      </c>
      <c r="K5965" s="5" t="s">
        <v>38866</v>
      </c>
    </row>
    <row r="5966">
      <c r="A5966" s="4">
        <v>45534.364639259264</v>
      </c>
      <c r="B5966" s="5" t="s">
        <v>34</v>
      </c>
      <c r="D5966" s="5" t="s">
        <v>1206</v>
      </c>
      <c r="E5966" s="5" t="s">
        <v>17285</v>
      </c>
      <c r="F5966" s="5" t="s">
        <v>212</v>
      </c>
      <c r="G5966" s="5" t="s">
        <v>38879</v>
      </c>
      <c r="H5966" s="6" t="s">
        <v>38880</v>
      </c>
      <c r="I5966" s="7" t="s">
        <v>38881</v>
      </c>
      <c r="J5966" s="8" t="str">
        <f>HYPERLINK("https://drive.google.com/file/d/1xEXRXalxaGe0dnIYgDFnwFJGfR0NJSwu/view?usp=drivesdk","MULYADI SERTIFIKAT BerAKHLAK")</f>
        <v>MULYADI SERTIFIKAT BerAKHLAK</v>
      </c>
      <c r="K5966" s="5" t="s">
        <v>38627</v>
      </c>
      <c r="L5966" s="5" t="s">
        <v>38882</v>
      </c>
    </row>
    <row r="5967">
      <c r="A5967" s="4">
        <v>45534.364642141205</v>
      </c>
      <c r="B5967" s="5" t="s">
        <v>34</v>
      </c>
      <c r="D5967" s="5" t="s">
        <v>12978</v>
      </c>
      <c r="E5967" s="5" t="s">
        <v>38886</v>
      </c>
      <c r="F5967" s="5" t="s">
        <v>375</v>
      </c>
      <c r="G5967" s="5" t="s">
        <v>38887</v>
      </c>
      <c r="H5967" s="6" t="s">
        <v>38888</v>
      </c>
      <c r="I5967" s="7" t="s">
        <v>38889</v>
      </c>
      <c r="J5967" s="8" t="str">
        <f>HYPERLINK("https://drive.google.com/file/d/1dWpIrcTXKa3BW8lUTIy8njGFmvtUskl6/view?usp=drivesdk","YUSMIATI SERTIFIKAT BerAKHLAK")</f>
        <v>YUSMIATI SERTIFIKAT BerAKHLAK</v>
      </c>
      <c r="K5967" s="5" t="s">
        <v>38627</v>
      </c>
      <c r="L5967" s="5" t="s">
        <v>38890</v>
      </c>
    </row>
    <row r="5968">
      <c r="A5968" s="4">
        <v>45534.364642280096</v>
      </c>
      <c r="B5968" s="5" t="s">
        <v>34</v>
      </c>
      <c r="D5968" s="5" t="s">
        <v>580</v>
      </c>
      <c r="E5968" s="5" t="s">
        <v>38893</v>
      </c>
      <c r="F5968" s="5" t="s">
        <v>37</v>
      </c>
      <c r="G5968" s="5" t="s">
        <v>38894</v>
      </c>
      <c r="H5968" s="6" t="s">
        <v>38895</v>
      </c>
      <c r="I5968" s="7" t="s">
        <v>38896</v>
      </c>
      <c r="J5968" s="8" t="str">
        <f>HYPERLINK("https://drive.google.com/file/d/13Ib7ppkEvw34DPFynwoNoYxUUeyVoBfr/view?usp=drivesdk","I GUSTI NGURAH ARTA KUSUMA SERTIFIKAT BerAKHLAK")</f>
        <v>I GUSTI NGURAH ARTA KUSUMA SERTIFIKAT BerAKHLAK</v>
      </c>
      <c r="K5968" s="5" t="s">
        <v>38627</v>
      </c>
      <c r="L5968" s="5" t="s">
        <v>38897</v>
      </c>
    </row>
    <row r="5969">
      <c r="A5969" s="4">
        <v>45534.364659328705</v>
      </c>
      <c r="B5969" s="5" t="s">
        <v>34</v>
      </c>
      <c r="D5969" s="5" t="s">
        <v>9020</v>
      </c>
      <c r="E5969" s="5" t="s">
        <v>38900</v>
      </c>
      <c r="F5969" s="5" t="s">
        <v>72</v>
      </c>
      <c r="G5969" s="5" t="s">
        <v>38901</v>
      </c>
      <c r="H5969" s="6" t="s">
        <v>38902</v>
      </c>
      <c r="K5969" s="5" t="s">
        <v>38903</v>
      </c>
    </row>
    <row r="5970">
      <c r="A5970" s="4">
        <v>45534.36466859953</v>
      </c>
      <c r="B5970" s="5" t="s">
        <v>34</v>
      </c>
      <c r="D5970" s="5" t="s">
        <v>580</v>
      </c>
      <c r="E5970" s="5" t="s">
        <v>38906</v>
      </c>
      <c r="F5970" s="5" t="s">
        <v>524</v>
      </c>
      <c r="G5970" s="5" t="s">
        <v>38907</v>
      </c>
      <c r="H5970" s="6" t="s">
        <v>38908</v>
      </c>
      <c r="K5970" s="5" t="s">
        <v>38903</v>
      </c>
    </row>
    <row r="5971">
      <c r="A5971" s="4">
        <v>45534.36467311342</v>
      </c>
      <c r="B5971" s="5" t="s">
        <v>34</v>
      </c>
      <c r="D5971" s="5" t="s">
        <v>1558</v>
      </c>
      <c r="E5971" s="5" t="s">
        <v>38911</v>
      </c>
      <c r="F5971" s="5" t="s">
        <v>375</v>
      </c>
      <c r="G5971" s="5" t="s">
        <v>38912</v>
      </c>
      <c r="H5971" s="6" t="s">
        <v>38913</v>
      </c>
      <c r="K5971" s="5" t="s">
        <v>38903</v>
      </c>
    </row>
    <row r="5972">
      <c r="A5972" s="4">
        <v>45534.364673599535</v>
      </c>
      <c r="B5972" s="5" t="s">
        <v>34</v>
      </c>
      <c r="D5972" s="5" t="s">
        <v>1206</v>
      </c>
      <c r="E5972" s="5" t="s">
        <v>38917</v>
      </c>
      <c r="F5972" s="5" t="s">
        <v>37</v>
      </c>
      <c r="G5972" s="5" t="s">
        <v>38918</v>
      </c>
      <c r="H5972" s="6" t="s">
        <v>38919</v>
      </c>
      <c r="K5972" s="5" t="s">
        <v>38903</v>
      </c>
    </row>
    <row r="5973">
      <c r="A5973" s="4">
        <v>45534.364686712965</v>
      </c>
      <c r="B5973" s="5" t="s">
        <v>34</v>
      </c>
      <c r="D5973" s="5" t="s">
        <v>1206</v>
      </c>
      <c r="E5973" s="5" t="s">
        <v>38922</v>
      </c>
      <c r="F5973" s="5" t="s">
        <v>37</v>
      </c>
      <c r="G5973" s="5" t="s">
        <v>38923</v>
      </c>
      <c r="H5973" s="6" t="s">
        <v>38924</v>
      </c>
      <c r="I5973" s="7" t="s">
        <v>38925</v>
      </c>
      <c r="J5973" s="8" t="str">
        <f>HYPERLINK("https://drive.google.com/file/d/1k4vN2xuYL1Em22VYyU9qAdDj7XmczgBn/view?usp=drivesdk","DWI HADI SAPUTRO SERTIFIKAT BerAKHLAK")</f>
        <v>DWI HADI SAPUTRO SERTIFIKAT BerAKHLAK</v>
      </c>
      <c r="K5973" s="5" t="s">
        <v>38627</v>
      </c>
      <c r="L5973" s="5" t="s">
        <v>38926</v>
      </c>
    </row>
    <row r="5974">
      <c r="A5974" s="4">
        <v>45534.364693842595</v>
      </c>
      <c r="B5974" s="5" t="s">
        <v>34</v>
      </c>
      <c r="D5974" s="5" t="s">
        <v>4775</v>
      </c>
      <c r="E5974" s="5" t="s">
        <v>38929</v>
      </c>
      <c r="F5974" s="5" t="s">
        <v>120</v>
      </c>
      <c r="G5974" s="5" t="s">
        <v>38930</v>
      </c>
      <c r="H5974" s="6" t="s">
        <v>38931</v>
      </c>
      <c r="K5974" s="5" t="s">
        <v>38932</v>
      </c>
    </row>
    <row r="5975">
      <c r="A5975" s="4">
        <v>45534.36470457176</v>
      </c>
      <c r="B5975" s="5" t="s">
        <v>34</v>
      </c>
      <c r="D5975" s="5" t="s">
        <v>1206</v>
      </c>
      <c r="E5975" s="5" t="s">
        <v>38935</v>
      </c>
      <c r="F5975" s="5" t="s">
        <v>37</v>
      </c>
      <c r="G5975" s="5" t="s">
        <v>38936</v>
      </c>
      <c r="H5975" s="6" t="s">
        <v>38937</v>
      </c>
      <c r="K5975" s="5" t="s">
        <v>38932</v>
      </c>
    </row>
    <row r="5976">
      <c r="A5976" s="4">
        <v>45534.36470484953</v>
      </c>
      <c r="B5976" s="5" t="s">
        <v>34</v>
      </c>
      <c r="D5976" s="5" t="s">
        <v>1206</v>
      </c>
      <c r="E5976" s="5" t="s">
        <v>38941</v>
      </c>
      <c r="F5976" s="5" t="s">
        <v>524</v>
      </c>
      <c r="G5976" s="5" t="s">
        <v>38942</v>
      </c>
      <c r="H5976" s="6" t="s">
        <v>38943</v>
      </c>
      <c r="I5976" s="7" t="s">
        <v>38944</v>
      </c>
      <c r="J5976" s="8" t="str">
        <f>HYPERLINK("https://drive.google.com/file/d/1bJ9eE5H6tOUZ9sgG0ER_qwhaUQhpapnZ/view?usp=drivesdk","SUHERMAN  SERTIFIKAT BerAKHLAK")</f>
        <v>SUHERMAN  SERTIFIKAT BerAKHLAK</v>
      </c>
      <c r="K5976" s="5" t="s">
        <v>38627</v>
      </c>
      <c r="L5976" s="5" t="s">
        <v>38945</v>
      </c>
    </row>
    <row r="5977">
      <c r="A5977" s="4">
        <v>45534.364707175926</v>
      </c>
      <c r="B5977" s="5" t="s">
        <v>34</v>
      </c>
      <c r="D5977" s="5" t="s">
        <v>4775</v>
      </c>
      <c r="E5977" s="5" t="s">
        <v>38948</v>
      </c>
      <c r="F5977" s="5" t="s">
        <v>108</v>
      </c>
      <c r="G5977" s="5" t="s">
        <v>38949</v>
      </c>
      <c r="H5977" s="6" t="s">
        <v>38950</v>
      </c>
      <c r="K5977" s="5" t="s">
        <v>38951</v>
      </c>
    </row>
    <row r="5978">
      <c r="A5978" s="4">
        <v>45534.3647081713</v>
      </c>
      <c r="B5978" s="5" t="s">
        <v>34</v>
      </c>
      <c r="D5978" s="5" t="s">
        <v>35</v>
      </c>
      <c r="E5978" s="5" t="s">
        <v>38954</v>
      </c>
      <c r="F5978" s="5" t="s">
        <v>108</v>
      </c>
      <c r="G5978" s="5" t="s">
        <v>38955</v>
      </c>
      <c r="H5978" s="6" t="s">
        <v>38956</v>
      </c>
      <c r="K5978" s="5" t="s">
        <v>38951</v>
      </c>
    </row>
    <row r="5979">
      <c r="A5979" s="4">
        <v>45534.36472185185</v>
      </c>
      <c r="B5979" s="5" t="s">
        <v>34</v>
      </c>
      <c r="D5979" s="5" t="s">
        <v>4775</v>
      </c>
      <c r="E5979" s="5" t="s">
        <v>38959</v>
      </c>
      <c r="F5979" s="5" t="s">
        <v>72</v>
      </c>
      <c r="G5979" s="5" t="s">
        <v>38960</v>
      </c>
      <c r="H5979" s="6" t="s">
        <v>38961</v>
      </c>
      <c r="K5979" s="5" t="s">
        <v>38951</v>
      </c>
    </row>
    <row r="5980">
      <c r="A5980" s="4">
        <v>45534.36473743056</v>
      </c>
      <c r="B5980" s="5" t="s">
        <v>34</v>
      </c>
      <c r="D5980" s="5" t="s">
        <v>14424</v>
      </c>
      <c r="E5980" s="5" t="s">
        <v>38964</v>
      </c>
      <c r="F5980" s="5" t="s">
        <v>37</v>
      </c>
      <c r="G5980" s="5" t="s">
        <v>38965</v>
      </c>
      <c r="H5980" s="6" t="s">
        <v>38966</v>
      </c>
      <c r="K5980" s="5" t="s">
        <v>38951</v>
      </c>
    </row>
    <row r="5981">
      <c r="A5981" s="4">
        <v>45534.364757731484</v>
      </c>
      <c r="B5981" s="5" t="s">
        <v>34</v>
      </c>
      <c r="D5981" s="5" t="s">
        <v>9394</v>
      </c>
      <c r="E5981" s="5" t="s">
        <v>29335</v>
      </c>
      <c r="F5981" s="5" t="s">
        <v>524</v>
      </c>
      <c r="G5981" s="5" t="s">
        <v>38970</v>
      </c>
      <c r="H5981" s="6" t="s">
        <v>38971</v>
      </c>
      <c r="K5981" s="5" t="s">
        <v>38972</v>
      </c>
    </row>
    <row r="5982">
      <c r="A5982" s="4">
        <v>45534.36476070602</v>
      </c>
      <c r="B5982" s="5" t="s">
        <v>34</v>
      </c>
      <c r="D5982" s="5" t="s">
        <v>9020</v>
      </c>
      <c r="E5982" s="5" t="s">
        <v>38975</v>
      </c>
      <c r="F5982" s="5" t="s">
        <v>72</v>
      </c>
      <c r="G5982" s="5" t="s">
        <v>38976</v>
      </c>
      <c r="H5982" s="6" t="s">
        <v>38977</v>
      </c>
      <c r="K5982" s="5" t="s">
        <v>38972</v>
      </c>
    </row>
    <row r="5983">
      <c r="A5983" s="4">
        <v>45534.364761770834</v>
      </c>
      <c r="B5983" s="5" t="s">
        <v>34</v>
      </c>
      <c r="D5983" s="5" t="s">
        <v>1206</v>
      </c>
      <c r="E5983" s="5" t="s">
        <v>38981</v>
      </c>
      <c r="F5983" s="5" t="s">
        <v>375</v>
      </c>
      <c r="G5983" s="5" t="s">
        <v>38982</v>
      </c>
      <c r="H5983" s="6" t="s">
        <v>38983</v>
      </c>
      <c r="K5983" s="5" t="s">
        <v>38972</v>
      </c>
    </row>
    <row r="5984">
      <c r="A5984" s="4">
        <v>45534.36478173611</v>
      </c>
      <c r="B5984" s="5" t="s">
        <v>34</v>
      </c>
      <c r="D5984" s="5" t="s">
        <v>701</v>
      </c>
      <c r="E5984" s="5" t="s">
        <v>38986</v>
      </c>
      <c r="F5984" s="5" t="s">
        <v>37</v>
      </c>
      <c r="G5984" s="5" t="s">
        <v>38987</v>
      </c>
      <c r="H5984" s="6" t="s">
        <v>38988</v>
      </c>
      <c r="K5984" s="5" t="s">
        <v>38972</v>
      </c>
    </row>
    <row r="5985">
      <c r="A5985" s="4">
        <v>45534.364789363426</v>
      </c>
      <c r="B5985" s="5" t="s">
        <v>34</v>
      </c>
      <c r="D5985" s="5" t="s">
        <v>15401</v>
      </c>
      <c r="E5985" s="5" t="s">
        <v>38991</v>
      </c>
      <c r="F5985" s="5" t="s">
        <v>37</v>
      </c>
      <c r="G5985" s="5" t="s">
        <v>38992</v>
      </c>
      <c r="H5985" s="6" t="s">
        <v>38993</v>
      </c>
      <c r="K5985" s="5" t="s">
        <v>38994</v>
      </c>
    </row>
    <row r="5986">
      <c r="A5986" s="4">
        <v>45534.36479432871</v>
      </c>
      <c r="B5986" s="5" t="s">
        <v>34</v>
      </c>
      <c r="D5986" s="5" t="s">
        <v>9020</v>
      </c>
      <c r="E5986" s="5" t="s">
        <v>38997</v>
      </c>
      <c r="F5986" s="5" t="s">
        <v>212</v>
      </c>
      <c r="G5986" s="5" t="s">
        <v>38998</v>
      </c>
      <c r="H5986" s="6" t="s">
        <v>38999</v>
      </c>
      <c r="K5986" s="5" t="s">
        <v>38994</v>
      </c>
    </row>
    <row r="5987">
      <c r="A5987" s="4">
        <v>45534.364800104166</v>
      </c>
      <c r="B5987" s="5" t="s">
        <v>34</v>
      </c>
      <c r="D5987" s="5" t="s">
        <v>6232</v>
      </c>
      <c r="E5987" s="5" t="s">
        <v>39002</v>
      </c>
      <c r="F5987" s="5" t="s">
        <v>37</v>
      </c>
      <c r="G5987" s="5" t="s">
        <v>39003</v>
      </c>
      <c r="H5987" s="6" t="s">
        <v>39004</v>
      </c>
      <c r="K5987" s="5" t="s">
        <v>38994</v>
      </c>
    </row>
    <row r="5988">
      <c r="A5988" s="4">
        <v>45534.36480736111</v>
      </c>
      <c r="B5988" s="5" t="s">
        <v>34</v>
      </c>
      <c r="D5988" s="5" t="s">
        <v>1206</v>
      </c>
      <c r="E5988" s="5" t="s">
        <v>39008</v>
      </c>
      <c r="F5988" s="5" t="s">
        <v>37</v>
      </c>
      <c r="G5988" s="5" t="s">
        <v>39009</v>
      </c>
      <c r="H5988" s="6" t="s">
        <v>39010</v>
      </c>
      <c r="K5988" s="5" t="s">
        <v>38994</v>
      </c>
    </row>
    <row r="5989">
      <c r="A5989" s="4">
        <v>45534.364818229165</v>
      </c>
      <c r="B5989" s="5" t="s">
        <v>34</v>
      </c>
      <c r="D5989" s="5" t="s">
        <v>6232</v>
      </c>
      <c r="E5989" s="5" t="s">
        <v>39013</v>
      </c>
      <c r="F5989" s="5" t="s">
        <v>524</v>
      </c>
      <c r="G5989" s="5" t="s">
        <v>39014</v>
      </c>
      <c r="H5989" s="6" t="s">
        <v>39015</v>
      </c>
      <c r="K5989" s="5" t="s">
        <v>39016</v>
      </c>
    </row>
    <row r="5990">
      <c r="A5990" s="4">
        <v>45534.364822268515</v>
      </c>
      <c r="B5990" s="5" t="s">
        <v>34</v>
      </c>
      <c r="D5990" s="5" t="s">
        <v>1206</v>
      </c>
      <c r="E5990" s="5" t="s">
        <v>39019</v>
      </c>
      <c r="F5990" s="5" t="s">
        <v>212</v>
      </c>
      <c r="G5990" s="5" t="s">
        <v>39020</v>
      </c>
      <c r="H5990" s="6" t="s">
        <v>39021</v>
      </c>
      <c r="K5990" s="5" t="s">
        <v>39016</v>
      </c>
    </row>
    <row r="5991">
      <c r="A5991" s="4">
        <v>45534.36482787037</v>
      </c>
      <c r="B5991" s="5" t="s">
        <v>34</v>
      </c>
      <c r="D5991" s="5" t="s">
        <v>10444</v>
      </c>
      <c r="E5991" s="5" t="s">
        <v>39024</v>
      </c>
      <c r="F5991" s="5" t="s">
        <v>375</v>
      </c>
      <c r="G5991" s="5" t="s">
        <v>39025</v>
      </c>
      <c r="H5991" s="6" t="s">
        <v>39026</v>
      </c>
      <c r="K5991" s="5" t="s">
        <v>39016</v>
      </c>
    </row>
    <row r="5992">
      <c r="A5992" s="4">
        <v>45534.36486724537</v>
      </c>
      <c r="B5992" s="5" t="s">
        <v>34</v>
      </c>
      <c r="D5992" s="5" t="s">
        <v>12978</v>
      </c>
      <c r="E5992" s="5" t="s">
        <v>39029</v>
      </c>
      <c r="F5992" s="5" t="s">
        <v>199</v>
      </c>
      <c r="G5992" s="5" t="s">
        <v>39030</v>
      </c>
      <c r="H5992" s="6" t="s">
        <v>39031</v>
      </c>
      <c r="K5992" s="5" t="s">
        <v>39032</v>
      </c>
    </row>
    <row r="5993">
      <c r="A5993" s="4">
        <v>45534.3648899074</v>
      </c>
      <c r="B5993" s="5" t="s">
        <v>34</v>
      </c>
      <c r="D5993" s="5" t="s">
        <v>1456</v>
      </c>
      <c r="E5993" s="5" t="s">
        <v>39036</v>
      </c>
      <c r="F5993" s="5" t="s">
        <v>212</v>
      </c>
      <c r="G5993" s="5" t="s">
        <v>39037</v>
      </c>
      <c r="H5993" s="6" t="s">
        <v>39038</v>
      </c>
      <c r="K5993" s="5" t="s">
        <v>39032</v>
      </c>
    </row>
    <row r="5994">
      <c r="A5994" s="4">
        <v>45534.36490803241</v>
      </c>
      <c r="B5994" s="5" t="s">
        <v>34</v>
      </c>
      <c r="D5994" s="5" t="s">
        <v>6232</v>
      </c>
      <c r="E5994" s="5" t="s">
        <v>39041</v>
      </c>
      <c r="F5994" s="5" t="s">
        <v>108</v>
      </c>
      <c r="G5994" s="5" t="s">
        <v>39042</v>
      </c>
      <c r="H5994" s="6" t="s">
        <v>39043</v>
      </c>
      <c r="K5994" s="5" t="s">
        <v>39032</v>
      </c>
    </row>
    <row r="5995">
      <c r="A5995" s="4">
        <v>45534.36492341435</v>
      </c>
      <c r="B5995" s="5" t="s">
        <v>34</v>
      </c>
      <c r="D5995" s="5" t="s">
        <v>1206</v>
      </c>
      <c r="E5995" s="5" t="s">
        <v>11906</v>
      </c>
      <c r="F5995" s="5" t="s">
        <v>212</v>
      </c>
      <c r="G5995" s="5" t="s">
        <v>39046</v>
      </c>
      <c r="H5995" s="6" t="s">
        <v>39047</v>
      </c>
      <c r="K5995" s="5" t="s">
        <v>39032</v>
      </c>
    </row>
    <row r="5996">
      <c r="A5996" s="4">
        <v>45534.364925752314</v>
      </c>
      <c r="B5996" s="5" t="s">
        <v>34</v>
      </c>
      <c r="D5996" s="5" t="s">
        <v>2903</v>
      </c>
      <c r="E5996" s="5" t="s">
        <v>39051</v>
      </c>
      <c r="F5996" s="5" t="s">
        <v>375</v>
      </c>
      <c r="G5996" s="5" t="s">
        <v>39052</v>
      </c>
      <c r="H5996" s="6" t="s">
        <v>39053</v>
      </c>
      <c r="K5996" s="5" t="s">
        <v>39032</v>
      </c>
    </row>
    <row r="5997">
      <c r="A5997" s="4">
        <v>45534.36492576389</v>
      </c>
      <c r="B5997" s="5" t="s">
        <v>34</v>
      </c>
      <c r="D5997" s="5" t="s">
        <v>14313</v>
      </c>
      <c r="E5997" s="5" t="s">
        <v>39056</v>
      </c>
      <c r="F5997" s="5" t="s">
        <v>524</v>
      </c>
      <c r="G5997" s="5" t="s">
        <v>39057</v>
      </c>
      <c r="H5997" s="6" t="s">
        <v>39058</v>
      </c>
      <c r="K5997" s="5" t="s">
        <v>39032</v>
      </c>
    </row>
    <row r="5998">
      <c r="A5998" s="4">
        <v>45534.364934375</v>
      </c>
      <c r="B5998" s="5" t="s">
        <v>34</v>
      </c>
      <c r="D5998" s="5" t="s">
        <v>12978</v>
      </c>
      <c r="E5998" s="5" t="s">
        <v>39061</v>
      </c>
      <c r="F5998" s="5" t="s">
        <v>37</v>
      </c>
      <c r="G5998" s="5" t="s">
        <v>39062</v>
      </c>
      <c r="H5998" s="6" t="s">
        <v>39063</v>
      </c>
      <c r="K5998" s="5" t="s">
        <v>39032</v>
      </c>
    </row>
    <row r="5999">
      <c r="A5999" s="4">
        <v>45534.3649414699</v>
      </c>
      <c r="B5999" s="5" t="s">
        <v>34</v>
      </c>
      <c r="D5999" s="5" t="s">
        <v>10444</v>
      </c>
      <c r="E5999" s="5" t="s">
        <v>39066</v>
      </c>
      <c r="F5999" s="5" t="s">
        <v>72</v>
      </c>
      <c r="G5999" s="5" t="s">
        <v>39067</v>
      </c>
      <c r="H5999" s="6" t="s">
        <v>39068</v>
      </c>
      <c r="K5999" s="5" t="s">
        <v>39032</v>
      </c>
    </row>
    <row r="6000">
      <c r="A6000" s="4">
        <v>45534.36494371528</v>
      </c>
      <c r="B6000" s="5" t="s">
        <v>34</v>
      </c>
      <c r="D6000" s="5" t="s">
        <v>9394</v>
      </c>
      <c r="E6000" s="5" t="s">
        <v>39071</v>
      </c>
      <c r="F6000" s="5" t="s">
        <v>108</v>
      </c>
      <c r="G6000" s="5" t="s">
        <v>39072</v>
      </c>
      <c r="H6000" s="6" t="s">
        <v>39073</v>
      </c>
      <c r="K6000" s="5" t="s">
        <v>39032</v>
      </c>
    </row>
    <row r="6001">
      <c r="A6001" s="4">
        <v>45534.36495747685</v>
      </c>
      <c r="B6001" s="5" t="s">
        <v>19</v>
      </c>
      <c r="C6001" s="5" t="s">
        <v>442</v>
      </c>
      <c r="E6001" s="5" t="s">
        <v>39077</v>
      </c>
      <c r="F6001" s="5" t="s">
        <v>108</v>
      </c>
      <c r="G6001" s="5" t="s">
        <v>39078</v>
      </c>
      <c r="H6001" s="6" t="s">
        <v>39079</v>
      </c>
      <c r="K6001" s="5" t="s">
        <v>39080</v>
      </c>
    </row>
    <row r="6002">
      <c r="A6002" s="4">
        <v>45534.36495883102</v>
      </c>
      <c r="B6002" s="5" t="s">
        <v>34</v>
      </c>
      <c r="D6002" s="5" t="s">
        <v>1206</v>
      </c>
      <c r="E6002" s="5" t="s">
        <v>39083</v>
      </c>
      <c r="F6002" s="5" t="s">
        <v>37</v>
      </c>
      <c r="G6002" s="5" t="s">
        <v>39084</v>
      </c>
      <c r="H6002" s="6" t="s">
        <v>39085</v>
      </c>
      <c r="K6002" s="5" t="s">
        <v>39080</v>
      </c>
    </row>
    <row r="6003">
      <c r="A6003" s="4">
        <v>45534.36495989583</v>
      </c>
      <c r="B6003" s="5" t="s">
        <v>34</v>
      </c>
      <c r="D6003" s="5" t="s">
        <v>701</v>
      </c>
      <c r="E6003" s="5" t="s">
        <v>39088</v>
      </c>
      <c r="F6003" s="5" t="s">
        <v>524</v>
      </c>
      <c r="G6003" s="5" t="s">
        <v>39089</v>
      </c>
      <c r="H6003" s="6" t="s">
        <v>39090</v>
      </c>
      <c r="K6003" s="5" t="s">
        <v>39080</v>
      </c>
    </row>
    <row r="6004">
      <c r="A6004" s="4">
        <v>45534.364968865746</v>
      </c>
      <c r="B6004" s="5" t="s">
        <v>34</v>
      </c>
      <c r="D6004" s="5" t="s">
        <v>35</v>
      </c>
      <c r="E6004" s="5" t="s">
        <v>39093</v>
      </c>
      <c r="F6004" s="5" t="s">
        <v>37</v>
      </c>
      <c r="G6004" s="5" t="s">
        <v>39094</v>
      </c>
      <c r="H6004" s="6" t="s">
        <v>39095</v>
      </c>
      <c r="K6004" s="5" t="s">
        <v>39096</v>
      </c>
    </row>
    <row r="6005">
      <c r="A6005" s="4">
        <v>45534.364973275464</v>
      </c>
      <c r="B6005" s="5" t="s">
        <v>34</v>
      </c>
      <c r="D6005" s="5" t="s">
        <v>4775</v>
      </c>
      <c r="E6005" s="5" t="s">
        <v>39100</v>
      </c>
      <c r="F6005" s="5" t="s">
        <v>108</v>
      </c>
      <c r="G6005" s="5" t="s">
        <v>39101</v>
      </c>
      <c r="H6005" s="6" t="s">
        <v>39102</v>
      </c>
      <c r="K6005" s="5" t="s">
        <v>39096</v>
      </c>
    </row>
    <row r="6006">
      <c r="A6006" s="4">
        <v>45534.36498153935</v>
      </c>
      <c r="B6006" s="5" t="s">
        <v>34</v>
      </c>
      <c r="D6006" s="5" t="s">
        <v>12978</v>
      </c>
      <c r="E6006" s="5" t="s">
        <v>39105</v>
      </c>
      <c r="F6006" s="5" t="s">
        <v>524</v>
      </c>
      <c r="G6006" s="5" t="s">
        <v>39106</v>
      </c>
      <c r="H6006" s="6" t="s">
        <v>39107</v>
      </c>
      <c r="K6006" s="5" t="s">
        <v>39096</v>
      </c>
    </row>
    <row r="6007">
      <c r="A6007" s="4">
        <v>45534.365002499995</v>
      </c>
      <c r="B6007" s="5" t="s">
        <v>34</v>
      </c>
      <c r="D6007" s="5" t="s">
        <v>1206</v>
      </c>
      <c r="E6007" s="5" t="s">
        <v>39110</v>
      </c>
      <c r="F6007" s="5" t="s">
        <v>212</v>
      </c>
      <c r="G6007" s="5" t="s">
        <v>39111</v>
      </c>
      <c r="H6007" s="6" t="s">
        <v>39112</v>
      </c>
      <c r="K6007" s="5" t="s">
        <v>39113</v>
      </c>
    </row>
    <row r="6008">
      <c r="A6008" s="4">
        <v>45534.36501631944</v>
      </c>
      <c r="B6008" s="5" t="s">
        <v>34</v>
      </c>
      <c r="D6008" s="5" t="s">
        <v>267</v>
      </c>
      <c r="E6008" s="5" t="s">
        <v>39117</v>
      </c>
      <c r="F6008" s="5" t="s">
        <v>72</v>
      </c>
      <c r="G6008" s="5" t="s">
        <v>39118</v>
      </c>
      <c r="H6008" s="6" t="s">
        <v>39119</v>
      </c>
      <c r="K6008" s="5" t="s">
        <v>39113</v>
      </c>
    </row>
    <row r="6009">
      <c r="A6009" s="4">
        <v>45534.36501706019</v>
      </c>
      <c r="B6009" s="5" t="s">
        <v>34</v>
      </c>
      <c r="D6009" s="5" t="s">
        <v>14424</v>
      </c>
      <c r="E6009" s="5" t="s">
        <v>39122</v>
      </c>
      <c r="F6009" s="5" t="s">
        <v>22</v>
      </c>
      <c r="G6009" s="5" t="s">
        <v>39123</v>
      </c>
      <c r="H6009" s="6" t="s">
        <v>39124</v>
      </c>
      <c r="I6009" s="7" t="s">
        <v>39125</v>
      </c>
      <c r="J6009" s="8" t="str">
        <f>HYPERLINK("https://drive.google.com/file/d/1nrFo7yFr4upW5p8A3K3-TI2DsCZKh9xt/view?usp=drivesdk","dr. YENNI MURVANTI SERTIFIKAT BerAKHLAK")</f>
        <v>dr. YENNI MURVANTI SERTIFIKAT BerAKHLAK</v>
      </c>
      <c r="K6009" s="5" t="s">
        <v>38627</v>
      </c>
      <c r="L6009" s="5" t="s">
        <v>39126</v>
      </c>
    </row>
    <row r="6010">
      <c r="A6010" s="4">
        <v>45534.3650200463</v>
      </c>
      <c r="B6010" s="5" t="s">
        <v>34</v>
      </c>
      <c r="D6010" s="5" t="s">
        <v>9394</v>
      </c>
      <c r="E6010" s="5" t="s">
        <v>39129</v>
      </c>
      <c r="F6010" s="5" t="s">
        <v>715</v>
      </c>
      <c r="G6010" s="5" t="s">
        <v>39130</v>
      </c>
      <c r="H6010" s="6" t="s">
        <v>39131</v>
      </c>
      <c r="I6010" s="7" t="s">
        <v>39132</v>
      </c>
      <c r="J6010" s="8" t="str">
        <f>HYPERLINK("https://drive.google.com/file/d/1rcrWIpkXaXIIFf8-7wjcG9tOEbA485gx/view?usp=drivesdk","NOVIANI. A.Md. SERTIFIKAT BerAKHLAK")</f>
        <v>NOVIANI. A.Md. SERTIFIKAT BerAKHLAK</v>
      </c>
      <c r="K6010" s="5" t="s">
        <v>39133</v>
      </c>
      <c r="L6010" s="5" t="s">
        <v>39134</v>
      </c>
    </row>
    <row r="6011">
      <c r="A6011" s="4">
        <v>45534.365020196754</v>
      </c>
      <c r="B6011" s="5" t="s">
        <v>34</v>
      </c>
      <c r="D6011" s="5" t="s">
        <v>1206</v>
      </c>
      <c r="E6011" s="5" t="s">
        <v>39137</v>
      </c>
      <c r="F6011" s="5" t="s">
        <v>212</v>
      </c>
      <c r="G6011" s="5" t="s">
        <v>39138</v>
      </c>
      <c r="H6011" s="6" t="s">
        <v>39139</v>
      </c>
      <c r="I6011" s="7" t="s">
        <v>39140</v>
      </c>
      <c r="J6011" s="8" t="str">
        <f>HYPERLINK("https://drive.google.com/file/d/1bendlbWedrkVldOb0-U1R58vCiAulw4a/view?usp=drivesdk","JENI USODOWATI SERTIFIKAT BerAKHLAK")</f>
        <v>JENI USODOWATI SERTIFIKAT BerAKHLAK</v>
      </c>
      <c r="K6011" s="5" t="s">
        <v>39133</v>
      </c>
      <c r="L6011" s="5" t="s">
        <v>39141</v>
      </c>
    </row>
    <row r="6012">
      <c r="A6012" s="4">
        <v>45534.365024513885</v>
      </c>
      <c r="B6012" s="5" t="s">
        <v>34</v>
      </c>
      <c r="D6012" s="5" t="s">
        <v>280</v>
      </c>
      <c r="E6012" s="5" t="s">
        <v>39145</v>
      </c>
      <c r="F6012" s="5" t="s">
        <v>5585</v>
      </c>
      <c r="G6012" s="5" t="s">
        <v>39146</v>
      </c>
      <c r="H6012" s="6" t="s">
        <v>39147</v>
      </c>
      <c r="I6012" s="7" t="s">
        <v>39148</v>
      </c>
      <c r="J6012" s="8" t="str">
        <f>HYPERLINK("https://drive.google.com/file/d/1ZFfRQB-L4zsrPg_rehjDj28qKu0m_AYz/view?usp=drivesdk","NYI TULUSI  SERTIFIKAT BerAKHLAK")</f>
        <v>NYI TULUSI  SERTIFIKAT BerAKHLAK</v>
      </c>
      <c r="K6012" s="5" t="s">
        <v>39133</v>
      </c>
      <c r="L6012" s="5" t="s">
        <v>39149</v>
      </c>
    </row>
    <row r="6013">
      <c r="A6013" s="4">
        <v>45534.36502834491</v>
      </c>
      <c r="B6013" s="5" t="s">
        <v>34</v>
      </c>
      <c r="D6013" s="5" t="s">
        <v>1206</v>
      </c>
      <c r="E6013" s="5" t="s">
        <v>39152</v>
      </c>
      <c r="F6013" s="5" t="s">
        <v>328</v>
      </c>
      <c r="G6013" s="5" t="s">
        <v>39153</v>
      </c>
      <c r="H6013" s="6" t="s">
        <v>39154</v>
      </c>
      <c r="I6013" s="7" t="s">
        <v>39155</v>
      </c>
      <c r="J6013" s="8" t="str">
        <f>HYPERLINK("https://drive.google.com/file/d/1T_qV3vR2BGaIUlMsiJwWE92sP6op67TY/view?usp=drivesdk","RUSWANTO SERTIFIKAT BerAKHLAK")</f>
        <v>RUSWANTO SERTIFIKAT BerAKHLAK</v>
      </c>
      <c r="K6013" s="5" t="s">
        <v>39133</v>
      </c>
      <c r="L6013" s="5" t="s">
        <v>39156</v>
      </c>
    </row>
    <row r="6014">
      <c r="A6014" s="4">
        <v>45534.3650925</v>
      </c>
      <c r="B6014" s="5" t="s">
        <v>34</v>
      </c>
      <c r="D6014" s="5" t="s">
        <v>1206</v>
      </c>
      <c r="E6014" s="5" t="s">
        <v>39159</v>
      </c>
      <c r="F6014" s="5" t="s">
        <v>328</v>
      </c>
      <c r="G6014" s="5" t="s">
        <v>39160</v>
      </c>
      <c r="H6014" s="6" t="s">
        <v>39161</v>
      </c>
      <c r="I6014" s="7" t="s">
        <v>39162</v>
      </c>
      <c r="J6014" s="8" t="str">
        <f>HYPERLINK("https://drive.google.com/file/d/1zzgmNCYLo-m8CY_BJubrXOJhSI6vu6C4/view?usp=drivesdk","PENGDA RASUP SERTIFIKAT BerAKHLAK")</f>
        <v>PENGDA RASUP SERTIFIKAT BerAKHLAK</v>
      </c>
      <c r="K6014" s="5" t="s">
        <v>38627</v>
      </c>
      <c r="L6014" s="5" t="s">
        <v>39163</v>
      </c>
    </row>
    <row r="6015">
      <c r="A6015" s="4">
        <v>45534.36509359954</v>
      </c>
      <c r="B6015" s="5" t="s">
        <v>34</v>
      </c>
      <c r="D6015" s="5" t="s">
        <v>1206</v>
      </c>
      <c r="E6015" s="5" t="s">
        <v>39166</v>
      </c>
      <c r="F6015" s="5" t="s">
        <v>120</v>
      </c>
      <c r="G6015" s="5" t="s">
        <v>39167</v>
      </c>
      <c r="H6015" s="6" t="s">
        <v>39168</v>
      </c>
      <c r="I6015" s="7" t="s">
        <v>39169</v>
      </c>
      <c r="J6015" s="8" t="str">
        <f>HYPERLINK("https://drive.google.com/file/d/1RFvPemIpoKsR3c2Of3E4lwcVJrq9vo_e/view?usp=drivesdk","PEMBINA KURNIAWATI, S. SI., M.SI SERTIFIKAT BerAKHLAK")</f>
        <v>PEMBINA KURNIAWATI, S. SI., M.SI SERTIFIKAT BerAKHLAK</v>
      </c>
      <c r="K6015" s="5" t="s">
        <v>39133</v>
      </c>
      <c r="L6015" s="5" t="s">
        <v>39170</v>
      </c>
    </row>
    <row r="6016">
      <c r="A6016" s="4">
        <v>45534.365098599534</v>
      </c>
      <c r="B6016" s="5" t="s">
        <v>19</v>
      </c>
      <c r="C6016" s="5" t="s">
        <v>292</v>
      </c>
      <c r="E6016" s="5" t="s">
        <v>39173</v>
      </c>
      <c r="F6016" s="5" t="s">
        <v>375</v>
      </c>
      <c r="G6016" s="5" t="s">
        <v>39174</v>
      </c>
      <c r="H6016" s="6" t="s">
        <v>39175</v>
      </c>
      <c r="I6016" s="7" t="s">
        <v>39176</v>
      </c>
      <c r="J6016" s="8" t="str">
        <f>HYPERLINK("https://drive.google.com/file/d/1uckcfhB0FiS9vobG2pVuUhdkPDwH2Gs8/view?usp=drivesdk","IDA YUNIASTUTI, SE SERTIFIKAT BerAKHLAK")</f>
        <v>IDA YUNIASTUTI, SE SERTIFIKAT BerAKHLAK</v>
      </c>
      <c r="K6016" s="5" t="s">
        <v>39133</v>
      </c>
      <c r="L6016" s="5" t="s">
        <v>39177</v>
      </c>
    </row>
    <row r="6017">
      <c r="A6017" s="4">
        <v>45534.36510819444</v>
      </c>
      <c r="B6017" s="5" t="s">
        <v>34</v>
      </c>
      <c r="D6017" s="5" t="s">
        <v>4775</v>
      </c>
      <c r="E6017" s="5" t="s">
        <v>39181</v>
      </c>
      <c r="F6017" s="5" t="s">
        <v>375</v>
      </c>
      <c r="G6017" s="5" t="s">
        <v>39182</v>
      </c>
      <c r="H6017" s="6" t="s">
        <v>39183</v>
      </c>
      <c r="I6017" s="7" t="s">
        <v>39184</v>
      </c>
      <c r="J6017" s="8" t="str">
        <f>HYPERLINK("https://drive.google.com/file/d/1tWqVF3Yq9hsBEbRE6PZyBMIoTqxt7uUf/view?usp=drivesdk","LINA YANUANTARI SERTIFIKAT BerAKHLAK")</f>
        <v>LINA YANUANTARI SERTIFIKAT BerAKHLAK</v>
      </c>
      <c r="K6017" s="5" t="s">
        <v>39133</v>
      </c>
      <c r="L6017" s="5" t="s">
        <v>39185</v>
      </c>
    </row>
    <row r="6018">
      <c r="A6018" s="4">
        <v>45534.365132673614</v>
      </c>
      <c r="B6018" s="5" t="s">
        <v>34</v>
      </c>
      <c r="D6018" s="5" t="s">
        <v>12010</v>
      </c>
      <c r="E6018" s="5" t="s">
        <v>39188</v>
      </c>
      <c r="F6018" s="5" t="s">
        <v>37</v>
      </c>
      <c r="G6018" s="5" t="s">
        <v>39189</v>
      </c>
      <c r="H6018" s="6" t="s">
        <v>39190</v>
      </c>
      <c r="I6018" s="7" t="s">
        <v>39191</v>
      </c>
      <c r="J6018" s="8" t="str">
        <f>HYPERLINK("https://drive.google.com/file/d/1GU3JOilIbXYVZzgcUN4QB0ktxv2u0RzV/view?usp=drivesdk","MARIAM HAJI ALI  SERTIFIKAT BerAKHLAK")</f>
        <v>MARIAM HAJI ALI  SERTIFIKAT BerAKHLAK</v>
      </c>
      <c r="K6018" s="5" t="s">
        <v>39133</v>
      </c>
      <c r="L6018" s="5" t="s">
        <v>39192</v>
      </c>
    </row>
    <row r="6019">
      <c r="A6019" s="4">
        <v>45534.36515427083</v>
      </c>
      <c r="B6019" s="5" t="s">
        <v>34</v>
      </c>
      <c r="D6019" s="5" t="s">
        <v>35</v>
      </c>
      <c r="E6019" s="5" t="s">
        <v>39195</v>
      </c>
      <c r="F6019" s="5" t="s">
        <v>37</v>
      </c>
      <c r="G6019" s="5" t="s">
        <v>39196</v>
      </c>
      <c r="H6019" s="6" t="s">
        <v>39197</v>
      </c>
      <c r="I6019" s="7" t="s">
        <v>39198</v>
      </c>
      <c r="J6019" s="8" t="str">
        <f>HYPERLINK("https://drive.google.com/file/d/1e2pAqXppjnnhJPhGiQAKpgmF-XMCKn-o/view?usp=drivesdk","ENAH RATNAWATI  SERTIFIKAT BerAKHLAK")</f>
        <v>ENAH RATNAWATI  SERTIFIKAT BerAKHLAK</v>
      </c>
      <c r="K6019" s="5" t="s">
        <v>39133</v>
      </c>
      <c r="L6019" s="5" t="s">
        <v>39199</v>
      </c>
    </row>
    <row r="6020">
      <c r="A6020" s="4">
        <v>45534.36516681713</v>
      </c>
      <c r="B6020" s="5" t="s">
        <v>34</v>
      </c>
      <c r="D6020" s="5" t="s">
        <v>701</v>
      </c>
      <c r="E6020" s="5" t="s">
        <v>39202</v>
      </c>
      <c r="F6020" s="5" t="s">
        <v>108</v>
      </c>
      <c r="G6020" s="5" t="s">
        <v>39203</v>
      </c>
      <c r="H6020" s="6" t="s">
        <v>39204</v>
      </c>
      <c r="I6020" s="7" t="s">
        <v>39205</v>
      </c>
      <c r="J6020" s="8" t="str">
        <f>HYPERLINK("https://drive.google.com/file/d/1MCjgCjXf1iRvDD0dg8KPCfI3wSXGv6rI/view?usp=drivesdk","Ns. Syafrita Marlina Skep SERTIFIKAT BerAKHLAK")</f>
        <v>Ns. Syafrita Marlina Skep SERTIFIKAT BerAKHLAK</v>
      </c>
      <c r="K6020" s="5" t="s">
        <v>39133</v>
      </c>
      <c r="L6020" s="5" t="s">
        <v>39206</v>
      </c>
    </row>
    <row r="6021">
      <c r="A6021" s="4">
        <v>45534.36516980324</v>
      </c>
      <c r="B6021" s="5" t="s">
        <v>19</v>
      </c>
      <c r="C6021" s="5" t="s">
        <v>14000</v>
      </c>
      <c r="E6021" s="5" t="s">
        <v>39209</v>
      </c>
      <c r="F6021" s="5" t="s">
        <v>37</v>
      </c>
      <c r="G6021" s="5" t="s">
        <v>39210</v>
      </c>
      <c r="H6021" s="6" t="s">
        <v>39211</v>
      </c>
      <c r="I6021" s="7" t="s">
        <v>39212</v>
      </c>
      <c r="J6021" s="8" t="str">
        <f>HYPERLINK("https://drive.google.com/file/d/1K91s2W7om1ZV41iTfvH3PEMXj5H-NLtt/view?usp=drivesdk","SENO SUWONDO SERTIFIKAT BerAKHLAK")</f>
        <v>SENO SUWONDO SERTIFIKAT BerAKHLAK</v>
      </c>
      <c r="K6021" s="5" t="s">
        <v>39133</v>
      </c>
      <c r="L6021" s="5" t="s">
        <v>39213</v>
      </c>
    </row>
    <row r="6022">
      <c r="A6022" s="4">
        <v>45534.36522461806</v>
      </c>
      <c r="B6022" s="5" t="s">
        <v>34</v>
      </c>
      <c r="D6022" s="5" t="s">
        <v>6232</v>
      </c>
      <c r="E6022" s="5" t="s">
        <v>39216</v>
      </c>
      <c r="F6022" s="5" t="s">
        <v>37</v>
      </c>
      <c r="G6022" s="5" t="s">
        <v>39217</v>
      </c>
      <c r="H6022" s="6" t="s">
        <v>39218</v>
      </c>
      <c r="I6022" s="7" t="s">
        <v>39219</v>
      </c>
      <c r="J6022" s="8" t="str">
        <f>HYPERLINK("https://drive.google.com/file/d/1x6RepOoiB6_WT0eVa5WS6lL-t-keBip5/view?usp=drivesdk","HERDISON,AM.Kep SERTIFIKAT BerAKHLAK")</f>
        <v>HERDISON,AM.Kep SERTIFIKAT BerAKHLAK</v>
      </c>
      <c r="K6022" s="5" t="s">
        <v>39133</v>
      </c>
      <c r="L6022" s="5" t="s">
        <v>39220</v>
      </c>
    </row>
    <row r="6023">
      <c r="A6023" s="4">
        <v>45534.36524575231</v>
      </c>
      <c r="B6023" s="5" t="s">
        <v>34</v>
      </c>
      <c r="D6023" s="5" t="s">
        <v>1558</v>
      </c>
      <c r="E6023" s="5" t="s">
        <v>39224</v>
      </c>
      <c r="F6023" s="5" t="s">
        <v>212</v>
      </c>
      <c r="G6023" s="5" t="s">
        <v>39225</v>
      </c>
      <c r="H6023" s="6" t="s">
        <v>39226</v>
      </c>
      <c r="I6023" s="7" t="s">
        <v>39227</v>
      </c>
      <c r="J6023" s="8" t="str">
        <f>HYPERLINK("https://drive.google.com/file/d/1i6UyY6YdijElJpHk69M3ReLE6GSJa2RH/view?usp=drivesdk","USIATUN HURUSTIATI SERTIFIKAT BerAKHLAK")</f>
        <v>USIATUN HURUSTIATI SERTIFIKAT BerAKHLAK</v>
      </c>
      <c r="K6023" s="5" t="s">
        <v>39133</v>
      </c>
      <c r="L6023" s="5" t="s">
        <v>39228</v>
      </c>
    </row>
    <row r="6024">
      <c r="A6024" s="4">
        <v>45534.3652690625</v>
      </c>
      <c r="B6024" s="5" t="s">
        <v>34</v>
      </c>
      <c r="D6024" s="5" t="s">
        <v>14313</v>
      </c>
      <c r="E6024" s="5" t="s">
        <v>18938</v>
      </c>
      <c r="F6024" s="5" t="s">
        <v>37</v>
      </c>
      <c r="G6024" s="5" t="s">
        <v>39231</v>
      </c>
      <c r="H6024" s="6" t="s">
        <v>39232</v>
      </c>
      <c r="I6024" s="7" t="s">
        <v>39233</v>
      </c>
      <c r="J6024" s="8" t="str">
        <f>HYPERLINK("https://drive.google.com/file/d/1Seu4jGGNVtscZnDSoG19Sct6iV1orkgk/view?usp=drivesdk","FATMAWATI SERTIFIKAT BerAKHLAK")</f>
        <v>FATMAWATI SERTIFIKAT BerAKHLAK</v>
      </c>
      <c r="K6024" s="5" t="s">
        <v>39133</v>
      </c>
      <c r="L6024" s="5" t="s">
        <v>39234</v>
      </c>
    </row>
    <row r="6025">
      <c r="A6025" s="4">
        <v>45534.365270381946</v>
      </c>
      <c r="B6025" s="5" t="s">
        <v>34</v>
      </c>
      <c r="D6025" s="5" t="s">
        <v>4775</v>
      </c>
      <c r="E6025" s="5" t="s">
        <v>39237</v>
      </c>
      <c r="F6025" s="5" t="s">
        <v>72</v>
      </c>
      <c r="G6025" s="5" t="s">
        <v>39238</v>
      </c>
      <c r="H6025" s="6" t="s">
        <v>39239</v>
      </c>
      <c r="I6025" s="7" t="s">
        <v>39240</v>
      </c>
      <c r="J6025" s="8" t="str">
        <f>HYPERLINK("https://drive.google.com/file/d/1u7ph0Zj1FSWQWN5BX4WczBpVmSo8ADGD/view?usp=drivesdk","SRI PERTIWI AGUSTININGRUM, SH SERTIFIKAT BerAKHLAK")</f>
        <v>SRI PERTIWI AGUSTININGRUM, SH SERTIFIKAT BerAKHLAK</v>
      </c>
      <c r="K6025" s="5" t="s">
        <v>39133</v>
      </c>
      <c r="L6025" s="5" t="s">
        <v>39241</v>
      </c>
    </row>
    <row r="6026">
      <c r="A6026" s="4">
        <v>45534.36528196759</v>
      </c>
      <c r="B6026" s="5" t="s">
        <v>34</v>
      </c>
      <c r="D6026" s="5" t="s">
        <v>1206</v>
      </c>
      <c r="E6026" s="5" t="s">
        <v>39244</v>
      </c>
      <c r="F6026" s="5" t="s">
        <v>37</v>
      </c>
      <c r="G6026" s="5" t="s">
        <v>39245</v>
      </c>
      <c r="H6026" s="6" t="s">
        <v>39246</v>
      </c>
      <c r="I6026" s="7" t="s">
        <v>39247</v>
      </c>
      <c r="J6026" s="8" t="str">
        <f>HYPERLINK("https://drive.google.com/file/d/1uypfLjYj1V384e9TmqIFEdIjoTM0RGHI/view?usp=drivesdk","GENIO CAHYA DWI BAKTI SERTIFIKAT BerAKHLAK")</f>
        <v>GENIO CAHYA DWI BAKTI SERTIFIKAT BerAKHLAK</v>
      </c>
      <c r="K6026" s="5" t="s">
        <v>39133</v>
      </c>
      <c r="L6026" s="5" t="s">
        <v>39248</v>
      </c>
    </row>
    <row r="6027">
      <c r="A6027" s="4">
        <v>45534.3652825</v>
      </c>
      <c r="B6027" s="5" t="s">
        <v>34</v>
      </c>
      <c r="D6027" s="5" t="s">
        <v>9020</v>
      </c>
      <c r="E6027" s="5" t="s">
        <v>39252</v>
      </c>
      <c r="F6027" s="5" t="s">
        <v>212</v>
      </c>
      <c r="G6027" s="5" t="s">
        <v>39253</v>
      </c>
      <c r="H6027" s="6" t="s">
        <v>39254</v>
      </c>
      <c r="I6027" s="7" t="s">
        <v>39255</v>
      </c>
      <c r="J6027" s="8" t="str">
        <f>HYPERLINK("https://drive.google.com/file/d/1irUYV92lzQmZs_KuiibBe2lVQvWEDtqD/view?usp=drivesdk","DARMASUPRAYATNA SERTIFIKAT BerAKHLAK")</f>
        <v>DARMASUPRAYATNA SERTIFIKAT BerAKHLAK</v>
      </c>
      <c r="K6027" s="5" t="s">
        <v>39133</v>
      </c>
      <c r="L6027" s="5" t="s">
        <v>39256</v>
      </c>
    </row>
    <row r="6028">
      <c r="A6028" s="4">
        <v>45534.36528541667</v>
      </c>
      <c r="B6028" s="5" t="s">
        <v>34</v>
      </c>
      <c r="D6028" s="5" t="s">
        <v>10297</v>
      </c>
      <c r="E6028" s="5" t="s">
        <v>39259</v>
      </c>
      <c r="F6028" s="5" t="s">
        <v>108</v>
      </c>
      <c r="G6028" s="5" t="s">
        <v>39260</v>
      </c>
      <c r="H6028" s="6" t="s">
        <v>39261</v>
      </c>
      <c r="I6028" s="7" t="s">
        <v>39262</v>
      </c>
      <c r="J6028" s="8" t="str">
        <f>HYPERLINK("https://drive.google.com/file/d/1xnwH3sy87UJmBjMX49Ch3_7IRuDEvXTI/view?usp=drivesdk","HASRIYANI JASAPE  SERTIFIKAT BerAKHLAK")</f>
        <v>HASRIYANI JASAPE  SERTIFIKAT BerAKHLAK</v>
      </c>
      <c r="K6028" s="5" t="s">
        <v>39133</v>
      </c>
      <c r="L6028" s="5" t="s">
        <v>39263</v>
      </c>
    </row>
    <row r="6029">
      <c r="A6029" s="4">
        <v>45534.36531371527</v>
      </c>
      <c r="B6029" s="5" t="s">
        <v>34</v>
      </c>
      <c r="D6029" s="5" t="s">
        <v>4775</v>
      </c>
      <c r="E6029" s="5" t="s">
        <v>39266</v>
      </c>
      <c r="F6029" s="5" t="s">
        <v>72</v>
      </c>
      <c r="G6029" s="5" t="s">
        <v>39267</v>
      </c>
      <c r="H6029" s="6" t="s">
        <v>39268</v>
      </c>
      <c r="I6029" s="7" t="s">
        <v>39269</v>
      </c>
      <c r="J6029" s="8" t="str">
        <f>HYPERLINK("https://drive.google.com/file/d/1sNSS4nb0ozVbjdxNT0d9cWLzK8ocZsco/view?usp=drivesdk","NANDAR HANDOKO, S.KEP SERTIFIKAT BerAKHLAK")</f>
        <v>NANDAR HANDOKO, S.KEP SERTIFIKAT BerAKHLAK</v>
      </c>
      <c r="K6029" s="5" t="s">
        <v>39133</v>
      </c>
      <c r="L6029" s="5" t="s">
        <v>39270</v>
      </c>
    </row>
    <row r="6030">
      <c r="A6030" s="4">
        <v>45534.365338275464</v>
      </c>
      <c r="B6030" s="5" t="s">
        <v>34</v>
      </c>
      <c r="D6030" s="5" t="s">
        <v>12010</v>
      </c>
      <c r="E6030" s="5" t="s">
        <v>39273</v>
      </c>
      <c r="F6030" s="5" t="s">
        <v>715</v>
      </c>
      <c r="G6030" s="5" t="s">
        <v>39274</v>
      </c>
      <c r="H6030" s="6" t="s">
        <v>39275</v>
      </c>
      <c r="I6030" s="7" t="s">
        <v>39276</v>
      </c>
      <c r="J6030" s="8" t="str">
        <f>HYPERLINK("https://drive.google.com/file/d/1p6CZa4Yuise8k0KcIZisTfrfaOXSzXj0/view?usp=drivesdk","MIRNAWATY ILONU SERTIFIKAT BerAKHLAK")</f>
        <v>MIRNAWATY ILONU SERTIFIKAT BerAKHLAK</v>
      </c>
      <c r="K6030" s="5" t="s">
        <v>39133</v>
      </c>
      <c r="L6030" s="5" t="s">
        <v>39277</v>
      </c>
    </row>
    <row r="6031">
      <c r="A6031" s="4">
        <v>45534.365347025465</v>
      </c>
      <c r="B6031" s="5" t="s">
        <v>34</v>
      </c>
      <c r="D6031" s="5" t="s">
        <v>15401</v>
      </c>
      <c r="E6031" s="5" t="s">
        <v>39280</v>
      </c>
      <c r="F6031" s="5" t="s">
        <v>212</v>
      </c>
      <c r="G6031" s="5" t="s">
        <v>39281</v>
      </c>
      <c r="H6031" s="6" t="s">
        <v>39282</v>
      </c>
      <c r="I6031" s="7" t="s">
        <v>39283</v>
      </c>
      <c r="J6031" s="8" t="str">
        <f>HYPERLINK("https://drive.google.com/file/d/15sz-g0pEb0JCdMtLSIbrCKreksrMBIpA/view?usp=drivesdk","NI KETUT WINASTRI A.Md.KG SERTIFIKAT BerAKHLAK")</f>
        <v>NI KETUT WINASTRI A.Md.KG SERTIFIKAT BerAKHLAK</v>
      </c>
      <c r="K6031" s="5" t="s">
        <v>39133</v>
      </c>
      <c r="L6031" s="5" t="s">
        <v>39284</v>
      </c>
    </row>
    <row r="6032">
      <c r="A6032" s="4">
        <v>45534.36536585648</v>
      </c>
      <c r="B6032" s="5" t="s">
        <v>34</v>
      </c>
      <c r="D6032" s="5" t="s">
        <v>9020</v>
      </c>
      <c r="E6032" s="5" t="s">
        <v>39288</v>
      </c>
      <c r="F6032" s="5" t="s">
        <v>212</v>
      </c>
      <c r="G6032" s="5" t="s">
        <v>39289</v>
      </c>
      <c r="H6032" s="6" t="s">
        <v>39290</v>
      </c>
      <c r="I6032" s="7" t="s">
        <v>39291</v>
      </c>
      <c r="J6032" s="8" t="str">
        <f>HYPERLINK("https://drive.google.com/file/d/1XNyax1XeuY1cpIWhImGOIj1r7xb1JUUC/view?usp=drivesdk","Helga Andrieny Sinaga  SERTIFIKAT BerAKHLAK")</f>
        <v>Helga Andrieny Sinaga  SERTIFIKAT BerAKHLAK</v>
      </c>
      <c r="K6032" s="5" t="s">
        <v>39133</v>
      </c>
      <c r="L6032" s="5" t="s">
        <v>39292</v>
      </c>
    </row>
    <row r="6033">
      <c r="A6033" s="4">
        <v>45534.365374201385</v>
      </c>
      <c r="B6033" s="5" t="s">
        <v>34</v>
      </c>
      <c r="D6033" s="5" t="s">
        <v>1456</v>
      </c>
      <c r="E6033" s="5" t="s">
        <v>39295</v>
      </c>
      <c r="F6033" s="5" t="s">
        <v>524</v>
      </c>
      <c r="G6033" s="5" t="s">
        <v>39296</v>
      </c>
      <c r="H6033" s="6" t="s">
        <v>39297</v>
      </c>
      <c r="I6033" s="7" t="s">
        <v>39298</v>
      </c>
      <c r="J6033" s="8" t="str">
        <f>HYPERLINK("https://drive.google.com/file/d/164lYZsbs68s5-9bdA_52ccQIBqBe_USS/view?usp=drivesdk","FARIDA SARI PUSVITA DEWI, S.E SERTIFIKAT BerAKHLAK")</f>
        <v>FARIDA SARI PUSVITA DEWI, S.E SERTIFIKAT BerAKHLAK</v>
      </c>
      <c r="K6033" s="5" t="s">
        <v>39133</v>
      </c>
      <c r="L6033" s="5" t="s">
        <v>39299</v>
      </c>
    </row>
    <row r="6034">
      <c r="A6034" s="4">
        <v>45534.365395879635</v>
      </c>
      <c r="B6034" s="5" t="s">
        <v>34</v>
      </c>
      <c r="D6034" s="5" t="s">
        <v>1206</v>
      </c>
      <c r="E6034" s="5" t="s">
        <v>39302</v>
      </c>
      <c r="F6034" s="5" t="s">
        <v>524</v>
      </c>
      <c r="G6034" s="5" t="s">
        <v>39303</v>
      </c>
      <c r="H6034" s="6" t="s">
        <v>39304</v>
      </c>
      <c r="I6034" s="7" t="s">
        <v>39305</v>
      </c>
      <c r="J6034" s="8" t="str">
        <f>HYPERLINK("https://drive.google.com/file/d/1iprFffjhhwq9kmIt8Hy1air9GBpi12bf/view?usp=drivesdk","MAHDA HARIS SEPTYADI, S.Tr.Kep. SERTIFIKAT BerAKHLAK")</f>
        <v>MAHDA HARIS SEPTYADI, S.Tr.Kep. SERTIFIKAT BerAKHLAK</v>
      </c>
      <c r="K6034" s="5" t="s">
        <v>39133</v>
      </c>
      <c r="L6034" s="5" t="s">
        <v>39306</v>
      </c>
    </row>
    <row r="6035">
      <c r="A6035" s="4">
        <v>45534.3654033912</v>
      </c>
      <c r="B6035" s="5" t="s">
        <v>34</v>
      </c>
      <c r="D6035" s="5" t="s">
        <v>996</v>
      </c>
      <c r="E6035" s="5" t="s">
        <v>39309</v>
      </c>
      <c r="F6035" s="5" t="s">
        <v>524</v>
      </c>
      <c r="G6035" s="5" t="s">
        <v>39310</v>
      </c>
      <c r="H6035" s="6" t="s">
        <v>39311</v>
      </c>
      <c r="I6035" s="7" t="s">
        <v>39312</v>
      </c>
      <c r="J6035" s="8" t="str">
        <f>HYPERLINK("https://drive.google.com/file/d/1V6xe28hGVBJkFNE7yLKAG-7yJLzhoWVD/view?usp=drivesdk","PATHUL JENAH, S.E. SERTIFIKAT BerAKHLAK")</f>
        <v>PATHUL JENAH, S.E. SERTIFIKAT BerAKHLAK</v>
      </c>
      <c r="K6035" s="5" t="s">
        <v>39133</v>
      </c>
      <c r="L6035" s="5" t="s">
        <v>39313</v>
      </c>
    </row>
    <row r="6036">
      <c r="A6036" s="4">
        <v>45534.36540649306</v>
      </c>
      <c r="B6036" s="5" t="s">
        <v>34</v>
      </c>
      <c r="D6036" s="5" t="s">
        <v>701</v>
      </c>
      <c r="E6036" s="5" t="s">
        <v>39317</v>
      </c>
      <c r="F6036" s="5" t="s">
        <v>37</v>
      </c>
      <c r="G6036" s="5" t="s">
        <v>39318</v>
      </c>
      <c r="H6036" s="6" t="s">
        <v>39319</v>
      </c>
      <c r="K6036" s="5" t="s">
        <v>39320</v>
      </c>
    </row>
    <row r="6037">
      <c r="A6037" s="4">
        <v>45534.365409375</v>
      </c>
      <c r="B6037" s="5" t="s">
        <v>19</v>
      </c>
      <c r="C6037" s="5" t="s">
        <v>11593</v>
      </c>
      <c r="E6037" s="5" t="s">
        <v>39323</v>
      </c>
      <c r="F6037" s="5" t="s">
        <v>375</v>
      </c>
      <c r="G6037" s="5" t="s">
        <v>39324</v>
      </c>
      <c r="H6037" s="6" t="s">
        <v>39325</v>
      </c>
      <c r="K6037" s="5" t="s">
        <v>39320</v>
      </c>
    </row>
    <row r="6038">
      <c r="A6038" s="4">
        <v>45534.365430081016</v>
      </c>
      <c r="B6038" s="5" t="s">
        <v>34</v>
      </c>
      <c r="D6038" s="5" t="s">
        <v>10444</v>
      </c>
      <c r="E6038" s="5" t="s">
        <v>18938</v>
      </c>
      <c r="F6038" s="5" t="s">
        <v>524</v>
      </c>
      <c r="G6038" s="5" t="s">
        <v>39328</v>
      </c>
      <c r="H6038" s="6" t="s">
        <v>39329</v>
      </c>
      <c r="K6038" s="5" t="s">
        <v>39320</v>
      </c>
    </row>
    <row r="6039">
      <c r="A6039" s="4">
        <v>45534.36543171296</v>
      </c>
      <c r="B6039" s="5" t="s">
        <v>34</v>
      </c>
      <c r="D6039" s="5" t="s">
        <v>12978</v>
      </c>
      <c r="E6039" s="7" t="s">
        <v>39332</v>
      </c>
      <c r="F6039" s="5" t="s">
        <v>212</v>
      </c>
      <c r="G6039" s="5" t="s">
        <v>39333</v>
      </c>
      <c r="H6039" s="6" t="s">
        <v>39334</v>
      </c>
      <c r="I6039" s="7" t="s">
        <v>39335</v>
      </c>
      <c r="J6039" s="8" t="str">
        <f>HYPERLINK("https://drive.google.com/file/d/1fqnWXa5SiSKuC3YvjzP3V3l-gyQqLunv/view?usp=drivesdk","HAFIS.S.SI SERTIFIKAT BerAKHLAK")</f>
        <v>HAFIS.S.SI SERTIFIKAT BerAKHLAK</v>
      </c>
      <c r="K6039" s="5" t="s">
        <v>39133</v>
      </c>
      <c r="L6039" s="5" t="s">
        <v>39336</v>
      </c>
    </row>
    <row r="6040">
      <c r="A6040" s="4">
        <v>45534.365442118054</v>
      </c>
      <c r="B6040" s="5" t="s">
        <v>34</v>
      </c>
      <c r="D6040" s="5" t="s">
        <v>4775</v>
      </c>
      <c r="E6040" s="5" t="s">
        <v>33750</v>
      </c>
      <c r="F6040" s="5" t="s">
        <v>212</v>
      </c>
      <c r="G6040" s="5" t="s">
        <v>39339</v>
      </c>
      <c r="H6040" s="6" t="s">
        <v>39340</v>
      </c>
      <c r="I6040" s="7" t="s">
        <v>39341</v>
      </c>
      <c r="J6040" s="8" t="str">
        <f>HYPERLINK("https://drive.google.com/file/d/1T68H7uI2hCHd22jy19uffY6MQ58ozk3m/view?usp=drivesdk","SUPARNO SERTIFIKAT BerAKHLAK")</f>
        <v>SUPARNO SERTIFIKAT BerAKHLAK</v>
      </c>
      <c r="K6040" s="5" t="s">
        <v>39133</v>
      </c>
      <c r="L6040" s="5" t="s">
        <v>39342</v>
      </c>
    </row>
    <row r="6041">
      <c r="A6041" s="4">
        <v>45534.36545153935</v>
      </c>
      <c r="B6041" s="5" t="s">
        <v>34</v>
      </c>
      <c r="D6041" s="5" t="s">
        <v>35</v>
      </c>
      <c r="E6041" s="5" t="s">
        <v>39346</v>
      </c>
      <c r="F6041" s="5" t="s">
        <v>37</v>
      </c>
      <c r="G6041" s="5" t="s">
        <v>39347</v>
      </c>
      <c r="H6041" s="6" t="s">
        <v>39348</v>
      </c>
      <c r="I6041" s="7" t="s">
        <v>39349</v>
      </c>
      <c r="J6041" s="8" t="str">
        <f>HYPERLINK("https://drive.google.com/file/d/1ElVHxj9GtW4oKspYa-mMJTBDphzgG4JY/view?usp=drivesdk","MUHAMAD ISMAIL SALEH  SERTIFIKAT BerAKHLAK")</f>
        <v>MUHAMAD ISMAIL SALEH  SERTIFIKAT BerAKHLAK</v>
      </c>
      <c r="K6041" s="5" t="s">
        <v>39133</v>
      </c>
      <c r="L6041" s="5" t="s">
        <v>39350</v>
      </c>
    </row>
    <row r="6042">
      <c r="A6042" s="4">
        <v>45534.36545395834</v>
      </c>
      <c r="B6042" s="5" t="s">
        <v>34</v>
      </c>
      <c r="D6042" s="5" t="s">
        <v>35</v>
      </c>
      <c r="E6042" s="5" t="s">
        <v>39353</v>
      </c>
      <c r="F6042" s="5" t="s">
        <v>72</v>
      </c>
      <c r="G6042" s="5" t="s">
        <v>39354</v>
      </c>
      <c r="H6042" s="6" t="s">
        <v>39355</v>
      </c>
      <c r="I6042" s="7" t="s">
        <v>39356</v>
      </c>
      <c r="J6042" s="8" t="str">
        <f>HYPERLINK("https://drive.google.com/file/d/1TY_2oXE9VSmVU8Wm6QtXTcFcGsoKMQ8R/view?usp=drivesdk","TITOH KUSTIAH  SERTIFIKAT BerAKHLAK")</f>
        <v>TITOH KUSTIAH  SERTIFIKAT BerAKHLAK</v>
      </c>
      <c r="K6042" s="5" t="s">
        <v>39133</v>
      </c>
      <c r="L6042" s="5" t="s">
        <v>39357</v>
      </c>
    </row>
    <row r="6043">
      <c r="A6043" s="4">
        <v>45534.365472060184</v>
      </c>
      <c r="B6043" s="5" t="s">
        <v>19</v>
      </c>
      <c r="C6043" s="5" t="s">
        <v>292</v>
      </c>
      <c r="E6043" s="5" t="s">
        <v>39360</v>
      </c>
      <c r="F6043" s="5" t="s">
        <v>524</v>
      </c>
      <c r="G6043" s="5" t="s">
        <v>39361</v>
      </c>
      <c r="H6043" s="6" t="s">
        <v>39362</v>
      </c>
      <c r="I6043" s="7" t="s">
        <v>39363</v>
      </c>
      <c r="J6043" s="8" t="str">
        <f>HYPERLINK("https://drive.google.com/file/d/1WE8gUtaQXBigzEs6RUiBCu5kulitN63D/view?usp=drivesdk","PAINI BINSIS SERTIFIKAT BerAKHLAK")</f>
        <v>PAINI BINSIS SERTIFIKAT BerAKHLAK</v>
      </c>
      <c r="K6043" s="5" t="s">
        <v>39133</v>
      </c>
      <c r="L6043" s="5" t="s">
        <v>39364</v>
      </c>
    </row>
    <row r="6044">
      <c r="A6044" s="4">
        <v>45534.365487013885</v>
      </c>
      <c r="B6044" s="5" t="s">
        <v>34</v>
      </c>
      <c r="D6044" s="5" t="s">
        <v>14313</v>
      </c>
      <c r="E6044" s="5" t="s">
        <v>39367</v>
      </c>
      <c r="F6044" s="5" t="s">
        <v>212</v>
      </c>
      <c r="G6044" s="5" t="s">
        <v>39368</v>
      </c>
      <c r="H6044" s="6" t="s">
        <v>39369</v>
      </c>
      <c r="I6044" s="7" t="s">
        <v>39370</v>
      </c>
      <c r="J6044" s="8" t="str">
        <f>HYPERLINK("https://drive.google.com/file/d/1mMVvtkP0n_VFRgDwwBemrk8GGI2OJ2rT/view?usp=drivesdk","ROSLANI Amd Kep SERTIFIKAT BerAKHLAK")</f>
        <v>ROSLANI Amd Kep SERTIFIKAT BerAKHLAK</v>
      </c>
      <c r="K6044" s="5" t="s">
        <v>39133</v>
      </c>
      <c r="L6044" s="5" t="s">
        <v>39371</v>
      </c>
    </row>
    <row r="6045">
      <c r="A6045" s="4">
        <v>45534.365512118056</v>
      </c>
      <c r="B6045" s="5" t="s">
        <v>34</v>
      </c>
      <c r="D6045" s="5" t="s">
        <v>1206</v>
      </c>
      <c r="E6045" s="5" t="s">
        <v>39374</v>
      </c>
      <c r="F6045" s="5" t="s">
        <v>108</v>
      </c>
      <c r="G6045" s="5" t="s">
        <v>39375</v>
      </c>
      <c r="H6045" s="6" t="s">
        <v>39376</v>
      </c>
      <c r="I6045" s="7" t="s">
        <v>39377</v>
      </c>
      <c r="J6045" s="8" t="str">
        <f>HYPERLINK("https://drive.google.com/file/d/1zVZRHKbjYkGLSVxuEPYnvs_AHg0GkRQD/view?usp=drivesdk","KARTIKA PUTRI KURNIAWATI, Amd.Keb. SERTIFIKAT BerAKHLAK")</f>
        <v>KARTIKA PUTRI KURNIAWATI, Amd.Keb. SERTIFIKAT BerAKHLAK</v>
      </c>
      <c r="K6045" s="5" t="s">
        <v>39133</v>
      </c>
      <c r="L6045" s="5" t="s">
        <v>39378</v>
      </c>
    </row>
    <row r="6046">
      <c r="A6046" s="4">
        <v>45534.36552532407</v>
      </c>
      <c r="B6046" s="5" t="s">
        <v>34</v>
      </c>
      <c r="D6046" s="5" t="s">
        <v>14313</v>
      </c>
      <c r="E6046" s="5" t="s">
        <v>39382</v>
      </c>
      <c r="F6046" s="5" t="s">
        <v>72</v>
      </c>
      <c r="G6046" s="5" t="s">
        <v>39383</v>
      </c>
      <c r="H6046" s="6" t="s">
        <v>39384</v>
      </c>
      <c r="I6046" s="7" t="s">
        <v>39385</v>
      </c>
      <c r="J6046" s="8" t="str">
        <f>HYPERLINK("https://drive.google.com/file/d/1HU7KU2TmD-spg9UHtEdZPwgFew9kI5nJ/view?usp=drivesdk","MUHAMMAD SARMAN SERTIFIKAT BerAKHLAK")</f>
        <v>MUHAMMAD SARMAN SERTIFIKAT BerAKHLAK</v>
      </c>
      <c r="K6046" s="5" t="s">
        <v>39386</v>
      </c>
      <c r="L6046" s="5" t="s">
        <v>39387</v>
      </c>
    </row>
    <row r="6047">
      <c r="A6047" s="4">
        <v>45534.36552583333</v>
      </c>
      <c r="B6047" s="5" t="s">
        <v>34</v>
      </c>
      <c r="D6047" s="5" t="s">
        <v>4775</v>
      </c>
      <c r="E6047" s="5" t="s">
        <v>39390</v>
      </c>
      <c r="F6047" s="5" t="s">
        <v>212</v>
      </c>
      <c r="G6047" s="5" t="s">
        <v>39391</v>
      </c>
      <c r="H6047" s="6" t="s">
        <v>39392</v>
      </c>
      <c r="I6047" s="7" t="s">
        <v>39393</v>
      </c>
      <c r="J6047" s="8" t="str">
        <f>HYPERLINK("https://drive.google.com/file/d/19ZEycfaNCigUxXMdIhmVhTT9eYCq-Qv8/view?usp=drivesdk","SUKRAWATI PUSPITANINGRUM SERTIFIKAT BerAKHLAK")</f>
        <v>SUKRAWATI PUSPITANINGRUM SERTIFIKAT BerAKHLAK</v>
      </c>
      <c r="K6047" s="5" t="s">
        <v>39386</v>
      </c>
      <c r="L6047" s="5" t="s">
        <v>39394</v>
      </c>
    </row>
    <row r="6048">
      <c r="A6048" s="4">
        <v>45534.36552792824</v>
      </c>
      <c r="B6048" s="5" t="s">
        <v>34</v>
      </c>
      <c r="D6048" s="5" t="s">
        <v>3849</v>
      </c>
      <c r="E6048" s="5" t="s">
        <v>19050</v>
      </c>
      <c r="F6048" s="5" t="s">
        <v>212</v>
      </c>
      <c r="G6048" s="5" t="s">
        <v>39397</v>
      </c>
      <c r="H6048" s="6" t="s">
        <v>39398</v>
      </c>
      <c r="I6048" s="7" t="s">
        <v>39399</v>
      </c>
      <c r="J6048" s="8" t="str">
        <f>HYPERLINK("https://drive.google.com/file/d/1_CmOnAW5S3YXKBb0ea_6_EIVRzvrNWs-/view?usp=drivesdk","MUNANDAR SERTIFIKAT BerAKHLAK")</f>
        <v>MUNANDAR SERTIFIKAT BerAKHLAK</v>
      </c>
      <c r="K6048" s="5" t="s">
        <v>39386</v>
      </c>
      <c r="L6048" s="5" t="s">
        <v>39400</v>
      </c>
    </row>
    <row r="6049">
      <c r="A6049" s="4">
        <v>45534.36553231481</v>
      </c>
      <c r="B6049" s="5" t="s">
        <v>34</v>
      </c>
      <c r="D6049" s="5" t="s">
        <v>701</v>
      </c>
      <c r="E6049" s="5" t="s">
        <v>39403</v>
      </c>
      <c r="F6049" s="5" t="s">
        <v>120</v>
      </c>
      <c r="G6049" s="5" t="s">
        <v>39404</v>
      </c>
      <c r="H6049" s="6" t="s">
        <v>39405</v>
      </c>
      <c r="I6049" s="7" t="s">
        <v>39406</v>
      </c>
      <c r="J6049" s="8" t="str">
        <f>HYPERLINK("https://drive.google.com/file/d/1rinlricsgGDbSolvVV9JegJQ7WcrjV4k/view?usp=drivesdk","NOVITA SARLI. S.KOM SERTIFIKAT BerAKHLAK")</f>
        <v>NOVITA SARLI. S.KOM SERTIFIKAT BerAKHLAK</v>
      </c>
      <c r="K6049" s="5" t="s">
        <v>39386</v>
      </c>
      <c r="L6049" s="5" t="s">
        <v>39407</v>
      </c>
    </row>
    <row r="6050">
      <c r="A6050" s="4">
        <v>45534.3655494213</v>
      </c>
      <c r="B6050" s="5" t="s">
        <v>19</v>
      </c>
      <c r="C6050" s="5" t="s">
        <v>292</v>
      </c>
      <c r="E6050" s="5" t="s">
        <v>39410</v>
      </c>
      <c r="F6050" s="5" t="s">
        <v>72</v>
      </c>
      <c r="G6050" s="5" t="s">
        <v>39411</v>
      </c>
      <c r="H6050" s="6" t="s">
        <v>39412</v>
      </c>
      <c r="K6050" s="5" t="s">
        <v>39413</v>
      </c>
    </row>
    <row r="6051">
      <c r="A6051" s="4">
        <v>45534.36556146991</v>
      </c>
      <c r="B6051" s="5" t="s">
        <v>34</v>
      </c>
      <c r="D6051" s="5" t="s">
        <v>1206</v>
      </c>
      <c r="E6051" s="5" t="s">
        <v>39417</v>
      </c>
      <c r="F6051" s="5" t="s">
        <v>212</v>
      </c>
      <c r="G6051" s="5" t="s">
        <v>39418</v>
      </c>
      <c r="H6051" s="6" t="s">
        <v>39419</v>
      </c>
      <c r="K6051" s="5" t="s">
        <v>39413</v>
      </c>
    </row>
    <row r="6052">
      <c r="A6052" s="4">
        <v>45534.3655653125</v>
      </c>
      <c r="B6052" s="5" t="s">
        <v>19</v>
      </c>
      <c r="C6052" s="5" t="s">
        <v>11593</v>
      </c>
      <c r="E6052" s="5" t="s">
        <v>39422</v>
      </c>
      <c r="F6052" s="5" t="s">
        <v>524</v>
      </c>
      <c r="G6052" s="5" t="s">
        <v>39423</v>
      </c>
      <c r="H6052" s="6" t="s">
        <v>39424</v>
      </c>
      <c r="I6052" s="7" t="s">
        <v>39425</v>
      </c>
      <c r="J6052" s="8" t="str">
        <f>HYPERLINK("https://drive.google.com/file/d/18cwn3Y54LXQkc9WqOMJW7XrR4K6ovpW3/view?usp=drivesdk","IMELDA SISILYA CAROLINA GASPERSZ., S.ST., Bdn SERTIFIKAT BerAKHLAK")</f>
        <v>IMELDA SISILYA CAROLINA GASPERSZ., S.ST., Bdn SERTIFIKAT BerAKHLAK</v>
      </c>
      <c r="K6052" s="5" t="s">
        <v>39133</v>
      </c>
      <c r="L6052" s="5" t="s">
        <v>39426</v>
      </c>
    </row>
    <row r="6053">
      <c r="A6053" s="4">
        <v>45534.36557631944</v>
      </c>
      <c r="B6053" s="5" t="s">
        <v>19</v>
      </c>
      <c r="C6053" s="5" t="s">
        <v>38343</v>
      </c>
      <c r="E6053" s="5" t="s">
        <v>39429</v>
      </c>
      <c r="F6053" s="5" t="s">
        <v>120</v>
      </c>
      <c r="G6053" s="5" t="s">
        <v>39430</v>
      </c>
      <c r="H6053" s="6" t="s">
        <v>39431</v>
      </c>
      <c r="I6053" s="7" t="s">
        <v>39432</v>
      </c>
      <c r="J6053" s="8" t="str">
        <f>HYPERLINK("https://drive.google.com/file/d/17zJ1t0zIjkpbb7vOwz3_1fMiUU-WubZU/view?usp=drivesdk","NUNIK KUN INDYASTUTI, SH SERTIFIKAT BerAKHLAK")</f>
        <v>NUNIK KUN INDYASTUTI, SH SERTIFIKAT BerAKHLAK</v>
      </c>
      <c r="K6053" s="5" t="s">
        <v>39133</v>
      </c>
      <c r="L6053" s="5" t="s">
        <v>39433</v>
      </c>
    </row>
    <row r="6054">
      <c r="A6054" s="4">
        <v>45534.36558856482</v>
      </c>
      <c r="B6054" s="5" t="s">
        <v>34</v>
      </c>
      <c r="D6054" s="5" t="s">
        <v>1206</v>
      </c>
      <c r="E6054" s="5" t="s">
        <v>39436</v>
      </c>
      <c r="F6054" s="5" t="s">
        <v>212</v>
      </c>
      <c r="G6054" s="5" t="s">
        <v>39437</v>
      </c>
      <c r="H6054" s="6" t="s">
        <v>39438</v>
      </c>
      <c r="K6054" s="5" t="s">
        <v>39439</v>
      </c>
    </row>
    <row r="6055">
      <c r="A6055" s="4">
        <v>45534.36558974537</v>
      </c>
      <c r="B6055" s="5" t="s">
        <v>34</v>
      </c>
      <c r="D6055" s="5" t="s">
        <v>10297</v>
      </c>
      <c r="E6055" s="5" t="s">
        <v>39443</v>
      </c>
      <c r="F6055" s="5" t="s">
        <v>524</v>
      </c>
      <c r="G6055" s="5" t="s">
        <v>39444</v>
      </c>
      <c r="H6055" s="6" t="s">
        <v>39445</v>
      </c>
      <c r="K6055" s="5" t="s">
        <v>39439</v>
      </c>
    </row>
    <row r="6056">
      <c r="A6056" s="4">
        <v>45534.365603287035</v>
      </c>
      <c r="B6056" s="5" t="s">
        <v>34</v>
      </c>
      <c r="D6056" s="5" t="s">
        <v>1206</v>
      </c>
      <c r="E6056" s="5" t="s">
        <v>39448</v>
      </c>
      <c r="F6056" s="5" t="s">
        <v>37</v>
      </c>
      <c r="G6056" s="5" t="s">
        <v>39449</v>
      </c>
      <c r="H6056" s="6" t="s">
        <v>39450</v>
      </c>
      <c r="K6056" s="5" t="s">
        <v>39439</v>
      </c>
    </row>
    <row r="6057">
      <c r="A6057" s="4">
        <v>45534.36560333333</v>
      </c>
      <c r="B6057" s="5" t="s">
        <v>34</v>
      </c>
      <c r="D6057" s="5" t="s">
        <v>15401</v>
      </c>
      <c r="E6057" s="5" t="s">
        <v>39453</v>
      </c>
      <c r="F6057" s="5" t="s">
        <v>375</v>
      </c>
      <c r="G6057" s="5" t="s">
        <v>39454</v>
      </c>
      <c r="H6057" s="6" t="s">
        <v>39455</v>
      </c>
      <c r="K6057" s="5" t="s">
        <v>39439</v>
      </c>
    </row>
    <row r="6058">
      <c r="A6058" s="4">
        <v>45534.36560497685</v>
      </c>
      <c r="B6058" s="5" t="s">
        <v>34</v>
      </c>
      <c r="D6058" s="5" t="s">
        <v>12978</v>
      </c>
      <c r="E6058" s="5" t="s">
        <v>34223</v>
      </c>
      <c r="F6058" s="5" t="s">
        <v>212</v>
      </c>
      <c r="G6058" s="5" t="s">
        <v>39458</v>
      </c>
      <c r="H6058" s="6" t="s">
        <v>39459</v>
      </c>
      <c r="K6058" s="5" t="s">
        <v>39439</v>
      </c>
    </row>
    <row r="6059">
      <c r="A6059" s="4">
        <v>45534.36560630787</v>
      </c>
      <c r="B6059" s="5" t="s">
        <v>34</v>
      </c>
      <c r="D6059" s="5" t="s">
        <v>9020</v>
      </c>
      <c r="E6059" s="5" t="s">
        <v>39463</v>
      </c>
      <c r="F6059" s="5" t="s">
        <v>524</v>
      </c>
      <c r="G6059" s="5" t="s">
        <v>39464</v>
      </c>
      <c r="H6059" s="6" t="s">
        <v>39465</v>
      </c>
      <c r="K6059" s="5" t="s">
        <v>39439</v>
      </c>
    </row>
    <row r="6060">
      <c r="A6060" s="4">
        <v>45534.365624722224</v>
      </c>
      <c r="B6060" s="5" t="s">
        <v>34</v>
      </c>
      <c r="D6060" s="5" t="s">
        <v>1692</v>
      </c>
      <c r="E6060" s="5" t="s">
        <v>39468</v>
      </c>
      <c r="F6060" s="5" t="s">
        <v>120</v>
      </c>
      <c r="G6060" s="5" t="s">
        <v>39469</v>
      </c>
      <c r="H6060" s="6" t="s">
        <v>39470</v>
      </c>
      <c r="K6060" s="5" t="s">
        <v>39439</v>
      </c>
    </row>
    <row r="6061">
      <c r="A6061" s="4">
        <v>45534.36563797454</v>
      </c>
      <c r="B6061" s="5" t="s">
        <v>34</v>
      </c>
      <c r="D6061" s="5" t="s">
        <v>10297</v>
      </c>
      <c r="E6061" s="5" t="s">
        <v>39473</v>
      </c>
      <c r="F6061" s="5" t="s">
        <v>524</v>
      </c>
      <c r="G6061" s="5" t="s">
        <v>39474</v>
      </c>
      <c r="H6061" s="6" t="s">
        <v>39475</v>
      </c>
      <c r="K6061" s="5" t="s">
        <v>39439</v>
      </c>
    </row>
    <row r="6062">
      <c r="A6062" s="4">
        <v>45534.365638483796</v>
      </c>
      <c r="B6062" s="5" t="s">
        <v>34</v>
      </c>
      <c r="D6062" s="5" t="s">
        <v>1768</v>
      </c>
      <c r="E6062" s="5" t="s">
        <v>39478</v>
      </c>
      <c r="F6062" s="5" t="s">
        <v>199</v>
      </c>
      <c r="G6062" s="5" t="s">
        <v>39479</v>
      </c>
      <c r="H6062" s="6" t="s">
        <v>39480</v>
      </c>
      <c r="K6062" s="5" t="s">
        <v>39439</v>
      </c>
    </row>
    <row r="6063">
      <c r="A6063" s="4">
        <v>45534.36566953704</v>
      </c>
      <c r="B6063" s="5" t="s">
        <v>34</v>
      </c>
      <c r="D6063" s="5" t="s">
        <v>522</v>
      </c>
      <c r="E6063" s="5" t="s">
        <v>39483</v>
      </c>
      <c r="F6063" s="5" t="s">
        <v>37</v>
      </c>
      <c r="G6063" s="5" t="s">
        <v>39484</v>
      </c>
      <c r="H6063" s="6" t="s">
        <v>39485</v>
      </c>
      <c r="K6063" s="5" t="s">
        <v>39486</v>
      </c>
    </row>
    <row r="6064">
      <c r="A6064" s="4">
        <v>45534.365672106476</v>
      </c>
      <c r="B6064" s="5" t="s">
        <v>34</v>
      </c>
      <c r="D6064" s="5" t="s">
        <v>9020</v>
      </c>
      <c r="E6064" s="5" t="s">
        <v>39490</v>
      </c>
      <c r="F6064" s="5" t="s">
        <v>524</v>
      </c>
      <c r="G6064" s="5" t="s">
        <v>39491</v>
      </c>
      <c r="H6064" s="6" t="s">
        <v>39492</v>
      </c>
      <c r="K6064" s="5" t="s">
        <v>39486</v>
      </c>
    </row>
    <row r="6065">
      <c r="A6065" s="4">
        <v>45534.36567461806</v>
      </c>
      <c r="B6065" s="5" t="s">
        <v>34</v>
      </c>
      <c r="D6065" s="5" t="s">
        <v>14313</v>
      </c>
      <c r="E6065" s="5" t="s">
        <v>39495</v>
      </c>
      <c r="F6065" s="5" t="s">
        <v>37</v>
      </c>
      <c r="G6065" s="5" t="s">
        <v>39496</v>
      </c>
      <c r="H6065" s="6" t="s">
        <v>39497</v>
      </c>
      <c r="K6065" s="5" t="s">
        <v>39486</v>
      </c>
    </row>
    <row r="6066">
      <c r="A6066" s="4">
        <v>45534.3656954051</v>
      </c>
      <c r="B6066" s="5" t="s">
        <v>34</v>
      </c>
      <c r="D6066" s="5" t="s">
        <v>14424</v>
      </c>
      <c r="E6066" s="5" t="s">
        <v>39500</v>
      </c>
      <c r="F6066" s="5" t="s">
        <v>199</v>
      </c>
      <c r="G6066" s="5" t="s">
        <v>39501</v>
      </c>
      <c r="H6066" s="6" t="s">
        <v>39502</v>
      </c>
      <c r="K6066" s="5" t="s">
        <v>39486</v>
      </c>
    </row>
    <row r="6067">
      <c r="A6067" s="4">
        <v>45534.365701793984</v>
      </c>
      <c r="B6067" s="5" t="s">
        <v>19</v>
      </c>
      <c r="C6067" s="5" t="s">
        <v>292</v>
      </c>
      <c r="E6067" s="5" t="s">
        <v>39505</v>
      </c>
      <c r="F6067" s="5" t="s">
        <v>524</v>
      </c>
      <c r="G6067" s="5" t="s">
        <v>39506</v>
      </c>
      <c r="H6067" s="6" t="s">
        <v>39507</v>
      </c>
      <c r="I6067" s="7" t="s">
        <v>39508</v>
      </c>
      <c r="J6067" s="8" t="str">
        <f>HYPERLINK("https://drive.google.com/file/d/1jcL-wWSZirrzYIFRxzvnJ1k4sBlkv2Rb/view?usp=drivesdk","DWI ARI AMBARSASI, SE SERTIFIKAT BerAKHLAK")</f>
        <v>DWI ARI AMBARSASI, SE SERTIFIKAT BerAKHLAK</v>
      </c>
      <c r="K6067" s="5" t="s">
        <v>39386</v>
      </c>
      <c r="L6067" s="5" t="s">
        <v>39509</v>
      </c>
    </row>
    <row r="6068">
      <c r="A6068" s="4">
        <v>45534.36573924769</v>
      </c>
      <c r="B6068" s="5" t="s">
        <v>34</v>
      </c>
      <c r="D6068" s="5" t="s">
        <v>1206</v>
      </c>
      <c r="E6068" s="5" t="s">
        <v>39512</v>
      </c>
      <c r="F6068" s="5" t="s">
        <v>72</v>
      </c>
      <c r="G6068" s="5" t="s">
        <v>39513</v>
      </c>
      <c r="H6068" s="6" t="s">
        <v>39514</v>
      </c>
      <c r="I6068" s="7" t="s">
        <v>39515</v>
      </c>
      <c r="J6068" s="8" t="str">
        <f>HYPERLINK("https://drive.google.com/file/d/1OOWuKJArQZ_6kl9Epj_qY-XJCbHJTH2_/view?usp=drivesdk","NANIK CAHYANINGTYAS SERTIFIKAT BerAKHLAK")</f>
        <v>NANIK CAHYANINGTYAS SERTIFIKAT BerAKHLAK</v>
      </c>
      <c r="K6068" s="5" t="s">
        <v>39386</v>
      </c>
      <c r="L6068" s="5" t="s">
        <v>39516</v>
      </c>
    </row>
    <row r="6069">
      <c r="A6069" s="4">
        <v>45534.36575297454</v>
      </c>
      <c r="B6069" s="5" t="s">
        <v>34</v>
      </c>
      <c r="D6069" s="5" t="s">
        <v>6232</v>
      </c>
      <c r="E6069" s="5" t="s">
        <v>39520</v>
      </c>
      <c r="F6069" s="5" t="s">
        <v>120</v>
      </c>
      <c r="G6069" s="5" t="s">
        <v>39521</v>
      </c>
      <c r="H6069" s="6" t="s">
        <v>39522</v>
      </c>
      <c r="I6069" s="7" t="s">
        <v>39523</v>
      </c>
      <c r="J6069" s="8" t="str">
        <f>HYPERLINK("https://drive.google.com/file/d/1kFB_pfdSBrwsulLZp8KhbrX8N08t4ffz/view?usp=drivesdk","RIZKI YANTO, S.H. SERTIFIKAT BerAKHLAK")</f>
        <v>RIZKI YANTO, S.H. SERTIFIKAT BerAKHLAK</v>
      </c>
      <c r="K6069" s="5" t="s">
        <v>39386</v>
      </c>
      <c r="L6069" s="5" t="s">
        <v>39524</v>
      </c>
    </row>
    <row r="6070">
      <c r="A6070" s="4">
        <v>45534.365763483795</v>
      </c>
      <c r="B6070" s="5" t="s">
        <v>19</v>
      </c>
      <c r="C6070" s="5" t="s">
        <v>5564</v>
      </c>
      <c r="E6070" s="5" t="s">
        <v>39527</v>
      </c>
      <c r="F6070" s="5" t="s">
        <v>212</v>
      </c>
      <c r="G6070" s="5" t="s">
        <v>39528</v>
      </c>
      <c r="H6070" s="6" t="s">
        <v>39529</v>
      </c>
      <c r="K6070" s="5" t="s">
        <v>39530</v>
      </c>
    </row>
    <row r="6071">
      <c r="A6071" s="4">
        <v>45534.36576789352</v>
      </c>
      <c r="B6071" s="5" t="s">
        <v>34</v>
      </c>
      <c r="D6071" s="5" t="s">
        <v>1558</v>
      </c>
      <c r="E6071" s="5" t="s">
        <v>39533</v>
      </c>
      <c r="F6071" s="5" t="s">
        <v>108</v>
      </c>
      <c r="G6071" s="5" t="s">
        <v>39534</v>
      </c>
      <c r="H6071" s="6" t="s">
        <v>39535</v>
      </c>
      <c r="I6071" s="7" t="s">
        <v>39536</v>
      </c>
      <c r="J6071" s="8" t="str">
        <f>HYPERLINK("https://drive.google.com/file/d/1NF8xNHjy3cBOAHnVz5i-We3jjwra3dbO/view?usp=drivesdk","BASTIAN KARTIKANINGTYAS SERTIFIKAT BerAKHLAK")</f>
        <v>BASTIAN KARTIKANINGTYAS SERTIFIKAT BerAKHLAK</v>
      </c>
      <c r="K6071" s="5" t="s">
        <v>39386</v>
      </c>
      <c r="L6071" s="5" t="s">
        <v>39537</v>
      </c>
    </row>
    <row r="6072">
      <c r="A6072" s="4">
        <v>45534.36577509259</v>
      </c>
      <c r="B6072" s="5" t="s">
        <v>34</v>
      </c>
      <c r="D6072" s="5" t="s">
        <v>12978</v>
      </c>
      <c r="E6072" s="5" t="s">
        <v>39540</v>
      </c>
      <c r="F6072" s="5" t="s">
        <v>212</v>
      </c>
      <c r="G6072" s="5" t="s">
        <v>39541</v>
      </c>
      <c r="H6072" s="6" t="s">
        <v>39542</v>
      </c>
      <c r="I6072" s="7" t="s">
        <v>39543</v>
      </c>
      <c r="J6072" s="8" t="str">
        <f>HYPERLINK("https://drive.google.com/file/d/1eLldW5c33nPZ5THsOv17Wknmp1YYoLTy/view?usp=drivesdk","ELPIANA SERTIFIKAT BerAKHLAK")</f>
        <v>ELPIANA SERTIFIKAT BerAKHLAK</v>
      </c>
      <c r="K6072" s="5" t="s">
        <v>39386</v>
      </c>
      <c r="L6072" s="5" t="s">
        <v>39544</v>
      </c>
    </row>
    <row r="6073">
      <c r="A6073" s="4">
        <v>45534.36577959491</v>
      </c>
      <c r="B6073" s="5" t="s">
        <v>34</v>
      </c>
      <c r="D6073" s="5" t="s">
        <v>3849</v>
      </c>
      <c r="E6073" s="5" t="s">
        <v>39547</v>
      </c>
      <c r="F6073" s="5" t="s">
        <v>72</v>
      </c>
      <c r="G6073" s="5" t="s">
        <v>39548</v>
      </c>
      <c r="H6073" s="6" t="s">
        <v>39549</v>
      </c>
      <c r="I6073" s="7" t="s">
        <v>39550</v>
      </c>
      <c r="J6073" s="8" t="str">
        <f>HYPERLINK("https://drive.google.com/file/d/1ahzYLIy4XU3bH9m-swr-OzxSdmbTKb2C/view?usp=drivesdk","RACHMAT DWIPUTRANTO SERTIFIKAT BerAKHLAK")</f>
        <v>RACHMAT DWIPUTRANTO SERTIFIKAT BerAKHLAK</v>
      </c>
      <c r="K6073" s="5" t="s">
        <v>39386</v>
      </c>
      <c r="L6073" s="5" t="s">
        <v>39551</v>
      </c>
    </row>
    <row r="6074">
      <c r="A6074" s="4">
        <v>45534.36578064815</v>
      </c>
      <c r="B6074" s="5" t="s">
        <v>34</v>
      </c>
      <c r="D6074" s="5" t="s">
        <v>701</v>
      </c>
      <c r="E6074" s="5" t="s">
        <v>39555</v>
      </c>
      <c r="F6074" s="5" t="s">
        <v>524</v>
      </c>
      <c r="G6074" s="5" t="s">
        <v>39556</v>
      </c>
      <c r="H6074" s="6" t="s">
        <v>39557</v>
      </c>
      <c r="I6074" s="7" t="s">
        <v>39558</v>
      </c>
      <c r="J6074" s="8" t="str">
        <f>HYPERLINK("https://drive.google.com/file/d/1fH12N8ikbjf9kA6bYE0jRngJg0DhSUHC/view?usp=drivesdk","YULIARNI, S.H. SERTIFIKAT BerAKHLAK")</f>
        <v>YULIARNI, S.H. SERTIFIKAT BerAKHLAK</v>
      </c>
      <c r="K6074" s="5" t="s">
        <v>39386</v>
      </c>
      <c r="L6074" s="5" t="s">
        <v>39559</v>
      </c>
    </row>
    <row r="6075">
      <c r="A6075" s="4">
        <v>45534.365783587964</v>
      </c>
      <c r="B6075" s="5" t="s">
        <v>34</v>
      </c>
      <c r="D6075" s="5" t="s">
        <v>35</v>
      </c>
      <c r="E6075" s="5" t="s">
        <v>39562</v>
      </c>
      <c r="F6075" s="5" t="s">
        <v>72</v>
      </c>
      <c r="G6075" s="5" t="s">
        <v>39563</v>
      </c>
      <c r="H6075" s="6" t="s">
        <v>39564</v>
      </c>
      <c r="I6075" s="7" t="s">
        <v>39565</v>
      </c>
      <c r="J6075" s="8" t="str">
        <f>HYPERLINK("https://drive.google.com/file/d/1uGU0Rx8J2axhssjFAMR2Ng4qT8-wlfhO/view?usp=drivesdk","DEDI KOSASIH SERTIFIKAT BerAKHLAK")</f>
        <v>DEDI KOSASIH SERTIFIKAT BerAKHLAK</v>
      </c>
      <c r="K6075" s="5" t="s">
        <v>39386</v>
      </c>
      <c r="L6075" s="5" t="s">
        <v>39566</v>
      </c>
    </row>
    <row r="6076">
      <c r="A6076" s="4">
        <v>45534.36578644676</v>
      </c>
      <c r="B6076" s="5" t="s">
        <v>34</v>
      </c>
      <c r="D6076" s="5" t="s">
        <v>4775</v>
      </c>
      <c r="E6076" s="5" t="s">
        <v>39569</v>
      </c>
      <c r="F6076" s="5" t="s">
        <v>375</v>
      </c>
      <c r="G6076" s="5" t="s">
        <v>39570</v>
      </c>
      <c r="H6076" s="6" t="s">
        <v>39571</v>
      </c>
      <c r="I6076" s="7" t="s">
        <v>39572</v>
      </c>
      <c r="J6076" s="8" t="str">
        <f>HYPERLINK("https://drive.google.com/file/d/10WuEBEASu2LPjKzoM5RG8N9m1oF4_Tm9/view?usp=drivesdk","AZIZ MUSLIM.S.E. SERTIFIKAT BerAKHLAK")</f>
        <v>AZIZ MUSLIM.S.E. SERTIFIKAT BerAKHLAK</v>
      </c>
      <c r="K6076" s="5" t="s">
        <v>39386</v>
      </c>
      <c r="L6076" s="5" t="s">
        <v>39573</v>
      </c>
    </row>
    <row r="6077">
      <c r="A6077" s="4">
        <v>45534.36578692129</v>
      </c>
      <c r="B6077" s="5" t="s">
        <v>34</v>
      </c>
      <c r="D6077" s="5" t="s">
        <v>1206</v>
      </c>
      <c r="E6077" s="5" t="s">
        <v>39576</v>
      </c>
      <c r="F6077" s="5" t="s">
        <v>199</v>
      </c>
      <c r="G6077" s="5" t="s">
        <v>39577</v>
      </c>
      <c r="H6077" s="6" t="s">
        <v>39578</v>
      </c>
      <c r="K6077" s="5" t="s">
        <v>39579</v>
      </c>
    </row>
    <row r="6078">
      <c r="A6078" s="4">
        <v>45534.365795694444</v>
      </c>
      <c r="B6078" s="5" t="s">
        <v>19</v>
      </c>
      <c r="C6078" s="5" t="s">
        <v>20</v>
      </c>
      <c r="E6078" s="5" t="s">
        <v>39583</v>
      </c>
      <c r="F6078" s="5" t="s">
        <v>375</v>
      </c>
      <c r="G6078" s="5" t="s">
        <v>39584</v>
      </c>
      <c r="H6078" s="6" t="s">
        <v>39585</v>
      </c>
      <c r="K6078" s="5" t="s">
        <v>39579</v>
      </c>
    </row>
    <row r="6079">
      <c r="A6079" s="4">
        <v>45534.36579829861</v>
      </c>
      <c r="B6079" s="5" t="s">
        <v>34</v>
      </c>
      <c r="D6079" s="5" t="s">
        <v>4775</v>
      </c>
      <c r="E6079" s="5" t="s">
        <v>39588</v>
      </c>
      <c r="F6079" s="5" t="s">
        <v>524</v>
      </c>
      <c r="G6079" s="5" t="s">
        <v>39589</v>
      </c>
      <c r="H6079" s="6" t="s">
        <v>39590</v>
      </c>
      <c r="K6079" s="5" t="s">
        <v>39579</v>
      </c>
    </row>
    <row r="6080">
      <c r="A6080" s="4">
        <v>45534.36580072917</v>
      </c>
      <c r="B6080" s="5" t="s">
        <v>34</v>
      </c>
      <c r="D6080" s="5" t="s">
        <v>10297</v>
      </c>
      <c r="E6080" s="5" t="s">
        <v>39593</v>
      </c>
      <c r="F6080" s="5" t="s">
        <v>72</v>
      </c>
      <c r="G6080" s="5" t="s">
        <v>39594</v>
      </c>
      <c r="H6080" s="6" t="s">
        <v>39595</v>
      </c>
      <c r="I6080" s="7" t="s">
        <v>39596</v>
      </c>
      <c r="J6080" s="8" t="str">
        <f>HYPERLINK("https://drive.google.com/file/d/19gxF5_vLoYik0Eu-SPzeJlgtJEyZIlOI/view?usp=drivesdk","HARTINI DOMPI, S.P., M.M. SERTIFIKAT BerAKHLAK")</f>
        <v>HARTINI DOMPI, S.P., M.M. SERTIFIKAT BerAKHLAK</v>
      </c>
      <c r="K6080" s="5" t="s">
        <v>39386</v>
      </c>
      <c r="L6080" s="5" t="s">
        <v>39597</v>
      </c>
    </row>
    <row r="6081">
      <c r="A6081" s="4">
        <v>45534.36581045139</v>
      </c>
      <c r="B6081" s="5" t="s">
        <v>34</v>
      </c>
      <c r="D6081" s="5" t="s">
        <v>14313</v>
      </c>
      <c r="E6081" s="5" t="s">
        <v>39601</v>
      </c>
      <c r="F6081" s="5" t="s">
        <v>375</v>
      </c>
      <c r="G6081" s="5" t="s">
        <v>39602</v>
      </c>
      <c r="H6081" s="6" t="s">
        <v>39603</v>
      </c>
      <c r="I6081" s="7" t="s">
        <v>39604</v>
      </c>
      <c r="J6081" s="8" t="str">
        <f>HYPERLINK("https://drive.google.com/file/d/1qLhDlRaoF34WNsUS_u1nW8QnHwdd6Bw-/view?usp=drivesdk","NAJMAH. M SERTIFIKAT BerAKHLAK")</f>
        <v>NAJMAH. M SERTIFIKAT BerAKHLAK</v>
      </c>
      <c r="K6081" s="5" t="s">
        <v>39386</v>
      </c>
      <c r="L6081" s="5" t="s">
        <v>39605</v>
      </c>
    </row>
    <row r="6082">
      <c r="A6082" s="4">
        <v>45534.36581412037</v>
      </c>
      <c r="B6082" s="5" t="s">
        <v>19</v>
      </c>
      <c r="C6082" s="5" t="s">
        <v>14000</v>
      </c>
      <c r="E6082" s="5" t="s">
        <v>39608</v>
      </c>
      <c r="F6082" s="5" t="s">
        <v>212</v>
      </c>
      <c r="G6082" s="5" t="s">
        <v>39609</v>
      </c>
      <c r="H6082" s="6" t="s">
        <v>39610</v>
      </c>
      <c r="I6082" s="7" t="s">
        <v>39611</v>
      </c>
      <c r="J6082" s="8" t="str">
        <f>HYPERLINK("https://drive.google.com/file/d/1G8AHQtCm6jo0d_aU0o7dR8lSTxZbVXfi/view?usp=drivesdk","GRACIA BUANA SAKTI SERTIFIKAT BerAKHLAK")</f>
        <v>GRACIA BUANA SAKTI SERTIFIKAT BerAKHLAK</v>
      </c>
      <c r="K6082" s="5" t="s">
        <v>39386</v>
      </c>
      <c r="L6082" s="5" t="s">
        <v>39612</v>
      </c>
    </row>
    <row r="6083">
      <c r="A6083" s="4">
        <v>45534.36581857639</v>
      </c>
      <c r="B6083" s="5" t="s">
        <v>34</v>
      </c>
      <c r="D6083" s="5" t="s">
        <v>9020</v>
      </c>
      <c r="E6083" s="5" t="s">
        <v>39615</v>
      </c>
      <c r="F6083" s="5" t="s">
        <v>328</v>
      </c>
      <c r="G6083" s="5" t="s">
        <v>39616</v>
      </c>
      <c r="H6083" s="6" t="s">
        <v>39617</v>
      </c>
      <c r="K6083" s="5" t="s">
        <v>39618</v>
      </c>
    </row>
    <row r="6084">
      <c r="A6084" s="4">
        <v>45534.365831041665</v>
      </c>
      <c r="B6084" s="5" t="s">
        <v>34</v>
      </c>
      <c r="D6084" s="5" t="s">
        <v>1206</v>
      </c>
      <c r="E6084" s="5" t="s">
        <v>39621</v>
      </c>
      <c r="F6084" s="5" t="s">
        <v>212</v>
      </c>
      <c r="G6084" s="5" t="s">
        <v>39622</v>
      </c>
      <c r="H6084" s="6" t="s">
        <v>39623</v>
      </c>
      <c r="I6084" s="7" t="s">
        <v>39624</v>
      </c>
      <c r="J6084" s="8" t="str">
        <f>HYPERLINK("https://drive.google.com/file/d/18wDVE6O4guoHN4EcEJO-7ClYpg1dYrhk/view?usp=drivesdk","SOEKARTINI SERTIFIKAT BerAKHLAK")</f>
        <v>SOEKARTINI SERTIFIKAT BerAKHLAK</v>
      </c>
      <c r="K6084" s="5" t="s">
        <v>39386</v>
      </c>
      <c r="L6084" s="5" t="s">
        <v>39625</v>
      </c>
    </row>
    <row r="6085">
      <c r="A6085" s="4">
        <v>45534.36583534723</v>
      </c>
      <c r="B6085" s="5" t="s">
        <v>34</v>
      </c>
      <c r="D6085" s="5" t="s">
        <v>1206</v>
      </c>
      <c r="E6085" s="5" t="s">
        <v>39629</v>
      </c>
      <c r="F6085" s="5" t="s">
        <v>212</v>
      </c>
      <c r="G6085" s="5" t="s">
        <v>39630</v>
      </c>
      <c r="H6085" s="6" t="s">
        <v>39631</v>
      </c>
      <c r="I6085" s="7" t="s">
        <v>39632</v>
      </c>
      <c r="J6085" s="8" t="str">
        <f>HYPERLINK("https://drive.google.com/file/d/1mfxxGlmkBHKiUK4rh9XR509CwxchPJzf/view?usp=drivesdk","PALUPI RAHENDRANINGSIH SERTIFIKAT BerAKHLAK")</f>
        <v>PALUPI RAHENDRANINGSIH SERTIFIKAT BerAKHLAK</v>
      </c>
      <c r="K6085" s="5" t="s">
        <v>39386</v>
      </c>
      <c r="L6085" s="5" t="s">
        <v>39633</v>
      </c>
    </row>
    <row r="6086">
      <c r="A6086" s="4">
        <v>45534.365843067135</v>
      </c>
      <c r="B6086" s="5" t="s">
        <v>34</v>
      </c>
      <c r="D6086" s="5" t="s">
        <v>6232</v>
      </c>
      <c r="E6086" s="5" t="s">
        <v>39636</v>
      </c>
      <c r="F6086" s="5" t="s">
        <v>524</v>
      </c>
      <c r="G6086" s="5" t="s">
        <v>39637</v>
      </c>
      <c r="H6086" s="6" t="s">
        <v>39638</v>
      </c>
      <c r="K6086" s="5" t="s">
        <v>39639</v>
      </c>
    </row>
    <row r="6087">
      <c r="A6087" s="4">
        <v>45534.36584856482</v>
      </c>
      <c r="B6087" s="5" t="s">
        <v>34</v>
      </c>
      <c r="D6087" s="5" t="s">
        <v>4775</v>
      </c>
      <c r="E6087" s="5" t="s">
        <v>39642</v>
      </c>
      <c r="F6087" s="5" t="s">
        <v>212</v>
      </c>
      <c r="G6087" s="5" t="s">
        <v>39643</v>
      </c>
      <c r="H6087" s="6" t="s">
        <v>39644</v>
      </c>
      <c r="K6087" s="5" t="s">
        <v>39639</v>
      </c>
    </row>
    <row r="6088">
      <c r="A6088" s="4">
        <v>45534.36585458333</v>
      </c>
      <c r="B6088" s="5" t="s">
        <v>34</v>
      </c>
      <c r="D6088" s="5" t="s">
        <v>4775</v>
      </c>
      <c r="E6088" s="5" t="s">
        <v>39647</v>
      </c>
      <c r="F6088" s="5" t="s">
        <v>375</v>
      </c>
      <c r="G6088" s="5" t="s">
        <v>39648</v>
      </c>
      <c r="H6088" s="6" t="s">
        <v>39649</v>
      </c>
      <c r="K6088" s="5" t="s">
        <v>39639</v>
      </c>
    </row>
    <row r="6089">
      <c r="A6089" s="4">
        <v>45534.36585798611</v>
      </c>
      <c r="B6089" s="5" t="s">
        <v>19</v>
      </c>
      <c r="C6089" s="5" t="s">
        <v>466</v>
      </c>
      <c r="E6089" s="5" t="s">
        <v>39653</v>
      </c>
      <c r="F6089" s="5" t="s">
        <v>120</v>
      </c>
      <c r="G6089" s="5" t="s">
        <v>39654</v>
      </c>
      <c r="H6089" s="6" t="s">
        <v>39655</v>
      </c>
      <c r="K6089" s="5" t="s">
        <v>39639</v>
      </c>
    </row>
    <row r="6090">
      <c r="A6090" s="4">
        <v>45534.36586708333</v>
      </c>
      <c r="B6090" s="5" t="s">
        <v>34</v>
      </c>
      <c r="D6090" s="5" t="s">
        <v>10297</v>
      </c>
      <c r="E6090" s="5" t="s">
        <v>39658</v>
      </c>
      <c r="F6090" s="5" t="s">
        <v>524</v>
      </c>
      <c r="G6090" s="5" t="s">
        <v>39659</v>
      </c>
      <c r="H6090" s="6" t="s">
        <v>39660</v>
      </c>
      <c r="K6090" s="5" t="s">
        <v>39639</v>
      </c>
    </row>
    <row r="6091">
      <c r="A6091" s="4">
        <v>45534.3658830787</v>
      </c>
      <c r="B6091" s="5" t="s">
        <v>34</v>
      </c>
      <c r="D6091" s="5" t="s">
        <v>1558</v>
      </c>
      <c r="E6091" s="5" t="s">
        <v>39663</v>
      </c>
      <c r="F6091" s="5" t="s">
        <v>37</v>
      </c>
      <c r="G6091" s="5" t="s">
        <v>39664</v>
      </c>
      <c r="H6091" s="6" t="s">
        <v>39665</v>
      </c>
      <c r="K6091" s="5" t="s">
        <v>39639</v>
      </c>
    </row>
    <row r="6092">
      <c r="A6092" s="4">
        <v>45534.36589559028</v>
      </c>
      <c r="B6092" s="5" t="s">
        <v>34</v>
      </c>
      <c r="D6092" s="5" t="s">
        <v>267</v>
      </c>
      <c r="E6092" s="5" t="s">
        <v>39668</v>
      </c>
      <c r="F6092" s="5" t="s">
        <v>375</v>
      </c>
      <c r="G6092" s="5" t="s">
        <v>39669</v>
      </c>
      <c r="H6092" s="6" t="s">
        <v>39670</v>
      </c>
      <c r="K6092" s="5" t="s">
        <v>39639</v>
      </c>
    </row>
    <row r="6093">
      <c r="A6093" s="4">
        <v>45534.365896550924</v>
      </c>
      <c r="B6093" s="5" t="s">
        <v>19</v>
      </c>
      <c r="C6093" s="5" t="s">
        <v>292</v>
      </c>
      <c r="E6093" s="5" t="s">
        <v>39674</v>
      </c>
      <c r="F6093" s="5" t="s">
        <v>120</v>
      </c>
      <c r="G6093" s="5" t="s">
        <v>39675</v>
      </c>
      <c r="H6093" s="6" t="s">
        <v>39676</v>
      </c>
      <c r="K6093" s="5" t="s">
        <v>39639</v>
      </c>
    </row>
    <row r="6094">
      <c r="A6094" s="4">
        <v>45534.3659144213</v>
      </c>
      <c r="B6094" s="5" t="s">
        <v>34</v>
      </c>
      <c r="D6094" s="5" t="s">
        <v>3849</v>
      </c>
      <c r="E6094" s="5" t="s">
        <v>39679</v>
      </c>
      <c r="F6094" s="5" t="s">
        <v>37</v>
      </c>
      <c r="G6094" s="5" t="s">
        <v>39680</v>
      </c>
      <c r="H6094" s="6" t="s">
        <v>39681</v>
      </c>
      <c r="K6094" s="5" t="s">
        <v>39639</v>
      </c>
    </row>
    <row r="6095">
      <c r="A6095" s="4">
        <v>45534.365928240746</v>
      </c>
      <c r="B6095" s="5" t="s">
        <v>34</v>
      </c>
      <c r="D6095" s="5" t="s">
        <v>9020</v>
      </c>
      <c r="E6095" s="5" t="s">
        <v>39684</v>
      </c>
      <c r="F6095" s="5" t="s">
        <v>108</v>
      </c>
      <c r="G6095" s="5" t="s">
        <v>39685</v>
      </c>
      <c r="H6095" s="6" t="s">
        <v>39686</v>
      </c>
      <c r="I6095" s="7" t="s">
        <v>39687</v>
      </c>
      <c r="J6095" s="8" t="str">
        <f>HYPERLINK("https://drive.google.com/file/d/1Qr28dptddU3TH47_LaHFtmoWzDmmeKza/view?usp=drivesdk","Elmina Sihombing, SE  SERTIFIKAT BerAKHLAK")</f>
        <v>Elmina Sihombing, SE  SERTIFIKAT BerAKHLAK</v>
      </c>
      <c r="K6095" s="5" t="s">
        <v>39386</v>
      </c>
      <c r="L6095" s="5" t="s">
        <v>39688</v>
      </c>
    </row>
    <row r="6096">
      <c r="A6096" s="4">
        <v>45534.36596064815</v>
      </c>
      <c r="B6096" s="5" t="s">
        <v>34</v>
      </c>
      <c r="D6096" s="5" t="s">
        <v>1206</v>
      </c>
      <c r="E6096" s="5" t="s">
        <v>39691</v>
      </c>
      <c r="F6096" s="5" t="s">
        <v>212</v>
      </c>
      <c r="G6096" s="5" t="s">
        <v>39692</v>
      </c>
      <c r="H6096" s="6" t="s">
        <v>39693</v>
      </c>
      <c r="I6096" s="7" t="s">
        <v>39694</v>
      </c>
      <c r="J6096" s="8" t="str">
        <f>HYPERLINK("https://drive.google.com/file/d/13XXKgkxEdBzVqJYoz0uWcFURCksO0rcM/view?usp=drivesdk","SULISTIYORINI SERTIFIKAT BerAKHLAK")</f>
        <v>SULISTIYORINI SERTIFIKAT BerAKHLAK</v>
      </c>
      <c r="K6096" s="5" t="s">
        <v>39386</v>
      </c>
      <c r="L6096" s="5" t="s">
        <v>39695</v>
      </c>
    </row>
    <row r="6097">
      <c r="A6097" s="4">
        <v>45534.36596074074</v>
      </c>
      <c r="B6097" s="5" t="s">
        <v>34</v>
      </c>
      <c r="D6097" s="5" t="s">
        <v>1206</v>
      </c>
      <c r="E6097" s="5" t="s">
        <v>39699</v>
      </c>
      <c r="F6097" s="5" t="s">
        <v>199</v>
      </c>
      <c r="G6097" s="5" t="s">
        <v>39700</v>
      </c>
      <c r="H6097" s="6" t="s">
        <v>39701</v>
      </c>
      <c r="I6097" s="7" t="s">
        <v>39702</v>
      </c>
      <c r="J6097" s="8" t="str">
        <f>HYPERLINK("https://drive.google.com/file/d/18EdJXrSVkCMhvPeFNq2cGM0eEatt5jnM/view?usp=drivesdk","NUNGKI KRISDIANTI SERTIFIKAT BerAKHLAK")</f>
        <v>NUNGKI KRISDIANTI SERTIFIKAT BerAKHLAK</v>
      </c>
      <c r="K6097" s="5" t="s">
        <v>39386</v>
      </c>
      <c r="L6097" s="5" t="s">
        <v>39703</v>
      </c>
    </row>
    <row r="6098">
      <c r="A6098" s="4">
        <v>45534.36597116898</v>
      </c>
      <c r="B6098" s="5" t="s">
        <v>34</v>
      </c>
      <c r="D6098" s="5" t="s">
        <v>4775</v>
      </c>
      <c r="E6098" s="5" t="s">
        <v>39706</v>
      </c>
      <c r="F6098" s="5" t="s">
        <v>524</v>
      </c>
      <c r="G6098" s="5" t="s">
        <v>39707</v>
      </c>
      <c r="H6098" s="6" t="s">
        <v>39708</v>
      </c>
      <c r="I6098" s="7" t="s">
        <v>39709</v>
      </c>
      <c r="J6098" s="8" t="str">
        <f>HYPERLINK("https://drive.google.com/file/d/1BaJDBezrsXH7oDbqme2ez4epNxiz387x/view?usp=drivesdk","ENDANG JATI WILIS, A.Md. SERTIFIKAT BerAKHLAK")</f>
        <v>ENDANG JATI WILIS, A.Md. SERTIFIKAT BerAKHLAK</v>
      </c>
      <c r="K6098" s="5" t="s">
        <v>39386</v>
      </c>
      <c r="L6098" s="5" t="s">
        <v>39710</v>
      </c>
    </row>
    <row r="6099">
      <c r="A6099" s="4">
        <v>45534.36600061343</v>
      </c>
      <c r="B6099" s="5" t="s">
        <v>34</v>
      </c>
      <c r="D6099" s="5" t="s">
        <v>4775</v>
      </c>
      <c r="E6099" s="5" t="s">
        <v>39713</v>
      </c>
      <c r="F6099" s="5" t="s">
        <v>72</v>
      </c>
      <c r="G6099" s="5" t="s">
        <v>39714</v>
      </c>
      <c r="H6099" s="6" t="s">
        <v>39715</v>
      </c>
      <c r="I6099" s="7" t="s">
        <v>39716</v>
      </c>
      <c r="J6099" s="8" t="str">
        <f>HYPERLINK("https://drive.google.com/file/d/1eWeYVSUHBUncoSJO-sgUqTXfatonTt24/view?usp=drivesdk","MEVI ASTARI, S.E., M.M. SERTIFIKAT BerAKHLAK")</f>
        <v>MEVI ASTARI, S.E., M.M. SERTIFIKAT BerAKHLAK</v>
      </c>
      <c r="K6099" s="5" t="s">
        <v>39386</v>
      </c>
      <c r="L6099" s="5" t="s">
        <v>39717</v>
      </c>
    </row>
    <row r="6100">
      <c r="A6100" s="4">
        <v>45534.36600756945</v>
      </c>
      <c r="B6100" s="5" t="s">
        <v>34</v>
      </c>
      <c r="D6100" s="5" t="s">
        <v>1206</v>
      </c>
      <c r="E6100" s="5" t="s">
        <v>39721</v>
      </c>
      <c r="F6100" s="5" t="s">
        <v>37</v>
      </c>
      <c r="G6100" s="5" t="s">
        <v>39722</v>
      </c>
      <c r="H6100" s="6" t="s">
        <v>39723</v>
      </c>
      <c r="I6100" s="7" t="s">
        <v>39724</v>
      </c>
      <c r="J6100" s="8" t="str">
        <f>HYPERLINK("https://drive.google.com/file/d/1ZxI0EYETrs9VP3-6Jz6bAhX86e3H43jN/view?usp=drivesdk","HARIYANTO SERTIFIKAT BerAKHLAK")</f>
        <v>HARIYANTO SERTIFIKAT BerAKHLAK</v>
      </c>
      <c r="K6100" s="5" t="s">
        <v>39386</v>
      </c>
      <c r="L6100" s="5" t="s">
        <v>39725</v>
      </c>
    </row>
    <row r="6101">
      <c r="A6101" s="4">
        <v>45534.366010439815</v>
      </c>
      <c r="B6101" s="5" t="s">
        <v>34</v>
      </c>
      <c r="D6101" s="5" t="s">
        <v>12978</v>
      </c>
      <c r="E6101" s="5" t="s">
        <v>39728</v>
      </c>
      <c r="F6101" s="5" t="s">
        <v>108</v>
      </c>
      <c r="G6101" s="5" t="s">
        <v>39729</v>
      </c>
      <c r="H6101" s="6" t="s">
        <v>39730</v>
      </c>
      <c r="K6101" s="5" t="s">
        <v>39731</v>
      </c>
    </row>
    <row r="6102">
      <c r="A6102" s="4">
        <v>45534.36600928241</v>
      </c>
      <c r="B6102" s="5" t="s">
        <v>34</v>
      </c>
      <c r="D6102" s="5" t="s">
        <v>1206</v>
      </c>
      <c r="E6102" s="5" t="s">
        <v>39734</v>
      </c>
      <c r="F6102" s="5" t="s">
        <v>212</v>
      </c>
      <c r="G6102" s="5" t="s">
        <v>39735</v>
      </c>
      <c r="H6102" s="6" t="s">
        <v>39736</v>
      </c>
      <c r="K6102" s="5" t="s">
        <v>39731</v>
      </c>
    </row>
    <row r="6103">
      <c r="A6103" s="4">
        <v>45534.366012592596</v>
      </c>
      <c r="B6103" s="5" t="s">
        <v>34</v>
      </c>
      <c r="D6103" s="5" t="s">
        <v>6232</v>
      </c>
      <c r="E6103" s="5" t="s">
        <v>39739</v>
      </c>
      <c r="F6103" s="5" t="s">
        <v>37</v>
      </c>
      <c r="G6103" s="5" t="s">
        <v>39740</v>
      </c>
      <c r="H6103" s="6" t="s">
        <v>39741</v>
      </c>
      <c r="K6103" s="5" t="s">
        <v>39731</v>
      </c>
    </row>
    <row r="6104">
      <c r="A6104" s="4">
        <v>45534.36602209491</v>
      </c>
      <c r="B6104" s="5" t="s">
        <v>34</v>
      </c>
      <c r="D6104" s="5" t="s">
        <v>1206</v>
      </c>
      <c r="E6104" s="5" t="s">
        <v>33750</v>
      </c>
      <c r="F6104" s="5" t="s">
        <v>5859</v>
      </c>
      <c r="G6104" s="5" t="s">
        <v>39745</v>
      </c>
      <c r="H6104" s="6" t="s">
        <v>39746</v>
      </c>
      <c r="K6104" s="5" t="s">
        <v>39731</v>
      </c>
    </row>
    <row r="6105">
      <c r="A6105" s="4">
        <v>45534.366028055556</v>
      </c>
      <c r="B6105" s="5" t="s">
        <v>34</v>
      </c>
      <c r="D6105" s="5" t="s">
        <v>14313</v>
      </c>
      <c r="E6105" s="5" t="s">
        <v>39749</v>
      </c>
      <c r="F6105" s="5" t="s">
        <v>524</v>
      </c>
      <c r="G6105" s="5" t="s">
        <v>39750</v>
      </c>
      <c r="H6105" s="6" t="s">
        <v>39751</v>
      </c>
      <c r="K6105" s="5" t="s">
        <v>39731</v>
      </c>
    </row>
    <row r="6106">
      <c r="A6106" s="4">
        <v>45534.366034583334</v>
      </c>
      <c r="B6106" s="5" t="s">
        <v>34</v>
      </c>
      <c r="D6106" s="5" t="s">
        <v>35</v>
      </c>
      <c r="E6106" s="5" t="s">
        <v>39754</v>
      </c>
      <c r="F6106" s="5" t="s">
        <v>5859</v>
      </c>
      <c r="G6106" s="5" t="s">
        <v>39755</v>
      </c>
      <c r="H6106" s="6" t="s">
        <v>39756</v>
      </c>
      <c r="K6106" s="5" t="s">
        <v>39731</v>
      </c>
    </row>
    <row r="6107">
      <c r="A6107" s="4">
        <v>45534.36604620371</v>
      </c>
      <c r="B6107" s="5" t="s">
        <v>34</v>
      </c>
      <c r="D6107" s="5" t="s">
        <v>12978</v>
      </c>
      <c r="E6107" s="5" t="s">
        <v>39759</v>
      </c>
      <c r="F6107" s="5" t="s">
        <v>108</v>
      </c>
      <c r="G6107" s="5" t="s">
        <v>39760</v>
      </c>
      <c r="H6107" s="6" t="s">
        <v>39761</v>
      </c>
      <c r="K6107" s="5" t="s">
        <v>39731</v>
      </c>
    </row>
    <row r="6108">
      <c r="A6108" s="4">
        <v>45534.366072523146</v>
      </c>
      <c r="B6108" s="5" t="s">
        <v>34</v>
      </c>
      <c r="D6108" s="5" t="s">
        <v>10297</v>
      </c>
      <c r="E6108" s="5" t="s">
        <v>39765</v>
      </c>
      <c r="F6108" s="5" t="s">
        <v>375</v>
      </c>
      <c r="G6108" s="5" t="s">
        <v>39766</v>
      </c>
      <c r="H6108" s="6" t="s">
        <v>39767</v>
      </c>
      <c r="I6108" s="7" t="s">
        <v>39768</v>
      </c>
      <c r="J6108" s="8" t="str">
        <f>HYPERLINK("https://drive.google.com/file/d/1wT9fT3DZ8qaEi33ssAN75tZ-YupUzpCk/view?usp=drivesdk","DR. SYARIFAH MUSYRIFAH, S.E.,M.M. SERTIFIKAT BerAKHLAK")</f>
        <v>DR. SYARIFAH MUSYRIFAH, S.E.,M.M. SERTIFIKAT BerAKHLAK</v>
      </c>
      <c r="K6108" s="5" t="s">
        <v>39386</v>
      </c>
      <c r="L6108" s="5" t="s">
        <v>39769</v>
      </c>
    </row>
    <row r="6109">
      <c r="A6109" s="4">
        <v>45534.366105023146</v>
      </c>
      <c r="B6109" s="5" t="s">
        <v>34</v>
      </c>
      <c r="D6109" s="5" t="s">
        <v>6232</v>
      </c>
      <c r="E6109" s="5" t="s">
        <v>39772</v>
      </c>
      <c r="F6109" s="5" t="s">
        <v>37</v>
      </c>
      <c r="G6109" s="5" t="s">
        <v>39773</v>
      </c>
      <c r="H6109" s="6" t="s">
        <v>39774</v>
      </c>
      <c r="I6109" s="7" t="s">
        <v>39775</v>
      </c>
      <c r="J6109" s="8" t="str">
        <f>HYPERLINK("https://drive.google.com/file/d/1NxmxaR35W-AEh7BL5QvouBARGgUoUWRA/view?usp=drivesdk","Razidan Alwan, A.Md. Kes SERTIFIKAT BerAKHLAK")</f>
        <v>Razidan Alwan, A.Md. Kes SERTIFIKAT BerAKHLAK</v>
      </c>
      <c r="K6109" s="5" t="s">
        <v>39386</v>
      </c>
      <c r="L6109" s="5" t="s">
        <v>39776</v>
      </c>
    </row>
    <row r="6110">
      <c r="A6110" s="4">
        <v>45534.366111145835</v>
      </c>
      <c r="B6110" s="5" t="s">
        <v>34</v>
      </c>
      <c r="D6110" s="5" t="s">
        <v>1206</v>
      </c>
      <c r="E6110" s="5" t="s">
        <v>39779</v>
      </c>
      <c r="F6110" s="5" t="s">
        <v>212</v>
      </c>
      <c r="G6110" s="5" t="s">
        <v>39780</v>
      </c>
      <c r="H6110" s="6" t="s">
        <v>39781</v>
      </c>
      <c r="K6110" s="5" t="s">
        <v>39782</v>
      </c>
    </row>
    <row r="6111">
      <c r="A6111" s="4">
        <v>45534.36611741898</v>
      </c>
      <c r="B6111" s="5" t="s">
        <v>34</v>
      </c>
      <c r="D6111" s="5" t="s">
        <v>9020</v>
      </c>
      <c r="E6111" s="5" t="s">
        <v>39785</v>
      </c>
      <c r="F6111" s="5" t="s">
        <v>120</v>
      </c>
      <c r="G6111" s="5" t="s">
        <v>39786</v>
      </c>
      <c r="H6111" s="6" t="s">
        <v>39787</v>
      </c>
      <c r="K6111" s="5" t="s">
        <v>39782</v>
      </c>
    </row>
    <row r="6112">
      <c r="A6112" s="4">
        <v>45534.36612560185</v>
      </c>
      <c r="B6112" s="5" t="s">
        <v>34</v>
      </c>
      <c r="D6112" s="5" t="s">
        <v>1206</v>
      </c>
      <c r="E6112" s="5" t="s">
        <v>39790</v>
      </c>
      <c r="F6112" s="5" t="s">
        <v>37</v>
      </c>
      <c r="G6112" s="5" t="s">
        <v>39791</v>
      </c>
      <c r="H6112" s="6" t="s">
        <v>39792</v>
      </c>
      <c r="K6112" s="5" t="s">
        <v>39782</v>
      </c>
    </row>
    <row r="6113">
      <c r="A6113" s="4">
        <v>45534.36613069444</v>
      </c>
      <c r="B6113" s="5" t="s">
        <v>34</v>
      </c>
      <c r="D6113" s="5" t="s">
        <v>9020</v>
      </c>
      <c r="E6113" s="5" t="s">
        <v>39796</v>
      </c>
      <c r="F6113" s="5" t="s">
        <v>212</v>
      </c>
      <c r="G6113" s="5" t="s">
        <v>39797</v>
      </c>
      <c r="H6113" s="6" t="s">
        <v>39798</v>
      </c>
      <c r="K6113" s="5" t="s">
        <v>39782</v>
      </c>
    </row>
    <row r="6114">
      <c r="A6114" s="4">
        <v>45534.36617627315</v>
      </c>
      <c r="B6114" s="5" t="s">
        <v>34</v>
      </c>
      <c r="D6114" s="5" t="s">
        <v>1206</v>
      </c>
      <c r="E6114" s="5" t="s">
        <v>39801</v>
      </c>
      <c r="F6114" s="5" t="s">
        <v>37</v>
      </c>
      <c r="G6114" s="5" t="s">
        <v>39802</v>
      </c>
      <c r="H6114" s="6" t="s">
        <v>39803</v>
      </c>
      <c r="K6114" s="5" t="s">
        <v>39782</v>
      </c>
    </row>
    <row r="6115">
      <c r="A6115" s="4">
        <v>45534.36617883102</v>
      </c>
      <c r="B6115" s="5" t="s">
        <v>34</v>
      </c>
      <c r="D6115" s="5" t="s">
        <v>1558</v>
      </c>
      <c r="E6115" s="5" t="s">
        <v>39806</v>
      </c>
      <c r="F6115" s="5" t="s">
        <v>375</v>
      </c>
      <c r="G6115" s="5" t="s">
        <v>39807</v>
      </c>
      <c r="H6115" s="6" t="s">
        <v>39808</v>
      </c>
      <c r="K6115" s="5" t="s">
        <v>39782</v>
      </c>
    </row>
    <row r="6116">
      <c r="A6116" s="4">
        <v>45534.36620052083</v>
      </c>
      <c r="B6116" s="5" t="s">
        <v>34</v>
      </c>
      <c r="D6116" s="5" t="s">
        <v>1206</v>
      </c>
      <c r="E6116" s="5" t="s">
        <v>39811</v>
      </c>
      <c r="F6116" s="5" t="s">
        <v>212</v>
      </c>
      <c r="G6116" s="5" t="s">
        <v>39812</v>
      </c>
      <c r="H6116" s="6" t="s">
        <v>39813</v>
      </c>
      <c r="K6116" s="5" t="s">
        <v>39782</v>
      </c>
    </row>
    <row r="6117">
      <c r="A6117" s="4">
        <v>45534.36620931713</v>
      </c>
      <c r="B6117" s="5" t="s">
        <v>34</v>
      </c>
      <c r="D6117" s="5" t="s">
        <v>1206</v>
      </c>
      <c r="E6117" s="5" t="s">
        <v>39816</v>
      </c>
      <c r="F6117" s="5" t="s">
        <v>524</v>
      </c>
      <c r="G6117" s="5" t="s">
        <v>39817</v>
      </c>
      <c r="H6117" s="6" t="s">
        <v>39818</v>
      </c>
      <c r="I6117" s="7" t="s">
        <v>39819</v>
      </c>
      <c r="J6117" s="8" t="str">
        <f>HYPERLINK("https://drive.google.com/file/d/1uxe61wwUjitvBL6yOA1lPEymOLZdZ8rM/view?usp=drivesdk","MUKHOFI YUSUF, S.M SERTIFIKAT BerAKHLAK")</f>
        <v>MUKHOFI YUSUF, S.M SERTIFIKAT BerAKHLAK</v>
      </c>
      <c r="K6117" s="5" t="s">
        <v>39386</v>
      </c>
      <c r="L6117" s="5" t="s">
        <v>39820</v>
      </c>
    </row>
    <row r="6118">
      <c r="A6118" s="4">
        <v>45534.36622001157</v>
      </c>
      <c r="B6118" s="5" t="s">
        <v>34</v>
      </c>
      <c r="D6118" s="5" t="s">
        <v>1206</v>
      </c>
      <c r="E6118" s="5" t="s">
        <v>39824</v>
      </c>
      <c r="F6118" s="5" t="s">
        <v>72</v>
      </c>
      <c r="G6118" s="5" t="s">
        <v>39825</v>
      </c>
      <c r="H6118" s="6" t="s">
        <v>39826</v>
      </c>
      <c r="K6118" s="5" t="s">
        <v>39827</v>
      </c>
    </row>
    <row r="6119">
      <c r="A6119" s="4">
        <v>45534.36622457176</v>
      </c>
      <c r="B6119" s="5" t="s">
        <v>34</v>
      </c>
      <c r="D6119" s="5" t="s">
        <v>4775</v>
      </c>
      <c r="E6119" s="5" t="s">
        <v>39830</v>
      </c>
      <c r="F6119" s="5" t="s">
        <v>212</v>
      </c>
      <c r="G6119" s="5" t="s">
        <v>39831</v>
      </c>
      <c r="H6119" s="6" t="s">
        <v>39832</v>
      </c>
      <c r="K6119" s="5" t="s">
        <v>39827</v>
      </c>
    </row>
    <row r="6120">
      <c r="A6120" s="4">
        <v>45534.366235775466</v>
      </c>
      <c r="B6120" s="5" t="s">
        <v>34</v>
      </c>
      <c r="D6120" s="5" t="s">
        <v>35</v>
      </c>
      <c r="E6120" s="5" t="s">
        <v>39835</v>
      </c>
      <c r="F6120" s="5" t="s">
        <v>72</v>
      </c>
      <c r="G6120" s="5" t="s">
        <v>39836</v>
      </c>
      <c r="H6120" s="6" t="s">
        <v>39837</v>
      </c>
      <c r="K6120" s="5" t="s">
        <v>39827</v>
      </c>
    </row>
    <row r="6121">
      <c r="A6121" s="4">
        <v>45534.36623774306</v>
      </c>
      <c r="B6121" s="5" t="s">
        <v>34</v>
      </c>
      <c r="D6121" s="5" t="s">
        <v>4775</v>
      </c>
      <c r="E6121" s="5" t="s">
        <v>39840</v>
      </c>
      <c r="F6121" s="5" t="s">
        <v>375</v>
      </c>
      <c r="G6121" s="5" t="s">
        <v>39841</v>
      </c>
      <c r="H6121" s="6" t="s">
        <v>39842</v>
      </c>
      <c r="K6121" s="5" t="s">
        <v>39827</v>
      </c>
    </row>
    <row r="6122">
      <c r="A6122" s="4">
        <v>45534.366237766204</v>
      </c>
      <c r="B6122" s="5" t="s">
        <v>34</v>
      </c>
      <c r="D6122" s="5" t="s">
        <v>1206</v>
      </c>
      <c r="E6122" s="5" t="s">
        <v>39845</v>
      </c>
      <c r="F6122" s="5" t="s">
        <v>37</v>
      </c>
      <c r="G6122" s="5" t="s">
        <v>39846</v>
      </c>
      <c r="H6122" s="6" t="s">
        <v>39847</v>
      </c>
      <c r="I6122" s="7" t="s">
        <v>39848</v>
      </c>
      <c r="J6122" s="8" t="str">
        <f>HYPERLINK("https://drive.google.com/file/d/12-Tnm6d5XeriW2wWme0KMPPyw5UpVtNB/view?usp=drivesdk","AGUS NURCAHYONO SERTIFIKAT BerAKHLAK")</f>
        <v>AGUS NURCAHYONO SERTIFIKAT BerAKHLAK</v>
      </c>
      <c r="K6122" s="5" t="s">
        <v>39386</v>
      </c>
      <c r="L6122" s="5" t="s">
        <v>39849</v>
      </c>
    </row>
    <row r="6123">
      <c r="A6123" s="4">
        <v>45534.36624556713</v>
      </c>
      <c r="B6123" s="5" t="s">
        <v>34</v>
      </c>
      <c r="D6123" s="5" t="s">
        <v>9020</v>
      </c>
      <c r="E6123" s="5" t="s">
        <v>39853</v>
      </c>
      <c r="F6123" s="5" t="s">
        <v>72</v>
      </c>
      <c r="G6123" s="5" t="s">
        <v>39854</v>
      </c>
      <c r="H6123" s="6" t="s">
        <v>39855</v>
      </c>
      <c r="K6123" s="5" t="s">
        <v>39856</v>
      </c>
    </row>
    <row r="6124">
      <c r="A6124" s="4">
        <v>45534.36625715278</v>
      </c>
      <c r="B6124" s="5" t="s">
        <v>34</v>
      </c>
      <c r="D6124" s="5" t="s">
        <v>1206</v>
      </c>
      <c r="E6124" s="5" t="s">
        <v>39859</v>
      </c>
      <c r="F6124" s="5" t="s">
        <v>199</v>
      </c>
      <c r="G6124" s="5" t="s">
        <v>39860</v>
      </c>
      <c r="H6124" s="6" t="s">
        <v>39861</v>
      </c>
      <c r="K6124" s="5" t="s">
        <v>39856</v>
      </c>
    </row>
    <row r="6125">
      <c r="A6125" s="4">
        <v>45534.36625759259</v>
      </c>
      <c r="B6125" s="5" t="s">
        <v>34</v>
      </c>
      <c r="D6125" s="5" t="s">
        <v>4775</v>
      </c>
      <c r="E6125" s="5" t="s">
        <v>39864</v>
      </c>
      <c r="F6125" s="5" t="s">
        <v>199</v>
      </c>
      <c r="G6125" s="5" t="s">
        <v>39865</v>
      </c>
      <c r="H6125" s="6" t="s">
        <v>39866</v>
      </c>
      <c r="K6125" s="5" t="s">
        <v>39867</v>
      </c>
    </row>
    <row r="6126">
      <c r="A6126" s="4">
        <v>45534.366274722226</v>
      </c>
      <c r="B6126" s="5" t="s">
        <v>34</v>
      </c>
      <c r="D6126" s="5" t="s">
        <v>14313</v>
      </c>
      <c r="E6126" s="5" t="s">
        <v>39870</v>
      </c>
      <c r="F6126" s="5" t="s">
        <v>72</v>
      </c>
      <c r="G6126" s="5" t="s">
        <v>39871</v>
      </c>
      <c r="H6126" s="6" t="s">
        <v>39872</v>
      </c>
      <c r="K6126" s="5" t="s">
        <v>39867</v>
      </c>
    </row>
    <row r="6127">
      <c r="A6127" s="4">
        <v>45534.366276388886</v>
      </c>
      <c r="B6127" s="5" t="s">
        <v>34</v>
      </c>
      <c r="D6127" s="5" t="s">
        <v>4775</v>
      </c>
      <c r="E6127" s="5" t="s">
        <v>39876</v>
      </c>
      <c r="F6127" s="5" t="s">
        <v>72</v>
      </c>
      <c r="G6127" s="5" t="s">
        <v>39877</v>
      </c>
      <c r="H6127" s="6" t="s">
        <v>39878</v>
      </c>
      <c r="K6127" s="5" t="s">
        <v>39867</v>
      </c>
    </row>
    <row r="6128">
      <c r="A6128" s="4">
        <v>45534.36628920139</v>
      </c>
      <c r="B6128" s="5" t="s">
        <v>34</v>
      </c>
      <c r="D6128" s="5" t="s">
        <v>522</v>
      </c>
      <c r="E6128" s="5" t="s">
        <v>39881</v>
      </c>
      <c r="F6128" s="5" t="s">
        <v>212</v>
      </c>
      <c r="G6128" s="5" t="s">
        <v>39882</v>
      </c>
      <c r="H6128" s="6" t="s">
        <v>39883</v>
      </c>
      <c r="K6128" s="5" t="s">
        <v>39884</v>
      </c>
    </row>
    <row r="6129">
      <c r="A6129" s="4">
        <v>45534.36629550926</v>
      </c>
      <c r="B6129" s="5" t="s">
        <v>19</v>
      </c>
      <c r="C6129" s="5" t="s">
        <v>5564</v>
      </c>
      <c r="E6129" s="5" t="s">
        <v>39887</v>
      </c>
      <c r="F6129" s="5" t="s">
        <v>72</v>
      </c>
      <c r="G6129" s="5" t="s">
        <v>39888</v>
      </c>
      <c r="H6129" s="6" t="s">
        <v>39889</v>
      </c>
      <c r="K6129" s="5" t="s">
        <v>39884</v>
      </c>
    </row>
    <row r="6130">
      <c r="A6130" s="4">
        <v>45534.366299490735</v>
      </c>
      <c r="B6130" s="5" t="s">
        <v>34</v>
      </c>
      <c r="D6130" s="5" t="s">
        <v>9020</v>
      </c>
      <c r="E6130" s="5" t="s">
        <v>39892</v>
      </c>
      <c r="F6130" s="5" t="s">
        <v>524</v>
      </c>
      <c r="G6130" s="5" t="s">
        <v>39893</v>
      </c>
      <c r="H6130" s="6" t="s">
        <v>39894</v>
      </c>
      <c r="K6130" s="5" t="s">
        <v>39884</v>
      </c>
    </row>
    <row r="6131">
      <c r="A6131" s="4">
        <v>45534.36630436343</v>
      </c>
      <c r="B6131" s="5" t="s">
        <v>34</v>
      </c>
      <c r="D6131" s="5" t="s">
        <v>1206</v>
      </c>
      <c r="E6131" s="5" t="s">
        <v>39898</v>
      </c>
      <c r="F6131" s="5" t="s">
        <v>212</v>
      </c>
      <c r="G6131" s="5" t="s">
        <v>39899</v>
      </c>
      <c r="H6131" s="6" t="s">
        <v>39900</v>
      </c>
      <c r="K6131" s="5" t="s">
        <v>39884</v>
      </c>
    </row>
    <row r="6132">
      <c r="A6132" s="4">
        <v>45534.366310613426</v>
      </c>
      <c r="B6132" s="5" t="s">
        <v>34</v>
      </c>
      <c r="D6132" s="5" t="s">
        <v>9394</v>
      </c>
      <c r="E6132" s="5" t="s">
        <v>39903</v>
      </c>
      <c r="F6132" s="5" t="s">
        <v>108</v>
      </c>
      <c r="G6132" s="5" t="s">
        <v>39904</v>
      </c>
      <c r="H6132" s="6" t="s">
        <v>39905</v>
      </c>
      <c r="K6132" s="5" t="s">
        <v>39884</v>
      </c>
    </row>
    <row r="6133">
      <c r="A6133" s="4">
        <v>45534.36631293982</v>
      </c>
      <c r="B6133" s="5" t="s">
        <v>34</v>
      </c>
      <c r="D6133" s="5" t="s">
        <v>35</v>
      </c>
      <c r="E6133" s="5" t="s">
        <v>39908</v>
      </c>
      <c r="F6133" s="5" t="s">
        <v>524</v>
      </c>
      <c r="G6133" s="5" t="s">
        <v>39909</v>
      </c>
      <c r="H6133" s="6" t="s">
        <v>39910</v>
      </c>
      <c r="K6133" s="5" t="s">
        <v>39884</v>
      </c>
    </row>
    <row r="6134">
      <c r="A6134" s="4">
        <v>45534.366319374996</v>
      </c>
      <c r="B6134" s="5" t="s">
        <v>34</v>
      </c>
      <c r="D6134" s="5" t="s">
        <v>522</v>
      </c>
      <c r="E6134" s="5" t="s">
        <v>39913</v>
      </c>
      <c r="F6134" s="5" t="s">
        <v>212</v>
      </c>
      <c r="G6134" s="5" t="s">
        <v>39914</v>
      </c>
      <c r="H6134" s="6" t="s">
        <v>39915</v>
      </c>
      <c r="K6134" s="5" t="s">
        <v>39916</v>
      </c>
    </row>
    <row r="6135">
      <c r="A6135" s="4">
        <v>45534.36634141204</v>
      </c>
      <c r="B6135" s="5" t="s">
        <v>34</v>
      </c>
      <c r="D6135" s="5" t="s">
        <v>1206</v>
      </c>
      <c r="E6135" s="5" t="s">
        <v>39919</v>
      </c>
      <c r="F6135" s="5" t="s">
        <v>37</v>
      </c>
      <c r="G6135" s="5" t="s">
        <v>39920</v>
      </c>
      <c r="H6135" s="6" t="s">
        <v>39921</v>
      </c>
      <c r="K6135" s="5" t="s">
        <v>39916</v>
      </c>
    </row>
    <row r="6136">
      <c r="A6136" s="4">
        <v>45534.366359444444</v>
      </c>
      <c r="B6136" s="5" t="s">
        <v>34</v>
      </c>
      <c r="D6136" s="5" t="s">
        <v>1206</v>
      </c>
      <c r="E6136" s="5" t="s">
        <v>39925</v>
      </c>
      <c r="F6136" s="5" t="s">
        <v>37</v>
      </c>
      <c r="G6136" s="5" t="s">
        <v>39926</v>
      </c>
      <c r="H6136" s="6" t="s">
        <v>39927</v>
      </c>
      <c r="K6136" s="5" t="s">
        <v>39916</v>
      </c>
    </row>
    <row r="6137">
      <c r="A6137" s="4">
        <v>45534.36636342593</v>
      </c>
      <c r="B6137" s="5" t="s">
        <v>34</v>
      </c>
      <c r="D6137" s="5" t="s">
        <v>267</v>
      </c>
      <c r="E6137" s="5" t="s">
        <v>39930</v>
      </c>
      <c r="F6137" s="5" t="s">
        <v>108</v>
      </c>
      <c r="G6137" s="5" t="s">
        <v>39931</v>
      </c>
      <c r="H6137" s="6" t="s">
        <v>39932</v>
      </c>
      <c r="K6137" s="5" t="s">
        <v>39916</v>
      </c>
    </row>
    <row r="6138">
      <c r="A6138" s="4">
        <v>45534.366410347226</v>
      </c>
      <c r="B6138" s="5" t="s">
        <v>34</v>
      </c>
      <c r="D6138" s="5" t="s">
        <v>35</v>
      </c>
      <c r="E6138" s="5" t="s">
        <v>39935</v>
      </c>
      <c r="F6138" s="5" t="s">
        <v>212</v>
      </c>
      <c r="G6138" s="5" t="s">
        <v>39936</v>
      </c>
      <c r="H6138" s="6" t="s">
        <v>39937</v>
      </c>
      <c r="I6138" s="7" t="s">
        <v>39938</v>
      </c>
      <c r="J6138" s="8" t="str">
        <f>HYPERLINK("https://drive.google.com/file/d/1u1Ll6qUYZ12OlYjD7MzzEq-EmNkul15C/view?usp=drivesdk","MURTONO SERTIFIKAT BerAKHLAK")</f>
        <v>MURTONO SERTIFIKAT BerAKHLAK</v>
      </c>
      <c r="K6138" s="5" t="s">
        <v>39386</v>
      </c>
      <c r="L6138" s="5" t="s">
        <v>39939</v>
      </c>
    </row>
    <row r="6139">
      <c r="A6139" s="4">
        <v>45534.366413634256</v>
      </c>
      <c r="B6139" s="5" t="s">
        <v>34</v>
      </c>
      <c r="D6139" s="5" t="s">
        <v>9020</v>
      </c>
      <c r="E6139" s="5" t="s">
        <v>39942</v>
      </c>
      <c r="F6139" s="5" t="s">
        <v>108</v>
      </c>
      <c r="G6139" s="5" t="s">
        <v>39943</v>
      </c>
      <c r="H6139" s="6" t="s">
        <v>39944</v>
      </c>
      <c r="I6139" s="7" t="s">
        <v>39945</v>
      </c>
      <c r="J6139" s="8" t="str">
        <f>HYPERLINK("https://drive.google.com/file/d/1O3Aon-JO2K_aGrwy8x2wOIBFuAuSmcDp/view?usp=drivesdk","RIDA YANI SERTIFIKAT BerAKHLAK")</f>
        <v>RIDA YANI SERTIFIKAT BerAKHLAK</v>
      </c>
      <c r="K6139" s="5" t="s">
        <v>39946</v>
      </c>
      <c r="L6139" s="5" t="s">
        <v>39947</v>
      </c>
    </row>
    <row r="6140">
      <c r="A6140" s="4">
        <v>45534.36642346065</v>
      </c>
      <c r="B6140" s="5" t="s">
        <v>34</v>
      </c>
      <c r="D6140" s="5" t="s">
        <v>1206</v>
      </c>
      <c r="E6140" s="5" t="s">
        <v>39950</v>
      </c>
      <c r="F6140" s="5" t="s">
        <v>37</v>
      </c>
      <c r="G6140" s="5" t="s">
        <v>39951</v>
      </c>
      <c r="H6140" s="6" t="s">
        <v>39952</v>
      </c>
      <c r="I6140" s="7" t="s">
        <v>39953</v>
      </c>
      <c r="J6140" s="8" t="str">
        <f>HYPERLINK("https://drive.google.com/file/d/1lvW22-OjrdUlFLUN7F4FSk_OxqbAc3vi/view?usp=drivesdk","SUHARTITIS SERTIFIKAT BerAKHLAK")</f>
        <v>SUHARTITIS SERTIFIKAT BerAKHLAK</v>
      </c>
      <c r="K6140" s="5" t="s">
        <v>39946</v>
      </c>
      <c r="L6140" s="5" t="s">
        <v>39954</v>
      </c>
    </row>
    <row r="6141">
      <c r="A6141" s="4">
        <v>45534.366446053245</v>
      </c>
      <c r="B6141" s="5" t="s">
        <v>34</v>
      </c>
      <c r="D6141" s="5" t="s">
        <v>1206</v>
      </c>
      <c r="E6141" s="5" t="s">
        <v>39958</v>
      </c>
      <c r="F6141" s="5" t="s">
        <v>37</v>
      </c>
      <c r="G6141" s="5" t="s">
        <v>39959</v>
      </c>
      <c r="H6141" s="6" t="s">
        <v>39960</v>
      </c>
      <c r="I6141" s="7" t="s">
        <v>39961</v>
      </c>
      <c r="J6141" s="8" t="str">
        <f>HYPERLINK("https://drive.google.com/file/d/1VCdDtkCO87CKX_XX5kKiBmmDZdHQyLhH/view?usp=drivesdk","AGUS FAJAR RAHMAT  SERTIFIKAT BerAKHLAK")</f>
        <v>AGUS FAJAR RAHMAT  SERTIFIKAT BerAKHLAK</v>
      </c>
      <c r="K6141" s="5" t="s">
        <v>39386</v>
      </c>
      <c r="L6141" s="5" t="s">
        <v>39962</v>
      </c>
    </row>
    <row r="6142">
      <c r="A6142" s="4">
        <v>45534.36646456018</v>
      </c>
      <c r="B6142" s="5" t="s">
        <v>19</v>
      </c>
      <c r="C6142" s="5" t="s">
        <v>292</v>
      </c>
      <c r="E6142" s="5" t="s">
        <v>39965</v>
      </c>
      <c r="F6142" s="5" t="s">
        <v>120</v>
      </c>
      <c r="G6142" s="5" t="s">
        <v>39966</v>
      </c>
      <c r="H6142" s="6" t="s">
        <v>39967</v>
      </c>
      <c r="I6142" s="7" t="s">
        <v>39968</v>
      </c>
      <c r="J6142" s="8" t="str">
        <f>HYPERLINK("https://drive.google.com/file/d/10GLJB53WySVHnpiGP07g0Ee2g7tcCDqS/view?usp=drivesdk","ATIA, SE SERTIFIKAT BerAKHLAK")</f>
        <v>ATIA, SE SERTIFIKAT BerAKHLAK</v>
      </c>
      <c r="K6142" s="5" t="s">
        <v>39946</v>
      </c>
      <c r="L6142" s="5" t="s">
        <v>39969</v>
      </c>
    </row>
    <row r="6143">
      <c r="A6143" s="4">
        <v>45534.36647005787</v>
      </c>
      <c r="B6143" s="5" t="s">
        <v>34</v>
      </c>
      <c r="D6143" s="5" t="s">
        <v>12978</v>
      </c>
      <c r="E6143" s="5" t="s">
        <v>39972</v>
      </c>
      <c r="F6143" s="5" t="s">
        <v>212</v>
      </c>
      <c r="G6143" s="5" t="s">
        <v>39973</v>
      </c>
      <c r="H6143" s="6" t="s">
        <v>39974</v>
      </c>
      <c r="I6143" s="7" t="s">
        <v>39975</v>
      </c>
      <c r="J6143" s="8" t="str">
        <f>HYPERLINK("https://drive.google.com/file/d/1jMyntn8uSvlbZRCidvDtG5_tj4NlIFob/view?usp=drivesdk","RUBIYAH SERTIFIKAT BerAKHLAK")</f>
        <v>RUBIYAH SERTIFIKAT BerAKHLAK</v>
      </c>
      <c r="K6143" s="5" t="s">
        <v>39946</v>
      </c>
      <c r="L6143" s="5" t="s">
        <v>39976</v>
      </c>
    </row>
    <row r="6144">
      <c r="A6144" s="4">
        <v>45534.3664827662</v>
      </c>
      <c r="B6144" s="5" t="s">
        <v>34</v>
      </c>
      <c r="D6144" s="5" t="s">
        <v>4775</v>
      </c>
      <c r="E6144" s="5" t="s">
        <v>39979</v>
      </c>
      <c r="F6144" s="5" t="s">
        <v>108</v>
      </c>
      <c r="G6144" s="5" t="s">
        <v>39980</v>
      </c>
      <c r="H6144" s="6" t="s">
        <v>39981</v>
      </c>
      <c r="K6144" s="5" t="s">
        <v>39982</v>
      </c>
    </row>
    <row r="6145">
      <c r="A6145" s="4">
        <v>45534.366486643514</v>
      </c>
      <c r="B6145" s="5" t="s">
        <v>34</v>
      </c>
      <c r="D6145" s="5" t="s">
        <v>10444</v>
      </c>
      <c r="E6145" s="5" t="s">
        <v>39985</v>
      </c>
      <c r="F6145" s="5" t="s">
        <v>37</v>
      </c>
      <c r="G6145" s="5" t="s">
        <v>39986</v>
      </c>
      <c r="H6145" s="6" t="s">
        <v>39987</v>
      </c>
      <c r="K6145" s="5" t="s">
        <v>39982</v>
      </c>
    </row>
    <row r="6146">
      <c r="A6146" s="4">
        <v>45534.366492789355</v>
      </c>
      <c r="B6146" s="5" t="s">
        <v>34</v>
      </c>
      <c r="D6146" s="5" t="s">
        <v>12978</v>
      </c>
      <c r="E6146" s="5" t="s">
        <v>39991</v>
      </c>
      <c r="F6146" s="5" t="s">
        <v>212</v>
      </c>
      <c r="G6146" s="5" t="s">
        <v>39992</v>
      </c>
      <c r="H6146" s="6" t="s">
        <v>39993</v>
      </c>
      <c r="I6146" s="7" t="s">
        <v>39994</v>
      </c>
      <c r="J6146" s="8" t="str">
        <f>HYPERLINK("https://drive.google.com/file/d/1rB1RNrNu8XRQOGWs0oQXwK7Ai8dM6Xgr/view?usp=drivesdk","WINARNI SERTIFIKAT BerAKHLAK")</f>
        <v>WINARNI SERTIFIKAT BerAKHLAK</v>
      </c>
      <c r="K6146" s="5" t="s">
        <v>39946</v>
      </c>
      <c r="L6146" s="5" t="s">
        <v>39995</v>
      </c>
    </row>
    <row r="6147">
      <c r="A6147" s="4">
        <v>45534.3664984375</v>
      </c>
      <c r="B6147" s="5" t="s">
        <v>34</v>
      </c>
      <c r="D6147" s="5" t="s">
        <v>4775</v>
      </c>
      <c r="E6147" s="5" t="s">
        <v>39998</v>
      </c>
      <c r="F6147" s="5" t="s">
        <v>375</v>
      </c>
      <c r="G6147" s="5" t="s">
        <v>39999</v>
      </c>
      <c r="H6147" s="6" t="s">
        <v>40000</v>
      </c>
      <c r="K6147" s="5" t="s">
        <v>40001</v>
      </c>
    </row>
    <row r="6148">
      <c r="A6148" s="4">
        <v>45534.36652645833</v>
      </c>
      <c r="B6148" s="5" t="s">
        <v>34</v>
      </c>
      <c r="D6148" s="5" t="s">
        <v>1206</v>
      </c>
      <c r="E6148" s="5" t="s">
        <v>40004</v>
      </c>
      <c r="F6148" s="5" t="s">
        <v>37</v>
      </c>
      <c r="G6148" s="5" t="s">
        <v>40005</v>
      </c>
      <c r="H6148" s="6" t="s">
        <v>40006</v>
      </c>
      <c r="I6148" s="7" t="s">
        <v>40007</v>
      </c>
      <c r="J6148" s="8" t="str">
        <f>HYPERLINK("https://drive.google.com/file/d/1Cb4GipSTsttXr_bBPmIRX9fc8igwF3E9/view?usp=drivesdk","MUDJI KARTONO  SERTIFIKAT BerAKHLAK")</f>
        <v>MUDJI KARTONO  SERTIFIKAT BerAKHLAK</v>
      </c>
      <c r="K6148" s="5" t="s">
        <v>40008</v>
      </c>
      <c r="L6148" s="5" t="s">
        <v>40009</v>
      </c>
    </row>
    <row r="6149">
      <c r="A6149" s="4">
        <v>45534.36659006945</v>
      </c>
      <c r="B6149" s="5" t="s">
        <v>34</v>
      </c>
      <c r="D6149" s="5" t="s">
        <v>1558</v>
      </c>
      <c r="E6149" s="5" t="s">
        <v>40012</v>
      </c>
      <c r="F6149" s="5" t="s">
        <v>212</v>
      </c>
      <c r="G6149" s="5" t="s">
        <v>40013</v>
      </c>
      <c r="H6149" s="6" t="s">
        <v>40014</v>
      </c>
      <c r="I6149" s="7" t="s">
        <v>40015</v>
      </c>
      <c r="J6149" s="8" t="str">
        <f>HYPERLINK("https://drive.google.com/file/d/1MRDPgqj6hSjCL2Kf0GoTVhTERu34D_HY/view?usp=drivesdk","DESSY NATALIA, SE SERTIFIKAT BerAKHLAK")</f>
        <v>DESSY NATALIA, SE SERTIFIKAT BerAKHLAK</v>
      </c>
      <c r="K6149" s="5" t="s">
        <v>39946</v>
      </c>
      <c r="L6149" s="5" t="s">
        <v>40016</v>
      </c>
    </row>
    <row r="6150">
      <c r="A6150" s="4">
        <v>45534.36660231481</v>
      </c>
      <c r="B6150" s="5" t="s">
        <v>34</v>
      </c>
      <c r="D6150" s="5" t="s">
        <v>1692</v>
      </c>
      <c r="E6150" s="5" t="s">
        <v>40020</v>
      </c>
      <c r="F6150" s="5" t="s">
        <v>72</v>
      </c>
      <c r="G6150" s="5" t="s">
        <v>40021</v>
      </c>
      <c r="H6150" s="6" t="s">
        <v>40022</v>
      </c>
      <c r="I6150" s="7" t="s">
        <v>40023</v>
      </c>
      <c r="J6150" s="8" t="str">
        <f>HYPERLINK("https://drive.google.com/file/d/1PT-Ep83DUVMcHwgT2_owA88Uz1mT4FUy/view?usp=drivesdk","FITRIANI, S.H SERTIFIKAT BerAKHLAK")</f>
        <v>FITRIANI, S.H SERTIFIKAT BerAKHLAK</v>
      </c>
      <c r="K6150" s="5" t="s">
        <v>39946</v>
      </c>
      <c r="L6150" s="5" t="s">
        <v>40024</v>
      </c>
    </row>
    <row r="6151">
      <c r="A6151" s="4">
        <v>45534.366605324074</v>
      </c>
      <c r="B6151" s="5" t="s">
        <v>34</v>
      </c>
      <c r="D6151" s="5" t="s">
        <v>9394</v>
      </c>
      <c r="E6151" s="5" t="s">
        <v>40027</v>
      </c>
      <c r="F6151" s="5" t="s">
        <v>375</v>
      </c>
      <c r="G6151" s="5" t="s">
        <v>40028</v>
      </c>
      <c r="H6151" s="6" t="s">
        <v>40029</v>
      </c>
      <c r="I6151" s="7" t="s">
        <v>40030</v>
      </c>
      <c r="J6151" s="8" t="str">
        <f>HYPERLINK("https://drive.google.com/file/d/1gRTA6Pkxh82W3cAi8kpxjcnDjrnGeW56/view?usp=drivesdk","MASNONA SERTIFIKAT BerAKHLAK")</f>
        <v>MASNONA SERTIFIKAT BerAKHLAK</v>
      </c>
      <c r="K6151" s="5" t="s">
        <v>39946</v>
      </c>
      <c r="L6151" s="5" t="s">
        <v>40031</v>
      </c>
    </row>
    <row r="6152">
      <c r="A6152" s="4">
        <v>45534.36660533564</v>
      </c>
      <c r="B6152" s="5" t="s">
        <v>34</v>
      </c>
      <c r="D6152" s="5" t="s">
        <v>3432</v>
      </c>
      <c r="E6152" s="5" t="s">
        <v>40034</v>
      </c>
      <c r="F6152" s="5" t="s">
        <v>108</v>
      </c>
      <c r="G6152" s="5" t="s">
        <v>40035</v>
      </c>
      <c r="H6152" s="6" t="s">
        <v>40036</v>
      </c>
      <c r="K6152" s="5" t="s">
        <v>40037</v>
      </c>
    </row>
    <row r="6153">
      <c r="A6153" s="4">
        <v>45534.366612962964</v>
      </c>
      <c r="B6153" s="5" t="s">
        <v>34</v>
      </c>
      <c r="D6153" s="5" t="s">
        <v>1206</v>
      </c>
      <c r="E6153" s="5" t="s">
        <v>40040</v>
      </c>
      <c r="F6153" s="5" t="s">
        <v>212</v>
      </c>
      <c r="G6153" s="5" t="s">
        <v>40041</v>
      </c>
      <c r="H6153" s="6" t="s">
        <v>40042</v>
      </c>
      <c r="K6153" s="5" t="s">
        <v>40037</v>
      </c>
    </row>
    <row r="6154">
      <c r="A6154" s="4">
        <v>45534.36662707176</v>
      </c>
      <c r="B6154" s="5" t="s">
        <v>34</v>
      </c>
      <c r="D6154" s="5" t="s">
        <v>6232</v>
      </c>
      <c r="E6154" s="5" t="s">
        <v>40046</v>
      </c>
      <c r="F6154" s="5" t="s">
        <v>375</v>
      </c>
      <c r="G6154" s="5" t="s">
        <v>40047</v>
      </c>
      <c r="H6154" s="6" t="s">
        <v>40048</v>
      </c>
      <c r="K6154" s="5" t="s">
        <v>40037</v>
      </c>
    </row>
    <row r="6155">
      <c r="A6155" s="4">
        <v>45534.366666851856</v>
      </c>
      <c r="B6155" s="5" t="s">
        <v>34</v>
      </c>
      <c r="D6155" s="5" t="s">
        <v>10297</v>
      </c>
      <c r="E6155" s="5" t="s">
        <v>40051</v>
      </c>
      <c r="F6155" s="5" t="s">
        <v>524</v>
      </c>
      <c r="G6155" s="5" t="s">
        <v>40052</v>
      </c>
      <c r="H6155" s="6" t="s">
        <v>40053</v>
      </c>
      <c r="I6155" s="7" t="s">
        <v>40054</v>
      </c>
      <c r="J6155" s="8" t="str">
        <f>HYPERLINK("https://drive.google.com/file/d/1BQc6dcoLnNhaaZXp510ga18VgRY3Dspz/view?usp=drivesdk","NOVI DERMA SYAWAL, S.E. SERTIFIKAT BerAKHLAK")</f>
        <v>NOVI DERMA SYAWAL, S.E. SERTIFIKAT BerAKHLAK</v>
      </c>
      <c r="K6155" s="5" t="s">
        <v>39946</v>
      </c>
      <c r="L6155" s="5" t="s">
        <v>40055</v>
      </c>
    </row>
    <row r="6156">
      <c r="A6156" s="4">
        <v>45534.36668349537</v>
      </c>
      <c r="B6156" s="5" t="s">
        <v>34</v>
      </c>
      <c r="D6156" s="5" t="s">
        <v>1206</v>
      </c>
      <c r="E6156" s="5" t="s">
        <v>40058</v>
      </c>
      <c r="F6156" s="5" t="s">
        <v>37</v>
      </c>
      <c r="G6156" s="5" t="s">
        <v>40059</v>
      </c>
      <c r="H6156" s="6" t="s">
        <v>40060</v>
      </c>
      <c r="I6156" s="7" t="s">
        <v>40061</v>
      </c>
      <c r="J6156" s="8" t="str">
        <f>HYPERLINK("https://drive.google.com/file/d/1DVWLm9ciWCXIG6LR7ho1_dFkEsRzeygu/view?usp=drivesdk","SISWANTO., SE SERTIFIKAT BerAKHLAK")</f>
        <v>SISWANTO., SE SERTIFIKAT BerAKHLAK</v>
      </c>
      <c r="K6156" s="5" t="s">
        <v>39946</v>
      </c>
      <c r="L6156" s="5" t="s">
        <v>40062</v>
      </c>
    </row>
    <row r="6157">
      <c r="A6157" s="4">
        <v>45534.366697314814</v>
      </c>
      <c r="B6157" s="5" t="s">
        <v>34</v>
      </c>
      <c r="D6157" s="5" t="s">
        <v>9394</v>
      </c>
      <c r="E6157" s="5" t="s">
        <v>40066</v>
      </c>
      <c r="F6157" s="5" t="s">
        <v>72</v>
      </c>
      <c r="G6157" s="5" t="s">
        <v>40067</v>
      </c>
      <c r="H6157" s="6" t="s">
        <v>40068</v>
      </c>
      <c r="I6157" s="7" t="s">
        <v>40069</v>
      </c>
      <c r="J6157" s="8" t="str">
        <f>HYPERLINK("https://drive.google.com/file/d/1fM2N8-ehh3F3480xvvbDYQYoXfX-EpL7/view?usp=drivesdk","dr MAGDALENA HARAHAP  SERTIFIKAT BerAKHLAK")</f>
        <v>dr MAGDALENA HARAHAP  SERTIFIKAT BerAKHLAK</v>
      </c>
      <c r="K6157" s="5" t="s">
        <v>39946</v>
      </c>
      <c r="L6157" s="5" t="s">
        <v>40070</v>
      </c>
    </row>
    <row r="6158">
      <c r="A6158" s="4">
        <v>45534.36670252315</v>
      </c>
      <c r="B6158" s="5" t="s">
        <v>34</v>
      </c>
      <c r="D6158" s="5" t="s">
        <v>1692</v>
      </c>
      <c r="E6158" s="5" t="s">
        <v>40073</v>
      </c>
      <c r="F6158" s="5" t="s">
        <v>524</v>
      </c>
      <c r="G6158" s="5" t="s">
        <v>40074</v>
      </c>
      <c r="H6158" s="6" t="s">
        <v>40075</v>
      </c>
      <c r="I6158" s="7" t="s">
        <v>40076</v>
      </c>
      <c r="J6158" s="8" t="str">
        <f>HYPERLINK("https://drive.google.com/file/d/1a8KBa-oCwJBPTOvsGIaByS0ht3ynGOpD/view?usp=drivesdk","DEASY KAYA SERTIFIKAT BerAKHLAK")</f>
        <v>DEASY KAYA SERTIFIKAT BerAKHLAK</v>
      </c>
      <c r="K6158" s="5" t="s">
        <v>40077</v>
      </c>
      <c r="L6158" s="5" t="s">
        <v>40078</v>
      </c>
    </row>
    <row r="6159">
      <c r="A6159" s="4">
        <v>45534.366718460646</v>
      </c>
      <c r="B6159" s="5" t="s">
        <v>34</v>
      </c>
      <c r="D6159" s="5" t="s">
        <v>4775</v>
      </c>
      <c r="E6159" s="5" t="s">
        <v>40081</v>
      </c>
      <c r="F6159" s="5" t="s">
        <v>212</v>
      </c>
      <c r="G6159" s="5" t="s">
        <v>40082</v>
      </c>
      <c r="H6159" s="6" t="s">
        <v>40083</v>
      </c>
      <c r="I6159" s="7" t="s">
        <v>40084</v>
      </c>
      <c r="J6159" s="8" t="str">
        <f>HYPERLINK("https://drive.google.com/file/d/1lLDHPi_mvANliJKlZ0HXwAg7lUi68-NW/view?usp=drivesdk","SUPARDI  SERTIFIKAT BerAKHLAK")</f>
        <v>SUPARDI  SERTIFIKAT BerAKHLAK</v>
      </c>
      <c r="K6159" s="5" t="s">
        <v>39946</v>
      </c>
      <c r="L6159" s="5" t="s">
        <v>40085</v>
      </c>
    </row>
    <row r="6160">
      <c r="A6160" s="4">
        <v>45534.36671912037</v>
      </c>
      <c r="B6160" s="5" t="s">
        <v>34</v>
      </c>
      <c r="D6160" s="5" t="s">
        <v>1206</v>
      </c>
      <c r="E6160" s="5" t="s">
        <v>40088</v>
      </c>
      <c r="F6160" s="5" t="s">
        <v>72</v>
      </c>
      <c r="G6160" s="5" t="s">
        <v>40089</v>
      </c>
      <c r="H6160" s="6" t="s">
        <v>40090</v>
      </c>
      <c r="I6160" s="7" t="s">
        <v>40091</v>
      </c>
      <c r="J6160" s="8" t="str">
        <f>HYPERLINK("https://drive.google.com/file/d/11WRmiJEKEKbdnRg97ySCEnpSlfqLCROP/view?usp=drivesdk","HERY DWI LAKSONO SERTIFIKAT BerAKHLAK")</f>
        <v>HERY DWI LAKSONO SERTIFIKAT BerAKHLAK</v>
      </c>
      <c r="K6160" s="5" t="s">
        <v>39946</v>
      </c>
      <c r="L6160" s="5" t="s">
        <v>40092</v>
      </c>
    </row>
    <row r="6161">
      <c r="A6161" s="4">
        <v>45534.36672074074</v>
      </c>
      <c r="B6161" s="5" t="s">
        <v>34</v>
      </c>
      <c r="D6161" s="5" t="s">
        <v>1206</v>
      </c>
      <c r="E6161" s="5" t="s">
        <v>40096</v>
      </c>
      <c r="F6161" s="5" t="s">
        <v>212</v>
      </c>
      <c r="G6161" s="5" t="s">
        <v>40097</v>
      </c>
      <c r="H6161" s="6" t="s">
        <v>40098</v>
      </c>
      <c r="K6161" s="5" t="s">
        <v>40099</v>
      </c>
    </row>
    <row r="6162">
      <c r="A6162" s="4">
        <v>45534.36672326388</v>
      </c>
      <c r="B6162" s="5" t="s">
        <v>34</v>
      </c>
      <c r="D6162" s="5" t="s">
        <v>267</v>
      </c>
      <c r="E6162" s="5" t="s">
        <v>40102</v>
      </c>
      <c r="F6162" s="5" t="s">
        <v>375</v>
      </c>
      <c r="G6162" s="5" t="s">
        <v>40103</v>
      </c>
      <c r="H6162" s="6" t="s">
        <v>40104</v>
      </c>
      <c r="K6162" s="5" t="s">
        <v>40099</v>
      </c>
    </row>
    <row r="6163">
      <c r="A6163" s="4">
        <v>45534.366729560184</v>
      </c>
      <c r="B6163" s="5" t="s">
        <v>19</v>
      </c>
      <c r="C6163" s="5" t="s">
        <v>442</v>
      </c>
      <c r="E6163" s="5" t="s">
        <v>40107</v>
      </c>
      <c r="F6163" s="5" t="s">
        <v>375</v>
      </c>
      <c r="G6163" s="5" t="s">
        <v>40108</v>
      </c>
      <c r="H6163" s="6" t="s">
        <v>40109</v>
      </c>
      <c r="K6163" s="5" t="s">
        <v>40099</v>
      </c>
    </row>
    <row r="6164">
      <c r="A6164" s="4">
        <v>45534.36673010417</v>
      </c>
      <c r="B6164" s="5" t="s">
        <v>34</v>
      </c>
      <c r="D6164" s="5" t="s">
        <v>701</v>
      </c>
      <c r="E6164" s="5" t="s">
        <v>40112</v>
      </c>
      <c r="F6164" s="5" t="s">
        <v>524</v>
      </c>
      <c r="G6164" s="5" t="s">
        <v>40113</v>
      </c>
      <c r="H6164" s="6" t="s">
        <v>40114</v>
      </c>
      <c r="K6164" s="5" t="s">
        <v>40099</v>
      </c>
    </row>
    <row r="6165">
      <c r="A6165" s="4">
        <v>45534.36675207176</v>
      </c>
      <c r="B6165" s="5" t="s">
        <v>34</v>
      </c>
      <c r="D6165" s="5" t="s">
        <v>10297</v>
      </c>
      <c r="E6165" s="5" t="s">
        <v>40117</v>
      </c>
      <c r="F6165" s="5" t="s">
        <v>212</v>
      </c>
      <c r="G6165" s="5" t="s">
        <v>40118</v>
      </c>
      <c r="H6165" s="6" t="s">
        <v>40119</v>
      </c>
      <c r="I6165" s="7" t="s">
        <v>40120</v>
      </c>
      <c r="J6165" s="8" t="str">
        <f>HYPERLINK("https://drive.google.com/file/d/1IVq18pfXXYzOQ9IXEcdjNA6gV6lzCRf9/view?usp=drivesdk","ERFINA  SERTIFIKAT BerAKHLAK")</f>
        <v>ERFINA  SERTIFIKAT BerAKHLAK</v>
      </c>
      <c r="K6165" s="5" t="s">
        <v>39946</v>
      </c>
      <c r="L6165" s="5" t="s">
        <v>40121</v>
      </c>
    </row>
    <row r="6166">
      <c r="A6166" s="4">
        <v>45534.366781296296</v>
      </c>
      <c r="B6166" s="5" t="s">
        <v>34</v>
      </c>
      <c r="D6166" s="5" t="s">
        <v>4775</v>
      </c>
      <c r="E6166" s="5" t="s">
        <v>40125</v>
      </c>
      <c r="F6166" s="5" t="s">
        <v>72</v>
      </c>
      <c r="G6166" s="5" t="s">
        <v>40126</v>
      </c>
      <c r="H6166" s="6" t="s">
        <v>40127</v>
      </c>
      <c r="I6166" s="7" t="s">
        <v>40128</v>
      </c>
      <c r="J6166" s="8" t="str">
        <f>HYPERLINK("https://drive.google.com/file/d/1Oo6I_-XfWVQdZ0twyP2hrw9Kp37CHLAD/view?usp=drivesdk","RENI YULIASTUTI, AMK SERTIFIKAT BerAKHLAK")</f>
        <v>RENI YULIASTUTI, AMK SERTIFIKAT BerAKHLAK</v>
      </c>
      <c r="K6166" s="5" t="s">
        <v>39946</v>
      </c>
      <c r="L6166" s="5" t="s">
        <v>40129</v>
      </c>
    </row>
    <row r="6167">
      <c r="A6167" s="4">
        <v>45534.36683783565</v>
      </c>
      <c r="B6167" s="5" t="s">
        <v>34</v>
      </c>
      <c r="D6167" s="5" t="s">
        <v>14313</v>
      </c>
      <c r="E6167" s="5" t="s">
        <v>40132</v>
      </c>
      <c r="F6167" s="5" t="s">
        <v>212</v>
      </c>
      <c r="G6167" s="5" t="s">
        <v>40133</v>
      </c>
      <c r="H6167" s="6" t="s">
        <v>40134</v>
      </c>
      <c r="K6167" s="5" t="s">
        <v>40135</v>
      </c>
    </row>
    <row r="6168">
      <c r="A6168" s="4">
        <v>45534.36684430555</v>
      </c>
      <c r="B6168" s="5" t="s">
        <v>19</v>
      </c>
      <c r="C6168" s="5" t="s">
        <v>30588</v>
      </c>
      <c r="E6168" s="5" t="s">
        <v>40139</v>
      </c>
      <c r="F6168" s="5" t="s">
        <v>72</v>
      </c>
      <c r="G6168" s="5" t="s">
        <v>40140</v>
      </c>
      <c r="H6168" s="6" t="s">
        <v>40141</v>
      </c>
      <c r="K6168" s="5" t="s">
        <v>40135</v>
      </c>
    </row>
    <row r="6169">
      <c r="A6169" s="4">
        <v>45534.36685479167</v>
      </c>
      <c r="B6169" s="5" t="s">
        <v>34</v>
      </c>
      <c r="D6169" s="5" t="s">
        <v>6232</v>
      </c>
      <c r="E6169" s="5" t="s">
        <v>40144</v>
      </c>
      <c r="F6169" s="5" t="s">
        <v>37</v>
      </c>
      <c r="G6169" s="5" t="s">
        <v>40145</v>
      </c>
      <c r="H6169" s="6" t="s">
        <v>40146</v>
      </c>
      <c r="K6169" s="5" t="s">
        <v>40135</v>
      </c>
    </row>
    <row r="6170">
      <c r="A6170" s="4">
        <v>45534.36686159723</v>
      </c>
      <c r="B6170" s="5" t="s">
        <v>34</v>
      </c>
      <c r="D6170" s="5" t="s">
        <v>1206</v>
      </c>
      <c r="E6170" s="5" t="s">
        <v>40149</v>
      </c>
      <c r="F6170" s="5" t="s">
        <v>37</v>
      </c>
      <c r="G6170" s="5" t="s">
        <v>40150</v>
      </c>
      <c r="H6170" s="6" t="s">
        <v>40151</v>
      </c>
      <c r="K6170" s="5" t="s">
        <v>40135</v>
      </c>
    </row>
    <row r="6171">
      <c r="A6171" s="4">
        <v>45534.36687013889</v>
      </c>
      <c r="B6171" s="5" t="s">
        <v>34</v>
      </c>
      <c r="D6171" s="5" t="s">
        <v>4775</v>
      </c>
      <c r="E6171" s="5" t="s">
        <v>40155</v>
      </c>
      <c r="F6171" s="5" t="s">
        <v>72</v>
      </c>
      <c r="G6171" s="5" t="s">
        <v>40156</v>
      </c>
      <c r="H6171" s="6" t="s">
        <v>40157</v>
      </c>
      <c r="I6171" s="7" t="s">
        <v>40158</v>
      </c>
      <c r="J6171" s="8" t="str">
        <f>HYPERLINK("https://drive.google.com/file/d/1Acb0mqKG_IFeF8FkQ6TjVRgBmemuJzX2/view?usp=drivesdk","dr.CHANIF LUTFIYATI MUYASAROH, M.Si SERTIFIKAT BerAKHLAK")</f>
        <v>dr.CHANIF LUTFIYATI MUYASAROH, M.Si SERTIFIKAT BerAKHLAK</v>
      </c>
      <c r="K6171" s="5" t="s">
        <v>39946</v>
      </c>
      <c r="L6171" s="5" t="s">
        <v>40159</v>
      </c>
    </row>
    <row r="6172">
      <c r="A6172" s="4">
        <v>45534.366876319444</v>
      </c>
      <c r="B6172" s="5" t="s">
        <v>34</v>
      </c>
      <c r="D6172" s="5" t="s">
        <v>1206</v>
      </c>
      <c r="E6172" s="5" t="s">
        <v>40162</v>
      </c>
      <c r="F6172" s="5" t="s">
        <v>37</v>
      </c>
      <c r="G6172" s="5" t="s">
        <v>40163</v>
      </c>
      <c r="H6172" s="6" t="s">
        <v>40164</v>
      </c>
      <c r="I6172" s="7" t="s">
        <v>40165</v>
      </c>
      <c r="J6172" s="8" t="str">
        <f>HYPERLINK("https://drive.google.com/file/d/1cY74p8NtE7uLKz8REfTxWmeqNu-wwdSV/view?usp=drivesdk","INTAN AGUSTINA, A.Md. SERTIFIKAT BerAKHLAK")</f>
        <v>INTAN AGUSTINA, A.Md. SERTIFIKAT BerAKHLAK</v>
      </c>
      <c r="K6172" s="5" t="s">
        <v>40166</v>
      </c>
      <c r="L6172" s="5" t="s">
        <v>40167</v>
      </c>
    </row>
    <row r="6173">
      <c r="A6173" s="4">
        <v>45534.366888969904</v>
      </c>
      <c r="B6173" s="5" t="s">
        <v>34</v>
      </c>
      <c r="D6173" s="5" t="s">
        <v>9394</v>
      </c>
      <c r="E6173" s="5" t="s">
        <v>40170</v>
      </c>
      <c r="F6173" s="5" t="s">
        <v>37</v>
      </c>
      <c r="G6173" s="5" t="s">
        <v>40171</v>
      </c>
      <c r="H6173" s="6" t="s">
        <v>40172</v>
      </c>
      <c r="I6173" s="7" t="s">
        <v>40173</v>
      </c>
      <c r="J6173" s="8" t="str">
        <f>HYPERLINK("https://drive.google.com/file/d/1Rg776lBOjxJZD9Wy6YL8pGvcAiqyI8El/view?usp=drivesdk","NURFITADANI,S.Pd SERTIFIKAT BerAKHLAK")</f>
        <v>NURFITADANI,S.Pd SERTIFIKAT BerAKHLAK</v>
      </c>
      <c r="K6173" s="5" t="s">
        <v>40166</v>
      </c>
      <c r="L6173" s="5" t="s">
        <v>40174</v>
      </c>
    </row>
    <row r="6174">
      <c r="A6174" s="4">
        <v>45534.366892199076</v>
      </c>
      <c r="B6174" s="5" t="s">
        <v>34</v>
      </c>
      <c r="D6174" s="5" t="s">
        <v>1206</v>
      </c>
      <c r="E6174" s="5" t="s">
        <v>40177</v>
      </c>
      <c r="F6174" s="5" t="s">
        <v>212</v>
      </c>
      <c r="G6174" s="5" t="s">
        <v>40178</v>
      </c>
      <c r="H6174" s="6" t="s">
        <v>40179</v>
      </c>
      <c r="I6174" s="7" t="s">
        <v>40180</v>
      </c>
      <c r="J6174" s="8" t="str">
        <f>HYPERLINK("https://drive.google.com/file/d/1qZtdqP5bakjxlBP9Tbg0oPBM-s9s3GOH/view?usp=drivesdk","SUPRIYADI, S. KEP. NERS.  SERTIFIKAT BerAKHLAK")</f>
        <v>SUPRIYADI, S. KEP. NERS.  SERTIFIKAT BerAKHLAK</v>
      </c>
      <c r="K6174" s="5" t="s">
        <v>40166</v>
      </c>
      <c r="L6174" s="5" t="s">
        <v>40181</v>
      </c>
    </row>
    <row r="6175">
      <c r="A6175" s="4">
        <v>45534.36689600695</v>
      </c>
      <c r="B6175" s="5" t="s">
        <v>34</v>
      </c>
      <c r="D6175" s="5" t="s">
        <v>1558</v>
      </c>
      <c r="E6175" s="5" t="s">
        <v>40185</v>
      </c>
      <c r="F6175" s="5" t="s">
        <v>108</v>
      </c>
      <c r="G6175" s="5" t="s">
        <v>40186</v>
      </c>
      <c r="H6175" s="6" t="s">
        <v>40187</v>
      </c>
      <c r="I6175" s="7" t="s">
        <v>40188</v>
      </c>
      <c r="J6175" s="8" t="str">
        <f>HYPERLINK("https://drive.google.com/file/d/1piwlfmiWe9SlTu5DPQI7QgSI8-bAPEYY/view?usp=drivesdk","Ns. RISDALINA., S.ST., S. Kep SERTIFIKAT BerAKHLAK")</f>
        <v>Ns. RISDALINA., S.ST., S. Kep SERTIFIKAT BerAKHLAK</v>
      </c>
      <c r="K6175" s="5" t="s">
        <v>40166</v>
      </c>
      <c r="L6175" s="5" t="s">
        <v>40189</v>
      </c>
    </row>
    <row r="6176">
      <c r="A6176" s="4">
        <v>45534.366926400464</v>
      </c>
      <c r="B6176" s="5" t="s">
        <v>19</v>
      </c>
      <c r="C6176" s="5" t="s">
        <v>14000</v>
      </c>
      <c r="E6176" s="5" t="s">
        <v>40192</v>
      </c>
      <c r="F6176" s="5" t="s">
        <v>524</v>
      </c>
      <c r="G6176" s="5" t="s">
        <v>40193</v>
      </c>
      <c r="H6176" s="6" t="s">
        <v>40194</v>
      </c>
      <c r="I6176" s="7" t="s">
        <v>40195</v>
      </c>
      <c r="J6176" s="8" t="str">
        <f>HYPERLINK("https://drive.google.com/file/d/1xPhjoHkcYZOt_4KgshQ6ddsAnVVV73Wf/view?usp=drivesdk","MUTOFIK SUTRISNO SERTIFIKAT BerAKHLAK")</f>
        <v>MUTOFIK SUTRISNO SERTIFIKAT BerAKHLAK</v>
      </c>
      <c r="K6176" s="5" t="s">
        <v>39946</v>
      </c>
      <c r="L6176" s="5" t="s">
        <v>40196</v>
      </c>
    </row>
    <row r="6177">
      <c r="A6177" s="4">
        <v>45534.36693712963</v>
      </c>
      <c r="B6177" s="5" t="s">
        <v>34</v>
      </c>
      <c r="D6177" s="5" t="s">
        <v>4775</v>
      </c>
      <c r="E6177" s="5" t="s">
        <v>40199</v>
      </c>
      <c r="F6177" s="5" t="s">
        <v>37</v>
      </c>
      <c r="G6177" s="5" t="s">
        <v>40200</v>
      </c>
      <c r="H6177" s="6" t="s">
        <v>40201</v>
      </c>
      <c r="I6177" s="7" t="s">
        <v>40202</v>
      </c>
      <c r="J6177" s="8" t="str">
        <f>HYPERLINK("https://drive.google.com/file/d/1LrStdvXaCAVk-4zAU40SPxZUJDUdPK3a/view?usp=drivesdk","ANIKE ANDRIANI,SPd SERTIFIKAT BerAKHLAK")</f>
        <v>ANIKE ANDRIANI,SPd SERTIFIKAT BerAKHLAK</v>
      </c>
      <c r="K6177" s="5" t="s">
        <v>39946</v>
      </c>
      <c r="L6177" s="5" t="s">
        <v>40203</v>
      </c>
    </row>
    <row r="6178">
      <c r="A6178" s="4">
        <v>45534.36695412037</v>
      </c>
      <c r="B6178" s="5" t="s">
        <v>34</v>
      </c>
      <c r="D6178" s="5" t="s">
        <v>1206</v>
      </c>
      <c r="E6178" s="5" t="s">
        <v>40206</v>
      </c>
      <c r="F6178" s="5" t="s">
        <v>375</v>
      </c>
      <c r="G6178" s="5" t="s">
        <v>40207</v>
      </c>
      <c r="H6178" s="6" t="s">
        <v>40208</v>
      </c>
      <c r="K6178" s="5" t="s">
        <v>40209</v>
      </c>
    </row>
    <row r="6179">
      <c r="A6179" s="4">
        <v>45534.36695755787</v>
      </c>
      <c r="B6179" s="5" t="s">
        <v>34</v>
      </c>
      <c r="D6179" s="5" t="s">
        <v>1206</v>
      </c>
      <c r="E6179" s="5" t="s">
        <v>40212</v>
      </c>
      <c r="F6179" s="5" t="s">
        <v>212</v>
      </c>
      <c r="G6179" s="5" t="s">
        <v>40213</v>
      </c>
      <c r="H6179" s="6" t="s">
        <v>40214</v>
      </c>
      <c r="K6179" s="5" t="s">
        <v>40215</v>
      </c>
    </row>
    <row r="6180">
      <c r="A6180" s="4">
        <v>45534.366971678246</v>
      </c>
      <c r="B6180" s="5" t="s">
        <v>34</v>
      </c>
      <c r="D6180" s="5" t="s">
        <v>10297</v>
      </c>
      <c r="E6180" s="5" t="s">
        <v>40218</v>
      </c>
      <c r="F6180" s="5" t="s">
        <v>524</v>
      </c>
      <c r="G6180" s="5" t="s">
        <v>40219</v>
      </c>
      <c r="H6180" s="6" t="s">
        <v>40220</v>
      </c>
      <c r="K6180" s="5" t="s">
        <v>40221</v>
      </c>
    </row>
    <row r="6181">
      <c r="A6181" s="4">
        <v>45534.366974756944</v>
      </c>
      <c r="B6181" s="5" t="s">
        <v>19</v>
      </c>
      <c r="C6181" s="5" t="s">
        <v>442</v>
      </c>
      <c r="E6181" s="5" t="s">
        <v>40225</v>
      </c>
      <c r="F6181" s="5" t="s">
        <v>120</v>
      </c>
      <c r="G6181" s="5" t="s">
        <v>40226</v>
      </c>
      <c r="H6181" s="6" t="s">
        <v>40227</v>
      </c>
      <c r="K6181" s="5" t="s">
        <v>40221</v>
      </c>
    </row>
    <row r="6182">
      <c r="A6182" s="4">
        <v>45534.36698104166</v>
      </c>
      <c r="B6182" s="5" t="s">
        <v>19</v>
      </c>
      <c r="C6182" s="5" t="s">
        <v>40230</v>
      </c>
      <c r="E6182" s="5" t="s">
        <v>40231</v>
      </c>
      <c r="F6182" s="5" t="s">
        <v>72</v>
      </c>
      <c r="G6182" s="5" t="s">
        <v>40232</v>
      </c>
      <c r="H6182" s="6" t="s">
        <v>40233</v>
      </c>
      <c r="K6182" s="5" t="s">
        <v>40234</v>
      </c>
    </row>
    <row r="6183">
      <c r="A6183" s="4">
        <v>45534.366988344904</v>
      </c>
      <c r="B6183" s="5" t="s">
        <v>34</v>
      </c>
      <c r="D6183" s="5" t="s">
        <v>1456</v>
      </c>
      <c r="E6183" s="5" t="s">
        <v>40237</v>
      </c>
      <c r="F6183" s="5" t="s">
        <v>524</v>
      </c>
      <c r="G6183" s="5" t="s">
        <v>40238</v>
      </c>
      <c r="H6183" s="6" t="s">
        <v>40239</v>
      </c>
      <c r="K6183" s="5" t="s">
        <v>40240</v>
      </c>
    </row>
    <row r="6184">
      <c r="A6184" s="4">
        <v>45534.36699086806</v>
      </c>
      <c r="B6184" s="5" t="s">
        <v>34</v>
      </c>
      <c r="D6184" s="5" t="s">
        <v>1206</v>
      </c>
      <c r="E6184" s="5" t="s">
        <v>40243</v>
      </c>
      <c r="F6184" s="5" t="s">
        <v>212</v>
      </c>
      <c r="G6184" s="5" t="s">
        <v>40244</v>
      </c>
      <c r="H6184" s="6" t="s">
        <v>40245</v>
      </c>
      <c r="K6184" s="5" t="s">
        <v>40240</v>
      </c>
    </row>
    <row r="6185">
      <c r="A6185" s="4">
        <v>45534.36700650463</v>
      </c>
      <c r="B6185" s="5" t="s">
        <v>34</v>
      </c>
      <c r="D6185" s="5" t="s">
        <v>1206</v>
      </c>
      <c r="E6185" s="5" t="s">
        <v>40248</v>
      </c>
      <c r="F6185" s="5" t="s">
        <v>72</v>
      </c>
      <c r="G6185" s="5" t="s">
        <v>40249</v>
      </c>
      <c r="H6185" s="6" t="s">
        <v>40250</v>
      </c>
      <c r="K6185" s="5" t="s">
        <v>40240</v>
      </c>
    </row>
    <row r="6186">
      <c r="A6186" s="4">
        <v>45534.367014351854</v>
      </c>
      <c r="B6186" s="5" t="s">
        <v>34</v>
      </c>
      <c r="D6186" s="5" t="s">
        <v>14424</v>
      </c>
      <c r="E6186" s="5" t="s">
        <v>40254</v>
      </c>
      <c r="F6186" s="5" t="s">
        <v>375</v>
      </c>
      <c r="G6186" s="5" t="s">
        <v>40255</v>
      </c>
      <c r="H6186" s="6" t="s">
        <v>40256</v>
      </c>
      <c r="K6186" s="5" t="s">
        <v>40257</v>
      </c>
    </row>
    <row r="6187">
      <c r="A6187" s="4">
        <v>45534.367015138894</v>
      </c>
      <c r="B6187" s="5" t="s">
        <v>34</v>
      </c>
      <c r="D6187" s="5" t="s">
        <v>9020</v>
      </c>
      <c r="E6187" s="5" t="s">
        <v>40260</v>
      </c>
      <c r="F6187" s="5" t="s">
        <v>108</v>
      </c>
      <c r="G6187" s="5" t="s">
        <v>40261</v>
      </c>
      <c r="H6187" s="6" t="s">
        <v>40262</v>
      </c>
      <c r="K6187" s="5" t="s">
        <v>40257</v>
      </c>
    </row>
    <row r="6188">
      <c r="A6188" s="4">
        <v>45534.36702612268</v>
      </c>
      <c r="B6188" s="5" t="s">
        <v>34</v>
      </c>
      <c r="D6188" s="5" t="s">
        <v>12978</v>
      </c>
      <c r="E6188" s="5" t="s">
        <v>40265</v>
      </c>
      <c r="F6188" s="5" t="s">
        <v>120</v>
      </c>
      <c r="G6188" s="5" t="s">
        <v>40266</v>
      </c>
      <c r="H6188" s="6" t="s">
        <v>40267</v>
      </c>
      <c r="K6188" s="5" t="s">
        <v>40257</v>
      </c>
    </row>
    <row r="6189">
      <c r="A6189" s="4">
        <v>45534.36702634259</v>
      </c>
      <c r="B6189" s="5" t="s">
        <v>34</v>
      </c>
      <c r="D6189" s="5" t="s">
        <v>14424</v>
      </c>
      <c r="E6189" s="5" t="s">
        <v>40270</v>
      </c>
      <c r="F6189" s="5" t="s">
        <v>375</v>
      </c>
      <c r="G6189" s="5" t="s">
        <v>40271</v>
      </c>
      <c r="H6189" s="6" t="s">
        <v>40272</v>
      </c>
      <c r="K6189" s="5" t="s">
        <v>40257</v>
      </c>
    </row>
    <row r="6190">
      <c r="A6190" s="4">
        <v>45534.36704670139</v>
      </c>
      <c r="B6190" s="5" t="s">
        <v>19</v>
      </c>
      <c r="C6190" s="5" t="s">
        <v>292</v>
      </c>
      <c r="E6190" s="5" t="s">
        <v>40276</v>
      </c>
      <c r="F6190" s="5" t="s">
        <v>375</v>
      </c>
      <c r="G6190" s="5" t="s">
        <v>40277</v>
      </c>
      <c r="H6190" s="6" t="s">
        <v>40278</v>
      </c>
      <c r="K6190" s="5" t="s">
        <v>40279</v>
      </c>
    </row>
    <row r="6191">
      <c r="A6191" s="4">
        <v>45534.36706387732</v>
      </c>
      <c r="B6191" s="5" t="s">
        <v>34</v>
      </c>
      <c r="D6191" s="5" t="s">
        <v>4775</v>
      </c>
      <c r="E6191" s="5" t="s">
        <v>40282</v>
      </c>
      <c r="F6191" s="5" t="s">
        <v>199</v>
      </c>
      <c r="G6191" s="5" t="s">
        <v>40283</v>
      </c>
      <c r="H6191" s="6" t="s">
        <v>40284</v>
      </c>
      <c r="K6191" s="5" t="s">
        <v>40279</v>
      </c>
    </row>
    <row r="6192">
      <c r="A6192" s="4">
        <v>45534.36707076389</v>
      </c>
      <c r="B6192" s="5" t="s">
        <v>34</v>
      </c>
      <c r="D6192" s="5" t="s">
        <v>4775</v>
      </c>
      <c r="E6192" s="5" t="s">
        <v>40287</v>
      </c>
      <c r="F6192" s="5" t="s">
        <v>212</v>
      </c>
      <c r="G6192" s="5" t="s">
        <v>40288</v>
      </c>
      <c r="H6192" s="6" t="s">
        <v>40289</v>
      </c>
      <c r="K6192" s="5" t="s">
        <v>40279</v>
      </c>
    </row>
    <row r="6193">
      <c r="A6193" s="4">
        <v>45534.36709381944</v>
      </c>
      <c r="B6193" s="5" t="s">
        <v>34</v>
      </c>
      <c r="D6193" s="5" t="s">
        <v>9394</v>
      </c>
      <c r="E6193" s="5" t="s">
        <v>40292</v>
      </c>
      <c r="F6193" s="5" t="s">
        <v>375</v>
      </c>
      <c r="G6193" s="5" t="s">
        <v>40293</v>
      </c>
      <c r="H6193" s="6" t="s">
        <v>40294</v>
      </c>
      <c r="K6193" s="5" t="s">
        <v>40295</v>
      </c>
    </row>
    <row r="6194">
      <c r="A6194" s="4">
        <v>45534.36709410879</v>
      </c>
      <c r="B6194" s="5" t="s">
        <v>19</v>
      </c>
      <c r="C6194" s="5" t="s">
        <v>315</v>
      </c>
      <c r="E6194" s="5" t="s">
        <v>40299</v>
      </c>
      <c r="F6194" s="5" t="s">
        <v>524</v>
      </c>
      <c r="G6194" s="5" t="s">
        <v>40300</v>
      </c>
      <c r="H6194" s="6" t="s">
        <v>40301</v>
      </c>
      <c r="K6194" s="5" t="s">
        <v>40295</v>
      </c>
    </row>
    <row r="6195">
      <c r="A6195" s="4">
        <v>45534.3670946412</v>
      </c>
      <c r="B6195" s="5" t="s">
        <v>34</v>
      </c>
      <c r="D6195" s="5" t="s">
        <v>1206</v>
      </c>
      <c r="E6195" s="5" t="s">
        <v>40304</v>
      </c>
      <c r="F6195" s="5" t="s">
        <v>212</v>
      </c>
      <c r="G6195" s="5" t="s">
        <v>40305</v>
      </c>
      <c r="H6195" s="6" t="s">
        <v>40306</v>
      </c>
      <c r="K6195" s="5" t="s">
        <v>40295</v>
      </c>
    </row>
    <row r="6196">
      <c r="A6196" s="4">
        <v>45534.36712362268</v>
      </c>
      <c r="B6196" s="5" t="s">
        <v>34</v>
      </c>
      <c r="D6196" s="5" t="s">
        <v>15401</v>
      </c>
      <c r="E6196" s="5" t="s">
        <v>40309</v>
      </c>
      <c r="F6196" s="5" t="s">
        <v>72</v>
      </c>
      <c r="G6196" s="5" t="s">
        <v>40310</v>
      </c>
      <c r="H6196" s="6" t="s">
        <v>40311</v>
      </c>
      <c r="K6196" s="5" t="s">
        <v>40312</v>
      </c>
    </row>
    <row r="6197">
      <c r="A6197" s="4">
        <v>45534.367127060184</v>
      </c>
      <c r="B6197" s="5" t="s">
        <v>34</v>
      </c>
      <c r="D6197" s="5" t="s">
        <v>1206</v>
      </c>
      <c r="E6197" s="5" t="s">
        <v>40315</v>
      </c>
      <c r="F6197" s="5" t="s">
        <v>72</v>
      </c>
      <c r="G6197" s="5" t="s">
        <v>40316</v>
      </c>
      <c r="H6197" s="6" t="s">
        <v>40317</v>
      </c>
      <c r="K6197" s="5" t="s">
        <v>40312</v>
      </c>
    </row>
    <row r="6198">
      <c r="A6198" s="4">
        <v>45534.36713006944</v>
      </c>
      <c r="B6198" s="5" t="s">
        <v>34</v>
      </c>
      <c r="D6198" s="5" t="s">
        <v>1206</v>
      </c>
      <c r="E6198" s="5" t="s">
        <v>40320</v>
      </c>
      <c r="F6198" s="5" t="s">
        <v>375</v>
      </c>
      <c r="G6198" s="5" t="s">
        <v>40321</v>
      </c>
      <c r="H6198" s="6" t="s">
        <v>40322</v>
      </c>
      <c r="K6198" s="5" t="s">
        <v>40312</v>
      </c>
    </row>
    <row r="6199">
      <c r="A6199" s="4">
        <v>45534.36714446759</v>
      </c>
      <c r="B6199" s="5" t="s">
        <v>34</v>
      </c>
      <c r="D6199" s="5" t="s">
        <v>6232</v>
      </c>
      <c r="E6199" s="5" t="s">
        <v>40326</v>
      </c>
      <c r="F6199" s="5" t="s">
        <v>212</v>
      </c>
      <c r="G6199" s="5" t="s">
        <v>40327</v>
      </c>
      <c r="H6199" s="6" t="s">
        <v>40328</v>
      </c>
      <c r="K6199" s="5" t="s">
        <v>40329</v>
      </c>
    </row>
    <row r="6200">
      <c r="A6200" s="4">
        <v>45534.36714814814</v>
      </c>
      <c r="B6200" s="5" t="s">
        <v>19</v>
      </c>
      <c r="C6200" s="5" t="s">
        <v>40230</v>
      </c>
      <c r="E6200" s="5" t="s">
        <v>40332</v>
      </c>
      <c r="F6200" s="5" t="s">
        <v>524</v>
      </c>
      <c r="G6200" s="5" t="s">
        <v>40333</v>
      </c>
      <c r="H6200" s="6" t="s">
        <v>40334</v>
      </c>
      <c r="K6200" s="5" t="s">
        <v>40329</v>
      </c>
    </row>
    <row r="6201">
      <c r="A6201" s="4">
        <v>45534.367148125</v>
      </c>
      <c r="B6201" s="5" t="s">
        <v>19</v>
      </c>
      <c r="C6201" s="5" t="s">
        <v>292</v>
      </c>
      <c r="E6201" s="5" t="s">
        <v>40337</v>
      </c>
      <c r="F6201" s="5" t="s">
        <v>212</v>
      </c>
      <c r="G6201" s="5" t="s">
        <v>40338</v>
      </c>
      <c r="H6201" s="6" t="s">
        <v>40339</v>
      </c>
      <c r="K6201" s="5" t="s">
        <v>40329</v>
      </c>
    </row>
    <row r="6202">
      <c r="A6202" s="4">
        <v>45534.3671641088</v>
      </c>
      <c r="B6202" s="5" t="s">
        <v>34</v>
      </c>
      <c r="D6202" s="5" t="s">
        <v>14424</v>
      </c>
      <c r="E6202" s="5" t="s">
        <v>40342</v>
      </c>
      <c r="F6202" s="5" t="s">
        <v>375</v>
      </c>
      <c r="G6202" s="5" t="s">
        <v>40343</v>
      </c>
      <c r="H6202" s="6" t="s">
        <v>40344</v>
      </c>
      <c r="K6202" s="5" t="s">
        <v>40345</v>
      </c>
    </row>
    <row r="6203">
      <c r="A6203" s="4">
        <v>45534.36717006944</v>
      </c>
      <c r="B6203" s="5" t="s">
        <v>34</v>
      </c>
      <c r="D6203" s="5" t="s">
        <v>9394</v>
      </c>
      <c r="E6203" s="5" t="s">
        <v>40348</v>
      </c>
      <c r="F6203" s="5" t="s">
        <v>212</v>
      </c>
      <c r="G6203" s="5" t="s">
        <v>40349</v>
      </c>
      <c r="H6203" s="6" t="s">
        <v>40350</v>
      </c>
      <c r="K6203" s="5" t="s">
        <v>40345</v>
      </c>
    </row>
    <row r="6204">
      <c r="A6204" s="4">
        <v>45534.367173287035</v>
      </c>
      <c r="B6204" s="5" t="s">
        <v>34</v>
      </c>
      <c r="D6204" s="5" t="s">
        <v>9394</v>
      </c>
      <c r="E6204" s="5" t="s">
        <v>40354</v>
      </c>
      <c r="F6204" s="5" t="s">
        <v>524</v>
      </c>
      <c r="G6204" s="5" t="s">
        <v>40355</v>
      </c>
      <c r="H6204" s="6" t="s">
        <v>40356</v>
      </c>
      <c r="K6204" s="5" t="s">
        <v>40345</v>
      </c>
    </row>
    <row r="6205">
      <c r="A6205" s="4">
        <v>45534.36718755787</v>
      </c>
      <c r="B6205" s="5" t="s">
        <v>34</v>
      </c>
      <c r="D6205" s="5" t="s">
        <v>14313</v>
      </c>
      <c r="E6205" s="5" t="s">
        <v>40359</v>
      </c>
      <c r="F6205" s="5" t="s">
        <v>524</v>
      </c>
      <c r="G6205" s="5" t="s">
        <v>40360</v>
      </c>
      <c r="H6205" s="6" t="s">
        <v>40361</v>
      </c>
      <c r="K6205" s="5" t="s">
        <v>40345</v>
      </c>
    </row>
    <row r="6206">
      <c r="A6206" s="4">
        <v>45534.36722856481</v>
      </c>
      <c r="B6206" s="5" t="s">
        <v>34</v>
      </c>
      <c r="D6206" s="5" t="s">
        <v>14313</v>
      </c>
      <c r="E6206" s="5" t="s">
        <v>40364</v>
      </c>
      <c r="F6206" s="5" t="s">
        <v>212</v>
      </c>
      <c r="G6206" s="5" t="s">
        <v>40365</v>
      </c>
      <c r="H6206" s="6" t="s">
        <v>40366</v>
      </c>
      <c r="I6206" s="7" t="s">
        <v>40367</v>
      </c>
      <c r="J6206" s="8" t="str">
        <f>HYPERLINK("https://drive.google.com/file/d/1iXvs8HnvEOMLYGoLtsQPhghj-WA1xAD_/view?usp=drivesdk","A. MARWANA SERTIFIKAT BerAKHLAK")</f>
        <v>A. MARWANA SERTIFIKAT BerAKHLAK</v>
      </c>
      <c r="K6206" s="5" t="s">
        <v>40077</v>
      </c>
      <c r="L6206" s="5" t="s">
        <v>40368</v>
      </c>
    </row>
    <row r="6207">
      <c r="A6207" s="4">
        <v>45534.36723238426</v>
      </c>
      <c r="B6207" s="5" t="s">
        <v>19</v>
      </c>
      <c r="C6207" s="5" t="s">
        <v>10418</v>
      </c>
      <c r="E6207" s="5" t="s">
        <v>40371</v>
      </c>
      <c r="F6207" s="5" t="s">
        <v>524</v>
      </c>
      <c r="G6207" s="5" t="s">
        <v>40372</v>
      </c>
      <c r="H6207" s="6" t="s">
        <v>40373</v>
      </c>
      <c r="I6207" s="7" t="s">
        <v>40374</v>
      </c>
      <c r="J6207" s="8" t="str">
        <f>HYPERLINK("https://drive.google.com/file/d/1M354TLME3DrfrvlqCyFZpmsOsJfKuECb/view?usp=drivesdk","SUWIKNO SERTIFIKAT BerAKHLAK")</f>
        <v>SUWIKNO SERTIFIKAT BerAKHLAK</v>
      </c>
      <c r="K6207" s="5" t="s">
        <v>40077</v>
      </c>
      <c r="L6207" s="5" t="s">
        <v>40375</v>
      </c>
    </row>
    <row r="6208">
      <c r="A6208" s="4">
        <v>45534.36723746528</v>
      </c>
      <c r="B6208" s="5" t="s">
        <v>34</v>
      </c>
      <c r="D6208" s="5" t="s">
        <v>4775</v>
      </c>
      <c r="E6208" s="5" t="s">
        <v>40378</v>
      </c>
      <c r="F6208" s="5" t="s">
        <v>328</v>
      </c>
      <c r="G6208" s="5" t="s">
        <v>40379</v>
      </c>
      <c r="H6208" s="6" t="s">
        <v>40380</v>
      </c>
      <c r="K6208" s="5" t="s">
        <v>40381</v>
      </c>
    </row>
    <row r="6209">
      <c r="A6209" s="4">
        <v>45534.36725369213</v>
      </c>
      <c r="B6209" s="5" t="s">
        <v>34</v>
      </c>
      <c r="D6209" s="5" t="s">
        <v>11527</v>
      </c>
      <c r="E6209" s="5" t="s">
        <v>40385</v>
      </c>
      <c r="F6209" s="5" t="s">
        <v>72</v>
      </c>
      <c r="G6209" s="5" t="s">
        <v>40386</v>
      </c>
      <c r="H6209" s="6" t="s">
        <v>40387</v>
      </c>
      <c r="K6209" s="5" t="s">
        <v>40381</v>
      </c>
    </row>
    <row r="6210">
      <c r="A6210" s="4">
        <v>45534.36726611111</v>
      </c>
      <c r="B6210" s="5" t="s">
        <v>34</v>
      </c>
      <c r="D6210" s="5" t="s">
        <v>6232</v>
      </c>
      <c r="E6210" s="5" t="s">
        <v>40390</v>
      </c>
      <c r="F6210" s="5" t="s">
        <v>72</v>
      </c>
      <c r="G6210" s="5" t="s">
        <v>40391</v>
      </c>
      <c r="H6210" s="6" t="s">
        <v>40392</v>
      </c>
      <c r="I6210" s="7" t="s">
        <v>40393</v>
      </c>
      <c r="J6210" s="8" t="str">
        <f>HYPERLINK("https://drive.google.com/file/d/1y-25-rtvsyv3_3_YnpBXKg_mNF7c044o/view?usp=drivesdk","SRI WAHYUNI, A.MD.,S.M SERTIFIKAT BerAKHLAK")</f>
        <v>SRI WAHYUNI, A.MD.,S.M SERTIFIKAT BerAKHLAK</v>
      </c>
      <c r="K6210" s="5" t="s">
        <v>40077</v>
      </c>
      <c r="L6210" s="5" t="s">
        <v>40394</v>
      </c>
    </row>
    <row r="6211">
      <c r="A6211" s="4">
        <v>45534.36728180556</v>
      </c>
      <c r="B6211" s="5" t="s">
        <v>34</v>
      </c>
      <c r="D6211" s="5" t="s">
        <v>1558</v>
      </c>
      <c r="E6211" s="5" t="s">
        <v>40397</v>
      </c>
      <c r="F6211" s="5" t="s">
        <v>375</v>
      </c>
      <c r="G6211" s="5" t="s">
        <v>40398</v>
      </c>
      <c r="H6211" s="6" t="s">
        <v>40399</v>
      </c>
      <c r="K6211" s="5" t="s">
        <v>40400</v>
      </c>
    </row>
    <row r="6212">
      <c r="A6212" s="4">
        <v>45534.367284803244</v>
      </c>
      <c r="B6212" s="5" t="s">
        <v>34</v>
      </c>
      <c r="D6212" s="5" t="s">
        <v>1206</v>
      </c>
      <c r="E6212" s="5" t="s">
        <v>36570</v>
      </c>
      <c r="F6212" s="5" t="s">
        <v>37</v>
      </c>
      <c r="G6212" s="5" t="s">
        <v>40403</v>
      </c>
      <c r="H6212" s="6" t="s">
        <v>40404</v>
      </c>
      <c r="K6212" s="5" t="s">
        <v>40400</v>
      </c>
    </row>
    <row r="6213">
      <c r="A6213" s="4">
        <v>45534.36728707176</v>
      </c>
      <c r="B6213" s="5" t="s">
        <v>34</v>
      </c>
      <c r="D6213" s="5" t="s">
        <v>9020</v>
      </c>
      <c r="E6213" s="5" t="s">
        <v>40408</v>
      </c>
      <c r="F6213" s="5" t="s">
        <v>120</v>
      </c>
      <c r="G6213" s="5" t="s">
        <v>40409</v>
      </c>
      <c r="H6213" s="6" t="s">
        <v>40410</v>
      </c>
      <c r="I6213" s="7" t="s">
        <v>40411</v>
      </c>
      <c r="J6213" s="8" t="str">
        <f>HYPERLINK("https://drive.google.com/file/d/1SPUGrXyCOUl8VbPuHl5WQ-Uv2gte8a8M/view?usp=drivesdk","DR EVA HARIANI MKED DV SPDVE SERTIFIKAT BerAKHLAK")</f>
        <v>DR EVA HARIANI MKED DV SPDVE SERTIFIKAT BerAKHLAK</v>
      </c>
      <c r="K6213" s="5" t="s">
        <v>40077</v>
      </c>
      <c r="L6213" s="5" t="s">
        <v>40412</v>
      </c>
    </row>
    <row r="6214">
      <c r="A6214" s="4">
        <v>45534.367305277774</v>
      </c>
      <c r="B6214" s="5" t="s">
        <v>34</v>
      </c>
      <c r="D6214" s="5" t="s">
        <v>35</v>
      </c>
      <c r="E6214" s="5" t="s">
        <v>40415</v>
      </c>
      <c r="F6214" s="5" t="s">
        <v>5859</v>
      </c>
      <c r="G6214" s="5" t="s">
        <v>40416</v>
      </c>
      <c r="H6214" s="6" t="s">
        <v>40417</v>
      </c>
      <c r="I6214" s="7" t="s">
        <v>40418</v>
      </c>
      <c r="J6214" s="8" t="str">
        <f>HYPERLINK("https://drive.google.com/file/d/1ocVYAef5s_LeH-oHMG2Mh-uMX5ZLWZcz/view?usp=drivesdk","CACA WAS,'AN SERTIFIKAT BerAKHLAK")</f>
        <v>CACA WAS,'AN SERTIFIKAT BerAKHLAK</v>
      </c>
      <c r="K6214" s="5" t="s">
        <v>40077</v>
      </c>
      <c r="L6214" s="5" t="s">
        <v>40419</v>
      </c>
    </row>
    <row r="6215">
      <c r="A6215" s="4">
        <v>45534.36730628472</v>
      </c>
      <c r="B6215" s="5" t="s">
        <v>34</v>
      </c>
      <c r="D6215" s="5" t="s">
        <v>1206</v>
      </c>
      <c r="E6215" s="5" t="s">
        <v>40422</v>
      </c>
      <c r="F6215" s="5" t="s">
        <v>212</v>
      </c>
      <c r="G6215" s="5" t="s">
        <v>40423</v>
      </c>
      <c r="H6215" s="6" t="s">
        <v>40424</v>
      </c>
      <c r="K6215" s="5" t="s">
        <v>40425</v>
      </c>
    </row>
    <row r="6216">
      <c r="A6216" s="4">
        <v>45534.36731417824</v>
      </c>
      <c r="B6216" s="5" t="s">
        <v>34</v>
      </c>
      <c r="D6216" s="5" t="s">
        <v>6232</v>
      </c>
      <c r="E6216" s="5" t="s">
        <v>40428</v>
      </c>
      <c r="F6216" s="5" t="s">
        <v>72</v>
      </c>
      <c r="G6216" s="5" t="s">
        <v>40429</v>
      </c>
      <c r="H6216" s="6" t="s">
        <v>40430</v>
      </c>
      <c r="K6216" s="5" t="s">
        <v>40425</v>
      </c>
    </row>
    <row r="6217">
      <c r="A6217" s="4">
        <v>45534.367321770835</v>
      </c>
      <c r="B6217" s="5" t="s">
        <v>34</v>
      </c>
      <c r="D6217" s="5" t="s">
        <v>701</v>
      </c>
      <c r="E6217" s="5" t="s">
        <v>40433</v>
      </c>
      <c r="F6217" s="5" t="s">
        <v>212</v>
      </c>
      <c r="G6217" s="5" t="s">
        <v>40434</v>
      </c>
      <c r="H6217" s="6" t="s">
        <v>40435</v>
      </c>
      <c r="I6217" s="7" t="s">
        <v>40436</v>
      </c>
      <c r="J6217" s="8" t="str">
        <f>HYPERLINK("https://drive.google.com/file/d/1ArY8ZWL8y5m4lXCaqPTm0YzGXlUim01t/view?usp=drivesdk","DEWI KARTIKA SERTIFIKAT BerAKHLAK")</f>
        <v>DEWI KARTIKA SERTIFIKAT BerAKHLAK</v>
      </c>
      <c r="K6217" s="5" t="s">
        <v>40077</v>
      </c>
      <c r="L6217" s="5" t="s">
        <v>40437</v>
      </c>
    </row>
    <row r="6218">
      <c r="A6218" s="4">
        <v>45534.367336932875</v>
      </c>
      <c r="B6218" s="5" t="s">
        <v>34</v>
      </c>
      <c r="D6218" s="5" t="s">
        <v>9020</v>
      </c>
      <c r="E6218" s="5" t="s">
        <v>40441</v>
      </c>
      <c r="F6218" s="5" t="s">
        <v>212</v>
      </c>
      <c r="G6218" s="5" t="s">
        <v>40442</v>
      </c>
      <c r="H6218" s="6" t="s">
        <v>40443</v>
      </c>
      <c r="I6218" s="7" t="s">
        <v>40444</v>
      </c>
      <c r="J6218" s="8" t="str">
        <f>HYPERLINK("https://drive.google.com/file/d/1jHD_qXRMOdo9ZdOVVcS8ABAnnQIj3FMV/view?usp=drivesdk","SITIROMA HARAHAP SERTIFIKAT BerAKHLAK")</f>
        <v>SITIROMA HARAHAP SERTIFIKAT BerAKHLAK</v>
      </c>
      <c r="K6218" s="5" t="s">
        <v>40077</v>
      </c>
      <c r="L6218" s="5" t="s">
        <v>40445</v>
      </c>
    </row>
    <row r="6219">
      <c r="A6219" s="4">
        <v>45534.36735738426</v>
      </c>
      <c r="B6219" s="5" t="s">
        <v>34</v>
      </c>
      <c r="D6219" s="5" t="s">
        <v>2903</v>
      </c>
      <c r="E6219" s="5" t="s">
        <v>40448</v>
      </c>
      <c r="F6219" s="5" t="s">
        <v>72</v>
      </c>
      <c r="G6219" s="5" t="s">
        <v>40449</v>
      </c>
      <c r="H6219" s="6" t="s">
        <v>40450</v>
      </c>
      <c r="I6219" s="7" t="s">
        <v>40451</v>
      </c>
      <c r="J6219" s="8" t="str">
        <f>HYPERLINK("https://drive.google.com/file/d/1f2X4XHcXFSp7iFaAAIh4JgesydBpEIz3/view?usp=drivesdk","HENNY ERWIN SKM  SERTIFIKAT BerAKHLAK")</f>
        <v>HENNY ERWIN SKM  SERTIFIKAT BerAKHLAK</v>
      </c>
      <c r="K6219" s="5" t="s">
        <v>40077</v>
      </c>
      <c r="L6219" s="5" t="s">
        <v>40452</v>
      </c>
    </row>
    <row r="6220">
      <c r="A6220" s="4">
        <v>45534.36739321759</v>
      </c>
      <c r="B6220" s="5" t="s">
        <v>34</v>
      </c>
      <c r="D6220" s="5" t="s">
        <v>14313</v>
      </c>
      <c r="E6220" s="5" t="s">
        <v>40455</v>
      </c>
      <c r="F6220" s="5" t="s">
        <v>375</v>
      </c>
      <c r="G6220" s="5" t="s">
        <v>40456</v>
      </c>
      <c r="H6220" s="6" t="s">
        <v>40457</v>
      </c>
      <c r="I6220" s="7" t="s">
        <v>40458</v>
      </c>
      <c r="J6220" s="8" t="str">
        <f>HYPERLINK("https://drive.google.com/file/d/1So3TB-GyDSJY9lYnMzPPSQwu4ZwMNF_n/view?usp=drivesdk","Drs. NASRUL SERTIFIKAT BerAKHLAK")</f>
        <v>Drs. NASRUL SERTIFIKAT BerAKHLAK</v>
      </c>
      <c r="K6220" s="5" t="s">
        <v>40077</v>
      </c>
      <c r="L6220" s="5" t="s">
        <v>40459</v>
      </c>
    </row>
    <row r="6221">
      <c r="A6221" s="4">
        <v>45534.367411631945</v>
      </c>
      <c r="B6221" s="5" t="s">
        <v>34</v>
      </c>
      <c r="D6221" s="5" t="s">
        <v>2903</v>
      </c>
      <c r="E6221" s="5" t="s">
        <v>40462</v>
      </c>
      <c r="F6221" s="5" t="s">
        <v>37</v>
      </c>
      <c r="G6221" s="5" t="s">
        <v>40463</v>
      </c>
      <c r="H6221" s="6" t="s">
        <v>40464</v>
      </c>
      <c r="K6221" s="5" t="s">
        <v>40465</v>
      </c>
    </row>
    <row r="6222">
      <c r="A6222" s="4">
        <v>45534.367422129624</v>
      </c>
      <c r="B6222" s="5" t="s">
        <v>34</v>
      </c>
      <c r="D6222" s="5" t="s">
        <v>1206</v>
      </c>
      <c r="E6222" s="5" t="s">
        <v>30653</v>
      </c>
      <c r="F6222" s="5" t="s">
        <v>199</v>
      </c>
      <c r="G6222" s="5" t="s">
        <v>40468</v>
      </c>
      <c r="H6222" s="6" t="s">
        <v>40469</v>
      </c>
      <c r="I6222" s="7" t="s">
        <v>40470</v>
      </c>
      <c r="J6222" s="8" t="str">
        <f>HYPERLINK("https://drive.google.com/file/d/1fptEq7HYE4BjdPA6TxNQ3i4eRxyMDAmw/view?usp=drivesdk","SUGENG RIYADI SERTIFIKAT BerAKHLAK")</f>
        <v>SUGENG RIYADI SERTIFIKAT BerAKHLAK</v>
      </c>
      <c r="K6222" s="5" t="s">
        <v>40077</v>
      </c>
      <c r="L6222" s="5" t="s">
        <v>40471</v>
      </c>
    </row>
    <row r="6223">
      <c r="A6223" s="4">
        <v>45534.367430694445</v>
      </c>
      <c r="B6223" s="5" t="s">
        <v>34</v>
      </c>
      <c r="D6223" s="5" t="s">
        <v>2903</v>
      </c>
      <c r="E6223" s="5" t="s">
        <v>40475</v>
      </c>
      <c r="F6223" s="5" t="s">
        <v>375</v>
      </c>
      <c r="G6223" s="5" t="s">
        <v>40476</v>
      </c>
      <c r="H6223" s="6" t="s">
        <v>40477</v>
      </c>
      <c r="I6223" s="7" t="s">
        <v>40478</v>
      </c>
      <c r="J6223" s="8" t="str">
        <f>HYPERLINK("https://drive.google.com/file/d/17qtHCgTFZqU_Cnu10ehS0T8df87uLDq_/view?usp=drivesdk","RACHMAD SAPUTRA, AMD, S.Pd.I, M.Pd SERTIFIKAT BerAKHLAK")</f>
        <v>RACHMAD SAPUTRA, AMD, S.Pd.I, M.Pd SERTIFIKAT BerAKHLAK</v>
      </c>
      <c r="K6223" s="5" t="s">
        <v>40077</v>
      </c>
      <c r="L6223" s="5" t="s">
        <v>40479</v>
      </c>
    </row>
    <row r="6224">
      <c r="A6224" s="4">
        <v>45534.36743549768</v>
      </c>
      <c r="B6224" s="5" t="s">
        <v>34</v>
      </c>
      <c r="D6224" s="5" t="s">
        <v>15401</v>
      </c>
      <c r="E6224" s="5" t="s">
        <v>40482</v>
      </c>
      <c r="F6224" s="5" t="s">
        <v>212</v>
      </c>
      <c r="G6224" s="5" t="s">
        <v>40483</v>
      </c>
      <c r="H6224" s="6" t="s">
        <v>40484</v>
      </c>
      <c r="K6224" s="5" t="s">
        <v>40485</v>
      </c>
    </row>
    <row r="6225">
      <c r="A6225" s="4">
        <v>45534.36744077546</v>
      </c>
      <c r="B6225" s="5" t="s">
        <v>34</v>
      </c>
      <c r="D6225" s="5" t="s">
        <v>12978</v>
      </c>
      <c r="E6225" s="5" t="s">
        <v>40488</v>
      </c>
      <c r="F6225" s="5" t="s">
        <v>108</v>
      </c>
      <c r="G6225" s="5" t="s">
        <v>40489</v>
      </c>
      <c r="H6225" s="6" t="s">
        <v>40490</v>
      </c>
      <c r="K6225" s="5" t="s">
        <v>40485</v>
      </c>
    </row>
    <row r="6226">
      <c r="A6226" s="4">
        <v>45534.367447233795</v>
      </c>
      <c r="B6226" s="5" t="s">
        <v>34</v>
      </c>
      <c r="D6226" s="5" t="s">
        <v>1206</v>
      </c>
      <c r="E6226" s="5" t="s">
        <v>40493</v>
      </c>
      <c r="F6226" s="5" t="s">
        <v>375</v>
      </c>
      <c r="G6226" s="5" t="s">
        <v>40494</v>
      </c>
      <c r="H6226" s="6" t="s">
        <v>40495</v>
      </c>
      <c r="K6226" s="5" t="s">
        <v>40496</v>
      </c>
    </row>
    <row r="6227">
      <c r="A6227" s="4">
        <v>45534.367448854166</v>
      </c>
      <c r="B6227" s="5" t="s">
        <v>34</v>
      </c>
      <c r="D6227" s="5" t="s">
        <v>1206</v>
      </c>
      <c r="E6227" s="5" t="s">
        <v>40499</v>
      </c>
      <c r="F6227" s="5" t="s">
        <v>37</v>
      </c>
      <c r="G6227" s="5" t="s">
        <v>40500</v>
      </c>
      <c r="H6227" s="6" t="s">
        <v>40501</v>
      </c>
      <c r="K6227" s="5" t="s">
        <v>40496</v>
      </c>
    </row>
    <row r="6228">
      <c r="A6228" s="4">
        <v>45534.36746892361</v>
      </c>
      <c r="B6228" s="5" t="s">
        <v>19</v>
      </c>
      <c r="C6228" s="5" t="s">
        <v>292</v>
      </c>
      <c r="E6228" s="5" t="s">
        <v>40504</v>
      </c>
      <c r="F6228" s="5" t="s">
        <v>212</v>
      </c>
      <c r="G6228" s="5" t="s">
        <v>40505</v>
      </c>
      <c r="H6228" s="6" t="s">
        <v>40506</v>
      </c>
      <c r="K6228" s="5" t="s">
        <v>40496</v>
      </c>
    </row>
    <row r="6229">
      <c r="A6229" s="4">
        <v>45534.36747844907</v>
      </c>
      <c r="B6229" s="5" t="s">
        <v>34</v>
      </c>
      <c r="D6229" s="5" t="s">
        <v>10444</v>
      </c>
      <c r="E6229" s="5" t="s">
        <v>40510</v>
      </c>
      <c r="F6229" s="5" t="s">
        <v>524</v>
      </c>
      <c r="G6229" s="5" t="s">
        <v>40511</v>
      </c>
      <c r="H6229" s="6" t="s">
        <v>40512</v>
      </c>
      <c r="I6229" s="7" t="s">
        <v>40513</v>
      </c>
      <c r="J6229" s="8" t="str">
        <f>HYPERLINK("https://drive.google.com/file/d/1SgOeDwtsmvUf2l4mi3vEYHIO2yYen94x/view?usp=drivesdk","SYAMSUL RIZAL SERTIFIKAT BerAKHLAK")</f>
        <v>SYAMSUL RIZAL SERTIFIKAT BerAKHLAK</v>
      </c>
      <c r="K6229" s="5" t="s">
        <v>40077</v>
      </c>
      <c r="L6229" s="5" t="s">
        <v>40514</v>
      </c>
    </row>
    <row r="6230">
      <c r="A6230" s="4">
        <v>45534.367504699076</v>
      </c>
      <c r="B6230" s="5" t="s">
        <v>34</v>
      </c>
      <c r="D6230" s="5" t="s">
        <v>4775</v>
      </c>
      <c r="E6230" s="5" t="s">
        <v>40517</v>
      </c>
      <c r="F6230" s="5" t="s">
        <v>108</v>
      </c>
      <c r="G6230" s="5" t="s">
        <v>40518</v>
      </c>
      <c r="H6230" s="6" t="s">
        <v>40519</v>
      </c>
      <c r="K6230" s="5" t="s">
        <v>40520</v>
      </c>
    </row>
    <row r="6231">
      <c r="A6231" s="4">
        <v>45534.36753916666</v>
      </c>
      <c r="B6231" s="5" t="s">
        <v>34</v>
      </c>
      <c r="D6231" s="5" t="s">
        <v>1206</v>
      </c>
      <c r="E6231" s="5" t="s">
        <v>40523</v>
      </c>
      <c r="F6231" s="5" t="s">
        <v>212</v>
      </c>
      <c r="G6231" s="5" t="s">
        <v>40524</v>
      </c>
      <c r="H6231" s="6" t="s">
        <v>40525</v>
      </c>
      <c r="I6231" s="7" t="s">
        <v>40526</v>
      </c>
      <c r="J6231" s="8" t="str">
        <f>HYPERLINK("https://drive.google.com/file/d/1_2LX1E5GcA387CQE9gWd_nmfubV9na0S/view?usp=drivesdk","NANING RAHAYU SERTIFIKAT BerAKHLAK")</f>
        <v>NANING RAHAYU SERTIFIKAT BerAKHLAK</v>
      </c>
      <c r="K6231" s="5" t="s">
        <v>40077</v>
      </c>
      <c r="L6231" s="5" t="s">
        <v>40527</v>
      </c>
    </row>
    <row r="6232">
      <c r="A6232" s="4">
        <v>45534.36754583333</v>
      </c>
      <c r="B6232" s="5" t="s">
        <v>34</v>
      </c>
      <c r="D6232" s="5" t="s">
        <v>3432</v>
      </c>
      <c r="E6232" s="5" t="s">
        <v>40530</v>
      </c>
      <c r="F6232" s="5" t="s">
        <v>524</v>
      </c>
      <c r="G6232" s="5" t="s">
        <v>40531</v>
      </c>
      <c r="H6232" s="6" t="s">
        <v>40532</v>
      </c>
      <c r="I6232" s="7" t="s">
        <v>40533</v>
      </c>
      <c r="J6232" s="8" t="str">
        <f>HYPERLINK("https://drive.google.com/file/d/1kOSExmOv88RkTYcdCC4pu_i4tEuSBZh3/view?usp=drivesdk","Novaline Yulce Titahena SERTIFIKAT BerAKHLAK")</f>
        <v>Novaline Yulce Titahena SERTIFIKAT BerAKHLAK</v>
      </c>
      <c r="K6232" s="5" t="s">
        <v>40077</v>
      </c>
      <c r="L6232" s="5" t="s">
        <v>40534</v>
      </c>
    </row>
    <row r="6233">
      <c r="A6233" s="4">
        <v>45534.36755722223</v>
      </c>
      <c r="B6233" s="5" t="s">
        <v>34</v>
      </c>
      <c r="D6233" s="5" t="s">
        <v>267</v>
      </c>
      <c r="E6233" s="5" t="s">
        <v>40537</v>
      </c>
      <c r="F6233" s="5" t="s">
        <v>108</v>
      </c>
      <c r="G6233" s="5" t="s">
        <v>40538</v>
      </c>
      <c r="H6233" s="6" t="s">
        <v>40539</v>
      </c>
      <c r="K6233" s="5" t="s">
        <v>40540</v>
      </c>
    </row>
    <row r="6234">
      <c r="A6234" s="4">
        <v>45534.36756263889</v>
      </c>
      <c r="B6234" s="5" t="s">
        <v>19</v>
      </c>
      <c r="C6234" s="5" t="s">
        <v>3471</v>
      </c>
      <c r="E6234" s="5" t="s">
        <v>40544</v>
      </c>
      <c r="F6234" s="5" t="s">
        <v>375</v>
      </c>
      <c r="G6234" s="5" t="s">
        <v>40545</v>
      </c>
      <c r="H6234" s="6" t="s">
        <v>40546</v>
      </c>
      <c r="K6234" s="5" t="s">
        <v>40540</v>
      </c>
    </row>
    <row r="6235">
      <c r="A6235" s="4">
        <v>45534.36756831019</v>
      </c>
      <c r="B6235" s="5" t="s">
        <v>34</v>
      </c>
      <c r="D6235" s="5" t="s">
        <v>1206</v>
      </c>
      <c r="E6235" s="5" t="s">
        <v>31523</v>
      </c>
      <c r="F6235" s="5" t="s">
        <v>37</v>
      </c>
      <c r="G6235" s="5" t="s">
        <v>40549</v>
      </c>
      <c r="H6235" s="6" t="s">
        <v>40550</v>
      </c>
      <c r="K6235" s="5" t="s">
        <v>40540</v>
      </c>
    </row>
    <row r="6236">
      <c r="A6236" s="4">
        <v>45534.36757258102</v>
      </c>
      <c r="B6236" s="5" t="s">
        <v>34</v>
      </c>
      <c r="D6236" s="5" t="s">
        <v>1206</v>
      </c>
      <c r="E6236" s="5" t="s">
        <v>29877</v>
      </c>
      <c r="F6236" s="5" t="s">
        <v>37</v>
      </c>
      <c r="G6236" s="5" t="s">
        <v>40553</v>
      </c>
      <c r="H6236" s="6" t="s">
        <v>40554</v>
      </c>
      <c r="K6236" s="5" t="s">
        <v>40540</v>
      </c>
    </row>
    <row r="6237">
      <c r="A6237" s="4">
        <v>45534.36757596065</v>
      </c>
      <c r="B6237" s="5" t="s">
        <v>34</v>
      </c>
      <c r="D6237" s="5" t="s">
        <v>1206</v>
      </c>
      <c r="E6237" s="5" t="s">
        <v>40557</v>
      </c>
      <c r="F6237" s="5" t="s">
        <v>375</v>
      </c>
      <c r="G6237" s="5" t="s">
        <v>40558</v>
      </c>
      <c r="H6237" s="6" t="s">
        <v>40559</v>
      </c>
      <c r="K6237" s="5" t="s">
        <v>40540</v>
      </c>
    </row>
    <row r="6238">
      <c r="A6238" s="4">
        <v>45534.367586249995</v>
      </c>
      <c r="B6238" s="5" t="s">
        <v>34</v>
      </c>
      <c r="D6238" s="5" t="s">
        <v>4775</v>
      </c>
      <c r="E6238" s="5" t="s">
        <v>40562</v>
      </c>
      <c r="F6238" s="5" t="s">
        <v>524</v>
      </c>
      <c r="G6238" s="5" t="s">
        <v>40563</v>
      </c>
      <c r="H6238" s="6" t="s">
        <v>40564</v>
      </c>
      <c r="K6238" s="5" t="s">
        <v>40565</v>
      </c>
    </row>
    <row r="6239">
      <c r="A6239" s="4">
        <v>45534.36760212963</v>
      </c>
      <c r="B6239" s="5" t="s">
        <v>34</v>
      </c>
      <c r="D6239" s="5" t="s">
        <v>9020</v>
      </c>
      <c r="E6239" s="5" t="s">
        <v>40569</v>
      </c>
      <c r="F6239" s="5" t="s">
        <v>524</v>
      </c>
      <c r="G6239" s="5" t="s">
        <v>40570</v>
      </c>
      <c r="H6239" s="6" t="s">
        <v>40571</v>
      </c>
      <c r="K6239" s="5" t="s">
        <v>40572</v>
      </c>
    </row>
    <row r="6240">
      <c r="A6240" s="4">
        <v>45534.36761408565</v>
      </c>
      <c r="B6240" s="5" t="s">
        <v>34</v>
      </c>
      <c r="D6240" s="5" t="s">
        <v>12978</v>
      </c>
      <c r="E6240" s="5" t="s">
        <v>40575</v>
      </c>
      <c r="F6240" s="5" t="s">
        <v>212</v>
      </c>
      <c r="G6240" s="5" t="s">
        <v>40576</v>
      </c>
      <c r="H6240" s="6" t="s">
        <v>40577</v>
      </c>
      <c r="K6240" s="5" t="s">
        <v>40578</v>
      </c>
    </row>
    <row r="6241">
      <c r="A6241" s="4">
        <v>45534.36761638889</v>
      </c>
      <c r="B6241" s="5" t="s">
        <v>34</v>
      </c>
      <c r="D6241" s="5" t="s">
        <v>12978</v>
      </c>
      <c r="E6241" s="5" t="s">
        <v>40581</v>
      </c>
      <c r="F6241" s="5" t="s">
        <v>72</v>
      </c>
      <c r="G6241" s="5" t="s">
        <v>40582</v>
      </c>
      <c r="H6241" s="6" t="s">
        <v>40583</v>
      </c>
      <c r="K6241" s="5" t="s">
        <v>40578</v>
      </c>
    </row>
    <row r="6242">
      <c r="A6242" s="4">
        <v>45534.367629976856</v>
      </c>
      <c r="B6242" s="5" t="s">
        <v>34</v>
      </c>
      <c r="D6242" s="5" t="s">
        <v>1206</v>
      </c>
      <c r="E6242" s="5" t="s">
        <v>40586</v>
      </c>
      <c r="F6242" s="5" t="s">
        <v>37</v>
      </c>
      <c r="G6242" s="5" t="s">
        <v>40587</v>
      </c>
      <c r="H6242" s="6" t="s">
        <v>40588</v>
      </c>
      <c r="K6242" s="5" t="s">
        <v>40578</v>
      </c>
    </row>
    <row r="6243">
      <c r="A6243" s="4">
        <v>45534.36763896991</v>
      </c>
      <c r="B6243" s="5" t="s">
        <v>34</v>
      </c>
      <c r="D6243" s="5" t="s">
        <v>1206</v>
      </c>
      <c r="E6243" s="5" t="s">
        <v>40592</v>
      </c>
      <c r="F6243" s="5" t="s">
        <v>212</v>
      </c>
      <c r="G6243" s="5" t="s">
        <v>40593</v>
      </c>
      <c r="H6243" s="6" t="s">
        <v>40594</v>
      </c>
      <c r="K6243" s="5" t="s">
        <v>40578</v>
      </c>
    </row>
    <row r="6244">
      <c r="A6244" s="4">
        <v>45534.36765134259</v>
      </c>
      <c r="B6244" s="5" t="s">
        <v>34</v>
      </c>
      <c r="D6244" s="5" t="s">
        <v>4775</v>
      </c>
      <c r="E6244" s="5" t="s">
        <v>40597</v>
      </c>
      <c r="F6244" s="5" t="s">
        <v>375</v>
      </c>
      <c r="G6244" s="5" t="s">
        <v>40598</v>
      </c>
      <c r="H6244" s="6" t="s">
        <v>40599</v>
      </c>
      <c r="K6244" s="5" t="s">
        <v>40578</v>
      </c>
    </row>
    <row r="6245">
      <c r="A6245" s="4">
        <v>45534.367662199074</v>
      </c>
      <c r="B6245" s="5" t="s">
        <v>34</v>
      </c>
      <c r="D6245" s="5" t="s">
        <v>1206</v>
      </c>
      <c r="E6245" s="5" t="s">
        <v>40602</v>
      </c>
      <c r="F6245" s="5" t="s">
        <v>15386</v>
      </c>
      <c r="G6245" s="5" t="s">
        <v>40603</v>
      </c>
      <c r="H6245" s="6" t="s">
        <v>40604</v>
      </c>
      <c r="K6245" s="5" t="s">
        <v>40578</v>
      </c>
    </row>
    <row r="6246">
      <c r="A6246" s="4">
        <v>45534.36766729166</v>
      </c>
      <c r="B6246" s="5" t="s">
        <v>19</v>
      </c>
      <c r="C6246" s="5" t="s">
        <v>20</v>
      </c>
      <c r="E6246" s="5" t="s">
        <v>40607</v>
      </c>
      <c r="F6246" s="5" t="s">
        <v>524</v>
      </c>
      <c r="G6246" s="5" t="s">
        <v>40608</v>
      </c>
      <c r="H6246" s="6" t="s">
        <v>40609</v>
      </c>
      <c r="K6246" s="5" t="s">
        <v>40578</v>
      </c>
    </row>
    <row r="6247">
      <c r="A6247" s="4">
        <v>45534.367694201384</v>
      </c>
      <c r="B6247" s="5" t="s">
        <v>34</v>
      </c>
      <c r="D6247" s="5" t="s">
        <v>1206</v>
      </c>
      <c r="E6247" s="5" t="s">
        <v>40612</v>
      </c>
      <c r="F6247" s="5" t="s">
        <v>108</v>
      </c>
      <c r="G6247" s="5" t="s">
        <v>40613</v>
      </c>
      <c r="H6247" s="6" t="s">
        <v>40614</v>
      </c>
      <c r="K6247" s="5" t="s">
        <v>40615</v>
      </c>
    </row>
    <row r="6248">
      <c r="A6248" s="4">
        <v>45534.36769554398</v>
      </c>
      <c r="B6248" s="5" t="s">
        <v>34</v>
      </c>
      <c r="D6248" s="5" t="s">
        <v>10297</v>
      </c>
      <c r="E6248" s="5" t="s">
        <v>40619</v>
      </c>
      <c r="F6248" s="5" t="s">
        <v>212</v>
      </c>
      <c r="G6248" s="5" t="s">
        <v>40620</v>
      </c>
      <c r="H6248" s="6" t="s">
        <v>40621</v>
      </c>
      <c r="K6248" s="5" t="s">
        <v>40615</v>
      </c>
    </row>
    <row r="6249">
      <c r="A6249" s="4">
        <v>45534.36769759259</v>
      </c>
      <c r="B6249" s="5" t="s">
        <v>34</v>
      </c>
      <c r="D6249" s="5" t="s">
        <v>35</v>
      </c>
      <c r="E6249" s="5" t="s">
        <v>40624</v>
      </c>
      <c r="F6249" s="5" t="s">
        <v>524</v>
      </c>
      <c r="G6249" s="5" t="s">
        <v>40625</v>
      </c>
      <c r="H6249" s="6" t="s">
        <v>40626</v>
      </c>
      <c r="K6249" s="5" t="s">
        <v>40615</v>
      </c>
    </row>
    <row r="6250">
      <c r="A6250" s="4">
        <v>45534.3677071412</v>
      </c>
      <c r="B6250" s="5" t="s">
        <v>34</v>
      </c>
      <c r="D6250" s="5" t="s">
        <v>14424</v>
      </c>
      <c r="E6250" s="5" t="s">
        <v>40629</v>
      </c>
      <c r="F6250" s="5" t="s">
        <v>72</v>
      </c>
      <c r="G6250" s="5" t="s">
        <v>40630</v>
      </c>
      <c r="H6250" s="6" t="s">
        <v>40631</v>
      </c>
      <c r="K6250" s="5" t="s">
        <v>40615</v>
      </c>
    </row>
    <row r="6251">
      <c r="A6251" s="4">
        <v>45534.367711377316</v>
      </c>
      <c r="B6251" s="5" t="s">
        <v>19</v>
      </c>
      <c r="C6251" s="5" t="s">
        <v>3471</v>
      </c>
      <c r="E6251" s="5" t="s">
        <v>40634</v>
      </c>
      <c r="F6251" s="5" t="s">
        <v>212</v>
      </c>
      <c r="G6251" s="5" t="s">
        <v>40635</v>
      </c>
      <c r="H6251" s="6" t="s">
        <v>40636</v>
      </c>
      <c r="K6251" s="5" t="s">
        <v>40615</v>
      </c>
    </row>
    <row r="6252">
      <c r="A6252" s="4">
        <v>45534.36772738426</v>
      </c>
      <c r="B6252" s="5" t="s">
        <v>34</v>
      </c>
      <c r="D6252" s="5" t="s">
        <v>1692</v>
      </c>
      <c r="E6252" s="5" t="s">
        <v>40639</v>
      </c>
      <c r="F6252" s="5" t="s">
        <v>108</v>
      </c>
      <c r="G6252" s="5" t="s">
        <v>40640</v>
      </c>
      <c r="H6252" s="6" t="s">
        <v>40641</v>
      </c>
      <c r="K6252" s="5" t="s">
        <v>40642</v>
      </c>
    </row>
    <row r="6253">
      <c r="A6253" s="4">
        <v>45534.36774890046</v>
      </c>
      <c r="B6253" s="5" t="s">
        <v>34</v>
      </c>
      <c r="D6253" s="5" t="s">
        <v>1206</v>
      </c>
      <c r="E6253" s="5" t="s">
        <v>40646</v>
      </c>
      <c r="F6253" s="5" t="s">
        <v>22</v>
      </c>
      <c r="G6253" s="5" t="s">
        <v>40647</v>
      </c>
      <c r="H6253" s="6" t="s">
        <v>40648</v>
      </c>
      <c r="K6253" s="5" t="s">
        <v>40649</v>
      </c>
    </row>
    <row r="6254">
      <c r="A6254" s="4">
        <v>45534.36775694444</v>
      </c>
      <c r="B6254" s="5" t="s">
        <v>34</v>
      </c>
      <c r="D6254" s="5" t="s">
        <v>1206</v>
      </c>
      <c r="E6254" s="5" t="s">
        <v>40652</v>
      </c>
      <c r="F6254" s="5" t="s">
        <v>212</v>
      </c>
      <c r="G6254" s="5" t="s">
        <v>40653</v>
      </c>
      <c r="H6254" s="6" t="s">
        <v>40654</v>
      </c>
      <c r="K6254" s="5" t="s">
        <v>40649</v>
      </c>
    </row>
    <row r="6255">
      <c r="A6255" s="4">
        <v>45534.36777167824</v>
      </c>
      <c r="B6255" s="5" t="s">
        <v>34</v>
      </c>
      <c r="D6255" s="5" t="s">
        <v>996</v>
      </c>
      <c r="E6255" s="5" t="s">
        <v>40657</v>
      </c>
      <c r="F6255" s="5" t="s">
        <v>375</v>
      </c>
      <c r="G6255" s="5" t="s">
        <v>40658</v>
      </c>
      <c r="H6255" s="6" t="s">
        <v>40659</v>
      </c>
      <c r="K6255" s="5" t="s">
        <v>40649</v>
      </c>
    </row>
    <row r="6256">
      <c r="A6256" s="4">
        <v>45534.36777631944</v>
      </c>
      <c r="B6256" s="5" t="s">
        <v>34</v>
      </c>
      <c r="D6256" s="5" t="s">
        <v>267</v>
      </c>
      <c r="E6256" s="5" t="s">
        <v>40662</v>
      </c>
      <c r="F6256" s="5" t="s">
        <v>37</v>
      </c>
      <c r="G6256" s="5" t="s">
        <v>40663</v>
      </c>
      <c r="H6256" s="6" t="s">
        <v>40664</v>
      </c>
      <c r="K6256" s="5" t="s">
        <v>40649</v>
      </c>
    </row>
    <row r="6257">
      <c r="A6257" s="4">
        <v>45534.36778202547</v>
      </c>
      <c r="B6257" s="5" t="s">
        <v>34</v>
      </c>
      <c r="D6257" s="5" t="s">
        <v>1206</v>
      </c>
      <c r="E6257" s="5" t="s">
        <v>40667</v>
      </c>
      <c r="F6257" s="5" t="s">
        <v>328</v>
      </c>
      <c r="G6257" s="5" t="s">
        <v>40668</v>
      </c>
      <c r="H6257" s="6" t="s">
        <v>40669</v>
      </c>
      <c r="K6257" s="5" t="s">
        <v>40649</v>
      </c>
    </row>
    <row r="6258">
      <c r="A6258" s="4">
        <v>45534.36778571759</v>
      </c>
      <c r="B6258" s="5" t="s">
        <v>34</v>
      </c>
      <c r="D6258" s="5" t="s">
        <v>4775</v>
      </c>
      <c r="E6258" s="5" t="s">
        <v>40673</v>
      </c>
      <c r="F6258" s="5" t="s">
        <v>212</v>
      </c>
      <c r="G6258" s="5" t="s">
        <v>40674</v>
      </c>
      <c r="H6258" s="6" t="s">
        <v>40675</v>
      </c>
      <c r="K6258" s="5" t="s">
        <v>40676</v>
      </c>
    </row>
    <row r="6259">
      <c r="A6259" s="4">
        <v>45534.367813599536</v>
      </c>
      <c r="B6259" s="5" t="s">
        <v>34</v>
      </c>
      <c r="D6259" s="5" t="s">
        <v>701</v>
      </c>
      <c r="E6259" s="5" t="s">
        <v>40679</v>
      </c>
      <c r="F6259" s="5" t="s">
        <v>328</v>
      </c>
      <c r="G6259" s="5" t="s">
        <v>40680</v>
      </c>
      <c r="H6259" s="6" t="s">
        <v>40681</v>
      </c>
      <c r="K6259" s="5" t="s">
        <v>40676</v>
      </c>
    </row>
    <row r="6260">
      <c r="A6260" s="4">
        <v>45534.367831157404</v>
      </c>
      <c r="B6260" s="5" t="s">
        <v>34</v>
      </c>
      <c r="D6260" s="5" t="s">
        <v>1558</v>
      </c>
      <c r="E6260" s="5" t="s">
        <v>40684</v>
      </c>
      <c r="F6260" s="5" t="s">
        <v>120</v>
      </c>
      <c r="G6260" s="5" t="s">
        <v>40685</v>
      </c>
      <c r="H6260" s="6" t="s">
        <v>40686</v>
      </c>
      <c r="K6260" s="5" t="s">
        <v>40687</v>
      </c>
    </row>
    <row r="6261">
      <c r="A6261" s="4">
        <v>45534.36784561342</v>
      </c>
      <c r="B6261" s="5" t="s">
        <v>34</v>
      </c>
      <c r="D6261" s="5" t="s">
        <v>15401</v>
      </c>
      <c r="E6261" s="5" t="s">
        <v>40690</v>
      </c>
      <c r="F6261" s="5" t="s">
        <v>108</v>
      </c>
      <c r="G6261" s="5" t="s">
        <v>40691</v>
      </c>
      <c r="H6261" s="6" t="s">
        <v>40692</v>
      </c>
      <c r="I6261" s="7" t="s">
        <v>40693</v>
      </c>
      <c r="J6261" s="8" t="str">
        <f>HYPERLINK("https://drive.google.com/file/d/1HU9BwVKOguKDxQ95QGX0rgBaCsW2mmyd/view?usp=drivesdk","FEMMY SOMPOTAN  SERTIFIKAT BerAKHLAK")</f>
        <v>FEMMY SOMPOTAN  SERTIFIKAT BerAKHLAK</v>
      </c>
      <c r="K6261" s="5" t="s">
        <v>40077</v>
      </c>
      <c r="L6261" s="5" t="s">
        <v>40694</v>
      </c>
    </row>
    <row r="6262">
      <c r="A6262" s="4">
        <v>45534.367857210644</v>
      </c>
      <c r="B6262" s="5" t="s">
        <v>34</v>
      </c>
      <c r="D6262" s="5" t="s">
        <v>1558</v>
      </c>
      <c r="E6262" s="5" t="s">
        <v>40698</v>
      </c>
      <c r="F6262" s="5" t="s">
        <v>212</v>
      </c>
      <c r="G6262" s="5" t="s">
        <v>40699</v>
      </c>
      <c r="H6262" s="6" t="s">
        <v>40700</v>
      </c>
      <c r="I6262" s="7" t="s">
        <v>40701</v>
      </c>
      <c r="J6262" s="8" t="str">
        <f>HYPERLINK("https://drive.google.com/file/d/1CA87W4D8FE6L2lxLPsi1ibZWqVxUfD3F/view?usp=drivesdk","HARRY HARTAWAN SERTIFIKAT BerAKHLAK")</f>
        <v>HARRY HARTAWAN SERTIFIKAT BerAKHLAK</v>
      </c>
      <c r="K6262" s="5" t="s">
        <v>40008</v>
      </c>
      <c r="L6262" s="5" t="s">
        <v>40702</v>
      </c>
    </row>
    <row r="6263">
      <c r="A6263" s="4">
        <v>45534.36789460648</v>
      </c>
      <c r="B6263" s="5" t="s">
        <v>34</v>
      </c>
      <c r="D6263" s="5" t="s">
        <v>4775</v>
      </c>
      <c r="E6263" s="5" t="s">
        <v>40705</v>
      </c>
      <c r="F6263" s="5" t="s">
        <v>108</v>
      </c>
      <c r="G6263" s="5" t="s">
        <v>40706</v>
      </c>
      <c r="H6263" s="6" t="s">
        <v>40707</v>
      </c>
      <c r="K6263" s="5" t="s">
        <v>40708</v>
      </c>
    </row>
    <row r="6264">
      <c r="A6264" s="4">
        <v>45534.367895902775</v>
      </c>
      <c r="B6264" s="5" t="s">
        <v>34</v>
      </c>
      <c r="D6264" s="5" t="s">
        <v>1206</v>
      </c>
      <c r="E6264" s="5" t="s">
        <v>40711</v>
      </c>
      <c r="F6264" s="5" t="s">
        <v>212</v>
      </c>
      <c r="G6264" s="5" t="s">
        <v>40712</v>
      </c>
      <c r="H6264" s="6" t="s">
        <v>40713</v>
      </c>
      <c r="K6264" s="5" t="s">
        <v>40708</v>
      </c>
    </row>
    <row r="6265">
      <c r="A6265" s="4">
        <v>45534.367898530094</v>
      </c>
      <c r="B6265" s="5" t="s">
        <v>34</v>
      </c>
      <c r="D6265" s="5" t="s">
        <v>1456</v>
      </c>
      <c r="E6265" s="5" t="s">
        <v>40716</v>
      </c>
      <c r="F6265" s="5" t="s">
        <v>524</v>
      </c>
      <c r="G6265" s="5" t="s">
        <v>40717</v>
      </c>
      <c r="H6265" s="6" t="s">
        <v>40718</v>
      </c>
      <c r="K6265" s="5" t="s">
        <v>40708</v>
      </c>
    </row>
    <row r="6266">
      <c r="A6266" s="4">
        <v>45534.36790415509</v>
      </c>
      <c r="B6266" s="5" t="s">
        <v>19</v>
      </c>
      <c r="C6266" s="5" t="s">
        <v>3471</v>
      </c>
      <c r="E6266" s="5" t="s">
        <v>40721</v>
      </c>
      <c r="F6266" s="5" t="s">
        <v>212</v>
      </c>
      <c r="G6266" s="5" t="s">
        <v>40722</v>
      </c>
      <c r="H6266" s="6" t="s">
        <v>40723</v>
      </c>
      <c r="K6266" s="5" t="s">
        <v>40708</v>
      </c>
    </row>
    <row r="6267">
      <c r="A6267" s="4">
        <v>45534.36791429398</v>
      </c>
      <c r="B6267" s="5" t="s">
        <v>34</v>
      </c>
      <c r="D6267" s="5" t="s">
        <v>4775</v>
      </c>
      <c r="E6267" s="5" t="s">
        <v>40727</v>
      </c>
      <c r="F6267" s="5" t="s">
        <v>524</v>
      </c>
      <c r="G6267" s="5" t="s">
        <v>40728</v>
      </c>
      <c r="H6267" s="6" t="s">
        <v>40729</v>
      </c>
      <c r="K6267" s="5" t="s">
        <v>40708</v>
      </c>
    </row>
    <row r="6268">
      <c r="A6268" s="4">
        <v>45534.36791821759</v>
      </c>
      <c r="B6268" s="5" t="s">
        <v>34</v>
      </c>
      <c r="D6268" s="5" t="s">
        <v>9020</v>
      </c>
      <c r="E6268" s="5" t="s">
        <v>40732</v>
      </c>
      <c r="F6268" s="5" t="s">
        <v>120</v>
      </c>
      <c r="G6268" s="5" t="s">
        <v>40733</v>
      </c>
      <c r="H6268" s="6" t="s">
        <v>40734</v>
      </c>
      <c r="K6268" s="5" t="s">
        <v>40735</v>
      </c>
    </row>
    <row r="6269">
      <c r="A6269" s="4">
        <v>45534.367930821754</v>
      </c>
      <c r="B6269" s="5" t="s">
        <v>34</v>
      </c>
      <c r="D6269" s="5" t="s">
        <v>4775</v>
      </c>
      <c r="E6269" s="5" t="s">
        <v>40738</v>
      </c>
      <c r="F6269" s="5" t="s">
        <v>5859</v>
      </c>
      <c r="G6269" s="5" t="s">
        <v>40739</v>
      </c>
      <c r="H6269" s="6" t="s">
        <v>40740</v>
      </c>
      <c r="K6269" s="5" t="s">
        <v>40735</v>
      </c>
    </row>
    <row r="6270">
      <c r="A6270" s="4">
        <v>45534.36795909722</v>
      </c>
      <c r="B6270" s="5" t="s">
        <v>34</v>
      </c>
      <c r="D6270" s="5" t="s">
        <v>10444</v>
      </c>
      <c r="E6270" s="5" t="s">
        <v>40743</v>
      </c>
      <c r="F6270" s="5" t="s">
        <v>37</v>
      </c>
      <c r="G6270" s="5" t="s">
        <v>40744</v>
      </c>
      <c r="H6270" s="6" t="s">
        <v>40745</v>
      </c>
      <c r="K6270" s="5" t="s">
        <v>40746</v>
      </c>
    </row>
    <row r="6271">
      <c r="A6271" s="4">
        <v>45534.36799608797</v>
      </c>
      <c r="B6271" s="5" t="s">
        <v>34</v>
      </c>
      <c r="D6271" s="5" t="s">
        <v>1206</v>
      </c>
      <c r="E6271" s="5" t="s">
        <v>40750</v>
      </c>
      <c r="F6271" s="5" t="s">
        <v>212</v>
      </c>
      <c r="G6271" s="5" t="s">
        <v>40751</v>
      </c>
      <c r="H6271" s="6" t="s">
        <v>40752</v>
      </c>
      <c r="I6271" s="7" t="s">
        <v>40753</v>
      </c>
      <c r="J6271" s="8" t="str">
        <f>HYPERLINK("https://drive.google.com/file/d/1J2DNnrO6B3_w-azGW9QbpOd3utrv4VEp/view?usp=drivesdk","EFFI HARIJATI  SERTIFIKAT BerAKHLAK")</f>
        <v>EFFI HARIJATI  SERTIFIKAT BerAKHLAK</v>
      </c>
      <c r="K6271" s="5" t="s">
        <v>40008</v>
      </c>
      <c r="L6271" s="5" t="s">
        <v>40754</v>
      </c>
    </row>
    <row r="6272">
      <c r="A6272" s="4">
        <v>45534.36800268518</v>
      </c>
      <c r="B6272" s="5" t="s">
        <v>34</v>
      </c>
      <c r="D6272" s="5" t="s">
        <v>9020</v>
      </c>
      <c r="E6272" s="5" t="s">
        <v>40757</v>
      </c>
      <c r="F6272" s="5" t="s">
        <v>212</v>
      </c>
      <c r="G6272" s="5" t="s">
        <v>40758</v>
      </c>
      <c r="H6272" s="6" t="s">
        <v>40759</v>
      </c>
      <c r="I6272" s="7" t="s">
        <v>40760</v>
      </c>
      <c r="J6272" s="8" t="str">
        <f>HYPERLINK("https://drive.google.com/file/d/1PjRgqJn6y4s8aJ9zSbcZ4lPMSQeU33yO/view?usp=drivesdk","ELFRIDA RIANA PANJAITAN  SERTIFIKAT BerAKHLAK")</f>
        <v>ELFRIDA RIANA PANJAITAN  SERTIFIKAT BerAKHLAK</v>
      </c>
      <c r="K6272" s="5" t="s">
        <v>40008</v>
      </c>
      <c r="L6272" s="5" t="s">
        <v>40761</v>
      </c>
    </row>
    <row r="6273">
      <c r="A6273" s="4">
        <v>45534.36800278936</v>
      </c>
      <c r="B6273" s="5" t="s">
        <v>34</v>
      </c>
      <c r="D6273" s="5" t="s">
        <v>4775</v>
      </c>
      <c r="E6273" s="5" t="s">
        <v>40764</v>
      </c>
      <c r="F6273" s="5" t="s">
        <v>212</v>
      </c>
      <c r="G6273" s="5" t="s">
        <v>40765</v>
      </c>
      <c r="H6273" s="6" t="s">
        <v>40766</v>
      </c>
      <c r="I6273" s="7" t="s">
        <v>40767</v>
      </c>
      <c r="J6273" s="8" t="str">
        <f>HYPERLINK("https://drive.google.com/file/d/1op3MEEjRsSGM8HaU7EjqVrmqliCes2bT/view?usp=drivesdk","IDA ROCHANI ESTI BUDYANINGSIH SERTIFIKAT BerAKHLAK")</f>
        <v>IDA ROCHANI ESTI BUDYANINGSIH SERTIFIKAT BerAKHLAK</v>
      </c>
      <c r="K6273" s="5" t="s">
        <v>40008</v>
      </c>
      <c r="L6273" s="5" t="s">
        <v>40768</v>
      </c>
    </row>
    <row r="6274">
      <c r="A6274" s="4">
        <v>45534.36800436342</v>
      </c>
      <c r="B6274" s="5" t="s">
        <v>34</v>
      </c>
      <c r="D6274" s="5" t="s">
        <v>9394</v>
      </c>
      <c r="E6274" s="5" t="s">
        <v>40771</v>
      </c>
      <c r="F6274" s="5" t="s">
        <v>72</v>
      </c>
      <c r="G6274" s="5" t="s">
        <v>40772</v>
      </c>
      <c r="H6274" s="6" t="s">
        <v>40773</v>
      </c>
      <c r="K6274" s="5" t="s">
        <v>40774</v>
      </c>
    </row>
    <row r="6275">
      <c r="A6275" s="4">
        <v>45534.368007384255</v>
      </c>
      <c r="B6275" s="5" t="s">
        <v>34</v>
      </c>
      <c r="D6275" s="5" t="s">
        <v>9020</v>
      </c>
      <c r="E6275" s="5" t="s">
        <v>40777</v>
      </c>
      <c r="F6275" s="5" t="s">
        <v>72</v>
      </c>
      <c r="G6275" s="5" t="s">
        <v>40778</v>
      </c>
      <c r="H6275" s="6" t="s">
        <v>40779</v>
      </c>
      <c r="K6275" s="5" t="s">
        <v>40774</v>
      </c>
    </row>
    <row r="6276">
      <c r="A6276" s="4">
        <v>45534.36800989583</v>
      </c>
      <c r="B6276" s="5" t="s">
        <v>34</v>
      </c>
      <c r="D6276" s="5" t="s">
        <v>1558</v>
      </c>
      <c r="E6276" s="5" t="s">
        <v>40783</v>
      </c>
      <c r="F6276" s="5" t="s">
        <v>72</v>
      </c>
      <c r="G6276" s="5" t="s">
        <v>40784</v>
      </c>
      <c r="H6276" s="6" t="s">
        <v>40785</v>
      </c>
      <c r="K6276" s="5" t="s">
        <v>40774</v>
      </c>
    </row>
    <row r="6277">
      <c r="A6277" s="4">
        <v>45534.368014699074</v>
      </c>
      <c r="B6277" s="5" t="s">
        <v>34</v>
      </c>
      <c r="D6277" s="5" t="s">
        <v>15401</v>
      </c>
      <c r="E6277" s="5" t="s">
        <v>40788</v>
      </c>
      <c r="F6277" s="5" t="s">
        <v>108</v>
      </c>
      <c r="G6277" s="5" t="s">
        <v>40789</v>
      </c>
      <c r="H6277" s="6" t="s">
        <v>40790</v>
      </c>
      <c r="K6277" s="5" t="s">
        <v>40774</v>
      </c>
    </row>
    <row r="6278">
      <c r="A6278" s="4">
        <v>45534.36801569445</v>
      </c>
      <c r="B6278" s="5" t="s">
        <v>34</v>
      </c>
      <c r="D6278" s="5" t="s">
        <v>9394</v>
      </c>
      <c r="E6278" s="5" t="s">
        <v>40793</v>
      </c>
      <c r="F6278" s="5" t="s">
        <v>37</v>
      </c>
      <c r="G6278" s="5" t="s">
        <v>40794</v>
      </c>
      <c r="H6278" s="6" t="s">
        <v>40795</v>
      </c>
      <c r="K6278" s="5" t="s">
        <v>40774</v>
      </c>
    </row>
    <row r="6279">
      <c r="A6279" s="4">
        <v>45534.3680287037</v>
      </c>
      <c r="B6279" s="5" t="s">
        <v>34</v>
      </c>
      <c r="D6279" s="5" t="s">
        <v>996</v>
      </c>
      <c r="E6279" s="5" t="s">
        <v>40798</v>
      </c>
      <c r="F6279" s="5" t="s">
        <v>108</v>
      </c>
      <c r="G6279" s="5" t="s">
        <v>40799</v>
      </c>
      <c r="H6279" s="6" t="s">
        <v>40800</v>
      </c>
      <c r="K6279" s="5" t="s">
        <v>40774</v>
      </c>
    </row>
    <row r="6280">
      <c r="A6280" s="4">
        <v>45534.368032314815</v>
      </c>
      <c r="B6280" s="5" t="s">
        <v>34</v>
      </c>
      <c r="D6280" s="5" t="s">
        <v>1558</v>
      </c>
      <c r="E6280" s="5" t="s">
        <v>40803</v>
      </c>
      <c r="F6280" s="5" t="s">
        <v>212</v>
      </c>
      <c r="G6280" s="5" t="s">
        <v>40804</v>
      </c>
      <c r="H6280" s="6" t="s">
        <v>40805</v>
      </c>
      <c r="K6280" s="5" t="s">
        <v>40774</v>
      </c>
    </row>
    <row r="6281">
      <c r="A6281" s="4">
        <v>45534.3680415625</v>
      </c>
      <c r="B6281" s="5" t="s">
        <v>34</v>
      </c>
      <c r="D6281" s="5" t="s">
        <v>1206</v>
      </c>
      <c r="E6281" s="5" t="s">
        <v>40808</v>
      </c>
      <c r="F6281" s="5" t="s">
        <v>328</v>
      </c>
      <c r="G6281" s="5" t="s">
        <v>40809</v>
      </c>
      <c r="H6281" s="6" t="s">
        <v>40810</v>
      </c>
      <c r="K6281" s="5" t="s">
        <v>40774</v>
      </c>
    </row>
    <row r="6282">
      <c r="A6282" s="4">
        <v>45534.36804383102</v>
      </c>
      <c r="B6282" s="5" t="s">
        <v>19</v>
      </c>
      <c r="C6282" s="5" t="s">
        <v>292</v>
      </c>
      <c r="E6282" s="5" t="s">
        <v>40814</v>
      </c>
      <c r="F6282" s="5" t="s">
        <v>524</v>
      </c>
      <c r="G6282" s="5" t="s">
        <v>40815</v>
      </c>
      <c r="H6282" s="6" t="s">
        <v>40816</v>
      </c>
      <c r="K6282" s="5" t="s">
        <v>40817</v>
      </c>
    </row>
    <row r="6283">
      <c r="A6283" s="4">
        <v>45534.36806748842</v>
      </c>
      <c r="B6283" s="5" t="s">
        <v>34</v>
      </c>
      <c r="D6283" s="5" t="s">
        <v>9394</v>
      </c>
      <c r="E6283" s="5" t="s">
        <v>40820</v>
      </c>
      <c r="F6283" s="5" t="s">
        <v>37</v>
      </c>
      <c r="G6283" s="5" t="s">
        <v>40821</v>
      </c>
      <c r="H6283" s="6" t="s">
        <v>40822</v>
      </c>
      <c r="I6283" s="7" t="s">
        <v>40823</v>
      </c>
      <c r="J6283" s="8" t="str">
        <f>HYPERLINK("https://drive.google.com/file/d/19F48SAv0kqv6cZnyt4HvprsaPh2huLE9/view?usp=drivesdk","SUWANDI  SERTIFIKAT BerAKHLAK")</f>
        <v>SUWANDI  SERTIFIKAT BerAKHLAK</v>
      </c>
      <c r="K6283" s="5" t="s">
        <v>40008</v>
      </c>
      <c r="L6283" s="5" t="s">
        <v>40824</v>
      </c>
    </row>
    <row r="6284">
      <c r="A6284" s="4">
        <v>45534.368113819444</v>
      </c>
      <c r="B6284" s="5" t="s">
        <v>34</v>
      </c>
      <c r="D6284" s="5" t="s">
        <v>35</v>
      </c>
      <c r="E6284" s="5" t="s">
        <v>40827</v>
      </c>
      <c r="F6284" s="5" t="s">
        <v>37</v>
      </c>
      <c r="G6284" s="5" t="s">
        <v>40828</v>
      </c>
      <c r="H6284" s="6" t="s">
        <v>40829</v>
      </c>
      <c r="K6284" s="5" t="s">
        <v>40830</v>
      </c>
    </row>
    <row r="6285">
      <c r="A6285" s="4">
        <v>45534.36811391204</v>
      </c>
      <c r="B6285" s="5" t="s">
        <v>34</v>
      </c>
      <c r="D6285" s="5" t="s">
        <v>35</v>
      </c>
      <c r="E6285" s="5" t="s">
        <v>40833</v>
      </c>
      <c r="F6285" s="5" t="s">
        <v>108</v>
      </c>
      <c r="G6285" s="5" t="s">
        <v>40834</v>
      </c>
      <c r="H6285" s="6" t="s">
        <v>40835</v>
      </c>
      <c r="K6285" s="5" t="s">
        <v>40830</v>
      </c>
    </row>
    <row r="6286">
      <c r="A6286" s="4">
        <v>45534.36811506945</v>
      </c>
      <c r="B6286" s="5" t="s">
        <v>34</v>
      </c>
      <c r="D6286" s="5" t="s">
        <v>14313</v>
      </c>
      <c r="E6286" s="5" t="s">
        <v>40838</v>
      </c>
      <c r="F6286" s="5" t="s">
        <v>72</v>
      </c>
      <c r="G6286" s="5" t="s">
        <v>40839</v>
      </c>
      <c r="H6286" s="6" t="s">
        <v>40840</v>
      </c>
      <c r="K6286" s="5" t="s">
        <v>40830</v>
      </c>
    </row>
    <row r="6287">
      <c r="A6287" s="4">
        <v>45534.36812099537</v>
      </c>
      <c r="B6287" s="5" t="s">
        <v>34</v>
      </c>
      <c r="D6287" s="5" t="s">
        <v>580</v>
      </c>
      <c r="E6287" s="5" t="s">
        <v>40844</v>
      </c>
      <c r="F6287" s="5" t="s">
        <v>37</v>
      </c>
      <c r="G6287" s="5" t="s">
        <v>40845</v>
      </c>
      <c r="H6287" s="6" t="s">
        <v>40846</v>
      </c>
      <c r="K6287" s="5" t="s">
        <v>40830</v>
      </c>
    </row>
    <row r="6288">
      <c r="A6288" s="4">
        <v>45534.368123368055</v>
      </c>
      <c r="B6288" s="5" t="s">
        <v>34</v>
      </c>
      <c r="D6288" s="5" t="s">
        <v>1206</v>
      </c>
      <c r="E6288" s="5" t="s">
        <v>40849</v>
      </c>
      <c r="F6288" s="5" t="s">
        <v>5859</v>
      </c>
      <c r="G6288" s="5" t="s">
        <v>40850</v>
      </c>
      <c r="H6288" s="6" t="s">
        <v>40851</v>
      </c>
      <c r="K6288" s="5" t="s">
        <v>40830</v>
      </c>
    </row>
    <row r="6289">
      <c r="A6289" s="4">
        <v>45534.36811940972</v>
      </c>
      <c r="B6289" s="5" t="s">
        <v>34</v>
      </c>
      <c r="D6289" s="5" t="s">
        <v>1692</v>
      </c>
      <c r="E6289" s="5" t="s">
        <v>40854</v>
      </c>
      <c r="F6289" s="5" t="s">
        <v>72</v>
      </c>
      <c r="G6289" s="5" t="s">
        <v>40855</v>
      </c>
      <c r="H6289" s="6" t="s">
        <v>40856</v>
      </c>
      <c r="K6289" s="5" t="s">
        <v>40830</v>
      </c>
    </row>
    <row r="6290">
      <c r="A6290" s="4">
        <v>45534.368134687495</v>
      </c>
      <c r="B6290" s="5" t="s">
        <v>34</v>
      </c>
      <c r="D6290" s="5" t="s">
        <v>35</v>
      </c>
      <c r="E6290" s="5" t="s">
        <v>40859</v>
      </c>
      <c r="F6290" s="5" t="s">
        <v>328</v>
      </c>
      <c r="G6290" s="5" t="s">
        <v>40860</v>
      </c>
      <c r="H6290" s="6" t="s">
        <v>40861</v>
      </c>
      <c r="K6290" s="5" t="s">
        <v>40830</v>
      </c>
    </row>
    <row r="6291">
      <c r="A6291" s="4">
        <v>45534.36814262731</v>
      </c>
      <c r="B6291" s="5" t="s">
        <v>19</v>
      </c>
      <c r="C6291" s="5" t="s">
        <v>40230</v>
      </c>
      <c r="E6291" s="5" t="s">
        <v>40865</v>
      </c>
      <c r="F6291" s="5" t="s">
        <v>375</v>
      </c>
      <c r="G6291" s="5" t="s">
        <v>40866</v>
      </c>
      <c r="H6291" s="6" t="s">
        <v>40867</v>
      </c>
      <c r="K6291" s="5" t="s">
        <v>40830</v>
      </c>
    </row>
    <row r="6292">
      <c r="A6292" s="4">
        <v>45534.368155324075</v>
      </c>
      <c r="B6292" s="5" t="s">
        <v>34</v>
      </c>
      <c r="D6292" s="5" t="s">
        <v>10297</v>
      </c>
      <c r="E6292" s="5" t="s">
        <v>40870</v>
      </c>
      <c r="F6292" s="5" t="s">
        <v>212</v>
      </c>
      <c r="G6292" s="5" t="s">
        <v>40871</v>
      </c>
      <c r="H6292" s="6" t="s">
        <v>40872</v>
      </c>
      <c r="K6292" s="5" t="s">
        <v>40830</v>
      </c>
    </row>
    <row r="6293">
      <c r="A6293" s="4">
        <v>45534.36815616898</v>
      </c>
      <c r="B6293" s="5" t="s">
        <v>34</v>
      </c>
      <c r="D6293" s="5" t="s">
        <v>10444</v>
      </c>
      <c r="E6293" s="5" t="s">
        <v>40875</v>
      </c>
      <c r="F6293" s="5" t="s">
        <v>212</v>
      </c>
      <c r="G6293" s="5" t="s">
        <v>40876</v>
      </c>
      <c r="H6293" s="6" t="s">
        <v>40877</v>
      </c>
      <c r="K6293" s="5" t="s">
        <v>40830</v>
      </c>
    </row>
    <row r="6294">
      <c r="A6294" s="4">
        <v>45534.36816182871</v>
      </c>
      <c r="B6294" s="5" t="s">
        <v>34</v>
      </c>
      <c r="D6294" s="5" t="s">
        <v>701</v>
      </c>
      <c r="E6294" s="5" t="s">
        <v>40880</v>
      </c>
      <c r="F6294" s="5" t="s">
        <v>72</v>
      </c>
      <c r="G6294" s="5" t="s">
        <v>40881</v>
      </c>
      <c r="H6294" s="6" t="s">
        <v>40882</v>
      </c>
      <c r="K6294" s="5" t="s">
        <v>40883</v>
      </c>
    </row>
    <row r="6295">
      <c r="A6295" s="4">
        <v>45534.368165416665</v>
      </c>
      <c r="B6295" s="5" t="s">
        <v>34</v>
      </c>
      <c r="D6295" s="5" t="s">
        <v>3849</v>
      </c>
      <c r="E6295" s="5" t="s">
        <v>40887</v>
      </c>
      <c r="F6295" s="5" t="s">
        <v>715</v>
      </c>
      <c r="G6295" s="5" t="s">
        <v>40888</v>
      </c>
      <c r="H6295" s="6" t="s">
        <v>40889</v>
      </c>
      <c r="K6295" s="5" t="s">
        <v>40883</v>
      </c>
    </row>
    <row r="6296">
      <c r="A6296" s="4">
        <v>45534.36817553241</v>
      </c>
      <c r="B6296" s="5" t="s">
        <v>34</v>
      </c>
      <c r="D6296" s="5" t="s">
        <v>4775</v>
      </c>
      <c r="E6296" s="5" t="s">
        <v>40892</v>
      </c>
      <c r="F6296" s="5" t="s">
        <v>72</v>
      </c>
      <c r="G6296" s="5" t="s">
        <v>40893</v>
      </c>
      <c r="H6296" s="6" t="s">
        <v>40894</v>
      </c>
      <c r="K6296" s="5" t="s">
        <v>40883</v>
      </c>
    </row>
    <row r="6297">
      <c r="A6297" s="4">
        <v>45534.36818668981</v>
      </c>
      <c r="B6297" s="5" t="s">
        <v>34</v>
      </c>
      <c r="D6297" s="5" t="s">
        <v>6232</v>
      </c>
      <c r="E6297" s="5" t="s">
        <v>40897</v>
      </c>
      <c r="F6297" s="5" t="s">
        <v>72</v>
      </c>
      <c r="G6297" s="5" t="s">
        <v>40898</v>
      </c>
      <c r="H6297" s="6" t="s">
        <v>40899</v>
      </c>
      <c r="K6297" s="5" t="s">
        <v>40883</v>
      </c>
    </row>
    <row r="6298">
      <c r="A6298" s="4">
        <v>45534.368190127316</v>
      </c>
      <c r="B6298" s="5" t="s">
        <v>34</v>
      </c>
      <c r="D6298" s="5" t="s">
        <v>9020</v>
      </c>
      <c r="E6298" s="5" t="s">
        <v>40903</v>
      </c>
      <c r="F6298" s="5" t="s">
        <v>72</v>
      </c>
      <c r="G6298" s="5" t="s">
        <v>40904</v>
      </c>
      <c r="H6298" s="6" t="s">
        <v>40905</v>
      </c>
      <c r="K6298" s="5" t="s">
        <v>40906</v>
      </c>
    </row>
    <row r="6299">
      <c r="A6299" s="4">
        <v>45534.3682105787</v>
      </c>
      <c r="B6299" s="5" t="s">
        <v>34</v>
      </c>
      <c r="D6299" s="5" t="s">
        <v>14424</v>
      </c>
      <c r="E6299" s="5" t="s">
        <v>40909</v>
      </c>
      <c r="F6299" s="5" t="s">
        <v>108</v>
      </c>
      <c r="G6299" s="5" t="s">
        <v>40910</v>
      </c>
      <c r="H6299" s="6" t="s">
        <v>40911</v>
      </c>
      <c r="K6299" s="5" t="s">
        <v>40906</v>
      </c>
    </row>
    <row r="6300">
      <c r="A6300" s="4">
        <v>45534.36821211806</v>
      </c>
      <c r="B6300" s="5" t="s">
        <v>34</v>
      </c>
      <c r="D6300" s="5" t="s">
        <v>12978</v>
      </c>
      <c r="E6300" s="5" t="s">
        <v>40914</v>
      </c>
      <c r="F6300" s="5" t="s">
        <v>375</v>
      </c>
      <c r="G6300" s="5" t="s">
        <v>40915</v>
      </c>
      <c r="H6300" s="6" t="s">
        <v>40916</v>
      </c>
      <c r="K6300" s="5" t="s">
        <v>40906</v>
      </c>
    </row>
    <row r="6301">
      <c r="A6301" s="4">
        <v>45534.3682238426</v>
      </c>
      <c r="B6301" s="5" t="s">
        <v>34</v>
      </c>
      <c r="D6301" s="5" t="s">
        <v>267</v>
      </c>
      <c r="E6301" s="5" t="s">
        <v>40919</v>
      </c>
      <c r="F6301" s="5" t="s">
        <v>108</v>
      </c>
      <c r="G6301" s="5" t="s">
        <v>40920</v>
      </c>
      <c r="H6301" s="6" t="s">
        <v>40921</v>
      </c>
      <c r="K6301" s="5" t="s">
        <v>40922</v>
      </c>
    </row>
    <row r="6302">
      <c r="A6302" s="4">
        <v>45534.36822787037</v>
      </c>
      <c r="B6302" s="5" t="s">
        <v>34</v>
      </c>
      <c r="D6302" s="5" t="s">
        <v>1206</v>
      </c>
      <c r="E6302" s="5" t="s">
        <v>40926</v>
      </c>
      <c r="F6302" s="5" t="s">
        <v>37</v>
      </c>
      <c r="G6302" s="5" t="s">
        <v>40927</v>
      </c>
      <c r="H6302" s="6" t="s">
        <v>40928</v>
      </c>
      <c r="K6302" s="5" t="s">
        <v>40922</v>
      </c>
    </row>
    <row r="6303">
      <c r="A6303" s="4">
        <v>45534.3682429051</v>
      </c>
      <c r="B6303" s="5" t="s">
        <v>34</v>
      </c>
      <c r="D6303" s="5" t="s">
        <v>9394</v>
      </c>
      <c r="E6303" s="5" t="s">
        <v>40931</v>
      </c>
      <c r="F6303" s="5" t="s">
        <v>524</v>
      </c>
      <c r="G6303" s="5" t="s">
        <v>40932</v>
      </c>
      <c r="H6303" s="6" t="s">
        <v>40933</v>
      </c>
      <c r="K6303" s="5" t="s">
        <v>40922</v>
      </c>
    </row>
    <row r="6304">
      <c r="A6304" s="4">
        <v>45534.368278842594</v>
      </c>
      <c r="B6304" s="5" t="s">
        <v>34</v>
      </c>
      <c r="D6304" s="5" t="s">
        <v>1206</v>
      </c>
      <c r="E6304" s="5" t="s">
        <v>40936</v>
      </c>
      <c r="F6304" s="5" t="s">
        <v>212</v>
      </c>
      <c r="G6304" s="5" t="s">
        <v>40937</v>
      </c>
      <c r="H6304" s="6" t="s">
        <v>40938</v>
      </c>
      <c r="K6304" s="5" t="s">
        <v>40939</v>
      </c>
    </row>
    <row r="6305">
      <c r="A6305" s="4">
        <v>45534.368288275466</v>
      </c>
      <c r="B6305" s="5" t="s">
        <v>34</v>
      </c>
      <c r="D6305" s="5" t="s">
        <v>604</v>
      </c>
      <c r="E6305" s="5" t="s">
        <v>40942</v>
      </c>
      <c r="F6305" s="5" t="s">
        <v>120</v>
      </c>
      <c r="G6305" s="5" t="s">
        <v>40943</v>
      </c>
      <c r="H6305" s="6" t="s">
        <v>40944</v>
      </c>
      <c r="K6305" s="5" t="s">
        <v>40939</v>
      </c>
    </row>
    <row r="6306">
      <c r="A6306" s="4">
        <v>45534.36829452546</v>
      </c>
      <c r="B6306" s="5" t="s">
        <v>34</v>
      </c>
      <c r="D6306" s="5" t="s">
        <v>1768</v>
      </c>
      <c r="E6306" s="5" t="s">
        <v>40947</v>
      </c>
      <c r="F6306" s="5" t="s">
        <v>375</v>
      </c>
      <c r="G6306" s="5" t="s">
        <v>40948</v>
      </c>
      <c r="H6306" s="6" t="s">
        <v>40949</v>
      </c>
      <c r="K6306" s="5" t="s">
        <v>40939</v>
      </c>
    </row>
    <row r="6307">
      <c r="A6307" s="4">
        <v>45534.36829804398</v>
      </c>
      <c r="B6307" s="5" t="s">
        <v>34</v>
      </c>
      <c r="D6307" s="5" t="s">
        <v>9020</v>
      </c>
      <c r="E6307" s="5" t="s">
        <v>40953</v>
      </c>
      <c r="F6307" s="5" t="s">
        <v>524</v>
      </c>
      <c r="G6307" s="5" t="s">
        <v>40954</v>
      </c>
      <c r="H6307" s="6" t="s">
        <v>40955</v>
      </c>
      <c r="K6307" s="5" t="s">
        <v>40939</v>
      </c>
    </row>
    <row r="6308">
      <c r="A6308" s="4">
        <v>45534.36830164352</v>
      </c>
      <c r="B6308" s="5" t="s">
        <v>34</v>
      </c>
      <c r="D6308" s="5" t="s">
        <v>7858</v>
      </c>
      <c r="E6308" s="5" t="s">
        <v>40958</v>
      </c>
      <c r="F6308" s="5" t="s">
        <v>375</v>
      </c>
      <c r="G6308" s="5" t="s">
        <v>40959</v>
      </c>
      <c r="H6308" s="6" t="s">
        <v>40960</v>
      </c>
      <c r="K6308" s="5" t="s">
        <v>40939</v>
      </c>
    </row>
    <row r="6309">
      <c r="A6309" s="4">
        <v>45534.368303564814</v>
      </c>
      <c r="B6309" s="5" t="s">
        <v>19</v>
      </c>
      <c r="C6309" s="5" t="s">
        <v>14000</v>
      </c>
      <c r="E6309" s="5" t="s">
        <v>40963</v>
      </c>
      <c r="F6309" s="5" t="s">
        <v>37</v>
      </c>
      <c r="G6309" s="5" t="s">
        <v>40964</v>
      </c>
      <c r="H6309" s="6" t="s">
        <v>40965</v>
      </c>
      <c r="K6309" s="5" t="s">
        <v>40939</v>
      </c>
    </row>
    <row r="6310">
      <c r="A6310" s="4">
        <v>45534.36830792824</v>
      </c>
      <c r="B6310" s="5" t="s">
        <v>34</v>
      </c>
      <c r="D6310" s="5" t="s">
        <v>9020</v>
      </c>
      <c r="E6310" s="5" t="s">
        <v>40968</v>
      </c>
      <c r="F6310" s="5" t="s">
        <v>37</v>
      </c>
      <c r="G6310" s="5" t="s">
        <v>40969</v>
      </c>
      <c r="H6310" s="6" t="s">
        <v>40970</v>
      </c>
      <c r="K6310" s="5" t="s">
        <v>40939</v>
      </c>
    </row>
    <row r="6311">
      <c r="A6311" s="4">
        <v>45534.36830967593</v>
      </c>
      <c r="B6311" s="5" t="s">
        <v>34</v>
      </c>
      <c r="D6311" s="5" t="s">
        <v>4775</v>
      </c>
      <c r="E6311" s="5" t="s">
        <v>40973</v>
      </c>
      <c r="F6311" s="5" t="s">
        <v>524</v>
      </c>
      <c r="G6311" s="5" t="s">
        <v>40974</v>
      </c>
      <c r="H6311" s="6" t="s">
        <v>40975</v>
      </c>
      <c r="K6311" s="5" t="s">
        <v>40939</v>
      </c>
    </row>
    <row r="6312">
      <c r="A6312" s="4">
        <v>45534.36831149306</v>
      </c>
      <c r="B6312" s="5" t="s">
        <v>34</v>
      </c>
      <c r="D6312" s="5" t="s">
        <v>3849</v>
      </c>
      <c r="E6312" s="5" t="s">
        <v>40979</v>
      </c>
      <c r="F6312" s="5" t="s">
        <v>72</v>
      </c>
      <c r="G6312" s="5" t="s">
        <v>40980</v>
      </c>
      <c r="H6312" s="6" t="s">
        <v>40981</v>
      </c>
      <c r="K6312" s="5" t="s">
        <v>40939</v>
      </c>
    </row>
    <row r="6313">
      <c r="A6313" s="4">
        <v>45534.368330983794</v>
      </c>
      <c r="B6313" s="5" t="s">
        <v>34</v>
      </c>
      <c r="D6313" s="5" t="s">
        <v>35</v>
      </c>
      <c r="E6313" s="5" t="s">
        <v>40984</v>
      </c>
      <c r="F6313" s="5" t="s">
        <v>120</v>
      </c>
      <c r="G6313" s="5" t="s">
        <v>40985</v>
      </c>
      <c r="H6313" s="6" t="s">
        <v>40986</v>
      </c>
      <c r="K6313" s="5" t="s">
        <v>40939</v>
      </c>
    </row>
    <row r="6314">
      <c r="A6314" s="4">
        <v>45534.3683365162</v>
      </c>
      <c r="B6314" s="5" t="s">
        <v>34</v>
      </c>
      <c r="D6314" s="5" t="s">
        <v>7858</v>
      </c>
      <c r="E6314" s="5" t="s">
        <v>40989</v>
      </c>
      <c r="F6314" s="5" t="s">
        <v>375</v>
      </c>
      <c r="G6314" s="5" t="s">
        <v>40990</v>
      </c>
      <c r="H6314" s="6" t="s">
        <v>40991</v>
      </c>
      <c r="K6314" s="5" t="s">
        <v>40939</v>
      </c>
    </row>
    <row r="6315">
      <c r="A6315" s="4">
        <v>45534.368340393514</v>
      </c>
      <c r="B6315" s="5" t="s">
        <v>34</v>
      </c>
      <c r="D6315" s="5" t="s">
        <v>1558</v>
      </c>
      <c r="E6315" s="5" t="s">
        <v>40994</v>
      </c>
      <c r="F6315" s="5" t="s">
        <v>37</v>
      </c>
      <c r="G6315" s="5" t="s">
        <v>40995</v>
      </c>
      <c r="H6315" s="6" t="s">
        <v>40996</v>
      </c>
      <c r="K6315" s="5" t="s">
        <v>40939</v>
      </c>
    </row>
    <row r="6316">
      <c r="A6316" s="4">
        <v>45534.368357581014</v>
      </c>
      <c r="B6316" s="5" t="s">
        <v>34</v>
      </c>
      <c r="D6316" s="5" t="s">
        <v>4775</v>
      </c>
      <c r="E6316" s="5" t="s">
        <v>41000</v>
      </c>
      <c r="F6316" s="5" t="s">
        <v>37</v>
      </c>
      <c r="G6316" s="5" t="s">
        <v>41001</v>
      </c>
      <c r="H6316" s="6" t="s">
        <v>41002</v>
      </c>
      <c r="K6316" s="5" t="s">
        <v>40939</v>
      </c>
    </row>
    <row r="6317">
      <c r="A6317" s="4">
        <v>45534.36836759259</v>
      </c>
      <c r="B6317" s="5" t="s">
        <v>34</v>
      </c>
      <c r="D6317" s="5" t="s">
        <v>2903</v>
      </c>
      <c r="E6317" s="5" t="s">
        <v>41005</v>
      </c>
      <c r="F6317" s="5" t="s">
        <v>37</v>
      </c>
      <c r="G6317" s="5" t="s">
        <v>41006</v>
      </c>
      <c r="H6317" s="6" t="s">
        <v>41007</v>
      </c>
      <c r="K6317" s="5" t="s">
        <v>40939</v>
      </c>
    </row>
    <row r="6318">
      <c r="A6318" s="4">
        <v>45534.36836796296</v>
      </c>
      <c r="B6318" s="5" t="s">
        <v>34</v>
      </c>
      <c r="D6318" s="5" t="s">
        <v>12010</v>
      </c>
      <c r="E6318" s="5" t="s">
        <v>41010</v>
      </c>
      <c r="F6318" s="5" t="s">
        <v>715</v>
      </c>
      <c r="G6318" s="5" t="s">
        <v>41011</v>
      </c>
      <c r="H6318" s="6" t="s">
        <v>41012</v>
      </c>
      <c r="K6318" s="5" t="s">
        <v>40939</v>
      </c>
    </row>
    <row r="6319">
      <c r="A6319" s="4">
        <v>45534.368398182865</v>
      </c>
      <c r="B6319" s="5" t="s">
        <v>34</v>
      </c>
      <c r="D6319" s="5" t="s">
        <v>4775</v>
      </c>
      <c r="E6319" s="5" t="s">
        <v>41015</v>
      </c>
      <c r="F6319" s="5" t="s">
        <v>375</v>
      </c>
      <c r="G6319" s="5" t="s">
        <v>41016</v>
      </c>
      <c r="H6319" s="6" t="s">
        <v>41017</v>
      </c>
      <c r="K6319" s="5" t="s">
        <v>40939</v>
      </c>
    </row>
    <row r="6320">
      <c r="A6320" s="4">
        <v>45534.36840390046</v>
      </c>
      <c r="B6320" s="5" t="s">
        <v>34</v>
      </c>
      <c r="D6320" s="5" t="s">
        <v>12010</v>
      </c>
      <c r="E6320" s="5" t="s">
        <v>41021</v>
      </c>
      <c r="F6320" s="5" t="s">
        <v>37</v>
      </c>
      <c r="G6320" s="5" t="s">
        <v>41022</v>
      </c>
      <c r="H6320" s="6" t="s">
        <v>41023</v>
      </c>
      <c r="K6320" s="5" t="s">
        <v>40939</v>
      </c>
    </row>
    <row r="6321">
      <c r="A6321" s="4">
        <v>45534.36840435185</v>
      </c>
      <c r="B6321" s="5" t="s">
        <v>34</v>
      </c>
      <c r="D6321" s="5" t="s">
        <v>4775</v>
      </c>
      <c r="E6321" s="5" t="s">
        <v>41026</v>
      </c>
      <c r="F6321" s="5" t="s">
        <v>120</v>
      </c>
      <c r="G6321" s="5" t="s">
        <v>41027</v>
      </c>
      <c r="H6321" s="6" t="s">
        <v>41028</v>
      </c>
      <c r="K6321" s="5" t="s">
        <v>40939</v>
      </c>
    </row>
    <row r="6322">
      <c r="A6322" s="4">
        <v>45534.36841604167</v>
      </c>
      <c r="B6322" s="5" t="s">
        <v>34</v>
      </c>
      <c r="D6322" s="5" t="s">
        <v>1456</v>
      </c>
      <c r="E6322" s="5" t="s">
        <v>41031</v>
      </c>
      <c r="F6322" s="5" t="s">
        <v>37</v>
      </c>
      <c r="G6322" s="5" t="s">
        <v>41032</v>
      </c>
      <c r="H6322" s="6" t="s">
        <v>41033</v>
      </c>
      <c r="K6322" s="5" t="s">
        <v>40939</v>
      </c>
    </row>
    <row r="6323">
      <c r="A6323" s="4">
        <v>45534.36842002315</v>
      </c>
      <c r="B6323" s="5" t="s">
        <v>34</v>
      </c>
      <c r="D6323" s="5" t="s">
        <v>996</v>
      </c>
      <c r="E6323" s="5" t="s">
        <v>41036</v>
      </c>
      <c r="F6323" s="5" t="s">
        <v>72</v>
      </c>
      <c r="G6323" s="5" t="s">
        <v>41037</v>
      </c>
      <c r="H6323" s="6" t="s">
        <v>41038</v>
      </c>
      <c r="K6323" s="5" t="s">
        <v>40939</v>
      </c>
    </row>
    <row r="6324">
      <c r="A6324" s="4">
        <v>45534.36842384259</v>
      </c>
      <c r="B6324" s="5" t="s">
        <v>34</v>
      </c>
      <c r="D6324" s="5" t="s">
        <v>701</v>
      </c>
      <c r="E6324" s="5" t="s">
        <v>41041</v>
      </c>
      <c r="F6324" s="5" t="s">
        <v>108</v>
      </c>
      <c r="G6324" s="5" t="s">
        <v>41042</v>
      </c>
      <c r="H6324" s="6" t="s">
        <v>41043</v>
      </c>
      <c r="K6324" s="5" t="s">
        <v>40939</v>
      </c>
    </row>
    <row r="6325">
      <c r="A6325" s="4">
        <v>45534.36843494213</v>
      </c>
      <c r="B6325" s="5" t="s">
        <v>34</v>
      </c>
      <c r="D6325" s="5" t="s">
        <v>1206</v>
      </c>
      <c r="E6325" s="5" t="s">
        <v>41047</v>
      </c>
      <c r="F6325" s="5" t="s">
        <v>212</v>
      </c>
      <c r="G6325" s="5" t="s">
        <v>41048</v>
      </c>
      <c r="H6325" s="6" t="s">
        <v>41049</v>
      </c>
      <c r="K6325" s="5" t="s">
        <v>40939</v>
      </c>
    </row>
    <row r="6326">
      <c r="A6326" s="4">
        <v>45534.36843560185</v>
      </c>
      <c r="B6326" s="5" t="s">
        <v>34</v>
      </c>
      <c r="D6326" s="5" t="s">
        <v>10297</v>
      </c>
      <c r="E6326" s="5" t="s">
        <v>41052</v>
      </c>
      <c r="F6326" s="5" t="s">
        <v>212</v>
      </c>
      <c r="G6326" s="5" t="s">
        <v>38138</v>
      </c>
      <c r="H6326" s="6" t="s">
        <v>41053</v>
      </c>
      <c r="K6326" s="5" t="s">
        <v>40939</v>
      </c>
    </row>
    <row r="6327">
      <c r="A6327" s="4">
        <v>45534.36843902778</v>
      </c>
      <c r="B6327" s="5" t="s">
        <v>34</v>
      </c>
      <c r="D6327" s="5" t="s">
        <v>1206</v>
      </c>
      <c r="E6327" s="5" t="s">
        <v>41056</v>
      </c>
      <c r="F6327" s="5" t="s">
        <v>108</v>
      </c>
      <c r="G6327" s="5" t="s">
        <v>41057</v>
      </c>
      <c r="H6327" s="6" t="s">
        <v>41058</v>
      </c>
      <c r="K6327" s="5" t="s">
        <v>40939</v>
      </c>
    </row>
    <row r="6328">
      <c r="A6328" s="4">
        <v>45534.36844827546</v>
      </c>
      <c r="B6328" s="5" t="s">
        <v>19</v>
      </c>
      <c r="C6328" s="5" t="s">
        <v>292</v>
      </c>
      <c r="E6328" s="5" t="s">
        <v>41061</v>
      </c>
      <c r="F6328" s="5" t="s">
        <v>37</v>
      </c>
      <c r="G6328" s="5" t="s">
        <v>41062</v>
      </c>
      <c r="H6328" s="6" t="s">
        <v>41063</v>
      </c>
      <c r="K6328" s="5" t="s">
        <v>40939</v>
      </c>
    </row>
    <row r="6329">
      <c r="A6329" s="4">
        <v>45534.36845891204</v>
      </c>
      <c r="B6329" s="5" t="s">
        <v>34</v>
      </c>
      <c r="D6329" s="5" t="s">
        <v>1206</v>
      </c>
      <c r="E6329" s="5" t="s">
        <v>41067</v>
      </c>
      <c r="F6329" s="5" t="s">
        <v>199</v>
      </c>
      <c r="G6329" s="5" t="s">
        <v>41068</v>
      </c>
      <c r="H6329" s="6" t="s">
        <v>41069</v>
      </c>
      <c r="K6329" s="5" t="s">
        <v>40939</v>
      </c>
    </row>
    <row r="6330">
      <c r="A6330" s="4">
        <v>45534.36846439815</v>
      </c>
      <c r="B6330" s="5" t="s">
        <v>19</v>
      </c>
      <c r="C6330" s="5" t="s">
        <v>3301</v>
      </c>
      <c r="E6330" s="5" t="s">
        <v>41072</v>
      </c>
      <c r="F6330" s="5" t="s">
        <v>37</v>
      </c>
      <c r="G6330" s="5" t="s">
        <v>41073</v>
      </c>
      <c r="H6330" s="6" t="s">
        <v>41074</v>
      </c>
      <c r="K6330" s="5" t="s">
        <v>40939</v>
      </c>
    </row>
    <row r="6331">
      <c r="A6331" s="4">
        <v>45534.36847541667</v>
      </c>
      <c r="B6331" s="5" t="s">
        <v>34</v>
      </c>
      <c r="D6331" s="5" t="s">
        <v>15401</v>
      </c>
      <c r="E6331" s="5" t="s">
        <v>41077</v>
      </c>
      <c r="F6331" s="5" t="s">
        <v>37</v>
      </c>
      <c r="G6331" s="5" t="s">
        <v>41078</v>
      </c>
      <c r="H6331" s="6" t="s">
        <v>41079</v>
      </c>
      <c r="K6331" s="5" t="s">
        <v>40939</v>
      </c>
    </row>
    <row r="6332">
      <c r="A6332" s="4">
        <v>45534.36847234954</v>
      </c>
      <c r="B6332" s="5" t="s">
        <v>34</v>
      </c>
      <c r="D6332" s="5" t="s">
        <v>1206</v>
      </c>
      <c r="E6332" s="5" t="s">
        <v>41082</v>
      </c>
      <c r="F6332" s="5" t="s">
        <v>212</v>
      </c>
      <c r="G6332" s="5" t="s">
        <v>41083</v>
      </c>
      <c r="H6332" s="6" t="s">
        <v>41084</v>
      </c>
      <c r="K6332" s="5" t="s">
        <v>40939</v>
      </c>
    </row>
    <row r="6333">
      <c r="A6333" s="4">
        <v>45534.36848657407</v>
      </c>
      <c r="B6333" s="5" t="s">
        <v>34</v>
      </c>
      <c r="D6333" s="5" t="s">
        <v>9020</v>
      </c>
      <c r="E6333" s="5" t="s">
        <v>41087</v>
      </c>
      <c r="F6333" s="5" t="s">
        <v>108</v>
      </c>
      <c r="G6333" s="5" t="s">
        <v>41088</v>
      </c>
      <c r="H6333" s="6" t="s">
        <v>41089</v>
      </c>
      <c r="K6333" s="5" t="s">
        <v>40939</v>
      </c>
    </row>
    <row r="6334">
      <c r="A6334" s="4">
        <v>45534.36850188657</v>
      </c>
      <c r="B6334" s="5" t="s">
        <v>34</v>
      </c>
      <c r="D6334" s="5" t="s">
        <v>1206</v>
      </c>
      <c r="E6334" s="5" t="s">
        <v>41093</v>
      </c>
      <c r="F6334" s="5" t="s">
        <v>715</v>
      </c>
      <c r="G6334" s="5" t="s">
        <v>41094</v>
      </c>
      <c r="H6334" s="6" t="s">
        <v>41095</v>
      </c>
      <c r="K6334" s="5" t="s">
        <v>40939</v>
      </c>
    </row>
    <row r="6335">
      <c r="A6335" s="4">
        <v>45534.36850353009</v>
      </c>
      <c r="B6335" s="5" t="s">
        <v>34</v>
      </c>
      <c r="D6335" s="5" t="s">
        <v>9394</v>
      </c>
      <c r="E6335" s="5" t="s">
        <v>41098</v>
      </c>
      <c r="F6335" s="5" t="s">
        <v>212</v>
      </c>
      <c r="G6335" s="5" t="s">
        <v>41099</v>
      </c>
      <c r="H6335" s="6" t="s">
        <v>41100</v>
      </c>
      <c r="K6335" s="5" t="s">
        <v>40939</v>
      </c>
    </row>
    <row r="6336">
      <c r="A6336" s="4">
        <v>45534.36851114583</v>
      </c>
      <c r="B6336" s="5" t="s">
        <v>34</v>
      </c>
      <c r="D6336" s="5" t="s">
        <v>975</v>
      </c>
      <c r="E6336" s="5" t="s">
        <v>41103</v>
      </c>
      <c r="F6336" s="5" t="s">
        <v>715</v>
      </c>
      <c r="G6336" s="5" t="s">
        <v>41104</v>
      </c>
      <c r="H6336" s="6" t="s">
        <v>41105</v>
      </c>
      <c r="K6336" s="5" t="s">
        <v>40939</v>
      </c>
    </row>
    <row r="6337">
      <c r="A6337" s="4">
        <v>45534.36852016204</v>
      </c>
      <c r="B6337" s="5" t="s">
        <v>34</v>
      </c>
      <c r="D6337" s="5" t="s">
        <v>10297</v>
      </c>
      <c r="E6337" s="5" t="s">
        <v>41108</v>
      </c>
      <c r="F6337" s="5" t="s">
        <v>72</v>
      </c>
      <c r="G6337" s="5" t="s">
        <v>41109</v>
      </c>
      <c r="H6337" s="6" t="s">
        <v>41110</v>
      </c>
      <c r="K6337" s="5" t="s">
        <v>40939</v>
      </c>
    </row>
    <row r="6338">
      <c r="A6338" s="4">
        <v>45534.36852270833</v>
      </c>
      <c r="B6338" s="5" t="s">
        <v>34</v>
      </c>
      <c r="D6338" s="5" t="s">
        <v>9394</v>
      </c>
      <c r="E6338" s="5" t="s">
        <v>41113</v>
      </c>
      <c r="F6338" s="5" t="s">
        <v>37</v>
      </c>
      <c r="G6338" s="5" t="s">
        <v>41114</v>
      </c>
      <c r="H6338" s="6" t="s">
        <v>41115</v>
      </c>
      <c r="K6338" s="5" t="s">
        <v>40939</v>
      </c>
    </row>
    <row r="6339">
      <c r="A6339" s="4">
        <v>45534.368536145834</v>
      </c>
      <c r="B6339" s="5" t="s">
        <v>34</v>
      </c>
      <c r="D6339" s="5" t="s">
        <v>4775</v>
      </c>
      <c r="E6339" s="5" t="s">
        <v>41119</v>
      </c>
      <c r="F6339" s="5" t="s">
        <v>212</v>
      </c>
      <c r="G6339" s="5" t="s">
        <v>41120</v>
      </c>
      <c r="H6339" s="6" t="s">
        <v>41121</v>
      </c>
      <c r="K6339" s="5" t="s">
        <v>40166</v>
      </c>
    </row>
    <row r="6340">
      <c r="A6340" s="4">
        <v>45534.3685437963</v>
      </c>
      <c r="B6340" s="5" t="s">
        <v>34</v>
      </c>
      <c r="D6340" s="5" t="s">
        <v>996</v>
      </c>
      <c r="E6340" s="5" t="s">
        <v>41124</v>
      </c>
      <c r="F6340" s="5" t="s">
        <v>72</v>
      </c>
      <c r="G6340" s="5" t="s">
        <v>41125</v>
      </c>
      <c r="H6340" s="6" t="s">
        <v>41126</v>
      </c>
      <c r="K6340" s="5" t="s">
        <v>40166</v>
      </c>
    </row>
    <row r="6341">
      <c r="A6341" s="4">
        <v>45534.368544895835</v>
      </c>
      <c r="B6341" s="5" t="s">
        <v>34</v>
      </c>
      <c r="D6341" s="5" t="s">
        <v>4775</v>
      </c>
      <c r="E6341" s="5" t="s">
        <v>41129</v>
      </c>
      <c r="F6341" s="5" t="s">
        <v>37</v>
      </c>
      <c r="G6341" s="5" t="s">
        <v>41130</v>
      </c>
      <c r="H6341" s="6" t="s">
        <v>41131</v>
      </c>
      <c r="K6341" s="5" t="s">
        <v>40166</v>
      </c>
    </row>
    <row r="6342">
      <c r="A6342" s="4">
        <v>45534.36855167824</v>
      </c>
      <c r="B6342" s="5" t="s">
        <v>34</v>
      </c>
      <c r="D6342" s="5" t="s">
        <v>1692</v>
      </c>
      <c r="E6342" s="5" t="s">
        <v>41135</v>
      </c>
      <c r="F6342" s="5" t="s">
        <v>72</v>
      </c>
      <c r="G6342" s="5" t="s">
        <v>41136</v>
      </c>
      <c r="H6342" s="6" t="s">
        <v>41137</v>
      </c>
      <c r="K6342" s="5" t="s">
        <v>40166</v>
      </c>
    </row>
    <row r="6343">
      <c r="A6343" s="4">
        <v>45534.36856292824</v>
      </c>
      <c r="B6343" s="5" t="s">
        <v>34</v>
      </c>
      <c r="D6343" s="5" t="s">
        <v>1206</v>
      </c>
      <c r="E6343" s="5" t="s">
        <v>41140</v>
      </c>
      <c r="F6343" s="5" t="s">
        <v>37</v>
      </c>
      <c r="G6343" s="5" t="s">
        <v>41141</v>
      </c>
      <c r="H6343" s="6" t="s">
        <v>41142</v>
      </c>
      <c r="K6343" s="5" t="s">
        <v>40166</v>
      </c>
    </row>
    <row r="6344">
      <c r="A6344" s="4">
        <v>45534.368564097225</v>
      </c>
      <c r="B6344" s="5" t="s">
        <v>34</v>
      </c>
      <c r="D6344" s="5" t="s">
        <v>1206</v>
      </c>
      <c r="E6344" s="5" t="s">
        <v>41145</v>
      </c>
      <c r="F6344" s="5" t="s">
        <v>524</v>
      </c>
      <c r="G6344" s="5" t="s">
        <v>41146</v>
      </c>
      <c r="H6344" s="6" t="s">
        <v>41147</v>
      </c>
      <c r="K6344" s="5" t="s">
        <v>40166</v>
      </c>
    </row>
    <row r="6345">
      <c r="A6345" s="4">
        <v>45534.36857420139</v>
      </c>
      <c r="B6345" s="5" t="s">
        <v>34</v>
      </c>
      <c r="D6345" s="5" t="s">
        <v>35</v>
      </c>
      <c r="E6345" s="5" t="s">
        <v>30498</v>
      </c>
      <c r="F6345" s="5" t="s">
        <v>524</v>
      </c>
      <c r="G6345" s="5" t="s">
        <v>41150</v>
      </c>
      <c r="H6345" s="6" t="s">
        <v>41151</v>
      </c>
      <c r="K6345" s="5" t="s">
        <v>40166</v>
      </c>
    </row>
    <row r="6346">
      <c r="A6346" s="4">
        <v>45534.36857712963</v>
      </c>
      <c r="B6346" s="5" t="s">
        <v>34</v>
      </c>
      <c r="D6346" s="5" t="s">
        <v>35</v>
      </c>
      <c r="E6346" s="5" t="s">
        <v>41155</v>
      </c>
      <c r="F6346" s="5" t="s">
        <v>120</v>
      </c>
      <c r="G6346" s="5" t="s">
        <v>41156</v>
      </c>
      <c r="H6346" s="6" t="s">
        <v>41157</v>
      </c>
      <c r="K6346" s="5" t="s">
        <v>40166</v>
      </c>
    </row>
    <row r="6347">
      <c r="A6347" s="4">
        <v>45534.3685824537</v>
      </c>
      <c r="B6347" s="5" t="s">
        <v>34</v>
      </c>
      <c r="D6347" s="5" t="s">
        <v>35</v>
      </c>
      <c r="E6347" s="5" t="s">
        <v>41160</v>
      </c>
      <c r="F6347" s="5" t="s">
        <v>37</v>
      </c>
      <c r="G6347" s="5" t="s">
        <v>41161</v>
      </c>
      <c r="H6347" s="6" t="s">
        <v>41162</v>
      </c>
      <c r="K6347" s="5" t="s">
        <v>40166</v>
      </c>
    </row>
    <row r="6348">
      <c r="A6348" s="4">
        <v>45534.368615520834</v>
      </c>
      <c r="B6348" s="5" t="s">
        <v>34</v>
      </c>
      <c r="D6348" s="5" t="s">
        <v>35</v>
      </c>
      <c r="E6348" s="5" t="s">
        <v>41165</v>
      </c>
      <c r="F6348" s="5" t="s">
        <v>37</v>
      </c>
      <c r="G6348" s="5" t="s">
        <v>41166</v>
      </c>
      <c r="H6348" s="6" t="s">
        <v>41167</v>
      </c>
      <c r="K6348" s="5" t="s">
        <v>41168</v>
      </c>
    </row>
    <row r="6349">
      <c r="A6349" s="4">
        <v>45534.36863394676</v>
      </c>
      <c r="B6349" s="5" t="s">
        <v>19</v>
      </c>
      <c r="C6349" s="5" t="s">
        <v>38343</v>
      </c>
      <c r="E6349" s="5" t="s">
        <v>41171</v>
      </c>
      <c r="F6349" s="5" t="s">
        <v>108</v>
      </c>
      <c r="G6349" s="5" t="s">
        <v>41172</v>
      </c>
      <c r="H6349" s="6" t="s">
        <v>41173</v>
      </c>
      <c r="K6349" s="5" t="s">
        <v>41168</v>
      </c>
    </row>
    <row r="6350">
      <c r="A6350" s="4">
        <v>45534.36863636574</v>
      </c>
      <c r="B6350" s="5" t="s">
        <v>34</v>
      </c>
      <c r="D6350" s="5" t="s">
        <v>701</v>
      </c>
      <c r="E6350" s="5" t="s">
        <v>41177</v>
      </c>
      <c r="F6350" s="5" t="s">
        <v>212</v>
      </c>
      <c r="G6350" s="5" t="s">
        <v>41178</v>
      </c>
      <c r="H6350" s="6" t="s">
        <v>41179</v>
      </c>
      <c r="K6350" s="5" t="s">
        <v>41168</v>
      </c>
    </row>
    <row r="6351">
      <c r="A6351" s="4">
        <v>45534.36863658565</v>
      </c>
      <c r="B6351" s="5" t="s">
        <v>34</v>
      </c>
      <c r="D6351" s="5" t="s">
        <v>1456</v>
      </c>
      <c r="E6351" s="5" t="s">
        <v>26591</v>
      </c>
      <c r="F6351" s="5" t="s">
        <v>375</v>
      </c>
      <c r="G6351" s="5" t="s">
        <v>41182</v>
      </c>
      <c r="H6351" s="6" t="s">
        <v>41183</v>
      </c>
      <c r="K6351" s="5" t="s">
        <v>41168</v>
      </c>
    </row>
    <row r="6352">
      <c r="A6352" s="4">
        <v>45534.368640671295</v>
      </c>
      <c r="B6352" s="5" t="s">
        <v>34</v>
      </c>
      <c r="D6352" s="5" t="s">
        <v>1206</v>
      </c>
      <c r="E6352" s="5" t="s">
        <v>41186</v>
      </c>
      <c r="F6352" s="5" t="s">
        <v>37</v>
      </c>
      <c r="G6352" s="5" t="s">
        <v>41187</v>
      </c>
      <c r="H6352" s="6" t="s">
        <v>41188</v>
      </c>
      <c r="K6352" s="5" t="s">
        <v>41168</v>
      </c>
    </row>
    <row r="6353">
      <c r="A6353" s="4">
        <v>45534.36865635417</v>
      </c>
      <c r="B6353" s="5" t="s">
        <v>34</v>
      </c>
      <c r="D6353" s="5" t="s">
        <v>9394</v>
      </c>
      <c r="E6353" s="5" t="s">
        <v>41191</v>
      </c>
      <c r="F6353" s="5" t="s">
        <v>212</v>
      </c>
      <c r="G6353" s="5" t="s">
        <v>41192</v>
      </c>
      <c r="H6353" s="6" t="s">
        <v>41193</v>
      </c>
      <c r="K6353" s="5" t="s">
        <v>41168</v>
      </c>
    </row>
    <row r="6354">
      <c r="A6354" s="4">
        <v>45534.36866015046</v>
      </c>
      <c r="B6354" s="5" t="s">
        <v>34</v>
      </c>
      <c r="D6354" s="5" t="s">
        <v>1206</v>
      </c>
      <c r="E6354" s="5" t="s">
        <v>41196</v>
      </c>
      <c r="F6354" s="5" t="s">
        <v>37</v>
      </c>
      <c r="G6354" s="5" t="s">
        <v>41197</v>
      </c>
      <c r="H6354" s="6" t="s">
        <v>41198</v>
      </c>
      <c r="K6354" s="5" t="s">
        <v>41168</v>
      </c>
    </row>
    <row r="6355">
      <c r="A6355" s="4">
        <v>45534.36866989583</v>
      </c>
      <c r="B6355" s="5" t="s">
        <v>34</v>
      </c>
      <c r="D6355" s="5" t="s">
        <v>1206</v>
      </c>
      <c r="E6355" s="5" t="s">
        <v>41201</v>
      </c>
      <c r="F6355" s="5" t="s">
        <v>120</v>
      </c>
      <c r="G6355" s="5" t="s">
        <v>41202</v>
      </c>
      <c r="H6355" s="6" t="s">
        <v>41203</v>
      </c>
      <c r="K6355" s="5" t="s">
        <v>41168</v>
      </c>
    </row>
    <row r="6356">
      <c r="A6356" s="4">
        <v>45534.3686725</v>
      </c>
      <c r="B6356" s="5" t="s">
        <v>34</v>
      </c>
      <c r="D6356" s="5" t="s">
        <v>4775</v>
      </c>
      <c r="E6356" s="5" t="s">
        <v>41207</v>
      </c>
      <c r="F6356" s="5" t="s">
        <v>375</v>
      </c>
      <c r="G6356" s="5" t="s">
        <v>41208</v>
      </c>
      <c r="H6356" s="6" t="s">
        <v>41209</v>
      </c>
      <c r="K6356" s="5" t="s">
        <v>41168</v>
      </c>
    </row>
    <row r="6357">
      <c r="A6357" s="4">
        <v>45534.368676377315</v>
      </c>
      <c r="B6357" s="5" t="s">
        <v>34</v>
      </c>
      <c r="D6357" s="5" t="s">
        <v>14424</v>
      </c>
      <c r="E6357" s="5" t="s">
        <v>41212</v>
      </c>
      <c r="F6357" s="5" t="s">
        <v>37</v>
      </c>
      <c r="G6357" s="5" t="s">
        <v>41213</v>
      </c>
      <c r="H6357" s="6" t="s">
        <v>41214</v>
      </c>
      <c r="K6357" s="5" t="s">
        <v>41168</v>
      </c>
    </row>
    <row r="6358">
      <c r="A6358" s="4">
        <v>45534.36867833333</v>
      </c>
      <c r="B6358" s="5" t="s">
        <v>34</v>
      </c>
      <c r="D6358" s="5" t="s">
        <v>996</v>
      </c>
      <c r="E6358" s="5" t="s">
        <v>41217</v>
      </c>
      <c r="F6358" s="5" t="s">
        <v>37</v>
      </c>
      <c r="G6358" s="5" t="s">
        <v>41218</v>
      </c>
      <c r="H6358" s="6" t="s">
        <v>41219</v>
      </c>
      <c r="K6358" s="5" t="s">
        <v>41168</v>
      </c>
    </row>
    <row r="6359">
      <c r="A6359" s="4">
        <v>45534.368681817126</v>
      </c>
      <c r="B6359" s="5" t="s">
        <v>34</v>
      </c>
      <c r="D6359" s="5" t="s">
        <v>14424</v>
      </c>
      <c r="E6359" s="5" t="s">
        <v>33464</v>
      </c>
      <c r="F6359" s="5" t="s">
        <v>37</v>
      </c>
      <c r="G6359" s="5" t="s">
        <v>41222</v>
      </c>
      <c r="H6359" s="6" t="s">
        <v>41223</v>
      </c>
      <c r="K6359" s="5" t="s">
        <v>41168</v>
      </c>
    </row>
    <row r="6360">
      <c r="A6360" s="4">
        <v>45534.36868892361</v>
      </c>
      <c r="B6360" s="5" t="s">
        <v>34</v>
      </c>
      <c r="D6360" s="5" t="s">
        <v>14313</v>
      </c>
      <c r="E6360" s="5" t="s">
        <v>41227</v>
      </c>
      <c r="F6360" s="5" t="s">
        <v>212</v>
      </c>
      <c r="G6360" s="5" t="s">
        <v>41228</v>
      </c>
      <c r="H6360" s="6" t="s">
        <v>41229</v>
      </c>
      <c r="K6360" s="5" t="s">
        <v>41168</v>
      </c>
    </row>
    <row r="6361">
      <c r="A6361" s="4">
        <v>45534.36869392361</v>
      </c>
      <c r="B6361" s="5" t="s">
        <v>34</v>
      </c>
      <c r="D6361" s="5" t="s">
        <v>4775</v>
      </c>
      <c r="E6361" s="5" t="s">
        <v>41232</v>
      </c>
      <c r="F6361" s="5" t="s">
        <v>72</v>
      </c>
      <c r="G6361" s="5" t="s">
        <v>41233</v>
      </c>
      <c r="H6361" s="6" t="s">
        <v>41234</v>
      </c>
      <c r="K6361" s="5" t="s">
        <v>41235</v>
      </c>
    </row>
    <row r="6362">
      <c r="A6362" s="4">
        <v>45534.36870160879</v>
      </c>
      <c r="B6362" s="5" t="s">
        <v>34</v>
      </c>
      <c r="D6362" s="5" t="s">
        <v>35</v>
      </c>
      <c r="E6362" s="5" t="s">
        <v>41238</v>
      </c>
      <c r="F6362" s="5" t="s">
        <v>72</v>
      </c>
      <c r="G6362" s="5" t="s">
        <v>41239</v>
      </c>
      <c r="H6362" s="6" t="s">
        <v>41240</v>
      </c>
      <c r="K6362" s="5" t="s">
        <v>41235</v>
      </c>
    </row>
    <row r="6363">
      <c r="A6363" s="4">
        <v>45534.368709421295</v>
      </c>
      <c r="B6363" s="5" t="s">
        <v>34</v>
      </c>
      <c r="D6363" s="5" t="s">
        <v>267</v>
      </c>
      <c r="E6363" s="5" t="s">
        <v>41243</v>
      </c>
      <c r="F6363" s="5" t="s">
        <v>375</v>
      </c>
      <c r="G6363" s="5" t="s">
        <v>41244</v>
      </c>
      <c r="H6363" s="6" t="s">
        <v>41245</v>
      </c>
      <c r="K6363" s="5" t="s">
        <v>41235</v>
      </c>
    </row>
    <row r="6364">
      <c r="A6364" s="4">
        <v>45534.3687324537</v>
      </c>
      <c r="B6364" s="5" t="s">
        <v>34</v>
      </c>
      <c r="D6364" s="5" t="s">
        <v>10444</v>
      </c>
      <c r="E6364" s="5" t="s">
        <v>41248</v>
      </c>
      <c r="F6364" s="5" t="s">
        <v>72</v>
      </c>
      <c r="G6364" s="5" t="s">
        <v>41249</v>
      </c>
      <c r="H6364" s="6" t="s">
        <v>41250</v>
      </c>
      <c r="K6364" s="5" t="s">
        <v>41235</v>
      </c>
    </row>
    <row r="6365">
      <c r="A6365" s="4">
        <v>45534.36873652777</v>
      </c>
      <c r="B6365" s="5" t="s">
        <v>34</v>
      </c>
      <c r="D6365" s="5" t="s">
        <v>1456</v>
      </c>
      <c r="E6365" s="5" t="s">
        <v>41254</v>
      </c>
      <c r="F6365" s="5" t="s">
        <v>524</v>
      </c>
      <c r="G6365" s="5" t="s">
        <v>41255</v>
      </c>
      <c r="H6365" s="6" t="s">
        <v>41256</v>
      </c>
      <c r="K6365" s="5" t="s">
        <v>41235</v>
      </c>
    </row>
    <row r="6366">
      <c r="A6366" s="4">
        <v>45534.3687528125</v>
      </c>
      <c r="B6366" s="5" t="s">
        <v>34</v>
      </c>
      <c r="D6366" s="5" t="s">
        <v>14424</v>
      </c>
      <c r="E6366" s="5" t="s">
        <v>41259</v>
      </c>
      <c r="F6366" s="5" t="s">
        <v>108</v>
      </c>
      <c r="G6366" s="5" t="s">
        <v>41260</v>
      </c>
      <c r="H6366" s="6" t="s">
        <v>41261</v>
      </c>
      <c r="K6366" s="5" t="s">
        <v>41235</v>
      </c>
    </row>
    <row r="6367">
      <c r="A6367" s="4">
        <v>45534.368735324075</v>
      </c>
      <c r="B6367" s="5" t="s">
        <v>34</v>
      </c>
      <c r="D6367" s="5" t="s">
        <v>1206</v>
      </c>
      <c r="E6367" s="5" t="s">
        <v>41264</v>
      </c>
      <c r="F6367" s="5" t="s">
        <v>108</v>
      </c>
      <c r="G6367" s="5" t="s">
        <v>41265</v>
      </c>
      <c r="H6367" s="6" t="s">
        <v>41266</v>
      </c>
      <c r="K6367" s="5" t="s">
        <v>41235</v>
      </c>
    </row>
    <row r="6368">
      <c r="A6368" s="4">
        <v>45534.36876533565</v>
      </c>
      <c r="B6368" s="5" t="s">
        <v>19</v>
      </c>
      <c r="C6368" s="5" t="s">
        <v>3301</v>
      </c>
      <c r="E6368" s="5" t="s">
        <v>41269</v>
      </c>
      <c r="F6368" s="5" t="s">
        <v>72</v>
      </c>
      <c r="G6368" s="5" t="s">
        <v>41270</v>
      </c>
      <c r="H6368" s="6" t="s">
        <v>41271</v>
      </c>
      <c r="K6368" s="5" t="s">
        <v>41272</v>
      </c>
    </row>
    <row r="6369">
      <c r="A6369" s="4">
        <v>45534.368769837965</v>
      </c>
      <c r="B6369" s="5" t="s">
        <v>34</v>
      </c>
      <c r="D6369" s="5" t="s">
        <v>1768</v>
      </c>
      <c r="E6369" s="5" t="s">
        <v>41276</v>
      </c>
      <c r="F6369" s="5" t="s">
        <v>212</v>
      </c>
      <c r="G6369" s="5" t="s">
        <v>41277</v>
      </c>
      <c r="H6369" s="6" t="s">
        <v>41278</v>
      </c>
      <c r="K6369" s="5" t="s">
        <v>41272</v>
      </c>
    </row>
    <row r="6370">
      <c r="A6370" s="4">
        <v>45534.36877427083</v>
      </c>
      <c r="B6370" s="5" t="s">
        <v>34</v>
      </c>
      <c r="D6370" s="5" t="s">
        <v>4775</v>
      </c>
      <c r="E6370" s="5" t="s">
        <v>41281</v>
      </c>
      <c r="F6370" s="5" t="s">
        <v>120</v>
      </c>
      <c r="G6370" s="5" t="s">
        <v>41282</v>
      </c>
      <c r="H6370" s="6" t="s">
        <v>41283</v>
      </c>
      <c r="K6370" s="5" t="s">
        <v>41272</v>
      </c>
    </row>
    <row r="6371">
      <c r="A6371" s="4">
        <v>45534.36877509259</v>
      </c>
      <c r="B6371" s="5" t="s">
        <v>34</v>
      </c>
      <c r="D6371" s="5" t="s">
        <v>267</v>
      </c>
      <c r="E6371" s="5" t="s">
        <v>41286</v>
      </c>
      <c r="F6371" s="5" t="s">
        <v>120</v>
      </c>
      <c r="G6371" s="5" t="s">
        <v>41287</v>
      </c>
      <c r="H6371" s="6" t="s">
        <v>41288</v>
      </c>
      <c r="K6371" s="5" t="s">
        <v>41289</v>
      </c>
    </row>
    <row r="6372">
      <c r="A6372" s="4">
        <v>45534.36879905092</v>
      </c>
      <c r="B6372" s="5" t="s">
        <v>34</v>
      </c>
      <c r="D6372" s="5" t="s">
        <v>4775</v>
      </c>
      <c r="E6372" s="5" t="s">
        <v>41292</v>
      </c>
      <c r="F6372" s="5" t="s">
        <v>72</v>
      </c>
      <c r="G6372" s="5" t="s">
        <v>41293</v>
      </c>
      <c r="H6372" s="6" t="s">
        <v>41294</v>
      </c>
      <c r="K6372" s="5" t="s">
        <v>41289</v>
      </c>
    </row>
    <row r="6373">
      <c r="A6373" s="4">
        <v>45534.36882267361</v>
      </c>
      <c r="B6373" s="5" t="s">
        <v>34</v>
      </c>
      <c r="D6373" s="5" t="s">
        <v>9020</v>
      </c>
      <c r="E6373" s="5" t="s">
        <v>41297</v>
      </c>
      <c r="F6373" s="5" t="s">
        <v>22</v>
      </c>
      <c r="G6373" s="5" t="s">
        <v>41298</v>
      </c>
      <c r="H6373" s="6" t="s">
        <v>41299</v>
      </c>
      <c r="K6373" s="5" t="s">
        <v>41300</v>
      </c>
    </row>
    <row r="6374">
      <c r="A6374" s="4">
        <v>45534.36882625</v>
      </c>
      <c r="B6374" s="5" t="s">
        <v>34</v>
      </c>
      <c r="D6374" s="5" t="s">
        <v>1206</v>
      </c>
      <c r="E6374" s="5" t="s">
        <v>41303</v>
      </c>
      <c r="F6374" s="5" t="s">
        <v>37</v>
      </c>
      <c r="G6374" s="5" t="s">
        <v>41304</v>
      </c>
      <c r="H6374" s="6" t="s">
        <v>41305</v>
      </c>
      <c r="K6374" s="5" t="s">
        <v>41300</v>
      </c>
    </row>
    <row r="6375">
      <c r="A6375" s="4">
        <v>45534.368826481485</v>
      </c>
      <c r="B6375" s="5" t="s">
        <v>34</v>
      </c>
      <c r="D6375" s="5" t="s">
        <v>1206</v>
      </c>
      <c r="E6375" s="5" t="s">
        <v>41309</v>
      </c>
      <c r="F6375" s="5" t="s">
        <v>212</v>
      </c>
      <c r="G6375" s="5" t="s">
        <v>41310</v>
      </c>
      <c r="H6375" s="6" t="s">
        <v>41311</v>
      </c>
      <c r="K6375" s="5" t="s">
        <v>41300</v>
      </c>
    </row>
    <row r="6376">
      <c r="A6376" s="4">
        <v>45534.3688272338</v>
      </c>
      <c r="B6376" s="5" t="s">
        <v>19</v>
      </c>
      <c r="C6376" s="5" t="s">
        <v>38343</v>
      </c>
      <c r="E6376" s="5" t="s">
        <v>41314</v>
      </c>
      <c r="F6376" s="5" t="s">
        <v>108</v>
      </c>
      <c r="G6376" s="5" t="s">
        <v>41315</v>
      </c>
      <c r="H6376" s="6" t="s">
        <v>41316</v>
      </c>
      <c r="K6376" s="5" t="s">
        <v>41300</v>
      </c>
    </row>
    <row r="6377">
      <c r="A6377" s="4">
        <v>45534.36883313657</v>
      </c>
      <c r="B6377" s="5" t="s">
        <v>34</v>
      </c>
      <c r="D6377" s="5" t="s">
        <v>3849</v>
      </c>
      <c r="E6377" s="5" t="s">
        <v>41319</v>
      </c>
      <c r="F6377" s="5" t="s">
        <v>72</v>
      </c>
      <c r="G6377" s="5" t="s">
        <v>41320</v>
      </c>
      <c r="H6377" s="6" t="s">
        <v>41321</v>
      </c>
      <c r="K6377" s="5" t="s">
        <v>41300</v>
      </c>
    </row>
    <row r="6378">
      <c r="A6378" s="4">
        <v>45534.368845613426</v>
      </c>
      <c r="B6378" s="5" t="s">
        <v>34</v>
      </c>
      <c r="D6378" s="5" t="s">
        <v>35</v>
      </c>
      <c r="E6378" s="5" t="s">
        <v>41324</v>
      </c>
      <c r="F6378" s="5" t="s">
        <v>72</v>
      </c>
      <c r="G6378" s="5" t="s">
        <v>41325</v>
      </c>
      <c r="H6378" s="6" t="s">
        <v>41326</v>
      </c>
      <c r="K6378" s="5" t="s">
        <v>41300</v>
      </c>
    </row>
    <row r="6379">
      <c r="A6379" s="4">
        <v>45534.3688514699</v>
      </c>
      <c r="B6379" s="5" t="s">
        <v>34</v>
      </c>
      <c r="D6379" s="5" t="s">
        <v>4775</v>
      </c>
      <c r="E6379" s="5" t="s">
        <v>41329</v>
      </c>
      <c r="F6379" s="5" t="s">
        <v>108</v>
      </c>
      <c r="G6379" s="5" t="s">
        <v>41330</v>
      </c>
      <c r="H6379" s="6" t="s">
        <v>41331</v>
      </c>
      <c r="K6379" s="5" t="s">
        <v>41300</v>
      </c>
    </row>
    <row r="6380">
      <c r="A6380" s="4">
        <v>45534.3688587037</v>
      </c>
      <c r="B6380" s="5" t="s">
        <v>34</v>
      </c>
      <c r="D6380" s="5" t="s">
        <v>12978</v>
      </c>
      <c r="E6380" s="5" t="s">
        <v>41335</v>
      </c>
      <c r="F6380" s="5" t="s">
        <v>328</v>
      </c>
      <c r="G6380" s="5" t="s">
        <v>41336</v>
      </c>
      <c r="H6380" s="6" t="s">
        <v>41337</v>
      </c>
      <c r="K6380" s="5" t="s">
        <v>41300</v>
      </c>
    </row>
    <row r="6381">
      <c r="A6381" s="4">
        <v>45534.36889020834</v>
      </c>
      <c r="B6381" s="5" t="s">
        <v>34</v>
      </c>
      <c r="D6381" s="5" t="s">
        <v>267</v>
      </c>
      <c r="E6381" s="7" t="s">
        <v>41340</v>
      </c>
      <c r="F6381" s="5" t="s">
        <v>37</v>
      </c>
      <c r="G6381" s="5" t="s">
        <v>41341</v>
      </c>
      <c r="H6381" s="6" t="s">
        <v>41342</v>
      </c>
      <c r="K6381" s="5" t="s">
        <v>41300</v>
      </c>
    </row>
    <row r="6382">
      <c r="A6382" s="4">
        <v>45534.368890474536</v>
      </c>
      <c r="B6382" s="5" t="s">
        <v>34</v>
      </c>
      <c r="D6382" s="5" t="s">
        <v>1206</v>
      </c>
      <c r="E6382" s="5" t="s">
        <v>41345</v>
      </c>
      <c r="F6382" s="5" t="s">
        <v>375</v>
      </c>
      <c r="G6382" s="5" t="s">
        <v>41346</v>
      </c>
      <c r="H6382" s="6" t="s">
        <v>41347</v>
      </c>
      <c r="K6382" s="5" t="s">
        <v>41300</v>
      </c>
    </row>
    <row r="6383">
      <c r="A6383" s="4">
        <v>45534.36889048611</v>
      </c>
      <c r="B6383" s="5" t="s">
        <v>34</v>
      </c>
      <c r="D6383" s="5" t="s">
        <v>522</v>
      </c>
      <c r="E6383" s="5" t="s">
        <v>41350</v>
      </c>
      <c r="F6383" s="5" t="s">
        <v>715</v>
      </c>
      <c r="G6383" s="5" t="s">
        <v>41351</v>
      </c>
      <c r="H6383" s="6" t="s">
        <v>41352</v>
      </c>
      <c r="K6383" s="5" t="s">
        <v>41300</v>
      </c>
    </row>
    <row r="6384">
      <c r="A6384" s="4">
        <v>45534.368891377315</v>
      </c>
      <c r="B6384" s="5" t="s">
        <v>34</v>
      </c>
      <c r="D6384" s="5" t="s">
        <v>35</v>
      </c>
      <c r="E6384" s="5" t="s">
        <v>41355</v>
      </c>
      <c r="F6384" s="5" t="s">
        <v>375</v>
      </c>
      <c r="G6384" s="5" t="s">
        <v>41356</v>
      </c>
      <c r="H6384" s="6" t="s">
        <v>41357</v>
      </c>
      <c r="K6384" s="5" t="s">
        <v>41300</v>
      </c>
    </row>
    <row r="6385">
      <c r="A6385" s="4">
        <v>45534.368933645834</v>
      </c>
      <c r="B6385" s="5" t="s">
        <v>19</v>
      </c>
      <c r="C6385" s="5" t="s">
        <v>38343</v>
      </c>
      <c r="E6385" s="5" t="s">
        <v>41361</v>
      </c>
      <c r="F6385" s="5" t="s">
        <v>22</v>
      </c>
      <c r="G6385" s="5" t="s">
        <v>41362</v>
      </c>
      <c r="H6385" s="6" t="s">
        <v>41363</v>
      </c>
      <c r="K6385" s="5" t="s">
        <v>41364</v>
      </c>
    </row>
    <row r="6386">
      <c r="A6386" s="4">
        <v>45534.368935</v>
      </c>
      <c r="B6386" s="5" t="s">
        <v>34</v>
      </c>
      <c r="D6386" s="5" t="s">
        <v>4775</v>
      </c>
      <c r="E6386" s="5" t="s">
        <v>41367</v>
      </c>
      <c r="F6386" s="5" t="s">
        <v>108</v>
      </c>
      <c r="G6386" s="5" t="s">
        <v>41368</v>
      </c>
      <c r="H6386" s="6" t="s">
        <v>41369</v>
      </c>
      <c r="K6386" s="5" t="s">
        <v>41364</v>
      </c>
    </row>
    <row r="6387">
      <c r="A6387" s="4">
        <v>45534.36898378472</v>
      </c>
      <c r="B6387" s="5" t="s">
        <v>34</v>
      </c>
      <c r="D6387" s="5" t="s">
        <v>701</v>
      </c>
      <c r="E6387" s="5" t="s">
        <v>41372</v>
      </c>
      <c r="F6387" s="5" t="s">
        <v>524</v>
      </c>
      <c r="G6387" s="5" t="s">
        <v>41373</v>
      </c>
      <c r="H6387" s="6" t="s">
        <v>41374</v>
      </c>
      <c r="K6387" s="5" t="s">
        <v>41364</v>
      </c>
    </row>
    <row r="6388">
      <c r="A6388" s="4">
        <v>45534.36898875</v>
      </c>
      <c r="B6388" s="5" t="s">
        <v>34</v>
      </c>
      <c r="D6388" s="5" t="s">
        <v>1206</v>
      </c>
      <c r="E6388" s="5" t="s">
        <v>41377</v>
      </c>
      <c r="F6388" s="5" t="s">
        <v>37</v>
      </c>
      <c r="G6388" s="5" t="s">
        <v>41378</v>
      </c>
      <c r="H6388" s="6" t="s">
        <v>41379</v>
      </c>
      <c r="K6388" s="5" t="s">
        <v>41364</v>
      </c>
    </row>
    <row r="6389">
      <c r="A6389" s="4">
        <v>45534.3690096875</v>
      </c>
      <c r="B6389" s="5" t="s">
        <v>34</v>
      </c>
      <c r="D6389" s="5" t="s">
        <v>1206</v>
      </c>
      <c r="E6389" s="5" t="s">
        <v>41383</v>
      </c>
      <c r="F6389" s="5" t="s">
        <v>212</v>
      </c>
      <c r="G6389" s="5" t="s">
        <v>41384</v>
      </c>
      <c r="H6389" s="6" t="s">
        <v>41385</v>
      </c>
      <c r="K6389" s="5" t="s">
        <v>41386</v>
      </c>
    </row>
    <row r="6390">
      <c r="A6390" s="4">
        <v>45534.36901171296</v>
      </c>
      <c r="B6390" s="5" t="s">
        <v>34</v>
      </c>
      <c r="D6390" s="5" t="s">
        <v>14313</v>
      </c>
      <c r="E6390" s="5" t="s">
        <v>41389</v>
      </c>
      <c r="F6390" s="5" t="s">
        <v>108</v>
      </c>
      <c r="G6390" s="5" t="s">
        <v>41390</v>
      </c>
      <c r="H6390" s="6" t="s">
        <v>41391</v>
      </c>
      <c r="K6390" s="5" t="s">
        <v>41386</v>
      </c>
    </row>
    <row r="6391">
      <c r="A6391" s="4">
        <v>45534.36902076389</v>
      </c>
      <c r="B6391" s="5" t="s">
        <v>19</v>
      </c>
      <c r="C6391" s="5" t="s">
        <v>1606</v>
      </c>
      <c r="E6391" s="5" t="s">
        <v>41394</v>
      </c>
      <c r="F6391" s="5" t="s">
        <v>108</v>
      </c>
      <c r="G6391" s="5" t="s">
        <v>41395</v>
      </c>
      <c r="H6391" s="6" t="s">
        <v>41396</v>
      </c>
      <c r="K6391" s="5" t="s">
        <v>41386</v>
      </c>
    </row>
    <row r="6392">
      <c r="A6392" s="4">
        <v>45534.369032511575</v>
      </c>
      <c r="B6392" s="5" t="s">
        <v>34</v>
      </c>
      <c r="D6392" s="5" t="s">
        <v>1206</v>
      </c>
      <c r="E6392" s="5" t="s">
        <v>41399</v>
      </c>
      <c r="F6392" s="5" t="s">
        <v>37</v>
      </c>
      <c r="G6392" s="5" t="s">
        <v>41400</v>
      </c>
      <c r="H6392" s="6" t="s">
        <v>41401</v>
      </c>
      <c r="K6392" s="5" t="s">
        <v>41386</v>
      </c>
    </row>
    <row r="6393">
      <c r="A6393" s="4">
        <v>45534.369058854165</v>
      </c>
      <c r="B6393" s="5" t="s">
        <v>34</v>
      </c>
      <c r="D6393" s="5" t="s">
        <v>1206</v>
      </c>
      <c r="E6393" s="5" t="s">
        <v>41405</v>
      </c>
      <c r="F6393" s="5" t="s">
        <v>524</v>
      </c>
      <c r="G6393" s="5" t="s">
        <v>41406</v>
      </c>
      <c r="H6393" s="6" t="s">
        <v>41407</v>
      </c>
      <c r="K6393" s="5" t="s">
        <v>41386</v>
      </c>
    </row>
    <row r="6394">
      <c r="A6394" s="4">
        <v>45534.36907105324</v>
      </c>
      <c r="B6394" s="5" t="s">
        <v>19</v>
      </c>
      <c r="C6394" s="5" t="s">
        <v>3301</v>
      </c>
      <c r="E6394" s="5" t="s">
        <v>41410</v>
      </c>
      <c r="F6394" s="5" t="s">
        <v>37</v>
      </c>
      <c r="G6394" s="5" t="s">
        <v>41411</v>
      </c>
      <c r="H6394" s="6" t="s">
        <v>41412</v>
      </c>
      <c r="K6394" s="5" t="s">
        <v>41386</v>
      </c>
    </row>
    <row r="6395">
      <c r="A6395" s="4">
        <v>45534.3690980324</v>
      </c>
      <c r="B6395" s="5" t="s">
        <v>34</v>
      </c>
      <c r="D6395" s="5" t="s">
        <v>9394</v>
      </c>
      <c r="E6395" s="5" t="s">
        <v>40820</v>
      </c>
      <c r="F6395" s="5" t="s">
        <v>37</v>
      </c>
      <c r="G6395" s="5" t="s">
        <v>41415</v>
      </c>
      <c r="H6395" s="6" t="s">
        <v>41416</v>
      </c>
      <c r="K6395" s="5" t="s">
        <v>41386</v>
      </c>
    </row>
    <row r="6396">
      <c r="A6396" s="4">
        <v>45534.369099062504</v>
      </c>
      <c r="B6396" s="5" t="s">
        <v>34</v>
      </c>
      <c r="D6396" s="5" t="s">
        <v>1206</v>
      </c>
      <c r="E6396" s="5" t="s">
        <v>2260</v>
      </c>
      <c r="F6396" s="5" t="s">
        <v>72</v>
      </c>
      <c r="G6396" s="5" t="s">
        <v>41419</v>
      </c>
      <c r="H6396" s="6" t="s">
        <v>41420</v>
      </c>
      <c r="K6396" s="5" t="s">
        <v>41386</v>
      </c>
    </row>
    <row r="6397">
      <c r="A6397" s="4">
        <v>45534.36910630787</v>
      </c>
      <c r="B6397" s="5" t="s">
        <v>34</v>
      </c>
      <c r="D6397" s="5" t="s">
        <v>1206</v>
      </c>
      <c r="E6397" s="5" t="s">
        <v>41423</v>
      </c>
      <c r="F6397" s="5" t="s">
        <v>72</v>
      </c>
      <c r="G6397" s="5" t="s">
        <v>41424</v>
      </c>
      <c r="H6397" s="6" t="s">
        <v>41425</v>
      </c>
      <c r="K6397" s="5" t="s">
        <v>41386</v>
      </c>
    </row>
    <row r="6398">
      <c r="A6398" s="4">
        <v>45534.36911886574</v>
      </c>
      <c r="B6398" s="5" t="s">
        <v>34</v>
      </c>
      <c r="D6398" s="5" t="s">
        <v>6232</v>
      </c>
      <c r="E6398" s="5" t="s">
        <v>41429</v>
      </c>
      <c r="F6398" s="5" t="s">
        <v>37</v>
      </c>
      <c r="G6398" s="5" t="s">
        <v>41430</v>
      </c>
      <c r="H6398" s="6" t="s">
        <v>41431</v>
      </c>
      <c r="K6398" s="5" t="s">
        <v>41386</v>
      </c>
    </row>
    <row r="6399">
      <c r="A6399" s="4">
        <v>45534.36912931713</v>
      </c>
      <c r="B6399" s="5" t="s">
        <v>34</v>
      </c>
      <c r="D6399" s="5" t="s">
        <v>10444</v>
      </c>
      <c r="E6399" s="5" t="s">
        <v>41434</v>
      </c>
      <c r="F6399" s="5" t="s">
        <v>37</v>
      </c>
      <c r="G6399" s="5" t="s">
        <v>41435</v>
      </c>
      <c r="H6399" s="6" t="s">
        <v>41436</v>
      </c>
      <c r="K6399" s="5" t="s">
        <v>41386</v>
      </c>
    </row>
    <row r="6400">
      <c r="A6400" s="4">
        <v>45534.36913814815</v>
      </c>
      <c r="B6400" s="5" t="s">
        <v>34</v>
      </c>
      <c r="D6400" s="5" t="s">
        <v>1206</v>
      </c>
      <c r="E6400" s="5" t="s">
        <v>41439</v>
      </c>
      <c r="F6400" s="5" t="s">
        <v>524</v>
      </c>
      <c r="G6400" s="5" t="s">
        <v>41440</v>
      </c>
      <c r="H6400" s="6" t="s">
        <v>41441</v>
      </c>
      <c r="K6400" s="5" t="s">
        <v>41386</v>
      </c>
    </row>
    <row r="6401">
      <c r="A6401" s="4">
        <v>45534.36918116898</v>
      </c>
      <c r="B6401" s="5" t="s">
        <v>34</v>
      </c>
      <c r="D6401" s="5" t="s">
        <v>4775</v>
      </c>
      <c r="E6401" s="5" t="s">
        <v>41444</v>
      </c>
      <c r="F6401" s="5" t="s">
        <v>37</v>
      </c>
      <c r="G6401" s="5" t="s">
        <v>41445</v>
      </c>
      <c r="H6401" s="6" t="s">
        <v>41446</v>
      </c>
      <c r="K6401" s="5" t="s">
        <v>41386</v>
      </c>
    </row>
    <row r="6402">
      <c r="A6402" s="4">
        <v>45534.3691884375</v>
      </c>
      <c r="B6402" s="5" t="s">
        <v>19</v>
      </c>
      <c r="C6402" s="5" t="s">
        <v>292</v>
      </c>
      <c r="E6402" s="5" t="s">
        <v>41449</v>
      </c>
      <c r="F6402" s="5" t="s">
        <v>524</v>
      </c>
      <c r="G6402" s="5" t="s">
        <v>41450</v>
      </c>
      <c r="H6402" s="6" t="s">
        <v>41451</v>
      </c>
      <c r="K6402" s="5" t="s">
        <v>41386</v>
      </c>
    </row>
    <row r="6403">
      <c r="A6403" s="4">
        <v>45534.369190868056</v>
      </c>
      <c r="B6403" s="5" t="s">
        <v>34</v>
      </c>
      <c r="D6403" s="5" t="s">
        <v>9394</v>
      </c>
      <c r="E6403" s="5" t="s">
        <v>41455</v>
      </c>
      <c r="F6403" s="5" t="s">
        <v>524</v>
      </c>
      <c r="G6403" s="5" t="s">
        <v>41456</v>
      </c>
      <c r="H6403" s="6" t="s">
        <v>41457</v>
      </c>
      <c r="K6403" s="5" t="s">
        <v>41386</v>
      </c>
    </row>
    <row r="6404">
      <c r="A6404" s="4">
        <v>45534.36919138889</v>
      </c>
      <c r="B6404" s="5" t="s">
        <v>34</v>
      </c>
      <c r="D6404" s="5" t="s">
        <v>35</v>
      </c>
      <c r="E6404" s="5" t="s">
        <v>41460</v>
      </c>
      <c r="F6404" s="5" t="s">
        <v>524</v>
      </c>
      <c r="G6404" s="5" t="s">
        <v>41461</v>
      </c>
      <c r="H6404" s="6" t="s">
        <v>41462</v>
      </c>
      <c r="K6404" s="5" t="s">
        <v>41386</v>
      </c>
    </row>
    <row r="6405">
      <c r="A6405" s="4">
        <v>45534.36921456018</v>
      </c>
      <c r="B6405" s="5" t="s">
        <v>19</v>
      </c>
      <c r="C6405" s="5" t="s">
        <v>442</v>
      </c>
      <c r="E6405" s="5" t="s">
        <v>41465</v>
      </c>
      <c r="F6405" s="5" t="s">
        <v>72</v>
      </c>
      <c r="G6405" s="5" t="s">
        <v>41466</v>
      </c>
      <c r="H6405" s="6" t="s">
        <v>41467</v>
      </c>
      <c r="K6405" s="5" t="s">
        <v>41468</v>
      </c>
    </row>
    <row r="6406">
      <c r="A6406" s="4">
        <v>45534.36921829861</v>
      </c>
      <c r="B6406" s="5" t="s">
        <v>34</v>
      </c>
      <c r="D6406" s="5" t="s">
        <v>4775</v>
      </c>
      <c r="E6406" s="5" t="s">
        <v>41471</v>
      </c>
      <c r="F6406" s="5" t="s">
        <v>212</v>
      </c>
      <c r="G6406" s="5" t="s">
        <v>41472</v>
      </c>
      <c r="H6406" s="6" t="s">
        <v>41473</v>
      </c>
      <c r="K6406" s="5" t="s">
        <v>41468</v>
      </c>
    </row>
    <row r="6407">
      <c r="A6407" s="4">
        <v>45534.3692543287</v>
      </c>
      <c r="B6407" s="5" t="s">
        <v>34</v>
      </c>
      <c r="D6407" s="5" t="s">
        <v>280</v>
      </c>
      <c r="E6407" s="5" t="s">
        <v>41476</v>
      </c>
      <c r="F6407" s="5" t="s">
        <v>524</v>
      </c>
      <c r="G6407" s="5" t="s">
        <v>41477</v>
      </c>
      <c r="H6407" s="6" t="s">
        <v>41478</v>
      </c>
      <c r="K6407" s="5" t="s">
        <v>41479</v>
      </c>
    </row>
    <row r="6408">
      <c r="A6408" s="4">
        <v>45534.369261608794</v>
      </c>
      <c r="B6408" s="5" t="s">
        <v>34</v>
      </c>
      <c r="D6408" s="5" t="s">
        <v>1456</v>
      </c>
      <c r="E6408" s="5" t="s">
        <v>41483</v>
      </c>
      <c r="F6408" s="5" t="s">
        <v>328</v>
      </c>
      <c r="G6408" s="5" t="s">
        <v>41484</v>
      </c>
      <c r="H6408" s="6" t="s">
        <v>41485</v>
      </c>
      <c r="K6408" s="5" t="s">
        <v>41479</v>
      </c>
    </row>
    <row r="6409">
      <c r="A6409" s="4">
        <v>45534.3692627662</v>
      </c>
      <c r="B6409" s="5" t="s">
        <v>34</v>
      </c>
      <c r="D6409" s="5" t="s">
        <v>7858</v>
      </c>
      <c r="E6409" s="5" t="s">
        <v>41488</v>
      </c>
      <c r="F6409" s="5" t="s">
        <v>524</v>
      </c>
      <c r="G6409" s="5" t="s">
        <v>41489</v>
      </c>
      <c r="H6409" s="6" t="s">
        <v>41490</v>
      </c>
      <c r="K6409" s="5" t="s">
        <v>41479</v>
      </c>
    </row>
    <row r="6410">
      <c r="A6410" s="4">
        <v>45534.369271504635</v>
      </c>
      <c r="B6410" s="5" t="s">
        <v>34</v>
      </c>
      <c r="D6410" s="5" t="s">
        <v>9394</v>
      </c>
      <c r="E6410" s="5" t="s">
        <v>41493</v>
      </c>
      <c r="F6410" s="5" t="s">
        <v>37</v>
      </c>
      <c r="G6410" s="5" t="s">
        <v>41494</v>
      </c>
      <c r="H6410" s="6" t="s">
        <v>41495</v>
      </c>
      <c r="K6410" s="5" t="s">
        <v>41479</v>
      </c>
    </row>
    <row r="6411">
      <c r="A6411" s="4">
        <v>45534.36927510417</v>
      </c>
      <c r="B6411" s="5" t="s">
        <v>34</v>
      </c>
      <c r="D6411" s="5" t="s">
        <v>7858</v>
      </c>
      <c r="E6411" s="5" t="s">
        <v>41498</v>
      </c>
      <c r="F6411" s="5" t="s">
        <v>375</v>
      </c>
      <c r="G6411" s="5" t="s">
        <v>41499</v>
      </c>
      <c r="H6411" s="6" t="s">
        <v>41500</v>
      </c>
      <c r="K6411" s="5" t="s">
        <v>41479</v>
      </c>
    </row>
    <row r="6412">
      <c r="A6412" s="4">
        <v>45534.369284016204</v>
      </c>
      <c r="B6412" s="5" t="s">
        <v>34</v>
      </c>
      <c r="D6412" s="5" t="s">
        <v>1558</v>
      </c>
      <c r="E6412" s="5" t="s">
        <v>41504</v>
      </c>
      <c r="F6412" s="5" t="s">
        <v>37</v>
      </c>
      <c r="G6412" s="5" t="s">
        <v>41505</v>
      </c>
      <c r="H6412" s="6" t="s">
        <v>41506</v>
      </c>
      <c r="K6412" s="5" t="s">
        <v>41479</v>
      </c>
    </row>
    <row r="6413">
      <c r="A6413" s="4">
        <v>45534.369290613424</v>
      </c>
      <c r="B6413" s="5" t="s">
        <v>34</v>
      </c>
      <c r="D6413" s="5" t="s">
        <v>9020</v>
      </c>
      <c r="E6413" s="5" t="s">
        <v>41509</v>
      </c>
      <c r="F6413" s="5" t="s">
        <v>212</v>
      </c>
      <c r="G6413" s="5" t="s">
        <v>41510</v>
      </c>
      <c r="H6413" s="6" t="s">
        <v>41511</v>
      </c>
      <c r="K6413" s="5" t="s">
        <v>41479</v>
      </c>
    </row>
    <row r="6414">
      <c r="A6414" s="4">
        <v>45534.369291192124</v>
      </c>
      <c r="B6414" s="5" t="s">
        <v>34</v>
      </c>
      <c r="D6414" s="5" t="s">
        <v>6232</v>
      </c>
      <c r="E6414" s="5" t="s">
        <v>41514</v>
      </c>
      <c r="F6414" s="5" t="s">
        <v>212</v>
      </c>
      <c r="G6414" s="5" t="s">
        <v>41515</v>
      </c>
      <c r="H6414" s="6" t="s">
        <v>41516</v>
      </c>
      <c r="K6414" s="5" t="s">
        <v>41479</v>
      </c>
    </row>
    <row r="6415">
      <c r="A6415" s="4">
        <v>45534.36931126157</v>
      </c>
      <c r="B6415" s="5" t="s">
        <v>34</v>
      </c>
      <c r="D6415" s="5" t="s">
        <v>1206</v>
      </c>
      <c r="E6415" s="5" t="s">
        <v>41519</v>
      </c>
      <c r="F6415" s="5" t="s">
        <v>37</v>
      </c>
      <c r="G6415" s="5" t="s">
        <v>41520</v>
      </c>
      <c r="H6415" s="6" t="s">
        <v>41521</v>
      </c>
      <c r="K6415" s="5" t="s">
        <v>41479</v>
      </c>
    </row>
    <row r="6416">
      <c r="A6416" s="4">
        <v>45534.36931825231</v>
      </c>
      <c r="B6416" s="5" t="s">
        <v>34</v>
      </c>
      <c r="D6416" s="5" t="s">
        <v>4775</v>
      </c>
      <c r="E6416" s="5" t="s">
        <v>41524</v>
      </c>
      <c r="F6416" s="5" t="s">
        <v>375</v>
      </c>
      <c r="G6416" s="5" t="s">
        <v>41525</v>
      </c>
      <c r="H6416" s="6" t="s">
        <v>41526</v>
      </c>
      <c r="K6416" s="5" t="s">
        <v>41527</v>
      </c>
    </row>
    <row r="6417">
      <c r="A6417" s="4">
        <v>45534.36931995371</v>
      </c>
      <c r="B6417" s="5" t="s">
        <v>19</v>
      </c>
      <c r="C6417" s="5" t="s">
        <v>1606</v>
      </c>
      <c r="E6417" s="5" t="s">
        <v>41531</v>
      </c>
      <c r="F6417" s="5" t="s">
        <v>108</v>
      </c>
      <c r="G6417" s="5" t="s">
        <v>41532</v>
      </c>
      <c r="H6417" s="6" t="s">
        <v>41533</v>
      </c>
      <c r="K6417" s="5" t="s">
        <v>41527</v>
      </c>
    </row>
    <row r="6418">
      <c r="A6418" s="4">
        <v>45534.369326932865</v>
      </c>
      <c r="B6418" s="5" t="s">
        <v>34</v>
      </c>
      <c r="D6418" s="5" t="s">
        <v>4775</v>
      </c>
      <c r="E6418" s="5" t="s">
        <v>41536</v>
      </c>
      <c r="F6418" s="5" t="s">
        <v>212</v>
      </c>
      <c r="G6418" s="5" t="s">
        <v>41537</v>
      </c>
      <c r="H6418" s="6" t="s">
        <v>41538</v>
      </c>
      <c r="K6418" s="5" t="s">
        <v>41527</v>
      </c>
    </row>
    <row r="6419">
      <c r="A6419" s="4">
        <v>45534.369331469905</v>
      </c>
      <c r="B6419" s="5" t="s">
        <v>34</v>
      </c>
      <c r="D6419" s="5" t="s">
        <v>1206</v>
      </c>
      <c r="E6419" s="5" t="s">
        <v>41541</v>
      </c>
      <c r="F6419" s="5" t="s">
        <v>375</v>
      </c>
      <c r="G6419" s="5" t="s">
        <v>41542</v>
      </c>
      <c r="H6419" s="6" t="s">
        <v>41543</v>
      </c>
      <c r="K6419" s="5" t="s">
        <v>41544</v>
      </c>
    </row>
    <row r="6420">
      <c r="A6420" s="4">
        <v>45534.36933940972</v>
      </c>
      <c r="B6420" s="5" t="s">
        <v>34</v>
      </c>
      <c r="D6420" s="5" t="s">
        <v>1206</v>
      </c>
      <c r="E6420" s="5" t="s">
        <v>41547</v>
      </c>
      <c r="F6420" s="5" t="s">
        <v>22</v>
      </c>
      <c r="G6420" s="5" t="s">
        <v>41548</v>
      </c>
      <c r="H6420" s="6" t="s">
        <v>41549</v>
      </c>
      <c r="K6420" s="5" t="s">
        <v>41544</v>
      </c>
    </row>
    <row r="6421">
      <c r="A6421" s="4">
        <v>45534.36934125</v>
      </c>
      <c r="B6421" s="5" t="s">
        <v>34</v>
      </c>
      <c r="D6421" s="5" t="s">
        <v>1206</v>
      </c>
      <c r="E6421" s="5" t="s">
        <v>41552</v>
      </c>
      <c r="F6421" s="5" t="s">
        <v>108</v>
      </c>
      <c r="G6421" s="5" t="s">
        <v>41553</v>
      </c>
      <c r="H6421" s="6" t="s">
        <v>41554</v>
      </c>
      <c r="K6421" s="5" t="s">
        <v>41544</v>
      </c>
    </row>
    <row r="6422">
      <c r="A6422" s="4">
        <v>45534.36934853009</v>
      </c>
      <c r="B6422" s="5" t="s">
        <v>34</v>
      </c>
      <c r="D6422" s="5" t="s">
        <v>9020</v>
      </c>
      <c r="E6422" s="5" t="s">
        <v>41558</v>
      </c>
      <c r="F6422" s="5" t="s">
        <v>37</v>
      </c>
      <c r="G6422" s="5" t="s">
        <v>41559</v>
      </c>
      <c r="H6422" s="6" t="s">
        <v>41560</v>
      </c>
      <c r="K6422" s="5" t="s">
        <v>41544</v>
      </c>
    </row>
    <row r="6423">
      <c r="A6423" s="4">
        <v>45534.36935199074</v>
      </c>
      <c r="B6423" s="5" t="s">
        <v>34</v>
      </c>
      <c r="D6423" s="5" t="s">
        <v>4775</v>
      </c>
      <c r="E6423" s="5" t="s">
        <v>41563</v>
      </c>
      <c r="F6423" s="5" t="s">
        <v>212</v>
      </c>
      <c r="G6423" s="5" t="s">
        <v>41564</v>
      </c>
      <c r="H6423" s="6" t="s">
        <v>41565</v>
      </c>
      <c r="K6423" s="5" t="s">
        <v>41544</v>
      </c>
    </row>
    <row r="6424">
      <c r="A6424" s="4">
        <v>45534.369352071764</v>
      </c>
      <c r="B6424" s="5" t="s">
        <v>34</v>
      </c>
      <c r="D6424" s="5" t="s">
        <v>2903</v>
      </c>
      <c r="E6424" s="5" t="s">
        <v>41568</v>
      </c>
      <c r="F6424" s="5" t="s">
        <v>715</v>
      </c>
      <c r="G6424" s="5" t="s">
        <v>41569</v>
      </c>
      <c r="H6424" s="6" t="s">
        <v>41570</v>
      </c>
      <c r="K6424" s="5" t="s">
        <v>41571</v>
      </c>
    </row>
    <row r="6425">
      <c r="A6425" s="4">
        <v>45534.36935283565</v>
      </c>
      <c r="B6425" s="5" t="s">
        <v>34</v>
      </c>
      <c r="D6425" s="5" t="s">
        <v>9394</v>
      </c>
      <c r="E6425" s="5" t="s">
        <v>41574</v>
      </c>
      <c r="F6425" s="5" t="s">
        <v>375</v>
      </c>
      <c r="G6425" s="5" t="s">
        <v>41575</v>
      </c>
      <c r="H6425" s="6" t="s">
        <v>41576</v>
      </c>
      <c r="K6425" s="5" t="s">
        <v>41571</v>
      </c>
    </row>
    <row r="6426">
      <c r="A6426" s="4">
        <v>45534.36936353009</v>
      </c>
      <c r="B6426" s="5" t="s">
        <v>34</v>
      </c>
      <c r="D6426" s="5" t="s">
        <v>701</v>
      </c>
      <c r="E6426" s="5" t="s">
        <v>41579</v>
      </c>
      <c r="F6426" s="5" t="s">
        <v>37</v>
      </c>
      <c r="G6426" s="5" t="s">
        <v>41580</v>
      </c>
      <c r="H6426" s="6" t="s">
        <v>41581</v>
      </c>
      <c r="K6426" s="5" t="s">
        <v>41571</v>
      </c>
    </row>
    <row r="6427">
      <c r="A6427" s="4">
        <v>45534.36937082176</v>
      </c>
      <c r="B6427" s="5" t="s">
        <v>34</v>
      </c>
      <c r="D6427" s="5" t="s">
        <v>2903</v>
      </c>
      <c r="E6427" s="5" t="s">
        <v>41584</v>
      </c>
      <c r="F6427" s="5" t="s">
        <v>375</v>
      </c>
      <c r="G6427" s="5" t="s">
        <v>41585</v>
      </c>
      <c r="H6427" s="6" t="s">
        <v>41586</v>
      </c>
      <c r="K6427" s="5" t="s">
        <v>41571</v>
      </c>
    </row>
    <row r="6428">
      <c r="A6428" s="4">
        <v>45534.36937209491</v>
      </c>
      <c r="B6428" s="5" t="s">
        <v>34</v>
      </c>
      <c r="D6428" s="5" t="s">
        <v>2903</v>
      </c>
      <c r="E6428" s="5" t="s">
        <v>41590</v>
      </c>
      <c r="F6428" s="5" t="s">
        <v>524</v>
      </c>
      <c r="G6428" s="5" t="s">
        <v>41591</v>
      </c>
      <c r="H6428" s="6" t="s">
        <v>41592</v>
      </c>
      <c r="K6428" s="5" t="s">
        <v>41571</v>
      </c>
    </row>
    <row r="6429">
      <c r="A6429" s="4">
        <v>45534.36939274306</v>
      </c>
      <c r="B6429" s="5" t="s">
        <v>34</v>
      </c>
      <c r="D6429" s="5" t="s">
        <v>1206</v>
      </c>
      <c r="E6429" s="5" t="s">
        <v>41595</v>
      </c>
      <c r="F6429" s="5" t="s">
        <v>72</v>
      </c>
      <c r="G6429" s="5" t="s">
        <v>41596</v>
      </c>
      <c r="H6429" s="6" t="s">
        <v>41597</v>
      </c>
      <c r="K6429" s="5" t="s">
        <v>41598</v>
      </c>
    </row>
    <row r="6430">
      <c r="A6430" s="4">
        <v>45534.36941436343</v>
      </c>
      <c r="B6430" s="5" t="s">
        <v>19</v>
      </c>
      <c r="C6430" s="5" t="s">
        <v>292</v>
      </c>
      <c r="E6430" s="5" t="s">
        <v>41601</v>
      </c>
      <c r="F6430" s="5" t="s">
        <v>120</v>
      </c>
      <c r="G6430" s="5" t="s">
        <v>41602</v>
      </c>
      <c r="H6430" s="6" t="s">
        <v>41603</v>
      </c>
      <c r="K6430" s="5" t="s">
        <v>41598</v>
      </c>
    </row>
    <row r="6431">
      <c r="A6431" s="4">
        <v>45534.36946746528</v>
      </c>
      <c r="B6431" s="5" t="s">
        <v>34</v>
      </c>
      <c r="D6431" s="5" t="s">
        <v>1206</v>
      </c>
      <c r="E6431" s="5" t="s">
        <v>41606</v>
      </c>
      <c r="F6431" s="5" t="s">
        <v>22</v>
      </c>
      <c r="G6431" s="5" t="s">
        <v>41607</v>
      </c>
      <c r="H6431" s="6" t="s">
        <v>41608</v>
      </c>
      <c r="K6431" s="5" t="s">
        <v>41609</v>
      </c>
    </row>
    <row r="6432">
      <c r="A6432" s="4">
        <v>45534.369474074076</v>
      </c>
      <c r="B6432" s="5" t="s">
        <v>34</v>
      </c>
      <c r="D6432" s="5" t="s">
        <v>996</v>
      </c>
      <c r="E6432" s="5" t="s">
        <v>41612</v>
      </c>
      <c r="F6432" s="5" t="s">
        <v>212</v>
      </c>
      <c r="G6432" s="5" t="s">
        <v>41613</v>
      </c>
      <c r="H6432" s="6" t="s">
        <v>41614</v>
      </c>
      <c r="K6432" s="5" t="s">
        <v>41609</v>
      </c>
    </row>
    <row r="6433">
      <c r="A6433" s="4">
        <v>45534.369479120374</v>
      </c>
      <c r="B6433" s="5" t="s">
        <v>34</v>
      </c>
      <c r="D6433" s="5" t="s">
        <v>1558</v>
      </c>
      <c r="E6433" s="5" t="s">
        <v>41618</v>
      </c>
      <c r="F6433" s="5" t="s">
        <v>375</v>
      </c>
      <c r="G6433" s="5" t="s">
        <v>41619</v>
      </c>
      <c r="H6433" s="6" t="s">
        <v>41620</v>
      </c>
      <c r="K6433" s="5" t="s">
        <v>41609</v>
      </c>
    </row>
    <row r="6434">
      <c r="A6434" s="4">
        <v>45534.36947503472</v>
      </c>
      <c r="B6434" s="5" t="s">
        <v>34</v>
      </c>
      <c r="D6434" s="5" t="s">
        <v>1206</v>
      </c>
      <c r="E6434" s="5" t="s">
        <v>41623</v>
      </c>
      <c r="F6434" s="5" t="s">
        <v>37</v>
      </c>
      <c r="G6434" s="5" t="s">
        <v>41624</v>
      </c>
      <c r="H6434" s="6" t="s">
        <v>41625</v>
      </c>
      <c r="K6434" s="5" t="s">
        <v>41609</v>
      </c>
    </row>
    <row r="6435">
      <c r="A6435" s="4">
        <v>45534.369497141204</v>
      </c>
      <c r="B6435" s="5" t="s">
        <v>34</v>
      </c>
      <c r="D6435" s="5" t="s">
        <v>1558</v>
      </c>
      <c r="E6435" s="5" t="s">
        <v>41628</v>
      </c>
      <c r="F6435" s="5" t="s">
        <v>108</v>
      </c>
      <c r="G6435" s="5" t="s">
        <v>41629</v>
      </c>
      <c r="H6435" s="6" t="s">
        <v>41630</v>
      </c>
      <c r="K6435" s="5" t="s">
        <v>41609</v>
      </c>
    </row>
    <row r="6436">
      <c r="A6436" s="4">
        <v>45534.36950366898</v>
      </c>
      <c r="B6436" s="5" t="s">
        <v>34</v>
      </c>
      <c r="D6436" s="5" t="s">
        <v>1206</v>
      </c>
      <c r="E6436" s="5" t="s">
        <v>41633</v>
      </c>
      <c r="F6436" s="5" t="s">
        <v>72</v>
      </c>
      <c r="G6436" s="5" t="s">
        <v>41634</v>
      </c>
      <c r="H6436" s="6" t="s">
        <v>41635</v>
      </c>
      <c r="K6436" s="5" t="s">
        <v>41609</v>
      </c>
    </row>
    <row r="6437">
      <c r="A6437" s="4">
        <v>45534.36951640046</v>
      </c>
      <c r="B6437" s="5" t="s">
        <v>34</v>
      </c>
      <c r="D6437" s="5" t="s">
        <v>1206</v>
      </c>
      <c r="E6437" s="5" t="s">
        <v>41639</v>
      </c>
      <c r="F6437" s="5" t="s">
        <v>41640</v>
      </c>
      <c r="G6437" s="5" t="s">
        <v>41641</v>
      </c>
      <c r="H6437" s="6" t="s">
        <v>41642</v>
      </c>
      <c r="K6437" s="5" t="s">
        <v>41609</v>
      </c>
    </row>
    <row r="6438">
      <c r="A6438" s="4">
        <v>45534.369518506945</v>
      </c>
      <c r="B6438" s="5" t="s">
        <v>34</v>
      </c>
      <c r="D6438" s="5" t="s">
        <v>12978</v>
      </c>
      <c r="E6438" s="5" t="s">
        <v>41646</v>
      </c>
      <c r="F6438" s="5" t="s">
        <v>375</v>
      </c>
      <c r="G6438" s="5" t="s">
        <v>41647</v>
      </c>
      <c r="H6438" s="6" t="s">
        <v>41648</v>
      </c>
      <c r="K6438" s="5" t="s">
        <v>41609</v>
      </c>
    </row>
    <row r="6439">
      <c r="A6439" s="4">
        <v>45534.36951984954</v>
      </c>
      <c r="B6439" s="5" t="s">
        <v>34</v>
      </c>
      <c r="D6439" s="5" t="s">
        <v>1206</v>
      </c>
      <c r="E6439" s="5" t="s">
        <v>41652</v>
      </c>
      <c r="F6439" s="5" t="s">
        <v>108</v>
      </c>
      <c r="G6439" s="5" t="s">
        <v>41653</v>
      </c>
      <c r="H6439" s="6" t="s">
        <v>41654</v>
      </c>
      <c r="K6439" s="5" t="s">
        <v>41609</v>
      </c>
    </row>
    <row r="6440">
      <c r="A6440" s="4">
        <v>45534.36952479166</v>
      </c>
      <c r="B6440" s="5" t="s">
        <v>34</v>
      </c>
      <c r="D6440" s="5" t="s">
        <v>14424</v>
      </c>
      <c r="E6440" s="7" t="s">
        <v>41657</v>
      </c>
      <c r="F6440" s="5" t="s">
        <v>524</v>
      </c>
      <c r="G6440" s="5" t="s">
        <v>41658</v>
      </c>
      <c r="H6440" s="6" t="s">
        <v>41659</v>
      </c>
      <c r="K6440" s="5" t="s">
        <v>41660</v>
      </c>
    </row>
    <row r="6441">
      <c r="A6441" s="4">
        <v>45534.36952608796</v>
      </c>
      <c r="B6441" s="5" t="s">
        <v>34</v>
      </c>
      <c r="D6441" s="5" t="s">
        <v>7858</v>
      </c>
      <c r="E6441" s="5" t="s">
        <v>41663</v>
      </c>
      <c r="F6441" s="5" t="s">
        <v>524</v>
      </c>
      <c r="G6441" s="5" t="s">
        <v>41664</v>
      </c>
      <c r="H6441" s="6" t="s">
        <v>41665</v>
      </c>
      <c r="K6441" s="5" t="s">
        <v>41660</v>
      </c>
    </row>
    <row r="6442">
      <c r="A6442" s="4">
        <v>45534.3695280324</v>
      </c>
      <c r="B6442" s="5" t="s">
        <v>34</v>
      </c>
      <c r="D6442" s="5" t="s">
        <v>10444</v>
      </c>
      <c r="E6442" s="5" t="s">
        <v>41669</v>
      </c>
      <c r="F6442" s="5" t="s">
        <v>524</v>
      </c>
      <c r="G6442" s="5" t="s">
        <v>41670</v>
      </c>
      <c r="H6442" s="6" t="s">
        <v>41671</v>
      </c>
      <c r="K6442" s="5" t="s">
        <v>41660</v>
      </c>
    </row>
    <row r="6443">
      <c r="A6443" s="4">
        <v>45534.36956438658</v>
      </c>
      <c r="B6443" s="5" t="s">
        <v>34</v>
      </c>
      <c r="D6443" s="5" t="s">
        <v>1206</v>
      </c>
      <c r="E6443" s="5" t="s">
        <v>41674</v>
      </c>
      <c r="F6443" s="5" t="s">
        <v>37</v>
      </c>
      <c r="G6443" s="5" t="s">
        <v>41675</v>
      </c>
      <c r="H6443" s="6" t="s">
        <v>41676</v>
      </c>
      <c r="K6443" s="5" t="s">
        <v>41677</v>
      </c>
    </row>
    <row r="6444">
      <c r="A6444" s="4">
        <v>45534.369566354166</v>
      </c>
      <c r="B6444" s="5" t="s">
        <v>34</v>
      </c>
      <c r="D6444" s="5" t="s">
        <v>12978</v>
      </c>
      <c r="E6444" s="5" t="s">
        <v>41680</v>
      </c>
      <c r="F6444" s="5" t="s">
        <v>72</v>
      </c>
      <c r="G6444" s="5" t="s">
        <v>41681</v>
      </c>
      <c r="H6444" s="6" t="s">
        <v>41682</v>
      </c>
      <c r="K6444" s="5" t="s">
        <v>41677</v>
      </c>
    </row>
    <row r="6445">
      <c r="A6445" s="4">
        <v>45534.36956944445</v>
      </c>
      <c r="B6445" s="5" t="s">
        <v>34</v>
      </c>
      <c r="D6445" s="5" t="s">
        <v>9394</v>
      </c>
      <c r="E6445" s="5" t="s">
        <v>41685</v>
      </c>
      <c r="F6445" s="5" t="s">
        <v>524</v>
      </c>
      <c r="G6445" s="5" t="s">
        <v>41686</v>
      </c>
      <c r="H6445" s="6" t="s">
        <v>41687</v>
      </c>
      <c r="K6445" s="5" t="s">
        <v>41677</v>
      </c>
    </row>
    <row r="6446">
      <c r="A6446" s="4">
        <v>45534.369592233794</v>
      </c>
      <c r="B6446" s="5" t="s">
        <v>34</v>
      </c>
      <c r="D6446" s="5" t="s">
        <v>996</v>
      </c>
      <c r="E6446" s="5" t="s">
        <v>41691</v>
      </c>
      <c r="F6446" s="5" t="s">
        <v>212</v>
      </c>
      <c r="G6446" s="5" t="s">
        <v>41692</v>
      </c>
      <c r="H6446" s="6" t="s">
        <v>41693</v>
      </c>
      <c r="K6446" s="5" t="s">
        <v>41677</v>
      </c>
    </row>
    <row r="6447">
      <c r="A6447" s="4">
        <v>45534.36959333334</v>
      </c>
      <c r="B6447" s="5" t="s">
        <v>34</v>
      </c>
      <c r="D6447" s="5" t="s">
        <v>1558</v>
      </c>
      <c r="E6447" s="5" t="s">
        <v>41696</v>
      </c>
      <c r="F6447" s="5" t="s">
        <v>120</v>
      </c>
      <c r="G6447" s="5" t="s">
        <v>41697</v>
      </c>
      <c r="H6447" s="6" t="s">
        <v>41698</v>
      </c>
      <c r="K6447" s="5" t="s">
        <v>41677</v>
      </c>
    </row>
    <row r="6448">
      <c r="A6448" s="4">
        <v>45534.369609444446</v>
      </c>
      <c r="B6448" s="5" t="s">
        <v>34</v>
      </c>
      <c r="D6448" s="5" t="s">
        <v>9020</v>
      </c>
      <c r="E6448" s="5" t="s">
        <v>41701</v>
      </c>
      <c r="F6448" s="5" t="s">
        <v>212</v>
      </c>
      <c r="G6448" s="5" t="s">
        <v>41702</v>
      </c>
      <c r="H6448" s="6" t="s">
        <v>41703</v>
      </c>
      <c r="I6448" s="7" t="s">
        <v>41704</v>
      </c>
      <c r="J6448" s="8" t="str">
        <f>HYPERLINK("https://drive.google.com/file/d/1kz1w0iFmDB4kjmH_xNCM13I1cTovJO8S/view?usp=drivesdk","ELIANA SERTIFIKAT BerAKHLAK")</f>
        <v>ELIANA SERTIFIKAT BerAKHLAK</v>
      </c>
      <c r="K6448" s="5" t="s">
        <v>41705</v>
      </c>
      <c r="L6448" s="5" t="s">
        <v>41706</v>
      </c>
    </row>
    <row r="6449">
      <c r="A6449" s="4">
        <v>45534.36962065972</v>
      </c>
      <c r="B6449" s="5" t="s">
        <v>34</v>
      </c>
      <c r="D6449" s="5" t="s">
        <v>1206</v>
      </c>
      <c r="E6449" s="5" t="s">
        <v>41710</v>
      </c>
      <c r="F6449" s="5" t="s">
        <v>37</v>
      </c>
      <c r="G6449" s="5" t="s">
        <v>41711</v>
      </c>
      <c r="H6449" s="6" t="s">
        <v>41712</v>
      </c>
      <c r="K6449" s="5" t="s">
        <v>41713</v>
      </c>
    </row>
    <row r="6450">
      <c r="A6450" s="4">
        <v>45534.36962424769</v>
      </c>
      <c r="B6450" s="5" t="s">
        <v>34</v>
      </c>
      <c r="D6450" s="5" t="s">
        <v>4775</v>
      </c>
      <c r="E6450" s="5" t="s">
        <v>41716</v>
      </c>
      <c r="F6450" s="5" t="s">
        <v>375</v>
      </c>
      <c r="G6450" s="5" t="s">
        <v>41717</v>
      </c>
      <c r="H6450" s="6" t="s">
        <v>41718</v>
      </c>
      <c r="K6450" s="5" t="s">
        <v>41713</v>
      </c>
    </row>
    <row r="6451">
      <c r="A6451" s="4">
        <v>45534.36963103009</v>
      </c>
      <c r="B6451" s="5" t="s">
        <v>34</v>
      </c>
      <c r="D6451" s="5" t="s">
        <v>10444</v>
      </c>
      <c r="E6451" s="5" t="s">
        <v>41721</v>
      </c>
      <c r="F6451" s="5" t="s">
        <v>108</v>
      </c>
      <c r="G6451" s="5" t="s">
        <v>41722</v>
      </c>
      <c r="H6451" s="6" t="s">
        <v>41723</v>
      </c>
      <c r="K6451" s="5" t="s">
        <v>41713</v>
      </c>
    </row>
    <row r="6452">
      <c r="A6452" s="4">
        <v>45534.36964133102</v>
      </c>
      <c r="B6452" s="5" t="s">
        <v>34</v>
      </c>
      <c r="D6452" s="5" t="s">
        <v>267</v>
      </c>
      <c r="E6452" s="5" t="s">
        <v>41727</v>
      </c>
      <c r="F6452" s="5" t="s">
        <v>108</v>
      </c>
      <c r="G6452" s="5" t="s">
        <v>41728</v>
      </c>
      <c r="H6452" s="6" t="s">
        <v>41729</v>
      </c>
      <c r="K6452" s="5" t="s">
        <v>41730</v>
      </c>
    </row>
    <row r="6453">
      <c r="A6453" s="4">
        <v>45534.36966662037</v>
      </c>
      <c r="B6453" s="5" t="s">
        <v>34</v>
      </c>
      <c r="D6453" s="5" t="s">
        <v>14313</v>
      </c>
      <c r="E6453" s="5" t="s">
        <v>41733</v>
      </c>
      <c r="F6453" s="5" t="s">
        <v>212</v>
      </c>
      <c r="G6453" s="5" t="s">
        <v>41734</v>
      </c>
      <c r="H6453" s="6" t="s">
        <v>41735</v>
      </c>
      <c r="K6453" s="5" t="s">
        <v>41730</v>
      </c>
    </row>
    <row r="6454">
      <c r="A6454" s="4">
        <v>45534.36966672454</v>
      </c>
      <c r="B6454" s="5" t="s">
        <v>34</v>
      </c>
      <c r="D6454" s="5" t="s">
        <v>6232</v>
      </c>
      <c r="E6454" s="5" t="s">
        <v>41738</v>
      </c>
      <c r="F6454" s="5" t="s">
        <v>524</v>
      </c>
      <c r="G6454" s="5" t="s">
        <v>41739</v>
      </c>
      <c r="H6454" s="6" t="s">
        <v>41740</v>
      </c>
      <c r="K6454" s="5" t="s">
        <v>41730</v>
      </c>
    </row>
    <row r="6455">
      <c r="A6455" s="4">
        <v>45534.36970072916</v>
      </c>
      <c r="B6455" s="5" t="s">
        <v>34</v>
      </c>
      <c r="D6455" s="5" t="s">
        <v>4775</v>
      </c>
      <c r="E6455" s="5" t="s">
        <v>41743</v>
      </c>
      <c r="F6455" s="5" t="s">
        <v>212</v>
      </c>
      <c r="G6455" s="5" t="s">
        <v>41744</v>
      </c>
      <c r="H6455" s="6" t="s">
        <v>41745</v>
      </c>
      <c r="K6455" s="5" t="s">
        <v>41746</v>
      </c>
    </row>
    <row r="6456">
      <c r="A6456" s="4">
        <v>45534.36971684028</v>
      </c>
      <c r="B6456" s="5" t="s">
        <v>34</v>
      </c>
      <c r="D6456" s="5" t="s">
        <v>4775</v>
      </c>
      <c r="E6456" s="5" t="s">
        <v>41750</v>
      </c>
      <c r="F6456" s="5" t="s">
        <v>375</v>
      </c>
      <c r="G6456" s="5" t="s">
        <v>41751</v>
      </c>
      <c r="H6456" s="6" t="s">
        <v>41752</v>
      </c>
      <c r="K6456" s="5" t="s">
        <v>41746</v>
      </c>
    </row>
    <row r="6457">
      <c r="A6457" s="4">
        <v>45534.36972086805</v>
      </c>
      <c r="B6457" s="5" t="s">
        <v>34</v>
      </c>
      <c r="D6457" s="5" t="s">
        <v>4775</v>
      </c>
      <c r="E6457" s="5" t="s">
        <v>41755</v>
      </c>
      <c r="F6457" s="5" t="s">
        <v>212</v>
      </c>
      <c r="G6457" s="5" t="s">
        <v>41756</v>
      </c>
      <c r="H6457" s="6" t="s">
        <v>41757</v>
      </c>
      <c r="I6457" s="7" t="s">
        <v>41758</v>
      </c>
      <c r="J6457" s="8" t="str">
        <f>HYPERLINK("https://drive.google.com/file/d/1Nzv0szgp4gO8PylZdNaC3QaZ0ggWPxGT/view?usp=drivesdk","JEHEZKIEL DWINANTO KANA SERTIFIKAT BerAKHLAK")</f>
        <v>JEHEZKIEL DWINANTO KANA SERTIFIKAT BerAKHLAK</v>
      </c>
      <c r="K6457" s="5" t="s">
        <v>41705</v>
      </c>
      <c r="L6457" s="5" t="s">
        <v>41759</v>
      </c>
    </row>
    <row r="6458">
      <c r="A6458" s="4">
        <v>45534.369727048615</v>
      </c>
      <c r="B6458" s="5" t="s">
        <v>34</v>
      </c>
      <c r="D6458" s="5" t="s">
        <v>1206</v>
      </c>
      <c r="E6458" s="5" t="s">
        <v>41762</v>
      </c>
      <c r="F6458" s="5" t="s">
        <v>375</v>
      </c>
      <c r="G6458" s="5" t="s">
        <v>41763</v>
      </c>
      <c r="H6458" s="6" t="s">
        <v>41764</v>
      </c>
      <c r="K6458" s="5" t="s">
        <v>41765</v>
      </c>
    </row>
    <row r="6459">
      <c r="A6459" s="4">
        <v>45534.36973667824</v>
      </c>
      <c r="B6459" s="5" t="s">
        <v>34</v>
      </c>
      <c r="D6459" s="5" t="s">
        <v>9020</v>
      </c>
      <c r="E6459" s="5" t="s">
        <v>41768</v>
      </c>
      <c r="F6459" s="5" t="s">
        <v>212</v>
      </c>
      <c r="G6459" s="5" t="s">
        <v>41769</v>
      </c>
      <c r="H6459" s="6" t="s">
        <v>41770</v>
      </c>
      <c r="K6459" s="5" t="s">
        <v>41765</v>
      </c>
    </row>
    <row r="6460">
      <c r="A6460" s="4">
        <v>45534.36975002315</v>
      </c>
      <c r="B6460" s="5" t="s">
        <v>34</v>
      </c>
      <c r="D6460" s="5" t="s">
        <v>12010</v>
      </c>
      <c r="E6460" s="5" t="s">
        <v>41773</v>
      </c>
      <c r="F6460" s="5" t="s">
        <v>524</v>
      </c>
      <c r="G6460" s="5" t="s">
        <v>41774</v>
      </c>
      <c r="H6460" s="6" t="s">
        <v>41775</v>
      </c>
      <c r="K6460" s="5" t="s">
        <v>41765</v>
      </c>
    </row>
    <row r="6461">
      <c r="A6461" s="4">
        <v>45534.369753935185</v>
      </c>
      <c r="B6461" s="5" t="s">
        <v>34</v>
      </c>
      <c r="D6461" s="5" t="s">
        <v>1456</v>
      </c>
      <c r="E6461" s="5" t="s">
        <v>41779</v>
      </c>
      <c r="F6461" s="5" t="s">
        <v>37</v>
      </c>
      <c r="G6461" s="5" t="s">
        <v>41780</v>
      </c>
      <c r="H6461" s="6" t="s">
        <v>41781</v>
      </c>
      <c r="K6461" s="5" t="s">
        <v>41782</v>
      </c>
    </row>
    <row r="6462">
      <c r="A6462" s="4">
        <v>45534.36976046296</v>
      </c>
      <c r="B6462" s="5" t="s">
        <v>34</v>
      </c>
      <c r="D6462" s="5" t="s">
        <v>4775</v>
      </c>
      <c r="E6462" s="5" t="s">
        <v>41786</v>
      </c>
      <c r="F6462" s="5" t="s">
        <v>212</v>
      </c>
      <c r="G6462" s="5" t="s">
        <v>41787</v>
      </c>
      <c r="H6462" s="6" t="s">
        <v>41788</v>
      </c>
      <c r="K6462" s="5" t="s">
        <v>41782</v>
      </c>
    </row>
    <row r="6463">
      <c r="A6463" s="4">
        <v>45534.369778912034</v>
      </c>
      <c r="B6463" s="5" t="s">
        <v>34</v>
      </c>
      <c r="D6463" s="5" t="s">
        <v>1456</v>
      </c>
      <c r="E6463" s="5" t="s">
        <v>41791</v>
      </c>
      <c r="F6463" s="5" t="s">
        <v>212</v>
      </c>
      <c r="G6463" s="5" t="s">
        <v>41792</v>
      </c>
      <c r="H6463" s="6" t="s">
        <v>41793</v>
      </c>
      <c r="K6463" s="5" t="s">
        <v>41794</v>
      </c>
    </row>
    <row r="6464">
      <c r="A6464" s="4">
        <v>45534.36982910879</v>
      </c>
      <c r="B6464" s="5" t="s">
        <v>34</v>
      </c>
      <c r="D6464" s="5" t="s">
        <v>14424</v>
      </c>
      <c r="E6464" s="5" t="s">
        <v>41797</v>
      </c>
      <c r="F6464" s="5" t="s">
        <v>37</v>
      </c>
      <c r="G6464" s="5" t="s">
        <v>41798</v>
      </c>
      <c r="H6464" s="6" t="s">
        <v>41799</v>
      </c>
      <c r="K6464" s="5" t="s">
        <v>41800</v>
      </c>
    </row>
    <row r="6465">
      <c r="A6465" s="4">
        <v>45534.369833969904</v>
      </c>
      <c r="B6465" s="5" t="s">
        <v>34</v>
      </c>
      <c r="D6465" s="5" t="s">
        <v>1206</v>
      </c>
      <c r="E6465" s="5" t="s">
        <v>41803</v>
      </c>
      <c r="F6465" s="5" t="s">
        <v>72</v>
      </c>
      <c r="G6465" s="5" t="s">
        <v>41804</v>
      </c>
      <c r="H6465" s="6" t="s">
        <v>41805</v>
      </c>
      <c r="K6465" s="5" t="s">
        <v>41800</v>
      </c>
    </row>
    <row r="6466">
      <c r="A6466" s="4">
        <v>45534.36985319444</v>
      </c>
      <c r="B6466" s="5" t="s">
        <v>34</v>
      </c>
      <c r="D6466" s="5" t="s">
        <v>1206</v>
      </c>
      <c r="E6466" s="5" t="s">
        <v>41809</v>
      </c>
      <c r="F6466" s="5" t="s">
        <v>524</v>
      </c>
      <c r="G6466" s="5" t="s">
        <v>41810</v>
      </c>
      <c r="H6466" s="6" t="s">
        <v>41811</v>
      </c>
      <c r="K6466" s="5" t="s">
        <v>41800</v>
      </c>
    </row>
    <row r="6467">
      <c r="A6467" s="4">
        <v>45534.369863182874</v>
      </c>
      <c r="B6467" s="5" t="s">
        <v>34</v>
      </c>
      <c r="D6467" s="5" t="s">
        <v>1206</v>
      </c>
      <c r="E6467" s="5" t="s">
        <v>33515</v>
      </c>
      <c r="F6467" s="5" t="s">
        <v>108</v>
      </c>
      <c r="G6467" s="5" t="s">
        <v>41814</v>
      </c>
      <c r="H6467" s="6" t="s">
        <v>41815</v>
      </c>
      <c r="K6467" s="5" t="s">
        <v>41816</v>
      </c>
    </row>
    <row r="6468">
      <c r="A6468" s="4">
        <v>45534.3698902662</v>
      </c>
      <c r="B6468" s="5" t="s">
        <v>34</v>
      </c>
      <c r="D6468" s="5" t="s">
        <v>12978</v>
      </c>
      <c r="E6468" s="5" t="s">
        <v>41819</v>
      </c>
      <c r="F6468" s="5" t="s">
        <v>108</v>
      </c>
      <c r="G6468" s="5" t="s">
        <v>41820</v>
      </c>
      <c r="H6468" s="6" t="s">
        <v>41821</v>
      </c>
      <c r="K6468" s="5" t="s">
        <v>41822</v>
      </c>
    </row>
    <row r="6469">
      <c r="A6469" s="4">
        <v>45534.36989515046</v>
      </c>
      <c r="B6469" s="5" t="s">
        <v>34</v>
      </c>
      <c r="D6469" s="5" t="s">
        <v>975</v>
      </c>
      <c r="E6469" s="5" t="s">
        <v>41825</v>
      </c>
      <c r="F6469" s="5" t="s">
        <v>37</v>
      </c>
      <c r="G6469" s="5" t="s">
        <v>41826</v>
      </c>
      <c r="H6469" s="6" t="s">
        <v>41827</v>
      </c>
      <c r="K6469" s="5" t="s">
        <v>41822</v>
      </c>
    </row>
    <row r="6470">
      <c r="A6470" s="4">
        <v>45534.36991620371</v>
      </c>
      <c r="B6470" s="5" t="s">
        <v>34</v>
      </c>
      <c r="D6470" s="5" t="s">
        <v>522</v>
      </c>
      <c r="E6470" s="5" t="s">
        <v>41831</v>
      </c>
      <c r="F6470" s="5" t="s">
        <v>524</v>
      </c>
      <c r="G6470" s="5" t="s">
        <v>41832</v>
      </c>
      <c r="H6470" s="6" t="s">
        <v>41833</v>
      </c>
      <c r="K6470" s="5" t="s">
        <v>41834</v>
      </c>
    </row>
    <row r="6471">
      <c r="A6471" s="4">
        <v>45534.36991699074</v>
      </c>
      <c r="B6471" s="5" t="s">
        <v>34</v>
      </c>
      <c r="D6471" s="5" t="s">
        <v>6232</v>
      </c>
      <c r="E6471" s="5" t="s">
        <v>41837</v>
      </c>
      <c r="F6471" s="5" t="s">
        <v>524</v>
      </c>
      <c r="G6471" s="5" t="s">
        <v>41838</v>
      </c>
      <c r="H6471" s="6" t="s">
        <v>41839</v>
      </c>
      <c r="K6471" s="5" t="s">
        <v>41834</v>
      </c>
    </row>
    <row r="6472">
      <c r="A6472" s="4">
        <v>45534.36992020834</v>
      </c>
      <c r="B6472" s="5" t="s">
        <v>34</v>
      </c>
      <c r="D6472" s="5" t="s">
        <v>9394</v>
      </c>
      <c r="E6472" s="5" t="s">
        <v>41842</v>
      </c>
      <c r="F6472" s="5" t="s">
        <v>524</v>
      </c>
      <c r="G6472" s="5" t="s">
        <v>41843</v>
      </c>
      <c r="H6472" s="6" t="s">
        <v>41844</v>
      </c>
      <c r="K6472" s="5" t="s">
        <v>41834</v>
      </c>
    </row>
    <row r="6473">
      <c r="A6473" s="4">
        <v>45534.3699240162</v>
      </c>
      <c r="B6473" s="5" t="s">
        <v>34</v>
      </c>
      <c r="D6473" s="5" t="s">
        <v>1206</v>
      </c>
      <c r="E6473" s="5" t="s">
        <v>41847</v>
      </c>
      <c r="F6473" s="5" t="s">
        <v>212</v>
      </c>
      <c r="G6473" s="5" t="s">
        <v>41848</v>
      </c>
      <c r="H6473" s="6" t="s">
        <v>41849</v>
      </c>
      <c r="K6473" s="5" t="s">
        <v>41834</v>
      </c>
    </row>
    <row r="6474">
      <c r="A6474" s="4">
        <v>45534.36992935185</v>
      </c>
      <c r="B6474" s="5" t="s">
        <v>34</v>
      </c>
      <c r="D6474" s="5" t="s">
        <v>9020</v>
      </c>
      <c r="E6474" s="5" t="s">
        <v>41853</v>
      </c>
      <c r="F6474" s="5" t="s">
        <v>375</v>
      </c>
      <c r="G6474" s="5" t="s">
        <v>41854</v>
      </c>
      <c r="H6474" s="6" t="s">
        <v>41855</v>
      </c>
      <c r="K6474" s="5" t="s">
        <v>41834</v>
      </c>
    </row>
    <row r="6475">
      <c r="A6475" s="4">
        <v>45534.36994549769</v>
      </c>
      <c r="B6475" s="5" t="s">
        <v>34</v>
      </c>
      <c r="D6475" s="5" t="s">
        <v>1206</v>
      </c>
      <c r="E6475" s="5" t="s">
        <v>41858</v>
      </c>
      <c r="F6475" s="5" t="s">
        <v>72</v>
      </c>
      <c r="G6475" s="5" t="s">
        <v>41859</v>
      </c>
      <c r="H6475" s="6" t="s">
        <v>41860</v>
      </c>
      <c r="K6475" s="5" t="s">
        <v>41861</v>
      </c>
    </row>
    <row r="6476">
      <c r="A6476" s="4">
        <v>45534.369951053246</v>
      </c>
      <c r="B6476" s="5" t="s">
        <v>19</v>
      </c>
      <c r="C6476" s="5" t="s">
        <v>315</v>
      </c>
      <c r="E6476" s="5" t="s">
        <v>41865</v>
      </c>
      <c r="F6476" s="5" t="s">
        <v>72</v>
      </c>
      <c r="G6476" s="5" t="s">
        <v>41866</v>
      </c>
      <c r="H6476" s="6" t="s">
        <v>41867</v>
      </c>
      <c r="K6476" s="5" t="s">
        <v>41861</v>
      </c>
    </row>
    <row r="6477">
      <c r="A6477" s="4">
        <v>45534.36997936343</v>
      </c>
      <c r="B6477" s="5" t="s">
        <v>34</v>
      </c>
      <c r="D6477" s="5" t="s">
        <v>1558</v>
      </c>
      <c r="E6477" s="5" t="s">
        <v>41870</v>
      </c>
      <c r="F6477" s="5" t="s">
        <v>212</v>
      </c>
      <c r="G6477" s="5" t="s">
        <v>41871</v>
      </c>
      <c r="H6477" s="6" t="s">
        <v>41872</v>
      </c>
      <c r="K6477" s="5" t="s">
        <v>41873</v>
      </c>
    </row>
    <row r="6478">
      <c r="A6478" s="4">
        <v>45534.36998516203</v>
      </c>
      <c r="B6478" s="5" t="s">
        <v>34</v>
      </c>
      <c r="D6478" s="5" t="s">
        <v>267</v>
      </c>
      <c r="E6478" s="5" t="s">
        <v>41876</v>
      </c>
      <c r="F6478" s="5" t="s">
        <v>328</v>
      </c>
      <c r="G6478" s="5" t="s">
        <v>41877</v>
      </c>
      <c r="H6478" s="6" t="s">
        <v>41878</v>
      </c>
      <c r="K6478" s="5" t="s">
        <v>41873</v>
      </c>
    </row>
    <row r="6479">
      <c r="A6479" s="4">
        <v>45534.370035879634</v>
      </c>
      <c r="B6479" s="5" t="s">
        <v>34</v>
      </c>
      <c r="D6479" s="5" t="s">
        <v>1206</v>
      </c>
      <c r="E6479" s="5" t="s">
        <v>41881</v>
      </c>
      <c r="F6479" s="5" t="s">
        <v>212</v>
      </c>
      <c r="G6479" s="5" t="s">
        <v>41882</v>
      </c>
      <c r="H6479" s="6" t="s">
        <v>41883</v>
      </c>
      <c r="K6479" s="5" t="s">
        <v>41884</v>
      </c>
    </row>
    <row r="6480">
      <c r="A6480" s="4">
        <v>45534.370037037035</v>
      </c>
      <c r="B6480" s="5" t="s">
        <v>34</v>
      </c>
      <c r="D6480" s="5" t="s">
        <v>1558</v>
      </c>
      <c r="E6480" s="5" t="s">
        <v>41888</v>
      </c>
      <c r="F6480" s="5" t="s">
        <v>212</v>
      </c>
      <c r="G6480" s="5" t="s">
        <v>41889</v>
      </c>
      <c r="H6480" s="6" t="s">
        <v>41890</v>
      </c>
      <c r="K6480" s="5" t="s">
        <v>41884</v>
      </c>
    </row>
    <row r="6481">
      <c r="A6481" s="4">
        <v>45534.3700381713</v>
      </c>
      <c r="B6481" s="5" t="s">
        <v>34</v>
      </c>
      <c r="D6481" s="5" t="s">
        <v>1206</v>
      </c>
      <c r="E6481" s="5" t="s">
        <v>41893</v>
      </c>
      <c r="F6481" s="5" t="s">
        <v>328</v>
      </c>
      <c r="G6481" s="5" t="s">
        <v>41894</v>
      </c>
      <c r="H6481" s="6" t="s">
        <v>41895</v>
      </c>
      <c r="K6481" s="5" t="s">
        <v>41884</v>
      </c>
    </row>
    <row r="6482">
      <c r="A6482" s="4">
        <v>45534.370051192134</v>
      </c>
      <c r="B6482" s="5" t="s">
        <v>34</v>
      </c>
      <c r="D6482" s="5" t="s">
        <v>1206</v>
      </c>
      <c r="E6482" s="5" t="s">
        <v>41898</v>
      </c>
      <c r="F6482" s="5" t="s">
        <v>524</v>
      </c>
      <c r="G6482" s="5" t="s">
        <v>41899</v>
      </c>
      <c r="H6482" s="6" t="s">
        <v>41900</v>
      </c>
      <c r="K6482" s="5" t="s">
        <v>41884</v>
      </c>
    </row>
    <row r="6483">
      <c r="A6483" s="4">
        <v>45534.370061678244</v>
      </c>
      <c r="B6483" s="5" t="s">
        <v>34</v>
      </c>
      <c r="D6483" s="5" t="s">
        <v>14313</v>
      </c>
      <c r="E6483" s="5" t="s">
        <v>41903</v>
      </c>
      <c r="F6483" s="5" t="s">
        <v>212</v>
      </c>
      <c r="G6483" s="5" t="s">
        <v>41904</v>
      </c>
      <c r="H6483" s="6" t="s">
        <v>41905</v>
      </c>
      <c r="K6483" s="5" t="s">
        <v>41906</v>
      </c>
    </row>
    <row r="6484">
      <c r="A6484" s="4">
        <v>45534.37006829861</v>
      </c>
      <c r="B6484" s="5" t="s">
        <v>19</v>
      </c>
      <c r="C6484" s="5" t="s">
        <v>38343</v>
      </c>
      <c r="E6484" s="5" t="s">
        <v>41910</v>
      </c>
      <c r="F6484" s="5" t="s">
        <v>328</v>
      </c>
      <c r="G6484" s="5" t="s">
        <v>41911</v>
      </c>
      <c r="H6484" s="6" t="s">
        <v>41912</v>
      </c>
      <c r="K6484" s="5" t="s">
        <v>41906</v>
      </c>
    </row>
    <row r="6485">
      <c r="A6485" s="4">
        <v>45534.37007685185</v>
      </c>
      <c r="B6485" s="5" t="s">
        <v>19</v>
      </c>
      <c r="C6485" s="5" t="s">
        <v>292</v>
      </c>
      <c r="E6485" s="5" t="s">
        <v>41915</v>
      </c>
      <c r="F6485" s="5" t="s">
        <v>72</v>
      </c>
      <c r="G6485" s="5" t="s">
        <v>41916</v>
      </c>
      <c r="H6485" s="6" t="s">
        <v>41917</v>
      </c>
      <c r="K6485" s="5" t="s">
        <v>41906</v>
      </c>
    </row>
    <row r="6486">
      <c r="A6486" s="4">
        <v>45534.3700775926</v>
      </c>
      <c r="B6486" s="5" t="s">
        <v>34</v>
      </c>
      <c r="D6486" s="5" t="s">
        <v>9394</v>
      </c>
      <c r="E6486" s="5" t="s">
        <v>41920</v>
      </c>
      <c r="F6486" s="5" t="s">
        <v>524</v>
      </c>
      <c r="G6486" s="5" t="s">
        <v>41921</v>
      </c>
      <c r="H6486" s="6" t="s">
        <v>41922</v>
      </c>
      <c r="K6486" s="5" t="s">
        <v>41906</v>
      </c>
    </row>
    <row r="6487">
      <c r="A6487" s="4">
        <v>45534.37008474537</v>
      </c>
      <c r="B6487" s="5" t="s">
        <v>34</v>
      </c>
      <c r="D6487" s="5" t="s">
        <v>14424</v>
      </c>
      <c r="E6487" s="5" t="s">
        <v>41926</v>
      </c>
      <c r="F6487" s="5" t="s">
        <v>199</v>
      </c>
      <c r="G6487" s="5" t="s">
        <v>41927</v>
      </c>
      <c r="H6487" s="6" t="s">
        <v>41928</v>
      </c>
      <c r="K6487" s="5" t="s">
        <v>41906</v>
      </c>
    </row>
    <row r="6488">
      <c r="A6488" s="4">
        <v>45534.370086469906</v>
      </c>
      <c r="B6488" s="5" t="s">
        <v>34</v>
      </c>
      <c r="D6488" s="5" t="s">
        <v>2903</v>
      </c>
      <c r="E6488" s="5" t="s">
        <v>41931</v>
      </c>
      <c r="F6488" s="5" t="s">
        <v>212</v>
      </c>
      <c r="G6488" s="5" t="s">
        <v>41932</v>
      </c>
      <c r="H6488" s="6" t="s">
        <v>41933</v>
      </c>
      <c r="K6488" s="5" t="s">
        <v>41934</v>
      </c>
    </row>
    <row r="6489">
      <c r="A6489" s="4">
        <v>45534.37008784722</v>
      </c>
      <c r="B6489" s="5" t="s">
        <v>34</v>
      </c>
      <c r="D6489" s="5" t="s">
        <v>996</v>
      </c>
      <c r="E6489" s="5" t="s">
        <v>41937</v>
      </c>
      <c r="F6489" s="5" t="s">
        <v>212</v>
      </c>
      <c r="G6489" s="5" t="s">
        <v>41938</v>
      </c>
      <c r="H6489" s="6" t="s">
        <v>41939</v>
      </c>
      <c r="K6489" s="5" t="s">
        <v>41934</v>
      </c>
    </row>
    <row r="6490">
      <c r="A6490" s="4">
        <v>45534.37009784722</v>
      </c>
      <c r="B6490" s="5" t="s">
        <v>19</v>
      </c>
      <c r="C6490" s="5" t="s">
        <v>3301</v>
      </c>
      <c r="E6490" s="5" t="s">
        <v>41942</v>
      </c>
      <c r="F6490" s="5" t="s">
        <v>37</v>
      </c>
      <c r="G6490" s="5" t="s">
        <v>41943</v>
      </c>
      <c r="H6490" s="6" t="s">
        <v>41944</v>
      </c>
      <c r="K6490" s="5" t="s">
        <v>41934</v>
      </c>
    </row>
    <row r="6491">
      <c r="A6491" s="4">
        <v>45534.37011171297</v>
      </c>
      <c r="B6491" s="5" t="s">
        <v>34</v>
      </c>
      <c r="D6491" s="5" t="s">
        <v>9020</v>
      </c>
      <c r="E6491" s="5" t="s">
        <v>41948</v>
      </c>
      <c r="F6491" s="5" t="s">
        <v>524</v>
      </c>
      <c r="G6491" s="5" t="s">
        <v>41949</v>
      </c>
      <c r="H6491" s="6" t="s">
        <v>41950</v>
      </c>
      <c r="K6491" s="5" t="s">
        <v>41934</v>
      </c>
    </row>
    <row r="6492">
      <c r="A6492" s="4">
        <v>45534.37011344907</v>
      </c>
      <c r="B6492" s="5" t="s">
        <v>34</v>
      </c>
      <c r="D6492" s="5" t="s">
        <v>2903</v>
      </c>
      <c r="E6492" s="5" t="s">
        <v>41953</v>
      </c>
      <c r="F6492" s="5" t="s">
        <v>524</v>
      </c>
      <c r="G6492" s="5" t="s">
        <v>41954</v>
      </c>
      <c r="H6492" s="6" t="s">
        <v>41955</v>
      </c>
      <c r="K6492" s="5" t="s">
        <v>41934</v>
      </c>
    </row>
    <row r="6493">
      <c r="A6493" s="4">
        <v>45534.37012910879</v>
      </c>
      <c r="B6493" s="5" t="s">
        <v>34</v>
      </c>
      <c r="D6493" s="5" t="s">
        <v>1768</v>
      </c>
      <c r="E6493" s="5" t="s">
        <v>41958</v>
      </c>
      <c r="F6493" s="5" t="s">
        <v>120</v>
      </c>
      <c r="G6493" s="5" t="s">
        <v>41959</v>
      </c>
      <c r="H6493" s="6" t="s">
        <v>41960</v>
      </c>
      <c r="K6493" s="5" t="s">
        <v>41961</v>
      </c>
    </row>
    <row r="6494">
      <c r="A6494" s="4">
        <v>45534.37014854167</v>
      </c>
      <c r="B6494" s="5" t="s">
        <v>34</v>
      </c>
      <c r="D6494" s="5" t="s">
        <v>7858</v>
      </c>
      <c r="E6494" s="5" t="s">
        <v>29416</v>
      </c>
      <c r="F6494" s="5" t="s">
        <v>212</v>
      </c>
      <c r="G6494" s="5" t="s">
        <v>29417</v>
      </c>
      <c r="H6494" s="6" t="s">
        <v>41965</v>
      </c>
      <c r="K6494" s="5" t="s">
        <v>41961</v>
      </c>
    </row>
    <row r="6495">
      <c r="A6495" s="4">
        <v>45534.37015091435</v>
      </c>
      <c r="B6495" s="5" t="s">
        <v>34</v>
      </c>
      <c r="D6495" s="5" t="s">
        <v>996</v>
      </c>
      <c r="E6495" s="5" t="s">
        <v>41968</v>
      </c>
      <c r="F6495" s="5" t="s">
        <v>375</v>
      </c>
      <c r="G6495" s="5" t="s">
        <v>41969</v>
      </c>
      <c r="H6495" s="6" t="s">
        <v>41970</v>
      </c>
      <c r="K6495" s="5" t="s">
        <v>41961</v>
      </c>
    </row>
    <row r="6496">
      <c r="A6496" s="4">
        <v>45534.370151574076</v>
      </c>
      <c r="B6496" s="5" t="s">
        <v>34</v>
      </c>
      <c r="D6496" s="5" t="s">
        <v>12978</v>
      </c>
      <c r="E6496" s="5" t="s">
        <v>41973</v>
      </c>
      <c r="F6496" s="5" t="s">
        <v>72</v>
      </c>
      <c r="G6496" s="5" t="s">
        <v>41974</v>
      </c>
      <c r="H6496" s="6" t="s">
        <v>41975</v>
      </c>
      <c r="K6496" s="5" t="s">
        <v>41976</v>
      </c>
    </row>
    <row r="6497">
      <c r="A6497" s="4">
        <v>45534.37015872685</v>
      </c>
      <c r="B6497" s="5" t="s">
        <v>34</v>
      </c>
      <c r="D6497" s="5" t="s">
        <v>604</v>
      </c>
      <c r="E6497" s="5" t="s">
        <v>41980</v>
      </c>
      <c r="F6497" s="5" t="s">
        <v>120</v>
      </c>
      <c r="G6497" s="5" t="s">
        <v>41981</v>
      </c>
      <c r="H6497" s="6" t="s">
        <v>41982</v>
      </c>
      <c r="K6497" s="5" t="s">
        <v>41976</v>
      </c>
    </row>
    <row r="6498">
      <c r="A6498" s="4">
        <v>45534.37016832176</v>
      </c>
      <c r="B6498" s="5" t="s">
        <v>34</v>
      </c>
      <c r="D6498" s="5" t="s">
        <v>9020</v>
      </c>
      <c r="E6498" s="5" t="s">
        <v>41985</v>
      </c>
      <c r="F6498" s="5" t="s">
        <v>120</v>
      </c>
      <c r="G6498" s="5" t="s">
        <v>41986</v>
      </c>
      <c r="H6498" s="6" t="s">
        <v>41987</v>
      </c>
      <c r="K6498" s="5" t="s">
        <v>41976</v>
      </c>
    </row>
    <row r="6499">
      <c r="A6499" s="4">
        <v>45534.37017616898</v>
      </c>
      <c r="B6499" s="5" t="s">
        <v>34</v>
      </c>
      <c r="D6499" s="5" t="s">
        <v>9394</v>
      </c>
      <c r="E6499" s="5" t="s">
        <v>41990</v>
      </c>
      <c r="F6499" s="5" t="s">
        <v>72</v>
      </c>
      <c r="G6499" s="5" t="s">
        <v>41991</v>
      </c>
      <c r="H6499" s="6" t="s">
        <v>41992</v>
      </c>
      <c r="K6499" s="5" t="s">
        <v>41976</v>
      </c>
    </row>
    <row r="6500">
      <c r="A6500" s="4">
        <v>45534.37019015047</v>
      </c>
      <c r="B6500" s="5" t="s">
        <v>34</v>
      </c>
      <c r="D6500" s="5" t="s">
        <v>2903</v>
      </c>
      <c r="E6500" s="5" t="s">
        <v>41995</v>
      </c>
      <c r="F6500" s="5" t="s">
        <v>715</v>
      </c>
      <c r="G6500" s="5" t="s">
        <v>41996</v>
      </c>
      <c r="H6500" s="6" t="s">
        <v>41997</v>
      </c>
      <c r="K6500" s="5" t="s">
        <v>41976</v>
      </c>
    </row>
    <row r="6501">
      <c r="A6501" s="4">
        <v>45534.37022586806</v>
      </c>
      <c r="B6501" s="5" t="s">
        <v>34</v>
      </c>
      <c r="D6501" s="5" t="s">
        <v>1206</v>
      </c>
      <c r="E6501" s="5" t="s">
        <v>16878</v>
      </c>
      <c r="F6501" s="5" t="s">
        <v>328</v>
      </c>
      <c r="G6501" s="5" t="s">
        <v>42000</v>
      </c>
      <c r="H6501" s="6" t="s">
        <v>42001</v>
      </c>
      <c r="K6501" s="5" t="s">
        <v>42002</v>
      </c>
    </row>
    <row r="6502">
      <c r="A6502" s="4">
        <v>45534.37022711805</v>
      </c>
      <c r="B6502" s="5" t="s">
        <v>34</v>
      </c>
      <c r="D6502" s="5" t="s">
        <v>12978</v>
      </c>
      <c r="E6502" s="5" t="s">
        <v>42006</v>
      </c>
      <c r="F6502" s="5" t="s">
        <v>212</v>
      </c>
      <c r="G6502" s="5" t="s">
        <v>42007</v>
      </c>
      <c r="H6502" s="6" t="s">
        <v>42008</v>
      </c>
      <c r="K6502" s="5" t="s">
        <v>42002</v>
      </c>
    </row>
    <row r="6503">
      <c r="A6503" s="4">
        <v>45534.37022762731</v>
      </c>
      <c r="B6503" s="5" t="s">
        <v>34</v>
      </c>
      <c r="D6503" s="5" t="s">
        <v>2903</v>
      </c>
      <c r="E6503" s="5" t="s">
        <v>42011</v>
      </c>
      <c r="F6503" s="5" t="s">
        <v>375</v>
      </c>
      <c r="G6503" s="5" t="s">
        <v>42012</v>
      </c>
      <c r="H6503" s="6" t="s">
        <v>42013</v>
      </c>
      <c r="K6503" s="5" t="s">
        <v>42014</v>
      </c>
    </row>
    <row r="6504">
      <c r="A6504" s="4">
        <v>45534.37023130787</v>
      </c>
      <c r="B6504" s="5" t="s">
        <v>34</v>
      </c>
      <c r="D6504" s="5" t="s">
        <v>10444</v>
      </c>
      <c r="E6504" s="5" t="s">
        <v>42017</v>
      </c>
      <c r="F6504" s="5" t="s">
        <v>37</v>
      </c>
      <c r="G6504" s="5" t="s">
        <v>42018</v>
      </c>
      <c r="H6504" s="6" t="s">
        <v>42019</v>
      </c>
      <c r="K6504" s="5" t="s">
        <v>42014</v>
      </c>
    </row>
    <row r="6505">
      <c r="A6505" s="4">
        <v>45534.37023980324</v>
      </c>
      <c r="B6505" s="5" t="s">
        <v>34</v>
      </c>
      <c r="D6505" s="5" t="s">
        <v>1206</v>
      </c>
      <c r="E6505" s="5" t="s">
        <v>42022</v>
      </c>
      <c r="F6505" s="5" t="s">
        <v>212</v>
      </c>
      <c r="G6505" s="5" t="s">
        <v>42023</v>
      </c>
      <c r="H6505" s="6" t="s">
        <v>42024</v>
      </c>
      <c r="K6505" s="5" t="s">
        <v>42025</v>
      </c>
    </row>
    <row r="6506">
      <c r="A6506" s="4">
        <v>45534.37024024306</v>
      </c>
      <c r="B6506" s="5" t="s">
        <v>34</v>
      </c>
      <c r="D6506" s="5" t="s">
        <v>1206</v>
      </c>
      <c r="E6506" s="5" t="s">
        <v>42029</v>
      </c>
      <c r="F6506" s="5" t="s">
        <v>37</v>
      </c>
      <c r="G6506" s="5" t="s">
        <v>42030</v>
      </c>
      <c r="H6506" s="6" t="s">
        <v>42031</v>
      </c>
      <c r="K6506" s="5" t="s">
        <v>42025</v>
      </c>
    </row>
    <row r="6507">
      <c r="A6507" s="4">
        <v>45534.370249155094</v>
      </c>
      <c r="B6507" s="5" t="s">
        <v>34</v>
      </c>
      <c r="D6507" s="5" t="s">
        <v>2903</v>
      </c>
      <c r="E6507" s="5" t="s">
        <v>42034</v>
      </c>
      <c r="F6507" s="5" t="s">
        <v>108</v>
      </c>
      <c r="G6507" s="5" t="s">
        <v>42035</v>
      </c>
      <c r="H6507" s="6" t="s">
        <v>42036</v>
      </c>
      <c r="K6507" s="5" t="s">
        <v>42025</v>
      </c>
    </row>
    <row r="6508">
      <c r="A6508" s="4">
        <v>45534.370258483796</v>
      </c>
      <c r="B6508" s="5" t="s">
        <v>34</v>
      </c>
      <c r="D6508" s="5" t="s">
        <v>1206</v>
      </c>
      <c r="E6508" s="5" t="s">
        <v>30508</v>
      </c>
      <c r="F6508" s="5" t="s">
        <v>5859</v>
      </c>
      <c r="G6508" s="5" t="s">
        <v>30509</v>
      </c>
      <c r="H6508" s="6" t="s">
        <v>42039</v>
      </c>
      <c r="K6508" s="5" t="s">
        <v>42025</v>
      </c>
    </row>
    <row r="6509">
      <c r="A6509" s="4">
        <v>45534.37028091435</v>
      </c>
      <c r="B6509" s="5" t="s">
        <v>34</v>
      </c>
      <c r="D6509" s="5" t="s">
        <v>1206</v>
      </c>
      <c r="E6509" s="5" t="s">
        <v>42043</v>
      </c>
      <c r="F6509" s="5" t="s">
        <v>37</v>
      </c>
      <c r="G6509" s="5" t="s">
        <v>42044</v>
      </c>
      <c r="H6509" s="6" t="s">
        <v>42045</v>
      </c>
      <c r="K6509" s="5" t="s">
        <v>42046</v>
      </c>
    </row>
    <row r="6510">
      <c r="A6510" s="4">
        <v>45534.370294224536</v>
      </c>
      <c r="B6510" s="5" t="s">
        <v>34</v>
      </c>
      <c r="D6510" s="5" t="s">
        <v>1206</v>
      </c>
      <c r="E6510" s="5" t="s">
        <v>42049</v>
      </c>
      <c r="F6510" s="5" t="s">
        <v>37</v>
      </c>
      <c r="G6510" s="5" t="s">
        <v>42050</v>
      </c>
      <c r="H6510" s="6" t="s">
        <v>42051</v>
      </c>
      <c r="K6510" s="5" t="s">
        <v>42046</v>
      </c>
    </row>
    <row r="6511">
      <c r="A6511" s="4">
        <v>45534.37029517361</v>
      </c>
      <c r="B6511" s="5" t="s">
        <v>34</v>
      </c>
      <c r="D6511" s="5" t="s">
        <v>1206</v>
      </c>
      <c r="E6511" s="5" t="s">
        <v>42054</v>
      </c>
      <c r="F6511" s="5" t="s">
        <v>212</v>
      </c>
      <c r="G6511" s="5" t="s">
        <v>42055</v>
      </c>
      <c r="H6511" s="6" t="s">
        <v>42056</v>
      </c>
      <c r="K6511" s="5" t="s">
        <v>42046</v>
      </c>
    </row>
    <row r="6512">
      <c r="A6512" s="4">
        <v>45534.37030270833</v>
      </c>
      <c r="B6512" s="5" t="s">
        <v>34</v>
      </c>
      <c r="D6512" s="5" t="s">
        <v>1558</v>
      </c>
      <c r="E6512" s="5" t="s">
        <v>42060</v>
      </c>
      <c r="F6512" s="5" t="s">
        <v>212</v>
      </c>
      <c r="G6512" s="5" t="s">
        <v>42061</v>
      </c>
      <c r="H6512" s="6" t="s">
        <v>42062</v>
      </c>
      <c r="K6512" s="5" t="s">
        <v>42046</v>
      </c>
    </row>
    <row r="6513">
      <c r="A6513" s="4">
        <v>45534.37031254629</v>
      </c>
      <c r="B6513" s="5" t="s">
        <v>34</v>
      </c>
      <c r="D6513" s="5" t="s">
        <v>9394</v>
      </c>
      <c r="E6513" s="5" t="s">
        <v>42065</v>
      </c>
      <c r="F6513" s="5" t="s">
        <v>72</v>
      </c>
      <c r="G6513" s="5" t="s">
        <v>42066</v>
      </c>
      <c r="H6513" s="6" t="s">
        <v>42067</v>
      </c>
      <c r="K6513" s="5" t="s">
        <v>42046</v>
      </c>
    </row>
    <row r="6514">
      <c r="A6514" s="4">
        <v>45534.370328136574</v>
      </c>
      <c r="B6514" s="5" t="s">
        <v>34</v>
      </c>
      <c r="D6514" s="5" t="s">
        <v>996</v>
      </c>
      <c r="E6514" s="5" t="s">
        <v>42070</v>
      </c>
      <c r="F6514" s="5" t="s">
        <v>524</v>
      </c>
      <c r="G6514" s="5" t="s">
        <v>42071</v>
      </c>
      <c r="H6514" s="6" t="s">
        <v>42072</v>
      </c>
      <c r="K6514" s="5" t="s">
        <v>42046</v>
      </c>
    </row>
    <row r="6515">
      <c r="A6515" s="4">
        <v>45534.37033334491</v>
      </c>
      <c r="B6515" s="5" t="s">
        <v>19</v>
      </c>
      <c r="C6515" s="5" t="s">
        <v>38343</v>
      </c>
      <c r="E6515" s="5" t="s">
        <v>42075</v>
      </c>
      <c r="F6515" s="5" t="s">
        <v>212</v>
      </c>
      <c r="G6515" s="5" t="s">
        <v>42076</v>
      </c>
      <c r="H6515" s="6" t="s">
        <v>42077</v>
      </c>
      <c r="K6515" s="5" t="s">
        <v>42046</v>
      </c>
    </row>
    <row r="6516">
      <c r="A6516" s="4">
        <v>45534.370335844906</v>
      </c>
      <c r="B6516" s="5" t="s">
        <v>19</v>
      </c>
      <c r="C6516" s="5" t="s">
        <v>292</v>
      </c>
      <c r="E6516" s="5" t="s">
        <v>42080</v>
      </c>
      <c r="F6516" s="5" t="s">
        <v>37</v>
      </c>
      <c r="G6516" s="5" t="s">
        <v>42081</v>
      </c>
      <c r="H6516" s="6" t="s">
        <v>42082</v>
      </c>
      <c r="K6516" s="5" t="s">
        <v>42083</v>
      </c>
    </row>
    <row r="6517">
      <c r="A6517" s="4">
        <v>45534.3703409375</v>
      </c>
      <c r="B6517" s="5" t="s">
        <v>34</v>
      </c>
      <c r="D6517" s="5" t="s">
        <v>14424</v>
      </c>
      <c r="E6517" s="5" t="s">
        <v>42087</v>
      </c>
      <c r="F6517" s="5" t="s">
        <v>212</v>
      </c>
      <c r="G6517" s="5" t="s">
        <v>42088</v>
      </c>
      <c r="H6517" s="6" t="s">
        <v>42089</v>
      </c>
      <c r="K6517" s="5" t="s">
        <v>42083</v>
      </c>
    </row>
    <row r="6518">
      <c r="A6518" s="4">
        <v>45534.37035123842</v>
      </c>
      <c r="B6518" s="5" t="s">
        <v>34</v>
      </c>
      <c r="D6518" s="5" t="s">
        <v>1206</v>
      </c>
      <c r="E6518" s="5" t="s">
        <v>42092</v>
      </c>
      <c r="F6518" s="5" t="s">
        <v>72</v>
      </c>
      <c r="G6518" s="5" t="s">
        <v>42093</v>
      </c>
      <c r="H6518" s="6" t="s">
        <v>42094</v>
      </c>
      <c r="K6518" s="5" t="s">
        <v>42083</v>
      </c>
    </row>
    <row r="6519">
      <c r="A6519" s="4">
        <v>45534.370370000004</v>
      </c>
      <c r="B6519" s="5" t="s">
        <v>34</v>
      </c>
      <c r="D6519" s="5" t="s">
        <v>4775</v>
      </c>
      <c r="E6519" s="5" t="s">
        <v>42097</v>
      </c>
      <c r="F6519" s="5" t="s">
        <v>37</v>
      </c>
      <c r="G6519" s="5" t="s">
        <v>42098</v>
      </c>
      <c r="H6519" s="6" t="s">
        <v>42099</v>
      </c>
      <c r="K6519" s="5" t="s">
        <v>42083</v>
      </c>
    </row>
    <row r="6520">
      <c r="A6520" s="4">
        <v>45534.37037585648</v>
      </c>
      <c r="B6520" s="5" t="s">
        <v>34</v>
      </c>
      <c r="D6520" s="5" t="s">
        <v>4775</v>
      </c>
      <c r="E6520" s="5" t="s">
        <v>19846</v>
      </c>
      <c r="F6520" s="5" t="s">
        <v>212</v>
      </c>
      <c r="G6520" s="5" t="s">
        <v>42102</v>
      </c>
      <c r="H6520" s="6" t="s">
        <v>42103</v>
      </c>
      <c r="K6520" s="5" t="s">
        <v>42104</v>
      </c>
    </row>
    <row r="6521">
      <c r="A6521" s="4">
        <v>45534.370387303235</v>
      </c>
      <c r="B6521" s="5" t="s">
        <v>34</v>
      </c>
      <c r="D6521" s="5" t="s">
        <v>522</v>
      </c>
      <c r="E6521" s="5" t="s">
        <v>42107</v>
      </c>
      <c r="F6521" s="5" t="s">
        <v>37</v>
      </c>
      <c r="G6521" s="5" t="s">
        <v>42108</v>
      </c>
      <c r="H6521" s="6" t="s">
        <v>42109</v>
      </c>
      <c r="K6521" s="5" t="s">
        <v>42104</v>
      </c>
    </row>
    <row r="6522">
      <c r="A6522" s="4">
        <v>45534.37039383102</v>
      </c>
      <c r="B6522" s="5" t="s">
        <v>34</v>
      </c>
      <c r="D6522" s="5" t="s">
        <v>4775</v>
      </c>
      <c r="E6522" s="5" t="s">
        <v>42113</v>
      </c>
      <c r="F6522" s="5" t="s">
        <v>524</v>
      </c>
      <c r="G6522" s="5" t="s">
        <v>42114</v>
      </c>
      <c r="H6522" s="6" t="s">
        <v>42115</v>
      </c>
      <c r="K6522" s="5" t="s">
        <v>42104</v>
      </c>
    </row>
    <row r="6523">
      <c r="A6523" s="4">
        <v>45534.37040883102</v>
      </c>
      <c r="B6523" s="5" t="s">
        <v>34</v>
      </c>
      <c r="D6523" s="5" t="s">
        <v>7858</v>
      </c>
      <c r="E6523" s="5" t="s">
        <v>42118</v>
      </c>
      <c r="F6523" s="5" t="s">
        <v>108</v>
      </c>
      <c r="G6523" s="5" t="s">
        <v>42119</v>
      </c>
      <c r="H6523" s="6" t="s">
        <v>42120</v>
      </c>
      <c r="K6523" s="5" t="s">
        <v>42104</v>
      </c>
    </row>
    <row r="6524">
      <c r="A6524" s="4">
        <v>45534.37042266203</v>
      </c>
      <c r="B6524" s="5" t="s">
        <v>34</v>
      </c>
      <c r="D6524" s="5" t="s">
        <v>1206</v>
      </c>
      <c r="E6524" s="5" t="s">
        <v>42123</v>
      </c>
      <c r="F6524" s="5" t="s">
        <v>72</v>
      </c>
      <c r="G6524" s="5" t="s">
        <v>42124</v>
      </c>
      <c r="H6524" s="6" t="s">
        <v>42125</v>
      </c>
      <c r="K6524" s="5" t="s">
        <v>42104</v>
      </c>
    </row>
    <row r="6525">
      <c r="A6525" s="4">
        <v>45534.37044737268</v>
      </c>
      <c r="B6525" s="5" t="s">
        <v>19</v>
      </c>
      <c r="C6525" s="5" t="s">
        <v>3301</v>
      </c>
      <c r="E6525" s="5" t="s">
        <v>42128</v>
      </c>
      <c r="F6525" s="5" t="s">
        <v>212</v>
      </c>
      <c r="G6525" s="5" t="s">
        <v>42129</v>
      </c>
      <c r="H6525" s="6" t="s">
        <v>42130</v>
      </c>
      <c r="K6525" s="5" t="s">
        <v>42131</v>
      </c>
    </row>
    <row r="6526">
      <c r="A6526" s="4">
        <v>45534.37045956019</v>
      </c>
      <c r="B6526" s="5" t="s">
        <v>34</v>
      </c>
      <c r="D6526" s="5" t="s">
        <v>1206</v>
      </c>
      <c r="E6526" s="5" t="s">
        <v>42134</v>
      </c>
      <c r="F6526" s="5" t="s">
        <v>212</v>
      </c>
      <c r="G6526" s="5" t="s">
        <v>42135</v>
      </c>
      <c r="H6526" s="6" t="s">
        <v>42136</v>
      </c>
      <c r="K6526" s="5" t="s">
        <v>42131</v>
      </c>
    </row>
    <row r="6527">
      <c r="A6527" s="4">
        <v>45534.3704653125</v>
      </c>
      <c r="B6527" s="5" t="s">
        <v>34</v>
      </c>
      <c r="D6527" s="5" t="s">
        <v>10444</v>
      </c>
      <c r="E6527" s="5" t="s">
        <v>42139</v>
      </c>
      <c r="F6527" s="5" t="s">
        <v>37</v>
      </c>
      <c r="G6527" s="5" t="s">
        <v>42140</v>
      </c>
      <c r="H6527" s="6" t="s">
        <v>42141</v>
      </c>
      <c r="K6527" s="5" t="s">
        <v>42131</v>
      </c>
    </row>
    <row r="6528">
      <c r="A6528" s="4">
        <v>45534.370482604165</v>
      </c>
      <c r="B6528" s="5" t="s">
        <v>34</v>
      </c>
      <c r="D6528" s="5" t="s">
        <v>9020</v>
      </c>
      <c r="E6528" s="5" t="s">
        <v>42145</v>
      </c>
      <c r="F6528" s="5" t="s">
        <v>212</v>
      </c>
      <c r="G6528" s="5" t="s">
        <v>42146</v>
      </c>
      <c r="H6528" s="6" t="s">
        <v>42147</v>
      </c>
      <c r="K6528" s="5" t="s">
        <v>42148</v>
      </c>
    </row>
    <row r="6529">
      <c r="A6529" s="4">
        <v>45534.37049592593</v>
      </c>
      <c r="B6529" s="5" t="s">
        <v>34</v>
      </c>
      <c r="D6529" s="5" t="s">
        <v>4775</v>
      </c>
      <c r="E6529" s="5" t="s">
        <v>42151</v>
      </c>
      <c r="F6529" s="5" t="s">
        <v>524</v>
      </c>
      <c r="G6529" s="5" t="s">
        <v>42152</v>
      </c>
      <c r="H6529" s="6" t="s">
        <v>42153</v>
      </c>
      <c r="K6529" s="5" t="s">
        <v>42148</v>
      </c>
    </row>
    <row r="6530">
      <c r="A6530" s="4">
        <v>45534.370500046294</v>
      </c>
      <c r="B6530" s="5" t="s">
        <v>34</v>
      </c>
      <c r="D6530" s="5" t="s">
        <v>10444</v>
      </c>
      <c r="E6530" s="5" t="s">
        <v>42156</v>
      </c>
      <c r="F6530" s="5" t="s">
        <v>524</v>
      </c>
      <c r="G6530" s="5" t="s">
        <v>42157</v>
      </c>
      <c r="H6530" s="6" t="s">
        <v>42158</v>
      </c>
      <c r="K6530" s="5" t="s">
        <v>42148</v>
      </c>
    </row>
    <row r="6531">
      <c r="A6531" s="4">
        <v>45534.37051678241</v>
      </c>
      <c r="B6531" s="5" t="s">
        <v>34</v>
      </c>
      <c r="D6531" s="5" t="s">
        <v>4775</v>
      </c>
      <c r="E6531" s="5" t="s">
        <v>42161</v>
      </c>
      <c r="F6531" s="5" t="s">
        <v>212</v>
      </c>
      <c r="G6531" s="5" t="s">
        <v>42162</v>
      </c>
      <c r="H6531" s="6" t="s">
        <v>42163</v>
      </c>
      <c r="K6531" s="5" t="s">
        <v>42148</v>
      </c>
    </row>
    <row r="6532">
      <c r="A6532" s="4">
        <v>45534.37052438657</v>
      </c>
      <c r="B6532" s="5" t="s">
        <v>34</v>
      </c>
      <c r="D6532" s="5" t="s">
        <v>12978</v>
      </c>
      <c r="E6532" s="5" t="s">
        <v>42166</v>
      </c>
      <c r="F6532" s="5" t="s">
        <v>9044</v>
      </c>
      <c r="G6532" s="5" t="s">
        <v>42167</v>
      </c>
      <c r="H6532" s="6" t="s">
        <v>42168</v>
      </c>
      <c r="K6532" s="5" t="s">
        <v>42148</v>
      </c>
    </row>
    <row r="6533">
      <c r="A6533" s="4">
        <v>45534.37052863426</v>
      </c>
      <c r="B6533" s="5" t="s">
        <v>34</v>
      </c>
      <c r="D6533" s="5" t="s">
        <v>4775</v>
      </c>
      <c r="E6533" s="5" t="s">
        <v>42172</v>
      </c>
      <c r="F6533" s="5" t="s">
        <v>108</v>
      </c>
      <c r="G6533" s="5" t="s">
        <v>42173</v>
      </c>
      <c r="H6533" s="6" t="s">
        <v>42174</v>
      </c>
      <c r="K6533" s="5" t="s">
        <v>42148</v>
      </c>
    </row>
    <row r="6534">
      <c r="A6534" s="4">
        <v>45534.370530127315</v>
      </c>
      <c r="B6534" s="5" t="s">
        <v>34</v>
      </c>
      <c r="D6534" s="5" t="s">
        <v>996</v>
      </c>
      <c r="E6534" s="5" t="s">
        <v>42177</v>
      </c>
      <c r="F6534" s="5" t="s">
        <v>37</v>
      </c>
      <c r="G6534" s="5" t="s">
        <v>42178</v>
      </c>
      <c r="H6534" s="6" t="s">
        <v>42179</v>
      </c>
      <c r="K6534" s="5" t="s">
        <v>42148</v>
      </c>
    </row>
    <row r="6535">
      <c r="A6535" s="4">
        <v>45534.37053008102</v>
      </c>
      <c r="B6535" s="5" t="s">
        <v>34</v>
      </c>
      <c r="D6535" s="5" t="s">
        <v>11527</v>
      </c>
      <c r="E6535" s="5" t="s">
        <v>42182</v>
      </c>
      <c r="F6535" s="5" t="s">
        <v>524</v>
      </c>
      <c r="G6535" s="5" t="s">
        <v>42183</v>
      </c>
      <c r="H6535" s="6" t="s">
        <v>42184</v>
      </c>
      <c r="K6535" s="5" t="s">
        <v>42185</v>
      </c>
    </row>
    <row r="6536">
      <c r="A6536" s="4">
        <v>45534.370536828705</v>
      </c>
      <c r="B6536" s="5" t="s">
        <v>19</v>
      </c>
      <c r="C6536" s="5" t="s">
        <v>14000</v>
      </c>
      <c r="E6536" s="5" t="s">
        <v>42188</v>
      </c>
      <c r="F6536" s="5" t="s">
        <v>328</v>
      </c>
      <c r="G6536" s="5" t="s">
        <v>42189</v>
      </c>
      <c r="H6536" s="6" t="s">
        <v>42190</v>
      </c>
      <c r="K6536" s="5" t="s">
        <v>42185</v>
      </c>
    </row>
    <row r="6537">
      <c r="A6537" s="4">
        <v>45534.37053835648</v>
      </c>
      <c r="B6537" s="5" t="s">
        <v>34</v>
      </c>
      <c r="D6537" s="5" t="s">
        <v>267</v>
      </c>
      <c r="E6537" s="5" t="s">
        <v>42193</v>
      </c>
      <c r="F6537" s="5" t="s">
        <v>37</v>
      </c>
      <c r="G6537" s="5" t="s">
        <v>42194</v>
      </c>
      <c r="H6537" s="6" t="s">
        <v>42195</v>
      </c>
      <c r="K6537" s="5" t="s">
        <v>42185</v>
      </c>
    </row>
    <row r="6538">
      <c r="A6538" s="4">
        <v>45534.37054056713</v>
      </c>
      <c r="B6538" s="5" t="s">
        <v>34</v>
      </c>
      <c r="D6538" s="5" t="s">
        <v>1206</v>
      </c>
      <c r="E6538" s="5" t="s">
        <v>42199</v>
      </c>
      <c r="F6538" s="5" t="s">
        <v>120</v>
      </c>
      <c r="G6538" s="5" t="s">
        <v>42200</v>
      </c>
      <c r="H6538" s="6" t="s">
        <v>42201</v>
      </c>
      <c r="K6538" s="5" t="s">
        <v>42185</v>
      </c>
    </row>
    <row r="6539">
      <c r="A6539" s="4">
        <v>45534.370551388885</v>
      </c>
      <c r="B6539" s="5" t="s">
        <v>19</v>
      </c>
      <c r="C6539" s="5" t="s">
        <v>38343</v>
      </c>
      <c r="E6539" s="5" t="s">
        <v>42205</v>
      </c>
      <c r="F6539" s="5" t="s">
        <v>120</v>
      </c>
      <c r="G6539" s="5" t="s">
        <v>42206</v>
      </c>
      <c r="H6539" s="6" t="s">
        <v>42207</v>
      </c>
      <c r="K6539" s="5" t="s">
        <v>42185</v>
      </c>
    </row>
    <row r="6540">
      <c r="A6540" s="4">
        <v>45534.37056059028</v>
      </c>
      <c r="B6540" s="5" t="s">
        <v>34</v>
      </c>
      <c r="D6540" s="5" t="s">
        <v>12978</v>
      </c>
      <c r="E6540" s="5" t="s">
        <v>42210</v>
      </c>
      <c r="F6540" s="5" t="s">
        <v>524</v>
      </c>
      <c r="G6540" s="5" t="s">
        <v>42211</v>
      </c>
      <c r="H6540" s="6" t="s">
        <v>42212</v>
      </c>
      <c r="K6540" s="5" t="s">
        <v>42185</v>
      </c>
    </row>
    <row r="6541">
      <c r="A6541" s="4">
        <v>45534.37056234953</v>
      </c>
      <c r="B6541" s="5" t="s">
        <v>34</v>
      </c>
      <c r="D6541" s="5" t="s">
        <v>1206</v>
      </c>
      <c r="E6541" s="5" t="s">
        <v>25246</v>
      </c>
      <c r="F6541" s="5" t="s">
        <v>212</v>
      </c>
      <c r="G6541" s="5" t="s">
        <v>42215</v>
      </c>
      <c r="H6541" s="6" t="s">
        <v>42216</v>
      </c>
      <c r="K6541" s="5" t="s">
        <v>42185</v>
      </c>
    </row>
    <row r="6542">
      <c r="A6542" s="4">
        <v>45534.37057533565</v>
      </c>
      <c r="B6542" s="5" t="s">
        <v>34</v>
      </c>
      <c r="D6542" s="5" t="s">
        <v>1206</v>
      </c>
      <c r="E6542" s="5" t="s">
        <v>42219</v>
      </c>
      <c r="F6542" s="5" t="s">
        <v>212</v>
      </c>
      <c r="G6542" s="5" t="s">
        <v>42220</v>
      </c>
      <c r="H6542" s="6" t="s">
        <v>42221</v>
      </c>
      <c r="K6542" s="5" t="s">
        <v>42185</v>
      </c>
    </row>
    <row r="6543">
      <c r="A6543" s="4">
        <v>45534.37058038195</v>
      </c>
      <c r="B6543" s="5" t="s">
        <v>34</v>
      </c>
      <c r="D6543" s="5" t="s">
        <v>9020</v>
      </c>
      <c r="E6543" s="5" t="s">
        <v>42224</v>
      </c>
      <c r="F6543" s="5" t="s">
        <v>375</v>
      </c>
      <c r="G6543" s="5" t="s">
        <v>42225</v>
      </c>
      <c r="H6543" s="6" t="s">
        <v>42226</v>
      </c>
      <c r="K6543" s="5" t="s">
        <v>42185</v>
      </c>
    </row>
    <row r="6544">
      <c r="A6544" s="4">
        <v>45534.37060877315</v>
      </c>
      <c r="B6544" s="5" t="s">
        <v>34</v>
      </c>
      <c r="D6544" s="5" t="s">
        <v>4775</v>
      </c>
      <c r="E6544" s="5" t="s">
        <v>42229</v>
      </c>
      <c r="F6544" s="5" t="s">
        <v>212</v>
      </c>
      <c r="G6544" s="5" t="s">
        <v>42230</v>
      </c>
      <c r="H6544" s="6" t="s">
        <v>42231</v>
      </c>
      <c r="K6544" s="5" t="s">
        <v>42232</v>
      </c>
    </row>
    <row r="6545">
      <c r="A6545" s="4">
        <v>45534.37061331018</v>
      </c>
      <c r="B6545" s="5" t="s">
        <v>34</v>
      </c>
      <c r="D6545" s="5" t="s">
        <v>1206</v>
      </c>
      <c r="E6545" s="5" t="s">
        <v>42236</v>
      </c>
      <c r="F6545" s="5" t="s">
        <v>37</v>
      </c>
      <c r="G6545" s="5" t="s">
        <v>42237</v>
      </c>
      <c r="H6545" s="6" t="s">
        <v>42238</v>
      </c>
      <c r="K6545" s="5" t="s">
        <v>42232</v>
      </c>
    </row>
    <row r="6546">
      <c r="A6546" s="4">
        <v>45534.370650150464</v>
      </c>
      <c r="B6546" s="5" t="s">
        <v>34</v>
      </c>
      <c r="D6546" s="5" t="s">
        <v>6232</v>
      </c>
      <c r="E6546" s="5" t="s">
        <v>42241</v>
      </c>
      <c r="F6546" s="5" t="s">
        <v>212</v>
      </c>
      <c r="G6546" s="5" t="s">
        <v>42242</v>
      </c>
      <c r="H6546" s="6" t="s">
        <v>42243</v>
      </c>
      <c r="K6546" s="5" t="s">
        <v>42244</v>
      </c>
    </row>
    <row r="6547">
      <c r="A6547" s="4">
        <v>45534.370651793986</v>
      </c>
      <c r="B6547" s="5" t="s">
        <v>34</v>
      </c>
      <c r="D6547" s="5" t="s">
        <v>4775</v>
      </c>
      <c r="E6547" s="5" t="s">
        <v>42247</v>
      </c>
      <c r="F6547" s="5" t="s">
        <v>524</v>
      </c>
      <c r="G6547" s="5" t="s">
        <v>42248</v>
      </c>
      <c r="H6547" s="6" t="s">
        <v>42249</v>
      </c>
      <c r="K6547" s="5" t="s">
        <v>42244</v>
      </c>
    </row>
    <row r="6548">
      <c r="A6548" s="4">
        <v>45534.370652314814</v>
      </c>
      <c r="B6548" s="5" t="s">
        <v>34</v>
      </c>
      <c r="D6548" s="5" t="s">
        <v>267</v>
      </c>
      <c r="E6548" s="5" t="s">
        <v>42252</v>
      </c>
      <c r="F6548" s="5" t="s">
        <v>108</v>
      </c>
      <c r="G6548" s="5" t="s">
        <v>42253</v>
      </c>
      <c r="H6548" s="6" t="s">
        <v>42254</v>
      </c>
      <c r="K6548" s="5" t="s">
        <v>42244</v>
      </c>
    </row>
    <row r="6549">
      <c r="A6549" s="4">
        <v>45534.37065907408</v>
      </c>
      <c r="B6549" s="5" t="s">
        <v>19</v>
      </c>
      <c r="C6549" s="5" t="s">
        <v>292</v>
      </c>
      <c r="E6549" s="5" t="s">
        <v>42257</v>
      </c>
      <c r="F6549" s="5" t="s">
        <v>212</v>
      </c>
      <c r="G6549" s="5" t="s">
        <v>42258</v>
      </c>
      <c r="H6549" s="6" t="s">
        <v>42259</v>
      </c>
      <c r="K6549" s="5" t="s">
        <v>42244</v>
      </c>
    </row>
    <row r="6550">
      <c r="A6550" s="4">
        <v>45534.37066158565</v>
      </c>
      <c r="B6550" s="5" t="s">
        <v>34</v>
      </c>
      <c r="D6550" s="5" t="s">
        <v>6232</v>
      </c>
      <c r="E6550" s="5" t="s">
        <v>42262</v>
      </c>
      <c r="F6550" s="5" t="s">
        <v>72</v>
      </c>
      <c r="G6550" s="5" t="s">
        <v>42263</v>
      </c>
      <c r="H6550" s="6" t="s">
        <v>42264</v>
      </c>
      <c r="K6550" s="5" t="s">
        <v>42244</v>
      </c>
    </row>
    <row r="6551">
      <c r="A6551" s="4">
        <v>45534.370663344904</v>
      </c>
      <c r="B6551" s="5" t="s">
        <v>34</v>
      </c>
      <c r="D6551" s="5" t="s">
        <v>1558</v>
      </c>
      <c r="E6551" s="5" t="s">
        <v>42267</v>
      </c>
      <c r="F6551" s="5" t="s">
        <v>108</v>
      </c>
      <c r="G6551" s="5" t="s">
        <v>42268</v>
      </c>
      <c r="H6551" s="6" t="s">
        <v>42269</v>
      </c>
      <c r="K6551" s="5" t="s">
        <v>42244</v>
      </c>
    </row>
    <row r="6552">
      <c r="A6552" s="4">
        <v>45534.37066729167</v>
      </c>
      <c r="B6552" s="5" t="s">
        <v>34</v>
      </c>
      <c r="D6552" s="5" t="s">
        <v>9020</v>
      </c>
      <c r="E6552" s="5" t="s">
        <v>42273</v>
      </c>
      <c r="F6552" s="5" t="s">
        <v>108</v>
      </c>
      <c r="G6552" s="5" t="s">
        <v>42274</v>
      </c>
      <c r="H6552" s="6" t="s">
        <v>42275</v>
      </c>
      <c r="K6552" s="5" t="s">
        <v>42276</v>
      </c>
    </row>
    <row r="6553">
      <c r="A6553" s="4">
        <v>45534.37067020833</v>
      </c>
      <c r="B6553" s="5" t="s">
        <v>34</v>
      </c>
      <c r="D6553" s="5" t="s">
        <v>1206</v>
      </c>
      <c r="E6553" s="5" t="s">
        <v>42279</v>
      </c>
      <c r="F6553" s="5" t="s">
        <v>375</v>
      </c>
      <c r="G6553" s="5" t="s">
        <v>42280</v>
      </c>
      <c r="H6553" s="6" t="s">
        <v>42281</v>
      </c>
      <c r="K6553" s="5" t="s">
        <v>42276</v>
      </c>
    </row>
    <row r="6554">
      <c r="A6554" s="4">
        <v>45534.37067846065</v>
      </c>
      <c r="B6554" s="5" t="s">
        <v>34</v>
      </c>
      <c r="D6554" s="5" t="s">
        <v>4775</v>
      </c>
      <c r="E6554" s="5" t="s">
        <v>42284</v>
      </c>
      <c r="F6554" s="5" t="s">
        <v>328</v>
      </c>
      <c r="G6554" s="5" t="s">
        <v>42285</v>
      </c>
      <c r="H6554" s="6" t="s">
        <v>42286</v>
      </c>
      <c r="K6554" s="5" t="s">
        <v>42276</v>
      </c>
    </row>
    <row r="6555">
      <c r="A6555" s="4">
        <v>45534.370688379626</v>
      </c>
      <c r="B6555" s="5" t="s">
        <v>34</v>
      </c>
      <c r="D6555" s="5" t="s">
        <v>9020</v>
      </c>
      <c r="E6555" s="5" t="s">
        <v>42289</v>
      </c>
      <c r="F6555" s="5" t="s">
        <v>212</v>
      </c>
      <c r="G6555" s="5" t="s">
        <v>42290</v>
      </c>
      <c r="H6555" s="6" t="s">
        <v>42291</v>
      </c>
      <c r="K6555" s="5" t="s">
        <v>42292</v>
      </c>
    </row>
    <row r="6556">
      <c r="A6556" s="4">
        <v>45534.37069077547</v>
      </c>
      <c r="B6556" s="5" t="s">
        <v>34</v>
      </c>
      <c r="D6556" s="5" t="s">
        <v>1206</v>
      </c>
      <c r="E6556" s="5" t="s">
        <v>42295</v>
      </c>
      <c r="F6556" s="5" t="s">
        <v>375</v>
      </c>
      <c r="G6556" s="5" t="s">
        <v>42296</v>
      </c>
      <c r="H6556" s="6" t="s">
        <v>42297</v>
      </c>
      <c r="K6556" s="5" t="s">
        <v>42292</v>
      </c>
    </row>
    <row r="6557">
      <c r="A6557" s="4">
        <v>45534.37069302083</v>
      </c>
      <c r="B6557" s="5" t="s">
        <v>34</v>
      </c>
      <c r="D6557" s="5" t="s">
        <v>6232</v>
      </c>
      <c r="E6557" s="5" t="s">
        <v>42300</v>
      </c>
      <c r="F6557" s="5" t="s">
        <v>37</v>
      </c>
      <c r="G6557" s="5" t="s">
        <v>42301</v>
      </c>
      <c r="H6557" s="6" t="s">
        <v>42302</v>
      </c>
      <c r="K6557" s="5" t="s">
        <v>42292</v>
      </c>
    </row>
    <row r="6558">
      <c r="A6558" s="4">
        <v>45534.370698391205</v>
      </c>
      <c r="B6558" s="5" t="s">
        <v>34</v>
      </c>
      <c r="D6558" s="5" t="s">
        <v>1206</v>
      </c>
      <c r="E6558" s="5" t="s">
        <v>42306</v>
      </c>
      <c r="F6558" s="5" t="s">
        <v>37</v>
      </c>
      <c r="G6558" s="5" t="s">
        <v>42307</v>
      </c>
      <c r="H6558" s="6" t="s">
        <v>42308</v>
      </c>
      <c r="K6558" s="5" t="s">
        <v>42292</v>
      </c>
    </row>
    <row r="6559">
      <c r="A6559" s="4">
        <v>45534.37070969907</v>
      </c>
      <c r="B6559" s="5" t="s">
        <v>34</v>
      </c>
      <c r="D6559" s="5" t="s">
        <v>1206</v>
      </c>
      <c r="E6559" s="5" t="s">
        <v>42311</v>
      </c>
      <c r="F6559" s="5" t="s">
        <v>375</v>
      </c>
      <c r="G6559" s="5" t="s">
        <v>42312</v>
      </c>
      <c r="H6559" s="6" t="s">
        <v>42313</v>
      </c>
      <c r="K6559" s="5" t="s">
        <v>42292</v>
      </c>
    </row>
    <row r="6560">
      <c r="A6560" s="4">
        <v>45534.37072791667</v>
      </c>
      <c r="B6560" s="5" t="s">
        <v>34</v>
      </c>
      <c r="D6560" s="5" t="s">
        <v>1558</v>
      </c>
      <c r="E6560" s="5" t="s">
        <v>15596</v>
      </c>
      <c r="F6560" s="5" t="s">
        <v>375</v>
      </c>
      <c r="G6560" s="5" t="s">
        <v>42316</v>
      </c>
      <c r="H6560" s="6" t="s">
        <v>42317</v>
      </c>
      <c r="K6560" s="5" t="s">
        <v>42318</v>
      </c>
    </row>
    <row r="6561">
      <c r="A6561" s="4">
        <v>45534.37072905093</v>
      </c>
      <c r="B6561" s="5" t="s">
        <v>34</v>
      </c>
      <c r="D6561" s="5" t="s">
        <v>9020</v>
      </c>
      <c r="E6561" s="5" t="s">
        <v>21150</v>
      </c>
      <c r="F6561" s="5" t="s">
        <v>212</v>
      </c>
      <c r="G6561" s="5" t="s">
        <v>42321</v>
      </c>
      <c r="H6561" s="6" t="s">
        <v>42322</v>
      </c>
      <c r="K6561" s="5" t="s">
        <v>42318</v>
      </c>
    </row>
    <row r="6562">
      <c r="A6562" s="4">
        <v>45534.37072896991</v>
      </c>
      <c r="B6562" s="5" t="s">
        <v>34</v>
      </c>
      <c r="D6562" s="5" t="s">
        <v>1206</v>
      </c>
      <c r="E6562" s="5" t="s">
        <v>42325</v>
      </c>
      <c r="F6562" s="5" t="s">
        <v>72</v>
      </c>
      <c r="G6562" s="5" t="s">
        <v>42326</v>
      </c>
      <c r="H6562" s="6" t="s">
        <v>42327</v>
      </c>
      <c r="K6562" s="5" t="s">
        <v>42318</v>
      </c>
    </row>
    <row r="6563">
      <c r="A6563" s="4">
        <v>45534.370748981484</v>
      </c>
      <c r="B6563" s="5" t="s">
        <v>34</v>
      </c>
      <c r="D6563" s="5" t="s">
        <v>12978</v>
      </c>
      <c r="E6563" s="5" t="s">
        <v>42330</v>
      </c>
      <c r="F6563" s="5" t="s">
        <v>212</v>
      </c>
      <c r="G6563" s="5" t="s">
        <v>42331</v>
      </c>
      <c r="H6563" s="6" t="s">
        <v>42332</v>
      </c>
      <c r="K6563" s="5" t="s">
        <v>42318</v>
      </c>
    </row>
    <row r="6564">
      <c r="A6564" s="4">
        <v>45534.37077609954</v>
      </c>
      <c r="B6564" s="5" t="s">
        <v>34</v>
      </c>
      <c r="D6564" s="5" t="s">
        <v>12010</v>
      </c>
      <c r="E6564" s="5" t="s">
        <v>42336</v>
      </c>
      <c r="F6564" s="5" t="s">
        <v>37</v>
      </c>
      <c r="G6564" s="5" t="s">
        <v>42337</v>
      </c>
      <c r="H6564" s="6" t="s">
        <v>42338</v>
      </c>
      <c r="K6564" s="5" t="s">
        <v>42318</v>
      </c>
    </row>
    <row r="6565">
      <c r="A6565" s="4">
        <v>45534.37078351852</v>
      </c>
      <c r="B6565" s="5" t="s">
        <v>34</v>
      </c>
      <c r="D6565" s="5" t="s">
        <v>10297</v>
      </c>
      <c r="E6565" s="5" t="s">
        <v>42341</v>
      </c>
      <c r="F6565" s="5" t="s">
        <v>37</v>
      </c>
      <c r="G6565" s="5" t="s">
        <v>42342</v>
      </c>
      <c r="H6565" s="6" t="s">
        <v>42343</v>
      </c>
      <c r="K6565" s="5" t="s">
        <v>42318</v>
      </c>
    </row>
    <row r="6566">
      <c r="A6566" s="4">
        <v>45534.37082119213</v>
      </c>
      <c r="B6566" s="5" t="s">
        <v>34</v>
      </c>
      <c r="D6566" s="5" t="s">
        <v>9020</v>
      </c>
      <c r="E6566" s="5" t="s">
        <v>42346</v>
      </c>
      <c r="F6566" s="5" t="s">
        <v>22</v>
      </c>
      <c r="G6566" s="5" t="s">
        <v>35475</v>
      </c>
      <c r="H6566" s="6" t="s">
        <v>42347</v>
      </c>
      <c r="K6566" s="5" t="s">
        <v>42318</v>
      </c>
    </row>
    <row r="6567">
      <c r="A6567" s="4">
        <v>45534.37083612269</v>
      </c>
      <c r="B6567" s="5" t="s">
        <v>34</v>
      </c>
      <c r="D6567" s="5" t="s">
        <v>1206</v>
      </c>
      <c r="E6567" s="5" t="s">
        <v>42350</v>
      </c>
      <c r="F6567" s="5" t="s">
        <v>37</v>
      </c>
      <c r="G6567" s="5" t="s">
        <v>42351</v>
      </c>
      <c r="H6567" s="6" t="s">
        <v>42352</v>
      </c>
      <c r="K6567" s="5" t="s">
        <v>42318</v>
      </c>
    </row>
    <row r="6568">
      <c r="A6568" s="4">
        <v>45534.37084800926</v>
      </c>
      <c r="B6568" s="5" t="s">
        <v>34</v>
      </c>
      <c r="D6568" s="5" t="s">
        <v>1206</v>
      </c>
      <c r="E6568" s="5" t="s">
        <v>42355</v>
      </c>
      <c r="F6568" s="5" t="s">
        <v>72</v>
      </c>
      <c r="G6568" s="5" t="s">
        <v>42356</v>
      </c>
      <c r="H6568" s="6" t="s">
        <v>42357</v>
      </c>
      <c r="K6568" s="5" t="s">
        <v>42318</v>
      </c>
    </row>
    <row r="6569">
      <c r="A6569" s="4">
        <v>45534.37085947917</v>
      </c>
      <c r="B6569" s="5" t="s">
        <v>34</v>
      </c>
      <c r="D6569" s="5" t="s">
        <v>604</v>
      </c>
      <c r="E6569" s="5" t="s">
        <v>42360</v>
      </c>
      <c r="F6569" s="5" t="s">
        <v>375</v>
      </c>
      <c r="G6569" s="5" t="s">
        <v>42361</v>
      </c>
      <c r="H6569" s="6" t="s">
        <v>42362</v>
      </c>
      <c r="K6569" s="5" t="s">
        <v>42318</v>
      </c>
    </row>
    <row r="6570">
      <c r="A6570" s="4">
        <v>45534.37086833333</v>
      </c>
      <c r="B6570" s="5" t="s">
        <v>34</v>
      </c>
      <c r="D6570" s="5" t="s">
        <v>6232</v>
      </c>
      <c r="E6570" s="5" t="s">
        <v>42366</v>
      </c>
      <c r="F6570" s="5" t="s">
        <v>108</v>
      </c>
      <c r="G6570" s="5" t="s">
        <v>42367</v>
      </c>
      <c r="H6570" s="6" t="s">
        <v>42368</v>
      </c>
      <c r="K6570" s="5" t="s">
        <v>42318</v>
      </c>
    </row>
    <row r="6571">
      <c r="A6571" s="4">
        <v>45534.370902696755</v>
      </c>
      <c r="B6571" s="5" t="s">
        <v>34</v>
      </c>
      <c r="D6571" s="5" t="s">
        <v>1206</v>
      </c>
      <c r="E6571" s="5" t="s">
        <v>42371</v>
      </c>
      <c r="F6571" s="5" t="s">
        <v>524</v>
      </c>
      <c r="G6571" s="5" t="s">
        <v>42372</v>
      </c>
      <c r="H6571" s="6" t="s">
        <v>42373</v>
      </c>
      <c r="K6571" s="5" t="s">
        <v>42318</v>
      </c>
    </row>
    <row r="6572">
      <c r="A6572" s="4">
        <v>45534.37091197917</v>
      </c>
      <c r="B6572" s="5" t="s">
        <v>34</v>
      </c>
      <c r="D6572" s="5" t="s">
        <v>1206</v>
      </c>
      <c r="E6572" s="5" t="s">
        <v>42376</v>
      </c>
      <c r="F6572" s="5" t="s">
        <v>72</v>
      </c>
      <c r="G6572" s="5" t="s">
        <v>42377</v>
      </c>
      <c r="H6572" s="6" t="s">
        <v>42378</v>
      </c>
      <c r="K6572" s="5" t="s">
        <v>42318</v>
      </c>
    </row>
    <row r="6573">
      <c r="A6573" s="4">
        <v>45534.370912604165</v>
      </c>
      <c r="B6573" s="5" t="s">
        <v>34</v>
      </c>
      <c r="D6573" s="5" t="s">
        <v>701</v>
      </c>
      <c r="E6573" s="5" t="s">
        <v>42382</v>
      </c>
      <c r="F6573" s="5" t="s">
        <v>212</v>
      </c>
      <c r="G6573" s="5" t="s">
        <v>42383</v>
      </c>
      <c r="H6573" s="6" t="s">
        <v>42384</v>
      </c>
      <c r="K6573" s="5" t="s">
        <v>42318</v>
      </c>
    </row>
    <row r="6574">
      <c r="A6574" s="4">
        <v>45534.37092726852</v>
      </c>
      <c r="B6574" s="5" t="s">
        <v>34</v>
      </c>
      <c r="D6574" s="5" t="s">
        <v>15401</v>
      </c>
      <c r="E6574" s="5" t="s">
        <v>42387</v>
      </c>
      <c r="F6574" s="5" t="s">
        <v>375</v>
      </c>
      <c r="G6574" s="5" t="s">
        <v>42388</v>
      </c>
      <c r="H6574" s="6" t="s">
        <v>42389</v>
      </c>
      <c r="K6574" s="5" t="s">
        <v>42318</v>
      </c>
    </row>
    <row r="6575">
      <c r="A6575" s="4">
        <v>45534.37094407408</v>
      </c>
      <c r="B6575" s="5" t="s">
        <v>34</v>
      </c>
      <c r="D6575" s="5" t="s">
        <v>9020</v>
      </c>
      <c r="E6575" s="5" t="s">
        <v>42392</v>
      </c>
      <c r="F6575" s="5" t="s">
        <v>212</v>
      </c>
      <c r="G6575" s="5" t="s">
        <v>42393</v>
      </c>
      <c r="H6575" s="6" t="s">
        <v>42394</v>
      </c>
      <c r="K6575" s="5" t="s">
        <v>42318</v>
      </c>
    </row>
    <row r="6576">
      <c r="A6576" s="4">
        <v>45534.37097590278</v>
      </c>
      <c r="B6576" s="5" t="s">
        <v>34</v>
      </c>
      <c r="D6576" s="5" t="s">
        <v>11527</v>
      </c>
      <c r="E6576" s="5" t="s">
        <v>42397</v>
      </c>
      <c r="F6576" s="5" t="s">
        <v>120</v>
      </c>
      <c r="G6576" s="5" t="s">
        <v>42398</v>
      </c>
      <c r="H6576" s="6" t="s">
        <v>42399</v>
      </c>
      <c r="K6576" s="5" t="s">
        <v>42318</v>
      </c>
    </row>
    <row r="6577">
      <c r="A6577" s="4">
        <v>45534.37098504629</v>
      </c>
      <c r="B6577" s="5" t="s">
        <v>19</v>
      </c>
      <c r="C6577" s="5" t="s">
        <v>466</v>
      </c>
      <c r="E6577" s="5" t="s">
        <v>42403</v>
      </c>
      <c r="F6577" s="5" t="s">
        <v>72</v>
      </c>
      <c r="G6577" s="5" t="s">
        <v>42404</v>
      </c>
      <c r="H6577" s="6" t="s">
        <v>42405</v>
      </c>
      <c r="K6577" s="5" t="s">
        <v>42318</v>
      </c>
    </row>
    <row r="6578">
      <c r="A6578" s="4">
        <v>45534.37100319444</v>
      </c>
      <c r="B6578" s="5" t="s">
        <v>34</v>
      </c>
      <c r="D6578" s="5" t="s">
        <v>280</v>
      </c>
      <c r="E6578" s="5" t="s">
        <v>42408</v>
      </c>
      <c r="F6578" s="5" t="s">
        <v>37</v>
      </c>
      <c r="G6578" s="5" t="s">
        <v>42409</v>
      </c>
      <c r="H6578" s="6" t="s">
        <v>42410</v>
      </c>
      <c r="K6578" s="5" t="s">
        <v>42318</v>
      </c>
    </row>
    <row r="6579">
      <c r="A6579" s="4">
        <v>45534.371008773145</v>
      </c>
      <c r="B6579" s="5" t="s">
        <v>34</v>
      </c>
      <c r="D6579" s="5" t="s">
        <v>9394</v>
      </c>
      <c r="E6579" s="5" t="s">
        <v>42413</v>
      </c>
      <c r="F6579" s="5" t="s">
        <v>199</v>
      </c>
      <c r="G6579" s="5" t="s">
        <v>42414</v>
      </c>
      <c r="H6579" s="6" t="s">
        <v>42415</v>
      </c>
      <c r="K6579" s="5" t="s">
        <v>42318</v>
      </c>
    </row>
    <row r="6580">
      <c r="A6580" s="4">
        <v>45534.37101292824</v>
      </c>
      <c r="B6580" s="5" t="s">
        <v>34</v>
      </c>
      <c r="D6580" s="5" t="s">
        <v>1206</v>
      </c>
      <c r="E6580" s="5" t="s">
        <v>42418</v>
      </c>
      <c r="F6580" s="5" t="s">
        <v>72</v>
      </c>
      <c r="G6580" s="5" t="s">
        <v>42419</v>
      </c>
      <c r="H6580" s="6" t="s">
        <v>42420</v>
      </c>
      <c r="K6580" s="5" t="s">
        <v>42318</v>
      </c>
    </row>
    <row r="6581">
      <c r="A6581" s="4">
        <v>45534.371025381944</v>
      </c>
      <c r="B6581" s="5" t="s">
        <v>19</v>
      </c>
      <c r="C6581" s="5" t="s">
        <v>5564</v>
      </c>
      <c r="E6581" s="5" t="s">
        <v>42423</v>
      </c>
      <c r="F6581" s="5" t="s">
        <v>212</v>
      </c>
      <c r="G6581" s="5" t="s">
        <v>42424</v>
      </c>
      <c r="H6581" s="6" t="s">
        <v>42425</v>
      </c>
      <c r="K6581" s="5" t="s">
        <v>42318</v>
      </c>
    </row>
    <row r="6582">
      <c r="A6582" s="4">
        <v>45534.37103159723</v>
      </c>
      <c r="B6582" s="5" t="s">
        <v>34</v>
      </c>
      <c r="D6582" s="5" t="s">
        <v>12978</v>
      </c>
      <c r="E6582" s="5" t="s">
        <v>42428</v>
      </c>
      <c r="F6582" s="5" t="s">
        <v>212</v>
      </c>
      <c r="G6582" s="5" t="s">
        <v>42429</v>
      </c>
      <c r="H6582" s="6" t="s">
        <v>42430</v>
      </c>
      <c r="K6582" s="5" t="s">
        <v>42318</v>
      </c>
    </row>
    <row r="6583">
      <c r="A6583" s="4">
        <v>45534.37106900463</v>
      </c>
      <c r="B6583" s="5" t="s">
        <v>19</v>
      </c>
      <c r="C6583" s="5" t="s">
        <v>14000</v>
      </c>
      <c r="E6583" s="5" t="s">
        <v>42434</v>
      </c>
      <c r="F6583" s="5" t="s">
        <v>108</v>
      </c>
      <c r="G6583" s="5" t="s">
        <v>42435</v>
      </c>
      <c r="H6583" s="6" t="s">
        <v>42436</v>
      </c>
      <c r="K6583" s="5" t="s">
        <v>42318</v>
      </c>
    </row>
    <row r="6584">
      <c r="A6584" s="4">
        <v>45534.37110068287</v>
      </c>
      <c r="B6584" s="5" t="s">
        <v>34</v>
      </c>
      <c r="D6584" s="5" t="s">
        <v>1206</v>
      </c>
      <c r="E6584" s="5" t="s">
        <v>42439</v>
      </c>
      <c r="F6584" s="5" t="s">
        <v>37</v>
      </c>
      <c r="G6584" s="5" t="s">
        <v>42440</v>
      </c>
      <c r="H6584" s="6" t="s">
        <v>42441</v>
      </c>
      <c r="K6584" s="5" t="s">
        <v>42318</v>
      </c>
    </row>
    <row r="6585">
      <c r="A6585" s="4">
        <v>45534.37112422453</v>
      </c>
      <c r="B6585" s="5" t="s">
        <v>34</v>
      </c>
      <c r="D6585" s="5" t="s">
        <v>14424</v>
      </c>
      <c r="E6585" s="5" t="s">
        <v>42444</v>
      </c>
      <c r="F6585" s="5" t="s">
        <v>212</v>
      </c>
      <c r="G6585" s="5" t="s">
        <v>42445</v>
      </c>
      <c r="H6585" s="6" t="s">
        <v>42446</v>
      </c>
      <c r="K6585" s="5" t="s">
        <v>42318</v>
      </c>
    </row>
    <row r="6586">
      <c r="A6586" s="4">
        <v>45534.371133761575</v>
      </c>
      <c r="B6586" s="5" t="s">
        <v>34</v>
      </c>
      <c r="D6586" s="5" t="s">
        <v>35</v>
      </c>
      <c r="E6586" s="5" t="s">
        <v>42449</v>
      </c>
      <c r="F6586" s="5" t="s">
        <v>37</v>
      </c>
      <c r="G6586" s="5" t="s">
        <v>42450</v>
      </c>
      <c r="H6586" s="6" t="s">
        <v>42451</v>
      </c>
      <c r="K6586" s="5" t="s">
        <v>42318</v>
      </c>
    </row>
    <row r="6587">
      <c r="A6587" s="4">
        <v>45534.37115572917</v>
      </c>
      <c r="B6587" s="5" t="s">
        <v>34</v>
      </c>
      <c r="D6587" s="5" t="s">
        <v>4775</v>
      </c>
      <c r="E6587" s="5" t="s">
        <v>42455</v>
      </c>
      <c r="F6587" s="5" t="s">
        <v>212</v>
      </c>
      <c r="G6587" s="5" t="s">
        <v>42456</v>
      </c>
      <c r="H6587" s="6" t="s">
        <v>42457</v>
      </c>
      <c r="K6587" s="5" t="s">
        <v>42318</v>
      </c>
    </row>
    <row r="6588">
      <c r="A6588" s="4">
        <v>45534.37115820602</v>
      </c>
      <c r="B6588" s="5" t="s">
        <v>34</v>
      </c>
      <c r="D6588" s="5" t="s">
        <v>1206</v>
      </c>
      <c r="E6588" s="5" t="s">
        <v>42460</v>
      </c>
      <c r="F6588" s="5" t="s">
        <v>37</v>
      </c>
      <c r="G6588" s="5" t="s">
        <v>42461</v>
      </c>
      <c r="H6588" s="6" t="s">
        <v>42462</v>
      </c>
      <c r="K6588" s="5" t="s">
        <v>42318</v>
      </c>
    </row>
    <row r="6589">
      <c r="A6589" s="4">
        <v>45534.37118210648</v>
      </c>
      <c r="B6589" s="5" t="s">
        <v>34</v>
      </c>
      <c r="D6589" s="5" t="s">
        <v>1206</v>
      </c>
      <c r="E6589" s="5" t="s">
        <v>42465</v>
      </c>
      <c r="F6589" s="5" t="s">
        <v>212</v>
      </c>
      <c r="G6589" s="5" t="s">
        <v>42466</v>
      </c>
      <c r="H6589" s="6" t="s">
        <v>42467</v>
      </c>
      <c r="K6589" s="5" t="s">
        <v>42318</v>
      </c>
    </row>
    <row r="6590">
      <c r="A6590" s="4">
        <v>45534.371215046296</v>
      </c>
      <c r="B6590" s="5" t="s">
        <v>34</v>
      </c>
      <c r="D6590" s="5" t="s">
        <v>1558</v>
      </c>
      <c r="E6590" s="5" t="s">
        <v>42470</v>
      </c>
      <c r="F6590" s="5" t="s">
        <v>212</v>
      </c>
      <c r="G6590" s="5" t="s">
        <v>42471</v>
      </c>
      <c r="H6590" s="6" t="s">
        <v>42472</v>
      </c>
      <c r="K6590" s="5" t="s">
        <v>42318</v>
      </c>
    </row>
    <row r="6591">
      <c r="A6591" s="4">
        <v>45534.37122184028</v>
      </c>
      <c r="B6591" s="5" t="s">
        <v>34</v>
      </c>
      <c r="D6591" s="5" t="s">
        <v>10444</v>
      </c>
      <c r="E6591" s="5" t="s">
        <v>42476</v>
      </c>
      <c r="F6591" s="5" t="s">
        <v>37</v>
      </c>
      <c r="G6591" s="5" t="s">
        <v>42477</v>
      </c>
      <c r="H6591" s="6" t="s">
        <v>42478</v>
      </c>
      <c r="K6591" s="5" t="s">
        <v>42318</v>
      </c>
    </row>
    <row r="6592">
      <c r="A6592" s="4">
        <v>45534.3712265162</v>
      </c>
      <c r="B6592" s="5" t="s">
        <v>34</v>
      </c>
      <c r="D6592" s="5" t="s">
        <v>1206</v>
      </c>
      <c r="E6592" s="5" t="s">
        <v>42482</v>
      </c>
      <c r="F6592" s="5" t="s">
        <v>108</v>
      </c>
      <c r="G6592" s="5" t="s">
        <v>42483</v>
      </c>
      <c r="H6592" s="6" t="s">
        <v>42484</v>
      </c>
      <c r="K6592" s="5" t="s">
        <v>42318</v>
      </c>
    </row>
    <row r="6593">
      <c r="A6593" s="4">
        <v>45534.37125326389</v>
      </c>
      <c r="B6593" s="5" t="s">
        <v>34</v>
      </c>
      <c r="D6593" s="5" t="s">
        <v>1206</v>
      </c>
      <c r="E6593" s="5" t="s">
        <v>42487</v>
      </c>
      <c r="F6593" s="5" t="s">
        <v>37</v>
      </c>
      <c r="G6593" s="5" t="s">
        <v>42488</v>
      </c>
      <c r="H6593" s="6" t="s">
        <v>42489</v>
      </c>
      <c r="K6593" s="5" t="s">
        <v>42318</v>
      </c>
    </row>
    <row r="6594">
      <c r="A6594" s="4">
        <v>45534.3712878588</v>
      </c>
      <c r="B6594" s="5" t="s">
        <v>34</v>
      </c>
      <c r="D6594" s="5" t="s">
        <v>1206</v>
      </c>
      <c r="E6594" s="5" t="s">
        <v>42492</v>
      </c>
      <c r="F6594" s="5" t="s">
        <v>37</v>
      </c>
      <c r="G6594" s="5" t="s">
        <v>42493</v>
      </c>
      <c r="H6594" s="6" t="s">
        <v>42494</v>
      </c>
      <c r="K6594" s="5" t="s">
        <v>42318</v>
      </c>
    </row>
    <row r="6595">
      <c r="A6595" s="4">
        <v>45534.37129111111</v>
      </c>
      <c r="B6595" s="5" t="s">
        <v>34</v>
      </c>
      <c r="D6595" s="5" t="s">
        <v>1206</v>
      </c>
      <c r="E6595" s="5" t="s">
        <v>42497</v>
      </c>
      <c r="F6595" s="5" t="s">
        <v>37</v>
      </c>
      <c r="G6595" s="5" t="s">
        <v>42498</v>
      </c>
      <c r="H6595" s="6" t="s">
        <v>42499</v>
      </c>
      <c r="K6595" s="5" t="s">
        <v>42318</v>
      </c>
    </row>
    <row r="6596">
      <c r="A6596" s="4">
        <v>45534.37130097223</v>
      </c>
      <c r="B6596" s="5" t="s">
        <v>34</v>
      </c>
      <c r="D6596" s="5" t="s">
        <v>12978</v>
      </c>
      <c r="E6596" s="5" t="s">
        <v>42503</v>
      </c>
      <c r="F6596" s="5" t="s">
        <v>108</v>
      </c>
      <c r="G6596" s="5" t="s">
        <v>42504</v>
      </c>
      <c r="H6596" s="6" t="s">
        <v>42505</v>
      </c>
      <c r="K6596" s="5" t="s">
        <v>42318</v>
      </c>
    </row>
    <row r="6597">
      <c r="A6597" s="4">
        <v>45534.371302025465</v>
      </c>
      <c r="B6597" s="5" t="s">
        <v>34</v>
      </c>
      <c r="D6597" s="5" t="s">
        <v>9020</v>
      </c>
      <c r="E6597" s="5" t="s">
        <v>42508</v>
      </c>
      <c r="F6597" s="5" t="s">
        <v>108</v>
      </c>
      <c r="G6597" s="5" t="s">
        <v>42509</v>
      </c>
      <c r="H6597" s="6" t="s">
        <v>42510</v>
      </c>
      <c r="K6597" s="5" t="s">
        <v>42318</v>
      </c>
    </row>
    <row r="6598">
      <c r="A6598" s="4">
        <v>45534.371313703705</v>
      </c>
      <c r="B6598" s="5" t="s">
        <v>34</v>
      </c>
      <c r="D6598" s="5" t="s">
        <v>1456</v>
      </c>
      <c r="E6598" s="5" t="s">
        <v>42513</v>
      </c>
      <c r="F6598" s="5" t="s">
        <v>375</v>
      </c>
      <c r="G6598" s="5" t="s">
        <v>42514</v>
      </c>
      <c r="H6598" s="6" t="s">
        <v>42515</v>
      </c>
      <c r="K6598" s="5" t="s">
        <v>42318</v>
      </c>
    </row>
    <row r="6599">
      <c r="A6599" s="4">
        <v>45534.37133243056</v>
      </c>
      <c r="B6599" s="5" t="s">
        <v>34</v>
      </c>
      <c r="D6599" s="5" t="s">
        <v>1558</v>
      </c>
      <c r="E6599" s="5" t="s">
        <v>42518</v>
      </c>
      <c r="F6599" s="5" t="s">
        <v>72</v>
      </c>
      <c r="G6599" s="5" t="s">
        <v>42519</v>
      </c>
      <c r="H6599" s="6" t="s">
        <v>42520</v>
      </c>
      <c r="K6599" s="5" t="s">
        <v>42318</v>
      </c>
    </row>
    <row r="6600">
      <c r="A6600" s="4">
        <v>45534.37134923611</v>
      </c>
      <c r="B6600" s="5" t="s">
        <v>34</v>
      </c>
      <c r="D6600" s="5" t="s">
        <v>4775</v>
      </c>
      <c r="E6600" s="5" t="s">
        <v>42523</v>
      </c>
      <c r="F6600" s="5" t="s">
        <v>212</v>
      </c>
      <c r="G6600" s="5" t="s">
        <v>42524</v>
      </c>
      <c r="H6600" s="6" t="s">
        <v>42525</v>
      </c>
      <c r="K6600" s="5" t="s">
        <v>42318</v>
      </c>
    </row>
    <row r="6601">
      <c r="A6601" s="4">
        <v>45534.37135430556</v>
      </c>
      <c r="B6601" s="5" t="s">
        <v>34</v>
      </c>
      <c r="D6601" s="5" t="s">
        <v>9020</v>
      </c>
      <c r="E6601" s="5" t="s">
        <v>42529</v>
      </c>
      <c r="F6601" s="5" t="s">
        <v>212</v>
      </c>
      <c r="G6601" s="5" t="s">
        <v>42530</v>
      </c>
      <c r="H6601" s="6" t="s">
        <v>42531</v>
      </c>
      <c r="K6601" s="5" t="s">
        <v>42318</v>
      </c>
    </row>
    <row r="6602">
      <c r="A6602" s="4">
        <v>45534.37137333333</v>
      </c>
      <c r="B6602" s="5" t="s">
        <v>34</v>
      </c>
      <c r="D6602" s="5" t="s">
        <v>1206</v>
      </c>
      <c r="E6602" s="5" t="s">
        <v>20883</v>
      </c>
      <c r="F6602" s="5" t="s">
        <v>5859</v>
      </c>
      <c r="G6602" s="5" t="s">
        <v>42534</v>
      </c>
      <c r="H6602" s="6" t="s">
        <v>42535</v>
      </c>
      <c r="K6602" s="5" t="s">
        <v>42318</v>
      </c>
    </row>
    <row r="6603">
      <c r="A6603" s="4">
        <v>45534.37138515046</v>
      </c>
      <c r="B6603" s="5" t="s">
        <v>19</v>
      </c>
      <c r="C6603" s="5" t="s">
        <v>1606</v>
      </c>
      <c r="E6603" s="5" t="s">
        <v>42538</v>
      </c>
      <c r="F6603" s="5" t="s">
        <v>524</v>
      </c>
      <c r="G6603" s="5" t="s">
        <v>42539</v>
      </c>
      <c r="H6603" s="6" t="s">
        <v>42540</v>
      </c>
      <c r="K6603" s="5" t="s">
        <v>42318</v>
      </c>
    </row>
    <row r="6604">
      <c r="A6604" s="4">
        <v>45534.37139273148</v>
      </c>
      <c r="B6604" s="5" t="s">
        <v>34</v>
      </c>
      <c r="D6604" s="5" t="s">
        <v>1206</v>
      </c>
      <c r="E6604" s="5" t="s">
        <v>16410</v>
      </c>
      <c r="F6604" s="5" t="s">
        <v>212</v>
      </c>
      <c r="G6604" s="5" t="s">
        <v>42543</v>
      </c>
      <c r="H6604" s="6" t="s">
        <v>42544</v>
      </c>
      <c r="K6604" s="5" t="s">
        <v>42318</v>
      </c>
    </row>
    <row r="6605">
      <c r="A6605" s="4">
        <v>45534.371405694445</v>
      </c>
      <c r="B6605" s="5" t="s">
        <v>34</v>
      </c>
      <c r="D6605" s="5" t="s">
        <v>267</v>
      </c>
      <c r="E6605" s="5" t="s">
        <v>42547</v>
      </c>
      <c r="F6605" s="5" t="s">
        <v>524</v>
      </c>
      <c r="G6605" s="5" t="s">
        <v>42548</v>
      </c>
      <c r="H6605" s="6" t="s">
        <v>42549</v>
      </c>
      <c r="K6605" s="5" t="s">
        <v>42318</v>
      </c>
    </row>
    <row r="6606">
      <c r="A6606" s="4">
        <v>45534.371407638886</v>
      </c>
      <c r="B6606" s="5" t="s">
        <v>19</v>
      </c>
      <c r="C6606" s="5" t="s">
        <v>3301</v>
      </c>
      <c r="E6606" s="5" t="s">
        <v>42552</v>
      </c>
      <c r="F6606" s="5" t="s">
        <v>524</v>
      </c>
      <c r="G6606" s="5" t="s">
        <v>42553</v>
      </c>
      <c r="H6606" s="6" t="s">
        <v>42554</v>
      </c>
      <c r="K6606" s="5" t="s">
        <v>42318</v>
      </c>
    </row>
    <row r="6607">
      <c r="A6607" s="4">
        <v>45534.37142898148</v>
      </c>
      <c r="B6607" s="5" t="s">
        <v>34</v>
      </c>
      <c r="D6607" s="5" t="s">
        <v>1206</v>
      </c>
      <c r="E6607" s="5" t="s">
        <v>42558</v>
      </c>
      <c r="F6607" s="5" t="s">
        <v>72</v>
      </c>
      <c r="G6607" s="5" t="s">
        <v>42559</v>
      </c>
      <c r="H6607" s="6" t="s">
        <v>42560</v>
      </c>
      <c r="K6607" s="5" t="s">
        <v>42318</v>
      </c>
    </row>
    <row r="6608">
      <c r="A6608" s="4">
        <v>45534.371436574074</v>
      </c>
      <c r="B6608" s="5" t="s">
        <v>34</v>
      </c>
      <c r="D6608" s="5" t="s">
        <v>14313</v>
      </c>
      <c r="E6608" s="5" t="s">
        <v>42563</v>
      </c>
      <c r="F6608" s="5" t="s">
        <v>72</v>
      </c>
      <c r="G6608" s="5" t="s">
        <v>42564</v>
      </c>
      <c r="H6608" s="6" t="s">
        <v>42565</v>
      </c>
      <c r="K6608" s="5" t="s">
        <v>42318</v>
      </c>
    </row>
    <row r="6609">
      <c r="A6609" s="4">
        <v>45534.37144023148</v>
      </c>
      <c r="B6609" s="5" t="s">
        <v>34</v>
      </c>
      <c r="D6609" s="5" t="s">
        <v>580</v>
      </c>
      <c r="E6609" s="5" t="s">
        <v>42568</v>
      </c>
      <c r="F6609" s="5" t="s">
        <v>37</v>
      </c>
      <c r="G6609" s="5" t="s">
        <v>42569</v>
      </c>
      <c r="H6609" s="6" t="s">
        <v>42570</v>
      </c>
      <c r="K6609" s="5" t="s">
        <v>42318</v>
      </c>
    </row>
    <row r="6610">
      <c r="A6610" s="4">
        <v>45534.37145681713</v>
      </c>
      <c r="B6610" s="5" t="s">
        <v>34</v>
      </c>
      <c r="D6610" s="5" t="s">
        <v>1206</v>
      </c>
      <c r="E6610" s="5" t="s">
        <v>42573</v>
      </c>
      <c r="F6610" s="5" t="s">
        <v>212</v>
      </c>
      <c r="G6610" s="5" t="s">
        <v>42574</v>
      </c>
      <c r="H6610" s="6" t="s">
        <v>42575</v>
      </c>
      <c r="K6610" s="5" t="s">
        <v>42318</v>
      </c>
    </row>
    <row r="6611">
      <c r="A6611" s="4">
        <v>45534.37145707176</v>
      </c>
      <c r="B6611" s="5" t="s">
        <v>34</v>
      </c>
      <c r="D6611" s="5" t="s">
        <v>14424</v>
      </c>
      <c r="E6611" s="5" t="s">
        <v>42578</v>
      </c>
      <c r="F6611" s="5" t="s">
        <v>37</v>
      </c>
      <c r="G6611" s="5" t="s">
        <v>42579</v>
      </c>
      <c r="H6611" s="6" t="s">
        <v>42580</v>
      </c>
      <c r="K6611" s="5" t="s">
        <v>42318</v>
      </c>
    </row>
    <row r="6612">
      <c r="A6612" s="4">
        <v>45534.37147290509</v>
      </c>
      <c r="B6612" s="5" t="s">
        <v>34</v>
      </c>
      <c r="D6612" s="5" t="s">
        <v>580</v>
      </c>
      <c r="E6612" s="5" t="s">
        <v>42584</v>
      </c>
      <c r="F6612" s="5" t="s">
        <v>37</v>
      </c>
      <c r="G6612" s="5" t="s">
        <v>42585</v>
      </c>
      <c r="H6612" s="6" t="s">
        <v>42586</v>
      </c>
      <c r="K6612" s="5" t="s">
        <v>42318</v>
      </c>
    </row>
    <row r="6613">
      <c r="A6613" s="4">
        <v>45534.37148356481</v>
      </c>
      <c r="B6613" s="5" t="s">
        <v>34</v>
      </c>
      <c r="D6613" s="5" t="s">
        <v>12978</v>
      </c>
      <c r="E6613" s="5" t="s">
        <v>15460</v>
      </c>
      <c r="F6613" s="5" t="s">
        <v>37</v>
      </c>
      <c r="G6613" s="5" t="s">
        <v>42589</v>
      </c>
      <c r="H6613" s="6" t="s">
        <v>42590</v>
      </c>
      <c r="K6613" s="5" t="s">
        <v>42318</v>
      </c>
    </row>
    <row r="6614">
      <c r="A6614" s="4">
        <v>45534.37148585648</v>
      </c>
      <c r="B6614" s="5" t="s">
        <v>34</v>
      </c>
      <c r="D6614" s="5" t="s">
        <v>1456</v>
      </c>
      <c r="E6614" s="5" t="s">
        <v>42593</v>
      </c>
      <c r="F6614" s="5" t="s">
        <v>37</v>
      </c>
      <c r="G6614" s="5" t="s">
        <v>42594</v>
      </c>
      <c r="H6614" s="6" t="s">
        <v>42595</v>
      </c>
      <c r="K6614" s="5" t="s">
        <v>42318</v>
      </c>
    </row>
    <row r="6615">
      <c r="A6615" s="4">
        <v>45534.37148645833</v>
      </c>
      <c r="B6615" s="5" t="s">
        <v>34</v>
      </c>
      <c r="D6615" s="5" t="s">
        <v>9394</v>
      </c>
      <c r="E6615" s="5" t="s">
        <v>42598</v>
      </c>
      <c r="F6615" s="5" t="s">
        <v>37</v>
      </c>
      <c r="G6615" s="5" t="s">
        <v>42599</v>
      </c>
      <c r="H6615" s="6" t="s">
        <v>42600</v>
      </c>
      <c r="K6615" s="5" t="s">
        <v>42318</v>
      </c>
    </row>
    <row r="6616">
      <c r="A6616" s="4">
        <v>45534.371490405094</v>
      </c>
      <c r="B6616" s="5" t="s">
        <v>34</v>
      </c>
      <c r="D6616" s="5" t="s">
        <v>1206</v>
      </c>
      <c r="E6616" s="5" t="s">
        <v>42604</v>
      </c>
      <c r="F6616" s="5" t="s">
        <v>120</v>
      </c>
      <c r="G6616" s="5" t="s">
        <v>42605</v>
      </c>
      <c r="H6616" s="6" t="s">
        <v>42606</v>
      </c>
      <c r="K6616" s="5" t="s">
        <v>42318</v>
      </c>
    </row>
    <row r="6617">
      <c r="A6617" s="4">
        <v>45534.37149525463</v>
      </c>
      <c r="B6617" s="5" t="s">
        <v>34</v>
      </c>
      <c r="D6617" s="5" t="s">
        <v>4775</v>
      </c>
      <c r="E6617" s="5" t="s">
        <v>42609</v>
      </c>
      <c r="F6617" s="5" t="s">
        <v>37</v>
      </c>
      <c r="G6617" s="5" t="s">
        <v>42610</v>
      </c>
      <c r="H6617" s="6" t="s">
        <v>42611</v>
      </c>
      <c r="K6617" s="5" t="s">
        <v>42318</v>
      </c>
    </row>
    <row r="6618">
      <c r="A6618" s="4">
        <v>45534.371501076384</v>
      </c>
      <c r="B6618" s="5" t="s">
        <v>19</v>
      </c>
      <c r="C6618" s="5" t="s">
        <v>442</v>
      </c>
      <c r="E6618" s="5" t="s">
        <v>42614</v>
      </c>
      <c r="F6618" s="5" t="s">
        <v>108</v>
      </c>
      <c r="G6618" s="5" t="s">
        <v>42615</v>
      </c>
      <c r="H6618" s="6" t="s">
        <v>42616</v>
      </c>
      <c r="K6618" s="5" t="s">
        <v>42318</v>
      </c>
    </row>
    <row r="6619">
      <c r="A6619" s="4">
        <v>45534.3715202662</v>
      </c>
      <c r="B6619" s="5" t="s">
        <v>34</v>
      </c>
      <c r="D6619" s="5" t="s">
        <v>4775</v>
      </c>
      <c r="E6619" s="5" t="s">
        <v>42619</v>
      </c>
      <c r="F6619" s="5" t="s">
        <v>199</v>
      </c>
      <c r="G6619" s="5" t="s">
        <v>42620</v>
      </c>
      <c r="H6619" s="6" t="s">
        <v>42621</v>
      </c>
      <c r="K6619" s="5" t="s">
        <v>42318</v>
      </c>
    </row>
    <row r="6620">
      <c r="A6620" s="4">
        <v>45534.371522291665</v>
      </c>
      <c r="B6620" s="5" t="s">
        <v>34</v>
      </c>
      <c r="D6620" s="5" t="s">
        <v>1558</v>
      </c>
      <c r="E6620" s="5" t="s">
        <v>42624</v>
      </c>
      <c r="F6620" s="5" t="s">
        <v>120</v>
      </c>
      <c r="G6620" s="5" t="s">
        <v>42625</v>
      </c>
      <c r="H6620" s="6" t="s">
        <v>42626</v>
      </c>
      <c r="K6620" s="5" t="s">
        <v>42318</v>
      </c>
    </row>
    <row r="6621">
      <c r="A6621" s="4">
        <v>45534.371536527775</v>
      </c>
      <c r="B6621" s="5" t="s">
        <v>34</v>
      </c>
      <c r="D6621" s="5" t="s">
        <v>1692</v>
      </c>
      <c r="E6621" s="5" t="s">
        <v>42630</v>
      </c>
      <c r="F6621" s="5" t="s">
        <v>22</v>
      </c>
      <c r="G6621" s="5" t="s">
        <v>42631</v>
      </c>
      <c r="H6621" s="6" t="s">
        <v>42632</v>
      </c>
      <c r="K6621" s="5" t="s">
        <v>42318</v>
      </c>
    </row>
    <row r="6622">
      <c r="A6622" s="4">
        <v>45534.37154828703</v>
      </c>
      <c r="B6622" s="5" t="s">
        <v>34</v>
      </c>
      <c r="D6622" s="5" t="s">
        <v>9394</v>
      </c>
      <c r="E6622" s="5" t="s">
        <v>42635</v>
      </c>
      <c r="F6622" s="5" t="s">
        <v>524</v>
      </c>
      <c r="G6622" s="5" t="s">
        <v>42636</v>
      </c>
      <c r="H6622" s="6" t="s">
        <v>42637</v>
      </c>
      <c r="K6622" s="5" t="s">
        <v>42318</v>
      </c>
    </row>
    <row r="6623">
      <c r="A6623" s="4">
        <v>45534.37157971065</v>
      </c>
      <c r="B6623" s="5" t="s">
        <v>34</v>
      </c>
      <c r="D6623" s="5" t="s">
        <v>10297</v>
      </c>
      <c r="E6623" s="5" t="s">
        <v>42640</v>
      </c>
      <c r="F6623" s="5" t="s">
        <v>37</v>
      </c>
      <c r="G6623" s="5" t="s">
        <v>42641</v>
      </c>
      <c r="H6623" s="6" t="s">
        <v>42642</v>
      </c>
      <c r="K6623" s="5" t="s">
        <v>42318</v>
      </c>
    </row>
    <row r="6624">
      <c r="A6624" s="4">
        <v>45534.37158158565</v>
      </c>
      <c r="B6624" s="5" t="s">
        <v>34</v>
      </c>
      <c r="D6624" s="5" t="s">
        <v>35</v>
      </c>
      <c r="E6624" s="5" t="s">
        <v>42645</v>
      </c>
      <c r="F6624" s="5" t="s">
        <v>72</v>
      </c>
      <c r="G6624" s="5" t="s">
        <v>42646</v>
      </c>
      <c r="H6624" s="6" t="s">
        <v>42647</v>
      </c>
      <c r="K6624" s="5" t="s">
        <v>42318</v>
      </c>
    </row>
    <row r="6625">
      <c r="A6625" s="4">
        <v>45534.37158865741</v>
      </c>
      <c r="B6625" s="5" t="s">
        <v>34</v>
      </c>
      <c r="D6625" s="5" t="s">
        <v>9020</v>
      </c>
      <c r="E6625" s="5" t="s">
        <v>42650</v>
      </c>
      <c r="F6625" s="5" t="s">
        <v>212</v>
      </c>
      <c r="G6625" s="5" t="s">
        <v>42651</v>
      </c>
      <c r="H6625" s="6" t="s">
        <v>42652</v>
      </c>
      <c r="K6625" s="5" t="s">
        <v>42318</v>
      </c>
    </row>
    <row r="6626">
      <c r="A6626" s="4">
        <v>45534.37160362268</v>
      </c>
      <c r="B6626" s="5" t="s">
        <v>19</v>
      </c>
      <c r="C6626" s="5" t="s">
        <v>466</v>
      </c>
      <c r="E6626" s="5" t="s">
        <v>11768</v>
      </c>
      <c r="F6626" s="5" t="s">
        <v>108</v>
      </c>
      <c r="G6626" s="5" t="s">
        <v>42656</v>
      </c>
      <c r="H6626" s="6" t="s">
        <v>42657</v>
      </c>
      <c r="K6626" s="5" t="s">
        <v>42318</v>
      </c>
    </row>
    <row r="6627">
      <c r="A6627" s="4">
        <v>45534.37161259259</v>
      </c>
      <c r="B6627" s="5" t="s">
        <v>34</v>
      </c>
      <c r="D6627" s="5" t="s">
        <v>1558</v>
      </c>
      <c r="E6627" s="5" t="s">
        <v>42660</v>
      </c>
      <c r="F6627" s="5" t="s">
        <v>524</v>
      </c>
      <c r="G6627" s="5" t="s">
        <v>42661</v>
      </c>
      <c r="H6627" s="6" t="s">
        <v>42662</v>
      </c>
      <c r="K6627" s="5" t="s">
        <v>42318</v>
      </c>
    </row>
    <row r="6628">
      <c r="A6628" s="4">
        <v>45534.37161325231</v>
      </c>
      <c r="B6628" s="5" t="s">
        <v>34</v>
      </c>
      <c r="D6628" s="5" t="s">
        <v>9020</v>
      </c>
      <c r="E6628" s="5" t="s">
        <v>42665</v>
      </c>
      <c r="F6628" s="5" t="s">
        <v>212</v>
      </c>
      <c r="G6628" s="5" t="s">
        <v>42666</v>
      </c>
      <c r="H6628" s="6" t="s">
        <v>42667</v>
      </c>
      <c r="K6628" s="5" t="s">
        <v>42318</v>
      </c>
    </row>
    <row r="6629">
      <c r="A6629" s="4">
        <v>45534.37162445602</v>
      </c>
      <c r="B6629" s="5" t="s">
        <v>34</v>
      </c>
      <c r="D6629" s="5" t="s">
        <v>14313</v>
      </c>
      <c r="E6629" s="5" t="s">
        <v>42670</v>
      </c>
      <c r="F6629" s="5" t="s">
        <v>72</v>
      </c>
      <c r="G6629" s="5" t="s">
        <v>42671</v>
      </c>
      <c r="H6629" s="6" t="s">
        <v>42672</v>
      </c>
      <c r="K6629" s="5" t="s">
        <v>42318</v>
      </c>
    </row>
    <row r="6630">
      <c r="A6630" s="4">
        <v>45534.37162553241</v>
      </c>
      <c r="B6630" s="5" t="s">
        <v>34</v>
      </c>
      <c r="D6630" s="5" t="s">
        <v>14313</v>
      </c>
      <c r="E6630" s="5" t="s">
        <v>42675</v>
      </c>
      <c r="F6630" s="5" t="s">
        <v>524</v>
      </c>
      <c r="G6630" s="5" t="s">
        <v>42676</v>
      </c>
      <c r="H6630" s="6" t="s">
        <v>42677</v>
      </c>
      <c r="K6630" s="5" t="s">
        <v>42318</v>
      </c>
    </row>
    <row r="6631">
      <c r="A6631" s="4">
        <v>45534.371639467594</v>
      </c>
      <c r="B6631" s="5" t="s">
        <v>19</v>
      </c>
      <c r="C6631" s="5" t="s">
        <v>292</v>
      </c>
      <c r="E6631" s="5" t="s">
        <v>42681</v>
      </c>
      <c r="F6631" s="5" t="s">
        <v>108</v>
      </c>
      <c r="G6631" s="5" t="s">
        <v>42682</v>
      </c>
      <c r="H6631" s="6" t="s">
        <v>42683</v>
      </c>
      <c r="K6631" s="5" t="s">
        <v>42318</v>
      </c>
    </row>
    <row r="6632">
      <c r="A6632" s="4">
        <v>45534.37164351852</v>
      </c>
      <c r="B6632" s="5" t="s">
        <v>34</v>
      </c>
      <c r="D6632" s="5" t="s">
        <v>10444</v>
      </c>
      <c r="E6632" s="5" t="s">
        <v>42686</v>
      </c>
      <c r="F6632" s="5" t="s">
        <v>375</v>
      </c>
      <c r="G6632" s="5" t="s">
        <v>42687</v>
      </c>
      <c r="H6632" s="6" t="s">
        <v>42688</v>
      </c>
      <c r="K6632" s="5" t="s">
        <v>42318</v>
      </c>
    </row>
    <row r="6633">
      <c r="A6633" s="4">
        <v>45534.37165163194</v>
      </c>
      <c r="B6633" s="5" t="s">
        <v>34</v>
      </c>
      <c r="D6633" s="5" t="s">
        <v>4775</v>
      </c>
      <c r="E6633" s="5" t="s">
        <v>42691</v>
      </c>
      <c r="F6633" s="5" t="s">
        <v>108</v>
      </c>
      <c r="G6633" s="5" t="s">
        <v>42692</v>
      </c>
      <c r="H6633" s="6" t="s">
        <v>42693</v>
      </c>
      <c r="K6633" s="5" t="s">
        <v>42318</v>
      </c>
    </row>
    <row r="6634">
      <c r="A6634" s="4">
        <v>45534.371673692134</v>
      </c>
      <c r="B6634" s="5" t="s">
        <v>34</v>
      </c>
      <c r="D6634" s="5" t="s">
        <v>2903</v>
      </c>
      <c r="E6634" s="5" t="s">
        <v>42696</v>
      </c>
      <c r="F6634" s="5" t="s">
        <v>212</v>
      </c>
      <c r="G6634" s="5" t="s">
        <v>42697</v>
      </c>
      <c r="H6634" s="6" t="s">
        <v>42698</v>
      </c>
      <c r="K6634" s="5" t="s">
        <v>42318</v>
      </c>
    </row>
    <row r="6635">
      <c r="A6635" s="4">
        <v>45534.37167449074</v>
      </c>
      <c r="B6635" s="5" t="s">
        <v>34</v>
      </c>
      <c r="D6635" s="5" t="s">
        <v>12978</v>
      </c>
      <c r="E6635" s="5" t="s">
        <v>42701</v>
      </c>
      <c r="F6635" s="5" t="s">
        <v>524</v>
      </c>
      <c r="G6635" s="5" t="s">
        <v>42702</v>
      </c>
      <c r="H6635" s="6" t="s">
        <v>42703</v>
      </c>
      <c r="K6635" s="5" t="s">
        <v>42318</v>
      </c>
    </row>
    <row r="6636">
      <c r="A6636" s="4">
        <v>45534.37168171296</v>
      </c>
      <c r="B6636" s="5" t="s">
        <v>19</v>
      </c>
      <c r="C6636" s="5" t="s">
        <v>30588</v>
      </c>
      <c r="E6636" s="5" t="s">
        <v>42707</v>
      </c>
      <c r="F6636" s="5" t="s">
        <v>375</v>
      </c>
      <c r="G6636" s="5" t="s">
        <v>42708</v>
      </c>
      <c r="H6636" s="6" t="s">
        <v>42709</v>
      </c>
      <c r="K6636" s="5" t="s">
        <v>42318</v>
      </c>
    </row>
    <row r="6637">
      <c r="A6637" s="4">
        <v>45534.371687453706</v>
      </c>
      <c r="B6637" s="5" t="s">
        <v>34</v>
      </c>
      <c r="D6637" s="5" t="s">
        <v>4775</v>
      </c>
      <c r="E6637" s="5" t="s">
        <v>42712</v>
      </c>
      <c r="F6637" s="5" t="s">
        <v>37</v>
      </c>
      <c r="G6637" s="5" t="s">
        <v>42713</v>
      </c>
      <c r="H6637" s="6" t="s">
        <v>42714</v>
      </c>
      <c r="K6637" s="5" t="s">
        <v>42318</v>
      </c>
    </row>
    <row r="6638">
      <c r="A6638" s="4">
        <v>45534.37169226852</v>
      </c>
      <c r="B6638" s="5" t="s">
        <v>34</v>
      </c>
      <c r="D6638" s="5" t="s">
        <v>1206</v>
      </c>
      <c r="E6638" s="5" t="s">
        <v>42717</v>
      </c>
      <c r="F6638" s="5" t="s">
        <v>37</v>
      </c>
      <c r="G6638" s="5" t="s">
        <v>42718</v>
      </c>
      <c r="H6638" s="6" t="s">
        <v>42719</v>
      </c>
      <c r="K6638" s="5" t="s">
        <v>42318</v>
      </c>
    </row>
    <row r="6639">
      <c r="A6639" s="4">
        <v>45534.371706805556</v>
      </c>
      <c r="B6639" s="5" t="s">
        <v>34</v>
      </c>
      <c r="D6639" s="5" t="s">
        <v>1558</v>
      </c>
      <c r="E6639" s="5" t="s">
        <v>42723</v>
      </c>
      <c r="F6639" s="5" t="s">
        <v>37</v>
      </c>
      <c r="G6639" s="5" t="s">
        <v>42724</v>
      </c>
      <c r="H6639" s="6" t="s">
        <v>42725</v>
      </c>
      <c r="K6639" s="5" t="s">
        <v>42318</v>
      </c>
    </row>
    <row r="6640">
      <c r="A6640" s="4">
        <v>45534.37171553241</v>
      </c>
      <c r="B6640" s="5" t="s">
        <v>34</v>
      </c>
      <c r="D6640" s="5" t="s">
        <v>1558</v>
      </c>
      <c r="E6640" s="5" t="s">
        <v>42728</v>
      </c>
      <c r="F6640" s="5" t="s">
        <v>72</v>
      </c>
      <c r="G6640" s="5" t="s">
        <v>42729</v>
      </c>
      <c r="H6640" s="6" t="s">
        <v>42730</v>
      </c>
      <c r="K6640" s="5" t="s">
        <v>42318</v>
      </c>
    </row>
    <row r="6641">
      <c r="A6641" s="4">
        <v>45534.371738449074</v>
      </c>
      <c r="B6641" s="5" t="s">
        <v>19</v>
      </c>
      <c r="C6641" s="5" t="s">
        <v>24076</v>
      </c>
      <c r="E6641" s="5" t="s">
        <v>42733</v>
      </c>
      <c r="F6641" s="5" t="s">
        <v>212</v>
      </c>
      <c r="G6641" s="5" t="s">
        <v>42734</v>
      </c>
      <c r="H6641" s="6" t="s">
        <v>42735</v>
      </c>
      <c r="K6641" s="5" t="s">
        <v>42318</v>
      </c>
    </row>
    <row r="6642">
      <c r="A6642" s="4">
        <v>45534.371740648145</v>
      </c>
      <c r="B6642" s="5" t="s">
        <v>34</v>
      </c>
      <c r="D6642" s="5" t="s">
        <v>1558</v>
      </c>
      <c r="E6642" s="5" t="s">
        <v>42738</v>
      </c>
      <c r="F6642" s="5" t="s">
        <v>375</v>
      </c>
      <c r="G6642" s="5" t="s">
        <v>42739</v>
      </c>
      <c r="H6642" s="6" t="s">
        <v>42740</v>
      </c>
      <c r="K6642" s="5" t="s">
        <v>42318</v>
      </c>
    </row>
    <row r="6643">
      <c r="A6643" s="4">
        <v>45534.37174570602</v>
      </c>
      <c r="B6643" s="5" t="s">
        <v>34</v>
      </c>
      <c r="D6643" s="5" t="s">
        <v>9020</v>
      </c>
      <c r="E6643" s="5" t="s">
        <v>42744</v>
      </c>
      <c r="F6643" s="5" t="s">
        <v>212</v>
      </c>
      <c r="G6643" s="5" t="s">
        <v>42745</v>
      </c>
      <c r="H6643" s="6" t="s">
        <v>42746</v>
      </c>
      <c r="K6643" s="5" t="s">
        <v>42318</v>
      </c>
    </row>
    <row r="6644">
      <c r="A6644" s="4">
        <v>45534.371764525466</v>
      </c>
      <c r="B6644" s="5" t="s">
        <v>19</v>
      </c>
      <c r="C6644" s="5" t="s">
        <v>5564</v>
      </c>
      <c r="E6644" s="5" t="s">
        <v>42749</v>
      </c>
      <c r="F6644" s="5" t="s">
        <v>212</v>
      </c>
      <c r="G6644" s="5" t="s">
        <v>42750</v>
      </c>
      <c r="H6644" s="6" t="s">
        <v>42751</v>
      </c>
      <c r="K6644" s="5" t="s">
        <v>42318</v>
      </c>
    </row>
    <row r="6645">
      <c r="A6645" s="4">
        <v>45534.371770868056</v>
      </c>
      <c r="B6645" s="5" t="s">
        <v>34</v>
      </c>
      <c r="D6645" s="5" t="s">
        <v>1558</v>
      </c>
      <c r="E6645" s="5" t="s">
        <v>42754</v>
      </c>
      <c r="F6645" s="5" t="s">
        <v>212</v>
      </c>
      <c r="G6645" s="5" t="s">
        <v>42755</v>
      </c>
      <c r="H6645" s="6" t="s">
        <v>42756</v>
      </c>
      <c r="K6645" s="5" t="s">
        <v>42318</v>
      </c>
    </row>
    <row r="6646">
      <c r="A6646" s="4">
        <v>45534.37178460648</v>
      </c>
      <c r="B6646" s="5" t="s">
        <v>19</v>
      </c>
      <c r="C6646" s="5" t="s">
        <v>5564</v>
      </c>
      <c r="E6646" s="5" t="s">
        <v>42759</v>
      </c>
      <c r="F6646" s="5" t="s">
        <v>72</v>
      </c>
      <c r="G6646" s="5" t="s">
        <v>42760</v>
      </c>
      <c r="H6646" s="6" t="s">
        <v>42761</v>
      </c>
      <c r="K6646" s="5" t="s">
        <v>42318</v>
      </c>
    </row>
    <row r="6647">
      <c r="A6647" s="4">
        <v>45534.371793819446</v>
      </c>
      <c r="B6647" s="5" t="s">
        <v>34</v>
      </c>
      <c r="D6647" s="5" t="s">
        <v>1206</v>
      </c>
      <c r="E6647" s="5" t="s">
        <v>42764</v>
      </c>
      <c r="F6647" s="5" t="s">
        <v>212</v>
      </c>
      <c r="G6647" s="5" t="s">
        <v>42765</v>
      </c>
      <c r="H6647" s="6" t="s">
        <v>42766</v>
      </c>
      <c r="K6647" s="5" t="s">
        <v>42318</v>
      </c>
    </row>
    <row r="6648">
      <c r="A6648" s="4">
        <v>45534.371802326394</v>
      </c>
      <c r="B6648" s="5" t="s">
        <v>34</v>
      </c>
      <c r="D6648" s="5" t="s">
        <v>9394</v>
      </c>
      <c r="E6648" s="5" t="s">
        <v>42770</v>
      </c>
      <c r="F6648" s="5" t="s">
        <v>37</v>
      </c>
      <c r="G6648" s="5" t="s">
        <v>42771</v>
      </c>
      <c r="H6648" s="6" t="s">
        <v>42772</v>
      </c>
      <c r="K6648" s="5" t="s">
        <v>42318</v>
      </c>
    </row>
    <row r="6649">
      <c r="A6649" s="4">
        <v>45534.37183128472</v>
      </c>
      <c r="B6649" s="5" t="s">
        <v>34</v>
      </c>
      <c r="D6649" s="5" t="s">
        <v>1206</v>
      </c>
      <c r="E6649" s="5" t="s">
        <v>17149</v>
      </c>
      <c r="F6649" s="5" t="s">
        <v>37</v>
      </c>
      <c r="G6649" s="5" t="s">
        <v>42775</v>
      </c>
      <c r="H6649" s="6" t="s">
        <v>42776</v>
      </c>
      <c r="K6649" s="5" t="s">
        <v>42318</v>
      </c>
    </row>
    <row r="6650">
      <c r="A6650" s="4">
        <v>45534.3718337037</v>
      </c>
      <c r="B6650" s="5" t="s">
        <v>34</v>
      </c>
      <c r="D6650" s="5" t="s">
        <v>4775</v>
      </c>
      <c r="E6650" s="5" t="s">
        <v>42779</v>
      </c>
      <c r="F6650" s="5" t="s">
        <v>375</v>
      </c>
      <c r="G6650" s="5" t="s">
        <v>42780</v>
      </c>
      <c r="H6650" s="6" t="s">
        <v>42781</v>
      </c>
      <c r="K6650" s="5" t="s">
        <v>42318</v>
      </c>
    </row>
    <row r="6651">
      <c r="A6651" s="4">
        <v>45534.37183978009</v>
      </c>
      <c r="B6651" s="5" t="s">
        <v>34</v>
      </c>
      <c r="D6651" s="5" t="s">
        <v>1456</v>
      </c>
      <c r="E6651" s="5" t="s">
        <v>42784</v>
      </c>
      <c r="F6651" s="5" t="s">
        <v>524</v>
      </c>
      <c r="G6651" s="5" t="s">
        <v>42785</v>
      </c>
      <c r="H6651" s="6" t="s">
        <v>42786</v>
      </c>
      <c r="K6651" s="5" t="s">
        <v>42318</v>
      </c>
    </row>
    <row r="6652">
      <c r="A6652" s="4">
        <v>45534.37184024305</v>
      </c>
      <c r="B6652" s="5" t="s">
        <v>34</v>
      </c>
      <c r="D6652" s="5" t="s">
        <v>10444</v>
      </c>
      <c r="E6652" s="5" t="s">
        <v>42789</v>
      </c>
      <c r="F6652" s="5" t="s">
        <v>524</v>
      </c>
      <c r="G6652" s="5" t="s">
        <v>42790</v>
      </c>
      <c r="H6652" s="6" t="s">
        <v>42791</v>
      </c>
      <c r="K6652" s="5" t="s">
        <v>42318</v>
      </c>
    </row>
    <row r="6653">
      <c r="A6653" s="4">
        <v>45534.371842395834</v>
      </c>
      <c r="B6653" s="5" t="s">
        <v>34</v>
      </c>
      <c r="D6653" s="5" t="s">
        <v>10297</v>
      </c>
      <c r="E6653" s="5" t="s">
        <v>42795</v>
      </c>
      <c r="F6653" s="5" t="s">
        <v>715</v>
      </c>
      <c r="G6653" s="5" t="s">
        <v>42796</v>
      </c>
      <c r="H6653" s="6" t="s">
        <v>42797</v>
      </c>
      <c r="K6653" s="5" t="s">
        <v>42318</v>
      </c>
    </row>
    <row r="6654">
      <c r="A6654" s="4">
        <v>45534.371848333336</v>
      </c>
      <c r="B6654" s="5" t="s">
        <v>34</v>
      </c>
      <c r="D6654" s="5" t="s">
        <v>4775</v>
      </c>
      <c r="E6654" s="5" t="s">
        <v>42800</v>
      </c>
      <c r="F6654" s="5" t="s">
        <v>212</v>
      </c>
      <c r="G6654" s="5" t="s">
        <v>42801</v>
      </c>
      <c r="H6654" s="6" t="s">
        <v>42802</v>
      </c>
      <c r="K6654" s="5" t="s">
        <v>42318</v>
      </c>
    </row>
    <row r="6655">
      <c r="A6655" s="4">
        <v>45534.371852488424</v>
      </c>
      <c r="B6655" s="5" t="s">
        <v>34</v>
      </c>
      <c r="D6655" s="5" t="s">
        <v>701</v>
      </c>
      <c r="E6655" s="5" t="s">
        <v>42805</v>
      </c>
      <c r="F6655" s="5" t="s">
        <v>72</v>
      </c>
      <c r="G6655" s="5" t="s">
        <v>42806</v>
      </c>
      <c r="H6655" s="6" t="s">
        <v>42807</v>
      </c>
      <c r="K6655" s="5" t="s">
        <v>42318</v>
      </c>
    </row>
    <row r="6656">
      <c r="A6656" s="4">
        <v>45534.371876793986</v>
      </c>
      <c r="B6656" s="5" t="s">
        <v>19</v>
      </c>
      <c r="C6656" s="5" t="s">
        <v>26187</v>
      </c>
      <c r="E6656" s="5" t="s">
        <v>42810</v>
      </c>
      <c r="F6656" s="5" t="s">
        <v>524</v>
      </c>
      <c r="G6656" s="5" t="s">
        <v>42811</v>
      </c>
      <c r="H6656" s="6" t="s">
        <v>42812</v>
      </c>
      <c r="K6656" s="5" t="s">
        <v>42813</v>
      </c>
    </row>
    <row r="6657">
      <c r="A6657" s="4">
        <v>45534.371896111115</v>
      </c>
      <c r="B6657" s="5" t="s">
        <v>34</v>
      </c>
      <c r="D6657" s="5" t="s">
        <v>996</v>
      </c>
      <c r="E6657" s="5" t="s">
        <v>42817</v>
      </c>
      <c r="F6657" s="5" t="s">
        <v>328</v>
      </c>
      <c r="G6657" s="5" t="s">
        <v>42818</v>
      </c>
      <c r="H6657" s="6" t="s">
        <v>42819</v>
      </c>
      <c r="K6657" s="5" t="s">
        <v>42820</v>
      </c>
    </row>
    <row r="6658">
      <c r="A6658" s="4">
        <v>45534.37190982639</v>
      </c>
      <c r="B6658" s="5" t="s">
        <v>34</v>
      </c>
      <c r="D6658" s="5" t="s">
        <v>1206</v>
      </c>
      <c r="E6658" s="5" t="s">
        <v>42823</v>
      </c>
      <c r="F6658" s="5" t="s">
        <v>524</v>
      </c>
      <c r="G6658" s="5" t="s">
        <v>42824</v>
      </c>
      <c r="H6658" s="6" t="s">
        <v>42825</v>
      </c>
      <c r="K6658" s="5" t="s">
        <v>42820</v>
      </c>
    </row>
    <row r="6659">
      <c r="A6659" s="4">
        <v>45534.37191494213</v>
      </c>
      <c r="B6659" s="5" t="s">
        <v>19</v>
      </c>
      <c r="C6659" s="5" t="s">
        <v>5564</v>
      </c>
      <c r="E6659" s="5" t="s">
        <v>42828</v>
      </c>
      <c r="F6659" s="5" t="s">
        <v>120</v>
      </c>
      <c r="G6659" s="5" t="s">
        <v>42829</v>
      </c>
      <c r="H6659" s="6" t="s">
        <v>42830</v>
      </c>
      <c r="K6659" s="5" t="s">
        <v>42820</v>
      </c>
    </row>
    <row r="6660">
      <c r="A6660" s="4">
        <v>45534.371922488426</v>
      </c>
      <c r="B6660" s="5" t="s">
        <v>34</v>
      </c>
      <c r="D6660" s="5" t="s">
        <v>12978</v>
      </c>
      <c r="E6660" s="5" t="s">
        <v>42834</v>
      </c>
      <c r="F6660" s="5" t="s">
        <v>524</v>
      </c>
      <c r="G6660" s="5" t="s">
        <v>42835</v>
      </c>
      <c r="H6660" s="6" t="s">
        <v>42836</v>
      </c>
      <c r="K6660" s="5" t="s">
        <v>42820</v>
      </c>
    </row>
    <row r="6661">
      <c r="A6661" s="4">
        <v>45534.37194096065</v>
      </c>
      <c r="B6661" s="5" t="s">
        <v>34</v>
      </c>
      <c r="D6661" s="5" t="s">
        <v>1206</v>
      </c>
      <c r="E6661" s="5" t="s">
        <v>42839</v>
      </c>
      <c r="F6661" s="5" t="s">
        <v>72</v>
      </c>
      <c r="G6661" s="5" t="s">
        <v>42840</v>
      </c>
      <c r="H6661" s="6" t="s">
        <v>42841</v>
      </c>
      <c r="K6661" s="5" t="s">
        <v>42842</v>
      </c>
    </row>
    <row r="6662">
      <c r="A6662" s="4">
        <v>45534.371968321764</v>
      </c>
      <c r="B6662" s="5" t="s">
        <v>19</v>
      </c>
      <c r="C6662" s="5" t="s">
        <v>5564</v>
      </c>
      <c r="E6662" s="5" t="s">
        <v>42845</v>
      </c>
      <c r="F6662" s="5" t="s">
        <v>212</v>
      </c>
      <c r="G6662" s="5" t="s">
        <v>42846</v>
      </c>
      <c r="H6662" s="6" t="s">
        <v>42847</v>
      </c>
      <c r="K6662" s="5" t="s">
        <v>42848</v>
      </c>
    </row>
    <row r="6663">
      <c r="A6663" s="4">
        <v>45534.371978483796</v>
      </c>
      <c r="B6663" s="5" t="s">
        <v>34</v>
      </c>
      <c r="D6663" s="5" t="s">
        <v>267</v>
      </c>
      <c r="E6663" s="5" t="s">
        <v>42851</v>
      </c>
      <c r="F6663" s="5" t="s">
        <v>72</v>
      </c>
      <c r="G6663" s="5" t="s">
        <v>42852</v>
      </c>
      <c r="H6663" s="6" t="s">
        <v>42853</v>
      </c>
      <c r="K6663" s="5" t="s">
        <v>42848</v>
      </c>
    </row>
    <row r="6664">
      <c r="A6664" s="4">
        <v>45534.371981793985</v>
      </c>
      <c r="B6664" s="5" t="s">
        <v>34</v>
      </c>
      <c r="D6664" s="5" t="s">
        <v>1206</v>
      </c>
      <c r="E6664" s="5" t="s">
        <v>42857</v>
      </c>
      <c r="F6664" s="5" t="s">
        <v>199</v>
      </c>
      <c r="G6664" s="5" t="s">
        <v>42858</v>
      </c>
      <c r="H6664" s="6" t="s">
        <v>42859</v>
      </c>
      <c r="K6664" s="5" t="s">
        <v>42848</v>
      </c>
    </row>
    <row r="6665">
      <c r="A6665" s="4">
        <v>45534.37200585648</v>
      </c>
      <c r="B6665" s="5" t="s">
        <v>34</v>
      </c>
      <c r="D6665" s="5" t="s">
        <v>10297</v>
      </c>
      <c r="E6665" s="5" t="s">
        <v>31241</v>
      </c>
      <c r="F6665" s="5" t="s">
        <v>37</v>
      </c>
      <c r="G6665" s="5" t="s">
        <v>42862</v>
      </c>
      <c r="H6665" s="6" t="s">
        <v>42863</v>
      </c>
      <c r="K6665" s="5" t="s">
        <v>42864</v>
      </c>
    </row>
    <row r="6666">
      <c r="A6666" s="4">
        <v>45534.37201465278</v>
      </c>
      <c r="B6666" s="5" t="s">
        <v>34</v>
      </c>
      <c r="D6666" s="5" t="s">
        <v>1456</v>
      </c>
      <c r="E6666" s="5" t="s">
        <v>42867</v>
      </c>
      <c r="F6666" s="5" t="s">
        <v>212</v>
      </c>
      <c r="G6666" s="5" t="s">
        <v>42868</v>
      </c>
      <c r="H6666" s="6" t="s">
        <v>42869</v>
      </c>
      <c r="K6666" s="5" t="s">
        <v>42864</v>
      </c>
    </row>
    <row r="6667">
      <c r="A6667" s="4">
        <v>45534.372021041665</v>
      </c>
      <c r="B6667" s="5" t="s">
        <v>34</v>
      </c>
      <c r="D6667" s="5" t="s">
        <v>1206</v>
      </c>
      <c r="E6667" s="5" t="s">
        <v>42872</v>
      </c>
      <c r="F6667" s="5" t="s">
        <v>328</v>
      </c>
      <c r="G6667" s="5" t="s">
        <v>42873</v>
      </c>
      <c r="H6667" s="6" t="s">
        <v>42874</v>
      </c>
      <c r="K6667" s="5" t="s">
        <v>42864</v>
      </c>
    </row>
    <row r="6668">
      <c r="A6668" s="4">
        <v>45534.3720397338</v>
      </c>
      <c r="B6668" s="5" t="s">
        <v>34</v>
      </c>
      <c r="D6668" s="5" t="s">
        <v>4775</v>
      </c>
      <c r="E6668" s="5" t="s">
        <v>42878</v>
      </c>
      <c r="F6668" s="5" t="s">
        <v>212</v>
      </c>
      <c r="G6668" s="5" t="s">
        <v>42879</v>
      </c>
      <c r="H6668" s="6" t="s">
        <v>42880</v>
      </c>
      <c r="K6668" s="5" t="s">
        <v>42881</v>
      </c>
    </row>
    <row r="6669">
      <c r="A6669" s="4">
        <v>45534.37205708333</v>
      </c>
      <c r="B6669" s="5" t="s">
        <v>34</v>
      </c>
      <c r="D6669" s="5" t="s">
        <v>35</v>
      </c>
      <c r="E6669" s="5" t="s">
        <v>42884</v>
      </c>
      <c r="F6669" s="5" t="s">
        <v>120</v>
      </c>
      <c r="G6669" s="5" t="s">
        <v>42885</v>
      </c>
      <c r="H6669" s="6" t="s">
        <v>42886</v>
      </c>
      <c r="K6669" s="5" t="s">
        <v>42881</v>
      </c>
    </row>
    <row r="6670">
      <c r="A6670" s="4">
        <v>45534.37205770833</v>
      </c>
      <c r="B6670" s="5" t="s">
        <v>34</v>
      </c>
      <c r="D6670" s="5" t="s">
        <v>1206</v>
      </c>
      <c r="E6670" s="5" t="s">
        <v>42889</v>
      </c>
      <c r="F6670" s="5" t="s">
        <v>72</v>
      </c>
      <c r="G6670" s="5" t="s">
        <v>42890</v>
      </c>
      <c r="H6670" s="6" t="s">
        <v>42891</v>
      </c>
      <c r="K6670" s="5" t="s">
        <v>42881</v>
      </c>
    </row>
    <row r="6671">
      <c r="A6671" s="4">
        <v>45534.37208407407</v>
      </c>
      <c r="B6671" s="5" t="s">
        <v>34</v>
      </c>
      <c r="D6671" s="5" t="s">
        <v>12010</v>
      </c>
      <c r="E6671" s="5" t="s">
        <v>42894</v>
      </c>
      <c r="F6671" s="5" t="s">
        <v>37</v>
      </c>
      <c r="G6671" s="5" t="s">
        <v>42895</v>
      </c>
      <c r="H6671" s="6" t="s">
        <v>42896</v>
      </c>
      <c r="K6671" s="5" t="s">
        <v>42897</v>
      </c>
    </row>
    <row r="6672">
      <c r="A6672" s="4">
        <v>45534.37208598379</v>
      </c>
      <c r="B6672" s="5" t="s">
        <v>34</v>
      </c>
      <c r="D6672" s="5" t="s">
        <v>4775</v>
      </c>
      <c r="E6672" s="5" t="s">
        <v>42901</v>
      </c>
      <c r="F6672" s="5" t="s">
        <v>212</v>
      </c>
      <c r="G6672" s="5" t="s">
        <v>42902</v>
      </c>
      <c r="H6672" s="6" t="s">
        <v>42903</v>
      </c>
      <c r="K6672" s="5" t="s">
        <v>42897</v>
      </c>
    </row>
    <row r="6673">
      <c r="A6673" s="4">
        <v>45534.37211435185</v>
      </c>
      <c r="B6673" s="5" t="s">
        <v>34</v>
      </c>
      <c r="D6673" s="5" t="s">
        <v>1692</v>
      </c>
      <c r="E6673" s="5" t="s">
        <v>42906</v>
      </c>
      <c r="F6673" s="5" t="s">
        <v>37</v>
      </c>
      <c r="G6673" s="5" t="s">
        <v>42907</v>
      </c>
      <c r="H6673" s="6" t="s">
        <v>42908</v>
      </c>
      <c r="K6673" s="5" t="s">
        <v>42897</v>
      </c>
    </row>
    <row r="6674">
      <c r="A6674" s="4">
        <v>45534.3721400463</v>
      </c>
      <c r="B6674" s="5" t="s">
        <v>19</v>
      </c>
      <c r="C6674" s="5" t="s">
        <v>26187</v>
      </c>
      <c r="E6674" s="5" t="s">
        <v>42911</v>
      </c>
      <c r="F6674" s="5" t="s">
        <v>212</v>
      </c>
      <c r="G6674" s="5" t="s">
        <v>42912</v>
      </c>
      <c r="H6674" s="6" t="s">
        <v>42913</v>
      </c>
      <c r="K6674" s="5" t="s">
        <v>42914</v>
      </c>
    </row>
    <row r="6675">
      <c r="A6675" s="4">
        <v>45534.372140983796</v>
      </c>
      <c r="B6675" s="5" t="s">
        <v>34</v>
      </c>
      <c r="D6675" s="5" t="s">
        <v>701</v>
      </c>
      <c r="E6675" s="5" t="s">
        <v>42918</v>
      </c>
      <c r="F6675" s="5" t="s">
        <v>120</v>
      </c>
      <c r="G6675" s="5" t="s">
        <v>42919</v>
      </c>
      <c r="H6675" s="6" t="s">
        <v>42920</v>
      </c>
      <c r="K6675" s="5" t="s">
        <v>42914</v>
      </c>
    </row>
    <row r="6676">
      <c r="A6676" s="4">
        <v>45534.37215805556</v>
      </c>
      <c r="B6676" s="5" t="s">
        <v>34</v>
      </c>
      <c r="D6676" s="5" t="s">
        <v>1206</v>
      </c>
      <c r="E6676" s="5" t="s">
        <v>42923</v>
      </c>
      <c r="F6676" s="5" t="s">
        <v>72</v>
      </c>
      <c r="G6676" s="5" t="s">
        <v>42924</v>
      </c>
      <c r="H6676" s="6" t="s">
        <v>42925</v>
      </c>
      <c r="K6676" s="5" t="s">
        <v>42926</v>
      </c>
    </row>
    <row r="6677">
      <c r="A6677" s="4">
        <v>45534.37216905093</v>
      </c>
      <c r="B6677" s="5" t="s">
        <v>34</v>
      </c>
      <c r="D6677" s="5" t="s">
        <v>701</v>
      </c>
      <c r="E6677" s="5" t="s">
        <v>42929</v>
      </c>
      <c r="F6677" s="5" t="s">
        <v>375</v>
      </c>
      <c r="G6677" s="5" t="s">
        <v>42930</v>
      </c>
      <c r="H6677" s="6" t="s">
        <v>42931</v>
      </c>
      <c r="K6677" s="5" t="s">
        <v>42926</v>
      </c>
    </row>
    <row r="6678">
      <c r="A6678" s="4">
        <v>45534.372177627316</v>
      </c>
      <c r="B6678" s="5" t="s">
        <v>19</v>
      </c>
      <c r="C6678" s="5" t="s">
        <v>292</v>
      </c>
      <c r="E6678" s="5" t="s">
        <v>42934</v>
      </c>
      <c r="F6678" s="5" t="s">
        <v>212</v>
      </c>
      <c r="G6678" s="5" t="s">
        <v>42935</v>
      </c>
      <c r="H6678" s="6" t="s">
        <v>42936</v>
      </c>
      <c r="K6678" s="5" t="s">
        <v>42926</v>
      </c>
    </row>
    <row r="6679">
      <c r="A6679" s="4">
        <v>45534.37217747685</v>
      </c>
      <c r="B6679" s="5" t="s">
        <v>34</v>
      </c>
      <c r="D6679" s="5" t="s">
        <v>701</v>
      </c>
      <c r="E6679" s="5" t="s">
        <v>42940</v>
      </c>
      <c r="F6679" s="5" t="s">
        <v>37</v>
      </c>
      <c r="G6679" s="5" t="s">
        <v>42941</v>
      </c>
      <c r="H6679" s="6" t="s">
        <v>42942</v>
      </c>
      <c r="K6679" s="5" t="s">
        <v>42926</v>
      </c>
    </row>
    <row r="6680">
      <c r="A6680" s="4">
        <v>45534.37218396991</v>
      </c>
      <c r="B6680" s="5" t="s">
        <v>19</v>
      </c>
      <c r="C6680" s="5" t="s">
        <v>292</v>
      </c>
      <c r="E6680" s="5" t="s">
        <v>42945</v>
      </c>
      <c r="F6680" s="5" t="s">
        <v>108</v>
      </c>
      <c r="G6680" s="5" t="s">
        <v>42946</v>
      </c>
      <c r="H6680" s="6" t="s">
        <v>42947</v>
      </c>
      <c r="K6680" s="5" t="s">
        <v>42926</v>
      </c>
    </row>
    <row r="6681">
      <c r="A6681" s="4">
        <v>45534.37218520833</v>
      </c>
      <c r="B6681" s="5" t="s">
        <v>34</v>
      </c>
      <c r="D6681" s="5" t="s">
        <v>1558</v>
      </c>
      <c r="E6681" s="5" t="s">
        <v>42950</v>
      </c>
      <c r="F6681" s="5" t="s">
        <v>37</v>
      </c>
      <c r="G6681" s="5" t="s">
        <v>42951</v>
      </c>
      <c r="H6681" s="6" t="s">
        <v>42952</v>
      </c>
      <c r="K6681" s="5" t="s">
        <v>42926</v>
      </c>
    </row>
    <row r="6682">
      <c r="A6682" s="4">
        <v>45534.37219472222</v>
      </c>
      <c r="B6682" s="5" t="s">
        <v>34</v>
      </c>
      <c r="D6682" s="5" t="s">
        <v>1206</v>
      </c>
      <c r="E6682" s="5" t="s">
        <v>42956</v>
      </c>
      <c r="F6682" s="5" t="s">
        <v>524</v>
      </c>
      <c r="G6682" s="5" t="s">
        <v>42957</v>
      </c>
      <c r="H6682" s="6" t="s">
        <v>42958</v>
      </c>
      <c r="K6682" s="5" t="s">
        <v>42926</v>
      </c>
    </row>
    <row r="6683">
      <c r="A6683" s="4">
        <v>45534.372245879626</v>
      </c>
      <c r="B6683" s="5" t="s">
        <v>34</v>
      </c>
      <c r="D6683" s="5" t="s">
        <v>1558</v>
      </c>
      <c r="E6683" s="5" t="s">
        <v>42961</v>
      </c>
      <c r="F6683" s="5" t="s">
        <v>37</v>
      </c>
      <c r="G6683" s="5" t="s">
        <v>42962</v>
      </c>
      <c r="H6683" s="6" t="s">
        <v>42963</v>
      </c>
      <c r="K6683" s="5" t="s">
        <v>42964</v>
      </c>
    </row>
    <row r="6684">
      <c r="A6684" s="4">
        <v>45534.37224822916</v>
      </c>
      <c r="B6684" s="5" t="s">
        <v>34</v>
      </c>
      <c r="D6684" s="5" t="s">
        <v>1206</v>
      </c>
      <c r="E6684" s="5" t="s">
        <v>42967</v>
      </c>
      <c r="F6684" s="5" t="s">
        <v>37</v>
      </c>
      <c r="G6684" s="5" t="s">
        <v>42968</v>
      </c>
      <c r="H6684" s="6" t="s">
        <v>42969</v>
      </c>
      <c r="K6684" s="5" t="s">
        <v>42964</v>
      </c>
    </row>
    <row r="6685">
      <c r="A6685" s="4">
        <v>45534.37226071759</v>
      </c>
      <c r="B6685" s="5" t="s">
        <v>34</v>
      </c>
      <c r="D6685" s="5" t="s">
        <v>4775</v>
      </c>
      <c r="E6685" s="5" t="s">
        <v>42972</v>
      </c>
      <c r="F6685" s="5" t="s">
        <v>524</v>
      </c>
      <c r="G6685" s="5" t="s">
        <v>42973</v>
      </c>
      <c r="H6685" s="6" t="s">
        <v>42974</v>
      </c>
      <c r="K6685" s="5" t="s">
        <v>42975</v>
      </c>
    </row>
    <row r="6686">
      <c r="A6686" s="4">
        <v>45534.37226076389</v>
      </c>
      <c r="B6686" s="5" t="s">
        <v>34</v>
      </c>
      <c r="D6686" s="5" t="s">
        <v>4775</v>
      </c>
      <c r="E6686" s="5" t="s">
        <v>42979</v>
      </c>
      <c r="F6686" s="5" t="s">
        <v>212</v>
      </c>
      <c r="G6686" s="5" t="s">
        <v>42980</v>
      </c>
      <c r="H6686" s="6" t="s">
        <v>42981</v>
      </c>
      <c r="K6686" s="5" t="s">
        <v>42975</v>
      </c>
    </row>
    <row r="6687">
      <c r="A6687" s="4">
        <v>45534.372271319444</v>
      </c>
      <c r="B6687" s="5" t="s">
        <v>34</v>
      </c>
      <c r="D6687" s="5" t="s">
        <v>1558</v>
      </c>
      <c r="E6687" s="5" t="s">
        <v>17285</v>
      </c>
      <c r="F6687" s="5" t="s">
        <v>212</v>
      </c>
      <c r="G6687" s="5" t="s">
        <v>42984</v>
      </c>
      <c r="H6687" s="6" t="s">
        <v>42985</v>
      </c>
      <c r="K6687" s="5" t="s">
        <v>42975</v>
      </c>
    </row>
    <row r="6688">
      <c r="A6688" s="4">
        <v>45534.37227424768</v>
      </c>
      <c r="B6688" s="5" t="s">
        <v>34</v>
      </c>
      <c r="D6688" s="5" t="s">
        <v>12978</v>
      </c>
      <c r="E6688" s="5" t="s">
        <v>42988</v>
      </c>
      <c r="F6688" s="5" t="s">
        <v>375</v>
      </c>
      <c r="G6688" s="5" t="s">
        <v>42989</v>
      </c>
      <c r="H6688" s="6" t="s">
        <v>42990</v>
      </c>
      <c r="K6688" s="5" t="s">
        <v>42975</v>
      </c>
    </row>
    <row r="6689">
      <c r="A6689" s="4">
        <v>45534.37227466435</v>
      </c>
      <c r="B6689" s="5" t="s">
        <v>34</v>
      </c>
      <c r="D6689" s="5" t="s">
        <v>1558</v>
      </c>
      <c r="E6689" s="5" t="s">
        <v>42994</v>
      </c>
      <c r="F6689" s="5" t="s">
        <v>37</v>
      </c>
      <c r="G6689" s="5" t="s">
        <v>42995</v>
      </c>
      <c r="H6689" s="6" t="s">
        <v>42996</v>
      </c>
      <c r="K6689" s="5" t="s">
        <v>42975</v>
      </c>
    </row>
    <row r="6690">
      <c r="A6690" s="4">
        <v>45534.37230944444</v>
      </c>
      <c r="B6690" s="5" t="s">
        <v>34</v>
      </c>
      <c r="D6690" s="5" t="s">
        <v>1206</v>
      </c>
      <c r="E6690" s="5" t="s">
        <v>42999</v>
      </c>
      <c r="F6690" s="5" t="s">
        <v>199</v>
      </c>
      <c r="G6690" s="5" t="s">
        <v>43000</v>
      </c>
      <c r="H6690" s="6" t="s">
        <v>43001</v>
      </c>
      <c r="K6690" s="5" t="s">
        <v>42975</v>
      </c>
    </row>
    <row r="6691">
      <c r="A6691" s="4">
        <v>45534.372323275464</v>
      </c>
      <c r="B6691" s="5" t="s">
        <v>19</v>
      </c>
      <c r="C6691" s="5" t="s">
        <v>3301</v>
      </c>
      <c r="E6691" s="5" t="s">
        <v>43004</v>
      </c>
      <c r="F6691" s="5" t="s">
        <v>524</v>
      </c>
      <c r="G6691" s="5" t="s">
        <v>43005</v>
      </c>
      <c r="H6691" s="6" t="s">
        <v>43006</v>
      </c>
      <c r="K6691" s="5" t="s">
        <v>42975</v>
      </c>
    </row>
    <row r="6692">
      <c r="A6692" s="4">
        <v>45534.37232733796</v>
      </c>
      <c r="B6692" s="5" t="s">
        <v>34</v>
      </c>
      <c r="D6692" s="5" t="s">
        <v>35</v>
      </c>
      <c r="E6692" s="5" t="s">
        <v>43009</v>
      </c>
      <c r="F6692" s="5" t="s">
        <v>108</v>
      </c>
      <c r="G6692" s="5" t="s">
        <v>43010</v>
      </c>
      <c r="H6692" s="6" t="s">
        <v>43011</v>
      </c>
      <c r="K6692" s="5" t="s">
        <v>42975</v>
      </c>
    </row>
    <row r="6693">
      <c r="A6693" s="4">
        <v>45534.372334224536</v>
      </c>
      <c r="B6693" s="5" t="s">
        <v>19</v>
      </c>
      <c r="C6693" s="5" t="s">
        <v>292</v>
      </c>
      <c r="E6693" s="5" t="s">
        <v>43014</v>
      </c>
      <c r="F6693" s="5" t="s">
        <v>37</v>
      </c>
      <c r="G6693" s="5" t="s">
        <v>43015</v>
      </c>
      <c r="H6693" s="6" t="s">
        <v>43016</v>
      </c>
      <c r="K6693" s="5" t="s">
        <v>42975</v>
      </c>
    </row>
    <row r="6694">
      <c r="A6694" s="4">
        <v>45534.37233857639</v>
      </c>
      <c r="B6694" s="5" t="s">
        <v>34</v>
      </c>
      <c r="D6694" s="5" t="s">
        <v>1558</v>
      </c>
      <c r="E6694" s="5" t="s">
        <v>43020</v>
      </c>
      <c r="F6694" s="5" t="s">
        <v>108</v>
      </c>
      <c r="G6694" s="5" t="s">
        <v>43021</v>
      </c>
      <c r="H6694" s="6" t="s">
        <v>43022</v>
      </c>
      <c r="K6694" s="5" t="s">
        <v>43023</v>
      </c>
    </row>
    <row r="6695">
      <c r="A6695" s="4">
        <v>45534.37234234954</v>
      </c>
      <c r="B6695" s="5" t="s">
        <v>34</v>
      </c>
      <c r="D6695" s="5" t="s">
        <v>1206</v>
      </c>
      <c r="E6695" s="5" t="s">
        <v>43026</v>
      </c>
      <c r="F6695" s="5" t="s">
        <v>72</v>
      </c>
      <c r="G6695" s="5" t="s">
        <v>43027</v>
      </c>
      <c r="H6695" s="6" t="s">
        <v>43028</v>
      </c>
      <c r="K6695" s="5" t="s">
        <v>43023</v>
      </c>
    </row>
    <row r="6696">
      <c r="A6696" s="4">
        <v>45534.37234386574</v>
      </c>
      <c r="B6696" s="5" t="s">
        <v>34</v>
      </c>
      <c r="D6696" s="5" t="s">
        <v>35</v>
      </c>
      <c r="E6696" s="5" t="s">
        <v>43031</v>
      </c>
      <c r="F6696" s="5" t="s">
        <v>375</v>
      </c>
      <c r="G6696" s="5" t="s">
        <v>43032</v>
      </c>
      <c r="H6696" s="6" t="s">
        <v>43033</v>
      </c>
      <c r="K6696" s="5" t="s">
        <v>43023</v>
      </c>
    </row>
    <row r="6697">
      <c r="A6697" s="4">
        <v>45534.37234802083</v>
      </c>
      <c r="B6697" s="5" t="s">
        <v>34</v>
      </c>
      <c r="D6697" s="5" t="s">
        <v>1558</v>
      </c>
      <c r="E6697" s="5" t="s">
        <v>43036</v>
      </c>
      <c r="F6697" s="5" t="s">
        <v>212</v>
      </c>
      <c r="G6697" s="5" t="s">
        <v>43037</v>
      </c>
      <c r="H6697" s="6" t="s">
        <v>43038</v>
      </c>
      <c r="K6697" s="5" t="s">
        <v>43023</v>
      </c>
    </row>
    <row r="6698">
      <c r="A6698" s="4">
        <v>45534.372361331014</v>
      </c>
      <c r="B6698" s="5" t="s">
        <v>34</v>
      </c>
      <c r="D6698" s="5" t="s">
        <v>4775</v>
      </c>
      <c r="E6698" s="5" t="s">
        <v>43041</v>
      </c>
      <c r="F6698" s="5" t="s">
        <v>37</v>
      </c>
      <c r="G6698" s="5" t="s">
        <v>43042</v>
      </c>
      <c r="H6698" s="6" t="s">
        <v>43043</v>
      </c>
      <c r="K6698" s="5" t="s">
        <v>43023</v>
      </c>
    </row>
    <row r="6699">
      <c r="A6699" s="4">
        <v>45534.37236422454</v>
      </c>
      <c r="B6699" s="5" t="s">
        <v>34</v>
      </c>
      <c r="D6699" s="5" t="s">
        <v>1206</v>
      </c>
      <c r="E6699" s="5" t="s">
        <v>43047</v>
      </c>
      <c r="F6699" s="5" t="s">
        <v>37</v>
      </c>
      <c r="G6699" s="5" t="s">
        <v>43048</v>
      </c>
      <c r="H6699" s="6" t="s">
        <v>43049</v>
      </c>
      <c r="K6699" s="5" t="s">
        <v>43023</v>
      </c>
    </row>
    <row r="6700">
      <c r="A6700" s="4">
        <v>45534.372374212966</v>
      </c>
      <c r="B6700" s="5" t="s">
        <v>34</v>
      </c>
      <c r="D6700" s="5" t="s">
        <v>1558</v>
      </c>
      <c r="E6700" s="5" t="s">
        <v>43052</v>
      </c>
      <c r="F6700" s="5" t="s">
        <v>212</v>
      </c>
      <c r="G6700" s="5" t="s">
        <v>43053</v>
      </c>
      <c r="H6700" s="6" t="s">
        <v>43054</v>
      </c>
      <c r="K6700" s="5" t="s">
        <v>43023</v>
      </c>
    </row>
    <row r="6701">
      <c r="A6701" s="4">
        <v>45534.372385254625</v>
      </c>
      <c r="B6701" s="5" t="s">
        <v>19</v>
      </c>
      <c r="C6701" s="5" t="s">
        <v>3301</v>
      </c>
      <c r="E6701" s="5" t="s">
        <v>43057</v>
      </c>
      <c r="F6701" s="5" t="s">
        <v>37</v>
      </c>
      <c r="G6701" s="5" t="s">
        <v>43058</v>
      </c>
      <c r="H6701" s="6" t="s">
        <v>43059</v>
      </c>
      <c r="K6701" s="5" t="s">
        <v>43023</v>
      </c>
    </row>
    <row r="6702">
      <c r="A6702" s="4">
        <v>45534.37238631945</v>
      </c>
      <c r="B6702" s="5" t="s">
        <v>34</v>
      </c>
      <c r="D6702" s="5" t="s">
        <v>15401</v>
      </c>
      <c r="E6702" s="5" t="s">
        <v>43062</v>
      </c>
      <c r="F6702" s="5" t="s">
        <v>108</v>
      </c>
      <c r="G6702" s="5" t="s">
        <v>43063</v>
      </c>
      <c r="H6702" s="6" t="s">
        <v>43064</v>
      </c>
      <c r="K6702" s="5" t="s">
        <v>43023</v>
      </c>
    </row>
    <row r="6703">
      <c r="A6703" s="4">
        <v>45534.372415798614</v>
      </c>
      <c r="B6703" s="5" t="s">
        <v>34</v>
      </c>
      <c r="D6703" s="5" t="s">
        <v>14313</v>
      </c>
      <c r="E6703" s="5" t="s">
        <v>43068</v>
      </c>
      <c r="F6703" s="5" t="s">
        <v>715</v>
      </c>
      <c r="G6703" s="5" t="s">
        <v>43069</v>
      </c>
      <c r="H6703" s="6" t="s">
        <v>43070</v>
      </c>
      <c r="K6703" s="5" t="s">
        <v>43023</v>
      </c>
    </row>
    <row r="6704">
      <c r="A6704" s="4">
        <v>45534.372421319444</v>
      </c>
      <c r="B6704" s="5" t="s">
        <v>34</v>
      </c>
      <c r="D6704" s="5" t="s">
        <v>1206</v>
      </c>
      <c r="E6704" s="5" t="s">
        <v>43073</v>
      </c>
      <c r="F6704" s="5" t="s">
        <v>37</v>
      </c>
      <c r="G6704" s="5" t="s">
        <v>43074</v>
      </c>
      <c r="H6704" s="6" t="s">
        <v>43075</v>
      </c>
      <c r="K6704" s="5" t="s">
        <v>43023</v>
      </c>
    </row>
    <row r="6705">
      <c r="A6705" s="4">
        <v>45534.37243325231</v>
      </c>
      <c r="B6705" s="5" t="s">
        <v>34</v>
      </c>
      <c r="D6705" s="5" t="s">
        <v>1206</v>
      </c>
      <c r="E6705" s="5" t="s">
        <v>43078</v>
      </c>
      <c r="F6705" s="5" t="s">
        <v>212</v>
      </c>
      <c r="G6705" s="5" t="s">
        <v>43079</v>
      </c>
      <c r="H6705" s="6" t="s">
        <v>43080</v>
      </c>
      <c r="K6705" s="5" t="s">
        <v>43081</v>
      </c>
    </row>
    <row r="6706">
      <c r="A6706" s="4">
        <v>45534.372459375</v>
      </c>
      <c r="B6706" s="5" t="s">
        <v>34</v>
      </c>
      <c r="D6706" s="5" t="s">
        <v>12010</v>
      </c>
      <c r="E6706" s="5" t="s">
        <v>43085</v>
      </c>
      <c r="F6706" s="5" t="s">
        <v>524</v>
      </c>
      <c r="G6706" s="5" t="s">
        <v>43086</v>
      </c>
      <c r="H6706" s="6" t="s">
        <v>43087</v>
      </c>
      <c r="K6706" s="5" t="s">
        <v>43088</v>
      </c>
    </row>
    <row r="6707">
      <c r="A6707" s="4">
        <v>45534.372460196755</v>
      </c>
      <c r="B6707" s="5" t="s">
        <v>34</v>
      </c>
      <c r="D6707" s="5" t="s">
        <v>11913</v>
      </c>
      <c r="E6707" s="5" t="s">
        <v>43091</v>
      </c>
      <c r="F6707" s="5" t="s">
        <v>715</v>
      </c>
      <c r="G6707" s="5" t="s">
        <v>43092</v>
      </c>
      <c r="H6707" s="6" t="s">
        <v>43093</v>
      </c>
      <c r="K6707" s="5" t="s">
        <v>43088</v>
      </c>
    </row>
    <row r="6708">
      <c r="A6708" s="4">
        <v>45534.37250618056</v>
      </c>
      <c r="B6708" s="5" t="s">
        <v>34</v>
      </c>
      <c r="D6708" s="5" t="s">
        <v>35</v>
      </c>
      <c r="E6708" s="5" t="s">
        <v>43096</v>
      </c>
      <c r="F6708" s="5" t="s">
        <v>524</v>
      </c>
      <c r="G6708" s="5" t="s">
        <v>43097</v>
      </c>
      <c r="H6708" s="6" t="s">
        <v>43098</v>
      </c>
      <c r="K6708" s="5" t="s">
        <v>43088</v>
      </c>
    </row>
    <row r="6709">
      <c r="A6709" s="4">
        <v>45534.37252929398</v>
      </c>
      <c r="B6709" s="5" t="s">
        <v>34</v>
      </c>
      <c r="D6709" s="5" t="s">
        <v>10297</v>
      </c>
      <c r="E6709" s="5" t="s">
        <v>43101</v>
      </c>
      <c r="F6709" s="5" t="s">
        <v>37</v>
      </c>
      <c r="G6709" s="5" t="s">
        <v>43102</v>
      </c>
      <c r="H6709" s="6" t="s">
        <v>43103</v>
      </c>
      <c r="K6709" s="5" t="s">
        <v>43104</v>
      </c>
    </row>
    <row r="6710">
      <c r="A6710" s="4">
        <v>45534.372535902774</v>
      </c>
      <c r="B6710" s="5" t="s">
        <v>34</v>
      </c>
      <c r="D6710" s="5" t="s">
        <v>1558</v>
      </c>
      <c r="E6710" s="5" t="s">
        <v>43108</v>
      </c>
      <c r="F6710" s="5" t="s">
        <v>212</v>
      </c>
      <c r="G6710" s="5" t="s">
        <v>43109</v>
      </c>
      <c r="H6710" s="6" t="s">
        <v>43110</v>
      </c>
      <c r="K6710" s="5" t="s">
        <v>43104</v>
      </c>
    </row>
    <row r="6711">
      <c r="A6711" s="4">
        <v>45534.37254336805</v>
      </c>
      <c r="B6711" s="5" t="s">
        <v>34</v>
      </c>
      <c r="D6711" s="5" t="s">
        <v>4775</v>
      </c>
      <c r="E6711" s="5" t="s">
        <v>43113</v>
      </c>
      <c r="F6711" s="5" t="s">
        <v>108</v>
      </c>
      <c r="G6711" s="5" t="s">
        <v>43114</v>
      </c>
      <c r="H6711" s="6" t="s">
        <v>43115</v>
      </c>
      <c r="K6711" s="5" t="s">
        <v>43116</v>
      </c>
    </row>
    <row r="6712">
      <c r="A6712" s="4">
        <v>45534.37254975694</v>
      </c>
      <c r="B6712" s="5" t="s">
        <v>34</v>
      </c>
      <c r="D6712" s="5" t="s">
        <v>4775</v>
      </c>
      <c r="E6712" s="5" t="s">
        <v>43120</v>
      </c>
      <c r="F6712" s="5" t="s">
        <v>375</v>
      </c>
      <c r="G6712" s="5" t="s">
        <v>43121</v>
      </c>
      <c r="H6712" s="6" t="s">
        <v>43122</v>
      </c>
      <c r="K6712" s="5" t="s">
        <v>43116</v>
      </c>
    </row>
    <row r="6713">
      <c r="A6713" s="4">
        <v>45534.37255418982</v>
      </c>
      <c r="B6713" s="5" t="s">
        <v>34</v>
      </c>
      <c r="D6713" s="5" t="s">
        <v>4775</v>
      </c>
      <c r="E6713" s="5" t="s">
        <v>43125</v>
      </c>
      <c r="F6713" s="5" t="s">
        <v>108</v>
      </c>
      <c r="G6713" s="5" t="s">
        <v>43126</v>
      </c>
      <c r="H6713" s="6" t="s">
        <v>43127</v>
      </c>
      <c r="K6713" s="5" t="s">
        <v>43116</v>
      </c>
    </row>
    <row r="6714">
      <c r="A6714" s="4">
        <v>45534.372569652776</v>
      </c>
      <c r="B6714" s="5" t="s">
        <v>34</v>
      </c>
      <c r="D6714" s="5" t="s">
        <v>9020</v>
      </c>
      <c r="E6714" s="5" t="s">
        <v>43130</v>
      </c>
      <c r="F6714" s="5" t="s">
        <v>524</v>
      </c>
      <c r="G6714" s="5" t="s">
        <v>43131</v>
      </c>
      <c r="H6714" s="6" t="s">
        <v>43132</v>
      </c>
      <c r="K6714" s="5" t="s">
        <v>43133</v>
      </c>
    </row>
    <row r="6715">
      <c r="A6715" s="4">
        <v>45534.37257417824</v>
      </c>
      <c r="B6715" s="5" t="s">
        <v>34</v>
      </c>
      <c r="D6715" s="5" t="s">
        <v>1206</v>
      </c>
      <c r="E6715" s="5" t="s">
        <v>43136</v>
      </c>
      <c r="F6715" s="5" t="s">
        <v>37</v>
      </c>
      <c r="G6715" s="5" t="s">
        <v>43137</v>
      </c>
      <c r="H6715" s="6" t="s">
        <v>43138</v>
      </c>
      <c r="K6715" s="5" t="s">
        <v>43139</v>
      </c>
    </row>
    <row r="6716">
      <c r="A6716" s="4">
        <v>45534.372585868055</v>
      </c>
      <c r="B6716" s="5" t="s">
        <v>34</v>
      </c>
      <c r="D6716" s="5" t="s">
        <v>2903</v>
      </c>
      <c r="E6716" s="5" t="s">
        <v>43143</v>
      </c>
      <c r="F6716" s="5" t="s">
        <v>72</v>
      </c>
      <c r="G6716" s="5" t="s">
        <v>43144</v>
      </c>
      <c r="H6716" s="6" t="s">
        <v>43145</v>
      </c>
      <c r="K6716" s="5" t="s">
        <v>43139</v>
      </c>
    </row>
    <row r="6717">
      <c r="A6717" s="4">
        <v>45534.37259645833</v>
      </c>
      <c r="B6717" s="5" t="s">
        <v>34</v>
      </c>
      <c r="D6717" s="5" t="s">
        <v>267</v>
      </c>
      <c r="E6717" s="5" t="s">
        <v>43149</v>
      </c>
      <c r="F6717" s="5" t="s">
        <v>108</v>
      </c>
      <c r="G6717" s="5" t="s">
        <v>43150</v>
      </c>
      <c r="H6717" s="6" t="s">
        <v>43151</v>
      </c>
      <c r="K6717" s="5" t="s">
        <v>43139</v>
      </c>
    </row>
    <row r="6718">
      <c r="A6718" s="4">
        <v>45534.3726109375</v>
      </c>
      <c r="B6718" s="5" t="s">
        <v>34</v>
      </c>
      <c r="D6718" s="5" t="s">
        <v>1558</v>
      </c>
      <c r="E6718" s="5" t="s">
        <v>43154</v>
      </c>
      <c r="F6718" s="5" t="s">
        <v>375</v>
      </c>
      <c r="G6718" s="5" t="s">
        <v>43155</v>
      </c>
      <c r="H6718" s="6" t="s">
        <v>43156</v>
      </c>
      <c r="K6718" s="5" t="s">
        <v>43157</v>
      </c>
    </row>
    <row r="6719">
      <c r="A6719" s="4">
        <v>45534.372616215274</v>
      </c>
      <c r="B6719" s="5" t="s">
        <v>34</v>
      </c>
      <c r="D6719" s="5" t="s">
        <v>4775</v>
      </c>
      <c r="E6719" s="5" t="s">
        <v>43160</v>
      </c>
      <c r="F6719" s="5" t="s">
        <v>524</v>
      </c>
      <c r="G6719" s="5" t="s">
        <v>6151</v>
      </c>
      <c r="H6719" s="6" t="s">
        <v>43161</v>
      </c>
      <c r="K6719" s="5" t="s">
        <v>43157</v>
      </c>
    </row>
    <row r="6720">
      <c r="A6720" s="4">
        <v>45534.37261741898</v>
      </c>
      <c r="B6720" s="5" t="s">
        <v>34</v>
      </c>
      <c r="D6720" s="5" t="s">
        <v>1206</v>
      </c>
      <c r="E6720" s="5" t="s">
        <v>43165</v>
      </c>
      <c r="F6720" s="5" t="s">
        <v>375</v>
      </c>
      <c r="G6720" s="5" t="s">
        <v>43166</v>
      </c>
      <c r="H6720" s="6" t="s">
        <v>43167</v>
      </c>
      <c r="K6720" s="5" t="s">
        <v>43157</v>
      </c>
    </row>
    <row r="6721">
      <c r="A6721" s="4">
        <v>45534.37263219907</v>
      </c>
      <c r="B6721" s="5" t="s">
        <v>34</v>
      </c>
      <c r="D6721" s="5" t="s">
        <v>701</v>
      </c>
      <c r="E6721" s="5" t="s">
        <v>43170</v>
      </c>
      <c r="F6721" s="5" t="s">
        <v>72</v>
      </c>
      <c r="G6721" s="5" t="s">
        <v>43171</v>
      </c>
      <c r="H6721" s="6" t="s">
        <v>43172</v>
      </c>
      <c r="K6721" s="5" t="s">
        <v>43157</v>
      </c>
    </row>
    <row r="6722">
      <c r="A6722" s="4">
        <v>45534.37263761574</v>
      </c>
      <c r="B6722" s="5" t="s">
        <v>19</v>
      </c>
      <c r="C6722" s="5" t="s">
        <v>3471</v>
      </c>
      <c r="E6722" s="5" t="s">
        <v>43175</v>
      </c>
      <c r="F6722" s="5" t="s">
        <v>375</v>
      </c>
      <c r="G6722" s="5" t="s">
        <v>43176</v>
      </c>
      <c r="H6722" s="6" t="s">
        <v>43177</v>
      </c>
      <c r="K6722" s="5" t="s">
        <v>43157</v>
      </c>
    </row>
    <row r="6723">
      <c r="A6723" s="4">
        <v>45534.37264372685</v>
      </c>
      <c r="B6723" s="5" t="s">
        <v>34</v>
      </c>
      <c r="D6723" s="5" t="s">
        <v>1558</v>
      </c>
      <c r="E6723" s="5" t="s">
        <v>43180</v>
      </c>
      <c r="F6723" s="5" t="s">
        <v>37</v>
      </c>
      <c r="G6723" s="5" t="s">
        <v>43181</v>
      </c>
      <c r="H6723" s="6" t="s">
        <v>43182</v>
      </c>
      <c r="K6723" s="5" t="s">
        <v>43157</v>
      </c>
    </row>
    <row r="6724">
      <c r="A6724" s="4">
        <v>45534.372670462966</v>
      </c>
      <c r="B6724" s="5" t="s">
        <v>34</v>
      </c>
      <c r="D6724" s="5" t="s">
        <v>996</v>
      </c>
      <c r="E6724" s="5" t="s">
        <v>43185</v>
      </c>
      <c r="F6724" s="5" t="s">
        <v>524</v>
      </c>
      <c r="G6724" s="5" t="s">
        <v>43186</v>
      </c>
      <c r="H6724" s="6" t="s">
        <v>43187</v>
      </c>
      <c r="K6724" s="5" t="s">
        <v>43188</v>
      </c>
    </row>
    <row r="6725">
      <c r="A6725" s="4">
        <v>45534.37267538194</v>
      </c>
      <c r="B6725" s="5" t="s">
        <v>19</v>
      </c>
      <c r="C6725" s="5" t="s">
        <v>5564</v>
      </c>
      <c r="E6725" s="5" t="s">
        <v>43192</v>
      </c>
      <c r="F6725" s="5" t="s">
        <v>120</v>
      </c>
      <c r="G6725" s="5" t="s">
        <v>43193</v>
      </c>
      <c r="H6725" s="6" t="s">
        <v>43194</v>
      </c>
      <c r="K6725" s="5" t="s">
        <v>43195</v>
      </c>
    </row>
    <row r="6726">
      <c r="A6726" s="4">
        <v>45534.37268936343</v>
      </c>
      <c r="B6726" s="5" t="s">
        <v>34</v>
      </c>
      <c r="D6726" s="5" t="s">
        <v>701</v>
      </c>
      <c r="E6726" s="5" t="s">
        <v>43198</v>
      </c>
      <c r="F6726" s="5" t="s">
        <v>212</v>
      </c>
      <c r="G6726" s="5" t="s">
        <v>43199</v>
      </c>
      <c r="H6726" s="6" t="s">
        <v>43200</v>
      </c>
      <c r="K6726" s="5" t="s">
        <v>43195</v>
      </c>
    </row>
    <row r="6727">
      <c r="A6727" s="4">
        <v>45534.37271730324</v>
      </c>
      <c r="B6727" s="5" t="s">
        <v>34</v>
      </c>
      <c r="D6727" s="5" t="s">
        <v>35</v>
      </c>
      <c r="E6727" s="5" t="s">
        <v>43203</v>
      </c>
      <c r="F6727" s="5" t="s">
        <v>72</v>
      </c>
      <c r="G6727" s="5" t="s">
        <v>43204</v>
      </c>
      <c r="H6727" s="6" t="s">
        <v>43205</v>
      </c>
      <c r="K6727" s="5" t="s">
        <v>43206</v>
      </c>
    </row>
    <row r="6728">
      <c r="A6728" s="4">
        <v>45534.37271957176</v>
      </c>
      <c r="B6728" s="5" t="s">
        <v>34</v>
      </c>
      <c r="D6728" s="5" t="s">
        <v>1558</v>
      </c>
      <c r="E6728" s="5" t="s">
        <v>43209</v>
      </c>
      <c r="F6728" s="5" t="s">
        <v>108</v>
      </c>
      <c r="G6728" s="5" t="s">
        <v>43210</v>
      </c>
      <c r="H6728" s="6" t="s">
        <v>43211</v>
      </c>
      <c r="K6728" s="5" t="s">
        <v>43206</v>
      </c>
    </row>
    <row r="6729">
      <c r="A6729" s="4">
        <v>45534.372724988425</v>
      </c>
      <c r="B6729" s="5" t="s">
        <v>34</v>
      </c>
      <c r="D6729" s="5" t="s">
        <v>996</v>
      </c>
      <c r="E6729" s="5" t="s">
        <v>43215</v>
      </c>
      <c r="F6729" s="5" t="s">
        <v>212</v>
      </c>
      <c r="G6729" s="5" t="s">
        <v>43216</v>
      </c>
      <c r="H6729" s="6" t="s">
        <v>43217</v>
      </c>
      <c r="K6729" s="5" t="s">
        <v>43206</v>
      </c>
    </row>
    <row r="6730">
      <c r="A6730" s="4">
        <v>45534.37272800926</v>
      </c>
      <c r="B6730" s="5" t="s">
        <v>34</v>
      </c>
      <c r="D6730" s="5" t="s">
        <v>35</v>
      </c>
      <c r="E6730" s="5" t="s">
        <v>43220</v>
      </c>
      <c r="F6730" s="5" t="s">
        <v>37</v>
      </c>
      <c r="G6730" s="5" t="s">
        <v>43221</v>
      </c>
      <c r="H6730" s="6" t="s">
        <v>43222</v>
      </c>
      <c r="K6730" s="5" t="s">
        <v>43206</v>
      </c>
    </row>
    <row r="6731">
      <c r="A6731" s="4">
        <v>45534.372753159725</v>
      </c>
      <c r="B6731" s="5" t="s">
        <v>19</v>
      </c>
      <c r="C6731" s="5" t="s">
        <v>3301</v>
      </c>
      <c r="E6731" s="5" t="s">
        <v>43225</v>
      </c>
      <c r="F6731" s="5" t="s">
        <v>108</v>
      </c>
      <c r="G6731" s="5" t="s">
        <v>43226</v>
      </c>
      <c r="H6731" s="6" t="s">
        <v>43227</v>
      </c>
      <c r="K6731" s="5" t="s">
        <v>43228</v>
      </c>
    </row>
    <row r="6732">
      <c r="A6732" s="4">
        <v>45534.37277004629</v>
      </c>
      <c r="B6732" s="5" t="s">
        <v>34</v>
      </c>
      <c r="D6732" s="5" t="s">
        <v>4775</v>
      </c>
      <c r="E6732" s="5" t="s">
        <v>43231</v>
      </c>
      <c r="F6732" s="5" t="s">
        <v>212</v>
      </c>
      <c r="G6732" s="5" t="s">
        <v>43232</v>
      </c>
      <c r="H6732" s="6" t="s">
        <v>43233</v>
      </c>
      <c r="K6732" s="5" t="s">
        <v>43228</v>
      </c>
    </row>
    <row r="6733">
      <c r="A6733" s="4">
        <v>45534.37278142361</v>
      </c>
      <c r="B6733" s="5" t="s">
        <v>34</v>
      </c>
      <c r="D6733" s="5" t="s">
        <v>4775</v>
      </c>
      <c r="E6733" s="5" t="s">
        <v>43237</v>
      </c>
      <c r="F6733" s="5" t="s">
        <v>108</v>
      </c>
      <c r="G6733" s="5" t="s">
        <v>43238</v>
      </c>
      <c r="H6733" s="6" t="s">
        <v>43239</v>
      </c>
      <c r="K6733" s="5" t="s">
        <v>43240</v>
      </c>
    </row>
    <row r="6734">
      <c r="A6734" s="4">
        <v>45534.37280701389</v>
      </c>
      <c r="B6734" s="5" t="s">
        <v>34</v>
      </c>
      <c r="D6734" s="5" t="s">
        <v>9394</v>
      </c>
      <c r="E6734" s="5" t="s">
        <v>43243</v>
      </c>
      <c r="F6734" s="5" t="s">
        <v>524</v>
      </c>
      <c r="G6734" s="5" t="s">
        <v>43244</v>
      </c>
      <c r="H6734" s="6" t="s">
        <v>43245</v>
      </c>
      <c r="K6734" s="5" t="s">
        <v>43240</v>
      </c>
    </row>
    <row r="6735">
      <c r="A6735" s="4">
        <v>45534.372820289354</v>
      </c>
      <c r="B6735" s="5" t="s">
        <v>34</v>
      </c>
      <c r="D6735" s="5" t="s">
        <v>604</v>
      </c>
      <c r="E6735" s="5" t="s">
        <v>43249</v>
      </c>
      <c r="F6735" s="5" t="s">
        <v>212</v>
      </c>
      <c r="G6735" s="5" t="s">
        <v>43250</v>
      </c>
      <c r="H6735" s="6" t="s">
        <v>43251</v>
      </c>
      <c r="K6735" s="5" t="s">
        <v>43240</v>
      </c>
    </row>
    <row r="6736">
      <c r="A6736" s="4">
        <v>45534.37284232639</v>
      </c>
      <c r="B6736" s="5" t="s">
        <v>34</v>
      </c>
      <c r="D6736" s="5" t="s">
        <v>1206</v>
      </c>
      <c r="E6736" s="5" t="s">
        <v>43255</v>
      </c>
      <c r="F6736" s="5" t="s">
        <v>524</v>
      </c>
      <c r="G6736" s="5" t="s">
        <v>43256</v>
      </c>
      <c r="H6736" s="6" t="s">
        <v>43257</v>
      </c>
      <c r="K6736" s="5" t="s">
        <v>43258</v>
      </c>
    </row>
    <row r="6737">
      <c r="A6737" s="4">
        <v>45534.37284659722</v>
      </c>
      <c r="B6737" s="5" t="s">
        <v>19</v>
      </c>
      <c r="C6737" s="5" t="s">
        <v>292</v>
      </c>
      <c r="E6737" s="5" t="s">
        <v>43261</v>
      </c>
      <c r="F6737" s="5" t="s">
        <v>524</v>
      </c>
      <c r="G6737" s="5" t="s">
        <v>43262</v>
      </c>
      <c r="H6737" s="6" t="s">
        <v>43263</v>
      </c>
      <c r="K6737" s="5" t="s">
        <v>43264</v>
      </c>
    </row>
    <row r="6738">
      <c r="A6738" s="4">
        <v>45534.37285085648</v>
      </c>
      <c r="B6738" s="5" t="s">
        <v>34</v>
      </c>
      <c r="D6738" s="5" t="s">
        <v>14313</v>
      </c>
      <c r="E6738" s="5" t="s">
        <v>43267</v>
      </c>
      <c r="F6738" s="5" t="s">
        <v>212</v>
      </c>
      <c r="G6738" s="5" t="s">
        <v>43268</v>
      </c>
      <c r="H6738" s="6" t="s">
        <v>43269</v>
      </c>
      <c r="K6738" s="5" t="s">
        <v>43264</v>
      </c>
    </row>
    <row r="6739">
      <c r="A6739" s="4">
        <v>45534.37286109954</v>
      </c>
      <c r="B6739" s="5" t="s">
        <v>19</v>
      </c>
      <c r="C6739" s="5" t="s">
        <v>3301</v>
      </c>
      <c r="E6739" s="5" t="s">
        <v>43272</v>
      </c>
      <c r="F6739" s="5" t="s">
        <v>108</v>
      </c>
      <c r="G6739" s="5" t="s">
        <v>43273</v>
      </c>
      <c r="H6739" s="6" t="s">
        <v>43274</v>
      </c>
      <c r="K6739" s="5" t="s">
        <v>43264</v>
      </c>
    </row>
    <row r="6740">
      <c r="A6740" s="4">
        <v>45534.372883738426</v>
      </c>
      <c r="B6740" s="5" t="s">
        <v>19</v>
      </c>
      <c r="C6740" s="5" t="s">
        <v>5564</v>
      </c>
      <c r="E6740" s="5" t="s">
        <v>43277</v>
      </c>
      <c r="F6740" s="5" t="s">
        <v>120</v>
      </c>
      <c r="G6740" s="5" t="s">
        <v>43278</v>
      </c>
      <c r="H6740" s="6" t="s">
        <v>43279</v>
      </c>
      <c r="K6740" s="5" t="s">
        <v>43280</v>
      </c>
    </row>
    <row r="6741">
      <c r="A6741" s="4">
        <v>45534.37288761574</v>
      </c>
      <c r="B6741" s="5" t="s">
        <v>19</v>
      </c>
      <c r="C6741" s="5" t="s">
        <v>32901</v>
      </c>
      <c r="E6741" s="5" t="s">
        <v>43283</v>
      </c>
      <c r="F6741" s="5" t="s">
        <v>375</v>
      </c>
      <c r="G6741" s="5" t="s">
        <v>43284</v>
      </c>
      <c r="H6741" s="6" t="s">
        <v>43285</v>
      </c>
      <c r="K6741" s="5" t="s">
        <v>43280</v>
      </c>
    </row>
    <row r="6742">
      <c r="A6742" s="4">
        <v>45534.37289496528</v>
      </c>
      <c r="B6742" s="5" t="s">
        <v>34</v>
      </c>
      <c r="D6742" s="5" t="s">
        <v>35</v>
      </c>
      <c r="E6742" s="5" t="s">
        <v>43288</v>
      </c>
      <c r="F6742" s="5" t="s">
        <v>108</v>
      </c>
      <c r="G6742" s="5" t="s">
        <v>43289</v>
      </c>
      <c r="H6742" s="6" t="s">
        <v>43290</v>
      </c>
      <c r="K6742" s="5" t="s">
        <v>43280</v>
      </c>
    </row>
    <row r="6743">
      <c r="A6743" s="4">
        <v>45534.3729246875</v>
      </c>
      <c r="B6743" s="5" t="s">
        <v>34</v>
      </c>
      <c r="D6743" s="5" t="s">
        <v>12978</v>
      </c>
      <c r="E6743" s="5" t="s">
        <v>43294</v>
      </c>
      <c r="F6743" s="5" t="s">
        <v>375</v>
      </c>
      <c r="G6743" s="5" t="s">
        <v>43295</v>
      </c>
      <c r="H6743" s="6" t="s">
        <v>43296</v>
      </c>
      <c r="K6743" s="5" t="s">
        <v>43297</v>
      </c>
    </row>
    <row r="6744">
      <c r="A6744" s="4">
        <v>45534.372933402774</v>
      </c>
      <c r="B6744" s="5" t="s">
        <v>34</v>
      </c>
      <c r="D6744" s="5" t="s">
        <v>4775</v>
      </c>
      <c r="E6744" s="5" t="s">
        <v>43300</v>
      </c>
      <c r="F6744" s="5" t="s">
        <v>108</v>
      </c>
      <c r="G6744" s="5" t="s">
        <v>43301</v>
      </c>
      <c r="H6744" s="6" t="s">
        <v>43302</v>
      </c>
      <c r="K6744" s="5" t="s">
        <v>43297</v>
      </c>
    </row>
    <row r="6745">
      <c r="A6745" s="4">
        <v>45534.37294055556</v>
      </c>
      <c r="B6745" s="5" t="s">
        <v>34</v>
      </c>
      <c r="D6745" s="5" t="s">
        <v>1206</v>
      </c>
      <c r="E6745" s="5" t="s">
        <v>43305</v>
      </c>
      <c r="F6745" s="5" t="s">
        <v>524</v>
      </c>
      <c r="G6745" s="5" t="s">
        <v>43306</v>
      </c>
      <c r="H6745" s="6" t="s">
        <v>43307</v>
      </c>
      <c r="K6745" s="5" t="s">
        <v>43308</v>
      </c>
    </row>
    <row r="6746">
      <c r="A6746" s="4">
        <v>45534.372943229166</v>
      </c>
      <c r="B6746" s="5" t="s">
        <v>34</v>
      </c>
      <c r="D6746" s="5" t="s">
        <v>1206</v>
      </c>
      <c r="E6746" s="5" t="s">
        <v>43311</v>
      </c>
      <c r="F6746" s="5" t="s">
        <v>212</v>
      </c>
      <c r="G6746" s="5" t="s">
        <v>43312</v>
      </c>
      <c r="H6746" s="6" t="s">
        <v>43313</v>
      </c>
      <c r="K6746" s="5" t="s">
        <v>43308</v>
      </c>
    </row>
    <row r="6747">
      <c r="A6747" s="4">
        <v>45534.372943877315</v>
      </c>
      <c r="B6747" s="5" t="s">
        <v>34</v>
      </c>
      <c r="D6747" s="5" t="s">
        <v>1206</v>
      </c>
      <c r="E6747" s="5" t="s">
        <v>43316</v>
      </c>
      <c r="F6747" s="5" t="s">
        <v>212</v>
      </c>
      <c r="G6747" s="5" t="s">
        <v>43317</v>
      </c>
      <c r="H6747" s="6" t="s">
        <v>43318</v>
      </c>
      <c r="K6747" s="5" t="s">
        <v>43308</v>
      </c>
    </row>
    <row r="6748">
      <c r="A6748" s="4">
        <v>45534.37294893518</v>
      </c>
      <c r="B6748" s="5" t="s">
        <v>19</v>
      </c>
      <c r="C6748" s="5" t="s">
        <v>3301</v>
      </c>
      <c r="E6748" s="5" t="s">
        <v>43321</v>
      </c>
      <c r="F6748" s="5" t="s">
        <v>37</v>
      </c>
      <c r="G6748" s="5" t="s">
        <v>43322</v>
      </c>
      <c r="H6748" s="6" t="s">
        <v>43323</v>
      </c>
      <c r="K6748" s="5" t="s">
        <v>43308</v>
      </c>
    </row>
    <row r="6749">
      <c r="A6749" s="4">
        <v>45534.372951840276</v>
      </c>
      <c r="B6749" s="5" t="s">
        <v>34</v>
      </c>
      <c r="D6749" s="5" t="s">
        <v>604</v>
      </c>
      <c r="E6749" s="5" t="s">
        <v>43326</v>
      </c>
      <c r="F6749" s="5" t="s">
        <v>72</v>
      </c>
      <c r="G6749" s="5" t="s">
        <v>43327</v>
      </c>
      <c r="H6749" s="6" t="s">
        <v>43328</v>
      </c>
      <c r="K6749" s="5" t="s">
        <v>43308</v>
      </c>
    </row>
    <row r="6750">
      <c r="A6750" s="4">
        <v>45534.372956782405</v>
      </c>
      <c r="B6750" s="5" t="s">
        <v>34</v>
      </c>
      <c r="D6750" s="5" t="s">
        <v>1206</v>
      </c>
      <c r="E6750" s="5" t="s">
        <v>43332</v>
      </c>
      <c r="F6750" s="5" t="s">
        <v>212</v>
      </c>
      <c r="G6750" s="5" t="s">
        <v>43333</v>
      </c>
      <c r="H6750" s="6" t="s">
        <v>43334</v>
      </c>
      <c r="K6750" s="5" t="s">
        <v>43308</v>
      </c>
    </row>
    <row r="6751">
      <c r="A6751" s="4">
        <v>45534.372957037034</v>
      </c>
      <c r="B6751" s="5" t="s">
        <v>34</v>
      </c>
      <c r="D6751" s="5" t="s">
        <v>1558</v>
      </c>
      <c r="E6751" s="5" t="s">
        <v>43337</v>
      </c>
      <c r="F6751" s="5" t="s">
        <v>212</v>
      </c>
      <c r="G6751" s="5" t="s">
        <v>43338</v>
      </c>
      <c r="H6751" s="6" t="s">
        <v>43339</v>
      </c>
      <c r="K6751" s="5" t="s">
        <v>43308</v>
      </c>
    </row>
    <row r="6752">
      <c r="A6752" s="4">
        <v>45534.3729612037</v>
      </c>
      <c r="B6752" s="5" t="s">
        <v>34</v>
      </c>
      <c r="D6752" s="5" t="s">
        <v>9020</v>
      </c>
      <c r="E6752" s="5" t="s">
        <v>43342</v>
      </c>
      <c r="F6752" s="5" t="s">
        <v>524</v>
      </c>
      <c r="G6752" s="5" t="s">
        <v>43343</v>
      </c>
      <c r="H6752" s="6" t="s">
        <v>43344</v>
      </c>
      <c r="K6752" s="5" t="s">
        <v>43308</v>
      </c>
    </row>
    <row r="6753">
      <c r="A6753" s="4">
        <v>45534.372970358796</v>
      </c>
      <c r="B6753" s="5" t="s">
        <v>19</v>
      </c>
      <c r="C6753" s="5" t="s">
        <v>20</v>
      </c>
      <c r="E6753" s="5" t="s">
        <v>43347</v>
      </c>
      <c r="F6753" s="5" t="s">
        <v>120</v>
      </c>
      <c r="G6753" s="5" t="s">
        <v>43348</v>
      </c>
      <c r="H6753" s="6" t="s">
        <v>43349</v>
      </c>
      <c r="K6753" s="5" t="s">
        <v>43308</v>
      </c>
    </row>
    <row r="6754">
      <c r="A6754" s="4">
        <v>45534.37298800926</v>
      </c>
      <c r="B6754" s="5" t="s">
        <v>34</v>
      </c>
      <c r="D6754" s="5" t="s">
        <v>4775</v>
      </c>
      <c r="E6754" s="5" t="s">
        <v>43352</v>
      </c>
      <c r="F6754" s="5" t="s">
        <v>120</v>
      </c>
      <c r="G6754" s="5" t="s">
        <v>43353</v>
      </c>
      <c r="H6754" s="6" t="s">
        <v>43354</v>
      </c>
      <c r="K6754" s="5" t="s">
        <v>43355</v>
      </c>
    </row>
    <row r="6755">
      <c r="A6755" s="4">
        <v>45534.3729943287</v>
      </c>
      <c r="B6755" s="5" t="s">
        <v>34</v>
      </c>
      <c r="D6755" s="5" t="s">
        <v>2903</v>
      </c>
      <c r="E6755" s="5" t="s">
        <v>43358</v>
      </c>
      <c r="F6755" s="5" t="s">
        <v>375</v>
      </c>
      <c r="G6755" s="5" t="s">
        <v>43359</v>
      </c>
      <c r="H6755" s="6" t="s">
        <v>43360</v>
      </c>
      <c r="K6755" s="5" t="s">
        <v>43355</v>
      </c>
    </row>
    <row r="6756">
      <c r="A6756" s="4">
        <v>45534.37302439815</v>
      </c>
      <c r="B6756" s="5" t="s">
        <v>34</v>
      </c>
      <c r="D6756" s="5" t="s">
        <v>12978</v>
      </c>
      <c r="E6756" s="5" t="s">
        <v>43364</v>
      </c>
      <c r="F6756" s="5" t="s">
        <v>212</v>
      </c>
      <c r="G6756" s="5" t="s">
        <v>43365</v>
      </c>
      <c r="H6756" s="6" t="s">
        <v>43366</v>
      </c>
      <c r="K6756" s="5" t="s">
        <v>43367</v>
      </c>
    </row>
    <row r="6757">
      <c r="A6757" s="4">
        <v>45534.37302752315</v>
      </c>
      <c r="B6757" s="5" t="s">
        <v>34</v>
      </c>
      <c r="D6757" s="5" t="s">
        <v>6232</v>
      </c>
      <c r="E6757" s="5" t="s">
        <v>43370</v>
      </c>
      <c r="F6757" s="5" t="s">
        <v>375</v>
      </c>
      <c r="G6757" s="5" t="s">
        <v>43371</v>
      </c>
      <c r="H6757" s="6" t="s">
        <v>43372</v>
      </c>
      <c r="K6757" s="5" t="s">
        <v>43367</v>
      </c>
    </row>
    <row r="6758">
      <c r="A6758" s="4">
        <v>45534.37304219908</v>
      </c>
      <c r="B6758" s="5" t="s">
        <v>34</v>
      </c>
      <c r="D6758" s="5" t="s">
        <v>15401</v>
      </c>
      <c r="E6758" s="5" t="s">
        <v>43375</v>
      </c>
      <c r="F6758" s="5" t="s">
        <v>798</v>
      </c>
      <c r="G6758" s="5" t="s">
        <v>43376</v>
      </c>
      <c r="H6758" s="6" t="s">
        <v>43377</v>
      </c>
      <c r="K6758" s="5" t="s">
        <v>43367</v>
      </c>
    </row>
    <row r="6759">
      <c r="A6759" s="4">
        <v>45534.37304305556</v>
      </c>
      <c r="B6759" s="5" t="s">
        <v>34</v>
      </c>
      <c r="D6759" s="5" t="s">
        <v>4775</v>
      </c>
      <c r="E6759" s="5" t="s">
        <v>43380</v>
      </c>
      <c r="F6759" s="5" t="s">
        <v>715</v>
      </c>
      <c r="G6759" s="5" t="s">
        <v>43381</v>
      </c>
      <c r="H6759" s="6" t="s">
        <v>43382</v>
      </c>
      <c r="K6759" s="5" t="s">
        <v>43367</v>
      </c>
    </row>
    <row r="6760">
      <c r="A6760" s="4">
        <v>45534.373057268516</v>
      </c>
      <c r="B6760" s="5" t="s">
        <v>34</v>
      </c>
      <c r="D6760" s="5" t="s">
        <v>9020</v>
      </c>
      <c r="E6760" s="5" t="s">
        <v>43385</v>
      </c>
      <c r="F6760" s="5" t="s">
        <v>212</v>
      </c>
      <c r="G6760" s="5" t="s">
        <v>43386</v>
      </c>
      <c r="H6760" s="6" t="s">
        <v>43387</v>
      </c>
      <c r="K6760" s="5" t="s">
        <v>43388</v>
      </c>
    </row>
    <row r="6761">
      <c r="A6761" s="4">
        <v>45534.37305938658</v>
      </c>
      <c r="B6761" s="5" t="s">
        <v>34</v>
      </c>
      <c r="D6761" s="5" t="s">
        <v>1206</v>
      </c>
      <c r="E6761" s="5" t="s">
        <v>43391</v>
      </c>
      <c r="F6761" s="5" t="s">
        <v>72</v>
      </c>
      <c r="G6761" s="5" t="s">
        <v>43392</v>
      </c>
      <c r="H6761" s="6" t="s">
        <v>43393</v>
      </c>
      <c r="K6761" s="5" t="s">
        <v>43388</v>
      </c>
    </row>
    <row r="6762">
      <c r="A6762" s="4">
        <v>45534.373140104166</v>
      </c>
      <c r="B6762" s="5" t="s">
        <v>34</v>
      </c>
      <c r="D6762" s="5" t="s">
        <v>701</v>
      </c>
      <c r="E6762" s="5" t="s">
        <v>43397</v>
      </c>
      <c r="F6762" s="5" t="s">
        <v>375</v>
      </c>
      <c r="G6762" s="5" t="s">
        <v>43398</v>
      </c>
      <c r="H6762" s="6" t="s">
        <v>43399</v>
      </c>
      <c r="K6762" s="5" t="s">
        <v>43400</v>
      </c>
    </row>
    <row r="6763">
      <c r="A6763" s="4">
        <v>45534.37314855324</v>
      </c>
      <c r="B6763" s="5" t="s">
        <v>34</v>
      </c>
      <c r="D6763" s="5" t="s">
        <v>9020</v>
      </c>
      <c r="E6763" s="5" t="s">
        <v>43403</v>
      </c>
      <c r="F6763" s="5" t="s">
        <v>524</v>
      </c>
      <c r="G6763" s="5" t="s">
        <v>43404</v>
      </c>
      <c r="H6763" s="6" t="s">
        <v>43405</v>
      </c>
      <c r="K6763" s="5" t="s">
        <v>43406</v>
      </c>
    </row>
    <row r="6764">
      <c r="A6764" s="4">
        <v>45534.37315219907</v>
      </c>
      <c r="B6764" s="5" t="s">
        <v>34</v>
      </c>
      <c r="D6764" s="5" t="s">
        <v>701</v>
      </c>
      <c r="E6764" s="5" t="s">
        <v>43409</v>
      </c>
      <c r="F6764" s="5" t="s">
        <v>72</v>
      </c>
      <c r="G6764" s="5" t="s">
        <v>43410</v>
      </c>
      <c r="H6764" s="6" t="s">
        <v>43411</v>
      </c>
      <c r="K6764" s="5" t="s">
        <v>43406</v>
      </c>
    </row>
    <row r="6765">
      <c r="A6765" s="4">
        <v>45534.373194942134</v>
      </c>
      <c r="B6765" s="5" t="s">
        <v>34</v>
      </c>
      <c r="D6765" s="5" t="s">
        <v>1206</v>
      </c>
      <c r="E6765" s="5" t="s">
        <v>43414</v>
      </c>
      <c r="F6765" s="5" t="s">
        <v>212</v>
      </c>
      <c r="G6765" s="5" t="s">
        <v>43415</v>
      </c>
      <c r="H6765" s="6" t="s">
        <v>43416</v>
      </c>
      <c r="K6765" s="5" t="s">
        <v>43417</v>
      </c>
    </row>
    <row r="6766">
      <c r="A6766" s="4">
        <v>45534.373215300926</v>
      </c>
      <c r="B6766" s="5" t="s">
        <v>19</v>
      </c>
      <c r="C6766" s="5" t="s">
        <v>292</v>
      </c>
      <c r="E6766" s="5" t="s">
        <v>43420</v>
      </c>
      <c r="F6766" s="5" t="s">
        <v>212</v>
      </c>
      <c r="G6766" s="5" t="s">
        <v>43421</v>
      </c>
      <c r="H6766" s="6" t="s">
        <v>43422</v>
      </c>
      <c r="K6766" s="5" t="s">
        <v>43423</v>
      </c>
    </row>
    <row r="6767">
      <c r="A6767" s="4">
        <v>45534.37321438658</v>
      </c>
      <c r="B6767" s="5" t="s">
        <v>19</v>
      </c>
      <c r="C6767" s="5" t="s">
        <v>5564</v>
      </c>
      <c r="E6767" s="5" t="s">
        <v>17159</v>
      </c>
      <c r="F6767" s="5" t="s">
        <v>524</v>
      </c>
      <c r="G6767" s="5" t="s">
        <v>43427</v>
      </c>
      <c r="H6767" s="6" t="s">
        <v>43428</v>
      </c>
      <c r="K6767" s="5" t="s">
        <v>43423</v>
      </c>
    </row>
    <row r="6768">
      <c r="A6768" s="4">
        <v>45534.373218252316</v>
      </c>
      <c r="B6768" s="5" t="s">
        <v>34</v>
      </c>
      <c r="D6768" s="5" t="s">
        <v>701</v>
      </c>
      <c r="E6768" s="5" t="s">
        <v>43431</v>
      </c>
      <c r="F6768" s="5" t="s">
        <v>37</v>
      </c>
      <c r="G6768" s="5" t="s">
        <v>43432</v>
      </c>
      <c r="H6768" s="6" t="s">
        <v>43433</v>
      </c>
      <c r="K6768" s="5" t="s">
        <v>43423</v>
      </c>
    </row>
    <row r="6769">
      <c r="A6769" s="4">
        <v>45534.37324421296</v>
      </c>
      <c r="B6769" s="5" t="s">
        <v>34</v>
      </c>
      <c r="D6769" s="5" t="s">
        <v>4775</v>
      </c>
      <c r="E6769" s="5" t="s">
        <v>43437</v>
      </c>
      <c r="F6769" s="5" t="s">
        <v>212</v>
      </c>
      <c r="G6769" s="5" t="s">
        <v>43438</v>
      </c>
      <c r="H6769" s="6" t="s">
        <v>43439</v>
      </c>
      <c r="K6769" s="5" t="s">
        <v>43423</v>
      </c>
    </row>
    <row r="6770">
      <c r="A6770" s="4">
        <v>45534.373258402775</v>
      </c>
      <c r="B6770" s="5" t="s">
        <v>34</v>
      </c>
      <c r="D6770" s="5" t="s">
        <v>1206</v>
      </c>
      <c r="E6770" s="5" t="s">
        <v>31362</v>
      </c>
      <c r="F6770" s="5" t="s">
        <v>212</v>
      </c>
      <c r="G6770" s="5" t="s">
        <v>43442</v>
      </c>
      <c r="H6770" s="6" t="s">
        <v>43443</v>
      </c>
      <c r="K6770" s="5" t="s">
        <v>43423</v>
      </c>
    </row>
    <row r="6771">
      <c r="A6771" s="4">
        <v>45534.37328248842</v>
      </c>
      <c r="B6771" s="5" t="s">
        <v>34</v>
      </c>
      <c r="D6771" s="5" t="s">
        <v>1456</v>
      </c>
      <c r="E6771" s="5" t="s">
        <v>43446</v>
      </c>
      <c r="F6771" s="5" t="s">
        <v>37</v>
      </c>
      <c r="G6771" s="5" t="s">
        <v>43447</v>
      </c>
      <c r="H6771" s="6" t="s">
        <v>43448</v>
      </c>
      <c r="K6771" s="5" t="s">
        <v>43449</v>
      </c>
    </row>
    <row r="6772">
      <c r="A6772" s="4">
        <v>45534.37328864583</v>
      </c>
      <c r="B6772" s="5" t="s">
        <v>34</v>
      </c>
      <c r="D6772" s="5" t="s">
        <v>1558</v>
      </c>
      <c r="E6772" s="5" t="s">
        <v>43452</v>
      </c>
      <c r="F6772" s="5" t="s">
        <v>108</v>
      </c>
      <c r="G6772" s="5" t="s">
        <v>43453</v>
      </c>
      <c r="H6772" s="6" t="s">
        <v>43454</v>
      </c>
      <c r="K6772" s="5" t="s">
        <v>43449</v>
      </c>
    </row>
    <row r="6773">
      <c r="A6773" s="4">
        <v>45534.3732897338</v>
      </c>
      <c r="B6773" s="5" t="s">
        <v>34</v>
      </c>
      <c r="D6773" s="5" t="s">
        <v>9394</v>
      </c>
      <c r="E6773" s="5" t="s">
        <v>43458</v>
      </c>
      <c r="F6773" s="5" t="s">
        <v>37</v>
      </c>
      <c r="G6773" s="5" t="s">
        <v>43459</v>
      </c>
      <c r="H6773" s="6" t="s">
        <v>43460</v>
      </c>
      <c r="K6773" s="5" t="s">
        <v>43449</v>
      </c>
    </row>
    <row r="6774">
      <c r="A6774" s="4">
        <v>45534.37330425926</v>
      </c>
      <c r="B6774" s="5" t="s">
        <v>34</v>
      </c>
      <c r="D6774" s="5" t="s">
        <v>1456</v>
      </c>
      <c r="E6774" s="5" t="s">
        <v>43463</v>
      </c>
      <c r="F6774" s="5" t="s">
        <v>72</v>
      </c>
      <c r="G6774" s="5" t="s">
        <v>43464</v>
      </c>
      <c r="H6774" s="6" t="s">
        <v>43465</v>
      </c>
      <c r="K6774" s="5" t="s">
        <v>43449</v>
      </c>
    </row>
    <row r="6775">
      <c r="A6775" s="4">
        <v>45534.37332746528</v>
      </c>
      <c r="B6775" s="5" t="s">
        <v>34</v>
      </c>
      <c r="D6775" s="5" t="s">
        <v>2903</v>
      </c>
      <c r="E6775" s="5" t="s">
        <v>43468</v>
      </c>
      <c r="F6775" s="5" t="s">
        <v>108</v>
      </c>
      <c r="G6775" s="5" t="s">
        <v>43469</v>
      </c>
      <c r="H6775" s="6" t="s">
        <v>43470</v>
      </c>
      <c r="K6775" s="5" t="s">
        <v>43471</v>
      </c>
    </row>
    <row r="6776">
      <c r="A6776" s="4">
        <v>45534.37333170139</v>
      </c>
      <c r="B6776" s="5" t="s">
        <v>34</v>
      </c>
      <c r="D6776" s="5" t="s">
        <v>522</v>
      </c>
      <c r="E6776" s="5" t="s">
        <v>43475</v>
      </c>
      <c r="F6776" s="5" t="s">
        <v>37</v>
      </c>
      <c r="G6776" s="5" t="s">
        <v>43476</v>
      </c>
      <c r="H6776" s="6" t="s">
        <v>43477</v>
      </c>
      <c r="K6776" s="5" t="s">
        <v>43471</v>
      </c>
    </row>
    <row r="6777">
      <c r="A6777" s="4">
        <v>45534.37333246528</v>
      </c>
      <c r="B6777" s="5" t="s">
        <v>34</v>
      </c>
      <c r="D6777" s="5" t="s">
        <v>4775</v>
      </c>
      <c r="E6777" s="5" t="s">
        <v>43480</v>
      </c>
      <c r="F6777" s="5" t="s">
        <v>212</v>
      </c>
      <c r="G6777" s="5" t="s">
        <v>43481</v>
      </c>
      <c r="H6777" s="6" t="s">
        <v>43482</v>
      </c>
      <c r="K6777" s="5" t="s">
        <v>43471</v>
      </c>
    </row>
    <row r="6778">
      <c r="A6778" s="4">
        <v>45534.37333746528</v>
      </c>
      <c r="B6778" s="5" t="s">
        <v>19</v>
      </c>
      <c r="C6778" s="5" t="s">
        <v>3301</v>
      </c>
      <c r="E6778" s="5" t="s">
        <v>43485</v>
      </c>
      <c r="F6778" s="5" t="s">
        <v>37</v>
      </c>
      <c r="G6778" s="5" t="s">
        <v>43486</v>
      </c>
      <c r="H6778" s="6" t="s">
        <v>43487</v>
      </c>
      <c r="K6778" s="5" t="s">
        <v>43471</v>
      </c>
    </row>
    <row r="6779">
      <c r="A6779" s="4">
        <v>45534.37333782407</v>
      </c>
      <c r="B6779" s="5" t="s">
        <v>34</v>
      </c>
      <c r="D6779" s="5" t="s">
        <v>1206</v>
      </c>
      <c r="E6779" s="5" t="s">
        <v>43491</v>
      </c>
      <c r="F6779" s="5" t="s">
        <v>524</v>
      </c>
      <c r="G6779" s="5" t="s">
        <v>43492</v>
      </c>
      <c r="H6779" s="6" t="s">
        <v>43493</v>
      </c>
      <c r="K6779" s="5" t="s">
        <v>43471</v>
      </c>
    </row>
    <row r="6780">
      <c r="A6780" s="4">
        <v>45534.37335127315</v>
      </c>
      <c r="B6780" s="5" t="s">
        <v>34</v>
      </c>
      <c r="D6780" s="5" t="s">
        <v>267</v>
      </c>
      <c r="E6780" s="5" t="s">
        <v>43496</v>
      </c>
      <c r="F6780" s="5" t="s">
        <v>72</v>
      </c>
      <c r="G6780" s="5" t="s">
        <v>43497</v>
      </c>
      <c r="H6780" s="6" t="s">
        <v>43498</v>
      </c>
      <c r="K6780" s="5" t="s">
        <v>43471</v>
      </c>
    </row>
    <row r="6781">
      <c r="A6781" s="4">
        <v>45534.37335230324</v>
      </c>
      <c r="B6781" s="5" t="s">
        <v>34</v>
      </c>
      <c r="D6781" s="5" t="s">
        <v>35</v>
      </c>
      <c r="E6781" s="5" t="s">
        <v>43501</v>
      </c>
      <c r="F6781" s="5" t="s">
        <v>108</v>
      </c>
      <c r="G6781" s="5" t="s">
        <v>43502</v>
      </c>
      <c r="H6781" s="6" t="s">
        <v>43503</v>
      </c>
      <c r="K6781" s="5" t="s">
        <v>43471</v>
      </c>
    </row>
    <row r="6782">
      <c r="A6782" s="4">
        <v>45534.373387291664</v>
      </c>
      <c r="B6782" s="5" t="s">
        <v>34</v>
      </c>
      <c r="D6782" s="5" t="s">
        <v>14313</v>
      </c>
      <c r="E6782" s="5" t="s">
        <v>43506</v>
      </c>
      <c r="F6782" s="5" t="s">
        <v>212</v>
      </c>
      <c r="G6782" s="5" t="s">
        <v>43507</v>
      </c>
      <c r="H6782" s="6" t="s">
        <v>43508</v>
      </c>
      <c r="K6782" s="5" t="s">
        <v>43509</v>
      </c>
    </row>
    <row r="6783">
      <c r="A6783" s="4">
        <v>45534.3733909838</v>
      </c>
      <c r="B6783" s="5" t="s">
        <v>34</v>
      </c>
      <c r="D6783" s="5" t="s">
        <v>1206</v>
      </c>
      <c r="E6783" s="5" t="s">
        <v>43512</v>
      </c>
      <c r="F6783" s="5" t="s">
        <v>212</v>
      </c>
      <c r="G6783" s="5" t="s">
        <v>43513</v>
      </c>
      <c r="H6783" s="6" t="s">
        <v>43514</v>
      </c>
      <c r="K6783" s="5" t="s">
        <v>43509</v>
      </c>
    </row>
    <row r="6784">
      <c r="A6784" s="4">
        <v>45534.37339710648</v>
      </c>
      <c r="B6784" s="5" t="s">
        <v>19</v>
      </c>
      <c r="C6784" s="5" t="s">
        <v>5564</v>
      </c>
      <c r="E6784" s="5" t="s">
        <v>43517</v>
      </c>
      <c r="F6784" s="5" t="s">
        <v>120</v>
      </c>
      <c r="G6784" s="5" t="s">
        <v>43518</v>
      </c>
      <c r="H6784" s="6" t="s">
        <v>43519</v>
      </c>
      <c r="K6784" s="5" t="s">
        <v>43509</v>
      </c>
    </row>
    <row r="6785">
      <c r="A6785" s="4">
        <v>45534.37340244213</v>
      </c>
      <c r="B6785" s="5" t="s">
        <v>34</v>
      </c>
      <c r="D6785" s="5" t="s">
        <v>1558</v>
      </c>
      <c r="E6785" s="5" t="s">
        <v>43523</v>
      </c>
      <c r="F6785" s="5" t="s">
        <v>199</v>
      </c>
      <c r="G6785" s="5" t="s">
        <v>43524</v>
      </c>
      <c r="H6785" s="6" t="s">
        <v>43525</v>
      </c>
      <c r="K6785" s="5" t="s">
        <v>43509</v>
      </c>
    </row>
    <row r="6786">
      <c r="A6786" s="4">
        <v>45534.37340513889</v>
      </c>
      <c r="B6786" s="5" t="s">
        <v>34</v>
      </c>
      <c r="D6786" s="5" t="s">
        <v>267</v>
      </c>
      <c r="E6786" s="5" t="s">
        <v>43528</v>
      </c>
      <c r="F6786" s="5" t="s">
        <v>108</v>
      </c>
      <c r="G6786" s="5" t="s">
        <v>43529</v>
      </c>
      <c r="H6786" s="6" t="s">
        <v>43530</v>
      </c>
      <c r="K6786" s="5" t="s">
        <v>43509</v>
      </c>
    </row>
    <row r="6787">
      <c r="A6787" s="4">
        <v>45534.373413078705</v>
      </c>
      <c r="B6787" s="5" t="s">
        <v>34</v>
      </c>
      <c r="D6787" s="5" t="s">
        <v>35</v>
      </c>
      <c r="E6787" s="5" t="s">
        <v>43533</v>
      </c>
      <c r="F6787" s="5" t="s">
        <v>212</v>
      </c>
      <c r="G6787" s="5" t="s">
        <v>43534</v>
      </c>
      <c r="H6787" s="6" t="s">
        <v>43535</v>
      </c>
      <c r="K6787" s="5" t="s">
        <v>43509</v>
      </c>
    </row>
    <row r="6788">
      <c r="A6788" s="4">
        <v>45534.37343684028</v>
      </c>
      <c r="B6788" s="5" t="s">
        <v>34</v>
      </c>
      <c r="D6788" s="5" t="s">
        <v>9394</v>
      </c>
      <c r="E6788" s="5" t="s">
        <v>43539</v>
      </c>
      <c r="F6788" s="5" t="s">
        <v>108</v>
      </c>
      <c r="G6788" s="5" t="s">
        <v>43540</v>
      </c>
      <c r="H6788" s="6" t="s">
        <v>43541</v>
      </c>
      <c r="K6788" s="5" t="s">
        <v>43542</v>
      </c>
    </row>
    <row r="6789">
      <c r="A6789" s="4">
        <v>45534.37343648148</v>
      </c>
      <c r="B6789" s="5" t="s">
        <v>34</v>
      </c>
      <c r="D6789" s="5" t="s">
        <v>14424</v>
      </c>
      <c r="E6789" s="5" t="s">
        <v>43545</v>
      </c>
      <c r="F6789" s="5" t="s">
        <v>212</v>
      </c>
      <c r="G6789" s="5" t="s">
        <v>43546</v>
      </c>
      <c r="H6789" s="6" t="s">
        <v>43547</v>
      </c>
      <c r="K6789" s="5" t="s">
        <v>43542</v>
      </c>
    </row>
    <row r="6790">
      <c r="A6790" s="4">
        <v>45534.373440763884</v>
      </c>
      <c r="B6790" s="5" t="s">
        <v>34</v>
      </c>
      <c r="D6790" s="5" t="s">
        <v>1206</v>
      </c>
      <c r="E6790" s="5" t="s">
        <v>43550</v>
      </c>
      <c r="F6790" s="5" t="s">
        <v>524</v>
      </c>
      <c r="G6790" s="5" t="s">
        <v>43551</v>
      </c>
      <c r="H6790" s="6" t="s">
        <v>43552</v>
      </c>
      <c r="K6790" s="5" t="s">
        <v>43542</v>
      </c>
    </row>
    <row r="6791">
      <c r="A6791" s="4">
        <v>45534.37344773149</v>
      </c>
      <c r="B6791" s="5" t="s">
        <v>34</v>
      </c>
      <c r="D6791" s="5" t="s">
        <v>1206</v>
      </c>
      <c r="E6791" s="5" t="s">
        <v>43555</v>
      </c>
      <c r="F6791" s="5" t="s">
        <v>212</v>
      </c>
      <c r="G6791" s="5" t="s">
        <v>43556</v>
      </c>
      <c r="H6791" s="6" t="s">
        <v>43557</v>
      </c>
      <c r="K6791" s="5" t="s">
        <v>43542</v>
      </c>
    </row>
    <row r="6792">
      <c r="A6792" s="4">
        <v>45534.373460925926</v>
      </c>
      <c r="B6792" s="5" t="s">
        <v>34</v>
      </c>
      <c r="D6792" s="5" t="s">
        <v>1206</v>
      </c>
      <c r="E6792" s="5" t="s">
        <v>43560</v>
      </c>
      <c r="F6792" s="5" t="s">
        <v>212</v>
      </c>
      <c r="G6792" s="5" t="s">
        <v>43561</v>
      </c>
      <c r="H6792" s="6" t="s">
        <v>43562</v>
      </c>
      <c r="K6792" s="5" t="s">
        <v>43542</v>
      </c>
    </row>
    <row r="6793">
      <c r="A6793" s="4">
        <v>45534.37346121528</v>
      </c>
      <c r="B6793" s="5" t="s">
        <v>19</v>
      </c>
      <c r="C6793" s="5" t="s">
        <v>292</v>
      </c>
      <c r="E6793" s="5" t="s">
        <v>43566</v>
      </c>
      <c r="F6793" s="5" t="s">
        <v>524</v>
      </c>
      <c r="G6793" s="5" t="s">
        <v>43567</v>
      </c>
      <c r="H6793" s="6" t="s">
        <v>43568</v>
      </c>
      <c r="K6793" s="5" t="s">
        <v>43542</v>
      </c>
    </row>
    <row r="6794">
      <c r="A6794" s="4">
        <v>45534.37347799768</v>
      </c>
      <c r="B6794" s="5" t="s">
        <v>34</v>
      </c>
      <c r="D6794" s="5" t="s">
        <v>996</v>
      </c>
      <c r="E6794" s="5" t="s">
        <v>43571</v>
      </c>
      <c r="F6794" s="5" t="s">
        <v>375</v>
      </c>
      <c r="G6794" s="5" t="s">
        <v>43572</v>
      </c>
      <c r="H6794" s="6" t="s">
        <v>43573</v>
      </c>
      <c r="K6794" s="5" t="s">
        <v>43542</v>
      </c>
    </row>
    <row r="6795">
      <c r="A6795" s="4">
        <v>45534.37348645834</v>
      </c>
      <c r="B6795" s="5" t="s">
        <v>19</v>
      </c>
      <c r="C6795" s="5" t="s">
        <v>24076</v>
      </c>
      <c r="E6795" s="5" t="s">
        <v>43576</v>
      </c>
      <c r="F6795" s="5" t="s">
        <v>212</v>
      </c>
      <c r="G6795" s="5" t="s">
        <v>43577</v>
      </c>
      <c r="H6795" s="6" t="s">
        <v>43578</v>
      </c>
      <c r="K6795" s="5" t="s">
        <v>43542</v>
      </c>
    </row>
    <row r="6796">
      <c r="A6796" s="4">
        <v>45534.373502256945</v>
      </c>
      <c r="B6796" s="5" t="s">
        <v>34</v>
      </c>
      <c r="D6796" s="5" t="s">
        <v>1456</v>
      </c>
      <c r="E6796" s="5" t="s">
        <v>43582</v>
      </c>
      <c r="F6796" s="5" t="s">
        <v>37</v>
      </c>
      <c r="G6796" s="5" t="s">
        <v>43583</v>
      </c>
      <c r="H6796" s="6" t="s">
        <v>43584</v>
      </c>
      <c r="K6796" s="5" t="s">
        <v>43585</v>
      </c>
    </row>
    <row r="6797">
      <c r="A6797" s="4">
        <v>45534.37350778935</v>
      </c>
      <c r="B6797" s="5" t="s">
        <v>34</v>
      </c>
      <c r="D6797" s="5" t="s">
        <v>1206</v>
      </c>
      <c r="E6797" s="5" t="s">
        <v>43588</v>
      </c>
      <c r="F6797" s="5" t="s">
        <v>72</v>
      </c>
      <c r="G6797" s="5" t="s">
        <v>43589</v>
      </c>
      <c r="H6797" s="6" t="s">
        <v>43590</v>
      </c>
      <c r="K6797" s="5" t="s">
        <v>43591</v>
      </c>
    </row>
    <row r="6798">
      <c r="A6798" s="4">
        <v>45534.37351428241</v>
      </c>
      <c r="B6798" s="5" t="s">
        <v>34</v>
      </c>
      <c r="D6798" s="5" t="s">
        <v>1206</v>
      </c>
      <c r="E6798" s="5" t="s">
        <v>43594</v>
      </c>
      <c r="F6798" s="5" t="s">
        <v>212</v>
      </c>
      <c r="G6798" s="5" t="s">
        <v>43595</v>
      </c>
      <c r="H6798" s="6" t="s">
        <v>43596</v>
      </c>
      <c r="K6798" s="5" t="s">
        <v>43591</v>
      </c>
    </row>
    <row r="6799">
      <c r="A6799" s="4">
        <v>45534.37352690972</v>
      </c>
      <c r="B6799" s="5" t="s">
        <v>34</v>
      </c>
      <c r="D6799" s="5" t="s">
        <v>12978</v>
      </c>
      <c r="E6799" s="5" t="s">
        <v>43599</v>
      </c>
      <c r="F6799" s="5" t="s">
        <v>72</v>
      </c>
      <c r="G6799" s="5" t="s">
        <v>43600</v>
      </c>
      <c r="H6799" s="6" t="s">
        <v>43601</v>
      </c>
      <c r="K6799" s="5" t="s">
        <v>43591</v>
      </c>
    </row>
    <row r="6800">
      <c r="A6800" s="4">
        <v>45534.373529687495</v>
      </c>
      <c r="B6800" s="5" t="s">
        <v>34</v>
      </c>
      <c r="D6800" s="5" t="s">
        <v>1206</v>
      </c>
      <c r="E6800" s="5" t="s">
        <v>43605</v>
      </c>
      <c r="F6800" s="5" t="s">
        <v>524</v>
      </c>
      <c r="G6800" s="5" t="s">
        <v>43606</v>
      </c>
      <c r="H6800" s="6" t="s">
        <v>43607</v>
      </c>
      <c r="K6800" s="5" t="s">
        <v>43591</v>
      </c>
    </row>
    <row r="6801">
      <c r="A6801" s="4">
        <v>45534.37354732639</v>
      </c>
      <c r="B6801" s="5" t="s">
        <v>34</v>
      </c>
      <c r="D6801" s="5" t="s">
        <v>267</v>
      </c>
      <c r="E6801" s="5" t="s">
        <v>43610</v>
      </c>
      <c r="F6801" s="5" t="s">
        <v>72</v>
      </c>
      <c r="G6801" s="5" t="s">
        <v>43611</v>
      </c>
      <c r="H6801" s="6" t="s">
        <v>43612</v>
      </c>
      <c r="K6801" s="5" t="s">
        <v>43613</v>
      </c>
    </row>
    <row r="6802">
      <c r="A6802" s="4">
        <v>45534.373565671296</v>
      </c>
      <c r="B6802" s="5" t="s">
        <v>34</v>
      </c>
      <c r="D6802" s="5" t="s">
        <v>1558</v>
      </c>
      <c r="E6802" s="5" t="s">
        <v>43616</v>
      </c>
      <c r="F6802" s="5" t="s">
        <v>212</v>
      </c>
      <c r="G6802" s="5" t="s">
        <v>43617</v>
      </c>
      <c r="H6802" s="6" t="s">
        <v>43618</v>
      </c>
      <c r="K6802" s="5" t="s">
        <v>43613</v>
      </c>
    </row>
    <row r="6803">
      <c r="A6803" s="4">
        <v>45534.37356836806</v>
      </c>
      <c r="B6803" s="5" t="s">
        <v>34</v>
      </c>
      <c r="D6803" s="5" t="s">
        <v>1206</v>
      </c>
      <c r="E6803" s="5" t="s">
        <v>43621</v>
      </c>
      <c r="F6803" s="5" t="s">
        <v>37</v>
      </c>
      <c r="G6803" s="5" t="s">
        <v>43622</v>
      </c>
      <c r="H6803" s="6" t="s">
        <v>43623</v>
      </c>
      <c r="K6803" s="5" t="s">
        <v>43613</v>
      </c>
    </row>
    <row r="6804">
      <c r="A6804" s="4">
        <v>45534.37356923611</v>
      </c>
      <c r="B6804" s="5" t="s">
        <v>34</v>
      </c>
      <c r="D6804" s="5" t="s">
        <v>1206</v>
      </c>
      <c r="E6804" s="5" t="s">
        <v>39721</v>
      </c>
      <c r="F6804" s="5" t="s">
        <v>199</v>
      </c>
      <c r="G6804" s="5" t="s">
        <v>43627</v>
      </c>
      <c r="H6804" s="6" t="s">
        <v>43628</v>
      </c>
      <c r="K6804" s="5" t="s">
        <v>43613</v>
      </c>
    </row>
    <row r="6805">
      <c r="A6805" s="4">
        <v>45534.37358716435</v>
      </c>
      <c r="B6805" s="5" t="s">
        <v>34</v>
      </c>
      <c r="D6805" s="5" t="s">
        <v>4775</v>
      </c>
      <c r="E6805" s="5" t="s">
        <v>43631</v>
      </c>
      <c r="F6805" s="5" t="s">
        <v>72</v>
      </c>
      <c r="G6805" s="5" t="s">
        <v>43632</v>
      </c>
      <c r="H6805" s="6" t="s">
        <v>43633</v>
      </c>
      <c r="K6805" s="5" t="s">
        <v>43634</v>
      </c>
    </row>
    <row r="6806">
      <c r="A6806" s="4">
        <v>45534.37359877315</v>
      </c>
      <c r="B6806" s="5" t="s">
        <v>34</v>
      </c>
      <c r="D6806" s="5" t="s">
        <v>10297</v>
      </c>
      <c r="E6806" s="5" t="s">
        <v>43637</v>
      </c>
      <c r="F6806" s="5" t="s">
        <v>212</v>
      </c>
      <c r="G6806" s="5" t="s">
        <v>43638</v>
      </c>
      <c r="H6806" s="6" t="s">
        <v>43639</v>
      </c>
      <c r="K6806" s="5" t="s">
        <v>43634</v>
      </c>
    </row>
    <row r="6807">
      <c r="A6807" s="4">
        <v>45534.37360407408</v>
      </c>
      <c r="B6807" s="5" t="s">
        <v>34</v>
      </c>
      <c r="D6807" s="5" t="s">
        <v>1558</v>
      </c>
      <c r="E6807" s="5" t="s">
        <v>43642</v>
      </c>
      <c r="F6807" s="5" t="s">
        <v>212</v>
      </c>
      <c r="G6807" s="5" t="s">
        <v>43643</v>
      </c>
      <c r="H6807" s="6" t="s">
        <v>43644</v>
      </c>
      <c r="K6807" s="5" t="s">
        <v>43634</v>
      </c>
    </row>
    <row r="6808">
      <c r="A6808" s="4">
        <v>45534.373635208336</v>
      </c>
      <c r="B6808" s="5" t="s">
        <v>34</v>
      </c>
      <c r="D6808" s="5" t="s">
        <v>1692</v>
      </c>
      <c r="E6808" s="5" t="s">
        <v>43648</v>
      </c>
      <c r="F6808" s="5" t="s">
        <v>524</v>
      </c>
      <c r="G6808" s="5" t="s">
        <v>43649</v>
      </c>
      <c r="H6808" s="6" t="s">
        <v>43650</v>
      </c>
      <c r="K6808" s="5" t="s">
        <v>43651</v>
      </c>
    </row>
    <row r="6809">
      <c r="A6809" s="4">
        <v>45534.37364505787</v>
      </c>
      <c r="B6809" s="5" t="s">
        <v>34</v>
      </c>
      <c r="D6809" s="5" t="s">
        <v>12978</v>
      </c>
      <c r="E6809" s="5" t="s">
        <v>43654</v>
      </c>
      <c r="F6809" s="5" t="s">
        <v>37</v>
      </c>
      <c r="G6809" s="5" t="s">
        <v>43655</v>
      </c>
      <c r="H6809" s="6" t="s">
        <v>43656</v>
      </c>
      <c r="K6809" s="5" t="s">
        <v>43651</v>
      </c>
    </row>
    <row r="6810">
      <c r="A6810" s="4">
        <v>45534.37370989584</v>
      </c>
      <c r="B6810" s="5" t="s">
        <v>34</v>
      </c>
      <c r="D6810" s="5" t="s">
        <v>4775</v>
      </c>
      <c r="E6810" s="5" t="s">
        <v>43659</v>
      </c>
      <c r="F6810" s="5" t="s">
        <v>108</v>
      </c>
      <c r="G6810" s="5" t="s">
        <v>43660</v>
      </c>
      <c r="H6810" s="6" t="s">
        <v>43661</v>
      </c>
      <c r="K6810" s="5" t="s">
        <v>43662</v>
      </c>
    </row>
    <row r="6811">
      <c r="A6811" s="4">
        <v>45534.37372081018</v>
      </c>
      <c r="B6811" s="5" t="s">
        <v>34</v>
      </c>
      <c r="D6811" s="5" t="s">
        <v>3432</v>
      </c>
      <c r="E6811" s="5" t="s">
        <v>16234</v>
      </c>
      <c r="F6811" s="5" t="s">
        <v>212</v>
      </c>
      <c r="G6811" s="5" t="s">
        <v>43665</v>
      </c>
      <c r="H6811" s="6" t="s">
        <v>43666</v>
      </c>
      <c r="K6811" s="5" t="s">
        <v>43662</v>
      </c>
    </row>
    <row r="6812">
      <c r="A6812" s="4">
        <v>45534.37372267361</v>
      </c>
      <c r="B6812" s="5" t="s">
        <v>34</v>
      </c>
      <c r="D6812" s="5" t="s">
        <v>12978</v>
      </c>
      <c r="E6812" s="5" t="s">
        <v>43670</v>
      </c>
      <c r="F6812" s="5" t="s">
        <v>212</v>
      </c>
      <c r="G6812" s="5" t="s">
        <v>43671</v>
      </c>
      <c r="H6812" s="6" t="s">
        <v>43672</v>
      </c>
      <c r="K6812" s="5" t="s">
        <v>43662</v>
      </c>
    </row>
    <row r="6813">
      <c r="A6813" s="4">
        <v>45534.37373194445</v>
      </c>
      <c r="B6813" s="5" t="s">
        <v>34</v>
      </c>
      <c r="D6813" s="5" t="s">
        <v>3432</v>
      </c>
      <c r="E6813" s="5" t="s">
        <v>43675</v>
      </c>
      <c r="F6813" s="5" t="s">
        <v>212</v>
      </c>
      <c r="G6813" s="5" t="s">
        <v>43676</v>
      </c>
      <c r="H6813" s="6" t="s">
        <v>43677</v>
      </c>
      <c r="K6813" s="5" t="s">
        <v>43662</v>
      </c>
    </row>
    <row r="6814">
      <c r="A6814" s="4">
        <v>45534.37375315972</v>
      </c>
      <c r="B6814" s="5" t="s">
        <v>34</v>
      </c>
      <c r="D6814" s="5" t="s">
        <v>10444</v>
      </c>
      <c r="E6814" s="5" t="s">
        <v>43681</v>
      </c>
      <c r="F6814" s="5" t="s">
        <v>37</v>
      </c>
      <c r="G6814" s="5" t="s">
        <v>43682</v>
      </c>
      <c r="H6814" s="6" t="s">
        <v>43683</v>
      </c>
      <c r="K6814" s="5" t="s">
        <v>43684</v>
      </c>
    </row>
    <row r="6815">
      <c r="A6815" s="4">
        <v>45534.373762152776</v>
      </c>
      <c r="B6815" s="5" t="s">
        <v>34</v>
      </c>
      <c r="D6815" s="5" t="s">
        <v>1456</v>
      </c>
      <c r="E6815" s="5" t="s">
        <v>43687</v>
      </c>
      <c r="F6815" s="5" t="s">
        <v>37</v>
      </c>
      <c r="G6815" s="5" t="s">
        <v>43688</v>
      </c>
      <c r="H6815" s="6" t="s">
        <v>43689</v>
      </c>
      <c r="K6815" s="5" t="s">
        <v>43690</v>
      </c>
    </row>
    <row r="6816">
      <c r="A6816" s="4">
        <v>45534.37376512731</v>
      </c>
      <c r="B6816" s="5" t="s">
        <v>34</v>
      </c>
      <c r="D6816" s="5" t="s">
        <v>12978</v>
      </c>
      <c r="E6816" s="5" t="s">
        <v>43693</v>
      </c>
      <c r="F6816" s="5" t="s">
        <v>212</v>
      </c>
      <c r="G6816" s="5" t="s">
        <v>43694</v>
      </c>
      <c r="H6816" s="6" t="s">
        <v>43695</v>
      </c>
      <c r="K6816" s="5" t="s">
        <v>43690</v>
      </c>
    </row>
    <row r="6817">
      <c r="A6817" s="4">
        <v>45534.373794652776</v>
      </c>
      <c r="B6817" s="5" t="s">
        <v>34</v>
      </c>
      <c r="D6817" s="5" t="s">
        <v>4775</v>
      </c>
      <c r="E6817" s="5" t="s">
        <v>43698</v>
      </c>
      <c r="F6817" s="5" t="s">
        <v>375</v>
      </c>
      <c r="G6817" s="5" t="s">
        <v>43699</v>
      </c>
      <c r="H6817" s="6" t="s">
        <v>43700</v>
      </c>
      <c r="K6817" s="5" t="s">
        <v>43690</v>
      </c>
    </row>
    <row r="6818">
      <c r="A6818" s="4">
        <v>45534.37381064815</v>
      </c>
      <c r="B6818" s="5" t="s">
        <v>19</v>
      </c>
      <c r="C6818" s="5" t="s">
        <v>442</v>
      </c>
      <c r="E6818" s="5" t="s">
        <v>43704</v>
      </c>
      <c r="F6818" s="5" t="s">
        <v>22</v>
      </c>
      <c r="G6818" s="5" t="s">
        <v>43705</v>
      </c>
      <c r="H6818" s="6" t="s">
        <v>43706</v>
      </c>
      <c r="K6818" s="5" t="s">
        <v>43707</v>
      </c>
    </row>
    <row r="6819">
      <c r="A6819" s="4">
        <v>45534.373827118055</v>
      </c>
      <c r="B6819" s="5" t="s">
        <v>34</v>
      </c>
      <c r="D6819" s="5" t="s">
        <v>4775</v>
      </c>
      <c r="E6819" s="5" t="s">
        <v>43710</v>
      </c>
      <c r="F6819" s="5" t="s">
        <v>212</v>
      </c>
      <c r="G6819" s="5" t="s">
        <v>43711</v>
      </c>
      <c r="H6819" s="6" t="s">
        <v>43712</v>
      </c>
      <c r="K6819" s="5" t="s">
        <v>43707</v>
      </c>
    </row>
    <row r="6820">
      <c r="A6820" s="4">
        <v>45534.373831377314</v>
      </c>
      <c r="B6820" s="5" t="s">
        <v>34</v>
      </c>
      <c r="D6820" s="5" t="s">
        <v>10444</v>
      </c>
      <c r="E6820" s="5" t="s">
        <v>43715</v>
      </c>
      <c r="F6820" s="5" t="s">
        <v>212</v>
      </c>
      <c r="G6820" s="5" t="s">
        <v>43716</v>
      </c>
      <c r="H6820" s="6" t="s">
        <v>43717</v>
      </c>
      <c r="K6820" s="5" t="s">
        <v>43707</v>
      </c>
    </row>
    <row r="6821">
      <c r="A6821" s="4">
        <v>45534.373831805555</v>
      </c>
      <c r="B6821" s="5" t="s">
        <v>19</v>
      </c>
      <c r="C6821" s="5" t="s">
        <v>292</v>
      </c>
      <c r="E6821" s="5" t="s">
        <v>43720</v>
      </c>
      <c r="F6821" s="5" t="s">
        <v>212</v>
      </c>
      <c r="G6821" s="5" t="s">
        <v>43721</v>
      </c>
      <c r="H6821" s="6" t="s">
        <v>43722</v>
      </c>
      <c r="K6821" s="5" t="s">
        <v>43707</v>
      </c>
    </row>
    <row r="6822">
      <c r="A6822" s="4">
        <v>45534.37384056713</v>
      </c>
      <c r="B6822" s="5" t="s">
        <v>34</v>
      </c>
      <c r="D6822" s="5" t="s">
        <v>4775</v>
      </c>
      <c r="E6822" s="5" t="s">
        <v>43726</v>
      </c>
      <c r="F6822" s="5" t="s">
        <v>199</v>
      </c>
      <c r="G6822" s="5" t="s">
        <v>43727</v>
      </c>
      <c r="H6822" s="6" t="s">
        <v>43728</v>
      </c>
      <c r="K6822" s="5" t="s">
        <v>43729</v>
      </c>
    </row>
    <row r="6823">
      <c r="A6823" s="4">
        <v>45534.37384664352</v>
      </c>
      <c r="B6823" s="5" t="s">
        <v>19</v>
      </c>
      <c r="C6823" s="5" t="s">
        <v>3301</v>
      </c>
      <c r="E6823" s="5" t="s">
        <v>43732</v>
      </c>
      <c r="F6823" s="5" t="s">
        <v>37</v>
      </c>
      <c r="G6823" s="5" t="s">
        <v>43733</v>
      </c>
      <c r="H6823" s="6" t="s">
        <v>43734</v>
      </c>
      <c r="K6823" s="5" t="s">
        <v>43729</v>
      </c>
    </row>
    <row r="6824">
      <c r="A6824" s="4">
        <v>45534.37385685185</v>
      </c>
      <c r="B6824" s="5" t="s">
        <v>34</v>
      </c>
      <c r="D6824" s="5" t="s">
        <v>580</v>
      </c>
      <c r="E6824" s="5" t="s">
        <v>43737</v>
      </c>
      <c r="F6824" s="5" t="s">
        <v>212</v>
      </c>
      <c r="G6824" s="5" t="s">
        <v>43738</v>
      </c>
      <c r="H6824" s="6" t="s">
        <v>43739</v>
      </c>
      <c r="K6824" s="5" t="s">
        <v>43729</v>
      </c>
    </row>
    <row r="6825">
      <c r="A6825" s="4">
        <v>45534.37387876157</v>
      </c>
      <c r="B6825" s="5" t="s">
        <v>34</v>
      </c>
      <c r="D6825" s="5" t="s">
        <v>9394</v>
      </c>
      <c r="E6825" s="5" t="s">
        <v>43743</v>
      </c>
      <c r="F6825" s="5" t="s">
        <v>375</v>
      </c>
      <c r="G6825" s="5" t="s">
        <v>43744</v>
      </c>
      <c r="H6825" s="6" t="s">
        <v>43745</v>
      </c>
      <c r="K6825" s="5" t="s">
        <v>43746</v>
      </c>
    </row>
    <row r="6826">
      <c r="A6826" s="4">
        <v>45534.37389234954</v>
      </c>
      <c r="B6826" s="5" t="s">
        <v>34</v>
      </c>
      <c r="D6826" s="5" t="s">
        <v>4775</v>
      </c>
      <c r="E6826" s="5" t="s">
        <v>43749</v>
      </c>
      <c r="F6826" s="5" t="s">
        <v>212</v>
      </c>
      <c r="G6826" s="5" t="s">
        <v>43750</v>
      </c>
      <c r="H6826" s="6" t="s">
        <v>43751</v>
      </c>
      <c r="K6826" s="5" t="s">
        <v>43746</v>
      </c>
    </row>
    <row r="6827">
      <c r="A6827" s="4">
        <v>45534.37389619213</v>
      </c>
      <c r="B6827" s="5" t="s">
        <v>34</v>
      </c>
      <c r="D6827" s="5" t="s">
        <v>2903</v>
      </c>
      <c r="E6827" s="5" t="s">
        <v>43754</v>
      </c>
      <c r="F6827" s="5" t="s">
        <v>108</v>
      </c>
      <c r="G6827" s="5" t="s">
        <v>43755</v>
      </c>
      <c r="H6827" s="6" t="s">
        <v>43756</v>
      </c>
      <c r="K6827" s="5" t="s">
        <v>43746</v>
      </c>
    </row>
    <row r="6828">
      <c r="A6828" s="4">
        <v>45534.37392359954</v>
      </c>
      <c r="B6828" s="5" t="s">
        <v>19</v>
      </c>
      <c r="C6828" s="5" t="s">
        <v>14000</v>
      </c>
      <c r="E6828" s="5" t="s">
        <v>43759</v>
      </c>
      <c r="F6828" s="5" t="s">
        <v>37</v>
      </c>
      <c r="G6828" s="5" t="s">
        <v>43760</v>
      </c>
      <c r="H6828" s="6" t="s">
        <v>43761</v>
      </c>
      <c r="K6828" s="5" t="s">
        <v>43762</v>
      </c>
    </row>
    <row r="6829">
      <c r="A6829" s="4">
        <v>45534.373930173606</v>
      </c>
      <c r="B6829" s="5" t="s">
        <v>19</v>
      </c>
      <c r="C6829" s="5" t="s">
        <v>292</v>
      </c>
      <c r="E6829" s="5" t="s">
        <v>43766</v>
      </c>
      <c r="F6829" s="5" t="s">
        <v>375</v>
      </c>
      <c r="G6829" s="5" t="s">
        <v>43767</v>
      </c>
      <c r="H6829" s="6" t="s">
        <v>43768</v>
      </c>
      <c r="K6829" s="5" t="s">
        <v>43762</v>
      </c>
    </row>
    <row r="6830">
      <c r="A6830" s="4">
        <v>45534.37394042824</v>
      </c>
      <c r="B6830" s="5" t="s">
        <v>34</v>
      </c>
      <c r="D6830" s="5" t="s">
        <v>12978</v>
      </c>
      <c r="E6830" s="5" t="s">
        <v>43771</v>
      </c>
      <c r="F6830" s="5" t="s">
        <v>375</v>
      </c>
      <c r="G6830" s="5" t="s">
        <v>43772</v>
      </c>
      <c r="H6830" s="6" t="s">
        <v>43773</v>
      </c>
      <c r="K6830" s="5" t="s">
        <v>43774</v>
      </c>
    </row>
    <row r="6831">
      <c r="A6831" s="4">
        <v>45534.37394625</v>
      </c>
      <c r="B6831" s="5" t="s">
        <v>34</v>
      </c>
      <c r="D6831" s="5" t="s">
        <v>1206</v>
      </c>
      <c r="E6831" s="5" t="s">
        <v>43778</v>
      </c>
      <c r="F6831" s="5" t="s">
        <v>212</v>
      </c>
      <c r="G6831" s="5" t="s">
        <v>43779</v>
      </c>
      <c r="H6831" s="6" t="s">
        <v>43780</v>
      </c>
      <c r="K6831" s="5" t="s">
        <v>43774</v>
      </c>
    </row>
    <row r="6832">
      <c r="A6832" s="4">
        <v>45534.37396582176</v>
      </c>
      <c r="B6832" s="5" t="s">
        <v>34</v>
      </c>
      <c r="D6832" s="5" t="s">
        <v>10444</v>
      </c>
      <c r="E6832" s="5" t="s">
        <v>43783</v>
      </c>
      <c r="F6832" s="5" t="s">
        <v>120</v>
      </c>
      <c r="G6832" s="5" t="s">
        <v>43784</v>
      </c>
      <c r="H6832" s="6" t="s">
        <v>43785</v>
      </c>
      <c r="K6832" s="5" t="s">
        <v>43774</v>
      </c>
    </row>
    <row r="6833">
      <c r="A6833" s="4">
        <v>45534.37397059028</v>
      </c>
      <c r="B6833" s="5" t="s">
        <v>34</v>
      </c>
      <c r="D6833" s="5" t="s">
        <v>6232</v>
      </c>
      <c r="E6833" s="5" t="s">
        <v>43788</v>
      </c>
      <c r="F6833" s="5" t="s">
        <v>524</v>
      </c>
      <c r="G6833" s="5" t="s">
        <v>43789</v>
      </c>
      <c r="H6833" s="6" t="s">
        <v>43790</v>
      </c>
      <c r="K6833" s="5" t="s">
        <v>43774</v>
      </c>
    </row>
    <row r="6834">
      <c r="A6834" s="4">
        <v>45534.37399420139</v>
      </c>
      <c r="B6834" s="5" t="s">
        <v>34</v>
      </c>
      <c r="D6834" s="5" t="s">
        <v>580</v>
      </c>
      <c r="E6834" s="5" t="s">
        <v>43794</v>
      </c>
      <c r="F6834" s="5" t="s">
        <v>120</v>
      </c>
      <c r="G6834" s="5" t="s">
        <v>43795</v>
      </c>
      <c r="H6834" s="6" t="s">
        <v>43796</v>
      </c>
      <c r="K6834" s="5" t="s">
        <v>43797</v>
      </c>
    </row>
    <row r="6835">
      <c r="A6835" s="4">
        <v>45534.374001979166</v>
      </c>
      <c r="B6835" s="5" t="s">
        <v>34</v>
      </c>
      <c r="D6835" s="5" t="s">
        <v>1558</v>
      </c>
      <c r="E6835" s="5" t="s">
        <v>43800</v>
      </c>
      <c r="F6835" s="5" t="s">
        <v>212</v>
      </c>
      <c r="G6835" s="5" t="s">
        <v>43801</v>
      </c>
      <c r="H6835" s="6" t="s">
        <v>43802</v>
      </c>
      <c r="K6835" s="5" t="s">
        <v>43797</v>
      </c>
    </row>
    <row r="6836">
      <c r="A6836" s="4">
        <v>45534.37400930555</v>
      </c>
      <c r="B6836" s="5" t="s">
        <v>34</v>
      </c>
      <c r="D6836" s="5" t="s">
        <v>9020</v>
      </c>
      <c r="E6836" s="5" t="s">
        <v>43805</v>
      </c>
      <c r="F6836" s="5" t="s">
        <v>524</v>
      </c>
      <c r="G6836" s="5" t="s">
        <v>43806</v>
      </c>
      <c r="H6836" s="6" t="s">
        <v>43807</v>
      </c>
      <c r="K6836" s="5" t="s">
        <v>43797</v>
      </c>
    </row>
    <row r="6837">
      <c r="A6837" s="4">
        <v>45534.37401329861</v>
      </c>
      <c r="B6837" s="5" t="s">
        <v>34</v>
      </c>
      <c r="D6837" s="5" t="s">
        <v>280</v>
      </c>
      <c r="E6837" s="5" t="s">
        <v>43810</v>
      </c>
      <c r="F6837" s="5" t="s">
        <v>212</v>
      </c>
      <c r="G6837" s="5" t="s">
        <v>43811</v>
      </c>
      <c r="H6837" s="6" t="s">
        <v>43812</v>
      </c>
      <c r="K6837" s="5" t="s">
        <v>43797</v>
      </c>
    </row>
    <row r="6838">
      <c r="A6838" s="4">
        <v>45534.374015671296</v>
      </c>
      <c r="B6838" s="5" t="s">
        <v>34</v>
      </c>
      <c r="D6838" s="5" t="s">
        <v>9394</v>
      </c>
      <c r="E6838" s="5" t="s">
        <v>43816</v>
      </c>
      <c r="F6838" s="5" t="s">
        <v>524</v>
      </c>
      <c r="G6838" s="5" t="s">
        <v>43817</v>
      </c>
      <c r="H6838" s="6" t="s">
        <v>43818</v>
      </c>
      <c r="K6838" s="5" t="s">
        <v>43797</v>
      </c>
    </row>
    <row r="6839">
      <c r="A6839" s="4">
        <v>45534.374037256945</v>
      </c>
      <c r="B6839" s="5" t="s">
        <v>34</v>
      </c>
      <c r="D6839" s="5" t="s">
        <v>7858</v>
      </c>
      <c r="E6839" s="5" t="s">
        <v>43821</v>
      </c>
      <c r="F6839" s="5" t="s">
        <v>37</v>
      </c>
      <c r="G6839" s="5" t="s">
        <v>43822</v>
      </c>
      <c r="H6839" s="6" t="s">
        <v>43823</v>
      </c>
      <c r="K6839" s="5" t="s">
        <v>43824</v>
      </c>
    </row>
    <row r="6840">
      <c r="A6840" s="4">
        <v>45534.37404530092</v>
      </c>
      <c r="B6840" s="5" t="s">
        <v>34</v>
      </c>
      <c r="D6840" s="5" t="s">
        <v>1206</v>
      </c>
      <c r="E6840" s="5" t="s">
        <v>43827</v>
      </c>
      <c r="F6840" s="5" t="s">
        <v>199</v>
      </c>
      <c r="G6840" s="5" t="s">
        <v>43828</v>
      </c>
      <c r="H6840" s="6" t="s">
        <v>43829</v>
      </c>
      <c r="K6840" s="5" t="s">
        <v>43824</v>
      </c>
    </row>
    <row r="6841">
      <c r="A6841" s="4">
        <v>45534.37404865741</v>
      </c>
      <c r="B6841" s="5" t="s">
        <v>34</v>
      </c>
      <c r="D6841" s="5" t="s">
        <v>1206</v>
      </c>
      <c r="E6841" s="5" t="s">
        <v>43832</v>
      </c>
      <c r="F6841" s="5" t="s">
        <v>37</v>
      </c>
      <c r="G6841" s="5" t="s">
        <v>43833</v>
      </c>
      <c r="H6841" s="6" t="s">
        <v>43834</v>
      </c>
      <c r="K6841" s="5" t="s">
        <v>43824</v>
      </c>
    </row>
    <row r="6842">
      <c r="A6842" s="4">
        <v>45534.37406173611</v>
      </c>
      <c r="B6842" s="5" t="s">
        <v>34</v>
      </c>
      <c r="D6842" s="5" t="s">
        <v>1558</v>
      </c>
      <c r="E6842" s="5" t="s">
        <v>43837</v>
      </c>
      <c r="F6842" s="5" t="s">
        <v>212</v>
      </c>
      <c r="G6842" s="5" t="s">
        <v>43838</v>
      </c>
      <c r="H6842" s="6" t="s">
        <v>43839</v>
      </c>
      <c r="K6842" s="5" t="s">
        <v>43824</v>
      </c>
    </row>
    <row r="6843">
      <c r="A6843" s="4">
        <v>45534.37408528935</v>
      </c>
      <c r="B6843" s="5" t="s">
        <v>34</v>
      </c>
      <c r="D6843" s="5" t="s">
        <v>1206</v>
      </c>
      <c r="E6843" s="5" t="s">
        <v>43843</v>
      </c>
      <c r="F6843" s="5" t="s">
        <v>212</v>
      </c>
      <c r="G6843" s="5" t="s">
        <v>43844</v>
      </c>
      <c r="H6843" s="6" t="s">
        <v>43845</v>
      </c>
      <c r="K6843" s="5" t="s">
        <v>43846</v>
      </c>
    </row>
    <row r="6844">
      <c r="A6844" s="4">
        <v>45534.374082581024</v>
      </c>
      <c r="B6844" s="5" t="s">
        <v>34</v>
      </c>
      <c r="D6844" s="5" t="s">
        <v>35</v>
      </c>
      <c r="E6844" s="5" t="s">
        <v>43849</v>
      </c>
      <c r="F6844" s="5" t="s">
        <v>37</v>
      </c>
      <c r="G6844" s="5" t="s">
        <v>43850</v>
      </c>
      <c r="H6844" s="6" t="s">
        <v>43851</v>
      </c>
      <c r="K6844" s="5" t="s">
        <v>43846</v>
      </c>
    </row>
    <row r="6845">
      <c r="A6845" s="4">
        <v>45534.37410730324</v>
      </c>
      <c r="B6845" s="5" t="s">
        <v>19</v>
      </c>
      <c r="C6845" s="5" t="s">
        <v>5058</v>
      </c>
      <c r="E6845" s="5" t="s">
        <v>43854</v>
      </c>
      <c r="F6845" s="5" t="s">
        <v>37</v>
      </c>
      <c r="G6845" s="5" t="s">
        <v>43855</v>
      </c>
      <c r="H6845" s="6" t="s">
        <v>43856</v>
      </c>
      <c r="K6845" s="5" t="s">
        <v>43846</v>
      </c>
    </row>
    <row r="6846">
      <c r="A6846" s="4">
        <v>45534.37413030093</v>
      </c>
      <c r="B6846" s="5" t="s">
        <v>34</v>
      </c>
      <c r="D6846" s="5" t="s">
        <v>10444</v>
      </c>
      <c r="E6846" s="5" t="s">
        <v>43859</v>
      </c>
      <c r="F6846" s="5" t="s">
        <v>37</v>
      </c>
      <c r="G6846" s="5" t="s">
        <v>43860</v>
      </c>
      <c r="H6846" s="6" t="s">
        <v>43861</v>
      </c>
      <c r="K6846" s="5" t="s">
        <v>43862</v>
      </c>
    </row>
    <row r="6847">
      <c r="A6847" s="4">
        <v>45534.37415265046</v>
      </c>
      <c r="B6847" s="5" t="s">
        <v>34</v>
      </c>
      <c r="D6847" s="5" t="s">
        <v>2903</v>
      </c>
      <c r="E6847" s="5" t="s">
        <v>16702</v>
      </c>
      <c r="F6847" s="5" t="s">
        <v>524</v>
      </c>
      <c r="G6847" s="5" t="s">
        <v>43866</v>
      </c>
      <c r="H6847" s="6" t="s">
        <v>43867</v>
      </c>
      <c r="K6847" s="5" t="s">
        <v>43868</v>
      </c>
    </row>
    <row r="6848">
      <c r="A6848" s="4">
        <v>45534.37415956019</v>
      </c>
      <c r="B6848" s="5" t="s">
        <v>34</v>
      </c>
      <c r="D6848" s="5" t="s">
        <v>9020</v>
      </c>
      <c r="E6848" s="5" t="s">
        <v>43871</v>
      </c>
      <c r="F6848" s="5" t="s">
        <v>37</v>
      </c>
      <c r="G6848" s="5" t="s">
        <v>43872</v>
      </c>
      <c r="H6848" s="6" t="s">
        <v>43873</v>
      </c>
      <c r="K6848" s="5" t="s">
        <v>43868</v>
      </c>
    </row>
    <row r="6849">
      <c r="A6849" s="4">
        <v>45534.37418690972</v>
      </c>
      <c r="B6849" s="5" t="s">
        <v>34</v>
      </c>
      <c r="D6849" s="5" t="s">
        <v>2903</v>
      </c>
      <c r="E6849" s="5" t="s">
        <v>43876</v>
      </c>
      <c r="F6849" s="5" t="s">
        <v>375</v>
      </c>
      <c r="G6849" s="5" t="s">
        <v>43877</v>
      </c>
      <c r="H6849" s="6" t="s">
        <v>43878</v>
      </c>
      <c r="K6849" s="5" t="s">
        <v>43879</v>
      </c>
    </row>
    <row r="6850">
      <c r="A6850" s="4">
        <v>45534.374186608795</v>
      </c>
      <c r="B6850" s="5" t="s">
        <v>34</v>
      </c>
      <c r="D6850" s="5" t="s">
        <v>9020</v>
      </c>
      <c r="E6850" s="5" t="s">
        <v>43882</v>
      </c>
      <c r="F6850" s="5" t="s">
        <v>375</v>
      </c>
      <c r="G6850" s="5" t="s">
        <v>43883</v>
      </c>
      <c r="H6850" s="6" t="s">
        <v>43884</v>
      </c>
      <c r="K6850" s="5" t="s">
        <v>43885</v>
      </c>
    </row>
    <row r="6851">
      <c r="A6851" s="4">
        <v>45534.374193298616</v>
      </c>
      <c r="B6851" s="5" t="s">
        <v>34</v>
      </c>
      <c r="D6851" s="5" t="s">
        <v>9020</v>
      </c>
      <c r="E6851" s="5" t="s">
        <v>43888</v>
      </c>
      <c r="F6851" s="5" t="s">
        <v>524</v>
      </c>
      <c r="G6851" s="5" t="s">
        <v>43889</v>
      </c>
      <c r="H6851" s="6" t="s">
        <v>43890</v>
      </c>
      <c r="K6851" s="5" t="s">
        <v>43885</v>
      </c>
    </row>
    <row r="6852">
      <c r="A6852" s="4">
        <v>45534.37419737269</v>
      </c>
      <c r="B6852" s="5" t="s">
        <v>19</v>
      </c>
      <c r="C6852" s="5" t="s">
        <v>292</v>
      </c>
      <c r="E6852" s="5" t="s">
        <v>43894</v>
      </c>
      <c r="F6852" s="5" t="s">
        <v>72</v>
      </c>
      <c r="G6852" s="5" t="s">
        <v>43895</v>
      </c>
      <c r="H6852" s="6" t="s">
        <v>43896</v>
      </c>
      <c r="K6852" s="5" t="s">
        <v>43885</v>
      </c>
    </row>
    <row r="6853">
      <c r="A6853" s="4">
        <v>45534.37423858796</v>
      </c>
      <c r="B6853" s="5" t="s">
        <v>19</v>
      </c>
      <c r="C6853" s="5" t="s">
        <v>292</v>
      </c>
      <c r="E6853" s="5" t="s">
        <v>43899</v>
      </c>
      <c r="F6853" s="5" t="s">
        <v>37</v>
      </c>
      <c r="G6853" s="5" t="s">
        <v>43900</v>
      </c>
      <c r="H6853" s="6" t="s">
        <v>43901</v>
      </c>
      <c r="K6853" s="5" t="s">
        <v>43902</v>
      </c>
    </row>
    <row r="6854">
      <c r="A6854" s="4">
        <v>45534.374247685184</v>
      </c>
      <c r="B6854" s="5" t="s">
        <v>19</v>
      </c>
      <c r="C6854" s="5" t="s">
        <v>40230</v>
      </c>
      <c r="E6854" s="5" t="s">
        <v>43905</v>
      </c>
      <c r="F6854" s="5" t="s">
        <v>375</v>
      </c>
      <c r="G6854" s="5" t="s">
        <v>43906</v>
      </c>
      <c r="H6854" s="6" t="s">
        <v>43907</v>
      </c>
      <c r="K6854" s="5" t="s">
        <v>43902</v>
      </c>
    </row>
    <row r="6855">
      <c r="A6855" s="4">
        <v>45534.37425418981</v>
      </c>
      <c r="B6855" s="5" t="s">
        <v>34</v>
      </c>
      <c r="D6855" s="5" t="s">
        <v>1206</v>
      </c>
      <c r="E6855" s="5" t="s">
        <v>43911</v>
      </c>
      <c r="F6855" s="5" t="s">
        <v>37</v>
      </c>
      <c r="G6855" s="5" t="s">
        <v>43912</v>
      </c>
      <c r="H6855" s="6" t="s">
        <v>43913</v>
      </c>
      <c r="K6855" s="5" t="s">
        <v>43902</v>
      </c>
    </row>
    <row r="6856">
      <c r="A6856" s="4">
        <v>45534.37425710648</v>
      </c>
      <c r="B6856" s="5" t="s">
        <v>19</v>
      </c>
      <c r="C6856" s="5" t="s">
        <v>26187</v>
      </c>
      <c r="E6856" s="5" t="s">
        <v>36540</v>
      </c>
      <c r="F6856" s="5" t="s">
        <v>37</v>
      </c>
      <c r="G6856" s="5" t="s">
        <v>43916</v>
      </c>
      <c r="H6856" s="6" t="s">
        <v>43917</v>
      </c>
      <c r="K6856" s="5" t="s">
        <v>43902</v>
      </c>
    </row>
    <row r="6857">
      <c r="A6857" s="4">
        <v>45534.374259131946</v>
      </c>
      <c r="B6857" s="5" t="s">
        <v>34</v>
      </c>
      <c r="D6857" s="5" t="s">
        <v>1206</v>
      </c>
      <c r="E6857" s="5" t="s">
        <v>43920</v>
      </c>
      <c r="F6857" s="5" t="s">
        <v>212</v>
      </c>
      <c r="G6857" s="5" t="s">
        <v>43921</v>
      </c>
      <c r="H6857" s="6" t="s">
        <v>43922</v>
      </c>
      <c r="K6857" s="5" t="s">
        <v>43902</v>
      </c>
    </row>
    <row r="6858">
      <c r="A6858" s="4">
        <v>45534.37427219907</v>
      </c>
      <c r="B6858" s="5" t="s">
        <v>34</v>
      </c>
      <c r="D6858" s="5" t="s">
        <v>1206</v>
      </c>
      <c r="E6858" s="5" t="s">
        <v>43925</v>
      </c>
      <c r="F6858" s="5" t="s">
        <v>212</v>
      </c>
      <c r="G6858" s="5" t="s">
        <v>43926</v>
      </c>
      <c r="H6858" s="6" t="s">
        <v>43927</v>
      </c>
      <c r="K6858" s="5" t="s">
        <v>43928</v>
      </c>
    </row>
    <row r="6859">
      <c r="A6859" s="4">
        <v>45534.37427539352</v>
      </c>
      <c r="B6859" s="5" t="s">
        <v>34</v>
      </c>
      <c r="D6859" s="5" t="s">
        <v>1692</v>
      </c>
      <c r="E6859" s="5" t="s">
        <v>43932</v>
      </c>
      <c r="F6859" s="5" t="s">
        <v>72</v>
      </c>
      <c r="G6859" s="5" t="s">
        <v>43933</v>
      </c>
      <c r="H6859" s="6" t="s">
        <v>43934</v>
      </c>
      <c r="K6859" s="5" t="s">
        <v>43928</v>
      </c>
    </row>
    <row r="6860">
      <c r="A6860" s="4">
        <v>45534.37427746528</v>
      </c>
      <c r="B6860" s="5" t="s">
        <v>34</v>
      </c>
      <c r="D6860" s="5" t="s">
        <v>522</v>
      </c>
      <c r="E6860" s="5" t="s">
        <v>43937</v>
      </c>
      <c r="F6860" s="5" t="s">
        <v>212</v>
      </c>
      <c r="G6860" s="5" t="s">
        <v>43938</v>
      </c>
      <c r="H6860" s="6" t="s">
        <v>43939</v>
      </c>
      <c r="K6860" s="5" t="s">
        <v>43928</v>
      </c>
    </row>
    <row r="6861">
      <c r="A6861" s="4">
        <v>45534.374284537036</v>
      </c>
      <c r="B6861" s="5" t="s">
        <v>34</v>
      </c>
      <c r="D6861" s="5" t="s">
        <v>12978</v>
      </c>
      <c r="E6861" s="5" t="s">
        <v>43942</v>
      </c>
      <c r="F6861" s="5" t="s">
        <v>212</v>
      </c>
      <c r="G6861" s="5" t="s">
        <v>43943</v>
      </c>
      <c r="H6861" s="6" t="s">
        <v>43944</v>
      </c>
      <c r="K6861" s="5" t="s">
        <v>43928</v>
      </c>
    </row>
    <row r="6862">
      <c r="A6862" s="4">
        <v>45534.37431787037</v>
      </c>
      <c r="B6862" s="5" t="s">
        <v>34</v>
      </c>
      <c r="D6862" s="5" t="s">
        <v>9020</v>
      </c>
      <c r="E6862" s="5" t="s">
        <v>43947</v>
      </c>
      <c r="F6862" s="5" t="s">
        <v>212</v>
      </c>
      <c r="G6862" s="5" t="s">
        <v>43948</v>
      </c>
      <c r="H6862" s="6" t="s">
        <v>43949</v>
      </c>
      <c r="K6862" s="5" t="s">
        <v>43950</v>
      </c>
    </row>
    <row r="6863">
      <c r="A6863" s="4">
        <v>45534.37432824074</v>
      </c>
      <c r="B6863" s="5" t="s">
        <v>34</v>
      </c>
      <c r="D6863" s="5" t="s">
        <v>6232</v>
      </c>
      <c r="E6863" s="5" t="s">
        <v>43954</v>
      </c>
      <c r="F6863" s="5" t="s">
        <v>37</v>
      </c>
      <c r="G6863" s="5" t="s">
        <v>43955</v>
      </c>
      <c r="H6863" s="6" t="s">
        <v>43956</v>
      </c>
      <c r="K6863" s="5" t="s">
        <v>43957</v>
      </c>
    </row>
    <row r="6864">
      <c r="A6864" s="4">
        <v>45534.374342372685</v>
      </c>
      <c r="B6864" s="5" t="s">
        <v>34</v>
      </c>
      <c r="D6864" s="5" t="s">
        <v>701</v>
      </c>
      <c r="E6864" s="5" t="s">
        <v>43960</v>
      </c>
      <c r="F6864" s="5" t="s">
        <v>524</v>
      </c>
      <c r="G6864" s="5" t="s">
        <v>43961</v>
      </c>
      <c r="H6864" s="6" t="s">
        <v>43962</v>
      </c>
      <c r="K6864" s="5" t="s">
        <v>43957</v>
      </c>
    </row>
    <row r="6865">
      <c r="A6865" s="4">
        <v>45534.37435236111</v>
      </c>
      <c r="B6865" s="5" t="s">
        <v>34</v>
      </c>
      <c r="D6865" s="5" t="s">
        <v>1558</v>
      </c>
      <c r="E6865" s="5" t="s">
        <v>43965</v>
      </c>
      <c r="F6865" s="5" t="s">
        <v>37</v>
      </c>
      <c r="G6865" s="5" t="s">
        <v>43966</v>
      </c>
      <c r="H6865" s="6" t="s">
        <v>43967</v>
      </c>
      <c r="K6865" s="5" t="s">
        <v>43968</v>
      </c>
    </row>
    <row r="6866">
      <c r="A6866" s="4">
        <v>45534.37435559028</v>
      </c>
      <c r="B6866" s="5" t="s">
        <v>34</v>
      </c>
      <c r="D6866" s="5" t="s">
        <v>1206</v>
      </c>
      <c r="E6866" s="5" t="s">
        <v>43971</v>
      </c>
      <c r="F6866" s="5" t="s">
        <v>37</v>
      </c>
      <c r="G6866" s="5" t="s">
        <v>43972</v>
      </c>
      <c r="H6866" s="6" t="s">
        <v>43973</v>
      </c>
      <c r="K6866" s="5" t="s">
        <v>43968</v>
      </c>
    </row>
    <row r="6867">
      <c r="A6867" s="4">
        <v>45534.374369467594</v>
      </c>
      <c r="B6867" s="5" t="s">
        <v>19</v>
      </c>
      <c r="C6867" s="5" t="s">
        <v>3301</v>
      </c>
      <c r="E6867" s="5" t="s">
        <v>43977</v>
      </c>
      <c r="F6867" s="5" t="s">
        <v>108</v>
      </c>
      <c r="G6867" s="5" t="s">
        <v>43978</v>
      </c>
      <c r="H6867" s="6" t="s">
        <v>43979</v>
      </c>
      <c r="K6867" s="5" t="s">
        <v>43968</v>
      </c>
    </row>
    <row r="6868">
      <c r="A6868" s="4">
        <v>45534.3743953588</v>
      </c>
      <c r="B6868" s="5" t="s">
        <v>34</v>
      </c>
      <c r="D6868" s="5" t="s">
        <v>1206</v>
      </c>
      <c r="E6868" s="5" t="s">
        <v>43982</v>
      </c>
      <c r="F6868" s="5" t="s">
        <v>212</v>
      </c>
      <c r="G6868" s="5" t="s">
        <v>43983</v>
      </c>
      <c r="H6868" s="6" t="s">
        <v>43984</v>
      </c>
      <c r="K6868" s="5" t="s">
        <v>43985</v>
      </c>
    </row>
    <row r="6869">
      <c r="A6869" s="4">
        <v>45534.37439546296</v>
      </c>
      <c r="B6869" s="5" t="s">
        <v>34</v>
      </c>
      <c r="D6869" s="5" t="s">
        <v>1206</v>
      </c>
      <c r="E6869" s="5" t="s">
        <v>43988</v>
      </c>
      <c r="F6869" s="5" t="s">
        <v>212</v>
      </c>
      <c r="G6869" s="5" t="s">
        <v>43989</v>
      </c>
      <c r="H6869" s="6" t="s">
        <v>43990</v>
      </c>
      <c r="K6869" s="5" t="s">
        <v>43985</v>
      </c>
    </row>
    <row r="6870">
      <c r="A6870" s="4">
        <v>45534.37440155093</v>
      </c>
      <c r="B6870" s="5" t="s">
        <v>34</v>
      </c>
      <c r="D6870" s="5" t="s">
        <v>2903</v>
      </c>
      <c r="E6870" s="5" t="s">
        <v>43993</v>
      </c>
      <c r="F6870" s="5" t="s">
        <v>72</v>
      </c>
      <c r="G6870" s="5" t="s">
        <v>43994</v>
      </c>
      <c r="H6870" s="6" t="s">
        <v>43995</v>
      </c>
      <c r="K6870" s="5" t="s">
        <v>43985</v>
      </c>
    </row>
    <row r="6871">
      <c r="A6871" s="4">
        <v>45534.37441858796</v>
      </c>
      <c r="B6871" s="5" t="s">
        <v>34</v>
      </c>
      <c r="D6871" s="5" t="s">
        <v>35</v>
      </c>
      <c r="E6871" s="5" t="s">
        <v>43999</v>
      </c>
      <c r="F6871" s="5" t="s">
        <v>108</v>
      </c>
      <c r="G6871" s="5" t="s">
        <v>44000</v>
      </c>
      <c r="H6871" s="6" t="s">
        <v>44001</v>
      </c>
      <c r="K6871" s="5" t="s">
        <v>44002</v>
      </c>
    </row>
    <row r="6872">
      <c r="A6872" s="4">
        <v>45534.37442425926</v>
      </c>
      <c r="B6872" s="5" t="s">
        <v>34</v>
      </c>
      <c r="D6872" s="5" t="s">
        <v>9020</v>
      </c>
      <c r="E6872" s="5" t="s">
        <v>44006</v>
      </c>
      <c r="F6872" s="5" t="s">
        <v>375</v>
      </c>
      <c r="G6872" s="5" t="s">
        <v>44007</v>
      </c>
      <c r="H6872" s="6" t="s">
        <v>44008</v>
      </c>
      <c r="K6872" s="5" t="s">
        <v>44002</v>
      </c>
    </row>
    <row r="6873">
      <c r="A6873" s="4">
        <v>45534.37444994213</v>
      </c>
      <c r="B6873" s="5" t="s">
        <v>34</v>
      </c>
      <c r="D6873" s="5" t="s">
        <v>15401</v>
      </c>
      <c r="E6873" s="5" t="s">
        <v>44011</v>
      </c>
      <c r="F6873" s="5" t="s">
        <v>212</v>
      </c>
      <c r="G6873" s="5" t="s">
        <v>44012</v>
      </c>
      <c r="H6873" s="6" t="s">
        <v>44013</v>
      </c>
      <c r="K6873" s="5" t="s">
        <v>44002</v>
      </c>
    </row>
    <row r="6874">
      <c r="A6874" s="4">
        <v>45534.374455439814</v>
      </c>
      <c r="B6874" s="5" t="s">
        <v>34</v>
      </c>
      <c r="D6874" s="5" t="s">
        <v>701</v>
      </c>
      <c r="E6874" s="5" t="s">
        <v>44016</v>
      </c>
      <c r="F6874" s="5" t="s">
        <v>199</v>
      </c>
      <c r="G6874" s="5" t="s">
        <v>44017</v>
      </c>
      <c r="H6874" s="6" t="s">
        <v>44018</v>
      </c>
      <c r="K6874" s="5" t="s">
        <v>44019</v>
      </c>
    </row>
    <row r="6875">
      <c r="A6875" s="4">
        <v>45534.37446298611</v>
      </c>
      <c r="B6875" s="5" t="s">
        <v>34</v>
      </c>
      <c r="D6875" s="5" t="s">
        <v>7858</v>
      </c>
      <c r="E6875" s="5" t="s">
        <v>44022</v>
      </c>
      <c r="F6875" s="5" t="s">
        <v>212</v>
      </c>
      <c r="G6875" s="5" t="s">
        <v>44023</v>
      </c>
      <c r="H6875" s="6" t="s">
        <v>44024</v>
      </c>
      <c r="K6875" s="5" t="s">
        <v>44019</v>
      </c>
    </row>
    <row r="6876">
      <c r="A6876" s="4">
        <v>45534.37447313657</v>
      </c>
      <c r="B6876" s="5" t="s">
        <v>34</v>
      </c>
      <c r="D6876" s="5" t="s">
        <v>2903</v>
      </c>
      <c r="E6876" s="5" t="s">
        <v>44028</v>
      </c>
      <c r="F6876" s="5" t="s">
        <v>375</v>
      </c>
      <c r="G6876" s="5" t="s">
        <v>44029</v>
      </c>
      <c r="H6876" s="6" t="s">
        <v>44030</v>
      </c>
      <c r="K6876" s="5" t="s">
        <v>44019</v>
      </c>
    </row>
    <row r="6877">
      <c r="A6877" s="4">
        <v>45534.37448304398</v>
      </c>
      <c r="B6877" s="5" t="s">
        <v>34</v>
      </c>
      <c r="D6877" s="5" t="s">
        <v>1206</v>
      </c>
      <c r="E6877" s="5" t="s">
        <v>44033</v>
      </c>
      <c r="F6877" s="5" t="s">
        <v>212</v>
      </c>
      <c r="G6877" s="5" t="s">
        <v>44034</v>
      </c>
      <c r="H6877" s="6" t="s">
        <v>44035</v>
      </c>
      <c r="K6877" s="5" t="s">
        <v>44036</v>
      </c>
    </row>
    <row r="6878">
      <c r="A6878" s="4">
        <v>45534.37449434028</v>
      </c>
      <c r="B6878" s="5" t="s">
        <v>34</v>
      </c>
      <c r="D6878" s="5" t="s">
        <v>701</v>
      </c>
      <c r="E6878" s="5" t="s">
        <v>44039</v>
      </c>
      <c r="F6878" s="5" t="s">
        <v>212</v>
      </c>
      <c r="G6878" s="5" t="s">
        <v>44040</v>
      </c>
      <c r="H6878" s="6" t="s">
        <v>44041</v>
      </c>
      <c r="K6878" s="5" t="s">
        <v>44042</v>
      </c>
    </row>
    <row r="6879">
      <c r="A6879" s="4">
        <v>45534.37449699074</v>
      </c>
      <c r="B6879" s="5" t="s">
        <v>34</v>
      </c>
      <c r="D6879" s="5" t="s">
        <v>267</v>
      </c>
      <c r="E6879" s="5" t="s">
        <v>44045</v>
      </c>
      <c r="F6879" s="5" t="s">
        <v>212</v>
      </c>
      <c r="G6879" s="5" t="s">
        <v>44046</v>
      </c>
      <c r="H6879" s="6" t="s">
        <v>44047</v>
      </c>
      <c r="K6879" s="5" t="s">
        <v>44042</v>
      </c>
    </row>
    <row r="6880">
      <c r="A6880" s="4">
        <v>45534.37452385417</v>
      </c>
      <c r="B6880" s="5" t="s">
        <v>34</v>
      </c>
      <c r="D6880" s="5" t="s">
        <v>9020</v>
      </c>
      <c r="E6880" s="5" t="s">
        <v>44051</v>
      </c>
      <c r="F6880" s="5" t="s">
        <v>212</v>
      </c>
      <c r="G6880" s="5" t="s">
        <v>44052</v>
      </c>
      <c r="H6880" s="6" t="s">
        <v>44053</v>
      </c>
      <c r="K6880" s="5" t="s">
        <v>44054</v>
      </c>
    </row>
    <row r="6881">
      <c r="A6881" s="4">
        <v>45534.37455471065</v>
      </c>
      <c r="B6881" s="5" t="s">
        <v>34</v>
      </c>
      <c r="D6881" s="5" t="s">
        <v>12978</v>
      </c>
      <c r="E6881" s="5" t="s">
        <v>41623</v>
      </c>
      <c r="F6881" s="5" t="s">
        <v>37</v>
      </c>
      <c r="G6881" s="5" t="s">
        <v>44057</v>
      </c>
      <c r="H6881" s="6" t="s">
        <v>44058</v>
      </c>
      <c r="K6881" s="5" t="s">
        <v>44054</v>
      </c>
    </row>
    <row r="6882">
      <c r="A6882" s="4">
        <v>45534.37455487269</v>
      </c>
      <c r="B6882" s="5" t="s">
        <v>34</v>
      </c>
      <c r="D6882" s="5" t="s">
        <v>1558</v>
      </c>
      <c r="E6882" s="5" t="s">
        <v>44061</v>
      </c>
      <c r="F6882" s="5" t="s">
        <v>72</v>
      </c>
      <c r="G6882" s="5" t="s">
        <v>44062</v>
      </c>
      <c r="H6882" s="6" t="s">
        <v>44063</v>
      </c>
      <c r="K6882" s="5" t="s">
        <v>44054</v>
      </c>
    </row>
    <row r="6883">
      <c r="A6883" s="4">
        <v>45534.374576030095</v>
      </c>
      <c r="B6883" s="5" t="s">
        <v>34</v>
      </c>
      <c r="D6883" s="5" t="s">
        <v>9020</v>
      </c>
      <c r="E6883" s="5" t="s">
        <v>44066</v>
      </c>
      <c r="F6883" s="5" t="s">
        <v>212</v>
      </c>
      <c r="G6883" s="5" t="s">
        <v>44067</v>
      </c>
      <c r="H6883" s="6" t="s">
        <v>44068</v>
      </c>
      <c r="K6883" s="5" t="s">
        <v>44069</v>
      </c>
    </row>
    <row r="6884">
      <c r="A6884" s="4">
        <v>45534.37458819445</v>
      </c>
      <c r="B6884" s="5" t="s">
        <v>34</v>
      </c>
      <c r="D6884" s="5" t="s">
        <v>267</v>
      </c>
      <c r="E6884" s="5" t="s">
        <v>44073</v>
      </c>
      <c r="F6884" s="5" t="s">
        <v>108</v>
      </c>
      <c r="G6884" s="5" t="s">
        <v>44074</v>
      </c>
      <c r="H6884" s="6" t="s">
        <v>44075</v>
      </c>
      <c r="K6884" s="5" t="s">
        <v>44069</v>
      </c>
    </row>
    <row r="6885">
      <c r="A6885" s="4">
        <v>45534.37459224537</v>
      </c>
      <c r="B6885" s="5" t="s">
        <v>34</v>
      </c>
      <c r="D6885" s="5" t="s">
        <v>35</v>
      </c>
      <c r="E6885" s="5" t="s">
        <v>44078</v>
      </c>
      <c r="F6885" s="5" t="s">
        <v>120</v>
      </c>
      <c r="G6885" s="5" t="s">
        <v>44079</v>
      </c>
      <c r="H6885" s="6" t="s">
        <v>44080</v>
      </c>
      <c r="K6885" s="5" t="s">
        <v>44069</v>
      </c>
    </row>
    <row r="6886">
      <c r="A6886" s="4">
        <v>45534.3745974537</v>
      </c>
      <c r="B6886" s="5" t="s">
        <v>34</v>
      </c>
      <c r="D6886" s="5" t="s">
        <v>1206</v>
      </c>
      <c r="E6886" s="5" t="s">
        <v>44083</v>
      </c>
      <c r="F6886" s="5" t="s">
        <v>328</v>
      </c>
      <c r="G6886" s="5" t="s">
        <v>44084</v>
      </c>
      <c r="H6886" s="6" t="s">
        <v>44085</v>
      </c>
      <c r="K6886" s="5" t="s">
        <v>44069</v>
      </c>
    </row>
    <row r="6887">
      <c r="A6887" s="4">
        <v>45534.37460658565</v>
      </c>
      <c r="B6887" s="5" t="s">
        <v>34</v>
      </c>
      <c r="D6887" s="5" t="s">
        <v>15401</v>
      </c>
      <c r="E6887" s="5" t="s">
        <v>44088</v>
      </c>
      <c r="F6887" s="5" t="s">
        <v>37</v>
      </c>
      <c r="G6887" s="5" t="s">
        <v>44089</v>
      </c>
      <c r="H6887" s="6" t="s">
        <v>44090</v>
      </c>
      <c r="K6887" s="5" t="s">
        <v>44069</v>
      </c>
    </row>
    <row r="6888">
      <c r="A6888" s="4">
        <v>45534.37461344908</v>
      </c>
      <c r="B6888" s="5" t="s">
        <v>34</v>
      </c>
      <c r="D6888" s="5" t="s">
        <v>2903</v>
      </c>
      <c r="E6888" s="5" t="s">
        <v>44093</v>
      </c>
      <c r="F6888" s="5" t="s">
        <v>524</v>
      </c>
      <c r="G6888" s="5" t="s">
        <v>44094</v>
      </c>
      <c r="H6888" s="6" t="s">
        <v>44095</v>
      </c>
      <c r="K6888" s="5" t="s">
        <v>44096</v>
      </c>
    </row>
    <row r="6889">
      <c r="A6889" s="4">
        <v>45534.374619421294</v>
      </c>
      <c r="B6889" s="5" t="s">
        <v>34</v>
      </c>
      <c r="D6889" s="5" t="s">
        <v>701</v>
      </c>
      <c r="E6889" s="5" t="s">
        <v>44099</v>
      </c>
      <c r="F6889" s="5" t="s">
        <v>524</v>
      </c>
      <c r="G6889" s="5" t="s">
        <v>44100</v>
      </c>
      <c r="H6889" s="6" t="s">
        <v>44101</v>
      </c>
      <c r="K6889" s="5" t="s">
        <v>44096</v>
      </c>
    </row>
    <row r="6890">
      <c r="A6890" s="4">
        <v>45534.3746249074</v>
      </c>
      <c r="B6890" s="5" t="s">
        <v>34</v>
      </c>
      <c r="D6890" s="5" t="s">
        <v>14313</v>
      </c>
      <c r="E6890" s="5" t="s">
        <v>44104</v>
      </c>
      <c r="F6890" s="5" t="s">
        <v>72</v>
      </c>
      <c r="G6890" s="5" t="s">
        <v>44105</v>
      </c>
      <c r="H6890" s="6" t="s">
        <v>44106</v>
      </c>
      <c r="K6890" s="5" t="s">
        <v>44096</v>
      </c>
    </row>
    <row r="6891">
      <c r="A6891" s="4">
        <v>45534.374628680554</v>
      </c>
      <c r="B6891" s="5" t="s">
        <v>34</v>
      </c>
      <c r="D6891" s="5" t="s">
        <v>4775</v>
      </c>
      <c r="E6891" s="5" t="s">
        <v>44109</v>
      </c>
      <c r="F6891" s="5" t="s">
        <v>37</v>
      </c>
      <c r="G6891" s="5" t="s">
        <v>44110</v>
      </c>
      <c r="H6891" s="6" t="s">
        <v>44111</v>
      </c>
      <c r="K6891" s="5" t="s">
        <v>44096</v>
      </c>
    </row>
    <row r="6892">
      <c r="A6892" s="4">
        <v>45534.37463815972</v>
      </c>
      <c r="B6892" s="5" t="s">
        <v>34</v>
      </c>
      <c r="D6892" s="5" t="s">
        <v>9020</v>
      </c>
      <c r="E6892" s="5" t="s">
        <v>44115</v>
      </c>
      <c r="F6892" s="5" t="s">
        <v>715</v>
      </c>
      <c r="G6892" s="5" t="s">
        <v>44116</v>
      </c>
      <c r="H6892" s="6" t="s">
        <v>44117</v>
      </c>
      <c r="K6892" s="5" t="s">
        <v>44118</v>
      </c>
    </row>
    <row r="6893">
      <c r="A6893" s="4">
        <v>45534.374648171295</v>
      </c>
      <c r="B6893" s="5" t="s">
        <v>34</v>
      </c>
      <c r="D6893" s="5" t="s">
        <v>1558</v>
      </c>
      <c r="E6893" s="5" t="s">
        <v>44121</v>
      </c>
      <c r="F6893" s="5" t="s">
        <v>108</v>
      </c>
      <c r="G6893" s="5" t="s">
        <v>44122</v>
      </c>
      <c r="H6893" s="6" t="s">
        <v>44123</v>
      </c>
      <c r="K6893" s="5" t="s">
        <v>44118</v>
      </c>
    </row>
    <row r="6894">
      <c r="A6894" s="4">
        <v>45534.37465017361</v>
      </c>
      <c r="B6894" s="5" t="s">
        <v>34</v>
      </c>
      <c r="D6894" s="5" t="s">
        <v>9394</v>
      </c>
      <c r="E6894" s="7" t="s">
        <v>44126</v>
      </c>
      <c r="F6894" s="5" t="s">
        <v>715</v>
      </c>
      <c r="G6894" s="5" t="s">
        <v>44127</v>
      </c>
      <c r="H6894" s="6" t="s">
        <v>44128</v>
      </c>
      <c r="K6894" s="5" t="s">
        <v>44118</v>
      </c>
    </row>
    <row r="6895">
      <c r="A6895" s="4">
        <v>45534.374689097225</v>
      </c>
      <c r="B6895" s="5" t="s">
        <v>34</v>
      </c>
      <c r="D6895" s="5" t="s">
        <v>1558</v>
      </c>
      <c r="E6895" s="5" t="s">
        <v>44131</v>
      </c>
      <c r="F6895" s="5" t="s">
        <v>37</v>
      </c>
      <c r="G6895" s="5" t="s">
        <v>44132</v>
      </c>
      <c r="H6895" s="6" t="s">
        <v>44133</v>
      </c>
      <c r="K6895" s="5" t="s">
        <v>44134</v>
      </c>
    </row>
    <row r="6896">
      <c r="A6896" s="4">
        <v>45534.37469038194</v>
      </c>
      <c r="B6896" s="5" t="s">
        <v>34</v>
      </c>
      <c r="D6896" s="5" t="s">
        <v>4775</v>
      </c>
      <c r="E6896" s="5" t="s">
        <v>44137</v>
      </c>
      <c r="F6896" s="5" t="s">
        <v>212</v>
      </c>
      <c r="G6896" s="5" t="s">
        <v>44138</v>
      </c>
      <c r="H6896" s="6" t="s">
        <v>44139</v>
      </c>
      <c r="K6896" s="5" t="s">
        <v>44134</v>
      </c>
    </row>
    <row r="6897">
      <c r="A6897" s="4">
        <v>45534.374691770834</v>
      </c>
      <c r="B6897" s="5" t="s">
        <v>34</v>
      </c>
      <c r="D6897" s="5" t="s">
        <v>267</v>
      </c>
      <c r="E6897" s="5" t="s">
        <v>44143</v>
      </c>
      <c r="F6897" s="5" t="s">
        <v>72</v>
      </c>
      <c r="G6897" s="5" t="s">
        <v>44144</v>
      </c>
      <c r="H6897" s="6" t="s">
        <v>44145</v>
      </c>
      <c r="K6897" s="5" t="s">
        <v>44134</v>
      </c>
    </row>
    <row r="6898">
      <c r="A6898" s="4">
        <v>45534.374692418976</v>
      </c>
      <c r="B6898" s="5" t="s">
        <v>34</v>
      </c>
      <c r="D6898" s="5" t="s">
        <v>1206</v>
      </c>
      <c r="E6898" s="5" t="s">
        <v>44148</v>
      </c>
      <c r="F6898" s="5" t="s">
        <v>212</v>
      </c>
      <c r="G6898" s="5" t="s">
        <v>44149</v>
      </c>
      <c r="H6898" s="6" t="s">
        <v>44150</v>
      </c>
      <c r="K6898" s="5" t="s">
        <v>44134</v>
      </c>
    </row>
    <row r="6899">
      <c r="A6899" s="4">
        <v>45534.374697175925</v>
      </c>
      <c r="B6899" s="5" t="s">
        <v>34</v>
      </c>
      <c r="D6899" s="5" t="s">
        <v>15401</v>
      </c>
      <c r="E6899" s="5" t="s">
        <v>44154</v>
      </c>
      <c r="F6899" s="5" t="s">
        <v>37</v>
      </c>
      <c r="G6899" s="5" t="s">
        <v>44155</v>
      </c>
      <c r="H6899" s="6" t="s">
        <v>44156</v>
      </c>
      <c r="K6899" s="5" t="s">
        <v>44134</v>
      </c>
    </row>
    <row r="6900">
      <c r="A6900" s="4">
        <v>45534.37473016204</v>
      </c>
      <c r="B6900" s="5" t="s">
        <v>34</v>
      </c>
      <c r="D6900" s="5" t="s">
        <v>1558</v>
      </c>
      <c r="E6900" s="5" t="s">
        <v>44159</v>
      </c>
      <c r="F6900" s="5" t="s">
        <v>212</v>
      </c>
      <c r="G6900" s="5" t="s">
        <v>44160</v>
      </c>
      <c r="H6900" s="6" t="s">
        <v>44161</v>
      </c>
      <c r="K6900" s="5" t="s">
        <v>44162</v>
      </c>
    </row>
    <row r="6901">
      <c r="A6901" s="4">
        <v>45534.37475425926</v>
      </c>
      <c r="B6901" s="5" t="s">
        <v>34</v>
      </c>
      <c r="D6901" s="5" t="s">
        <v>12978</v>
      </c>
      <c r="E6901" s="5" t="s">
        <v>44165</v>
      </c>
      <c r="F6901" s="5" t="s">
        <v>375</v>
      </c>
      <c r="G6901" s="5" t="s">
        <v>44166</v>
      </c>
      <c r="H6901" s="6" t="s">
        <v>44167</v>
      </c>
      <c r="K6901" s="5" t="s">
        <v>44168</v>
      </c>
    </row>
    <row r="6902">
      <c r="A6902" s="4">
        <v>45534.374786388886</v>
      </c>
      <c r="B6902" s="5" t="s">
        <v>34</v>
      </c>
      <c r="D6902" s="5" t="s">
        <v>4775</v>
      </c>
      <c r="E6902" s="5" t="s">
        <v>17186</v>
      </c>
      <c r="F6902" s="5" t="s">
        <v>375</v>
      </c>
      <c r="G6902" s="5" t="s">
        <v>44171</v>
      </c>
      <c r="H6902" s="6" t="s">
        <v>44172</v>
      </c>
      <c r="K6902" s="5" t="s">
        <v>44173</v>
      </c>
    </row>
    <row r="6903">
      <c r="A6903" s="4">
        <v>45534.37478774306</v>
      </c>
      <c r="B6903" s="5" t="s">
        <v>34</v>
      </c>
      <c r="D6903" s="5" t="s">
        <v>14313</v>
      </c>
      <c r="E6903" s="5" t="s">
        <v>44176</v>
      </c>
      <c r="F6903" s="5" t="s">
        <v>72</v>
      </c>
      <c r="G6903" s="5" t="s">
        <v>44177</v>
      </c>
      <c r="H6903" s="6" t="s">
        <v>44178</v>
      </c>
      <c r="K6903" s="5" t="s">
        <v>44173</v>
      </c>
    </row>
    <row r="6904">
      <c r="A6904" s="4">
        <v>45534.37479417824</v>
      </c>
      <c r="B6904" s="5" t="s">
        <v>34</v>
      </c>
      <c r="D6904" s="5" t="s">
        <v>1206</v>
      </c>
      <c r="E6904" s="5" t="s">
        <v>44182</v>
      </c>
      <c r="F6904" s="5" t="s">
        <v>37</v>
      </c>
      <c r="G6904" s="5" t="s">
        <v>44183</v>
      </c>
      <c r="H6904" s="6" t="s">
        <v>44184</v>
      </c>
      <c r="K6904" s="5" t="s">
        <v>44173</v>
      </c>
    </row>
    <row r="6905">
      <c r="A6905" s="4">
        <v>45534.37480422454</v>
      </c>
      <c r="B6905" s="5" t="s">
        <v>34</v>
      </c>
      <c r="D6905" s="5" t="s">
        <v>4775</v>
      </c>
      <c r="E6905" s="5" t="s">
        <v>44187</v>
      </c>
      <c r="F6905" s="5" t="s">
        <v>212</v>
      </c>
      <c r="G6905" s="5" t="s">
        <v>44188</v>
      </c>
      <c r="H6905" s="6" t="s">
        <v>44189</v>
      </c>
      <c r="K6905" s="5" t="s">
        <v>44173</v>
      </c>
    </row>
    <row r="6906">
      <c r="A6906" s="4">
        <v>45534.37481601852</v>
      </c>
      <c r="B6906" s="5" t="s">
        <v>34</v>
      </c>
      <c r="D6906" s="5" t="s">
        <v>1558</v>
      </c>
      <c r="E6906" s="5" t="s">
        <v>44192</v>
      </c>
      <c r="F6906" s="5" t="s">
        <v>72</v>
      </c>
      <c r="G6906" s="5" t="s">
        <v>44193</v>
      </c>
      <c r="H6906" s="6" t="s">
        <v>44194</v>
      </c>
      <c r="K6906" s="5" t="s">
        <v>44173</v>
      </c>
    </row>
    <row r="6907">
      <c r="A6907" s="4">
        <v>45534.37481841435</v>
      </c>
      <c r="B6907" s="5" t="s">
        <v>34</v>
      </c>
      <c r="D6907" s="5" t="s">
        <v>4775</v>
      </c>
      <c r="E6907" s="5" t="s">
        <v>44197</v>
      </c>
      <c r="F6907" s="5" t="s">
        <v>212</v>
      </c>
      <c r="G6907" s="5" t="s">
        <v>44198</v>
      </c>
      <c r="H6907" s="6" t="s">
        <v>44199</v>
      </c>
      <c r="K6907" s="5" t="s">
        <v>44200</v>
      </c>
    </row>
    <row r="6908">
      <c r="A6908" s="4">
        <v>45534.374835497685</v>
      </c>
      <c r="B6908" s="5" t="s">
        <v>34</v>
      </c>
      <c r="D6908" s="5" t="s">
        <v>4775</v>
      </c>
      <c r="E6908" s="5" t="s">
        <v>44204</v>
      </c>
      <c r="F6908" s="5" t="s">
        <v>37</v>
      </c>
      <c r="G6908" s="5" t="s">
        <v>44205</v>
      </c>
      <c r="H6908" s="6" t="s">
        <v>44206</v>
      </c>
      <c r="K6908" s="5" t="s">
        <v>44200</v>
      </c>
    </row>
    <row r="6909">
      <c r="A6909" s="4">
        <v>45534.374841122684</v>
      </c>
      <c r="B6909" s="5" t="s">
        <v>34</v>
      </c>
      <c r="D6909" s="5" t="s">
        <v>1558</v>
      </c>
      <c r="E6909" s="5" t="s">
        <v>44209</v>
      </c>
      <c r="F6909" s="5" t="s">
        <v>120</v>
      </c>
      <c r="G6909" s="5" t="s">
        <v>44210</v>
      </c>
      <c r="H6909" s="6" t="s">
        <v>44211</v>
      </c>
      <c r="K6909" s="5" t="s">
        <v>44200</v>
      </c>
    </row>
    <row r="6910">
      <c r="A6910" s="4">
        <v>45534.37486982639</v>
      </c>
      <c r="B6910" s="5" t="s">
        <v>34</v>
      </c>
      <c r="D6910" s="5" t="s">
        <v>4775</v>
      </c>
      <c r="E6910" s="5" t="s">
        <v>14925</v>
      </c>
      <c r="F6910" s="5" t="s">
        <v>375</v>
      </c>
      <c r="G6910" s="5" t="s">
        <v>44214</v>
      </c>
      <c r="H6910" s="6" t="s">
        <v>44215</v>
      </c>
      <c r="K6910" s="5" t="s">
        <v>44216</v>
      </c>
    </row>
    <row r="6911">
      <c r="A6911" s="4">
        <v>45534.37487377315</v>
      </c>
      <c r="B6911" s="5" t="s">
        <v>34</v>
      </c>
      <c r="D6911" s="5" t="s">
        <v>6232</v>
      </c>
      <c r="E6911" s="5" t="s">
        <v>44219</v>
      </c>
      <c r="F6911" s="5" t="s">
        <v>212</v>
      </c>
      <c r="G6911" s="5" t="s">
        <v>44220</v>
      </c>
      <c r="H6911" s="6" t="s">
        <v>44221</v>
      </c>
      <c r="K6911" s="5" t="s">
        <v>44222</v>
      </c>
    </row>
    <row r="6912">
      <c r="A6912" s="4">
        <v>45534.37487591435</v>
      </c>
      <c r="B6912" s="5" t="s">
        <v>34</v>
      </c>
      <c r="D6912" s="5" t="s">
        <v>7858</v>
      </c>
      <c r="E6912" s="5" t="s">
        <v>44225</v>
      </c>
      <c r="F6912" s="5" t="s">
        <v>108</v>
      </c>
      <c r="G6912" s="5" t="s">
        <v>44226</v>
      </c>
      <c r="H6912" s="6" t="s">
        <v>44227</v>
      </c>
      <c r="K6912" s="5" t="s">
        <v>44222</v>
      </c>
    </row>
    <row r="6913">
      <c r="A6913" s="4">
        <v>45534.374887569444</v>
      </c>
      <c r="B6913" s="5" t="s">
        <v>34</v>
      </c>
      <c r="D6913" s="5" t="s">
        <v>267</v>
      </c>
      <c r="E6913" s="5" t="s">
        <v>44231</v>
      </c>
      <c r="F6913" s="5" t="s">
        <v>375</v>
      </c>
      <c r="G6913" s="5" t="s">
        <v>44232</v>
      </c>
      <c r="H6913" s="6" t="s">
        <v>44233</v>
      </c>
      <c r="K6913" s="5" t="s">
        <v>44234</v>
      </c>
    </row>
    <row r="6914">
      <c r="A6914" s="4">
        <v>45534.37490776621</v>
      </c>
      <c r="B6914" s="5" t="s">
        <v>34</v>
      </c>
      <c r="D6914" s="5" t="s">
        <v>12978</v>
      </c>
      <c r="E6914" s="5" t="s">
        <v>15217</v>
      </c>
      <c r="F6914" s="5" t="s">
        <v>108</v>
      </c>
      <c r="G6914" s="5" t="s">
        <v>44237</v>
      </c>
      <c r="H6914" s="6" t="s">
        <v>44238</v>
      </c>
      <c r="K6914" s="5" t="s">
        <v>44234</v>
      </c>
    </row>
    <row r="6915">
      <c r="A6915" s="4">
        <v>45534.374911747684</v>
      </c>
      <c r="B6915" s="5" t="s">
        <v>34</v>
      </c>
      <c r="D6915" s="5" t="s">
        <v>4775</v>
      </c>
      <c r="E6915" s="5" t="s">
        <v>16878</v>
      </c>
      <c r="F6915" s="5" t="s">
        <v>37</v>
      </c>
      <c r="G6915" s="5" t="s">
        <v>44241</v>
      </c>
      <c r="H6915" s="6" t="s">
        <v>44242</v>
      </c>
      <c r="K6915" s="5" t="s">
        <v>44234</v>
      </c>
    </row>
    <row r="6916">
      <c r="A6916" s="4">
        <v>45534.37492008102</v>
      </c>
      <c r="B6916" s="5" t="s">
        <v>34</v>
      </c>
      <c r="D6916" s="5" t="s">
        <v>1206</v>
      </c>
      <c r="E6916" s="5" t="s">
        <v>44245</v>
      </c>
      <c r="F6916" s="5" t="s">
        <v>375</v>
      </c>
      <c r="G6916" s="5" t="s">
        <v>44246</v>
      </c>
      <c r="H6916" s="6" t="s">
        <v>44247</v>
      </c>
      <c r="K6916" s="5" t="s">
        <v>44248</v>
      </c>
    </row>
    <row r="6917">
      <c r="A6917" s="4">
        <v>45534.37492350694</v>
      </c>
      <c r="B6917" s="5" t="s">
        <v>34</v>
      </c>
      <c r="D6917" s="5" t="s">
        <v>1206</v>
      </c>
      <c r="E6917" s="5" t="s">
        <v>44252</v>
      </c>
      <c r="F6917" s="5" t="s">
        <v>37</v>
      </c>
      <c r="G6917" s="5" t="s">
        <v>44253</v>
      </c>
      <c r="H6917" s="6" t="s">
        <v>44254</v>
      </c>
      <c r="K6917" s="5" t="s">
        <v>44248</v>
      </c>
    </row>
    <row r="6918">
      <c r="A6918" s="4">
        <v>45534.374950185185</v>
      </c>
      <c r="B6918" s="5" t="s">
        <v>19</v>
      </c>
      <c r="C6918" s="5" t="s">
        <v>5564</v>
      </c>
      <c r="E6918" s="5" t="s">
        <v>44257</v>
      </c>
      <c r="F6918" s="5" t="s">
        <v>72</v>
      </c>
      <c r="G6918" s="5" t="s">
        <v>44258</v>
      </c>
      <c r="H6918" s="6" t="s">
        <v>44259</v>
      </c>
      <c r="K6918" s="5" t="s">
        <v>44248</v>
      </c>
    </row>
    <row r="6919">
      <c r="A6919" s="4">
        <v>45534.37495135417</v>
      </c>
      <c r="B6919" s="5" t="s">
        <v>34</v>
      </c>
      <c r="D6919" s="5" t="s">
        <v>1206</v>
      </c>
      <c r="E6919" s="5" t="s">
        <v>44262</v>
      </c>
      <c r="F6919" s="5" t="s">
        <v>120</v>
      </c>
      <c r="G6919" s="5" t="s">
        <v>44263</v>
      </c>
      <c r="H6919" s="6" t="s">
        <v>44264</v>
      </c>
      <c r="K6919" s="5" t="s">
        <v>44248</v>
      </c>
    </row>
    <row r="6920">
      <c r="A6920" s="4">
        <v>45534.3749521412</v>
      </c>
      <c r="B6920" s="5" t="s">
        <v>34</v>
      </c>
      <c r="D6920" s="5" t="s">
        <v>701</v>
      </c>
      <c r="E6920" s="5" t="s">
        <v>44268</v>
      </c>
      <c r="F6920" s="5" t="s">
        <v>524</v>
      </c>
      <c r="G6920" s="5" t="s">
        <v>44269</v>
      </c>
      <c r="H6920" s="6" t="s">
        <v>44270</v>
      </c>
      <c r="K6920" s="5" t="s">
        <v>44248</v>
      </c>
    </row>
    <row r="6921">
      <c r="A6921" s="4">
        <v>45534.37495612269</v>
      </c>
      <c r="B6921" s="5" t="s">
        <v>34</v>
      </c>
      <c r="D6921" s="5" t="s">
        <v>267</v>
      </c>
      <c r="E6921" s="5" t="s">
        <v>38289</v>
      </c>
      <c r="F6921" s="5" t="s">
        <v>37</v>
      </c>
      <c r="G6921" s="5" t="s">
        <v>44273</v>
      </c>
      <c r="H6921" s="6" t="s">
        <v>44274</v>
      </c>
      <c r="K6921" s="5" t="s">
        <v>44248</v>
      </c>
    </row>
    <row r="6922">
      <c r="A6922" s="4">
        <v>45534.37496631945</v>
      </c>
      <c r="B6922" s="5" t="s">
        <v>34</v>
      </c>
      <c r="D6922" s="5" t="s">
        <v>12010</v>
      </c>
      <c r="E6922" s="5" t="s">
        <v>44277</v>
      </c>
      <c r="F6922" s="5" t="s">
        <v>524</v>
      </c>
      <c r="G6922" s="5" t="s">
        <v>44278</v>
      </c>
      <c r="H6922" s="6" t="s">
        <v>44279</v>
      </c>
      <c r="K6922" s="5" t="s">
        <v>44280</v>
      </c>
    </row>
    <row r="6923">
      <c r="A6923" s="4">
        <v>45534.374973680555</v>
      </c>
      <c r="B6923" s="5" t="s">
        <v>34</v>
      </c>
      <c r="D6923" s="5" t="s">
        <v>267</v>
      </c>
      <c r="E6923" s="5" t="s">
        <v>44283</v>
      </c>
      <c r="F6923" s="5" t="s">
        <v>375</v>
      </c>
      <c r="G6923" s="5" t="s">
        <v>44284</v>
      </c>
      <c r="H6923" s="6" t="s">
        <v>44285</v>
      </c>
      <c r="K6923" s="5" t="s">
        <v>44280</v>
      </c>
    </row>
    <row r="6924">
      <c r="A6924" s="4">
        <v>45534.374976736115</v>
      </c>
      <c r="B6924" s="5" t="s">
        <v>34</v>
      </c>
      <c r="D6924" s="5" t="s">
        <v>1206</v>
      </c>
      <c r="E6924" s="5" t="s">
        <v>44289</v>
      </c>
      <c r="F6924" s="5" t="s">
        <v>375</v>
      </c>
      <c r="G6924" s="5" t="s">
        <v>44290</v>
      </c>
      <c r="H6924" s="6" t="s">
        <v>44291</v>
      </c>
      <c r="K6924" s="5" t="s">
        <v>44280</v>
      </c>
    </row>
    <row r="6925">
      <c r="A6925" s="4">
        <v>45534.37498462963</v>
      </c>
      <c r="B6925" s="5" t="s">
        <v>34</v>
      </c>
      <c r="D6925" s="5" t="s">
        <v>1206</v>
      </c>
      <c r="E6925" s="5" t="s">
        <v>44294</v>
      </c>
      <c r="F6925" s="5" t="s">
        <v>37</v>
      </c>
      <c r="G6925" s="5" t="s">
        <v>44295</v>
      </c>
      <c r="H6925" s="6" t="s">
        <v>44296</v>
      </c>
      <c r="K6925" s="5" t="s">
        <v>44280</v>
      </c>
    </row>
    <row r="6926">
      <c r="A6926" s="4">
        <v>45534.37498576389</v>
      </c>
      <c r="B6926" s="5" t="s">
        <v>34</v>
      </c>
      <c r="D6926" s="5" t="s">
        <v>1206</v>
      </c>
      <c r="E6926" s="5" t="s">
        <v>44299</v>
      </c>
      <c r="F6926" s="5" t="s">
        <v>524</v>
      </c>
      <c r="G6926" s="5" t="s">
        <v>44300</v>
      </c>
      <c r="H6926" s="6" t="s">
        <v>44301</v>
      </c>
      <c r="K6926" s="5" t="s">
        <v>44280</v>
      </c>
    </row>
    <row r="6927">
      <c r="A6927" s="4">
        <v>45534.37498961805</v>
      </c>
      <c r="B6927" s="5" t="s">
        <v>34</v>
      </c>
      <c r="D6927" s="5" t="s">
        <v>996</v>
      </c>
      <c r="E6927" s="5" t="s">
        <v>44305</v>
      </c>
      <c r="F6927" s="5" t="s">
        <v>108</v>
      </c>
      <c r="G6927" s="5" t="s">
        <v>44306</v>
      </c>
      <c r="H6927" s="6" t="s">
        <v>44307</v>
      </c>
      <c r="K6927" s="5" t="s">
        <v>44308</v>
      </c>
    </row>
    <row r="6928">
      <c r="A6928" s="4">
        <v>45534.37501903935</v>
      </c>
      <c r="B6928" s="5" t="s">
        <v>34</v>
      </c>
      <c r="D6928" s="5" t="s">
        <v>15401</v>
      </c>
      <c r="E6928" s="5" t="s">
        <v>44311</v>
      </c>
      <c r="F6928" s="5" t="s">
        <v>72</v>
      </c>
      <c r="G6928" s="5" t="s">
        <v>44312</v>
      </c>
      <c r="H6928" s="6" t="s">
        <v>44313</v>
      </c>
      <c r="K6928" s="5" t="s">
        <v>44314</v>
      </c>
    </row>
    <row r="6929">
      <c r="A6929" s="4">
        <v>45534.37502607639</v>
      </c>
      <c r="B6929" s="5" t="s">
        <v>34</v>
      </c>
      <c r="D6929" s="5" t="s">
        <v>580</v>
      </c>
      <c r="E6929" s="5" t="s">
        <v>44317</v>
      </c>
      <c r="F6929" s="5" t="s">
        <v>108</v>
      </c>
      <c r="G6929" s="5" t="s">
        <v>44318</v>
      </c>
      <c r="H6929" s="6" t="s">
        <v>44319</v>
      </c>
      <c r="K6929" s="5" t="s">
        <v>44314</v>
      </c>
    </row>
    <row r="6930">
      <c r="A6930" s="4">
        <v>45534.37503715278</v>
      </c>
      <c r="B6930" s="5" t="s">
        <v>19</v>
      </c>
      <c r="C6930" s="5" t="s">
        <v>292</v>
      </c>
      <c r="E6930" s="5" t="s">
        <v>44323</v>
      </c>
      <c r="F6930" s="5" t="s">
        <v>72</v>
      </c>
      <c r="G6930" s="5" t="s">
        <v>44324</v>
      </c>
      <c r="H6930" s="6" t="s">
        <v>44325</v>
      </c>
      <c r="K6930" s="5" t="s">
        <v>44326</v>
      </c>
    </row>
    <row r="6931">
      <c r="A6931" s="4">
        <v>45534.375041631945</v>
      </c>
      <c r="B6931" s="5" t="s">
        <v>34</v>
      </c>
      <c r="D6931" s="5" t="s">
        <v>1558</v>
      </c>
      <c r="E6931" s="5" t="s">
        <v>44329</v>
      </c>
      <c r="F6931" s="5" t="s">
        <v>715</v>
      </c>
      <c r="G6931" s="5" t="s">
        <v>44330</v>
      </c>
      <c r="H6931" s="6" t="s">
        <v>44331</v>
      </c>
      <c r="K6931" s="5" t="s">
        <v>44326</v>
      </c>
    </row>
    <row r="6932">
      <c r="A6932" s="4">
        <v>45534.37506252315</v>
      </c>
      <c r="B6932" s="5" t="s">
        <v>34</v>
      </c>
      <c r="D6932" s="5" t="s">
        <v>12978</v>
      </c>
      <c r="E6932" s="5" t="s">
        <v>44334</v>
      </c>
      <c r="F6932" s="5" t="s">
        <v>212</v>
      </c>
      <c r="G6932" s="5" t="s">
        <v>44335</v>
      </c>
      <c r="H6932" s="6" t="s">
        <v>44336</v>
      </c>
      <c r="K6932" s="5" t="s">
        <v>44326</v>
      </c>
    </row>
    <row r="6933">
      <c r="A6933" s="4">
        <v>45534.37507559027</v>
      </c>
      <c r="B6933" s="5" t="s">
        <v>34</v>
      </c>
      <c r="D6933" s="5" t="s">
        <v>1206</v>
      </c>
      <c r="E6933" s="5" t="s">
        <v>44339</v>
      </c>
      <c r="F6933" s="5" t="s">
        <v>524</v>
      </c>
      <c r="G6933" s="5" t="s">
        <v>44340</v>
      </c>
      <c r="H6933" s="6" t="s">
        <v>44341</v>
      </c>
      <c r="K6933" s="5" t="s">
        <v>44326</v>
      </c>
    </row>
    <row r="6934">
      <c r="A6934" s="4">
        <v>45534.37509163194</v>
      </c>
      <c r="B6934" s="5" t="s">
        <v>34</v>
      </c>
      <c r="D6934" s="5" t="s">
        <v>9020</v>
      </c>
      <c r="E6934" s="5" t="s">
        <v>44345</v>
      </c>
      <c r="F6934" s="5" t="s">
        <v>5859</v>
      </c>
      <c r="G6934" s="5" t="s">
        <v>44346</v>
      </c>
      <c r="H6934" s="6" t="s">
        <v>44347</v>
      </c>
      <c r="K6934" s="5" t="s">
        <v>44326</v>
      </c>
    </row>
    <row r="6935">
      <c r="A6935" s="4">
        <v>45534.37510780092</v>
      </c>
      <c r="B6935" s="5" t="s">
        <v>34</v>
      </c>
      <c r="D6935" s="5" t="s">
        <v>701</v>
      </c>
      <c r="E6935" s="5" t="s">
        <v>44350</v>
      </c>
      <c r="F6935" s="5" t="s">
        <v>524</v>
      </c>
      <c r="G6935" s="5" t="s">
        <v>44351</v>
      </c>
      <c r="H6935" s="6" t="s">
        <v>44352</v>
      </c>
      <c r="K6935" s="5" t="s">
        <v>44353</v>
      </c>
    </row>
    <row r="6936">
      <c r="A6936" s="4">
        <v>45534.375111180554</v>
      </c>
      <c r="B6936" s="5" t="s">
        <v>34</v>
      </c>
      <c r="D6936" s="5" t="s">
        <v>9020</v>
      </c>
      <c r="E6936" s="5" t="s">
        <v>44356</v>
      </c>
      <c r="F6936" s="5" t="s">
        <v>108</v>
      </c>
      <c r="G6936" s="5" t="s">
        <v>44357</v>
      </c>
      <c r="H6936" s="6" t="s">
        <v>44358</v>
      </c>
      <c r="K6936" s="5" t="s">
        <v>44353</v>
      </c>
    </row>
    <row r="6937">
      <c r="A6937" s="4">
        <v>45534.37512525463</v>
      </c>
      <c r="B6937" s="5" t="s">
        <v>34</v>
      </c>
      <c r="D6937" s="5" t="s">
        <v>2903</v>
      </c>
      <c r="E6937" s="5" t="s">
        <v>44362</v>
      </c>
      <c r="F6937" s="5" t="s">
        <v>212</v>
      </c>
      <c r="G6937" s="5" t="s">
        <v>44363</v>
      </c>
      <c r="H6937" s="6" t="s">
        <v>44364</v>
      </c>
      <c r="K6937" s="5" t="s">
        <v>44353</v>
      </c>
    </row>
    <row r="6938">
      <c r="A6938" s="4">
        <v>45534.37512693287</v>
      </c>
      <c r="B6938" s="5" t="s">
        <v>34</v>
      </c>
      <c r="D6938" s="5" t="s">
        <v>35</v>
      </c>
      <c r="E6938" s="5" t="s">
        <v>44367</v>
      </c>
      <c r="F6938" s="5" t="s">
        <v>72</v>
      </c>
      <c r="G6938" s="5" t="s">
        <v>44368</v>
      </c>
      <c r="H6938" s="6" t="s">
        <v>44369</v>
      </c>
      <c r="K6938" s="5" t="s">
        <v>44353</v>
      </c>
    </row>
    <row r="6939">
      <c r="A6939" s="4">
        <v>45534.37515020833</v>
      </c>
      <c r="B6939" s="5" t="s">
        <v>34</v>
      </c>
      <c r="D6939" s="5" t="s">
        <v>12978</v>
      </c>
      <c r="E6939" s="5" t="s">
        <v>44372</v>
      </c>
      <c r="F6939" s="5" t="s">
        <v>715</v>
      </c>
      <c r="G6939" s="5" t="s">
        <v>44373</v>
      </c>
      <c r="H6939" s="6" t="s">
        <v>44374</v>
      </c>
      <c r="K6939" s="5" t="s">
        <v>44375</v>
      </c>
    </row>
    <row r="6940">
      <c r="A6940" s="4">
        <v>45534.37515208333</v>
      </c>
      <c r="B6940" s="5" t="s">
        <v>34</v>
      </c>
      <c r="D6940" s="5" t="s">
        <v>10297</v>
      </c>
      <c r="E6940" s="5" t="s">
        <v>44378</v>
      </c>
      <c r="F6940" s="5" t="s">
        <v>212</v>
      </c>
      <c r="G6940" s="5" t="s">
        <v>44379</v>
      </c>
      <c r="H6940" s="6" t="s">
        <v>44380</v>
      </c>
      <c r="K6940" s="5" t="s">
        <v>44375</v>
      </c>
    </row>
    <row r="6941">
      <c r="A6941" s="4">
        <v>45534.375162118056</v>
      </c>
      <c r="B6941" s="5" t="s">
        <v>34</v>
      </c>
      <c r="D6941" s="5" t="s">
        <v>1206</v>
      </c>
      <c r="E6941" s="5" t="s">
        <v>44384</v>
      </c>
      <c r="F6941" s="5" t="s">
        <v>375</v>
      </c>
      <c r="G6941" s="5" t="s">
        <v>44385</v>
      </c>
      <c r="H6941" s="6" t="s">
        <v>44386</v>
      </c>
      <c r="K6941" s="5" t="s">
        <v>44375</v>
      </c>
    </row>
    <row r="6942">
      <c r="A6942" s="4">
        <v>45534.37517613426</v>
      </c>
      <c r="B6942" s="5" t="s">
        <v>34</v>
      </c>
      <c r="D6942" s="5" t="s">
        <v>701</v>
      </c>
      <c r="E6942" s="5" t="s">
        <v>44389</v>
      </c>
      <c r="F6942" s="5" t="s">
        <v>108</v>
      </c>
      <c r="G6942" s="5" t="s">
        <v>44390</v>
      </c>
      <c r="H6942" s="6" t="s">
        <v>44391</v>
      </c>
      <c r="K6942" s="5" t="s">
        <v>44392</v>
      </c>
    </row>
    <row r="6943">
      <c r="A6943" s="4">
        <v>45534.375176828704</v>
      </c>
      <c r="B6943" s="5" t="s">
        <v>34</v>
      </c>
      <c r="D6943" s="5" t="s">
        <v>6232</v>
      </c>
      <c r="E6943" s="5" t="s">
        <v>44395</v>
      </c>
      <c r="F6943" s="5" t="s">
        <v>72</v>
      </c>
      <c r="G6943" s="5" t="s">
        <v>44396</v>
      </c>
      <c r="H6943" s="6" t="s">
        <v>44397</v>
      </c>
      <c r="K6943" s="5" t="s">
        <v>44392</v>
      </c>
    </row>
    <row r="6944">
      <c r="A6944" s="4">
        <v>45534.375177187496</v>
      </c>
      <c r="B6944" s="5" t="s">
        <v>34</v>
      </c>
      <c r="D6944" s="5" t="s">
        <v>1692</v>
      </c>
      <c r="E6944" s="5" t="s">
        <v>44400</v>
      </c>
      <c r="F6944" s="5" t="s">
        <v>37</v>
      </c>
      <c r="G6944" s="5" t="s">
        <v>44401</v>
      </c>
      <c r="H6944" s="6" t="s">
        <v>44402</v>
      </c>
      <c r="K6944" s="5" t="s">
        <v>44392</v>
      </c>
    </row>
    <row r="6945">
      <c r="A6945" s="4">
        <v>45534.37518121528</v>
      </c>
      <c r="B6945" s="5" t="s">
        <v>34</v>
      </c>
      <c r="D6945" s="5" t="s">
        <v>14424</v>
      </c>
      <c r="E6945" s="5" t="s">
        <v>44406</v>
      </c>
      <c r="F6945" s="5" t="s">
        <v>72</v>
      </c>
      <c r="G6945" s="5" t="s">
        <v>44407</v>
      </c>
      <c r="H6945" s="6" t="s">
        <v>44408</v>
      </c>
      <c r="K6945" s="5" t="s">
        <v>44392</v>
      </c>
    </row>
    <row r="6946">
      <c r="A6946" s="4">
        <v>45534.375189293976</v>
      </c>
      <c r="B6946" s="5" t="s">
        <v>34</v>
      </c>
      <c r="D6946" s="5" t="s">
        <v>35</v>
      </c>
      <c r="E6946" s="5" t="s">
        <v>44411</v>
      </c>
      <c r="F6946" s="5" t="s">
        <v>199</v>
      </c>
      <c r="G6946" s="5" t="s">
        <v>44412</v>
      </c>
      <c r="H6946" s="6" t="s">
        <v>44413</v>
      </c>
      <c r="K6946" s="5" t="s">
        <v>44392</v>
      </c>
    </row>
    <row r="6947">
      <c r="A6947" s="4">
        <v>45534.37519525463</v>
      </c>
      <c r="B6947" s="5" t="s">
        <v>19</v>
      </c>
      <c r="C6947" s="5" t="s">
        <v>292</v>
      </c>
      <c r="E6947" s="5" t="s">
        <v>44416</v>
      </c>
      <c r="F6947" s="5" t="s">
        <v>6776</v>
      </c>
      <c r="G6947" s="5" t="s">
        <v>44417</v>
      </c>
      <c r="H6947" s="6" t="s">
        <v>44418</v>
      </c>
      <c r="K6947" s="5" t="s">
        <v>44392</v>
      </c>
    </row>
    <row r="6948">
      <c r="A6948" s="4">
        <v>45534.37520263889</v>
      </c>
      <c r="B6948" s="5" t="s">
        <v>34</v>
      </c>
      <c r="D6948" s="5" t="s">
        <v>996</v>
      </c>
      <c r="E6948" s="5" t="s">
        <v>44421</v>
      </c>
      <c r="F6948" s="5" t="s">
        <v>212</v>
      </c>
      <c r="G6948" s="5" t="s">
        <v>44422</v>
      </c>
      <c r="H6948" s="6" t="s">
        <v>44423</v>
      </c>
      <c r="K6948" s="5" t="s">
        <v>44424</v>
      </c>
    </row>
    <row r="6949">
      <c r="A6949" s="4">
        <v>45534.375204930555</v>
      </c>
      <c r="B6949" s="5" t="s">
        <v>34</v>
      </c>
      <c r="D6949" s="5" t="s">
        <v>1558</v>
      </c>
      <c r="E6949" s="5" t="s">
        <v>44427</v>
      </c>
      <c r="F6949" s="5" t="s">
        <v>108</v>
      </c>
      <c r="G6949" s="5" t="s">
        <v>44428</v>
      </c>
      <c r="H6949" s="6" t="s">
        <v>44429</v>
      </c>
      <c r="K6949" s="5" t="s">
        <v>44424</v>
      </c>
    </row>
    <row r="6950">
      <c r="A6950" s="4">
        <v>45534.37521006944</v>
      </c>
      <c r="B6950" s="5" t="s">
        <v>34</v>
      </c>
      <c r="D6950" s="5" t="s">
        <v>7858</v>
      </c>
      <c r="E6950" s="5" t="s">
        <v>44433</v>
      </c>
      <c r="F6950" s="5" t="s">
        <v>375</v>
      </c>
      <c r="G6950" s="5" t="s">
        <v>44434</v>
      </c>
      <c r="H6950" s="6" t="s">
        <v>44435</v>
      </c>
      <c r="K6950" s="5" t="s">
        <v>44424</v>
      </c>
    </row>
    <row r="6951">
      <c r="A6951" s="4">
        <v>45534.37521125</v>
      </c>
      <c r="B6951" s="5" t="s">
        <v>34</v>
      </c>
      <c r="D6951" s="5" t="s">
        <v>1206</v>
      </c>
      <c r="E6951" s="5" t="s">
        <v>44438</v>
      </c>
      <c r="F6951" s="5" t="s">
        <v>199</v>
      </c>
      <c r="G6951" s="5" t="s">
        <v>44439</v>
      </c>
      <c r="H6951" s="6" t="s">
        <v>44440</v>
      </c>
      <c r="K6951" s="5" t="s">
        <v>44424</v>
      </c>
    </row>
    <row r="6952">
      <c r="A6952" s="4">
        <v>45534.37521414352</v>
      </c>
      <c r="B6952" s="5" t="s">
        <v>34</v>
      </c>
      <c r="D6952" s="5" t="s">
        <v>9020</v>
      </c>
      <c r="E6952" s="5" t="s">
        <v>44443</v>
      </c>
      <c r="F6952" s="5" t="s">
        <v>72</v>
      </c>
      <c r="G6952" s="5" t="s">
        <v>44444</v>
      </c>
      <c r="H6952" s="6" t="s">
        <v>44445</v>
      </c>
      <c r="K6952" s="5" t="s">
        <v>44424</v>
      </c>
    </row>
    <row r="6953">
      <c r="A6953" s="4">
        <v>45534.3752378125</v>
      </c>
      <c r="B6953" s="5" t="s">
        <v>34</v>
      </c>
      <c r="D6953" s="5" t="s">
        <v>9394</v>
      </c>
      <c r="E6953" s="5" t="s">
        <v>44448</v>
      </c>
      <c r="F6953" s="5" t="s">
        <v>212</v>
      </c>
      <c r="G6953" s="5" t="s">
        <v>44449</v>
      </c>
      <c r="H6953" s="6" t="s">
        <v>44450</v>
      </c>
      <c r="K6953" s="5" t="s">
        <v>44424</v>
      </c>
    </row>
    <row r="6954">
      <c r="A6954" s="4">
        <v>45534.37524451389</v>
      </c>
      <c r="B6954" s="5" t="s">
        <v>34</v>
      </c>
      <c r="D6954" s="5" t="s">
        <v>35</v>
      </c>
      <c r="E6954" s="5" t="s">
        <v>44454</v>
      </c>
      <c r="F6954" s="5" t="s">
        <v>108</v>
      </c>
      <c r="G6954" s="5" t="s">
        <v>44455</v>
      </c>
      <c r="H6954" s="6" t="s">
        <v>44456</v>
      </c>
      <c r="K6954" s="5" t="s">
        <v>44424</v>
      </c>
    </row>
    <row r="6955">
      <c r="A6955" s="4">
        <v>45534.37524616898</v>
      </c>
      <c r="B6955" s="5" t="s">
        <v>34</v>
      </c>
      <c r="D6955" s="5" t="s">
        <v>9394</v>
      </c>
      <c r="E6955" s="5" t="s">
        <v>44459</v>
      </c>
      <c r="F6955" s="5" t="s">
        <v>72</v>
      </c>
      <c r="G6955" s="5" t="s">
        <v>44460</v>
      </c>
      <c r="H6955" s="6" t="s">
        <v>44461</v>
      </c>
      <c r="K6955" s="5" t="s">
        <v>44424</v>
      </c>
    </row>
    <row r="6956">
      <c r="A6956" s="4">
        <v>45534.3752529051</v>
      </c>
      <c r="B6956" s="5" t="s">
        <v>34</v>
      </c>
      <c r="D6956" s="5" t="s">
        <v>701</v>
      </c>
      <c r="E6956" s="5" t="s">
        <v>44464</v>
      </c>
      <c r="F6956" s="5" t="s">
        <v>37</v>
      </c>
      <c r="G6956" s="5" t="s">
        <v>44465</v>
      </c>
      <c r="H6956" s="6" t="s">
        <v>44466</v>
      </c>
      <c r="K6956" s="5" t="s">
        <v>44424</v>
      </c>
    </row>
    <row r="6957">
      <c r="A6957" s="4">
        <v>45534.37525711805</v>
      </c>
      <c r="B6957" s="5" t="s">
        <v>19</v>
      </c>
      <c r="C6957" s="5" t="s">
        <v>292</v>
      </c>
      <c r="E6957" s="5" t="s">
        <v>44469</v>
      </c>
      <c r="F6957" s="5" t="s">
        <v>199</v>
      </c>
      <c r="G6957" s="5" t="s">
        <v>44470</v>
      </c>
      <c r="H6957" s="6" t="s">
        <v>44471</v>
      </c>
      <c r="K6957" s="5" t="s">
        <v>44472</v>
      </c>
    </row>
    <row r="6958">
      <c r="A6958" s="4">
        <v>45534.37527719907</v>
      </c>
      <c r="B6958" s="5" t="s">
        <v>19</v>
      </c>
      <c r="C6958" s="5" t="s">
        <v>24076</v>
      </c>
      <c r="E6958" s="5" t="s">
        <v>44476</v>
      </c>
      <c r="F6958" s="5" t="s">
        <v>120</v>
      </c>
      <c r="G6958" s="5" t="s">
        <v>44477</v>
      </c>
      <c r="H6958" s="6" t="s">
        <v>44478</v>
      </c>
      <c r="K6958" s="5" t="s">
        <v>44472</v>
      </c>
    </row>
    <row r="6959">
      <c r="A6959" s="4">
        <v>45534.37528960648</v>
      </c>
      <c r="B6959" s="5" t="s">
        <v>34</v>
      </c>
      <c r="D6959" s="5" t="s">
        <v>1558</v>
      </c>
      <c r="E6959" s="5" t="s">
        <v>44481</v>
      </c>
      <c r="F6959" s="5" t="s">
        <v>212</v>
      </c>
      <c r="G6959" s="5" t="s">
        <v>44482</v>
      </c>
      <c r="H6959" s="6" t="s">
        <v>44483</v>
      </c>
      <c r="K6959" s="5" t="s">
        <v>44472</v>
      </c>
    </row>
    <row r="6960">
      <c r="A6960" s="4">
        <v>45534.37534803241</v>
      </c>
      <c r="B6960" s="5" t="s">
        <v>34</v>
      </c>
      <c r="D6960" s="5" t="s">
        <v>14313</v>
      </c>
      <c r="E6960" s="5" t="s">
        <v>44486</v>
      </c>
      <c r="F6960" s="5" t="s">
        <v>212</v>
      </c>
      <c r="G6960" s="5" t="s">
        <v>44487</v>
      </c>
      <c r="H6960" s="6" t="s">
        <v>44488</v>
      </c>
      <c r="K6960" s="5" t="s">
        <v>44489</v>
      </c>
    </row>
    <row r="6961">
      <c r="A6961" s="4">
        <v>45534.375349560185</v>
      </c>
      <c r="B6961" s="5" t="s">
        <v>34</v>
      </c>
      <c r="D6961" s="5" t="s">
        <v>2903</v>
      </c>
      <c r="E6961" s="5" t="s">
        <v>44492</v>
      </c>
      <c r="F6961" s="5" t="s">
        <v>72</v>
      </c>
      <c r="G6961" s="5" t="s">
        <v>44493</v>
      </c>
      <c r="H6961" s="6" t="s">
        <v>44494</v>
      </c>
      <c r="K6961" s="5" t="s">
        <v>44489</v>
      </c>
    </row>
    <row r="6962">
      <c r="A6962" s="4">
        <v>45534.37538320602</v>
      </c>
      <c r="B6962" s="5" t="s">
        <v>34</v>
      </c>
      <c r="D6962" s="5" t="s">
        <v>1692</v>
      </c>
      <c r="E6962" s="5" t="s">
        <v>44498</v>
      </c>
      <c r="F6962" s="5" t="s">
        <v>375</v>
      </c>
      <c r="G6962" s="5" t="s">
        <v>44499</v>
      </c>
      <c r="H6962" s="6" t="s">
        <v>44500</v>
      </c>
      <c r="K6962" s="5" t="s">
        <v>44489</v>
      </c>
    </row>
    <row r="6963">
      <c r="A6963" s="4">
        <v>45534.375399375</v>
      </c>
      <c r="B6963" s="5" t="s">
        <v>34</v>
      </c>
      <c r="D6963" s="5" t="s">
        <v>4775</v>
      </c>
      <c r="E6963" s="5" t="s">
        <v>44503</v>
      </c>
      <c r="F6963" s="5" t="s">
        <v>212</v>
      </c>
      <c r="G6963" s="5" t="s">
        <v>44504</v>
      </c>
      <c r="H6963" s="6" t="s">
        <v>44505</v>
      </c>
      <c r="K6963" s="5" t="s">
        <v>44506</v>
      </c>
    </row>
    <row r="6964">
      <c r="A6964" s="4">
        <v>45534.37540087963</v>
      </c>
      <c r="B6964" s="5" t="s">
        <v>34</v>
      </c>
      <c r="D6964" s="5" t="s">
        <v>1206</v>
      </c>
      <c r="E6964" s="5" t="s">
        <v>44509</v>
      </c>
      <c r="F6964" s="5" t="s">
        <v>212</v>
      </c>
      <c r="G6964" s="5" t="s">
        <v>44510</v>
      </c>
      <c r="H6964" s="6" t="s">
        <v>44511</v>
      </c>
      <c r="K6964" s="5" t="s">
        <v>44506</v>
      </c>
    </row>
    <row r="6965">
      <c r="A6965" s="4">
        <v>45534.375401770834</v>
      </c>
      <c r="B6965" s="5" t="s">
        <v>34</v>
      </c>
      <c r="D6965" s="5" t="s">
        <v>580</v>
      </c>
      <c r="E6965" s="5" t="s">
        <v>44514</v>
      </c>
      <c r="F6965" s="5" t="s">
        <v>72</v>
      </c>
      <c r="G6965" s="5" t="s">
        <v>44515</v>
      </c>
      <c r="H6965" s="6" t="s">
        <v>44516</v>
      </c>
      <c r="K6965" s="5" t="s">
        <v>44506</v>
      </c>
    </row>
    <row r="6966">
      <c r="A6966" s="4">
        <v>45534.37540644676</v>
      </c>
      <c r="B6966" s="5" t="s">
        <v>34</v>
      </c>
      <c r="D6966" s="5" t="s">
        <v>701</v>
      </c>
      <c r="E6966" s="5" t="s">
        <v>44520</v>
      </c>
      <c r="F6966" s="5" t="s">
        <v>108</v>
      </c>
      <c r="G6966" s="5" t="s">
        <v>44521</v>
      </c>
      <c r="H6966" s="6" t="s">
        <v>44522</v>
      </c>
      <c r="K6966" s="5" t="s">
        <v>44523</v>
      </c>
    </row>
    <row r="6967">
      <c r="A6967" s="4">
        <v>45534.37540887731</v>
      </c>
      <c r="B6967" s="5" t="s">
        <v>34</v>
      </c>
      <c r="D6967" s="5" t="s">
        <v>1206</v>
      </c>
      <c r="E6967" s="5" t="s">
        <v>44526</v>
      </c>
      <c r="F6967" s="5" t="s">
        <v>37</v>
      </c>
      <c r="G6967" s="5" t="s">
        <v>44527</v>
      </c>
      <c r="H6967" s="6" t="s">
        <v>44528</v>
      </c>
      <c r="K6967" s="5" t="s">
        <v>44523</v>
      </c>
    </row>
    <row r="6968">
      <c r="A6968" s="4">
        <v>45534.375440752316</v>
      </c>
      <c r="B6968" s="5" t="s">
        <v>34</v>
      </c>
      <c r="D6968" s="5" t="s">
        <v>1768</v>
      </c>
      <c r="E6968" s="5" t="s">
        <v>44531</v>
      </c>
      <c r="F6968" s="5" t="s">
        <v>108</v>
      </c>
      <c r="G6968" s="5" t="s">
        <v>44532</v>
      </c>
      <c r="H6968" s="6" t="s">
        <v>44533</v>
      </c>
      <c r="K6968" s="5" t="s">
        <v>44534</v>
      </c>
    </row>
    <row r="6969">
      <c r="A6969" s="4">
        <v>45534.37546106482</v>
      </c>
      <c r="B6969" s="5" t="s">
        <v>19</v>
      </c>
      <c r="C6969" s="5" t="s">
        <v>14000</v>
      </c>
      <c r="E6969" s="5" t="s">
        <v>44537</v>
      </c>
      <c r="F6969" s="5" t="s">
        <v>37</v>
      </c>
      <c r="G6969" s="5" t="s">
        <v>44538</v>
      </c>
      <c r="H6969" s="6" t="s">
        <v>44539</v>
      </c>
      <c r="K6969" s="5" t="s">
        <v>44540</v>
      </c>
    </row>
    <row r="6970">
      <c r="A6970" s="4">
        <v>45534.375497905094</v>
      </c>
      <c r="B6970" s="5" t="s">
        <v>34</v>
      </c>
      <c r="D6970" s="5" t="s">
        <v>1558</v>
      </c>
      <c r="E6970" s="5" t="s">
        <v>44544</v>
      </c>
      <c r="F6970" s="5" t="s">
        <v>37</v>
      </c>
      <c r="G6970" s="5" t="s">
        <v>44545</v>
      </c>
      <c r="H6970" s="6" t="s">
        <v>44546</v>
      </c>
      <c r="K6970" s="5" t="s">
        <v>44547</v>
      </c>
    </row>
    <row r="6971">
      <c r="A6971" s="4">
        <v>45534.375504247684</v>
      </c>
      <c r="B6971" s="5" t="s">
        <v>34</v>
      </c>
      <c r="D6971" s="5" t="s">
        <v>6232</v>
      </c>
      <c r="E6971" s="5" t="s">
        <v>44550</v>
      </c>
      <c r="F6971" s="5" t="s">
        <v>37</v>
      </c>
      <c r="G6971" s="5" t="s">
        <v>44551</v>
      </c>
      <c r="H6971" s="6" t="s">
        <v>44552</v>
      </c>
      <c r="K6971" s="5" t="s">
        <v>44547</v>
      </c>
    </row>
    <row r="6972">
      <c r="A6972" s="4">
        <v>45534.37553267361</v>
      </c>
      <c r="B6972" s="5" t="s">
        <v>34</v>
      </c>
      <c r="D6972" s="5" t="s">
        <v>4775</v>
      </c>
      <c r="E6972" s="5" t="s">
        <v>44555</v>
      </c>
      <c r="F6972" s="5" t="s">
        <v>524</v>
      </c>
      <c r="G6972" s="5" t="s">
        <v>44556</v>
      </c>
      <c r="H6972" s="6" t="s">
        <v>44557</v>
      </c>
      <c r="K6972" s="5" t="s">
        <v>44558</v>
      </c>
    </row>
    <row r="6973">
      <c r="A6973" s="4">
        <v>45534.37554980324</v>
      </c>
      <c r="B6973" s="5" t="s">
        <v>34</v>
      </c>
      <c r="D6973" s="5" t="s">
        <v>7858</v>
      </c>
      <c r="E6973" s="5" t="s">
        <v>44561</v>
      </c>
      <c r="F6973" s="5" t="s">
        <v>120</v>
      </c>
      <c r="G6973" s="5" t="s">
        <v>44562</v>
      </c>
      <c r="H6973" s="6" t="s">
        <v>44563</v>
      </c>
      <c r="K6973" s="5" t="s">
        <v>44558</v>
      </c>
    </row>
    <row r="6974">
      <c r="A6974" s="4">
        <v>45534.37556560185</v>
      </c>
      <c r="B6974" s="5" t="s">
        <v>34</v>
      </c>
      <c r="D6974" s="5" t="s">
        <v>701</v>
      </c>
      <c r="E6974" s="5" t="s">
        <v>44567</v>
      </c>
      <c r="F6974" s="5" t="s">
        <v>375</v>
      </c>
      <c r="G6974" s="5" t="s">
        <v>44568</v>
      </c>
      <c r="H6974" s="6" t="s">
        <v>44569</v>
      </c>
      <c r="K6974" s="5" t="s">
        <v>44570</v>
      </c>
    </row>
    <row r="6975">
      <c r="A6975" s="4">
        <v>45534.37558989583</v>
      </c>
      <c r="B6975" s="5" t="s">
        <v>34</v>
      </c>
      <c r="D6975" s="5" t="s">
        <v>9394</v>
      </c>
      <c r="E6975" s="5" t="s">
        <v>21358</v>
      </c>
      <c r="F6975" s="5" t="s">
        <v>120</v>
      </c>
      <c r="G6975" s="5" t="s">
        <v>44573</v>
      </c>
      <c r="H6975" s="6" t="s">
        <v>44574</v>
      </c>
      <c r="K6975" s="5" t="s">
        <v>44570</v>
      </c>
    </row>
    <row r="6976">
      <c r="A6976" s="4">
        <v>45534.37562510416</v>
      </c>
      <c r="B6976" s="5" t="s">
        <v>19</v>
      </c>
      <c r="C6976" s="5" t="s">
        <v>1606</v>
      </c>
      <c r="E6976" s="5" t="s">
        <v>44577</v>
      </c>
      <c r="F6976" s="5" t="s">
        <v>72</v>
      </c>
      <c r="G6976" s="5" t="s">
        <v>44578</v>
      </c>
      <c r="H6976" s="6" t="s">
        <v>44579</v>
      </c>
      <c r="K6976" s="5" t="s">
        <v>44580</v>
      </c>
    </row>
    <row r="6977">
      <c r="A6977" s="4">
        <v>45534.37565833333</v>
      </c>
      <c r="B6977" s="5" t="s">
        <v>34</v>
      </c>
      <c r="D6977" s="5" t="s">
        <v>522</v>
      </c>
      <c r="E6977" s="5" t="s">
        <v>44583</v>
      </c>
      <c r="F6977" s="5" t="s">
        <v>72</v>
      </c>
      <c r="G6977" s="5" t="s">
        <v>44584</v>
      </c>
      <c r="H6977" s="6" t="s">
        <v>44585</v>
      </c>
      <c r="K6977" s="5" t="s">
        <v>44586</v>
      </c>
    </row>
    <row r="6978">
      <c r="A6978" s="4">
        <v>45534.37566696759</v>
      </c>
      <c r="B6978" s="5" t="s">
        <v>34</v>
      </c>
      <c r="D6978" s="5" t="s">
        <v>12978</v>
      </c>
      <c r="E6978" s="5" t="s">
        <v>44589</v>
      </c>
      <c r="F6978" s="5" t="s">
        <v>212</v>
      </c>
      <c r="G6978" s="5" t="s">
        <v>44590</v>
      </c>
      <c r="H6978" s="6" t="s">
        <v>44591</v>
      </c>
      <c r="K6978" s="5" t="s">
        <v>44586</v>
      </c>
    </row>
    <row r="6979">
      <c r="A6979" s="4">
        <v>45534.37567371527</v>
      </c>
      <c r="B6979" s="5" t="s">
        <v>34</v>
      </c>
      <c r="D6979" s="5" t="s">
        <v>580</v>
      </c>
      <c r="E6979" s="5" t="s">
        <v>44595</v>
      </c>
      <c r="F6979" s="5" t="s">
        <v>37</v>
      </c>
      <c r="G6979" s="5" t="s">
        <v>44596</v>
      </c>
      <c r="H6979" s="6" t="s">
        <v>44597</v>
      </c>
      <c r="K6979" s="5" t="s">
        <v>44586</v>
      </c>
    </row>
    <row r="6980">
      <c r="A6980" s="4">
        <v>45534.37568503473</v>
      </c>
      <c r="B6980" s="5" t="s">
        <v>34</v>
      </c>
      <c r="D6980" s="5" t="s">
        <v>267</v>
      </c>
      <c r="E6980" s="5" t="s">
        <v>44600</v>
      </c>
      <c r="F6980" s="5" t="s">
        <v>212</v>
      </c>
      <c r="G6980" s="5" t="s">
        <v>44601</v>
      </c>
      <c r="H6980" s="6" t="s">
        <v>44602</v>
      </c>
      <c r="K6980" s="5" t="s">
        <v>44586</v>
      </c>
    </row>
    <row r="6981">
      <c r="A6981" s="4">
        <v>45534.37570978009</v>
      </c>
      <c r="B6981" s="5" t="s">
        <v>34</v>
      </c>
      <c r="D6981" s="5" t="s">
        <v>9020</v>
      </c>
      <c r="E6981" s="5" t="s">
        <v>44605</v>
      </c>
      <c r="F6981" s="5" t="s">
        <v>375</v>
      </c>
      <c r="G6981" s="5" t="s">
        <v>44606</v>
      </c>
      <c r="H6981" s="6" t="s">
        <v>44607</v>
      </c>
      <c r="K6981" s="5" t="s">
        <v>44608</v>
      </c>
    </row>
    <row r="6982">
      <c r="A6982" s="4">
        <v>45534.37571533565</v>
      </c>
      <c r="B6982" s="5" t="s">
        <v>34</v>
      </c>
      <c r="D6982" s="5" t="s">
        <v>9020</v>
      </c>
      <c r="E6982" s="5" t="s">
        <v>44612</v>
      </c>
      <c r="F6982" s="5" t="s">
        <v>212</v>
      </c>
      <c r="G6982" s="5" t="s">
        <v>44613</v>
      </c>
      <c r="H6982" s="6" t="s">
        <v>44614</v>
      </c>
      <c r="K6982" s="5" t="s">
        <v>44608</v>
      </c>
    </row>
    <row r="6983">
      <c r="A6983" s="4">
        <v>45534.37572443287</v>
      </c>
      <c r="B6983" s="5" t="s">
        <v>34</v>
      </c>
      <c r="D6983" s="5" t="s">
        <v>280</v>
      </c>
      <c r="E6983" s="5" t="s">
        <v>44617</v>
      </c>
      <c r="F6983" s="5" t="s">
        <v>120</v>
      </c>
      <c r="G6983" s="5" t="s">
        <v>44618</v>
      </c>
      <c r="H6983" s="6" t="s">
        <v>44619</v>
      </c>
      <c r="K6983" s="5" t="s">
        <v>44608</v>
      </c>
    </row>
    <row r="6984">
      <c r="A6984" s="4">
        <v>45534.375744178236</v>
      </c>
      <c r="B6984" s="5" t="s">
        <v>34</v>
      </c>
      <c r="D6984" s="5" t="s">
        <v>701</v>
      </c>
      <c r="E6984" s="5" t="s">
        <v>44622</v>
      </c>
      <c r="F6984" s="5" t="s">
        <v>212</v>
      </c>
      <c r="G6984" s="5" t="s">
        <v>44623</v>
      </c>
      <c r="H6984" s="6" t="s">
        <v>44624</v>
      </c>
      <c r="K6984" s="5" t="s">
        <v>44608</v>
      </c>
    </row>
    <row r="6985">
      <c r="A6985" s="4">
        <v>45534.37575119213</v>
      </c>
      <c r="B6985" s="5" t="s">
        <v>34</v>
      </c>
      <c r="D6985" s="5" t="s">
        <v>1206</v>
      </c>
      <c r="E6985" s="5" t="s">
        <v>44627</v>
      </c>
      <c r="F6985" s="5" t="s">
        <v>212</v>
      </c>
      <c r="G6985" s="5" t="s">
        <v>44628</v>
      </c>
      <c r="H6985" s="6" t="s">
        <v>44629</v>
      </c>
      <c r="K6985" s="5" t="s">
        <v>44608</v>
      </c>
    </row>
    <row r="6986">
      <c r="A6986" s="4">
        <v>45534.3757515162</v>
      </c>
      <c r="B6986" s="5" t="s">
        <v>34</v>
      </c>
      <c r="D6986" s="5" t="s">
        <v>4775</v>
      </c>
      <c r="E6986" s="5" t="s">
        <v>44633</v>
      </c>
      <c r="F6986" s="5" t="s">
        <v>212</v>
      </c>
      <c r="G6986" s="5" t="s">
        <v>44634</v>
      </c>
      <c r="H6986" s="6" t="s">
        <v>44635</v>
      </c>
      <c r="K6986" s="5" t="s">
        <v>44608</v>
      </c>
    </row>
    <row r="6987">
      <c r="A6987" s="4">
        <v>45534.375754340275</v>
      </c>
      <c r="B6987" s="5" t="s">
        <v>34</v>
      </c>
      <c r="D6987" s="5" t="s">
        <v>1206</v>
      </c>
      <c r="E6987" s="5" t="s">
        <v>44638</v>
      </c>
      <c r="F6987" s="5" t="s">
        <v>72</v>
      </c>
      <c r="G6987" s="5" t="s">
        <v>44639</v>
      </c>
      <c r="H6987" s="6" t="s">
        <v>44640</v>
      </c>
      <c r="K6987" s="5" t="s">
        <v>44608</v>
      </c>
    </row>
    <row r="6988">
      <c r="A6988" s="4">
        <v>45534.375763819444</v>
      </c>
      <c r="B6988" s="5" t="s">
        <v>34</v>
      </c>
      <c r="D6988" s="5" t="s">
        <v>1558</v>
      </c>
      <c r="E6988" s="5" t="s">
        <v>30762</v>
      </c>
      <c r="F6988" s="5" t="s">
        <v>212</v>
      </c>
      <c r="G6988" s="5" t="s">
        <v>44643</v>
      </c>
      <c r="H6988" s="6" t="s">
        <v>44644</v>
      </c>
      <c r="K6988" s="5" t="s">
        <v>44645</v>
      </c>
    </row>
    <row r="6989">
      <c r="A6989" s="4">
        <v>45534.37578908565</v>
      </c>
      <c r="B6989" s="5" t="s">
        <v>34</v>
      </c>
      <c r="D6989" s="5" t="s">
        <v>4775</v>
      </c>
      <c r="E6989" s="5" t="s">
        <v>44648</v>
      </c>
      <c r="F6989" s="5" t="s">
        <v>212</v>
      </c>
      <c r="G6989" s="5" t="s">
        <v>44649</v>
      </c>
      <c r="H6989" s="6" t="s">
        <v>44650</v>
      </c>
      <c r="K6989" s="5" t="s">
        <v>44651</v>
      </c>
    </row>
    <row r="6990">
      <c r="A6990" s="4">
        <v>45534.375799340276</v>
      </c>
      <c r="B6990" s="5" t="s">
        <v>34</v>
      </c>
      <c r="D6990" s="5" t="s">
        <v>12978</v>
      </c>
      <c r="E6990" s="5" t="s">
        <v>44654</v>
      </c>
      <c r="F6990" s="5" t="s">
        <v>212</v>
      </c>
      <c r="G6990" s="5" t="s">
        <v>44655</v>
      </c>
      <c r="H6990" s="6" t="s">
        <v>44656</v>
      </c>
      <c r="K6990" s="5" t="s">
        <v>44657</v>
      </c>
    </row>
    <row r="6991">
      <c r="A6991" s="4">
        <v>45534.37580760417</v>
      </c>
      <c r="B6991" s="5" t="s">
        <v>34</v>
      </c>
      <c r="D6991" s="5" t="s">
        <v>1206</v>
      </c>
      <c r="E6991" s="5" t="s">
        <v>44661</v>
      </c>
      <c r="F6991" s="5" t="s">
        <v>199</v>
      </c>
      <c r="G6991" s="5" t="s">
        <v>44662</v>
      </c>
      <c r="H6991" s="6" t="s">
        <v>44663</v>
      </c>
      <c r="K6991" s="5" t="s">
        <v>44657</v>
      </c>
    </row>
    <row r="6992">
      <c r="A6992" s="4">
        <v>45534.375808425924</v>
      </c>
      <c r="B6992" s="5" t="s">
        <v>34</v>
      </c>
      <c r="D6992" s="5" t="s">
        <v>2903</v>
      </c>
      <c r="E6992" s="5" t="s">
        <v>44666</v>
      </c>
      <c r="F6992" s="5" t="s">
        <v>212</v>
      </c>
      <c r="G6992" s="5" t="s">
        <v>44667</v>
      </c>
      <c r="H6992" s="6" t="s">
        <v>44668</v>
      </c>
      <c r="K6992" s="5" t="s">
        <v>44657</v>
      </c>
    </row>
    <row r="6993">
      <c r="A6993" s="4">
        <v>45534.37581172454</v>
      </c>
      <c r="B6993" s="5" t="s">
        <v>34</v>
      </c>
      <c r="D6993" s="5" t="s">
        <v>1206</v>
      </c>
      <c r="E6993" s="5" t="s">
        <v>44671</v>
      </c>
      <c r="F6993" s="5" t="s">
        <v>524</v>
      </c>
      <c r="G6993" s="5" t="s">
        <v>44672</v>
      </c>
      <c r="H6993" s="6" t="s">
        <v>44673</v>
      </c>
      <c r="K6993" s="5" t="s">
        <v>44674</v>
      </c>
    </row>
    <row r="6994">
      <c r="A6994" s="4">
        <v>45534.37584432871</v>
      </c>
      <c r="B6994" s="5" t="s">
        <v>34</v>
      </c>
      <c r="D6994" s="5" t="s">
        <v>9020</v>
      </c>
      <c r="E6994" s="5" t="s">
        <v>44677</v>
      </c>
      <c r="F6994" s="5" t="s">
        <v>199</v>
      </c>
      <c r="G6994" s="5" t="s">
        <v>44678</v>
      </c>
      <c r="H6994" s="6" t="s">
        <v>44679</v>
      </c>
      <c r="K6994" s="5" t="s">
        <v>44680</v>
      </c>
    </row>
    <row r="6995">
      <c r="A6995" s="4">
        <v>45534.375853171296</v>
      </c>
      <c r="B6995" s="5" t="s">
        <v>34</v>
      </c>
      <c r="D6995" s="5" t="s">
        <v>1206</v>
      </c>
      <c r="E6995" s="5" t="s">
        <v>44683</v>
      </c>
      <c r="F6995" s="5" t="s">
        <v>120</v>
      </c>
      <c r="G6995" s="5" t="s">
        <v>44684</v>
      </c>
      <c r="H6995" s="6" t="s">
        <v>44685</v>
      </c>
      <c r="K6995" s="5" t="s">
        <v>44680</v>
      </c>
    </row>
    <row r="6996">
      <c r="A6996" s="4">
        <v>45534.37587875</v>
      </c>
      <c r="B6996" s="5" t="s">
        <v>34</v>
      </c>
      <c r="D6996" s="5" t="s">
        <v>14313</v>
      </c>
      <c r="E6996" s="5" t="s">
        <v>44689</v>
      </c>
      <c r="F6996" s="5" t="s">
        <v>212</v>
      </c>
      <c r="G6996" s="5" t="s">
        <v>44690</v>
      </c>
      <c r="H6996" s="6" t="s">
        <v>44691</v>
      </c>
      <c r="K6996" s="5" t="s">
        <v>44692</v>
      </c>
    </row>
    <row r="6997">
      <c r="A6997" s="4">
        <v>45534.37588303241</v>
      </c>
      <c r="B6997" s="5" t="s">
        <v>19</v>
      </c>
      <c r="C6997" s="5" t="s">
        <v>26187</v>
      </c>
      <c r="E6997" s="5" t="s">
        <v>44695</v>
      </c>
      <c r="F6997" s="5" t="s">
        <v>37</v>
      </c>
      <c r="G6997" s="5" t="s">
        <v>44696</v>
      </c>
      <c r="H6997" s="6" t="s">
        <v>44697</v>
      </c>
      <c r="K6997" s="5" t="s">
        <v>44692</v>
      </c>
    </row>
    <row r="6998">
      <c r="A6998" s="4">
        <v>45534.37588535879</v>
      </c>
      <c r="B6998" s="5" t="s">
        <v>34</v>
      </c>
      <c r="D6998" s="5" t="s">
        <v>1558</v>
      </c>
      <c r="E6998" s="5" t="s">
        <v>44700</v>
      </c>
      <c r="F6998" s="5" t="s">
        <v>37</v>
      </c>
      <c r="G6998" s="5" t="s">
        <v>44701</v>
      </c>
      <c r="H6998" s="6" t="s">
        <v>44702</v>
      </c>
      <c r="K6998" s="5" t="s">
        <v>44692</v>
      </c>
    </row>
    <row r="6999">
      <c r="A6999" s="4">
        <v>45534.37589491898</v>
      </c>
      <c r="B6999" s="5" t="s">
        <v>34</v>
      </c>
      <c r="D6999" s="5" t="s">
        <v>580</v>
      </c>
      <c r="E6999" s="5" t="s">
        <v>44705</v>
      </c>
      <c r="F6999" s="5" t="s">
        <v>212</v>
      </c>
      <c r="G6999" s="5" t="s">
        <v>44706</v>
      </c>
      <c r="H6999" s="6" t="s">
        <v>44707</v>
      </c>
      <c r="K6999" s="5" t="s">
        <v>44692</v>
      </c>
    </row>
    <row r="7000">
      <c r="A7000" s="4">
        <v>45534.37590162037</v>
      </c>
      <c r="B7000" s="5" t="s">
        <v>34</v>
      </c>
      <c r="D7000" s="5" t="s">
        <v>10444</v>
      </c>
      <c r="E7000" s="5" t="s">
        <v>44711</v>
      </c>
      <c r="F7000" s="5" t="s">
        <v>108</v>
      </c>
      <c r="G7000" s="5" t="s">
        <v>44712</v>
      </c>
      <c r="H7000" s="6" t="s">
        <v>44713</v>
      </c>
      <c r="K7000" s="5" t="s">
        <v>44692</v>
      </c>
    </row>
    <row r="7001">
      <c r="A7001" s="4">
        <v>45534.375915324075</v>
      </c>
      <c r="B7001" s="5" t="s">
        <v>34</v>
      </c>
      <c r="D7001" s="5" t="s">
        <v>1206</v>
      </c>
      <c r="E7001" s="5" t="s">
        <v>44716</v>
      </c>
      <c r="F7001" s="5" t="s">
        <v>37</v>
      </c>
      <c r="G7001" s="5" t="s">
        <v>44717</v>
      </c>
      <c r="H7001" s="6" t="s">
        <v>44718</v>
      </c>
      <c r="K7001" s="5" t="s">
        <v>44719</v>
      </c>
    </row>
    <row r="7002">
      <c r="A7002" s="4">
        <v>45534.37591513889</v>
      </c>
      <c r="B7002" s="5" t="s">
        <v>19</v>
      </c>
      <c r="C7002" s="5" t="s">
        <v>3471</v>
      </c>
      <c r="E7002" s="5" t="s">
        <v>44722</v>
      </c>
      <c r="F7002" s="5" t="s">
        <v>375</v>
      </c>
      <c r="G7002" s="5" t="s">
        <v>44723</v>
      </c>
      <c r="H7002" s="6" t="s">
        <v>44724</v>
      </c>
      <c r="K7002" s="5" t="s">
        <v>44719</v>
      </c>
    </row>
    <row r="7003">
      <c r="A7003" s="4">
        <v>45534.375920879625</v>
      </c>
      <c r="B7003" s="5" t="s">
        <v>34</v>
      </c>
      <c r="D7003" s="5" t="s">
        <v>9020</v>
      </c>
      <c r="E7003" s="5" t="s">
        <v>44728</v>
      </c>
      <c r="F7003" s="5" t="s">
        <v>37</v>
      </c>
      <c r="G7003" s="5" t="s">
        <v>44729</v>
      </c>
      <c r="H7003" s="6" t="s">
        <v>44730</v>
      </c>
      <c r="K7003" s="5" t="s">
        <v>44719</v>
      </c>
    </row>
    <row r="7004">
      <c r="A7004" s="4">
        <v>45534.37592493056</v>
      </c>
      <c r="B7004" s="5" t="s">
        <v>19</v>
      </c>
      <c r="C7004" s="5" t="s">
        <v>32901</v>
      </c>
      <c r="E7004" s="5" t="s">
        <v>44733</v>
      </c>
      <c r="F7004" s="5" t="s">
        <v>108</v>
      </c>
      <c r="G7004" s="5" t="s">
        <v>44734</v>
      </c>
      <c r="H7004" s="6" t="s">
        <v>44735</v>
      </c>
      <c r="K7004" s="5" t="s">
        <v>44719</v>
      </c>
    </row>
    <row r="7005">
      <c r="A7005" s="4">
        <v>45534.37594052083</v>
      </c>
      <c r="B7005" s="5" t="s">
        <v>34</v>
      </c>
      <c r="D7005" s="5" t="s">
        <v>6232</v>
      </c>
      <c r="E7005" s="5" t="s">
        <v>44738</v>
      </c>
      <c r="F7005" s="5" t="s">
        <v>72</v>
      </c>
      <c r="G7005" s="5" t="s">
        <v>44739</v>
      </c>
      <c r="H7005" s="6" t="s">
        <v>44740</v>
      </c>
      <c r="K7005" s="5" t="s">
        <v>44741</v>
      </c>
    </row>
    <row r="7006">
      <c r="A7006" s="4">
        <v>45534.375942025465</v>
      </c>
      <c r="B7006" s="5" t="s">
        <v>34</v>
      </c>
      <c r="D7006" s="5" t="s">
        <v>9020</v>
      </c>
      <c r="E7006" s="5" t="s">
        <v>17217</v>
      </c>
      <c r="F7006" s="5" t="s">
        <v>212</v>
      </c>
      <c r="G7006" s="5" t="s">
        <v>44744</v>
      </c>
      <c r="H7006" s="6" t="s">
        <v>44745</v>
      </c>
      <c r="K7006" s="5" t="s">
        <v>44741</v>
      </c>
    </row>
    <row r="7007">
      <c r="A7007" s="4">
        <v>45534.37595028935</v>
      </c>
      <c r="B7007" s="5" t="s">
        <v>34</v>
      </c>
      <c r="D7007" s="5" t="s">
        <v>35</v>
      </c>
      <c r="E7007" s="5" t="s">
        <v>44749</v>
      </c>
      <c r="F7007" s="5" t="s">
        <v>108</v>
      </c>
      <c r="G7007" s="5" t="s">
        <v>44750</v>
      </c>
      <c r="H7007" s="6" t="s">
        <v>44751</v>
      </c>
      <c r="K7007" s="5" t="s">
        <v>44741</v>
      </c>
    </row>
    <row r="7008">
      <c r="A7008" s="4">
        <v>45534.375958414355</v>
      </c>
      <c r="B7008" s="5" t="s">
        <v>34</v>
      </c>
      <c r="D7008" s="5" t="s">
        <v>15401</v>
      </c>
      <c r="E7008" s="5" t="s">
        <v>44754</v>
      </c>
      <c r="F7008" s="5" t="s">
        <v>375</v>
      </c>
      <c r="G7008" s="5" t="s">
        <v>44755</v>
      </c>
      <c r="H7008" s="6" t="s">
        <v>44756</v>
      </c>
      <c r="K7008" s="5" t="s">
        <v>44741</v>
      </c>
    </row>
    <row r="7009">
      <c r="A7009" s="4">
        <v>45534.37595931713</v>
      </c>
      <c r="B7009" s="5" t="s">
        <v>19</v>
      </c>
      <c r="C7009" s="5" t="s">
        <v>5058</v>
      </c>
      <c r="E7009" s="5" t="s">
        <v>44759</v>
      </c>
      <c r="F7009" s="5" t="s">
        <v>212</v>
      </c>
      <c r="G7009" s="5" t="s">
        <v>44760</v>
      </c>
      <c r="H7009" s="6" t="s">
        <v>44761</v>
      </c>
      <c r="K7009" s="5" t="s">
        <v>44741</v>
      </c>
    </row>
    <row r="7010">
      <c r="A7010" s="4">
        <v>45534.37596491898</v>
      </c>
      <c r="B7010" s="5" t="s">
        <v>34</v>
      </c>
      <c r="D7010" s="5" t="s">
        <v>10444</v>
      </c>
      <c r="E7010" s="5" t="s">
        <v>44764</v>
      </c>
      <c r="F7010" s="5" t="s">
        <v>212</v>
      </c>
      <c r="G7010" s="5" t="s">
        <v>44765</v>
      </c>
      <c r="H7010" s="6" t="s">
        <v>44766</v>
      </c>
      <c r="K7010" s="5" t="s">
        <v>44767</v>
      </c>
    </row>
    <row r="7011">
      <c r="A7011" s="4">
        <v>45534.37596877315</v>
      </c>
      <c r="B7011" s="5" t="s">
        <v>34</v>
      </c>
      <c r="D7011" s="5" t="s">
        <v>4775</v>
      </c>
      <c r="E7011" s="5" t="s">
        <v>44770</v>
      </c>
      <c r="F7011" s="5" t="s">
        <v>212</v>
      </c>
      <c r="G7011" s="5" t="s">
        <v>44771</v>
      </c>
      <c r="H7011" s="6" t="s">
        <v>44772</v>
      </c>
      <c r="K7011" s="5" t="s">
        <v>44767</v>
      </c>
    </row>
    <row r="7012">
      <c r="A7012" s="4">
        <v>45534.375987164356</v>
      </c>
      <c r="B7012" s="5" t="s">
        <v>34</v>
      </c>
      <c r="D7012" s="5" t="s">
        <v>1206</v>
      </c>
      <c r="E7012" s="5" t="s">
        <v>44776</v>
      </c>
      <c r="F7012" s="5" t="s">
        <v>212</v>
      </c>
      <c r="G7012" s="5" t="s">
        <v>44777</v>
      </c>
      <c r="H7012" s="6" t="s">
        <v>44778</v>
      </c>
      <c r="K7012" s="5" t="s">
        <v>44767</v>
      </c>
    </row>
    <row r="7013">
      <c r="A7013" s="4">
        <v>45534.37599438657</v>
      </c>
      <c r="B7013" s="5" t="s">
        <v>34</v>
      </c>
      <c r="D7013" s="5" t="s">
        <v>267</v>
      </c>
      <c r="E7013" s="5" t="s">
        <v>44781</v>
      </c>
      <c r="F7013" s="5" t="s">
        <v>108</v>
      </c>
      <c r="G7013" s="5" t="s">
        <v>44782</v>
      </c>
      <c r="H7013" s="6" t="s">
        <v>44783</v>
      </c>
      <c r="K7013" s="5" t="s">
        <v>44767</v>
      </c>
    </row>
    <row r="7014">
      <c r="A7014" s="4">
        <v>45534.37600940972</v>
      </c>
      <c r="B7014" s="5" t="s">
        <v>34</v>
      </c>
      <c r="D7014" s="5" t="s">
        <v>35</v>
      </c>
      <c r="E7014" s="5" t="s">
        <v>44786</v>
      </c>
      <c r="F7014" s="5" t="s">
        <v>72</v>
      </c>
      <c r="G7014" s="5" t="s">
        <v>44787</v>
      </c>
      <c r="H7014" s="6" t="s">
        <v>44788</v>
      </c>
      <c r="K7014" s="5" t="s">
        <v>44789</v>
      </c>
    </row>
    <row r="7015">
      <c r="A7015" s="4">
        <v>45534.37601028935</v>
      </c>
      <c r="B7015" s="5" t="s">
        <v>34</v>
      </c>
      <c r="D7015" s="5" t="s">
        <v>701</v>
      </c>
      <c r="E7015" s="5" t="s">
        <v>44792</v>
      </c>
      <c r="F7015" s="5" t="s">
        <v>37</v>
      </c>
      <c r="G7015" s="5" t="s">
        <v>44793</v>
      </c>
      <c r="H7015" s="6" t="s">
        <v>44794</v>
      </c>
      <c r="K7015" s="5" t="s">
        <v>44789</v>
      </c>
    </row>
    <row r="7016">
      <c r="A7016" s="4">
        <v>45534.376016724535</v>
      </c>
      <c r="B7016" s="5" t="s">
        <v>34</v>
      </c>
      <c r="D7016" s="5" t="s">
        <v>1558</v>
      </c>
      <c r="E7016" s="5" t="s">
        <v>44797</v>
      </c>
      <c r="F7016" s="5" t="s">
        <v>72</v>
      </c>
      <c r="G7016" s="5" t="s">
        <v>44798</v>
      </c>
      <c r="H7016" s="6" t="s">
        <v>44799</v>
      </c>
      <c r="K7016" s="5" t="s">
        <v>44789</v>
      </c>
    </row>
    <row r="7017">
      <c r="A7017" s="4">
        <v>45534.3760180324</v>
      </c>
      <c r="B7017" s="5" t="s">
        <v>34</v>
      </c>
      <c r="D7017" s="5" t="s">
        <v>1206</v>
      </c>
      <c r="E7017" s="5" t="s">
        <v>44803</v>
      </c>
      <c r="F7017" s="5" t="s">
        <v>199</v>
      </c>
      <c r="G7017" s="5" t="s">
        <v>44804</v>
      </c>
      <c r="H7017" s="6" t="s">
        <v>44805</v>
      </c>
      <c r="K7017" s="5" t="s">
        <v>44789</v>
      </c>
    </row>
    <row r="7018">
      <c r="A7018" s="4">
        <v>45534.3760324537</v>
      </c>
      <c r="B7018" s="5" t="s">
        <v>34</v>
      </c>
      <c r="D7018" s="5" t="s">
        <v>1558</v>
      </c>
      <c r="E7018" s="5" t="s">
        <v>44808</v>
      </c>
      <c r="F7018" s="5" t="s">
        <v>212</v>
      </c>
      <c r="G7018" s="5" t="s">
        <v>44809</v>
      </c>
      <c r="H7018" s="6" t="s">
        <v>44810</v>
      </c>
      <c r="K7018" s="5" t="s">
        <v>44789</v>
      </c>
    </row>
    <row r="7019">
      <c r="A7019" s="4">
        <v>45534.37604574074</v>
      </c>
      <c r="B7019" s="5" t="s">
        <v>34</v>
      </c>
      <c r="D7019" s="5" t="s">
        <v>1558</v>
      </c>
      <c r="E7019" s="5" t="s">
        <v>26494</v>
      </c>
      <c r="F7019" s="5" t="s">
        <v>108</v>
      </c>
      <c r="G7019" s="5" t="s">
        <v>44813</v>
      </c>
      <c r="H7019" s="6" t="s">
        <v>44814</v>
      </c>
      <c r="K7019" s="5" t="s">
        <v>44815</v>
      </c>
    </row>
    <row r="7020">
      <c r="A7020" s="4">
        <v>45534.3760546875</v>
      </c>
      <c r="B7020" s="5" t="s">
        <v>34</v>
      </c>
      <c r="D7020" s="5" t="s">
        <v>9020</v>
      </c>
      <c r="E7020" s="5" t="s">
        <v>44818</v>
      </c>
      <c r="F7020" s="5" t="s">
        <v>524</v>
      </c>
      <c r="G7020" s="5" t="s">
        <v>44819</v>
      </c>
      <c r="H7020" s="6" t="s">
        <v>44820</v>
      </c>
      <c r="K7020" s="5" t="s">
        <v>44815</v>
      </c>
    </row>
    <row r="7021">
      <c r="A7021" s="4">
        <v>45534.37608818287</v>
      </c>
      <c r="B7021" s="5" t="s">
        <v>34</v>
      </c>
      <c r="D7021" s="5" t="s">
        <v>12010</v>
      </c>
      <c r="E7021" s="5" t="s">
        <v>44823</v>
      </c>
      <c r="F7021" s="5" t="s">
        <v>375</v>
      </c>
      <c r="G7021" s="5" t="s">
        <v>44824</v>
      </c>
      <c r="H7021" s="6" t="s">
        <v>44825</v>
      </c>
      <c r="K7021" s="5" t="s">
        <v>44826</v>
      </c>
    </row>
    <row r="7022">
      <c r="A7022" s="4">
        <v>45534.37617599537</v>
      </c>
      <c r="B7022" s="5" t="s">
        <v>34</v>
      </c>
      <c r="D7022" s="5" t="s">
        <v>15401</v>
      </c>
      <c r="E7022" s="5" t="s">
        <v>44830</v>
      </c>
      <c r="F7022" s="5" t="s">
        <v>108</v>
      </c>
      <c r="G7022" s="5" t="s">
        <v>44831</v>
      </c>
      <c r="H7022" s="6" t="s">
        <v>44832</v>
      </c>
      <c r="K7022" s="5" t="s">
        <v>44833</v>
      </c>
    </row>
    <row r="7023">
      <c r="A7023" s="4">
        <v>45534.376212083334</v>
      </c>
      <c r="B7023" s="5" t="s">
        <v>34</v>
      </c>
      <c r="D7023" s="5" t="s">
        <v>9020</v>
      </c>
      <c r="E7023" s="5" t="s">
        <v>44836</v>
      </c>
      <c r="F7023" s="5" t="s">
        <v>212</v>
      </c>
      <c r="G7023" s="5" t="s">
        <v>44837</v>
      </c>
      <c r="H7023" s="6" t="s">
        <v>44838</v>
      </c>
      <c r="K7023" s="5" t="s">
        <v>44839</v>
      </c>
    </row>
    <row r="7024">
      <c r="A7024" s="4">
        <v>45534.376227500004</v>
      </c>
      <c r="B7024" s="5" t="s">
        <v>34</v>
      </c>
      <c r="D7024" s="5" t="s">
        <v>3432</v>
      </c>
      <c r="E7024" s="5" t="s">
        <v>44842</v>
      </c>
      <c r="F7024" s="5" t="s">
        <v>72</v>
      </c>
      <c r="G7024" s="5" t="s">
        <v>44843</v>
      </c>
      <c r="H7024" s="6" t="s">
        <v>44844</v>
      </c>
      <c r="K7024" s="5" t="s">
        <v>44839</v>
      </c>
    </row>
    <row r="7025">
      <c r="A7025" s="4">
        <v>45534.37625763888</v>
      </c>
      <c r="B7025" s="5" t="s">
        <v>34</v>
      </c>
      <c r="D7025" s="5" t="s">
        <v>12978</v>
      </c>
      <c r="E7025" s="5" t="s">
        <v>44847</v>
      </c>
      <c r="F7025" s="5" t="s">
        <v>212</v>
      </c>
      <c r="G7025" s="5" t="s">
        <v>44848</v>
      </c>
      <c r="H7025" s="6" t="s">
        <v>44849</v>
      </c>
      <c r="K7025" s="5" t="s">
        <v>44850</v>
      </c>
    </row>
    <row r="7026">
      <c r="A7026" s="4">
        <v>45534.37626797454</v>
      </c>
      <c r="B7026" s="5" t="s">
        <v>34</v>
      </c>
      <c r="D7026" s="5" t="s">
        <v>12978</v>
      </c>
      <c r="E7026" s="5" t="s">
        <v>44854</v>
      </c>
      <c r="F7026" s="5" t="s">
        <v>108</v>
      </c>
      <c r="G7026" s="5" t="s">
        <v>44855</v>
      </c>
      <c r="H7026" s="6" t="s">
        <v>44856</v>
      </c>
      <c r="K7026" s="5" t="s">
        <v>44850</v>
      </c>
    </row>
    <row r="7027">
      <c r="A7027" s="4">
        <v>45534.37627605324</v>
      </c>
      <c r="B7027" s="5" t="s">
        <v>34</v>
      </c>
      <c r="D7027" s="5" t="s">
        <v>9020</v>
      </c>
      <c r="E7027" s="5" t="s">
        <v>44859</v>
      </c>
      <c r="F7027" s="5" t="s">
        <v>524</v>
      </c>
      <c r="G7027" s="5" t="s">
        <v>44860</v>
      </c>
      <c r="H7027" s="6" t="s">
        <v>44861</v>
      </c>
      <c r="K7027" s="5" t="s">
        <v>44850</v>
      </c>
    </row>
    <row r="7028">
      <c r="A7028" s="4">
        <v>45534.376277152776</v>
      </c>
      <c r="B7028" s="5" t="s">
        <v>34</v>
      </c>
      <c r="D7028" s="5" t="s">
        <v>1206</v>
      </c>
      <c r="E7028" s="5" t="s">
        <v>44864</v>
      </c>
      <c r="F7028" s="5" t="s">
        <v>120</v>
      </c>
      <c r="G7028" s="5" t="s">
        <v>44865</v>
      </c>
      <c r="H7028" s="6" t="s">
        <v>44866</v>
      </c>
      <c r="K7028" s="5" t="s">
        <v>44850</v>
      </c>
    </row>
    <row r="7029">
      <c r="A7029" s="4">
        <v>45534.3763178125</v>
      </c>
      <c r="B7029" s="5" t="s">
        <v>34</v>
      </c>
      <c r="D7029" s="5" t="s">
        <v>701</v>
      </c>
      <c r="E7029" s="5" t="s">
        <v>44870</v>
      </c>
      <c r="F7029" s="5" t="s">
        <v>212</v>
      </c>
      <c r="G7029" s="5" t="s">
        <v>44871</v>
      </c>
      <c r="H7029" s="6" t="s">
        <v>44872</v>
      </c>
      <c r="K7029" s="5" t="s">
        <v>44873</v>
      </c>
    </row>
    <row r="7030">
      <c r="A7030" s="4">
        <v>45534.376341192125</v>
      </c>
      <c r="B7030" s="5" t="s">
        <v>34</v>
      </c>
      <c r="D7030" s="5" t="s">
        <v>9020</v>
      </c>
      <c r="E7030" s="5" t="s">
        <v>44876</v>
      </c>
      <c r="F7030" s="5" t="s">
        <v>212</v>
      </c>
      <c r="G7030" s="5" t="s">
        <v>44877</v>
      </c>
      <c r="H7030" s="6" t="s">
        <v>44878</v>
      </c>
      <c r="K7030" s="5" t="s">
        <v>44873</v>
      </c>
    </row>
    <row r="7031">
      <c r="A7031" s="4">
        <v>45534.376342118056</v>
      </c>
      <c r="B7031" s="5" t="s">
        <v>34</v>
      </c>
      <c r="D7031" s="5" t="s">
        <v>1206</v>
      </c>
      <c r="E7031" s="5" t="s">
        <v>44881</v>
      </c>
      <c r="F7031" s="5" t="s">
        <v>37</v>
      </c>
      <c r="G7031" s="5" t="s">
        <v>44882</v>
      </c>
      <c r="H7031" s="6" t="s">
        <v>44883</v>
      </c>
      <c r="K7031" s="5" t="s">
        <v>44884</v>
      </c>
    </row>
    <row r="7032">
      <c r="A7032" s="4">
        <v>45534.376348680555</v>
      </c>
      <c r="B7032" s="5" t="s">
        <v>34</v>
      </c>
      <c r="D7032" s="5" t="s">
        <v>10444</v>
      </c>
      <c r="E7032" s="5" t="s">
        <v>44887</v>
      </c>
      <c r="F7032" s="5" t="s">
        <v>212</v>
      </c>
      <c r="G7032" s="5" t="s">
        <v>44888</v>
      </c>
      <c r="H7032" s="6" t="s">
        <v>44889</v>
      </c>
      <c r="K7032" s="5" t="s">
        <v>44884</v>
      </c>
    </row>
    <row r="7033">
      <c r="A7033" s="4">
        <v>45534.37637405093</v>
      </c>
      <c r="B7033" s="5" t="s">
        <v>34</v>
      </c>
      <c r="D7033" s="5" t="s">
        <v>701</v>
      </c>
      <c r="E7033" s="5" t="s">
        <v>44892</v>
      </c>
      <c r="F7033" s="5" t="s">
        <v>212</v>
      </c>
      <c r="G7033" s="5" t="s">
        <v>44893</v>
      </c>
      <c r="H7033" s="6" t="s">
        <v>44894</v>
      </c>
      <c r="K7033" s="5" t="s">
        <v>44895</v>
      </c>
    </row>
    <row r="7034">
      <c r="A7034" s="4">
        <v>45534.37639322916</v>
      </c>
      <c r="B7034" s="5" t="s">
        <v>34</v>
      </c>
      <c r="D7034" s="5" t="s">
        <v>9020</v>
      </c>
      <c r="E7034" s="5" t="s">
        <v>44899</v>
      </c>
      <c r="F7034" s="5" t="s">
        <v>212</v>
      </c>
      <c r="G7034" s="5" t="s">
        <v>44900</v>
      </c>
      <c r="H7034" s="6" t="s">
        <v>44901</v>
      </c>
      <c r="K7034" s="5" t="s">
        <v>44895</v>
      </c>
    </row>
    <row r="7035">
      <c r="A7035" s="4">
        <v>45534.37640479166</v>
      </c>
      <c r="B7035" s="5" t="s">
        <v>34</v>
      </c>
      <c r="D7035" s="5" t="s">
        <v>12010</v>
      </c>
      <c r="E7035" s="5" t="s">
        <v>44904</v>
      </c>
      <c r="F7035" s="5" t="s">
        <v>37</v>
      </c>
      <c r="G7035" s="5" t="s">
        <v>44905</v>
      </c>
      <c r="H7035" s="6" t="s">
        <v>44906</v>
      </c>
      <c r="K7035" s="5" t="s">
        <v>44895</v>
      </c>
    </row>
    <row r="7036">
      <c r="A7036" s="4">
        <v>45534.37640663194</v>
      </c>
      <c r="B7036" s="5" t="s">
        <v>34</v>
      </c>
      <c r="D7036" s="5" t="s">
        <v>12978</v>
      </c>
      <c r="E7036" s="5" t="s">
        <v>44909</v>
      </c>
      <c r="F7036" s="5" t="s">
        <v>108</v>
      </c>
      <c r="G7036" s="5" t="s">
        <v>44910</v>
      </c>
      <c r="H7036" s="6" t="s">
        <v>44911</v>
      </c>
      <c r="K7036" s="5" t="s">
        <v>44895</v>
      </c>
    </row>
    <row r="7037">
      <c r="A7037" s="4">
        <v>45534.37645170139</v>
      </c>
      <c r="B7037" s="5" t="s">
        <v>34</v>
      </c>
      <c r="D7037" s="5" t="s">
        <v>701</v>
      </c>
      <c r="E7037" s="5" t="s">
        <v>44914</v>
      </c>
      <c r="F7037" s="5" t="s">
        <v>524</v>
      </c>
      <c r="G7037" s="5" t="s">
        <v>44915</v>
      </c>
      <c r="H7037" s="6" t="s">
        <v>44916</v>
      </c>
      <c r="K7037" s="5" t="s">
        <v>44917</v>
      </c>
    </row>
    <row r="7038">
      <c r="A7038" s="4">
        <v>45534.37645256944</v>
      </c>
      <c r="B7038" s="5" t="s">
        <v>34</v>
      </c>
      <c r="D7038" s="5" t="s">
        <v>9020</v>
      </c>
      <c r="E7038" s="5" t="s">
        <v>44920</v>
      </c>
      <c r="F7038" s="5" t="s">
        <v>72</v>
      </c>
      <c r="G7038" s="5" t="s">
        <v>44921</v>
      </c>
      <c r="H7038" s="6" t="s">
        <v>44922</v>
      </c>
      <c r="K7038" s="5" t="s">
        <v>44917</v>
      </c>
    </row>
    <row r="7039">
      <c r="A7039" s="4">
        <v>45534.376458865736</v>
      </c>
      <c r="B7039" s="5" t="s">
        <v>34</v>
      </c>
      <c r="D7039" s="5" t="s">
        <v>10444</v>
      </c>
      <c r="E7039" s="5" t="s">
        <v>44926</v>
      </c>
      <c r="F7039" s="5" t="s">
        <v>37</v>
      </c>
      <c r="G7039" s="5" t="s">
        <v>44927</v>
      </c>
      <c r="H7039" s="6" t="s">
        <v>44928</v>
      </c>
      <c r="K7039" s="5" t="s">
        <v>44917</v>
      </c>
    </row>
    <row r="7040">
      <c r="A7040" s="4">
        <v>45534.37646344907</v>
      </c>
      <c r="B7040" s="5" t="s">
        <v>34</v>
      </c>
      <c r="D7040" s="5" t="s">
        <v>9020</v>
      </c>
      <c r="E7040" s="5" t="s">
        <v>44931</v>
      </c>
      <c r="F7040" s="5" t="s">
        <v>212</v>
      </c>
      <c r="G7040" s="5" t="s">
        <v>44932</v>
      </c>
      <c r="H7040" s="6" t="s">
        <v>44933</v>
      </c>
      <c r="K7040" s="5" t="s">
        <v>44917</v>
      </c>
    </row>
    <row r="7041">
      <c r="A7041" s="4">
        <v>45534.376479074075</v>
      </c>
      <c r="B7041" s="5" t="s">
        <v>34</v>
      </c>
      <c r="D7041" s="5" t="s">
        <v>4775</v>
      </c>
      <c r="E7041" s="5" t="s">
        <v>44936</v>
      </c>
      <c r="F7041" s="5" t="s">
        <v>524</v>
      </c>
      <c r="G7041" s="5" t="s">
        <v>44937</v>
      </c>
      <c r="H7041" s="6" t="s">
        <v>44938</v>
      </c>
      <c r="K7041" s="5" t="s">
        <v>44917</v>
      </c>
    </row>
    <row r="7042">
      <c r="A7042" s="4">
        <v>45534.3764842824</v>
      </c>
      <c r="B7042" s="5" t="s">
        <v>34</v>
      </c>
      <c r="D7042" s="5" t="s">
        <v>522</v>
      </c>
      <c r="E7042" s="5" t="s">
        <v>44942</v>
      </c>
      <c r="F7042" s="5" t="s">
        <v>524</v>
      </c>
      <c r="G7042" s="5" t="s">
        <v>44943</v>
      </c>
      <c r="H7042" s="6" t="s">
        <v>44944</v>
      </c>
      <c r="K7042" s="5" t="s">
        <v>44917</v>
      </c>
    </row>
    <row r="7043">
      <c r="A7043" s="4">
        <v>45534.37649446759</v>
      </c>
      <c r="B7043" s="5" t="s">
        <v>34</v>
      </c>
      <c r="D7043" s="5" t="s">
        <v>1558</v>
      </c>
      <c r="E7043" s="5" t="s">
        <v>44947</v>
      </c>
      <c r="F7043" s="5" t="s">
        <v>37</v>
      </c>
      <c r="G7043" s="5" t="s">
        <v>44948</v>
      </c>
      <c r="H7043" s="6" t="s">
        <v>44949</v>
      </c>
      <c r="K7043" s="5" t="s">
        <v>44950</v>
      </c>
    </row>
    <row r="7044">
      <c r="A7044" s="4">
        <v>45534.376509016205</v>
      </c>
      <c r="B7044" s="5" t="s">
        <v>19</v>
      </c>
      <c r="C7044" s="5" t="s">
        <v>292</v>
      </c>
      <c r="E7044" s="5" t="s">
        <v>44953</v>
      </c>
      <c r="F7044" s="5" t="s">
        <v>524</v>
      </c>
      <c r="G7044" s="5" t="s">
        <v>44954</v>
      </c>
      <c r="H7044" s="6" t="s">
        <v>44955</v>
      </c>
      <c r="K7044" s="5" t="s">
        <v>44950</v>
      </c>
    </row>
    <row r="7045">
      <c r="A7045" s="4">
        <v>45534.3765196875</v>
      </c>
      <c r="B7045" s="5" t="s">
        <v>34</v>
      </c>
      <c r="D7045" s="5" t="s">
        <v>1206</v>
      </c>
      <c r="E7045" s="5" t="s">
        <v>44958</v>
      </c>
      <c r="F7045" s="5" t="s">
        <v>524</v>
      </c>
      <c r="G7045" s="5" t="s">
        <v>44959</v>
      </c>
      <c r="H7045" s="6" t="s">
        <v>44960</v>
      </c>
      <c r="K7045" s="5" t="s">
        <v>44950</v>
      </c>
    </row>
    <row r="7046">
      <c r="A7046" s="4">
        <v>45534.37654799769</v>
      </c>
      <c r="B7046" s="5" t="s">
        <v>34</v>
      </c>
      <c r="D7046" s="5" t="s">
        <v>10444</v>
      </c>
      <c r="E7046" s="5" t="s">
        <v>44963</v>
      </c>
      <c r="F7046" s="5" t="s">
        <v>212</v>
      </c>
      <c r="G7046" s="5" t="s">
        <v>44964</v>
      </c>
      <c r="H7046" s="6" t="s">
        <v>44965</v>
      </c>
      <c r="K7046" s="5" t="s">
        <v>44950</v>
      </c>
    </row>
    <row r="7047">
      <c r="A7047" s="4">
        <v>45534.37655184028</v>
      </c>
      <c r="B7047" s="5" t="s">
        <v>34</v>
      </c>
      <c r="D7047" s="5" t="s">
        <v>4775</v>
      </c>
      <c r="E7047" s="5" t="s">
        <v>44969</v>
      </c>
      <c r="F7047" s="5" t="s">
        <v>524</v>
      </c>
      <c r="G7047" s="5" t="s">
        <v>44970</v>
      </c>
      <c r="H7047" s="6" t="s">
        <v>44971</v>
      </c>
      <c r="K7047" s="5" t="s">
        <v>44950</v>
      </c>
    </row>
    <row r="7048">
      <c r="A7048" s="4">
        <v>45534.376565949075</v>
      </c>
      <c r="B7048" s="5" t="s">
        <v>34</v>
      </c>
      <c r="D7048" s="5" t="s">
        <v>4775</v>
      </c>
      <c r="E7048" s="5" t="s">
        <v>44974</v>
      </c>
      <c r="F7048" s="5" t="s">
        <v>375</v>
      </c>
      <c r="G7048" s="5" t="s">
        <v>44975</v>
      </c>
      <c r="H7048" s="6" t="s">
        <v>44976</v>
      </c>
      <c r="K7048" s="5" t="s">
        <v>44950</v>
      </c>
    </row>
    <row r="7049">
      <c r="A7049" s="4">
        <v>45534.3765690625</v>
      </c>
      <c r="B7049" s="5" t="s">
        <v>19</v>
      </c>
      <c r="C7049" s="5" t="s">
        <v>292</v>
      </c>
      <c r="E7049" s="5" t="s">
        <v>44979</v>
      </c>
      <c r="F7049" s="5" t="s">
        <v>108</v>
      </c>
      <c r="G7049" s="5" t="s">
        <v>44980</v>
      </c>
      <c r="H7049" s="6" t="s">
        <v>44981</v>
      </c>
      <c r="K7049" s="5" t="s">
        <v>44950</v>
      </c>
    </row>
    <row r="7050">
      <c r="A7050" s="4">
        <v>45534.37657597222</v>
      </c>
      <c r="B7050" s="5" t="s">
        <v>34</v>
      </c>
      <c r="D7050" s="5" t="s">
        <v>1206</v>
      </c>
      <c r="E7050" s="5" t="s">
        <v>44984</v>
      </c>
      <c r="F7050" s="5" t="s">
        <v>37</v>
      </c>
      <c r="G7050" s="5" t="s">
        <v>44985</v>
      </c>
      <c r="H7050" s="6" t="s">
        <v>44986</v>
      </c>
      <c r="K7050" s="5" t="s">
        <v>44950</v>
      </c>
    </row>
    <row r="7051">
      <c r="A7051" s="4">
        <v>45534.37658521991</v>
      </c>
      <c r="B7051" s="5" t="s">
        <v>34</v>
      </c>
      <c r="D7051" s="5" t="s">
        <v>1206</v>
      </c>
      <c r="E7051" s="5" t="s">
        <v>44990</v>
      </c>
      <c r="F7051" s="5" t="s">
        <v>524</v>
      </c>
      <c r="G7051" s="5" t="s">
        <v>44991</v>
      </c>
      <c r="H7051" s="6" t="s">
        <v>44992</v>
      </c>
      <c r="K7051" s="5" t="s">
        <v>44950</v>
      </c>
    </row>
    <row r="7052">
      <c r="A7052" s="4">
        <v>45534.3766090625</v>
      </c>
      <c r="B7052" s="5" t="s">
        <v>34</v>
      </c>
      <c r="D7052" s="5" t="s">
        <v>1206</v>
      </c>
      <c r="E7052" s="5" t="s">
        <v>44995</v>
      </c>
      <c r="F7052" s="5" t="s">
        <v>37</v>
      </c>
      <c r="G7052" s="5" t="s">
        <v>44996</v>
      </c>
      <c r="H7052" s="6" t="s">
        <v>44997</v>
      </c>
      <c r="K7052" s="5" t="s">
        <v>44950</v>
      </c>
    </row>
    <row r="7053">
      <c r="A7053" s="4">
        <v>45534.37664682871</v>
      </c>
      <c r="B7053" s="5" t="s">
        <v>34</v>
      </c>
      <c r="D7053" s="5" t="s">
        <v>35</v>
      </c>
      <c r="E7053" s="5" t="s">
        <v>45000</v>
      </c>
      <c r="F7053" s="5" t="s">
        <v>212</v>
      </c>
      <c r="G7053" s="5" t="s">
        <v>45001</v>
      </c>
      <c r="H7053" s="6" t="s">
        <v>45002</v>
      </c>
      <c r="K7053" s="5" t="s">
        <v>45003</v>
      </c>
    </row>
    <row r="7054">
      <c r="A7054" s="4">
        <v>45534.37665329861</v>
      </c>
      <c r="B7054" s="5" t="s">
        <v>34</v>
      </c>
      <c r="D7054" s="5" t="s">
        <v>4775</v>
      </c>
      <c r="E7054" s="5" t="s">
        <v>45007</v>
      </c>
      <c r="F7054" s="5" t="s">
        <v>375</v>
      </c>
      <c r="G7054" s="5" t="s">
        <v>45008</v>
      </c>
      <c r="H7054" s="6" t="s">
        <v>45009</v>
      </c>
      <c r="K7054" s="5" t="s">
        <v>45003</v>
      </c>
    </row>
    <row r="7055">
      <c r="A7055" s="4">
        <v>45534.376671817125</v>
      </c>
      <c r="B7055" s="5" t="s">
        <v>34</v>
      </c>
      <c r="D7055" s="5" t="s">
        <v>4775</v>
      </c>
      <c r="E7055" s="5" t="s">
        <v>45012</v>
      </c>
      <c r="F7055" s="5" t="s">
        <v>72</v>
      </c>
      <c r="G7055" s="5" t="s">
        <v>45013</v>
      </c>
      <c r="H7055" s="6" t="s">
        <v>45014</v>
      </c>
      <c r="K7055" s="5" t="s">
        <v>45003</v>
      </c>
    </row>
    <row r="7056">
      <c r="A7056" s="4">
        <v>45534.376695949075</v>
      </c>
      <c r="B7056" s="5" t="s">
        <v>34</v>
      </c>
      <c r="D7056" s="5" t="s">
        <v>1206</v>
      </c>
      <c r="E7056" s="5" t="s">
        <v>45017</v>
      </c>
      <c r="F7056" s="5" t="s">
        <v>212</v>
      </c>
      <c r="G7056" s="5" t="s">
        <v>45018</v>
      </c>
      <c r="H7056" s="6" t="s">
        <v>45019</v>
      </c>
      <c r="K7056" s="5" t="s">
        <v>45020</v>
      </c>
    </row>
    <row r="7057">
      <c r="A7057" s="4">
        <v>45534.37669902778</v>
      </c>
      <c r="B7057" s="5" t="s">
        <v>34</v>
      </c>
      <c r="D7057" s="5" t="s">
        <v>2903</v>
      </c>
      <c r="E7057" s="5" t="s">
        <v>45023</v>
      </c>
      <c r="F7057" s="5" t="s">
        <v>108</v>
      </c>
      <c r="G7057" s="5" t="s">
        <v>45024</v>
      </c>
      <c r="H7057" s="6" t="s">
        <v>45025</v>
      </c>
      <c r="K7057" s="5" t="s">
        <v>45020</v>
      </c>
    </row>
    <row r="7058">
      <c r="A7058" s="4">
        <v>45534.376700381945</v>
      </c>
      <c r="B7058" s="5" t="s">
        <v>34</v>
      </c>
      <c r="D7058" s="5" t="s">
        <v>701</v>
      </c>
      <c r="E7058" s="5" t="s">
        <v>45029</v>
      </c>
      <c r="F7058" s="5" t="s">
        <v>375</v>
      </c>
      <c r="G7058" s="5" t="s">
        <v>45030</v>
      </c>
      <c r="H7058" s="6" t="s">
        <v>45031</v>
      </c>
      <c r="K7058" s="5" t="s">
        <v>45020</v>
      </c>
    </row>
    <row r="7059">
      <c r="A7059" s="4">
        <v>45534.37670145833</v>
      </c>
      <c r="B7059" s="5" t="s">
        <v>34</v>
      </c>
      <c r="D7059" s="5" t="s">
        <v>14313</v>
      </c>
      <c r="E7059" s="5" t="s">
        <v>45035</v>
      </c>
      <c r="F7059" s="5" t="s">
        <v>120</v>
      </c>
      <c r="G7059" s="5" t="s">
        <v>45036</v>
      </c>
      <c r="H7059" s="6" t="s">
        <v>45037</v>
      </c>
      <c r="K7059" s="5" t="s">
        <v>45020</v>
      </c>
    </row>
    <row r="7060">
      <c r="A7060" s="4">
        <v>45534.37673319444</v>
      </c>
      <c r="B7060" s="5" t="s">
        <v>34</v>
      </c>
      <c r="D7060" s="5" t="s">
        <v>1206</v>
      </c>
      <c r="E7060" s="5" t="s">
        <v>45040</v>
      </c>
      <c r="F7060" s="5" t="s">
        <v>212</v>
      </c>
      <c r="G7060" s="5" t="s">
        <v>45041</v>
      </c>
      <c r="H7060" s="6" t="s">
        <v>45042</v>
      </c>
      <c r="K7060" s="5" t="s">
        <v>45020</v>
      </c>
    </row>
    <row r="7061">
      <c r="A7061" s="4">
        <v>45534.37676099537</v>
      </c>
      <c r="B7061" s="5" t="s">
        <v>34</v>
      </c>
      <c r="D7061" s="5" t="s">
        <v>1206</v>
      </c>
      <c r="E7061" s="5" t="s">
        <v>45045</v>
      </c>
      <c r="F7061" s="5" t="s">
        <v>212</v>
      </c>
      <c r="G7061" s="5" t="s">
        <v>45046</v>
      </c>
      <c r="H7061" s="6" t="s">
        <v>45047</v>
      </c>
      <c r="K7061" s="5" t="s">
        <v>45020</v>
      </c>
    </row>
    <row r="7062">
      <c r="A7062" s="4">
        <v>45534.37676275463</v>
      </c>
      <c r="B7062" s="5" t="s">
        <v>34</v>
      </c>
      <c r="D7062" s="5" t="s">
        <v>1206</v>
      </c>
      <c r="E7062" s="5" t="s">
        <v>45051</v>
      </c>
      <c r="F7062" s="5" t="s">
        <v>375</v>
      </c>
      <c r="G7062" s="5" t="s">
        <v>45052</v>
      </c>
      <c r="H7062" s="6" t="s">
        <v>45053</v>
      </c>
      <c r="K7062" s="5" t="s">
        <v>45020</v>
      </c>
    </row>
    <row r="7063">
      <c r="A7063" s="4">
        <v>45534.37679472222</v>
      </c>
      <c r="B7063" s="5" t="s">
        <v>34</v>
      </c>
      <c r="D7063" s="5" t="s">
        <v>1206</v>
      </c>
      <c r="E7063" s="5" t="s">
        <v>45056</v>
      </c>
      <c r="F7063" s="5" t="s">
        <v>37</v>
      </c>
      <c r="G7063" s="5" t="s">
        <v>45057</v>
      </c>
      <c r="H7063" s="6" t="s">
        <v>45058</v>
      </c>
      <c r="K7063" s="5" t="s">
        <v>45059</v>
      </c>
    </row>
    <row r="7064">
      <c r="A7064" s="4">
        <v>45534.3767958449</v>
      </c>
      <c r="B7064" s="5" t="s">
        <v>34</v>
      </c>
      <c r="D7064" s="5" t="s">
        <v>4775</v>
      </c>
      <c r="E7064" s="5" t="s">
        <v>45062</v>
      </c>
      <c r="F7064" s="5" t="s">
        <v>37</v>
      </c>
      <c r="G7064" s="5" t="s">
        <v>45063</v>
      </c>
      <c r="H7064" s="6" t="s">
        <v>45064</v>
      </c>
      <c r="K7064" s="5" t="s">
        <v>45059</v>
      </c>
    </row>
    <row r="7065">
      <c r="A7065" s="4">
        <v>45534.376803935185</v>
      </c>
      <c r="B7065" s="5" t="s">
        <v>34</v>
      </c>
      <c r="D7065" s="5" t="s">
        <v>10444</v>
      </c>
      <c r="E7065" s="5" t="s">
        <v>45067</v>
      </c>
      <c r="F7065" s="5" t="s">
        <v>37</v>
      </c>
      <c r="G7065" s="5" t="s">
        <v>45068</v>
      </c>
      <c r="H7065" s="6" t="s">
        <v>45069</v>
      </c>
      <c r="K7065" s="5" t="s">
        <v>45059</v>
      </c>
    </row>
    <row r="7066">
      <c r="A7066" s="4">
        <v>45534.376817094904</v>
      </c>
      <c r="B7066" s="5" t="s">
        <v>34</v>
      </c>
      <c r="D7066" s="5" t="s">
        <v>1558</v>
      </c>
      <c r="E7066" s="5" t="s">
        <v>45073</v>
      </c>
      <c r="F7066" s="5" t="s">
        <v>524</v>
      </c>
      <c r="G7066" s="5" t="s">
        <v>45074</v>
      </c>
      <c r="H7066" s="6" t="s">
        <v>45075</v>
      </c>
      <c r="K7066" s="5" t="s">
        <v>45059</v>
      </c>
    </row>
    <row r="7067">
      <c r="A7067" s="4">
        <v>45534.37681803241</v>
      </c>
      <c r="B7067" s="5" t="s">
        <v>19</v>
      </c>
      <c r="C7067" s="5" t="s">
        <v>292</v>
      </c>
      <c r="E7067" s="5" t="s">
        <v>45078</v>
      </c>
      <c r="F7067" s="5" t="s">
        <v>108</v>
      </c>
      <c r="G7067" s="5" t="s">
        <v>45079</v>
      </c>
      <c r="H7067" s="6" t="s">
        <v>45080</v>
      </c>
      <c r="K7067" s="5" t="s">
        <v>45059</v>
      </c>
    </row>
    <row r="7068">
      <c r="A7068" s="4">
        <v>45534.37682938657</v>
      </c>
      <c r="B7068" s="5" t="s">
        <v>34</v>
      </c>
      <c r="D7068" s="5" t="s">
        <v>1692</v>
      </c>
      <c r="E7068" s="5" t="s">
        <v>45083</v>
      </c>
      <c r="F7068" s="5" t="s">
        <v>37</v>
      </c>
      <c r="G7068" s="5" t="s">
        <v>45084</v>
      </c>
      <c r="H7068" s="6" t="s">
        <v>45085</v>
      </c>
      <c r="K7068" s="5" t="s">
        <v>45059</v>
      </c>
    </row>
    <row r="7069">
      <c r="A7069" s="4">
        <v>45534.37686765046</v>
      </c>
      <c r="B7069" s="5" t="s">
        <v>34</v>
      </c>
      <c r="D7069" s="5" t="s">
        <v>1206</v>
      </c>
      <c r="E7069" s="5" t="s">
        <v>45088</v>
      </c>
      <c r="F7069" s="5" t="s">
        <v>120</v>
      </c>
      <c r="G7069" s="5" t="s">
        <v>45089</v>
      </c>
      <c r="H7069" s="6" t="s">
        <v>45090</v>
      </c>
      <c r="K7069" s="5" t="s">
        <v>45059</v>
      </c>
    </row>
    <row r="7070">
      <c r="A7070" s="4">
        <v>45534.37687206018</v>
      </c>
      <c r="B7070" s="5" t="s">
        <v>34</v>
      </c>
      <c r="D7070" s="5" t="s">
        <v>9020</v>
      </c>
      <c r="E7070" s="5" t="s">
        <v>45093</v>
      </c>
      <c r="F7070" s="5" t="s">
        <v>37</v>
      </c>
      <c r="G7070" s="5" t="s">
        <v>45094</v>
      </c>
      <c r="H7070" s="6" t="s">
        <v>45095</v>
      </c>
      <c r="K7070" s="5" t="s">
        <v>45059</v>
      </c>
    </row>
    <row r="7071">
      <c r="A7071" s="4">
        <v>45534.376883958335</v>
      </c>
      <c r="B7071" s="5" t="s">
        <v>34</v>
      </c>
      <c r="D7071" s="5" t="s">
        <v>1558</v>
      </c>
      <c r="E7071" s="5" t="s">
        <v>45099</v>
      </c>
      <c r="F7071" s="5" t="s">
        <v>199</v>
      </c>
      <c r="G7071" s="5" t="s">
        <v>45100</v>
      </c>
      <c r="H7071" s="6" t="s">
        <v>45101</v>
      </c>
      <c r="K7071" s="5" t="s">
        <v>45059</v>
      </c>
    </row>
    <row r="7072">
      <c r="A7072" s="4">
        <v>45534.376887453705</v>
      </c>
      <c r="B7072" s="5" t="s">
        <v>34</v>
      </c>
      <c r="D7072" s="5" t="s">
        <v>9394</v>
      </c>
      <c r="E7072" s="5" t="s">
        <v>45104</v>
      </c>
      <c r="F7072" s="5" t="s">
        <v>72</v>
      </c>
      <c r="G7072" s="5" t="s">
        <v>45105</v>
      </c>
      <c r="H7072" s="6" t="s">
        <v>45106</v>
      </c>
      <c r="K7072" s="5" t="s">
        <v>45059</v>
      </c>
    </row>
    <row r="7073">
      <c r="A7073" s="4">
        <v>45534.376896319445</v>
      </c>
      <c r="B7073" s="5" t="s">
        <v>34</v>
      </c>
      <c r="D7073" s="5" t="s">
        <v>1206</v>
      </c>
      <c r="E7073" s="5" t="s">
        <v>45109</v>
      </c>
      <c r="F7073" s="5" t="s">
        <v>524</v>
      </c>
      <c r="G7073" s="5" t="s">
        <v>45110</v>
      </c>
      <c r="H7073" s="6" t="s">
        <v>45111</v>
      </c>
      <c r="K7073" s="5" t="s">
        <v>45059</v>
      </c>
    </row>
    <row r="7074">
      <c r="A7074" s="4">
        <v>45534.376906875</v>
      </c>
      <c r="B7074" s="5" t="s">
        <v>34</v>
      </c>
      <c r="D7074" s="5" t="s">
        <v>4775</v>
      </c>
      <c r="E7074" s="5" t="s">
        <v>45114</v>
      </c>
      <c r="F7074" s="5" t="s">
        <v>37</v>
      </c>
      <c r="G7074" s="5" t="s">
        <v>45115</v>
      </c>
      <c r="H7074" s="6" t="s">
        <v>45116</v>
      </c>
      <c r="K7074" s="5" t="s">
        <v>45059</v>
      </c>
    </row>
    <row r="7075">
      <c r="A7075" s="4">
        <v>45534.37690743056</v>
      </c>
      <c r="B7075" s="5" t="s">
        <v>34</v>
      </c>
      <c r="D7075" s="5" t="s">
        <v>1558</v>
      </c>
      <c r="E7075" s="5" t="s">
        <v>45120</v>
      </c>
      <c r="F7075" s="5" t="s">
        <v>37</v>
      </c>
      <c r="G7075" s="5" t="s">
        <v>45121</v>
      </c>
      <c r="H7075" s="6" t="s">
        <v>45122</v>
      </c>
      <c r="K7075" s="5" t="s">
        <v>45059</v>
      </c>
    </row>
    <row r="7076">
      <c r="A7076" s="4">
        <v>45534.376934479165</v>
      </c>
      <c r="B7076" s="5" t="s">
        <v>19</v>
      </c>
      <c r="C7076" s="5" t="s">
        <v>5564</v>
      </c>
      <c r="E7076" s="5" t="s">
        <v>45125</v>
      </c>
      <c r="F7076" s="5" t="s">
        <v>72</v>
      </c>
      <c r="G7076" s="5" t="s">
        <v>45126</v>
      </c>
      <c r="H7076" s="6" t="s">
        <v>45127</v>
      </c>
      <c r="K7076" s="5" t="s">
        <v>45128</v>
      </c>
    </row>
    <row r="7077">
      <c r="A7077" s="4">
        <v>45534.37694396991</v>
      </c>
      <c r="B7077" s="5" t="s">
        <v>34</v>
      </c>
      <c r="D7077" s="5" t="s">
        <v>3849</v>
      </c>
      <c r="E7077" s="5" t="s">
        <v>16572</v>
      </c>
      <c r="F7077" s="5" t="s">
        <v>37</v>
      </c>
      <c r="G7077" s="5" t="s">
        <v>45132</v>
      </c>
      <c r="H7077" s="6" t="s">
        <v>45133</v>
      </c>
      <c r="K7077" s="5" t="s">
        <v>45128</v>
      </c>
    </row>
    <row r="7078">
      <c r="A7078" s="4">
        <v>45534.37694434028</v>
      </c>
      <c r="B7078" s="5" t="s">
        <v>34</v>
      </c>
      <c r="D7078" s="5" t="s">
        <v>4775</v>
      </c>
      <c r="E7078" s="5" t="s">
        <v>45136</v>
      </c>
      <c r="F7078" s="5" t="s">
        <v>328</v>
      </c>
      <c r="G7078" s="5" t="s">
        <v>45137</v>
      </c>
      <c r="H7078" s="6" t="s">
        <v>45138</v>
      </c>
      <c r="K7078" s="5" t="s">
        <v>45128</v>
      </c>
    </row>
    <row r="7079">
      <c r="A7079" s="4">
        <v>45534.37695311343</v>
      </c>
      <c r="B7079" s="5" t="s">
        <v>34</v>
      </c>
      <c r="D7079" s="5" t="s">
        <v>12978</v>
      </c>
      <c r="E7079" s="5" t="s">
        <v>45142</v>
      </c>
      <c r="F7079" s="5" t="s">
        <v>108</v>
      </c>
      <c r="G7079" s="5" t="s">
        <v>45143</v>
      </c>
      <c r="H7079" s="6" t="s">
        <v>45144</v>
      </c>
      <c r="K7079" s="5" t="s">
        <v>45145</v>
      </c>
    </row>
    <row r="7080">
      <c r="A7080" s="4">
        <v>45534.376982013884</v>
      </c>
      <c r="B7080" s="5" t="s">
        <v>34</v>
      </c>
      <c r="D7080" s="5" t="s">
        <v>14424</v>
      </c>
      <c r="E7080" s="5" t="s">
        <v>45148</v>
      </c>
      <c r="F7080" s="5" t="s">
        <v>212</v>
      </c>
      <c r="G7080" s="5" t="s">
        <v>45149</v>
      </c>
      <c r="H7080" s="6" t="s">
        <v>45150</v>
      </c>
      <c r="K7080" s="5" t="s">
        <v>45151</v>
      </c>
    </row>
    <row r="7081">
      <c r="A7081" s="4">
        <v>45534.37699873843</v>
      </c>
      <c r="B7081" s="5" t="s">
        <v>19</v>
      </c>
      <c r="C7081" s="5" t="s">
        <v>26187</v>
      </c>
      <c r="E7081" s="5" t="s">
        <v>45154</v>
      </c>
      <c r="F7081" s="5" t="s">
        <v>37</v>
      </c>
      <c r="G7081" s="5" t="s">
        <v>45155</v>
      </c>
      <c r="H7081" s="6" t="s">
        <v>45156</v>
      </c>
      <c r="K7081" s="5" t="s">
        <v>45157</v>
      </c>
    </row>
    <row r="7082">
      <c r="A7082" s="4">
        <v>45534.37701758102</v>
      </c>
      <c r="B7082" s="5" t="s">
        <v>34</v>
      </c>
      <c r="D7082" s="5" t="s">
        <v>2903</v>
      </c>
      <c r="E7082" s="5" t="s">
        <v>45161</v>
      </c>
      <c r="F7082" s="5" t="s">
        <v>37</v>
      </c>
      <c r="G7082" s="5" t="s">
        <v>45162</v>
      </c>
      <c r="H7082" s="6" t="s">
        <v>45163</v>
      </c>
      <c r="K7082" s="5" t="s">
        <v>45157</v>
      </c>
    </row>
    <row r="7083">
      <c r="A7083" s="4">
        <v>45534.37702325232</v>
      </c>
      <c r="B7083" s="5" t="s">
        <v>34</v>
      </c>
      <c r="D7083" s="5" t="s">
        <v>1558</v>
      </c>
      <c r="E7083" s="5" t="s">
        <v>45166</v>
      </c>
      <c r="F7083" s="5" t="s">
        <v>212</v>
      </c>
      <c r="G7083" s="5" t="s">
        <v>45167</v>
      </c>
      <c r="H7083" s="6" t="s">
        <v>45168</v>
      </c>
      <c r="K7083" s="5" t="s">
        <v>45157</v>
      </c>
    </row>
    <row r="7084">
      <c r="A7084" s="4">
        <v>45534.377044699075</v>
      </c>
      <c r="B7084" s="5" t="s">
        <v>34</v>
      </c>
      <c r="D7084" s="5" t="s">
        <v>12978</v>
      </c>
      <c r="E7084" s="5" t="s">
        <v>45171</v>
      </c>
      <c r="F7084" s="5" t="s">
        <v>715</v>
      </c>
      <c r="G7084" s="5" t="s">
        <v>45172</v>
      </c>
      <c r="H7084" s="6" t="s">
        <v>45173</v>
      </c>
      <c r="K7084" s="5" t="s">
        <v>45174</v>
      </c>
    </row>
    <row r="7085">
      <c r="A7085" s="4">
        <v>45534.37704853009</v>
      </c>
      <c r="B7085" s="5" t="s">
        <v>34</v>
      </c>
      <c r="D7085" s="5" t="s">
        <v>4775</v>
      </c>
      <c r="E7085" s="5" t="s">
        <v>45177</v>
      </c>
      <c r="F7085" s="5" t="s">
        <v>37</v>
      </c>
      <c r="G7085" s="5" t="s">
        <v>45178</v>
      </c>
      <c r="H7085" s="6" t="s">
        <v>45179</v>
      </c>
      <c r="K7085" s="5" t="s">
        <v>45174</v>
      </c>
    </row>
    <row r="7086">
      <c r="A7086" s="4">
        <v>45534.377070613424</v>
      </c>
      <c r="B7086" s="5" t="s">
        <v>19</v>
      </c>
      <c r="C7086" s="5" t="s">
        <v>292</v>
      </c>
      <c r="E7086" s="5" t="s">
        <v>45183</v>
      </c>
      <c r="F7086" s="5" t="s">
        <v>108</v>
      </c>
      <c r="G7086" s="5" t="s">
        <v>45184</v>
      </c>
      <c r="H7086" s="6" t="s">
        <v>45185</v>
      </c>
      <c r="K7086" s="5" t="s">
        <v>45174</v>
      </c>
    </row>
    <row r="7087">
      <c r="A7087" s="4">
        <v>45534.3771244213</v>
      </c>
      <c r="B7087" s="5" t="s">
        <v>34</v>
      </c>
      <c r="D7087" s="5" t="s">
        <v>580</v>
      </c>
      <c r="E7087" s="5" t="s">
        <v>45188</v>
      </c>
      <c r="F7087" s="5" t="s">
        <v>37</v>
      </c>
      <c r="G7087" s="5" t="s">
        <v>45189</v>
      </c>
      <c r="H7087" s="6" t="s">
        <v>45190</v>
      </c>
      <c r="K7087" s="5" t="s">
        <v>45191</v>
      </c>
    </row>
    <row r="7088">
      <c r="A7088" s="4">
        <v>45534.377137083335</v>
      </c>
      <c r="B7088" s="5" t="s">
        <v>34</v>
      </c>
      <c r="D7088" s="5" t="s">
        <v>2903</v>
      </c>
      <c r="E7088" s="5" t="s">
        <v>45194</v>
      </c>
      <c r="F7088" s="5" t="s">
        <v>375</v>
      </c>
      <c r="G7088" s="5" t="s">
        <v>45195</v>
      </c>
      <c r="H7088" s="6" t="s">
        <v>45196</v>
      </c>
      <c r="K7088" s="5" t="s">
        <v>45197</v>
      </c>
    </row>
    <row r="7089">
      <c r="A7089" s="4">
        <v>45534.377146342595</v>
      </c>
      <c r="B7089" s="5" t="s">
        <v>34</v>
      </c>
      <c r="D7089" s="5" t="s">
        <v>2903</v>
      </c>
      <c r="E7089" s="5" t="s">
        <v>45200</v>
      </c>
      <c r="F7089" s="5" t="s">
        <v>108</v>
      </c>
      <c r="G7089" s="5" t="s">
        <v>45201</v>
      </c>
      <c r="H7089" s="6" t="s">
        <v>45202</v>
      </c>
      <c r="K7089" s="5" t="s">
        <v>45197</v>
      </c>
    </row>
    <row r="7090">
      <c r="A7090" s="4">
        <v>45534.37714677083</v>
      </c>
      <c r="B7090" s="5" t="s">
        <v>34</v>
      </c>
      <c r="D7090" s="5" t="s">
        <v>1456</v>
      </c>
      <c r="E7090" s="5" t="s">
        <v>45206</v>
      </c>
      <c r="F7090" s="5" t="s">
        <v>37</v>
      </c>
      <c r="G7090" s="5" t="s">
        <v>45207</v>
      </c>
      <c r="H7090" s="6" t="s">
        <v>45208</v>
      </c>
      <c r="K7090" s="5" t="s">
        <v>45197</v>
      </c>
    </row>
    <row r="7091">
      <c r="A7091" s="4">
        <v>45534.37716292824</v>
      </c>
      <c r="B7091" s="5" t="s">
        <v>34</v>
      </c>
      <c r="D7091" s="5" t="s">
        <v>701</v>
      </c>
      <c r="E7091" s="5" t="s">
        <v>45211</v>
      </c>
      <c r="F7091" s="5" t="s">
        <v>37</v>
      </c>
      <c r="G7091" s="5" t="s">
        <v>45212</v>
      </c>
      <c r="H7091" s="6" t="s">
        <v>45213</v>
      </c>
      <c r="K7091" s="5" t="s">
        <v>45197</v>
      </c>
    </row>
    <row r="7092">
      <c r="A7092" s="4">
        <v>45534.37716740741</v>
      </c>
      <c r="B7092" s="5" t="s">
        <v>34</v>
      </c>
      <c r="D7092" s="5" t="s">
        <v>1558</v>
      </c>
      <c r="E7092" s="5" t="s">
        <v>45216</v>
      </c>
      <c r="F7092" s="5" t="s">
        <v>375</v>
      </c>
      <c r="G7092" s="5" t="s">
        <v>45217</v>
      </c>
      <c r="H7092" s="6" t="s">
        <v>45218</v>
      </c>
      <c r="K7092" s="5" t="s">
        <v>45197</v>
      </c>
    </row>
    <row r="7093">
      <c r="A7093" s="4">
        <v>45534.37717222222</v>
      </c>
      <c r="B7093" s="5" t="s">
        <v>34</v>
      </c>
      <c r="D7093" s="5" t="s">
        <v>4775</v>
      </c>
      <c r="E7093" s="5" t="s">
        <v>45221</v>
      </c>
      <c r="F7093" s="5" t="s">
        <v>212</v>
      </c>
      <c r="G7093" s="5" t="s">
        <v>45222</v>
      </c>
      <c r="H7093" s="6" t="s">
        <v>45223</v>
      </c>
      <c r="K7093" s="5" t="s">
        <v>45197</v>
      </c>
    </row>
    <row r="7094">
      <c r="A7094" s="4">
        <v>45534.37721854167</v>
      </c>
      <c r="B7094" s="5" t="s">
        <v>34</v>
      </c>
      <c r="D7094" s="5" t="s">
        <v>9020</v>
      </c>
      <c r="E7094" s="5" t="s">
        <v>45227</v>
      </c>
      <c r="F7094" s="5" t="s">
        <v>120</v>
      </c>
      <c r="G7094" s="5" t="s">
        <v>45228</v>
      </c>
      <c r="H7094" s="6" t="s">
        <v>45229</v>
      </c>
      <c r="K7094" s="5" t="s">
        <v>45230</v>
      </c>
    </row>
    <row r="7095">
      <c r="A7095" s="4">
        <v>45534.37724447917</v>
      </c>
      <c r="B7095" s="5" t="s">
        <v>19</v>
      </c>
      <c r="C7095" s="5" t="s">
        <v>5564</v>
      </c>
      <c r="E7095" s="5" t="s">
        <v>45233</v>
      </c>
      <c r="F7095" s="5" t="s">
        <v>120</v>
      </c>
      <c r="G7095" s="5" t="s">
        <v>45234</v>
      </c>
      <c r="H7095" s="6" t="s">
        <v>45235</v>
      </c>
      <c r="K7095" s="5" t="s">
        <v>45230</v>
      </c>
    </row>
    <row r="7096">
      <c r="A7096" s="4">
        <v>45534.377253240746</v>
      </c>
      <c r="B7096" s="5" t="s">
        <v>34</v>
      </c>
      <c r="D7096" s="5" t="s">
        <v>975</v>
      </c>
      <c r="E7096" s="5" t="s">
        <v>45238</v>
      </c>
      <c r="F7096" s="5" t="s">
        <v>108</v>
      </c>
      <c r="G7096" s="5" t="s">
        <v>45239</v>
      </c>
      <c r="H7096" s="6" t="s">
        <v>45240</v>
      </c>
      <c r="K7096" s="5" t="s">
        <v>45241</v>
      </c>
    </row>
    <row r="7097">
      <c r="A7097" s="4">
        <v>45534.37727424769</v>
      </c>
      <c r="B7097" s="5" t="s">
        <v>34</v>
      </c>
      <c r="D7097" s="5" t="s">
        <v>522</v>
      </c>
      <c r="E7097" s="5" t="s">
        <v>45244</v>
      </c>
      <c r="F7097" s="5" t="s">
        <v>120</v>
      </c>
      <c r="G7097" s="5" t="s">
        <v>45245</v>
      </c>
      <c r="H7097" s="6" t="s">
        <v>45246</v>
      </c>
      <c r="K7097" s="5" t="s">
        <v>45241</v>
      </c>
    </row>
    <row r="7098">
      <c r="A7098" s="4">
        <v>45534.3772785301</v>
      </c>
      <c r="B7098" s="5" t="s">
        <v>34</v>
      </c>
      <c r="D7098" s="5" t="s">
        <v>9394</v>
      </c>
      <c r="E7098" s="5" t="s">
        <v>45249</v>
      </c>
      <c r="F7098" s="5" t="s">
        <v>108</v>
      </c>
      <c r="G7098" s="5" t="s">
        <v>45250</v>
      </c>
      <c r="H7098" s="6" t="s">
        <v>45251</v>
      </c>
      <c r="K7098" s="5" t="s">
        <v>45241</v>
      </c>
    </row>
    <row r="7099">
      <c r="A7099" s="4">
        <v>45534.377336122685</v>
      </c>
      <c r="B7099" s="5" t="s">
        <v>34</v>
      </c>
      <c r="D7099" s="5" t="s">
        <v>4775</v>
      </c>
      <c r="E7099" s="5" t="s">
        <v>45255</v>
      </c>
      <c r="F7099" s="5" t="s">
        <v>5859</v>
      </c>
      <c r="G7099" s="5" t="s">
        <v>45256</v>
      </c>
      <c r="H7099" s="6" t="s">
        <v>45257</v>
      </c>
      <c r="K7099" s="5" t="s">
        <v>45258</v>
      </c>
    </row>
    <row r="7100">
      <c r="A7100" s="4">
        <v>45534.37734601852</v>
      </c>
      <c r="B7100" s="5" t="s">
        <v>19</v>
      </c>
      <c r="C7100" s="5" t="s">
        <v>11593</v>
      </c>
      <c r="E7100" s="5" t="s">
        <v>45261</v>
      </c>
      <c r="F7100" s="5" t="s">
        <v>524</v>
      </c>
      <c r="G7100" s="5" t="s">
        <v>45262</v>
      </c>
      <c r="H7100" s="6" t="s">
        <v>45263</v>
      </c>
      <c r="K7100" s="5" t="s">
        <v>45264</v>
      </c>
    </row>
    <row r="7101">
      <c r="A7101" s="4">
        <v>45534.377370462964</v>
      </c>
      <c r="B7101" s="5" t="s">
        <v>34</v>
      </c>
      <c r="D7101" s="5" t="s">
        <v>9020</v>
      </c>
      <c r="E7101" s="5" t="s">
        <v>45267</v>
      </c>
      <c r="F7101" s="5" t="s">
        <v>37</v>
      </c>
      <c r="G7101" s="5" t="s">
        <v>45268</v>
      </c>
      <c r="H7101" s="6" t="s">
        <v>45269</v>
      </c>
      <c r="K7101" s="5" t="s">
        <v>45270</v>
      </c>
    </row>
    <row r="7102">
      <c r="A7102" s="4">
        <v>45534.37737416667</v>
      </c>
      <c r="B7102" s="5" t="s">
        <v>34</v>
      </c>
      <c r="D7102" s="5" t="s">
        <v>9020</v>
      </c>
      <c r="E7102" s="5" t="s">
        <v>45273</v>
      </c>
      <c r="F7102" s="5" t="s">
        <v>375</v>
      </c>
      <c r="G7102" s="5" t="s">
        <v>45274</v>
      </c>
      <c r="H7102" s="6" t="s">
        <v>45275</v>
      </c>
      <c r="K7102" s="5" t="s">
        <v>45270</v>
      </c>
    </row>
    <row r="7103">
      <c r="A7103" s="4">
        <v>45534.3774384375</v>
      </c>
      <c r="B7103" s="5" t="s">
        <v>34</v>
      </c>
      <c r="D7103" s="5" t="s">
        <v>1558</v>
      </c>
      <c r="E7103" s="5" t="s">
        <v>45279</v>
      </c>
      <c r="F7103" s="5" t="s">
        <v>108</v>
      </c>
      <c r="G7103" s="5" t="s">
        <v>45280</v>
      </c>
      <c r="H7103" s="6" t="s">
        <v>45281</v>
      </c>
      <c r="K7103" s="5" t="s">
        <v>45282</v>
      </c>
    </row>
    <row r="7104">
      <c r="A7104" s="4">
        <v>45534.377465717596</v>
      </c>
      <c r="B7104" s="5" t="s">
        <v>34</v>
      </c>
      <c r="D7104" s="5" t="s">
        <v>9394</v>
      </c>
      <c r="E7104" s="5" t="s">
        <v>45285</v>
      </c>
      <c r="F7104" s="5" t="s">
        <v>212</v>
      </c>
      <c r="G7104" s="5" t="s">
        <v>45286</v>
      </c>
      <c r="H7104" s="6" t="s">
        <v>45287</v>
      </c>
      <c r="K7104" s="5" t="s">
        <v>45282</v>
      </c>
    </row>
    <row r="7105">
      <c r="A7105" s="4">
        <v>45534.377474768524</v>
      </c>
      <c r="B7105" s="5" t="s">
        <v>34</v>
      </c>
      <c r="D7105" s="5" t="s">
        <v>9020</v>
      </c>
      <c r="E7105" s="5" t="s">
        <v>34739</v>
      </c>
      <c r="F7105" s="5" t="s">
        <v>212</v>
      </c>
      <c r="G7105" s="5" t="s">
        <v>45290</v>
      </c>
      <c r="H7105" s="6" t="s">
        <v>45291</v>
      </c>
      <c r="K7105" s="5" t="s">
        <v>45292</v>
      </c>
    </row>
    <row r="7106">
      <c r="A7106" s="4">
        <v>45534.37749063657</v>
      </c>
      <c r="B7106" s="5" t="s">
        <v>34</v>
      </c>
      <c r="D7106" s="5" t="s">
        <v>9020</v>
      </c>
      <c r="E7106" s="5" t="s">
        <v>45295</v>
      </c>
      <c r="F7106" s="5" t="s">
        <v>72</v>
      </c>
      <c r="G7106" s="5" t="s">
        <v>45296</v>
      </c>
      <c r="H7106" s="6" t="s">
        <v>45297</v>
      </c>
      <c r="K7106" s="5" t="s">
        <v>45292</v>
      </c>
    </row>
    <row r="7107">
      <c r="A7107" s="4">
        <v>45534.37751997686</v>
      </c>
      <c r="B7107" s="5" t="s">
        <v>34</v>
      </c>
      <c r="D7107" s="5" t="s">
        <v>9020</v>
      </c>
      <c r="E7107" s="5" t="s">
        <v>45301</v>
      </c>
      <c r="F7107" s="5" t="s">
        <v>72</v>
      </c>
      <c r="G7107" s="5" t="s">
        <v>45302</v>
      </c>
      <c r="H7107" s="6" t="s">
        <v>45303</v>
      </c>
      <c r="K7107" s="5" t="s">
        <v>45292</v>
      </c>
    </row>
    <row r="7108">
      <c r="A7108" s="4">
        <v>45534.37753712963</v>
      </c>
      <c r="B7108" s="5" t="s">
        <v>34</v>
      </c>
      <c r="D7108" s="5" t="s">
        <v>15401</v>
      </c>
      <c r="E7108" s="5" t="s">
        <v>45306</v>
      </c>
      <c r="F7108" s="5" t="s">
        <v>120</v>
      </c>
      <c r="G7108" s="5" t="s">
        <v>45307</v>
      </c>
      <c r="H7108" s="6" t="s">
        <v>45308</v>
      </c>
      <c r="K7108" s="5" t="s">
        <v>45309</v>
      </c>
    </row>
    <row r="7109">
      <c r="A7109" s="4">
        <v>45534.377541145834</v>
      </c>
      <c r="B7109" s="5" t="s">
        <v>34</v>
      </c>
      <c r="D7109" s="5" t="s">
        <v>522</v>
      </c>
      <c r="E7109" s="5" t="s">
        <v>45312</v>
      </c>
      <c r="F7109" s="5" t="s">
        <v>37</v>
      </c>
      <c r="G7109" s="5" t="s">
        <v>45313</v>
      </c>
      <c r="H7109" s="6" t="s">
        <v>45314</v>
      </c>
      <c r="K7109" s="5" t="s">
        <v>45309</v>
      </c>
    </row>
    <row r="7110">
      <c r="A7110" s="4">
        <v>45534.377598935185</v>
      </c>
      <c r="B7110" s="5" t="s">
        <v>34</v>
      </c>
      <c r="D7110" s="5" t="s">
        <v>1206</v>
      </c>
      <c r="E7110" s="5" t="s">
        <v>45318</v>
      </c>
      <c r="F7110" s="5" t="s">
        <v>120</v>
      </c>
      <c r="G7110" s="5" t="s">
        <v>45319</v>
      </c>
      <c r="H7110" s="6" t="s">
        <v>45320</v>
      </c>
      <c r="K7110" s="5" t="s">
        <v>45321</v>
      </c>
    </row>
    <row r="7111">
      <c r="A7111" s="4">
        <v>45534.377608333336</v>
      </c>
      <c r="B7111" s="5" t="s">
        <v>19</v>
      </c>
      <c r="C7111" s="5" t="s">
        <v>14000</v>
      </c>
      <c r="E7111" s="5" t="s">
        <v>45324</v>
      </c>
      <c r="F7111" s="5" t="s">
        <v>108</v>
      </c>
      <c r="G7111" s="5" t="s">
        <v>45325</v>
      </c>
      <c r="H7111" s="6" t="s">
        <v>45326</v>
      </c>
      <c r="K7111" s="5" t="s">
        <v>45321</v>
      </c>
    </row>
    <row r="7112">
      <c r="A7112" s="4">
        <v>45534.37763672454</v>
      </c>
      <c r="B7112" s="5" t="s">
        <v>19</v>
      </c>
      <c r="C7112" s="5" t="s">
        <v>292</v>
      </c>
      <c r="E7112" s="5" t="s">
        <v>45329</v>
      </c>
      <c r="F7112" s="5" t="s">
        <v>120</v>
      </c>
      <c r="G7112" s="5" t="s">
        <v>45330</v>
      </c>
      <c r="H7112" s="6" t="s">
        <v>45331</v>
      </c>
      <c r="K7112" s="5" t="s">
        <v>45332</v>
      </c>
    </row>
    <row r="7113">
      <c r="A7113" s="4">
        <v>45534.37764049768</v>
      </c>
      <c r="B7113" s="5" t="s">
        <v>34</v>
      </c>
      <c r="D7113" s="5" t="s">
        <v>4775</v>
      </c>
      <c r="E7113" s="5" t="s">
        <v>45336</v>
      </c>
      <c r="F7113" s="5" t="s">
        <v>108</v>
      </c>
      <c r="G7113" s="5" t="s">
        <v>45337</v>
      </c>
      <c r="H7113" s="6" t="s">
        <v>45338</v>
      </c>
      <c r="K7113" s="5" t="s">
        <v>45332</v>
      </c>
    </row>
    <row r="7114">
      <c r="A7114" s="4">
        <v>45534.37764584491</v>
      </c>
      <c r="B7114" s="5" t="s">
        <v>34</v>
      </c>
      <c r="D7114" s="5" t="s">
        <v>1206</v>
      </c>
      <c r="E7114" s="5" t="s">
        <v>45341</v>
      </c>
      <c r="F7114" s="5" t="s">
        <v>212</v>
      </c>
      <c r="G7114" s="5" t="s">
        <v>45342</v>
      </c>
      <c r="H7114" s="6" t="s">
        <v>45343</v>
      </c>
      <c r="K7114" s="5" t="s">
        <v>45344</v>
      </c>
    </row>
    <row r="7115">
      <c r="A7115" s="4">
        <v>45534.377647905094</v>
      </c>
      <c r="B7115" s="5" t="s">
        <v>34</v>
      </c>
      <c r="D7115" s="5" t="s">
        <v>2903</v>
      </c>
      <c r="E7115" s="5" t="s">
        <v>45347</v>
      </c>
      <c r="F7115" s="5" t="s">
        <v>524</v>
      </c>
      <c r="G7115" s="5" t="s">
        <v>45348</v>
      </c>
      <c r="H7115" s="6" t="s">
        <v>45349</v>
      </c>
      <c r="K7115" s="5" t="s">
        <v>45344</v>
      </c>
    </row>
    <row r="7116">
      <c r="A7116" s="4">
        <v>45534.37766827546</v>
      </c>
      <c r="B7116" s="5" t="s">
        <v>34</v>
      </c>
      <c r="D7116" s="5" t="s">
        <v>1558</v>
      </c>
      <c r="E7116" s="5" t="s">
        <v>45352</v>
      </c>
      <c r="F7116" s="5" t="s">
        <v>72</v>
      </c>
      <c r="G7116" s="5" t="s">
        <v>45353</v>
      </c>
      <c r="H7116" s="6" t="s">
        <v>45354</v>
      </c>
      <c r="K7116" s="5" t="s">
        <v>45355</v>
      </c>
    </row>
    <row r="7117">
      <c r="A7117" s="4">
        <v>45534.37769271991</v>
      </c>
      <c r="B7117" s="5" t="s">
        <v>34</v>
      </c>
      <c r="D7117" s="5" t="s">
        <v>1558</v>
      </c>
      <c r="E7117" s="5" t="s">
        <v>45359</v>
      </c>
      <c r="F7117" s="5" t="s">
        <v>212</v>
      </c>
      <c r="G7117" s="5" t="s">
        <v>45360</v>
      </c>
      <c r="H7117" s="6" t="s">
        <v>45361</v>
      </c>
      <c r="K7117" s="5" t="s">
        <v>45362</v>
      </c>
    </row>
    <row r="7118">
      <c r="A7118" s="4">
        <v>45534.37771436342</v>
      </c>
      <c r="B7118" s="5" t="s">
        <v>34</v>
      </c>
      <c r="D7118" s="5" t="s">
        <v>996</v>
      </c>
      <c r="E7118" s="5" t="s">
        <v>45365</v>
      </c>
      <c r="F7118" s="5" t="s">
        <v>72</v>
      </c>
      <c r="G7118" s="5" t="s">
        <v>45366</v>
      </c>
      <c r="H7118" s="6" t="s">
        <v>45367</v>
      </c>
      <c r="K7118" s="5" t="s">
        <v>45362</v>
      </c>
    </row>
    <row r="7119">
      <c r="A7119" s="4">
        <v>45534.37772534722</v>
      </c>
      <c r="B7119" s="5" t="s">
        <v>34</v>
      </c>
      <c r="D7119" s="5" t="s">
        <v>1768</v>
      </c>
      <c r="E7119" s="5" t="s">
        <v>45370</v>
      </c>
      <c r="F7119" s="5" t="s">
        <v>108</v>
      </c>
      <c r="G7119" s="5" t="s">
        <v>45371</v>
      </c>
      <c r="H7119" s="6" t="s">
        <v>45372</v>
      </c>
      <c r="K7119" s="5" t="s">
        <v>45362</v>
      </c>
    </row>
    <row r="7120">
      <c r="A7120" s="4">
        <v>45534.377745439815</v>
      </c>
      <c r="B7120" s="5" t="s">
        <v>34</v>
      </c>
      <c r="D7120" s="5" t="s">
        <v>6232</v>
      </c>
      <c r="E7120" s="5" t="s">
        <v>45376</v>
      </c>
      <c r="F7120" s="5" t="s">
        <v>37</v>
      </c>
      <c r="G7120" s="5" t="s">
        <v>45377</v>
      </c>
      <c r="H7120" s="6" t="s">
        <v>45378</v>
      </c>
      <c r="K7120" s="5" t="s">
        <v>45379</v>
      </c>
    </row>
    <row r="7121">
      <c r="A7121" s="4">
        <v>45534.37776373843</v>
      </c>
      <c r="B7121" s="5" t="s">
        <v>34</v>
      </c>
      <c r="D7121" s="5" t="s">
        <v>10444</v>
      </c>
      <c r="E7121" s="5" t="s">
        <v>45382</v>
      </c>
      <c r="F7121" s="5" t="s">
        <v>212</v>
      </c>
      <c r="G7121" s="5" t="s">
        <v>45383</v>
      </c>
      <c r="H7121" s="6" t="s">
        <v>45384</v>
      </c>
      <c r="K7121" s="5" t="s">
        <v>45379</v>
      </c>
    </row>
    <row r="7122">
      <c r="A7122" s="4">
        <v>45534.37777024305</v>
      </c>
      <c r="B7122" s="5" t="s">
        <v>34</v>
      </c>
      <c r="D7122" s="5" t="s">
        <v>1206</v>
      </c>
      <c r="E7122" s="5" t="s">
        <v>45387</v>
      </c>
      <c r="F7122" s="5" t="s">
        <v>108</v>
      </c>
      <c r="G7122" s="5" t="s">
        <v>45388</v>
      </c>
      <c r="H7122" s="6" t="s">
        <v>45389</v>
      </c>
      <c r="K7122" s="5" t="s">
        <v>45379</v>
      </c>
    </row>
    <row r="7123">
      <c r="A7123" s="4">
        <v>45534.37778866898</v>
      </c>
      <c r="B7123" s="5" t="s">
        <v>34</v>
      </c>
      <c r="D7123" s="5" t="s">
        <v>1692</v>
      </c>
      <c r="E7123" s="5" t="s">
        <v>45392</v>
      </c>
      <c r="F7123" s="5" t="s">
        <v>37</v>
      </c>
      <c r="G7123" s="5" t="s">
        <v>45393</v>
      </c>
      <c r="H7123" s="6" t="s">
        <v>45394</v>
      </c>
      <c r="K7123" s="5" t="s">
        <v>45395</v>
      </c>
    </row>
    <row r="7124">
      <c r="A7124" s="4">
        <v>45534.37778981481</v>
      </c>
      <c r="B7124" s="5" t="s">
        <v>34</v>
      </c>
      <c r="D7124" s="5" t="s">
        <v>14313</v>
      </c>
      <c r="E7124" s="5" t="s">
        <v>45399</v>
      </c>
      <c r="F7124" s="5" t="s">
        <v>72</v>
      </c>
      <c r="G7124" s="5" t="s">
        <v>45400</v>
      </c>
      <c r="H7124" s="6" t="s">
        <v>45401</v>
      </c>
      <c r="K7124" s="5" t="s">
        <v>45395</v>
      </c>
    </row>
    <row r="7125">
      <c r="A7125" s="4">
        <v>45534.37779042824</v>
      </c>
      <c r="B7125" s="5" t="s">
        <v>34</v>
      </c>
      <c r="D7125" s="5" t="s">
        <v>12010</v>
      </c>
      <c r="E7125" s="5" t="s">
        <v>45404</v>
      </c>
      <c r="F7125" s="5" t="s">
        <v>212</v>
      </c>
      <c r="G7125" s="5" t="s">
        <v>45405</v>
      </c>
      <c r="H7125" s="6" t="s">
        <v>45406</v>
      </c>
      <c r="K7125" s="5" t="s">
        <v>45395</v>
      </c>
    </row>
    <row r="7126">
      <c r="A7126" s="4">
        <v>45534.377795127315</v>
      </c>
      <c r="B7126" s="5" t="s">
        <v>19</v>
      </c>
      <c r="C7126" s="5" t="s">
        <v>292</v>
      </c>
      <c r="E7126" s="5" t="s">
        <v>45409</v>
      </c>
      <c r="F7126" s="5" t="s">
        <v>120</v>
      </c>
      <c r="G7126" s="5" t="s">
        <v>45410</v>
      </c>
      <c r="H7126" s="6" t="s">
        <v>45411</v>
      </c>
      <c r="K7126" s="5" t="s">
        <v>45395</v>
      </c>
    </row>
    <row r="7127">
      <c r="A7127" s="4">
        <v>45534.377796307876</v>
      </c>
      <c r="B7127" s="5" t="s">
        <v>34</v>
      </c>
      <c r="D7127" s="5" t="s">
        <v>35</v>
      </c>
      <c r="E7127" s="5" t="s">
        <v>45414</v>
      </c>
      <c r="F7127" s="5" t="s">
        <v>212</v>
      </c>
      <c r="G7127" s="5" t="s">
        <v>45415</v>
      </c>
      <c r="H7127" s="6" t="s">
        <v>45416</v>
      </c>
      <c r="K7127" s="5" t="s">
        <v>45395</v>
      </c>
    </row>
    <row r="7128">
      <c r="A7128" s="4">
        <v>45534.37780954861</v>
      </c>
      <c r="B7128" s="5" t="s">
        <v>34</v>
      </c>
      <c r="D7128" s="5" t="s">
        <v>10444</v>
      </c>
      <c r="E7128" s="5" t="s">
        <v>45419</v>
      </c>
      <c r="F7128" s="5" t="s">
        <v>212</v>
      </c>
      <c r="G7128" s="5" t="s">
        <v>45420</v>
      </c>
      <c r="H7128" s="6" t="s">
        <v>45421</v>
      </c>
      <c r="K7128" s="5" t="s">
        <v>45395</v>
      </c>
    </row>
    <row r="7129">
      <c r="A7129" s="4">
        <v>45534.37780677083</v>
      </c>
      <c r="B7129" s="5" t="s">
        <v>34</v>
      </c>
      <c r="D7129" s="5" t="s">
        <v>10297</v>
      </c>
      <c r="E7129" s="5" t="s">
        <v>45425</v>
      </c>
      <c r="F7129" s="5" t="s">
        <v>37</v>
      </c>
      <c r="G7129" s="5" t="s">
        <v>45426</v>
      </c>
      <c r="H7129" s="6" t="s">
        <v>45427</v>
      </c>
      <c r="K7129" s="5" t="s">
        <v>45395</v>
      </c>
    </row>
    <row r="7130">
      <c r="A7130" s="4">
        <v>45534.377812962965</v>
      </c>
      <c r="B7130" s="5" t="s">
        <v>34</v>
      </c>
      <c r="D7130" s="5" t="s">
        <v>9020</v>
      </c>
      <c r="E7130" s="5" t="s">
        <v>45430</v>
      </c>
      <c r="F7130" s="5" t="s">
        <v>212</v>
      </c>
      <c r="G7130" s="5" t="s">
        <v>45431</v>
      </c>
      <c r="H7130" s="6" t="s">
        <v>45432</v>
      </c>
      <c r="K7130" s="5" t="s">
        <v>45395</v>
      </c>
    </row>
    <row r="7131">
      <c r="A7131" s="4">
        <v>45534.37781482639</v>
      </c>
      <c r="B7131" s="5" t="s">
        <v>34</v>
      </c>
      <c r="D7131" s="5" t="s">
        <v>1206</v>
      </c>
      <c r="E7131" s="5" t="s">
        <v>45435</v>
      </c>
      <c r="F7131" s="5" t="s">
        <v>37</v>
      </c>
      <c r="G7131" s="5" t="s">
        <v>45436</v>
      </c>
      <c r="H7131" s="6" t="s">
        <v>45437</v>
      </c>
      <c r="K7131" s="5" t="s">
        <v>45395</v>
      </c>
    </row>
    <row r="7132">
      <c r="A7132" s="4">
        <v>45534.37783140046</v>
      </c>
      <c r="B7132" s="5" t="s">
        <v>34</v>
      </c>
      <c r="D7132" s="5" t="s">
        <v>15401</v>
      </c>
      <c r="E7132" s="5" t="s">
        <v>45441</v>
      </c>
      <c r="F7132" s="5" t="s">
        <v>524</v>
      </c>
      <c r="G7132" s="5" t="s">
        <v>45442</v>
      </c>
      <c r="H7132" s="6" t="s">
        <v>45443</v>
      </c>
      <c r="K7132" s="5" t="s">
        <v>45444</v>
      </c>
    </row>
    <row r="7133">
      <c r="A7133" s="4">
        <v>45534.377845625</v>
      </c>
      <c r="B7133" s="5" t="s">
        <v>34</v>
      </c>
      <c r="D7133" s="5" t="s">
        <v>15401</v>
      </c>
      <c r="E7133" s="5" t="s">
        <v>45447</v>
      </c>
      <c r="F7133" s="5" t="s">
        <v>375</v>
      </c>
      <c r="G7133" s="5" t="s">
        <v>45448</v>
      </c>
      <c r="H7133" s="6" t="s">
        <v>45449</v>
      </c>
      <c r="K7133" s="5" t="s">
        <v>45444</v>
      </c>
    </row>
    <row r="7134">
      <c r="A7134" s="4">
        <v>45534.377849537035</v>
      </c>
      <c r="B7134" s="5" t="s">
        <v>19</v>
      </c>
      <c r="C7134" s="5" t="s">
        <v>292</v>
      </c>
      <c r="E7134" s="5" t="s">
        <v>45452</v>
      </c>
      <c r="F7134" s="5" t="s">
        <v>375</v>
      </c>
      <c r="G7134" s="5" t="s">
        <v>45453</v>
      </c>
      <c r="H7134" s="6" t="s">
        <v>45454</v>
      </c>
      <c r="K7134" s="5" t="s">
        <v>45444</v>
      </c>
    </row>
    <row r="7135">
      <c r="A7135" s="4">
        <v>45534.377855300925</v>
      </c>
      <c r="B7135" s="5" t="s">
        <v>34</v>
      </c>
      <c r="D7135" s="5" t="s">
        <v>1558</v>
      </c>
      <c r="E7135" s="5" t="s">
        <v>45457</v>
      </c>
      <c r="F7135" s="5" t="s">
        <v>37</v>
      </c>
      <c r="G7135" s="5" t="s">
        <v>45458</v>
      </c>
      <c r="H7135" s="6" t="s">
        <v>45459</v>
      </c>
      <c r="K7135" s="5" t="s">
        <v>45444</v>
      </c>
    </row>
    <row r="7136">
      <c r="A7136" s="4">
        <v>45534.37786890046</v>
      </c>
      <c r="B7136" s="5" t="s">
        <v>34</v>
      </c>
      <c r="D7136" s="5" t="s">
        <v>996</v>
      </c>
      <c r="E7136" s="5" t="s">
        <v>45462</v>
      </c>
      <c r="F7136" s="5" t="s">
        <v>212</v>
      </c>
      <c r="G7136" s="5" t="s">
        <v>45463</v>
      </c>
      <c r="H7136" s="6" t="s">
        <v>45464</v>
      </c>
      <c r="K7136" s="5" t="s">
        <v>45444</v>
      </c>
    </row>
    <row r="7137">
      <c r="A7137" s="4">
        <v>45534.37787216435</v>
      </c>
      <c r="B7137" s="5" t="s">
        <v>34</v>
      </c>
      <c r="D7137" s="5" t="s">
        <v>7858</v>
      </c>
      <c r="E7137" s="5" t="s">
        <v>45468</v>
      </c>
      <c r="F7137" s="5" t="s">
        <v>72</v>
      </c>
      <c r="G7137" s="5" t="s">
        <v>45469</v>
      </c>
      <c r="H7137" s="6" t="s">
        <v>45470</v>
      </c>
      <c r="K7137" s="5" t="s">
        <v>45444</v>
      </c>
    </row>
    <row r="7138">
      <c r="A7138" s="4">
        <v>45534.37787350694</v>
      </c>
      <c r="B7138" s="5" t="s">
        <v>34</v>
      </c>
      <c r="D7138" s="5" t="s">
        <v>1206</v>
      </c>
      <c r="E7138" s="5" t="s">
        <v>45473</v>
      </c>
      <c r="F7138" s="5" t="s">
        <v>199</v>
      </c>
      <c r="G7138" s="5" t="s">
        <v>45474</v>
      </c>
      <c r="H7138" s="6" t="s">
        <v>45475</v>
      </c>
      <c r="K7138" s="5" t="s">
        <v>45444</v>
      </c>
    </row>
    <row r="7139">
      <c r="A7139" s="4">
        <v>45534.37789113426</v>
      </c>
      <c r="B7139" s="5" t="s">
        <v>34</v>
      </c>
      <c r="D7139" s="5" t="s">
        <v>1558</v>
      </c>
      <c r="E7139" s="5" t="s">
        <v>45478</v>
      </c>
      <c r="F7139" s="5" t="s">
        <v>37</v>
      </c>
      <c r="G7139" s="5" t="s">
        <v>45479</v>
      </c>
      <c r="H7139" s="6" t="s">
        <v>45480</v>
      </c>
      <c r="K7139" s="5" t="s">
        <v>45481</v>
      </c>
    </row>
    <row r="7140">
      <c r="A7140" s="4">
        <v>45534.37790670139</v>
      </c>
      <c r="B7140" s="5" t="s">
        <v>34</v>
      </c>
      <c r="D7140" s="5" t="s">
        <v>4775</v>
      </c>
      <c r="E7140" s="5" t="s">
        <v>33285</v>
      </c>
      <c r="F7140" s="5" t="s">
        <v>37</v>
      </c>
      <c r="G7140" s="5" t="s">
        <v>45485</v>
      </c>
      <c r="H7140" s="6" t="s">
        <v>45486</v>
      </c>
      <c r="K7140" s="5" t="s">
        <v>45481</v>
      </c>
    </row>
    <row r="7141">
      <c r="A7141" s="4">
        <v>45534.37790658565</v>
      </c>
      <c r="B7141" s="5" t="s">
        <v>34</v>
      </c>
      <c r="D7141" s="5" t="s">
        <v>4775</v>
      </c>
      <c r="E7141" s="5" t="s">
        <v>45489</v>
      </c>
      <c r="F7141" s="5" t="s">
        <v>37</v>
      </c>
      <c r="G7141" s="5" t="s">
        <v>45490</v>
      </c>
      <c r="H7141" s="6" t="s">
        <v>45491</v>
      </c>
      <c r="K7141" s="5" t="s">
        <v>45481</v>
      </c>
    </row>
    <row r="7142">
      <c r="A7142" s="4">
        <v>45534.37793837963</v>
      </c>
      <c r="B7142" s="5" t="s">
        <v>34</v>
      </c>
      <c r="D7142" s="5" t="s">
        <v>9020</v>
      </c>
      <c r="E7142" s="5" t="s">
        <v>45494</v>
      </c>
      <c r="F7142" s="5" t="s">
        <v>524</v>
      </c>
      <c r="G7142" s="5" t="s">
        <v>45495</v>
      </c>
      <c r="H7142" s="6" t="s">
        <v>45496</v>
      </c>
      <c r="K7142" s="5" t="s">
        <v>45481</v>
      </c>
    </row>
    <row r="7143">
      <c r="A7143" s="4">
        <v>45534.37794752315</v>
      </c>
      <c r="B7143" s="5" t="s">
        <v>34</v>
      </c>
      <c r="D7143" s="5" t="s">
        <v>9020</v>
      </c>
      <c r="E7143" s="5" t="s">
        <v>45499</v>
      </c>
      <c r="F7143" s="5" t="s">
        <v>37</v>
      </c>
      <c r="G7143" s="5" t="s">
        <v>45500</v>
      </c>
      <c r="H7143" s="6" t="s">
        <v>45501</v>
      </c>
      <c r="K7143" s="5" t="s">
        <v>45481</v>
      </c>
    </row>
    <row r="7144">
      <c r="A7144" s="4">
        <v>45534.377965231484</v>
      </c>
      <c r="B7144" s="5" t="s">
        <v>19</v>
      </c>
      <c r="C7144" s="5" t="s">
        <v>292</v>
      </c>
      <c r="E7144" s="5" t="s">
        <v>45504</v>
      </c>
      <c r="F7144" s="5" t="s">
        <v>120</v>
      </c>
      <c r="G7144" s="5" t="s">
        <v>45505</v>
      </c>
      <c r="H7144" s="6" t="s">
        <v>45506</v>
      </c>
      <c r="K7144" s="5" t="s">
        <v>45481</v>
      </c>
    </row>
    <row r="7145">
      <c r="A7145" s="4">
        <v>45534.377968009256</v>
      </c>
      <c r="B7145" s="5" t="s">
        <v>19</v>
      </c>
      <c r="C7145" s="5" t="s">
        <v>26187</v>
      </c>
      <c r="E7145" s="5" t="s">
        <v>45510</v>
      </c>
      <c r="F7145" s="5" t="s">
        <v>120</v>
      </c>
      <c r="G7145" s="5" t="s">
        <v>45511</v>
      </c>
      <c r="H7145" s="6" t="s">
        <v>45512</v>
      </c>
      <c r="K7145" s="5" t="s">
        <v>45481</v>
      </c>
    </row>
    <row r="7146">
      <c r="A7146" s="4">
        <v>45534.37797123843</v>
      </c>
      <c r="B7146" s="5" t="s">
        <v>34</v>
      </c>
      <c r="D7146" s="5" t="s">
        <v>3432</v>
      </c>
      <c r="E7146" s="5" t="s">
        <v>45515</v>
      </c>
      <c r="F7146" s="5" t="s">
        <v>212</v>
      </c>
      <c r="G7146" s="5" t="s">
        <v>45516</v>
      </c>
      <c r="H7146" s="6" t="s">
        <v>45517</v>
      </c>
      <c r="K7146" s="5" t="s">
        <v>45481</v>
      </c>
    </row>
    <row r="7147">
      <c r="A7147" s="4">
        <v>45534.37798505787</v>
      </c>
      <c r="B7147" s="5" t="s">
        <v>19</v>
      </c>
      <c r="C7147" s="5" t="s">
        <v>292</v>
      </c>
      <c r="E7147" s="5" t="s">
        <v>45520</v>
      </c>
      <c r="F7147" s="5" t="s">
        <v>120</v>
      </c>
      <c r="G7147" s="5" t="s">
        <v>45521</v>
      </c>
      <c r="H7147" s="6" t="s">
        <v>45522</v>
      </c>
      <c r="K7147" s="5" t="s">
        <v>45481</v>
      </c>
    </row>
    <row r="7148">
      <c r="A7148" s="4">
        <v>45534.37800935185</v>
      </c>
      <c r="B7148" s="5" t="s">
        <v>34</v>
      </c>
      <c r="D7148" s="5" t="s">
        <v>15401</v>
      </c>
      <c r="E7148" s="5" t="s">
        <v>45525</v>
      </c>
      <c r="F7148" s="5" t="s">
        <v>212</v>
      </c>
      <c r="G7148" s="5" t="s">
        <v>45526</v>
      </c>
      <c r="H7148" s="6" t="s">
        <v>45527</v>
      </c>
      <c r="K7148" s="5" t="s">
        <v>45481</v>
      </c>
    </row>
    <row r="7149">
      <c r="A7149" s="4">
        <v>45534.378011423614</v>
      </c>
      <c r="B7149" s="5" t="s">
        <v>34</v>
      </c>
      <c r="D7149" s="5" t="s">
        <v>6232</v>
      </c>
      <c r="E7149" s="5" t="s">
        <v>45531</v>
      </c>
      <c r="F7149" s="5" t="s">
        <v>72</v>
      </c>
      <c r="G7149" s="5" t="s">
        <v>45532</v>
      </c>
      <c r="H7149" s="6" t="s">
        <v>45533</v>
      </c>
      <c r="K7149" s="5" t="s">
        <v>45481</v>
      </c>
    </row>
    <row r="7150">
      <c r="A7150" s="4">
        <v>45534.37802341435</v>
      </c>
      <c r="B7150" s="5" t="s">
        <v>34</v>
      </c>
      <c r="D7150" s="5" t="s">
        <v>1206</v>
      </c>
      <c r="E7150" s="5" t="s">
        <v>45536</v>
      </c>
      <c r="F7150" s="5" t="s">
        <v>37</v>
      </c>
      <c r="G7150" s="5" t="s">
        <v>45537</v>
      </c>
      <c r="H7150" s="6" t="s">
        <v>45538</v>
      </c>
      <c r="K7150" s="5" t="s">
        <v>45539</v>
      </c>
    </row>
    <row r="7151">
      <c r="A7151" s="4">
        <v>45534.37803019676</v>
      </c>
      <c r="B7151" s="5" t="s">
        <v>34</v>
      </c>
      <c r="D7151" s="5" t="s">
        <v>4775</v>
      </c>
      <c r="E7151" s="5" t="s">
        <v>45542</v>
      </c>
      <c r="F7151" s="5" t="s">
        <v>37</v>
      </c>
      <c r="G7151" s="5" t="s">
        <v>45543</v>
      </c>
      <c r="H7151" s="6" t="s">
        <v>45544</v>
      </c>
      <c r="K7151" s="5" t="s">
        <v>45539</v>
      </c>
    </row>
    <row r="7152">
      <c r="A7152" s="4">
        <v>45534.37805479167</v>
      </c>
      <c r="B7152" s="5" t="s">
        <v>34</v>
      </c>
      <c r="D7152" s="5" t="s">
        <v>4775</v>
      </c>
      <c r="E7152" s="5" t="s">
        <v>45547</v>
      </c>
      <c r="F7152" s="5" t="s">
        <v>212</v>
      </c>
      <c r="G7152" s="5" t="s">
        <v>45548</v>
      </c>
      <c r="H7152" s="6" t="s">
        <v>45549</v>
      </c>
      <c r="K7152" s="5" t="s">
        <v>45550</v>
      </c>
    </row>
    <row r="7153">
      <c r="A7153" s="4">
        <v>45534.37810809028</v>
      </c>
      <c r="B7153" s="5" t="s">
        <v>34</v>
      </c>
      <c r="D7153" s="5" t="s">
        <v>1558</v>
      </c>
      <c r="E7153" s="5" t="s">
        <v>45554</v>
      </c>
      <c r="F7153" s="5" t="s">
        <v>72</v>
      </c>
      <c r="G7153" s="5" t="s">
        <v>45555</v>
      </c>
      <c r="H7153" s="6" t="s">
        <v>45556</v>
      </c>
      <c r="K7153" s="5" t="s">
        <v>45557</v>
      </c>
    </row>
    <row r="7154">
      <c r="A7154" s="4">
        <v>45534.37813085648</v>
      </c>
      <c r="B7154" s="5" t="s">
        <v>34</v>
      </c>
      <c r="D7154" s="5" t="s">
        <v>522</v>
      </c>
      <c r="E7154" s="5" t="s">
        <v>45560</v>
      </c>
      <c r="F7154" s="5" t="s">
        <v>5859</v>
      </c>
      <c r="G7154" s="5" t="s">
        <v>45561</v>
      </c>
      <c r="H7154" s="6" t="s">
        <v>45562</v>
      </c>
      <c r="K7154" s="5" t="s">
        <v>45563</v>
      </c>
    </row>
    <row r="7155">
      <c r="A7155" s="4">
        <v>45534.3781491088</v>
      </c>
      <c r="B7155" s="5" t="s">
        <v>34</v>
      </c>
      <c r="D7155" s="5" t="s">
        <v>14313</v>
      </c>
      <c r="E7155" s="5" t="s">
        <v>45567</v>
      </c>
      <c r="F7155" s="5" t="s">
        <v>120</v>
      </c>
      <c r="G7155" s="5" t="s">
        <v>45568</v>
      </c>
      <c r="H7155" s="6" t="s">
        <v>45569</v>
      </c>
      <c r="K7155" s="5" t="s">
        <v>45570</v>
      </c>
    </row>
    <row r="7156">
      <c r="A7156" s="4">
        <v>45534.37819861111</v>
      </c>
      <c r="B7156" s="5" t="s">
        <v>34</v>
      </c>
      <c r="D7156" s="5" t="s">
        <v>1558</v>
      </c>
      <c r="E7156" s="5" t="s">
        <v>45573</v>
      </c>
      <c r="F7156" s="5" t="s">
        <v>212</v>
      </c>
      <c r="G7156" s="5" t="s">
        <v>45574</v>
      </c>
      <c r="H7156" s="6" t="s">
        <v>45575</v>
      </c>
      <c r="K7156" s="5" t="s">
        <v>45576</v>
      </c>
    </row>
    <row r="7157">
      <c r="A7157" s="4">
        <v>45534.37820057871</v>
      </c>
      <c r="B7157" s="5" t="s">
        <v>34</v>
      </c>
      <c r="D7157" s="5" t="s">
        <v>4775</v>
      </c>
      <c r="E7157" s="5" t="s">
        <v>45579</v>
      </c>
      <c r="F7157" s="5" t="s">
        <v>375</v>
      </c>
      <c r="G7157" s="5" t="s">
        <v>45580</v>
      </c>
      <c r="H7157" s="6" t="s">
        <v>45581</v>
      </c>
      <c r="K7157" s="5" t="s">
        <v>45576</v>
      </c>
    </row>
    <row r="7158">
      <c r="A7158" s="4">
        <v>45534.378232256946</v>
      </c>
      <c r="B7158" s="5" t="s">
        <v>34</v>
      </c>
      <c r="D7158" s="5" t="s">
        <v>7858</v>
      </c>
      <c r="E7158" s="5" t="s">
        <v>45585</v>
      </c>
      <c r="F7158" s="5" t="s">
        <v>37</v>
      </c>
      <c r="G7158" s="5" t="s">
        <v>45586</v>
      </c>
      <c r="H7158" s="6" t="s">
        <v>45587</v>
      </c>
      <c r="K7158" s="5" t="s">
        <v>45588</v>
      </c>
    </row>
    <row r="7159">
      <c r="A7159" s="4">
        <v>45534.378254247684</v>
      </c>
      <c r="B7159" s="5" t="s">
        <v>34</v>
      </c>
      <c r="D7159" s="5" t="s">
        <v>1768</v>
      </c>
      <c r="E7159" s="5" t="s">
        <v>45591</v>
      </c>
      <c r="F7159" s="5" t="s">
        <v>72</v>
      </c>
      <c r="G7159" s="5" t="s">
        <v>45592</v>
      </c>
      <c r="H7159" s="6" t="s">
        <v>45593</v>
      </c>
      <c r="K7159" s="5" t="s">
        <v>45594</v>
      </c>
    </row>
    <row r="7160">
      <c r="A7160" s="4">
        <v>45534.37826686342</v>
      </c>
      <c r="B7160" s="5" t="s">
        <v>34</v>
      </c>
      <c r="D7160" s="5" t="s">
        <v>1692</v>
      </c>
      <c r="E7160" s="5" t="s">
        <v>45597</v>
      </c>
      <c r="F7160" s="5" t="s">
        <v>5566</v>
      </c>
      <c r="G7160" s="5" t="s">
        <v>45598</v>
      </c>
      <c r="H7160" s="6" t="s">
        <v>45599</v>
      </c>
      <c r="K7160" s="5" t="s">
        <v>45594</v>
      </c>
    </row>
    <row r="7161">
      <c r="A7161" s="4">
        <v>45534.378269548615</v>
      </c>
      <c r="B7161" s="5" t="s">
        <v>34</v>
      </c>
      <c r="D7161" s="5" t="s">
        <v>1206</v>
      </c>
      <c r="E7161" s="5" t="s">
        <v>45602</v>
      </c>
      <c r="F7161" s="5" t="s">
        <v>37</v>
      </c>
      <c r="G7161" s="5" t="s">
        <v>45603</v>
      </c>
      <c r="H7161" s="6" t="s">
        <v>45604</v>
      </c>
      <c r="K7161" s="5" t="s">
        <v>45605</v>
      </c>
    </row>
    <row r="7162">
      <c r="A7162" s="4">
        <v>45534.37827247685</v>
      </c>
      <c r="B7162" s="5" t="s">
        <v>19</v>
      </c>
      <c r="C7162" s="5" t="s">
        <v>10418</v>
      </c>
      <c r="E7162" s="5" t="s">
        <v>45608</v>
      </c>
      <c r="F7162" s="5" t="s">
        <v>72</v>
      </c>
      <c r="G7162" s="5" t="s">
        <v>45609</v>
      </c>
      <c r="H7162" s="6" t="s">
        <v>45610</v>
      </c>
      <c r="K7162" s="5" t="s">
        <v>45605</v>
      </c>
    </row>
    <row r="7163">
      <c r="A7163" s="4">
        <v>45534.37828135416</v>
      </c>
      <c r="B7163" s="5" t="s">
        <v>34</v>
      </c>
      <c r="D7163" s="5" t="s">
        <v>1558</v>
      </c>
      <c r="E7163" s="5" t="s">
        <v>45614</v>
      </c>
      <c r="F7163" s="5" t="s">
        <v>212</v>
      </c>
      <c r="G7163" s="5" t="s">
        <v>45615</v>
      </c>
      <c r="H7163" s="6" t="s">
        <v>45616</v>
      </c>
      <c r="K7163" s="5" t="s">
        <v>45605</v>
      </c>
    </row>
    <row r="7164">
      <c r="A7164" s="4">
        <v>45534.378296145835</v>
      </c>
      <c r="B7164" s="5" t="s">
        <v>34</v>
      </c>
      <c r="D7164" s="5" t="s">
        <v>9394</v>
      </c>
      <c r="E7164" s="5" t="s">
        <v>45620</v>
      </c>
      <c r="F7164" s="5" t="s">
        <v>715</v>
      </c>
      <c r="G7164" s="5" t="s">
        <v>45621</v>
      </c>
      <c r="H7164" s="6" t="s">
        <v>45622</v>
      </c>
      <c r="K7164" s="5" t="s">
        <v>45605</v>
      </c>
    </row>
    <row r="7165">
      <c r="A7165" s="4">
        <v>45534.37830038194</v>
      </c>
      <c r="B7165" s="5" t="s">
        <v>34</v>
      </c>
      <c r="D7165" s="5" t="s">
        <v>9020</v>
      </c>
      <c r="E7165" s="5" t="s">
        <v>45626</v>
      </c>
      <c r="F7165" s="5" t="s">
        <v>212</v>
      </c>
      <c r="G7165" s="5" t="s">
        <v>45627</v>
      </c>
      <c r="H7165" s="6" t="s">
        <v>45628</v>
      </c>
      <c r="K7165" s="5" t="s">
        <v>45605</v>
      </c>
    </row>
    <row r="7166">
      <c r="A7166" s="4">
        <v>45534.378302268524</v>
      </c>
      <c r="B7166" s="5" t="s">
        <v>34</v>
      </c>
      <c r="D7166" s="5" t="s">
        <v>1206</v>
      </c>
      <c r="E7166" s="5" t="s">
        <v>45632</v>
      </c>
      <c r="F7166" s="5" t="s">
        <v>72</v>
      </c>
      <c r="G7166" s="5" t="s">
        <v>45633</v>
      </c>
      <c r="H7166" s="6" t="s">
        <v>45634</v>
      </c>
      <c r="K7166" s="5" t="s">
        <v>45605</v>
      </c>
    </row>
    <row r="7167">
      <c r="A7167" s="4">
        <v>45534.37830729167</v>
      </c>
      <c r="B7167" s="5" t="s">
        <v>34</v>
      </c>
      <c r="D7167" s="5" t="s">
        <v>10444</v>
      </c>
      <c r="E7167" s="5" t="s">
        <v>45638</v>
      </c>
      <c r="F7167" s="5" t="s">
        <v>524</v>
      </c>
      <c r="G7167" s="5" t="s">
        <v>45639</v>
      </c>
      <c r="H7167" s="6" t="s">
        <v>45640</v>
      </c>
      <c r="K7167" s="5" t="s">
        <v>45605</v>
      </c>
    </row>
    <row r="7168">
      <c r="A7168" s="4">
        <v>45534.37830953704</v>
      </c>
      <c r="B7168" s="5" t="s">
        <v>19</v>
      </c>
      <c r="C7168" s="5" t="s">
        <v>1606</v>
      </c>
      <c r="E7168" s="5" t="s">
        <v>45644</v>
      </c>
      <c r="F7168" s="5" t="s">
        <v>212</v>
      </c>
      <c r="G7168" s="5" t="s">
        <v>45645</v>
      </c>
      <c r="H7168" s="6" t="s">
        <v>45646</v>
      </c>
      <c r="K7168" s="5" t="s">
        <v>45605</v>
      </c>
    </row>
    <row r="7169">
      <c r="A7169" s="4">
        <v>45534.37834872685</v>
      </c>
      <c r="B7169" s="5" t="s">
        <v>34</v>
      </c>
      <c r="D7169" s="5" t="s">
        <v>4775</v>
      </c>
      <c r="E7169" s="5" t="s">
        <v>45650</v>
      </c>
      <c r="F7169" s="5" t="s">
        <v>37</v>
      </c>
      <c r="G7169" s="5" t="s">
        <v>45651</v>
      </c>
      <c r="H7169" s="6" t="s">
        <v>45652</v>
      </c>
      <c r="K7169" s="5" t="s">
        <v>45653</v>
      </c>
    </row>
    <row r="7170">
      <c r="A7170" s="4">
        <v>45534.378354560184</v>
      </c>
      <c r="B7170" s="5" t="s">
        <v>34</v>
      </c>
      <c r="D7170" s="5" t="s">
        <v>1206</v>
      </c>
      <c r="E7170" s="5" t="s">
        <v>45657</v>
      </c>
      <c r="F7170" s="5" t="s">
        <v>212</v>
      </c>
      <c r="G7170" s="5" t="s">
        <v>45658</v>
      </c>
      <c r="H7170" s="6" t="s">
        <v>45659</v>
      </c>
      <c r="K7170" s="5" t="s">
        <v>45653</v>
      </c>
    </row>
    <row r="7171">
      <c r="A7171" s="4">
        <v>45534.3783587963</v>
      </c>
      <c r="B7171" s="5" t="s">
        <v>34</v>
      </c>
      <c r="D7171" s="5" t="s">
        <v>35</v>
      </c>
      <c r="E7171" s="5" t="s">
        <v>45663</v>
      </c>
      <c r="F7171" s="5" t="s">
        <v>375</v>
      </c>
      <c r="G7171" s="5" t="s">
        <v>45664</v>
      </c>
      <c r="H7171" s="6" t="s">
        <v>45665</v>
      </c>
      <c r="K7171" s="5" t="s">
        <v>45653</v>
      </c>
    </row>
    <row r="7172">
      <c r="A7172" s="4">
        <v>45534.37836534722</v>
      </c>
      <c r="B7172" s="5" t="s">
        <v>34</v>
      </c>
      <c r="D7172" s="5" t="s">
        <v>267</v>
      </c>
      <c r="E7172" s="5" t="s">
        <v>45669</v>
      </c>
      <c r="F7172" s="5" t="s">
        <v>120</v>
      </c>
      <c r="G7172" s="5" t="s">
        <v>45670</v>
      </c>
      <c r="H7172" s="6" t="s">
        <v>45671</v>
      </c>
      <c r="K7172" s="5" t="s">
        <v>45653</v>
      </c>
    </row>
    <row r="7173">
      <c r="A7173" s="4">
        <v>45534.37837202546</v>
      </c>
      <c r="B7173" s="5" t="s">
        <v>19</v>
      </c>
      <c r="C7173" s="5" t="s">
        <v>5564</v>
      </c>
      <c r="E7173" s="5" t="s">
        <v>45675</v>
      </c>
      <c r="F7173" s="5" t="s">
        <v>212</v>
      </c>
      <c r="G7173" s="5" t="s">
        <v>45676</v>
      </c>
      <c r="H7173" s="6" t="s">
        <v>45677</v>
      </c>
      <c r="K7173" s="5" t="s">
        <v>45653</v>
      </c>
    </row>
    <row r="7174">
      <c r="A7174" s="4">
        <v>45534.37837266204</v>
      </c>
      <c r="B7174" s="5" t="s">
        <v>34</v>
      </c>
      <c r="D7174" s="5" t="s">
        <v>1558</v>
      </c>
      <c r="E7174" s="5" t="s">
        <v>45681</v>
      </c>
      <c r="F7174" s="5" t="s">
        <v>524</v>
      </c>
      <c r="G7174" s="5" t="s">
        <v>45682</v>
      </c>
      <c r="H7174" s="6" t="s">
        <v>45683</v>
      </c>
      <c r="K7174" s="5" t="s">
        <v>45653</v>
      </c>
    </row>
    <row r="7175">
      <c r="A7175" s="4">
        <v>45534.3784158912</v>
      </c>
      <c r="B7175" s="5" t="s">
        <v>34</v>
      </c>
      <c r="D7175" s="5" t="s">
        <v>9020</v>
      </c>
      <c r="E7175" s="5" t="s">
        <v>45687</v>
      </c>
      <c r="F7175" s="5" t="s">
        <v>212</v>
      </c>
      <c r="G7175" s="5" t="s">
        <v>45688</v>
      </c>
      <c r="H7175" s="6" t="s">
        <v>45689</v>
      </c>
      <c r="K7175" s="5" t="s">
        <v>45690</v>
      </c>
    </row>
    <row r="7176">
      <c r="A7176" s="4">
        <v>45534.37841744213</v>
      </c>
      <c r="B7176" s="5" t="s">
        <v>34</v>
      </c>
      <c r="D7176" s="5" t="s">
        <v>1206</v>
      </c>
      <c r="E7176" s="5" t="s">
        <v>45694</v>
      </c>
      <c r="F7176" s="5" t="s">
        <v>37</v>
      </c>
      <c r="G7176" s="5" t="s">
        <v>45695</v>
      </c>
      <c r="H7176" s="6" t="s">
        <v>45696</v>
      </c>
      <c r="K7176" s="5" t="s">
        <v>45690</v>
      </c>
    </row>
    <row r="7177">
      <c r="A7177" s="4">
        <v>45534.37842190972</v>
      </c>
      <c r="B7177" s="5" t="s">
        <v>34</v>
      </c>
      <c r="D7177" s="5" t="s">
        <v>12978</v>
      </c>
      <c r="E7177" s="5" t="s">
        <v>45700</v>
      </c>
      <c r="F7177" s="5" t="s">
        <v>375</v>
      </c>
      <c r="G7177" s="5" t="s">
        <v>45701</v>
      </c>
      <c r="H7177" s="6" t="s">
        <v>45702</v>
      </c>
      <c r="K7177" s="5" t="s">
        <v>45690</v>
      </c>
    </row>
    <row r="7178">
      <c r="A7178" s="4">
        <v>45534.37842328704</v>
      </c>
      <c r="B7178" s="5" t="s">
        <v>34</v>
      </c>
      <c r="D7178" s="5" t="s">
        <v>9020</v>
      </c>
      <c r="E7178" s="5" t="s">
        <v>16390</v>
      </c>
      <c r="F7178" s="5" t="s">
        <v>72</v>
      </c>
      <c r="G7178" s="5" t="s">
        <v>45706</v>
      </c>
      <c r="H7178" s="6" t="s">
        <v>45707</v>
      </c>
      <c r="K7178" s="5" t="s">
        <v>45690</v>
      </c>
    </row>
    <row r="7179">
      <c r="A7179" s="4">
        <v>45534.37842699074</v>
      </c>
      <c r="B7179" s="5" t="s">
        <v>34</v>
      </c>
      <c r="D7179" s="5" t="s">
        <v>1206</v>
      </c>
      <c r="E7179" s="5" t="s">
        <v>45711</v>
      </c>
      <c r="F7179" s="5" t="s">
        <v>37</v>
      </c>
      <c r="G7179" s="5" t="s">
        <v>45712</v>
      </c>
      <c r="H7179" s="6" t="s">
        <v>45713</v>
      </c>
      <c r="K7179" s="5" t="s">
        <v>45690</v>
      </c>
    </row>
    <row r="7180">
      <c r="A7180" s="4">
        <v>45534.378435844905</v>
      </c>
      <c r="B7180" s="5" t="s">
        <v>34</v>
      </c>
      <c r="D7180" s="5" t="s">
        <v>1558</v>
      </c>
      <c r="E7180" s="5" t="s">
        <v>45717</v>
      </c>
      <c r="F7180" s="5" t="s">
        <v>37</v>
      </c>
      <c r="G7180" s="5" t="s">
        <v>45718</v>
      </c>
      <c r="H7180" s="6" t="s">
        <v>45719</v>
      </c>
      <c r="K7180" s="5" t="s">
        <v>45720</v>
      </c>
    </row>
    <row r="7181">
      <c r="A7181" s="4">
        <v>45534.37844988426</v>
      </c>
      <c r="B7181" s="5" t="s">
        <v>34</v>
      </c>
      <c r="D7181" s="5" t="s">
        <v>1206</v>
      </c>
      <c r="E7181" s="5" t="s">
        <v>45724</v>
      </c>
      <c r="F7181" s="5" t="s">
        <v>108</v>
      </c>
      <c r="G7181" s="5" t="s">
        <v>45725</v>
      </c>
      <c r="H7181" s="6" t="s">
        <v>45726</v>
      </c>
      <c r="K7181" s="5" t="s">
        <v>45727</v>
      </c>
    </row>
    <row r="7182">
      <c r="A7182" s="4">
        <v>45534.37845189815</v>
      </c>
      <c r="B7182" s="5" t="s">
        <v>34</v>
      </c>
      <c r="D7182" s="5" t="s">
        <v>701</v>
      </c>
      <c r="E7182" s="5" t="s">
        <v>45731</v>
      </c>
      <c r="F7182" s="5" t="s">
        <v>212</v>
      </c>
      <c r="G7182" s="5" t="s">
        <v>45732</v>
      </c>
      <c r="H7182" s="6" t="s">
        <v>45733</v>
      </c>
      <c r="K7182" s="5" t="s">
        <v>45727</v>
      </c>
    </row>
    <row r="7183">
      <c r="A7183" s="4">
        <v>45534.37848989583</v>
      </c>
      <c r="B7183" s="5" t="s">
        <v>34</v>
      </c>
      <c r="D7183" s="5" t="s">
        <v>1768</v>
      </c>
      <c r="E7183" s="5" t="s">
        <v>45737</v>
      </c>
      <c r="F7183" s="5" t="s">
        <v>108</v>
      </c>
      <c r="G7183" s="5" t="s">
        <v>45738</v>
      </c>
      <c r="H7183" s="6" t="s">
        <v>45739</v>
      </c>
      <c r="K7183" s="5" t="s">
        <v>45740</v>
      </c>
    </row>
    <row r="7184">
      <c r="A7184" s="4">
        <v>45534.37849128472</v>
      </c>
      <c r="B7184" s="5" t="s">
        <v>34</v>
      </c>
      <c r="D7184" s="5" t="s">
        <v>35</v>
      </c>
      <c r="E7184" s="5" t="s">
        <v>45744</v>
      </c>
      <c r="F7184" s="5" t="s">
        <v>72</v>
      </c>
      <c r="G7184" s="5" t="s">
        <v>45745</v>
      </c>
      <c r="H7184" s="6" t="s">
        <v>45746</v>
      </c>
      <c r="K7184" s="5" t="s">
        <v>45740</v>
      </c>
    </row>
    <row r="7185">
      <c r="A7185" s="4">
        <v>45534.37853482639</v>
      </c>
      <c r="B7185" s="5" t="s">
        <v>34</v>
      </c>
      <c r="D7185" s="5" t="s">
        <v>701</v>
      </c>
      <c r="E7185" s="5" t="s">
        <v>45750</v>
      </c>
      <c r="F7185" s="5" t="s">
        <v>108</v>
      </c>
      <c r="G7185" s="5" t="s">
        <v>45751</v>
      </c>
      <c r="H7185" s="6" t="s">
        <v>45752</v>
      </c>
      <c r="K7185" s="5" t="s">
        <v>45753</v>
      </c>
    </row>
    <row r="7186">
      <c r="A7186" s="4">
        <v>45534.37857006944</v>
      </c>
      <c r="B7186" s="5" t="s">
        <v>34</v>
      </c>
      <c r="D7186" s="5" t="s">
        <v>35</v>
      </c>
      <c r="E7186" s="5" t="s">
        <v>45757</v>
      </c>
      <c r="F7186" s="5" t="s">
        <v>37</v>
      </c>
      <c r="G7186" s="5" t="s">
        <v>45758</v>
      </c>
      <c r="H7186" s="6" t="s">
        <v>45759</v>
      </c>
      <c r="K7186" s="5" t="s">
        <v>45753</v>
      </c>
    </row>
    <row r="7187">
      <c r="A7187" s="4">
        <v>45534.37858755787</v>
      </c>
      <c r="B7187" s="5" t="s">
        <v>34</v>
      </c>
      <c r="D7187" s="5" t="s">
        <v>996</v>
      </c>
      <c r="E7187" s="5" t="s">
        <v>45763</v>
      </c>
      <c r="F7187" s="5" t="s">
        <v>37</v>
      </c>
      <c r="G7187" s="5" t="s">
        <v>45764</v>
      </c>
      <c r="H7187" s="6" t="s">
        <v>45765</v>
      </c>
      <c r="K7187" s="5" t="s">
        <v>45753</v>
      </c>
    </row>
    <row r="7188">
      <c r="A7188" s="4">
        <v>45534.37860085648</v>
      </c>
      <c r="B7188" s="5" t="s">
        <v>19</v>
      </c>
      <c r="C7188" s="5" t="s">
        <v>442</v>
      </c>
      <c r="E7188" s="5" t="s">
        <v>45769</v>
      </c>
      <c r="F7188" s="5" t="s">
        <v>72</v>
      </c>
      <c r="G7188" s="5" t="s">
        <v>45770</v>
      </c>
      <c r="H7188" s="6" t="s">
        <v>45771</v>
      </c>
      <c r="K7188" s="5" t="s">
        <v>45753</v>
      </c>
    </row>
    <row r="7189">
      <c r="A7189" s="4">
        <v>45534.37861884259</v>
      </c>
      <c r="B7189" s="5" t="s">
        <v>34</v>
      </c>
      <c r="D7189" s="5" t="s">
        <v>9020</v>
      </c>
      <c r="E7189" s="5" t="s">
        <v>45775</v>
      </c>
      <c r="F7189" s="5" t="s">
        <v>524</v>
      </c>
      <c r="G7189" s="5" t="s">
        <v>45776</v>
      </c>
      <c r="H7189" s="6" t="s">
        <v>45777</v>
      </c>
      <c r="K7189" s="5" t="s">
        <v>45753</v>
      </c>
    </row>
    <row r="7190">
      <c r="A7190" s="4">
        <v>45534.37868949074</v>
      </c>
      <c r="B7190" s="5" t="s">
        <v>34</v>
      </c>
      <c r="D7190" s="5" t="s">
        <v>1206</v>
      </c>
      <c r="E7190" s="5" t="s">
        <v>45781</v>
      </c>
      <c r="F7190" s="5" t="s">
        <v>524</v>
      </c>
      <c r="G7190" s="5" t="s">
        <v>45782</v>
      </c>
      <c r="H7190" s="6" t="s">
        <v>45783</v>
      </c>
      <c r="K7190" s="5" t="s">
        <v>45784</v>
      </c>
    </row>
    <row r="7191">
      <c r="A7191" s="4">
        <v>45534.37870424769</v>
      </c>
      <c r="B7191" s="5" t="s">
        <v>34</v>
      </c>
      <c r="D7191" s="5" t="s">
        <v>1206</v>
      </c>
      <c r="E7191" s="5" t="s">
        <v>45788</v>
      </c>
      <c r="F7191" s="5" t="s">
        <v>212</v>
      </c>
      <c r="G7191" s="5" t="s">
        <v>45789</v>
      </c>
      <c r="H7191" s="6" t="s">
        <v>45790</v>
      </c>
      <c r="K7191" s="5" t="s">
        <v>45791</v>
      </c>
    </row>
    <row r="7192">
      <c r="A7192" s="4">
        <v>45534.378706539355</v>
      </c>
      <c r="B7192" s="5" t="s">
        <v>34</v>
      </c>
      <c r="D7192" s="5" t="s">
        <v>4775</v>
      </c>
      <c r="E7192" s="5" t="s">
        <v>45795</v>
      </c>
      <c r="F7192" s="5" t="s">
        <v>37</v>
      </c>
      <c r="G7192" s="5" t="s">
        <v>45796</v>
      </c>
      <c r="H7192" s="6" t="s">
        <v>45797</v>
      </c>
      <c r="K7192" s="5" t="s">
        <v>45791</v>
      </c>
    </row>
    <row r="7193">
      <c r="A7193" s="4">
        <v>45534.378714189814</v>
      </c>
      <c r="B7193" s="5" t="s">
        <v>34</v>
      </c>
      <c r="D7193" s="5" t="s">
        <v>996</v>
      </c>
      <c r="E7193" s="5" t="s">
        <v>45801</v>
      </c>
      <c r="F7193" s="5" t="s">
        <v>212</v>
      </c>
      <c r="G7193" s="5" t="s">
        <v>45802</v>
      </c>
      <c r="H7193" s="6" t="s">
        <v>45803</v>
      </c>
      <c r="K7193" s="5" t="s">
        <v>45791</v>
      </c>
    </row>
    <row r="7194">
      <c r="A7194" s="4">
        <v>45534.37872329861</v>
      </c>
      <c r="B7194" s="5" t="s">
        <v>19</v>
      </c>
      <c r="C7194" s="5" t="s">
        <v>442</v>
      </c>
      <c r="E7194" s="5" t="s">
        <v>45807</v>
      </c>
      <c r="F7194" s="5" t="s">
        <v>120</v>
      </c>
      <c r="G7194" s="5" t="s">
        <v>45808</v>
      </c>
      <c r="H7194" s="6" t="s">
        <v>45809</v>
      </c>
      <c r="K7194" s="5" t="s">
        <v>45791</v>
      </c>
    </row>
    <row r="7195">
      <c r="A7195" s="4">
        <v>45534.378749606476</v>
      </c>
      <c r="B7195" s="5" t="s">
        <v>34</v>
      </c>
      <c r="D7195" s="5" t="s">
        <v>35</v>
      </c>
      <c r="E7195" s="5" t="s">
        <v>45813</v>
      </c>
      <c r="F7195" s="5" t="s">
        <v>715</v>
      </c>
      <c r="G7195" s="5" t="s">
        <v>45814</v>
      </c>
      <c r="H7195" s="6" t="s">
        <v>45815</v>
      </c>
      <c r="K7195" s="5" t="s">
        <v>45791</v>
      </c>
    </row>
    <row r="7196">
      <c r="A7196" s="4">
        <v>45534.37875326389</v>
      </c>
      <c r="B7196" s="5" t="s">
        <v>34</v>
      </c>
      <c r="D7196" s="5" t="s">
        <v>1206</v>
      </c>
      <c r="E7196" s="5" t="s">
        <v>45819</v>
      </c>
      <c r="F7196" s="5" t="s">
        <v>212</v>
      </c>
      <c r="G7196" s="5" t="s">
        <v>45820</v>
      </c>
      <c r="H7196" s="6" t="s">
        <v>45821</v>
      </c>
      <c r="K7196" s="5" t="s">
        <v>45791</v>
      </c>
    </row>
    <row r="7197">
      <c r="A7197" s="4">
        <v>45534.37875417824</v>
      </c>
      <c r="B7197" s="5" t="s">
        <v>19</v>
      </c>
      <c r="C7197" s="5" t="s">
        <v>292</v>
      </c>
      <c r="E7197" s="5" t="s">
        <v>45825</v>
      </c>
      <c r="F7197" s="5" t="s">
        <v>120</v>
      </c>
      <c r="G7197" s="5" t="s">
        <v>45826</v>
      </c>
      <c r="H7197" s="6" t="s">
        <v>45827</v>
      </c>
      <c r="K7197" s="5" t="s">
        <v>45791</v>
      </c>
    </row>
    <row r="7198">
      <c r="A7198" s="4">
        <v>45534.37878525463</v>
      </c>
      <c r="B7198" s="5" t="s">
        <v>19</v>
      </c>
      <c r="C7198" s="5" t="s">
        <v>442</v>
      </c>
      <c r="E7198" s="5" t="s">
        <v>45831</v>
      </c>
      <c r="F7198" s="5" t="s">
        <v>524</v>
      </c>
      <c r="G7198" s="5" t="s">
        <v>45832</v>
      </c>
      <c r="H7198" s="6" t="s">
        <v>45833</v>
      </c>
      <c r="K7198" s="5" t="s">
        <v>45834</v>
      </c>
    </row>
    <row r="7199">
      <c r="A7199" s="4">
        <v>45534.3787965625</v>
      </c>
      <c r="B7199" s="5" t="s">
        <v>34</v>
      </c>
      <c r="D7199" s="5" t="s">
        <v>1558</v>
      </c>
      <c r="E7199" s="5" t="s">
        <v>45838</v>
      </c>
      <c r="F7199" s="5" t="s">
        <v>212</v>
      </c>
      <c r="G7199" s="5" t="s">
        <v>45839</v>
      </c>
      <c r="H7199" s="6" t="s">
        <v>45840</v>
      </c>
      <c r="K7199" s="5" t="s">
        <v>45834</v>
      </c>
    </row>
    <row r="7200">
      <c r="A7200" s="4">
        <v>45534.378797604164</v>
      </c>
      <c r="B7200" s="5" t="s">
        <v>34</v>
      </c>
      <c r="D7200" s="5" t="s">
        <v>9394</v>
      </c>
      <c r="E7200" s="5" t="s">
        <v>45844</v>
      </c>
      <c r="F7200" s="5" t="s">
        <v>715</v>
      </c>
      <c r="G7200" s="5" t="s">
        <v>45845</v>
      </c>
      <c r="H7200" s="6" t="s">
        <v>45846</v>
      </c>
      <c r="K7200" s="5" t="s">
        <v>45834</v>
      </c>
    </row>
    <row r="7201">
      <c r="A7201" s="4">
        <v>45534.37882107639</v>
      </c>
      <c r="B7201" s="5" t="s">
        <v>19</v>
      </c>
      <c r="C7201" s="5" t="s">
        <v>5564</v>
      </c>
      <c r="E7201" s="5" t="s">
        <v>45850</v>
      </c>
      <c r="F7201" s="5" t="s">
        <v>375</v>
      </c>
      <c r="G7201" s="5" t="s">
        <v>45851</v>
      </c>
      <c r="H7201" s="6" t="s">
        <v>45852</v>
      </c>
      <c r="K7201" s="5" t="s">
        <v>45834</v>
      </c>
    </row>
    <row r="7202">
      <c r="A7202" s="4">
        <v>45534.37882828704</v>
      </c>
      <c r="B7202" s="5" t="s">
        <v>34</v>
      </c>
      <c r="D7202" s="5" t="s">
        <v>9020</v>
      </c>
      <c r="E7202" s="5" t="s">
        <v>23159</v>
      </c>
      <c r="F7202" s="5" t="s">
        <v>37</v>
      </c>
      <c r="G7202" s="5" t="s">
        <v>45856</v>
      </c>
      <c r="H7202" s="6" t="s">
        <v>45857</v>
      </c>
      <c r="K7202" s="5" t="s">
        <v>45834</v>
      </c>
    </row>
    <row r="7203">
      <c r="A7203" s="4">
        <v>45534.37883666667</v>
      </c>
      <c r="B7203" s="5" t="s">
        <v>34</v>
      </c>
      <c r="D7203" s="5" t="s">
        <v>1206</v>
      </c>
      <c r="E7203" s="5" t="s">
        <v>45861</v>
      </c>
      <c r="F7203" s="5" t="s">
        <v>212</v>
      </c>
      <c r="G7203" s="5" t="s">
        <v>45862</v>
      </c>
      <c r="H7203" s="6" t="s">
        <v>45863</v>
      </c>
      <c r="K7203" s="5" t="s">
        <v>45834</v>
      </c>
    </row>
    <row r="7204">
      <c r="A7204" s="4">
        <v>45534.378847395834</v>
      </c>
      <c r="B7204" s="5" t="s">
        <v>34</v>
      </c>
      <c r="D7204" s="5" t="s">
        <v>35</v>
      </c>
      <c r="E7204" s="5" t="s">
        <v>45867</v>
      </c>
      <c r="F7204" s="5" t="s">
        <v>524</v>
      </c>
      <c r="G7204" s="5" t="s">
        <v>45868</v>
      </c>
      <c r="H7204" s="6" t="s">
        <v>45869</v>
      </c>
      <c r="K7204" s="5" t="s">
        <v>45834</v>
      </c>
    </row>
    <row r="7205">
      <c r="A7205" s="4">
        <v>45534.378856435185</v>
      </c>
      <c r="B7205" s="5" t="s">
        <v>34</v>
      </c>
      <c r="D7205" s="5" t="s">
        <v>604</v>
      </c>
      <c r="E7205" s="5" t="s">
        <v>45873</v>
      </c>
      <c r="F7205" s="5" t="s">
        <v>108</v>
      </c>
      <c r="G7205" s="5" t="s">
        <v>45874</v>
      </c>
      <c r="H7205" s="6" t="s">
        <v>45875</v>
      </c>
      <c r="K7205" s="5" t="s">
        <v>45876</v>
      </c>
    </row>
    <row r="7206">
      <c r="A7206" s="4">
        <v>45534.37885903935</v>
      </c>
      <c r="B7206" s="5" t="s">
        <v>34</v>
      </c>
      <c r="D7206" s="5" t="s">
        <v>4775</v>
      </c>
      <c r="E7206" s="5" t="s">
        <v>45880</v>
      </c>
      <c r="F7206" s="5" t="s">
        <v>37</v>
      </c>
      <c r="G7206" s="5" t="s">
        <v>45881</v>
      </c>
      <c r="H7206" s="6" t="s">
        <v>45882</v>
      </c>
      <c r="K7206" s="5" t="s">
        <v>45876</v>
      </c>
    </row>
    <row r="7207">
      <c r="A7207" s="4">
        <v>45534.37886726852</v>
      </c>
      <c r="B7207" s="5" t="s">
        <v>34</v>
      </c>
      <c r="D7207" s="5" t="s">
        <v>1206</v>
      </c>
      <c r="E7207" s="5" t="s">
        <v>45886</v>
      </c>
      <c r="F7207" s="5" t="s">
        <v>212</v>
      </c>
      <c r="G7207" s="5" t="s">
        <v>45887</v>
      </c>
      <c r="H7207" s="6" t="s">
        <v>45888</v>
      </c>
      <c r="K7207" s="5" t="s">
        <v>45876</v>
      </c>
    </row>
    <row r="7208">
      <c r="A7208" s="4">
        <v>45534.37893611111</v>
      </c>
      <c r="B7208" s="5" t="s">
        <v>19</v>
      </c>
      <c r="C7208" s="5" t="s">
        <v>292</v>
      </c>
      <c r="E7208" s="5" t="s">
        <v>45892</v>
      </c>
      <c r="F7208" s="5" t="s">
        <v>375</v>
      </c>
      <c r="G7208" s="5" t="s">
        <v>45893</v>
      </c>
      <c r="H7208" s="6" t="s">
        <v>45894</v>
      </c>
      <c r="K7208" s="5" t="s">
        <v>45895</v>
      </c>
    </row>
    <row r="7209">
      <c r="A7209" s="4">
        <v>45534.378985</v>
      </c>
      <c r="B7209" s="5" t="s">
        <v>34</v>
      </c>
      <c r="D7209" s="5" t="s">
        <v>2903</v>
      </c>
      <c r="E7209" s="5" t="s">
        <v>45899</v>
      </c>
      <c r="F7209" s="5" t="s">
        <v>524</v>
      </c>
      <c r="G7209" s="5" t="s">
        <v>45900</v>
      </c>
      <c r="H7209" s="6" t="s">
        <v>45901</v>
      </c>
      <c r="K7209" s="5" t="s">
        <v>45902</v>
      </c>
    </row>
    <row r="7210">
      <c r="A7210" s="4">
        <v>45534.37900763889</v>
      </c>
      <c r="B7210" s="5" t="s">
        <v>34</v>
      </c>
      <c r="D7210" s="5" t="s">
        <v>701</v>
      </c>
      <c r="E7210" s="5" t="s">
        <v>45906</v>
      </c>
      <c r="F7210" s="5" t="s">
        <v>108</v>
      </c>
      <c r="G7210" s="5" t="s">
        <v>45907</v>
      </c>
      <c r="H7210" s="6" t="s">
        <v>45908</v>
      </c>
      <c r="K7210" s="5" t="s">
        <v>45909</v>
      </c>
    </row>
    <row r="7211">
      <c r="A7211" s="4">
        <v>45534.37903115741</v>
      </c>
      <c r="B7211" s="5" t="s">
        <v>34</v>
      </c>
      <c r="D7211" s="5" t="s">
        <v>4775</v>
      </c>
      <c r="E7211" s="5" t="s">
        <v>45913</v>
      </c>
      <c r="F7211" s="5" t="s">
        <v>212</v>
      </c>
      <c r="G7211" s="5" t="s">
        <v>45914</v>
      </c>
      <c r="H7211" s="6" t="s">
        <v>45915</v>
      </c>
      <c r="K7211" s="5" t="s">
        <v>45909</v>
      </c>
    </row>
    <row r="7212">
      <c r="A7212" s="4">
        <v>45534.379042858796</v>
      </c>
      <c r="B7212" s="5" t="s">
        <v>34</v>
      </c>
      <c r="D7212" s="5" t="s">
        <v>1558</v>
      </c>
      <c r="E7212" s="5" t="s">
        <v>45919</v>
      </c>
      <c r="F7212" s="5" t="s">
        <v>199</v>
      </c>
      <c r="G7212" s="5" t="s">
        <v>45920</v>
      </c>
      <c r="H7212" s="6" t="s">
        <v>45921</v>
      </c>
      <c r="K7212" s="5" t="s">
        <v>45922</v>
      </c>
    </row>
    <row r="7213">
      <c r="A7213" s="4">
        <v>45534.37905240741</v>
      </c>
      <c r="B7213" s="5" t="s">
        <v>34</v>
      </c>
      <c r="D7213" s="5" t="s">
        <v>4775</v>
      </c>
      <c r="E7213" s="5" t="s">
        <v>45926</v>
      </c>
      <c r="F7213" s="5" t="s">
        <v>524</v>
      </c>
      <c r="G7213" s="5" t="s">
        <v>45927</v>
      </c>
      <c r="H7213" s="6" t="s">
        <v>45928</v>
      </c>
      <c r="K7213" s="5" t="s">
        <v>45922</v>
      </c>
    </row>
    <row r="7214">
      <c r="A7214" s="4">
        <v>45534.379054212965</v>
      </c>
      <c r="B7214" s="5" t="s">
        <v>34</v>
      </c>
      <c r="D7214" s="5" t="s">
        <v>3432</v>
      </c>
      <c r="E7214" s="5" t="s">
        <v>45932</v>
      </c>
      <c r="F7214" s="5" t="s">
        <v>524</v>
      </c>
      <c r="G7214" s="5" t="s">
        <v>45933</v>
      </c>
      <c r="H7214" s="6" t="s">
        <v>45934</v>
      </c>
      <c r="K7214" s="5" t="s">
        <v>45922</v>
      </c>
    </row>
    <row r="7215">
      <c r="A7215" s="4">
        <v>45534.37905440972</v>
      </c>
      <c r="B7215" s="5" t="s">
        <v>34</v>
      </c>
      <c r="D7215" s="5" t="s">
        <v>1206</v>
      </c>
      <c r="E7215" s="5" t="s">
        <v>45938</v>
      </c>
      <c r="F7215" s="5" t="s">
        <v>212</v>
      </c>
      <c r="G7215" s="5" t="s">
        <v>45939</v>
      </c>
      <c r="H7215" s="6" t="s">
        <v>45940</v>
      </c>
      <c r="K7215" s="5" t="s">
        <v>45922</v>
      </c>
    </row>
    <row r="7216">
      <c r="A7216" s="4">
        <v>45534.379060844905</v>
      </c>
      <c r="B7216" s="5" t="s">
        <v>34</v>
      </c>
      <c r="D7216" s="5" t="s">
        <v>1206</v>
      </c>
      <c r="E7216" s="5" t="s">
        <v>45944</v>
      </c>
      <c r="F7216" s="5" t="s">
        <v>212</v>
      </c>
      <c r="G7216" s="5" t="s">
        <v>45945</v>
      </c>
      <c r="H7216" s="6" t="s">
        <v>45946</v>
      </c>
      <c r="K7216" s="5" t="s">
        <v>45922</v>
      </c>
    </row>
    <row r="7217">
      <c r="A7217" s="4">
        <v>45534.379087442125</v>
      </c>
      <c r="B7217" s="5" t="s">
        <v>34</v>
      </c>
      <c r="D7217" s="5" t="s">
        <v>9020</v>
      </c>
      <c r="E7217" s="5" t="s">
        <v>45950</v>
      </c>
      <c r="F7217" s="5" t="s">
        <v>212</v>
      </c>
      <c r="G7217" s="5" t="s">
        <v>45951</v>
      </c>
      <c r="H7217" s="6" t="s">
        <v>45952</v>
      </c>
      <c r="K7217" s="5" t="s">
        <v>45953</v>
      </c>
    </row>
    <row r="7218">
      <c r="A7218" s="4">
        <v>45534.37910283565</v>
      </c>
      <c r="B7218" s="5" t="s">
        <v>34</v>
      </c>
      <c r="D7218" s="5" t="s">
        <v>1206</v>
      </c>
      <c r="E7218" s="5" t="s">
        <v>45957</v>
      </c>
      <c r="F7218" s="5" t="s">
        <v>524</v>
      </c>
      <c r="G7218" s="5" t="s">
        <v>45958</v>
      </c>
      <c r="H7218" s="6" t="s">
        <v>45959</v>
      </c>
      <c r="K7218" s="5" t="s">
        <v>45953</v>
      </c>
    </row>
    <row r="7219">
      <c r="A7219" s="4">
        <v>45534.3791096412</v>
      </c>
      <c r="B7219" s="5" t="s">
        <v>34</v>
      </c>
      <c r="D7219" s="5" t="s">
        <v>1206</v>
      </c>
      <c r="E7219" s="5" t="s">
        <v>45963</v>
      </c>
      <c r="F7219" s="5" t="s">
        <v>212</v>
      </c>
      <c r="G7219" s="5" t="s">
        <v>45964</v>
      </c>
      <c r="H7219" s="6" t="s">
        <v>45965</v>
      </c>
      <c r="K7219" s="5" t="s">
        <v>45953</v>
      </c>
    </row>
    <row r="7220">
      <c r="A7220" s="4">
        <v>45534.379113703704</v>
      </c>
      <c r="B7220" s="5" t="s">
        <v>34</v>
      </c>
      <c r="D7220" s="5" t="s">
        <v>1558</v>
      </c>
      <c r="E7220" s="5" t="s">
        <v>45969</v>
      </c>
      <c r="F7220" s="5" t="s">
        <v>212</v>
      </c>
      <c r="G7220" s="5" t="s">
        <v>45970</v>
      </c>
      <c r="H7220" s="6" t="s">
        <v>45971</v>
      </c>
      <c r="K7220" s="5" t="s">
        <v>45953</v>
      </c>
    </row>
    <row r="7221">
      <c r="A7221" s="4">
        <v>45534.37913282408</v>
      </c>
      <c r="B7221" s="5" t="s">
        <v>34</v>
      </c>
      <c r="D7221" s="5" t="s">
        <v>12978</v>
      </c>
      <c r="E7221" s="5" t="s">
        <v>45975</v>
      </c>
      <c r="F7221" s="5" t="s">
        <v>212</v>
      </c>
      <c r="G7221" s="5" t="s">
        <v>45976</v>
      </c>
      <c r="H7221" s="6" t="s">
        <v>45977</v>
      </c>
      <c r="K7221" s="5" t="s">
        <v>45953</v>
      </c>
    </row>
    <row r="7222">
      <c r="A7222" s="4">
        <v>45534.37914563657</v>
      </c>
      <c r="B7222" s="5" t="s">
        <v>19</v>
      </c>
      <c r="C7222" s="5" t="s">
        <v>30588</v>
      </c>
      <c r="E7222" s="5" t="s">
        <v>45981</v>
      </c>
      <c r="F7222" s="5" t="s">
        <v>375</v>
      </c>
      <c r="G7222" s="5" t="s">
        <v>45982</v>
      </c>
      <c r="H7222" s="6" t="s">
        <v>45983</v>
      </c>
      <c r="K7222" s="5" t="s">
        <v>45984</v>
      </c>
    </row>
    <row r="7223">
      <c r="A7223" s="4">
        <v>45534.37915420139</v>
      </c>
      <c r="B7223" s="5" t="s">
        <v>19</v>
      </c>
      <c r="C7223" s="5" t="s">
        <v>45988</v>
      </c>
      <c r="E7223" s="5" t="s">
        <v>45989</v>
      </c>
      <c r="F7223" s="5" t="s">
        <v>212</v>
      </c>
      <c r="G7223" s="5" t="s">
        <v>45990</v>
      </c>
      <c r="H7223" s="6" t="s">
        <v>45991</v>
      </c>
      <c r="K7223" s="5" t="s">
        <v>45992</v>
      </c>
    </row>
    <row r="7224">
      <c r="A7224" s="4">
        <v>45534.379163101854</v>
      </c>
      <c r="B7224" s="5" t="s">
        <v>19</v>
      </c>
      <c r="C7224" s="5" t="s">
        <v>45988</v>
      </c>
      <c r="E7224" s="5" t="s">
        <v>45996</v>
      </c>
      <c r="F7224" s="5" t="s">
        <v>108</v>
      </c>
      <c r="G7224" s="5" t="s">
        <v>45997</v>
      </c>
      <c r="H7224" s="6" t="s">
        <v>45998</v>
      </c>
      <c r="K7224" s="5" t="s">
        <v>45992</v>
      </c>
    </row>
    <row r="7225">
      <c r="A7225" s="4">
        <v>45534.37917105324</v>
      </c>
      <c r="B7225" s="5" t="s">
        <v>34</v>
      </c>
      <c r="D7225" s="5" t="s">
        <v>7858</v>
      </c>
      <c r="E7225" s="5" t="s">
        <v>46002</v>
      </c>
      <c r="F7225" s="5" t="s">
        <v>715</v>
      </c>
      <c r="G7225" s="5" t="s">
        <v>46003</v>
      </c>
      <c r="H7225" s="6" t="s">
        <v>46004</v>
      </c>
      <c r="K7225" s="5" t="s">
        <v>45992</v>
      </c>
    </row>
    <row r="7226">
      <c r="A7226" s="4">
        <v>45534.37917526621</v>
      </c>
      <c r="B7226" s="5" t="s">
        <v>34</v>
      </c>
      <c r="D7226" s="5" t="s">
        <v>996</v>
      </c>
      <c r="E7226" s="5" t="s">
        <v>46008</v>
      </c>
      <c r="F7226" s="5" t="s">
        <v>199</v>
      </c>
      <c r="G7226" s="5" t="s">
        <v>46009</v>
      </c>
      <c r="H7226" s="6" t="s">
        <v>46010</v>
      </c>
      <c r="K7226" s="5" t="s">
        <v>45992</v>
      </c>
    </row>
    <row r="7227">
      <c r="A7227" s="4">
        <v>45534.37919857639</v>
      </c>
      <c r="B7227" s="5" t="s">
        <v>34</v>
      </c>
      <c r="D7227" s="5" t="s">
        <v>14424</v>
      </c>
      <c r="E7227" s="5" t="s">
        <v>46014</v>
      </c>
      <c r="F7227" s="5" t="s">
        <v>72</v>
      </c>
      <c r="G7227" s="5" t="s">
        <v>46015</v>
      </c>
      <c r="H7227" s="6" t="s">
        <v>46016</v>
      </c>
      <c r="K7227" s="5" t="s">
        <v>46017</v>
      </c>
    </row>
    <row r="7228">
      <c r="A7228" s="4">
        <v>45534.37920510417</v>
      </c>
      <c r="B7228" s="5" t="s">
        <v>34</v>
      </c>
      <c r="D7228" s="5" t="s">
        <v>1206</v>
      </c>
      <c r="E7228" s="5" t="s">
        <v>46021</v>
      </c>
      <c r="F7228" s="5" t="s">
        <v>37</v>
      </c>
      <c r="G7228" s="5" t="s">
        <v>46022</v>
      </c>
      <c r="H7228" s="6" t="s">
        <v>46023</v>
      </c>
      <c r="K7228" s="5" t="s">
        <v>46017</v>
      </c>
    </row>
    <row r="7229">
      <c r="A7229" s="4">
        <v>45534.379213148146</v>
      </c>
      <c r="B7229" s="5" t="s">
        <v>34</v>
      </c>
      <c r="D7229" s="5" t="s">
        <v>701</v>
      </c>
      <c r="E7229" s="5" t="s">
        <v>46027</v>
      </c>
      <c r="F7229" s="5" t="s">
        <v>212</v>
      </c>
      <c r="G7229" s="5" t="s">
        <v>46028</v>
      </c>
      <c r="H7229" s="6" t="s">
        <v>46029</v>
      </c>
      <c r="K7229" s="5" t="s">
        <v>46017</v>
      </c>
    </row>
    <row r="7230">
      <c r="A7230" s="4">
        <v>45534.379225</v>
      </c>
      <c r="B7230" s="5" t="s">
        <v>19</v>
      </c>
      <c r="C7230" s="5" t="s">
        <v>40230</v>
      </c>
      <c r="E7230" s="5" t="s">
        <v>46033</v>
      </c>
      <c r="F7230" s="5" t="s">
        <v>375</v>
      </c>
      <c r="G7230" s="5" t="s">
        <v>46034</v>
      </c>
      <c r="H7230" s="6" t="s">
        <v>46035</v>
      </c>
      <c r="K7230" s="5" t="s">
        <v>46017</v>
      </c>
    </row>
    <row r="7231">
      <c r="A7231" s="4">
        <v>45534.37922821759</v>
      </c>
      <c r="B7231" s="5" t="s">
        <v>34</v>
      </c>
      <c r="D7231" s="5" t="s">
        <v>35</v>
      </c>
      <c r="E7231" s="5" t="s">
        <v>46039</v>
      </c>
      <c r="F7231" s="5" t="s">
        <v>108</v>
      </c>
      <c r="G7231" s="5" t="s">
        <v>46040</v>
      </c>
      <c r="H7231" s="6" t="s">
        <v>46041</v>
      </c>
      <c r="K7231" s="5" t="s">
        <v>46017</v>
      </c>
    </row>
    <row r="7232">
      <c r="A7232" s="4">
        <v>45534.37923835649</v>
      </c>
      <c r="B7232" s="5" t="s">
        <v>34</v>
      </c>
      <c r="D7232" s="5" t="s">
        <v>701</v>
      </c>
      <c r="E7232" s="5" t="s">
        <v>46045</v>
      </c>
      <c r="F7232" s="5" t="s">
        <v>212</v>
      </c>
      <c r="G7232" s="5" t="s">
        <v>46046</v>
      </c>
      <c r="H7232" s="6" t="s">
        <v>46047</v>
      </c>
      <c r="K7232" s="5" t="s">
        <v>46017</v>
      </c>
    </row>
    <row r="7233">
      <c r="A7233" s="4">
        <v>45534.379245335644</v>
      </c>
      <c r="B7233" s="5" t="s">
        <v>34</v>
      </c>
      <c r="D7233" s="5" t="s">
        <v>996</v>
      </c>
      <c r="E7233" s="5" t="s">
        <v>46051</v>
      </c>
      <c r="F7233" s="5" t="s">
        <v>37</v>
      </c>
      <c r="G7233" s="5" t="s">
        <v>46052</v>
      </c>
      <c r="H7233" s="6" t="s">
        <v>46053</v>
      </c>
      <c r="K7233" s="5" t="s">
        <v>46017</v>
      </c>
    </row>
    <row r="7234">
      <c r="A7234" s="4">
        <v>45534.379260393514</v>
      </c>
      <c r="B7234" s="5" t="s">
        <v>34</v>
      </c>
      <c r="D7234" s="5" t="s">
        <v>4775</v>
      </c>
      <c r="E7234" s="5" t="s">
        <v>46057</v>
      </c>
      <c r="F7234" s="5" t="s">
        <v>199</v>
      </c>
      <c r="G7234" s="5" t="s">
        <v>46058</v>
      </c>
      <c r="H7234" s="6" t="s">
        <v>46059</v>
      </c>
      <c r="K7234" s="5" t="s">
        <v>46017</v>
      </c>
    </row>
    <row r="7235">
      <c r="A7235" s="4">
        <v>45534.37929049769</v>
      </c>
      <c r="B7235" s="5" t="s">
        <v>34</v>
      </c>
      <c r="D7235" s="5" t="s">
        <v>267</v>
      </c>
      <c r="E7235" s="5" t="s">
        <v>46063</v>
      </c>
      <c r="F7235" s="5" t="s">
        <v>375</v>
      </c>
      <c r="G7235" s="5" t="s">
        <v>46064</v>
      </c>
      <c r="H7235" s="6" t="s">
        <v>46065</v>
      </c>
      <c r="K7235" s="5" t="s">
        <v>46066</v>
      </c>
    </row>
    <row r="7236">
      <c r="A7236" s="4">
        <v>45534.37929762731</v>
      </c>
      <c r="B7236" s="5" t="s">
        <v>34</v>
      </c>
      <c r="D7236" s="5" t="s">
        <v>1456</v>
      </c>
      <c r="E7236" s="5" t="s">
        <v>46070</v>
      </c>
      <c r="F7236" s="5" t="s">
        <v>37</v>
      </c>
      <c r="G7236" s="5" t="s">
        <v>46071</v>
      </c>
      <c r="H7236" s="6" t="s">
        <v>46072</v>
      </c>
      <c r="K7236" s="5" t="s">
        <v>46066</v>
      </c>
    </row>
    <row r="7237">
      <c r="A7237" s="4">
        <v>45534.37930885417</v>
      </c>
      <c r="B7237" s="5" t="s">
        <v>34</v>
      </c>
      <c r="D7237" s="5" t="s">
        <v>1206</v>
      </c>
      <c r="E7237" s="5" t="s">
        <v>46076</v>
      </c>
      <c r="F7237" s="5" t="s">
        <v>37</v>
      </c>
      <c r="G7237" s="5" t="s">
        <v>46077</v>
      </c>
      <c r="H7237" s="6" t="s">
        <v>46078</v>
      </c>
      <c r="K7237" s="5" t="s">
        <v>46066</v>
      </c>
    </row>
    <row r="7238">
      <c r="A7238" s="4">
        <v>45534.379327013885</v>
      </c>
      <c r="B7238" s="5" t="s">
        <v>19</v>
      </c>
      <c r="C7238" s="5" t="s">
        <v>45988</v>
      </c>
      <c r="E7238" s="5" t="s">
        <v>46082</v>
      </c>
      <c r="F7238" s="5" t="s">
        <v>108</v>
      </c>
      <c r="G7238" s="5" t="s">
        <v>46083</v>
      </c>
      <c r="H7238" s="6" t="s">
        <v>46084</v>
      </c>
      <c r="K7238" s="5" t="s">
        <v>46085</v>
      </c>
    </row>
    <row r="7239">
      <c r="A7239" s="4">
        <v>45534.37932702547</v>
      </c>
      <c r="B7239" s="5" t="s">
        <v>34</v>
      </c>
      <c r="D7239" s="5" t="s">
        <v>4775</v>
      </c>
      <c r="E7239" s="5" t="s">
        <v>46089</v>
      </c>
      <c r="F7239" s="5" t="s">
        <v>37</v>
      </c>
      <c r="G7239" s="5" t="s">
        <v>46090</v>
      </c>
      <c r="H7239" s="6" t="s">
        <v>46091</v>
      </c>
      <c r="K7239" s="5" t="s">
        <v>46085</v>
      </c>
    </row>
    <row r="7240">
      <c r="A7240" s="4">
        <v>45534.3793446412</v>
      </c>
      <c r="B7240" s="5" t="s">
        <v>34</v>
      </c>
      <c r="D7240" s="5" t="s">
        <v>35</v>
      </c>
      <c r="E7240" s="5" t="s">
        <v>46095</v>
      </c>
      <c r="F7240" s="5" t="s">
        <v>72</v>
      </c>
      <c r="G7240" s="5" t="s">
        <v>46096</v>
      </c>
      <c r="H7240" s="6" t="s">
        <v>46097</v>
      </c>
      <c r="K7240" s="5" t="s">
        <v>46098</v>
      </c>
    </row>
    <row r="7241">
      <c r="A7241" s="4">
        <v>45534.379377708334</v>
      </c>
      <c r="B7241" s="5" t="s">
        <v>34</v>
      </c>
      <c r="D7241" s="5" t="s">
        <v>4775</v>
      </c>
      <c r="E7241" s="5" t="s">
        <v>46102</v>
      </c>
      <c r="F7241" s="5" t="s">
        <v>37</v>
      </c>
      <c r="G7241" s="5" t="s">
        <v>46103</v>
      </c>
      <c r="H7241" s="6" t="s">
        <v>46104</v>
      </c>
      <c r="K7241" s="5" t="s">
        <v>46105</v>
      </c>
    </row>
    <row r="7242">
      <c r="A7242" s="4">
        <v>45534.37940006945</v>
      </c>
      <c r="B7242" s="5" t="s">
        <v>34</v>
      </c>
      <c r="D7242" s="5" t="s">
        <v>4775</v>
      </c>
      <c r="E7242" s="5" t="s">
        <v>46109</v>
      </c>
      <c r="F7242" s="5" t="s">
        <v>212</v>
      </c>
      <c r="G7242" s="5" t="s">
        <v>46110</v>
      </c>
      <c r="H7242" s="6" t="s">
        <v>46111</v>
      </c>
      <c r="K7242" s="5" t="s">
        <v>46112</v>
      </c>
    </row>
    <row r="7243">
      <c r="A7243" s="4">
        <v>45534.379406215274</v>
      </c>
      <c r="B7243" s="5" t="s">
        <v>19</v>
      </c>
      <c r="C7243" s="5" t="s">
        <v>292</v>
      </c>
      <c r="E7243" s="5" t="s">
        <v>46116</v>
      </c>
      <c r="F7243" s="5" t="s">
        <v>524</v>
      </c>
      <c r="G7243" s="5" t="s">
        <v>46117</v>
      </c>
      <c r="H7243" s="6" t="s">
        <v>46118</v>
      </c>
      <c r="K7243" s="5" t="s">
        <v>46112</v>
      </c>
    </row>
    <row r="7244">
      <c r="A7244" s="4">
        <v>45534.3794271875</v>
      </c>
      <c r="B7244" s="5" t="s">
        <v>19</v>
      </c>
      <c r="C7244" s="5" t="s">
        <v>45988</v>
      </c>
      <c r="E7244" s="5" t="s">
        <v>46122</v>
      </c>
      <c r="F7244" s="5" t="s">
        <v>72</v>
      </c>
      <c r="G7244" s="5" t="s">
        <v>46123</v>
      </c>
      <c r="H7244" s="6" t="s">
        <v>46124</v>
      </c>
      <c r="K7244" s="5" t="s">
        <v>46125</v>
      </c>
    </row>
    <row r="7245">
      <c r="A7245" s="4">
        <v>45534.379428009255</v>
      </c>
      <c r="B7245" s="5" t="s">
        <v>19</v>
      </c>
      <c r="C7245" s="5" t="s">
        <v>40230</v>
      </c>
      <c r="E7245" s="5" t="s">
        <v>46129</v>
      </c>
      <c r="F7245" s="5" t="s">
        <v>72</v>
      </c>
      <c r="G7245" s="5" t="s">
        <v>46130</v>
      </c>
      <c r="H7245" s="6" t="s">
        <v>46131</v>
      </c>
      <c r="K7245" s="5" t="s">
        <v>46125</v>
      </c>
    </row>
    <row r="7246">
      <c r="A7246" s="4">
        <v>45534.37944739583</v>
      </c>
      <c r="B7246" s="5" t="s">
        <v>34</v>
      </c>
      <c r="D7246" s="5" t="s">
        <v>12010</v>
      </c>
      <c r="E7246" s="5" t="s">
        <v>46135</v>
      </c>
      <c r="F7246" s="5" t="s">
        <v>120</v>
      </c>
      <c r="G7246" s="5" t="s">
        <v>46136</v>
      </c>
      <c r="H7246" s="6" t="s">
        <v>46137</v>
      </c>
      <c r="K7246" s="5" t="s">
        <v>46125</v>
      </c>
    </row>
    <row r="7247">
      <c r="A7247" s="4">
        <v>45534.37947989583</v>
      </c>
      <c r="B7247" s="5" t="s">
        <v>34</v>
      </c>
      <c r="D7247" s="5" t="s">
        <v>12978</v>
      </c>
      <c r="E7247" s="5" t="s">
        <v>46141</v>
      </c>
      <c r="F7247" s="5" t="s">
        <v>37</v>
      </c>
      <c r="G7247" s="5" t="s">
        <v>46142</v>
      </c>
      <c r="H7247" s="6" t="s">
        <v>46143</v>
      </c>
      <c r="K7247" s="5" t="s">
        <v>46144</v>
      </c>
    </row>
    <row r="7248">
      <c r="A7248" s="4">
        <v>45534.37949121528</v>
      </c>
      <c r="B7248" s="5" t="s">
        <v>34</v>
      </c>
      <c r="D7248" s="5" t="s">
        <v>1558</v>
      </c>
      <c r="E7248" s="5" t="s">
        <v>46148</v>
      </c>
      <c r="F7248" s="5" t="s">
        <v>212</v>
      </c>
      <c r="G7248" s="5" t="s">
        <v>46149</v>
      </c>
      <c r="H7248" s="6" t="s">
        <v>46150</v>
      </c>
      <c r="K7248" s="5" t="s">
        <v>46144</v>
      </c>
    </row>
    <row r="7249">
      <c r="A7249" s="4">
        <v>45534.3794961574</v>
      </c>
      <c r="B7249" s="5" t="s">
        <v>34</v>
      </c>
      <c r="D7249" s="5" t="s">
        <v>35</v>
      </c>
      <c r="E7249" s="5" t="s">
        <v>46154</v>
      </c>
      <c r="F7249" s="5" t="s">
        <v>524</v>
      </c>
      <c r="G7249" s="5" t="s">
        <v>46155</v>
      </c>
      <c r="H7249" s="6" t="s">
        <v>46156</v>
      </c>
      <c r="K7249" s="5" t="s">
        <v>46144</v>
      </c>
    </row>
    <row r="7250">
      <c r="A7250" s="4">
        <v>45534.379527048615</v>
      </c>
      <c r="B7250" s="5" t="s">
        <v>34</v>
      </c>
      <c r="D7250" s="5" t="s">
        <v>4775</v>
      </c>
      <c r="E7250" s="5" t="s">
        <v>46160</v>
      </c>
      <c r="F7250" s="5" t="s">
        <v>524</v>
      </c>
      <c r="G7250" s="5" t="s">
        <v>46161</v>
      </c>
      <c r="H7250" s="6" t="s">
        <v>46162</v>
      </c>
      <c r="K7250" s="5" t="s">
        <v>46163</v>
      </c>
    </row>
    <row r="7251">
      <c r="A7251" s="4">
        <v>45534.37952986111</v>
      </c>
      <c r="B7251" s="5" t="s">
        <v>34</v>
      </c>
      <c r="D7251" s="5" t="s">
        <v>9020</v>
      </c>
      <c r="E7251" s="5" t="s">
        <v>46167</v>
      </c>
      <c r="F7251" s="5" t="s">
        <v>375</v>
      </c>
      <c r="G7251" s="5" t="s">
        <v>46168</v>
      </c>
      <c r="H7251" s="6" t="s">
        <v>46169</v>
      </c>
      <c r="K7251" s="5" t="s">
        <v>46163</v>
      </c>
    </row>
    <row r="7252">
      <c r="A7252" s="4">
        <v>45534.379542546296</v>
      </c>
      <c r="B7252" s="5" t="s">
        <v>34</v>
      </c>
      <c r="D7252" s="5" t="s">
        <v>14424</v>
      </c>
      <c r="E7252" s="5" t="s">
        <v>46173</v>
      </c>
      <c r="F7252" s="5" t="s">
        <v>108</v>
      </c>
      <c r="G7252" s="5" t="s">
        <v>46174</v>
      </c>
      <c r="H7252" s="6" t="s">
        <v>46175</v>
      </c>
      <c r="K7252" s="5" t="s">
        <v>46176</v>
      </c>
    </row>
    <row r="7253">
      <c r="A7253" s="4">
        <v>45534.3795744213</v>
      </c>
      <c r="B7253" s="5" t="s">
        <v>34</v>
      </c>
      <c r="D7253" s="5" t="s">
        <v>701</v>
      </c>
      <c r="E7253" s="5" t="s">
        <v>46180</v>
      </c>
      <c r="F7253" s="5" t="s">
        <v>524</v>
      </c>
      <c r="G7253" s="5" t="s">
        <v>46181</v>
      </c>
      <c r="H7253" s="6" t="s">
        <v>46182</v>
      </c>
      <c r="K7253" s="5" t="s">
        <v>46176</v>
      </c>
    </row>
    <row r="7254">
      <c r="A7254" s="4">
        <v>45534.37958385417</v>
      </c>
      <c r="B7254" s="5" t="s">
        <v>34</v>
      </c>
      <c r="D7254" s="5" t="s">
        <v>4775</v>
      </c>
      <c r="E7254" s="5" t="s">
        <v>46186</v>
      </c>
      <c r="F7254" s="5" t="s">
        <v>212</v>
      </c>
      <c r="G7254" s="5" t="s">
        <v>46187</v>
      </c>
      <c r="H7254" s="6" t="s">
        <v>46188</v>
      </c>
      <c r="K7254" s="5" t="s">
        <v>46176</v>
      </c>
    </row>
    <row r="7255">
      <c r="A7255" s="4">
        <v>45534.37959189815</v>
      </c>
      <c r="B7255" s="5" t="s">
        <v>34</v>
      </c>
      <c r="D7255" s="5" t="s">
        <v>12978</v>
      </c>
      <c r="E7255" s="5" t="s">
        <v>46192</v>
      </c>
      <c r="F7255" s="5" t="s">
        <v>108</v>
      </c>
      <c r="G7255" s="5" t="s">
        <v>46193</v>
      </c>
      <c r="H7255" s="6" t="s">
        <v>46194</v>
      </c>
      <c r="K7255" s="5" t="s">
        <v>46176</v>
      </c>
    </row>
    <row r="7256">
      <c r="A7256" s="4">
        <v>45534.37961387732</v>
      </c>
      <c r="B7256" s="5" t="s">
        <v>34</v>
      </c>
      <c r="D7256" s="5" t="s">
        <v>4775</v>
      </c>
      <c r="E7256" s="5" t="s">
        <v>46198</v>
      </c>
      <c r="F7256" s="5" t="s">
        <v>212</v>
      </c>
      <c r="G7256" s="5" t="s">
        <v>46199</v>
      </c>
      <c r="H7256" s="6" t="s">
        <v>46200</v>
      </c>
      <c r="K7256" s="5" t="s">
        <v>46201</v>
      </c>
    </row>
    <row r="7257">
      <c r="A7257" s="4">
        <v>45534.37961537037</v>
      </c>
      <c r="B7257" s="5" t="s">
        <v>34</v>
      </c>
      <c r="D7257" s="5" t="s">
        <v>1558</v>
      </c>
      <c r="E7257" s="5" t="s">
        <v>46205</v>
      </c>
      <c r="F7257" s="5" t="s">
        <v>37</v>
      </c>
      <c r="G7257" s="5" t="s">
        <v>46206</v>
      </c>
      <c r="H7257" s="6" t="s">
        <v>46207</v>
      </c>
      <c r="K7257" s="5" t="s">
        <v>46201</v>
      </c>
    </row>
    <row r="7258">
      <c r="A7258" s="4">
        <v>45534.37961921297</v>
      </c>
      <c r="B7258" s="5" t="s">
        <v>34</v>
      </c>
      <c r="D7258" s="5" t="s">
        <v>4775</v>
      </c>
      <c r="E7258" s="5" t="s">
        <v>46211</v>
      </c>
      <c r="F7258" s="5" t="s">
        <v>37</v>
      </c>
      <c r="G7258" s="5" t="s">
        <v>46212</v>
      </c>
      <c r="H7258" s="6" t="s">
        <v>46213</v>
      </c>
      <c r="K7258" s="5" t="s">
        <v>46201</v>
      </c>
    </row>
    <row r="7259">
      <c r="A7259" s="4">
        <v>45534.37963509259</v>
      </c>
      <c r="B7259" s="5" t="s">
        <v>34</v>
      </c>
      <c r="D7259" s="5" t="s">
        <v>9020</v>
      </c>
      <c r="E7259" s="5" t="s">
        <v>46217</v>
      </c>
      <c r="F7259" s="5" t="s">
        <v>524</v>
      </c>
      <c r="G7259" s="5" t="s">
        <v>46218</v>
      </c>
      <c r="H7259" s="6" t="s">
        <v>46219</v>
      </c>
      <c r="K7259" s="5" t="s">
        <v>46201</v>
      </c>
    </row>
    <row r="7260">
      <c r="A7260" s="4">
        <v>45534.37963730324</v>
      </c>
      <c r="B7260" s="5" t="s">
        <v>34</v>
      </c>
      <c r="D7260" s="5" t="s">
        <v>280</v>
      </c>
      <c r="E7260" s="5" t="s">
        <v>46223</v>
      </c>
      <c r="F7260" s="5" t="s">
        <v>524</v>
      </c>
      <c r="G7260" s="5" t="s">
        <v>46224</v>
      </c>
      <c r="H7260" s="6" t="s">
        <v>46225</v>
      </c>
      <c r="K7260" s="5" t="s">
        <v>46201</v>
      </c>
    </row>
    <row r="7261">
      <c r="A7261" s="4">
        <v>45534.3796506713</v>
      </c>
      <c r="B7261" s="5" t="s">
        <v>34</v>
      </c>
      <c r="D7261" s="5" t="s">
        <v>701</v>
      </c>
      <c r="E7261" s="5" t="s">
        <v>46229</v>
      </c>
      <c r="F7261" s="5" t="s">
        <v>37</v>
      </c>
      <c r="G7261" s="5" t="s">
        <v>46230</v>
      </c>
      <c r="H7261" s="6" t="s">
        <v>46231</v>
      </c>
      <c r="K7261" s="5" t="s">
        <v>46201</v>
      </c>
    </row>
    <row r="7262">
      <c r="A7262" s="4">
        <v>45534.379669745365</v>
      </c>
      <c r="B7262" s="5" t="s">
        <v>34</v>
      </c>
      <c r="D7262" s="5" t="s">
        <v>4775</v>
      </c>
      <c r="E7262" s="5" t="s">
        <v>46235</v>
      </c>
      <c r="F7262" s="5" t="s">
        <v>212</v>
      </c>
      <c r="G7262" s="5" t="s">
        <v>46236</v>
      </c>
      <c r="H7262" s="6" t="s">
        <v>46237</v>
      </c>
      <c r="K7262" s="5" t="s">
        <v>46238</v>
      </c>
    </row>
    <row r="7263">
      <c r="A7263" s="4">
        <v>45534.37967862269</v>
      </c>
      <c r="B7263" s="5" t="s">
        <v>34</v>
      </c>
      <c r="D7263" s="5" t="s">
        <v>1206</v>
      </c>
      <c r="E7263" s="5" t="s">
        <v>46242</v>
      </c>
      <c r="F7263" s="5" t="s">
        <v>37</v>
      </c>
      <c r="G7263" s="5" t="s">
        <v>46243</v>
      </c>
      <c r="H7263" s="6" t="s">
        <v>46244</v>
      </c>
      <c r="K7263" s="5" t="s">
        <v>46238</v>
      </c>
    </row>
    <row r="7264">
      <c r="A7264" s="4">
        <v>45534.37967920139</v>
      </c>
      <c r="B7264" s="5" t="s">
        <v>34</v>
      </c>
      <c r="D7264" s="5" t="s">
        <v>1206</v>
      </c>
      <c r="E7264" s="5" t="s">
        <v>46248</v>
      </c>
      <c r="F7264" s="5" t="s">
        <v>108</v>
      </c>
      <c r="G7264" s="5" t="s">
        <v>46249</v>
      </c>
      <c r="H7264" s="6" t="s">
        <v>46250</v>
      </c>
      <c r="K7264" s="5" t="s">
        <v>46238</v>
      </c>
    </row>
    <row r="7265">
      <c r="A7265" s="4">
        <v>45534.3796978125</v>
      </c>
      <c r="B7265" s="5" t="s">
        <v>34</v>
      </c>
      <c r="D7265" s="5" t="s">
        <v>1558</v>
      </c>
      <c r="E7265" s="5" t="s">
        <v>46253</v>
      </c>
      <c r="F7265" s="5" t="s">
        <v>524</v>
      </c>
      <c r="G7265" s="5" t="s">
        <v>46254</v>
      </c>
      <c r="H7265" s="6" t="s">
        <v>46255</v>
      </c>
      <c r="K7265" s="5" t="s">
        <v>46256</v>
      </c>
    </row>
    <row r="7266">
      <c r="A7266" s="4">
        <v>45534.37972283565</v>
      </c>
      <c r="B7266" s="5" t="s">
        <v>34</v>
      </c>
      <c r="D7266" s="5" t="s">
        <v>1206</v>
      </c>
      <c r="E7266" s="5" t="s">
        <v>46260</v>
      </c>
      <c r="F7266" s="5" t="s">
        <v>37</v>
      </c>
      <c r="G7266" s="5" t="s">
        <v>46261</v>
      </c>
      <c r="H7266" s="6" t="s">
        <v>46262</v>
      </c>
      <c r="K7266" s="5" t="s">
        <v>46263</v>
      </c>
    </row>
    <row r="7267">
      <c r="A7267" s="4">
        <v>45534.37972592593</v>
      </c>
      <c r="B7267" s="5" t="s">
        <v>34</v>
      </c>
      <c r="D7267" s="5" t="s">
        <v>522</v>
      </c>
      <c r="E7267" s="5" t="s">
        <v>46266</v>
      </c>
      <c r="F7267" s="5" t="s">
        <v>715</v>
      </c>
      <c r="G7267" s="5" t="s">
        <v>716</v>
      </c>
      <c r="H7267" s="6" t="s">
        <v>46267</v>
      </c>
      <c r="K7267" s="5" t="s">
        <v>46263</v>
      </c>
    </row>
    <row r="7268">
      <c r="A7268" s="4">
        <v>45534.37973231482</v>
      </c>
      <c r="B7268" s="5" t="s">
        <v>34</v>
      </c>
      <c r="D7268" s="5" t="s">
        <v>4775</v>
      </c>
      <c r="E7268" s="5" t="s">
        <v>46270</v>
      </c>
      <c r="F7268" s="5" t="s">
        <v>108</v>
      </c>
      <c r="G7268" s="5" t="s">
        <v>46271</v>
      </c>
      <c r="H7268" s="6" t="s">
        <v>46272</v>
      </c>
      <c r="K7268" s="5" t="s">
        <v>46263</v>
      </c>
    </row>
    <row r="7269">
      <c r="A7269" s="4">
        <v>45534.379736944444</v>
      </c>
      <c r="B7269" s="5" t="s">
        <v>34</v>
      </c>
      <c r="D7269" s="5" t="s">
        <v>1456</v>
      </c>
      <c r="E7269" s="5" t="s">
        <v>46275</v>
      </c>
      <c r="F7269" s="5" t="s">
        <v>212</v>
      </c>
      <c r="G7269" s="5" t="s">
        <v>46276</v>
      </c>
      <c r="H7269" s="6" t="s">
        <v>46277</v>
      </c>
      <c r="K7269" s="5" t="s">
        <v>46263</v>
      </c>
    </row>
    <row r="7270">
      <c r="A7270" s="4">
        <v>45534.379738958334</v>
      </c>
      <c r="B7270" s="5" t="s">
        <v>34</v>
      </c>
      <c r="D7270" s="5" t="s">
        <v>1206</v>
      </c>
      <c r="E7270" s="5" t="s">
        <v>46281</v>
      </c>
      <c r="F7270" s="5" t="s">
        <v>375</v>
      </c>
      <c r="G7270" s="5" t="s">
        <v>46282</v>
      </c>
      <c r="H7270" s="6" t="s">
        <v>46283</v>
      </c>
      <c r="K7270" s="5" t="s">
        <v>46263</v>
      </c>
    </row>
    <row r="7271">
      <c r="A7271" s="4">
        <v>45534.37975408565</v>
      </c>
      <c r="B7271" s="5" t="s">
        <v>34</v>
      </c>
      <c r="D7271" s="5" t="s">
        <v>9394</v>
      </c>
      <c r="E7271" s="5" t="s">
        <v>46286</v>
      </c>
      <c r="F7271" s="5" t="s">
        <v>524</v>
      </c>
      <c r="G7271" s="5" t="s">
        <v>46287</v>
      </c>
      <c r="H7271" s="6" t="s">
        <v>46288</v>
      </c>
      <c r="K7271" s="5" t="s">
        <v>46263</v>
      </c>
    </row>
    <row r="7272">
      <c r="A7272" s="4">
        <v>45534.37976443287</v>
      </c>
      <c r="B7272" s="5" t="s">
        <v>34</v>
      </c>
      <c r="D7272" s="5" t="s">
        <v>1206</v>
      </c>
      <c r="E7272" s="5" t="s">
        <v>46291</v>
      </c>
      <c r="F7272" s="5" t="s">
        <v>212</v>
      </c>
      <c r="G7272" s="5" t="s">
        <v>46292</v>
      </c>
      <c r="H7272" s="6" t="s">
        <v>46293</v>
      </c>
      <c r="K7272" s="5" t="s">
        <v>46263</v>
      </c>
    </row>
    <row r="7273">
      <c r="A7273" s="4">
        <v>45534.3797778588</v>
      </c>
      <c r="B7273" s="5" t="s">
        <v>34</v>
      </c>
      <c r="D7273" s="5" t="s">
        <v>280</v>
      </c>
      <c r="E7273" s="5" t="s">
        <v>46296</v>
      </c>
      <c r="F7273" s="5" t="s">
        <v>37</v>
      </c>
      <c r="G7273" s="5" t="s">
        <v>46297</v>
      </c>
      <c r="H7273" s="6" t="s">
        <v>46298</v>
      </c>
      <c r="K7273" s="5" t="s">
        <v>46299</v>
      </c>
    </row>
    <row r="7274">
      <c r="A7274" s="4">
        <v>45534.37985326389</v>
      </c>
      <c r="B7274" s="5" t="s">
        <v>34</v>
      </c>
      <c r="D7274" s="5" t="s">
        <v>14424</v>
      </c>
      <c r="E7274" s="5" t="s">
        <v>46303</v>
      </c>
      <c r="F7274" s="5" t="s">
        <v>715</v>
      </c>
      <c r="G7274" s="5" t="s">
        <v>46304</v>
      </c>
      <c r="H7274" s="6" t="s">
        <v>46305</v>
      </c>
      <c r="K7274" s="5" t="s">
        <v>46306</v>
      </c>
    </row>
    <row r="7275">
      <c r="A7275" s="4">
        <v>45534.37985684028</v>
      </c>
      <c r="B7275" s="5" t="s">
        <v>34</v>
      </c>
      <c r="D7275" s="5" t="s">
        <v>1206</v>
      </c>
      <c r="E7275" s="5" t="s">
        <v>46309</v>
      </c>
      <c r="F7275" s="5" t="s">
        <v>37</v>
      </c>
      <c r="G7275" s="5" t="s">
        <v>46310</v>
      </c>
      <c r="H7275" s="6" t="s">
        <v>46311</v>
      </c>
      <c r="K7275" s="5" t="s">
        <v>46306</v>
      </c>
    </row>
    <row r="7276">
      <c r="A7276" s="4">
        <v>45534.379884317124</v>
      </c>
      <c r="B7276" s="5" t="s">
        <v>34</v>
      </c>
      <c r="D7276" s="5" t="s">
        <v>4775</v>
      </c>
      <c r="E7276" s="5" t="s">
        <v>46314</v>
      </c>
      <c r="F7276" s="5" t="s">
        <v>212</v>
      </c>
      <c r="G7276" s="5" t="s">
        <v>46315</v>
      </c>
      <c r="H7276" s="6" t="s">
        <v>46316</v>
      </c>
      <c r="K7276" s="5" t="s">
        <v>46317</v>
      </c>
    </row>
    <row r="7277">
      <c r="A7277" s="4">
        <v>45534.379885393515</v>
      </c>
      <c r="B7277" s="5" t="s">
        <v>34</v>
      </c>
      <c r="D7277" s="5" t="s">
        <v>1206</v>
      </c>
      <c r="E7277" s="5" t="s">
        <v>46321</v>
      </c>
      <c r="F7277" s="5" t="s">
        <v>72</v>
      </c>
      <c r="G7277" s="5" t="s">
        <v>46322</v>
      </c>
      <c r="H7277" s="6" t="s">
        <v>46323</v>
      </c>
      <c r="K7277" s="5" t="s">
        <v>46317</v>
      </c>
    </row>
    <row r="7278">
      <c r="A7278" s="4">
        <v>45534.37992619213</v>
      </c>
      <c r="B7278" s="5" t="s">
        <v>34</v>
      </c>
      <c r="D7278" s="5" t="s">
        <v>9394</v>
      </c>
      <c r="E7278" s="5" t="s">
        <v>46326</v>
      </c>
      <c r="F7278" s="5" t="s">
        <v>212</v>
      </c>
      <c r="G7278" s="5" t="s">
        <v>46327</v>
      </c>
      <c r="H7278" s="6" t="s">
        <v>46328</v>
      </c>
      <c r="K7278" s="5" t="s">
        <v>46329</v>
      </c>
    </row>
    <row r="7279">
      <c r="A7279" s="4">
        <v>45534.3799324537</v>
      </c>
      <c r="B7279" s="5" t="s">
        <v>34</v>
      </c>
      <c r="D7279" s="5" t="s">
        <v>14424</v>
      </c>
      <c r="E7279" s="5" t="s">
        <v>46332</v>
      </c>
      <c r="F7279" s="5" t="s">
        <v>524</v>
      </c>
      <c r="G7279" s="5" t="s">
        <v>46333</v>
      </c>
      <c r="H7279" s="6" t="s">
        <v>46334</v>
      </c>
      <c r="K7279" s="5" t="s">
        <v>46335</v>
      </c>
    </row>
    <row r="7280">
      <c r="A7280" s="4">
        <v>45534.379933055556</v>
      </c>
      <c r="B7280" s="5" t="s">
        <v>34</v>
      </c>
      <c r="D7280" s="5" t="s">
        <v>1206</v>
      </c>
      <c r="E7280" s="5" t="s">
        <v>46339</v>
      </c>
      <c r="F7280" s="5" t="s">
        <v>328</v>
      </c>
      <c r="G7280" s="5" t="s">
        <v>46340</v>
      </c>
      <c r="H7280" s="6" t="s">
        <v>46341</v>
      </c>
      <c r="K7280" s="5" t="s">
        <v>46335</v>
      </c>
    </row>
    <row r="7281">
      <c r="A7281" s="4">
        <v>45534.37996922454</v>
      </c>
      <c r="B7281" s="5" t="s">
        <v>34</v>
      </c>
      <c r="D7281" s="5" t="s">
        <v>1206</v>
      </c>
      <c r="E7281" s="5" t="s">
        <v>46344</v>
      </c>
      <c r="F7281" s="5" t="s">
        <v>328</v>
      </c>
      <c r="G7281" s="5" t="s">
        <v>46345</v>
      </c>
      <c r="H7281" s="6" t="s">
        <v>46346</v>
      </c>
      <c r="K7281" s="5" t="s">
        <v>46347</v>
      </c>
    </row>
    <row r="7282">
      <c r="A7282" s="4">
        <v>45534.379973194445</v>
      </c>
      <c r="B7282" s="5" t="s">
        <v>34</v>
      </c>
      <c r="D7282" s="5" t="s">
        <v>1558</v>
      </c>
      <c r="E7282" s="5" t="s">
        <v>46350</v>
      </c>
      <c r="F7282" s="5" t="s">
        <v>72</v>
      </c>
      <c r="G7282" s="5" t="s">
        <v>46351</v>
      </c>
      <c r="H7282" s="6" t="s">
        <v>46352</v>
      </c>
      <c r="K7282" s="5" t="s">
        <v>46347</v>
      </c>
    </row>
    <row r="7283">
      <c r="A7283" s="4">
        <v>45534.379981157406</v>
      </c>
      <c r="B7283" s="5" t="s">
        <v>34</v>
      </c>
      <c r="D7283" s="5" t="s">
        <v>14313</v>
      </c>
      <c r="E7283" s="5" t="s">
        <v>46355</v>
      </c>
      <c r="F7283" s="5" t="s">
        <v>715</v>
      </c>
      <c r="G7283" s="5" t="s">
        <v>46356</v>
      </c>
      <c r="H7283" s="6" t="s">
        <v>46357</v>
      </c>
      <c r="K7283" s="5" t="s">
        <v>46347</v>
      </c>
    </row>
    <row r="7284">
      <c r="A7284" s="4">
        <v>45534.37999960648</v>
      </c>
      <c r="B7284" s="5" t="s">
        <v>34</v>
      </c>
      <c r="D7284" s="5" t="s">
        <v>3849</v>
      </c>
      <c r="E7284" s="5" t="s">
        <v>46361</v>
      </c>
      <c r="F7284" s="5" t="s">
        <v>37</v>
      </c>
      <c r="G7284" s="5" t="s">
        <v>46362</v>
      </c>
      <c r="H7284" s="6" t="s">
        <v>46363</v>
      </c>
      <c r="I7284" s="7" t="s">
        <v>46364</v>
      </c>
      <c r="J7284" s="8" t="str">
        <f>HYPERLINK("https://drive.google.com/file/d/1uU109aXBzY0PHhWHWvIQ0DOoUvNISxzs/view?usp=drivesdk","MUNALIZA, AM.KEB SERTIFIKAT BerAKHLAK")</f>
        <v>MUNALIZA, AM.KEB SERTIFIKAT BerAKHLAK</v>
      </c>
      <c r="K7284" s="5" t="s">
        <v>46365</v>
      </c>
      <c r="L7284" s="5" t="s">
        <v>46366</v>
      </c>
    </row>
    <row r="7285">
      <c r="A7285" s="4">
        <v>45534.38000356482</v>
      </c>
      <c r="B7285" s="5" t="s">
        <v>34</v>
      </c>
      <c r="D7285" s="5" t="s">
        <v>4775</v>
      </c>
      <c r="E7285" s="5" t="s">
        <v>46369</v>
      </c>
      <c r="F7285" s="5" t="s">
        <v>72</v>
      </c>
      <c r="G7285" s="5" t="s">
        <v>46370</v>
      </c>
      <c r="H7285" s="6" t="s">
        <v>46371</v>
      </c>
      <c r="K7285" s="5" t="s">
        <v>46372</v>
      </c>
    </row>
    <row r="7286">
      <c r="A7286" s="4">
        <v>45534.380010023146</v>
      </c>
      <c r="B7286" s="5" t="s">
        <v>34</v>
      </c>
      <c r="D7286" s="5" t="s">
        <v>4775</v>
      </c>
      <c r="E7286" s="5" t="s">
        <v>46375</v>
      </c>
      <c r="F7286" s="5" t="s">
        <v>72</v>
      </c>
      <c r="G7286" s="5" t="s">
        <v>46376</v>
      </c>
      <c r="H7286" s="6" t="s">
        <v>46377</v>
      </c>
      <c r="K7286" s="5" t="s">
        <v>46372</v>
      </c>
    </row>
    <row r="7287">
      <c r="A7287" s="4">
        <v>45534.380034340276</v>
      </c>
      <c r="B7287" s="5" t="s">
        <v>34</v>
      </c>
      <c r="D7287" s="5" t="s">
        <v>4775</v>
      </c>
      <c r="E7287" s="5" t="s">
        <v>46380</v>
      </c>
      <c r="F7287" s="5" t="s">
        <v>37</v>
      </c>
      <c r="G7287" s="5" t="s">
        <v>46381</v>
      </c>
      <c r="H7287" s="6" t="s">
        <v>46382</v>
      </c>
      <c r="K7287" s="5" t="s">
        <v>46383</v>
      </c>
    </row>
    <row r="7288">
      <c r="A7288" s="4">
        <v>45534.380068252314</v>
      </c>
      <c r="B7288" s="5" t="s">
        <v>34</v>
      </c>
      <c r="D7288" s="5" t="s">
        <v>1206</v>
      </c>
      <c r="E7288" s="5" t="s">
        <v>46387</v>
      </c>
      <c r="F7288" s="5" t="s">
        <v>212</v>
      </c>
      <c r="G7288" s="5" t="s">
        <v>46388</v>
      </c>
      <c r="H7288" s="6" t="s">
        <v>46389</v>
      </c>
      <c r="K7288" s="5" t="s">
        <v>46383</v>
      </c>
    </row>
    <row r="7289">
      <c r="A7289" s="4">
        <v>45534.38006894676</v>
      </c>
      <c r="B7289" s="5" t="s">
        <v>34</v>
      </c>
      <c r="D7289" s="5" t="s">
        <v>280</v>
      </c>
      <c r="E7289" s="5" t="s">
        <v>46392</v>
      </c>
      <c r="F7289" s="5" t="s">
        <v>120</v>
      </c>
      <c r="G7289" s="5" t="s">
        <v>46393</v>
      </c>
      <c r="H7289" s="6" t="s">
        <v>46394</v>
      </c>
      <c r="K7289" s="5" t="s">
        <v>46383</v>
      </c>
    </row>
    <row r="7290">
      <c r="A7290" s="4">
        <v>45534.38007193287</v>
      </c>
      <c r="B7290" s="5" t="s">
        <v>34</v>
      </c>
      <c r="D7290" s="5" t="s">
        <v>2903</v>
      </c>
      <c r="E7290" s="5" t="s">
        <v>46397</v>
      </c>
      <c r="F7290" s="5" t="s">
        <v>375</v>
      </c>
      <c r="G7290" s="5" t="s">
        <v>46398</v>
      </c>
      <c r="H7290" s="6" t="s">
        <v>46399</v>
      </c>
      <c r="K7290" s="5" t="s">
        <v>46383</v>
      </c>
    </row>
    <row r="7291">
      <c r="A7291" s="4">
        <v>45534.380109571764</v>
      </c>
      <c r="B7291" s="5" t="s">
        <v>34</v>
      </c>
      <c r="D7291" s="5" t="s">
        <v>1768</v>
      </c>
      <c r="E7291" s="5" t="s">
        <v>24778</v>
      </c>
      <c r="F7291" s="5" t="s">
        <v>37</v>
      </c>
      <c r="G7291" s="5" t="s">
        <v>24779</v>
      </c>
      <c r="H7291" s="6" t="s">
        <v>46402</v>
      </c>
      <c r="I7291" s="7" t="s">
        <v>46403</v>
      </c>
      <c r="J7291" s="8" t="str">
        <f>HYPERLINK("https://drive.google.com/file/d/1j2Y6kweVWIjvZja8B6jyGJ9Mv2MeuMu6/view?usp=drivesdk","JOHANSYAH SERTIFIKAT BerAKHLAK")</f>
        <v>JOHANSYAH SERTIFIKAT BerAKHLAK</v>
      </c>
      <c r="K7291" s="5" t="s">
        <v>46365</v>
      </c>
      <c r="L7291" s="5" t="s">
        <v>46404</v>
      </c>
    </row>
    <row r="7292">
      <c r="A7292" s="4">
        <v>45534.380131365746</v>
      </c>
      <c r="B7292" s="5" t="s">
        <v>34</v>
      </c>
      <c r="D7292" s="5" t="s">
        <v>35</v>
      </c>
      <c r="E7292" s="5" t="s">
        <v>46408</v>
      </c>
      <c r="F7292" s="5" t="s">
        <v>375</v>
      </c>
      <c r="G7292" s="5" t="s">
        <v>46409</v>
      </c>
      <c r="H7292" s="6" t="s">
        <v>46410</v>
      </c>
      <c r="K7292" s="5" t="s">
        <v>46411</v>
      </c>
    </row>
    <row r="7293">
      <c r="A7293" s="4">
        <v>45534.38014429398</v>
      </c>
      <c r="B7293" s="5" t="s">
        <v>34</v>
      </c>
      <c r="D7293" s="5" t="s">
        <v>1692</v>
      </c>
      <c r="E7293" s="5" t="s">
        <v>46414</v>
      </c>
      <c r="F7293" s="5" t="s">
        <v>212</v>
      </c>
      <c r="G7293" s="5" t="s">
        <v>46415</v>
      </c>
      <c r="H7293" s="6" t="s">
        <v>46416</v>
      </c>
      <c r="K7293" s="5" t="s">
        <v>46411</v>
      </c>
    </row>
    <row r="7294">
      <c r="A7294" s="4">
        <v>45534.38014821759</v>
      </c>
      <c r="B7294" s="5" t="s">
        <v>34</v>
      </c>
      <c r="D7294" s="5" t="s">
        <v>4775</v>
      </c>
      <c r="E7294" s="5" t="s">
        <v>46419</v>
      </c>
      <c r="F7294" s="5" t="s">
        <v>37</v>
      </c>
      <c r="G7294" s="5" t="s">
        <v>46420</v>
      </c>
      <c r="H7294" s="6" t="s">
        <v>46421</v>
      </c>
      <c r="K7294" s="5" t="s">
        <v>46411</v>
      </c>
    </row>
    <row r="7295">
      <c r="A7295" s="4">
        <v>45534.3801675</v>
      </c>
      <c r="B7295" s="5" t="s">
        <v>34</v>
      </c>
      <c r="D7295" s="5" t="s">
        <v>9020</v>
      </c>
      <c r="E7295" s="5" t="s">
        <v>46424</v>
      </c>
      <c r="F7295" s="5" t="s">
        <v>108</v>
      </c>
      <c r="G7295" s="5" t="s">
        <v>46425</v>
      </c>
      <c r="H7295" s="6" t="s">
        <v>46426</v>
      </c>
      <c r="K7295" s="5" t="s">
        <v>46427</v>
      </c>
    </row>
    <row r="7296">
      <c r="A7296" s="4">
        <v>45534.380201168984</v>
      </c>
      <c r="B7296" s="5" t="s">
        <v>34</v>
      </c>
      <c r="D7296" s="5" t="s">
        <v>4775</v>
      </c>
      <c r="E7296" s="5" t="s">
        <v>46431</v>
      </c>
      <c r="F7296" s="5" t="s">
        <v>524</v>
      </c>
      <c r="G7296" s="5" t="s">
        <v>46432</v>
      </c>
      <c r="H7296" s="6" t="s">
        <v>46433</v>
      </c>
      <c r="K7296" s="5" t="s">
        <v>46434</v>
      </c>
    </row>
    <row r="7297">
      <c r="A7297" s="4">
        <v>45534.38022673611</v>
      </c>
      <c r="B7297" s="5" t="s">
        <v>34</v>
      </c>
      <c r="D7297" s="5" t="s">
        <v>4775</v>
      </c>
      <c r="E7297" s="5" t="s">
        <v>46437</v>
      </c>
      <c r="F7297" s="5" t="s">
        <v>37</v>
      </c>
      <c r="G7297" s="5" t="s">
        <v>46438</v>
      </c>
      <c r="H7297" s="6" t="s">
        <v>46439</v>
      </c>
      <c r="K7297" s="5" t="s">
        <v>46440</v>
      </c>
    </row>
    <row r="7298">
      <c r="A7298" s="4">
        <v>45534.3802277662</v>
      </c>
      <c r="B7298" s="5" t="s">
        <v>34</v>
      </c>
      <c r="D7298" s="5" t="s">
        <v>4775</v>
      </c>
      <c r="E7298" s="5" t="s">
        <v>46443</v>
      </c>
      <c r="F7298" s="5" t="s">
        <v>524</v>
      </c>
      <c r="G7298" s="5" t="s">
        <v>46444</v>
      </c>
      <c r="H7298" s="6" t="s">
        <v>46445</v>
      </c>
      <c r="K7298" s="5" t="s">
        <v>46440</v>
      </c>
    </row>
    <row r="7299">
      <c r="A7299" s="4">
        <v>45534.38024119213</v>
      </c>
      <c r="B7299" s="5" t="s">
        <v>34</v>
      </c>
      <c r="D7299" s="5" t="s">
        <v>4775</v>
      </c>
      <c r="E7299" s="5" t="s">
        <v>46449</v>
      </c>
      <c r="F7299" s="5" t="s">
        <v>212</v>
      </c>
      <c r="G7299" s="5" t="s">
        <v>46450</v>
      </c>
      <c r="H7299" s="6" t="s">
        <v>46451</v>
      </c>
      <c r="K7299" s="5" t="s">
        <v>46440</v>
      </c>
    </row>
    <row r="7300">
      <c r="A7300" s="4">
        <v>45534.380249016205</v>
      </c>
      <c r="B7300" s="5" t="s">
        <v>34</v>
      </c>
      <c r="D7300" s="5" t="s">
        <v>6232</v>
      </c>
      <c r="E7300" s="5" t="s">
        <v>46454</v>
      </c>
      <c r="F7300" s="5" t="s">
        <v>120</v>
      </c>
      <c r="G7300" s="5" t="s">
        <v>46455</v>
      </c>
      <c r="H7300" s="6" t="s">
        <v>46456</v>
      </c>
      <c r="I7300" s="7" t="s">
        <v>46457</v>
      </c>
      <c r="J7300" s="8" t="str">
        <f>HYPERLINK("https://drive.google.com/file/d/1acsUMPXs4wS4cWF38UYgN_hoQ6mN6vHy/view?usp=drivesdk","SYAKRONI SERTIFIKAT BerAKHLAK")</f>
        <v>SYAKRONI SERTIFIKAT BerAKHLAK</v>
      </c>
      <c r="K7300" s="5" t="s">
        <v>46458</v>
      </c>
      <c r="L7300" s="5" t="s">
        <v>46459</v>
      </c>
    </row>
    <row r="7301">
      <c r="A7301" s="4">
        <v>45534.3802586574</v>
      </c>
      <c r="B7301" s="5" t="s">
        <v>34</v>
      </c>
      <c r="D7301" s="5" t="s">
        <v>1692</v>
      </c>
      <c r="E7301" s="5" t="s">
        <v>46462</v>
      </c>
      <c r="F7301" s="5" t="s">
        <v>72</v>
      </c>
      <c r="G7301" s="5" t="s">
        <v>46463</v>
      </c>
      <c r="H7301" s="6" t="s">
        <v>46464</v>
      </c>
      <c r="K7301" s="5" t="s">
        <v>46465</v>
      </c>
    </row>
    <row r="7302">
      <c r="A7302" s="4">
        <v>45534.38026175926</v>
      </c>
      <c r="B7302" s="5" t="s">
        <v>34</v>
      </c>
      <c r="D7302" s="5" t="s">
        <v>9020</v>
      </c>
      <c r="E7302" s="5" t="s">
        <v>46468</v>
      </c>
      <c r="F7302" s="5" t="s">
        <v>375</v>
      </c>
      <c r="G7302" s="5" t="s">
        <v>46469</v>
      </c>
      <c r="H7302" s="6" t="s">
        <v>46470</v>
      </c>
      <c r="K7302" s="5" t="s">
        <v>46465</v>
      </c>
    </row>
    <row r="7303">
      <c r="A7303" s="4">
        <v>45534.380276724536</v>
      </c>
      <c r="B7303" s="5" t="s">
        <v>34</v>
      </c>
      <c r="D7303" s="5" t="s">
        <v>1206</v>
      </c>
      <c r="E7303" s="5" t="s">
        <v>46474</v>
      </c>
      <c r="F7303" s="5" t="s">
        <v>37</v>
      </c>
      <c r="G7303" s="5" t="s">
        <v>46475</v>
      </c>
      <c r="H7303" s="6" t="s">
        <v>46476</v>
      </c>
      <c r="K7303" s="5" t="s">
        <v>46465</v>
      </c>
    </row>
    <row r="7304">
      <c r="A7304" s="4">
        <v>45534.38032729167</v>
      </c>
      <c r="B7304" s="5" t="s">
        <v>34</v>
      </c>
      <c r="D7304" s="5" t="s">
        <v>4775</v>
      </c>
      <c r="E7304" s="5" t="s">
        <v>46479</v>
      </c>
      <c r="F7304" s="5" t="s">
        <v>375</v>
      </c>
      <c r="G7304" s="5" t="s">
        <v>46480</v>
      </c>
      <c r="H7304" s="6" t="s">
        <v>46481</v>
      </c>
      <c r="K7304" s="5" t="s">
        <v>46482</v>
      </c>
    </row>
    <row r="7305">
      <c r="A7305" s="4">
        <v>45534.380329085645</v>
      </c>
      <c r="B7305" s="5" t="s">
        <v>34</v>
      </c>
      <c r="D7305" s="5" t="s">
        <v>1558</v>
      </c>
      <c r="E7305" s="5" t="s">
        <v>46485</v>
      </c>
      <c r="F7305" s="5" t="s">
        <v>524</v>
      </c>
      <c r="G7305" s="5" t="s">
        <v>46486</v>
      </c>
      <c r="H7305" s="6" t="s">
        <v>46487</v>
      </c>
      <c r="K7305" s="5" t="s">
        <v>46482</v>
      </c>
    </row>
    <row r="7306">
      <c r="A7306" s="4">
        <v>45534.38033354167</v>
      </c>
      <c r="B7306" s="5" t="s">
        <v>34</v>
      </c>
      <c r="D7306" s="5" t="s">
        <v>1206</v>
      </c>
      <c r="E7306" s="5" t="s">
        <v>46490</v>
      </c>
      <c r="F7306" s="5" t="s">
        <v>212</v>
      </c>
      <c r="G7306" s="5" t="s">
        <v>46491</v>
      </c>
      <c r="H7306" s="6" t="s">
        <v>46492</v>
      </c>
      <c r="K7306" s="5" t="s">
        <v>46482</v>
      </c>
    </row>
    <row r="7307">
      <c r="A7307" s="4">
        <v>45534.380342951394</v>
      </c>
      <c r="B7307" s="5" t="s">
        <v>34</v>
      </c>
      <c r="D7307" s="5" t="s">
        <v>1558</v>
      </c>
      <c r="E7307" s="5" t="s">
        <v>46495</v>
      </c>
      <c r="F7307" s="5" t="s">
        <v>37</v>
      </c>
      <c r="G7307" s="5" t="s">
        <v>46496</v>
      </c>
      <c r="H7307" s="6" t="s">
        <v>46497</v>
      </c>
      <c r="K7307" s="5" t="s">
        <v>46482</v>
      </c>
    </row>
    <row r="7308">
      <c r="A7308" s="4">
        <v>45534.38035158565</v>
      </c>
      <c r="B7308" s="5" t="s">
        <v>34</v>
      </c>
      <c r="D7308" s="5" t="s">
        <v>267</v>
      </c>
      <c r="E7308" s="5" t="s">
        <v>46501</v>
      </c>
      <c r="F7308" s="5" t="s">
        <v>120</v>
      </c>
      <c r="G7308" s="5" t="s">
        <v>46502</v>
      </c>
      <c r="H7308" s="6" t="s">
        <v>46503</v>
      </c>
      <c r="K7308" s="5" t="s">
        <v>46482</v>
      </c>
    </row>
    <row r="7309">
      <c r="A7309" s="4">
        <v>45534.38035489584</v>
      </c>
      <c r="B7309" s="5" t="s">
        <v>19</v>
      </c>
      <c r="C7309" s="5" t="s">
        <v>83</v>
      </c>
      <c r="E7309" s="5" t="s">
        <v>46506</v>
      </c>
      <c r="F7309" s="5" t="s">
        <v>375</v>
      </c>
      <c r="G7309" s="5" t="s">
        <v>46507</v>
      </c>
      <c r="H7309" s="6" t="s">
        <v>46508</v>
      </c>
      <c r="K7309" s="5" t="s">
        <v>46482</v>
      </c>
    </row>
    <row r="7310">
      <c r="A7310" s="4">
        <v>45534.38036336805</v>
      </c>
      <c r="B7310" s="5" t="s">
        <v>34</v>
      </c>
      <c r="D7310" s="5" t="s">
        <v>1558</v>
      </c>
      <c r="E7310" s="5" t="s">
        <v>46511</v>
      </c>
      <c r="F7310" s="5" t="s">
        <v>524</v>
      </c>
      <c r="G7310" s="5" t="s">
        <v>46512</v>
      </c>
      <c r="H7310" s="6" t="s">
        <v>46513</v>
      </c>
      <c r="K7310" s="5" t="s">
        <v>46514</v>
      </c>
    </row>
    <row r="7311">
      <c r="A7311" s="4">
        <v>45534.38036657407</v>
      </c>
      <c r="B7311" s="5" t="s">
        <v>34</v>
      </c>
      <c r="D7311" s="5" t="s">
        <v>1768</v>
      </c>
      <c r="E7311" s="5" t="s">
        <v>46518</v>
      </c>
      <c r="F7311" s="5" t="s">
        <v>212</v>
      </c>
      <c r="G7311" s="5" t="s">
        <v>46519</v>
      </c>
      <c r="H7311" s="6" t="s">
        <v>46520</v>
      </c>
      <c r="K7311" s="5" t="s">
        <v>46514</v>
      </c>
    </row>
    <row r="7312">
      <c r="A7312" s="4">
        <v>45534.380388136575</v>
      </c>
      <c r="B7312" s="5" t="s">
        <v>19</v>
      </c>
      <c r="C7312" s="5" t="s">
        <v>292</v>
      </c>
      <c r="E7312" s="5" t="s">
        <v>46523</v>
      </c>
      <c r="F7312" s="5" t="s">
        <v>212</v>
      </c>
      <c r="G7312" s="5" t="s">
        <v>46524</v>
      </c>
      <c r="H7312" s="6" t="s">
        <v>46525</v>
      </c>
      <c r="K7312" s="5" t="s">
        <v>46514</v>
      </c>
    </row>
    <row r="7313">
      <c r="A7313" s="4">
        <v>45534.38039738426</v>
      </c>
      <c r="B7313" s="5" t="s">
        <v>34</v>
      </c>
      <c r="D7313" s="5" t="s">
        <v>1558</v>
      </c>
      <c r="E7313" s="5" t="s">
        <v>46528</v>
      </c>
      <c r="F7313" s="5" t="s">
        <v>108</v>
      </c>
      <c r="G7313" s="5" t="s">
        <v>46529</v>
      </c>
      <c r="H7313" s="6" t="s">
        <v>46530</v>
      </c>
      <c r="K7313" s="5" t="s">
        <v>46514</v>
      </c>
    </row>
    <row r="7314">
      <c r="A7314" s="4">
        <v>45534.38040414352</v>
      </c>
      <c r="B7314" s="5" t="s">
        <v>34</v>
      </c>
      <c r="D7314" s="5" t="s">
        <v>701</v>
      </c>
      <c r="E7314" s="5" t="s">
        <v>46533</v>
      </c>
      <c r="F7314" s="5" t="s">
        <v>212</v>
      </c>
      <c r="G7314" s="5" t="s">
        <v>46534</v>
      </c>
      <c r="H7314" s="6" t="s">
        <v>46535</v>
      </c>
      <c r="K7314" s="5" t="s">
        <v>46514</v>
      </c>
    </row>
    <row r="7315">
      <c r="A7315" s="4">
        <v>45534.38040513889</v>
      </c>
      <c r="B7315" s="5" t="s">
        <v>34</v>
      </c>
      <c r="D7315" s="5" t="s">
        <v>701</v>
      </c>
      <c r="E7315" s="5" t="s">
        <v>46539</v>
      </c>
      <c r="F7315" s="5" t="s">
        <v>212</v>
      </c>
      <c r="G7315" s="5" t="s">
        <v>46540</v>
      </c>
      <c r="H7315" s="6" t="s">
        <v>46541</v>
      </c>
      <c r="K7315" s="5" t="s">
        <v>46514</v>
      </c>
    </row>
    <row r="7316">
      <c r="A7316" s="4">
        <v>45534.38040797454</v>
      </c>
      <c r="B7316" s="5" t="s">
        <v>34</v>
      </c>
      <c r="D7316" s="5" t="s">
        <v>1558</v>
      </c>
      <c r="E7316" s="5" t="s">
        <v>46545</v>
      </c>
      <c r="F7316" s="5" t="s">
        <v>37</v>
      </c>
      <c r="G7316" s="5" t="s">
        <v>46546</v>
      </c>
      <c r="H7316" s="6" t="s">
        <v>46547</v>
      </c>
      <c r="K7316" s="5" t="s">
        <v>46514</v>
      </c>
    </row>
    <row r="7317">
      <c r="A7317" s="4">
        <v>45534.380412303246</v>
      </c>
      <c r="B7317" s="5" t="s">
        <v>34</v>
      </c>
      <c r="D7317" s="5" t="s">
        <v>15401</v>
      </c>
      <c r="E7317" s="5" t="s">
        <v>46550</v>
      </c>
      <c r="F7317" s="5" t="s">
        <v>212</v>
      </c>
      <c r="G7317" s="5" t="s">
        <v>46551</v>
      </c>
      <c r="H7317" s="6" t="s">
        <v>46552</v>
      </c>
      <c r="K7317" s="5" t="s">
        <v>46514</v>
      </c>
    </row>
    <row r="7318">
      <c r="A7318" s="4">
        <v>45534.38044166667</v>
      </c>
      <c r="B7318" s="5" t="s">
        <v>34</v>
      </c>
      <c r="D7318" s="5" t="s">
        <v>1558</v>
      </c>
      <c r="E7318" s="5" t="s">
        <v>46555</v>
      </c>
      <c r="F7318" s="5" t="s">
        <v>37</v>
      </c>
      <c r="G7318" s="5" t="s">
        <v>46556</v>
      </c>
      <c r="H7318" s="6" t="s">
        <v>46557</v>
      </c>
      <c r="K7318" s="5" t="s">
        <v>46558</v>
      </c>
    </row>
    <row r="7319">
      <c r="A7319" s="4">
        <v>45534.38045809028</v>
      </c>
      <c r="B7319" s="5" t="s">
        <v>19</v>
      </c>
      <c r="C7319" s="5" t="s">
        <v>5058</v>
      </c>
      <c r="E7319" s="5" t="s">
        <v>46562</v>
      </c>
      <c r="F7319" s="5" t="s">
        <v>375</v>
      </c>
      <c r="G7319" s="5" t="s">
        <v>46563</v>
      </c>
      <c r="H7319" s="6" t="s">
        <v>46564</v>
      </c>
      <c r="K7319" s="5" t="s">
        <v>46558</v>
      </c>
    </row>
    <row r="7320">
      <c r="A7320" s="4">
        <v>45534.38052181713</v>
      </c>
      <c r="B7320" s="5" t="s">
        <v>34</v>
      </c>
      <c r="D7320" s="5" t="s">
        <v>14424</v>
      </c>
      <c r="E7320" s="5" t="s">
        <v>46567</v>
      </c>
      <c r="F7320" s="5" t="s">
        <v>375</v>
      </c>
      <c r="G7320" s="5" t="s">
        <v>46568</v>
      </c>
      <c r="H7320" s="6" t="s">
        <v>46569</v>
      </c>
      <c r="K7320" s="5" t="s">
        <v>46570</v>
      </c>
    </row>
    <row r="7321">
      <c r="A7321" s="4">
        <v>45534.38052818287</v>
      </c>
      <c r="B7321" s="5" t="s">
        <v>34</v>
      </c>
      <c r="D7321" s="5" t="s">
        <v>12978</v>
      </c>
      <c r="E7321" s="5" t="s">
        <v>46573</v>
      </c>
      <c r="F7321" s="5" t="s">
        <v>212</v>
      </c>
      <c r="G7321" s="5" t="s">
        <v>46574</v>
      </c>
      <c r="H7321" s="6" t="s">
        <v>46575</v>
      </c>
      <c r="K7321" s="5" t="s">
        <v>46570</v>
      </c>
    </row>
    <row r="7322">
      <c r="A7322" s="4">
        <v>45534.380529560185</v>
      </c>
      <c r="B7322" s="5" t="s">
        <v>34</v>
      </c>
      <c r="D7322" s="5" t="s">
        <v>35</v>
      </c>
      <c r="E7322" s="5" t="s">
        <v>46578</v>
      </c>
      <c r="F7322" s="5" t="s">
        <v>120</v>
      </c>
      <c r="G7322" s="5" t="s">
        <v>46579</v>
      </c>
      <c r="H7322" s="6" t="s">
        <v>46580</v>
      </c>
      <c r="K7322" s="5" t="s">
        <v>46570</v>
      </c>
    </row>
    <row r="7323">
      <c r="A7323" s="4">
        <v>45534.380543865744</v>
      </c>
      <c r="B7323" s="5" t="s">
        <v>34</v>
      </c>
      <c r="D7323" s="5" t="s">
        <v>10444</v>
      </c>
      <c r="E7323" s="5" t="s">
        <v>46584</v>
      </c>
      <c r="F7323" s="5" t="s">
        <v>108</v>
      </c>
      <c r="G7323" s="5" t="s">
        <v>46585</v>
      </c>
      <c r="H7323" s="6" t="s">
        <v>46586</v>
      </c>
      <c r="I7323" s="7" t="s">
        <v>46587</v>
      </c>
      <c r="J7323" s="8" t="str">
        <f>HYPERLINK("https://drive.google.com/file/d/19S96eFT2V9Ri9jR1Mf7TcStGCawKLUpv/view?usp=drivesdk","SRI INDRAWATI,A.MD.KEB SERTIFIKAT BerAKHLAK")</f>
        <v>SRI INDRAWATI,A.MD.KEB SERTIFIKAT BerAKHLAK</v>
      </c>
      <c r="K7323" s="5" t="s">
        <v>46588</v>
      </c>
      <c r="L7323" s="5" t="s">
        <v>46589</v>
      </c>
    </row>
    <row r="7324">
      <c r="A7324" s="4">
        <v>45534.38056996527</v>
      </c>
      <c r="B7324" s="5" t="s">
        <v>34</v>
      </c>
      <c r="D7324" s="5" t="s">
        <v>1663</v>
      </c>
      <c r="E7324" s="5" t="s">
        <v>12772</v>
      </c>
      <c r="F7324" s="5" t="s">
        <v>37</v>
      </c>
      <c r="G7324" s="5" t="s">
        <v>46592</v>
      </c>
      <c r="H7324" s="6" t="s">
        <v>46593</v>
      </c>
      <c r="K7324" s="5" t="s">
        <v>46594</v>
      </c>
    </row>
    <row r="7325">
      <c r="A7325" s="4">
        <v>45534.380595625</v>
      </c>
      <c r="B7325" s="5" t="s">
        <v>34</v>
      </c>
      <c r="D7325" s="5" t="s">
        <v>14424</v>
      </c>
      <c r="E7325" s="5" t="s">
        <v>46597</v>
      </c>
      <c r="F7325" s="5" t="s">
        <v>524</v>
      </c>
      <c r="G7325" s="5" t="s">
        <v>46598</v>
      </c>
      <c r="H7325" s="6" t="s">
        <v>46599</v>
      </c>
      <c r="K7325" s="5" t="s">
        <v>46600</v>
      </c>
    </row>
    <row r="7326">
      <c r="A7326" s="4">
        <v>45534.380596145835</v>
      </c>
      <c r="B7326" s="5" t="s">
        <v>34</v>
      </c>
      <c r="D7326" s="5" t="s">
        <v>1206</v>
      </c>
      <c r="E7326" s="5" t="s">
        <v>46603</v>
      </c>
      <c r="F7326" s="5" t="s">
        <v>37</v>
      </c>
      <c r="G7326" s="5" t="s">
        <v>46604</v>
      </c>
      <c r="H7326" s="6" t="s">
        <v>46605</v>
      </c>
      <c r="K7326" s="5" t="s">
        <v>46600</v>
      </c>
    </row>
    <row r="7327">
      <c r="A7327" s="4">
        <v>45534.380600833334</v>
      </c>
      <c r="B7327" s="5" t="s">
        <v>34</v>
      </c>
      <c r="D7327" s="5" t="s">
        <v>12978</v>
      </c>
      <c r="E7327" s="5" t="s">
        <v>46609</v>
      </c>
      <c r="F7327" s="5" t="s">
        <v>72</v>
      </c>
      <c r="G7327" s="5" t="s">
        <v>46610</v>
      </c>
      <c r="H7327" s="6" t="s">
        <v>46611</v>
      </c>
      <c r="K7327" s="5" t="s">
        <v>46600</v>
      </c>
    </row>
    <row r="7328">
      <c r="A7328" s="4">
        <v>45534.380601412035</v>
      </c>
      <c r="B7328" s="5" t="s">
        <v>34</v>
      </c>
      <c r="D7328" s="5" t="s">
        <v>996</v>
      </c>
      <c r="E7328" s="5" t="s">
        <v>46614</v>
      </c>
      <c r="F7328" s="5" t="s">
        <v>37</v>
      </c>
      <c r="G7328" s="5" t="s">
        <v>46615</v>
      </c>
      <c r="H7328" s="6" t="s">
        <v>46616</v>
      </c>
      <c r="K7328" s="5" t="s">
        <v>46600</v>
      </c>
    </row>
    <row r="7329">
      <c r="A7329" s="4">
        <v>45534.38063417824</v>
      </c>
      <c r="B7329" s="5" t="s">
        <v>19</v>
      </c>
      <c r="C7329" s="5" t="s">
        <v>5058</v>
      </c>
      <c r="E7329" s="5" t="s">
        <v>46619</v>
      </c>
      <c r="F7329" s="5" t="s">
        <v>375</v>
      </c>
      <c r="G7329" s="5" t="s">
        <v>46620</v>
      </c>
      <c r="H7329" s="6" t="s">
        <v>46621</v>
      </c>
      <c r="K7329" s="5" t="s">
        <v>46622</v>
      </c>
    </row>
    <row r="7330">
      <c r="A7330" s="4">
        <v>45534.3806590625</v>
      </c>
      <c r="B7330" s="5" t="s">
        <v>34</v>
      </c>
      <c r="D7330" s="5" t="s">
        <v>9394</v>
      </c>
      <c r="E7330" s="5" t="s">
        <v>46625</v>
      </c>
      <c r="F7330" s="5" t="s">
        <v>212</v>
      </c>
      <c r="G7330" s="5" t="s">
        <v>46626</v>
      </c>
      <c r="H7330" s="6" t="s">
        <v>46627</v>
      </c>
      <c r="I7330" s="7" t="s">
        <v>46628</v>
      </c>
      <c r="J7330" s="8" t="str">
        <f>HYPERLINK("https://drive.google.com/file/d/1Rm5HrCKL9uB8gqGgJxw_2D6_ywGrOOLn/view?usp=drivesdk","FITRI SUSANTI. SH  SERTIFIKAT BerAKHLAK")</f>
        <v>FITRI SUSANTI. SH  SERTIFIKAT BerAKHLAK</v>
      </c>
      <c r="K7330" s="5" t="s">
        <v>46588</v>
      </c>
      <c r="L7330" s="5" t="s">
        <v>46629</v>
      </c>
    </row>
    <row r="7331">
      <c r="A7331" s="4">
        <v>45534.380666122684</v>
      </c>
      <c r="B7331" s="5" t="s">
        <v>34</v>
      </c>
      <c r="D7331" s="5" t="s">
        <v>4775</v>
      </c>
      <c r="E7331" s="5" t="s">
        <v>46632</v>
      </c>
      <c r="F7331" s="5" t="s">
        <v>108</v>
      </c>
      <c r="G7331" s="5" t="s">
        <v>46633</v>
      </c>
      <c r="H7331" s="6" t="s">
        <v>46634</v>
      </c>
      <c r="K7331" s="5" t="s">
        <v>46635</v>
      </c>
    </row>
    <row r="7332">
      <c r="A7332" s="4">
        <v>45534.38067989583</v>
      </c>
      <c r="B7332" s="5" t="s">
        <v>34</v>
      </c>
      <c r="D7332" s="5" t="s">
        <v>267</v>
      </c>
      <c r="E7332" s="5" t="s">
        <v>46639</v>
      </c>
      <c r="F7332" s="5" t="s">
        <v>108</v>
      </c>
      <c r="G7332" s="5" t="s">
        <v>46640</v>
      </c>
      <c r="H7332" s="6" t="s">
        <v>46641</v>
      </c>
      <c r="I7332" s="7" t="s">
        <v>46642</v>
      </c>
      <c r="J7332" s="8" t="str">
        <f>HYPERLINK("https://drive.google.com/file/d/1p8JqezGKIzfyTfdS7YQcWmpz3LXmTnjd/view?usp=drivesdk","WAHYUDHI SERTIFIKAT BerAKHLAK")</f>
        <v>WAHYUDHI SERTIFIKAT BerAKHLAK</v>
      </c>
      <c r="K7332" s="5" t="s">
        <v>46365</v>
      </c>
      <c r="L7332" s="5" t="s">
        <v>46643</v>
      </c>
    </row>
    <row r="7333">
      <c r="A7333" s="4">
        <v>45534.38068886574</v>
      </c>
      <c r="B7333" s="5" t="s">
        <v>34</v>
      </c>
      <c r="D7333" s="5" t="s">
        <v>35</v>
      </c>
      <c r="E7333" s="5" t="s">
        <v>46646</v>
      </c>
      <c r="F7333" s="5" t="s">
        <v>212</v>
      </c>
      <c r="G7333" s="5" t="s">
        <v>46647</v>
      </c>
      <c r="H7333" s="6" t="s">
        <v>46648</v>
      </c>
      <c r="K7333" s="5" t="s">
        <v>46649</v>
      </c>
    </row>
    <row r="7334">
      <c r="A7334" s="4">
        <v>45534.380725324074</v>
      </c>
      <c r="B7334" s="5" t="s">
        <v>19</v>
      </c>
      <c r="C7334" s="5" t="s">
        <v>3471</v>
      </c>
      <c r="E7334" s="5" t="s">
        <v>46653</v>
      </c>
      <c r="F7334" s="5" t="s">
        <v>375</v>
      </c>
      <c r="G7334" s="5" t="s">
        <v>46654</v>
      </c>
      <c r="H7334" s="6" t="s">
        <v>46655</v>
      </c>
      <c r="K7334" s="5" t="s">
        <v>46656</v>
      </c>
    </row>
    <row r="7335">
      <c r="A7335" s="4">
        <v>45534.38073824074</v>
      </c>
      <c r="B7335" s="5" t="s">
        <v>34</v>
      </c>
      <c r="D7335" s="5" t="s">
        <v>14313</v>
      </c>
      <c r="E7335" s="5" t="s">
        <v>46659</v>
      </c>
      <c r="F7335" s="5" t="s">
        <v>375</v>
      </c>
      <c r="G7335" s="5" t="s">
        <v>46660</v>
      </c>
      <c r="H7335" s="6" t="s">
        <v>46661</v>
      </c>
      <c r="K7335" s="5" t="s">
        <v>46662</v>
      </c>
    </row>
    <row r="7336">
      <c r="A7336" s="4">
        <v>45534.380738796295</v>
      </c>
      <c r="B7336" s="5" t="s">
        <v>34</v>
      </c>
      <c r="D7336" s="5" t="s">
        <v>4775</v>
      </c>
      <c r="E7336" s="5" t="s">
        <v>46665</v>
      </c>
      <c r="F7336" s="5" t="s">
        <v>37</v>
      </c>
      <c r="G7336" s="5" t="s">
        <v>46666</v>
      </c>
      <c r="H7336" s="6" t="s">
        <v>46667</v>
      </c>
      <c r="K7336" s="5" t="s">
        <v>46662</v>
      </c>
    </row>
    <row r="7337">
      <c r="A7337" s="4">
        <v>45534.380779467596</v>
      </c>
      <c r="B7337" s="5" t="s">
        <v>34</v>
      </c>
      <c r="D7337" s="5" t="s">
        <v>9020</v>
      </c>
      <c r="E7337" s="5" t="s">
        <v>46671</v>
      </c>
      <c r="F7337" s="5" t="s">
        <v>212</v>
      </c>
      <c r="G7337" s="5" t="s">
        <v>46672</v>
      </c>
      <c r="H7337" s="6" t="s">
        <v>46673</v>
      </c>
      <c r="I7337" s="7" t="s">
        <v>46674</v>
      </c>
      <c r="J7337" s="8" t="str">
        <f>HYPERLINK("https://drive.google.com/file/d/1Tv8Pn9VB1Q5efcfqu7-hhSik0VocKGfw/view?usp=drivesdk","HELEN IRMA SARI N SERTIFIKAT BerAKHLAK")</f>
        <v>HELEN IRMA SARI N SERTIFIKAT BerAKHLAK</v>
      </c>
      <c r="K7337" s="5" t="s">
        <v>46365</v>
      </c>
      <c r="L7337" s="5" t="s">
        <v>46675</v>
      </c>
    </row>
    <row r="7338">
      <c r="A7338" s="4">
        <v>45534.38078265046</v>
      </c>
      <c r="B7338" s="5" t="s">
        <v>34</v>
      </c>
      <c r="D7338" s="5" t="s">
        <v>9020</v>
      </c>
      <c r="E7338" s="5" t="s">
        <v>46678</v>
      </c>
      <c r="F7338" s="5" t="s">
        <v>37</v>
      </c>
      <c r="G7338" s="5" t="s">
        <v>46679</v>
      </c>
      <c r="H7338" s="6" t="s">
        <v>46680</v>
      </c>
      <c r="K7338" s="5" t="s">
        <v>46681</v>
      </c>
    </row>
    <row r="7339">
      <c r="A7339" s="4">
        <v>45534.38079015046</v>
      </c>
      <c r="B7339" s="5" t="s">
        <v>19</v>
      </c>
      <c r="C7339" s="5" t="s">
        <v>3301</v>
      </c>
      <c r="E7339" s="5" t="s">
        <v>46684</v>
      </c>
      <c r="F7339" s="5" t="s">
        <v>715</v>
      </c>
      <c r="G7339" s="5" t="s">
        <v>46685</v>
      </c>
      <c r="H7339" s="6" t="s">
        <v>46686</v>
      </c>
      <c r="K7339" s="5" t="s">
        <v>46681</v>
      </c>
    </row>
    <row r="7340">
      <c r="A7340" s="4">
        <v>45534.38079251157</v>
      </c>
      <c r="B7340" s="5" t="s">
        <v>34</v>
      </c>
      <c r="D7340" s="5" t="s">
        <v>701</v>
      </c>
      <c r="E7340" s="5" t="s">
        <v>46689</v>
      </c>
      <c r="F7340" s="5" t="s">
        <v>72</v>
      </c>
      <c r="G7340" s="5" t="s">
        <v>46690</v>
      </c>
      <c r="H7340" s="6" t="s">
        <v>46691</v>
      </c>
      <c r="K7340" s="5" t="s">
        <v>46681</v>
      </c>
    </row>
    <row r="7341">
      <c r="A7341" s="4">
        <v>45534.38079809028</v>
      </c>
      <c r="B7341" s="5" t="s">
        <v>19</v>
      </c>
      <c r="C7341" s="5" t="s">
        <v>45988</v>
      </c>
      <c r="E7341" s="5" t="s">
        <v>46694</v>
      </c>
      <c r="F7341" s="5" t="s">
        <v>375</v>
      </c>
      <c r="G7341" s="5" t="s">
        <v>46695</v>
      </c>
      <c r="H7341" s="6" t="s">
        <v>46696</v>
      </c>
      <c r="K7341" s="5" t="s">
        <v>46681</v>
      </c>
    </row>
    <row r="7342">
      <c r="A7342" s="4">
        <v>45534.38081590278</v>
      </c>
      <c r="B7342" s="5" t="s">
        <v>34</v>
      </c>
      <c r="D7342" s="5" t="s">
        <v>4775</v>
      </c>
      <c r="E7342" s="5" t="s">
        <v>46700</v>
      </c>
      <c r="F7342" s="5" t="s">
        <v>37</v>
      </c>
      <c r="G7342" s="5" t="s">
        <v>46701</v>
      </c>
      <c r="H7342" s="6" t="s">
        <v>46702</v>
      </c>
      <c r="I7342" s="7" t="s">
        <v>46703</v>
      </c>
      <c r="J7342" s="8" t="str">
        <f>HYPERLINK("https://drive.google.com/file/d/1jDJ5up48vcVUTDwjKcT8uflppCrdDQeA/view?usp=drivesdk","DONNY SAPUTRO SERTIFIKAT BerAKHLAK")</f>
        <v>DONNY SAPUTRO SERTIFIKAT BerAKHLAK</v>
      </c>
      <c r="K7342" s="5" t="s">
        <v>46365</v>
      </c>
      <c r="L7342" s="5" t="s">
        <v>46704</v>
      </c>
    </row>
    <row r="7343">
      <c r="A7343" s="4">
        <v>45534.38084159722</v>
      </c>
      <c r="B7343" s="5" t="s">
        <v>34</v>
      </c>
      <c r="D7343" s="5" t="s">
        <v>1558</v>
      </c>
      <c r="E7343" s="5" t="s">
        <v>46707</v>
      </c>
      <c r="F7343" s="5" t="s">
        <v>108</v>
      </c>
      <c r="G7343" s="5" t="s">
        <v>46708</v>
      </c>
      <c r="H7343" s="6" t="s">
        <v>46709</v>
      </c>
      <c r="I7343" s="7" t="s">
        <v>46710</v>
      </c>
      <c r="J7343" s="8" t="str">
        <f>HYPERLINK("https://drive.google.com/file/d/1zUlruRfExib9PKXNQrhMbBDF56o3LriL/view?usp=drivesdk","YUNITA INDRIYANI, SE SERTIFIKAT BerAKHLAK")</f>
        <v>YUNITA INDRIYANI, SE SERTIFIKAT BerAKHLAK</v>
      </c>
      <c r="K7343" s="5" t="s">
        <v>46365</v>
      </c>
      <c r="L7343" s="5" t="s">
        <v>46711</v>
      </c>
    </row>
    <row r="7344">
      <c r="A7344" s="4">
        <v>45534.38086575232</v>
      </c>
      <c r="B7344" s="5" t="s">
        <v>34</v>
      </c>
      <c r="D7344" s="5" t="s">
        <v>996</v>
      </c>
      <c r="E7344" s="5" t="s">
        <v>46714</v>
      </c>
      <c r="F7344" s="5" t="s">
        <v>212</v>
      </c>
      <c r="G7344" s="5" t="s">
        <v>46715</v>
      </c>
      <c r="H7344" s="6" t="s">
        <v>46716</v>
      </c>
      <c r="K7344" s="5" t="s">
        <v>46717</v>
      </c>
    </row>
    <row r="7345">
      <c r="A7345" s="4">
        <v>45534.38088702546</v>
      </c>
      <c r="B7345" s="5" t="s">
        <v>34</v>
      </c>
      <c r="D7345" s="5" t="s">
        <v>7858</v>
      </c>
      <c r="E7345" s="5" t="s">
        <v>46721</v>
      </c>
      <c r="F7345" s="5" t="s">
        <v>37</v>
      </c>
      <c r="G7345" s="5" t="s">
        <v>46722</v>
      </c>
      <c r="H7345" s="6" t="s">
        <v>46723</v>
      </c>
      <c r="I7345" s="7" t="s">
        <v>46724</v>
      </c>
      <c r="J7345" s="8" t="str">
        <f>HYPERLINK("https://drive.google.com/file/d/18uyWs4pahfpGPUds4J7ZPwJ5CE_kP_Cx/view?usp=drivesdk","YANUAR EKA NUGROHO SERTIFIKAT BerAKHLAK")</f>
        <v>YANUAR EKA NUGROHO SERTIFIKAT BerAKHLAK</v>
      </c>
      <c r="K7345" s="5" t="s">
        <v>46365</v>
      </c>
      <c r="L7345" s="5" t="s">
        <v>46725</v>
      </c>
    </row>
    <row r="7346">
      <c r="A7346" s="4">
        <v>45534.380895532406</v>
      </c>
      <c r="B7346" s="5" t="s">
        <v>34</v>
      </c>
      <c r="D7346" s="5" t="s">
        <v>14424</v>
      </c>
      <c r="E7346" s="5" t="s">
        <v>46728</v>
      </c>
      <c r="F7346" s="5" t="s">
        <v>108</v>
      </c>
      <c r="G7346" s="5" t="s">
        <v>46729</v>
      </c>
      <c r="H7346" s="6" t="s">
        <v>46730</v>
      </c>
      <c r="K7346" s="5" t="s">
        <v>46717</v>
      </c>
    </row>
    <row r="7347">
      <c r="A7347" s="4">
        <v>45534.38090081018</v>
      </c>
      <c r="B7347" s="5" t="s">
        <v>34</v>
      </c>
      <c r="D7347" s="5" t="s">
        <v>9020</v>
      </c>
      <c r="E7347" s="5" t="s">
        <v>46733</v>
      </c>
      <c r="F7347" s="5" t="s">
        <v>72</v>
      </c>
      <c r="G7347" s="5" t="s">
        <v>46734</v>
      </c>
      <c r="H7347" s="6" t="s">
        <v>46735</v>
      </c>
      <c r="K7347" s="5" t="s">
        <v>46717</v>
      </c>
    </row>
    <row r="7348">
      <c r="A7348" s="4">
        <v>45534.380919351854</v>
      </c>
      <c r="B7348" s="5" t="s">
        <v>34</v>
      </c>
      <c r="D7348" s="5" t="s">
        <v>35</v>
      </c>
      <c r="E7348" s="5" t="s">
        <v>46738</v>
      </c>
      <c r="F7348" s="5" t="s">
        <v>37</v>
      </c>
      <c r="G7348" s="5" t="s">
        <v>46739</v>
      </c>
      <c r="H7348" s="6" t="s">
        <v>46740</v>
      </c>
      <c r="I7348" s="7" t="s">
        <v>46741</v>
      </c>
      <c r="J7348" s="8" t="str">
        <f>HYPERLINK("https://drive.google.com/file/d/1Efh5bgHa8-g1g2mjKaRJXkCz63Sw8AKS/view?usp=drivesdk","ALINUR SERTIFIKAT BerAKHLAK")</f>
        <v>ALINUR SERTIFIKAT BerAKHLAK</v>
      </c>
      <c r="K7348" s="5" t="s">
        <v>46365</v>
      </c>
      <c r="L7348" s="5" t="s">
        <v>46742</v>
      </c>
    </row>
    <row r="7349">
      <c r="A7349" s="4">
        <v>45534.38092542824</v>
      </c>
      <c r="B7349" s="5" t="s">
        <v>34</v>
      </c>
      <c r="D7349" s="5" t="s">
        <v>1558</v>
      </c>
      <c r="E7349" s="5" t="s">
        <v>46746</v>
      </c>
      <c r="F7349" s="5" t="s">
        <v>37</v>
      </c>
      <c r="G7349" s="5" t="s">
        <v>46747</v>
      </c>
      <c r="H7349" s="6" t="s">
        <v>46748</v>
      </c>
      <c r="K7349" s="5" t="s">
        <v>46749</v>
      </c>
    </row>
    <row r="7350">
      <c r="A7350" s="4">
        <v>45534.38096537037</v>
      </c>
      <c r="B7350" s="5" t="s">
        <v>34</v>
      </c>
      <c r="D7350" s="5" t="s">
        <v>12978</v>
      </c>
      <c r="E7350" s="5" t="s">
        <v>46752</v>
      </c>
      <c r="F7350" s="5" t="s">
        <v>72</v>
      </c>
      <c r="G7350" s="5" t="s">
        <v>46753</v>
      </c>
      <c r="H7350" s="6" t="s">
        <v>46754</v>
      </c>
      <c r="K7350" s="5" t="s">
        <v>46755</v>
      </c>
    </row>
    <row r="7351">
      <c r="A7351" s="4">
        <v>45534.38097237269</v>
      </c>
      <c r="B7351" s="5" t="s">
        <v>34</v>
      </c>
      <c r="D7351" s="5" t="s">
        <v>1692</v>
      </c>
      <c r="E7351" s="5" t="s">
        <v>46758</v>
      </c>
      <c r="F7351" s="5" t="s">
        <v>212</v>
      </c>
      <c r="G7351" s="5" t="s">
        <v>46759</v>
      </c>
      <c r="H7351" s="6" t="s">
        <v>46760</v>
      </c>
      <c r="K7351" s="5" t="s">
        <v>46755</v>
      </c>
    </row>
    <row r="7352">
      <c r="A7352" s="4">
        <v>45534.38097726852</v>
      </c>
      <c r="B7352" s="5" t="s">
        <v>19</v>
      </c>
      <c r="C7352" s="5" t="s">
        <v>83</v>
      </c>
      <c r="E7352" s="5" t="s">
        <v>46763</v>
      </c>
      <c r="F7352" s="5" t="s">
        <v>108</v>
      </c>
      <c r="G7352" s="5" t="s">
        <v>46764</v>
      </c>
      <c r="H7352" s="6" t="s">
        <v>46765</v>
      </c>
      <c r="K7352" s="5" t="s">
        <v>46755</v>
      </c>
    </row>
    <row r="7353">
      <c r="A7353" s="4">
        <v>45534.38098715278</v>
      </c>
      <c r="B7353" s="5" t="s">
        <v>19</v>
      </c>
      <c r="C7353" s="5" t="s">
        <v>292</v>
      </c>
      <c r="E7353" s="5" t="s">
        <v>46768</v>
      </c>
      <c r="F7353" s="5" t="s">
        <v>6776</v>
      </c>
      <c r="G7353" s="5" t="s">
        <v>46769</v>
      </c>
      <c r="H7353" s="6" t="s">
        <v>46770</v>
      </c>
      <c r="K7353" s="5" t="s">
        <v>46771</v>
      </c>
    </row>
    <row r="7354">
      <c r="A7354" s="4">
        <v>45534.38099884259</v>
      </c>
      <c r="B7354" s="5" t="s">
        <v>34</v>
      </c>
      <c r="D7354" s="5" t="s">
        <v>1206</v>
      </c>
      <c r="E7354" s="5" t="s">
        <v>46775</v>
      </c>
      <c r="F7354" s="5" t="s">
        <v>212</v>
      </c>
      <c r="G7354" s="5" t="s">
        <v>46776</v>
      </c>
      <c r="H7354" s="6" t="s">
        <v>46777</v>
      </c>
      <c r="K7354" s="5" t="s">
        <v>46771</v>
      </c>
    </row>
    <row r="7355">
      <c r="A7355" s="4">
        <v>45534.38100799768</v>
      </c>
      <c r="B7355" s="5" t="s">
        <v>34</v>
      </c>
      <c r="D7355" s="5" t="s">
        <v>6232</v>
      </c>
      <c r="E7355" s="5" t="s">
        <v>46780</v>
      </c>
      <c r="F7355" s="5" t="s">
        <v>524</v>
      </c>
      <c r="G7355" s="5" t="s">
        <v>46781</v>
      </c>
      <c r="H7355" s="6" t="s">
        <v>46782</v>
      </c>
      <c r="I7355" s="7" t="s">
        <v>46783</v>
      </c>
      <c r="J7355" s="8" t="str">
        <f>HYPERLINK("https://drive.google.com/file/d/1m0p1HDmmV7aRooIjP9Fan3klHuGN_0bS/view?usp=drivesdk","LIZA FEBRIA.AMD.,SKOM SERTIFIKAT BerAKHLAK")</f>
        <v>LIZA FEBRIA.AMD.,SKOM SERTIFIKAT BerAKHLAK</v>
      </c>
      <c r="K7355" s="5" t="s">
        <v>46784</v>
      </c>
      <c r="L7355" s="5" t="s">
        <v>46785</v>
      </c>
    </row>
    <row r="7356">
      <c r="A7356" s="4">
        <v>45534.38101694445</v>
      </c>
      <c r="B7356" s="5" t="s">
        <v>34</v>
      </c>
      <c r="D7356" s="5" t="s">
        <v>9394</v>
      </c>
      <c r="E7356" s="5" t="s">
        <v>46788</v>
      </c>
      <c r="F7356" s="5" t="s">
        <v>120</v>
      </c>
      <c r="G7356" s="5" t="s">
        <v>46789</v>
      </c>
      <c r="H7356" s="6" t="s">
        <v>46790</v>
      </c>
      <c r="K7356" s="5" t="s">
        <v>46791</v>
      </c>
    </row>
    <row r="7357">
      <c r="A7357" s="4">
        <v>45534.38101935185</v>
      </c>
      <c r="B7357" s="5" t="s">
        <v>19</v>
      </c>
      <c r="C7357" s="5" t="s">
        <v>30588</v>
      </c>
      <c r="E7357" s="5" t="s">
        <v>46795</v>
      </c>
      <c r="F7357" s="5" t="s">
        <v>375</v>
      </c>
      <c r="G7357" s="5" t="s">
        <v>46796</v>
      </c>
      <c r="H7357" s="6" t="s">
        <v>46797</v>
      </c>
      <c r="K7357" s="5" t="s">
        <v>46791</v>
      </c>
    </row>
    <row r="7358">
      <c r="A7358" s="4">
        <v>45534.381060914355</v>
      </c>
      <c r="B7358" s="5" t="s">
        <v>34</v>
      </c>
      <c r="D7358" s="5" t="s">
        <v>1206</v>
      </c>
      <c r="E7358" s="5" t="s">
        <v>46800</v>
      </c>
      <c r="F7358" s="5" t="s">
        <v>37</v>
      </c>
      <c r="G7358" s="5" t="s">
        <v>46801</v>
      </c>
      <c r="H7358" s="6" t="s">
        <v>46802</v>
      </c>
      <c r="K7358" s="5" t="s">
        <v>46803</v>
      </c>
    </row>
    <row r="7359">
      <c r="A7359" s="4">
        <v>45534.38107707176</v>
      </c>
      <c r="B7359" s="5" t="s">
        <v>34</v>
      </c>
      <c r="D7359" s="5" t="s">
        <v>1206</v>
      </c>
      <c r="E7359" s="5" t="s">
        <v>46806</v>
      </c>
      <c r="F7359" s="5" t="s">
        <v>375</v>
      </c>
      <c r="G7359" s="5" t="s">
        <v>46807</v>
      </c>
      <c r="H7359" s="6" t="s">
        <v>46808</v>
      </c>
      <c r="K7359" s="5" t="s">
        <v>46809</v>
      </c>
    </row>
    <row r="7360">
      <c r="A7360" s="4">
        <v>45534.381090254625</v>
      </c>
      <c r="B7360" s="5" t="s">
        <v>34</v>
      </c>
      <c r="D7360" s="5" t="s">
        <v>1206</v>
      </c>
      <c r="E7360" s="5" t="s">
        <v>46812</v>
      </c>
      <c r="F7360" s="5" t="s">
        <v>375</v>
      </c>
      <c r="G7360" s="5" t="s">
        <v>46813</v>
      </c>
      <c r="H7360" s="6" t="s">
        <v>46814</v>
      </c>
      <c r="K7360" s="5" t="s">
        <v>46809</v>
      </c>
    </row>
    <row r="7361">
      <c r="A7361" s="4">
        <v>45534.38112280093</v>
      </c>
      <c r="B7361" s="5" t="s">
        <v>34</v>
      </c>
      <c r="D7361" s="5" t="s">
        <v>1558</v>
      </c>
      <c r="E7361" s="5" t="s">
        <v>46818</v>
      </c>
      <c r="F7361" s="5" t="s">
        <v>375</v>
      </c>
      <c r="G7361" s="5" t="s">
        <v>46819</v>
      </c>
      <c r="H7361" s="6" t="s">
        <v>46820</v>
      </c>
      <c r="K7361" s="5" t="s">
        <v>46821</v>
      </c>
    </row>
    <row r="7362">
      <c r="A7362" s="4">
        <v>45534.38112910879</v>
      </c>
      <c r="B7362" s="5" t="s">
        <v>34</v>
      </c>
      <c r="D7362" s="5" t="s">
        <v>3432</v>
      </c>
      <c r="E7362" s="5" t="s">
        <v>46824</v>
      </c>
      <c r="F7362" s="5" t="s">
        <v>37</v>
      </c>
      <c r="G7362" s="5" t="s">
        <v>46825</v>
      </c>
      <c r="H7362" s="6" t="s">
        <v>46826</v>
      </c>
      <c r="K7362" s="5" t="s">
        <v>46821</v>
      </c>
    </row>
    <row r="7363">
      <c r="A7363" s="4">
        <v>45534.38114583334</v>
      </c>
      <c r="B7363" s="5" t="s">
        <v>34</v>
      </c>
      <c r="D7363" s="5" t="s">
        <v>3432</v>
      </c>
      <c r="E7363" s="5" t="s">
        <v>46829</v>
      </c>
      <c r="F7363" s="5" t="s">
        <v>37</v>
      </c>
      <c r="G7363" s="5" t="s">
        <v>46830</v>
      </c>
      <c r="H7363" s="6" t="s">
        <v>46831</v>
      </c>
      <c r="K7363" s="5" t="s">
        <v>46821</v>
      </c>
    </row>
    <row r="7364">
      <c r="A7364" s="4">
        <v>45534.38115585648</v>
      </c>
      <c r="B7364" s="5" t="s">
        <v>34</v>
      </c>
      <c r="D7364" s="5" t="s">
        <v>1206</v>
      </c>
      <c r="E7364" s="5" t="s">
        <v>46835</v>
      </c>
      <c r="F7364" s="5" t="s">
        <v>37</v>
      </c>
      <c r="G7364" s="5" t="s">
        <v>46836</v>
      </c>
      <c r="H7364" s="6" t="s">
        <v>46837</v>
      </c>
      <c r="I7364" s="7" t="s">
        <v>46838</v>
      </c>
      <c r="J7364" s="8" t="str">
        <f>HYPERLINK("https://drive.google.com/file/d/1gU_zwpmDe8qqNlbL6qTRnZVzXh7ROfN7/view?usp=drivesdk","USWATUN JAZILA, S.Pd SERTIFIKAT BerAKHLAK")</f>
        <v>USWATUN JAZILA, S.Pd SERTIFIKAT BerAKHLAK</v>
      </c>
      <c r="K7364" s="5" t="s">
        <v>46365</v>
      </c>
      <c r="L7364" s="5" t="s">
        <v>46839</v>
      </c>
    </row>
    <row r="7365">
      <c r="A7365" s="4">
        <v>45534.3811560301</v>
      </c>
      <c r="B7365" s="5" t="s">
        <v>34</v>
      </c>
      <c r="D7365" s="5" t="s">
        <v>7858</v>
      </c>
      <c r="E7365" s="5" t="s">
        <v>46842</v>
      </c>
      <c r="F7365" s="5" t="s">
        <v>375</v>
      </c>
      <c r="G7365" s="5" t="s">
        <v>46843</v>
      </c>
      <c r="H7365" s="6" t="s">
        <v>46844</v>
      </c>
      <c r="K7365" s="5" t="s">
        <v>46845</v>
      </c>
    </row>
    <row r="7366">
      <c r="A7366" s="4">
        <v>45534.38115748843</v>
      </c>
      <c r="B7366" s="5" t="s">
        <v>34</v>
      </c>
      <c r="D7366" s="5" t="s">
        <v>267</v>
      </c>
      <c r="E7366" s="5" t="s">
        <v>46848</v>
      </c>
      <c r="F7366" s="5" t="s">
        <v>108</v>
      </c>
      <c r="G7366" s="5" t="s">
        <v>46849</v>
      </c>
      <c r="H7366" s="6" t="s">
        <v>46850</v>
      </c>
      <c r="K7366" s="5" t="s">
        <v>46845</v>
      </c>
    </row>
    <row r="7367">
      <c r="A7367" s="4">
        <v>45534.38116148148</v>
      </c>
      <c r="B7367" s="5" t="s">
        <v>19</v>
      </c>
      <c r="C7367" s="5" t="s">
        <v>292</v>
      </c>
      <c r="E7367" s="5" t="s">
        <v>46853</v>
      </c>
      <c r="F7367" s="5" t="s">
        <v>212</v>
      </c>
      <c r="G7367" s="5" t="s">
        <v>46854</v>
      </c>
      <c r="H7367" s="6" t="s">
        <v>46855</v>
      </c>
      <c r="K7367" s="5" t="s">
        <v>46845</v>
      </c>
    </row>
    <row r="7368">
      <c r="A7368" s="4">
        <v>45534.38117197917</v>
      </c>
      <c r="B7368" s="5" t="s">
        <v>34</v>
      </c>
      <c r="D7368" s="5" t="s">
        <v>14313</v>
      </c>
      <c r="E7368" s="5" t="s">
        <v>46859</v>
      </c>
      <c r="F7368" s="5" t="s">
        <v>120</v>
      </c>
      <c r="G7368" s="5" t="s">
        <v>46860</v>
      </c>
      <c r="H7368" s="6" t="s">
        <v>46861</v>
      </c>
      <c r="K7368" s="5" t="s">
        <v>46845</v>
      </c>
    </row>
    <row r="7369">
      <c r="A7369" s="4">
        <v>45534.381226620375</v>
      </c>
      <c r="B7369" s="5" t="s">
        <v>34</v>
      </c>
      <c r="D7369" s="5" t="s">
        <v>4775</v>
      </c>
      <c r="E7369" s="5" t="s">
        <v>46864</v>
      </c>
      <c r="F7369" s="5" t="s">
        <v>375</v>
      </c>
      <c r="G7369" s="5" t="s">
        <v>46865</v>
      </c>
      <c r="H7369" s="6" t="s">
        <v>46866</v>
      </c>
      <c r="K7369" s="5" t="s">
        <v>46867</v>
      </c>
    </row>
    <row r="7370">
      <c r="A7370" s="4">
        <v>45534.38124488426</v>
      </c>
      <c r="B7370" s="5" t="s">
        <v>34</v>
      </c>
      <c r="D7370" s="5" t="s">
        <v>4775</v>
      </c>
      <c r="E7370" s="5" t="s">
        <v>46870</v>
      </c>
      <c r="F7370" s="5" t="s">
        <v>37</v>
      </c>
      <c r="G7370" s="5" t="s">
        <v>46871</v>
      </c>
      <c r="H7370" s="6" t="s">
        <v>46872</v>
      </c>
      <c r="K7370" s="5" t="s">
        <v>46873</v>
      </c>
    </row>
    <row r="7371">
      <c r="A7371" s="4">
        <v>45534.381246006946</v>
      </c>
      <c r="B7371" s="5" t="s">
        <v>19</v>
      </c>
      <c r="C7371" s="5" t="s">
        <v>5058</v>
      </c>
      <c r="E7371" s="5" t="s">
        <v>46876</v>
      </c>
      <c r="F7371" s="5" t="s">
        <v>524</v>
      </c>
      <c r="G7371" s="5" t="s">
        <v>46877</v>
      </c>
      <c r="H7371" s="6" t="s">
        <v>46878</v>
      </c>
      <c r="K7371" s="5" t="s">
        <v>46873</v>
      </c>
    </row>
    <row r="7372">
      <c r="A7372" s="4">
        <v>45534.381248171296</v>
      </c>
      <c r="B7372" s="5" t="s">
        <v>34</v>
      </c>
      <c r="D7372" s="5" t="s">
        <v>280</v>
      </c>
      <c r="E7372" s="5" t="s">
        <v>46882</v>
      </c>
      <c r="F7372" s="5" t="s">
        <v>212</v>
      </c>
      <c r="G7372" s="5" t="s">
        <v>46883</v>
      </c>
      <c r="H7372" s="6" t="s">
        <v>46884</v>
      </c>
      <c r="K7372" s="5" t="s">
        <v>46873</v>
      </c>
    </row>
    <row r="7373">
      <c r="A7373" s="4">
        <v>45534.38129568287</v>
      </c>
      <c r="B7373" s="5" t="s">
        <v>34</v>
      </c>
      <c r="D7373" s="5" t="s">
        <v>10444</v>
      </c>
      <c r="E7373" s="5" t="s">
        <v>22974</v>
      </c>
      <c r="F7373" s="5" t="s">
        <v>524</v>
      </c>
      <c r="G7373" s="5" t="s">
        <v>46887</v>
      </c>
      <c r="H7373" s="6" t="s">
        <v>46888</v>
      </c>
      <c r="K7373" s="5" t="s">
        <v>46889</v>
      </c>
    </row>
    <row r="7374">
      <c r="A7374" s="4">
        <v>45534.38133969907</v>
      </c>
      <c r="B7374" s="5" t="s">
        <v>34</v>
      </c>
      <c r="D7374" s="5" t="s">
        <v>1206</v>
      </c>
      <c r="E7374" s="5" t="s">
        <v>46892</v>
      </c>
      <c r="F7374" s="5" t="s">
        <v>37</v>
      </c>
      <c r="G7374" s="5" t="s">
        <v>46893</v>
      </c>
      <c r="H7374" s="6" t="s">
        <v>46894</v>
      </c>
      <c r="I7374" s="7" t="s">
        <v>46895</v>
      </c>
      <c r="J7374" s="8" t="str">
        <f>HYPERLINK("https://drive.google.com/file/d/13ZyFO5vaXXVSDnqZ-3S_YFRcBTl2wREf/view?usp=drivesdk","DWI SUSANTI SERTIFIKAT BerAKHLAK")</f>
        <v>DWI SUSANTI SERTIFIKAT BerAKHLAK</v>
      </c>
      <c r="K7374" s="5" t="s">
        <v>46365</v>
      </c>
      <c r="L7374" s="5" t="s">
        <v>46896</v>
      </c>
    </row>
    <row r="7375">
      <c r="A7375" s="4">
        <v>45534.38135585648</v>
      </c>
      <c r="B7375" s="5" t="s">
        <v>34</v>
      </c>
      <c r="D7375" s="5" t="s">
        <v>14313</v>
      </c>
      <c r="E7375" s="5" t="s">
        <v>46899</v>
      </c>
      <c r="F7375" s="5" t="s">
        <v>375</v>
      </c>
      <c r="G7375" s="5" t="s">
        <v>46900</v>
      </c>
      <c r="H7375" s="6" t="s">
        <v>46901</v>
      </c>
      <c r="K7375" s="5" t="s">
        <v>46902</v>
      </c>
    </row>
    <row r="7376">
      <c r="A7376" s="4">
        <v>45534.381358831015</v>
      </c>
      <c r="B7376" s="5" t="s">
        <v>34</v>
      </c>
      <c r="D7376" s="5" t="s">
        <v>1456</v>
      </c>
      <c r="E7376" s="5" t="s">
        <v>46906</v>
      </c>
      <c r="F7376" s="5" t="s">
        <v>37</v>
      </c>
      <c r="G7376" s="5" t="s">
        <v>46907</v>
      </c>
      <c r="H7376" s="6" t="s">
        <v>46908</v>
      </c>
      <c r="K7376" s="5" t="s">
        <v>46902</v>
      </c>
    </row>
    <row r="7377">
      <c r="A7377" s="4">
        <v>45534.381379108796</v>
      </c>
      <c r="B7377" s="5" t="s">
        <v>34</v>
      </c>
      <c r="D7377" s="5" t="s">
        <v>1558</v>
      </c>
      <c r="E7377" s="5" t="s">
        <v>46911</v>
      </c>
      <c r="F7377" s="5" t="s">
        <v>72</v>
      </c>
      <c r="G7377" s="5" t="s">
        <v>46912</v>
      </c>
      <c r="H7377" s="6" t="s">
        <v>46913</v>
      </c>
      <c r="K7377" s="5" t="s">
        <v>46902</v>
      </c>
    </row>
    <row r="7378">
      <c r="A7378" s="4">
        <v>45534.38138324074</v>
      </c>
      <c r="B7378" s="5" t="s">
        <v>34</v>
      </c>
      <c r="D7378" s="5" t="s">
        <v>14313</v>
      </c>
      <c r="E7378" s="5" t="s">
        <v>46916</v>
      </c>
      <c r="F7378" s="5" t="s">
        <v>375</v>
      </c>
      <c r="G7378" s="5" t="s">
        <v>46917</v>
      </c>
      <c r="H7378" s="6" t="s">
        <v>46918</v>
      </c>
      <c r="K7378" s="5" t="s">
        <v>46919</v>
      </c>
    </row>
    <row r="7379">
      <c r="A7379" s="4">
        <v>45534.38139277778</v>
      </c>
      <c r="B7379" s="5" t="s">
        <v>34</v>
      </c>
      <c r="D7379" s="5" t="s">
        <v>522</v>
      </c>
      <c r="E7379" s="5" t="s">
        <v>44689</v>
      </c>
      <c r="F7379" s="5" t="s">
        <v>212</v>
      </c>
      <c r="G7379" s="5" t="s">
        <v>46923</v>
      </c>
      <c r="H7379" s="6" t="s">
        <v>46924</v>
      </c>
      <c r="K7379" s="5" t="s">
        <v>46919</v>
      </c>
    </row>
    <row r="7380">
      <c r="A7380" s="4">
        <v>45534.381394571756</v>
      </c>
      <c r="B7380" s="5" t="s">
        <v>34</v>
      </c>
      <c r="D7380" s="5" t="s">
        <v>4775</v>
      </c>
      <c r="E7380" s="5" t="s">
        <v>46927</v>
      </c>
      <c r="F7380" s="5" t="s">
        <v>212</v>
      </c>
      <c r="G7380" s="5" t="s">
        <v>46928</v>
      </c>
      <c r="H7380" s="6" t="s">
        <v>46929</v>
      </c>
      <c r="K7380" s="5" t="s">
        <v>46919</v>
      </c>
    </row>
    <row r="7381">
      <c r="A7381" s="4">
        <v>45534.38139728009</v>
      </c>
      <c r="B7381" s="5" t="s">
        <v>34</v>
      </c>
      <c r="D7381" s="5" t="s">
        <v>1206</v>
      </c>
      <c r="E7381" s="5" t="s">
        <v>43726</v>
      </c>
      <c r="F7381" s="5" t="s">
        <v>212</v>
      </c>
      <c r="G7381" s="5" t="s">
        <v>46932</v>
      </c>
      <c r="H7381" s="6" t="s">
        <v>46933</v>
      </c>
      <c r="K7381" s="5" t="s">
        <v>46919</v>
      </c>
    </row>
    <row r="7382">
      <c r="A7382" s="4">
        <v>45534.38140363426</v>
      </c>
      <c r="B7382" s="5" t="s">
        <v>34</v>
      </c>
      <c r="D7382" s="5" t="s">
        <v>1206</v>
      </c>
      <c r="E7382" s="5" t="s">
        <v>46936</v>
      </c>
      <c r="F7382" s="5" t="s">
        <v>212</v>
      </c>
      <c r="G7382" s="5" t="s">
        <v>46937</v>
      </c>
      <c r="H7382" s="6" t="s">
        <v>46938</v>
      </c>
      <c r="K7382" s="5" t="s">
        <v>46919</v>
      </c>
    </row>
    <row r="7383">
      <c r="A7383" s="4">
        <v>45534.38141071759</v>
      </c>
      <c r="B7383" s="5" t="s">
        <v>34</v>
      </c>
      <c r="D7383" s="5" t="s">
        <v>9020</v>
      </c>
      <c r="E7383" s="5" t="s">
        <v>27862</v>
      </c>
      <c r="F7383" s="5" t="s">
        <v>37</v>
      </c>
      <c r="G7383" s="5" t="s">
        <v>46942</v>
      </c>
      <c r="H7383" s="6" t="s">
        <v>46943</v>
      </c>
      <c r="K7383" s="5" t="s">
        <v>46919</v>
      </c>
    </row>
    <row r="7384">
      <c r="A7384" s="4">
        <v>45534.38143145833</v>
      </c>
      <c r="B7384" s="5" t="s">
        <v>34</v>
      </c>
      <c r="D7384" s="5" t="s">
        <v>9020</v>
      </c>
      <c r="E7384" s="5" t="s">
        <v>46946</v>
      </c>
      <c r="F7384" s="5" t="s">
        <v>37</v>
      </c>
      <c r="G7384" s="5" t="s">
        <v>46947</v>
      </c>
      <c r="H7384" s="6" t="s">
        <v>46948</v>
      </c>
      <c r="K7384" s="5" t="s">
        <v>46949</v>
      </c>
    </row>
    <row r="7385">
      <c r="A7385" s="4">
        <v>45534.38143533564</v>
      </c>
      <c r="B7385" s="5" t="s">
        <v>34</v>
      </c>
      <c r="D7385" s="5" t="s">
        <v>701</v>
      </c>
      <c r="E7385" s="5" t="s">
        <v>46952</v>
      </c>
      <c r="F7385" s="5" t="s">
        <v>37</v>
      </c>
      <c r="G7385" s="5" t="s">
        <v>46953</v>
      </c>
      <c r="H7385" s="6" t="s">
        <v>46954</v>
      </c>
      <c r="K7385" s="5" t="s">
        <v>46955</v>
      </c>
    </row>
    <row r="7386">
      <c r="A7386" s="4">
        <v>45534.381442488426</v>
      </c>
      <c r="B7386" s="5" t="s">
        <v>34</v>
      </c>
      <c r="D7386" s="5" t="s">
        <v>267</v>
      </c>
      <c r="E7386" s="5" t="s">
        <v>46958</v>
      </c>
      <c r="F7386" s="5" t="s">
        <v>108</v>
      </c>
      <c r="G7386" s="5" t="s">
        <v>46959</v>
      </c>
      <c r="H7386" s="6" t="s">
        <v>46960</v>
      </c>
      <c r="K7386" s="5" t="s">
        <v>46955</v>
      </c>
    </row>
    <row r="7387">
      <c r="A7387" s="4">
        <v>45534.38145310185</v>
      </c>
      <c r="B7387" s="5" t="s">
        <v>34</v>
      </c>
      <c r="D7387" s="5" t="s">
        <v>2903</v>
      </c>
      <c r="E7387" s="5" t="s">
        <v>46964</v>
      </c>
      <c r="F7387" s="5" t="s">
        <v>524</v>
      </c>
      <c r="G7387" s="5" t="s">
        <v>46965</v>
      </c>
      <c r="H7387" s="6" t="s">
        <v>46966</v>
      </c>
      <c r="K7387" s="5" t="s">
        <v>46955</v>
      </c>
    </row>
    <row r="7388">
      <c r="A7388" s="4">
        <v>45534.38145898149</v>
      </c>
      <c r="B7388" s="5" t="s">
        <v>19</v>
      </c>
      <c r="C7388" s="5" t="s">
        <v>83</v>
      </c>
      <c r="E7388" s="5" t="s">
        <v>46969</v>
      </c>
      <c r="F7388" s="5" t="s">
        <v>524</v>
      </c>
      <c r="G7388" s="5" t="s">
        <v>46970</v>
      </c>
      <c r="H7388" s="6" t="s">
        <v>46971</v>
      </c>
      <c r="K7388" s="5" t="s">
        <v>46955</v>
      </c>
    </row>
    <row r="7389">
      <c r="A7389" s="4">
        <v>45534.381460289354</v>
      </c>
      <c r="B7389" s="5" t="s">
        <v>34</v>
      </c>
      <c r="D7389" s="5" t="s">
        <v>9394</v>
      </c>
      <c r="E7389" s="5" t="s">
        <v>46974</v>
      </c>
      <c r="F7389" s="5" t="s">
        <v>108</v>
      </c>
      <c r="G7389" s="5" t="s">
        <v>46975</v>
      </c>
      <c r="H7389" s="6" t="s">
        <v>46976</v>
      </c>
      <c r="K7389" s="5" t="s">
        <v>46955</v>
      </c>
    </row>
    <row r="7390">
      <c r="A7390" s="4">
        <v>45534.38146846065</v>
      </c>
      <c r="B7390" s="5" t="s">
        <v>34</v>
      </c>
      <c r="D7390" s="5" t="s">
        <v>1206</v>
      </c>
      <c r="E7390" s="5" t="s">
        <v>46979</v>
      </c>
      <c r="F7390" s="5" t="s">
        <v>524</v>
      </c>
      <c r="G7390" s="5" t="s">
        <v>46980</v>
      </c>
      <c r="H7390" s="6" t="s">
        <v>46981</v>
      </c>
      <c r="K7390" s="5" t="s">
        <v>46982</v>
      </c>
    </row>
    <row r="7391">
      <c r="A7391" s="4">
        <v>45534.38147797454</v>
      </c>
      <c r="B7391" s="5" t="s">
        <v>34</v>
      </c>
      <c r="D7391" s="5" t="s">
        <v>12978</v>
      </c>
      <c r="E7391" s="5" t="s">
        <v>46986</v>
      </c>
      <c r="F7391" s="5" t="s">
        <v>108</v>
      </c>
      <c r="G7391" s="5" t="s">
        <v>46987</v>
      </c>
      <c r="H7391" s="6" t="s">
        <v>46988</v>
      </c>
      <c r="K7391" s="5" t="s">
        <v>46982</v>
      </c>
    </row>
    <row r="7392">
      <c r="A7392" s="4">
        <v>45534.38148447916</v>
      </c>
      <c r="B7392" s="5" t="s">
        <v>34</v>
      </c>
      <c r="D7392" s="5" t="s">
        <v>35</v>
      </c>
      <c r="E7392" s="5" t="s">
        <v>46991</v>
      </c>
      <c r="F7392" s="5" t="s">
        <v>212</v>
      </c>
      <c r="G7392" s="5" t="s">
        <v>46992</v>
      </c>
      <c r="H7392" s="6" t="s">
        <v>46993</v>
      </c>
      <c r="K7392" s="5" t="s">
        <v>46982</v>
      </c>
    </row>
    <row r="7393">
      <c r="A7393" s="4">
        <v>45534.38148980324</v>
      </c>
      <c r="B7393" s="5" t="s">
        <v>19</v>
      </c>
      <c r="C7393" s="5" t="s">
        <v>45988</v>
      </c>
      <c r="E7393" s="5" t="s">
        <v>46996</v>
      </c>
      <c r="F7393" s="5" t="s">
        <v>72</v>
      </c>
      <c r="G7393" s="5" t="s">
        <v>46997</v>
      </c>
      <c r="H7393" s="6" t="s">
        <v>46998</v>
      </c>
      <c r="K7393" s="5" t="s">
        <v>46999</v>
      </c>
    </row>
    <row r="7394">
      <c r="A7394" s="4">
        <v>45534.38149612269</v>
      </c>
      <c r="B7394" s="5" t="s">
        <v>34</v>
      </c>
      <c r="D7394" s="5" t="s">
        <v>7858</v>
      </c>
      <c r="E7394" s="5" t="s">
        <v>47002</v>
      </c>
      <c r="F7394" s="5" t="s">
        <v>37</v>
      </c>
      <c r="G7394" s="5" t="s">
        <v>47003</v>
      </c>
      <c r="H7394" s="6" t="s">
        <v>47004</v>
      </c>
      <c r="K7394" s="5" t="s">
        <v>46999</v>
      </c>
    </row>
    <row r="7395">
      <c r="A7395" s="4">
        <v>45534.381550844904</v>
      </c>
      <c r="B7395" s="5" t="s">
        <v>34</v>
      </c>
      <c r="D7395" s="5" t="s">
        <v>10444</v>
      </c>
      <c r="E7395" s="5" t="s">
        <v>47008</v>
      </c>
      <c r="F7395" s="5" t="s">
        <v>72</v>
      </c>
      <c r="G7395" s="5" t="s">
        <v>47009</v>
      </c>
      <c r="H7395" s="6" t="s">
        <v>47010</v>
      </c>
      <c r="K7395" s="5" t="s">
        <v>47011</v>
      </c>
    </row>
    <row r="7396">
      <c r="A7396" s="4">
        <v>45534.38155675926</v>
      </c>
      <c r="B7396" s="5" t="s">
        <v>34</v>
      </c>
      <c r="D7396" s="5" t="s">
        <v>267</v>
      </c>
      <c r="E7396" s="5" t="s">
        <v>47014</v>
      </c>
      <c r="F7396" s="5" t="s">
        <v>108</v>
      </c>
      <c r="G7396" s="5" t="s">
        <v>47015</v>
      </c>
      <c r="H7396" s="6" t="s">
        <v>47016</v>
      </c>
      <c r="K7396" s="5" t="s">
        <v>47011</v>
      </c>
    </row>
    <row r="7397">
      <c r="A7397" s="4">
        <v>45534.381563229166</v>
      </c>
      <c r="B7397" s="5" t="s">
        <v>34</v>
      </c>
      <c r="D7397" s="5" t="s">
        <v>580</v>
      </c>
      <c r="E7397" s="5" t="s">
        <v>47020</v>
      </c>
      <c r="F7397" s="5" t="s">
        <v>715</v>
      </c>
      <c r="G7397" s="5" t="s">
        <v>47021</v>
      </c>
      <c r="H7397" s="6" t="s">
        <v>47022</v>
      </c>
      <c r="K7397" s="5" t="s">
        <v>47023</v>
      </c>
    </row>
    <row r="7398">
      <c r="A7398" s="4">
        <v>45534.38158528935</v>
      </c>
      <c r="B7398" s="5" t="s">
        <v>34</v>
      </c>
      <c r="D7398" s="5" t="s">
        <v>6232</v>
      </c>
      <c r="E7398" s="5" t="s">
        <v>47026</v>
      </c>
      <c r="F7398" s="5" t="s">
        <v>37</v>
      </c>
      <c r="G7398" s="5" t="s">
        <v>47027</v>
      </c>
      <c r="H7398" s="6" t="s">
        <v>47028</v>
      </c>
      <c r="K7398" s="5" t="s">
        <v>47023</v>
      </c>
    </row>
    <row r="7399">
      <c r="A7399" s="4">
        <v>45534.38159680556</v>
      </c>
      <c r="B7399" s="5" t="s">
        <v>34</v>
      </c>
      <c r="D7399" s="5" t="s">
        <v>2903</v>
      </c>
      <c r="E7399" s="5" t="s">
        <v>47031</v>
      </c>
      <c r="F7399" s="5" t="s">
        <v>524</v>
      </c>
      <c r="G7399" s="5" t="s">
        <v>47032</v>
      </c>
      <c r="H7399" s="6" t="s">
        <v>47033</v>
      </c>
      <c r="K7399" s="5" t="s">
        <v>47034</v>
      </c>
    </row>
    <row r="7400">
      <c r="A7400" s="4">
        <v>45534.38163607639</v>
      </c>
      <c r="B7400" s="5" t="s">
        <v>34</v>
      </c>
      <c r="D7400" s="5" t="s">
        <v>35</v>
      </c>
      <c r="E7400" s="5" t="s">
        <v>13938</v>
      </c>
      <c r="F7400" s="5" t="s">
        <v>375</v>
      </c>
      <c r="G7400" s="5" t="s">
        <v>13939</v>
      </c>
      <c r="H7400" s="6" t="s">
        <v>47037</v>
      </c>
      <c r="K7400" s="5" t="s">
        <v>47038</v>
      </c>
    </row>
    <row r="7401">
      <c r="A7401" s="4">
        <v>45534.38164850694</v>
      </c>
      <c r="B7401" s="5" t="s">
        <v>34</v>
      </c>
      <c r="D7401" s="5" t="s">
        <v>701</v>
      </c>
      <c r="E7401" s="5" t="s">
        <v>47041</v>
      </c>
      <c r="F7401" s="5" t="s">
        <v>524</v>
      </c>
      <c r="G7401" s="5" t="s">
        <v>47042</v>
      </c>
      <c r="H7401" s="6" t="s">
        <v>47043</v>
      </c>
      <c r="K7401" s="5" t="s">
        <v>46372</v>
      </c>
    </row>
    <row r="7402">
      <c r="A7402" s="4">
        <v>45534.38166296296</v>
      </c>
      <c r="B7402" s="5" t="s">
        <v>34</v>
      </c>
      <c r="D7402" s="5" t="s">
        <v>12978</v>
      </c>
      <c r="E7402" s="5" t="s">
        <v>47047</v>
      </c>
      <c r="F7402" s="5" t="s">
        <v>212</v>
      </c>
      <c r="G7402" s="5" t="s">
        <v>47048</v>
      </c>
      <c r="H7402" s="6" t="s">
        <v>47049</v>
      </c>
      <c r="K7402" s="5" t="s">
        <v>46372</v>
      </c>
    </row>
    <row r="7403">
      <c r="A7403" s="4">
        <v>45534.38169505787</v>
      </c>
      <c r="B7403" s="5" t="s">
        <v>34</v>
      </c>
      <c r="D7403" s="5" t="s">
        <v>4775</v>
      </c>
      <c r="E7403" s="5" t="s">
        <v>47052</v>
      </c>
      <c r="F7403" s="5" t="s">
        <v>212</v>
      </c>
      <c r="G7403" s="5" t="s">
        <v>47053</v>
      </c>
      <c r="H7403" s="6" t="s">
        <v>47054</v>
      </c>
      <c r="K7403" s="5" t="s">
        <v>47055</v>
      </c>
    </row>
    <row r="7404">
      <c r="A7404" s="4">
        <v>45534.38170539352</v>
      </c>
      <c r="B7404" s="5" t="s">
        <v>34</v>
      </c>
      <c r="D7404" s="5" t="s">
        <v>9020</v>
      </c>
      <c r="E7404" s="5" t="s">
        <v>47058</v>
      </c>
      <c r="F7404" s="5" t="s">
        <v>524</v>
      </c>
      <c r="G7404" s="5" t="s">
        <v>47059</v>
      </c>
      <c r="H7404" s="6" t="s">
        <v>47060</v>
      </c>
      <c r="K7404" s="5" t="s">
        <v>47055</v>
      </c>
    </row>
    <row r="7405">
      <c r="A7405" s="4">
        <v>45534.38171271991</v>
      </c>
      <c r="B7405" s="5" t="s">
        <v>19</v>
      </c>
      <c r="C7405" s="5" t="s">
        <v>292</v>
      </c>
      <c r="E7405" s="5" t="s">
        <v>47064</v>
      </c>
      <c r="F7405" s="5" t="s">
        <v>108</v>
      </c>
      <c r="G7405" s="5" t="s">
        <v>47065</v>
      </c>
      <c r="H7405" s="6" t="s">
        <v>47066</v>
      </c>
      <c r="K7405" s="5" t="s">
        <v>47055</v>
      </c>
    </row>
    <row r="7406">
      <c r="A7406" s="4">
        <v>45534.38172996527</v>
      </c>
      <c r="B7406" s="5" t="s">
        <v>34</v>
      </c>
      <c r="D7406" s="5" t="s">
        <v>1206</v>
      </c>
      <c r="E7406" s="5" t="s">
        <v>47069</v>
      </c>
      <c r="F7406" s="5" t="s">
        <v>375</v>
      </c>
      <c r="G7406" s="5" t="s">
        <v>47070</v>
      </c>
      <c r="H7406" s="6" t="s">
        <v>47071</v>
      </c>
      <c r="K7406" s="5" t="s">
        <v>47055</v>
      </c>
    </row>
    <row r="7407">
      <c r="A7407" s="4">
        <v>45534.38173137732</v>
      </c>
      <c r="B7407" s="5" t="s">
        <v>34</v>
      </c>
      <c r="D7407" s="5" t="s">
        <v>975</v>
      </c>
      <c r="E7407" s="5" t="s">
        <v>47074</v>
      </c>
      <c r="F7407" s="5" t="s">
        <v>72</v>
      </c>
      <c r="G7407" s="5" t="s">
        <v>47075</v>
      </c>
      <c r="H7407" s="6" t="s">
        <v>47076</v>
      </c>
      <c r="K7407" s="5" t="s">
        <v>47055</v>
      </c>
    </row>
    <row r="7408">
      <c r="A7408" s="4">
        <v>45534.38173199074</v>
      </c>
      <c r="B7408" s="5" t="s">
        <v>19</v>
      </c>
      <c r="C7408" s="5" t="s">
        <v>45988</v>
      </c>
      <c r="E7408" s="5" t="s">
        <v>47080</v>
      </c>
      <c r="F7408" s="5" t="s">
        <v>212</v>
      </c>
      <c r="G7408" s="5" t="s">
        <v>47081</v>
      </c>
      <c r="H7408" s="6" t="s">
        <v>47082</v>
      </c>
      <c r="K7408" s="5" t="s">
        <v>47055</v>
      </c>
    </row>
    <row r="7409">
      <c r="A7409" s="4">
        <v>45534.38174293982</v>
      </c>
      <c r="B7409" s="5" t="s">
        <v>34</v>
      </c>
      <c r="D7409" s="5" t="s">
        <v>701</v>
      </c>
      <c r="E7409" s="5" t="s">
        <v>47085</v>
      </c>
      <c r="F7409" s="5" t="s">
        <v>108</v>
      </c>
      <c r="G7409" s="5" t="s">
        <v>47086</v>
      </c>
      <c r="H7409" s="6" t="s">
        <v>47087</v>
      </c>
      <c r="K7409" s="5" t="s">
        <v>47055</v>
      </c>
    </row>
    <row r="7410">
      <c r="A7410" s="4">
        <v>45534.38175747685</v>
      </c>
      <c r="B7410" s="5" t="s">
        <v>34</v>
      </c>
      <c r="D7410" s="5" t="s">
        <v>10444</v>
      </c>
      <c r="E7410" s="5" t="s">
        <v>47090</v>
      </c>
      <c r="F7410" s="5" t="s">
        <v>37</v>
      </c>
      <c r="G7410" s="5" t="s">
        <v>47091</v>
      </c>
      <c r="H7410" s="6" t="s">
        <v>47092</v>
      </c>
      <c r="K7410" s="5" t="s">
        <v>47093</v>
      </c>
    </row>
    <row r="7411">
      <c r="A7411" s="4">
        <v>45534.381795</v>
      </c>
      <c r="B7411" s="5" t="s">
        <v>34</v>
      </c>
      <c r="D7411" s="5" t="s">
        <v>1206</v>
      </c>
      <c r="E7411" s="5" t="s">
        <v>47096</v>
      </c>
      <c r="F7411" s="5" t="s">
        <v>37</v>
      </c>
      <c r="G7411" s="5" t="s">
        <v>47097</v>
      </c>
      <c r="H7411" s="6" t="s">
        <v>47098</v>
      </c>
      <c r="K7411" s="5" t="s">
        <v>47093</v>
      </c>
    </row>
    <row r="7412">
      <c r="A7412" s="4">
        <v>45534.38179987269</v>
      </c>
      <c r="B7412" s="5" t="s">
        <v>34</v>
      </c>
      <c r="D7412" s="5" t="s">
        <v>35</v>
      </c>
      <c r="E7412" s="5" t="s">
        <v>47102</v>
      </c>
      <c r="F7412" s="5" t="s">
        <v>120</v>
      </c>
      <c r="G7412" s="5" t="s">
        <v>47103</v>
      </c>
      <c r="H7412" s="6" t="s">
        <v>47104</v>
      </c>
      <c r="K7412" s="5" t="s">
        <v>47093</v>
      </c>
    </row>
    <row r="7413">
      <c r="A7413" s="4">
        <v>45534.38180256945</v>
      </c>
      <c r="B7413" s="5" t="s">
        <v>34</v>
      </c>
      <c r="D7413" s="5" t="s">
        <v>1456</v>
      </c>
      <c r="E7413" s="5" t="s">
        <v>47107</v>
      </c>
      <c r="F7413" s="5" t="s">
        <v>72</v>
      </c>
      <c r="G7413" s="5" t="s">
        <v>47108</v>
      </c>
      <c r="H7413" s="6" t="s">
        <v>47109</v>
      </c>
      <c r="K7413" s="5" t="s">
        <v>47093</v>
      </c>
    </row>
    <row r="7414">
      <c r="A7414" s="4">
        <v>45534.38180371528</v>
      </c>
      <c r="B7414" s="5" t="s">
        <v>34</v>
      </c>
      <c r="D7414" s="5" t="s">
        <v>701</v>
      </c>
      <c r="E7414" s="5" t="s">
        <v>47112</v>
      </c>
      <c r="F7414" s="5" t="s">
        <v>212</v>
      </c>
      <c r="G7414" s="5" t="s">
        <v>47113</v>
      </c>
      <c r="H7414" s="6" t="s">
        <v>47114</v>
      </c>
      <c r="K7414" s="5" t="s">
        <v>47115</v>
      </c>
    </row>
    <row r="7415">
      <c r="A7415" s="4">
        <v>45534.381821620365</v>
      </c>
      <c r="B7415" s="5" t="s">
        <v>34</v>
      </c>
      <c r="D7415" s="5" t="s">
        <v>35</v>
      </c>
      <c r="E7415" s="5" t="s">
        <v>47119</v>
      </c>
      <c r="F7415" s="5" t="s">
        <v>375</v>
      </c>
      <c r="G7415" s="5" t="s">
        <v>47120</v>
      </c>
      <c r="H7415" s="6" t="s">
        <v>47121</v>
      </c>
      <c r="K7415" s="5" t="s">
        <v>47115</v>
      </c>
    </row>
    <row r="7416">
      <c r="A7416" s="4">
        <v>45534.38187244213</v>
      </c>
      <c r="B7416" s="5" t="s">
        <v>34</v>
      </c>
      <c r="D7416" s="5" t="s">
        <v>4775</v>
      </c>
      <c r="E7416" s="5" t="s">
        <v>47124</v>
      </c>
      <c r="F7416" s="5" t="s">
        <v>212</v>
      </c>
      <c r="G7416" s="5" t="s">
        <v>47125</v>
      </c>
      <c r="H7416" s="6" t="s">
        <v>47126</v>
      </c>
      <c r="K7416" s="5" t="s">
        <v>47127</v>
      </c>
    </row>
    <row r="7417">
      <c r="A7417" s="4">
        <v>45534.38188112268</v>
      </c>
      <c r="B7417" s="5" t="s">
        <v>19</v>
      </c>
      <c r="C7417" s="5" t="s">
        <v>47130</v>
      </c>
      <c r="E7417" s="5" t="s">
        <v>47131</v>
      </c>
      <c r="F7417" s="5" t="s">
        <v>375</v>
      </c>
      <c r="G7417" s="5" t="s">
        <v>47132</v>
      </c>
      <c r="H7417" s="6" t="s">
        <v>47133</v>
      </c>
      <c r="K7417" s="5" t="s">
        <v>47134</v>
      </c>
    </row>
    <row r="7418">
      <c r="A7418" s="4">
        <v>45534.38189653935</v>
      </c>
      <c r="B7418" s="5" t="s">
        <v>34</v>
      </c>
      <c r="D7418" s="5" t="s">
        <v>1558</v>
      </c>
      <c r="E7418" s="5" t="s">
        <v>47137</v>
      </c>
      <c r="F7418" s="5" t="s">
        <v>108</v>
      </c>
      <c r="G7418" s="5" t="s">
        <v>47138</v>
      </c>
      <c r="H7418" s="6" t="s">
        <v>47139</v>
      </c>
      <c r="K7418" s="5" t="s">
        <v>47140</v>
      </c>
    </row>
    <row r="7419">
      <c r="A7419" s="4">
        <v>45534.38190486111</v>
      </c>
      <c r="B7419" s="5" t="s">
        <v>34</v>
      </c>
      <c r="D7419" s="5" t="s">
        <v>12978</v>
      </c>
      <c r="E7419" s="5" t="s">
        <v>47144</v>
      </c>
      <c r="F7419" s="5" t="s">
        <v>212</v>
      </c>
      <c r="G7419" s="5" t="s">
        <v>47145</v>
      </c>
      <c r="H7419" s="6" t="s">
        <v>47146</v>
      </c>
      <c r="K7419" s="5" t="s">
        <v>47140</v>
      </c>
    </row>
    <row r="7420">
      <c r="A7420" s="4">
        <v>45534.38193018518</v>
      </c>
      <c r="B7420" s="5" t="s">
        <v>34</v>
      </c>
      <c r="D7420" s="5" t="s">
        <v>14424</v>
      </c>
      <c r="E7420" s="5" t="s">
        <v>47149</v>
      </c>
      <c r="F7420" s="5" t="s">
        <v>37</v>
      </c>
      <c r="G7420" s="5" t="s">
        <v>47150</v>
      </c>
      <c r="H7420" s="6" t="s">
        <v>47151</v>
      </c>
      <c r="K7420" s="5" t="s">
        <v>47152</v>
      </c>
    </row>
    <row r="7421">
      <c r="A7421" s="4">
        <v>45534.381935046295</v>
      </c>
      <c r="B7421" s="5" t="s">
        <v>34</v>
      </c>
      <c r="D7421" s="5" t="s">
        <v>267</v>
      </c>
      <c r="E7421" s="5" t="s">
        <v>47155</v>
      </c>
      <c r="F7421" s="5" t="s">
        <v>72</v>
      </c>
      <c r="G7421" s="5" t="s">
        <v>47156</v>
      </c>
      <c r="H7421" s="6" t="s">
        <v>47157</v>
      </c>
      <c r="K7421" s="5" t="s">
        <v>47152</v>
      </c>
    </row>
    <row r="7422">
      <c r="A7422" s="4">
        <v>45534.3819787963</v>
      </c>
      <c r="B7422" s="5" t="s">
        <v>19</v>
      </c>
      <c r="C7422" s="5" t="s">
        <v>11593</v>
      </c>
      <c r="E7422" s="5" t="s">
        <v>47160</v>
      </c>
      <c r="F7422" s="5" t="s">
        <v>212</v>
      </c>
      <c r="G7422" s="5" t="s">
        <v>47161</v>
      </c>
      <c r="H7422" s="6" t="s">
        <v>47162</v>
      </c>
      <c r="K7422" s="5" t="s">
        <v>47163</v>
      </c>
    </row>
    <row r="7423">
      <c r="A7423" s="4">
        <v>45534.38198961805</v>
      </c>
      <c r="B7423" s="5" t="s">
        <v>34</v>
      </c>
      <c r="D7423" s="5" t="s">
        <v>1206</v>
      </c>
      <c r="E7423" s="5" t="s">
        <v>31560</v>
      </c>
      <c r="F7423" s="5" t="s">
        <v>328</v>
      </c>
      <c r="G7423" s="5" t="s">
        <v>47166</v>
      </c>
      <c r="H7423" s="6" t="s">
        <v>47167</v>
      </c>
      <c r="K7423" s="5" t="s">
        <v>47163</v>
      </c>
    </row>
    <row r="7424">
      <c r="A7424" s="4">
        <v>45534.38199271991</v>
      </c>
      <c r="B7424" s="5" t="s">
        <v>34</v>
      </c>
      <c r="D7424" s="5" t="s">
        <v>1206</v>
      </c>
      <c r="E7424" s="5" t="s">
        <v>47171</v>
      </c>
      <c r="F7424" s="5" t="s">
        <v>37</v>
      </c>
      <c r="G7424" s="5" t="s">
        <v>47172</v>
      </c>
      <c r="H7424" s="6" t="s">
        <v>47173</v>
      </c>
      <c r="K7424" s="5" t="s">
        <v>47163</v>
      </c>
    </row>
    <row r="7425">
      <c r="A7425" s="4">
        <v>45534.381996435186</v>
      </c>
      <c r="B7425" s="5" t="s">
        <v>34</v>
      </c>
      <c r="D7425" s="5" t="s">
        <v>9020</v>
      </c>
      <c r="E7425" s="5" t="s">
        <v>47176</v>
      </c>
      <c r="F7425" s="5" t="s">
        <v>524</v>
      </c>
      <c r="G7425" s="5" t="s">
        <v>47177</v>
      </c>
      <c r="H7425" s="6" t="s">
        <v>47178</v>
      </c>
      <c r="K7425" s="5" t="s">
        <v>47179</v>
      </c>
    </row>
    <row r="7426">
      <c r="A7426" s="4">
        <v>45534.38200046297</v>
      </c>
      <c r="B7426" s="5" t="s">
        <v>34</v>
      </c>
      <c r="D7426" s="5" t="s">
        <v>1206</v>
      </c>
      <c r="E7426" s="5" t="s">
        <v>47182</v>
      </c>
      <c r="F7426" s="5" t="s">
        <v>37</v>
      </c>
      <c r="G7426" s="5" t="s">
        <v>47183</v>
      </c>
      <c r="H7426" s="6" t="s">
        <v>47184</v>
      </c>
      <c r="K7426" s="5" t="s">
        <v>47179</v>
      </c>
    </row>
    <row r="7427">
      <c r="A7427" s="4">
        <v>45534.38203349537</v>
      </c>
      <c r="B7427" s="5" t="s">
        <v>34</v>
      </c>
      <c r="D7427" s="5" t="s">
        <v>1206</v>
      </c>
      <c r="E7427" s="5" t="s">
        <v>47187</v>
      </c>
      <c r="F7427" s="5" t="s">
        <v>375</v>
      </c>
      <c r="G7427" s="5" t="s">
        <v>47188</v>
      </c>
      <c r="H7427" s="6" t="s">
        <v>47189</v>
      </c>
      <c r="K7427" s="5" t="s">
        <v>47179</v>
      </c>
    </row>
    <row r="7428">
      <c r="A7428" s="4">
        <v>45534.38205822917</v>
      </c>
      <c r="B7428" s="5" t="s">
        <v>34</v>
      </c>
      <c r="D7428" s="5" t="s">
        <v>1558</v>
      </c>
      <c r="E7428" s="5" t="s">
        <v>47193</v>
      </c>
      <c r="F7428" s="5" t="s">
        <v>212</v>
      </c>
      <c r="G7428" s="5" t="s">
        <v>47194</v>
      </c>
      <c r="H7428" s="6" t="s">
        <v>47195</v>
      </c>
      <c r="K7428" s="5" t="s">
        <v>47196</v>
      </c>
    </row>
    <row r="7429">
      <c r="A7429" s="4">
        <v>45534.38207738426</v>
      </c>
      <c r="B7429" s="5" t="s">
        <v>34</v>
      </c>
      <c r="D7429" s="5" t="s">
        <v>2903</v>
      </c>
      <c r="E7429" s="5" t="s">
        <v>47199</v>
      </c>
      <c r="F7429" s="5" t="s">
        <v>524</v>
      </c>
      <c r="G7429" s="5" t="s">
        <v>47200</v>
      </c>
      <c r="H7429" s="6" t="s">
        <v>47201</v>
      </c>
      <c r="K7429" s="5" t="s">
        <v>47196</v>
      </c>
    </row>
    <row r="7430">
      <c r="A7430" s="4">
        <v>45534.38208401621</v>
      </c>
      <c r="B7430" s="5" t="s">
        <v>34</v>
      </c>
      <c r="D7430" s="5" t="s">
        <v>1456</v>
      </c>
      <c r="E7430" s="5" t="s">
        <v>47204</v>
      </c>
      <c r="F7430" s="5" t="s">
        <v>37</v>
      </c>
      <c r="G7430" s="5" t="s">
        <v>47205</v>
      </c>
      <c r="H7430" s="6" t="s">
        <v>47206</v>
      </c>
      <c r="K7430" s="5" t="s">
        <v>47207</v>
      </c>
    </row>
    <row r="7431">
      <c r="A7431" s="4">
        <v>45534.38209165509</v>
      </c>
      <c r="B7431" s="5" t="s">
        <v>34</v>
      </c>
      <c r="D7431" s="5" t="s">
        <v>1206</v>
      </c>
      <c r="E7431" s="5" t="s">
        <v>47210</v>
      </c>
      <c r="F7431" s="5" t="s">
        <v>212</v>
      </c>
      <c r="G7431" s="5" t="s">
        <v>47211</v>
      </c>
      <c r="H7431" s="6" t="s">
        <v>47212</v>
      </c>
      <c r="K7431" s="5" t="s">
        <v>47207</v>
      </c>
    </row>
    <row r="7432">
      <c r="A7432" s="4">
        <v>45534.38212207176</v>
      </c>
      <c r="B7432" s="5" t="s">
        <v>34</v>
      </c>
      <c r="D7432" s="5" t="s">
        <v>4775</v>
      </c>
      <c r="E7432" s="5" t="s">
        <v>47216</v>
      </c>
      <c r="F7432" s="5" t="s">
        <v>212</v>
      </c>
      <c r="G7432" s="5" t="s">
        <v>47217</v>
      </c>
      <c r="H7432" s="6" t="s">
        <v>47218</v>
      </c>
      <c r="K7432" s="5" t="s">
        <v>47207</v>
      </c>
    </row>
    <row r="7433">
      <c r="A7433" s="4">
        <v>45534.38212578704</v>
      </c>
      <c r="B7433" s="5" t="s">
        <v>34</v>
      </c>
      <c r="D7433" s="5" t="s">
        <v>35</v>
      </c>
      <c r="E7433" s="5" t="s">
        <v>47221</v>
      </c>
      <c r="F7433" s="5" t="s">
        <v>72</v>
      </c>
      <c r="G7433" s="5" t="s">
        <v>47222</v>
      </c>
      <c r="H7433" s="6" t="s">
        <v>47223</v>
      </c>
      <c r="K7433" s="5" t="s">
        <v>47207</v>
      </c>
    </row>
    <row r="7434">
      <c r="A7434" s="4">
        <v>45534.38213373843</v>
      </c>
      <c r="B7434" s="5" t="s">
        <v>34</v>
      </c>
      <c r="D7434" s="5" t="s">
        <v>12010</v>
      </c>
      <c r="E7434" s="5" t="s">
        <v>47226</v>
      </c>
      <c r="F7434" s="5" t="s">
        <v>375</v>
      </c>
      <c r="G7434" s="5" t="s">
        <v>47227</v>
      </c>
      <c r="H7434" s="6" t="s">
        <v>47228</v>
      </c>
      <c r="K7434" s="5" t="s">
        <v>47207</v>
      </c>
    </row>
    <row r="7435">
      <c r="A7435" s="4">
        <v>45534.38213939815</v>
      </c>
      <c r="B7435" s="5" t="s">
        <v>34</v>
      </c>
      <c r="D7435" s="5" t="s">
        <v>9020</v>
      </c>
      <c r="E7435" s="5" t="s">
        <v>47231</v>
      </c>
      <c r="F7435" s="5" t="s">
        <v>375</v>
      </c>
      <c r="G7435" s="5" t="s">
        <v>47232</v>
      </c>
      <c r="H7435" s="6" t="s">
        <v>47233</v>
      </c>
      <c r="K7435" s="5" t="s">
        <v>47207</v>
      </c>
    </row>
    <row r="7436">
      <c r="A7436" s="4">
        <v>45534.38214163194</v>
      </c>
      <c r="B7436" s="5" t="s">
        <v>34</v>
      </c>
      <c r="D7436" s="5" t="s">
        <v>4775</v>
      </c>
      <c r="E7436" s="5" t="s">
        <v>47237</v>
      </c>
      <c r="F7436" s="5" t="s">
        <v>524</v>
      </c>
      <c r="G7436" s="5" t="s">
        <v>47238</v>
      </c>
      <c r="H7436" s="6" t="s">
        <v>47239</v>
      </c>
      <c r="K7436" s="5" t="s">
        <v>47207</v>
      </c>
    </row>
    <row r="7437">
      <c r="A7437" s="4">
        <v>45534.38214202547</v>
      </c>
      <c r="B7437" s="5" t="s">
        <v>34</v>
      </c>
      <c r="D7437" s="5" t="s">
        <v>12978</v>
      </c>
      <c r="E7437" s="5" t="s">
        <v>47242</v>
      </c>
      <c r="F7437" s="5" t="s">
        <v>199</v>
      </c>
      <c r="G7437" s="5" t="s">
        <v>47243</v>
      </c>
      <c r="H7437" s="6" t="s">
        <v>47244</v>
      </c>
      <c r="K7437" s="5" t="s">
        <v>47207</v>
      </c>
    </row>
    <row r="7438">
      <c r="A7438" s="4">
        <v>45534.38217556713</v>
      </c>
      <c r="B7438" s="5" t="s">
        <v>19</v>
      </c>
      <c r="C7438" s="5" t="s">
        <v>14000</v>
      </c>
      <c r="E7438" s="5" t="s">
        <v>47247</v>
      </c>
      <c r="F7438" s="5" t="s">
        <v>37</v>
      </c>
      <c r="G7438" s="5" t="s">
        <v>47248</v>
      </c>
      <c r="H7438" s="6" t="s">
        <v>47249</v>
      </c>
      <c r="K7438" s="5" t="s">
        <v>47250</v>
      </c>
    </row>
    <row r="7439">
      <c r="A7439" s="4">
        <v>45534.382141759255</v>
      </c>
      <c r="B7439" s="5" t="s">
        <v>34</v>
      </c>
      <c r="D7439" s="5" t="s">
        <v>267</v>
      </c>
      <c r="E7439" s="5" t="s">
        <v>47253</v>
      </c>
      <c r="F7439" s="5" t="s">
        <v>72</v>
      </c>
      <c r="G7439" s="5" t="s">
        <v>47254</v>
      </c>
      <c r="H7439" s="6" t="s">
        <v>47255</v>
      </c>
      <c r="K7439" s="5" t="s">
        <v>47250</v>
      </c>
    </row>
    <row r="7440">
      <c r="A7440" s="4">
        <v>45534.38218332176</v>
      </c>
      <c r="B7440" s="5" t="s">
        <v>34</v>
      </c>
      <c r="D7440" s="5" t="s">
        <v>1456</v>
      </c>
      <c r="E7440" s="5" t="s">
        <v>47259</v>
      </c>
      <c r="F7440" s="5" t="s">
        <v>524</v>
      </c>
      <c r="G7440" s="5" t="s">
        <v>47260</v>
      </c>
      <c r="H7440" s="6" t="s">
        <v>47261</v>
      </c>
      <c r="K7440" s="5" t="s">
        <v>47250</v>
      </c>
    </row>
    <row r="7441">
      <c r="A7441" s="4">
        <v>45534.38218655092</v>
      </c>
      <c r="B7441" s="5" t="s">
        <v>34</v>
      </c>
      <c r="D7441" s="5" t="s">
        <v>15401</v>
      </c>
      <c r="E7441" s="5" t="s">
        <v>47264</v>
      </c>
      <c r="F7441" s="5" t="s">
        <v>715</v>
      </c>
      <c r="G7441" s="5" t="s">
        <v>47265</v>
      </c>
      <c r="H7441" s="6" t="s">
        <v>47266</v>
      </c>
      <c r="K7441" s="5" t="s">
        <v>47250</v>
      </c>
    </row>
    <row r="7442">
      <c r="A7442" s="4">
        <v>45534.38218987269</v>
      </c>
      <c r="B7442" s="5" t="s">
        <v>34</v>
      </c>
      <c r="D7442" s="5" t="s">
        <v>2903</v>
      </c>
      <c r="E7442" s="5" t="s">
        <v>47269</v>
      </c>
      <c r="F7442" s="5" t="s">
        <v>108</v>
      </c>
      <c r="G7442" s="5" t="s">
        <v>47270</v>
      </c>
      <c r="H7442" s="6" t="s">
        <v>47271</v>
      </c>
      <c r="K7442" s="5" t="s">
        <v>47250</v>
      </c>
    </row>
    <row r="7443">
      <c r="A7443" s="4">
        <v>45534.382199583335</v>
      </c>
      <c r="B7443" s="5" t="s">
        <v>34</v>
      </c>
      <c r="D7443" s="5" t="s">
        <v>14313</v>
      </c>
      <c r="E7443" s="5" t="s">
        <v>47274</v>
      </c>
      <c r="F7443" s="5" t="s">
        <v>120</v>
      </c>
      <c r="G7443" s="5" t="s">
        <v>47275</v>
      </c>
      <c r="H7443" s="6" t="s">
        <v>47276</v>
      </c>
      <c r="K7443" s="5" t="s">
        <v>47250</v>
      </c>
    </row>
    <row r="7444">
      <c r="A7444" s="4">
        <v>45534.382201099535</v>
      </c>
      <c r="B7444" s="5" t="s">
        <v>34</v>
      </c>
      <c r="D7444" s="5" t="s">
        <v>1206</v>
      </c>
      <c r="E7444" s="5" t="s">
        <v>47279</v>
      </c>
      <c r="F7444" s="5" t="s">
        <v>524</v>
      </c>
      <c r="G7444" s="5" t="s">
        <v>47280</v>
      </c>
      <c r="H7444" s="6" t="s">
        <v>47281</v>
      </c>
      <c r="K7444" s="5" t="s">
        <v>47250</v>
      </c>
    </row>
    <row r="7445">
      <c r="A7445" s="4">
        <v>45534.38221582176</v>
      </c>
      <c r="B7445" s="5" t="s">
        <v>34</v>
      </c>
      <c r="D7445" s="5" t="s">
        <v>9020</v>
      </c>
      <c r="E7445" s="5" t="s">
        <v>47285</v>
      </c>
      <c r="F7445" s="5" t="s">
        <v>715</v>
      </c>
      <c r="G7445" s="5" t="s">
        <v>47286</v>
      </c>
      <c r="H7445" s="6" t="s">
        <v>47287</v>
      </c>
      <c r="K7445" s="5" t="s">
        <v>47288</v>
      </c>
    </row>
    <row r="7446">
      <c r="A7446" s="4">
        <v>45534.38223045139</v>
      </c>
      <c r="B7446" s="5" t="s">
        <v>34</v>
      </c>
      <c r="D7446" s="5" t="s">
        <v>14424</v>
      </c>
      <c r="E7446" s="5" t="s">
        <v>47291</v>
      </c>
      <c r="F7446" s="5" t="s">
        <v>375</v>
      </c>
      <c r="G7446" s="5" t="s">
        <v>47292</v>
      </c>
      <c r="H7446" s="6" t="s">
        <v>47293</v>
      </c>
      <c r="K7446" s="5" t="s">
        <v>47288</v>
      </c>
    </row>
    <row r="7447">
      <c r="A7447" s="4">
        <v>45534.38223357638</v>
      </c>
      <c r="B7447" s="5" t="s">
        <v>34</v>
      </c>
      <c r="D7447" s="5" t="s">
        <v>4775</v>
      </c>
      <c r="E7447" s="5" t="s">
        <v>15606</v>
      </c>
      <c r="F7447" s="5" t="s">
        <v>375</v>
      </c>
      <c r="G7447" s="5" t="s">
        <v>47296</v>
      </c>
      <c r="H7447" s="6" t="s">
        <v>47297</v>
      </c>
      <c r="K7447" s="5" t="s">
        <v>47288</v>
      </c>
    </row>
    <row r="7448">
      <c r="A7448" s="4">
        <v>45534.38223444445</v>
      </c>
      <c r="B7448" s="5" t="s">
        <v>34</v>
      </c>
      <c r="D7448" s="5" t="s">
        <v>996</v>
      </c>
      <c r="E7448" s="5" t="s">
        <v>47301</v>
      </c>
      <c r="F7448" s="5" t="s">
        <v>37</v>
      </c>
      <c r="G7448" s="5" t="s">
        <v>47302</v>
      </c>
      <c r="H7448" s="6" t="s">
        <v>47303</v>
      </c>
      <c r="K7448" s="5" t="s">
        <v>47288</v>
      </c>
    </row>
    <row r="7449">
      <c r="A7449" s="4">
        <v>45534.38225461806</v>
      </c>
      <c r="B7449" s="5" t="s">
        <v>34</v>
      </c>
      <c r="D7449" s="5" t="s">
        <v>3849</v>
      </c>
      <c r="E7449" s="5" t="s">
        <v>47306</v>
      </c>
      <c r="F7449" s="5" t="s">
        <v>37</v>
      </c>
      <c r="G7449" s="5" t="s">
        <v>47307</v>
      </c>
      <c r="H7449" s="6" t="s">
        <v>47308</v>
      </c>
      <c r="K7449" s="5" t="s">
        <v>47309</v>
      </c>
    </row>
    <row r="7450">
      <c r="A7450" s="4">
        <v>45534.382254780096</v>
      </c>
      <c r="B7450" s="5" t="s">
        <v>34</v>
      </c>
      <c r="D7450" s="5" t="s">
        <v>4775</v>
      </c>
      <c r="E7450" s="5" t="s">
        <v>47312</v>
      </c>
      <c r="F7450" s="5" t="s">
        <v>524</v>
      </c>
      <c r="G7450" s="5" t="s">
        <v>47313</v>
      </c>
      <c r="H7450" s="6" t="s">
        <v>47314</v>
      </c>
      <c r="K7450" s="5" t="s">
        <v>47309</v>
      </c>
    </row>
    <row r="7451">
      <c r="A7451" s="4">
        <v>45534.38225564815</v>
      </c>
      <c r="B7451" s="5" t="s">
        <v>34</v>
      </c>
      <c r="D7451" s="5" t="s">
        <v>1206</v>
      </c>
      <c r="E7451" s="5" t="s">
        <v>47317</v>
      </c>
      <c r="F7451" s="5" t="s">
        <v>375</v>
      </c>
      <c r="G7451" s="5" t="s">
        <v>47318</v>
      </c>
      <c r="H7451" s="6" t="s">
        <v>47319</v>
      </c>
      <c r="K7451" s="5" t="s">
        <v>47309</v>
      </c>
    </row>
    <row r="7452">
      <c r="A7452" s="4">
        <v>45534.38227981482</v>
      </c>
      <c r="B7452" s="5" t="s">
        <v>34</v>
      </c>
      <c r="D7452" s="5" t="s">
        <v>12978</v>
      </c>
      <c r="E7452" s="5" t="s">
        <v>47323</v>
      </c>
      <c r="F7452" s="5" t="s">
        <v>212</v>
      </c>
      <c r="G7452" s="5" t="s">
        <v>47324</v>
      </c>
      <c r="H7452" s="6" t="s">
        <v>47325</v>
      </c>
      <c r="K7452" s="5" t="s">
        <v>47326</v>
      </c>
    </row>
    <row r="7453">
      <c r="A7453" s="4">
        <v>45534.38228034722</v>
      </c>
      <c r="B7453" s="5" t="s">
        <v>34</v>
      </c>
      <c r="D7453" s="5" t="s">
        <v>9020</v>
      </c>
      <c r="E7453" s="5" t="s">
        <v>47329</v>
      </c>
      <c r="F7453" s="5" t="s">
        <v>37</v>
      </c>
      <c r="G7453" s="5" t="s">
        <v>47330</v>
      </c>
      <c r="H7453" s="6" t="s">
        <v>47331</v>
      </c>
      <c r="K7453" s="5" t="s">
        <v>47326</v>
      </c>
    </row>
    <row r="7454">
      <c r="A7454" s="4">
        <v>45534.3822859838</v>
      </c>
      <c r="B7454" s="5" t="s">
        <v>19</v>
      </c>
      <c r="C7454" s="5" t="s">
        <v>466</v>
      </c>
      <c r="E7454" s="5" t="s">
        <v>47334</v>
      </c>
      <c r="F7454" s="5" t="s">
        <v>120</v>
      </c>
      <c r="G7454" s="5" t="s">
        <v>47335</v>
      </c>
      <c r="H7454" s="6" t="s">
        <v>47336</v>
      </c>
      <c r="K7454" s="5" t="s">
        <v>47326</v>
      </c>
    </row>
    <row r="7455">
      <c r="A7455" s="4">
        <v>45534.38231100695</v>
      </c>
      <c r="B7455" s="5" t="s">
        <v>34</v>
      </c>
      <c r="D7455" s="5" t="s">
        <v>9020</v>
      </c>
      <c r="E7455" s="5" t="s">
        <v>47339</v>
      </c>
      <c r="F7455" s="5" t="s">
        <v>72</v>
      </c>
      <c r="G7455" s="5" t="s">
        <v>47340</v>
      </c>
      <c r="H7455" s="6" t="s">
        <v>47341</v>
      </c>
      <c r="K7455" s="5" t="s">
        <v>47342</v>
      </c>
    </row>
    <row r="7456">
      <c r="A7456" s="4">
        <v>45534.38232020833</v>
      </c>
      <c r="B7456" s="5" t="s">
        <v>34</v>
      </c>
      <c r="D7456" s="5" t="s">
        <v>4775</v>
      </c>
      <c r="E7456" s="5" t="s">
        <v>47346</v>
      </c>
      <c r="F7456" s="5" t="s">
        <v>5859</v>
      </c>
      <c r="G7456" s="5" t="s">
        <v>47347</v>
      </c>
      <c r="H7456" s="6" t="s">
        <v>47348</v>
      </c>
      <c r="K7456" s="5" t="s">
        <v>47342</v>
      </c>
    </row>
    <row r="7457">
      <c r="A7457" s="4">
        <v>45534.38233150463</v>
      </c>
      <c r="B7457" s="5" t="s">
        <v>19</v>
      </c>
      <c r="C7457" s="5" t="s">
        <v>45988</v>
      </c>
      <c r="E7457" s="5" t="s">
        <v>47351</v>
      </c>
      <c r="F7457" s="5" t="s">
        <v>108</v>
      </c>
      <c r="G7457" s="5" t="s">
        <v>47352</v>
      </c>
      <c r="H7457" s="6" t="s">
        <v>47353</v>
      </c>
      <c r="K7457" s="5" t="s">
        <v>47354</v>
      </c>
    </row>
    <row r="7458">
      <c r="A7458" s="4">
        <v>45534.38234243056</v>
      </c>
      <c r="B7458" s="5" t="s">
        <v>34</v>
      </c>
      <c r="D7458" s="5" t="s">
        <v>522</v>
      </c>
      <c r="E7458" s="5" t="s">
        <v>47357</v>
      </c>
      <c r="F7458" s="5" t="s">
        <v>524</v>
      </c>
      <c r="G7458" s="5" t="s">
        <v>47358</v>
      </c>
      <c r="H7458" s="6" t="s">
        <v>47359</v>
      </c>
      <c r="K7458" s="5" t="s">
        <v>47354</v>
      </c>
    </row>
    <row r="7459">
      <c r="A7459" s="4">
        <v>45534.382357106486</v>
      </c>
      <c r="B7459" s="5" t="s">
        <v>34</v>
      </c>
      <c r="D7459" s="5" t="s">
        <v>1206</v>
      </c>
      <c r="E7459" s="5" t="s">
        <v>47362</v>
      </c>
      <c r="F7459" s="5" t="s">
        <v>524</v>
      </c>
      <c r="G7459" s="5" t="s">
        <v>47363</v>
      </c>
      <c r="H7459" s="6" t="s">
        <v>47364</v>
      </c>
      <c r="K7459" s="5" t="s">
        <v>47354</v>
      </c>
    </row>
    <row r="7460">
      <c r="A7460" s="4">
        <v>45534.38237141204</v>
      </c>
      <c r="B7460" s="5" t="s">
        <v>34</v>
      </c>
      <c r="D7460" s="5" t="s">
        <v>1558</v>
      </c>
      <c r="E7460" s="5" t="s">
        <v>47368</v>
      </c>
      <c r="F7460" s="5" t="s">
        <v>212</v>
      </c>
      <c r="G7460" s="5" t="s">
        <v>47369</v>
      </c>
      <c r="H7460" s="6" t="s">
        <v>47370</v>
      </c>
      <c r="K7460" s="5" t="s">
        <v>47371</v>
      </c>
    </row>
    <row r="7461">
      <c r="A7461" s="4">
        <v>45534.382402766205</v>
      </c>
      <c r="B7461" s="5" t="s">
        <v>34</v>
      </c>
      <c r="D7461" s="5" t="s">
        <v>1206</v>
      </c>
      <c r="E7461" s="5" t="s">
        <v>47374</v>
      </c>
      <c r="F7461" s="5" t="s">
        <v>212</v>
      </c>
      <c r="G7461" s="5" t="s">
        <v>47375</v>
      </c>
      <c r="H7461" s="6" t="s">
        <v>47376</v>
      </c>
      <c r="K7461" s="5" t="s">
        <v>47377</v>
      </c>
    </row>
    <row r="7462">
      <c r="A7462" s="4">
        <v>45534.3824071875</v>
      </c>
      <c r="B7462" s="5" t="s">
        <v>34</v>
      </c>
      <c r="D7462" s="5" t="s">
        <v>580</v>
      </c>
      <c r="E7462" s="5" t="s">
        <v>47380</v>
      </c>
      <c r="F7462" s="5" t="s">
        <v>212</v>
      </c>
      <c r="G7462" s="5" t="s">
        <v>47381</v>
      </c>
      <c r="H7462" s="6" t="s">
        <v>47382</v>
      </c>
      <c r="K7462" s="5" t="s">
        <v>47377</v>
      </c>
    </row>
    <row r="7463">
      <c r="A7463" s="4">
        <v>45534.38240984954</v>
      </c>
      <c r="B7463" s="5" t="s">
        <v>34</v>
      </c>
      <c r="D7463" s="5" t="s">
        <v>14424</v>
      </c>
      <c r="E7463" s="5" t="s">
        <v>47385</v>
      </c>
      <c r="F7463" s="5" t="s">
        <v>524</v>
      </c>
      <c r="G7463" s="5" t="s">
        <v>47386</v>
      </c>
      <c r="H7463" s="6" t="s">
        <v>47387</v>
      </c>
      <c r="K7463" s="5" t="s">
        <v>47377</v>
      </c>
    </row>
    <row r="7464">
      <c r="A7464" s="4">
        <v>45534.38243578703</v>
      </c>
      <c r="B7464" s="5" t="s">
        <v>34</v>
      </c>
      <c r="D7464" s="5" t="s">
        <v>280</v>
      </c>
      <c r="E7464" s="5" t="s">
        <v>47391</v>
      </c>
      <c r="F7464" s="5" t="s">
        <v>37</v>
      </c>
      <c r="G7464" s="5" t="s">
        <v>47392</v>
      </c>
      <c r="H7464" s="6" t="s">
        <v>47393</v>
      </c>
      <c r="K7464" s="5" t="s">
        <v>47377</v>
      </c>
    </row>
    <row r="7465">
      <c r="A7465" s="4">
        <v>45534.38244796296</v>
      </c>
      <c r="B7465" s="5" t="s">
        <v>34</v>
      </c>
      <c r="D7465" s="5" t="s">
        <v>9020</v>
      </c>
      <c r="E7465" s="5" t="s">
        <v>47396</v>
      </c>
      <c r="F7465" s="5" t="s">
        <v>375</v>
      </c>
      <c r="G7465" s="5" t="s">
        <v>47397</v>
      </c>
      <c r="H7465" s="6" t="s">
        <v>47398</v>
      </c>
      <c r="K7465" s="5" t="s">
        <v>47377</v>
      </c>
    </row>
    <row r="7466">
      <c r="A7466" s="4">
        <v>45534.38245534722</v>
      </c>
      <c r="B7466" s="5" t="s">
        <v>34</v>
      </c>
      <c r="D7466" s="5" t="s">
        <v>280</v>
      </c>
      <c r="E7466" s="5" t="s">
        <v>47401</v>
      </c>
      <c r="F7466" s="5" t="s">
        <v>37</v>
      </c>
      <c r="G7466" s="5" t="s">
        <v>47402</v>
      </c>
      <c r="H7466" s="6" t="s">
        <v>47403</v>
      </c>
      <c r="K7466" s="5" t="s">
        <v>47377</v>
      </c>
    </row>
    <row r="7467">
      <c r="A7467" s="4">
        <v>45534.38246826389</v>
      </c>
      <c r="B7467" s="5" t="s">
        <v>19</v>
      </c>
      <c r="C7467" s="5" t="s">
        <v>292</v>
      </c>
      <c r="E7467" s="5" t="s">
        <v>47406</v>
      </c>
      <c r="F7467" s="5" t="s">
        <v>375</v>
      </c>
      <c r="G7467" s="5" t="s">
        <v>47407</v>
      </c>
      <c r="H7467" s="6" t="s">
        <v>47408</v>
      </c>
      <c r="K7467" s="5" t="s">
        <v>47409</v>
      </c>
    </row>
    <row r="7468">
      <c r="A7468" s="4">
        <v>45534.38249773148</v>
      </c>
      <c r="B7468" s="5" t="s">
        <v>34</v>
      </c>
      <c r="D7468" s="5" t="s">
        <v>1206</v>
      </c>
      <c r="E7468" s="5" t="s">
        <v>47412</v>
      </c>
      <c r="F7468" s="5" t="s">
        <v>375</v>
      </c>
      <c r="G7468" s="5" t="s">
        <v>47413</v>
      </c>
      <c r="H7468" s="6" t="s">
        <v>47414</v>
      </c>
      <c r="K7468" s="5" t="s">
        <v>47415</v>
      </c>
    </row>
    <row r="7469">
      <c r="A7469" s="4">
        <v>45534.38251418981</v>
      </c>
      <c r="B7469" s="5" t="s">
        <v>34</v>
      </c>
      <c r="D7469" s="5" t="s">
        <v>1206</v>
      </c>
      <c r="E7469" s="5" t="s">
        <v>47419</v>
      </c>
      <c r="F7469" s="5" t="s">
        <v>108</v>
      </c>
      <c r="G7469" s="5" t="s">
        <v>47420</v>
      </c>
      <c r="H7469" s="6" t="s">
        <v>47421</v>
      </c>
      <c r="K7469" s="5" t="s">
        <v>47415</v>
      </c>
    </row>
    <row r="7470">
      <c r="A7470" s="4">
        <v>45534.38253174769</v>
      </c>
      <c r="B7470" s="5" t="s">
        <v>19</v>
      </c>
      <c r="C7470" s="5" t="s">
        <v>292</v>
      </c>
      <c r="E7470" s="5" t="s">
        <v>47424</v>
      </c>
      <c r="F7470" s="5" t="s">
        <v>328</v>
      </c>
      <c r="G7470" s="5" t="s">
        <v>47425</v>
      </c>
      <c r="H7470" s="6" t="s">
        <v>47426</v>
      </c>
      <c r="K7470" s="5" t="s">
        <v>47415</v>
      </c>
    </row>
    <row r="7471">
      <c r="A7471" s="4">
        <v>45534.382532986114</v>
      </c>
      <c r="B7471" s="5" t="s">
        <v>34</v>
      </c>
      <c r="D7471" s="5" t="s">
        <v>2903</v>
      </c>
      <c r="E7471" s="5" t="s">
        <v>47429</v>
      </c>
      <c r="F7471" s="5" t="s">
        <v>108</v>
      </c>
      <c r="G7471" s="5" t="s">
        <v>47430</v>
      </c>
      <c r="H7471" s="6" t="s">
        <v>47431</v>
      </c>
      <c r="K7471" s="5" t="s">
        <v>47415</v>
      </c>
    </row>
    <row r="7472">
      <c r="A7472" s="4">
        <v>45534.38253792824</v>
      </c>
      <c r="B7472" s="5" t="s">
        <v>34</v>
      </c>
      <c r="D7472" s="5" t="s">
        <v>9020</v>
      </c>
      <c r="E7472" s="5" t="s">
        <v>47434</v>
      </c>
      <c r="F7472" s="5" t="s">
        <v>120</v>
      </c>
      <c r="G7472" s="5" t="s">
        <v>47435</v>
      </c>
      <c r="H7472" s="6" t="s">
        <v>47436</v>
      </c>
      <c r="K7472" s="5" t="s">
        <v>47415</v>
      </c>
    </row>
    <row r="7473">
      <c r="A7473" s="4">
        <v>45534.38254457176</v>
      </c>
      <c r="B7473" s="5" t="s">
        <v>34</v>
      </c>
      <c r="D7473" s="5" t="s">
        <v>1558</v>
      </c>
      <c r="E7473" s="5" t="s">
        <v>47439</v>
      </c>
      <c r="F7473" s="5" t="s">
        <v>212</v>
      </c>
      <c r="G7473" s="5" t="s">
        <v>47440</v>
      </c>
      <c r="H7473" s="6" t="s">
        <v>47441</v>
      </c>
      <c r="K7473" s="5" t="s">
        <v>47415</v>
      </c>
    </row>
    <row r="7474">
      <c r="A7474" s="4">
        <v>45534.38254805555</v>
      </c>
      <c r="B7474" s="5" t="s">
        <v>19</v>
      </c>
      <c r="C7474" s="5" t="s">
        <v>45988</v>
      </c>
      <c r="E7474" s="5" t="s">
        <v>47445</v>
      </c>
      <c r="F7474" s="5" t="s">
        <v>375</v>
      </c>
      <c r="G7474" s="5" t="s">
        <v>47446</v>
      </c>
      <c r="H7474" s="6" t="s">
        <v>47447</v>
      </c>
      <c r="K7474" s="5" t="s">
        <v>47415</v>
      </c>
    </row>
    <row r="7475">
      <c r="A7475" s="4">
        <v>45534.38255925926</v>
      </c>
      <c r="B7475" s="5" t="s">
        <v>34</v>
      </c>
      <c r="D7475" s="5" t="s">
        <v>996</v>
      </c>
      <c r="E7475" s="5" t="s">
        <v>47450</v>
      </c>
      <c r="F7475" s="5" t="s">
        <v>212</v>
      </c>
      <c r="G7475" s="5" t="s">
        <v>47451</v>
      </c>
      <c r="H7475" s="6" t="s">
        <v>47452</v>
      </c>
      <c r="K7475" s="5" t="s">
        <v>47415</v>
      </c>
    </row>
    <row r="7476">
      <c r="A7476" s="4">
        <v>45534.38256438657</v>
      </c>
      <c r="B7476" s="5" t="s">
        <v>34</v>
      </c>
      <c r="D7476" s="5" t="s">
        <v>1206</v>
      </c>
      <c r="E7476" s="5" t="s">
        <v>47455</v>
      </c>
      <c r="F7476" s="5" t="s">
        <v>212</v>
      </c>
      <c r="G7476" s="5" t="s">
        <v>47456</v>
      </c>
      <c r="H7476" s="6" t="s">
        <v>47457</v>
      </c>
      <c r="K7476" s="5" t="s">
        <v>47415</v>
      </c>
    </row>
    <row r="7477">
      <c r="A7477" s="4">
        <v>45534.382567569446</v>
      </c>
      <c r="B7477" s="5" t="s">
        <v>34</v>
      </c>
      <c r="D7477" s="5" t="s">
        <v>10444</v>
      </c>
      <c r="E7477" s="5" t="s">
        <v>47460</v>
      </c>
      <c r="F7477" s="5" t="s">
        <v>715</v>
      </c>
      <c r="G7477" s="5" t="s">
        <v>47461</v>
      </c>
      <c r="H7477" s="6" t="s">
        <v>47462</v>
      </c>
      <c r="K7477" s="5" t="s">
        <v>47463</v>
      </c>
    </row>
    <row r="7478">
      <c r="A7478" s="4">
        <v>45534.38257972222</v>
      </c>
      <c r="B7478" s="5" t="s">
        <v>34</v>
      </c>
      <c r="D7478" s="5" t="s">
        <v>9020</v>
      </c>
      <c r="E7478" s="5" t="s">
        <v>47466</v>
      </c>
      <c r="F7478" s="5" t="s">
        <v>212</v>
      </c>
      <c r="G7478" s="5" t="s">
        <v>47467</v>
      </c>
      <c r="H7478" s="6" t="s">
        <v>47468</v>
      </c>
      <c r="K7478" s="5" t="s">
        <v>47463</v>
      </c>
    </row>
    <row r="7479">
      <c r="A7479" s="4">
        <v>45534.382581087964</v>
      </c>
      <c r="B7479" s="5" t="s">
        <v>34</v>
      </c>
      <c r="D7479" s="5" t="s">
        <v>1558</v>
      </c>
      <c r="E7479" s="5" t="s">
        <v>47472</v>
      </c>
      <c r="F7479" s="5" t="s">
        <v>108</v>
      </c>
      <c r="G7479" s="5" t="s">
        <v>47473</v>
      </c>
      <c r="H7479" s="6" t="s">
        <v>47474</v>
      </c>
      <c r="K7479" s="5" t="s">
        <v>47463</v>
      </c>
    </row>
    <row r="7480">
      <c r="A7480" s="4">
        <v>45534.38258358796</v>
      </c>
      <c r="B7480" s="5" t="s">
        <v>34</v>
      </c>
      <c r="D7480" s="5" t="s">
        <v>35</v>
      </c>
      <c r="E7480" s="5" t="s">
        <v>47477</v>
      </c>
      <c r="F7480" s="5" t="s">
        <v>524</v>
      </c>
      <c r="G7480" s="5" t="s">
        <v>47478</v>
      </c>
      <c r="H7480" s="6" t="s">
        <v>47479</v>
      </c>
      <c r="K7480" s="5" t="s">
        <v>47463</v>
      </c>
    </row>
    <row r="7481">
      <c r="A7481" s="4">
        <v>45534.382604074075</v>
      </c>
      <c r="B7481" s="5" t="s">
        <v>34</v>
      </c>
      <c r="D7481" s="5" t="s">
        <v>1206</v>
      </c>
      <c r="E7481" s="5" t="s">
        <v>47483</v>
      </c>
      <c r="F7481" s="5" t="s">
        <v>212</v>
      </c>
      <c r="G7481" s="5" t="s">
        <v>47484</v>
      </c>
      <c r="H7481" s="6" t="s">
        <v>47485</v>
      </c>
      <c r="K7481" s="5" t="s">
        <v>47486</v>
      </c>
    </row>
    <row r="7482">
      <c r="A7482" s="4">
        <v>45534.38261598379</v>
      </c>
      <c r="B7482" s="5" t="s">
        <v>19</v>
      </c>
      <c r="C7482" s="5" t="s">
        <v>5564</v>
      </c>
      <c r="E7482" s="5" t="s">
        <v>47489</v>
      </c>
      <c r="F7482" s="5" t="s">
        <v>120</v>
      </c>
      <c r="G7482" s="5" t="s">
        <v>47490</v>
      </c>
      <c r="H7482" s="6" t="s">
        <v>47491</v>
      </c>
      <c r="K7482" s="5" t="s">
        <v>47486</v>
      </c>
    </row>
    <row r="7483">
      <c r="A7483" s="4">
        <v>45534.38261966435</v>
      </c>
      <c r="B7483" s="5" t="s">
        <v>34</v>
      </c>
      <c r="D7483" s="5" t="s">
        <v>10444</v>
      </c>
      <c r="E7483" s="5" t="s">
        <v>47494</v>
      </c>
      <c r="F7483" s="5" t="s">
        <v>108</v>
      </c>
      <c r="G7483" s="5" t="s">
        <v>47495</v>
      </c>
      <c r="H7483" s="6" t="s">
        <v>47496</v>
      </c>
      <c r="K7483" s="5" t="s">
        <v>47486</v>
      </c>
    </row>
    <row r="7484">
      <c r="A7484" s="4">
        <v>45534.3826365162</v>
      </c>
      <c r="B7484" s="5" t="s">
        <v>34</v>
      </c>
      <c r="D7484" s="5" t="s">
        <v>1206</v>
      </c>
      <c r="E7484" s="5" t="s">
        <v>47500</v>
      </c>
      <c r="F7484" s="5" t="s">
        <v>212</v>
      </c>
      <c r="G7484" s="5" t="s">
        <v>47501</v>
      </c>
      <c r="H7484" s="6" t="s">
        <v>47502</v>
      </c>
      <c r="K7484" s="5" t="s">
        <v>47503</v>
      </c>
    </row>
    <row r="7485">
      <c r="A7485" s="4">
        <v>45534.38263778936</v>
      </c>
      <c r="B7485" s="5" t="s">
        <v>34</v>
      </c>
      <c r="D7485" s="5" t="s">
        <v>14424</v>
      </c>
      <c r="E7485" s="5" t="s">
        <v>47507</v>
      </c>
      <c r="F7485" s="5" t="s">
        <v>524</v>
      </c>
      <c r="G7485" s="5" t="s">
        <v>47508</v>
      </c>
      <c r="H7485" s="6" t="s">
        <v>47509</v>
      </c>
      <c r="K7485" s="5" t="s">
        <v>47503</v>
      </c>
    </row>
    <row r="7486">
      <c r="A7486" s="4">
        <v>45534.38265621528</v>
      </c>
      <c r="B7486" s="5" t="s">
        <v>34</v>
      </c>
      <c r="D7486" s="5" t="s">
        <v>15401</v>
      </c>
      <c r="E7486" s="5" t="s">
        <v>47512</v>
      </c>
      <c r="F7486" s="5" t="s">
        <v>37</v>
      </c>
      <c r="G7486" s="5" t="s">
        <v>47513</v>
      </c>
      <c r="H7486" s="6" t="s">
        <v>47514</v>
      </c>
      <c r="K7486" s="5" t="s">
        <v>47503</v>
      </c>
    </row>
    <row r="7487">
      <c r="A7487" s="4">
        <v>45534.382667199076</v>
      </c>
      <c r="B7487" s="5" t="s">
        <v>34</v>
      </c>
      <c r="D7487" s="5" t="s">
        <v>4775</v>
      </c>
      <c r="E7487" s="5" t="s">
        <v>47518</v>
      </c>
      <c r="F7487" s="5" t="s">
        <v>375</v>
      </c>
      <c r="G7487" s="5" t="s">
        <v>47519</v>
      </c>
      <c r="H7487" s="6" t="s">
        <v>47520</v>
      </c>
      <c r="K7487" s="5" t="s">
        <v>47503</v>
      </c>
    </row>
    <row r="7488">
      <c r="A7488" s="4">
        <v>45534.38267202546</v>
      </c>
      <c r="B7488" s="5" t="s">
        <v>34</v>
      </c>
      <c r="D7488" s="5" t="s">
        <v>4775</v>
      </c>
      <c r="E7488" s="5" t="s">
        <v>47523</v>
      </c>
      <c r="F7488" s="5" t="s">
        <v>524</v>
      </c>
      <c r="G7488" s="5" t="s">
        <v>47524</v>
      </c>
      <c r="H7488" s="6" t="s">
        <v>47525</v>
      </c>
      <c r="K7488" s="5" t="s">
        <v>47503</v>
      </c>
    </row>
    <row r="7489">
      <c r="A7489" s="4">
        <v>45534.38268142361</v>
      </c>
      <c r="B7489" s="5" t="s">
        <v>19</v>
      </c>
      <c r="C7489" s="5" t="s">
        <v>32901</v>
      </c>
      <c r="E7489" s="5" t="s">
        <v>47528</v>
      </c>
      <c r="F7489" s="5" t="s">
        <v>798</v>
      </c>
      <c r="G7489" s="5" t="s">
        <v>47529</v>
      </c>
      <c r="H7489" s="6" t="s">
        <v>47530</v>
      </c>
      <c r="K7489" s="5" t="s">
        <v>47503</v>
      </c>
    </row>
    <row r="7490">
      <c r="A7490" s="4">
        <v>45534.38268618056</v>
      </c>
      <c r="B7490" s="5" t="s">
        <v>34</v>
      </c>
      <c r="D7490" s="5" t="s">
        <v>1206</v>
      </c>
      <c r="E7490" s="5" t="s">
        <v>47533</v>
      </c>
      <c r="F7490" s="5" t="s">
        <v>375</v>
      </c>
      <c r="G7490" s="5" t="s">
        <v>47534</v>
      </c>
      <c r="H7490" s="6" t="s">
        <v>47535</v>
      </c>
      <c r="K7490" s="5" t="s">
        <v>47503</v>
      </c>
    </row>
    <row r="7491">
      <c r="A7491" s="4">
        <v>45534.38272695601</v>
      </c>
      <c r="B7491" s="5" t="s">
        <v>34</v>
      </c>
      <c r="D7491" s="5" t="s">
        <v>1558</v>
      </c>
      <c r="E7491" s="5" t="s">
        <v>47539</v>
      </c>
      <c r="F7491" s="5" t="s">
        <v>72</v>
      </c>
      <c r="G7491" s="5" t="s">
        <v>47540</v>
      </c>
      <c r="H7491" s="6" t="s">
        <v>47541</v>
      </c>
      <c r="K7491" s="5" t="s">
        <v>47542</v>
      </c>
    </row>
    <row r="7492">
      <c r="A7492" s="4">
        <v>45534.38273946759</v>
      </c>
      <c r="B7492" s="5" t="s">
        <v>34</v>
      </c>
      <c r="D7492" s="5" t="s">
        <v>1206</v>
      </c>
      <c r="E7492" s="5" t="s">
        <v>47545</v>
      </c>
      <c r="F7492" s="5" t="s">
        <v>37</v>
      </c>
      <c r="G7492" s="5" t="s">
        <v>47546</v>
      </c>
      <c r="H7492" s="6" t="s">
        <v>47547</v>
      </c>
      <c r="K7492" s="5" t="s">
        <v>47548</v>
      </c>
    </row>
    <row r="7493">
      <c r="A7493" s="4">
        <v>45534.38274565972</v>
      </c>
      <c r="B7493" s="5" t="s">
        <v>34</v>
      </c>
      <c r="D7493" s="5" t="s">
        <v>522</v>
      </c>
      <c r="E7493" s="5" t="s">
        <v>47551</v>
      </c>
      <c r="F7493" s="5" t="s">
        <v>328</v>
      </c>
      <c r="G7493" s="5" t="s">
        <v>47552</v>
      </c>
      <c r="H7493" s="6" t="s">
        <v>47553</v>
      </c>
      <c r="K7493" s="5" t="s">
        <v>47554</v>
      </c>
    </row>
    <row r="7494">
      <c r="A7494" s="4">
        <v>45534.38275333334</v>
      </c>
      <c r="B7494" s="5" t="s">
        <v>34</v>
      </c>
      <c r="D7494" s="5" t="s">
        <v>4775</v>
      </c>
      <c r="E7494" s="5" t="s">
        <v>24314</v>
      </c>
      <c r="F7494" s="5" t="s">
        <v>328</v>
      </c>
      <c r="G7494" s="5" t="s">
        <v>47558</v>
      </c>
      <c r="H7494" s="6" t="s">
        <v>47559</v>
      </c>
      <c r="K7494" s="5" t="s">
        <v>47554</v>
      </c>
    </row>
    <row r="7495">
      <c r="A7495" s="4">
        <v>45534.382756562496</v>
      </c>
      <c r="B7495" s="5" t="s">
        <v>34</v>
      </c>
      <c r="D7495" s="5" t="s">
        <v>1558</v>
      </c>
      <c r="E7495" s="5" t="s">
        <v>47562</v>
      </c>
      <c r="F7495" s="5" t="s">
        <v>212</v>
      </c>
      <c r="G7495" s="5" t="s">
        <v>47563</v>
      </c>
      <c r="H7495" s="6" t="s">
        <v>47564</v>
      </c>
      <c r="K7495" s="5" t="s">
        <v>47554</v>
      </c>
    </row>
    <row r="7496">
      <c r="A7496" s="4">
        <v>45534.38279314815</v>
      </c>
      <c r="B7496" s="5" t="s">
        <v>34</v>
      </c>
      <c r="D7496" s="5" t="s">
        <v>4775</v>
      </c>
      <c r="E7496" s="5" t="s">
        <v>47567</v>
      </c>
      <c r="F7496" s="5" t="s">
        <v>37</v>
      </c>
      <c r="G7496" s="5" t="s">
        <v>47568</v>
      </c>
      <c r="H7496" s="6" t="s">
        <v>47569</v>
      </c>
      <c r="K7496" s="5" t="s">
        <v>47554</v>
      </c>
    </row>
    <row r="7497">
      <c r="A7497" s="4">
        <v>45534.382798819446</v>
      </c>
      <c r="B7497" s="5" t="s">
        <v>34</v>
      </c>
      <c r="D7497" s="5" t="s">
        <v>1206</v>
      </c>
      <c r="E7497" s="5" t="s">
        <v>47572</v>
      </c>
      <c r="F7497" s="5" t="s">
        <v>37</v>
      </c>
      <c r="G7497" s="5" t="s">
        <v>47573</v>
      </c>
      <c r="H7497" s="6" t="s">
        <v>47574</v>
      </c>
      <c r="K7497" s="5" t="s">
        <v>47554</v>
      </c>
    </row>
    <row r="7498">
      <c r="A7498" s="4">
        <v>45534.38281178241</v>
      </c>
      <c r="B7498" s="5" t="s">
        <v>19</v>
      </c>
      <c r="C7498" s="5" t="s">
        <v>292</v>
      </c>
      <c r="E7498" s="5" t="s">
        <v>47578</v>
      </c>
      <c r="F7498" s="5" t="s">
        <v>6776</v>
      </c>
      <c r="G7498" s="5" t="s">
        <v>47579</v>
      </c>
      <c r="H7498" s="6" t="s">
        <v>47580</v>
      </c>
      <c r="K7498" s="5" t="s">
        <v>47581</v>
      </c>
    </row>
    <row r="7499">
      <c r="A7499" s="4">
        <v>45534.38282215278</v>
      </c>
      <c r="B7499" s="5" t="s">
        <v>34</v>
      </c>
      <c r="D7499" s="5" t="s">
        <v>14424</v>
      </c>
      <c r="E7499" s="5" t="s">
        <v>47585</v>
      </c>
      <c r="F7499" s="5" t="s">
        <v>524</v>
      </c>
      <c r="G7499" s="5" t="s">
        <v>47586</v>
      </c>
      <c r="H7499" s="6" t="s">
        <v>47587</v>
      </c>
      <c r="K7499" s="5" t="s">
        <v>47581</v>
      </c>
    </row>
    <row r="7500">
      <c r="A7500" s="4">
        <v>45534.3828234838</v>
      </c>
      <c r="B7500" s="5" t="s">
        <v>19</v>
      </c>
      <c r="C7500" s="5" t="s">
        <v>5564</v>
      </c>
      <c r="E7500" s="5" t="s">
        <v>47590</v>
      </c>
      <c r="F7500" s="5" t="s">
        <v>212</v>
      </c>
      <c r="G7500" s="5" t="s">
        <v>47591</v>
      </c>
      <c r="H7500" s="6" t="s">
        <v>47592</v>
      </c>
      <c r="K7500" s="5" t="s">
        <v>47581</v>
      </c>
    </row>
    <row r="7501">
      <c r="A7501" s="4">
        <v>45534.38284361111</v>
      </c>
      <c r="B7501" s="5" t="s">
        <v>34</v>
      </c>
      <c r="D7501" s="5" t="s">
        <v>1206</v>
      </c>
      <c r="E7501" s="5" t="s">
        <v>47596</v>
      </c>
      <c r="F7501" s="5" t="s">
        <v>37</v>
      </c>
      <c r="G7501" s="5" t="s">
        <v>47597</v>
      </c>
      <c r="H7501" s="6" t="s">
        <v>47598</v>
      </c>
      <c r="K7501" s="5" t="s">
        <v>47599</v>
      </c>
    </row>
    <row r="7502">
      <c r="A7502" s="4">
        <v>45534.38284681713</v>
      </c>
      <c r="B7502" s="5" t="s">
        <v>34</v>
      </c>
      <c r="D7502" s="5" t="s">
        <v>975</v>
      </c>
      <c r="E7502" s="5" t="s">
        <v>47602</v>
      </c>
      <c r="F7502" s="5" t="s">
        <v>37</v>
      </c>
      <c r="G7502" s="5" t="s">
        <v>47603</v>
      </c>
      <c r="H7502" s="6" t="s">
        <v>47604</v>
      </c>
      <c r="K7502" s="5" t="s">
        <v>47599</v>
      </c>
    </row>
    <row r="7503">
      <c r="A7503" s="4">
        <v>45534.382854930554</v>
      </c>
      <c r="B7503" s="5" t="s">
        <v>34</v>
      </c>
      <c r="D7503" s="5" t="s">
        <v>2903</v>
      </c>
      <c r="E7503" s="5" t="s">
        <v>47607</v>
      </c>
      <c r="F7503" s="5" t="s">
        <v>37</v>
      </c>
      <c r="G7503" s="5" t="s">
        <v>47608</v>
      </c>
      <c r="H7503" s="6" t="s">
        <v>47609</v>
      </c>
      <c r="K7503" s="5" t="s">
        <v>47599</v>
      </c>
    </row>
    <row r="7504">
      <c r="A7504" s="4">
        <v>45534.38287596065</v>
      </c>
      <c r="B7504" s="5" t="s">
        <v>34</v>
      </c>
      <c r="D7504" s="5" t="s">
        <v>4775</v>
      </c>
      <c r="E7504" s="5" t="s">
        <v>47612</v>
      </c>
      <c r="F7504" s="5" t="s">
        <v>37</v>
      </c>
      <c r="G7504" s="5" t="s">
        <v>47613</v>
      </c>
      <c r="H7504" s="6" t="s">
        <v>47614</v>
      </c>
      <c r="K7504" s="5" t="s">
        <v>47615</v>
      </c>
    </row>
    <row r="7505">
      <c r="A7505" s="4">
        <v>45534.38288146991</v>
      </c>
      <c r="B7505" s="5" t="s">
        <v>34</v>
      </c>
      <c r="D7505" s="5" t="s">
        <v>9020</v>
      </c>
      <c r="E7505" s="5" t="s">
        <v>47619</v>
      </c>
      <c r="F7505" s="5" t="s">
        <v>212</v>
      </c>
      <c r="G7505" s="5" t="s">
        <v>47620</v>
      </c>
      <c r="H7505" s="6" t="s">
        <v>47621</v>
      </c>
      <c r="K7505" s="5" t="s">
        <v>47615</v>
      </c>
    </row>
    <row r="7506">
      <c r="A7506" s="4">
        <v>45534.38291717593</v>
      </c>
      <c r="B7506" s="5" t="s">
        <v>34</v>
      </c>
      <c r="D7506" s="5" t="s">
        <v>9020</v>
      </c>
      <c r="E7506" s="5" t="s">
        <v>47624</v>
      </c>
      <c r="F7506" s="5" t="s">
        <v>212</v>
      </c>
      <c r="G7506" s="5" t="s">
        <v>47625</v>
      </c>
      <c r="H7506" s="6" t="s">
        <v>47626</v>
      </c>
      <c r="K7506" s="5" t="s">
        <v>47627</v>
      </c>
    </row>
    <row r="7507">
      <c r="A7507" s="4">
        <v>45534.38292244213</v>
      </c>
      <c r="B7507" s="5" t="s">
        <v>34</v>
      </c>
      <c r="D7507" s="5" t="s">
        <v>12978</v>
      </c>
      <c r="E7507" s="5" t="s">
        <v>47630</v>
      </c>
      <c r="F7507" s="5" t="s">
        <v>715</v>
      </c>
      <c r="G7507" s="5" t="s">
        <v>47631</v>
      </c>
      <c r="H7507" s="6" t="s">
        <v>47632</v>
      </c>
      <c r="K7507" s="5" t="s">
        <v>47627</v>
      </c>
    </row>
    <row r="7508">
      <c r="A7508" s="4">
        <v>45534.382936608796</v>
      </c>
      <c r="B7508" s="5" t="s">
        <v>34</v>
      </c>
      <c r="D7508" s="5" t="s">
        <v>1558</v>
      </c>
      <c r="E7508" s="5" t="s">
        <v>47635</v>
      </c>
      <c r="F7508" s="5" t="s">
        <v>212</v>
      </c>
      <c r="G7508" s="5" t="s">
        <v>47636</v>
      </c>
      <c r="H7508" s="6" t="s">
        <v>47637</v>
      </c>
      <c r="K7508" s="5" t="s">
        <v>47638</v>
      </c>
    </row>
    <row r="7509">
      <c r="A7509" s="4">
        <v>45534.38295605324</v>
      </c>
      <c r="B7509" s="5" t="s">
        <v>34</v>
      </c>
      <c r="D7509" s="5" t="s">
        <v>1206</v>
      </c>
      <c r="E7509" s="5" t="s">
        <v>47642</v>
      </c>
      <c r="F7509" s="5" t="s">
        <v>37</v>
      </c>
      <c r="G7509" s="5" t="s">
        <v>47643</v>
      </c>
      <c r="H7509" s="6" t="s">
        <v>47644</v>
      </c>
      <c r="K7509" s="5" t="s">
        <v>47645</v>
      </c>
    </row>
    <row r="7510">
      <c r="A7510" s="4">
        <v>45534.382958368056</v>
      </c>
      <c r="B7510" s="5" t="s">
        <v>34</v>
      </c>
      <c r="D7510" s="5" t="s">
        <v>522</v>
      </c>
      <c r="E7510" s="5" t="s">
        <v>47648</v>
      </c>
      <c r="F7510" s="5" t="s">
        <v>524</v>
      </c>
      <c r="G7510" s="5" t="s">
        <v>47649</v>
      </c>
      <c r="H7510" s="6" t="s">
        <v>47650</v>
      </c>
      <c r="K7510" s="5" t="s">
        <v>47645</v>
      </c>
    </row>
    <row r="7511">
      <c r="A7511" s="4">
        <v>45534.382967303245</v>
      </c>
      <c r="B7511" s="5" t="s">
        <v>34</v>
      </c>
      <c r="D7511" s="5" t="s">
        <v>11527</v>
      </c>
      <c r="E7511" s="5" t="s">
        <v>47653</v>
      </c>
      <c r="F7511" s="5" t="s">
        <v>524</v>
      </c>
      <c r="G7511" s="5" t="s">
        <v>47654</v>
      </c>
      <c r="H7511" s="6" t="s">
        <v>47655</v>
      </c>
      <c r="K7511" s="5" t="s">
        <v>47645</v>
      </c>
    </row>
    <row r="7512">
      <c r="A7512" s="4">
        <v>45534.38296982639</v>
      </c>
      <c r="B7512" s="5" t="s">
        <v>19</v>
      </c>
      <c r="C7512" s="5" t="s">
        <v>466</v>
      </c>
      <c r="E7512" s="5" t="s">
        <v>47658</v>
      </c>
      <c r="F7512" s="5" t="s">
        <v>375</v>
      </c>
      <c r="G7512" s="5" t="s">
        <v>47659</v>
      </c>
      <c r="H7512" s="6" t="s">
        <v>47660</v>
      </c>
      <c r="K7512" s="5" t="s">
        <v>47645</v>
      </c>
    </row>
    <row r="7513">
      <c r="A7513" s="4">
        <v>45534.38297226852</v>
      </c>
      <c r="B7513" s="5" t="s">
        <v>34</v>
      </c>
      <c r="D7513" s="5" t="s">
        <v>14424</v>
      </c>
      <c r="E7513" s="5" t="s">
        <v>47664</v>
      </c>
      <c r="F7513" s="5" t="s">
        <v>212</v>
      </c>
      <c r="G7513" s="5" t="s">
        <v>47665</v>
      </c>
      <c r="H7513" s="6" t="s">
        <v>47666</v>
      </c>
      <c r="K7513" s="5" t="s">
        <v>47645</v>
      </c>
    </row>
    <row r="7514">
      <c r="A7514" s="4">
        <v>45534.382974085645</v>
      </c>
      <c r="B7514" s="5" t="s">
        <v>34</v>
      </c>
      <c r="D7514" s="5" t="s">
        <v>522</v>
      </c>
      <c r="E7514" s="5" t="s">
        <v>47669</v>
      </c>
      <c r="F7514" s="5" t="s">
        <v>120</v>
      </c>
      <c r="G7514" s="5" t="s">
        <v>47670</v>
      </c>
      <c r="H7514" s="6" t="s">
        <v>47671</v>
      </c>
      <c r="K7514" s="5" t="s">
        <v>47645</v>
      </c>
    </row>
    <row r="7515">
      <c r="A7515" s="4">
        <v>45534.38298328704</v>
      </c>
      <c r="B7515" s="5" t="s">
        <v>34</v>
      </c>
      <c r="D7515" s="5" t="s">
        <v>1206</v>
      </c>
      <c r="E7515" s="5" t="s">
        <v>47674</v>
      </c>
      <c r="F7515" s="5" t="s">
        <v>37</v>
      </c>
      <c r="G7515" s="5" t="s">
        <v>47675</v>
      </c>
      <c r="H7515" s="6" t="s">
        <v>47676</v>
      </c>
      <c r="K7515" s="5" t="s">
        <v>47645</v>
      </c>
    </row>
    <row r="7516">
      <c r="A7516" s="4">
        <v>45534.383027592594</v>
      </c>
      <c r="B7516" s="5" t="s">
        <v>34</v>
      </c>
      <c r="D7516" s="5" t="s">
        <v>1558</v>
      </c>
      <c r="E7516" s="5" t="s">
        <v>47679</v>
      </c>
      <c r="F7516" s="5" t="s">
        <v>212</v>
      </c>
      <c r="G7516" s="5" t="s">
        <v>47680</v>
      </c>
      <c r="H7516" s="6" t="s">
        <v>47681</v>
      </c>
      <c r="K7516" s="5" t="s">
        <v>47682</v>
      </c>
    </row>
    <row r="7517">
      <c r="A7517" s="4">
        <v>45534.383034328705</v>
      </c>
      <c r="B7517" s="5" t="s">
        <v>34</v>
      </c>
      <c r="D7517" s="5" t="s">
        <v>10297</v>
      </c>
      <c r="E7517" s="5" t="s">
        <v>35254</v>
      </c>
      <c r="F7517" s="5" t="s">
        <v>37</v>
      </c>
      <c r="G7517" s="5" t="s">
        <v>47686</v>
      </c>
      <c r="H7517" s="6" t="s">
        <v>47687</v>
      </c>
      <c r="K7517" s="5" t="s">
        <v>47682</v>
      </c>
    </row>
    <row r="7518">
      <c r="A7518" s="4">
        <v>45534.38305458333</v>
      </c>
      <c r="B7518" s="5" t="s">
        <v>34</v>
      </c>
      <c r="D7518" s="5" t="s">
        <v>2903</v>
      </c>
      <c r="E7518" s="5" t="s">
        <v>47690</v>
      </c>
      <c r="F7518" s="5" t="s">
        <v>85</v>
      </c>
      <c r="G7518" s="5" t="s">
        <v>47691</v>
      </c>
      <c r="H7518" s="6" t="s">
        <v>47692</v>
      </c>
      <c r="K7518" s="5" t="s">
        <v>47682</v>
      </c>
    </row>
    <row r="7519">
      <c r="A7519" s="4">
        <v>45534.38307190972</v>
      </c>
      <c r="B7519" s="5" t="s">
        <v>34</v>
      </c>
      <c r="D7519" s="5" t="s">
        <v>14424</v>
      </c>
      <c r="E7519" s="5" t="s">
        <v>47695</v>
      </c>
      <c r="F7519" s="5" t="s">
        <v>37</v>
      </c>
      <c r="G7519" s="5" t="s">
        <v>47696</v>
      </c>
      <c r="H7519" s="6" t="s">
        <v>47697</v>
      </c>
      <c r="K7519" s="5" t="s">
        <v>47698</v>
      </c>
    </row>
    <row r="7520">
      <c r="A7520" s="4">
        <v>45534.38308201389</v>
      </c>
      <c r="B7520" s="5" t="s">
        <v>19</v>
      </c>
      <c r="C7520" s="5" t="s">
        <v>5564</v>
      </c>
      <c r="E7520" s="5" t="s">
        <v>47702</v>
      </c>
      <c r="F7520" s="5" t="s">
        <v>37</v>
      </c>
      <c r="G7520" s="5" t="s">
        <v>47703</v>
      </c>
      <c r="H7520" s="6" t="s">
        <v>47704</v>
      </c>
      <c r="K7520" s="5" t="s">
        <v>47698</v>
      </c>
    </row>
    <row r="7521">
      <c r="A7521" s="4">
        <v>45534.38308530093</v>
      </c>
      <c r="B7521" s="5" t="s">
        <v>34</v>
      </c>
      <c r="D7521" s="5" t="s">
        <v>1558</v>
      </c>
      <c r="E7521" s="5" t="s">
        <v>47708</v>
      </c>
      <c r="F7521" s="5" t="s">
        <v>72</v>
      </c>
      <c r="G7521" s="5" t="s">
        <v>47709</v>
      </c>
      <c r="H7521" s="6" t="s">
        <v>47710</v>
      </c>
      <c r="K7521" s="5" t="s">
        <v>47698</v>
      </c>
    </row>
    <row r="7522">
      <c r="A7522" s="4">
        <v>45534.383165879626</v>
      </c>
      <c r="B7522" s="5" t="s">
        <v>34</v>
      </c>
      <c r="D7522" s="5" t="s">
        <v>9020</v>
      </c>
      <c r="E7522" s="5" t="s">
        <v>47713</v>
      </c>
      <c r="F7522" s="5" t="s">
        <v>212</v>
      </c>
      <c r="G7522" s="5" t="s">
        <v>47714</v>
      </c>
      <c r="H7522" s="6" t="s">
        <v>47715</v>
      </c>
      <c r="K7522" s="5" t="s">
        <v>47716</v>
      </c>
    </row>
    <row r="7523">
      <c r="A7523" s="4">
        <v>45534.38317173611</v>
      </c>
      <c r="B7523" s="5" t="s">
        <v>34</v>
      </c>
      <c r="D7523" s="5" t="s">
        <v>1558</v>
      </c>
      <c r="E7523" s="5" t="s">
        <v>47719</v>
      </c>
      <c r="F7523" s="5" t="s">
        <v>212</v>
      </c>
      <c r="G7523" s="5" t="s">
        <v>47720</v>
      </c>
      <c r="H7523" s="6" t="s">
        <v>47721</v>
      </c>
      <c r="K7523" s="5" t="s">
        <v>47722</v>
      </c>
    </row>
    <row r="7524">
      <c r="A7524" s="4">
        <v>45534.38319021991</v>
      </c>
      <c r="B7524" s="5" t="s">
        <v>34</v>
      </c>
      <c r="D7524" s="5" t="s">
        <v>14313</v>
      </c>
      <c r="E7524" s="5" t="s">
        <v>47725</v>
      </c>
      <c r="F7524" s="5" t="s">
        <v>212</v>
      </c>
      <c r="G7524" s="5" t="s">
        <v>47726</v>
      </c>
      <c r="H7524" s="6" t="s">
        <v>47727</v>
      </c>
      <c r="K7524" s="5" t="s">
        <v>47722</v>
      </c>
    </row>
    <row r="7525">
      <c r="A7525" s="4">
        <v>45534.38320001157</v>
      </c>
      <c r="B7525" s="5" t="s">
        <v>34</v>
      </c>
      <c r="D7525" s="5" t="s">
        <v>4775</v>
      </c>
      <c r="E7525" s="5" t="s">
        <v>47730</v>
      </c>
      <c r="F7525" s="5" t="s">
        <v>375</v>
      </c>
      <c r="G7525" s="5" t="s">
        <v>47731</v>
      </c>
      <c r="H7525" s="6" t="s">
        <v>47732</v>
      </c>
      <c r="K7525" s="5" t="s">
        <v>47722</v>
      </c>
    </row>
    <row r="7526">
      <c r="A7526" s="4">
        <v>45534.383205879625</v>
      </c>
      <c r="B7526" s="5" t="s">
        <v>34</v>
      </c>
      <c r="D7526" s="5" t="s">
        <v>10444</v>
      </c>
      <c r="E7526" s="5" t="s">
        <v>47736</v>
      </c>
      <c r="F7526" s="5" t="s">
        <v>375</v>
      </c>
      <c r="G7526" s="5" t="s">
        <v>47737</v>
      </c>
      <c r="H7526" s="6" t="s">
        <v>47738</v>
      </c>
      <c r="K7526" s="5" t="s">
        <v>47722</v>
      </c>
    </row>
    <row r="7527">
      <c r="A7527" s="4">
        <v>45534.38321932871</v>
      </c>
      <c r="B7527" s="5" t="s">
        <v>34</v>
      </c>
      <c r="D7527" s="5" t="s">
        <v>1206</v>
      </c>
      <c r="E7527" s="5" t="s">
        <v>47741</v>
      </c>
      <c r="F7527" s="5" t="s">
        <v>72</v>
      </c>
      <c r="G7527" s="5" t="s">
        <v>47742</v>
      </c>
      <c r="H7527" s="6" t="s">
        <v>47743</v>
      </c>
      <c r="K7527" s="5" t="s">
        <v>47744</v>
      </c>
    </row>
    <row r="7528">
      <c r="A7528" s="4">
        <v>45534.38324756944</v>
      </c>
      <c r="B7528" s="5" t="s">
        <v>19</v>
      </c>
      <c r="C7528" s="5" t="s">
        <v>292</v>
      </c>
      <c r="E7528" s="5" t="s">
        <v>47747</v>
      </c>
      <c r="F7528" s="5" t="s">
        <v>37</v>
      </c>
      <c r="G7528" s="5" t="s">
        <v>47748</v>
      </c>
      <c r="H7528" s="6" t="s">
        <v>47749</v>
      </c>
      <c r="K7528" s="5" t="s">
        <v>47750</v>
      </c>
    </row>
    <row r="7529">
      <c r="A7529" s="4">
        <v>45534.383248831014</v>
      </c>
      <c r="B7529" s="5" t="s">
        <v>19</v>
      </c>
      <c r="C7529" s="5" t="s">
        <v>292</v>
      </c>
      <c r="E7529" s="5" t="s">
        <v>47753</v>
      </c>
      <c r="F7529" s="5" t="s">
        <v>22</v>
      </c>
      <c r="G7529" s="5" t="s">
        <v>47754</v>
      </c>
      <c r="H7529" s="6" t="s">
        <v>47755</v>
      </c>
      <c r="K7529" s="5" t="s">
        <v>47750</v>
      </c>
    </row>
    <row r="7530">
      <c r="A7530" s="4">
        <v>45534.38325796297</v>
      </c>
      <c r="B7530" s="5" t="s">
        <v>34</v>
      </c>
      <c r="D7530" s="5" t="s">
        <v>1206</v>
      </c>
      <c r="E7530" s="5" t="s">
        <v>47759</v>
      </c>
      <c r="F7530" s="5" t="s">
        <v>37</v>
      </c>
      <c r="G7530" s="5" t="s">
        <v>47760</v>
      </c>
      <c r="H7530" s="6" t="s">
        <v>47761</v>
      </c>
      <c r="K7530" s="5" t="s">
        <v>47750</v>
      </c>
    </row>
    <row r="7531">
      <c r="A7531" s="4">
        <v>45534.38330944444</v>
      </c>
      <c r="B7531" s="5" t="s">
        <v>19</v>
      </c>
      <c r="C7531" s="5" t="s">
        <v>83</v>
      </c>
      <c r="E7531" s="5" t="s">
        <v>47764</v>
      </c>
      <c r="F7531" s="5" t="s">
        <v>22</v>
      </c>
      <c r="G7531" s="5" t="s">
        <v>47765</v>
      </c>
      <c r="H7531" s="6" t="s">
        <v>47766</v>
      </c>
      <c r="K7531" s="5" t="s">
        <v>47767</v>
      </c>
    </row>
    <row r="7532">
      <c r="A7532" s="4">
        <v>45534.38334284722</v>
      </c>
      <c r="B7532" s="5" t="s">
        <v>34</v>
      </c>
      <c r="D7532" s="5" t="s">
        <v>1206</v>
      </c>
      <c r="E7532" s="5" t="s">
        <v>47770</v>
      </c>
      <c r="F7532" s="5" t="s">
        <v>328</v>
      </c>
      <c r="G7532" s="5" t="s">
        <v>47771</v>
      </c>
      <c r="H7532" s="6" t="s">
        <v>47772</v>
      </c>
      <c r="K7532" s="5" t="s">
        <v>47773</v>
      </c>
    </row>
    <row r="7533">
      <c r="A7533" s="4">
        <v>45534.38339427083</v>
      </c>
      <c r="B7533" s="5" t="s">
        <v>34</v>
      </c>
      <c r="D7533" s="5" t="s">
        <v>12010</v>
      </c>
      <c r="E7533" s="5" t="s">
        <v>47776</v>
      </c>
      <c r="F7533" s="5" t="s">
        <v>37</v>
      </c>
      <c r="G7533" s="5" t="s">
        <v>47777</v>
      </c>
      <c r="H7533" s="6" t="s">
        <v>47778</v>
      </c>
      <c r="K7533" s="5" t="s">
        <v>47779</v>
      </c>
    </row>
    <row r="7534">
      <c r="A7534" s="4">
        <v>45534.38341778935</v>
      </c>
      <c r="B7534" s="5" t="s">
        <v>34</v>
      </c>
      <c r="D7534" s="5" t="s">
        <v>35</v>
      </c>
      <c r="E7534" s="5" t="s">
        <v>47783</v>
      </c>
      <c r="F7534" s="5" t="s">
        <v>108</v>
      </c>
      <c r="G7534" s="5" t="s">
        <v>47784</v>
      </c>
      <c r="H7534" s="6" t="s">
        <v>47785</v>
      </c>
      <c r="K7534" s="5" t="s">
        <v>47786</v>
      </c>
    </row>
    <row r="7535">
      <c r="A7535" s="4">
        <v>45534.383419652775</v>
      </c>
      <c r="B7535" s="5" t="s">
        <v>34</v>
      </c>
      <c r="D7535" s="5" t="s">
        <v>10444</v>
      </c>
      <c r="E7535" s="5" t="s">
        <v>47789</v>
      </c>
      <c r="F7535" s="5" t="s">
        <v>72</v>
      </c>
      <c r="G7535" s="5" t="s">
        <v>47790</v>
      </c>
      <c r="H7535" s="6" t="s">
        <v>47791</v>
      </c>
      <c r="K7535" s="5" t="s">
        <v>47786</v>
      </c>
    </row>
    <row r="7536">
      <c r="A7536" s="4">
        <v>45534.38345233796</v>
      </c>
      <c r="B7536" s="5" t="s">
        <v>34</v>
      </c>
      <c r="D7536" s="5" t="s">
        <v>975</v>
      </c>
      <c r="E7536" s="5" t="s">
        <v>47794</v>
      </c>
      <c r="F7536" s="5" t="s">
        <v>37</v>
      </c>
      <c r="G7536" s="5" t="s">
        <v>47795</v>
      </c>
      <c r="H7536" s="6" t="s">
        <v>47796</v>
      </c>
      <c r="K7536" s="5" t="s">
        <v>47797</v>
      </c>
    </row>
    <row r="7537">
      <c r="A7537" s="4">
        <v>45534.38347637732</v>
      </c>
      <c r="B7537" s="5" t="s">
        <v>34</v>
      </c>
      <c r="D7537" s="5" t="s">
        <v>12978</v>
      </c>
      <c r="E7537" s="5" t="s">
        <v>47800</v>
      </c>
      <c r="F7537" s="5" t="s">
        <v>212</v>
      </c>
      <c r="G7537" s="5" t="s">
        <v>47801</v>
      </c>
      <c r="H7537" s="6" t="s">
        <v>47802</v>
      </c>
      <c r="K7537" s="5" t="s">
        <v>47797</v>
      </c>
    </row>
    <row r="7538">
      <c r="A7538" s="4">
        <v>45534.38348725694</v>
      </c>
      <c r="B7538" s="5" t="s">
        <v>34</v>
      </c>
      <c r="D7538" s="5" t="s">
        <v>9020</v>
      </c>
      <c r="E7538" s="5" t="s">
        <v>47806</v>
      </c>
      <c r="F7538" s="5" t="s">
        <v>715</v>
      </c>
      <c r="G7538" s="5" t="s">
        <v>47807</v>
      </c>
      <c r="H7538" s="6" t="s">
        <v>47808</v>
      </c>
      <c r="K7538" s="5" t="s">
        <v>47797</v>
      </c>
    </row>
    <row r="7539">
      <c r="A7539" s="4">
        <v>45534.38351310186</v>
      </c>
      <c r="B7539" s="5" t="s">
        <v>34</v>
      </c>
      <c r="D7539" s="5" t="s">
        <v>2903</v>
      </c>
      <c r="E7539" s="5" t="s">
        <v>47811</v>
      </c>
      <c r="F7539" s="5" t="s">
        <v>212</v>
      </c>
      <c r="G7539" s="5" t="s">
        <v>47812</v>
      </c>
      <c r="H7539" s="6" t="s">
        <v>47813</v>
      </c>
      <c r="K7539" s="5" t="s">
        <v>47814</v>
      </c>
    </row>
    <row r="7540">
      <c r="A7540" s="4">
        <v>45534.38356815973</v>
      </c>
      <c r="B7540" s="5" t="s">
        <v>34</v>
      </c>
      <c r="D7540" s="5" t="s">
        <v>1558</v>
      </c>
      <c r="E7540" s="5" t="s">
        <v>16182</v>
      </c>
      <c r="F7540" s="5" t="s">
        <v>375</v>
      </c>
      <c r="G7540" s="5" t="s">
        <v>47817</v>
      </c>
      <c r="H7540" s="6" t="s">
        <v>47818</v>
      </c>
      <c r="K7540" s="5" t="s">
        <v>47819</v>
      </c>
    </row>
    <row r="7541">
      <c r="A7541" s="4">
        <v>45534.38360232639</v>
      </c>
      <c r="B7541" s="5" t="s">
        <v>34</v>
      </c>
      <c r="D7541" s="5" t="s">
        <v>1558</v>
      </c>
      <c r="E7541" s="5" t="s">
        <v>47822</v>
      </c>
      <c r="F7541" s="5" t="s">
        <v>108</v>
      </c>
      <c r="G7541" s="5" t="s">
        <v>47823</v>
      </c>
      <c r="H7541" s="6" t="s">
        <v>47824</v>
      </c>
      <c r="K7541" s="5" t="s">
        <v>47819</v>
      </c>
    </row>
    <row r="7542">
      <c r="A7542" s="4">
        <v>45534.38361885417</v>
      </c>
      <c r="B7542" s="5" t="s">
        <v>34</v>
      </c>
      <c r="D7542" s="5" t="s">
        <v>1206</v>
      </c>
      <c r="E7542" s="5" t="s">
        <v>47828</v>
      </c>
      <c r="F7542" s="5" t="s">
        <v>212</v>
      </c>
      <c r="G7542" s="5" t="s">
        <v>47829</v>
      </c>
      <c r="H7542" s="6" t="s">
        <v>47830</v>
      </c>
      <c r="K7542" s="5" t="s">
        <v>47831</v>
      </c>
    </row>
    <row r="7543">
      <c r="A7543" s="4">
        <v>45534.38362791667</v>
      </c>
      <c r="B7543" s="5" t="s">
        <v>34</v>
      </c>
      <c r="D7543" s="5" t="s">
        <v>1206</v>
      </c>
      <c r="E7543" s="5" t="s">
        <v>44803</v>
      </c>
      <c r="F7543" s="5" t="s">
        <v>37</v>
      </c>
      <c r="G7543" s="5" t="s">
        <v>47834</v>
      </c>
      <c r="H7543" s="6" t="s">
        <v>47835</v>
      </c>
      <c r="K7543" s="5" t="s">
        <v>47831</v>
      </c>
    </row>
    <row r="7544">
      <c r="A7544" s="4">
        <v>45534.38364332176</v>
      </c>
      <c r="B7544" s="5" t="s">
        <v>34</v>
      </c>
      <c r="D7544" s="5" t="s">
        <v>1206</v>
      </c>
      <c r="E7544" s="5" t="s">
        <v>47838</v>
      </c>
      <c r="F7544" s="5" t="s">
        <v>37</v>
      </c>
      <c r="G7544" s="5" t="s">
        <v>47839</v>
      </c>
      <c r="H7544" s="6" t="s">
        <v>47840</v>
      </c>
      <c r="K7544" s="5" t="s">
        <v>47831</v>
      </c>
    </row>
    <row r="7545">
      <c r="A7545" s="4">
        <v>45534.38365711806</v>
      </c>
      <c r="B7545" s="5" t="s">
        <v>34</v>
      </c>
      <c r="D7545" s="5" t="s">
        <v>7858</v>
      </c>
      <c r="E7545" s="5" t="s">
        <v>47843</v>
      </c>
      <c r="F7545" s="5" t="s">
        <v>22</v>
      </c>
      <c r="G7545" s="5" t="s">
        <v>47844</v>
      </c>
      <c r="H7545" s="6" t="s">
        <v>47845</v>
      </c>
      <c r="K7545" s="5" t="s">
        <v>47846</v>
      </c>
    </row>
    <row r="7546">
      <c r="A7546" s="4">
        <v>45534.38367097222</v>
      </c>
      <c r="B7546" s="5" t="s">
        <v>34</v>
      </c>
      <c r="D7546" s="5" t="s">
        <v>4775</v>
      </c>
      <c r="E7546" s="5" t="s">
        <v>47850</v>
      </c>
      <c r="F7546" s="5" t="s">
        <v>108</v>
      </c>
      <c r="G7546" s="5" t="s">
        <v>47851</v>
      </c>
      <c r="H7546" s="6" t="s">
        <v>47852</v>
      </c>
      <c r="K7546" s="5" t="s">
        <v>47846</v>
      </c>
    </row>
    <row r="7547">
      <c r="A7547" s="4">
        <v>45534.383707326386</v>
      </c>
      <c r="B7547" s="5" t="s">
        <v>34</v>
      </c>
      <c r="D7547" s="5" t="s">
        <v>15401</v>
      </c>
      <c r="E7547" s="5" t="s">
        <v>47855</v>
      </c>
      <c r="F7547" s="5" t="s">
        <v>212</v>
      </c>
      <c r="G7547" s="5" t="s">
        <v>47856</v>
      </c>
      <c r="H7547" s="6" t="s">
        <v>47857</v>
      </c>
      <c r="K7547" s="5" t="s">
        <v>47846</v>
      </c>
    </row>
    <row r="7548">
      <c r="A7548" s="4">
        <v>45534.38370953704</v>
      </c>
      <c r="B7548" s="5" t="s">
        <v>34</v>
      </c>
      <c r="D7548" s="5" t="s">
        <v>7858</v>
      </c>
      <c r="E7548" s="5" t="s">
        <v>47860</v>
      </c>
      <c r="F7548" s="5" t="s">
        <v>72</v>
      </c>
      <c r="G7548" s="5" t="s">
        <v>47861</v>
      </c>
      <c r="H7548" s="6" t="s">
        <v>47862</v>
      </c>
      <c r="K7548" s="5" t="s">
        <v>47846</v>
      </c>
    </row>
    <row r="7549">
      <c r="A7549" s="4">
        <v>45534.3837165625</v>
      </c>
      <c r="B7549" s="5" t="s">
        <v>34</v>
      </c>
      <c r="D7549" s="5" t="s">
        <v>1206</v>
      </c>
      <c r="E7549" s="5" t="s">
        <v>47865</v>
      </c>
      <c r="F7549" s="5" t="s">
        <v>375</v>
      </c>
      <c r="G7549" s="5" t="s">
        <v>47866</v>
      </c>
      <c r="H7549" s="6" t="s">
        <v>47867</v>
      </c>
      <c r="K7549" s="5" t="s">
        <v>47846</v>
      </c>
    </row>
    <row r="7550">
      <c r="A7550" s="4">
        <v>45534.38373094908</v>
      </c>
      <c r="B7550" s="5" t="s">
        <v>19</v>
      </c>
      <c r="C7550" s="5" t="s">
        <v>83</v>
      </c>
      <c r="E7550" s="5" t="s">
        <v>47871</v>
      </c>
      <c r="F7550" s="5" t="s">
        <v>375</v>
      </c>
      <c r="G7550" s="5" t="s">
        <v>47872</v>
      </c>
      <c r="H7550" s="6" t="s">
        <v>47873</v>
      </c>
      <c r="K7550" s="5" t="s">
        <v>47874</v>
      </c>
    </row>
    <row r="7551">
      <c r="A7551" s="4">
        <v>45534.38374469907</v>
      </c>
      <c r="B7551" s="5" t="s">
        <v>34</v>
      </c>
      <c r="D7551" s="5" t="s">
        <v>10297</v>
      </c>
      <c r="E7551" s="5" t="s">
        <v>47877</v>
      </c>
      <c r="F7551" s="5" t="s">
        <v>108</v>
      </c>
      <c r="G7551" s="5" t="s">
        <v>47878</v>
      </c>
      <c r="H7551" s="6" t="s">
        <v>47879</v>
      </c>
      <c r="K7551" s="5" t="s">
        <v>47874</v>
      </c>
    </row>
    <row r="7552">
      <c r="A7552" s="4">
        <v>45534.383749768516</v>
      </c>
      <c r="B7552" s="5" t="s">
        <v>34</v>
      </c>
      <c r="D7552" s="5" t="s">
        <v>1206</v>
      </c>
      <c r="E7552" s="5" t="s">
        <v>47882</v>
      </c>
      <c r="F7552" s="5" t="s">
        <v>108</v>
      </c>
      <c r="G7552" s="5" t="s">
        <v>47883</v>
      </c>
      <c r="H7552" s="6" t="s">
        <v>47884</v>
      </c>
      <c r="K7552" s="5" t="s">
        <v>47874</v>
      </c>
    </row>
    <row r="7553">
      <c r="A7553" s="4">
        <v>45534.383754027775</v>
      </c>
      <c r="B7553" s="5" t="s">
        <v>34</v>
      </c>
      <c r="D7553" s="5" t="s">
        <v>12978</v>
      </c>
      <c r="E7553" s="5" t="s">
        <v>47887</v>
      </c>
      <c r="F7553" s="5" t="s">
        <v>375</v>
      </c>
      <c r="G7553" s="5" t="s">
        <v>47888</v>
      </c>
      <c r="H7553" s="6" t="s">
        <v>47889</v>
      </c>
      <c r="K7553" s="5" t="s">
        <v>47874</v>
      </c>
    </row>
    <row r="7554">
      <c r="A7554" s="4">
        <v>45534.383790057866</v>
      </c>
      <c r="B7554" s="5" t="s">
        <v>34</v>
      </c>
      <c r="D7554" s="5" t="s">
        <v>9020</v>
      </c>
      <c r="E7554" s="5" t="s">
        <v>47892</v>
      </c>
      <c r="F7554" s="5" t="s">
        <v>37</v>
      </c>
      <c r="G7554" s="5" t="s">
        <v>47893</v>
      </c>
      <c r="H7554" s="6" t="s">
        <v>47894</v>
      </c>
      <c r="K7554" s="5" t="s">
        <v>47874</v>
      </c>
    </row>
    <row r="7555">
      <c r="A7555" s="4">
        <v>45534.3838116088</v>
      </c>
      <c r="B7555" s="5" t="s">
        <v>34</v>
      </c>
      <c r="D7555" s="5" t="s">
        <v>9394</v>
      </c>
      <c r="E7555" s="5" t="s">
        <v>47898</v>
      </c>
      <c r="F7555" s="5" t="s">
        <v>524</v>
      </c>
      <c r="G7555" s="5" t="s">
        <v>47899</v>
      </c>
      <c r="H7555" s="6" t="s">
        <v>47900</v>
      </c>
      <c r="K7555" s="5" t="s">
        <v>47874</v>
      </c>
    </row>
    <row r="7556">
      <c r="A7556" s="4">
        <v>45534.38384405093</v>
      </c>
      <c r="B7556" s="5" t="s">
        <v>34</v>
      </c>
      <c r="D7556" s="5" t="s">
        <v>1558</v>
      </c>
      <c r="E7556" s="5" t="s">
        <v>34359</v>
      </c>
      <c r="F7556" s="5" t="s">
        <v>212</v>
      </c>
      <c r="G7556" s="5" t="s">
        <v>47903</v>
      </c>
      <c r="H7556" s="6" t="s">
        <v>47904</v>
      </c>
      <c r="K7556" s="5" t="s">
        <v>47874</v>
      </c>
    </row>
    <row r="7557">
      <c r="A7557" s="4">
        <v>45534.38387991898</v>
      </c>
      <c r="B7557" s="5" t="s">
        <v>34</v>
      </c>
      <c r="D7557" s="5" t="s">
        <v>35</v>
      </c>
      <c r="E7557" s="5" t="s">
        <v>47907</v>
      </c>
      <c r="F7557" s="5" t="s">
        <v>108</v>
      </c>
      <c r="G7557" s="5" t="s">
        <v>47908</v>
      </c>
      <c r="H7557" s="6" t="s">
        <v>47909</v>
      </c>
      <c r="K7557" s="5" t="s">
        <v>47874</v>
      </c>
    </row>
    <row r="7558">
      <c r="A7558" s="4">
        <v>45534.38388512732</v>
      </c>
      <c r="B7558" s="5" t="s">
        <v>34</v>
      </c>
      <c r="D7558" s="5" t="s">
        <v>14424</v>
      </c>
      <c r="E7558" s="5" t="s">
        <v>47912</v>
      </c>
      <c r="F7558" s="5" t="s">
        <v>212</v>
      </c>
      <c r="G7558" s="5" t="s">
        <v>47913</v>
      </c>
      <c r="H7558" s="6" t="s">
        <v>47914</v>
      </c>
      <c r="K7558" s="5" t="s">
        <v>47874</v>
      </c>
    </row>
    <row r="7559">
      <c r="A7559" s="4">
        <v>45534.38392703704</v>
      </c>
      <c r="B7559" s="5" t="s">
        <v>34</v>
      </c>
      <c r="D7559" s="5" t="s">
        <v>4775</v>
      </c>
      <c r="E7559" s="5" t="s">
        <v>47918</v>
      </c>
      <c r="F7559" s="5" t="s">
        <v>375</v>
      </c>
      <c r="G7559" s="5" t="s">
        <v>47919</v>
      </c>
      <c r="H7559" s="6" t="s">
        <v>47920</v>
      </c>
      <c r="K7559" s="5" t="s">
        <v>47874</v>
      </c>
    </row>
    <row r="7560">
      <c r="A7560" s="4">
        <v>45534.383997372686</v>
      </c>
      <c r="B7560" s="5" t="s">
        <v>34</v>
      </c>
      <c r="D7560" s="5" t="s">
        <v>3432</v>
      </c>
      <c r="E7560" s="5" t="s">
        <v>47923</v>
      </c>
      <c r="F7560" s="5" t="s">
        <v>524</v>
      </c>
      <c r="G7560" s="5" t="s">
        <v>47924</v>
      </c>
      <c r="H7560" s="6" t="s">
        <v>47925</v>
      </c>
      <c r="K7560" s="5" t="s">
        <v>47926</v>
      </c>
    </row>
    <row r="7561">
      <c r="A7561" s="4">
        <v>45534.38402574074</v>
      </c>
      <c r="B7561" s="5" t="s">
        <v>34</v>
      </c>
      <c r="D7561" s="5" t="s">
        <v>4775</v>
      </c>
      <c r="E7561" s="5" t="s">
        <v>47929</v>
      </c>
      <c r="F7561" s="5" t="s">
        <v>120</v>
      </c>
      <c r="G7561" s="5" t="s">
        <v>47930</v>
      </c>
      <c r="H7561" s="6" t="s">
        <v>47931</v>
      </c>
      <c r="K7561" s="5" t="s">
        <v>47932</v>
      </c>
    </row>
    <row r="7562">
      <c r="A7562" s="4">
        <v>45534.384025844905</v>
      </c>
      <c r="B7562" s="5" t="s">
        <v>34</v>
      </c>
      <c r="D7562" s="5" t="s">
        <v>4775</v>
      </c>
      <c r="E7562" s="5" t="s">
        <v>47935</v>
      </c>
      <c r="F7562" s="5" t="s">
        <v>120</v>
      </c>
      <c r="G7562" s="5" t="s">
        <v>47936</v>
      </c>
      <c r="H7562" s="6" t="s">
        <v>47937</v>
      </c>
      <c r="K7562" s="5" t="s">
        <v>47932</v>
      </c>
    </row>
    <row r="7563">
      <c r="A7563" s="4">
        <v>45534.38403011574</v>
      </c>
      <c r="B7563" s="5" t="s">
        <v>34</v>
      </c>
      <c r="D7563" s="5" t="s">
        <v>1206</v>
      </c>
      <c r="E7563" s="5" t="s">
        <v>47941</v>
      </c>
      <c r="F7563" s="5" t="s">
        <v>524</v>
      </c>
      <c r="G7563" s="5" t="s">
        <v>47942</v>
      </c>
      <c r="H7563" s="6" t="s">
        <v>47943</v>
      </c>
      <c r="K7563" s="5" t="s">
        <v>47932</v>
      </c>
    </row>
    <row r="7564">
      <c r="A7564" s="4">
        <v>45534.384034456016</v>
      </c>
      <c r="B7564" s="5" t="s">
        <v>34</v>
      </c>
      <c r="D7564" s="5" t="s">
        <v>1558</v>
      </c>
      <c r="E7564" s="5" t="s">
        <v>47946</v>
      </c>
      <c r="F7564" s="5" t="s">
        <v>37</v>
      </c>
      <c r="G7564" s="5" t="s">
        <v>47947</v>
      </c>
      <c r="H7564" s="6" t="s">
        <v>47948</v>
      </c>
      <c r="K7564" s="5" t="s">
        <v>47932</v>
      </c>
    </row>
    <row r="7565">
      <c r="A7565" s="4">
        <v>45534.38404023148</v>
      </c>
      <c r="B7565" s="5" t="s">
        <v>34</v>
      </c>
      <c r="D7565" s="5" t="s">
        <v>4775</v>
      </c>
      <c r="E7565" s="5" t="s">
        <v>47951</v>
      </c>
      <c r="F7565" s="5" t="s">
        <v>212</v>
      </c>
      <c r="G7565" s="5" t="s">
        <v>47952</v>
      </c>
      <c r="H7565" s="6" t="s">
        <v>47953</v>
      </c>
      <c r="K7565" s="5" t="s">
        <v>47932</v>
      </c>
    </row>
    <row r="7566">
      <c r="A7566" s="4">
        <v>45534.38404855324</v>
      </c>
      <c r="B7566" s="5" t="s">
        <v>34</v>
      </c>
      <c r="D7566" s="5" t="s">
        <v>6232</v>
      </c>
      <c r="E7566" s="5" t="s">
        <v>47956</v>
      </c>
      <c r="F7566" s="5" t="s">
        <v>715</v>
      </c>
      <c r="G7566" s="5" t="s">
        <v>47957</v>
      </c>
      <c r="H7566" s="6" t="s">
        <v>47958</v>
      </c>
      <c r="K7566" s="5" t="s">
        <v>47932</v>
      </c>
    </row>
    <row r="7567">
      <c r="A7567" s="4">
        <v>45534.38406503473</v>
      </c>
      <c r="B7567" s="5" t="s">
        <v>34</v>
      </c>
      <c r="D7567" s="5" t="s">
        <v>10444</v>
      </c>
      <c r="E7567" s="5" t="s">
        <v>47962</v>
      </c>
      <c r="F7567" s="5" t="s">
        <v>108</v>
      </c>
      <c r="G7567" s="5" t="s">
        <v>47963</v>
      </c>
      <c r="H7567" s="6" t="s">
        <v>47964</v>
      </c>
      <c r="K7567" s="5" t="s">
        <v>47932</v>
      </c>
    </row>
    <row r="7568">
      <c r="A7568" s="4">
        <v>45534.384081446755</v>
      </c>
      <c r="B7568" s="5" t="s">
        <v>34</v>
      </c>
      <c r="D7568" s="5" t="s">
        <v>9394</v>
      </c>
      <c r="E7568" s="5" t="s">
        <v>47967</v>
      </c>
      <c r="F7568" s="5" t="s">
        <v>108</v>
      </c>
      <c r="G7568" s="5" t="s">
        <v>47968</v>
      </c>
      <c r="H7568" s="6" t="s">
        <v>47969</v>
      </c>
      <c r="K7568" s="5" t="s">
        <v>47932</v>
      </c>
    </row>
    <row r="7569">
      <c r="A7569" s="4">
        <v>45534.38410773149</v>
      </c>
      <c r="B7569" s="5" t="s">
        <v>19</v>
      </c>
      <c r="C7569" s="5" t="s">
        <v>40230</v>
      </c>
      <c r="E7569" s="5" t="s">
        <v>47972</v>
      </c>
      <c r="F7569" s="5" t="s">
        <v>375</v>
      </c>
      <c r="G7569" s="5" t="s">
        <v>47973</v>
      </c>
      <c r="H7569" s="6" t="s">
        <v>47974</v>
      </c>
      <c r="K7569" s="5" t="s">
        <v>47932</v>
      </c>
    </row>
    <row r="7570">
      <c r="A7570" s="4">
        <v>45534.38411270833</v>
      </c>
      <c r="B7570" s="5" t="s">
        <v>34</v>
      </c>
      <c r="D7570" s="5" t="s">
        <v>9020</v>
      </c>
      <c r="E7570" s="5" t="s">
        <v>47977</v>
      </c>
      <c r="F7570" s="5" t="s">
        <v>212</v>
      </c>
      <c r="G7570" s="5" t="s">
        <v>47978</v>
      </c>
      <c r="H7570" s="6" t="s">
        <v>47979</v>
      </c>
      <c r="K7570" s="5" t="s">
        <v>47980</v>
      </c>
    </row>
    <row r="7571">
      <c r="A7571" s="4">
        <v>45534.384138761576</v>
      </c>
      <c r="B7571" s="5" t="s">
        <v>34</v>
      </c>
      <c r="D7571" s="5" t="s">
        <v>10444</v>
      </c>
      <c r="E7571" s="5" t="s">
        <v>47983</v>
      </c>
      <c r="F7571" s="5" t="s">
        <v>108</v>
      </c>
      <c r="G7571" s="5" t="s">
        <v>47984</v>
      </c>
      <c r="H7571" s="6" t="s">
        <v>47985</v>
      </c>
      <c r="K7571" s="5" t="s">
        <v>47986</v>
      </c>
    </row>
    <row r="7572">
      <c r="A7572" s="4">
        <v>45534.384140821756</v>
      </c>
      <c r="B7572" s="5" t="s">
        <v>34</v>
      </c>
      <c r="D7572" s="5" t="s">
        <v>10297</v>
      </c>
      <c r="E7572" s="5" t="s">
        <v>47990</v>
      </c>
      <c r="F7572" s="5" t="s">
        <v>72</v>
      </c>
      <c r="G7572" s="5" t="s">
        <v>47991</v>
      </c>
      <c r="H7572" s="6" t="s">
        <v>47992</v>
      </c>
      <c r="K7572" s="5" t="s">
        <v>47986</v>
      </c>
    </row>
    <row r="7573">
      <c r="A7573" s="4">
        <v>45534.38417005787</v>
      </c>
      <c r="B7573" s="5" t="s">
        <v>34</v>
      </c>
      <c r="D7573" s="5" t="s">
        <v>4775</v>
      </c>
      <c r="E7573" s="5" t="s">
        <v>47995</v>
      </c>
      <c r="F7573" s="5" t="s">
        <v>524</v>
      </c>
      <c r="G7573" s="5" t="s">
        <v>47996</v>
      </c>
      <c r="H7573" s="6" t="s">
        <v>47997</v>
      </c>
      <c r="K7573" s="5" t="s">
        <v>47986</v>
      </c>
    </row>
    <row r="7574">
      <c r="A7574" s="4">
        <v>45534.38417873843</v>
      </c>
      <c r="B7574" s="5" t="s">
        <v>19</v>
      </c>
      <c r="C7574" s="5" t="s">
        <v>442</v>
      </c>
      <c r="E7574" s="5" t="s">
        <v>48000</v>
      </c>
      <c r="F7574" s="5" t="s">
        <v>108</v>
      </c>
      <c r="G7574" s="5" t="s">
        <v>48001</v>
      </c>
      <c r="H7574" s="6" t="s">
        <v>48002</v>
      </c>
      <c r="K7574" s="5" t="s">
        <v>47986</v>
      </c>
    </row>
    <row r="7575">
      <c r="A7575" s="4">
        <v>45534.38422997685</v>
      </c>
      <c r="B7575" s="5" t="s">
        <v>34</v>
      </c>
      <c r="D7575" s="5" t="s">
        <v>1206</v>
      </c>
      <c r="E7575" s="5" t="s">
        <v>48005</v>
      </c>
      <c r="F7575" s="5" t="s">
        <v>37</v>
      </c>
      <c r="G7575" s="5" t="s">
        <v>48006</v>
      </c>
      <c r="H7575" s="6" t="s">
        <v>48007</v>
      </c>
      <c r="K7575" s="5" t="s">
        <v>48008</v>
      </c>
    </row>
    <row r="7576">
      <c r="A7576" s="4">
        <v>45534.3842337963</v>
      </c>
      <c r="B7576" s="5" t="s">
        <v>34</v>
      </c>
      <c r="D7576" s="5" t="s">
        <v>9020</v>
      </c>
      <c r="E7576" s="5" t="s">
        <v>48012</v>
      </c>
      <c r="F7576" s="5" t="s">
        <v>72</v>
      </c>
      <c r="G7576" s="5" t="s">
        <v>48013</v>
      </c>
      <c r="H7576" s="6" t="s">
        <v>48014</v>
      </c>
      <c r="K7576" s="5" t="s">
        <v>48008</v>
      </c>
    </row>
    <row r="7577">
      <c r="A7577" s="4">
        <v>45534.384261388885</v>
      </c>
      <c r="B7577" s="5" t="s">
        <v>34</v>
      </c>
      <c r="D7577" s="5" t="s">
        <v>12978</v>
      </c>
      <c r="E7577" s="5" t="s">
        <v>48017</v>
      </c>
      <c r="F7577" s="5" t="s">
        <v>715</v>
      </c>
      <c r="G7577" s="5" t="s">
        <v>48018</v>
      </c>
      <c r="H7577" s="6" t="s">
        <v>48019</v>
      </c>
      <c r="K7577" s="5" t="s">
        <v>48008</v>
      </c>
    </row>
    <row r="7578">
      <c r="A7578" s="4">
        <v>45534.38427011574</v>
      </c>
      <c r="B7578" s="5" t="s">
        <v>34</v>
      </c>
      <c r="D7578" s="5" t="s">
        <v>1692</v>
      </c>
      <c r="E7578" s="5" t="s">
        <v>48022</v>
      </c>
      <c r="F7578" s="5" t="s">
        <v>72</v>
      </c>
      <c r="G7578" s="5" t="s">
        <v>48023</v>
      </c>
      <c r="H7578" s="6" t="s">
        <v>48024</v>
      </c>
      <c r="K7578" s="5" t="s">
        <v>48008</v>
      </c>
    </row>
    <row r="7579">
      <c r="A7579" s="4">
        <v>45534.3842749537</v>
      </c>
      <c r="B7579" s="5" t="s">
        <v>34</v>
      </c>
      <c r="D7579" s="5" t="s">
        <v>10297</v>
      </c>
      <c r="E7579" s="5" t="s">
        <v>48027</v>
      </c>
      <c r="F7579" s="5" t="s">
        <v>524</v>
      </c>
      <c r="G7579" s="5" t="s">
        <v>48028</v>
      </c>
      <c r="H7579" s="6" t="s">
        <v>48029</v>
      </c>
      <c r="K7579" s="5" t="s">
        <v>48008</v>
      </c>
    </row>
    <row r="7580">
      <c r="A7580" s="4">
        <v>45534.38427342592</v>
      </c>
      <c r="B7580" s="5" t="s">
        <v>34</v>
      </c>
      <c r="D7580" s="5" t="s">
        <v>580</v>
      </c>
      <c r="E7580" s="5" t="s">
        <v>48032</v>
      </c>
      <c r="F7580" s="5" t="s">
        <v>37</v>
      </c>
      <c r="G7580" s="5" t="s">
        <v>48033</v>
      </c>
      <c r="H7580" s="6" t="s">
        <v>48034</v>
      </c>
      <c r="K7580" s="5" t="s">
        <v>48008</v>
      </c>
    </row>
    <row r="7581">
      <c r="A7581" s="4">
        <v>45534.38435375</v>
      </c>
      <c r="B7581" s="5" t="s">
        <v>19</v>
      </c>
      <c r="C7581" s="5" t="s">
        <v>5058</v>
      </c>
      <c r="E7581" s="5" t="s">
        <v>48038</v>
      </c>
      <c r="F7581" s="5" t="s">
        <v>108</v>
      </c>
      <c r="G7581" s="5" t="s">
        <v>48039</v>
      </c>
      <c r="H7581" s="6" t="s">
        <v>48040</v>
      </c>
      <c r="K7581" s="5" t="s">
        <v>48041</v>
      </c>
    </row>
    <row r="7582">
      <c r="A7582" s="4">
        <v>45534.38437885417</v>
      </c>
      <c r="B7582" s="5" t="s">
        <v>19</v>
      </c>
      <c r="C7582" s="5" t="s">
        <v>3301</v>
      </c>
      <c r="E7582" s="5" t="s">
        <v>48044</v>
      </c>
      <c r="F7582" s="5" t="s">
        <v>715</v>
      </c>
      <c r="G7582" s="5" t="s">
        <v>48045</v>
      </c>
      <c r="H7582" s="6" t="s">
        <v>48046</v>
      </c>
      <c r="K7582" s="5" t="s">
        <v>48041</v>
      </c>
    </row>
    <row r="7583">
      <c r="A7583" s="4">
        <v>45534.38438467593</v>
      </c>
      <c r="B7583" s="5" t="s">
        <v>34</v>
      </c>
      <c r="D7583" s="5" t="s">
        <v>522</v>
      </c>
      <c r="E7583" s="5" t="s">
        <v>48049</v>
      </c>
      <c r="F7583" s="5" t="s">
        <v>212</v>
      </c>
      <c r="G7583" s="5" t="s">
        <v>48050</v>
      </c>
      <c r="H7583" s="6" t="s">
        <v>48051</v>
      </c>
      <c r="K7583" s="5" t="s">
        <v>48041</v>
      </c>
    </row>
    <row r="7584">
      <c r="A7584" s="4">
        <v>45534.38439197917</v>
      </c>
      <c r="B7584" s="5" t="s">
        <v>34</v>
      </c>
      <c r="D7584" s="5" t="s">
        <v>9020</v>
      </c>
      <c r="E7584" s="5" t="s">
        <v>48054</v>
      </c>
      <c r="F7584" s="5" t="s">
        <v>375</v>
      </c>
      <c r="G7584" s="5" t="s">
        <v>48055</v>
      </c>
      <c r="H7584" s="6" t="s">
        <v>48056</v>
      </c>
      <c r="K7584" s="5" t="s">
        <v>48041</v>
      </c>
    </row>
    <row r="7585">
      <c r="A7585" s="4">
        <v>45534.38445085648</v>
      </c>
      <c r="B7585" s="5" t="s">
        <v>34</v>
      </c>
      <c r="D7585" s="5" t="s">
        <v>14313</v>
      </c>
      <c r="E7585" s="5" t="s">
        <v>48060</v>
      </c>
      <c r="F7585" s="5" t="s">
        <v>199</v>
      </c>
      <c r="G7585" s="5" t="s">
        <v>48061</v>
      </c>
      <c r="H7585" s="6" t="s">
        <v>48062</v>
      </c>
      <c r="K7585" s="5" t="s">
        <v>48063</v>
      </c>
    </row>
    <row r="7586">
      <c r="A7586" s="4">
        <v>45534.384458298606</v>
      </c>
      <c r="B7586" s="5" t="s">
        <v>34</v>
      </c>
      <c r="D7586" s="5" t="s">
        <v>9394</v>
      </c>
      <c r="E7586" s="5" t="s">
        <v>48066</v>
      </c>
      <c r="F7586" s="5" t="s">
        <v>715</v>
      </c>
      <c r="G7586" s="5" t="s">
        <v>48067</v>
      </c>
      <c r="H7586" s="6" t="s">
        <v>48068</v>
      </c>
      <c r="K7586" s="5" t="s">
        <v>48063</v>
      </c>
    </row>
    <row r="7587">
      <c r="A7587" s="4">
        <v>45534.38447076389</v>
      </c>
      <c r="B7587" s="5" t="s">
        <v>34</v>
      </c>
      <c r="D7587" s="5" t="s">
        <v>4775</v>
      </c>
      <c r="E7587" s="5" t="s">
        <v>48071</v>
      </c>
      <c r="F7587" s="5" t="s">
        <v>375</v>
      </c>
      <c r="G7587" s="5" t="s">
        <v>48072</v>
      </c>
      <c r="H7587" s="6" t="s">
        <v>48073</v>
      </c>
      <c r="K7587" s="5" t="s">
        <v>48074</v>
      </c>
    </row>
    <row r="7588">
      <c r="A7588" s="4">
        <v>45534.384484027774</v>
      </c>
      <c r="B7588" s="5" t="s">
        <v>34</v>
      </c>
      <c r="D7588" s="5" t="s">
        <v>4775</v>
      </c>
      <c r="E7588" s="5" t="s">
        <v>48078</v>
      </c>
      <c r="F7588" s="5" t="s">
        <v>212</v>
      </c>
      <c r="G7588" s="5" t="s">
        <v>48079</v>
      </c>
      <c r="H7588" s="6" t="s">
        <v>48080</v>
      </c>
      <c r="K7588" s="5" t="s">
        <v>48074</v>
      </c>
    </row>
    <row r="7589">
      <c r="A7589" s="4">
        <v>45534.384488564814</v>
      </c>
      <c r="B7589" s="5" t="s">
        <v>34</v>
      </c>
      <c r="D7589" s="5" t="s">
        <v>7858</v>
      </c>
      <c r="E7589" s="5" t="s">
        <v>48083</v>
      </c>
      <c r="F7589" s="5" t="s">
        <v>524</v>
      </c>
      <c r="G7589" s="5" t="s">
        <v>48084</v>
      </c>
      <c r="H7589" s="6" t="s">
        <v>48085</v>
      </c>
      <c r="K7589" s="5" t="s">
        <v>48074</v>
      </c>
    </row>
    <row r="7590">
      <c r="A7590" s="4">
        <v>45534.384526319445</v>
      </c>
      <c r="B7590" s="5" t="s">
        <v>34</v>
      </c>
      <c r="D7590" s="5" t="s">
        <v>701</v>
      </c>
      <c r="E7590" s="5" t="s">
        <v>48088</v>
      </c>
      <c r="F7590" s="5" t="s">
        <v>199</v>
      </c>
      <c r="G7590" s="5" t="s">
        <v>48089</v>
      </c>
      <c r="H7590" s="6" t="s">
        <v>48090</v>
      </c>
      <c r="K7590" s="5" t="s">
        <v>48091</v>
      </c>
    </row>
    <row r="7591">
      <c r="A7591" s="4">
        <v>45534.3845534375</v>
      </c>
      <c r="B7591" s="5" t="s">
        <v>19</v>
      </c>
      <c r="C7591" s="5" t="s">
        <v>45988</v>
      </c>
      <c r="E7591" s="5" t="s">
        <v>48094</v>
      </c>
      <c r="F7591" s="5" t="s">
        <v>212</v>
      </c>
      <c r="G7591" s="5" t="s">
        <v>48095</v>
      </c>
      <c r="H7591" s="6" t="s">
        <v>48096</v>
      </c>
      <c r="K7591" s="5" t="s">
        <v>48091</v>
      </c>
    </row>
    <row r="7592">
      <c r="A7592" s="4">
        <v>45534.38455393519</v>
      </c>
      <c r="B7592" s="5" t="s">
        <v>34</v>
      </c>
      <c r="D7592" s="5" t="s">
        <v>1206</v>
      </c>
      <c r="E7592" s="5" t="s">
        <v>48100</v>
      </c>
      <c r="F7592" s="5" t="s">
        <v>72</v>
      </c>
      <c r="G7592" s="5" t="s">
        <v>48101</v>
      </c>
      <c r="H7592" s="6" t="s">
        <v>48102</v>
      </c>
      <c r="K7592" s="5" t="s">
        <v>48091</v>
      </c>
    </row>
    <row r="7593">
      <c r="A7593" s="4">
        <v>45534.38456261574</v>
      </c>
      <c r="B7593" s="5" t="s">
        <v>34</v>
      </c>
      <c r="D7593" s="5" t="s">
        <v>35</v>
      </c>
      <c r="E7593" s="5" t="s">
        <v>48105</v>
      </c>
      <c r="F7593" s="5" t="s">
        <v>108</v>
      </c>
      <c r="G7593" s="5" t="s">
        <v>48106</v>
      </c>
      <c r="H7593" s="6" t="s">
        <v>48107</v>
      </c>
      <c r="K7593" s="5" t="s">
        <v>48091</v>
      </c>
    </row>
    <row r="7594">
      <c r="A7594" s="4">
        <v>45534.38458570602</v>
      </c>
      <c r="B7594" s="5" t="s">
        <v>34</v>
      </c>
      <c r="D7594" s="5" t="s">
        <v>4775</v>
      </c>
      <c r="E7594" s="5" t="s">
        <v>48110</v>
      </c>
      <c r="F7594" s="5" t="s">
        <v>212</v>
      </c>
      <c r="G7594" s="5" t="s">
        <v>48111</v>
      </c>
      <c r="H7594" s="6" t="s">
        <v>48112</v>
      </c>
      <c r="K7594" s="5" t="s">
        <v>48113</v>
      </c>
    </row>
    <row r="7595">
      <c r="A7595" s="4">
        <v>45534.38469096065</v>
      </c>
      <c r="B7595" s="5" t="s">
        <v>34</v>
      </c>
      <c r="D7595" s="5" t="s">
        <v>1206</v>
      </c>
      <c r="E7595" s="5" t="s">
        <v>48116</v>
      </c>
      <c r="F7595" s="5" t="s">
        <v>37</v>
      </c>
      <c r="G7595" s="5" t="s">
        <v>48117</v>
      </c>
      <c r="H7595" s="6" t="s">
        <v>48118</v>
      </c>
      <c r="K7595" s="5" t="s">
        <v>48119</v>
      </c>
    </row>
    <row r="7596">
      <c r="A7596" s="4">
        <v>45534.384708020836</v>
      </c>
      <c r="B7596" s="5" t="s">
        <v>34</v>
      </c>
      <c r="D7596" s="5" t="s">
        <v>1206</v>
      </c>
      <c r="E7596" s="5" t="s">
        <v>48123</v>
      </c>
      <c r="F7596" s="5" t="s">
        <v>524</v>
      </c>
      <c r="G7596" s="5" t="s">
        <v>48124</v>
      </c>
      <c r="H7596" s="6" t="s">
        <v>48125</v>
      </c>
      <c r="K7596" s="5" t="s">
        <v>48119</v>
      </c>
    </row>
    <row r="7597">
      <c r="A7597" s="4">
        <v>45534.384711192135</v>
      </c>
      <c r="B7597" s="5" t="s">
        <v>34</v>
      </c>
      <c r="D7597" s="5" t="s">
        <v>9020</v>
      </c>
      <c r="E7597" s="5" t="s">
        <v>48128</v>
      </c>
      <c r="F7597" s="5" t="s">
        <v>37</v>
      </c>
      <c r="G7597" s="5" t="s">
        <v>48129</v>
      </c>
      <c r="H7597" s="6" t="s">
        <v>48130</v>
      </c>
      <c r="K7597" s="5" t="s">
        <v>48119</v>
      </c>
    </row>
    <row r="7598">
      <c r="A7598" s="4">
        <v>45534.38471372685</v>
      </c>
      <c r="B7598" s="5" t="s">
        <v>34</v>
      </c>
      <c r="D7598" s="5" t="s">
        <v>996</v>
      </c>
      <c r="E7598" s="5" t="s">
        <v>48133</v>
      </c>
      <c r="F7598" s="5" t="s">
        <v>524</v>
      </c>
      <c r="G7598" s="5" t="s">
        <v>48134</v>
      </c>
      <c r="H7598" s="6" t="s">
        <v>48135</v>
      </c>
      <c r="K7598" s="5" t="s">
        <v>48119</v>
      </c>
    </row>
    <row r="7599">
      <c r="A7599" s="4">
        <v>45534.384732708335</v>
      </c>
      <c r="B7599" s="5" t="s">
        <v>34</v>
      </c>
      <c r="D7599" s="5" t="s">
        <v>12010</v>
      </c>
      <c r="E7599" s="5" t="s">
        <v>48138</v>
      </c>
      <c r="F7599" s="5" t="s">
        <v>37</v>
      </c>
      <c r="G7599" s="5" t="s">
        <v>48139</v>
      </c>
      <c r="H7599" s="6" t="s">
        <v>48140</v>
      </c>
      <c r="K7599" s="5" t="s">
        <v>48141</v>
      </c>
    </row>
    <row r="7600">
      <c r="A7600" s="4">
        <v>45534.3847653125</v>
      </c>
      <c r="B7600" s="5" t="s">
        <v>19</v>
      </c>
      <c r="C7600" s="5" t="s">
        <v>442</v>
      </c>
      <c r="E7600" s="5" t="s">
        <v>48145</v>
      </c>
      <c r="F7600" s="5" t="s">
        <v>108</v>
      </c>
      <c r="G7600" s="5" t="s">
        <v>48146</v>
      </c>
      <c r="H7600" s="6" t="s">
        <v>48147</v>
      </c>
      <c r="K7600" s="5" t="s">
        <v>48148</v>
      </c>
    </row>
    <row r="7601">
      <c r="A7601" s="4">
        <v>45534.38479494213</v>
      </c>
      <c r="B7601" s="5" t="s">
        <v>34</v>
      </c>
      <c r="D7601" s="5" t="s">
        <v>1206</v>
      </c>
      <c r="E7601" s="5" t="s">
        <v>48151</v>
      </c>
      <c r="F7601" s="5" t="s">
        <v>37</v>
      </c>
      <c r="G7601" s="5" t="s">
        <v>48152</v>
      </c>
      <c r="H7601" s="6" t="s">
        <v>48153</v>
      </c>
      <c r="K7601" s="5" t="s">
        <v>48154</v>
      </c>
    </row>
    <row r="7602">
      <c r="A7602" s="4">
        <v>45534.384799363426</v>
      </c>
      <c r="B7602" s="5" t="s">
        <v>34</v>
      </c>
      <c r="D7602" s="5" t="s">
        <v>1206</v>
      </c>
      <c r="E7602" s="5" t="s">
        <v>48157</v>
      </c>
      <c r="F7602" s="5" t="s">
        <v>37</v>
      </c>
      <c r="G7602" s="5" t="s">
        <v>48158</v>
      </c>
      <c r="H7602" s="6" t="s">
        <v>48159</v>
      </c>
      <c r="K7602" s="5" t="s">
        <v>48154</v>
      </c>
    </row>
    <row r="7603">
      <c r="A7603" s="4">
        <v>45534.384801099535</v>
      </c>
      <c r="B7603" s="5" t="s">
        <v>19</v>
      </c>
      <c r="C7603" s="5" t="s">
        <v>83</v>
      </c>
      <c r="E7603" s="5" t="s">
        <v>48162</v>
      </c>
      <c r="F7603" s="5" t="s">
        <v>120</v>
      </c>
      <c r="G7603" s="5" t="s">
        <v>48163</v>
      </c>
      <c r="H7603" s="6" t="s">
        <v>48164</v>
      </c>
      <c r="K7603" s="5" t="s">
        <v>48154</v>
      </c>
    </row>
    <row r="7604">
      <c r="A7604" s="4">
        <v>45534.384854918986</v>
      </c>
      <c r="B7604" s="5" t="s">
        <v>34</v>
      </c>
      <c r="D7604" s="5" t="s">
        <v>4775</v>
      </c>
      <c r="E7604" s="5" t="s">
        <v>48168</v>
      </c>
      <c r="F7604" s="5" t="s">
        <v>524</v>
      </c>
      <c r="G7604" s="5" t="s">
        <v>48169</v>
      </c>
      <c r="H7604" s="6" t="s">
        <v>48170</v>
      </c>
      <c r="K7604" s="5" t="s">
        <v>48171</v>
      </c>
    </row>
    <row r="7605">
      <c r="A7605" s="4">
        <v>45534.384860879625</v>
      </c>
      <c r="B7605" s="5" t="s">
        <v>34</v>
      </c>
      <c r="D7605" s="5" t="s">
        <v>280</v>
      </c>
      <c r="E7605" s="5" t="s">
        <v>48174</v>
      </c>
      <c r="F7605" s="5" t="s">
        <v>524</v>
      </c>
      <c r="G7605" s="5" t="s">
        <v>48175</v>
      </c>
      <c r="H7605" s="6" t="s">
        <v>48176</v>
      </c>
      <c r="K7605" s="5" t="s">
        <v>48177</v>
      </c>
    </row>
    <row r="7606">
      <c r="A7606" s="4">
        <v>45534.384858136575</v>
      </c>
      <c r="B7606" s="5" t="s">
        <v>34</v>
      </c>
      <c r="D7606" s="5" t="s">
        <v>2903</v>
      </c>
      <c r="E7606" s="5" t="s">
        <v>48180</v>
      </c>
      <c r="F7606" s="5" t="s">
        <v>85</v>
      </c>
      <c r="G7606" s="5" t="s">
        <v>48181</v>
      </c>
      <c r="H7606" s="6" t="s">
        <v>48182</v>
      </c>
      <c r="K7606" s="5" t="s">
        <v>48177</v>
      </c>
    </row>
    <row r="7607">
      <c r="A7607" s="4">
        <v>45534.38486790509</v>
      </c>
      <c r="B7607" s="5" t="s">
        <v>34</v>
      </c>
      <c r="D7607" s="5" t="s">
        <v>4775</v>
      </c>
      <c r="E7607" s="5" t="s">
        <v>27459</v>
      </c>
      <c r="F7607" s="5" t="s">
        <v>199</v>
      </c>
      <c r="G7607" s="5" t="s">
        <v>48186</v>
      </c>
      <c r="H7607" s="6" t="s">
        <v>48187</v>
      </c>
      <c r="K7607" s="5" t="s">
        <v>48177</v>
      </c>
    </row>
    <row r="7608">
      <c r="A7608" s="4">
        <v>45534.384879606485</v>
      </c>
      <c r="B7608" s="5" t="s">
        <v>34</v>
      </c>
      <c r="D7608" s="5" t="s">
        <v>9020</v>
      </c>
      <c r="E7608" s="5" t="s">
        <v>48191</v>
      </c>
      <c r="F7608" s="5" t="s">
        <v>108</v>
      </c>
      <c r="G7608" s="5" t="s">
        <v>48192</v>
      </c>
      <c r="H7608" s="6" t="s">
        <v>48193</v>
      </c>
      <c r="K7608" s="5" t="s">
        <v>48177</v>
      </c>
    </row>
    <row r="7609">
      <c r="A7609" s="4">
        <v>45534.3848812963</v>
      </c>
      <c r="B7609" s="5" t="s">
        <v>34</v>
      </c>
      <c r="D7609" s="5" t="s">
        <v>9020</v>
      </c>
      <c r="E7609" s="5" t="s">
        <v>48197</v>
      </c>
      <c r="F7609" s="5" t="s">
        <v>37</v>
      </c>
      <c r="G7609" s="5" t="s">
        <v>48198</v>
      </c>
      <c r="H7609" s="6" t="s">
        <v>48199</v>
      </c>
      <c r="K7609" s="5" t="s">
        <v>48200</v>
      </c>
    </row>
    <row r="7610">
      <c r="A7610" s="4">
        <v>45534.38488128472</v>
      </c>
      <c r="B7610" s="5" t="s">
        <v>34</v>
      </c>
      <c r="D7610" s="5" t="s">
        <v>9394</v>
      </c>
      <c r="E7610" s="5" t="s">
        <v>48204</v>
      </c>
      <c r="F7610" s="5" t="s">
        <v>715</v>
      </c>
      <c r="G7610" s="5" t="s">
        <v>48205</v>
      </c>
      <c r="H7610" s="6" t="s">
        <v>48206</v>
      </c>
      <c r="K7610" s="5" t="s">
        <v>48200</v>
      </c>
    </row>
    <row r="7611">
      <c r="A7611" s="4">
        <v>45534.384892754635</v>
      </c>
      <c r="B7611" s="5" t="s">
        <v>34</v>
      </c>
      <c r="D7611" s="5" t="s">
        <v>996</v>
      </c>
      <c r="E7611" s="5" t="s">
        <v>48210</v>
      </c>
      <c r="F7611" s="5" t="s">
        <v>108</v>
      </c>
      <c r="G7611" s="5" t="s">
        <v>48211</v>
      </c>
      <c r="H7611" s="6" t="s">
        <v>48212</v>
      </c>
      <c r="K7611" s="5" t="s">
        <v>48200</v>
      </c>
    </row>
    <row r="7612">
      <c r="A7612" s="4">
        <v>45534.384893703704</v>
      </c>
      <c r="B7612" s="5" t="s">
        <v>34</v>
      </c>
      <c r="D7612" s="5" t="s">
        <v>280</v>
      </c>
      <c r="E7612" s="5" t="s">
        <v>48216</v>
      </c>
      <c r="F7612" s="5" t="s">
        <v>212</v>
      </c>
      <c r="G7612" s="5" t="s">
        <v>48217</v>
      </c>
      <c r="H7612" s="6" t="s">
        <v>48218</v>
      </c>
      <c r="K7612" s="5" t="s">
        <v>48200</v>
      </c>
    </row>
    <row r="7613">
      <c r="A7613" s="4">
        <v>45534.384903530095</v>
      </c>
      <c r="B7613" s="5" t="s">
        <v>34</v>
      </c>
      <c r="D7613" s="5" t="s">
        <v>12978</v>
      </c>
      <c r="E7613" s="5" t="s">
        <v>48222</v>
      </c>
      <c r="F7613" s="5" t="s">
        <v>375</v>
      </c>
      <c r="G7613" s="5" t="s">
        <v>48223</v>
      </c>
      <c r="H7613" s="6" t="s">
        <v>48224</v>
      </c>
      <c r="K7613" s="5" t="s">
        <v>48200</v>
      </c>
    </row>
    <row r="7614">
      <c r="A7614" s="4">
        <v>45534.38491329861</v>
      </c>
      <c r="B7614" s="5" t="s">
        <v>19</v>
      </c>
      <c r="C7614" s="5" t="s">
        <v>83</v>
      </c>
      <c r="E7614" s="5" t="s">
        <v>48228</v>
      </c>
      <c r="F7614" s="5" t="s">
        <v>375</v>
      </c>
      <c r="G7614" s="5" t="s">
        <v>48229</v>
      </c>
      <c r="H7614" s="6" t="s">
        <v>48230</v>
      </c>
      <c r="K7614" s="5" t="s">
        <v>48200</v>
      </c>
    </row>
    <row r="7615">
      <c r="A7615" s="4">
        <v>45534.384916006944</v>
      </c>
      <c r="B7615" s="5" t="s">
        <v>34</v>
      </c>
      <c r="D7615" s="5" t="s">
        <v>9394</v>
      </c>
      <c r="E7615" s="5" t="s">
        <v>48234</v>
      </c>
      <c r="F7615" s="5" t="s">
        <v>524</v>
      </c>
      <c r="G7615" s="5" t="s">
        <v>48235</v>
      </c>
      <c r="H7615" s="6" t="s">
        <v>48236</v>
      </c>
      <c r="K7615" s="5" t="s">
        <v>48200</v>
      </c>
    </row>
    <row r="7616">
      <c r="A7616" s="4">
        <v>45534.384932870365</v>
      </c>
      <c r="B7616" s="5" t="s">
        <v>19</v>
      </c>
      <c r="C7616" s="5" t="s">
        <v>292</v>
      </c>
      <c r="E7616" s="5" t="s">
        <v>48240</v>
      </c>
      <c r="F7616" s="5" t="s">
        <v>120</v>
      </c>
      <c r="G7616" s="5" t="s">
        <v>48241</v>
      </c>
      <c r="H7616" s="6" t="s">
        <v>48242</v>
      </c>
      <c r="K7616" s="5" t="s">
        <v>48200</v>
      </c>
    </row>
    <row r="7617">
      <c r="A7617" s="4">
        <v>45534.38493885417</v>
      </c>
      <c r="B7617" s="5" t="s">
        <v>19</v>
      </c>
      <c r="C7617" s="5" t="s">
        <v>20</v>
      </c>
      <c r="E7617" s="5" t="s">
        <v>48246</v>
      </c>
      <c r="F7617" s="5" t="s">
        <v>375</v>
      </c>
      <c r="G7617" s="5" t="s">
        <v>48247</v>
      </c>
      <c r="H7617" s="6" t="s">
        <v>48248</v>
      </c>
      <c r="K7617" s="5" t="s">
        <v>48200</v>
      </c>
    </row>
    <row r="7618">
      <c r="A7618" s="4">
        <v>45534.38495280093</v>
      </c>
      <c r="B7618" s="5" t="s">
        <v>19</v>
      </c>
      <c r="C7618" s="5" t="s">
        <v>5058</v>
      </c>
      <c r="E7618" s="5" t="s">
        <v>48252</v>
      </c>
      <c r="F7618" s="5" t="s">
        <v>375</v>
      </c>
      <c r="G7618" s="5" t="s">
        <v>48253</v>
      </c>
      <c r="H7618" s="6" t="s">
        <v>48254</v>
      </c>
      <c r="K7618" s="5" t="s">
        <v>48255</v>
      </c>
    </row>
    <row r="7619">
      <c r="A7619" s="4">
        <v>45534.38497763889</v>
      </c>
      <c r="B7619" s="5" t="s">
        <v>19</v>
      </c>
      <c r="C7619" s="5" t="s">
        <v>83</v>
      </c>
      <c r="E7619" s="5" t="s">
        <v>48259</v>
      </c>
      <c r="F7619" s="5" t="s">
        <v>108</v>
      </c>
      <c r="G7619" s="5" t="s">
        <v>48260</v>
      </c>
      <c r="H7619" s="6" t="s">
        <v>48261</v>
      </c>
      <c r="K7619" s="5" t="s">
        <v>48262</v>
      </c>
    </row>
    <row r="7620">
      <c r="A7620" s="4">
        <v>45534.38498091435</v>
      </c>
      <c r="B7620" s="5" t="s">
        <v>34</v>
      </c>
      <c r="D7620" s="5" t="s">
        <v>35</v>
      </c>
      <c r="E7620" s="5" t="s">
        <v>48266</v>
      </c>
      <c r="F7620" s="5" t="s">
        <v>212</v>
      </c>
      <c r="G7620" s="5" t="s">
        <v>48267</v>
      </c>
      <c r="H7620" s="6" t="s">
        <v>48268</v>
      </c>
      <c r="K7620" s="5" t="s">
        <v>48262</v>
      </c>
    </row>
    <row r="7621">
      <c r="A7621" s="4">
        <v>45534.384983958334</v>
      </c>
      <c r="B7621" s="5" t="s">
        <v>34</v>
      </c>
      <c r="D7621" s="5" t="s">
        <v>1558</v>
      </c>
      <c r="E7621" s="5" t="s">
        <v>48272</v>
      </c>
      <c r="F7621" s="5" t="s">
        <v>37</v>
      </c>
      <c r="G7621" s="5" t="s">
        <v>48273</v>
      </c>
      <c r="H7621" s="6" t="s">
        <v>48274</v>
      </c>
      <c r="K7621" s="5" t="s">
        <v>48262</v>
      </c>
    </row>
    <row r="7622">
      <c r="A7622" s="4">
        <v>45534.38499288194</v>
      </c>
      <c r="B7622" s="5" t="s">
        <v>34</v>
      </c>
      <c r="D7622" s="5" t="s">
        <v>35</v>
      </c>
      <c r="E7622" s="5" t="s">
        <v>48278</v>
      </c>
      <c r="F7622" s="5" t="s">
        <v>37</v>
      </c>
      <c r="G7622" s="5" t="s">
        <v>48279</v>
      </c>
      <c r="H7622" s="6" t="s">
        <v>48280</v>
      </c>
      <c r="K7622" s="5" t="s">
        <v>48262</v>
      </c>
    </row>
    <row r="7623">
      <c r="A7623" s="4">
        <v>45534.3850043287</v>
      </c>
      <c r="B7623" s="5" t="s">
        <v>19</v>
      </c>
      <c r="C7623" s="5" t="s">
        <v>5058</v>
      </c>
      <c r="E7623" s="5" t="s">
        <v>48284</v>
      </c>
      <c r="F7623" s="5" t="s">
        <v>375</v>
      </c>
      <c r="G7623" s="5" t="s">
        <v>48285</v>
      </c>
      <c r="H7623" s="6" t="s">
        <v>48286</v>
      </c>
      <c r="K7623" s="5" t="s">
        <v>48262</v>
      </c>
    </row>
    <row r="7624">
      <c r="A7624" s="4">
        <v>45534.385030868056</v>
      </c>
      <c r="B7624" s="5" t="s">
        <v>34</v>
      </c>
      <c r="D7624" s="5" t="s">
        <v>1206</v>
      </c>
      <c r="E7624" s="5" t="s">
        <v>48290</v>
      </c>
      <c r="F7624" s="5" t="s">
        <v>212</v>
      </c>
      <c r="G7624" s="5" t="s">
        <v>48291</v>
      </c>
      <c r="H7624" s="6" t="s">
        <v>48292</v>
      </c>
      <c r="K7624" s="5" t="s">
        <v>48293</v>
      </c>
    </row>
    <row r="7625">
      <c r="A7625" s="4">
        <v>45534.385044027775</v>
      </c>
      <c r="B7625" s="5" t="s">
        <v>34</v>
      </c>
      <c r="D7625" s="5" t="s">
        <v>1206</v>
      </c>
      <c r="E7625" s="5" t="s">
        <v>48297</v>
      </c>
      <c r="F7625" s="5" t="s">
        <v>212</v>
      </c>
      <c r="G7625" s="5" t="s">
        <v>48298</v>
      </c>
      <c r="H7625" s="6" t="s">
        <v>48299</v>
      </c>
      <c r="K7625" s="5" t="s">
        <v>48293</v>
      </c>
    </row>
    <row r="7626">
      <c r="A7626" s="4">
        <v>45534.38504987268</v>
      </c>
      <c r="B7626" s="5" t="s">
        <v>34</v>
      </c>
      <c r="D7626" s="5" t="s">
        <v>1558</v>
      </c>
      <c r="E7626" s="5" t="s">
        <v>48303</v>
      </c>
      <c r="F7626" s="5" t="s">
        <v>37</v>
      </c>
      <c r="G7626" s="5" t="s">
        <v>48304</v>
      </c>
      <c r="H7626" s="6" t="s">
        <v>48305</v>
      </c>
      <c r="K7626" s="5" t="s">
        <v>48293</v>
      </c>
    </row>
    <row r="7627">
      <c r="A7627" s="4">
        <v>45534.38505868056</v>
      </c>
      <c r="B7627" s="5" t="s">
        <v>34</v>
      </c>
      <c r="D7627" s="5" t="s">
        <v>35</v>
      </c>
      <c r="E7627" s="5" t="s">
        <v>48278</v>
      </c>
      <c r="F7627" s="5" t="s">
        <v>72</v>
      </c>
      <c r="G7627" s="5" t="s">
        <v>48309</v>
      </c>
      <c r="H7627" s="6" t="s">
        <v>48310</v>
      </c>
      <c r="K7627" s="5" t="s">
        <v>48293</v>
      </c>
    </row>
    <row r="7628">
      <c r="A7628" s="4">
        <v>45534.38508237268</v>
      </c>
      <c r="B7628" s="5" t="s">
        <v>34</v>
      </c>
      <c r="D7628" s="5" t="s">
        <v>1206</v>
      </c>
      <c r="E7628" s="5" t="s">
        <v>48314</v>
      </c>
      <c r="F7628" s="5" t="s">
        <v>212</v>
      </c>
      <c r="G7628" s="5" t="s">
        <v>48315</v>
      </c>
      <c r="H7628" s="6" t="s">
        <v>48316</v>
      </c>
      <c r="K7628" s="5" t="s">
        <v>48317</v>
      </c>
    </row>
    <row r="7629">
      <c r="A7629" s="4">
        <v>45534.385091828706</v>
      </c>
      <c r="B7629" s="5" t="s">
        <v>34</v>
      </c>
      <c r="D7629" s="5" t="s">
        <v>267</v>
      </c>
      <c r="E7629" s="5" t="s">
        <v>48321</v>
      </c>
      <c r="F7629" s="5" t="s">
        <v>72</v>
      </c>
      <c r="G7629" s="5" t="s">
        <v>48322</v>
      </c>
      <c r="H7629" s="6" t="s">
        <v>48323</v>
      </c>
      <c r="K7629" s="5" t="s">
        <v>48317</v>
      </c>
    </row>
    <row r="7630">
      <c r="A7630" s="4">
        <v>45534.38510612269</v>
      </c>
      <c r="B7630" s="5" t="s">
        <v>34</v>
      </c>
      <c r="D7630" s="5" t="s">
        <v>9020</v>
      </c>
      <c r="E7630" s="5" t="s">
        <v>48327</v>
      </c>
      <c r="F7630" s="5" t="s">
        <v>524</v>
      </c>
      <c r="G7630" s="5" t="s">
        <v>48328</v>
      </c>
      <c r="H7630" s="6" t="s">
        <v>48329</v>
      </c>
      <c r="K7630" s="5" t="s">
        <v>48330</v>
      </c>
    </row>
    <row r="7631">
      <c r="A7631" s="4">
        <v>45534.38510434028</v>
      </c>
      <c r="B7631" s="5" t="s">
        <v>34</v>
      </c>
      <c r="D7631" s="5" t="s">
        <v>9020</v>
      </c>
      <c r="E7631" s="5" t="s">
        <v>48333</v>
      </c>
      <c r="F7631" s="5" t="s">
        <v>37</v>
      </c>
      <c r="G7631" s="5" t="s">
        <v>48334</v>
      </c>
      <c r="H7631" s="6" t="s">
        <v>48335</v>
      </c>
      <c r="K7631" s="5" t="s">
        <v>48330</v>
      </c>
    </row>
    <row r="7632">
      <c r="A7632" s="4">
        <v>45534.38511725694</v>
      </c>
      <c r="B7632" s="5" t="s">
        <v>34</v>
      </c>
      <c r="D7632" s="5" t="s">
        <v>1206</v>
      </c>
      <c r="E7632" s="5" t="s">
        <v>48338</v>
      </c>
      <c r="F7632" s="5" t="s">
        <v>524</v>
      </c>
      <c r="G7632" s="5" t="s">
        <v>48339</v>
      </c>
      <c r="H7632" s="6" t="s">
        <v>48340</v>
      </c>
      <c r="K7632" s="5" t="s">
        <v>48330</v>
      </c>
    </row>
    <row r="7633">
      <c r="A7633" s="4">
        <v>45534.3851325</v>
      </c>
      <c r="B7633" s="5" t="s">
        <v>34</v>
      </c>
      <c r="D7633" s="5" t="s">
        <v>1206</v>
      </c>
      <c r="E7633" s="5" t="s">
        <v>48343</v>
      </c>
      <c r="F7633" s="5" t="s">
        <v>524</v>
      </c>
      <c r="G7633" s="5" t="s">
        <v>48344</v>
      </c>
      <c r="H7633" s="6" t="s">
        <v>48345</v>
      </c>
      <c r="K7633" s="5" t="s">
        <v>48330</v>
      </c>
    </row>
    <row r="7634">
      <c r="A7634" s="4">
        <v>45534.38513462963</v>
      </c>
      <c r="B7634" s="5" t="s">
        <v>19</v>
      </c>
      <c r="C7634" s="5" t="s">
        <v>45988</v>
      </c>
      <c r="E7634" s="5" t="s">
        <v>16884</v>
      </c>
      <c r="F7634" s="5" t="s">
        <v>6776</v>
      </c>
      <c r="G7634" s="5" t="s">
        <v>48348</v>
      </c>
      <c r="H7634" s="6" t="s">
        <v>48349</v>
      </c>
      <c r="K7634" s="5" t="s">
        <v>48330</v>
      </c>
    </row>
    <row r="7635">
      <c r="A7635" s="4">
        <v>45534.38513572917</v>
      </c>
      <c r="B7635" s="5" t="s">
        <v>34</v>
      </c>
      <c r="D7635" s="5" t="s">
        <v>1456</v>
      </c>
      <c r="E7635" s="5" t="s">
        <v>9517</v>
      </c>
      <c r="F7635" s="5" t="s">
        <v>37</v>
      </c>
      <c r="G7635" s="5" t="s">
        <v>48353</v>
      </c>
      <c r="H7635" s="6" t="s">
        <v>48354</v>
      </c>
      <c r="K7635" s="5" t="s">
        <v>48330</v>
      </c>
    </row>
    <row r="7636">
      <c r="A7636" s="4">
        <v>45534.38516792824</v>
      </c>
      <c r="B7636" s="5" t="s">
        <v>34</v>
      </c>
      <c r="D7636" s="5" t="s">
        <v>10444</v>
      </c>
      <c r="E7636" s="5" t="s">
        <v>48357</v>
      </c>
      <c r="F7636" s="5" t="s">
        <v>37</v>
      </c>
      <c r="G7636" s="5" t="s">
        <v>48358</v>
      </c>
      <c r="H7636" s="6" t="s">
        <v>48359</v>
      </c>
      <c r="K7636" s="5" t="s">
        <v>48360</v>
      </c>
    </row>
    <row r="7637">
      <c r="A7637" s="4">
        <v>45534.385202164354</v>
      </c>
      <c r="B7637" s="5" t="s">
        <v>34</v>
      </c>
      <c r="D7637" s="5" t="s">
        <v>10444</v>
      </c>
      <c r="E7637" s="5" t="s">
        <v>48363</v>
      </c>
      <c r="F7637" s="5" t="s">
        <v>108</v>
      </c>
      <c r="G7637" s="5" t="s">
        <v>48364</v>
      </c>
      <c r="H7637" s="6" t="s">
        <v>48365</v>
      </c>
      <c r="K7637" s="5" t="s">
        <v>48366</v>
      </c>
    </row>
    <row r="7638">
      <c r="A7638" s="4">
        <v>45534.385202314814</v>
      </c>
      <c r="B7638" s="5" t="s">
        <v>34</v>
      </c>
      <c r="D7638" s="5" t="s">
        <v>1206</v>
      </c>
      <c r="E7638" s="5" t="s">
        <v>48370</v>
      </c>
      <c r="F7638" s="5" t="s">
        <v>212</v>
      </c>
      <c r="G7638" s="5" t="s">
        <v>48371</v>
      </c>
      <c r="H7638" s="6" t="s">
        <v>48372</v>
      </c>
      <c r="K7638" s="5" t="s">
        <v>48366</v>
      </c>
    </row>
    <row r="7639">
      <c r="A7639" s="4">
        <v>45534.3852234838</v>
      </c>
      <c r="B7639" s="5" t="s">
        <v>34</v>
      </c>
      <c r="D7639" s="5" t="s">
        <v>14424</v>
      </c>
      <c r="E7639" s="5" t="s">
        <v>48375</v>
      </c>
      <c r="F7639" s="5" t="s">
        <v>72</v>
      </c>
      <c r="G7639" s="5" t="s">
        <v>48376</v>
      </c>
      <c r="H7639" s="6" t="s">
        <v>48377</v>
      </c>
      <c r="K7639" s="5" t="s">
        <v>48378</v>
      </c>
    </row>
    <row r="7640">
      <c r="A7640" s="4">
        <v>45534.38522768518</v>
      </c>
      <c r="B7640" s="5" t="s">
        <v>34</v>
      </c>
      <c r="D7640" s="5" t="s">
        <v>35</v>
      </c>
      <c r="E7640" s="5" t="s">
        <v>48381</v>
      </c>
      <c r="F7640" s="5" t="s">
        <v>72</v>
      </c>
      <c r="G7640" s="5" t="s">
        <v>48382</v>
      </c>
      <c r="H7640" s="6" t="s">
        <v>48383</v>
      </c>
      <c r="K7640" s="5" t="s">
        <v>48378</v>
      </c>
    </row>
    <row r="7641">
      <c r="A7641" s="4">
        <v>45534.38525664352</v>
      </c>
      <c r="B7641" s="5" t="s">
        <v>34</v>
      </c>
      <c r="D7641" s="5" t="s">
        <v>12978</v>
      </c>
      <c r="E7641" s="5" t="s">
        <v>48386</v>
      </c>
      <c r="F7641" s="5" t="s">
        <v>212</v>
      </c>
      <c r="G7641" s="5" t="s">
        <v>48387</v>
      </c>
      <c r="H7641" s="6" t="s">
        <v>48388</v>
      </c>
      <c r="K7641" s="5" t="s">
        <v>48389</v>
      </c>
    </row>
    <row r="7642">
      <c r="A7642" s="4">
        <v>45534.38526002315</v>
      </c>
      <c r="B7642" s="5" t="s">
        <v>34</v>
      </c>
      <c r="D7642" s="5" t="s">
        <v>701</v>
      </c>
      <c r="E7642" s="5" t="s">
        <v>48392</v>
      </c>
      <c r="F7642" s="5" t="s">
        <v>212</v>
      </c>
      <c r="G7642" s="5" t="s">
        <v>48393</v>
      </c>
      <c r="H7642" s="6" t="s">
        <v>48394</v>
      </c>
      <c r="K7642" s="5" t="s">
        <v>48389</v>
      </c>
    </row>
    <row r="7643">
      <c r="A7643" s="4">
        <v>45534.385272430554</v>
      </c>
      <c r="B7643" s="5" t="s">
        <v>34</v>
      </c>
      <c r="D7643" s="5" t="s">
        <v>9020</v>
      </c>
      <c r="E7643" s="5" t="s">
        <v>48398</v>
      </c>
      <c r="F7643" s="5" t="s">
        <v>37</v>
      </c>
      <c r="G7643" s="5" t="s">
        <v>48399</v>
      </c>
      <c r="H7643" s="6" t="s">
        <v>48400</v>
      </c>
      <c r="K7643" s="5" t="s">
        <v>48389</v>
      </c>
    </row>
    <row r="7644">
      <c r="A7644" s="4">
        <v>45534.385273912034</v>
      </c>
      <c r="B7644" s="5" t="s">
        <v>19</v>
      </c>
      <c r="C7644" s="5" t="s">
        <v>3301</v>
      </c>
      <c r="E7644" s="5" t="s">
        <v>48403</v>
      </c>
      <c r="F7644" s="5" t="s">
        <v>72</v>
      </c>
      <c r="G7644" s="5" t="s">
        <v>48404</v>
      </c>
      <c r="H7644" s="6" t="s">
        <v>48405</v>
      </c>
      <c r="K7644" s="5" t="s">
        <v>48389</v>
      </c>
    </row>
    <row r="7645">
      <c r="A7645" s="4">
        <v>45534.38527407407</v>
      </c>
      <c r="B7645" s="5" t="s">
        <v>34</v>
      </c>
      <c r="D7645" s="5" t="s">
        <v>12978</v>
      </c>
      <c r="E7645" s="5" t="s">
        <v>48408</v>
      </c>
      <c r="F7645" s="5" t="s">
        <v>212</v>
      </c>
      <c r="G7645" s="5" t="s">
        <v>48409</v>
      </c>
      <c r="H7645" s="6" t="s">
        <v>48410</v>
      </c>
      <c r="K7645" s="5" t="s">
        <v>48389</v>
      </c>
    </row>
    <row r="7646">
      <c r="A7646" s="4">
        <v>45534.38527827546</v>
      </c>
      <c r="B7646" s="5" t="s">
        <v>34</v>
      </c>
      <c r="D7646" s="5" t="s">
        <v>1558</v>
      </c>
      <c r="E7646" s="5" t="s">
        <v>48413</v>
      </c>
      <c r="F7646" s="5" t="s">
        <v>108</v>
      </c>
      <c r="G7646" s="5" t="s">
        <v>48414</v>
      </c>
      <c r="H7646" s="6" t="s">
        <v>48415</v>
      </c>
      <c r="K7646" s="5" t="s">
        <v>48389</v>
      </c>
    </row>
    <row r="7647">
      <c r="A7647" s="4">
        <v>45534.38527958334</v>
      </c>
      <c r="B7647" s="5" t="s">
        <v>34</v>
      </c>
      <c r="D7647" s="5" t="s">
        <v>12978</v>
      </c>
      <c r="E7647" s="5" t="s">
        <v>48419</v>
      </c>
      <c r="F7647" s="5" t="s">
        <v>120</v>
      </c>
      <c r="G7647" s="5" t="s">
        <v>48420</v>
      </c>
      <c r="H7647" s="6" t="s">
        <v>48421</v>
      </c>
      <c r="K7647" s="5" t="s">
        <v>48389</v>
      </c>
    </row>
    <row r="7648">
      <c r="A7648" s="4">
        <v>45534.385282523144</v>
      </c>
      <c r="B7648" s="5" t="s">
        <v>34</v>
      </c>
      <c r="D7648" s="5" t="s">
        <v>12978</v>
      </c>
      <c r="E7648" s="5" t="s">
        <v>48424</v>
      </c>
      <c r="F7648" s="5" t="s">
        <v>375</v>
      </c>
      <c r="G7648" s="5" t="s">
        <v>48425</v>
      </c>
      <c r="H7648" s="6" t="s">
        <v>48426</v>
      </c>
      <c r="K7648" s="5" t="s">
        <v>48389</v>
      </c>
    </row>
    <row r="7649">
      <c r="A7649" s="4">
        <v>45534.38529215278</v>
      </c>
      <c r="B7649" s="5" t="s">
        <v>34</v>
      </c>
      <c r="D7649" s="5" t="s">
        <v>1206</v>
      </c>
      <c r="E7649" s="5" t="s">
        <v>48429</v>
      </c>
      <c r="F7649" s="5" t="s">
        <v>37</v>
      </c>
      <c r="G7649" s="5" t="s">
        <v>48430</v>
      </c>
      <c r="H7649" s="6" t="s">
        <v>48431</v>
      </c>
      <c r="K7649" s="5" t="s">
        <v>48389</v>
      </c>
    </row>
    <row r="7650">
      <c r="A7650" s="4">
        <v>45534.3853058449</v>
      </c>
      <c r="B7650" s="5" t="s">
        <v>34</v>
      </c>
      <c r="D7650" s="5" t="s">
        <v>2903</v>
      </c>
      <c r="E7650" s="5" t="s">
        <v>48434</v>
      </c>
      <c r="F7650" s="5" t="s">
        <v>108</v>
      </c>
      <c r="G7650" s="5" t="s">
        <v>48435</v>
      </c>
      <c r="H7650" s="6" t="s">
        <v>48436</v>
      </c>
      <c r="K7650" s="5" t="s">
        <v>48437</v>
      </c>
    </row>
    <row r="7651">
      <c r="A7651" s="4">
        <v>45534.38531809028</v>
      </c>
      <c r="B7651" s="5" t="s">
        <v>34</v>
      </c>
      <c r="D7651" s="5" t="s">
        <v>9394</v>
      </c>
      <c r="E7651" s="5" t="s">
        <v>48441</v>
      </c>
      <c r="F7651" s="5" t="s">
        <v>524</v>
      </c>
      <c r="G7651" s="5" t="s">
        <v>48442</v>
      </c>
      <c r="H7651" s="6" t="s">
        <v>48443</v>
      </c>
      <c r="K7651" s="5" t="s">
        <v>48437</v>
      </c>
    </row>
    <row r="7652">
      <c r="A7652" s="4">
        <v>45534.38531996528</v>
      </c>
      <c r="B7652" s="5" t="s">
        <v>34</v>
      </c>
      <c r="D7652" s="5" t="s">
        <v>1206</v>
      </c>
      <c r="E7652" s="5" t="s">
        <v>48446</v>
      </c>
      <c r="F7652" s="5" t="s">
        <v>108</v>
      </c>
      <c r="G7652" s="5" t="s">
        <v>48447</v>
      </c>
      <c r="H7652" s="6" t="s">
        <v>48448</v>
      </c>
      <c r="K7652" s="5" t="s">
        <v>48437</v>
      </c>
    </row>
    <row r="7653">
      <c r="A7653" s="4">
        <v>45534.38532427083</v>
      </c>
      <c r="B7653" s="5" t="s">
        <v>19</v>
      </c>
      <c r="C7653" s="5" t="s">
        <v>83</v>
      </c>
      <c r="E7653" s="5" t="s">
        <v>48451</v>
      </c>
      <c r="F7653" s="5" t="s">
        <v>212</v>
      </c>
      <c r="G7653" s="5" t="s">
        <v>48452</v>
      </c>
      <c r="H7653" s="6" t="s">
        <v>48453</v>
      </c>
      <c r="K7653" s="5" t="s">
        <v>48437</v>
      </c>
    </row>
    <row r="7654">
      <c r="A7654" s="4">
        <v>45534.38533329861</v>
      </c>
      <c r="B7654" s="5" t="s">
        <v>19</v>
      </c>
      <c r="C7654" s="5" t="s">
        <v>292</v>
      </c>
      <c r="E7654" s="5" t="s">
        <v>48456</v>
      </c>
      <c r="F7654" s="5" t="s">
        <v>375</v>
      </c>
      <c r="G7654" s="5" t="s">
        <v>48457</v>
      </c>
      <c r="H7654" s="6" t="s">
        <v>48458</v>
      </c>
      <c r="K7654" s="5" t="s">
        <v>48437</v>
      </c>
    </row>
    <row r="7655">
      <c r="A7655" s="4">
        <v>45534.38534636574</v>
      </c>
      <c r="B7655" s="5" t="s">
        <v>34</v>
      </c>
      <c r="D7655" s="5" t="s">
        <v>3849</v>
      </c>
      <c r="E7655" s="5" t="s">
        <v>48462</v>
      </c>
      <c r="F7655" s="5" t="s">
        <v>212</v>
      </c>
      <c r="G7655" s="5" t="s">
        <v>48463</v>
      </c>
      <c r="H7655" s="6" t="s">
        <v>48464</v>
      </c>
      <c r="K7655" s="5" t="s">
        <v>48465</v>
      </c>
    </row>
    <row r="7656">
      <c r="A7656" s="4">
        <v>45534.38534650463</v>
      </c>
      <c r="B7656" s="5" t="s">
        <v>19</v>
      </c>
      <c r="C7656" s="5" t="s">
        <v>83</v>
      </c>
      <c r="E7656" s="5" t="s">
        <v>48468</v>
      </c>
      <c r="F7656" s="5" t="s">
        <v>108</v>
      </c>
      <c r="G7656" s="5" t="s">
        <v>48469</v>
      </c>
      <c r="H7656" s="6" t="s">
        <v>48470</v>
      </c>
      <c r="K7656" s="5" t="s">
        <v>48465</v>
      </c>
    </row>
    <row r="7657">
      <c r="A7657" s="4">
        <v>45534.385368460644</v>
      </c>
      <c r="B7657" s="5" t="s">
        <v>34</v>
      </c>
      <c r="D7657" s="5" t="s">
        <v>9020</v>
      </c>
      <c r="E7657" s="5" t="s">
        <v>48473</v>
      </c>
      <c r="F7657" s="5" t="s">
        <v>375</v>
      </c>
      <c r="G7657" s="5" t="s">
        <v>48474</v>
      </c>
      <c r="H7657" s="6" t="s">
        <v>48475</v>
      </c>
      <c r="K7657" s="5" t="s">
        <v>48465</v>
      </c>
    </row>
    <row r="7658">
      <c r="A7658" s="4">
        <v>45534.38539255787</v>
      </c>
      <c r="B7658" s="5" t="s">
        <v>19</v>
      </c>
      <c r="C7658" s="5" t="s">
        <v>11593</v>
      </c>
      <c r="E7658" s="5" t="s">
        <v>48478</v>
      </c>
      <c r="F7658" s="5" t="s">
        <v>14783</v>
      </c>
      <c r="G7658" s="5" t="s">
        <v>48479</v>
      </c>
      <c r="H7658" s="6" t="s">
        <v>48480</v>
      </c>
      <c r="K7658" s="5" t="s">
        <v>48481</v>
      </c>
    </row>
    <row r="7659">
      <c r="A7659" s="4">
        <v>45534.38545659722</v>
      </c>
      <c r="B7659" s="5" t="s">
        <v>34</v>
      </c>
      <c r="D7659" s="5" t="s">
        <v>701</v>
      </c>
      <c r="E7659" s="5" t="s">
        <v>48485</v>
      </c>
      <c r="F7659" s="5" t="s">
        <v>212</v>
      </c>
      <c r="G7659" s="5" t="s">
        <v>48486</v>
      </c>
      <c r="H7659" s="6" t="s">
        <v>48487</v>
      </c>
      <c r="K7659" s="5" t="s">
        <v>48488</v>
      </c>
    </row>
    <row r="7660">
      <c r="A7660" s="4">
        <v>45534.38545706018</v>
      </c>
      <c r="B7660" s="5" t="s">
        <v>34</v>
      </c>
      <c r="D7660" s="5" t="s">
        <v>4775</v>
      </c>
      <c r="E7660" s="5" t="s">
        <v>48492</v>
      </c>
      <c r="F7660" s="5" t="s">
        <v>524</v>
      </c>
      <c r="G7660" s="5" t="s">
        <v>48493</v>
      </c>
      <c r="H7660" s="6" t="s">
        <v>48494</v>
      </c>
      <c r="K7660" s="5" t="s">
        <v>48488</v>
      </c>
    </row>
    <row r="7661">
      <c r="A7661" s="4">
        <v>45534.385465162035</v>
      </c>
      <c r="B7661" s="5" t="s">
        <v>34</v>
      </c>
      <c r="D7661" s="5" t="s">
        <v>1558</v>
      </c>
      <c r="E7661" s="5" t="s">
        <v>48498</v>
      </c>
      <c r="F7661" s="5" t="s">
        <v>375</v>
      </c>
      <c r="G7661" s="5" t="s">
        <v>48499</v>
      </c>
      <c r="H7661" s="6" t="s">
        <v>48500</v>
      </c>
      <c r="K7661" s="5" t="s">
        <v>48488</v>
      </c>
    </row>
    <row r="7662">
      <c r="A7662" s="4">
        <v>45534.38546740741</v>
      </c>
      <c r="B7662" s="5" t="s">
        <v>34</v>
      </c>
      <c r="D7662" s="5" t="s">
        <v>12978</v>
      </c>
      <c r="E7662" s="5" t="s">
        <v>48504</v>
      </c>
      <c r="F7662" s="5" t="s">
        <v>212</v>
      </c>
      <c r="G7662" s="5" t="s">
        <v>48505</v>
      </c>
      <c r="H7662" s="6" t="s">
        <v>48506</v>
      </c>
      <c r="K7662" s="5" t="s">
        <v>48488</v>
      </c>
    </row>
    <row r="7663">
      <c r="A7663" s="4">
        <v>45534.385480439814</v>
      </c>
      <c r="B7663" s="5" t="s">
        <v>34</v>
      </c>
      <c r="D7663" s="5" t="s">
        <v>1206</v>
      </c>
      <c r="E7663" s="5" t="s">
        <v>48510</v>
      </c>
      <c r="F7663" s="5" t="s">
        <v>120</v>
      </c>
      <c r="G7663" s="5" t="s">
        <v>48511</v>
      </c>
      <c r="H7663" s="6" t="s">
        <v>48512</v>
      </c>
      <c r="K7663" s="5" t="s">
        <v>48488</v>
      </c>
    </row>
    <row r="7664">
      <c r="A7664" s="4">
        <v>45534.385488113425</v>
      </c>
      <c r="B7664" s="5" t="s">
        <v>34</v>
      </c>
      <c r="D7664" s="5" t="s">
        <v>4775</v>
      </c>
      <c r="E7664" s="5" t="s">
        <v>48516</v>
      </c>
      <c r="F7664" s="5" t="s">
        <v>212</v>
      </c>
      <c r="G7664" s="5" t="s">
        <v>48517</v>
      </c>
      <c r="H7664" s="6" t="s">
        <v>48518</v>
      </c>
      <c r="K7664" s="5" t="s">
        <v>48488</v>
      </c>
    </row>
    <row r="7665">
      <c r="A7665" s="4">
        <v>45534.38550454861</v>
      </c>
      <c r="B7665" s="5" t="s">
        <v>34</v>
      </c>
      <c r="D7665" s="5" t="s">
        <v>9020</v>
      </c>
      <c r="E7665" s="5" t="s">
        <v>48522</v>
      </c>
      <c r="F7665" s="5" t="s">
        <v>5859</v>
      </c>
      <c r="G7665" s="5" t="s">
        <v>48523</v>
      </c>
      <c r="H7665" s="6" t="s">
        <v>48524</v>
      </c>
      <c r="K7665" s="5" t="s">
        <v>48525</v>
      </c>
    </row>
    <row r="7666">
      <c r="A7666" s="4">
        <v>45534.385523888894</v>
      </c>
      <c r="B7666" s="5" t="s">
        <v>34</v>
      </c>
      <c r="D7666" s="5" t="s">
        <v>4775</v>
      </c>
      <c r="E7666" s="5" t="s">
        <v>48529</v>
      </c>
      <c r="F7666" s="5" t="s">
        <v>37</v>
      </c>
      <c r="G7666" s="5" t="s">
        <v>48530</v>
      </c>
      <c r="H7666" s="6" t="s">
        <v>48531</v>
      </c>
      <c r="K7666" s="5" t="s">
        <v>48525</v>
      </c>
    </row>
    <row r="7667">
      <c r="A7667" s="4">
        <v>45534.385528680556</v>
      </c>
      <c r="B7667" s="5" t="s">
        <v>34</v>
      </c>
      <c r="D7667" s="5" t="s">
        <v>14424</v>
      </c>
      <c r="E7667" s="5" t="s">
        <v>48535</v>
      </c>
      <c r="F7667" s="5" t="s">
        <v>108</v>
      </c>
      <c r="G7667" s="5" t="s">
        <v>48536</v>
      </c>
      <c r="H7667" s="6" t="s">
        <v>48537</v>
      </c>
      <c r="K7667" s="5" t="s">
        <v>48525</v>
      </c>
    </row>
    <row r="7668">
      <c r="A7668" s="4">
        <v>45534.385537511575</v>
      </c>
      <c r="B7668" s="5" t="s">
        <v>34</v>
      </c>
      <c r="D7668" s="5" t="s">
        <v>1206</v>
      </c>
      <c r="E7668" s="5" t="s">
        <v>41314</v>
      </c>
      <c r="F7668" s="5" t="s">
        <v>212</v>
      </c>
      <c r="G7668" s="5" t="s">
        <v>48541</v>
      </c>
      <c r="H7668" s="6" t="s">
        <v>48542</v>
      </c>
      <c r="K7668" s="5" t="s">
        <v>48525</v>
      </c>
    </row>
    <row r="7669">
      <c r="A7669" s="4">
        <v>45534.3855402662</v>
      </c>
      <c r="B7669" s="5" t="s">
        <v>34</v>
      </c>
      <c r="D7669" s="5" t="s">
        <v>1206</v>
      </c>
      <c r="E7669" s="5" t="s">
        <v>48546</v>
      </c>
      <c r="F7669" s="5" t="s">
        <v>37</v>
      </c>
      <c r="G7669" s="5" t="s">
        <v>48547</v>
      </c>
      <c r="H7669" s="6" t="s">
        <v>48548</v>
      </c>
      <c r="K7669" s="5" t="s">
        <v>48525</v>
      </c>
    </row>
    <row r="7670">
      <c r="A7670" s="4">
        <v>45534.38561125</v>
      </c>
      <c r="B7670" s="5" t="s">
        <v>34</v>
      </c>
      <c r="D7670" s="5" t="s">
        <v>9020</v>
      </c>
      <c r="E7670" s="5" t="s">
        <v>48552</v>
      </c>
      <c r="F7670" s="5" t="s">
        <v>72</v>
      </c>
      <c r="G7670" s="5" t="s">
        <v>48553</v>
      </c>
      <c r="H7670" s="6" t="s">
        <v>48554</v>
      </c>
      <c r="K7670" s="5" t="s">
        <v>48555</v>
      </c>
    </row>
    <row r="7671">
      <c r="A7671" s="4">
        <v>45534.385620925925</v>
      </c>
      <c r="B7671" s="5" t="s">
        <v>19</v>
      </c>
      <c r="C7671" s="5" t="s">
        <v>3301</v>
      </c>
      <c r="E7671" s="5" t="s">
        <v>48559</v>
      </c>
      <c r="F7671" s="5" t="s">
        <v>37</v>
      </c>
      <c r="G7671" s="5" t="s">
        <v>48560</v>
      </c>
      <c r="H7671" s="6" t="s">
        <v>48561</v>
      </c>
      <c r="K7671" s="5" t="s">
        <v>48555</v>
      </c>
    </row>
    <row r="7672">
      <c r="A7672" s="4">
        <v>45534.38562935185</v>
      </c>
      <c r="B7672" s="5" t="s">
        <v>34</v>
      </c>
      <c r="D7672" s="5" t="s">
        <v>1206</v>
      </c>
      <c r="E7672" s="5" t="s">
        <v>48565</v>
      </c>
      <c r="F7672" s="5" t="s">
        <v>375</v>
      </c>
      <c r="G7672" s="5" t="s">
        <v>48566</v>
      </c>
      <c r="H7672" s="6" t="s">
        <v>48567</v>
      </c>
      <c r="K7672" s="5" t="s">
        <v>48555</v>
      </c>
    </row>
    <row r="7673">
      <c r="A7673" s="4">
        <v>45534.3856427662</v>
      </c>
      <c r="B7673" s="5" t="s">
        <v>34</v>
      </c>
      <c r="D7673" s="5" t="s">
        <v>1206</v>
      </c>
      <c r="E7673" s="5" t="s">
        <v>48571</v>
      </c>
      <c r="F7673" s="5" t="s">
        <v>524</v>
      </c>
      <c r="G7673" s="5" t="s">
        <v>48572</v>
      </c>
      <c r="H7673" s="6" t="s">
        <v>48573</v>
      </c>
      <c r="K7673" s="5" t="s">
        <v>48555</v>
      </c>
    </row>
    <row r="7674">
      <c r="A7674" s="4">
        <v>45534.38565570602</v>
      </c>
      <c r="B7674" s="5" t="s">
        <v>34</v>
      </c>
      <c r="D7674" s="5" t="s">
        <v>11527</v>
      </c>
      <c r="E7674" s="5" t="s">
        <v>48577</v>
      </c>
      <c r="F7674" s="5" t="s">
        <v>72</v>
      </c>
      <c r="G7674" s="5" t="s">
        <v>48578</v>
      </c>
      <c r="H7674" s="6" t="s">
        <v>48579</v>
      </c>
      <c r="K7674" s="5" t="s">
        <v>48555</v>
      </c>
    </row>
    <row r="7675">
      <c r="A7675" s="4">
        <v>45534.38568478009</v>
      </c>
      <c r="B7675" s="5" t="s">
        <v>34</v>
      </c>
      <c r="D7675" s="5" t="s">
        <v>1206</v>
      </c>
      <c r="E7675" s="5" t="s">
        <v>48583</v>
      </c>
      <c r="F7675" s="5" t="s">
        <v>524</v>
      </c>
      <c r="G7675" s="5" t="s">
        <v>48584</v>
      </c>
      <c r="H7675" s="6" t="s">
        <v>48585</v>
      </c>
      <c r="K7675" s="5" t="s">
        <v>48586</v>
      </c>
    </row>
    <row r="7676">
      <c r="A7676" s="4">
        <v>45534.38573710648</v>
      </c>
      <c r="B7676" s="5" t="s">
        <v>19</v>
      </c>
      <c r="C7676" s="5" t="s">
        <v>5058</v>
      </c>
      <c r="E7676" s="5" t="s">
        <v>48590</v>
      </c>
      <c r="F7676" s="5" t="s">
        <v>212</v>
      </c>
      <c r="G7676" s="5" t="s">
        <v>48591</v>
      </c>
      <c r="H7676" s="6" t="s">
        <v>48592</v>
      </c>
      <c r="K7676" s="5" t="s">
        <v>48593</v>
      </c>
    </row>
    <row r="7677">
      <c r="A7677" s="4">
        <v>45534.38573883101</v>
      </c>
      <c r="B7677" s="5" t="s">
        <v>34</v>
      </c>
      <c r="D7677" s="5" t="s">
        <v>9394</v>
      </c>
      <c r="E7677" s="5" t="s">
        <v>48597</v>
      </c>
      <c r="F7677" s="5" t="s">
        <v>524</v>
      </c>
      <c r="G7677" s="5" t="s">
        <v>48598</v>
      </c>
      <c r="H7677" s="6" t="s">
        <v>48599</v>
      </c>
      <c r="K7677" s="5" t="s">
        <v>48593</v>
      </c>
    </row>
    <row r="7678">
      <c r="A7678" s="4">
        <v>45534.38575475695</v>
      </c>
      <c r="B7678" s="5" t="s">
        <v>34</v>
      </c>
      <c r="D7678" s="5" t="s">
        <v>4775</v>
      </c>
      <c r="E7678" s="5" t="s">
        <v>48603</v>
      </c>
      <c r="F7678" s="5" t="s">
        <v>37</v>
      </c>
      <c r="G7678" s="5" t="s">
        <v>48604</v>
      </c>
      <c r="H7678" s="6" t="s">
        <v>48605</v>
      </c>
      <c r="K7678" s="5" t="s">
        <v>48593</v>
      </c>
    </row>
    <row r="7679">
      <c r="A7679" s="4">
        <v>45534.38576380787</v>
      </c>
      <c r="B7679" s="5" t="s">
        <v>19</v>
      </c>
      <c r="C7679" s="5" t="s">
        <v>5058</v>
      </c>
      <c r="E7679" s="5" t="s">
        <v>48609</v>
      </c>
      <c r="F7679" s="5" t="s">
        <v>375</v>
      </c>
      <c r="G7679" s="5" t="s">
        <v>48610</v>
      </c>
      <c r="H7679" s="6" t="s">
        <v>48611</v>
      </c>
      <c r="K7679" s="5" t="s">
        <v>48593</v>
      </c>
    </row>
    <row r="7680">
      <c r="A7680" s="4">
        <v>45534.38576792824</v>
      </c>
      <c r="B7680" s="5" t="s">
        <v>34</v>
      </c>
      <c r="D7680" s="5" t="s">
        <v>14313</v>
      </c>
      <c r="E7680" s="5" t="s">
        <v>48615</v>
      </c>
      <c r="F7680" s="5" t="s">
        <v>375</v>
      </c>
      <c r="G7680" s="5" t="s">
        <v>48616</v>
      </c>
      <c r="H7680" s="6" t="s">
        <v>48617</v>
      </c>
      <c r="K7680" s="5" t="s">
        <v>48593</v>
      </c>
    </row>
    <row r="7681">
      <c r="A7681" s="4">
        <v>45534.385780613426</v>
      </c>
      <c r="B7681" s="5" t="s">
        <v>34</v>
      </c>
      <c r="D7681" s="5" t="s">
        <v>35</v>
      </c>
      <c r="E7681" s="5" t="s">
        <v>48621</v>
      </c>
      <c r="F7681" s="5" t="s">
        <v>108</v>
      </c>
      <c r="G7681" s="5" t="s">
        <v>48622</v>
      </c>
      <c r="H7681" s="6" t="s">
        <v>48623</v>
      </c>
      <c r="K7681" s="5" t="s">
        <v>48593</v>
      </c>
    </row>
    <row r="7682">
      <c r="A7682" s="4">
        <v>45534.38578222222</v>
      </c>
      <c r="B7682" s="5" t="s">
        <v>34</v>
      </c>
      <c r="D7682" s="5" t="s">
        <v>522</v>
      </c>
      <c r="E7682" s="5" t="s">
        <v>48627</v>
      </c>
      <c r="F7682" s="5" t="s">
        <v>212</v>
      </c>
      <c r="G7682" s="5" t="s">
        <v>48628</v>
      </c>
      <c r="H7682" s="6" t="s">
        <v>48629</v>
      </c>
      <c r="K7682" s="5" t="s">
        <v>48593</v>
      </c>
    </row>
    <row r="7683">
      <c r="A7683" s="4">
        <v>45534.38578435185</v>
      </c>
      <c r="B7683" s="5" t="s">
        <v>34</v>
      </c>
      <c r="D7683" s="5" t="s">
        <v>9020</v>
      </c>
      <c r="E7683" s="5" t="s">
        <v>48633</v>
      </c>
      <c r="F7683" s="5" t="s">
        <v>108</v>
      </c>
      <c r="G7683" s="5" t="s">
        <v>48634</v>
      </c>
      <c r="H7683" s="6" t="s">
        <v>48635</v>
      </c>
      <c r="K7683" s="5" t="s">
        <v>48593</v>
      </c>
    </row>
    <row r="7684">
      <c r="A7684" s="4">
        <v>45534.385788368054</v>
      </c>
      <c r="B7684" s="5" t="s">
        <v>34</v>
      </c>
      <c r="D7684" s="5" t="s">
        <v>14313</v>
      </c>
      <c r="E7684" s="5" t="s">
        <v>48639</v>
      </c>
      <c r="F7684" s="5" t="s">
        <v>212</v>
      </c>
      <c r="G7684" s="5" t="s">
        <v>48640</v>
      </c>
      <c r="H7684" s="6" t="s">
        <v>48641</v>
      </c>
      <c r="K7684" s="5" t="s">
        <v>48593</v>
      </c>
    </row>
    <row r="7685">
      <c r="A7685" s="4">
        <v>45534.385792650464</v>
      </c>
      <c r="B7685" s="5" t="s">
        <v>19</v>
      </c>
      <c r="C7685" s="5" t="s">
        <v>83</v>
      </c>
      <c r="E7685" s="5" t="s">
        <v>48645</v>
      </c>
      <c r="F7685" s="5" t="s">
        <v>212</v>
      </c>
      <c r="G7685" s="5" t="s">
        <v>48646</v>
      </c>
      <c r="H7685" s="6" t="s">
        <v>48647</v>
      </c>
      <c r="K7685" s="5" t="s">
        <v>48593</v>
      </c>
    </row>
    <row r="7686">
      <c r="A7686" s="4">
        <v>45534.38584135417</v>
      </c>
      <c r="B7686" s="5" t="s">
        <v>34</v>
      </c>
      <c r="D7686" s="5" t="s">
        <v>4775</v>
      </c>
      <c r="E7686" s="5" t="s">
        <v>48651</v>
      </c>
      <c r="F7686" s="5" t="s">
        <v>375</v>
      </c>
      <c r="G7686" s="5" t="s">
        <v>48652</v>
      </c>
      <c r="H7686" s="6" t="s">
        <v>48653</v>
      </c>
      <c r="K7686" s="5" t="s">
        <v>48654</v>
      </c>
    </row>
    <row r="7687">
      <c r="A7687" s="4">
        <v>45534.38585907407</v>
      </c>
      <c r="B7687" s="5" t="s">
        <v>34</v>
      </c>
      <c r="D7687" s="5" t="s">
        <v>1206</v>
      </c>
      <c r="E7687" s="5" t="s">
        <v>48658</v>
      </c>
      <c r="F7687" s="5" t="s">
        <v>375</v>
      </c>
      <c r="G7687" s="5" t="s">
        <v>48659</v>
      </c>
      <c r="H7687" s="6" t="s">
        <v>48660</v>
      </c>
      <c r="K7687" s="5" t="s">
        <v>48654</v>
      </c>
    </row>
    <row r="7688">
      <c r="A7688" s="4">
        <v>45534.38586487269</v>
      </c>
      <c r="B7688" s="5" t="s">
        <v>34</v>
      </c>
      <c r="D7688" s="5" t="s">
        <v>9020</v>
      </c>
      <c r="E7688" s="5" t="s">
        <v>48663</v>
      </c>
      <c r="F7688" s="5" t="s">
        <v>37</v>
      </c>
      <c r="G7688" s="5" t="s">
        <v>48664</v>
      </c>
      <c r="H7688" s="6" t="s">
        <v>48665</v>
      </c>
      <c r="K7688" s="5" t="s">
        <v>48654</v>
      </c>
    </row>
    <row r="7689">
      <c r="A7689" s="4">
        <v>45534.385905787036</v>
      </c>
      <c r="B7689" s="5" t="s">
        <v>19</v>
      </c>
      <c r="C7689" s="5" t="s">
        <v>292</v>
      </c>
      <c r="E7689" s="5" t="s">
        <v>48669</v>
      </c>
      <c r="F7689" s="5" t="s">
        <v>72</v>
      </c>
      <c r="G7689" s="5" t="s">
        <v>48670</v>
      </c>
      <c r="H7689" s="6" t="s">
        <v>48671</v>
      </c>
      <c r="K7689" s="5" t="s">
        <v>48672</v>
      </c>
    </row>
    <row r="7690">
      <c r="A7690" s="4">
        <v>45534.38592971065</v>
      </c>
      <c r="B7690" s="5" t="s">
        <v>34</v>
      </c>
      <c r="D7690" s="5" t="s">
        <v>4775</v>
      </c>
      <c r="E7690" s="5" t="s">
        <v>48675</v>
      </c>
      <c r="F7690" s="5" t="s">
        <v>212</v>
      </c>
      <c r="G7690" s="5" t="s">
        <v>48676</v>
      </c>
      <c r="H7690" s="6" t="s">
        <v>48677</v>
      </c>
      <c r="K7690" s="5" t="s">
        <v>48678</v>
      </c>
    </row>
    <row r="7691">
      <c r="A7691" s="4">
        <v>45534.385932199075</v>
      </c>
      <c r="B7691" s="5" t="s">
        <v>34</v>
      </c>
      <c r="D7691" s="5" t="s">
        <v>996</v>
      </c>
      <c r="E7691" s="5" t="s">
        <v>48681</v>
      </c>
      <c r="F7691" s="5" t="s">
        <v>212</v>
      </c>
      <c r="G7691" s="5" t="s">
        <v>48682</v>
      </c>
      <c r="H7691" s="6" t="s">
        <v>48683</v>
      </c>
      <c r="K7691" s="5" t="s">
        <v>48678</v>
      </c>
    </row>
    <row r="7692">
      <c r="A7692" s="4">
        <v>45534.385975625</v>
      </c>
      <c r="B7692" s="5" t="s">
        <v>34</v>
      </c>
      <c r="D7692" s="5" t="s">
        <v>701</v>
      </c>
      <c r="E7692" s="5" t="s">
        <v>48686</v>
      </c>
      <c r="F7692" s="5" t="s">
        <v>72</v>
      </c>
      <c r="G7692" s="5" t="s">
        <v>48687</v>
      </c>
      <c r="H7692" s="6" t="s">
        <v>48688</v>
      </c>
      <c r="K7692" s="5" t="s">
        <v>48689</v>
      </c>
    </row>
    <row r="7693">
      <c r="A7693" s="4">
        <v>45534.385985092595</v>
      </c>
      <c r="B7693" s="5" t="s">
        <v>19</v>
      </c>
      <c r="C7693" s="5" t="s">
        <v>292</v>
      </c>
      <c r="E7693" s="5" t="s">
        <v>48693</v>
      </c>
      <c r="F7693" s="5" t="s">
        <v>108</v>
      </c>
      <c r="G7693" s="5" t="s">
        <v>48694</v>
      </c>
      <c r="H7693" s="6" t="s">
        <v>48695</v>
      </c>
      <c r="K7693" s="5" t="s">
        <v>48689</v>
      </c>
    </row>
    <row r="7694">
      <c r="A7694" s="4">
        <v>45534.38599400463</v>
      </c>
      <c r="B7694" s="5" t="s">
        <v>34</v>
      </c>
      <c r="D7694" s="5" t="s">
        <v>1558</v>
      </c>
      <c r="E7694" s="5" t="s">
        <v>48698</v>
      </c>
      <c r="F7694" s="5" t="s">
        <v>328</v>
      </c>
      <c r="G7694" s="5" t="s">
        <v>48699</v>
      </c>
      <c r="H7694" s="6" t="s">
        <v>48700</v>
      </c>
      <c r="K7694" s="5" t="s">
        <v>48701</v>
      </c>
    </row>
    <row r="7695">
      <c r="A7695" s="4">
        <v>45534.3860496875</v>
      </c>
      <c r="B7695" s="5" t="s">
        <v>34</v>
      </c>
      <c r="D7695" s="5" t="s">
        <v>12010</v>
      </c>
      <c r="E7695" s="5" t="s">
        <v>48704</v>
      </c>
      <c r="F7695" s="5" t="s">
        <v>524</v>
      </c>
      <c r="G7695" s="5" t="s">
        <v>18357</v>
      </c>
      <c r="H7695" s="6" t="s">
        <v>48705</v>
      </c>
      <c r="K7695" s="5" t="s">
        <v>48701</v>
      </c>
    </row>
    <row r="7696">
      <c r="A7696" s="4">
        <v>45534.38608217593</v>
      </c>
      <c r="B7696" s="5" t="s">
        <v>34</v>
      </c>
      <c r="D7696" s="5" t="s">
        <v>1206</v>
      </c>
      <c r="E7696" s="5" t="s">
        <v>47193</v>
      </c>
      <c r="F7696" s="5" t="s">
        <v>37</v>
      </c>
      <c r="G7696" s="5" t="s">
        <v>48708</v>
      </c>
      <c r="H7696" s="6" t="s">
        <v>48709</v>
      </c>
      <c r="K7696" s="5" t="s">
        <v>48710</v>
      </c>
    </row>
    <row r="7697">
      <c r="A7697" s="4">
        <v>45534.38610761574</v>
      </c>
      <c r="B7697" s="5" t="s">
        <v>19</v>
      </c>
      <c r="C7697" s="5" t="s">
        <v>83</v>
      </c>
      <c r="E7697" s="5" t="s">
        <v>48714</v>
      </c>
      <c r="F7697" s="5" t="s">
        <v>37</v>
      </c>
      <c r="G7697" s="5" t="s">
        <v>48715</v>
      </c>
      <c r="H7697" s="6" t="s">
        <v>48716</v>
      </c>
      <c r="K7697" s="5" t="s">
        <v>48717</v>
      </c>
    </row>
    <row r="7698">
      <c r="A7698" s="4">
        <v>45534.38611011574</v>
      </c>
      <c r="B7698" s="5" t="s">
        <v>34</v>
      </c>
      <c r="D7698" s="5" t="s">
        <v>14313</v>
      </c>
      <c r="E7698" s="5" t="s">
        <v>48720</v>
      </c>
      <c r="F7698" s="5" t="s">
        <v>37</v>
      </c>
      <c r="G7698" s="5" t="s">
        <v>48721</v>
      </c>
      <c r="H7698" s="6" t="s">
        <v>48722</v>
      </c>
      <c r="K7698" s="5" t="s">
        <v>48717</v>
      </c>
    </row>
    <row r="7699">
      <c r="A7699" s="4">
        <v>45534.38611795139</v>
      </c>
      <c r="B7699" s="5" t="s">
        <v>34</v>
      </c>
      <c r="D7699" s="5" t="s">
        <v>1558</v>
      </c>
      <c r="E7699" s="5" t="s">
        <v>48725</v>
      </c>
      <c r="F7699" s="5" t="s">
        <v>715</v>
      </c>
      <c r="G7699" s="5" t="s">
        <v>48726</v>
      </c>
      <c r="H7699" s="6" t="s">
        <v>48727</v>
      </c>
      <c r="K7699" s="5" t="s">
        <v>48717</v>
      </c>
    </row>
    <row r="7700">
      <c r="A7700" s="4">
        <v>45534.386120069445</v>
      </c>
      <c r="B7700" s="5" t="s">
        <v>34</v>
      </c>
      <c r="D7700" s="5" t="s">
        <v>267</v>
      </c>
      <c r="E7700" s="5" t="s">
        <v>48730</v>
      </c>
      <c r="F7700" s="5" t="s">
        <v>120</v>
      </c>
      <c r="G7700" s="5" t="s">
        <v>48731</v>
      </c>
      <c r="H7700" s="6" t="s">
        <v>48732</v>
      </c>
      <c r="K7700" s="5" t="s">
        <v>48717</v>
      </c>
    </row>
    <row r="7701">
      <c r="A7701" s="4">
        <v>45534.386166192126</v>
      </c>
      <c r="B7701" s="5" t="s">
        <v>34</v>
      </c>
      <c r="D7701" s="5" t="s">
        <v>1206</v>
      </c>
      <c r="E7701" s="5" t="s">
        <v>48736</v>
      </c>
      <c r="F7701" s="5" t="s">
        <v>375</v>
      </c>
      <c r="G7701" s="5" t="s">
        <v>48737</v>
      </c>
      <c r="H7701" s="6" t="s">
        <v>48738</v>
      </c>
      <c r="K7701" s="5" t="s">
        <v>48739</v>
      </c>
    </row>
    <row r="7702">
      <c r="A7702" s="4">
        <v>45534.38622244213</v>
      </c>
      <c r="B7702" s="5" t="s">
        <v>34</v>
      </c>
      <c r="D7702" s="5" t="s">
        <v>9020</v>
      </c>
      <c r="E7702" s="5" t="s">
        <v>48742</v>
      </c>
      <c r="F7702" s="5" t="s">
        <v>212</v>
      </c>
      <c r="G7702" s="5" t="s">
        <v>48743</v>
      </c>
      <c r="H7702" s="6" t="s">
        <v>48744</v>
      </c>
      <c r="K7702" s="5" t="s">
        <v>48745</v>
      </c>
    </row>
    <row r="7703">
      <c r="A7703" s="4">
        <v>45534.38622861111</v>
      </c>
      <c r="B7703" s="5" t="s">
        <v>34</v>
      </c>
      <c r="D7703" s="5" t="s">
        <v>4775</v>
      </c>
      <c r="E7703" s="5" t="s">
        <v>48748</v>
      </c>
      <c r="F7703" s="5" t="s">
        <v>37</v>
      </c>
      <c r="G7703" s="5" t="s">
        <v>48749</v>
      </c>
      <c r="H7703" s="6" t="s">
        <v>48750</v>
      </c>
      <c r="K7703" s="5" t="s">
        <v>48745</v>
      </c>
    </row>
    <row r="7704">
      <c r="A7704" s="4">
        <v>45534.38623834491</v>
      </c>
      <c r="B7704" s="5" t="s">
        <v>34</v>
      </c>
      <c r="D7704" s="5" t="s">
        <v>1206</v>
      </c>
      <c r="E7704" s="5" t="s">
        <v>48753</v>
      </c>
      <c r="F7704" s="5" t="s">
        <v>212</v>
      </c>
      <c r="G7704" s="5" t="s">
        <v>48754</v>
      </c>
      <c r="H7704" s="6" t="s">
        <v>48755</v>
      </c>
      <c r="K7704" s="5" t="s">
        <v>48745</v>
      </c>
    </row>
    <row r="7705">
      <c r="A7705" s="4">
        <v>45534.38626072917</v>
      </c>
      <c r="B7705" s="5" t="s">
        <v>34</v>
      </c>
      <c r="D7705" s="5" t="s">
        <v>1206</v>
      </c>
      <c r="E7705" s="5" t="s">
        <v>48759</v>
      </c>
      <c r="F7705" s="5" t="s">
        <v>72</v>
      </c>
      <c r="G7705" s="5" t="s">
        <v>48760</v>
      </c>
      <c r="H7705" s="6" t="s">
        <v>48761</v>
      </c>
      <c r="K7705" s="5" t="s">
        <v>48762</v>
      </c>
    </row>
    <row r="7706">
      <c r="A7706" s="4">
        <v>45534.386288634254</v>
      </c>
      <c r="B7706" s="5" t="s">
        <v>34</v>
      </c>
      <c r="D7706" s="5" t="s">
        <v>14313</v>
      </c>
      <c r="E7706" s="5" t="s">
        <v>48766</v>
      </c>
      <c r="F7706" s="5" t="s">
        <v>212</v>
      </c>
      <c r="G7706" s="5" t="s">
        <v>48767</v>
      </c>
      <c r="H7706" s="6" t="s">
        <v>48768</v>
      </c>
      <c r="K7706" s="5" t="s">
        <v>48769</v>
      </c>
    </row>
    <row r="7707">
      <c r="A7707" s="4">
        <v>45534.38629490741</v>
      </c>
      <c r="B7707" s="5" t="s">
        <v>34</v>
      </c>
      <c r="D7707" s="5" t="s">
        <v>1558</v>
      </c>
      <c r="E7707" s="5" t="s">
        <v>48773</v>
      </c>
      <c r="F7707" s="5" t="s">
        <v>37</v>
      </c>
      <c r="G7707" s="5" t="s">
        <v>48774</v>
      </c>
      <c r="H7707" s="6" t="s">
        <v>48775</v>
      </c>
      <c r="K7707" s="5" t="s">
        <v>48769</v>
      </c>
    </row>
    <row r="7708">
      <c r="A7708" s="4">
        <v>45534.386320254634</v>
      </c>
      <c r="B7708" s="5" t="s">
        <v>34</v>
      </c>
      <c r="D7708" s="5" t="s">
        <v>267</v>
      </c>
      <c r="E7708" s="5" t="s">
        <v>48779</v>
      </c>
      <c r="F7708" s="5" t="s">
        <v>375</v>
      </c>
      <c r="G7708" s="5" t="s">
        <v>48780</v>
      </c>
      <c r="H7708" s="6" t="s">
        <v>48781</v>
      </c>
      <c r="K7708" s="5" t="s">
        <v>48782</v>
      </c>
    </row>
    <row r="7709">
      <c r="A7709" s="4">
        <v>45534.386373472225</v>
      </c>
      <c r="B7709" s="5" t="s">
        <v>34</v>
      </c>
      <c r="D7709" s="5" t="s">
        <v>9020</v>
      </c>
      <c r="E7709" s="5" t="s">
        <v>48786</v>
      </c>
      <c r="F7709" s="5" t="s">
        <v>524</v>
      </c>
      <c r="G7709" s="5" t="s">
        <v>48787</v>
      </c>
      <c r="H7709" s="6" t="s">
        <v>48788</v>
      </c>
      <c r="K7709" s="5" t="s">
        <v>48782</v>
      </c>
    </row>
    <row r="7710">
      <c r="A7710" s="4">
        <v>45534.38637738426</v>
      </c>
      <c r="B7710" s="5" t="s">
        <v>34</v>
      </c>
      <c r="D7710" s="5" t="s">
        <v>701</v>
      </c>
      <c r="E7710" s="5" t="s">
        <v>48792</v>
      </c>
      <c r="F7710" s="5" t="s">
        <v>108</v>
      </c>
      <c r="G7710" s="5" t="s">
        <v>48793</v>
      </c>
      <c r="H7710" s="6" t="s">
        <v>48794</v>
      </c>
      <c r="K7710" s="5" t="s">
        <v>48782</v>
      </c>
    </row>
    <row r="7711">
      <c r="A7711" s="4">
        <v>45534.38638321759</v>
      </c>
      <c r="B7711" s="5" t="s">
        <v>34</v>
      </c>
      <c r="D7711" s="5" t="s">
        <v>996</v>
      </c>
      <c r="E7711" s="5" t="s">
        <v>48798</v>
      </c>
      <c r="F7711" s="5" t="s">
        <v>375</v>
      </c>
      <c r="G7711" s="5" t="s">
        <v>48799</v>
      </c>
      <c r="H7711" s="6" t="s">
        <v>48800</v>
      </c>
      <c r="K7711" s="5" t="s">
        <v>48782</v>
      </c>
    </row>
    <row r="7712">
      <c r="A7712" s="4">
        <v>45534.38639273148</v>
      </c>
      <c r="B7712" s="5" t="s">
        <v>34</v>
      </c>
      <c r="D7712" s="5" t="s">
        <v>1206</v>
      </c>
      <c r="E7712" s="5" t="s">
        <v>48804</v>
      </c>
      <c r="F7712" s="5" t="s">
        <v>212</v>
      </c>
      <c r="G7712" s="5" t="s">
        <v>48805</v>
      </c>
      <c r="H7712" s="6" t="s">
        <v>48806</v>
      </c>
      <c r="K7712" s="5" t="s">
        <v>48782</v>
      </c>
    </row>
    <row r="7713">
      <c r="A7713" s="4">
        <v>45534.38639377315</v>
      </c>
      <c r="B7713" s="5" t="s">
        <v>34</v>
      </c>
      <c r="D7713" s="5" t="s">
        <v>280</v>
      </c>
      <c r="E7713" s="5" t="s">
        <v>48810</v>
      </c>
      <c r="F7713" s="5" t="s">
        <v>37</v>
      </c>
      <c r="G7713" s="5" t="s">
        <v>48811</v>
      </c>
      <c r="H7713" s="6" t="s">
        <v>48812</v>
      </c>
      <c r="K7713" s="5" t="s">
        <v>48782</v>
      </c>
    </row>
    <row r="7714">
      <c r="A7714" s="4">
        <v>45534.38639668981</v>
      </c>
      <c r="B7714" s="5" t="s">
        <v>34</v>
      </c>
      <c r="D7714" s="5" t="s">
        <v>1206</v>
      </c>
      <c r="E7714" s="5" t="s">
        <v>48816</v>
      </c>
      <c r="F7714" s="5" t="s">
        <v>715</v>
      </c>
      <c r="G7714" s="5" t="s">
        <v>48817</v>
      </c>
      <c r="H7714" s="6" t="s">
        <v>48818</v>
      </c>
      <c r="K7714" s="5" t="s">
        <v>48819</v>
      </c>
    </row>
    <row r="7715">
      <c r="A7715" s="4">
        <v>45534.38640528935</v>
      </c>
      <c r="B7715" s="5" t="s">
        <v>34</v>
      </c>
      <c r="D7715" s="5" t="s">
        <v>1558</v>
      </c>
      <c r="E7715" s="5" t="s">
        <v>48823</v>
      </c>
      <c r="F7715" s="5" t="s">
        <v>72</v>
      </c>
      <c r="G7715" s="5" t="s">
        <v>48824</v>
      </c>
      <c r="H7715" s="6" t="s">
        <v>48825</v>
      </c>
      <c r="K7715" s="5" t="s">
        <v>48819</v>
      </c>
    </row>
    <row r="7716">
      <c r="A7716" s="4">
        <v>45534.386405509256</v>
      </c>
      <c r="B7716" s="5" t="s">
        <v>19</v>
      </c>
      <c r="C7716" s="5" t="s">
        <v>3301</v>
      </c>
      <c r="E7716" s="5" t="s">
        <v>48829</v>
      </c>
      <c r="F7716" s="5" t="s">
        <v>715</v>
      </c>
      <c r="G7716" s="5" t="s">
        <v>48830</v>
      </c>
      <c r="H7716" s="6" t="s">
        <v>48831</v>
      </c>
      <c r="K7716" s="5" t="s">
        <v>48819</v>
      </c>
    </row>
    <row r="7717">
      <c r="A7717" s="4">
        <v>45534.38643893518</v>
      </c>
      <c r="B7717" s="5" t="s">
        <v>34</v>
      </c>
      <c r="D7717" s="5" t="s">
        <v>1206</v>
      </c>
      <c r="E7717" s="5" t="s">
        <v>48835</v>
      </c>
      <c r="F7717" s="5" t="s">
        <v>37</v>
      </c>
      <c r="G7717" s="5" t="s">
        <v>48836</v>
      </c>
      <c r="H7717" s="6" t="s">
        <v>48837</v>
      </c>
      <c r="K7717" s="5" t="s">
        <v>48819</v>
      </c>
    </row>
    <row r="7718">
      <c r="A7718" s="4">
        <v>45534.38645011574</v>
      </c>
      <c r="B7718" s="5" t="s">
        <v>34</v>
      </c>
      <c r="D7718" s="5" t="s">
        <v>1558</v>
      </c>
      <c r="E7718" s="5" t="s">
        <v>48841</v>
      </c>
      <c r="F7718" s="5" t="s">
        <v>108</v>
      </c>
      <c r="G7718" s="5" t="s">
        <v>48842</v>
      </c>
      <c r="H7718" s="6" t="s">
        <v>48843</v>
      </c>
      <c r="K7718" s="5" t="s">
        <v>48819</v>
      </c>
    </row>
    <row r="7719">
      <c r="A7719" s="4">
        <v>45534.38647003472</v>
      </c>
      <c r="B7719" s="5" t="s">
        <v>19</v>
      </c>
      <c r="C7719" s="5" t="s">
        <v>83</v>
      </c>
      <c r="E7719" s="5" t="s">
        <v>34255</v>
      </c>
      <c r="F7719" s="5" t="s">
        <v>212</v>
      </c>
      <c r="G7719" s="5" t="s">
        <v>48847</v>
      </c>
      <c r="H7719" s="6" t="s">
        <v>48848</v>
      </c>
      <c r="K7719" s="5" t="s">
        <v>48819</v>
      </c>
    </row>
    <row r="7720">
      <c r="A7720" s="4">
        <v>45534.38648540509</v>
      </c>
      <c r="B7720" s="5" t="s">
        <v>19</v>
      </c>
      <c r="C7720" s="5" t="s">
        <v>40230</v>
      </c>
      <c r="E7720" s="5" t="s">
        <v>48852</v>
      </c>
      <c r="F7720" s="5" t="s">
        <v>375</v>
      </c>
      <c r="G7720" s="5" t="s">
        <v>48853</v>
      </c>
      <c r="H7720" s="6" t="s">
        <v>48854</v>
      </c>
      <c r="K7720" s="5" t="s">
        <v>48855</v>
      </c>
    </row>
    <row r="7721">
      <c r="A7721" s="4">
        <v>45534.38650393518</v>
      </c>
      <c r="B7721" s="5" t="s">
        <v>34</v>
      </c>
      <c r="D7721" s="5" t="s">
        <v>1558</v>
      </c>
      <c r="E7721" s="5" t="s">
        <v>48859</v>
      </c>
      <c r="F7721" s="5" t="s">
        <v>108</v>
      </c>
      <c r="G7721" s="5" t="s">
        <v>48860</v>
      </c>
      <c r="H7721" s="6" t="s">
        <v>48861</v>
      </c>
      <c r="K7721" s="5" t="s">
        <v>48862</v>
      </c>
    </row>
    <row r="7722">
      <c r="A7722" s="4">
        <v>45534.38650511574</v>
      </c>
      <c r="B7722" s="5" t="s">
        <v>34</v>
      </c>
      <c r="D7722" s="5" t="s">
        <v>1206</v>
      </c>
      <c r="E7722" s="5" t="s">
        <v>48866</v>
      </c>
      <c r="F7722" s="5" t="s">
        <v>212</v>
      </c>
      <c r="G7722" s="5" t="s">
        <v>48867</v>
      </c>
      <c r="H7722" s="6" t="s">
        <v>48868</v>
      </c>
      <c r="K7722" s="5" t="s">
        <v>48862</v>
      </c>
    </row>
    <row r="7723">
      <c r="A7723" s="4">
        <v>45534.386507048606</v>
      </c>
      <c r="B7723" s="5" t="s">
        <v>34</v>
      </c>
      <c r="D7723" s="5" t="s">
        <v>10444</v>
      </c>
      <c r="E7723" s="5" t="s">
        <v>48872</v>
      </c>
      <c r="F7723" s="5" t="s">
        <v>212</v>
      </c>
      <c r="G7723" s="5" t="s">
        <v>48873</v>
      </c>
      <c r="H7723" s="6" t="s">
        <v>48874</v>
      </c>
      <c r="K7723" s="5" t="s">
        <v>48862</v>
      </c>
    </row>
    <row r="7724">
      <c r="A7724" s="4">
        <v>45534.38655703704</v>
      </c>
      <c r="B7724" s="5" t="s">
        <v>34</v>
      </c>
      <c r="D7724" s="5" t="s">
        <v>12978</v>
      </c>
      <c r="E7724" s="5" t="s">
        <v>48878</v>
      </c>
      <c r="F7724" s="5" t="s">
        <v>37</v>
      </c>
      <c r="G7724" s="5" t="s">
        <v>48879</v>
      </c>
      <c r="H7724" s="6" t="s">
        <v>48880</v>
      </c>
      <c r="K7724" s="5" t="s">
        <v>48881</v>
      </c>
    </row>
    <row r="7725">
      <c r="A7725" s="4">
        <v>45534.38655840278</v>
      </c>
      <c r="B7725" s="5" t="s">
        <v>34</v>
      </c>
      <c r="D7725" s="5" t="s">
        <v>35</v>
      </c>
      <c r="E7725" s="5" t="s">
        <v>18487</v>
      </c>
      <c r="F7725" s="5" t="s">
        <v>328</v>
      </c>
      <c r="G7725" s="5" t="s">
        <v>48885</v>
      </c>
      <c r="H7725" s="6" t="s">
        <v>48886</v>
      </c>
      <c r="K7725" s="5" t="s">
        <v>48881</v>
      </c>
    </row>
    <row r="7726">
      <c r="A7726" s="4">
        <v>45534.38656047454</v>
      </c>
      <c r="B7726" s="5" t="s">
        <v>34</v>
      </c>
      <c r="D7726" s="5" t="s">
        <v>1206</v>
      </c>
      <c r="E7726" s="5" t="s">
        <v>48890</v>
      </c>
      <c r="F7726" s="5" t="s">
        <v>37</v>
      </c>
      <c r="G7726" s="5" t="s">
        <v>48891</v>
      </c>
      <c r="H7726" s="6" t="s">
        <v>48892</v>
      </c>
      <c r="K7726" s="5" t="s">
        <v>48881</v>
      </c>
    </row>
    <row r="7727">
      <c r="A7727" s="4">
        <v>45534.386610104164</v>
      </c>
      <c r="B7727" s="5" t="s">
        <v>34</v>
      </c>
      <c r="D7727" s="5" t="s">
        <v>1558</v>
      </c>
      <c r="E7727" s="5" t="s">
        <v>23632</v>
      </c>
      <c r="F7727" s="5" t="s">
        <v>72</v>
      </c>
      <c r="G7727" s="5" t="s">
        <v>48896</v>
      </c>
      <c r="H7727" s="6" t="s">
        <v>48897</v>
      </c>
      <c r="K7727" s="5" t="s">
        <v>48898</v>
      </c>
    </row>
    <row r="7728">
      <c r="A7728" s="4">
        <v>45534.38664503473</v>
      </c>
      <c r="B7728" s="5" t="s">
        <v>34</v>
      </c>
      <c r="D7728" s="5" t="s">
        <v>1206</v>
      </c>
      <c r="E7728" s="5" t="s">
        <v>48902</v>
      </c>
      <c r="F7728" s="5" t="s">
        <v>212</v>
      </c>
      <c r="G7728" s="5" t="s">
        <v>48903</v>
      </c>
      <c r="H7728" s="6" t="s">
        <v>48904</v>
      </c>
      <c r="K7728" s="5" t="s">
        <v>48905</v>
      </c>
    </row>
    <row r="7729">
      <c r="A7729" s="4">
        <v>45534.3866500463</v>
      </c>
      <c r="B7729" s="5" t="s">
        <v>34</v>
      </c>
      <c r="D7729" s="5" t="s">
        <v>1206</v>
      </c>
      <c r="E7729" s="5" t="s">
        <v>48909</v>
      </c>
      <c r="F7729" s="5" t="s">
        <v>212</v>
      </c>
      <c r="G7729" s="5" t="s">
        <v>48910</v>
      </c>
      <c r="H7729" s="6" t="s">
        <v>48911</v>
      </c>
      <c r="K7729" s="5" t="s">
        <v>48912</v>
      </c>
    </row>
    <row r="7730">
      <c r="A7730" s="4">
        <v>45534.38669760417</v>
      </c>
      <c r="B7730" s="5" t="s">
        <v>19</v>
      </c>
      <c r="C7730" s="5" t="s">
        <v>292</v>
      </c>
      <c r="E7730" s="5" t="s">
        <v>48916</v>
      </c>
      <c r="F7730" s="5" t="s">
        <v>108</v>
      </c>
      <c r="G7730" s="5" t="s">
        <v>48917</v>
      </c>
      <c r="H7730" s="6" t="s">
        <v>48918</v>
      </c>
      <c r="K7730" s="5" t="s">
        <v>48912</v>
      </c>
    </row>
    <row r="7731">
      <c r="A7731" s="4">
        <v>45534.38670375</v>
      </c>
      <c r="B7731" s="5" t="s">
        <v>19</v>
      </c>
      <c r="C7731" s="5" t="s">
        <v>83</v>
      </c>
      <c r="E7731" s="5" t="s">
        <v>48922</v>
      </c>
      <c r="F7731" s="5" t="s">
        <v>72</v>
      </c>
      <c r="G7731" s="5" t="s">
        <v>48923</v>
      </c>
      <c r="H7731" s="6" t="s">
        <v>48924</v>
      </c>
      <c r="K7731" s="5" t="s">
        <v>48925</v>
      </c>
    </row>
    <row r="7732">
      <c r="A7732" s="4">
        <v>45534.38672996528</v>
      </c>
      <c r="B7732" s="5" t="s">
        <v>19</v>
      </c>
      <c r="C7732" s="5" t="s">
        <v>466</v>
      </c>
      <c r="E7732" s="5" t="s">
        <v>36570</v>
      </c>
      <c r="F7732" s="5" t="s">
        <v>375</v>
      </c>
      <c r="G7732" s="5" t="s">
        <v>48929</v>
      </c>
      <c r="H7732" s="6" t="s">
        <v>48930</v>
      </c>
      <c r="K7732" s="5" t="s">
        <v>48925</v>
      </c>
    </row>
    <row r="7733">
      <c r="A7733" s="4">
        <v>45534.3867295949</v>
      </c>
      <c r="B7733" s="5" t="s">
        <v>34</v>
      </c>
      <c r="D7733" s="5" t="s">
        <v>1768</v>
      </c>
      <c r="E7733" s="5" t="s">
        <v>48934</v>
      </c>
      <c r="F7733" s="5" t="s">
        <v>212</v>
      </c>
      <c r="G7733" s="5" t="s">
        <v>48935</v>
      </c>
      <c r="H7733" s="6" t="s">
        <v>48936</v>
      </c>
      <c r="K7733" s="5" t="s">
        <v>48925</v>
      </c>
    </row>
    <row r="7734">
      <c r="A7734" s="4">
        <v>45534.38673445601</v>
      </c>
      <c r="B7734" s="5" t="s">
        <v>19</v>
      </c>
      <c r="C7734" s="5" t="s">
        <v>3301</v>
      </c>
      <c r="E7734" s="5" t="s">
        <v>48940</v>
      </c>
      <c r="F7734" s="5" t="s">
        <v>72</v>
      </c>
      <c r="G7734" s="5" t="s">
        <v>48941</v>
      </c>
      <c r="H7734" s="6" t="s">
        <v>48942</v>
      </c>
      <c r="K7734" s="5" t="s">
        <v>48925</v>
      </c>
    </row>
    <row r="7735">
      <c r="A7735" s="4">
        <v>45534.386742187504</v>
      </c>
      <c r="B7735" s="5" t="s">
        <v>19</v>
      </c>
      <c r="C7735" s="5" t="s">
        <v>40230</v>
      </c>
      <c r="E7735" s="5" t="s">
        <v>48946</v>
      </c>
      <c r="F7735" s="5" t="s">
        <v>524</v>
      </c>
      <c r="G7735" s="5" t="s">
        <v>48947</v>
      </c>
      <c r="H7735" s="6" t="s">
        <v>48948</v>
      </c>
      <c r="K7735" s="5" t="s">
        <v>48925</v>
      </c>
    </row>
    <row r="7736">
      <c r="A7736" s="4">
        <v>45534.38674371528</v>
      </c>
      <c r="B7736" s="5" t="s">
        <v>34</v>
      </c>
      <c r="D7736" s="5" t="s">
        <v>4775</v>
      </c>
      <c r="E7736" s="5" t="s">
        <v>48952</v>
      </c>
      <c r="F7736" s="5" t="s">
        <v>212</v>
      </c>
      <c r="G7736" s="5" t="s">
        <v>48953</v>
      </c>
      <c r="H7736" s="6" t="s">
        <v>48954</v>
      </c>
      <c r="K7736" s="5" t="s">
        <v>48925</v>
      </c>
    </row>
    <row r="7737">
      <c r="A7737" s="4">
        <v>45534.38674480324</v>
      </c>
      <c r="B7737" s="5" t="s">
        <v>34</v>
      </c>
      <c r="D7737" s="5" t="s">
        <v>1206</v>
      </c>
      <c r="E7737" s="5" t="s">
        <v>48958</v>
      </c>
      <c r="F7737" s="5" t="s">
        <v>37</v>
      </c>
      <c r="G7737" s="5" t="s">
        <v>48959</v>
      </c>
      <c r="H7737" s="6" t="s">
        <v>48960</v>
      </c>
      <c r="K7737" s="5" t="s">
        <v>48925</v>
      </c>
    </row>
    <row r="7738">
      <c r="A7738" s="4">
        <v>45534.38674511574</v>
      </c>
      <c r="B7738" s="5" t="s">
        <v>34</v>
      </c>
      <c r="D7738" s="5" t="s">
        <v>35</v>
      </c>
      <c r="E7738" s="5" t="s">
        <v>23148</v>
      </c>
      <c r="F7738" s="5" t="s">
        <v>37</v>
      </c>
      <c r="G7738" s="5" t="s">
        <v>23149</v>
      </c>
      <c r="H7738" s="6" t="s">
        <v>48964</v>
      </c>
      <c r="K7738" s="5" t="s">
        <v>48925</v>
      </c>
    </row>
    <row r="7739">
      <c r="A7739" s="4">
        <v>45534.38679284722</v>
      </c>
      <c r="B7739" s="5" t="s">
        <v>19</v>
      </c>
      <c r="C7739" s="5" t="s">
        <v>83</v>
      </c>
      <c r="E7739" s="5" t="s">
        <v>48968</v>
      </c>
      <c r="F7739" s="5" t="s">
        <v>120</v>
      </c>
      <c r="G7739" s="5" t="s">
        <v>48969</v>
      </c>
      <c r="H7739" s="6" t="s">
        <v>48970</v>
      </c>
      <c r="K7739" s="5" t="s">
        <v>48971</v>
      </c>
    </row>
    <row r="7740">
      <c r="A7740" s="4">
        <v>45534.386807002316</v>
      </c>
      <c r="B7740" s="5" t="s">
        <v>34</v>
      </c>
      <c r="D7740" s="5" t="s">
        <v>12978</v>
      </c>
      <c r="E7740" s="5" t="s">
        <v>48975</v>
      </c>
      <c r="F7740" s="5" t="s">
        <v>524</v>
      </c>
      <c r="G7740" s="5" t="s">
        <v>48976</v>
      </c>
      <c r="H7740" s="6" t="s">
        <v>48977</v>
      </c>
      <c r="K7740" s="5" t="s">
        <v>48971</v>
      </c>
    </row>
    <row r="7741">
      <c r="A7741" s="4">
        <v>45534.38680836806</v>
      </c>
      <c r="B7741" s="5" t="s">
        <v>34</v>
      </c>
      <c r="D7741" s="5" t="s">
        <v>4775</v>
      </c>
      <c r="E7741" s="5" t="s">
        <v>48981</v>
      </c>
      <c r="F7741" s="5" t="s">
        <v>108</v>
      </c>
      <c r="G7741" s="5" t="s">
        <v>48982</v>
      </c>
      <c r="H7741" s="6" t="s">
        <v>48983</v>
      </c>
      <c r="K7741" s="5" t="s">
        <v>48971</v>
      </c>
    </row>
    <row r="7742">
      <c r="A7742" s="4">
        <v>45534.386821921296</v>
      </c>
      <c r="B7742" s="5" t="s">
        <v>34</v>
      </c>
      <c r="D7742" s="5" t="s">
        <v>14424</v>
      </c>
      <c r="E7742" s="5" t="s">
        <v>48987</v>
      </c>
      <c r="F7742" s="5" t="s">
        <v>524</v>
      </c>
      <c r="G7742" s="5" t="s">
        <v>48988</v>
      </c>
      <c r="H7742" s="6" t="s">
        <v>48989</v>
      </c>
      <c r="K7742" s="5" t="s">
        <v>48971</v>
      </c>
    </row>
    <row r="7743">
      <c r="A7743" s="4">
        <v>45534.38683685185</v>
      </c>
      <c r="B7743" s="5" t="s">
        <v>34</v>
      </c>
      <c r="D7743" s="5" t="s">
        <v>35</v>
      </c>
      <c r="E7743" s="5" t="s">
        <v>48993</v>
      </c>
      <c r="F7743" s="5" t="s">
        <v>37</v>
      </c>
      <c r="G7743" s="5" t="s">
        <v>48994</v>
      </c>
      <c r="H7743" s="6" t="s">
        <v>48995</v>
      </c>
      <c r="K7743" s="5" t="s">
        <v>48971</v>
      </c>
    </row>
    <row r="7744">
      <c r="A7744" s="4">
        <v>45534.38686949074</v>
      </c>
      <c r="B7744" s="5" t="s">
        <v>34</v>
      </c>
      <c r="D7744" s="5" t="s">
        <v>1206</v>
      </c>
      <c r="E7744" s="5" t="s">
        <v>48999</v>
      </c>
      <c r="F7744" s="5" t="s">
        <v>212</v>
      </c>
      <c r="G7744" s="5" t="s">
        <v>49000</v>
      </c>
      <c r="H7744" s="6" t="s">
        <v>49001</v>
      </c>
      <c r="K7744" s="5" t="s">
        <v>49002</v>
      </c>
    </row>
    <row r="7745">
      <c r="A7745" s="4">
        <v>45534.386869548616</v>
      </c>
      <c r="B7745" s="5" t="s">
        <v>34</v>
      </c>
      <c r="D7745" s="5" t="s">
        <v>1206</v>
      </c>
      <c r="E7745" s="5" t="s">
        <v>16348</v>
      </c>
      <c r="F7745" s="5" t="s">
        <v>212</v>
      </c>
      <c r="G7745" s="5" t="s">
        <v>49006</v>
      </c>
      <c r="H7745" s="6" t="s">
        <v>49007</v>
      </c>
      <c r="K7745" s="5" t="s">
        <v>49002</v>
      </c>
    </row>
    <row r="7746">
      <c r="A7746" s="4">
        <v>45534.38687729166</v>
      </c>
      <c r="B7746" s="5" t="s">
        <v>19</v>
      </c>
      <c r="C7746" s="5" t="s">
        <v>38343</v>
      </c>
      <c r="E7746" s="5" t="s">
        <v>16286</v>
      </c>
      <c r="F7746" s="5" t="s">
        <v>524</v>
      </c>
      <c r="G7746" s="5" t="s">
        <v>49011</v>
      </c>
      <c r="H7746" s="6" t="s">
        <v>49012</v>
      </c>
      <c r="K7746" s="5" t="s">
        <v>49002</v>
      </c>
    </row>
    <row r="7747">
      <c r="A7747" s="4">
        <v>45534.38687777778</v>
      </c>
      <c r="B7747" s="5" t="s">
        <v>34</v>
      </c>
      <c r="D7747" s="5" t="s">
        <v>522</v>
      </c>
      <c r="E7747" s="5" t="s">
        <v>49016</v>
      </c>
      <c r="F7747" s="5" t="s">
        <v>108</v>
      </c>
      <c r="G7747" s="5" t="s">
        <v>49017</v>
      </c>
      <c r="H7747" s="6" t="s">
        <v>49018</v>
      </c>
      <c r="K7747" s="5" t="s">
        <v>49002</v>
      </c>
    </row>
    <row r="7748">
      <c r="A7748" s="4">
        <v>45534.386901412036</v>
      </c>
      <c r="B7748" s="5" t="s">
        <v>34</v>
      </c>
      <c r="D7748" s="5" t="s">
        <v>1206</v>
      </c>
      <c r="E7748" s="5" t="s">
        <v>49022</v>
      </c>
      <c r="F7748" s="5" t="s">
        <v>212</v>
      </c>
      <c r="G7748" s="5" t="s">
        <v>49023</v>
      </c>
      <c r="H7748" s="6" t="s">
        <v>49024</v>
      </c>
      <c r="K7748" s="5" t="s">
        <v>49025</v>
      </c>
    </row>
    <row r="7749">
      <c r="A7749" s="4">
        <v>45534.38693037037</v>
      </c>
      <c r="B7749" s="5" t="s">
        <v>34</v>
      </c>
      <c r="D7749" s="5" t="s">
        <v>1558</v>
      </c>
      <c r="E7749" s="5" t="s">
        <v>49029</v>
      </c>
      <c r="F7749" s="5" t="s">
        <v>375</v>
      </c>
      <c r="G7749" s="5" t="s">
        <v>49030</v>
      </c>
      <c r="H7749" s="6" t="s">
        <v>49031</v>
      </c>
      <c r="K7749" s="5" t="s">
        <v>49032</v>
      </c>
    </row>
    <row r="7750">
      <c r="A7750" s="4">
        <v>45534.38693407408</v>
      </c>
      <c r="B7750" s="5" t="s">
        <v>34</v>
      </c>
      <c r="D7750" s="5" t="s">
        <v>267</v>
      </c>
      <c r="E7750" s="5" t="s">
        <v>49036</v>
      </c>
      <c r="F7750" s="5" t="s">
        <v>212</v>
      </c>
      <c r="G7750" s="5" t="s">
        <v>49037</v>
      </c>
      <c r="H7750" s="6" t="s">
        <v>49038</v>
      </c>
      <c r="K7750" s="5" t="s">
        <v>49032</v>
      </c>
    </row>
    <row r="7751">
      <c r="A7751" s="4">
        <v>45534.38694702546</v>
      </c>
      <c r="B7751" s="5" t="s">
        <v>34</v>
      </c>
      <c r="D7751" s="5" t="s">
        <v>9020</v>
      </c>
      <c r="E7751" s="5" t="s">
        <v>49042</v>
      </c>
      <c r="F7751" s="5" t="s">
        <v>375</v>
      </c>
      <c r="G7751" s="5" t="s">
        <v>49043</v>
      </c>
      <c r="H7751" s="6" t="s">
        <v>49044</v>
      </c>
      <c r="K7751" s="5" t="s">
        <v>49032</v>
      </c>
    </row>
    <row r="7752">
      <c r="A7752" s="4">
        <v>45534.386947314815</v>
      </c>
      <c r="B7752" s="5" t="s">
        <v>34</v>
      </c>
      <c r="D7752" s="5" t="s">
        <v>580</v>
      </c>
      <c r="E7752" s="5" t="s">
        <v>49048</v>
      </c>
      <c r="F7752" s="5" t="s">
        <v>375</v>
      </c>
      <c r="G7752" s="5" t="s">
        <v>49049</v>
      </c>
      <c r="H7752" s="6" t="s">
        <v>49050</v>
      </c>
      <c r="K7752" s="5" t="s">
        <v>49032</v>
      </c>
    </row>
    <row r="7753">
      <c r="A7753" s="4">
        <v>45534.38696618055</v>
      </c>
      <c r="B7753" s="5" t="s">
        <v>34</v>
      </c>
      <c r="D7753" s="5" t="s">
        <v>1206</v>
      </c>
      <c r="E7753" s="5" t="s">
        <v>49054</v>
      </c>
      <c r="F7753" s="5" t="s">
        <v>37</v>
      </c>
      <c r="G7753" s="5" t="s">
        <v>49055</v>
      </c>
      <c r="H7753" s="6" t="s">
        <v>49056</v>
      </c>
      <c r="K7753" s="5" t="s">
        <v>49057</v>
      </c>
    </row>
    <row r="7754">
      <c r="A7754" s="4">
        <v>45534.38700582176</v>
      </c>
      <c r="B7754" s="5" t="s">
        <v>34</v>
      </c>
      <c r="D7754" s="5" t="s">
        <v>10297</v>
      </c>
      <c r="E7754" s="5" t="s">
        <v>49061</v>
      </c>
      <c r="F7754" s="5" t="s">
        <v>37</v>
      </c>
      <c r="G7754" s="5" t="s">
        <v>49062</v>
      </c>
      <c r="H7754" s="6" t="s">
        <v>49063</v>
      </c>
      <c r="K7754" s="5" t="s">
        <v>49057</v>
      </c>
    </row>
    <row r="7755">
      <c r="A7755" s="4">
        <v>45534.387054108796</v>
      </c>
      <c r="B7755" s="5" t="s">
        <v>34</v>
      </c>
      <c r="D7755" s="5" t="s">
        <v>4775</v>
      </c>
      <c r="E7755" s="5" t="s">
        <v>49067</v>
      </c>
      <c r="F7755" s="5" t="s">
        <v>212</v>
      </c>
      <c r="G7755" s="5" t="s">
        <v>49068</v>
      </c>
      <c r="H7755" s="6" t="s">
        <v>49069</v>
      </c>
      <c r="K7755" s="5" t="s">
        <v>49070</v>
      </c>
    </row>
    <row r="7756">
      <c r="A7756" s="4">
        <v>45534.38705697916</v>
      </c>
      <c r="B7756" s="5" t="s">
        <v>19</v>
      </c>
      <c r="C7756" s="5" t="s">
        <v>5564</v>
      </c>
      <c r="E7756" s="5" t="s">
        <v>49074</v>
      </c>
      <c r="F7756" s="5" t="s">
        <v>120</v>
      </c>
      <c r="G7756" s="5" t="s">
        <v>49075</v>
      </c>
      <c r="H7756" s="6" t="s">
        <v>49076</v>
      </c>
      <c r="K7756" s="5" t="s">
        <v>49070</v>
      </c>
    </row>
    <row r="7757">
      <c r="A7757" s="4">
        <v>45534.387074074075</v>
      </c>
      <c r="B7757" s="5" t="s">
        <v>34</v>
      </c>
      <c r="D7757" s="5" t="s">
        <v>4775</v>
      </c>
      <c r="E7757" s="5" t="s">
        <v>49080</v>
      </c>
      <c r="F7757" s="5" t="s">
        <v>328</v>
      </c>
      <c r="G7757" s="5" t="s">
        <v>49081</v>
      </c>
      <c r="H7757" s="6" t="s">
        <v>49082</v>
      </c>
      <c r="K7757" s="5" t="s">
        <v>49083</v>
      </c>
    </row>
    <row r="7758">
      <c r="A7758" s="4">
        <v>45534.387077314816</v>
      </c>
      <c r="B7758" s="5" t="s">
        <v>34</v>
      </c>
      <c r="D7758" s="5" t="s">
        <v>1206</v>
      </c>
      <c r="E7758" s="5" t="s">
        <v>49087</v>
      </c>
      <c r="F7758" s="5" t="s">
        <v>212</v>
      </c>
      <c r="G7758" s="5" t="s">
        <v>49088</v>
      </c>
      <c r="H7758" s="6" t="s">
        <v>49089</v>
      </c>
      <c r="K7758" s="5" t="s">
        <v>49083</v>
      </c>
    </row>
    <row r="7759">
      <c r="A7759" s="4">
        <v>45534.38708424769</v>
      </c>
      <c r="B7759" s="5" t="s">
        <v>34</v>
      </c>
      <c r="D7759" s="5" t="s">
        <v>9020</v>
      </c>
      <c r="E7759" s="5" t="s">
        <v>34739</v>
      </c>
      <c r="F7759" s="5" t="s">
        <v>212</v>
      </c>
      <c r="G7759" s="5" t="s">
        <v>49093</v>
      </c>
      <c r="H7759" s="6" t="s">
        <v>49094</v>
      </c>
      <c r="K7759" s="5" t="s">
        <v>49083</v>
      </c>
    </row>
    <row r="7760">
      <c r="A7760" s="4">
        <v>45534.38711619213</v>
      </c>
      <c r="B7760" s="5" t="s">
        <v>34</v>
      </c>
      <c r="D7760" s="5" t="s">
        <v>1206</v>
      </c>
      <c r="E7760" s="5" t="s">
        <v>21358</v>
      </c>
      <c r="F7760" s="5" t="s">
        <v>37</v>
      </c>
      <c r="G7760" s="5" t="s">
        <v>49098</v>
      </c>
      <c r="H7760" s="6" t="s">
        <v>49099</v>
      </c>
      <c r="K7760" s="5" t="s">
        <v>49083</v>
      </c>
    </row>
    <row r="7761">
      <c r="A7761" s="4">
        <v>45534.387134317134</v>
      </c>
      <c r="B7761" s="5" t="s">
        <v>34</v>
      </c>
      <c r="D7761" s="5" t="s">
        <v>12978</v>
      </c>
      <c r="E7761" s="5" t="s">
        <v>49103</v>
      </c>
      <c r="F7761" s="5" t="s">
        <v>72</v>
      </c>
      <c r="G7761" s="5" t="s">
        <v>49104</v>
      </c>
      <c r="H7761" s="6" t="s">
        <v>49105</v>
      </c>
      <c r="K7761" s="5" t="s">
        <v>49083</v>
      </c>
    </row>
    <row r="7762">
      <c r="A7762" s="4">
        <v>45534.38714976852</v>
      </c>
      <c r="B7762" s="5" t="s">
        <v>34</v>
      </c>
      <c r="D7762" s="5" t="s">
        <v>1558</v>
      </c>
      <c r="E7762" s="5" t="s">
        <v>49109</v>
      </c>
      <c r="F7762" s="5" t="s">
        <v>108</v>
      </c>
      <c r="G7762" s="5" t="s">
        <v>49110</v>
      </c>
      <c r="H7762" s="6" t="s">
        <v>49111</v>
      </c>
      <c r="K7762" s="5" t="s">
        <v>49083</v>
      </c>
    </row>
    <row r="7763">
      <c r="A7763" s="4">
        <v>45534.38716378472</v>
      </c>
      <c r="B7763" s="5" t="s">
        <v>34</v>
      </c>
      <c r="D7763" s="5" t="s">
        <v>1206</v>
      </c>
      <c r="E7763" s="5" t="s">
        <v>49115</v>
      </c>
      <c r="F7763" s="5" t="s">
        <v>212</v>
      </c>
      <c r="G7763" s="5" t="s">
        <v>49116</v>
      </c>
      <c r="H7763" s="6" t="s">
        <v>49117</v>
      </c>
      <c r="K7763" s="5" t="s">
        <v>49083</v>
      </c>
    </row>
    <row r="7764">
      <c r="A7764" s="4">
        <v>45534.38718207176</v>
      </c>
      <c r="B7764" s="5" t="s">
        <v>34</v>
      </c>
      <c r="D7764" s="5" t="s">
        <v>1456</v>
      </c>
      <c r="E7764" s="5" t="s">
        <v>49121</v>
      </c>
      <c r="F7764" s="5" t="s">
        <v>37</v>
      </c>
      <c r="G7764" s="5" t="s">
        <v>49122</v>
      </c>
      <c r="H7764" s="6" t="s">
        <v>49123</v>
      </c>
      <c r="K7764" s="5" t="s">
        <v>49083</v>
      </c>
    </row>
    <row r="7765">
      <c r="A7765" s="4">
        <v>45534.387207604166</v>
      </c>
      <c r="B7765" s="5" t="s">
        <v>34</v>
      </c>
      <c r="D7765" s="5" t="s">
        <v>6232</v>
      </c>
      <c r="E7765" s="5" t="s">
        <v>49127</v>
      </c>
      <c r="F7765" s="5" t="s">
        <v>212</v>
      </c>
      <c r="G7765" s="5" t="s">
        <v>49128</v>
      </c>
      <c r="H7765" s="6" t="s">
        <v>49129</v>
      </c>
      <c r="K7765" s="5" t="s">
        <v>49130</v>
      </c>
    </row>
    <row r="7766">
      <c r="A7766" s="4">
        <v>45534.38722668981</v>
      </c>
      <c r="B7766" s="5" t="s">
        <v>34</v>
      </c>
      <c r="D7766" s="5" t="s">
        <v>12978</v>
      </c>
      <c r="E7766" s="5" t="s">
        <v>49134</v>
      </c>
      <c r="F7766" s="5" t="s">
        <v>375</v>
      </c>
      <c r="G7766" s="5" t="s">
        <v>49135</v>
      </c>
      <c r="H7766" s="6" t="s">
        <v>49136</v>
      </c>
      <c r="K7766" s="5" t="s">
        <v>49130</v>
      </c>
    </row>
    <row r="7767">
      <c r="A7767" s="4">
        <v>45534.38722813658</v>
      </c>
      <c r="B7767" s="5" t="s">
        <v>34</v>
      </c>
      <c r="D7767" s="5" t="s">
        <v>1206</v>
      </c>
      <c r="E7767" s="5" t="s">
        <v>49140</v>
      </c>
      <c r="F7767" s="5" t="s">
        <v>524</v>
      </c>
      <c r="G7767" s="5" t="s">
        <v>49141</v>
      </c>
      <c r="H7767" s="6" t="s">
        <v>49142</v>
      </c>
      <c r="K7767" s="5" t="s">
        <v>49130</v>
      </c>
    </row>
    <row r="7768">
      <c r="A7768" s="4">
        <v>45534.387232256944</v>
      </c>
      <c r="B7768" s="5" t="s">
        <v>34</v>
      </c>
      <c r="D7768" s="5" t="s">
        <v>1558</v>
      </c>
      <c r="E7768" s="5" t="s">
        <v>49146</v>
      </c>
      <c r="F7768" s="5" t="s">
        <v>108</v>
      </c>
      <c r="G7768" s="5" t="s">
        <v>49147</v>
      </c>
      <c r="H7768" s="6" t="s">
        <v>49148</v>
      </c>
      <c r="K7768" s="5" t="s">
        <v>49130</v>
      </c>
    </row>
    <row r="7769">
      <c r="A7769" s="4">
        <v>45534.38725208333</v>
      </c>
      <c r="B7769" s="5" t="s">
        <v>34</v>
      </c>
      <c r="D7769" s="5" t="s">
        <v>9020</v>
      </c>
      <c r="E7769" s="5" t="s">
        <v>49152</v>
      </c>
      <c r="F7769" s="5" t="s">
        <v>524</v>
      </c>
      <c r="G7769" s="5" t="s">
        <v>49153</v>
      </c>
      <c r="H7769" s="6" t="s">
        <v>49154</v>
      </c>
      <c r="K7769" s="5" t="s">
        <v>49130</v>
      </c>
    </row>
    <row r="7770">
      <c r="A7770" s="4">
        <v>45534.387305763885</v>
      </c>
      <c r="B7770" s="5" t="s">
        <v>34</v>
      </c>
      <c r="D7770" s="5" t="s">
        <v>1206</v>
      </c>
      <c r="E7770" s="5" t="s">
        <v>49158</v>
      </c>
      <c r="F7770" s="5" t="s">
        <v>212</v>
      </c>
      <c r="G7770" s="5" t="s">
        <v>49159</v>
      </c>
      <c r="H7770" s="6" t="s">
        <v>49160</v>
      </c>
      <c r="K7770" s="5" t="s">
        <v>49161</v>
      </c>
    </row>
    <row r="7771">
      <c r="A7771" s="4">
        <v>45534.387342511574</v>
      </c>
      <c r="B7771" s="5" t="s">
        <v>34</v>
      </c>
      <c r="D7771" s="5" t="s">
        <v>12978</v>
      </c>
      <c r="E7771" s="5" t="s">
        <v>49165</v>
      </c>
      <c r="F7771" s="5" t="s">
        <v>72</v>
      </c>
      <c r="G7771" s="5" t="s">
        <v>49166</v>
      </c>
      <c r="H7771" s="6" t="s">
        <v>49167</v>
      </c>
      <c r="K7771" s="5" t="s">
        <v>49168</v>
      </c>
    </row>
    <row r="7772">
      <c r="A7772" s="4">
        <v>45534.38734908565</v>
      </c>
      <c r="B7772" s="5" t="s">
        <v>34</v>
      </c>
      <c r="D7772" s="5" t="s">
        <v>9020</v>
      </c>
      <c r="E7772" s="5" t="s">
        <v>49172</v>
      </c>
      <c r="F7772" s="5" t="s">
        <v>375</v>
      </c>
      <c r="G7772" s="5" t="s">
        <v>49173</v>
      </c>
      <c r="H7772" s="6" t="s">
        <v>49174</v>
      </c>
      <c r="K7772" s="5" t="s">
        <v>49168</v>
      </c>
    </row>
    <row r="7773">
      <c r="A7773" s="4">
        <v>45534.3873528588</v>
      </c>
      <c r="B7773" s="5" t="s">
        <v>34</v>
      </c>
      <c r="D7773" s="5" t="s">
        <v>1768</v>
      </c>
      <c r="E7773" s="5" t="s">
        <v>49178</v>
      </c>
      <c r="F7773" s="5" t="s">
        <v>108</v>
      </c>
      <c r="G7773" s="5" t="s">
        <v>49179</v>
      </c>
      <c r="H7773" s="6" t="s">
        <v>49180</v>
      </c>
      <c r="K7773" s="5" t="s">
        <v>49168</v>
      </c>
    </row>
    <row r="7774">
      <c r="A7774" s="4">
        <v>45534.38736201389</v>
      </c>
      <c r="B7774" s="5" t="s">
        <v>19</v>
      </c>
      <c r="C7774" s="5" t="s">
        <v>10418</v>
      </c>
      <c r="E7774" s="5" t="s">
        <v>49184</v>
      </c>
      <c r="F7774" s="5" t="s">
        <v>108</v>
      </c>
      <c r="G7774" s="5" t="s">
        <v>49185</v>
      </c>
      <c r="H7774" s="6" t="s">
        <v>49186</v>
      </c>
      <c r="K7774" s="5" t="s">
        <v>49168</v>
      </c>
    </row>
    <row r="7775">
      <c r="A7775" s="4">
        <v>45534.38736422454</v>
      </c>
      <c r="B7775" s="5" t="s">
        <v>19</v>
      </c>
      <c r="C7775" s="5" t="s">
        <v>40230</v>
      </c>
      <c r="E7775" s="5" t="s">
        <v>49190</v>
      </c>
      <c r="F7775" s="5" t="s">
        <v>524</v>
      </c>
      <c r="G7775" s="5" t="s">
        <v>49191</v>
      </c>
      <c r="H7775" s="6" t="s">
        <v>49192</v>
      </c>
      <c r="K7775" s="5" t="s">
        <v>49168</v>
      </c>
    </row>
    <row r="7776">
      <c r="A7776" s="4">
        <v>45534.38737563658</v>
      </c>
      <c r="B7776" s="5" t="s">
        <v>19</v>
      </c>
      <c r="C7776" s="5" t="s">
        <v>292</v>
      </c>
      <c r="E7776" s="5" t="s">
        <v>49196</v>
      </c>
      <c r="F7776" s="5" t="s">
        <v>524</v>
      </c>
      <c r="G7776" s="5" t="s">
        <v>49197</v>
      </c>
      <c r="H7776" s="6" t="s">
        <v>49198</v>
      </c>
      <c r="K7776" s="5" t="s">
        <v>49199</v>
      </c>
    </row>
    <row r="7777">
      <c r="A7777" s="4">
        <v>45534.38738939815</v>
      </c>
      <c r="B7777" s="5" t="s">
        <v>34</v>
      </c>
      <c r="D7777" s="5" t="s">
        <v>9020</v>
      </c>
      <c r="E7777" s="5" t="s">
        <v>49203</v>
      </c>
      <c r="F7777" s="5" t="s">
        <v>212</v>
      </c>
      <c r="G7777" s="5" t="s">
        <v>49204</v>
      </c>
      <c r="H7777" s="6" t="s">
        <v>49205</v>
      </c>
      <c r="K7777" s="5" t="s">
        <v>49199</v>
      </c>
    </row>
    <row r="7778">
      <c r="A7778" s="4">
        <v>45534.3874156713</v>
      </c>
      <c r="B7778" s="5" t="s">
        <v>34</v>
      </c>
      <c r="D7778" s="5" t="s">
        <v>1206</v>
      </c>
      <c r="E7778" s="5" t="s">
        <v>49209</v>
      </c>
      <c r="F7778" s="5" t="s">
        <v>37</v>
      </c>
      <c r="G7778" s="5" t="s">
        <v>49210</v>
      </c>
      <c r="H7778" s="6" t="s">
        <v>49211</v>
      </c>
      <c r="K7778" s="5" t="s">
        <v>49212</v>
      </c>
    </row>
    <row r="7779">
      <c r="A7779" s="4">
        <v>45534.387417164355</v>
      </c>
      <c r="B7779" s="5" t="s">
        <v>34</v>
      </c>
      <c r="D7779" s="5" t="s">
        <v>9020</v>
      </c>
      <c r="E7779" s="5" t="s">
        <v>49216</v>
      </c>
      <c r="F7779" s="5" t="s">
        <v>212</v>
      </c>
      <c r="G7779" s="5" t="s">
        <v>49217</v>
      </c>
      <c r="H7779" s="6" t="s">
        <v>49218</v>
      </c>
      <c r="K7779" s="5" t="s">
        <v>49212</v>
      </c>
    </row>
    <row r="7780">
      <c r="A7780" s="4">
        <v>45534.38742284723</v>
      </c>
      <c r="B7780" s="5" t="s">
        <v>19</v>
      </c>
      <c r="C7780" s="5" t="s">
        <v>83</v>
      </c>
      <c r="E7780" s="5" t="s">
        <v>49221</v>
      </c>
      <c r="F7780" s="5" t="s">
        <v>375</v>
      </c>
      <c r="G7780" s="5" t="s">
        <v>49222</v>
      </c>
      <c r="H7780" s="6" t="s">
        <v>49223</v>
      </c>
      <c r="K7780" s="5" t="s">
        <v>49224</v>
      </c>
    </row>
    <row r="7781">
      <c r="A7781" s="4">
        <v>45534.387430636576</v>
      </c>
      <c r="B7781" s="5" t="s">
        <v>34</v>
      </c>
      <c r="D7781" s="5" t="s">
        <v>1558</v>
      </c>
      <c r="E7781" s="5" t="s">
        <v>49228</v>
      </c>
      <c r="F7781" s="5" t="s">
        <v>37</v>
      </c>
      <c r="G7781" s="5" t="s">
        <v>49229</v>
      </c>
      <c r="H7781" s="6" t="s">
        <v>49230</v>
      </c>
      <c r="K7781" s="5" t="s">
        <v>49224</v>
      </c>
    </row>
    <row r="7782">
      <c r="A7782" s="4">
        <v>45534.387437743055</v>
      </c>
      <c r="B7782" s="5" t="s">
        <v>19</v>
      </c>
      <c r="C7782" s="5" t="s">
        <v>292</v>
      </c>
      <c r="E7782" s="5" t="s">
        <v>49233</v>
      </c>
      <c r="F7782" s="5" t="s">
        <v>37</v>
      </c>
      <c r="G7782" s="5" t="s">
        <v>49234</v>
      </c>
      <c r="H7782" s="6" t="s">
        <v>49235</v>
      </c>
      <c r="K7782" s="5" t="s">
        <v>49224</v>
      </c>
    </row>
    <row r="7783">
      <c r="A7783" s="4">
        <v>45534.38748263889</v>
      </c>
      <c r="B7783" s="5" t="s">
        <v>34</v>
      </c>
      <c r="D7783" s="5" t="s">
        <v>1456</v>
      </c>
      <c r="E7783" s="5" t="s">
        <v>49238</v>
      </c>
      <c r="F7783" s="5" t="s">
        <v>108</v>
      </c>
      <c r="G7783" s="5" t="s">
        <v>49239</v>
      </c>
      <c r="H7783" s="6" t="s">
        <v>49240</v>
      </c>
      <c r="K7783" s="5" t="s">
        <v>49241</v>
      </c>
    </row>
    <row r="7784">
      <c r="A7784" s="4">
        <v>45534.38749105324</v>
      </c>
      <c r="B7784" s="5" t="s">
        <v>34</v>
      </c>
      <c r="D7784" s="5" t="s">
        <v>1206</v>
      </c>
      <c r="E7784" s="5" t="s">
        <v>49244</v>
      </c>
      <c r="F7784" s="5" t="s">
        <v>72</v>
      </c>
      <c r="G7784" s="5" t="s">
        <v>49245</v>
      </c>
      <c r="H7784" s="6" t="s">
        <v>49246</v>
      </c>
      <c r="K7784" s="5" t="s">
        <v>49241</v>
      </c>
    </row>
    <row r="7785">
      <c r="A7785" s="4">
        <v>45534.3874966088</v>
      </c>
      <c r="B7785" s="5" t="s">
        <v>19</v>
      </c>
      <c r="C7785" s="5" t="s">
        <v>5058</v>
      </c>
      <c r="E7785" s="5" t="s">
        <v>49250</v>
      </c>
      <c r="F7785" s="5" t="s">
        <v>120</v>
      </c>
      <c r="G7785" s="5" t="s">
        <v>49251</v>
      </c>
      <c r="H7785" s="6" t="s">
        <v>49252</v>
      </c>
      <c r="K7785" s="5" t="s">
        <v>49253</v>
      </c>
    </row>
    <row r="7786">
      <c r="A7786" s="4">
        <v>45534.38751770833</v>
      </c>
      <c r="B7786" s="5" t="s">
        <v>34</v>
      </c>
      <c r="D7786" s="5" t="s">
        <v>12978</v>
      </c>
      <c r="E7786" s="5" t="s">
        <v>49256</v>
      </c>
      <c r="F7786" s="5" t="s">
        <v>212</v>
      </c>
      <c r="G7786" s="5" t="s">
        <v>49257</v>
      </c>
      <c r="H7786" s="6" t="s">
        <v>49258</v>
      </c>
      <c r="K7786" s="5" t="s">
        <v>49259</v>
      </c>
    </row>
    <row r="7787">
      <c r="A7787" s="4">
        <v>45534.38752283565</v>
      </c>
      <c r="B7787" s="5" t="s">
        <v>34</v>
      </c>
      <c r="D7787" s="5" t="s">
        <v>996</v>
      </c>
      <c r="E7787" s="5" t="s">
        <v>49263</v>
      </c>
      <c r="F7787" s="5" t="s">
        <v>108</v>
      </c>
      <c r="G7787" s="5" t="s">
        <v>49264</v>
      </c>
      <c r="H7787" s="6" t="s">
        <v>49265</v>
      </c>
      <c r="K7787" s="5" t="s">
        <v>49259</v>
      </c>
    </row>
    <row r="7788">
      <c r="A7788" s="4">
        <v>45534.38752795139</v>
      </c>
      <c r="B7788" s="5" t="s">
        <v>34</v>
      </c>
      <c r="D7788" s="5" t="s">
        <v>1206</v>
      </c>
      <c r="E7788" s="5" t="s">
        <v>49268</v>
      </c>
      <c r="F7788" s="5" t="s">
        <v>72</v>
      </c>
      <c r="G7788" s="5" t="s">
        <v>49269</v>
      </c>
      <c r="H7788" s="6" t="s">
        <v>49270</v>
      </c>
      <c r="K7788" s="5" t="s">
        <v>49259</v>
      </c>
    </row>
    <row r="7789">
      <c r="A7789" s="4">
        <v>45534.3875440625</v>
      </c>
      <c r="B7789" s="5" t="s">
        <v>34</v>
      </c>
      <c r="D7789" s="5" t="s">
        <v>4775</v>
      </c>
      <c r="E7789" s="5" t="s">
        <v>49273</v>
      </c>
      <c r="F7789" s="5" t="s">
        <v>37</v>
      </c>
      <c r="G7789" s="5" t="s">
        <v>49274</v>
      </c>
      <c r="H7789" s="6" t="s">
        <v>49275</v>
      </c>
      <c r="K7789" s="5" t="s">
        <v>49259</v>
      </c>
    </row>
    <row r="7790">
      <c r="A7790" s="4">
        <v>45534.387593865744</v>
      </c>
      <c r="B7790" s="5" t="s">
        <v>19</v>
      </c>
      <c r="C7790" s="5" t="s">
        <v>11593</v>
      </c>
      <c r="E7790" s="5" t="s">
        <v>49278</v>
      </c>
      <c r="F7790" s="5" t="s">
        <v>37</v>
      </c>
      <c r="G7790" s="5" t="s">
        <v>49279</v>
      </c>
      <c r="H7790" s="6" t="s">
        <v>49280</v>
      </c>
      <c r="K7790" s="5" t="s">
        <v>49281</v>
      </c>
    </row>
    <row r="7791">
      <c r="A7791" s="4">
        <v>45534.38761832176</v>
      </c>
      <c r="B7791" s="5" t="s">
        <v>19</v>
      </c>
      <c r="C7791" s="5" t="s">
        <v>466</v>
      </c>
      <c r="E7791" s="5" t="s">
        <v>49284</v>
      </c>
      <c r="F7791" s="5" t="s">
        <v>212</v>
      </c>
      <c r="G7791" s="5" t="s">
        <v>49285</v>
      </c>
      <c r="H7791" s="6" t="s">
        <v>49286</v>
      </c>
      <c r="K7791" s="5" t="s">
        <v>49281</v>
      </c>
    </row>
    <row r="7792">
      <c r="A7792" s="4">
        <v>45534.387622546295</v>
      </c>
      <c r="B7792" s="5" t="s">
        <v>34</v>
      </c>
      <c r="D7792" s="5" t="s">
        <v>35</v>
      </c>
      <c r="E7792" s="5" t="s">
        <v>49289</v>
      </c>
      <c r="F7792" s="5" t="s">
        <v>328</v>
      </c>
      <c r="G7792" s="5" t="s">
        <v>49290</v>
      </c>
      <c r="H7792" s="6" t="s">
        <v>49291</v>
      </c>
      <c r="K7792" s="5" t="s">
        <v>49281</v>
      </c>
    </row>
    <row r="7793">
      <c r="A7793" s="4">
        <v>45534.387661747685</v>
      </c>
      <c r="B7793" s="5" t="s">
        <v>34</v>
      </c>
      <c r="D7793" s="5" t="s">
        <v>1558</v>
      </c>
      <c r="E7793" s="5" t="s">
        <v>49295</v>
      </c>
      <c r="F7793" s="5" t="s">
        <v>37</v>
      </c>
      <c r="G7793" s="5" t="s">
        <v>49296</v>
      </c>
      <c r="H7793" s="6" t="s">
        <v>49297</v>
      </c>
      <c r="K7793" s="5" t="s">
        <v>49298</v>
      </c>
    </row>
    <row r="7794">
      <c r="A7794" s="4">
        <v>45534.38767497685</v>
      </c>
      <c r="B7794" s="5" t="s">
        <v>34</v>
      </c>
      <c r="D7794" s="5" t="s">
        <v>9020</v>
      </c>
      <c r="E7794" s="5" t="s">
        <v>27862</v>
      </c>
      <c r="F7794" s="5" t="s">
        <v>37</v>
      </c>
      <c r="G7794" s="5" t="s">
        <v>49301</v>
      </c>
      <c r="H7794" s="6" t="s">
        <v>49302</v>
      </c>
      <c r="K7794" s="5" t="s">
        <v>49298</v>
      </c>
    </row>
    <row r="7795">
      <c r="A7795" s="4">
        <v>45534.387681064814</v>
      </c>
      <c r="B7795" s="5" t="s">
        <v>34</v>
      </c>
      <c r="D7795" s="5" t="s">
        <v>1558</v>
      </c>
      <c r="E7795" s="5" t="s">
        <v>49305</v>
      </c>
      <c r="F7795" s="5" t="s">
        <v>108</v>
      </c>
      <c r="G7795" s="5" t="s">
        <v>49306</v>
      </c>
      <c r="H7795" s="6" t="s">
        <v>49307</v>
      </c>
      <c r="K7795" s="5" t="s">
        <v>49308</v>
      </c>
    </row>
    <row r="7796">
      <c r="A7796" s="4">
        <v>45534.38769461805</v>
      </c>
      <c r="B7796" s="5" t="s">
        <v>34</v>
      </c>
      <c r="D7796" s="5" t="s">
        <v>996</v>
      </c>
      <c r="E7796" s="5" t="s">
        <v>49311</v>
      </c>
      <c r="F7796" s="5" t="s">
        <v>37</v>
      </c>
      <c r="G7796" s="5" t="s">
        <v>49312</v>
      </c>
      <c r="H7796" s="6" t="s">
        <v>49313</v>
      </c>
      <c r="K7796" s="5" t="s">
        <v>49308</v>
      </c>
    </row>
    <row r="7797">
      <c r="A7797" s="4">
        <v>45534.38775498843</v>
      </c>
      <c r="B7797" s="5" t="s">
        <v>34</v>
      </c>
      <c r="D7797" s="5" t="s">
        <v>4775</v>
      </c>
      <c r="E7797" s="5" t="s">
        <v>49316</v>
      </c>
      <c r="F7797" s="5" t="s">
        <v>212</v>
      </c>
      <c r="G7797" s="5" t="s">
        <v>49317</v>
      </c>
      <c r="H7797" s="6" t="s">
        <v>49318</v>
      </c>
      <c r="K7797" s="5" t="s">
        <v>49319</v>
      </c>
    </row>
    <row r="7798">
      <c r="A7798" s="4">
        <v>45534.38777188657</v>
      </c>
      <c r="B7798" s="5" t="s">
        <v>19</v>
      </c>
      <c r="C7798" s="5" t="s">
        <v>83</v>
      </c>
      <c r="E7798" s="5" t="s">
        <v>49323</v>
      </c>
      <c r="F7798" s="5" t="s">
        <v>212</v>
      </c>
      <c r="G7798" s="5" t="s">
        <v>49324</v>
      </c>
      <c r="H7798" s="6" t="s">
        <v>49325</v>
      </c>
      <c r="K7798" s="5" t="s">
        <v>49326</v>
      </c>
    </row>
    <row r="7799">
      <c r="A7799" s="4">
        <v>45534.38777324074</v>
      </c>
      <c r="B7799" s="5" t="s">
        <v>34</v>
      </c>
      <c r="D7799" s="5" t="s">
        <v>1206</v>
      </c>
      <c r="E7799" s="5" t="s">
        <v>49329</v>
      </c>
      <c r="F7799" s="5" t="s">
        <v>37</v>
      </c>
      <c r="G7799" s="5" t="s">
        <v>49330</v>
      </c>
      <c r="H7799" s="6" t="s">
        <v>49331</v>
      </c>
      <c r="K7799" s="5" t="s">
        <v>49326</v>
      </c>
    </row>
    <row r="7800">
      <c r="A7800" s="4">
        <v>45534.38780481482</v>
      </c>
      <c r="B7800" s="5" t="s">
        <v>34</v>
      </c>
      <c r="D7800" s="5" t="s">
        <v>701</v>
      </c>
      <c r="E7800" s="5" t="s">
        <v>49334</v>
      </c>
      <c r="F7800" s="5" t="s">
        <v>108</v>
      </c>
      <c r="G7800" s="5" t="s">
        <v>49335</v>
      </c>
      <c r="H7800" s="6" t="s">
        <v>49336</v>
      </c>
      <c r="K7800" s="5" t="s">
        <v>49337</v>
      </c>
    </row>
    <row r="7801">
      <c r="A7801" s="4">
        <v>45534.38781506944</v>
      </c>
      <c r="B7801" s="5" t="s">
        <v>34</v>
      </c>
      <c r="D7801" s="5" t="s">
        <v>15401</v>
      </c>
      <c r="E7801" s="5" t="s">
        <v>49340</v>
      </c>
      <c r="F7801" s="5" t="s">
        <v>212</v>
      </c>
      <c r="G7801" s="5" t="s">
        <v>49341</v>
      </c>
      <c r="H7801" s="6" t="s">
        <v>49342</v>
      </c>
      <c r="K7801" s="5" t="s">
        <v>49337</v>
      </c>
    </row>
    <row r="7802">
      <c r="A7802" s="4">
        <v>45534.387835648144</v>
      </c>
      <c r="B7802" s="5" t="s">
        <v>34</v>
      </c>
      <c r="D7802" s="5" t="s">
        <v>1206</v>
      </c>
      <c r="E7802" s="5" t="s">
        <v>49345</v>
      </c>
      <c r="F7802" s="5" t="s">
        <v>37</v>
      </c>
      <c r="G7802" s="5" t="s">
        <v>49346</v>
      </c>
      <c r="H7802" s="6" t="s">
        <v>49347</v>
      </c>
      <c r="K7802" s="5" t="s">
        <v>49337</v>
      </c>
    </row>
    <row r="7803">
      <c r="A7803" s="4">
        <v>45534.387848171296</v>
      </c>
      <c r="B7803" s="5" t="s">
        <v>34</v>
      </c>
      <c r="D7803" s="5" t="s">
        <v>1206</v>
      </c>
      <c r="E7803" s="5" t="s">
        <v>49351</v>
      </c>
      <c r="F7803" s="5" t="s">
        <v>37</v>
      </c>
      <c r="G7803" s="5" t="s">
        <v>49352</v>
      </c>
      <c r="H7803" s="6" t="s">
        <v>49353</v>
      </c>
      <c r="K7803" s="5" t="s">
        <v>49354</v>
      </c>
    </row>
    <row r="7804">
      <c r="A7804" s="4">
        <v>45534.38784928241</v>
      </c>
      <c r="B7804" s="5" t="s">
        <v>34</v>
      </c>
      <c r="D7804" s="5" t="s">
        <v>9020</v>
      </c>
      <c r="E7804" s="5" t="s">
        <v>49357</v>
      </c>
      <c r="F7804" s="5" t="s">
        <v>37</v>
      </c>
      <c r="G7804" s="5" t="s">
        <v>49358</v>
      </c>
      <c r="H7804" s="6" t="s">
        <v>49359</v>
      </c>
      <c r="K7804" s="5" t="s">
        <v>49354</v>
      </c>
    </row>
    <row r="7805">
      <c r="A7805" s="4">
        <v>45534.3879478125</v>
      </c>
      <c r="B7805" s="5" t="s">
        <v>34</v>
      </c>
      <c r="D7805" s="5" t="s">
        <v>35</v>
      </c>
      <c r="E7805" s="5" t="s">
        <v>49362</v>
      </c>
      <c r="F7805" s="5" t="s">
        <v>375</v>
      </c>
      <c r="G7805" s="5" t="s">
        <v>49363</v>
      </c>
      <c r="H7805" s="6" t="s">
        <v>49364</v>
      </c>
      <c r="K7805" s="5" t="s">
        <v>49365</v>
      </c>
    </row>
    <row r="7806">
      <c r="A7806" s="4">
        <v>45534.387995972225</v>
      </c>
      <c r="B7806" s="5" t="s">
        <v>34</v>
      </c>
      <c r="D7806" s="5" t="s">
        <v>9020</v>
      </c>
      <c r="E7806" s="5" t="s">
        <v>49368</v>
      </c>
      <c r="F7806" s="5" t="s">
        <v>524</v>
      </c>
      <c r="G7806" s="5" t="s">
        <v>49369</v>
      </c>
      <c r="H7806" s="6" t="s">
        <v>49370</v>
      </c>
      <c r="K7806" s="5" t="s">
        <v>49371</v>
      </c>
    </row>
    <row r="7807">
      <c r="A7807" s="4">
        <v>45534.388008553244</v>
      </c>
      <c r="B7807" s="5" t="s">
        <v>34</v>
      </c>
      <c r="D7807" s="5" t="s">
        <v>701</v>
      </c>
      <c r="E7807" s="5" t="s">
        <v>49375</v>
      </c>
      <c r="F7807" s="5" t="s">
        <v>212</v>
      </c>
      <c r="G7807" s="5" t="s">
        <v>49376</v>
      </c>
      <c r="H7807" s="6" t="s">
        <v>49377</v>
      </c>
      <c r="K7807" s="5" t="s">
        <v>49371</v>
      </c>
    </row>
    <row r="7808">
      <c r="A7808" s="4">
        <v>45534.38802334491</v>
      </c>
      <c r="B7808" s="5" t="s">
        <v>34</v>
      </c>
      <c r="D7808" s="5" t="s">
        <v>1206</v>
      </c>
      <c r="E7808" s="5" t="s">
        <v>49380</v>
      </c>
      <c r="F7808" s="5" t="s">
        <v>524</v>
      </c>
      <c r="G7808" s="5" t="s">
        <v>49381</v>
      </c>
      <c r="H7808" s="6" t="s">
        <v>49382</v>
      </c>
      <c r="K7808" s="5" t="s">
        <v>49371</v>
      </c>
    </row>
    <row r="7809">
      <c r="A7809" s="4">
        <v>45534.388038425925</v>
      </c>
      <c r="B7809" s="5" t="s">
        <v>34</v>
      </c>
      <c r="D7809" s="5" t="s">
        <v>1456</v>
      </c>
      <c r="E7809" s="5" t="s">
        <v>49385</v>
      </c>
      <c r="F7809" s="5" t="s">
        <v>37</v>
      </c>
      <c r="G7809" s="5" t="s">
        <v>49386</v>
      </c>
      <c r="H7809" s="6" t="s">
        <v>49387</v>
      </c>
      <c r="K7809" s="5" t="s">
        <v>49388</v>
      </c>
    </row>
    <row r="7810">
      <c r="A7810" s="4">
        <v>45534.388049016205</v>
      </c>
      <c r="B7810" s="5" t="s">
        <v>34</v>
      </c>
      <c r="D7810" s="5" t="s">
        <v>1206</v>
      </c>
      <c r="E7810" s="5" t="s">
        <v>49391</v>
      </c>
      <c r="F7810" s="5" t="s">
        <v>212</v>
      </c>
      <c r="G7810" s="5" t="s">
        <v>49392</v>
      </c>
      <c r="H7810" s="6" t="s">
        <v>49393</v>
      </c>
      <c r="K7810" s="5" t="s">
        <v>49388</v>
      </c>
    </row>
    <row r="7811">
      <c r="A7811" s="4">
        <v>45534.388055393516</v>
      </c>
      <c r="B7811" s="5" t="s">
        <v>34</v>
      </c>
      <c r="D7811" s="5" t="s">
        <v>580</v>
      </c>
      <c r="E7811" s="5" t="s">
        <v>49397</v>
      </c>
      <c r="F7811" s="5" t="s">
        <v>37</v>
      </c>
      <c r="G7811" s="5" t="s">
        <v>49398</v>
      </c>
      <c r="H7811" s="6" t="s">
        <v>49399</v>
      </c>
      <c r="K7811" s="5" t="s">
        <v>49388</v>
      </c>
    </row>
    <row r="7812">
      <c r="A7812" s="4">
        <v>45534.38808053241</v>
      </c>
      <c r="B7812" s="5" t="s">
        <v>34</v>
      </c>
      <c r="D7812" s="5" t="s">
        <v>1206</v>
      </c>
      <c r="E7812" s="5" t="s">
        <v>49402</v>
      </c>
      <c r="F7812" s="5" t="s">
        <v>72</v>
      </c>
      <c r="G7812" s="5" t="s">
        <v>49403</v>
      </c>
      <c r="H7812" s="6" t="s">
        <v>49404</v>
      </c>
      <c r="K7812" s="5" t="s">
        <v>49388</v>
      </c>
    </row>
    <row r="7813">
      <c r="A7813" s="4">
        <v>45534.38808988426</v>
      </c>
      <c r="B7813" s="5" t="s">
        <v>19</v>
      </c>
      <c r="C7813" s="5" t="s">
        <v>14000</v>
      </c>
      <c r="E7813" s="5" t="s">
        <v>49407</v>
      </c>
      <c r="F7813" s="5" t="s">
        <v>37</v>
      </c>
      <c r="G7813" s="5" t="s">
        <v>49408</v>
      </c>
      <c r="H7813" s="6" t="s">
        <v>49409</v>
      </c>
      <c r="K7813" s="5" t="s">
        <v>49388</v>
      </c>
    </row>
    <row r="7814">
      <c r="A7814" s="4">
        <v>45534.388112430555</v>
      </c>
      <c r="B7814" s="5" t="s">
        <v>34</v>
      </c>
      <c r="D7814" s="5" t="s">
        <v>701</v>
      </c>
      <c r="E7814" s="5" t="s">
        <v>49413</v>
      </c>
      <c r="F7814" s="5" t="s">
        <v>37</v>
      </c>
      <c r="G7814" s="5" t="s">
        <v>49414</v>
      </c>
      <c r="H7814" s="6" t="s">
        <v>49415</v>
      </c>
      <c r="K7814" s="5" t="s">
        <v>49416</v>
      </c>
    </row>
    <row r="7815">
      <c r="A7815" s="4">
        <v>45534.38812520834</v>
      </c>
      <c r="B7815" s="5" t="s">
        <v>34</v>
      </c>
      <c r="D7815" s="5" t="s">
        <v>14424</v>
      </c>
      <c r="E7815" s="5" t="s">
        <v>49419</v>
      </c>
      <c r="F7815" s="5" t="s">
        <v>715</v>
      </c>
      <c r="G7815" s="5" t="s">
        <v>49420</v>
      </c>
      <c r="H7815" s="6" t="s">
        <v>49421</v>
      </c>
      <c r="K7815" s="5" t="s">
        <v>49416</v>
      </c>
    </row>
    <row r="7816">
      <c r="A7816" s="4">
        <v>45534.38818309028</v>
      </c>
      <c r="B7816" s="5" t="s">
        <v>34</v>
      </c>
      <c r="D7816" s="5" t="s">
        <v>1206</v>
      </c>
      <c r="E7816" s="5" t="s">
        <v>49424</v>
      </c>
      <c r="F7816" s="5" t="s">
        <v>108</v>
      </c>
      <c r="G7816" s="5" t="s">
        <v>49425</v>
      </c>
      <c r="H7816" s="6" t="s">
        <v>49426</v>
      </c>
      <c r="K7816" s="5" t="s">
        <v>49427</v>
      </c>
    </row>
    <row r="7817">
      <c r="A7817" s="4">
        <v>45534.388216817126</v>
      </c>
      <c r="B7817" s="5" t="s">
        <v>34</v>
      </c>
      <c r="D7817" s="5" t="s">
        <v>11527</v>
      </c>
      <c r="E7817" s="5" t="s">
        <v>49430</v>
      </c>
      <c r="F7817" s="5" t="s">
        <v>212</v>
      </c>
      <c r="G7817" s="5" t="s">
        <v>49431</v>
      </c>
      <c r="H7817" s="6" t="s">
        <v>49432</v>
      </c>
      <c r="K7817" s="5" t="s">
        <v>49427</v>
      </c>
    </row>
    <row r="7818">
      <c r="A7818" s="4">
        <v>45534.38821755787</v>
      </c>
      <c r="B7818" s="5" t="s">
        <v>34</v>
      </c>
      <c r="D7818" s="5" t="s">
        <v>2903</v>
      </c>
      <c r="E7818" s="5" t="s">
        <v>49436</v>
      </c>
      <c r="F7818" s="5" t="s">
        <v>212</v>
      </c>
      <c r="G7818" s="5" t="s">
        <v>49437</v>
      </c>
      <c r="H7818" s="6" t="s">
        <v>49438</v>
      </c>
      <c r="K7818" s="5" t="s">
        <v>49427</v>
      </c>
    </row>
    <row r="7819">
      <c r="A7819" s="4">
        <v>45534.38823685185</v>
      </c>
      <c r="B7819" s="5" t="s">
        <v>19</v>
      </c>
      <c r="C7819" s="5" t="s">
        <v>1606</v>
      </c>
      <c r="E7819" s="5" t="s">
        <v>49441</v>
      </c>
      <c r="F7819" s="5" t="s">
        <v>22</v>
      </c>
      <c r="G7819" s="5" t="s">
        <v>49442</v>
      </c>
      <c r="H7819" s="6" t="s">
        <v>49443</v>
      </c>
      <c r="K7819" s="5" t="s">
        <v>49444</v>
      </c>
    </row>
    <row r="7820">
      <c r="A7820" s="4">
        <v>45534.3882365162</v>
      </c>
      <c r="B7820" s="5" t="s">
        <v>34</v>
      </c>
      <c r="D7820" s="5" t="s">
        <v>7858</v>
      </c>
      <c r="E7820" s="5" t="s">
        <v>49448</v>
      </c>
      <c r="F7820" s="5" t="s">
        <v>524</v>
      </c>
      <c r="G7820" s="5" t="s">
        <v>49449</v>
      </c>
      <c r="H7820" s="6" t="s">
        <v>49450</v>
      </c>
      <c r="K7820" s="5" t="s">
        <v>49444</v>
      </c>
    </row>
    <row r="7821">
      <c r="A7821" s="4">
        <v>45534.38824947916</v>
      </c>
      <c r="B7821" s="5" t="s">
        <v>34</v>
      </c>
      <c r="D7821" s="5" t="s">
        <v>10297</v>
      </c>
      <c r="E7821" s="5" t="s">
        <v>49453</v>
      </c>
      <c r="F7821" s="5" t="s">
        <v>212</v>
      </c>
      <c r="G7821" s="5" t="s">
        <v>49454</v>
      </c>
      <c r="H7821" s="6" t="s">
        <v>49455</v>
      </c>
      <c r="K7821" s="5" t="s">
        <v>49444</v>
      </c>
    </row>
    <row r="7822">
      <c r="A7822" s="4">
        <v>45534.38826119213</v>
      </c>
      <c r="B7822" s="5" t="s">
        <v>34</v>
      </c>
      <c r="D7822" s="5" t="s">
        <v>11527</v>
      </c>
      <c r="E7822" s="5" t="s">
        <v>49459</v>
      </c>
      <c r="F7822" s="5" t="s">
        <v>199</v>
      </c>
      <c r="G7822" s="5" t="s">
        <v>49460</v>
      </c>
      <c r="H7822" s="6" t="s">
        <v>49461</v>
      </c>
      <c r="K7822" s="5" t="s">
        <v>49462</v>
      </c>
    </row>
    <row r="7823">
      <c r="A7823" s="4">
        <v>45534.38831342592</v>
      </c>
      <c r="B7823" s="5" t="s">
        <v>34</v>
      </c>
      <c r="D7823" s="5" t="s">
        <v>522</v>
      </c>
      <c r="E7823" s="5" t="s">
        <v>49465</v>
      </c>
      <c r="F7823" s="5" t="s">
        <v>212</v>
      </c>
      <c r="G7823" s="5" t="s">
        <v>49466</v>
      </c>
      <c r="H7823" s="6" t="s">
        <v>49467</v>
      </c>
      <c r="K7823" s="5" t="s">
        <v>49468</v>
      </c>
    </row>
    <row r="7824">
      <c r="A7824" s="4">
        <v>45534.38836678241</v>
      </c>
      <c r="B7824" s="5" t="s">
        <v>34</v>
      </c>
      <c r="D7824" s="5" t="s">
        <v>10297</v>
      </c>
      <c r="E7824" s="5" t="s">
        <v>49471</v>
      </c>
      <c r="F7824" s="5" t="s">
        <v>120</v>
      </c>
      <c r="G7824" s="5" t="s">
        <v>49472</v>
      </c>
      <c r="H7824" s="6" t="s">
        <v>49473</v>
      </c>
      <c r="K7824" s="5" t="s">
        <v>49474</v>
      </c>
    </row>
    <row r="7825">
      <c r="A7825" s="4">
        <v>45534.38837731481</v>
      </c>
      <c r="B7825" s="5" t="s">
        <v>19</v>
      </c>
      <c r="C7825" s="5" t="s">
        <v>83</v>
      </c>
      <c r="E7825" s="5" t="s">
        <v>49478</v>
      </c>
      <c r="F7825" s="5" t="s">
        <v>72</v>
      </c>
      <c r="G7825" s="5" t="s">
        <v>49479</v>
      </c>
      <c r="H7825" s="6" t="s">
        <v>49480</v>
      </c>
      <c r="K7825" s="5" t="s">
        <v>49474</v>
      </c>
    </row>
    <row r="7826">
      <c r="A7826" s="4">
        <v>45534.38838204861</v>
      </c>
      <c r="B7826" s="5" t="s">
        <v>34</v>
      </c>
      <c r="D7826" s="5" t="s">
        <v>10444</v>
      </c>
      <c r="E7826" s="5" t="s">
        <v>49483</v>
      </c>
      <c r="F7826" s="5" t="s">
        <v>212</v>
      </c>
      <c r="G7826" s="5" t="s">
        <v>49484</v>
      </c>
      <c r="H7826" s="6" t="s">
        <v>49485</v>
      </c>
      <c r="K7826" s="5" t="s">
        <v>49474</v>
      </c>
    </row>
    <row r="7827">
      <c r="A7827" s="4">
        <v>45534.388406134254</v>
      </c>
      <c r="B7827" s="5" t="s">
        <v>34</v>
      </c>
      <c r="D7827" s="5" t="s">
        <v>267</v>
      </c>
      <c r="E7827" s="5" t="s">
        <v>49488</v>
      </c>
      <c r="F7827" s="5" t="s">
        <v>37</v>
      </c>
      <c r="G7827" s="5" t="s">
        <v>49489</v>
      </c>
      <c r="H7827" s="6" t="s">
        <v>49490</v>
      </c>
      <c r="K7827" s="5" t="s">
        <v>49474</v>
      </c>
    </row>
    <row r="7828">
      <c r="A7828" s="4">
        <v>45534.388415671296</v>
      </c>
      <c r="B7828" s="5" t="s">
        <v>19</v>
      </c>
      <c r="C7828" s="5" t="s">
        <v>292</v>
      </c>
      <c r="E7828" s="5" t="s">
        <v>49494</v>
      </c>
      <c r="F7828" s="5" t="s">
        <v>37</v>
      </c>
      <c r="G7828" s="5" t="s">
        <v>49495</v>
      </c>
      <c r="H7828" s="6" t="s">
        <v>49496</v>
      </c>
      <c r="K7828" s="5" t="s">
        <v>49497</v>
      </c>
    </row>
    <row r="7829">
      <c r="A7829" s="4">
        <v>45534.38843759259</v>
      </c>
      <c r="B7829" s="5" t="s">
        <v>34</v>
      </c>
      <c r="D7829" s="5" t="s">
        <v>1206</v>
      </c>
      <c r="E7829" s="5" t="s">
        <v>49500</v>
      </c>
      <c r="F7829" s="5" t="s">
        <v>72</v>
      </c>
      <c r="G7829" s="5" t="s">
        <v>49501</v>
      </c>
      <c r="H7829" s="6" t="s">
        <v>49502</v>
      </c>
      <c r="K7829" s="5" t="s">
        <v>49497</v>
      </c>
    </row>
    <row r="7830">
      <c r="A7830" s="4">
        <v>45534.38845023148</v>
      </c>
      <c r="B7830" s="5" t="s">
        <v>34</v>
      </c>
      <c r="D7830" s="5" t="s">
        <v>9020</v>
      </c>
      <c r="E7830" s="5" t="s">
        <v>49505</v>
      </c>
      <c r="F7830" s="5" t="s">
        <v>212</v>
      </c>
      <c r="G7830" s="5" t="s">
        <v>49506</v>
      </c>
      <c r="H7830" s="6" t="s">
        <v>49507</v>
      </c>
      <c r="K7830" s="5" t="s">
        <v>49497</v>
      </c>
    </row>
    <row r="7831">
      <c r="A7831" s="4">
        <v>45534.388451886574</v>
      </c>
      <c r="B7831" s="5" t="s">
        <v>19</v>
      </c>
      <c r="C7831" s="5" t="s">
        <v>442</v>
      </c>
      <c r="E7831" s="5" t="s">
        <v>49510</v>
      </c>
      <c r="F7831" s="5" t="s">
        <v>375</v>
      </c>
      <c r="G7831" s="5" t="s">
        <v>49511</v>
      </c>
      <c r="H7831" s="6" t="s">
        <v>49512</v>
      </c>
      <c r="K7831" s="5" t="s">
        <v>49497</v>
      </c>
    </row>
    <row r="7832">
      <c r="A7832" s="4">
        <v>45534.38846670139</v>
      </c>
      <c r="B7832" s="5" t="s">
        <v>34</v>
      </c>
      <c r="D7832" s="5" t="s">
        <v>9020</v>
      </c>
      <c r="E7832" s="5" t="s">
        <v>49515</v>
      </c>
      <c r="F7832" s="5" t="s">
        <v>212</v>
      </c>
      <c r="G7832" s="5" t="s">
        <v>49516</v>
      </c>
      <c r="H7832" s="6" t="s">
        <v>49517</v>
      </c>
      <c r="K7832" s="5" t="s">
        <v>49518</v>
      </c>
    </row>
    <row r="7833">
      <c r="A7833" s="4">
        <v>45534.38852943287</v>
      </c>
      <c r="B7833" s="5" t="s">
        <v>19</v>
      </c>
      <c r="C7833" s="5" t="s">
        <v>11593</v>
      </c>
      <c r="E7833" s="5" t="s">
        <v>49522</v>
      </c>
      <c r="F7833" s="5" t="s">
        <v>72</v>
      </c>
      <c r="G7833" s="5" t="s">
        <v>49523</v>
      </c>
      <c r="H7833" s="6" t="s">
        <v>49524</v>
      </c>
      <c r="K7833" s="5" t="s">
        <v>49518</v>
      </c>
    </row>
    <row r="7834">
      <c r="A7834" s="4">
        <v>45534.38853357639</v>
      </c>
      <c r="B7834" s="5" t="s">
        <v>34</v>
      </c>
      <c r="D7834" s="5" t="s">
        <v>9394</v>
      </c>
      <c r="E7834" s="5" t="s">
        <v>49527</v>
      </c>
      <c r="F7834" s="5" t="s">
        <v>37</v>
      </c>
      <c r="G7834" s="5" t="s">
        <v>49528</v>
      </c>
      <c r="H7834" s="6" t="s">
        <v>49529</v>
      </c>
      <c r="K7834" s="5" t="s">
        <v>49518</v>
      </c>
    </row>
    <row r="7835">
      <c r="A7835" s="4">
        <v>45534.38854351852</v>
      </c>
      <c r="B7835" s="5" t="s">
        <v>34</v>
      </c>
      <c r="D7835" s="5" t="s">
        <v>4775</v>
      </c>
      <c r="E7835" s="5" t="s">
        <v>49532</v>
      </c>
      <c r="F7835" s="5" t="s">
        <v>212</v>
      </c>
      <c r="G7835" s="5" t="s">
        <v>49533</v>
      </c>
      <c r="H7835" s="6" t="s">
        <v>49534</v>
      </c>
      <c r="K7835" s="5" t="s">
        <v>49518</v>
      </c>
    </row>
    <row r="7836">
      <c r="A7836" s="4">
        <v>45534.38855894676</v>
      </c>
      <c r="B7836" s="5" t="s">
        <v>34</v>
      </c>
      <c r="D7836" s="5" t="s">
        <v>1456</v>
      </c>
      <c r="E7836" s="5" t="s">
        <v>49538</v>
      </c>
      <c r="F7836" s="5" t="s">
        <v>212</v>
      </c>
      <c r="G7836" s="5" t="s">
        <v>49539</v>
      </c>
      <c r="H7836" s="6" t="s">
        <v>49540</v>
      </c>
      <c r="K7836" s="5" t="s">
        <v>49541</v>
      </c>
    </row>
    <row r="7837">
      <c r="A7837" s="4">
        <v>45534.38861105324</v>
      </c>
      <c r="B7837" s="5" t="s">
        <v>34</v>
      </c>
      <c r="D7837" s="5" t="s">
        <v>1558</v>
      </c>
      <c r="E7837" s="7" t="s">
        <v>49544</v>
      </c>
      <c r="F7837" s="5" t="s">
        <v>524</v>
      </c>
      <c r="G7837" s="5" t="s">
        <v>49545</v>
      </c>
      <c r="H7837" s="6" t="s">
        <v>49546</v>
      </c>
      <c r="K7837" s="5" t="s">
        <v>49547</v>
      </c>
    </row>
    <row r="7838">
      <c r="A7838" s="4">
        <v>45534.38863767361</v>
      </c>
      <c r="B7838" s="5" t="s">
        <v>34</v>
      </c>
      <c r="D7838" s="5" t="s">
        <v>4775</v>
      </c>
      <c r="E7838" s="5" t="s">
        <v>49550</v>
      </c>
      <c r="F7838" s="5" t="s">
        <v>37</v>
      </c>
      <c r="G7838" s="5" t="s">
        <v>49551</v>
      </c>
      <c r="H7838" s="6" t="s">
        <v>49552</v>
      </c>
      <c r="K7838" s="5" t="s">
        <v>49547</v>
      </c>
    </row>
    <row r="7839">
      <c r="A7839" s="4">
        <v>45534.38864315972</v>
      </c>
      <c r="B7839" s="5" t="s">
        <v>34</v>
      </c>
      <c r="D7839" s="5" t="s">
        <v>14424</v>
      </c>
      <c r="E7839" s="5" t="s">
        <v>49555</v>
      </c>
      <c r="F7839" s="5" t="s">
        <v>212</v>
      </c>
      <c r="G7839" s="5" t="s">
        <v>49556</v>
      </c>
      <c r="H7839" s="6" t="s">
        <v>49557</v>
      </c>
      <c r="K7839" s="5" t="s">
        <v>49547</v>
      </c>
    </row>
    <row r="7840">
      <c r="A7840" s="4">
        <v>45534.38869946759</v>
      </c>
      <c r="B7840" s="5" t="s">
        <v>34</v>
      </c>
      <c r="D7840" s="5" t="s">
        <v>1206</v>
      </c>
      <c r="E7840" s="5" t="s">
        <v>49561</v>
      </c>
      <c r="F7840" s="5" t="s">
        <v>212</v>
      </c>
      <c r="G7840" s="5" t="s">
        <v>49562</v>
      </c>
      <c r="H7840" s="6" t="s">
        <v>49563</v>
      </c>
      <c r="K7840" s="5" t="s">
        <v>49564</v>
      </c>
    </row>
    <row r="7841">
      <c r="A7841" s="4">
        <v>45534.38871359953</v>
      </c>
      <c r="B7841" s="5" t="s">
        <v>19</v>
      </c>
      <c r="C7841" s="5" t="s">
        <v>83</v>
      </c>
      <c r="E7841" s="5" t="s">
        <v>49568</v>
      </c>
      <c r="F7841" s="5" t="s">
        <v>375</v>
      </c>
      <c r="G7841" s="5" t="s">
        <v>49569</v>
      </c>
      <c r="H7841" s="6" t="s">
        <v>49570</v>
      </c>
      <c r="K7841" s="5" t="s">
        <v>49564</v>
      </c>
    </row>
    <row r="7842">
      <c r="A7842" s="4">
        <v>45534.38871666667</v>
      </c>
      <c r="B7842" s="5" t="s">
        <v>19</v>
      </c>
      <c r="C7842" s="5" t="s">
        <v>8666</v>
      </c>
      <c r="E7842" s="5" t="s">
        <v>49573</v>
      </c>
      <c r="F7842" s="5" t="s">
        <v>5859</v>
      </c>
      <c r="G7842" s="5" t="s">
        <v>49574</v>
      </c>
      <c r="H7842" s="6" t="s">
        <v>49575</v>
      </c>
      <c r="K7842" s="5" t="s">
        <v>49564</v>
      </c>
    </row>
    <row r="7843">
      <c r="A7843" s="4">
        <v>45534.38872873843</v>
      </c>
      <c r="B7843" s="5" t="s">
        <v>34</v>
      </c>
      <c r="D7843" s="5" t="s">
        <v>1206</v>
      </c>
      <c r="E7843" s="5" t="s">
        <v>49579</v>
      </c>
      <c r="F7843" s="5" t="s">
        <v>212</v>
      </c>
      <c r="G7843" s="5" t="s">
        <v>49580</v>
      </c>
      <c r="H7843" s="6" t="s">
        <v>49581</v>
      </c>
      <c r="K7843" s="5" t="s">
        <v>49564</v>
      </c>
    </row>
    <row r="7844">
      <c r="A7844" s="4">
        <v>45534.388740821756</v>
      </c>
      <c r="B7844" s="5" t="s">
        <v>34</v>
      </c>
      <c r="D7844" s="5" t="s">
        <v>9020</v>
      </c>
      <c r="E7844" s="5" t="s">
        <v>49584</v>
      </c>
      <c r="F7844" s="5" t="s">
        <v>212</v>
      </c>
      <c r="G7844" s="5" t="s">
        <v>49585</v>
      </c>
      <c r="H7844" s="6" t="s">
        <v>49586</v>
      </c>
      <c r="K7844" s="5" t="s">
        <v>49587</v>
      </c>
    </row>
    <row r="7845">
      <c r="A7845" s="4">
        <v>45534.38874195602</v>
      </c>
      <c r="B7845" s="5" t="s">
        <v>34</v>
      </c>
      <c r="D7845" s="5" t="s">
        <v>280</v>
      </c>
      <c r="E7845" s="5" t="s">
        <v>49590</v>
      </c>
      <c r="F7845" s="5" t="s">
        <v>715</v>
      </c>
      <c r="G7845" s="5" t="s">
        <v>10019</v>
      </c>
      <c r="H7845" s="6" t="s">
        <v>49591</v>
      </c>
      <c r="K7845" s="5" t="s">
        <v>49587</v>
      </c>
    </row>
    <row r="7846">
      <c r="A7846" s="4">
        <v>45534.388742615745</v>
      </c>
      <c r="B7846" s="5" t="s">
        <v>34</v>
      </c>
      <c r="D7846" s="5" t="s">
        <v>1206</v>
      </c>
      <c r="E7846" s="5" t="s">
        <v>49595</v>
      </c>
      <c r="F7846" s="5" t="s">
        <v>199</v>
      </c>
      <c r="G7846" s="5" t="s">
        <v>49596</v>
      </c>
      <c r="H7846" s="6" t="s">
        <v>49597</v>
      </c>
      <c r="K7846" s="5" t="s">
        <v>49587</v>
      </c>
    </row>
    <row r="7847">
      <c r="A7847" s="4">
        <v>45534.38876631945</v>
      </c>
      <c r="B7847" s="5" t="s">
        <v>34</v>
      </c>
      <c r="D7847" s="5" t="s">
        <v>1456</v>
      </c>
      <c r="E7847" s="5" t="s">
        <v>49600</v>
      </c>
      <c r="F7847" s="5" t="s">
        <v>37</v>
      </c>
      <c r="G7847" s="5" t="s">
        <v>49601</v>
      </c>
      <c r="H7847" s="6" t="s">
        <v>49602</v>
      </c>
      <c r="K7847" s="5" t="s">
        <v>49587</v>
      </c>
    </row>
    <row r="7848">
      <c r="A7848" s="4">
        <v>45534.38880086805</v>
      </c>
      <c r="B7848" s="5" t="s">
        <v>34</v>
      </c>
      <c r="D7848" s="5" t="s">
        <v>1206</v>
      </c>
      <c r="E7848" s="5" t="s">
        <v>38796</v>
      </c>
      <c r="F7848" s="5" t="s">
        <v>37</v>
      </c>
      <c r="G7848" s="5" t="s">
        <v>49605</v>
      </c>
      <c r="H7848" s="6" t="s">
        <v>49606</v>
      </c>
      <c r="K7848" s="5" t="s">
        <v>49607</v>
      </c>
    </row>
    <row r="7849">
      <c r="A7849" s="4">
        <v>45534.38884880787</v>
      </c>
      <c r="B7849" s="5" t="s">
        <v>19</v>
      </c>
      <c r="C7849" s="5" t="s">
        <v>3301</v>
      </c>
      <c r="E7849" s="5" t="s">
        <v>49610</v>
      </c>
      <c r="F7849" s="5" t="s">
        <v>108</v>
      </c>
      <c r="G7849" s="5" t="s">
        <v>49611</v>
      </c>
      <c r="H7849" s="6" t="s">
        <v>49612</v>
      </c>
      <c r="K7849" s="5" t="s">
        <v>49613</v>
      </c>
    </row>
    <row r="7850">
      <c r="A7850" s="4">
        <v>45534.38888949074</v>
      </c>
      <c r="B7850" s="5" t="s">
        <v>34</v>
      </c>
      <c r="D7850" s="5" t="s">
        <v>9394</v>
      </c>
      <c r="E7850" s="5" t="s">
        <v>49616</v>
      </c>
      <c r="F7850" s="5" t="s">
        <v>524</v>
      </c>
      <c r="G7850" s="5" t="s">
        <v>49617</v>
      </c>
      <c r="H7850" s="6" t="s">
        <v>49618</v>
      </c>
      <c r="K7850" s="5" t="s">
        <v>49619</v>
      </c>
    </row>
    <row r="7851">
      <c r="A7851" s="4">
        <v>45534.3889009375</v>
      </c>
      <c r="B7851" s="5" t="s">
        <v>34</v>
      </c>
      <c r="D7851" s="5" t="s">
        <v>267</v>
      </c>
      <c r="E7851" s="5" t="s">
        <v>49623</v>
      </c>
      <c r="F7851" s="5" t="s">
        <v>212</v>
      </c>
      <c r="G7851" s="5" t="s">
        <v>49624</v>
      </c>
      <c r="H7851" s="6" t="s">
        <v>49625</v>
      </c>
      <c r="K7851" s="5" t="s">
        <v>49626</v>
      </c>
    </row>
    <row r="7852">
      <c r="A7852" s="4">
        <v>45534.38893194444</v>
      </c>
      <c r="B7852" s="5" t="s">
        <v>34</v>
      </c>
      <c r="D7852" s="5" t="s">
        <v>1206</v>
      </c>
      <c r="E7852" s="5" t="s">
        <v>49629</v>
      </c>
      <c r="F7852" s="5" t="s">
        <v>375</v>
      </c>
      <c r="G7852" s="5" t="s">
        <v>49630</v>
      </c>
      <c r="H7852" s="6" t="s">
        <v>49631</v>
      </c>
      <c r="K7852" s="5" t="s">
        <v>49626</v>
      </c>
    </row>
    <row r="7853">
      <c r="A7853" s="4">
        <v>45534.38893486111</v>
      </c>
      <c r="B7853" s="5" t="s">
        <v>34</v>
      </c>
      <c r="D7853" s="5" t="s">
        <v>1206</v>
      </c>
      <c r="E7853" s="5" t="s">
        <v>49634</v>
      </c>
      <c r="F7853" s="5" t="s">
        <v>212</v>
      </c>
      <c r="G7853" s="5" t="s">
        <v>49635</v>
      </c>
      <c r="H7853" s="6" t="s">
        <v>49636</v>
      </c>
      <c r="K7853" s="5" t="s">
        <v>49626</v>
      </c>
    </row>
    <row r="7854">
      <c r="A7854" s="4">
        <v>45534.38899021991</v>
      </c>
      <c r="B7854" s="5" t="s">
        <v>34</v>
      </c>
      <c r="D7854" s="5" t="s">
        <v>1206</v>
      </c>
      <c r="E7854" s="5" t="s">
        <v>49640</v>
      </c>
      <c r="F7854" s="5" t="s">
        <v>37</v>
      </c>
      <c r="G7854" s="5" t="s">
        <v>49641</v>
      </c>
      <c r="H7854" s="6" t="s">
        <v>49642</v>
      </c>
      <c r="K7854" s="5" t="s">
        <v>49643</v>
      </c>
    </row>
    <row r="7855">
      <c r="A7855" s="4">
        <v>45534.38902180556</v>
      </c>
      <c r="B7855" s="5" t="s">
        <v>34</v>
      </c>
      <c r="D7855" s="5" t="s">
        <v>1558</v>
      </c>
      <c r="E7855" s="5" t="s">
        <v>49646</v>
      </c>
      <c r="F7855" s="5" t="s">
        <v>212</v>
      </c>
      <c r="G7855" s="5" t="s">
        <v>49647</v>
      </c>
      <c r="H7855" s="6" t="s">
        <v>49648</v>
      </c>
      <c r="K7855" s="5" t="s">
        <v>49649</v>
      </c>
    </row>
    <row r="7856">
      <c r="A7856" s="4">
        <v>45534.38904112269</v>
      </c>
      <c r="B7856" s="5" t="s">
        <v>19</v>
      </c>
      <c r="C7856" s="5" t="s">
        <v>45988</v>
      </c>
      <c r="E7856" s="5" t="s">
        <v>49653</v>
      </c>
      <c r="F7856" s="5" t="s">
        <v>375</v>
      </c>
      <c r="G7856" s="5" t="s">
        <v>49654</v>
      </c>
      <c r="H7856" s="6" t="s">
        <v>49655</v>
      </c>
      <c r="K7856" s="5" t="s">
        <v>49649</v>
      </c>
    </row>
    <row r="7857">
      <c r="A7857" s="4">
        <v>45534.389046909724</v>
      </c>
      <c r="B7857" s="5" t="s">
        <v>34</v>
      </c>
      <c r="D7857" s="5" t="s">
        <v>580</v>
      </c>
      <c r="E7857" s="5" t="s">
        <v>49658</v>
      </c>
      <c r="F7857" s="5" t="s">
        <v>108</v>
      </c>
      <c r="G7857" s="5" t="s">
        <v>49659</v>
      </c>
      <c r="H7857" s="6" t="s">
        <v>49660</v>
      </c>
      <c r="K7857" s="5" t="s">
        <v>49661</v>
      </c>
    </row>
    <row r="7858">
      <c r="A7858" s="4">
        <v>45534.38906179398</v>
      </c>
      <c r="B7858" s="5" t="s">
        <v>34</v>
      </c>
      <c r="D7858" s="5" t="s">
        <v>1558</v>
      </c>
      <c r="E7858" s="5" t="s">
        <v>49036</v>
      </c>
      <c r="F7858" s="5" t="s">
        <v>37</v>
      </c>
      <c r="G7858" s="5" t="s">
        <v>49664</v>
      </c>
      <c r="H7858" s="6" t="s">
        <v>49665</v>
      </c>
      <c r="K7858" s="5" t="s">
        <v>49661</v>
      </c>
    </row>
    <row r="7859">
      <c r="A7859" s="4">
        <v>45534.38918359954</v>
      </c>
      <c r="B7859" s="5" t="s">
        <v>19</v>
      </c>
      <c r="C7859" s="5" t="s">
        <v>11593</v>
      </c>
      <c r="E7859" s="5" t="s">
        <v>49668</v>
      </c>
      <c r="F7859" s="5" t="s">
        <v>108</v>
      </c>
      <c r="G7859" s="5" t="s">
        <v>49669</v>
      </c>
      <c r="H7859" s="6" t="s">
        <v>49670</v>
      </c>
      <c r="K7859" s="5" t="s">
        <v>49671</v>
      </c>
    </row>
    <row r="7860">
      <c r="A7860" s="4">
        <v>45534.38918513889</v>
      </c>
      <c r="B7860" s="5" t="s">
        <v>34</v>
      </c>
      <c r="D7860" s="5" t="s">
        <v>4775</v>
      </c>
      <c r="E7860" s="5" t="s">
        <v>49675</v>
      </c>
      <c r="F7860" s="5" t="s">
        <v>524</v>
      </c>
      <c r="G7860" s="5" t="s">
        <v>49676</v>
      </c>
      <c r="H7860" s="6" t="s">
        <v>49677</v>
      </c>
      <c r="K7860" s="5" t="s">
        <v>49671</v>
      </c>
    </row>
    <row r="7861">
      <c r="A7861" s="4">
        <v>45534.389186817134</v>
      </c>
      <c r="B7861" s="5" t="s">
        <v>34</v>
      </c>
      <c r="D7861" s="5" t="s">
        <v>35</v>
      </c>
      <c r="E7861" s="5" t="s">
        <v>49680</v>
      </c>
      <c r="F7861" s="5" t="s">
        <v>108</v>
      </c>
      <c r="G7861" s="5" t="s">
        <v>49681</v>
      </c>
      <c r="H7861" s="6" t="s">
        <v>49682</v>
      </c>
      <c r="K7861" s="5" t="s">
        <v>49671</v>
      </c>
    </row>
    <row r="7862">
      <c r="A7862" s="4">
        <v>45534.389189375</v>
      </c>
      <c r="B7862" s="5" t="s">
        <v>34</v>
      </c>
      <c r="D7862" s="5" t="s">
        <v>12978</v>
      </c>
      <c r="E7862" s="5" t="s">
        <v>49685</v>
      </c>
      <c r="F7862" s="5" t="s">
        <v>72</v>
      </c>
      <c r="G7862" s="5" t="s">
        <v>49686</v>
      </c>
      <c r="H7862" s="6" t="s">
        <v>49687</v>
      </c>
      <c r="K7862" s="5" t="s">
        <v>49671</v>
      </c>
    </row>
    <row r="7863">
      <c r="A7863" s="4">
        <v>45534.38919307871</v>
      </c>
      <c r="B7863" s="5" t="s">
        <v>19</v>
      </c>
      <c r="C7863" s="5" t="s">
        <v>5058</v>
      </c>
      <c r="E7863" s="5" t="s">
        <v>49690</v>
      </c>
      <c r="F7863" s="5" t="s">
        <v>524</v>
      </c>
      <c r="G7863" s="5" t="s">
        <v>49691</v>
      </c>
      <c r="H7863" s="6" t="s">
        <v>49692</v>
      </c>
      <c r="K7863" s="5" t="s">
        <v>49671</v>
      </c>
    </row>
    <row r="7864">
      <c r="A7864" s="4">
        <v>45534.389193807874</v>
      </c>
      <c r="B7864" s="5" t="s">
        <v>34</v>
      </c>
      <c r="D7864" s="5" t="s">
        <v>1558</v>
      </c>
      <c r="E7864" s="5" t="s">
        <v>49695</v>
      </c>
      <c r="F7864" s="5" t="s">
        <v>72</v>
      </c>
      <c r="G7864" s="5" t="s">
        <v>49696</v>
      </c>
      <c r="H7864" s="6" t="s">
        <v>49697</v>
      </c>
      <c r="K7864" s="5" t="s">
        <v>49671</v>
      </c>
    </row>
    <row r="7865">
      <c r="A7865" s="4">
        <v>45534.389195185184</v>
      </c>
      <c r="B7865" s="5" t="s">
        <v>19</v>
      </c>
      <c r="C7865" s="5" t="s">
        <v>1606</v>
      </c>
      <c r="E7865" s="5" t="s">
        <v>49701</v>
      </c>
      <c r="F7865" s="5" t="s">
        <v>375</v>
      </c>
      <c r="G7865" s="5" t="s">
        <v>49702</v>
      </c>
      <c r="H7865" s="6" t="s">
        <v>49703</v>
      </c>
      <c r="K7865" s="5" t="s">
        <v>49671</v>
      </c>
    </row>
    <row r="7866">
      <c r="A7866" s="4">
        <v>45534.38919619213</v>
      </c>
      <c r="B7866" s="5" t="s">
        <v>34</v>
      </c>
      <c r="D7866" s="5" t="s">
        <v>701</v>
      </c>
      <c r="E7866" s="5" t="s">
        <v>49706</v>
      </c>
      <c r="F7866" s="5" t="s">
        <v>212</v>
      </c>
      <c r="G7866" s="5" t="s">
        <v>49707</v>
      </c>
      <c r="H7866" s="6" t="s">
        <v>49708</v>
      </c>
      <c r="K7866" s="5" t="s">
        <v>49671</v>
      </c>
    </row>
    <row r="7867">
      <c r="A7867" s="4">
        <v>45534.389216006944</v>
      </c>
      <c r="B7867" s="5" t="s">
        <v>34</v>
      </c>
      <c r="D7867" s="5" t="s">
        <v>9020</v>
      </c>
      <c r="E7867" s="5" t="s">
        <v>49711</v>
      </c>
      <c r="F7867" s="5" t="s">
        <v>524</v>
      </c>
      <c r="G7867" s="5" t="s">
        <v>49712</v>
      </c>
      <c r="H7867" s="6" t="s">
        <v>49713</v>
      </c>
      <c r="K7867" s="5" t="s">
        <v>49714</v>
      </c>
    </row>
    <row r="7868">
      <c r="A7868" s="4">
        <v>45534.389232789355</v>
      </c>
      <c r="B7868" s="5" t="s">
        <v>19</v>
      </c>
      <c r="C7868" s="5" t="s">
        <v>292</v>
      </c>
      <c r="E7868" s="5" t="s">
        <v>31832</v>
      </c>
      <c r="F7868" s="5" t="s">
        <v>72</v>
      </c>
      <c r="G7868" s="5" t="s">
        <v>49717</v>
      </c>
      <c r="H7868" s="6" t="s">
        <v>49718</v>
      </c>
      <c r="K7868" s="5" t="s">
        <v>49719</v>
      </c>
    </row>
    <row r="7869">
      <c r="A7869" s="4">
        <v>45534.38923324074</v>
      </c>
      <c r="B7869" s="5" t="s">
        <v>34</v>
      </c>
      <c r="D7869" s="5" t="s">
        <v>35</v>
      </c>
      <c r="E7869" s="5" t="s">
        <v>49723</v>
      </c>
      <c r="F7869" s="5" t="s">
        <v>37</v>
      </c>
      <c r="G7869" s="5" t="s">
        <v>49724</v>
      </c>
      <c r="H7869" s="6" t="s">
        <v>49725</v>
      </c>
      <c r="K7869" s="5" t="s">
        <v>49719</v>
      </c>
    </row>
    <row r="7870">
      <c r="A7870" s="4">
        <v>45534.3892350463</v>
      </c>
      <c r="B7870" s="5" t="s">
        <v>34</v>
      </c>
      <c r="D7870" s="5" t="s">
        <v>9394</v>
      </c>
      <c r="E7870" s="5" t="s">
        <v>49728</v>
      </c>
      <c r="F7870" s="5" t="s">
        <v>37</v>
      </c>
      <c r="G7870" s="5" t="s">
        <v>49729</v>
      </c>
      <c r="H7870" s="6" t="s">
        <v>49730</v>
      </c>
      <c r="K7870" s="5" t="s">
        <v>49719</v>
      </c>
    </row>
    <row r="7871">
      <c r="A7871" s="4">
        <v>45534.389238715274</v>
      </c>
      <c r="B7871" s="5" t="s">
        <v>34</v>
      </c>
      <c r="D7871" s="5" t="s">
        <v>3432</v>
      </c>
      <c r="E7871" s="5" t="s">
        <v>49733</v>
      </c>
      <c r="F7871" s="5" t="s">
        <v>524</v>
      </c>
      <c r="G7871" s="5" t="s">
        <v>49734</v>
      </c>
      <c r="H7871" s="6" t="s">
        <v>49735</v>
      </c>
      <c r="K7871" s="5" t="s">
        <v>49719</v>
      </c>
    </row>
    <row r="7872">
      <c r="A7872" s="4">
        <v>45534.389245</v>
      </c>
      <c r="B7872" s="5" t="s">
        <v>34</v>
      </c>
      <c r="D7872" s="5" t="s">
        <v>701</v>
      </c>
      <c r="E7872" s="5" t="s">
        <v>49738</v>
      </c>
      <c r="F7872" s="5" t="s">
        <v>22</v>
      </c>
      <c r="G7872" s="5" t="s">
        <v>49739</v>
      </c>
      <c r="H7872" s="6" t="s">
        <v>49740</v>
      </c>
      <c r="K7872" s="5" t="s">
        <v>49719</v>
      </c>
    </row>
    <row r="7873">
      <c r="A7873" s="4">
        <v>45534.38924971065</v>
      </c>
      <c r="B7873" s="5" t="s">
        <v>34</v>
      </c>
      <c r="D7873" s="5" t="s">
        <v>701</v>
      </c>
      <c r="E7873" s="5" t="s">
        <v>49743</v>
      </c>
      <c r="F7873" s="5" t="s">
        <v>72</v>
      </c>
      <c r="G7873" s="5" t="s">
        <v>49744</v>
      </c>
      <c r="H7873" s="6" t="s">
        <v>49745</v>
      </c>
      <c r="K7873" s="5" t="s">
        <v>49719</v>
      </c>
    </row>
    <row r="7874">
      <c r="A7874" s="4">
        <v>45534.389249768516</v>
      </c>
      <c r="B7874" s="5" t="s">
        <v>19</v>
      </c>
      <c r="C7874" s="5" t="s">
        <v>5058</v>
      </c>
      <c r="E7874" s="5" t="s">
        <v>49749</v>
      </c>
      <c r="F7874" s="5" t="s">
        <v>37</v>
      </c>
      <c r="G7874" s="5" t="s">
        <v>49750</v>
      </c>
      <c r="H7874" s="6" t="s">
        <v>49751</v>
      </c>
      <c r="K7874" s="5" t="s">
        <v>49719</v>
      </c>
    </row>
    <row r="7875">
      <c r="A7875" s="4">
        <v>45534.38925881944</v>
      </c>
      <c r="B7875" s="5" t="s">
        <v>34</v>
      </c>
      <c r="D7875" s="5" t="s">
        <v>9394</v>
      </c>
      <c r="E7875" s="5" t="s">
        <v>49755</v>
      </c>
      <c r="F7875" s="5" t="s">
        <v>72</v>
      </c>
      <c r="G7875" s="5" t="s">
        <v>49756</v>
      </c>
      <c r="H7875" s="6" t="s">
        <v>49757</v>
      </c>
      <c r="K7875" s="5" t="s">
        <v>49719</v>
      </c>
    </row>
    <row r="7876">
      <c r="A7876" s="4">
        <v>45534.38926599537</v>
      </c>
      <c r="B7876" s="5" t="s">
        <v>34</v>
      </c>
      <c r="D7876" s="5" t="s">
        <v>1558</v>
      </c>
      <c r="E7876" s="5" t="s">
        <v>49760</v>
      </c>
      <c r="F7876" s="5" t="s">
        <v>108</v>
      </c>
      <c r="G7876" s="5" t="s">
        <v>49761</v>
      </c>
      <c r="H7876" s="6" t="s">
        <v>49762</v>
      </c>
      <c r="K7876" s="5" t="s">
        <v>49763</v>
      </c>
    </row>
    <row r="7877">
      <c r="A7877" s="4">
        <v>45534.389291099535</v>
      </c>
      <c r="B7877" s="5" t="s">
        <v>34</v>
      </c>
      <c r="D7877" s="5" t="s">
        <v>1558</v>
      </c>
      <c r="E7877" s="5" t="s">
        <v>49766</v>
      </c>
      <c r="F7877" s="5" t="s">
        <v>108</v>
      </c>
      <c r="G7877" s="5" t="s">
        <v>49767</v>
      </c>
      <c r="H7877" s="6" t="s">
        <v>49768</v>
      </c>
      <c r="K7877" s="5" t="s">
        <v>49763</v>
      </c>
    </row>
    <row r="7878">
      <c r="A7878" s="4">
        <v>45534.38929680556</v>
      </c>
      <c r="B7878" s="5" t="s">
        <v>34</v>
      </c>
      <c r="D7878" s="5" t="s">
        <v>701</v>
      </c>
      <c r="E7878" s="5" t="s">
        <v>49771</v>
      </c>
      <c r="F7878" s="5" t="s">
        <v>212</v>
      </c>
      <c r="G7878" s="5" t="s">
        <v>49772</v>
      </c>
      <c r="H7878" s="6" t="s">
        <v>49773</v>
      </c>
      <c r="K7878" s="5" t="s">
        <v>49763</v>
      </c>
    </row>
    <row r="7879">
      <c r="A7879" s="4">
        <v>45534.38931576389</v>
      </c>
      <c r="B7879" s="5" t="s">
        <v>34</v>
      </c>
      <c r="D7879" s="5" t="s">
        <v>4775</v>
      </c>
      <c r="E7879" s="5" t="s">
        <v>49777</v>
      </c>
      <c r="F7879" s="5" t="s">
        <v>212</v>
      </c>
      <c r="G7879" s="5" t="s">
        <v>49778</v>
      </c>
      <c r="H7879" s="6" t="s">
        <v>49779</v>
      </c>
      <c r="K7879" s="5" t="s">
        <v>49780</v>
      </c>
    </row>
    <row r="7880">
      <c r="A7880" s="4">
        <v>45534.38938486111</v>
      </c>
      <c r="B7880" s="5" t="s">
        <v>34</v>
      </c>
      <c r="D7880" s="5" t="s">
        <v>1206</v>
      </c>
      <c r="E7880" s="5" t="s">
        <v>49784</v>
      </c>
      <c r="F7880" s="5" t="s">
        <v>37</v>
      </c>
      <c r="G7880" s="5" t="s">
        <v>49785</v>
      </c>
      <c r="H7880" s="6" t="s">
        <v>49786</v>
      </c>
      <c r="K7880" s="5" t="s">
        <v>49787</v>
      </c>
    </row>
    <row r="7881">
      <c r="A7881" s="4">
        <v>45534.38938597222</v>
      </c>
      <c r="B7881" s="5" t="s">
        <v>34</v>
      </c>
      <c r="D7881" s="5" t="s">
        <v>1456</v>
      </c>
      <c r="E7881" s="5" t="s">
        <v>49790</v>
      </c>
      <c r="F7881" s="5" t="s">
        <v>212</v>
      </c>
      <c r="G7881" s="5" t="s">
        <v>49791</v>
      </c>
      <c r="H7881" s="6" t="s">
        <v>49792</v>
      </c>
      <c r="K7881" s="5" t="s">
        <v>49787</v>
      </c>
    </row>
    <row r="7882">
      <c r="A7882" s="4">
        <v>45534.389386932875</v>
      </c>
      <c r="B7882" s="5" t="s">
        <v>34</v>
      </c>
      <c r="D7882" s="5" t="s">
        <v>1692</v>
      </c>
      <c r="E7882" s="5" t="s">
        <v>49796</v>
      </c>
      <c r="F7882" s="5" t="s">
        <v>212</v>
      </c>
      <c r="G7882" s="5" t="s">
        <v>49797</v>
      </c>
      <c r="H7882" s="6" t="s">
        <v>49798</v>
      </c>
      <c r="K7882" s="5" t="s">
        <v>49787</v>
      </c>
    </row>
    <row r="7883">
      <c r="A7883" s="4">
        <v>45534.389392557874</v>
      </c>
      <c r="B7883" s="5" t="s">
        <v>34</v>
      </c>
      <c r="D7883" s="5" t="s">
        <v>580</v>
      </c>
      <c r="E7883" s="5" t="s">
        <v>49801</v>
      </c>
      <c r="F7883" s="5" t="s">
        <v>375</v>
      </c>
      <c r="G7883" s="5" t="s">
        <v>49802</v>
      </c>
      <c r="H7883" s="6" t="s">
        <v>49803</v>
      </c>
      <c r="K7883" s="5" t="s">
        <v>49787</v>
      </c>
    </row>
    <row r="7884">
      <c r="A7884" s="4">
        <v>45534.38939736111</v>
      </c>
      <c r="B7884" s="5" t="s">
        <v>34</v>
      </c>
      <c r="D7884" s="5" t="s">
        <v>9020</v>
      </c>
      <c r="E7884" s="5" t="s">
        <v>49806</v>
      </c>
      <c r="F7884" s="5" t="s">
        <v>72</v>
      </c>
      <c r="G7884" s="5" t="s">
        <v>49807</v>
      </c>
      <c r="H7884" s="6" t="s">
        <v>49808</v>
      </c>
      <c r="K7884" s="5" t="s">
        <v>49787</v>
      </c>
    </row>
    <row r="7885">
      <c r="A7885" s="4">
        <v>45534.389397453706</v>
      </c>
      <c r="B7885" s="5" t="s">
        <v>34</v>
      </c>
      <c r="D7885" s="5" t="s">
        <v>4775</v>
      </c>
      <c r="E7885" s="5" t="s">
        <v>49811</v>
      </c>
      <c r="F7885" s="5" t="s">
        <v>375</v>
      </c>
      <c r="G7885" s="5" t="s">
        <v>49812</v>
      </c>
      <c r="H7885" s="6" t="s">
        <v>49813</v>
      </c>
      <c r="K7885" s="5" t="s">
        <v>49787</v>
      </c>
    </row>
    <row r="7886">
      <c r="A7886" s="4">
        <v>45534.38940002315</v>
      </c>
      <c r="B7886" s="5" t="s">
        <v>34</v>
      </c>
      <c r="D7886" s="5" t="s">
        <v>6232</v>
      </c>
      <c r="E7886" s="5" t="s">
        <v>49817</v>
      </c>
      <c r="F7886" s="5" t="s">
        <v>37</v>
      </c>
      <c r="G7886" s="5" t="s">
        <v>49818</v>
      </c>
      <c r="H7886" s="6" t="s">
        <v>49819</v>
      </c>
      <c r="K7886" s="5" t="s">
        <v>49787</v>
      </c>
    </row>
    <row r="7887">
      <c r="A7887" s="4">
        <v>45534.3894103125</v>
      </c>
      <c r="B7887" s="5" t="s">
        <v>34</v>
      </c>
      <c r="D7887" s="5" t="s">
        <v>4775</v>
      </c>
      <c r="E7887" s="5" t="s">
        <v>49822</v>
      </c>
      <c r="F7887" s="5" t="s">
        <v>37</v>
      </c>
      <c r="G7887" s="5" t="s">
        <v>49823</v>
      </c>
      <c r="H7887" s="6" t="s">
        <v>49824</v>
      </c>
      <c r="K7887" s="5" t="s">
        <v>49787</v>
      </c>
    </row>
    <row r="7888">
      <c r="A7888" s="4">
        <v>45534.38941672454</v>
      </c>
      <c r="B7888" s="5" t="s">
        <v>34</v>
      </c>
      <c r="D7888" s="5" t="s">
        <v>9020</v>
      </c>
      <c r="E7888" s="5" t="s">
        <v>49827</v>
      </c>
      <c r="F7888" s="5" t="s">
        <v>212</v>
      </c>
      <c r="G7888" s="5" t="s">
        <v>49828</v>
      </c>
      <c r="H7888" s="6" t="s">
        <v>49829</v>
      </c>
      <c r="K7888" s="5" t="s">
        <v>49787</v>
      </c>
    </row>
    <row r="7889">
      <c r="A7889" s="4">
        <v>45534.38942054399</v>
      </c>
      <c r="B7889" s="5" t="s">
        <v>19</v>
      </c>
      <c r="C7889" s="5" t="s">
        <v>40230</v>
      </c>
      <c r="E7889" s="5" t="s">
        <v>49833</v>
      </c>
      <c r="F7889" s="5" t="s">
        <v>72</v>
      </c>
      <c r="G7889" s="5" t="s">
        <v>49834</v>
      </c>
      <c r="H7889" s="6" t="s">
        <v>49835</v>
      </c>
      <c r="K7889" s="5" t="s">
        <v>49787</v>
      </c>
    </row>
    <row r="7890">
      <c r="A7890" s="4">
        <v>45534.38945459491</v>
      </c>
      <c r="B7890" s="5" t="s">
        <v>34</v>
      </c>
      <c r="D7890" s="5" t="s">
        <v>10444</v>
      </c>
      <c r="E7890" s="5" t="s">
        <v>36935</v>
      </c>
      <c r="F7890" s="5" t="s">
        <v>72</v>
      </c>
      <c r="G7890" s="5" t="s">
        <v>36936</v>
      </c>
      <c r="H7890" s="6" t="s">
        <v>49838</v>
      </c>
      <c r="K7890" s="5" t="s">
        <v>49839</v>
      </c>
    </row>
    <row r="7891">
      <c r="A7891" s="4">
        <v>45534.389527060186</v>
      </c>
      <c r="B7891" s="5" t="s">
        <v>34</v>
      </c>
      <c r="D7891" s="5" t="s">
        <v>1692</v>
      </c>
      <c r="E7891" s="5" t="s">
        <v>49842</v>
      </c>
      <c r="F7891" s="5" t="s">
        <v>212</v>
      </c>
      <c r="G7891" s="5" t="s">
        <v>49843</v>
      </c>
      <c r="H7891" s="6" t="s">
        <v>49844</v>
      </c>
      <c r="K7891" s="5" t="s">
        <v>49845</v>
      </c>
    </row>
    <row r="7892">
      <c r="A7892" s="4">
        <v>45534.38953207176</v>
      </c>
      <c r="B7892" s="5" t="s">
        <v>34</v>
      </c>
      <c r="D7892" s="5" t="s">
        <v>11527</v>
      </c>
      <c r="E7892" s="5" t="s">
        <v>49848</v>
      </c>
      <c r="F7892" s="5" t="s">
        <v>524</v>
      </c>
      <c r="G7892" s="5" t="s">
        <v>49849</v>
      </c>
      <c r="H7892" s="6" t="s">
        <v>49850</v>
      </c>
      <c r="K7892" s="5" t="s">
        <v>49845</v>
      </c>
    </row>
    <row r="7893">
      <c r="A7893" s="4">
        <v>45534.38953388889</v>
      </c>
      <c r="B7893" s="5" t="s">
        <v>34</v>
      </c>
      <c r="D7893" s="5" t="s">
        <v>10444</v>
      </c>
      <c r="E7893" s="5" t="s">
        <v>49854</v>
      </c>
      <c r="F7893" s="5" t="s">
        <v>524</v>
      </c>
      <c r="G7893" s="5" t="s">
        <v>49855</v>
      </c>
      <c r="H7893" s="6" t="s">
        <v>49856</v>
      </c>
      <c r="K7893" s="5" t="s">
        <v>49845</v>
      </c>
    </row>
    <row r="7894">
      <c r="A7894" s="4">
        <v>45534.38960361111</v>
      </c>
      <c r="B7894" s="5" t="s">
        <v>34</v>
      </c>
      <c r="D7894" s="5" t="s">
        <v>9020</v>
      </c>
      <c r="E7894" s="5" t="s">
        <v>49859</v>
      </c>
      <c r="F7894" s="5" t="s">
        <v>212</v>
      </c>
      <c r="G7894" s="5" t="s">
        <v>49860</v>
      </c>
      <c r="H7894" s="6" t="s">
        <v>49861</v>
      </c>
      <c r="K7894" s="5" t="s">
        <v>49862</v>
      </c>
    </row>
    <row r="7895">
      <c r="A7895" s="4">
        <v>45534.38961751157</v>
      </c>
      <c r="B7895" s="5" t="s">
        <v>34</v>
      </c>
      <c r="D7895" s="5" t="s">
        <v>1206</v>
      </c>
      <c r="E7895" s="5" t="s">
        <v>20883</v>
      </c>
      <c r="F7895" s="5" t="s">
        <v>199</v>
      </c>
      <c r="G7895" s="5" t="s">
        <v>49865</v>
      </c>
      <c r="H7895" s="6" t="s">
        <v>49866</v>
      </c>
      <c r="K7895" s="5" t="s">
        <v>49862</v>
      </c>
    </row>
    <row r="7896">
      <c r="A7896" s="4">
        <v>45534.38962810185</v>
      </c>
      <c r="B7896" s="5" t="s">
        <v>34</v>
      </c>
      <c r="D7896" s="5" t="s">
        <v>1558</v>
      </c>
      <c r="E7896" s="5" t="s">
        <v>49869</v>
      </c>
      <c r="F7896" s="5" t="s">
        <v>37</v>
      </c>
      <c r="G7896" s="5" t="s">
        <v>49870</v>
      </c>
      <c r="H7896" s="6" t="s">
        <v>49871</v>
      </c>
      <c r="K7896" s="5" t="s">
        <v>49862</v>
      </c>
    </row>
    <row r="7897">
      <c r="A7897" s="4">
        <v>45534.38966489583</v>
      </c>
      <c r="B7897" s="5" t="s">
        <v>34</v>
      </c>
      <c r="D7897" s="5" t="s">
        <v>701</v>
      </c>
      <c r="E7897" s="5" t="s">
        <v>49874</v>
      </c>
      <c r="F7897" s="5" t="s">
        <v>212</v>
      </c>
      <c r="G7897" s="5" t="s">
        <v>49875</v>
      </c>
      <c r="H7897" s="6" t="s">
        <v>49876</v>
      </c>
      <c r="K7897" s="5" t="s">
        <v>49877</v>
      </c>
    </row>
    <row r="7898">
      <c r="A7898" s="4">
        <v>45534.389665995375</v>
      </c>
      <c r="B7898" s="5" t="s">
        <v>34</v>
      </c>
      <c r="D7898" s="5" t="s">
        <v>6232</v>
      </c>
      <c r="E7898" s="5" t="s">
        <v>49881</v>
      </c>
      <c r="F7898" s="5" t="s">
        <v>72</v>
      </c>
      <c r="G7898" s="5" t="s">
        <v>49882</v>
      </c>
      <c r="H7898" s="6" t="s">
        <v>49883</v>
      </c>
      <c r="K7898" s="5" t="s">
        <v>49877</v>
      </c>
    </row>
    <row r="7899">
      <c r="A7899" s="4">
        <v>45534.38970565972</v>
      </c>
      <c r="B7899" s="5" t="s">
        <v>19</v>
      </c>
      <c r="C7899" s="5" t="s">
        <v>40230</v>
      </c>
      <c r="E7899" s="5" t="s">
        <v>49886</v>
      </c>
      <c r="F7899" s="5" t="s">
        <v>72</v>
      </c>
      <c r="G7899" s="5" t="s">
        <v>49887</v>
      </c>
      <c r="H7899" s="6" t="s">
        <v>49888</v>
      </c>
      <c r="K7899" s="5" t="s">
        <v>49889</v>
      </c>
    </row>
    <row r="7900">
      <c r="A7900" s="4">
        <v>45534.389779351855</v>
      </c>
      <c r="B7900" s="5" t="s">
        <v>34</v>
      </c>
      <c r="D7900" s="5" t="s">
        <v>1558</v>
      </c>
      <c r="E7900" s="5" t="s">
        <v>49893</v>
      </c>
      <c r="F7900" s="5" t="s">
        <v>37</v>
      </c>
      <c r="G7900" s="5" t="s">
        <v>49894</v>
      </c>
      <c r="H7900" s="6" t="s">
        <v>49895</v>
      </c>
      <c r="K7900" s="5" t="s">
        <v>49896</v>
      </c>
    </row>
    <row r="7901">
      <c r="A7901" s="4">
        <v>45534.389780185185</v>
      </c>
      <c r="B7901" s="5" t="s">
        <v>34</v>
      </c>
      <c r="D7901" s="5" t="s">
        <v>9020</v>
      </c>
      <c r="E7901" s="5" t="s">
        <v>49899</v>
      </c>
      <c r="F7901" s="5" t="s">
        <v>524</v>
      </c>
      <c r="G7901" s="5" t="s">
        <v>49900</v>
      </c>
      <c r="H7901" s="6" t="s">
        <v>49901</v>
      </c>
      <c r="K7901" s="5" t="s">
        <v>49896</v>
      </c>
    </row>
    <row r="7902">
      <c r="A7902" s="4">
        <v>45534.38978070602</v>
      </c>
      <c r="B7902" s="5" t="s">
        <v>34</v>
      </c>
      <c r="D7902" s="5" t="s">
        <v>12978</v>
      </c>
      <c r="E7902" s="5" t="s">
        <v>49904</v>
      </c>
      <c r="F7902" s="5" t="s">
        <v>5859</v>
      </c>
      <c r="G7902" s="5" t="s">
        <v>49905</v>
      </c>
      <c r="H7902" s="6" t="s">
        <v>49906</v>
      </c>
      <c r="K7902" s="5" t="s">
        <v>49896</v>
      </c>
    </row>
    <row r="7903">
      <c r="A7903" s="4">
        <v>45534.38980320602</v>
      </c>
      <c r="B7903" s="5" t="s">
        <v>34</v>
      </c>
      <c r="D7903" s="5" t="s">
        <v>701</v>
      </c>
      <c r="E7903" s="5" t="s">
        <v>49910</v>
      </c>
      <c r="F7903" s="5" t="s">
        <v>212</v>
      </c>
      <c r="G7903" s="5" t="s">
        <v>49911</v>
      </c>
      <c r="H7903" s="6" t="s">
        <v>49912</v>
      </c>
      <c r="K7903" s="5" t="s">
        <v>49913</v>
      </c>
    </row>
    <row r="7904">
      <c r="A7904" s="4">
        <v>45534.3898119213</v>
      </c>
      <c r="B7904" s="5" t="s">
        <v>34</v>
      </c>
      <c r="D7904" s="5" t="s">
        <v>1206</v>
      </c>
      <c r="E7904" s="5" t="s">
        <v>49916</v>
      </c>
      <c r="F7904" s="5" t="s">
        <v>37</v>
      </c>
      <c r="G7904" s="5" t="s">
        <v>49917</v>
      </c>
      <c r="H7904" s="6" t="s">
        <v>49918</v>
      </c>
      <c r="K7904" s="5" t="s">
        <v>49913</v>
      </c>
    </row>
    <row r="7905">
      <c r="A7905" s="4">
        <v>45534.38981653935</v>
      </c>
      <c r="B7905" s="5" t="s">
        <v>34</v>
      </c>
      <c r="D7905" s="5" t="s">
        <v>9020</v>
      </c>
      <c r="E7905" s="5" t="s">
        <v>49921</v>
      </c>
      <c r="F7905" s="5" t="s">
        <v>37</v>
      </c>
      <c r="G7905" s="5" t="s">
        <v>49922</v>
      </c>
      <c r="H7905" s="6" t="s">
        <v>49923</v>
      </c>
      <c r="K7905" s="5" t="s">
        <v>49913</v>
      </c>
    </row>
    <row r="7906">
      <c r="A7906" s="4">
        <v>45534.38983863426</v>
      </c>
      <c r="B7906" s="5" t="s">
        <v>34</v>
      </c>
      <c r="D7906" s="5" t="s">
        <v>6232</v>
      </c>
      <c r="E7906" s="5" t="s">
        <v>49926</v>
      </c>
      <c r="F7906" s="5" t="s">
        <v>375</v>
      </c>
      <c r="G7906" s="5" t="s">
        <v>49927</v>
      </c>
      <c r="H7906" s="6" t="s">
        <v>49928</v>
      </c>
      <c r="K7906" s="5" t="s">
        <v>49929</v>
      </c>
    </row>
    <row r="7907">
      <c r="A7907" s="4">
        <v>45534.38984859954</v>
      </c>
      <c r="B7907" s="5" t="s">
        <v>34</v>
      </c>
      <c r="D7907" s="5" t="s">
        <v>1206</v>
      </c>
      <c r="E7907" s="5" t="s">
        <v>49932</v>
      </c>
      <c r="F7907" s="5" t="s">
        <v>212</v>
      </c>
      <c r="G7907" s="5" t="s">
        <v>49933</v>
      </c>
      <c r="H7907" s="6" t="s">
        <v>49934</v>
      </c>
      <c r="K7907" s="5" t="s">
        <v>49929</v>
      </c>
    </row>
    <row r="7908">
      <c r="A7908" s="4">
        <v>45534.389854699075</v>
      </c>
      <c r="B7908" s="5" t="s">
        <v>34</v>
      </c>
      <c r="D7908" s="5" t="s">
        <v>9020</v>
      </c>
      <c r="E7908" s="5" t="s">
        <v>49937</v>
      </c>
      <c r="F7908" s="5" t="s">
        <v>108</v>
      </c>
      <c r="G7908" s="5" t="s">
        <v>49938</v>
      </c>
      <c r="H7908" s="6" t="s">
        <v>49939</v>
      </c>
      <c r="K7908" s="5" t="s">
        <v>49929</v>
      </c>
    </row>
    <row r="7909">
      <c r="A7909" s="4">
        <v>45534.38985590277</v>
      </c>
      <c r="B7909" s="5" t="s">
        <v>34</v>
      </c>
      <c r="D7909" s="5" t="s">
        <v>1206</v>
      </c>
      <c r="E7909" s="5" t="s">
        <v>49943</v>
      </c>
      <c r="F7909" s="5" t="s">
        <v>120</v>
      </c>
      <c r="G7909" s="5" t="s">
        <v>49944</v>
      </c>
      <c r="H7909" s="6" t="s">
        <v>49945</v>
      </c>
      <c r="K7909" s="5" t="s">
        <v>49929</v>
      </c>
    </row>
    <row r="7910">
      <c r="A7910" s="4">
        <v>45534.389858587965</v>
      </c>
      <c r="B7910" s="5" t="s">
        <v>34</v>
      </c>
      <c r="D7910" s="5" t="s">
        <v>14313</v>
      </c>
      <c r="E7910" s="5" t="s">
        <v>49948</v>
      </c>
      <c r="F7910" s="5" t="s">
        <v>375</v>
      </c>
      <c r="G7910" s="5" t="s">
        <v>49949</v>
      </c>
      <c r="H7910" s="6" t="s">
        <v>49950</v>
      </c>
      <c r="K7910" s="5" t="s">
        <v>49929</v>
      </c>
    </row>
    <row r="7911">
      <c r="A7911" s="4">
        <v>45534.38986964121</v>
      </c>
      <c r="B7911" s="5" t="s">
        <v>34</v>
      </c>
      <c r="D7911" s="5" t="s">
        <v>701</v>
      </c>
      <c r="E7911" s="5" t="s">
        <v>49953</v>
      </c>
      <c r="F7911" s="5" t="s">
        <v>37</v>
      </c>
      <c r="G7911" s="5" t="s">
        <v>49954</v>
      </c>
      <c r="H7911" s="6" t="s">
        <v>49955</v>
      </c>
      <c r="K7911" s="5" t="s">
        <v>49929</v>
      </c>
    </row>
    <row r="7912">
      <c r="A7912" s="4">
        <v>45534.38987219907</v>
      </c>
      <c r="B7912" s="5" t="s">
        <v>34</v>
      </c>
      <c r="D7912" s="5" t="s">
        <v>9020</v>
      </c>
      <c r="E7912" s="5" t="s">
        <v>49958</v>
      </c>
      <c r="F7912" s="5" t="s">
        <v>72</v>
      </c>
      <c r="G7912" s="5" t="s">
        <v>49959</v>
      </c>
      <c r="H7912" s="6" t="s">
        <v>49960</v>
      </c>
      <c r="K7912" s="5" t="s">
        <v>49929</v>
      </c>
    </row>
    <row r="7913">
      <c r="A7913" s="4">
        <v>45534.389894409724</v>
      </c>
      <c r="B7913" s="5" t="s">
        <v>34</v>
      </c>
      <c r="D7913" s="5" t="s">
        <v>9020</v>
      </c>
      <c r="E7913" s="5" t="s">
        <v>49963</v>
      </c>
      <c r="F7913" s="5" t="s">
        <v>212</v>
      </c>
      <c r="G7913" s="5" t="s">
        <v>49964</v>
      </c>
      <c r="H7913" s="6" t="s">
        <v>49965</v>
      </c>
      <c r="K7913" s="5" t="s">
        <v>49966</v>
      </c>
    </row>
    <row r="7914">
      <c r="A7914" s="4">
        <v>45534.38991060185</v>
      </c>
      <c r="B7914" s="5" t="s">
        <v>34</v>
      </c>
      <c r="D7914" s="5" t="s">
        <v>9020</v>
      </c>
      <c r="E7914" s="5" t="s">
        <v>49969</v>
      </c>
      <c r="F7914" s="5" t="s">
        <v>375</v>
      </c>
      <c r="G7914" s="5" t="s">
        <v>49970</v>
      </c>
      <c r="H7914" s="6" t="s">
        <v>49971</v>
      </c>
      <c r="K7914" s="5" t="s">
        <v>49966</v>
      </c>
    </row>
    <row r="7915">
      <c r="A7915" s="4">
        <v>45534.38991189815</v>
      </c>
      <c r="B7915" s="5" t="s">
        <v>34</v>
      </c>
      <c r="D7915" s="5" t="s">
        <v>1558</v>
      </c>
      <c r="E7915" s="5" t="s">
        <v>49975</v>
      </c>
      <c r="F7915" s="5" t="s">
        <v>375</v>
      </c>
      <c r="G7915" s="5" t="s">
        <v>49976</v>
      </c>
      <c r="H7915" s="6" t="s">
        <v>49977</v>
      </c>
      <c r="K7915" s="5" t="s">
        <v>49966</v>
      </c>
    </row>
    <row r="7916">
      <c r="A7916" s="4">
        <v>45534.38994688657</v>
      </c>
      <c r="B7916" s="5" t="s">
        <v>34</v>
      </c>
      <c r="D7916" s="5" t="s">
        <v>14313</v>
      </c>
      <c r="E7916" s="5" t="s">
        <v>49980</v>
      </c>
      <c r="F7916" s="5" t="s">
        <v>212</v>
      </c>
      <c r="G7916" s="5" t="s">
        <v>49981</v>
      </c>
      <c r="H7916" s="6" t="s">
        <v>49982</v>
      </c>
      <c r="K7916" s="5" t="s">
        <v>49983</v>
      </c>
    </row>
    <row r="7917">
      <c r="A7917" s="4">
        <v>45534.3899508912</v>
      </c>
      <c r="B7917" s="5" t="s">
        <v>34</v>
      </c>
      <c r="D7917" s="5" t="s">
        <v>1206</v>
      </c>
      <c r="E7917" s="5" t="s">
        <v>49986</v>
      </c>
      <c r="F7917" s="5" t="s">
        <v>37</v>
      </c>
      <c r="G7917" s="5" t="s">
        <v>49987</v>
      </c>
      <c r="H7917" s="6" t="s">
        <v>49988</v>
      </c>
      <c r="K7917" s="5" t="s">
        <v>49983</v>
      </c>
    </row>
    <row r="7918">
      <c r="A7918" s="4">
        <v>45534.38996133102</v>
      </c>
      <c r="B7918" s="5" t="s">
        <v>34</v>
      </c>
      <c r="D7918" s="5" t="s">
        <v>12978</v>
      </c>
      <c r="E7918" s="5" t="s">
        <v>49991</v>
      </c>
      <c r="F7918" s="5" t="s">
        <v>212</v>
      </c>
      <c r="G7918" s="5" t="s">
        <v>49992</v>
      </c>
      <c r="H7918" s="6" t="s">
        <v>49993</v>
      </c>
      <c r="K7918" s="5" t="s">
        <v>49983</v>
      </c>
    </row>
    <row r="7919">
      <c r="A7919" s="4">
        <v>45534.390024884255</v>
      </c>
      <c r="B7919" s="5" t="s">
        <v>34</v>
      </c>
      <c r="D7919" s="5" t="s">
        <v>1558</v>
      </c>
      <c r="E7919" s="5" t="s">
        <v>49996</v>
      </c>
      <c r="F7919" s="5" t="s">
        <v>199</v>
      </c>
      <c r="G7919" s="5" t="s">
        <v>49997</v>
      </c>
      <c r="H7919" s="6" t="s">
        <v>49998</v>
      </c>
      <c r="K7919" s="5" t="s">
        <v>49999</v>
      </c>
    </row>
    <row r="7920">
      <c r="A7920" s="4">
        <v>45534.39002715278</v>
      </c>
      <c r="B7920" s="5" t="s">
        <v>34</v>
      </c>
      <c r="D7920" s="5" t="s">
        <v>1206</v>
      </c>
      <c r="E7920" s="5" t="s">
        <v>50003</v>
      </c>
      <c r="F7920" s="5" t="s">
        <v>37</v>
      </c>
      <c r="G7920" s="5" t="s">
        <v>50004</v>
      </c>
      <c r="H7920" s="6" t="s">
        <v>50005</v>
      </c>
      <c r="K7920" s="5" t="s">
        <v>49999</v>
      </c>
    </row>
    <row r="7921">
      <c r="A7921" s="4">
        <v>45534.3900834838</v>
      </c>
      <c r="B7921" s="5" t="s">
        <v>34</v>
      </c>
      <c r="D7921" s="5" t="s">
        <v>1206</v>
      </c>
      <c r="E7921" s="5" t="s">
        <v>50008</v>
      </c>
      <c r="F7921" s="5" t="s">
        <v>524</v>
      </c>
      <c r="G7921" s="5" t="s">
        <v>50009</v>
      </c>
      <c r="H7921" s="6" t="s">
        <v>50010</v>
      </c>
      <c r="K7921" s="5" t="s">
        <v>50011</v>
      </c>
    </row>
    <row r="7922">
      <c r="A7922" s="4">
        <v>45534.39009076389</v>
      </c>
      <c r="B7922" s="5" t="s">
        <v>34</v>
      </c>
      <c r="D7922" s="5" t="s">
        <v>14313</v>
      </c>
      <c r="E7922" s="5" t="s">
        <v>50014</v>
      </c>
      <c r="F7922" s="5" t="s">
        <v>120</v>
      </c>
      <c r="G7922" s="5" t="s">
        <v>50015</v>
      </c>
      <c r="H7922" s="6" t="s">
        <v>50016</v>
      </c>
      <c r="K7922" s="5" t="s">
        <v>50011</v>
      </c>
    </row>
    <row r="7923">
      <c r="A7923" s="4">
        <v>45534.39009981482</v>
      </c>
      <c r="B7923" s="5" t="s">
        <v>34</v>
      </c>
      <c r="D7923" s="5" t="s">
        <v>15401</v>
      </c>
      <c r="E7923" s="5" t="s">
        <v>50019</v>
      </c>
      <c r="F7923" s="5" t="s">
        <v>524</v>
      </c>
      <c r="G7923" s="5" t="s">
        <v>50020</v>
      </c>
      <c r="H7923" s="6" t="s">
        <v>50021</v>
      </c>
      <c r="K7923" s="5" t="s">
        <v>50011</v>
      </c>
    </row>
    <row r="7924">
      <c r="A7924" s="4">
        <v>45534.39023650463</v>
      </c>
      <c r="B7924" s="5" t="s">
        <v>34</v>
      </c>
      <c r="D7924" s="5" t="s">
        <v>12978</v>
      </c>
      <c r="E7924" s="5" t="s">
        <v>50024</v>
      </c>
      <c r="F7924" s="5" t="s">
        <v>375</v>
      </c>
      <c r="G7924" s="5" t="s">
        <v>50025</v>
      </c>
      <c r="H7924" s="6" t="s">
        <v>50026</v>
      </c>
      <c r="K7924" s="5" t="s">
        <v>50027</v>
      </c>
    </row>
    <row r="7925">
      <c r="A7925" s="4">
        <v>45534.39024666666</v>
      </c>
      <c r="B7925" s="5" t="s">
        <v>19</v>
      </c>
      <c r="C7925" s="5" t="s">
        <v>45988</v>
      </c>
      <c r="E7925" s="5" t="s">
        <v>50031</v>
      </c>
      <c r="F7925" s="5" t="s">
        <v>212</v>
      </c>
      <c r="G7925" s="5" t="s">
        <v>50032</v>
      </c>
      <c r="H7925" s="6" t="s">
        <v>50033</v>
      </c>
      <c r="K7925" s="5" t="s">
        <v>50027</v>
      </c>
    </row>
    <row r="7926">
      <c r="A7926" s="4">
        <v>45534.39027527778</v>
      </c>
      <c r="B7926" s="5" t="s">
        <v>34</v>
      </c>
      <c r="D7926" s="5" t="s">
        <v>267</v>
      </c>
      <c r="E7926" s="5" t="s">
        <v>50037</v>
      </c>
      <c r="F7926" s="5" t="s">
        <v>524</v>
      </c>
      <c r="G7926" s="5" t="s">
        <v>50038</v>
      </c>
      <c r="H7926" s="6" t="s">
        <v>50039</v>
      </c>
      <c r="K7926" s="5" t="s">
        <v>50040</v>
      </c>
    </row>
    <row r="7927">
      <c r="A7927" s="4">
        <v>45534.39035138889</v>
      </c>
      <c r="B7927" s="5" t="s">
        <v>34</v>
      </c>
      <c r="D7927" s="5" t="s">
        <v>1692</v>
      </c>
      <c r="E7927" s="5" t="s">
        <v>50044</v>
      </c>
      <c r="F7927" s="5" t="s">
        <v>72</v>
      </c>
      <c r="G7927" s="5" t="s">
        <v>50045</v>
      </c>
      <c r="H7927" s="6" t="s">
        <v>50046</v>
      </c>
      <c r="K7927" s="5" t="s">
        <v>50047</v>
      </c>
    </row>
    <row r="7928">
      <c r="A7928" s="4">
        <v>45534.39036240741</v>
      </c>
      <c r="B7928" s="5" t="s">
        <v>19</v>
      </c>
      <c r="C7928" s="5" t="s">
        <v>292</v>
      </c>
      <c r="E7928" s="5" t="s">
        <v>50050</v>
      </c>
      <c r="F7928" s="5" t="s">
        <v>375</v>
      </c>
      <c r="G7928" s="5" t="s">
        <v>50051</v>
      </c>
      <c r="H7928" s="6" t="s">
        <v>50052</v>
      </c>
      <c r="K7928" s="5" t="s">
        <v>50047</v>
      </c>
    </row>
    <row r="7929">
      <c r="A7929" s="4">
        <v>45534.390382303245</v>
      </c>
      <c r="B7929" s="5" t="s">
        <v>34</v>
      </c>
      <c r="D7929" s="5" t="s">
        <v>1206</v>
      </c>
      <c r="E7929" s="5" t="s">
        <v>44469</v>
      </c>
      <c r="F7929" s="5" t="s">
        <v>199</v>
      </c>
      <c r="G7929" s="5" t="s">
        <v>50055</v>
      </c>
      <c r="H7929" s="6" t="s">
        <v>50056</v>
      </c>
      <c r="K7929" s="5" t="s">
        <v>50047</v>
      </c>
    </row>
    <row r="7930">
      <c r="A7930" s="4">
        <v>45534.39038453704</v>
      </c>
      <c r="B7930" s="5" t="s">
        <v>34</v>
      </c>
      <c r="D7930" s="5" t="s">
        <v>14424</v>
      </c>
      <c r="E7930" s="5" t="s">
        <v>50059</v>
      </c>
      <c r="F7930" s="5" t="s">
        <v>108</v>
      </c>
      <c r="G7930" s="5" t="s">
        <v>50060</v>
      </c>
      <c r="H7930" s="6" t="s">
        <v>50061</v>
      </c>
      <c r="K7930" s="5" t="s">
        <v>50047</v>
      </c>
    </row>
    <row r="7931">
      <c r="A7931" s="4">
        <v>45534.3903865625</v>
      </c>
      <c r="B7931" s="5" t="s">
        <v>34</v>
      </c>
      <c r="D7931" s="5" t="s">
        <v>580</v>
      </c>
      <c r="E7931" s="5" t="s">
        <v>50064</v>
      </c>
      <c r="F7931" s="5" t="s">
        <v>524</v>
      </c>
      <c r="G7931" s="5" t="s">
        <v>50065</v>
      </c>
      <c r="H7931" s="6" t="s">
        <v>50066</v>
      </c>
      <c r="K7931" s="5" t="s">
        <v>50047</v>
      </c>
    </row>
    <row r="7932">
      <c r="A7932" s="4">
        <v>45534.390433622684</v>
      </c>
      <c r="B7932" s="5" t="s">
        <v>34</v>
      </c>
      <c r="D7932" s="5" t="s">
        <v>9020</v>
      </c>
      <c r="E7932" s="5" t="s">
        <v>50069</v>
      </c>
      <c r="F7932" s="5" t="s">
        <v>212</v>
      </c>
      <c r="G7932" s="5" t="s">
        <v>50070</v>
      </c>
      <c r="H7932" s="6" t="s">
        <v>50071</v>
      </c>
      <c r="K7932" s="5" t="s">
        <v>50047</v>
      </c>
    </row>
    <row r="7933">
      <c r="A7933" s="4">
        <v>45534.3904416088</v>
      </c>
      <c r="B7933" s="5" t="s">
        <v>34</v>
      </c>
      <c r="D7933" s="5" t="s">
        <v>35</v>
      </c>
      <c r="E7933" s="5" t="s">
        <v>50074</v>
      </c>
      <c r="F7933" s="5" t="s">
        <v>37</v>
      </c>
      <c r="G7933" s="5" t="s">
        <v>50075</v>
      </c>
      <c r="H7933" s="6" t="s">
        <v>50076</v>
      </c>
      <c r="K7933" s="5" t="s">
        <v>50047</v>
      </c>
    </row>
    <row r="7934">
      <c r="A7934" s="4">
        <v>45534.39045305556</v>
      </c>
      <c r="B7934" s="5" t="s">
        <v>34</v>
      </c>
      <c r="D7934" s="5" t="s">
        <v>1558</v>
      </c>
      <c r="E7934" s="5" t="s">
        <v>50080</v>
      </c>
      <c r="F7934" s="5" t="s">
        <v>375</v>
      </c>
      <c r="G7934" s="5" t="s">
        <v>50081</v>
      </c>
      <c r="H7934" s="6" t="s">
        <v>50082</v>
      </c>
      <c r="K7934" s="5" t="s">
        <v>50047</v>
      </c>
    </row>
    <row r="7935">
      <c r="A7935" s="4">
        <v>45534.3904554051</v>
      </c>
      <c r="B7935" s="5" t="s">
        <v>34</v>
      </c>
      <c r="D7935" s="5" t="s">
        <v>1206</v>
      </c>
      <c r="E7935" s="5" t="s">
        <v>50085</v>
      </c>
      <c r="F7935" s="5" t="s">
        <v>212</v>
      </c>
      <c r="G7935" s="5" t="s">
        <v>50086</v>
      </c>
      <c r="H7935" s="6" t="s">
        <v>50087</v>
      </c>
      <c r="K7935" s="5" t="s">
        <v>50047</v>
      </c>
    </row>
    <row r="7936">
      <c r="A7936" s="4">
        <v>45534.39047672454</v>
      </c>
      <c r="B7936" s="5" t="s">
        <v>19</v>
      </c>
      <c r="C7936" s="5" t="s">
        <v>45988</v>
      </c>
      <c r="E7936" s="5" t="s">
        <v>50090</v>
      </c>
      <c r="F7936" s="5" t="s">
        <v>108</v>
      </c>
      <c r="G7936" s="5" t="s">
        <v>50091</v>
      </c>
      <c r="H7936" s="6" t="s">
        <v>50092</v>
      </c>
      <c r="K7936" s="5" t="s">
        <v>50047</v>
      </c>
    </row>
    <row r="7937">
      <c r="A7937" s="4">
        <v>45534.390495775464</v>
      </c>
      <c r="B7937" s="5" t="s">
        <v>34</v>
      </c>
      <c r="D7937" s="5" t="s">
        <v>14313</v>
      </c>
      <c r="E7937" s="5" t="s">
        <v>50095</v>
      </c>
      <c r="F7937" s="5" t="s">
        <v>715</v>
      </c>
      <c r="G7937" s="5" t="s">
        <v>50096</v>
      </c>
      <c r="H7937" s="6" t="s">
        <v>50097</v>
      </c>
      <c r="K7937" s="5" t="s">
        <v>50098</v>
      </c>
    </row>
    <row r="7938">
      <c r="A7938" s="4">
        <v>45534.3905000463</v>
      </c>
      <c r="B7938" s="5" t="s">
        <v>19</v>
      </c>
      <c r="C7938" s="5" t="s">
        <v>40230</v>
      </c>
      <c r="E7938" s="5" t="s">
        <v>50101</v>
      </c>
      <c r="F7938" s="5" t="s">
        <v>108</v>
      </c>
      <c r="G7938" s="5" t="s">
        <v>50102</v>
      </c>
      <c r="H7938" s="6" t="s">
        <v>50103</v>
      </c>
      <c r="K7938" s="5" t="s">
        <v>50098</v>
      </c>
    </row>
    <row r="7939">
      <c r="A7939" s="4">
        <v>45534.39055739583</v>
      </c>
      <c r="B7939" s="5" t="s">
        <v>19</v>
      </c>
      <c r="C7939" s="5" t="s">
        <v>14000</v>
      </c>
      <c r="E7939" s="5" t="s">
        <v>19645</v>
      </c>
      <c r="F7939" s="5" t="s">
        <v>37</v>
      </c>
      <c r="G7939" s="5" t="s">
        <v>50106</v>
      </c>
      <c r="H7939" s="6" t="s">
        <v>50107</v>
      </c>
      <c r="K7939" s="5" t="s">
        <v>50108</v>
      </c>
    </row>
    <row r="7940">
      <c r="A7940" s="4">
        <v>45534.39059386574</v>
      </c>
      <c r="B7940" s="5" t="s">
        <v>34</v>
      </c>
      <c r="D7940" s="5" t="s">
        <v>9020</v>
      </c>
      <c r="E7940" s="5" t="s">
        <v>50112</v>
      </c>
      <c r="F7940" s="5" t="s">
        <v>37</v>
      </c>
      <c r="G7940" s="5" t="s">
        <v>50113</v>
      </c>
      <c r="H7940" s="6" t="s">
        <v>50114</v>
      </c>
      <c r="K7940" s="5" t="s">
        <v>50115</v>
      </c>
    </row>
    <row r="7941">
      <c r="A7941" s="4">
        <v>45534.390597210644</v>
      </c>
      <c r="B7941" s="5" t="s">
        <v>34</v>
      </c>
      <c r="D7941" s="5" t="s">
        <v>9020</v>
      </c>
      <c r="E7941" s="5" t="s">
        <v>50118</v>
      </c>
      <c r="F7941" s="5" t="s">
        <v>212</v>
      </c>
      <c r="G7941" s="5" t="s">
        <v>50119</v>
      </c>
      <c r="H7941" s="6" t="s">
        <v>50120</v>
      </c>
      <c r="K7941" s="5" t="s">
        <v>50115</v>
      </c>
    </row>
    <row r="7942">
      <c r="A7942" s="4">
        <v>45534.390615625</v>
      </c>
      <c r="B7942" s="5" t="s">
        <v>34</v>
      </c>
      <c r="D7942" s="5" t="s">
        <v>1206</v>
      </c>
      <c r="E7942" s="5" t="s">
        <v>50123</v>
      </c>
      <c r="F7942" s="5" t="s">
        <v>212</v>
      </c>
      <c r="G7942" s="5" t="s">
        <v>50124</v>
      </c>
      <c r="H7942" s="6" t="s">
        <v>50125</v>
      </c>
      <c r="K7942" s="5" t="s">
        <v>50126</v>
      </c>
    </row>
    <row r="7943">
      <c r="A7943" s="4">
        <v>45534.39063408565</v>
      </c>
      <c r="B7943" s="5" t="s">
        <v>34</v>
      </c>
      <c r="D7943" s="5" t="s">
        <v>10444</v>
      </c>
      <c r="E7943" s="5" t="s">
        <v>50129</v>
      </c>
      <c r="F7943" s="5" t="s">
        <v>375</v>
      </c>
      <c r="G7943" s="5" t="s">
        <v>50130</v>
      </c>
      <c r="H7943" s="6" t="s">
        <v>50131</v>
      </c>
      <c r="K7943" s="5" t="s">
        <v>50126</v>
      </c>
    </row>
    <row r="7944">
      <c r="A7944" s="4">
        <v>45534.39069435185</v>
      </c>
      <c r="B7944" s="5" t="s">
        <v>19</v>
      </c>
      <c r="C7944" s="5" t="s">
        <v>292</v>
      </c>
      <c r="E7944" s="5" t="s">
        <v>50134</v>
      </c>
      <c r="F7944" s="5" t="s">
        <v>120</v>
      </c>
      <c r="G7944" s="5" t="s">
        <v>50135</v>
      </c>
      <c r="H7944" s="6" t="s">
        <v>50136</v>
      </c>
      <c r="K7944" s="5" t="s">
        <v>50137</v>
      </c>
    </row>
    <row r="7945">
      <c r="A7945" s="4">
        <v>45534.39070841435</v>
      </c>
      <c r="B7945" s="5" t="s">
        <v>34</v>
      </c>
      <c r="D7945" s="5" t="s">
        <v>1558</v>
      </c>
      <c r="E7945" s="5" t="s">
        <v>50140</v>
      </c>
      <c r="F7945" s="5" t="s">
        <v>108</v>
      </c>
      <c r="G7945" s="5" t="s">
        <v>50141</v>
      </c>
      <c r="H7945" s="6" t="s">
        <v>50142</v>
      </c>
      <c r="K7945" s="5" t="s">
        <v>50137</v>
      </c>
    </row>
    <row r="7946">
      <c r="A7946" s="4">
        <v>45534.39071775463</v>
      </c>
      <c r="B7946" s="5" t="s">
        <v>34</v>
      </c>
      <c r="D7946" s="5" t="s">
        <v>6232</v>
      </c>
      <c r="E7946" s="5" t="s">
        <v>50145</v>
      </c>
      <c r="F7946" s="5" t="s">
        <v>524</v>
      </c>
      <c r="G7946" s="5" t="s">
        <v>50146</v>
      </c>
      <c r="H7946" s="6" t="s">
        <v>50147</v>
      </c>
      <c r="K7946" s="5" t="s">
        <v>50137</v>
      </c>
    </row>
    <row r="7947">
      <c r="A7947" s="4">
        <v>45534.39075006945</v>
      </c>
      <c r="B7947" s="5" t="s">
        <v>34</v>
      </c>
      <c r="D7947" s="5" t="s">
        <v>1558</v>
      </c>
      <c r="E7947" s="5" t="s">
        <v>18710</v>
      </c>
      <c r="F7947" s="5" t="s">
        <v>37</v>
      </c>
      <c r="G7947" s="5" t="s">
        <v>50150</v>
      </c>
      <c r="H7947" s="6" t="s">
        <v>50151</v>
      </c>
      <c r="K7947" s="5" t="s">
        <v>50152</v>
      </c>
    </row>
    <row r="7948">
      <c r="A7948" s="4">
        <v>45534.390774155094</v>
      </c>
      <c r="B7948" s="5" t="s">
        <v>34</v>
      </c>
      <c r="D7948" s="5" t="s">
        <v>9394</v>
      </c>
      <c r="E7948" s="5" t="s">
        <v>50155</v>
      </c>
      <c r="F7948" s="5" t="s">
        <v>524</v>
      </c>
      <c r="G7948" s="5" t="s">
        <v>50156</v>
      </c>
      <c r="H7948" s="6" t="s">
        <v>50157</v>
      </c>
      <c r="K7948" s="5" t="s">
        <v>50152</v>
      </c>
    </row>
    <row r="7949">
      <c r="A7949" s="4">
        <v>45534.39078717593</v>
      </c>
      <c r="B7949" s="5" t="s">
        <v>34</v>
      </c>
      <c r="D7949" s="5" t="s">
        <v>1456</v>
      </c>
      <c r="E7949" s="5" t="s">
        <v>50160</v>
      </c>
      <c r="F7949" s="5" t="s">
        <v>108</v>
      </c>
      <c r="G7949" s="5" t="s">
        <v>50161</v>
      </c>
      <c r="H7949" s="6" t="s">
        <v>50162</v>
      </c>
      <c r="K7949" s="5" t="s">
        <v>50152</v>
      </c>
    </row>
    <row r="7950">
      <c r="A7950" s="4">
        <v>45534.390799733796</v>
      </c>
      <c r="B7950" s="5" t="s">
        <v>34</v>
      </c>
      <c r="D7950" s="5" t="s">
        <v>9394</v>
      </c>
      <c r="E7950" s="5" t="s">
        <v>50165</v>
      </c>
      <c r="F7950" s="5" t="s">
        <v>37</v>
      </c>
      <c r="G7950" s="5" t="s">
        <v>50166</v>
      </c>
      <c r="H7950" s="6" t="s">
        <v>50167</v>
      </c>
      <c r="K7950" s="5" t="s">
        <v>50152</v>
      </c>
    </row>
    <row r="7951">
      <c r="A7951" s="4">
        <v>45534.39082020833</v>
      </c>
      <c r="B7951" s="5" t="s">
        <v>34</v>
      </c>
      <c r="D7951" s="5" t="s">
        <v>2903</v>
      </c>
      <c r="E7951" s="5" t="s">
        <v>50170</v>
      </c>
      <c r="F7951" s="5" t="s">
        <v>199</v>
      </c>
      <c r="G7951" s="5" t="s">
        <v>50171</v>
      </c>
      <c r="H7951" s="6" t="s">
        <v>50172</v>
      </c>
      <c r="K7951" s="5" t="s">
        <v>50152</v>
      </c>
    </row>
    <row r="7952">
      <c r="A7952" s="4">
        <v>45534.3908391088</v>
      </c>
      <c r="B7952" s="5" t="s">
        <v>34</v>
      </c>
      <c r="D7952" s="5" t="s">
        <v>35</v>
      </c>
      <c r="E7952" s="5" t="s">
        <v>50175</v>
      </c>
      <c r="F7952" s="5" t="s">
        <v>212</v>
      </c>
      <c r="G7952" s="5" t="s">
        <v>50176</v>
      </c>
      <c r="H7952" s="6" t="s">
        <v>50177</v>
      </c>
      <c r="K7952" s="5" t="s">
        <v>50178</v>
      </c>
    </row>
    <row r="7953">
      <c r="A7953" s="4">
        <v>45534.390884849534</v>
      </c>
      <c r="B7953" s="5" t="s">
        <v>19</v>
      </c>
      <c r="C7953" s="5" t="s">
        <v>20</v>
      </c>
      <c r="E7953" s="5" t="s">
        <v>50181</v>
      </c>
      <c r="F7953" s="5" t="s">
        <v>212</v>
      </c>
      <c r="G7953" s="5" t="s">
        <v>50182</v>
      </c>
      <c r="H7953" s="6" t="s">
        <v>50183</v>
      </c>
      <c r="K7953" s="5" t="s">
        <v>50178</v>
      </c>
    </row>
    <row r="7954">
      <c r="A7954" s="4">
        <v>45534.39089793981</v>
      </c>
      <c r="B7954" s="5" t="s">
        <v>34</v>
      </c>
      <c r="D7954" s="5" t="s">
        <v>1206</v>
      </c>
      <c r="E7954" s="5" t="s">
        <v>50186</v>
      </c>
      <c r="F7954" s="5" t="s">
        <v>328</v>
      </c>
      <c r="G7954" s="5" t="s">
        <v>50187</v>
      </c>
      <c r="H7954" s="6" t="s">
        <v>50188</v>
      </c>
      <c r="K7954" s="5" t="s">
        <v>50178</v>
      </c>
    </row>
    <row r="7955">
      <c r="A7955" s="4">
        <v>45534.39092363426</v>
      </c>
      <c r="B7955" s="5" t="s">
        <v>34</v>
      </c>
      <c r="D7955" s="5" t="s">
        <v>6232</v>
      </c>
      <c r="E7955" s="5" t="s">
        <v>50191</v>
      </c>
      <c r="F7955" s="5" t="s">
        <v>37</v>
      </c>
      <c r="G7955" s="5" t="s">
        <v>50192</v>
      </c>
      <c r="H7955" s="6" t="s">
        <v>50193</v>
      </c>
      <c r="K7955" s="5" t="s">
        <v>50194</v>
      </c>
    </row>
    <row r="7956">
      <c r="A7956" s="4">
        <v>45534.39092505787</v>
      </c>
      <c r="B7956" s="5" t="s">
        <v>34</v>
      </c>
      <c r="D7956" s="5" t="s">
        <v>701</v>
      </c>
      <c r="E7956" s="5" t="s">
        <v>50197</v>
      </c>
      <c r="F7956" s="5" t="s">
        <v>212</v>
      </c>
      <c r="G7956" s="5" t="s">
        <v>50198</v>
      </c>
      <c r="H7956" s="6" t="s">
        <v>50199</v>
      </c>
      <c r="K7956" s="5" t="s">
        <v>50194</v>
      </c>
    </row>
    <row r="7957">
      <c r="A7957" s="4">
        <v>45534.39095310185</v>
      </c>
      <c r="B7957" s="5" t="s">
        <v>34</v>
      </c>
      <c r="D7957" s="5" t="s">
        <v>701</v>
      </c>
      <c r="E7957" s="5" t="s">
        <v>50202</v>
      </c>
      <c r="F7957" s="5" t="s">
        <v>715</v>
      </c>
      <c r="G7957" s="5" t="s">
        <v>50203</v>
      </c>
      <c r="H7957" s="6" t="s">
        <v>50204</v>
      </c>
      <c r="K7957" s="5" t="s">
        <v>50205</v>
      </c>
    </row>
    <row r="7958">
      <c r="A7958" s="4">
        <v>45534.39095931713</v>
      </c>
      <c r="B7958" s="5" t="s">
        <v>34</v>
      </c>
      <c r="D7958" s="5" t="s">
        <v>1206</v>
      </c>
      <c r="E7958" s="5" t="s">
        <v>50208</v>
      </c>
      <c r="F7958" s="5" t="s">
        <v>37</v>
      </c>
      <c r="G7958" s="5" t="s">
        <v>50209</v>
      </c>
      <c r="H7958" s="6" t="s">
        <v>50210</v>
      </c>
      <c r="K7958" s="5" t="s">
        <v>50205</v>
      </c>
    </row>
    <row r="7959">
      <c r="A7959" s="4">
        <v>45534.390973217596</v>
      </c>
      <c r="B7959" s="5" t="s">
        <v>34</v>
      </c>
      <c r="D7959" s="5" t="s">
        <v>4775</v>
      </c>
      <c r="E7959" s="5" t="s">
        <v>50213</v>
      </c>
      <c r="F7959" s="5" t="s">
        <v>212</v>
      </c>
      <c r="G7959" s="5" t="s">
        <v>50214</v>
      </c>
      <c r="H7959" s="6" t="s">
        <v>50215</v>
      </c>
      <c r="K7959" s="5" t="s">
        <v>50205</v>
      </c>
    </row>
    <row r="7960">
      <c r="A7960" s="4">
        <v>45534.390991249995</v>
      </c>
      <c r="B7960" s="5" t="s">
        <v>34</v>
      </c>
      <c r="D7960" s="5" t="s">
        <v>9020</v>
      </c>
      <c r="E7960" s="5" t="s">
        <v>50218</v>
      </c>
      <c r="F7960" s="5" t="s">
        <v>120</v>
      </c>
      <c r="G7960" s="5" t="s">
        <v>50219</v>
      </c>
      <c r="H7960" s="6" t="s">
        <v>50220</v>
      </c>
      <c r="K7960" s="5" t="s">
        <v>50205</v>
      </c>
    </row>
    <row r="7961">
      <c r="A7961" s="4">
        <v>45534.391032997686</v>
      </c>
      <c r="B7961" s="5" t="s">
        <v>34</v>
      </c>
      <c r="D7961" s="5" t="s">
        <v>3849</v>
      </c>
      <c r="E7961" s="5" t="s">
        <v>50223</v>
      </c>
      <c r="F7961" s="5" t="s">
        <v>37</v>
      </c>
      <c r="G7961" s="5" t="s">
        <v>50224</v>
      </c>
      <c r="H7961" s="6" t="s">
        <v>50225</v>
      </c>
      <c r="K7961" s="5" t="s">
        <v>50205</v>
      </c>
    </row>
    <row r="7962">
      <c r="A7962" s="4">
        <v>45534.39104386574</v>
      </c>
      <c r="B7962" s="5" t="s">
        <v>34</v>
      </c>
      <c r="D7962" s="5" t="s">
        <v>1206</v>
      </c>
      <c r="E7962" s="5" t="s">
        <v>46768</v>
      </c>
      <c r="F7962" s="5" t="s">
        <v>37</v>
      </c>
      <c r="G7962" s="5" t="s">
        <v>50228</v>
      </c>
      <c r="H7962" s="6" t="s">
        <v>50229</v>
      </c>
      <c r="K7962" s="5" t="s">
        <v>50205</v>
      </c>
    </row>
    <row r="7963">
      <c r="A7963" s="4">
        <v>45534.39105638889</v>
      </c>
      <c r="B7963" s="5" t="s">
        <v>34</v>
      </c>
      <c r="D7963" s="5" t="s">
        <v>2903</v>
      </c>
      <c r="E7963" s="5" t="s">
        <v>50232</v>
      </c>
      <c r="F7963" s="5" t="s">
        <v>37</v>
      </c>
      <c r="G7963" s="5" t="s">
        <v>50233</v>
      </c>
      <c r="H7963" s="6" t="s">
        <v>50234</v>
      </c>
      <c r="K7963" s="5" t="s">
        <v>50205</v>
      </c>
    </row>
    <row r="7964">
      <c r="A7964" s="4">
        <v>45534.391085034724</v>
      </c>
      <c r="B7964" s="5" t="s">
        <v>34</v>
      </c>
      <c r="D7964" s="5" t="s">
        <v>35</v>
      </c>
      <c r="E7964" s="5" t="s">
        <v>50237</v>
      </c>
      <c r="F7964" s="5" t="s">
        <v>120</v>
      </c>
      <c r="G7964" s="5" t="s">
        <v>50238</v>
      </c>
      <c r="H7964" s="6" t="s">
        <v>50239</v>
      </c>
      <c r="K7964" s="5" t="s">
        <v>50240</v>
      </c>
    </row>
    <row r="7965">
      <c r="A7965" s="4">
        <v>45534.39110787037</v>
      </c>
      <c r="B7965" s="5" t="s">
        <v>34</v>
      </c>
      <c r="D7965" s="5" t="s">
        <v>1206</v>
      </c>
      <c r="E7965" s="5" t="s">
        <v>50243</v>
      </c>
      <c r="F7965" s="5" t="s">
        <v>72</v>
      </c>
      <c r="G7965" s="5" t="s">
        <v>50244</v>
      </c>
      <c r="H7965" s="6" t="s">
        <v>50245</v>
      </c>
      <c r="K7965" s="5" t="s">
        <v>50240</v>
      </c>
    </row>
    <row r="7966">
      <c r="A7966" s="4">
        <v>45534.39114165509</v>
      </c>
      <c r="B7966" s="5" t="s">
        <v>34</v>
      </c>
      <c r="D7966" s="5" t="s">
        <v>12978</v>
      </c>
      <c r="E7966" s="5" t="s">
        <v>50248</v>
      </c>
      <c r="F7966" s="5" t="s">
        <v>72</v>
      </c>
      <c r="G7966" s="5" t="s">
        <v>50249</v>
      </c>
      <c r="H7966" s="6" t="s">
        <v>50250</v>
      </c>
      <c r="K7966" s="5" t="s">
        <v>50240</v>
      </c>
    </row>
    <row r="7967">
      <c r="A7967" s="4">
        <v>45534.39119702546</v>
      </c>
      <c r="B7967" s="5" t="s">
        <v>34</v>
      </c>
      <c r="D7967" s="5" t="s">
        <v>35</v>
      </c>
      <c r="E7967" s="5" t="s">
        <v>50253</v>
      </c>
      <c r="F7967" s="5" t="s">
        <v>37</v>
      </c>
      <c r="G7967" s="5" t="s">
        <v>50254</v>
      </c>
      <c r="H7967" s="6" t="s">
        <v>50255</v>
      </c>
      <c r="K7967" s="5" t="s">
        <v>50240</v>
      </c>
    </row>
    <row r="7968">
      <c r="A7968" s="4">
        <v>45534.391300856485</v>
      </c>
      <c r="B7968" s="5" t="s">
        <v>34</v>
      </c>
      <c r="D7968" s="5" t="s">
        <v>6232</v>
      </c>
      <c r="E7968" s="5" t="s">
        <v>50258</v>
      </c>
      <c r="F7968" s="5" t="s">
        <v>375</v>
      </c>
      <c r="G7968" s="5" t="s">
        <v>50259</v>
      </c>
      <c r="H7968" s="6" t="s">
        <v>50260</v>
      </c>
      <c r="K7968" s="5" t="s">
        <v>50261</v>
      </c>
    </row>
    <row r="7969">
      <c r="A7969" s="4">
        <v>45534.39130701389</v>
      </c>
      <c r="B7969" s="5" t="s">
        <v>19</v>
      </c>
      <c r="C7969" s="5" t="s">
        <v>24076</v>
      </c>
      <c r="E7969" s="5" t="s">
        <v>50264</v>
      </c>
      <c r="F7969" s="5" t="s">
        <v>37</v>
      </c>
      <c r="G7969" s="5" t="s">
        <v>50265</v>
      </c>
      <c r="H7969" s="6" t="s">
        <v>50266</v>
      </c>
      <c r="K7969" s="5" t="s">
        <v>50267</v>
      </c>
    </row>
    <row r="7970">
      <c r="A7970" s="4">
        <v>45534.39130699074</v>
      </c>
      <c r="B7970" s="5" t="s">
        <v>34</v>
      </c>
      <c r="D7970" s="5" t="s">
        <v>1206</v>
      </c>
      <c r="E7970" s="5" t="s">
        <v>50270</v>
      </c>
      <c r="F7970" s="5" t="s">
        <v>37</v>
      </c>
      <c r="G7970" s="5" t="s">
        <v>50271</v>
      </c>
      <c r="H7970" s="6" t="s">
        <v>50272</v>
      </c>
      <c r="K7970" s="5" t="s">
        <v>50267</v>
      </c>
    </row>
    <row r="7971">
      <c r="A7971" s="4">
        <v>45534.39132173611</v>
      </c>
      <c r="B7971" s="5" t="s">
        <v>34</v>
      </c>
      <c r="D7971" s="5" t="s">
        <v>1558</v>
      </c>
      <c r="E7971" s="5" t="s">
        <v>50275</v>
      </c>
      <c r="F7971" s="5" t="s">
        <v>37</v>
      </c>
      <c r="G7971" s="5" t="s">
        <v>50276</v>
      </c>
      <c r="H7971" s="6" t="s">
        <v>50277</v>
      </c>
      <c r="K7971" s="5" t="s">
        <v>50267</v>
      </c>
    </row>
    <row r="7972">
      <c r="A7972" s="4">
        <v>45534.39132915509</v>
      </c>
      <c r="B7972" s="5" t="s">
        <v>34</v>
      </c>
      <c r="D7972" s="5" t="s">
        <v>9020</v>
      </c>
      <c r="E7972" s="5" t="s">
        <v>50280</v>
      </c>
      <c r="F7972" s="5" t="s">
        <v>72</v>
      </c>
      <c r="G7972" s="5" t="s">
        <v>50281</v>
      </c>
      <c r="H7972" s="6" t="s">
        <v>50282</v>
      </c>
      <c r="K7972" s="5" t="s">
        <v>50267</v>
      </c>
    </row>
    <row r="7973">
      <c r="A7973" s="4">
        <v>45534.391329791666</v>
      </c>
      <c r="B7973" s="5" t="s">
        <v>34</v>
      </c>
      <c r="D7973" s="5" t="s">
        <v>1206</v>
      </c>
      <c r="E7973" s="5" t="s">
        <v>47096</v>
      </c>
      <c r="F7973" s="5" t="s">
        <v>37</v>
      </c>
      <c r="G7973" s="5" t="s">
        <v>47097</v>
      </c>
      <c r="H7973" s="6" t="s">
        <v>50285</v>
      </c>
      <c r="K7973" s="5" t="s">
        <v>50267</v>
      </c>
    </row>
    <row r="7974">
      <c r="A7974" s="4">
        <v>45534.391330706014</v>
      </c>
      <c r="B7974" s="5" t="s">
        <v>19</v>
      </c>
      <c r="C7974" s="5" t="s">
        <v>1606</v>
      </c>
      <c r="E7974" s="5" t="s">
        <v>50288</v>
      </c>
      <c r="F7974" s="5" t="s">
        <v>37</v>
      </c>
      <c r="G7974" s="5" t="s">
        <v>50289</v>
      </c>
      <c r="H7974" s="6" t="s">
        <v>50290</v>
      </c>
      <c r="K7974" s="5" t="s">
        <v>50267</v>
      </c>
    </row>
    <row r="7975">
      <c r="A7975" s="4">
        <v>45534.391363946765</v>
      </c>
      <c r="B7975" s="5" t="s">
        <v>34</v>
      </c>
      <c r="D7975" s="5" t="s">
        <v>14313</v>
      </c>
      <c r="E7975" s="5" t="s">
        <v>50293</v>
      </c>
      <c r="F7975" s="5" t="s">
        <v>524</v>
      </c>
      <c r="G7975" s="5" t="s">
        <v>50294</v>
      </c>
      <c r="H7975" s="6" t="s">
        <v>50295</v>
      </c>
      <c r="K7975" s="5" t="s">
        <v>50267</v>
      </c>
    </row>
    <row r="7976">
      <c r="A7976" s="4">
        <v>45534.391393287035</v>
      </c>
      <c r="B7976" s="5" t="s">
        <v>19</v>
      </c>
      <c r="C7976" s="5" t="s">
        <v>45988</v>
      </c>
      <c r="E7976" s="5" t="s">
        <v>50298</v>
      </c>
      <c r="F7976" s="5" t="s">
        <v>72</v>
      </c>
      <c r="G7976" s="5" t="s">
        <v>50299</v>
      </c>
      <c r="H7976" s="6" t="s">
        <v>50300</v>
      </c>
      <c r="K7976" s="5" t="s">
        <v>50267</v>
      </c>
    </row>
    <row r="7977">
      <c r="A7977" s="4">
        <v>45534.39140315972</v>
      </c>
      <c r="B7977" s="5" t="s">
        <v>34</v>
      </c>
      <c r="D7977" s="5" t="s">
        <v>1692</v>
      </c>
      <c r="E7977" s="5" t="s">
        <v>50303</v>
      </c>
      <c r="F7977" s="5" t="s">
        <v>212</v>
      </c>
      <c r="G7977" s="5" t="s">
        <v>50304</v>
      </c>
      <c r="H7977" s="6" t="s">
        <v>50305</v>
      </c>
      <c r="K7977" s="5" t="s">
        <v>50267</v>
      </c>
    </row>
    <row r="7978">
      <c r="A7978" s="4">
        <v>45534.39142082176</v>
      </c>
      <c r="B7978" s="5" t="s">
        <v>34</v>
      </c>
      <c r="D7978" s="5" t="s">
        <v>14313</v>
      </c>
      <c r="E7978" s="5" t="s">
        <v>50308</v>
      </c>
      <c r="F7978" s="5" t="s">
        <v>212</v>
      </c>
      <c r="G7978" s="5" t="s">
        <v>50309</v>
      </c>
      <c r="H7978" s="6" t="s">
        <v>50310</v>
      </c>
      <c r="K7978" s="5" t="s">
        <v>50267</v>
      </c>
    </row>
    <row r="7979">
      <c r="A7979" s="4">
        <v>45534.39146449074</v>
      </c>
      <c r="B7979" s="5" t="s">
        <v>34</v>
      </c>
      <c r="D7979" s="5" t="s">
        <v>1206</v>
      </c>
      <c r="E7979" s="5" t="s">
        <v>50313</v>
      </c>
      <c r="F7979" s="5" t="s">
        <v>37</v>
      </c>
      <c r="G7979" s="5" t="s">
        <v>50314</v>
      </c>
      <c r="H7979" s="6" t="s">
        <v>50315</v>
      </c>
      <c r="K7979" s="5" t="s">
        <v>50316</v>
      </c>
    </row>
    <row r="7980">
      <c r="A7980" s="4">
        <v>45534.391505694446</v>
      </c>
      <c r="B7980" s="5" t="s">
        <v>34</v>
      </c>
      <c r="D7980" s="5" t="s">
        <v>1456</v>
      </c>
      <c r="E7980" s="5" t="s">
        <v>50319</v>
      </c>
      <c r="F7980" s="5" t="s">
        <v>37</v>
      </c>
      <c r="G7980" s="5" t="s">
        <v>50320</v>
      </c>
      <c r="H7980" s="6" t="s">
        <v>50321</v>
      </c>
      <c r="K7980" s="5" t="s">
        <v>50322</v>
      </c>
    </row>
    <row r="7981">
      <c r="A7981" s="4">
        <v>45534.39156015046</v>
      </c>
      <c r="B7981" s="5" t="s">
        <v>19</v>
      </c>
      <c r="C7981" s="5" t="s">
        <v>1606</v>
      </c>
      <c r="E7981" s="5" t="s">
        <v>50325</v>
      </c>
      <c r="F7981" s="5" t="s">
        <v>22</v>
      </c>
      <c r="G7981" s="5" t="s">
        <v>50326</v>
      </c>
      <c r="H7981" s="6" t="s">
        <v>50327</v>
      </c>
      <c r="K7981" s="5" t="s">
        <v>50328</v>
      </c>
    </row>
    <row r="7982">
      <c r="A7982" s="4">
        <v>45534.3915675926</v>
      </c>
      <c r="B7982" s="5" t="s">
        <v>34</v>
      </c>
      <c r="D7982" s="5" t="s">
        <v>267</v>
      </c>
      <c r="E7982" s="5" t="s">
        <v>50332</v>
      </c>
      <c r="F7982" s="5" t="s">
        <v>212</v>
      </c>
      <c r="G7982" s="5" t="s">
        <v>50333</v>
      </c>
      <c r="H7982" s="6" t="s">
        <v>50334</v>
      </c>
      <c r="K7982" s="5" t="s">
        <v>50328</v>
      </c>
    </row>
    <row r="7983">
      <c r="A7983" s="4">
        <v>45534.39157424768</v>
      </c>
      <c r="B7983" s="5" t="s">
        <v>34</v>
      </c>
      <c r="D7983" s="5" t="s">
        <v>362</v>
      </c>
      <c r="E7983" s="5" t="s">
        <v>50337</v>
      </c>
      <c r="F7983" s="5" t="s">
        <v>108</v>
      </c>
      <c r="G7983" s="5" t="s">
        <v>50338</v>
      </c>
      <c r="H7983" s="6" t="s">
        <v>50339</v>
      </c>
      <c r="K7983" s="5" t="s">
        <v>50328</v>
      </c>
    </row>
    <row r="7984">
      <c r="A7984" s="4">
        <v>45534.39162521991</v>
      </c>
      <c r="B7984" s="5" t="s">
        <v>19</v>
      </c>
      <c r="C7984" s="5" t="s">
        <v>45988</v>
      </c>
      <c r="E7984" s="5" t="s">
        <v>50342</v>
      </c>
      <c r="F7984" s="5" t="s">
        <v>72</v>
      </c>
      <c r="G7984" s="5" t="s">
        <v>50343</v>
      </c>
      <c r="H7984" s="6" t="s">
        <v>50344</v>
      </c>
      <c r="K7984" s="5" t="s">
        <v>50328</v>
      </c>
    </row>
    <row r="7985">
      <c r="A7985" s="4">
        <v>45534.39164530093</v>
      </c>
      <c r="B7985" s="5" t="s">
        <v>34</v>
      </c>
      <c r="D7985" s="5" t="s">
        <v>9020</v>
      </c>
      <c r="E7985" s="5" t="s">
        <v>50347</v>
      </c>
      <c r="F7985" s="5" t="s">
        <v>37</v>
      </c>
      <c r="G7985" s="5" t="s">
        <v>50348</v>
      </c>
      <c r="H7985" s="6" t="s">
        <v>50349</v>
      </c>
      <c r="K7985" s="5" t="s">
        <v>50328</v>
      </c>
    </row>
    <row r="7986">
      <c r="A7986" s="4">
        <v>45534.39165439815</v>
      </c>
      <c r="B7986" s="5" t="s">
        <v>34</v>
      </c>
      <c r="D7986" s="5" t="s">
        <v>6232</v>
      </c>
      <c r="E7986" s="5" t="s">
        <v>50352</v>
      </c>
      <c r="F7986" s="5" t="s">
        <v>120</v>
      </c>
      <c r="G7986" s="5" t="s">
        <v>50353</v>
      </c>
      <c r="H7986" s="6" t="s">
        <v>50354</v>
      </c>
      <c r="K7986" s="5" t="s">
        <v>50355</v>
      </c>
    </row>
    <row r="7987">
      <c r="A7987" s="4">
        <v>45534.39166633102</v>
      </c>
      <c r="B7987" s="5" t="s">
        <v>34</v>
      </c>
      <c r="D7987" s="5" t="s">
        <v>7858</v>
      </c>
      <c r="E7987" s="5" t="s">
        <v>50359</v>
      </c>
      <c r="F7987" s="5" t="s">
        <v>37</v>
      </c>
      <c r="G7987" s="5" t="s">
        <v>50360</v>
      </c>
      <c r="H7987" s="6" t="s">
        <v>50361</v>
      </c>
      <c r="K7987" s="5" t="s">
        <v>50355</v>
      </c>
    </row>
    <row r="7988">
      <c r="A7988" s="4">
        <v>45534.39169833333</v>
      </c>
      <c r="B7988" s="5" t="s">
        <v>34</v>
      </c>
      <c r="D7988" s="5" t="s">
        <v>6232</v>
      </c>
      <c r="E7988" s="5" t="s">
        <v>50364</v>
      </c>
      <c r="F7988" s="5" t="s">
        <v>37</v>
      </c>
      <c r="G7988" s="5" t="s">
        <v>50365</v>
      </c>
      <c r="H7988" s="6" t="s">
        <v>50366</v>
      </c>
      <c r="K7988" s="5" t="s">
        <v>50367</v>
      </c>
    </row>
    <row r="7989">
      <c r="A7989" s="4">
        <v>45534.39173650463</v>
      </c>
      <c r="B7989" s="5" t="s">
        <v>19</v>
      </c>
      <c r="C7989" s="5" t="s">
        <v>5564</v>
      </c>
      <c r="E7989" s="5" t="s">
        <v>17285</v>
      </c>
      <c r="F7989" s="5" t="s">
        <v>212</v>
      </c>
      <c r="G7989" s="5" t="s">
        <v>50370</v>
      </c>
      <c r="H7989" s="6" t="s">
        <v>50371</v>
      </c>
      <c r="K7989" s="5" t="s">
        <v>50372</v>
      </c>
    </row>
    <row r="7990">
      <c r="A7990" s="4">
        <v>45534.39174909722</v>
      </c>
      <c r="B7990" s="5" t="s">
        <v>34</v>
      </c>
      <c r="D7990" s="5" t="s">
        <v>267</v>
      </c>
      <c r="E7990" s="5" t="s">
        <v>50375</v>
      </c>
      <c r="F7990" s="5" t="s">
        <v>524</v>
      </c>
      <c r="G7990" s="5" t="s">
        <v>50376</v>
      </c>
      <c r="H7990" s="6" t="s">
        <v>50377</v>
      </c>
      <c r="K7990" s="5" t="s">
        <v>50378</v>
      </c>
    </row>
    <row r="7991">
      <c r="A7991" s="4">
        <v>45534.391782824074</v>
      </c>
      <c r="B7991" s="5" t="s">
        <v>34</v>
      </c>
      <c r="D7991" s="5" t="s">
        <v>9020</v>
      </c>
      <c r="E7991" s="5" t="s">
        <v>49958</v>
      </c>
      <c r="F7991" s="5" t="s">
        <v>72</v>
      </c>
      <c r="G7991" s="5" t="s">
        <v>49959</v>
      </c>
      <c r="H7991" s="6" t="s">
        <v>50381</v>
      </c>
      <c r="K7991" s="5" t="s">
        <v>50382</v>
      </c>
    </row>
    <row r="7992">
      <c r="A7992" s="4">
        <v>45534.391788587964</v>
      </c>
      <c r="B7992" s="5" t="s">
        <v>19</v>
      </c>
      <c r="C7992" s="5" t="s">
        <v>292</v>
      </c>
      <c r="E7992" s="5" t="s">
        <v>50385</v>
      </c>
      <c r="F7992" s="5" t="s">
        <v>37</v>
      </c>
      <c r="G7992" s="5" t="s">
        <v>50386</v>
      </c>
      <c r="H7992" s="6" t="s">
        <v>50387</v>
      </c>
      <c r="K7992" s="5" t="s">
        <v>50388</v>
      </c>
    </row>
    <row r="7993">
      <c r="A7993" s="4">
        <v>45534.39180715277</v>
      </c>
      <c r="B7993" s="5" t="s">
        <v>34</v>
      </c>
      <c r="D7993" s="5" t="s">
        <v>1206</v>
      </c>
      <c r="E7993" s="5" t="s">
        <v>50391</v>
      </c>
      <c r="F7993" s="5" t="s">
        <v>212</v>
      </c>
      <c r="G7993" s="5" t="s">
        <v>50392</v>
      </c>
      <c r="H7993" s="6" t="s">
        <v>50393</v>
      </c>
      <c r="K7993" s="5" t="s">
        <v>50388</v>
      </c>
    </row>
    <row r="7994">
      <c r="A7994" s="4">
        <v>45534.391809884255</v>
      </c>
      <c r="B7994" s="5" t="s">
        <v>34</v>
      </c>
      <c r="D7994" s="5" t="s">
        <v>1206</v>
      </c>
      <c r="E7994" s="5" t="s">
        <v>16884</v>
      </c>
      <c r="F7994" s="5" t="s">
        <v>37</v>
      </c>
      <c r="G7994" s="5" t="s">
        <v>50397</v>
      </c>
      <c r="H7994" s="6" t="s">
        <v>50398</v>
      </c>
      <c r="K7994" s="5" t="s">
        <v>50388</v>
      </c>
    </row>
    <row r="7995">
      <c r="A7995" s="4">
        <v>45534.39188625</v>
      </c>
      <c r="B7995" s="5" t="s">
        <v>19</v>
      </c>
      <c r="C7995" s="5" t="s">
        <v>3471</v>
      </c>
      <c r="E7995" s="5" t="s">
        <v>50401</v>
      </c>
      <c r="F7995" s="5" t="s">
        <v>199</v>
      </c>
      <c r="G7995" s="5" t="s">
        <v>50402</v>
      </c>
      <c r="H7995" s="6" t="s">
        <v>50403</v>
      </c>
      <c r="K7995" s="5" t="s">
        <v>50404</v>
      </c>
    </row>
    <row r="7996">
      <c r="A7996" s="4">
        <v>45534.39191003473</v>
      </c>
      <c r="B7996" s="5" t="s">
        <v>34</v>
      </c>
      <c r="D7996" s="5" t="s">
        <v>701</v>
      </c>
      <c r="E7996" s="5" t="s">
        <v>50407</v>
      </c>
      <c r="F7996" s="5" t="s">
        <v>212</v>
      </c>
      <c r="G7996" s="5" t="s">
        <v>50408</v>
      </c>
      <c r="H7996" s="6" t="s">
        <v>50409</v>
      </c>
      <c r="K7996" s="5" t="s">
        <v>50404</v>
      </c>
    </row>
    <row r="7997">
      <c r="A7997" s="4">
        <v>45534.39193346065</v>
      </c>
      <c r="B7997" s="5" t="s">
        <v>34</v>
      </c>
      <c r="D7997" s="5" t="s">
        <v>11527</v>
      </c>
      <c r="E7997" s="5" t="s">
        <v>50412</v>
      </c>
      <c r="F7997" s="5" t="s">
        <v>524</v>
      </c>
      <c r="G7997" s="5" t="s">
        <v>50413</v>
      </c>
      <c r="H7997" s="6" t="s">
        <v>50414</v>
      </c>
      <c r="K7997" s="5" t="s">
        <v>50415</v>
      </c>
    </row>
    <row r="7998">
      <c r="A7998" s="4">
        <v>45534.39196756945</v>
      </c>
      <c r="B7998" s="5" t="s">
        <v>34</v>
      </c>
      <c r="D7998" s="5" t="s">
        <v>1206</v>
      </c>
      <c r="E7998" s="5" t="s">
        <v>50418</v>
      </c>
      <c r="F7998" s="5" t="s">
        <v>72</v>
      </c>
      <c r="G7998" s="5" t="s">
        <v>50419</v>
      </c>
      <c r="H7998" s="6" t="s">
        <v>50420</v>
      </c>
      <c r="K7998" s="5" t="s">
        <v>50415</v>
      </c>
    </row>
    <row r="7999">
      <c r="A7999" s="4">
        <v>45534.391969675926</v>
      </c>
      <c r="B7999" s="5" t="s">
        <v>34</v>
      </c>
      <c r="D7999" s="5" t="s">
        <v>4775</v>
      </c>
      <c r="E7999" s="5" t="s">
        <v>50424</v>
      </c>
      <c r="F7999" s="5" t="s">
        <v>120</v>
      </c>
      <c r="G7999" s="5" t="s">
        <v>50425</v>
      </c>
      <c r="H7999" s="6" t="s">
        <v>50426</v>
      </c>
      <c r="K7999" s="5" t="s">
        <v>50415</v>
      </c>
    </row>
    <row r="8000">
      <c r="A8000" s="4">
        <v>45534.391974768514</v>
      </c>
      <c r="B8000" s="5" t="s">
        <v>34</v>
      </c>
      <c r="D8000" s="5" t="s">
        <v>1206</v>
      </c>
      <c r="E8000" s="5" t="s">
        <v>50430</v>
      </c>
      <c r="F8000" s="5" t="s">
        <v>212</v>
      </c>
      <c r="G8000" s="5" t="s">
        <v>50431</v>
      </c>
      <c r="H8000" s="6" t="s">
        <v>50432</v>
      </c>
      <c r="K8000" s="5" t="s">
        <v>50415</v>
      </c>
    </row>
    <row r="8001">
      <c r="A8001" s="4">
        <v>45534.391993171295</v>
      </c>
      <c r="B8001" s="5" t="s">
        <v>34</v>
      </c>
      <c r="D8001" s="5" t="s">
        <v>10297</v>
      </c>
      <c r="E8001" s="5" t="s">
        <v>50435</v>
      </c>
      <c r="F8001" s="5" t="s">
        <v>37</v>
      </c>
      <c r="G8001" s="5" t="s">
        <v>50436</v>
      </c>
      <c r="H8001" s="6" t="s">
        <v>50437</v>
      </c>
      <c r="K8001" s="5" t="s">
        <v>50415</v>
      </c>
    </row>
    <row r="8002">
      <c r="A8002" s="4">
        <v>45534.392007083334</v>
      </c>
      <c r="B8002" s="5" t="s">
        <v>34</v>
      </c>
      <c r="D8002" s="5" t="s">
        <v>1558</v>
      </c>
      <c r="E8002" s="5" t="s">
        <v>50440</v>
      </c>
      <c r="F8002" s="5" t="s">
        <v>375</v>
      </c>
      <c r="G8002" s="5" t="s">
        <v>50441</v>
      </c>
      <c r="H8002" s="6" t="s">
        <v>50442</v>
      </c>
      <c r="K8002" s="5" t="s">
        <v>50415</v>
      </c>
    </row>
    <row r="8003">
      <c r="A8003" s="4">
        <v>45534.39201072916</v>
      </c>
      <c r="B8003" s="5" t="s">
        <v>34</v>
      </c>
      <c r="D8003" s="5" t="s">
        <v>9020</v>
      </c>
      <c r="E8003" s="5" t="s">
        <v>50445</v>
      </c>
      <c r="F8003" s="5" t="s">
        <v>37</v>
      </c>
      <c r="G8003" s="5" t="s">
        <v>50446</v>
      </c>
      <c r="H8003" s="6" t="s">
        <v>50447</v>
      </c>
      <c r="K8003" s="5" t="s">
        <v>50415</v>
      </c>
    </row>
    <row r="8004">
      <c r="A8004" s="4">
        <v>45534.39203916666</v>
      </c>
      <c r="B8004" s="5" t="s">
        <v>34</v>
      </c>
      <c r="D8004" s="5" t="s">
        <v>4775</v>
      </c>
      <c r="E8004" s="5" t="s">
        <v>50450</v>
      </c>
      <c r="F8004" s="5" t="s">
        <v>37</v>
      </c>
      <c r="G8004" s="5" t="s">
        <v>50451</v>
      </c>
      <c r="H8004" s="6" t="s">
        <v>50452</v>
      </c>
      <c r="K8004" s="5" t="s">
        <v>50453</v>
      </c>
    </row>
    <row r="8005">
      <c r="A8005" s="4">
        <v>45534.392044513894</v>
      </c>
      <c r="B8005" s="5" t="s">
        <v>34</v>
      </c>
      <c r="D8005" s="5" t="s">
        <v>1456</v>
      </c>
      <c r="E8005" s="5" t="s">
        <v>50457</v>
      </c>
      <c r="F8005" s="5" t="s">
        <v>524</v>
      </c>
      <c r="G8005" s="5" t="s">
        <v>50458</v>
      </c>
      <c r="H8005" s="6" t="s">
        <v>50459</v>
      </c>
      <c r="K8005" s="5" t="s">
        <v>50453</v>
      </c>
    </row>
    <row r="8006">
      <c r="A8006" s="4">
        <v>45534.3920687963</v>
      </c>
      <c r="B8006" s="5" t="s">
        <v>34</v>
      </c>
      <c r="D8006" s="5" t="s">
        <v>1206</v>
      </c>
      <c r="E8006" s="5" t="s">
        <v>50462</v>
      </c>
      <c r="F8006" s="5" t="s">
        <v>37</v>
      </c>
      <c r="G8006" s="5" t="s">
        <v>50463</v>
      </c>
      <c r="H8006" s="6" t="s">
        <v>50464</v>
      </c>
      <c r="K8006" s="5" t="s">
        <v>50453</v>
      </c>
    </row>
    <row r="8007">
      <c r="A8007" s="4">
        <v>45534.3921208449</v>
      </c>
      <c r="B8007" s="5" t="s">
        <v>34</v>
      </c>
      <c r="D8007" s="5" t="s">
        <v>1456</v>
      </c>
      <c r="E8007" s="5" t="s">
        <v>50467</v>
      </c>
      <c r="F8007" s="5" t="s">
        <v>212</v>
      </c>
      <c r="G8007" s="5" t="s">
        <v>50468</v>
      </c>
      <c r="H8007" s="6" t="s">
        <v>50469</v>
      </c>
      <c r="K8007" s="5" t="s">
        <v>50470</v>
      </c>
    </row>
    <row r="8008">
      <c r="A8008" s="4">
        <v>45534.392140729164</v>
      </c>
      <c r="B8008" s="5" t="s">
        <v>34</v>
      </c>
      <c r="D8008" s="5" t="s">
        <v>1206</v>
      </c>
      <c r="E8008" s="5" t="s">
        <v>42619</v>
      </c>
      <c r="F8008" s="5" t="s">
        <v>37</v>
      </c>
      <c r="G8008" s="5" t="s">
        <v>50473</v>
      </c>
      <c r="H8008" s="6" t="s">
        <v>50474</v>
      </c>
      <c r="K8008" s="5" t="s">
        <v>50470</v>
      </c>
    </row>
    <row r="8009">
      <c r="A8009" s="4">
        <v>45534.39223715277</v>
      </c>
      <c r="B8009" s="5" t="s">
        <v>34</v>
      </c>
      <c r="D8009" s="5" t="s">
        <v>975</v>
      </c>
      <c r="E8009" s="5" t="s">
        <v>34223</v>
      </c>
      <c r="F8009" s="5" t="s">
        <v>37</v>
      </c>
      <c r="G8009" s="5" t="s">
        <v>50477</v>
      </c>
      <c r="H8009" s="6" t="s">
        <v>50478</v>
      </c>
      <c r="K8009" s="5" t="s">
        <v>50479</v>
      </c>
    </row>
    <row r="8010">
      <c r="A8010" s="4">
        <v>45534.3922378125</v>
      </c>
      <c r="B8010" s="5" t="s">
        <v>34</v>
      </c>
      <c r="D8010" s="5" t="s">
        <v>35</v>
      </c>
      <c r="E8010" s="5" t="s">
        <v>50482</v>
      </c>
      <c r="F8010" s="5" t="s">
        <v>108</v>
      </c>
      <c r="G8010" s="5" t="s">
        <v>50483</v>
      </c>
      <c r="H8010" s="6" t="s">
        <v>50484</v>
      </c>
      <c r="K8010" s="5" t="s">
        <v>50479</v>
      </c>
    </row>
    <row r="8011">
      <c r="A8011" s="4">
        <v>45534.39225409723</v>
      </c>
      <c r="B8011" s="5" t="s">
        <v>34</v>
      </c>
      <c r="D8011" s="5" t="s">
        <v>1206</v>
      </c>
      <c r="E8011" s="5" t="s">
        <v>50488</v>
      </c>
      <c r="F8011" s="5" t="s">
        <v>37</v>
      </c>
      <c r="G8011" s="5" t="s">
        <v>50489</v>
      </c>
      <c r="H8011" s="6" t="s">
        <v>50490</v>
      </c>
      <c r="K8011" s="5" t="s">
        <v>50479</v>
      </c>
    </row>
    <row r="8012">
      <c r="A8012" s="4">
        <v>45534.39227231481</v>
      </c>
      <c r="B8012" s="5" t="s">
        <v>34</v>
      </c>
      <c r="D8012" s="5" t="s">
        <v>1206</v>
      </c>
      <c r="E8012" s="5" t="s">
        <v>50493</v>
      </c>
      <c r="F8012" s="5" t="s">
        <v>72</v>
      </c>
      <c r="G8012" s="5" t="s">
        <v>50494</v>
      </c>
      <c r="H8012" s="6" t="s">
        <v>50495</v>
      </c>
      <c r="K8012" s="5" t="s">
        <v>50496</v>
      </c>
    </row>
    <row r="8013">
      <c r="A8013" s="4">
        <v>45534.39228804398</v>
      </c>
      <c r="B8013" s="5" t="s">
        <v>34</v>
      </c>
      <c r="D8013" s="5" t="s">
        <v>1206</v>
      </c>
      <c r="E8013" s="5" t="s">
        <v>50499</v>
      </c>
      <c r="F8013" s="5" t="s">
        <v>212</v>
      </c>
      <c r="G8013" s="5" t="s">
        <v>50500</v>
      </c>
      <c r="H8013" s="6" t="s">
        <v>50501</v>
      </c>
      <c r="K8013" s="5" t="s">
        <v>50496</v>
      </c>
    </row>
    <row r="8014">
      <c r="A8014" s="4">
        <v>45534.39232637732</v>
      </c>
      <c r="B8014" s="5" t="s">
        <v>34</v>
      </c>
      <c r="D8014" s="5" t="s">
        <v>1206</v>
      </c>
      <c r="E8014" s="5" t="s">
        <v>50504</v>
      </c>
      <c r="F8014" s="5" t="s">
        <v>212</v>
      </c>
      <c r="G8014" s="5" t="s">
        <v>50505</v>
      </c>
      <c r="H8014" s="6" t="s">
        <v>50506</v>
      </c>
      <c r="K8014" s="5" t="s">
        <v>50507</v>
      </c>
    </row>
    <row r="8015">
      <c r="A8015" s="4">
        <v>45534.39233336806</v>
      </c>
      <c r="B8015" s="5" t="s">
        <v>34</v>
      </c>
      <c r="D8015" s="5" t="s">
        <v>3849</v>
      </c>
      <c r="E8015" s="5" t="s">
        <v>50510</v>
      </c>
      <c r="F8015" s="5" t="s">
        <v>524</v>
      </c>
      <c r="G8015" s="5" t="s">
        <v>50511</v>
      </c>
      <c r="H8015" s="6" t="s">
        <v>50512</v>
      </c>
      <c r="K8015" s="5" t="s">
        <v>50507</v>
      </c>
    </row>
    <row r="8016">
      <c r="A8016" s="4">
        <v>45534.392380115736</v>
      </c>
      <c r="B8016" s="5" t="s">
        <v>34</v>
      </c>
      <c r="D8016" s="5" t="s">
        <v>10297</v>
      </c>
      <c r="E8016" s="5" t="s">
        <v>50516</v>
      </c>
      <c r="F8016" s="5" t="s">
        <v>212</v>
      </c>
      <c r="G8016" s="5" t="s">
        <v>50517</v>
      </c>
      <c r="H8016" s="6" t="s">
        <v>50518</v>
      </c>
      <c r="K8016" s="5" t="s">
        <v>50519</v>
      </c>
    </row>
    <row r="8017">
      <c r="A8017" s="4">
        <v>45534.39238900463</v>
      </c>
      <c r="B8017" s="5" t="s">
        <v>34</v>
      </c>
      <c r="D8017" s="5" t="s">
        <v>9394</v>
      </c>
      <c r="E8017" s="5" t="s">
        <v>50523</v>
      </c>
      <c r="F8017" s="5" t="s">
        <v>524</v>
      </c>
      <c r="G8017" s="5" t="s">
        <v>50524</v>
      </c>
      <c r="H8017" s="6" t="s">
        <v>50525</v>
      </c>
      <c r="K8017" s="5" t="s">
        <v>50519</v>
      </c>
    </row>
    <row r="8018">
      <c r="A8018" s="4">
        <v>45534.39245290509</v>
      </c>
      <c r="B8018" s="5" t="s">
        <v>34</v>
      </c>
      <c r="D8018" s="5" t="s">
        <v>4775</v>
      </c>
      <c r="E8018" s="5" t="s">
        <v>50529</v>
      </c>
      <c r="F8018" s="5" t="s">
        <v>37</v>
      </c>
      <c r="G8018" s="5" t="s">
        <v>50530</v>
      </c>
      <c r="H8018" s="6" t="s">
        <v>50531</v>
      </c>
      <c r="K8018" s="5" t="s">
        <v>50532</v>
      </c>
    </row>
    <row r="8019">
      <c r="A8019" s="4">
        <v>45534.39245991898</v>
      </c>
      <c r="B8019" s="5" t="s">
        <v>19</v>
      </c>
      <c r="C8019" s="5" t="s">
        <v>11593</v>
      </c>
      <c r="E8019" s="5" t="s">
        <v>50535</v>
      </c>
      <c r="F8019" s="5" t="s">
        <v>72</v>
      </c>
      <c r="G8019" s="5" t="s">
        <v>50536</v>
      </c>
      <c r="H8019" s="6" t="s">
        <v>50537</v>
      </c>
      <c r="K8019" s="5" t="s">
        <v>50532</v>
      </c>
    </row>
    <row r="8020">
      <c r="A8020" s="4">
        <v>45534.39247604167</v>
      </c>
      <c r="B8020" s="5" t="s">
        <v>34</v>
      </c>
      <c r="D8020" s="5" t="s">
        <v>1456</v>
      </c>
      <c r="E8020" s="5" t="s">
        <v>50540</v>
      </c>
      <c r="F8020" s="5" t="s">
        <v>328</v>
      </c>
      <c r="G8020" s="5" t="s">
        <v>50541</v>
      </c>
      <c r="H8020" s="6" t="s">
        <v>50542</v>
      </c>
      <c r="K8020" s="5" t="s">
        <v>50532</v>
      </c>
    </row>
    <row r="8021">
      <c r="A8021" s="4">
        <v>45534.39249454861</v>
      </c>
      <c r="B8021" s="5" t="s">
        <v>19</v>
      </c>
      <c r="C8021" s="5" t="s">
        <v>45988</v>
      </c>
      <c r="E8021" s="5" t="s">
        <v>50545</v>
      </c>
      <c r="F8021" s="5" t="s">
        <v>375</v>
      </c>
      <c r="G8021" s="5" t="s">
        <v>50546</v>
      </c>
      <c r="H8021" s="6" t="s">
        <v>50547</v>
      </c>
      <c r="K8021" s="5" t="s">
        <v>50532</v>
      </c>
    </row>
    <row r="8022">
      <c r="A8022" s="4">
        <v>45534.392507094904</v>
      </c>
      <c r="B8022" s="5" t="s">
        <v>19</v>
      </c>
      <c r="C8022" s="5" t="s">
        <v>40230</v>
      </c>
      <c r="E8022" s="5" t="s">
        <v>50550</v>
      </c>
      <c r="F8022" s="5" t="s">
        <v>120</v>
      </c>
      <c r="G8022" s="5" t="s">
        <v>50551</v>
      </c>
      <c r="H8022" s="6" t="s">
        <v>50552</v>
      </c>
      <c r="K8022" s="5" t="s">
        <v>50532</v>
      </c>
    </row>
    <row r="8023">
      <c r="A8023" s="4">
        <v>45534.392534872684</v>
      </c>
      <c r="B8023" s="5" t="s">
        <v>34</v>
      </c>
      <c r="D8023" s="5" t="s">
        <v>280</v>
      </c>
      <c r="E8023" s="5" t="s">
        <v>50555</v>
      </c>
      <c r="F8023" s="5" t="s">
        <v>524</v>
      </c>
      <c r="G8023" s="5" t="s">
        <v>50556</v>
      </c>
      <c r="H8023" s="6" t="s">
        <v>50557</v>
      </c>
      <c r="K8023" s="5" t="s">
        <v>50558</v>
      </c>
    </row>
    <row r="8024">
      <c r="A8024" s="4">
        <v>45534.39255096065</v>
      </c>
      <c r="B8024" s="5" t="s">
        <v>34</v>
      </c>
      <c r="D8024" s="5" t="s">
        <v>9394</v>
      </c>
      <c r="E8024" s="5" t="s">
        <v>50561</v>
      </c>
      <c r="F8024" s="5" t="s">
        <v>72</v>
      </c>
      <c r="G8024" s="5" t="s">
        <v>50562</v>
      </c>
      <c r="H8024" s="6" t="s">
        <v>50563</v>
      </c>
      <c r="K8024" s="5" t="s">
        <v>50558</v>
      </c>
    </row>
    <row r="8025">
      <c r="A8025" s="4">
        <v>45534.39255443287</v>
      </c>
      <c r="B8025" s="5" t="s">
        <v>34</v>
      </c>
      <c r="D8025" s="5" t="s">
        <v>1558</v>
      </c>
      <c r="E8025" s="5" t="s">
        <v>50567</v>
      </c>
      <c r="F8025" s="5" t="s">
        <v>37</v>
      </c>
      <c r="G8025" s="5" t="s">
        <v>50568</v>
      </c>
      <c r="H8025" s="6" t="s">
        <v>50569</v>
      </c>
      <c r="K8025" s="5" t="s">
        <v>50558</v>
      </c>
    </row>
    <row r="8026">
      <c r="A8026" s="4">
        <v>45534.39258694444</v>
      </c>
      <c r="B8026" s="5" t="s">
        <v>34</v>
      </c>
      <c r="D8026" s="5" t="s">
        <v>6232</v>
      </c>
      <c r="E8026" s="5" t="s">
        <v>50572</v>
      </c>
      <c r="F8026" s="5" t="s">
        <v>524</v>
      </c>
      <c r="G8026" s="5" t="s">
        <v>50573</v>
      </c>
      <c r="H8026" s="6" t="s">
        <v>50574</v>
      </c>
      <c r="K8026" s="5" t="s">
        <v>50575</v>
      </c>
    </row>
    <row r="8027">
      <c r="A8027" s="4">
        <v>45534.39259344907</v>
      </c>
      <c r="B8027" s="5" t="s">
        <v>34</v>
      </c>
      <c r="D8027" s="5" t="s">
        <v>9394</v>
      </c>
      <c r="E8027" s="5" t="s">
        <v>50578</v>
      </c>
      <c r="F8027" s="5" t="s">
        <v>715</v>
      </c>
      <c r="G8027" s="5" t="s">
        <v>50579</v>
      </c>
      <c r="H8027" s="6" t="s">
        <v>50580</v>
      </c>
      <c r="K8027" s="5" t="s">
        <v>50575</v>
      </c>
    </row>
    <row r="8028">
      <c r="A8028" s="4">
        <v>45534.39260061343</v>
      </c>
      <c r="B8028" s="5" t="s">
        <v>34</v>
      </c>
      <c r="D8028" s="5" t="s">
        <v>1206</v>
      </c>
      <c r="E8028" s="5" t="s">
        <v>50583</v>
      </c>
      <c r="F8028" s="5" t="s">
        <v>328</v>
      </c>
      <c r="G8028" s="5" t="s">
        <v>50584</v>
      </c>
      <c r="H8028" s="6" t="s">
        <v>50585</v>
      </c>
      <c r="K8028" s="5" t="s">
        <v>50575</v>
      </c>
    </row>
    <row r="8029">
      <c r="A8029" s="4">
        <v>45534.39260291666</v>
      </c>
      <c r="B8029" s="5" t="s">
        <v>34</v>
      </c>
      <c r="D8029" s="5" t="s">
        <v>9020</v>
      </c>
      <c r="E8029" s="5" t="s">
        <v>50588</v>
      </c>
      <c r="F8029" s="5" t="s">
        <v>212</v>
      </c>
      <c r="G8029" s="5" t="s">
        <v>50589</v>
      </c>
      <c r="H8029" s="6" t="s">
        <v>50590</v>
      </c>
      <c r="K8029" s="5" t="s">
        <v>50575</v>
      </c>
    </row>
    <row r="8030">
      <c r="A8030" s="4">
        <v>45534.39261069444</v>
      </c>
      <c r="B8030" s="5" t="s">
        <v>34</v>
      </c>
      <c r="D8030" s="5" t="s">
        <v>1206</v>
      </c>
      <c r="E8030" s="5" t="s">
        <v>50593</v>
      </c>
      <c r="F8030" s="5" t="s">
        <v>108</v>
      </c>
      <c r="G8030" s="5" t="s">
        <v>50594</v>
      </c>
      <c r="H8030" s="6" t="s">
        <v>50595</v>
      </c>
      <c r="K8030" s="5" t="s">
        <v>50575</v>
      </c>
    </row>
    <row r="8031">
      <c r="A8031" s="4">
        <v>45534.392656365744</v>
      </c>
      <c r="B8031" s="5" t="s">
        <v>34</v>
      </c>
      <c r="D8031" s="5" t="s">
        <v>9020</v>
      </c>
      <c r="E8031" s="5" t="s">
        <v>50598</v>
      </c>
      <c r="F8031" s="5" t="s">
        <v>212</v>
      </c>
      <c r="G8031" s="5" t="s">
        <v>50599</v>
      </c>
      <c r="H8031" s="6" t="s">
        <v>50600</v>
      </c>
      <c r="K8031" s="5" t="s">
        <v>50575</v>
      </c>
    </row>
    <row r="8032">
      <c r="A8032" s="4">
        <v>45534.392693368056</v>
      </c>
      <c r="B8032" s="5" t="s">
        <v>34</v>
      </c>
      <c r="D8032" s="5" t="s">
        <v>4775</v>
      </c>
      <c r="E8032" s="5" t="s">
        <v>50603</v>
      </c>
      <c r="F8032" s="5" t="s">
        <v>212</v>
      </c>
      <c r="G8032" s="5" t="s">
        <v>50604</v>
      </c>
      <c r="H8032" s="6" t="s">
        <v>50605</v>
      </c>
      <c r="K8032" s="5" t="s">
        <v>50575</v>
      </c>
    </row>
    <row r="8033">
      <c r="A8033" s="4">
        <v>45534.39278915509</v>
      </c>
      <c r="B8033" s="5" t="s">
        <v>34</v>
      </c>
      <c r="D8033" s="5" t="s">
        <v>9020</v>
      </c>
      <c r="E8033" s="5" t="s">
        <v>14620</v>
      </c>
      <c r="F8033" s="5" t="s">
        <v>72</v>
      </c>
      <c r="G8033" s="5" t="s">
        <v>50608</v>
      </c>
      <c r="H8033" s="6" t="s">
        <v>50609</v>
      </c>
      <c r="K8033" s="5" t="s">
        <v>50610</v>
      </c>
    </row>
    <row r="8034">
      <c r="A8034" s="4">
        <v>45534.39279442129</v>
      </c>
      <c r="B8034" s="5" t="s">
        <v>19</v>
      </c>
      <c r="C8034" s="5" t="s">
        <v>5058</v>
      </c>
      <c r="E8034" s="5" t="s">
        <v>50613</v>
      </c>
      <c r="F8034" s="5" t="s">
        <v>212</v>
      </c>
      <c r="G8034" s="5" t="s">
        <v>50614</v>
      </c>
      <c r="H8034" s="6" t="s">
        <v>50615</v>
      </c>
      <c r="K8034" s="5" t="s">
        <v>50610</v>
      </c>
    </row>
    <row r="8035">
      <c r="A8035" s="4">
        <v>45534.39282028935</v>
      </c>
      <c r="B8035" s="5" t="s">
        <v>34</v>
      </c>
      <c r="D8035" s="5" t="s">
        <v>4775</v>
      </c>
      <c r="E8035" s="5" t="s">
        <v>50618</v>
      </c>
      <c r="F8035" s="5" t="s">
        <v>37</v>
      </c>
      <c r="G8035" s="5" t="s">
        <v>50619</v>
      </c>
      <c r="H8035" s="6" t="s">
        <v>50620</v>
      </c>
      <c r="K8035" s="5" t="s">
        <v>50610</v>
      </c>
    </row>
    <row r="8036">
      <c r="A8036" s="4">
        <v>45534.39284447917</v>
      </c>
      <c r="B8036" s="5" t="s">
        <v>34</v>
      </c>
      <c r="D8036" s="5" t="s">
        <v>3432</v>
      </c>
      <c r="E8036" s="5" t="s">
        <v>50623</v>
      </c>
      <c r="F8036" s="5" t="s">
        <v>212</v>
      </c>
      <c r="G8036" s="5" t="s">
        <v>50624</v>
      </c>
      <c r="H8036" s="6" t="s">
        <v>50625</v>
      </c>
      <c r="K8036" s="5" t="s">
        <v>50626</v>
      </c>
    </row>
    <row r="8037">
      <c r="A8037" s="4">
        <v>45534.39287776621</v>
      </c>
      <c r="B8037" s="5" t="s">
        <v>34</v>
      </c>
      <c r="D8037" s="5" t="s">
        <v>10444</v>
      </c>
      <c r="E8037" s="5" t="s">
        <v>50629</v>
      </c>
      <c r="F8037" s="5" t="s">
        <v>715</v>
      </c>
      <c r="G8037" s="5" t="s">
        <v>50630</v>
      </c>
      <c r="H8037" s="6" t="s">
        <v>50631</v>
      </c>
      <c r="K8037" s="5" t="s">
        <v>50632</v>
      </c>
    </row>
    <row r="8038">
      <c r="A8038" s="4">
        <v>45534.39288372685</v>
      </c>
      <c r="B8038" s="5" t="s">
        <v>34</v>
      </c>
      <c r="D8038" s="5" t="s">
        <v>1768</v>
      </c>
      <c r="E8038" s="5" t="s">
        <v>50635</v>
      </c>
      <c r="F8038" s="5" t="s">
        <v>37</v>
      </c>
      <c r="G8038" s="5" t="s">
        <v>50636</v>
      </c>
      <c r="H8038" s="6" t="s">
        <v>50637</v>
      </c>
      <c r="K8038" s="5" t="s">
        <v>50632</v>
      </c>
    </row>
    <row r="8039">
      <c r="A8039" s="4">
        <v>45534.39292189815</v>
      </c>
      <c r="B8039" s="5" t="s">
        <v>34</v>
      </c>
      <c r="D8039" s="5" t="s">
        <v>701</v>
      </c>
      <c r="E8039" s="5" t="s">
        <v>50640</v>
      </c>
      <c r="F8039" s="5" t="s">
        <v>108</v>
      </c>
      <c r="G8039" s="5" t="s">
        <v>50641</v>
      </c>
      <c r="H8039" s="6" t="s">
        <v>50642</v>
      </c>
      <c r="K8039" s="5" t="s">
        <v>50643</v>
      </c>
    </row>
    <row r="8040">
      <c r="A8040" s="4">
        <v>45534.392925011576</v>
      </c>
      <c r="B8040" s="5" t="s">
        <v>19</v>
      </c>
      <c r="C8040" s="5" t="s">
        <v>5058</v>
      </c>
      <c r="E8040" s="5" t="s">
        <v>50646</v>
      </c>
      <c r="F8040" s="5" t="s">
        <v>120</v>
      </c>
      <c r="G8040" s="5" t="s">
        <v>50647</v>
      </c>
      <c r="H8040" s="6" t="s">
        <v>50648</v>
      </c>
      <c r="K8040" s="5" t="s">
        <v>50643</v>
      </c>
    </row>
    <row r="8041">
      <c r="A8041" s="4">
        <v>45534.392937048615</v>
      </c>
      <c r="B8041" s="5" t="s">
        <v>34</v>
      </c>
      <c r="D8041" s="5" t="s">
        <v>15401</v>
      </c>
      <c r="E8041" s="5" t="s">
        <v>50651</v>
      </c>
      <c r="F8041" s="5" t="s">
        <v>212</v>
      </c>
      <c r="G8041" s="5" t="s">
        <v>50652</v>
      </c>
      <c r="H8041" s="6" t="s">
        <v>50653</v>
      </c>
      <c r="K8041" s="5" t="s">
        <v>50643</v>
      </c>
    </row>
    <row r="8042">
      <c r="A8042" s="4">
        <v>45534.392940983795</v>
      </c>
      <c r="B8042" s="5" t="s">
        <v>34</v>
      </c>
      <c r="D8042" s="5" t="s">
        <v>4775</v>
      </c>
      <c r="E8042" s="5" t="s">
        <v>50656</v>
      </c>
      <c r="F8042" s="5" t="s">
        <v>524</v>
      </c>
      <c r="G8042" s="5" t="s">
        <v>50657</v>
      </c>
      <c r="H8042" s="6" t="s">
        <v>50658</v>
      </c>
      <c r="K8042" s="5" t="s">
        <v>50643</v>
      </c>
    </row>
    <row r="8043">
      <c r="A8043" s="4">
        <v>45534.392941620375</v>
      </c>
      <c r="B8043" s="5" t="s">
        <v>34</v>
      </c>
      <c r="D8043" s="5" t="s">
        <v>4775</v>
      </c>
      <c r="E8043" s="5" t="s">
        <v>50661</v>
      </c>
      <c r="F8043" s="5" t="s">
        <v>328</v>
      </c>
      <c r="G8043" s="5" t="s">
        <v>50662</v>
      </c>
      <c r="H8043" s="6" t="s">
        <v>50663</v>
      </c>
      <c r="K8043" s="5" t="s">
        <v>50643</v>
      </c>
    </row>
    <row r="8044">
      <c r="A8044" s="4">
        <v>45534.39296188657</v>
      </c>
      <c r="B8044" s="5" t="s">
        <v>34</v>
      </c>
      <c r="D8044" s="5" t="s">
        <v>9020</v>
      </c>
      <c r="E8044" s="5" t="s">
        <v>50666</v>
      </c>
      <c r="F8044" s="5" t="s">
        <v>37</v>
      </c>
      <c r="G8044" s="5" t="s">
        <v>50667</v>
      </c>
      <c r="H8044" s="6" t="s">
        <v>50668</v>
      </c>
      <c r="K8044" s="5" t="s">
        <v>50643</v>
      </c>
    </row>
    <row r="8045">
      <c r="A8045" s="4">
        <v>45534.3929640625</v>
      </c>
      <c r="B8045" s="5" t="s">
        <v>34</v>
      </c>
      <c r="D8045" s="5" t="s">
        <v>9394</v>
      </c>
      <c r="E8045" s="5" t="s">
        <v>50671</v>
      </c>
      <c r="F8045" s="5" t="s">
        <v>212</v>
      </c>
      <c r="G8045" s="5" t="s">
        <v>50672</v>
      </c>
      <c r="H8045" s="6" t="s">
        <v>50673</v>
      </c>
      <c r="K8045" s="5" t="s">
        <v>50643</v>
      </c>
    </row>
    <row r="8046">
      <c r="A8046" s="4">
        <v>45534.39298480324</v>
      </c>
      <c r="B8046" s="5" t="s">
        <v>34</v>
      </c>
      <c r="D8046" s="5" t="s">
        <v>701</v>
      </c>
      <c r="E8046" s="5" t="s">
        <v>50676</v>
      </c>
      <c r="F8046" s="5" t="s">
        <v>72</v>
      </c>
      <c r="G8046" s="5" t="s">
        <v>50677</v>
      </c>
      <c r="H8046" s="6" t="s">
        <v>50678</v>
      </c>
      <c r="K8046" s="5" t="s">
        <v>50679</v>
      </c>
    </row>
    <row r="8047">
      <c r="A8047" s="4">
        <v>45534.39307049768</v>
      </c>
      <c r="B8047" s="5" t="s">
        <v>34</v>
      </c>
      <c r="D8047" s="5" t="s">
        <v>35</v>
      </c>
      <c r="E8047" s="5" t="s">
        <v>50682</v>
      </c>
      <c r="F8047" s="5" t="s">
        <v>199</v>
      </c>
      <c r="G8047" s="5" t="s">
        <v>50683</v>
      </c>
      <c r="H8047" s="6" t="s">
        <v>50684</v>
      </c>
      <c r="K8047" s="5" t="s">
        <v>50679</v>
      </c>
    </row>
    <row r="8048">
      <c r="A8048" s="4">
        <v>45534.39307881944</v>
      </c>
      <c r="B8048" s="5" t="s">
        <v>34</v>
      </c>
      <c r="D8048" s="5" t="s">
        <v>15401</v>
      </c>
      <c r="E8048" s="5" t="s">
        <v>50687</v>
      </c>
      <c r="F8048" s="5" t="s">
        <v>72</v>
      </c>
      <c r="G8048" s="5" t="s">
        <v>50688</v>
      </c>
      <c r="H8048" s="6" t="s">
        <v>50689</v>
      </c>
      <c r="K8048" s="5" t="s">
        <v>50690</v>
      </c>
    </row>
    <row r="8049">
      <c r="A8049" s="4">
        <v>45534.39309657407</v>
      </c>
      <c r="B8049" s="5" t="s">
        <v>34</v>
      </c>
      <c r="D8049" s="5" t="s">
        <v>2903</v>
      </c>
      <c r="E8049" s="5" t="s">
        <v>33270</v>
      </c>
      <c r="F8049" s="5" t="s">
        <v>212</v>
      </c>
      <c r="G8049" s="5" t="s">
        <v>50693</v>
      </c>
      <c r="H8049" s="6" t="s">
        <v>50694</v>
      </c>
      <c r="K8049" s="5" t="s">
        <v>50690</v>
      </c>
    </row>
    <row r="8050">
      <c r="A8050" s="4">
        <v>45534.393103043985</v>
      </c>
      <c r="B8050" s="5" t="s">
        <v>19</v>
      </c>
      <c r="C8050" s="5" t="s">
        <v>292</v>
      </c>
      <c r="E8050" s="5" t="s">
        <v>50697</v>
      </c>
      <c r="F8050" s="5" t="s">
        <v>212</v>
      </c>
      <c r="G8050" s="5" t="s">
        <v>50698</v>
      </c>
      <c r="H8050" s="6" t="s">
        <v>50699</v>
      </c>
      <c r="K8050" s="5" t="s">
        <v>50690</v>
      </c>
    </row>
    <row r="8051">
      <c r="A8051" s="4">
        <v>45534.39311159722</v>
      </c>
      <c r="B8051" s="5" t="s">
        <v>34</v>
      </c>
      <c r="D8051" s="5" t="s">
        <v>996</v>
      </c>
      <c r="E8051" s="5" t="s">
        <v>17514</v>
      </c>
      <c r="F8051" s="5" t="s">
        <v>108</v>
      </c>
      <c r="G8051" s="5" t="s">
        <v>50702</v>
      </c>
      <c r="H8051" s="6" t="s">
        <v>50703</v>
      </c>
      <c r="K8051" s="5" t="s">
        <v>50704</v>
      </c>
    </row>
    <row r="8052">
      <c r="A8052" s="4">
        <v>45534.39313078704</v>
      </c>
      <c r="B8052" s="5" t="s">
        <v>34</v>
      </c>
      <c r="D8052" s="5" t="s">
        <v>15401</v>
      </c>
      <c r="E8052" s="5" t="s">
        <v>50707</v>
      </c>
      <c r="F8052" s="5" t="s">
        <v>37</v>
      </c>
      <c r="G8052" s="5" t="s">
        <v>50708</v>
      </c>
      <c r="H8052" s="6" t="s">
        <v>50709</v>
      </c>
      <c r="K8052" s="5" t="s">
        <v>50704</v>
      </c>
    </row>
    <row r="8053">
      <c r="A8053" s="4">
        <v>45534.39317930555</v>
      </c>
      <c r="B8053" s="5" t="s">
        <v>34</v>
      </c>
      <c r="D8053" s="5" t="s">
        <v>10444</v>
      </c>
      <c r="E8053" s="5" t="s">
        <v>50712</v>
      </c>
      <c r="F8053" s="5" t="s">
        <v>524</v>
      </c>
      <c r="G8053" s="5" t="s">
        <v>50713</v>
      </c>
      <c r="H8053" s="6" t="s">
        <v>50714</v>
      </c>
      <c r="K8053" s="5" t="s">
        <v>50715</v>
      </c>
    </row>
    <row r="8054">
      <c r="A8054" s="4">
        <v>45534.3932315162</v>
      </c>
      <c r="B8054" s="5" t="s">
        <v>34</v>
      </c>
      <c r="D8054" s="5" t="s">
        <v>1456</v>
      </c>
      <c r="E8054" s="5" t="s">
        <v>42113</v>
      </c>
      <c r="F8054" s="5" t="s">
        <v>212</v>
      </c>
      <c r="G8054" s="5" t="s">
        <v>50718</v>
      </c>
      <c r="H8054" s="6" t="s">
        <v>50719</v>
      </c>
      <c r="K8054" s="5" t="s">
        <v>50720</v>
      </c>
    </row>
    <row r="8055">
      <c r="A8055" s="4">
        <v>45534.39326700231</v>
      </c>
      <c r="B8055" s="5" t="s">
        <v>34</v>
      </c>
      <c r="D8055" s="5" t="s">
        <v>1206</v>
      </c>
      <c r="E8055" s="5" t="s">
        <v>50723</v>
      </c>
      <c r="F8055" s="5" t="s">
        <v>212</v>
      </c>
      <c r="G8055" s="5" t="s">
        <v>50724</v>
      </c>
      <c r="H8055" s="6" t="s">
        <v>50725</v>
      </c>
      <c r="K8055" s="5" t="s">
        <v>50726</v>
      </c>
    </row>
    <row r="8056">
      <c r="A8056" s="4">
        <v>45534.39328758101</v>
      </c>
      <c r="B8056" s="5" t="s">
        <v>34</v>
      </c>
      <c r="D8056" s="5" t="s">
        <v>1456</v>
      </c>
      <c r="E8056" s="5" t="s">
        <v>50729</v>
      </c>
      <c r="F8056" s="5" t="s">
        <v>524</v>
      </c>
      <c r="G8056" s="5" t="s">
        <v>50730</v>
      </c>
      <c r="H8056" s="6" t="s">
        <v>50731</v>
      </c>
      <c r="K8056" s="5" t="s">
        <v>50732</v>
      </c>
    </row>
    <row r="8057">
      <c r="A8057" s="4">
        <v>45534.39329490741</v>
      </c>
      <c r="B8057" s="5" t="s">
        <v>19</v>
      </c>
      <c r="C8057" s="5" t="s">
        <v>30588</v>
      </c>
      <c r="E8057" s="5" t="s">
        <v>50735</v>
      </c>
      <c r="F8057" s="5" t="s">
        <v>108</v>
      </c>
      <c r="G8057" s="5" t="s">
        <v>50736</v>
      </c>
      <c r="H8057" s="6" t="s">
        <v>50737</v>
      </c>
      <c r="K8057" s="5" t="s">
        <v>50732</v>
      </c>
    </row>
    <row r="8058">
      <c r="A8058" s="4">
        <v>45534.39330564815</v>
      </c>
      <c r="B8058" s="5" t="s">
        <v>34</v>
      </c>
      <c r="D8058" s="5" t="s">
        <v>12978</v>
      </c>
      <c r="E8058" s="5" t="s">
        <v>50741</v>
      </c>
      <c r="F8058" s="5" t="s">
        <v>37</v>
      </c>
      <c r="G8058" s="5" t="s">
        <v>50742</v>
      </c>
      <c r="H8058" s="6" t="s">
        <v>50743</v>
      </c>
      <c r="K8058" s="5" t="s">
        <v>50744</v>
      </c>
    </row>
    <row r="8059">
      <c r="A8059" s="4">
        <v>45534.39332915509</v>
      </c>
      <c r="B8059" s="5" t="s">
        <v>34</v>
      </c>
      <c r="D8059" s="5" t="s">
        <v>1456</v>
      </c>
      <c r="E8059" s="5" t="s">
        <v>50747</v>
      </c>
      <c r="F8059" s="5" t="s">
        <v>212</v>
      </c>
      <c r="G8059" s="5" t="s">
        <v>50748</v>
      </c>
      <c r="H8059" s="6" t="s">
        <v>50749</v>
      </c>
      <c r="K8059" s="5" t="s">
        <v>50744</v>
      </c>
    </row>
    <row r="8060">
      <c r="A8060" s="4">
        <v>45534.393374340274</v>
      </c>
      <c r="B8060" s="5" t="s">
        <v>34</v>
      </c>
      <c r="D8060" s="5" t="s">
        <v>35</v>
      </c>
      <c r="E8060" s="5" t="s">
        <v>50752</v>
      </c>
      <c r="F8060" s="5" t="s">
        <v>524</v>
      </c>
      <c r="G8060" s="5" t="s">
        <v>50753</v>
      </c>
      <c r="H8060" s="6" t="s">
        <v>50754</v>
      </c>
      <c r="K8060" s="5" t="s">
        <v>50755</v>
      </c>
    </row>
    <row r="8061">
      <c r="A8061" s="4">
        <v>45534.39345855324</v>
      </c>
      <c r="B8061" s="5" t="s">
        <v>34</v>
      </c>
      <c r="D8061" s="5" t="s">
        <v>4775</v>
      </c>
      <c r="E8061" s="5" t="s">
        <v>24142</v>
      </c>
      <c r="F8061" s="5" t="s">
        <v>375</v>
      </c>
      <c r="G8061" s="5" t="s">
        <v>50758</v>
      </c>
      <c r="H8061" s="6" t="s">
        <v>50759</v>
      </c>
      <c r="K8061" s="5" t="s">
        <v>50760</v>
      </c>
    </row>
    <row r="8062">
      <c r="A8062" s="4">
        <v>45534.39346141204</v>
      </c>
      <c r="B8062" s="5" t="s">
        <v>19</v>
      </c>
      <c r="C8062" s="5" t="s">
        <v>83</v>
      </c>
      <c r="E8062" s="5" t="s">
        <v>50764</v>
      </c>
      <c r="F8062" s="5" t="s">
        <v>72</v>
      </c>
      <c r="G8062" s="5" t="s">
        <v>50765</v>
      </c>
      <c r="H8062" s="6" t="s">
        <v>50766</v>
      </c>
      <c r="K8062" s="5" t="s">
        <v>50760</v>
      </c>
    </row>
    <row r="8063">
      <c r="A8063" s="4">
        <v>45534.393499004625</v>
      </c>
      <c r="B8063" s="5" t="s">
        <v>34</v>
      </c>
      <c r="D8063" s="5" t="s">
        <v>4775</v>
      </c>
      <c r="E8063" s="5" t="s">
        <v>50769</v>
      </c>
      <c r="F8063" s="5" t="s">
        <v>524</v>
      </c>
      <c r="G8063" s="5" t="s">
        <v>50770</v>
      </c>
      <c r="H8063" s="6" t="s">
        <v>50771</v>
      </c>
      <c r="K8063" s="5" t="s">
        <v>50772</v>
      </c>
    </row>
    <row r="8064">
      <c r="A8064" s="4">
        <v>45534.39352835648</v>
      </c>
      <c r="B8064" s="5" t="s">
        <v>34</v>
      </c>
      <c r="D8064" s="5" t="s">
        <v>1558</v>
      </c>
      <c r="E8064" s="5" t="s">
        <v>50775</v>
      </c>
      <c r="F8064" s="5" t="s">
        <v>37</v>
      </c>
      <c r="G8064" s="5" t="s">
        <v>50776</v>
      </c>
      <c r="H8064" s="6" t="s">
        <v>50777</v>
      </c>
      <c r="K8064" s="5" t="s">
        <v>50778</v>
      </c>
    </row>
    <row r="8065">
      <c r="A8065" s="4">
        <v>45534.39352857639</v>
      </c>
      <c r="B8065" s="5" t="s">
        <v>34</v>
      </c>
      <c r="D8065" s="5" t="s">
        <v>7858</v>
      </c>
      <c r="E8065" s="5" t="s">
        <v>50781</v>
      </c>
      <c r="F8065" s="5" t="s">
        <v>108</v>
      </c>
      <c r="G8065" s="5" t="s">
        <v>50782</v>
      </c>
      <c r="H8065" s="6" t="s">
        <v>50783</v>
      </c>
      <c r="K8065" s="5" t="s">
        <v>50778</v>
      </c>
    </row>
    <row r="8066">
      <c r="A8066" s="4">
        <v>45534.39358019676</v>
      </c>
      <c r="B8066" s="5" t="s">
        <v>34</v>
      </c>
      <c r="D8066" s="5" t="s">
        <v>9020</v>
      </c>
      <c r="E8066" s="5" t="s">
        <v>50786</v>
      </c>
      <c r="F8066" s="5" t="s">
        <v>108</v>
      </c>
      <c r="G8066" s="5" t="s">
        <v>50787</v>
      </c>
      <c r="H8066" s="6" t="s">
        <v>50788</v>
      </c>
      <c r="K8066" s="5" t="s">
        <v>50789</v>
      </c>
    </row>
    <row r="8067">
      <c r="A8067" s="4">
        <v>45534.39358326389</v>
      </c>
      <c r="B8067" s="5" t="s">
        <v>19</v>
      </c>
      <c r="C8067" s="5" t="s">
        <v>292</v>
      </c>
      <c r="E8067" s="5" t="s">
        <v>50793</v>
      </c>
      <c r="F8067" s="5" t="s">
        <v>108</v>
      </c>
      <c r="G8067" s="5" t="s">
        <v>50794</v>
      </c>
      <c r="H8067" s="6" t="s">
        <v>50795</v>
      </c>
      <c r="K8067" s="5" t="s">
        <v>50789</v>
      </c>
    </row>
    <row r="8068">
      <c r="A8068" s="4">
        <v>45534.39362120371</v>
      </c>
      <c r="B8068" s="5" t="s">
        <v>19</v>
      </c>
      <c r="C8068" s="5" t="s">
        <v>292</v>
      </c>
      <c r="E8068" s="5" t="s">
        <v>50798</v>
      </c>
      <c r="F8068" s="5" t="s">
        <v>5859</v>
      </c>
      <c r="G8068" s="5" t="s">
        <v>50799</v>
      </c>
      <c r="H8068" s="6" t="s">
        <v>50800</v>
      </c>
      <c r="K8068" s="5" t="s">
        <v>50801</v>
      </c>
    </row>
    <row r="8069">
      <c r="A8069" s="4">
        <v>45534.39363464121</v>
      </c>
      <c r="B8069" s="5" t="s">
        <v>34</v>
      </c>
      <c r="D8069" s="5" t="s">
        <v>1558</v>
      </c>
      <c r="E8069" s="5" t="s">
        <v>50804</v>
      </c>
      <c r="F8069" s="5" t="s">
        <v>37</v>
      </c>
      <c r="G8069" s="5" t="s">
        <v>50805</v>
      </c>
      <c r="H8069" s="6" t="s">
        <v>50806</v>
      </c>
      <c r="K8069" s="5" t="s">
        <v>50807</v>
      </c>
    </row>
    <row r="8070">
      <c r="A8070" s="4">
        <v>45534.39365244213</v>
      </c>
      <c r="B8070" s="5" t="s">
        <v>34</v>
      </c>
      <c r="D8070" s="5" t="s">
        <v>1206</v>
      </c>
      <c r="E8070" s="5" t="s">
        <v>50811</v>
      </c>
      <c r="F8070" s="5" t="s">
        <v>212</v>
      </c>
      <c r="G8070" s="5" t="s">
        <v>50812</v>
      </c>
      <c r="H8070" s="6" t="s">
        <v>50813</v>
      </c>
      <c r="K8070" s="5" t="s">
        <v>50814</v>
      </c>
    </row>
    <row r="8071">
      <c r="A8071" s="4">
        <v>45534.393695879626</v>
      </c>
      <c r="B8071" s="5" t="s">
        <v>34</v>
      </c>
      <c r="D8071" s="5" t="s">
        <v>580</v>
      </c>
      <c r="E8071" s="5" t="s">
        <v>50817</v>
      </c>
      <c r="F8071" s="5" t="s">
        <v>715</v>
      </c>
      <c r="G8071" s="5" t="s">
        <v>50818</v>
      </c>
      <c r="H8071" s="6" t="s">
        <v>50819</v>
      </c>
      <c r="K8071" s="5" t="s">
        <v>50820</v>
      </c>
    </row>
    <row r="8072">
      <c r="A8072" s="4">
        <v>45534.39371640046</v>
      </c>
      <c r="B8072" s="5" t="s">
        <v>34</v>
      </c>
      <c r="D8072" s="5" t="s">
        <v>1558</v>
      </c>
      <c r="E8072" s="5" t="s">
        <v>50823</v>
      </c>
      <c r="F8072" s="5" t="s">
        <v>37</v>
      </c>
      <c r="G8072" s="5" t="s">
        <v>50824</v>
      </c>
      <c r="H8072" s="6" t="s">
        <v>50825</v>
      </c>
      <c r="K8072" s="5" t="s">
        <v>50820</v>
      </c>
    </row>
    <row r="8073">
      <c r="A8073" s="4">
        <v>45534.39371790509</v>
      </c>
      <c r="B8073" s="5" t="s">
        <v>34</v>
      </c>
      <c r="D8073" s="5" t="s">
        <v>1558</v>
      </c>
      <c r="E8073" s="5" t="s">
        <v>33349</v>
      </c>
      <c r="F8073" s="5" t="s">
        <v>199</v>
      </c>
      <c r="G8073" s="5" t="s">
        <v>50828</v>
      </c>
      <c r="H8073" s="6" t="s">
        <v>50829</v>
      </c>
      <c r="K8073" s="5" t="s">
        <v>50820</v>
      </c>
    </row>
    <row r="8074">
      <c r="A8074" s="4">
        <v>45534.3937668287</v>
      </c>
      <c r="B8074" s="5" t="s">
        <v>34</v>
      </c>
      <c r="D8074" s="5" t="s">
        <v>35</v>
      </c>
      <c r="E8074" s="5" t="s">
        <v>50833</v>
      </c>
      <c r="F8074" s="5" t="s">
        <v>37</v>
      </c>
      <c r="G8074" s="5" t="s">
        <v>50834</v>
      </c>
      <c r="H8074" s="6" t="s">
        <v>50835</v>
      </c>
      <c r="K8074" s="5" t="s">
        <v>50836</v>
      </c>
    </row>
    <row r="8075">
      <c r="A8075" s="4">
        <v>45534.39380518519</v>
      </c>
      <c r="B8075" s="5" t="s">
        <v>34</v>
      </c>
      <c r="D8075" s="5" t="s">
        <v>1206</v>
      </c>
      <c r="E8075" s="5" t="s">
        <v>50840</v>
      </c>
      <c r="F8075" s="5" t="s">
        <v>37</v>
      </c>
      <c r="G8075" s="5" t="s">
        <v>50841</v>
      </c>
      <c r="H8075" s="6" t="s">
        <v>50842</v>
      </c>
      <c r="K8075" s="5" t="s">
        <v>50836</v>
      </c>
    </row>
    <row r="8076">
      <c r="A8076" s="4">
        <v>45534.39383108796</v>
      </c>
      <c r="B8076" s="5" t="s">
        <v>34</v>
      </c>
      <c r="D8076" s="5" t="s">
        <v>9020</v>
      </c>
      <c r="E8076" s="5" t="s">
        <v>50845</v>
      </c>
      <c r="F8076" s="5" t="s">
        <v>72</v>
      </c>
      <c r="G8076" s="5" t="s">
        <v>50846</v>
      </c>
      <c r="H8076" s="6" t="s">
        <v>50847</v>
      </c>
      <c r="K8076" s="5" t="s">
        <v>50848</v>
      </c>
    </row>
    <row r="8077">
      <c r="A8077" s="4">
        <v>45534.39392962963</v>
      </c>
      <c r="B8077" s="5" t="s">
        <v>34</v>
      </c>
      <c r="D8077" s="5" t="s">
        <v>1456</v>
      </c>
      <c r="E8077" s="5" t="s">
        <v>50851</v>
      </c>
      <c r="F8077" s="5" t="s">
        <v>212</v>
      </c>
      <c r="G8077" s="5" t="s">
        <v>50852</v>
      </c>
      <c r="H8077" s="6" t="s">
        <v>50853</v>
      </c>
      <c r="K8077" s="5" t="s">
        <v>50854</v>
      </c>
    </row>
    <row r="8078">
      <c r="A8078" s="4">
        <v>45534.39393310185</v>
      </c>
      <c r="B8078" s="5" t="s">
        <v>34</v>
      </c>
      <c r="D8078" s="5" t="s">
        <v>701</v>
      </c>
      <c r="E8078" s="5" t="s">
        <v>20560</v>
      </c>
      <c r="F8078" s="5" t="s">
        <v>72</v>
      </c>
      <c r="G8078" s="5" t="s">
        <v>50858</v>
      </c>
      <c r="H8078" s="6" t="s">
        <v>50859</v>
      </c>
      <c r="K8078" s="5" t="s">
        <v>50854</v>
      </c>
    </row>
    <row r="8079">
      <c r="A8079" s="4">
        <v>45534.393988587966</v>
      </c>
      <c r="B8079" s="5" t="s">
        <v>34</v>
      </c>
      <c r="D8079" s="5" t="s">
        <v>14313</v>
      </c>
      <c r="E8079" s="5" t="s">
        <v>50862</v>
      </c>
      <c r="F8079" s="5" t="s">
        <v>524</v>
      </c>
      <c r="G8079" s="5" t="s">
        <v>50863</v>
      </c>
      <c r="H8079" s="6" t="s">
        <v>50864</v>
      </c>
      <c r="K8079" s="5" t="s">
        <v>50865</v>
      </c>
    </row>
    <row r="8080">
      <c r="A8080" s="4">
        <v>45534.39404122686</v>
      </c>
      <c r="B8080" s="5" t="s">
        <v>34</v>
      </c>
      <c r="D8080" s="5" t="s">
        <v>4775</v>
      </c>
      <c r="E8080" s="5" t="s">
        <v>50868</v>
      </c>
      <c r="F8080" s="5" t="s">
        <v>212</v>
      </c>
      <c r="G8080" s="5" t="s">
        <v>50869</v>
      </c>
      <c r="H8080" s="6" t="s">
        <v>50870</v>
      </c>
      <c r="K8080" s="5" t="s">
        <v>50871</v>
      </c>
    </row>
    <row r="8081">
      <c r="A8081" s="4">
        <v>45534.3940558912</v>
      </c>
      <c r="B8081" s="5" t="s">
        <v>34</v>
      </c>
      <c r="D8081" s="5" t="s">
        <v>9020</v>
      </c>
      <c r="E8081" s="5" t="s">
        <v>50874</v>
      </c>
      <c r="F8081" s="5" t="s">
        <v>212</v>
      </c>
      <c r="G8081" s="5" t="s">
        <v>50875</v>
      </c>
      <c r="H8081" s="6" t="s">
        <v>50876</v>
      </c>
      <c r="K8081" s="5" t="s">
        <v>50877</v>
      </c>
    </row>
    <row r="8082">
      <c r="A8082" s="4">
        <v>45534.39408429398</v>
      </c>
      <c r="B8082" s="5" t="s">
        <v>19</v>
      </c>
      <c r="C8082" s="5" t="s">
        <v>40230</v>
      </c>
      <c r="E8082" s="5" t="s">
        <v>50880</v>
      </c>
      <c r="F8082" s="5" t="s">
        <v>72</v>
      </c>
      <c r="G8082" s="5" t="s">
        <v>50881</v>
      </c>
      <c r="H8082" s="6" t="s">
        <v>50882</v>
      </c>
      <c r="K8082" s="5" t="s">
        <v>50877</v>
      </c>
    </row>
    <row r="8083">
      <c r="A8083" s="4">
        <v>45534.39411291666</v>
      </c>
      <c r="B8083" s="5" t="s">
        <v>34</v>
      </c>
      <c r="D8083" s="5" t="s">
        <v>1206</v>
      </c>
      <c r="E8083" s="5" t="s">
        <v>50886</v>
      </c>
      <c r="F8083" s="5" t="s">
        <v>72</v>
      </c>
      <c r="G8083" s="5" t="s">
        <v>50887</v>
      </c>
      <c r="H8083" s="6" t="s">
        <v>50888</v>
      </c>
      <c r="K8083" s="5" t="s">
        <v>50889</v>
      </c>
    </row>
    <row r="8084">
      <c r="A8084" s="4">
        <v>45534.39413351852</v>
      </c>
      <c r="B8084" s="5" t="s">
        <v>34</v>
      </c>
      <c r="D8084" s="5" t="s">
        <v>701</v>
      </c>
      <c r="E8084" s="5" t="s">
        <v>50892</v>
      </c>
      <c r="F8084" s="5" t="s">
        <v>375</v>
      </c>
      <c r="G8084" s="5" t="s">
        <v>50893</v>
      </c>
      <c r="H8084" s="6" t="s">
        <v>50894</v>
      </c>
      <c r="K8084" s="5" t="s">
        <v>50895</v>
      </c>
    </row>
    <row r="8085">
      <c r="A8085" s="4">
        <v>45534.39419883102</v>
      </c>
      <c r="B8085" s="5" t="s">
        <v>34</v>
      </c>
      <c r="D8085" s="5" t="s">
        <v>12978</v>
      </c>
      <c r="E8085" s="5" t="s">
        <v>50898</v>
      </c>
      <c r="F8085" s="5" t="s">
        <v>375</v>
      </c>
      <c r="G8085" s="5" t="s">
        <v>50899</v>
      </c>
      <c r="H8085" s="6" t="s">
        <v>50900</v>
      </c>
      <c r="K8085" s="5" t="s">
        <v>50901</v>
      </c>
    </row>
    <row r="8086">
      <c r="A8086" s="4">
        <v>45534.39422290509</v>
      </c>
      <c r="B8086" s="5" t="s">
        <v>34</v>
      </c>
      <c r="D8086" s="5" t="s">
        <v>9020</v>
      </c>
      <c r="E8086" s="5" t="s">
        <v>50904</v>
      </c>
      <c r="F8086" s="5" t="s">
        <v>72</v>
      </c>
      <c r="G8086" s="5" t="s">
        <v>50905</v>
      </c>
      <c r="H8086" s="6" t="s">
        <v>50906</v>
      </c>
      <c r="K8086" s="5" t="s">
        <v>50907</v>
      </c>
    </row>
    <row r="8087">
      <c r="A8087" s="4">
        <v>45534.394229537036</v>
      </c>
      <c r="B8087" s="5" t="s">
        <v>34</v>
      </c>
      <c r="D8087" s="5" t="s">
        <v>14313</v>
      </c>
      <c r="E8087" s="5" t="s">
        <v>50910</v>
      </c>
      <c r="F8087" s="5" t="s">
        <v>212</v>
      </c>
      <c r="G8087" s="5" t="s">
        <v>50911</v>
      </c>
      <c r="H8087" s="6" t="s">
        <v>50912</v>
      </c>
      <c r="K8087" s="5" t="s">
        <v>50907</v>
      </c>
    </row>
    <row r="8088">
      <c r="A8088" s="4">
        <v>45534.394375</v>
      </c>
      <c r="B8088" s="5" t="s">
        <v>34</v>
      </c>
      <c r="D8088" s="5" t="s">
        <v>267</v>
      </c>
      <c r="E8088" s="5" t="s">
        <v>50916</v>
      </c>
      <c r="F8088" s="5" t="s">
        <v>108</v>
      </c>
      <c r="G8088" s="5" t="s">
        <v>50917</v>
      </c>
      <c r="H8088" s="6" t="s">
        <v>50918</v>
      </c>
      <c r="K8088" s="5" t="s">
        <v>50919</v>
      </c>
    </row>
    <row r="8089">
      <c r="A8089" s="4">
        <v>45534.39447310186</v>
      </c>
      <c r="B8089" s="5" t="s">
        <v>34</v>
      </c>
      <c r="D8089" s="5" t="s">
        <v>1558</v>
      </c>
      <c r="E8089" s="5" t="s">
        <v>50922</v>
      </c>
      <c r="F8089" s="5" t="s">
        <v>37</v>
      </c>
      <c r="G8089" s="5" t="s">
        <v>50923</v>
      </c>
      <c r="H8089" s="6" t="s">
        <v>50924</v>
      </c>
      <c r="K8089" s="5" t="s">
        <v>50925</v>
      </c>
    </row>
    <row r="8090">
      <c r="A8090" s="4">
        <v>45534.39448858796</v>
      </c>
      <c r="B8090" s="5" t="s">
        <v>34</v>
      </c>
      <c r="D8090" s="5" t="s">
        <v>580</v>
      </c>
      <c r="E8090" s="5" t="s">
        <v>50928</v>
      </c>
      <c r="F8090" s="5" t="s">
        <v>37</v>
      </c>
      <c r="G8090" s="5" t="s">
        <v>50929</v>
      </c>
      <c r="H8090" s="6" t="s">
        <v>50930</v>
      </c>
      <c r="K8090" s="5" t="s">
        <v>50925</v>
      </c>
    </row>
    <row r="8091">
      <c r="A8091" s="4">
        <v>45534.39450333333</v>
      </c>
      <c r="B8091" s="5" t="s">
        <v>19</v>
      </c>
      <c r="C8091" s="5" t="s">
        <v>5058</v>
      </c>
      <c r="E8091" s="5" t="s">
        <v>50933</v>
      </c>
      <c r="F8091" s="5" t="s">
        <v>37</v>
      </c>
      <c r="G8091" s="5" t="s">
        <v>50934</v>
      </c>
      <c r="H8091" s="6" t="s">
        <v>50935</v>
      </c>
      <c r="K8091" s="5" t="s">
        <v>50925</v>
      </c>
    </row>
    <row r="8092">
      <c r="A8092" s="4">
        <v>45534.39456407407</v>
      </c>
      <c r="B8092" s="5" t="s">
        <v>34</v>
      </c>
      <c r="D8092" s="5" t="s">
        <v>9020</v>
      </c>
      <c r="E8092" s="5" t="s">
        <v>50938</v>
      </c>
      <c r="F8092" s="5" t="s">
        <v>212</v>
      </c>
      <c r="G8092" s="5" t="s">
        <v>50939</v>
      </c>
      <c r="H8092" s="6" t="s">
        <v>50940</v>
      </c>
      <c r="K8092" s="5" t="s">
        <v>50941</v>
      </c>
    </row>
    <row r="8093">
      <c r="A8093" s="4">
        <v>45534.39460664352</v>
      </c>
      <c r="B8093" s="5" t="s">
        <v>34</v>
      </c>
      <c r="D8093" s="5" t="s">
        <v>9020</v>
      </c>
      <c r="E8093" s="5" t="s">
        <v>27862</v>
      </c>
      <c r="F8093" s="5" t="s">
        <v>37</v>
      </c>
      <c r="G8093" s="5" t="s">
        <v>50945</v>
      </c>
      <c r="H8093" s="6" t="s">
        <v>50946</v>
      </c>
      <c r="K8093" s="5" t="s">
        <v>50947</v>
      </c>
    </row>
    <row r="8094">
      <c r="A8094" s="4">
        <v>45534.39462236111</v>
      </c>
      <c r="B8094" s="5" t="s">
        <v>34</v>
      </c>
      <c r="D8094" s="5" t="s">
        <v>9020</v>
      </c>
      <c r="E8094" s="5" t="s">
        <v>50950</v>
      </c>
      <c r="F8094" s="5" t="s">
        <v>375</v>
      </c>
      <c r="G8094" s="5" t="s">
        <v>50951</v>
      </c>
      <c r="H8094" s="6" t="s">
        <v>50952</v>
      </c>
      <c r="K8094" s="5" t="s">
        <v>50947</v>
      </c>
    </row>
    <row r="8095">
      <c r="A8095" s="4">
        <v>45534.39463185185</v>
      </c>
      <c r="B8095" s="5" t="s">
        <v>34</v>
      </c>
      <c r="D8095" s="5" t="s">
        <v>35</v>
      </c>
      <c r="E8095" s="5" t="s">
        <v>50955</v>
      </c>
      <c r="F8095" s="5" t="s">
        <v>37</v>
      </c>
      <c r="G8095" s="5" t="s">
        <v>50956</v>
      </c>
      <c r="H8095" s="6" t="s">
        <v>50957</v>
      </c>
      <c r="K8095" s="5" t="s">
        <v>50958</v>
      </c>
    </row>
    <row r="8096">
      <c r="A8096" s="4">
        <v>45534.39463440972</v>
      </c>
      <c r="B8096" s="5" t="s">
        <v>34</v>
      </c>
      <c r="D8096" s="5" t="s">
        <v>7858</v>
      </c>
      <c r="E8096" s="5" t="s">
        <v>50961</v>
      </c>
      <c r="F8096" s="5" t="s">
        <v>524</v>
      </c>
      <c r="G8096" s="5" t="s">
        <v>50962</v>
      </c>
      <c r="H8096" s="6" t="s">
        <v>50963</v>
      </c>
      <c r="K8096" s="5" t="s">
        <v>50958</v>
      </c>
    </row>
    <row r="8097">
      <c r="A8097" s="4">
        <v>45534.39465458333</v>
      </c>
      <c r="B8097" s="5" t="s">
        <v>34</v>
      </c>
      <c r="D8097" s="5" t="s">
        <v>9020</v>
      </c>
      <c r="E8097" s="5" t="s">
        <v>50966</v>
      </c>
      <c r="F8097" s="5" t="s">
        <v>375</v>
      </c>
      <c r="G8097" s="5" t="s">
        <v>50967</v>
      </c>
      <c r="H8097" s="6" t="s">
        <v>50968</v>
      </c>
      <c r="K8097" s="5" t="s">
        <v>50958</v>
      </c>
    </row>
    <row r="8098">
      <c r="A8098" s="4">
        <v>45534.394655185184</v>
      </c>
      <c r="B8098" s="5" t="s">
        <v>34</v>
      </c>
      <c r="D8098" s="5" t="s">
        <v>4775</v>
      </c>
      <c r="E8098" s="5" t="s">
        <v>50972</v>
      </c>
      <c r="F8098" s="5" t="s">
        <v>108</v>
      </c>
      <c r="G8098" s="5" t="s">
        <v>50973</v>
      </c>
      <c r="H8098" s="6" t="s">
        <v>50974</v>
      </c>
      <c r="K8098" s="5" t="s">
        <v>50958</v>
      </c>
    </row>
    <row r="8099">
      <c r="A8099" s="4">
        <v>45534.394659722224</v>
      </c>
      <c r="B8099" s="5" t="s">
        <v>34</v>
      </c>
      <c r="D8099" s="5" t="s">
        <v>10444</v>
      </c>
      <c r="E8099" s="5" t="s">
        <v>50977</v>
      </c>
      <c r="F8099" s="5" t="s">
        <v>108</v>
      </c>
      <c r="G8099" s="5" t="s">
        <v>50978</v>
      </c>
      <c r="H8099" s="6" t="s">
        <v>50979</v>
      </c>
      <c r="K8099" s="5" t="s">
        <v>50958</v>
      </c>
    </row>
    <row r="8100">
      <c r="A8100" s="4">
        <v>45534.39467079861</v>
      </c>
      <c r="B8100" s="5" t="s">
        <v>34</v>
      </c>
      <c r="D8100" s="5" t="s">
        <v>9020</v>
      </c>
      <c r="E8100" s="5" t="s">
        <v>50982</v>
      </c>
      <c r="F8100" s="5" t="s">
        <v>524</v>
      </c>
      <c r="G8100" s="5" t="s">
        <v>50983</v>
      </c>
      <c r="H8100" s="6" t="s">
        <v>50984</v>
      </c>
      <c r="K8100" s="5" t="s">
        <v>50958</v>
      </c>
    </row>
    <row r="8101">
      <c r="A8101" s="4">
        <v>45534.39469105324</v>
      </c>
      <c r="B8101" s="5" t="s">
        <v>19</v>
      </c>
      <c r="C8101" s="5" t="s">
        <v>292</v>
      </c>
      <c r="E8101" s="5" t="s">
        <v>50988</v>
      </c>
      <c r="F8101" s="5" t="s">
        <v>212</v>
      </c>
      <c r="G8101" s="5" t="s">
        <v>50989</v>
      </c>
      <c r="H8101" s="6" t="s">
        <v>50990</v>
      </c>
      <c r="K8101" s="5" t="s">
        <v>50991</v>
      </c>
    </row>
    <row r="8102">
      <c r="A8102" s="4">
        <v>45534.39470039352</v>
      </c>
      <c r="B8102" s="5" t="s">
        <v>19</v>
      </c>
      <c r="C8102" s="5" t="s">
        <v>20</v>
      </c>
      <c r="E8102" s="5" t="s">
        <v>50994</v>
      </c>
      <c r="F8102" s="5" t="s">
        <v>120</v>
      </c>
      <c r="G8102" s="5" t="s">
        <v>50995</v>
      </c>
      <c r="H8102" s="6" t="s">
        <v>50996</v>
      </c>
      <c r="K8102" s="5" t="s">
        <v>50991</v>
      </c>
    </row>
    <row r="8103">
      <c r="A8103" s="4">
        <v>45534.39472981481</v>
      </c>
      <c r="B8103" s="5" t="s">
        <v>34</v>
      </c>
      <c r="D8103" s="5" t="s">
        <v>1206</v>
      </c>
      <c r="E8103" s="5" t="s">
        <v>50999</v>
      </c>
      <c r="F8103" s="5" t="s">
        <v>37</v>
      </c>
      <c r="G8103" s="5" t="s">
        <v>51000</v>
      </c>
      <c r="H8103" s="6" t="s">
        <v>51001</v>
      </c>
      <c r="K8103" s="5" t="s">
        <v>51002</v>
      </c>
    </row>
    <row r="8104">
      <c r="A8104" s="4">
        <v>45534.3947500463</v>
      </c>
      <c r="B8104" s="5" t="s">
        <v>19</v>
      </c>
      <c r="C8104" s="5" t="s">
        <v>38343</v>
      </c>
      <c r="E8104" s="5" t="s">
        <v>51005</v>
      </c>
      <c r="F8104" s="5" t="s">
        <v>120</v>
      </c>
      <c r="G8104" s="5" t="s">
        <v>51006</v>
      </c>
      <c r="H8104" s="6" t="s">
        <v>51007</v>
      </c>
      <c r="K8104" s="5" t="s">
        <v>51008</v>
      </c>
    </row>
    <row r="8105">
      <c r="A8105" s="4">
        <v>45534.39476282407</v>
      </c>
      <c r="B8105" s="5" t="s">
        <v>34</v>
      </c>
      <c r="D8105" s="5" t="s">
        <v>1206</v>
      </c>
      <c r="E8105" s="5" t="s">
        <v>51012</v>
      </c>
      <c r="F8105" s="5" t="s">
        <v>51013</v>
      </c>
      <c r="G8105" s="5" t="s">
        <v>51014</v>
      </c>
      <c r="H8105" s="6" t="s">
        <v>51015</v>
      </c>
      <c r="K8105" s="5" t="s">
        <v>51008</v>
      </c>
    </row>
    <row r="8106">
      <c r="A8106" s="4">
        <v>45534.39477122686</v>
      </c>
      <c r="B8106" s="5" t="s">
        <v>34</v>
      </c>
      <c r="D8106" s="5" t="s">
        <v>1206</v>
      </c>
      <c r="E8106" s="5" t="s">
        <v>51018</v>
      </c>
      <c r="F8106" s="5" t="s">
        <v>37</v>
      </c>
      <c r="G8106" s="5" t="s">
        <v>51019</v>
      </c>
      <c r="H8106" s="6" t="s">
        <v>51020</v>
      </c>
      <c r="K8106" s="5" t="s">
        <v>51008</v>
      </c>
    </row>
    <row r="8107">
      <c r="A8107" s="4">
        <v>45534.394831446756</v>
      </c>
      <c r="B8107" s="5" t="s">
        <v>34</v>
      </c>
      <c r="D8107" s="5" t="s">
        <v>1206</v>
      </c>
      <c r="E8107" s="5" t="s">
        <v>51023</v>
      </c>
      <c r="F8107" s="5" t="s">
        <v>72</v>
      </c>
      <c r="G8107" s="5" t="s">
        <v>51024</v>
      </c>
      <c r="H8107" s="6" t="s">
        <v>51025</v>
      </c>
      <c r="K8107" s="5" t="s">
        <v>51026</v>
      </c>
    </row>
    <row r="8108">
      <c r="A8108" s="4">
        <v>45534.39483164352</v>
      </c>
      <c r="B8108" s="5" t="s">
        <v>19</v>
      </c>
      <c r="C8108" s="5" t="s">
        <v>292</v>
      </c>
      <c r="E8108" s="5" t="s">
        <v>51030</v>
      </c>
      <c r="F8108" s="5" t="s">
        <v>199</v>
      </c>
      <c r="G8108" s="5" t="s">
        <v>51031</v>
      </c>
      <c r="H8108" s="6" t="s">
        <v>51032</v>
      </c>
      <c r="K8108" s="5" t="s">
        <v>51026</v>
      </c>
    </row>
    <row r="8109">
      <c r="A8109" s="4">
        <v>45534.394872627316</v>
      </c>
      <c r="B8109" s="5" t="s">
        <v>19</v>
      </c>
      <c r="C8109" s="5" t="s">
        <v>292</v>
      </c>
      <c r="E8109" s="5" t="s">
        <v>14432</v>
      </c>
      <c r="F8109" s="5" t="s">
        <v>37</v>
      </c>
      <c r="G8109" s="5" t="s">
        <v>51035</v>
      </c>
      <c r="H8109" s="6" t="s">
        <v>51036</v>
      </c>
      <c r="K8109" s="5" t="s">
        <v>51026</v>
      </c>
    </row>
    <row r="8110">
      <c r="A8110" s="4">
        <v>45534.394954166666</v>
      </c>
      <c r="B8110" s="5" t="s">
        <v>19</v>
      </c>
      <c r="C8110" s="5" t="s">
        <v>315</v>
      </c>
      <c r="E8110" s="5" t="s">
        <v>51039</v>
      </c>
      <c r="F8110" s="5" t="s">
        <v>72</v>
      </c>
      <c r="G8110" s="5" t="s">
        <v>51040</v>
      </c>
      <c r="H8110" s="6" t="s">
        <v>51041</v>
      </c>
      <c r="K8110" s="5" t="s">
        <v>51042</v>
      </c>
    </row>
    <row r="8111">
      <c r="A8111" s="4">
        <v>45534.39500780092</v>
      </c>
      <c r="B8111" s="5" t="s">
        <v>34</v>
      </c>
      <c r="D8111" s="5" t="s">
        <v>1558</v>
      </c>
      <c r="E8111" s="5" t="s">
        <v>26203</v>
      </c>
      <c r="F8111" s="5" t="s">
        <v>212</v>
      </c>
      <c r="G8111" s="5" t="s">
        <v>51045</v>
      </c>
      <c r="H8111" s="6" t="s">
        <v>51046</v>
      </c>
      <c r="K8111" s="5" t="s">
        <v>51047</v>
      </c>
    </row>
    <row r="8112">
      <c r="A8112" s="4">
        <v>45534.395016828705</v>
      </c>
      <c r="B8112" s="5" t="s">
        <v>34</v>
      </c>
      <c r="D8112" s="5" t="s">
        <v>14313</v>
      </c>
      <c r="E8112" s="5" t="s">
        <v>51050</v>
      </c>
      <c r="F8112" s="5" t="s">
        <v>120</v>
      </c>
      <c r="G8112" s="5" t="s">
        <v>51051</v>
      </c>
      <c r="H8112" s="6" t="s">
        <v>51052</v>
      </c>
      <c r="K8112" s="5" t="s">
        <v>51053</v>
      </c>
    </row>
    <row r="8113">
      <c r="A8113" s="4">
        <v>45534.39505719907</v>
      </c>
      <c r="B8113" s="5" t="s">
        <v>19</v>
      </c>
      <c r="C8113" s="5" t="s">
        <v>292</v>
      </c>
      <c r="E8113" s="5" t="s">
        <v>51057</v>
      </c>
      <c r="F8113" s="5" t="s">
        <v>120</v>
      </c>
      <c r="G8113" s="5" t="s">
        <v>51058</v>
      </c>
      <c r="H8113" s="6" t="s">
        <v>51059</v>
      </c>
      <c r="K8113" s="5" t="s">
        <v>51060</v>
      </c>
    </row>
    <row r="8114">
      <c r="A8114" s="4">
        <v>45534.39506116898</v>
      </c>
      <c r="B8114" s="5" t="s">
        <v>34</v>
      </c>
      <c r="D8114" s="5" t="s">
        <v>35</v>
      </c>
      <c r="E8114" s="5" t="s">
        <v>51063</v>
      </c>
      <c r="F8114" s="5" t="s">
        <v>212</v>
      </c>
      <c r="G8114" s="5" t="s">
        <v>51064</v>
      </c>
      <c r="H8114" s="6" t="s">
        <v>51065</v>
      </c>
      <c r="K8114" s="5" t="s">
        <v>51060</v>
      </c>
    </row>
    <row r="8115">
      <c r="A8115" s="4">
        <v>45534.39508393519</v>
      </c>
      <c r="B8115" s="5" t="s">
        <v>34</v>
      </c>
      <c r="D8115" s="5" t="s">
        <v>4775</v>
      </c>
      <c r="E8115" s="5" t="s">
        <v>51068</v>
      </c>
      <c r="F8115" s="5" t="s">
        <v>37</v>
      </c>
      <c r="G8115" s="5" t="s">
        <v>51069</v>
      </c>
      <c r="H8115" s="6" t="s">
        <v>51070</v>
      </c>
      <c r="K8115" s="5" t="s">
        <v>51060</v>
      </c>
    </row>
    <row r="8116">
      <c r="A8116" s="4">
        <v>45534.395101064816</v>
      </c>
      <c r="B8116" s="5" t="s">
        <v>19</v>
      </c>
      <c r="C8116" s="5" t="s">
        <v>5564</v>
      </c>
      <c r="E8116" s="5" t="s">
        <v>51073</v>
      </c>
      <c r="F8116" s="5" t="s">
        <v>108</v>
      </c>
      <c r="G8116" s="5" t="s">
        <v>51074</v>
      </c>
      <c r="H8116" s="6" t="s">
        <v>51075</v>
      </c>
      <c r="K8116" s="5" t="s">
        <v>51076</v>
      </c>
    </row>
    <row r="8117">
      <c r="A8117" s="4">
        <v>45534.39513076389</v>
      </c>
      <c r="B8117" s="5" t="s">
        <v>34</v>
      </c>
      <c r="D8117" s="5" t="s">
        <v>522</v>
      </c>
      <c r="E8117" s="5" t="s">
        <v>51080</v>
      </c>
      <c r="F8117" s="5" t="s">
        <v>212</v>
      </c>
      <c r="G8117" s="5" t="s">
        <v>51081</v>
      </c>
      <c r="H8117" s="6" t="s">
        <v>51082</v>
      </c>
      <c r="K8117" s="5" t="s">
        <v>51083</v>
      </c>
    </row>
    <row r="8118">
      <c r="A8118" s="4">
        <v>45534.39518755787</v>
      </c>
      <c r="B8118" s="5" t="s">
        <v>34</v>
      </c>
      <c r="D8118" s="5" t="s">
        <v>4775</v>
      </c>
      <c r="E8118" s="5" t="s">
        <v>51086</v>
      </c>
      <c r="F8118" s="5" t="s">
        <v>524</v>
      </c>
      <c r="G8118" s="5" t="s">
        <v>51087</v>
      </c>
      <c r="H8118" s="6" t="s">
        <v>51088</v>
      </c>
      <c r="K8118" s="5" t="s">
        <v>51089</v>
      </c>
    </row>
    <row r="8119">
      <c r="A8119" s="4">
        <v>45534.395205451394</v>
      </c>
      <c r="B8119" s="5" t="s">
        <v>34</v>
      </c>
      <c r="D8119" s="5" t="s">
        <v>11527</v>
      </c>
      <c r="E8119" s="5" t="s">
        <v>51092</v>
      </c>
      <c r="F8119" s="5" t="s">
        <v>524</v>
      </c>
      <c r="G8119" s="5" t="s">
        <v>51093</v>
      </c>
      <c r="H8119" s="6" t="s">
        <v>51094</v>
      </c>
      <c r="K8119" s="5" t="s">
        <v>51095</v>
      </c>
    </row>
    <row r="8120">
      <c r="A8120" s="4">
        <v>45534.39524184028</v>
      </c>
      <c r="B8120" s="5" t="s">
        <v>34</v>
      </c>
      <c r="D8120" s="5" t="s">
        <v>701</v>
      </c>
      <c r="E8120" s="5" t="s">
        <v>51098</v>
      </c>
      <c r="F8120" s="5" t="s">
        <v>375</v>
      </c>
      <c r="G8120" s="5" t="s">
        <v>51099</v>
      </c>
      <c r="H8120" s="6" t="s">
        <v>51100</v>
      </c>
      <c r="K8120" s="5" t="s">
        <v>51101</v>
      </c>
    </row>
    <row r="8121">
      <c r="A8121" s="4">
        <v>45534.39529181713</v>
      </c>
      <c r="B8121" s="5" t="s">
        <v>34</v>
      </c>
      <c r="D8121" s="5" t="s">
        <v>701</v>
      </c>
      <c r="E8121" s="5" t="s">
        <v>51105</v>
      </c>
      <c r="F8121" s="5" t="s">
        <v>212</v>
      </c>
      <c r="G8121" s="5" t="s">
        <v>51106</v>
      </c>
      <c r="H8121" s="6" t="s">
        <v>51107</v>
      </c>
      <c r="K8121" s="5" t="s">
        <v>51108</v>
      </c>
    </row>
    <row r="8122">
      <c r="A8122" s="4">
        <v>45534.395346018515</v>
      </c>
      <c r="B8122" s="5" t="s">
        <v>34</v>
      </c>
      <c r="D8122" s="5" t="s">
        <v>1768</v>
      </c>
      <c r="E8122" s="5" t="s">
        <v>51111</v>
      </c>
      <c r="F8122" s="5" t="s">
        <v>212</v>
      </c>
      <c r="G8122" s="5" t="s">
        <v>51112</v>
      </c>
      <c r="H8122" s="6" t="s">
        <v>51113</v>
      </c>
      <c r="K8122" s="5" t="s">
        <v>51114</v>
      </c>
    </row>
    <row r="8123">
      <c r="A8123" s="4">
        <v>45534.395386759265</v>
      </c>
      <c r="B8123" s="5" t="s">
        <v>34</v>
      </c>
      <c r="D8123" s="5" t="s">
        <v>1206</v>
      </c>
      <c r="E8123" s="5" t="s">
        <v>20429</v>
      </c>
      <c r="F8123" s="5" t="s">
        <v>72</v>
      </c>
      <c r="G8123" s="5" t="s">
        <v>51117</v>
      </c>
      <c r="H8123" s="6" t="s">
        <v>51118</v>
      </c>
      <c r="K8123" s="5" t="s">
        <v>51119</v>
      </c>
    </row>
    <row r="8124">
      <c r="A8124" s="4">
        <v>45534.39540858797</v>
      </c>
      <c r="B8124" s="5" t="s">
        <v>34</v>
      </c>
      <c r="D8124" s="5" t="s">
        <v>4775</v>
      </c>
      <c r="E8124" s="5" t="s">
        <v>51122</v>
      </c>
      <c r="F8124" s="5" t="s">
        <v>524</v>
      </c>
      <c r="G8124" s="5" t="s">
        <v>51123</v>
      </c>
      <c r="H8124" s="6" t="s">
        <v>51124</v>
      </c>
      <c r="K8124" s="5" t="s">
        <v>51119</v>
      </c>
    </row>
    <row r="8125">
      <c r="A8125" s="4">
        <v>45534.3954168287</v>
      </c>
      <c r="B8125" s="5" t="s">
        <v>34</v>
      </c>
      <c r="D8125" s="5" t="s">
        <v>701</v>
      </c>
      <c r="E8125" s="5" t="s">
        <v>42156</v>
      </c>
      <c r="F8125" s="5" t="s">
        <v>199</v>
      </c>
      <c r="G8125" s="5" t="s">
        <v>51128</v>
      </c>
      <c r="H8125" s="6" t="s">
        <v>51129</v>
      </c>
      <c r="K8125" s="5" t="s">
        <v>51130</v>
      </c>
    </row>
    <row r="8126">
      <c r="A8126" s="4">
        <v>45534.39543476852</v>
      </c>
      <c r="B8126" s="5" t="s">
        <v>19</v>
      </c>
      <c r="C8126" s="5" t="s">
        <v>20</v>
      </c>
      <c r="E8126" s="5" t="s">
        <v>51133</v>
      </c>
      <c r="F8126" s="5" t="s">
        <v>375</v>
      </c>
      <c r="G8126" s="5" t="s">
        <v>51134</v>
      </c>
      <c r="H8126" s="6" t="s">
        <v>51135</v>
      </c>
      <c r="K8126" s="5" t="s">
        <v>51130</v>
      </c>
    </row>
    <row r="8127">
      <c r="A8127" s="4">
        <v>45534.39544717592</v>
      </c>
      <c r="B8127" s="5" t="s">
        <v>34</v>
      </c>
      <c r="D8127" s="5" t="s">
        <v>4775</v>
      </c>
      <c r="E8127" s="5" t="s">
        <v>51138</v>
      </c>
      <c r="F8127" s="5" t="s">
        <v>524</v>
      </c>
      <c r="G8127" s="5" t="s">
        <v>51139</v>
      </c>
      <c r="H8127" s="6" t="s">
        <v>51140</v>
      </c>
      <c r="K8127" s="5" t="s">
        <v>51141</v>
      </c>
    </row>
    <row r="8128">
      <c r="A8128" s="4">
        <v>45534.39546951389</v>
      </c>
      <c r="B8128" s="5" t="s">
        <v>19</v>
      </c>
      <c r="C8128" s="5" t="s">
        <v>20</v>
      </c>
      <c r="E8128" s="5" t="s">
        <v>51144</v>
      </c>
      <c r="F8128" s="5" t="s">
        <v>524</v>
      </c>
      <c r="G8128" s="5" t="s">
        <v>51145</v>
      </c>
      <c r="H8128" s="6" t="s">
        <v>51146</v>
      </c>
      <c r="K8128" s="5" t="s">
        <v>51141</v>
      </c>
    </row>
    <row r="8129">
      <c r="A8129" s="4">
        <v>45534.39547672454</v>
      </c>
      <c r="B8129" s="5" t="s">
        <v>34</v>
      </c>
      <c r="D8129" s="5" t="s">
        <v>12978</v>
      </c>
      <c r="E8129" s="5" t="s">
        <v>51150</v>
      </c>
      <c r="F8129" s="5" t="s">
        <v>120</v>
      </c>
      <c r="G8129" s="5" t="s">
        <v>51151</v>
      </c>
      <c r="H8129" s="6" t="s">
        <v>51152</v>
      </c>
      <c r="K8129" s="5" t="s">
        <v>51153</v>
      </c>
    </row>
    <row r="8130">
      <c r="A8130" s="4">
        <v>45534.39547935185</v>
      </c>
      <c r="B8130" s="5" t="s">
        <v>34</v>
      </c>
      <c r="D8130" s="5" t="s">
        <v>9394</v>
      </c>
      <c r="E8130" s="5" t="s">
        <v>51156</v>
      </c>
      <c r="F8130" s="5" t="s">
        <v>715</v>
      </c>
      <c r="G8130" s="5" t="s">
        <v>51157</v>
      </c>
      <c r="H8130" s="6" t="s">
        <v>51158</v>
      </c>
      <c r="K8130" s="5" t="s">
        <v>51153</v>
      </c>
    </row>
    <row r="8131">
      <c r="A8131" s="4">
        <v>45534.39549638889</v>
      </c>
      <c r="B8131" s="5" t="s">
        <v>34</v>
      </c>
      <c r="D8131" s="5" t="s">
        <v>1206</v>
      </c>
      <c r="E8131" s="5" t="s">
        <v>51161</v>
      </c>
      <c r="F8131" s="5" t="s">
        <v>524</v>
      </c>
      <c r="G8131" s="5" t="s">
        <v>51162</v>
      </c>
      <c r="H8131" s="6" t="s">
        <v>51163</v>
      </c>
      <c r="K8131" s="5" t="s">
        <v>51153</v>
      </c>
    </row>
    <row r="8132">
      <c r="A8132" s="4">
        <v>45534.395508738424</v>
      </c>
      <c r="B8132" s="5" t="s">
        <v>34</v>
      </c>
      <c r="D8132" s="5" t="s">
        <v>14313</v>
      </c>
      <c r="E8132" s="5" t="s">
        <v>51166</v>
      </c>
      <c r="F8132" s="5" t="s">
        <v>524</v>
      </c>
      <c r="G8132" s="5" t="s">
        <v>51167</v>
      </c>
      <c r="H8132" s="6" t="s">
        <v>51168</v>
      </c>
      <c r="K8132" s="5" t="s">
        <v>51153</v>
      </c>
    </row>
    <row r="8133">
      <c r="A8133" s="4">
        <v>45534.395557384254</v>
      </c>
      <c r="B8133" s="5" t="s">
        <v>34</v>
      </c>
      <c r="D8133" s="5" t="s">
        <v>1768</v>
      </c>
      <c r="E8133" s="5" t="s">
        <v>51171</v>
      </c>
      <c r="F8133" s="5" t="s">
        <v>120</v>
      </c>
      <c r="G8133" s="5" t="s">
        <v>51172</v>
      </c>
      <c r="H8133" s="6" t="s">
        <v>51173</v>
      </c>
      <c r="K8133" s="5" t="s">
        <v>51174</v>
      </c>
    </row>
    <row r="8134">
      <c r="A8134" s="4">
        <v>45534.39558099537</v>
      </c>
      <c r="B8134" s="5" t="s">
        <v>34</v>
      </c>
      <c r="D8134" s="5" t="s">
        <v>1456</v>
      </c>
      <c r="E8134" s="5" t="s">
        <v>51178</v>
      </c>
      <c r="F8134" s="5" t="s">
        <v>524</v>
      </c>
      <c r="G8134" s="5" t="s">
        <v>51179</v>
      </c>
      <c r="H8134" s="6" t="s">
        <v>51180</v>
      </c>
      <c r="K8134" s="5" t="s">
        <v>51174</v>
      </c>
    </row>
    <row r="8135">
      <c r="A8135" s="4">
        <v>45534.3955828125</v>
      </c>
      <c r="B8135" s="5" t="s">
        <v>19</v>
      </c>
      <c r="C8135" s="5" t="s">
        <v>5564</v>
      </c>
      <c r="E8135" s="5" t="s">
        <v>51183</v>
      </c>
      <c r="F8135" s="5" t="s">
        <v>524</v>
      </c>
      <c r="G8135" s="5" t="s">
        <v>51184</v>
      </c>
      <c r="H8135" s="6" t="s">
        <v>51185</v>
      </c>
      <c r="K8135" s="5" t="s">
        <v>51174</v>
      </c>
    </row>
    <row r="8136">
      <c r="A8136" s="4">
        <v>45534.39559489583</v>
      </c>
      <c r="B8136" s="5" t="s">
        <v>34</v>
      </c>
      <c r="D8136" s="5" t="s">
        <v>522</v>
      </c>
      <c r="E8136" s="5" t="s">
        <v>51188</v>
      </c>
      <c r="F8136" s="5" t="s">
        <v>328</v>
      </c>
      <c r="G8136" s="5" t="s">
        <v>51189</v>
      </c>
      <c r="H8136" s="6" t="s">
        <v>51190</v>
      </c>
      <c r="K8136" s="5" t="s">
        <v>51174</v>
      </c>
    </row>
    <row r="8137">
      <c r="A8137" s="4">
        <v>45534.395607094906</v>
      </c>
      <c r="B8137" s="5" t="s">
        <v>34</v>
      </c>
      <c r="D8137" s="5" t="s">
        <v>12978</v>
      </c>
      <c r="E8137" s="5" t="s">
        <v>51193</v>
      </c>
      <c r="F8137" s="5" t="s">
        <v>72</v>
      </c>
      <c r="G8137" s="5" t="s">
        <v>51194</v>
      </c>
      <c r="H8137" s="6" t="s">
        <v>51195</v>
      </c>
      <c r="K8137" s="5" t="s">
        <v>51174</v>
      </c>
    </row>
    <row r="8138">
      <c r="A8138" s="4">
        <v>45534.395611643515</v>
      </c>
      <c r="B8138" s="5" t="s">
        <v>34</v>
      </c>
      <c r="D8138" s="5" t="s">
        <v>9020</v>
      </c>
      <c r="E8138" s="5" t="s">
        <v>51198</v>
      </c>
      <c r="F8138" s="5" t="s">
        <v>199</v>
      </c>
      <c r="G8138" s="5" t="s">
        <v>51199</v>
      </c>
      <c r="H8138" s="6" t="s">
        <v>51200</v>
      </c>
      <c r="K8138" s="5" t="s">
        <v>51174</v>
      </c>
    </row>
    <row r="8139">
      <c r="A8139" s="4">
        <v>45534.39568273148</v>
      </c>
      <c r="B8139" s="5" t="s">
        <v>34</v>
      </c>
      <c r="D8139" s="5" t="s">
        <v>14424</v>
      </c>
      <c r="E8139" s="5" t="s">
        <v>51204</v>
      </c>
      <c r="F8139" s="5" t="s">
        <v>37</v>
      </c>
      <c r="G8139" s="5" t="s">
        <v>51205</v>
      </c>
      <c r="H8139" s="6" t="s">
        <v>51206</v>
      </c>
      <c r="K8139" s="5" t="s">
        <v>51207</v>
      </c>
    </row>
    <row r="8140">
      <c r="A8140" s="4">
        <v>45534.395689826386</v>
      </c>
      <c r="B8140" s="5" t="s">
        <v>34</v>
      </c>
      <c r="D8140" s="5" t="s">
        <v>701</v>
      </c>
      <c r="E8140" s="5" t="s">
        <v>51210</v>
      </c>
      <c r="F8140" s="5" t="s">
        <v>212</v>
      </c>
      <c r="G8140" s="5" t="s">
        <v>51211</v>
      </c>
      <c r="H8140" s="6" t="s">
        <v>51212</v>
      </c>
      <c r="K8140" s="5" t="s">
        <v>51207</v>
      </c>
    </row>
    <row r="8141">
      <c r="A8141" s="4">
        <v>45534.39570087963</v>
      </c>
      <c r="B8141" s="5" t="s">
        <v>19</v>
      </c>
      <c r="C8141" s="5" t="s">
        <v>5058</v>
      </c>
      <c r="E8141" s="5" t="s">
        <v>51215</v>
      </c>
      <c r="F8141" s="5" t="s">
        <v>37</v>
      </c>
      <c r="G8141" s="5" t="s">
        <v>51216</v>
      </c>
      <c r="H8141" s="6" t="s">
        <v>51217</v>
      </c>
      <c r="K8141" s="5" t="s">
        <v>51207</v>
      </c>
    </row>
    <row r="8142">
      <c r="A8142" s="4">
        <v>45534.395716053245</v>
      </c>
      <c r="B8142" s="5" t="s">
        <v>34</v>
      </c>
      <c r="D8142" s="5" t="s">
        <v>1206</v>
      </c>
      <c r="E8142" s="5" t="s">
        <v>51220</v>
      </c>
      <c r="F8142" s="5" t="s">
        <v>37</v>
      </c>
      <c r="G8142" s="5" t="s">
        <v>23777</v>
      </c>
      <c r="H8142" s="6" t="s">
        <v>51221</v>
      </c>
      <c r="K8142" s="5" t="s">
        <v>51207</v>
      </c>
    </row>
    <row r="8143">
      <c r="A8143" s="4">
        <v>45534.395732986115</v>
      </c>
      <c r="B8143" s="5" t="s">
        <v>34</v>
      </c>
      <c r="D8143" s="5" t="s">
        <v>267</v>
      </c>
      <c r="E8143" s="5" t="s">
        <v>51224</v>
      </c>
      <c r="F8143" s="5" t="s">
        <v>108</v>
      </c>
      <c r="G8143" s="5" t="s">
        <v>51225</v>
      </c>
      <c r="H8143" s="6" t="s">
        <v>51226</v>
      </c>
      <c r="K8143" s="5" t="s">
        <v>51207</v>
      </c>
    </row>
    <row r="8144">
      <c r="A8144" s="4">
        <v>45534.39573400463</v>
      </c>
      <c r="B8144" s="5" t="s">
        <v>34</v>
      </c>
      <c r="D8144" s="5" t="s">
        <v>701</v>
      </c>
      <c r="E8144" s="5" t="s">
        <v>51229</v>
      </c>
      <c r="F8144" s="5" t="s">
        <v>212</v>
      </c>
      <c r="G8144" s="5" t="s">
        <v>51230</v>
      </c>
      <c r="H8144" s="6" t="s">
        <v>51231</v>
      </c>
      <c r="K8144" s="5" t="s">
        <v>51207</v>
      </c>
    </row>
    <row r="8145">
      <c r="A8145" s="4">
        <v>45534.39574287037</v>
      </c>
      <c r="B8145" s="5" t="s">
        <v>34</v>
      </c>
      <c r="D8145" s="5" t="s">
        <v>9020</v>
      </c>
      <c r="E8145" s="5" t="s">
        <v>47231</v>
      </c>
      <c r="F8145" s="5" t="s">
        <v>375</v>
      </c>
      <c r="G8145" s="5" t="s">
        <v>51234</v>
      </c>
      <c r="H8145" s="6" t="s">
        <v>51235</v>
      </c>
      <c r="K8145" s="5" t="s">
        <v>51207</v>
      </c>
    </row>
    <row r="8146">
      <c r="A8146" s="4">
        <v>45534.39574952546</v>
      </c>
      <c r="B8146" s="5" t="s">
        <v>34</v>
      </c>
      <c r="D8146" s="5" t="s">
        <v>4775</v>
      </c>
      <c r="E8146" s="5" t="s">
        <v>51238</v>
      </c>
      <c r="F8146" s="5" t="s">
        <v>37</v>
      </c>
      <c r="G8146" s="5" t="s">
        <v>51239</v>
      </c>
      <c r="H8146" s="6" t="s">
        <v>51240</v>
      </c>
      <c r="K8146" s="5" t="s">
        <v>51207</v>
      </c>
    </row>
    <row r="8147">
      <c r="A8147" s="4">
        <v>45534.3957930787</v>
      </c>
      <c r="B8147" s="5" t="s">
        <v>34</v>
      </c>
      <c r="D8147" s="5" t="s">
        <v>2903</v>
      </c>
      <c r="E8147" s="5" t="s">
        <v>51243</v>
      </c>
      <c r="F8147" s="5" t="s">
        <v>375</v>
      </c>
      <c r="G8147" s="5" t="s">
        <v>51244</v>
      </c>
      <c r="H8147" s="6" t="s">
        <v>51245</v>
      </c>
      <c r="K8147" s="5" t="s">
        <v>51246</v>
      </c>
    </row>
    <row r="8148">
      <c r="A8148" s="4">
        <v>45534.39582314815</v>
      </c>
      <c r="B8148" s="5" t="s">
        <v>34</v>
      </c>
      <c r="D8148" s="5" t="s">
        <v>1206</v>
      </c>
      <c r="E8148" s="5" t="s">
        <v>51249</v>
      </c>
      <c r="F8148" s="5" t="s">
        <v>212</v>
      </c>
      <c r="G8148" s="5" t="s">
        <v>51250</v>
      </c>
      <c r="H8148" s="6" t="s">
        <v>51251</v>
      </c>
      <c r="K8148" s="5" t="s">
        <v>51246</v>
      </c>
    </row>
    <row r="8149">
      <c r="A8149" s="4">
        <v>45534.39585939815</v>
      </c>
      <c r="B8149" s="5" t="s">
        <v>34</v>
      </c>
      <c r="D8149" s="5" t="s">
        <v>6232</v>
      </c>
      <c r="E8149" s="5" t="s">
        <v>51254</v>
      </c>
      <c r="F8149" s="5" t="s">
        <v>715</v>
      </c>
      <c r="G8149" s="5" t="s">
        <v>51255</v>
      </c>
      <c r="H8149" s="6" t="s">
        <v>51256</v>
      </c>
      <c r="K8149" s="5" t="s">
        <v>51246</v>
      </c>
    </row>
    <row r="8150">
      <c r="A8150" s="4">
        <v>45534.39586019676</v>
      </c>
      <c r="B8150" s="5" t="s">
        <v>34</v>
      </c>
      <c r="D8150" s="5" t="s">
        <v>9394</v>
      </c>
      <c r="E8150" s="5" t="s">
        <v>51259</v>
      </c>
      <c r="F8150" s="5" t="s">
        <v>212</v>
      </c>
      <c r="G8150" s="5" t="s">
        <v>51260</v>
      </c>
      <c r="H8150" s="6" t="s">
        <v>51261</v>
      </c>
      <c r="K8150" s="5" t="s">
        <v>51246</v>
      </c>
    </row>
    <row r="8151">
      <c r="A8151" s="4">
        <v>45534.395861620374</v>
      </c>
      <c r="B8151" s="5" t="s">
        <v>19</v>
      </c>
      <c r="C8151" s="5" t="s">
        <v>40230</v>
      </c>
      <c r="E8151" s="5" t="s">
        <v>51264</v>
      </c>
      <c r="F8151" s="5" t="s">
        <v>72</v>
      </c>
      <c r="G8151" s="5" t="s">
        <v>49887</v>
      </c>
      <c r="H8151" s="6" t="s">
        <v>51265</v>
      </c>
      <c r="K8151" s="5" t="s">
        <v>51246</v>
      </c>
    </row>
    <row r="8152">
      <c r="A8152" s="4">
        <v>45534.39587429399</v>
      </c>
      <c r="B8152" s="5" t="s">
        <v>34</v>
      </c>
      <c r="D8152" s="5" t="s">
        <v>11527</v>
      </c>
      <c r="E8152" s="5" t="s">
        <v>51268</v>
      </c>
      <c r="F8152" s="5" t="s">
        <v>212</v>
      </c>
      <c r="G8152" s="5" t="s">
        <v>51269</v>
      </c>
      <c r="H8152" s="6" t="s">
        <v>51270</v>
      </c>
      <c r="K8152" s="5" t="s">
        <v>51246</v>
      </c>
    </row>
    <row r="8153">
      <c r="A8153" s="4">
        <v>45534.39588078704</v>
      </c>
      <c r="B8153" s="5" t="s">
        <v>34</v>
      </c>
      <c r="D8153" s="5" t="s">
        <v>580</v>
      </c>
      <c r="E8153" s="5" t="s">
        <v>51273</v>
      </c>
      <c r="F8153" s="5" t="s">
        <v>5566</v>
      </c>
      <c r="G8153" s="5" t="s">
        <v>51274</v>
      </c>
      <c r="H8153" s="6" t="s">
        <v>51275</v>
      </c>
      <c r="K8153" s="5" t="s">
        <v>51246</v>
      </c>
    </row>
    <row r="8154">
      <c r="A8154" s="4">
        <v>45534.395923310185</v>
      </c>
      <c r="B8154" s="5" t="s">
        <v>34</v>
      </c>
      <c r="D8154" s="5" t="s">
        <v>1206</v>
      </c>
      <c r="E8154" s="5" t="s">
        <v>51278</v>
      </c>
      <c r="F8154" s="5" t="s">
        <v>37</v>
      </c>
      <c r="G8154" s="5" t="s">
        <v>51279</v>
      </c>
      <c r="H8154" s="6" t="s">
        <v>51280</v>
      </c>
      <c r="K8154" s="5" t="s">
        <v>51246</v>
      </c>
    </row>
    <row r="8155">
      <c r="A8155" s="4">
        <v>45534.39593329861</v>
      </c>
      <c r="B8155" s="5" t="s">
        <v>34</v>
      </c>
      <c r="D8155" s="5" t="s">
        <v>1558</v>
      </c>
      <c r="E8155" s="5" t="s">
        <v>51283</v>
      </c>
      <c r="F8155" s="5" t="s">
        <v>108</v>
      </c>
      <c r="G8155" s="5" t="s">
        <v>51284</v>
      </c>
      <c r="H8155" s="6" t="s">
        <v>51285</v>
      </c>
      <c r="K8155" s="5" t="s">
        <v>51246</v>
      </c>
    </row>
    <row r="8156">
      <c r="A8156" s="4">
        <v>45534.39596041667</v>
      </c>
      <c r="B8156" s="5" t="s">
        <v>34</v>
      </c>
      <c r="D8156" s="5" t="s">
        <v>15401</v>
      </c>
      <c r="E8156" s="5" t="s">
        <v>20070</v>
      </c>
      <c r="F8156" s="5" t="s">
        <v>715</v>
      </c>
      <c r="G8156" s="5" t="s">
        <v>51288</v>
      </c>
      <c r="H8156" s="6" t="s">
        <v>51289</v>
      </c>
      <c r="K8156" s="5" t="s">
        <v>51290</v>
      </c>
    </row>
    <row r="8157">
      <c r="A8157" s="4">
        <v>45534.39597211806</v>
      </c>
      <c r="B8157" s="5" t="s">
        <v>34</v>
      </c>
      <c r="D8157" s="5" t="s">
        <v>1558</v>
      </c>
      <c r="E8157" s="5" t="s">
        <v>51293</v>
      </c>
      <c r="F8157" s="5" t="s">
        <v>37</v>
      </c>
      <c r="G8157" s="5" t="s">
        <v>51294</v>
      </c>
      <c r="H8157" s="6" t="s">
        <v>51295</v>
      </c>
      <c r="K8157" s="5" t="s">
        <v>51290</v>
      </c>
    </row>
    <row r="8158">
      <c r="A8158" s="4">
        <v>45534.396039328705</v>
      </c>
      <c r="B8158" s="5" t="s">
        <v>34</v>
      </c>
      <c r="D8158" s="5" t="s">
        <v>1558</v>
      </c>
      <c r="E8158" s="5" t="s">
        <v>51298</v>
      </c>
      <c r="F8158" s="5" t="s">
        <v>37</v>
      </c>
      <c r="G8158" s="5" t="s">
        <v>51299</v>
      </c>
      <c r="H8158" s="6" t="s">
        <v>51300</v>
      </c>
      <c r="K8158" s="5" t="s">
        <v>51290</v>
      </c>
    </row>
    <row r="8159">
      <c r="A8159" s="4">
        <v>45534.396074131946</v>
      </c>
      <c r="B8159" s="5" t="s">
        <v>34</v>
      </c>
      <c r="D8159" s="5" t="s">
        <v>10444</v>
      </c>
      <c r="E8159" s="5" t="s">
        <v>51303</v>
      </c>
      <c r="F8159" s="5" t="s">
        <v>108</v>
      </c>
      <c r="G8159" s="5" t="s">
        <v>51304</v>
      </c>
      <c r="H8159" s="6" t="s">
        <v>51305</v>
      </c>
      <c r="K8159" s="5" t="s">
        <v>51290</v>
      </c>
    </row>
    <row r="8160">
      <c r="A8160" s="4">
        <v>45534.396078715276</v>
      </c>
      <c r="B8160" s="5" t="s">
        <v>34</v>
      </c>
      <c r="D8160" s="5" t="s">
        <v>14313</v>
      </c>
      <c r="E8160" s="5" t="s">
        <v>51308</v>
      </c>
      <c r="F8160" s="5" t="s">
        <v>524</v>
      </c>
      <c r="G8160" s="5" t="s">
        <v>51309</v>
      </c>
      <c r="H8160" s="6" t="s">
        <v>51310</v>
      </c>
      <c r="K8160" s="5" t="s">
        <v>51290</v>
      </c>
    </row>
    <row r="8161">
      <c r="A8161" s="4">
        <v>45534.39608548611</v>
      </c>
      <c r="B8161" s="5" t="s">
        <v>34</v>
      </c>
      <c r="D8161" s="5" t="s">
        <v>12978</v>
      </c>
      <c r="E8161" s="5" t="s">
        <v>51313</v>
      </c>
      <c r="F8161" s="5" t="s">
        <v>212</v>
      </c>
      <c r="G8161" s="5" t="s">
        <v>51314</v>
      </c>
      <c r="H8161" s="6" t="s">
        <v>51315</v>
      </c>
      <c r="K8161" s="5" t="s">
        <v>51290</v>
      </c>
    </row>
    <row r="8162">
      <c r="A8162" s="4">
        <v>45534.39612608796</v>
      </c>
      <c r="B8162" s="5" t="s">
        <v>34</v>
      </c>
      <c r="D8162" s="5" t="s">
        <v>1206</v>
      </c>
      <c r="E8162" s="5" t="s">
        <v>51318</v>
      </c>
      <c r="F8162" s="5" t="s">
        <v>524</v>
      </c>
      <c r="G8162" s="5" t="s">
        <v>51319</v>
      </c>
      <c r="H8162" s="6" t="s">
        <v>51320</v>
      </c>
      <c r="K8162" s="5" t="s">
        <v>51290</v>
      </c>
    </row>
    <row r="8163">
      <c r="A8163" s="4">
        <v>45534.39612605324</v>
      </c>
      <c r="B8163" s="5" t="s">
        <v>34</v>
      </c>
      <c r="D8163" s="5" t="s">
        <v>35</v>
      </c>
      <c r="E8163" s="5" t="s">
        <v>23074</v>
      </c>
      <c r="F8163" s="5" t="s">
        <v>37</v>
      </c>
      <c r="G8163" s="5" t="s">
        <v>23075</v>
      </c>
      <c r="H8163" s="6" t="s">
        <v>51323</v>
      </c>
      <c r="K8163" s="5" t="s">
        <v>51290</v>
      </c>
    </row>
    <row r="8164">
      <c r="A8164" s="4">
        <v>45534.396136296295</v>
      </c>
      <c r="B8164" s="5" t="s">
        <v>34</v>
      </c>
      <c r="D8164" s="5" t="s">
        <v>9020</v>
      </c>
      <c r="E8164" s="5" t="s">
        <v>51326</v>
      </c>
      <c r="F8164" s="5" t="s">
        <v>524</v>
      </c>
      <c r="G8164" s="5" t="s">
        <v>51327</v>
      </c>
      <c r="H8164" s="6" t="s">
        <v>51328</v>
      </c>
      <c r="K8164" s="5" t="s">
        <v>51290</v>
      </c>
    </row>
    <row r="8165">
      <c r="A8165" s="4">
        <v>45534.39620392361</v>
      </c>
      <c r="B8165" s="5" t="s">
        <v>34</v>
      </c>
      <c r="D8165" s="5" t="s">
        <v>1558</v>
      </c>
      <c r="E8165" s="5" t="s">
        <v>51331</v>
      </c>
      <c r="F8165" s="5" t="s">
        <v>37</v>
      </c>
      <c r="G8165" s="5" t="s">
        <v>51332</v>
      </c>
      <c r="H8165" s="6" t="s">
        <v>51333</v>
      </c>
      <c r="K8165" s="5" t="s">
        <v>51334</v>
      </c>
    </row>
    <row r="8166">
      <c r="A8166" s="4">
        <v>45534.39621769676</v>
      </c>
      <c r="B8166" s="5" t="s">
        <v>34</v>
      </c>
      <c r="D8166" s="5" t="s">
        <v>4775</v>
      </c>
      <c r="E8166" s="5" t="s">
        <v>51337</v>
      </c>
      <c r="F8166" s="5" t="s">
        <v>375</v>
      </c>
      <c r="G8166" s="5" t="s">
        <v>51338</v>
      </c>
      <c r="H8166" s="6" t="s">
        <v>51339</v>
      </c>
      <c r="K8166" s="5" t="s">
        <v>51340</v>
      </c>
    </row>
    <row r="8167">
      <c r="A8167" s="4">
        <v>45534.39622351852</v>
      </c>
      <c r="B8167" s="5" t="s">
        <v>34</v>
      </c>
      <c r="D8167" s="5" t="s">
        <v>1558</v>
      </c>
      <c r="E8167" s="5" t="s">
        <v>51343</v>
      </c>
      <c r="F8167" s="5" t="s">
        <v>37</v>
      </c>
      <c r="G8167" s="5" t="s">
        <v>51344</v>
      </c>
      <c r="H8167" s="6" t="s">
        <v>51345</v>
      </c>
      <c r="K8167" s="5" t="s">
        <v>51340</v>
      </c>
    </row>
    <row r="8168">
      <c r="A8168" s="4">
        <v>45534.39623402778</v>
      </c>
      <c r="B8168" s="5" t="s">
        <v>34</v>
      </c>
      <c r="D8168" s="5" t="s">
        <v>4775</v>
      </c>
      <c r="E8168" s="5" t="s">
        <v>51348</v>
      </c>
      <c r="F8168" s="5" t="s">
        <v>375</v>
      </c>
      <c r="G8168" s="5" t="s">
        <v>51349</v>
      </c>
      <c r="H8168" s="6" t="s">
        <v>51350</v>
      </c>
      <c r="K8168" s="5" t="s">
        <v>51340</v>
      </c>
    </row>
    <row r="8169">
      <c r="A8169" s="4">
        <v>45534.396262939816</v>
      </c>
      <c r="B8169" s="5" t="s">
        <v>19</v>
      </c>
      <c r="C8169" s="5" t="s">
        <v>14000</v>
      </c>
      <c r="E8169" s="5" t="s">
        <v>51353</v>
      </c>
      <c r="F8169" s="5" t="s">
        <v>328</v>
      </c>
      <c r="G8169" s="5" t="s">
        <v>51354</v>
      </c>
      <c r="H8169" s="6" t="s">
        <v>51355</v>
      </c>
      <c r="K8169" s="5" t="s">
        <v>51340</v>
      </c>
    </row>
    <row r="8170">
      <c r="A8170" s="4">
        <v>45534.39626934028</v>
      </c>
      <c r="B8170" s="5" t="s">
        <v>34</v>
      </c>
      <c r="D8170" s="5" t="s">
        <v>15401</v>
      </c>
      <c r="E8170" s="5" t="s">
        <v>51358</v>
      </c>
      <c r="F8170" s="5" t="s">
        <v>375</v>
      </c>
      <c r="G8170" s="5" t="s">
        <v>51359</v>
      </c>
      <c r="H8170" s="6" t="s">
        <v>51360</v>
      </c>
      <c r="K8170" s="5" t="s">
        <v>51340</v>
      </c>
    </row>
    <row r="8171">
      <c r="A8171" s="4">
        <v>45534.3962784375</v>
      </c>
      <c r="B8171" s="5" t="s">
        <v>34</v>
      </c>
      <c r="D8171" s="5" t="s">
        <v>996</v>
      </c>
      <c r="E8171" s="5" t="s">
        <v>51363</v>
      </c>
      <c r="F8171" s="5" t="s">
        <v>120</v>
      </c>
      <c r="G8171" s="5" t="s">
        <v>51364</v>
      </c>
      <c r="H8171" s="6" t="s">
        <v>51365</v>
      </c>
      <c r="K8171" s="5" t="s">
        <v>51340</v>
      </c>
    </row>
    <row r="8172">
      <c r="A8172" s="4">
        <v>45534.396291550926</v>
      </c>
      <c r="B8172" s="5" t="s">
        <v>34</v>
      </c>
      <c r="D8172" s="5" t="s">
        <v>6232</v>
      </c>
      <c r="E8172" s="5" t="s">
        <v>51368</v>
      </c>
      <c r="F8172" s="5" t="s">
        <v>108</v>
      </c>
      <c r="G8172" s="5" t="s">
        <v>51369</v>
      </c>
      <c r="H8172" s="6" t="s">
        <v>51370</v>
      </c>
      <c r="K8172" s="5" t="s">
        <v>51340</v>
      </c>
    </row>
    <row r="8173">
      <c r="A8173" s="4">
        <v>45534.39632179398</v>
      </c>
      <c r="B8173" s="5" t="s">
        <v>34</v>
      </c>
      <c r="D8173" s="5" t="s">
        <v>701</v>
      </c>
      <c r="E8173" s="5" t="s">
        <v>51373</v>
      </c>
      <c r="F8173" s="5" t="s">
        <v>375</v>
      </c>
      <c r="G8173" s="5" t="s">
        <v>51374</v>
      </c>
      <c r="H8173" s="6" t="s">
        <v>51375</v>
      </c>
      <c r="K8173" s="5" t="s">
        <v>51340</v>
      </c>
    </row>
    <row r="8174">
      <c r="A8174" s="4">
        <v>45534.3963406713</v>
      </c>
      <c r="B8174" s="5" t="s">
        <v>34</v>
      </c>
      <c r="D8174" s="5" t="s">
        <v>1456</v>
      </c>
      <c r="E8174" s="5" t="s">
        <v>51378</v>
      </c>
      <c r="F8174" s="5" t="s">
        <v>37</v>
      </c>
      <c r="G8174" s="5" t="s">
        <v>51379</v>
      </c>
      <c r="H8174" s="6" t="s">
        <v>51380</v>
      </c>
      <c r="K8174" s="5" t="s">
        <v>51340</v>
      </c>
    </row>
    <row r="8175">
      <c r="A8175" s="4">
        <v>45534.39637806713</v>
      </c>
      <c r="B8175" s="5" t="s">
        <v>34</v>
      </c>
      <c r="D8175" s="5" t="s">
        <v>580</v>
      </c>
      <c r="E8175" s="5" t="s">
        <v>51383</v>
      </c>
      <c r="F8175" s="5" t="s">
        <v>212</v>
      </c>
      <c r="G8175" s="5" t="s">
        <v>51384</v>
      </c>
      <c r="H8175" s="6" t="s">
        <v>51385</v>
      </c>
      <c r="K8175" s="5" t="s">
        <v>51340</v>
      </c>
    </row>
    <row r="8176">
      <c r="A8176" s="4">
        <v>45534.396403252314</v>
      </c>
      <c r="B8176" s="5" t="s">
        <v>34</v>
      </c>
      <c r="D8176" s="5" t="s">
        <v>996</v>
      </c>
      <c r="E8176" s="5" t="s">
        <v>51388</v>
      </c>
      <c r="F8176" s="5" t="s">
        <v>212</v>
      </c>
      <c r="G8176" s="5" t="s">
        <v>51389</v>
      </c>
      <c r="H8176" s="6" t="s">
        <v>51390</v>
      </c>
      <c r="K8176" s="5" t="s">
        <v>51340</v>
      </c>
    </row>
    <row r="8177">
      <c r="A8177" s="4">
        <v>45534.39641564815</v>
      </c>
      <c r="B8177" s="5" t="s">
        <v>34</v>
      </c>
      <c r="D8177" s="5" t="s">
        <v>1456</v>
      </c>
      <c r="E8177" s="5" t="s">
        <v>17165</v>
      </c>
      <c r="F8177" s="5" t="s">
        <v>212</v>
      </c>
      <c r="G8177" s="5" t="s">
        <v>51394</v>
      </c>
      <c r="H8177" s="6" t="s">
        <v>51395</v>
      </c>
      <c r="K8177" s="5" t="s">
        <v>51340</v>
      </c>
    </row>
    <row r="8178">
      <c r="A8178" s="4">
        <v>45534.39642572917</v>
      </c>
      <c r="B8178" s="5" t="s">
        <v>34</v>
      </c>
      <c r="D8178" s="5" t="s">
        <v>1206</v>
      </c>
      <c r="E8178" s="5" t="s">
        <v>51398</v>
      </c>
      <c r="F8178" s="5" t="s">
        <v>212</v>
      </c>
      <c r="G8178" s="5" t="s">
        <v>51399</v>
      </c>
      <c r="H8178" s="6" t="s">
        <v>51400</v>
      </c>
      <c r="K8178" s="5" t="s">
        <v>51340</v>
      </c>
    </row>
    <row r="8179">
      <c r="A8179" s="4">
        <v>45534.396429768516</v>
      </c>
      <c r="B8179" s="5" t="s">
        <v>19</v>
      </c>
      <c r="C8179" s="5" t="s">
        <v>292</v>
      </c>
      <c r="E8179" s="5" t="s">
        <v>51403</v>
      </c>
      <c r="F8179" s="5" t="s">
        <v>375</v>
      </c>
      <c r="G8179" s="5" t="s">
        <v>51404</v>
      </c>
      <c r="H8179" s="6" t="s">
        <v>51405</v>
      </c>
      <c r="K8179" s="5" t="s">
        <v>51340</v>
      </c>
    </row>
    <row r="8180">
      <c r="A8180" s="4">
        <v>45534.39646773148</v>
      </c>
      <c r="B8180" s="5" t="s">
        <v>34</v>
      </c>
      <c r="D8180" s="5" t="s">
        <v>4775</v>
      </c>
      <c r="E8180" s="5" t="s">
        <v>51408</v>
      </c>
      <c r="F8180" s="5" t="s">
        <v>212</v>
      </c>
      <c r="G8180" s="5" t="s">
        <v>51409</v>
      </c>
      <c r="H8180" s="6" t="s">
        <v>51410</v>
      </c>
      <c r="K8180" s="5" t="s">
        <v>51340</v>
      </c>
    </row>
    <row r="8181">
      <c r="A8181" s="4">
        <v>45534.39647259259</v>
      </c>
      <c r="B8181" s="5" t="s">
        <v>34</v>
      </c>
      <c r="D8181" s="5" t="s">
        <v>10444</v>
      </c>
      <c r="E8181" s="5" t="s">
        <v>51413</v>
      </c>
      <c r="F8181" s="5" t="s">
        <v>375</v>
      </c>
      <c r="G8181" s="5" t="s">
        <v>51414</v>
      </c>
      <c r="H8181" s="6" t="s">
        <v>51415</v>
      </c>
      <c r="K8181" s="5" t="s">
        <v>51340</v>
      </c>
    </row>
    <row r="8182">
      <c r="A8182" s="4">
        <v>45534.39653324074</v>
      </c>
      <c r="B8182" s="5" t="s">
        <v>34</v>
      </c>
      <c r="D8182" s="5" t="s">
        <v>9394</v>
      </c>
      <c r="E8182" s="5" t="s">
        <v>51419</v>
      </c>
      <c r="F8182" s="5" t="s">
        <v>37</v>
      </c>
      <c r="G8182" s="5" t="s">
        <v>51420</v>
      </c>
      <c r="H8182" s="6" t="s">
        <v>51421</v>
      </c>
      <c r="K8182" s="5" t="s">
        <v>51422</v>
      </c>
    </row>
    <row r="8183">
      <c r="A8183" s="4">
        <v>45534.39657758102</v>
      </c>
      <c r="B8183" s="5" t="s">
        <v>34</v>
      </c>
      <c r="D8183" s="5" t="s">
        <v>1206</v>
      </c>
      <c r="E8183" s="5" t="s">
        <v>51425</v>
      </c>
      <c r="F8183" s="5" t="s">
        <v>524</v>
      </c>
      <c r="G8183" s="5" t="s">
        <v>51426</v>
      </c>
      <c r="H8183" s="6" t="s">
        <v>51427</v>
      </c>
      <c r="K8183" s="5" t="s">
        <v>51422</v>
      </c>
    </row>
    <row r="8184">
      <c r="A8184" s="4">
        <v>45534.39658868055</v>
      </c>
      <c r="B8184" s="5" t="s">
        <v>34</v>
      </c>
      <c r="D8184" s="5" t="s">
        <v>1206</v>
      </c>
      <c r="E8184" s="5" t="s">
        <v>51430</v>
      </c>
      <c r="F8184" s="5" t="s">
        <v>212</v>
      </c>
      <c r="G8184" s="5" t="s">
        <v>51431</v>
      </c>
      <c r="H8184" s="6" t="s">
        <v>51432</v>
      </c>
      <c r="K8184" s="5" t="s">
        <v>51422</v>
      </c>
    </row>
    <row r="8185">
      <c r="A8185" s="4">
        <v>45534.39660788194</v>
      </c>
      <c r="B8185" s="5" t="s">
        <v>34</v>
      </c>
      <c r="D8185" s="5" t="s">
        <v>1456</v>
      </c>
      <c r="E8185" s="5" t="s">
        <v>51435</v>
      </c>
      <c r="F8185" s="5" t="s">
        <v>120</v>
      </c>
      <c r="G8185" s="5" t="s">
        <v>51436</v>
      </c>
      <c r="H8185" s="6" t="s">
        <v>51437</v>
      </c>
      <c r="K8185" s="5" t="s">
        <v>51422</v>
      </c>
    </row>
    <row r="8186">
      <c r="A8186" s="4">
        <v>45534.39662533565</v>
      </c>
      <c r="B8186" s="5" t="s">
        <v>34</v>
      </c>
      <c r="D8186" s="5" t="s">
        <v>9020</v>
      </c>
      <c r="E8186" s="5" t="s">
        <v>51440</v>
      </c>
      <c r="F8186" s="5" t="s">
        <v>72</v>
      </c>
      <c r="G8186" s="5" t="s">
        <v>51441</v>
      </c>
      <c r="H8186" s="6" t="s">
        <v>51442</v>
      </c>
      <c r="K8186" s="5" t="s">
        <v>51422</v>
      </c>
    </row>
    <row r="8187">
      <c r="A8187" s="4">
        <v>45534.396648657406</v>
      </c>
      <c r="B8187" s="5" t="s">
        <v>19</v>
      </c>
      <c r="C8187" s="5" t="s">
        <v>83</v>
      </c>
      <c r="E8187" s="5" t="s">
        <v>51446</v>
      </c>
      <c r="F8187" s="5" t="s">
        <v>375</v>
      </c>
      <c r="G8187" s="5" t="s">
        <v>51447</v>
      </c>
      <c r="H8187" s="6" t="s">
        <v>51448</v>
      </c>
      <c r="K8187" s="5" t="s">
        <v>51422</v>
      </c>
    </row>
    <row r="8188">
      <c r="A8188" s="4">
        <v>45534.396703182865</v>
      </c>
      <c r="B8188" s="5" t="s">
        <v>34</v>
      </c>
      <c r="D8188" s="5" t="s">
        <v>1456</v>
      </c>
      <c r="E8188" s="5" t="s">
        <v>51452</v>
      </c>
      <c r="F8188" s="5" t="s">
        <v>72</v>
      </c>
      <c r="G8188" s="5" t="s">
        <v>51453</v>
      </c>
      <c r="H8188" s="6" t="s">
        <v>51454</v>
      </c>
      <c r="K8188" s="5" t="s">
        <v>51422</v>
      </c>
    </row>
    <row r="8189">
      <c r="A8189" s="4">
        <v>45534.39675487269</v>
      </c>
      <c r="B8189" s="5" t="s">
        <v>34</v>
      </c>
      <c r="D8189" s="5" t="s">
        <v>267</v>
      </c>
      <c r="E8189" s="5" t="s">
        <v>51458</v>
      </c>
      <c r="F8189" s="5" t="s">
        <v>37</v>
      </c>
      <c r="G8189" s="5" t="s">
        <v>51459</v>
      </c>
      <c r="H8189" s="6" t="s">
        <v>51460</v>
      </c>
      <c r="K8189" s="5" t="s">
        <v>51422</v>
      </c>
    </row>
    <row r="8190">
      <c r="A8190" s="4">
        <v>45534.39675869213</v>
      </c>
      <c r="B8190" s="5" t="s">
        <v>34</v>
      </c>
      <c r="D8190" s="5" t="s">
        <v>1206</v>
      </c>
      <c r="E8190" s="5" t="s">
        <v>51464</v>
      </c>
      <c r="F8190" s="5" t="s">
        <v>212</v>
      </c>
      <c r="G8190" s="5" t="s">
        <v>51465</v>
      </c>
      <c r="H8190" s="6" t="s">
        <v>51466</v>
      </c>
      <c r="K8190" s="5" t="s">
        <v>51422</v>
      </c>
    </row>
    <row r="8191">
      <c r="A8191" s="4">
        <v>45534.39676831018</v>
      </c>
      <c r="B8191" s="5" t="s">
        <v>34</v>
      </c>
      <c r="D8191" s="5" t="s">
        <v>9020</v>
      </c>
      <c r="E8191" s="5" t="s">
        <v>51470</v>
      </c>
      <c r="F8191" s="5" t="s">
        <v>72</v>
      </c>
      <c r="G8191" s="5" t="s">
        <v>51471</v>
      </c>
      <c r="H8191" s="6" t="s">
        <v>51472</v>
      </c>
      <c r="K8191" s="5" t="s">
        <v>51422</v>
      </c>
    </row>
    <row r="8192">
      <c r="A8192" s="4">
        <v>45534.39679583334</v>
      </c>
      <c r="B8192" s="5" t="s">
        <v>34</v>
      </c>
      <c r="D8192" s="5" t="s">
        <v>1456</v>
      </c>
      <c r="E8192" s="5" t="s">
        <v>51476</v>
      </c>
      <c r="F8192" s="5" t="s">
        <v>108</v>
      </c>
      <c r="G8192" s="5" t="s">
        <v>51477</v>
      </c>
      <c r="H8192" s="6" t="s">
        <v>51478</v>
      </c>
      <c r="K8192" s="5" t="s">
        <v>51422</v>
      </c>
    </row>
    <row r="8193">
      <c r="A8193" s="4">
        <v>45534.39682267361</v>
      </c>
      <c r="B8193" s="5" t="s">
        <v>34</v>
      </c>
      <c r="D8193" s="5" t="s">
        <v>701</v>
      </c>
      <c r="E8193" s="5" t="s">
        <v>51482</v>
      </c>
      <c r="F8193" s="5" t="s">
        <v>108</v>
      </c>
      <c r="G8193" s="5" t="s">
        <v>51483</v>
      </c>
      <c r="H8193" s="6" t="s">
        <v>51484</v>
      </c>
      <c r="K8193" s="5" t="s">
        <v>51422</v>
      </c>
    </row>
    <row r="8194">
      <c r="A8194" s="4">
        <v>45534.39691241898</v>
      </c>
      <c r="B8194" s="5" t="s">
        <v>34</v>
      </c>
      <c r="D8194" s="5" t="s">
        <v>9394</v>
      </c>
      <c r="E8194" s="5" t="s">
        <v>51488</v>
      </c>
      <c r="F8194" s="5" t="s">
        <v>37</v>
      </c>
      <c r="G8194" s="5" t="s">
        <v>51489</v>
      </c>
      <c r="H8194" s="6" t="s">
        <v>51490</v>
      </c>
      <c r="K8194" s="5" t="s">
        <v>51491</v>
      </c>
    </row>
    <row r="8195">
      <c r="A8195" s="4">
        <v>45534.39693175926</v>
      </c>
      <c r="B8195" s="5" t="s">
        <v>19</v>
      </c>
      <c r="C8195" s="5" t="s">
        <v>3301</v>
      </c>
      <c r="E8195" s="5" t="s">
        <v>51495</v>
      </c>
      <c r="F8195" s="5" t="s">
        <v>72</v>
      </c>
      <c r="G8195" s="5" t="s">
        <v>51496</v>
      </c>
      <c r="H8195" s="6" t="s">
        <v>51497</v>
      </c>
      <c r="K8195" s="5" t="s">
        <v>51491</v>
      </c>
    </row>
    <row r="8196">
      <c r="A8196" s="4">
        <v>45534.39701168981</v>
      </c>
      <c r="B8196" s="5" t="s">
        <v>34</v>
      </c>
      <c r="D8196" s="5" t="s">
        <v>1206</v>
      </c>
      <c r="E8196" s="5" t="s">
        <v>51501</v>
      </c>
      <c r="F8196" s="5" t="s">
        <v>212</v>
      </c>
      <c r="G8196" s="5" t="s">
        <v>51502</v>
      </c>
      <c r="H8196" s="6" t="s">
        <v>51503</v>
      </c>
      <c r="K8196" s="5" t="s">
        <v>51504</v>
      </c>
    </row>
    <row r="8197">
      <c r="A8197" s="4">
        <v>45534.3970124537</v>
      </c>
      <c r="B8197" s="5" t="s">
        <v>34</v>
      </c>
      <c r="D8197" s="5" t="s">
        <v>9020</v>
      </c>
      <c r="E8197" s="5" t="s">
        <v>51508</v>
      </c>
      <c r="F8197" s="5" t="s">
        <v>212</v>
      </c>
      <c r="G8197" s="5" t="s">
        <v>51509</v>
      </c>
      <c r="H8197" s="6" t="s">
        <v>51510</v>
      </c>
      <c r="K8197" s="5" t="s">
        <v>51504</v>
      </c>
    </row>
    <row r="8198">
      <c r="A8198" s="4">
        <v>45534.39705027778</v>
      </c>
      <c r="B8198" s="5" t="s">
        <v>34</v>
      </c>
      <c r="D8198" s="5" t="s">
        <v>1558</v>
      </c>
      <c r="E8198" s="5" t="s">
        <v>51514</v>
      </c>
      <c r="F8198" s="5" t="s">
        <v>37</v>
      </c>
      <c r="G8198" s="5" t="s">
        <v>51515</v>
      </c>
      <c r="H8198" s="6" t="s">
        <v>51516</v>
      </c>
      <c r="K8198" s="5" t="s">
        <v>51504</v>
      </c>
    </row>
    <row r="8199">
      <c r="A8199" s="4">
        <v>45534.39706875</v>
      </c>
      <c r="B8199" s="5" t="s">
        <v>34</v>
      </c>
      <c r="D8199" s="5" t="s">
        <v>701</v>
      </c>
      <c r="E8199" s="5" t="s">
        <v>51520</v>
      </c>
      <c r="F8199" s="5" t="s">
        <v>108</v>
      </c>
      <c r="G8199" s="5" t="s">
        <v>51521</v>
      </c>
      <c r="H8199" s="6" t="s">
        <v>51522</v>
      </c>
      <c r="K8199" s="5" t="s">
        <v>51504</v>
      </c>
    </row>
    <row r="8200">
      <c r="A8200" s="4">
        <v>45534.39707238426</v>
      </c>
      <c r="B8200" s="5" t="s">
        <v>34</v>
      </c>
      <c r="D8200" s="5" t="s">
        <v>9394</v>
      </c>
      <c r="E8200" s="5" t="s">
        <v>45285</v>
      </c>
      <c r="F8200" s="5" t="s">
        <v>199</v>
      </c>
      <c r="G8200" s="5" t="s">
        <v>51526</v>
      </c>
      <c r="H8200" s="6" t="s">
        <v>51527</v>
      </c>
      <c r="K8200" s="5" t="s">
        <v>51504</v>
      </c>
    </row>
    <row r="8201">
      <c r="A8201" s="4">
        <v>45534.39707549768</v>
      </c>
      <c r="B8201" s="5" t="s">
        <v>34</v>
      </c>
      <c r="D8201" s="5" t="s">
        <v>4775</v>
      </c>
      <c r="E8201" s="5" t="s">
        <v>51531</v>
      </c>
      <c r="F8201" s="5" t="s">
        <v>212</v>
      </c>
      <c r="G8201" s="5" t="s">
        <v>51532</v>
      </c>
      <c r="H8201" s="6" t="s">
        <v>51533</v>
      </c>
      <c r="K8201" s="5" t="s">
        <v>51504</v>
      </c>
    </row>
    <row r="8202">
      <c r="A8202" s="4">
        <v>45534.39708328704</v>
      </c>
      <c r="B8202" s="5" t="s">
        <v>34</v>
      </c>
      <c r="D8202" s="5" t="s">
        <v>9394</v>
      </c>
      <c r="E8202" s="5" t="s">
        <v>21945</v>
      </c>
      <c r="F8202" s="5" t="s">
        <v>37</v>
      </c>
      <c r="G8202" s="5" t="s">
        <v>51537</v>
      </c>
      <c r="H8202" s="6" t="s">
        <v>51538</v>
      </c>
      <c r="K8202" s="5" t="s">
        <v>51504</v>
      </c>
    </row>
    <row r="8203">
      <c r="A8203" s="4">
        <v>45534.397096747685</v>
      </c>
      <c r="B8203" s="5" t="s">
        <v>19</v>
      </c>
      <c r="C8203" s="5" t="s">
        <v>45988</v>
      </c>
      <c r="E8203" s="5" t="s">
        <v>51542</v>
      </c>
      <c r="F8203" s="5" t="s">
        <v>120</v>
      </c>
      <c r="G8203" s="5" t="s">
        <v>51543</v>
      </c>
      <c r="H8203" s="6" t="s">
        <v>51544</v>
      </c>
      <c r="K8203" s="5" t="s">
        <v>51504</v>
      </c>
    </row>
    <row r="8204">
      <c r="A8204" s="4">
        <v>45534.39711298612</v>
      </c>
      <c r="B8204" s="5" t="s">
        <v>34</v>
      </c>
      <c r="D8204" s="5" t="s">
        <v>1558</v>
      </c>
      <c r="E8204" s="5" t="s">
        <v>51548</v>
      </c>
      <c r="F8204" s="5" t="s">
        <v>212</v>
      </c>
      <c r="G8204" s="5" t="s">
        <v>51549</v>
      </c>
      <c r="H8204" s="6" t="s">
        <v>51550</v>
      </c>
      <c r="K8204" s="5" t="s">
        <v>51551</v>
      </c>
    </row>
    <row r="8205">
      <c r="A8205" s="4">
        <v>45534.39713074074</v>
      </c>
      <c r="B8205" s="5" t="s">
        <v>34</v>
      </c>
      <c r="D8205" s="5" t="s">
        <v>1206</v>
      </c>
      <c r="E8205" s="5" t="s">
        <v>51555</v>
      </c>
      <c r="F8205" s="5" t="s">
        <v>212</v>
      </c>
      <c r="G8205" s="5" t="s">
        <v>51556</v>
      </c>
      <c r="H8205" s="6" t="s">
        <v>51557</v>
      </c>
      <c r="K8205" s="5" t="s">
        <v>51504</v>
      </c>
    </row>
    <row r="8206">
      <c r="A8206" s="4">
        <v>45534.39716583333</v>
      </c>
      <c r="B8206" s="5" t="s">
        <v>34</v>
      </c>
      <c r="D8206" s="5" t="s">
        <v>9020</v>
      </c>
      <c r="E8206" s="5" t="s">
        <v>44899</v>
      </c>
      <c r="F8206" s="5" t="s">
        <v>212</v>
      </c>
      <c r="G8206" s="5" t="s">
        <v>44900</v>
      </c>
      <c r="H8206" s="6" t="s">
        <v>51561</v>
      </c>
      <c r="K8206" s="5" t="s">
        <v>51562</v>
      </c>
    </row>
    <row r="8207">
      <c r="A8207" s="4">
        <v>45534.397175509264</v>
      </c>
      <c r="B8207" s="5" t="s">
        <v>34</v>
      </c>
      <c r="D8207" s="5" t="s">
        <v>1206</v>
      </c>
      <c r="E8207" s="5" t="s">
        <v>51566</v>
      </c>
      <c r="F8207" s="5" t="s">
        <v>212</v>
      </c>
      <c r="G8207" s="5" t="s">
        <v>51567</v>
      </c>
      <c r="H8207" s="6" t="s">
        <v>51568</v>
      </c>
      <c r="K8207" s="5" t="s">
        <v>51562</v>
      </c>
    </row>
    <row r="8208">
      <c r="A8208" s="4">
        <v>45534.397202395834</v>
      </c>
      <c r="B8208" s="5" t="s">
        <v>34</v>
      </c>
      <c r="D8208" s="5" t="s">
        <v>701</v>
      </c>
      <c r="E8208" s="5" t="s">
        <v>51572</v>
      </c>
      <c r="F8208" s="5" t="s">
        <v>37</v>
      </c>
      <c r="G8208" s="5" t="s">
        <v>51573</v>
      </c>
      <c r="H8208" s="6" t="s">
        <v>51574</v>
      </c>
      <c r="K8208" s="5" t="s">
        <v>51575</v>
      </c>
    </row>
    <row r="8209">
      <c r="A8209" s="4">
        <v>45534.39722706018</v>
      </c>
      <c r="B8209" s="5" t="s">
        <v>19</v>
      </c>
      <c r="C8209" s="5" t="s">
        <v>292</v>
      </c>
      <c r="E8209" s="5" t="s">
        <v>51579</v>
      </c>
      <c r="F8209" s="5" t="s">
        <v>120</v>
      </c>
      <c r="G8209" s="5" t="s">
        <v>51580</v>
      </c>
      <c r="H8209" s="6" t="s">
        <v>51581</v>
      </c>
      <c r="K8209" s="5" t="s">
        <v>51582</v>
      </c>
    </row>
    <row r="8210">
      <c r="A8210" s="4">
        <v>45534.39725076389</v>
      </c>
      <c r="B8210" s="5" t="s">
        <v>34</v>
      </c>
      <c r="D8210" s="5" t="s">
        <v>1206</v>
      </c>
      <c r="E8210" s="5" t="s">
        <v>51586</v>
      </c>
      <c r="F8210" s="5" t="s">
        <v>212</v>
      </c>
      <c r="G8210" s="5" t="s">
        <v>51587</v>
      </c>
      <c r="H8210" s="6" t="s">
        <v>51588</v>
      </c>
      <c r="K8210" s="5" t="s">
        <v>51589</v>
      </c>
    </row>
    <row r="8211">
      <c r="A8211" s="4">
        <v>45534.39729237268</v>
      </c>
      <c r="B8211" s="5" t="s">
        <v>19</v>
      </c>
      <c r="C8211" s="5" t="s">
        <v>83</v>
      </c>
      <c r="E8211" s="5" t="s">
        <v>51593</v>
      </c>
      <c r="F8211" s="5" t="s">
        <v>108</v>
      </c>
      <c r="G8211" s="5" t="s">
        <v>51594</v>
      </c>
      <c r="H8211" s="6" t="s">
        <v>51595</v>
      </c>
      <c r="K8211" s="5" t="s">
        <v>51596</v>
      </c>
    </row>
    <row r="8212">
      <c r="A8212" s="4">
        <v>45534.39731890046</v>
      </c>
      <c r="B8212" s="5" t="s">
        <v>34</v>
      </c>
      <c r="D8212" s="5" t="s">
        <v>9020</v>
      </c>
      <c r="E8212" s="5" t="s">
        <v>51600</v>
      </c>
      <c r="F8212" s="5" t="s">
        <v>212</v>
      </c>
      <c r="G8212" s="5" t="s">
        <v>51601</v>
      </c>
      <c r="H8212" s="6" t="s">
        <v>51602</v>
      </c>
      <c r="K8212" s="5" t="s">
        <v>51603</v>
      </c>
    </row>
    <row r="8213">
      <c r="A8213" s="4">
        <v>45534.39732900463</v>
      </c>
      <c r="B8213" s="5" t="s">
        <v>19</v>
      </c>
      <c r="C8213" s="5" t="s">
        <v>40230</v>
      </c>
      <c r="E8213" s="5" t="s">
        <v>51607</v>
      </c>
      <c r="F8213" s="5" t="s">
        <v>375</v>
      </c>
      <c r="G8213" s="5" t="s">
        <v>51608</v>
      </c>
      <c r="H8213" s="6" t="s">
        <v>51609</v>
      </c>
      <c r="K8213" s="5" t="s">
        <v>51603</v>
      </c>
    </row>
    <row r="8214">
      <c r="A8214" s="4">
        <v>45534.397329976855</v>
      </c>
      <c r="B8214" s="5" t="s">
        <v>34</v>
      </c>
      <c r="D8214" s="5" t="s">
        <v>1456</v>
      </c>
      <c r="E8214" s="5" t="s">
        <v>51613</v>
      </c>
      <c r="F8214" s="5" t="s">
        <v>37</v>
      </c>
      <c r="G8214" s="5" t="s">
        <v>51614</v>
      </c>
      <c r="H8214" s="6" t="s">
        <v>51615</v>
      </c>
      <c r="K8214" s="5" t="s">
        <v>51603</v>
      </c>
    </row>
    <row r="8215">
      <c r="A8215" s="4">
        <v>45534.397338483795</v>
      </c>
      <c r="B8215" s="5" t="s">
        <v>34</v>
      </c>
      <c r="D8215" s="5" t="s">
        <v>7858</v>
      </c>
      <c r="E8215" s="5" t="s">
        <v>51619</v>
      </c>
      <c r="F8215" s="5" t="s">
        <v>37</v>
      </c>
      <c r="G8215" s="5" t="s">
        <v>51620</v>
      </c>
      <c r="H8215" s="6" t="s">
        <v>51621</v>
      </c>
      <c r="K8215" s="5" t="s">
        <v>51603</v>
      </c>
    </row>
    <row r="8216">
      <c r="A8216" s="4">
        <v>45534.39737104166</v>
      </c>
      <c r="B8216" s="5" t="s">
        <v>34</v>
      </c>
      <c r="D8216" s="5" t="s">
        <v>1558</v>
      </c>
      <c r="E8216" s="5" t="s">
        <v>51625</v>
      </c>
      <c r="F8216" s="5" t="s">
        <v>375</v>
      </c>
      <c r="G8216" s="5" t="s">
        <v>51626</v>
      </c>
      <c r="H8216" s="6" t="s">
        <v>51627</v>
      </c>
      <c r="K8216" s="5" t="s">
        <v>51628</v>
      </c>
    </row>
    <row r="8217">
      <c r="A8217" s="4">
        <v>45534.39740984954</v>
      </c>
      <c r="B8217" s="5" t="s">
        <v>19</v>
      </c>
      <c r="C8217" s="5" t="s">
        <v>5564</v>
      </c>
      <c r="E8217" s="5" t="s">
        <v>11768</v>
      </c>
      <c r="F8217" s="5" t="s">
        <v>108</v>
      </c>
      <c r="G8217" s="5" t="s">
        <v>51632</v>
      </c>
      <c r="H8217" s="6" t="s">
        <v>51633</v>
      </c>
      <c r="K8217" s="5" t="s">
        <v>51634</v>
      </c>
    </row>
    <row r="8218">
      <c r="A8218" s="4">
        <v>45534.39744178241</v>
      </c>
      <c r="B8218" s="5" t="s">
        <v>34</v>
      </c>
      <c r="D8218" s="5" t="s">
        <v>4775</v>
      </c>
      <c r="E8218" s="5" t="s">
        <v>51638</v>
      </c>
      <c r="F8218" s="5" t="s">
        <v>72</v>
      </c>
      <c r="G8218" s="5" t="s">
        <v>51639</v>
      </c>
      <c r="H8218" s="6" t="s">
        <v>51640</v>
      </c>
      <c r="K8218" s="5" t="s">
        <v>51641</v>
      </c>
    </row>
    <row r="8219">
      <c r="A8219" s="4">
        <v>45534.39748650463</v>
      </c>
      <c r="B8219" s="5" t="s">
        <v>34</v>
      </c>
      <c r="D8219" s="5" t="s">
        <v>1558</v>
      </c>
      <c r="E8219" s="5" t="s">
        <v>51645</v>
      </c>
      <c r="F8219" s="5" t="s">
        <v>212</v>
      </c>
      <c r="G8219" s="5" t="s">
        <v>51646</v>
      </c>
      <c r="H8219" s="6" t="s">
        <v>51647</v>
      </c>
      <c r="K8219" s="5" t="s">
        <v>51648</v>
      </c>
    </row>
    <row r="8220">
      <c r="A8220" s="4">
        <v>45534.39752752315</v>
      </c>
      <c r="B8220" s="5" t="s">
        <v>34</v>
      </c>
      <c r="D8220" s="5" t="s">
        <v>1206</v>
      </c>
      <c r="E8220" s="5" t="s">
        <v>51652</v>
      </c>
      <c r="F8220" s="5" t="s">
        <v>120</v>
      </c>
      <c r="G8220" s="5" t="s">
        <v>51653</v>
      </c>
      <c r="H8220" s="6" t="s">
        <v>51654</v>
      </c>
      <c r="K8220" s="5" t="s">
        <v>51655</v>
      </c>
    </row>
    <row r="8221">
      <c r="A8221" s="4">
        <v>45534.397529548616</v>
      </c>
      <c r="B8221" s="5" t="s">
        <v>34</v>
      </c>
      <c r="D8221" s="5" t="s">
        <v>1558</v>
      </c>
      <c r="E8221" s="5" t="s">
        <v>51659</v>
      </c>
      <c r="F8221" s="5" t="s">
        <v>108</v>
      </c>
      <c r="G8221" s="5" t="s">
        <v>51660</v>
      </c>
      <c r="H8221" s="6" t="s">
        <v>51661</v>
      </c>
      <c r="K8221" s="5" t="s">
        <v>51655</v>
      </c>
    </row>
    <row r="8222">
      <c r="A8222" s="4">
        <v>45534.39755314815</v>
      </c>
      <c r="B8222" s="5" t="s">
        <v>34</v>
      </c>
      <c r="D8222" s="5" t="s">
        <v>1558</v>
      </c>
      <c r="E8222" s="5" t="s">
        <v>51665</v>
      </c>
      <c r="F8222" s="5" t="s">
        <v>199</v>
      </c>
      <c r="G8222" s="5" t="s">
        <v>51666</v>
      </c>
      <c r="H8222" s="6" t="s">
        <v>51667</v>
      </c>
      <c r="K8222" s="5" t="s">
        <v>51668</v>
      </c>
    </row>
    <row r="8223">
      <c r="A8223" s="4">
        <v>45534.39757702546</v>
      </c>
      <c r="B8223" s="5" t="s">
        <v>19</v>
      </c>
      <c r="C8223" s="5" t="s">
        <v>5564</v>
      </c>
      <c r="E8223" s="5" t="s">
        <v>51672</v>
      </c>
      <c r="F8223" s="5" t="s">
        <v>108</v>
      </c>
      <c r="G8223" s="5" t="s">
        <v>51673</v>
      </c>
      <c r="H8223" s="6" t="s">
        <v>51674</v>
      </c>
      <c r="K8223" s="5" t="s">
        <v>51668</v>
      </c>
    </row>
    <row r="8224">
      <c r="A8224" s="4">
        <v>45534.397580613426</v>
      </c>
      <c r="B8224" s="5" t="s">
        <v>34</v>
      </c>
      <c r="D8224" s="5" t="s">
        <v>4775</v>
      </c>
      <c r="E8224" s="5" t="s">
        <v>15217</v>
      </c>
      <c r="F8224" s="5" t="s">
        <v>199</v>
      </c>
      <c r="G8224" s="5" t="s">
        <v>51678</v>
      </c>
      <c r="H8224" s="6" t="s">
        <v>51679</v>
      </c>
      <c r="K8224" s="5" t="s">
        <v>51668</v>
      </c>
    </row>
    <row r="8225">
      <c r="A8225" s="4">
        <v>45534.39762657408</v>
      </c>
      <c r="B8225" s="5" t="s">
        <v>34</v>
      </c>
      <c r="D8225" s="5" t="s">
        <v>12978</v>
      </c>
      <c r="E8225" s="5" t="s">
        <v>51683</v>
      </c>
      <c r="F8225" s="5" t="s">
        <v>212</v>
      </c>
      <c r="G8225" s="5" t="s">
        <v>51684</v>
      </c>
      <c r="H8225" s="6" t="s">
        <v>51685</v>
      </c>
      <c r="K8225" s="5" t="s">
        <v>51686</v>
      </c>
    </row>
    <row r="8226">
      <c r="A8226" s="4">
        <v>45534.39763179398</v>
      </c>
      <c r="B8226" s="5" t="s">
        <v>34</v>
      </c>
      <c r="D8226" s="5" t="s">
        <v>1206</v>
      </c>
      <c r="E8226" s="5" t="s">
        <v>51690</v>
      </c>
      <c r="F8226" s="5" t="s">
        <v>37</v>
      </c>
      <c r="G8226" s="5" t="s">
        <v>50841</v>
      </c>
      <c r="H8226" s="6" t="s">
        <v>51691</v>
      </c>
      <c r="K8226" s="5" t="s">
        <v>51686</v>
      </c>
    </row>
    <row r="8227">
      <c r="A8227" s="4">
        <v>45534.39766929398</v>
      </c>
      <c r="B8227" s="5" t="s">
        <v>34</v>
      </c>
      <c r="D8227" s="5" t="s">
        <v>701</v>
      </c>
      <c r="E8227" s="5" t="s">
        <v>51695</v>
      </c>
      <c r="F8227" s="5" t="s">
        <v>108</v>
      </c>
      <c r="G8227" s="5" t="s">
        <v>51696</v>
      </c>
      <c r="H8227" s="6" t="s">
        <v>51697</v>
      </c>
      <c r="K8227" s="5" t="s">
        <v>51698</v>
      </c>
    </row>
    <row r="8228">
      <c r="A8228" s="4">
        <v>45534.397726006944</v>
      </c>
      <c r="B8228" s="5" t="s">
        <v>34</v>
      </c>
      <c r="D8228" s="5" t="s">
        <v>522</v>
      </c>
      <c r="E8228" s="5" t="s">
        <v>51702</v>
      </c>
      <c r="F8228" s="5" t="s">
        <v>212</v>
      </c>
      <c r="G8228" s="5" t="s">
        <v>51703</v>
      </c>
      <c r="H8228" s="6" t="s">
        <v>51704</v>
      </c>
      <c r="K8228" s="5" t="s">
        <v>51705</v>
      </c>
    </row>
    <row r="8229">
      <c r="A8229" s="4">
        <v>45534.39773557871</v>
      </c>
      <c r="B8229" s="5" t="s">
        <v>34</v>
      </c>
      <c r="D8229" s="5" t="s">
        <v>6232</v>
      </c>
      <c r="E8229" s="5" t="s">
        <v>51709</v>
      </c>
      <c r="F8229" s="5" t="s">
        <v>375</v>
      </c>
      <c r="G8229" s="5" t="s">
        <v>51710</v>
      </c>
      <c r="H8229" s="6" t="s">
        <v>51711</v>
      </c>
      <c r="K8229" s="5" t="s">
        <v>51705</v>
      </c>
    </row>
    <row r="8230">
      <c r="A8230" s="4">
        <v>45534.39773943287</v>
      </c>
      <c r="B8230" s="5" t="s">
        <v>34</v>
      </c>
      <c r="D8230" s="5" t="s">
        <v>1206</v>
      </c>
      <c r="E8230" s="5" t="s">
        <v>51715</v>
      </c>
      <c r="F8230" s="5" t="s">
        <v>37</v>
      </c>
      <c r="G8230" s="5" t="s">
        <v>51716</v>
      </c>
      <c r="H8230" s="6" t="s">
        <v>51717</v>
      </c>
      <c r="K8230" s="5" t="s">
        <v>51705</v>
      </c>
    </row>
    <row r="8231">
      <c r="A8231" s="4">
        <v>45534.3977534375</v>
      </c>
      <c r="B8231" s="5" t="s">
        <v>19</v>
      </c>
      <c r="C8231" s="5" t="s">
        <v>5058</v>
      </c>
      <c r="E8231" s="5" t="s">
        <v>51721</v>
      </c>
      <c r="F8231" s="5" t="s">
        <v>120</v>
      </c>
      <c r="G8231" s="5" t="s">
        <v>51722</v>
      </c>
      <c r="H8231" s="6" t="s">
        <v>51723</v>
      </c>
      <c r="K8231" s="5" t="s">
        <v>51705</v>
      </c>
    </row>
    <row r="8232">
      <c r="A8232" s="4">
        <v>45534.39777436343</v>
      </c>
      <c r="B8232" s="5" t="s">
        <v>19</v>
      </c>
      <c r="C8232" s="5" t="s">
        <v>3301</v>
      </c>
      <c r="E8232" s="5" t="s">
        <v>51727</v>
      </c>
      <c r="F8232" s="5" t="s">
        <v>715</v>
      </c>
      <c r="G8232" s="5" t="s">
        <v>51728</v>
      </c>
      <c r="H8232" s="6" t="s">
        <v>51729</v>
      </c>
      <c r="K8232" s="5" t="s">
        <v>51730</v>
      </c>
    </row>
    <row r="8233">
      <c r="A8233" s="4">
        <v>45534.39778422454</v>
      </c>
      <c r="B8233" s="5" t="s">
        <v>34</v>
      </c>
      <c r="D8233" s="5" t="s">
        <v>1206</v>
      </c>
      <c r="E8233" s="5" t="s">
        <v>51734</v>
      </c>
      <c r="F8233" s="5" t="s">
        <v>212</v>
      </c>
      <c r="G8233" s="5" t="s">
        <v>51735</v>
      </c>
      <c r="H8233" s="6" t="s">
        <v>51736</v>
      </c>
      <c r="K8233" s="5" t="s">
        <v>51730</v>
      </c>
    </row>
    <row r="8234">
      <c r="A8234" s="4">
        <v>45534.397816365745</v>
      </c>
      <c r="B8234" s="5" t="s">
        <v>34</v>
      </c>
      <c r="D8234" s="5" t="s">
        <v>996</v>
      </c>
      <c r="E8234" s="5" t="s">
        <v>51740</v>
      </c>
      <c r="F8234" s="5" t="s">
        <v>212</v>
      </c>
      <c r="G8234" s="5" t="s">
        <v>11340</v>
      </c>
      <c r="H8234" s="6" t="s">
        <v>51741</v>
      </c>
      <c r="K8234" s="5" t="s">
        <v>51742</v>
      </c>
    </row>
    <row r="8235">
      <c r="A8235" s="4">
        <v>45534.397841412036</v>
      </c>
      <c r="B8235" s="5" t="s">
        <v>34</v>
      </c>
      <c r="D8235" s="5" t="s">
        <v>9394</v>
      </c>
      <c r="E8235" s="5" t="s">
        <v>29560</v>
      </c>
      <c r="F8235" s="5" t="s">
        <v>37</v>
      </c>
      <c r="G8235" s="5" t="s">
        <v>51746</v>
      </c>
      <c r="H8235" s="6" t="s">
        <v>51747</v>
      </c>
      <c r="K8235" s="5" t="s">
        <v>51748</v>
      </c>
    </row>
    <row r="8236">
      <c r="A8236" s="4">
        <v>45534.39787357639</v>
      </c>
      <c r="B8236" s="5" t="s">
        <v>19</v>
      </c>
      <c r="C8236" s="5" t="s">
        <v>10418</v>
      </c>
      <c r="E8236" s="5" t="s">
        <v>51752</v>
      </c>
      <c r="F8236" s="5" t="s">
        <v>108</v>
      </c>
      <c r="G8236" s="5" t="s">
        <v>51753</v>
      </c>
      <c r="H8236" s="6" t="s">
        <v>51754</v>
      </c>
      <c r="K8236" s="5" t="s">
        <v>51755</v>
      </c>
    </row>
    <row r="8237">
      <c r="A8237" s="4">
        <v>45534.397877152776</v>
      </c>
      <c r="B8237" s="5" t="s">
        <v>34</v>
      </c>
      <c r="D8237" s="5" t="s">
        <v>35</v>
      </c>
      <c r="E8237" s="5" t="s">
        <v>51759</v>
      </c>
      <c r="F8237" s="5" t="s">
        <v>72</v>
      </c>
      <c r="G8237" s="5" t="s">
        <v>3244</v>
      </c>
      <c r="H8237" s="6" t="s">
        <v>51760</v>
      </c>
      <c r="K8237" s="5" t="s">
        <v>51755</v>
      </c>
    </row>
    <row r="8238">
      <c r="A8238" s="4">
        <v>45534.397911203705</v>
      </c>
      <c r="B8238" s="5" t="s">
        <v>34</v>
      </c>
      <c r="D8238" s="5" t="s">
        <v>9020</v>
      </c>
      <c r="E8238" s="5" t="s">
        <v>51764</v>
      </c>
      <c r="F8238" s="5" t="s">
        <v>37</v>
      </c>
      <c r="G8238" s="5" t="s">
        <v>51765</v>
      </c>
      <c r="H8238" s="6" t="s">
        <v>51766</v>
      </c>
      <c r="K8238" s="5" t="s">
        <v>51767</v>
      </c>
    </row>
    <row r="8239">
      <c r="A8239" s="4">
        <v>45534.39793998843</v>
      </c>
      <c r="B8239" s="5" t="s">
        <v>34</v>
      </c>
      <c r="D8239" s="5" t="s">
        <v>1456</v>
      </c>
      <c r="E8239" s="5" t="s">
        <v>51771</v>
      </c>
      <c r="F8239" s="5" t="s">
        <v>212</v>
      </c>
      <c r="G8239" s="5" t="s">
        <v>51772</v>
      </c>
      <c r="H8239" s="6" t="s">
        <v>51773</v>
      </c>
      <c r="K8239" s="5" t="s">
        <v>51767</v>
      </c>
    </row>
    <row r="8240">
      <c r="A8240" s="4">
        <v>45534.39800623842</v>
      </c>
      <c r="B8240" s="5" t="s">
        <v>19</v>
      </c>
      <c r="C8240" s="5" t="s">
        <v>1498</v>
      </c>
      <c r="E8240" s="5" t="s">
        <v>51777</v>
      </c>
      <c r="F8240" s="5" t="s">
        <v>120</v>
      </c>
      <c r="G8240" s="5" t="s">
        <v>51778</v>
      </c>
      <c r="H8240" s="6" t="s">
        <v>51779</v>
      </c>
      <c r="K8240" s="5" t="s">
        <v>51780</v>
      </c>
    </row>
    <row r="8241">
      <c r="A8241" s="4">
        <v>45534.39801337963</v>
      </c>
      <c r="B8241" s="5" t="s">
        <v>19</v>
      </c>
      <c r="C8241" s="5" t="s">
        <v>292</v>
      </c>
      <c r="E8241" s="5" t="s">
        <v>51784</v>
      </c>
      <c r="F8241" s="5" t="s">
        <v>72</v>
      </c>
      <c r="G8241" s="5" t="s">
        <v>51785</v>
      </c>
      <c r="H8241" s="6" t="s">
        <v>51786</v>
      </c>
      <c r="K8241" s="5" t="s">
        <v>51780</v>
      </c>
    </row>
    <row r="8242">
      <c r="A8242" s="4">
        <v>45534.39803490741</v>
      </c>
      <c r="B8242" s="5" t="s">
        <v>34</v>
      </c>
      <c r="D8242" s="5" t="s">
        <v>1206</v>
      </c>
      <c r="E8242" s="5" t="s">
        <v>51790</v>
      </c>
      <c r="F8242" s="5" t="s">
        <v>199</v>
      </c>
      <c r="G8242" s="5" t="s">
        <v>51791</v>
      </c>
      <c r="H8242" s="6" t="s">
        <v>51792</v>
      </c>
      <c r="K8242" s="5" t="s">
        <v>51780</v>
      </c>
    </row>
    <row r="8243">
      <c r="A8243" s="4">
        <v>45534.39803981481</v>
      </c>
      <c r="B8243" s="5" t="s">
        <v>34</v>
      </c>
      <c r="D8243" s="5" t="s">
        <v>1456</v>
      </c>
      <c r="E8243" s="5" t="s">
        <v>51796</v>
      </c>
      <c r="F8243" s="5" t="s">
        <v>524</v>
      </c>
      <c r="G8243" s="5" t="s">
        <v>51797</v>
      </c>
      <c r="H8243" s="6" t="s">
        <v>51798</v>
      </c>
      <c r="K8243" s="5" t="s">
        <v>51780</v>
      </c>
    </row>
    <row r="8244">
      <c r="A8244" s="4">
        <v>45534.39808002315</v>
      </c>
      <c r="B8244" s="5" t="s">
        <v>34</v>
      </c>
      <c r="D8244" s="5" t="s">
        <v>7858</v>
      </c>
      <c r="E8244" s="5" t="s">
        <v>51802</v>
      </c>
      <c r="F8244" s="5" t="s">
        <v>37</v>
      </c>
      <c r="G8244" s="5" t="s">
        <v>51803</v>
      </c>
      <c r="H8244" s="6" t="s">
        <v>51804</v>
      </c>
      <c r="K8244" s="5" t="s">
        <v>51805</v>
      </c>
    </row>
    <row r="8245">
      <c r="A8245" s="4">
        <v>45534.398083506945</v>
      </c>
      <c r="B8245" s="5" t="s">
        <v>34</v>
      </c>
      <c r="D8245" s="5" t="s">
        <v>9020</v>
      </c>
      <c r="E8245" s="5" t="s">
        <v>51809</v>
      </c>
      <c r="F8245" s="5" t="s">
        <v>37</v>
      </c>
      <c r="G8245" s="5" t="s">
        <v>51810</v>
      </c>
      <c r="H8245" s="6" t="s">
        <v>51811</v>
      </c>
      <c r="K8245" s="5" t="s">
        <v>51812</v>
      </c>
    </row>
    <row r="8246">
      <c r="A8246" s="4">
        <v>45534.398138310185</v>
      </c>
      <c r="B8246" s="5" t="s">
        <v>34</v>
      </c>
      <c r="D8246" s="5" t="s">
        <v>1206</v>
      </c>
      <c r="E8246" s="5" t="s">
        <v>51815</v>
      </c>
      <c r="F8246" s="5" t="s">
        <v>212</v>
      </c>
      <c r="G8246" s="5" t="s">
        <v>51816</v>
      </c>
      <c r="H8246" s="6" t="s">
        <v>51817</v>
      </c>
      <c r="K8246" s="5" t="s">
        <v>51818</v>
      </c>
    </row>
    <row r="8247">
      <c r="A8247" s="4">
        <v>45534.398169548615</v>
      </c>
      <c r="B8247" s="5" t="s">
        <v>34</v>
      </c>
      <c r="D8247" s="5" t="s">
        <v>1206</v>
      </c>
      <c r="E8247" s="5" t="s">
        <v>51821</v>
      </c>
      <c r="F8247" s="5" t="s">
        <v>72</v>
      </c>
      <c r="G8247" s="5" t="s">
        <v>51822</v>
      </c>
      <c r="H8247" s="6" t="s">
        <v>51823</v>
      </c>
      <c r="K8247" s="5" t="s">
        <v>51824</v>
      </c>
    </row>
    <row r="8248">
      <c r="A8248" s="4">
        <v>45534.3982277662</v>
      </c>
      <c r="B8248" s="5" t="s">
        <v>34</v>
      </c>
      <c r="D8248" s="5" t="s">
        <v>12978</v>
      </c>
      <c r="E8248" s="5" t="s">
        <v>51827</v>
      </c>
      <c r="F8248" s="5" t="s">
        <v>37</v>
      </c>
      <c r="G8248" s="5" t="s">
        <v>51828</v>
      </c>
      <c r="H8248" s="6" t="s">
        <v>51829</v>
      </c>
      <c r="K8248" s="5" t="s">
        <v>51830</v>
      </c>
    </row>
    <row r="8249">
      <c r="A8249" s="4">
        <v>45534.39824267361</v>
      </c>
      <c r="B8249" s="5" t="s">
        <v>34</v>
      </c>
      <c r="D8249" s="5" t="s">
        <v>12978</v>
      </c>
      <c r="E8249" s="5" t="s">
        <v>51833</v>
      </c>
      <c r="F8249" s="5" t="s">
        <v>212</v>
      </c>
      <c r="G8249" s="5" t="s">
        <v>51834</v>
      </c>
      <c r="H8249" s="6" t="s">
        <v>51835</v>
      </c>
      <c r="K8249" s="5" t="s">
        <v>51830</v>
      </c>
    </row>
    <row r="8250">
      <c r="A8250" s="4">
        <v>45534.39837354167</v>
      </c>
      <c r="B8250" s="5" t="s">
        <v>34</v>
      </c>
      <c r="D8250" s="5" t="s">
        <v>580</v>
      </c>
      <c r="E8250" s="5" t="s">
        <v>51838</v>
      </c>
      <c r="F8250" s="5" t="s">
        <v>212</v>
      </c>
      <c r="G8250" s="5" t="s">
        <v>51839</v>
      </c>
      <c r="H8250" s="6" t="s">
        <v>51840</v>
      </c>
      <c r="K8250" s="5" t="s">
        <v>51841</v>
      </c>
    </row>
    <row r="8251">
      <c r="A8251" s="4">
        <v>45534.39842467592</v>
      </c>
      <c r="B8251" s="5" t="s">
        <v>34</v>
      </c>
      <c r="D8251" s="5" t="s">
        <v>267</v>
      </c>
      <c r="E8251" s="5" t="s">
        <v>51844</v>
      </c>
      <c r="F8251" s="5" t="s">
        <v>524</v>
      </c>
      <c r="G8251" s="5" t="s">
        <v>51845</v>
      </c>
      <c r="H8251" s="6" t="s">
        <v>51846</v>
      </c>
      <c r="K8251" s="5" t="s">
        <v>51847</v>
      </c>
    </row>
    <row r="8252">
      <c r="A8252" s="4">
        <v>45534.398428217595</v>
      </c>
      <c r="B8252" s="5" t="s">
        <v>34</v>
      </c>
      <c r="D8252" s="5" t="s">
        <v>35</v>
      </c>
      <c r="E8252" s="5" t="s">
        <v>51850</v>
      </c>
      <c r="F8252" s="5" t="s">
        <v>37</v>
      </c>
      <c r="G8252" s="5" t="s">
        <v>51851</v>
      </c>
      <c r="H8252" s="6" t="s">
        <v>51852</v>
      </c>
      <c r="K8252" s="5" t="s">
        <v>51847</v>
      </c>
    </row>
    <row r="8253">
      <c r="A8253" s="4">
        <v>45534.398437199074</v>
      </c>
      <c r="B8253" s="5" t="s">
        <v>34</v>
      </c>
      <c r="D8253" s="5" t="s">
        <v>9020</v>
      </c>
      <c r="E8253" s="5" t="s">
        <v>51855</v>
      </c>
      <c r="F8253" s="5" t="s">
        <v>375</v>
      </c>
      <c r="G8253" s="5" t="s">
        <v>51856</v>
      </c>
      <c r="H8253" s="6" t="s">
        <v>51857</v>
      </c>
      <c r="K8253" s="5" t="s">
        <v>51858</v>
      </c>
    </row>
    <row r="8254">
      <c r="A8254" s="4">
        <v>45534.39845140046</v>
      </c>
      <c r="B8254" s="5" t="s">
        <v>34</v>
      </c>
      <c r="D8254" s="5" t="s">
        <v>1206</v>
      </c>
      <c r="E8254" s="5" t="s">
        <v>45602</v>
      </c>
      <c r="F8254" s="5" t="s">
        <v>37</v>
      </c>
      <c r="G8254" s="5" t="s">
        <v>51861</v>
      </c>
      <c r="H8254" s="6" t="s">
        <v>51862</v>
      </c>
      <c r="K8254" s="5" t="s">
        <v>51858</v>
      </c>
    </row>
    <row r="8255">
      <c r="A8255" s="4">
        <v>45534.39849008102</v>
      </c>
      <c r="B8255" s="5" t="s">
        <v>34</v>
      </c>
      <c r="D8255" s="5" t="s">
        <v>522</v>
      </c>
      <c r="E8255" s="5" t="s">
        <v>51865</v>
      </c>
      <c r="F8255" s="5" t="s">
        <v>37</v>
      </c>
      <c r="G8255" s="5" t="s">
        <v>51866</v>
      </c>
      <c r="H8255" s="6" t="s">
        <v>51867</v>
      </c>
      <c r="K8255" s="5" t="s">
        <v>51868</v>
      </c>
    </row>
    <row r="8256">
      <c r="A8256" s="4">
        <v>45534.39854893518</v>
      </c>
      <c r="B8256" s="5" t="s">
        <v>19</v>
      </c>
      <c r="C8256" s="5" t="s">
        <v>292</v>
      </c>
      <c r="E8256" s="5" t="s">
        <v>51871</v>
      </c>
      <c r="F8256" s="5" t="s">
        <v>524</v>
      </c>
      <c r="G8256" s="5" t="s">
        <v>51872</v>
      </c>
      <c r="H8256" s="6" t="s">
        <v>51873</v>
      </c>
      <c r="K8256" s="5" t="s">
        <v>51874</v>
      </c>
    </row>
    <row r="8257">
      <c r="A8257" s="4">
        <v>45534.39856123843</v>
      </c>
      <c r="B8257" s="5" t="s">
        <v>34</v>
      </c>
      <c r="D8257" s="5" t="s">
        <v>280</v>
      </c>
      <c r="E8257" s="5" t="s">
        <v>51877</v>
      </c>
      <c r="F8257" s="5" t="s">
        <v>108</v>
      </c>
      <c r="G8257" s="5" t="s">
        <v>51878</v>
      </c>
      <c r="H8257" s="6" t="s">
        <v>51879</v>
      </c>
      <c r="K8257" s="5" t="s">
        <v>51880</v>
      </c>
    </row>
    <row r="8258">
      <c r="A8258" s="4">
        <v>45534.39857546296</v>
      </c>
      <c r="B8258" s="5" t="s">
        <v>34</v>
      </c>
      <c r="D8258" s="5" t="s">
        <v>12978</v>
      </c>
      <c r="E8258" s="5" t="s">
        <v>51883</v>
      </c>
      <c r="F8258" s="5" t="s">
        <v>375</v>
      </c>
      <c r="G8258" s="5" t="s">
        <v>51884</v>
      </c>
      <c r="H8258" s="6" t="s">
        <v>51885</v>
      </c>
      <c r="K8258" s="5" t="s">
        <v>51886</v>
      </c>
    </row>
    <row r="8259">
      <c r="A8259" s="4">
        <v>45534.39861181713</v>
      </c>
      <c r="B8259" s="5" t="s">
        <v>34</v>
      </c>
      <c r="D8259" s="5" t="s">
        <v>1206</v>
      </c>
      <c r="E8259" s="5" t="s">
        <v>51889</v>
      </c>
      <c r="F8259" s="5" t="s">
        <v>199</v>
      </c>
      <c r="G8259" s="5" t="s">
        <v>51890</v>
      </c>
      <c r="H8259" s="6" t="s">
        <v>51891</v>
      </c>
      <c r="K8259" s="5" t="s">
        <v>51892</v>
      </c>
    </row>
    <row r="8260">
      <c r="A8260" s="4">
        <v>45534.39864104167</v>
      </c>
      <c r="B8260" s="5" t="s">
        <v>34</v>
      </c>
      <c r="D8260" s="5" t="s">
        <v>4775</v>
      </c>
      <c r="E8260" s="5" t="s">
        <v>51895</v>
      </c>
      <c r="F8260" s="5" t="s">
        <v>524</v>
      </c>
      <c r="G8260" s="5" t="s">
        <v>51896</v>
      </c>
      <c r="H8260" s="6" t="s">
        <v>51897</v>
      </c>
      <c r="K8260" s="5" t="s">
        <v>51898</v>
      </c>
    </row>
    <row r="8261">
      <c r="A8261" s="4">
        <v>45534.39866881944</v>
      </c>
      <c r="B8261" s="5" t="s">
        <v>34</v>
      </c>
      <c r="D8261" s="5" t="s">
        <v>4775</v>
      </c>
      <c r="E8261" s="5" t="s">
        <v>51901</v>
      </c>
      <c r="F8261" s="5" t="s">
        <v>375</v>
      </c>
      <c r="G8261" s="5" t="s">
        <v>51902</v>
      </c>
      <c r="H8261" s="6" t="s">
        <v>51903</v>
      </c>
      <c r="K8261" s="5" t="s">
        <v>51904</v>
      </c>
    </row>
    <row r="8262">
      <c r="A8262" s="4">
        <v>45534.39869170139</v>
      </c>
      <c r="B8262" s="5" t="s">
        <v>34</v>
      </c>
      <c r="D8262" s="5" t="s">
        <v>267</v>
      </c>
      <c r="E8262" s="5" t="s">
        <v>51907</v>
      </c>
      <c r="F8262" s="5" t="s">
        <v>72</v>
      </c>
      <c r="G8262" s="5" t="s">
        <v>51908</v>
      </c>
      <c r="H8262" s="6" t="s">
        <v>51909</v>
      </c>
      <c r="K8262" s="5" t="s">
        <v>51904</v>
      </c>
    </row>
    <row r="8263">
      <c r="A8263" s="4">
        <v>45534.3987045949</v>
      </c>
      <c r="B8263" s="5" t="s">
        <v>34</v>
      </c>
      <c r="D8263" s="5" t="s">
        <v>12026</v>
      </c>
      <c r="E8263" s="5" t="s">
        <v>51912</v>
      </c>
      <c r="F8263" s="5" t="s">
        <v>375</v>
      </c>
      <c r="G8263" s="5" t="s">
        <v>51913</v>
      </c>
      <c r="H8263" s="6" t="s">
        <v>51914</v>
      </c>
      <c r="K8263" s="5" t="s">
        <v>51915</v>
      </c>
    </row>
    <row r="8264">
      <c r="A8264" s="4">
        <v>45534.39877248842</v>
      </c>
      <c r="B8264" s="5" t="s">
        <v>19</v>
      </c>
      <c r="C8264" s="5" t="s">
        <v>292</v>
      </c>
      <c r="E8264" s="5" t="s">
        <v>51918</v>
      </c>
      <c r="F8264" s="5" t="s">
        <v>212</v>
      </c>
      <c r="G8264" s="5" t="s">
        <v>51919</v>
      </c>
      <c r="H8264" s="6" t="s">
        <v>51920</v>
      </c>
      <c r="K8264" s="5" t="s">
        <v>51921</v>
      </c>
    </row>
    <row r="8265">
      <c r="A8265" s="4">
        <v>45534.3987875</v>
      </c>
      <c r="B8265" s="5" t="s">
        <v>34</v>
      </c>
      <c r="D8265" s="5" t="s">
        <v>6232</v>
      </c>
      <c r="E8265" s="5" t="s">
        <v>51924</v>
      </c>
      <c r="F8265" s="5" t="s">
        <v>212</v>
      </c>
      <c r="G8265" s="5" t="s">
        <v>51925</v>
      </c>
      <c r="H8265" s="6" t="s">
        <v>51926</v>
      </c>
      <c r="K8265" s="5" t="s">
        <v>51921</v>
      </c>
    </row>
    <row r="8266">
      <c r="A8266" s="4">
        <v>45534.39881783565</v>
      </c>
      <c r="B8266" s="5" t="s">
        <v>34</v>
      </c>
      <c r="D8266" s="5" t="s">
        <v>9020</v>
      </c>
      <c r="E8266" s="5" t="s">
        <v>51929</v>
      </c>
      <c r="F8266" s="5" t="s">
        <v>199</v>
      </c>
      <c r="G8266" s="5" t="s">
        <v>51930</v>
      </c>
      <c r="H8266" s="6" t="s">
        <v>51931</v>
      </c>
      <c r="K8266" s="5" t="s">
        <v>51932</v>
      </c>
    </row>
    <row r="8267">
      <c r="A8267" s="4">
        <v>45534.39881875</v>
      </c>
      <c r="B8267" s="5" t="s">
        <v>19</v>
      </c>
      <c r="C8267" s="5" t="s">
        <v>14000</v>
      </c>
      <c r="E8267" s="5" t="s">
        <v>51935</v>
      </c>
      <c r="F8267" s="5" t="s">
        <v>375</v>
      </c>
      <c r="G8267" s="5" t="s">
        <v>51936</v>
      </c>
      <c r="H8267" s="6" t="s">
        <v>51937</v>
      </c>
      <c r="K8267" s="5" t="s">
        <v>51932</v>
      </c>
    </row>
    <row r="8268">
      <c r="A8268" s="4">
        <v>45534.39882699074</v>
      </c>
      <c r="B8268" s="5" t="s">
        <v>34</v>
      </c>
      <c r="D8268" s="5" t="s">
        <v>7858</v>
      </c>
      <c r="E8268" s="5" t="s">
        <v>51940</v>
      </c>
      <c r="F8268" s="5" t="s">
        <v>524</v>
      </c>
      <c r="G8268" s="5" t="s">
        <v>51941</v>
      </c>
      <c r="H8268" s="6" t="s">
        <v>51942</v>
      </c>
      <c r="K8268" s="5" t="s">
        <v>51932</v>
      </c>
    </row>
    <row r="8269">
      <c r="A8269" s="4">
        <v>45534.398846365744</v>
      </c>
      <c r="B8269" s="5" t="s">
        <v>19</v>
      </c>
      <c r="C8269" s="5" t="s">
        <v>32901</v>
      </c>
      <c r="E8269" s="5" t="s">
        <v>51945</v>
      </c>
      <c r="F8269" s="5" t="s">
        <v>72</v>
      </c>
      <c r="G8269" s="5" t="s">
        <v>51946</v>
      </c>
      <c r="H8269" s="6" t="s">
        <v>51947</v>
      </c>
      <c r="K8269" s="5" t="s">
        <v>51948</v>
      </c>
    </row>
    <row r="8270">
      <c r="A8270" s="4">
        <v>45534.398867916665</v>
      </c>
      <c r="B8270" s="5" t="s">
        <v>34</v>
      </c>
      <c r="D8270" s="5" t="s">
        <v>522</v>
      </c>
      <c r="E8270" s="5" t="s">
        <v>51951</v>
      </c>
      <c r="F8270" s="5" t="s">
        <v>37</v>
      </c>
      <c r="G8270" s="5" t="s">
        <v>51952</v>
      </c>
      <c r="H8270" s="6" t="s">
        <v>51953</v>
      </c>
      <c r="K8270" s="5" t="s">
        <v>51948</v>
      </c>
    </row>
    <row r="8271">
      <c r="A8271" s="4">
        <v>45534.39887877315</v>
      </c>
      <c r="B8271" s="5" t="s">
        <v>19</v>
      </c>
      <c r="C8271" s="5" t="s">
        <v>5564</v>
      </c>
      <c r="E8271" s="5" t="s">
        <v>51956</v>
      </c>
      <c r="F8271" s="5" t="s">
        <v>5566</v>
      </c>
      <c r="G8271" s="5" t="s">
        <v>51957</v>
      </c>
      <c r="H8271" s="6" t="s">
        <v>51958</v>
      </c>
      <c r="K8271" s="5" t="s">
        <v>51948</v>
      </c>
    </row>
    <row r="8272">
      <c r="A8272" s="4">
        <v>45534.398879456014</v>
      </c>
      <c r="B8272" s="5" t="s">
        <v>34</v>
      </c>
      <c r="D8272" s="5" t="s">
        <v>9020</v>
      </c>
      <c r="E8272" s="5" t="s">
        <v>47182</v>
      </c>
      <c r="F8272" s="5" t="s">
        <v>37</v>
      </c>
      <c r="G8272" s="5" t="s">
        <v>51961</v>
      </c>
      <c r="H8272" s="6" t="s">
        <v>51962</v>
      </c>
      <c r="K8272" s="5" t="s">
        <v>51948</v>
      </c>
    </row>
    <row r="8273">
      <c r="A8273" s="4">
        <v>45534.39888953704</v>
      </c>
      <c r="B8273" s="5" t="s">
        <v>34</v>
      </c>
      <c r="D8273" s="5" t="s">
        <v>14313</v>
      </c>
      <c r="E8273" s="5" t="s">
        <v>51965</v>
      </c>
      <c r="F8273" s="5" t="s">
        <v>108</v>
      </c>
      <c r="G8273" s="5" t="s">
        <v>51966</v>
      </c>
      <c r="H8273" s="6" t="s">
        <v>51967</v>
      </c>
      <c r="K8273" s="5" t="s">
        <v>51968</v>
      </c>
    </row>
    <row r="8274">
      <c r="A8274" s="4">
        <v>45534.39889788194</v>
      </c>
      <c r="B8274" s="5" t="s">
        <v>34</v>
      </c>
      <c r="D8274" s="5" t="s">
        <v>1692</v>
      </c>
      <c r="E8274" s="5" t="s">
        <v>51971</v>
      </c>
      <c r="F8274" s="5" t="s">
        <v>37</v>
      </c>
      <c r="G8274" s="5" t="s">
        <v>51972</v>
      </c>
      <c r="H8274" s="6" t="s">
        <v>51973</v>
      </c>
      <c r="K8274" s="5" t="s">
        <v>51974</v>
      </c>
    </row>
    <row r="8275">
      <c r="A8275" s="4">
        <v>45534.3989153125</v>
      </c>
      <c r="B8275" s="5" t="s">
        <v>34</v>
      </c>
      <c r="D8275" s="5" t="s">
        <v>3849</v>
      </c>
      <c r="E8275" s="5" t="s">
        <v>51977</v>
      </c>
      <c r="F8275" s="5" t="s">
        <v>715</v>
      </c>
      <c r="G8275" s="5" t="s">
        <v>51978</v>
      </c>
      <c r="H8275" s="6" t="s">
        <v>51979</v>
      </c>
      <c r="K8275" s="5" t="s">
        <v>51974</v>
      </c>
    </row>
    <row r="8276">
      <c r="A8276" s="4">
        <v>45534.39894972222</v>
      </c>
      <c r="B8276" s="5" t="s">
        <v>34</v>
      </c>
      <c r="D8276" s="5" t="s">
        <v>267</v>
      </c>
      <c r="E8276" s="5" t="s">
        <v>51982</v>
      </c>
      <c r="F8276" s="5" t="s">
        <v>524</v>
      </c>
      <c r="G8276" s="5" t="s">
        <v>51983</v>
      </c>
      <c r="H8276" s="6" t="s">
        <v>51984</v>
      </c>
      <c r="K8276" s="5" t="s">
        <v>51985</v>
      </c>
    </row>
    <row r="8277">
      <c r="A8277" s="4">
        <v>45534.399053518515</v>
      </c>
      <c r="B8277" s="5" t="s">
        <v>34</v>
      </c>
      <c r="D8277" s="5" t="s">
        <v>14313</v>
      </c>
      <c r="E8277" s="5" t="s">
        <v>51988</v>
      </c>
      <c r="F8277" s="5" t="s">
        <v>212</v>
      </c>
      <c r="G8277" s="5" t="s">
        <v>51989</v>
      </c>
      <c r="H8277" s="6" t="s">
        <v>51990</v>
      </c>
      <c r="K8277" s="5" t="s">
        <v>51991</v>
      </c>
    </row>
    <row r="8278">
      <c r="A8278" s="4">
        <v>45534.39907542824</v>
      </c>
      <c r="B8278" s="5" t="s">
        <v>34</v>
      </c>
      <c r="D8278" s="5" t="s">
        <v>1558</v>
      </c>
      <c r="E8278" s="5" t="s">
        <v>51994</v>
      </c>
      <c r="F8278" s="5" t="s">
        <v>375</v>
      </c>
      <c r="G8278" s="5" t="s">
        <v>51995</v>
      </c>
      <c r="H8278" s="6" t="s">
        <v>51996</v>
      </c>
      <c r="K8278" s="5" t="s">
        <v>51997</v>
      </c>
    </row>
    <row r="8279">
      <c r="A8279" s="4">
        <v>45534.39908282408</v>
      </c>
      <c r="B8279" s="5" t="s">
        <v>34</v>
      </c>
      <c r="D8279" s="5" t="s">
        <v>9020</v>
      </c>
      <c r="E8279" s="5" t="s">
        <v>52001</v>
      </c>
      <c r="F8279" s="5" t="s">
        <v>212</v>
      </c>
      <c r="G8279" s="5" t="s">
        <v>52002</v>
      </c>
      <c r="H8279" s="6" t="s">
        <v>52003</v>
      </c>
      <c r="K8279" s="5" t="s">
        <v>51997</v>
      </c>
    </row>
    <row r="8280">
      <c r="A8280" s="4">
        <v>45534.39908445602</v>
      </c>
      <c r="B8280" s="5" t="s">
        <v>34</v>
      </c>
      <c r="D8280" s="5" t="s">
        <v>701</v>
      </c>
      <c r="E8280" s="5" t="s">
        <v>52006</v>
      </c>
      <c r="F8280" s="5" t="s">
        <v>212</v>
      </c>
      <c r="G8280" s="5" t="s">
        <v>52007</v>
      </c>
      <c r="H8280" s="6" t="s">
        <v>52008</v>
      </c>
      <c r="K8280" s="5" t="s">
        <v>51997</v>
      </c>
    </row>
    <row r="8281">
      <c r="A8281" s="4">
        <v>45534.39908854167</v>
      </c>
      <c r="B8281" s="5" t="s">
        <v>34</v>
      </c>
      <c r="D8281" s="5" t="s">
        <v>9394</v>
      </c>
      <c r="E8281" s="5" t="s">
        <v>52011</v>
      </c>
      <c r="F8281" s="5" t="s">
        <v>37</v>
      </c>
      <c r="G8281" s="5" t="s">
        <v>52012</v>
      </c>
      <c r="H8281" s="6" t="s">
        <v>52013</v>
      </c>
      <c r="K8281" s="5" t="s">
        <v>51997</v>
      </c>
    </row>
    <row r="8282">
      <c r="A8282" s="4">
        <v>45534.39913310185</v>
      </c>
      <c r="B8282" s="5" t="s">
        <v>19</v>
      </c>
      <c r="C8282" s="5" t="s">
        <v>3471</v>
      </c>
      <c r="E8282" s="5" t="s">
        <v>52017</v>
      </c>
      <c r="F8282" s="5" t="s">
        <v>524</v>
      </c>
      <c r="G8282" s="5" t="s">
        <v>52018</v>
      </c>
      <c r="H8282" s="6" t="s">
        <v>52019</v>
      </c>
      <c r="K8282" s="5" t="s">
        <v>52020</v>
      </c>
    </row>
    <row r="8283">
      <c r="A8283" s="4">
        <v>45534.399136458334</v>
      </c>
      <c r="B8283" s="5" t="s">
        <v>34</v>
      </c>
      <c r="D8283" s="5" t="s">
        <v>996</v>
      </c>
      <c r="E8283" s="5" t="s">
        <v>52023</v>
      </c>
      <c r="F8283" s="5" t="s">
        <v>212</v>
      </c>
      <c r="G8283" s="5" t="s">
        <v>52024</v>
      </c>
      <c r="H8283" s="6" t="s">
        <v>52025</v>
      </c>
      <c r="K8283" s="5" t="s">
        <v>52026</v>
      </c>
    </row>
    <row r="8284">
      <c r="A8284" s="4">
        <v>45534.39913809027</v>
      </c>
      <c r="B8284" s="5" t="s">
        <v>34</v>
      </c>
      <c r="D8284" s="5" t="s">
        <v>1206</v>
      </c>
      <c r="E8284" s="5" t="s">
        <v>52029</v>
      </c>
      <c r="F8284" s="5" t="s">
        <v>212</v>
      </c>
      <c r="G8284" s="5" t="s">
        <v>52030</v>
      </c>
      <c r="H8284" s="6" t="s">
        <v>52031</v>
      </c>
      <c r="K8284" s="5" t="s">
        <v>52026</v>
      </c>
    </row>
    <row r="8285">
      <c r="A8285" s="4">
        <v>45534.3992343287</v>
      </c>
      <c r="B8285" s="5" t="s">
        <v>34</v>
      </c>
      <c r="D8285" s="5" t="s">
        <v>15401</v>
      </c>
      <c r="E8285" s="5" t="s">
        <v>52034</v>
      </c>
      <c r="F8285" s="5" t="s">
        <v>212</v>
      </c>
      <c r="G8285" s="5" t="s">
        <v>52035</v>
      </c>
      <c r="H8285" s="6" t="s">
        <v>52036</v>
      </c>
      <c r="K8285" s="5" t="s">
        <v>52037</v>
      </c>
    </row>
    <row r="8286">
      <c r="A8286" s="4">
        <v>45534.399312696754</v>
      </c>
      <c r="B8286" s="5" t="s">
        <v>34</v>
      </c>
      <c r="D8286" s="5" t="s">
        <v>4775</v>
      </c>
      <c r="E8286" s="5" t="s">
        <v>52040</v>
      </c>
      <c r="F8286" s="5" t="s">
        <v>37</v>
      </c>
      <c r="G8286" s="5" t="s">
        <v>52041</v>
      </c>
      <c r="H8286" s="6" t="s">
        <v>52042</v>
      </c>
      <c r="K8286" s="5" t="s">
        <v>52043</v>
      </c>
    </row>
    <row r="8287">
      <c r="A8287" s="4">
        <v>45534.399339317126</v>
      </c>
      <c r="B8287" s="5" t="s">
        <v>34</v>
      </c>
      <c r="D8287" s="5" t="s">
        <v>701</v>
      </c>
      <c r="E8287" s="5" t="s">
        <v>52046</v>
      </c>
      <c r="F8287" s="5" t="s">
        <v>108</v>
      </c>
      <c r="G8287" s="5" t="s">
        <v>52047</v>
      </c>
      <c r="H8287" s="6" t="s">
        <v>52048</v>
      </c>
      <c r="K8287" s="5" t="s">
        <v>52049</v>
      </c>
    </row>
    <row r="8288">
      <c r="A8288" s="4">
        <v>45534.39938059028</v>
      </c>
      <c r="B8288" s="5" t="s">
        <v>34</v>
      </c>
      <c r="D8288" s="5" t="s">
        <v>701</v>
      </c>
      <c r="E8288" s="5" t="s">
        <v>52052</v>
      </c>
      <c r="F8288" s="5" t="s">
        <v>5859</v>
      </c>
      <c r="G8288" s="5" t="s">
        <v>52053</v>
      </c>
      <c r="H8288" s="6" t="s">
        <v>52054</v>
      </c>
      <c r="K8288" s="5" t="s">
        <v>52055</v>
      </c>
    </row>
    <row r="8289">
      <c r="A8289" s="4">
        <v>45534.399424999996</v>
      </c>
      <c r="B8289" s="5" t="s">
        <v>34</v>
      </c>
      <c r="D8289" s="5" t="s">
        <v>12978</v>
      </c>
      <c r="E8289" s="5" t="s">
        <v>18430</v>
      </c>
      <c r="F8289" s="5" t="s">
        <v>37</v>
      </c>
      <c r="G8289" s="5" t="s">
        <v>52058</v>
      </c>
      <c r="H8289" s="6" t="s">
        <v>52059</v>
      </c>
      <c r="K8289" s="5" t="s">
        <v>52060</v>
      </c>
    </row>
    <row r="8290">
      <c r="A8290" s="4">
        <v>45534.3994256713</v>
      </c>
      <c r="B8290" s="5" t="s">
        <v>34</v>
      </c>
      <c r="D8290" s="5" t="s">
        <v>267</v>
      </c>
      <c r="E8290" s="5" t="s">
        <v>52063</v>
      </c>
      <c r="F8290" s="5" t="s">
        <v>120</v>
      </c>
      <c r="G8290" s="5" t="s">
        <v>52064</v>
      </c>
      <c r="H8290" s="6" t="s">
        <v>52065</v>
      </c>
      <c r="K8290" s="5" t="s">
        <v>52060</v>
      </c>
    </row>
    <row r="8291">
      <c r="A8291" s="4">
        <v>45534.39943329861</v>
      </c>
      <c r="B8291" s="5" t="s">
        <v>34</v>
      </c>
      <c r="D8291" s="5" t="s">
        <v>35</v>
      </c>
      <c r="E8291" s="5" t="s">
        <v>35704</v>
      </c>
      <c r="F8291" s="5" t="s">
        <v>524</v>
      </c>
      <c r="G8291" s="5" t="s">
        <v>52068</v>
      </c>
      <c r="H8291" s="6" t="s">
        <v>52069</v>
      </c>
      <c r="K8291" s="5" t="s">
        <v>52060</v>
      </c>
    </row>
    <row r="8292">
      <c r="A8292" s="4">
        <v>45534.39945159722</v>
      </c>
      <c r="B8292" s="5" t="s">
        <v>34</v>
      </c>
      <c r="D8292" s="5" t="s">
        <v>1206</v>
      </c>
      <c r="E8292" s="5" t="s">
        <v>52072</v>
      </c>
      <c r="F8292" s="5" t="s">
        <v>212</v>
      </c>
      <c r="G8292" s="5" t="s">
        <v>52073</v>
      </c>
      <c r="H8292" s="6" t="s">
        <v>52074</v>
      </c>
      <c r="K8292" s="5" t="s">
        <v>52075</v>
      </c>
    </row>
    <row r="8293">
      <c r="A8293" s="4">
        <v>45534.399453645834</v>
      </c>
      <c r="B8293" s="5" t="s">
        <v>34</v>
      </c>
      <c r="D8293" s="5" t="s">
        <v>1206</v>
      </c>
      <c r="E8293" s="5" t="s">
        <v>52078</v>
      </c>
      <c r="F8293" s="5" t="s">
        <v>37</v>
      </c>
      <c r="G8293" s="5" t="s">
        <v>52079</v>
      </c>
      <c r="H8293" s="6" t="s">
        <v>52080</v>
      </c>
      <c r="K8293" s="5" t="s">
        <v>52075</v>
      </c>
    </row>
    <row r="8294">
      <c r="A8294" s="4">
        <v>45534.39949277778</v>
      </c>
      <c r="B8294" s="5" t="s">
        <v>34</v>
      </c>
      <c r="D8294" s="5" t="s">
        <v>1456</v>
      </c>
      <c r="E8294" s="5" t="s">
        <v>52083</v>
      </c>
      <c r="F8294" s="5" t="s">
        <v>72</v>
      </c>
      <c r="G8294" s="5" t="s">
        <v>52084</v>
      </c>
      <c r="H8294" s="6" t="s">
        <v>52085</v>
      </c>
      <c r="K8294" s="5" t="s">
        <v>52086</v>
      </c>
    </row>
    <row r="8295">
      <c r="A8295" s="4">
        <v>45534.399494259254</v>
      </c>
      <c r="B8295" s="5" t="s">
        <v>34</v>
      </c>
      <c r="D8295" s="5" t="s">
        <v>9394</v>
      </c>
      <c r="E8295" s="5" t="s">
        <v>52089</v>
      </c>
      <c r="F8295" s="5" t="s">
        <v>212</v>
      </c>
      <c r="G8295" s="5" t="s">
        <v>52090</v>
      </c>
      <c r="H8295" s="6" t="s">
        <v>52091</v>
      </c>
      <c r="K8295" s="5" t="s">
        <v>52086</v>
      </c>
    </row>
    <row r="8296">
      <c r="A8296" s="4">
        <v>45534.39949564815</v>
      </c>
      <c r="B8296" s="5" t="s">
        <v>34</v>
      </c>
      <c r="D8296" s="5" t="s">
        <v>4775</v>
      </c>
      <c r="E8296" s="5" t="s">
        <v>52095</v>
      </c>
      <c r="F8296" s="5" t="s">
        <v>212</v>
      </c>
      <c r="G8296" s="5" t="s">
        <v>52096</v>
      </c>
      <c r="H8296" s="6" t="s">
        <v>52097</v>
      </c>
      <c r="K8296" s="5" t="s">
        <v>52086</v>
      </c>
    </row>
    <row r="8297">
      <c r="A8297" s="4">
        <v>45534.39951574074</v>
      </c>
      <c r="B8297" s="5" t="s">
        <v>34</v>
      </c>
      <c r="D8297" s="5" t="s">
        <v>4775</v>
      </c>
      <c r="E8297" s="5" t="s">
        <v>52100</v>
      </c>
      <c r="F8297" s="5" t="s">
        <v>715</v>
      </c>
      <c r="G8297" s="5" t="s">
        <v>52101</v>
      </c>
      <c r="H8297" s="6" t="s">
        <v>52102</v>
      </c>
      <c r="K8297" s="5" t="s">
        <v>52086</v>
      </c>
    </row>
    <row r="8298">
      <c r="A8298" s="4">
        <v>45534.3995547338</v>
      </c>
      <c r="B8298" s="5" t="s">
        <v>34</v>
      </c>
      <c r="D8298" s="5" t="s">
        <v>4775</v>
      </c>
      <c r="E8298" s="5" t="s">
        <v>52105</v>
      </c>
      <c r="F8298" s="5" t="s">
        <v>212</v>
      </c>
      <c r="G8298" s="5" t="s">
        <v>52106</v>
      </c>
      <c r="H8298" s="6" t="s">
        <v>52107</v>
      </c>
      <c r="K8298" s="5" t="s">
        <v>52108</v>
      </c>
    </row>
    <row r="8299">
      <c r="A8299" s="4">
        <v>45534.39958778935</v>
      </c>
      <c r="B8299" s="5" t="s">
        <v>34</v>
      </c>
      <c r="D8299" s="5" t="s">
        <v>1206</v>
      </c>
      <c r="E8299" s="5" t="s">
        <v>52111</v>
      </c>
      <c r="F8299" s="5" t="s">
        <v>37</v>
      </c>
      <c r="G8299" s="5" t="s">
        <v>52112</v>
      </c>
      <c r="H8299" s="6" t="s">
        <v>52113</v>
      </c>
      <c r="K8299" s="5" t="s">
        <v>52114</v>
      </c>
    </row>
    <row r="8300">
      <c r="A8300" s="4">
        <v>45534.3996541088</v>
      </c>
      <c r="B8300" s="5" t="s">
        <v>34</v>
      </c>
      <c r="D8300" s="5" t="s">
        <v>267</v>
      </c>
      <c r="E8300" s="5" t="s">
        <v>52117</v>
      </c>
      <c r="F8300" s="5" t="s">
        <v>212</v>
      </c>
      <c r="G8300" s="5" t="s">
        <v>52118</v>
      </c>
      <c r="H8300" s="6" t="s">
        <v>52119</v>
      </c>
      <c r="K8300" s="5" t="s">
        <v>52120</v>
      </c>
    </row>
    <row r="8301">
      <c r="A8301" s="4">
        <v>45534.39967060185</v>
      </c>
      <c r="B8301" s="5" t="s">
        <v>34</v>
      </c>
      <c r="D8301" s="5" t="s">
        <v>1558</v>
      </c>
      <c r="E8301" s="5" t="s">
        <v>52123</v>
      </c>
      <c r="F8301" s="5" t="s">
        <v>37</v>
      </c>
      <c r="G8301" s="5" t="s">
        <v>52124</v>
      </c>
      <c r="H8301" s="6" t="s">
        <v>52125</v>
      </c>
      <c r="K8301" s="5" t="s">
        <v>52120</v>
      </c>
    </row>
    <row r="8302">
      <c r="A8302" s="4">
        <v>45534.39969152778</v>
      </c>
      <c r="B8302" s="5" t="s">
        <v>34</v>
      </c>
      <c r="D8302" s="5" t="s">
        <v>1558</v>
      </c>
      <c r="E8302" s="5" t="s">
        <v>52129</v>
      </c>
      <c r="F8302" s="5" t="s">
        <v>212</v>
      </c>
      <c r="G8302" s="5" t="s">
        <v>52130</v>
      </c>
      <c r="H8302" s="6" t="s">
        <v>52131</v>
      </c>
      <c r="K8302" s="5" t="s">
        <v>52132</v>
      </c>
    </row>
    <row r="8303">
      <c r="A8303" s="4">
        <v>45534.399692997686</v>
      </c>
      <c r="B8303" s="5" t="s">
        <v>34</v>
      </c>
      <c r="D8303" s="5" t="s">
        <v>1206</v>
      </c>
      <c r="E8303" s="5" t="s">
        <v>52135</v>
      </c>
      <c r="F8303" s="5" t="s">
        <v>212</v>
      </c>
      <c r="G8303" s="5" t="s">
        <v>52136</v>
      </c>
      <c r="H8303" s="6" t="s">
        <v>52137</v>
      </c>
      <c r="K8303" s="5" t="s">
        <v>52132</v>
      </c>
    </row>
    <row r="8304">
      <c r="A8304" s="4">
        <v>45534.39970412037</v>
      </c>
      <c r="B8304" s="5" t="s">
        <v>34</v>
      </c>
      <c r="D8304" s="5" t="s">
        <v>267</v>
      </c>
      <c r="E8304" s="5" t="s">
        <v>22677</v>
      </c>
      <c r="F8304" s="5" t="s">
        <v>212</v>
      </c>
      <c r="G8304" s="5" t="s">
        <v>52140</v>
      </c>
      <c r="H8304" s="6" t="s">
        <v>52141</v>
      </c>
      <c r="K8304" s="5" t="s">
        <v>52132</v>
      </c>
    </row>
    <row r="8305">
      <c r="A8305" s="4">
        <v>45534.39970494213</v>
      </c>
      <c r="B8305" s="5" t="s">
        <v>34</v>
      </c>
      <c r="D8305" s="5" t="s">
        <v>1206</v>
      </c>
      <c r="E8305" s="5" t="s">
        <v>52144</v>
      </c>
      <c r="F8305" s="5" t="s">
        <v>375</v>
      </c>
      <c r="G8305" s="5" t="s">
        <v>52145</v>
      </c>
      <c r="H8305" s="6" t="s">
        <v>52146</v>
      </c>
      <c r="K8305" s="5" t="s">
        <v>52132</v>
      </c>
    </row>
    <row r="8306">
      <c r="A8306" s="4">
        <v>45534.39972252314</v>
      </c>
      <c r="B8306" s="5" t="s">
        <v>19</v>
      </c>
      <c r="C8306" s="5" t="s">
        <v>20</v>
      </c>
      <c r="E8306" s="5" t="s">
        <v>52149</v>
      </c>
      <c r="F8306" s="5" t="s">
        <v>375</v>
      </c>
      <c r="G8306" s="5" t="s">
        <v>52150</v>
      </c>
      <c r="H8306" s="6" t="s">
        <v>52151</v>
      </c>
      <c r="K8306" s="5" t="s">
        <v>52132</v>
      </c>
    </row>
    <row r="8307">
      <c r="A8307" s="4">
        <v>45534.3998662963</v>
      </c>
      <c r="B8307" s="5" t="s">
        <v>19</v>
      </c>
      <c r="C8307" s="5" t="s">
        <v>292</v>
      </c>
      <c r="E8307" s="5" t="s">
        <v>52155</v>
      </c>
      <c r="F8307" s="5" t="s">
        <v>524</v>
      </c>
      <c r="G8307" s="5" t="s">
        <v>52156</v>
      </c>
      <c r="H8307" s="6" t="s">
        <v>52157</v>
      </c>
      <c r="K8307" s="5" t="s">
        <v>52158</v>
      </c>
    </row>
    <row r="8308">
      <c r="A8308" s="4">
        <v>45534.3999034375</v>
      </c>
      <c r="B8308" s="5" t="s">
        <v>34</v>
      </c>
      <c r="D8308" s="5" t="s">
        <v>4775</v>
      </c>
      <c r="E8308" s="5" t="s">
        <v>52161</v>
      </c>
      <c r="F8308" s="5" t="s">
        <v>524</v>
      </c>
      <c r="G8308" s="5" t="s">
        <v>52162</v>
      </c>
      <c r="H8308" s="6" t="s">
        <v>52163</v>
      </c>
      <c r="K8308" s="5" t="s">
        <v>52158</v>
      </c>
    </row>
    <row r="8309">
      <c r="A8309" s="4">
        <v>45534.39990415509</v>
      </c>
      <c r="B8309" s="5" t="s">
        <v>34</v>
      </c>
      <c r="D8309" s="5" t="s">
        <v>12978</v>
      </c>
      <c r="E8309" s="5" t="s">
        <v>52166</v>
      </c>
      <c r="F8309" s="5" t="s">
        <v>108</v>
      </c>
      <c r="G8309" s="5" t="s">
        <v>52167</v>
      </c>
      <c r="H8309" s="6" t="s">
        <v>52168</v>
      </c>
      <c r="K8309" s="5" t="s">
        <v>52158</v>
      </c>
    </row>
    <row r="8310">
      <c r="A8310" s="4">
        <v>45534.3999362037</v>
      </c>
      <c r="B8310" s="5" t="s">
        <v>19</v>
      </c>
      <c r="C8310" s="5" t="s">
        <v>20</v>
      </c>
      <c r="E8310" s="5" t="s">
        <v>52171</v>
      </c>
      <c r="F8310" s="5" t="s">
        <v>108</v>
      </c>
      <c r="G8310" s="5" t="s">
        <v>52172</v>
      </c>
      <c r="H8310" s="6" t="s">
        <v>52173</v>
      </c>
      <c r="K8310" s="5" t="s">
        <v>52158</v>
      </c>
    </row>
    <row r="8311">
      <c r="A8311" s="4">
        <v>45534.39997221065</v>
      </c>
      <c r="B8311" s="5" t="s">
        <v>34</v>
      </c>
      <c r="D8311" s="5" t="s">
        <v>4775</v>
      </c>
      <c r="E8311" s="7" t="s">
        <v>52176</v>
      </c>
      <c r="F8311" s="5" t="s">
        <v>375</v>
      </c>
      <c r="G8311" s="5" t="s">
        <v>52177</v>
      </c>
      <c r="H8311" s="6" t="s">
        <v>52178</v>
      </c>
      <c r="K8311" s="5" t="s">
        <v>52158</v>
      </c>
    </row>
    <row r="8312">
      <c r="A8312" s="4">
        <v>45534.39997273148</v>
      </c>
      <c r="B8312" s="5" t="s">
        <v>34</v>
      </c>
      <c r="D8312" s="5" t="s">
        <v>4775</v>
      </c>
      <c r="E8312" s="5" t="s">
        <v>52182</v>
      </c>
      <c r="F8312" s="5" t="s">
        <v>72</v>
      </c>
      <c r="G8312" s="5" t="s">
        <v>52183</v>
      </c>
      <c r="H8312" s="6" t="s">
        <v>52184</v>
      </c>
      <c r="K8312" s="5" t="s">
        <v>52158</v>
      </c>
    </row>
    <row r="8313">
      <c r="A8313" s="4">
        <v>45534.40007201389</v>
      </c>
      <c r="B8313" s="5" t="s">
        <v>34</v>
      </c>
      <c r="D8313" s="5" t="s">
        <v>9394</v>
      </c>
      <c r="E8313" s="5" t="s">
        <v>52188</v>
      </c>
      <c r="F8313" s="5" t="s">
        <v>524</v>
      </c>
      <c r="G8313" s="5" t="s">
        <v>52189</v>
      </c>
      <c r="H8313" s="6" t="s">
        <v>52190</v>
      </c>
      <c r="K8313" s="5" t="s">
        <v>52191</v>
      </c>
    </row>
    <row r="8314">
      <c r="A8314" s="4">
        <v>45534.40018840278</v>
      </c>
      <c r="B8314" s="5" t="s">
        <v>34</v>
      </c>
      <c r="D8314" s="5" t="s">
        <v>7858</v>
      </c>
      <c r="E8314" s="5" t="s">
        <v>52195</v>
      </c>
      <c r="F8314" s="5" t="s">
        <v>212</v>
      </c>
      <c r="G8314" s="5" t="s">
        <v>52196</v>
      </c>
      <c r="H8314" s="6" t="s">
        <v>52197</v>
      </c>
      <c r="K8314" s="5" t="s">
        <v>52198</v>
      </c>
    </row>
    <row r="8315">
      <c r="A8315" s="4">
        <v>45534.40019351852</v>
      </c>
      <c r="B8315" s="5" t="s">
        <v>34</v>
      </c>
      <c r="D8315" s="5" t="s">
        <v>12978</v>
      </c>
      <c r="E8315" s="5" t="s">
        <v>52202</v>
      </c>
      <c r="F8315" s="5" t="s">
        <v>72</v>
      </c>
      <c r="G8315" s="5" t="s">
        <v>52203</v>
      </c>
      <c r="H8315" s="6" t="s">
        <v>52204</v>
      </c>
      <c r="K8315" s="5" t="s">
        <v>52198</v>
      </c>
    </row>
    <row r="8316">
      <c r="A8316" s="4">
        <v>45534.400206805556</v>
      </c>
      <c r="B8316" s="5" t="s">
        <v>34</v>
      </c>
      <c r="D8316" s="5" t="s">
        <v>14313</v>
      </c>
      <c r="E8316" s="5" t="s">
        <v>52208</v>
      </c>
      <c r="F8316" s="5" t="s">
        <v>715</v>
      </c>
      <c r="G8316" s="5" t="s">
        <v>52209</v>
      </c>
      <c r="H8316" s="6" t="s">
        <v>52210</v>
      </c>
      <c r="K8316" s="5" t="s">
        <v>52198</v>
      </c>
    </row>
    <row r="8317">
      <c r="A8317" s="4">
        <v>45534.40025799768</v>
      </c>
      <c r="B8317" s="5" t="s">
        <v>34</v>
      </c>
      <c r="D8317" s="5" t="s">
        <v>267</v>
      </c>
      <c r="E8317" s="5" t="s">
        <v>52214</v>
      </c>
      <c r="F8317" s="5" t="s">
        <v>375</v>
      </c>
      <c r="G8317" s="5" t="s">
        <v>52215</v>
      </c>
      <c r="H8317" s="6" t="s">
        <v>52216</v>
      </c>
      <c r="K8317" s="5" t="s">
        <v>52217</v>
      </c>
    </row>
    <row r="8318">
      <c r="A8318" s="4">
        <v>45534.40030545139</v>
      </c>
      <c r="B8318" s="5" t="s">
        <v>34</v>
      </c>
      <c r="D8318" s="5" t="s">
        <v>280</v>
      </c>
      <c r="E8318" s="5" t="s">
        <v>52221</v>
      </c>
      <c r="F8318" s="5" t="s">
        <v>212</v>
      </c>
      <c r="G8318" s="5" t="s">
        <v>52222</v>
      </c>
      <c r="H8318" s="6" t="s">
        <v>52223</v>
      </c>
      <c r="K8318" s="5" t="s">
        <v>52224</v>
      </c>
    </row>
    <row r="8319">
      <c r="A8319" s="4">
        <v>45534.40035628472</v>
      </c>
      <c r="B8319" s="5" t="s">
        <v>34</v>
      </c>
      <c r="D8319" s="5" t="s">
        <v>6232</v>
      </c>
      <c r="E8319" s="5" t="s">
        <v>52228</v>
      </c>
      <c r="F8319" s="5" t="s">
        <v>37</v>
      </c>
      <c r="G8319" s="5" t="s">
        <v>52229</v>
      </c>
      <c r="H8319" s="6" t="s">
        <v>52230</v>
      </c>
      <c r="K8319" s="5" t="s">
        <v>52231</v>
      </c>
    </row>
    <row r="8320">
      <c r="A8320" s="4">
        <v>45534.40036384259</v>
      </c>
      <c r="B8320" s="5" t="s">
        <v>34</v>
      </c>
      <c r="D8320" s="5" t="s">
        <v>267</v>
      </c>
      <c r="E8320" s="5" t="s">
        <v>52235</v>
      </c>
      <c r="F8320" s="5" t="s">
        <v>212</v>
      </c>
      <c r="G8320" s="5" t="s">
        <v>52236</v>
      </c>
      <c r="H8320" s="6" t="s">
        <v>52237</v>
      </c>
      <c r="K8320" s="5" t="s">
        <v>52231</v>
      </c>
    </row>
    <row r="8321">
      <c r="A8321" s="4">
        <v>45534.40037960648</v>
      </c>
      <c r="B8321" s="5" t="s">
        <v>34</v>
      </c>
      <c r="D8321" s="5" t="s">
        <v>280</v>
      </c>
      <c r="E8321" s="5" t="s">
        <v>52241</v>
      </c>
      <c r="F8321" s="5" t="s">
        <v>375</v>
      </c>
      <c r="G8321" s="5" t="s">
        <v>52242</v>
      </c>
      <c r="H8321" s="6" t="s">
        <v>52243</v>
      </c>
      <c r="K8321" s="5" t="s">
        <v>52231</v>
      </c>
    </row>
    <row r="8322">
      <c r="A8322" s="4">
        <v>45534.400393749995</v>
      </c>
      <c r="B8322" s="5" t="s">
        <v>34</v>
      </c>
      <c r="D8322" s="5" t="s">
        <v>701</v>
      </c>
      <c r="E8322" s="5" t="s">
        <v>52247</v>
      </c>
      <c r="F8322" s="5" t="s">
        <v>72</v>
      </c>
      <c r="G8322" s="5" t="s">
        <v>52248</v>
      </c>
      <c r="H8322" s="6" t="s">
        <v>52249</v>
      </c>
      <c r="K8322" s="5" t="s">
        <v>52231</v>
      </c>
    </row>
    <row r="8323">
      <c r="A8323" s="4">
        <v>45534.400419178244</v>
      </c>
      <c r="B8323" s="5" t="s">
        <v>34</v>
      </c>
      <c r="D8323" s="5" t="s">
        <v>4775</v>
      </c>
      <c r="E8323" s="5" t="s">
        <v>27528</v>
      </c>
      <c r="F8323" s="5" t="s">
        <v>212</v>
      </c>
      <c r="G8323" s="5" t="s">
        <v>52253</v>
      </c>
      <c r="H8323" s="6" t="s">
        <v>52254</v>
      </c>
      <c r="K8323" s="5" t="s">
        <v>52231</v>
      </c>
    </row>
    <row r="8324">
      <c r="A8324" s="4">
        <v>45534.40042398148</v>
      </c>
      <c r="B8324" s="5" t="s">
        <v>34</v>
      </c>
      <c r="D8324" s="5" t="s">
        <v>12978</v>
      </c>
      <c r="E8324" s="5" t="s">
        <v>52257</v>
      </c>
      <c r="F8324" s="5" t="s">
        <v>212</v>
      </c>
      <c r="G8324" s="5" t="s">
        <v>52258</v>
      </c>
      <c r="H8324" s="6" t="s">
        <v>52259</v>
      </c>
      <c r="K8324" s="5" t="s">
        <v>52231</v>
      </c>
    </row>
    <row r="8325">
      <c r="A8325" s="4">
        <v>45534.40045490741</v>
      </c>
      <c r="B8325" s="5" t="s">
        <v>34</v>
      </c>
      <c r="D8325" s="5" t="s">
        <v>4775</v>
      </c>
      <c r="E8325" s="5" t="s">
        <v>52262</v>
      </c>
      <c r="F8325" s="5" t="s">
        <v>375</v>
      </c>
      <c r="G8325" s="5" t="s">
        <v>52263</v>
      </c>
      <c r="H8325" s="6" t="s">
        <v>52264</v>
      </c>
      <c r="K8325" s="5" t="s">
        <v>52231</v>
      </c>
    </row>
    <row r="8326">
      <c r="A8326" s="4">
        <v>45534.40046725694</v>
      </c>
      <c r="B8326" s="5" t="s">
        <v>19</v>
      </c>
      <c r="C8326" s="5" t="s">
        <v>292</v>
      </c>
      <c r="E8326" s="5" t="s">
        <v>52268</v>
      </c>
      <c r="F8326" s="5" t="s">
        <v>375</v>
      </c>
      <c r="G8326" s="5" t="s">
        <v>52269</v>
      </c>
      <c r="H8326" s="6" t="s">
        <v>52270</v>
      </c>
      <c r="K8326" s="5" t="s">
        <v>52231</v>
      </c>
    </row>
    <row r="8327">
      <c r="A8327" s="4">
        <v>45534.40050708334</v>
      </c>
      <c r="B8327" s="5" t="s">
        <v>34</v>
      </c>
      <c r="D8327" s="5" t="s">
        <v>4775</v>
      </c>
      <c r="E8327" s="5" t="s">
        <v>52273</v>
      </c>
      <c r="F8327" s="5" t="s">
        <v>72</v>
      </c>
      <c r="G8327" s="5" t="s">
        <v>52274</v>
      </c>
      <c r="H8327" s="6" t="s">
        <v>52275</v>
      </c>
      <c r="K8327" s="5" t="s">
        <v>52231</v>
      </c>
    </row>
    <row r="8328">
      <c r="A8328" s="4">
        <v>45534.40053596065</v>
      </c>
      <c r="B8328" s="5" t="s">
        <v>34</v>
      </c>
      <c r="D8328" s="5" t="s">
        <v>9020</v>
      </c>
      <c r="E8328" s="5" t="s">
        <v>52278</v>
      </c>
      <c r="F8328" s="5" t="s">
        <v>524</v>
      </c>
      <c r="G8328" s="5" t="s">
        <v>52279</v>
      </c>
      <c r="H8328" s="6" t="s">
        <v>52280</v>
      </c>
      <c r="K8328" s="5" t="s">
        <v>52231</v>
      </c>
    </row>
    <row r="8329">
      <c r="A8329" s="4">
        <v>45534.40056511574</v>
      </c>
      <c r="B8329" s="5" t="s">
        <v>19</v>
      </c>
      <c r="C8329" s="5" t="s">
        <v>26187</v>
      </c>
      <c r="E8329" s="5" t="s">
        <v>52284</v>
      </c>
      <c r="F8329" s="5" t="s">
        <v>120</v>
      </c>
      <c r="G8329" s="5" t="s">
        <v>52285</v>
      </c>
      <c r="H8329" s="6" t="s">
        <v>52286</v>
      </c>
      <c r="K8329" s="5" t="s">
        <v>52231</v>
      </c>
    </row>
    <row r="8330">
      <c r="A8330" s="4">
        <v>45534.40058140046</v>
      </c>
      <c r="B8330" s="5" t="s">
        <v>19</v>
      </c>
      <c r="C8330" s="5" t="s">
        <v>5058</v>
      </c>
      <c r="E8330" s="5" t="s">
        <v>52290</v>
      </c>
      <c r="F8330" s="5" t="s">
        <v>375</v>
      </c>
      <c r="G8330" s="5" t="s">
        <v>52291</v>
      </c>
      <c r="H8330" s="6" t="s">
        <v>52292</v>
      </c>
      <c r="K8330" s="5" t="s">
        <v>52231</v>
      </c>
    </row>
    <row r="8331">
      <c r="A8331" s="4">
        <v>45534.40061921296</v>
      </c>
      <c r="B8331" s="5" t="s">
        <v>19</v>
      </c>
      <c r="C8331" s="5" t="s">
        <v>466</v>
      </c>
      <c r="E8331" s="5" t="s">
        <v>52295</v>
      </c>
      <c r="F8331" s="5" t="s">
        <v>524</v>
      </c>
      <c r="G8331" s="5" t="s">
        <v>52296</v>
      </c>
      <c r="H8331" s="6" t="s">
        <v>52297</v>
      </c>
      <c r="K8331" s="5" t="s">
        <v>52231</v>
      </c>
    </row>
    <row r="8332">
      <c r="A8332" s="4">
        <v>45534.40062303241</v>
      </c>
      <c r="B8332" s="5" t="s">
        <v>34</v>
      </c>
      <c r="D8332" s="5" t="s">
        <v>12978</v>
      </c>
      <c r="E8332" s="5" t="s">
        <v>52300</v>
      </c>
      <c r="F8332" s="5" t="s">
        <v>375</v>
      </c>
      <c r="G8332" s="5" t="s">
        <v>52301</v>
      </c>
      <c r="H8332" s="6" t="s">
        <v>52302</v>
      </c>
      <c r="K8332" s="5" t="s">
        <v>52231</v>
      </c>
    </row>
    <row r="8333">
      <c r="A8333" s="4">
        <v>45534.400647002316</v>
      </c>
      <c r="B8333" s="5" t="s">
        <v>34</v>
      </c>
      <c r="D8333" s="5" t="s">
        <v>701</v>
      </c>
      <c r="E8333" s="5" t="s">
        <v>52305</v>
      </c>
      <c r="F8333" s="5" t="s">
        <v>108</v>
      </c>
      <c r="G8333" s="5" t="s">
        <v>52306</v>
      </c>
      <c r="H8333" s="6" t="s">
        <v>52307</v>
      </c>
      <c r="K8333" s="5" t="s">
        <v>52231</v>
      </c>
    </row>
    <row r="8334">
      <c r="A8334" s="4">
        <v>45534.4006990162</v>
      </c>
      <c r="B8334" s="5" t="s">
        <v>34</v>
      </c>
      <c r="D8334" s="5" t="s">
        <v>267</v>
      </c>
      <c r="E8334" s="5" t="s">
        <v>52310</v>
      </c>
      <c r="F8334" s="5" t="s">
        <v>524</v>
      </c>
      <c r="G8334" s="5" t="s">
        <v>52311</v>
      </c>
      <c r="H8334" s="6" t="s">
        <v>52312</v>
      </c>
      <c r="K8334" s="5" t="s">
        <v>52231</v>
      </c>
    </row>
    <row r="8335">
      <c r="A8335" s="4">
        <v>45534.400729409725</v>
      </c>
      <c r="B8335" s="5" t="s">
        <v>34</v>
      </c>
      <c r="D8335" s="5" t="s">
        <v>2903</v>
      </c>
      <c r="E8335" s="5" t="s">
        <v>52315</v>
      </c>
      <c r="F8335" s="5" t="s">
        <v>524</v>
      </c>
      <c r="G8335" s="5" t="s">
        <v>52316</v>
      </c>
      <c r="H8335" s="6" t="s">
        <v>52317</v>
      </c>
      <c r="K8335" s="5" t="s">
        <v>52318</v>
      </c>
    </row>
    <row r="8336">
      <c r="A8336" s="4">
        <v>45534.40073738426</v>
      </c>
      <c r="B8336" s="5" t="s">
        <v>34</v>
      </c>
      <c r="D8336" s="5" t="s">
        <v>12978</v>
      </c>
      <c r="E8336" s="5" t="s">
        <v>52321</v>
      </c>
      <c r="F8336" s="5" t="s">
        <v>72</v>
      </c>
      <c r="G8336" s="5" t="s">
        <v>52322</v>
      </c>
      <c r="H8336" s="6" t="s">
        <v>52323</v>
      </c>
      <c r="K8336" s="5" t="s">
        <v>52318</v>
      </c>
    </row>
    <row r="8337">
      <c r="A8337" s="4">
        <v>45534.40076052083</v>
      </c>
      <c r="B8337" s="5" t="s">
        <v>34</v>
      </c>
      <c r="D8337" s="5" t="s">
        <v>701</v>
      </c>
      <c r="E8337" s="5" t="s">
        <v>52327</v>
      </c>
      <c r="F8337" s="5" t="s">
        <v>37</v>
      </c>
      <c r="G8337" s="5" t="s">
        <v>52328</v>
      </c>
      <c r="H8337" s="6" t="s">
        <v>52329</v>
      </c>
      <c r="K8337" s="5" t="s">
        <v>52318</v>
      </c>
    </row>
    <row r="8338">
      <c r="A8338" s="4">
        <v>45534.400773553236</v>
      </c>
      <c r="B8338" s="5" t="s">
        <v>19</v>
      </c>
      <c r="C8338" s="5" t="s">
        <v>292</v>
      </c>
      <c r="E8338" s="5" t="s">
        <v>52332</v>
      </c>
      <c r="F8338" s="5" t="s">
        <v>375</v>
      </c>
      <c r="G8338" s="5" t="s">
        <v>52333</v>
      </c>
      <c r="H8338" s="6" t="s">
        <v>52334</v>
      </c>
      <c r="K8338" s="5" t="s">
        <v>52318</v>
      </c>
    </row>
    <row r="8339">
      <c r="A8339" s="4">
        <v>45534.400796284724</v>
      </c>
      <c r="B8339" s="5" t="s">
        <v>34</v>
      </c>
      <c r="D8339" s="5" t="s">
        <v>1206</v>
      </c>
      <c r="E8339" s="5" t="s">
        <v>52337</v>
      </c>
      <c r="F8339" s="5" t="s">
        <v>37</v>
      </c>
      <c r="G8339" s="5" t="s">
        <v>52338</v>
      </c>
      <c r="H8339" s="6" t="s">
        <v>52339</v>
      </c>
      <c r="K8339" s="5" t="s">
        <v>52318</v>
      </c>
    </row>
    <row r="8340">
      <c r="A8340" s="4">
        <v>45534.40080116898</v>
      </c>
      <c r="B8340" s="5" t="s">
        <v>34</v>
      </c>
      <c r="D8340" s="5" t="s">
        <v>9020</v>
      </c>
      <c r="E8340" s="5" t="s">
        <v>52342</v>
      </c>
      <c r="F8340" s="5" t="s">
        <v>72</v>
      </c>
      <c r="G8340" s="5" t="s">
        <v>52343</v>
      </c>
      <c r="H8340" s="6" t="s">
        <v>52344</v>
      </c>
      <c r="K8340" s="5" t="s">
        <v>52318</v>
      </c>
    </row>
    <row r="8341">
      <c r="A8341" s="4">
        <v>45534.40082834491</v>
      </c>
      <c r="B8341" s="5" t="s">
        <v>34</v>
      </c>
      <c r="D8341" s="5" t="s">
        <v>12978</v>
      </c>
      <c r="E8341" s="5" t="s">
        <v>52347</v>
      </c>
      <c r="F8341" s="5" t="s">
        <v>524</v>
      </c>
      <c r="G8341" s="5" t="s">
        <v>52348</v>
      </c>
      <c r="H8341" s="6" t="s">
        <v>52349</v>
      </c>
      <c r="K8341" s="5" t="s">
        <v>52318</v>
      </c>
    </row>
    <row r="8342">
      <c r="A8342" s="4">
        <v>45534.40085371528</v>
      </c>
      <c r="B8342" s="5" t="s">
        <v>34</v>
      </c>
      <c r="D8342" s="5" t="s">
        <v>9020</v>
      </c>
      <c r="E8342" s="5" t="s">
        <v>52352</v>
      </c>
      <c r="F8342" s="5" t="s">
        <v>37</v>
      </c>
      <c r="G8342" s="5" t="s">
        <v>52353</v>
      </c>
      <c r="H8342" s="6" t="s">
        <v>52354</v>
      </c>
      <c r="K8342" s="5" t="s">
        <v>52318</v>
      </c>
    </row>
    <row r="8343">
      <c r="A8343" s="4">
        <v>45534.400857569446</v>
      </c>
      <c r="B8343" s="5" t="s">
        <v>34</v>
      </c>
      <c r="D8343" s="5" t="s">
        <v>267</v>
      </c>
      <c r="E8343" s="5" t="s">
        <v>52357</v>
      </c>
      <c r="F8343" s="5" t="s">
        <v>212</v>
      </c>
      <c r="G8343" s="5" t="s">
        <v>52358</v>
      </c>
      <c r="H8343" s="6" t="s">
        <v>52359</v>
      </c>
      <c r="K8343" s="5" t="s">
        <v>52318</v>
      </c>
    </row>
    <row r="8344">
      <c r="A8344" s="4">
        <v>45534.400866944445</v>
      </c>
      <c r="B8344" s="5" t="s">
        <v>34</v>
      </c>
      <c r="D8344" s="5" t="s">
        <v>701</v>
      </c>
      <c r="E8344" s="5" t="s">
        <v>52363</v>
      </c>
      <c r="F8344" s="5" t="s">
        <v>375</v>
      </c>
      <c r="G8344" s="5" t="s">
        <v>52364</v>
      </c>
      <c r="H8344" s="6" t="s">
        <v>52365</v>
      </c>
      <c r="K8344" s="5" t="s">
        <v>52318</v>
      </c>
    </row>
    <row r="8345">
      <c r="A8345" s="4">
        <v>45534.400878622684</v>
      </c>
      <c r="B8345" s="5" t="s">
        <v>34</v>
      </c>
      <c r="D8345" s="5" t="s">
        <v>9394</v>
      </c>
      <c r="E8345" s="5" t="s">
        <v>52368</v>
      </c>
      <c r="F8345" s="5" t="s">
        <v>524</v>
      </c>
      <c r="G8345" s="5" t="s">
        <v>52369</v>
      </c>
      <c r="H8345" s="6" t="s">
        <v>52370</v>
      </c>
      <c r="K8345" s="5" t="s">
        <v>52318</v>
      </c>
    </row>
    <row r="8346">
      <c r="A8346" s="4">
        <v>45534.400886296295</v>
      </c>
      <c r="B8346" s="5" t="s">
        <v>34</v>
      </c>
      <c r="D8346" s="5" t="s">
        <v>6232</v>
      </c>
      <c r="E8346" s="5" t="s">
        <v>52373</v>
      </c>
      <c r="F8346" s="5" t="s">
        <v>37</v>
      </c>
      <c r="G8346" s="5" t="s">
        <v>52374</v>
      </c>
      <c r="H8346" s="6" t="s">
        <v>52375</v>
      </c>
      <c r="K8346" s="5" t="s">
        <v>52318</v>
      </c>
    </row>
    <row r="8347">
      <c r="A8347" s="4">
        <v>45534.40090122685</v>
      </c>
      <c r="B8347" s="5" t="s">
        <v>34</v>
      </c>
      <c r="D8347" s="5" t="s">
        <v>9020</v>
      </c>
      <c r="E8347" s="5" t="s">
        <v>52378</v>
      </c>
      <c r="F8347" s="5" t="s">
        <v>715</v>
      </c>
      <c r="G8347" s="5" t="s">
        <v>52379</v>
      </c>
      <c r="H8347" s="6" t="s">
        <v>52380</v>
      </c>
      <c r="K8347" s="5" t="s">
        <v>52318</v>
      </c>
    </row>
    <row r="8348">
      <c r="A8348" s="4">
        <v>45534.40094878472</v>
      </c>
      <c r="B8348" s="5" t="s">
        <v>19</v>
      </c>
      <c r="C8348" s="5" t="s">
        <v>292</v>
      </c>
      <c r="E8348" s="5" t="s">
        <v>52383</v>
      </c>
      <c r="F8348" s="5" t="s">
        <v>108</v>
      </c>
      <c r="G8348" s="5" t="s">
        <v>52384</v>
      </c>
      <c r="H8348" s="6" t="s">
        <v>52385</v>
      </c>
      <c r="K8348" s="5" t="s">
        <v>52386</v>
      </c>
    </row>
    <row r="8349">
      <c r="A8349" s="4">
        <v>45534.40100388889</v>
      </c>
      <c r="B8349" s="5" t="s">
        <v>19</v>
      </c>
      <c r="C8349" s="5" t="s">
        <v>83</v>
      </c>
      <c r="E8349" s="5" t="s">
        <v>52389</v>
      </c>
      <c r="F8349" s="5" t="s">
        <v>108</v>
      </c>
      <c r="G8349" s="5" t="s">
        <v>52390</v>
      </c>
      <c r="H8349" s="6" t="s">
        <v>52391</v>
      </c>
      <c r="K8349" s="5" t="s">
        <v>52386</v>
      </c>
    </row>
    <row r="8350">
      <c r="A8350" s="4">
        <v>45534.40101905093</v>
      </c>
      <c r="B8350" s="5" t="s">
        <v>19</v>
      </c>
      <c r="C8350" s="5" t="s">
        <v>5058</v>
      </c>
      <c r="E8350" s="5" t="s">
        <v>52395</v>
      </c>
      <c r="F8350" s="5" t="s">
        <v>524</v>
      </c>
      <c r="G8350" s="5" t="s">
        <v>52396</v>
      </c>
      <c r="H8350" s="6" t="s">
        <v>52397</v>
      </c>
      <c r="K8350" s="5" t="s">
        <v>52386</v>
      </c>
    </row>
    <row r="8351">
      <c r="A8351" s="4">
        <v>45534.40103289352</v>
      </c>
      <c r="B8351" s="5" t="s">
        <v>34</v>
      </c>
      <c r="D8351" s="5" t="s">
        <v>522</v>
      </c>
      <c r="E8351" s="5" t="s">
        <v>52400</v>
      </c>
      <c r="F8351" s="5" t="s">
        <v>37</v>
      </c>
      <c r="G8351" s="5" t="s">
        <v>52401</v>
      </c>
      <c r="H8351" s="6" t="s">
        <v>52402</v>
      </c>
      <c r="K8351" s="5" t="s">
        <v>52386</v>
      </c>
    </row>
    <row r="8352">
      <c r="A8352" s="4">
        <v>45534.40108527778</v>
      </c>
      <c r="B8352" s="5" t="s">
        <v>34</v>
      </c>
      <c r="D8352" s="5" t="s">
        <v>9394</v>
      </c>
      <c r="E8352" s="5" t="s">
        <v>52405</v>
      </c>
      <c r="F8352" s="5" t="s">
        <v>524</v>
      </c>
      <c r="G8352" s="5" t="s">
        <v>52406</v>
      </c>
      <c r="H8352" s="6" t="s">
        <v>52407</v>
      </c>
      <c r="K8352" s="5" t="s">
        <v>52386</v>
      </c>
    </row>
    <row r="8353">
      <c r="A8353" s="4">
        <v>45534.401085115736</v>
      </c>
      <c r="B8353" s="5" t="s">
        <v>19</v>
      </c>
      <c r="C8353" s="5" t="s">
        <v>38343</v>
      </c>
      <c r="E8353" s="5" t="s">
        <v>52410</v>
      </c>
      <c r="F8353" s="5" t="s">
        <v>328</v>
      </c>
      <c r="G8353" s="5" t="s">
        <v>52411</v>
      </c>
      <c r="H8353" s="6" t="s">
        <v>52412</v>
      </c>
      <c r="K8353" s="5" t="s">
        <v>52386</v>
      </c>
    </row>
    <row r="8354">
      <c r="A8354" s="4">
        <v>45534.40115175926</v>
      </c>
      <c r="B8354" s="5" t="s">
        <v>34</v>
      </c>
      <c r="D8354" s="5" t="s">
        <v>1206</v>
      </c>
      <c r="E8354" s="5" t="s">
        <v>52415</v>
      </c>
      <c r="F8354" s="5" t="s">
        <v>6776</v>
      </c>
      <c r="G8354" s="5" t="s">
        <v>52416</v>
      </c>
      <c r="H8354" s="6" t="s">
        <v>52417</v>
      </c>
      <c r="K8354" s="5" t="s">
        <v>52418</v>
      </c>
    </row>
    <row r="8355">
      <c r="A8355" s="4">
        <v>45534.40115884259</v>
      </c>
      <c r="B8355" s="5" t="s">
        <v>34</v>
      </c>
      <c r="D8355" s="5" t="s">
        <v>14313</v>
      </c>
      <c r="E8355" s="5" t="s">
        <v>52422</v>
      </c>
      <c r="F8355" s="5" t="s">
        <v>108</v>
      </c>
      <c r="G8355" s="5" t="s">
        <v>52423</v>
      </c>
      <c r="H8355" s="6" t="s">
        <v>52424</v>
      </c>
      <c r="K8355" s="5" t="s">
        <v>52418</v>
      </c>
    </row>
    <row r="8356">
      <c r="A8356" s="4">
        <v>45534.40116505787</v>
      </c>
      <c r="B8356" s="5" t="s">
        <v>34</v>
      </c>
      <c r="D8356" s="5" t="s">
        <v>4775</v>
      </c>
      <c r="E8356" s="5" t="s">
        <v>2938</v>
      </c>
      <c r="F8356" s="5" t="s">
        <v>72</v>
      </c>
      <c r="G8356" s="5" t="s">
        <v>52427</v>
      </c>
      <c r="H8356" s="6" t="s">
        <v>52428</v>
      </c>
      <c r="K8356" s="5" t="s">
        <v>52418</v>
      </c>
    </row>
    <row r="8357">
      <c r="A8357" s="4">
        <v>45534.40117964121</v>
      </c>
      <c r="B8357" s="5" t="s">
        <v>34</v>
      </c>
      <c r="D8357" s="5" t="s">
        <v>12978</v>
      </c>
      <c r="E8357" s="5" t="s">
        <v>52431</v>
      </c>
      <c r="F8357" s="5" t="s">
        <v>72</v>
      </c>
      <c r="G8357" s="5" t="s">
        <v>52432</v>
      </c>
      <c r="H8357" s="6" t="s">
        <v>52433</v>
      </c>
      <c r="K8357" s="5" t="s">
        <v>52418</v>
      </c>
    </row>
    <row r="8358">
      <c r="A8358" s="4">
        <v>45534.40118451389</v>
      </c>
      <c r="B8358" s="5" t="s">
        <v>19</v>
      </c>
      <c r="C8358" s="5" t="s">
        <v>292</v>
      </c>
      <c r="E8358" s="5" t="s">
        <v>52436</v>
      </c>
      <c r="F8358" s="5" t="s">
        <v>72</v>
      </c>
      <c r="G8358" s="5" t="s">
        <v>52437</v>
      </c>
      <c r="H8358" s="6" t="s">
        <v>52438</v>
      </c>
      <c r="K8358" s="5" t="s">
        <v>52418</v>
      </c>
    </row>
    <row r="8359">
      <c r="A8359" s="4">
        <v>45534.401188749995</v>
      </c>
      <c r="B8359" s="5" t="s">
        <v>19</v>
      </c>
      <c r="C8359" s="5" t="s">
        <v>83</v>
      </c>
      <c r="E8359" s="5" t="s">
        <v>52441</v>
      </c>
      <c r="F8359" s="5" t="s">
        <v>120</v>
      </c>
      <c r="G8359" s="5" t="s">
        <v>52442</v>
      </c>
      <c r="H8359" s="6" t="s">
        <v>52443</v>
      </c>
      <c r="K8359" s="5" t="s">
        <v>52418</v>
      </c>
    </row>
    <row r="8360">
      <c r="A8360" s="4">
        <v>45534.40118954861</v>
      </c>
      <c r="B8360" s="5" t="s">
        <v>34</v>
      </c>
      <c r="D8360" s="5" t="s">
        <v>35</v>
      </c>
      <c r="E8360" s="5" t="s">
        <v>48266</v>
      </c>
      <c r="F8360" s="5" t="s">
        <v>212</v>
      </c>
      <c r="G8360" s="5" t="s">
        <v>2607</v>
      </c>
      <c r="H8360" s="6" t="s">
        <v>52446</v>
      </c>
      <c r="K8360" s="5" t="s">
        <v>52418</v>
      </c>
    </row>
    <row r="8361">
      <c r="A8361" s="4">
        <v>45534.40124207176</v>
      </c>
      <c r="B8361" s="5" t="s">
        <v>34</v>
      </c>
      <c r="D8361" s="5" t="s">
        <v>1206</v>
      </c>
      <c r="E8361" s="5" t="s">
        <v>52449</v>
      </c>
      <c r="F8361" s="5" t="s">
        <v>108</v>
      </c>
      <c r="G8361" s="5" t="s">
        <v>52450</v>
      </c>
      <c r="H8361" s="6" t="s">
        <v>52451</v>
      </c>
      <c r="K8361" s="5" t="s">
        <v>52418</v>
      </c>
    </row>
    <row r="8362">
      <c r="A8362" s="4">
        <v>45534.401283750005</v>
      </c>
      <c r="B8362" s="5" t="s">
        <v>34</v>
      </c>
      <c r="D8362" s="5" t="s">
        <v>1768</v>
      </c>
      <c r="E8362" s="5" t="s">
        <v>8781</v>
      </c>
      <c r="F8362" s="5" t="s">
        <v>72</v>
      </c>
      <c r="G8362" s="5" t="s">
        <v>52454</v>
      </c>
      <c r="H8362" s="6" t="s">
        <v>52455</v>
      </c>
      <c r="K8362" s="5" t="s">
        <v>52456</v>
      </c>
    </row>
    <row r="8363">
      <c r="A8363" s="4">
        <v>45534.401303645835</v>
      </c>
      <c r="B8363" s="5" t="s">
        <v>34</v>
      </c>
      <c r="D8363" s="5" t="s">
        <v>9020</v>
      </c>
      <c r="E8363" s="5" t="s">
        <v>52459</v>
      </c>
      <c r="F8363" s="5" t="s">
        <v>37</v>
      </c>
      <c r="G8363" s="5" t="s">
        <v>52460</v>
      </c>
      <c r="H8363" s="6" t="s">
        <v>52461</v>
      </c>
      <c r="K8363" s="5" t="s">
        <v>52462</v>
      </c>
    </row>
    <row r="8364">
      <c r="A8364" s="4">
        <v>45534.40136894676</v>
      </c>
      <c r="B8364" s="5" t="s">
        <v>34</v>
      </c>
      <c r="D8364" s="5" t="s">
        <v>4775</v>
      </c>
      <c r="E8364" s="5" t="s">
        <v>52465</v>
      </c>
      <c r="F8364" s="5" t="s">
        <v>37</v>
      </c>
      <c r="G8364" s="5" t="s">
        <v>52466</v>
      </c>
      <c r="H8364" s="6" t="s">
        <v>52467</v>
      </c>
      <c r="K8364" s="5" t="s">
        <v>52468</v>
      </c>
    </row>
    <row r="8365">
      <c r="A8365" s="4">
        <v>45534.401383055556</v>
      </c>
      <c r="B8365" s="5" t="s">
        <v>19</v>
      </c>
      <c r="C8365" s="5" t="s">
        <v>5058</v>
      </c>
      <c r="E8365" s="5" t="s">
        <v>52471</v>
      </c>
      <c r="F8365" s="5" t="s">
        <v>375</v>
      </c>
      <c r="G8365" s="5" t="s">
        <v>52472</v>
      </c>
      <c r="H8365" s="6" t="s">
        <v>52473</v>
      </c>
      <c r="K8365" s="5" t="s">
        <v>52468</v>
      </c>
    </row>
    <row r="8366">
      <c r="A8366" s="4">
        <v>45534.401430983795</v>
      </c>
      <c r="B8366" s="5" t="s">
        <v>34</v>
      </c>
      <c r="D8366" s="5" t="s">
        <v>604</v>
      </c>
      <c r="E8366" s="5" t="s">
        <v>52476</v>
      </c>
      <c r="F8366" s="5" t="s">
        <v>212</v>
      </c>
      <c r="G8366" s="5" t="s">
        <v>52477</v>
      </c>
      <c r="H8366" s="6" t="s">
        <v>52478</v>
      </c>
      <c r="K8366" s="5" t="s">
        <v>52468</v>
      </c>
    </row>
    <row r="8367">
      <c r="A8367" s="4">
        <v>45534.401431817125</v>
      </c>
      <c r="B8367" s="5" t="s">
        <v>34</v>
      </c>
      <c r="D8367" s="5" t="s">
        <v>1206</v>
      </c>
      <c r="E8367" s="5" t="s">
        <v>52481</v>
      </c>
      <c r="F8367" s="5" t="s">
        <v>37</v>
      </c>
      <c r="G8367" s="5" t="s">
        <v>52482</v>
      </c>
      <c r="H8367" s="6" t="s">
        <v>52483</v>
      </c>
      <c r="K8367" s="5" t="s">
        <v>52468</v>
      </c>
    </row>
    <row r="8368">
      <c r="A8368" s="4">
        <v>45534.401461828704</v>
      </c>
      <c r="B8368" s="5" t="s">
        <v>34</v>
      </c>
      <c r="D8368" s="5" t="s">
        <v>14313</v>
      </c>
      <c r="E8368" s="5" t="s">
        <v>52486</v>
      </c>
      <c r="F8368" s="5" t="s">
        <v>212</v>
      </c>
      <c r="G8368" s="5" t="s">
        <v>52487</v>
      </c>
      <c r="H8368" s="6" t="s">
        <v>52488</v>
      </c>
      <c r="K8368" s="5" t="s">
        <v>52468</v>
      </c>
    </row>
    <row r="8369">
      <c r="A8369" s="4">
        <v>45534.40147769676</v>
      </c>
      <c r="B8369" s="5" t="s">
        <v>34</v>
      </c>
      <c r="D8369" s="5" t="s">
        <v>9020</v>
      </c>
      <c r="E8369" s="5" t="s">
        <v>22588</v>
      </c>
      <c r="F8369" s="5" t="s">
        <v>524</v>
      </c>
      <c r="G8369" s="5" t="s">
        <v>52491</v>
      </c>
      <c r="H8369" s="6" t="s">
        <v>52492</v>
      </c>
      <c r="K8369" s="5" t="s">
        <v>52468</v>
      </c>
    </row>
    <row r="8370">
      <c r="A8370" s="4">
        <v>45534.40151466435</v>
      </c>
      <c r="B8370" s="5" t="s">
        <v>34</v>
      </c>
      <c r="D8370" s="5" t="s">
        <v>267</v>
      </c>
      <c r="E8370" s="5" t="s">
        <v>52495</v>
      </c>
      <c r="F8370" s="5" t="s">
        <v>37</v>
      </c>
      <c r="G8370" s="5" t="s">
        <v>52496</v>
      </c>
      <c r="H8370" s="6" t="s">
        <v>52497</v>
      </c>
      <c r="K8370" s="5" t="s">
        <v>52468</v>
      </c>
    </row>
    <row r="8371">
      <c r="A8371" s="4">
        <v>45534.40154525463</v>
      </c>
      <c r="B8371" s="5" t="s">
        <v>19</v>
      </c>
      <c r="C8371" s="5" t="s">
        <v>24076</v>
      </c>
      <c r="E8371" s="5" t="s">
        <v>52500</v>
      </c>
      <c r="F8371" s="5" t="s">
        <v>375</v>
      </c>
      <c r="G8371" s="5" t="s">
        <v>52501</v>
      </c>
      <c r="H8371" s="6" t="s">
        <v>52502</v>
      </c>
      <c r="K8371" s="5" t="s">
        <v>52503</v>
      </c>
    </row>
    <row r="8372">
      <c r="A8372" s="4">
        <v>45534.401573553245</v>
      </c>
      <c r="B8372" s="5" t="s">
        <v>34</v>
      </c>
      <c r="D8372" s="5" t="s">
        <v>4775</v>
      </c>
      <c r="E8372" s="5" t="s">
        <v>52506</v>
      </c>
      <c r="F8372" s="5" t="s">
        <v>375</v>
      </c>
      <c r="G8372" s="5" t="s">
        <v>52507</v>
      </c>
      <c r="H8372" s="6" t="s">
        <v>52508</v>
      </c>
      <c r="K8372" s="5" t="s">
        <v>52509</v>
      </c>
    </row>
    <row r="8373">
      <c r="A8373" s="4">
        <v>45534.4015825463</v>
      </c>
      <c r="B8373" s="5" t="s">
        <v>19</v>
      </c>
      <c r="C8373" s="5" t="s">
        <v>466</v>
      </c>
      <c r="E8373" s="5" t="s">
        <v>52512</v>
      </c>
      <c r="F8373" s="5" t="s">
        <v>375</v>
      </c>
      <c r="G8373" s="5" t="s">
        <v>52513</v>
      </c>
      <c r="H8373" s="6" t="s">
        <v>52514</v>
      </c>
      <c r="K8373" s="5" t="s">
        <v>52509</v>
      </c>
    </row>
    <row r="8374">
      <c r="A8374" s="4">
        <v>45534.40160636574</v>
      </c>
      <c r="B8374" s="5" t="s">
        <v>34</v>
      </c>
      <c r="D8374" s="5" t="s">
        <v>3432</v>
      </c>
      <c r="E8374" s="5" t="s">
        <v>52517</v>
      </c>
      <c r="F8374" s="5" t="s">
        <v>375</v>
      </c>
      <c r="G8374" s="5" t="s">
        <v>52518</v>
      </c>
      <c r="H8374" s="6" t="s">
        <v>52519</v>
      </c>
      <c r="K8374" s="5" t="s">
        <v>52509</v>
      </c>
    </row>
    <row r="8375">
      <c r="A8375" s="4">
        <v>45534.401612546295</v>
      </c>
      <c r="B8375" s="5" t="s">
        <v>19</v>
      </c>
      <c r="C8375" s="5" t="s">
        <v>442</v>
      </c>
      <c r="E8375" s="5" t="s">
        <v>52522</v>
      </c>
      <c r="F8375" s="5" t="s">
        <v>524</v>
      </c>
      <c r="G8375" s="5" t="s">
        <v>52523</v>
      </c>
      <c r="H8375" s="6" t="s">
        <v>52524</v>
      </c>
      <c r="K8375" s="5" t="s">
        <v>52509</v>
      </c>
    </row>
    <row r="8376">
      <c r="A8376" s="4">
        <v>45534.4016127662</v>
      </c>
      <c r="B8376" s="5" t="s">
        <v>34</v>
      </c>
      <c r="D8376" s="5" t="s">
        <v>2903</v>
      </c>
      <c r="E8376" s="5" t="s">
        <v>52527</v>
      </c>
      <c r="F8376" s="5" t="s">
        <v>524</v>
      </c>
      <c r="G8376" s="5" t="s">
        <v>52528</v>
      </c>
      <c r="H8376" s="6" t="s">
        <v>52529</v>
      </c>
      <c r="K8376" s="5" t="s">
        <v>52509</v>
      </c>
    </row>
    <row r="8377">
      <c r="A8377" s="4">
        <v>45534.4016196875</v>
      </c>
      <c r="B8377" s="5" t="s">
        <v>34</v>
      </c>
      <c r="D8377" s="5" t="s">
        <v>1558</v>
      </c>
      <c r="E8377" s="5" t="s">
        <v>52532</v>
      </c>
      <c r="F8377" s="5" t="s">
        <v>108</v>
      </c>
      <c r="G8377" s="5" t="s">
        <v>52533</v>
      </c>
      <c r="H8377" s="6" t="s">
        <v>52534</v>
      </c>
      <c r="K8377" s="5" t="s">
        <v>52535</v>
      </c>
    </row>
    <row r="8378">
      <c r="A8378" s="4">
        <v>45534.40162467593</v>
      </c>
      <c r="B8378" s="5" t="s">
        <v>34</v>
      </c>
      <c r="D8378" s="5" t="s">
        <v>6232</v>
      </c>
      <c r="E8378" s="5" t="s">
        <v>52538</v>
      </c>
      <c r="F8378" s="5" t="s">
        <v>37</v>
      </c>
      <c r="G8378" s="5" t="s">
        <v>52539</v>
      </c>
      <c r="H8378" s="6" t="s">
        <v>52540</v>
      </c>
      <c r="K8378" s="5" t="s">
        <v>52535</v>
      </c>
    </row>
    <row r="8379">
      <c r="A8379" s="4">
        <v>45534.4017130787</v>
      </c>
      <c r="B8379" s="5" t="s">
        <v>19</v>
      </c>
      <c r="C8379" s="5" t="s">
        <v>292</v>
      </c>
      <c r="E8379" s="5" t="s">
        <v>52543</v>
      </c>
      <c r="F8379" s="5" t="s">
        <v>375</v>
      </c>
      <c r="G8379" s="5" t="s">
        <v>52544</v>
      </c>
      <c r="H8379" s="6" t="s">
        <v>52545</v>
      </c>
      <c r="K8379" s="5" t="s">
        <v>52535</v>
      </c>
    </row>
    <row r="8380">
      <c r="A8380" s="4">
        <v>45534.40173429398</v>
      </c>
      <c r="B8380" s="5" t="s">
        <v>34</v>
      </c>
      <c r="D8380" s="5" t="s">
        <v>4775</v>
      </c>
      <c r="E8380" s="5" t="s">
        <v>52548</v>
      </c>
      <c r="F8380" s="5" t="s">
        <v>72</v>
      </c>
      <c r="G8380" s="5" t="s">
        <v>52549</v>
      </c>
      <c r="H8380" s="6" t="s">
        <v>52550</v>
      </c>
      <c r="K8380" s="5" t="s">
        <v>52535</v>
      </c>
    </row>
    <row r="8381">
      <c r="A8381" s="4">
        <v>45534.401756203704</v>
      </c>
      <c r="B8381" s="5" t="s">
        <v>34</v>
      </c>
      <c r="D8381" s="5" t="s">
        <v>12978</v>
      </c>
      <c r="E8381" s="5" t="s">
        <v>52553</v>
      </c>
      <c r="F8381" s="5" t="s">
        <v>37</v>
      </c>
      <c r="G8381" s="5" t="s">
        <v>52554</v>
      </c>
      <c r="H8381" s="6" t="s">
        <v>52555</v>
      </c>
      <c r="K8381" s="5" t="s">
        <v>52535</v>
      </c>
    </row>
    <row r="8382">
      <c r="A8382" s="4">
        <v>45534.40178677083</v>
      </c>
      <c r="B8382" s="5" t="s">
        <v>34</v>
      </c>
      <c r="D8382" s="5" t="s">
        <v>1558</v>
      </c>
      <c r="E8382" s="5" t="s">
        <v>52558</v>
      </c>
      <c r="F8382" s="5" t="s">
        <v>328</v>
      </c>
      <c r="G8382" s="5" t="s">
        <v>52559</v>
      </c>
      <c r="H8382" s="6" t="s">
        <v>52560</v>
      </c>
      <c r="K8382" s="5" t="s">
        <v>52535</v>
      </c>
    </row>
    <row r="8383">
      <c r="A8383" s="4">
        <v>45534.40191965278</v>
      </c>
      <c r="B8383" s="5" t="s">
        <v>34</v>
      </c>
      <c r="D8383" s="5" t="s">
        <v>580</v>
      </c>
      <c r="E8383" s="5" t="s">
        <v>52563</v>
      </c>
      <c r="F8383" s="5" t="s">
        <v>72</v>
      </c>
      <c r="G8383" s="5" t="s">
        <v>52564</v>
      </c>
      <c r="H8383" s="6" t="s">
        <v>52565</v>
      </c>
      <c r="K8383" s="5" t="s">
        <v>52566</v>
      </c>
    </row>
    <row r="8384">
      <c r="A8384" s="4">
        <v>45534.4019333912</v>
      </c>
      <c r="B8384" s="5" t="s">
        <v>34</v>
      </c>
      <c r="D8384" s="5" t="s">
        <v>10444</v>
      </c>
      <c r="E8384" s="5" t="s">
        <v>52569</v>
      </c>
      <c r="F8384" s="5" t="s">
        <v>72</v>
      </c>
      <c r="G8384" s="5" t="s">
        <v>52570</v>
      </c>
      <c r="H8384" s="6" t="s">
        <v>52571</v>
      </c>
      <c r="K8384" s="5" t="s">
        <v>52572</v>
      </c>
    </row>
    <row r="8385">
      <c r="A8385" s="4">
        <v>45534.40199009259</v>
      </c>
      <c r="B8385" s="5" t="s">
        <v>19</v>
      </c>
      <c r="C8385" s="5" t="s">
        <v>292</v>
      </c>
      <c r="E8385" s="5" t="s">
        <v>52575</v>
      </c>
      <c r="F8385" s="5" t="s">
        <v>212</v>
      </c>
      <c r="G8385" s="5" t="s">
        <v>52576</v>
      </c>
      <c r="H8385" s="6" t="s">
        <v>52577</v>
      </c>
      <c r="K8385" s="5" t="s">
        <v>52578</v>
      </c>
    </row>
    <row r="8386">
      <c r="A8386" s="4">
        <v>45534.40200127315</v>
      </c>
      <c r="B8386" s="5" t="s">
        <v>34</v>
      </c>
      <c r="D8386" s="5" t="s">
        <v>2903</v>
      </c>
      <c r="E8386" s="5" t="s">
        <v>52581</v>
      </c>
      <c r="F8386" s="5" t="s">
        <v>524</v>
      </c>
      <c r="G8386" s="5" t="s">
        <v>52582</v>
      </c>
      <c r="H8386" s="6" t="s">
        <v>52583</v>
      </c>
      <c r="K8386" s="5" t="s">
        <v>52578</v>
      </c>
    </row>
    <row r="8387">
      <c r="A8387" s="4">
        <v>45534.40202417824</v>
      </c>
      <c r="B8387" s="5" t="s">
        <v>34</v>
      </c>
      <c r="D8387" s="5" t="s">
        <v>580</v>
      </c>
      <c r="E8387" s="5" t="s">
        <v>52586</v>
      </c>
      <c r="F8387" s="5" t="s">
        <v>37</v>
      </c>
      <c r="G8387" s="5" t="s">
        <v>52587</v>
      </c>
      <c r="H8387" s="6" t="s">
        <v>52588</v>
      </c>
      <c r="K8387" s="5" t="s">
        <v>52589</v>
      </c>
    </row>
    <row r="8388">
      <c r="A8388" s="4">
        <v>45534.4020637963</v>
      </c>
      <c r="B8388" s="5" t="s">
        <v>34</v>
      </c>
      <c r="D8388" s="5" t="s">
        <v>2903</v>
      </c>
      <c r="E8388" s="5" t="s">
        <v>52592</v>
      </c>
      <c r="F8388" s="5" t="s">
        <v>72</v>
      </c>
      <c r="G8388" s="5" t="s">
        <v>52593</v>
      </c>
      <c r="H8388" s="6" t="s">
        <v>52594</v>
      </c>
      <c r="K8388" s="5" t="s">
        <v>52595</v>
      </c>
    </row>
    <row r="8389">
      <c r="A8389" s="4">
        <v>45534.40206403935</v>
      </c>
      <c r="B8389" s="5" t="s">
        <v>34</v>
      </c>
      <c r="D8389" s="5" t="s">
        <v>975</v>
      </c>
      <c r="E8389" s="5" t="s">
        <v>52599</v>
      </c>
      <c r="F8389" s="5" t="s">
        <v>37</v>
      </c>
      <c r="G8389" s="5" t="s">
        <v>52600</v>
      </c>
      <c r="H8389" s="6" t="s">
        <v>52601</v>
      </c>
      <c r="K8389" s="5" t="s">
        <v>52595</v>
      </c>
    </row>
    <row r="8390">
      <c r="A8390" s="4">
        <v>45534.40208190972</v>
      </c>
      <c r="B8390" s="5" t="s">
        <v>34</v>
      </c>
      <c r="D8390" s="5" t="s">
        <v>35</v>
      </c>
      <c r="E8390" s="5" t="s">
        <v>52604</v>
      </c>
      <c r="F8390" s="5" t="s">
        <v>120</v>
      </c>
      <c r="G8390" s="5" t="s">
        <v>52605</v>
      </c>
      <c r="H8390" s="6" t="s">
        <v>52606</v>
      </c>
      <c r="K8390" s="5" t="s">
        <v>52595</v>
      </c>
    </row>
    <row r="8391">
      <c r="A8391" s="4">
        <v>45534.40210027777</v>
      </c>
      <c r="B8391" s="5" t="s">
        <v>19</v>
      </c>
      <c r="C8391" s="5" t="s">
        <v>1498</v>
      </c>
      <c r="E8391" s="5" t="s">
        <v>52609</v>
      </c>
      <c r="F8391" s="5" t="s">
        <v>120</v>
      </c>
      <c r="G8391" s="5" t="s">
        <v>52610</v>
      </c>
      <c r="H8391" s="6" t="s">
        <v>52611</v>
      </c>
      <c r="K8391" s="5" t="s">
        <v>52595</v>
      </c>
    </row>
    <row r="8392">
      <c r="A8392" s="4">
        <v>45534.402115868055</v>
      </c>
      <c r="B8392" s="5" t="s">
        <v>34</v>
      </c>
      <c r="D8392" s="5" t="s">
        <v>1206</v>
      </c>
      <c r="E8392" s="5" t="s">
        <v>52614</v>
      </c>
      <c r="F8392" s="5" t="s">
        <v>37</v>
      </c>
      <c r="G8392" s="5" t="s">
        <v>52615</v>
      </c>
      <c r="H8392" s="6" t="s">
        <v>52616</v>
      </c>
      <c r="K8392" s="5" t="s">
        <v>52617</v>
      </c>
    </row>
    <row r="8393">
      <c r="A8393" s="4">
        <v>45534.40219579861</v>
      </c>
      <c r="B8393" s="5" t="s">
        <v>34</v>
      </c>
      <c r="D8393" s="5" t="s">
        <v>9020</v>
      </c>
      <c r="E8393" s="5" t="s">
        <v>52620</v>
      </c>
      <c r="F8393" s="5" t="s">
        <v>108</v>
      </c>
      <c r="G8393" s="5" t="s">
        <v>52621</v>
      </c>
      <c r="H8393" s="6" t="s">
        <v>52622</v>
      </c>
      <c r="K8393" s="5" t="s">
        <v>52623</v>
      </c>
    </row>
    <row r="8394">
      <c r="A8394" s="4">
        <v>45534.402213587964</v>
      </c>
      <c r="B8394" s="5" t="s">
        <v>34</v>
      </c>
      <c r="D8394" s="5" t="s">
        <v>4775</v>
      </c>
      <c r="E8394" s="5" t="s">
        <v>52627</v>
      </c>
      <c r="F8394" s="5" t="s">
        <v>524</v>
      </c>
      <c r="G8394" s="5" t="s">
        <v>52628</v>
      </c>
      <c r="H8394" s="6" t="s">
        <v>52629</v>
      </c>
      <c r="K8394" s="5" t="s">
        <v>52630</v>
      </c>
    </row>
    <row r="8395">
      <c r="A8395" s="4">
        <v>45534.402216296294</v>
      </c>
      <c r="B8395" s="5" t="s">
        <v>19</v>
      </c>
      <c r="C8395" s="5" t="s">
        <v>292</v>
      </c>
      <c r="E8395" s="5" t="s">
        <v>52633</v>
      </c>
      <c r="F8395" s="5" t="s">
        <v>72</v>
      </c>
      <c r="G8395" s="5" t="s">
        <v>52634</v>
      </c>
      <c r="H8395" s="6" t="s">
        <v>52635</v>
      </c>
      <c r="K8395" s="5" t="s">
        <v>52630</v>
      </c>
    </row>
    <row r="8396">
      <c r="A8396" s="4">
        <v>45534.40225688658</v>
      </c>
      <c r="B8396" s="5" t="s">
        <v>34</v>
      </c>
      <c r="D8396" s="5" t="s">
        <v>2903</v>
      </c>
      <c r="E8396" s="5" t="s">
        <v>52638</v>
      </c>
      <c r="F8396" s="5" t="s">
        <v>108</v>
      </c>
      <c r="G8396" s="5" t="s">
        <v>52639</v>
      </c>
      <c r="H8396" s="6" t="s">
        <v>52640</v>
      </c>
      <c r="K8396" s="5" t="s">
        <v>52641</v>
      </c>
    </row>
    <row r="8397">
      <c r="A8397" s="4">
        <v>45534.40226754629</v>
      </c>
      <c r="B8397" s="5" t="s">
        <v>34</v>
      </c>
      <c r="D8397" s="5" t="s">
        <v>9020</v>
      </c>
      <c r="E8397" s="5" t="s">
        <v>52644</v>
      </c>
      <c r="F8397" s="5" t="s">
        <v>524</v>
      </c>
      <c r="G8397" s="5" t="s">
        <v>52645</v>
      </c>
      <c r="H8397" s="6" t="s">
        <v>52646</v>
      </c>
      <c r="K8397" s="5" t="s">
        <v>52641</v>
      </c>
    </row>
    <row r="8398">
      <c r="A8398" s="4">
        <v>45534.4022735301</v>
      </c>
      <c r="B8398" s="5" t="s">
        <v>34</v>
      </c>
      <c r="D8398" s="5" t="s">
        <v>14313</v>
      </c>
      <c r="E8398" s="5" t="s">
        <v>52649</v>
      </c>
      <c r="F8398" s="5" t="s">
        <v>120</v>
      </c>
      <c r="G8398" s="5" t="s">
        <v>52650</v>
      </c>
      <c r="H8398" s="6" t="s">
        <v>52651</v>
      </c>
      <c r="K8398" s="5" t="s">
        <v>52641</v>
      </c>
    </row>
    <row r="8399">
      <c r="A8399" s="4">
        <v>45534.40233849537</v>
      </c>
      <c r="B8399" s="5" t="s">
        <v>34</v>
      </c>
      <c r="D8399" s="5" t="s">
        <v>15401</v>
      </c>
      <c r="E8399" s="5" t="s">
        <v>52654</v>
      </c>
      <c r="F8399" s="5" t="s">
        <v>524</v>
      </c>
      <c r="G8399" s="5" t="s">
        <v>52655</v>
      </c>
      <c r="H8399" s="6" t="s">
        <v>52656</v>
      </c>
      <c r="K8399" s="5" t="s">
        <v>52657</v>
      </c>
    </row>
    <row r="8400">
      <c r="A8400" s="4">
        <v>45534.402354861115</v>
      </c>
      <c r="B8400" s="5" t="s">
        <v>34</v>
      </c>
      <c r="D8400" s="5" t="s">
        <v>267</v>
      </c>
      <c r="E8400" s="5" t="s">
        <v>52660</v>
      </c>
      <c r="F8400" s="5" t="s">
        <v>375</v>
      </c>
      <c r="G8400" s="5" t="s">
        <v>52661</v>
      </c>
      <c r="H8400" s="6" t="s">
        <v>52662</v>
      </c>
      <c r="K8400" s="5" t="s">
        <v>52663</v>
      </c>
    </row>
    <row r="8401">
      <c r="A8401" s="4">
        <v>45534.40241231481</v>
      </c>
      <c r="B8401" s="5" t="s">
        <v>19</v>
      </c>
      <c r="C8401" s="5" t="s">
        <v>83</v>
      </c>
      <c r="E8401" s="5" t="s">
        <v>52666</v>
      </c>
      <c r="F8401" s="5" t="s">
        <v>72</v>
      </c>
      <c r="G8401" s="5" t="s">
        <v>52667</v>
      </c>
      <c r="H8401" s="6" t="s">
        <v>52668</v>
      </c>
      <c r="K8401" s="5" t="s">
        <v>52669</v>
      </c>
    </row>
    <row r="8402">
      <c r="A8402" s="4">
        <v>45534.40241646991</v>
      </c>
      <c r="B8402" s="5" t="s">
        <v>34</v>
      </c>
      <c r="D8402" s="5" t="s">
        <v>1558</v>
      </c>
      <c r="E8402" s="5" t="s">
        <v>52672</v>
      </c>
      <c r="F8402" s="5" t="s">
        <v>108</v>
      </c>
      <c r="G8402" s="5" t="s">
        <v>52673</v>
      </c>
      <c r="H8402" s="6" t="s">
        <v>52674</v>
      </c>
      <c r="K8402" s="5" t="s">
        <v>52675</v>
      </c>
    </row>
    <row r="8403">
      <c r="A8403" s="4">
        <v>45534.40245609954</v>
      </c>
      <c r="B8403" s="5" t="s">
        <v>34</v>
      </c>
      <c r="D8403" s="5" t="s">
        <v>267</v>
      </c>
      <c r="E8403" s="5" t="s">
        <v>52678</v>
      </c>
      <c r="F8403" s="5" t="s">
        <v>72</v>
      </c>
      <c r="G8403" s="5" t="s">
        <v>52679</v>
      </c>
      <c r="H8403" s="6" t="s">
        <v>52680</v>
      </c>
      <c r="K8403" s="5" t="s">
        <v>52681</v>
      </c>
    </row>
    <row r="8404">
      <c r="A8404" s="4">
        <v>45534.40249429399</v>
      </c>
      <c r="B8404" s="5" t="s">
        <v>19</v>
      </c>
      <c r="C8404" s="5" t="s">
        <v>1606</v>
      </c>
      <c r="E8404" s="5" t="s">
        <v>52684</v>
      </c>
      <c r="F8404" s="5" t="s">
        <v>375</v>
      </c>
      <c r="G8404" s="5" t="s">
        <v>52685</v>
      </c>
      <c r="H8404" s="6" t="s">
        <v>52686</v>
      </c>
      <c r="K8404" s="5" t="s">
        <v>52687</v>
      </c>
    </row>
    <row r="8405">
      <c r="A8405" s="4">
        <v>45534.40250439815</v>
      </c>
      <c r="B8405" s="5" t="s">
        <v>34</v>
      </c>
      <c r="D8405" s="5" t="s">
        <v>4775</v>
      </c>
      <c r="E8405" s="5" t="s">
        <v>52690</v>
      </c>
      <c r="F8405" s="5" t="s">
        <v>37</v>
      </c>
      <c r="G8405" s="5" t="s">
        <v>52691</v>
      </c>
      <c r="H8405" s="6" t="s">
        <v>52692</v>
      </c>
      <c r="K8405" s="5" t="s">
        <v>52693</v>
      </c>
    </row>
    <row r="8406">
      <c r="A8406" s="4">
        <v>45534.402517731476</v>
      </c>
      <c r="B8406" s="5" t="s">
        <v>34</v>
      </c>
      <c r="D8406" s="5" t="s">
        <v>4775</v>
      </c>
      <c r="E8406" s="5" t="s">
        <v>52696</v>
      </c>
      <c r="F8406" s="5" t="s">
        <v>212</v>
      </c>
      <c r="G8406" s="5" t="s">
        <v>52697</v>
      </c>
      <c r="H8406" s="6" t="s">
        <v>52698</v>
      </c>
      <c r="K8406" s="5" t="s">
        <v>52693</v>
      </c>
    </row>
    <row r="8407">
      <c r="A8407" s="4">
        <v>45534.40254306713</v>
      </c>
      <c r="B8407" s="5" t="s">
        <v>34</v>
      </c>
      <c r="D8407" s="5" t="s">
        <v>522</v>
      </c>
      <c r="E8407" s="5" t="s">
        <v>52701</v>
      </c>
      <c r="F8407" s="5" t="s">
        <v>715</v>
      </c>
      <c r="G8407" s="5" t="s">
        <v>52702</v>
      </c>
      <c r="H8407" s="6" t="s">
        <v>52703</v>
      </c>
      <c r="K8407" s="5" t="s">
        <v>52693</v>
      </c>
    </row>
    <row r="8408">
      <c r="A8408" s="4">
        <v>45534.4025936574</v>
      </c>
      <c r="B8408" s="5" t="s">
        <v>34</v>
      </c>
      <c r="D8408" s="5" t="s">
        <v>9020</v>
      </c>
      <c r="E8408" s="5" t="s">
        <v>52706</v>
      </c>
      <c r="F8408" s="5" t="s">
        <v>212</v>
      </c>
      <c r="G8408" s="5" t="s">
        <v>52707</v>
      </c>
      <c r="H8408" s="6" t="s">
        <v>52708</v>
      </c>
      <c r="K8408" s="5" t="s">
        <v>52709</v>
      </c>
    </row>
    <row r="8409">
      <c r="A8409" s="4">
        <v>45534.40259550926</v>
      </c>
      <c r="B8409" s="5" t="s">
        <v>19</v>
      </c>
      <c r="C8409" s="5" t="s">
        <v>5564</v>
      </c>
      <c r="E8409" s="5" t="s">
        <v>52712</v>
      </c>
      <c r="F8409" s="5" t="s">
        <v>375</v>
      </c>
      <c r="G8409" s="5" t="s">
        <v>52713</v>
      </c>
      <c r="H8409" s="6" t="s">
        <v>52714</v>
      </c>
      <c r="K8409" s="5" t="s">
        <v>52709</v>
      </c>
    </row>
    <row r="8410">
      <c r="A8410" s="4">
        <v>45534.40260454861</v>
      </c>
      <c r="B8410" s="5" t="s">
        <v>34</v>
      </c>
      <c r="D8410" s="5" t="s">
        <v>14313</v>
      </c>
      <c r="E8410" s="5" t="s">
        <v>52717</v>
      </c>
      <c r="F8410" s="5" t="s">
        <v>120</v>
      </c>
      <c r="G8410" s="5" t="s">
        <v>52718</v>
      </c>
      <c r="H8410" s="6" t="s">
        <v>52719</v>
      </c>
      <c r="K8410" s="5" t="s">
        <v>52720</v>
      </c>
    </row>
    <row r="8411">
      <c r="A8411" s="4">
        <v>45534.402612129634</v>
      </c>
      <c r="B8411" s="5" t="s">
        <v>34</v>
      </c>
      <c r="D8411" s="5" t="s">
        <v>267</v>
      </c>
      <c r="E8411" s="5" t="s">
        <v>52723</v>
      </c>
      <c r="F8411" s="5" t="s">
        <v>375</v>
      </c>
      <c r="G8411" s="5" t="s">
        <v>52724</v>
      </c>
      <c r="H8411" s="6" t="s">
        <v>52725</v>
      </c>
      <c r="K8411" s="5" t="s">
        <v>52720</v>
      </c>
    </row>
    <row r="8412">
      <c r="A8412" s="4">
        <v>45534.402621863424</v>
      </c>
      <c r="B8412" s="5" t="s">
        <v>34</v>
      </c>
      <c r="D8412" s="5" t="s">
        <v>35</v>
      </c>
      <c r="E8412" s="5" t="s">
        <v>52728</v>
      </c>
      <c r="F8412" s="5" t="s">
        <v>375</v>
      </c>
      <c r="G8412" s="5" t="s">
        <v>52729</v>
      </c>
      <c r="H8412" s="6" t="s">
        <v>52730</v>
      </c>
      <c r="K8412" s="5" t="s">
        <v>52720</v>
      </c>
    </row>
    <row r="8413">
      <c r="A8413" s="4">
        <v>45534.402639583335</v>
      </c>
      <c r="B8413" s="5" t="s">
        <v>34</v>
      </c>
      <c r="D8413" s="5" t="s">
        <v>1206</v>
      </c>
      <c r="E8413" s="5" t="s">
        <v>52733</v>
      </c>
      <c r="F8413" s="5" t="s">
        <v>524</v>
      </c>
      <c r="G8413" s="5" t="s">
        <v>52734</v>
      </c>
      <c r="H8413" s="6" t="s">
        <v>52735</v>
      </c>
      <c r="K8413" s="5" t="s">
        <v>52720</v>
      </c>
    </row>
    <row r="8414">
      <c r="A8414" s="4">
        <v>45534.402646365736</v>
      </c>
      <c r="B8414" s="5" t="s">
        <v>34</v>
      </c>
      <c r="D8414" s="5" t="s">
        <v>701</v>
      </c>
      <c r="E8414" s="5" t="s">
        <v>52738</v>
      </c>
      <c r="F8414" s="5" t="s">
        <v>37</v>
      </c>
      <c r="G8414" s="5" t="s">
        <v>52739</v>
      </c>
      <c r="H8414" s="6" t="s">
        <v>52740</v>
      </c>
      <c r="K8414" s="5" t="s">
        <v>52741</v>
      </c>
    </row>
    <row r="8415">
      <c r="A8415" s="4">
        <v>45534.4026534838</v>
      </c>
      <c r="B8415" s="5" t="s">
        <v>34</v>
      </c>
      <c r="D8415" s="5" t="s">
        <v>9394</v>
      </c>
      <c r="E8415" s="5" t="s">
        <v>52744</v>
      </c>
      <c r="F8415" s="5" t="s">
        <v>212</v>
      </c>
      <c r="G8415" s="5" t="s">
        <v>52745</v>
      </c>
      <c r="H8415" s="6" t="s">
        <v>52746</v>
      </c>
      <c r="K8415" s="5" t="s">
        <v>52741</v>
      </c>
    </row>
    <row r="8416">
      <c r="A8416" s="4">
        <v>45534.40265646991</v>
      </c>
      <c r="B8416" s="5" t="s">
        <v>34</v>
      </c>
      <c r="D8416" s="5" t="s">
        <v>1558</v>
      </c>
      <c r="E8416" s="5" t="s">
        <v>19050</v>
      </c>
      <c r="F8416" s="5" t="s">
        <v>212</v>
      </c>
      <c r="G8416" s="5" t="s">
        <v>52749</v>
      </c>
      <c r="H8416" s="6" t="s">
        <v>52750</v>
      </c>
      <c r="K8416" s="5" t="s">
        <v>52741</v>
      </c>
    </row>
    <row r="8417">
      <c r="A8417" s="4">
        <v>45534.40266521991</v>
      </c>
      <c r="B8417" s="5" t="s">
        <v>34</v>
      </c>
      <c r="D8417" s="5" t="s">
        <v>9020</v>
      </c>
      <c r="E8417" s="5" t="s">
        <v>52753</v>
      </c>
      <c r="F8417" s="5" t="s">
        <v>72</v>
      </c>
      <c r="G8417" s="5" t="s">
        <v>52754</v>
      </c>
      <c r="H8417" s="6" t="s">
        <v>52755</v>
      </c>
      <c r="K8417" s="5" t="s">
        <v>52741</v>
      </c>
    </row>
    <row r="8418">
      <c r="A8418" s="4">
        <v>45534.40269585648</v>
      </c>
      <c r="B8418" s="5" t="s">
        <v>34</v>
      </c>
      <c r="D8418" s="5" t="s">
        <v>14313</v>
      </c>
      <c r="E8418" s="5" t="s">
        <v>52758</v>
      </c>
      <c r="F8418" s="5" t="s">
        <v>120</v>
      </c>
      <c r="G8418" s="5" t="s">
        <v>52759</v>
      </c>
      <c r="H8418" s="6" t="s">
        <v>52760</v>
      </c>
      <c r="K8418" s="5" t="s">
        <v>52761</v>
      </c>
    </row>
    <row r="8419">
      <c r="A8419" s="4">
        <v>45534.40270726852</v>
      </c>
      <c r="B8419" s="5" t="s">
        <v>34</v>
      </c>
      <c r="D8419" s="5" t="s">
        <v>4775</v>
      </c>
      <c r="E8419" s="5" t="s">
        <v>52764</v>
      </c>
      <c r="F8419" s="5" t="s">
        <v>524</v>
      </c>
      <c r="G8419" s="5" t="s">
        <v>52765</v>
      </c>
      <c r="H8419" s="6" t="s">
        <v>52766</v>
      </c>
      <c r="K8419" s="5" t="s">
        <v>52761</v>
      </c>
    </row>
    <row r="8420">
      <c r="A8420" s="4">
        <v>45534.402709849535</v>
      </c>
      <c r="B8420" s="5" t="s">
        <v>34</v>
      </c>
      <c r="D8420" s="5" t="s">
        <v>1558</v>
      </c>
      <c r="E8420" s="5" t="s">
        <v>52769</v>
      </c>
      <c r="F8420" s="5" t="s">
        <v>375</v>
      </c>
      <c r="G8420" s="5" t="s">
        <v>52770</v>
      </c>
      <c r="H8420" s="6" t="s">
        <v>52771</v>
      </c>
      <c r="K8420" s="5" t="s">
        <v>52761</v>
      </c>
    </row>
    <row r="8421">
      <c r="A8421" s="4">
        <v>45534.40302903936</v>
      </c>
      <c r="B8421" s="5" t="s">
        <v>34</v>
      </c>
      <c r="D8421" s="5" t="s">
        <v>1456</v>
      </c>
      <c r="E8421" s="5" t="s">
        <v>52774</v>
      </c>
      <c r="F8421" s="5" t="s">
        <v>212</v>
      </c>
      <c r="G8421" s="5" t="s">
        <v>52775</v>
      </c>
      <c r="H8421" s="6" t="s">
        <v>52776</v>
      </c>
      <c r="K8421" s="5" t="s">
        <v>52777</v>
      </c>
    </row>
    <row r="8422">
      <c r="A8422" s="4">
        <v>45534.40304769676</v>
      </c>
      <c r="B8422" s="5" t="s">
        <v>34</v>
      </c>
      <c r="D8422" s="5" t="s">
        <v>522</v>
      </c>
      <c r="E8422" s="5" t="s">
        <v>52781</v>
      </c>
      <c r="F8422" s="5" t="s">
        <v>37</v>
      </c>
      <c r="G8422" s="5" t="s">
        <v>52782</v>
      </c>
      <c r="H8422" s="6" t="s">
        <v>52783</v>
      </c>
      <c r="K8422" s="5" t="s">
        <v>52777</v>
      </c>
    </row>
    <row r="8423">
      <c r="A8423" s="4">
        <v>45534.403065289356</v>
      </c>
      <c r="B8423" s="5" t="s">
        <v>34</v>
      </c>
      <c r="D8423" s="5" t="s">
        <v>1206</v>
      </c>
      <c r="E8423" s="5" t="s">
        <v>52786</v>
      </c>
      <c r="F8423" s="5" t="s">
        <v>212</v>
      </c>
      <c r="G8423" s="5" t="s">
        <v>52787</v>
      </c>
      <c r="H8423" s="6" t="s">
        <v>52788</v>
      </c>
      <c r="K8423" s="5" t="s">
        <v>52777</v>
      </c>
    </row>
    <row r="8424">
      <c r="A8424" s="4">
        <v>45534.40307758102</v>
      </c>
      <c r="B8424" s="5" t="s">
        <v>34</v>
      </c>
      <c r="D8424" s="5" t="s">
        <v>1206</v>
      </c>
      <c r="E8424" s="5" t="s">
        <v>52791</v>
      </c>
      <c r="F8424" s="5" t="s">
        <v>328</v>
      </c>
      <c r="G8424" s="5" t="s">
        <v>52792</v>
      </c>
      <c r="H8424" s="6" t="s">
        <v>52793</v>
      </c>
      <c r="K8424" s="5" t="s">
        <v>52777</v>
      </c>
    </row>
    <row r="8425">
      <c r="A8425" s="4">
        <v>45534.40308365741</v>
      </c>
      <c r="B8425" s="5" t="s">
        <v>34</v>
      </c>
      <c r="D8425" s="5" t="s">
        <v>4775</v>
      </c>
      <c r="E8425" s="5" t="s">
        <v>52796</v>
      </c>
      <c r="F8425" s="5" t="s">
        <v>72</v>
      </c>
      <c r="G8425" s="5" t="s">
        <v>52797</v>
      </c>
      <c r="H8425" s="6" t="s">
        <v>52798</v>
      </c>
      <c r="K8425" s="5" t="s">
        <v>52777</v>
      </c>
    </row>
    <row r="8426">
      <c r="A8426" s="4">
        <v>45534.40311924768</v>
      </c>
      <c r="B8426" s="5" t="s">
        <v>19</v>
      </c>
      <c r="C8426" s="5" t="s">
        <v>292</v>
      </c>
      <c r="E8426" s="5" t="s">
        <v>52801</v>
      </c>
      <c r="F8426" s="5" t="s">
        <v>212</v>
      </c>
      <c r="G8426" s="5" t="s">
        <v>52802</v>
      </c>
      <c r="H8426" s="6" t="s">
        <v>52803</v>
      </c>
      <c r="K8426" s="5" t="s">
        <v>52804</v>
      </c>
    </row>
    <row r="8427">
      <c r="A8427" s="4">
        <v>45534.40313759259</v>
      </c>
      <c r="B8427" s="5" t="s">
        <v>34</v>
      </c>
      <c r="D8427" s="5" t="s">
        <v>1206</v>
      </c>
      <c r="E8427" s="5" t="s">
        <v>52807</v>
      </c>
      <c r="F8427" s="5" t="s">
        <v>212</v>
      </c>
      <c r="G8427" s="5" t="s">
        <v>52808</v>
      </c>
      <c r="H8427" s="6" t="s">
        <v>52809</v>
      </c>
      <c r="K8427" s="5" t="s">
        <v>52804</v>
      </c>
    </row>
    <row r="8428">
      <c r="A8428" s="4">
        <v>45534.40313760417</v>
      </c>
      <c r="B8428" s="5" t="s">
        <v>34</v>
      </c>
      <c r="D8428" s="5" t="s">
        <v>1456</v>
      </c>
      <c r="E8428" s="5" t="s">
        <v>52813</v>
      </c>
      <c r="F8428" s="5" t="s">
        <v>37</v>
      </c>
      <c r="G8428" s="5" t="s">
        <v>52814</v>
      </c>
      <c r="H8428" s="6" t="s">
        <v>52815</v>
      </c>
      <c r="K8428" s="5" t="s">
        <v>52804</v>
      </c>
    </row>
    <row r="8429">
      <c r="A8429" s="4">
        <v>45534.40315665509</v>
      </c>
      <c r="B8429" s="5" t="s">
        <v>34</v>
      </c>
      <c r="D8429" s="5" t="s">
        <v>580</v>
      </c>
      <c r="E8429" s="5" t="s">
        <v>52818</v>
      </c>
      <c r="F8429" s="5" t="s">
        <v>524</v>
      </c>
      <c r="G8429" s="5" t="s">
        <v>52819</v>
      </c>
      <c r="H8429" s="6" t="s">
        <v>52820</v>
      </c>
      <c r="K8429" s="5" t="s">
        <v>52804</v>
      </c>
    </row>
    <row r="8430">
      <c r="A8430" s="4">
        <v>45534.4031602662</v>
      </c>
      <c r="B8430" s="5" t="s">
        <v>19</v>
      </c>
      <c r="C8430" s="5" t="s">
        <v>1606</v>
      </c>
      <c r="E8430" s="5" t="s">
        <v>52823</v>
      </c>
      <c r="F8430" s="5" t="s">
        <v>375</v>
      </c>
      <c r="G8430" s="5" t="s">
        <v>52824</v>
      </c>
      <c r="H8430" s="6" t="s">
        <v>52825</v>
      </c>
      <c r="K8430" s="5" t="s">
        <v>52804</v>
      </c>
    </row>
    <row r="8431">
      <c r="A8431" s="4">
        <v>45534.4031628125</v>
      </c>
      <c r="B8431" s="5" t="s">
        <v>19</v>
      </c>
      <c r="C8431" s="5" t="s">
        <v>3471</v>
      </c>
      <c r="E8431" s="5" t="s">
        <v>52828</v>
      </c>
      <c r="F8431" s="5" t="s">
        <v>524</v>
      </c>
      <c r="G8431" s="5" t="s">
        <v>52829</v>
      </c>
      <c r="H8431" s="6" t="s">
        <v>52830</v>
      </c>
      <c r="K8431" s="5" t="s">
        <v>52804</v>
      </c>
    </row>
    <row r="8432">
      <c r="A8432" s="4">
        <v>45534.4031959375</v>
      </c>
      <c r="B8432" s="5" t="s">
        <v>34</v>
      </c>
      <c r="D8432" s="5" t="s">
        <v>12978</v>
      </c>
      <c r="E8432" s="5" t="s">
        <v>52834</v>
      </c>
      <c r="F8432" s="5" t="s">
        <v>212</v>
      </c>
      <c r="G8432" s="5" t="s">
        <v>52835</v>
      </c>
      <c r="H8432" s="6" t="s">
        <v>52836</v>
      </c>
      <c r="K8432" s="5" t="s">
        <v>52837</v>
      </c>
    </row>
    <row r="8433">
      <c r="A8433" s="4">
        <v>45534.40320122685</v>
      </c>
      <c r="B8433" s="5" t="s">
        <v>34</v>
      </c>
      <c r="D8433" s="5" t="s">
        <v>14313</v>
      </c>
      <c r="E8433" s="5" t="s">
        <v>52840</v>
      </c>
      <c r="F8433" s="5" t="s">
        <v>375</v>
      </c>
      <c r="G8433" s="5" t="s">
        <v>52841</v>
      </c>
      <c r="H8433" s="6" t="s">
        <v>52842</v>
      </c>
      <c r="K8433" s="5" t="s">
        <v>52837</v>
      </c>
    </row>
    <row r="8434">
      <c r="A8434" s="4">
        <v>45534.40322939814</v>
      </c>
      <c r="B8434" s="5" t="s">
        <v>34</v>
      </c>
      <c r="D8434" s="5" t="s">
        <v>1206</v>
      </c>
      <c r="E8434" s="5" t="s">
        <v>52846</v>
      </c>
      <c r="F8434" s="5" t="s">
        <v>212</v>
      </c>
      <c r="G8434" s="5" t="s">
        <v>52847</v>
      </c>
      <c r="H8434" s="6" t="s">
        <v>52848</v>
      </c>
      <c r="K8434" s="5" t="s">
        <v>52849</v>
      </c>
    </row>
    <row r="8435">
      <c r="A8435" s="4">
        <v>45534.40326153935</v>
      </c>
      <c r="B8435" s="5" t="s">
        <v>34</v>
      </c>
      <c r="D8435" s="5" t="s">
        <v>1206</v>
      </c>
      <c r="E8435" s="5" t="s">
        <v>52853</v>
      </c>
      <c r="F8435" s="5" t="s">
        <v>37</v>
      </c>
      <c r="G8435" s="5" t="s">
        <v>52854</v>
      </c>
      <c r="H8435" s="6" t="s">
        <v>52855</v>
      </c>
      <c r="K8435" s="5" t="s">
        <v>52856</v>
      </c>
    </row>
    <row r="8436">
      <c r="A8436" s="4">
        <v>45534.403280405095</v>
      </c>
      <c r="B8436" s="5" t="s">
        <v>19</v>
      </c>
      <c r="C8436" s="5" t="s">
        <v>292</v>
      </c>
      <c r="E8436" s="5" t="s">
        <v>52859</v>
      </c>
      <c r="F8436" s="5" t="s">
        <v>212</v>
      </c>
      <c r="G8436" s="5" t="s">
        <v>52860</v>
      </c>
      <c r="H8436" s="6" t="s">
        <v>52861</v>
      </c>
      <c r="K8436" s="5" t="s">
        <v>52862</v>
      </c>
    </row>
    <row r="8437">
      <c r="A8437" s="4">
        <v>45534.403321875</v>
      </c>
      <c r="B8437" s="5" t="s">
        <v>34</v>
      </c>
      <c r="D8437" s="5" t="s">
        <v>1206</v>
      </c>
      <c r="E8437" s="5" t="s">
        <v>52865</v>
      </c>
      <c r="F8437" s="5" t="s">
        <v>212</v>
      </c>
      <c r="G8437" s="5" t="s">
        <v>52866</v>
      </c>
      <c r="H8437" s="6" t="s">
        <v>52867</v>
      </c>
      <c r="K8437" s="5" t="s">
        <v>52868</v>
      </c>
    </row>
    <row r="8438">
      <c r="A8438" s="4">
        <v>45534.403326631946</v>
      </c>
      <c r="B8438" s="5" t="s">
        <v>19</v>
      </c>
      <c r="C8438" s="5" t="s">
        <v>292</v>
      </c>
      <c r="E8438" s="5" t="s">
        <v>52871</v>
      </c>
      <c r="F8438" s="5" t="s">
        <v>212</v>
      </c>
      <c r="G8438" s="5" t="s">
        <v>52872</v>
      </c>
      <c r="H8438" s="6" t="s">
        <v>52873</v>
      </c>
      <c r="K8438" s="5" t="s">
        <v>52868</v>
      </c>
    </row>
    <row r="8439">
      <c r="A8439" s="4">
        <v>45534.403343252314</v>
      </c>
      <c r="B8439" s="5" t="s">
        <v>34</v>
      </c>
      <c r="D8439" s="5" t="s">
        <v>267</v>
      </c>
      <c r="E8439" s="5" t="s">
        <v>52876</v>
      </c>
      <c r="F8439" s="5" t="s">
        <v>37</v>
      </c>
      <c r="G8439" s="5" t="s">
        <v>52877</v>
      </c>
      <c r="H8439" s="6" t="s">
        <v>52878</v>
      </c>
      <c r="K8439" s="5" t="s">
        <v>52879</v>
      </c>
    </row>
    <row r="8440">
      <c r="A8440" s="4">
        <v>45534.403420393515</v>
      </c>
      <c r="B8440" s="5" t="s">
        <v>34</v>
      </c>
      <c r="D8440" s="5" t="s">
        <v>4775</v>
      </c>
      <c r="E8440" s="5" t="s">
        <v>52883</v>
      </c>
      <c r="F8440" s="5" t="s">
        <v>212</v>
      </c>
      <c r="G8440" s="5" t="s">
        <v>52884</v>
      </c>
      <c r="H8440" s="6" t="s">
        <v>52885</v>
      </c>
      <c r="K8440" s="5" t="s">
        <v>52886</v>
      </c>
    </row>
    <row r="8441">
      <c r="A8441" s="4">
        <v>45534.403432349536</v>
      </c>
      <c r="B8441" s="5" t="s">
        <v>34</v>
      </c>
      <c r="D8441" s="5" t="s">
        <v>35</v>
      </c>
      <c r="E8441" s="5" t="s">
        <v>52889</v>
      </c>
      <c r="F8441" s="5" t="s">
        <v>524</v>
      </c>
      <c r="G8441" s="5" t="s">
        <v>52890</v>
      </c>
      <c r="H8441" s="6" t="s">
        <v>52891</v>
      </c>
      <c r="K8441" s="5" t="s">
        <v>52886</v>
      </c>
    </row>
    <row r="8442">
      <c r="A8442" s="4">
        <v>45534.40353996528</v>
      </c>
      <c r="B8442" s="5" t="s">
        <v>34</v>
      </c>
      <c r="D8442" s="5" t="s">
        <v>7858</v>
      </c>
      <c r="E8442" s="5" t="s">
        <v>52894</v>
      </c>
      <c r="F8442" s="5" t="s">
        <v>37</v>
      </c>
      <c r="G8442" s="5" t="s">
        <v>52895</v>
      </c>
      <c r="H8442" s="6" t="s">
        <v>52896</v>
      </c>
      <c r="K8442" s="5" t="s">
        <v>52897</v>
      </c>
    </row>
    <row r="8443">
      <c r="A8443" s="4">
        <v>45534.40355256945</v>
      </c>
      <c r="B8443" s="5" t="s">
        <v>34</v>
      </c>
      <c r="D8443" s="5" t="s">
        <v>701</v>
      </c>
      <c r="E8443" s="5" t="s">
        <v>52900</v>
      </c>
      <c r="F8443" s="5" t="s">
        <v>375</v>
      </c>
      <c r="G8443" s="5" t="s">
        <v>52901</v>
      </c>
      <c r="H8443" s="6" t="s">
        <v>52902</v>
      </c>
      <c r="K8443" s="5" t="s">
        <v>52897</v>
      </c>
    </row>
    <row r="8444">
      <c r="A8444" s="4">
        <v>45534.403574641205</v>
      </c>
      <c r="B8444" s="5" t="s">
        <v>34</v>
      </c>
      <c r="D8444" s="5" t="s">
        <v>1692</v>
      </c>
      <c r="E8444" s="5" t="s">
        <v>52905</v>
      </c>
      <c r="F8444" s="5" t="s">
        <v>72</v>
      </c>
      <c r="G8444" s="5" t="s">
        <v>52906</v>
      </c>
      <c r="H8444" s="6" t="s">
        <v>52907</v>
      </c>
      <c r="K8444" s="5" t="s">
        <v>52908</v>
      </c>
    </row>
    <row r="8445">
      <c r="A8445" s="4">
        <v>45534.40363980324</v>
      </c>
      <c r="B8445" s="5" t="s">
        <v>34</v>
      </c>
      <c r="D8445" s="5" t="s">
        <v>14424</v>
      </c>
      <c r="E8445" s="5" t="s">
        <v>52911</v>
      </c>
      <c r="F8445" s="5" t="s">
        <v>72</v>
      </c>
      <c r="G8445" s="5" t="s">
        <v>52912</v>
      </c>
      <c r="H8445" s="6" t="s">
        <v>52913</v>
      </c>
      <c r="K8445" s="5" t="s">
        <v>52914</v>
      </c>
    </row>
    <row r="8446">
      <c r="A8446" s="4">
        <v>45534.40365878472</v>
      </c>
      <c r="B8446" s="5" t="s">
        <v>34</v>
      </c>
      <c r="D8446" s="5" t="s">
        <v>4775</v>
      </c>
      <c r="E8446" s="5" t="s">
        <v>52918</v>
      </c>
      <c r="F8446" s="5" t="s">
        <v>72</v>
      </c>
      <c r="G8446" s="5" t="s">
        <v>52919</v>
      </c>
      <c r="H8446" s="6" t="s">
        <v>52920</v>
      </c>
      <c r="K8446" s="5" t="s">
        <v>52921</v>
      </c>
    </row>
    <row r="8447">
      <c r="A8447" s="4">
        <v>45534.40368621528</v>
      </c>
      <c r="B8447" s="5" t="s">
        <v>34</v>
      </c>
      <c r="D8447" s="5" t="s">
        <v>15401</v>
      </c>
      <c r="E8447" s="5" t="s">
        <v>52924</v>
      </c>
      <c r="F8447" s="5" t="s">
        <v>72</v>
      </c>
      <c r="G8447" s="5" t="s">
        <v>52925</v>
      </c>
      <c r="H8447" s="6" t="s">
        <v>52926</v>
      </c>
      <c r="K8447" s="5" t="s">
        <v>52921</v>
      </c>
    </row>
    <row r="8448">
      <c r="A8448" s="4">
        <v>45534.40371746528</v>
      </c>
      <c r="B8448" s="5" t="s">
        <v>34</v>
      </c>
      <c r="D8448" s="5" t="s">
        <v>996</v>
      </c>
      <c r="E8448" s="7" t="s">
        <v>52929</v>
      </c>
      <c r="F8448" s="5" t="s">
        <v>72</v>
      </c>
      <c r="G8448" s="5" t="s">
        <v>16126</v>
      </c>
      <c r="H8448" s="6" t="s">
        <v>52930</v>
      </c>
      <c r="K8448" s="5" t="s">
        <v>52931</v>
      </c>
    </row>
    <row r="8449">
      <c r="A8449" s="4">
        <v>45534.40374974537</v>
      </c>
      <c r="B8449" s="5" t="s">
        <v>34</v>
      </c>
      <c r="D8449" s="5" t="s">
        <v>10444</v>
      </c>
      <c r="E8449" s="5" t="s">
        <v>24488</v>
      </c>
      <c r="F8449" s="5" t="s">
        <v>108</v>
      </c>
      <c r="G8449" s="5" t="s">
        <v>52934</v>
      </c>
      <c r="H8449" s="6" t="s">
        <v>52935</v>
      </c>
      <c r="K8449" s="5" t="s">
        <v>52931</v>
      </c>
    </row>
    <row r="8450">
      <c r="A8450" s="4">
        <v>45534.403818506944</v>
      </c>
      <c r="B8450" s="5" t="s">
        <v>34</v>
      </c>
      <c r="D8450" s="5" t="s">
        <v>14424</v>
      </c>
      <c r="E8450" s="5" t="s">
        <v>52938</v>
      </c>
      <c r="F8450" s="5" t="s">
        <v>37</v>
      </c>
      <c r="G8450" s="5" t="s">
        <v>52939</v>
      </c>
      <c r="H8450" s="6" t="s">
        <v>52940</v>
      </c>
      <c r="K8450" s="5" t="s">
        <v>52941</v>
      </c>
    </row>
    <row r="8451">
      <c r="A8451" s="4">
        <v>45534.40386395833</v>
      </c>
      <c r="B8451" s="5" t="s">
        <v>19</v>
      </c>
      <c r="C8451" s="5" t="s">
        <v>292</v>
      </c>
      <c r="E8451" s="5" t="s">
        <v>52945</v>
      </c>
      <c r="F8451" s="5" t="s">
        <v>212</v>
      </c>
      <c r="G8451" s="5" t="s">
        <v>52946</v>
      </c>
      <c r="H8451" s="6" t="s">
        <v>52947</v>
      </c>
      <c r="K8451" s="5" t="s">
        <v>52948</v>
      </c>
    </row>
    <row r="8452">
      <c r="A8452" s="4">
        <v>45534.40391090278</v>
      </c>
      <c r="B8452" s="5" t="s">
        <v>34</v>
      </c>
      <c r="D8452" s="5" t="s">
        <v>9020</v>
      </c>
      <c r="E8452" s="5" t="s">
        <v>52951</v>
      </c>
      <c r="F8452" s="5" t="s">
        <v>524</v>
      </c>
      <c r="G8452" s="5" t="s">
        <v>28452</v>
      </c>
      <c r="H8452" s="6" t="s">
        <v>52952</v>
      </c>
      <c r="K8452" s="5" t="s">
        <v>52953</v>
      </c>
    </row>
    <row r="8453">
      <c r="A8453" s="4">
        <v>45534.40392864583</v>
      </c>
      <c r="B8453" s="5" t="s">
        <v>34</v>
      </c>
      <c r="D8453" s="5" t="s">
        <v>267</v>
      </c>
      <c r="E8453" s="5" t="s">
        <v>52956</v>
      </c>
      <c r="F8453" s="5" t="s">
        <v>375</v>
      </c>
      <c r="G8453" s="5" t="s">
        <v>52957</v>
      </c>
      <c r="H8453" s="6" t="s">
        <v>52958</v>
      </c>
      <c r="K8453" s="5" t="s">
        <v>52953</v>
      </c>
    </row>
    <row r="8454">
      <c r="A8454" s="4">
        <v>45534.403951354165</v>
      </c>
      <c r="B8454" s="5" t="s">
        <v>34</v>
      </c>
      <c r="D8454" s="5" t="s">
        <v>14313</v>
      </c>
      <c r="E8454" s="5" t="s">
        <v>52961</v>
      </c>
      <c r="F8454" s="5" t="s">
        <v>212</v>
      </c>
      <c r="G8454" s="5" t="s">
        <v>52962</v>
      </c>
      <c r="H8454" s="6" t="s">
        <v>52963</v>
      </c>
      <c r="K8454" s="5" t="s">
        <v>52953</v>
      </c>
    </row>
    <row r="8455">
      <c r="A8455" s="4">
        <v>45534.40397122686</v>
      </c>
      <c r="B8455" s="5" t="s">
        <v>34</v>
      </c>
      <c r="D8455" s="5" t="s">
        <v>35</v>
      </c>
      <c r="E8455" s="5" t="s">
        <v>52967</v>
      </c>
      <c r="F8455" s="5" t="s">
        <v>37</v>
      </c>
      <c r="G8455" s="5" t="s">
        <v>52968</v>
      </c>
      <c r="H8455" s="6" t="s">
        <v>52969</v>
      </c>
      <c r="K8455" s="5" t="s">
        <v>52953</v>
      </c>
    </row>
    <row r="8456">
      <c r="A8456" s="4">
        <v>45534.40400200231</v>
      </c>
      <c r="B8456" s="5" t="s">
        <v>34</v>
      </c>
      <c r="D8456" s="5" t="s">
        <v>4775</v>
      </c>
      <c r="E8456" s="5" t="s">
        <v>52972</v>
      </c>
      <c r="F8456" s="5" t="s">
        <v>375</v>
      </c>
      <c r="G8456" s="5" t="s">
        <v>52973</v>
      </c>
      <c r="H8456" s="6" t="s">
        <v>52974</v>
      </c>
      <c r="K8456" s="5" t="s">
        <v>52953</v>
      </c>
    </row>
    <row r="8457">
      <c r="A8457" s="4">
        <v>45534.404003310185</v>
      </c>
      <c r="B8457" s="5" t="s">
        <v>34</v>
      </c>
      <c r="D8457" s="5" t="s">
        <v>522</v>
      </c>
      <c r="E8457" s="5" t="s">
        <v>52978</v>
      </c>
      <c r="F8457" s="5" t="s">
        <v>37</v>
      </c>
      <c r="G8457" s="5" t="s">
        <v>52979</v>
      </c>
      <c r="H8457" s="6" t="s">
        <v>52980</v>
      </c>
      <c r="K8457" s="5" t="s">
        <v>52953</v>
      </c>
    </row>
    <row r="8458">
      <c r="A8458" s="4">
        <v>45534.404022187504</v>
      </c>
      <c r="B8458" s="5" t="s">
        <v>34</v>
      </c>
      <c r="D8458" s="5" t="s">
        <v>1558</v>
      </c>
      <c r="E8458" s="5" t="s">
        <v>52983</v>
      </c>
      <c r="F8458" s="5" t="s">
        <v>5859</v>
      </c>
      <c r="G8458" s="5" t="s">
        <v>52984</v>
      </c>
      <c r="H8458" s="6" t="s">
        <v>52985</v>
      </c>
      <c r="K8458" s="5" t="s">
        <v>52953</v>
      </c>
    </row>
    <row r="8459">
      <c r="A8459" s="4">
        <v>45534.40411402778</v>
      </c>
      <c r="B8459" s="5" t="s">
        <v>34</v>
      </c>
      <c r="D8459" s="5" t="s">
        <v>4775</v>
      </c>
      <c r="E8459" s="5" t="s">
        <v>43726</v>
      </c>
      <c r="F8459" s="5" t="s">
        <v>212</v>
      </c>
      <c r="G8459" s="5" t="s">
        <v>52988</v>
      </c>
      <c r="H8459" s="6" t="s">
        <v>52989</v>
      </c>
      <c r="K8459" s="5" t="s">
        <v>52990</v>
      </c>
    </row>
    <row r="8460">
      <c r="A8460" s="4">
        <v>45534.404121377316</v>
      </c>
      <c r="B8460" s="5" t="s">
        <v>34</v>
      </c>
      <c r="D8460" s="5" t="s">
        <v>14313</v>
      </c>
      <c r="E8460" s="5" t="s">
        <v>52993</v>
      </c>
      <c r="F8460" s="5" t="s">
        <v>212</v>
      </c>
      <c r="G8460" s="5" t="s">
        <v>52994</v>
      </c>
      <c r="H8460" s="6" t="s">
        <v>52995</v>
      </c>
      <c r="K8460" s="5" t="s">
        <v>52990</v>
      </c>
    </row>
    <row r="8461">
      <c r="A8461" s="4">
        <v>45534.40420394676</v>
      </c>
      <c r="B8461" s="5" t="s">
        <v>34</v>
      </c>
      <c r="D8461" s="5" t="s">
        <v>9020</v>
      </c>
      <c r="E8461" s="5" t="s">
        <v>52998</v>
      </c>
      <c r="F8461" s="5" t="s">
        <v>37</v>
      </c>
      <c r="G8461" s="5" t="s">
        <v>52999</v>
      </c>
      <c r="H8461" s="6" t="s">
        <v>53000</v>
      </c>
      <c r="K8461" s="5" t="s">
        <v>53001</v>
      </c>
    </row>
    <row r="8462">
      <c r="A8462" s="4">
        <v>45534.40424675926</v>
      </c>
      <c r="B8462" s="5" t="s">
        <v>34</v>
      </c>
      <c r="D8462" s="5" t="s">
        <v>701</v>
      </c>
      <c r="E8462" s="5" t="s">
        <v>53004</v>
      </c>
      <c r="F8462" s="5" t="s">
        <v>212</v>
      </c>
      <c r="G8462" s="5" t="s">
        <v>53005</v>
      </c>
      <c r="H8462" s="6" t="s">
        <v>53006</v>
      </c>
      <c r="K8462" s="5" t="s">
        <v>53001</v>
      </c>
    </row>
    <row r="8463">
      <c r="A8463" s="4">
        <v>45534.40426876157</v>
      </c>
      <c r="B8463" s="5" t="s">
        <v>19</v>
      </c>
      <c r="C8463" s="5" t="s">
        <v>292</v>
      </c>
      <c r="E8463" s="5" t="s">
        <v>53009</v>
      </c>
      <c r="F8463" s="5" t="s">
        <v>22</v>
      </c>
      <c r="G8463" s="5" t="s">
        <v>53010</v>
      </c>
      <c r="H8463" s="6" t="s">
        <v>53011</v>
      </c>
      <c r="K8463" s="5" t="s">
        <v>53001</v>
      </c>
    </row>
    <row r="8464">
      <c r="A8464" s="4">
        <v>45534.40428376157</v>
      </c>
      <c r="B8464" s="5" t="s">
        <v>19</v>
      </c>
      <c r="C8464" s="5" t="s">
        <v>11593</v>
      </c>
      <c r="E8464" s="5" t="s">
        <v>53014</v>
      </c>
      <c r="F8464" s="5" t="s">
        <v>120</v>
      </c>
      <c r="G8464" s="5" t="s">
        <v>53015</v>
      </c>
      <c r="H8464" s="6" t="s">
        <v>53016</v>
      </c>
      <c r="K8464" s="5" t="s">
        <v>53001</v>
      </c>
    </row>
    <row r="8465">
      <c r="A8465" s="4">
        <v>45534.404389918986</v>
      </c>
      <c r="B8465" s="5" t="s">
        <v>34</v>
      </c>
      <c r="D8465" s="5" t="s">
        <v>35</v>
      </c>
      <c r="E8465" s="5" t="s">
        <v>53019</v>
      </c>
      <c r="F8465" s="5" t="s">
        <v>37</v>
      </c>
      <c r="G8465" s="5" t="s">
        <v>53020</v>
      </c>
      <c r="H8465" s="6" t="s">
        <v>53021</v>
      </c>
      <c r="K8465" s="5" t="s">
        <v>53001</v>
      </c>
    </row>
    <row r="8466">
      <c r="A8466" s="4">
        <v>45534.40439144676</v>
      </c>
      <c r="B8466" s="5" t="s">
        <v>34</v>
      </c>
      <c r="D8466" s="5" t="s">
        <v>1206</v>
      </c>
      <c r="E8466" s="5" t="s">
        <v>53024</v>
      </c>
      <c r="F8466" s="5" t="s">
        <v>108</v>
      </c>
      <c r="G8466" s="5" t="s">
        <v>53025</v>
      </c>
      <c r="H8466" s="6" t="s">
        <v>53026</v>
      </c>
      <c r="K8466" s="5" t="s">
        <v>53001</v>
      </c>
    </row>
    <row r="8467">
      <c r="A8467" s="4">
        <v>45534.40445664352</v>
      </c>
      <c r="B8467" s="5" t="s">
        <v>19</v>
      </c>
      <c r="C8467" s="5" t="s">
        <v>292</v>
      </c>
      <c r="E8467" s="5" t="s">
        <v>53029</v>
      </c>
      <c r="F8467" s="5" t="s">
        <v>524</v>
      </c>
      <c r="G8467" s="5" t="s">
        <v>53030</v>
      </c>
      <c r="H8467" s="6" t="s">
        <v>53031</v>
      </c>
      <c r="K8467" s="5" t="s">
        <v>53001</v>
      </c>
    </row>
    <row r="8468">
      <c r="A8468" s="4">
        <v>45534.404459513884</v>
      </c>
      <c r="B8468" s="5" t="s">
        <v>34</v>
      </c>
      <c r="D8468" s="5" t="s">
        <v>35</v>
      </c>
      <c r="E8468" s="5" t="s">
        <v>53034</v>
      </c>
      <c r="F8468" s="5" t="s">
        <v>375</v>
      </c>
      <c r="G8468" s="5" t="s">
        <v>53035</v>
      </c>
      <c r="H8468" s="6" t="s">
        <v>53036</v>
      </c>
      <c r="K8468" s="5" t="s">
        <v>53001</v>
      </c>
    </row>
    <row r="8469">
      <c r="A8469" s="4">
        <v>45534.40445795139</v>
      </c>
      <c r="B8469" s="5" t="s">
        <v>34</v>
      </c>
      <c r="D8469" s="5" t="s">
        <v>267</v>
      </c>
      <c r="E8469" s="5" t="s">
        <v>53039</v>
      </c>
      <c r="F8469" s="5" t="s">
        <v>37</v>
      </c>
      <c r="G8469" s="5" t="s">
        <v>53040</v>
      </c>
      <c r="H8469" s="6" t="s">
        <v>53041</v>
      </c>
      <c r="K8469" s="5" t="s">
        <v>53001</v>
      </c>
    </row>
    <row r="8470">
      <c r="A8470" s="4">
        <v>45534.40448431713</v>
      </c>
      <c r="B8470" s="5" t="s">
        <v>34</v>
      </c>
      <c r="D8470" s="5" t="s">
        <v>9020</v>
      </c>
      <c r="E8470" s="5" t="s">
        <v>53044</v>
      </c>
      <c r="F8470" s="5" t="s">
        <v>212</v>
      </c>
      <c r="G8470" s="5" t="s">
        <v>53045</v>
      </c>
      <c r="H8470" s="6" t="s">
        <v>53046</v>
      </c>
      <c r="K8470" s="5" t="s">
        <v>53001</v>
      </c>
    </row>
    <row r="8471">
      <c r="A8471" s="4">
        <v>45534.404498194446</v>
      </c>
      <c r="B8471" s="5" t="s">
        <v>19</v>
      </c>
      <c r="C8471" s="5" t="s">
        <v>3471</v>
      </c>
      <c r="E8471" s="5" t="s">
        <v>53049</v>
      </c>
      <c r="F8471" s="5" t="s">
        <v>108</v>
      </c>
      <c r="G8471" s="5" t="s">
        <v>53050</v>
      </c>
      <c r="H8471" s="6" t="s">
        <v>53051</v>
      </c>
      <c r="K8471" s="5" t="s">
        <v>53052</v>
      </c>
    </row>
    <row r="8472">
      <c r="A8472" s="4">
        <v>45534.404550520834</v>
      </c>
      <c r="B8472" s="5" t="s">
        <v>34</v>
      </c>
      <c r="D8472" s="5" t="s">
        <v>9020</v>
      </c>
      <c r="E8472" s="5" t="s">
        <v>53055</v>
      </c>
      <c r="F8472" s="5" t="s">
        <v>108</v>
      </c>
      <c r="G8472" s="5" t="s">
        <v>53056</v>
      </c>
      <c r="H8472" s="6" t="s">
        <v>53057</v>
      </c>
      <c r="K8472" s="5" t="s">
        <v>53058</v>
      </c>
    </row>
    <row r="8473">
      <c r="A8473" s="4">
        <v>45534.404564386576</v>
      </c>
      <c r="B8473" s="5" t="s">
        <v>34</v>
      </c>
      <c r="D8473" s="5" t="s">
        <v>1206</v>
      </c>
      <c r="E8473" s="5" t="s">
        <v>53061</v>
      </c>
      <c r="F8473" s="5" t="s">
        <v>328</v>
      </c>
      <c r="G8473" s="5" t="s">
        <v>53062</v>
      </c>
      <c r="H8473" s="6" t="s">
        <v>53063</v>
      </c>
      <c r="K8473" s="5" t="s">
        <v>53064</v>
      </c>
    </row>
    <row r="8474">
      <c r="A8474" s="4">
        <v>45534.404638865744</v>
      </c>
      <c r="B8474" s="5" t="s">
        <v>34</v>
      </c>
      <c r="D8474" s="5" t="s">
        <v>1558</v>
      </c>
      <c r="E8474" s="5" t="s">
        <v>53067</v>
      </c>
      <c r="F8474" s="5" t="s">
        <v>72</v>
      </c>
      <c r="G8474" s="5" t="s">
        <v>53068</v>
      </c>
      <c r="H8474" s="6" t="s">
        <v>53069</v>
      </c>
      <c r="K8474" s="5" t="s">
        <v>53070</v>
      </c>
    </row>
    <row r="8475">
      <c r="A8475" s="4">
        <v>45534.404648483796</v>
      </c>
      <c r="B8475" s="5" t="s">
        <v>34</v>
      </c>
      <c r="D8475" s="5" t="s">
        <v>12978</v>
      </c>
      <c r="E8475" s="5" t="s">
        <v>53073</v>
      </c>
      <c r="F8475" s="5" t="s">
        <v>715</v>
      </c>
      <c r="G8475" s="5" t="s">
        <v>53074</v>
      </c>
      <c r="H8475" s="6" t="s">
        <v>53075</v>
      </c>
      <c r="K8475" s="5" t="s">
        <v>53070</v>
      </c>
    </row>
    <row r="8476">
      <c r="A8476" s="4">
        <v>45534.40464877315</v>
      </c>
      <c r="B8476" s="5" t="s">
        <v>34</v>
      </c>
      <c r="D8476" s="5" t="s">
        <v>14313</v>
      </c>
      <c r="E8476" s="5" t="s">
        <v>53078</v>
      </c>
      <c r="F8476" s="5" t="s">
        <v>375</v>
      </c>
      <c r="G8476" s="5" t="s">
        <v>53079</v>
      </c>
      <c r="H8476" s="6" t="s">
        <v>53080</v>
      </c>
      <c r="K8476" s="5" t="s">
        <v>53070</v>
      </c>
    </row>
    <row r="8477">
      <c r="A8477" s="4">
        <v>45534.40467076389</v>
      </c>
      <c r="B8477" s="5" t="s">
        <v>19</v>
      </c>
      <c r="C8477" s="5" t="s">
        <v>10418</v>
      </c>
      <c r="E8477" s="5" t="s">
        <v>53083</v>
      </c>
      <c r="F8477" s="5" t="s">
        <v>199</v>
      </c>
      <c r="G8477" s="5" t="s">
        <v>53084</v>
      </c>
      <c r="H8477" s="6" t="s">
        <v>53085</v>
      </c>
      <c r="K8477" s="5" t="s">
        <v>53070</v>
      </c>
    </row>
    <row r="8478">
      <c r="A8478" s="4">
        <v>45534.404682569446</v>
      </c>
      <c r="B8478" s="5" t="s">
        <v>34</v>
      </c>
      <c r="D8478" s="5" t="s">
        <v>267</v>
      </c>
      <c r="E8478" s="5" t="s">
        <v>53088</v>
      </c>
      <c r="F8478" s="5" t="s">
        <v>108</v>
      </c>
      <c r="G8478" s="5" t="s">
        <v>53089</v>
      </c>
      <c r="H8478" s="6" t="s">
        <v>53090</v>
      </c>
      <c r="K8478" s="5" t="s">
        <v>53070</v>
      </c>
    </row>
    <row r="8479">
      <c r="A8479" s="4">
        <v>45534.404730891205</v>
      </c>
      <c r="B8479" s="5" t="s">
        <v>34</v>
      </c>
      <c r="D8479" s="5" t="s">
        <v>4775</v>
      </c>
      <c r="E8479" s="5" t="s">
        <v>53093</v>
      </c>
      <c r="F8479" s="5" t="s">
        <v>120</v>
      </c>
      <c r="G8479" s="5" t="s">
        <v>53094</v>
      </c>
      <c r="H8479" s="6" t="s">
        <v>53095</v>
      </c>
      <c r="K8479" s="5" t="s">
        <v>53096</v>
      </c>
    </row>
    <row r="8480">
      <c r="A8480" s="4">
        <v>45534.40477417824</v>
      </c>
      <c r="B8480" s="5" t="s">
        <v>34</v>
      </c>
      <c r="D8480" s="5" t="s">
        <v>1558</v>
      </c>
      <c r="E8480" s="5" t="s">
        <v>53099</v>
      </c>
      <c r="F8480" s="5" t="s">
        <v>212</v>
      </c>
      <c r="G8480" s="5" t="s">
        <v>53100</v>
      </c>
      <c r="H8480" s="6" t="s">
        <v>53101</v>
      </c>
      <c r="K8480" s="5" t="s">
        <v>53102</v>
      </c>
    </row>
    <row r="8481">
      <c r="A8481" s="4">
        <v>45534.40479994213</v>
      </c>
      <c r="B8481" s="5" t="s">
        <v>34</v>
      </c>
      <c r="D8481" s="5" t="s">
        <v>580</v>
      </c>
      <c r="E8481" s="5" t="s">
        <v>53105</v>
      </c>
      <c r="F8481" s="5" t="s">
        <v>72</v>
      </c>
      <c r="G8481" s="5" t="s">
        <v>53106</v>
      </c>
      <c r="H8481" s="6" t="s">
        <v>53107</v>
      </c>
      <c r="K8481" s="5" t="s">
        <v>53108</v>
      </c>
    </row>
    <row r="8482">
      <c r="A8482" s="4">
        <v>45534.40482127314</v>
      </c>
      <c r="B8482" s="5" t="s">
        <v>34</v>
      </c>
      <c r="D8482" s="5" t="s">
        <v>4775</v>
      </c>
      <c r="E8482" s="5" t="s">
        <v>53112</v>
      </c>
      <c r="F8482" s="5" t="s">
        <v>108</v>
      </c>
      <c r="G8482" s="5" t="s">
        <v>53113</v>
      </c>
      <c r="H8482" s="6" t="s">
        <v>53114</v>
      </c>
      <c r="K8482" s="5" t="s">
        <v>53108</v>
      </c>
    </row>
    <row r="8483">
      <c r="A8483" s="4">
        <v>45534.40483194444</v>
      </c>
      <c r="B8483" s="5" t="s">
        <v>34</v>
      </c>
      <c r="D8483" s="5" t="s">
        <v>15401</v>
      </c>
      <c r="E8483" s="5" t="s">
        <v>53117</v>
      </c>
      <c r="F8483" s="5" t="s">
        <v>72</v>
      </c>
      <c r="G8483" s="5" t="s">
        <v>53118</v>
      </c>
      <c r="H8483" s="6" t="s">
        <v>53119</v>
      </c>
      <c r="K8483" s="5" t="s">
        <v>53120</v>
      </c>
    </row>
    <row r="8484">
      <c r="A8484" s="4">
        <v>45534.404864745375</v>
      </c>
      <c r="B8484" s="5" t="s">
        <v>34</v>
      </c>
      <c r="D8484" s="5" t="s">
        <v>267</v>
      </c>
      <c r="E8484" s="5" t="s">
        <v>53123</v>
      </c>
      <c r="F8484" s="5" t="s">
        <v>72</v>
      </c>
      <c r="G8484" s="5" t="s">
        <v>53124</v>
      </c>
      <c r="H8484" s="6" t="s">
        <v>53125</v>
      </c>
      <c r="K8484" s="5" t="s">
        <v>53120</v>
      </c>
    </row>
    <row r="8485">
      <c r="A8485" s="4">
        <v>45534.40489564815</v>
      </c>
      <c r="B8485" s="5" t="s">
        <v>19</v>
      </c>
      <c r="C8485" s="5" t="s">
        <v>5058</v>
      </c>
      <c r="E8485" s="5" t="s">
        <v>53128</v>
      </c>
      <c r="F8485" s="5" t="s">
        <v>375</v>
      </c>
      <c r="G8485" s="5" t="s">
        <v>53129</v>
      </c>
      <c r="H8485" s="6" t="s">
        <v>53130</v>
      </c>
      <c r="K8485" s="5" t="s">
        <v>53131</v>
      </c>
    </row>
    <row r="8486">
      <c r="A8486" s="4">
        <v>45534.404928738426</v>
      </c>
      <c r="B8486" s="5" t="s">
        <v>19</v>
      </c>
      <c r="C8486" s="5" t="s">
        <v>1606</v>
      </c>
      <c r="E8486" s="5" t="s">
        <v>53135</v>
      </c>
      <c r="F8486" s="5" t="s">
        <v>108</v>
      </c>
      <c r="G8486" s="5" t="s">
        <v>53136</v>
      </c>
      <c r="H8486" s="6" t="s">
        <v>53137</v>
      </c>
      <c r="K8486" s="5" t="s">
        <v>53138</v>
      </c>
    </row>
    <row r="8487">
      <c r="A8487" s="4">
        <v>45534.40493300926</v>
      </c>
      <c r="B8487" s="5" t="s">
        <v>34</v>
      </c>
      <c r="D8487" s="5" t="s">
        <v>1206</v>
      </c>
      <c r="E8487" s="5" t="s">
        <v>19744</v>
      </c>
      <c r="F8487" s="5" t="s">
        <v>199</v>
      </c>
      <c r="G8487" s="5" t="s">
        <v>53141</v>
      </c>
      <c r="H8487" s="6" t="s">
        <v>53142</v>
      </c>
      <c r="K8487" s="5" t="s">
        <v>53138</v>
      </c>
    </row>
    <row r="8488">
      <c r="A8488" s="4">
        <v>45534.40497969907</v>
      </c>
      <c r="B8488" s="5" t="s">
        <v>19</v>
      </c>
      <c r="C8488" s="5" t="s">
        <v>292</v>
      </c>
      <c r="E8488" s="5" t="s">
        <v>53145</v>
      </c>
      <c r="F8488" s="5" t="s">
        <v>72</v>
      </c>
      <c r="G8488" s="5" t="s">
        <v>53146</v>
      </c>
      <c r="H8488" s="6" t="s">
        <v>53147</v>
      </c>
      <c r="K8488" s="5" t="s">
        <v>53148</v>
      </c>
    </row>
    <row r="8489">
      <c r="A8489" s="4">
        <v>45534.40499355324</v>
      </c>
      <c r="B8489" s="5" t="s">
        <v>34</v>
      </c>
      <c r="D8489" s="5" t="s">
        <v>267</v>
      </c>
      <c r="E8489" s="5" t="s">
        <v>53151</v>
      </c>
      <c r="F8489" s="5" t="s">
        <v>375</v>
      </c>
      <c r="G8489" s="5" t="s">
        <v>53152</v>
      </c>
      <c r="H8489" s="6" t="s">
        <v>53153</v>
      </c>
      <c r="K8489" s="5" t="s">
        <v>53154</v>
      </c>
    </row>
    <row r="8490">
      <c r="A8490" s="4">
        <v>45534.4050225463</v>
      </c>
      <c r="B8490" s="5" t="s">
        <v>34</v>
      </c>
      <c r="D8490" s="5" t="s">
        <v>9020</v>
      </c>
      <c r="E8490" s="5" t="s">
        <v>53157</v>
      </c>
      <c r="F8490" s="5" t="s">
        <v>108</v>
      </c>
      <c r="G8490" s="5" t="s">
        <v>53158</v>
      </c>
      <c r="H8490" s="6" t="s">
        <v>53159</v>
      </c>
      <c r="K8490" s="5" t="s">
        <v>53160</v>
      </c>
    </row>
    <row r="8491">
      <c r="A8491" s="4">
        <v>45534.405029375004</v>
      </c>
      <c r="B8491" s="5" t="s">
        <v>34</v>
      </c>
      <c r="D8491" s="5" t="s">
        <v>10297</v>
      </c>
      <c r="E8491" s="5" t="s">
        <v>53164</v>
      </c>
      <c r="F8491" s="5" t="s">
        <v>108</v>
      </c>
      <c r="G8491" s="5" t="s">
        <v>53165</v>
      </c>
      <c r="H8491" s="6" t="s">
        <v>53166</v>
      </c>
      <c r="K8491" s="5" t="s">
        <v>53160</v>
      </c>
    </row>
    <row r="8492">
      <c r="A8492" s="4">
        <v>45534.40505275463</v>
      </c>
      <c r="B8492" s="5" t="s">
        <v>34</v>
      </c>
      <c r="D8492" s="5" t="s">
        <v>267</v>
      </c>
      <c r="E8492" s="5" t="s">
        <v>53169</v>
      </c>
      <c r="F8492" s="5" t="s">
        <v>375</v>
      </c>
      <c r="G8492" s="5" t="s">
        <v>53170</v>
      </c>
      <c r="H8492" s="6" t="s">
        <v>53171</v>
      </c>
      <c r="K8492" s="5" t="s">
        <v>53172</v>
      </c>
    </row>
    <row r="8493">
      <c r="A8493" s="4">
        <v>45534.40506585648</v>
      </c>
      <c r="B8493" s="5" t="s">
        <v>34</v>
      </c>
      <c r="D8493" s="5" t="s">
        <v>14313</v>
      </c>
      <c r="E8493" s="5" t="s">
        <v>53175</v>
      </c>
      <c r="F8493" s="5" t="s">
        <v>72</v>
      </c>
      <c r="G8493" s="5" t="s">
        <v>53176</v>
      </c>
      <c r="H8493" s="6" t="s">
        <v>53177</v>
      </c>
      <c r="K8493" s="5" t="s">
        <v>53172</v>
      </c>
    </row>
    <row r="8494">
      <c r="A8494" s="4">
        <v>45534.40509137731</v>
      </c>
      <c r="B8494" s="5" t="s">
        <v>34</v>
      </c>
      <c r="D8494" s="5" t="s">
        <v>4775</v>
      </c>
      <c r="E8494" s="5" t="s">
        <v>53180</v>
      </c>
      <c r="F8494" s="5" t="s">
        <v>212</v>
      </c>
      <c r="G8494" s="5" t="s">
        <v>53181</v>
      </c>
      <c r="H8494" s="6" t="s">
        <v>53182</v>
      </c>
      <c r="K8494" s="5" t="s">
        <v>53183</v>
      </c>
    </row>
    <row r="8495">
      <c r="A8495" s="4">
        <v>45534.40510065972</v>
      </c>
      <c r="B8495" s="5" t="s">
        <v>34</v>
      </c>
      <c r="D8495" s="5" t="s">
        <v>14313</v>
      </c>
      <c r="E8495" s="5" t="s">
        <v>53187</v>
      </c>
      <c r="F8495" s="5" t="s">
        <v>212</v>
      </c>
      <c r="G8495" s="5" t="s">
        <v>53188</v>
      </c>
      <c r="H8495" s="6" t="s">
        <v>53189</v>
      </c>
      <c r="K8495" s="5" t="s">
        <v>53183</v>
      </c>
    </row>
    <row r="8496">
      <c r="A8496" s="4">
        <v>45534.40510087963</v>
      </c>
      <c r="B8496" s="5" t="s">
        <v>34</v>
      </c>
      <c r="D8496" s="5" t="s">
        <v>1206</v>
      </c>
      <c r="E8496" s="5" t="s">
        <v>53192</v>
      </c>
      <c r="F8496" s="5" t="s">
        <v>37</v>
      </c>
      <c r="G8496" s="5" t="s">
        <v>53193</v>
      </c>
      <c r="H8496" s="6" t="s">
        <v>53194</v>
      </c>
      <c r="K8496" s="5" t="s">
        <v>53183</v>
      </c>
    </row>
    <row r="8497">
      <c r="A8497" s="4">
        <v>45534.40514628473</v>
      </c>
      <c r="B8497" s="5" t="s">
        <v>34</v>
      </c>
      <c r="D8497" s="5" t="s">
        <v>580</v>
      </c>
      <c r="E8497" s="5" t="s">
        <v>53198</v>
      </c>
      <c r="F8497" s="5" t="s">
        <v>72</v>
      </c>
      <c r="G8497" s="5" t="s">
        <v>53199</v>
      </c>
      <c r="H8497" s="6" t="s">
        <v>53200</v>
      </c>
      <c r="K8497" s="5" t="s">
        <v>53183</v>
      </c>
    </row>
    <row r="8498">
      <c r="A8498" s="4">
        <v>45534.4051634375</v>
      </c>
      <c r="B8498" s="5" t="s">
        <v>34</v>
      </c>
      <c r="D8498" s="5" t="s">
        <v>7858</v>
      </c>
      <c r="E8498" s="5" t="s">
        <v>53203</v>
      </c>
      <c r="F8498" s="5" t="s">
        <v>524</v>
      </c>
      <c r="G8498" s="5" t="s">
        <v>53204</v>
      </c>
      <c r="H8498" s="6" t="s">
        <v>53205</v>
      </c>
      <c r="K8498" s="5" t="s">
        <v>53206</v>
      </c>
    </row>
    <row r="8499">
      <c r="A8499" s="4">
        <v>45534.40517554399</v>
      </c>
      <c r="B8499" s="5" t="s">
        <v>34</v>
      </c>
      <c r="D8499" s="5" t="s">
        <v>1206</v>
      </c>
      <c r="E8499" s="5" t="s">
        <v>53209</v>
      </c>
      <c r="F8499" s="5" t="s">
        <v>375</v>
      </c>
      <c r="G8499" s="5" t="s">
        <v>53210</v>
      </c>
      <c r="H8499" s="6" t="s">
        <v>53211</v>
      </c>
      <c r="K8499" s="5" t="s">
        <v>53212</v>
      </c>
    </row>
    <row r="8500">
      <c r="A8500" s="4">
        <v>45534.4052009375</v>
      </c>
      <c r="B8500" s="5" t="s">
        <v>34</v>
      </c>
      <c r="D8500" s="5" t="s">
        <v>15401</v>
      </c>
      <c r="E8500" s="5" t="s">
        <v>53215</v>
      </c>
      <c r="F8500" s="5" t="s">
        <v>375</v>
      </c>
      <c r="G8500" s="5" t="s">
        <v>53216</v>
      </c>
      <c r="H8500" s="6" t="s">
        <v>53217</v>
      </c>
      <c r="K8500" s="5" t="s">
        <v>53218</v>
      </c>
    </row>
    <row r="8501">
      <c r="A8501" s="4">
        <v>45534.40526854167</v>
      </c>
      <c r="B8501" s="5" t="s">
        <v>34</v>
      </c>
      <c r="D8501" s="5" t="s">
        <v>280</v>
      </c>
      <c r="E8501" s="5" t="s">
        <v>53222</v>
      </c>
      <c r="F8501" s="5" t="s">
        <v>37</v>
      </c>
      <c r="G8501" s="5" t="s">
        <v>53223</v>
      </c>
      <c r="H8501" s="6" t="s">
        <v>53224</v>
      </c>
      <c r="K8501" s="5" t="s">
        <v>53218</v>
      </c>
    </row>
    <row r="8502">
      <c r="A8502" s="4">
        <v>45534.40530533565</v>
      </c>
      <c r="B8502" s="5" t="s">
        <v>34</v>
      </c>
      <c r="D8502" s="5" t="s">
        <v>12010</v>
      </c>
      <c r="E8502" s="5" t="s">
        <v>53227</v>
      </c>
      <c r="F8502" s="5" t="s">
        <v>524</v>
      </c>
      <c r="G8502" s="5" t="s">
        <v>53228</v>
      </c>
      <c r="H8502" s="6" t="s">
        <v>53229</v>
      </c>
      <c r="K8502" s="5" t="s">
        <v>53230</v>
      </c>
    </row>
    <row r="8503">
      <c r="A8503" s="4">
        <v>45534.40531219907</v>
      </c>
      <c r="B8503" s="5" t="s">
        <v>34</v>
      </c>
      <c r="D8503" s="5" t="s">
        <v>522</v>
      </c>
      <c r="E8503" s="5" t="s">
        <v>53233</v>
      </c>
      <c r="F8503" s="5" t="s">
        <v>37</v>
      </c>
      <c r="G8503" s="5" t="s">
        <v>53234</v>
      </c>
      <c r="H8503" s="6" t="s">
        <v>53235</v>
      </c>
      <c r="K8503" s="5" t="s">
        <v>53230</v>
      </c>
    </row>
    <row r="8504">
      <c r="A8504" s="4">
        <v>45534.40535378472</v>
      </c>
      <c r="B8504" s="5" t="s">
        <v>19</v>
      </c>
      <c r="C8504" s="5" t="s">
        <v>5564</v>
      </c>
      <c r="E8504" s="5" t="s">
        <v>53238</v>
      </c>
      <c r="F8504" s="5" t="s">
        <v>120</v>
      </c>
      <c r="G8504" s="5" t="s">
        <v>53239</v>
      </c>
      <c r="H8504" s="6" t="s">
        <v>53240</v>
      </c>
      <c r="K8504" s="5" t="s">
        <v>53241</v>
      </c>
    </row>
    <row r="8505">
      <c r="A8505" s="4">
        <v>45534.405357870375</v>
      </c>
      <c r="B8505" s="5" t="s">
        <v>34</v>
      </c>
      <c r="D8505" s="5" t="s">
        <v>4775</v>
      </c>
      <c r="E8505" s="5" t="s">
        <v>53245</v>
      </c>
      <c r="F8505" s="5" t="s">
        <v>375</v>
      </c>
      <c r="G8505" s="5" t="s">
        <v>53246</v>
      </c>
      <c r="H8505" s="6" t="s">
        <v>53247</v>
      </c>
      <c r="K8505" s="5" t="s">
        <v>53241</v>
      </c>
    </row>
    <row r="8506">
      <c r="A8506" s="4">
        <v>45534.40535809028</v>
      </c>
      <c r="B8506" s="5" t="s">
        <v>19</v>
      </c>
      <c r="C8506" s="5" t="s">
        <v>83</v>
      </c>
      <c r="E8506" s="5" t="s">
        <v>53250</v>
      </c>
      <c r="F8506" s="5" t="s">
        <v>375</v>
      </c>
      <c r="G8506" s="5" t="s">
        <v>53251</v>
      </c>
      <c r="H8506" s="6" t="s">
        <v>53252</v>
      </c>
      <c r="K8506" s="5" t="s">
        <v>53241</v>
      </c>
    </row>
    <row r="8507">
      <c r="A8507" s="4">
        <v>45534.405388125</v>
      </c>
      <c r="B8507" s="5" t="s">
        <v>34</v>
      </c>
      <c r="D8507" s="5" t="s">
        <v>1206</v>
      </c>
      <c r="E8507" s="5" t="s">
        <v>53255</v>
      </c>
      <c r="F8507" s="5" t="s">
        <v>37</v>
      </c>
      <c r="G8507" s="5" t="s">
        <v>53256</v>
      </c>
      <c r="H8507" s="6" t="s">
        <v>53257</v>
      </c>
      <c r="K8507" s="5" t="s">
        <v>53258</v>
      </c>
    </row>
    <row r="8508">
      <c r="A8508" s="4">
        <v>45534.405394409725</v>
      </c>
      <c r="B8508" s="5" t="s">
        <v>19</v>
      </c>
      <c r="C8508" s="5" t="s">
        <v>3301</v>
      </c>
      <c r="E8508" s="5" t="s">
        <v>53261</v>
      </c>
      <c r="F8508" s="5" t="s">
        <v>108</v>
      </c>
      <c r="G8508" s="5" t="s">
        <v>53262</v>
      </c>
      <c r="H8508" s="6" t="s">
        <v>53263</v>
      </c>
      <c r="K8508" s="5" t="s">
        <v>53258</v>
      </c>
    </row>
    <row r="8509">
      <c r="A8509" s="4">
        <v>45534.40540148148</v>
      </c>
      <c r="B8509" s="5" t="s">
        <v>19</v>
      </c>
      <c r="C8509" s="5" t="s">
        <v>3301</v>
      </c>
      <c r="E8509" s="5" t="s">
        <v>53267</v>
      </c>
      <c r="F8509" s="5" t="s">
        <v>120</v>
      </c>
      <c r="G8509" s="5" t="s">
        <v>53268</v>
      </c>
      <c r="H8509" s="6" t="s">
        <v>53269</v>
      </c>
      <c r="K8509" s="5" t="s">
        <v>53258</v>
      </c>
    </row>
    <row r="8510">
      <c r="A8510" s="4">
        <v>45534.4054619213</v>
      </c>
      <c r="B8510" s="5" t="s">
        <v>34</v>
      </c>
      <c r="D8510" s="5" t="s">
        <v>701</v>
      </c>
      <c r="E8510" s="5" t="s">
        <v>53272</v>
      </c>
      <c r="F8510" s="5" t="s">
        <v>37</v>
      </c>
      <c r="G8510" s="5" t="s">
        <v>53273</v>
      </c>
      <c r="H8510" s="6" t="s">
        <v>53274</v>
      </c>
      <c r="K8510" s="5" t="s">
        <v>53275</v>
      </c>
    </row>
    <row r="8511">
      <c r="A8511" s="4">
        <v>45534.40551378472</v>
      </c>
      <c r="B8511" s="5" t="s">
        <v>34</v>
      </c>
      <c r="D8511" s="5" t="s">
        <v>4775</v>
      </c>
      <c r="E8511" s="5" t="s">
        <v>53278</v>
      </c>
      <c r="F8511" s="5" t="s">
        <v>37</v>
      </c>
      <c r="G8511" s="5" t="s">
        <v>53279</v>
      </c>
      <c r="H8511" s="6" t="s">
        <v>53280</v>
      </c>
      <c r="K8511" s="5" t="s">
        <v>53281</v>
      </c>
    </row>
    <row r="8512">
      <c r="A8512" s="4">
        <v>45534.40555780093</v>
      </c>
      <c r="B8512" s="5" t="s">
        <v>34</v>
      </c>
      <c r="D8512" s="5" t="s">
        <v>1206</v>
      </c>
      <c r="E8512" s="5" t="s">
        <v>53284</v>
      </c>
      <c r="F8512" s="5" t="s">
        <v>212</v>
      </c>
      <c r="G8512" s="5" t="s">
        <v>53285</v>
      </c>
      <c r="H8512" s="6" t="s">
        <v>53286</v>
      </c>
      <c r="K8512" s="5" t="s">
        <v>53287</v>
      </c>
    </row>
    <row r="8513">
      <c r="A8513" s="4">
        <v>45534.405618460645</v>
      </c>
      <c r="B8513" s="5" t="s">
        <v>34</v>
      </c>
      <c r="D8513" s="5" t="s">
        <v>1456</v>
      </c>
      <c r="E8513" s="5" t="s">
        <v>53290</v>
      </c>
      <c r="F8513" s="5" t="s">
        <v>212</v>
      </c>
      <c r="G8513" s="5" t="s">
        <v>53291</v>
      </c>
      <c r="H8513" s="6" t="s">
        <v>53292</v>
      </c>
      <c r="K8513" s="5" t="s">
        <v>53293</v>
      </c>
    </row>
    <row r="8514">
      <c r="A8514" s="4">
        <v>45534.40565861111</v>
      </c>
      <c r="B8514" s="5" t="s">
        <v>34</v>
      </c>
      <c r="D8514" s="5" t="s">
        <v>580</v>
      </c>
      <c r="E8514" s="5" t="s">
        <v>53297</v>
      </c>
      <c r="F8514" s="5" t="s">
        <v>715</v>
      </c>
      <c r="G8514" s="5" t="s">
        <v>53298</v>
      </c>
      <c r="H8514" s="6" t="s">
        <v>53299</v>
      </c>
      <c r="K8514" s="5" t="s">
        <v>53300</v>
      </c>
    </row>
    <row r="8515">
      <c r="A8515" s="4">
        <v>45534.405685879625</v>
      </c>
      <c r="B8515" s="5" t="s">
        <v>34</v>
      </c>
      <c r="D8515" s="5" t="s">
        <v>15401</v>
      </c>
      <c r="E8515" s="5" t="s">
        <v>53304</v>
      </c>
      <c r="F8515" s="5" t="s">
        <v>108</v>
      </c>
      <c r="G8515" s="5" t="s">
        <v>53305</v>
      </c>
      <c r="H8515" s="6" t="s">
        <v>53306</v>
      </c>
      <c r="K8515" s="5" t="s">
        <v>53307</v>
      </c>
    </row>
    <row r="8516">
      <c r="A8516" s="4">
        <v>45534.405689363426</v>
      </c>
      <c r="B8516" s="5" t="s">
        <v>34</v>
      </c>
      <c r="D8516" s="5" t="s">
        <v>1558</v>
      </c>
      <c r="E8516" s="5" t="s">
        <v>53311</v>
      </c>
      <c r="F8516" s="5" t="s">
        <v>524</v>
      </c>
      <c r="G8516" s="5" t="s">
        <v>53312</v>
      </c>
      <c r="H8516" s="6" t="s">
        <v>53313</v>
      </c>
      <c r="K8516" s="5" t="s">
        <v>53307</v>
      </c>
    </row>
    <row r="8517">
      <c r="A8517" s="4">
        <v>45534.40570686343</v>
      </c>
      <c r="B8517" s="5" t="s">
        <v>34</v>
      </c>
      <c r="D8517" s="5" t="s">
        <v>6232</v>
      </c>
      <c r="E8517" s="5" t="s">
        <v>53316</v>
      </c>
      <c r="F8517" s="5" t="s">
        <v>212</v>
      </c>
      <c r="G8517" s="5" t="s">
        <v>53317</v>
      </c>
      <c r="H8517" s="6" t="s">
        <v>53318</v>
      </c>
      <c r="K8517" s="5" t="s">
        <v>53319</v>
      </c>
    </row>
    <row r="8518">
      <c r="A8518" s="4">
        <v>45534.40570846065</v>
      </c>
      <c r="B8518" s="5" t="s">
        <v>34</v>
      </c>
      <c r="D8518" s="5" t="s">
        <v>14313</v>
      </c>
      <c r="E8518" s="5" t="s">
        <v>53322</v>
      </c>
      <c r="F8518" s="5" t="s">
        <v>715</v>
      </c>
      <c r="G8518" s="5" t="s">
        <v>53323</v>
      </c>
      <c r="H8518" s="6" t="s">
        <v>53324</v>
      </c>
      <c r="K8518" s="5" t="s">
        <v>53319</v>
      </c>
    </row>
    <row r="8519">
      <c r="A8519" s="4">
        <v>45534.40571373842</v>
      </c>
      <c r="B8519" s="5" t="s">
        <v>34</v>
      </c>
      <c r="D8519" s="5" t="s">
        <v>701</v>
      </c>
      <c r="E8519" s="5" t="s">
        <v>53327</v>
      </c>
      <c r="F8519" s="5" t="s">
        <v>212</v>
      </c>
      <c r="G8519" s="5" t="s">
        <v>53328</v>
      </c>
      <c r="H8519" s="6" t="s">
        <v>53329</v>
      </c>
      <c r="K8519" s="5" t="s">
        <v>53319</v>
      </c>
    </row>
    <row r="8520">
      <c r="A8520" s="4">
        <v>45534.40574717593</v>
      </c>
      <c r="B8520" s="5" t="s">
        <v>34</v>
      </c>
      <c r="D8520" s="5" t="s">
        <v>14424</v>
      </c>
      <c r="E8520" s="5" t="s">
        <v>53332</v>
      </c>
      <c r="F8520" s="5" t="s">
        <v>37</v>
      </c>
      <c r="G8520" s="5" t="s">
        <v>53333</v>
      </c>
      <c r="H8520" s="6" t="s">
        <v>53334</v>
      </c>
      <c r="K8520" s="5" t="s">
        <v>53319</v>
      </c>
    </row>
    <row r="8521">
      <c r="A8521" s="4">
        <v>45534.4057784375</v>
      </c>
      <c r="B8521" s="5" t="s">
        <v>34</v>
      </c>
      <c r="D8521" s="5" t="s">
        <v>14313</v>
      </c>
      <c r="E8521" s="5" t="s">
        <v>53337</v>
      </c>
      <c r="F8521" s="5" t="s">
        <v>37</v>
      </c>
      <c r="G8521" s="5" t="s">
        <v>53338</v>
      </c>
      <c r="H8521" s="6" t="s">
        <v>53339</v>
      </c>
      <c r="K8521" s="5" t="s">
        <v>53340</v>
      </c>
    </row>
    <row r="8522">
      <c r="A8522" s="4">
        <v>45534.40578163194</v>
      </c>
      <c r="B8522" s="5" t="s">
        <v>34</v>
      </c>
      <c r="D8522" s="5" t="s">
        <v>267</v>
      </c>
      <c r="E8522" s="5" t="s">
        <v>53343</v>
      </c>
      <c r="F8522" s="5" t="s">
        <v>108</v>
      </c>
      <c r="G8522" s="5" t="s">
        <v>53344</v>
      </c>
      <c r="H8522" s="6" t="s">
        <v>53345</v>
      </c>
      <c r="K8522" s="5" t="s">
        <v>53346</v>
      </c>
    </row>
    <row r="8523">
      <c r="A8523" s="4">
        <v>45534.405806469906</v>
      </c>
      <c r="B8523" s="5" t="s">
        <v>34</v>
      </c>
      <c r="D8523" s="5" t="s">
        <v>580</v>
      </c>
      <c r="E8523" s="5" t="s">
        <v>53349</v>
      </c>
      <c r="F8523" s="5" t="s">
        <v>524</v>
      </c>
      <c r="G8523" s="5" t="s">
        <v>53350</v>
      </c>
      <c r="H8523" s="6" t="s">
        <v>53351</v>
      </c>
      <c r="K8523" s="5" t="s">
        <v>53352</v>
      </c>
    </row>
    <row r="8524">
      <c r="A8524" s="4">
        <v>45534.40581622685</v>
      </c>
      <c r="B8524" s="5" t="s">
        <v>34</v>
      </c>
      <c r="D8524" s="5" t="s">
        <v>1768</v>
      </c>
      <c r="E8524" s="5" t="s">
        <v>53355</v>
      </c>
      <c r="F8524" s="5" t="s">
        <v>524</v>
      </c>
      <c r="G8524" s="5" t="s">
        <v>53356</v>
      </c>
      <c r="H8524" s="6" t="s">
        <v>53357</v>
      </c>
      <c r="K8524" s="5" t="s">
        <v>53352</v>
      </c>
    </row>
    <row r="8525">
      <c r="A8525" s="4">
        <v>45534.40586133102</v>
      </c>
      <c r="B8525" s="5" t="s">
        <v>34</v>
      </c>
      <c r="D8525" s="5" t="s">
        <v>4775</v>
      </c>
      <c r="E8525" s="5" t="s">
        <v>53360</v>
      </c>
      <c r="F8525" s="5" t="s">
        <v>120</v>
      </c>
      <c r="G8525" s="5" t="s">
        <v>53361</v>
      </c>
      <c r="H8525" s="6" t="s">
        <v>53362</v>
      </c>
      <c r="K8525" s="5" t="s">
        <v>53363</v>
      </c>
    </row>
    <row r="8526">
      <c r="A8526" s="4">
        <v>45534.40590034722</v>
      </c>
      <c r="B8526" s="5" t="s">
        <v>34</v>
      </c>
      <c r="D8526" s="5" t="s">
        <v>35</v>
      </c>
      <c r="E8526" s="5" t="s">
        <v>53366</v>
      </c>
      <c r="F8526" s="5" t="s">
        <v>37</v>
      </c>
      <c r="G8526" s="5" t="s">
        <v>53367</v>
      </c>
      <c r="H8526" s="6" t="s">
        <v>53368</v>
      </c>
      <c r="K8526" s="5" t="s">
        <v>53369</v>
      </c>
    </row>
    <row r="8527">
      <c r="A8527" s="4">
        <v>45534.40597798611</v>
      </c>
      <c r="B8527" s="5" t="s">
        <v>34</v>
      </c>
      <c r="D8527" s="5" t="s">
        <v>1206</v>
      </c>
      <c r="E8527" s="5" t="s">
        <v>53372</v>
      </c>
      <c r="F8527" s="5" t="s">
        <v>37</v>
      </c>
      <c r="G8527" s="5" t="s">
        <v>53373</v>
      </c>
      <c r="H8527" s="6" t="s">
        <v>53374</v>
      </c>
      <c r="K8527" s="5" t="s">
        <v>53375</v>
      </c>
    </row>
    <row r="8528">
      <c r="A8528" s="4">
        <v>45534.40598325232</v>
      </c>
      <c r="B8528" s="5" t="s">
        <v>34</v>
      </c>
      <c r="D8528" s="5" t="s">
        <v>15401</v>
      </c>
      <c r="E8528" s="5" t="s">
        <v>53378</v>
      </c>
      <c r="F8528" s="5" t="s">
        <v>524</v>
      </c>
      <c r="G8528" s="5" t="s">
        <v>53379</v>
      </c>
      <c r="H8528" s="6" t="s">
        <v>53380</v>
      </c>
      <c r="K8528" s="5" t="s">
        <v>53375</v>
      </c>
    </row>
    <row r="8529">
      <c r="A8529" s="4">
        <v>45534.405994699075</v>
      </c>
      <c r="B8529" s="5" t="s">
        <v>34</v>
      </c>
      <c r="D8529" s="5" t="s">
        <v>11913</v>
      </c>
      <c r="E8529" s="5" t="s">
        <v>53383</v>
      </c>
      <c r="F8529" s="5" t="s">
        <v>212</v>
      </c>
      <c r="G8529" s="5" t="s">
        <v>53384</v>
      </c>
      <c r="H8529" s="6" t="s">
        <v>53385</v>
      </c>
      <c r="K8529" s="5" t="s">
        <v>53375</v>
      </c>
    </row>
    <row r="8530">
      <c r="A8530" s="4">
        <v>45534.40603184028</v>
      </c>
      <c r="B8530" s="5" t="s">
        <v>34</v>
      </c>
      <c r="D8530" s="5" t="s">
        <v>701</v>
      </c>
      <c r="E8530" s="5" t="s">
        <v>53388</v>
      </c>
      <c r="F8530" s="5" t="s">
        <v>212</v>
      </c>
      <c r="G8530" s="5" t="s">
        <v>53389</v>
      </c>
      <c r="H8530" s="6" t="s">
        <v>53390</v>
      </c>
      <c r="K8530" s="5" t="s">
        <v>53375</v>
      </c>
    </row>
    <row r="8531">
      <c r="A8531" s="4">
        <v>45534.40608532407</v>
      </c>
      <c r="B8531" s="5" t="s">
        <v>34</v>
      </c>
      <c r="D8531" s="5" t="s">
        <v>9394</v>
      </c>
      <c r="E8531" s="5" t="s">
        <v>53393</v>
      </c>
      <c r="F8531" s="5" t="s">
        <v>212</v>
      </c>
      <c r="G8531" s="5" t="s">
        <v>53394</v>
      </c>
      <c r="H8531" s="6" t="s">
        <v>53395</v>
      </c>
      <c r="K8531" s="5" t="s">
        <v>53375</v>
      </c>
    </row>
    <row r="8532">
      <c r="A8532" s="4">
        <v>45534.40609105324</v>
      </c>
      <c r="B8532" s="5" t="s">
        <v>34</v>
      </c>
      <c r="D8532" s="5" t="s">
        <v>15401</v>
      </c>
      <c r="E8532" s="5" t="s">
        <v>53398</v>
      </c>
      <c r="F8532" s="5" t="s">
        <v>37</v>
      </c>
      <c r="G8532" s="5" t="s">
        <v>53399</v>
      </c>
      <c r="H8532" s="6" t="s">
        <v>53400</v>
      </c>
      <c r="K8532" s="5" t="s">
        <v>53375</v>
      </c>
    </row>
    <row r="8533">
      <c r="A8533" s="4">
        <v>45534.40609421296</v>
      </c>
      <c r="B8533" s="5" t="s">
        <v>34</v>
      </c>
      <c r="D8533" s="5" t="s">
        <v>9020</v>
      </c>
      <c r="E8533" s="5" t="s">
        <v>53403</v>
      </c>
      <c r="F8533" s="5" t="s">
        <v>212</v>
      </c>
      <c r="G8533" s="5" t="s">
        <v>49204</v>
      </c>
      <c r="H8533" s="6" t="s">
        <v>53404</v>
      </c>
      <c r="K8533" s="5" t="s">
        <v>53375</v>
      </c>
    </row>
    <row r="8534">
      <c r="A8534" s="4">
        <v>45534.40619327546</v>
      </c>
      <c r="B8534" s="5" t="s">
        <v>19</v>
      </c>
      <c r="C8534" s="5" t="s">
        <v>1606</v>
      </c>
      <c r="E8534" s="5" t="s">
        <v>53407</v>
      </c>
      <c r="F8534" s="5" t="s">
        <v>375</v>
      </c>
      <c r="G8534" s="5" t="s">
        <v>53408</v>
      </c>
      <c r="H8534" s="6" t="s">
        <v>53409</v>
      </c>
      <c r="K8534" s="5" t="s">
        <v>53410</v>
      </c>
    </row>
    <row r="8535">
      <c r="A8535" s="4">
        <v>45534.406215219904</v>
      </c>
      <c r="B8535" s="5" t="s">
        <v>34</v>
      </c>
      <c r="D8535" s="5" t="s">
        <v>35</v>
      </c>
      <c r="E8535" s="5" t="s">
        <v>53413</v>
      </c>
      <c r="F8535" s="5" t="s">
        <v>375</v>
      </c>
      <c r="G8535" s="5" t="s">
        <v>53414</v>
      </c>
      <c r="H8535" s="6" t="s">
        <v>53415</v>
      </c>
      <c r="K8535" s="5" t="s">
        <v>53410</v>
      </c>
    </row>
    <row r="8536">
      <c r="A8536" s="4">
        <v>45534.40629292824</v>
      </c>
      <c r="B8536" s="5" t="s">
        <v>34</v>
      </c>
      <c r="D8536" s="5" t="s">
        <v>10444</v>
      </c>
      <c r="E8536" s="5" t="s">
        <v>38131</v>
      </c>
      <c r="F8536" s="5" t="s">
        <v>108</v>
      </c>
      <c r="G8536" s="5" t="s">
        <v>53418</v>
      </c>
      <c r="H8536" s="6" t="s">
        <v>53419</v>
      </c>
      <c r="K8536" s="5" t="s">
        <v>53410</v>
      </c>
    </row>
    <row r="8537">
      <c r="A8537" s="4">
        <v>45534.406314120366</v>
      </c>
      <c r="B8537" s="5" t="s">
        <v>34</v>
      </c>
      <c r="D8537" s="5" t="s">
        <v>4775</v>
      </c>
      <c r="E8537" s="5" t="s">
        <v>53422</v>
      </c>
      <c r="F8537" s="5" t="s">
        <v>37</v>
      </c>
      <c r="G8537" s="5" t="s">
        <v>53423</v>
      </c>
      <c r="H8537" s="6" t="s">
        <v>53424</v>
      </c>
      <c r="K8537" s="5" t="s">
        <v>53410</v>
      </c>
    </row>
    <row r="8538">
      <c r="A8538" s="4">
        <v>45534.40631723379</v>
      </c>
      <c r="B8538" s="5" t="s">
        <v>34</v>
      </c>
      <c r="D8538" s="5" t="s">
        <v>10444</v>
      </c>
      <c r="E8538" s="5" t="s">
        <v>53427</v>
      </c>
      <c r="F8538" s="5" t="s">
        <v>212</v>
      </c>
      <c r="G8538" s="5" t="s">
        <v>53428</v>
      </c>
      <c r="H8538" s="6" t="s">
        <v>53429</v>
      </c>
      <c r="K8538" s="5" t="s">
        <v>53410</v>
      </c>
    </row>
    <row r="8539">
      <c r="A8539" s="4">
        <v>45534.4063284838</v>
      </c>
      <c r="B8539" s="5" t="s">
        <v>19</v>
      </c>
      <c r="C8539" s="5" t="s">
        <v>292</v>
      </c>
      <c r="E8539" s="5" t="s">
        <v>53432</v>
      </c>
      <c r="F8539" s="5" t="s">
        <v>212</v>
      </c>
      <c r="G8539" s="5" t="s">
        <v>53433</v>
      </c>
      <c r="H8539" s="6" t="s">
        <v>53434</v>
      </c>
      <c r="K8539" s="5" t="s">
        <v>53410</v>
      </c>
    </row>
    <row r="8540">
      <c r="A8540" s="4">
        <v>45534.40636104166</v>
      </c>
      <c r="B8540" s="5" t="s">
        <v>34</v>
      </c>
      <c r="D8540" s="5" t="s">
        <v>1456</v>
      </c>
      <c r="E8540" s="5" t="s">
        <v>50160</v>
      </c>
      <c r="F8540" s="5" t="s">
        <v>108</v>
      </c>
      <c r="G8540" s="5" t="s">
        <v>53437</v>
      </c>
      <c r="H8540" s="6" t="s">
        <v>53438</v>
      </c>
      <c r="K8540" s="5" t="s">
        <v>53410</v>
      </c>
    </row>
    <row r="8541">
      <c r="A8541" s="4">
        <v>45534.406388414354</v>
      </c>
      <c r="B8541" s="5" t="s">
        <v>34</v>
      </c>
      <c r="D8541" s="5" t="s">
        <v>4775</v>
      </c>
      <c r="E8541" s="5" t="s">
        <v>53441</v>
      </c>
      <c r="F8541" s="5" t="s">
        <v>108</v>
      </c>
      <c r="G8541" s="5" t="s">
        <v>53442</v>
      </c>
      <c r="H8541" s="6" t="s">
        <v>53443</v>
      </c>
      <c r="K8541" s="5" t="s">
        <v>53410</v>
      </c>
    </row>
    <row r="8542">
      <c r="A8542" s="4">
        <v>45534.406397812505</v>
      </c>
      <c r="B8542" s="5" t="s">
        <v>34</v>
      </c>
      <c r="D8542" s="5" t="s">
        <v>4775</v>
      </c>
      <c r="E8542" s="5" t="s">
        <v>53446</v>
      </c>
      <c r="F8542" s="5" t="s">
        <v>212</v>
      </c>
      <c r="G8542" s="5" t="s">
        <v>53447</v>
      </c>
      <c r="H8542" s="6" t="s">
        <v>53448</v>
      </c>
      <c r="K8542" s="5" t="s">
        <v>53410</v>
      </c>
    </row>
    <row r="8543">
      <c r="A8543" s="4">
        <v>45534.40644436343</v>
      </c>
      <c r="B8543" s="5" t="s">
        <v>34</v>
      </c>
      <c r="D8543" s="5" t="s">
        <v>604</v>
      </c>
      <c r="E8543" s="5" t="s">
        <v>53451</v>
      </c>
      <c r="F8543" s="5" t="s">
        <v>212</v>
      </c>
      <c r="G8543" s="5" t="s">
        <v>53452</v>
      </c>
      <c r="H8543" s="6" t="s">
        <v>53453</v>
      </c>
      <c r="K8543" s="5" t="s">
        <v>53454</v>
      </c>
    </row>
    <row r="8544">
      <c r="A8544" s="4">
        <v>45534.40652226852</v>
      </c>
      <c r="B8544" s="5" t="s">
        <v>19</v>
      </c>
      <c r="C8544" s="5" t="s">
        <v>3301</v>
      </c>
      <c r="E8544" s="5" t="s">
        <v>53457</v>
      </c>
      <c r="F8544" s="5" t="s">
        <v>524</v>
      </c>
      <c r="G8544" s="5" t="s">
        <v>53458</v>
      </c>
      <c r="H8544" s="6" t="s">
        <v>53459</v>
      </c>
      <c r="K8544" s="5" t="s">
        <v>53460</v>
      </c>
    </row>
    <row r="8545">
      <c r="A8545" s="4">
        <v>45534.40652916666</v>
      </c>
      <c r="B8545" s="5" t="s">
        <v>34</v>
      </c>
      <c r="D8545" s="5" t="s">
        <v>1558</v>
      </c>
      <c r="E8545" s="5" t="s">
        <v>53463</v>
      </c>
      <c r="F8545" s="5" t="s">
        <v>72</v>
      </c>
      <c r="G8545" s="5" t="s">
        <v>53464</v>
      </c>
      <c r="H8545" s="6" t="s">
        <v>53465</v>
      </c>
      <c r="K8545" s="5" t="s">
        <v>53460</v>
      </c>
    </row>
    <row r="8546">
      <c r="A8546" s="4">
        <v>45534.406533333335</v>
      </c>
      <c r="B8546" s="5" t="s">
        <v>34</v>
      </c>
      <c r="D8546" s="5" t="s">
        <v>11913</v>
      </c>
      <c r="E8546" s="5" t="s">
        <v>53468</v>
      </c>
      <c r="F8546" s="5" t="s">
        <v>120</v>
      </c>
      <c r="G8546" s="5" t="s">
        <v>53469</v>
      </c>
      <c r="H8546" s="6" t="s">
        <v>53470</v>
      </c>
      <c r="K8546" s="5" t="s">
        <v>53460</v>
      </c>
    </row>
    <row r="8547">
      <c r="A8547" s="4">
        <v>45534.4065355787</v>
      </c>
      <c r="B8547" s="5" t="s">
        <v>34</v>
      </c>
      <c r="D8547" s="5" t="s">
        <v>14313</v>
      </c>
      <c r="E8547" s="5" t="s">
        <v>53473</v>
      </c>
      <c r="F8547" s="5" t="s">
        <v>72</v>
      </c>
      <c r="G8547" s="5" t="s">
        <v>53474</v>
      </c>
      <c r="H8547" s="6" t="s">
        <v>53475</v>
      </c>
      <c r="K8547" s="5" t="s">
        <v>53460</v>
      </c>
    </row>
    <row r="8548">
      <c r="A8548" s="4">
        <v>45534.4065671412</v>
      </c>
      <c r="B8548" s="5" t="s">
        <v>34</v>
      </c>
      <c r="D8548" s="5" t="s">
        <v>4775</v>
      </c>
      <c r="E8548" s="5" t="s">
        <v>19564</v>
      </c>
      <c r="F8548" s="5" t="s">
        <v>212</v>
      </c>
      <c r="G8548" s="5" t="s">
        <v>53478</v>
      </c>
      <c r="H8548" s="6" t="s">
        <v>53479</v>
      </c>
      <c r="K8548" s="5" t="s">
        <v>53460</v>
      </c>
    </row>
    <row r="8549">
      <c r="A8549" s="4">
        <v>45534.40671427084</v>
      </c>
      <c r="B8549" s="5" t="s">
        <v>34</v>
      </c>
      <c r="D8549" s="5" t="s">
        <v>1692</v>
      </c>
      <c r="E8549" s="5" t="s">
        <v>53482</v>
      </c>
      <c r="F8549" s="5" t="s">
        <v>37</v>
      </c>
      <c r="G8549" s="5" t="s">
        <v>53483</v>
      </c>
      <c r="H8549" s="6" t="s">
        <v>53484</v>
      </c>
      <c r="K8549" s="5" t="s">
        <v>53485</v>
      </c>
    </row>
    <row r="8550">
      <c r="A8550" s="4">
        <v>45534.40673113426</v>
      </c>
      <c r="B8550" s="5" t="s">
        <v>34</v>
      </c>
      <c r="D8550" s="5" t="s">
        <v>12978</v>
      </c>
      <c r="E8550" s="5" t="s">
        <v>53489</v>
      </c>
      <c r="F8550" s="5" t="s">
        <v>212</v>
      </c>
      <c r="G8550" s="5" t="s">
        <v>53490</v>
      </c>
      <c r="H8550" s="6" t="s">
        <v>53491</v>
      </c>
      <c r="K8550" s="5" t="s">
        <v>53485</v>
      </c>
    </row>
    <row r="8551">
      <c r="A8551" s="4">
        <v>45534.406779282406</v>
      </c>
      <c r="B8551" s="5" t="s">
        <v>34</v>
      </c>
      <c r="D8551" s="5" t="s">
        <v>580</v>
      </c>
      <c r="E8551" s="5" t="s">
        <v>53494</v>
      </c>
      <c r="F8551" s="5" t="s">
        <v>212</v>
      </c>
      <c r="G8551" s="5" t="s">
        <v>53495</v>
      </c>
      <c r="H8551" s="6" t="s">
        <v>53496</v>
      </c>
      <c r="K8551" s="5" t="s">
        <v>53485</v>
      </c>
    </row>
    <row r="8552">
      <c r="A8552" s="4">
        <v>45534.406805624996</v>
      </c>
      <c r="B8552" s="5" t="s">
        <v>34</v>
      </c>
      <c r="D8552" s="5" t="s">
        <v>15401</v>
      </c>
      <c r="E8552" s="5" t="s">
        <v>53499</v>
      </c>
      <c r="F8552" s="5" t="s">
        <v>108</v>
      </c>
      <c r="G8552" s="5" t="s">
        <v>53500</v>
      </c>
      <c r="H8552" s="6" t="s">
        <v>53501</v>
      </c>
      <c r="K8552" s="5" t="s">
        <v>53502</v>
      </c>
    </row>
    <row r="8553">
      <c r="A8553" s="4">
        <v>45534.40685337963</v>
      </c>
      <c r="B8553" s="5" t="s">
        <v>34</v>
      </c>
      <c r="D8553" s="5" t="s">
        <v>15401</v>
      </c>
      <c r="E8553" s="5" t="s">
        <v>53505</v>
      </c>
      <c r="F8553" s="5" t="s">
        <v>108</v>
      </c>
      <c r="G8553" s="5" t="s">
        <v>53506</v>
      </c>
      <c r="H8553" s="6" t="s">
        <v>53507</v>
      </c>
      <c r="K8553" s="5" t="s">
        <v>53502</v>
      </c>
    </row>
    <row r="8554">
      <c r="A8554" s="4">
        <v>45534.40689805556</v>
      </c>
      <c r="B8554" s="5" t="s">
        <v>34</v>
      </c>
      <c r="D8554" s="5" t="s">
        <v>12010</v>
      </c>
      <c r="E8554" s="5" t="s">
        <v>53511</v>
      </c>
      <c r="F8554" s="5" t="s">
        <v>212</v>
      </c>
      <c r="G8554" s="5" t="s">
        <v>53512</v>
      </c>
      <c r="H8554" s="6" t="s">
        <v>53513</v>
      </c>
      <c r="K8554" s="5" t="s">
        <v>53514</v>
      </c>
    </row>
    <row r="8555">
      <c r="A8555" s="4">
        <v>45534.40691731482</v>
      </c>
      <c r="B8555" s="5" t="s">
        <v>34</v>
      </c>
      <c r="D8555" s="5" t="s">
        <v>1206</v>
      </c>
      <c r="E8555" s="5" t="s">
        <v>53517</v>
      </c>
      <c r="F8555" s="5" t="s">
        <v>212</v>
      </c>
      <c r="G8555" s="5" t="s">
        <v>53518</v>
      </c>
      <c r="H8555" s="6" t="s">
        <v>53519</v>
      </c>
      <c r="K8555" s="5" t="s">
        <v>53514</v>
      </c>
    </row>
    <row r="8556">
      <c r="A8556" s="4">
        <v>45534.4069266088</v>
      </c>
      <c r="B8556" s="5" t="s">
        <v>34</v>
      </c>
      <c r="D8556" s="5" t="s">
        <v>35</v>
      </c>
      <c r="E8556" s="5" t="s">
        <v>53522</v>
      </c>
      <c r="F8556" s="5" t="s">
        <v>72</v>
      </c>
      <c r="G8556" s="5" t="s">
        <v>53523</v>
      </c>
      <c r="H8556" s="6" t="s">
        <v>53524</v>
      </c>
      <c r="K8556" s="5" t="s">
        <v>53514</v>
      </c>
    </row>
    <row r="8557">
      <c r="A8557" s="4">
        <v>45534.40695065972</v>
      </c>
      <c r="B8557" s="5" t="s">
        <v>19</v>
      </c>
      <c r="C8557" s="5" t="s">
        <v>20</v>
      </c>
      <c r="E8557" s="5" t="s">
        <v>53528</v>
      </c>
      <c r="F8557" s="5" t="s">
        <v>72</v>
      </c>
      <c r="G8557" s="5" t="s">
        <v>53529</v>
      </c>
      <c r="H8557" s="6" t="s">
        <v>53530</v>
      </c>
      <c r="K8557" s="5" t="s">
        <v>53514</v>
      </c>
    </row>
    <row r="8558">
      <c r="A8558" s="4">
        <v>45534.40699138889</v>
      </c>
      <c r="B8558" s="5" t="s">
        <v>19</v>
      </c>
      <c r="C8558" s="5" t="s">
        <v>30588</v>
      </c>
      <c r="E8558" s="5" t="s">
        <v>53533</v>
      </c>
      <c r="F8558" s="5" t="s">
        <v>108</v>
      </c>
      <c r="G8558" s="5" t="s">
        <v>53534</v>
      </c>
      <c r="H8558" s="6" t="s">
        <v>53535</v>
      </c>
      <c r="K8558" s="5" t="s">
        <v>53514</v>
      </c>
    </row>
    <row r="8559">
      <c r="A8559" s="4">
        <v>45534.40700997685</v>
      </c>
      <c r="B8559" s="5" t="s">
        <v>34</v>
      </c>
      <c r="D8559" s="5" t="s">
        <v>522</v>
      </c>
      <c r="E8559" s="5" t="s">
        <v>53538</v>
      </c>
      <c r="F8559" s="5" t="s">
        <v>37</v>
      </c>
      <c r="G8559" s="5" t="s">
        <v>53539</v>
      </c>
      <c r="H8559" s="6" t="s">
        <v>53540</v>
      </c>
      <c r="K8559" s="5" t="s">
        <v>53514</v>
      </c>
    </row>
    <row r="8560">
      <c r="A8560" s="4">
        <v>45534.407028622685</v>
      </c>
      <c r="B8560" s="5" t="s">
        <v>34</v>
      </c>
      <c r="D8560" s="5" t="s">
        <v>9020</v>
      </c>
      <c r="E8560" s="5" t="s">
        <v>53543</v>
      </c>
      <c r="F8560" s="5" t="s">
        <v>715</v>
      </c>
      <c r="G8560" s="5" t="s">
        <v>53544</v>
      </c>
      <c r="H8560" s="6" t="s">
        <v>53545</v>
      </c>
      <c r="K8560" s="5" t="s">
        <v>53546</v>
      </c>
    </row>
    <row r="8561">
      <c r="A8561" s="4">
        <v>45534.40704100694</v>
      </c>
      <c r="B8561" s="5" t="s">
        <v>34</v>
      </c>
      <c r="D8561" s="5" t="s">
        <v>9020</v>
      </c>
      <c r="E8561" s="5" t="s">
        <v>53550</v>
      </c>
      <c r="F8561" s="5" t="s">
        <v>212</v>
      </c>
      <c r="G8561" s="5" t="s">
        <v>53551</v>
      </c>
      <c r="H8561" s="6" t="s">
        <v>53552</v>
      </c>
      <c r="K8561" s="5" t="s">
        <v>53546</v>
      </c>
    </row>
    <row r="8562">
      <c r="A8562" s="4">
        <v>45534.40707914352</v>
      </c>
      <c r="B8562" s="5" t="s">
        <v>34</v>
      </c>
      <c r="D8562" s="5" t="s">
        <v>35</v>
      </c>
      <c r="E8562" s="5" t="s">
        <v>53556</v>
      </c>
      <c r="F8562" s="5" t="s">
        <v>37</v>
      </c>
      <c r="G8562" s="5" t="s">
        <v>53557</v>
      </c>
      <c r="H8562" s="6" t="s">
        <v>53558</v>
      </c>
      <c r="K8562" s="5" t="s">
        <v>53559</v>
      </c>
    </row>
    <row r="8563">
      <c r="A8563" s="4">
        <v>45534.40712574074</v>
      </c>
      <c r="B8563" s="5" t="s">
        <v>34</v>
      </c>
      <c r="D8563" s="5" t="s">
        <v>1206</v>
      </c>
      <c r="E8563" s="5" t="s">
        <v>53562</v>
      </c>
      <c r="F8563" s="5" t="s">
        <v>375</v>
      </c>
      <c r="G8563" s="5" t="s">
        <v>53563</v>
      </c>
      <c r="H8563" s="6" t="s">
        <v>53564</v>
      </c>
      <c r="K8563" s="5" t="s">
        <v>53559</v>
      </c>
    </row>
    <row r="8564">
      <c r="A8564" s="4">
        <v>45534.407254606485</v>
      </c>
      <c r="B8564" s="5" t="s">
        <v>34</v>
      </c>
      <c r="D8564" s="5" t="s">
        <v>12978</v>
      </c>
      <c r="E8564" s="5" t="s">
        <v>49134</v>
      </c>
      <c r="F8564" s="5" t="s">
        <v>212</v>
      </c>
      <c r="G8564" s="5" t="s">
        <v>53567</v>
      </c>
      <c r="H8564" s="6" t="s">
        <v>53568</v>
      </c>
      <c r="K8564" s="5" t="s">
        <v>53569</v>
      </c>
    </row>
    <row r="8565">
      <c r="A8565" s="4">
        <v>45534.40727752315</v>
      </c>
      <c r="B8565" s="5" t="s">
        <v>19</v>
      </c>
      <c r="C8565" s="5" t="s">
        <v>292</v>
      </c>
      <c r="E8565" s="5" t="s">
        <v>53572</v>
      </c>
      <c r="F8565" s="5" t="s">
        <v>212</v>
      </c>
      <c r="G8565" s="5" t="s">
        <v>53573</v>
      </c>
      <c r="H8565" s="6" t="s">
        <v>53574</v>
      </c>
      <c r="K8565" s="5" t="s">
        <v>53569</v>
      </c>
    </row>
    <row r="8566">
      <c r="A8566" s="4">
        <v>45534.40731740741</v>
      </c>
      <c r="B8566" s="5" t="s">
        <v>34</v>
      </c>
      <c r="D8566" s="5" t="s">
        <v>15401</v>
      </c>
      <c r="E8566" s="5" t="s">
        <v>53578</v>
      </c>
      <c r="F8566" s="5" t="s">
        <v>72</v>
      </c>
      <c r="G8566" s="5" t="s">
        <v>53579</v>
      </c>
      <c r="H8566" s="6" t="s">
        <v>53580</v>
      </c>
      <c r="K8566" s="5" t="s">
        <v>53581</v>
      </c>
    </row>
    <row r="8567">
      <c r="A8567" s="4">
        <v>45534.40732435185</v>
      </c>
      <c r="B8567" s="5" t="s">
        <v>34</v>
      </c>
      <c r="D8567" s="5" t="s">
        <v>11913</v>
      </c>
      <c r="E8567" s="5" t="s">
        <v>53584</v>
      </c>
      <c r="F8567" s="5" t="s">
        <v>37</v>
      </c>
      <c r="G8567" s="5" t="s">
        <v>53585</v>
      </c>
      <c r="H8567" s="6" t="s">
        <v>53586</v>
      </c>
      <c r="K8567" s="5" t="s">
        <v>53581</v>
      </c>
    </row>
    <row r="8568">
      <c r="A8568" s="4">
        <v>45534.4073249537</v>
      </c>
      <c r="B8568" s="5" t="s">
        <v>34</v>
      </c>
      <c r="D8568" s="5" t="s">
        <v>10444</v>
      </c>
      <c r="E8568" s="5" t="s">
        <v>53589</v>
      </c>
      <c r="F8568" s="5" t="s">
        <v>212</v>
      </c>
      <c r="G8568" s="5" t="s">
        <v>53590</v>
      </c>
      <c r="H8568" s="6" t="s">
        <v>53591</v>
      </c>
      <c r="K8568" s="5" t="s">
        <v>53581</v>
      </c>
    </row>
    <row r="8569">
      <c r="A8569" s="4">
        <v>45534.40736275463</v>
      </c>
      <c r="B8569" s="5" t="s">
        <v>34</v>
      </c>
      <c r="D8569" s="5" t="s">
        <v>1206</v>
      </c>
      <c r="E8569" s="5" t="s">
        <v>53595</v>
      </c>
      <c r="F8569" s="5" t="s">
        <v>37</v>
      </c>
      <c r="G8569" s="5" t="s">
        <v>53596</v>
      </c>
      <c r="H8569" s="6" t="s">
        <v>53597</v>
      </c>
      <c r="K8569" s="5" t="s">
        <v>53581</v>
      </c>
    </row>
    <row r="8570">
      <c r="A8570" s="4">
        <v>45534.40736611111</v>
      </c>
      <c r="B8570" s="5" t="s">
        <v>34</v>
      </c>
      <c r="D8570" s="5" t="s">
        <v>1206</v>
      </c>
      <c r="E8570" s="5" t="s">
        <v>53600</v>
      </c>
      <c r="F8570" s="5" t="s">
        <v>120</v>
      </c>
      <c r="G8570" s="5" t="s">
        <v>53601</v>
      </c>
      <c r="H8570" s="6" t="s">
        <v>53602</v>
      </c>
      <c r="K8570" s="5" t="s">
        <v>53603</v>
      </c>
    </row>
    <row r="8571">
      <c r="A8571" s="4">
        <v>45534.407372118054</v>
      </c>
      <c r="B8571" s="5" t="s">
        <v>34</v>
      </c>
      <c r="D8571" s="5" t="s">
        <v>11913</v>
      </c>
      <c r="E8571" s="5" t="s">
        <v>53607</v>
      </c>
      <c r="F8571" s="5" t="s">
        <v>212</v>
      </c>
      <c r="G8571" s="5" t="s">
        <v>53608</v>
      </c>
      <c r="H8571" s="6" t="s">
        <v>53609</v>
      </c>
      <c r="K8571" s="5" t="s">
        <v>53603</v>
      </c>
    </row>
    <row r="8572">
      <c r="A8572" s="4">
        <v>45534.407376585645</v>
      </c>
      <c r="B8572" s="5" t="s">
        <v>34</v>
      </c>
      <c r="D8572" s="5" t="s">
        <v>1206</v>
      </c>
      <c r="E8572" s="5" t="s">
        <v>53612</v>
      </c>
      <c r="F8572" s="5" t="s">
        <v>212</v>
      </c>
      <c r="G8572" s="5" t="s">
        <v>53613</v>
      </c>
      <c r="H8572" s="6" t="s">
        <v>53614</v>
      </c>
      <c r="K8572" s="5" t="s">
        <v>53603</v>
      </c>
    </row>
    <row r="8573">
      <c r="A8573" s="4">
        <v>45534.407395069444</v>
      </c>
      <c r="B8573" s="5" t="s">
        <v>19</v>
      </c>
      <c r="C8573" s="5" t="s">
        <v>1606</v>
      </c>
      <c r="E8573" s="5" t="s">
        <v>53617</v>
      </c>
      <c r="F8573" s="5" t="s">
        <v>108</v>
      </c>
      <c r="G8573" s="5" t="s">
        <v>53618</v>
      </c>
      <c r="H8573" s="6" t="s">
        <v>53619</v>
      </c>
      <c r="K8573" s="5" t="s">
        <v>53603</v>
      </c>
    </row>
    <row r="8574">
      <c r="A8574" s="4">
        <v>45534.40740012731</v>
      </c>
      <c r="B8574" s="5" t="s">
        <v>34</v>
      </c>
      <c r="D8574" s="5" t="s">
        <v>4775</v>
      </c>
      <c r="E8574" s="5" t="s">
        <v>53623</v>
      </c>
      <c r="F8574" s="5" t="s">
        <v>72</v>
      </c>
      <c r="G8574" s="5" t="s">
        <v>53624</v>
      </c>
      <c r="H8574" s="6" t="s">
        <v>53625</v>
      </c>
      <c r="K8574" s="5" t="s">
        <v>53603</v>
      </c>
    </row>
    <row r="8575">
      <c r="A8575" s="4">
        <v>45534.40741645833</v>
      </c>
      <c r="B8575" s="5" t="s">
        <v>34</v>
      </c>
      <c r="D8575" s="5" t="s">
        <v>4775</v>
      </c>
      <c r="E8575" s="5" t="s">
        <v>53628</v>
      </c>
      <c r="F8575" s="5" t="s">
        <v>524</v>
      </c>
      <c r="G8575" s="5" t="s">
        <v>53629</v>
      </c>
      <c r="H8575" s="6" t="s">
        <v>53630</v>
      </c>
      <c r="K8575" s="5" t="s">
        <v>53631</v>
      </c>
    </row>
    <row r="8576">
      <c r="A8576" s="4">
        <v>45534.407421550924</v>
      </c>
      <c r="B8576" s="5" t="s">
        <v>34</v>
      </c>
      <c r="D8576" s="5" t="s">
        <v>701</v>
      </c>
      <c r="E8576" s="5" t="s">
        <v>53634</v>
      </c>
      <c r="F8576" s="5" t="s">
        <v>22</v>
      </c>
      <c r="G8576" s="5" t="s">
        <v>53635</v>
      </c>
      <c r="H8576" s="6" t="s">
        <v>53636</v>
      </c>
      <c r="K8576" s="5" t="s">
        <v>53631</v>
      </c>
    </row>
    <row r="8577">
      <c r="A8577" s="4">
        <v>45534.407444004624</v>
      </c>
      <c r="B8577" s="5" t="s">
        <v>34</v>
      </c>
      <c r="D8577" s="5" t="s">
        <v>11913</v>
      </c>
      <c r="E8577" s="5" t="s">
        <v>53640</v>
      </c>
      <c r="F8577" s="5" t="s">
        <v>375</v>
      </c>
      <c r="G8577" s="5" t="s">
        <v>53641</v>
      </c>
      <c r="H8577" s="6" t="s">
        <v>53642</v>
      </c>
      <c r="K8577" s="5" t="s">
        <v>53631</v>
      </c>
    </row>
    <row r="8578">
      <c r="A8578" s="4">
        <v>45534.40748146991</v>
      </c>
      <c r="B8578" s="5" t="s">
        <v>34</v>
      </c>
      <c r="D8578" s="5" t="s">
        <v>1206</v>
      </c>
      <c r="E8578" s="5" t="s">
        <v>53646</v>
      </c>
      <c r="F8578" s="5" t="s">
        <v>524</v>
      </c>
      <c r="G8578" s="5" t="s">
        <v>53647</v>
      </c>
      <c r="H8578" s="6" t="s">
        <v>53648</v>
      </c>
      <c r="K8578" s="5" t="s">
        <v>53649</v>
      </c>
    </row>
    <row r="8579">
      <c r="A8579" s="4">
        <v>45534.40750799769</v>
      </c>
      <c r="B8579" s="5" t="s">
        <v>34</v>
      </c>
      <c r="D8579" s="5" t="s">
        <v>35</v>
      </c>
      <c r="E8579" s="5" t="s">
        <v>53652</v>
      </c>
      <c r="F8579" s="5" t="s">
        <v>72</v>
      </c>
      <c r="G8579" s="5" t="s">
        <v>53653</v>
      </c>
      <c r="H8579" s="6" t="s">
        <v>53654</v>
      </c>
      <c r="K8579" s="5" t="s">
        <v>53655</v>
      </c>
    </row>
    <row r="8580">
      <c r="A8580" s="4">
        <v>45534.40753237269</v>
      </c>
      <c r="B8580" s="5" t="s">
        <v>19</v>
      </c>
      <c r="C8580" s="5" t="s">
        <v>38343</v>
      </c>
      <c r="E8580" s="5" t="s">
        <v>53658</v>
      </c>
      <c r="F8580" s="5" t="s">
        <v>524</v>
      </c>
      <c r="G8580" s="5" t="s">
        <v>53659</v>
      </c>
      <c r="H8580" s="6" t="s">
        <v>53660</v>
      </c>
      <c r="K8580" s="5" t="s">
        <v>53655</v>
      </c>
    </row>
    <row r="8581">
      <c r="A8581" s="4">
        <v>45534.40755783565</v>
      </c>
      <c r="B8581" s="5" t="s">
        <v>34</v>
      </c>
      <c r="D8581" s="5" t="s">
        <v>12978</v>
      </c>
      <c r="E8581" s="5" t="s">
        <v>27083</v>
      </c>
      <c r="F8581" s="5" t="s">
        <v>72</v>
      </c>
      <c r="G8581" s="5" t="s">
        <v>53663</v>
      </c>
      <c r="H8581" s="6" t="s">
        <v>53664</v>
      </c>
      <c r="K8581" s="5" t="s">
        <v>53655</v>
      </c>
    </row>
    <row r="8582">
      <c r="A8582" s="4">
        <v>45534.40757466435</v>
      </c>
      <c r="B8582" s="5" t="s">
        <v>34</v>
      </c>
      <c r="D8582" s="5" t="s">
        <v>996</v>
      </c>
      <c r="E8582" s="5" t="s">
        <v>53667</v>
      </c>
      <c r="F8582" s="5" t="s">
        <v>212</v>
      </c>
      <c r="G8582" s="5" t="s">
        <v>53668</v>
      </c>
      <c r="H8582" s="6" t="s">
        <v>53669</v>
      </c>
      <c r="K8582" s="5" t="s">
        <v>53655</v>
      </c>
    </row>
    <row r="8583">
      <c r="A8583" s="4">
        <v>45534.407604444445</v>
      </c>
      <c r="B8583" s="5" t="s">
        <v>34</v>
      </c>
      <c r="D8583" s="5" t="s">
        <v>3849</v>
      </c>
      <c r="E8583" s="5" t="s">
        <v>53673</v>
      </c>
      <c r="F8583" s="5" t="s">
        <v>108</v>
      </c>
      <c r="G8583" s="5" t="s">
        <v>53674</v>
      </c>
      <c r="H8583" s="6" t="s">
        <v>53675</v>
      </c>
      <c r="K8583" s="5" t="s">
        <v>53676</v>
      </c>
    </row>
    <row r="8584">
      <c r="A8584" s="4">
        <v>45534.407760347225</v>
      </c>
      <c r="B8584" s="5" t="s">
        <v>34</v>
      </c>
      <c r="D8584" s="5" t="s">
        <v>10297</v>
      </c>
      <c r="E8584" s="5" t="s">
        <v>53679</v>
      </c>
      <c r="F8584" s="5" t="s">
        <v>212</v>
      </c>
      <c r="G8584" s="5" t="s">
        <v>53680</v>
      </c>
      <c r="H8584" s="6" t="s">
        <v>53681</v>
      </c>
      <c r="K8584" s="5" t="s">
        <v>53682</v>
      </c>
    </row>
    <row r="8585">
      <c r="A8585" s="4">
        <v>45534.40781398148</v>
      </c>
      <c r="B8585" s="5" t="s">
        <v>19</v>
      </c>
      <c r="C8585" s="5" t="s">
        <v>292</v>
      </c>
      <c r="E8585" s="5" t="s">
        <v>53685</v>
      </c>
      <c r="F8585" s="5" t="s">
        <v>108</v>
      </c>
      <c r="G8585" s="5" t="s">
        <v>53686</v>
      </c>
      <c r="H8585" s="6" t="s">
        <v>53687</v>
      </c>
      <c r="K8585" s="5" t="s">
        <v>53688</v>
      </c>
    </row>
    <row r="8586">
      <c r="A8586" s="4">
        <v>45534.40785780092</v>
      </c>
      <c r="B8586" s="5" t="s">
        <v>34</v>
      </c>
      <c r="D8586" s="5" t="s">
        <v>4775</v>
      </c>
      <c r="E8586" s="5" t="s">
        <v>34638</v>
      </c>
      <c r="F8586" s="5" t="s">
        <v>37</v>
      </c>
      <c r="G8586" s="5" t="s">
        <v>53691</v>
      </c>
      <c r="H8586" s="6" t="s">
        <v>53692</v>
      </c>
      <c r="K8586" s="5" t="s">
        <v>53693</v>
      </c>
    </row>
    <row r="8587">
      <c r="A8587" s="4">
        <v>45534.40788236111</v>
      </c>
      <c r="B8587" s="5" t="s">
        <v>34</v>
      </c>
      <c r="D8587" s="5" t="s">
        <v>1206</v>
      </c>
      <c r="E8587" s="5" t="s">
        <v>53696</v>
      </c>
      <c r="F8587" s="5" t="s">
        <v>212</v>
      </c>
      <c r="G8587" s="5" t="s">
        <v>53697</v>
      </c>
      <c r="H8587" s="6" t="s">
        <v>53698</v>
      </c>
      <c r="K8587" s="5" t="s">
        <v>53699</v>
      </c>
    </row>
    <row r="8588">
      <c r="A8588" s="4">
        <v>45534.40789803241</v>
      </c>
      <c r="B8588" s="5" t="s">
        <v>34</v>
      </c>
      <c r="D8588" s="5" t="s">
        <v>14424</v>
      </c>
      <c r="E8588" s="5" t="s">
        <v>53703</v>
      </c>
      <c r="F8588" s="5" t="s">
        <v>37</v>
      </c>
      <c r="G8588" s="5" t="s">
        <v>53704</v>
      </c>
      <c r="H8588" s="6" t="s">
        <v>53705</v>
      </c>
      <c r="K8588" s="5" t="s">
        <v>53706</v>
      </c>
    </row>
    <row r="8589">
      <c r="A8589" s="4">
        <v>45534.40790208333</v>
      </c>
      <c r="B8589" s="5" t="s">
        <v>19</v>
      </c>
      <c r="C8589" s="5" t="s">
        <v>292</v>
      </c>
      <c r="E8589" s="5" t="s">
        <v>53709</v>
      </c>
      <c r="F8589" s="5" t="s">
        <v>212</v>
      </c>
      <c r="G8589" s="5" t="s">
        <v>53710</v>
      </c>
      <c r="H8589" s="6" t="s">
        <v>53711</v>
      </c>
      <c r="K8589" s="5" t="s">
        <v>53706</v>
      </c>
    </row>
    <row r="8590">
      <c r="A8590" s="4">
        <v>45534.40811878472</v>
      </c>
      <c r="B8590" s="5" t="s">
        <v>34</v>
      </c>
      <c r="D8590" s="5" t="s">
        <v>14313</v>
      </c>
      <c r="E8590" s="5" t="s">
        <v>53714</v>
      </c>
      <c r="F8590" s="5" t="s">
        <v>524</v>
      </c>
      <c r="G8590" s="5" t="s">
        <v>53715</v>
      </c>
      <c r="H8590" s="6" t="s">
        <v>53716</v>
      </c>
      <c r="K8590" s="5" t="s">
        <v>53717</v>
      </c>
    </row>
    <row r="8591">
      <c r="A8591" s="4">
        <v>45534.408151261574</v>
      </c>
      <c r="B8591" s="5" t="s">
        <v>34</v>
      </c>
      <c r="D8591" s="5" t="s">
        <v>996</v>
      </c>
      <c r="E8591" s="5" t="s">
        <v>50197</v>
      </c>
      <c r="F8591" s="5" t="s">
        <v>212</v>
      </c>
      <c r="G8591" s="5" t="s">
        <v>53720</v>
      </c>
      <c r="H8591" s="6" t="s">
        <v>53721</v>
      </c>
      <c r="K8591" s="5" t="s">
        <v>53722</v>
      </c>
    </row>
    <row r="8592">
      <c r="A8592" s="4">
        <v>45534.40816902778</v>
      </c>
      <c r="B8592" s="5" t="s">
        <v>34</v>
      </c>
      <c r="D8592" s="5" t="s">
        <v>9394</v>
      </c>
      <c r="E8592" s="5" t="s">
        <v>53725</v>
      </c>
      <c r="F8592" s="5" t="s">
        <v>375</v>
      </c>
      <c r="G8592" s="5" t="s">
        <v>53726</v>
      </c>
      <c r="H8592" s="6" t="s">
        <v>53727</v>
      </c>
      <c r="K8592" s="5" t="s">
        <v>53728</v>
      </c>
    </row>
    <row r="8593">
      <c r="A8593" s="4">
        <v>45534.40825611111</v>
      </c>
      <c r="B8593" s="5" t="s">
        <v>34</v>
      </c>
      <c r="D8593" s="5" t="s">
        <v>267</v>
      </c>
      <c r="E8593" s="5" t="s">
        <v>53732</v>
      </c>
      <c r="F8593" s="5" t="s">
        <v>72</v>
      </c>
      <c r="G8593" s="5" t="s">
        <v>53733</v>
      </c>
      <c r="H8593" s="6" t="s">
        <v>53734</v>
      </c>
      <c r="K8593" s="5" t="s">
        <v>53735</v>
      </c>
    </row>
    <row r="8594">
      <c r="A8594" s="4">
        <v>45534.40825898148</v>
      </c>
      <c r="B8594" s="5" t="s">
        <v>19</v>
      </c>
      <c r="C8594" s="5" t="s">
        <v>38343</v>
      </c>
      <c r="E8594" s="5" t="s">
        <v>53738</v>
      </c>
      <c r="F8594" s="5" t="s">
        <v>108</v>
      </c>
      <c r="G8594" s="5" t="s">
        <v>53739</v>
      </c>
      <c r="H8594" s="6" t="s">
        <v>53740</v>
      </c>
      <c r="K8594" s="5" t="s">
        <v>53735</v>
      </c>
    </row>
    <row r="8595">
      <c r="A8595" s="4">
        <v>45534.40827186343</v>
      </c>
      <c r="B8595" s="5" t="s">
        <v>34</v>
      </c>
      <c r="D8595" s="5" t="s">
        <v>1206</v>
      </c>
      <c r="E8595" s="5" t="s">
        <v>53743</v>
      </c>
      <c r="F8595" s="5" t="s">
        <v>212</v>
      </c>
      <c r="G8595" s="5" t="s">
        <v>40653</v>
      </c>
      <c r="H8595" s="6" t="s">
        <v>53744</v>
      </c>
      <c r="K8595" s="5" t="s">
        <v>53735</v>
      </c>
    </row>
    <row r="8596">
      <c r="A8596" s="4">
        <v>45534.40827827546</v>
      </c>
      <c r="B8596" s="5" t="s">
        <v>34</v>
      </c>
      <c r="D8596" s="5" t="s">
        <v>9394</v>
      </c>
      <c r="E8596" s="5" t="s">
        <v>53747</v>
      </c>
      <c r="F8596" s="5" t="s">
        <v>375</v>
      </c>
      <c r="G8596" s="5" t="s">
        <v>53748</v>
      </c>
      <c r="H8596" s="6" t="s">
        <v>53749</v>
      </c>
      <c r="K8596" s="5" t="s">
        <v>53735</v>
      </c>
    </row>
    <row r="8597">
      <c r="A8597" s="4">
        <v>45534.40828966435</v>
      </c>
      <c r="B8597" s="5" t="s">
        <v>34</v>
      </c>
      <c r="D8597" s="5" t="s">
        <v>1206</v>
      </c>
      <c r="E8597" s="5" t="s">
        <v>53753</v>
      </c>
      <c r="F8597" s="5" t="s">
        <v>120</v>
      </c>
      <c r="G8597" s="5" t="s">
        <v>53754</v>
      </c>
      <c r="H8597" s="6" t="s">
        <v>53755</v>
      </c>
      <c r="K8597" s="5" t="s">
        <v>53735</v>
      </c>
    </row>
    <row r="8598">
      <c r="A8598" s="4">
        <v>45534.408312569445</v>
      </c>
      <c r="B8598" s="5" t="s">
        <v>19</v>
      </c>
      <c r="C8598" s="5" t="s">
        <v>442</v>
      </c>
      <c r="E8598" s="5" t="s">
        <v>53758</v>
      </c>
      <c r="F8598" s="5" t="s">
        <v>715</v>
      </c>
      <c r="G8598" s="5" t="s">
        <v>53759</v>
      </c>
      <c r="H8598" s="6" t="s">
        <v>53760</v>
      </c>
      <c r="K8598" s="5" t="s">
        <v>53761</v>
      </c>
    </row>
    <row r="8599">
      <c r="A8599" s="4">
        <v>45534.408317395835</v>
      </c>
      <c r="B8599" s="5" t="s">
        <v>34</v>
      </c>
      <c r="D8599" s="5" t="s">
        <v>12978</v>
      </c>
      <c r="E8599" s="5" t="s">
        <v>53764</v>
      </c>
      <c r="F8599" s="5" t="s">
        <v>212</v>
      </c>
      <c r="G8599" s="5" t="s">
        <v>53765</v>
      </c>
      <c r="H8599" s="6" t="s">
        <v>53766</v>
      </c>
      <c r="K8599" s="5" t="s">
        <v>53761</v>
      </c>
    </row>
    <row r="8600">
      <c r="A8600" s="4">
        <v>45534.40833520833</v>
      </c>
      <c r="B8600" s="5" t="s">
        <v>34</v>
      </c>
      <c r="D8600" s="5" t="s">
        <v>7858</v>
      </c>
      <c r="E8600" s="5" t="s">
        <v>53769</v>
      </c>
      <c r="F8600" s="5" t="s">
        <v>37</v>
      </c>
      <c r="G8600" s="5" t="s">
        <v>53770</v>
      </c>
      <c r="H8600" s="6" t="s">
        <v>53771</v>
      </c>
      <c r="K8600" s="5" t="s">
        <v>53772</v>
      </c>
    </row>
    <row r="8601">
      <c r="A8601" s="4">
        <v>45534.40833659722</v>
      </c>
      <c r="B8601" s="5" t="s">
        <v>19</v>
      </c>
      <c r="C8601" s="5" t="s">
        <v>38343</v>
      </c>
      <c r="E8601" s="5" t="s">
        <v>53776</v>
      </c>
      <c r="F8601" s="5" t="s">
        <v>108</v>
      </c>
      <c r="G8601" s="5" t="s">
        <v>53777</v>
      </c>
      <c r="H8601" s="6" t="s">
        <v>53778</v>
      </c>
      <c r="K8601" s="5" t="s">
        <v>53772</v>
      </c>
    </row>
    <row r="8602">
      <c r="A8602" s="4">
        <v>45534.408373611106</v>
      </c>
      <c r="B8602" s="5" t="s">
        <v>34</v>
      </c>
      <c r="D8602" s="5" t="s">
        <v>14313</v>
      </c>
      <c r="E8602" s="5" t="s">
        <v>53781</v>
      </c>
      <c r="F8602" s="5" t="s">
        <v>72</v>
      </c>
      <c r="G8602" s="5" t="s">
        <v>53782</v>
      </c>
      <c r="H8602" s="6" t="s">
        <v>53783</v>
      </c>
      <c r="K8602" s="5" t="s">
        <v>53784</v>
      </c>
    </row>
    <row r="8603">
      <c r="A8603" s="4">
        <v>45534.40839681713</v>
      </c>
      <c r="B8603" s="5" t="s">
        <v>34</v>
      </c>
      <c r="D8603" s="5" t="s">
        <v>14313</v>
      </c>
      <c r="E8603" s="5" t="s">
        <v>53787</v>
      </c>
      <c r="F8603" s="5" t="s">
        <v>72</v>
      </c>
      <c r="G8603" s="5" t="s">
        <v>53788</v>
      </c>
      <c r="H8603" s="6" t="s">
        <v>53789</v>
      </c>
      <c r="K8603" s="5" t="s">
        <v>53784</v>
      </c>
    </row>
    <row r="8604">
      <c r="A8604" s="4">
        <v>45534.40842494213</v>
      </c>
      <c r="B8604" s="5" t="s">
        <v>34</v>
      </c>
      <c r="D8604" s="5" t="s">
        <v>11913</v>
      </c>
      <c r="E8604" s="5" t="s">
        <v>53792</v>
      </c>
      <c r="F8604" s="5" t="s">
        <v>37</v>
      </c>
      <c r="G8604" s="5" t="s">
        <v>53793</v>
      </c>
      <c r="H8604" s="6" t="s">
        <v>53794</v>
      </c>
      <c r="K8604" s="5" t="s">
        <v>53795</v>
      </c>
    </row>
    <row r="8605">
      <c r="A8605" s="4">
        <v>45534.40845398148</v>
      </c>
      <c r="B8605" s="5" t="s">
        <v>34</v>
      </c>
      <c r="D8605" s="5" t="s">
        <v>701</v>
      </c>
      <c r="E8605" s="5" t="s">
        <v>53799</v>
      </c>
      <c r="F8605" s="5" t="s">
        <v>524</v>
      </c>
      <c r="G8605" s="5" t="s">
        <v>53800</v>
      </c>
      <c r="H8605" s="6" t="s">
        <v>53801</v>
      </c>
      <c r="K8605" s="5" t="s">
        <v>53795</v>
      </c>
    </row>
    <row r="8606">
      <c r="A8606" s="4">
        <v>45534.40847751158</v>
      </c>
      <c r="B8606" s="5" t="s">
        <v>34</v>
      </c>
      <c r="D8606" s="5" t="s">
        <v>14313</v>
      </c>
      <c r="E8606" s="5" t="s">
        <v>53804</v>
      </c>
      <c r="F8606" s="5" t="s">
        <v>37</v>
      </c>
      <c r="G8606" s="5" t="s">
        <v>53805</v>
      </c>
      <c r="H8606" s="6" t="s">
        <v>53806</v>
      </c>
      <c r="K8606" s="5" t="s">
        <v>53807</v>
      </c>
    </row>
    <row r="8607">
      <c r="A8607" s="4">
        <v>45534.40857112268</v>
      </c>
      <c r="B8607" s="5" t="s">
        <v>34</v>
      </c>
      <c r="D8607" s="5" t="s">
        <v>701</v>
      </c>
      <c r="E8607" s="5" t="s">
        <v>53810</v>
      </c>
      <c r="F8607" s="5" t="s">
        <v>212</v>
      </c>
      <c r="G8607" s="5" t="s">
        <v>53811</v>
      </c>
      <c r="H8607" s="6" t="s">
        <v>53812</v>
      </c>
      <c r="K8607" s="5" t="s">
        <v>53813</v>
      </c>
    </row>
    <row r="8608">
      <c r="A8608" s="4">
        <v>45534.40857883102</v>
      </c>
      <c r="B8608" s="5" t="s">
        <v>34</v>
      </c>
      <c r="D8608" s="5" t="s">
        <v>4775</v>
      </c>
      <c r="E8608" s="5" t="s">
        <v>53816</v>
      </c>
      <c r="F8608" s="5" t="s">
        <v>72</v>
      </c>
      <c r="G8608" s="5" t="s">
        <v>53817</v>
      </c>
      <c r="H8608" s="6" t="s">
        <v>53818</v>
      </c>
      <c r="K8608" s="5" t="s">
        <v>53813</v>
      </c>
    </row>
    <row r="8609">
      <c r="A8609" s="4">
        <v>45534.40859923611</v>
      </c>
      <c r="B8609" s="5" t="s">
        <v>19</v>
      </c>
      <c r="C8609" s="5" t="s">
        <v>1498</v>
      </c>
      <c r="E8609" s="5" t="s">
        <v>52609</v>
      </c>
      <c r="F8609" s="5" t="s">
        <v>120</v>
      </c>
      <c r="G8609" s="5" t="s">
        <v>53821</v>
      </c>
      <c r="H8609" s="6" t="s">
        <v>53822</v>
      </c>
      <c r="K8609" s="5" t="s">
        <v>53813</v>
      </c>
    </row>
    <row r="8610">
      <c r="A8610" s="4">
        <v>45534.40860804398</v>
      </c>
      <c r="B8610" s="5" t="s">
        <v>34</v>
      </c>
      <c r="D8610" s="5" t="s">
        <v>580</v>
      </c>
      <c r="E8610" s="5" t="s">
        <v>53825</v>
      </c>
      <c r="F8610" s="5" t="s">
        <v>108</v>
      </c>
      <c r="G8610" s="5" t="s">
        <v>53826</v>
      </c>
      <c r="H8610" s="6" t="s">
        <v>53827</v>
      </c>
      <c r="K8610" s="5" t="s">
        <v>53813</v>
      </c>
    </row>
    <row r="8611">
      <c r="A8611" s="4">
        <v>45534.408608495374</v>
      </c>
      <c r="B8611" s="5" t="s">
        <v>34</v>
      </c>
      <c r="D8611" s="5" t="s">
        <v>14313</v>
      </c>
      <c r="E8611" s="5" t="s">
        <v>53831</v>
      </c>
      <c r="F8611" s="5" t="s">
        <v>212</v>
      </c>
      <c r="G8611" s="5" t="s">
        <v>53832</v>
      </c>
      <c r="H8611" s="6" t="s">
        <v>53833</v>
      </c>
      <c r="K8611" s="5" t="s">
        <v>53813</v>
      </c>
    </row>
    <row r="8612">
      <c r="A8612" s="4">
        <v>45534.408751979165</v>
      </c>
      <c r="B8612" s="5" t="s">
        <v>34</v>
      </c>
      <c r="D8612" s="5" t="s">
        <v>522</v>
      </c>
      <c r="E8612" s="5" t="s">
        <v>53836</v>
      </c>
      <c r="F8612" s="5" t="s">
        <v>37</v>
      </c>
      <c r="G8612" s="5" t="s">
        <v>53837</v>
      </c>
      <c r="H8612" s="6" t="s">
        <v>53838</v>
      </c>
      <c r="K8612" s="5" t="s">
        <v>53813</v>
      </c>
    </row>
    <row r="8613">
      <c r="A8613" s="4">
        <v>45534.408866944446</v>
      </c>
      <c r="B8613" s="5" t="s">
        <v>34</v>
      </c>
      <c r="D8613" s="5" t="s">
        <v>15401</v>
      </c>
      <c r="E8613" s="5" t="s">
        <v>53841</v>
      </c>
      <c r="F8613" s="5" t="s">
        <v>212</v>
      </c>
      <c r="G8613" s="5" t="s">
        <v>53842</v>
      </c>
      <c r="H8613" s="6" t="s">
        <v>53843</v>
      </c>
      <c r="K8613" s="5" t="s">
        <v>53844</v>
      </c>
    </row>
    <row r="8614">
      <c r="A8614" s="4">
        <v>45534.408963298614</v>
      </c>
      <c r="B8614" s="5" t="s">
        <v>34</v>
      </c>
      <c r="D8614" s="5" t="s">
        <v>1206</v>
      </c>
      <c r="E8614" s="5" t="s">
        <v>53847</v>
      </c>
      <c r="F8614" s="5" t="s">
        <v>375</v>
      </c>
      <c r="G8614" s="5" t="s">
        <v>53848</v>
      </c>
      <c r="H8614" s="6" t="s">
        <v>53849</v>
      </c>
      <c r="K8614" s="5" t="s">
        <v>53850</v>
      </c>
    </row>
    <row r="8615">
      <c r="A8615" s="4">
        <v>45534.408979942134</v>
      </c>
      <c r="B8615" s="5" t="s">
        <v>19</v>
      </c>
      <c r="C8615" s="5" t="s">
        <v>292</v>
      </c>
      <c r="E8615" s="5" t="s">
        <v>53853</v>
      </c>
      <c r="F8615" s="5" t="s">
        <v>212</v>
      </c>
      <c r="G8615" s="5" t="s">
        <v>53854</v>
      </c>
      <c r="H8615" s="6" t="s">
        <v>53855</v>
      </c>
      <c r="K8615" s="5" t="s">
        <v>53850</v>
      </c>
    </row>
    <row r="8616">
      <c r="A8616" s="4">
        <v>45534.40899310185</v>
      </c>
      <c r="B8616" s="5" t="s">
        <v>34</v>
      </c>
      <c r="D8616" s="5" t="s">
        <v>1558</v>
      </c>
      <c r="E8616" s="5" t="s">
        <v>53858</v>
      </c>
      <c r="F8616" s="5" t="s">
        <v>375</v>
      </c>
      <c r="G8616" s="5" t="s">
        <v>53859</v>
      </c>
      <c r="H8616" s="6" t="s">
        <v>53860</v>
      </c>
      <c r="K8616" s="5" t="s">
        <v>53850</v>
      </c>
    </row>
    <row r="8617">
      <c r="A8617" s="4">
        <v>45534.4090118287</v>
      </c>
      <c r="B8617" s="5" t="s">
        <v>34</v>
      </c>
      <c r="D8617" s="5" t="s">
        <v>35</v>
      </c>
      <c r="E8617" s="5" t="s">
        <v>53864</v>
      </c>
      <c r="F8617" s="5" t="s">
        <v>120</v>
      </c>
      <c r="G8617" s="5" t="s">
        <v>53865</v>
      </c>
      <c r="H8617" s="6" t="s">
        <v>53866</v>
      </c>
      <c r="K8617" s="5" t="s">
        <v>53867</v>
      </c>
    </row>
    <row r="8618">
      <c r="A8618" s="4">
        <v>45534.40905238426</v>
      </c>
      <c r="B8618" s="5" t="s">
        <v>34</v>
      </c>
      <c r="D8618" s="5" t="s">
        <v>7858</v>
      </c>
      <c r="E8618" s="5" t="s">
        <v>53870</v>
      </c>
      <c r="F8618" s="5" t="s">
        <v>37</v>
      </c>
      <c r="G8618" s="5" t="s">
        <v>53871</v>
      </c>
      <c r="H8618" s="6" t="s">
        <v>53872</v>
      </c>
      <c r="K8618" s="5" t="s">
        <v>53873</v>
      </c>
    </row>
    <row r="8619">
      <c r="A8619" s="4">
        <v>45534.40908991898</v>
      </c>
      <c r="B8619" s="5" t="s">
        <v>34</v>
      </c>
      <c r="D8619" s="5" t="s">
        <v>4775</v>
      </c>
      <c r="E8619" s="5" t="s">
        <v>53876</v>
      </c>
      <c r="F8619" s="5" t="s">
        <v>375</v>
      </c>
      <c r="G8619" s="5" t="s">
        <v>53877</v>
      </c>
      <c r="H8619" s="6" t="s">
        <v>53878</v>
      </c>
      <c r="K8619" s="5" t="s">
        <v>53873</v>
      </c>
    </row>
    <row r="8620">
      <c r="A8620" s="4">
        <v>45534.409122881945</v>
      </c>
      <c r="B8620" s="5" t="s">
        <v>34</v>
      </c>
      <c r="D8620" s="5" t="s">
        <v>15401</v>
      </c>
      <c r="E8620" s="5" t="s">
        <v>53881</v>
      </c>
      <c r="F8620" s="5" t="s">
        <v>212</v>
      </c>
      <c r="G8620" s="5" t="s">
        <v>53882</v>
      </c>
      <c r="H8620" s="6" t="s">
        <v>53883</v>
      </c>
      <c r="K8620" s="5" t="s">
        <v>53873</v>
      </c>
    </row>
    <row r="8621">
      <c r="A8621" s="4">
        <v>45534.409129074076</v>
      </c>
      <c r="B8621" s="5" t="s">
        <v>19</v>
      </c>
      <c r="C8621" s="5" t="s">
        <v>32901</v>
      </c>
      <c r="E8621" s="5" t="s">
        <v>53886</v>
      </c>
      <c r="F8621" s="5" t="s">
        <v>375</v>
      </c>
      <c r="G8621" s="5" t="s">
        <v>53887</v>
      </c>
      <c r="H8621" s="6" t="s">
        <v>53888</v>
      </c>
      <c r="K8621" s="5" t="s">
        <v>53873</v>
      </c>
    </row>
    <row r="8622">
      <c r="A8622" s="4">
        <v>45534.40914230324</v>
      </c>
      <c r="B8622" s="5" t="s">
        <v>34</v>
      </c>
      <c r="D8622" s="5" t="s">
        <v>1456</v>
      </c>
      <c r="E8622" s="5" t="s">
        <v>53892</v>
      </c>
      <c r="F8622" s="5" t="s">
        <v>212</v>
      </c>
      <c r="G8622" s="5" t="s">
        <v>53893</v>
      </c>
      <c r="H8622" s="6" t="s">
        <v>53894</v>
      </c>
      <c r="K8622" s="5" t="s">
        <v>53873</v>
      </c>
    </row>
    <row r="8623">
      <c r="A8623" s="4">
        <v>45534.40915743056</v>
      </c>
      <c r="B8623" s="5" t="s">
        <v>34</v>
      </c>
      <c r="D8623" s="5" t="s">
        <v>1768</v>
      </c>
      <c r="E8623" s="5" t="s">
        <v>53897</v>
      </c>
      <c r="F8623" s="5" t="s">
        <v>72</v>
      </c>
      <c r="G8623" s="5" t="s">
        <v>53898</v>
      </c>
      <c r="H8623" s="6" t="s">
        <v>53899</v>
      </c>
      <c r="K8623" s="5" t="s">
        <v>53873</v>
      </c>
    </row>
    <row r="8624">
      <c r="A8624" s="4">
        <v>45534.409158703704</v>
      </c>
      <c r="B8624" s="5" t="s">
        <v>34</v>
      </c>
      <c r="D8624" s="5" t="s">
        <v>1206</v>
      </c>
      <c r="E8624" s="5" t="s">
        <v>53902</v>
      </c>
      <c r="F8624" s="5" t="s">
        <v>37</v>
      </c>
      <c r="G8624" s="5" t="s">
        <v>53903</v>
      </c>
      <c r="H8624" s="6" t="s">
        <v>53904</v>
      </c>
      <c r="K8624" s="5" t="s">
        <v>53873</v>
      </c>
    </row>
    <row r="8625">
      <c r="A8625" s="4">
        <v>45534.40920337963</v>
      </c>
      <c r="B8625" s="5" t="s">
        <v>34</v>
      </c>
      <c r="D8625" s="5" t="s">
        <v>701</v>
      </c>
      <c r="E8625" s="5" t="s">
        <v>53907</v>
      </c>
      <c r="F8625" s="5" t="s">
        <v>524</v>
      </c>
      <c r="G8625" s="5" t="s">
        <v>53908</v>
      </c>
      <c r="H8625" s="6" t="s">
        <v>53909</v>
      </c>
      <c r="K8625" s="5" t="s">
        <v>53873</v>
      </c>
    </row>
    <row r="8626">
      <c r="A8626" s="4">
        <v>45534.409217673616</v>
      </c>
      <c r="B8626" s="5" t="s">
        <v>34</v>
      </c>
      <c r="D8626" s="5" t="s">
        <v>14424</v>
      </c>
      <c r="E8626" s="5" t="s">
        <v>53912</v>
      </c>
      <c r="F8626" s="5" t="s">
        <v>37</v>
      </c>
      <c r="G8626" s="5" t="s">
        <v>53913</v>
      </c>
      <c r="H8626" s="6" t="s">
        <v>53914</v>
      </c>
      <c r="K8626" s="5" t="s">
        <v>53915</v>
      </c>
    </row>
    <row r="8627">
      <c r="A8627" s="4">
        <v>45534.40929300926</v>
      </c>
      <c r="B8627" s="5" t="s">
        <v>34</v>
      </c>
      <c r="D8627" s="5" t="s">
        <v>1206</v>
      </c>
      <c r="E8627" s="5" t="s">
        <v>53919</v>
      </c>
      <c r="F8627" s="5" t="s">
        <v>37</v>
      </c>
      <c r="G8627" s="5" t="s">
        <v>53920</v>
      </c>
      <c r="H8627" s="6" t="s">
        <v>53921</v>
      </c>
      <c r="K8627" s="5" t="s">
        <v>53915</v>
      </c>
    </row>
    <row r="8628">
      <c r="A8628" s="4">
        <v>45534.40929581018</v>
      </c>
      <c r="B8628" s="5" t="s">
        <v>34</v>
      </c>
      <c r="D8628" s="5" t="s">
        <v>15401</v>
      </c>
      <c r="E8628" s="5" t="s">
        <v>44830</v>
      </c>
      <c r="F8628" s="5" t="s">
        <v>108</v>
      </c>
      <c r="G8628" s="5" t="s">
        <v>53925</v>
      </c>
      <c r="H8628" s="6" t="s">
        <v>53926</v>
      </c>
      <c r="K8628" s="5" t="s">
        <v>53915</v>
      </c>
    </row>
    <row r="8629">
      <c r="A8629" s="4">
        <v>45534.40929703704</v>
      </c>
      <c r="B8629" s="5" t="s">
        <v>34</v>
      </c>
      <c r="D8629" s="5" t="s">
        <v>580</v>
      </c>
      <c r="E8629" s="5" t="s">
        <v>53929</v>
      </c>
      <c r="F8629" s="5" t="s">
        <v>37</v>
      </c>
      <c r="G8629" s="5" t="s">
        <v>53930</v>
      </c>
      <c r="H8629" s="6" t="s">
        <v>53931</v>
      </c>
      <c r="K8629" s="5" t="s">
        <v>53915</v>
      </c>
    </row>
    <row r="8630">
      <c r="A8630" s="4">
        <v>45534.409307662034</v>
      </c>
      <c r="B8630" s="5" t="s">
        <v>34</v>
      </c>
      <c r="D8630" s="5" t="s">
        <v>9020</v>
      </c>
      <c r="E8630" s="5" t="s">
        <v>53934</v>
      </c>
      <c r="F8630" s="5" t="s">
        <v>212</v>
      </c>
      <c r="G8630" s="5" t="s">
        <v>53935</v>
      </c>
      <c r="H8630" s="6" t="s">
        <v>53936</v>
      </c>
      <c r="K8630" s="5" t="s">
        <v>53915</v>
      </c>
    </row>
    <row r="8631">
      <c r="A8631" s="4">
        <v>45534.409317858794</v>
      </c>
      <c r="B8631" s="5" t="s">
        <v>34</v>
      </c>
      <c r="D8631" s="5" t="s">
        <v>7858</v>
      </c>
      <c r="E8631" s="5" t="s">
        <v>53939</v>
      </c>
      <c r="F8631" s="5" t="s">
        <v>72</v>
      </c>
      <c r="G8631" s="5" t="s">
        <v>53940</v>
      </c>
      <c r="H8631" s="6" t="s">
        <v>53941</v>
      </c>
      <c r="K8631" s="5" t="s">
        <v>53915</v>
      </c>
    </row>
    <row r="8632">
      <c r="A8632" s="4">
        <v>45534.40934679398</v>
      </c>
      <c r="B8632" s="5" t="s">
        <v>34</v>
      </c>
      <c r="D8632" s="5" t="s">
        <v>11913</v>
      </c>
      <c r="E8632" s="5" t="s">
        <v>53944</v>
      </c>
      <c r="F8632" s="5" t="s">
        <v>524</v>
      </c>
      <c r="G8632" s="5" t="s">
        <v>53945</v>
      </c>
      <c r="H8632" s="6" t="s">
        <v>53946</v>
      </c>
      <c r="K8632" s="5" t="s">
        <v>53947</v>
      </c>
    </row>
    <row r="8633">
      <c r="A8633" s="4">
        <v>45534.409363391205</v>
      </c>
      <c r="B8633" s="5" t="s">
        <v>34</v>
      </c>
      <c r="D8633" s="5" t="s">
        <v>4775</v>
      </c>
      <c r="E8633" s="5" t="s">
        <v>53951</v>
      </c>
      <c r="F8633" s="5" t="s">
        <v>108</v>
      </c>
      <c r="G8633" s="5" t="s">
        <v>53952</v>
      </c>
      <c r="H8633" s="6" t="s">
        <v>53953</v>
      </c>
      <c r="K8633" s="5" t="s">
        <v>53947</v>
      </c>
    </row>
    <row r="8634">
      <c r="A8634" s="4">
        <v>45534.40938975694</v>
      </c>
      <c r="B8634" s="5" t="s">
        <v>34</v>
      </c>
      <c r="D8634" s="5" t="s">
        <v>701</v>
      </c>
      <c r="E8634" s="5" t="s">
        <v>53956</v>
      </c>
      <c r="F8634" s="5" t="s">
        <v>212</v>
      </c>
      <c r="G8634" s="5" t="s">
        <v>53957</v>
      </c>
      <c r="H8634" s="6" t="s">
        <v>53958</v>
      </c>
      <c r="K8634" s="5" t="s">
        <v>53947</v>
      </c>
    </row>
    <row r="8635">
      <c r="A8635" s="4">
        <v>45534.40948122685</v>
      </c>
      <c r="B8635" s="5" t="s">
        <v>34</v>
      </c>
      <c r="D8635" s="5" t="s">
        <v>4775</v>
      </c>
      <c r="E8635" s="5" t="s">
        <v>53961</v>
      </c>
      <c r="F8635" s="5" t="s">
        <v>37</v>
      </c>
      <c r="G8635" s="5" t="s">
        <v>53962</v>
      </c>
      <c r="H8635" s="6" t="s">
        <v>53963</v>
      </c>
      <c r="K8635" s="5" t="s">
        <v>53964</v>
      </c>
    </row>
    <row r="8636">
      <c r="A8636" s="4">
        <v>45534.40950076389</v>
      </c>
      <c r="B8636" s="5" t="s">
        <v>34</v>
      </c>
      <c r="D8636" s="5" t="s">
        <v>1206</v>
      </c>
      <c r="E8636" s="5" t="s">
        <v>53967</v>
      </c>
      <c r="F8636" s="5" t="s">
        <v>524</v>
      </c>
      <c r="G8636" s="5" t="s">
        <v>53968</v>
      </c>
      <c r="H8636" s="6" t="s">
        <v>53969</v>
      </c>
      <c r="K8636" s="5" t="s">
        <v>53964</v>
      </c>
    </row>
    <row r="8637">
      <c r="A8637" s="4">
        <v>45534.40952645833</v>
      </c>
      <c r="B8637" s="5" t="s">
        <v>34</v>
      </c>
      <c r="D8637" s="5" t="s">
        <v>1456</v>
      </c>
      <c r="E8637" s="5" t="s">
        <v>53972</v>
      </c>
      <c r="F8637" s="5" t="s">
        <v>212</v>
      </c>
      <c r="G8637" s="5" t="s">
        <v>53973</v>
      </c>
      <c r="H8637" s="6" t="s">
        <v>53974</v>
      </c>
      <c r="K8637" s="5" t="s">
        <v>53975</v>
      </c>
    </row>
    <row r="8638">
      <c r="A8638" s="4">
        <v>45534.40953376157</v>
      </c>
      <c r="B8638" s="5" t="s">
        <v>34</v>
      </c>
      <c r="D8638" s="5" t="s">
        <v>1206</v>
      </c>
      <c r="E8638" s="5" t="s">
        <v>21144</v>
      </c>
      <c r="F8638" s="5" t="s">
        <v>37</v>
      </c>
      <c r="G8638" s="5" t="s">
        <v>53978</v>
      </c>
      <c r="H8638" s="6" t="s">
        <v>53979</v>
      </c>
      <c r="K8638" s="5" t="s">
        <v>53975</v>
      </c>
    </row>
    <row r="8639">
      <c r="A8639" s="4">
        <v>45534.40953917824</v>
      </c>
      <c r="B8639" s="5" t="s">
        <v>19</v>
      </c>
      <c r="C8639" s="5" t="s">
        <v>292</v>
      </c>
      <c r="E8639" s="5" t="s">
        <v>53983</v>
      </c>
      <c r="F8639" s="5" t="s">
        <v>715</v>
      </c>
      <c r="G8639" s="5" t="s">
        <v>53984</v>
      </c>
      <c r="H8639" s="6" t="s">
        <v>53985</v>
      </c>
      <c r="K8639" s="5" t="s">
        <v>53975</v>
      </c>
    </row>
    <row r="8640">
      <c r="A8640" s="4">
        <v>45534.409667280095</v>
      </c>
      <c r="B8640" s="5" t="s">
        <v>34</v>
      </c>
      <c r="D8640" s="5" t="s">
        <v>1456</v>
      </c>
      <c r="E8640" s="5" t="s">
        <v>53988</v>
      </c>
      <c r="F8640" s="5" t="s">
        <v>37</v>
      </c>
      <c r="G8640" s="5" t="s">
        <v>53989</v>
      </c>
      <c r="H8640" s="6" t="s">
        <v>53990</v>
      </c>
      <c r="K8640" s="5" t="s">
        <v>53991</v>
      </c>
    </row>
    <row r="8641">
      <c r="A8641" s="4">
        <v>45534.40969215278</v>
      </c>
      <c r="B8641" s="5" t="s">
        <v>34</v>
      </c>
      <c r="D8641" s="5" t="s">
        <v>4775</v>
      </c>
      <c r="E8641" s="5" t="s">
        <v>53994</v>
      </c>
      <c r="F8641" s="5" t="s">
        <v>120</v>
      </c>
      <c r="G8641" s="5" t="s">
        <v>53995</v>
      </c>
      <c r="H8641" s="6" t="s">
        <v>53996</v>
      </c>
      <c r="K8641" s="5" t="s">
        <v>53991</v>
      </c>
    </row>
    <row r="8642">
      <c r="A8642" s="4">
        <v>45534.4097115162</v>
      </c>
      <c r="B8642" s="5" t="s">
        <v>34</v>
      </c>
      <c r="D8642" s="5" t="s">
        <v>4775</v>
      </c>
      <c r="E8642" s="5" t="s">
        <v>53999</v>
      </c>
      <c r="F8642" s="5" t="s">
        <v>37</v>
      </c>
      <c r="G8642" s="5" t="s">
        <v>54000</v>
      </c>
      <c r="H8642" s="6" t="s">
        <v>54001</v>
      </c>
      <c r="K8642" s="5" t="s">
        <v>53991</v>
      </c>
    </row>
    <row r="8643">
      <c r="A8643" s="4">
        <v>45534.4097140625</v>
      </c>
      <c r="B8643" s="5" t="s">
        <v>34</v>
      </c>
      <c r="D8643" s="5" t="s">
        <v>701</v>
      </c>
      <c r="E8643" s="5" t="s">
        <v>16453</v>
      </c>
      <c r="F8643" s="5" t="s">
        <v>72</v>
      </c>
      <c r="G8643" s="5" t="s">
        <v>54004</v>
      </c>
      <c r="H8643" s="6" t="s">
        <v>54005</v>
      </c>
      <c r="K8643" s="5" t="s">
        <v>53991</v>
      </c>
    </row>
    <row r="8644">
      <c r="A8644" s="4">
        <v>45534.409764502314</v>
      </c>
      <c r="B8644" s="5" t="s">
        <v>34</v>
      </c>
      <c r="D8644" s="5" t="s">
        <v>9020</v>
      </c>
      <c r="E8644" s="5" t="s">
        <v>54008</v>
      </c>
      <c r="F8644" s="5" t="s">
        <v>524</v>
      </c>
      <c r="G8644" s="5" t="s">
        <v>54009</v>
      </c>
      <c r="H8644" s="6" t="s">
        <v>54010</v>
      </c>
      <c r="K8644" s="5" t="s">
        <v>53991</v>
      </c>
    </row>
    <row r="8645">
      <c r="A8645" s="4">
        <v>45534.40977892361</v>
      </c>
      <c r="B8645" s="5" t="s">
        <v>19</v>
      </c>
      <c r="C8645" s="5" t="s">
        <v>14000</v>
      </c>
      <c r="E8645" s="5" t="s">
        <v>54014</v>
      </c>
      <c r="F8645" s="5" t="s">
        <v>37</v>
      </c>
      <c r="G8645" s="5" t="s">
        <v>54015</v>
      </c>
      <c r="H8645" s="6" t="s">
        <v>54016</v>
      </c>
      <c r="K8645" s="5" t="s">
        <v>53991</v>
      </c>
    </row>
    <row r="8646">
      <c r="A8646" s="4">
        <v>45534.409820879635</v>
      </c>
      <c r="B8646" s="5" t="s">
        <v>34</v>
      </c>
      <c r="D8646" s="5" t="s">
        <v>267</v>
      </c>
      <c r="E8646" s="5" t="s">
        <v>54019</v>
      </c>
      <c r="F8646" s="5" t="s">
        <v>120</v>
      </c>
      <c r="G8646" s="5" t="s">
        <v>54020</v>
      </c>
      <c r="H8646" s="6" t="s">
        <v>54021</v>
      </c>
      <c r="K8646" s="5" t="s">
        <v>53991</v>
      </c>
    </row>
    <row r="8647">
      <c r="A8647" s="4">
        <v>45534.4098237963</v>
      </c>
      <c r="B8647" s="5" t="s">
        <v>34</v>
      </c>
      <c r="D8647" s="5" t="s">
        <v>10444</v>
      </c>
      <c r="E8647" s="5" t="s">
        <v>53589</v>
      </c>
      <c r="F8647" s="5" t="s">
        <v>212</v>
      </c>
      <c r="G8647" s="5" t="s">
        <v>53590</v>
      </c>
      <c r="H8647" s="6" t="s">
        <v>54024</v>
      </c>
      <c r="K8647" s="5" t="s">
        <v>53991</v>
      </c>
    </row>
    <row r="8648">
      <c r="A8648" s="4">
        <v>45534.409826435185</v>
      </c>
      <c r="B8648" s="5" t="s">
        <v>19</v>
      </c>
      <c r="C8648" s="5" t="s">
        <v>292</v>
      </c>
      <c r="E8648" s="5" t="s">
        <v>54027</v>
      </c>
      <c r="F8648" s="5" t="s">
        <v>120</v>
      </c>
      <c r="G8648" s="5" t="s">
        <v>54028</v>
      </c>
      <c r="H8648" s="6" t="s">
        <v>54029</v>
      </c>
      <c r="K8648" s="5" t="s">
        <v>53991</v>
      </c>
    </row>
    <row r="8649">
      <c r="A8649" s="4">
        <v>45534.409842256944</v>
      </c>
      <c r="B8649" s="5" t="s">
        <v>19</v>
      </c>
      <c r="C8649" s="5" t="s">
        <v>5058</v>
      </c>
      <c r="E8649" s="5" t="s">
        <v>54032</v>
      </c>
      <c r="F8649" s="5" t="s">
        <v>72</v>
      </c>
      <c r="G8649" s="5" t="s">
        <v>54033</v>
      </c>
      <c r="H8649" s="6" t="s">
        <v>54034</v>
      </c>
      <c r="K8649" s="5" t="s">
        <v>54035</v>
      </c>
    </row>
    <row r="8650">
      <c r="A8650" s="4">
        <v>45534.409868125</v>
      </c>
      <c r="B8650" s="5" t="s">
        <v>34</v>
      </c>
      <c r="D8650" s="5" t="s">
        <v>280</v>
      </c>
      <c r="E8650" s="5" t="s">
        <v>54038</v>
      </c>
      <c r="F8650" s="5" t="s">
        <v>375</v>
      </c>
      <c r="G8650" s="5" t="s">
        <v>54039</v>
      </c>
      <c r="H8650" s="6" t="s">
        <v>54040</v>
      </c>
      <c r="K8650" s="5" t="s">
        <v>54035</v>
      </c>
    </row>
    <row r="8651">
      <c r="A8651" s="4">
        <v>45534.40987336806</v>
      </c>
      <c r="B8651" s="5" t="s">
        <v>34</v>
      </c>
      <c r="D8651" s="5" t="s">
        <v>1558</v>
      </c>
      <c r="E8651" s="5" t="s">
        <v>54044</v>
      </c>
      <c r="F8651" s="5" t="s">
        <v>524</v>
      </c>
      <c r="G8651" s="5" t="s">
        <v>54045</v>
      </c>
      <c r="H8651" s="6" t="s">
        <v>54046</v>
      </c>
      <c r="K8651" s="5" t="s">
        <v>54035</v>
      </c>
    </row>
    <row r="8652">
      <c r="A8652" s="4">
        <v>45534.40991207176</v>
      </c>
      <c r="B8652" s="5" t="s">
        <v>34</v>
      </c>
      <c r="D8652" s="5" t="s">
        <v>10297</v>
      </c>
      <c r="E8652" s="5" t="s">
        <v>54049</v>
      </c>
      <c r="F8652" s="5" t="s">
        <v>5566</v>
      </c>
      <c r="G8652" s="5" t="s">
        <v>54050</v>
      </c>
      <c r="H8652" s="6" t="s">
        <v>54051</v>
      </c>
      <c r="K8652" s="5" t="s">
        <v>54035</v>
      </c>
    </row>
    <row r="8653">
      <c r="A8653" s="4">
        <v>45534.40992168982</v>
      </c>
      <c r="B8653" s="5" t="s">
        <v>34</v>
      </c>
      <c r="D8653" s="5" t="s">
        <v>1456</v>
      </c>
      <c r="E8653" s="5" t="s">
        <v>54054</v>
      </c>
      <c r="F8653" s="5" t="s">
        <v>212</v>
      </c>
      <c r="G8653" s="5" t="s">
        <v>54055</v>
      </c>
      <c r="H8653" s="6" t="s">
        <v>54056</v>
      </c>
      <c r="K8653" s="5" t="s">
        <v>54035</v>
      </c>
    </row>
    <row r="8654">
      <c r="A8654" s="4">
        <v>45534.40992506944</v>
      </c>
      <c r="B8654" s="5" t="s">
        <v>34</v>
      </c>
      <c r="D8654" s="5" t="s">
        <v>4775</v>
      </c>
      <c r="E8654" s="5" t="s">
        <v>54059</v>
      </c>
      <c r="F8654" s="5" t="s">
        <v>375</v>
      </c>
      <c r="G8654" s="5" t="s">
        <v>54060</v>
      </c>
      <c r="H8654" s="6" t="s">
        <v>54061</v>
      </c>
      <c r="K8654" s="5" t="s">
        <v>54035</v>
      </c>
    </row>
    <row r="8655">
      <c r="A8655" s="4">
        <v>45534.40993872685</v>
      </c>
      <c r="B8655" s="5" t="s">
        <v>34</v>
      </c>
      <c r="D8655" s="5" t="s">
        <v>9020</v>
      </c>
      <c r="E8655" s="5" t="s">
        <v>54065</v>
      </c>
      <c r="F8655" s="5" t="s">
        <v>375</v>
      </c>
      <c r="G8655" s="5" t="s">
        <v>54066</v>
      </c>
      <c r="H8655" s="6" t="s">
        <v>54067</v>
      </c>
      <c r="K8655" s="5" t="s">
        <v>54035</v>
      </c>
    </row>
    <row r="8656">
      <c r="A8656" s="4">
        <v>45534.40995648148</v>
      </c>
      <c r="B8656" s="5" t="s">
        <v>34</v>
      </c>
      <c r="D8656" s="5" t="s">
        <v>580</v>
      </c>
      <c r="E8656" s="5" t="s">
        <v>54070</v>
      </c>
      <c r="F8656" s="5" t="s">
        <v>212</v>
      </c>
      <c r="G8656" s="5" t="s">
        <v>54071</v>
      </c>
      <c r="H8656" s="6" t="s">
        <v>54072</v>
      </c>
      <c r="K8656" s="5" t="s">
        <v>54035</v>
      </c>
    </row>
    <row r="8657">
      <c r="A8657" s="4">
        <v>45534.41006627315</v>
      </c>
      <c r="B8657" s="5" t="s">
        <v>34</v>
      </c>
      <c r="D8657" s="5" t="s">
        <v>1206</v>
      </c>
      <c r="E8657" s="5" t="s">
        <v>54075</v>
      </c>
      <c r="F8657" s="5" t="s">
        <v>212</v>
      </c>
      <c r="G8657" s="5" t="s">
        <v>54076</v>
      </c>
      <c r="H8657" s="6" t="s">
        <v>54077</v>
      </c>
      <c r="K8657" s="5" t="s">
        <v>54078</v>
      </c>
    </row>
    <row r="8658">
      <c r="A8658" s="4">
        <v>45534.410141643515</v>
      </c>
      <c r="B8658" s="5" t="s">
        <v>34</v>
      </c>
      <c r="D8658" s="5" t="s">
        <v>14313</v>
      </c>
      <c r="E8658" s="5" t="s">
        <v>54082</v>
      </c>
      <c r="F8658" s="5" t="s">
        <v>37</v>
      </c>
      <c r="G8658" s="5" t="s">
        <v>54083</v>
      </c>
      <c r="H8658" s="6" t="s">
        <v>54084</v>
      </c>
      <c r="K8658" s="5" t="s">
        <v>54085</v>
      </c>
    </row>
    <row r="8659">
      <c r="A8659" s="4">
        <v>45534.41014692129</v>
      </c>
      <c r="B8659" s="5" t="s">
        <v>19</v>
      </c>
      <c r="C8659" s="5" t="s">
        <v>292</v>
      </c>
      <c r="E8659" s="5" t="s">
        <v>54088</v>
      </c>
      <c r="F8659" s="5" t="s">
        <v>212</v>
      </c>
      <c r="G8659" s="5" t="s">
        <v>54089</v>
      </c>
      <c r="H8659" s="6" t="s">
        <v>54090</v>
      </c>
      <c r="K8659" s="5" t="s">
        <v>54091</v>
      </c>
    </row>
    <row r="8660">
      <c r="A8660" s="4">
        <v>45534.410222962964</v>
      </c>
      <c r="B8660" s="5" t="s">
        <v>34</v>
      </c>
      <c r="D8660" s="5" t="s">
        <v>267</v>
      </c>
      <c r="E8660" s="5" t="s">
        <v>54094</v>
      </c>
      <c r="F8660" s="5" t="s">
        <v>212</v>
      </c>
      <c r="G8660" s="5" t="s">
        <v>54095</v>
      </c>
      <c r="H8660" s="6" t="s">
        <v>54096</v>
      </c>
      <c r="K8660" s="5" t="s">
        <v>54097</v>
      </c>
    </row>
    <row r="8661">
      <c r="A8661" s="4">
        <v>45534.41028394676</v>
      </c>
      <c r="B8661" s="5" t="s">
        <v>34</v>
      </c>
      <c r="D8661" s="5" t="s">
        <v>522</v>
      </c>
      <c r="E8661" s="5" t="s">
        <v>54100</v>
      </c>
      <c r="F8661" s="5" t="s">
        <v>72</v>
      </c>
      <c r="G8661" s="5" t="s">
        <v>54101</v>
      </c>
      <c r="H8661" s="6" t="s">
        <v>54102</v>
      </c>
      <c r="K8661" s="5" t="s">
        <v>54103</v>
      </c>
    </row>
    <row r="8662">
      <c r="A8662" s="4">
        <v>45534.4102890625</v>
      </c>
      <c r="B8662" s="5" t="s">
        <v>34</v>
      </c>
      <c r="D8662" s="5" t="s">
        <v>1206</v>
      </c>
      <c r="E8662" s="5" t="s">
        <v>54107</v>
      </c>
      <c r="F8662" s="5" t="s">
        <v>37</v>
      </c>
      <c r="G8662" s="5" t="s">
        <v>54108</v>
      </c>
      <c r="H8662" s="6" t="s">
        <v>54109</v>
      </c>
      <c r="K8662" s="5" t="s">
        <v>54103</v>
      </c>
    </row>
    <row r="8663">
      <c r="A8663" s="4">
        <v>45534.41031228009</v>
      </c>
      <c r="B8663" s="5" t="s">
        <v>34</v>
      </c>
      <c r="D8663" s="5" t="s">
        <v>1206</v>
      </c>
      <c r="E8663" s="5" t="s">
        <v>19564</v>
      </c>
      <c r="F8663" s="5" t="s">
        <v>37</v>
      </c>
      <c r="G8663" s="5" t="s">
        <v>54112</v>
      </c>
      <c r="H8663" s="6" t="s">
        <v>54113</v>
      </c>
      <c r="K8663" s="5" t="s">
        <v>54103</v>
      </c>
    </row>
    <row r="8664">
      <c r="A8664" s="4">
        <v>45534.41033991898</v>
      </c>
      <c r="B8664" s="5" t="s">
        <v>34</v>
      </c>
      <c r="D8664" s="5" t="s">
        <v>701</v>
      </c>
      <c r="E8664" s="5" t="s">
        <v>54116</v>
      </c>
      <c r="F8664" s="5" t="s">
        <v>212</v>
      </c>
      <c r="G8664" s="5" t="s">
        <v>54117</v>
      </c>
      <c r="H8664" s="6" t="s">
        <v>54118</v>
      </c>
      <c r="K8664" s="5" t="s">
        <v>54119</v>
      </c>
    </row>
    <row r="8665">
      <c r="A8665" s="4">
        <v>45534.41046414352</v>
      </c>
      <c r="B8665" s="5" t="s">
        <v>34</v>
      </c>
      <c r="D8665" s="5" t="s">
        <v>701</v>
      </c>
      <c r="E8665" s="5" t="s">
        <v>54122</v>
      </c>
      <c r="F8665" s="5" t="s">
        <v>375</v>
      </c>
      <c r="G8665" s="5" t="s">
        <v>54123</v>
      </c>
      <c r="H8665" s="6" t="s">
        <v>54124</v>
      </c>
      <c r="K8665" s="5" t="s">
        <v>54125</v>
      </c>
    </row>
    <row r="8666">
      <c r="A8666" s="4">
        <v>45534.410458645834</v>
      </c>
      <c r="B8666" s="5" t="s">
        <v>34</v>
      </c>
      <c r="D8666" s="5" t="s">
        <v>522</v>
      </c>
      <c r="E8666" s="5" t="s">
        <v>54128</v>
      </c>
      <c r="F8666" s="5" t="s">
        <v>199</v>
      </c>
      <c r="G8666" s="5" t="s">
        <v>54129</v>
      </c>
      <c r="H8666" s="6" t="s">
        <v>54130</v>
      </c>
      <c r="K8666" s="5" t="s">
        <v>54125</v>
      </c>
    </row>
    <row r="8667">
      <c r="A8667" s="4">
        <v>45534.41050131945</v>
      </c>
      <c r="B8667" s="5" t="s">
        <v>34</v>
      </c>
      <c r="D8667" s="5" t="s">
        <v>280</v>
      </c>
      <c r="E8667" s="5" t="s">
        <v>54134</v>
      </c>
      <c r="F8667" s="5" t="s">
        <v>524</v>
      </c>
      <c r="G8667" s="5" t="s">
        <v>54135</v>
      </c>
      <c r="H8667" s="6" t="s">
        <v>54136</v>
      </c>
      <c r="K8667" s="5" t="s">
        <v>54137</v>
      </c>
    </row>
    <row r="8668">
      <c r="A8668" s="4">
        <v>45534.41051905093</v>
      </c>
      <c r="B8668" s="5" t="s">
        <v>34</v>
      </c>
      <c r="D8668" s="5" t="s">
        <v>1558</v>
      </c>
      <c r="E8668" s="5" t="s">
        <v>54140</v>
      </c>
      <c r="F8668" s="5" t="s">
        <v>108</v>
      </c>
      <c r="G8668" s="5" t="s">
        <v>54141</v>
      </c>
      <c r="H8668" s="6" t="s">
        <v>54142</v>
      </c>
      <c r="K8668" s="5" t="s">
        <v>54137</v>
      </c>
    </row>
    <row r="8669">
      <c r="A8669" s="4">
        <v>45534.41051969907</v>
      </c>
      <c r="B8669" s="5" t="s">
        <v>34</v>
      </c>
      <c r="D8669" s="5" t="s">
        <v>6232</v>
      </c>
      <c r="E8669" s="5" t="s">
        <v>54145</v>
      </c>
      <c r="F8669" s="5" t="s">
        <v>375</v>
      </c>
      <c r="G8669" s="5" t="s">
        <v>54146</v>
      </c>
      <c r="H8669" s="6" t="s">
        <v>54147</v>
      </c>
      <c r="K8669" s="5" t="s">
        <v>54137</v>
      </c>
    </row>
    <row r="8670">
      <c r="A8670" s="4">
        <v>45534.410520543985</v>
      </c>
      <c r="B8670" s="5" t="s">
        <v>34</v>
      </c>
      <c r="D8670" s="5" t="s">
        <v>1558</v>
      </c>
      <c r="E8670" s="5" t="s">
        <v>54150</v>
      </c>
      <c r="F8670" s="5" t="s">
        <v>212</v>
      </c>
      <c r="G8670" s="5" t="s">
        <v>54151</v>
      </c>
      <c r="H8670" s="6" t="s">
        <v>54152</v>
      </c>
      <c r="K8670" s="5" t="s">
        <v>54137</v>
      </c>
    </row>
    <row r="8671">
      <c r="A8671" s="4">
        <v>45534.4105778588</v>
      </c>
      <c r="B8671" s="5" t="s">
        <v>34</v>
      </c>
      <c r="D8671" s="5" t="s">
        <v>4775</v>
      </c>
      <c r="E8671" s="5" t="s">
        <v>54156</v>
      </c>
      <c r="F8671" s="5" t="s">
        <v>524</v>
      </c>
      <c r="G8671" s="5" t="s">
        <v>54157</v>
      </c>
      <c r="H8671" s="6" t="s">
        <v>54158</v>
      </c>
      <c r="K8671" s="5" t="s">
        <v>54159</v>
      </c>
    </row>
    <row r="8672">
      <c r="A8672" s="4">
        <v>45534.41060478009</v>
      </c>
      <c r="B8672" s="5" t="s">
        <v>34</v>
      </c>
      <c r="D8672" s="5" t="s">
        <v>6232</v>
      </c>
      <c r="E8672" s="5" t="s">
        <v>54162</v>
      </c>
      <c r="F8672" s="5" t="s">
        <v>120</v>
      </c>
      <c r="G8672" s="5" t="s">
        <v>54163</v>
      </c>
      <c r="H8672" s="6" t="s">
        <v>54164</v>
      </c>
      <c r="K8672" s="5" t="s">
        <v>54159</v>
      </c>
    </row>
    <row r="8673">
      <c r="A8673" s="4">
        <v>45534.41062119213</v>
      </c>
      <c r="B8673" s="5" t="s">
        <v>34</v>
      </c>
      <c r="D8673" s="5" t="s">
        <v>1206</v>
      </c>
      <c r="E8673" s="5" t="s">
        <v>54167</v>
      </c>
      <c r="F8673" s="5" t="s">
        <v>199</v>
      </c>
      <c r="G8673" s="5" t="s">
        <v>54168</v>
      </c>
      <c r="H8673" s="6" t="s">
        <v>54169</v>
      </c>
      <c r="K8673" s="5" t="s">
        <v>54170</v>
      </c>
    </row>
    <row r="8674">
      <c r="A8674" s="4">
        <v>45534.41072377315</v>
      </c>
      <c r="B8674" s="5" t="s">
        <v>34</v>
      </c>
      <c r="D8674" s="5" t="s">
        <v>1206</v>
      </c>
      <c r="E8674" s="5" t="s">
        <v>54173</v>
      </c>
      <c r="F8674" s="5" t="s">
        <v>37</v>
      </c>
      <c r="G8674" s="5" t="s">
        <v>54174</v>
      </c>
      <c r="H8674" s="6" t="s">
        <v>54175</v>
      </c>
      <c r="K8674" s="5" t="s">
        <v>54176</v>
      </c>
    </row>
    <row r="8675">
      <c r="A8675" s="4">
        <v>45534.41074077546</v>
      </c>
      <c r="B8675" s="5" t="s">
        <v>34</v>
      </c>
      <c r="D8675" s="5" t="s">
        <v>522</v>
      </c>
      <c r="E8675" s="5" t="s">
        <v>54180</v>
      </c>
      <c r="F8675" s="5" t="s">
        <v>37</v>
      </c>
      <c r="G8675" s="5" t="s">
        <v>54181</v>
      </c>
      <c r="H8675" s="6" t="s">
        <v>54182</v>
      </c>
      <c r="K8675" s="5" t="s">
        <v>54176</v>
      </c>
    </row>
    <row r="8676">
      <c r="A8676" s="4">
        <v>45534.41083729167</v>
      </c>
      <c r="B8676" s="5" t="s">
        <v>34</v>
      </c>
      <c r="D8676" s="5" t="s">
        <v>4775</v>
      </c>
      <c r="E8676" s="5" t="s">
        <v>54185</v>
      </c>
      <c r="F8676" s="5" t="s">
        <v>212</v>
      </c>
      <c r="G8676" s="5" t="s">
        <v>54186</v>
      </c>
      <c r="H8676" s="6" t="s">
        <v>54187</v>
      </c>
      <c r="K8676" s="5" t="s">
        <v>54188</v>
      </c>
    </row>
    <row r="8677">
      <c r="A8677" s="4">
        <v>45534.41088292824</v>
      </c>
      <c r="B8677" s="5" t="s">
        <v>19</v>
      </c>
      <c r="C8677" s="5" t="s">
        <v>3301</v>
      </c>
      <c r="E8677" s="5" t="s">
        <v>54192</v>
      </c>
      <c r="F8677" s="5" t="s">
        <v>37</v>
      </c>
      <c r="G8677" s="5" t="s">
        <v>54193</v>
      </c>
      <c r="H8677" s="6" t="s">
        <v>54194</v>
      </c>
      <c r="K8677" s="5" t="s">
        <v>54188</v>
      </c>
    </row>
    <row r="8678">
      <c r="A8678" s="4">
        <v>45534.410973935184</v>
      </c>
      <c r="B8678" s="5" t="s">
        <v>34</v>
      </c>
      <c r="D8678" s="5" t="s">
        <v>35</v>
      </c>
      <c r="E8678" s="5" t="s">
        <v>54197</v>
      </c>
      <c r="F8678" s="5" t="s">
        <v>72</v>
      </c>
      <c r="G8678" s="5" t="s">
        <v>54198</v>
      </c>
      <c r="H8678" s="6" t="s">
        <v>54199</v>
      </c>
      <c r="K8678" s="5" t="s">
        <v>54200</v>
      </c>
    </row>
    <row r="8679">
      <c r="A8679" s="4">
        <v>45534.410990000004</v>
      </c>
      <c r="B8679" s="5" t="s">
        <v>34</v>
      </c>
      <c r="D8679" s="5" t="s">
        <v>267</v>
      </c>
      <c r="E8679" s="5" t="s">
        <v>54203</v>
      </c>
      <c r="F8679" s="5" t="s">
        <v>72</v>
      </c>
      <c r="G8679" s="5" t="s">
        <v>54204</v>
      </c>
      <c r="H8679" s="6" t="s">
        <v>54205</v>
      </c>
      <c r="K8679" s="5" t="s">
        <v>54200</v>
      </c>
    </row>
    <row r="8680">
      <c r="A8680" s="4">
        <v>45534.4110549537</v>
      </c>
      <c r="B8680" s="5" t="s">
        <v>34</v>
      </c>
      <c r="D8680" s="5" t="s">
        <v>7858</v>
      </c>
      <c r="E8680" s="5" t="s">
        <v>54208</v>
      </c>
      <c r="F8680" s="5" t="s">
        <v>72</v>
      </c>
      <c r="G8680" s="5" t="s">
        <v>54209</v>
      </c>
      <c r="H8680" s="6" t="s">
        <v>54210</v>
      </c>
      <c r="K8680" s="5" t="s">
        <v>54211</v>
      </c>
    </row>
    <row r="8681">
      <c r="A8681" s="4">
        <v>45534.41114881945</v>
      </c>
      <c r="B8681" s="5" t="s">
        <v>34</v>
      </c>
      <c r="D8681" s="5" t="s">
        <v>522</v>
      </c>
      <c r="E8681" s="5" t="s">
        <v>54215</v>
      </c>
      <c r="F8681" s="5" t="s">
        <v>375</v>
      </c>
      <c r="G8681" s="5" t="s">
        <v>54216</v>
      </c>
      <c r="H8681" s="6" t="s">
        <v>54217</v>
      </c>
      <c r="K8681" s="5" t="s">
        <v>54218</v>
      </c>
    </row>
    <row r="8682">
      <c r="A8682" s="4">
        <v>45534.41119666667</v>
      </c>
      <c r="B8682" s="5" t="s">
        <v>34</v>
      </c>
      <c r="D8682" s="5" t="s">
        <v>9020</v>
      </c>
      <c r="E8682" s="5" t="s">
        <v>54221</v>
      </c>
      <c r="F8682" s="5" t="s">
        <v>375</v>
      </c>
      <c r="G8682" s="5" t="s">
        <v>14903</v>
      </c>
      <c r="H8682" s="6" t="s">
        <v>54222</v>
      </c>
      <c r="K8682" s="5" t="s">
        <v>54218</v>
      </c>
    </row>
    <row r="8683">
      <c r="A8683" s="4">
        <v>45534.41121556713</v>
      </c>
      <c r="B8683" s="5" t="s">
        <v>34</v>
      </c>
      <c r="D8683" s="5" t="s">
        <v>2903</v>
      </c>
      <c r="E8683" s="5" t="s">
        <v>54225</v>
      </c>
      <c r="F8683" s="5" t="s">
        <v>199</v>
      </c>
      <c r="G8683" s="5" t="s">
        <v>54226</v>
      </c>
      <c r="H8683" s="6" t="s">
        <v>54227</v>
      </c>
      <c r="K8683" s="5" t="s">
        <v>54218</v>
      </c>
    </row>
    <row r="8684">
      <c r="A8684" s="4">
        <v>45534.41124292824</v>
      </c>
      <c r="B8684" s="5" t="s">
        <v>34</v>
      </c>
      <c r="D8684" s="5" t="s">
        <v>1206</v>
      </c>
      <c r="E8684" s="5" t="s">
        <v>34359</v>
      </c>
      <c r="F8684" s="5" t="s">
        <v>37</v>
      </c>
      <c r="G8684" s="5" t="s">
        <v>54231</v>
      </c>
      <c r="H8684" s="6" t="s">
        <v>54232</v>
      </c>
      <c r="K8684" s="5" t="s">
        <v>54233</v>
      </c>
    </row>
    <row r="8685">
      <c r="A8685" s="4">
        <v>45534.41125986111</v>
      </c>
      <c r="B8685" s="5" t="s">
        <v>19</v>
      </c>
      <c r="C8685" s="5" t="s">
        <v>45988</v>
      </c>
      <c r="E8685" s="5" t="s">
        <v>54236</v>
      </c>
      <c r="F8685" s="5" t="s">
        <v>108</v>
      </c>
      <c r="G8685" s="5" t="s">
        <v>54237</v>
      </c>
      <c r="H8685" s="6" t="s">
        <v>54238</v>
      </c>
      <c r="K8685" s="5" t="s">
        <v>54233</v>
      </c>
    </row>
    <row r="8686">
      <c r="A8686" s="4">
        <v>45534.411570625</v>
      </c>
      <c r="B8686" s="5" t="s">
        <v>34</v>
      </c>
      <c r="D8686" s="5" t="s">
        <v>9020</v>
      </c>
      <c r="E8686" s="5" t="s">
        <v>54241</v>
      </c>
      <c r="F8686" s="5" t="s">
        <v>375</v>
      </c>
      <c r="G8686" s="5" t="s">
        <v>54242</v>
      </c>
      <c r="H8686" s="6" t="s">
        <v>54243</v>
      </c>
      <c r="K8686" s="5" t="s">
        <v>54244</v>
      </c>
    </row>
    <row r="8687">
      <c r="A8687" s="4">
        <v>45534.41159265046</v>
      </c>
      <c r="B8687" s="5" t="s">
        <v>34</v>
      </c>
      <c r="D8687" s="5" t="s">
        <v>11913</v>
      </c>
      <c r="E8687" s="5" t="s">
        <v>54248</v>
      </c>
      <c r="F8687" s="5" t="s">
        <v>37</v>
      </c>
      <c r="G8687" s="5" t="s">
        <v>54249</v>
      </c>
      <c r="H8687" s="6" t="s">
        <v>54250</v>
      </c>
      <c r="K8687" s="5" t="s">
        <v>54244</v>
      </c>
    </row>
    <row r="8688">
      <c r="A8688" s="4">
        <v>45534.41164199074</v>
      </c>
      <c r="B8688" s="5" t="s">
        <v>34</v>
      </c>
      <c r="D8688" s="5" t="s">
        <v>522</v>
      </c>
      <c r="E8688" s="5" t="s">
        <v>54253</v>
      </c>
      <c r="F8688" s="5" t="s">
        <v>212</v>
      </c>
      <c r="G8688" s="5" t="s">
        <v>54254</v>
      </c>
      <c r="H8688" s="6" t="s">
        <v>54255</v>
      </c>
      <c r="K8688" s="5" t="s">
        <v>54256</v>
      </c>
    </row>
    <row r="8689">
      <c r="A8689" s="4">
        <v>45534.41167594907</v>
      </c>
      <c r="B8689" s="5" t="s">
        <v>34</v>
      </c>
      <c r="D8689" s="5" t="s">
        <v>522</v>
      </c>
      <c r="E8689" s="5" t="s">
        <v>54259</v>
      </c>
      <c r="F8689" s="5" t="s">
        <v>108</v>
      </c>
      <c r="G8689" s="5" t="s">
        <v>54260</v>
      </c>
      <c r="H8689" s="6" t="s">
        <v>54261</v>
      </c>
      <c r="K8689" s="5" t="s">
        <v>54256</v>
      </c>
    </row>
    <row r="8690">
      <c r="A8690" s="4">
        <v>45534.41168002315</v>
      </c>
      <c r="B8690" s="5" t="s">
        <v>34</v>
      </c>
      <c r="D8690" s="5" t="s">
        <v>9020</v>
      </c>
      <c r="E8690" s="5" t="s">
        <v>54264</v>
      </c>
      <c r="F8690" s="5" t="s">
        <v>108</v>
      </c>
      <c r="G8690" s="5" t="s">
        <v>54265</v>
      </c>
      <c r="H8690" s="6" t="s">
        <v>54266</v>
      </c>
      <c r="K8690" s="5" t="s">
        <v>54267</v>
      </c>
    </row>
    <row r="8691">
      <c r="A8691" s="4">
        <v>45534.41168631944</v>
      </c>
      <c r="B8691" s="5" t="s">
        <v>34</v>
      </c>
      <c r="D8691" s="5" t="s">
        <v>522</v>
      </c>
      <c r="E8691" s="5" t="s">
        <v>54271</v>
      </c>
      <c r="F8691" s="5" t="s">
        <v>37</v>
      </c>
      <c r="G8691" s="5" t="s">
        <v>54272</v>
      </c>
      <c r="H8691" s="6" t="s">
        <v>54273</v>
      </c>
      <c r="K8691" s="5" t="s">
        <v>54267</v>
      </c>
    </row>
    <row r="8692">
      <c r="A8692" s="4">
        <v>45534.41178811343</v>
      </c>
      <c r="B8692" s="5" t="s">
        <v>34</v>
      </c>
      <c r="D8692" s="5" t="s">
        <v>4775</v>
      </c>
      <c r="E8692" s="5" t="s">
        <v>38554</v>
      </c>
      <c r="F8692" s="5" t="s">
        <v>212</v>
      </c>
      <c r="G8692" s="5" t="s">
        <v>54276</v>
      </c>
      <c r="H8692" s="6" t="s">
        <v>54277</v>
      </c>
      <c r="K8692" s="5" t="s">
        <v>54278</v>
      </c>
    </row>
    <row r="8693">
      <c r="A8693" s="4">
        <v>45534.411793402774</v>
      </c>
      <c r="B8693" s="5" t="s">
        <v>34</v>
      </c>
      <c r="D8693" s="5" t="s">
        <v>267</v>
      </c>
      <c r="E8693" s="5" t="s">
        <v>54281</v>
      </c>
      <c r="F8693" s="5" t="s">
        <v>108</v>
      </c>
      <c r="G8693" s="5" t="s">
        <v>54282</v>
      </c>
      <c r="H8693" s="6" t="s">
        <v>54283</v>
      </c>
      <c r="K8693" s="5" t="s">
        <v>54278</v>
      </c>
    </row>
    <row r="8694">
      <c r="A8694" s="4">
        <v>45534.41180644676</v>
      </c>
      <c r="B8694" s="5" t="s">
        <v>19</v>
      </c>
      <c r="C8694" s="5" t="s">
        <v>292</v>
      </c>
      <c r="E8694" s="5" t="s">
        <v>54287</v>
      </c>
      <c r="F8694" s="5" t="s">
        <v>524</v>
      </c>
      <c r="G8694" s="5" t="s">
        <v>54288</v>
      </c>
      <c r="H8694" s="6" t="s">
        <v>54289</v>
      </c>
      <c r="K8694" s="5" t="s">
        <v>54278</v>
      </c>
    </row>
    <row r="8695">
      <c r="A8695" s="4">
        <v>45534.4118409375</v>
      </c>
      <c r="B8695" s="5" t="s">
        <v>34</v>
      </c>
      <c r="D8695" s="5" t="s">
        <v>7858</v>
      </c>
      <c r="E8695" s="5" t="s">
        <v>54293</v>
      </c>
      <c r="F8695" s="5" t="s">
        <v>37</v>
      </c>
      <c r="G8695" s="5" t="s">
        <v>54294</v>
      </c>
      <c r="H8695" s="6" t="s">
        <v>54295</v>
      </c>
      <c r="K8695" s="5" t="s">
        <v>54296</v>
      </c>
    </row>
    <row r="8696">
      <c r="A8696" s="4">
        <v>45534.41192560185</v>
      </c>
      <c r="B8696" s="5" t="s">
        <v>19</v>
      </c>
      <c r="C8696" s="5" t="s">
        <v>32901</v>
      </c>
      <c r="E8696" s="5" t="s">
        <v>54299</v>
      </c>
      <c r="F8696" s="5" t="s">
        <v>120</v>
      </c>
      <c r="G8696" s="5" t="s">
        <v>54300</v>
      </c>
      <c r="H8696" s="6" t="s">
        <v>54301</v>
      </c>
      <c r="K8696" s="5" t="s">
        <v>54302</v>
      </c>
    </row>
    <row r="8697">
      <c r="A8697" s="4">
        <v>45534.411989409724</v>
      </c>
      <c r="B8697" s="5" t="s">
        <v>34</v>
      </c>
      <c r="D8697" s="5" t="s">
        <v>1206</v>
      </c>
      <c r="E8697" s="5" t="s">
        <v>54305</v>
      </c>
      <c r="F8697" s="5" t="s">
        <v>72</v>
      </c>
      <c r="G8697" s="5" t="s">
        <v>54306</v>
      </c>
      <c r="H8697" s="6" t="s">
        <v>54307</v>
      </c>
      <c r="K8697" s="5" t="s">
        <v>54302</v>
      </c>
    </row>
    <row r="8698">
      <c r="A8698" s="4">
        <v>45534.41202163194</v>
      </c>
      <c r="B8698" s="5" t="s">
        <v>34</v>
      </c>
      <c r="D8698" s="5" t="s">
        <v>604</v>
      </c>
      <c r="E8698" s="5" t="s">
        <v>54310</v>
      </c>
      <c r="F8698" s="5" t="s">
        <v>524</v>
      </c>
      <c r="G8698" s="5" t="s">
        <v>54311</v>
      </c>
      <c r="H8698" s="6" t="s">
        <v>54312</v>
      </c>
      <c r="K8698" s="5" t="s">
        <v>54313</v>
      </c>
    </row>
    <row r="8699">
      <c r="A8699" s="4">
        <v>45534.41203547454</v>
      </c>
      <c r="B8699" s="5" t="s">
        <v>19</v>
      </c>
      <c r="C8699" s="5" t="s">
        <v>45988</v>
      </c>
      <c r="E8699" s="5" t="s">
        <v>54317</v>
      </c>
      <c r="F8699" s="5" t="s">
        <v>108</v>
      </c>
      <c r="G8699" s="5" t="s">
        <v>54318</v>
      </c>
      <c r="H8699" s="6" t="s">
        <v>54319</v>
      </c>
      <c r="K8699" s="5" t="s">
        <v>54313</v>
      </c>
    </row>
    <row r="8700">
      <c r="A8700" s="4">
        <v>45534.4120809375</v>
      </c>
      <c r="B8700" s="5" t="s">
        <v>34</v>
      </c>
      <c r="D8700" s="5" t="s">
        <v>701</v>
      </c>
      <c r="E8700" s="5" t="s">
        <v>54322</v>
      </c>
      <c r="F8700" s="5" t="s">
        <v>37</v>
      </c>
      <c r="G8700" s="5" t="s">
        <v>54323</v>
      </c>
      <c r="H8700" s="6" t="s">
        <v>54324</v>
      </c>
      <c r="K8700" s="5" t="s">
        <v>54313</v>
      </c>
    </row>
    <row r="8701">
      <c r="A8701" s="4">
        <v>45534.412205960645</v>
      </c>
      <c r="B8701" s="5" t="s">
        <v>19</v>
      </c>
      <c r="C8701" s="5" t="s">
        <v>38343</v>
      </c>
      <c r="E8701" s="5" t="s">
        <v>54327</v>
      </c>
      <c r="F8701" s="5" t="s">
        <v>375</v>
      </c>
      <c r="G8701" s="5" t="s">
        <v>54328</v>
      </c>
      <c r="H8701" s="6" t="s">
        <v>54329</v>
      </c>
      <c r="K8701" s="5" t="s">
        <v>54330</v>
      </c>
    </row>
    <row r="8702">
      <c r="A8702" s="4">
        <v>45534.41221267361</v>
      </c>
      <c r="B8702" s="5" t="s">
        <v>34</v>
      </c>
      <c r="D8702" s="5" t="s">
        <v>701</v>
      </c>
      <c r="E8702" s="5" t="s">
        <v>54333</v>
      </c>
      <c r="F8702" s="5" t="s">
        <v>524</v>
      </c>
      <c r="G8702" s="5" t="s">
        <v>54334</v>
      </c>
      <c r="H8702" s="6" t="s">
        <v>54335</v>
      </c>
      <c r="K8702" s="5" t="s">
        <v>54330</v>
      </c>
    </row>
    <row r="8703">
      <c r="A8703" s="4">
        <v>45534.41228059027</v>
      </c>
      <c r="B8703" s="5" t="s">
        <v>34</v>
      </c>
      <c r="D8703" s="5" t="s">
        <v>3849</v>
      </c>
      <c r="E8703" s="5" t="s">
        <v>54338</v>
      </c>
      <c r="F8703" s="5" t="s">
        <v>37</v>
      </c>
      <c r="G8703" s="5" t="s">
        <v>54339</v>
      </c>
      <c r="H8703" s="6" t="s">
        <v>54340</v>
      </c>
      <c r="K8703" s="5" t="s">
        <v>54341</v>
      </c>
    </row>
    <row r="8704">
      <c r="A8704" s="4">
        <v>45534.41231332176</v>
      </c>
      <c r="B8704" s="5" t="s">
        <v>34</v>
      </c>
      <c r="D8704" s="5" t="s">
        <v>522</v>
      </c>
      <c r="E8704" s="5" t="s">
        <v>54344</v>
      </c>
      <c r="F8704" s="5" t="s">
        <v>108</v>
      </c>
      <c r="G8704" s="5" t="s">
        <v>54345</v>
      </c>
      <c r="H8704" s="6" t="s">
        <v>54346</v>
      </c>
      <c r="K8704" s="5" t="s">
        <v>54347</v>
      </c>
    </row>
    <row r="8705">
      <c r="A8705" s="4">
        <v>45534.412423263886</v>
      </c>
      <c r="B8705" s="5" t="s">
        <v>34</v>
      </c>
      <c r="D8705" s="5" t="s">
        <v>975</v>
      </c>
      <c r="E8705" s="5" t="s">
        <v>54350</v>
      </c>
      <c r="F8705" s="5" t="s">
        <v>199</v>
      </c>
      <c r="G8705" s="5" t="s">
        <v>54351</v>
      </c>
      <c r="H8705" s="6" t="s">
        <v>54352</v>
      </c>
      <c r="K8705" s="5" t="s">
        <v>54353</v>
      </c>
    </row>
    <row r="8706">
      <c r="A8706" s="4">
        <v>45534.41244155093</v>
      </c>
      <c r="B8706" s="5" t="s">
        <v>34</v>
      </c>
      <c r="D8706" s="5" t="s">
        <v>1206</v>
      </c>
      <c r="E8706" s="5" t="s">
        <v>54356</v>
      </c>
      <c r="F8706" s="5" t="s">
        <v>37</v>
      </c>
      <c r="G8706" s="5" t="s">
        <v>54357</v>
      </c>
      <c r="H8706" s="6" t="s">
        <v>54358</v>
      </c>
      <c r="K8706" s="5" t="s">
        <v>54359</v>
      </c>
    </row>
    <row r="8707">
      <c r="A8707" s="4">
        <v>45534.412504293985</v>
      </c>
      <c r="B8707" s="5" t="s">
        <v>34</v>
      </c>
      <c r="D8707" s="5" t="s">
        <v>580</v>
      </c>
      <c r="E8707" s="5" t="s">
        <v>54362</v>
      </c>
      <c r="F8707" s="5" t="s">
        <v>120</v>
      </c>
      <c r="G8707" s="5" t="s">
        <v>54363</v>
      </c>
      <c r="H8707" s="6" t="s">
        <v>54364</v>
      </c>
      <c r="K8707" s="5" t="s">
        <v>54365</v>
      </c>
    </row>
    <row r="8708">
      <c r="A8708" s="4">
        <v>45534.41254546297</v>
      </c>
      <c r="B8708" s="5" t="s">
        <v>34</v>
      </c>
      <c r="D8708" s="5" t="s">
        <v>6232</v>
      </c>
      <c r="E8708" s="5" t="s">
        <v>31130</v>
      </c>
      <c r="F8708" s="5" t="s">
        <v>37</v>
      </c>
      <c r="G8708" s="5" t="s">
        <v>54368</v>
      </c>
      <c r="H8708" s="6" t="s">
        <v>54369</v>
      </c>
      <c r="K8708" s="5" t="s">
        <v>54370</v>
      </c>
    </row>
    <row r="8709">
      <c r="A8709" s="4">
        <v>45534.41269114583</v>
      </c>
      <c r="B8709" s="5" t="s">
        <v>34</v>
      </c>
      <c r="D8709" s="5" t="s">
        <v>35</v>
      </c>
      <c r="E8709" s="5" t="s">
        <v>54373</v>
      </c>
      <c r="F8709" s="5" t="s">
        <v>108</v>
      </c>
      <c r="G8709" s="5" t="s">
        <v>54374</v>
      </c>
      <c r="H8709" s="6" t="s">
        <v>54375</v>
      </c>
      <c r="K8709" s="5" t="s">
        <v>54376</v>
      </c>
    </row>
    <row r="8710">
      <c r="A8710" s="4">
        <v>45534.41269456019</v>
      </c>
      <c r="B8710" s="5" t="s">
        <v>34</v>
      </c>
      <c r="D8710" s="5" t="s">
        <v>1558</v>
      </c>
      <c r="E8710" s="5" t="s">
        <v>54379</v>
      </c>
      <c r="F8710" s="5" t="s">
        <v>120</v>
      </c>
      <c r="G8710" s="5" t="s">
        <v>54380</v>
      </c>
      <c r="H8710" s="6" t="s">
        <v>54381</v>
      </c>
      <c r="K8710" s="5" t="s">
        <v>54376</v>
      </c>
    </row>
    <row r="8711">
      <c r="A8711" s="4">
        <v>45534.412700671295</v>
      </c>
      <c r="B8711" s="5" t="s">
        <v>34</v>
      </c>
      <c r="D8711" s="5" t="s">
        <v>280</v>
      </c>
      <c r="E8711" s="5" t="s">
        <v>54384</v>
      </c>
      <c r="F8711" s="5" t="s">
        <v>375</v>
      </c>
      <c r="G8711" s="5" t="s">
        <v>54385</v>
      </c>
      <c r="H8711" s="6" t="s">
        <v>54386</v>
      </c>
      <c r="K8711" s="5" t="s">
        <v>54376</v>
      </c>
    </row>
    <row r="8712">
      <c r="A8712" s="4">
        <v>45534.41277621528</v>
      </c>
      <c r="B8712" s="5" t="s">
        <v>34</v>
      </c>
      <c r="D8712" s="5" t="s">
        <v>1692</v>
      </c>
      <c r="E8712" s="5" t="s">
        <v>54389</v>
      </c>
      <c r="F8712" s="5" t="s">
        <v>37</v>
      </c>
      <c r="G8712" s="5" t="s">
        <v>54390</v>
      </c>
      <c r="H8712" s="6" t="s">
        <v>54391</v>
      </c>
      <c r="K8712" s="5" t="s">
        <v>54392</v>
      </c>
    </row>
    <row r="8713">
      <c r="A8713" s="4">
        <v>45534.41279052083</v>
      </c>
      <c r="B8713" s="5" t="s">
        <v>34</v>
      </c>
      <c r="D8713" s="5" t="s">
        <v>4775</v>
      </c>
      <c r="E8713" s="5" t="s">
        <v>54395</v>
      </c>
      <c r="F8713" s="5" t="s">
        <v>72</v>
      </c>
      <c r="G8713" s="5" t="s">
        <v>54396</v>
      </c>
      <c r="H8713" s="6" t="s">
        <v>54397</v>
      </c>
      <c r="K8713" s="5" t="s">
        <v>54398</v>
      </c>
    </row>
    <row r="8714">
      <c r="A8714" s="4">
        <v>45534.41291539352</v>
      </c>
      <c r="B8714" s="5" t="s">
        <v>34</v>
      </c>
      <c r="D8714" s="5" t="s">
        <v>1206</v>
      </c>
      <c r="E8714" s="5" t="s">
        <v>54402</v>
      </c>
      <c r="F8714" s="5" t="s">
        <v>72</v>
      </c>
      <c r="G8714" s="5" t="s">
        <v>54403</v>
      </c>
      <c r="H8714" s="6" t="s">
        <v>54404</v>
      </c>
      <c r="K8714" s="5" t="s">
        <v>54405</v>
      </c>
    </row>
    <row r="8715">
      <c r="A8715" s="4">
        <v>45534.41299524305</v>
      </c>
      <c r="B8715" s="5" t="s">
        <v>34</v>
      </c>
      <c r="D8715" s="5" t="s">
        <v>1206</v>
      </c>
      <c r="E8715" s="5" t="s">
        <v>54408</v>
      </c>
      <c r="F8715" s="5" t="s">
        <v>375</v>
      </c>
      <c r="G8715" s="5" t="s">
        <v>54409</v>
      </c>
      <c r="H8715" s="6" t="s">
        <v>54410</v>
      </c>
      <c r="K8715" s="5" t="s">
        <v>54411</v>
      </c>
    </row>
    <row r="8716">
      <c r="A8716" s="4">
        <v>45534.413007152776</v>
      </c>
      <c r="B8716" s="5" t="s">
        <v>19</v>
      </c>
      <c r="C8716" s="5" t="s">
        <v>45988</v>
      </c>
      <c r="E8716" s="5" t="s">
        <v>54414</v>
      </c>
      <c r="F8716" s="5" t="s">
        <v>524</v>
      </c>
      <c r="G8716" s="5" t="s">
        <v>54415</v>
      </c>
      <c r="H8716" s="6" t="s">
        <v>54416</v>
      </c>
      <c r="K8716" s="5" t="s">
        <v>54417</v>
      </c>
    </row>
    <row r="8717">
      <c r="A8717" s="4">
        <v>45534.41302983796</v>
      </c>
      <c r="B8717" s="5" t="s">
        <v>34</v>
      </c>
      <c r="D8717" s="5" t="s">
        <v>1206</v>
      </c>
      <c r="E8717" s="5" t="s">
        <v>54420</v>
      </c>
      <c r="F8717" s="5" t="s">
        <v>212</v>
      </c>
      <c r="G8717" s="5" t="s">
        <v>54421</v>
      </c>
      <c r="H8717" s="6" t="s">
        <v>54422</v>
      </c>
      <c r="K8717" s="5" t="s">
        <v>54423</v>
      </c>
    </row>
    <row r="8718">
      <c r="A8718" s="4">
        <v>45534.413046863425</v>
      </c>
      <c r="B8718" s="5" t="s">
        <v>34</v>
      </c>
      <c r="D8718" s="5" t="s">
        <v>15401</v>
      </c>
      <c r="E8718" s="5" t="s">
        <v>54426</v>
      </c>
      <c r="F8718" s="5" t="s">
        <v>37</v>
      </c>
      <c r="G8718" s="5" t="s">
        <v>54427</v>
      </c>
      <c r="H8718" s="6" t="s">
        <v>54428</v>
      </c>
      <c r="K8718" s="5" t="s">
        <v>54423</v>
      </c>
    </row>
    <row r="8719">
      <c r="A8719" s="4">
        <v>45534.41306651621</v>
      </c>
      <c r="B8719" s="5" t="s">
        <v>19</v>
      </c>
      <c r="C8719" s="5" t="s">
        <v>38343</v>
      </c>
      <c r="E8719" s="5" t="s">
        <v>54432</v>
      </c>
      <c r="F8719" s="5" t="s">
        <v>72</v>
      </c>
      <c r="G8719" s="5" t="s">
        <v>54433</v>
      </c>
      <c r="H8719" s="6" t="s">
        <v>54434</v>
      </c>
      <c r="K8719" s="5" t="s">
        <v>54435</v>
      </c>
    </row>
    <row r="8720">
      <c r="A8720" s="4">
        <v>45534.413084432876</v>
      </c>
      <c r="B8720" s="5" t="s">
        <v>34</v>
      </c>
      <c r="D8720" s="5" t="s">
        <v>9020</v>
      </c>
      <c r="E8720" s="5" t="s">
        <v>35474</v>
      </c>
      <c r="F8720" s="5" t="s">
        <v>22</v>
      </c>
      <c r="G8720" s="5" t="s">
        <v>35475</v>
      </c>
      <c r="H8720" s="6" t="s">
        <v>54438</v>
      </c>
      <c r="K8720" s="5" t="s">
        <v>54439</v>
      </c>
    </row>
    <row r="8721">
      <c r="A8721" s="4">
        <v>45534.4131278125</v>
      </c>
      <c r="B8721" s="5" t="s">
        <v>34</v>
      </c>
      <c r="D8721" s="5" t="s">
        <v>15401</v>
      </c>
      <c r="E8721" s="5" t="s">
        <v>54442</v>
      </c>
      <c r="F8721" s="5" t="s">
        <v>524</v>
      </c>
      <c r="G8721" s="5" t="s">
        <v>54443</v>
      </c>
      <c r="H8721" s="6" t="s">
        <v>54444</v>
      </c>
      <c r="K8721" s="5" t="s">
        <v>54445</v>
      </c>
    </row>
    <row r="8722">
      <c r="A8722" s="4">
        <v>45534.41325429398</v>
      </c>
      <c r="B8722" s="5" t="s">
        <v>34</v>
      </c>
      <c r="D8722" s="5" t="s">
        <v>4775</v>
      </c>
      <c r="E8722" s="5" t="s">
        <v>54448</v>
      </c>
      <c r="F8722" s="5" t="s">
        <v>37</v>
      </c>
      <c r="G8722" s="5" t="s">
        <v>54449</v>
      </c>
      <c r="H8722" s="6" t="s">
        <v>54450</v>
      </c>
      <c r="K8722" s="5" t="s">
        <v>54451</v>
      </c>
    </row>
    <row r="8723">
      <c r="A8723" s="4">
        <v>45534.41326811342</v>
      </c>
      <c r="B8723" s="5" t="s">
        <v>34</v>
      </c>
      <c r="D8723" s="5" t="s">
        <v>2903</v>
      </c>
      <c r="E8723" s="5" t="s">
        <v>54454</v>
      </c>
      <c r="F8723" s="5" t="s">
        <v>375</v>
      </c>
      <c r="G8723" s="5" t="s">
        <v>54455</v>
      </c>
      <c r="H8723" s="6" t="s">
        <v>54456</v>
      </c>
      <c r="K8723" s="5" t="s">
        <v>54451</v>
      </c>
    </row>
    <row r="8724">
      <c r="A8724" s="4">
        <v>45534.41330263889</v>
      </c>
      <c r="B8724" s="5" t="s">
        <v>34</v>
      </c>
      <c r="D8724" s="5" t="s">
        <v>267</v>
      </c>
      <c r="E8724" s="5" t="s">
        <v>54459</v>
      </c>
      <c r="F8724" s="5" t="s">
        <v>212</v>
      </c>
      <c r="G8724" s="5" t="s">
        <v>54460</v>
      </c>
      <c r="H8724" s="6" t="s">
        <v>54461</v>
      </c>
      <c r="K8724" s="5" t="s">
        <v>54451</v>
      </c>
    </row>
    <row r="8725">
      <c r="A8725" s="4">
        <v>45534.41331934028</v>
      </c>
      <c r="B8725" s="5" t="s">
        <v>34</v>
      </c>
      <c r="D8725" s="5" t="s">
        <v>9020</v>
      </c>
      <c r="E8725" s="5" t="s">
        <v>54464</v>
      </c>
      <c r="F8725" s="5" t="s">
        <v>212</v>
      </c>
      <c r="G8725" s="5" t="s">
        <v>54465</v>
      </c>
      <c r="H8725" s="6" t="s">
        <v>54466</v>
      </c>
      <c r="K8725" s="5" t="s">
        <v>54451</v>
      </c>
    </row>
    <row r="8726">
      <c r="A8726" s="4">
        <v>45534.41334215278</v>
      </c>
      <c r="B8726" s="5" t="s">
        <v>34</v>
      </c>
      <c r="D8726" s="5" t="s">
        <v>1456</v>
      </c>
      <c r="E8726" s="5" t="s">
        <v>54469</v>
      </c>
      <c r="F8726" s="5" t="s">
        <v>37</v>
      </c>
      <c r="G8726" s="5" t="s">
        <v>54470</v>
      </c>
      <c r="H8726" s="6" t="s">
        <v>54471</v>
      </c>
      <c r="K8726" s="5" t="s">
        <v>54451</v>
      </c>
    </row>
    <row r="8727">
      <c r="A8727" s="4">
        <v>45534.41348083333</v>
      </c>
      <c r="B8727" s="5" t="s">
        <v>34</v>
      </c>
      <c r="D8727" s="5" t="s">
        <v>701</v>
      </c>
      <c r="E8727" s="5" t="s">
        <v>54475</v>
      </c>
      <c r="F8727" s="5" t="s">
        <v>108</v>
      </c>
      <c r="G8727" s="5" t="s">
        <v>54476</v>
      </c>
      <c r="H8727" s="6" t="s">
        <v>54477</v>
      </c>
      <c r="K8727" s="5" t="s">
        <v>54451</v>
      </c>
    </row>
    <row r="8728">
      <c r="A8728" s="4">
        <v>45534.41357311343</v>
      </c>
      <c r="B8728" s="5" t="s">
        <v>19</v>
      </c>
      <c r="C8728" s="5" t="s">
        <v>292</v>
      </c>
      <c r="E8728" s="5" t="s">
        <v>54480</v>
      </c>
      <c r="F8728" s="5" t="s">
        <v>72</v>
      </c>
      <c r="G8728" s="5" t="s">
        <v>54481</v>
      </c>
      <c r="H8728" s="6" t="s">
        <v>54482</v>
      </c>
      <c r="K8728" s="5" t="s">
        <v>54451</v>
      </c>
    </row>
    <row r="8729">
      <c r="A8729" s="4">
        <v>45534.41358320602</v>
      </c>
      <c r="B8729" s="5" t="s">
        <v>34</v>
      </c>
      <c r="D8729" s="5" t="s">
        <v>604</v>
      </c>
      <c r="E8729" s="5" t="s">
        <v>18382</v>
      </c>
      <c r="F8729" s="5" t="s">
        <v>108</v>
      </c>
      <c r="G8729" s="5" t="s">
        <v>18383</v>
      </c>
      <c r="H8729" s="6" t="s">
        <v>54485</v>
      </c>
      <c r="K8729" s="5" t="s">
        <v>54451</v>
      </c>
    </row>
    <row r="8730">
      <c r="A8730" s="4">
        <v>45534.41359278935</v>
      </c>
      <c r="B8730" s="5" t="s">
        <v>34</v>
      </c>
      <c r="D8730" s="5" t="s">
        <v>9020</v>
      </c>
      <c r="E8730" s="5" t="s">
        <v>54488</v>
      </c>
      <c r="F8730" s="5" t="s">
        <v>108</v>
      </c>
      <c r="G8730" s="5" t="s">
        <v>54489</v>
      </c>
      <c r="H8730" s="6" t="s">
        <v>54490</v>
      </c>
      <c r="K8730" s="5" t="s">
        <v>54451</v>
      </c>
    </row>
    <row r="8731">
      <c r="A8731" s="4">
        <v>45534.41364947917</v>
      </c>
      <c r="B8731" s="5" t="s">
        <v>34</v>
      </c>
      <c r="D8731" s="5" t="s">
        <v>522</v>
      </c>
      <c r="E8731" s="5" t="s">
        <v>54494</v>
      </c>
      <c r="F8731" s="5" t="s">
        <v>524</v>
      </c>
      <c r="G8731" s="5" t="s">
        <v>54495</v>
      </c>
      <c r="H8731" s="6" t="s">
        <v>54496</v>
      </c>
      <c r="K8731" s="5" t="s">
        <v>54451</v>
      </c>
    </row>
    <row r="8732">
      <c r="A8732" s="4">
        <v>45534.413710416666</v>
      </c>
      <c r="B8732" s="5" t="s">
        <v>34</v>
      </c>
      <c r="D8732" s="5" t="s">
        <v>604</v>
      </c>
      <c r="E8732" s="5" t="s">
        <v>54499</v>
      </c>
      <c r="F8732" s="5" t="s">
        <v>375</v>
      </c>
      <c r="G8732" s="5" t="s">
        <v>54500</v>
      </c>
      <c r="H8732" s="6" t="s">
        <v>54501</v>
      </c>
      <c r="K8732" s="5" t="s">
        <v>54451</v>
      </c>
    </row>
    <row r="8733">
      <c r="A8733" s="4">
        <v>45534.41379065972</v>
      </c>
      <c r="B8733" s="5" t="s">
        <v>34</v>
      </c>
      <c r="D8733" s="5" t="s">
        <v>1206</v>
      </c>
      <c r="E8733" s="5" t="s">
        <v>54504</v>
      </c>
      <c r="F8733" s="5" t="s">
        <v>212</v>
      </c>
      <c r="G8733" s="5" t="s">
        <v>54505</v>
      </c>
      <c r="H8733" s="6" t="s">
        <v>54506</v>
      </c>
      <c r="K8733" s="5" t="s">
        <v>54451</v>
      </c>
    </row>
    <row r="8734">
      <c r="A8734" s="4">
        <v>45534.41385755787</v>
      </c>
      <c r="B8734" s="5" t="s">
        <v>34</v>
      </c>
      <c r="D8734" s="5" t="s">
        <v>12026</v>
      </c>
      <c r="E8734" s="5" t="s">
        <v>54510</v>
      </c>
      <c r="F8734" s="5" t="s">
        <v>37</v>
      </c>
      <c r="G8734" s="5" t="s">
        <v>54511</v>
      </c>
      <c r="H8734" s="6" t="s">
        <v>54512</v>
      </c>
      <c r="K8734" s="5" t="s">
        <v>54451</v>
      </c>
    </row>
    <row r="8735">
      <c r="A8735" s="4">
        <v>45534.41388506944</v>
      </c>
      <c r="B8735" s="5" t="s">
        <v>34</v>
      </c>
      <c r="D8735" s="5" t="s">
        <v>701</v>
      </c>
      <c r="E8735" s="5" t="s">
        <v>54515</v>
      </c>
      <c r="F8735" s="5" t="s">
        <v>37</v>
      </c>
      <c r="G8735" s="5" t="s">
        <v>54516</v>
      </c>
      <c r="H8735" s="6" t="s">
        <v>54517</v>
      </c>
      <c r="K8735" s="5" t="s">
        <v>54451</v>
      </c>
    </row>
    <row r="8736">
      <c r="A8736" s="4">
        <v>45534.41389277778</v>
      </c>
      <c r="B8736" s="5" t="s">
        <v>19</v>
      </c>
      <c r="C8736" s="5" t="s">
        <v>466</v>
      </c>
      <c r="E8736" s="5" t="s">
        <v>54520</v>
      </c>
      <c r="F8736" s="5" t="s">
        <v>375</v>
      </c>
      <c r="G8736" s="5" t="s">
        <v>54521</v>
      </c>
      <c r="H8736" s="6" t="s">
        <v>54522</v>
      </c>
      <c r="K8736" s="5" t="s">
        <v>54451</v>
      </c>
    </row>
    <row r="8737">
      <c r="A8737" s="4">
        <v>45534.41392126157</v>
      </c>
      <c r="B8737" s="5" t="s">
        <v>34</v>
      </c>
      <c r="D8737" s="5" t="s">
        <v>1206</v>
      </c>
      <c r="E8737" s="5" t="s">
        <v>54526</v>
      </c>
      <c r="F8737" s="5" t="s">
        <v>375</v>
      </c>
      <c r="G8737" s="5" t="s">
        <v>54527</v>
      </c>
      <c r="H8737" s="6" t="s">
        <v>54528</v>
      </c>
      <c r="K8737" s="5" t="s">
        <v>54451</v>
      </c>
    </row>
    <row r="8738">
      <c r="A8738" s="4">
        <v>45534.414169375</v>
      </c>
      <c r="B8738" s="5" t="s">
        <v>34</v>
      </c>
      <c r="D8738" s="5" t="s">
        <v>35</v>
      </c>
      <c r="E8738" s="5" t="s">
        <v>54532</v>
      </c>
      <c r="F8738" s="5" t="s">
        <v>37</v>
      </c>
      <c r="G8738" s="5" t="s">
        <v>54533</v>
      </c>
      <c r="H8738" s="6" t="s">
        <v>54534</v>
      </c>
      <c r="K8738" s="5" t="s">
        <v>54451</v>
      </c>
    </row>
    <row r="8739">
      <c r="A8739" s="4">
        <v>45534.4142196412</v>
      </c>
      <c r="B8739" s="5" t="s">
        <v>34</v>
      </c>
      <c r="D8739" s="5" t="s">
        <v>9020</v>
      </c>
      <c r="E8739" s="5" t="s">
        <v>54538</v>
      </c>
      <c r="F8739" s="5" t="s">
        <v>37</v>
      </c>
      <c r="G8739" s="5" t="s">
        <v>54539</v>
      </c>
      <c r="H8739" s="6" t="s">
        <v>54540</v>
      </c>
      <c r="K8739" s="5" t="s">
        <v>54451</v>
      </c>
    </row>
    <row r="8740">
      <c r="A8740" s="4">
        <v>45534.414237060184</v>
      </c>
      <c r="B8740" s="5" t="s">
        <v>34</v>
      </c>
      <c r="D8740" s="5" t="s">
        <v>1768</v>
      </c>
      <c r="E8740" s="5" t="s">
        <v>54544</v>
      </c>
      <c r="F8740" s="5" t="s">
        <v>37</v>
      </c>
      <c r="G8740" s="5" t="s">
        <v>54545</v>
      </c>
      <c r="H8740" s="6" t="s">
        <v>54546</v>
      </c>
      <c r="K8740" s="5" t="s">
        <v>54451</v>
      </c>
    </row>
    <row r="8741">
      <c r="A8741" s="4">
        <v>45534.41424219907</v>
      </c>
      <c r="B8741" s="5" t="s">
        <v>34</v>
      </c>
      <c r="D8741" s="5" t="s">
        <v>9394</v>
      </c>
      <c r="E8741" s="5" t="s">
        <v>54550</v>
      </c>
      <c r="F8741" s="5" t="s">
        <v>72</v>
      </c>
      <c r="G8741" s="5" t="s">
        <v>54551</v>
      </c>
      <c r="H8741" s="6" t="s">
        <v>54552</v>
      </c>
      <c r="K8741" s="5" t="s">
        <v>54451</v>
      </c>
    </row>
    <row r="8742">
      <c r="A8742" s="4">
        <v>45534.41436306713</v>
      </c>
      <c r="B8742" s="5" t="s">
        <v>34</v>
      </c>
      <c r="D8742" s="5" t="s">
        <v>267</v>
      </c>
      <c r="E8742" s="5" t="s">
        <v>54556</v>
      </c>
      <c r="F8742" s="5" t="s">
        <v>108</v>
      </c>
      <c r="G8742" s="5" t="s">
        <v>54557</v>
      </c>
      <c r="H8742" s="6" t="s">
        <v>54558</v>
      </c>
      <c r="K8742" s="5" t="s">
        <v>54451</v>
      </c>
    </row>
    <row r="8743">
      <c r="A8743" s="4">
        <v>45534.414371226856</v>
      </c>
      <c r="B8743" s="5" t="s">
        <v>19</v>
      </c>
      <c r="C8743" s="5" t="s">
        <v>3471</v>
      </c>
      <c r="E8743" s="5" t="s">
        <v>54562</v>
      </c>
      <c r="F8743" s="5" t="s">
        <v>37</v>
      </c>
      <c r="G8743" s="5" t="s">
        <v>54563</v>
      </c>
      <c r="H8743" s="6" t="s">
        <v>54564</v>
      </c>
      <c r="K8743" s="5" t="s">
        <v>54451</v>
      </c>
    </row>
    <row r="8744">
      <c r="A8744" s="4">
        <v>45534.41439346065</v>
      </c>
      <c r="B8744" s="5" t="s">
        <v>34</v>
      </c>
      <c r="D8744" s="5" t="s">
        <v>4775</v>
      </c>
      <c r="E8744" s="5" t="s">
        <v>54568</v>
      </c>
      <c r="F8744" s="5" t="s">
        <v>72</v>
      </c>
      <c r="G8744" s="5" t="s">
        <v>54569</v>
      </c>
      <c r="H8744" s="6" t="s">
        <v>54570</v>
      </c>
      <c r="K8744" s="5" t="s">
        <v>54451</v>
      </c>
    </row>
    <row r="8745">
      <c r="A8745" s="4">
        <v>45534.41441452546</v>
      </c>
      <c r="B8745" s="5" t="s">
        <v>19</v>
      </c>
      <c r="C8745" s="5" t="s">
        <v>442</v>
      </c>
      <c r="E8745" s="5" t="s">
        <v>54574</v>
      </c>
      <c r="F8745" s="5" t="s">
        <v>715</v>
      </c>
      <c r="G8745" s="5" t="s">
        <v>54575</v>
      </c>
      <c r="H8745" s="6" t="s">
        <v>54576</v>
      </c>
      <c r="K8745" s="5" t="s">
        <v>54451</v>
      </c>
    </row>
    <row r="8746">
      <c r="A8746" s="4">
        <v>45534.41448881944</v>
      </c>
      <c r="B8746" s="5" t="s">
        <v>34</v>
      </c>
      <c r="D8746" s="5" t="s">
        <v>9394</v>
      </c>
      <c r="E8746" s="5" t="s">
        <v>54580</v>
      </c>
      <c r="F8746" s="5" t="s">
        <v>524</v>
      </c>
      <c r="G8746" s="5" t="s">
        <v>54581</v>
      </c>
      <c r="H8746" s="6" t="s">
        <v>54582</v>
      </c>
      <c r="K8746" s="5" t="s">
        <v>54451</v>
      </c>
    </row>
    <row r="8747">
      <c r="A8747" s="4">
        <v>45534.4145231713</v>
      </c>
      <c r="B8747" s="5" t="s">
        <v>34</v>
      </c>
      <c r="D8747" s="5" t="s">
        <v>14313</v>
      </c>
      <c r="E8747" s="5" t="s">
        <v>54586</v>
      </c>
      <c r="F8747" s="5" t="s">
        <v>120</v>
      </c>
      <c r="G8747" s="5" t="s">
        <v>54587</v>
      </c>
      <c r="H8747" s="6" t="s">
        <v>54588</v>
      </c>
      <c r="K8747" s="5" t="s">
        <v>54451</v>
      </c>
    </row>
    <row r="8748">
      <c r="A8748" s="4">
        <v>45534.41454065972</v>
      </c>
      <c r="B8748" s="5" t="s">
        <v>34</v>
      </c>
      <c r="D8748" s="5" t="s">
        <v>10444</v>
      </c>
      <c r="E8748" s="5" t="s">
        <v>54592</v>
      </c>
      <c r="F8748" s="5" t="s">
        <v>212</v>
      </c>
      <c r="G8748" s="5" t="s">
        <v>54593</v>
      </c>
      <c r="H8748" s="6" t="s">
        <v>54594</v>
      </c>
      <c r="K8748" s="5" t="s">
        <v>54451</v>
      </c>
    </row>
    <row r="8749">
      <c r="A8749" s="4">
        <v>45534.4145483912</v>
      </c>
      <c r="B8749" s="5" t="s">
        <v>34</v>
      </c>
      <c r="D8749" s="5" t="s">
        <v>9020</v>
      </c>
      <c r="E8749" s="5" t="s">
        <v>54598</v>
      </c>
      <c r="F8749" s="5" t="s">
        <v>375</v>
      </c>
      <c r="G8749" s="5" t="s">
        <v>54599</v>
      </c>
      <c r="H8749" s="6" t="s">
        <v>54600</v>
      </c>
      <c r="K8749" s="5" t="s">
        <v>54451</v>
      </c>
    </row>
    <row r="8750">
      <c r="A8750" s="4">
        <v>45534.4145578125</v>
      </c>
      <c r="B8750" s="5" t="s">
        <v>34</v>
      </c>
      <c r="D8750" s="5" t="s">
        <v>1206</v>
      </c>
      <c r="E8750" s="5" t="s">
        <v>54604</v>
      </c>
      <c r="F8750" s="5" t="s">
        <v>37</v>
      </c>
      <c r="G8750" s="5" t="s">
        <v>54605</v>
      </c>
      <c r="H8750" s="6" t="s">
        <v>54606</v>
      </c>
      <c r="K8750" s="5" t="s">
        <v>54451</v>
      </c>
    </row>
    <row r="8751">
      <c r="A8751" s="4">
        <v>45534.41468162037</v>
      </c>
      <c r="B8751" s="5" t="s">
        <v>34</v>
      </c>
      <c r="D8751" s="5" t="s">
        <v>9394</v>
      </c>
      <c r="E8751" s="5" t="s">
        <v>54610</v>
      </c>
      <c r="F8751" s="5" t="s">
        <v>72</v>
      </c>
      <c r="G8751" s="5" t="s">
        <v>54611</v>
      </c>
      <c r="H8751" s="6" t="s">
        <v>54612</v>
      </c>
      <c r="K8751" s="5" t="s">
        <v>54451</v>
      </c>
    </row>
    <row r="8752">
      <c r="A8752" s="4">
        <v>45534.414718252316</v>
      </c>
      <c r="B8752" s="5" t="s">
        <v>19</v>
      </c>
      <c r="C8752" s="5" t="s">
        <v>5058</v>
      </c>
      <c r="E8752" s="5" t="s">
        <v>54616</v>
      </c>
      <c r="F8752" s="5" t="s">
        <v>37</v>
      </c>
      <c r="G8752" s="5" t="s">
        <v>54617</v>
      </c>
      <c r="H8752" s="6" t="s">
        <v>54618</v>
      </c>
      <c r="K8752" s="5" t="s">
        <v>54451</v>
      </c>
    </row>
    <row r="8753">
      <c r="A8753" s="4">
        <v>45534.41476002315</v>
      </c>
      <c r="B8753" s="5" t="s">
        <v>34</v>
      </c>
      <c r="D8753" s="5" t="s">
        <v>10444</v>
      </c>
      <c r="E8753" s="5" t="s">
        <v>54622</v>
      </c>
      <c r="F8753" s="5" t="s">
        <v>375</v>
      </c>
      <c r="G8753" s="5" t="s">
        <v>54623</v>
      </c>
      <c r="H8753" s="6" t="s">
        <v>54624</v>
      </c>
      <c r="K8753" s="5" t="s">
        <v>54451</v>
      </c>
    </row>
    <row r="8754">
      <c r="A8754" s="4">
        <v>45534.41484960648</v>
      </c>
      <c r="B8754" s="5" t="s">
        <v>34</v>
      </c>
      <c r="D8754" s="5" t="s">
        <v>11913</v>
      </c>
      <c r="E8754" s="5" t="s">
        <v>54628</v>
      </c>
      <c r="F8754" s="5" t="s">
        <v>72</v>
      </c>
      <c r="G8754" s="5" t="s">
        <v>54629</v>
      </c>
      <c r="H8754" s="6" t="s">
        <v>54630</v>
      </c>
      <c r="K8754" s="5" t="s">
        <v>54631</v>
      </c>
    </row>
    <row r="8755">
      <c r="A8755" s="4">
        <v>45534.41487329861</v>
      </c>
      <c r="B8755" s="5" t="s">
        <v>34</v>
      </c>
      <c r="D8755" s="5" t="s">
        <v>1558</v>
      </c>
      <c r="E8755" s="5" t="s">
        <v>54635</v>
      </c>
      <c r="F8755" s="5" t="s">
        <v>524</v>
      </c>
      <c r="G8755" s="5" t="s">
        <v>54636</v>
      </c>
      <c r="H8755" s="6" t="s">
        <v>54637</v>
      </c>
      <c r="K8755" s="5" t="s">
        <v>54631</v>
      </c>
    </row>
    <row r="8756">
      <c r="A8756" s="4">
        <v>45534.41488642361</v>
      </c>
      <c r="B8756" s="5" t="s">
        <v>19</v>
      </c>
      <c r="C8756" s="5" t="s">
        <v>1606</v>
      </c>
      <c r="E8756" s="5" t="s">
        <v>54641</v>
      </c>
      <c r="F8756" s="5" t="s">
        <v>72</v>
      </c>
      <c r="G8756" s="5" t="s">
        <v>54642</v>
      </c>
      <c r="H8756" s="6" t="s">
        <v>54643</v>
      </c>
      <c r="K8756" s="5" t="s">
        <v>54644</v>
      </c>
    </row>
    <row r="8757">
      <c r="A8757" s="4">
        <v>45534.41502377315</v>
      </c>
      <c r="B8757" s="5" t="s">
        <v>19</v>
      </c>
      <c r="C8757" s="5" t="s">
        <v>20</v>
      </c>
      <c r="E8757" s="5" t="s">
        <v>50181</v>
      </c>
      <c r="F8757" s="5" t="s">
        <v>212</v>
      </c>
      <c r="G8757" s="5" t="s">
        <v>50182</v>
      </c>
      <c r="H8757" s="6" t="s">
        <v>54648</v>
      </c>
      <c r="K8757" s="5" t="s">
        <v>54649</v>
      </c>
    </row>
    <row r="8758">
      <c r="A8758" s="4">
        <v>45534.41506151621</v>
      </c>
      <c r="B8758" s="5" t="s">
        <v>19</v>
      </c>
      <c r="C8758" s="5" t="s">
        <v>315</v>
      </c>
      <c r="E8758" s="5" t="s">
        <v>54653</v>
      </c>
      <c r="F8758" s="5" t="s">
        <v>72</v>
      </c>
      <c r="G8758" s="5" t="s">
        <v>54654</v>
      </c>
      <c r="H8758" s="6" t="s">
        <v>54655</v>
      </c>
      <c r="K8758" s="5" t="s">
        <v>54656</v>
      </c>
    </row>
    <row r="8759">
      <c r="A8759" s="4">
        <v>45534.41506185185</v>
      </c>
      <c r="B8759" s="5" t="s">
        <v>34</v>
      </c>
      <c r="D8759" s="5" t="s">
        <v>12010</v>
      </c>
      <c r="E8759" s="5" t="s">
        <v>54660</v>
      </c>
      <c r="F8759" s="5" t="s">
        <v>715</v>
      </c>
      <c r="G8759" s="5" t="s">
        <v>54661</v>
      </c>
      <c r="H8759" s="6" t="s">
        <v>54662</v>
      </c>
      <c r="K8759" s="5" t="s">
        <v>54656</v>
      </c>
    </row>
    <row r="8760">
      <c r="A8760" s="4">
        <v>45534.41508795139</v>
      </c>
      <c r="B8760" s="5" t="s">
        <v>19</v>
      </c>
      <c r="C8760" s="5" t="s">
        <v>292</v>
      </c>
      <c r="E8760" s="5" t="s">
        <v>54666</v>
      </c>
      <c r="F8760" s="5" t="s">
        <v>524</v>
      </c>
      <c r="G8760" s="5" t="s">
        <v>54667</v>
      </c>
      <c r="H8760" s="6" t="s">
        <v>54668</v>
      </c>
      <c r="K8760" s="5" t="s">
        <v>54669</v>
      </c>
    </row>
    <row r="8761">
      <c r="A8761" s="4">
        <v>45534.41510866898</v>
      </c>
      <c r="B8761" s="5" t="s">
        <v>34</v>
      </c>
      <c r="D8761" s="5" t="s">
        <v>3432</v>
      </c>
      <c r="E8761" s="5" t="s">
        <v>54673</v>
      </c>
      <c r="F8761" s="5" t="s">
        <v>108</v>
      </c>
      <c r="G8761" s="5" t="s">
        <v>54674</v>
      </c>
      <c r="H8761" s="6" t="s">
        <v>54675</v>
      </c>
      <c r="K8761" s="5" t="s">
        <v>54676</v>
      </c>
    </row>
    <row r="8762">
      <c r="A8762" s="4">
        <v>45534.41511717593</v>
      </c>
      <c r="B8762" s="5" t="s">
        <v>19</v>
      </c>
      <c r="C8762" s="5" t="s">
        <v>292</v>
      </c>
      <c r="E8762" s="5" t="s">
        <v>54680</v>
      </c>
      <c r="F8762" s="5" t="s">
        <v>120</v>
      </c>
      <c r="G8762" s="5" t="s">
        <v>54681</v>
      </c>
      <c r="H8762" s="6" t="s">
        <v>54682</v>
      </c>
      <c r="K8762" s="5" t="s">
        <v>54676</v>
      </c>
    </row>
    <row r="8763">
      <c r="A8763" s="4">
        <v>45534.41513444444</v>
      </c>
      <c r="B8763" s="5" t="s">
        <v>34</v>
      </c>
      <c r="D8763" s="5" t="s">
        <v>14313</v>
      </c>
      <c r="E8763" s="5" t="s">
        <v>54686</v>
      </c>
      <c r="F8763" s="5" t="s">
        <v>120</v>
      </c>
      <c r="G8763" s="5" t="s">
        <v>54687</v>
      </c>
      <c r="H8763" s="6" t="s">
        <v>54688</v>
      </c>
      <c r="K8763" s="5" t="s">
        <v>54689</v>
      </c>
    </row>
    <row r="8764">
      <c r="A8764" s="4">
        <v>45534.41514319445</v>
      </c>
      <c r="B8764" s="5" t="s">
        <v>34</v>
      </c>
      <c r="D8764" s="5" t="s">
        <v>35</v>
      </c>
      <c r="E8764" s="5" t="s">
        <v>54693</v>
      </c>
      <c r="F8764" s="5" t="s">
        <v>524</v>
      </c>
      <c r="G8764" s="5" t="s">
        <v>54694</v>
      </c>
      <c r="H8764" s="6" t="s">
        <v>54695</v>
      </c>
      <c r="K8764" s="5" t="s">
        <v>54689</v>
      </c>
    </row>
    <row r="8765">
      <c r="A8765" s="4">
        <v>45534.41515877315</v>
      </c>
      <c r="B8765" s="5" t="s">
        <v>34</v>
      </c>
      <c r="D8765" s="5" t="s">
        <v>9020</v>
      </c>
      <c r="E8765" s="5" t="s">
        <v>54699</v>
      </c>
      <c r="F8765" s="5" t="s">
        <v>524</v>
      </c>
      <c r="G8765" s="5" t="s">
        <v>54700</v>
      </c>
      <c r="H8765" s="6" t="s">
        <v>54701</v>
      </c>
      <c r="K8765" s="5" t="s">
        <v>54689</v>
      </c>
    </row>
    <row r="8766">
      <c r="A8766" s="4">
        <v>45534.41518314814</v>
      </c>
      <c r="B8766" s="5" t="s">
        <v>34</v>
      </c>
      <c r="D8766" s="5" t="s">
        <v>1558</v>
      </c>
      <c r="E8766" s="5" t="s">
        <v>54705</v>
      </c>
      <c r="F8766" s="5" t="s">
        <v>37</v>
      </c>
      <c r="G8766" s="5" t="s">
        <v>54706</v>
      </c>
      <c r="H8766" s="6" t="s">
        <v>54707</v>
      </c>
      <c r="K8766" s="5" t="s">
        <v>54708</v>
      </c>
    </row>
    <row r="8767">
      <c r="A8767" s="4">
        <v>45534.41527388889</v>
      </c>
      <c r="B8767" s="5" t="s">
        <v>19</v>
      </c>
      <c r="C8767" s="5" t="s">
        <v>32901</v>
      </c>
      <c r="E8767" s="5" t="s">
        <v>54712</v>
      </c>
      <c r="F8767" s="5" t="s">
        <v>108</v>
      </c>
      <c r="G8767" s="5" t="s">
        <v>54713</v>
      </c>
      <c r="H8767" s="6" t="s">
        <v>54714</v>
      </c>
      <c r="K8767" s="5" t="s">
        <v>54715</v>
      </c>
    </row>
    <row r="8768">
      <c r="A8768" s="4">
        <v>45534.415379004626</v>
      </c>
      <c r="B8768" s="5" t="s">
        <v>19</v>
      </c>
      <c r="C8768" s="5" t="s">
        <v>292</v>
      </c>
      <c r="E8768" s="5" t="s">
        <v>54719</v>
      </c>
      <c r="F8768" s="5" t="s">
        <v>120</v>
      </c>
      <c r="G8768" s="5" t="s">
        <v>54720</v>
      </c>
      <c r="H8768" s="6" t="s">
        <v>54721</v>
      </c>
      <c r="K8768" s="5" t="s">
        <v>54722</v>
      </c>
    </row>
    <row r="8769">
      <c r="A8769" s="4">
        <v>45534.41543298611</v>
      </c>
      <c r="B8769" s="5" t="s">
        <v>34</v>
      </c>
      <c r="D8769" s="5" t="s">
        <v>1692</v>
      </c>
      <c r="E8769" s="5" t="s">
        <v>54726</v>
      </c>
      <c r="F8769" s="5" t="s">
        <v>108</v>
      </c>
      <c r="G8769" s="5" t="s">
        <v>54727</v>
      </c>
      <c r="H8769" s="6" t="s">
        <v>54728</v>
      </c>
      <c r="K8769" s="5" t="s">
        <v>54729</v>
      </c>
    </row>
    <row r="8770">
      <c r="A8770" s="4">
        <v>45534.41547922454</v>
      </c>
      <c r="B8770" s="5" t="s">
        <v>34</v>
      </c>
      <c r="D8770" s="5" t="s">
        <v>4775</v>
      </c>
      <c r="E8770" s="5" t="s">
        <v>54733</v>
      </c>
      <c r="F8770" s="5" t="s">
        <v>120</v>
      </c>
      <c r="G8770" s="5" t="s">
        <v>54734</v>
      </c>
      <c r="H8770" s="6" t="s">
        <v>54735</v>
      </c>
      <c r="K8770" s="5" t="s">
        <v>54736</v>
      </c>
    </row>
    <row r="8771">
      <c r="A8771" s="4">
        <v>45534.41548265047</v>
      </c>
      <c r="B8771" s="5" t="s">
        <v>34</v>
      </c>
      <c r="D8771" s="5" t="s">
        <v>1206</v>
      </c>
      <c r="E8771" s="5" t="s">
        <v>54740</v>
      </c>
      <c r="F8771" s="5" t="s">
        <v>375</v>
      </c>
      <c r="G8771" s="5" t="s">
        <v>54741</v>
      </c>
      <c r="H8771" s="6" t="s">
        <v>54742</v>
      </c>
      <c r="K8771" s="5" t="s">
        <v>54736</v>
      </c>
    </row>
    <row r="8772">
      <c r="A8772" s="4">
        <v>45534.41548273148</v>
      </c>
      <c r="B8772" s="5" t="s">
        <v>34</v>
      </c>
      <c r="D8772" s="5" t="s">
        <v>35</v>
      </c>
      <c r="E8772" s="5" t="s">
        <v>54746</v>
      </c>
      <c r="F8772" s="5" t="s">
        <v>37</v>
      </c>
      <c r="G8772" s="5" t="s">
        <v>54747</v>
      </c>
      <c r="H8772" s="6" t="s">
        <v>54748</v>
      </c>
      <c r="K8772" s="5" t="s">
        <v>54736</v>
      </c>
    </row>
    <row r="8773">
      <c r="A8773" s="4">
        <v>45534.41550192129</v>
      </c>
      <c r="B8773" s="5" t="s">
        <v>19</v>
      </c>
      <c r="C8773" s="5" t="s">
        <v>292</v>
      </c>
      <c r="E8773" s="5" t="s">
        <v>54752</v>
      </c>
      <c r="F8773" s="5" t="s">
        <v>108</v>
      </c>
      <c r="G8773" s="5" t="s">
        <v>54753</v>
      </c>
      <c r="H8773" s="6" t="s">
        <v>54754</v>
      </c>
      <c r="K8773" s="5" t="s">
        <v>54736</v>
      </c>
    </row>
    <row r="8774">
      <c r="A8774" s="4">
        <v>45534.415520208335</v>
      </c>
      <c r="B8774" s="5" t="s">
        <v>34</v>
      </c>
      <c r="D8774" s="5" t="s">
        <v>35</v>
      </c>
      <c r="E8774" s="5" t="s">
        <v>54758</v>
      </c>
      <c r="F8774" s="5" t="s">
        <v>375</v>
      </c>
      <c r="G8774" s="5" t="s">
        <v>54759</v>
      </c>
      <c r="H8774" s="6" t="s">
        <v>54760</v>
      </c>
      <c r="K8774" s="5" t="s">
        <v>54736</v>
      </c>
    </row>
    <row r="8775">
      <c r="A8775" s="4">
        <v>45534.41556084491</v>
      </c>
      <c r="B8775" s="5" t="s">
        <v>34</v>
      </c>
      <c r="D8775" s="5" t="s">
        <v>6232</v>
      </c>
      <c r="E8775" s="5" t="s">
        <v>54764</v>
      </c>
      <c r="F8775" s="5" t="s">
        <v>37</v>
      </c>
      <c r="G8775" s="5" t="s">
        <v>54765</v>
      </c>
      <c r="H8775" s="6" t="s">
        <v>54766</v>
      </c>
      <c r="K8775" s="5" t="s">
        <v>54767</v>
      </c>
    </row>
    <row r="8776">
      <c r="A8776" s="4">
        <v>45534.41558318287</v>
      </c>
      <c r="B8776" s="5" t="s">
        <v>34</v>
      </c>
      <c r="D8776" s="5" t="s">
        <v>1206</v>
      </c>
      <c r="E8776" s="5" t="s">
        <v>54771</v>
      </c>
      <c r="F8776" s="5" t="s">
        <v>212</v>
      </c>
      <c r="G8776" s="5" t="s">
        <v>54772</v>
      </c>
      <c r="H8776" s="6" t="s">
        <v>54773</v>
      </c>
      <c r="K8776" s="5" t="s">
        <v>54774</v>
      </c>
    </row>
    <row r="8777">
      <c r="A8777" s="4">
        <v>45534.41560663194</v>
      </c>
      <c r="B8777" s="5" t="s">
        <v>34</v>
      </c>
      <c r="D8777" s="5" t="s">
        <v>1206</v>
      </c>
      <c r="E8777" s="5" t="s">
        <v>54778</v>
      </c>
      <c r="F8777" s="5" t="s">
        <v>37</v>
      </c>
      <c r="G8777" s="5" t="s">
        <v>54779</v>
      </c>
      <c r="H8777" s="6" t="s">
        <v>54780</v>
      </c>
      <c r="K8777" s="5" t="s">
        <v>54781</v>
      </c>
    </row>
    <row r="8778">
      <c r="A8778" s="4">
        <v>45534.415636273145</v>
      </c>
      <c r="B8778" s="5" t="s">
        <v>34</v>
      </c>
      <c r="D8778" s="5" t="s">
        <v>1558</v>
      </c>
      <c r="E8778" s="5" t="s">
        <v>14568</v>
      </c>
      <c r="F8778" s="5" t="s">
        <v>212</v>
      </c>
      <c r="G8778" s="5" t="s">
        <v>54785</v>
      </c>
      <c r="H8778" s="6" t="s">
        <v>54786</v>
      </c>
      <c r="K8778" s="5" t="s">
        <v>54781</v>
      </c>
    </row>
    <row r="8779">
      <c r="A8779" s="4">
        <v>45534.41564597222</v>
      </c>
      <c r="B8779" s="5" t="s">
        <v>34</v>
      </c>
      <c r="D8779" s="5" t="s">
        <v>580</v>
      </c>
      <c r="E8779" s="5" t="s">
        <v>54790</v>
      </c>
      <c r="F8779" s="5" t="s">
        <v>328</v>
      </c>
      <c r="G8779" s="5" t="s">
        <v>54791</v>
      </c>
      <c r="H8779" s="6" t="s">
        <v>54792</v>
      </c>
      <c r="K8779" s="5" t="s">
        <v>54793</v>
      </c>
    </row>
    <row r="8780">
      <c r="A8780" s="4">
        <v>45534.415661921295</v>
      </c>
      <c r="B8780" s="5" t="s">
        <v>34</v>
      </c>
      <c r="D8780" s="5" t="s">
        <v>1558</v>
      </c>
      <c r="E8780" s="5" t="s">
        <v>36540</v>
      </c>
      <c r="F8780" s="5" t="s">
        <v>212</v>
      </c>
      <c r="G8780" s="5" t="s">
        <v>54797</v>
      </c>
      <c r="H8780" s="6" t="s">
        <v>54798</v>
      </c>
      <c r="K8780" s="5" t="s">
        <v>54793</v>
      </c>
    </row>
    <row r="8781">
      <c r="A8781" s="4">
        <v>45534.41571792824</v>
      </c>
      <c r="B8781" s="5" t="s">
        <v>34</v>
      </c>
      <c r="D8781" s="5" t="s">
        <v>9020</v>
      </c>
      <c r="E8781" s="5" t="s">
        <v>54802</v>
      </c>
      <c r="F8781" s="5" t="s">
        <v>375</v>
      </c>
      <c r="G8781" s="5" t="s">
        <v>54803</v>
      </c>
      <c r="H8781" s="6" t="s">
        <v>54804</v>
      </c>
      <c r="K8781" s="5" t="s">
        <v>54805</v>
      </c>
    </row>
    <row r="8782">
      <c r="A8782" s="4">
        <v>45534.415783460645</v>
      </c>
      <c r="B8782" s="5" t="s">
        <v>19</v>
      </c>
      <c r="C8782" s="5" t="s">
        <v>292</v>
      </c>
      <c r="E8782" s="5" t="s">
        <v>54809</v>
      </c>
      <c r="F8782" s="5" t="s">
        <v>375</v>
      </c>
      <c r="G8782" s="5" t="s">
        <v>54810</v>
      </c>
      <c r="H8782" s="6" t="s">
        <v>54811</v>
      </c>
      <c r="K8782" s="5" t="s">
        <v>54812</v>
      </c>
    </row>
    <row r="8783">
      <c r="A8783" s="4">
        <v>45534.4157871412</v>
      </c>
      <c r="B8783" s="5" t="s">
        <v>19</v>
      </c>
      <c r="C8783" s="5" t="s">
        <v>292</v>
      </c>
      <c r="E8783" s="5" t="s">
        <v>54816</v>
      </c>
      <c r="F8783" s="5" t="s">
        <v>120</v>
      </c>
      <c r="G8783" s="5" t="s">
        <v>54817</v>
      </c>
      <c r="H8783" s="6" t="s">
        <v>54818</v>
      </c>
      <c r="K8783" s="5" t="s">
        <v>54812</v>
      </c>
    </row>
    <row r="8784">
      <c r="A8784" s="4">
        <v>45534.41587997685</v>
      </c>
      <c r="B8784" s="5" t="s">
        <v>34</v>
      </c>
      <c r="D8784" s="5" t="s">
        <v>35</v>
      </c>
      <c r="E8784" s="5" t="s">
        <v>54822</v>
      </c>
      <c r="F8784" s="5" t="s">
        <v>524</v>
      </c>
      <c r="G8784" s="5" t="s">
        <v>54823</v>
      </c>
      <c r="H8784" s="6" t="s">
        <v>54824</v>
      </c>
      <c r="K8784" s="5" t="s">
        <v>54825</v>
      </c>
    </row>
    <row r="8785">
      <c r="A8785" s="4">
        <v>45534.415914791665</v>
      </c>
      <c r="B8785" s="5" t="s">
        <v>34</v>
      </c>
      <c r="D8785" s="5" t="s">
        <v>9394</v>
      </c>
      <c r="E8785" s="5" t="s">
        <v>54829</v>
      </c>
      <c r="F8785" s="5" t="s">
        <v>72</v>
      </c>
      <c r="G8785" s="5" t="s">
        <v>54830</v>
      </c>
      <c r="H8785" s="6" t="s">
        <v>54831</v>
      </c>
      <c r="K8785" s="5" t="s">
        <v>54825</v>
      </c>
    </row>
    <row r="8786">
      <c r="A8786" s="4">
        <v>45534.41592501158</v>
      </c>
      <c r="B8786" s="5" t="s">
        <v>34</v>
      </c>
      <c r="D8786" s="5" t="s">
        <v>35</v>
      </c>
      <c r="E8786" s="5" t="s">
        <v>54835</v>
      </c>
      <c r="F8786" s="5" t="s">
        <v>108</v>
      </c>
      <c r="G8786" s="5" t="s">
        <v>54836</v>
      </c>
      <c r="H8786" s="6" t="s">
        <v>54837</v>
      </c>
      <c r="K8786" s="5" t="s">
        <v>54825</v>
      </c>
    </row>
    <row r="8787">
      <c r="A8787" s="4">
        <v>45534.41593743056</v>
      </c>
      <c r="B8787" s="5" t="s">
        <v>34</v>
      </c>
      <c r="D8787" s="5" t="s">
        <v>4775</v>
      </c>
      <c r="E8787" s="5" t="s">
        <v>54841</v>
      </c>
      <c r="F8787" s="5" t="s">
        <v>37</v>
      </c>
      <c r="G8787" s="5" t="s">
        <v>54842</v>
      </c>
      <c r="H8787" s="6" t="s">
        <v>54843</v>
      </c>
      <c r="K8787" s="5" t="s">
        <v>54825</v>
      </c>
    </row>
    <row r="8788">
      <c r="A8788" s="4">
        <v>45534.416007314816</v>
      </c>
      <c r="B8788" s="5" t="s">
        <v>34</v>
      </c>
      <c r="D8788" s="5" t="s">
        <v>522</v>
      </c>
      <c r="E8788" s="5" t="s">
        <v>51188</v>
      </c>
      <c r="F8788" s="5" t="s">
        <v>328</v>
      </c>
      <c r="G8788" s="5" t="s">
        <v>54847</v>
      </c>
      <c r="H8788" s="6" t="s">
        <v>54848</v>
      </c>
      <c r="K8788" s="5" t="s">
        <v>54825</v>
      </c>
    </row>
    <row r="8789">
      <c r="A8789" s="4">
        <v>45534.416047824074</v>
      </c>
      <c r="B8789" s="5" t="s">
        <v>34</v>
      </c>
      <c r="D8789" s="5" t="s">
        <v>3432</v>
      </c>
      <c r="E8789" s="5" t="s">
        <v>54852</v>
      </c>
      <c r="F8789" s="5" t="s">
        <v>37</v>
      </c>
      <c r="G8789" s="5" t="s">
        <v>54853</v>
      </c>
      <c r="H8789" s="6" t="s">
        <v>54854</v>
      </c>
      <c r="K8789" s="5" t="s">
        <v>54825</v>
      </c>
    </row>
    <row r="8790">
      <c r="A8790" s="4">
        <v>45534.41615549769</v>
      </c>
      <c r="B8790" s="5" t="s">
        <v>34</v>
      </c>
      <c r="D8790" s="5" t="s">
        <v>1456</v>
      </c>
      <c r="E8790" s="5" t="s">
        <v>54858</v>
      </c>
      <c r="F8790" s="5" t="s">
        <v>212</v>
      </c>
      <c r="G8790" s="5" t="s">
        <v>54859</v>
      </c>
      <c r="H8790" s="6" t="s">
        <v>54860</v>
      </c>
      <c r="K8790" s="5" t="s">
        <v>54825</v>
      </c>
    </row>
    <row r="8791">
      <c r="A8791" s="4">
        <v>45534.41624893519</v>
      </c>
      <c r="B8791" s="5" t="s">
        <v>34</v>
      </c>
      <c r="D8791" s="5" t="s">
        <v>1558</v>
      </c>
      <c r="E8791" s="5" t="s">
        <v>54864</v>
      </c>
      <c r="F8791" s="5" t="s">
        <v>37</v>
      </c>
      <c r="G8791" s="5" t="s">
        <v>54865</v>
      </c>
      <c r="H8791" s="6" t="s">
        <v>54866</v>
      </c>
      <c r="K8791" s="5" t="s">
        <v>54867</v>
      </c>
    </row>
    <row r="8792">
      <c r="A8792" s="4">
        <v>45534.41629068287</v>
      </c>
      <c r="B8792" s="5" t="s">
        <v>34</v>
      </c>
      <c r="D8792" s="5" t="s">
        <v>1206</v>
      </c>
      <c r="E8792" s="5" t="s">
        <v>54871</v>
      </c>
      <c r="F8792" s="5" t="s">
        <v>37</v>
      </c>
      <c r="G8792" s="5" t="s">
        <v>54872</v>
      </c>
      <c r="H8792" s="6" t="s">
        <v>54873</v>
      </c>
      <c r="K8792" s="5" t="s">
        <v>54867</v>
      </c>
    </row>
    <row r="8793">
      <c r="A8793" s="4">
        <v>45534.41629306713</v>
      </c>
      <c r="B8793" s="5" t="s">
        <v>34</v>
      </c>
      <c r="D8793" s="5" t="s">
        <v>267</v>
      </c>
      <c r="E8793" s="5" t="s">
        <v>54877</v>
      </c>
      <c r="F8793" s="5" t="s">
        <v>212</v>
      </c>
      <c r="G8793" s="5" t="s">
        <v>54878</v>
      </c>
      <c r="H8793" s="6" t="s">
        <v>54879</v>
      </c>
      <c r="K8793" s="5" t="s">
        <v>54867</v>
      </c>
    </row>
    <row r="8794">
      <c r="A8794" s="4">
        <v>45534.416342372686</v>
      </c>
      <c r="B8794" s="5" t="s">
        <v>34</v>
      </c>
      <c r="D8794" s="5" t="s">
        <v>4775</v>
      </c>
      <c r="E8794" s="5" t="s">
        <v>30695</v>
      </c>
      <c r="F8794" s="5" t="s">
        <v>37</v>
      </c>
      <c r="G8794" s="5" t="s">
        <v>30696</v>
      </c>
      <c r="H8794" s="6" t="s">
        <v>54883</v>
      </c>
      <c r="K8794" s="5" t="s">
        <v>54884</v>
      </c>
    </row>
    <row r="8795">
      <c r="A8795" s="4">
        <v>45534.41634902778</v>
      </c>
      <c r="B8795" s="5" t="s">
        <v>34</v>
      </c>
      <c r="D8795" s="5" t="s">
        <v>6232</v>
      </c>
      <c r="E8795" s="5" t="s">
        <v>54888</v>
      </c>
      <c r="F8795" s="5" t="s">
        <v>108</v>
      </c>
      <c r="G8795" s="5" t="s">
        <v>54889</v>
      </c>
      <c r="H8795" s="6" t="s">
        <v>54890</v>
      </c>
      <c r="K8795" s="5" t="s">
        <v>54884</v>
      </c>
    </row>
    <row r="8796">
      <c r="A8796" s="4">
        <v>45534.416386655095</v>
      </c>
      <c r="B8796" s="5" t="s">
        <v>19</v>
      </c>
      <c r="C8796" s="5" t="s">
        <v>466</v>
      </c>
      <c r="E8796" s="5" t="s">
        <v>54894</v>
      </c>
      <c r="F8796" s="5" t="s">
        <v>212</v>
      </c>
      <c r="G8796" s="5" t="s">
        <v>54895</v>
      </c>
      <c r="H8796" s="6" t="s">
        <v>54896</v>
      </c>
      <c r="K8796" s="5" t="s">
        <v>54884</v>
      </c>
    </row>
    <row r="8797">
      <c r="A8797" s="4">
        <v>45534.41640802083</v>
      </c>
      <c r="B8797" s="5" t="s">
        <v>19</v>
      </c>
      <c r="C8797" s="5" t="s">
        <v>45988</v>
      </c>
      <c r="E8797" s="5" t="s">
        <v>54900</v>
      </c>
      <c r="F8797" s="5" t="s">
        <v>524</v>
      </c>
      <c r="G8797" s="5" t="s">
        <v>54901</v>
      </c>
      <c r="H8797" s="6" t="s">
        <v>54902</v>
      </c>
      <c r="K8797" s="5" t="s">
        <v>54884</v>
      </c>
    </row>
    <row r="8798">
      <c r="A8798" s="4">
        <v>45534.41643150463</v>
      </c>
      <c r="B8798" s="5" t="s">
        <v>34</v>
      </c>
      <c r="D8798" s="5" t="s">
        <v>975</v>
      </c>
      <c r="E8798" s="5" t="s">
        <v>54906</v>
      </c>
      <c r="F8798" s="5" t="s">
        <v>108</v>
      </c>
      <c r="G8798" s="5" t="s">
        <v>54907</v>
      </c>
      <c r="H8798" s="6" t="s">
        <v>54908</v>
      </c>
      <c r="K8798" s="5" t="s">
        <v>54884</v>
      </c>
    </row>
    <row r="8799">
      <c r="A8799" s="4">
        <v>45534.41643856482</v>
      </c>
      <c r="B8799" s="5" t="s">
        <v>34</v>
      </c>
      <c r="D8799" s="5" t="s">
        <v>1558</v>
      </c>
      <c r="E8799" s="5" t="s">
        <v>54912</v>
      </c>
      <c r="F8799" s="5" t="s">
        <v>108</v>
      </c>
      <c r="G8799" s="5" t="s">
        <v>54913</v>
      </c>
      <c r="H8799" s="6" t="s">
        <v>54914</v>
      </c>
      <c r="K8799" s="5" t="s">
        <v>54884</v>
      </c>
    </row>
    <row r="8800">
      <c r="A8800" s="4">
        <v>45534.416453495374</v>
      </c>
      <c r="B8800" s="5" t="s">
        <v>34</v>
      </c>
      <c r="D8800" s="5" t="s">
        <v>1206</v>
      </c>
      <c r="E8800" s="5" t="s">
        <v>54918</v>
      </c>
      <c r="F8800" s="5" t="s">
        <v>212</v>
      </c>
      <c r="G8800" s="5" t="s">
        <v>54919</v>
      </c>
      <c r="H8800" s="6" t="s">
        <v>54920</v>
      </c>
      <c r="K8800" s="5" t="s">
        <v>54884</v>
      </c>
    </row>
    <row r="8801">
      <c r="A8801" s="4">
        <v>45534.416508553244</v>
      </c>
      <c r="B8801" s="5" t="s">
        <v>34</v>
      </c>
      <c r="D8801" s="5" t="s">
        <v>3432</v>
      </c>
      <c r="E8801" s="5" t="s">
        <v>54924</v>
      </c>
      <c r="F8801" s="5" t="s">
        <v>524</v>
      </c>
      <c r="G8801" s="5" t="s">
        <v>54925</v>
      </c>
      <c r="H8801" s="6" t="s">
        <v>54926</v>
      </c>
      <c r="K8801" s="5" t="s">
        <v>54884</v>
      </c>
    </row>
    <row r="8802">
      <c r="A8802" s="4">
        <v>45534.41657081019</v>
      </c>
      <c r="B8802" s="5" t="s">
        <v>19</v>
      </c>
      <c r="C8802" s="5" t="s">
        <v>292</v>
      </c>
      <c r="E8802" s="5" t="s">
        <v>54930</v>
      </c>
      <c r="F8802" s="5" t="s">
        <v>72</v>
      </c>
      <c r="G8802" s="5" t="s">
        <v>54931</v>
      </c>
      <c r="H8802" s="6" t="s">
        <v>54932</v>
      </c>
      <c r="K8802" s="5" t="s">
        <v>54884</v>
      </c>
    </row>
    <row r="8803">
      <c r="A8803" s="4">
        <v>45534.41660201389</v>
      </c>
      <c r="B8803" s="5" t="s">
        <v>34</v>
      </c>
      <c r="D8803" s="5" t="s">
        <v>701</v>
      </c>
      <c r="E8803" s="5" t="s">
        <v>54936</v>
      </c>
      <c r="F8803" s="5" t="s">
        <v>37</v>
      </c>
      <c r="G8803" s="5" t="s">
        <v>54937</v>
      </c>
      <c r="H8803" s="6" t="s">
        <v>54938</v>
      </c>
      <c r="K8803" s="5" t="s">
        <v>54884</v>
      </c>
    </row>
    <row r="8804">
      <c r="A8804" s="4">
        <v>45534.41662954861</v>
      </c>
      <c r="B8804" s="5" t="s">
        <v>34</v>
      </c>
      <c r="D8804" s="5" t="s">
        <v>4775</v>
      </c>
      <c r="E8804" s="5" t="s">
        <v>54942</v>
      </c>
      <c r="F8804" s="5" t="s">
        <v>212</v>
      </c>
      <c r="G8804" s="5" t="s">
        <v>54943</v>
      </c>
      <c r="H8804" s="6" t="s">
        <v>54944</v>
      </c>
      <c r="K8804" s="5" t="s">
        <v>54884</v>
      </c>
    </row>
    <row r="8805">
      <c r="A8805" s="4">
        <v>45534.41664267361</v>
      </c>
      <c r="B8805" s="5" t="s">
        <v>34</v>
      </c>
      <c r="D8805" s="5" t="s">
        <v>604</v>
      </c>
      <c r="E8805" s="5" t="s">
        <v>54948</v>
      </c>
      <c r="F8805" s="5" t="s">
        <v>375</v>
      </c>
      <c r="G8805" s="5" t="s">
        <v>54949</v>
      </c>
      <c r="H8805" s="6" t="s">
        <v>54950</v>
      </c>
      <c r="K8805" s="5" t="s">
        <v>54884</v>
      </c>
    </row>
    <row r="8806">
      <c r="A8806" s="4">
        <v>45534.416695567124</v>
      </c>
      <c r="B8806" s="5" t="s">
        <v>19</v>
      </c>
      <c r="C8806" s="5" t="s">
        <v>83</v>
      </c>
      <c r="E8806" s="5" t="s">
        <v>54954</v>
      </c>
      <c r="F8806" s="5" t="s">
        <v>375</v>
      </c>
      <c r="G8806" s="5" t="s">
        <v>54955</v>
      </c>
      <c r="H8806" s="6" t="s">
        <v>54956</v>
      </c>
      <c r="K8806" s="5" t="s">
        <v>54884</v>
      </c>
    </row>
    <row r="8807">
      <c r="A8807" s="4">
        <v>45534.41673548611</v>
      </c>
      <c r="B8807" s="5" t="s">
        <v>34</v>
      </c>
      <c r="D8807" s="5" t="s">
        <v>11913</v>
      </c>
      <c r="E8807" s="5" t="s">
        <v>54960</v>
      </c>
      <c r="F8807" s="5" t="s">
        <v>212</v>
      </c>
      <c r="G8807" s="5" t="s">
        <v>54961</v>
      </c>
      <c r="H8807" s="6" t="s">
        <v>54962</v>
      </c>
      <c r="K8807" s="5" t="s">
        <v>54963</v>
      </c>
    </row>
    <row r="8808">
      <c r="A8808" s="4">
        <v>45534.416746365736</v>
      </c>
      <c r="B8808" s="5" t="s">
        <v>19</v>
      </c>
      <c r="C8808" s="5" t="s">
        <v>38343</v>
      </c>
      <c r="E8808" s="5" t="s">
        <v>54967</v>
      </c>
      <c r="F8808" s="5" t="s">
        <v>212</v>
      </c>
      <c r="G8808" s="5" t="s">
        <v>54968</v>
      </c>
      <c r="H8808" s="6" t="s">
        <v>54969</v>
      </c>
      <c r="K8808" s="5" t="s">
        <v>54963</v>
      </c>
    </row>
    <row r="8809">
      <c r="A8809" s="4">
        <v>45534.41688030092</v>
      </c>
      <c r="B8809" s="5" t="s">
        <v>34</v>
      </c>
      <c r="D8809" s="5" t="s">
        <v>1206</v>
      </c>
      <c r="E8809" s="5" t="s">
        <v>54973</v>
      </c>
      <c r="F8809" s="5" t="s">
        <v>212</v>
      </c>
      <c r="G8809" s="5" t="s">
        <v>54974</v>
      </c>
      <c r="H8809" s="6" t="s">
        <v>54975</v>
      </c>
      <c r="K8809" s="5" t="s">
        <v>54963</v>
      </c>
    </row>
    <row r="8810">
      <c r="A8810" s="4">
        <v>45534.41690625</v>
      </c>
      <c r="B8810" s="5" t="s">
        <v>34</v>
      </c>
      <c r="D8810" s="5" t="s">
        <v>1206</v>
      </c>
      <c r="E8810" s="5" t="s">
        <v>54979</v>
      </c>
      <c r="F8810" s="5" t="s">
        <v>37</v>
      </c>
      <c r="G8810" s="5" t="s">
        <v>54980</v>
      </c>
      <c r="H8810" s="6" t="s">
        <v>54981</v>
      </c>
      <c r="K8810" s="5" t="s">
        <v>54963</v>
      </c>
    </row>
    <row r="8811">
      <c r="A8811" s="4">
        <v>45534.416912824076</v>
      </c>
      <c r="B8811" s="5" t="s">
        <v>34</v>
      </c>
      <c r="D8811" s="5" t="s">
        <v>1206</v>
      </c>
      <c r="E8811" s="5" t="s">
        <v>22502</v>
      </c>
      <c r="F8811" s="5" t="s">
        <v>212</v>
      </c>
      <c r="G8811" s="5" t="s">
        <v>54985</v>
      </c>
      <c r="H8811" s="6" t="s">
        <v>54986</v>
      </c>
      <c r="K8811" s="5" t="s">
        <v>54963</v>
      </c>
    </row>
    <row r="8812">
      <c r="A8812" s="4">
        <v>45534.416932430555</v>
      </c>
      <c r="B8812" s="5" t="s">
        <v>34</v>
      </c>
      <c r="D8812" s="5" t="s">
        <v>2903</v>
      </c>
      <c r="E8812" s="5" t="s">
        <v>54990</v>
      </c>
      <c r="F8812" s="5" t="s">
        <v>375</v>
      </c>
      <c r="G8812" s="5" t="s">
        <v>54991</v>
      </c>
      <c r="H8812" s="6" t="s">
        <v>54992</v>
      </c>
      <c r="K8812" s="5" t="s">
        <v>54963</v>
      </c>
    </row>
    <row r="8813">
      <c r="A8813" s="4">
        <v>45534.41694444444</v>
      </c>
      <c r="B8813" s="5" t="s">
        <v>34</v>
      </c>
      <c r="D8813" s="5" t="s">
        <v>12978</v>
      </c>
      <c r="E8813" s="5" t="s">
        <v>54996</v>
      </c>
      <c r="F8813" s="5" t="s">
        <v>212</v>
      </c>
      <c r="G8813" s="5" t="s">
        <v>54997</v>
      </c>
      <c r="H8813" s="6" t="s">
        <v>54998</v>
      </c>
      <c r="K8813" s="5" t="s">
        <v>54963</v>
      </c>
    </row>
    <row r="8814">
      <c r="A8814" s="4">
        <v>45534.41697873843</v>
      </c>
      <c r="B8814" s="5" t="s">
        <v>34</v>
      </c>
      <c r="D8814" s="5" t="s">
        <v>3849</v>
      </c>
      <c r="E8814" s="5" t="s">
        <v>55002</v>
      </c>
      <c r="F8814" s="5" t="s">
        <v>524</v>
      </c>
      <c r="G8814" s="5" t="s">
        <v>55003</v>
      </c>
      <c r="H8814" s="6" t="s">
        <v>55004</v>
      </c>
      <c r="K8814" s="5" t="s">
        <v>54963</v>
      </c>
    </row>
    <row r="8815">
      <c r="A8815" s="4">
        <v>45534.41704760416</v>
      </c>
      <c r="B8815" s="5" t="s">
        <v>34</v>
      </c>
      <c r="D8815" s="5" t="s">
        <v>6232</v>
      </c>
      <c r="E8815" s="5" t="s">
        <v>55008</v>
      </c>
      <c r="F8815" s="5" t="s">
        <v>37</v>
      </c>
      <c r="G8815" s="5" t="s">
        <v>55009</v>
      </c>
      <c r="H8815" s="6" t="s">
        <v>55010</v>
      </c>
      <c r="K8815" s="5" t="s">
        <v>54963</v>
      </c>
    </row>
    <row r="8816">
      <c r="A8816" s="4">
        <v>45534.41711334491</v>
      </c>
      <c r="B8816" s="5" t="s">
        <v>19</v>
      </c>
      <c r="C8816" s="5" t="s">
        <v>3301</v>
      </c>
      <c r="E8816" s="5" t="s">
        <v>55014</v>
      </c>
      <c r="F8816" s="5" t="s">
        <v>108</v>
      </c>
      <c r="G8816" s="5" t="s">
        <v>55015</v>
      </c>
      <c r="H8816" s="6" t="s">
        <v>55016</v>
      </c>
      <c r="K8816" s="5" t="s">
        <v>54963</v>
      </c>
    </row>
    <row r="8817">
      <c r="A8817" s="4">
        <v>45534.41712900463</v>
      </c>
      <c r="B8817" s="5" t="s">
        <v>34</v>
      </c>
      <c r="D8817" s="5" t="s">
        <v>35</v>
      </c>
      <c r="E8817" s="5" t="s">
        <v>55020</v>
      </c>
      <c r="F8817" s="5" t="s">
        <v>72</v>
      </c>
      <c r="G8817" s="5" t="s">
        <v>55021</v>
      </c>
      <c r="H8817" s="6" t="s">
        <v>55022</v>
      </c>
      <c r="K8817" s="5" t="s">
        <v>54963</v>
      </c>
    </row>
    <row r="8818">
      <c r="A8818" s="4">
        <v>45534.417144872685</v>
      </c>
      <c r="B8818" s="5" t="s">
        <v>34</v>
      </c>
      <c r="D8818" s="5" t="s">
        <v>3849</v>
      </c>
      <c r="E8818" s="5" t="s">
        <v>55026</v>
      </c>
      <c r="F8818" s="5" t="s">
        <v>108</v>
      </c>
      <c r="G8818" s="5" t="s">
        <v>55027</v>
      </c>
      <c r="H8818" s="6" t="s">
        <v>55028</v>
      </c>
      <c r="K8818" s="5" t="s">
        <v>54963</v>
      </c>
    </row>
    <row r="8819">
      <c r="A8819" s="4">
        <v>45534.41716221065</v>
      </c>
      <c r="B8819" s="5" t="s">
        <v>34</v>
      </c>
      <c r="D8819" s="5" t="s">
        <v>1456</v>
      </c>
      <c r="E8819" s="5" t="s">
        <v>55032</v>
      </c>
      <c r="F8819" s="5" t="s">
        <v>524</v>
      </c>
      <c r="G8819" s="5" t="s">
        <v>55033</v>
      </c>
      <c r="H8819" s="6" t="s">
        <v>55034</v>
      </c>
      <c r="K8819" s="5" t="s">
        <v>55035</v>
      </c>
    </row>
    <row r="8820">
      <c r="A8820" s="4">
        <v>45534.417173333335</v>
      </c>
      <c r="B8820" s="5" t="s">
        <v>34</v>
      </c>
      <c r="D8820" s="5" t="s">
        <v>701</v>
      </c>
      <c r="E8820" s="5" t="s">
        <v>55039</v>
      </c>
      <c r="F8820" s="5" t="s">
        <v>37</v>
      </c>
      <c r="G8820" s="5" t="s">
        <v>55040</v>
      </c>
      <c r="H8820" s="6" t="s">
        <v>55041</v>
      </c>
      <c r="K8820" s="5" t="s">
        <v>55035</v>
      </c>
    </row>
    <row r="8821">
      <c r="A8821" s="4">
        <v>45534.41718340278</v>
      </c>
      <c r="B8821" s="5" t="s">
        <v>34</v>
      </c>
      <c r="D8821" s="5" t="s">
        <v>4775</v>
      </c>
      <c r="E8821" s="5" t="s">
        <v>55045</v>
      </c>
      <c r="F8821" s="5" t="s">
        <v>5859</v>
      </c>
      <c r="G8821" s="5" t="s">
        <v>55046</v>
      </c>
      <c r="H8821" s="6" t="s">
        <v>55047</v>
      </c>
      <c r="K8821" s="5" t="s">
        <v>55035</v>
      </c>
    </row>
    <row r="8822">
      <c r="A8822" s="4">
        <v>45534.417192719906</v>
      </c>
      <c r="B8822" s="5" t="s">
        <v>19</v>
      </c>
      <c r="C8822" s="5" t="s">
        <v>1606</v>
      </c>
      <c r="E8822" s="5" t="s">
        <v>55051</v>
      </c>
      <c r="F8822" s="5" t="s">
        <v>72</v>
      </c>
      <c r="G8822" s="5" t="s">
        <v>55052</v>
      </c>
      <c r="H8822" s="6" t="s">
        <v>55053</v>
      </c>
      <c r="K8822" s="5" t="s">
        <v>55035</v>
      </c>
    </row>
    <row r="8823">
      <c r="A8823" s="4">
        <v>45534.41720430556</v>
      </c>
      <c r="B8823" s="5" t="s">
        <v>34</v>
      </c>
      <c r="D8823" s="5" t="s">
        <v>35</v>
      </c>
      <c r="E8823" s="5" t="s">
        <v>55057</v>
      </c>
      <c r="F8823" s="5" t="s">
        <v>37</v>
      </c>
      <c r="G8823" s="5" t="s">
        <v>55058</v>
      </c>
      <c r="H8823" s="6" t="s">
        <v>55059</v>
      </c>
      <c r="K8823" s="5" t="s">
        <v>55035</v>
      </c>
    </row>
    <row r="8824">
      <c r="A8824" s="4">
        <v>45534.41731217592</v>
      </c>
      <c r="B8824" s="5" t="s">
        <v>34</v>
      </c>
      <c r="D8824" s="5" t="s">
        <v>10444</v>
      </c>
      <c r="E8824" s="5" t="s">
        <v>55063</v>
      </c>
      <c r="F8824" s="5" t="s">
        <v>212</v>
      </c>
      <c r="G8824" s="5" t="s">
        <v>55064</v>
      </c>
      <c r="H8824" s="6" t="s">
        <v>55065</v>
      </c>
      <c r="K8824" s="5" t="s">
        <v>55035</v>
      </c>
    </row>
    <row r="8825">
      <c r="A8825" s="4">
        <v>45534.41737976852</v>
      </c>
      <c r="B8825" s="5" t="s">
        <v>34</v>
      </c>
      <c r="D8825" s="5" t="s">
        <v>1558</v>
      </c>
      <c r="E8825" s="5" t="s">
        <v>55069</v>
      </c>
      <c r="F8825" s="5" t="s">
        <v>212</v>
      </c>
      <c r="G8825" s="5" t="s">
        <v>55070</v>
      </c>
      <c r="H8825" s="6" t="s">
        <v>55071</v>
      </c>
      <c r="K8825" s="5" t="s">
        <v>55035</v>
      </c>
    </row>
    <row r="8826">
      <c r="A8826" s="4">
        <v>45534.41738905093</v>
      </c>
      <c r="B8826" s="5" t="s">
        <v>34</v>
      </c>
      <c r="D8826" s="5" t="s">
        <v>701</v>
      </c>
      <c r="E8826" s="5" t="s">
        <v>55075</v>
      </c>
      <c r="F8826" s="5" t="s">
        <v>37</v>
      </c>
      <c r="G8826" s="5" t="s">
        <v>55076</v>
      </c>
      <c r="H8826" s="6" t="s">
        <v>55077</v>
      </c>
      <c r="K8826" s="5" t="s">
        <v>55035</v>
      </c>
    </row>
    <row r="8827">
      <c r="A8827" s="4">
        <v>45534.417406423614</v>
      </c>
      <c r="B8827" s="5" t="s">
        <v>34</v>
      </c>
      <c r="D8827" s="5" t="s">
        <v>35</v>
      </c>
      <c r="E8827" s="5" t="s">
        <v>55081</v>
      </c>
      <c r="F8827" s="5" t="s">
        <v>375</v>
      </c>
      <c r="G8827" s="5" t="s">
        <v>55082</v>
      </c>
      <c r="H8827" s="6" t="s">
        <v>55083</v>
      </c>
      <c r="K8827" s="5" t="s">
        <v>55035</v>
      </c>
    </row>
    <row r="8828">
      <c r="A8828" s="4">
        <v>45534.417438206016</v>
      </c>
      <c r="B8828" s="5" t="s">
        <v>34</v>
      </c>
      <c r="D8828" s="5" t="s">
        <v>1558</v>
      </c>
      <c r="E8828" s="5" t="s">
        <v>55087</v>
      </c>
      <c r="F8828" s="5" t="s">
        <v>199</v>
      </c>
      <c r="G8828" s="5" t="s">
        <v>55088</v>
      </c>
      <c r="H8828" s="6" t="s">
        <v>55089</v>
      </c>
      <c r="K8828" s="5" t="s">
        <v>55090</v>
      </c>
    </row>
    <row r="8829">
      <c r="A8829" s="4">
        <v>45534.4175764699</v>
      </c>
      <c r="B8829" s="5" t="s">
        <v>19</v>
      </c>
      <c r="C8829" s="5" t="s">
        <v>38343</v>
      </c>
      <c r="E8829" s="5" t="s">
        <v>55094</v>
      </c>
      <c r="F8829" s="5" t="s">
        <v>375</v>
      </c>
      <c r="G8829" s="5" t="s">
        <v>55095</v>
      </c>
      <c r="H8829" s="6" t="s">
        <v>55096</v>
      </c>
      <c r="K8829" s="5" t="s">
        <v>55097</v>
      </c>
    </row>
    <row r="8830">
      <c r="A8830" s="4">
        <v>45534.41763966435</v>
      </c>
      <c r="B8830" s="5" t="s">
        <v>34</v>
      </c>
      <c r="D8830" s="5" t="s">
        <v>10444</v>
      </c>
      <c r="E8830" s="5" t="s">
        <v>55101</v>
      </c>
      <c r="F8830" s="5" t="s">
        <v>212</v>
      </c>
      <c r="G8830" s="5" t="s">
        <v>55102</v>
      </c>
      <c r="H8830" s="6" t="s">
        <v>55103</v>
      </c>
      <c r="K8830" s="5" t="s">
        <v>55104</v>
      </c>
    </row>
    <row r="8831">
      <c r="A8831" s="4">
        <v>45534.417689027774</v>
      </c>
      <c r="B8831" s="5" t="s">
        <v>34</v>
      </c>
      <c r="D8831" s="5" t="s">
        <v>1206</v>
      </c>
      <c r="E8831" s="5" t="s">
        <v>55108</v>
      </c>
      <c r="F8831" s="5" t="s">
        <v>37</v>
      </c>
      <c r="G8831" s="5" t="s">
        <v>55109</v>
      </c>
      <c r="H8831" s="6" t="s">
        <v>55110</v>
      </c>
      <c r="K8831" s="5" t="s">
        <v>55111</v>
      </c>
    </row>
    <row r="8832">
      <c r="A8832" s="4">
        <v>45534.417826944446</v>
      </c>
      <c r="B8832" s="5" t="s">
        <v>34</v>
      </c>
      <c r="D8832" s="5" t="s">
        <v>9020</v>
      </c>
      <c r="E8832" s="5" t="s">
        <v>55115</v>
      </c>
      <c r="F8832" s="5" t="s">
        <v>212</v>
      </c>
      <c r="G8832" s="5" t="s">
        <v>55116</v>
      </c>
      <c r="H8832" s="6" t="s">
        <v>55117</v>
      </c>
      <c r="K8832" s="5" t="s">
        <v>55118</v>
      </c>
    </row>
    <row r="8833">
      <c r="A8833" s="4">
        <v>45534.41785452546</v>
      </c>
      <c r="B8833" s="5" t="s">
        <v>34</v>
      </c>
      <c r="D8833" s="5" t="s">
        <v>4775</v>
      </c>
      <c r="E8833" s="5" t="s">
        <v>55122</v>
      </c>
      <c r="F8833" s="5" t="s">
        <v>375</v>
      </c>
      <c r="G8833" s="5" t="s">
        <v>55123</v>
      </c>
      <c r="H8833" s="6" t="s">
        <v>55124</v>
      </c>
      <c r="K8833" s="5" t="s">
        <v>55125</v>
      </c>
    </row>
    <row r="8834">
      <c r="A8834" s="4">
        <v>45534.41786028935</v>
      </c>
      <c r="B8834" s="5" t="s">
        <v>34</v>
      </c>
      <c r="D8834" s="5" t="s">
        <v>6232</v>
      </c>
      <c r="E8834" s="5" t="s">
        <v>55128</v>
      </c>
      <c r="F8834" s="5" t="s">
        <v>72</v>
      </c>
      <c r="G8834" s="5" t="s">
        <v>55129</v>
      </c>
      <c r="H8834" s="6" t="s">
        <v>55130</v>
      </c>
      <c r="K8834" s="5" t="s">
        <v>55125</v>
      </c>
    </row>
    <row r="8835">
      <c r="A8835" s="4">
        <v>45534.41786112268</v>
      </c>
      <c r="B8835" s="5" t="s">
        <v>19</v>
      </c>
      <c r="C8835" s="5" t="s">
        <v>55133</v>
      </c>
      <c r="E8835" s="5" t="s">
        <v>55134</v>
      </c>
      <c r="F8835" s="5" t="s">
        <v>108</v>
      </c>
      <c r="G8835" s="5" t="s">
        <v>55135</v>
      </c>
      <c r="H8835" s="6" t="s">
        <v>55136</v>
      </c>
      <c r="K8835" s="5" t="s">
        <v>55125</v>
      </c>
    </row>
    <row r="8836">
      <c r="A8836" s="4">
        <v>45534.41789318287</v>
      </c>
      <c r="B8836" s="5" t="s">
        <v>34</v>
      </c>
      <c r="D8836" s="5" t="s">
        <v>4775</v>
      </c>
      <c r="E8836" s="5" t="s">
        <v>55140</v>
      </c>
      <c r="F8836" s="5" t="s">
        <v>375</v>
      </c>
      <c r="G8836" s="5" t="s">
        <v>55141</v>
      </c>
      <c r="H8836" s="6" t="s">
        <v>55142</v>
      </c>
      <c r="K8836" s="5" t="s">
        <v>55143</v>
      </c>
    </row>
    <row r="8837">
      <c r="A8837" s="4">
        <v>45534.41791969907</v>
      </c>
      <c r="B8837" s="5" t="s">
        <v>34</v>
      </c>
      <c r="D8837" s="5" t="s">
        <v>1206</v>
      </c>
      <c r="E8837" s="5" t="s">
        <v>55146</v>
      </c>
      <c r="F8837" s="5" t="s">
        <v>212</v>
      </c>
      <c r="G8837" s="5" t="s">
        <v>55147</v>
      </c>
      <c r="H8837" s="6" t="s">
        <v>55148</v>
      </c>
      <c r="K8837" s="5" t="s">
        <v>55149</v>
      </c>
    </row>
    <row r="8838">
      <c r="A8838" s="4">
        <v>45534.417930868054</v>
      </c>
      <c r="B8838" s="5" t="s">
        <v>34</v>
      </c>
      <c r="D8838" s="5" t="s">
        <v>6232</v>
      </c>
      <c r="E8838" s="5" t="s">
        <v>55152</v>
      </c>
      <c r="F8838" s="5" t="s">
        <v>120</v>
      </c>
      <c r="G8838" s="5" t="s">
        <v>55153</v>
      </c>
      <c r="H8838" s="6" t="s">
        <v>55154</v>
      </c>
      <c r="K8838" s="5" t="s">
        <v>55155</v>
      </c>
    </row>
    <row r="8839">
      <c r="A8839" s="4">
        <v>45534.417939039355</v>
      </c>
      <c r="B8839" s="5" t="s">
        <v>34</v>
      </c>
      <c r="D8839" s="5" t="s">
        <v>12978</v>
      </c>
      <c r="E8839" s="5" t="s">
        <v>55158</v>
      </c>
      <c r="F8839" s="5" t="s">
        <v>212</v>
      </c>
      <c r="G8839" s="5" t="s">
        <v>55159</v>
      </c>
      <c r="H8839" s="6" t="s">
        <v>55160</v>
      </c>
      <c r="K8839" s="5" t="s">
        <v>55155</v>
      </c>
    </row>
    <row r="8840">
      <c r="A8840" s="4">
        <v>45534.417944479166</v>
      </c>
      <c r="B8840" s="5" t="s">
        <v>34</v>
      </c>
      <c r="D8840" s="5" t="s">
        <v>35</v>
      </c>
      <c r="E8840" s="5" t="s">
        <v>55164</v>
      </c>
      <c r="F8840" s="5" t="s">
        <v>524</v>
      </c>
      <c r="G8840" s="5" t="s">
        <v>55165</v>
      </c>
      <c r="H8840" s="6" t="s">
        <v>55166</v>
      </c>
      <c r="K8840" s="5" t="s">
        <v>55167</v>
      </c>
    </row>
    <row r="8841">
      <c r="A8841" s="4">
        <v>45534.41796438658</v>
      </c>
      <c r="B8841" s="5" t="s">
        <v>34</v>
      </c>
      <c r="D8841" s="5" t="s">
        <v>580</v>
      </c>
      <c r="E8841" s="5" t="s">
        <v>55170</v>
      </c>
      <c r="F8841" s="5" t="s">
        <v>375</v>
      </c>
      <c r="G8841" s="5" t="s">
        <v>55171</v>
      </c>
      <c r="H8841" s="6" t="s">
        <v>55172</v>
      </c>
      <c r="K8841" s="5" t="s">
        <v>55167</v>
      </c>
    </row>
    <row r="8842">
      <c r="A8842" s="4">
        <v>45534.41799773148</v>
      </c>
      <c r="B8842" s="5" t="s">
        <v>34</v>
      </c>
      <c r="D8842" s="5" t="s">
        <v>11527</v>
      </c>
      <c r="E8842" s="5" t="s">
        <v>55175</v>
      </c>
      <c r="F8842" s="5" t="s">
        <v>120</v>
      </c>
      <c r="G8842" s="5" t="s">
        <v>55176</v>
      </c>
      <c r="H8842" s="6" t="s">
        <v>55177</v>
      </c>
      <c r="K8842" s="5" t="s">
        <v>55178</v>
      </c>
    </row>
    <row r="8843">
      <c r="A8843" s="4">
        <v>45534.418006886575</v>
      </c>
      <c r="B8843" s="5" t="s">
        <v>34</v>
      </c>
      <c r="D8843" s="5" t="s">
        <v>996</v>
      </c>
      <c r="E8843" s="5" t="s">
        <v>55181</v>
      </c>
      <c r="F8843" s="5" t="s">
        <v>375</v>
      </c>
      <c r="G8843" s="5" t="s">
        <v>55182</v>
      </c>
      <c r="H8843" s="6" t="s">
        <v>55183</v>
      </c>
      <c r="K8843" s="5" t="s">
        <v>55184</v>
      </c>
    </row>
    <row r="8844">
      <c r="A8844" s="4">
        <v>45534.418009236106</v>
      </c>
      <c r="B8844" s="5" t="s">
        <v>34</v>
      </c>
      <c r="D8844" s="5" t="s">
        <v>1456</v>
      </c>
      <c r="E8844" s="5" t="s">
        <v>55187</v>
      </c>
      <c r="F8844" s="5" t="s">
        <v>37</v>
      </c>
      <c r="G8844" s="5" t="s">
        <v>55188</v>
      </c>
      <c r="H8844" s="6" t="s">
        <v>55189</v>
      </c>
      <c r="K8844" s="5" t="s">
        <v>55184</v>
      </c>
    </row>
    <row r="8845">
      <c r="A8845" s="4">
        <v>45534.418085682875</v>
      </c>
      <c r="B8845" s="5" t="s">
        <v>19</v>
      </c>
      <c r="C8845" s="5" t="s">
        <v>292</v>
      </c>
      <c r="E8845" s="5" t="s">
        <v>55193</v>
      </c>
      <c r="F8845" s="5" t="s">
        <v>120</v>
      </c>
      <c r="G8845" s="5" t="s">
        <v>55194</v>
      </c>
      <c r="H8845" s="6" t="s">
        <v>55195</v>
      </c>
      <c r="K8845" s="5" t="s">
        <v>55196</v>
      </c>
    </row>
    <row r="8846">
      <c r="A8846" s="4">
        <v>45534.41809037037</v>
      </c>
      <c r="B8846" s="5" t="s">
        <v>34</v>
      </c>
      <c r="D8846" s="5" t="s">
        <v>1206</v>
      </c>
      <c r="E8846" s="5" t="s">
        <v>55199</v>
      </c>
      <c r="F8846" s="5" t="s">
        <v>37</v>
      </c>
      <c r="G8846" s="5" t="s">
        <v>55200</v>
      </c>
      <c r="H8846" s="6" t="s">
        <v>55201</v>
      </c>
      <c r="K8846" s="5" t="s">
        <v>55196</v>
      </c>
    </row>
    <row r="8847">
      <c r="A8847" s="4">
        <v>45534.41809850694</v>
      </c>
      <c r="B8847" s="5" t="s">
        <v>34</v>
      </c>
      <c r="D8847" s="5" t="s">
        <v>14313</v>
      </c>
      <c r="E8847" s="5" t="s">
        <v>55204</v>
      </c>
      <c r="F8847" s="5" t="s">
        <v>37</v>
      </c>
      <c r="G8847" s="5" t="s">
        <v>55205</v>
      </c>
      <c r="H8847" s="6" t="s">
        <v>55206</v>
      </c>
      <c r="K8847" s="5" t="s">
        <v>55196</v>
      </c>
    </row>
    <row r="8848">
      <c r="A8848" s="4">
        <v>45534.4181827662</v>
      </c>
      <c r="B8848" s="5" t="s">
        <v>34</v>
      </c>
      <c r="D8848" s="5" t="s">
        <v>2903</v>
      </c>
      <c r="E8848" s="5" t="s">
        <v>55209</v>
      </c>
      <c r="F8848" s="5" t="s">
        <v>120</v>
      </c>
      <c r="G8848" s="5" t="s">
        <v>55210</v>
      </c>
      <c r="H8848" s="6" t="s">
        <v>55211</v>
      </c>
      <c r="K8848" s="5" t="s">
        <v>55212</v>
      </c>
    </row>
    <row r="8849">
      <c r="A8849" s="4">
        <v>45534.418185601855</v>
      </c>
      <c r="B8849" s="5" t="s">
        <v>34</v>
      </c>
      <c r="D8849" s="5" t="s">
        <v>35</v>
      </c>
      <c r="E8849" s="5" t="s">
        <v>55215</v>
      </c>
      <c r="F8849" s="5" t="s">
        <v>524</v>
      </c>
      <c r="G8849" s="5" t="s">
        <v>55216</v>
      </c>
      <c r="H8849" s="6" t="s">
        <v>55217</v>
      </c>
      <c r="K8849" s="5" t="s">
        <v>55212</v>
      </c>
    </row>
    <row r="8850">
      <c r="A8850" s="4">
        <v>45534.4181865162</v>
      </c>
      <c r="B8850" s="5" t="s">
        <v>34</v>
      </c>
      <c r="D8850" s="5" t="s">
        <v>2903</v>
      </c>
      <c r="E8850" s="5" t="s">
        <v>55220</v>
      </c>
      <c r="F8850" s="5" t="s">
        <v>120</v>
      </c>
      <c r="G8850" s="5" t="s">
        <v>55221</v>
      </c>
      <c r="H8850" s="6" t="s">
        <v>55222</v>
      </c>
      <c r="K8850" s="5" t="s">
        <v>55212</v>
      </c>
    </row>
    <row r="8851">
      <c r="A8851" s="4">
        <v>45534.418187812495</v>
      </c>
      <c r="B8851" s="5" t="s">
        <v>34</v>
      </c>
      <c r="D8851" s="5" t="s">
        <v>10444</v>
      </c>
      <c r="E8851" s="5" t="s">
        <v>55226</v>
      </c>
      <c r="F8851" s="5" t="s">
        <v>212</v>
      </c>
      <c r="G8851" s="5" t="s">
        <v>55227</v>
      </c>
      <c r="H8851" s="6" t="s">
        <v>55228</v>
      </c>
      <c r="K8851" s="5" t="s">
        <v>55212</v>
      </c>
    </row>
    <row r="8852">
      <c r="A8852" s="4">
        <v>45534.418290625</v>
      </c>
      <c r="B8852" s="5" t="s">
        <v>34</v>
      </c>
      <c r="D8852" s="5" t="s">
        <v>267</v>
      </c>
      <c r="E8852" s="5" t="s">
        <v>55232</v>
      </c>
      <c r="F8852" s="5" t="s">
        <v>212</v>
      </c>
      <c r="G8852" s="5" t="s">
        <v>55233</v>
      </c>
      <c r="H8852" s="6" t="s">
        <v>55234</v>
      </c>
      <c r="K8852" s="5" t="s">
        <v>55235</v>
      </c>
    </row>
    <row r="8853">
      <c r="A8853" s="4">
        <v>45534.41829376157</v>
      </c>
      <c r="B8853" s="5" t="s">
        <v>34</v>
      </c>
      <c r="D8853" s="5" t="s">
        <v>1206</v>
      </c>
      <c r="E8853" s="5" t="s">
        <v>55239</v>
      </c>
      <c r="F8853" s="5" t="s">
        <v>72</v>
      </c>
      <c r="G8853" s="5" t="s">
        <v>55240</v>
      </c>
      <c r="H8853" s="6" t="s">
        <v>55241</v>
      </c>
      <c r="K8853" s="5" t="s">
        <v>55235</v>
      </c>
    </row>
    <row r="8854">
      <c r="A8854" s="4">
        <v>45534.41829884259</v>
      </c>
      <c r="B8854" s="5" t="s">
        <v>34</v>
      </c>
      <c r="D8854" s="5" t="s">
        <v>1206</v>
      </c>
      <c r="E8854" s="5" t="s">
        <v>55245</v>
      </c>
      <c r="F8854" s="5" t="s">
        <v>120</v>
      </c>
      <c r="G8854" s="5" t="s">
        <v>55246</v>
      </c>
      <c r="H8854" s="6" t="s">
        <v>55247</v>
      </c>
      <c r="K8854" s="5" t="s">
        <v>55235</v>
      </c>
    </row>
    <row r="8855">
      <c r="A8855" s="4">
        <v>45534.41831245371</v>
      </c>
      <c r="B8855" s="5" t="s">
        <v>34</v>
      </c>
      <c r="D8855" s="5" t="s">
        <v>580</v>
      </c>
      <c r="E8855" s="5" t="s">
        <v>55251</v>
      </c>
      <c r="F8855" s="5" t="s">
        <v>37</v>
      </c>
      <c r="G8855" s="5" t="s">
        <v>55252</v>
      </c>
      <c r="H8855" s="6" t="s">
        <v>55253</v>
      </c>
      <c r="K8855" s="5" t="s">
        <v>55235</v>
      </c>
    </row>
    <row r="8856">
      <c r="A8856" s="4">
        <v>45534.41835604167</v>
      </c>
      <c r="B8856" s="5" t="s">
        <v>34</v>
      </c>
      <c r="D8856" s="5" t="s">
        <v>2903</v>
      </c>
      <c r="E8856" s="5" t="s">
        <v>55257</v>
      </c>
      <c r="F8856" s="5" t="s">
        <v>108</v>
      </c>
      <c r="G8856" s="5" t="s">
        <v>55258</v>
      </c>
      <c r="H8856" s="6" t="s">
        <v>55259</v>
      </c>
      <c r="K8856" s="5" t="s">
        <v>55235</v>
      </c>
    </row>
    <row r="8857">
      <c r="A8857" s="4">
        <v>45534.41842857639</v>
      </c>
      <c r="B8857" s="5" t="s">
        <v>19</v>
      </c>
      <c r="C8857" s="5" t="s">
        <v>466</v>
      </c>
      <c r="E8857" s="5" t="s">
        <v>55263</v>
      </c>
      <c r="F8857" s="5" t="s">
        <v>375</v>
      </c>
      <c r="G8857" s="5" t="s">
        <v>55264</v>
      </c>
      <c r="H8857" s="6" t="s">
        <v>55265</v>
      </c>
      <c r="K8857" s="5" t="s">
        <v>55235</v>
      </c>
    </row>
    <row r="8858">
      <c r="A8858" s="4">
        <v>45534.41849423611</v>
      </c>
      <c r="B8858" s="5" t="s">
        <v>34</v>
      </c>
      <c r="D8858" s="5" t="s">
        <v>35</v>
      </c>
      <c r="E8858" s="5" t="s">
        <v>55269</v>
      </c>
      <c r="F8858" s="5" t="s">
        <v>37</v>
      </c>
      <c r="G8858" s="5" t="s">
        <v>55270</v>
      </c>
      <c r="H8858" s="6" t="s">
        <v>55271</v>
      </c>
      <c r="K8858" s="5" t="s">
        <v>55235</v>
      </c>
    </row>
    <row r="8859">
      <c r="A8859" s="4">
        <v>45534.41852832176</v>
      </c>
      <c r="B8859" s="5" t="s">
        <v>34</v>
      </c>
      <c r="D8859" s="5" t="s">
        <v>4775</v>
      </c>
      <c r="E8859" s="5" t="s">
        <v>55275</v>
      </c>
      <c r="F8859" s="5" t="s">
        <v>375</v>
      </c>
      <c r="G8859" s="5" t="s">
        <v>55276</v>
      </c>
      <c r="H8859" s="6" t="s">
        <v>55277</v>
      </c>
      <c r="K8859" s="5" t="s">
        <v>55235</v>
      </c>
    </row>
    <row r="8860">
      <c r="A8860" s="4">
        <v>45534.418534375</v>
      </c>
      <c r="B8860" s="5" t="s">
        <v>34</v>
      </c>
      <c r="D8860" s="5" t="s">
        <v>9020</v>
      </c>
      <c r="E8860" s="5" t="s">
        <v>55281</v>
      </c>
      <c r="F8860" s="5" t="s">
        <v>108</v>
      </c>
      <c r="G8860" s="5" t="s">
        <v>55282</v>
      </c>
      <c r="H8860" s="6" t="s">
        <v>55283</v>
      </c>
      <c r="K8860" s="5" t="s">
        <v>55235</v>
      </c>
    </row>
    <row r="8861">
      <c r="A8861" s="4">
        <v>45534.418555543976</v>
      </c>
      <c r="B8861" s="5" t="s">
        <v>34</v>
      </c>
      <c r="D8861" s="5" t="s">
        <v>1206</v>
      </c>
      <c r="E8861" s="5" t="s">
        <v>55287</v>
      </c>
      <c r="F8861" s="5" t="s">
        <v>375</v>
      </c>
      <c r="G8861" s="5" t="s">
        <v>55288</v>
      </c>
      <c r="H8861" s="6" t="s">
        <v>55289</v>
      </c>
      <c r="K8861" s="5" t="s">
        <v>55235</v>
      </c>
    </row>
    <row r="8862">
      <c r="A8862" s="4">
        <v>45534.41865795139</v>
      </c>
      <c r="B8862" s="5" t="s">
        <v>34</v>
      </c>
      <c r="D8862" s="5" t="s">
        <v>522</v>
      </c>
      <c r="E8862" s="5" t="s">
        <v>55293</v>
      </c>
      <c r="F8862" s="5" t="s">
        <v>375</v>
      </c>
      <c r="G8862" s="5" t="s">
        <v>55294</v>
      </c>
      <c r="H8862" s="6" t="s">
        <v>55295</v>
      </c>
      <c r="K8862" s="5" t="s">
        <v>55235</v>
      </c>
    </row>
    <row r="8863">
      <c r="A8863" s="4">
        <v>45534.41868726852</v>
      </c>
      <c r="B8863" s="5" t="s">
        <v>34</v>
      </c>
      <c r="D8863" s="5" t="s">
        <v>267</v>
      </c>
      <c r="E8863" s="5" t="s">
        <v>55299</v>
      </c>
      <c r="F8863" s="5" t="s">
        <v>375</v>
      </c>
      <c r="G8863" s="5" t="s">
        <v>55300</v>
      </c>
      <c r="H8863" s="6" t="s">
        <v>55301</v>
      </c>
      <c r="K8863" s="5" t="s">
        <v>55235</v>
      </c>
    </row>
    <row r="8864">
      <c r="A8864" s="4">
        <v>45534.41871857639</v>
      </c>
      <c r="B8864" s="5" t="s">
        <v>34</v>
      </c>
      <c r="D8864" s="5" t="s">
        <v>1558</v>
      </c>
      <c r="E8864" s="5" t="s">
        <v>55305</v>
      </c>
      <c r="F8864" s="5" t="s">
        <v>108</v>
      </c>
      <c r="G8864" s="5" t="s">
        <v>55306</v>
      </c>
      <c r="H8864" s="6" t="s">
        <v>55307</v>
      </c>
      <c r="K8864" s="5" t="s">
        <v>55235</v>
      </c>
    </row>
    <row r="8865">
      <c r="A8865" s="4">
        <v>45534.41884362268</v>
      </c>
      <c r="B8865" s="5" t="s">
        <v>34</v>
      </c>
      <c r="D8865" s="5" t="s">
        <v>12978</v>
      </c>
      <c r="E8865" s="5" t="s">
        <v>55311</v>
      </c>
      <c r="F8865" s="5" t="s">
        <v>72</v>
      </c>
      <c r="G8865" s="5" t="s">
        <v>55312</v>
      </c>
      <c r="H8865" s="6" t="s">
        <v>55313</v>
      </c>
      <c r="K8865" s="5" t="s">
        <v>55235</v>
      </c>
    </row>
    <row r="8866">
      <c r="A8866" s="4">
        <v>45534.418869988425</v>
      </c>
      <c r="B8866" s="5" t="s">
        <v>34</v>
      </c>
      <c r="D8866" s="5" t="s">
        <v>12978</v>
      </c>
      <c r="E8866" s="5" t="s">
        <v>55317</v>
      </c>
      <c r="F8866" s="5" t="s">
        <v>212</v>
      </c>
      <c r="G8866" s="5" t="s">
        <v>55318</v>
      </c>
      <c r="H8866" s="6" t="s">
        <v>55319</v>
      </c>
      <c r="K8866" s="5" t="s">
        <v>55320</v>
      </c>
    </row>
    <row r="8867">
      <c r="A8867" s="4">
        <v>45534.4188775</v>
      </c>
      <c r="B8867" s="5" t="s">
        <v>34</v>
      </c>
      <c r="D8867" s="5" t="s">
        <v>35</v>
      </c>
      <c r="E8867" s="5" t="s">
        <v>55324</v>
      </c>
      <c r="F8867" s="5" t="s">
        <v>108</v>
      </c>
      <c r="G8867" s="5" t="s">
        <v>55325</v>
      </c>
      <c r="H8867" s="6" t="s">
        <v>55326</v>
      </c>
      <c r="K8867" s="5" t="s">
        <v>55320</v>
      </c>
    </row>
    <row r="8868">
      <c r="A8868" s="4">
        <v>45534.41892869213</v>
      </c>
      <c r="B8868" s="5" t="s">
        <v>34</v>
      </c>
      <c r="D8868" s="5" t="s">
        <v>35</v>
      </c>
      <c r="E8868" s="5" t="s">
        <v>55330</v>
      </c>
      <c r="F8868" s="5" t="s">
        <v>212</v>
      </c>
      <c r="G8868" s="5" t="s">
        <v>55331</v>
      </c>
      <c r="H8868" s="6" t="s">
        <v>55332</v>
      </c>
      <c r="K8868" s="5" t="s">
        <v>55333</v>
      </c>
    </row>
    <row r="8869">
      <c r="A8869" s="4">
        <v>45534.41894314815</v>
      </c>
      <c r="B8869" s="5" t="s">
        <v>34</v>
      </c>
      <c r="D8869" s="5" t="s">
        <v>1558</v>
      </c>
      <c r="E8869" s="5" t="s">
        <v>55337</v>
      </c>
      <c r="F8869" s="5" t="s">
        <v>72</v>
      </c>
      <c r="G8869" s="5" t="s">
        <v>55338</v>
      </c>
      <c r="H8869" s="6" t="s">
        <v>55339</v>
      </c>
      <c r="K8869" s="5" t="s">
        <v>55340</v>
      </c>
    </row>
    <row r="8870">
      <c r="A8870" s="4">
        <v>45534.41897304398</v>
      </c>
      <c r="B8870" s="5" t="s">
        <v>34</v>
      </c>
      <c r="D8870" s="5" t="s">
        <v>1206</v>
      </c>
      <c r="E8870" s="5" t="s">
        <v>55344</v>
      </c>
      <c r="F8870" s="5" t="s">
        <v>328</v>
      </c>
      <c r="G8870" s="5" t="s">
        <v>55345</v>
      </c>
      <c r="H8870" s="6" t="s">
        <v>55346</v>
      </c>
      <c r="K8870" s="5" t="s">
        <v>55340</v>
      </c>
    </row>
    <row r="8871">
      <c r="A8871" s="4">
        <v>45534.4189940625</v>
      </c>
      <c r="B8871" s="5" t="s">
        <v>19</v>
      </c>
      <c r="C8871" s="5" t="s">
        <v>20</v>
      </c>
      <c r="E8871" s="5" t="s">
        <v>55350</v>
      </c>
      <c r="F8871" s="5" t="s">
        <v>120</v>
      </c>
      <c r="G8871" s="5" t="s">
        <v>55351</v>
      </c>
      <c r="H8871" s="6" t="s">
        <v>55352</v>
      </c>
      <c r="K8871" s="5" t="s">
        <v>55353</v>
      </c>
    </row>
    <row r="8872">
      <c r="A8872" s="4">
        <v>45534.4190050926</v>
      </c>
      <c r="B8872" s="5" t="s">
        <v>34</v>
      </c>
      <c r="D8872" s="5" t="s">
        <v>701</v>
      </c>
      <c r="E8872" s="5" t="s">
        <v>55357</v>
      </c>
      <c r="F8872" s="5" t="s">
        <v>212</v>
      </c>
      <c r="G8872" s="5" t="s">
        <v>55358</v>
      </c>
      <c r="H8872" s="6" t="s">
        <v>55359</v>
      </c>
      <c r="K8872" s="5" t="s">
        <v>55353</v>
      </c>
    </row>
    <row r="8873">
      <c r="A8873" s="4">
        <v>45534.419014444444</v>
      </c>
      <c r="B8873" s="5" t="s">
        <v>34</v>
      </c>
      <c r="D8873" s="5" t="s">
        <v>10444</v>
      </c>
      <c r="E8873" s="5" t="s">
        <v>55363</v>
      </c>
      <c r="F8873" s="5" t="s">
        <v>120</v>
      </c>
      <c r="G8873" s="5" t="s">
        <v>55364</v>
      </c>
      <c r="H8873" s="6" t="s">
        <v>55365</v>
      </c>
      <c r="K8873" s="5" t="s">
        <v>55353</v>
      </c>
    </row>
    <row r="8874">
      <c r="A8874" s="4">
        <v>45534.41909109954</v>
      </c>
      <c r="B8874" s="5" t="s">
        <v>34</v>
      </c>
      <c r="D8874" s="5" t="s">
        <v>9020</v>
      </c>
      <c r="E8874" s="5" t="s">
        <v>55369</v>
      </c>
      <c r="F8874" s="5" t="s">
        <v>212</v>
      </c>
      <c r="G8874" s="5" t="s">
        <v>55370</v>
      </c>
      <c r="H8874" s="6" t="s">
        <v>55371</v>
      </c>
      <c r="K8874" s="5" t="s">
        <v>55372</v>
      </c>
    </row>
    <row r="8875">
      <c r="A8875" s="4">
        <v>45534.41914893519</v>
      </c>
      <c r="B8875" s="5" t="s">
        <v>34</v>
      </c>
      <c r="D8875" s="5" t="s">
        <v>12010</v>
      </c>
      <c r="E8875" s="5" t="s">
        <v>55376</v>
      </c>
      <c r="F8875" s="5" t="s">
        <v>524</v>
      </c>
      <c r="G8875" s="5" t="s">
        <v>55377</v>
      </c>
      <c r="H8875" s="6" t="s">
        <v>55378</v>
      </c>
      <c r="K8875" s="5" t="s">
        <v>55379</v>
      </c>
    </row>
    <row r="8876">
      <c r="A8876" s="4">
        <v>45534.419161990736</v>
      </c>
      <c r="B8876" s="5" t="s">
        <v>34</v>
      </c>
      <c r="D8876" s="5" t="s">
        <v>35</v>
      </c>
      <c r="E8876" s="5" t="s">
        <v>55383</v>
      </c>
      <c r="F8876" s="5" t="s">
        <v>524</v>
      </c>
      <c r="G8876" s="5" t="s">
        <v>55384</v>
      </c>
      <c r="H8876" s="6" t="s">
        <v>55385</v>
      </c>
      <c r="K8876" s="5" t="s">
        <v>55379</v>
      </c>
    </row>
    <row r="8877">
      <c r="A8877" s="4">
        <v>45534.419199421296</v>
      </c>
      <c r="B8877" s="5" t="s">
        <v>34</v>
      </c>
      <c r="D8877" s="5" t="s">
        <v>10297</v>
      </c>
      <c r="E8877" s="5" t="s">
        <v>55389</v>
      </c>
      <c r="F8877" s="5" t="s">
        <v>37</v>
      </c>
      <c r="G8877" s="5" t="s">
        <v>55390</v>
      </c>
      <c r="H8877" s="6" t="s">
        <v>55391</v>
      </c>
      <c r="K8877" s="5" t="s">
        <v>55379</v>
      </c>
    </row>
    <row r="8878">
      <c r="A8878" s="4">
        <v>45534.419240104166</v>
      </c>
      <c r="B8878" s="5" t="s">
        <v>34</v>
      </c>
      <c r="D8878" s="5" t="s">
        <v>267</v>
      </c>
      <c r="E8878" s="5" t="s">
        <v>55395</v>
      </c>
      <c r="F8878" s="5" t="s">
        <v>120</v>
      </c>
      <c r="G8878" s="5" t="s">
        <v>55396</v>
      </c>
      <c r="H8878" s="6" t="s">
        <v>55397</v>
      </c>
      <c r="K8878" s="5" t="s">
        <v>55398</v>
      </c>
    </row>
    <row r="8879">
      <c r="A8879" s="4">
        <v>45534.41924347222</v>
      </c>
      <c r="B8879" s="5" t="s">
        <v>34</v>
      </c>
      <c r="D8879" s="5" t="s">
        <v>1558</v>
      </c>
      <c r="E8879" s="5" t="s">
        <v>55402</v>
      </c>
      <c r="F8879" s="5" t="s">
        <v>108</v>
      </c>
      <c r="G8879" s="5" t="s">
        <v>55403</v>
      </c>
      <c r="H8879" s="6" t="s">
        <v>55404</v>
      </c>
      <c r="K8879" s="5" t="s">
        <v>55398</v>
      </c>
    </row>
    <row r="8880">
      <c r="A8880" s="4">
        <v>45534.41928335648</v>
      </c>
      <c r="B8880" s="5" t="s">
        <v>34</v>
      </c>
      <c r="D8880" s="5" t="s">
        <v>1558</v>
      </c>
      <c r="E8880" s="5" t="s">
        <v>19744</v>
      </c>
      <c r="F8880" s="5" t="s">
        <v>212</v>
      </c>
      <c r="G8880" s="5" t="s">
        <v>55408</v>
      </c>
      <c r="H8880" s="6" t="s">
        <v>55409</v>
      </c>
      <c r="K8880" s="5" t="s">
        <v>55398</v>
      </c>
    </row>
    <row r="8881">
      <c r="A8881" s="4">
        <v>45534.41930145833</v>
      </c>
      <c r="B8881" s="5" t="s">
        <v>34</v>
      </c>
      <c r="D8881" s="5" t="s">
        <v>701</v>
      </c>
      <c r="E8881" s="5" t="s">
        <v>39317</v>
      </c>
      <c r="F8881" s="5" t="s">
        <v>37</v>
      </c>
      <c r="G8881" s="5" t="s">
        <v>55413</v>
      </c>
      <c r="H8881" s="6" t="s">
        <v>55414</v>
      </c>
      <c r="K8881" s="5" t="s">
        <v>55398</v>
      </c>
    </row>
    <row r="8882">
      <c r="A8882" s="4">
        <v>45534.41930923611</v>
      </c>
      <c r="B8882" s="5" t="s">
        <v>34</v>
      </c>
      <c r="D8882" s="5" t="s">
        <v>267</v>
      </c>
      <c r="E8882" s="5" t="s">
        <v>55418</v>
      </c>
      <c r="F8882" s="5" t="s">
        <v>375</v>
      </c>
      <c r="G8882" s="5" t="s">
        <v>55419</v>
      </c>
      <c r="H8882" s="6" t="s">
        <v>55420</v>
      </c>
      <c r="K8882" s="5" t="s">
        <v>55398</v>
      </c>
    </row>
    <row r="8883">
      <c r="A8883" s="4">
        <v>45534.41932511574</v>
      </c>
      <c r="B8883" s="5" t="s">
        <v>34</v>
      </c>
      <c r="D8883" s="5" t="s">
        <v>1206</v>
      </c>
      <c r="E8883" s="5" t="s">
        <v>39845</v>
      </c>
      <c r="F8883" s="5" t="s">
        <v>212</v>
      </c>
      <c r="G8883" s="5" t="s">
        <v>55424</v>
      </c>
      <c r="H8883" s="6" t="s">
        <v>55425</v>
      </c>
      <c r="K8883" s="5" t="s">
        <v>55398</v>
      </c>
    </row>
    <row r="8884">
      <c r="A8884" s="4">
        <v>45534.41943401621</v>
      </c>
      <c r="B8884" s="5" t="s">
        <v>19</v>
      </c>
      <c r="C8884" s="5" t="s">
        <v>292</v>
      </c>
      <c r="E8884" s="5" t="s">
        <v>24249</v>
      </c>
      <c r="F8884" s="5" t="s">
        <v>212</v>
      </c>
      <c r="G8884" s="5" t="s">
        <v>55429</v>
      </c>
      <c r="H8884" s="6" t="s">
        <v>55430</v>
      </c>
      <c r="K8884" s="5" t="s">
        <v>55431</v>
      </c>
    </row>
    <row r="8885">
      <c r="A8885" s="4">
        <v>45534.41961697917</v>
      </c>
      <c r="B8885" s="5" t="s">
        <v>34</v>
      </c>
      <c r="D8885" s="5" t="s">
        <v>604</v>
      </c>
      <c r="E8885" s="5" t="s">
        <v>35225</v>
      </c>
      <c r="F8885" s="5" t="s">
        <v>108</v>
      </c>
      <c r="G8885" s="5" t="s">
        <v>55435</v>
      </c>
      <c r="H8885" s="6" t="s">
        <v>55436</v>
      </c>
      <c r="K8885" s="5" t="s">
        <v>55437</v>
      </c>
    </row>
    <row r="8886">
      <c r="A8886" s="4">
        <v>45534.41966043982</v>
      </c>
      <c r="B8886" s="5" t="s">
        <v>34</v>
      </c>
      <c r="D8886" s="5" t="s">
        <v>35</v>
      </c>
      <c r="E8886" s="5" t="s">
        <v>55441</v>
      </c>
      <c r="F8886" s="5" t="s">
        <v>37</v>
      </c>
      <c r="G8886" s="5" t="s">
        <v>55442</v>
      </c>
      <c r="H8886" s="6" t="s">
        <v>55443</v>
      </c>
      <c r="K8886" s="5" t="s">
        <v>55437</v>
      </c>
    </row>
    <row r="8887">
      <c r="A8887" s="4">
        <v>45534.41966130787</v>
      </c>
      <c r="B8887" s="5" t="s">
        <v>34</v>
      </c>
      <c r="D8887" s="5" t="s">
        <v>35</v>
      </c>
      <c r="E8887" s="5" t="s">
        <v>55447</v>
      </c>
      <c r="F8887" s="5" t="s">
        <v>37</v>
      </c>
      <c r="G8887" s="5" t="s">
        <v>55448</v>
      </c>
      <c r="H8887" s="6" t="s">
        <v>55449</v>
      </c>
      <c r="K8887" s="5" t="s">
        <v>55437</v>
      </c>
    </row>
    <row r="8888">
      <c r="A8888" s="4">
        <v>45534.41967133102</v>
      </c>
      <c r="B8888" s="5" t="s">
        <v>19</v>
      </c>
      <c r="C8888" s="5" t="s">
        <v>32901</v>
      </c>
      <c r="E8888" s="5" t="s">
        <v>55453</v>
      </c>
      <c r="F8888" s="5" t="s">
        <v>108</v>
      </c>
      <c r="G8888" s="5" t="s">
        <v>55454</v>
      </c>
      <c r="H8888" s="6" t="s">
        <v>55455</v>
      </c>
      <c r="K8888" s="5" t="s">
        <v>55456</v>
      </c>
    </row>
    <row r="8889">
      <c r="A8889" s="4">
        <v>45534.419717129625</v>
      </c>
      <c r="B8889" s="5" t="s">
        <v>34</v>
      </c>
      <c r="D8889" s="5" t="s">
        <v>975</v>
      </c>
      <c r="E8889" s="5" t="s">
        <v>55460</v>
      </c>
      <c r="F8889" s="5" t="s">
        <v>108</v>
      </c>
      <c r="G8889" s="5" t="s">
        <v>55461</v>
      </c>
      <c r="H8889" s="6" t="s">
        <v>55462</v>
      </c>
      <c r="K8889" s="5" t="s">
        <v>55463</v>
      </c>
    </row>
    <row r="8890">
      <c r="A8890" s="4">
        <v>45534.41973543982</v>
      </c>
      <c r="B8890" s="5" t="s">
        <v>19</v>
      </c>
      <c r="C8890" s="5" t="s">
        <v>20</v>
      </c>
      <c r="E8890" s="5" t="s">
        <v>55467</v>
      </c>
      <c r="F8890" s="5" t="s">
        <v>524</v>
      </c>
      <c r="G8890" s="5" t="s">
        <v>55468</v>
      </c>
      <c r="H8890" s="6" t="s">
        <v>55469</v>
      </c>
      <c r="K8890" s="5" t="s">
        <v>55463</v>
      </c>
    </row>
    <row r="8891">
      <c r="A8891" s="4">
        <v>45534.419831238425</v>
      </c>
      <c r="B8891" s="5" t="s">
        <v>34</v>
      </c>
      <c r="D8891" s="5" t="s">
        <v>9020</v>
      </c>
      <c r="E8891" s="5" t="s">
        <v>55473</v>
      </c>
      <c r="F8891" s="5" t="s">
        <v>199</v>
      </c>
      <c r="G8891" s="5" t="s">
        <v>55474</v>
      </c>
      <c r="H8891" s="6" t="s">
        <v>55475</v>
      </c>
      <c r="K8891" s="5" t="s">
        <v>55463</v>
      </c>
    </row>
    <row r="8892">
      <c r="A8892" s="4">
        <v>45534.41985063658</v>
      </c>
      <c r="B8892" s="5" t="s">
        <v>34</v>
      </c>
      <c r="D8892" s="5" t="s">
        <v>14313</v>
      </c>
      <c r="E8892" s="5" t="s">
        <v>55479</v>
      </c>
      <c r="F8892" s="5" t="s">
        <v>715</v>
      </c>
      <c r="G8892" s="5" t="s">
        <v>55480</v>
      </c>
      <c r="H8892" s="6" t="s">
        <v>55481</v>
      </c>
      <c r="K8892" s="5" t="s">
        <v>55463</v>
      </c>
    </row>
    <row r="8893">
      <c r="A8893" s="4">
        <v>45534.41987429398</v>
      </c>
      <c r="B8893" s="5" t="s">
        <v>34</v>
      </c>
      <c r="D8893" s="5" t="s">
        <v>35</v>
      </c>
      <c r="E8893" s="5" t="s">
        <v>55485</v>
      </c>
      <c r="F8893" s="5" t="s">
        <v>37</v>
      </c>
      <c r="G8893" s="5" t="s">
        <v>55486</v>
      </c>
      <c r="H8893" s="6" t="s">
        <v>55487</v>
      </c>
      <c r="K8893" s="5" t="s">
        <v>55488</v>
      </c>
    </row>
    <row r="8894">
      <c r="A8894" s="4">
        <v>45534.419886944444</v>
      </c>
      <c r="B8894" s="5" t="s">
        <v>34</v>
      </c>
      <c r="D8894" s="5" t="s">
        <v>1206</v>
      </c>
      <c r="E8894" s="5" t="s">
        <v>55492</v>
      </c>
      <c r="F8894" s="5" t="s">
        <v>524</v>
      </c>
      <c r="G8894" s="5" t="s">
        <v>55493</v>
      </c>
      <c r="H8894" s="6" t="s">
        <v>55494</v>
      </c>
      <c r="K8894" s="5" t="s">
        <v>55495</v>
      </c>
    </row>
    <row r="8895">
      <c r="A8895" s="4">
        <v>45534.419965787034</v>
      </c>
      <c r="B8895" s="5" t="s">
        <v>34</v>
      </c>
      <c r="D8895" s="5" t="s">
        <v>1206</v>
      </c>
      <c r="E8895" s="5" t="s">
        <v>55499</v>
      </c>
      <c r="F8895" s="5" t="s">
        <v>37</v>
      </c>
      <c r="G8895" s="5" t="s">
        <v>55500</v>
      </c>
      <c r="H8895" s="6" t="s">
        <v>55501</v>
      </c>
      <c r="K8895" s="5" t="s">
        <v>55502</v>
      </c>
    </row>
    <row r="8896">
      <c r="A8896" s="4">
        <v>45534.41997096065</v>
      </c>
      <c r="B8896" s="5" t="s">
        <v>34</v>
      </c>
      <c r="D8896" s="5" t="s">
        <v>1206</v>
      </c>
      <c r="E8896" s="5" t="s">
        <v>55506</v>
      </c>
      <c r="F8896" s="5" t="s">
        <v>37</v>
      </c>
      <c r="G8896" s="5" t="s">
        <v>55507</v>
      </c>
      <c r="H8896" s="6" t="s">
        <v>55508</v>
      </c>
      <c r="K8896" s="5" t="s">
        <v>55502</v>
      </c>
    </row>
    <row r="8897">
      <c r="A8897" s="4">
        <v>45534.42004254629</v>
      </c>
      <c r="B8897" s="5" t="s">
        <v>34</v>
      </c>
      <c r="D8897" s="5" t="s">
        <v>4775</v>
      </c>
      <c r="E8897" s="5" t="s">
        <v>55512</v>
      </c>
      <c r="F8897" s="5" t="s">
        <v>524</v>
      </c>
      <c r="G8897" s="5" t="s">
        <v>55513</v>
      </c>
      <c r="H8897" s="6" t="s">
        <v>55514</v>
      </c>
      <c r="K8897" s="5" t="s">
        <v>55515</v>
      </c>
    </row>
    <row r="8898">
      <c r="A8898" s="4">
        <v>45534.42007533565</v>
      </c>
      <c r="B8898" s="5" t="s">
        <v>34</v>
      </c>
      <c r="D8898" s="5" t="s">
        <v>1692</v>
      </c>
      <c r="E8898" s="7" t="s">
        <v>55519</v>
      </c>
      <c r="F8898" s="5" t="s">
        <v>72</v>
      </c>
      <c r="G8898" s="5" t="s">
        <v>55520</v>
      </c>
      <c r="H8898" s="6" t="s">
        <v>55521</v>
      </c>
      <c r="K8898" s="5" t="s">
        <v>55522</v>
      </c>
    </row>
    <row r="8899">
      <c r="A8899" s="4">
        <v>45534.420085624995</v>
      </c>
      <c r="B8899" s="5" t="s">
        <v>34</v>
      </c>
      <c r="D8899" s="5" t="s">
        <v>35</v>
      </c>
      <c r="E8899" s="5" t="s">
        <v>55526</v>
      </c>
      <c r="F8899" s="5" t="s">
        <v>375</v>
      </c>
      <c r="G8899" s="5" t="s">
        <v>55527</v>
      </c>
      <c r="H8899" s="6" t="s">
        <v>55528</v>
      </c>
      <c r="K8899" s="5" t="s">
        <v>55522</v>
      </c>
    </row>
    <row r="8900">
      <c r="A8900" s="4">
        <v>45534.42012667824</v>
      </c>
      <c r="B8900" s="5" t="s">
        <v>34</v>
      </c>
      <c r="D8900" s="5" t="s">
        <v>2903</v>
      </c>
      <c r="E8900" s="5" t="s">
        <v>55532</v>
      </c>
      <c r="F8900" s="5" t="s">
        <v>108</v>
      </c>
      <c r="G8900" s="5" t="s">
        <v>55533</v>
      </c>
      <c r="H8900" s="6" t="s">
        <v>55534</v>
      </c>
      <c r="K8900" s="5" t="s">
        <v>55535</v>
      </c>
    </row>
    <row r="8901">
      <c r="A8901" s="4">
        <v>45534.42026756944</v>
      </c>
      <c r="B8901" s="5" t="s">
        <v>34</v>
      </c>
      <c r="D8901" s="5" t="s">
        <v>7858</v>
      </c>
      <c r="E8901" s="5" t="s">
        <v>55539</v>
      </c>
      <c r="F8901" s="5" t="s">
        <v>37</v>
      </c>
      <c r="G8901" s="5" t="s">
        <v>55540</v>
      </c>
      <c r="H8901" s="6" t="s">
        <v>55541</v>
      </c>
      <c r="K8901" s="5" t="s">
        <v>55542</v>
      </c>
    </row>
    <row r="8902">
      <c r="A8902" s="4">
        <v>45534.42028924769</v>
      </c>
      <c r="B8902" s="5" t="s">
        <v>19</v>
      </c>
      <c r="C8902" s="5" t="s">
        <v>292</v>
      </c>
      <c r="E8902" s="5" t="s">
        <v>54014</v>
      </c>
      <c r="F8902" s="5" t="s">
        <v>212</v>
      </c>
      <c r="G8902" s="5" t="s">
        <v>55546</v>
      </c>
      <c r="H8902" s="6" t="s">
        <v>55547</v>
      </c>
      <c r="K8902" s="5" t="s">
        <v>55542</v>
      </c>
    </row>
    <row r="8903">
      <c r="A8903" s="4">
        <v>45534.420323645834</v>
      </c>
      <c r="B8903" s="5" t="s">
        <v>19</v>
      </c>
      <c r="C8903" s="5" t="s">
        <v>292</v>
      </c>
      <c r="E8903" s="5" t="s">
        <v>55551</v>
      </c>
      <c r="F8903" s="5" t="s">
        <v>524</v>
      </c>
      <c r="G8903" s="5" t="s">
        <v>55552</v>
      </c>
      <c r="H8903" s="6" t="s">
        <v>55553</v>
      </c>
      <c r="K8903" s="5" t="s">
        <v>55542</v>
      </c>
    </row>
    <row r="8904">
      <c r="A8904" s="4">
        <v>45534.42036065972</v>
      </c>
      <c r="B8904" s="5" t="s">
        <v>34</v>
      </c>
      <c r="D8904" s="5" t="s">
        <v>701</v>
      </c>
      <c r="E8904" s="5" t="s">
        <v>55557</v>
      </c>
      <c r="F8904" s="5" t="s">
        <v>72</v>
      </c>
      <c r="G8904" s="5" t="s">
        <v>55558</v>
      </c>
      <c r="H8904" s="6" t="s">
        <v>55559</v>
      </c>
      <c r="K8904" s="5" t="s">
        <v>55560</v>
      </c>
    </row>
    <row r="8905">
      <c r="A8905" s="4">
        <v>45534.420365405094</v>
      </c>
      <c r="B8905" s="5" t="s">
        <v>34</v>
      </c>
      <c r="D8905" s="5" t="s">
        <v>9020</v>
      </c>
      <c r="E8905" s="5" t="s">
        <v>10047</v>
      </c>
      <c r="F8905" s="5" t="s">
        <v>37</v>
      </c>
      <c r="G8905" s="5" t="s">
        <v>10048</v>
      </c>
      <c r="H8905" s="6" t="s">
        <v>55564</v>
      </c>
      <c r="K8905" s="5" t="s">
        <v>55560</v>
      </c>
    </row>
    <row r="8906">
      <c r="A8906" s="4">
        <v>45534.42056570602</v>
      </c>
      <c r="B8906" s="5" t="s">
        <v>19</v>
      </c>
      <c r="C8906" s="5" t="s">
        <v>5058</v>
      </c>
      <c r="E8906" s="5" t="s">
        <v>55568</v>
      </c>
      <c r="F8906" s="5" t="s">
        <v>120</v>
      </c>
      <c r="G8906" s="5" t="s">
        <v>55569</v>
      </c>
      <c r="H8906" s="6" t="s">
        <v>55570</v>
      </c>
      <c r="K8906" s="5" t="s">
        <v>55571</v>
      </c>
    </row>
    <row r="8907">
      <c r="A8907" s="4">
        <v>45534.42057082176</v>
      </c>
      <c r="B8907" s="5" t="s">
        <v>34</v>
      </c>
      <c r="D8907" s="5" t="s">
        <v>1206</v>
      </c>
      <c r="E8907" s="5" t="s">
        <v>55575</v>
      </c>
      <c r="F8907" s="5" t="s">
        <v>212</v>
      </c>
      <c r="G8907" s="5" t="s">
        <v>55576</v>
      </c>
      <c r="H8907" s="6" t="s">
        <v>55577</v>
      </c>
      <c r="K8907" s="5" t="s">
        <v>55571</v>
      </c>
    </row>
    <row r="8908">
      <c r="A8908" s="4">
        <v>45534.42062689815</v>
      </c>
      <c r="B8908" s="5" t="s">
        <v>34</v>
      </c>
      <c r="D8908" s="5" t="s">
        <v>9020</v>
      </c>
      <c r="E8908" s="5" t="s">
        <v>55581</v>
      </c>
      <c r="F8908" s="5" t="s">
        <v>72</v>
      </c>
      <c r="G8908" s="5" t="s">
        <v>55582</v>
      </c>
      <c r="H8908" s="6" t="s">
        <v>55583</v>
      </c>
      <c r="K8908" s="5" t="s">
        <v>55584</v>
      </c>
    </row>
    <row r="8909">
      <c r="A8909" s="4">
        <v>45534.42064684028</v>
      </c>
      <c r="B8909" s="5" t="s">
        <v>34</v>
      </c>
      <c r="D8909" s="5" t="s">
        <v>1558</v>
      </c>
      <c r="E8909" s="5" t="s">
        <v>55588</v>
      </c>
      <c r="F8909" s="5" t="s">
        <v>37</v>
      </c>
      <c r="G8909" s="5" t="s">
        <v>55589</v>
      </c>
      <c r="H8909" s="6" t="s">
        <v>55590</v>
      </c>
      <c r="K8909" s="5" t="s">
        <v>55584</v>
      </c>
    </row>
    <row r="8910">
      <c r="A8910" s="4">
        <v>45534.42067528935</v>
      </c>
      <c r="B8910" s="5" t="s">
        <v>34</v>
      </c>
      <c r="D8910" s="5" t="s">
        <v>4775</v>
      </c>
      <c r="E8910" s="5" t="s">
        <v>55594</v>
      </c>
      <c r="F8910" s="5" t="s">
        <v>375</v>
      </c>
      <c r="G8910" s="5" t="s">
        <v>55595</v>
      </c>
      <c r="H8910" s="6" t="s">
        <v>55596</v>
      </c>
      <c r="K8910" s="5" t="s">
        <v>55597</v>
      </c>
    </row>
    <row r="8911">
      <c r="A8911" s="4">
        <v>45534.420703310185</v>
      </c>
      <c r="B8911" s="5" t="s">
        <v>19</v>
      </c>
      <c r="C8911" s="5" t="s">
        <v>292</v>
      </c>
      <c r="E8911" s="5" t="s">
        <v>55601</v>
      </c>
      <c r="F8911" s="5" t="s">
        <v>37</v>
      </c>
      <c r="G8911" s="5" t="s">
        <v>55602</v>
      </c>
      <c r="H8911" s="6" t="s">
        <v>55603</v>
      </c>
      <c r="K8911" s="5" t="s">
        <v>55597</v>
      </c>
    </row>
    <row r="8912">
      <c r="A8912" s="4">
        <v>45534.42083668982</v>
      </c>
      <c r="B8912" s="5" t="s">
        <v>34</v>
      </c>
      <c r="D8912" s="5" t="s">
        <v>14424</v>
      </c>
      <c r="E8912" s="5" t="s">
        <v>55607</v>
      </c>
      <c r="F8912" s="5" t="s">
        <v>375</v>
      </c>
      <c r="G8912" s="5" t="s">
        <v>55608</v>
      </c>
      <c r="H8912" s="6" t="s">
        <v>55609</v>
      </c>
      <c r="K8912" s="5" t="s">
        <v>55610</v>
      </c>
    </row>
    <row r="8913">
      <c r="A8913" s="4">
        <v>45534.42084045139</v>
      </c>
      <c r="B8913" s="5" t="s">
        <v>34</v>
      </c>
      <c r="D8913" s="5" t="s">
        <v>6232</v>
      </c>
      <c r="E8913" s="5" t="s">
        <v>15379</v>
      </c>
      <c r="F8913" s="5" t="s">
        <v>524</v>
      </c>
      <c r="G8913" s="5" t="s">
        <v>15380</v>
      </c>
      <c r="H8913" s="6" t="s">
        <v>55614</v>
      </c>
      <c r="K8913" s="5" t="s">
        <v>55610</v>
      </c>
    </row>
    <row r="8914">
      <c r="A8914" s="4">
        <v>45534.420864907406</v>
      </c>
      <c r="B8914" s="5" t="s">
        <v>34</v>
      </c>
      <c r="D8914" s="5" t="s">
        <v>522</v>
      </c>
      <c r="E8914" s="5" t="s">
        <v>55618</v>
      </c>
      <c r="F8914" s="5" t="s">
        <v>798</v>
      </c>
      <c r="G8914" s="5" t="s">
        <v>55619</v>
      </c>
      <c r="H8914" s="6" t="s">
        <v>55620</v>
      </c>
      <c r="K8914" s="5" t="s">
        <v>55610</v>
      </c>
    </row>
    <row r="8915">
      <c r="A8915" s="4">
        <v>45534.42098520833</v>
      </c>
      <c r="B8915" s="5" t="s">
        <v>34</v>
      </c>
      <c r="D8915" s="5" t="s">
        <v>12026</v>
      </c>
      <c r="E8915" s="5" t="s">
        <v>55624</v>
      </c>
      <c r="F8915" s="5" t="s">
        <v>375</v>
      </c>
      <c r="G8915" s="5" t="s">
        <v>55625</v>
      </c>
      <c r="H8915" s="6" t="s">
        <v>55626</v>
      </c>
      <c r="K8915" s="5" t="s">
        <v>55627</v>
      </c>
    </row>
    <row r="8916">
      <c r="A8916" s="4">
        <v>45534.42104327546</v>
      </c>
      <c r="B8916" s="5" t="s">
        <v>34</v>
      </c>
      <c r="D8916" s="5" t="s">
        <v>1206</v>
      </c>
      <c r="E8916" s="5" t="s">
        <v>55631</v>
      </c>
      <c r="F8916" s="5" t="s">
        <v>524</v>
      </c>
      <c r="G8916" s="5" t="s">
        <v>55632</v>
      </c>
      <c r="H8916" s="6" t="s">
        <v>55633</v>
      </c>
      <c r="K8916" s="5" t="s">
        <v>55634</v>
      </c>
    </row>
    <row r="8917">
      <c r="A8917" s="4">
        <v>45534.42107386574</v>
      </c>
      <c r="B8917" s="5" t="s">
        <v>34</v>
      </c>
      <c r="D8917" s="5" t="s">
        <v>12978</v>
      </c>
      <c r="E8917" s="5" t="s">
        <v>55638</v>
      </c>
      <c r="F8917" s="5" t="s">
        <v>715</v>
      </c>
      <c r="G8917" s="5" t="s">
        <v>55639</v>
      </c>
      <c r="H8917" s="6" t="s">
        <v>55640</v>
      </c>
      <c r="K8917" s="5" t="s">
        <v>55634</v>
      </c>
    </row>
    <row r="8918">
      <c r="A8918" s="4">
        <v>45534.42120619213</v>
      </c>
      <c r="B8918" s="5" t="s">
        <v>19</v>
      </c>
      <c r="C8918" s="5" t="s">
        <v>55133</v>
      </c>
      <c r="E8918" s="5" t="s">
        <v>55644</v>
      </c>
      <c r="F8918" s="5" t="s">
        <v>375</v>
      </c>
      <c r="G8918" s="5" t="s">
        <v>55645</v>
      </c>
      <c r="H8918" s="6" t="s">
        <v>55646</v>
      </c>
      <c r="K8918" s="5" t="s">
        <v>55647</v>
      </c>
    </row>
    <row r="8919">
      <c r="A8919" s="4">
        <v>45534.421274699074</v>
      </c>
      <c r="B8919" s="5" t="s">
        <v>34</v>
      </c>
      <c r="D8919" s="5" t="s">
        <v>12978</v>
      </c>
      <c r="E8919" s="5" t="s">
        <v>28932</v>
      </c>
      <c r="F8919" s="5" t="s">
        <v>212</v>
      </c>
      <c r="G8919" s="5" t="s">
        <v>55651</v>
      </c>
      <c r="H8919" s="6" t="s">
        <v>55652</v>
      </c>
      <c r="K8919" s="5" t="s">
        <v>55647</v>
      </c>
    </row>
    <row r="8920">
      <c r="A8920" s="4">
        <v>45534.42133109954</v>
      </c>
      <c r="B8920" s="5" t="s">
        <v>34</v>
      </c>
      <c r="D8920" s="5" t="s">
        <v>14424</v>
      </c>
      <c r="E8920" s="5" t="s">
        <v>55655</v>
      </c>
      <c r="F8920" s="5" t="s">
        <v>212</v>
      </c>
      <c r="G8920" s="5" t="s">
        <v>55656</v>
      </c>
      <c r="H8920" s="6" t="s">
        <v>55657</v>
      </c>
      <c r="K8920" s="5" t="s">
        <v>55658</v>
      </c>
    </row>
    <row r="8921">
      <c r="A8921" s="4">
        <v>45534.42140880787</v>
      </c>
      <c r="B8921" s="5" t="s">
        <v>34</v>
      </c>
      <c r="D8921" s="5" t="s">
        <v>4775</v>
      </c>
      <c r="E8921" s="5" t="s">
        <v>55662</v>
      </c>
      <c r="F8921" s="5" t="s">
        <v>37</v>
      </c>
      <c r="G8921" s="5" t="s">
        <v>55663</v>
      </c>
      <c r="H8921" s="6" t="s">
        <v>55664</v>
      </c>
      <c r="K8921" s="5" t="s">
        <v>55665</v>
      </c>
    </row>
    <row r="8922">
      <c r="A8922" s="4">
        <v>45534.42142675926</v>
      </c>
      <c r="B8922" s="5" t="s">
        <v>34</v>
      </c>
      <c r="D8922" s="5" t="s">
        <v>1206</v>
      </c>
      <c r="E8922" s="5" t="s">
        <v>55668</v>
      </c>
      <c r="F8922" s="5" t="s">
        <v>524</v>
      </c>
      <c r="G8922" s="5" t="s">
        <v>55669</v>
      </c>
      <c r="H8922" s="6" t="s">
        <v>55670</v>
      </c>
      <c r="K8922" s="5" t="s">
        <v>55665</v>
      </c>
    </row>
    <row r="8923">
      <c r="A8923" s="4">
        <v>45534.42147972222</v>
      </c>
      <c r="B8923" s="5" t="s">
        <v>34</v>
      </c>
      <c r="D8923" s="5" t="s">
        <v>580</v>
      </c>
      <c r="E8923" s="5" t="s">
        <v>55674</v>
      </c>
      <c r="F8923" s="5" t="s">
        <v>108</v>
      </c>
      <c r="G8923" s="5" t="s">
        <v>55675</v>
      </c>
      <c r="H8923" s="6" t="s">
        <v>55676</v>
      </c>
      <c r="K8923" s="5" t="s">
        <v>55665</v>
      </c>
    </row>
    <row r="8924">
      <c r="A8924" s="4">
        <v>45534.421493726855</v>
      </c>
      <c r="B8924" s="5" t="s">
        <v>34</v>
      </c>
      <c r="D8924" s="5" t="s">
        <v>267</v>
      </c>
      <c r="E8924" s="5" t="s">
        <v>55679</v>
      </c>
      <c r="F8924" s="5" t="s">
        <v>375</v>
      </c>
      <c r="G8924" s="5" t="s">
        <v>55680</v>
      </c>
      <c r="H8924" s="6" t="s">
        <v>55681</v>
      </c>
      <c r="K8924" s="5" t="s">
        <v>55682</v>
      </c>
    </row>
    <row r="8925">
      <c r="A8925" s="4">
        <v>45534.4215150463</v>
      </c>
      <c r="B8925" s="5" t="s">
        <v>34</v>
      </c>
      <c r="D8925" s="5" t="s">
        <v>9020</v>
      </c>
      <c r="E8925" s="5" t="s">
        <v>55685</v>
      </c>
      <c r="F8925" s="5" t="s">
        <v>108</v>
      </c>
      <c r="G8925" s="5" t="s">
        <v>55686</v>
      </c>
      <c r="H8925" s="6" t="s">
        <v>55687</v>
      </c>
      <c r="K8925" s="5" t="s">
        <v>55682</v>
      </c>
    </row>
    <row r="8926">
      <c r="A8926" s="4">
        <v>45534.42159013889</v>
      </c>
      <c r="B8926" s="5" t="s">
        <v>34</v>
      </c>
      <c r="D8926" s="5" t="s">
        <v>4775</v>
      </c>
      <c r="E8926" s="5" t="s">
        <v>55690</v>
      </c>
      <c r="F8926" s="5" t="s">
        <v>37</v>
      </c>
      <c r="G8926" s="5" t="s">
        <v>55691</v>
      </c>
      <c r="H8926" s="6" t="s">
        <v>55692</v>
      </c>
      <c r="K8926" s="5" t="s">
        <v>55682</v>
      </c>
    </row>
    <row r="8927">
      <c r="A8927" s="4">
        <v>45534.42162194445</v>
      </c>
      <c r="B8927" s="5" t="s">
        <v>19</v>
      </c>
      <c r="C8927" s="5" t="s">
        <v>20</v>
      </c>
      <c r="E8927" s="5" t="s">
        <v>55695</v>
      </c>
      <c r="F8927" s="5" t="s">
        <v>212</v>
      </c>
      <c r="G8927" s="5" t="s">
        <v>55696</v>
      </c>
      <c r="H8927" s="6" t="s">
        <v>55697</v>
      </c>
      <c r="K8927" s="5" t="s">
        <v>55698</v>
      </c>
    </row>
    <row r="8928">
      <c r="A8928" s="4">
        <v>45534.42164355324</v>
      </c>
      <c r="B8928" s="5" t="s">
        <v>34</v>
      </c>
      <c r="D8928" s="5" t="s">
        <v>1558</v>
      </c>
      <c r="E8928" s="5" t="s">
        <v>55701</v>
      </c>
      <c r="F8928" s="5" t="s">
        <v>37</v>
      </c>
      <c r="G8928" s="5" t="s">
        <v>55702</v>
      </c>
      <c r="H8928" s="6" t="s">
        <v>55703</v>
      </c>
      <c r="K8928" s="5" t="s">
        <v>55704</v>
      </c>
    </row>
    <row r="8929">
      <c r="A8929" s="4">
        <v>45534.42164665509</v>
      </c>
      <c r="B8929" s="5" t="s">
        <v>34</v>
      </c>
      <c r="D8929" s="5" t="s">
        <v>4775</v>
      </c>
      <c r="E8929" s="5" t="s">
        <v>55708</v>
      </c>
      <c r="F8929" s="5" t="s">
        <v>524</v>
      </c>
      <c r="G8929" s="5" t="s">
        <v>55709</v>
      </c>
      <c r="H8929" s="6" t="s">
        <v>55710</v>
      </c>
      <c r="K8929" s="5" t="s">
        <v>55704</v>
      </c>
    </row>
    <row r="8930">
      <c r="A8930" s="4">
        <v>45534.421760613426</v>
      </c>
      <c r="B8930" s="5" t="s">
        <v>34</v>
      </c>
      <c r="D8930" s="5" t="s">
        <v>1206</v>
      </c>
      <c r="E8930" s="5" t="s">
        <v>55713</v>
      </c>
      <c r="F8930" s="5" t="s">
        <v>37</v>
      </c>
      <c r="G8930" s="5" t="s">
        <v>55714</v>
      </c>
      <c r="H8930" s="6" t="s">
        <v>55715</v>
      </c>
      <c r="K8930" s="5" t="s">
        <v>55716</v>
      </c>
    </row>
    <row r="8931">
      <c r="A8931" s="4">
        <v>45534.42176116898</v>
      </c>
      <c r="B8931" s="5" t="s">
        <v>34</v>
      </c>
      <c r="D8931" s="5" t="s">
        <v>1206</v>
      </c>
      <c r="E8931" s="5" t="s">
        <v>55719</v>
      </c>
      <c r="F8931" s="5" t="s">
        <v>37</v>
      </c>
      <c r="G8931" s="5" t="s">
        <v>55720</v>
      </c>
      <c r="H8931" s="6" t="s">
        <v>55721</v>
      </c>
      <c r="K8931" s="5" t="s">
        <v>55716</v>
      </c>
    </row>
    <row r="8932">
      <c r="A8932" s="4">
        <v>45534.42181814815</v>
      </c>
      <c r="B8932" s="5" t="s">
        <v>34</v>
      </c>
      <c r="D8932" s="5" t="s">
        <v>4775</v>
      </c>
      <c r="E8932" s="5" t="s">
        <v>55724</v>
      </c>
      <c r="F8932" s="5" t="s">
        <v>375</v>
      </c>
      <c r="G8932" s="5" t="s">
        <v>55725</v>
      </c>
      <c r="H8932" s="6" t="s">
        <v>55726</v>
      </c>
      <c r="K8932" s="5" t="s">
        <v>55727</v>
      </c>
    </row>
    <row r="8933">
      <c r="A8933" s="4">
        <v>45534.42186578704</v>
      </c>
      <c r="B8933" s="5" t="s">
        <v>34</v>
      </c>
      <c r="D8933" s="5" t="s">
        <v>9394</v>
      </c>
      <c r="E8933" s="5" t="s">
        <v>55730</v>
      </c>
      <c r="F8933" s="5" t="s">
        <v>37</v>
      </c>
      <c r="G8933" s="5" t="s">
        <v>55731</v>
      </c>
      <c r="H8933" s="6" t="s">
        <v>55732</v>
      </c>
      <c r="K8933" s="5" t="s">
        <v>55727</v>
      </c>
    </row>
    <row r="8934">
      <c r="A8934" s="4">
        <v>45534.42190166667</v>
      </c>
      <c r="B8934" s="5" t="s">
        <v>34</v>
      </c>
      <c r="D8934" s="5" t="s">
        <v>1206</v>
      </c>
      <c r="E8934" s="5" t="s">
        <v>55735</v>
      </c>
      <c r="F8934" s="5" t="s">
        <v>37</v>
      </c>
      <c r="G8934" s="5" t="s">
        <v>55736</v>
      </c>
      <c r="H8934" s="6" t="s">
        <v>55737</v>
      </c>
      <c r="K8934" s="5" t="s">
        <v>55727</v>
      </c>
    </row>
    <row r="8935">
      <c r="A8935" s="4">
        <v>45534.4220513426</v>
      </c>
      <c r="B8935" s="5" t="s">
        <v>34</v>
      </c>
      <c r="D8935" s="5" t="s">
        <v>2903</v>
      </c>
      <c r="E8935" s="5" t="s">
        <v>55741</v>
      </c>
      <c r="F8935" s="5" t="s">
        <v>524</v>
      </c>
      <c r="G8935" s="5" t="s">
        <v>55742</v>
      </c>
      <c r="H8935" s="6" t="s">
        <v>55743</v>
      </c>
      <c r="K8935" s="5" t="s">
        <v>55744</v>
      </c>
    </row>
    <row r="8936">
      <c r="A8936" s="4">
        <v>45534.42206890046</v>
      </c>
      <c r="B8936" s="5" t="s">
        <v>34</v>
      </c>
      <c r="D8936" s="5" t="s">
        <v>267</v>
      </c>
      <c r="E8936" s="5" t="s">
        <v>55747</v>
      </c>
      <c r="F8936" s="5" t="s">
        <v>524</v>
      </c>
      <c r="G8936" s="5" t="s">
        <v>55748</v>
      </c>
      <c r="H8936" s="6" t="s">
        <v>55749</v>
      </c>
      <c r="K8936" s="5" t="s">
        <v>55744</v>
      </c>
    </row>
    <row r="8937">
      <c r="A8937" s="4">
        <v>45534.42216752315</v>
      </c>
      <c r="B8937" s="5" t="s">
        <v>34</v>
      </c>
      <c r="D8937" s="5" t="s">
        <v>2903</v>
      </c>
      <c r="E8937" s="5" t="s">
        <v>55752</v>
      </c>
      <c r="F8937" s="5" t="s">
        <v>108</v>
      </c>
      <c r="G8937" s="5" t="s">
        <v>55753</v>
      </c>
      <c r="H8937" s="6" t="s">
        <v>55754</v>
      </c>
      <c r="K8937" s="5" t="s">
        <v>55755</v>
      </c>
    </row>
    <row r="8938">
      <c r="A8938" s="4">
        <v>45534.42218476852</v>
      </c>
      <c r="B8938" s="5" t="s">
        <v>19</v>
      </c>
      <c r="C8938" s="5" t="s">
        <v>45988</v>
      </c>
      <c r="E8938" s="5" t="s">
        <v>55758</v>
      </c>
      <c r="F8938" s="5" t="s">
        <v>524</v>
      </c>
      <c r="G8938" s="5" t="s">
        <v>55759</v>
      </c>
      <c r="H8938" s="6" t="s">
        <v>55760</v>
      </c>
      <c r="K8938" s="5" t="s">
        <v>55755</v>
      </c>
    </row>
    <row r="8939">
      <c r="A8939" s="4">
        <v>45534.42232658565</v>
      </c>
      <c r="B8939" s="5" t="s">
        <v>34</v>
      </c>
      <c r="D8939" s="5" t="s">
        <v>1558</v>
      </c>
      <c r="E8939" s="5" t="s">
        <v>55763</v>
      </c>
      <c r="F8939" s="5" t="s">
        <v>37</v>
      </c>
      <c r="G8939" s="5" t="s">
        <v>55764</v>
      </c>
      <c r="H8939" s="6" t="s">
        <v>55765</v>
      </c>
      <c r="K8939" s="5" t="s">
        <v>55766</v>
      </c>
    </row>
    <row r="8940">
      <c r="A8940" s="4">
        <v>45534.42236189815</v>
      </c>
      <c r="B8940" s="5" t="s">
        <v>34</v>
      </c>
      <c r="D8940" s="5" t="s">
        <v>1206</v>
      </c>
      <c r="E8940" s="5" t="s">
        <v>19722</v>
      </c>
      <c r="F8940" s="5" t="s">
        <v>37</v>
      </c>
      <c r="G8940" s="5" t="s">
        <v>55769</v>
      </c>
      <c r="H8940" s="6" t="s">
        <v>55770</v>
      </c>
      <c r="K8940" s="5" t="s">
        <v>55771</v>
      </c>
    </row>
    <row r="8941">
      <c r="A8941" s="4">
        <v>45534.42241791666</v>
      </c>
      <c r="B8941" s="5" t="s">
        <v>19</v>
      </c>
      <c r="C8941" s="5" t="s">
        <v>14000</v>
      </c>
      <c r="E8941" s="5" t="s">
        <v>55775</v>
      </c>
      <c r="F8941" s="5" t="s">
        <v>108</v>
      </c>
      <c r="G8941" s="5" t="s">
        <v>55776</v>
      </c>
      <c r="H8941" s="6" t="s">
        <v>55777</v>
      </c>
      <c r="K8941" s="5" t="s">
        <v>55778</v>
      </c>
    </row>
    <row r="8942">
      <c r="A8942" s="4">
        <v>45534.422470185185</v>
      </c>
      <c r="B8942" s="5" t="s">
        <v>34</v>
      </c>
      <c r="D8942" s="5" t="s">
        <v>12978</v>
      </c>
      <c r="E8942" s="5" t="s">
        <v>55782</v>
      </c>
      <c r="F8942" s="5" t="s">
        <v>37</v>
      </c>
      <c r="G8942" s="5" t="s">
        <v>55783</v>
      </c>
      <c r="H8942" s="6" t="s">
        <v>55784</v>
      </c>
      <c r="K8942" s="5" t="s">
        <v>55785</v>
      </c>
    </row>
    <row r="8943">
      <c r="A8943" s="4">
        <v>45534.42265540509</v>
      </c>
      <c r="B8943" s="5" t="s">
        <v>19</v>
      </c>
      <c r="C8943" s="5" t="s">
        <v>292</v>
      </c>
      <c r="E8943" s="5" t="s">
        <v>55788</v>
      </c>
      <c r="F8943" s="5" t="s">
        <v>212</v>
      </c>
      <c r="G8943" s="5" t="s">
        <v>55789</v>
      </c>
      <c r="H8943" s="6" t="s">
        <v>55790</v>
      </c>
      <c r="K8943" s="5" t="s">
        <v>55791</v>
      </c>
    </row>
    <row r="8944">
      <c r="A8944" s="4">
        <v>45534.42266607639</v>
      </c>
      <c r="B8944" s="5" t="s">
        <v>19</v>
      </c>
      <c r="C8944" s="5" t="s">
        <v>292</v>
      </c>
      <c r="E8944" s="5" t="s">
        <v>55794</v>
      </c>
      <c r="F8944" s="5" t="s">
        <v>375</v>
      </c>
      <c r="G8944" s="5" t="s">
        <v>55795</v>
      </c>
      <c r="H8944" s="6" t="s">
        <v>55796</v>
      </c>
      <c r="K8944" s="5" t="s">
        <v>55791</v>
      </c>
    </row>
    <row r="8945">
      <c r="A8945" s="4">
        <v>45534.42269121528</v>
      </c>
      <c r="B8945" s="5" t="s">
        <v>34</v>
      </c>
      <c r="D8945" s="5" t="s">
        <v>35</v>
      </c>
      <c r="E8945" s="5" t="s">
        <v>55799</v>
      </c>
      <c r="F8945" s="5" t="s">
        <v>72</v>
      </c>
      <c r="G8945" s="5" t="s">
        <v>55800</v>
      </c>
      <c r="H8945" s="6" t="s">
        <v>55801</v>
      </c>
      <c r="K8945" s="5" t="s">
        <v>55802</v>
      </c>
    </row>
    <row r="8946">
      <c r="A8946" s="4">
        <v>45534.42278436343</v>
      </c>
      <c r="B8946" s="5" t="s">
        <v>34</v>
      </c>
      <c r="D8946" s="5" t="s">
        <v>9020</v>
      </c>
      <c r="E8946" s="5" t="s">
        <v>55806</v>
      </c>
      <c r="F8946" s="5" t="s">
        <v>212</v>
      </c>
      <c r="G8946" s="5" t="s">
        <v>55807</v>
      </c>
      <c r="H8946" s="6" t="s">
        <v>55808</v>
      </c>
      <c r="K8946" s="5" t="s">
        <v>55809</v>
      </c>
    </row>
    <row r="8947">
      <c r="A8947" s="4">
        <v>45534.42283186343</v>
      </c>
      <c r="B8947" s="5" t="s">
        <v>34</v>
      </c>
      <c r="D8947" s="5" t="s">
        <v>1558</v>
      </c>
      <c r="E8947" s="5" t="s">
        <v>55812</v>
      </c>
      <c r="F8947" s="5" t="s">
        <v>108</v>
      </c>
      <c r="G8947" s="5" t="s">
        <v>55813</v>
      </c>
      <c r="H8947" s="6" t="s">
        <v>55814</v>
      </c>
      <c r="K8947" s="5" t="s">
        <v>55815</v>
      </c>
    </row>
    <row r="8948">
      <c r="A8948" s="4">
        <v>45534.42283422453</v>
      </c>
      <c r="B8948" s="5" t="s">
        <v>34</v>
      </c>
      <c r="D8948" s="5" t="s">
        <v>35</v>
      </c>
      <c r="E8948" s="5" t="s">
        <v>55819</v>
      </c>
      <c r="F8948" s="5" t="s">
        <v>37</v>
      </c>
      <c r="G8948" s="5" t="s">
        <v>55820</v>
      </c>
      <c r="H8948" s="6" t="s">
        <v>55821</v>
      </c>
      <c r="K8948" s="5" t="s">
        <v>55822</v>
      </c>
    </row>
    <row r="8949">
      <c r="A8949" s="4">
        <v>45534.422915358795</v>
      </c>
      <c r="B8949" s="5" t="s">
        <v>19</v>
      </c>
      <c r="C8949" s="5" t="s">
        <v>292</v>
      </c>
      <c r="E8949" s="5" t="s">
        <v>55825</v>
      </c>
      <c r="F8949" s="5" t="s">
        <v>72</v>
      </c>
      <c r="G8949" s="5" t="s">
        <v>55826</v>
      </c>
      <c r="H8949" s="6" t="s">
        <v>55827</v>
      </c>
      <c r="K8949" s="5" t="s">
        <v>55828</v>
      </c>
    </row>
    <row r="8950">
      <c r="A8950" s="4">
        <v>45534.422919143515</v>
      </c>
      <c r="B8950" s="5" t="s">
        <v>34</v>
      </c>
      <c r="D8950" s="5" t="s">
        <v>4775</v>
      </c>
      <c r="E8950" s="5" t="s">
        <v>55831</v>
      </c>
      <c r="F8950" s="5" t="s">
        <v>212</v>
      </c>
      <c r="G8950" s="5" t="s">
        <v>55832</v>
      </c>
      <c r="H8950" s="6" t="s">
        <v>55833</v>
      </c>
      <c r="K8950" s="5" t="s">
        <v>55828</v>
      </c>
    </row>
    <row r="8951">
      <c r="A8951" s="4">
        <v>45534.42298682871</v>
      </c>
      <c r="B8951" s="5" t="s">
        <v>34</v>
      </c>
      <c r="D8951" s="5" t="s">
        <v>267</v>
      </c>
      <c r="E8951" s="5" t="s">
        <v>55836</v>
      </c>
      <c r="F8951" s="5" t="s">
        <v>72</v>
      </c>
      <c r="G8951" s="5" t="s">
        <v>55837</v>
      </c>
      <c r="H8951" s="6" t="s">
        <v>55838</v>
      </c>
      <c r="K8951" s="5" t="s">
        <v>55828</v>
      </c>
    </row>
    <row r="8952">
      <c r="A8952" s="4">
        <v>45534.423034259264</v>
      </c>
      <c r="B8952" s="5" t="s">
        <v>19</v>
      </c>
      <c r="C8952" s="5" t="s">
        <v>55133</v>
      </c>
      <c r="E8952" s="5" t="s">
        <v>55841</v>
      </c>
      <c r="F8952" s="5" t="s">
        <v>212</v>
      </c>
      <c r="G8952" s="5" t="s">
        <v>55842</v>
      </c>
      <c r="H8952" s="6" t="s">
        <v>55843</v>
      </c>
      <c r="K8952" s="5" t="s">
        <v>55828</v>
      </c>
    </row>
    <row r="8953">
      <c r="A8953" s="4">
        <v>45534.423075914354</v>
      </c>
      <c r="B8953" s="5" t="s">
        <v>34</v>
      </c>
      <c r="D8953" s="5" t="s">
        <v>12978</v>
      </c>
      <c r="E8953" s="5" t="s">
        <v>55846</v>
      </c>
      <c r="F8953" s="5" t="s">
        <v>212</v>
      </c>
      <c r="G8953" s="5" t="s">
        <v>55847</v>
      </c>
      <c r="H8953" s="6" t="s">
        <v>55848</v>
      </c>
      <c r="K8953" s="5" t="s">
        <v>55828</v>
      </c>
    </row>
    <row r="8954">
      <c r="A8954" s="4">
        <v>45534.423128622686</v>
      </c>
      <c r="B8954" s="5" t="s">
        <v>34</v>
      </c>
      <c r="D8954" s="5" t="s">
        <v>4775</v>
      </c>
      <c r="E8954" s="5" t="s">
        <v>55852</v>
      </c>
      <c r="F8954" s="5" t="s">
        <v>212</v>
      </c>
      <c r="G8954" s="5" t="s">
        <v>55853</v>
      </c>
      <c r="H8954" s="6" t="s">
        <v>55854</v>
      </c>
      <c r="K8954" s="5" t="s">
        <v>55828</v>
      </c>
    </row>
    <row r="8955">
      <c r="A8955" s="4">
        <v>45534.42312892361</v>
      </c>
      <c r="B8955" s="5" t="s">
        <v>19</v>
      </c>
      <c r="C8955" s="5" t="s">
        <v>20</v>
      </c>
      <c r="E8955" s="5" t="s">
        <v>55857</v>
      </c>
      <c r="F8955" s="5" t="s">
        <v>72</v>
      </c>
      <c r="G8955" s="5" t="s">
        <v>55858</v>
      </c>
      <c r="H8955" s="6" t="s">
        <v>55859</v>
      </c>
      <c r="K8955" s="5" t="s">
        <v>55828</v>
      </c>
    </row>
    <row r="8956">
      <c r="A8956" s="4">
        <v>45534.42315821759</v>
      </c>
      <c r="B8956" s="5" t="s">
        <v>34</v>
      </c>
      <c r="D8956" s="5" t="s">
        <v>4775</v>
      </c>
      <c r="E8956" s="5" t="s">
        <v>16208</v>
      </c>
      <c r="F8956" s="5" t="s">
        <v>212</v>
      </c>
      <c r="G8956" s="5" t="s">
        <v>55862</v>
      </c>
      <c r="H8956" s="6" t="s">
        <v>55863</v>
      </c>
      <c r="K8956" s="5" t="s">
        <v>55828</v>
      </c>
    </row>
    <row r="8957">
      <c r="A8957" s="4">
        <v>45534.42319872685</v>
      </c>
      <c r="B8957" s="5" t="s">
        <v>34</v>
      </c>
      <c r="D8957" s="5" t="s">
        <v>9020</v>
      </c>
      <c r="E8957" s="5" t="s">
        <v>55866</v>
      </c>
      <c r="F8957" s="5" t="s">
        <v>199</v>
      </c>
      <c r="G8957" s="5" t="s">
        <v>55867</v>
      </c>
      <c r="H8957" s="6" t="s">
        <v>55868</v>
      </c>
      <c r="K8957" s="5" t="s">
        <v>55828</v>
      </c>
    </row>
    <row r="8958">
      <c r="A8958" s="4">
        <v>45534.423328414356</v>
      </c>
      <c r="B8958" s="5" t="s">
        <v>34</v>
      </c>
      <c r="D8958" s="5" t="s">
        <v>4775</v>
      </c>
      <c r="E8958" s="5" t="s">
        <v>55871</v>
      </c>
      <c r="F8958" s="5" t="s">
        <v>524</v>
      </c>
      <c r="G8958" s="5" t="s">
        <v>55872</v>
      </c>
      <c r="H8958" s="6" t="s">
        <v>55873</v>
      </c>
      <c r="K8958" s="5" t="s">
        <v>55828</v>
      </c>
    </row>
    <row r="8959">
      <c r="A8959" s="4">
        <v>45534.423362650465</v>
      </c>
      <c r="B8959" s="5" t="s">
        <v>34</v>
      </c>
      <c r="D8959" s="5" t="s">
        <v>267</v>
      </c>
      <c r="E8959" s="5" t="s">
        <v>55876</v>
      </c>
      <c r="F8959" s="5" t="s">
        <v>375</v>
      </c>
      <c r="G8959" s="5" t="s">
        <v>55877</v>
      </c>
      <c r="H8959" s="6" t="s">
        <v>55878</v>
      </c>
      <c r="K8959" s="5" t="s">
        <v>55828</v>
      </c>
    </row>
    <row r="8960">
      <c r="A8960" s="4">
        <v>45534.42338753473</v>
      </c>
      <c r="B8960" s="5" t="s">
        <v>34</v>
      </c>
      <c r="D8960" s="5" t="s">
        <v>267</v>
      </c>
      <c r="E8960" s="5" t="s">
        <v>55881</v>
      </c>
      <c r="F8960" s="5" t="s">
        <v>120</v>
      </c>
      <c r="G8960" s="5" t="s">
        <v>55882</v>
      </c>
      <c r="H8960" s="6" t="s">
        <v>55883</v>
      </c>
      <c r="K8960" s="5" t="s">
        <v>55828</v>
      </c>
    </row>
    <row r="8961">
      <c r="A8961" s="4">
        <v>45534.42344878472</v>
      </c>
      <c r="B8961" s="5" t="s">
        <v>34</v>
      </c>
      <c r="D8961" s="5" t="s">
        <v>1206</v>
      </c>
      <c r="E8961" s="5" t="s">
        <v>52415</v>
      </c>
      <c r="F8961" s="5" t="s">
        <v>6776</v>
      </c>
      <c r="G8961" s="5" t="s">
        <v>55887</v>
      </c>
      <c r="H8961" s="6" t="s">
        <v>55888</v>
      </c>
      <c r="K8961" s="5" t="s">
        <v>55828</v>
      </c>
    </row>
    <row r="8962">
      <c r="A8962" s="4">
        <v>45534.42346041667</v>
      </c>
      <c r="B8962" s="5" t="s">
        <v>34</v>
      </c>
      <c r="D8962" s="5" t="s">
        <v>996</v>
      </c>
      <c r="E8962" s="5" t="s">
        <v>55891</v>
      </c>
      <c r="F8962" s="5" t="s">
        <v>120</v>
      </c>
      <c r="G8962" s="5" t="s">
        <v>55892</v>
      </c>
      <c r="H8962" s="6" t="s">
        <v>55893</v>
      </c>
      <c r="K8962" s="5" t="s">
        <v>55828</v>
      </c>
    </row>
    <row r="8963">
      <c r="A8963" s="4">
        <v>45534.42347335648</v>
      </c>
      <c r="B8963" s="5" t="s">
        <v>19</v>
      </c>
      <c r="C8963" s="5" t="s">
        <v>292</v>
      </c>
      <c r="E8963" s="5" t="s">
        <v>55896</v>
      </c>
      <c r="F8963" s="5" t="s">
        <v>120</v>
      </c>
      <c r="G8963" s="5" t="s">
        <v>55897</v>
      </c>
      <c r="H8963" s="6" t="s">
        <v>55898</v>
      </c>
      <c r="K8963" s="5" t="s">
        <v>55828</v>
      </c>
    </row>
    <row r="8964">
      <c r="A8964" s="4">
        <v>45534.42350427083</v>
      </c>
      <c r="B8964" s="5" t="s">
        <v>34</v>
      </c>
      <c r="D8964" s="5" t="s">
        <v>15401</v>
      </c>
      <c r="E8964" s="5" t="s">
        <v>55901</v>
      </c>
      <c r="F8964" s="5" t="s">
        <v>375</v>
      </c>
      <c r="G8964" s="5" t="s">
        <v>55902</v>
      </c>
      <c r="H8964" s="6" t="s">
        <v>55903</v>
      </c>
      <c r="K8964" s="5" t="s">
        <v>55828</v>
      </c>
    </row>
    <row r="8965">
      <c r="A8965" s="4">
        <v>45534.42350321759</v>
      </c>
      <c r="B8965" s="5" t="s">
        <v>34</v>
      </c>
      <c r="D8965" s="5" t="s">
        <v>35</v>
      </c>
      <c r="E8965" s="5" t="s">
        <v>55906</v>
      </c>
      <c r="F8965" s="5" t="s">
        <v>72</v>
      </c>
      <c r="G8965" s="5" t="s">
        <v>55907</v>
      </c>
      <c r="H8965" s="6" t="s">
        <v>55908</v>
      </c>
      <c r="K8965" s="5" t="s">
        <v>55828</v>
      </c>
    </row>
    <row r="8966">
      <c r="A8966" s="4">
        <v>45534.42352055556</v>
      </c>
      <c r="B8966" s="5" t="s">
        <v>34</v>
      </c>
      <c r="D8966" s="5" t="s">
        <v>4775</v>
      </c>
      <c r="E8966" s="5" t="s">
        <v>55911</v>
      </c>
      <c r="F8966" s="5" t="s">
        <v>72</v>
      </c>
      <c r="G8966" s="5" t="s">
        <v>55912</v>
      </c>
      <c r="H8966" s="6" t="s">
        <v>55913</v>
      </c>
      <c r="K8966" s="5" t="s">
        <v>55828</v>
      </c>
    </row>
    <row r="8967">
      <c r="A8967" s="4">
        <v>45534.42352946759</v>
      </c>
      <c r="B8967" s="5" t="s">
        <v>34</v>
      </c>
      <c r="D8967" s="5" t="s">
        <v>35</v>
      </c>
      <c r="E8967" s="5" t="s">
        <v>55917</v>
      </c>
      <c r="F8967" s="5" t="s">
        <v>5859</v>
      </c>
      <c r="G8967" s="5" t="s">
        <v>55918</v>
      </c>
      <c r="H8967" s="6" t="s">
        <v>55919</v>
      </c>
      <c r="K8967" s="5" t="s">
        <v>55828</v>
      </c>
    </row>
    <row r="8968">
      <c r="A8968" s="4">
        <v>45534.42354261574</v>
      </c>
      <c r="B8968" s="5" t="s">
        <v>34</v>
      </c>
      <c r="D8968" s="5" t="s">
        <v>1206</v>
      </c>
      <c r="E8968" s="5" t="s">
        <v>55922</v>
      </c>
      <c r="F8968" s="5" t="s">
        <v>212</v>
      </c>
      <c r="G8968" s="5" t="s">
        <v>55923</v>
      </c>
      <c r="H8968" s="6" t="s">
        <v>55924</v>
      </c>
      <c r="K8968" s="5" t="s">
        <v>55828</v>
      </c>
    </row>
    <row r="8969">
      <c r="A8969" s="4">
        <v>45534.42357982638</v>
      </c>
      <c r="B8969" s="5" t="s">
        <v>19</v>
      </c>
      <c r="C8969" s="5" t="s">
        <v>292</v>
      </c>
      <c r="E8969" s="5" t="s">
        <v>55927</v>
      </c>
      <c r="F8969" s="5" t="s">
        <v>524</v>
      </c>
      <c r="G8969" s="5" t="s">
        <v>55928</v>
      </c>
      <c r="H8969" s="6" t="s">
        <v>55929</v>
      </c>
      <c r="K8969" s="5" t="s">
        <v>55930</v>
      </c>
    </row>
    <row r="8970">
      <c r="A8970" s="4">
        <v>45534.42370287037</v>
      </c>
      <c r="B8970" s="5" t="s">
        <v>34</v>
      </c>
      <c r="D8970" s="5" t="s">
        <v>1206</v>
      </c>
      <c r="E8970" s="5" t="s">
        <v>55933</v>
      </c>
      <c r="F8970" s="5" t="s">
        <v>212</v>
      </c>
      <c r="G8970" s="5" t="s">
        <v>55934</v>
      </c>
      <c r="H8970" s="6" t="s">
        <v>55935</v>
      </c>
      <c r="K8970" s="5" t="s">
        <v>55936</v>
      </c>
    </row>
    <row r="8971">
      <c r="A8971" s="4">
        <v>45534.423713298616</v>
      </c>
      <c r="B8971" s="5" t="s">
        <v>34</v>
      </c>
      <c r="D8971" s="5" t="s">
        <v>12978</v>
      </c>
      <c r="E8971" s="5" t="s">
        <v>55939</v>
      </c>
      <c r="F8971" s="5" t="s">
        <v>212</v>
      </c>
      <c r="G8971" s="5" t="s">
        <v>55940</v>
      </c>
      <c r="H8971" s="6" t="s">
        <v>55941</v>
      </c>
      <c r="K8971" s="5" t="s">
        <v>55936</v>
      </c>
    </row>
    <row r="8972">
      <c r="A8972" s="4">
        <v>45534.42375099537</v>
      </c>
      <c r="B8972" s="5" t="s">
        <v>34</v>
      </c>
      <c r="D8972" s="5" t="s">
        <v>9020</v>
      </c>
      <c r="E8972" s="5" t="s">
        <v>55944</v>
      </c>
      <c r="F8972" s="5" t="s">
        <v>37</v>
      </c>
      <c r="G8972" s="5" t="s">
        <v>55945</v>
      </c>
      <c r="H8972" s="6" t="s">
        <v>55946</v>
      </c>
      <c r="K8972" s="5" t="s">
        <v>55936</v>
      </c>
    </row>
    <row r="8973">
      <c r="A8973" s="4">
        <v>45534.42375609954</v>
      </c>
      <c r="B8973" s="5" t="s">
        <v>34</v>
      </c>
      <c r="D8973" s="5" t="s">
        <v>4775</v>
      </c>
      <c r="E8973" s="5" t="s">
        <v>55950</v>
      </c>
      <c r="F8973" s="5" t="s">
        <v>524</v>
      </c>
      <c r="G8973" s="5" t="s">
        <v>55951</v>
      </c>
      <c r="H8973" s="6" t="s">
        <v>55952</v>
      </c>
      <c r="K8973" s="5" t="s">
        <v>55936</v>
      </c>
    </row>
    <row r="8974">
      <c r="A8974" s="4">
        <v>45534.42383972222</v>
      </c>
      <c r="B8974" s="5" t="s">
        <v>34</v>
      </c>
      <c r="D8974" s="5" t="s">
        <v>9394</v>
      </c>
      <c r="E8974" s="5" t="s">
        <v>55955</v>
      </c>
      <c r="F8974" s="5" t="s">
        <v>72</v>
      </c>
      <c r="G8974" s="5" t="s">
        <v>55956</v>
      </c>
      <c r="H8974" s="6" t="s">
        <v>55957</v>
      </c>
      <c r="K8974" s="5" t="s">
        <v>55936</v>
      </c>
    </row>
    <row r="8975">
      <c r="A8975" s="4">
        <v>45534.42386292824</v>
      </c>
      <c r="B8975" s="5" t="s">
        <v>34</v>
      </c>
      <c r="D8975" s="5" t="s">
        <v>1456</v>
      </c>
      <c r="E8975" s="5" t="s">
        <v>55960</v>
      </c>
      <c r="F8975" s="5" t="s">
        <v>72</v>
      </c>
      <c r="G8975" s="5" t="s">
        <v>55961</v>
      </c>
      <c r="H8975" s="6" t="s">
        <v>55962</v>
      </c>
      <c r="K8975" s="5" t="s">
        <v>55936</v>
      </c>
    </row>
    <row r="8976">
      <c r="A8976" s="4">
        <v>45534.423867777776</v>
      </c>
      <c r="B8976" s="5" t="s">
        <v>34</v>
      </c>
      <c r="D8976" s="5" t="s">
        <v>12978</v>
      </c>
      <c r="E8976" s="5" t="s">
        <v>55965</v>
      </c>
      <c r="F8976" s="5" t="s">
        <v>715</v>
      </c>
      <c r="G8976" s="5" t="s">
        <v>55966</v>
      </c>
      <c r="H8976" s="6" t="s">
        <v>55967</v>
      </c>
      <c r="K8976" s="5" t="s">
        <v>55936</v>
      </c>
    </row>
    <row r="8977">
      <c r="A8977" s="4">
        <v>45534.423873657404</v>
      </c>
      <c r="B8977" s="5" t="s">
        <v>34</v>
      </c>
      <c r="D8977" s="5" t="s">
        <v>701</v>
      </c>
      <c r="E8977" s="5" t="s">
        <v>55970</v>
      </c>
      <c r="F8977" s="5" t="s">
        <v>108</v>
      </c>
      <c r="G8977" s="5" t="s">
        <v>55971</v>
      </c>
      <c r="H8977" s="6" t="s">
        <v>55972</v>
      </c>
      <c r="K8977" s="5" t="s">
        <v>55936</v>
      </c>
    </row>
    <row r="8978">
      <c r="A8978" s="4">
        <v>45534.42387922454</v>
      </c>
      <c r="B8978" s="5" t="s">
        <v>34</v>
      </c>
      <c r="D8978" s="5" t="s">
        <v>1558</v>
      </c>
      <c r="E8978" s="5" t="s">
        <v>55976</v>
      </c>
      <c r="F8978" s="5" t="s">
        <v>375</v>
      </c>
      <c r="G8978" s="5" t="s">
        <v>55977</v>
      </c>
      <c r="H8978" s="6" t="s">
        <v>55978</v>
      </c>
      <c r="K8978" s="5" t="s">
        <v>55936</v>
      </c>
    </row>
    <row r="8979">
      <c r="A8979" s="4">
        <v>45534.42388908565</v>
      </c>
      <c r="B8979" s="5" t="s">
        <v>34</v>
      </c>
      <c r="D8979" s="5" t="s">
        <v>4775</v>
      </c>
      <c r="E8979" s="5" t="s">
        <v>55981</v>
      </c>
      <c r="F8979" s="5" t="s">
        <v>212</v>
      </c>
      <c r="G8979" s="5" t="s">
        <v>55982</v>
      </c>
      <c r="H8979" s="6" t="s">
        <v>55983</v>
      </c>
      <c r="K8979" s="5" t="s">
        <v>55936</v>
      </c>
    </row>
    <row r="8980">
      <c r="A8980" s="4">
        <v>45534.42402152778</v>
      </c>
      <c r="B8980" s="5" t="s">
        <v>34</v>
      </c>
      <c r="D8980" s="5" t="s">
        <v>10444</v>
      </c>
      <c r="E8980" s="5" t="s">
        <v>55986</v>
      </c>
      <c r="F8980" s="5" t="s">
        <v>212</v>
      </c>
      <c r="G8980" s="5" t="s">
        <v>55987</v>
      </c>
      <c r="H8980" s="6" t="s">
        <v>55988</v>
      </c>
      <c r="K8980" s="5" t="s">
        <v>55936</v>
      </c>
    </row>
    <row r="8981">
      <c r="A8981" s="4">
        <v>45534.42408965278</v>
      </c>
      <c r="B8981" s="5" t="s">
        <v>19</v>
      </c>
      <c r="C8981" s="5" t="s">
        <v>47130</v>
      </c>
      <c r="E8981" s="5" t="s">
        <v>55991</v>
      </c>
      <c r="F8981" s="5" t="s">
        <v>375</v>
      </c>
      <c r="G8981" s="5" t="s">
        <v>55992</v>
      </c>
      <c r="H8981" s="6" t="s">
        <v>55993</v>
      </c>
      <c r="K8981" s="5" t="s">
        <v>55936</v>
      </c>
    </row>
    <row r="8982">
      <c r="A8982" s="4">
        <v>45534.42427106481</v>
      </c>
      <c r="B8982" s="5" t="s">
        <v>34</v>
      </c>
      <c r="D8982" s="5" t="s">
        <v>522</v>
      </c>
      <c r="E8982" s="5" t="s">
        <v>55997</v>
      </c>
      <c r="F8982" s="5" t="s">
        <v>72</v>
      </c>
      <c r="G8982" s="5" t="s">
        <v>55998</v>
      </c>
      <c r="H8982" s="6" t="s">
        <v>55999</v>
      </c>
      <c r="K8982" s="5" t="s">
        <v>56000</v>
      </c>
    </row>
    <row r="8983">
      <c r="A8983" s="4">
        <v>45534.42439929398</v>
      </c>
      <c r="B8983" s="5" t="s">
        <v>34</v>
      </c>
      <c r="D8983" s="5" t="s">
        <v>4775</v>
      </c>
      <c r="E8983" s="5" t="s">
        <v>56003</v>
      </c>
      <c r="F8983" s="5" t="s">
        <v>56004</v>
      </c>
      <c r="G8983" s="5" t="s">
        <v>56005</v>
      </c>
      <c r="H8983" s="6" t="s">
        <v>56006</v>
      </c>
      <c r="K8983" s="5" t="s">
        <v>56007</v>
      </c>
    </row>
    <row r="8984">
      <c r="A8984" s="4">
        <v>45534.42441798611</v>
      </c>
      <c r="B8984" s="5" t="s">
        <v>34</v>
      </c>
      <c r="D8984" s="5" t="s">
        <v>3432</v>
      </c>
      <c r="E8984" s="5" t="s">
        <v>56010</v>
      </c>
      <c r="F8984" s="5" t="s">
        <v>212</v>
      </c>
      <c r="G8984" s="5" t="s">
        <v>56011</v>
      </c>
      <c r="H8984" s="6" t="s">
        <v>56012</v>
      </c>
      <c r="K8984" s="5" t="s">
        <v>56007</v>
      </c>
    </row>
    <row r="8985">
      <c r="A8985" s="4">
        <v>45534.42444445602</v>
      </c>
      <c r="B8985" s="5" t="s">
        <v>19</v>
      </c>
      <c r="C8985" s="5" t="s">
        <v>292</v>
      </c>
      <c r="E8985" s="5" t="s">
        <v>56015</v>
      </c>
      <c r="F8985" s="5" t="s">
        <v>22</v>
      </c>
      <c r="G8985" s="5" t="s">
        <v>56016</v>
      </c>
      <c r="H8985" s="6" t="s">
        <v>56017</v>
      </c>
      <c r="K8985" s="5" t="s">
        <v>56007</v>
      </c>
    </row>
    <row r="8986">
      <c r="A8986" s="4">
        <v>45534.42459569444</v>
      </c>
      <c r="B8986" s="5" t="s">
        <v>19</v>
      </c>
      <c r="C8986" s="5" t="s">
        <v>466</v>
      </c>
      <c r="E8986" s="5" t="s">
        <v>56021</v>
      </c>
      <c r="F8986" s="5" t="s">
        <v>375</v>
      </c>
      <c r="G8986" s="5" t="s">
        <v>56022</v>
      </c>
      <c r="H8986" s="6" t="s">
        <v>56023</v>
      </c>
      <c r="K8986" s="5" t="s">
        <v>56024</v>
      </c>
    </row>
    <row r="8987">
      <c r="A8987" s="4">
        <v>45534.42469076389</v>
      </c>
      <c r="B8987" s="5" t="s">
        <v>34</v>
      </c>
      <c r="D8987" s="5" t="s">
        <v>1558</v>
      </c>
      <c r="E8987" s="5" t="s">
        <v>56027</v>
      </c>
      <c r="F8987" s="5" t="s">
        <v>37</v>
      </c>
      <c r="G8987" s="5" t="s">
        <v>56028</v>
      </c>
      <c r="H8987" s="6" t="s">
        <v>56029</v>
      </c>
      <c r="K8987" s="5" t="s">
        <v>56030</v>
      </c>
    </row>
    <row r="8988">
      <c r="A8988" s="4">
        <v>45534.424696250004</v>
      </c>
      <c r="B8988" s="5" t="s">
        <v>34</v>
      </c>
      <c r="D8988" s="5" t="s">
        <v>9020</v>
      </c>
      <c r="E8988" s="5" t="s">
        <v>56033</v>
      </c>
      <c r="F8988" s="5" t="s">
        <v>328</v>
      </c>
      <c r="G8988" s="5" t="s">
        <v>56034</v>
      </c>
      <c r="H8988" s="6" t="s">
        <v>56035</v>
      </c>
      <c r="K8988" s="5" t="s">
        <v>56030</v>
      </c>
    </row>
    <row r="8989">
      <c r="A8989" s="4">
        <v>45534.42471896991</v>
      </c>
      <c r="B8989" s="5" t="s">
        <v>19</v>
      </c>
      <c r="C8989" s="5" t="s">
        <v>292</v>
      </c>
      <c r="E8989" s="5" t="s">
        <v>56038</v>
      </c>
      <c r="F8989" s="5" t="s">
        <v>212</v>
      </c>
      <c r="G8989" s="5" t="s">
        <v>56039</v>
      </c>
      <c r="H8989" s="6" t="s">
        <v>56040</v>
      </c>
      <c r="K8989" s="5" t="s">
        <v>56041</v>
      </c>
    </row>
    <row r="8990">
      <c r="A8990" s="4">
        <v>45534.42477357639</v>
      </c>
      <c r="B8990" s="5" t="s">
        <v>19</v>
      </c>
      <c r="C8990" s="5" t="s">
        <v>292</v>
      </c>
      <c r="E8990" s="5" t="s">
        <v>56044</v>
      </c>
      <c r="F8990" s="5" t="s">
        <v>120</v>
      </c>
      <c r="G8990" s="5" t="s">
        <v>56045</v>
      </c>
      <c r="H8990" s="6" t="s">
        <v>56046</v>
      </c>
      <c r="K8990" s="5" t="s">
        <v>56047</v>
      </c>
    </row>
    <row r="8991">
      <c r="A8991" s="4">
        <v>45534.42477736111</v>
      </c>
      <c r="B8991" s="5" t="s">
        <v>34</v>
      </c>
      <c r="D8991" s="5" t="s">
        <v>15401</v>
      </c>
      <c r="E8991" s="5" t="s">
        <v>56051</v>
      </c>
      <c r="F8991" s="5" t="s">
        <v>524</v>
      </c>
      <c r="G8991" s="5" t="s">
        <v>56052</v>
      </c>
      <c r="H8991" s="6" t="s">
        <v>56053</v>
      </c>
      <c r="K8991" s="5" t="s">
        <v>56054</v>
      </c>
    </row>
    <row r="8992">
      <c r="A8992" s="4">
        <v>45534.42487434028</v>
      </c>
      <c r="B8992" s="5" t="s">
        <v>34</v>
      </c>
      <c r="D8992" s="5" t="s">
        <v>35</v>
      </c>
      <c r="E8992" s="5" t="s">
        <v>56057</v>
      </c>
      <c r="F8992" s="5" t="s">
        <v>37</v>
      </c>
      <c r="G8992" s="5" t="s">
        <v>56058</v>
      </c>
      <c r="H8992" s="6" t="s">
        <v>56059</v>
      </c>
      <c r="K8992" s="5" t="s">
        <v>56060</v>
      </c>
    </row>
    <row r="8993">
      <c r="A8993" s="4">
        <v>45534.42505658565</v>
      </c>
      <c r="B8993" s="5" t="s">
        <v>34</v>
      </c>
      <c r="D8993" s="5" t="s">
        <v>35</v>
      </c>
      <c r="E8993" s="5" t="s">
        <v>56063</v>
      </c>
      <c r="F8993" s="5" t="s">
        <v>212</v>
      </c>
      <c r="G8993" s="5" t="s">
        <v>56064</v>
      </c>
      <c r="H8993" s="6" t="s">
        <v>56065</v>
      </c>
      <c r="K8993" s="5" t="s">
        <v>56066</v>
      </c>
    </row>
    <row r="8994">
      <c r="A8994" s="4">
        <v>45534.42510554398</v>
      </c>
      <c r="B8994" s="5" t="s">
        <v>34</v>
      </c>
      <c r="D8994" s="5" t="s">
        <v>12010</v>
      </c>
      <c r="E8994" s="5" t="s">
        <v>56069</v>
      </c>
      <c r="F8994" s="5" t="s">
        <v>72</v>
      </c>
      <c r="G8994" s="5" t="s">
        <v>56070</v>
      </c>
      <c r="H8994" s="6" t="s">
        <v>56071</v>
      </c>
      <c r="K8994" s="5" t="s">
        <v>56072</v>
      </c>
    </row>
    <row r="8995">
      <c r="A8995" s="4">
        <v>45534.425114722224</v>
      </c>
      <c r="B8995" s="5" t="s">
        <v>19</v>
      </c>
      <c r="C8995" s="5" t="s">
        <v>292</v>
      </c>
      <c r="E8995" s="5" t="s">
        <v>56076</v>
      </c>
      <c r="F8995" s="5" t="s">
        <v>212</v>
      </c>
      <c r="G8995" s="5" t="s">
        <v>56077</v>
      </c>
      <c r="H8995" s="6" t="s">
        <v>56078</v>
      </c>
      <c r="K8995" s="5" t="s">
        <v>56072</v>
      </c>
    </row>
    <row r="8996">
      <c r="A8996" s="4">
        <v>45534.42522321759</v>
      </c>
      <c r="B8996" s="5" t="s">
        <v>34</v>
      </c>
      <c r="D8996" s="5" t="s">
        <v>1206</v>
      </c>
      <c r="E8996" s="5" t="s">
        <v>56081</v>
      </c>
      <c r="F8996" s="5" t="s">
        <v>715</v>
      </c>
      <c r="G8996" s="5" t="s">
        <v>56082</v>
      </c>
      <c r="H8996" s="6" t="s">
        <v>56083</v>
      </c>
      <c r="K8996" s="5" t="s">
        <v>56084</v>
      </c>
    </row>
    <row r="8997">
      <c r="A8997" s="4">
        <v>45534.42528704861</v>
      </c>
      <c r="B8997" s="5" t="s">
        <v>34</v>
      </c>
      <c r="D8997" s="5" t="s">
        <v>701</v>
      </c>
      <c r="E8997" s="5" t="s">
        <v>56088</v>
      </c>
      <c r="F8997" s="5" t="s">
        <v>37</v>
      </c>
      <c r="G8997" s="5" t="s">
        <v>56089</v>
      </c>
      <c r="H8997" s="6" t="s">
        <v>56090</v>
      </c>
      <c r="K8997" s="5" t="s">
        <v>56091</v>
      </c>
    </row>
    <row r="8998">
      <c r="A8998" s="4">
        <v>45534.425297951384</v>
      </c>
      <c r="B8998" s="5" t="s">
        <v>34</v>
      </c>
      <c r="D8998" s="5" t="s">
        <v>267</v>
      </c>
      <c r="E8998" s="5" t="s">
        <v>56095</v>
      </c>
      <c r="F8998" s="5" t="s">
        <v>37</v>
      </c>
      <c r="G8998" s="5" t="s">
        <v>56096</v>
      </c>
      <c r="H8998" s="6" t="s">
        <v>56097</v>
      </c>
      <c r="K8998" s="5" t="s">
        <v>56091</v>
      </c>
    </row>
    <row r="8999">
      <c r="A8999" s="4">
        <v>45534.425318657406</v>
      </c>
      <c r="B8999" s="5" t="s">
        <v>34</v>
      </c>
      <c r="D8999" s="5" t="s">
        <v>1206</v>
      </c>
      <c r="E8999" s="5" t="s">
        <v>56101</v>
      </c>
      <c r="F8999" s="5" t="s">
        <v>212</v>
      </c>
      <c r="G8999" s="5" t="s">
        <v>56102</v>
      </c>
      <c r="H8999" s="6" t="s">
        <v>56103</v>
      </c>
      <c r="K8999" s="5" t="s">
        <v>56104</v>
      </c>
    </row>
    <row r="9000">
      <c r="A9000" s="4">
        <v>45534.42540461806</v>
      </c>
      <c r="B9000" s="5" t="s">
        <v>34</v>
      </c>
      <c r="D9000" s="5" t="s">
        <v>9020</v>
      </c>
      <c r="E9000" s="5" t="s">
        <v>56108</v>
      </c>
      <c r="F9000" s="5" t="s">
        <v>524</v>
      </c>
      <c r="G9000" s="5" t="s">
        <v>56109</v>
      </c>
      <c r="H9000" s="6" t="s">
        <v>56110</v>
      </c>
      <c r="K9000" s="5" t="s">
        <v>56111</v>
      </c>
    </row>
    <row r="9001">
      <c r="A9001" s="4">
        <v>45534.42544989583</v>
      </c>
      <c r="B9001" s="5" t="s">
        <v>34</v>
      </c>
      <c r="D9001" s="5" t="s">
        <v>4775</v>
      </c>
      <c r="E9001" s="5" t="s">
        <v>56115</v>
      </c>
      <c r="F9001" s="5" t="s">
        <v>375</v>
      </c>
      <c r="G9001" s="5" t="s">
        <v>56116</v>
      </c>
      <c r="H9001" s="6" t="s">
        <v>56117</v>
      </c>
      <c r="K9001" s="5" t="s">
        <v>56118</v>
      </c>
    </row>
    <row r="9002">
      <c r="A9002" s="4">
        <v>45534.42548917824</v>
      </c>
      <c r="B9002" s="5" t="s">
        <v>34</v>
      </c>
      <c r="D9002" s="5" t="s">
        <v>2903</v>
      </c>
      <c r="E9002" s="5" t="s">
        <v>56122</v>
      </c>
      <c r="F9002" s="5" t="s">
        <v>212</v>
      </c>
      <c r="G9002" s="5" t="s">
        <v>56123</v>
      </c>
      <c r="H9002" s="6" t="s">
        <v>56124</v>
      </c>
      <c r="K9002" s="5" t="s">
        <v>56118</v>
      </c>
    </row>
    <row r="9003">
      <c r="A9003" s="4">
        <v>45534.42549570602</v>
      </c>
      <c r="B9003" s="5" t="s">
        <v>34</v>
      </c>
      <c r="D9003" s="5" t="s">
        <v>267</v>
      </c>
      <c r="E9003" s="5" t="s">
        <v>56128</v>
      </c>
      <c r="F9003" s="5" t="s">
        <v>37</v>
      </c>
      <c r="G9003" s="5" t="s">
        <v>56129</v>
      </c>
      <c r="H9003" s="6" t="s">
        <v>56130</v>
      </c>
      <c r="K9003" s="5" t="s">
        <v>56118</v>
      </c>
    </row>
    <row r="9004">
      <c r="A9004" s="4">
        <v>45534.425585324076</v>
      </c>
      <c r="B9004" s="5" t="s">
        <v>34</v>
      </c>
      <c r="D9004" s="5" t="s">
        <v>1692</v>
      </c>
      <c r="E9004" s="5" t="s">
        <v>56134</v>
      </c>
      <c r="F9004" s="5" t="s">
        <v>212</v>
      </c>
      <c r="G9004" s="5" t="s">
        <v>56135</v>
      </c>
      <c r="H9004" s="6" t="s">
        <v>56136</v>
      </c>
      <c r="K9004" s="5" t="s">
        <v>56137</v>
      </c>
    </row>
    <row r="9005">
      <c r="A9005" s="4">
        <v>45534.42558560186</v>
      </c>
      <c r="B9005" s="5" t="s">
        <v>34</v>
      </c>
      <c r="D9005" s="5" t="s">
        <v>6232</v>
      </c>
      <c r="E9005" s="5" t="s">
        <v>56141</v>
      </c>
      <c r="F9005" s="5" t="s">
        <v>37</v>
      </c>
      <c r="G9005" s="5" t="s">
        <v>56142</v>
      </c>
      <c r="H9005" s="6" t="s">
        <v>56143</v>
      </c>
      <c r="K9005" s="5" t="s">
        <v>56137</v>
      </c>
    </row>
    <row r="9006">
      <c r="A9006" s="4">
        <v>45534.425584791665</v>
      </c>
      <c r="B9006" s="5" t="s">
        <v>34</v>
      </c>
      <c r="D9006" s="5" t="s">
        <v>1206</v>
      </c>
      <c r="E9006" s="5" t="s">
        <v>56147</v>
      </c>
      <c r="F9006" s="5" t="s">
        <v>37</v>
      </c>
      <c r="G9006" s="5" t="s">
        <v>56148</v>
      </c>
      <c r="H9006" s="6" t="s">
        <v>56149</v>
      </c>
      <c r="K9006" s="5" t="s">
        <v>56137</v>
      </c>
    </row>
    <row r="9007">
      <c r="A9007" s="4">
        <v>45534.425627442135</v>
      </c>
      <c r="B9007" s="5" t="s">
        <v>34</v>
      </c>
      <c r="D9007" s="5" t="s">
        <v>701</v>
      </c>
      <c r="E9007" s="5" t="s">
        <v>43431</v>
      </c>
      <c r="F9007" s="5" t="s">
        <v>37</v>
      </c>
      <c r="G9007" s="5" t="s">
        <v>56153</v>
      </c>
      <c r="H9007" s="6" t="s">
        <v>56154</v>
      </c>
      <c r="K9007" s="5" t="s">
        <v>56155</v>
      </c>
    </row>
    <row r="9008">
      <c r="A9008" s="4">
        <v>45534.42563631944</v>
      </c>
      <c r="B9008" s="5" t="s">
        <v>34</v>
      </c>
      <c r="D9008" s="5" t="s">
        <v>35</v>
      </c>
      <c r="E9008" s="5" t="s">
        <v>56159</v>
      </c>
      <c r="F9008" s="5" t="s">
        <v>37</v>
      </c>
      <c r="G9008" s="5" t="s">
        <v>56160</v>
      </c>
      <c r="H9008" s="6" t="s">
        <v>56161</v>
      </c>
      <c r="K9008" s="5" t="s">
        <v>56162</v>
      </c>
    </row>
    <row r="9009">
      <c r="A9009" s="4">
        <v>45534.425665752315</v>
      </c>
      <c r="B9009" s="5" t="s">
        <v>34</v>
      </c>
      <c r="D9009" s="5" t="s">
        <v>267</v>
      </c>
      <c r="E9009" s="5" t="s">
        <v>56166</v>
      </c>
      <c r="F9009" s="5" t="s">
        <v>375</v>
      </c>
      <c r="G9009" s="5" t="s">
        <v>56167</v>
      </c>
      <c r="H9009" s="6" t="s">
        <v>56168</v>
      </c>
      <c r="K9009" s="5" t="s">
        <v>56169</v>
      </c>
    </row>
    <row r="9010">
      <c r="A9010" s="4">
        <v>45534.42569967592</v>
      </c>
      <c r="B9010" s="5" t="s">
        <v>34</v>
      </c>
      <c r="D9010" s="5" t="s">
        <v>1456</v>
      </c>
      <c r="E9010" s="5" t="s">
        <v>56173</v>
      </c>
      <c r="F9010" s="5" t="s">
        <v>37</v>
      </c>
      <c r="G9010" s="5" t="s">
        <v>56174</v>
      </c>
      <c r="H9010" s="6" t="s">
        <v>56175</v>
      </c>
      <c r="K9010" s="5" t="s">
        <v>56176</v>
      </c>
    </row>
    <row r="9011">
      <c r="A9011" s="4">
        <v>45534.425724560184</v>
      </c>
      <c r="B9011" s="5" t="s">
        <v>19</v>
      </c>
      <c r="C9011" s="5" t="s">
        <v>292</v>
      </c>
      <c r="E9011" s="5" t="s">
        <v>56180</v>
      </c>
      <c r="F9011" s="5" t="s">
        <v>212</v>
      </c>
      <c r="G9011" s="5" t="s">
        <v>56181</v>
      </c>
      <c r="H9011" s="6" t="s">
        <v>56182</v>
      </c>
      <c r="K9011" s="5" t="s">
        <v>56183</v>
      </c>
    </row>
    <row r="9012">
      <c r="A9012" s="4">
        <v>45534.42572596065</v>
      </c>
      <c r="B9012" s="5" t="s">
        <v>34</v>
      </c>
      <c r="D9012" s="5" t="s">
        <v>604</v>
      </c>
      <c r="E9012" s="5" t="s">
        <v>56187</v>
      </c>
      <c r="F9012" s="5" t="s">
        <v>72</v>
      </c>
      <c r="G9012" s="5" t="s">
        <v>56188</v>
      </c>
      <c r="H9012" s="6" t="s">
        <v>56189</v>
      </c>
      <c r="K9012" s="5" t="s">
        <v>56183</v>
      </c>
    </row>
    <row r="9013">
      <c r="A9013" s="4">
        <v>45534.425737453705</v>
      </c>
      <c r="B9013" s="5" t="s">
        <v>34</v>
      </c>
      <c r="D9013" s="5" t="s">
        <v>701</v>
      </c>
      <c r="E9013" s="5" t="s">
        <v>56193</v>
      </c>
      <c r="F9013" s="5" t="s">
        <v>524</v>
      </c>
      <c r="G9013" s="5" t="s">
        <v>56194</v>
      </c>
      <c r="H9013" s="6" t="s">
        <v>56195</v>
      </c>
      <c r="K9013" s="5" t="s">
        <v>56183</v>
      </c>
    </row>
    <row r="9014">
      <c r="A9014" s="4">
        <v>45534.42574251158</v>
      </c>
      <c r="B9014" s="5" t="s">
        <v>19</v>
      </c>
      <c r="C9014" s="5" t="s">
        <v>55133</v>
      </c>
      <c r="E9014" s="5" t="s">
        <v>56198</v>
      </c>
      <c r="F9014" s="5" t="s">
        <v>212</v>
      </c>
      <c r="G9014" s="5" t="s">
        <v>56199</v>
      </c>
      <c r="H9014" s="6" t="s">
        <v>56200</v>
      </c>
      <c r="K9014" s="5" t="s">
        <v>56183</v>
      </c>
    </row>
    <row r="9015">
      <c r="A9015" s="4">
        <v>45534.4258333912</v>
      </c>
      <c r="B9015" s="5" t="s">
        <v>19</v>
      </c>
      <c r="C9015" s="5" t="s">
        <v>20</v>
      </c>
      <c r="E9015" s="5" t="s">
        <v>56203</v>
      </c>
      <c r="F9015" s="5" t="s">
        <v>22</v>
      </c>
      <c r="G9015" s="5" t="s">
        <v>56204</v>
      </c>
      <c r="H9015" s="6" t="s">
        <v>56205</v>
      </c>
      <c r="K9015" s="5" t="s">
        <v>56206</v>
      </c>
    </row>
    <row r="9016">
      <c r="A9016" s="4">
        <v>45534.426019085644</v>
      </c>
      <c r="B9016" s="5" t="s">
        <v>34</v>
      </c>
      <c r="D9016" s="5" t="s">
        <v>4775</v>
      </c>
      <c r="E9016" s="5" t="s">
        <v>56210</v>
      </c>
      <c r="F9016" s="5" t="s">
        <v>212</v>
      </c>
      <c r="G9016" s="5" t="s">
        <v>56211</v>
      </c>
      <c r="H9016" s="6" t="s">
        <v>56212</v>
      </c>
      <c r="K9016" s="5" t="s">
        <v>56213</v>
      </c>
    </row>
    <row r="9017">
      <c r="A9017" s="4">
        <v>45534.426053414354</v>
      </c>
      <c r="B9017" s="5" t="s">
        <v>19</v>
      </c>
      <c r="C9017" s="5" t="s">
        <v>466</v>
      </c>
      <c r="E9017" s="5" t="s">
        <v>56216</v>
      </c>
      <c r="F9017" s="5" t="s">
        <v>108</v>
      </c>
      <c r="G9017" s="5" t="s">
        <v>56217</v>
      </c>
      <c r="H9017" s="6" t="s">
        <v>56218</v>
      </c>
      <c r="K9017" s="5" t="s">
        <v>56213</v>
      </c>
    </row>
    <row r="9018">
      <c r="A9018" s="4">
        <v>45534.42618378472</v>
      </c>
      <c r="B9018" s="5" t="s">
        <v>34</v>
      </c>
      <c r="D9018" s="5" t="s">
        <v>7858</v>
      </c>
      <c r="E9018" s="5" t="s">
        <v>56221</v>
      </c>
      <c r="F9018" s="5" t="s">
        <v>72</v>
      </c>
      <c r="G9018" s="5" t="s">
        <v>56222</v>
      </c>
      <c r="H9018" s="6" t="s">
        <v>56223</v>
      </c>
      <c r="K9018" s="5" t="s">
        <v>56213</v>
      </c>
    </row>
    <row r="9019">
      <c r="A9019" s="4">
        <v>45534.42622144676</v>
      </c>
      <c r="B9019" s="5" t="s">
        <v>34</v>
      </c>
      <c r="D9019" s="5" t="s">
        <v>1558</v>
      </c>
      <c r="E9019" s="5" t="s">
        <v>56226</v>
      </c>
      <c r="F9019" s="5" t="s">
        <v>212</v>
      </c>
      <c r="G9019" s="5" t="s">
        <v>56227</v>
      </c>
      <c r="H9019" s="6" t="s">
        <v>56228</v>
      </c>
      <c r="K9019" s="5" t="s">
        <v>56213</v>
      </c>
    </row>
    <row r="9020">
      <c r="A9020" s="4">
        <v>45534.4262269676</v>
      </c>
      <c r="B9020" s="5" t="s">
        <v>34</v>
      </c>
      <c r="D9020" s="5" t="s">
        <v>15401</v>
      </c>
      <c r="E9020" s="5" t="s">
        <v>56231</v>
      </c>
      <c r="F9020" s="5" t="s">
        <v>37</v>
      </c>
      <c r="G9020" s="5" t="s">
        <v>56232</v>
      </c>
      <c r="H9020" s="6" t="s">
        <v>56233</v>
      </c>
      <c r="K9020" s="5" t="s">
        <v>56213</v>
      </c>
    </row>
    <row r="9021">
      <c r="A9021" s="4">
        <v>45534.426267118055</v>
      </c>
      <c r="B9021" s="5" t="s">
        <v>34</v>
      </c>
      <c r="D9021" s="5" t="s">
        <v>12978</v>
      </c>
      <c r="E9021" s="5" t="s">
        <v>56236</v>
      </c>
      <c r="F9021" s="5" t="s">
        <v>375</v>
      </c>
      <c r="G9021" s="5" t="s">
        <v>56237</v>
      </c>
      <c r="H9021" s="6" t="s">
        <v>56238</v>
      </c>
      <c r="K9021" s="5" t="s">
        <v>56213</v>
      </c>
    </row>
    <row r="9022">
      <c r="A9022" s="4">
        <v>45534.426333194446</v>
      </c>
      <c r="B9022" s="5" t="s">
        <v>34</v>
      </c>
      <c r="D9022" s="5" t="s">
        <v>9020</v>
      </c>
      <c r="E9022" s="5" t="s">
        <v>56242</v>
      </c>
      <c r="F9022" s="5" t="s">
        <v>524</v>
      </c>
      <c r="G9022" s="5" t="s">
        <v>56243</v>
      </c>
      <c r="H9022" s="6" t="s">
        <v>56244</v>
      </c>
      <c r="K9022" s="5" t="s">
        <v>56213</v>
      </c>
    </row>
    <row r="9023">
      <c r="A9023" s="4">
        <v>45534.42636940972</v>
      </c>
      <c r="B9023" s="5" t="s">
        <v>34</v>
      </c>
      <c r="D9023" s="5" t="s">
        <v>4775</v>
      </c>
      <c r="E9023" s="5" t="s">
        <v>56247</v>
      </c>
      <c r="F9023" s="5" t="s">
        <v>715</v>
      </c>
      <c r="G9023" s="5" t="s">
        <v>56248</v>
      </c>
      <c r="H9023" s="6" t="s">
        <v>56249</v>
      </c>
      <c r="K9023" s="5" t="s">
        <v>56213</v>
      </c>
    </row>
    <row r="9024">
      <c r="A9024" s="4">
        <v>45534.426381296296</v>
      </c>
      <c r="B9024" s="5" t="s">
        <v>34</v>
      </c>
      <c r="D9024" s="5" t="s">
        <v>580</v>
      </c>
      <c r="E9024" s="5" t="s">
        <v>56253</v>
      </c>
      <c r="F9024" s="5" t="s">
        <v>108</v>
      </c>
      <c r="G9024" s="5" t="s">
        <v>56254</v>
      </c>
      <c r="H9024" s="6" t="s">
        <v>56255</v>
      </c>
      <c r="K9024" s="5" t="s">
        <v>56213</v>
      </c>
    </row>
    <row r="9025">
      <c r="A9025" s="4">
        <v>45534.426386736115</v>
      </c>
      <c r="B9025" s="5" t="s">
        <v>34</v>
      </c>
      <c r="D9025" s="5" t="s">
        <v>7858</v>
      </c>
      <c r="E9025" s="5" t="s">
        <v>56259</v>
      </c>
      <c r="F9025" s="5" t="s">
        <v>212</v>
      </c>
      <c r="G9025" s="5" t="s">
        <v>56260</v>
      </c>
      <c r="H9025" s="6" t="s">
        <v>56261</v>
      </c>
      <c r="K9025" s="5" t="s">
        <v>56213</v>
      </c>
    </row>
    <row r="9026">
      <c r="A9026" s="4">
        <v>45534.426391712965</v>
      </c>
      <c r="B9026" s="5" t="s">
        <v>34</v>
      </c>
      <c r="D9026" s="5" t="s">
        <v>1456</v>
      </c>
      <c r="E9026" s="5" t="s">
        <v>56265</v>
      </c>
      <c r="F9026" s="5" t="s">
        <v>120</v>
      </c>
      <c r="G9026" s="5" t="s">
        <v>56266</v>
      </c>
      <c r="H9026" s="6" t="s">
        <v>56267</v>
      </c>
      <c r="K9026" s="5" t="s">
        <v>56213</v>
      </c>
    </row>
    <row r="9027">
      <c r="A9027" s="4">
        <v>45534.426479456015</v>
      </c>
      <c r="B9027" s="5" t="s">
        <v>34</v>
      </c>
      <c r="D9027" s="5" t="s">
        <v>15401</v>
      </c>
      <c r="E9027" s="5" t="s">
        <v>56271</v>
      </c>
      <c r="F9027" s="5" t="s">
        <v>524</v>
      </c>
      <c r="G9027" s="5" t="s">
        <v>56272</v>
      </c>
      <c r="H9027" s="6" t="s">
        <v>56273</v>
      </c>
      <c r="K9027" s="5" t="s">
        <v>56213</v>
      </c>
    </row>
    <row r="9028">
      <c r="A9028" s="4">
        <v>45534.4265028125</v>
      </c>
      <c r="B9028" s="5" t="s">
        <v>34</v>
      </c>
      <c r="D9028" s="5" t="s">
        <v>10444</v>
      </c>
      <c r="E9028" s="5" t="s">
        <v>56277</v>
      </c>
      <c r="F9028" s="5" t="s">
        <v>108</v>
      </c>
      <c r="G9028" s="5" t="s">
        <v>56278</v>
      </c>
      <c r="H9028" s="6" t="s">
        <v>56279</v>
      </c>
      <c r="K9028" s="5" t="s">
        <v>56213</v>
      </c>
    </row>
    <row r="9029">
      <c r="A9029" s="4">
        <v>45534.42664881944</v>
      </c>
      <c r="B9029" s="5" t="s">
        <v>34</v>
      </c>
      <c r="D9029" s="5" t="s">
        <v>1768</v>
      </c>
      <c r="E9029" s="5" t="s">
        <v>56283</v>
      </c>
      <c r="F9029" s="5" t="s">
        <v>108</v>
      </c>
      <c r="G9029" s="5" t="s">
        <v>56284</v>
      </c>
      <c r="H9029" s="6" t="s">
        <v>56285</v>
      </c>
      <c r="K9029" s="5" t="s">
        <v>56213</v>
      </c>
    </row>
    <row r="9030">
      <c r="A9030" s="4">
        <v>45534.42671684027</v>
      </c>
      <c r="B9030" s="5" t="s">
        <v>34</v>
      </c>
      <c r="D9030" s="5" t="s">
        <v>9394</v>
      </c>
      <c r="E9030" s="5" t="s">
        <v>56289</v>
      </c>
      <c r="F9030" s="5" t="s">
        <v>524</v>
      </c>
      <c r="G9030" s="5" t="s">
        <v>56290</v>
      </c>
      <c r="H9030" s="6" t="s">
        <v>56291</v>
      </c>
      <c r="K9030" s="5" t="s">
        <v>56213</v>
      </c>
    </row>
    <row r="9031">
      <c r="A9031" s="4">
        <v>45534.42673341435</v>
      </c>
      <c r="B9031" s="5" t="s">
        <v>19</v>
      </c>
      <c r="C9031" s="5" t="s">
        <v>292</v>
      </c>
      <c r="E9031" s="5" t="s">
        <v>56295</v>
      </c>
      <c r="F9031" s="5" t="s">
        <v>212</v>
      </c>
      <c r="G9031" s="5" t="s">
        <v>56296</v>
      </c>
      <c r="H9031" s="6" t="s">
        <v>56297</v>
      </c>
      <c r="K9031" s="5" t="s">
        <v>56213</v>
      </c>
    </row>
    <row r="9032">
      <c r="A9032" s="4">
        <v>45534.42673527778</v>
      </c>
      <c r="B9032" s="5" t="s">
        <v>19</v>
      </c>
      <c r="C9032" s="5" t="s">
        <v>20</v>
      </c>
      <c r="E9032" s="5" t="s">
        <v>56301</v>
      </c>
      <c r="F9032" s="5" t="s">
        <v>37</v>
      </c>
      <c r="G9032" s="5" t="s">
        <v>56302</v>
      </c>
      <c r="H9032" s="6" t="s">
        <v>56303</v>
      </c>
      <c r="K9032" s="5" t="s">
        <v>56213</v>
      </c>
    </row>
    <row r="9033">
      <c r="A9033" s="4">
        <v>45534.4267371875</v>
      </c>
      <c r="B9033" s="5" t="s">
        <v>19</v>
      </c>
      <c r="C9033" s="5" t="s">
        <v>292</v>
      </c>
      <c r="E9033" s="5" t="s">
        <v>56307</v>
      </c>
      <c r="F9033" s="5" t="s">
        <v>212</v>
      </c>
      <c r="G9033" s="5" t="s">
        <v>56308</v>
      </c>
      <c r="H9033" s="6" t="s">
        <v>56309</v>
      </c>
      <c r="K9033" s="5" t="s">
        <v>56213</v>
      </c>
    </row>
    <row r="9034">
      <c r="A9034" s="4">
        <v>45534.42679434028</v>
      </c>
      <c r="B9034" s="5" t="s">
        <v>34</v>
      </c>
      <c r="D9034" s="5" t="s">
        <v>267</v>
      </c>
      <c r="E9034" s="5" t="s">
        <v>56313</v>
      </c>
      <c r="F9034" s="5" t="s">
        <v>375</v>
      </c>
      <c r="G9034" s="5" t="s">
        <v>56314</v>
      </c>
      <c r="H9034" s="6" t="s">
        <v>56315</v>
      </c>
      <c r="K9034" s="5" t="s">
        <v>56213</v>
      </c>
    </row>
    <row r="9035">
      <c r="A9035" s="4">
        <v>45534.42687523148</v>
      </c>
      <c r="B9035" s="5" t="s">
        <v>34</v>
      </c>
      <c r="D9035" s="5" t="s">
        <v>1558</v>
      </c>
      <c r="E9035" s="5" t="s">
        <v>56319</v>
      </c>
      <c r="F9035" s="5" t="s">
        <v>108</v>
      </c>
      <c r="G9035" s="5" t="s">
        <v>56320</v>
      </c>
      <c r="H9035" s="6" t="s">
        <v>56321</v>
      </c>
      <c r="K9035" s="5" t="s">
        <v>56213</v>
      </c>
    </row>
    <row r="9036">
      <c r="A9036" s="4">
        <v>45534.426977615745</v>
      </c>
      <c r="B9036" s="5" t="s">
        <v>34</v>
      </c>
      <c r="D9036" s="5" t="s">
        <v>1206</v>
      </c>
      <c r="E9036" s="5" t="s">
        <v>56325</v>
      </c>
      <c r="F9036" s="5" t="s">
        <v>212</v>
      </c>
      <c r="G9036" s="5" t="s">
        <v>56326</v>
      </c>
      <c r="H9036" s="6" t="s">
        <v>56327</v>
      </c>
      <c r="K9036" s="5" t="s">
        <v>56213</v>
      </c>
    </row>
    <row r="9037">
      <c r="A9037" s="4">
        <v>45534.426985729166</v>
      </c>
      <c r="B9037" s="5" t="s">
        <v>34</v>
      </c>
      <c r="D9037" s="5" t="s">
        <v>1206</v>
      </c>
      <c r="E9037" s="5" t="s">
        <v>49640</v>
      </c>
      <c r="F9037" s="5" t="s">
        <v>37</v>
      </c>
      <c r="G9037" s="5" t="s">
        <v>56331</v>
      </c>
      <c r="H9037" s="6" t="s">
        <v>56332</v>
      </c>
      <c r="K9037" s="5" t="s">
        <v>56213</v>
      </c>
    </row>
    <row r="9038">
      <c r="A9038" s="4">
        <v>45534.42705003472</v>
      </c>
      <c r="B9038" s="5" t="s">
        <v>34</v>
      </c>
      <c r="D9038" s="5" t="s">
        <v>4775</v>
      </c>
      <c r="E9038" s="5" t="s">
        <v>56336</v>
      </c>
      <c r="F9038" s="5" t="s">
        <v>212</v>
      </c>
      <c r="G9038" s="5" t="s">
        <v>56337</v>
      </c>
      <c r="H9038" s="6" t="s">
        <v>56338</v>
      </c>
      <c r="K9038" s="5" t="s">
        <v>56213</v>
      </c>
    </row>
    <row r="9039">
      <c r="A9039" s="4">
        <v>45534.4271203588</v>
      </c>
      <c r="B9039" s="5" t="s">
        <v>34</v>
      </c>
      <c r="D9039" s="5" t="s">
        <v>1206</v>
      </c>
      <c r="E9039" s="5" t="s">
        <v>56342</v>
      </c>
      <c r="F9039" s="5" t="s">
        <v>212</v>
      </c>
      <c r="G9039" s="5" t="s">
        <v>56343</v>
      </c>
      <c r="H9039" s="6" t="s">
        <v>56344</v>
      </c>
      <c r="K9039" s="5" t="s">
        <v>56213</v>
      </c>
    </row>
    <row r="9040">
      <c r="A9040" s="4">
        <v>45534.427178935184</v>
      </c>
      <c r="B9040" s="5" t="s">
        <v>34</v>
      </c>
      <c r="D9040" s="5" t="s">
        <v>2903</v>
      </c>
      <c r="E9040" s="5" t="s">
        <v>56348</v>
      </c>
      <c r="F9040" s="5" t="s">
        <v>375</v>
      </c>
      <c r="G9040" s="5" t="s">
        <v>56349</v>
      </c>
      <c r="H9040" s="6" t="s">
        <v>56350</v>
      </c>
      <c r="K9040" s="5" t="s">
        <v>56213</v>
      </c>
    </row>
    <row r="9041">
      <c r="A9041" s="4">
        <v>45534.427205370375</v>
      </c>
      <c r="B9041" s="5" t="s">
        <v>19</v>
      </c>
      <c r="C9041" s="5" t="s">
        <v>3301</v>
      </c>
      <c r="E9041" s="5" t="s">
        <v>56354</v>
      </c>
      <c r="F9041" s="5" t="s">
        <v>120</v>
      </c>
      <c r="G9041" s="5" t="s">
        <v>56355</v>
      </c>
      <c r="H9041" s="6" t="s">
        <v>56356</v>
      </c>
      <c r="K9041" s="5" t="s">
        <v>56213</v>
      </c>
    </row>
    <row r="9042">
      <c r="A9042" s="4">
        <v>45534.427206782406</v>
      </c>
      <c r="B9042" s="5" t="s">
        <v>34</v>
      </c>
      <c r="D9042" s="5" t="s">
        <v>35</v>
      </c>
      <c r="E9042" s="5" t="s">
        <v>56360</v>
      </c>
      <c r="F9042" s="5" t="s">
        <v>37</v>
      </c>
      <c r="G9042" s="5" t="s">
        <v>56361</v>
      </c>
      <c r="H9042" s="6" t="s">
        <v>56362</v>
      </c>
      <c r="K9042" s="5" t="s">
        <v>56213</v>
      </c>
    </row>
    <row r="9043">
      <c r="A9043" s="4">
        <v>45534.42724619213</v>
      </c>
      <c r="B9043" s="5" t="s">
        <v>34</v>
      </c>
      <c r="D9043" s="5" t="s">
        <v>10444</v>
      </c>
      <c r="E9043" s="5" t="s">
        <v>56366</v>
      </c>
      <c r="F9043" s="5" t="s">
        <v>715</v>
      </c>
      <c r="G9043" s="5" t="s">
        <v>56367</v>
      </c>
      <c r="H9043" s="6" t="s">
        <v>56368</v>
      </c>
      <c r="K9043" s="5" t="s">
        <v>56213</v>
      </c>
    </row>
    <row r="9044">
      <c r="A9044" s="4">
        <v>45534.427339814814</v>
      </c>
      <c r="B9044" s="5" t="s">
        <v>19</v>
      </c>
      <c r="C9044" s="5" t="s">
        <v>292</v>
      </c>
      <c r="E9044" s="5" t="s">
        <v>56371</v>
      </c>
      <c r="F9044" s="5" t="s">
        <v>37</v>
      </c>
      <c r="G9044" s="5" t="s">
        <v>56372</v>
      </c>
      <c r="H9044" s="6" t="s">
        <v>56373</v>
      </c>
      <c r="K9044" s="5" t="s">
        <v>56213</v>
      </c>
    </row>
    <row r="9045">
      <c r="A9045" s="4">
        <v>45534.42734071759</v>
      </c>
      <c r="B9045" s="5" t="s">
        <v>34</v>
      </c>
      <c r="D9045" s="5" t="s">
        <v>9020</v>
      </c>
      <c r="E9045" s="5" t="s">
        <v>56376</v>
      </c>
      <c r="F9045" s="5" t="s">
        <v>212</v>
      </c>
      <c r="G9045" s="5" t="s">
        <v>56377</v>
      </c>
      <c r="H9045" s="6" t="s">
        <v>56378</v>
      </c>
      <c r="K9045" s="5" t="s">
        <v>56213</v>
      </c>
    </row>
    <row r="9046">
      <c r="A9046" s="4">
        <v>45534.42742782408</v>
      </c>
      <c r="B9046" s="5" t="s">
        <v>34</v>
      </c>
      <c r="D9046" s="5" t="s">
        <v>1206</v>
      </c>
      <c r="E9046" s="5" t="s">
        <v>56382</v>
      </c>
      <c r="F9046" s="5" t="s">
        <v>212</v>
      </c>
      <c r="G9046" s="5" t="s">
        <v>56383</v>
      </c>
      <c r="H9046" s="6" t="s">
        <v>56384</v>
      </c>
      <c r="K9046" s="5" t="s">
        <v>56213</v>
      </c>
    </row>
    <row r="9047">
      <c r="A9047" s="4">
        <v>45534.42743627315</v>
      </c>
      <c r="B9047" s="5" t="s">
        <v>34</v>
      </c>
      <c r="D9047" s="5" t="s">
        <v>9394</v>
      </c>
      <c r="E9047" s="5" t="s">
        <v>56387</v>
      </c>
      <c r="F9047" s="5" t="s">
        <v>37</v>
      </c>
      <c r="G9047" s="5" t="s">
        <v>56388</v>
      </c>
      <c r="H9047" s="6" t="s">
        <v>56389</v>
      </c>
      <c r="K9047" s="5" t="s">
        <v>56213</v>
      </c>
    </row>
    <row r="9048">
      <c r="A9048" s="4">
        <v>45534.42752896991</v>
      </c>
      <c r="B9048" s="5" t="s">
        <v>34</v>
      </c>
      <c r="D9048" s="5" t="s">
        <v>1456</v>
      </c>
      <c r="E9048" s="5" t="s">
        <v>49926</v>
      </c>
      <c r="F9048" s="5" t="s">
        <v>37</v>
      </c>
      <c r="G9048" s="5" t="s">
        <v>56392</v>
      </c>
      <c r="H9048" s="6" t="s">
        <v>56393</v>
      </c>
      <c r="K9048" s="5" t="s">
        <v>56213</v>
      </c>
    </row>
    <row r="9049">
      <c r="A9049" s="4">
        <v>45534.427574166664</v>
      </c>
      <c r="B9049" s="5" t="s">
        <v>19</v>
      </c>
      <c r="C9049" s="5" t="s">
        <v>20</v>
      </c>
      <c r="E9049" s="5" t="s">
        <v>56396</v>
      </c>
      <c r="F9049" s="5" t="s">
        <v>108</v>
      </c>
      <c r="G9049" s="5" t="s">
        <v>56397</v>
      </c>
      <c r="H9049" s="6" t="s">
        <v>56398</v>
      </c>
      <c r="K9049" s="5" t="s">
        <v>56399</v>
      </c>
    </row>
    <row r="9050">
      <c r="A9050" s="4">
        <v>45534.42763020833</v>
      </c>
      <c r="B9050" s="5" t="s">
        <v>34</v>
      </c>
      <c r="D9050" s="5" t="s">
        <v>701</v>
      </c>
      <c r="E9050" s="5" t="s">
        <v>56402</v>
      </c>
      <c r="F9050" s="5" t="s">
        <v>375</v>
      </c>
      <c r="G9050" s="5" t="s">
        <v>56403</v>
      </c>
      <c r="H9050" s="6" t="s">
        <v>56404</v>
      </c>
      <c r="K9050" s="5" t="s">
        <v>56405</v>
      </c>
    </row>
    <row r="9051">
      <c r="A9051" s="4">
        <v>45534.427683842594</v>
      </c>
      <c r="B9051" s="5" t="s">
        <v>34</v>
      </c>
      <c r="D9051" s="5" t="s">
        <v>9020</v>
      </c>
      <c r="E9051" s="5" t="s">
        <v>36570</v>
      </c>
      <c r="F9051" s="5" t="s">
        <v>212</v>
      </c>
      <c r="G9051" s="5" t="s">
        <v>56409</v>
      </c>
      <c r="H9051" s="6" t="s">
        <v>56410</v>
      </c>
      <c r="K9051" s="5" t="s">
        <v>56411</v>
      </c>
    </row>
    <row r="9052">
      <c r="A9052" s="4">
        <v>45534.427775902775</v>
      </c>
      <c r="B9052" s="5" t="s">
        <v>19</v>
      </c>
      <c r="C9052" s="5" t="s">
        <v>292</v>
      </c>
      <c r="E9052" s="5" t="s">
        <v>56414</v>
      </c>
      <c r="F9052" s="5" t="s">
        <v>524</v>
      </c>
      <c r="G9052" s="5" t="s">
        <v>56415</v>
      </c>
      <c r="H9052" s="6" t="s">
        <v>56416</v>
      </c>
      <c r="K9052" s="5" t="s">
        <v>56417</v>
      </c>
    </row>
    <row r="9053">
      <c r="A9053" s="4">
        <v>45534.427790601854</v>
      </c>
      <c r="B9053" s="5" t="s">
        <v>34</v>
      </c>
      <c r="D9053" s="5" t="s">
        <v>4775</v>
      </c>
      <c r="E9053" s="5" t="s">
        <v>46198</v>
      </c>
      <c r="F9053" s="5" t="s">
        <v>212</v>
      </c>
      <c r="G9053" s="5" t="s">
        <v>56420</v>
      </c>
      <c r="H9053" s="6" t="s">
        <v>56421</v>
      </c>
      <c r="K9053" s="5" t="s">
        <v>56422</v>
      </c>
    </row>
    <row r="9054">
      <c r="A9054" s="4">
        <v>45534.42790815972</v>
      </c>
      <c r="B9054" s="5" t="s">
        <v>34</v>
      </c>
      <c r="D9054" s="5" t="s">
        <v>9394</v>
      </c>
      <c r="E9054" s="5" t="s">
        <v>56425</v>
      </c>
      <c r="F9054" s="5" t="s">
        <v>72</v>
      </c>
      <c r="G9054" s="5" t="s">
        <v>56426</v>
      </c>
      <c r="H9054" s="6" t="s">
        <v>56427</v>
      </c>
      <c r="K9054" s="5" t="s">
        <v>56428</v>
      </c>
    </row>
    <row r="9055">
      <c r="A9055" s="4">
        <v>45534.427942395836</v>
      </c>
      <c r="B9055" s="5" t="s">
        <v>34</v>
      </c>
      <c r="D9055" s="5" t="s">
        <v>35</v>
      </c>
      <c r="E9055" s="5" t="s">
        <v>56432</v>
      </c>
      <c r="F9055" s="5" t="s">
        <v>37</v>
      </c>
      <c r="G9055" s="5" t="s">
        <v>56433</v>
      </c>
      <c r="H9055" s="6" t="s">
        <v>56434</v>
      </c>
      <c r="K9055" s="5" t="s">
        <v>56428</v>
      </c>
    </row>
    <row r="9056">
      <c r="A9056" s="4">
        <v>45534.42798201389</v>
      </c>
      <c r="B9056" s="5" t="s">
        <v>34</v>
      </c>
      <c r="D9056" s="5" t="s">
        <v>2903</v>
      </c>
      <c r="E9056" s="5" t="s">
        <v>56437</v>
      </c>
      <c r="F9056" s="5" t="s">
        <v>37</v>
      </c>
      <c r="G9056" s="5" t="s">
        <v>56438</v>
      </c>
      <c r="H9056" s="6" t="s">
        <v>56439</v>
      </c>
      <c r="K9056" s="5" t="s">
        <v>56440</v>
      </c>
    </row>
    <row r="9057">
      <c r="A9057" s="4">
        <v>45534.42807460648</v>
      </c>
      <c r="B9057" s="5" t="s">
        <v>34</v>
      </c>
      <c r="D9057" s="5" t="s">
        <v>35</v>
      </c>
      <c r="E9057" s="5" t="s">
        <v>56443</v>
      </c>
      <c r="F9057" s="5" t="s">
        <v>37</v>
      </c>
      <c r="G9057" s="5" t="s">
        <v>56444</v>
      </c>
      <c r="H9057" s="6" t="s">
        <v>56445</v>
      </c>
      <c r="K9057" s="5" t="s">
        <v>56446</v>
      </c>
    </row>
    <row r="9058">
      <c r="A9058" s="4">
        <v>45534.42809458333</v>
      </c>
      <c r="B9058" s="5" t="s">
        <v>34</v>
      </c>
      <c r="D9058" s="5" t="s">
        <v>1206</v>
      </c>
      <c r="E9058" s="5" t="s">
        <v>56449</v>
      </c>
      <c r="F9058" s="5" t="s">
        <v>120</v>
      </c>
      <c r="G9058" s="5" t="s">
        <v>56450</v>
      </c>
      <c r="H9058" s="6" t="s">
        <v>56451</v>
      </c>
      <c r="K9058" s="5" t="s">
        <v>56452</v>
      </c>
    </row>
    <row r="9059">
      <c r="A9059" s="4">
        <v>45534.42812113426</v>
      </c>
      <c r="B9059" s="5" t="s">
        <v>34</v>
      </c>
      <c r="D9059" s="5" t="s">
        <v>1206</v>
      </c>
      <c r="E9059" s="5" t="s">
        <v>56455</v>
      </c>
      <c r="F9059" s="5" t="s">
        <v>212</v>
      </c>
      <c r="G9059" s="5" t="s">
        <v>56456</v>
      </c>
      <c r="H9059" s="6" t="s">
        <v>56457</v>
      </c>
      <c r="K9059" s="5" t="s">
        <v>56452</v>
      </c>
    </row>
    <row r="9060">
      <c r="A9060" s="4">
        <v>45534.428182592594</v>
      </c>
      <c r="B9060" s="5" t="s">
        <v>34</v>
      </c>
      <c r="D9060" s="5" t="s">
        <v>580</v>
      </c>
      <c r="E9060" s="5" t="s">
        <v>56461</v>
      </c>
      <c r="F9060" s="5" t="s">
        <v>212</v>
      </c>
      <c r="G9060" s="5" t="s">
        <v>56462</v>
      </c>
      <c r="H9060" s="6" t="s">
        <v>56463</v>
      </c>
      <c r="K9060" s="5" t="s">
        <v>56464</v>
      </c>
    </row>
    <row r="9061">
      <c r="A9061" s="4">
        <v>45534.42819799768</v>
      </c>
      <c r="B9061" s="5" t="s">
        <v>34</v>
      </c>
      <c r="D9061" s="5" t="s">
        <v>1206</v>
      </c>
      <c r="E9061" s="5" t="s">
        <v>56467</v>
      </c>
      <c r="F9061" s="5" t="s">
        <v>72</v>
      </c>
      <c r="G9061" s="5" t="s">
        <v>56468</v>
      </c>
      <c r="H9061" s="6" t="s">
        <v>56469</v>
      </c>
      <c r="K9061" s="5" t="s">
        <v>56464</v>
      </c>
    </row>
    <row r="9062">
      <c r="A9062" s="4">
        <v>45534.42825078704</v>
      </c>
      <c r="B9062" s="5" t="s">
        <v>19</v>
      </c>
      <c r="C9062" s="5" t="s">
        <v>40230</v>
      </c>
      <c r="E9062" s="5" t="s">
        <v>56472</v>
      </c>
      <c r="F9062" s="5" t="s">
        <v>120</v>
      </c>
      <c r="G9062" s="5" t="s">
        <v>56473</v>
      </c>
      <c r="H9062" s="6" t="s">
        <v>56474</v>
      </c>
      <c r="K9062" s="5" t="s">
        <v>56475</v>
      </c>
    </row>
    <row r="9063">
      <c r="A9063" s="4">
        <v>45534.42832097222</v>
      </c>
      <c r="B9063" s="5" t="s">
        <v>34</v>
      </c>
      <c r="D9063" s="5" t="s">
        <v>1558</v>
      </c>
      <c r="E9063" s="5" t="s">
        <v>56478</v>
      </c>
      <c r="F9063" s="5" t="s">
        <v>212</v>
      </c>
      <c r="G9063" s="5" t="s">
        <v>56479</v>
      </c>
      <c r="H9063" s="6" t="s">
        <v>56480</v>
      </c>
      <c r="K9063" s="5" t="s">
        <v>56475</v>
      </c>
    </row>
    <row r="9064">
      <c r="A9064" s="4">
        <v>45534.42837181713</v>
      </c>
      <c r="B9064" s="5" t="s">
        <v>34</v>
      </c>
      <c r="D9064" s="5" t="s">
        <v>267</v>
      </c>
      <c r="E9064" s="5" t="s">
        <v>56484</v>
      </c>
      <c r="F9064" s="5" t="s">
        <v>120</v>
      </c>
      <c r="G9064" s="5" t="s">
        <v>56485</v>
      </c>
      <c r="H9064" s="6" t="s">
        <v>56486</v>
      </c>
      <c r="K9064" s="5" t="s">
        <v>56475</v>
      </c>
    </row>
    <row r="9065">
      <c r="A9065" s="4">
        <v>45534.42837202546</v>
      </c>
      <c r="B9065" s="5" t="s">
        <v>34</v>
      </c>
      <c r="D9065" s="5" t="s">
        <v>1206</v>
      </c>
      <c r="E9065" s="5" t="s">
        <v>56489</v>
      </c>
      <c r="F9065" s="5" t="s">
        <v>524</v>
      </c>
      <c r="G9065" s="5" t="s">
        <v>56490</v>
      </c>
      <c r="H9065" s="6" t="s">
        <v>56491</v>
      </c>
      <c r="K9065" s="5" t="s">
        <v>56475</v>
      </c>
    </row>
    <row r="9066">
      <c r="A9066" s="4">
        <v>45534.42844971065</v>
      </c>
      <c r="B9066" s="5" t="s">
        <v>19</v>
      </c>
      <c r="C9066" s="5" t="s">
        <v>292</v>
      </c>
      <c r="E9066" s="5" t="s">
        <v>56494</v>
      </c>
      <c r="F9066" s="5" t="s">
        <v>524</v>
      </c>
      <c r="G9066" s="5" t="s">
        <v>56495</v>
      </c>
      <c r="H9066" s="6" t="s">
        <v>56496</v>
      </c>
      <c r="K9066" s="5" t="s">
        <v>56475</v>
      </c>
    </row>
    <row r="9067">
      <c r="A9067" s="4">
        <v>45534.42846648148</v>
      </c>
      <c r="B9067" s="5" t="s">
        <v>19</v>
      </c>
      <c r="C9067" s="5" t="s">
        <v>14000</v>
      </c>
      <c r="E9067" s="5" t="s">
        <v>56499</v>
      </c>
      <c r="F9067" s="5" t="s">
        <v>108</v>
      </c>
      <c r="G9067" s="5" t="s">
        <v>56500</v>
      </c>
      <c r="H9067" s="6" t="s">
        <v>56501</v>
      </c>
      <c r="K9067" s="5" t="s">
        <v>56475</v>
      </c>
    </row>
    <row r="9068">
      <c r="A9068" s="4">
        <v>45534.42859766204</v>
      </c>
      <c r="B9068" s="5" t="s">
        <v>34</v>
      </c>
      <c r="D9068" s="5" t="s">
        <v>14313</v>
      </c>
      <c r="E9068" s="5" t="s">
        <v>56504</v>
      </c>
      <c r="F9068" s="5" t="s">
        <v>375</v>
      </c>
      <c r="G9068" s="5" t="s">
        <v>56505</v>
      </c>
      <c r="H9068" s="6" t="s">
        <v>56506</v>
      </c>
      <c r="K9068" s="5" t="s">
        <v>56507</v>
      </c>
    </row>
    <row r="9069">
      <c r="A9069" s="4">
        <v>45534.42873690972</v>
      </c>
      <c r="B9069" s="5" t="s">
        <v>34</v>
      </c>
      <c r="D9069" s="5" t="s">
        <v>9020</v>
      </c>
      <c r="E9069" s="5" t="s">
        <v>56511</v>
      </c>
      <c r="F9069" s="5" t="s">
        <v>212</v>
      </c>
      <c r="G9069" s="5" t="s">
        <v>56512</v>
      </c>
      <c r="H9069" s="6" t="s">
        <v>56513</v>
      </c>
      <c r="K9069" s="5" t="s">
        <v>56514</v>
      </c>
    </row>
    <row r="9070">
      <c r="A9070" s="4">
        <v>45534.42874746528</v>
      </c>
      <c r="B9070" s="5" t="s">
        <v>34</v>
      </c>
      <c r="D9070" s="5" t="s">
        <v>522</v>
      </c>
      <c r="E9070" s="5" t="s">
        <v>56517</v>
      </c>
      <c r="F9070" s="5" t="s">
        <v>212</v>
      </c>
      <c r="G9070" s="5" t="s">
        <v>56518</v>
      </c>
      <c r="H9070" s="6" t="s">
        <v>56519</v>
      </c>
      <c r="K9070" s="5" t="s">
        <v>56514</v>
      </c>
    </row>
    <row r="9071">
      <c r="A9071" s="4">
        <v>45534.42890237269</v>
      </c>
      <c r="B9071" s="5" t="s">
        <v>34</v>
      </c>
      <c r="D9071" s="5" t="s">
        <v>3849</v>
      </c>
      <c r="E9071" s="5" t="s">
        <v>56522</v>
      </c>
      <c r="F9071" s="5" t="s">
        <v>524</v>
      </c>
      <c r="G9071" s="5" t="s">
        <v>56523</v>
      </c>
      <c r="H9071" s="6" t="s">
        <v>56524</v>
      </c>
      <c r="K9071" s="5" t="s">
        <v>56525</v>
      </c>
    </row>
    <row r="9072">
      <c r="A9072" s="4">
        <v>45534.4289053588</v>
      </c>
      <c r="B9072" s="5" t="s">
        <v>34</v>
      </c>
      <c r="D9072" s="5" t="s">
        <v>1558</v>
      </c>
      <c r="E9072" s="5" t="s">
        <v>56529</v>
      </c>
      <c r="F9072" s="5" t="s">
        <v>37</v>
      </c>
      <c r="G9072" s="5" t="s">
        <v>56530</v>
      </c>
      <c r="H9072" s="6" t="s">
        <v>56531</v>
      </c>
      <c r="K9072" s="5" t="s">
        <v>56525</v>
      </c>
    </row>
    <row r="9073">
      <c r="A9073" s="4">
        <v>45534.428920046295</v>
      </c>
      <c r="B9073" s="5" t="s">
        <v>34</v>
      </c>
      <c r="D9073" s="5" t="s">
        <v>9394</v>
      </c>
      <c r="E9073" s="5" t="s">
        <v>56535</v>
      </c>
      <c r="F9073" s="5" t="s">
        <v>715</v>
      </c>
      <c r="G9073" s="5" t="s">
        <v>56536</v>
      </c>
      <c r="H9073" s="6" t="s">
        <v>56537</v>
      </c>
      <c r="K9073" s="5" t="s">
        <v>56525</v>
      </c>
    </row>
    <row r="9074">
      <c r="A9074" s="4">
        <v>45534.42896211805</v>
      </c>
      <c r="B9074" s="5" t="s">
        <v>34</v>
      </c>
      <c r="D9074" s="5" t="s">
        <v>6232</v>
      </c>
      <c r="E9074" s="5" t="s">
        <v>56540</v>
      </c>
      <c r="F9074" s="5" t="s">
        <v>37</v>
      </c>
      <c r="G9074" s="5" t="s">
        <v>56541</v>
      </c>
      <c r="H9074" s="6" t="s">
        <v>56542</v>
      </c>
      <c r="K9074" s="5" t="s">
        <v>56543</v>
      </c>
    </row>
    <row r="9075">
      <c r="A9075" s="4">
        <v>45534.429035567126</v>
      </c>
      <c r="B9075" s="5" t="s">
        <v>34</v>
      </c>
      <c r="D9075" s="5" t="s">
        <v>522</v>
      </c>
      <c r="E9075" s="5" t="s">
        <v>56546</v>
      </c>
      <c r="F9075" s="5" t="s">
        <v>375</v>
      </c>
      <c r="G9075" s="5" t="s">
        <v>56547</v>
      </c>
      <c r="H9075" s="6" t="s">
        <v>56548</v>
      </c>
      <c r="K9075" s="5" t="s">
        <v>56543</v>
      </c>
    </row>
    <row r="9076">
      <c r="A9076" s="4">
        <v>45534.4290858912</v>
      </c>
      <c r="B9076" s="5" t="s">
        <v>34</v>
      </c>
      <c r="D9076" s="5" t="s">
        <v>10297</v>
      </c>
      <c r="E9076" s="5" t="s">
        <v>56551</v>
      </c>
      <c r="F9076" s="5" t="s">
        <v>120</v>
      </c>
      <c r="G9076" s="5" t="s">
        <v>56552</v>
      </c>
      <c r="H9076" s="6" t="s">
        <v>56553</v>
      </c>
      <c r="K9076" s="5" t="s">
        <v>56543</v>
      </c>
    </row>
    <row r="9077">
      <c r="A9077" s="4">
        <v>45534.429113136575</v>
      </c>
      <c r="B9077" s="5" t="s">
        <v>19</v>
      </c>
      <c r="C9077" s="5" t="s">
        <v>55133</v>
      </c>
      <c r="E9077" s="5" t="s">
        <v>56557</v>
      </c>
      <c r="F9077" s="5" t="s">
        <v>108</v>
      </c>
      <c r="G9077" s="5" t="s">
        <v>56558</v>
      </c>
      <c r="H9077" s="6" t="s">
        <v>56559</v>
      </c>
      <c r="K9077" s="5" t="s">
        <v>56543</v>
      </c>
    </row>
    <row r="9078">
      <c r="A9078" s="4">
        <v>45534.429230821755</v>
      </c>
      <c r="B9078" s="5" t="s">
        <v>19</v>
      </c>
      <c r="C9078" s="5" t="s">
        <v>292</v>
      </c>
      <c r="E9078" s="5" t="s">
        <v>56562</v>
      </c>
      <c r="F9078" s="5" t="s">
        <v>108</v>
      </c>
      <c r="G9078" s="5" t="s">
        <v>56563</v>
      </c>
      <c r="H9078" s="6" t="s">
        <v>56564</v>
      </c>
      <c r="K9078" s="5" t="s">
        <v>56565</v>
      </c>
    </row>
    <row r="9079">
      <c r="A9079" s="4">
        <v>45534.42931552083</v>
      </c>
      <c r="B9079" s="5" t="s">
        <v>19</v>
      </c>
      <c r="C9079" s="5" t="s">
        <v>5564</v>
      </c>
      <c r="E9079" s="5" t="s">
        <v>56568</v>
      </c>
      <c r="F9079" s="5" t="s">
        <v>108</v>
      </c>
      <c r="G9079" s="5" t="s">
        <v>56569</v>
      </c>
      <c r="H9079" s="6" t="s">
        <v>56570</v>
      </c>
      <c r="K9079" s="5" t="s">
        <v>56571</v>
      </c>
    </row>
    <row r="9080">
      <c r="A9080" s="4">
        <v>45534.429355162036</v>
      </c>
      <c r="B9080" s="5" t="s">
        <v>19</v>
      </c>
      <c r="C9080" s="5" t="s">
        <v>292</v>
      </c>
      <c r="E9080" s="5" t="s">
        <v>56575</v>
      </c>
      <c r="F9080" s="5" t="s">
        <v>212</v>
      </c>
      <c r="G9080" s="5" t="s">
        <v>56576</v>
      </c>
      <c r="H9080" s="6" t="s">
        <v>56577</v>
      </c>
      <c r="K9080" s="5" t="s">
        <v>56578</v>
      </c>
    </row>
    <row r="9081">
      <c r="A9081" s="4">
        <v>45534.42937503472</v>
      </c>
      <c r="B9081" s="5" t="s">
        <v>34</v>
      </c>
      <c r="D9081" s="5" t="s">
        <v>580</v>
      </c>
      <c r="E9081" s="5" t="s">
        <v>56581</v>
      </c>
      <c r="F9081" s="5" t="s">
        <v>37</v>
      </c>
      <c r="G9081" s="5" t="s">
        <v>56582</v>
      </c>
      <c r="H9081" s="6" t="s">
        <v>56583</v>
      </c>
      <c r="K9081" s="5" t="s">
        <v>56578</v>
      </c>
    </row>
    <row r="9082">
      <c r="A9082" s="4">
        <v>45534.42943887731</v>
      </c>
      <c r="B9082" s="5" t="s">
        <v>34</v>
      </c>
      <c r="D9082" s="5" t="s">
        <v>701</v>
      </c>
      <c r="E9082" s="5" t="s">
        <v>41579</v>
      </c>
      <c r="F9082" s="5" t="s">
        <v>37</v>
      </c>
      <c r="G9082" s="5" t="s">
        <v>41580</v>
      </c>
      <c r="H9082" s="6" t="s">
        <v>56586</v>
      </c>
      <c r="K9082" s="5" t="s">
        <v>56587</v>
      </c>
    </row>
    <row r="9083">
      <c r="A9083" s="4">
        <v>45534.42949947917</v>
      </c>
      <c r="B9083" s="5" t="s">
        <v>34</v>
      </c>
      <c r="D9083" s="5" t="s">
        <v>4775</v>
      </c>
      <c r="E9083" s="5" t="s">
        <v>56590</v>
      </c>
      <c r="F9083" s="5" t="s">
        <v>524</v>
      </c>
      <c r="G9083" s="5" t="s">
        <v>56591</v>
      </c>
      <c r="H9083" s="6" t="s">
        <v>56592</v>
      </c>
      <c r="K9083" s="5" t="s">
        <v>56593</v>
      </c>
    </row>
    <row r="9084">
      <c r="A9084" s="4">
        <v>45534.42950456019</v>
      </c>
      <c r="B9084" s="5" t="s">
        <v>34</v>
      </c>
      <c r="D9084" s="5" t="s">
        <v>267</v>
      </c>
      <c r="E9084" s="5" t="s">
        <v>56597</v>
      </c>
      <c r="F9084" s="5" t="s">
        <v>108</v>
      </c>
      <c r="G9084" s="5" t="s">
        <v>56598</v>
      </c>
      <c r="H9084" s="6" t="s">
        <v>56599</v>
      </c>
      <c r="K9084" s="5" t="s">
        <v>56600</v>
      </c>
    </row>
    <row r="9085">
      <c r="A9085" s="4">
        <v>45534.42953100694</v>
      </c>
      <c r="B9085" s="5" t="s">
        <v>19</v>
      </c>
      <c r="C9085" s="5" t="s">
        <v>3301</v>
      </c>
      <c r="E9085" s="5" t="s">
        <v>56603</v>
      </c>
      <c r="F9085" s="5" t="s">
        <v>120</v>
      </c>
      <c r="G9085" s="5" t="s">
        <v>56604</v>
      </c>
      <c r="H9085" s="6" t="s">
        <v>56605</v>
      </c>
      <c r="K9085" s="5" t="s">
        <v>56600</v>
      </c>
    </row>
    <row r="9086">
      <c r="A9086" s="4">
        <v>45534.4296945949</v>
      </c>
      <c r="B9086" s="5" t="s">
        <v>34</v>
      </c>
      <c r="D9086" s="5" t="s">
        <v>35</v>
      </c>
      <c r="E9086" s="5" t="s">
        <v>56608</v>
      </c>
      <c r="F9086" s="5" t="s">
        <v>524</v>
      </c>
      <c r="G9086" s="5" t="s">
        <v>56609</v>
      </c>
      <c r="H9086" s="6" t="s">
        <v>56610</v>
      </c>
      <c r="K9086" s="5" t="s">
        <v>56611</v>
      </c>
    </row>
    <row r="9087">
      <c r="A9087" s="4">
        <v>45534.429701574074</v>
      </c>
      <c r="B9087" s="5" t="s">
        <v>19</v>
      </c>
      <c r="C9087" s="5" t="s">
        <v>292</v>
      </c>
      <c r="E9087" s="5" t="s">
        <v>56614</v>
      </c>
      <c r="F9087" s="5" t="s">
        <v>72</v>
      </c>
      <c r="G9087" s="5" t="s">
        <v>56615</v>
      </c>
      <c r="H9087" s="6" t="s">
        <v>56616</v>
      </c>
      <c r="K9087" s="5" t="s">
        <v>56617</v>
      </c>
    </row>
    <row r="9088">
      <c r="A9088" s="4">
        <v>45534.4298312037</v>
      </c>
      <c r="B9088" s="5" t="s">
        <v>34</v>
      </c>
      <c r="D9088" s="5" t="s">
        <v>267</v>
      </c>
      <c r="E9088" s="5" t="s">
        <v>56620</v>
      </c>
      <c r="F9088" s="5" t="s">
        <v>37</v>
      </c>
      <c r="G9088" s="5" t="s">
        <v>56621</v>
      </c>
      <c r="H9088" s="6" t="s">
        <v>56622</v>
      </c>
      <c r="K9088" s="5" t="s">
        <v>56623</v>
      </c>
    </row>
    <row r="9089">
      <c r="A9089" s="4">
        <v>45534.43008071759</v>
      </c>
      <c r="B9089" s="5" t="s">
        <v>34</v>
      </c>
      <c r="D9089" s="5" t="s">
        <v>9394</v>
      </c>
      <c r="E9089" s="5" t="s">
        <v>56627</v>
      </c>
      <c r="F9089" s="5" t="s">
        <v>524</v>
      </c>
      <c r="G9089" s="5" t="s">
        <v>56628</v>
      </c>
      <c r="H9089" s="6" t="s">
        <v>56629</v>
      </c>
      <c r="K9089" s="5" t="s">
        <v>56623</v>
      </c>
    </row>
    <row r="9090">
      <c r="A9090" s="4">
        <v>45534.4302564699</v>
      </c>
      <c r="B9090" s="5" t="s">
        <v>34</v>
      </c>
      <c r="D9090" s="5" t="s">
        <v>15401</v>
      </c>
      <c r="E9090" s="5" t="s">
        <v>56632</v>
      </c>
      <c r="F9090" s="5" t="s">
        <v>524</v>
      </c>
      <c r="G9090" s="5" t="s">
        <v>56633</v>
      </c>
      <c r="H9090" s="6" t="s">
        <v>56634</v>
      </c>
      <c r="K9090" s="5" t="s">
        <v>56635</v>
      </c>
    </row>
    <row r="9091">
      <c r="A9091" s="4">
        <v>45534.430270983794</v>
      </c>
      <c r="B9091" s="5" t="s">
        <v>19</v>
      </c>
      <c r="C9091" s="5" t="s">
        <v>292</v>
      </c>
      <c r="E9091" s="5" t="s">
        <v>56638</v>
      </c>
      <c r="F9091" s="5" t="s">
        <v>72</v>
      </c>
      <c r="G9091" s="5" t="s">
        <v>56639</v>
      </c>
      <c r="H9091" s="6" t="s">
        <v>56640</v>
      </c>
      <c r="K9091" s="5" t="s">
        <v>56635</v>
      </c>
    </row>
    <row r="9092">
      <c r="A9092" s="4">
        <v>45534.430273564816</v>
      </c>
      <c r="B9092" s="5" t="s">
        <v>34</v>
      </c>
      <c r="D9092" s="5" t="s">
        <v>701</v>
      </c>
      <c r="E9092" s="5" t="s">
        <v>56643</v>
      </c>
      <c r="F9092" s="5" t="s">
        <v>524</v>
      </c>
      <c r="G9092" s="5" t="s">
        <v>56644</v>
      </c>
      <c r="H9092" s="6" t="s">
        <v>56645</v>
      </c>
      <c r="K9092" s="5" t="s">
        <v>56635</v>
      </c>
    </row>
    <row r="9093">
      <c r="A9093" s="4">
        <v>45534.4302771875</v>
      </c>
      <c r="B9093" s="5" t="s">
        <v>34</v>
      </c>
      <c r="D9093" s="5" t="s">
        <v>267</v>
      </c>
      <c r="E9093" s="5" t="s">
        <v>56648</v>
      </c>
      <c r="F9093" s="5" t="s">
        <v>524</v>
      </c>
      <c r="G9093" s="5" t="s">
        <v>56649</v>
      </c>
      <c r="H9093" s="6" t="s">
        <v>56650</v>
      </c>
      <c r="K9093" s="5" t="s">
        <v>56635</v>
      </c>
    </row>
    <row r="9094">
      <c r="A9094" s="4">
        <v>45534.430315949074</v>
      </c>
      <c r="B9094" s="5" t="s">
        <v>34</v>
      </c>
      <c r="D9094" s="5" t="s">
        <v>1206</v>
      </c>
      <c r="E9094" s="5" t="s">
        <v>56654</v>
      </c>
      <c r="F9094" s="5" t="s">
        <v>120</v>
      </c>
      <c r="G9094" s="5" t="s">
        <v>56655</v>
      </c>
      <c r="H9094" s="6" t="s">
        <v>56656</v>
      </c>
      <c r="K9094" s="5" t="s">
        <v>56635</v>
      </c>
    </row>
    <row r="9095">
      <c r="A9095" s="4">
        <v>45534.43046153935</v>
      </c>
      <c r="B9095" s="5" t="s">
        <v>34</v>
      </c>
      <c r="D9095" s="5" t="s">
        <v>12978</v>
      </c>
      <c r="E9095" s="5" t="s">
        <v>56659</v>
      </c>
      <c r="F9095" s="5" t="s">
        <v>72</v>
      </c>
      <c r="G9095" s="5" t="s">
        <v>56660</v>
      </c>
      <c r="H9095" s="6" t="s">
        <v>56661</v>
      </c>
      <c r="K9095" s="5" t="s">
        <v>56662</v>
      </c>
    </row>
    <row r="9096">
      <c r="A9096" s="4">
        <v>45534.43046957176</v>
      </c>
      <c r="B9096" s="5" t="s">
        <v>34</v>
      </c>
      <c r="D9096" s="5" t="s">
        <v>1206</v>
      </c>
      <c r="E9096" s="5" t="s">
        <v>46339</v>
      </c>
      <c r="F9096" s="5" t="s">
        <v>328</v>
      </c>
      <c r="G9096" s="5" t="s">
        <v>56665</v>
      </c>
      <c r="H9096" s="6" t="s">
        <v>56666</v>
      </c>
      <c r="K9096" s="5" t="s">
        <v>56662</v>
      </c>
    </row>
    <row r="9097">
      <c r="A9097" s="4">
        <v>45534.43058143518</v>
      </c>
      <c r="B9097" s="5" t="s">
        <v>34</v>
      </c>
      <c r="D9097" s="5" t="s">
        <v>4775</v>
      </c>
      <c r="E9097" s="5" t="s">
        <v>56670</v>
      </c>
      <c r="F9097" s="5" t="s">
        <v>524</v>
      </c>
      <c r="G9097" s="5" t="s">
        <v>56671</v>
      </c>
      <c r="H9097" s="6" t="s">
        <v>56672</v>
      </c>
      <c r="K9097" s="5" t="s">
        <v>56673</v>
      </c>
    </row>
    <row r="9098">
      <c r="A9098" s="4">
        <v>45534.43061534722</v>
      </c>
      <c r="B9098" s="5" t="s">
        <v>34</v>
      </c>
      <c r="D9098" s="5" t="s">
        <v>1206</v>
      </c>
      <c r="E9098" s="5" t="s">
        <v>56677</v>
      </c>
      <c r="F9098" s="5" t="s">
        <v>328</v>
      </c>
      <c r="G9098" s="5" t="s">
        <v>56678</v>
      </c>
      <c r="H9098" s="6" t="s">
        <v>56679</v>
      </c>
      <c r="K9098" s="5" t="s">
        <v>56673</v>
      </c>
    </row>
    <row r="9099">
      <c r="A9099" s="4">
        <v>45534.43067835648</v>
      </c>
      <c r="B9099" s="5" t="s">
        <v>34</v>
      </c>
      <c r="D9099" s="5" t="s">
        <v>14313</v>
      </c>
      <c r="E9099" s="5" t="s">
        <v>14853</v>
      </c>
      <c r="F9099" s="5" t="s">
        <v>715</v>
      </c>
      <c r="G9099" s="5" t="s">
        <v>56683</v>
      </c>
      <c r="H9099" s="6" t="s">
        <v>56684</v>
      </c>
      <c r="K9099" s="5" t="s">
        <v>56673</v>
      </c>
    </row>
    <row r="9100">
      <c r="A9100" s="4">
        <v>45534.43073277778</v>
      </c>
      <c r="B9100" s="5" t="s">
        <v>34</v>
      </c>
      <c r="D9100" s="5" t="s">
        <v>1206</v>
      </c>
      <c r="E9100" s="5" t="s">
        <v>56688</v>
      </c>
      <c r="F9100" s="5" t="s">
        <v>6625</v>
      </c>
      <c r="G9100" s="5" t="s">
        <v>56689</v>
      </c>
      <c r="H9100" s="6" t="s">
        <v>56690</v>
      </c>
      <c r="K9100" s="5" t="s">
        <v>56691</v>
      </c>
    </row>
    <row r="9101">
      <c r="A9101" s="4">
        <v>45534.430744745376</v>
      </c>
      <c r="B9101" s="5" t="s">
        <v>34</v>
      </c>
      <c r="D9101" s="5" t="s">
        <v>12978</v>
      </c>
      <c r="E9101" s="5" t="s">
        <v>56695</v>
      </c>
      <c r="F9101" s="5" t="s">
        <v>715</v>
      </c>
      <c r="G9101" s="5" t="s">
        <v>56696</v>
      </c>
      <c r="H9101" s="6" t="s">
        <v>56697</v>
      </c>
      <c r="K9101" s="5" t="s">
        <v>56691</v>
      </c>
    </row>
    <row r="9102">
      <c r="A9102" s="4">
        <v>45534.43087292824</v>
      </c>
      <c r="B9102" s="5" t="s">
        <v>34</v>
      </c>
      <c r="D9102" s="5" t="s">
        <v>280</v>
      </c>
      <c r="E9102" s="5" t="s">
        <v>56701</v>
      </c>
      <c r="F9102" s="5" t="s">
        <v>212</v>
      </c>
      <c r="G9102" s="5" t="s">
        <v>56702</v>
      </c>
      <c r="H9102" s="6" t="s">
        <v>56703</v>
      </c>
      <c r="K9102" s="5" t="s">
        <v>56704</v>
      </c>
    </row>
    <row r="9103">
      <c r="A9103" s="4">
        <v>45534.430962604165</v>
      </c>
      <c r="B9103" s="5" t="s">
        <v>34</v>
      </c>
      <c r="D9103" s="5" t="s">
        <v>4775</v>
      </c>
      <c r="E9103" s="7" t="s">
        <v>56708</v>
      </c>
      <c r="F9103" s="5" t="s">
        <v>328</v>
      </c>
      <c r="G9103" s="5" t="s">
        <v>56709</v>
      </c>
      <c r="H9103" s="6" t="s">
        <v>56710</v>
      </c>
      <c r="K9103" s="5" t="s">
        <v>56711</v>
      </c>
    </row>
    <row r="9104">
      <c r="A9104" s="4">
        <v>45534.43097053241</v>
      </c>
      <c r="B9104" s="5" t="s">
        <v>34</v>
      </c>
      <c r="D9104" s="5" t="s">
        <v>522</v>
      </c>
      <c r="E9104" s="5" t="s">
        <v>56715</v>
      </c>
      <c r="F9104" s="5" t="s">
        <v>72</v>
      </c>
      <c r="G9104" s="5" t="s">
        <v>56716</v>
      </c>
      <c r="H9104" s="6" t="s">
        <v>56717</v>
      </c>
      <c r="K9104" s="5" t="s">
        <v>56711</v>
      </c>
    </row>
    <row r="9105">
      <c r="A9105" s="4">
        <v>45534.43101071759</v>
      </c>
      <c r="B9105" s="5" t="s">
        <v>34</v>
      </c>
      <c r="D9105" s="5" t="s">
        <v>1206</v>
      </c>
      <c r="E9105" s="5" t="s">
        <v>56721</v>
      </c>
      <c r="F9105" s="5" t="s">
        <v>212</v>
      </c>
      <c r="G9105" s="5" t="s">
        <v>56722</v>
      </c>
      <c r="H9105" s="6" t="s">
        <v>56723</v>
      </c>
      <c r="K9105" s="5" t="s">
        <v>56711</v>
      </c>
    </row>
    <row r="9106">
      <c r="A9106" s="4">
        <v>45534.43105344907</v>
      </c>
      <c r="B9106" s="5" t="s">
        <v>34</v>
      </c>
      <c r="D9106" s="5" t="s">
        <v>10444</v>
      </c>
      <c r="E9106" s="5" t="s">
        <v>56727</v>
      </c>
      <c r="F9106" s="5" t="s">
        <v>72</v>
      </c>
      <c r="G9106" s="5" t="s">
        <v>56728</v>
      </c>
      <c r="H9106" s="6" t="s">
        <v>56729</v>
      </c>
      <c r="K9106" s="5" t="s">
        <v>56711</v>
      </c>
    </row>
    <row r="9107">
      <c r="A9107" s="4">
        <v>45534.4311538426</v>
      </c>
      <c r="B9107" s="5" t="s">
        <v>34</v>
      </c>
      <c r="D9107" s="5" t="s">
        <v>10444</v>
      </c>
      <c r="E9107" s="5" t="s">
        <v>56733</v>
      </c>
      <c r="F9107" s="5" t="s">
        <v>212</v>
      </c>
      <c r="G9107" s="5" t="s">
        <v>56734</v>
      </c>
      <c r="H9107" s="6" t="s">
        <v>56735</v>
      </c>
      <c r="K9107" s="5" t="s">
        <v>56711</v>
      </c>
    </row>
    <row r="9108">
      <c r="A9108" s="4">
        <v>45534.431163263886</v>
      </c>
      <c r="B9108" s="5" t="s">
        <v>34</v>
      </c>
      <c r="D9108" s="5" t="s">
        <v>35</v>
      </c>
      <c r="E9108" s="5" t="s">
        <v>56739</v>
      </c>
      <c r="F9108" s="5" t="s">
        <v>37</v>
      </c>
      <c r="G9108" s="5" t="s">
        <v>56740</v>
      </c>
      <c r="H9108" s="6" t="s">
        <v>56741</v>
      </c>
      <c r="K9108" s="5" t="s">
        <v>56711</v>
      </c>
    </row>
    <row r="9109">
      <c r="A9109" s="4">
        <v>45534.43117306713</v>
      </c>
      <c r="B9109" s="5" t="s">
        <v>34</v>
      </c>
      <c r="D9109" s="5" t="s">
        <v>2903</v>
      </c>
      <c r="E9109" s="5" t="s">
        <v>56744</v>
      </c>
      <c r="F9109" s="5" t="s">
        <v>37</v>
      </c>
      <c r="G9109" s="5" t="s">
        <v>56745</v>
      </c>
      <c r="H9109" s="6" t="s">
        <v>56746</v>
      </c>
      <c r="K9109" s="5" t="s">
        <v>56711</v>
      </c>
    </row>
    <row r="9110">
      <c r="A9110" s="4">
        <v>45534.43126653935</v>
      </c>
      <c r="B9110" s="5" t="s">
        <v>34</v>
      </c>
      <c r="D9110" s="5" t="s">
        <v>1558</v>
      </c>
      <c r="E9110" s="5" t="s">
        <v>56749</v>
      </c>
      <c r="F9110" s="5" t="s">
        <v>72</v>
      </c>
      <c r="G9110" s="5" t="s">
        <v>56750</v>
      </c>
      <c r="H9110" s="6" t="s">
        <v>56751</v>
      </c>
      <c r="K9110" s="5" t="s">
        <v>56711</v>
      </c>
    </row>
    <row r="9111">
      <c r="A9111" s="4">
        <v>45534.4313</v>
      </c>
      <c r="B9111" s="5" t="s">
        <v>34</v>
      </c>
      <c r="D9111" s="5" t="s">
        <v>3849</v>
      </c>
      <c r="E9111" s="5" t="s">
        <v>56754</v>
      </c>
      <c r="F9111" s="5" t="s">
        <v>212</v>
      </c>
      <c r="G9111" s="5" t="s">
        <v>56755</v>
      </c>
      <c r="H9111" s="6" t="s">
        <v>56756</v>
      </c>
      <c r="K9111" s="5" t="s">
        <v>56757</v>
      </c>
    </row>
    <row r="9112">
      <c r="A9112" s="4">
        <v>45534.43143846065</v>
      </c>
      <c r="B9112" s="5" t="s">
        <v>34</v>
      </c>
      <c r="D9112" s="5" t="s">
        <v>1558</v>
      </c>
      <c r="E9112" s="5" t="s">
        <v>56760</v>
      </c>
      <c r="F9112" s="5" t="s">
        <v>108</v>
      </c>
      <c r="G9112" s="5" t="s">
        <v>56761</v>
      </c>
      <c r="H9112" s="6" t="s">
        <v>56762</v>
      </c>
      <c r="K9112" s="5" t="s">
        <v>56763</v>
      </c>
    </row>
    <row r="9113">
      <c r="A9113" s="4">
        <v>45534.4314459375</v>
      </c>
      <c r="B9113" s="5" t="s">
        <v>19</v>
      </c>
      <c r="C9113" s="5" t="s">
        <v>292</v>
      </c>
      <c r="E9113" s="5" t="s">
        <v>56766</v>
      </c>
      <c r="F9113" s="5" t="s">
        <v>199</v>
      </c>
      <c r="G9113" s="5" t="s">
        <v>52946</v>
      </c>
      <c r="H9113" s="6" t="s">
        <v>56767</v>
      </c>
      <c r="K9113" s="5" t="s">
        <v>56763</v>
      </c>
    </row>
    <row r="9114">
      <c r="A9114" s="4">
        <v>45534.43154222222</v>
      </c>
      <c r="B9114" s="5" t="s">
        <v>19</v>
      </c>
      <c r="C9114" s="5" t="s">
        <v>466</v>
      </c>
      <c r="E9114" s="5" t="s">
        <v>56770</v>
      </c>
      <c r="F9114" s="5" t="s">
        <v>120</v>
      </c>
      <c r="G9114" s="5" t="s">
        <v>56771</v>
      </c>
      <c r="H9114" s="6" t="s">
        <v>56772</v>
      </c>
      <c r="K9114" s="5" t="s">
        <v>56773</v>
      </c>
    </row>
    <row r="9115">
      <c r="A9115" s="4">
        <v>45534.431608935185</v>
      </c>
      <c r="B9115" s="5" t="s">
        <v>34</v>
      </c>
      <c r="D9115" s="5" t="s">
        <v>4775</v>
      </c>
      <c r="E9115" s="5" t="s">
        <v>56776</v>
      </c>
      <c r="F9115" s="5" t="s">
        <v>212</v>
      </c>
      <c r="G9115" s="5" t="s">
        <v>56777</v>
      </c>
      <c r="H9115" s="6" t="s">
        <v>56778</v>
      </c>
      <c r="K9115" s="5" t="s">
        <v>56779</v>
      </c>
    </row>
    <row r="9116">
      <c r="A9116" s="4">
        <v>45534.431624756944</v>
      </c>
      <c r="B9116" s="5" t="s">
        <v>34</v>
      </c>
      <c r="D9116" s="5" t="s">
        <v>4775</v>
      </c>
      <c r="E9116" s="5" t="s">
        <v>56782</v>
      </c>
      <c r="F9116" s="5" t="s">
        <v>375</v>
      </c>
      <c r="G9116" s="5" t="s">
        <v>56783</v>
      </c>
      <c r="H9116" s="6" t="s">
        <v>56784</v>
      </c>
      <c r="K9116" s="5" t="s">
        <v>56779</v>
      </c>
    </row>
    <row r="9117">
      <c r="A9117" s="4">
        <v>45534.431655532404</v>
      </c>
      <c r="B9117" s="5" t="s">
        <v>34</v>
      </c>
      <c r="D9117" s="5" t="s">
        <v>701</v>
      </c>
      <c r="E9117" s="5" t="s">
        <v>56787</v>
      </c>
      <c r="F9117" s="5" t="s">
        <v>72</v>
      </c>
      <c r="G9117" s="5" t="s">
        <v>56788</v>
      </c>
      <c r="H9117" s="6" t="s">
        <v>56789</v>
      </c>
      <c r="K9117" s="5" t="s">
        <v>56790</v>
      </c>
    </row>
    <row r="9118">
      <c r="A9118" s="4">
        <v>45534.43166674768</v>
      </c>
      <c r="B9118" s="5" t="s">
        <v>34</v>
      </c>
      <c r="D9118" s="5" t="s">
        <v>701</v>
      </c>
      <c r="E9118" s="5" t="s">
        <v>56793</v>
      </c>
      <c r="F9118" s="5" t="s">
        <v>108</v>
      </c>
      <c r="G9118" s="5" t="s">
        <v>56794</v>
      </c>
      <c r="H9118" s="6" t="s">
        <v>56795</v>
      </c>
      <c r="K9118" s="5" t="s">
        <v>56790</v>
      </c>
    </row>
    <row r="9119">
      <c r="A9119" s="4">
        <v>45534.4316771875</v>
      </c>
      <c r="B9119" s="5" t="s">
        <v>19</v>
      </c>
      <c r="C9119" s="5" t="s">
        <v>292</v>
      </c>
      <c r="E9119" s="5" t="s">
        <v>56798</v>
      </c>
      <c r="F9119" s="5" t="s">
        <v>37</v>
      </c>
      <c r="G9119" s="5" t="s">
        <v>56799</v>
      </c>
      <c r="H9119" s="6" t="s">
        <v>56800</v>
      </c>
      <c r="K9119" s="5" t="s">
        <v>56790</v>
      </c>
    </row>
    <row r="9120">
      <c r="A9120" s="4">
        <v>45534.43174072917</v>
      </c>
      <c r="B9120" s="5" t="s">
        <v>34</v>
      </c>
      <c r="D9120" s="5" t="s">
        <v>522</v>
      </c>
      <c r="E9120" s="5" t="s">
        <v>18319</v>
      </c>
      <c r="F9120" s="5" t="s">
        <v>108</v>
      </c>
      <c r="G9120" s="5" t="s">
        <v>56803</v>
      </c>
      <c r="H9120" s="6" t="s">
        <v>56804</v>
      </c>
      <c r="K9120" s="5" t="s">
        <v>56805</v>
      </c>
    </row>
    <row r="9121">
      <c r="A9121" s="4">
        <v>45534.431833599534</v>
      </c>
      <c r="B9121" s="5" t="s">
        <v>19</v>
      </c>
      <c r="C9121" s="5" t="s">
        <v>3301</v>
      </c>
      <c r="E9121" s="5" t="s">
        <v>56809</v>
      </c>
      <c r="F9121" s="5" t="s">
        <v>37</v>
      </c>
      <c r="G9121" s="5" t="s">
        <v>56810</v>
      </c>
      <c r="H9121" s="6" t="s">
        <v>56811</v>
      </c>
      <c r="K9121" s="5" t="s">
        <v>56812</v>
      </c>
    </row>
    <row r="9122">
      <c r="A9122" s="4">
        <v>45534.43198871528</v>
      </c>
      <c r="B9122" s="5" t="s">
        <v>34</v>
      </c>
      <c r="D9122" s="5" t="s">
        <v>267</v>
      </c>
      <c r="E9122" s="5" t="s">
        <v>56815</v>
      </c>
      <c r="F9122" s="5" t="s">
        <v>375</v>
      </c>
      <c r="G9122" s="5" t="s">
        <v>56816</v>
      </c>
      <c r="H9122" s="6" t="s">
        <v>56817</v>
      </c>
      <c r="K9122" s="5" t="s">
        <v>56818</v>
      </c>
    </row>
    <row r="9123">
      <c r="A9123" s="4">
        <v>45534.43211658565</v>
      </c>
      <c r="B9123" s="5" t="s">
        <v>34</v>
      </c>
      <c r="D9123" s="5" t="s">
        <v>6232</v>
      </c>
      <c r="E9123" s="5" t="s">
        <v>51924</v>
      </c>
      <c r="F9123" s="5" t="s">
        <v>212</v>
      </c>
      <c r="G9123" s="5" t="s">
        <v>56821</v>
      </c>
      <c r="H9123" s="6" t="s">
        <v>56822</v>
      </c>
      <c r="K9123" s="5" t="s">
        <v>56823</v>
      </c>
    </row>
    <row r="9124">
      <c r="A9124" s="4">
        <v>45534.43218885417</v>
      </c>
      <c r="B9124" s="5" t="s">
        <v>34</v>
      </c>
      <c r="D9124" s="5" t="s">
        <v>267</v>
      </c>
      <c r="E9124" s="5" t="s">
        <v>56826</v>
      </c>
      <c r="F9124" s="5" t="s">
        <v>715</v>
      </c>
      <c r="G9124" s="5" t="s">
        <v>56827</v>
      </c>
      <c r="H9124" s="6" t="s">
        <v>56828</v>
      </c>
      <c r="K9124" s="5" t="s">
        <v>56823</v>
      </c>
    </row>
    <row r="9125">
      <c r="A9125" s="4">
        <v>45534.43239215278</v>
      </c>
      <c r="B9125" s="5" t="s">
        <v>34</v>
      </c>
      <c r="D9125" s="5" t="s">
        <v>11913</v>
      </c>
      <c r="E9125" s="5" t="s">
        <v>56832</v>
      </c>
      <c r="F9125" s="5" t="s">
        <v>524</v>
      </c>
      <c r="G9125" s="5" t="s">
        <v>56833</v>
      </c>
      <c r="H9125" s="6" t="s">
        <v>56834</v>
      </c>
      <c r="K9125" s="5" t="s">
        <v>56823</v>
      </c>
    </row>
    <row r="9126">
      <c r="A9126" s="4">
        <v>45534.43249854167</v>
      </c>
      <c r="B9126" s="5" t="s">
        <v>34</v>
      </c>
      <c r="D9126" s="5" t="s">
        <v>35</v>
      </c>
      <c r="E9126" s="5" t="s">
        <v>56837</v>
      </c>
      <c r="F9126" s="5" t="s">
        <v>72</v>
      </c>
      <c r="G9126" s="5" t="s">
        <v>56838</v>
      </c>
      <c r="H9126" s="6" t="s">
        <v>56839</v>
      </c>
      <c r="K9126" s="5" t="s">
        <v>56823</v>
      </c>
    </row>
    <row r="9127">
      <c r="A9127" s="4">
        <v>45534.432504375</v>
      </c>
      <c r="B9127" s="5" t="s">
        <v>19</v>
      </c>
      <c r="C9127" s="5" t="s">
        <v>292</v>
      </c>
      <c r="E9127" s="5" t="s">
        <v>56842</v>
      </c>
      <c r="F9127" s="5" t="s">
        <v>5566</v>
      </c>
      <c r="G9127" s="5" t="s">
        <v>56843</v>
      </c>
      <c r="H9127" s="6" t="s">
        <v>56844</v>
      </c>
      <c r="K9127" s="5" t="s">
        <v>56823</v>
      </c>
    </row>
    <row r="9128">
      <c r="A9128" s="4">
        <v>45534.43254332176</v>
      </c>
      <c r="B9128" s="5" t="s">
        <v>34</v>
      </c>
      <c r="D9128" s="5" t="s">
        <v>4775</v>
      </c>
      <c r="E9128" s="5" t="s">
        <v>56847</v>
      </c>
      <c r="F9128" s="5" t="s">
        <v>37</v>
      </c>
      <c r="G9128" s="5" t="s">
        <v>56848</v>
      </c>
      <c r="H9128" s="6" t="s">
        <v>56849</v>
      </c>
      <c r="K9128" s="5" t="s">
        <v>56823</v>
      </c>
    </row>
    <row r="9129">
      <c r="A9129" s="4">
        <v>45534.432576203704</v>
      </c>
      <c r="B9129" s="5" t="s">
        <v>34</v>
      </c>
      <c r="D9129" s="5" t="s">
        <v>9020</v>
      </c>
      <c r="E9129" s="5" t="s">
        <v>56853</v>
      </c>
      <c r="F9129" s="5" t="s">
        <v>524</v>
      </c>
      <c r="G9129" s="5" t="s">
        <v>56854</v>
      </c>
      <c r="H9129" s="6" t="s">
        <v>56855</v>
      </c>
      <c r="K9129" s="5" t="s">
        <v>56823</v>
      </c>
    </row>
    <row r="9130">
      <c r="A9130" s="4">
        <v>45534.43263274306</v>
      </c>
      <c r="B9130" s="5" t="s">
        <v>34</v>
      </c>
      <c r="D9130" s="5" t="s">
        <v>4775</v>
      </c>
      <c r="E9130" s="5" t="s">
        <v>56858</v>
      </c>
      <c r="F9130" s="5" t="s">
        <v>524</v>
      </c>
      <c r="G9130" s="5" t="s">
        <v>56859</v>
      </c>
      <c r="H9130" s="6" t="s">
        <v>56860</v>
      </c>
      <c r="K9130" s="5" t="s">
        <v>56823</v>
      </c>
    </row>
    <row r="9131">
      <c r="A9131" s="4">
        <v>45534.43265340278</v>
      </c>
      <c r="B9131" s="5" t="s">
        <v>19</v>
      </c>
      <c r="C9131" s="5" t="s">
        <v>442</v>
      </c>
      <c r="E9131" s="5" t="s">
        <v>56863</v>
      </c>
      <c r="F9131" s="5" t="s">
        <v>375</v>
      </c>
      <c r="G9131" s="5" t="s">
        <v>56864</v>
      </c>
      <c r="H9131" s="6" t="s">
        <v>56865</v>
      </c>
      <c r="K9131" s="5" t="s">
        <v>56823</v>
      </c>
    </row>
    <row r="9132">
      <c r="A9132" s="4">
        <v>45534.432688761575</v>
      </c>
      <c r="B9132" s="5" t="s">
        <v>34</v>
      </c>
      <c r="D9132" s="5" t="s">
        <v>975</v>
      </c>
      <c r="E9132" s="5" t="s">
        <v>56868</v>
      </c>
      <c r="F9132" s="5" t="s">
        <v>524</v>
      </c>
      <c r="G9132" s="5" t="s">
        <v>56869</v>
      </c>
      <c r="H9132" s="6" t="s">
        <v>56870</v>
      </c>
      <c r="K9132" s="5" t="s">
        <v>56823</v>
      </c>
    </row>
    <row r="9133">
      <c r="A9133" s="4">
        <v>45534.432695868054</v>
      </c>
      <c r="B9133" s="5" t="s">
        <v>34</v>
      </c>
      <c r="D9133" s="5" t="s">
        <v>1206</v>
      </c>
      <c r="E9133" s="5" t="s">
        <v>56873</v>
      </c>
      <c r="F9133" s="5" t="s">
        <v>37</v>
      </c>
      <c r="G9133" s="5" t="s">
        <v>56874</v>
      </c>
      <c r="H9133" s="6" t="s">
        <v>56875</v>
      </c>
      <c r="K9133" s="5" t="s">
        <v>56823</v>
      </c>
    </row>
    <row r="9134">
      <c r="A9134" s="4">
        <v>45534.43269664352</v>
      </c>
      <c r="B9134" s="5" t="s">
        <v>19</v>
      </c>
      <c r="C9134" s="5" t="s">
        <v>292</v>
      </c>
      <c r="E9134" s="5" t="s">
        <v>56879</v>
      </c>
      <c r="F9134" s="5" t="s">
        <v>37</v>
      </c>
      <c r="G9134" s="5" t="s">
        <v>56880</v>
      </c>
      <c r="H9134" s="6" t="s">
        <v>56881</v>
      </c>
      <c r="K9134" s="5" t="s">
        <v>56823</v>
      </c>
    </row>
    <row r="9135">
      <c r="A9135" s="4">
        <v>45534.43279875</v>
      </c>
      <c r="B9135" s="5" t="s">
        <v>19</v>
      </c>
      <c r="C9135" s="5" t="s">
        <v>3301</v>
      </c>
      <c r="E9135" s="5" t="s">
        <v>56884</v>
      </c>
      <c r="F9135" s="5" t="s">
        <v>524</v>
      </c>
      <c r="G9135" s="5" t="s">
        <v>56885</v>
      </c>
      <c r="H9135" s="6" t="s">
        <v>56886</v>
      </c>
      <c r="K9135" s="5" t="s">
        <v>56823</v>
      </c>
    </row>
    <row r="9136">
      <c r="A9136" s="4">
        <v>45534.432799629634</v>
      </c>
      <c r="B9136" s="5" t="s">
        <v>19</v>
      </c>
      <c r="C9136" s="5" t="s">
        <v>45988</v>
      </c>
      <c r="E9136" s="5" t="s">
        <v>56889</v>
      </c>
      <c r="F9136" s="5" t="s">
        <v>15386</v>
      </c>
      <c r="G9136" s="5" t="s">
        <v>56890</v>
      </c>
      <c r="H9136" s="6" t="s">
        <v>56891</v>
      </c>
      <c r="K9136" s="5" t="s">
        <v>56823</v>
      </c>
    </row>
    <row r="9137">
      <c r="A9137" s="4">
        <v>45534.43280226852</v>
      </c>
      <c r="B9137" s="5" t="s">
        <v>34</v>
      </c>
      <c r="D9137" s="5" t="s">
        <v>1558</v>
      </c>
      <c r="E9137" s="5" t="s">
        <v>56894</v>
      </c>
      <c r="F9137" s="5" t="s">
        <v>212</v>
      </c>
      <c r="G9137" s="5" t="s">
        <v>56895</v>
      </c>
      <c r="H9137" s="6" t="s">
        <v>56896</v>
      </c>
      <c r="K9137" s="5" t="s">
        <v>56823</v>
      </c>
    </row>
    <row r="9138">
      <c r="A9138" s="4">
        <v>45534.432863483795</v>
      </c>
      <c r="B9138" s="5" t="s">
        <v>34</v>
      </c>
      <c r="D9138" s="5" t="s">
        <v>6232</v>
      </c>
      <c r="E9138" s="5" t="s">
        <v>56899</v>
      </c>
      <c r="F9138" s="5" t="s">
        <v>212</v>
      </c>
      <c r="G9138" s="5" t="s">
        <v>56900</v>
      </c>
      <c r="H9138" s="6" t="s">
        <v>56901</v>
      </c>
      <c r="K9138" s="5" t="s">
        <v>56823</v>
      </c>
    </row>
    <row r="9139">
      <c r="A9139" s="4">
        <v>45534.43288104166</v>
      </c>
      <c r="B9139" s="5" t="s">
        <v>34</v>
      </c>
      <c r="D9139" s="5" t="s">
        <v>9020</v>
      </c>
      <c r="E9139" s="5" t="s">
        <v>56905</v>
      </c>
      <c r="F9139" s="5" t="s">
        <v>524</v>
      </c>
      <c r="G9139" s="5" t="s">
        <v>56906</v>
      </c>
      <c r="H9139" s="6" t="s">
        <v>56907</v>
      </c>
      <c r="K9139" s="5" t="s">
        <v>56823</v>
      </c>
    </row>
    <row r="9140">
      <c r="A9140" s="4">
        <v>45534.432987962966</v>
      </c>
      <c r="B9140" s="5" t="s">
        <v>34</v>
      </c>
      <c r="D9140" s="5" t="s">
        <v>9020</v>
      </c>
      <c r="E9140" s="5" t="s">
        <v>28839</v>
      </c>
      <c r="F9140" s="5" t="s">
        <v>212</v>
      </c>
      <c r="G9140" s="5" t="s">
        <v>56910</v>
      </c>
      <c r="H9140" s="6" t="s">
        <v>56911</v>
      </c>
      <c r="K9140" s="5" t="s">
        <v>56823</v>
      </c>
    </row>
    <row r="9141">
      <c r="A9141" s="4">
        <v>45534.43308887731</v>
      </c>
      <c r="B9141" s="5" t="s">
        <v>19</v>
      </c>
      <c r="C9141" s="5" t="s">
        <v>292</v>
      </c>
      <c r="E9141" s="5" t="s">
        <v>56914</v>
      </c>
      <c r="F9141" s="5" t="s">
        <v>108</v>
      </c>
      <c r="G9141" s="5" t="s">
        <v>56915</v>
      </c>
      <c r="H9141" s="6" t="s">
        <v>56916</v>
      </c>
      <c r="K9141" s="5" t="s">
        <v>56823</v>
      </c>
    </row>
    <row r="9142">
      <c r="A9142" s="4">
        <v>45534.43312487268</v>
      </c>
      <c r="B9142" s="5" t="s">
        <v>34</v>
      </c>
      <c r="D9142" s="5" t="s">
        <v>4775</v>
      </c>
      <c r="E9142" s="5" t="s">
        <v>56919</v>
      </c>
      <c r="F9142" s="5" t="s">
        <v>212</v>
      </c>
      <c r="G9142" s="5" t="s">
        <v>56920</v>
      </c>
      <c r="H9142" s="6" t="s">
        <v>56921</v>
      </c>
      <c r="K9142" s="5" t="s">
        <v>56823</v>
      </c>
    </row>
    <row r="9143">
      <c r="A9143" s="4">
        <v>45534.43326232639</v>
      </c>
      <c r="B9143" s="5" t="s">
        <v>34</v>
      </c>
      <c r="D9143" s="5" t="s">
        <v>701</v>
      </c>
      <c r="E9143" s="5" t="s">
        <v>56925</v>
      </c>
      <c r="F9143" s="5" t="s">
        <v>108</v>
      </c>
      <c r="G9143" s="5" t="s">
        <v>56926</v>
      </c>
      <c r="H9143" s="6" t="s">
        <v>56927</v>
      </c>
      <c r="K9143" s="5" t="s">
        <v>56928</v>
      </c>
    </row>
    <row r="9144">
      <c r="A9144" s="4">
        <v>45534.4332771412</v>
      </c>
      <c r="B9144" s="5" t="s">
        <v>34</v>
      </c>
      <c r="D9144" s="5" t="s">
        <v>10297</v>
      </c>
      <c r="E9144" s="5" t="s">
        <v>56931</v>
      </c>
      <c r="F9144" s="5" t="s">
        <v>108</v>
      </c>
      <c r="G9144" s="5" t="s">
        <v>56932</v>
      </c>
      <c r="H9144" s="6" t="s">
        <v>56933</v>
      </c>
      <c r="K9144" s="5" t="s">
        <v>56928</v>
      </c>
    </row>
    <row r="9145">
      <c r="A9145" s="4">
        <v>45534.43333859954</v>
      </c>
      <c r="B9145" s="5" t="s">
        <v>19</v>
      </c>
      <c r="C9145" s="5" t="s">
        <v>292</v>
      </c>
      <c r="E9145" s="5" t="s">
        <v>56936</v>
      </c>
      <c r="F9145" s="5" t="s">
        <v>524</v>
      </c>
      <c r="G9145" s="5" t="s">
        <v>56937</v>
      </c>
      <c r="H9145" s="6" t="s">
        <v>56938</v>
      </c>
      <c r="K9145" s="5" t="s">
        <v>56928</v>
      </c>
    </row>
    <row r="9146">
      <c r="A9146" s="4">
        <v>45534.43341486111</v>
      </c>
      <c r="B9146" s="5" t="s">
        <v>34</v>
      </c>
      <c r="D9146" s="5" t="s">
        <v>701</v>
      </c>
      <c r="E9146" s="5" t="s">
        <v>56941</v>
      </c>
      <c r="F9146" s="5" t="s">
        <v>212</v>
      </c>
      <c r="G9146" s="5" t="s">
        <v>56942</v>
      </c>
      <c r="H9146" s="6" t="s">
        <v>56943</v>
      </c>
      <c r="K9146" s="5" t="s">
        <v>56928</v>
      </c>
    </row>
    <row r="9147">
      <c r="A9147" s="4">
        <v>45534.43344083334</v>
      </c>
      <c r="B9147" s="5" t="s">
        <v>34</v>
      </c>
      <c r="D9147" s="5" t="s">
        <v>1456</v>
      </c>
      <c r="E9147" s="5" t="s">
        <v>56946</v>
      </c>
      <c r="F9147" s="5" t="s">
        <v>212</v>
      </c>
      <c r="G9147" s="5" t="s">
        <v>56947</v>
      </c>
      <c r="H9147" s="6" t="s">
        <v>56948</v>
      </c>
      <c r="K9147" s="5" t="s">
        <v>56928</v>
      </c>
    </row>
    <row r="9148">
      <c r="A9148" s="4">
        <v>45534.43351074074</v>
      </c>
      <c r="B9148" s="5" t="s">
        <v>34</v>
      </c>
      <c r="D9148" s="5" t="s">
        <v>1558</v>
      </c>
      <c r="E9148" s="5" t="s">
        <v>56952</v>
      </c>
      <c r="F9148" s="5" t="s">
        <v>212</v>
      </c>
      <c r="G9148" s="5" t="s">
        <v>56953</v>
      </c>
      <c r="H9148" s="6" t="s">
        <v>56954</v>
      </c>
      <c r="K9148" s="5" t="s">
        <v>56928</v>
      </c>
    </row>
    <row r="9149">
      <c r="A9149" s="4">
        <v>45534.43357710648</v>
      </c>
      <c r="B9149" s="5" t="s">
        <v>34</v>
      </c>
      <c r="D9149" s="5" t="s">
        <v>1558</v>
      </c>
      <c r="E9149" s="5" t="s">
        <v>56957</v>
      </c>
      <c r="F9149" s="5" t="s">
        <v>212</v>
      </c>
      <c r="G9149" s="5" t="s">
        <v>56958</v>
      </c>
      <c r="H9149" s="6" t="s">
        <v>56959</v>
      </c>
      <c r="K9149" s="5" t="s">
        <v>56928</v>
      </c>
    </row>
    <row r="9150">
      <c r="A9150" s="4">
        <v>45534.4336253588</v>
      </c>
      <c r="B9150" s="5" t="s">
        <v>34</v>
      </c>
      <c r="D9150" s="5" t="s">
        <v>9020</v>
      </c>
      <c r="E9150" s="5" t="s">
        <v>56962</v>
      </c>
      <c r="F9150" s="5" t="s">
        <v>37</v>
      </c>
      <c r="G9150" s="5" t="s">
        <v>37675</v>
      </c>
      <c r="H9150" s="6" t="s">
        <v>56963</v>
      </c>
      <c r="K9150" s="5" t="s">
        <v>56928</v>
      </c>
    </row>
    <row r="9151">
      <c r="A9151" s="4">
        <v>45534.43365136574</v>
      </c>
      <c r="B9151" s="5" t="s">
        <v>34</v>
      </c>
      <c r="D9151" s="5" t="s">
        <v>1206</v>
      </c>
      <c r="E9151" s="5" t="s">
        <v>56967</v>
      </c>
      <c r="F9151" s="5" t="s">
        <v>37</v>
      </c>
      <c r="G9151" s="5" t="s">
        <v>56968</v>
      </c>
      <c r="H9151" s="6" t="s">
        <v>56969</v>
      </c>
      <c r="K9151" s="5" t="s">
        <v>56970</v>
      </c>
    </row>
    <row r="9152">
      <c r="A9152" s="4">
        <v>45534.43370768518</v>
      </c>
      <c r="B9152" s="5" t="s">
        <v>34</v>
      </c>
      <c r="D9152" s="5" t="s">
        <v>1558</v>
      </c>
      <c r="E9152" s="5" t="s">
        <v>56974</v>
      </c>
      <c r="F9152" s="5" t="s">
        <v>72</v>
      </c>
      <c r="G9152" s="5" t="s">
        <v>56975</v>
      </c>
      <c r="H9152" s="6" t="s">
        <v>56976</v>
      </c>
      <c r="K9152" s="5" t="s">
        <v>56977</v>
      </c>
    </row>
    <row r="9153">
      <c r="A9153" s="4">
        <v>45534.43379859954</v>
      </c>
      <c r="B9153" s="5" t="s">
        <v>34</v>
      </c>
      <c r="D9153" s="5" t="s">
        <v>3849</v>
      </c>
      <c r="E9153" s="5" t="s">
        <v>56981</v>
      </c>
      <c r="F9153" s="5" t="s">
        <v>37</v>
      </c>
      <c r="G9153" s="5" t="s">
        <v>56982</v>
      </c>
      <c r="H9153" s="6" t="s">
        <v>56983</v>
      </c>
      <c r="K9153" s="5" t="s">
        <v>56984</v>
      </c>
    </row>
    <row r="9154">
      <c r="A9154" s="4">
        <v>45534.43386236111</v>
      </c>
      <c r="B9154" s="5" t="s">
        <v>34</v>
      </c>
      <c r="D9154" s="5" t="s">
        <v>9020</v>
      </c>
      <c r="E9154" s="5" t="s">
        <v>34123</v>
      </c>
      <c r="F9154" s="5" t="s">
        <v>72</v>
      </c>
      <c r="G9154" s="5" t="s">
        <v>34124</v>
      </c>
      <c r="H9154" s="6" t="s">
        <v>56988</v>
      </c>
      <c r="K9154" s="5" t="s">
        <v>56989</v>
      </c>
    </row>
    <row r="9155">
      <c r="A9155" s="4">
        <v>45534.433969571764</v>
      </c>
      <c r="B9155" s="5" t="s">
        <v>34</v>
      </c>
      <c r="D9155" s="5" t="s">
        <v>35</v>
      </c>
      <c r="E9155" s="5" t="s">
        <v>56993</v>
      </c>
      <c r="F9155" s="5" t="s">
        <v>375</v>
      </c>
      <c r="G9155" s="5" t="s">
        <v>56994</v>
      </c>
      <c r="H9155" s="6" t="s">
        <v>56995</v>
      </c>
      <c r="K9155" s="5" t="s">
        <v>56996</v>
      </c>
    </row>
    <row r="9156">
      <c r="A9156" s="4">
        <v>45534.43404075231</v>
      </c>
      <c r="B9156" s="5" t="s">
        <v>34</v>
      </c>
      <c r="D9156" s="5" t="s">
        <v>1206</v>
      </c>
      <c r="E9156" s="5" t="s">
        <v>57000</v>
      </c>
      <c r="F9156" s="5" t="s">
        <v>375</v>
      </c>
      <c r="G9156" s="5" t="s">
        <v>57001</v>
      </c>
      <c r="H9156" s="6" t="s">
        <v>57002</v>
      </c>
      <c r="K9156" s="5" t="s">
        <v>57003</v>
      </c>
    </row>
    <row r="9157">
      <c r="A9157" s="4">
        <v>45534.43405077547</v>
      </c>
      <c r="B9157" s="5" t="s">
        <v>34</v>
      </c>
      <c r="D9157" s="5" t="s">
        <v>522</v>
      </c>
      <c r="E9157" s="5" t="s">
        <v>57007</v>
      </c>
      <c r="F9157" s="5" t="s">
        <v>37</v>
      </c>
      <c r="G9157" s="5" t="s">
        <v>57008</v>
      </c>
      <c r="H9157" s="6" t="s">
        <v>57009</v>
      </c>
      <c r="K9157" s="5" t="s">
        <v>57010</v>
      </c>
    </row>
    <row r="9158">
      <c r="A9158" s="4">
        <v>45534.434084374996</v>
      </c>
      <c r="B9158" s="5" t="s">
        <v>34</v>
      </c>
      <c r="D9158" s="5" t="s">
        <v>9020</v>
      </c>
      <c r="E9158" s="5" t="s">
        <v>57014</v>
      </c>
      <c r="F9158" s="5" t="s">
        <v>375</v>
      </c>
      <c r="G9158" s="5" t="s">
        <v>57015</v>
      </c>
      <c r="H9158" s="6" t="s">
        <v>57016</v>
      </c>
      <c r="K9158" s="5" t="s">
        <v>57010</v>
      </c>
    </row>
    <row r="9159">
      <c r="A9159" s="4">
        <v>45534.43413032407</v>
      </c>
      <c r="B9159" s="5" t="s">
        <v>34</v>
      </c>
      <c r="D9159" s="5" t="s">
        <v>35</v>
      </c>
      <c r="E9159" s="5" t="s">
        <v>57020</v>
      </c>
      <c r="F9159" s="5" t="s">
        <v>72</v>
      </c>
      <c r="G9159" s="5" t="s">
        <v>57021</v>
      </c>
      <c r="H9159" s="6" t="s">
        <v>57022</v>
      </c>
      <c r="K9159" s="5" t="s">
        <v>57023</v>
      </c>
    </row>
    <row r="9160">
      <c r="A9160" s="4">
        <v>45534.43413700232</v>
      </c>
      <c r="B9160" s="5" t="s">
        <v>34</v>
      </c>
      <c r="D9160" s="5" t="s">
        <v>35</v>
      </c>
      <c r="E9160" s="5" t="s">
        <v>57027</v>
      </c>
      <c r="F9160" s="5" t="s">
        <v>108</v>
      </c>
      <c r="G9160" s="5" t="s">
        <v>57028</v>
      </c>
      <c r="H9160" s="6" t="s">
        <v>57029</v>
      </c>
      <c r="K9160" s="5" t="s">
        <v>57023</v>
      </c>
    </row>
    <row r="9161">
      <c r="A9161" s="4">
        <v>45534.4342328125</v>
      </c>
      <c r="B9161" s="5" t="s">
        <v>19</v>
      </c>
      <c r="C9161" s="5" t="s">
        <v>3301</v>
      </c>
      <c r="E9161" s="5" t="s">
        <v>57033</v>
      </c>
      <c r="F9161" s="5" t="s">
        <v>524</v>
      </c>
      <c r="G9161" s="5" t="s">
        <v>57034</v>
      </c>
      <c r="H9161" s="6" t="s">
        <v>57035</v>
      </c>
      <c r="K9161" s="5" t="s">
        <v>57036</v>
      </c>
    </row>
    <row r="9162">
      <c r="A9162" s="4">
        <v>45534.43427733796</v>
      </c>
      <c r="B9162" s="5" t="s">
        <v>34</v>
      </c>
      <c r="D9162" s="5" t="s">
        <v>1206</v>
      </c>
      <c r="E9162" s="5" t="s">
        <v>57040</v>
      </c>
      <c r="F9162" s="5" t="s">
        <v>524</v>
      </c>
      <c r="G9162" s="5" t="s">
        <v>57041</v>
      </c>
      <c r="H9162" s="6" t="s">
        <v>57042</v>
      </c>
      <c r="K9162" s="5" t="s">
        <v>57036</v>
      </c>
    </row>
    <row r="9163">
      <c r="A9163" s="4">
        <v>45534.43432509259</v>
      </c>
      <c r="B9163" s="5" t="s">
        <v>34</v>
      </c>
      <c r="D9163" s="5" t="s">
        <v>9020</v>
      </c>
      <c r="E9163" s="5" t="s">
        <v>25570</v>
      </c>
      <c r="F9163" s="5" t="s">
        <v>212</v>
      </c>
      <c r="G9163" s="5" t="s">
        <v>25571</v>
      </c>
      <c r="H9163" s="6" t="s">
        <v>57046</v>
      </c>
      <c r="K9163" s="5" t="s">
        <v>57036</v>
      </c>
    </row>
    <row r="9164">
      <c r="A9164" s="4">
        <v>45534.43433488426</v>
      </c>
      <c r="B9164" s="5" t="s">
        <v>19</v>
      </c>
      <c r="C9164" s="5" t="s">
        <v>3301</v>
      </c>
      <c r="E9164" s="5" t="s">
        <v>57050</v>
      </c>
      <c r="F9164" s="5" t="s">
        <v>37</v>
      </c>
      <c r="G9164" s="5" t="s">
        <v>57051</v>
      </c>
      <c r="H9164" s="6" t="s">
        <v>57052</v>
      </c>
      <c r="K9164" s="5" t="s">
        <v>57036</v>
      </c>
    </row>
    <row r="9165">
      <c r="A9165" s="4">
        <v>45534.43437423611</v>
      </c>
      <c r="B9165" s="5" t="s">
        <v>34</v>
      </c>
      <c r="D9165" s="5" t="s">
        <v>1206</v>
      </c>
      <c r="E9165" s="5" t="s">
        <v>57056</v>
      </c>
      <c r="F9165" s="5" t="s">
        <v>37</v>
      </c>
      <c r="G9165" s="5" t="s">
        <v>57057</v>
      </c>
      <c r="H9165" s="6" t="s">
        <v>57058</v>
      </c>
      <c r="K9165" s="5" t="s">
        <v>57036</v>
      </c>
    </row>
    <row r="9166">
      <c r="A9166" s="4">
        <v>45534.43447039352</v>
      </c>
      <c r="B9166" s="5" t="s">
        <v>34</v>
      </c>
      <c r="D9166" s="5" t="s">
        <v>1206</v>
      </c>
      <c r="E9166" s="5" t="s">
        <v>57062</v>
      </c>
      <c r="F9166" s="5" t="s">
        <v>108</v>
      </c>
      <c r="G9166" s="5" t="s">
        <v>57063</v>
      </c>
      <c r="H9166" s="6" t="s">
        <v>57064</v>
      </c>
      <c r="K9166" s="5" t="s">
        <v>57036</v>
      </c>
    </row>
    <row r="9167">
      <c r="A9167" s="4">
        <v>45534.434479375</v>
      </c>
      <c r="B9167" s="5" t="s">
        <v>34</v>
      </c>
      <c r="D9167" s="5" t="s">
        <v>1558</v>
      </c>
      <c r="E9167" s="5" t="s">
        <v>57068</v>
      </c>
      <c r="F9167" s="5" t="s">
        <v>37</v>
      </c>
      <c r="G9167" s="5" t="s">
        <v>57069</v>
      </c>
      <c r="H9167" s="6" t="s">
        <v>57070</v>
      </c>
      <c r="K9167" s="5" t="s">
        <v>57036</v>
      </c>
    </row>
    <row r="9168">
      <c r="A9168" s="4">
        <v>45534.434528032405</v>
      </c>
      <c r="B9168" s="5" t="s">
        <v>34</v>
      </c>
      <c r="D9168" s="5" t="s">
        <v>280</v>
      </c>
      <c r="E9168" s="5" t="s">
        <v>57074</v>
      </c>
      <c r="F9168" s="5" t="s">
        <v>22</v>
      </c>
      <c r="G9168" s="5" t="s">
        <v>57075</v>
      </c>
      <c r="H9168" s="6" t="s">
        <v>57076</v>
      </c>
      <c r="K9168" s="5" t="s">
        <v>57036</v>
      </c>
    </row>
    <row r="9169">
      <c r="A9169" s="4">
        <v>45534.43467628473</v>
      </c>
      <c r="B9169" s="5" t="s">
        <v>34</v>
      </c>
      <c r="D9169" s="5" t="s">
        <v>11527</v>
      </c>
      <c r="E9169" s="5" t="s">
        <v>57080</v>
      </c>
      <c r="F9169" s="5" t="s">
        <v>37</v>
      </c>
      <c r="G9169" s="5" t="s">
        <v>57081</v>
      </c>
      <c r="H9169" s="6" t="s">
        <v>57082</v>
      </c>
      <c r="K9169" s="5" t="s">
        <v>57036</v>
      </c>
    </row>
    <row r="9170">
      <c r="A9170" s="4">
        <v>45534.43469790509</v>
      </c>
      <c r="B9170" s="5" t="s">
        <v>34</v>
      </c>
      <c r="D9170" s="5" t="s">
        <v>267</v>
      </c>
      <c r="E9170" s="5" t="s">
        <v>57086</v>
      </c>
      <c r="F9170" s="5" t="s">
        <v>375</v>
      </c>
      <c r="G9170" s="5" t="s">
        <v>57087</v>
      </c>
      <c r="H9170" s="6" t="s">
        <v>57088</v>
      </c>
      <c r="K9170" s="5" t="s">
        <v>57036</v>
      </c>
    </row>
    <row r="9171">
      <c r="A9171" s="4">
        <v>45534.43470846065</v>
      </c>
      <c r="B9171" s="5" t="s">
        <v>34</v>
      </c>
      <c r="D9171" s="5" t="s">
        <v>1558</v>
      </c>
      <c r="E9171" s="5" t="s">
        <v>57092</v>
      </c>
      <c r="F9171" s="5" t="s">
        <v>212</v>
      </c>
      <c r="G9171" s="5" t="s">
        <v>57093</v>
      </c>
      <c r="H9171" s="6" t="s">
        <v>57094</v>
      </c>
      <c r="K9171" s="5" t="s">
        <v>57036</v>
      </c>
    </row>
    <row r="9172">
      <c r="A9172" s="4">
        <v>45534.43474563658</v>
      </c>
      <c r="B9172" s="5" t="s">
        <v>34</v>
      </c>
      <c r="D9172" s="5" t="s">
        <v>14313</v>
      </c>
      <c r="E9172" s="5" t="s">
        <v>57098</v>
      </c>
      <c r="F9172" s="5" t="s">
        <v>212</v>
      </c>
      <c r="G9172" s="5" t="s">
        <v>57099</v>
      </c>
      <c r="H9172" s="6" t="s">
        <v>57100</v>
      </c>
      <c r="K9172" s="5" t="s">
        <v>57036</v>
      </c>
    </row>
    <row r="9173">
      <c r="A9173" s="4">
        <v>45534.43502778935</v>
      </c>
      <c r="B9173" s="5" t="s">
        <v>34</v>
      </c>
      <c r="D9173" s="5" t="s">
        <v>701</v>
      </c>
      <c r="E9173" s="5" t="s">
        <v>57104</v>
      </c>
      <c r="F9173" s="5" t="s">
        <v>375</v>
      </c>
      <c r="G9173" s="5" t="s">
        <v>57105</v>
      </c>
      <c r="H9173" s="6" t="s">
        <v>57106</v>
      </c>
      <c r="K9173" s="5" t="s">
        <v>57107</v>
      </c>
    </row>
    <row r="9174">
      <c r="A9174" s="4">
        <v>45534.435102511576</v>
      </c>
      <c r="B9174" s="5" t="s">
        <v>34</v>
      </c>
      <c r="D9174" s="5" t="s">
        <v>10444</v>
      </c>
      <c r="E9174" s="5" t="s">
        <v>57111</v>
      </c>
      <c r="F9174" s="5" t="s">
        <v>212</v>
      </c>
      <c r="G9174" s="5" t="s">
        <v>57112</v>
      </c>
      <c r="H9174" s="6" t="s">
        <v>57113</v>
      </c>
      <c r="K9174" s="5" t="s">
        <v>57107</v>
      </c>
    </row>
    <row r="9175">
      <c r="A9175" s="4">
        <v>45534.43512555555</v>
      </c>
      <c r="B9175" s="5" t="s">
        <v>34</v>
      </c>
      <c r="D9175" s="5" t="s">
        <v>14313</v>
      </c>
      <c r="E9175" s="5" t="s">
        <v>57117</v>
      </c>
      <c r="F9175" s="5" t="s">
        <v>375</v>
      </c>
      <c r="G9175" s="5" t="s">
        <v>57118</v>
      </c>
      <c r="H9175" s="6" t="s">
        <v>57119</v>
      </c>
      <c r="K9175" s="5" t="s">
        <v>57107</v>
      </c>
    </row>
    <row r="9176">
      <c r="A9176" s="4">
        <v>45534.43516966436</v>
      </c>
      <c r="B9176" s="5" t="s">
        <v>34</v>
      </c>
      <c r="D9176" s="5" t="s">
        <v>35</v>
      </c>
      <c r="E9176" s="5" t="s">
        <v>57123</v>
      </c>
      <c r="F9176" s="5" t="s">
        <v>37</v>
      </c>
      <c r="G9176" s="5" t="s">
        <v>57124</v>
      </c>
      <c r="H9176" s="6" t="s">
        <v>57125</v>
      </c>
      <c r="K9176" s="5" t="s">
        <v>57107</v>
      </c>
    </row>
    <row r="9177">
      <c r="A9177" s="4">
        <v>45534.43544821759</v>
      </c>
      <c r="B9177" s="5" t="s">
        <v>34</v>
      </c>
      <c r="D9177" s="5" t="s">
        <v>10444</v>
      </c>
      <c r="E9177" s="5" t="s">
        <v>57129</v>
      </c>
      <c r="F9177" s="5" t="s">
        <v>212</v>
      </c>
      <c r="G9177" s="5" t="s">
        <v>57130</v>
      </c>
      <c r="H9177" s="6" t="s">
        <v>57131</v>
      </c>
      <c r="K9177" s="5" t="s">
        <v>57132</v>
      </c>
    </row>
    <row r="9178">
      <c r="A9178" s="4">
        <v>45534.435601087964</v>
      </c>
      <c r="B9178" s="5" t="s">
        <v>34</v>
      </c>
      <c r="D9178" s="5" t="s">
        <v>280</v>
      </c>
      <c r="E9178" s="5" t="s">
        <v>281</v>
      </c>
      <c r="F9178" s="5" t="s">
        <v>212</v>
      </c>
      <c r="G9178" s="5" t="s">
        <v>57136</v>
      </c>
      <c r="H9178" s="6" t="s">
        <v>57137</v>
      </c>
      <c r="K9178" s="5" t="s">
        <v>57138</v>
      </c>
    </row>
    <row r="9179">
      <c r="A9179" s="4">
        <v>45534.4357790162</v>
      </c>
      <c r="B9179" s="5" t="s">
        <v>19</v>
      </c>
      <c r="C9179" s="5" t="s">
        <v>38343</v>
      </c>
      <c r="E9179" s="5" t="s">
        <v>57142</v>
      </c>
      <c r="F9179" s="5" t="s">
        <v>108</v>
      </c>
      <c r="G9179" s="5" t="s">
        <v>57143</v>
      </c>
      <c r="H9179" s="6" t="s">
        <v>57144</v>
      </c>
      <c r="K9179" s="5" t="s">
        <v>57145</v>
      </c>
    </row>
    <row r="9180">
      <c r="A9180" s="4">
        <v>45534.43582270833</v>
      </c>
      <c r="B9180" s="5" t="s">
        <v>34</v>
      </c>
      <c r="D9180" s="5" t="s">
        <v>1206</v>
      </c>
      <c r="E9180" s="5" t="s">
        <v>57149</v>
      </c>
      <c r="F9180" s="5" t="s">
        <v>798</v>
      </c>
      <c r="G9180" s="5" t="s">
        <v>57150</v>
      </c>
      <c r="H9180" s="6" t="s">
        <v>57151</v>
      </c>
      <c r="K9180" s="5" t="s">
        <v>57152</v>
      </c>
    </row>
    <row r="9181">
      <c r="A9181" s="4">
        <v>45534.43588101852</v>
      </c>
      <c r="B9181" s="5" t="s">
        <v>34</v>
      </c>
      <c r="D9181" s="5" t="s">
        <v>701</v>
      </c>
      <c r="E9181" s="5" t="s">
        <v>57156</v>
      </c>
      <c r="F9181" s="5" t="s">
        <v>108</v>
      </c>
      <c r="G9181" s="5" t="s">
        <v>57157</v>
      </c>
      <c r="H9181" s="6" t="s">
        <v>57158</v>
      </c>
      <c r="K9181" s="5" t="s">
        <v>57159</v>
      </c>
    </row>
    <row r="9182">
      <c r="A9182" s="4">
        <v>45534.43598546296</v>
      </c>
      <c r="B9182" s="5" t="s">
        <v>34</v>
      </c>
      <c r="D9182" s="5" t="s">
        <v>1206</v>
      </c>
      <c r="E9182" s="5" t="s">
        <v>57163</v>
      </c>
      <c r="F9182" s="5" t="s">
        <v>212</v>
      </c>
      <c r="G9182" s="5" t="s">
        <v>57164</v>
      </c>
      <c r="H9182" s="6" t="s">
        <v>57165</v>
      </c>
      <c r="K9182" s="5" t="s">
        <v>57166</v>
      </c>
    </row>
    <row r="9183">
      <c r="A9183" s="4">
        <v>45534.43598649306</v>
      </c>
      <c r="B9183" s="5" t="s">
        <v>34</v>
      </c>
      <c r="D9183" s="5" t="s">
        <v>35</v>
      </c>
      <c r="E9183" s="5" t="s">
        <v>57170</v>
      </c>
      <c r="F9183" s="5" t="s">
        <v>375</v>
      </c>
      <c r="G9183" s="5" t="s">
        <v>20637</v>
      </c>
      <c r="H9183" s="6" t="s">
        <v>57171</v>
      </c>
      <c r="K9183" s="5" t="s">
        <v>57166</v>
      </c>
    </row>
    <row r="9184">
      <c r="A9184" s="4">
        <v>45534.436111180556</v>
      </c>
      <c r="B9184" s="5" t="s">
        <v>19</v>
      </c>
      <c r="C9184" s="5" t="s">
        <v>20</v>
      </c>
      <c r="E9184" s="5" t="s">
        <v>57175</v>
      </c>
      <c r="F9184" s="5" t="s">
        <v>375</v>
      </c>
      <c r="G9184" s="5" t="s">
        <v>57176</v>
      </c>
      <c r="H9184" s="6" t="s">
        <v>57177</v>
      </c>
      <c r="K9184" s="5" t="s">
        <v>57178</v>
      </c>
    </row>
    <row r="9185">
      <c r="A9185" s="4">
        <v>45534.436175358795</v>
      </c>
      <c r="B9185" s="5" t="s">
        <v>34</v>
      </c>
      <c r="D9185" s="5" t="s">
        <v>4775</v>
      </c>
      <c r="E9185" s="5" t="s">
        <v>57182</v>
      </c>
      <c r="F9185" s="5" t="s">
        <v>524</v>
      </c>
      <c r="G9185" s="5" t="s">
        <v>57183</v>
      </c>
      <c r="H9185" s="6" t="s">
        <v>57184</v>
      </c>
      <c r="K9185" s="5" t="s">
        <v>57185</v>
      </c>
    </row>
    <row r="9186">
      <c r="A9186" s="4">
        <v>45534.4362309375</v>
      </c>
      <c r="B9186" s="5" t="s">
        <v>34</v>
      </c>
      <c r="D9186" s="5" t="s">
        <v>604</v>
      </c>
      <c r="E9186" s="5" t="s">
        <v>37433</v>
      </c>
      <c r="F9186" s="5" t="s">
        <v>108</v>
      </c>
      <c r="G9186" s="5" t="s">
        <v>57189</v>
      </c>
      <c r="H9186" s="6" t="s">
        <v>57190</v>
      </c>
      <c r="K9186" s="5" t="s">
        <v>57191</v>
      </c>
    </row>
    <row r="9187">
      <c r="A9187" s="4">
        <v>45534.43623511574</v>
      </c>
      <c r="B9187" s="5" t="s">
        <v>34</v>
      </c>
      <c r="D9187" s="5" t="s">
        <v>10444</v>
      </c>
      <c r="E9187" s="5" t="s">
        <v>57195</v>
      </c>
      <c r="F9187" s="5" t="s">
        <v>37</v>
      </c>
      <c r="G9187" s="5" t="s">
        <v>57196</v>
      </c>
      <c r="H9187" s="6" t="s">
        <v>57197</v>
      </c>
      <c r="K9187" s="5" t="s">
        <v>57191</v>
      </c>
    </row>
    <row r="9188">
      <c r="A9188" s="4">
        <v>45534.43624900463</v>
      </c>
      <c r="B9188" s="5" t="s">
        <v>34</v>
      </c>
      <c r="D9188" s="5" t="s">
        <v>1663</v>
      </c>
      <c r="E9188" s="5" t="s">
        <v>57201</v>
      </c>
      <c r="F9188" s="5" t="s">
        <v>108</v>
      </c>
      <c r="G9188" s="5" t="s">
        <v>57202</v>
      </c>
      <c r="H9188" s="6" t="s">
        <v>57203</v>
      </c>
      <c r="K9188" s="5" t="s">
        <v>57204</v>
      </c>
    </row>
    <row r="9189">
      <c r="A9189" s="4">
        <v>45534.43628365741</v>
      </c>
      <c r="B9189" s="5" t="s">
        <v>34</v>
      </c>
      <c r="D9189" s="5" t="s">
        <v>35</v>
      </c>
      <c r="E9189" s="5" t="s">
        <v>57208</v>
      </c>
      <c r="F9189" s="5" t="s">
        <v>375</v>
      </c>
      <c r="G9189" s="5" t="s">
        <v>57209</v>
      </c>
      <c r="H9189" s="6" t="s">
        <v>57210</v>
      </c>
      <c r="K9189" s="5" t="s">
        <v>57204</v>
      </c>
    </row>
    <row r="9190">
      <c r="A9190" s="4">
        <v>45534.43640733796</v>
      </c>
      <c r="B9190" s="5" t="s">
        <v>34</v>
      </c>
      <c r="D9190" s="5" t="s">
        <v>522</v>
      </c>
      <c r="E9190" s="5" t="s">
        <v>57214</v>
      </c>
      <c r="F9190" s="5" t="s">
        <v>328</v>
      </c>
      <c r="G9190" s="5" t="s">
        <v>57215</v>
      </c>
      <c r="H9190" s="6" t="s">
        <v>57216</v>
      </c>
      <c r="K9190" s="5" t="s">
        <v>57217</v>
      </c>
    </row>
    <row r="9191">
      <c r="A9191" s="4">
        <v>45534.43645710648</v>
      </c>
      <c r="B9191" s="5" t="s">
        <v>19</v>
      </c>
      <c r="C9191" s="5" t="s">
        <v>1498</v>
      </c>
      <c r="E9191" s="5" t="s">
        <v>57221</v>
      </c>
      <c r="F9191" s="5" t="s">
        <v>108</v>
      </c>
      <c r="G9191" s="5" t="s">
        <v>57222</v>
      </c>
      <c r="H9191" s="6" t="s">
        <v>57223</v>
      </c>
      <c r="K9191" s="5" t="s">
        <v>57217</v>
      </c>
    </row>
    <row r="9192">
      <c r="A9192" s="4">
        <v>45534.43646636574</v>
      </c>
      <c r="B9192" s="5" t="s">
        <v>34</v>
      </c>
      <c r="D9192" s="5" t="s">
        <v>9020</v>
      </c>
      <c r="E9192" s="5" t="s">
        <v>57227</v>
      </c>
      <c r="F9192" s="5" t="s">
        <v>212</v>
      </c>
      <c r="G9192" s="5" t="s">
        <v>57228</v>
      </c>
      <c r="H9192" s="6" t="s">
        <v>57229</v>
      </c>
      <c r="K9192" s="5" t="s">
        <v>57217</v>
      </c>
    </row>
    <row r="9193">
      <c r="A9193" s="4">
        <v>45534.43657106481</v>
      </c>
      <c r="B9193" s="5" t="s">
        <v>34</v>
      </c>
      <c r="D9193" s="5" t="s">
        <v>15401</v>
      </c>
      <c r="E9193" s="5" t="s">
        <v>57233</v>
      </c>
      <c r="F9193" s="5" t="s">
        <v>72</v>
      </c>
      <c r="G9193" s="5" t="s">
        <v>57234</v>
      </c>
      <c r="H9193" s="6" t="s">
        <v>57235</v>
      </c>
      <c r="K9193" s="5" t="s">
        <v>57217</v>
      </c>
    </row>
    <row r="9194">
      <c r="A9194" s="4">
        <v>45534.43667248843</v>
      </c>
      <c r="B9194" s="5" t="s">
        <v>19</v>
      </c>
      <c r="C9194" s="5" t="s">
        <v>292</v>
      </c>
      <c r="E9194" s="5" t="s">
        <v>57239</v>
      </c>
      <c r="F9194" s="5" t="s">
        <v>37</v>
      </c>
      <c r="G9194" s="5" t="s">
        <v>57240</v>
      </c>
      <c r="H9194" s="6" t="s">
        <v>57241</v>
      </c>
      <c r="K9194" s="5" t="s">
        <v>57217</v>
      </c>
    </row>
    <row r="9195">
      <c r="A9195" s="4">
        <v>45534.4368793287</v>
      </c>
      <c r="B9195" s="5" t="s">
        <v>34</v>
      </c>
      <c r="D9195" s="5" t="s">
        <v>522</v>
      </c>
      <c r="E9195" s="5" t="s">
        <v>57245</v>
      </c>
      <c r="F9195" s="5" t="s">
        <v>212</v>
      </c>
      <c r="G9195" s="5" t="s">
        <v>57246</v>
      </c>
      <c r="H9195" s="6" t="s">
        <v>57247</v>
      </c>
      <c r="K9195" s="5" t="s">
        <v>57248</v>
      </c>
    </row>
    <row r="9196">
      <c r="A9196" s="4">
        <v>45534.43695981482</v>
      </c>
      <c r="B9196" s="5" t="s">
        <v>19</v>
      </c>
      <c r="C9196" s="5" t="s">
        <v>3301</v>
      </c>
      <c r="E9196" s="5" t="s">
        <v>57252</v>
      </c>
      <c r="F9196" s="5" t="s">
        <v>108</v>
      </c>
      <c r="G9196" s="5" t="s">
        <v>57253</v>
      </c>
      <c r="H9196" s="6" t="s">
        <v>57254</v>
      </c>
      <c r="K9196" s="5" t="s">
        <v>57248</v>
      </c>
    </row>
    <row r="9197">
      <c r="A9197" s="4">
        <v>45534.437039745375</v>
      </c>
      <c r="B9197" s="5" t="s">
        <v>34</v>
      </c>
      <c r="D9197" s="5" t="s">
        <v>4775</v>
      </c>
      <c r="E9197" s="5" t="s">
        <v>57258</v>
      </c>
      <c r="F9197" s="5" t="s">
        <v>212</v>
      </c>
      <c r="G9197" s="5" t="s">
        <v>57259</v>
      </c>
      <c r="H9197" s="6" t="s">
        <v>57260</v>
      </c>
      <c r="K9197" s="5" t="s">
        <v>57261</v>
      </c>
    </row>
    <row r="9198">
      <c r="A9198" s="4">
        <v>45534.43708011574</v>
      </c>
      <c r="B9198" s="5" t="s">
        <v>34</v>
      </c>
      <c r="D9198" s="5" t="s">
        <v>9020</v>
      </c>
      <c r="E9198" s="5" t="s">
        <v>57265</v>
      </c>
      <c r="F9198" s="5" t="s">
        <v>212</v>
      </c>
      <c r="G9198" s="5" t="s">
        <v>57266</v>
      </c>
      <c r="H9198" s="6" t="s">
        <v>57267</v>
      </c>
      <c r="K9198" s="5" t="s">
        <v>57261</v>
      </c>
    </row>
    <row r="9199">
      <c r="A9199" s="4">
        <v>45534.437081446755</v>
      </c>
      <c r="B9199" s="5" t="s">
        <v>34</v>
      </c>
      <c r="D9199" s="5" t="s">
        <v>11527</v>
      </c>
      <c r="E9199" s="5" t="s">
        <v>36540</v>
      </c>
      <c r="F9199" s="5" t="s">
        <v>375</v>
      </c>
      <c r="G9199" s="5" t="s">
        <v>57271</v>
      </c>
      <c r="H9199" s="6" t="s">
        <v>57272</v>
      </c>
      <c r="K9199" s="5" t="s">
        <v>57261</v>
      </c>
    </row>
    <row r="9200">
      <c r="A9200" s="4">
        <v>45534.437101296295</v>
      </c>
      <c r="B9200" s="5" t="s">
        <v>34</v>
      </c>
      <c r="D9200" s="5" t="s">
        <v>1206</v>
      </c>
      <c r="E9200" s="5" t="s">
        <v>57276</v>
      </c>
      <c r="F9200" s="5" t="s">
        <v>524</v>
      </c>
      <c r="G9200" s="5" t="s">
        <v>57277</v>
      </c>
      <c r="H9200" s="6" t="s">
        <v>57278</v>
      </c>
      <c r="K9200" s="5" t="s">
        <v>57261</v>
      </c>
    </row>
    <row r="9201">
      <c r="A9201" s="4">
        <v>45534.43710311342</v>
      </c>
      <c r="B9201" s="5" t="s">
        <v>34</v>
      </c>
      <c r="D9201" s="5" t="s">
        <v>1558</v>
      </c>
      <c r="E9201" s="5" t="s">
        <v>57282</v>
      </c>
      <c r="F9201" s="5" t="s">
        <v>72</v>
      </c>
      <c r="G9201" s="5" t="s">
        <v>57283</v>
      </c>
      <c r="H9201" s="6" t="s">
        <v>57284</v>
      </c>
      <c r="K9201" s="5" t="s">
        <v>57261</v>
      </c>
    </row>
    <row r="9202">
      <c r="A9202" s="4">
        <v>45534.43715570602</v>
      </c>
      <c r="B9202" s="5" t="s">
        <v>34</v>
      </c>
      <c r="D9202" s="5" t="s">
        <v>11527</v>
      </c>
      <c r="E9202" s="5" t="s">
        <v>57288</v>
      </c>
      <c r="F9202" s="5" t="s">
        <v>375</v>
      </c>
      <c r="G9202" s="5" t="s">
        <v>57289</v>
      </c>
      <c r="H9202" s="6" t="s">
        <v>57290</v>
      </c>
      <c r="K9202" s="5" t="s">
        <v>57261</v>
      </c>
    </row>
    <row r="9203">
      <c r="A9203" s="4">
        <v>45534.43716490741</v>
      </c>
      <c r="B9203" s="5" t="s">
        <v>19</v>
      </c>
      <c r="C9203" s="5" t="s">
        <v>5564</v>
      </c>
      <c r="E9203" s="5" t="s">
        <v>57294</v>
      </c>
      <c r="F9203" s="5" t="s">
        <v>212</v>
      </c>
      <c r="G9203" s="5" t="s">
        <v>57295</v>
      </c>
      <c r="H9203" s="6" t="s">
        <v>57296</v>
      </c>
      <c r="K9203" s="5" t="s">
        <v>57261</v>
      </c>
    </row>
    <row r="9204">
      <c r="A9204" s="4">
        <v>45534.43716722222</v>
      </c>
      <c r="B9204" s="5" t="s">
        <v>19</v>
      </c>
      <c r="C9204" s="5" t="s">
        <v>466</v>
      </c>
      <c r="E9204" s="5" t="s">
        <v>57300</v>
      </c>
      <c r="F9204" s="5" t="s">
        <v>6776</v>
      </c>
      <c r="G9204" s="5" t="s">
        <v>57301</v>
      </c>
      <c r="H9204" s="6" t="s">
        <v>57302</v>
      </c>
      <c r="K9204" s="5" t="s">
        <v>57261</v>
      </c>
    </row>
    <row r="9205">
      <c r="A9205" s="4">
        <v>45534.437182037036</v>
      </c>
      <c r="B9205" s="5" t="s">
        <v>34</v>
      </c>
      <c r="D9205" s="5" t="s">
        <v>9020</v>
      </c>
      <c r="E9205" s="5" t="s">
        <v>57306</v>
      </c>
      <c r="F9205" s="5" t="s">
        <v>524</v>
      </c>
      <c r="G9205" s="5" t="s">
        <v>57307</v>
      </c>
      <c r="H9205" s="6" t="s">
        <v>57308</v>
      </c>
      <c r="K9205" s="5" t="s">
        <v>57309</v>
      </c>
    </row>
    <row r="9206">
      <c r="A9206" s="4">
        <v>45534.437290173606</v>
      </c>
      <c r="B9206" s="5" t="s">
        <v>19</v>
      </c>
      <c r="C9206" s="5" t="s">
        <v>32901</v>
      </c>
      <c r="E9206" s="5" t="s">
        <v>57313</v>
      </c>
      <c r="F9206" s="5" t="s">
        <v>72</v>
      </c>
      <c r="G9206" s="5" t="s">
        <v>57314</v>
      </c>
      <c r="H9206" s="6" t="s">
        <v>57315</v>
      </c>
      <c r="K9206" s="5" t="s">
        <v>57309</v>
      </c>
    </row>
    <row r="9207">
      <c r="A9207" s="4">
        <v>45534.437382696764</v>
      </c>
      <c r="B9207" s="5" t="s">
        <v>34</v>
      </c>
      <c r="D9207" s="5" t="s">
        <v>4775</v>
      </c>
      <c r="E9207" s="5" t="s">
        <v>57319</v>
      </c>
      <c r="F9207" s="5" t="s">
        <v>375</v>
      </c>
      <c r="G9207" s="5" t="s">
        <v>57320</v>
      </c>
      <c r="H9207" s="6" t="s">
        <v>57321</v>
      </c>
      <c r="K9207" s="5" t="s">
        <v>57309</v>
      </c>
    </row>
    <row r="9208">
      <c r="A9208" s="4">
        <v>45534.43745373843</v>
      </c>
      <c r="B9208" s="5" t="s">
        <v>34</v>
      </c>
      <c r="D9208" s="5" t="s">
        <v>4775</v>
      </c>
      <c r="E9208" s="5" t="s">
        <v>57325</v>
      </c>
      <c r="F9208" s="5" t="s">
        <v>72</v>
      </c>
      <c r="G9208" s="5" t="s">
        <v>57326</v>
      </c>
      <c r="H9208" s="6" t="s">
        <v>57327</v>
      </c>
      <c r="K9208" s="5" t="s">
        <v>57309</v>
      </c>
    </row>
    <row r="9209">
      <c r="A9209" s="4">
        <v>45534.43746527778</v>
      </c>
      <c r="B9209" s="5" t="s">
        <v>34</v>
      </c>
      <c r="D9209" s="5" t="s">
        <v>11527</v>
      </c>
      <c r="E9209" s="5" t="s">
        <v>57330</v>
      </c>
      <c r="F9209" s="5" t="s">
        <v>375</v>
      </c>
      <c r="G9209" s="5" t="s">
        <v>57331</v>
      </c>
      <c r="H9209" s="6" t="s">
        <v>57332</v>
      </c>
      <c r="K9209" s="5" t="s">
        <v>57309</v>
      </c>
    </row>
    <row r="9210">
      <c r="A9210" s="4">
        <v>45534.43753850694</v>
      </c>
      <c r="B9210" s="5" t="s">
        <v>34</v>
      </c>
      <c r="D9210" s="5" t="s">
        <v>267</v>
      </c>
      <c r="E9210" s="5" t="s">
        <v>57335</v>
      </c>
      <c r="F9210" s="5" t="s">
        <v>375</v>
      </c>
      <c r="G9210" s="5" t="s">
        <v>57336</v>
      </c>
      <c r="H9210" s="6" t="s">
        <v>57337</v>
      </c>
      <c r="K9210" s="5" t="s">
        <v>57309</v>
      </c>
    </row>
    <row r="9211">
      <c r="A9211" s="4">
        <v>45534.4375993287</v>
      </c>
      <c r="B9211" s="5" t="s">
        <v>34</v>
      </c>
      <c r="D9211" s="5" t="s">
        <v>11913</v>
      </c>
      <c r="E9211" s="5" t="s">
        <v>57340</v>
      </c>
      <c r="F9211" s="5" t="s">
        <v>524</v>
      </c>
      <c r="G9211" s="5" t="s">
        <v>57341</v>
      </c>
      <c r="H9211" s="6" t="s">
        <v>57342</v>
      </c>
      <c r="K9211" s="5" t="s">
        <v>57309</v>
      </c>
    </row>
    <row r="9212">
      <c r="A9212" s="4">
        <v>45534.43761946759</v>
      </c>
      <c r="B9212" s="5" t="s">
        <v>34</v>
      </c>
      <c r="D9212" s="5" t="s">
        <v>35</v>
      </c>
      <c r="E9212" s="5" t="s">
        <v>57345</v>
      </c>
      <c r="F9212" s="5" t="s">
        <v>72</v>
      </c>
      <c r="G9212" s="5" t="s">
        <v>57346</v>
      </c>
      <c r="H9212" s="6" t="s">
        <v>57347</v>
      </c>
      <c r="K9212" s="5" t="s">
        <v>57309</v>
      </c>
    </row>
    <row r="9213">
      <c r="A9213" s="4">
        <v>45534.43770931713</v>
      </c>
      <c r="B9213" s="5" t="s">
        <v>34</v>
      </c>
      <c r="D9213" s="5" t="s">
        <v>9020</v>
      </c>
      <c r="E9213" s="5" t="s">
        <v>57351</v>
      </c>
      <c r="F9213" s="5" t="s">
        <v>212</v>
      </c>
      <c r="G9213" s="5" t="s">
        <v>57352</v>
      </c>
      <c r="H9213" s="6" t="s">
        <v>57353</v>
      </c>
      <c r="K9213" s="5" t="s">
        <v>57354</v>
      </c>
    </row>
    <row r="9214">
      <c r="A9214" s="4">
        <v>45534.43777045139</v>
      </c>
      <c r="B9214" s="5" t="s">
        <v>19</v>
      </c>
      <c r="C9214" s="5" t="s">
        <v>292</v>
      </c>
      <c r="E9214" s="5" t="s">
        <v>57357</v>
      </c>
      <c r="F9214" s="5" t="s">
        <v>72</v>
      </c>
      <c r="G9214" s="5" t="s">
        <v>57358</v>
      </c>
      <c r="H9214" s="6" t="s">
        <v>57359</v>
      </c>
      <c r="K9214" s="5" t="s">
        <v>57354</v>
      </c>
    </row>
    <row r="9215">
      <c r="A9215" s="4">
        <v>45534.43792364583</v>
      </c>
      <c r="B9215" s="5" t="s">
        <v>34</v>
      </c>
      <c r="D9215" s="5" t="s">
        <v>12978</v>
      </c>
      <c r="E9215" s="5" t="s">
        <v>57362</v>
      </c>
      <c r="F9215" s="5" t="s">
        <v>375</v>
      </c>
      <c r="G9215" s="5" t="s">
        <v>57363</v>
      </c>
      <c r="H9215" s="6" t="s">
        <v>57364</v>
      </c>
      <c r="K9215" s="5" t="s">
        <v>57354</v>
      </c>
    </row>
    <row r="9216">
      <c r="A9216" s="4">
        <v>45534.43813384259</v>
      </c>
      <c r="B9216" s="5" t="s">
        <v>34</v>
      </c>
      <c r="D9216" s="5" t="s">
        <v>4775</v>
      </c>
      <c r="E9216" s="5" t="s">
        <v>57367</v>
      </c>
      <c r="F9216" s="5" t="s">
        <v>212</v>
      </c>
      <c r="G9216" s="5" t="s">
        <v>57368</v>
      </c>
      <c r="H9216" s="6" t="s">
        <v>57369</v>
      </c>
      <c r="K9216" s="5" t="s">
        <v>57370</v>
      </c>
    </row>
    <row r="9217">
      <c r="A9217" s="4">
        <v>45534.438217268515</v>
      </c>
      <c r="B9217" s="5" t="s">
        <v>19</v>
      </c>
      <c r="C9217" s="5" t="s">
        <v>292</v>
      </c>
      <c r="E9217" s="5" t="s">
        <v>57373</v>
      </c>
      <c r="F9217" s="5" t="s">
        <v>37</v>
      </c>
      <c r="G9217" s="5" t="s">
        <v>57374</v>
      </c>
      <c r="H9217" s="6" t="s">
        <v>57375</v>
      </c>
      <c r="K9217" s="5" t="s">
        <v>57376</v>
      </c>
    </row>
    <row r="9218">
      <c r="A9218" s="4">
        <v>45534.43824590278</v>
      </c>
      <c r="B9218" s="5" t="s">
        <v>34</v>
      </c>
      <c r="D9218" s="5" t="s">
        <v>12978</v>
      </c>
      <c r="E9218" s="5" t="s">
        <v>57379</v>
      </c>
      <c r="F9218" s="5" t="s">
        <v>212</v>
      </c>
      <c r="G9218" s="5" t="s">
        <v>57380</v>
      </c>
      <c r="H9218" s="6" t="s">
        <v>57381</v>
      </c>
      <c r="K9218" s="5" t="s">
        <v>57382</v>
      </c>
    </row>
    <row r="9219">
      <c r="A9219" s="4">
        <v>45534.43830925926</v>
      </c>
      <c r="B9219" s="5" t="s">
        <v>34</v>
      </c>
      <c r="D9219" s="5" t="s">
        <v>3849</v>
      </c>
      <c r="E9219" s="5" t="s">
        <v>57385</v>
      </c>
      <c r="F9219" s="5" t="s">
        <v>37</v>
      </c>
      <c r="G9219" s="5" t="s">
        <v>57386</v>
      </c>
      <c r="H9219" s="6" t="s">
        <v>57387</v>
      </c>
      <c r="K9219" s="5" t="s">
        <v>57388</v>
      </c>
    </row>
    <row r="9220">
      <c r="A9220" s="4">
        <v>45534.43835993056</v>
      </c>
      <c r="B9220" s="5" t="s">
        <v>34</v>
      </c>
      <c r="D9220" s="5" t="s">
        <v>14424</v>
      </c>
      <c r="E9220" s="5" t="s">
        <v>57392</v>
      </c>
      <c r="F9220" s="5" t="s">
        <v>108</v>
      </c>
      <c r="G9220" s="5" t="s">
        <v>57393</v>
      </c>
      <c r="H9220" s="6" t="s">
        <v>57394</v>
      </c>
      <c r="K9220" s="5" t="s">
        <v>57395</v>
      </c>
    </row>
    <row r="9221">
      <c r="A9221" s="4">
        <v>45534.438370902775</v>
      </c>
      <c r="B9221" s="5" t="s">
        <v>34</v>
      </c>
      <c r="D9221" s="5" t="s">
        <v>7858</v>
      </c>
      <c r="E9221" s="5" t="s">
        <v>57398</v>
      </c>
      <c r="F9221" s="5" t="s">
        <v>375</v>
      </c>
      <c r="G9221" s="5" t="s">
        <v>57399</v>
      </c>
      <c r="H9221" s="6" t="s">
        <v>57400</v>
      </c>
      <c r="K9221" s="5" t="s">
        <v>57395</v>
      </c>
    </row>
    <row r="9222">
      <c r="A9222" s="4">
        <v>45534.43838630787</v>
      </c>
      <c r="B9222" s="5" t="s">
        <v>34</v>
      </c>
      <c r="D9222" s="5" t="s">
        <v>580</v>
      </c>
      <c r="E9222" s="5" t="s">
        <v>57404</v>
      </c>
      <c r="F9222" s="5" t="s">
        <v>212</v>
      </c>
      <c r="G9222" s="5" t="s">
        <v>57405</v>
      </c>
      <c r="H9222" s="6" t="s">
        <v>57406</v>
      </c>
      <c r="K9222" s="5" t="s">
        <v>57407</v>
      </c>
    </row>
    <row r="9223">
      <c r="A9223" s="4">
        <v>45534.43849771991</v>
      </c>
      <c r="B9223" s="5" t="s">
        <v>34</v>
      </c>
      <c r="D9223" s="5" t="s">
        <v>267</v>
      </c>
      <c r="E9223" s="5" t="s">
        <v>57411</v>
      </c>
      <c r="F9223" s="5" t="s">
        <v>120</v>
      </c>
      <c r="G9223" s="5" t="s">
        <v>57412</v>
      </c>
      <c r="H9223" s="6" t="s">
        <v>57413</v>
      </c>
      <c r="K9223" s="5" t="s">
        <v>57414</v>
      </c>
    </row>
    <row r="9224">
      <c r="A9224" s="4">
        <v>45534.43850939815</v>
      </c>
      <c r="B9224" s="5" t="s">
        <v>19</v>
      </c>
      <c r="C9224" s="5" t="s">
        <v>292</v>
      </c>
      <c r="E9224" s="5" t="s">
        <v>57418</v>
      </c>
      <c r="F9224" s="5" t="s">
        <v>212</v>
      </c>
      <c r="G9224" s="5" t="s">
        <v>57419</v>
      </c>
      <c r="H9224" s="6" t="s">
        <v>57420</v>
      </c>
      <c r="K9224" s="5" t="s">
        <v>57421</v>
      </c>
    </row>
    <row r="9225">
      <c r="A9225" s="4">
        <v>45534.43858652777</v>
      </c>
      <c r="B9225" s="5" t="s">
        <v>34</v>
      </c>
      <c r="D9225" s="5" t="s">
        <v>15401</v>
      </c>
      <c r="E9225" s="5" t="s">
        <v>57425</v>
      </c>
      <c r="F9225" s="5" t="s">
        <v>375</v>
      </c>
      <c r="G9225" s="5" t="s">
        <v>57426</v>
      </c>
      <c r="H9225" s="6" t="s">
        <v>57427</v>
      </c>
      <c r="K9225" s="5" t="s">
        <v>57428</v>
      </c>
    </row>
    <row r="9226">
      <c r="A9226" s="4">
        <v>45534.438732106486</v>
      </c>
      <c r="B9226" s="5" t="s">
        <v>34</v>
      </c>
      <c r="D9226" s="5" t="s">
        <v>1558</v>
      </c>
      <c r="E9226" s="5" t="s">
        <v>57432</v>
      </c>
      <c r="F9226" s="5" t="s">
        <v>37</v>
      </c>
      <c r="G9226" s="5" t="s">
        <v>57433</v>
      </c>
      <c r="H9226" s="6" t="s">
        <v>57434</v>
      </c>
      <c r="K9226" s="5" t="s">
        <v>57435</v>
      </c>
    </row>
    <row r="9227">
      <c r="A9227" s="4">
        <v>45534.43885439815</v>
      </c>
      <c r="B9227" s="5" t="s">
        <v>34</v>
      </c>
      <c r="D9227" s="5" t="s">
        <v>1206</v>
      </c>
      <c r="E9227" s="5" t="s">
        <v>57439</v>
      </c>
      <c r="F9227" s="5" t="s">
        <v>328</v>
      </c>
      <c r="G9227" s="5" t="s">
        <v>57440</v>
      </c>
      <c r="H9227" s="6" t="s">
        <v>57441</v>
      </c>
      <c r="K9227" s="5" t="s">
        <v>57442</v>
      </c>
    </row>
    <row r="9228">
      <c r="A9228" s="4">
        <v>45534.438856099536</v>
      </c>
      <c r="B9228" s="5" t="s">
        <v>34</v>
      </c>
      <c r="D9228" s="5" t="s">
        <v>701</v>
      </c>
      <c r="E9228" s="5" t="s">
        <v>57446</v>
      </c>
      <c r="F9228" s="5" t="s">
        <v>375</v>
      </c>
      <c r="G9228" s="5" t="s">
        <v>57447</v>
      </c>
      <c r="H9228" s="6" t="s">
        <v>57448</v>
      </c>
      <c r="K9228" s="5" t="s">
        <v>57442</v>
      </c>
    </row>
    <row r="9229">
      <c r="A9229" s="4">
        <v>45534.43895052084</v>
      </c>
      <c r="B9229" s="5" t="s">
        <v>34</v>
      </c>
      <c r="D9229" s="5" t="s">
        <v>12978</v>
      </c>
      <c r="E9229" s="5" t="s">
        <v>57452</v>
      </c>
      <c r="F9229" s="5" t="s">
        <v>212</v>
      </c>
      <c r="G9229" s="5" t="s">
        <v>57453</v>
      </c>
      <c r="H9229" s="6" t="s">
        <v>57454</v>
      </c>
      <c r="K9229" s="5" t="s">
        <v>57455</v>
      </c>
    </row>
    <row r="9230">
      <c r="A9230" s="4">
        <v>45534.439015509255</v>
      </c>
      <c r="B9230" s="5" t="s">
        <v>19</v>
      </c>
      <c r="C9230" s="5" t="s">
        <v>292</v>
      </c>
      <c r="E9230" s="5" t="s">
        <v>57459</v>
      </c>
      <c r="F9230" s="5" t="s">
        <v>108</v>
      </c>
      <c r="G9230" s="5" t="s">
        <v>57460</v>
      </c>
      <c r="H9230" s="6" t="s">
        <v>57461</v>
      </c>
      <c r="K9230" s="5" t="s">
        <v>57462</v>
      </c>
    </row>
    <row r="9231">
      <c r="A9231" s="4">
        <v>45534.43911866898</v>
      </c>
      <c r="B9231" s="5" t="s">
        <v>34</v>
      </c>
      <c r="D9231" s="5" t="s">
        <v>1206</v>
      </c>
      <c r="E9231" s="5" t="s">
        <v>57466</v>
      </c>
      <c r="F9231" s="5" t="s">
        <v>37</v>
      </c>
      <c r="G9231" s="5" t="s">
        <v>57467</v>
      </c>
      <c r="H9231" s="6" t="s">
        <v>57468</v>
      </c>
      <c r="K9231" s="5" t="s">
        <v>57469</v>
      </c>
    </row>
    <row r="9232">
      <c r="A9232" s="4">
        <v>45534.43918185185</v>
      </c>
      <c r="B9232" s="5" t="s">
        <v>34</v>
      </c>
      <c r="D9232" s="5" t="s">
        <v>35</v>
      </c>
      <c r="E9232" s="5" t="s">
        <v>57473</v>
      </c>
      <c r="F9232" s="5" t="s">
        <v>212</v>
      </c>
      <c r="G9232" s="5" t="s">
        <v>57474</v>
      </c>
      <c r="H9232" s="6" t="s">
        <v>57475</v>
      </c>
      <c r="K9232" s="5" t="s">
        <v>57476</v>
      </c>
    </row>
    <row r="9233">
      <c r="A9233" s="4">
        <v>45534.43928331019</v>
      </c>
      <c r="B9233" s="5" t="s">
        <v>19</v>
      </c>
      <c r="C9233" s="5" t="s">
        <v>5058</v>
      </c>
      <c r="E9233" s="5" t="s">
        <v>57480</v>
      </c>
      <c r="F9233" s="5" t="s">
        <v>108</v>
      </c>
      <c r="G9233" s="5" t="s">
        <v>57481</v>
      </c>
      <c r="H9233" s="6" t="s">
        <v>57482</v>
      </c>
      <c r="K9233" s="5" t="s">
        <v>57483</v>
      </c>
    </row>
    <row r="9234">
      <c r="A9234" s="4">
        <v>45534.43933491898</v>
      </c>
      <c r="B9234" s="5" t="s">
        <v>34</v>
      </c>
      <c r="D9234" s="5" t="s">
        <v>12026</v>
      </c>
      <c r="E9234" s="5" t="s">
        <v>57487</v>
      </c>
      <c r="F9234" s="5" t="s">
        <v>37</v>
      </c>
      <c r="G9234" s="5" t="s">
        <v>57488</v>
      </c>
      <c r="H9234" s="6" t="s">
        <v>57489</v>
      </c>
      <c r="K9234" s="5" t="s">
        <v>57490</v>
      </c>
    </row>
    <row r="9235">
      <c r="A9235" s="4">
        <v>45534.43940123843</v>
      </c>
      <c r="B9235" s="5" t="s">
        <v>34</v>
      </c>
      <c r="D9235" s="5" t="s">
        <v>9020</v>
      </c>
      <c r="E9235" s="5" t="s">
        <v>57494</v>
      </c>
      <c r="F9235" s="5" t="s">
        <v>37</v>
      </c>
      <c r="G9235" s="5" t="s">
        <v>57495</v>
      </c>
      <c r="H9235" s="6" t="s">
        <v>57496</v>
      </c>
      <c r="K9235" s="5" t="s">
        <v>57497</v>
      </c>
    </row>
    <row r="9236">
      <c r="A9236" s="4">
        <v>45534.439436932866</v>
      </c>
      <c r="B9236" s="5" t="s">
        <v>34</v>
      </c>
      <c r="D9236" s="5" t="s">
        <v>1206</v>
      </c>
      <c r="E9236" s="5" t="s">
        <v>57501</v>
      </c>
      <c r="F9236" s="5" t="s">
        <v>108</v>
      </c>
      <c r="G9236" s="5" t="s">
        <v>57502</v>
      </c>
      <c r="H9236" s="6" t="s">
        <v>57503</v>
      </c>
      <c r="K9236" s="5" t="s">
        <v>57504</v>
      </c>
    </row>
    <row r="9237">
      <c r="A9237" s="4">
        <v>45534.43945465278</v>
      </c>
      <c r="B9237" s="5" t="s">
        <v>34</v>
      </c>
      <c r="D9237" s="5" t="s">
        <v>1558</v>
      </c>
      <c r="E9237" s="5" t="s">
        <v>57508</v>
      </c>
      <c r="F9237" s="5" t="s">
        <v>212</v>
      </c>
      <c r="G9237" s="5" t="s">
        <v>57509</v>
      </c>
      <c r="H9237" s="6" t="s">
        <v>57510</v>
      </c>
      <c r="K9237" s="5" t="s">
        <v>57504</v>
      </c>
    </row>
    <row r="9238">
      <c r="A9238" s="4">
        <v>45534.43946171296</v>
      </c>
      <c r="B9238" s="5" t="s">
        <v>19</v>
      </c>
      <c r="C9238" s="5" t="s">
        <v>292</v>
      </c>
      <c r="E9238" s="5" t="s">
        <v>57514</v>
      </c>
      <c r="F9238" s="5" t="s">
        <v>212</v>
      </c>
      <c r="G9238" s="5" t="s">
        <v>57515</v>
      </c>
      <c r="H9238" s="6" t="s">
        <v>57516</v>
      </c>
      <c r="K9238" s="5" t="s">
        <v>57504</v>
      </c>
    </row>
    <row r="9239">
      <c r="A9239" s="4">
        <v>45534.43946238426</v>
      </c>
      <c r="B9239" s="5" t="s">
        <v>34</v>
      </c>
      <c r="D9239" s="5" t="s">
        <v>1558</v>
      </c>
      <c r="E9239" s="5" t="s">
        <v>57520</v>
      </c>
      <c r="F9239" s="5" t="s">
        <v>375</v>
      </c>
      <c r="G9239" s="5" t="s">
        <v>57521</v>
      </c>
      <c r="H9239" s="6" t="s">
        <v>57522</v>
      </c>
      <c r="K9239" s="5" t="s">
        <v>57504</v>
      </c>
    </row>
    <row r="9240">
      <c r="A9240" s="4">
        <v>45534.43956083333</v>
      </c>
      <c r="B9240" s="5" t="s">
        <v>34</v>
      </c>
      <c r="D9240" s="5" t="s">
        <v>35</v>
      </c>
      <c r="E9240" s="5" t="s">
        <v>57526</v>
      </c>
      <c r="F9240" s="5" t="s">
        <v>120</v>
      </c>
      <c r="G9240" s="5" t="s">
        <v>57527</v>
      </c>
      <c r="H9240" s="6" t="s">
        <v>57528</v>
      </c>
      <c r="K9240" s="5" t="s">
        <v>57529</v>
      </c>
    </row>
    <row r="9241">
      <c r="A9241" s="4">
        <v>45534.43970739583</v>
      </c>
      <c r="B9241" s="5" t="s">
        <v>34</v>
      </c>
      <c r="D9241" s="5" t="s">
        <v>14424</v>
      </c>
      <c r="E9241" s="5" t="s">
        <v>57533</v>
      </c>
      <c r="F9241" s="5" t="s">
        <v>375</v>
      </c>
      <c r="G9241" s="5" t="s">
        <v>57534</v>
      </c>
      <c r="H9241" s="6" t="s">
        <v>57535</v>
      </c>
      <c r="K9241" s="5" t="s">
        <v>57536</v>
      </c>
    </row>
    <row r="9242">
      <c r="A9242" s="4">
        <v>45534.43975226852</v>
      </c>
      <c r="B9242" s="5" t="s">
        <v>34</v>
      </c>
      <c r="D9242" s="5" t="s">
        <v>522</v>
      </c>
      <c r="E9242" s="5" t="s">
        <v>57540</v>
      </c>
      <c r="F9242" s="5" t="s">
        <v>212</v>
      </c>
      <c r="G9242" s="5" t="s">
        <v>57541</v>
      </c>
      <c r="H9242" s="6" t="s">
        <v>57542</v>
      </c>
      <c r="K9242" s="5" t="s">
        <v>57536</v>
      </c>
    </row>
    <row r="9243">
      <c r="A9243" s="4">
        <v>45534.43990832176</v>
      </c>
      <c r="B9243" s="5" t="s">
        <v>19</v>
      </c>
      <c r="C9243" s="5" t="s">
        <v>292</v>
      </c>
      <c r="E9243" s="5" t="s">
        <v>57546</v>
      </c>
      <c r="F9243" s="5" t="s">
        <v>37</v>
      </c>
      <c r="G9243" s="5" t="s">
        <v>57547</v>
      </c>
      <c r="H9243" s="6" t="s">
        <v>57548</v>
      </c>
      <c r="K9243" s="5" t="s">
        <v>57536</v>
      </c>
    </row>
    <row r="9244">
      <c r="A9244" s="4">
        <v>45534.43994542824</v>
      </c>
      <c r="B9244" s="5" t="s">
        <v>34</v>
      </c>
      <c r="D9244" s="5" t="s">
        <v>12978</v>
      </c>
      <c r="E9244" s="5" t="s">
        <v>57552</v>
      </c>
      <c r="F9244" s="5" t="s">
        <v>375</v>
      </c>
      <c r="G9244" s="5" t="s">
        <v>57553</v>
      </c>
      <c r="H9244" s="6" t="s">
        <v>57554</v>
      </c>
      <c r="K9244" s="5" t="s">
        <v>57536</v>
      </c>
    </row>
    <row r="9245">
      <c r="A9245" s="4">
        <v>45534.43995251157</v>
      </c>
      <c r="B9245" s="5" t="s">
        <v>19</v>
      </c>
      <c r="C9245" s="5" t="s">
        <v>292</v>
      </c>
      <c r="E9245" s="5" t="s">
        <v>57558</v>
      </c>
      <c r="F9245" s="5" t="s">
        <v>5566</v>
      </c>
      <c r="G9245" s="5" t="s">
        <v>57559</v>
      </c>
      <c r="H9245" s="6" t="s">
        <v>57560</v>
      </c>
      <c r="K9245" s="5" t="s">
        <v>57536</v>
      </c>
    </row>
    <row r="9246">
      <c r="A9246" s="4">
        <v>45534.440246620376</v>
      </c>
      <c r="B9246" s="5" t="s">
        <v>34</v>
      </c>
      <c r="D9246" s="5" t="s">
        <v>1206</v>
      </c>
      <c r="E9246" s="5" t="s">
        <v>57564</v>
      </c>
      <c r="F9246" s="5" t="s">
        <v>212</v>
      </c>
      <c r="G9246" s="5" t="s">
        <v>57565</v>
      </c>
      <c r="H9246" s="6" t="s">
        <v>57566</v>
      </c>
      <c r="K9246" s="5" t="s">
        <v>57536</v>
      </c>
    </row>
    <row r="9247">
      <c r="A9247" s="4">
        <v>45534.44038869213</v>
      </c>
      <c r="B9247" s="5" t="s">
        <v>34</v>
      </c>
      <c r="D9247" s="5" t="s">
        <v>1206</v>
      </c>
      <c r="E9247" s="5" t="s">
        <v>57570</v>
      </c>
      <c r="F9247" s="5" t="s">
        <v>37</v>
      </c>
      <c r="G9247" s="5" t="s">
        <v>57571</v>
      </c>
      <c r="H9247" s="6" t="s">
        <v>57572</v>
      </c>
      <c r="K9247" s="5" t="s">
        <v>57536</v>
      </c>
    </row>
    <row r="9248">
      <c r="A9248" s="4">
        <v>45534.44054484954</v>
      </c>
      <c r="B9248" s="5" t="s">
        <v>34</v>
      </c>
      <c r="D9248" s="5" t="s">
        <v>996</v>
      </c>
      <c r="E9248" s="5" t="s">
        <v>57576</v>
      </c>
      <c r="F9248" s="5" t="s">
        <v>37</v>
      </c>
      <c r="G9248" s="5" t="s">
        <v>57577</v>
      </c>
      <c r="H9248" s="6" t="s">
        <v>57578</v>
      </c>
      <c r="K9248" s="5" t="s">
        <v>57536</v>
      </c>
    </row>
    <row r="9249">
      <c r="A9249" s="4">
        <v>45534.44058303241</v>
      </c>
      <c r="B9249" s="5" t="s">
        <v>34</v>
      </c>
      <c r="D9249" s="5" t="s">
        <v>9020</v>
      </c>
      <c r="E9249" s="5" t="s">
        <v>57582</v>
      </c>
      <c r="F9249" s="5" t="s">
        <v>37</v>
      </c>
      <c r="G9249" s="5" t="s">
        <v>57583</v>
      </c>
      <c r="H9249" s="6" t="s">
        <v>57584</v>
      </c>
      <c r="K9249" s="5" t="s">
        <v>57536</v>
      </c>
    </row>
    <row r="9250">
      <c r="A9250" s="4">
        <v>45534.440692222226</v>
      </c>
      <c r="B9250" s="5" t="s">
        <v>34</v>
      </c>
      <c r="D9250" s="5" t="s">
        <v>9020</v>
      </c>
      <c r="E9250" s="5" t="s">
        <v>57588</v>
      </c>
      <c r="F9250" s="5" t="s">
        <v>524</v>
      </c>
      <c r="G9250" s="5" t="s">
        <v>57589</v>
      </c>
      <c r="H9250" s="6" t="s">
        <v>57590</v>
      </c>
      <c r="K9250" s="5" t="s">
        <v>57536</v>
      </c>
    </row>
    <row r="9251">
      <c r="A9251" s="4">
        <v>45534.440697858794</v>
      </c>
      <c r="B9251" s="5" t="s">
        <v>19</v>
      </c>
      <c r="C9251" s="5" t="s">
        <v>83</v>
      </c>
      <c r="E9251" s="5" t="s">
        <v>57594</v>
      </c>
      <c r="F9251" s="5" t="s">
        <v>212</v>
      </c>
      <c r="G9251" s="5" t="s">
        <v>57595</v>
      </c>
      <c r="H9251" s="6" t="s">
        <v>57596</v>
      </c>
      <c r="K9251" s="5" t="s">
        <v>57536</v>
      </c>
    </row>
    <row r="9252">
      <c r="A9252" s="4">
        <v>45534.440826875</v>
      </c>
      <c r="B9252" s="5" t="s">
        <v>34</v>
      </c>
      <c r="D9252" s="5" t="s">
        <v>701</v>
      </c>
      <c r="E9252" s="5" t="s">
        <v>57600</v>
      </c>
      <c r="F9252" s="5" t="s">
        <v>108</v>
      </c>
      <c r="G9252" s="5" t="s">
        <v>57601</v>
      </c>
      <c r="H9252" s="6" t="s">
        <v>57602</v>
      </c>
      <c r="K9252" s="5" t="s">
        <v>57536</v>
      </c>
    </row>
    <row r="9253">
      <c r="A9253" s="4">
        <v>45534.44084689815</v>
      </c>
      <c r="B9253" s="5" t="s">
        <v>34</v>
      </c>
      <c r="D9253" s="5" t="s">
        <v>2903</v>
      </c>
      <c r="E9253" s="5" t="s">
        <v>57606</v>
      </c>
      <c r="F9253" s="5" t="s">
        <v>108</v>
      </c>
      <c r="G9253" s="5" t="s">
        <v>57607</v>
      </c>
      <c r="H9253" s="6" t="s">
        <v>57608</v>
      </c>
      <c r="K9253" s="5" t="s">
        <v>57536</v>
      </c>
    </row>
    <row r="9254">
      <c r="A9254" s="4">
        <v>45534.440852314816</v>
      </c>
      <c r="B9254" s="5" t="s">
        <v>19</v>
      </c>
      <c r="C9254" s="5" t="s">
        <v>5058</v>
      </c>
      <c r="E9254" s="5" t="s">
        <v>57610</v>
      </c>
      <c r="F9254" s="5" t="s">
        <v>37</v>
      </c>
      <c r="G9254" s="5" t="s">
        <v>57611</v>
      </c>
      <c r="H9254" s="6" t="s">
        <v>57612</v>
      </c>
      <c r="K9254" s="5" t="s">
        <v>57536</v>
      </c>
    </row>
    <row r="9255">
      <c r="A9255" s="4">
        <v>45534.44088603009</v>
      </c>
      <c r="B9255" s="5" t="s">
        <v>34</v>
      </c>
      <c r="D9255" s="5" t="s">
        <v>267</v>
      </c>
      <c r="E9255" s="5" t="s">
        <v>57613</v>
      </c>
      <c r="F9255" s="5" t="s">
        <v>120</v>
      </c>
      <c r="G9255" s="5" t="s">
        <v>57614</v>
      </c>
      <c r="H9255" s="6" t="s">
        <v>57615</v>
      </c>
      <c r="K9255" s="5" t="s">
        <v>57536</v>
      </c>
    </row>
    <row r="9256">
      <c r="A9256" s="4">
        <v>45534.44124771991</v>
      </c>
      <c r="B9256" s="5" t="s">
        <v>34</v>
      </c>
      <c r="D9256" s="5" t="s">
        <v>10297</v>
      </c>
      <c r="E9256" s="5" t="s">
        <v>57616</v>
      </c>
      <c r="F9256" s="5" t="s">
        <v>375</v>
      </c>
      <c r="G9256" s="5" t="s">
        <v>57617</v>
      </c>
      <c r="H9256" s="6" t="s">
        <v>57618</v>
      </c>
      <c r="K9256" s="5" t="s">
        <v>57619</v>
      </c>
    </row>
    <row r="9257">
      <c r="A9257" s="4">
        <v>45534.44130871528</v>
      </c>
      <c r="B9257" s="5" t="s">
        <v>34</v>
      </c>
      <c r="D9257" s="5" t="s">
        <v>4775</v>
      </c>
      <c r="E9257" s="5" t="s">
        <v>57620</v>
      </c>
      <c r="F9257" s="5" t="s">
        <v>212</v>
      </c>
      <c r="G9257" s="5" t="s">
        <v>57621</v>
      </c>
      <c r="H9257" s="6" t="s">
        <v>57622</v>
      </c>
      <c r="K9257" s="5" t="s">
        <v>57623</v>
      </c>
    </row>
    <row r="9258">
      <c r="A9258" s="4">
        <v>45534.441336840275</v>
      </c>
      <c r="B9258" s="5" t="s">
        <v>34</v>
      </c>
      <c r="D9258" s="5" t="s">
        <v>9020</v>
      </c>
      <c r="E9258" s="5" t="s">
        <v>57624</v>
      </c>
      <c r="F9258" s="5" t="s">
        <v>37</v>
      </c>
      <c r="G9258" s="5" t="s">
        <v>57625</v>
      </c>
      <c r="H9258" s="6" t="s">
        <v>57626</v>
      </c>
      <c r="K9258" s="5" t="s">
        <v>57623</v>
      </c>
    </row>
    <row r="9259">
      <c r="A9259" s="4">
        <v>45534.44141053241</v>
      </c>
      <c r="B9259" s="5" t="s">
        <v>34</v>
      </c>
      <c r="D9259" s="5" t="s">
        <v>35</v>
      </c>
      <c r="E9259" s="5" t="s">
        <v>57627</v>
      </c>
      <c r="F9259" s="5" t="s">
        <v>120</v>
      </c>
      <c r="G9259" s="5" t="s">
        <v>57628</v>
      </c>
      <c r="H9259" s="6" t="s">
        <v>57629</v>
      </c>
      <c r="K9259" s="5" t="s">
        <v>57630</v>
      </c>
    </row>
    <row r="9260">
      <c r="A9260" s="4">
        <v>45534.44158618056</v>
      </c>
      <c r="B9260" s="5" t="s">
        <v>34</v>
      </c>
      <c r="D9260" s="5" t="s">
        <v>12978</v>
      </c>
      <c r="E9260" s="5" t="s">
        <v>57631</v>
      </c>
      <c r="F9260" s="5" t="s">
        <v>37</v>
      </c>
      <c r="G9260" s="5" t="s">
        <v>57632</v>
      </c>
      <c r="H9260" s="6" t="s">
        <v>57633</v>
      </c>
      <c r="K9260" s="5" t="s">
        <v>57630</v>
      </c>
    </row>
    <row r="9261">
      <c r="A9261" s="4">
        <v>45534.441616192125</v>
      </c>
      <c r="B9261" s="5" t="s">
        <v>19</v>
      </c>
      <c r="C9261" s="5" t="s">
        <v>83</v>
      </c>
      <c r="E9261" s="5" t="s">
        <v>57634</v>
      </c>
      <c r="F9261" s="5" t="s">
        <v>72</v>
      </c>
      <c r="G9261" s="5" t="s">
        <v>57635</v>
      </c>
      <c r="H9261" s="6" t="s">
        <v>57636</v>
      </c>
      <c r="K9261" s="5" t="s">
        <v>57630</v>
      </c>
    </row>
    <row r="9262">
      <c r="A9262" s="4">
        <v>45534.44172569444</v>
      </c>
      <c r="B9262" s="5" t="s">
        <v>34</v>
      </c>
      <c r="D9262" s="5" t="s">
        <v>4775</v>
      </c>
      <c r="E9262" s="5" t="s">
        <v>57637</v>
      </c>
      <c r="F9262" s="5" t="s">
        <v>212</v>
      </c>
      <c r="G9262" s="5" t="s">
        <v>57638</v>
      </c>
      <c r="H9262" s="6" t="s">
        <v>57639</v>
      </c>
      <c r="K9262" s="5" t="s">
        <v>57630</v>
      </c>
    </row>
    <row r="9263">
      <c r="A9263" s="4">
        <v>45534.441789930555</v>
      </c>
      <c r="B9263" s="5" t="s">
        <v>34</v>
      </c>
      <c r="D9263" s="5" t="s">
        <v>11527</v>
      </c>
      <c r="E9263" s="5" t="s">
        <v>57640</v>
      </c>
      <c r="F9263" s="5" t="s">
        <v>375</v>
      </c>
      <c r="G9263" s="5" t="s">
        <v>57641</v>
      </c>
      <c r="H9263" s="6" t="s">
        <v>57642</v>
      </c>
      <c r="K9263" s="5" t="s">
        <v>57630</v>
      </c>
    </row>
    <row r="9264">
      <c r="A9264" s="4">
        <v>45534.44180017361</v>
      </c>
      <c r="B9264" s="5" t="s">
        <v>34</v>
      </c>
      <c r="D9264" s="5" t="s">
        <v>2903</v>
      </c>
      <c r="E9264" s="5" t="s">
        <v>57643</v>
      </c>
      <c r="F9264" s="5" t="s">
        <v>715</v>
      </c>
      <c r="G9264" s="5" t="s">
        <v>57644</v>
      </c>
      <c r="H9264" s="6" t="s">
        <v>57645</v>
      </c>
      <c r="K9264" s="5" t="s">
        <v>57630</v>
      </c>
    </row>
    <row r="9265">
      <c r="A9265" s="4">
        <v>45534.44195959491</v>
      </c>
      <c r="B9265" s="5" t="s">
        <v>34</v>
      </c>
      <c r="D9265" s="5" t="s">
        <v>10297</v>
      </c>
      <c r="E9265" s="5" t="s">
        <v>57646</v>
      </c>
      <c r="F9265" s="5" t="s">
        <v>375</v>
      </c>
      <c r="G9265" s="5" t="s">
        <v>57647</v>
      </c>
      <c r="H9265" s="6" t="s">
        <v>57648</v>
      </c>
      <c r="K9265" s="5" t="s">
        <v>57630</v>
      </c>
    </row>
    <row r="9266">
      <c r="A9266" s="4">
        <v>45534.442017696754</v>
      </c>
      <c r="B9266" s="5" t="s">
        <v>34</v>
      </c>
      <c r="D9266" s="5" t="s">
        <v>701</v>
      </c>
      <c r="E9266" s="5" t="s">
        <v>57649</v>
      </c>
      <c r="F9266" s="5" t="s">
        <v>212</v>
      </c>
      <c r="G9266" s="5" t="s">
        <v>57650</v>
      </c>
      <c r="H9266" s="6" t="s">
        <v>57651</v>
      </c>
      <c r="K9266" s="5" t="s">
        <v>57630</v>
      </c>
    </row>
    <row r="9267">
      <c r="A9267" s="4">
        <v>45534.44202241898</v>
      </c>
      <c r="B9267" s="5" t="s">
        <v>34</v>
      </c>
      <c r="D9267" s="5" t="s">
        <v>1206</v>
      </c>
      <c r="E9267" s="5" t="s">
        <v>57652</v>
      </c>
      <c r="F9267" s="5" t="s">
        <v>37</v>
      </c>
      <c r="G9267" s="5" t="s">
        <v>57653</v>
      </c>
      <c r="H9267" s="6" t="s">
        <v>57654</v>
      </c>
      <c r="K9267" s="5" t="s">
        <v>57630</v>
      </c>
    </row>
    <row r="9268">
      <c r="A9268" s="4">
        <v>45534.44221317129</v>
      </c>
      <c r="B9268" s="5" t="s">
        <v>34</v>
      </c>
      <c r="D9268" s="5" t="s">
        <v>12010</v>
      </c>
      <c r="E9268" s="5" t="s">
        <v>57655</v>
      </c>
      <c r="F9268" s="5" t="s">
        <v>37</v>
      </c>
      <c r="G9268" s="5" t="s">
        <v>57656</v>
      </c>
      <c r="H9268" s="6" t="s">
        <v>57657</v>
      </c>
      <c r="K9268" s="5" t="s">
        <v>57630</v>
      </c>
    </row>
    <row r="9269">
      <c r="A9269" s="4">
        <v>45534.44223756944</v>
      </c>
      <c r="B9269" s="5" t="s">
        <v>34</v>
      </c>
      <c r="D9269" s="5" t="s">
        <v>10297</v>
      </c>
      <c r="E9269" s="5" t="s">
        <v>57658</v>
      </c>
      <c r="F9269" s="5" t="s">
        <v>108</v>
      </c>
      <c r="G9269" s="5" t="s">
        <v>57659</v>
      </c>
      <c r="H9269" s="6" t="s">
        <v>57660</v>
      </c>
      <c r="K9269" s="5" t="s">
        <v>57630</v>
      </c>
    </row>
    <row r="9270">
      <c r="A9270" s="4">
        <v>45534.44227677083</v>
      </c>
      <c r="B9270" s="5" t="s">
        <v>34</v>
      </c>
      <c r="D9270" s="5" t="s">
        <v>15401</v>
      </c>
      <c r="E9270" s="5" t="s">
        <v>57661</v>
      </c>
      <c r="F9270" s="5" t="s">
        <v>328</v>
      </c>
      <c r="G9270" s="5" t="s">
        <v>57662</v>
      </c>
      <c r="H9270" s="6" t="s">
        <v>57663</v>
      </c>
      <c r="K9270" s="5" t="s">
        <v>57630</v>
      </c>
    </row>
    <row r="9271">
      <c r="A9271" s="4">
        <v>45534.44230743055</v>
      </c>
      <c r="B9271" s="5" t="s">
        <v>34</v>
      </c>
      <c r="D9271" s="5" t="s">
        <v>4775</v>
      </c>
      <c r="E9271" s="5" t="s">
        <v>57664</v>
      </c>
      <c r="F9271" s="5" t="s">
        <v>375</v>
      </c>
      <c r="G9271" s="5" t="s">
        <v>57665</v>
      </c>
      <c r="H9271" s="6" t="s">
        <v>57666</v>
      </c>
      <c r="K9271" s="5" t="s">
        <v>57630</v>
      </c>
    </row>
    <row r="9272">
      <c r="A9272" s="4">
        <v>45534.44238429399</v>
      </c>
      <c r="B9272" s="5" t="s">
        <v>34</v>
      </c>
      <c r="D9272" s="5" t="s">
        <v>1206</v>
      </c>
      <c r="E9272" s="5" t="s">
        <v>57667</v>
      </c>
      <c r="F9272" s="5" t="s">
        <v>524</v>
      </c>
      <c r="G9272" s="5" t="s">
        <v>57668</v>
      </c>
      <c r="H9272" s="6" t="s">
        <v>57669</v>
      </c>
      <c r="K9272" s="5" t="s">
        <v>57630</v>
      </c>
    </row>
    <row r="9273">
      <c r="A9273" s="4">
        <v>45534.44246747685</v>
      </c>
      <c r="B9273" s="5" t="s">
        <v>34</v>
      </c>
      <c r="D9273" s="5" t="s">
        <v>1456</v>
      </c>
      <c r="E9273" s="5" t="s">
        <v>57670</v>
      </c>
      <c r="F9273" s="5" t="s">
        <v>212</v>
      </c>
      <c r="G9273" s="5" t="s">
        <v>57671</v>
      </c>
      <c r="H9273" s="6" t="s">
        <v>57672</v>
      </c>
      <c r="K9273" s="5" t="s">
        <v>57630</v>
      </c>
    </row>
    <row r="9274">
      <c r="A9274" s="4">
        <v>45534.44250444444</v>
      </c>
      <c r="B9274" s="5" t="s">
        <v>19</v>
      </c>
      <c r="C9274" s="5" t="s">
        <v>3301</v>
      </c>
      <c r="E9274" s="5" t="s">
        <v>57673</v>
      </c>
      <c r="F9274" s="5" t="s">
        <v>524</v>
      </c>
      <c r="G9274" s="5" t="s">
        <v>57674</v>
      </c>
      <c r="H9274" s="6" t="s">
        <v>57675</v>
      </c>
      <c r="K9274" s="5" t="s">
        <v>57630</v>
      </c>
    </row>
    <row r="9275">
      <c r="A9275" s="4">
        <v>45534.44251043981</v>
      </c>
      <c r="B9275" s="5" t="s">
        <v>34</v>
      </c>
      <c r="D9275" s="5" t="s">
        <v>701</v>
      </c>
      <c r="E9275" s="5" t="s">
        <v>57676</v>
      </c>
      <c r="F9275" s="5" t="s">
        <v>108</v>
      </c>
      <c r="G9275" s="5" t="s">
        <v>57677</v>
      </c>
      <c r="H9275" s="6" t="s">
        <v>57678</v>
      </c>
      <c r="K9275" s="5" t="s">
        <v>57630</v>
      </c>
    </row>
    <row r="9276">
      <c r="A9276" s="4">
        <v>45534.442542476856</v>
      </c>
      <c r="B9276" s="5" t="s">
        <v>34</v>
      </c>
      <c r="D9276" s="5" t="s">
        <v>7858</v>
      </c>
      <c r="E9276" s="5" t="s">
        <v>57679</v>
      </c>
      <c r="F9276" s="5" t="s">
        <v>72</v>
      </c>
      <c r="G9276" s="5" t="s">
        <v>57680</v>
      </c>
      <c r="H9276" s="6" t="s">
        <v>57681</v>
      </c>
      <c r="K9276" s="5" t="s">
        <v>57630</v>
      </c>
    </row>
    <row r="9277">
      <c r="A9277" s="4">
        <v>45534.442575</v>
      </c>
      <c r="B9277" s="5" t="s">
        <v>34</v>
      </c>
      <c r="D9277" s="5" t="s">
        <v>1206</v>
      </c>
      <c r="E9277" s="5" t="s">
        <v>57682</v>
      </c>
      <c r="F9277" s="5" t="s">
        <v>212</v>
      </c>
      <c r="G9277" s="5" t="s">
        <v>57683</v>
      </c>
      <c r="H9277" s="6" t="s">
        <v>57684</v>
      </c>
      <c r="K9277" s="5" t="s">
        <v>57630</v>
      </c>
    </row>
    <row r="9278">
      <c r="A9278" s="4">
        <v>45534.44270912037</v>
      </c>
      <c r="B9278" s="5" t="s">
        <v>34</v>
      </c>
      <c r="D9278" s="5" t="s">
        <v>4775</v>
      </c>
      <c r="E9278" s="5" t="s">
        <v>29043</v>
      </c>
      <c r="F9278" s="5" t="s">
        <v>328</v>
      </c>
      <c r="G9278" s="5" t="s">
        <v>29044</v>
      </c>
      <c r="H9278" s="6" t="s">
        <v>57685</v>
      </c>
      <c r="K9278" s="5" t="s">
        <v>57630</v>
      </c>
    </row>
    <row r="9279">
      <c r="A9279" s="4">
        <v>45534.44295251157</v>
      </c>
      <c r="B9279" s="5" t="s">
        <v>34</v>
      </c>
      <c r="D9279" s="5" t="s">
        <v>701</v>
      </c>
      <c r="E9279" s="5" t="s">
        <v>57686</v>
      </c>
      <c r="F9279" s="5" t="s">
        <v>212</v>
      </c>
      <c r="G9279" s="5" t="s">
        <v>57687</v>
      </c>
      <c r="H9279" s="6" t="s">
        <v>57688</v>
      </c>
      <c r="K9279" s="5" t="s">
        <v>57630</v>
      </c>
    </row>
    <row r="9280">
      <c r="A9280" s="4">
        <v>45534.44308104167</v>
      </c>
      <c r="B9280" s="5" t="s">
        <v>34</v>
      </c>
      <c r="D9280" s="5" t="s">
        <v>1206</v>
      </c>
      <c r="E9280" s="5" t="s">
        <v>57689</v>
      </c>
      <c r="F9280" s="5" t="s">
        <v>212</v>
      </c>
      <c r="G9280" s="5" t="s">
        <v>57690</v>
      </c>
      <c r="H9280" s="6" t="s">
        <v>57691</v>
      </c>
      <c r="K9280" s="5" t="s">
        <v>57692</v>
      </c>
    </row>
    <row r="9281">
      <c r="A9281" s="4">
        <v>45534.443142731485</v>
      </c>
      <c r="B9281" s="5" t="s">
        <v>19</v>
      </c>
      <c r="C9281" s="5" t="s">
        <v>3471</v>
      </c>
      <c r="E9281" s="5" t="s">
        <v>57693</v>
      </c>
      <c r="F9281" s="5" t="s">
        <v>37</v>
      </c>
      <c r="G9281" s="5" t="s">
        <v>57694</v>
      </c>
      <c r="H9281" s="6" t="s">
        <v>57695</v>
      </c>
      <c r="K9281" s="5" t="s">
        <v>57696</v>
      </c>
    </row>
    <row r="9282">
      <c r="A9282" s="4">
        <v>45534.44314466435</v>
      </c>
      <c r="B9282" s="5" t="s">
        <v>19</v>
      </c>
      <c r="C9282" s="5" t="s">
        <v>292</v>
      </c>
      <c r="E9282" s="5" t="s">
        <v>57697</v>
      </c>
      <c r="F9282" s="5" t="s">
        <v>37</v>
      </c>
      <c r="G9282" s="5" t="s">
        <v>57698</v>
      </c>
      <c r="H9282" s="6" t="s">
        <v>57699</v>
      </c>
      <c r="K9282" s="5" t="s">
        <v>57696</v>
      </c>
    </row>
    <row r="9283">
      <c r="A9283" s="4">
        <v>45534.44320231481</v>
      </c>
      <c r="B9283" s="5" t="s">
        <v>34</v>
      </c>
      <c r="D9283" s="5" t="s">
        <v>10444</v>
      </c>
      <c r="E9283" s="5" t="s">
        <v>57700</v>
      </c>
      <c r="F9283" s="5" t="s">
        <v>22</v>
      </c>
      <c r="G9283" s="5" t="s">
        <v>57701</v>
      </c>
      <c r="H9283" s="6" t="s">
        <v>57702</v>
      </c>
      <c r="K9283" s="5" t="s">
        <v>57703</v>
      </c>
    </row>
    <row r="9284">
      <c r="A9284" s="4">
        <v>45534.443208819444</v>
      </c>
      <c r="B9284" s="5" t="s">
        <v>34</v>
      </c>
      <c r="D9284" s="5" t="s">
        <v>604</v>
      </c>
      <c r="E9284" s="5" t="s">
        <v>57704</v>
      </c>
      <c r="F9284" s="5" t="s">
        <v>120</v>
      </c>
      <c r="G9284" s="5" t="s">
        <v>57705</v>
      </c>
      <c r="H9284" s="6" t="s">
        <v>57706</v>
      </c>
      <c r="K9284" s="5" t="s">
        <v>57703</v>
      </c>
    </row>
    <row r="9285">
      <c r="A9285" s="4">
        <v>45534.443321597224</v>
      </c>
      <c r="B9285" s="5" t="s">
        <v>34</v>
      </c>
      <c r="D9285" s="5" t="s">
        <v>701</v>
      </c>
      <c r="E9285" s="5" t="s">
        <v>57707</v>
      </c>
      <c r="F9285" s="5" t="s">
        <v>108</v>
      </c>
      <c r="G9285" s="5" t="s">
        <v>57708</v>
      </c>
      <c r="H9285" s="6" t="s">
        <v>57709</v>
      </c>
      <c r="K9285" s="5" t="s">
        <v>57710</v>
      </c>
    </row>
    <row r="9286">
      <c r="A9286" s="4">
        <v>45534.443329201385</v>
      </c>
      <c r="B9286" s="5" t="s">
        <v>19</v>
      </c>
      <c r="C9286" s="5" t="s">
        <v>466</v>
      </c>
      <c r="E9286" s="5" t="s">
        <v>57711</v>
      </c>
      <c r="F9286" s="5" t="s">
        <v>212</v>
      </c>
      <c r="G9286" s="5" t="s">
        <v>57712</v>
      </c>
      <c r="H9286" s="6" t="s">
        <v>57713</v>
      </c>
      <c r="K9286" s="5" t="s">
        <v>57710</v>
      </c>
    </row>
    <row r="9287">
      <c r="A9287" s="4">
        <v>45534.44342256944</v>
      </c>
      <c r="B9287" s="5" t="s">
        <v>34</v>
      </c>
      <c r="D9287" s="5" t="s">
        <v>11913</v>
      </c>
      <c r="E9287" s="5" t="s">
        <v>57714</v>
      </c>
      <c r="F9287" s="5" t="s">
        <v>37</v>
      </c>
      <c r="G9287" s="5" t="s">
        <v>57715</v>
      </c>
      <c r="H9287" s="6" t="s">
        <v>57716</v>
      </c>
      <c r="K9287" s="5" t="s">
        <v>57717</v>
      </c>
    </row>
    <row r="9288">
      <c r="A9288" s="4">
        <v>45534.4435055787</v>
      </c>
      <c r="B9288" s="5" t="s">
        <v>34</v>
      </c>
      <c r="D9288" s="5" t="s">
        <v>35</v>
      </c>
      <c r="E9288" s="5" t="s">
        <v>57718</v>
      </c>
      <c r="F9288" s="5" t="s">
        <v>524</v>
      </c>
      <c r="G9288" s="5" t="s">
        <v>57719</v>
      </c>
      <c r="H9288" s="6" t="s">
        <v>57720</v>
      </c>
      <c r="K9288" s="5" t="s">
        <v>57721</v>
      </c>
    </row>
    <row r="9289">
      <c r="A9289" s="4">
        <v>45534.44351913195</v>
      </c>
      <c r="B9289" s="5" t="s">
        <v>34</v>
      </c>
      <c r="D9289" s="5" t="s">
        <v>1558</v>
      </c>
      <c r="E9289" s="5" t="s">
        <v>57722</v>
      </c>
      <c r="F9289" s="5" t="s">
        <v>37</v>
      </c>
      <c r="G9289" s="5" t="s">
        <v>57723</v>
      </c>
      <c r="H9289" s="6" t="s">
        <v>57724</v>
      </c>
      <c r="K9289" s="5" t="s">
        <v>57721</v>
      </c>
    </row>
    <row r="9290">
      <c r="A9290" s="4">
        <v>45534.44353988426</v>
      </c>
      <c r="B9290" s="5" t="s">
        <v>34</v>
      </c>
      <c r="D9290" s="5" t="s">
        <v>12978</v>
      </c>
      <c r="E9290" s="5" t="s">
        <v>57725</v>
      </c>
      <c r="F9290" s="5" t="s">
        <v>72</v>
      </c>
      <c r="G9290" s="5" t="s">
        <v>57726</v>
      </c>
      <c r="H9290" s="6" t="s">
        <v>57727</v>
      </c>
      <c r="K9290" s="5" t="s">
        <v>57728</v>
      </c>
    </row>
    <row r="9291">
      <c r="A9291" s="4">
        <v>45534.44355074074</v>
      </c>
      <c r="B9291" s="5" t="s">
        <v>34</v>
      </c>
      <c r="D9291" s="5" t="s">
        <v>4775</v>
      </c>
      <c r="E9291" s="5" t="s">
        <v>57729</v>
      </c>
      <c r="F9291" s="5" t="s">
        <v>37</v>
      </c>
      <c r="G9291" s="5" t="s">
        <v>57730</v>
      </c>
      <c r="H9291" s="6" t="s">
        <v>57731</v>
      </c>
      <c r="K9291" s="5" t="s">
        <v>57732</v>
      </c>
    </row>
    <row r="9292">
      <c r="A9292" s="4">
        <v>45534.44357392361</v>
      </c>
      <c r="B9292" s="5" t="s">
        <v>19</v>
      </c>
      <c r="C9292" s="5" t="s">
        <v>45988</v>
      </c>
      <c r="E9292" s="5" t="s">
        <v>57733</v>
      </c>
      <c r="F9292" s="5" t="s">
        <v>108</v>
      </c>
      <c r="G9292" s="5" t="s">
        <v>57734</v>
      </c>
      <c r="H9292" s="6" t="s">
        <v>57735</v>
      </c>
      <c r="K9292" s="5" t="s">
        <v>57732</v>
      </c>
    </row>
    <row r="9293">
      <c r="A9293" s="4">
        <v>45534.44374296296</v>
      </c>
      <c r="B9293" s="5" t="s">
        <v>34</v>
      </c>
      <c r="D9293" s="5" t="s">
        <v>6232</v>
      </c>
      <c r="E9293" s="5" t="s">
        <v>57736</v>
      </c>
      <c r="F9293" s="5" t="s">
        <v>524</v>
      </c>
      <c r="G9293" s="5" t="s">
        <v>57737</v>
      </c>
      <c r="H9293" s="6" t="s">
        <v>57738</v>
      </c>
      <c r="K9293" s="5" t="s">
        <v>57739</v>
      </c>
    </row>
    <row r="9294">
      <c r="A9294" s="4">
        <v>45534.44384893519</v>
      </c>
      <c r="B9294" s="5" t="s">
        <v>34</v>
      </c>
      <c r="D9294" s="5" t="s">
        <v>11913</v>
      </c>
      <c r="E9294" s="5" t="s">
        <v>57740</v>
      </c>
      <c r="F9294" s="5" t="s">
        <v>37</v>
      </c>
      <c r="G9294" s="5" t="s">
        <v>57741</v>
      </c>
      <c r="H9294" s="6" t="s">
        <v>57742</v>
      </c>
      <c r="K9294" s="5" t="s">
        <v>57739</v>
      </c>
    </row>
    <row r="9295">
      <c r="A9295" s="4">
        <v>45534.444036597226</v>
      </c>
      <c r="B9295" s="5" t="s">
        <v>34</v>
      </c>
      <c r="D9295" s="5" t="s">
        <v>1206</v>
      </c>
      <c r="E9295" s="5" t="s">
        <v>57743</v>
      </c>
      <c r="F9295" s="5" t="s">
        <v>37</v>
      </c>
      <c r="G9295" s="5" t="s">
        <v>57744</v>
      </c>
      <c r="H9295" s="6" t="s">
        <v>57745</v>
      </c>
      <c r="K9295" s="5" t="s">
        <v>57739</v>
      </c>
    </row>
    <row r="9296">
      <c r="A9296" s="4">
        <v>45534.44413849537</v>
      </c>
      <c r="B9296" s="5" t="s">
        <v>19</v>
      </c>
      <c r="C9296" s="5" t="s">
        <v>3471</v>
      </c>
      <c r="E9296" s="5" t="s">
        <v>57746</v>
      </c>
      <c r="F9296" s="5" t="s">
        <v>120</v>
      </c>
      <c r="G9296" s="5" t="s">
        <v>57747</v>
      </c>
      <c r="H9296" s="6" t="s">
        <v>57748</v>
      </c>
      <c r="K9296" s="5" t="s">
        <v>57739</v>
      </c>
    </row>
    <row r="9297">
      <c r="A9297" s="4">
        <v>45534.44420921296</v>
      </c>
      <c r="B9297" s="5" t="s">
        <v>34</v>
      </c>
      <c r="D9297" s="5" t="s">
        <v>9020</v>
      </c>
      <c r="E9297" s="5" t="s">
        <v>57749</v>
      </c>
      <c r="F9297" s="5" t="s">
        <v>212</v>
      </c>
      <c r="G9297" s="5" t="s">
        <v>57750</v>
      </c>
      <c r="H9297" s="6" t="s">
        <v>57751</v>
      </c>
      <c r="K9297" s="5" t="s">
        <v>57739</v>
      </c>
    </row>
    <row r="9298">
      <c r="A9298" s="4">
        <v>45534.44439081018</v>
      </c>
      <c r="B9298" s="5" t="s">
        <v>34</v>
      </c>
      <c r="D9298" s="5" t="s">
        <v>4775</v>
      </c>
      <c r="E9298" s="5" t="s">
        <v>57752</v>
      </c>
      <c r="F9298" s="5" t="s">
        <v>120</v>
      </c>
      <c r="G9298" s="5" t="s">
        <v>57753</v>
      </c>
      <c r="H9298" s="6" t="s">
        <v>57754</v>
      </c>
      <c r="K9298" s="5" t="s">
        <v>57739</v>
      </c>
    </row>
    <row r="9299">
      <c r="A9299" s="4">
        <v>45534.44439160879</v>
      </c>
      <c r="B9299" s="5" t="s">
        <v>34</v>
      </c>
      <c r="D9299" s="5" t="s">
        <v>9394</v>
      </c>
      <c r="E9299" s="5" t="s">
        <v>57755</v>
      </c>
      <c r="F9299" s="5" t="s">
        <v>212</v>
      </c>
      <c r="G9299" s="5" t="s">
        <v>57756</v>
      </c>
      <c r="H9299" s="6" t="s">
        <v>57757</v>
      </c>
      <c r="K9299" s="5" t="s">
        <v>57739</v>
      </c>
    </row>
    <row r="9300">
      <c r="A9300" s="4">
        <v>45534.444510960646</v>
      </c>
      <c r="B9300" s="5" t="s">
        <v>19</v>
      </c>
      <c r="C9300" s="5" t="s">
        <v>3301</v>
      </c>
      <c r="E9300" s="5" t="s">
        <v>57758</v>
      </c>
      <c r="F9300" s="5" t="s">
        <v>375</v>
      </c>
      <c r="G9300" s="5" t="s">
        <v>57759</v>
      </c>
      <c r="H9300" s="6" t="s">
        <v>57760</v>
      </c>
      <c r="K9300" s="5" t="s">
        <v>57761</v>
      </c>
    </row>
    <row r="9301">
      <c r="A9301" s="4">
        <v>45534.44460615741</v>
      </c>
      <c r="B9301" s="5" t="s">
        <v>34</v>
      </c>
      <c r="D9301" s="5" t="s">
        <v>9020</v>
      </c>
      <c r="E9301" s="5" t="s">
        <v>57762</v>
      </c>
      <c r="F9301" s="5" t="s">
        <v>524</v>
      </c>
      <c r="G9301" s="5" t="s">
        <v>57763</v>
      </c>
      <c r="H9301" s="6" t="s">
        <v>57764</v>
      </c>
      <c r="K9301" s="5" t="s">
        <v>57761</v>
      </c>
    </row>
    <row r="9302">
      <c r="A9302" s="4">
        <v>45534.44469037037</v>
      </c>
      <c r="B9302" s="5" t="s">
        <v>34</v>
      </c>
      <c r="D9302" s="5" t="s">
        <v>14424</v>
      </c>
      <c r="E9302" s="5" t="s">
        <v>57765</v>
      </c>
      <c r="F9302" s="5" t="s">
        <v>212</v>
      </c>
      <c r="G9302" s="5" t="s">
        <v>57766</v>
      </c>
      <c r="H9302" s="6" t="s">
        <v>57767</v>
      </c>
      <c r="K9302" s="5" t="s">
        <v>57761</v>
      </c>
    </row>
    <row r="9303">
      <c r="A9303" s="4">
        <v>45534.44470810185</v>
      </c>
      <c r="B9303" s="5" t="s">
        <v>34</v>
      </c>
      <c r="D9303" s="5" t="s">
        <v>996</v>
      </c>
      <c r="E9303" s="5" t="s">
        <v>57768</v>
      </c>
      <c r="F9303" s="5" t="s">
        <v>375</v>
      </c>
      <c r="G9303" s="5" t="s">
        <v>57769</v>
      </c>
      <c r="H9303" s="6" t="s">
        <v>57770</v>
      </c>
      <c r="K9303" s="5" t="s">
        <v>57761</v>
      </c>
    </row>
    <row r="9304">
      <c r="A9304" s="4">
        <v>45534.44476293982</v>
      </c>
      <c r="B9304" s="5" t="s">
        <v>34</v>
      </c>
      <c r="D9304" s="5" t="s">
        <v>1558</v>
      </c>
      <c r="E9304" s="5" t="s">
        <v>57771</v>
      </c>
      <c r="F9304" s="5" t="s">
        <v>212</v>
      </c>
      <c r="G9304" s="5" t="s">
        <v>57772</v>
      </c>
      <c r="H9304" s="6" t="s">
        <v>57773</v>
      </c>
      <c r="K9304" s="5" t="s">
        <v>57761</v>
      </c>
    </row>
    <row r="9305">
      <c r="A9305" s="4">
        <v>45534.44491711806</v>
      </c>
      <c r="B9305" s="5" t="s">
        <v>34</v>
      </c>
      <c r="D9305" s="5" t="s">
        <v>267</v>
      </c>
      <c r="E9305" s="5" t="s">
        <v>57774</v>
      </c>
      <c r="F9305" s="5" t="s">
        <v>212</v>
      </c>
      <c r="G9305" s="5" t="s">
        <v>57775</v>
      </c>
      <c r="H9305" s="6" t="s">
        <v>57776</v>
      </c>
      <c r="K9305" s="5" t="s">
        <v>57761</v>
      </c>
    </row>
    <row r="9306">
      <c r="A9306" s="4">
        <v>45534.44496980324</v>
      </c>
      <c r="B9306" s="5" t="s">
        <v>34</v>
      </c>
      <c r="D9306" s="5" t="s">
        <v>1206</v>
      </c>
      <c r="E9306" s="5" t="s">
        <v>40721</v>
      </c>
      <c r="F9306" s="5" t="s">
        <v>212</v>
      </c>
      <c r="G9306" s="5" t="s">
        <v>57777</v>
      </c>
      <c r="H9306" s="6" t="s">
        <v>57778</v>
      </c>
      <c r="K9306" s="5" t="s">
        <v>57761</v>
      </c>
    </row>
    <row r="9307">
      <c r="A9307" s="4">
        <v>45534.4450084375</v>
      </c>
      <c r="B9307" s="5" t="s">
        <v>19</v>
      </c>
      <c r="C9307" s="5" t="s">
        <v>20</v>
      </c>
      <c r="E9307" s="5" t="s">
        <v>50181</v>
      </c>
      <c r="F9307" s="5" t="s">
        <v>212</v>
      </c>
      <c r="G9307" s="5" t="s">
        <v>57779</v>
      </c>
      <c r="H9307" s="6" t="s">
        <v>57780</v>
      </c>
      <c r="K9307" s="5" t="s">
        <v>57761</v>
      </c>
    </row>
    <row r="9308">
      <c r="A9308" s="4">
        <v>45534.44502834491</v>
      </c>
      <c r="B9308" s="5" t="s">
        <v>34</v>
      </c>
      <c r="D9308" s="5" t="s">
        <v>12010</v>
      </c>
      <c r="E9308" s="5" t="s">
        <v>57781</v>
      </c>
      <c r="F9308" s="5" t="s">
        <v>37</v>
      </c>
      <c r="G9308" s="5" t="s">
        <v>57782</v>
      </c>
      <c r="H9308" s="6" t="s">
        <v>57783</v>
      </c>
      <c r="K9308" s="5" t="s">
        <v>57761</v>
      </c>
    </row>
    <row r="9309">
      <c r="A9309" s="4">
        <v>45534.445150740736</v>
      </c>
      <c r="B9309" s="5" t="s">
        <v>34</v>
      </c>
      <c r="D9309" s="5" t="s">
        <v>12010</v>
      </c>
      <c r="E9309" s="5" t="s">
        <v>57784</v>
      </c>
      <c r="F9309" s="5" t="s">
        <v>524</v>
      </c>
      <c r="G9309" s="5" t="s">
        <v>57785</v>
      </c>
      <c r="H9309" s="6" t="s">
        <v>57786</v>
      </c>
      <c r="K9309" s="5" t="s">
        <v>57761</v>
      </c>
    </row>
    <row r="9310">
      <c r="A9310" s="4">
        <v>45534.44517850694</v>
      </c>
      <c r="B9310" s="5" t="s">
        <v>34</v>
      </c>
      <c r="D9310" s="5" t="s">
        <v>580</v>
      </c>
      <c r="E9310" s="5" t="s">
        <v>57787</v>
      </c>
      <c r="F9310" s="5" t="s">
        <v>37</v>
      </c>
      <c r="G9310" s="5" t="s">
        <v>57788</v>
      </c>
      <c r="H9310" s="6" t="s">
        <v>57789</v>
      </c>
      <c r="K9310" s="5" t="s">
        <v>57761</v>
      </c>
    </row>
    <row r="9311">
      <c r="A9311" s="4">
        <v>45534.445243090275</v>
      </c>
      <c r="B9311" s="5" t="s">
        <v>34</v>
      </c>
      <c r="D9311" s="5" t="s">
        <v>9020</v>
      </c>
      <c r="E9311" s="5" t="s">
        <v>57790</v>
      </c>
      <c r="F9311" s="5" t="s">
        <v>212</v>
      </c>
      <c r="G9311" s="5" t="s">
        <v>57791</v>
      </c>
      <c r="H9311" s="6" t="s">
        <v>57792</v>
      </c>
      <c r="K9311" s="5" t="s">
        <v>57793</v>
      </c>
    </row>
    <row r="9312">
      <c r="A9312" s="4">
        <v>45534.44541695602</v>
      </c>
      <c r="B9312" s="5" t="s">
        <v>34</v>
      </c>
      <c r="D9312" s="5" t="s">
        <v>10297</v>
      </c>
      <c r="E9312" s="5" t="s">
        <v>57794</v>
      </c>
      <c r="F9312" s="5" t="s">
        <v>108</v>
      </c>
      <c r="G9312" s="5" t="s">
        <v>57795</v>
      </c>
      <c r="H9312" s="6" t="s">
        <v>57796</v>
      </c>
      <c r="K9312" s="5" t="s">
        <v>57797</v>
      </c>
    </row>
    <row r="9313">
      <c r="A9313" s="4">
        <v>45534.445457662034</v>
      </c>
      <c r="B9313" s="5" t="s">
        <v>34</v>
      </c>
      <c r="D9313" s="5" t="s">
        <v>15401</v>
      </c>
      <c r="E9313" s="5" t="s">
        <v>57801</v>
      </c>
      <c r="F9313" s="5" t="s">
        <v>72</v>
      </c>
      <c r="G9313" s="5" t="s">
        <v>57802</v>
      </c>
      <c r="H9313" s="6" t="s">
        <v>57803</v>
      </c>
      <c r="K9313" s="5" t="s">
        <v>57797</v>
      </c>
    </row>
    <row r="9314">
      <c r="A9314" s="4">
        <v>45534.44577769676</v>
      </c>
      <c r="B9314" s="5" t="s">
        <v>19</v>
      </c>
      <c r="C9314" s="5" t="s">
        <v>292</v>
      </c>
      <c r="E9314" s="5" t="s">
        <v>57806</v>
      </c>
      <c r="F9314" s="5" t="s">
        <v>37</v>
      </c>
      <c r="G9314" s="5" t="s">
        <v>57807</v>
      </c>
      <c r="H9314" s="6" t="s">
        <v>57808</v>
      </c>
      <c r="K9314" s="5" t="s">
        <v>57809</v>
      </c>
    </row>
    <row r="9315">
      <c r="A9315" s="4">
        <v>45534.44582502315</v>
      </c>
      <c r="B9315" s="5" t="s">
        <v>34</v>
      </c>
      <c r="D9315" s="5" t="s">
        <v>9020</v>
      </c>
      <c r="E9315" s="5" t="s">
        <v>57812</v>
      </c>
      <c r="F9315" s="5" t="s">
        <v>212</v>
      </c>
      <c r="G9315" s="5" t="s">
        <v>57813</v>
      </c>
      <c r="H9315" s="6" t="s">
        <v>57814</v>
      </c>
      <c r="K9315" s="5" t="s">
        <v>57815</v>
      </c>
    </row>
    <row r="9316">
      <c r="A9316" s="4">
        <v>45534.44586762731</v>
      </c>
      <c r="B9316" s="5" t="s">
        <v>34</v>
      </c>
      <c r="D9316" s="5" t="s">
        <v>701</v>
      </c>
      <c r="E9316" s="5" t="s">
        <v>57818</v>
      </c>
      <c r="F9316" s="5" t="s">
        <v>524</v>
      </c>
      <c r="G9316" s="5" t="s">
        <v>57819</v>
      </c>
      <c r="H9316" s="6" t="s">
        <v>57820</v>
      </c>
      <c r="K9316" s="5" t="s">
        <v>57821</v>
      </c>
    </row>
    <row r="9317">
      <c r="A9317" s="4">
        <v>45534.44596629629</v>
      </c>
      <c r="B9317" s="5" t="s">
        <v>19</v>
      </c>
      <c r="C9317" s="5" t="s">
        <v>292</v>
      </c>
      <c r="E9317" s="5" t="s">
        <v>57824</v>
      </c>
      <c r="F9317" s="5" t="s">
        <v>72</v>
      </c>
      <c r="G9317" s="5" t="s">
        <v>57825</v>
      </c>
      <c r="H9317" s="6" t="s">
        <v>57826</v>
      </c>
      <c r="K9317" s="5" t="s">
        <v>57827</v>
      </c>
    </row>
    <row r="9318">
      <c r="A9318" s="4">
        <v>45534.44597269676</v>
      </c>
      <c r="B9318" s="5" t="s">
        <v>34</v>
      </c>
      <c r="D9318" s="5" t="s">
        <v>35</v>
      </c>
      <c r="E9318" s="5" t="s">
        <v>57831</v>
      </c>
      <c r="F9318" s="5" t="s">
        <v>524</v>
      </c>
      <c r="G9318" s="5" t="s">
        <v>50753</v>
      </c>
      <c r="H9318" s="6" t="s">
        <v>57832</v>
      </c>
      <c r="K9318" s="5" t="s">
        <v>57827</v>
      </c>
    </row>
    <row r="9319">
      <c r="A9319" s="4">
        <v>45534.44606322917</v>
      </c>
      <c r="B9319" s="5" t="s">
        <v>34</v>
      </c>
      <c r="D9319" s="5" t="s">
        <v>996</v>
      </c>
      <c r="E9319" s="5" t="s">
        <v>57835</v>
      </c>
      <c r="F9319" s="5" t="s">
        <v>212</v>
      </c>
      <c r="G9319" s="5" t="s">
        <v>57836</v>
      </c>
      <c r="H9319" s="6" t="s">
        <v>57837</v>
      </c>
      <c r="K9319" s="5" t="s">
        <v>57838</v>
      </c>
    </row>
    <row r="9320">
      <c r="A9320" s="4">
        <v>45534.44606340278</v>
      </c>
      <c r="B9320" s="5" t="s">
        <v>34</v>
      </c>
      <c r="D9320" s="5" t="s">
        <v>12978</v>
      </c>
      <c r="E9320" s="5" t="s">
        <v>57841</v>
      </c>
      <c r="F9320" s="5" t="s">
        <v>212</v>
      </c>
      <c r="G9320" s="5" t="s">
        <v>57842</v>
      </c>
      <c r="H9320" s="6" t="s">
        <v>57843</v>
      </c>
      <c r="K9320" s="5" t="s">
        <v>57838</v>
      </c>
    </row>
    <row r="9321">
      <c r="A9321" s="4">
        <v>45534.44613027778</v>
      </c>
      <c r="B9321" s="5" t="s">
        <v>34</v>
      </c>
      <c r="D9321" s="5" t="s">
        <v>580</v>
      </c>
      <c r="E9321" s="5" t="s">
        <v>57846</v>
      </c>
      <c r="F9321" s="5" t="s">
        <v>212</v>
      </c>
      <c r="G9321" s="5" t="s">
        <v>57847</v>
      </c>
      <c r="H9321" s="6" t="s">
        <v>57848</v>
      </c>
      <c r="K9321" s="5" t="s">
        <v>57838</v>
      </c>
    </row>
    <row r="9322">
      <c r="A9322" s="4">
        <v>45534.44615856481</v>
      </c>
      <c r="B9322" s="5" t="s">
        <v>34</v>
      </c>
      <c r="D9322" s="5" t="s">
        <v>1206</v>
      </c>
      <c r="E9322" s="5" t="s">
        <v>57851</v>
      </c>
      <c r="F9322" s="5" t="s">
        <v>37</v>
      </c>
      <c r="G9322" s="5" t="s">
        <v>57852</v>
      </c>
      <c r="H9322" s="6" t="s">
        <v>57853</v>
      </c>
      <c r="K9322" s="5" t="s">
        <v>57838</v>
      </c>
    </row>
    <row r="9323">
      <c r="A9323" s="4">
        <v>45534.44626570602</v>
      </c>
      <c r="B9323" s="5" t="s">
        <v>34</v>
      </c>
      <c r="D9323" s="5" t="s">
        <v>35</v>
      </c>
      <c r="E9323" s="5" t="s">
        <v>57856</v>
      </c>
      <c r="F9323" s="5" t="s">
        <v>37</v>
      </c>
      <c r="G9323" s="5" t="s">
        <v>57857</v>
      </c>
      <c r="H9323" s="6" t="s">
        <v>57858</v>
      </c>
      <c r="K9323" s="5" t="s">
        <v>57838</v>
      </c>
    </row>
    <row r="9324">
      <c r="A9324" s="4">
        <v>45534.44635534722</v>
      </c>
      <c r="B9324" s="5" t="s">
        <v>34</v>
      </c>
      <c r="D9324" s="5" t="s">
        <v>10297</v>
      </c>
      <c r="E9324" s="5" t="s">
        <v>57861</v>
      </c>
      <c r="F9324" s="5" t="s">
        <v>524</v>
      </c>
      <c r="G9324" s="5" t="s">
        <v>57862</v>
      </c>
      <c r="H9324" s="6" t="s">
        <v>57863</v>
      </c>
      <c r="K9324" s="5" t="s">
        <v>57864</v>
      </c>
    </row>
    <row r="9325">
      <c r="A9325" s="4">
        <v>45534.44635716435</v>
      </c>
      <c r="B9325" s="5" t="s">
        <v>34</v>
      </c>
      <c r="D9325" s="5" t="s">
        <v>1558</v>
      </c>
      <c r="E9325" s="5" t="s">
        <v>57868</v>
      </c>
      <c r="F9325" s="5" t="s">
        <v>524</v>
      </c>
      <c r="G9325" s="5" t="s">
        <v>57869</v>
      </c>
      <c r="H9325" s="6" t="s">
        <v>57870</v>
      </c>
      <c r="K9325" s="5" t="s">
        <v>57864</v>
      </c>
    </row>
    <row r="9326">
      <c r="A9326" s="4">
        <v>45534.4463609838</v>
      </c>
      <c r="B9326" s="5" t="s">
        <v>34</v>
      </c>
      <c r="D9326" s="5" t="s">
        <v>701</v>
      </c>
      <c r="E9326" s="5" t="s">
        <v>57873</v>
      </c>
      <c r="F9326" s="5" t="s">
        <v>212</v>
      </c>
      <c r="G9326" s="5" t="s">
        <v>57874</v>
      </c>
      <c r="H9326" s="6" t="s">
        <v>57875</v>
      </c>
      <c r="K9326" s="5" t="s">
        <v>57864</v>
      </c>
    </row>
    <row r="9327">
      <c r="A9327" s="4">
        <v>45534.44661451389</v>
      </c>
      <c r="B9327" s="5" t="s">
        <v>34</v>
      </c>
      <c r="D9327" s="5" t="s">
        <v>1206</v>
      </c>
      <c r="E9327" s="5" t="s">
        <v>57878</v>
      </c>
      <c r="F9327" s="5" t="s">
        <v>798</v>
      </c>
      <c r="G9327" s="5" t="s">
        <v>57879</v>
      </c>
      <c r="H9327" s="6" t="s">
        <v>57880</v>
      </c>
      <c r="K9327" s="5" t="s">
        <v>57881</v>
      </c>
    </row>
    <row r="9328">
      <c r="A9328" s="4">
        <v>45534.446670439815</v>
      </c>
      <c r="B9328" s="5" t="s">
        <v>19</v>
      </c>
      <c r="C9328" s="5" t="s">
        <v>292</v>
      </c>
      <c r="E9328" s="5" t="s">
        <v>57884</v>
      </c>
      <c r="F9328" s="5" t="s">
        <v>212</v>
      </c>
      <c r="G9328" s="5" t="s">
        <v>57885</v>
      </c>
      <c r="H9328" s="6" t="s">
        <v>57886</v>
      </c>
      <c r="K9328" s="5" t="s">
        <v>57881</v>
      </c>
    </row>
    <row r="9329">
      <c r="A9329" s="4">
        <v>45534.4467446875</v>
      </c>
      <c r="B9329" s="5" t="s">
        <v>34</v>
      </c>
      <c r="D9329" s="5" t="s">
        <v>701</v>
      </c>
      <c r="E9329" s="5" t="s">
        <v>57889</v>
      </c>
      <c r="F9329" s="5" t="s">
        <v>72</v>
      </c>
      <c r="G9329" s="5" t="s">
        <v>23086</v>
      </c>
      <c r="H9329" s="6" t="s">
        <v>57890</v>
      </c>
      <c r="K9329" s="5" t="s">
        <v>57881</v>
      </c>
    </row>
    <row r="9330">
      <c r="A9330" s="4">
        <v>45534.44677476852</v>
      </c>
      <c r="B9330" s="5" t="s">
        <v>34</v>
      </c>
      <c r="D9330" s="5" t="s">
        <v>1456</v>
      </c>
      <c r="E9330" s="5" t="s">
        <v>57893</v>
      </c>
      <c r="F9330" s="5" t="s">
        <v>37</v>
      </c>
      <c r="G9330" s="5" t="s">
        <v>57894</v>
      </c>
      <c r="H9330" s="6" t="s">
        <v>57895</v>
      </c>
      <c r="K9330" s="5" t="s">
        <v>57881</v>
      </c>
    </row>
    <row r="9331">
      <c r="A9331" s="4">
        <v>45534.44680751157</v>
      </c>
      <c r="B9331" s="5" t="s">
        <v>34</v>
      </c>
      <c r="D9331" s="5" t="s">
        <v>6232</v>
      </c>
      <c r="E9331" s="5" t="s">
        <v>57898</v>
      </c>
      <c r="F9331" s="5" t="s">
        <v>37</v>
      </c>
      <c r="G9331" s="5" t="s">
        <v>57899</v>
      </c>
      <c r="H9331" s="6" t="s">
        <v>57900</v>
      </c>
      <c r="K9331" s="5" t="s">
        <v>57881</v>
      </c>
    </row>
    <row r="9332">
      <c r="A9332" s="4">
        <v>45534.4468942824</v>
      </c>
      <c r="B9332" s="5" t="s">
        <v>34</v>
      </c>
      <c r="D9332" s="5" t="s">
        <v>9394</v>
      </c>
      <c r="E9332" s="5" t="s">
        <v>57904</v>
      </c>
      <c r="F9332" s="5" t="s">
        <v>72</v>
      </c>
      <c r="G9332" s="5" t="s">
        <v>57905</v>
      </c>
      <c r="H9332" s="6" t="s">
        <v>57906</v>
      </c>
      <c r="K9332" s="5" t="s">
        <v>57881</v>
      </c>
    </row>
    <row r="9333">
      <c r="A9333" s="4">
        <v>45534.44703859954</v>
      </c>
      <c r="B9333" s="5" t="s">
        <v>34</v>
      </c>
      <c r="D9333" s="5" t="s">
        <v>7858</v>
      </c>
      <c r="E9333" s="5" t="s">
        <v>57909</v>
      </c>
      <c r="F9333" s="5" t="s">
        <v>375</v>
      </c>
      <c r="G9333" s="5" t="s">
        <v>57910</v>
      </c>
      <c r="H9333" s="6" t="s">
        <v>57911</v>
      </c>
      <c r="K9333" s="5" t="s">
        <v>57881</v>
      </c>
    </row>
    <row r="9334">
      <c r="A9334" s="4">
        <v>45534.44718263889</v>
      </c>
      <c r="B9334" s="5" t="s">
        <v>19</v>
      </c>
      <c r="C9334" s="5" t="s">
        <v>292</v>
      </c>
      <c r="E9334" s="5" t="s">
        <v>57914</v>
      </c>
      <c r="F9334" s="5" t="s">
        <v>375</v>
      </c>
      <c r="G9334" s="5" t="s">
        <v>57915</v>
      </c>
      <c r="H9334" s="6" t="s">
        <v>57916</v>
      </c>
      <c r="K9334" s="5" t="s">
        <v>57881</v>
      </c>
    </row>
    <row r="9335">
      <c r="A9335" s="4">
        <v>45534.447263043985</v>
      </c>
      <c r="B9335" s="5" t="s">
        <v>34</v>
      </c>
      <c r="D9335" s="5" t="s">
        <v>1206</v>
      </c>
      <c r="E9335" s="5" t="s">
        <v>54107</v>
      </c>
      <c r="F9335" s="5" t="s">
        <v>37</v>
      </c>
      <c r="G9335" s="5" t="s">
        <v>57919</v>
      </c>
      <c r="H9335" s="6" t="s">
        <v>57920</v>
      </c>
      <c r="K9335" s="5" t="s">
        <v>57881</v>
      </c>
    </row>
    <row r="9336">
      <c r="A9336" s="4">
        <v>45534.44763336805</v>
      </c>
      <c r="B9336" s="5" t="s">
        <v>34</v>
      </c>
      <c r="D9336" s="5" t="s">
        <v>4775</v>
      </c>
      <c r="E9336" s="5" t="s">
        <v>57923</v>
      </c>
      <c r="F9336" s="5" t="s">
        <v>108</v>
      </c>
      <c r="G9336" s="5" t="s">
        <v>57924</v>
      </c>
      <c r="H9336" s="6" t="s">
        <v>57925</v>
      </c>
      <c r="K9336" s="5" t="s">
        <v>57881</v>
      </c>
    </row>
    <row r="9337">
      <c r="A9337" s="4">
        <v>45534.447644988424</v>
      </c>
      <c r="B9337" s="5" t="s">
        <v>34</v>
      </c>
      <c r="D9337" s="5" t="s">
        <v>4775</v>
      </c>
      <c r="E9337" s="5" t="s">
        <v>57928</v>
      </c>
      <c r="F9337" s="5" t="s">
        <v>524</v>
      </c>
      <c r="G9337" s="5" t="s">
        <v>57929</v>
      </c>
      <c r="H9337" s="6" t="s">
        <v>57930</v>
      </c>
      <c r="K9337" s="5" t="s">
        <v>57881</v>
      </c>
    </row>
    <row r="9338">
      <c r="A9338" s="4">
        <v>45534.447801076385</v>
      </c>
      <c r="B9338" s="5" t="s">
        <v>34</v>
      </c>
      <c r="D9338" s="5" t="s">
        <v>9020</v>
      </c>
      <c r="E9338" s="5" t="s">
        <v>57934</v>
      </c>
      <c r="F9338" s="5" t="s">
        <v>375</v>
      </c>
      <c r="G9338" s="5" t="s">
        <v>57935</v>
      </c>
      <c r="H9338" s="6" t="s">
        <v>57936</v>
      </c>
      <c r="K9338" s="5" t="s">
        <v>57881</v>
      </c>
    </row>
    <row r="9339">
      <c r="A9339" s="4">
        <v>45534.447803958334</v>
      </c>
      <c r="B9339" s="5" t="s">
        <v>19</v>
      </c>
      <c r="C9339" s="5" t="s">
        <v>20</v>
      </c>
      <c r="E9339" s="5" t="s">
        <v>57939</v>
      </c>
      <c r="F9339" s="5" t="s">
        <v>375</v>
      </c>
      <c r="G9339" s="5" t="s">
        <v>57940</v>
      </c>
      <c r="H9339" s="6" t="s">
        <v>57941</v>
      </c>
      <c r="K9339" s="5" t="s">
        <v>57881</v>
      </c>
    </row>
    <row r="9340">
      <c r="A9340" s="4">
        <v>45534.44795634259</v>
      </c>
      <c r="B9340" s="5" t="s">
        <v>34</v>
      </c>
      <c r="D9340" s="5" t="s">
        <v>1206</v>
      </c>
      <c r="E9340" s="5" t="s">
        <v>57944</v>
      </c>
      <c r="F9340" s="5" t="s">
        <v>37</v>
      </c>
      <c r="G9340" s="5" t="s">
        <v>57945</v>
      </c>
      <c r="H9340" s="6" t="s">
        <v>57946</v>
      </c>
      <c r="K9340" s="5" t="s">
        <v>57881</v>
      </c>
    </row>
    <row r="9341">
      <c r="A9341" s="4">
        <v>45534.4479881713</v>
      </c>
      <c r="B9341" s="5" t="s">
        <v>34</v>
      </c>
      <c r="D9341" s="5" t="s">
        <v>15401</v>
      </c>
      <c r="E9341" s="5" t="s">
        <v>57949</v>
      </c>
      <c r="F9341" s="5" t="s">
        <v>212</v>
      </c>
      <c r="G9341" s="5" t="s">
        <v>57950</v>
      </c>
      <c r="H9341" s="6" t="s">
        <v>57951</v>
      </c>
      <c r="K9341" s="5" t="s">
        <v>57881</v>
      </c>
    </row>
    <row r="9342">
      <c r="A9342" s="4">
        <v>45534.448135416664</v>
      </c>
      <c r="B9342" s="5" t="s">
        <v>34</v>
      </c>
      <c r="D9342" s="5" t="s">
        <v>6232</v>
      </c>
      <c r="E9342" s="5" t="s">
        <v>57954</v>
      </c>
      <c r="F9342" s="5" t="s">
        <v>212</v>
      </c>
      <c r="G9342" s="5" t="s">
        <v>57955</v>
      </c>
      <c r="H9342" s="6" t="s">
        <v>57956</v>
      </c>
      <c r="K9342" s="5" t="s">
        <v>57957</v>
      </c>
    </row>
    <row r="9343">
      <c r="A9343" s="4">
        <v>45534.44824341435</v>
      </c>
      <c r="B9343" s="5" t="s">
        <v>34</v>
      </c>
      <c r="D9343" s="5" t="s">
        <v>9394</v>
      </c>
      <c r="E9343" s="5" t="s">
        <v>57961</v>
      </c>
      <c r="F9343" s="5" t="s">
        <v>108</v>
      </c>
      <c r="G9343" s="5" t="s">
        <v>57962</v>
      </c>
      <c r="H9343" s="6" t="s">
        <v>57963</v>
      </c>
      <c r="K9343" s="5" t="s">
        <v>57964</v>
      </c>
    </row>
    <row r="9344">
      <c r="A9344" s="4">
        <v>45534.44827554398</v>
      </c>
      <c r="B9344" s="5" t="s">
        <v>34</v>
      </c>
      <c r="D9344" s="5" t="s">
        <v>14424</v>
      </c>
      <c r="E9344" s="5" t="s">
        <v>57967</v>
      </c>
      <c r="F9344" s="5" t="s">
        <v>37</v>
      </c>
      <c r="G9344" s="5" t="s">
        <v>57968</v>
      </c>
      <c r="H9344" s="6" t="s">
        <v>57969</v>
      </c>
      <c r="K9344" s="5" t="s">
        <v>57970</v>
      </c>
    </row>
    <row r="9345">
      <c r="A9345" s="4">
        <v>45534.4483106713</v>
      </c>
      <c r="B9345" s="5" t="s">
        <v>34</v>
      </c>
      <c r="D9345" s="5" t="s">
        <v>9020</v>
      </c>
      <c r="E9345" s="5" t="s">
        <v>57974</v>
      </c>
      <c r="F9345" s="5" t="s">
        <v>212</v>
      </c>
      <c r="G9345" s="5" t="s">
        <v>57975</v>
      </c>
      <c r="H9345" s="6" t="s">
        <v>57976</v>
      </c>
      <c r="K9345" s="5" t="s">
        <v>57977</v>
      </c>
    </row>
    <row r="9346">
      <c r="A9346" s="4">
        <v>45534.448335196765</v>
      </c>
      <c r="B9346" s="5" t="s">
        <v>19</v>
      </c>
      <c r="C9346" s="5" t="s">
        <v>3471</v>
      </c>
      <c r="E9346" s="5" t="s">
        <v>57980</v>
      </c>
      <c r="F9346" s="5" t="s">
        <v>72</v>
      </c>
      <c r="G9346" s="5" t="s">
        <v>57981</v>
      </c>
      <c r="H9346" s="6" t="s">
        <v>57982</v>
      </c>
      <c r="K9346" s="5" t="s">
        <v>57983</v>
      </c>
    </row>
    <row r="9347">
      <c r="A9347" s="4">
        <v>45534.448386435186</v>
      </c>
      <c r="B9347" s="5" t="s">
        <v>34</v>
      </c>
      <c r="D9347" s="5" t="s">
        <v>4775</v>
      </c>
      <c r="E9347" s="5" t="s">
        <v>57987</v>
      </c>
      <c r="F9347" s="5" t="s">
        <v>212</v>
      </c>
      <c r="G9347" s="5" t="s">
        <v>57988</v>
      </c>
      <c r="H9347" s="6" t="s">
        <v>57989</v>
      </c>
      <c r="K9347" s="5" t="s">
        <v>57990</v>
      </c>
    </row>
    <row r="9348">
      <c r="A9348" s="4">
        <v>45534.44841618056</v>
      </c>
      <c r="B9348" s="5" t="s">
        <v>34</v>
      </c>
      <c r="D9348" s="5" t="s">
        <v>1206</v>
      </c>
      <c r="E9348" s="5" t="s">
        <v>57993</v>
      </c>
      <c r="F9348" s="5" t="s">
        <v>37</v>
      </c>
      <c r="G9348" s="5" t="s">
        <v>57994</v>
      </c>
      <c r="H9348" s="6" t="s">
        <v>57995</v>
      </c>
      <c r="K9348" s="5" t="s">
        <v>57996</v>
      </c>
    </row>
    <row r="9349">
      <c r="A9349" s="4">
        <v>45534.44842565972</v>
      </c>
      <c r="B9349" s="5" t="s">
        <v>34</v>
      </c>
      <c r="D9349" s="5" t="s">
        <v>14313</v>
      </c>
      <c r="E9349" s="5" t="s">
        <v>57999</v>
      </c>
      <c r="F9349" s="5" t="s">
        <v>524</v>
      </c>
      <c r="G9349" s="5" t="s">
        <v>58000</v>
      </c>
      <c r="H9349" s="6" t="s">
        <v>58001</v>
      </c>
      <c r="K9349" s="5" t="s">
        <v>58002</v>
      </c>
    </row>
    <row r="9350">
      <c r="A9350" s="4">
        <v>45534.44847791667</v>
      </c>
      <c r="B9350" s="5" t="s">
        <v>34</v>
      </c>
      <c r="D9350" s="5" t="s">
        <v>35</v>
      </c>
      <c r="E9350" s="5" t="s">
        <v>58005</v>
      </c>
      <c r="F9350" s="5" t="s">
        <v>524</v>
      </c>
      <c r="G9350" s="5" t="s">
        <v>58006</v>
      </c>
      <c r="H9350" s="6" t="s">
        <v>58007</v>
      </c>
      <c r="K9350" s="5" t="s">
        <v>58008</v>
      </c>
    </row>
    <row r="9351">
      <c r="A9351" s="4">
        <v>45534.44848640046</v>
      </c>
      <c r="B9351" s="5" t="s">
        <v>34</v>
      </c>
      <c r="D9351" s="5" t="s">
        <v>35</v>
      </c>
      <c r="E9351" s="5" t="s">
        <v>58012</v>
      </c>
      <c r="F9351" s="5" t="s">
        <v>72</v>
      </c>
      <c r="G9351" s="5" t="s">
        <v>58013</v>
      </c>
      <c r="H9351" s="6" t="s">
        <v>58014</v>
      </c>
      <c r="K9351" s="5" t="s">
        <v>58008</v>
      </c>
    </row>
    <row r="9352">
      <c r="A9352" s="4">
        <v>45534.44882119213</v>
      </c>
      <c r="B9352" s="5" t="s">
        <v>34</v>
      </c>
      <c r="D9352" s="5" t="s">
        <v>10297</v>
      </c>
      <c r="E9352" s="5" t="s">
        <v>58017</v>
      </c>
      <c r="F9352" s="5" t="s">
        <v>524</v>
      </c>
      <c r="G9352" s="5" t="s">
        <v>58018</v>
      </c>
      <c r="H9352" s="6" t="s">
        <v>58019</v>
      </c>
      <c r="K9352" s="5" t="s">
        <v>58020</v>
      </c>
    </row>
    <row r="9353">
      <c r="A9353" s="4">
        <v>45534.44889222222</v>
      </c>
      <c r="B9353" s="5" t="s">
        <v>34</v>
      </c>
      <c r="D9353" s="5" t="s">
        <v>1558</v>
      </c>
      <c r="E9353" s="5" t="s">
        <v>58023</v>
      </c>
      <c r="F9353" s="5" t="s">
        <v>199</v>
      </c>
      <c r="G9353" s="5" t="s">
        <v>58024</v>
      </c>
      <c r="H9353" s="6" t="s">
        <v>58025</v>
      </c>
      <c r="K9353" s="5" t="s">
        <v>58020</v>
      </c>
    </row>
    <row r="9354">
      <c r="A9354" s="4">
        <v>45534.44893341435</v>
      </c>
      <c r="B9354" s="5" t="s">
        <v>19</v>
      </c>
      <c r="C9354" s="5" t="s">
        <v>292</v>
      </c>
      <c r="E9354" s="5" t="s">
        <v>58028</v>
      </c>
      <c r="F9354" s="5" t="s">
        <v>120</v>
      </c>
      <c r="G9354" s="5" t="s">
        <v>58029</v>
      </c>
      <c r="H9354" s="6" t="s">
        <v>58030</v>
      </c>
      <c r="K9354" s="5" t="s">
        <v>58020</v>
      </c>
    </row>
    <row r="9355">
      <c r="A9355" s="4">
        <v>45534.44904841435</v>
      </c>
      <c r="B9355" s="5" t="s">
        <v>34</v>
      </c>
      <c r="D9355" s="5" t="s">
        <v>4775</v>
      </c>
      <c r="E9355" s="5" t="s">
        <v>58034</v>
      </c>
      <c r="F9355" s="5" t="s">
        <v>524</v>
      </c>
      <c r="G9355" s="5" t="s">
        <v>58035</v>
      </c>
      <c r="H9355" s="6" t="s">
        <v>58036</v>
      </c>
      <c r="K9355" s="5" t="s">
        <v>58020</v>
      </c>
    </row>
    <row r="9356">
      <c r="A9356" s="4">
        <v>45534.44909840278</v>
      </c>
      <c r="B9356" s="5" t="s">
        <v>34</v>
      </c>
      <c r="D9356" s="5" t="s">
        <v>35</v>
      </c>
      <c r="E9356" s="5" t="s">
        <v>58039</v>
      </c>
      <c r="F9356" s="5" t="s">
        <v>72</v>
      </c>
      <c r="G9356" s="5" t="s">
        <v>58040</v>
      </c>
      <c r="H9356" s="6" t="s">
        <v>58041</v>
      </c>
      <c r="K9356" s="5" t="s">
        <v>58020</v>
      </c>
    </row>
    <row r="9357">
      <c r="A9357" s="4">
        <v>45534.44911935185</v>
      </c>
      <c r="B9357" s="5" t="s">
        <v>19</v>
      </c>
      <c r="C9357" s="5" t="s">
        <v>20</v>
      </c>
      <c r="E9357" s="5" t="s">
        <v>58044</v>
      </c>
      <c r="F9357" s="5" t="s">
        <v>120</v>
      </c>
      <c r="G9357" s="5" t="s">
        <v>58045</v>
      </c>
      <c r="H9357" s="6" t="s">
        <v>58046</v>
      </c>
      <c r="K9357" s="5" t="s">
        <v>58020</v>
      </c>
    </row>
    <row r="9358">
      <c r="A9358" s="4">
        <v>45534.44943920139</v>
      </c>
      <c r="B9358" s="5" t="s">
        <v>34</v>
      </c>
      <c r="D9358" s="5" t="s">
        <v>1206</v>
      </c>
      <c r="E9358" s="5" t="s">
        <v>58049</v>
      </c>
      <c r="F9358" s="5" t="s">
        <v>199</v>
      </c>
      <c r="G9358" s="5" t="s">
        <v>58050</v>
      </c>
      <c r="H9358" s="6" t="s">
        <v>58051</v>
      </c>
      <c r="K9358" s="5" t="s">
        <v>58020</v>
      </c>
    </row>
    <row r="9359">
      <c r="A9359" s="4">
        <v>45534.44945512732</v>
      </c>
      <c r="B9359" s="5" t="s">
        <v>34</v>
      </c>
      <c r="D9359" s="5" t="s">
        <v>35</v>
      </c>
      <c r="E9359" s="5" t="s">
        <v>58054</v>
      </c>
      <c r="F9359" s="5" t="s">
        <v>120</v>
      </c>
      <c r="G9359" s="5" t="s">
        <v>58055</v>
      </c>
      <c r="H9359" s="6" t="s">
        <v>58056</v>
      </c>
      <c r="K9359" s="5" t="s">
        <v>58020</v>
      </c>
    </row>
    <row r="9360">
      <c r="A9360" s="4">
        <v>45534.44958359953</v>
      </c>
      <c r="B9360" s="5" t="s">
        <v>34</v>
      </c>
      <c r="D9360" s="5" t="s">
        <v>1558</v>
      </c>
      <c r="E9360" s="5" t="s">
        <v>58060</v>
      </c>
      <c r="F9360" s="5" t="s">
        <v>212</v>
      </c>
      <c r="G9360" s="5" t="s">
        <v>58061</v>
      </c>
      <c r="H9360" s="6" t="s">
        <v>58062</v>
      </c>
      <c r="K9360" s="5" t="s">
        <v>58020</v>
      </c>
    </row>
    <row r="9361">
      <c r="A9361" s="4">
        <v>45534.449584201386</v>
      </c>
      <c r="B9361" s="5" t="s">
        <v>34</v>
      </c>
      <c r="D9361" s="5" t="s">
        <v>9020</v>
      </c>
      <c r="E9361" s="5" t="s">
        <v>58065</v>
      </c>
      <c r="F9361" s="5" t="s">
        <v>212</v>
      </c>
      <c r="G9361" s="5" t="s">
        <v>58066</v>
      </c>
      <c r="H9361" s="6" t="s">
        <v>58067</v>
      </c>
      <c r="K9361" s="5" t="s">
        <v>58020</v>
      </c>
    </row>
    <row r="9362">
      <c r="A9362" s="4">
        <v>45534.44961112268</v>
      </c>
      <c r="B9362" s="5" t="s">
        <v>34</v>
      </c>
      <c r="D9362" s="5" t="s">
        <v>9020</v>
      </c>
      <c r="E9362" s="5" t="s">
        <v>58070</v>
      </c>
      <c r="F9362" s="5" t="s">
        <v>212</v>
      </c>
      <c r="G9362" s="5" t="s">
        <v>58071</v>
      </c>
      <c r="H9362" s="6" t="s">
        <v>58072</v>
      </c>
      <c r="K9362" s="5" t="s">
        <v>58020</v>
      </c>
    </row>
    <row r="9363">
      <c r="A9363" s="4">
        <v>45534.44965274306</v>
      </c>
      <c r="B9363" s="5" t="s">
        <v>34</v>
      </c>
      <c r="D9363" s="5" t="s">
        <v>1206</v>
      </c>
      <c r="E9363" s="5" t="s">
        <v>58075</v>
      </c>
      <c r="F9363" s="5" t="s">
        <v>37</v>
      </c>
      <c r="G9363" s="5" t="s">
        <v>58076</v>
      </c>
      <c r="H9363" s="6" t="s">
        <v>58077</v>
      </c>
      <c r="K9363" s="5" t="s">
        <v>58020</v>
      </c>
    </row>
    <row r="9364">
      <c r="A9364" s="4">
        <v>45534.4496994213</v>
      </c>
      <c r="B9364" s="5" t="s">
        <v>34</v>
      </c>
      <c r="D9364" s="5" t="s">
        <v>14424</v>
      </c>
      <c r="E9364" s="5" t="s">
        <v>58081</v>
      </c>
      <c r="F9364" s="5" t="s">
        <v>22</v>
      </c>
      <c r="G9364" s="5" t="s">
        <v>58082</v>
      </c>
      <c r="H9364" s="6" t="s">
        <v>58083</v>
      </c>
      <c r="K9364" s="5" t="s">
        <v>58020</v>
      </c>
    </row>
    <row r="9365">
      <c r="A9365" s="4">
        <v>45534.44972232639</v>
      </c>
      <c r="B9365" s="5" t="s">
        <v>34</v>
      </c>
      <c r="D9365" s="5" t="s">
        <v>10444</v>
      </c>
      <c r="E9365" s="5" t="s">
        <v>58087</v>
      </c>
      <c r="F9365" s="5" t="s">
        <v>108</v>
      </c>
      <c r="G9365" s="5" t="s">
        <v>58088</v>
      </c>
      <c r="H9365" s="6" t="s">
        <v>58089</v>
      </c>
      <c r="K9365" s="5" t="s">
        <v>58020</v>
      </c>
    </row>
    <row r="9366">
      <c r="A9366" s="4">
        <v>45534.44972949074</v>
      </c>
      <c r="B9366" s="5" t="s">
        <v>34</v>
      </c>
      <c r="D9366" s="5" t="s">
        <v>9020</v>
      </c>
      <c r="E9366" s="5" t="s">
        <v>58092</v>
      </c>
      <c r="F9366" s="5" t="s">
        <v>375</v>
      </c>
      <c r="G9366" s="5" t="s">
        <v>58093</v>
      </c>
      <c r="H9366" s="6" t="s">
        <v>58094</v>
      </c>
      <c r="K9366" s="5" t="s">
        <v>58020</v>
      </c>
    </row>
    <row r="9367">
      <c r="A9367" s="4">
        <v>45534.44985359954</v>
      </c>
      <c r="B9367" s="5" t="s">
        <v>19</v>
      </c>
      <c r="C9367" s="5" t="s">
        <v>20</v>
      </c>
      <c r="E9367" s="5" t="s">
        <v>58097</v>
      </c>
      <c r="F9367" s="5" t="s">
        <v>798</v>
      </c>
      <c r="G9367" s="5" t="s">
        <v>58098</v>
      </c>
      <c r="H9367" s="6" t="s">
        <v>58099</v>
      </c>
      <c r="K9367" s="5" t="s">
        <v>58020</v>
      </c>
    </row>
    <row r="9368">
      <c r="A9368" s="4">
        <v>45534.44991322917</v>
      </c>
      <c r="B9368" s="5" t="s">
        <v>34</v>
      </c>
      <c r="D9368" s="5" t="s">
        <v>9020</v>
      </c>
      <c r="E9368" s="5" t="s">
        <v>13548</v>
      </c>
      <c r="F9368" s="5" t="s">
        <v>120</v>
      </c>
      <c r="G9368" s="5" t="s">
        <v>13549</v>
      </c>
      <c r="H9368" s="6" t="s">
        <v>58102</v>
      </c>
      <c r="K9368" s="5" t="s">
        <v>58020</v>
      </c>
    </row>
    <row r="9369">
      <c r="A9369" s="4">
        <v>45534.44997190972</v>
      </c>
      <c r="B9369" s="5" t="s">
        <v>34</v>
      </c>
      <c r="D9369" s="5" t="s">
        <v>14313</v>
      </c>
      <c r="E9369" s="5" t="s">
        <v>58105</v>
      </c>
      <c r="F9369" s="5" t="s">
        <v>120</v>
      </c>
      <c r="G9369" s="5" t="s">
        <v>58106</v>
      </c>
      <c r="H9369" s="6" t="s">
        <v>58107</v>
      </c>
      <c r="K9369" s="5" t="s">
        <v>58020</v>
      </c>
    </row>
    <row r="9370">
      <c r="A9370" s="4">
        <v>45534.45007612268</v>
      </c>
      <c r="B9370" s="5" t="s">
        <v>19</v>
      </c>
      <c r="C9370" s="5" t="s">
        <v>292</v>
      </c>
      <c r="E9370" s="5" t="s">
        <v>58111</v>
      </c>
      <c r="F9370" s="5" t="s">
        <v>37</v>
      </c>
      <c r="G9370" s="5" t="s">
        <v>58112</v>
      </c>
      <c r="H9370" s="6" t="s">
        <v>58113</v>
      </c>
      <c r="K9370" s="5" t="s">
        <v>58020</v>
      </c>
    </row>
    <row r="9371">
      <c r="A9371" s="4">
        <v>45534.45033400463</v>
      </c>
      <c r="B9371" s="5" t="s">
        <v>34</v>
      </c>
      <c r="D9371" s="5" t="s">
        <v>1206</v>
      </c>
      <c r="E9371" s="5" t="s">
        <v>58116</v>
      </c>
      <c r="F9371" s="5" t="s">
        <v>375</v>
      </c>
      <c r="G9371" s="5" t="s">
        <v>58117</v>
      </c>
      <c r="H9371" s="6" t="s">
        <v>58118</v>
      </c>
      <c r="K9371" s="5" t="s">
        <v>58119</v>
      </c>
    </row>
    <row r="9372">
      <c r="A9372" s="4">
        <v>45534.450733680555</v>
      </c>
      <c r="B9372" s="5" t="s">
        <v>34</v>
      </c>
      <c r="D9372" s="5" t="s">
        <v>15401</v>
      </c>
      <c r="E9372" s="5" t="s">
        <v>58122</v>
      </c>
      <c r="F9372" s="5" t="s">
        <v>212</v>
      </c>
      <c r="G9372" s="5" t="s">
        <v>58123</v>
      </c>
      <c r="H9372" s="6" t="s">
        <v>58124</v>
      </c>
      <c r="K9372" s="5" t="s">
        <v>58125</v>
      </c>
    </row>
    <row r="9373">
      <c r="A9373" s="4">
        <v>45534.4507869213</v>
      </c>
      <c r="B9373" s="5" t="s">
        <v>34</v>
      </c>
      <c r="D9373" s="5" t="s">
        <v>1206</v>
      </c>
      <c r="E9373" s="5" t="s">
        <v>58128</v>
      </c>
      <c r="F9373" s="5" t="s">
        <v>37</v>
      </c>
      <c r="G9373" s="5" t="s">
        <v>58129</v>
      </c>
      <c r="H9373" s="6" t="s">
        <v>58130</v>
      </c>
      <c r="K9373" s="5" t="s">
        <v>58125</v>
      </c>
    </row>
    <row r="9374">
      <c r="A9374" s="4">
        <v>45534.45091962963</v>
      </c>
      <c r="B9374" s="5" t="s">
        <v>34</v>
      </c>
      <c r="D9374" s="5" t="s">
        <v>4775</v>
      </c>
      <c r="E9374" s="5" t="s">
        <v>58133</v>
      </c>
      <c r="F9374" s="5" t="s">
        <v>72</v>
      </c>
      <c r="G9374" s="5" t="s">
        <v>58134</v>
      </c>
      <c r="H9374" s="6" t="s">
        <v>58135</v>
      </c>
      <c r="K9374" s="5" t="s">
        <v>58136</v>
      </c>
    </row>
    <row r="9375">
      <c r="A9375" s="4">
        <v>45534.450920625</v>
      </c>
      <c r="B9375" s="5" t="s">
        <v>19</v>
      </c>
      <c r="C9375" s="5" t="s">
        <v>83</v>
      </c>
      <c r="E9375" s="5" t="s">
        <v>58139</v>
      </c>
      <c r="F9375" s="5" t="s">
        <v>72</v>
      </c>
      <c r="G9375" s="5" t="s">
        <v>58140</v>
      </c>
      <c r="H9375" s="6" t="s">
        <v>58141</v>
      </c>
      <c r="K9375" s="5" t="s">
        <v>58136</v>
      </c>
    </row>
    <row r="9376">
      <c r="A9376" s="4">
        <v>45534.450933541666</v>
      </c>
      <c r="B9376" s="5" t="s">
        <v>19</v>
      </c>
      <c r="C9376" s="5" t="s">
        <v>3301</v>
      </c>
      <c r="E9376" s="5" t="s">
        <v>58145</v>
      </c>
      <c r="F9376" s="5" t="s">
        <v>37</v>
      </c>
      <c r="G9376" s="5" t="s">
        <v>58146</v>
      </c>
      <c r="H9376" s="6" t="s">
        <v>58147</v>
      </c>
      <c r="K9376" s="5" t="s">
        <v>58136</v>
      </c>
    </row>
    <row r="9377">
      <c r="A9377" s="4">
        <v>45534.45095542824</v>
      </c>
      <c r="B9377" s="5" t="s">
        <v>34</v>
      </c>
      <c r="D9377" s="5" t="s">
        <v>15401</v>
      </c>
      <c r="E9377" s="5" t="s">
        <v>58150</v>
      </c>
      <c r="F9377" s="5" t="s">
        <v>212</v>
      </c>
      <c r="G9377" s="5" t="s">
        <v>58151</v>
      </c>
      <c r="H9377" s="6" t="s">
        <v>58152</v>
      </c>
      <c r="K9377" s="5" t="s">
        <v>58153</v>
      </c>
    </row>
    <row r="9378">
      <c r="A9378" s="4">
        <v>45534.45101737269</v>
      </c>
      <c r="B9378" s="5" t="s">
        <v>34</v>
      </c>
      <c r="D9378" s="5" t="s">
        <v>522</v>
      </c>
      <c r="E9378" s="5" t="s">
        <v>58156</v>
      </c>
      <c r="F9378" s="5" t="s">
        <v>72</v>
      </c>
      <c r="G9378" s="5" t="s">
        <v>58157</v>
      </c>
      <c r="H9378" s="6" t="s">
        <v>58158</v>
      </c>
      <c r="K9378" s="5" t="s">
        <v>58153</v>
      </c>
    </row>
    <row r="9379">
      <c r="A9379" s="4">
        <v>45534.45110175926</v>
      </c>
      <c r="B9379" s="5" t="s">
        <v>19</v>
      </c>
      <c r="C9379" s="5" t="s">
        <v>20</v>
      </c>
      <c r="E9379" s="5" t="s">
        <v>58161</v>
      </c>
      <c r="F9379" s="5" t="s">
        <v>120</v>
      </c>
      <c r="G9379" s="5" t="s">
        <v>58162</v>
      </c>
      <c r="H9379" s="6" t="s">
        <v>58163</v>
      </c>
      <c r="K9379" s="5" t="s">
        <v>58153</v>
      </c>
    </row>
    <row r="9380">
      <c r="A9380" s="4">
        <v>45534.45113233796</v>
      </c>
      <c r="B9380" s="5" t="s">
        <v>34</v>
      </c>
      <c r="D9380" s="5" t="s">
        <v>701</v>
      </c>
      <c r="E9380" s="5" t="s">
        <v>58166</v>
      </c>
      <c r="F9380" s="5" t="s">
        <v>524</v>
      </c>
      <c r="G9380" s="5" t="s">
        <v>53908</v>
      </c>
      <c r="H9380" s="6" t="s">
        <v>58167</v>
      </c>
      <c r="K9380" s="5" t="s">
        <v>58153</v>
      </c>
    </row>
    <row r="9381">
      <c r="A9381" s="4">
        <v>45534.451268171295</v>
      </c>
      <c r="B9381" s="5" t="s">
        <v>19</v>
      </c>
      <c r="C9381" s="5" t="s">
        <v>20</v>
      </c>
      <c r="E9381" s="5" t="s">
        <v>50181</v>
      </c>
      <c r="F9381" s="5" t="s">
        <v>212</v>
      </c>
      <c r="G9381" s="5" t="s">
        <v>57779</v>
      </c>
      <c r="H9381" s="6" t="s">
        <v>58171</v>
      </c>
      <c r="K9381" s="5" t="s">
        <v>58153</v>
      </c>
    </row>
    <row r="9382">
      <c r="A9382" s="4">
        <v>45534.45135120371</v>
      </c>
      <c r="B9382" s="5" t="s">
        <v>34</v>
      </c>
      <c r="D9382" s="5" t="s">
        <v>701</v>
      </c>
      <c r="E9382" s="5" t="s">
        <v>58174</v>
      </c>
      <c r="F9382" s="5" t="s">
        <v>524</v>
      </c>
      <c r="G9382" s="5" t="s">
        <v>58175</v>
      </c>
      <c r="H9382" s="6" t="s">
        <v>58176</v>
      </c>
      <c r="K9382" s="5" t="s">
        <v>58177</v>
      </c>
    </row>
    <row r="9383">
      <c r="A9383" s="4">
        <v>45534.45139638889</v>
      </c>
      <c r="B9383" s="5" t="s">
        <v>34</v>
      </c>
      <c r="D9383" s="5" t="s">
        <v>14313</v>
      </c>
      <c r="E9383" s="5" t="s">
        <v>58180</v>
      </c>
      <c r="F9383" s="5" t="s">
        <v>524</v>
      </c>
      <c r="G9383" s="5" t="s">
        <v>58181</v>
      </c>
      <c r="H9383" s="6" t="s">
        <v>58182</v>
      </c>
      <c r="K9383" s="5" t="s">
        <v>58183</v>
      </c>
    </row>
    <row r="9384">
      <c r="A9384" s="4">
        <v>45534.451446770836</v>
      </c>
      <c r="B9384" s="5" t="s">
        <v>34</v>
      </c>
      <c r="D9384" s="5" t="s">
        <v>9020</v>
      </c>
      <c r="E9384" s="5" t="s">
        <v>23159</v>
      </c>
      <c r="F9384" s="5" t="s">
        <v>37</v>
      </c>
      <c r="G9384" s="5" t="s">
        <v>58186</v>
      </c>
      <c r="H9384" s="6" t="s">
        <v>58187</v>
      </c>
      <c r="K9384" s="5" t="s">
        <v>58188</v>
      </c>
    </row>
    <row r="9385">
      <c r="A9385" s="4">
        <v>45534.45148113426</v>
      </c>
      <c r="B9385" s="5" t="s">
        <v>34</v>
      </c>
      <c r="D9385" s="5" t="s">
        <v>6232</v>
      </c>
      <c r="E9385" s="5" t="s">
        <v>58191</v>
      </c>
      <c r="F9385" s="5" t="s">
        <v>108</v>
      </c>
      <c r="G9385" s="5" t="s">
        <v>58192</v>
      </c>
      <c r="H9385" s="6" t="s">
        <v>58193</v>
      </c>
      <c r="K9385" s="5" t="s">
        <v>58188</v>
      </c>
    </row>
    <row r="9386">
      <c r="A9386" s="4">
        <v>45534.45158603009</v>
      </c>
      <c r="B9386" s="5" t="s">
        <v>34</v>
      </c>
      <c r="D9386" s="5" t="s">
        <v>1206</v>
      </c>
      <c r="E9386" s="5" t="s">
        <v>29084</v>
      </c>
      <c r="F9386" s="5" t="s">
        <v>199</v>
      </c>
      <c r="G9386" s="5" t="s">
        <v>58197</v>
      </c>
      <c r="H9386" s="6" t="s">
        <v>58198</v>
      </c>
      <c r="K9386" s="5" t="s">
        <v>58199</v>
      </c>
    </row>
    <row r="9387">
      <c r="A9387" s="4">
        <v>45534.45162710648</v>
      </c>
      <c r="B9387" s="5" t="s">
        <v>34</v>
      </c>
      <c r="D9387" s="5" t="s">
        <v>9394</v>
      </c>
      <c r="E9387" s="5" t="s">
        <v>58202</v>
      </c>
      <c r="F9387" s="5" t="s">
        <v>715</v>
      </c>
      <c r="G9387" s="5" t="s">
        <v>58203</v>
      </c>
      <c r="H9387" s="6" t="s">
        <v>58204</v>
      </c>
      <c r="K9387" s="5" t="s">
        <v>58199</v>
      </c>
    </row>
    <row r="9388">
      <c r="A9388" s="4">
        <v>45534.45176109954</v>
      </c>
      <c r="B9388" s="5" t="s">
        <v>34</v>
      </c>
      <c r="D9388" s="5" t="s">
        <v>9020</v>
      </c>
      <c r="E9388" s="5" t="s">
        <v>58207</v>
      </c>
      <c r="F9388" s="5" t="s">
        <v>212</v>
      </c>
      <c r="G9388" s="5" t="s">
        <v>58208</v>
      </c>
      <c r="H9388" s="6" t="s">
        <v>58209</v>
      </c>
      <c r="K9388" s="5" t="s">
        <v>58199</v>
      </c>
    </row>
    <row r="9389">
      <c r="A9389" s="4">
        <v>45534.451836238426</v>
      </c>
      <c r="B9389" s="5" t="s">
        <v>34</v>
      </c>
      <c r="D9389" s="5" t="s">
        <v>6232</v>
      </c>
      <c r="E9389" s="5" t="s">
        <v>58212</v>
      </c>
      <c r="F9389" s="5" t="s">
        <v>37</v>
      </c>
      <c r="G9389" s="5" t="s">
        <v>58213</v>
      </c>
      <c r="H9389" s="6" t="s">
        <v>58214</v>
      </c>
      <c r="K9389" s="5" t="s">
        <v>58199</v>
      </c>
    </row>
    <row r="9390">
      <c r="A9390" s="4">
        <v>45534.45198837963</v>
      </c>
      <c r="B9390" s="5" t="s">
        <v>34</v>
      </c>
      <c r="D9390" s="5" t="s">
        <v>14313</v>
      </c>
      <c r="E9390" s="5" t="s">
        <v>58217</v>
      </c>
      <c r="F9390" s="5" t="s">
        <v>524</v>
      </c>
      <c r="G9390" s="5" t="s">
        <v>58218</v>
      </c>
      <c r="H9390" s="6" t="s">
        <v>58219</v>
      </c>
      <c r="K9390" s="5" t="s">
        <v>58220</v>
      </c>
    </row>
    <row r="9391">
      <c r="A9391" s="4">
        <v>45534.45206181713</v>
      </c>
      <c r="B9391" s="5" t="s">
        <v>34</v>
      </c>
      <c r="D9391" s="5" t="s">
        <v>9394</v>
      </c>
      <c r="E9391" s="5" t="s">
        <v>58224</v>
      </c>
      <c r="F9391" s="5" t="s">
        <v>108</v>
      </c>
      <c r="G9391" s="5" t="s">
        <v>58225</v>
      </c>
      <c r="H9391" s="6" t="s">
        <v>58226</v>
      </c>
      <c r="K9391" s="5" t="s">
        <v>58227</v>
      </c>
    </row>
    <row r="9392">
      <c r="A9392" s="4">
        <v>45534.4520834838</v>
      </c>
      <c r="B9392" s="5" t="s">
        <v>34</v>
      </c>
      <c r="D9392" s="5" t="s">
        <v>7858</v>
      </c>
      <c r="E9392" s="5" t="s">
        <v>58231</v>
      </c>
      <c r="F9392" s="5" t="s">
        <v>37</v>
      </c>
      <c r="G9392" s="5" t="s">
        <v>58232</v>
      </c>
      <c r="H9392" s="6" t="s">
        <v>58233</v>
      </c>
      <c r="K9392" s="5" t="s">
        <v>58234</v>
      </c>
    </row>
    <row r="9393">
      <c r="A9393" s="4">
        <v>45534.45223997685</v>
      </c>
      <c r="B9393" s="5" t="s">
        <v>34</v>
      </c>
      <c r="D9393" s="5" t="s">
        <v>14313</v>
      </c>
      <c r="E9393" s="5" t="s">
        <v>58238</v>
      </c>
      <c r="F9393" s="5" t="s">
        <v>524</v>
      </c>
      <c r="G9393" s="5" t="s">
        <v>58239</v>
      </c>
      <c r="H9393" s="6" t="s">
        <v>58240</v>
      </c>
      <c r="K9393" s="5" t="s">
        <v>58241</v>
      </c>
    </row>
    <row r="9394">
      <c r="A9394" s="4">
        <v>45534.45234870371</v>
      </c>
      <c r="B9394" s="5" t="s">
        <v>34</v>
      </c>
      <c r="D9394" s="5" t="s">
        <v>2903</v>
      </c>
      <c r="E9394" s="5" t="s">
        <v>43754</v>
      </c>
      <c r="F9394" s="5" t="s">
        <v>199</v>
      </c>
      <c r="G9394" s="5" t="s">
        <v>58245</v>
      </c>
      <c r="H9394" s="6" t="s">
        <v>58246</v>
      </c>
      <c r="K9394" s="5" t="s">
        <v>58241</v>
      </c>
    </row>
    <row r="9395">
      <c r="A9395" s="4">
        <v>45534.45244450231</v>
      </c>
      <c r="B9395" s="5" t="s">
        <v>34</v>
      </c>
      <c r="D9395" s="5" t="s">
        <v>14313</v>
      </c>
      <c r="E9395" s="5" t="s">
        <v>58250</v>
      </c>
      <c r="F9395" s="5" t="s">
        <v>72</v>
      </c>
      <c r="G9395" s="5" t="s">
        <v>58251</v>
      </c>
      <c r="H9395" s="6" t="s">
        <v>58252</v>
      </c>
      <c r="K9395" s="5" t="s">
        <v>58241</v>
      </c>
    </row>
    <row r="9396">
      <c r="A9396" s="4">
        <v>45534.452728715274</v>
      </c>
      <c r="B9396" s="5" t="s">
        <v>34</v>
      </c>
      <c r="D9396" s="5" t="s">
        <v>701</v>
      </c>
      <c r="E9396" s="5" t="s">
        <v>58256</v>
      </c>
      <c r="F9396" s="5" t="s">
        <v>108</v>
      </c>
      <c r="G9396" s="5" t="s">
        <v>58257</v>
      </c>
      <c r="H9396" s="6" t="s">
        <v>58258</v>
      </c>
      <c r="K9396" s="5" t="s">
        <v>58259</v>
      </c>
    </row>
    <row r="9397">
      <c r="A9397" s="4">
        <v>45534.45277625</v>
      </c>
      <c r="B9397" s="5" t="s">
        <v>34</v>
      </c>
      <c r="D9397" s="5" t="s">
        <v>1206</v>
      </c>
      <c r="E9397" s="7" t="s">
        <v>19671</v>
      </c>
      <c r="F9397" s="5" t="s">
        <v>715</v>
      </c>
      <c r="G9397" s="5" t="s">
        <v>19672</v>
      </c>
      <c r="H9397" s="6" t="s">
        <v>58263</v>
      </c>
      <c r="K9397" s="5" t="s">
        <v>58259</v>
      </c>
    </row>
    <row r="9398">
      <c r="A9398" s="4">
        <v>45534.45284709491</v>
      </c>
      <c r="B9398" s="5" t="s">
        <v>34</v>
      </c>
      <c r="D9398" s="5" t="s">
        <v>4775</v>
      </c>
      <c r="E9398" s="5" t="s">
        <v>58267</v>
      </c>
      <c r="F9398" s="5" t="s">
        <v>212</v>
      </c>
      <c r="G9398" s="5" t="s">
        <v>58268</v>
      </c>
      <c r="H9398" s="6" t="s">
        <v>58269</v>
      </c>
      <c r="K9398" s="5" t="s">
        <v>58259</v>
      </c>
    </row>
    <row r="9399">
      <c r="A9399" s="4">
        <v>45534.45287550926</v>
      </c>
      <c r="B9399" s="5" t="s">
        <v>34</v>
      </c>
      <c r="D9399" s="5" t="s">
        <v>1206</v>
      </c>
      <c r="E9399" s="5" t="s">
        <v>58273</v>
      </c>
      <c r="F9399" s="5" t="s">
        <v>37</v>
      </c>
      <c r="G9399" s="5" t="s">
        <v>58274</v>
      </c>
      <c r="H9399" s="6" t="s">
        <v>58275</v>
      </c>
      <c r="K9399" s="5" t="s">
        <v>58259</v>
      </c>
    </row>
    <row r="9400">
      <c r="A9400" s="4">
        <v>45534.45290434027</v>
      </c>
      <c r="B9400" s="5" t="s">
        <v>19</v>
      </c>
      <c r="C9400" s="5" t="s">
        <v>38343</v>
      </c>
      <c r="E9400" s="5" t="s">
        <v>58279</v>
      </c>
      <c r="F9400" s="5" t="s">
        <v>72</v>
      </c>
      <c r="G9400" s="5" t="s">
        <v>58280</v>
      </c>
      <c r="H9400" s="6" t="s">
        <v>58281</v>
      </c>
      <c r="K9400" s="5" t="s">
        <v>58259</v>
      </c>
    </row>
    <row r="9401">
      <c r="A9401" s="4">
        <v>45534.45295396991</v>
      </c>
      <c r="B9401" s="5" t="s">
        <v>34</v>
      </c>
      <c r="D9401" s="5" t="s">
        <v>580</v>
      </c>
      <c r="E9401" s="5" t="s">
        <v>58285</v>
      </c>
      <c r="F9401" s="5" t="s">
        <v>524</v>
      </c>
      <c r="G9401" s="5" t="s">
        <v>58286</v>
      </c>
      <c r="H9401" s="6" t="s">
        <v>58287</v>
      </c>
      <c r="K9401" s="5" t="s">
        <v>58259</v>
      </c>
    </row>
    <row r="9402">
      <c r="A9402" s="4">
        <v>45534.4530591088</v>
      </c>
      <c r="B9402" s="5" t="s">
        <v>34</v>
      </c>
      <c r="D9402" s="5" t="s">
        <v>14313</v>
      </c>
      <c r="E9402" s="5" t="s">
        <v>58291</v>
      </c>
      <c r="F9402" s="5" t="s">
        <v>22</v>
      </c>
      <c r="G9402" s="5" t="s">
        <v>58292</v>
      </c>
      <c r="H9402" s="6" t="s">
        <v>58293</v>
      </c>
      <c r="K9402" s="5" t="s">
        <v>58259</v>
      </c>
    </row>
    <row r="9403">
      <c r="A9403" s="4">
        <v>45534.45308767361</v>
      </c>
      <c r="B9403" s="5" t="s">
        <v>34</v>
      </c>
      <c r="D9403" s="5" t="s">
        <v>14313</v>
      </c>
      <c r="E9403" s="5" t="s">
        <v>58297</v>
      </c>
      <c r="F9403" s="5" t="s">
        <v>524</v>
      </c>
      <c r="G9403" s="5" t="s">
        <v>58298</v>
      </c>
      <c r="H9403" s="6" t="s">
        <v>58299</v>
      </c>
      <c r="K9403" s="5" t="s">
        <v>58259</v>
      </c>
    </row>
    <row r="9404">
      <c r="A9404" s="4">
        <v>45534.45318894676</v>
      </c>
      <c r="B9404" s="5" t="s">
        <v>34</v>
      </c>
      <c r="D9404" s="5" t="s">
        <v>12978</v>
      </c>
      <c r="E9404" s="5" t="s">
        <v>58303</v>
      </c>
      <c r="F9404" s="5" t="s">
        <v>212</v>
      </c>
      <c r="G9404" s="5" t="s">
        <v>58304</v>
      </c>
      <c r="H9404" s="6" t="s">
        <v>58305</v>
      </c>
      <c r="K9404" s="5" t="s">
        <v>58259</v>
      </c>
    </row>
    <row r="9405">
      <c r="A9405" s="4">
        <v>45534.453214837966</v>
      </c>
      <c r="B9405" s="5" t="s">
        <v>34</v>
      </c>
      <c r="D9405" s="5" t="s">
        <v>6232</v>
      </c>
      <c r="E9405" s="5" t="s">
        <v>58309</v>
      </c>
      <c r="F9405" s="5" t="s">
        <v>72</v>
      </c>
      <c r="G9405" s="5" t="s">
        <v>58310</v>
      </c>
      <c r="H9405" s="6" t="s">
        <v>58311</v>
      </c>
      <c r="K9405" s="5" t="s">
        <v>58259</v>
      </c>
    </row>
    <row r="9406">
      <c r="A9406" s="4">
        <v>45534.453365532405</v>
      </c>
      <c r="B9406" s="5" t="s">
        <v>34</v>
      </c>
      <c r="D9406" s="5" t="s">
        <v>14313</v>
      </c>
      <c r="E9406" s="5" t="s">
        <v>58315</v>
      </c>
      <c r="F9406" s="5" t="s">
        <v>212</v>
      </c>
      <c r="G9406" s="5" t="s">
        <v>58316</v>
      </c>
      <c r="H9406" s="6" t="s">
        <v>58317</v>
      </c>
      <c r="K9406" s="5" t="s">
        <v>58318</v>
      </c>
    </row>
    <row r="9407">
      <c r="A9407" s="4">
        <v>45534.45362509259</v>
      </c>
      <c r="B9407" s="5" t="s">
        <v>34</v>
      </c>
      <c r="D9407" s="5" t="s">
        <v>604</v>
      </c>
      <c r="E9407" s="5" t="s">
        <v>58322</v>
      </c>
      <c r="F9407" s="5" t="s">
        <v>212</v>
      </c>
      <c r="G9407" s="5" t="s">
        <v>58323</v>
      </c>
      <c r="H9407" s="6" t="s">
        <v>58324</v>
      </c>
      <c r="K9407" s="5" t="s">
        <v>58325</v>
      </c>
    </row>
    <row r="9408">
      <c r="A9408" s="4">
        <v>45534.453726458334</v>
      </c>
      <c r="B9408" s="5" t="s">
        <v>34</v>
      </c>
      <c r="D9408" s="5" t="s">
        <v>4775</v>
      </c>
      <c r="E9408" s="5" t="s">
        <v>58329</v>
      </c>
      <c r="F9408" s="5" t="s">
        <v>37</v>
      </c>
      <c r="G9408" s="5" t="s">
        <v>58330</v>
      </c>
      <c r="H9408" s="6" t="s">
        <v>58331</v>
      </c>
      <c r="K9408" s="5" t="s">
        <v>58332</v>
      </c>
    </row>
    <row r="9409">
      <c r="A9409" s="4">
        <v>45534.453813368054</v>
      </c>
      <c r="B9409" s="5" t="s">
        <v>34</v>
      </c>
      <c r="D9409" s="5" t="s">
        <v>4775</v>
      </c>
      <c r="E9409" s="5" t="s">
        <v>58336</v>
      </c>
      <c r="F9409" s="5" t="s">
        <v>72</v>
      </c>
      <c r="G9409" s="5" t="s">
        <v>58337</v>
      </c>
      <c r="H9409" s="6" t="s">
        <v>58338</v>
      </c>
      <c r="K9409" s="5" t="s">
        <v>58339</v>
      </c>
    </row>
    <row r="9410">
      <c r="A9410" s="4">
        <v>45534.453876875</v>
      </c>
      <c r="B9410" s="5" t="s">
        <v>19</v>
      </c>
      <c r="C9410" s="5" t="s">
        <v>466</v>
      </c>
      <c r="E9410" s="5" t="s">
        <v>33887</v>
      </c>
      <c r="F9410" s="5" t="s">
        <v>199</v>
      </c>
      <c r="G9410" s="5" t="s">
        <v>58343</v>
      </c>
      <c r="H9410" s="6" t="s">
        <v>58344</v>
      </c>
      <c r="K9410" s="5" t="s">
        <v>58345</v>
      </c>
    </row>
    <row r="9411">
      <c r="A9411" s="4">
        <v>45534.45412520833</v>
      </c>
      <c r="B9411" s="5" t="s">
        <v>34</v>
      </c>
      <c r="D9411" s="5" t="s">
        <v>4775</v>
      </c>
      <c r="E9411" s="5" t="s">
        <v>32053</v>
      </c>
      <c r="F9411" s="5" t="s">
        <v>37</v>
      </c>
      <c r="G9411" s="5" t="s">
        <v>58349</v>
      </c>
      <c r="H9411" s="6" t="s">
        <v>58350</v>
      </c>
      <c r="K9411" s="5" t="s">
        <v>58351</v>
      </c>
    </row>
    <row r="9412">
      <c r="A9412" s="4">
        <v>45534.45417696759</v>
      </c>
      <c r="B9412" s="5" t="s">
        <v>34</v>
      </c>
      <c r="D9412" s="5" t="s">
        <v>1692</v>
      </c>
      <c r="E9412" s="5" t="s">
        <v>58355</v>
      </c>
      <c r="F9412" s="5" t="s">
        <v>375</v>
      </c>
      <c r="G9412" s="5" t="s">
        <v>58356</v>
      </c>
      <c r="H9412" s="6" t="s">
        <v>58357</v>
      </c>
      <c r="K9412" s="5" t="s">
        <v>58358</v>
      </c>
    </row>
    <row r="9413">
      <c r="A9413" s="4">
        <v>45534.45430091435</v>
      </c>
      <c r="B9413" s="5" t="s">
        <v>34</v>
      </c>
      <c r="D9413" s="5" t="s">
        <v>35</v>
      </c>
      <c r="E9413" s="5" t="s">
        <v>58362</v>
      </c>
      <c r="F9413" s="5" t="s">
        <v>37</v>
      </c>
      <c r="G9413" s="5" t="s">
        <v>58363</v>
      </c>
      <c r="H9413" s="6" t="s">
        <v>58364</v>
      </c>
      <c r="K9413" s="5" t="s">
        <v>58365</v>
      </c>
    </row>
    <row r="9414">
      <c r="A9414" s="4">
        <v>45534.45435021991</v>
      </c>
      <c r="B9414" s="5" t="s">
        <v>34</v>
      </c>
      <c r="D9414" s="5" t="s">
        <v>2903</v>
      </c>
      <c r="E9414" s="5" t="s">
        <v>58369</v>
      </c>
      <c r="F9414" s="5" t="s">
        <v>108</v>
      </c>
      <c r="G9414" s="5" t="s">
        <v>58370</v>
      </c>
      <c r="H9414" s="6" t="s">
        <v>58371</v>
      </c>
      <c r="K9414" s="5" t="s">
        <v>58365</v>
      </c>
    </row>
    <row r="9415">
      <c r="A9415" s="4">
        <v>45534.45438216435</v>
      </c>
      <c r="B9415" s="5" t="s">
        <v>34</v>
      </c>
      <c r="D9415" s="5" t="s">
        <v>9020</v>
      </c>
      <c r="E9415" s="5" t="s">
        <v>58375</v>
      </c>
      <c r="F9415" s="5" t="s">
        <v>72</v>
      </c>
      <c r="G9415" s="5" t="s">
        <v>58376</v>
      </c>
      <c r="H9415" s="6" t="s">
        <v>58377</v>
      </c>
      <c r="K9415" s="5" t="s">
        <v>58365</v>
      </c>
    </row>
    <row r="9416">
      <c r="A9416" s="4">
        <v>45534.45457599537</v>
      </c>
      <c r="B9416" s="5" t="s">
        <v>19</v>
      </c>
      <c r="C9416" s="5" t="s">
        <v>20</v>
      </c>
      <c r="E9416" s="5" t="s">
        <v>58381</v>
      </c>
      <c r="F9416" s="5" t="s">
        <v>375</v>
      </c>
      <c r="G9416" s="5" t="s">
        <v>58382</v>
      </c>
      <c r="H9416" s="6" t="s">
        <v>58383</v>
      </c>
      <c r="K9416" s="5" t="s">
        <v>58365</v>
      </c>
    </row>
    <row r="9417">
      <c r="A9417" s="4">
        <v>45534.45511121528</v>
      </c>
      <c r="B9417" s="5" t="s">
        <v>34</v>
      </c>
      <c r="D9417" s="5" t="s">
        <v>14313</v>
      </c>
      <c r="E9417" s="5" t="s">
        <v>58387</v>
      </c>
      <c r="F9417" s="5" t="s">
        <v>37</v>
      </c>
      <c r="G9417" s="5" t="s">
        <v>58388</v>
      </c>
      <c r="H9417" s="6" t="s">
        <v>58389</v>
      </c>
      <c r="K9417" s="5" t="s">
        <v>58365</v>
      </c>
    </row>
    <row r="9418">
      <c r="A9418" s="4">
        <v>45534.45512201389</v>
      </c>
      <c r="B9418" s="5" t="s">
        <v>19</v>
      </c>
      <c r="C9418" s="5" t="s">
        <v>292</v>
      </c>
      <c r="E9418" s="5" t="s">
        <v>58393</v>
      </c>
      <c r="F9418" s="5" t="s">
        <v>37</v>
      </c>
      <c r="G9418" s="5" t="s">
        <v>58394</v>
      </c>
      <c r="H9418" s="6" t="s">
        <v>58395</v>
      </c>
      <c r="K9418" s="5" t="s">
        <v>58365</v>
      </c>
    </row>
    <row r="9419">
      <c r="A9419" s="4">
        <v>45534.45514496528</v>
      </c>
      <c r="B9419" s="5" t="s">
        <v>19</v>
      </c>
      <c r="C9419" s="5" t="s">
        <v>292</v>
      </c>
      <c r="E9419" s="5" t="s">
        <v>58399</v>
      </c>
      <c r="F9419" s="5" t="s">
        <v>37</v>
      </c>
      <c r="G9419" s="5" t="s">
        <v>58400</v>
      </c>
      <c r="H9419" s="6" t="s">
        <v>58401</v>
      </c>
      <c r="K9419" s="5" t="s">
        <v>58365</v>
      </c>
    </row>
    <row r="9420">
      <c r="A9420" s="4">
        <v>45534.45519114583</v>
      </c>
      <c r="B9420" s="5" t="s">
        <v>34</v>
      </c>
      <c r="D9420" s="5" t="s">
        <v>280</v>
      </c>
      <c r="E9420" s="5" t="s">
        <v>16105</v>
      </c>
      <c r="F9420" s="5" t="s">
        <v>375</v>
      </c>
      <c r="G9420" s="5" t="s">
        <v>16106</v>
      </c>
      <c r="H9420" s="6" t="s">
        <v>58405</v>
      </c>
      <c r="K9420" s="5" t="s">
        <v>58365</v>
      </c>
    </row>
    <row r="9421">
      <c r="A9421" s="4">
        <v>45534.45523466435</v>
      </c>
      <c r="B9421" s="5" t="s">
        <v>34</v>
      </c>
      <c r="D9421" s="5" t="s">
        <v>9020</v>
      </c>
      <c r="E9421" s="5" t="s">
        <v>58409</v>
      </c>
      <c r="F9421" s="5" t="s">
        <v>524</v>
      </c>
      <c r="G9421" s="5" t="s">
        <v>58410</v>
      </c>
      <c r="H9421" s="6" t="s">
        <v>58411</v>
      </c>
      <c r="K9421" s="5" t="s">
        <v>58365</v>
      </c>
    </row>
    <row r="9422">
      <c r="A9422" s="4">
        <v>45534.455237118054</v>
      </c>
      <c r="B9422" s="5" t="s">
        <v>34</v>
      </c>
      <c r="D9422" s="5" t="s">
        <v>14313</v>
      </c>
      <c r="E9422" s="5" t="s">
        <v>58415</v>
      </c>
      <c r="F9422" s="5" t="s">
        <v>715</v>
      </c>
      <c r="G9422" s="5" t="s">
        <v>58416</v>
      </c>
      <c r="H9422" s="6" t="s">
        <v>58417</v>
      </c>
      <c r="K9422" s="5" t="s">
        <v>58365</v>
      </c>
    </row>
    <row r="9423">
      <c r="A9423" s="4">
        <v>45534.45531754629</v>
      </c>
      <c r="B9423" s="5" t="s">
        <v>34</v>
      </c>
      <c r="D9423" s="5" t="s">
        <v>1206</v>
      </c>
      <c r="E9423" s="5" t="s">
        <v>58421</v>
      </c>
      <c r="F9423" s="5" t="s">
        <v>199</v>
      </c>
      <c r="G9423" s="5" t="s">
        <v>58422</v>
      </c>
      <c r="H9423" s="6" t="s">
        <v>58423</v>
      </c>
      <c r="K9423" s="5" t="s">
        <v>58365</v>
      </c>
    </row>
    <row r="9424">
      <c r="A9424" s="4">
        <v>45534.45533445602</v>
      </c>
      <c r="B9424" s="5" t="s">
        <v>19</v>
      </c>
      <c r="C9424" s="5" t="s">
        <v>292</v>
      </c>
      <c r="E9424" s="5" t="s">
        <v>58427</v>
      </c>
      <c r="F9424" s="5" t="s">
        <v>37</v>
      </c>
      <c r="G9424" s="5" t="s">
        <v>58428</v>
      </c>
      <c r="H9424" s="6" t="s">
        <v>58429</v>
      </c>
      <c r="K9424" s="5" t="s">
        <v>58365</v>
      </c>
    </row>
    <row r="9425">
      <c r="A9425" s="4">
        <v>45534.45539152778</v>
      </c>
      <c r="B9425" s="5" t="s">
        <v>34</v>
      </c>
      <c r="D9425" s="5" t="s">
        <v>580</v>
      </c>
      <c r="E9425" s="5" t="s">
        <v>58433</v>
      </c>
      <c r="F9425" s="5" t="s">
        <v>212</v>
      </c>
      <c r="G9425" s="5" t="s">
        <v>58434</v>
      </c>
      <c r="H9425" s="6" t="s">
        <v>58435</v>
      </c>
      <c r="K9425" s="5" t="s">
        <v>58365</v>
      </c>
    </row>
    <row r="9426">
      <c r="A9426" s="4">
        <v>45534.45539965278</v>
      </c>
      <c r="B9426" s="5" t="s">
        <v>19</v>
      </c>
      <c r="C9426" s="5" t="s">
        <v>292</v>
      </c>
      <c r="E9426" s="5" t="s">
        <v>58439</v>
      </c>
      <c r="F9426" s="5" t="s">
        <v>37</v>
      </c>
      <c r="G9426" s="5" t="s">
        <v>58440</v>
      </c>
      <c r="H9426" s="6" t="s">
        <v>58441</v>
      </c>
      <c r="K9426" s="5" t="s">
        <v>58365</v>
      </c>
    </row>
    <row r="9427">
      <c r="A9427" s="4">
        <v>45534.45542670139</v>
      </c>
      <c r="B9427" s="5" t="s">
        <v>34</v>
      </c>
      <c r="D9427" s="5" t="s">
        <v>14313</v>
      </c>
      <c r="E9427" s="5" t="s">
        <v>58445</v>
      </c>
      <c r="F9427" s="5" t="s">
        <v>108</v>
      </c>
      <c r="G9427" s="5" t="s">
        <v>58446</v>
      </c>
      <c r="H9427" s="6" t="s">
        <v>58447</v>
      </c>
      <c r="K9427" s="5" t="s">
        <v>58365</v>
      </c>
    </row>
    <row r="9428">
      <c r="A9428" s="4">
        <v>45534.45554820602</v>
      </c>
      <c r="B9428" s="5" t="s">
        <v>34</v>
      </c>
      <c r="D9428" s="5" t="s">
        <v>9020</v>
      </c>
      <c r="E9428" s="5" t="s">
        <v>58451</v>
      </c>
      <c r="F9428" s="5" t="s">
        <v>72</v>
      </c>
      <c r="G9428" s="5" t="s">
        <v>58452</v>
      </c>
      <c r="H9428" s="6" t="s">
        <v>58453</v>
      </c>
      <c r="K9428" s="5" t="s">
        <v>58365</v>
      </c>
    </row>
    <row r="9429">
      <c r="A9429" s="4">
        <v>45534.45559873842</v>
      </c>
      <c r="B9429" s="5" t="s">
        <v>19</v>
      </c>
      <c r="C9429" s="5" t="s">
        <v>292</v>
      </c>
      <c r="E9429" s="5" t="s">
        <v>58457</v>
      </c>
      <c r="F9429" s="5" t="s">
        <v>37</v>
      </c>
      <c r="G9429" s="5" t="s">
        <v>58458</v>
      </c>
      <c r="H9429" s="6" t="s">
        <v>58459</v>
      </c>
      <c r="K9429" s="5" t="s">
        <v>58460</v>
      </c>
    </row>
    <row r="9430">
      <c r="A9430" s="4">
        <v>45534.455653125</v>
      </c>
      <c r="B9430" s="5" t="s">
        <v>34</v>
      </c>
      <c r="D9430" s="5" t="s">
        <v>9020</v>
      </c>
      <c r="E9430" s="5" t="s">
        <v>58464</v>
      </c>
      <c r="F9430" s="5" t="s">
        <v>37</v>
      </c>
      <c r="G9430" s="5" t="s">
        <v>58465</v>
      </c>
      <c r="H9430" s="6" t="s">
        <v>58466</v>
      </c>
      <c r="K9430" s="5" t="s">
        <v>58460</v>
      </c>
    </row>
    <row r="9431">
      <c r="A9431" s="4">
        <v>45534.45570846065</v>
      </c>
      <c r="B9431" s="5" t="s">
        <v>19</v>
      </c>
      <c r="C9431" s="5" t="s">
        <v>292</v>
      </c>
      <c r="E9431" s="5" t="s">
        <v>58470</v>
      </c>
      <c r="F9431" s="5" t="s">
        <v>37</v>
      </c>
      <c r="G9431" s="5" t="s">
        <v>58471</v>
      </c>
      <c r="H9431" s="6" t="s">
        <v>58472</v>
      </c>
      <c r="K9431" s="5" t="s">
        <v>58460</v>
      </c>
    </row>
    <row r="9432">
      <c r="A9432" s="4">
        <v>45534.455717731485</v>
      </c>
      <c r="B9432" s="5" t="s">
        <v>34</v>
      </c>
      <c r="D9432" s="5" t="s">
        <v>6232</v>
      </c>
      <c r="E9432" s="5" t="s">
        <v>58476</v>
      </c>
      <c r="F9432" s="5" t="s">
        <v>108</v>
      </c>
      <c r="G9432" s="5" t="s">
        <v>58477</v>
      </c>
      <c r="H9432" s="6" t="s">
        <v>58478</v>
      </c>
      <c r="K9432" s="5" t="s">
        <v>58460</v>
      </c>
    </row>
    <row r="9433">
      <c r="A9433" s="4">
        <v>45534.45578581018</v>
      </c>
      <c r="B9433" s="5" t="s">
        <v>19</v>
      </c>
      <c r="C9433" s="5" t="s">
        <v>292</v>
      </c>
      <c r="E9433" s="5" t="s">
        <v>58482</v>
      </c>
      <c r="F9433" s="5" t="s">
        <v>37</v>
      </c>
      <c r="G9433" s="5" t="s">
        <v>58483</v>
      </c>
      <c r="H9433" s="6" t="s">
        <v>58484</v>
      </c>
      <c r="K9433" s="5" t="s">
        <v>58460</v>
      </c>
    </row>
    <row r="9434">
      <c r="A9434" s="4">
        <v>45534.45585190972</v>
      </c>
      <c r="B9434" s="5" t="s">
        <v>34</v>
      </c>
      <c r="D9434" s="5" t="s">
        <v>15401</v>
      </c>
      <c r="E9434" s="5" t="s">
        <v>58488</v>
      </c>
      <c r="F9434" s="5" t="s">
        <v>37</v>
      </c>
      <c r="G9434" s="5" t="s">
        <v>58489</v>
      </c>
      <c r="H9434" s="6" t="s">
        <v>58490</v>
      </c>
      <c r="K9434" s="5" t="s">
        <v>58491</v>
      </c>
    </row>
    <row r="9435">
      <c r="A9435" s="4">
        <v>45534.4559356713</v>
      </c>
      <c r="B9435" s="5" t="s">
        <v>34</v>
      </c>
      <c r="D9435" s="5" t="s">
        <v>11527</v>
      </c>
      <c r="E9435" s="5" t="s">
        <v>58495</v>
      </c>
      <c r="F9435" s="5" t="s">
        <v>108</v>
      </c>
      <c r="G9435" s="5" t="s">
        <v>58496</v>
      </c>
      <c r="H9435" s="6" t="s">
        <v>58497</v>
      </c>
      <c r="K9435" s="5" t="s">
        <v>58498</v>
      </c>
    </row>
    <row r="9436">
      <c r="A9436" s="4">
        <v>45534.45594635417</v>
      </c>
      <c r="B9436" s="5" t="s">
        <v>34</v>
      </c>
      <c r="D9436" s="5" t="s">
        <v>9394</v>
      </c>
      <c r="E9436" s="5" t="s">
        <v>58502</v>
      </c>
      <c r="F9436" s="5" t="s">
        <v>72</v>
      </c>
      <c r="G9436" s="5" t="s">
        <v>58503</v>
      </c>
      <c r="H9436" s="6" t="s">
        <v>58504</v>
      </c>
      <c r="K9436" s="5" t="s">
        <v>58498</v>
      </c>
    </row>
    <row r="9437">
      <c r="A9437" s="4">
        <v>45534.456037199074</v>
      </c>
      <c r="B9437" s="5" t="s">
        <v>19</v>
      </c>
      <c r="C9437" s="5" t="s">
        <v>292</v>
      </c>
      <c r="E9437" s="5" t="s">
        <v>58508</v>
      </c>
      <c r="F9437" s="5" t="s">
        <v>37</v>
      </c>
      <c r="G9437" s="5" t="s">
        <v>58509</v>
      </c>
      <c r="H9437" s="6" t="s">
        <v>58510</v>
      </c>
      <c r="K9437" s="5" t="s">
        <v>58511</v>
      </c>
    </row>
    <row r="9438">
      <c r="A9438" s="4">
        <v>45534.45610228009</v>
      </c>
      <c r="B9438" s="5" t="s">
        <v>34</v>
      </c>
      <c r="D9438" s="5" t="s">
        <v>267</v>
      </c>
      <c r="E9438" s="5" t="s">
        <v>58515</v>
      </c>
      <c r="F9438" s="5" t="s">
        <v>37</v>
      </c>
      <c r="G9438" s="5" t="s">
        <v>58516</v>
      </c>
      <c r="H9438" s="6" t="s">
        <v>58517</v>
      </c>
      <c r="K9438" s="5" t="s">
        <v>58518</v>
      </c>
    </row>
    <row r="9439">
      <c r="A9439" s="4">
        <v>45534.456174328705</v>
      </c>
      <c r="B9439" s="5" t="s">
        <v>19</v>
      </c>
      <c r="C9439" s="5" t="s">
        <v>292</v>
      </c>
      <c r="E9439" s="5" t="s">
        <v>58522</v>
      </c>
      <c r="F9439" s="5" t="s">
        <v>37</v>
      </c>
      <c r="G9439" s="5" t="s">
        <v>58523</v>
      </c>
      <c r="H9439" s="6" t="s">
        <v>58524</v>
      </c>
      <c r="K9439" s="5" t="s">
        <v>58525</v>
      </c>
    </row>
    <row r="9440">
      <c r="A9440" s="4">
        <v>45534.45635270834</v>
      </c>
      <c r="B9440" s="5" t="s">
        <v>34</v>
      </c>
      <c r="D9440" s="5" t="s">
        <v>4775</v>
      </c>
      <c r="E9440" s="5" t="s">
        <v>16878</v>
      </c>
      <c r="F9440" s="5" t="s">
        <v>37</v>
      </c>
      <c r="G9440" s="5" t="s">
        <v>58529</v>
      </c>
      <c r="H9440" s="6" t="s">
        <v>58530</v>
      </c>
      <c r="K9440" s="5" t="s">
        <v>58531</v>
      </c>
    </row>
    <row r="9441">
      <c r="A9441" s="4">
        <v>45534.45640740741</v>
      </c>
      <c r="B9441" s="5" t="s">
        <v>34</v>
      </c>
      <c r="D9441" s="5" t="s">
        <v>15401</v>
      </c>
      <c r="E9441" s="5" t="s">
        <v>58535</v>
      </c>
      <c r="F9441" s="5" t="s">
        <v>524</v>
      </c>
      <c r="G9441" s="5" t="s">
        <v>58536</v>
      </c>
      <c r="H9441" s="6" t="s">
        <v>58537</v>
      </c>
      <c r="K9441" s="5" t="s">
        <v>58538</v>
      </c>
    </row>
    <row r="9442">
      <c r="A9442" s="4">
        <v>45534.45649225694</v>
      </c>
      <c r="B9442" s="5" t="s">
        <v>34</v>
      </c>
      <c r="D9442" s="5" t="s">
        <v>14313</v>
      </c>
      <c r="E9442" s="5" t="s">
        <v>58542</v>
      </c>
      <c r="F9442" s="5" t="s">
        <v>5859</v>
      </c>
      <c r="G9442" s="5" t="s">
        <v>58543</v>
      </c>
      <c r="H9442" s="6" t="s">
        <v>58544</v>
      </c>
      <c r="K9442" s="5" t="s">
        <v>58545</v>
      </c>
    </row>
    <row r="9443">
      <c r="A9443" s="4">
        <v>45534.456493391204</v>
      </c>
      <c r="B9443" s="5" t="s">
        <v>34</v>
      </c>
      <c r="D9443" s="5" t="s">
        <v>996</v>
      </c>
      <c r="E9443" s="5" t="s">
        <v>58549</v>
      </c>
      <c r="F9443" s="5" t="s">
        <v>212</v>
      </c>
      <c r="G9443" s="5" t="s">
        <v>58550</v>
      </c>
      <c r="H9443" s="6" t="s">
        <v>58551</v>
      </c>
      <c r="K9443" s="5" t="s">
        <v>58545</v>
      </c>
    </row>
    <row r="9444">
      <c r="A9444" s="4">
        <v>45534.45650891204</v>
      </c>
      <c r="B9444" s="5" t="s">
        <v>34</v>
      </c>
      <c r="D9444" s="5" t="s">
        <v>15401</v>
      </c>
      <c r="E9444" s="5" t="s">
        <v>58555</v>
      </c>
      <c r="F9444" s="5" t="s">
        <v>375</v>
      </c>
      <c r="G9444" s="5" t="s">
        <v>58556</v>
      </c>
      <c r="H9444" s="6" t="s">
        <v>58557</v>
      </c>
      <c r="K9444" s="5" t="s">
        <v>58545</v>
      </c>
    </row>
    <row r="9445">
      <c r="A9445" s="4">
        <v>45534.45651722222</v>
      </c>
      <c r="B9445" s="5" t="s">
        <v>34</v>
      </c>
      <c r="D9445" s="5" t="s">
        <v>9020</v>
      </c>
      <c r="E9445" s="5" t="s">
        <v>58561</v>
      </c>
      <c r="F9445" s="5" t="s">
        <v>212</v>
      </c>
      <c r="G9445" s="5" t="s">
        <v>58562</v>
      </c>
      <c r="H9445" s="6" t="s">
        <v>58563</v>
      </c>
      <c r="K9445" s="5" t="s">
        <v>58545</v>
      </c>
    </row>
    <row r="9446">
      <c r="A9446" s="4">
        <v>45534.456528703704</v>
      </c>
      <c r="B9446" s="5" t="s">
        <v>34</v>
      </c>
      <c r="D9446" s="5" t="s">
        <v>1558</v>
      </c>
      <c r="E9446" s="5" t="s">
        <v>18759</v>
      </c>
      <c r="F9446" s="5" t="s">
        <v>37</v>
      </c>
      <c r="G9446" s="5" t="s">
        <v>58567</v>
      </c>
      <c r="H9446" s="6" t="s">
        <v>58568</v>
      </c>
      <c r="K9446" s="5" t="s">
        <v>58545</v>
      </c>
    </row>
    <row r="9447">
      <c r="A9447" s="4">
        <v>45534.45661388889</v>
      </c>
      <c r="B9447" s="5" t="s">
        <v>19</v>
      </c>
      <c r="C9447" s="5" t="s">
        <v>5058</v>
      </c>
      <c r="E9447" s="5" t="s">
        <v>58572</v>
      </c>
      <c r="F9447" s="5" t="s">
        <v>37</v>
      </c>
      <c r="G9447" s="5" t="s">
        <v>58573</v>
      </c>
      <c r="H9447" s="6" t="s">
        <v>58574</v>
      </c>
      <c r="K9447" s="5" t="s">
        <v>58545</v>
      </c>
    </row>
    <row r="9448">
      <c r="A9448" s="4">
        <v>45534.456666377315</v>
      </c>
      <c r="B9448" s="5" t="s">
        <v>34</v>
      </c>
      <c r="D9448" s="5" t="s">
        <v>35</v>
      </c>
      <c r="E9448" s="5" t="s">
        <v>58578</v>
      </c>
      <c r="F9448" s="5" t="s">
        <v>212</v>
      </c>
      <c r="G9448" s="5" t="s">
        <v>58579</v>
      </c>
      <c r="H9448" s="6" t="s">
        <v>58580</v>
      </c>
      <c r="K9448" s="5" t="s">
        <v>58545</v>
      </c>
    </row>
    <row r="9449">
      <c r="A9449" s="4">
        <v>45534.45670008102</v>
      </c>
      <c r="B9449" s="5" t="s">
        <v>34</v>
      </c>
      <c r="D9449" s="5" t="s">
        <v>14313</v>
      </c>
      <c r="E9449" s="5" t="s">
        <v>58584</v>
      </c>
      <c r="F9449" s="5" t="s">
        <v>72</v>
      </c>
      <c r="G9449" s="5" t="s">
        <v>58585</v>
      </c>
      <c r="H9449" s="6" t="s">
        <v>58586</v>
      </c>
      <c r="K9449" s="5" t="s">
        <v>58545</v>
      </c>
    </row>
    <row r="9450">
      <c r="A9450" s="4">
        <v>45534.45671524305</v>
      </c>
      <c r="B9450" s="5" t="s">
        <v>19</v>
      </c>
      <c r="C9450" s="5" t="s">
        <v>11593</v>
      </c>
      <c r="E9450" s="5" t="s">
        <v>58590</v>
      </c>
      <c r="F9450" s="5" t="s">
        <v>37</v>
      </c>
      <c r="G9450" s="5" t="s">
        <v>58591</v>
      </c>
      <c r="H9450" s="6" t="s">
        <v>58592</v>
      </c>
      <c r="K9450" s="5" t="s">
        <v>58545</v>
      </c>
    </row>
    <row r="9451">
      <c r="A9451" s="4">
        <v>45534.45679458333</v>
      </c>
      <c r="B9451" s="5" t="s">
        <v>34</v>
      </c>
      <c r="D9451" s="5" t="s">
        <v>580</v>
      </c>
      <c r="E9451" s="5" t="s">
        <v>58596</v>
      </c>
      <c r="F9451" s="5" t="s">
        <v>120</v>
      </c>
      <c r="G9451" s="5" t="s">
        <v>58597</v>
      </c>
      <c r="H9451" s="6" t="s">
        <v>58598</v>
      </c>
      <c r="K9451" s="5" t="s">
        <v>58545</v>
      </c>
    </row>
    <row r="9452">
      <c r="A9452" s="4">
        <v>45534.457040925925</v>
      </c>
      <c r="B9452" s="5" t="s">
        <v>19</v>
      </c>
      <c r="C9452" s="5" t="s">
        <v>442</v>
      </c>
      <c r="E9452" s="5" t="s">
        <v>58602</v>
      </c>
      <c r="F9452" s="5" t="s">
        <v>108</v>
      </c>
      <c r="G9452" s="5" t="s">
        <v>58603</v>
      </c>
      <c r="H9452" s="6" t="s">
        <v>58604</v>
      </c>
      <c r="K9452" s="5" t="s">
        <v>58545</v>
      </c>
    </row>
    <row r="9453">
      <c r="A9453" s="4">
        <v>45534.457051840276</v>
      </c>
      <c r="B9453" s="5" t="s">
        <v>34</v>
      </c>
      <c r="D9453" s="5" t="s">
        <v>35</v>
      </c>
      <c r="E9453" s="5" t="s">
        <v>58608</v>
      </c>
      <c r="F9453" s="5" t="s">
        <v>108</v>
      </c>
      <c r="G9453" s="5" t="s">
        <v>58609</v>
      </c>
      <c r="H9453" s="6" t="s">
        <v>58610</v>
      </c>
      <c r="K9453" s="5" t="s">
        <v>58545</v>
      </c>
    </row>
    <row r="9454">
      <c r="A9454" s="4">
        <v>45534.45708627315</v>
      </c>
      <c r="B9454" s="5" t="s">
        <v>34</v>
      </c>
      <c r="D9454" s="5" t="s">
        <v>9020</v>
      </c>
      <c r="E9454" s="5" t="s">
        <v>58614</v>
      </c>
      <c r="F9454" s="5" t="s">
        <v>212</v>
      </c>
      <c r="G9454" s="5" t="s">
        <v>58615</v>
      </c>
      <c r="H9454" s="6" t="s">
        <v>58616</v>
      </c>
      <c r="K9454" s="5" t="s">
        <v>58545</v>
      </c>
    </row>
    <row r="9455">
      <c r="A9455" s="4">
        <v>45534.45720424769</v>
      </c>
      <c r="B9455" s="5" t="s">
        <v>34</v>
      </c>
      <c r="D9455" s="5" t="s">
        <v>6232</v>
      </c>
      <c r="E9455" s="5" t="s">
        <v>15379</v>
      </c>
      <c r="F9455" s="5" t="s">
        <v>72</v>
      </c>
      <c r="G9455" s="5" t="s">
        <v>58620</v>
      </c>
      <c r="H9455" s="6" t="s">
        <v>58621</v>
      </c>
      <c r="K9455" s="5" t="s">
        <v>58545</v>
      </c>
    </row>
    <row r="9456">
      <c r="A9456" s="4">
        <v>45534.457295520835</v>
      </c>
      <c r="B9456" s="5" t="s">
        <v>34</v>
      </c>
      <c r="D9456" s="5" t="s">
        <v>6232</v>
      </c>
      <c r="E9456" s="5" t="s">
        <v>58625</v>
      </c>
      <c r="F9456" s="5" t="s">
        <v>212</v>
      </c>
      <c r="G9456" s="5" t="s">
        <v>58626</v>
      </c>
      <c r="H9456" s="6" t="s">
        <v>58627</v>
      </c>
      <c r="K9456" s="5" t="s">
        <v>58545</v>
      </c>
    </row>
    <row r="9457">
      <c r="A9457" s="4">
        <v>45534.45729854167</v>
      </c>
      <c r="B9457" s="5" t="s">
        <v>34</v>
      </c>
      <c r="D9457" s="5" t="s">
        <v>10297</v>
      </c>
      <c r="E9457" s="5" t="s">
        <v>58017</v>
      </c>
      <c r="F9457" s="5" t="s">
        <v>524</v>
      </c>
      <c r="G9457" s="5" t="s">
        <v>58631</v>
      </c>
      <c r="H9457" s="6" t="s">
        <v>58632</v>
      </c>
      <c r="K9457" s="5" t="s">
        <v>58545</v>
      </c>
    </row>
    <row r="9458">
      <c r="A9458" s="4">
        <v>45534.457445196764</v>
      </c>
      <c r="B9458" s="5" t="s">
        <v>34</v>
      </c>
      <c r="D9458" s="5" t="s">
        <v>6232</v>
      </c>
      <c r="E9458" s="5" t="s">
        <v>12151</v>
      </c>
      <c r="F9458" s="5" t="s">
        <v>212</v>
      </c>
      <c r="G9458" s="5" t="s">
        <v>12152</v>
      </c>
      <c r="H9458" s="6" t="s">
        <v>58636</v>
      </c>
      <c r="K9458" s="5" t="s">
        <v>58545</v>
      </c>
    </row>
    <row r="9459">
      <c r="A9459" s="4">
        <v>45534.457513263886</v>
      </c>
      <c r="B9459" s="5" t="s">
        <v>34</v>
      </c>
      <c r="D9459" s="5" t="s">
        <v>35</v>
      </c>
      <c r="E9459" s="5" t="s">
        <v>58640</v>
      </c>
      <c r="F9459" s="5" t="s">
        <v>524</v>
      </c>
      <c r="G9459" s="5" t="s">
        <v>58641</v>
      </c>
      <c r="H9459" s="6" t="s">
        <v>58642</v>
      </c>
      <c r="K9459" s="5" t="s">
        <v>58545</v>
      </c>
    </row>
    <row r="9460">
      <c r="A9460" s="4">
        <v>45534.457515891205</v>
      </c>
      <c r="B9460" s="5" t="s">
        <v>34</v>
      </c>
      <c r="D9460" s="5" t="s">
        <v>9020</v>
      </c>
      <c r="E9460" s="5" t="s">
        <v>58646</v>
      </c>
      <c r="F9460" s="5" t="s">
        <v>72</v>
      </c>
      <c r="G9460" s="5" t="s">
        <v>58647</v>
      </c>
      <c r="H9460" s="6" t="s">
        <v>58648</v>
      </c>
      <c r="K9460" s="5" t="s">
        <v>58545</v>
      </c>
    </row>
    <row r="9461">
      <c r="A9461" s="4">
        <v>45534.457615543986</v>
      </c>
      <c r="B9461" s="5" t="s">
        <v>34</v>
      </c>
      <c r="D9461" s="5" t="s">
        <v>9020</v>
      </c>
      <c r="E9461" s="5" t="s">
        <v>58652</v>
      </c>
      <c r="F9461" s="5" t="s">
        <v>524</v>
      </c>
      <c r="G9461" s="5" t="s">
        <v>58653</v>
      </c>
      <c r="H9461" s="6" t="s">
        <v>58654</v>
      </c>
      <c r="K9461" s="5" t="s">
        <v>58545</v>
      </c>
    </row>
    <row r="9462">
      <c r="A9462" s="4">
        <v>45534.457655</v>
      </c>
      <c r="B9462" s="5" t="s">
        <v>34</v>
      </c>
      <c r="D9462" s="5" t="s">
        <v>14313</v>
      </c>
      <c r="E9462" s="5" t="s">
        <v>58658</v>
      </c>
      <c r="F9462" s="5" t="s">
        <v>524</v>
      </c>
      <c r="G9462" s="5" t="s">
        <v>58659</v>
      </c>
      <c r="H9462" s="6" t="s">
        <v>58660</v>
      </c>
      <c r="K9462" s="5" t="s">
        <v>58545</v>
      </c>
    </row>
    <row r="9463">
      <c r="A9463" s="4">
        <v>45534.45776892361</v>
      </c>
      <c r="B9463" s="5" t="s">
        <v>34</v>
      </c>
      <c r="D9463" s="5" t="s">
        <v>35</v>
      </c>
      <c r="E9463" s="5" t="s">
        <v>58664</v>
      </c>
      <c r="F9463" s="5" t="s">
        <v>5859</v>
      </c>
      <c r="G9463" s="5" t="s">
        <v>58665</v>
      </c>
      <c r="H9463" s="6" t="s">
        <v>58666</v>
      </c>
      <c r="K9463" s="5" t="s">
        <v>58545</v>
      </c>
    </row>
    <row r="9464">
      <c r="A9464" s="4">
        <v>45534.45779126158</v>
      </c>
      <c r="B9464" s="5" t="s">
        <v>19</v>
      </c>
      <c r="C9464" s="5" t="s">
        <v>292</v>
      </c>
      <c r="E9464" s="5" t="s">
        <v>35000</v>
      </c>
      <c r="F9464" s="5" t="s">
        <v>37</v>
      </c>
      <c r="G9464" s="5" t="s">
        <v>58670</v>
      </c>
      <c r="H9464" s="6" t="s">
        <v>58671</v>
      </c>
      <c r="K9464" s="5" t="s">
        <v>58545</v>
      </c>
    </row>
    <row r="9465">
      <c r="A9465" s="4">
        <v>45534.45780769676</v>
      </c>
      <c r="B9465" s="5" t="s">
        <v>34</v>
      </c>
      <c r="D9465" s="5" t="s">
        <v>1206</v>
      </c>
      <c r="E9465" s="5" t="s">
        <v>58675</v>
      </c>
      <c r="F9465" s="5" t="s">
        <v>120</v>
      </c>
      <c r="G9465" s="5" t="s">
        <v>58676</v>
      </c>
      <c r="H9465" s="6" t="s">
        <v>58677</v>
      </c>
      <c r="K9465" s="5" t="s">
        <v>58545</v>
      </c>
    </row>
    <row r="9466">
      <c r="A9466" s="4">
        <v>45534.457808356485</v>
      </c>
      <c r="B9466" s="5" t="s">
        <v>34</v>
      </c>
      <c r="D9466" s="5" t="s">
        <v>4775</v>
      </c>
      <c r="E9466" s="5" t="s">
        <v>58681</v>
      </c>
      <c r="F9466" s="5" t="s">
        <v>120</v>
      </c>
      <c r="G9466" s="5" t="s">
        <v>58682</v>
      </c>
      <c r="H9466" s="6" t="s">
        <v>58683</v>
      </c>
      <c r="K9466" s="5" t="s">
        <v>58545</v>
      </c>
    </row>
    <row r="9467">
      <c r="A9467" s="4">
        <v>45534.457833368055</v>
      </c>
      <c r="B9467" s="5" t="s">
        <v>34</v>
      </c>
      <c r="D9467" s="5" t="s">
        <v>9394</v>
      </c>
      <c r="E9467" s="5" t="s">
        <v>15336</v>
      </c>
      <c r="F9467" s="5" t="s">
        <v>715</v>
      </c>
      <c r="G9467" s="5" t="s">
        <v>15337</v>
      </c>
      <c r="H9467" s="6" t="s">
        <v>58687</v>
      </c>
      <c r="K9467" s="5" t="s">
        <v>58545</v>
      </c>
    </row>
    <row r="9468">
      <c r="A9468" s="4">
        <v>45534.45793549769</v>
      </c>
      <c r="B9468" s="5" t="s">
        <v>34</v>
      </c>
      <c r="D9468" s="5" t="s">
        <v>1206</v>
      </c>
      <c r="E9468" s="5" t="s">
        <v>58691</v>
      </c>
      <c r="F9468" s="5" t="s">
        <v>72</v>
      </c>
      <c r="G9468" s="5" t="s">
        <v>58692</v>
      </c>
      <c r="H9468" s="6" t="s">
        <v>58693</v>
      </c>
      <c r="K9468" s="5" t="s">
        <v>58545</v>
      </c>
    </row>
    <row r="9469">
      <c r="A9469" s="4">
        <v>45534.45796493055</v>
      </c>
      <c r="B9469" s="5" t="s">
        <v>34</v>
      </c>
      <c r="D9469" s="5" t="s">
        <v>10297</v>
      </c>
      <c r="E9469" s="5" t="s">
        <v>58697</v>
      </c>
      <c r="F9469" s="5" t="s">
        <v>212</v>
      </c>
      <c r="G9469" s="5" t="s">
        <v>58698</v>
      </c>
      <c r="H9469" s="6" t="s">
        <v>58699</v>
      </c>
      <c r="K9469" s="5" t="s">
        <v>58545</v>
      </c>
    </row>
    <row r="9470">
      <c r="A9470" s="4">
        <v>45534.45811118056</v>
      </c>
      <c r="B9470" s="5" t="s">
        <v>34</v>
      </c>
      <c r="D9470" s="5" t="s">
        <v>4775</v>
      </c>
      <c r="E9470" s="5" t="s">
        <v>58703</v>
      </c>
      <c r="F9470" s="5" t="s">
        <v>72</v>
      </c>
      <c r="G9470" s="5" t="s">
        <v>58704</v>
      </c>
      <c r="H9470" s="6" t="s">
        <v>58705</v>
      </c>
      <c r="K9470" s="5" t="s">
        <v>58706</v>
      </c>
    </row>
    <row r="9471">
      <c r="A9471" s="4">
        <v>45534.4582027662</v>
      </c>
      <c r="B9471" s="5" t="s">
        <v>34</v>
      </c>
      <c r="D9471" s="5" t="s">
        <v>4775</v>
      </c>
      <c r="E9471" s="5" t="s">
        <v>58710</v>
      </c>
      <c r="F9471" s="5" t="s">
        <v>72</v>
      </c>
      <c r="G9471" s="5" t="s">
        <v>58711</v>
      </c>
      <c r="H9471" s="6" t="s">
        <v>58712</v>
      </c>
      <c r="K9471" s="5" t="s">
        <v>58713</v>
      </c>
    </row>
    <row r="9472">
      <c r="A9472" s="4">
        <v>45534.45842642361</v>
      </c>
      <c r="B9472" s="5" t="s">
        <v>34</v>
      </c>
      <c r="D9472" s="5" t="s">
        <v>6232</v>
      </c>
      <c r="E9472" s="5" t="s">
        <v>58717</v>
      </c>
      <c r="F9472" s="5" t="s">
        <v>524</v>
      </c>
      <c r="G9472" s="5" t="s">
        <v>58718</v>
      </c>
      <c r="H9472" s="6" t="s">
        <v>58719</v>
      </c>
      <c r="K9472" s="5" t="s">
        <v>58720</v>
      </c>
    </row>
    <row r="9473">
      <c r="A9473" s="4">
        <v>45534.45849462963</v>
      </c>
      <c r="B9473" s="5" t="s">
        <v>34</v>
      </c>
      <c r="D9473" s="5" t="s">
        <v>9020</v>
      </c>
      <c r="E9473" s="5" t="s">
        <v>58724</v>
      </c>
      <c r="F9473" s="5" t="s">
        <v>72</v>
      </c>
      <c r="G9473" s="5" t="s">
        <v>58725</v>
      </c>
      <c r="H9473" s="6" t="s">
        <v>58726</v>
      </c>
      <c r="K9473" s="5" t="s">
        <v>58727</v>
      </c>
    </row>
    <row r="9474">
      <c r="A9474" s="4">
        <v>45534.458633993054</v>
      </c>
      <c r="B9474" s="5" t="s">
        <v>34</v>
      </c>
      <c r="D9474" s="5" t="s">
        <v>701</v>
      </c>
      <c r="E9474" s="5" t="s">
        <v>24249</v>
      </c>
      <c r="F9474" s="5" t="s">
        <v>212</v>
      </c>
      <c r="G9474" s="5" t="s">
        <v>58731</v>
      </c>
      <c r="H9474" s="6" t="s">
        <v>58732</v>
      </c>
      <c r="K9474" s="5" t="s">
        <v>58733</v>
      </c>
    </row>
    <row r="9475">
      <c r="A9475" s="4">
        <v>45534.45876409722</v>
      </c>
      <c r="B9475" s="5" t="s">
        <v>34</v>
      </c>
      <c r="D9475" s="5" t="s">
        <v>14313</v>
      </c>
      <c r="E9475" s="5" t="s">
        <v>58737</v>
      </c>
      <c r="F9475" s="5" t="s">
        <v>72</v>
      </c>
      <c r="G9475" s="5" t="s">
        <v>58738</v>
      </c>
      <c r="H9475" s="6" t="s">
        <v>58739</v>
      </c>
      <c r="K9475" s="5" t="s">
        <v>58740</v>
      </c>
    </row>
    <row r="9476">
      <c r="A9476" s="4">
        <v>45534.458768125</v>
      </c>
      <c r="B9476" s="5" t="s">
        <v>34</v>
      </c>
      <c r="D9476" s="5" t="s">
        <v>9020</v>
      </c>
      <c r="E9476" s="5" t="s">
        <v>58744</v>
      </c>
      <c r="F9476" s="5" t="s">
        <v>212</v>
      </c>
      <c r="G9476" s="5" t="s">
        <v>58745</v>
      </c>
      <c r="H9476" s="6" t="s">
        <v>58746</v>
      </c>
      <c r="K9476" s="5" t="s">
        <v>58740</v>
      </c>
    </row>
    <row r="9477">
      <c r="A9477" s="4">
        <v>45534.45880574074</v>
      </c>
      <c r="B9477" s="5" t="s">
        <v>19</v>
      </c>
      <c r="C9477" s="5" t="s">
        <v>292</v>
      </c>
      <c r="E9477" s="5" t="s">
        <v>58750</v>
      </c>
      <c r="F9477" s="5" t="s">
        <v>108</v>
      </c>
      <c r="G9477" s="5" t="s">
        <v>58751</v>
      </c>
      <c r="H9477" s="6" t="s">
        <v>58752</v>
      </c>
      <c r="K9477" s="5" t="s">
        <v>58740</v>
      </c>
    </row>
    <row r="9478">
      <c r="A9478" s="4">
        <v>45534.45888722222</v>
      </c>
      <c r="B9478" s="5" t="s">
        <v>34</v>
      </c>
      <c r="D9478" s="5" t="s">
        <v>1768</v>
      </c>
      <c r="E9478" s="5" t="s">
        <v>58756</v>
      </c>
      <c r="F9478" s="5" t="s">
        <v>524</v>
      </c>
      <c r="G9478" s="5" t="s">
        <v>58757</v>
      </c>
      <c r="H9478" s="6" t="s">
        <v>58758</v>
      </c>
      <c r="K9478" s="5" t="s">
        <v>58759</v>
      </c>
    </row>
    <row r="9479">
      <c r="A9479" s="4">
        <v>45534.458901226855</v>
      </c>
      <c r="B9479" s="5" t="s">
        <v>34</v>
      </c>
      <c r="D9479" s="5" t="s">
        <v>1558</v>
      </c>
      <c r="E9479" s="5" t="s">
        <v>58763</v>
      </c>
      <c r="F9479" s="5" t="s">
        <v>108</v>
      </c>
      <c r="G9479" s="5" t="s">
        <v>58764</v>
      </c>
      <c r="H9479" s="6" t="s">
        <v>58765</v>
      </c>
      <c r="K9479" s="5" t="s">
        <v>58759</v>
      </c>
    </row>
    <row r="9480">
      <c r="A9480" s="4">
        <v>45534.45893971065</v>
      </c>
      <c r="B9480" s="5" t="s">
        <v>34</v>
      </c>
      <c r="D9480" s="5" t="s">
        <v>9020</v>
      </c>
      <c r="E9480" s="5" t="s">
        <v>58769</v>
      </c>
      <c r="F9480" s="5" t="s">
        <v>37</v>
      </c>
      <c r="G9480" s="5" t="s">
        <v>58770</v>
      </c>
      <c r="H9480" s="6" t="s">
        <v>58771</v>
      </c>
      <c r="K9480" s="5" t="s">
        <v>58772</v>
      </c>
    </row>
    <row r="9481">
      <c r="A9481" s="4">
        <v>45534.45894325231</v>
      </c>
      <c r="B9481" s="5" t="s">
        <v>34</v>
      </c>
      <c r="D9481" s="5" t="s">
        <v>1558</v>
      </c>
      <c r="E9481" s="5" t="s">
        <v>17766</v>
      </c>
      <c r="F9481" s="5" t="s">
        <v>524</v>
      </c>
      <c r="G9481" s="5" t="s">
        <v>58776</v>
      </c>
      <c r="H9481" s="6" t="s">
        <v>58777</v>
      </c>
      <c r="K9481" s="5" t="s">
        <v>58772</v>
      </c>
    </row>
    <row r="9482">
      <c r="A9482" s="4">
        <v>45534.458989328705</v>
      </c>
      <c r="B9482" s="5" t="s">
        <v>19</v>
      </c>
      <c r="C9482" s="5" t="s">
        <v>292</v>
      </c>
      <c r="E9482" s="5" t="s">
        <v>58781</v>
      </c>
      <c r="F9482" s="5" t="s">
        <v>375</v>
      </c>
      <c r="G9482" s="5" t="s">
        <v>58782</v>
      </c>
      <c r="H9482" s="6" t="s">
        <v>58783</v>
      </c>
      <c r="K9482" s="5" t="s">
        <v>58784</v>
      </c>
    </row>
    <row r="9483">
      <c r="A9483" s="4">
        <v>45534.45914416667</v>
      </c>
      <c r="B9483" s="5" t="s">
        <v>19</v>
      </c>
      <c r="C9483" s="5" t="s">
        <v>292</v>
      </c>
      <c r="E9483" s="5" t="s">
        <v>58788</v>
      </c>
      <c r="F9483" s="5" t="s">
        <v>37</v>
      </c>
      <c r="G9483" s="5" t="s">
        <v>58789</v>
      </c>
      <c r="H9483" s="6" t="s">
        <v>58790</v>
      </c>
      <c r="K9483" s="5" t="s">
        <v>58791</v>
      </c>
    </row>
    <row r="9484">
      <c r="A9484" s="4">
        <v>45534.45917498843</v>
      </c>
      <c r="B9484" s="5" t="s">
        <v>19</v>
      </c>
      <c r="C9484" s="5" t="s">
        <v>442</v>
      </c>
      <c r="E9484" s="5" t="s">
        <v>58795</v>
      </c>
      <c r="F9484" s="5" t="s">
        <v>524</v>
      </c>
      <c r="G9484" s="5" t="s">
        <v>58796</v>
      </c>
      <c r="H9484" s="6" t="s">
        <v>58797</v>
      </c>
      <c r="K9484" s="5" t="s">
        <v>58791</v>
      </c>
    </row>
    <row r="9485">
      <c r="A9485" s="4">
        <v>45534.45924710648</v>
      </c>
      <c r="B9485" s="5" t="s">
        <v>34</v>
      </c>
      <c r="D9485" s="5" t="s">
        <v>4775</v>
      </c>
      <c r="E9485" s="5" t="s">
        <v>58801</v>
      </c>
      <c r="F9485" s="5" t="s">
        <v>212</v>
      </c>
      <c r="G9485" s="5" t="s">
        <v>58802</v>
      </c>
      <c r="H9485" s="6" t="s">
        <v>58803</v>
      </c>
      <c r="K9485" s="5" t="s">
        <v>58791</v>
      </c>
    </row>
    <row r="9486">
      <c r="A9486" s="4">
        <v>45534.45926497685</v>
      </c>
      <c r="B9486" s="5" t="s">
        <v>34</v>
      </c>
      <c r="D9486" s="5" t="s">
        <v>1206</v>
      </c>
      <c r="E9486" s="5" t="s">
        <v>58806</v>
      </c>
      <c r="F9486" s="5" t="s">
        <v>37</v>
      </c>
      <c r="G9486" s="5" t="s">
        <v>58807</v>
      </c>
      <c r="H9486" s="6" t="s">
        <v>58808</v>
      </c>
      <c r="K9486" s="5" t="s">
        <v>58791</v>
      </c>
    </row>
    <row r="9487">
      <c r="A9487" s="4">
        <v>45534.45931107639</v>
      </c>
      <c r="B9487" s="5" t="s">
        <v>34</v>
      </c>
      <c r="D9487" s="5" t="s">
        <v>1206</v>
      </c>
      <c r="E9487" s="5" t="s">
        <v>58811</v>
      </c>
      <c r="F9487" s="5" t="s">
        <v>37</v>
      </c>
      <c r="G9487" s="5" t="s">
        <v>58812</v>
      </c>
      <c r="H9487" s="6" t="s">
        <v>58813</v>
      </c>
      <c r="K9487" s="5" t="s">
        <v>58791</v>
      </c>
    </row>
    <row r="9488">
      <c r="A9488" s="4">
        <v>45534.45932740741</v>
      </c>
      <c r="B9488" s="5" t="s">
        <v>34</v>
      </c>
      <c r="D9488" s="5" t="s">
        <v>14313</v>
      </c>
      <c r="E9488" s="5" t="s">
        <v>58817</v>
      </c>
      <c r="F9488" s="5" t="s">
        <v>524</v>
      </c>
      <c r="G9488" s="5" t="s">
        <v>58818</v>
      </c>
      <c r="H9488" s="6" t="s">
        <v>58819</v>
      </c>
      <c r="K9488" s="5" t="s">
        <v>58791</v>
      </c>
    </row>
    <row r="9489">
      <c r="A9489" s="4">
        <v>45534.45933891204</v>
      </c>
      <c r="B9489" s="5" t="s">
        <v>34</v>
      </c>
      <c r="D9489" s="5" t="s">
        <v>14424</v>
      </c>
      <c r="E9489" s="5" t="s">
        <v>58823</v>
      </c>
      <c r="F9489" s="5" t="s">
        <v>375</v>
      </c>
      <c r="G9489" s="5" t="s">
        <v>58824</v>
      </c>
      <c r="H9489" s="6" t="s">
        <v>58825</v>
      </c>
      <c r="K9489" s="5" t="s">
        <v>58791</v>
      </c>
    </row>
    <row r="9490">
      <c r="A9490" s="4">
        <v>45534.459410069445</v>
      </c>
      <c r="B9490" s="5" t="s">
        <v>19</v>
      </c>
      <c r="C9490" s="5" t="s">
        <v>442</v>
      </c>
      <c r="E9490" s="5" t="s">
        <v>58829</v>
      </c>
      <c r="F9490" s="5" t="s">
        <v>72</v>
      </c>
      <c r="G9490" s="5" t="s">
        <v>58830</v>
      </c>
      <c r="H9490" s="6" t="s">
        <v>58831</v>
      </c>
      <c r="K9490" s="5" t="s">
        <v>58791</v>
      </c>
    </row>
    <row r="9491">
      <c r="A9491" s="4">
        <v>45534.45957337963</v>
      </c>
      <c r="B9491" s="5" t="s">
        <v>34</v>
      </c>
      <c r="D9491" s="5" t="s">
        <v>15401</v>
      </c>
      <c r="E9491" s="5" t="s">
        <v>58834</v>
      </c>
      <c r="F9491" s="5" t="s">
        <v>375</v>
      </c>
      <c r="G9491" s="5" t="s">
        <v>58835</v>
      </c>
      <c r="H9491" s="6" t="s">
        <v>58836</v>
      </c>
      <c r="K9491" s="5" t="s">
        <v>58791</v>
      </c>
    </row>
    <row r="9492">
      <c r="A9492" s="4">
        <v>45534.45969142361</v>
      </c>
      <c r="B9492" s="5" t="s">
        <v>19</v>
      </c>
      <c r="C9492" s="5" t="s">
        <v>292</v>
      </c>
      <c r="E9492" s="5" t="s">
        <v>58839</v>
      </c>
      <c r="F9492" s="5" t="s">
        <v>22</v>
      </c>
      <c r="G9492" s="5" t="s">
        <v>58840</v>
      </c>
      <c r="H9492" s="6" t="s">
        <v>58841</v>
      </c>
      <c r="K9492" s="5" t="s">
        <v>58791</v>
      </c>
    </row>
    <row r="9493">
      <c r="A9493" s="4">
        <v>45534.45975858797</v>
      </c>
      <c r="B9493" s="5" t="s">
        <v>19</v>
      </c>
      <c r="C9493" s="5" t="s">
        <v>442</v>
      </c>
      <c r="E9493" s="5" t="s">
        <v>58845</v>
      </c>
      <c r="F9493" s="5" t="s">
        <v>212</v>
      </c>
      <c r="G9493" s="5" t="s">
        <v>58846</v>
      </c>
      <c r="H9493" s="6" t="s">
        <v>58847</v>
      </c>
      <c r="K9493" s="5" t="s">
        <v>58791</v>
      </c>
    </row>
    <row r="9494">
      <c r="A9494" s="4">
        <v>45534.459761446764</v>
      </c>
      <c r="B9494" s="5" t="s">
        <v>34</v>
      </c>
      <c r="D9494" s="5" t="s">
        <v>1206</v>
      </c>
      <c r="E9494" s="5" t="s">
        <v>58850</v>
      </c>
      <c r="F9494" s="5" t="s">
        <v>375</v>
      </c>
      <c r="G9494" s="5" t="s">
        <v>58851</v>
      </c>
      <c r="H9494" s="6" t="s">
        <v>58852</v>
      </c>
      <c r="K9494" s="5" t="s">
        <v>58791</v>
      </c>
    </row>
    <row r="9495">
      <c r="A9495" s="4">
        <v>45534.45989695602</v>
      </c>
      <c r="B9495" s="5" t="s">
        <v>34</v>
      </c>
      <c r="D9495" s="5" t="s">
        <v>14313</v>
      </c>
      <c r="E9495" s="5" t="s">
        <v>58855</v>
      </c>
      <c r="F9495" s="5" t="s">
        <v>120</v>
      </c>
      <c r="G9495" s="5" t="s">
        <v>58856</v>
      </c>
      <c r="H9495" s="6" t="s">
        <v>58857</v>
      </c>
      <c r="K9495" s="5" t="s">
        <v>58791</v>
      </c>
    </row>
    <row r="9496">
      <c r="A9496" s="4">
        <v>45534.46016471065</v>
      </c>
      <c r="B9496" s="5" t="s">
        <v>19</v>
      </c>
      <c r="C9496" s="5" t="s">
        <v>3301</v>
      </c>
      <c r="E9496" s="5" t="s">
        <v>58860</v>
      </c>
      <c r="F9496" s="5" t="s">
        <v>120</v>
      </c>
      <c r="G9496" s="5" t="s">
        <v>58861</v>
      </c>
      <c r="H9496" s="6" t="s">
        <v>58862</v>
      </c>
      <c r="K9496" s="5" t="s">
        <v>58791</v>
      </c>
    </row>
    <row r="9497">
      <c r="A9497" s="4">
        <v>45534.46019844907</v>
      </c>
      <c r="B9497" s="5" t="s">
        <v>19</v>
      </c>
      <c r="C9497" s="5" t="s">
        <v>292</v>
      </c>
      <c r="E9497" s="5" t="s">
        <v>58866</v>
      </c>
      <c r="F9497" s="5" t="s">
        <v>37</v>
      </c>
      <c r="G9497" s="5" t="s">
        <v>58867</v>
      </c>
      <c r="H9497" s="6" t="s">
        <v>58868</v>
      </c>
      <c r="K9497" s="5" t="s">
        <v>58791</v>
      </c>
    </row>
    <row r="9498">
      <c r="A9498" s="4">
        <v>45534.460217037034</v>
      </c>
      <c r="B9498" s="5" t="s">
        <v>34</v>
      </c>
      <c r="D9498" s="5" t="s">
        <v>14313</v>
      </c>
      <c r="E9498" s="5" t="s">
        <v>58871</v>
      </c>
      <c r="F9498" s="5" t="s">
        <v>524</v>
      </c>
      <c r="G9498" s="5" t="s">
        <v>58872</v>
      </c>
      <c r="H9498" s="6" t="s">
        <v>58873</v>
      </c>
      <c r="K9498" s="5" t="s">
        <v>58791</v>
      </c>
    </row>
    <row r="9499">
      <c r="A9499" s="4">
        <v>45534.46021982639</v>
      </c>
      <c r="B9499" s="5" t="s">
        <v>34</v>
      </c>
      <c r="D9499" s="5" t="s">
        <v>35</v>
      </c>
      <c r="E9499" s="5" t="s">
        <v>58578</v>
      </c>
      <c r="F9499" s="5" t="s">
        <v>212</v>
      </c>
      <c r="G9499" s="5" t="s">
        <v>58579</v>
      </c>
      <c r="H9499" s="6" t="s">
        <v>58876</v>
      </c>
      <c r="K9499" s="5" t="s">
        <v>58791</v>
      </c>
    </row>
    <row r="9500">
      <c r="A9500" s="4">
        <v>45534.46025185185</v>
      </c>
      <c r="B9500" s="5" t="s">
        <v>34</v>
      </c>
      <c r="D9500" s="5" t="s">
        <v>14313</v>
      </c>
      <c r="E9500" s="5" t="s">
        <v>58879</v>
      </c>
      <c r="F9500" s="5" t="s">
        <v>72</v>
      </c>
      <c r="G9500" s="5" t="s">
        <v>58880</v>
      </c>
      <c r="H9500" s="6" t="s">
        <v>58881</v>
      </c>
      <c r="K9500" s="5" t="s">
        <v>58791</v>
      </c>
    </row>
    <row r="9501">
      <c r="A9501" s="4">
        <v>45534.460263622685</v>
      </c>
      <c r="B9501" s="5" t="s">
        <v>19</v>
      </c>
      <c r="C9501" s="5" t="s">
        <v>292</v>
      </c>
      <c r="E9501" s="5" t="s">
        <v>58884</v>
      </c>
      <c r="F9501" s="5" t="s">
        <v>524</v>
      </c>
      <c r="G9501" s="5" t="s">
        <v>58885</v>
      </c>
      <c r="H9501" s="6" t="s">
        <v>58886</v>
      </c>
      <c r="K9501" s="5" t="s">
        <v>58791</v>
      </c>
    </row>
    <row r="9502">
      <c r="A9502" s="4">
        <v>45534.46030677084</v>
      </c>
      <c r="B9502" s="5" t="s">
        <v>34</v>
      </c>
      <c r="D9502" s="5" t="s">
        <v>3849</v>
      </c>
      <c r="E9502" s="5" t="s">
        <v>58890</v>
      </c>
      <c r="F9502" s="5" t="s">
        <v>37</v>
      </c>
      <c r="G9502" s="5" t="s">
        <v>58891</v>
      </c>
      <c r="H9502" s="6" t="s">
        <v>58892</v>
      </c>
      <c r="K9502" s="5" t="s">
        <v>58791</v>
      </c>
    </row>
    <row r="9503">
      <c r="A9503" s="4">
        <v>45534.46037680555</v>
      </c>
      <c r="B9503" s="5" t="s">
        <v>34</v>
      </c>
      <c r="D9503" s="5" t="s">
        <v>4775</v>
      </c>
      <c r="E9503" s="5" t="s">
        <v>24213</v>
      </c>
      <c r="F9503" s="5" t="s">
        <v>375</v>
      </c>
      <c r="G9503" s="5" t="s">
        <v>24214</v>
      </c>
      <c r="H9503" s="6" t="s">
        <v>58895</v>
      </c>
      <c r="K9503" s="5" t="s">
        <v>58791</v>
      </c>
    </row>
    <row r="9504">
      <c r="A9504" s="4">
        <v>45534.4604575</v>
      </c>
      <c r="B9504" s="5" t="s">
        <v>34</v>
      </c>
      <c r="D9504" s="5" t="s">
        <v>14424</v>
      </c>
      <c r="E9504" s="5" t="s">
        <v>58898</v>
      </c>
      <c r="F9504" s="5" t="s">
        <v>108</v>
      </c>
      <c r="G9504" s="5" t="s">
        <v>58899</v>
      </c>
      <c r="H9504" s="6" t="s">
        <v>58900</v>
      </c>
      <c r="K9504" s="5" t="s">
        <v>58791</v>
      </c>
    </row>
    <row r="9505">
      <c r="A9505" s="4">
        <v>45534.46046891204</v>
      </c>
      <c r="B9505" s="5" t="s">
        <v>34</v>
      </c>
      <c r="D9505" s="5" t="s">
        <v>10444</v>
      </c>
      <c r="E9505" s="5" t="s">
        <v>58903</v>
      </c>
      <c r="F9505" s="5" t="s">
        <v>108</v>
      </c>
      <c r="G9505" s="5" t="s">
        <v>58904</v>
      </c>
      <c r="H9505" s="6" t="s">
        <v>58905</v>
      </c>
      <c r="K9505" s="5" t="s">
        <v>58791</v>
      </c>
    </row>
    <row r="9506">
      <c r="A9506" s="4">
        <v>45534.46050855324</v>
      </c>
      <c r="B9506" s="5" t="s">
        <v>34</v>
      </c>
      <c r="D9506" s="5" t="s">
        <v>9020</v>
      </c>
      <c r="E9506" s="5" t="s">
        <v>58909</v>
      </c>
      <c r="F9506" s="5" t="s">
        <v>37</v>
      </c>
      <c r="G9506" s="5" t="s">
        <v>58910</v>
      </c>
      <c r="H9506" s="6" t="s">
        <v>58911</v>
      </c>
      <c r="K9506" s="5" t="s">
        <v>58791</v>
      </c>
    </row>
    <row r="9507">
      <c r="A9507" s="4">
        <v>45534.46063934028</v>
      </c>
      <c r="B9507" s="5" t="s">
        <v>34</v>
      </c>
      <c r="D9507" s="5" t="s">
        <v>14424</v>
      </c>
      <c r="E9507" s="5" t="s">
        <v>58914</v>
      </c>
      <c r="F9507" s="5" t="s">
        <v>37</v>
      </c>
      <c r="G9507" s="5" t="s">
        <v>58915</v>
      </c>
      <c r="H9507" s="6" t="s">
        <v>58916</v>
      </c>
      <c r="K9507" s="5" t="s">
        <v>58791</v>
      </c>
    </row>
    <row r="9508">
      <c r="A9508" s="4">
        <v>45534.46067356481</v>
      </c>
      <c r="B9508" s="5" t="s">
        <v>34</v>
      </c>
      <c r="D9508" s="5" t="s">
        <v>701</v>
      </c>
      <c r="E9508" s="5" t="s">
        <v>18493</v>
      </c>
      <c r="F9508" s="5" t="s">
        <v>212</v>
      </c>
      <c r="G9508" s="5" t="s">
        <v>58920</v>
      </c>
      <c r="H9508" s="6" t="s">
        <v>58921</v>
      </c>
      <c r="K9508" s="5" t="s">
        <v>58922</v>
      </c>
    </row>
    <row r="9509">
      <c r="A9509" s="4">
        <v>45534.4607354051</v>
      </c>
      <c r="B9509" s="5" t="s">
        <v>34</v>
      </c>
      <c r="D9509" s="5" t="s">
        <v>975</v>
      </c>
      <c r="E9509" s="5" t="s">
        <v>58926</v>
      </c>
      <c r="F9509" s="5" t="s">
        <v>108</v>
      </c>
      <c r="G9509" s="5" t="s">
        <v>58927</v>
      </c>
      <c r="H9509" s="6" t="s">
        <v>58928</v>
      </c>
      <c r="K9509" s="5" t="s">
        <v>58929</v>
      </c>
    </row>
    <row r="9510">
      <c r="A9510" s="4">
        <v>45534.46076622685</v>
      </c>
      <c r="B9510" s="5" t="s">
        <v>19</v>
      </c>
      <c r="C9510" s="5" t="s">
        <v>292</v>
      </c>
      <c r="E9510" s="5" t="s">
        <v>58933</v>
      </c>
      <c r="F9510" s="5" t="s">
        <v>37</v>
      </c>
      <c r="G9510" s="5" t="s">
        <v>58934</v>
      </c>
      <c r="H9510" s="6" t="s">
        <v>58935</v>
      </c>
      <c r="K9510" s="5" t="s">
        <v>58936</v>
      </c>
    </row>
    <row r="9511">
      <c r="A9511" s="4">
        <v>45534.46091927083</v>
      </c>
      <c r="B9511" s="5" t="s">
        <v>19</v>
      </c>
      <c r="C9511" s="5" t="s">
        <v>292</v>
      </c>
      <c r="E9511" s="5" t="s">
        <v>58940</v>
      </c>
      <c r="F9511" s="5" t="s">
        <v>524</v>
      </c>
      <c r="G9511" s="5" t="s">
        <v>58941</v>
      </c>
      <c r="H9511" s="6" t="s">
        <v>58942</v>
      </c>
      <c r="K9511" s="5" t="s">
        <v>58943</v>
      </c>
    </row>
    <row r="9512">
      <c r="A9512" s="4">
        <v>45534.46096976852</v>
      </c>
      <c r="B9512" s="5" t="s">
        <v>34</v>
      </c>
      <c r="D9512" s="5" t="s">
        <v>1206</v>
      </c>
      <c r="E9512" s="5" t="s">
        <v>8180</v>
      </c>
      <c r="F9512" s="5" t="s">
        <v>120</v>
      </c>
      <c r="G9512" s="5" t="s">
        <v>58676</v>
      </c>
      <c r="H9512" s="6" t="s">
        <v>58947</v>
      </c>
      <c r="K9512" s="5" t="s">
        <v>58943</v>
      </c>
    </row>
    <row r="9513">
      <c r="A9513" s="4">
        <v>45534.461080636574</v>
      </c>
      <c r="B9513" s="5" t="s">
        <v>19</v>
      </c>
      <c r="C9513" s="5" t="s">
        <v>32901</v>
      </c>
      <c r="E9513" s="5" t="s">
        <v>58951</v>
      </c>
      <c r="F9513" s="5" t="s">
        <v>108</v>
      </c>
      <c r="G9513" s="5" t="s">
        <v>58952</v>
      </c>
      <c r="H9513" s="6" t="s">
        <v>58953</v>
      </c>
      <c r="K9513" s="5" t="s">
        <v>58954</v>
      </c>
    </row>
    <row r="9514">
      <c r="A9514" s="4">
        <v>45534.46121864583</v>
      </c>
      <c r="B9514" s="5" t="s">
        <v>34</v>
      </c>
      <c r="D9514" s="5" t="s">
        <v>14313</v>
      </c>
      <c r="E9514" s="5" t="s">
        <v>58958</v>
      </c>
      <c r="F9514" s="5" t="s">
        <v>108</v>
      </c>
      <c r="G9514" s="5" t="s">
        <v>58959</v>
      </c>
      <c r="H9514" s="6" t="s">
        <v>58960</v>
      </c>
      <c r="K9514" s="5" t="s">
        <v>58954</v>
      </c>
    </row>
    <row r="9515">
      <c r="A9515" s="4">
        <v>45534.461302627315</v>
      </c>
      <c r="B9515" s="5" t="s">
        <v>19</v>
      </c>
      <c r="C9515" s="5" t="s">
        <v>292</v>
      </c>
      <c r="E9515" s="5" t="s">
        <v>58964</v>
      </c>
      <c r="F9515" s="5" t="s">
        <v>37</v>
      </c>
      <c r="G9515" s="5" t="s">
        <v>58965</v>
      </c>
      <c r="H9515" s="6" t="s">
        <v>58966</v>
      </c>
      <c r="K9515" s="5" t="s">
        <v>58954</v>
      </c>
    </row>
    <row r="9516">
      <c r="A9516" s="4">
        <v>45534.46130778935</v>
      </c>
      <c r="B9516" s="5" t="s">
        <v>19</v>
      </c>
      <c r="C9516" s="5" t="s">
        <v>292</v>
      </c>
      <c r="E9516" s="5" t="s">
        <v>58970</v>
      </c>
      <c r="F9516" s="5" t="s">
        <v>212</v>
      </c>
      <c r="G9516" s="5" t="s">
        <v>58971</v>
      </c>
      <c r="H9516" s="6" t="s">
        <v>58972</v>
      </c>
      <c r="K9516" s="5" t="s">
        <v>58954</v>
      </c>
    </row>
    <row r="9517">
      <c r="A9517" s="4">
        <v>45534.461329328704</v>
      </c>
      <c r="B9517" s="5" t="s">
        <v>34</v>
      </c>
      <c r="D9517" s="5" t="s">
        <v>9020</v>
      </c>
      <c r="E9517" s="5" t="s">
        <v>58976</v>
      </c>
      <c r="F9517" s="5" t="s">
        <v>37</v>
      </c>
      <c r="G9517" s="5" t="s">
        <v>58977</v>
      </c>
      <c r="H9517" s="6" t="s">
        <v>58978</v>
      </c>
      <c r="K9517" s="5" t="s">
        <v>58954</v>
      </c>
    </row>
    <row r="9518">
      <c r="A9518" s="4">
        <v>45534.461355879626</v>
      </c>
      <c r="B9518" s="5" t="s">
        <v>19</v>
      </c>
      <c r="C9518" s="5" t="s">
        <v>292</v>
      </c>
      <c r="E9518" s="5" t="s">
        <v>58982</v>
      </c>
      <c r="F9518" s="5" t="s">
        <v>199</v>
      </c>
      <c r="G9518" s="5" t="s">
        <v>58983</v>
      </c>
      <c r="H9518" s="6" t="s">
        <v>58984</v>
      </c>
      <c r="K9518" s="5" t="s">
        <v>58954</v>
      </c>
    </row>
    <row r="9519">
      <c r="A9519" s="4">
        <v>45534.46163827546</v>
      </c>
      <c r="B9519" s="5" t="s">
        <v>34</v>
      </c>
      <c r="D9519" s="5" t="s">
        <v>9020</v>
      </c>
      <c r="E9519" s="5" t="s">
        <v>58988</v>
      </c>
      <c r="F9519" s="5" t="s">
        <v>37</v>
      </c>
      <c r="G9519" s="5" t="s">
        <v>58989</v>
      </c>
      <c r="H9519" s="6" t="s">
        <v>58990</v>
      </c>
      <c r="K9519" s="5" t="s">
        <v>58991</v>
      </c>
    </row>
    <row r="9520">
      <c r="A9520" s="4">
        <v>45534.461688298616</v>
      </c>
      <c r="B9520" s="5" t="s">
        <v>34</v>
      </c>
      <c r="D9520" s="5" t="s">
        <v>6232</v>
      </c>
      <c r="E9520" s="5" t="s">
        <v>58995</v>
      </c>
      <c r="F9520" s="5" t="s">
        <v>37</v>
      </c>
      <c r="G9520" s="5" t="s">
        <v>58996</v>
      </c>
      <c r="H9520" s="6" t="s">
        <v>58997</v>
      </c>
      <c r="K9520" s="5" t="s">
        <v>58991</v>
      </c>
    </row>
    <row r="9521">
      <c r="A9521" s="4">
        <v>45534.46176913194</v>
      </c>
      <c r="B9521" s="5" t="s">
        <v>34</v>
      </c>
      <c r="D9521" s="5" t="s">
        <v>4775</v>
      </c>
      <c r="E9521" s="5" t="s">
        <v>59001</v>
      </c>
      <c r="F9521" s="5" t="s">
        <v>375</v>
      </c>
      <c r="G9521" s="5" t="s">
        <v>59002</v>
      </c>
      <c r="H9521" s="6" t="s">
        <v>59003</v>
      </c>
      <c r="K9521" s="5" t="s">
        <v>59004</v>
      </c>
    </row>
    <row r="9522">
      <c r="A9522" s="4">
        <v>45534.461776550925</v>
      </c>
      <c r="B9522" s="5" t="s">
        <v>19</v>
      </c>
      <c r="C9522" s="5" t="s">
        <v>292</v>
      </c>
      <c r="E9522" s="5" t="s">
        <v>59008</v>
      </c>
      <c r="F9522" s="5" t="s">
        <v>37</v>
      </c>
      <c r="G9522" s="5" t="s">
        <v>59009</v>
      </c>
      <c r="H9522" s="6" t="s">
        <v>59010</v>
      </c>
      <c r="K9522" s="5" t="s">
        <v>59004</v>
      </c>
    </row>
    <row r="9523">
      <c r="A9523" s="4">
        <v>45534.46178457176</v>
      </c>
      <c r="B9523" s="5" t="s">
        <v>34</v>
      </c>
      <c r="D9523" s="5" t="s">
        <v>1768</v>
      </c>
      <c r="E9523" s="5" t="s">
        <v>59014</v>
      </c>
      <c r="F9523" s="5" t="s">
        <v>212</v>
      </c>
      <c r="G9523" s="5" t="s">
        <v>59015</v>
      </c>
      <c r="H9523" s="6" t="s">
        <v>59016</v>
      </c>
      <c r="K9523" s="5" t="s">
        <v>59004</v>
      </c>
    </row>
    <row r="9524">
      <c r="A9524" s="4">
        <v>45534.46178540509</v>
      </c>
      <c r="B9524" s="5" t="s">
        <v>19</v>
      </c>
      <c r="C9524" s="5" t="s">
        <v>292</v>
      </c>
      <c r="E9524" s="5" t="s">
        <v>59020</v>
      </c>
      <c r="F9524" s="5" t="s">
        <v>375</v>
      </c>
      <c r="G9524" s="5" t="s">
        <v>59021</v>
      </c>
      <c r="H9524" s="6" t="s">
        <v>59022</v>
      </c>
      <c r="K9524" s="5" t="s">
        <v>59004</v>
      </c>
    </row>
    <row r="9525">
      <c r="A9525" s="4">
        <v>45534.46187734954</v>
      </c>
      <c r="B9525" s="5" t="s">
        <v>34</v>
      </c>
      <c r="D9525" s="5" t="s">
        <v>14313</v>
      </c>
      <c r="E9525" s="5" t="s">
        <v>59026</v>
      </c>
      <c r="F9525" s="5" t="s">
        <v>37</v>
      </c>
      <c r="G9525" s="5" t="s">
        <v>59027</v>
      </c>
      <c r="H9525" s="6" t="s">
        <v>59028</v>
      </c>
      <c r="K9525" s="5" t="s">
        <v>59029</v>
      </c>
    </row>
    <row r="9526">
      <c r="A9526" s="4">
        <v>45534.461886377314</v>
      </c>
      <c r="B9526" s="5" t="s">
        <v>34</v>
      </c>
      <c r="D9526" s="5" t="s">
        <v>9020</v>
      </c>
      <c r="E9526" s="5" t="s">
        <v>13905</v>
      </c>
      <c r="F9526" s="5" t="s">
        <v>212</v>
      </c>
      <c r="G9526" s="5" t="s">
        <v>13906</v>
      </c>
      <c r="H9526" s="6" t="s">
        <v>59033</v>
      </c>
      <c r="K9526" s="5" t="s">
        <v>59029</v>
      </c>
    </row>
    <row r="9527">
      <c r="A9527" s="4">
        <v>45534.461990462965</v>
      </c>
      <c r="B9527" s="5" t="s">
        <v>34</v>
      </c>
      <c r="D9527" s="5" t="s">
        <v>580</v>
      </c>
      <c r="E9527" s="5" t="s">
        <v>59037</v>
      </c>
      <c r="F9527" s="5" t="s">
        <v>37</v>
      </c>
      <c r="G9527" s="5" t="s">
        <v>59038</v>
      </c>
      <c r="H9527" s="6" t="s">
        <v>59039</v>
      </c>
      <c r="K9527" s="5" t="s">
        <v>59029</v>
      </c>
    </row>
    <row r="9528">
      <c r="A9528" s="4">
        <v>45534.46214591435</v>
      </c>
      <c r="B9528" s="5" t="s">
        <v>34</v>
      </c>
      <c r="D9528" s="5" t="s">
        <v>4775</v>
      </c>
      <c r="E9528" s="5" t="s">
        <v>59040</v>
      </c>
      <c r="F9528" s="5" t="s">
        <v>37</v>
      </c>
      <c r="G9528" s="5" t="s">
        <v>59041</v>
      </c>
      <c r="H9528" s="6" t="s">
        <v>59042</v>
      </c>
      <c r="K9528" s="5" t="s">
        <v>59029</v>
      </c>
    </row>
    <row r="9529">
      <c r="A9529" s="4">
        <v>45534.4622224537</v>
      </c>
      <c r="B9529" s="5" t="s">
        <v>34</v>
      </c>
      <c r="D9529" s="5" t="s">
        <v>267</v>
      </c>
      <c r="E9529" s="5" t="s">
        <v>59043</v>
      </c>
      <c r="F9529" s="5" t="s">
        <v>524</v>
      </c>
      <c r="G9529" s="5" t="s">
        <v>59044</v>
      </c>
      <c r="H9529" s="6" t="s">
        <v>59045</v>
      </c>
      <c r="K9529" s="5" t="s">
        <v>59029</v>
      </c>
    </row>
    <row r="9530">
      <c r="A9530" s="4">
        <v>45534.46223725694</v>
      </c>
      <c r="B9530" s="5" t="s">
        <v>34</v>
      </c>
      <c r="D9530" s="5" t="s">
        <v>12026</v>
      </c>
      <c r="E9530" s="5" t="s">
        <v>59046</v>
      </c>
      <c r="F9530" s="5" t="s">
        <v>37</v>
      </c>
      <c r="G9530" s="5" t="s">
        <v>59047</v>
      </c>
      <c r="H9530" s="6" t="s">
        <v>59048</v>
      </c>
      <c r="K9530" s="5" t="s">
        <v>59029</v>
      </c>
    </row>
    <row r="9531">
      <c r="A9531" s="4">
        <v>45534.4622737037</v>
      </c>
      <c r="B9531" s="5" t="s">
        <v>34</v>
      </c>
      <c r="D9531" s="5" t="s">
        <v>35</v>
      </c>
      <c r="E9531" s="5" t="s">
        <v>59049</v>
      </c>
      <c r="F9531" s="5" t="s">
        <v>375</v>
      </c>
      <c r="G9531" s="5" t="s">
        <v>59050</v>
      </c>
      <c r="H9531" s="6" t="s">
        <v>59051</v>
      </c>
      <c r="K9531" s="5" t="s">
        <v>59052</v>
      </c>
    </row>
    <row r="9532">
      <c r="A9532" s="4">
        <v>45534.46228467593</v>
      </c>
      <c r="B9532" s="5" t="s">
        <v>19</v>
      </c>
      <c r="C9532" s="5" t="s">
        <v>292</v>
      </c>
      <c r="E9532" s="5" t="s">
        <v>59053</v>
      </c>
      <c r="F9532" s="5" t="s">
        <v>37</v>
      </c>
      <c r="G9532" s="5" t="s">
        <v>59054</v>
      </c>
      <c r="H9532" s="6" t="s">
        <v>59055</v>
      </c>
      <c r="K9532" s="5" t="s">
        <v>59052</v>
      </c>
    </row>
    <row r="9533">
      <c r="A9533" s="4">
        <v>45534.46230709491</v>
      </c>
      <c r="B9533" s="5" t="s">
        <v>19</v>
      </c>
      <c r="C9533" s="5" t="s">
        <v>292</v>
      </c>
      <c r="E9533" s="5" t="s">
        <v>59056</v>
      </c>
      <c r="F9533" s="5" t="s">
        <v>37</v>
      </c>
      <c r="G9533" s="5" t="s">
        <v>59057</v>
      </c>
      <c r="H9533" s="6" t="s">
        <v>59058</v>
      </c>
      <c r="K9533" s="5" t="s">
        <v>59052</v>
      </c>
    </row>
    <row r="9534">
      <c r="A9534" s="4">
        <v>45534.46238733796</v>
      </c>
      <c r="B9534" s="5" t="s">
        <v>34</v>
      </c>
      <c r="D9534" s="5" t="s">
        <v>701</v>
      </c>
      <c r="E9534" s="5" t="s">
        <v>59059</v>
      </c>
      <c r="F9534" s="5" t="s">
        <v>524</v>
      </c>
      <c r="G9534" s="5" t="s">
        <v>59060</v>
      </c>
      <c r="H9534" s="6" t="s">
        <v>59061</v>
      </c>
      <c r="K9534" s="5" t="s">
        <v>59062</v>
      </c>
    </row>
    <row r="9535">
      <c r="A9535" s="4">
        <v>45534.46240267361</v>
      </c>
      <c r="B9535" s="5" t="s">
        <v>34</v>
      </c>
      <c r="D9535" s="5" t="s">
        <v>35</v>
      </c>
      <c r="E9535" s="5" t="s">
        <v>59063</v>
      </c>
      <c r="F9535" s="5" t="s">
        <v>72</v>
      </c>
      <c r="G9535" s="5" t="s">
        <v>59064</v>
      </c>
      <c r="H9535" s="6" t="s">
        <v>59065</v>
      </c>
      <c r="K9535" s="5" t="s">
        <v>59062</v>
      </c>
    </row>
    <row r="9536">
      <c r="A9536" s="4">
        <v>45534.46249077546</v>
      </c>
      <c r="B9536" s="5" t="s">
        <v>34</v>
      </c>
      <c r="D9536" s="5" t="s">
        <v>14313</v>
      </c>
      <c r="E9536" s="5" t="s">
        <v>59066</v>
      </c>
      <c r="F9536" s="5" t="s">
        <v>72</v>
      </c>
      <c r="G9536" s="5" t="s">
        <v>59067</v>
      </c>
      <c r="H9536" s="6" t="s">
        <v>59068</v>
      </c>
      <c r="K9536" s="5" t="s">
        <v>59069</v>
      </c>
    </row>
    <row r="9537">
      <c r="A9537" s="4">
        <v>45534.46251894676</v>
      </c>
      <c r="B9537" s="5" t="s">
        <v>34</v>
      </c>
      <c r="D9537" s="5" t="s">
        <v>9020</v>
      </c>
      <c r="E9537" s="5" t="s">
        <v>59070</v>
      </c>
      <c r="F9537" s="5" t="s">
        <v>72</v>
      </c>
      <c r="G9537" s="5" t="s">
        <v>59071</v>
      </c>
      <c r="H9537" s="6" t="s">
        <v>59072</v>
      </c>
      <c r="K9537" s="5" t="s">
        <v>59069</v>
      </c>
    </row>
    <row r="9538">
      <c r="A9538" s="4">
        <v>45534.46254383102</v>
      </c>
      <c r="B9538" s="5" t="s">
        <v>19</v>
      </c>
      <c r="C9538" s="5" t="s">
        <v>20</v>
      </c>
      <c r="E9538" s="5" t="s">
        <v>59073</v>
      </c>
      <c r="F9538" s="5" t="s">
        <v>5566</v>
      </c>
      <c r="G9538" s="5" t="s">
        <v>59074</v>
      </c>
      <c r="H9538" s="6" t="s">
        <v>59075</v>
      </c>
      <c r="K9538" s="5" t="s">
        <v>59069</v>
      </c>
    </row>
    <row r="9539">
      <c r="A9539" s="4">
        <v>45534.46265440973</v>
      </c>
      <c r="B9539" s="5" t="s">
        <v>34</v>
      </c>
      <c r="D9539" s="5" t="s">
        <v>35</v>
      </c>
      <c r="E9539" s="5" t="s">
        <v>54693</v>
      </c>
      <c r="F9539" s="5" t="s">
        <v>524</v>
      </c>
      <c r="G9539" s="5" t="s">
        <v>54694</v>
      </c>
      <c r="H9539" s="6" t="s">
        <v>59076</v>
      </c>
      <c r="K9539" s="5" t="s">
        <v>59069</v>
      </c>
    </row>
    <row r="9540">
      <c r="A9540" s="4">
        <v>45534.462659930556</v>
      </c>
      <c r="B9540" s="5" t="s">
        <v>34</v>
      </c>
      <c r="D9540" s="5" t="s">
        <v>15401</v>
      </c>
      <c r="E9540" s="5" t="s">
        <v>59077</v>
      </c>
      <c r="F9540" s="5" t="s">
        <v>108</v>
      </c>
      <c r="G9540" s="5" t="s">
        <v>59078</v>
      </c>
      <c r="H9540" s="6" t="s">
        <v>59079</v>
      </c>
      <c r="K9540" s="5" t="s">
        <v>59069</v>
      </c>
    </row>
    <row r="9541">
      <c r="A9541" s="4">
        <v>45534.46271076389</v>
      </c>
      <c r="B9541" s="5" t="s">
        <v>34</v>
      </c>
      <c r="D9541" s="5" t="s">
        <v>1692</v>
      </c>
      <c r="E9541" s="5" t="s">
        <v>59080</v>
      </c>
      <c r="F9541" s="5" t="s">
        <v>798</v>
      </c>
      <c r="G9541" s="5" t="s">
        <v>59081</v>
      </c>
      <c r="H9541" s="6" t="s">
        <v>59082</v>
      </c>
      <c r="K9541" s="5" t="s">
        <v>59083</v>
      </c>
    </row>
    <row r="9542">
      <c r="A9542" s="4">
        <v>45534.462726446756</v>
      </c>
      <c r="B9542" s="5" t="s">
        <v>19</v>
      </c>
      <c r="C9542" s="5" t="s">
        <v>292</v>
      </c>
      <c r="E9542" s="5" t="s">
        <v>59084</v>
      </c>
      <c r="F9542" s="5" t="s">
        <v>212</v>
      </c>
      <c r="G9542" s="5" t="s">
        <v>59085</v>
      </c>
      <c r="H9542" s="6" t="s">
        <v>59086</v>
      </c>
      <c r="K9542" s="5" t="s">
        <v>59083</v>
      </c>
    </row>
    <row r="9543">
      <c r="A9543" s="4">
        <v>45534.46275358796</v>
      </c>
      <c r="B9543" s="5" t="s">
        <v>19</v>
      </c>
      <c r="C9543" s="5" t="s">
        <v>292</v>
      </c>
      <c r="E9543" s="5" t="s">
        <v>59087</v>
      </c>
      <c r="F9543" s="5" t="s">
        <v>375</v>
      </c>
      <c r="G9543" s="5" t="s">
        <v>59088</v>
      </c>
      <c r="H9543" s="6" t="s">
        <v>59089</v>
      </c>
      <c r="K9543" s="5" t="s">
        <v>59090</v>
      </c>
    </row>
    <row r="9544">
      <c r="A9544" s="4">
        <v>45534.46285293982</v>
      </c>
      <c r="B9544" s="5" t="s">
        <v>34</v>
      </c>
      <c r="D9544" s="5" t="s">
        <v>9020</v>
      </c>
      <c r="E9544" s="5" t="s">
        <v>59091</v>
      </c>
      <c r="F9544" s="5" t="s">
        <v>212</v>
      </c>
      <c r="G9544" s="5" t="s">
        <v>59092</v>
      </c>
      <c r="H9544" s="6" t="s">
        <v>59093</v>
      </c>
      <c r="K9544" s="5" t="s">
        <v>59094</v>
      </c>
    </row>
    <row r="9545">
      <c r="A9545" s="4">
        <v>45534.46289462963</v>
      </c>
      <c r="B9545" s="5" t="s">
        <v>34</v>
      </c>
      <c r="D9545" s="5" t="s">
        <v>35</v>
      </c>
      <c r="E9545" s="5" t="s">
        <v>59095</v>
      </c>
      <c r="F9545" s="5" t="s">
        <v>37</v>
      </c>
      <c r="G9545" s="5" t="s">
        <v>59096</v>
      </c>
      <c r="H9545" s="6" t="s">
        <v>59097</v>
      </c>
      <c r="K9545" s="5" t="s">
        <v>59094</v>
      </c>
    </row>
    <row r="9546">
      <c r="A9546" s="4">
        <v>45534.46291012732</v>
      </c>
      <c r="B9546" s="5" t="s">
        <v>34</v>
      </c>
      <c r="D9546" s="5" t="s">
        <v>14313</v>
      </c>
      <c r="E9546" s="5" t="s">
        <v>59098</v>
      </c>
      <c r="F9546" s="5" t="s">
        <v>212</v>
      </c>
      <c r="G9546" s="5" t="s">
        <v>59099</v>
      </c>
      <c r="H9546" s="6" t="s">
        <v>59100</v>
      </c>
      <c r="K9546" s="5" t="s">
        <v>59094</v>
      </c>
    </row>
    <row r="9547">
      <c r="A9547" s="4">
        <v>45534.463061689814</v>
      </c>
      <c r="B9547" s="5" t="s">
        <v>34</v>
      </c>
      <c r="D9547" s="5" t="s">
        <v>4775</v>
      </c>
      <c r="E9547" s="5" t="s">
        <v>11768</v>
      </c>
      <c r="F9547" s="5" t="s">
        <v>72</v>
      </c>
      <c r="G9547" s="5" t="s">
        <v>59101</v>
      </c>
      <c r="H9547" s="6" t="s">
        <v>59102</v>
      </c>
      <c r="K9547" s="5" t="s">
        <v>59103</v>
      </c>
    </row>
    <row r="9548">
      <c r="A9548" s="4">
        <v>45534.463080243055</v>
      </c>
      <c r="B9548" s="5" t="s">
        <v>34</v>
      </c>
      <c r="D9548" s="5" t="s">
        <v>12978</v>
      </c>
      <c r="E9548" s="5" t="s">
        <v>59104</v>
      </c>
      <c r="F9548" s="5" t="s">
        <v>212</v>
      </c>
      <c r="G9548" s="5" t="s">
        <v>59105</v>
      </c>
      <c r="H9548" s="6" t="s">
        <v>59106</v>
      </c>
      <c r="K9548" s="5" t="s">
        <v>59103</v>
      </c>
    </row>
    <row r="9549">
      <c r="A9549" s="4">
        <v>45534.463157777776</v>
      </c>
      <c r="B9549" s="5" t="s">
        <v>34</v>
      </c>
      <c r="D9549" s="5" t="s">
        <v>9020</v>
      </c>
      <c r="E9549" s="5" t="s">
        <v>59107</v>
      </c>
      <c r="F9549" s="5" t="s">
        <v>212</v>
      </c>
      <c r="G9549" s="5" t="s">
        <v>59108</v>
      </c>
      <c r="H9549" s="6" t="s">
        <v>59109</v>
      </c>
      <c r="K9549" s="5" t="s">
        <v>59110</v>
      </c>
    </row>
    <row r="9550">
      <c r="A9550" s="4">
        <v>45534.46320982639</v>
      </c>
      <c r="B9550" s="5" t="s">
        <v>19</v>
      </c>
      <c r="C9550" s="5" t="s">
        <v>292</v>
      </c>
      <c r="E9550" s="5" t="s">
        <v>59111</v>
      </c>
      <c r="F9550" s="5" t="s">
        <v>37</v>
      </c>
      <c r="G9550" s="5" t="s">
        <v>59112</v>
      </c>
      <c r="H9550" s="6" t="s">
        <v>59113</v>
      </c>
      <c r="K9550" s="5" t="s">
        <v>59110</v>
      </c>
    </row>
    <row r="9551">
      <c r="A9551" s="4">
        <v>45534.46320945602</v>
      </c>
      <c r="B9551" s="5" t="s">
        <v>19</v>
      </c>
      <c r="C9551" s="5" t="s">
        <v>442</v>
      </c>
      <c r="E9551" s="5" t="s">
        <v>59114</v>
      </c>
      <c r="F9551" s="5" t="s">
        <v>375</v>
      </c>
      <c r="G9551" s="5" t="s">
        <v>59115</v>
      </c>
      <c r="H9551" s="6" t="s">
        <v>59116</v>
      </c>
      <c r="K9551" s="5" t="s">
        <v>59110</v>
      </c>
    </row>
    <row r="9552">
      <c r="A9552" s="4">
        <v>45534.46334980324</v>
      </c>
      <c r="B9552" s="5" t="s">
        <v>34</v>
      </c>
      <c r="D9552" s="5" t="s">
        <v>10444</v>
      </c>
      <c r="E9552" s="5" t="s">
        <v>59118</v>
      </c>
      <c r="F9552" s="5" t="s">
        <v>212</v>
      </c>
      <c r="G9552" s="5" t="s">
        <v>59119</v>
      </c>
      <c r="H9552" s="6" t="s">
        <v>59120</v>
      </c>
      <c r="K9552" s="5" t="s">
        <v>59121</v>
      </c>
    </row>
    <row r="9553">
      <c r="A9553" s="4">
        <v>45534.46336537037</v>
      </c>
      <c r="B9553" s="5" t="s">
        <v>34</v>
      </c>
      <c r="D9553" s="5" t="s">
        <v>1558</v>
      </c>
      <c r="E9553" s="5" t="s">
        <v>59122</v>
      </c>
      <c r="F9553" s="5" t="s">
        <v>108</v>
      </c>
      <c r="G9553" s="5" t="s">
        <v>59123</v>
      </c>
      <c r="H9553" s="6" t="s">
        <v>59124</v>
      </c>
      <c r="K9553" s="5" t="s">
        <v>59121</v>
      </c>
    </row>
    <row r="9554">
      <c r="A9554" s="4">
        <v>45534.46336681713</v>
      </c>
      <c r="B9554" s="5" t="s">
        <v>19</v>
      </c>
      <c r="C9554" s="5" t="s">
        <v>292</v>
      </c>
      <c r="E9554" s="5" t="s">
        <v>59125</v>
      </c>
      <c r="F9554" s="5" t="s">
        <v>524</v>
      </c>
      <c r="G9554" s="5" t="s">
        <v>59126</v>
      </c>
      <c r="H9554" s="6" t="s">
        <v>59127</v>
      </c>
      <c r="K9554" s="5" t="s">
        <v>59121</v>
      </c>
    </row>
    <row r="9555">
      <c r="A9555" s="4">
        <v>45534.46357049768</v>
      </c>
      <c r="B9555" s="5" t="s">
        <v>34</v>
      </c>
      <c r="D9555" s="5" t="s">
        <v>1558</v>
      </c>
      <c r="E9555" s="5" t="s">
        <v>59128</v>
      </c>
      <c r="F9555" s="5" t="s">
        <v>72</v>
      </c>
      <c r="G9555" s="5" t="s">
        <v>59129</v>
      </c>
      <c r="H9555" s="6" t="s">
        <v>59130</v>
      </c>
      <c r="K9555" s="5" t="s">
        <v>59131</v>
      </c>
    </row>
    <row r="9556">
      <c r="A9556" s="4">
        <v>45534.463642013885</v>
      </c>
      <c r="B9556" s="5" t="s">
        <v>34</v>
      </c>
      <c r="D9556" s="5" t="s">
        <v>4775</v>
      </c>
      <c r="E9556" s="5" t="s">
        <v>59132</v>
      </c>
      <c r="F9556" s="5" t="s">
        <v>120</v>
      </c>
      <c r="G9556" s="5" t="s">
        <v>59133</v>
      </c>
      <c r="H9556" s="6" t="s">
        <v>59134</v>
      </c>
      <c r="K9556" s="5" t="s">
        <v>59131</v>
      </c>
    </row>
    <row r="9557">
      <c r="A9557" s="4">
        <v>45534.46393064815</v>
      </c>
      <c r="B9557" s="5" t="s">
        <v>34</v>
      </c>
      <c r="D9557" s="5" t="s">
        <v>14313</v>
      </c>
      <c r="E9557" s="5" t="s">
        <v>59135</v>
      </c>
      <c r="F9557" s="5" t="s">
        <v>524</v>
      </c>
      <c r="G9557" s="5" t="s">
        <v>59136</v>
      </c>
      <c r="H9557" s="6" t="s">
        <v>59137</v>
      </c>
      <c r="K9557" s="5" t="s">
        <v>59138</v>
      </c>
    </row>
    <row r="9558">
      <c r="A9558" s="4">
        <v>45534.463935231484</v>
      </c>
      <c r="B9558" s="5" t="s">
        <v>34</v>
      </c>
      <c r="D9558" s="5" t="s">
        <v>280</v>
      </c>
      <c r="E9558" s="5" t="s">
        <v>59139</v>
      </c>
      <c r="F9558" s="5" t="s">
        <v>212</v>
      </c>
      <c r="G9558" s="5" t="s">
        <v>59140</v>
      </c>
      <c r="H9558" s="6" t="s">
        <v>59141</v>
      </c>
      <c r="K9558" s="5" t="s">
        <v>59138</v>
      </c>
    </row>
    <row r="9559">
      <c r="A9559" s="4">
        <v>45534.46395038195</v>
      </c>
      <c r="B9559" s="5" t="s">
        <v>34</v>
      </c>
      <c r="D9559" s="5" t="s">
        <v>14313</v>
      </c>
      <c r="E9559" s="5" t="s">
        <v>59142</v>
      </c>
      <c r="F9559" s="5" t="s">
        <v>328</v>
      </c>
      <c r="G9559" s="5" t="s">
        <v>59143</v>
      </c>
      <c r="H9559" s="6" t="s">
        <v>59144</v>
      </c>
      <c r="K9559" s="5" t="s">
        <v>59138</v>
      </c>
    </row>
    <row r="9560">
      <c r="A9560" s="4">
        <v>45534.464175960646</v>
      </c>
      <c r="B9560" s="5" t="s">
        <v>19</v>
      </c>
      <c r="C9560" s="5" t="s">
        <v>3301</v>
      </c>
      <c r="E9560" s="5" t="s">
        <v>59145</v>
      </c>
      <c r="F9560" s="5" t="s">
        <v>72</v>
      </c>
      <c r="G9560" s="5" t="s">
        <v>59146</v>
      </c>
      <c r="H9560" s="6" t="s">
        <v>59147</v>
      </c>
      <c r="K9560" s="5" t="s">
        <v>59148</v>
      </c>
    </row>
    <row r="9561">
      <c r="A9561" s="4">
        <v>45534.46417678241</v>
      </c>
      <c r="B9561" s="5" t="s">
        <v>34</v>
      </c>
      <c r="D9561" s="5" t="s">
        <v>975</v>
      </c>
      <c r="E9561" s="5" t="s">
        <v>59149</v>
      </c>
      <c r="F9561" s="5" t="s">
        <v>37</v>
      </c>
      <c r="G9561" s="5" t="s">
        <v>59150</v>
      </c>
      <c r="H9561" s="6" t="s">
        <v>59151</v>
      </c>
      <c r="K9561" s="5" t="s">
        <v>59148</v>
      </c>
    </row>
    <row r="9562">
      <c r="A9562" s="4">
        <v>45534.46418137732</v>
      </c>
      <c r="B9562" s="5" t="s">
        <v>34</v>
      </c>
      <c r="D9562" s="5" t="s">
        <v>1206</v>
      </c>
      <c r="E9562" s="5" t="s">
        <v>59152</v>
      </c>
      <c r="F9562" s="5" t="s">
        <v>212</v>
      </c>
      <c r="G9562" s="5" t="s">
        <v>59153</v>
      </c>
      <c r="H9562" s="6" t="s">
        <v>59154</v>
      </c>
      <c r="K9562" s="5" t="s">
        <v>59148</v>
      </c>
    </row>
    <row r="9563">
      <c r="A9563" s="4">
        <v>45534.464249571756</v>
      </c>
      <c r="B9563" s="5" t="s">
        <v>19</v>
      </c>
      <c r="C9563" s="5" t="s">
        <v>292</v>
      </c>
      <c r="E9563" s="5" t="s">
        <v>59155</v>
      </c>
      <c r="F9563" s="5" t="s">
        <v>524</v>
      </c>
      <c r="G9563" s="5" t="s">
        <v>59156</v>
      </c>
      <c r="H9563" s="6" t="s">
        <v>59157</v>
      </c>
      <c r="K9563" s="5" t="s">
        <v>59158</v>
      </c>
    </row>
    <row r="9564">
      <c r="A9564" s="4">
        <v>45534.46425203704</v>
      </c>
      <c r="B9564" s="5" t="s">
        <v>34</v>
      </c>
      <c r="D9564" s="5" t="s">
        <v>9020</v>
      </c>
      <c r="E9564" s="5" t="s">
        <v>59159</v>
      </c>
      <c r="F9564" s="5" t="s">
        <v>212</v>
      </c>
      <c r="G9564" s="5" t="s">
        <v>59160</v>
      </c>
      <c r="H9564" s="6" t="s">
        <v>59161</v>
      </c>
      <c r="K9564" s="5" t="s">
        <v>59158</v>
      </c>
    </row>
    <row r="9565">
      <c r="A9565" s="4">
        <v>45534.464288981486</v>
      </c>
      <c r="B9565" s="5" t="s">
        <v>34</v>
      </c>
      <c r="D9565" s="5" t="s">
        <v>580</v>
      </c>
      <c r="E9565" s="5" t="s">
        <v>59162</v>
      </c>
      <c r="F9565" s="5" t="s">
        <v>72</v>
      </c>
      <c r="G9565" s="5" t="s">
        <v>59163</v>
      </c>
      <c r="H9565" s="6" t="s">
        <v>59164</v>
      </c>
      <c r="K9565" s="5" t="s">
        <v>59165</v>
      </c>
    </row>
    <row r="9566">
      <c r="A9566" s="4">
        <v>45534.46432428241</v>
      </c>
      <c r="B9566" s="5" t="s">
        <v>34</v>
      </c>
      <c r="D9566" s="5" t="s">
        <v>1206</v>
      </c>
      <c r="E9566" s="5" t="s">
        <v>59166</v>
      </c>
      <c r="F9566" s="5" t="s">
        <v>212</v>
      </c>
      <c r="G9566" s="5" t="s">
        <v>59167</v>
      </c>
      <c r="H9566" s="6" t="s">
        <v>59168</v>
      </c>
      <c r="K9566" s="5" t="s">
        <v>59169</v>
      </c>
    </row>
    <row r="9567">
      <c r="A9567" s="4">
        <v>45534.46435445602</v>
      </c>
      <c r="B9567" s="5" t="s">
        <v>19</v>
      </c>
      <c r="C9567" s="5" t="s">
        <v>292</v>
      </c>
      <c r="E9567" s="5" t="s">
        <v>59170</v>
      </c>
      <c r="F9567" s="5" t="s">
        <v>212</v>
      </c>
      <c r="G9567" s="5" t="s">
        <v>59171</v>
      </c>
      <c r="H9567" s="6" t="s">
        <v>59172</v>
      </c>
      <c r="K9567" s="5" t="s">
        <v>59173</v>
      </c>
    </row>
    <row r="9568">
      <c r="A9568" s="4">
        <v>45534.4643806713</v>
      </c>
      <c r="B9568" s="5" t="s">
        <v>34</v>
      </c>
      <c r="D9568" s="5" t="s">
        <v>4775</v>
      </c>
      <c r="E9568" s="5" t="s">
        <v>59174</v>
      </c>
      <c r="F9568" s="5" t="s">
        <v>524</v>
      </c>
      <c r="G9568" s="5" t="s">
        <v>59175</v>
      </c>
      <c r="H9568" s="6" t="s">
        <v>59176</v>
      </c>
      <c r="K9568" s="5" t="s">
        <v>59173</v>
      </c>
    </row>
    <row r="9569">
      <c r="A9569" s="4">
        <v>45534.46440490741</v>
      </c>
      <c r="B9569" s="5" t="s">
        <v>34</v>
      </c>
      <c r="D9569" s="5" t="s">
        <v>15401</v>
      </c>
      <c r="E9569" s="5" t="s">
        <v>59177</v>
      </c>
      <c r="F9569" s="5" t="s">
        <v>375</v>
      </c>
      <c r="G9569" s="5" t="s">
        <v>59178</v>
      </c>
      <c r="H9569" s="6" t="s">
        <v>59179</v>
      </c>
      <c r="K9569" s="5" t="s">
        <v>59180</v>
      </c>
    </row>
    <row r="9570">
      <c r="A9570" s="4">
        <v>45534.464494733795</v>
      </c>
      <c r="B9570" s="5" t="s">
        <v>19</v>
      </c>
      <c r="C9570" s="5" t="s">
        <v>442</v>
      </c>
      <c r="E9570" s="5" t="s">
        <v>59181</v>
      </c>
      <c r="F9570" s="5" t="s">
        <v>72</v>
      </c>
      <c r="G9570" s="5" t="s">
        <v>59182</v>
      </c>
      <c r="H9570" s="6" t="s">
        <v>59183</v>
      </c>
      <c r="K9570" s="5" t="s">
        <v>59184</v>
      </c>
    </row>
    <row r="9571">
      <c r="A9571" s="4">
        <v>45534.46451554398</v>
      </c>
      <c r="B9571" s="5" t="s">
        <v>34</v>
      </c>
      <c r="D9571" s="5" t="s">
        <v>4775</v>
      </c>
      <c r="E9571" s="5" t="s">
        <v>59185</v>
      </c>
      <c r="F9571" s="5" t="s">
        <v>212</v>
      </c>
      <c r="G9571" s="5" t="s">
        <v>59186</v>
      </c>
      <c r="H9571" s="6" t="s">
        <v>59187</v>
      </c>
      <c r="K9571" s="5" t="s">
        <v>59188</v>
      </c>
    </row>
    <row r="9572">
      <c r="A9572" s="4">
        <v>45534.46451543982</v>
      </c>
      <c r="B9572" s="5" t="s">
        <v>19</v>
      </c>
      <c r="C9572" s="5" t="s">
        <v>292</v>
      </c>
      <c r="E9572" s="5" t="s">
        <v>59189</v>
      </c>
      <c r="F9572" s="5" t="s">
        <v>524</v>
      </c>
      <c r="G9572" s="5" t="s">
        <v>59190</v>
      </c>
      <c r="H9572" s="6" t="s">
        <v>59191</v>
      </c>
      <c r="K9572" s="5" t="s">
        <v>59188</v>
      </c>
    </row>
    <row r="9573">
      <c r="A9573" s="4">
        <v>45534.46474019676</v>
      </c>
      <c r="B9573" s="5" t="s">
        <v>19</v>
      </c>
      <c r="C9573" s="5" t="s">
        <v>45988</v>
      </c>
      <c r="E9573" s="5" t="s">
        <v>59192</v>
      </c>
      <c r="F9573" s="5" t="s">
        <v>375</v>
      </c>
      <c r="G9573" s="5" t="s">
        <v>59193</v>
      </c>
      <c r="H9573" s="6" t="s">
        <v>59194</v>
      </c>
      <c r="K9573" s="5" t="s">
        <v>59195</v>
      </c>
    </row>
    <row r="9574">
      <c r="A9574" s="4">
        <v>45534.46479641204</v>
      </c>
      <c r="B9574" s="5" t="s">
        <v>34</v>
      </c>
      <c r="D9574" s="5" t="s">
        <v>701</v>
      </c>
      <c r="E9574" s="5" t="s">
        <v>59196</v>
      </c>
      <c r="F9574" s="5" t="s">
        <v>37</v>
      </c>
      <c r="G9574" s="5" t="s">
        <v>59197</v>
      </c>
      <c r="H9574" s="6" t="s">
        <v>59198</v>
      </c>
      <c r="K9574" s="5" t="s">
        <v>59199</v>
      </c>
    </row>
    <row r="9575">
      <c r="A9575" s="4">
        <v>45534.465058125</v>
      </c>
      <c r="B9575" s="5" t="s">
        <v>34</v>
      </c>
      <c r="D9575" s="5" t="s">
        <v>9020</v>
      </c>
      <c r="E9575" s="5" t="s">
        <v>14365</v>
      </c>
      <c r="F9575" s="5" t="s">
        <v>212</v>
      </c>
      <c r="G9575" s="5" t="s">
        <v>14366</v>
      </c>
      <c r="H9575" s="6" t="s">
        <v>59200</v>
      </c>
      <c r="K9575" s="5" t="s">
        <v>59201</v>
      </c>
    </row>
    <row r="9576">
      <c r="A9576" s="4">
        <v>45534.46515012732</v>
      </c>
      <c r="B9576" s="5" t="s">
        <v>34</v>
      </c>
      <c r="D9576" s="5" t="s">
        <v>14313</v>
      </c>
      <c r="E9576" s="5" t="s">
        <v>33497</v>
      </c>
      <c r="F9576" s="5" t="s">
        <v>212</v>
      </c>
      <c r="G9576" s="5" t="s">
        <v>59202</v>
      </c>
      <c r="H9576" s="6" t="s">
        <v>59203</v>
      </c>
      <c r="K9576" s="5" t="s">
        <v>59201</v>
      </c>
    </row>
    <row r="9577">
      <c r="A9577" s="4">
        <v>45534.4652975</v>
      </c>
      <c r="B9577" s="5" t="s">
        <v>34</v>
      </c>
      <c r="D9577" s="5" t="s">
        <v>9020</v>
      </c>
      <c r="E9577" s="5" t="s">
        <v>59204</v>
      </c>
      <c r="F9577" s="5" t="s">
        <v>37</v>
      </c>
      <c r="G9577" s="5" t="s">
        <v>59205</v>
      </c>
      <c r="H9577" s="6" t="s">
        <v>59206</v>
      </c>
      <c r="K9577" s="5" t="s">
        <v>59207</v>
      </c>
    </row>
    <row r="9578">
      <c r="A9578" s="4">
        <v>45534.46531295139</v>
      </c>
      <c r="B9578" s="5" t="s">
        <v>19</v>
      </c>
      <c r="C9578" s="5" t="s">
        <v>292</v>
      </c>
      <c r="E9578" s="5" t="s">
        <v>59208</v>
      </c>
      <c r="F9578" s="5" t="s">
        <v>120</v>
      </c>
      <c r="G9578" s="5" t="s">
        <v>59209</v>
      </c>
      <c r="H9578" s="6" t="s">
        <v>59210</v>
      </c>
      <c r="K9578" s="5" t="s">
        <v>59207</v>
      </c>
    </row>
    <row r="9579">
      <c r="A9579" s="4">
        <v>45534.46533114584</v>
      </c>
      <c r="B9579" s="5" t="s">
        <v>34</v>
      </c>
      <c r="D9579" s="5" t="s">
        <v>14313</v>
      </c>
      <c r="E9579" s="5" t="s">
        <v>59211</v>
      </c>
      <c r="F9579" s="5" t="s">
        <v>524</v>
      </c>
      <c r="G9579" s="5" t="s">
        <v>59212</v>
      </c>
      <c r="H9579" s="6" t="s">
        <v>59213</v>
      </c>
      <c r="K9579" s="5" t="s">
        <v>59207</v>
      </c>
    </row>
    <row r="9580">
      <c r="A9580" s="4">
        <v>45534.465393391205</v>
      </c>
      <c r="B9580" s="5" t="s">
        <v>34</v>
      </c>
      <c r="D9580" s="5" t="s">
        <v>1206</v>
      </c>
      <c r="E9580" s="5" t="s">
        <v>59214</v>
      </c>
      <c r="F9580" s="5" t="s">
        <v>375</v>
      </c>
      <c r="G9580" s="5" t="s">
        <v>59215</v>
      </c>
      <c r="H9580" s="6" t="s">
        <v>59216</v>
      </c>
      <c r="K9580" s="5" t="s">
        <v>59217</v>
      </c>
    </row>
    <row r="9581">
      <c r="A9581" s="4">
        <v>45534.46563060185</v>
      </c>
      <c r="B9581" s="5" t="s">
        <v>19</v>
      </c>
      <c r="C9581" s="5" t="s">
        <v>1606</v>
      </c>
      <c r="E9581" s="5" t="s">
        <v>59218</v>
      </c>
      <c r="F9581" s="5" t="s">
        <v>524</v>
      </c>
      <c r="G9581" s="5" t="s">
        <v>59219</v>
      </c>
      <c r="H9581" s="6" t="s">
        <v>59220</v>
      </c>
      <c r="K9581" s="5" t="s">
        <v>59221</v>
      </c>
    </row>
    <row r="9582">
      <c r="A9582" s="4">
        <v>45534.46569696759</v>
      </c>
      <c r="B9582" s="5" t="s">
        <v>19</v>
      </c>
      <c r="C9582" s="5" t="s">
        <v>292</v>
      </c>
      <c r="E9582" s="5" t="s">
        <v>59222</v>
      </c>
      <c r="F9582" s="5" t="s">
        <v>37</v>
      </c>
      <c r="G9582" s="5" t="s">
        <v>59223</v>
      </c>
      <c r="H9582" s="6" t="s">
        <v>59224</v>
      </c>
      <c r="K9582" s="5" t="s">
        <v>59225</v>
      </c>
    </row>
    <row r="9583">
      <c r="A9583" s="4">
        <v>45534.46576506944</v>
      </c>
      <c r="B9583" s="5" t="s">
        <v>34</v>
      </c>
      <c r="D9583" s="5" t="s">
        <v>1558</v>
      </c>
      <c r="E9583" s="5" t="s">
        <v>59226</v>
      </c>
      <c r="F9583" s="5" t="s">
        <v>37</v>
      </c>
      <c r="G9583" s="5" t="s">
        <v>59227</v>
      </c>
      <c r="H9583" s="6" t="s">
        <v>59228</v>
      </c>
      <c r="K9583" s="5" t="s">
        <v>59225</v>
      </c>
    </row>
    <row r="9584">
      <c r="A9584" s="4">
        <v>45534.46579722222</v>
      </c>
      <c r="B9584" s="5" t="s">
        <v>34</v>
      </c>
      <c r="D9584" s="5" t="s">
        <v>11913</v>
      </c>
      <c r="E9584" s="5" t="s">
        <v>59229</v>
      </c>
      <c r="F9584" s="5" t="s">
        <v>212</v>
      </c>
      <c r="G9584" s="5" t="s">
        <v>59230</v>
      </c>
      <c r="H9584" s="6" t="s">
        <v>59231</v>
      </c>
      <c r="K9584" s="5" t="s">
        <v>59225</v>
      </c>
    </row>
    <row r="9585">
      <c r="A9585" s="4">
        <v>45534.46583318287</v>
      </c>
      <c r="B9585" s="5" t="s">
        <v>34</v>
      </c>
      <c r="D9585" s="5" t="s">
        <v>12978</v>
      </c>
      <c r="E9585" s="5" t="s">
        <v>59232</v>
      </c>
      <c r="F9585" s="5" t="s">
        <v>108</v>
      </c>
      <c r="G9585" s="5" t="s">
        <v>59233</v>
      </c>
      <c r="H9585" s="6" t="s">
        <v>59234</v>
      </c>
      <c r="K9585" s="5" t="s">
        <v>59235</v>
      </c>
    </row>
    <row r="9586">
      <c r="A9586" s="4">
        <v>45534.46587219907</v>
      </c>
      <c r="B9586" s="5" t="s">
        <v>34</v>
      </c>
      <c r="D9586" s="5" t="s">
        <v>580</v>
      </c>
      <c r="E9586" s="5" t="s">
        <v>59236</v>
      </c>
      <c r="F9586" s="5" t="s">
        <v>108</v>
      </c>
      <c r="G9586" s="5" t="s">
        <v>59237</v>
      </c>
      <c r="H9586" s="6" t="s">
        <v>59238</v>
      </c>
      <c r="K9586" s="5" t="s">
        <v>59239</v>
      </c>
    </row>
    <row r="9587">
      <c r="A9587" s="4">
        <v>45534.465903425924</v>
      </c>
      <c r="B9587" s="5" t="s">
        <v>34</v>
      </c>
      <c r="D9587" s="5" t="s">
        <v>701</v>
      </c>
      <c r="E9587" s="5" t="s">
        <v>59240</v>
      </c>
      <c r="F9587" s="5" t="s">
        <v>524</v>
      </c>
      <c r="G9587" s="5" t="s">
        <v>59241</v>
      </c>
      <c r="H9587" s="6" t="s">
        <v>59242</v>
      </c>
      <c r="K9587" s="5" t="s">
        <v>59239</v>
      </c>
    </row>
    <row r="9588">
      <c r="A9588" s="4">
        <v>45534.46593958333</v>
      </c>
      <c r="B9588" s="5" t="s">
        <v>34</v>
      </c>
      <c r="D9588" s="5" t="s">
        <v>14424</v>
      </c>
      <c r="E9588" s="5" t="s">
        <v>59243</v>
      </c>
      <c r="F9588" s="5" t="s">
        <v>212</v>
      </c>
      <c r="G9588" s="5" t="s">
        <v>59244</v>
      </c>
      <c r="H9588" s="6" t="s">
        <v>59245</v>
      </c>
      <c r="K9588" s="5" t="s">
        <v>59239</v>
      </c>
    </row>
    <row r="9589">
      <c r="A9589" s="4">
        <v>45534.46597659722</v>
      </c>
      <c r="B9589" s="5" t="s">
        <v>34</v>
      </c>
      <c r="D9589" s="5" t="s">
        <v>1558</v>
      </c>
      <c r="E9589" s="5" t="s">
        <v>49305</v>
      </c>
      <c r="F9589" s="5" t="s">
        <v>108</v>
      </c>
      <c r="G9589" s="5" t="s">
        <v>49306</v>
      </c>
      <c r="H9589" s="6" t="s">
        <v>59246</v>
      </c>
      <c r="K9589" s="5" t="s">
        <v>59239</v>
      </c>
    </row>
    <row r="9590">
      <c r="A9590" s="4">
        <v>45534.46601016204</v>
      </c>
      <c r="B9590" s="5" t="s">
        <v>34</v>
      </c>
      <c r="D9590" s="5" t="s">
        <v>4775</v>
      </c>
      <c r="E9590" s="5" t="s">
        <v>59247</v>
      </c>
      <c r="F9590" s="5" t="s">
        <v>328</v>
      </c>
      <c r="G9590" s="5" t="s">
        <v>59248</v>
      </c>
      <c r="H9590" s="6" t="s">
        <v>59249</v>
      </c>
      <c r="K9590" s="5" t="s">
        <v>59239</v>
      </c>
    </row>
    <row r="9591">
      <c r="A9591" s="4">
        <v>45534.466342245374</v>
      </c>
      <c r="B9591" s="5" t="s">
        <v>34</v>
      </c>
      <c r="D9591" s="5" t="s">
        <v>701</v>
      </c>
      <c r="E9591" s="5" t="s">
        <v>59250</v>
      </c>
      <c r="F9591" s="5" t="s">
        <v>108</v>
      </c>
      <c r="G9591" s="5" t="s">
        <v>59251</v>
      </c>
      <c r="H9591" s="6" t="s">
        <v>59252</v>
      </c>
      <c r="K9591" s="5" t="s">
        <v>59253</v>
      </c>
    </row>
    <row r="9592">
      <c r="A9592" s="4">
        <v>45534.46642144676</v>
      </c>
      <c r="B9592" s="5" t="s">
        <v>34</v>
      </c>
      <c r="D9592" s="5" t="s">
        <v>701</v>
      </c>
      <c r="E9592" s="5" t="s">
        <v>59254</v>
      </c>
      <c r="F9592" s="5" t="s">
        <v>212</v>
      </c>
      <c r="G9592" s="5" t="s">
        <v>59255</v>
      </c>
      <c r="H9592" s="6" t="s">
        <v>59256</v>
      </c>
      <c r="K9592" s="5" t="s">
        <v>59257</v>
      </c>
    </row>
    <row r="9593">
      <c r="A9593" s="4">
        <v>45534.46653336806</v>
      </c>
      <c r="B9593" s="5" t="s">
        <v>19</v>
      </c>
      <c r="C9593" s="5" t="s">
        <v>47130</v>
      </c>
      <c r="E9593" s="5" t="s">
        <v>36540</v>
      </c>
      <c r="F9593" s="5" t="s">
        <v>108</v>
      </c>
      <c r="G9593" s="5" t="s">
        <v>59258</v>
      </c>
      <c r="H9593" s="6" t="s">
        <v>59259</v>
      </c>
      <c r="K9593" s="5" t="s">
        <v>59260</v>
      </c>
    </row>
    <row r="9594">
      <c r="A9594" s="4">
        <v>45534.46663630787</v>
      </c>
      <c r="B9594" s="5" t="s">
        <v>19</v>
      </c>
      <c r="C9594" s="5" t="s">
        <v>292</v>
      </c>
      <c r="E9594" s="5" t="s">
        <v>59261</v>
      </c>
      <c r="F9594" s="5" t="s">
        <v>37</v>
      </c>
      <c r="G9594" s="5" t="s">
        <v>59262</v>
      </c>
      <c r="H9594" s="6" t="s">
        <v>59263</v>
      </c>
      <c r="K9594" s="5" t="s">
        <v>59264</v>
      </c>
    </row>
    <row r="9595">
      <c r="A9595" s="4">
        <v>45534.46664273148</v>
      </c>
      <c r="B9595" s="5" t="s">
        <v>34</v>
      </c>
      <c r="D9595" s="5" t="s">
        <v>11913</v>
      </c>
      <c r="E9595" s="5" t="s">
        <v>59265</v>
      </c>
      <c r="F9595" s="5" t="s">
        <v>328</v>
      </c>
      <c r="G9595" s="5" t="s">
        <v>59266</v>
      </c>
      <c r="H9595" s="6" t="s">
        <v>59267</v>
      </c>
      <c r="K9595" s="5" t="s">
        <v>59264</v>
      </c>
    </row>
    <row r="9596">
      <c r="A9596" s="4">
        <v>45534.46674574074</v>
      </c>
      <c r="B9596" s="5" t="s">
        <v>19</v>
      </c>
      <c r="C9596" s="5" t="s">
        <v>292</v>
      </c>
      <c r="E9596" s="5" t="s">
        <v>59268</v>
      </c>
      <c r="F9596" s="5" t="s">
        <v>212</v>
      </c>
      <c r="G9596" s="5" t="s">
        <v>59269</v>
      </c>
      <c r="H9596" s="6" t="s">
        <v>59270</v>
      </c>
      <c r="K9596" s="5" t="s">
        <v>59271</v>
      </c>
    </row>
    <row r="9597">
      <c r="A9597" s="4">
        <v>45534.46689054398</v>
      </c>
      <c r="B9597" s="5" t="s">
        <v>19</v>
      </c>
      <c r="C9597" s="5" t="s">
        <v>292</v>
      </c>
      <c r="E9597" s="5" t="s">
        <v>59272</v>
      </c>
      <c r="F9597" s="5" t="s">
        <v>37</v>
      </c>
      <c r="G9597" s="5" t="s">
        <v>59273</v>
      </c>
      <c r="H9597" s="6" t="s">
        <v>59274</v>
      </c>
      <c r="K9597" s="5" t="s">
        <v>59271</v>
      </c>
    </row>
    <row r="9598">
      <c r="A9598" s="4">
        <v>45534.46690107639</v>
      </c>
      <c r="B9598" s="5" t="s">
        <v>34</v>
      </c>
      <c r="D9598" s="5" t="s">
        <v>1206</v>
      </c>
      <c r="E9598" s="5" t="s">
        <v>59275</v>
      </c>
      <c r="F9598" s="5" t="s">
        <v>328</v>
      </c>
      <c r="G9598" s="5" t="s">
        <v>59276</v>
      </c>
      <c r="H9598" s="6" t="s">
        <v>59277</v>
      </c>
      <c r="K9598" s="5" t="s">
        <v>59271</v>
      </c>
    </row>
    <row r="9599">
      <c r="A9599" s="4">
        <v>45534.466922569445</v>
      </c>
      <c r="B9599" s="5" t="s">
        <v>19</v>
      </c>
      <c r="C9599" s="5" t="s">
        <v>292</v>
      </c>
      <c r="E9599" s="5" t="s">
        <v>59278</v>
      </c>
      <c r="F9599" s="5" t="s">
        <v>120</v>
      </c>
      <c r="G9599" s="5" t="s">
        <v>59279</v>
      </c>
      <c r="H9599" s="6" t="s">
        <v>59280</v>
      </c>
      <c r="K9599" s="5" t="s">
        <v>59271</v>
      </c>
    </row>
    <row r="9600">
      <c r="A9600" s="4">
        <v>45534.467045625</v>
      </c>
      <c r="B9600" s="5" t="s">
        <v>34</v>
      </c>
      <c r="D9600" s="5" t="s">
        <v>35</v>
      </c>
      <c r="E9600" s="5" t="s">
        <v>59281</v>
      </c>
      <c r="F9600" s="5" t="s">
        <v>37</v>
      </c>
      <c r="G9600" s="5" t="s">
        <v>59282</v>
      </c>
      <c r="H9600" s="6" t="s">
        <v>59283</v>
      </c>
      <c r="K9600" s="5" t="s">
        <v>59284</v>
      </c>
    </row>
    <row r="9601">
      <c r="A9601" s="4">
        <v>45534.467051388885</v>
      </c>
      <c r="B9601" s="5" t="s">
        <v>19</v>
      </c>
      <c r="C9601" s="5" t="s">
        <v>292</v>
      </c>
      <c r="E9601" s="5" t="s">
        <v>59285</v>
      </c>
      <c r="F9601" s="5" t="s">
        <v>212</v>
      </c>
      <c r="G9601" s="5" t="s">
        <v>59286</v>
      </c>
      <c r="H9601" s="6" t="s">
        <v>59287</v>
      </c>
      <c r="K9601" s="5" t="s">
        <v>59284</v>
      </c>
    </row>
    <row r="9602">
      <c r="A9602" s="4">
        <v>45534.46716438657</v>
      </c>
      <c r="B9602" s="5" t="s">
        <v>34</v>
      </c>
      <c r="D9602" s="5" t="s">
        <v>14313</v>
      </c>
      <c r="E9602" s="5" t="s">
        <v>59288</v>
      </c>
      <c r="F9602" s="5" t="s">
        <v>212</v>
      </c>
      <c r="G9602" s="5" t="s">
        <v>59289</v>
      </c>
      <c r="H9602" s="6" t="s">
        <v>59290</v>
      </c>
      <c r="K9602" s="5" t="s">
        <v>59284</v>
      </c>
    </row>
    <row r="9603">
      <c r="A9603" s="4">
        <v>45534.46718450231</v>
      </c>
      <c r="B9603" s="5" t="s">
        <v>34</v>
      </c>
      <c r="D9603" s="5" t="s">
        <v>35</v>
      </c>
      <c r="E9603" s="5" t="s">
        <v>59291</v>
      </c>
      <c r="F9603" s="5" t="s">
        <v>37</v>
      </c>
      <c r="G9603" s="5" t="s">
        <v>59292</v>
      </c>
      <c r="H9603" s="6" t="s">
        <v>59293</v>
      </c>
      <c r="K9603" s="5" t="s">
        <v>59284</v>
      </c>
    </row>
    <row r="9604">
      <c r="A9604" s="4">
        <v>45534.46730185185</v>
      </c>
      <c r="B9604" s="5" t="s">
        <v>34</v>
      </c>
      <c r="D9604" s="5" t="s">
        <v>35</v>
      </c>
      <c r="E9604" s="5" t="s">
        <v>51243</v>
      </c>
      <c r="F9604" s="5" t="s">
        <v>199</v>
      </c>
      <c r="G9604" s="5" t="s">
        <v>59294</v>
      </c>
      <c r="H9604" s="6" t="s">
        <v>59295</v>
      </c>
      <c r="K9604" s="5" t="s">
        <v>59284</v>
      </c>
    </row>
    <row r="9605">
      <c r="A9605" s="4">
        <v>45534.46740664352</v>
      </c>
      <c r="B9605" s="5" t="s">
        <v>34</v>
      </c>
      <c r="D9605" s="5" t="s">
        <v>1206</v>
      </c>
      <c r="E9605" s="5" t="s">
        <v>59296</v>
      </c>
      <c r="F9605" s="5" t="s">
        <v>72</v>
      </c>
      <c r="G9605" s="5" t="s">
        <v>59297</v>
      </c>
      <c r="H9605" s="6" t="s">
        <v>59298</v>
      </c>
      <c r="K9605" s="5" t="s">
        <v>59284</v>
      </c>
    </row>
    <row r="9606">
      <c r="A9606" s="4">
        <v>45534.46742865741</v>
      </c>
      <c r="B9606" s="5" t="s">
        <v>34</v>
      </c>
      <c r="D9606" s="5" t="s">
        <v>4775</v>
      </c>
      <c r="E9606" s="5" t="s">
        <v>59299</v>
      </c>
      <c r="F9606" s="5" t="s">
        <v>72</v>
      </c>
      <c r="G9606" s="5" t="s">
        <v>59300</v>
      </c>
      <c r="H9606" s="6" t="s">
        <v>59301</v>
      </c>
      <c r="K9606" s="5" t="s">
        <v>59284</v>
      </c>
    </row>
    <row r="9607">
      <c r="A9607" s="4">
        <v>45534.467432453705</v>
      </c>
      <c r="B9607" s="5" t="s">
        <v>34</v>
      </c>
      <c r="D9607" s="5" t="s">
        <v>12978</v>
      </c>
      <c r="E9607" s="5" t="s">
        <v>59302</v>
      </c>
      <c r="F9607" s="5" t="s">
        <v>108</v>
      </c>
      <c r="G9607" s="5" t="s">
        <v>59303</v>
      </c>
      <c r="H9607" s="6" t="s">
        <v>59304</v>
      </c>
      <c r="K9607" s="5" t="s">
        <v>59284</v>
      </c>
    </row>
    <row r="9608">
      <c r="A9608" s="4">
        <v>45534.46757806713</v>
      </c>
      <c r="B9608" s="5" t="s">
        <v>34</v>
      </c>
      <c r="D9608" s="5" t="s">
        <v>1206</v>
      </c>
      <c r="E9608" s="5" t="s">
        <v>59308</v>
      </c>
      <c r="F9608" s="5" t="s">
        <v>212</v>
      </c>
      <c r="G9608" s="5" t="s">
        <v>59309</v>
      </c>
      <c r="H9608" s="6" t="s">
        <v>59310</v>
      </c>
      <c r="K9608" s="5" t="s">
        <v>59284</v>
      </c>
    </row>
    <row r="9609">
      <c r="A9609" s="4">
        <v>45534.46764138889</v>
      </c>
      <c r="B9609" s="5" t="s">
        <v>34</v>
      </c>
      <c r="D9609" s="5" t="s">
        <v>14313</v>
      </c>
      <c r="E9609" s="5" t="s">
        <v>59314</v>
      </c>
      <c r="F9609" s="5" t="s">
        <v>5566</v>
      </c>
      <c r="G9609" s="5" t="s">
        <v>59315</v>
      </c>
      <c r="H9609" s="6" t="s">
        <v>59316</v>
      </c>
      <c r="K9609" s="5" t="s">
        <v>59284</v>
      </c>
    </row>
    <row r="9610">
      <c r="A9610" s="4">
        <v>45534.467650879626</v>
      </c>
      <c r="B9610" s="5" t="s">
        <v>34</v>
      </c>
      <c r="D9610" s="5" t="s">
        <v>1558</v>
      </c>
      <c r="E9610" s="5" t="s">
        <v>59320</v>
      </c>
      <c r="F9610" s="5" t="s">
        <v>715</v>
      </c>
      <c r="G9610" s="5" t="s">
        <v>59321</v>
      </c>
      <c r="H9610" s="6" t="s">
        <v>59322</v>
      </c>
      <c r="K9610" s="5" t="s">
        <v>59284</v>
      </c>
    </row>
    <row r="9611">
      <c r="A9611" s="4">
        <v>45534.46766189815</v>
      </c>
      <c r="B9611" s="5" t="s">
        <v>19</v>
      </c>
      <c r="C9611" s="5" t="s">
        <v>24076</v>
      </c>
      <c r="E9611" s="5" t="s">
        <v>59326</v>
      </c>
      <c r="F9611" s="5" t="s">
        <v>375</v>
      </c>
      <c r="G9611" s="5" t="s">
        <v>59327</v>
      </c>
      <c r="H9611" s="6" t="s">
        <v>59328</v>
      </c>
      <c r="K9611" s="5" t="s">
        <v>59284</v>
      </c>
    </row>
    <row r="9612">
      <c r="A9612" s="4">
        <v>45534.467788657406</v>
      </c>
      <c r="B9612" s="5" t="s">
        <v>34</v>
      </c>
      <c r="D9612" s="5" t="s">
        <v>1206</v>
      </c>
      <c r="E9612" s="5" t="s">
        <v>59332</v>
      </c>
      <c r="F9612" s="5" t="s">
        <v>212</v>
      </c>
      <c r="G9612" s="5" t="s">
        <v>59333</v>
      </c>
      <c r="H9612" s="6" t="s">
        <v>59334</v>
      </c>
      <c r="K9612" s="5" t="s">
        <v>59284</v>
      </c>
    </row>
    <row r="9613">
      <c r="A9613" s="4">
        <v>45534.46788519676</v>
      </c>
      <c r="B9613" s="5" t="s">
        <v>19</v>
      </c>
      <c r="C9613" s="5" t="s">
        <v>292</v>
      </c>
      <c r="E9613" s="5" t="s">
        <v>59338</v>
      </c>
      <c r="F9613" s="5" t="s">
        <v>37</v>
      </c>
      <c r="G9613" s="5" t="s">
        <v>59339</v>
      </c>
      <c r="H9613" s="6" t="s">
        <v>59340</v>
      </c>
      <c r="K9613" s="5" t="s">
        <v>59284</v>
      </c>
    </row>
    <row r="9614">
      <c r="A9614" s="4">
        <v>45534.46808439815</v>
      </c>
      <c r="B9614" s="5" t="s">
        <v>34</v>
      </c>
      <c r="D9614" s="5" t="s">
        <v>1206</v>
      </c>
      <c r="E9614" s="5" t="s">
        <v>59344</v>
      </c>
      <c r="F9614" s="5" t="s">
        <v>328</v>
      </c>
      <c r="G9614" s="5" t="s">
        <v>59345</v>
      </c>
      <c r="H9614" s="6" t="s">
        <v>59346</v>
      </c>
      <c r="K9614" s="5" t="s">
        <v>59284</v>
      </c>
    </row>
    <row r="9615">
      <c r="A9615" s="4">
        <v>45534.46815444445</v>
      </c>
      <c r="B9615" s="5" t="s">
        <v>34</v>
      </c>
      <c r="D9615" s="5" t="s">
        <v>9020</v>
      </c>
      <c r="E9615" s="5" t="s">
        <v>50069</v>
      </c>
      <c r="F9615" s="5" t="s">
        <v>212</v>
      </c>
      <c r="G9615" s="5" t="s">
        <v>50070</v>
      </c>
      <c r="H9615" s="6" t="s">
        <v>59350</v>
      </c>
      <c r="K9615" s="5" t="s">
        <v>59284</v>
      </c>
    </row>
    <row r="9616">
      <c r="A9616" s="4">
        <v>45534.46817972222</v>
      </c>
      <c r="B9616" s="5" t="s">
        <v>34</v>
      </c>
      <c r="D9616" s="5" t="s">
        <v>580</v>
      </c>
      <c r="E9616" s="5" t="s">
        <v>59354</v>
      </c>
      <c r="F9616" s="5" t="s">
        <v>72</v>
      </c>
      <c r="G9616" s="5" t="s">
        <v>59355</v>
      </c>
      <c r="H9616" s="6" t="s">
        <v>59356</v>
      </c>
      <c r="K9616" s="5" t="s">
        <v>59284</v>
      </c>
    </row>
    <row r="9617">
      <c r="A9617" s="4">
        <v>45534.46821173611</v>
      </c>
      <c r="B9617" s="5" t="s">
        <v>19</v>
      </c>
      <c r="C9617" s="5" t="s">
        <v>292</v>
      </c>
      <c r="E9617" s="5" t="s">
        <v>59360</v>
      </c>
      <c r="F9617" s="5" t="s">
        <v>37</v>
      </c>
      <c r="G9617" s="5" t="s">
        <v>59361</v>
      </c>
      <c r="H9617" s="6" t="s">
        <v>59362</v>
      </c>
      <c r="K9617" s="5" t="s">
        <v>59284</v>
      </c>
    </row>
    <row r="9618">
      <c r="A9618" s="4">
        <v>45534.46821652778</v>
      </c>
      <c r="B9618" s="5" t="s">
        <v>34</v>
      </c>
      <c r="D9618" s="5" t="s">
        <v>1206</v>
      </c>
      <c r="E9618" s="5" t="s">
        <v>59366</v>
      </c>
      <c r="F9618" s="5" t="s">
        <v>37</v>
      </c>
      <c r="G9618" s="5" t="s">
        <v>59367</v>
      </c>
      <c r="H9618" s="6" t="s">
        <v>59368</v>
      </c>
      <c r="K9618" s="5" t="s">
        <v>59284</v>
      </c>
    </row>
    <row r="9619">
      <c r="A9619" s="4">
        <v>45534.4682566088</v>
      </c>
      <c r="B9619" s="5" t="s">
        <v>34</v>
      </c>
      <c r="D9619" s="5" t="s">
        <v>9020</v>
      </c>
      <c r="E9619" s="5" t="s">
        <v>59372</v>
      </c>
      <c r="F9619" s="5" t="s">
        <v>212</v>
      </c>
      <c r="G9619" s="5" t="s">
        <v>59373</v>
      </c>
      <c r="H9619" s="6" t="s">
        <v>59374</v>
      </c>
      <c r="K9619" s="5" t="s">
        <v>59284</v>
      </c>
    </row>
    <row r="9620">
      <c r="A9620" s="4">
        <v>45534.46832849537</v>
      </c>
      <c r="B9620" s="5" t="s">
        <v>34</v>
      </c>
      <c r="D9620" s="5" t="s">
        <v>1456</v>
      </c>
      <c r="E9620" s="5" t="s">
        <v>59378</v>
      </c>
      <c r="F9620" s="5" t="s">
        <v>212</v>
      </c>
      <c r="G9620" s="5" t="s">
        <v>59379</v>
      </c>
      <c r="H9620" s="6" t="s">
        <v>59380</v>
      </c>
      <c r="K9620" s="5" t="s">
        <v>59381</v>
      </c>
    </row>
    <row r="9621">
      <c r="A9621" s="4">
        <v>45534.46842006945</v>
      </c>
      <c r="B9621" s="5" t="s">
        <v>34</v>
      </c>
      <c r="D9621" s="5" t="s">
        <v>12026</v>
      </c>
      <c r="E9621" s="5" t="s">
        <v>59385</v>
      </c>
      <c r="F9621" s="5" t="s">
        <v>37</v>
      </c>
      <c r="G9621" s="5" t="s">
        <v>59386</v>
      </c>
      <c r="H9621" s="6" t="s">
        <v>59387</v>
      </c>
      <c r="K9621" s="5" t="s">
        <v>59388</v>
      </c>
    </row>
    <row r="9622">
      <c r="A9622" s="4">
        <v>45534.4686075</v>
      </c>
      <c r="B9622" s="5" t="s">
        <v>34</v>
      </c>
      <c r="D9622" s="5" t="s">
        <v>10444</v>
      </c>
      <c r="E9622" s="5" t="s">
        <v>22398</v>
      </c>
      <c r="F9622" s="5" t="s">
        <v>72</v>
      </c>
      <c r="G9622" s="5" t="s">
        <v>22399</v>
      </c>
      <c r="H9622" s="6" t="s">
        <v>59392</v>
      </c>
      <c r="K9622" s="5" t="s">
        <v>59393</v>
      </c>
    </row>
    <row r="9623">
      <c r="A9623" s="4">
        <v>45534.46867914352</v>
      </c>
      <c r="B9623" s="5" t="s">
        <v>34</v>
      </c>
      <c r="D9623" s="5" t="s">
        <v>10444</v>
      </c>
      <c r="E9623" s="5" t="s">
        <v>38131</v>
      </c>
      <c r="F9623" s="5" t="s">
        <v>108</v>
      </c>
      <c r="G9623" s="5" t="s">
        <v>53418</v>
      </c>
      <c r="H9623" s="6" t="s">
        <v>59397</v>
      </c>
      <c r="K9623" s="5" t="s">
        <v>59393</v>
      </c>
    </row>
    <row r="9624">
      <c r="A9624" s="4">
        <v>45534.468733726855</v>
      </c>
      <c r="B9624" s="5" t="s">
        <v>34</v>
      </c>
      <c r="D9624" s="5" t="s">
        <v>1206</v>
      </c>
      <c r="E9624" s="5" t="s">
        <v>59401</v>
      </c>
      <c r="F9624" s="5" t="s">
        <v>37</v>
      </c>
      <c r="G9624" s="5" t="s">
        <v>59402</v>
      </c>
      <c r="H9624" s="6" t="s">
        <v>59403</v>
      </c>
      <c r="K9624" s="5" t="s">
        <v>59393</v>
      </c>
    </row>
    <row r="9625">
      <c r="A9625" s="4">
        <v>45534.46873893519</v>
      </c>
      <c r="B9625" s="5" t="s">
        <v>34</v>
      </c>
      <c r="D9625" s="5" t="s">
        <v>604</v>
      </c>
      <c r="E9625" s="5" t="s">
        <v>59407</v>
      </c>
      <c r="F9625" s="5" t="s">
        <v>72</v>
      </c>
      <c r="G9625" s="5" t="s">
        <v>59408</v>
      </c>
      <c r="H9625" s="6" t="s">
        <v>59409</v>
      </c>
      <c r="K9625" s="5" t="s">
        <v>59393</v>
      </c>
    </row>
    <row r="9626">
      <c r="A9626" s="4">
        <v>45534.46878872685</v>
      </c>
      <c r="B9626" s="5" t="s">
        <v>34</v>
      </c>
      <c r="D9626" s="5" t="s">
        <v>9020</v>
      </c>
      <c r="E9626" s="5" t="s">
        <v>59413</v>
      </c>
      <c r="F9626" s="5" t="s">
        <v>212</v>
      </c>
      <c r="G9626" s="5" t="s">
        <v>59414</v>
      </c>
      <c r="H9626" s="6" t="s">
        <v>59415</v>
      </c>
      <c r="K9626" s="5" t="s">
        <v>59393</v>
      </c>
    </row>
    <row r="9627">
      <c r="A9627" s="4">
        <v>45534.46879349537</v>
      </c>
      <c r="B9627" s="5" t="s">
        <v>19</v>
      </c>
      <c r="C9627" s="5" t="s">
        <v>38343</v>
      </c>
      <c r="E9627" s="5" t="s">
        <v>59419</v>
      </c>
      <c r="F9627" s="5" t="s">
        <v>524</v>
      </c>
      <c r="G9627" s="5" t="s">
        <v>59420</v>
      </c>
      <c r="H9627" s="6" t="s">
        <v>59421</v>
      </c>
      <c r="K9627" s="5" t="s">
        <v>59393</v>
      </c>
    </row>
    <row r="9628">
      <c r="A9628" s="4">
        <v>45534.46879605324</v>
      </c>
      <c r="B9628" s="5" t="s">
        <v>19</v>
      </c>
      <c r="C9628" s="5" t="s">
        <v>292</v>
      </c>
      <c r="E9628" s="5" t="s">
        <v>59425</v>
      </c>
      <c r="F9628" s="5" t="s">
        <v>120</v>
      </c>
      <c r="G9628" s="5" t="s">
        <v>59426</v>
      </c>
      <c r="H9628" s="6" t="s">
        <v>59427</v>
      </c>
      <c r="K9628" s="5" t="s">
        <v>59393</v>
      </c>
    </row>
    <row r="9629">
      <c r="A9629" s="4">
        <v>45534.4687987963</v>
      </c>
      <c r="B9629" s="5" t="s">
        <v>19</v>
      </c>
      <c r="C9629" s="5" t="s">
        <v>292</v>
      </c>
      <c r="E9629" s="5" t="s">
        <v>59431</v>
      </c>
      <c r="F9629" s="5" t="s">
        <v>120</v>
      </c>
      <c r="G9629" s="5" t="s">
        <v>59432</v>
      </c>
      <c r="H9629" s="6" t="s">
        <v>59433</v>
      </c>
      <c r="K9629" s="5" t="s">
        <v>59393</v>
      </c>
    </row>
    <row r="9630">
      <c r="A9630" s="4">
        <v>45534.46880664352</v>
      </c>
      <c r="B9630" s="5" t="s">
        <v>34</v>
      </c>
      <c r="D9630" s="5" t="s">
        <v>701</v>
      </c>
      <c r="E9630" s="5" t="s">
        <v>59437</v>
      </c>
      <c r="F9630" s="5" t="s">
        <v>212</v>
      </c>
      <c r="G9630" s="5" t="s">
        <v>59438</v>
      </c>
      <c r="H9630" s="6" t="s">
        <v>59439</v>
      </c>
      <c r="K9630" s="5" t="s">
        <v>59393</v>
      </c>
    </row>
    <row r="9631">
      <c r="A9631" s="4">
        <v>45534.468934131946</v>
      </c>
      <c r="B9631" s="5" t="s">
        <v>34</v>
      </c>
      <c r="D9631" s="5" t="s">
        <v>35</v>
      </c>
      <c r="E9631" s="5" t="s">
        <v>59443</v>
      </c>
      <c r="F9631" s="5" t="s">
        <v>328</v>
      </c>
      <c r="G9631" s="5" t="s">
        <v>59444</v>
      </c>
      <c r="H9631" s="6" t="s">
        <v>59445</v>
      </c>
      <c r="K9631" s="5" t="s">
        <v>59393</v>
      </c>
    </row>
    <row r="9632">
      <c r="A9632" s="4">
        <v>45534.46909465278</v>
      </c>
      <c r="B9632" s="5" t="s">
        <v>34</v>
      </c>
      <c r="D9632" s="5" t="s">
        <v>4775</v>
      </c>
      <c r="E9632" s="5" t="s">
        <v>59449</v>
      </c>
      <c r="F9632" s="5" t="s">
        <v>37</v>
      </c>
      <c r="G9632" s="5" t="s">
        <v>59450</v>
      </c>
      <c r="H9632" s="6" t="s">
        <v>59451</v>
      </c>
      <c r="K9632" s="5" t="s">
        <v>59393</v>
      </c>
    </row>
    <row r="9633">
      <c r="A9633" s="4">
        <v>45534.46910238426</v>
      </c>
      <c r="B9633" s="5" t="s">
        <v>34</v>
      </c>
      <c r="D9633" s="5" t="s">
        <v>4775</v>
      </c>
      <c r="E9633" s="5" t="s">
        <v>59455</v>
      </c>
      <c r="F9633" s="5" t="s">
        <v>108</v>
      </c>
      <c r="G9633" s="5" t="s">
        <v>59456</v>
      </c>
      <c r="H9633" s="6" t="s">
        <v>59457</v>
      </c>
      <c r="K9633" s="5" t="s">
        <v>59393</v>
      </c>
    </row>
    <row r="9634">
      <c r="A9634" s="4">
        <v>45534.46913508102</v>
      </c>
      <c r="B9634" s="5" t="s">
        <v>34</v>
      </c>
      <c r="D9634" s="5" t="s">
        <v>9020</v>
      </c>
      <c r="E9634" s="5" t="s">
        <v>59461</v>
      </c>
      <c r="F9634" s="5" t="s">
        <v>212</v>
      </c>
      <c r="G9634" s="5" t="s">
        <v>59462</v>
      </c>
      <c r="H9634" s="6" t="s">
        <v>59463</v>
      </c>
      <c r="K9634" s="5" t="s">
        <v>59464</v>
      </c>
    </row>
    <row r="9635">
      <c r="A9635" s="4">
        <v>45534.46914855324</v>
      </c>
      <c r="B9635" s="5" t="s">
        <v>34</v>
      </c>
      <c r="D9635" s="5" t="s">
        <v>1206</v>
      </c>
      <c r="E9635" s="5" t="s">
        <v>59468</v>
      </c>
      <c r="F9635" s="5" t="s">
        <v>108</v>
      </c>
      <c r="G9635" s="5" t="s">
        <v>59469</v>
      </c>
      <c r="H9635" s="6" t="s">
        <v>59470</v>
      </c>
      <c r="K9635" s="5" t="s">
        <v>59464</v>
      </c>
    </row>
    <row r="9636">
      <c r="A9636" s="4">
        <v>45534.46928533565</v>
      </c>
      <c r="B9636" s="5" t="s">
        <v>19</v>
      </c>
      <c r="C9636" s="5" t="s">
        <v>292</v>
      </c>
      <c r="E9636" s="5" t="s">
        <v>59474</v>
      </c>
      <c r="F9636" s="5" t="s">
        <v>37</v>
      </c>
      <c r="G9636" s="5" t="s">
        <v>59475</v>
      </c>
      <c r="H9636" s="6" t="s">
        <v>59476</v>
      </c>
      <c r="K9636" s="5" t="s">
        <v>59477</v>
      </c>
    </row>
    <row r="9637">
      <c r="A9637" s="4">
        <v>45534.46936326389</v>
      </c>
      <c r="B9637" s="5" t="s">
        <v>34</v>
      </c>
      <c r="D9637" s="5" t="s">
        <v>9020</v>
      </c>
      <c r="E9637" s="5" t="s">
        <v>59481</v>
      </c>
      <c r="F9637" s="5" t="s">
        <v>212</v>
      </c>
      <c r="G9637" s="5" t="s">
        <v>59482</v>
      </c>
      <c r="H9637" s="6" t="s">
        <v>59483</v>
      </c>
      <c r="K9637" s="5" t="s">
        <v>59484</v>
      </c>
    </row>
    <row r="9638">
      <c r="A9638" s="4">
        <v>45534.46936396991</v>
      </c>
      <c r="B9638" s="5" t="s">
        <v>19</v>
      </c>
      <c r="C9638" s="5" t="s">
        <v>292</v>
      </c>
      <c r="E9638" s="5" t="s">
        <v>59488</v>
      </c>
      <c r="F9638" s="5" t="s">
        <v>37</v>
      </c>
      <c r="G9638" s="5" t="s">
        <v>59489</v>
      </c>
      <c r="H9638" s="6" t="s">
        <v>59490</v>
      </c>
      <c r="K9638" s="5" t="s">
        <v>59484</v>
      </c>
    </row>
    <row r="9639">
      <c r="A9639" s="4">
        <v>45534.46963266203</v>
      </c>
      <c r="B9639" s="5" t="s">
        <v>34</v>
      </c>
      <c r="D9639" s="5" t="s">
        <v>10444</v>
      </c>
      <c r="E9639" s="5" t="s">
        <v>59494</v>
      </c>
      <c r="F9639" s="5" t="s">
        <v>108</v>
      </c>
      <c r="G9639" s="5" t="s">
        <v>59495</v>
      </c>
      <c r="H9639" s="6" t="s">
        <v>59496</v>
      </c>
      <c r="K9639" s="5" t="s">
        <v>59497</v>
      </c>
    </row>
    <row r="9640">
      <c r="A9640" s="4">
        <v>45534.46973561343</v>
      </c>
      <c r="B9640" s="5" t="s">
        <v>19</v>
      </c>
      <c r="C9640" s="5" t="s">
        <v>292</v>
      </c>
      <c r="E9640" s="5" t="s">
        <v>59501</v>
      </c>
      <c r="F9640" s="5" t="s">
        <v>37</v>
      </c>
      <c r="G9640" s="5" t="s">
        <v>59502</v>
      </c>
      <c r="H9640" s="6" t="s">
        <v>59503</v>
      </c>
      <c r="K9640" s="5" t="s">
        <v>59504</v>
      </c>
    </row>
    <row r="9641">
      <c r="A9641" s="4">
        <v>45534.46973762731</v>
      </c>
      <c r="B9641" s="5" t="s">
        <v>34</v>
      </c>
      <c r="D9641" s="5" t="s">
        <v>1456</v>
      </c>
      <c r="E9641" s="5" t="s">
        <v>59507</v>
      </c>
      <c r="F9641" s="5" t="s">
        <v>715</v>
      </c>
      <c r="G9641" s="5" t="s">
        <v>59508</v>
      </c>
      <c r="H9641" s="6" t="s">
        <v>59509</v>
      </c>
      <c r="K9641" s="5" t="s">
        <v>59504</v>
      </c>
    </row>
    <row r="9642">
      <c r="A9642" s="4">
        <v>45534.46974890046</v>
      </c>
      <c r="B9642" s="5" t="s">
        <v>34</v>
      </c>
      <c r="D9642" s="5" t="s">
        <v>15401</v>
      </c>
      <c r="E9642" s="5" t="s">
        <v>59513</v>
      </c>
      <c r="F9642" s="5" t="s">
        <v>524</v>
      </c>
      <c r="G9642" s="5" t="s">
        <v>59514</v>
      </c>
      <c r="H9642" s="6" t="s">
        <v>59515</v>
      </c>
      <c r="K9642" s="5" t="s">
        <v>59504</v>
      </c>
    </row>
    <row r="9643">
      <c r="A9643" s="4">
        <v>45534.469753125</v>
      </c>
      <c r="B9643" s="5" t="s">
        <v>19</v>
      </c>
      <c r="C9643" s="5" t="s">
        <v>292</v>
      </c>
      <c r="E9643" s="5" t="s">
        <v>59518</v>
      </c>
      <c r="F9643" s="5" t="s">
        <v>120</v>
      </c>
      <c r="G9643" s="5" t="s">
        <v>59519</v>
      </c>
      <c r="H9643" s="6" t="s">
        <v>59520</v>
      </c>
      <c r="K9643" s="5" t="s">
        <v>59504</v>
      </c>
    </row>
    <row r="9644">
      <c r="A9644" s="4">
        <v>45534.46982324074</v>
      </c>
      <c r="B9644" s="5" t="s">
        <v>34</v>
      </c>
      <c r="D9644" s="5" t="s">
        <v>996</v>
      </c>
      <c r="E9644" s="5" t="s">
        <v>59523</v>
      </c>
      <c r="F9644" s="5" t="s">
        <v>85</v>
      </c>
      <c r="G9644" s="5" t="s">
        <v>59524</v>
      </c>
      <c r="H9644" s="6" t="s">
        <v>59525</v>
      </c>
      <c r="K9644" s="5" t="s">
        <v>59526</v>
      </c>
    </row>
    <row r="9645">
      <c r="A9645" s="4">
        <v>45534.46983403935</v>
      </c>
      <c r="B9645" s="5" t="s">
        <v>34</v>
      </c>
      <c r="D9645" s="5" t="s">
        <v>9020</v>
      </c>
      <c r="E9645" s="5" t="s">
        <v>26675</v>
      </c>
      <c r="F9645" s="5" t="s">
        <v>108</v>
      </c>
      <c r="G9645" s="5" t="s">
        <v>26676</v>
      </c>
      <c r="H9645" s="6" t="s">
        <v>59529</v>
      </c>
      <c r="K9645" s="5" t="s">
        <v>59526</v>
      </c>
    </row>
    <row r="9646">
      <c r="A9646" s="4">
        <v>45534.47007141204</v>
      </c>
      <c r="B9646" s="5" t="s">
        <v>34</v>
      </c>
      <c r="D9646" s="5" t="s">
        <v>1206</v>
      </c>
      <c r="E9646" s="5" t="s">
        <v>59533</v>
      </c>
      <c r="F9646" s="5" t="s">
        <v>37</v>
      </c>
      <c r="G9646" s="5" t="s">
        <v>59534</v>
      </c>
      <c r="H9646" s="6" t="s">
        <v>59535</v>
      </c>
      <c r="K9646" s="5" t="s">
        <v>59536</v>
      </c>
    </row>
    <row r="9647">
      <c r="A9647" s="4">
        <v>45534.47015405093</v>
      </c>
      <c r="B9647" s="5" t="s">
        <v>19</v>
      </c>
      <c r="C9647" s="5" t="s">
        <v>292</v>
      </c>
      <c r="E9647" s="5" t="s">
        <v>59539</v>
      </c>
      <c r="F9647" s="5" t="s">
        <v>72</v>
      </c>
      <c r="G9647" s="5" t="s">
        <v>59540</v>
      </c>
      <c r="H9647" s="6" t="s">
        <v>59541</v>
      </c>
      <c r="K9647" s="5" t="s">
        <v>59542</v>
      </c>
    </row>
    <row r="9648">
      <c r="A9648" s="4">
        <v>45534.47032364583</v>
      </c>
      <c r="B9648" s="5" t="s">
        <v>34</v>
      </c>
      <c r="D9648" s="5" t="s">
        <v>701</v>
      </c>
      <c r="E9648" s="5" t="s">
        <v>59545</v>
      </c>
      <c r="F9648" s="5" t="s">
        <v>120</v>
      </c>
      <c r="G9648" s="5" t="s">
        <v>59546</v>
      </c>
      <c r="H9648" s="6" t="s">
        <v>59547</v>
      </c>
      <c r="K9648" s="5" t="s">
        <v>59548</v>
      </c>
    </row>
    <row r="9649">
      <c r="A9649" s="4">
        <v>45534.47033710648</v>
      </c>
      <c r="B9649" s="5" t="s">
        <v>34</v>
      </c>
      <c r="D9649" s="5" t="s">
        <v>12026</v>
      </c>
      <c r="E9649" s="5" t="s">
        <v>59551</v>
      </c>
      <c r="F9649" s="5" t="s">
        <v>375</v>
      </c>
      <c r="G9649" s="5" t="s">
        <v>59552</v>
      </c>
      <c r="H9649" s="6" t="s">
        <v>59553</v>
      </c>
      <c r="K9649" s="5" t="s">
        <v>59548</v>
      </c>
    </row>
    <row r="9650">
      <c r="A9650" s="4">
        <v>45534.47038997685</v>
      </c>
      <c r="B9650" s="5" t="s">
        <v>34</v>
      </c>
      <c r="D9650" s="5" t="s">
        <v>604</v>
      </c>
      <c r="E9650" s="5" t="s">
        <v>59556</v>
      </c>
      <c r="F9650" s="5" t="s">
        <v>22</v>
      </c>
      <c r="G9650" s="5" t="s">
        <v>59557</v>
      </c>
      <c r="H9650" s="6" t="s">
        <v>59558</v>
      </c>
      <c r="K9650" s="5" t="s">
        <v>59548</v>
      </c>
    </row>
    <row r="9651">
      <c r="A9651" s="4">
        <v>45534.470394143515</v>
      </c>
      <c r="B9651" s="5" t="s">
        <v>19</v>
      </c>
      <c r="C9651" s="5" t="s">
        <v>292</v>
      </c>
      <c r="E9651" s="5" t="s">
        <v>59562</v>
      </c>
      <c r="F9651" s="5" t="s">
        <v>524</v>
      </c>
      <c r="G9651" s="5" t="s">
        <v>59563</v>
      </c>
      <c r="H9651" s="6" t="s">
        <v>59564</v>
      </c>
      <c r="K9651" s="5" t="s">
        <v>59548</v>
      </c>
    </row>
    <row r="9652">
      <c r="A9652" s="4">
        <v>45534.47040818287</v>
      </c>
      <c r="B9652" s="5" t="s">
        <v>34</v>
      </c>
      <c r="D9652" s="5" t="s">
        <v>267</v>
      </c>
      <c r="E9652" s="5" t="s">
        <v>59567</v>
      </c>
      <c r="F9652" s="5" t="s">
        <v>524</v>
      </c>
      <c r="G9652" s="5" t="s">
        <v>59568</v>
      </c>
      <c r="H9652" s="6" t="s">
        <v>59569</v>
      </c>
      <c r="K9652" s="5" t="s">
        <v>59548</v>
      </c>
    </row>
    <row r="9653">
      <c r="A9653" s="4">
        <v>45534.470458344906</v>
      </c>
      <c r="B9653" s="5" t="s">
        <v>19</v>
      </c>
      <c r="C9653" s="5" t="s">
        <v>292</v>
      </c>
      <c r="E9653" s="5" t="s">
        <v>59573</v>
      </c>
      <c r="F9653" s="5" t="s">
        <v>375</v>
      </c>
      <c r="G9653" s="5" t="s">
        <v>59574</v>
      </c>
      <c r="H9653" s="6" t="s">
        <v>59575</v>
      </c>
      <c r="K9653" s="5" t="s">
        <v>59548</v>
      </c>
    </row>
    <row r="9654">
      <c r="A9654" s="4">
        <v>45534.47046755787</v>
      </c>
      <c r="B9654" s="5" t="s">
        <v>19</v>
      </c>
      <c r="C9654" s="5" t="s">
        <v>292</v>
      </c>
      <c r="E9654" s="5" t="s">
        <v>59578</v>
      </c>
      <c r="F9654" s="5" t="s">
        <v>524</v>
      </c>
      <c r="G9654" s="5" t="s">
        <v>59579</v>
      </c>
      <c r="H9654" s="6" t="s">
        <v>59580</v>
      </c>
      <c r="K9654" s="5" t="s">
        <v>59548</v>
      </c>
    </row>
    <row r="9655">
      <c r="A9655" s="4">
        <v>45534.47051542824</v>
      </c>
      <c r="B9655" s="5" t="s">
        <v>19</v>
      </c>
      <c r="C9655" s="5" t="s">
        <v>292</v>
      </c>
      <c r="E9655" s="5" t="s">
        <v>59583</v>
      </c>
      <c r="F9655" s="5" t="s">
        <v>524</v>
      </c>
      <c r="G9655" s="5" t="s">
        <v>59584</v>
      </c>
      <c r="H9655" s="6" t="s">
        <v>59585</v>
      </c>
      <c r="K9655" s="5" t="s">
        <v>59548</v>
      </c>
    </row>
    <row r="9656">
      <c r="A9656" s="4">
        <v>45534.470553692125</v>
      </c>
      <c r="B9656" s="5" t="s">
        <v>34</v>
      </c>
      <c r="D9656" s="5" t="s">
        <v>6232</v>
      </c>
      <c r="E9656" s="5" t="s">
        <v>59588</v>
      </c>
      <c r="F9656" s="5" t="s">
        <v>524</v>
      </c>
      <c r="G9656" s="5" t="s">
        <v>59589</v>
      </c>
      <c r="H9656" s="6" t="s">
        <v>59590</v>
      </c>
      <c r="K9656" s="5" t="s">
        <v>59548</v>
      </c>
    </row>
    <row r="9657">
      <c r="A9657" s="4">
        <v>45534.47060962963</v>
      </c>
      <c r="B9657" s="5" t="s">
        <v>34</v>
      </c>
      <c r="D9657" s="5" t="s">
        <v>1456</v>
      </c>
      <c r="E9657" s="5" t="s">
        <v>59594</v>
      </c>
      <c r="F9657" s="5" t="s">
        <v>72</v>
      </c>
      <c r="G9657" s="5" t="s">
        <v>59595</v>
      </c>
      <c r="H9657" s="6" t="s">
        <v>59596</v>
      </c>
      <c r="K9657" s="5" t="s">
        <v>59548</v>
      </c>
    </row>
    <row r="9658">
      <c r="A9658" s="4">
        <v>45534.470644710644</v>
      </c>
      <c r="B9658" s="5" t="s">
        <v>19</v>
      </c>
      <c r="C9658" s="5" t="s">
        <v>292</v>
      </c>
      <c r="E9658" s="5" t="s">
        <v>59599</v>
      </c>
      <c r="F9658" s="5" t="s">
        <v>212</v>
      </c>
      <c r="G9658" s="5" t="s">
        <v>59600</v>
      </c>
      <c r="H9658" s="6" t="s">
        <v>59601</v>
      </c>
      <c r="K9658" s="5" t="s">
        <v>59548</v>
      </c>
    </row>
    <row r="9659">
      <c r="A9659" s="4">
        <v>45534.470645532405</v>
      </c>
      <c r="B9659" s="5" t="s">
        <v>19</v>
      </c>
      <c r="C9659" s="5" t="s">
        <v>292</v>
      </c>
      <c r="E9659" s="5" t="s">
        <v>59604</v>
      </c>
      <c r="F9659" s="5" t="s">
        <v>37</v>
      </c>
      <c r="G9659" s="5" t="s">
        <v>59605</v>
      </c>
      <c r="H9659" s="6" t="s">
        <v>59606</v>
      </c>
      <c r="K9659" s="5" t="s">
        <v>59548</v>
      </c>
    </row>
    <row r="9660">
      <c r="A9660" s="4">
        <v>45534.470769374995</v>
      </c>
      <c r="B9660" s="5" t="s">
        <v>34</v>
      </c>
      <c r="D9660" s="5" t="s">
        <v>1206</v>
      </c>
      <c r="E9660" s="5" t="s">
        <v>59609</v>
      </c>
      <c r="F9660" s="5" t="s">
        <v>375</v>
      </c>
      <c r="G9660" s="5" t="s">
        <v>59610</v>
      </c>
      <c r="H9660" s="6" t="s">
        <v>59611</v>
      </c>
      <c r="K9660" s="5" t="s">
        <v>59612</v>
      </c>
    </row>
    <row r="9661">
      <c r="A9661" s="4">
        <v>45534.47080628472</v>
      </c>
      <c r="B9661" s="5" t="s">
        <v>34</v>
      </c>
      <c r="D9661" s="5" t="s">
        <v>35</v>
      </c>
      <c r="E9661" s="5" t="s">
        <v>59615</v>
      </c>
      <c r="F9661" s="5" t="s">
        <v>37</v>
      </c>
      <c r="G9661" s="5" t="s">
        <v>59616</v>
      </c>
      <c r="H9661" s="6" t="s">
        <v>59617</v>
      </c>
      <c r="K9661" s="5" t="s">
        <v>59612</v>
      </c>
    </row>
    <row r="9662">
      <c r="A9662" s="4">
        <v>45534.47088263889</v>
      </c>
      <c r="B9662" s="5" t="s">
        <v>34</v>
      </c>
      <c r="D9662" s="5" t="s">
        <v>1206</v>
      </c>
      <c r="E9662" s="5" t="s">
        <v>59621</v>
      </c>
      <c r="F9662" s="5" t="s">
        <v>37</v>
      </c>
      <c r="G9662" s="5" t="s">
        <v>59622</v>
      </c>
      <c r="H9662" s="6" t="s">
        <v>59623</v>
      </c>
      <c r="K9662" s="5" t="s">
        <v>59612</v>
      </c>
    </row>
    <row r="9663">
      <c r="A9663" s="4">
        <v>45534.47091625</v>
      </c>
      <c r="B9663" s="5" t="s">
        <v>34</v>
      </c>
      <c r="D9663" s="5" t="s">
        <v>14424</v>
      </c>
      <c r="E9663" s="5" t="s">
        <v>59626</v>
      </c>
      <c r="F9663" s="5" t="s">
        <v>72</v>
      </c>
      <c r="G9663" s="5" t="s">
        <v>59627</v>
      </c>
      <c r="H9663" s="6" t="s">
        <v>59628</v>
      </c>
      <c r="K9663" s="5" t="s">
        <v>59612</v>
      </c>
    </row>
    <row r="9664">
      <c r="A9664" s="4">
        <v>45534.470968912035</v>
      </c>
      <c r="B9664" s="5" t="s">
        <v>34</v>
      </c>
      <c r="D9664" s="5" t="s">
        <v>1558</v>
      </c>
      <c r="E9664" s="5" t="s">
        <v>59631</v>
      </c>
      <c r="F9664" s="5" t="s">
        <v>212</v>
      </c>
      <c r="G9664" s="5" t="s">
        <v>59632</v>
      </c>
      <c r="H9664" s="6" t="s">
        <v>59633</v>
      </c>
      <c r="K9664" s="5" t="s">
        <v>59612</v>
      </c>
    </row>
    <row r="9665">
      <c r="A9665" s="4">
        <v>45534.47104582176</v>
      </c>
      <c r="B9665" s="5" t="s">
        <v>34</v>
      </c>
      <c r="D9665" s="5" t="s">
        <v>15401</v>
      </c>
      <c r="E9665" s="5" t="s">
        <v>59636</v>
      </c>
      <c r="F9665" s="5" t="s">
        <v>37</v>
      </c>
      <c r="G9665" s="5" t="s">
        <v>59637</v>
      </c>
      <c r="H9665" s="6" t="s">
        <v>59638</v>
      </c>
      <c r="K9665" s="5" t="s">
        <v>59612</v>
      </c>
    </row>
    <row r="9666">
      <c r="A9666" s="4">
        <v>45534.47104952546</v>
      </c>
      <c r="B9666" s="5" t="s">
        <v>34</v>
      </c>
      <c r="D9666" s="5" t="s">
        <v>35</v>
      </c>
      <c r="E9666" s="5" t="s">
        <v>59642</v>
      </c>
      <c r="F9666" s="5" t="s">
        <v>524</v>
      </c>
      <c r="G9666" s="5" t="s">
        <v>59643</v>
      </c>
      <c r="H9666" s="6" t="s">
        <v>59644</v>
      </c>
      <c r="K9666" s="5" t="s">
        <v>59612</v>
      </c>
    </row>
    <row r="9667">
      <c r="A9667" s="4">
        <v>45534.47125055555</v>
      </c>
      <c r="B9667" s="5" t="s">
        <v>34</v>
      </c>
      <c r="D9667" s="5" t="s">
        <v>1768</v>
      </c>
      <c r="E9667" s="5" t="s">
        <v>59647</v>
      </c>
      <c r="F9667" s="5" t="s">
        <v>375</v>
      </c>
      <c r="G9667" s="5" t="s">
        <v>59648</v>
      </c>
      <c r="H9667" s="6" t="s">
        <v>59649</v>
      </c>
      <c r="K9667" s="5" t="s">
        <v>59650</v>
      </c>
    </row>
    <row r="9668">
      <c r="A9668" s="4">
        <v>45534.47129390047</v>
      </c>
      <c r="B9668" s="5" t="s">
        <v>19</v>
      </c>
      <c r="C9668" s="5" t="s">
        <v>292</v>
      </c>
      <c r="E9668" s="5" t="s">
        <v>59653</v>
      </c>
      <c r="F9668" s="5" t="s">
        <v>120</v>
      </c>
      <c r="G9668" s="5" t="s">
        <v>59654</v>
      </c>
      <c r="H9668" s="6" t="s">
        <v>59655</v>
      </c>
      <c r="K9668" s="5" t="s">
        <v>59656</v>
      </c>
    </row>
    <row r="9669">
      <c r="A9669" s="4">
        <v>45534.471296550924</v>
      </c>
      <c r="B9669" s="5" t="s">
        <v>19</v>
      </c>
      <c r="C9669" s="5" t="s">
        <v>14000</v>
      </c>
      <c r="E9669" s="5" t="s">
        <v>59659</v>
      </c>
      <c r="F9669" s="5" t="s">
        <v>72</v>
      </c>
      <c r="G9669" s="5" t="s">
        <v>59660</v>
      </c>
      <c r="H9669" s="6" t="s">
        <v>59661</v>
      </c>
      <c r="K9669" s="5" t="s">
        <v>59656</v>
      </c>
    </row>
    <row r="9670">
      <c r="A9670" s="4">
        <v>45534.471442511574</v>
      </c>
      <c r="B9670" s="5" t="s">
        <v>34</v>
      </c>
      <c r="D9670" s="5" t="s">
        <v>701</v>
      </c>
      <c r="E9670" s="5" t="s">
        <v>59665</v>
      </c>
      <c r="F9670" s="5" t="s">
        <v>212</v>
      </c>
      <c r="G9670" s="5" t="s">
        <v>59666</v>
      </c>
      <c r="H9670" s="6" t="s">
        <v>59667</v>
      </c>
      <c r="K9670" s="5" t="s">
        <v>59668</v>
      </c>
    </row>
    <row r="9671">
      <c r="A9671" s="4">
        <v>45534.47144384259</v>
      </c>
      <c r="B9671" s="5" t="s">
        <v>34</v>
      </c>
      <c r="D9671" s="5" t="s">
        <v>522</v>
      </c>
      <c r="E9671" s="5" t="s">
        <v>59671</v>
      </c>
      <c r="F9671" s="5" t="s">
        <v>212</v>
      </c>
      <c r="G9671" s="5" t="s">
        <v>59672</v>
      </c>
      <c r="H9671" s="6" t="s">
        <v>59673</v>
      </c>
      <c r="K9671" s="5" t="s">
        <v>59668</v>
      </c>
    </row>
    <row r="9672">
      <c r="A9672" s="4">
        <v>45534.47145776621</v>
      </c>
      <c r="B9672" s="5" t="s">
        <v>34</v>
      </c>
      <c r="D9672" s="5" t="s">
        <v>15401</v>
      </c>
      <c r="E9672" s="5" t="s">
        <v>59677</v>
      </c>
      <c r="F9672" s="5" t="s">
        <v>108</v>
      </c>
      <c r="G9672" s="5" t="s">
        <v>59678</v>
      </c>
      <c r="H9672" s="6" t="s">
        <v>59679</v>
      </c>
      <c r="K9672" s="5" t="s">
        <v>59668</v>
      </c>
    </row>
    <row r="9673">
      <c r="A9673" s="4">
        <v>45534.471601666664</v>
      </c>
      <c r="B9673" s="5" t="s">
        <v>34</v>
      </c>
      <c r="D9673" s="5" t="s">
        <v>1692</v>
      </c>
      <c r="E9673" s="5" t="s">
        <v>59683</v>
      </c>
      <c r="F9673" s="5" t="s">
        <v>199</v>
      </c>
      <c r="G9673" s="5" t="s">
        <v>59684</v>
      </c>
      <c r="H9673" s="6" t="s">
        <v>59685</v>
      </c>
      <c r="K9673" s="5" t="s">
        <v>59686</v>
      </c>
    </row>
    <row r="9674">
      <c r="A9674" s="4">
        <v>45534.47195774305</v>
      </c>
      <c r="B9674" s="5" t="s">
        <v>34</v>
      </c>
      <c r="D9674" s="5" t="s">
        <v>9020</v>
      </c>
      <c r="E9674" s="5" t="s">
        <v>59689</v>
      </c>
      <c r="F9674" s="5" t="s">
        <v>212</v>
      </c>
      <c r="G9674" s="5" t="s">
        <v>59690</v>
      </c>
      <c r="H9674" s="6" t="s">
        <v>59691</v>
      </c>
      <c r="K9674" s="5" t="s">
        <v>59692</v>
      </c>
    </row>
    <row r="9675">
      <c r="A9675" s="4">
        <v>45534.472001875</v>
      </c>
      <c r="B9675" s="5" t="s">
        <v>34</v>
      </c>
      <c r="D9675" s="5" t="s">
        <v>15401</v>
      </c>
      <c r="E9675" s="5" t="s">
        <v>59695</v>
      </c>
      <c r="F9675" s="5" t="s">
        <v>212</v>
      </c>
      <c r="G9675" s="5" t="s">
        <v>59696</v>
      </c>
      <c r="H9675" s="6" t="s">
        <v>59697</v>
      </c>
      <c r="K9675" s="5" t="s">
        <v>59698</v>
      </c>
    </row>
    <row r="9676">
      <c r="A9676" s="4">
        <v>45534.47206085648</v>
      </c>
      <c r="B9676" s="5" t="s">
        <v>34</v>
      </c>
      <c r="D9676" s="5" t="s">
        <v>4775</v>
      </c>
      <c r="E9676" s="5" t="s">
        <v>59701</v>
      </c>
      <c r="F9676" s="5" t="s">
        <v>375</v>
      </c>
      <c r="G9676" s="5" t="s">
        <v>59702</v>
      </c>
      <c r="H9676" s="6" t="s">
        <v>59703</v>
      </c>
      <c r="K9676" s="5" t="s">
        <v>59704</v>
      </c>
    </row>
    <row r="9677">
      <c r="A9677" s="4">
        <v>45534.47237990741</v>
      </c>
      <c r="B9677" s="5" t="s">
        <v>34</v>
      </c>
      <c r="D9677" s="5" t="s">
        <v>1206</v>
      </c>
      <c r="E9677" s="5" t="s">
        <v>59707</v>
      </c>
      <c r="F9677" s="5" t="s">
        <v>37</v>
      </c>
      <c r="G9677" s="5" t="s">
        <v>59708</v>
      </c>
      <c r="H9677" s="6" t="s">
        <v>59709</v>
      </c>
      <c r="K9677" s="5" t="s">
        <v>59710</v>
      </c>
    </row>
    <row r="9678">
      <c r="A9678" s="4">
        <v>45534.47256525463</v>
      </c>
      <c r="B9678" s="5" t="s">
        <v>34</v>
      </c>
      <c r="D9678" s="5" t="s">
        <v>9020</v>
      </c>
      <c r="E9678" s="5" t="s">
        <v>16572</v>
      </c>
      <c r="F9678" s="5" t="s">
        <v>5859</v>
      </c>
      <c r="G9678" s="5" t="s">
        <v>59714</v>
      </c>
      <c r="H9678" s="6" t="s">
        <v>59715</v>
      </c>
      <c r="K9678" s="5" t="s">
        <v>59716</v>
      </c>
    </row>
    <row r="9679">
      <c r="A9679" s="4">
        <v>45534.47257104167</v>
      </c>
      <c r="B9679" s="5" t="s">
        <v>34</v>
      </c>
      <c r="D9679" s="5" t="s">
        <v>1456</v>
      </c>
      <c r="E9679" s="5" t="s">
        <v>59719</v>
      </c>
      <c r="F9679" s="5" t="s">
        <v>37</v>
      </c>
      <c r="G9679" s="5" t="s">
        <v>14706</v>
      </c>
      <c r="H9679" s="6" t="s">
        <v>59720</v>
      </c>
      <c r="K9679" s="5" t="s">
        <v>59721</v>
      </c>
    </row>
    <row r="9680">
      <c r="A9680" s="4">
        <v>45534.47258137731</v>
      </c>
      <c r="B9680" s="5" t="s">
        <v>34</v>
      </c>
      <c r="D9680" s="5" t="s">
        <v>9020</v>
      </c>
      <c r="E9680" s="5" t="s">
        <v>59724</v>
      </c>
      <c r="F9680" s="5" t="s">
        <v>108</v>
      </c>
      <c r="G9680" s="5" t="s">
        <v>59725</v>
      </c>
      <c r="H9680" s="6" t="s">
        <v>59726</v>
      </c>
      <c r="K9680" s="5" t="s">
        <v>59721</v>
      </c>
    </row>
    <row r="9681">
      <c r="A9681" s="4">
        <v>45534.47260349537</v>
      </c>
      <c r="B9681" s="5" t="s">
        <v>19</v>
      </c>
      <c r="C9681" s="5" t="s">
        <v>292</v>
      </c>
      <c r="E9681" s="5" t="s">
        <v>59729</v>
      </c>
      <c r="F9681" s="5" t="s">
        <v>212</v>
      </c>
      <c r="G9681" s="5" t="s">
        <v>59730</v>
      </c>
      <c r="H9681" s="6" t="s">
        <v>59731</v>
      </c>
      <c r="K9681" s="5" t="s">
        <v>59721</v>
      </c>
    </row>
    <row r="9682">
      <c r="A9682" s="4">
        <v>45534.472605856485</v>
      </c>
      <c r="B9682" s="5" t="s">
        <v>34</v>
      </c>
      <c r="D9682" s="5" t="s">
        <v>15401</v>
      </c>
      <c r="E9682" s="5" t="s">
        <v>59734</v>
      </c>
      <c r="F9682" s="5" t="s">
        <v>524</v>
      </c>
      <c r="G9682" s="5" t="s">
        <v>59735</v>
      </c>
      <c r="H9682" s="6" t="s">
        <v>59736</v>
      </c>
      <c r="K9682" s="5" t="s">
        <v>59721</v>
      </c>
    </row>
    <row r="9683">
      <c r="A9683" s="4">
        <v>45534.47272883102</v>
      </c>
      <c r="B9683" s="5" t="s">
        <v>19</v>
      </c>
      <c r="C9683" s="5" t="s">
        <v>292</v>
      </c>
      <c r="E9683" s="5" t="s">
        <v>59740</v>
      </c>
      <c r="F9683" s="5" t="s">
        <v>524</v>
      </c>
      <c r="G9683" s="5" t="s">
        <v>59741</v>
      </c>
      <c r="H9683" s="6" t="s">
        <v>59742</v>
      </c>
      <c r="K9683" s="5" t="s">
        <v>59743</v>
      </c>
    </row>
    <row r="9684">
      <c r="A9684" s="4">
        <v>45534.47273299769</v>
      </c>
      <c r="B9684" s="5" t="s">
        <v>34</v>
      </c>
      <c r="D9684" s="5" t="s">
        <v>1206</v>
      </c>
      <c r="E9684" s="5" t="s">
        <v>59746</v>
      </c>
      <c r="F9684" s="5" t="s">
        <v>37</v>
      </c>
      <c r="G9684" s="5" t="s">
        <v>59747</v>
      </c>
      <c r="H9684" s="6" t="s">
        <v>59748</v>
      </c>
      <c r="K9684" s="5" t="s">
        <v>59743</v>
      </c>
    </row>
    <row r="9685">
      <c r="A9685" s="4">
        <v>45534.47282621528</v>
      </c>
      <c r="B9685" s="5" t="s">
        <v>19</v>
      </c>
      <c r="C9685" s="5" t="s">
        <v>292</v>
      </c>
      <c r="E9685" s="5" t="s">
        <v>59751</v>
      </c>
      <c r="F9685" s="5" t="s">
        <v>212</v>
      </c>
      <c r="G9685" s="5" t="s">
        <v>59752</v>
      </c>
      <c r="H9685" s="6" t="s">
        <v>59753</v>
      </c>
      <c r="K9685" s="5" t="s">
        <v>59754</v>
      </c>
    </row>
    <row r="9686">
      <c r="A9686" s="4">
        <v>45534.47313587963</v>
      </c>
      <c r="B9686" s="5" t="s">
        <v>34</v>
      </c>
      <c r="D9686" s="5" t="s">
        <v>580</v>
      </c>
      <c r="E9686" s="5" t="s">
        <v>59757</v>
      </c>
      <c r="F9686" s="5" t="s">
        <v>37</v>
      </c>
      <c r="G9686" s="5" t="s">
        <v>59758</v>
      </c>
      <c r="H9686" s="6" t="s">
        <v>59759</v>
      </c>
      <c r="K9686" s="5" t="s">
        <v>59760</v>
      </c>
    </row>
    <row r="9687">
      <c r="A9687" s="4">
        <v>45534.473139375</v>
      </c>
      <c r="B9687" s="5" t="s">
        <v>34</v>
      </c>
      <c r="D9687" s="5" t="s">
        <v>1206</v>
      </c>
      <c r="E9687" s="5" t="s">
        <v>59764</v>
      </c>
      <c r="F9687" s="5" t="s">
        <v>37</v>
      </c>
      <c r="G9687" s="5" t="s">
        <v>59765</v>
      </c>
      <c r="H9687" s="6" t="s">
        <v>59766</v>
      </c>
      <c r="K9687" s="5" t="s">
        <v>59760</v>
      </c>
    </row>
    <row r="9688">
      <c r="A9688" s="4">
        <v>45534.47322252315</v>
      </c>
      <c r="B9688" s="5" t="s">
        <v>34</v>
      </c>
      <c r="D9688" s="5" t="s">
        <v>1558</v>
      </c>
      <c r="E9688" s="5" t="s">
        <v>59769</v>
      </c>
      <c r="F9688" s="5" t="s">
        <v>212</v>
      </c>
      <c r="G9688" s="5" t="s">
        <v>59770</v>
      </c>
      <c r="H9688" s="6" t="s">
        <v>59771</v>
      </c>
      <c r="K9688" s="5" t="s">
        <v>59772</v>
      </c>
    </row>
    <row r="9689">
      <c r="A9689" s="4">
        <v>45534.473236342594</v>
      </c>
      <c r="B9689" s="5" t="s">
        <v>34</v>
      </c>
      <c r="D9689" s="5" t="s">
        <v>1206</v>
      </c>
      <c r="E9689" s="5" t="s">
        <v>59775</v>
      </c>
      <c r="F9689" s="5" t="s">
        <v>37</v>
      </c>
      <c r="G9689" s="5" t="s">
        <v>59776</v>
      </c>
      <c r="H9689" s="6" t="s">
        <v>59777</v>
      </c>
      <c r="K9689" s="5" t="s">
        <v>59772</v>
      </c>
    </row>
    <row r="9690">
      <c r="A9690" s="4">
        <v>45534.47329540509</v>
      </c>
      <c r="B9690" s="5" t="s">
        <v>34</v>
      </c>
      <c r="D9690" s="5" t="s">
        <v>9020</v>
      </c>
      <c r="E9690" s="5" t="s">
        <v>59780</v>
      </c>
      <c r="F9690" s="5" t="s">
        <v>37</v>
      </c>
      <c r="G9690" s="5" t="s">
        <v>59781</v>
      </c>
      <c r="H9690" s="6" t="s">
        <v>59782</v>
      </c>
      <c r="K9690" s="5" t="s">
        <v>59783</v>
      </c>
    </row>
    <row r="9691">
      <c r="A9691" s="4">
        <v>45534.473445578704</v>
      </c>
      <c r="B9691" s="5" t="s">
        <v>34</v>
      </c>
      <c r="D9691" s="5" t="s">
        <v>1206</v>
      </c>
      <c r="E9691" s="5" t="s">
        <v>59786</v>
      </c>
      <c r="F9691" s="5" t="s">
        <v>375</v>
      </c>
      <c r="G9691" s="5" t="s">
        <v>59787</v>
      </c>
      <c r="H9691" s="6" t="s">
        <v>59788</v>
      </c>
      <c r="K9691" s="5" t="s">
        <v>59789</v>
      </c>
    </row>
    <row r="9692">
      <c r="A9692" s="4">
        <v>45534.47357545139</v>
      </c>
      <c r="B9692" s="5" t="s">
        <v>34</v>
      </c>
      <c r="D9692" s="5" t="s">
        <v>12978</v>
      </c>
      <c r="E9692" s="5" t="s">
        <v>59793</v>
      </c>
      <c r="F9692" s="5" t="s">
        <v>212</v>
      </c>
      <c r="G9692" s="5" t="s">
        <v>59794</v>
      </c>
      <c r="H9692" s="6" t="s">
        <v>59795</v>
      </c>
      <c r="K9692" s="5" t="s">
        <v>59789</v>
      </c>
    </row>
    <row r="9693">
      <c r="A9693" s="4">
        <v>45534.47360712963</v>
      </c>
      <c r="B9693" s="5" t="s">
        <v>34</v>
      </c>
      <c r="D9693" s="5" t="s">
        <v>11527</v>
      </c>
      <c r="E9693" s="5" t="s">
        <v>59798</v>
      </c>
      <c r="F9693" s="5" t="s">
        <v>22</v>
      </c>
      <c r="G9693" s="5" t="s">
        <v>59799</v>
      </c>
      <c r="H9693" s="6" t="s">
        <v>59800</v>
      </c>
      <c r="K9693" s="5" t="s">
        <v>59789</v>
      </c>
    </row>
    <row r="9694">
      <c r="A9694" s="4">
        <v>45534.473782905094</v>
      </c>
      <c r="B9694" s="5" t="s">
        <v>34</v>
      </c>
      <c r="D9694" s="5" t="s">
        <v>9020</v>
      </c>
      <c r="E9694" s="5" t="s">
        <v>59689</v>
      </c>
      <c r="F9694" s="5" t="s">
        <v>212</v>
      </c>
      <c r="G9694" s="5" t="s">
        <v>59803</v>
      </c>
      <c r="H9694" s="6" t="s">
        <v>59804</v>
      </c>
      <c r="K9694" s="5" t="s">
        <v>59789</v>
      </c>
    </row>
    <row r="9695">
      <c r="A9695" s="4">
        <v>45534.474128738424</v>
      </c>
      <c r="B9695" s="5" t="s">
        <v>34</v>
      </c>
      <c r="D9695" s="5" t="s">
        <v>580</v>
      </c>
      <c r="E9695" s="5" t="s">
        <v>59808</v>
      </c>
      <c r="F9695" s="5" t="s">
        <v>108</v>
      </c>
      <c r="G9695" s="5" t="s">
        <v>59809</v>
      </c>
      <c r="H9695" s="6" t="s">
        <v>59810</v>
      </c>
      <c r="K9695" s="5" t="s">
        <v>59789</v>
      </c>
    </row>
    <row r="9696">
      <c r="A9696" s="4">
        <v>45534.474265219906</v>
      </c>
      <c r="B9696" s="5" t="s">
        <v>19</v>
      </c>
      <c r="C9696" s="5" t="s">
        <v>292</v>
      </c>
      <c r="E9696" s="5" t="s">
        <v>59813</v>
      </c>
      <c r="F9696" s="5" t="s">
        <v>212</v>
      </c>
      <c r="G9696" s="5" t="s">
        <v>59814</v>
      </c>
      <c r="H9696" s="6" t="s">
        <v>59815</v>
      </c>
      <c r="K9696" s="5" t="s">
        <v>59789</v>
      </c>
    </row>
    <row r="9697">
      <c r="A9697" s="4">
        <v>45534.474321076385</v>
      </c>
      <c r="B9697" s="5" t="s">
        <v>34</v>
      </c>
      <c r="D9697" s="5" t="s">
        <v>10297</v>
      </c>
      <c r="E9697" s="5" t="s">
        <v>59819</v>
      </c>
      <c r="F9697" s="5" t="s">
        <v>37</v>
      </c>
      <c r="G9697" s="5" t="s">
        <v>59820</v>
      </c>
      <c r="H9697" s="6" t="s">
        <v>59821</v>
      </c>
      <c r="K9697" s="5" t="s">
        <v>59789</v>
      </c>
    </row>
    <row r="9698">
      <c r="A9698" s="4">
        <v>45534.474346041665</v>
      </c>
      <c r="B9698" s="5" t="s">
        <v>19</v>
      </c>
      <c r="C9698" s="5" t="s">
        <v>292</v>
      </c>
      <c r="E9698" s="5" t="s">
        <v>59824</v>
      </c>
      <c r="F9698" s="5" t="s">
        <v>37</v>
      </c>
      <c r="G9698" s="5" t="s">
        <v>59825</v>
      </c>
      <c r="H9698" s="6" t="s">
        <v>59826</v>
      </c>
      <c r="K9698" s="5" t="s">
        <v>59789</v>
      </c>
    </row>
    <row r="9699">
      <c r="A9699" s="4">
        <v>45534.47442269676</v>
      </c>
      <c r="B9699" s="5" t="s">
        <v>34</v>
      </c>
      <c r="D9699" s="5" t="s">
        <v>1558</v>
      </c>
      <c r="E9699" s="5" t="s">
        <v>59829</v>
      </c>
      <c r="F9699" s="5" t="s">
        <v>328</v>
      </c>
      <c r="G9699" s="5" t="s">
        <v>59830</v>
      </c>
      <c r="H9699" s="6" t="s">
        <v>59831</v>
      </c>
      <c r="K9699" s="5" t="s">
        <v>59789</v>
      </c>
    </row>
    <row r="9700">
      <c r="A9700" s="4">
        <v>45534.47442655092</v>
      </c>
      <c r="B9700" s="5" t="s">
        <v>19</v>
      </c>
      <c r="C9700" s="5" t="s">
        <v>292</v>
      </c>
      <c r="E9700" s="5" t="s">
        <v>59834</v>
      </c>
      <c r="F9700" s="5" t="s">
        <v>524</v>
      </c>
      <c r="G9700" s="5" t="s">
        <v>59835</v>
      </c>
      <c r="H9700" s="6" t="s">
        <v>59836</v>
      </c>
      <c r="K9700" s="5" t="s">
        <v>59789</v>
      </c>
    </row>
    <row r="9701">
      <c r="A9701" s="4">
        <v>45534.474459143516</v>
      </c>
      <c r="B9701" s="5" t="s">
        <v>34</v>
      </c>
      <c r="D9701" s="5" t="s">
        <v>4775</v>
      </c>
      <c r="E9701" s="5" t="s">
        <v>59840</v>
      </c>
      <c r="F9701" s="5" t="s">
        <v>375</v>
      </c>
      <c r="G9701" s="5" t="s">
        <v>59841</v>
      </c>
      <c r="H9701" s="6" t="s">
        <v>59842</v>
      </c>
      <c r="K9701" s="5" t="s">
        <v>59789</v>
      </c>
    </row>
    <row r="9702">
      <c r="A9702" s="4">
        <v>45534.47459865741</v>
      </c>
      <c r="B9702" s="5" t="s">
        <v>34</v>
      </c>
      <c r="D9702" s="5" t="s">
        <v>4775</v>
      </c>
      <c r="E9702" s="5" t="s">
        <v>57923</v>
      </c>
      <c r="F9702" s="5" t="s">
        <v>108</v>
      </c>
      <c r="G9702" s="5" t="s">
        <v>59845</v>
      </c>
      <c r="H9702" s="6" t="s">
        <v>59846</v>
      </c>
      <c r="K9702" s="5" t="s">
        <v>59789</v>
      </c>
    </row>
    <row r="9703">
      <c r="A9703" s="4">
        <v>45534.47477861111</v>
      </c>
      <c r="B9703" s="5" t="s">
        <v>34</v>
      </c>
      <c r="D9703" s="5" t="s">
        <v>10444</v>
      </c>
      <c r="E9703" s="5" t="s">
        <v>19846</v>
      </c>
      <c r="F9703" s="5" t="s">
        <v>328</v>
      </c>
      <c r="G9703" s="5" t="s">
        <v>59849</v>
      </c>
      <c r="H9703" s="6" t="s">
        <v>59850</v>
      </c>
      <c r="K9703" s="5" t="s">
        <v>59789</v>
      </c>
    </row>
    <row r="9704">
      <c r="A9704" s="4">
        <v>45534.47481392361</v>
      </c>
      <c r="B9704" s="5" t="s">
        <v>34</v>
      </c>
      <c r="D9704" s="5" t="s">
        <v>1206</v>
      </c>
      <c r="E9704" s="5" t="s">
        <v>59853</v>
      </c>
      <c r="F9704" s="5" t="s">
        <v>375</v>
      </c>
      <c r="G9704" s="5" t="s">
        <v>59854</v>
      </c>
      <c r="H9704" s="6" t="s">
        <v>59855</v>
      </c>
      <c r="K9704" s="5" t="s">
        <v>59789</v>
      </c>
    </row>
    <row r="9705">
      <c r="A9705" s="4">
        <v>45534.47504016204</v>
      </c>
      <c r="B9705" s="5" t="s">
        <v>34</v>
      </c>
      <c r="D9705" s="5" t="s">
        <v>7858</v>
      </c>
      <c r="E9705" s="5" t="s">
        <v>59859</v>
      </c>
      <c r="F9705" s="5" t="s">
        <v>37</v>
      </c>
      <c r="G9705" s="5" t="s">
        <v>59860</v>
      </c>
      <c r="H9705" s="6" t="s">
        <v>59861</v>
      </c>
      <c r="K9705" s="5" t="s">
        <v>59862</v>
      </c>
    </row>
    <row r="9706">
      <c r="A9706" s="4">
        <v>45534.47505620371</v>
      </c>
      <c r="B9706" s="5" t="s">
        <v>34</v>
      </c>
      <c r="D9706" s="5" t="s">
        <v>1206</v>
      </c>
      <c r="E9706" s="5" t="s">
        <v>47069</v>
      </c>
      <c r="F9706" s="5" t="s">
        <v>375</v>
      </c>
      <c r="G9706" s="5" t="s">
        <v>59865</v>
      </c>
      <c r="H9706" s="6" t="s">
        <v>59866</v>
      </c>
      <c r="K9706" s="5" t="s">
        <v>59867</v>
      </c>
    </row>
    <row r="9707">
      <c r="A9707" s="4">
        <v>45534.47508261574</v>
      </c>
      <c r="B9707" s="5" t="s">
        <v>34</v>
      </c>
      <c r="D9707" s="5" t="s">
        <v>1206</v>
      </c>
      <c r="E9707" s="5" t="s">
        <v>59871</v>
      </c>
      <c r="F9707" s="5" t="s">
        <v>37</v>
      </c>
      <c r="G9707" s="5" t="s">
        <v>59872</v>
      </c>
      <c r="H9707" s="6" t="s">
        <v>59873</v>
      </c>
      <c r="K9707" s="5" t="s">
        <v>59874</v>
      </c>
    </row>
    <row r="9708">
      <c r="A9708" s="4">
        <v>45534.475159803245</v>
      </c>
      <c r="B9708" s="5" t="s">
        <v>19</v>
      </c>
      <c r="C9708" s="5" t="s">
        <v>292</v>
      </c>
      <c r="E9708" s="5" t="s">
        <v>59877</v>
      </c>
      <c r="F9708" s="5" t="s">
        <v>37</v>
      </c>
      <c r="G9708" s="5" t="s">
        <v>59878</v>
      </c>
      <c r="H9708" s="6" t="s">
        <v>59879</v>
      </c>
      <c r="K9708" s="5" t="s">
        <v>59880</v>
      </c>
    </row>
    <row r="9709">
      <c r="A9709" s="4">
        <v>45534.47556850694</v>
      </c>
      <c r="B9709" s="5" t="s">
        <v>34</v>
      </c>
      <c r="D9709" s="5" t="s">
        <v>35</v>
      </c>
      <c r="E9709" s="5" t="s">
        <v>59883</v>
      </c>
      <c r="F9709" s="5" t="s">
        <v>120</v>
      </c>
      <c r="G9709" s="5" t="s">
        <v>59884</v>
      </c>
      <c r="H9709" s="6" t="s">
        <v>59885</v>
      </c>
      <c r="K9709" s="5" t="s">
        <v>59886</v>
      </c>
    </row>
    <row r="9710">
      <c r="A9710" s="4">
        <v>45534.475673078705</v>
      </c>
      <c r="B9710" s="5" t="s">
        <v>34</v>
      </c>
      <c r="D9710" s="5" t="s">
        <v>1206</v>
      </c>
      <c r="E9710" s="5" t="s">
        <v>47477</v>
      </c>
      <c r="F9710" s="5" t="s">
        <v>37</v>
      </c>
      <c r="G9710" s="5" t="s">
        <v>59889</v>
      </c>
      <c r="H9710" s="6" t="s">
        <v>59890</v>
      </c>
      <c r="K9710" s="5" t="s">
        <v>59886</v>
      </c>
    </row>
    <row r="9711">
      <c r="A9711" s="4">
        <v>45534.47581430555</v>
      </c>
      <c r="B9711" s="5" t="s">
        <v>34</v>
      </c>
      <c r="D9711" s="5" t="s">
        <v>1206</v>
      </c>
      <c r="E9711" s="5" t="s">
        <v>59894</v>
      </c>
      <c r="F9711" s="5" t="s">
        <v>72</v>
      </c>
      <c r="G9711" s="5" t="s">
        <v>59895</v>
      </c>
      <c r="H9711" s="6" t="s">
        <v>59896</v>
      </c>
      <c r="K9711" s="5" t="s">
        <v>59886</v>
      </c>
    </row>
    <row r="9712">
      <c r="A9712" s="4">
        <v>45534.47590416667</v>
      </c>
      <c r="B9712" s="5" t="s">
        <v>34</v>
      </c>
      <c r="D9712" s="5" t="s">
        <v>7858</v>
      </c>
      <c r="E9712" s="5" t="s">
        <v>59900</v>
      </c>
      <c r="F9712" s="5" t="s">
        <v>37</v>
      </c>
      <c r="G9712" s="5" t="s">
        <v>59901</v>
      </c>
      <c r="H9712" s="6" t="s">
        <v>59902</v>
      </c>
      <c r="K9712" s="5" t="s">
        <v>59886</v>
      </c>
    </row>
    <row r="9713">
      <c r="A9713" s="4">
        <v>45534.47591079861</v>
      </c>
      <c r="B9713" s="5" t="s">
        <v>34</v>
      </c>
      <c r="D9713" s="5" t="s">
        <v>280</v>
      </c>
      <c r="E9713" s="5" t="s">
        <v>59139</v>
      </c>
      <c r="F9713" s="5" t="s">
        <v>212</v>
      </c>
      <c r="G9713" s="5" t="s">
        <v>59905</v>
      </c>
      <c r="H9713" s="6" t="s">
        <v>59906</v>
      </c>
      <c r="K9713" s="5" t="s">
        <v>59886</v>
      </c>
    </row>
    <row r="9714">
      <c r="A9714" s="4">
        <v>45534.47591934028</v>
      </c>
      <c r="B9714" s="5" t="s">
        <v>34</v>
      </c>
      <c r="D9714" s="5" t="s">
        <v>14313</v>
      </c>
      <c r="E9714" s="5" t="s">
        <v>59909</v>
      </c>
      <c r="F9714" s="5" t="s">
        <v>108</v>
      </c>
      <c r="G9714" s="5" t="s">
        <v>59910</v>
      </c>
      <c r="H9714" s="6" t="s">
        <v>59911</v>
      </c>
      <c r="K9714" s="5" t="s">
        <v>59886</v>
      </c>
    </row>
    <row r="9715">
      <c r="A9715" s="4">
        <v>45534.476015416665</v>
      </c>
      <c r="B9715" s="5" t="s">
        <v>34</v>
      </c>
      <c r="D9715" s="5" t="s">
        <v>2903</v>
      </c>
      <c r="E9715" s="5" t="s">
        <v>18403</v>
      </c>
      <c r="F9715" s="5" t="s">
        <v>524</v>
      </c>
      <c r="G9715" s="5" t="s">
        <v>59915</v>
      </c>
      <c r="H9715" s="6" t="s">
        <v>59916</v>
      </c>
      <c r="K9715" s="5" t="s">
        <v>59886</v>
      </c>
    </row>
    <row r="9716">
      <c r="A9716" s="4">
        <v>45534.476034074076</v>
      </c>
      <c r="B9716" s="5" t="s">
        <v>19</v>
      </c>
      <c r="C9716" s="5" t="s">
        <v>292</v>
      </c>
      <c r="E9716" s="5" t="s">
        <v>59919</v>
      </c>
      <c r="F9716" s="5" t="s">
        <v>72</v>
      </c>
      <c r="G9716" s="5" t="s">
        <v>59920</v>
      </c>
      <c r="H9716" s="6" t="s">
        <v>59921</v>
      </c>
      <c r="K9716" s="5" t="s">
        <v>59886</v>
      </c>
    </row>
    <row r="9717">
      <c r="A9717" s="4">
        <v>45534.47648239583</v>
      </c>
      <c r="B9717" s="5" t="s">
        <v>34</v>
      </c>
      <c r="D9717" s="5" t="s">
        <v>996</v>
      </c>
      <c r="E9717" s="5" t="s">
        <v>59924</v>
      </c>
      <c r="F9717" s="5" t="s">
        <v>375</v>
      </c>
      <c r="G9717" s="5" t="s">
        <v>59925</v>
      </c>
      <c r="H9717" s="6" t="s">
        <v>59926</v>
      </c>
      <c r="K9717" s="5" t="s">
        <v>59886</v>
      </c>
    </row>
    <row r="9718">
      <c r="A9718" s="4">
        <v>45534.4765447338</v>
      </c>
      <c r="B9718" s="5" t="s">
        <v>34</v>
      </c>
      <c r="D9718" s="5" t="s">
        <v>10297</v>
      </c>
      <c r="E9718" s="5" t="s">
        <v>58017</v>
      </c>
      <c r="F9718" s="5" t="s">
        <v>524</v>
      </c>
      <c r="G9718" s="5" t="s">
        <v>59929</v>
      </c>
      <c r="H9718" s="6" t="s">
        <v>59930</v>
      </c>
      <c r="K9718" s="5" t="s">
        <v>59886</v>
      </c>
    </row>
    <row r="9719">
      <c r="A9719" s="4">
        <v>45534.47701123843</v>
      </c>
      <c r="B9719" s="5" t="s">
        <v>34</v>
      </c>
      <c r="D9719" s="5" t="s">
        <v>7858</v>
      </c>
      <c r="E9719" s="5" t="s">
        <v>59934</v>
      </c>
      <c r="F9719" s="5" t="s">
        <v>37</v>
      </c>
      <c r="G9719" s="5" t="s">
        <v>59935</v>
      </c>
      <c r="H9719" s="6" t="s">
        <v>59936</v>
      </c>
      <c r="K9719" s="5" t="s">
        <v>59937</v>
      </c>
    </row>
    <row r="9720">
      <c r="A9720" s="4">
        <v>45534.47711744213</v>
      </c>
      <c r="B9720" s="5" t="s">
        <v>19</v>
      </c>
      <c r="C9720" s="5" t="s">
        <v>442</v>
      </c>
      <c r="E9720" s="5" t="s">
        <v>59940</v>
      </c>
      <c r="F9720" s="5" t="s">
        <v>72</v>
      </c>
      <c r="G9720" s="5" t="s">
        <v>59941</v>
      </c>
      <c r="H9720" s="6" t="s">
        <v>59942</v>
      </c>
      <c r="K9720" s="5" t="s">
        <v>59943</v>
      </c>
    </row>
    <row r="9721">
      <c r="A9721" s="4">
        <v>45534.47723675926</v>
      </c>
      <c r="B9721" s="5" t="s">
        <v>34</v>
      </c>
      <c r="D9721" s="5" t="s">
        <v>11527</v>
      </c>
      <c r="E9721" s="5" t="s">
        <v>59946</v>
      </c>
      <c r="F9721" s="5" t="s">
        <v>72</v>
      </c>
      <c r="G9721" s="5" t="s">
        <v>59947</v>
      </c>
      <c r="H9721" s="6" t="s">
        <v>59948</v>
      </c>
      <c r="K9721" s="5" t="s">
        <v>59949</v>
      </c>
    </row>
    <row r="9722">
      <c r="A9722" s="4">
        <v>45534.47731099537</v>
      </c>
      <c r="B9722" s="5" t="s">
        <v>34</v>
      </c>
      <c r="D9722" s="5" t="s">
        <v>9020</v>
      </c>
      <c r="E9722" s="5" t="s">
        <v>59952</v>
      </c>
      <c r="F9722" s="5" t="s">
        <v>72</v>
      </c>
      <c r="G9722" s="5" t="s">
        <v>59953</v>
      </c>
      <c r="H9722" s="6" t="s">
        <v>59954</v>
      </c>
      <c r="K9722" s="5" t="s">
        <v>59955</v>
      </c>
    </row>
    <row r="9723">
      <c r="A9723" s="4">
        <v>45534.47733068287</v>
      </c>
      <c r="B9723" s="5" t="s">
        <v>34</v>
      </c>
      <c r="D9723" s="5" t="s">
        <v>11527</v>
      </c>
      <c r="E9723" s="5" t="s">
        <v>59959</v>
      </c>
      <c r="F9723" s="5" t="s">
        <v>37</v>
      </c>
      <c r="G9723" s="5" t="s">
        <v>59960</v>
      </c>
      <c r="H9723" s="6" t="s">
        <v>59961</v>
      </c>
      <c r="K9723" s="5" t="s">
        <v>59955</v>
      </c>
    </row>
    <row r="9724">
      <c r="A9724" s="4">
        <v>45534.47748151621</v>
      </c>
      <c r="B9724" s="5" t="s">
        <v>34</v>
      </c>
      <c r="D9724" s="5" t="s">
        <v>14313</v>
      </c>
      <c r="E9724" s="5" t="s">
        <v>59964</v>
      </c>
      <c r="F9724" s="5" t="s">
        <v>212</v>
      </c>
      <c r="G9724" s="5" t="s">
        <v>59965</v>
      </c>
      <c r="H9724" s="6" t="s">
        <v>59966</v>
      </c>
      <c r="K9724" s="5" t="s">
        <v>59967</v>
      </c>
    </row>
    <row r="9725">
      <c r="A9725" s="4">
        <v>45534.47763959491</v>
      </c>
      <c r="B9725" s="5" t="s">
        <v>19</v>
      </c>
      <c r="C9725" s="5" t="s">
        <v>292</v>
      </c>
      <c r="E9725" s="5" t="s">
        <v>59970</v>
      </c>
      <c r="F9725" s="5" t="s">
        <v>37</v>
      </c>
      <c r="G9725" s="5" t="s">
        <v>59971</v>
      </c>
      <c r="H9725" s="6" t="s">
        <v>59972</v>
      </c>
      <c r="K9725" s="5" t="s">
        <v>59967</v>
      </c>
    </row>
    <row r="9726">
      <c r="A9726" s="4">
        <v>45534.47784965277</v>
      </c>
      <c r="B9726" s="5" t="s">
        <v>19</v>
      </c>
      <c r="C9726" s="5" t="s">
        <v>3301</v>
      </c>
      <c r="E9726" s="5" t="s">
        <v>59975</v>
      </c>
      <c r="F9726" s="5" t="s">
        <v>72</v>
      </c>
      <c r="G9726" s="5" t="s">
        <v>59976</v>
      </c>
      <c r="H9726" s="6" t="s">
        <v>59977</v>
      </c>
      <c r="K9726" s="5" t="s">
        <v>59978</v>
      </c>
    </row>
    <row r="9727">
      <c r="A9727" s="4">
        <v>45534.47785186343</v>
      </c>
      <c r="B9727" s="5" t="s">
        <v>34</v>
      </c>
      <c r="D9727" s="5" t="s">
        <v>1206</v>
      </c>
      <c r="E9727" s="5" t="s">
        <v>59982</v>
      </c>
      <c r="F9727" s="5" t="s">
        <v>212</v>
      </c>
      <c r="G9727" s="5" t="s">
        <v>59983</v>
      </c>
      <c r="H9727" s="6" t="s">
        <v>59984</v>
      </c>
      <c r="K9727" s="5" t="s">
        <v>59978</v>
      </c>
    </row>
    <row r="9728">
      <c r="A9728" s="4">
        <v>45534.47796773148</v>
      </c>
      <c r="B9728" s="5" t="s">
        <v>34</v>
      </c>
      <c r="D9728" s="5" t="s">
        <v>14313</v>
      </c>
      <c r="E9728" s="5" t="s">
        <v>59987</v>
      </c>
      <c r="F9728" s="5" t="s">
        <v>375</v>
      </c>
      <c r="G9728" s="5" t="s">
        <v>59988</v>
      </c>
      <c r="H9728" s="6" t="s">
        <v>59989</v>
      </c>
      <c r="K9728" s="5" t="s">
        <v>59990</v>
      </c>
    </row>
    <row r="9729">
      <c r="A9729" s="4">
        <v>45534.47797251157</v>
      </c>
      <c r="B9729" s="5" t="s">
        <v>19</v>
      </c>
      <c r="C9729" s="5" t="s">
        <v>3301</v>
      </c>
      <c r="E9729" s="5" t="s">
        <v>59994</v>
      </c>
      <c r="F9729" s="5" t="s">
        <v>108</v>
      </c>
      <c r="G9729" s="5" t="s">
        <v>59995</v>
      </c>
      <c r="H9729" s="6" t="s">
        <v>59996</v>
      </c>
      <c r="K9729" s="5" t="s">
        <v>59990</v>
      </c>
    </row>
    <row r="9730">
      <c r="A9730" s="4">
        <v>45534.47799479167</v>
      </c>
      <c r="B9730" s="5" t="s">
        <v>34</v>
      </c>
      <c r="D9730" s="5" t="s">
        <v>1206</v>
      </c>
      <c r="E9730" s="5" t="s">
        <v>60000</v>
      </c>
      <c r="F9730" s="5" t="s">
        <v>212</v>
      </c>
      <c r="G9730" s="5" t="s">
        <v>60001</v>
      </c>
      <c r="H9730" s="6" t="s">
        <v>60002</v>
      </c>
      <c r="K9730" s="5" t="s">
        <v>59990</v>
      </c>
    </row>
    <row r="9731">
      <c r="A9731" s="4">
        <v>45534.478228391206</v>
      </c>
      <c r="B9731" s="5" t="s">
        <v>19</v>
      </c>
      <c r="C9731" s="5" t="s">
        <v>442</v>
      </c>
      <c r="E9731" s="5" t="s">
        <v>60006</v>
      </c>
      <c r="F9731" s="5" t="s">
        <v>375</v>
      </c>
      <c r="G9731" s="5" t="s">
        <v>60007</v>
      </c>
      <c r="H9731" s="6" t="s">
        <v>60008</v>
      </c>
      <c r="K9731" s="5" t="s">
        <v>60009</v>
      </c>
    </row>
    <row r="9732">
      <c r="A9732" s="4">
        <v>45534.478325625</v>
      </c>
      <c r="B9732" s="5" t="s">
        <v>34</v>
      </c>
      <c r="D9732" s="5" t="s">
        <v>4775</v>
      </c>
      <c r="E9732" s="5" t="s">
        <v>60013</v>
      </c>
      <c r="F9732" s="5" t="s">
        <v>212</v>
      </c>
      <c r="G9732" s="5" t="s">
        <v>60014</v>
      </c>
      <c r="H9732" s="6" t="s">
        <v>60015</v>
      </c>
      <c r="K9732" s="5" t="s">
        <v>60016</v>
      </c>
    </row>
    <row r="9733">
      <c r="A9733" s="4">
        <v>45534.478395983795</v>
      </c>
      <c r="B9733" s="5" t="s">
        <v>34</v>
      </c>
      <c r="D9733" s="5" t="s">
        <v>6232</v>
      </c>
      <c r="E9733" s="5" t="s">
        <v>60020</v>
      </c>
      <c r="F9733" s="5" t="s">
        <v>212</v>
      </c>
      <c r="G9733" s="5" t="s">
        <v>60021</v>
      </c>
      <c r="H9733" s="6" t="s">
        <v>60022</v>
      </c>
      <c r="K9733" s="5" t="s">
        <v>60023</v>
      </c>
    </row>
    <row r="9734">
      <c r="A9734" s="4">
        <v>45534.47840260417</v>
      </c>
      <c r="B9734" s="5" t="s">
        <v>19</v>
      </c>
      <c r="C9734" s="5" t="s">
        <v>292</v>
      </c>
      <c r="E9734" s="5" t="s">
        <v>60027</v>
      </c>
      <c r="F9734" s="5" t="s">
        <v>37</v>
      </c>
      <c r="G9734" s="5" t="s">
        <v>60028</v>
      </c>
      <c r="H9734" s="6" t="s">
        <v>60029</v>
      </c>
      <c r="K9734" s="5" t="s">
        <v>60023</v>
      </c>
    </row>
    <row r="9735">
      <c r="A9735" s="4">
        <v>45534.47859475695</v>
      </c>
      <c r="B9735" s="5" t="s">
        <v>19</v>
      </c>
      <c r="C9735" s="5" t="s">
        <v>466</v>
      </c>
      <c r="E9735" s="5" t="s">
        <v>60033</v>
      </c>
      <c r="F9735" s="5" t="s">
        <v>375</v>
      </c>
      <c r="G9735" s="5" t="s">
        <v>60034</v>
      </c>
      <c r="H9735" s="6" t="s">
        <v>60035</v>
      </c>
      <c r="K9735" s="5" t="s">
        <v>60036</v>
      </c>
    </row>
    <row r="9736">
      <c r="A9736" s="4">
        <v>45534.47864393519</v>
      </c>
      <c r="B9736" s="5" t="s">
        <v>34</v>
      </c>
      <c r="D9736" s="5" t="s">
        <v>9020</v>
      </c>
      <c r="E9736" s="5" t="s">
        <v>60040</v>
      </c>
      <c r="F9736" s="5" t="s">
        <v>212</v>
      </c>
      <c r="G9736" s="5" t="s">
        <v>60041</v>
      </c>
      <c r="H9736" s="6" t="s">
        <v>60042</v>
      </c>
      <c r="K9736" s="5" t="s">
        <v>60036</v>
      </c>
    </row>
    <row r="9737">
      <c r="A9737" s="4">
        <v>45534.47872032407</v>
      </c>
      <c r="B9737" s="5" t="s">
        <v>34</v>
      </c>
      <c r="D9737" s="5" t="s">
        <v>14313</v>
      </c>
      <c r="E9737" s="5" t="s">
        <v>60046</v>
      </c>
      <c r="F9737" s="5" t="s">
        <v>72</v>
      </c>
      <c r="G9737" s="5" t="s">
        <v>60047</v>
      </c>
      <c r="H9737" s="6" t="s">
        <v>60048</v>
      </c>
      <c r="K9737" s="5" t="s">
        <v>60049</v>
      </c>
    </row>
    <row r="9738">
      <c r="A9738" s="4">
        <v>45534.478767685185</v>
      </c>
      <c r="B9738" s="5" t="s">
        <v>34</v>
      </c>
      <c r="D9738" s="5" t="s">
        <v>14313</v>
      </c>
      <c r="E9738" s="5" t="s">
        <v>60053</v>
      </c>
      <c r="F9738" s="5" t="s">
        <v>524</v>
      </c>
      <c r="G9738" s="5" t="s">
        <v>60054</v>
      </c>
      <c r="H9738" s="6" t="s">
        <v>60055</v>
      </c>
      <c r="K9738" s="5" t="s">
        <v>60056</v>
      </c>
    </row>
    <row r="9739">
      <c r="A9739" s="4">
        <v>45534.47877627314</v>
      </c>
      <c r="B9739" s="5" t="s">
        <v>34</v>
      </c>
      <c r="D9739" s="5" t="s">
        <v>9020</v>
      </c>
      <c r="E9739" s="5" t="s">
        <v>60060</v>
      </c>
      <c r="F9739" s="5" t="s">
        <v>37</v>
      </c>
      <c r="G9739" s="5" t="s">
        <v>60061</v>
      </c>
      <c r="H9739" s="6" t="s">
        <v>60062</v>
      </c>
      <c r="K9739" s="5" t="s">
        <v>60056</v>
      </c>
    </row>
    <row r="9740">
      <c r="A9740" s="4">
        <v>45534.47899956019</v>
      </c>
      <c r="B9740" s="5" t="s">
        <v>34</v>
      </c>
      <c r="D9740" s="5" t="s">
        <v>9020</v>
      </c>
      <c r="E9740" s="5" t="s">
        <v>60066</v>
      </c>
      <c r="F9740" s="5" t="s">
        <v>212</v>
      </c>
      <c r="G9740" s="5" t="s">
        <v>60067</v>
      </c>
      <c r="H9740" s="6" t="s">
        <v>60068</v>
      </c>
      <c r="K9740" s="5" t="s">
        <v>60056</v>
      </c>
    </row>
    <row r="9741">
      <c r="A9741" s="4">
        <v>45534.47903059028</v>
      </c>
      <c r="B9741" s="5" t="s">
        <v>19</v>
      </c>
      <c r="C9741" s="5" t="s">
        <v>292</v>
      </c>
      <c r="E9741" s="5" t="s">
        <v>60072</v>
      </c>
      <c r="F9741" s="5" t="s">
        <v>212</v>
      </c>
      <c r="G9741" s="5" t="s">
        <v>60073</v>
      </c>
      <c r="H9741" s="6" t="s">
        <v>60074</v>
      </c>
      <c r="K9741" s="5" t="s">
        <v>60056</v>
      </c>
    </row>
    <row r="9742">
      <c r="A9742" s="4">
        <v>45534.47907909722</v>
      </c>
      <c r="B9742" s="5" t="s">
        <v>34</v>
      </c>
      <c r="D9742" s="5" t="s">
        <v>1206</v>
      </c>
      <c r="E9742" s="5" t="s">
        <v>14568</v>
      </c>
      <c r="F9742" s="5" t="s">
        <v>5859</v>
      </c>
      <c r="G9742" s="5" t="s">
        <v>60078</v>
      </c>
      <c r="H9742" s="6" t="s">
        <v>60079</v>
      </c>
      <c r="K9742" s="5" t="s">
        <v>60080</v>
      </c>
    </row>
    <row r="9743">
      <c r="A9743" s="4">
        <v>45534.479180532406</v>
      </c>
      <c r="B9743" s="5" t="s">
        <v>34</v>
      </c>
      <c r="D9743" s="5" t="s">
        <v>9020</v>
      </c>
      <c r="E9743" s="5" t="s">
        <v>60084</v>
      </c>
      <c r="F9743" s="5" t="s">
        <v>37</v>
      </c>
      <c r="G9743" s="5" t="s">
        <v>60085</v>
      </c>
      <c r="H9743" s="6" t="s">
        <v>60086</v>
      </c>
      <c r="K9743" s="5" t="s">
        <v>60087</v>
      </c>
    </row>
    <row r="9744">
      <c r="A9744" s="4">
        <v>45534.479324155094</v>
      </c>
      <c r="B9744" s="5" t="s">
        <v>19</v>
      </c>
      <c r="C9744" s="5" t="s">
        <v>3301</v>
      </c>
      <c r="E9744" s="5" t="s">
        <v>60090</v>
      </c>
      <c r="F9744" s="5" t="s">
        <v>108</v>
      </c>
      <c r="G9744" s="5" t="s">
        <v>60091</v>
      </c>
      <c r="H9744" s="6" t="s">
        <v>60092</v>
      </c>
      <c r="K9744" s="5" t="s">
        <v>60093</v>
      </c>
    </row>
    <row r="9745">
      <c r="A9745" s="4">
        <v>45534.479478078705</v>
      </c>
      <c r="B9745" s="5" t="s">
        <v>34</v>
      </c>
      <c r="D9745" s="5" t="s">
        <v>3849</v>
      </c>
      <c r="E9745" s="5" t="s">
        <v>60096</v>
      </c>
      <c r="F9745" s="5" t="s">
        <v>108</v>
      </c>
      <c r="G9745" s="5" t="s">
        <v>60097</v>
      </c>
      <c r="H9745" s="6" t="s">
        <v>60098</v>
      </c>
      <c r="K9745" s="5" t="s">
        <v>60093</v>
      </c>
    </row>
    <row r="9746">
      <c r="A9746" s="4">
        <v>45534.479588437505</v>
      </c>
      <c r="B9746" s="5" t="s">
        <v>19</v>
      </c>
      <c r="C9746" s="5" t="s">
        <v>292</v>
      </c>
      <c r="E9746" s="5" t="s">
        <v>60101</v>
      </c>
      <c r="F9746" s="5" t="s">
        <v>524</v>
      </c>
      <c r="G9746" s="5" t="s">
        <v>60102</v>
      </c>
      <c r="H9746" s="6" t="s">
        <v>60103</v>
      </c>
      <c r="K9746" s="5" t="s">
        <v>60104</v>
      </c>
    </row>
    <row r="9747">
      <c r="A9747" s="4">
        <v>45534.47960050926</v>
      </c>
      <c r="B9747" s="5" t="s">
        <v>19</v>
      </c>
      <c r="C9747" s="5" t="s">
        <v>292</v>
      </c>
      <c r="E9747" s="5" t="s">
        <v>60107</v>
      </c>
      <c r="F9747" s="5" t="s">
        <v>212</v>
      </c>
      <c r="G9747" s="5" t="s">
        <v>60108</v>
      </c>
      <c r="H9747" s="6" t="s">
        <v>60109</v>
      </c>
      <c r="K9747" s="5" t="s">
        <v>60104</v>
      </c>
    </row>
    <row r="9748">
      <c r="A9748" s="4">
        <v>45534.479609629634</v>
      </c>
      <c r="B9748" s="5" t="s">
        <v>34</v>
      </c>
      <c r="D9748" s="5" t="s">
        <v>1206</v>
      </c>
      <c r="E9748" s="5" t="s">
        <v>59166</v>
      </c>
      <c r="F9748" s="5" t="s">
        <v>212</v>
      </c>
      <c r="G9748" s="5" t="s">
        <v>59167</v>
      </c>
      <c r="H9748" s="6" t="s">
        <v>60112</v>
      </c>
      <c r="K9748" s="5" t="s">
        <v>60104</v>
      </c>
    </row>
    <row r="9749">
      <c r="A9749" s="4">
        <v>45534.47962479167</v>
      </c>
      <c r="B9749" s="5" t="s">
        <v>19</v>
      </c>
      <c r="C9749" s="5" t="s">
        <v>24076</v>
      </c>
      <c r="E9749" s="5" t="s">
        <v>60115</v>
      </c>
      <c r="F9749" s="5" t="s">
        <v>375</v>
      </c>
      <c r="G9749" s="5" t="s">
        <v>60116</v>
      </c>
      <c r="H9749" s="6" t="s">
        <v>60117</v>
      </c>
      <c r="K9749" s="5" t="s">
        <v>60104</v>
      </c>
    </row>
    <row r="9750">
      <c r="A9750" s="4">
        <v>45534.479685451384</v>
      </c>
      <c r="B9750" s="5" t="s">
        <v>34</v>
      </c>
      <c r="D9750" s="5" t="s">
        <v>1206</v>
      </c>
      <c r="E9750" s="5" t="s">
        <v>60120</v>
      </c>
      <c r="F9750" s="5" t="s">
        <v>37</v>
      </c>
      <c r="G9750" s="5" t="s">
        <v>44183</v>
      </c>
      <c r="H9750" s="6" t="s">
        <v>60121</v>
      </c>
      <c r="K9750" s="5" t="s">
        <v>60104</v>
      </c>
    </row>
    <row r="9751">
      <c r="A9751" s="4">
        <v>45534.479799374996</v>
      </c>
      <c r="B9751" s="5" t="s">
        <v>34</v>
      </c>
      <c r="D9751" s="5" t="s">
        <v>1206</v>
      </c>
      <c r="E9751" s="5" t="s">
        <v>60124</v>
      </c>
      <c r="F9751" s="5" t="s">
        <v>37</v>
      </c>
      <c r="G9751" s="5" t="s">
        <v>60125</v>
      </c>
      <c r="H9751" s="6" t="s">
        <v>60126</v>
      </c>
      <c r="K9751" s="5" t="s">
        <v>60127</v>
      </c>
    </row>
    <row r="9752">
      <c r="A9752" s="4">
        <v>45534.47982403935</v>
      </c>
      <c r="B9752" s="5" t="s">
        <v>34</v>
      </c>
      <c r="D9752" s="5" t="s">
        <v>9020</v>
      </c>
      <c r="E9752" s="5" t="s">
        <v>60130</v>
      </c>
      <c r="F9752" s="5" t="s">
        <v>85</v>
      </c>
      <c r="G9752" s="5" t="s">
        <v>60131</v>
      </c>
      <c r="H9752" s="6" t="s">
        <v>60132</v>
      </c>
      <c r="K9752" s="5" t="s">
        <v>60133</v>
      </c>
    </row>
    <row r="9753">
      <c r="A9753" s="4">
        <v>45534.47996986111</v>
      </c>
      <c r="B9753" s="5" t="s">
        <v>34</v>
      </c>
      <c r="D9753" s="5" t="s">
        <v>12026</v>
      </c>
      <c r="E9753" s="5" t="s">
        <v>60136</v>
      </c>
      <c r="F9753" s="5" t="s">
        <v>37</v>
      </c>
      <c r="G9753" s="5" t="s">
        <v>60137</v>
      </c>
      <c r="H9753" s="6" t="s">
        <v>60138</v>
      </c>
      <c r="K9753" s="5" t="s">
        <v>60139</v>
      </c>
    </row>
    <row r="9754">
      <c r="A9754" s="4">
        <v>45534.48005409722</v>
      </c>
      <c r="B9754" s="5" t="s">
        <v>34</v>
      </c>
      <c r="D9754" s="5" t="s">
        <v>35</v>
      </c>
      <c r="E9754" s="5" t="s">
        <v>60142</v>
      </c>
      <c r="F9754" s="5" t="s">
        <v>524</v>
      </c>
      <c r="G9754" s="5" t="s">
        <v>60143</v>
      </c>
      <c r="H9754" s="6" t="s">
        <v>60144</v>
      </c>
      <c r="K9754" s="5" t="s">
        <v>60139</v>
      </c>
    </row>
    <row r="9755">
      <c r="A9755" s="4">
        <v>45534.48005761574</v>
      </c>
      <c r="B9755" s="5" t="s">
        <v>34</v>
      </c>
      <c r="D9755" s="5" t="s">
        <v>9394</v>
      </c>
      <c r="E9755" s="5" t="s">
        <v>60147</v>
      </c>
      <c r="F9755" s="5" t="s">
        <v>212</v>
      </c>
      <c r="G9755" s="5" t="s">
        <v>60148</v>
      </c>
      <c r="H9755" s="6" t="s">
        <v>60149</v>
      </c>
      <c r="K9755" s="5" t="s">
        <v>60139</v>
      </c>
    </row>
    <row r="9756">
      <c r="A9756" s="4">
        <v>45534.4801412963</v>
      </c>
      <c r="B9756" s="5" t="s">
        <v>19</v>
      </c>
      <c r="C9756" s="5" t="s">
        <v>292</v>
      </c>
      <c r="E9756" s="5" t="s">
        <v>60152</v>
      </c>
      <c r="F9756" s="5" t="s">
        <v>212</v>
      </c>
      <c r="G9756" s="5" t="s">
        <v>60153</v>
      </c>
      <c r="H9756" s="6" t="s">
        <v>60154</v>
      </c>
      <c r="K9756" s="5" t="s">
        <v>60139</v>
      </c>
    </row>
    <row r="9757">
      <c r="A9757" s="4">
        <v>45534.480231134265</v>
      </c>
      <c r="B9757" s="5" t="s">
        <v>34</v>
      </c>
      <c r="D9757" s="5" t="s">
        <v>1206</v>
      </c>
      <c r="E9757" s="5" t="s">
        <v>60157</v>
      </c>
      <c r="F9757" s="5" t="s">
        <v>37</v>
      </c>
      <c r="G9757" s="5" t="s">
        <v>60158</v>
      </c>
      <c r="H9757" s="6" t="s">
        <v>60159</v>
      </c>
      <c r="K9757" s="5" t="s">
        <v>60139</v>
      </c>
    </row>
    <row r="9758">
      <c r="A9758" s="4">
        <v>45534.48026193287</v>
      </c>
      <c r="B9758" s="5" t="s">
        <v>34</v>
      </c>
      <c r="D9758" s="5" t="s">
        <v>7858</v>
      </c>
      <c r="E9758" s="5" t="s">
        <v>60162</v>
      </c>
      <c r="F9758" s="5" t="s">
        <v>212</v>
      </c>
      <c r="G9758" s="5" t="s">
        <v>60163</v>
      </c>
      <c r="H9758" s="6" t="s">
        <v>60164</v>
      </c>
      <c r="K9758" s="5" t="s">
        <v>60139</v>
      </c>
    </row>
    <row r="9759">
      <c r="A9759" s="4">
        <v>45534.480283599536</v>
      </c>
      <c r="B9759" s="5" t="s">
        <v>34</v>
      </c>
      <c r="D9759" s="5" t="s">
        <v>9020</v>
      </c>
      <c r="E9759" s="5" t="s">
        <v>60168</v>
      </c>
      <c r="F9759" s="5" t="s">
        <v>72</v>
      </c>
      <c r="G9759" s="5" t="s">
        <v>60169</v>
      </c>
      <c r="H9759" s="6" t="s">
        <v>60170</v>
      </c>
      <c r="K9759" s="5" t="s">
        <v>60139</v>
      </c>
    </row>
    <row r="9760">
      <c r="A9760" s="4">
        <v>45534.48049104167</v>
      </c>
      <c r="B9760" s="5" t="s">
        <v>34</v>
      </c>
      <c r="D9760" s="5" t="s">
        <v>12010</v>
      </c>
      <c r="E9760" s="5" t="s">
        <v>60174</v>
      </c>
      <c r="F9760" s="5" t="s">
        <v>524</v>
      </c>
      <c r="G9760" s="5" t="s">
        <v>60175</v>
      </c>
      <c r="H9760" s="6" t="s">
        <v>60176</v>
      </c>
      <c r="K9760" s="5" t="s">
        <v>60139</v>
      </c>
    </row>
    <row r="9761">
      <c r="A9761" s="4">
        <v>45534.48058105324</v>
      </c>
      <c r="B9761" s="5" t="s">
        <v>34</v>
      </c>
      <c r="D9761" s="5" t="s">
        <v>1558</v>
      </c>
      <c r="E9761" s="5" t="s">
        <v>15428</v>
      </c>
      <c r="F9761" s="5" t="s">
        <v>212</v>
      </c>
      <c r="G9761" s="5" t="s">
        <v>60180</v>
      </c>
      <c r="H9761" s="6" t="s">
        <v>60181</v>
      </c>
      <c r="K9761" s="5" t="s">
        <v>60139</v>
      </c>
    </row>
    <row r="9762">
      <c r="A9762" s="4">
        <v>45534.48115791667</v>
      </c>
      <c r="B9762" s="5" t="s">
        <v>34</v>
      </c>
      <c r="D9762" s="5" t="s">
        <v>996</v>
      </c>
      <c r="E9762" s="5" t="s">
        <v>60184</v>
      </c>
      <c r="F9762" s="5" t="s">
        <v>212</v>
      </c>
      <c r="G9762" s="5" t="s">
        <v>60185</v>
      </c>
      <c r="H9762" s="6" t="s">
        <v>60186</v>
      </c>
      <c r="K9762" s="5" t="s">
        <v>60139</v>
      </c>
    </row>
    <row r="9763">
      <c r="A9763" s="4">
        <v>45534.48130086805</v>
      </c>
      <c r="B9763" s="5" t="s">
        <v>34</v>
      </c>
      <c r="D9763" s="5" t="s">
        <v>1206</v>
      </c>
      <c r="E9763" s="5" t="s">
        <v>30658</v>
      </c>
      <c r="F9763" s="5" t="s">
        <v>524</v>
      </c>
      <c r="G9763" s="5" t="s">
        <v>30659</v>
      </c>
      <c r="H9763" s="6" t="s">
        <v>60189</v>
      </c>
      <c r="K9763" s="5" t="s">
        <v>60139</v>
      </c>
    </row>
    <row r="9764">
      <c r="A9764" s="4">
        <v>45534.481507766206</v>
      </c>
      <c r="B9764" s="5" t="s">
        <v>34</v>
      </c>
      <c r="D9764" s="5" t="s">
        <v>1206</v>
      </c>
      <c r="E9764" s="5" t="s">
        <v>60192</v>
      </c>
      <c r="F9764" s="5" t="s">
        <v>328</v>
      </c>
      <c r="G9764" s="5" t="s">
        <v>60193</v>
      </c>
      <c r="H9764" s="6" t="s">
        <v>60194</v>
      </c>
      <c r="K9764" s="5" t="s">
        <v>60139</v>
      </c>
    </row>
    <row r="9765">
      <c r="A9765" s="4">
        <v>45534.48177974537</v>
      </c>
      <c r="B9765" s="5" t="s">
        <v>34</v>
      </c>
      <c r="D9765" s="5" t="s">
        <v>11527</v>
      </c>
      <c r="E9765" s="5" t="s">
        <v>60197</v>
      </c>
      <c r="F9765" s="5" t="s">
        <v>212</v>
      </c>
      <c r="G9765" s="5" t="s">
        <v>60198</v>
      </c>
      <c r="H9765" s="6" t="s">
        <v>60199</v>
      </c>
      <c r="K9765" s="5" t="s">
        <v>60200</v>
      </c>
    </row>
    <row r="9766">
      <c r="A9766" s="4">
        <v>45534.48179082176</v>
      </c>
      <c r="B9766" s="5" t="s">
        <v>34</v>
      </c>
      <c r="D9766" s="5" t="s">
        <v>35</v>
      </c>
      <c r="E9766" s="5" t="s">
        <v>60204</v>
      </c>
      <c r="F9766" s="5" t="s">
        <v>524</v>
      </c>
      <c r="G9766" s="5" t="s">
        <v>60205</v>
      </c>
      <c r="H9766" s="6" t="s">
        <v>60206</v>
      </c>
      <c r="K9766" s="5" t="s">
        <v>60207</v>
      </c>
    </row>
    <row r="9767">
      <c r="A9767" s="4">
        <v>45534.48183768518</v>
      </c>
      <c r="B9767" s="5" t="s">
        <v>34</v>
      </c>
      <c r="D9767" s="5" t="s">
        <v>9020</v>
      </c>
      <c r="E9767" s="5" t="s">
        <v>50598</v>
      </c>
      <c r="F9767" s="5" t="s">
        <v>212</v>
      </c>
      <c r="G9767" s="5" t="s">
        <v>60210</v>
      </c>
      <c r="H9767" s="6" t="s">
        <v>60211</v>
      </c>
      <c r="K9767" s="5" t="s">
        <v>60212</v>
      </c>
    </row>
    <row r="9768">
      <c r="A9768" s="4">
        <v>45534.481841064815</v>
      </c>
      <c r="B9768" s="5" t="s">
        <v>34</v>
      </c>
      <c r="D9768" s="5" t="s">
        <v>580</v>
      </c>
      <c r="E9768" s="5" t="s">
        <v>60215</v>
      </c>
      <c r="F9768" s="5" t="s">
        <v>212</v>
      </c>
      <c r="G9768" s="5" t="s">
        <v>60216</v>
      </c>
      <c r="H9768" s="6" t="s">
        <v>60217</v>
      </c>
      <c r="K9768" s="5" t="s">
        <v>60212</v>
      </c>
    </row>
    <row r="9769">
      <c r="A9769" s="4">
        <v>45534.481881458334</v>
      </c>
      <c r="B9769" s="5" t="s">
        <v>34</v>
      </c>
      <c r="D9769" s="5" t="s">
        <v>35</v>
      </c>
      <c r="E9769" s="5" t="s">
        <v>60220</v>
      </c>
      <c r="F9769" s="5" t="s">
        <v>37</v>
      </c>
      <c r="G9769" s="5" t="s">
        <v>60221</v>
      </c>
      <c r="H9769" s="6" t="s">
        <v>60222</v>
      </c>
      <c r="K9769" s="5" t="s">
        <v>60223</v>
      </c>
    </row>
    <row r="9770">
      <c r="A9770" s="4">
        <v>45534.48227728009</v>
      </c>
      <c r="B9770" s="5" t="s">
        <v>34</v>
      </c>
      <c r="D9770" s="5" t="s">
        <v>6232</v>
      </c>
      <c r="E9770" s="5" t="s">
        <v>60226</v>
      </c>
      <c r="F9770" s="5" t="s">
        <v>120</v>
      </c>
      <c r="G9770" s="5" t="s">
        <v>60227</v>
      </c>
      <c r="H9770" s="6" t="s">
        <v>60228</v>
      </c>
      <c r="K9770" s="5" t="s">
        <v>60229</v>
      </c>
    </row>
    <row r="9771">
      <c r="A9771" s="4">
        <v>45534.48230053241</v>
      </c>
      <c r="B9771" s="5" t="s">
        <v>34</v>
      </c>
      <c r="D9771" s="5" t="s">
        <v>1206</v>
      </c>
      <c r="E9771" s="5" t="s">
        <v>60233</v>
      </c>
      <c r="F9771" s="5" t="s">
        <v>37</v>
      </c>
      <c r="G9771" s="5" t="s">
        <v>60234</v>
      </c>
      <c r="H9771" s="6" t="s">
        <v>60235</v>
      </c>
      <c r="K9771" s="5" t="s">
        <v>60229</v>
      </c>
    </row>
    <row r="9772">
      <c r="A9772" s="4">
        <v>45534.48239497685</v>
      </c>
      <c r="B9772" s="5" t="s">
        <v>34</v>
      </c>
      <c r="D9772" s="5" t="s">
        <v>1206</v>
      </c>
      <c r="E9772" s="5" t="s">
        <v>60238</v>
      </c>
      <c r="F9772" s="5" t="s">
        <v>72</v>
      </c>
      <c r="G9772" s="5" t="s">
        <v>60239</v>
      </c>
      <c r="H9772" s="6" t="s">
        <v>60240</v>
      </c>
      <c r="K9772" s="5" t="s">
        <v>60229</v>
      </c>
    </row>
    <row r="9773">
      <c r="A9773" s="4">
        <v>45534.482775185184</v>
      </c>
      <c r="B9773" s="5" t="s">
        <v>34</v>
      </c>
      <c r="D9773" s="5" t="s">
        <v>1206</v>
      </c>
      <c r="E9773" s="5" t="s">
        <v>60244</v>
      </c>
      <c r="F9773" s="5" t="s">
        <v>37</v>
      </c>
      <c r="G9773" s="5" t="s">
        <v>60245</v>
      </c>
      <c r="H9773" s="6" t="s">
        <v>60246</v>
      </c>
      <c r="K9773" s="5" t="s">
        <v>60229</v>
      </c>
    </row>
    <row r="9774">
      <c r="A9774" s="4">
        <v>45534.48281261574</v>
      </c>
      <c r="B9774" s="5" t="s">
        <v>34</v>
      </c>
      <c r="D9774" s="5" t="s">
        <v>9020</v>
      </c>
      <c r="E9774" s="5" t="s">
        <v>60249</v>
      </c>
      <c r="F9774" s="5" t="s">
        <v>108</v>
      </c>
      <c r="G9774" s="5" t="s">
        <v>60250</v>
      </c>
      <c r="H9774" s="6" t="s">
        <v>60251</v>
      </c>
      <c r="K9774" s="5" t="s">
        <v>60229</v>
      </c>
    </row>
    <row r="9775">
      <c r="A9775" s="4">
        <v>45534.483217175926</v>
      </c>
      <c r="B9775" s="5" t="s">
        <v>34</v>
      </c>
      <c r="D9775" s="5" t="s">
        <v>14313</v>
      </c>
      <c r="E9775" s="5" t="s">
        <v>52166</v>
      </c>
      <c r="F9775" s="5" t="s">
        <v>524</v>
      </c>
      <c r="G9775" s="5" t="s">
        <v>60254</v>
      </c>
      <c r="H9775" s="6" t="s">
        <v>60255</v>
      </c>
      <c r="K9775" s="5" t="s">
        <v>60229</v>
      </c>
    </row>
    <row r="9776">
      <c r="A9776" s="4">
        <v>45534.483293067125</v>
      </c>
      <c r="B9776" s="5" t="s">
        <v>34</v>
      </c>
      <c r="D9776" s="5" t="s">
        <v>1206</v>
      </c>
      <c r="E9776" s="5" t="s">
        <v>60258</v>
      </c>
      <c r="F9776" s="5" t="s">
        <v>72</v>
      </c>
      <c r="G9776" s="5" t="s">
        <v>60259</v>
      </c>
      <c r="H9776" s="6" t="s">
        <v>60260</v>
      </c>
      <c r="K9776" s="5" t="s">
        <v>60229</v>
      </c>
    </row>
    <row r="9777">
      <c r="A9777" s="4">
        <v>45534.483303263885</v>
      </c>
      <c r="B9777" s="5" t="s">
        <v>34</v>
      </c>
      <c r="D9777" s="5" t="s">
        <v>580</v>
      </c>
      <c r="E9777" s="5" t="s">
        <v>60264</v>
      </c>
      <c r="F9777" s="5" t="s">
        <v>37</v>
      </c>
      <c r="G9777" s="5" t="s">
        <v>60265</v>
      </c>
      <c r="H9777" s="6" t="s">
        <v>60266</v>
      </c>
      <c r="K9777" s="5" t="s">
        <v>60229</v>
      </c>
    </row>
    <row r="9778">
      <c r="A9778" s="4">
        <v>45534.48341835648</v>
      </c>
      <c r="B9778" s="5" t="s">
        <v>34</v>
      </c>
      <c r="D9778" s="5" t="s">
        <v>14313</v>
      </c>
      <c r="E9778" s="5" t="s">
        <v>60269</v>
      </c>
      <c r="F9778" s="5" t="s">
        <v>524</v>
      </c>
      <c r="G9778" s="5" t="s">
        <v>60270</v>
      </c>
      <c r="H9778" s="6" t="s">
        <v>60271</v>
      </c>
      <c r="K9778" s="5" t="s">
        <v>60229</v>
      </c>
    </row>
    <row r="9779">
      <c r="A9779" s="4">
        <v>45534.48356479166</v>
      </c>
      <c r="B9779" s="5" t="s">
        <v>34</v>
      </c>
      <c r="D9779" s="5" t="s">
        <v>1206</v>
      </c>
      <c r="E9779" s="5" t="s">
        <v>60275</v>
      </c>
      <c r="F9779" s="5" t="s">
        <v>37</v>
      </c>
      <c r="G9779" s="5" t="s">
        <v>60276</v>
      </c>
      <c r="H9779" s="6" t="s">
        <v>60277</v>
      </c>
      <c r="K9779" s="5" t="s">
        <v>60229</v>
      </c>
    </row>
    <row r="9780">
      <c r="A9780" s="4">
        <v>45534.483645</v>
      </c>
      <c r="B9780" s="5" t="s">
        <v>34</v>
      </c>
      <c r="D9780" s="5" t="s">
        <v>9020</v>
      </c>
      <c r="E9780" s="5" t="s">
        <v>60281</v>
      </c>
      <c r="F9780" s="5" t="s">
        <v>37</v>
      </c>
      <c r="G9780" s="5" t="s">
        <v>60282</v>
      </c>
      <c r="H9780" s="6" t="s">
        <v>60283</v>
      </c>
      <c r="K9780" s="5" t="s">
        <v>60284</v>
      </c>
    </row>
    <row r="9781">
      <c r="A9781" s="4">
        <v>45534.48380686343</v>
      </c>
      <c r="B9781" s="5" t="s">
        <v>34</v>
      </c>
      <c r="D9781" s="5" t="s">
        <v>267</v>
      </c>
      <c r="E9781" s="5" t="s">
        <v>5498</v>
      </c>
      <c r="F9781" s="5" t="s">
        <v>212</v>
      </c>
      <c r="G9781" s="5" t="s">
        <v>60287</v>
      </c>
      <c r="H9781" s="6" t="s">
        <v>60288</v>
      </c>
      <c r="K9781" s="5" t="s">
        <v>60289</v>
      </c>
    </row>
    <row r="9782">
      <c r="A9782" s="4">
        <v>45534.483846793984</v>
      </c>
      <c r="B9782" s="5" t="s">
        <v>34</v>
      </c>
      <c r="D9782" s="5" t="s">
        <v>1206</v>
      </c>
      <c r="E9782" s="5" t="s">
        <v>60292</v>
      </c>
      <c r="F9782" s="5" t="s">
        <v>37</v>
      </c>
      <c r="G9782" s="5" t="s">
        <v>60293</v>
      </c>
      <c r="H9782" s="6" t="s">
        <v>60294</v>
      </c>
      <c r="K9782" s="5" t="s">
        <v>60295</v>
      </c>
    </row>
    <row r="9783">
      <c r="A9783" s="4">
        <v>45534.48385386574</v>
      </c>
      <c r="B9783" s="5" t="s">
        <v>34</v>
      </c>
      <c r="D9783" s="5" t="s">
        <v>1692</v>
      </c>
      <c r="E9783" s="5" t="s">
        <v>60298</v>
      </c>
      <c r="F9783" s="5" t="s">
        <v>72</v>
      </c>
      <c r="G9783" s="5" t="s">
        <v>60299</v>
      </c>
      <c r="H9783" s="6" t="s">
        <v>60300</v>
      </c>
      <c r="K9783" s="5" t="s">
        <v>60295</v>
      </c>
    </row>
    <row r="9784">
      <c r="A9784" s="4">
        <v>45534.48410306713</v>
      </c>
      <c r="B9784" s="5" t="s">
        <v>34</v>
      </c>
      <c r="D9784" s="5" t="s">
        <v>14313</v>
      </c>
      <c r="E9784" s="5" t="s">
        <v>60304</v>
      </c>
      <c r="F9784" s="5" t="s">
        <v>524</v>
      </c>
      <c r="G9784" s="5" t="s">
        <v>60305</v>
      </c>
      <c r="H9784" s="6" t="s">
        <v>60306</v>
      </c>
      <c r="K9784" s="5" t="s">
        <v>60307</v>
      </c>
    </row>
    <row r="9785">
      <c r="A9785" s="4">
        <v>45534.48466109954</v>
      </c>
      <c r="B9785" s="5" t="s">
        <v>34</v>
      </c>
      <c r="D9785" s="5" t="s">
        <v>1206</v>
      </c>
      <c r="E9785" s="5" t="s">
        <v>60310</v>
      </c>
      <c r="F9785" s="5" t="s">
        <v>328</v>
      </c>
      <c r="G9785" s="5" t="s">
        <v>60311</v>
      </c>
      <c r="H9785" s="6" t="s">
        <v>60312</v>
      </c>
      <c r="K9785" s="5" t="s">
        <v>60313</v>
      </c>
    </row>
    <row r="9786">
      <c r="A9786" s="4">
        <v>45534.48469346065</v>
      </c>
      <c r="B9786" s="5" t="s">
        <v>34</v>
      </c>
      <c r="D9786" s="5" t="s">
        <v>1206</v>
      </c>
      <c r="E9786" s="5" t="s">
        <v>60316</v>
      </c>
      <c r="F9786" s="5" t="s">
        <v>328</v>
      </c>
      <c r="G9786" s="5" t="s">
        <v>60317</v>
      </c>
      <c r="H9786" s="6" t="s">
        <v>60318</v>
      </c>
      <c r="K9786" s="5" t="s">
        <v>60313</v>
      </c>
    </row>
    <row r="9787">
      <c r="A9787" s="4">
        <v>45534.48472681713</v>
      </c>
      <c r="B9787" s="5" t="s">
        <v>34</v>
      </c>
      <c r="D9787" s="5" t="s">
        <v>9020</v>
      </c>
      <c r="E9787" s="5" t="s">
        <v>60321</v>
      </c>
      <c r="F9787" s="5" t="s">
        <v>375</v>
      </c>
      <c r="G9787" s="5" t="s">
        <v>60322</v>
      </c>
      <c r="H9787" s="6" t="s">
        <v>60323</v>
      </c>
      <c r="K9787" s="5" t="s">
        <v>60313</v>
      </c>
    </row>
    <row r="9788">
      <c r="A9788" s="4">
        <v>45534.48495409722</v>
      </c>
      <c r="B9788" s="5" t="s">
        <v>34</v>
      </c>
      <c r="D9788" s="5" t="s">
        <v>12978</v>
      </c>
      <c r="E9788" s="5" t="s">
        <v>60326</v>
      </c>
      <c r="F9788" s="5" t="s">
        <v>108</v>
      </c>
      <c r="G9788" s="5" t="s">
        <v>60327</v>
      </c>
      <c r="H9788" s="6" t="s">
        <v>60328</v>
      </c>
      <c r="K9788" s="5" t="s">
        <v>60329</v>
      </c>
    </row>
    <row r="9789">
      <c r="A9789" s="4">
        <v>45534.48503008102</v>
      </c>
      <c r="B9789" s="5" t="s">
        <v>34</v>
      </c>
      <c r="D9789" s="5" t="s">
        <v>6232</v>
      </c>
      <c r="E9789" s="5" t="s">
        <v>60333</v>
      </c>
      <c r="F9789" s="5" t="s">
        <v>72</v>
      </c>
      <c r="G9789" s="5" t="s">
        <v>60334</v>
      </c>
      <c r="H9789" s="6" t="s">
        <v>60335</v>
      </c>
      <c r="K9789" s="5" t="s">
        <v>60329</v>
      </c>
    </row>
    <row r="9790">
      <c r="A9790" s="4">
        <v>45534.48530324074</v>
      </c>
      <c r="B9790" s="5" t="s">
        <v>34</v>
      </c>
      <c r="D9790" s="5" t="s">
        <v>35</v>
      </c>
      <c r="E9790" s="5" t="s">
        <v>60338</v>
      </c>
      <c r="F9790" s="5" t="s">
        <v>524</v>
      </c>
      <c r="G9790" s="5" t="s">
        <v>60339</v>
      </c>
      <c r="H9790" s="6" t="s">
        <v>60340</v>
      </c>
      <c r="K9790" s="5" t="s">
        <v>60329</v>
      </c>
    </row>
    <row r="9791">
      <c r="A9791" s="4">
        <v>45534.485350208335</v>
      </c>
      <c r="B9791" s="5" t="s">
        <v>34</v>
      </c>
      <c r="D9791" s="5" t="s">
        <v>4775</v>
      </c>
      <c r="E9791" s="5" t="s">
        <v>60343</v>
      </c>
      <c r="F9791" s="5" t="s">
        <v>375</v>
      </c>
      <c r="G9791" s="5" t="s">
        <v>60344</v>
      </c>
      <c r="H9791" s="6" t="s">
        <v>60345</v>
      </c>
      <c r="K9791" s="5" t="s">
        <v>60346</v>
      </c>
    </row>
    <row r="9792">
      <c r="A9792" s="4">
        <v>45534.485472326385</v>
      </c>
      <c r="B9792" s="5" t="s">
        <v>34</v>
      </c>
      <c r="D9792" s="5" t="s">
        <v>11527</v>
      </c>
      <c r="E9792" s="5" t="s">
        <v>60349</v>
      </c>
      <c r="F9792" s="5" t="s">
        <v>212</v>
      </c>
      <c r="G9792" s="5" t="s">
        <v>60350</v>
      </c>
      <c r="H9792" s="6" t="s">
        <v>60351</v>
      </c>
      <c r="K9792" s="5" t="s">
        <v>60352</v>
      </c>
    </row>
    <row r="9793">
      <c r="A9793" s="4">
        <v>45534.48576759259</v>
      </c>
      <c r="B9793" s="5" t="s">
        <v>19</v>
      </c>
      <c r="C9793" s="5" t="s">
        <v>292</v>
      </c>
      <c r="E9793" s="5" t="s">
        <v>60356</v>
      </c>
      <c r="F9793" s="5" t="s">
        <v>108</v>
      </c>
      <c r="G9793" s="5" t="s">
        <v>60357</v>
      </c>
      <c r="H9793" s="6" t="s">
        <v>60358</v>
      </c>
      <c r="K9793" s="5" t="s">
        <v>60359</v>
      </c>
    </row>
    <row r="9794">
      <c r="A9794" s="4">
        <v>45534.485912662036</v>
      </c>
      <c r="B9794" s="5" t="s">
        <v>34</v>
      </c>
      <c r="D9794" s="5" t="s">
        <v>604</v>
      </c>
      <c r="E9794" s="5" t="s">
        <v>60362</v>
      </c>
      <c r="F9794" s="5" t="s">
        <v>72</v>
      </c>
      <c r="G9794" s="5" t="s">
        <v>60363</v>
      </c>
      <c r="H9794" s="6" t="s">
        <v>60364</v>
      </c>
      <c r="K9794" s="5" t="s">
        <v>60365</v>
      </c>
    </row>
    <row r="9795">
      <c r="A9795" s="4">
        <v>45534.48620172453</v>
      </c>
      <c r="B9795" s="5" t="s">
        <v>34</v>
      </c>
      <c r="D9795" s="5" t="s">
        <v>14313</v>
      </c>
      <c r="E9795" s="5" t="s">
        <v>60368</v>
      </c>
      <c r="F9795" s="5" t="s">
        <v>212</v>
      </c>
      <c r="G9795" s="5" t="s">
        <v>60369</v>
      </c>
      <c r="H9795" s="6" t="s">
        <v>60370</v>
      </c>
      <c r="K9795" s="5" t="s">
        <v>60371</v>
      </c>
    </row>
    <row r="9796">
      <c r="A9796" s="4">
        <v>45534.48649912037</v>
      </c>
      <c r="B9796" s="5" t="s">
        <v>34</v>
      </c>
      <c r="D9796" s="5" t="s">
        <v>1206</v>
      </c>
      <c r="E9796" s="5" t="s">
        <v>60374</v>
      </c>
      <c r="F9796" s="5" t="s">
        <v>212</v>
      </c>
      <c r="G9796" s="5" t="s">
        <v>60375</v>
      </c>
      <c r="H9796" s="6" t="s">
        <v>60376</v>
      </c>
      <c r="K9796" s="5" t="s">
        <v>60377</v>
      </c>
    </row>
    <row r="9797">
      <c r="A9797" s="4">
        <v>45534.48704841435</v>
      </c>
      <c r="B9797" s="5" t="s">
        <v>19</v>
      </c>
      <c r="C9797" s="5" t="s">
        <v>3301</v>
      </c>
      <c r="E9797" s="5" t="s">
        <v>60380</v>
      </c>
      <c r="F9797" s="5" t="s">
        <v>375</v>
      </c>
      <c r="G9797" s="5" t="s">
        <v>60381</v>
      </c>
      <c r="H9797" s="6" t="s">
        <v>60382</v>
      </c>
      <c r="K9797" s="5" t="s">
        <v>60377</v>
      </c>
    </row>
    <row r="9798">
      <c r="A9798" s="4">
        <v>45534.48716542824</v>
      </c>
      <c r="B9798" s="5" t="s">
        <v>34</v>
      </c>
      <c r="D9798" s="5" t="s">
        <v>267</v>
      </c>
      <c r="E9798" s="5" t="s">
        <v>60386</v>
      </c>
      <c r="F9798" s="5" t="s">
        <v>108</v>
      </c>
      <c r="G9798" s="5" t="s">
        <v>60387</v>
      </c>
      <c r="H9798" s="6" t="s">
        <v>60388</v>
      </c>
      <c r="K9798" s="5" t="s">
        <v>60389</v>
      </c>
    </row>
    <row r="9799">
      <c r="A9799" s="4">
        <v>45534.48720693287</v>
      </c>
      <c r="B9799" s="5" t="s">
        <v>34</v>
      </c>
      <c r="D9799" s="5" t="s">
        <v>14313</v>
      </c>
      <c r="E9799" s="5" t="s">
        <v>41389</v>
      </c>
      <c r="F9799" s="5" t="s">
        <v>108</v>
      </c>
      <c r="G9799" s="5" t="s">
        <v>60392</v>
      </c>
      <c r="H9799" s="6" t="s">
        <v>60393</v>
      </c>
      <c r="K9799" s="5" t="s">
        <v>60394</v>
      </c>
    </row>
    <row r="9800">
      <c r="A9800" s="4">
        <v>45534.48722096065</v>
      </c>
      <c r="B9800" s="5" t="s">
        <v>34</v>
      </c>
      <c r="D9800" s="5" t="s">
        <v>1206</v>
      </c>
      <c r="E9800" s="5" t="s">
        <v>60398</v>
      </c>
      <c r="F9800" s="5" t="s">
        <v>212</v>
      </c>
      <c r="G9800" s="5" t="s">
        <v>60399</v>
      </c>
      <c r="H9800" s="6" t="s">
        <v>60400</v>
      </c>
      <c r="K9800" s="5" t="s">
        <v>60394</v>
      </c>
    </row>
    <row r="9801">
      <c r="A9801" s="4">
        <v>45534.487932187505</v>
      </c>
      <c r="B9801" s="5" t="s">
        <v>34</v>
      </c>
      <c r="D9801" s="5" t="s">
        <v>1206</v>
      </c>
      <c r="E9801" s="5" t="s">
        <v>60404</v>
      </c>
      <c r="F9801" s="5" t="s">
        <v>5859</v>
      </c>
      <c r="G9801" s="5" t="s">
        <v>60405</v>
      </c>
      <c r="H9801" s="6" t="s">
        <v>60406</v>
      </c>
      <c r="K9801" s="5" t="s">
        <v>60407</v>
      </c>
    </row>
    <row r="9802">
      <c r="A9802" s="4">
        <v>45534.48793293981</v>
      </c>
      <c r="B9802" s="5" t="s">
        <v>34</v>
      </c>
      <c r="D9802" s="5" t="s">
        <v>6232</v>
      </c>
      <c r="E9802" s="5" t="s">
        <v>60410</v>
      </c>
      <c r="F9802" s="5" t="s">
        <v>524</v>
      </c>
      <c r="G9802" s="5" t="s">
        <v>60411</v>
      </c>
      <c r="H9802" s="6" t="s">
        <v>60412</v>
      </c>
      <c r="K9802" s="5" t="s">
        <v>60407</v>
      </c>
    </row>
    <row r="9803">
      <c r="A9803" s="4">
        <v>45534.48831043982</v>
      </c>
      <c r="B9803" s="5" t="s">
        <v>19</v>
      </c>
      <c r="C9803" s="5" t="s">
        <v>11593</v>
      </c>
      <c r="E9803" s="5" t="s">
        <v>60415</v>
      </c>
      <c r="F9803" s="5" t="s">
        <v>108</v>
      </c>
      <c r="G9803" s="5" t="s">
        <v>60416</v>
      </c>
      <c r="H9803" s="6" t="s">
        <v>60417</v>
      </c>
      <c r="K9803" s="5" t="s">
        <v>60418</v>
      </c>
    </row>
    <row r="9804">
      <c r="A9804" s="4">
        <v>45534.488333622685</v>
      </c>
      <c r="B9804" s="5" t="s">
        <v>34</v>
      </c>
      <c r="D9804" s="5" t="s">
        <v>9394</v>
      </c>
      <c r="E9804" s="5" t="s">
        <v>60421</v>
      </c>
      <c r="F9804" s="5" t="s">
        <v>120</v>
      </c>
      <c r="G9804" s="5" t="s">
        <v>60422</v>
      </c>
      <c r="H9804" s="6" t="s">
        <v>60423</v>
      </c>
      <c r="K9804" s="5" t="s">
        <v>60418</v>
      </c>
    </row>
    <row r="9805">
      <c r="A9805" s="4">
        <v>45534.48836005787</v>
      </c>
      <c r="B9805" s="5" t="s">
        <v>34</v>
      </c>
      <c r="D9805" s="5" t="s">
        <v>9020</v>
      </c>
      <c r="E9805" s="5" t="s">
        <v>60427</v>
      </c>
      <c r="F9805" s="5" t="s">
        <v>212</v>
      </c>
      <c r="G9805" s="5" t="s">
        <v>60428</v>
      </c>
      <c r="H9805" s="6" t="s">
        <v>60429</v>
      </c>
      <c r="K9805" s="5" t="s">
        <v>60430</v>
      </c>
    </row>
    <row r="9806">
      <c r="A9806" s="4">
        <v>45534.48863253472</v>
      </c>
      <c r="B9806" s="5" t="s">
        <v>34</v>
      </c>
      <c r="D9806" s="5" t="s">
        <v>9394</v>
      </c>
      <c r="E9806" s="5" t="s">
        <v>60433</v>
      </c>
      <c r="F9806" s="5" t="s">
        <v>72</v>
      </c>
      <c r="G9806" s="5" t="s">
        <v>60434</v>
      </c>
      <c r="H9806" s="6" t="s">
        <v>60435</v>
      </c>
      <c r="K9806" s="5" t="s">
        <v>60436</v>
      </c>
    </row>
    <row r="9807">
      <c r="A9807" s="4">
        <v>45534.48866998842</v>
      </c>
      <c r="B9807" s="5" t="s">
        <v>34</v>
      </c>
      <c r="D9807" s="5" t="s">
        <v>9020</v>
      </c>
      <c r="E9807" s="5" t="s">
        <v>60439</v>
      </c>
      <c r="F9807" s="5" t="s">
        <v>72</v>
      </c>
      <c r="G9807" s="5" t="s">
        <v>60440</v>
      </c>
      <c r="H9807" s="6" t="s">
        <v>60441</v>
      </c>
      <c r="K9807" s="5" t="s">
        <v>60436</v>
      </c>
    </row>
    <row r="9808">
      <c r="A9808" s="4">
        <v>45534.48874178241</v>
      </c>
      <c r="B9808" s="5" t="s">
        <v>34</v>
      </c>
      <c r="D9808" s="5" t="s">
        <v>1206</v>
      </c>
      <c r="E9808" s="5" t="s">
        <v>60444</v>
      </c>
      <c r="F9808" s="5" t="s">
        <v>37</v>
      </c>
      <c r="G9808" s="5" t="s">
        <v>60445</v>
      </c>
      <c r="H9808" s="6" t="s">
        <v>60446</v>
      </c>
      <c r="K9808" s="5" t="s">
        <v>60447</v>
      </c>
    </row>
    <row r="9809">
      <c r="A9809" s="4">
        <v>45534.48887876158</v>
      </c>
      <c r="B9809" s="5" t="s">
        <v>34</v>
      </c>
      <c r="D9809" s="5" t="s">
        <v>1206</v>
      </c>
      <c r="E9809" s="5" t="s">
        <v>60450</v>
      </c>
      <c r="F9809" s="5" t="s">
        <v>524</v>
      </c>
      <c r="G9809" s="5" t="s">
        <v>60451</v>
      </c>
      <c r="H9809" s="6" t="s">
        <v>60452</v>
      </c>
      <c r="K9809" s="5" t="s">
        <v>60453</v>
      </c>
    </row>
    <row r="9810">
      <c r="A9810" s="4">
        <v>45534.488982905095</v>
      </c>
      <c r="B9810" s="5" t="s">
        <v>34</v>
      </c>
      <c r="D9810" s="5" t="s">
        <v>9020</v>
      </c>
      <c r="E9810" s="5" t="s">
        <v>48786</v>
      </c>
      <c r="F9810" s="5" t="s">
        <v>524</v>
      </c>
      <c r="G9810" s="5" t="s">
        <v>60457</v>
      </c>
      <c r="H9810" s="6" t="s">
        <v>60458</v>
      </c>
      <c r="K9810" s="5" t="s">
        <v>60459</v>
      </c>
    </row>
    <row r="9811">
      <c r="A9811" s="4">
        <v>45534.48903668982</v>
      </c>
      <c r="B9811" s="5" t="s">
        <v>34</v>
      </c>
      <c r="D9811" s="5" t="s">
        <v>580</v>
      </c>
      <c r="E9811" s="5" t="s">
        <v>60462</v>
      </c>
      <c r="F9811" s="5" t="s">
        <v>524</v>
      </c>
      <c r="G9811" s="5" t="s">
        <v>60463</v>
      </c>
      <c r="H9811" s="6" t="s">
        <v>60464</v>
      </c>
      <c r="K9811" s="5" t="s">
        <v>60459</v>
      </c>
    </row>
    <row r="9812">
      <c r="A9812" s="4">
        <v>45534.489060023145</v>
      </c>
      <c r="B9812" s="5" t="s">
        <v>34</v>
      </c>
      <c r="D9812" s="5" t="s">
        <v>1206</v>
      </c>
      <c r="E9812" s="5" t="s">
        <v>60467</v>
      </c>
      <c r="F9812" s="5" t="s">
        <v>37</v>
      </c>
      <c r="G9812" s="5" t="s">
        <v>60468</v>
      </c>
      <c r="H9812" s="6" t="s">
        <v>60469</v>
      </c>
      <c r="K9812" s="5" t="s">
        <v>60459</v>
      </c>
    </row>
    <row r="9813">
      <c r="A9813" s="4">
        <v>45534.48924215278</v>
      </c>
      <c r="B9813" s="5" t="s">
        <v>34</v>
      </c>
      <c r="D9813" s="5" t="s">
        <v>9394</v>
      </c>
      <c r="E9813" s="5" t="s">
        <v>60472</v>
      </c>
      <c r="F9813" s="5" t="s">
        <v>375</v>
      </c>
      <c r="G9813" s="5" t="s">
        <v>60473</v>
      </c>
      <c r="H9813" s="6" t="s">
        <v>60474</v>
      </c>
      <c r="K9813" s="5" t="s">
        <v>60475</v>
      </c>
    </row>
    <row r="9814">
      <c r="A9814" s="4">
        <v>45534.489256875</v>
      </c>
      <c r="B9814" s="5" t="s">
        <v>34</v>
      </c>
      <c r="D9814" s="5" t="s">
        <v>9020</v>
      </c>
      <c r="E9814" s="5" t="s">
        <v>48327</v>
      </c>
      <c r="F9814" s="5" t="s">
        <v>524</v>
      </c>
      <c r="G9814" s="5" t="s">
        <v>48328</v>
      </c>
      <c r="H9814" s="6" t="s">
        <v>60479</v>
      </c>
      <c r="K9814" s="5" t="s">
        <v>60475</v>
      </c>
    </row>
    <row r="9815">
      <c r="A9815" s="4">
        <v>45534.48969811342</v>
      </c>
      <c r="B9815" s="5" t="s">
        <v>34</v>
      </c>
      <c r="D9815" s="5" t="s">
        <v>9020</v>
      </c>
      <c r="E9815" s="5" t="s">
        <v>60482</v>
      </c>
      <c r="F9815" s="5" t="s">
        <v>375</v>
      </c>
      <c r="G9815" s="5" t="s">
        <v>60483</v>
      </c>
      <c r="H9815" s="6" t="s">
        <v>60484</v>
      </c>
      <c r="K9815" s="5" t="s">
        <v>60485</v>
      </c>
    </row>
    <row r="9816">
      <c r="A9816" s="4">
        <v>45534.48971708333</v>
      </c>
      <c r="B9816" s="5" t="s">
        <v>34</v>
      </c>
      <c r="D9816" s="5" t="s">
        <v>1206</v>
      </c>
      <c r="E9816" s="5" t="s">
        <v>60488</v>
      </c>
      <c r="F9816" s="5" t="s">
        <v>212</v>
      </c>
      <c r="G9816" s="5" t="s">
        <v>60489</v>
      </c>
      <c r="H9816" s="6" t="s">
        <v>60490</v>
      </c>
      <c r="K9816" s="5" t="s">
        <v>60485</v>
      </c>
    </row>
    <row r="9817">
      <c r="A9817" s="4">
        <v>45534.48977482639</v>
      </c>
      <c r="B9817" s="5" t="s">
        <v>34</v>
      </c>
      <c r="D9817" s="5" t="s">
        <v>3432</v>
      </c>
      <c r="E9817" s="5" t="s">
        <v>60493</v>
      </c>
      <c r="F9817" s="5" t="s">
        <v>375</v>
      </c>
      <c r="G9817" s="5" t="s">
        <v>60494</v>
      </c>
      <c r="H9817" s="6" t="s">
        <v>60495</v>
      </c>
      <c r="K9817" s="5" t="s">
        <v>60496</v>
      </c>
    </row>
    <row r="9818">
      <c r="A9818" s="4">
        <v>45534.490085428246</v>
      </c>
      <c r="B9818" s="5" t="s">
        <v>34</v>
      </c>
      <c r="D9818" s="5" t="s">
        <v>35</v>
      </c>
      <c r="E9818" s="5" t="s">
        <v>60500</v>
      </c>
      <c r="F9818" s="5" t="s">
        <v>375</v>
      </c>
      <c r="G9818" s="5" t="s">
        <v>60501</v>
      </c>
      <c r="H9818" s="6" t="s">
        <v>60502</v>
      </c>
      <c r="K9818" s="5" t="s">
        <v>60503</v>
      </c>
    </row>
    <row r="9819">
      <c r="A9819" s="4">
        <v>45534.49013295139</v>
      </c>
      <c r="B9819" s="5" t="s">
        <v>34</v>
      </c>
      <c r="D9819" s="5" t="s">
        <v>1206</v>
      </c>
      <c r="E9819" s="5" t="s">
        <v>60506</v>
      </c>
      <c r="F9819" s="5" t="s">
        <v>524</v>
      </c>
      <c r="G9819" s="5" t="s">
        <v>60507</v>
      </c>
      <c r="H9819" s="6" t="s">
        <v>60508</v>
      </c>
      <c r="K9819" s="5" t="s">
        <v>60503</v>
      </c>
    </row>
    <row r="9820">
      <c r="A9820" s="4">
        <v>45534.490199907406</v>
      </c>
      <c r="B9820" s="5" t="s">
        <v>34</v>
      </c>
      <c r="D9820" s="5" t="s">
        <v>14424</v>
      </c>
      <c r="E9820" s="5" t="s">
        <v>60512</v>
      </c>
      <c r="F9820" s="5" t="s">
        <v>37</v>
      </c>
      <c r="G9820" s="5" t="s">
        <v>28629</v>
      </c>
      <c r="H9820" s="6" t="s">
        <v>60513</v>
      </c>
      <c r="K9820" s="5" t="s">
        <v>60514</v>
      </c>
    </row>
    <row r="9821">
      <c r="A9821" s="4">
        <v>45534.49037366898</v>
      </c>
      <c r="B9821" s="5" t="s">
        <v>34</v>
      </c>
      <c r="D9821" s="5" t="s">
        <v>1206</v>
      </c>
      <c r="E9821" s="5" t="s">
        <v>60517</v>
      </c>
      <c r="F9821" s="5" t="s">
        <v>328</v>
      </c>
      <c r="G9821" s="5" t="s">
        <v>60518</v>
      </c>
      <c r="H9821" s="6" t="s">
        <v>60519</v>
      </c>
      <c r="K9821" s="5" t="s">
        <v>60520</v>
      </c>
    </row>
    <row r="9822">
      <c r="A9822" s="4">
        <v>45534.49067945602</v>
      </c>
      <c r="B9822" s="5" t="s">
        <v>34</v>
      </c>
      <c r="D9822" s="5" t="s">
        <v>1206</v>
      </c>
      <c r="E9822" s="5" t="s">
        <v>60523</v>
      </c>
      <c r="F9822" s="5" t="s">
        <v>37</v>
      </c>
      <c r="G9822" s="5" t="s">
        <v>60524</v>
      </c>
      <c r="H9822" s="6" t="s">
        <v>60525</v>
      </c>
      <c r="K9822" s="5" t="s">
        <v>60526</v>
      </c>
    </row>
    <row r="9823">
      <c r="A9823" s="4">
        <v>45534.49069777778</v>
      </c>
      <c r="B9823" s="5" t="s">
        <v>34</v>
      </c>
      <c r="D9823" s="5" t="s">
        <v>10297</v>
      </c>
      <c r="E9823" s="5" t="s">
        <v>60529</v>
      </c>
      <c r="F9823" s="5" t="s">
        <v>524</v>
      </c>
      <c r="G9823" s="5" t="s">
        <v>60530</v>
      </c>
      <c r="H9823" s="6" t="s">
        <v>60531</v>
      </c>
      <c r="K9823" s="5" t="s">
        <v>60526</v>
      </c>
    </row>
    <row r="9824">
      <c r="A9824" s="4">
        <v>45534.49071835648</v>
      </c>
      <c r="B9824" s="5" t="s">
        <v>34</v>
      </c>
      <c r="D9824" s="5" t="s">
        <v>1206</v>
      </c>
      <c r="E9824" s="5" t="s">
        <v>60535</v>
      </c>
      <c r="F9824" s="5" t="s">
        <v>37</v>
      </c>
      <c r="G9824" s="5" t="s">
        <v>60536</v>
      </c>
      <c r="H9824" s="6" t="s">
        <v>60537</v>
      </c>
      <c r="K9824" s="5" t="s">
        <v>60538</v>
      </c>
    </row>
    <row r="9825">
      <c r="A9825" s="4">
        <v>45534.49096778935</v>
      </c>
      <c r="B9825" s="5" t="s">
        <v>34</v>
      </c>
      <c r="D9825" s="5" t="s">
        <v>9394</v>
      </c>
      <c r="E9825" s="5" t="s">
        <v>60541</v>
      </c>
      <c r="F9825" s="5" t="s">
        <v>375</v>
      </c>
      <c r="G9825" s="5" t="s">
        <v>60542</v>
      </c>
      <c r="H9825" s="6" t="s">
        <v>60543</v>
      </c>
      <c r="K9825" s="5" t="s">
        <v>60544</v>
      </c>
    </row>
    <row r="9826">
      <c r="A9826" s="4">
        <v>45534.49101603009</v>
      </c>
      <c r="B9826" s="5" t="s">
        <v>19</v>
      </c>
      <c r="C9826" s="5" t="s">
        <v>3301</v>
      </c>
      <c r="E9826" s="5" t="s">
        <v>60547</v>
      </c>
      <c r="F9826" s="5" t="s">
        <v>37</v>
      </c>
      <c r="G9826" s="5" t="s">
        <v>60548</v>
      </c>
      <c r="H9826" s="6" t="s">
        <v>60549</v>
      </c>
      <c r="K9826" s="5" t="s">
        <v>60544</v>
      </c>
    </row>
    <row r="9827">
      <c r="A9827" s="4">
        <v>45534.49115052083</v>
      </c>
      <c r="B9827" s="5" t="s">
        <v>34</v>
      </c>
      <c r="D9827" s="5" t="s">
        <v>1663</v>
      </c>
      <c r="E9827" s="5" t="s">
        <v>60553</v>
      </c>
      <c r="F9827" s="5" t="s">
        <v>375</v>
      </c>
      <c r="G9827" s="5" t="s">
        <v>60554</v>
      </c>
      <c r="H9827" s="6" t="s">
        <v>60555</v>
      </c>
      <c r="K9827" s="5" t="s">
        <v>60556</v>
      </c>
    </row>
    <row r="9828">
      <c r="A9828" s="4">
        <v>45534.491234664354</v>
      </c>
      <c r="B9828" s="5" t="s">
        <v>34</v>
      </c>
      <c r="D9828" s="5" t="s">
        <v>9020</v>
      </c>
      <c r="E9828" s="5" t="s">
        <v>32618</v>
      </c>
      <c r="F9828" s="5" t="s">
        <v>212</v>
      </c>
      <c r="G9828" s="5" t="s">
        <v>32619</v>
      </c>
      <c r="H9828" s="6" t="s">
        <v>60559</v>
      </c>
      <c r="K9828" s="5" t="s">
        <v>60560</v>
      </c>
    </row>
    <row r="9829">
      <c r="A9829" s="4">
        <v>45534.49158371528</v>
      </c>
      <c r="B9829" s="5" t="s">
        <v>34</v>
      </c>
      <c r="D9829" s="5" t="s">
        <v>14313</v>
      </c>
      <c r="E9829" s="5" t="s">
        <v>60563</v>
      </c>
      <c r="F9829" s="5" t="s">
        <v>72</v>
      </c>
      <c r="G9829" s="5" t="s">
        <v>60564</v>
      </c>
      <c r="H9829" s="6" t="s">
        <v>60565</v>
      </c>
      <c r="K9829" s="5" t="s">
        <v>60566</v>
      </c>
    </row>
    <row r="9830">
      <c r="A9830" s="4">
        <v>45534.491713854164</v>
      </c>
      <c r="B9830" s="5" t="s">
        <v>34</v>
      </c>
      <c r="D9830" s="5" t="s">
        <v>1456</v>
      </c>
      <c r="E9830" s="5" t="s">
        <v>60569</v>
      </c>
      <c r="F9830" s="5" t="s">
        <v>72</v>
      </c>
      <c r="G9830" s="5" t="s">
        <v>60570</v>
      </c>
      <c r="H9830" s="6" t="s">
        <v>60571</v>
      </c>
      <c r="K9830" s="5" t="s">
        <v>60566</v>
      </c>
    </row>
    <row r="9831">
      <c r="A9831" s="4">
        <v>45534.49194628472</v>
      </c>
      <c r="B9831" s="5" t="s">
        <v>34</v>
      </c>
      <c r="D9831" s="5" t="s">
        <v>1206</v>
      </c>
      <c r="E9831" s="5" t="s">
        <v>60574</v>
      </c>
      <c r="F9831" s="5" t="s">
        <v>37</v>
      </c>
      <c r="G9831" s="5" t="s">
        <v>60575</v>
      </c>
      <c r="H9831" s="6" t="s">
        <v>60576</v>
      </c>
      <c r="K9831" s="5" t="s">
        <v>60577</v>
      </c>
    </row>
    <row r="9832">
      <c r="A9832" s="4">
        <v>45534.49220490741</v>
      </c>
      <c r="B9832" s="5" t="s">
        <v>34</v>
      </c>
      <c r="D9832" s="5" t="s">
        <v>1206</v>
      </c>
      <c r="E9832" s="5" t="s">
        <v>60581</v>
      </c>
      <c r="F9832" s="5" t="s">
        <v>37</v>
      </c>
      <c r="G9832" s="5" t="s">
        <v>17103</v>
      </c>
      <c r="H9832" s="6" t="s">
        <v>60582</v>
      </c>
      <c r="K9832" s="5" t="s">
        <v>60583</v>
      </c>
    </row>
    <row r="9833">
      <c r="A9833" s="4">
        <v>45534.492241527776</v>
      </c>
      <c r="B9833" s="5" t="s">
        <v>34</v>
      </c>
      <c r="D9833" s="5" t="s">
        <v>701</v>
      </c>
      <c r="E9833" s="5" t="s">
        <v>60586</v>
      </c>
      <c r="F9833" s="5" t="s">
        <v>212</v>
      </c>
      <c r="G9833" s="5" t="s">
        <v>60587</v>
      </c>
      <c r="H9833" s="6" t="s">
        <v>60588</v>
      </c>
      <c r="K9833" s="5" t="s">
        <v>60583</v>
      </c>
    </row>
    <row r="9834">
      <c r="A9834" s="4">
        <v>45534.49229310185</v>
      </c>
      <c r="B9834" s="5" t="s">
        <v>34</v>
      </c>
      <c r="D9834" s="5" t="s">
        <v>1206</v>
      </c>
      <c r="E9834" s="5" t="s">
        <v>60591</v>
      </c>
      <c r="F9834" s="5" t="s">
        <v>37</v>
      </c>
      <c r="G9834" s="5" t="s">
        <v>60592</v>
      </c>
      <c r="H9834" s="6" t="s">
        <v>60593</v>
      </c>
      <c r="K9834" s="5" t="s">
        <v>60594</v>
      </c>
    </row>
    <row r="9835">
      <c r="A9835" s="4">
        <v>45534.49249116898</v>
      </c>
      <c r="B9835" s="5" t="s">
        <v>34</v>
      </c>
      <c r="D9835" s="5" t="s">
        <v>35</v>
      </c>
      <c r="E9835" s="5" t="s">
        <v>60597</v>
      </c>
      <c r="F9835" s="5" t="s">
        <v>375</v>
      </c>
      <c r="G9835" s="5" t="s">
        <v>60598</v>
      </c>
      <c r="H9835" s="6" t="s">
        <v>60599</v>
      </c>
      <c r="K9835" s="5" t="s">
        <v>60594</v>
      </c>
    </row>
    <row r="9836">
      <c r="A9836" s="4">
        <v>45534.4928516088</v>
      </c>
      <c r="B9836" s="5" t="s">
        <v>34</v>
      </c>
      <c r="D9836" s="5" t="s">
        <v>35</v>
      </c>
      <c r="E9836" s="5" t="s">
        <v>60603</v>
      </c>
      <c r="F9836" s="5" t="s">
        <v>72</v>
      </c>
      <c r="G9836" s="5" t="s">
        <v>60604</v>
      </c>
      <c r="H9836" s="6" t="s">
        <v>60605</v>
      </c>
      <c r="K9836" s="5" t="s">
        <v>60594</v>
      </c>
    </row>
    <row r="9837">
      <c r="A9837" s="4">
        <v>45534.49310486111</v>
      </c>
      <c r="B9837" s="5" t="s">
        <v>34</v>
      </c>
      <c r="D9837" s="5" t="s">
        <v>35</v>
      </c>
      <c r="E9837" s="5" t="s">
        <v>60608</v>
      </c>
      <c r="F9837" s="5" t="s">
        <v>37</v>
      </c>
      <c r="G9837" s="5" t="s">
        <v>60609</v>
      </c>
      <c r="H9837" s="6" t="s">
        <v>60610</v>
      </c>
      <c r="K9837" s="5" t="s">
        <v>60594</v>
      </c>
    </row>
    <row r="9838">
      <c r="A9838" s="4">
        <v>45534.493329930556</v>
      </c>
      <c r="B9838" s="5" t="s">
        <v>34</v>
      </c>
      <c r="D9838" s="5" t="s">
        <v>14313</v>
      </c>
      <c r="E9838" s="5" t="s">
        <v>60613</v>
      </c>
      <c r="F9838" s="5" t="s">
        <v>72</v>
      </c>
      <c r="G9838" s="5" t="s">
        <v>60614</v>
      </c>
      <c r="H9838" s="6" t="s">
        <v>60615</v>
      </c>
      <c r="K9838" s="5" t="s">
        <v>60594</v>
      </c>
    </row>
    <row r="9839">
      <c r="A9839" s="4">
        <v>45534.49351946759</v>
      </c>
      <c r="B9839" s="5" t="s">
        <v>19</v>
      </c>
      <c r="C9839" s="5" t="s">
        <v>442</v>
      </c>
      <c r="E9839" s="5" t="s">
        <v>60619</v>
      </c>
      <c r="F9839" s="5" t="s">
        <v>72</v>
      </c>
      <c r="G9839" s="5" t="s">
        <v>60620</v>
      </c>
      <c r="H9839" s="6" t="s">
        <v>60621</v>
      </c>
      <c r="K9839" s="5" t="s">
        <v>60594</v>
      </c>
    </row>
    <row r="9840">
      <c r="A9840" s="4">
        <v>45534.493579490736</v>
      </c>
      <c r="B9840" s="5" t="s">
        <v>34</v>
      </c>
      <c r="D9840" s="5" t="s">
        <v>14313</v>
      </c>
      <c r="E9840" s="5" t="s">
        <v>60625</v>
      </c>
      <c r="F9840" s="5" t="s">
        <v>524</v>
      </c>
      <c r="G9840" s="5" t="s">
        <v>60626</v>
      </c>
      <c r="H9840" s="6" t="s">
        <v>60627</v>
      </c>
      <c r="K9840" s="5" t="s">
        <v>60594</v>
      </c>
    </row>
    <row r="9841">
      <c r="A9841" s="4">
        <v>45534.49384846065</v>
      </c>
      <c r="B9841" s="5" t="s">
        <v>34</v>
      </c>
      <c r="D9841" s="5" t="s">
        <v>14313</v>
      </c>
      <c r="E9841" s="7" t="s">
        <v>60631</v>
      </c>
      <c r="F9841" s="5" t="s">
        <v>715</v>
      </c>
      <c r="G9841" s="5" t="s">
        <v>60632</v>
      </c>
      <c r="H9841" s="6" t="s">
        <v>60633</v>
      </c>
      <c r="K9841" s="5" t="s">
        <v>60594</v>
      </c>
    </row>
    <row r="9842">
      <c r="A9842" s="4">
        <v>45534.49396275463</v>
      </c>
      <c r="B9842" s="5" t="s">
        <v>34</v>
      </c>
      <c r="D9842" s="5" t="s">
        <v>12026</v>
      </c>
      <c r="E9842" s="5" t="s">
        <v>60637</v>
      </c>
      <c r="F9842" s="5" t="s">
        <v>37</v>
      </c>
      <c r="G9842" s="5" t="s">
        <v>60638</v>
      </c>
      <c r="H9842" s="6" t="s">
        <v>60639</v>
      </c>
      <c r="K9842" s="5" t="s">
        <v>60640</v>
      </c>
    </row>
    <row r="9843">
      <c r="A9843" s="4">
        <v>45534.49397826389</v>
      </c>
      <c r="B9843" s="5" t="s">
        <v>34</v>
      </c>
      <c r="D9843" s="5" t="s">
        <v>4775</v>
      </c>
      <c r="E9843" s="5" t="s">
        <v>60644</v>
      </c>
      <c r="F9843" s="5" t="s">
        <v>108</v>
      </c>
      <c r="G9843" s="5" t="s">
        <v>60645</v>
      </c>
      <c r="H9843" s="6" t="s">
        <v>60646</v>
      </c>
      <c r="K9843" s="5" t="s">
        <v>60640</v>
      </c>
    </row>
    <row r="9844">
      <c r="A9844" s="4">
        <v>45534.49411009259</v>
      </c>
      <c r="B9844" s="5" t="s">
        <v>34</v>
      </c>
      <c r="D9844" s="5" t="s">
        <v>1206</v>
      </c>
      <c r="E9844" s="5" t="s">
        <v>22578</v>
      </c>
      <c r="F9844" s="5" t="s">
        <v>212</v>
      </c>
      <c r="G9844" s="5" t="s">
        <v>60650</v>
      </c>
      <c r="H9844" s="6" t="s">
        <v>60651</v>
      </c>
      <c r="K9844" s="5" t="s">
        <v>60640</v>
      </c>
    </row>
    <row r="9845">
      <c r="A9845" s="4">
        <v>45534.494587141206</v>
      </c>
      <c r="B9845" s="5" t="s">
        <v>34</v>
      </c>
      <c r="D9845" s="5" t="s">
        <v>14313</v>
      </c>
      <c r="E9845" s="5" t="s">
        <v>60655</v>
      </c>
      <c r="F9845" s="5" t="s">
        <v>375</v>
      </c>
      <c r="G9845" s="5" t="s">
        <v>60656</v>
      </c>
      <c r="H9845" s="6" t="s">
        <v>60657</v>
      </c>
      <c r="K9845" s="5" t="s">
        <v>60640</v>
      </c>
    </row>
    <row r="9846">
      <c r="A9846" s="4">
        <v>45534.49464824074</v>
      </c>
      <c r="B9846" s="5" t="s">
        <v>34</v>
      </c>
      <c r="D9846" s="5" t="s">
        <v>14313</v>
      </c>
      <c r="E9846" s="5" t="s">
        <v>60661</v>
      </c>
      <c r="F9846" s="5" t="s">
        <v>375</v>
      </c>
      <c r="G9846" s="5" t="s">
        <v>60662</v>
      </c>
      <c r="H9846" s="6" t="s">
        <v>60663</v>
      </c>
      <c r="K9846" s="5" t="s">
        <v>60640</v>
      </c>
    </row>
    <row r="9847">
      <c r="A9847" s="4">
        <v>45534.494877523146</v>
      </c>
      <c r="B9847" s="5" t="s">
        <v>34</v>
      </c>
      <c r="D9847" s="5" t="s">
        <v>35</v>
      </c>
      <c r="E9847" s="5" t="s">
        <v>60667</v>
      </c>
      <c r="F9847" s="5" t="s">
        <v>37</v>
      </c>
      <c r="G9847" s="5" t="s">
        <v>60668</v>
      </c>
      <c r="H9847" s="6" t="s">
        <v>60669</v>
      </c>
      <c r="K9847" s="5" t="s">
        <v>60640</v>
      </c>
    </row>
    <row r="9848">
      <c r="A9848" s="4">
        <v>45534.49496034722</v>
      </c>
      <c r="B9848" s="5" t="s">
        <v>34</v>
      </c>
      <c r="D9848" s="5" t="s">
        <v>35</v>
      </c>
      <c r="E9848" s="5" t="s">
        <v>60673</v>
      </c>
      <c r="F9848" s="5" t="s">
        <v>37</v>
      </c>
      <c r="G9848" s="5" t="s">
        <v>60674</v>
      </c>
      <c r="H9848" s="6" t="s">
        <v>60675</v>
      </c>
      <c r="K9848" s="5" t="s">
        <v>60640</v>
      </c>
    </row>
    <row r="9849">
      <c r="A9849" s="4">
        <v>45534.49507887731</v>
      </c>
      <c r="B9849" s="5" t="s">
        <v>34</v>
      </c>
      <c r="D9849" s="5" t="s">
        <v>35</v>
      </c>
      <c r="E9849" s="5" t="s">
        <v>60679</v>
      </c>
      <c r="F9849" s="5" t="s">
        <v>22</v>
      </c>
      <c r="G9849" s="5" t="s">
        <v>60680</v>
      </c>
      <c r="H9849" s="6" t="s">
        <v>60681</v>
      </c>
      <c r="K9849" s="5" t="s">
        <v>60682</v>
      </c>
    </row>
    <row r="9850">
      <c r="A9850" s="4">
        <v>45534.49515290509</v>
      </c>
      <c r="B9850" s="5" t="s">
        <v>34</v>
      </c>
      <c r="D9850" s="5" t="s">
        <v>14313</v>
      </c>
      <c r="E9850" s="5" t="s">
        <v>60686</v>
      </c>
      <c r="F9850" s="5" t="s">
        <v>524</v>
      </c>
      <c r="G9850" s="5" t="s">
        <v>60687</v>
      </c>
      <c r="H9850" s="6" t="s">
        <v>60688</v>
      </c>
      <c r="K9850" s="5" t="s">
        <v>60682</v>
      </c>
    </row>
    <row r="9851">
      <c r="A9851" s="4">
        <v>45534.4952216088</v>
      </c>
      <c r="B9851" s="5" t="s">
        <v>19</v>
      </c>
      <c r="C9851" s="5" t="s">
        <v>292</v>
      </c>
      <c r="E9851" s="5" t="s">
        <v>60692</v>
      </c>
      <c r="F9851" s="5" t="s">
        <v>524</v>
      </c>
      <c r="G9851" s="5" t="s">
        <v>60693</v>
      </c>
      <c r="H9851" s="6" t="s">
        <v>60694</v>
      </c>
      <c r="K9851" s="5" t="s">
        <v>60682</v>
      </c>
    </row>
    <row r="9852">
      <c r="A9852" s="4">
        <v>45534.4952268287</v>
      </c>
      <c r="B9852" s="5" t="s">
        <v>34</v>
      </c>
      <c r="D9852" s="5" t="s">
        <v>35</v>
      </c>
      <c r="E9852" s="5" t="s">
        <v>60698</v>
      </c>
      <c r="F9852" s="5" t="s">
        <v>37</v>
      </c>
      <c r="G9852" s="5" t="s">
        <v>60699</v>
      </c>
      <c r="H9852" s="6" t="s">
        <v>60700</v>
      </c>
      <c r="K9852" s="5" t="s">
        <v>60682</v>
      </c>
    </row>
    <row r="9853">
      <c r="A9853" s="4">
        <v>45534.495438819446</v>
      </c>
      <c r="B9853" s="5" t="s">
        <v>34</v>
      </c>
      <c r="D9853" s="5" t="s">
        <v>10297</v>
      </c>
      <c r="E9853" s="5" t="s">
        <v>60704</v>
      </c>
      <c r="F9853" s="5" t="s">
        <v>715</v>
      </c>
      <c r="G9853" s="5" t="s">
        <v>60705</v>
      </c>
      <c r="H9853" s="6" t="s">
        <v>60706</v>
      </c>
      <c r="K9853" s="5" t="s">
        <v>60682</v>
      </c>
    </row>
    <row r="9854">
      <c r="A9854" s="4">
        <v>45534.495652199075</v>
      </c>
      <c r="B9854" s="5" t="s">
        <v>34</v>
      </c>
      <c r="D9854" s="5" t="s">
        <v>35</v>
      </c>
      <c r="E9854" s="5" t="s">
        <v>60597</v>
      </c>
      <c r="F9854" s="5" t="s">
        <v>375</v>
      </c>
      <c r="G9854" s="5" t="s">
        <v>60710</v>
      </c>
      <c r="H9854" s="6" t="s">
        <v>60711</v>
      </c>
      <c r="K9854" s="5" t="s">
        <v>60712</v>
      </c>
    </row>
    <row r="9855">
      <c r="A9855" s="4">
        <v>45534.49573833334</v>
      </c>
      <c r="B9855" s="5" t="s">
        <v>34</v>
      </c>
      <c r="D9855" s="5" t="s">
        <v>1206</v>
      </c>
      <c r="E9855" s="5" t="s">
        <v>60716</v>
      </c>
      <c r="F9855" s="5" t="s">
        <v>37</v>
      </c>
      <c r="G9855" s="5" t="s">
        <v>60717</v>
      </c>
      <c r="H9855" s="6" t="s">
        <v>60718</v>
      </c>
      <c r="K9855" s="5" t="s">
        <v>60719</v>
      </c>
    </row>
    <row r="9856">
      <c r="A9856" s="4">
        <v>45534.49602814815</v>
      </c>
      <c r="B9856" s="5" t="s">
        <v>34</v>
      </c>
      <c r="D9856" s="5" t="s">
        <v>6232</v>
      </c>
      <c r="E9856" s="5" t="s">
        <v>60723</v>
      </c>
      <c r="F9856" s="5" t="s">
        <v>72</v>
      </c>
      <c r="G9856" s="5" t="s">
        <v>60724</v>
      </c>
      <c r="H9856" s="6" t="s">
        <v>60725</v>
      </c>
      <c r="K9856" s="5" t="s">
        <v>60726</v>
      </c>
    </row>
    <row r="9857">
      <c r="A9857" s="4">
        <v>45534.49608561343</v>
      </c>
      <c r="B9857" s="5" t="s">
        <v>34</v>
      </c>
      <c r="D9857" s="5" t="s">
        <v>4775</v>
      </c>
      <c r="E9857" s="5" t="s">
        <v>60730</v>
      </c>
      <c r="F9857" s="5" t="s">
        <v>199</v>
      </c>
      <c r="G9857" s="5" t="s">
        <v>60731</v>
      </c>
      <c r="H9857" s="6" t="s">
        <v>60732</v>
      </c>
      <c r="K9857" s="5" t="s">
        <v>60733</v>
      </c>
    </row>
    <row r="9858">
      <c r="A9858" s="4">
        <v>45534.49653289352</v>
      </c>
      <c r="B9858" s="5" t="s">
        <v>34</v>
      </c>
      <c r="D9858" s="5" t="s">
        <v>14313</v>
      </c>
      <c r="E9858" s="5" t="s">
        <v>60737</v>
      </c>
      <c r="F9858" s="5" t="s">
        <v>212</v>
      </c>
      <c r="G9858" s="5" t="s">
        <v>60738</v>
      </c>
      <c r="H9858" s="6" t="s">
        <v>60739</v>
      </c>
      <c r="K9858" s="5" t="s">
        <v>60740</v>
      </c>
    </row>
    <row r="9859">
      <c r="A9859" s="4">
        <v>45534.496578680555</v>
      </c>
      <c r="B9859" s="5" t="s">
        <v>34</v>
      </c>
      <c r="D9859" s="5" t="s">
        <v>604</v>
      </c>
      <c r="E9859" s="5" t="s">
        <v>60744</v>
      </c>
      <c r="F9859" s="5" t="s">
        <v>212</v>
      </c>
      <c r="G9859" s="5" t="s">
        <v>60745</v>
      </c>
      <c r="H9859" s="6" t="s">
        <v>60746</v>
      </c>
      <c r="K9859" s="5" t="s">
        <v>60747</v>
      </c>
    </row>
    <row r="9860">
      <c r="A9860" s="4">
        <v>45534.49717880787</v>
      </c>
      <c r="B9860" s="5" t="s">
        <v>34</v>
      </c>
      <c r="D9860" s="5" t="s">
        <v>1206</v>
      </c>
      <c r="E9860" s="5" t="s">
        <v>60751</v>
      </c>
      <c r="F9860" s="5" t="s">
        <v>37</v>
      </c>
      <c r="G9860" s="5" t="s">
        <v>60752</v>
      </c>
      <c r="H9860" s="6" t="s">
        <v>60753</v>
      </c>
      <c r="K9860" s="5" t="s">
        <v>60754</v>
      </c>
    </row>
    <row r="9861">
      <c r="A9861" s="4">
        <v>45534.49740211805</v>
      </c>
      <c r="B9861" s="5" t="s">
        <v>34</v>
      </c>
      <c r="D9861" s="5" t="s">
        <v>4775</v>
      </c>
      <c r="E9861" s="5" t="s">
        <v>37433</v>
      </c>
      <c r="F9861" s="5" t="s">
        <v>5859</v>
      </c>
      <c r="G9861" s="5" t="s">
        <v>60758</v>
      </c>
      <c r="H9861" s="6" t="s">
        <v>60759</v>
      </c>
      <c r="K9861" s="5" t="s">
        <v>60754</v>
      </c>
    </row>
    <row r="9862">
      <c r="A9862" s="4">
        <v>45534.49741106482</v>
      </c>
      <c r="B9862" s="5" t="s">
        <v>34</v>
      </c>
      <c r="D9862" s="5" t="s">
        <v>14313</v>
      </c>
      <c r="E9862" s="5" t="s">
        <v>60763</v>
      </c>
      <c r="F9862" s="5" t="s">
        <v>524</v>
      </c>
      <c r="G9862" s="5" t="s">
        <v>60764</v>
      </c>
      <c r="H9862" s="6" t="s">
        <v>60765</v>
      </c>
      <c r="K9862" s="5" t="s">
        <v>60754</v>
      </c>
    </row>
    <row r="9863">
      <c r="A9863" s="4">
        <v>45534.49744854167</v>
      </c>
      <c r="B9863" s="5" t="s">
        <v>34</v>
      </c>
      <c r="D9863" s="5" t="s">
        <v>14313</v>
      </c>
      <c r="E9863" s="5" t="s">
        <v>60769</v>
      </c>
      <c r="F9863" s="5" t="s">
        <v>72</v>
      </c>
      <c r="G9863" s="5" t="s">
        <v>60770</v>
      </c>
      <c r="H9863" s="6" t="s">
        <v>60771</v>
      </c>
      <c r="K9863" s="5" t="s">
        <v>60772</v>
      </c>
    </row>
    <row r="9864">
      <c r="A9864" s="4">
        <v>45534.497546886574</v>
      </c>
      <c r="B9864" s="5" t="s">
        <v>34</v>
      </c>
      <c r="D9864" s="5" t="s">
        <v>4775</v>
      </c>
      <c r="E9864" s="5" t="s">
        <v>60776</v>
      </c>
      <c r="F9864" s="5" t="s">
        <v>524</v>
      </c>
      <c r="G9864" s="5" t="s">
        <v>60777</v>
      </c>
      <c r="H9864" s="6" t="s">
        <v>60778</v>
      </c>
      <c r="K9864" s="5" t="s">
        <v>60779</v>
      </c>
    </row>
    <row r="9865">
      <c r="A9865" s="4">
        <v>45534.49760993056</v>
      </c>
      <c r="B9865" s="5" t="s">
        <v>34</v>
      </c>
      <c r="D9865" s="5" t="s">
        <v>15401</v>
      </c>
      <c r="E9865" s="5" t="s">
        <v>60783</v>
      </c>
      <c r="F9865" s="5" t="s">
        <v>37</v>
      </c>
      <c r="G9865" s="5" t="s">
        <v>60784</v>
      </c>
      <c r="H9865" s="6" t="s">
        <v>60785</v>
      </c>
      <c r="K9865" s="5" t="s">
        <v>60786</v>
      </c>
    </row>
    <row r="9866">
      <c r="A9866" s="4">
        <v>45534.49792732639</v>
      </c>
      <c r="B9866" s="5" t="s">
        <v>34</v>
      </c>
      <c r="D9866" s="5" t="s">
        <v>9020</v>
      </c>
      <c r="E9866" s="5" t="s">
        <v>60790</v>
      </c>
      <c r="F9866" s="5" t="s">
        <v>199</v>
      </c>
      <c r="G9866" s="5" t="s">
        <v>60791</v>
      </c>
      <c r="H9866" s="6" t="s">
        <v>60792</v>
      </c>
      <c r="K9866" s="5" t="s">
        <v>60793</v>
      </c>
    </row>
    <row r="9867">
      <c r="A9867" s="4">
        <v>45534.49808517361</v>
      </c>
      <c r="B9867" s="5" t="s">
        <v>19</v>
      </c>
      <c r="C9867" s="5" t="s">
        <v>292</v>
      </c>
      <c r="E9867" s="5" t="s">
        <v>60797</v>
      </c>
      <c r="F9867" s="5" t="s">
        <v>212</v>
      </c>
      <c r="G9867" s="5" t="s">
        <v>60798</v>
      </c>
      <c r="H9867" s="6" t="s">
        <v>60799</v>
      </c>
      <c r="K9867" s="5" t="s">
        <v>60800</v>
      </c>
    </row>
    <row r="9868">
      <c r="A9868" s="4">
        <v>45534.49809525463</v>
      </c>
      <c r="B9868" s="5" t="s">
        <v>34</v>
      </c>
      <c r="D9868" s="5" t="s">
        <v>14313</v>
      </c>
      <c r="E9868" s="5" t="s">
        <v>60804</v>
      </c>
      <c r="F9868" s="5" t="s">
        <v>37</v>
      </c>
      <c r="G9868" s="5" t="s">
        <v>60805</v>
      </c>
      <c r="H9868" s="6" t="s">
        <v>60806</v>
      </c>
      <c r="K9868" s="5" t="s">
        <v>60800</v>
      </c>
    </row>
    <row r="9869">
      <c r="A9869" s="4">
        <v>45534.498231817124</v>
      </c>
      <c r="B9869" s="5" t="s">
        <v>19</v>
      </c>
      <c r="C9869" s="5" t="s">
        <v>292</v>
      </c>
      <c r="E9869" s="5" t="s">
        <v>60810</v>
      </c>
      <c r="F9869" s="5" t="s">
        <v>37</v>
      </c>
      <c r="G9869" s="5" t="s">
        <v>60811</v>
      </c>
      <c r="H9869" s="6" t="s">
        <v>60812</v>
      </c>
      <c r="K9869" s="5" t="s">
        <v>60800</v>
      </c>
    </row>
    <row r="9870">
      <c r="A9870" s="4">
        <v>45534.498316516205</v>
      </c>
      <c r="B9870" s="5" t="s">
        <v>34</v>
      </c>
      <c r="D9870" s="5" t="s">
        <v>12978</v>
      </c>
      <c r="E9870" s="5" t="s">
        <v>60816</v>
      </c>
      <c r="F9870" s="5" t="s">
        <v>108</v>
      </c>
      <c r="G9870" s="5" t="s">
        <v>60817</v>
      </c>
      <c r="H9870" s="6" t="s">
        <v>60818</v>
      </c>
      <c r="K9870" s="5" t="s">
        <v>60800</v>
      </c>
    </row>
    <row r="9871">
      <c r="A9871" s="4">
        <v>45534.49845054398</v>
      </c>
      <c r="B9871" s="5" t="s">
        <v>34</v>
      </c>
      <c r="D9871" s="5" t="s">
        <v>9020</v>
      </c>
      <c r="E9871" s="5" t="s">
        <v>15428</v>
      </c>
      <c r="F9871" s="5" t="s">
        <v>212</v>
      </c>
      <c r="G9871" s="5" t="s">
        <v>60822</v>
      </c>
      <c r="H9871" s="6" t="s">
        <v>60823</v>
      </c>
      <c r="K9871" s="5" t="s">
        <v>60824</v>
      </c>
    </row>
    <row r="9872">
      <c r="A9872" s="4">
        <v>45534.498619861115</v>
      </c>
      <c r="B9872" s="5" t="s">
        <v>34</v>
      </c>
      <c r="D9872" s="5" t="s">
        <v>1206</v>
      </c>
      <c r="E9872" s="5" t="s">
        <v>60828</v>
      </c>
      <c r="F9872" s="5" t="s">
        <v>72</v>
      </c>
      <c r="G9872" s="5" t="s">
        <v>60829</v>
      </c>
      <c r="H9872" s="6" t="s">
        <v>60830</v>
      </c>
      <c r="K9872" s="5" t="s">
        <v>60831</v>
      </c>
    </row>
    <row r="9873">
      <c r="A9873" s="4">
        <v>45534.49930239584</v>
      </c>
      <c r="B9873" s="5" t="s">
        <v>19</v>
      </c>
      <c r="C9873" s="5" t="s">
        <v>1606</v>
      </c>
      <c r="E9873" s="5" t="s">
        <v>60835</v>
      </c>
      <c r="F9873" s="5" t="s">
        <v>212</v>
      </c>
      <c r="G9873" s="5" t="s">
        <v>60836</v>
      </c>
      <c r="H9873" s="6" t="s">
        <v>60837</v>
      </c>
      <c r="K9873" s="5" t="s">
        <v>60838</v>
      </c>
    </row>
    <row r="9874">
      <c r="A9874" s="4">
        <v>45534.49942201389</v>
      </c>
      <c r="B9874" s="5" t="s">
        <v>34</v>
      </c>
      <c r="D9874" s="5" t="s">
        <v>9020</v>
      </c>
      <c r="E9874" s="5" t="s">
        <v>60842</v>
      </c>
      <c r="F9874" s="5" t="s">
        <v>108</v>
      </c>
      <c r="G9874" s="5" t="s">
        <v>60843</v>
      </c>
      <c r="H9874" s="6" t="s">
        <v>60844</v>
      </c>
      <c r="K9874" s="5" t="s">
        <v>60845</v>
      </c>
    </row>
    <row r="9875">
      <c r="A9875" s="4">
        <v>45534.49944</v>
      </c>
      <c r="B9875" s="5" t="s">
        <v>34</v>
      </c>
      <c r="D9875" s="5" t="s">
        <v>604</v>
      </c>
      <c r="E9875" s="5" t="s">
        <v>60849</v>
      </c>
      <c r="F9875" s="5" t="s">
        <v>72</v>
      </c>
      <c r="G9875" s="5" t="s">
        <v>60850</v>
      </c>
      <c r="H9875" s="6" t="s">
        <v>60851</v>
      </c>
      <c r="K9875" s="5" t="s">
        <v>60845</v>
      </c>
    </row>
    <row r="9876">
      <c r="A9876" s="4">
        <v>45534.49953122685</v>
      </c>
      <c r="B9876" s="5" t="s">
        <v>34</v>
      </c>
      <c r="D9876" s="5" t="s">
        <v>10297</v>
      </c>
      <c r="E9876" s="5" t="s">
        <v>60855</v>
      </c>
      <c r="F9876" s="5" t="s">
        <v>108</v>
      </c>
      <c r="G9876" s="5" t="s">
        <v>60856</v>
      </c>
      <c r="H9876" s="6" t="s">
        <v>60857</v>
      </c>
      <c r="K9876" s="5" t="s">
        <v>60858</v>
      </c>
    </row>
    <row r="9877">
      <c r="A9877" s="4">
        <v>45534.4997334375</v>
      </c>
      <c r="B9877" s="5" t="s">
        <v>34</v>
      </c>
      <c r="D9877" s="5" t="s">
        <v>9020</v>
      </c>
      <c r="E9877" s="5" t="s">
        <v>60862</v>
      </c>
      <c r="F9877" s="5" t="s">
        <v>212</v>
      </c>
      <c r="G9877" s="5" t="s">
        <v>60863</v>
      </c>
      <c r="H9877" s="6" t="s">
        <v>60864</v>
      </c>
      <c r="K9877" s="5" t="s">
        <v>60865</v>
      </c>
    </row>
    <row r="9878">
      <c r="A9878" s="4">
        <v>45534.499736944446</v>
      </c>
      <c r="B9878" s="5" t="s">
        <v>34</v>
      </c>
      <c r="D9878" s="5" t="s">
        <v>14313</v>
      </c>
      <c r="E9878" s="5" t="s">
        <v>60869</v>
      </c>
      <c r="F9878" s="5" t="s">
        <v>22</v>
      </c>
      <c r="G9878" s="5" t="s">
        <v>60870</v>
      </c>
      <c r="H9878" s="6" t="s">
        <v>60871</v>
      </c>
      <c r="K9878" s="5" t="s">
        <v>60865</v>
      </c>
    </row>
    <row r="9879">
      <c r="A9879" s="4">
        <v>45534.49981130787</v>
      </c>
      <c r="B9879" s="5" t="s">
        <v>34</v>
      </c>
      <c r="D9879" s="5" t="s">
        <v>1206</v>
      </c>
      <c r="E9879" s="5" t="s">
        <v>60875</v>
      </c>
      <c r="F9879" s="5" t="s">
        <v>120</v>
      </c>
      <c r="G9879" s="5" t="s">
        <v>60876</v>
      </c>
      <c r="H9879" s="6" t="s">
        <v>60877</v>
      </c>
      <c r="K9879" s="5" t="s">
        <v>60878</v>
      </c>
    </row>
    <row r="9880">
      <c r="A9880" s="4">
        <v>45534.49992083333</v>
      </c>
      <c r="B9880" s="5" t="s">
        <v>34</v>
      </c>
      <c r="D9880" s="5" t="s">
        <v>35</v>
      </c>
      <c r="E9880" s="5" t="s">
        <v>60882</v>
      </c>
      <c r="F9880" s="5" t="s">
        <v>524</v>
      </c>
      <c r="G9880" s="5" t="s">
        <v>60883</v>
      </c>
      <c r="H9880" s="6" t="s">
        <v>60884</v>
      </c>
      <c r="K9880" s="5" t="s">
        <v>60885</v>
      </c>
    </row>
    <row r="9881">
      <c r="A9881" s="4">
        <v>45534.50043630787</v>
      </c>
      <c r="B9881" s="5" t="s">
        <v>34</v>
      </c>
      <c r="D9881" s="5" t="s">
        <v>14313</v>
      </c>
      <c r="E9881" s="5" t="s">
        <v>60889</v>
      </c>
      <c r="F9881" s="5" t="s">
        <v>108</v>
      </c>
      <c r="G9881" s="5" t="s">
        <v>60890</v>
      </c>
      <c r="H9881" s="6" t="s">
        <v>60891</v>
      </c>
      <c r="K9881" s="5" t="s">
        <v>60892</v>
      </c>
    </row>
    <row r="9882">
      <c r="A9882" s="4">
        <v>45534.500750983796</v>
      </c>
      <c r="B9882" s="5" t="s">
        <v>34</v>
      </c>
      <c r="D9882" s="5" t="s">
        <v>2903</v>
      </c>
      <c r="E9882" s="5" t="s">
        <v>60896</v>
      </c>
      <c r="F9882" s="5" t="s">
        <v>375</v>
      </c>
      <c r="G9882" s="5" t="s">
        <v>60897</v>
      </c>
      <c r="H9882" s="6" t="s">
        <v>60898</v>
      </c>
      <c r="K9882" s="5" t="s">
        <v>60899</v>
      </c>
    </row>
    <row r="9883">
      <c r="A9883" s="4">
        <v>45534.50093909723</v>
      </c>
      <c r="B9883" s="5" t="s">
        <v>34</v>
      </c>
      <c r="D9883" s="5" t="s">
        <v>9394</v>
      </c>
      <c r="E9883" s="5" t="s">
        <v>60903</v>
      </c>
      <c r="F9883" s="5" t="s">
        <v>72</v>
      </c>
      <c r="G9883" s="5" t="s">
        <v>60904</v>
      </c>
      <c r="H9883" s="6" t="s">
        <v>60905</v>
      </c>
      <c r="K9883" s="5" t="s">
        <v>60906</v>
      </c>
    </row>
    <row r="9884">
      <c r="A9884" s="4">
        <v>45534.50114980324</v>
      </c>
      <c r="B9884" s="5" t="s">
        <v>34</v>
      </c>
      <c r="D9884" s="5" t="s">
        <v>701</v>
      </c>
      <c r="E9884" s="5" t="s">
        <v>60910</v>
      </c>
      <c r="F9884" s="5" t="s">
        <v>108</v>
      </c>
      <c r="G9884" s="5" t="s">
        <v>60911</v>
      </c>
      <c r="H9884" s="6" t="s">
        <v>60912</v>
      </c>
      <c r="K9884" s="5" t="s">
        <v>60913</v>
      </c>
    </row>
    <row r="9885">
      <c r="A9885" s="4">
        <v>45534.50121996528</v>
      </c>
      <c r="B9885" s="5" t="s">
        <v>34</v>
      </c>
      <c r="D9885" s="5" t="s">
        <v>701</v>
      </c>
      <c r="E9885" s="5" t="s">
        <v>60917</v>
      </c>
      <c r="F9885" s="5" t="s">
        <v>375</v>
      </c>
      <c r="G9885" s="5" t="s">
        <v>60918</v>
      </c>
      <c r="H9885" s="6" t="s">
        <v>60919</v>
      </c>
      <c r="K9885" s="5" t="s">
        <v>60920</v>
      </c>
    </row>
    <row r="9886">
      <c r="A9886" s="4">
        <v>45534.50140758102</v>
      </c>
      <c r="B9886" s="5" t="s">
        <v>34</v>
      </c>
      <c r="D9886" s="5" t="s">
        <v>14313</v>
      </c>
      <c r="E9886" s="5" t="s">
        <v>60924</v>
      </c>
      <c r="F9886" s="5" t="s">
        <v>37</v>
      </c>
      <c r="G9886" s="5" t="s">
        <v>60925</v>
      </c>
      <c r="H9886" s="6" t="s">
        <v>60926</v>
      </c>
      <c r="K9886" s="5" t="s">
        <v>60927</v>
      </c>
    </row>
    <row r="9887">
      <c r="A9887" s="4">
        <v>45534.50170908565</v>
      </c>
      <c r="B9887" s="5" t="s">
        <v>34</v>
      </c>
      <c r="D9887" s="5" t="s">
        <v>580</v>
      </c>
      <c r="E9887" s="5" t="s">
        <v>60931</v>
      </c>
      <c r="F9887" s="5" t="s">
        <v>37</v>
      </c>
      <c r="G9887" s="5" t="s">
        <v>60932</v>
      </c>
      <c r="H9887" s="6" t="s">
        <v>60933</v>
      </c>
      <c r="K9887" s="5" t="s">
        <v>60934</v>
      </c>
    </row>
    <row r="9888">
      <c r="A9888" s="4">
        <v>45534.502968506946</v>
      </c>
      <c r="B9888" s="5" t="s">
        <v>19</v>
      </c>
      <c r="C9888" s="5" t="s">
        <v>292</v>
      </c>
      <c r="E9888" s="5" t="s">
        <v>36419</v>
      </c>
      <c r="F9888" s="5" t="s">
        <v>37</v>
      </c>
      <c r="G9888" s="5" t="s">
        <v>60938</v>
      </c>
      <c r="H9888" s="6" t="s">
        <v>60939</v>
      </c>
      <c r="K9888" s="5" t="s">
        <v>60940</v>
      </c>
    </row>
    <row r="9889">
      <c r="A9889" s="4">
        <v>45534.50298104167</v>
      </c>
      <c r="B9889" s="5" t="s">
        <v>34</v>
      </c>
      <c r="D9889" s="5" t="s">
        <v>2903</v>
      </c>
      <c r="E9889" s="5" t="s">
        <v>60944</v>
      </c>
      <c r="F9889" s="5" t="s">
        <v>22</v>
      </c>
      <c r="G9889" s="5" t="s">
        <v>60945</v>
      </c>
      <c r="H9889" s="6" t="s">
        <v>60946</v>
      </c>
      <c r="K9889" s="5" t="s">
        <v>60940</v>
      </c>
    </row>
    <row r="9890">
      <c r="A9890" s="4">
        <v>45534.50298689815</v>
      </c>
      <c r="B9890" s="5" t="s">
        <v>34</v>
      </c>
      <c r="D9890" s="5" t="s">
        <v>35</v>
      </c>
      <c r="E9890" s="5" t="s">
        <v>60950</v>
      </c>
      <c r="F9890" s="5" t="s">
        <v>212</v>
      </c>
      <c r="G9890" s="5" t="s">
        <v>60951</v>
      </c>
      <c r="H9890" s="6" t="s">
        <v>60952</v>
      </c>
      <c r="K9890" s="5" t="s">
        <v>60940</v>
      </c>
    </row>
    <row r="9891">
      <c r="A9891" s="4">
        <v>45534.50307414352</v>
      </c>
      <c r="B9891" s="5" t="s">
        <v>34</v>
      </c>
      <c r="D9891" s="5" t="s">
        <v>4775</v>
      </c>
      <c r="E9891" s="5" t="s">
        <v>60956</v>
      </c>
      <c r="F9891" s="5" t="s">
        <v>199</v>
      </c>
      <c r="G9891" s="5" t="s">
        <v>60957</v>
      </c>
      <c r="H9891" s="6" t="s">
        <v>60958</v>
      </c>
      <c r="K9891" s="5" t="s">
        <v>60959</v>
      </c>
    </row>
    <row r="9892">
      <c r="A9892" s="4">
        <v>45534.50382358796</v>
      </c>
      <c r="B9892" s="5" t="s">
        <v>34</v>
      </c>
      <c r="D9892" s="5" t="s">
        <v>35</v>
      </c>
      <c r="E9892" s="5" t="s">
        <v>60963</v>
      </c>
      <c r="F9892" s="5" t="s">
        <v>37</v>
      </c>
      <c r="G9892" s="5" t="s">
        <v>60964</v>
      </c>
      <c r="H9892" s="6" t="s">
        <v>60965</v>
      </c>
      <c r="K9892" s="5" t="s">
        <v>60966</v>
      </c>
    </row>
    <row r="9893">
      <c r="A9893" s="4">
        <v>45534.50406160879</v>
      </c>
      <c r="B9893" s="5" t="s">
        <v>34</v>
      </c>
      <c r="D9893" s="5" t="s">
        <v>9020</v>
      </c>
      <c r="E9893" s="5" t="s">
        <v>60970</v>
      </c>
      <c r="F9893" s="5" t="s">
        <v>199</v>
      </c>
      <c r="G9893" s="5" t="s">
        <v>60971</v>
      </c>
      <c r="H9893" s="6" t="s">
        <v>60972</v>
      </c>
      <c r="K9893" s="5" t="s">
        <v>60973</v>
      </c>
    </row>
    <row r="9894">
      <c r="A9894" s="4">
        <v>45534.50437196759</v>
      </c>
      <c r="B9894" s="5" t="s">
        <v>34</v>
      </c>
      <c r="D9894" s="5" t="s">
        <v>12010</v>
      </c>
      <c r="E9894" s="5" t="s">
        <v>60977</v>
      </c>
      <c r="F9894" s="5" t="s">
        <v>72</v>
      </c>
      <c r="G9894" s="5" t="s">
        <v>60978</v>
      </c>
      <c r="H9894" s="6" t="s">
        <v>60979</v>
      </c>
      <c r="K9894" s="5" t="s">
        <v>60980</v>
      </c>
    </row>
    <row r="9895">
      <c r="A9895" s="4">
        <v>45534.50477697917</v>
      </c>
      <c r="B9895" s="5" t="s">
        <v>19</v>
      </c>
      <c r="C9895" s="5" t="s">
        <v>24076</v>
      </c>
      <c r="E9895" s="5" t="s">
        <v>60984</v>
      </c>
      <c r="F9895" s="5" t="s">
        <v>108</v>
      </c>
      <c r="G9895" s="5" t="s">
        <v>60985</v>
      </c>
      <c r="H9895" s="6" t="s">
        <v>60986</v>
      </c>
      <c r="K9895" s="5" t="s">
        <v>60987</v>
      </c>
    </row>
    <row r="9896">
      <c r="A9896" s="4">
        <v>45534.50491715278</v>
      </c>
      <c r="B9896" s="5" t="s">
        <v>34</v>
      </c>
      <c r="D9896" s="5" t="s">
        <v>15401</v>
      </c>
      <c r="E9896" s="5" t="s">
        <v>60991</v>
      </c>
      <c r="F9896" s="5" t="s">
        <v>108</v>
      </c>
      <c r="G9896" s="5" t="s">
        <v>60992</v>
      </c>
      <c r="H9896" s="6" t="s">
        <v>60993</v>
      </c>
      <c r="K9896" s="5" t="s">
        <v>60994</v>
      </c>
    </row>
    <row r="9897">
      <c r="A9897" s="4">
        <v>45534.50513239583</v>
      </c>
      <c r="B9897" s="5" t="s">
        <v>34</v>
      </c>
      <c r="D9897" s="5" t="s">
        <v>14313</v>
      </c>
      <c r="E9897" s="5" t="s">
        <v>60998</v>
      </c>
      <c r="F9897" s="5" t="s">
        <v>212</v>
      </c>
      <c r="G9897" s="5" t="s">
        <v>60999</v>
      </c>
      <c r="H9897" s="6" t="s">
        <v>61000</v>
      </c>
      <c r="K9897" s="5" t="s">
        <v>61001</v>
      </c>
    </row>
    <row r="9898">
      <c r="A9898" s="4">
        <v>45534.50562202546</v>
      </c>
      <c r="B9898" s="5" t="s">
        <v>34</v>
      </c>
      <c r="D9898" s="5" t="s">
        <v>9020</v>
      </c>
      <c r="E9898" s="5" t="s">
        <v>61005</v>
      </c>
      <c r="F9898" s="5" t="s">
        <v>212</v>
      </c>
      <c r="G9898" s="5" t="s">
        <v>61006</v>
      </c>
      <c r="H9898" s="6" t="s">
        <v>61007</v>
      </c>
      <c r="K9898" s="5" t="s">
        <v>61001</v>
      </c>
    </row>
    <row r="9899">
      <c r="A9899" s="4">
        <v>45534.505782106484</v>
      </c>
      <c r="B9899" s="5" t="s">
        <v>34</v>
      </c>
      <c r="D9899" s="5" t="s">
        <v>975</v>
      </c>
      <c r="E9899" s="5" t="s">
        <v>61011</v>
      </c>
      <c r="F9899" s="5" t="s">
        <v>37</v>
      </c>
      <c r="G9899" s="5" t="s">
        <v>61012</v>
      </c>
      <c r="H9899" s="6" t="s">
        <v>61013</v>
      </c>
      <c r="K9899" s="5" t="s">
        <v>61014</v>
      </c>
    </row>
    <row r="9900">
      <c r="A9900" s="4">
        <v>45534.505844907406</v>
      </c>
      <c r="B9900" s="5" t="s">
        <v>34</v>
      </c>
      <c r="D9900" s="5" t="s">
        <v>1206</v>
      </c>
      <c r="E9900" s="5" t="s">
        <v>61018</v>
      </c>
      <c r="F9900" s="5" t="s">
        <v>37</v>
      </c>
      <c r="G9900" s="5" t="s">
        <v>61019</v>
      </c>
      <c r="H9900" s="6" t="s">
        <v>61020</v>
      </c>
      <c r="K9900" s="5" t="s">
        <v>61014</v>
      </c>
    </row>
    <row r="9901">
      <c r="A9901" s="4">
        <v>45534.50592645833</v>
      </c>
      <c r="B9901" s="5" t="s">
        <v>19</v>
      </c>
      <c r="C9901" s="5" t="s">
        <v>292</v>
      </c>
      <c r="E9901" s="5" t="s">
        <v>61024</v>
      </c>
      <c r="F9901" s="5" t="s">
        <v>524</v>
      </c>
      <c r="G9901" s="5" t="s">
        <v>61025</v>
      </c>
      <c r="H9901" s="6" t="s">
        <v>61026</v>
      </c>
      <c r="K9901" s="5" t="s">
        <v>61027</v>
      </c>
    </row>
    <row r="9902">
      <c r="A9902" s="4">
        <v>45534.506078819446</v>
      </c>
      <c r="B9902" s="5" t="s">
        <v>34</v>
      </c>
      <c r="D9902" s="5" t="s">
        <v>10297</v>
      </c>
      <c r="E9902" s="5" t="s">
        <v>61031</v>
      </c>
      <c r="F9902" s="5" t="s">
        <v>72</v>
      </c>
      <c r="G9902" s="5" t="s">
        <v>31273</v>
      </c>
      <c r="H9902" s="6" t="s">
        <v>61032</v>
      </c>
      <c r="K9902" s="5" t="s">
        <v>61027</v>
      </c>
    </row>
    <row r="9903">
      <c r="A9903" s="4">
        <v>45534.506995069445</v>
      </c>
      <c r="B9903" s="5" t="s">
        <v>34</v>
      </c>
      <c r="D9903" s="5" t="s">
        <v>35</v>
      </c>
      <c r="E9903" s="5" t="s">
        <v>61036</v>
      </c>
      <c r="F9903" s="5" t="s">
        <v>524</v>
      </c>
      <c r="G9903" s="5" t="s">
        <v>61037</v>
      </c>
      <c r="H9903" s="6" t="s">
        <v>61038</v>
      </c>
      <c r="K9903" s="5" t="s">
        <v>61039</v>
      </c>
    </row>
    <row r="9904">
      <c r="A9904" s="4">
        <v>45534.50706928241</v>
      </c>
      <c r="B9904" s="5" t="s">
        <v>34</v>
      </c>
      <c r="D9904" s="5" t="s">
        <v>14313</v>
      </c>
      <c r="E9904" s="5" t="s">
        <v>61043</v>
      </c>
      <c r="F9904" s="5" t="s">
        <v>524</v>
      </c>
      <c r="G9904" s="5" t="s">
        <v>61044</v>
      </c>
      <c r="H9904" s="6" t="s">
        <v>61045</v>
      </c>
      <c r="K9904" s="5" t="s">
        <v>61046</v>
      </c>
    </row>
    <row r="9905">
      <c r="A9905" s="4">
        <v>45534.50751105324</v>
      </c>
      <c r="B9905" s="5" t="s">
        <v>34</v>
      </c>
      <c r="D9905" s="5" t="s">
        <v>1558</v>
      </c>
      <c r="E9905" s="5" t="s">
        <v>61050</v>
      </c>
      <c r="F9905" s="5" t="s">
        <v>72</v>
      </c>
      <c r="G9905" s="5" t="s">
        <v>61051</v>
      </c>
      <c r="H9905" s="6" t="s">
        <v>61052</v>
      </c>
      <c r="K9905" s="5" t="s">
        <v>61053</v>
      </c>
    </row>
    <row r="9906">
      <c r="A9906" s="4">
        <v>45534.50751571759</v>
      </c>
      <c r="B9906" s="5" t="s">
        <v>34</v>
      </c>
      <c r="D9906" s="5" t="s">
        <v>1206</v>
      </c>
      <c r="E9906" s="5" t="s">
        <v>61057</v>
      </c>
      <c r="F9906" s="5" t="s">
        <v>120</v>
      </c>
      <c r="G9906" s="5" t="s">
        <v>61058</v>
      </c>
      <c r="H9906" s="6" t="s">
        <v>61059</v>
      </c>
      <c r="K9906" s="5" t="s">
        <v>61053</v>
      </c>
    </row>
    <row r="9907">
      <c r="A9907" s="4">
        <v>45534.50755945602</v>
      </c>
      <c r="B9907" s="5" t="s">
        <v>34</v>
      </c>
      <c r="D9907" s="5" t="s">
        <v>1206</v>
      </c>
      <c r="E9907" s="5" t="s">
        <v>61063</v>
      </c>
      <c r="F9907" s="5" t="s">
        <v>72</v>
      </c>
      <c r="G9907" s="5" t="s">
        <v>61064</v>
      </c>
      <c r="H9907" s="6" t="s">
        <v>61065</v>
      </c>
      <c r="K9907" s="5" t="s">
        <v>61066</v>
      </c>
    </row>
    <row r="9908">
      <c r="A9908" s="4">
        <v>45534.507571574075</v>
      </c>
      <c r="B9908" s="5" t="s">
        <v>34</v>
      </c>
      <c r="D9908" s="5" t="s">
        <v>35</v>
      </c>
      <c r="E9908" s="5" t="s">
        <v>27411</v>
      </c>
      <c r="F9908" s="5" t="s">
        <v>524</v>
      </c>
      <c r="G9908" s="5" t="s">
        <v>27412</v>
      </c>
      <c r="H9908" s="6" t="s">
        <v>61070</v>
      </c>
      <c r="K9908" s="5" t="s">
        <v>61066</v>
      </c>
    </row>
    <row r="9909">
      <c r="A9909" s="4">
        <v>45534.507568807865</v>
      </c>
      <c r="B9909" s="5" t="s">
        <v>34</v>
      </c>
      <c r="D9909" s="5" t="s">
        <v>9020</v>
      </c>
      <c r="E9909" s="5" t="s">
        <v>61074</v>
      </c>
      <c r="F9909" s="5" t="s">
        <v>375</v>
      </c>
      <c r="G9909" s="5" t="s">
        <v>61075</v>
      </c>
      <c r="H9909" s="6" t="s">
        <v>61076</v>
      </c>
      <c r="K9909" s="5" t="s">
        <v>61066</v>
      </c>
    </row>
    <row r="9910">
      <c r="A9910" s="4">
        <v>45534.50815637731</v>
      </c>
      <c r="B9910" s="5" t="s">
        <v>34</v>
      </c>
      <c r="D9910" s="5" t="s">
        <v>1206</v>
      </c>
      <c r="E9910" s="5" t="s">
        <v>61080</v>
      </c>
      <c r="F9910" s="5" t="s">
        <v>524</v>
      </c>
      <c r="G9910" s="5" t="s">
        <v>61081</v>
      </c>
      <c r="H9910" s="6" t="s">
        <v>61082</v>
      </c>
      <c r="K9910" s="5" t="s">
        <v>61083</v>
      </c>
    </row>
    <row r="9911">
      <c r="A9911" s="4">
        <v>45534.509321018515</v>
      </c>
      <c r="B9911" s="5" t="s">
        <v>34</v>
      </c>
      <c r="D9911" s="5" t="s">
        <v>1206</v>
      </c>
      <c r="E9911" s="5" t="s">
        <v>61087</v>
      </c>
      <c r="F9911" s="5" t="s">
        <v>37</v>
      </c>
      <c r="G9911" s="5" t="s">
        <v>61088</v>
      </c>
      <c r="H9911" s="6" t="s">
        <v>61089</v>
      </c>
      <c r="K9911" s="5" t="s">
        <v>61090</v>
      </c>
    </row>
    <row r="9912">
      <c r="A9912" s="4">
        <v>45534.509323969905</v>
      </c>
      <c r="B9912" s="5" t="s">
        <v>34</v>
      </c>
      <c r="D9912" s="5" t="s">
        <v>1206</v>
      </c>
      <c r="E9912" s="5" t="s">
        <v>61094</v>
      </c>
      <c r="F9912" s="5" t="s">
        <v>37</v>
      </c>
      <c r="G9912" s="5" t="s">
        <v>61095</v>
      </c>
      <c r="H9912" s="6" t="s">
        <v>61096</v>
      </c>
      <c r="K9912" s="5" t="s">
        <v>61090</v>
      </c>
    </row>
    <row r="9913">
      <c r="A9913" s="4">
        <v>45534.509411886575</v>
      </c>
      <c r="B9913" s="5" t="s">
        <v>34</v>
      </c>
      <c r="D9913" s="5" t="s">
        <v>14313</v>
      </c>
      <c r="E9913" s="5" t="s">
        <v>61100</v>
      </c>
      <c r="F9913" s="5" t="s">
        <v>212</v>
      </c>
      <c r="G9913" s="5" t="s">
        <v>61101</v>
      </c>
      <c r="H9913" s="6" t="s">
        <v>61102</v>
      </c>
      <c r="K9913" s="5" t="s">
        <v>61103</v>
      </c>
    </row>
    <row r="9914">
      <c r="A9914" s="4">
        <v>45534.50949966435</v>
      </c>
      <c r="B9914" s="5" t="s">
        <v>34</v>
      </c>
      <c r="D9914" s="5" t="s">
        <v>4775</v>
      </c>
      <c r="E9914" s="5" t="s">
        <v>61107</v>
      </c>
      <c r="F9914" s="5" t="s">
        <v>212</v>
      </c>
      <c r="G9914" s="5" t="s">
        <v>61108</v>
      </c>
      <c r="H9914" s="6" t="s">
        <v>61109</v>
      </c>
      <c r="K9914" s="5" t="s">
        <v>61110</v>
      </c>
    </row>
    <row r="9915">
      <c r="A9915" s="4">
        <v>45534.509565671295</v>
      </c>
      <c r="B9915" s="5" t="s">
        <v>19</v>
      </c>
      <c r="C9915" s="5" t="s">
        <v>5564</v>
      </c>
      <c r="E9915" s="5" t="s">
        <v>61113</v>
      </c>
      <c r="F9915" s="5" t="s">
        <v>375</v>
      </c>
      <c r="G9915" s="5" t="s">
        <v>61114</v>
      </c>
      <c r="H9915" s="6" t="s">
        <v>61115</v>
      </c>
      <c r="K9915" s="5" t="s">
        <v>61110</v>
      </c>
    </row>
    <row r="9916">
      <c r="A9916" s="4">
        <v>45534.50967134259</v>
      </c>
      <c r="B9916" s="5" t="s">
        <v>19</v>
      </c>
      <c r="C9916" s="5" t="s">
        <v>292</v>
      </c>
      <c r="E9916" s="5" t="s">
        <v>61118</v>
      </c>
      <c r="F9916" s="5" t="s">
        <v>212</v>
      </c>
      <c r="G9916" s="5" t="s">
        <v>61119</v>
      </c>
      <c r="H9916" s="6" t="s">
        <v>61120</v>
      </c>
      <c r="K9916" s="5" t="s">
        <v>61110</v>
      </c>
    </row>
    <row r="9917">
      <c r="A9917" s="4">
        <v>45534.5098330787</v>
      </c>
      <c r="B9917" s="5" t="s">
        <v>34</v>
      </c>
      <c r="D9917" s="5" t="s">
        <v>522</v>
      </c>
      <c r="E9917" s="5" t="s">
        <v>61123</v>
      </c>
      <c r="F9917" s="5" t="s">
        <v>524</v>
      </c>
      <c r="G9917" s="5" t="s">
        <v>61124</v>
      </c>
      <c r="H9917" s="6" t="s">
        <v>61125</v>
      </c>
      <c r="K9917" s="5" t="s">
        <v>61126</v>
      </c>
    </row>
    <row r="9918">
      <c r="A9918" s="4">
        <v>45534.51006572916</v>
      </c>
      <c r="B9918" s="5" t="s">
        <v>34</v>
      </c>
      <c r="D9918" s="5" t="s">
        <v>14313</v>
      </c>
      <c r="E9918" s="5" t="s">
        <v>61130</v>
      </c>
      <c r="F9918" s="5" t="s">
        <v>524</v>
      </c>
      <c r="G9918" s="5" t="s">
        <v>61131</v>
      </c>
      <c r="H9918" s="6" t="s">
        <v>61132</v>
      </c>
      <c r="K9918" s="5" t="s">
        <v>61126</v>
      </c>
    </row>
    <row r="9919">
      <c r="A9919" s="4">
        <v>45534.51033954861</v>
      </c>
      <c r="B9919" s="5" t="s">
        <v>34</v>
      </c>
      <c r="D9919" s="5" t="s">
        <v>280</v>
      </c>
      <c r="E9919" s="5" t="s">
        <v>61135</v>
      </c>
      <c r="F9919" s="5" t="s">
        <v>375</v>
      </c>
      <c r="G9919" s="5" t="s">
        <v>61136</v>
      </c>
      <c r="H9919" s="6" t="s">
        <v>61137</v>
      </c>
      <c r="K9919" s="5" t="s">
        <v>61126</v>
      </c>
    </row>
    <row r="9920">
      <c r="A9920" s="4">
        <v>45534.51046142361</v>
      </c>
      <c r="B9920" s="5" t="s">
        <v>34</v>
      </c>
      <c r="D9920" s="5" t="s">
        <v>3432</v>
      </c>
      <c r="E9920" s="5" t="s">
        <v>61140</v>
      </c>
      <c r="F9920" s="5" t="s">
        <v>37</v>
      </c>
      <c r="G9920" s="5" t="s">
        <v>61141</v>
      </c>
      <c r="H9920" s="6" t="s">
        <v>61142</v>
      </c>
      <c r="K9920" s="5" t="s">
        <v>61126</v>
      </c>
    </row>
    <row r="9921">
      <c r="A9921" s="4">
        <v>45534.51081334491</v>
      </c>
      <c r="B9921" s="5" t="s">
        <v>34</v>
      </c>
      <c r="D9921" s="5" t="s">
        <v>1206</v>
      </c>
      <c r="E9921" s="5" t="s">
        <v>61145</v>
      </c>
      <c r="F9921" s="5" t="s">
        <v>212</v>
      </c>
      <c r="G9921" s="5" t="s">
        <v>61146</v>
      </c>
      <c r="H9921" s="6" t="s">
        <v>61147</v>
      </c>
      <c r="K9921" s="5" t="s">
        <v>61148</v>
      </c>
    </row>
    <row r="9922">
      <c r="A9922" s="4">
        <v>45534.51099767361</v>
      </c>
      <c r="B9922" s="5" t="s">
        <v>34</v>
      </c>
      <c r="D9922" s="5" t="s">
        <v>580</v>
      </c>
      <c r="E9922" s="5" t="s">
        <v>61152</v>
      </c>
      <c r="F9922" s="5" t="s">
        <v>375</v>
      </c>
      <c r="G9922" s="5" t="s">
        <v>61153</v>
      </c>
      <c r="H9922" s="6" t="s">
        <v>61154</v>
      </c>
      <c r="K9922" s="5" t="s">
        <v>61155</v>
      </c>
    </row>
    <row r="9923">
      <c r="A9923" s="4">
        <v>45534.51138310185</v>
      </c>
      <c r="B9923" s="5" t="s">
        <v>34</v>
      </c>
      <c r="D9923" s="5" t="s">
        <v>1206</v>
      </c>
      <c r="E9923" s="5" t="s">
        <v>61158</v>
      </c>
      <c r="F9923" s="5" t="s">
        <v>212</v>
      </c>
      <c r="G9923" s="5" t="s">
        <v>61159</v>
      </c>
      <c r="H9923" s="6" t="s">
        <v>61160</v>
      </c>
      <c r="K9923" s="5" t="s">
        <v>61161</v>
      </c>
    </row>
    <row r="9924">
      <c r="A9924" s="4">
        <v>45534.512358402775</v>
      </c>
      <c r="B9924" s="5" t="s">
        <v>34</v>
      </c>
      <c r="D9924" s="5" t="s">
        <v>996</v>
      </c>
      <c r="E9924" s="5" t="s">
        <v>15931</v>
      </c>
      <c r="F9924" s="5" t="s">
        <v>108</v>
      </c>
      <c r="G9924" s="5" t="s">
        <v>61165</v>
      </c>
      <c r="H9924" s="6" t="s">
        <v>61166</v>
      </c>
      <c r="K9924" s="5" t="s">
        <v>61167</v>
      </c>
    </row>
    <row r="9925">
      <c r="A9925" s="4">
        <v>45534.512411180556</v>
      </c>
      <c r="B9925" s="5" t="s">
        <v>34</v>
      </c>
      <c r="D9925" s="5" t="s">
        <v>1206</v>
      </c>
      <c r="E9925" s="5" t="s">
        <v>48116</v>
      </c>
      <c r="F9925" s="5" t="s">
        <v>328</v>
      </c>
      <c r="G9925" s="5" t="s">
        <v>61170</v>
      </c>
      <c r="H9925" s="6" t="s">
        <v>61171</v>
      </c>
      <c r="K9925" s="5" t="s">
        <v>61167</v>
      </c>
    </row>
    <row r="9926">
      <c r="A9926" s="4">
        <v>45534.512628020835</v>
      </c>
      <c r="B9926" s="5" t="s">
        <v>34</v>
      </c>
      <c r="D9926" s="5" t="s">
        <v>1206</v>
      </c>
      <c r="E9926" s="5" t="s">
        <v>61174</v>
      </c>
      <c r="F9926" s="5" t="s">
        <v>37</v>
      </c>
      <c r="G9926" s="5" t="s">
        <v>61175</v>
      </c>
      <c r="H9926" s="6" t="s">
        <v>61176</v>
      </c>
      <c r="K9926" s="5" t="s">
        <v>61167</v>
      </c>
    </row>
    <row r="9927">
      <c r="A9927" s="4">
        <v>45534.513004988425</v>
      </c>
      <c r="B9927" s="5" t="s">
        <v>34</v>
      </c>
      <c r="D9927" s="5" t="s">
        <v>1206</v>
      </c>
      <c r="E9927" s="5" t="s">
        <v>61179</v>
      </c>
      <c r="F9927" s="5" t="s">
        <v>37</v>
      </c>
      <c r="G9927" s="5" t="s">
        <v>61180</v>
      </c>
      <c r="H9927" s="6" t="s">
        <v>61181</v>
      </c>
      <c r="K9927" s="5" t="s">
        <v>61182</v>
      </c>
    </row>
    <row r="9928">
      <c r="A9928" s="4">
        <v>45534.513406087965</v>
      </c>
      <c r="B9928" s="5" t="s">
        <v>19</v>
      </c>
      <c r="C9928" s="5" t="s">
        <v>442</v>
      </c>
      <c r="E9928" s="5" t="s">
        <v>61185</v>
      </c>
      <c r="F9928" s="5" t="s">
        <v>375</v>
      </c>
      <c r="G9928" s="5" t="s">
        <v>61186</v>
      </c>
      <c r="H9928" s="6" t="s">
        <v>61187</v>
      </c>
      <c r="K9928" s="5" t="s">
        <v>61188</v>
      </c>
    </row>
    <row r="9929">
      <c r="A9929" s="4">
        <v>45534.51484546297</v>
      </c>
      <c r="B9929" s="5" t="s">
        <v>19</v>
      </c>
      <c r="C9929" s="5" t="s">
        <v>442</v>
      </c>
      <c r="E9929" s="5" t="s">
        <v>61192</v>
      </c>
      <c r="F9929" s="5" t="s">
        <v>120</v>
      </c>
      <c r="G9929" s="5" t="s">
        <v>61193</v>
      </c>
      <c r="H9929" s="6" t="s">
        <v>61194</v>
      </c>
      <c r="K9929" s="5" t="s">
        <v>61188</v>
      </c>
    </row>
    <row r="9930">
      <c r="A9930" s="4">
        <v>45534.515338275465</v>
      </c>
      <c r="B9930" s="5" t="s">
        <v>34</v>
      </c>
      <c r="D9930" s="5" t="s">
        <v>11913</v>
      </c>
      <c r="E9930" s="5" t="s">
        <v>61197</v>
      </c>
      <c r="F9930" s="5" t="s">
        <v>22</v>
      </c>
      <c r="G9930" s="5" t="s">
        <v>61198</v>
      </c>
      <c r="H9930" s="6" t="s">
        <v>61199</v>
      </c>
      <c r="K9930" s="5" t="s">
        <v>61188</v>
      </c>
    </row>
    <row r="9931">
      <c r="A9931" s="4">
        <v>45534.515389618056</v>
      </c>
      <c r="B9931" s="5" t="s">
        <v>34</v>
      </c>
      <c r="D9931" s="5" t="s">
        <v>1206</v>
      </c>
      <c r="E9931" s="5" t="s">
        <v>61202</v>
      </c>
      <c r="F9931" s="5" t="s">
        <v>199</v>
      </c>
      <c r="G9931" s="5" t="s">
        <v>61203</v>
      </c>
      <c r="H9931" s="6" t="s">
        <v>61204</v>
      </c>
      <c r="K9931" s="5" t="s">
        <v>61205</v>
      </c>
    </row>
    <row r="9932">
      <c r="A9932" s="4">
        <v>45534.5154890625</v>
      </c>
      <c r="B9932" s="5" t="s">
        <v>34</v>
      </c>
      <c r="D9932" s="5" t="s">
        <v>701</v>
      </c>
      <c r="E9932" s="5" t="s">
        <v>20560</v>
      </c>
      <c r="F9932" s="5" t="s">
        <v>72</v>
      </c>
      <c r="G9932" s="5" t="s">
        <v>50858</v>
      </c>
      <c r="H9932" s="6" t="s">
        <v>61209</v>
      </c>
      <c r="K9932" s="5" t="s">
        <v>61210</v>
      </c>
    </row>
    <row r="9933">
      <c r="A9933" s="4">
        <v>45534.515480601855</v>
      </c>
      <c r="B9933" s="5" t="s">
        <v>34</v>
      </c>
      <c r="D9933" s="5" t="s">
        <v>35</v>
      </c>
      <c r="E9933" s="5" t="s">
        <v>61213</v>
      </c>
      <c r="F9933" s="5" t="s">
        <v>72</v>
      </c>
      <c r="G9933" s="5" t="s">
        <v>61214</v>
      </c>
      <c r="H9933" s="6" t="s">
        <v>61215</v>
      </c>
      <c r="K9933" s="5" t="s">
        <v>61210</v>
      </c>
    </row>
    <row r="9934">
      <c r="A9934" s="4">
        <v>45534.51563081019</v>
      </c>
      <c r="B9934" s="5" t="s">
        <v>34</v>
      </c>
      <c r="D9934" s="5" t="s">
        <v>267</v>
      </c>
      <c r="E9934" s="5" t="s">
        <v>61218</v>
      </c>
      <c r="F9934" s="5" t="s">
        <v>212</v>
      </c>
      <c r="G9934" s="5" t="s">
        <v>61219</v>
      </c>
      <c r="H9934" s="6" t="s">
        <v>61220</v>
      </c>
      <c r="K9934" s="5" t="s">
        <v>61221</v>
      </c>
    </row>
    <row r="9935">
      <c r="A9935" s="4">
        <v>45534.515822789355</v>
      </c>
      <c r="B9935" s="5" t="s">
        <v>34</v>
      </c>
      <c r="D9935" s="5" t="s">
        <v>975</v>
      </c>
      <c r="E9935" s="5" t="s">
        <v>61225</v>
      </c>
      <c r="F9935" s="5" t="s">
        <v>375</v>
      </c>
      <c r="G9935" s="5" t="s">
        <v>61226</v>
      </c>
      <c r="H9935" s="6" t="s">
        <v>61227</v>
      </c>
      <c r="K9935" s="5" t="s">
        <v>61228</v>
      </c>
    </row>
    <row r="9936">
      <c r="A9936" s="4">
        <v>45534.5159387037</v>
      </c>
      <c r="B9936" s="5" t="s">
        <v>34</v>
      </c>
      <c r="D9936" s="5" t="s">
        <v>35</v>
      </c>
      <c r="E9936" s="5" t="s">
        <v>61231</v>
      </c>
      <c r="F9936" s="5" t="s">
        <v>524</v>
      </c>
      <c r="G9936" s="5" t="s">
        <v>61232</v>
      </c>
      <c r="H9936" s="6" t="s">
        <v>61233</v>
      </c>
      <c r="K9936" s="5" t="s">
        <v>61234</v>
      </c>
    </row>
    <row r="9937">
      <c r="A9937" s="4">
        <v>45534.51633835648</v>
      </c>
      <c r="B9937" s="5" t="s">
        <v>34</v>
      </c>
      <c r="D9937" s="5" t="s">
        <v>3432</v>
      </c>
      <c r="E9937" s="5" t="s">
        <v>61237</v>
      </c>
      <c r="F9937" s="5" t="s">
        <v>37</v>
      </c>
      <c r="G9937" s="5" t="s">
        <v>61238</v>
      </c>
      <c r="H9937" s="6" t="s">
        <v>61239</v>
      </c>
      <c r="K9937" s="5" t="s">
        <v>61240</v>
      </c>
    </row>
    <row r="9938">
      <c r="A9938" s="4">
        <v>45534.51668327546</v>
      </c>
      <c r="B9938" s="5" t="s">
        <v>34</v>
      </c>
      <c r="D9938" s="5" t="s">
        <v>1206</v>
      </c>
      <c r="E9938" s="5" t="s">
        <v>20187</v>
      </c>
      <c r="F9938" s="5" t="s">
        <v>37</v>
      </c>
      <c r="G9938" s="5" t="s">
        <v>61243</v>
      </c>
      <c r="H9938" s="6" t="s">
        <v>61244</v>
      </c>
      <c r="K9938" s="5" t="s">
        <v>61245</v>
      </c>
    </row>
    <row r="9939">
      <c r="A9939" s="4">
        <v>45534.51684434028</v>
      </c>
      <c r="B9939" s="5" t="s">
        <v>34</v>
      </c>
      <c r="D9939" s="5" t="s">
        <v>4775</v>
      </c>
      <c r="E9939" s="5" t="s">
        <v>61249</v>
      </c>
      <c r="F9939" s="5" t="s">
        <v>524</v>
      </c>
      <c r="G9939" s="5" t="s">
        <v>61250</v>
      </c>
      <c r="H9939" s="6" t="s">
        <v>61251</v>
      </c>
      <c r="K9939" s="5" t="s">
        <v>61245</v>
      </c>
    </row>
    <row r="9940">
      <c r="A9940" s="4">
        <v>45534.51791201389</v>
      </c>
      <c r="B9940" s="5" t="s">
        <v>34</v>
      </c>
      <c r="D9940" s="5" t="s">
        <v>1206</v>
      </c>
      <c r="E9940" s="5" t="s">
        <v>61255</v>
      </c>
      <c r="F9940" s="5" t="s">
        <v>37</v>
      </c>
      <c r="G9940" s="5" t="s">
        <v>61256</v>
      </c>
      <c r="H9940" s="6" t="s">
        <v>61257</v>
      </c>
      <c r="K9940" s="5" t="s">
        <v>61245</v>
      </c>
    </row>
    <row r="9941">
      <c r="A9941" s="4">
        <v>45534.517999131946</v>
      </c>
      <c r="B9941" s="5" t="s">
        <v>34</v>
      </c>
      <c r="D9941" s="5" t="s">
        <v>10297</v>
      </c>
      <c r="E9941" s="5" t="s">
        <v>61261</v>
      </c>
      <c r="F9941" s="5" t="s">
        <v>108</v>
      </c>
      <c r="G9941" s="5" t="s">
        <v>61262</v>
      </c>
      <c r="H9941" s="6" t="s">
        <v>61263</v>
      </c>
      <c r="K9941" s="5" t="s">
        <v>61264</v>
      </c>
    </row>
    <row r="9942">
      <c r="A9942" s="4">
        <v>45534.51836342593</v>
      </c>
      <c r="B9942" s="5" t="s">
        <v>34</v>
      </c>
      <c r="D9942" s="5" t="s">
        <v>1206</v>
      </c>
      <c r="E9942" s="5" t="s">
        <v>61268</v>
      </c>
      <c r="F9942" s="5" t="s">
        <v>37</v>
      </c>
      <c r="G9942" s="5" t="s">
        <v>61269</v>
      </c>
      <c r="H9942" s="6" t="s">
        <v>61270</v>
      </c>
      <c r="K9942" s="5" t="s">
        <v>61271</v>
      </c>
    </row>
    <row r="9943">
      <c r="A9943" s="4">
        <v>45534.518529085646</v>
      </c>
      <c r="B9943" s="5" t="s">
        <v>34</v>
      </c>
      <c r="D9943" s="5" t="s">
        <v>6232</v>
      </c>
      <c r="E9943" s="5" t="s">
        <v>61275</v>
      </c>
      <c r="F9943" s="5" t="s">
        <v>72</v>
      </c>
      <c r="G9943" s="5" t="s">
        <v>61276</v>
      </c>
      <c r="H9943" s="6" t="s">
        <v>61277</v>
      </c>
      <c r="K9943" s="5" t="s">
        <v>61271</v>
      </c>
    </row>
    <row r="9944">
      <c r="A9944" s="4">
        <v>45534.518655381944</v>
      </c>
      <c r="B9944" s="5" t="s">
        <v>19</v>
      </c>
      <c r="C9944" s="5" t="s">
        <v>20</v>
      </c>
      <c r="E9944" s="5" t="s">
        <v>61281</v>
      </c>
      <c r="F9944" s="5" t="s">
        <v>120</v>
      </c>
      <c r="G9944" s="5" t="s">
        <v>61282</v>
      </c>
      <c r="H9944" s="6" t="s">
        <v>61283</v>
      </c>
      <c r="K9944" s="5" t="s">
        <v>61284</v>
      </c>
    </row>
    <row r="9945">
      <c r="A9945" s="4">
        <v>45534.51878616898</v>
      </c>
      <c r="B9945" s="5" t="s">
        <v>34</v>
      </c>
      <c r="D9945" s="5" t="s">
        <v>9020</v>
      </c>
      <c r="E9945" s="5" t="s">
        <v>52459</v>
      </c>
      <c r="F9945" s="5" t="s">
        <v>37</v>
      </c>
      <c r="G9945" s="5" t="s">
        <v>61288</v>
      </c>
      <c r="H9945" s="6" t="s">
        <v>61289</v>
      </c>
      <c r="K9945" s="5" t="s">
        <v>61290</v>
      </c>
    </row>
    <row r="9946">
      <c r="A9946" s="4">
        <v>45534.520039166666</v>
      </c>
      <c r="B9946" s="5" t="s">
        <v>34</v>
      </c>
      <c r="D9946" s="5" t="s">
        <v>9020</v>
      </c>
      <c r="E9946" s="5" t="s">
        <v>61294</v>
      </c>
      <c r="F9946" s="5" t="s">
        <v>212</v>
      </c>
      <c r="G9946" s="5" t="s">
        <v>61295</v>
      </c>
      <c r="H9946" s="6" t="s">
        <v>61296</v>
      </c>
      <c r="K9946" s="5" t="s">
        <v>61297</v>
      </c>
    </row>
    <row r="9947">
      <c r="A9947" s="4">
        <v>45534.520244467596</v>
      </c>
      <c r="B9947" s="5" t="s">
        <v>34</v>
      </c>
      <c r="D9947" s="5" t="s">
        <v>9020</v>
      </c>
      <c r="E9947" s="5" t="s">
        <v>60842</v>
      </c>
      <c r="F9947" s="5" t="s">
        <v>108</v>
      </c>
      <c r="G9947" s="5" t="s">
        <v>60843</v>
      </c>
      <c r="H9947" s="6" t="s">
        <v>61301</v>
      </c>
      <c r="K9947" s="5" t="s">
        <v>61302</v>
      </c>
    </row>
    <row r="9948">
      <c r="A9948" s="4">
        <v>45534.5203831713</v>
      </c>
      <c r="B9948" s="5" t="s">
        <v>34</v>
      </c>
      <c r="D9948" s="5" t="s">
        <v>1206</v>
      </c>
      <c r="E9948" s="5" t="s">
        <v>61306</v>
      </c>
      <c r="F9948" s="5" t="s">
        <v>212</v>
      </c>
      <c r="G9948" s="5" t="s">
        <v>61307</v>
      </c>
      <c r="H9948" s="6" t="s">
        <v>61308</v>
      </c>
      <c r="K9948" s="5" t="s">
        <v>61302</v>
      </c>
    </row>
    <row r="9949">
      <c r="A9949" s="4">
        <v>45534.52038480324</v>
      </c>
      <c r="B9949" s="5" t="s">
        <v>34</v>
      </c>
      <c r="D9949" s="5" t="s">
        <v>9020</v>
      </c>
      <c r="E9949" s="5" t="s">
        <v>61312</v>
      </c>
      <c r="F9949" s="5" t="s">
        <v>375</v>
      </c>
      <c r="G9949" s="5" t="s">
        <v>61313</v>
      </c>
      <c r="H9949" s="6" t="s">
        <v>61314</v>
      </c>
      <c r="K9949" s="5" t="s">
        <v>61302</v>
      </c>
    </row>
    <row r="9950">
      <c r="A9950" s="4">
        <v>45534.520657546294</v>
      </c>
      <c r="B9950" s="5" t="s">
        <v>34</v>
      </c>
      <c r="D9950" s="5" t="s">
        <v>35</v>
      </c>
      <c r="E9950" s="5" t="s">
        <v>61318</v>
      </c>
      <c r="F9950" s="5" t="s">
        <v>524</v>
      </c>
      <c r="G9950" s="5" t="s">
        <v>61319</v>
      </c>
      <c r="H9950" s="6" t="s">
        <v>61320</v>
      </c>
      <c r="K9950" s="5" t="s">
        <v>61321</v>
      </c>
    </row>
    <row r="9951">
      <c r="A9951" s="4">
        <v>45534.52085569444</v>
      </c>
      <c r="B9951" s="5" t="s">
        <v>34</v>
      </c>
      <c r="D9951" s="5" t="s">
        <v>580</v>
      </c>
      <c r="E9951" s="5" t="s">
        <v>61325</v>
      </c>
      <c r="F9951" s="5" t="s">
        <v>37</v>
      </c>
      <c r="G9951" s="5" t="s">
        <v>61326</v>
      </c>
      <c r="H9951" s="6" t="s">
        <v>61327</v>
      </c>
      <c r="K9951" s="5" t="s">
        <v>61328</v>
      </c>
    </row>
    <row r="9952">
      <c r="A9952" s="4">
        <v>45534.52125716435</v>
      </c>
      <c r="B9952" s="5" t="s">
        <v>34</v>
      </c>
      <c r="D9952" s="5" t="s">
        <v>267</v>
      </c>
      <c r="E9952" s="5" t="s">
        <v>61332</v>
      </c>
      <c r="F9952" s="5" t="s">
        <v>375</v>
      </c>
      <c r="G9952" s="5" t="s">
        <v>61333</v>
      </c>
      <c r="H9952" s="6" t="s">
        <v>61334</v>
      </c>
      <c r="K9952" s="5" t="s">
        <v>61335</v>
      </c>
    </row>
    <row r="9953">
      <c r="A9953" s="4">
        <v>45534.521361203704</v>
      </c>
      <c r="B9953" s="5" t="s">
        <v>34</v>
      </c>
      <c r="D9953" s="5" t="s">
        <v>3849</v>
      </c>
      <c r="E9953" s="5" t="s">
        <v>61339</v>
      </c>
      <c r="F9953" s="5" t="s">
        <v>37</v>
      </c>
      <c r="G9953" s="5" t="s">
        <v>61340</v>
      </c>
      <c r="H9953" s="6" t="s">
        <v>61341</v>
      </c>
      <c r="K9953" s="5" t="s">
        <v>61342</v>
      </c>
    </row>
    <row r="9954">
      <c r="A9954" s="4">
        <v>45534.52158800926</v>
      </c>
      <c r="B9954" s="5" t="s">
        <v>34</v>
      </c>
      <c r="D9954" s="5" t="s">
        <v>9020</v>
      </c>
      <c r="E9954" s="5" t="s">
        <v>61346</v>
      </c>
      <c r="F9954" s="5" t="s">
        <v>72</v>
      </c>
      <c r="G9954" s="5" t="s">
        <v>61347</v>
      </c>
      <c r="H9954" s="6" t="s">
        <v>61348</v>
      </c>
      <c r="K9954" s="5" t="s">
        <v>61349</v>
      </c>
    </row>
    <row r="9955">
      <c r="A9955" s="4">
        <v>45534.521982743056</v>
      </c>
      <c r="B9955" s="5" t="s">
        <v>34</v>
      </c>
      <c r="D9955" s="5" t="s">
        <v>2903</v>
      </c>
      <c r="E9955" s="5" t="s">
        <v>61353</v>
      </c>
      <c r="F9955" s="5" t="s">
        <v>524</v>
      </c>
      <c r="G9955" s="5" t="s">
        <v>61354</v>
      </c>
      <c r="H9955" s="6" t="s">
        <v>61355</v>
      </c>
      <c r="K9955" s="5" t="s">
        <v>61356</v>
      </c>
    </row>
    <row r="9956">
      <c r="A9956" s="4">
        <v>45534.522994583334</v>
      </c>
      <c r="B9956" s="5" t="s">
        <v>19</v>
      </c>
      <c r="C9956" s="5" t="s">
        <v>292</v>
      </c>
      <c r="E9956" s="5" t="s">
        <v>61360</v>
      </c>
      <c r="F9956" s="5" t="s">
        <v>524</v>
      </c>
      <c r="G9956" s="5" t="s">
        <v>61361</v>
      </c>
      <c r="H9956" s="6" t="s">
        <v>61362</v>
      </c>
      <c r="K9956" s="5" t="s">
        <v>61356</v>
      </c>
    </row>
    <row r="9957">
      <c r="A9957" s="4">
        <v>45534.523245185184</v>
      </c>
      <c r="B9957" s="5" t="s">
        <v>34</v>
      </c>
      <c r="D9957" s="5" t="s">
        <v>9020</v>
      </c>
      <c r="E9957" s="5" t="s">
        <v>61366</v>
      </c>
      <c r="F9957" s="5" t="s">
        <v>72</v>
      </c>
      <c r="G9957" s="5" t="s">
        <v>61367</v>
      </c>
      <c r="H9957" s="6" t="s">
        <v>61368</v>
      </c>
      <c r="K9957" s="5" t="s">
        <v>61369</v>
      </c>
    </row>
    <row r="9958">
      <c r="A9958" s="4">
        <v>45534.52325209491</v>
      </c>
      <c r="B9958" s="5" t="s">
        <v>19</v>
      </c>
      <c r="C9958" s="5" t="s">
        <v>20</v>
      </c>
      <c r="E9958" s="5" t="s">
        <v>61373</v>
      </c>
      <c r="F9958" s="5" t="s">
        <v>798</v>
      </c>
      <c r="G9958" s="5" t="s">
        <v>61374</v>
      </c>
      <c r="H9958" s="6" t="s">
        <v>61375</v>
      </c>
      <c r="K9958" s="5" t="s">
        <v>61369</v>
      </c>
    </row>
    <row r="9959">
      <c r="A9959" s="4">
        <v>45534.523407754634</v>
      </c>
      <c r="B9959" s="5" t="s">
        <v>34</v>
      </c>
      <c r="D9959" s="5" t="s">
        <v>14313</v>
      </c>
      <c r="E9959" s="5" t="s">
        <v>61379</v>
      </c>
      <c r="F9959" s="5" t="s">
        <v>212</v>
      </c>
      <c r="G9959" s="5" t="s">
        <v>61380</v>
      </c>
      <c r="H9959" s="6" t="s">
        <v>61381</v>
      </c>
      <c r="K9959" s="5" t="s">
        <v>61382</v>
      </c>
    </row>
    <row r="9960">
      <c r="A9960" s="4">
        <v>45534.52357908565</v>
      </c>
      <c r="B9960" s="5" t="s">
        <v>19</v>
      </c>
      <c r="C9960" s="5" t="s">
        <v>292</v>
      </c>
      <c r="E9960" s="5" t="s">
        <v>61385</v>
      </c>
      <c r="F9960" s="5" t="s">
        <v>524</v>
      </c>
      <c r="G9960" s="5" t="s">
        <v>61386</v>
      </c>
      <c r="H9960" s="6" t="s">
        <v>61387</v>
      </c>
      <c r="K9960" s="5" t="s">
        <v>61388</v>
      </c>
    </row>
    <row r="9961">
      <c r="A9961" s="4">
        <v>45534.52423201389</v>
      </c>
      <c r="B9961" s="5" t="s">
        <v>34</v>
      </c>
      <c r="D9961" s="5" t="s">
        <v>9020</v>
      </c>
      <c r="E9961" s="5" t="s">
        <v>52342</v>
      </c>
      <c r="F9961" s="5" t="s">
        <v>72</v>
      </c>
      <c r="G9961" s="5" t="s">
        <v>52343</v>
      </c>
      <c r="H9961" s="6" t="s">
        <v>61392</v>
      </c>
      <c r="K9961" s="5" t="s">
        <v>61388</v>
      </c>
    </row>
    <row r="9962">
      <c r="A9962" s="4">
        <v>45534.52491929398</v>
      </c>
      <c r="B9962" s="5" t="s">
        <v>34</v>
      </c>
      <c r="D9962" s="5" t="s">
        <v>701</v>
      </c>
      <c r="E9962" s="5" t="s">
        <v>61395</v>
      </c>
      <c r="F9962" s="5" t="s">
        <v>212</v>
      </c>
      <c r="G9962" s="5" t="s">
        <v>61396</v>
      </c>
      <c r="H9962" s="6" t="s">
        <v>61397</v>
      </c>
      <c r="K9962" s="5" t="s">
        <v>61398</v>
      </c>
    </row>
    <row r="9963">
      <c r="A9963" s="4">
        <v>45534.525231377316</v>
      </c>
      <c r="B9963" s="5" t="s">
        <v>19</v>
      </c>
      <c r="C9963" s="5" t="s">
        <v>292</v>
      </c>
      <c r="E9963" s="5" t="s">
        <v>61401</v>
      </c>
      <c r="F9963" s="5" t="s">
        <v>212</v>
      </c>
      <c r="G9963" s="5" t="s">
        <v>61402</v>
      </c>
      <c r="H9963" s="6" t="s">
        <v>61403</v>
      </c>
      <c r="K9963" s="5" t="s">
        <v>61404</v>
      </c>
    </row>
    <row r="9964">
      <c r="A9964" s="4">
        <v>45534.52547861111</v>
      </c>
      <c r="B9964" s="5" t="s">
        <v>34</v>
      </c>
      <c r="D9964" s="5" t="s">
        <v>4775</v>
      </c>
      <c r="E9964" s="5" t="s">
        <v>61407</v>
      </c>
      <c r="F9964" s="5" t="s">
        <v>524</v>
      </c>
      <c r="G9964" s="5" t="s">
        <v>61408</v>
      </c>
      <c r="H9964" s="6" t="s">
        <v>61409</v>
      </c>
      <c r="K9964" s="5" t="s">
        <v>61404</v>
      </c>
    </row>
    <row r="9965">
      <c r="A9965" s="4">
        <v>45534.52565456019</v>
      </c>
      <c r="B9965" s="5" t="s">
        <v>34</v>
      </c>
      <c r="D9965" s="5" t="s">
        <v>35</v>
      </c>
      <c r="E9965" s="5" t="s">
        <v>61413</v>
      </c>
      <c r="F9965" s="5" t="s">
        <v>37</v>
      </c>
      <c r="G9965" s="5" t="s">
        <v>61414</v>
      </c>
      <c r="H9965" s="6" t="s">
        <v>61415</v>
      </c>
      <c r="K9965" s="5" t="s">
        <v>61416</v>
      </c>
    </row>
    <row r="9966">
      <c r="A9966" s="4">
        <v>45534.52572480324</v>
      </c>
      <c r="B9966" s="5" t="s">
        <v>34</v>
      </c>
      <c r="D9966" s="5" t="s">
        <v>11527</v>
      </c>
      <c r="E9966" s="5" t="s">
        <v>61419</v>
      </c>
      <c r="F9966" s="5" t="s">
        <v>212</v>
      </c>
      <c r="G9966" s="5" t="s">
        <v>61420</v>
      </c>
      <c r="H9966" s="6" t="s">
        <v>61421</v>
      </c>
      <c r="K9966" s="5" t="s">
        <v>61422</v>
      </c>
    </row>
    <row r="9967">
      <c r="A9967" s="4">
        <v>45534.526765787035</v>
      </c>
      <c r="B9967" s="5" t="s">
        <v>34</v>
      </c>
      <c r="D9967" s="5" t="s">
        <v>522</v>
      </c>
      <c r="E9967" s="5" t="s">
        <v>61425</v>
      </c>
      <c r="F9967" s="5" t="s">
        <v>524</v>
      </c>
      <c r="G9967" s="5" t="s">
        <v>61426</v>
      </c>
      <c r="H9967" s="6" t="s">
        <v>61427</v>
      </c>
      <c r="K9967" s="5" t="s">
        <v>61422</v>
      </c>
    </row>
    <row r="9968">
      <c r="A9968" s="4">
        <v>45534.526891828704</v>
      </c>
      <c r="B9968" s="5" t="s">
        <v>34</v>
      </c>
      <c r="D9968" s="5" t="s">
        <v>6232</v>
      </c>
      <c r="E9968" s="5" t="s">
        <v>61430</v>
      </c>
      <c r="F9968" s="5" t="s">
        <v>212</v>
      </c>
      <c r="G9968" s="5" t="s">
        <v>61431</v>
      </c>
      <c r="H9968" s="6" t="s">
        <v>61432</v>
      </c>
      <c r="K9968" s="5" t="s">
        <v>61433</v>
      </c>
    </row>
    <row r="9969">
      <c r="A9969" s="4">
        <v>45534.52733319445</v>
      </c>
      <c r="B9969" s="5" t="s">
        <v>19</v>
      </c>
      <c r="C9969" s="5" t="s">
        <v>292</v>
      </c>
      <c r="E9969" s="5" t="s">
        <v>61436</v>
      </c>
      <c r="F9969" s="5" t="s">
        <v>524</v>
      </c>
      <c r="G9969" s="5" t="s">
        <v>61437</v>
      </c>
      <c r="H9969" s="6" t="s">
        <v>61438</v>
      </c>
      <c r="K9969" s="5" t="s">
        <v>61439</v>
      </c>
    </row>
    <row r="9970">
      <c r="A9970" s="4">
        <v>45534.52850325231</v>
      </c>
      <c r="B9970" s="5" t="s">
        <v>34</v>
      </c>
      <c r="D9970" s="5" t="s">
        <v>996</v>
      </c>
      <c r="E9970" s="5" t="s">
        <v>61443</v>
      </c>
      <c r="F9970" s="5" t="s">
        <v>524</v>
      </c>
      <c r="G9970" s="5" t="s">
        <v>61444</v>
      </c>
      <c r="H9970" s="6" t="s">
        <v>61445</v>
      </c>
      <c r="K9970" s="5" t="s">
        <v>61446</v>
      </c>
    </row>
    <row r="9971">
      <c r="A9971" s="4">
        <v>45534.52903796296</v>
      </c>
      <c r="B9971" s="5" t="s">
        <v>34</v>
      </c>
      <c r="D9971" s="5" t="s">
        <v>4775</v>
      </c>
      <c r="E9971" s="5" t="s">
        <v>23335</v>
      </c>
      <c r="F9971" s="5" t="s">
        <v>375</v>
      </c>
      <c r="G9971" s="5" t="s">
        <v>23336</v>
      </c>
      <c r="H9971" s="6" t="s">
        <v>61449</v>
      </c>
      <c r="K9971" s="5" t="s">
        <v>61450</v>
      </c>
    </row>
    <row r="9972">
      <c r="A9972" s="4">
        <v>45534.52906744213</v>
      </c>
      <c r="B9972" s="5" t="s">
        <v>34</v>
      </c>
      <c r="D9972" s="5" t="s">
        <v>12978</v>
      </c>
      <c r="E9972" s="5" t="s">
        <v>61453</v>
      </c>
      <c r="F9972" s="5" t="s">
        <v>37</v>
      </c>
      <c r="G9972" s="5" t="s">
        <v>61454</v>
      </c>
      <c r="H9972" s="6" t="s">
        <v>61455</v>
      </c>
      <c r="K9972" s="5" t="s">
        <v>61450</v>
      </c>
    </row>
    <row r="9973">
      <c r="A9973" s="4">
        <v>45534.529188217595</v>
      </c>
      <c r="B9973" s="5" t="s">
        <v>34</v>
      </c>
      <c r="D9973" s="5" t="s">
        <v>1558</v>
      </c>
      <c r="E9973" s="5" t="s">
        <v>61458</v>
      </c>
      <c r="F9973" s="5" t="s">
        <v>375</v>
      </c>
      <c r="G9973" s="5" t="s">
        <v>61459</v>
      </c>
      <c r="H9973" s="6" t="s">
        <v>61460</v>
      </c>
      <c r="K9973" s="5" t="s">
        <v>61461</v>
      </c>
    </row>
    <row r="9974">
      <c r="A9974" s="4">
        <v>45534.52958185185</v>
      </c>
      <c r="B9974" s="5" t="s">
        <v>34</v>
      </c>
      <c r="D9974" s="5" t="s">
        <v>35</v>
      </c>
      <c r="E9974" s="5" t="s">
        <v>60597</v>
      </c>
      <c r="F9974" s="5" t="s">
        <v>375</v>
      </c>
      <c r="G9974" s="5" t="s">
        <v>60598</v>
      </c>
      <c r="H9974" s="6" t="s">
        <v>61465</v>
      </c>
      <c r="K9974" s="5" t="s">
        <v>61466</v>
      </c>
    </row>
    <row r="9975">
      <c r="A9975" s="4">
        <v>45534.5303003588</v>
      </c>
      <c r="B9975" s="5" t="s">
        <v>34</v>
      </c>
      <c r="D9975" s="5" t="s">
        <v>1206</v>
      </c>
      <c r="E9975" s="5" t="s">
        <v>61469</v>
      </c>
      <c r="F9975" s="5" t="s">
        <v>37</v>
      </c>
      <c r="G9975" s="5" t="s">
        <v>61470</v>
      </c>
      <c r="H9975" s="6" t="s">
        <v>61471</v>
      </c>
      <c r="K9975" s="5" t="s">
        <v>61472</v>
      </c>
    </row>
    <row r="9976">
      <c r="A9976" s="4">
        <v>45534.53039063657</v>
      </c>
      <c r="B9976" s="5" t="s">
        <v>34</v>
      </c>
      <c r="D9976" s="5" t="s">
        <v>12978</v>
      </c>
      <c r="E9976" s="5" t="s">
        <v>61475</v>
      </c>
      <c r="F9976" s="5" t="s">
        <v>108</v>
      </c>
      <c r="G9976" s="5" t="s">
        <v>61476</v>
      </c>
      <c r="H9976" s="6" t="s">
        <v>61477</v>
      </c>
      <c r="K9976" s="5" t="s">
        <v>61478</v>
      </c>
    </row>
    <row r="9977">
      <c r="A9977" s="4">
        <v>45534.53055981481</v>
      </c>
      <c r="B9977" s="5" t="s">
        <v>34</v>
      </c>
      <c r="D9977" s="5" t="s">
        <v>996</v>
      </c>
      <c r="E9977" s="5" t="s">
        <v>27491</v>
      </c>
      <c r="F9977" s="5" t="s">
        <v>72</v>
      </c>
      <c r="G9977" s="5" t="s">
        <v>61482</v>
      </c>
      <c r="H9977" s="6" t="s">
        <v>61483</v>
      </c>
      <c r="K9977" s="5" t="s">
        <v>61484</v>
      </c>
    </row>
    <row r="9978">
      <c r="A9978" s="4">
        <v>45534.53104523148</v>
      </c>
      <c r="B9978" s="5" t="s">
        <v>19</v>
      </c>
      <c r="C9978" s="5" t="s">
        <v>20</v>
      </c>
      <c r="E9978" s="5" t="s">
        <v>61487</v>
      </c>
      <c r="F9978" s="5" t="s">
        <v>37</v>
      </c>
      <c r="G9978" s="5" t="s">
        <v>61488</v>
      </c>
      <c r="H9978" s="6" t="s">
        <v>61489</v>
      </c>
      <c r="K9978" s="5" t="s">
        <v>61484</v>
      </c>
    </row>
    <row r="9979">
      <c r="A9979" s="4">
        <v>45534.531197222226</v>
      </c>
      <c r="B9979" s="5" t="s">
        <v>19</v>
      </c>
      <c r="C9979" s="5" t="s">
        <v>292</v>
      </c>
      <c r="E9979" s="5" t="s">
        <v>61492</v>
      </c>
      <c r="F9979" s="5" t="s">
        <v>37</v>
      </c>
      <c r="G9979" s="5" t="s">
        <v>61493</v>
      </c>
      <c r="H9979" s="6" t="s">
        <v>61494</v>
      </c>
      <c r="K9979" s="5" t="s">
        <v>61495</v>
      </c>
    </row>
    <row r="9980">
      <c r="A9980" s="4">
        <v>45534.53121902778</v>
      </c>
      <c r="B9980" s="5" t="s">
        <v>19</v>
      </c>
      <c r="C9980" s="5" t="s">
        <v>20</v>
      </c>
      <c r="E9980" s="5" t="s">
        <v>61498</v>
      </c>
      <c r="F9980" s="5" t="s">
        <v>72</v>
      </c>
      <c r="G9980" s="5" t="s">
        <v>61499</v>
      </c>
      <c r="H9980" s="6" t="s">
        <v>61500</v>
      </c>
      <c r="K9980" s="5" t="s">
        <v>61495</v>
      </c>
    </row>
    <row r="9981">
      <c r="A9981" s="4">
        <v>45534.53151645833</v>
      </c>
      <c r="B9981" s="5" t="s">
        <v>34</v>
      </c>
      <c r="D9981" s="5" t="s">
        <v>4775</v>
      </c>
      <c r="E9981" s="5" t="s">
        <v>61503</v>
      </c>
      <c r="F9981" s="5" t="s">
        <v>72</v>
      </c>
      <c r="G9981" s="5" t="s">
        <v>61504</v>
      </c>
      <c r="H9981" s="6" t="s">
        <v>61505</v>
      </c>
      <c r="K9981" s="5" t="s">
        <v>61506</v>
      </c>
    </row>
    <row r="9982">
      <c r="A9982" s="4">
        <v>45534.53179511574</v>
      </c>
      <c r="B9982" s="5" t="s">
        <v>34</v>
      </c>
      <c r="D9982" s="5" t="s">
        <v>11527</v>
      </c>
      <c r="E9982" s="5" t="s">
        <v>61510</v>
      </c>
      <c r="F9982" s="5" t="s">
        <v>212</v>
      </c>
      <c r="G9982" s="5" t="s">
        <v>61511</v>
      </c>
      <c r="H9982" s="6" t="s">
        <v>61512</v>
      </c>
      <c r="K9982" s="5" t="s">
        <v>61513</v>
      </c>
    </row>
    <row r="9983">
      <c r="A9983" s="4">
        <v>45534.531912164355</v>
      </c>
      <c r="B9983" s="5" t="s">
        <v>34</v>
      </c>
      <c r="D9983" s="5" t="s">
        <v>10297</v>
      </c>
      <c r="E9983" s="5" t="s">
        <v>61516</v>
      </c>
      <c r="F9983" s="5" t="s">
        <v>37</v>
      </c>
      <c r="G9983" s="5" t="s">
        <v>61517</v>
      </c>
      <c r="H9983" s="6" t="s">
        <v>61518</v>
      </c>
      <c r="K9983" s="5" t="s">
        <v>61519</v>
      </c>
    </row>
    <row r="9984">
      <c r="A9984" s="4">
        <v>45534.533080532405</v>
      </c>
      <c r="B9984" s="5" t="s">
        <v>34</v>
      </c>
      <c r="D9984" s="5" t="s">
        <v>1206</v>
      </c>
      <c r="E9984" s="5" t="s">
        <v>61522</v>
      </c>
      <c r="F9984" s="5" t="s">
        <v>375</v>
      </c>
      <c r="G9984" s="5" t="s">
        <v>28447</v>
      </c>
      <c r="H9984" s="6" t="s">
        <v>61523</v>
      </c>
      <c r="K9984" s="5" t="s">
        <v>61524</v>
      </c>
    </row>
    <row r="9985">
      <c r="A9985" s="4">
        <v>45534.53362556713</v>
      </c>
      <c r="B9985" s="5" t="s">
        <v>34</v>
      </c>
      <c r="D9985" s="5" t="s">
        <v>1692</v>
      </c>
      <c r="E9985" s="5" t="s">
        <v>61527</v>
      </c>
      <c r="F9985" s="5" t="s">
        <v>212</v>
      </c>
      <c r="G9985" s="5" t="s">
        <v>61528</v>
      </c>
      <c r="H9985" s="6" t="s">
        <v>61529</v>
      </c>
      <c r="K9985" s="5" t="s">
        <v>61524</v>
      </c>
    </row>
    <row r="9986">
      <c r="A9986" s="4">
        <v>45534.533735578705</v>
      </c>
      <c r="B9986" s="5" t="s">
        <v>34</v>
      </c>
      <c r="D9986" s="5" t="s">
        <v>1768</v>
      </c>
      <c r="E9986" s="5" t="s">
        <v>61532</v>
      </c>
      <c r="F9986" s="5" t="s">
        <v>212</v>
      </c>
      <c r="G9986" s="5" t="s">
        <v>61533</v>
      </c>
      <c r="H9986" s="6" t="s">
        <v>61534</v>
      </c>
      <c r="K9986" s="5" t="s">
        <v>61535</v>
      </c>
    </row>
    <row r="9987">
      <c r="A9987" s="4">
        <v>45534.53391787037</v>
      </c>
      <c r="B9987" s="5" t="s">
        <v>34</v>
      </c>
      <c r="D9987" s="5" t="s">
        <v>4775</v>
      </c>
      <c r="E9987" s="5" t="s">
        <v>61539</v>
      </c>
      <c r="F9987" s="5" t="s">
        <v>37</v>
      </c>
      <c r="G9987" s="5" t="s">
        <v>61540</v>
      </c>
      <c r="H9987" s="6" t="s">
        <v>61541</v>
      </c>
      <c r="K9987" s="5" t="s">
        <v>61535</v>
      </c>
    </row>
    <row r="9988">
      <c r="A9988" s="4">
        <v>45534.53394782408</v>
      </c>
      <c r="B9988" s="5" t="s">
        <v>34</v>
      </c>
      <c r="D9988" s="5" t="s">
        <v>6232</v>
      </c>
      <c r="E9988" s="5" t="s">
        <v>61544</v>
      </c>
      <c r="F9988" s="5" t="s">
        <v>212</v>
      </c>
      <c r="G9988" s="5" t="s">
        <v>61545</v>
      </c>
      <c r="H9988" s="6" t="s">
        <v>61546</v>
      </c>
      <c r="K9988" s="5" t="s">
        <v>61535</v>
      </c>
    </row>
    <row r="9989">
      <c r="A9989" s="4">
        <v>45534.53466184028</v>
      </c>
      <c r="B9989" s="5" t="s">
        <v>34</v>
      </c>
      <c r="D9989" s="5" t="s">
        <v>4775</v>
      </c>
      <c r="E9989" s="5" t="s">
        <v>61549</v>
      </c>
      <c r="F9989" s="5" t="s">
        <v>37</v>
      </c>
      <c r="G9989" s="5" t="s">
        <v>61550</v>
      </c>
      <c r="H9989" s="6" t="s">
        <v>61551</v>
      </c>
      <c r="K9989" s="5" t="s">
        <v>61552</v>
      </c>
    </row>
    <row r="9990">
      <c r="A9990" s="4">
        <v>45534.534910937495</v>
      </c>
      <c r="B9990" s="5" t="s">
        <v>34</v>
      </c>
      <c r="D9990" s="5" t="s">
        <v>1692</v>
      </c>
      <c r="E9990" s="5" t="s">
        <v>61555</v>
      </c>
      <c r="F9990" s="5" t="s">
        <v>108</v>
      </c>
      <c r="G9990" s="5" t="s">
        <v>61556</v>
      </c>
      <c r="H9990" s="6" t="s">
        <v>61557</v>
      </c>
      <c r="K9990" s="5" t="s">
        <v>61558</v>
      </c>
    </row>
    <row r="9991">
      <c r="A9991" s="4">
        <v>45534.53572299768</v>
      </c>
      <c r="B9991" s="5" t="s">
        <v>34</v>
      </c>
      <c r="D9991" s="5" t="s">
        <v>522</v>
      </c>
      <c r="E9991" s="5" t="s">
        <v>61561</v>
      </c>
      <c r="F9991" s="5" t="s">
        <v>72</v>
      </c>
      <c r="G9991" s="5" t="s">
        <v>61562</v>
      </c>
      <c r="H9991" s="6" t="s">
        <v>61563</v>
      </c>
      <c r="K9991" s="5" t="s">
        <v>61558</v>
      </c>
    </row>
    <row r="9992">
      <c r="A9992" s="4">
        <v>45534.53616148148</v>
      </c>
      <c r="B9992" s="5" t="s">
        <v>34</v>
      </c>
      <c r="D9992" s="5" t="s">
        <v>1206</v>
      </c>
      <c r="E9992" s="5" t="s">
        <v>55922</v>
      </c>
      <c r="F9992" s="5" t="s">
        <v>37</v>
      </c>
      <c r="G9992" s="5" t="s">
        <v>61567</v>
      </c>
      <c r="H9992" s="6" t="s">
        <v>61568</v>
      </c>
      <c r="K9992" s="5" t="s">
        <v>61569</v>
      </c>
    </row>
    <row r="9993">
      <c r="A9993" s="4">
        <v>45534.53620541666</v>
      </c>
      <c r="B9993" s="5" t="s">
        <v>34</v>
      </c>
      <c r="D9993" s="5" t="s">
        <v>14313</v>
      </c>
      <c r="E9993" s="5" t="s">
        <v>61572</v>
      </c>
      <c r="F9993" s="5" t="s">
        <v>212</v>
      </c>
      <c r="G9993" s="5" t="s">
        <v>61573</v>
      </c>
      <c r="H9993" s="6" t="s">
        <v>61574</v>
      </c>
      <c r="K9993" s="5" t="s">
        <v>61569</v>
      </c>
    </row>
    <row r="9994">
      <c r="A9994" s="4">
        <v>45534.537678402776</v>
      </c>
      <c r="B9994" s="5" t="s">
        <v>34</v>
      </c>
      <c r="D9994" s="5" t="s">
        <v>6232</v>
      </c>
      <c r="E9994" s="5" t="s">
        <v>61577</v>
      </c>
      <c r="F9994" s="5" t="s">
        <v>108</v>
      </c>
      <c r="G9994" s="5" t="s">
        <v>61578</v>
      </c>
      <c r="H9994" s="6" t="s">
        <v>61579</v>
      </c>
      <c r="K9994" s="5" t="s">
        <v>61580</v>
      </c>
    </row>
    <row r="9995">
      <c r="A9995" s="4">
        <v>45534.537798935184</v>
      </c>
      <c r="B9995" s="5" t="s">
        <v>34</v>
      </c>
      <c r="D9995" s="5" t="s">
        <v>4775</v>
      </c>
      <c r="E9995" s="5" t="s">
        <v>61583</v>
      </c>
      <c r="F9995" s="5" t="s">
        <v>37</v>
      </c>
      <c r="G9995" s="5" t="s">
        <v>31039</v>
      </c>
      <c r="H9995" s="6" t="s">
        <v>61584</v>
      </c>
      <c r="K9995" s="5" t="s">
        <v>61580</v>
      </c>
    </row>
    <row r="9996">
      <c r="A9996" s="4">
        <v>45534.53785277778</v>
      </c>
      <c r="B9996" s="5" t="s">
        <v>34</v>
      </c>
      <c r="D9996" s="5" t="s">
        <v>522</v>
      </c>
      <c r="E9996" s="5" t="s">
        <v>22530</v>
      </c>
      <c r="F9996" s="5" t="s">
        <v>72</v>
      </c>
      <c r="G9996" s="5" t="s">
        <v>22531</v>
      </c>
      <c r="H9996" s="6" t="s">
        <v>61588</v>
      </c>
      <c r="K9996" s="5" t="s">
        <v>61580</v>
      </c>
    </row>
    <row r="9997">
      <c r="A9997" s="4">
        <v>45534.53804274306</v>
      </c>
      <c r="B9997" s="5" t="s">
        <v>34</v>
      </c>
      <c r="D9997" s="5" t="s">
        <v>11527</v>
      </c>
      <c r="E9997" s="5" t="s">
        <v>61592</v>
      </c>
      <c r="F9997" s="5" t="s">
        <v>524</v>
      </c>
      <c r="G9997" s="5" t="s">
        <v>61593</v>
      </c>
      <c r="H9997" s="6" t="s">
        <v>61594</v>
      </c>
      <c r="K9997" s="5" t="s">
        <v>61595</v>
      </c>
    </row>
    <row r="9998">
      <c r="A9998" s="4">
        <v>45534.5384393287</v>
      </c>
      <c r="B9998" s="5" t="s">
        <v>19</v>
      </c>
      <c r="C9998" s="5" t="s">
        <v>466</v>
      </c>
      <c r="E9998" s="5" t="s">
        <v>61598</v>
      </c>
      <c r="F9998" s="5" t="s">
        <v>212</v>
      </c>
      <c r="G9998" s="5" t="s">
        <v>61599</v>
      </c>
      <c r="H9998" s="6" t="s">
        <v>61600</v>
      </c>
      <c r="K9998" s="5" t="s">
        <v>61601</v>
      </c>
    </row>
    <row r="9999">
      <c r="A9999" s="4">
        <v>45534.53845723379</v>
      </c>
      <c r="B9999" s="5" t="s">
        <v>34</v>
      </c>
      <c r="D9999" s="5" t="s">
        <v>6232</v>
      </c>
      <c r="E9999" s="5" t="s">
        <v>30648</v>
      </c>
      <c r="F9999" s="5" t="s">
        <v>37</v>
      </c>
      <c r="G9999" s="5" t="s">
        <v>61605</v>
      </c>
      <c r="H9999" s="6" t="s">
        <v>61606</v>
      </c>
      <c r="K9999" s="5" t="s">
        <v>61601</v>
      </c>
    </row>
    <row r="10000">
      <c r="A10000" s="4">
        <v>45534.53901136574</v>
      </c>
      <c r="B10000" s="5" t="s">
        <v>34</v>
      </c>
      <c r="D10000" s="5" t="s">
        <v>4775</v>
      </c>
      <c r="E10000" s="5" t="s">
        <v>61609</v>
      </c>
      <c r="F10000" s="5" t="s">
        <v>37</v>
      </c>
      <c r="G10000" s="5" t="s">
        <v>61610</v>
      </c>
      <c r="H10000" s="6" t="s">
        <v>61611</v>
      </c>
      <c r="K10000" s="5" t="s">
        <v>61612</v>
      </c>
    </row>
    <row r="10001">
      <c r="A10001" s="4">
        <v>45534.539061469906</v>
      </c>
      <c r="B10001" s="5" t="s">
        <v>34</v>
      </c>
      <c r="D10001" s="5" t="s">
        <v>35</v>
      </c>
      <c r="E10001" s="5" t="s">
        <v>61615</v>
      </c>
      <c r="F10001" s="5" t="s">
        <v>120</v>
      </c>
      <c r="G10001" s="5" t="s">
        <v>50238</v>
      </c>
      <c r="H10001" s="6" t="s">
        <v>61616</v>
      </c>
      <c r="K10001" s="5" t="s">
        <v>61612</v>
      </c>
    </row>
    <row r="10002">
      <c r="A10002" s="4">
        <v>45534.53998688658</v>
      </c>
      <c r="B10002" s="5" t="s">
        <v>34</v>
      </c>
      <c r="D10002" s="5" t="s">
        <v>604</v>
      </c>
      <c r="E10002" s="5" t="s">
        <v>61619</v>
      </c>
      <c r="F10002" s="5" t="s">
        <v>212</v>
      </c>
      <c r="G10002" s="5" t="s">
        <v>61620</v>
      </c>
      <c r="H10002" s="6" t="s">
        <v>61621</v>
      </c>
      <c r="K10002" s="5" t="s">
        <v>61612</v>
      </c>
    </row>
    <row r="10003">
      <c r="A10003" s="4">
        <v>45534.540998599536</v>
      </c>
      <c r="B10003" s="5" t="s">
        <v>34</v>
      </c>
      <c r="D10003" s="5" t="s">
        <v>1558</v>
      </c>
      <c r="E10003" s="5" t="s">
        <v>61625</v>
      </c>
      <c r="F10003" s="5" t="s">
        <v>212</v>
      </c>
      <c r="G10003" s="5" t="s">
        <v>61626</v>
      </c>
      <c r="H10003" s="6" t="s">
        <v>61627</v>
      </c>
      <c r="K10003" s="5" t="s">
        <v>61628</v>
      </c>
    </row>
    <row r="10004">
      <c r="A10004" s="4">
        <v>45534.54159489583</v>
      </c>
      <c r="B10004" s="5" t="s">
        <v>34</v>
      </c>
      <c r="D10004" s="5" t="s">
        <v>3432</v>
      </c>
      <c r="E10004" s="5" t="s">
        <v>36493</v>
      </c>
      <c r="F10004" s="5" t="s">
        <v>524</v>
      </c>
      <c r="G10004" s="5" t="s">
        <v>61631</v>
      </c>
      <c r="H10004" s="6" t="s">
        <v>61632</v>
      </c>
      <c r="K10004" s="5" t="s">
        <v>61633</v>
      </c>
    </row>
    <row r="10005">
      <c r="A10005" s="4">
        <v>45534.54170693287</v>
      </c>
      <c r="B10005" s="5" t="s">
        <v>34</v>
      </c>
      <c r="D10005" s="5" t="s">
        <v>604</v>
      </c>
      <c r="E10005" s="5" t="s">
        <v>37433</v>
      </c>
      <c r="F10005" s="5" t="s">
        <v>108</v>
      </c>
      <c r="G10005" s="5" t="s">
        <v>5135</v>
      </c>
      <c r="H10005" s="6" t="s">
        <v>61636</v>
      </c>
      <c r="K10005" s="5" t="s">
        <v>61637</v>
      </c>
    </row>
    <row r="10006">
      <c r="A10006" s="4">
        <v>45534.54172542824</v>
      </c>
      <c r="B10006" s="5" t="s">
        <v>19</v>
      </c>
      <c r="C10006" s="5" t="s">
        <v>466</v>
      </c>
      <c r="E10006" s="5" t="s">
        <v>61640</v>
      </c>
      <c r="F10006" s="5" t="s">
        <v>120</v>
      </c>
      <c r="G10006" s="5" t="s">
        <v>61641</v>
      </c>
      <c r="H10006" s="6" t="s">
        <v>61642</v>
      </c>
      <c r="K10006" s="5" t="s">
        <v>61637</v>
      </c>
    </row>
    <row r="10007">
      <c r="A10007" s="4">
        <v>45534.54186467592</v>
      </c>
      <c r="B10007" s="5" t="s">
        <v>19</v>
      </c>
      <c r="C10007" s="5" t="s">
        <v>292</v>
      </c>
      <c r="E10007" s="5" t="s">
        <v>61646</v>
      </c>
      <c r="F10007" s="5" t="s">
        <v>212</v>
      </c>
      <c r="G10007" s="5" t="s">
        <v>61647</v>
      </c>
      <c r="H10007" s="6" t="s">
        <v>61648</v>
      </c>
      <c r="K10007" s="5" t="s">
        <v>61649</v>
      </c>
    </row>
    <row r="10008">
      <c r="A10008" s="4">
        <v>45534.54264789352</v>
      </c>
      <c r="B10008" s="5" t="s">
        <v>34</v>
      </c>
      <c r="D10008" s="5" t="s">
        <v>4775</v>
      </c>
      <c r="E10008" s="5" t="s">
        <v>61652</v>
      </c>
      <c r="F10008" s="5" t="s">
        <v>524</v>
      </c>
      <c r="G10008" s="5" t="s">
        <v>19288</v>
      </c>
      <c r="H10008" s="6" t="s">
        <v>61653</v>
      </c>
      <c r="K10008" s="5" t="s">
        <v>61654</v>
      </c>
    </row>
    <row r="10009">
      <c r="A10009" s="4">
        <v>45534.544739907404</v>
      </c>
      <c r="B10009" s="5" t="s">
        <v>19</v>
      </c>
      <c r="C10009" s="5" t="s">
        <v>3301</v>
      </c>
      <c r="E10009" s="5" t="s">
        <v>61657</v>
      </c>
      <c r="F10009" s="5" t="s">
        <v>37</v>
      </c>
      <c r="G10009" s="5" t="s">
        <v>61658</v>
      </c>
      <c r="H10009" s="6" t="s">
        <v>61659</v>
      </c>
      <c r="K10009" s="5" t="s">
        <v>61660</v>
      </c>
    </row>
    <row r="10010">
      <c r="A10010" s="4">
        <v>45534.54608140046</v>
      </c>
      <c r="B10010" s="5" t="s">
        <v>34</v>
      </c>
      <c r="D10010" s="5" t="s">
        <v>35</v>
      </c>
      <c r="E10010" s="5" t="s">
        <v>10320</v>
      </c>
      <c r="F10010" s="5" t="s">
        <v>108</v>
      </c>
      <c r="G10010" s="5" t="s">
        <v>10321</v>
      </c>
      <c r="H10010" s="6" t="s">
        <v>61663</v>
      </c>
      <c r="K10010" s="5" t="s">
        <v>61664</v>
      </c>
    </row>
    <row r="10011">
      <c r="A10011" s="4">
        <v>45534.546498483796</v>
      </c>
      <c r="B10011" s="5" t="s">
        <v>34</v>
      </c>
      <c r="D10011" s="5" t="s">
        <v>9020</v>
      </c>
      <c r="E10011" s="5" t="s">
        <v>61667</v>
      </c>
      <c r="F10011" s="5" t="s">
        <v>212</v>
      </c>
      <c r="G10011" s="5" t="s">
        <v>61668</v>
      </c>
      <c r="H10011" s="6" t="s">
        <v>61669</v>
      </c>
      <c r="K10011" s="5" t="s">
        <v>61670</v>
      </c>
    </row>
    <row r="10012">
      <c r="A10012" s="4">
        <v>45534.54698663195</v>
      </c>
      <c r="B10012" s="5" t="s">
        <v>34</v>
      </c>
      <c r="D10012" s="5" t="s">
        <v>10297</v>
      </c>
      <c r="E10012" s="5" t="s">
        <v>61674</v>
      </c>
      <c r="F10012" s="5" t="s">
        <v>108</v>
      </c>
      <c r="G10012" s="5" t="s">
        <v>61675</v>
      </c>
      <c r="H10012" s="6" t="s">
        <v>61676</v>
      </c>
      <c r="K10012" s="5" t="s">
        <v>61677</v>
      </c>
    </row>
    <row r="10013">
      <c r="A10013" s="4">
        <v>45534.54732090278</v>
      </c>
      <c r="B10013" s="5" t="s">
        <v>34</v>
      </c>
      <c r="D10013" s="5" t="s">
        <v>1692</v>
      </c>
      <c r="E10013" s="5" t="s">
        <v>61680</v>
      </c>
      <c r="F10013" s="5" t="s">
        <v>328</v>
      </c>
      <c r="G10013" s="5" t="s">
        <v>61681</v>
      </c>
      <c r="H10013" s="6" t="s">
        <v>61682</v>
      </c>
      <c r="K10013" s="5" t="s">
        <v>61683</v>
      </c>
    </row>
    <row r="10014">
      <c r="A10014" s="4">
        <v>45534.54759947916</v>
      </c>
      <c r="B10014" s="5" t="s">
        <v>19</v>
      </c>
      <c r="C10014" s="5" t="s">
        <v>292</v>
      </c>
      <c r="E10014" s="5" t="s">
        <v>61686</v>
      </c>
      <c r="F10014" s="5" t="s">
        <v>212</v>
      </c>
      <c r="G10014" s="5" t="s">
        <v>61687</v>
      </c>
      <c r="H10014" s="6" t="s">
        <v>61688</v>
      </c>
      <c r="K10014" s="5" t="s">
        <v>61689</v>
      </c>
    </row>
    <row r="10015">
      <c r="A10015" s="4">
        <v>45534.54814122686</v>
      </c>
      <c r="B10015" s="5" t="s">
        <v>19</v>
      </c>
      <c r="C10015" s="5" t="s">
        <v>14000</v>
      </c>
      <c r="E10015" s="5" t="s">
        <v>61692</v>
      </c>
      <c r="F10015" s="5" t="s">
        <v>37</v>
      </c>
      <c r="G10015" s="5" t="s">
        <v>61693</v>
      </c>
      <c r="H10015" s="6" t="s">
        <v>61694</v>
      </c>
      <c r="K10015" s="5" t="s">
        <v>61695</v>
      </c>
    </row>
    <row r="10016">
      <c r="A10016" s="4">
        <v>45534.548532245375</v>
      </c>
      <c r="B10016" s="5" t="s">
        <v>34</v>
      </c>
      <c r="D10016" s="5" t="s">
        <v>1206</v>
      </c>
      <c r="E10016" s="5" t="s">
        <v>61699</v>
      </c>
      <c r="F10016" s="5" t="s">
        <v>37</v>
      </c>
      <c r="G10016" s="5" t="s">
        <v>61700</v>
      </c>
      <c r="H10016" s="6" t="s">
        <v>61701</v>
      </c>
      <c r="K10016" s="5" t="s">
        <v>61702</v>
      </c>
    </row>
    <row r="10017">
      <c r="A10017" s="4">
        <v>45534.54887971065</v>
      </c>
      <c r="B10017" s="5" t="s">
        <v>34</v>
      </c>
      <c r="D10017" s="5" t="s">
        <v>9020</v>
      </c>
      <c r="E10017" s="5" t="s">
        <v>61706</v>
      </c>
      <c r="F10017" s="5" t="s">
        <v>120</v>
      </c>
      <c r="G10017" s="5" t="s">
        <v>61707</v>
      </c>
      <c r="H10017" s="6" t="s">
        <v>61708</v>
      </c>
      <c r="K10017" s="5" t="s">
        <v>61709</v>
      </c>
    </row>
    <row r="10018">
      <c r="A10018" s="4">
        <v>45534.549416643524</v>
      </c>
      <c r="B10018" s="5" t="s">
        <v>34</v>
      </c>
      <c r="D10018" s="5" t="s">
        <v>996</v>
      </c>
      <c r="E10018" s="5" t="s">
        <v>61713</v>
      </c>
      <c r="F10018" s="5" t="s">
        <v>22</v>
      </c>
      <c r="G10018" s="5" t="s">
        <v>61714</v>
      </c>
      <c r="H10018" s="6" t="s">
        <v>61715</v>
      </c>
      <c r="K10018" s="5" t="s">
        <v>61709</v>
      </c>
    </row>
    <row r="10019">
      <c r="A10019" s="4">
        <v>45534.549461504634</v>
      </c>
      <c r="B10019" s="5" t="s">
        <v>34</v>
      </c>
      <c r="D10019" s="5" t="s">
        <v>9020</v>
      </c>
      <c r="E10019" s="5" t="s">
        <v>61719</v>
      </c>
      <c r="F10019" s="5" t="s">
        <v>212</v>
      </c>
      <c r="G10019" s="5" t="s">
        <v>61720</v>
      </c>
      <c r="H10019" s="6" t="s">
        <v>61721</v>
      </c>
      <c r="K10019" s="5" t="s">
        <v>61709</v>
      </c>
    </row>
    <row r="10020">
      <c r="A10020" s="4">
        <v>45534.54978025463</v>
      </c>
      <c r="B10020" s="5" t="s">
        <v>34</v>
      </c>
      <c r="D10020" s="5" t="s">
        <v>701</v>
      </c>
      <c r="E10020" s="5" t="s">
        <v>61725</v>
      </c>
      <c r="F10020" s="5" t="s">
        <v>212</v>
      </c>
      <c r="G10020" s="5" t="s">
        <v>61726</v>
      </c>
      <c r="H10020" s="6" t="s">
        <v>61727</v>
      </c>
      <c r="K10020" s="5" t="s">
        <v>61728</v>
      </c>
    </row>
    <row r="10021">
      <c r="A10021" s="4">
        <v>45534.55125438658</v>
      </c>
      <c r="B10021" s="5" t="s">
        <v>34</v>
      </c>
      <c r="D10021" s="5" t="s">
        <v>10297</v>
      </c>
      <c r="E10021" s="5" t="s">
        <v>61732</v>
      </c>
      <c r="F10021" s="5" t="s">
        <v>524</v>
      </c>
      <c r="G10021" s="5" t="s">
        <v>39474</v>
      </c>
      <c r="H10021" s="6" t="s">
        <v>61733</v>
      </c>
      <c r="K10021" s="5" t="s">
        <v>61734</v>
      </c>
    </row>
    <row r="10022">
      <c r="A10022" s="4">
        <v>45534.55131388889</v>
      </c>
      <c r="B10022" s="5" t="s">
        <v>34</v>
      </c>
      <c r="D10022" s="5" t="s">
        <v>10297</v>
      </c>
      <c r="E10022" s="5" t="s">
        <v>51740</v>
      </c>
      <c r="F10022" s="5" t="s">
        <v>524</v>
      </c>
      <c r="G10022" s="5" t="s">
        <v>61738</v>
      </c>
      <c r="H10022" s="6" t="s">
        <v>61739</v>
      </c>
      <c r="K10022" s="5" t="s">
        <v>61734</v>
      </c>
    </row>
    <row r="10023">
      <c r="A10023" s="4">
        <v>45534.55133199074</v>
      </c>
      <c r="B10023" s="5" t="s">
        <v>34</v>
      </c>
      <c r="D10023" s="5" t="s">
        <v>6232</v>
      </c>
      <c r="E10023" s="5" t="s">
        <v>61743</v>
      </c>
      <c r="F10023" s="5" t="s">
        <v>524</v>
      </c>
      <c r="G10023" s="5" t="s">
        <v>61744</v>
      </c>
      <c r="H10023" s="6" t="s">
        <v>61745</v>
      </c>
      <c r="K10023" s="5" t="s">
        <v>61734</v>
      </c>
    </row>
    <row r="10024">
      <c r="A10024" s="4">
        <v>45534.55161384259</v>
      </c>
      <c r="B10024" s="5" t="s">
        <v>34</v>
      </c>
      <c r="D10024" s="5" t="s">
        <v>11527</v>
      </c>
      <c r="E10024" s="5" t="s">
        <v>61749</v>
      </c>
      <c r="F10024" s="5" t="s">
        <v>37</v>
      </c>
      <c r="G10024" s="5" t="s">
        <v>61750</v>
      </c>
      <c r="H10024" s="6" t="s">
        <v>61751</v>
      </c>
      <c r="K10024" s="5" t="s">
        <v>61752</v>
      </c>
    </row>
    <row r="10025">
      <c r="A10025" s="4">
        <v>45534.55180743056</v>
      </c>
      <c r="B10025" s="5" t="s">
        <v>34</v>
      </c>
      <c r="D10025" s="5" t="s">
        <v>1206</v>
      </c>
      <c r="E10025" s="5" t="s">
        <v>61756</v>
      </c>
      <c r="F10025" s="5" t="s">
        <v>524</v>
      </c>
      <c r="G10025" s="5" t="s">
        <v>61757</v>
      </c>
      <c r="H10025" s="6" t="s">
        <v>61758</v>
      </c>
      <c r="K10025" s="5" t="s">
        <v>61752</v>
      </c>
    </row>
    <row r="10026">
      <c r="A10026" s="4">
        <v>45534.551920729165</v>
      </c>
      <c r="B10026" s="5" t="s">
        <v>19</v>
      </c>
      <c r="C10026" s="5" t="s">
        <v>55133</v>
      </c>
      <c r="E10026" s="5" t="s">
        <v>61762</v>
      </c>
      <c r="F10026" s="5" t="s">
        <v>108</v>
      </c>
      <c r="G10026" s="5" t="s">
        <v>61763</v>
      </c>
      <c r="H10026" s="6" t="s">
        <v>61764</v>
      </c>
      <c r="K10026" s="5" t="s">
        <v>61765</v>
      </c>
    </row>
    <row r="10027">
      <c r="A10027" s="4">
        <v>45534.55240726852</v>
      </c>
      <c r="B10027" s="5" t="s">
        <v>34</v>
      </c>
      <c r="D10027" s="5" t="s">
        <v>1456</v>
      </c>
      <c r="E10027" s="5" t="s">
        <v>61769</v>
      </c>
      <c r="F10027" s="5" t="s">
        <v>375</v>
      </c>
      <c r="G10027" s="5" t="s">
        <v>61770</v>
      </c>
      <c r="H10027" s="6" t="s">
        <v>61771</v>
      </c>
      <c r="K10027" s="5" t="s">
        <v>61765</v>
      </c>
    </row>
    <row r="10028">
      <c r="A10028" s="4">
        <v>45534.55284638889</v>
      </c>
      <c r="B10028" s="5" t="s">
        <v>19</v>
      </c>
      <c r="C10028" s="5" t="s">
        <v>14000</v>
      </c>
      <c r="E10028" s="5" t="s">
        <v>61775</v>
      </c>
      <c r="F10028" s="5" t="s">
        <v>37</v>
      </c>
      <c r="G10028" s="5" t="s">
        <v>61776</v>
      </c>
      <c r="H10028" s="6" t="s">
        <v>61777</v>
      </c>
      <c r="K10028" s="5" t="s">
        <v>61778</v>
      </c>
    </row>
    <row r="10029">
      <c r="A10029" s="4">
        <v>45534.55481001157</v>
      </c>
      <c r="B10029" s="5" t="s">
        <v>19</v>
      </c>
      <c r="C10029" s="5" t="s">
        <v>14000</v>
      </c>
      <c r="E10029" s="5" t="s">
        <v>61782</v>
      </c>
      <c r="F10029" s="5" t="s">
        <v>37</v>
      </c>
      <c r="G10029" s="5" t="s">
        <v>61783</v>
      </c>
      <c r="H10029" s="6" t="s">
        <v>61784</v>
      </c>
      <c r="K10029" s="5" t="s">
        <v>61785</v>
      </c>
    </row>
    <row r="10030">
      <c r="A10030" s="4">
        <v>45534.554972673606</v>
      </c>
      <c r="B10030" s="5" t="s">
        <v>34</v>
      </c>
      <c r="D10030" s="5" t="s">
        <v>996</v>
      </c>
      <c r="E10030" s="5" t="s">
        <v>61789</v>
      </c>
      <c r="F10030" s="5" t="s">
        <v>72</v>
      </c>
      <c r="G10030" s="5" t="s">
        <v>61790</v>
      </c>
      <c r="H10030" s="6" t="s">
        <v>61791</v>
      </c>
      <c r="K10030" s="5" t="s">
        <v>61792</v>
      </c>
    </row>
    <row r="10031">
      <c r="A10031" s="4">
        <v>45534.55514976852</v>
      </c>
      <c r="B10031" s="5" t="s">
        <v>34</v>
      </c>
      <c r="D10031" s="5" t="s">
        <v>6232</v>
      </c>
      <c r="E10031" s="5" t="s">
        <v>61796</v>
      </c>
      <c r="F10031" s="5" t="s">
        <v>37</v>
      </c>
      <c r="G10031" s="5" t="s">
        <v>61797</v>
      </c>
      <c r="H10031" s="6" t="s">
        <v>61798</v>
      </c>
      <c r="K10031" s="5" t="s">
        <v>61799</v>
      </c>
    </row>
    <row r="10032">
      <c r="A10032" s="4">
        <v>45534.55523450232</v>
      </c>
      <c r="B10032" s="5" t="s">
        <v>34</v>
      </c>
      <c r="D10032" s="5" t="s">
        <v>1558</v>
      </c>
      <c r="E10032" s="5" t="s">
        <v>61803</v>
      </c>
      <c r="F10032" s="5" t="s">
        <v>212</v>
      </c>
      <c r="G10032" s="5" t="s">
        <v>61804</v>
      </c>
      <c r="H10032" s="6" t="s">
        <v>61805</v>
      </c>
      <c r="K10032" s="5" t="s">
        <v>61806</v>
      </c>
    </row>
    <row r="10033">
      <c r="A10033" s="4">
        <v>45534.555461655094</v>
      </c>
      <c r="B10033" s="5" t="s">
        <v>34</v>
      </c>
      <c r="D10033" s="5" t="s">
        <v>12978</v>
      </c>
      <c r="E10033" s="5" t="s">
        <v>32839</v>
      </c>
      <c r="F10033" s="5" t="s">
        <v>375</v>
      </c>
      <c r="G10033" s="5" t="s">
        <v>61810</v>
      </c>
      <c r="H10033" s="6" t="s">
        <v>61811</v>
      </c>
      <c r="K10033" s="5" t="s">
        <v>61812</v>
      </c>
    </row>
    <row r="10034">
      <c r="A10034" s="4">
        <v>45534.555829687495</v>
      </c>
      <c r="B10034" s="5" t="s">
        <v>34</v>
      </c>
      <c r="D10034" s="5" t="s">
        <v>6232</v>
      </c>
      <c r="E10034" s="5" t="s">
        <v>61816</v>
      </c>
      <c r="F10034" s="5" t="s">
        <v>37</v>
      </c>
      <c r="G10034" s="5" t="s">
        <v>61817</v>
      </c>
      <c r="H10034" s="6" t="s">
        <v>61818</v>
      </c>
      <c r="K10034" s="5" t="s">
        <v>61819</v>
      </c>
    </row>
    <row r="10035">
      <c r="A10035" s="4">
        <v>45534.55664732639</v>
      </c>
      <c r="B10035" s="5" t="s">
        <v>34</v>
      </c>
      <c r="D10035" s="5" t="s">
        <v>1206</v>
      </c>
      <c r="E10035" s="5" t="s">
        <v>61823</v>
      </c>
      <c r="F10035" s="5" t="s">
        <v>37</v>
      </c>
      <c r="G10035" s="5" t="s">
        <v>61824</v>
      </c>
      <c r="H10035" s="6" t="s">
        <v>61825</v>
      </c>
      <c r="K10035" s="5" t="s">
        <v>61826</v>
      </c>
    </row>
    <row r="10036">
      <c r="A10036" s="4">
        <v>45534.557095833334</v>
      </c>
      <c r="B10036" s="5" t="s">
        <v>34</v>
      </c>
      <c r="D10036" s="5" t="s">
        <v>2903</v>
      </c>
      <c r="E10036" s="5" t="s">
        <v>61830</v>
      </c>
      <c r="F10036" s="5" t="s">
        <v>375</v>
      </c>
      <c r="G10036" s="5" t="s">
        <v>61831</v>
      </c>
      <c r="H10036" s="6" t="s">
        <v>61832</v>
      </c>
      <c r="K10036" s="5" t="s">
        <v>61826</v>
      </c>
    </row>
    <row r="10037">
      <c r="A10037" s="4">
        <v>45534.557368229165</v>
      </c>
      <c r="B10037" s="5" t="s">
        <v>19</v>
      </c>
      <c r="C10037" s="5" t="s">
        <v>292</v>
      </c>
      <c r="E10037" s="5" t="s">
        <v>61836</v>
      </c>
      <c r="F10037" s="5" t="s">
        <v>524</v>
      </c>
      <c r="G10037" s="5" t="s">
        <v>61837</v>
      </c>
      <c r="H10037" s="6" t="s">
        <v>61838</v>
      </c>
      <c r="K10037" s="5" t="s">
        <v>61839</v>
      </c>
    </row>
    <row r="10038">
      <c r="A10038" s="4">
        <v>45534.55755733796</v>
      </c>
      <c r="B10038" s="5" t="s">
        <v>34</v>
      </c>
      <c r="D10038" s="5" t="s">
        <v>1206</v>
      </c>
      <c r="E10038" s="5" t="s">
        <v>24624</v>
      </c>
      <c r="F10038" s="5" t="s">
        <v>37</v>
      </c>
      <c r="G10038" s="5" t="s">
        <v>61843</v>
      </c>
      <c r="H10038" s="6" t="s">
        <v>61844</v>
      </c>
      <c r="K10038" s="5" t="s">
        <v>61845</v>
      </c>
    </row>
    <row r="10039">
      <c r="A10039" s="4">
        <v>45534.558484594905</v>
      </c>
      <c r="B10039" s="5" t="s">
        <v>34</v>
      </c>
      <c r="D10039" s="5" t="s">
        <v>4775</v>
      </c>
      <c r="E10039" s="5" t="s">
        <v>61849</v>
      </c>
      <c r="F10039" s="5" t="s">
        <v>212</v>
      </c>
      <c r="G10039" s="5" t="s">
        <v>61850</v>
      </c>
      <c r="H10039" s="6" t="s">
        <v>61851</v>
      </c>
      <c r="K10039" s="5" t="s">
        <v>61852</v>
      </c>
    </row>
    <row r="10040">
      <c r="A10040" s="4">
        <v>45534.558606412036</v>
      </c>
      <c r="B10040" s="5" t="s">
        <v>34</v>
      </c>
      <c r="D10040" s="5" t="s">
        <v>1206</v>
      </c>
      <c r="E10040" s="5" t="s">
        <v>61856</v>
      </c>
      <c r="F10040" s="5" t="s">
        <v>212</v>
      </c>
      <c r="G10040" s="5" t="s">
        <v>61857</v>
      </c>
      <c r="H10040" s="6" t="s">
        <v>61858</v>
      </c>
      <c r="K10040" s="5" t="s">
        <v>61859</v>
      </c>
    </row>
    <row r="10041">
      <c r="A10041" s="4">
        <v>45534.55910646991</v>
      </c>
      <c r="B10041" s="5" t="s">
        <v>34</v>
      </c>
      <c r="D10041" s="5" t="s">
        <v>580</v>
      </c>
      <c r="E10041" s="5" t="s">
        <v>61863</v>
      </c>
      <c r="F10041" s="5" t="s">
        <v>375</v>
      </c>
      <c r="G10041" s="5" t="s">
        <v>61864</v>
      </c>
      <c r="H10041" s="6" t="s">
        <v>61865</v>
      </c>
      <c r="K10041" s="5" t="s">
        <v>61866</v>
      </c>
    </row>
    <row r="10042">
      <c r="A10042" s="4">
        <v>45534.559177013885</v>
      </c>
      <c r="B10042" s="5" t="s">
        <v>34</v>
      </c>
      <c r="D10042" s="5" t="s">
        <v>12978</v>
      </c>
      <c r="E10042" s="5" t="s">
        <v>61870</v>
      </c>
      <c r="F10042" s="5" t="s">
        <v>120</v>
      </c>
      <c r="G10042" s="5" t="s">
        <v>61871</v>
      </c>
      <c r="H10042" s="6" t="s">
        <v>61872</v>
      </c>
      <c r="K10042" s="5" t="s">
        <v>61873</v>
      </c>
    </row>
    <row r="10043">
      <c r="A10043" s="4">
        <v>45534.559378715276</v>
      </c>
      <c r="B10043" s="5" t="s">
        <v>34</v>
      </c>
      <c r="D10043" s="5" t="s">
        <v>2903</v>
      </c>
      <c r="E10043" s="5" t="s">
        <v>61877</v>
      </c>
      <c r="F10043" s="5" t="s">
        <v>375</v>
      </c>
      <c r="G10043" s="5" t="s">
        <v>61878</v>
      </c>
      <c r="H10043" s="6" t="s">
        <v>61879</v>
      </c>
      <c r="K10043" s="5" t="s">
        <v>61880</v>
      </c>
    </row>
    <row r="10044">
      <c r="A10044" s="4">
        <v>45534.55980278935</v>
      </c>
      <c r="B10044" s="5" t="s">
        <v>34</v>
      </c>
      <c r="D10044" s="5" t="s">
        <v>1206</v>
      </c>
      <c r="E10044" s="5" t="s">
        <v>61884</v>
      </c>
      <c r="F10044" s="5" t="s">
        <v>37</v>
      </c>
      <c r="G10044" s="5" t="s">
        <v>61885</v>
      </c>
      <c r="H10044" s="6" t="s">
        <v>61886</v>
      </c>
      <c r="K10044" s="5" t="s">
        <v>61880</v>
      </c>
    </row>
    <row r="10045">
      <c r="A10045" s="4">
        <v>45534.56019320602</v>
      </c>
      <c r="B10045" s="5" t="s">
        <v>34</v>
      </c>
      <c r="D10045" s="5" t="s">
        <v>2903</v>
      </c>
      <c r="E10045" s="5" t="s">
        <v>61890</v>
      </c>
      <c r="F10045" s="5" t="s">
        <v>524</v>
      </c>
      <c r="G10045" s="5" t="s">
        <v>61891</v>
      </c>
      <c r="H10045" s="6" t="s">
        <v>61892</v>
      </c>
      <c r="K10045" s="5" t="s">
        <v>61893</v>
      </c>
    </row>
    <row r="10046">
      <c r="A10046" s="4">
        <v>45534.56107967593</v>
      </c>
      <c r="B10046" s="5" t="s">
        <v>34</v>
      </c>
      <c r="D10046" s="5" t="s">
        <v>9394</v>
      </c>
      <c r="E10046" s="5" t="s">
        <v>61897</v>
      </c>
      <c r="F10046" s="5" t="s">
        <v>37</v>
      </c>
      <c r="G10046" s="5" t="s">
        <v>61898</v>
      </c>
      <c r="H10046" s="6" t="s">
        <v>61899</v>
      </c>
      <c r="K10046" s="5" t="s">
        <v>61900</v>
      </c>
    </row>
    <row r="10047">
      <c r="A10047" s="4">
        <v>45534.56220284722</v>
      </c>
      <c r="B10047" s="5" t="s">
        <v>34</v>
      </c>
      <c r="D10047" s="5" t="s">
        <v>12978</v>
      </c>
      <c r="E10047" s="5" t="s">
        <v>61904</v>
      </c>
      <c r="F10047" s="5" t="s">
        <v>212</v>
      </c>
      <c r="G10047" s="5" t="s">
        <v>61905</v>
      </c>
      <c r="H10047" s="6" t="s">
        <v>61906</v>
      </c>
      <c r="K10047" s="5" t="s">
        <v>61900</v>
      </c>
    </row>
    <row r="10048">
      <c r="A10048" s="4">
        <v>45534.56233502315</v>
      </c>
      <c r="B10048" s="5" t="s">
        <v>34</v>
      </c>
      <c r="D10048" s="5" t="s">
        <v>1206</v>
      </c>
      <c r="E10048" s="5" t="s">
        <v>61910</v>
      </c>
      <c r="F10048" s="5" t="s">
        <v>199</v>
      </c>
      <c r="G10048" s="5" t="s">
        <v>61911</v>
      </c>
      <c r="H10048" s="6" t="s">
        <v>61912</v>
      </c>
      <c r="K10048" s="5" t="s">
        <v>61913</v>
      </c>
    </row>
    <row r="10049">
      <c r="A10049" s="4">
        <v>45534.56366252315</v>
      </c>
      <c r="B10049" s="5" t="s">
        <v>19</v>
      </c>
      <c r="C10049" s="5" t="s">
        <v>466</v>
      </c>
      <c r="E10049" s="5" t="s">
        <v>61917</v>
      </c>
      <c r="F10049" s="5" t="s">
        <v>212</v>
      </c>
      <c r="G10049" s="5" t="s">
        <v>61918</v>
      </c>
      <c r="H10049" s="6" t="s">
        <v>61919</v>
      </c>
      <c r="K10049" s="5" t="s">
        <v>61920</v>
      </c>
    </row>
    <row r="10050">
      <c r="A10050" s="4">
        <v>45534.56376149306</v>
      </c>
      <c r="B10050" s="5" t="s">
        <v>34</v>
      </c>
      <c r="D10050" s="5" t="s">
        <v>35</v>
      </c>
      <c r="E10050" s="5" t="s">
        <v>61924</v>
      </c>
      <c r="F10050" s="5" t="s">
        <v>108</v>
      </c>
      <c r="G10050" s="5" t="s">
        <v>61925</v>
      </c>
      <c r="H10050" s="6" t="s">
        <v>61926</v>
      </c>
      <c r="K10050" s="5" t="s">
        <v>61920</v>
      </c>
    </row>
    <row r="10051">
      <c r="A10051" s="4">
        <v>45534.56389091435</v>
      </c>
      <c r="B10051" s="5" t="s">
        <v>19</v>
      </c>
      <c r="C10051" s="5" t="s">
        <v>3301</v>
      </c>
      <c r="E10051" s="5" t="s">
        <v>61930</v>
      </c>
      <c r="F10051" s="5" t="s">
        <v>375</v>
      </c>
      <c r="G10051" s="5" t="s">
        <v>61931</v>
      </c>
      <c r="H10051" s="6" t="s">
        <v>61932</v>
      </c>
      <c r="K10051" s="5" t="s">
        <v>61933</v>
      </c>
    </row>
    <row r="10052">
      <c r="A10052" s="4">
        <v>45534.564245393514</v>
      </c>
      <c r="B10052" s="5" t="s">
        <v>34</v>
      </c>
      <c r="D10052" s="5" t="s">
        <v>996</v>
      </c>
      <c r="E10052" s="5" t="s">
        <v>61937</v>
      </c>
      <c r="F10052" s="5" t="s">
        <v>72</v>
      </c>
      <c r="G10052" s="5" t="s">
        <v>61938</v>
      </c>
      <c r="H10052" s="6" t="s">
        <v>61939</v>
      </c>
      <c r="K10052" s="5" t="s">
        <v>61940</v>
      </c>
    </row>
    <row r="10053">
      <c r="A10053" s="4">
        <v>45534.56426856482</v>
      </c>
      <c r="B10053" s="5" t="s">
        <v>19</v>
      </c>
      <c r="C10053" s="5" t="s">
        <v>3301</v>
      </c>
      <c r="E10053" s="5" t="s">
        <v>61944</v>
      </c>
      <c r="F10053" s="5" t="s">
        <v>524</v>
      </c>
      <c r="G10053" s="5" t="s">
        <v>61945</v>
      </c>
      <c r="H10053" s="6" t="s">
        <v>61946</v>
      </c>
      <c r="K10053" s="5" t="s">
        <v>61940</v>
      </c>
    </row>
    <row r="10054">
      <c r="A10054" s="4">
        <v>45534.564504131944</v>
      </c>
      <c r="B10054" s="5" t="s">
        <v>34</v>
      </c>
      <c r="D10054" s="5" t="s">
        <v>11527</v>
      </c>
      <c r="E10054" s="5" t="s">
        <v>61749</v>
      </c>
      <c r="F10054" s="5" t="s">
        <v>37</v>
      </c>
      <c r="G10054" s="5" t="s">
        <v>61750</v>
      </c>
      <c r="H10054" s="6" t="s">
        <v>61950</v>
      </c>
      <c r="K10054" s="5" t="s">
        <v>61951</v>
      </c>
    </row>
    <row r="10055">
      <c r="A10055" s="4">
        <v>45534.56564296296</v>
      </c>
      <c r="B10055" s="5" t="s">
        <v>34</v>
      </c>
      <c r="D10055" s="5" t="s">
        <v>604</v>
      </c>
      <c r="E10055" s="5" t="s">
        <v>61955</v>
      </c>
      <c r="F10055" s="5" t="s">
        <v>5566</v>
      </c>
      <c r="G10055" s="5" t="s">
        <v>61956</v>
      </c>
      <c r="H10055" s="6" t="s">
        <v>61957</v>
      </c>
      <c r="K10055" s="5" t="s">
        <v>61958</v>
      </c>
    </row>
    <row r="10056">
      <c r="A10056" s="4">
        <v>45534.56632278935</v>
      </c>
      <c r="B10056" s="5" t="s">
        <v>19</v>
      </c>
      <c r="C10056" s="5" t="s">
        <v>292</v>
      </c>
      <c r="E10056" s="5" t="s">
        <v>61962</v>
      </c>
      <c r="F10056" s="5" t="s">
        <v>375</v>
      </c>
      <c r="G10056" s="5" t="s">
        <v>61963</v>
      </c>
      <c r="H10056" s="6" t="s">
        <v>61964</v>
      </c>
      <c r="K10056" s="5" t="s">
        <v>61965</v>
      </c>
    </row>
    <row r="10057">
      <c r="A10057" s="4">
        <v>45534.56697298611</v>
      </c>
      <c r="B10057" s="5" t="s">
        <v>34</v>
      </c>
      <c r="D10057" s="5" t="s">
        <v>1206</v>
      </c>
      <c r="E10057" s="5" t="s">
        <v>61969</v>
      </c>
      <c r="F10057" s="5" t="s">
        <v>212</v>
      </c>
      <c r="G10057" s="5" t="s">
        <v>61970</v>
      </c>
      <c r="H10057" s="6" t="s">
        <v>61971</v>
      </c>
      <c r="K10057" s="5" t="s">
        <v>61972</v>
      </c>
    </row>
    <row r="10058">
      <c r="A10058" s="4">
        <v>45534.56793833333</v>
      </c>
      <c r="B10058" s="5" t="s">
        <v>34</v>
      </c>
      <c r="D10058" s="5" t="s">
        <v>35</v>
      </c>
      <c r="E10058" s="5" t="s">
        <v>61976</v>
      </c>
      <c r="F10058" s="5" t="s">
        <v>199</v>
      </c>
      <c r="G10058" s="5" t="s">
        <v>61977</v>
      </c>
      <c r="H10058" s="6" t="s">
        <v>61978</v>
      </c>
      <c r="K10058" s="5" t="s">
        <v>61979</v>
      </c>
    </row>
    <row r="10059">
      <c r="A10059" s="4">
        <v>45534.56797875</v>
      </c>
      <c r="B10059" s="5" t="s">
        <v>19</v>
      </c>
      <c r="C10059" s="5" t="s">
        <v>292</v>
      </c>
      <c r="E10059" s="5" t="s">
        <v>61983</v>
      </c>
      <c r="F10059" s="5" t="s">
        <v>120</v>
      </c>
      <c r="G10059" s="5" t="s">
        <v>61984</v>
      </c>
      <c r="H10059" s="6" t="s">
        <v>61985</v>
      </c>
      <c r="K10059" s="5" t="s">
        <v>61979</v>
      </c>
    </row>
    <row r="10060">
      <c r="A10060" s="4">
        <v>45534.56809832176</v>
      </c>
      <c r="B10060" s="5" t="s">
        <v>34</v>
      </c>
      <c r="D10060" s="5" t="s">
        <v>1558</v>
      </c>
      <c r="E10060" s="5" t="s">
        <v>61989</v>
      </c>
      <c r="F10060" s="5" t="s">
        <v>375</v>
      </c>
      <c r="G10060" s="5" t="s">
        <v>61990</v>
      </c>
      <c r="H10060" s="6" t="s">
        <v>61991</v>
      </c>
      <c r="K10060" s="5" t="s">
        <v>61992</v>
      </c>
    </row>
    <row r="10061">
      <c r="A10061" s="4">
        <v>45534.56814372685</v>
      </c>
      <c r="B10061" s="5" t="s">
        <v>19</v>
      </c>
      <c r="C10061" s="5" t="s">
        <v>292</v>
      </c>
      <c r="E10061" s="5" t="s">
        <v>61996</v>
      </c>
      <c r="F10061" s="5" t="s">
        <v>199</v>
      </c>
      <c r="G10061" s="5" t="s">
        <v>61997</v>
      </c>
      <c r="H10061" s="6" t="s">
        <v>61998</v>
      </c>
      <c r="K10061" s="5" t="s">
        <v>61999</v>
      </c>
    </row>
    <row r="10062">
      <c r="A10062" s="4">
        <v>45534.56823295139</v>
      </c>
      <c r="B10062" s="5" t="s">
        <v>34</v>
      </c>
      <c r="D10062" s="5" t="s">
        <v>14313</v>
      </c>
      <c r="E10062" s="5" t="s">
        <v>62003</v>
      </c>
      <c r="F10062" s="5" t="s">
        <v>120</v>
      </c>
      <c r="G10062" s="5" t="s">
        <v>62004</v>
      </c>
      <c r="H10062" s="6" t="s">
        <v>62005</v>
      </c>
      <c r="K10062" s="5" t="s">
        <v>62006</v>
      </c>
    </row>
    <row r="10063">
      <c r="A10063" s="4">
        <v>45534.56931097222</v>
      </c>
      <c r="B10063" s="5" t="s">
        <v>19</v>
      </c>
      <c r="C10063" s="5" t="s">
        <v>292</v>
      </c>
      <c r="E10063" s="5" t="s">
        <v>62010</v>
      </c>
      <c r="F10063" s="5" t="s">
        <v>212</v>
      </c>
      <c r="G10063" s="5" t="s">
        <v>62011</v>
      </c>
      <c r="H10063" s="6" t="s">
        <v>62012</v>
      </c>
      <c r="K10063" s="5" t="s">
        <v>62013</v>
      </c>
    </row>
    <row r="10064">
      <c r="A10064" s="4">
        <v>45534.569794745374</v>
      </c>
      <c r="B10064" s="5" t="s">
        <v>34</v>
      </c>
      <c r="D10064" s="5" t="s">
        <v>1206</v>
      </c>
      <c r="E10064" s="5" t="s">
        <v>28834</v>
      </c>
      <c r="F10064" s="5" t="s">
        <v>212</v>
      </c>
      <c r="G10064" s="5" t="s">
        <v>62017</v>
      </c>
      <c r="H10064" s="6" t="s">
        <v>62018</v>
      </c>
      <c r="K10064" s="5" t="s">
        <v>62019</v>
      </c>
    </row>
    <row r="10065">
      <c r="A10065" s="4">
        <v>45534.57218181713</v>
      </c>
      <c r="B10065" s="5" t="s">
        <v>34</v>
      </c>
      <c r="D10065" s="5" t="s">
        <v>1456</v>
      </c>
      <c r="E10065" s="5" t="s">
        <v>62023</v>
      </c>
      <c r="F10065" s="5" t="s">
        <v>715</v>
      </c>
      <c r="G10065" s="5" t="s">
        <v>62024</v>
      </c>
      <c r="H10065" s="6" t="s">
        <v>62025</v>
      </c>
      <c r="K10065" s="5" t="s">
        <v>62026</v>
      </c>
    </row>
    <row r="10066">
      <c r="A10066" s="4">
        <v>45534.57355931713</v>
      </c>
      <c r="B10066" s="5" t="s">
        <v>19</v>
      </c>
      <c r="C10066" s="5" t="s">
        <v>442</v>
      </c>
      <c r="E10066" s="5" t="s">
        <v>62030</v>
      </c>
      <c r="F10066" s="5" t="s">
        <v>212</v>
      </c>
      <c r="G10066" s="5" t="s">
        <v>62031</v>
      </c>
      <c r="H10066" s="6" t="s">
        <v>62032</v>
      </c>
      <c r="K10066" s="5" t="s">
        <v>62026</v>
      </c>
    </row>
    <row r="10067">
      <c r="A10067" s="4">
        <v>45534.57378333333</v>
      </c>
      <c r="B10067" s="5" t="s">
        <v>34</v>
      </c>
      <c r="D10067" s="5" t="s">
        <v>35</v>
      </c>
      <c r="E10067" s="5" t="s">
        <v>62036</v>
      </c>
      <c r="F10067" s="5" t="s">
        <v>375</v>
      </c>
      <c r="G10067" s="5" t="s">
        <v>62037</v>
      </c>
      <c r="H10067" s="6" t="s">
        <v>62038</v>
      </c>
      <c r="K10067" s="5" t="s">
        <v>62039</v>
      </c>
    </row>
    <row r="10068">
      <c r="A10068" s="4">
        <v>45534.57483974537</v>
      </c>
      <c r="B10068" s="5" t="s">
        <v>34</v>
      </c>
      <c r="D10068" s="5" t="s">
        <v>267</v>
      </c>
      <c r="E10068" s="5" t="s">
        <v>62043</v>
      </c>
      <c r="F10068" s="5" t="s">
        <v>72</v>
      </c>
      <c r="G10068" s="5" t="s">
        <v>62044</v>
      </c>
      <c r="H10068" s="6" t="s">
        <v>62045</v>
      </c>
      <c r="K10068" s="5" t="s">
        <v>62039</v>
      </c>
    </row>
    <row r="10069">
      <c r="A10069" s="4">
        <v>45534.575440416666</v>
      </c>
      <c r="B10069" s="5" t="s">
        <v>34</v>
      </c>
      <c r="D10069" s="5" t="s">
        <v>9020</v>
      </c>
      <c r="E10069" s="5" t="s">
        <v>62049</v>
      </c>
      <c r="F10069" s="5" t="s">
        <v>212</v>
      </c>
      <c r="G10069" s="5" t="s">
        <v>62050</v>
      </c>
      <c r="H10069" s="6" t="s">
        <v>62051</v>
      </c>
      <c r="K10069" s="5" t="s">
        <v>62039</v>
      </c>
    </row>
    <row r="10070">
      <c r="A10070" s="4">
        <v>45534.576284849536</v>
      </c>
      <c r="B10070" s="5" t="s">
        <v>34</v>
      </c>
      <c r="D10070" s="5" t="s">
        <v>4775</v>
      </c>
      <c r="E10070" s="5" t="s">
        <v>62055</v>
      </c>
      <c r="F10070" s="5" t="s">
        <v>524</v>
      </c>
      <c r="G10070" s="5" t="s">
        <v>62056</v>
      </c>
      <c r="H10070" s="6" t="s">
        <v>62057</v>
      </c>
      <c r="K10070" s="5" t="s">
        <v>62058</v>
      </c>
    </row>
    <row r="10071">
      <c r="A10071" s="4">
        <v>45534.576457256946</v>
      </c>
      <c r="B10071" s="5" t="s">
        <v>34</v>
      </c>
      <c r="D10071" s="5" t="s">
        <v>1456</v>
      </c>
      <c r="E10071" s="5" t="s">
        <v>62062</v>
      </c>
      <c r="F10071" s="5" t="s">
        <v>72</v>
      </c>
      <c r="G10071" s="5" t="s">
        <v>62063</v>
      </c>
      <c r="H10071" s="6" t="s">
        <v>62064</v>
      </c>
      <c r="K10071" s="5" t="s">
        <v>62058</v>
      </c>
    </row>
    <row r="10072">
      <c r="A10072" s="4">
        <v>45534.57662083334</v>
      </c>
      <c r="B10072" s="5" t="s">
        <v>34</v>
      </c>
      <c r="D10072" s="5" t="s">
        <v>4775</v>
      </c>
      <c r="E10072" s="5" t="s">
        <v>62068</v>
      </c>
      <c r="F10072" s="5" t="s">
        <v>375</v>
      </c>
      <c r="G10072" s="5" t="s">
        <v>62069</v>
      </c>
      <c r="H10072" s="6" t="s">
        <v>62070</v>
      </c>
      <c r="K10072" s="5" t="s">
        <v>62071</v>
      </c>
    </row>
    <row r="10073">
      <c r="A10073" s="4">
        <v>45534.57698131945</v>
      </c>
      <c r="B10073" s="5" t="s">
        <v>19</v>
      </c>
      <c r="C10073" s="5" t="s">
        <v>292</v>
      </c>
      <c r="E10073" s="5" t="s">
        <v>62075</v>
      </c>
      <c r="F10073" s="5" t="s">
        <v>72</v>
      </c>
      <c r="G10073" s="5" t="s">
        <v>62076</v>
      </c>
      <c r="H10073" s="6" t="s">
        <v>62077</v>
      </c>
      <c r="K10073" s="5" t="s">
        <v>62078</v>
      </c>
    </row>
    <row r="10074">
      <c r="A10074" s="4">
        <v>45534.577301087964</v>
      </c>
      <c r="B10074" s="5" t="s">
        <v>34</v>
      </c>
      <c r="D10074" s="5" t="s">
        <v>9020</v>
      </c>
      <c r="E10074" s="5" t="s">
        <v>62082</v>
      </c>
      <c r="F10074" s="5" t="s">
        <v>212</v>
      </c>
      <c r="G10074" s="5" t="s">
        <v>62083</v>
      </c>
      <c r="H10074" s="6" t="s">
        <v>62084</v>
      </c>
      <c r="K10074" s="5" t="s">
        <v>62085</v>
      </c>
    </row>
    <row r="10075">
      <c r="A10075" s="4">
        <v>45534.577640034724</v>
      </c>
      <c r="B10075" s="5" t="s">
        <v>34</v>
      </c>
      <c r="D10075" s="5" t="s">
        <v>1206</v>
      </c>
      <c r="E10075" s="5" t="s">
        <v>62089</v>
      </c>
      <c r="F10075" s="5" t="s">
        <v>524</v>
      </c>
      <c r="G10075" s="5" t="s">
        <v>26803</v>
      </c>
      <c r="H10075" s="6" t="s">
        <v>62090</v>
      </c>
      <c r="K10075" s="5" t="s">
        <v>62091</v>
      </c>
    </row>
    <row r="10076">
      <c r="A10076" s="4">
        <v>45534.57773331019</v>
      </c>
      <c r="B10076" s="5" t="s">
        <v>34</v>
      </c>
      <c r="D10076" s="5" t="s">
        <v>701</v>
      </c>
      <c r="E10076" s="5" t="s">
        <v>62095</v>
      </c>
      <c r="F10076" s="5" t="s">
        <v>72</v>
      </c>
      <c r="G10076" s="5" t="s">
        <v>62096</v>
      </c>
      <c r="H10076" s="6" t="s">
        <v>62097</v>
      </c>
      <c r="K10076" s="5" t="s">
        <v>62091</v>
      </c>
    </row>
    <row r="10077">
      <c r="A10077" s="4">
        <v>45534.57774821759</v>
      </c>
      <c r="B10077" s="5" t="s">
        <v>34</v>
      </c>
      <c r="D10077" s="5" t="s">
        <v>1206</v>
      </c>
      <c r="E10077" s="5" t="s">
        <v>28682</v>
      </c>
      <c r="F10077" s="5" t="s">
        <v>37</v>
      </c>
      <c r="G10077" s="5" t="s">
        <v>62101</v>
      </c>
      <c r="H10077" s="6" t="s">
        <v>62102</v>
      </c>
      <c r="K10077" s="5" t="s">
        <v>62091</v>
      </c>
    </row>
    <row r="10078">
      <c r="A10078" s="4">
        <v>45534.57849421296</v>
      </c>
      <c r="B10078" s="5" t="s">
        <v>34</v>
      </c>
      <c r="D10078" s="5" t="s">
        <v>4775</v>
      </c>
      <c r="E10078" s="5" t="s">
        <v>62106</v>
      </c>
      <c r="F10078" s="5" t="s">
        <v>37</v>
      </c>
      <c r="G10078" s="5" t="s">
        <v>62107</v>
      </c>
      <c r="H10078" s="6" t="s">
        <v>62108</v>
      </c>
      <c r="K10078" s="5" t="s">
        <v>62109</v>
      </c>
    </row>
    <row r="10079">
      <c r="A10079" s="4">
        <v>45534.57855818287</v>
      </c>
      <c r="B10079" s="5" t="s">
        <v>34</v>
      </c>
      <c r="D10079" s="5" t="s">
        <v>2903</v>
      </c>
      <c r="E10079" s="5" t="s">
        <v>62113</v>
      </c>
      <c r="F10079" s="5" t="s">
        <v>37</v>
      </c>
      <c r="G10079" s="5" t="s">
        <v>62114</v>
      </c>
      <c r="H10079" s="6" t="s">
        <v>62115</v>
      </c>
      <c r="K10079" s="5" t="s">
        <v>62116</v>
      </c>
    </row>
    <row r="10080">
      <c r="A10080" s="4">
        <v>45534.578818865746</v>
      </c>
      <c r="B10080" s="5" t="s">
        <v>19</v>
      </c>
      <c r="C10080" s="5" t="s">
        <v>292</v>
      </c>
      <c r="E10080" s="5" t="s">
        <v>62120</v>
      </c>
      <c r="F10080" s="5" t="s">
        <v>108</v>
      </c>
      <c r="G10080" s="5" t="s">
        <v>62121</v>
      </c>
      <c r="H10080" s="6" t="s">
        <v>62122</v>
      </c>
      <c r="K10080" s="5" t="s">
        <v>62116</v>
      </c>
    </row>
    <row r="10081">
      <c r="A10081" s="4">
        <v>45534.579708969904</v>
      </c>
      <c r="B10081" s="5" t="s">
        <v>34</v>
      </c>
      <c r="D10081" s="5" t="s">
        <v>1206</v>
      </c>
      <c r="E10081" s="5" t="s">
        <v>62126</v>
      </c>
      <c r="F10081" s="5" t="s">
        <v>524</v>
      </c>
      <c r="G10081" s="5" t="s">
        <v>62127</v>
      </c>
      <c r="H10081" s="6" t="s">
        <v>62128</v>
      </c>
      <c r="K10081" s="5" t="s">
        <v>62129</v>
      </c>
    </row>
    <row r="10082">
      <c r="A10082" s="4">
        <v>45534.580069895834</v>
      </c>
      <c r="B10082" s="5" t="s">
        <v>34</v>
      </c>
      <c r="D10082" s="5" t="s">
        <v>580</v>
      </c>
      <c r="E10082" s="5" t="s">
        <v>62133</v>
      </c>
      <c r="F10082" s="5" t="s">
        <v>524</v>
      </c>
      <c r="G10082" s="5" t="s">
        <v>62134</v>
      </c>
      <c r="H10082" s="6" t="s">
        <v>62135</v>
      </c>
      <c r="K10082" s="5" t="s">
        <v>62136</v>
      </c>
    </row>
    <row r="10083">
      <c r="A10083" s="4">
        <v>45534.580644456015</v>
      </c>
      <c r="B10083" s="5" t="s">
        <v>34</v>
      </c>
      <c r="D10083" s="5" t="s">
        <v>6232</v>
      </c>
      <c r="E10083" s="5" t="s">
        <v>62140</v>
      </c>
      <c r="F10083" s="5" t="s">
        <v>524</v>
      </c>
      <c r="G10083" s="5" t="s">
        <v>62141</v>
      </c>
      <c r="H10083" s="6" t="s">
        <v>62142</v>
      </c>
      <c r="K10083" s="5" t="s">
        <v>62143</v>
      </c>
    </row>
    <row r="10084">
      <c r="A10084" s="4">
        <v>45534.58086728009</v>
      </c>
      <c r="B10084" s="5" t="s">
        <v>34</v>
      </c>
      <c r="D10084" s="5" t="s">
        <v>15401</v>
      </c>
      <c r="E10084" s="5" t="s">
        <v>62147</v>
      </c>
      <c r="F10084" s="5" t="s">
        <v>212</v>
      </c>
      <c r="G10084" s="5" t="s">
        <v>62148</v>
      </c>
      <c r="H10084" s="6" t="s">
        <v>62149</v>
      </c>
      <c r="K10084" s="5" t="s">
        <v>62143</v>
      </c>
    </row>
    <row r="10085">
      <c r="A10085" s="4">
        <v>45534.58111846064</v>
      </c>
      <c r="B10085" s="5" t="s">
        <v>34</v>
      </c>
      <c r="D10085" s="5" t="s">
        <v>4775</v>
      </c>
      <c r="E10085" s="5" t="s">
        <v>61255</v>
      </c>
      <c r="F10085" s="5" t="s">
        <v>212</v>
      </c>
      <c r="G10085" s="5" t="s">
        <v>62153</v>
      </c>
      <c r="H10085" s="6" t="s">
        <v>62154</v>
      </c>
      <c r="K10085" s="5" t="s">
        <v>62155</v>
      </c>
    </row>
    <row r="10086">
      <c r="A10086" s="4">
        <v>45534.58210917824</v>
      </c>
      <c r="B10086" s="5" t="s">
        <v>19</v>
      </c>
      <c r="C10086" s="5" t="s">
        <v>292</v>
      </c>
      <c r="E10086" s="5" t="s">
        <v>62159</v>
      </c>
      <c r="F10086" s="5" t="s">
        <v>524</v>
      </c>
      <c r="G10086" s="5" t="s">
        <v>62160</v>
      </c>
      <c r="H10086" s="6" t="s">
        <v>62161</v>
      </c>
      <c r="K10086" s="5" t="s">
        <v>62162</v>
      </c>
    </row>
    <row r="10087">
      <c r="A10087" s="4">
        <v>45534.58237446759</v>
      </c>
      <c r="B10087" s="5" t="s">
        <v>34</v>
      </c>
      <c r="D10087" s="5" t="s">
        <v>1206</v>
      </c>
      <c r="E10087" s="5" t="s">
        <v>62166</v>
      </c>
      <c r="F10087" s="5" t="s">
        <v>212</v>
      </c>
      <c r="G10087" s="5" t="s">
        <v>62167</v>
      </c>
      <c r="H10087" s="6" t="s">
        <v>62168</v>
      </c>
      <c r="K10087" s="5" t="s">
        <v>62169</v>
      </c>
    </row>
    <row r="10088">
      <c r="A10088" s="4">
        <v>45534.58280819445</v>
      </c>
      <c r="B10088" s="5" t="s">
        <v>34</v>
      </c>
      <c r="D10088" s="5" t="s">
        <v>1206</v>
      </c>
      <c r="E10088" s="5" t="s">
        <v>62173</v>
      </c>
      <c r="F10088" s="5" t="s">
        <v>108</v>
      </c>
      <c r="G10088" s="5" t="s">
        <v>62174</v>
      </c>
      <c r="H10088" s="6" t="s">
        <v>62175</v>
      </c>
      <c r="K10088" s="5" t="s">
        <v>62169</v>
      </c>
    </row>
    <row r="10089">
      <c r="A10089" s="4">
        <v>45534.582979733794</v>
      </c>
      <c r="B10089" s="5" t="s">
        <v>34</v>
      </c>
      <c r="D10089" s="5" t="s">
        <v>1206</v>
      </c>
      <c r="E10089" s="5" t="s">
        <v>62179</v>
      </c>
      <c r="F10089" s="5" t="s">
        <v>37</v>
      </c>
      <c r="G10089" s="5" t="s">
        <v>62180</v>
      </c>
      <c r="H10089" s="6" t="s">
        <v>62181</v>
      </c>
      <c r="K10089" s="5" t="s">
        <v>62182</v>
      </c>
    </row>
    <row r="10090">
      <c r="A10090" s="4">
        <v>45534.5835621875</v>
      </c>
      <c r="B10090" s="5" t="s">
        <v>34</v>
      </c>
      <c r="D10090" s="5" t="s">
        <v>4775</v>
      </c>
      <c r="E10090" s="5" t="s">
        <v>62186</v>
      </c>
      <c r="F10090" s="5" t="s">
        <v>212</v>
      </c>
      <c r="G10090" s="5" t="s">
        <v>62187</v>
      </c>
      <c r="H10090" s="6" t="s">
        <v>62188</v>
      </c>
      <c r="K10090" s="5" t="s">
        <v>62189</v>
      </c>
    </row>
    <row r="10091">
      <c r="A10091" s="4">
        <v>45534.58450297454</v>
      </c>
      <c r="B10091" s="5" t="s">
        <v>34</v>
      </c>
      <c r="D10091" s="5" t="s">
        <v>1206</v>
      </c>
      <c r="E10091" s="5" t="s">
        <v>62193</v>
      </c>
      <c r="F10091" s="5" t="s">
        <v>37</v>
      </c>
      <c r="G10091" s="5" t="s">
        <v>62194</v>
      </c>
      <c r="H10091" s="6" t="s">
        <v>62195</v>
      </c>
      <c r="K10091" s="5" t="s">
        <v>62196</v>
      </c>
    </row>
    <row r="10092">
      <c r="A10092" s="4">
        <v>45534.58464773148</v>
      </c>
      <c r="B10092" s="5" t="s">
        <v>34</v>
      </c>
      <c r="D10092" s="5" t="s">
        <v>15401</v>
      </c>
      <c r="E10092" s="5" t="s">
        <v>44154</v>
      </c>
      <c r="F10092" s="5" t="s">
        <v>37</v>
      </c>
      <c r="G10092" s="5" t="s">
        <v>62200</v>
      </c>
      <c r="H10092" s="6" t="s">
        <v>62201</v>
      </c>
      <c r="K10092" s="5" t="s">
        <v>62202</v>
      </c>
    </row>
    <row r="10093">
      <c r="A10093" s="4">
        <v>45534.58474644676</v>
      </c>
      <c r="B10093" s="5" t="s">
        <v>34</v>
      </c>
      <c r="D10093" s="5" t="s">
        <v>1206</v>
      </c>
      <c r="E10093" s="5" t="s">
        <v>62206</v>
      </c>
      <c r="F10093" s="5" t="s">
        <v>108</v>
      </c>
      <c r="G10093" s="5" t="s">
        <v>62207</v>
      </c>
      <c r="H10093" s="6" t="s">
        <v>62208</v>
      </c>
      <c r="K10093" s="5" t="s">
        <v>62209</v>
      </c>
    </row>
    <row r="10094">
      <c r="A10094" s="4">
        <v>45534.58609328704</v>
      </c>
      <c r="B10094" s="5" t="s">
        <v>34</v>
      </c>
      <c r="D10094" s="5" t="s">
        <v>996</v>
      </c>
      <c r="E10094" s="5" t="s">
        <v>18159</v>
      </c>
      <c r="F10094" s="5" t="s">
        <v>212</v>
      </c>
      <c r="G10094" s="5" t="s">
        <v>62213</v>
      </c>
      <c r="H10094" s="6" t="s">
        <v>62214</v>
      </c>
      <c r="K10094" s="5" t="s">
        <v>62215</v>
      </c>
    </row>
    <row r="10095">
      <c r="A10095" s="4">
        <v>45534.587750983796</v>
      </c>
      <c r="B10095" s="5" t="s">
        <v>34</v>
      </c>
      <c r="D10095" s="5" t="s">
        <v>35</v>
      </c>
      <c r="E10095" s="5" t="s">
        <v>17966</v>
      </c>
      <c r="F10095" s="5" t="s">
        <v>375</v>
      </c>
      <c r="G10095" s="5" t="s">
        <v>62219</v>
      </c>
      <c r="H10095" s="6" t="s">
        <v>62220</v>
      </c>
      <c r="K10095" s="5" t="s">
        <v>62221</v>
      </c>
    </row>
    <row r="10096">
      <c r="A10096" s="4">
        <v>45534.587911608796</v>
      </c>
      <c r="B10096" s="5" t="s">
        <v>19</v>
      </c>
      <c r="C10096" s="5" t="s">
        <v>292</v>
      </c>
      <c r="E10096" s="5" t="s">
        <v>62225</v>
      </c>
      <c r="F10096" s="5" t="s">
        <v>212</v>
      </c>
      <c r="G10096" s="5" t="s">
        <v>62226</v>
      </c>
      <c r="H10096" s="6" t="s">
        <v>62227</v>
      </c>
      <c r="K10096" s="5" t="s">
        <v>62221</v>
      </c>
    </row>
    <row r="10097">
      <c r="A10097" s="4">
        <v>45534.58798175926</v>
      </c>
      <c r="B10097" s="5" t="s">
        <v>34</v>
      </c>
      <c r="D10097" s="5" t="s">
        <v>9020</v>
      </c>
      <c r="E10097" s="5" t="s">
        <v>54464</v>
      </c>
      <c r="F10097" s="5" t="s">
        <v>212</v>
      </c>
      <c r="G10097" s="5" t="s">
        <v>62231</v>
      </c>
      <c r="H10097" s="6" t="s">
        <v>62232</v>
      </c>
      <c r="K10097" s="5" t="s">
        <v>62233</v>
      </c>
    </row>
    <row r="10098">
      <c r="A10098" s="4">
        <v>45534.58895934028</v>
      </c>
      <c r="B10098" s="5" t="s">
        <v>19</v>
      </c>
      <c r="C10098" s="5" t="s">
        <v>292</v>
      </c>
      <c r="E10098" s="5" t="s">
        <v>62237</v>
      </c>
      <c r="F10098" s="5" t="s">
        <v>375</v>
      </c>
      <c r="G10098" s="5" t="s">
        <v>62238</v>
      </c>
      <c r="H10098" s="6" t="s">
        <v>62239</v>
      </c>
      <c r="K10098" s="5" t="s">
        <v>62240</v>
      </c>
    </row>
    <row r="10099">
      <c r="A10099" s="4">
        <v>45534.58945743056</v>
      </c>
      <c r="B10099" s="5" t="s">
        <v>34</v>
      </c>
      <c r="D10099" s="5" t="s">
        <v>1768</v>
      </c>
      <c r="E10099" s="5" t="s">
        <v>62244</v>
      </c>
      <c r="F10099" s="5" t="s">
        <v>375</v>
      </c>
      <c r="G10099" s="5" t="s">
        <v>62245</v>
      </c>
      <c r="H10099" s="6" t="s">
        <v>62246</v>
      </c>
      <c r="K10099" s="5" t="s">
        <v>62247</v>
      </c>
    </row>
    <row r="10100">
      <c r="A10100" s="4">
        <v>45534.591278761574</v>
      </c>
      <c r="B10100" s="5" t="s">
        <v>34</v>
      </c>
      <c r="D10100" s="5" t="s">
        <v>1206</v>
      </c>
      <c r="E10100" s="5" t="s">
        <v>62251</v>
      </c>
      <c r="F10100" s="5" t="s">
        <v>212</v>
      </c>
      <c r="G10100" s="5" t="s">
        <v>62252</v>
      </c>
      <c r="H10100" s="6" t="s">
        <v>62253</v>
      </c>
      <c r="K10100" s="5" t="s">
        <v>62254</v>
      </c>
    </row>
    <row r="10101">
      <c r="A10101" s="4">
        <v>45534.59178427083</v>
      </c>
      <c r="B10101" s="5" t="s">
        <v>34</v>
      </c>
      <c r="D10101" s="5" t="s">
        <v>14313</v>
      </c>
      <c r="E10101" s="5" t="s">
        <v>62258</v>
      </c>
      <c r="F10101" s="5" t="s">
        <v>715</v>
      </c>
      <c r="G10101" s="5" t="s">
        <v>62259</v>
      </c>
      <c r="H10101" s="6" t="s">
        <v>62260</v>
      </c>
      <c r="K10101" s="5" t="s">
        <v>62261</v>
      </c>
    </row>
    <row r="10102">
      <c r="A10102" s="4">
        <v>45534.59228386574</v>
      </c>
      <c r="B10102" s="5" t="s">
        <v>34</v>
      </c>
      <c r="D10102" s="5" t="s">
        <v>10444</v>
      </c>
      <c r="E10102" s="5" t="s">
        <v>38131</v>
      </c>
      <c r="F10102" s="5" t="s">
        <v>108</v>
      </c>
      <c r="G10102" s="5" t="s">
        <v>53418</v>
      </c>
      <c r="H10102" s="6" t="s">
        <v>62265</v>
      </c>
      <c r="K10102" s="5" t="s">
        <v>62266</v>
      </c>
    </row>
    <row r="10103">
      <c r="A10103" s="4">
        <v>45534.5926634375</v>
      </c>
      <c r="B10103" s="5" t="s">
        <v>19</v>
      </c>
      <c r="C10103" s="5" t="s">
        <v>292</v>
      </c>
      <c r="E10103" s="5" t="s">
        <v>62270</v>
      </c>
      <c r="F10103" s="5" t="s">
        <v>212</v>
      </c>
      <c r="G10103" s="5" t="s">
        <v>62271</v>
      </c>
      <c r="H10103" s="6" t="s">
        <v>62272</v>
      </c>
      <c r="K10103" s="5" t="s">
        <v>62273</v>
      </c>
    </row>
    <row r="10104">
      <c r="A10104" s="4">
        <v>45534.59297381944</v>
      </c>
      <c r="B10104" s="5" t="s">
        <v>34</v>
      </c>
      <c r="D10104" s="5" t="s">
        <v>701</v>
      </c>
      <c r="E10104" s="5" t="s">
        <v>62277</v>
      </c>
      <c r="F10104" s="5" t="s">
        <v>524</v>
      </c>
      <c r="G10104" s="5" t="s">
        <v>62278</v>
      </c>
      <c r="H10104" s="6" t="s">
        <v>62279</v>
      </c>
      <c r="K10104" s="5" t="s">
        <v>62280</v>
      </c>
    </row>
    <row r="10105">
      <c r="A10105" s="4">
        <v>45534.59301810185</v>
      </c>
      <c r="B10105" s="5" t="s">
        <v>34</v>
      </c>
      <c r="D10105" s="5" t="s">
        <v>6232</v>
      </c>
      <c r="E10105" s="5" t="s">
        <v>62284</v>
      </c>
      <c r="F10105" s="5" t="s">
        <v>37</v>
      </c>
      <c r="G10105" s="5" t="s">
        <v>62285</v>
      </c>
      <c r="H10105" s="6" t="s">
        <v>62286</v>
      </c>
      <c r="K10105" s="5" t="s">
        <v>62280</v>
      </c>
    </row>
    <row r="10106">
      <c r="A10106" s="4">
        <v>45534.59371158565</v>
      </c>
      <c r="B10106" s="5" t="s">
        <v>34</v>
      </c>
      <c r="D10106" s="5" t="s">
        <v>1206</v>
      </c>
      <c r="E10106" s="5" t="s">
        <v>62290</v>
      </c>
      <c r="F10106" s="5" t="s">
        <v>375</v>
      </c>
      <c r="G10106" s="5" t="s">
        <v>62291</v>
      </c>
      <c r="H10106" s="6" t="s">
        <v>62292</v>
      </c>
      <c r="K10106" s="5" t="s">
        <v>62293</v>
      </c>
    </row>
    <row r="10107">
      <c r="A10107" s="4">
        <v>45534.59497651621</v>
      </c>
      <c r="B10107" s="5" t="s">
        <v>19</v>
      </c>
      <c r="C10107" s="5" t="s">
        <v>292</v>
      </c>
      <c r="E10107" s="5" t="s">
        <v>62297</v>
      </c>
      <c r="F10107" s="5" t="s">
        <v>72</v>
      </c>
      <c r="G10107" s="5" t="s">
        <v>62298</v>
      </c>
      <c r="H10107" s="6" t="s">
        <v>62299</v>
      </c>
      <c r="K10107" s="5" t="s">
        <v>62300</v>
      </c>
    </row>
    <row r="10108">
      <c r="A10108" s="4">
        <v>45534.59567414352</v>
      </c>
      <c r="B10108" s="5" t="s">
        <v>34</v>
      </c>
      <c r="D10108" s="5" t="s">
        <v>580</v>
      </c>
      <c r="E10108" s="5" t="s">
        <v>62304</v>
      </c>
      <c r="F10108" s="5" t="s">
        <v>37</v>
      </c>
      <c r="G10108" s="5" t="s">
        <v>62305</v>
      </c>
      <c r="H10108" s="6" t="s">
        <v>62306</v>
      </c>
      <c r="K10108" s="5" t="s">
        <v>62307</v>
      </c>
    </row>
    <row r="10109">
      <c r="A10109" s="4">
        <v>45534.59609443287</v>
      </c>
      <c r="B10109" s="5" t="s">
        <v>34</v>
      </c>
      <c r="D10109" s="5" t="s">
        <v>35</v>
      </c>
      <c r="E10109" s="5" t="s">
        <v>62311</v>
      </c>
      <c r="F10109" s="5" t="s">
        <v>524</v>
      </c>
      <c r="G10109" s="5" t="s">
        <v>62312</v>
      </c>
      <c r="H10109" s="6" t="s">
        <v>62313</v>
      </c>
      <c r="K10109" s="5" t="s">
        <v>62314</v>
      </c>
    </row>
    <row r="10110">
      <c r="A10110" s="4">
        <v>45534.59720546297</v>
      </c>
      <c r="B10110" s="5" t="s">
        <v>34</v>
      </c>
      <c r="D10110" s="5" t="s">
        <v>522</v>
      </c>
      <c r="E10110" s="5" t="s">
        <v>17826</v>
      </c>
      <c r="F10110" s="5" t="s">
        <v>37</v>
      </c>
      <c r="G10110" s="5" t="s">
        <v>17827</v>
      </c>
      <c r="H10110" s="6" t="s">
        <v>62318</v>
      </c>
      <c r="K10110" s="5" t="s">
        <v>62314</v>
      </c>
    </row>
    <row r="10111">
      <c r="A10111" s="4">
        <v>45534.59753254629</v>
      </c>
      <c r="B10111" s="5" t="s">
        <v>34</v>
      </c>
      <c r="D10111" s="5" t="s">
        <v>1206</v>
      </c>
      <c r="E10111" s="5" t="s">
        <v>62322</v>
      </c>
      <c r="F10111" s="5" t="s">
        <v>37</v>
      </c>
      <c r="G10111" s="5" t="s">
        <v>62323</v>
      </c>
      <c r="H10111" s="6" t="s">
        <v>62324</v>
      </c>
      <c r="K10111" s="5" t="s">
        <v>62325</v>
      </c>
    </row>
    <row r="10112">
      <c r="A10112" s="4">
        <v>45534.59770931713</v>
      </c>
      <c r="B10112" s="5" t="s">
        <v>19</v>
      </c>
      <c r="C10112" s="5" t="s">
        <v>292</v>
      </c>
      <c r="E10112" s="5" t="s">
        <v>41628</v>
      </c>
      <c r="F10112" s="5" t="s">
        <v>375</v>
      </c>
      <c r="G10112" s="5" t="s">
        <v>62329</v>
      </c>
      <c r="H10112" s="6" t="s">
        <v>62330</v>
      </c>
      <c r="K10112" s="5" t="s">
        <v>62331</v>
      </c>
    </row>
    <row r="10113">
      <c r="A10113" s="4">
        <v>45534.59796122686</v>
      </c>
      <c r="B10113" s="5" t="s">
        <v>19</v>
      </c>
      <c r="C10113" s="5" t="s">
        <v>292</v>
      </c>
      <c r="E10113" s="5" t="s">
        <v>62335</v>
      </c>
      <c r="F10113" s="5" t="s">
        <v>375</v>
      </c>
      <c r="G10113" s="5" t="s">
        <v>62336</v>
      </c>
      <c r="H10113" s="6" t="s">
        <v>62337</v>
      </c>
      <c r="K10113" s="5" t="s">
        <v>62338</v>
      </c>
    </row>
    <row r="10114">
      <c r="A10114" s="4">
        <v>45534.59884769676</v>
      </c>
      <c r="B10114" s="5" t="s">
        <v>34</v>
      </c>
      <c r="D10114" s="5" t="s">
        <v>1206</v>
      </c>
      <c r="E10114" s="5" t="s">
        <v>62342</v>
      </c>
      <c r="F10114" s="5" t="s">
        <v>37</v>
      </c>
      <c r="G10114" s="5" t="s">
        <v>62343</v>
      </c>
      <c r="H10114" s="6" t="s">
        <v>62344</v>
      </c>
      <c r="K10114" s="5" t="s">
        <v>62345</v>
      </c>
    </row>
    <row r="10115">
      <c r="A10115" s="4">
        <v>45534.60042928241</v>
      </c>
      <c r="B10115" s="5" t="s">
        <v>34</v>
      </c>
      <c r="D10115" s="5" t="s">
        <v>2903</v>
      </c>
      <c r="E10115" s="5" t="s">
        <v>62348</v>
      </c>
      <c r="F10115" s="5" t="s">
        <v>524</v>
      </c>
      <c r="G10115" s="5" t="s">
        <v>47200</v>
      </c>
      <c r="H10115" s="6" t="s">
        <v>62349</v>
      </c>
      <c r="K10115" s="5" t="s">
        <v>62350</v>
      </c>
    </row>
    <row r="10116">
      <c r="A10116" s="4">
        <v>45534.60061905092</v>
      </c>
      <c r="B10116" s="5" t="s">
        <v>34</v>
      </c>
      <c r="D10116" s="5" t="s">
        <v>10444</v>
      </c>
      <c r="E10116" s="5" t="s">
        <v>38131</v>
      </c>
      <c r="F10116" s="5" t="s">
        <v>108</v>
      </c>
      <c r="G10116" s="5" t="s">
        <v>53418</v>
      </c>
      <c r="H10116" s="6" t="s">
        <v>62353</v>
      </c>
      <c r="K10116" s="5" t="s">
        <v>62354</v>
      </c>
    </row>
    <row r="10117">
      <c r="A10117" s="4">
        <v>45534.60083660879</v>
      </c>
      <c r="B10117" s="5" t="s">
        <v>34</v>
      </c>
      <c r="D10117" s="5" t="s">
        <v>522</v>
      </c>
      <c r="E10117" s="5" t="s">
        <v>62358</v>
      </c>
      <c r="F10117" s="5" t="s">
        <v>72</v>
      </c>
      <c r="G10117" s="5" t="s">
        <v>62359</v>
      </c>
      <c r="H10117" s="6" t="s">
        <v>62360</v>
      </c>
      <c r="K10117" s="5" t="s">
        <v>62354</v>
      </c>
    </row>
    <row r="10118">
      <c r="A10118" s="4">
        <v>45534.60110637732</v>
      </c>
      <c r="B10118" s="5" t="s">
        <v>34</v>
      </c>
      <c r="D10118" s="5" t="s">
        <v>1206</v>
      </c>
      <c r="E10118" s="5" t="s">
        <v>62363</v>
      </c>
      <c r="F10118" s="5" t="s">
        <v>72</v>
      </c>
      <c r="G10118" s="5" t="s">
        <v>62364</v>
      </c>
      <c r="H10118" s="6" t="s">
        <v>62365</v>
      </c>
      <c r="K10118" s="5" t="s">
        <v>62366</v>
      </c>
    </row>
    <row r="10119">
      <c r="A10119" s="4">
        <v>45534.601870555554</v>
      </c>
      <c r="B10119" s="5" t="s">
        <v>34</v>
      </c>
      <c r="D10119" s="5" t="s">
        <v>267</v>
      </c>
      <c r="E10119" s="5" t="s">
        <v>62369</v>
      </c>
      <c r="F10119" s="5" t="s">
        <v>120</v>
      </c>
      <c r="G10119" s="5" t="s">
        <v>62370</v>
      </c>
      <c r="H10119" s="6" t="s">
        <v>62371</v>
      </c>
      <c r="K10119" s="5" t="s">
        <v>62372</v>
      </c>
    </row>
    <row r="10120">
      <c r="A10120" s="4">
        <v>45534.602051249996</v>
      </c>
      <c r="B10120" s="5" t="s">
        <v>34</v>
      </c>
      <c r="D10120" s="5" t="s">
        <v>996</v>
      </c>
      <c r="E10120" s="5" t="s">
        <v>31789</v>
      </c>
      <c r="F10120" s="5" t="s">
        <v>37</v>
      </c>
      <c r="G10120" s="5" t="s">
        <v>62375</v>
      </c>
      <c r="H10120" s="6" t="s">
        <v>62376</v>
      </c>
      <c r="K10120" s="5" t="s">
        <v>62377</v>
      </c>
    </row>
    <row r="10121">
      <c r="A10121" s="4">
        <v>45534.60312979166</v>
      </c>
      <c r="B10121" s="5" t="s">
        <v>34</v>
      </c>
      <c r="D10121" s="5" t="s">
        <v>10297</v>
      </c>
      <c r="E10121" s="5" t="s">
        <v>62380</v>
      </c>
      <c r="F10121" s="5" t="s">
        <v>715</v>
      </c>
      <c r="G10121" s="5" t="s">
        <v>62381</v>
      </c>
      <c r="H10121" s="6" t="s">
        <v>62382</v>
      </c>
      <c r="K10121" s="5" t="s">
        <v>62383</v>
      </c>
    </row>
    <row r="10122">
      <c r="A10122" s="4">
        <v>45534.60405171296</v>
      </c>
      <c r="B10122" s="5" t="s">
        <v>34</v>
      </c>
      <c r="D10122" s="5" t="s">
        <v>4775</v>
      </c>
      <c r="E10122" s="5" t="s">
        <v>62386</v>
      </c>
      <c r="F10122" s="5" t="s">
        <v>120</v>
      </c>
      <c r="G10122" s="5" t="s">
        <v>62387</v>
      </c>
      <c r="H10122" s="6" t="s">
        <v>62388</v>
      </c>
      <c r="K10122" s="5" t="s">
        <v>62389</v>
      </c>
    </row>
    <row r="10123">
      <c r="A10123" s="4">
        <v>45534.60473274306</v>
      </c>
      <c r="B10123" s="5" t="s">
        <v>34</v>
      </c>
      <c r="D10123" s="5" t="s">
        <v>9020</v>
      </c>
      <c r="E10123" s="5" t="s">
        <v>62393</v>
      </c>
      <c r="F10123" s="5" t="s">
        <v>375</v>
      </c>
      <c r="G10123" s="5" t="s">
        <v>62394</v>
      </c>
      <c r="H10123" s="6" t="s">
        <v>62395</v>
      </c>
      <c r="K10123" s="5" t="s">
        <v>62396</v>
      </c>
    </row>
    <row r="10124">
      <c r="A10124" s="4">
        <v>45534.60548861111</v>
      </c>
      <c r="B10124" s="5" t="s">
        <v>34</v>
      </c>
      <c r="D10124" s="5" t="s">
        <v>1456</v>
      </c>
      <c r="E10124" s="5" t="s">
        <v>62399</v>
      </c>
      <c r="F10124" s="5" t="s">
        <v>37</v>
      </c>
      <c r="G10124" s="5" t="s">
        <v>62400</v>
      </c>
      <c r="H10124" s="6" t="s">
        <v>62401</v>
      </c>
      <c r="K10124" s="5" t="s">
        <v>62396</v>
      </c>
    </row>
    <row r="10125">
      <c r="A10125" s="4">
        <v>45534.60583134259</v>
      </c>
      <c r="B10125" s="5" t="s">
        <v>19</v>
      </c>
      <c r="C10125" s="5" t="s">
        <v>292</v>
      </c>
      <c r="E10125" s="5" t="s">
        <v>62404</v>
      </c>
      <c r="F10125" s="5" t="s">
        <v>199</v>
      </c>
      <c r="G10125" s="5" t="s">
        <v>62405</v>
      </c>
      <c r="H10125" s="6" t="s">
        <v>62406</v>
      </c>
      <c r="K10125" s="5" t="s">
        <v>62396</v>
      </c>
    </row>
    <row r="10126">
      <c r="A10126" s="4">
        <v>45534.60608554399</v>
      </c>
      <c r="B10126" s="5" t="s">
        <v>34</v>
      </c>
      <c r="D10126" s="5" t="s">
        <v>10297</v>
      </c>
      <c r="E10126" s="5" t="s">
        <v>62409</v>
      </c>
      <c r="F10126" s="5" t="s">
        <v>212</v>
      </c>
      <c r="G10126" s="5" t="s">
        <v>62410</v>
      </c>
      <c r="H10126" s="6" t="s">
        <v>62411</v>
      </c>
      <c r="K10126" s="5" t="s">
        <v>62412</v>
      </c>
    </row>
    <row r="10127">
      <c r="A10127" s="4">
        <v>45534.606869560186</v>
      </c>
      <c r="B10127" s="5" t="s">
        <v>34</v>
      </c>
      <c r="D10127" s="5" t="s">
        <v>1456</v>
      </c>
      <c r="E10127" s="5" t="s">
        <v>62415</v>
      </c>
      <c r="F10127" s="5" t="s">
        <v>37</v>
      </c>
      <c r="G10127" s="5" t="s">
        <v>62416</v>
      </c>
      <c r="H10127" s="6" t="s">
        <v>62417</v>
      </c>
      <c r="K10127" s="5" t="s">
        <v>62418</v>
      </c>
    </row>
    <row r="10128">
      <c r="A10128" s="4">
        <v>45534.606985185186</v>
      </c>
      <c r="B10128" s="5" t="s">
        <v>34</v>
      </c>
      <c r="D10128" s="5" t="s">
        <v>522</v>
      </c>
      <c r="E10128" s="5" t="s">
        <v>62422</v>
      </c>
      <c r="F10128" s="5" t="s">
        <v>37</v>
      </c>
      <c r="G10128" s="5" t="s">
        <v>62423</v>
      </c>
      <c r="H10128" s="6" t="s">
        <v>62424</v>
      </c>
      <c r="K10128" s="5" t="s">
        <v>62425</v>
      </c>
    </row>
    <row r="10129">
      <c r="A10129" s="4">
        <v>45534.607530381945</v>
      </c>
      <c r="B10129" s="5" t="s">
        <v>19</v>
      </c>
      <c r="C10129" s="5" t="s">
        <v>292</v>
      </c>
      <c r="E10129" s="5" t="s">
        <v>62428</v>
      </c>
      <c r="F10129" s="5" t="s">
        <v>72</v>
      </c>
      <c r="G10129" s="5" t="s">
        <v>62429</v>
      </c>
      <c r="H10129" s="6" t="s">
        <v>62430</v>
      </c>
      <c r="K10129" s="5" t="s">
        <v>62431</v>
      </c>
    </row>
    <row r="10130">
      <c r="A10130" s="4">
        <v>45534.608833171296</v>
      </c>
      <c r="B10130" s="5" t="s">
        <v>34</v>
      </c>
      <c r="D10130" s="5" t="s">
        <v>15401</v>
      </c>
      <c r="E10130" s="5" t="s">
        <v>55376</v>
      </c>
      <c r="F10130" s="5" t="s">
        <v>108</v>
      </c>
      <c r="G10130" s="5" t="s">
        <v>62434</v>
      </c>
      <c r="H10130" s="6" t="s">
        <v>62435</v>
      </c>
      <c r="K10130" s="5" t="s">
        <v>62436</v>
      </c>
    </row>
    <row r="10131">
      <c r="A10131" s="4">
        <v>45534.60982145833</v>
      </c>
      <c r="B10131" s="5" t="s">
        <v>34</v>
      </c>
      <c r="D10131" s="5" t="s">
        <v>2903</v>
      </c>
      <c r="E10131" s="5" t="s">
        <v>62439</v>
      </c>
      <c r="F10131" s="5" t="s">
        <v>715</v>
      </c>
      <c r="G10131" s="5" t="s">
        <v>62440</v>
      </c>
      <c r="H10131" s="6" t="s">
        <v>62441</v>
      </c>
      <c r="K10131" s="5" t="s">
        <v>62442</v>
      </c>
    </row>
    <row r="10132">
      <c r="A10132" s="4">
        <v>45534.61049851852</v>
      </c>
      <c r="B10132" s="5" t="s">
        <v>19</v>
      </c>
      <c r="C10132" s="5" t="s">
        <v>442</v>
      </c>
      <c r="E10132" s="5" t="s">
        <v>62445</v>
      </c>
      <c r="F10132" s="5" t="s">
        <v>108</v>
      </c>
      <c r="G10132" s="5" t="s">
        <v>62446</v>
      </c>
      <c r="H10132" s="6" t="s">
        <v>62447</v>
      </c>
      <c r="K10132" s="5" t="s">
        <v>62442</v>
      </c>
    </row>
    <row r="10133">
      <c r="A10133" s="4">
        <v>45534.612768611114</v>
      </c>
      <c r="B10133" s="5" t="s">
        <v>34</v>
      </c>
      <c r="D10133" s="5" t="s">
        <v>1206</v>
      </c>
      <c r="E10133" s="5" t="s">
        <v>18938</v>
      </c>
      <c r="F10133" s="5" t="s">
        <v>212</v>
      </c>
      <c r="G10133" s="5" t="s">
        <v>62450</v>
      </c>
      <c r="H10133" s="6" t="s">
        <v>62451</v>
      </c>
      <c r="K10133" s="5" t="s">
        <v>62452</v>
      </c>
    </row>
    <row r="10134">
      <c r="A10134" s="4">
        <v>45534.6129728588</v>
      </c>
      <c r="B10134" s="5" t="s">
        <v>34</v>
      </c>
      <c r="D10134" s="5" t="s">
        <v>4775</v>
      </c>
      <c r="E10134" s="5" t="s">
        <v>62456</v>
      </c>
      <c r="F10134" s="5" t="s">
        <v>212</v>
      </c>
      <c r="G10134" s="5" t="s">
        <v>62457</v>
      </c>
      <c r="H10134" s="6" t="s">
        <v>62458</v>
      </c>
      <c r="K10134" s="5" t="s">
        <v>62459</v>
      </c>
    </row>
    <row r="10135">
      <c r="A10135" s="4">
        <v>45534.614203749996</v>
      </c>
      <c r="B10135" s="5" t="s">
        <v>34</v>
      </c>
      <c r="D10135" s="5" t="s">
        <v>522</v>
      </c>
      <c r="E10135" s="5" t="s">
        <v>62462</v>
      </c>
      <c r="F10135" s="5" t="s">
        <v>72</v>
      </c>
      <c r="G10135" s="5" t="s">
        <v>62463</v>
      </c>
      <c r="H10135" s="6" t="s">
        <v>62464</v>
      </c>
      <c r="K10135" s="5" t="s">
        <v>62465</v>
      </c>
    </row>
    <row r="10136">
      <c r="A10136" s="4">
        <v>45534.61423789352</v>
      </c>
      <c r="B10136" s="5" t="s">
        <v>19</v>
      </c>
      <c r="C10136" s="5" t="s">
        <v>14000</v>
      </c>
      <c r="E10136" s="5" t="s">
        <v>33755</v>
      </c>
      <c r="F10136" s="5" t="s">
        <v>37</v>
      </c>
      <c r="G10136" s="5" t="s">
        <v>62468</v>
      </c>
      <c r="H10136" s="6" t="s">
        <v>62469</v>
      </c>
      <c r="K10136" s="5" t="s">
        <v>62465</v>
      </c>
    </row>
    <row r="10137">
      <c r="A10137" s="4">
        <v>45534.61486045139</v>
      </c>
      <c r="B10137" s="5" t="s">
        <v>34</v>
      </c>
      <c r="D10137" s="5" t="s">
        <v>4775</v>
      </c>
      <c r="E10137" s="5" t="s">
        <v>62473</v>
      </c>
      <c r="F10137" s="5" t="s">
        <v>212</v>
      </c>
      <c r="G10137" s="5" t="s">
        <v>62474</v>
      </c>
      <c r="H10137" s="6" t="s">
        <v>62475</v>
      </c>
      <c r="K10137" s="5" t="s">
        <v>62476</v>
      </c>
    </row>
    <row r="10138">
      <c r="A10138" s="4">
        <v>45534.61525915509</v>
      </c>
      <c r="B10138" s="5" t="s">
        <v>34</v>
      </c>
      <c r="D10138" s="5" t="s">
        <v>9020</v>
      </c>
      <c r="E10138" s="5" t="s">
        <v>62480</v>
      </c>
      <c r="F10138" s="5" t="s">
        <v>212</v>
      </c>
      <c r="G10138" s="5" t="s">
        <v>62481</v>
      </c>
      <c r="H10138" s="6" t="s">
        <v>62482</v>
      </c>
      <c r="K10138" s="5" t="s">
        <v>62483</v>
      </c>
    </row>
    <row r="10139">
      <c r="A10139" s="4">
        <v>45534.61543287037</v>
      </c>
      <c r="B10139" s="5" t="s">
        <v>34</v>
      </c>
      <c r="D10139" s="5" t="s">
        <v>9020</v>
      </c>
      <c r="E10139" s="5" t="s">
        <v>62486</v>
      </c>
      <c r="F10139" s="5" t="s">
        <v>212</v>
      </c>
      <c r="G10139" s="5" t="s">
        <v>62487</v>
      </c>
      <c r="H10139" s="6" t="s">
        <v>62488</v>
      </c>
      <c r="K10139" s="5" t="s">
        <v>62489</v>
      </c>
    </row>
    <row r="10140">
      <c r="A10140" s="4">
        <v>45534.61638425926</v>
      </c>
      <c r="B10140" s="5" t="s">
        <v>19</v>
      </c>
      <c r="C10140" s="5" t="s">
        <v>466</v>
      </c>
      <c r="E10140" s="5" t="s">
        <v>62492</v>
      </c>
      <c r="F10140" s="5" t="s">
        <v>72</v>
      </c>
      <c r="G10140" s="5" t="s">
        <v>62493</v>
      </c>
      <c r="H10140" s="6" t="s">
        <v>62494</v>
      </c>
      <c r="K10140" s="5" t="s">
        <v>62495</v>
      </c>
    </row>
    <row r="10141">
      <c r="A10141" s="4">
        <v>45534.61691488426</v>
      </c>
      <c r="B10141" s="5" t="s">
        <v>34</v>
      </c>
      <c r="D10141" s="5" t="s">
        <v>9394</v>
      </c>
      <c r="E10141" s="5" t="s">
        <v>62498</v>
      </c>
      <c r="F10141" s="5" t="s">
        <v>72</v>
      </c>
      <c r="G10141" s="5" t="s">
        <v>62499</v>
      </c>
      <c r="H10141" s="6" t="s">
        <v>62500</v>
      </c>
      <c r="K10141" s="5" t="s">
        <v>62495</v>
      </c>
    </row>
    <row r="10142">
      <c r="A10142" s="4">
        <v>45534.61904535879</v>
      </c>
      <c r="B10142" s="5" t="s">
        <v>34</v>
      </c>
      <c r="D10142" s="5" t="s">
        <v>9020</v>
      </c>
      <c r="E10142" s="5" t="s">
        <v>62503</v>
      </c>
      <c r="F10142" s="5" t="s">
        <v>524</v>
      </c>
      <c r="G10142" s="5" t="s">
        <v>62504</v>
      </c>
      <c r="H10142" s="6" t="s">
        <v>62505</v>
      </c>
      <c r="K10142" s="5" t="s">
        <v>62506</v>
      </c>
    </row>
    <row r="10143">
      <c r="A10143" s="4">
        <v>45534.620402685185</v>
      </c>
      <c r="B10143" s="5" t="s">
        <v>19</v>
      </c>
      <c r="C10143" s="5" t="s">
        <v>14000</v>
      </c>
      <c r="E10143" s="5" t="s">
        <v>62510</v>
      </c>
      <c r="F10143" s="5" t="s">
        <v>37</v>
      </c>
      <c r="G10143" s="5" t="s">
        <v>62511</v>
      </c>
      <c r="H10143" s="6" t="s">
        <v>62512</v>
      </c>
      <c r="K10143" s="5" t="s">
        <v>62506</v>
      </c>
    </row>
    <row r="10144">
      <c r="A10144" s="4">
        <v>45534.62107043981</v>
      </c>
      <c r="B10144" s="5" t="s">
        <v>34</v>
      </c>
      <c r="D10144" s="5" t="s">
        <v>4775</v>
      </c>
      <c r="E10144" s="5" t="s">
        <v>62515</v>
      </c>
      <c r="F10144" s="5" t="s">
        <v>375</v>
      </c>
      <c r="G10144" s="5" t="s">
        <v>62516</v>
      </c>
      <c r="H10144" s="6" t="s">
        <v>62517</v>
      </c>
      <c r="K10144" s="5" t="s">
        <v>62518</v>
      </c>
    </row>
    <row r="10145">
      <c r="A10145" s="4">
        <v>45534.62169083333</v>
      </c>
      <c r="B10145" s="5" t="s">
        <v>34</v>
      </c>
      <c r="D10145" s="5" t="s">
        <v>522</v>
      </c>
      <c r="E10145" s="5" t="s">
        <v>19050</v>
      </c>
      <c r="F10145" s="5" t="s">
        <v>120</v>
      </c>
      <c r="G10145" s="5" t="s">
        <v>62521</v>
      </c>
      <c r="H10145" s="6" t="s">
        <v>62522</v>
      </c>
      <c r="K10145" s="5" t="s">
        <v>62518</v>
      </c>
    </row>
    <row r="10146">
      <c r="A10146" s="4">
        <v>45534.62187857639</v>
      </c>
      <c r="B10146" s="5" t="s">
        <v>34</v>
      </c>
      <c r="D10146" s="5" t="s">
        <v>522</v>
      </c>
      <c r="E10146" s="5" t="s">
        <v>62525</v>
      </c>
      <c r="F10146" s="5" t="s">
        <v>108</v>
      </c>
      <c r="G10146" s="5" t="s">
        <v>62526</v>
      </c>
      <c r="H10146" s="6" t="s">
        <v>62527</v>
      </c>
      <c r="K10146" s="5" t="s">
        <v>62518</v>
      </c>
    </row>
    <row r="10147">
      <c r="A10147" s="4">
        <v>45534.62230116898</v>
      </c>
      <c r="B10147" s="5" t="s">
        <v>34</v>
      </c>
      <c r="D10147" s="5" t="s">
        <v>580</v>
      </c>
      <c r="E10147" s="5" t="s">
        <v>62530</v>
      </c>
      <c r="F10147" s="5" t="s">
        <v>37</v>
      </c>
      <c r="G10147" s="5" t="s">
        <v>62531</v>
      </c>
      <c r="H10147" s="6" t="s">
        <v>62532</v>
      </c>
      <c r="K10147" s="5" t="s">
        <v>62533</v>
      </c>
    </row>
    <row r="10148">
      <c r="A10148" s="4">
        <v>45534.622701782406</v>
      </c>
      <c r="B10148" s="5" t="s">
        <v>34</v>
      </c>
      <c r="D10148" s="5" t="s">
        <v>14313</v>
      </c>
      <c r="E10148" s="5" t="s">
        <v>62536</v>
      </c>
      <c r="F10148" s="5" t="s">
        <v>715</v>
      </c>
      <c r="G10148" s="5" t="s">
        <v>62537</v>
      </c>
      <c r="H10148" s="6" t="s">
        <v>62538</v>
      </c>
      <c r="K10148" s="5" t="s">
        <v>62539</v>
      </c>
    </row>
    <row r="10149">
      <c r="A10149" s="4">
        <v>45534.62370177083</v>
      </c>
      <c r="B10149" s="5" t="s">
        <v>34</v>
      </c>
      <c r="D10149" s="5" t="s">
        <v>580</v>
      </c>
      <c r="E10149" s="5" t="s">
        <v>62543</v>
      </c>
      <c r="F10149" s="5" t="s">
        <v>37</v>
      </c>
      <c r="G10149" s="5" t="s">
        <v>62544</v>
      </c>
      <c r="H10149" s="6" t="s">
        <v>62545</v>
      </c>
      <c r="K10149" s="5" t="s">
        <v>62546</v>
      </c>
    </row>
    <row r="10150">
      <c r="A10150" s="4">
        <v>45534.62406663194</v>
      </c>
      <c r="B10150" s="5" t="s">
        <v>34</v>
      </c>
      <c r="D10150" s="5" t="s">
        <v>1692</v>
      </c>
      <c r="E10150" s="5" t="s">
        <v>62549</v>
      </c>
      <c r="F10150" s="5" t="s">
        <v>72</v>
      </c>
      <c r="G10150" s="5" t="s">
        <v>62550</v>
      </c>
      <c r="H10150" s="6" t="s">
        <v>62551</v>
      </c>
      <c r="K10150" s="5" t="s">
        <v>62552</v>
      </c>
    </row>
    <row r="10151">
      <c r="A10151" s="4">
        <v>45534.62460701389</v>
      </c>
      <c r="B10151" s="5" t="s">
        <v>34</v>
      </c>
      <c r="D10151" s="5" t="s">
        <v>522</v>
      </c>
      <c r="E10151" s="5" t="s">
        <v>62555</v>
      </c>
      <c r="F10151" s="5" t="s">
        <v>72</v>
      </c>
      <c r="G10151" s="5" t="s">
        <v>62556</v>
      </c>
      <c r="H10151" s="6" t="s">
        <v>62557</v>
      </c>
      <c r="K10151" s="5" t="s">
        <v>62558</v>
      </c>
    </row>
    <row r="10152">
      <c r="A10152" s="4">
        <v>45534.626592002314</v>
      </c>
      <c r="B10152" s="5" t="s">
        <v>34</v>
      </c>
      <c r="D10152" s="5" t="s">
        <v>522</v>
      </c>
      <c r="E10152" s="5" t="s">
        <v>62561</v>
      </c>
      <c r="F10152" s="5" t="s">
        <v>37</v>
      </c>
      <c r="G10152" s="5" t="s">
        <v>62562</v>
      </c>
      <c r="H10152" s="6" t="s">
        <v>62563</v>
      </c>
      <c r="K10152" s="5" t="s">
        <v>62564</v>
      </c>
    </row>
    <row r="10153">
      <c r="A10153" s="4">
        <v>45534.62704665509</v>
      </c>
      <c r="B10153" s="5" t="s">
        <v>34</v>
      </c>
      <c r="D10153" s="5" t="s">
        <v>522</v>
      </c>
      <c r="E10153" s="5" t="s">
        <v>62567</v>
      </c>
      <c r="F10153" s="5" t="s">
        <v>524</v>
      </c>
      <c r="G10153" s="5" t="s">
        <v>62568</v>
      </c>
      <c r="H10153" s="6" t="s">
        <v>62569</v>
      </c>
      <c r="K10153" s="5" t="s">
        <v>62570</v>
      </c>
    </row>
    <row r="10154">
      <c r="A10154" s="4">
        <v>45534.62725472222</v>
      </c>
      <c r="B10154" s="5" t="s">
        <v>34</v>
      </c>
      <c r="D10154" s="5" t="s">
        <v>35</v>
      </c>
      <c r="E10154" s="5" t="s">
        <v>62573</v>
      </c>
      <c r="F10154" s="5" t="s">
        <v>72</v>
      </c>
      <c r="G10154" s="5" t="s">
        <v>62574</v>
      </c>
      <c r="H10154" s="6" t="s">
        <v>62575</v>
      </c>
      <c r="K10154" s="5" t="s">
        <v>62576</v>
      </c>
    </row>
    <row r="10155">
      <c r="A10155" s="4">
        <v>45534.6294490625</v>
      </c>
      <c r="B10155" s="5" t="s">
        <v>34</v>
      </c>
      <c r="D10155" s="5" t="s">
        <v>1206</v>
      </c>
      <c r="E10155" s="5" t="s">
        <v>62580</v>
      </c>
      <c r="F10155" s="5" t="s">
        <v>212</v>
      </c>
      <c r="G10155" s="5" t="s">
        <v>62581</v>
      </c>
      <c r="H10155" s="6" t="s">
        <v>62582</v>
      </c>
      <c r="K10155" s="5" t="s">
        <v>62583</v>
      </c>
    </row>
    <row r="10156">
      <c r="A10156" s="4">
        <v>45534.6306315625</v>
      </c>
      <c r="B10156" s="5" t="s">
        <v>34</v>
      </c>
      <c r="D10156" s="5" t="s">
        <v>9394</v>
      </c>
      <c r="E10156" s="5" t="s">
        <v>62586</v>
      </c>
      <c r="F10156" s="5" t="s">
        <v>524</v>
      </c>
      <c r="G10156" s="5" t="s">
        <v>62587</v>
      </c>
      <c r="H10156" s="6" t="s">
        <v>62588</v>
      </c>
      <c r="K10156" s="5" t="s">
        <v>62583</v>
      </c>
    </row>
    <row r="10157">
      <c r="A10157" s="4">
        <v>45534.63417042824</v>
      </c>
      <c r="B10157" s="5" t="s">
        <v>34</v>
      </c>
      <c r="D10157" s="5" t="s">
        <v>9394</v>
      </c>
      <c r="E10157" s="5" t="s">
        <v>62591</v>
      </c>
      <c r="F10157" s="5" t="s">
        <v>120</v>
      </c>
      <c r="G10157" s="5" t="s">
        <v>62592</v>
      </c>
      <c r="H10157" s="6" t="s">
        <v>62593</v>
      </c>
      <c r="K10157" s="5" t="s">
        <v>62594</v>
      </c>
    </row>
    <row r="10158">
      <c r="A10158" s="4">
        <v>45534.63553114583</v>
      </c>
      <c r="B10158" s="5" t="s">
        <v>34</v>
      </c>
      <c r="D10158" s="5" t="s">
        <v>11527</v>
      </c>
      <c r="E10158" s="5" t="s">
        <v>62597</v>
      </c>
      <c r="F10158" s="5" t="s">
        <v>212</v>
      </c>
      <c r="G10158" s="5" t="s">
        <v>62598</v>
      </c>
      <c r="H10158" s="6" t="s">
        <v>62599</v>
      </c>
      <c r="K10158" s="5" t="s">
        <v>62600</v>
      </c>
    </row>
    <row r="10159">
      <c r="A10159" s="4">
        <v>45534.63681814815</v>
      </c>
      <c r="B10159" s="5" t="s">
        <v>34</v>
      </c>
      <c r="D10159" s="5" t="s">
        <v>14313</v>
      </c>
      <c r="E10159" s="5" t="s">
        <v>62603</v>
      </c>
      <c r="F10159" s="5" t="s">
        <v>72</v>
      </c>
      <c r="G10159" s="5" t="s">
        <v>62604</v>
      </c>
      <c r="H10159" s="6" t="s">
        <v>62605</v>
      </c>
      <c r="K10159" s="5" t="s">
        <v>62606</v>
      </c>
    </row>
    <row r="10160">
      <c r="A10160" s="4">
        <v>45534.63735846065</v>
      </c>
      <c r="B10160" s="5" t="s">
        <v>34</v>
      </c>
      <c r="D10160" s="5" t="s">
        <v>1206</v>
      </c>
      <c r="E10160" s="5" t="s">
        <v>62610</v>
      </c>
      <c r="F10160" s="5" t="s">
        <v>72</v>
      </c>
      <c r="G10160" s="5" t="s">
        <v>62611</v>
      </c>
      <c r="H10160" s="6" t="s">
        <v>62612</v>
      </c>
      <c r="K10160" s="5" t="s">
        <v>62613</v>
      </c>
    </row>
    <row r="10161">
      <c r="A10161" s="4">
        <v>45534.63950929398</v>
      </c>
      <c r="B10161" s="5" t="s">
        <v>34</v>
      </c>
      <c r="D10161" s="5" t="s">
        <v>4775</v>
      </c>
      <c r="E10161" s="5" t="s">
        <v>62616</v>
      </c>
      <c r="F10161" s="5" t="s">
        <v>120</v>
      </c>
      <c r="G10161" s="5" t="s">
        <v>54734</v>
      </c>
      <c r="H10161" s="6" t="s">
        <v>62617</v>
      </c>
      <c r="K10161" s="5" t="s">
        <v>62613</v>
      </c>
    </row>
    <row r="10162">
      <c r="A10162" s="4">
        <v>45534.6403866551</v>
      </c>
      <c r="B10162" s="5" t="s">
        <v>34</v>
      </c>
      <c r="D10162" s="5" t="s">
        <v>3849</v>
      </c>
      <c r="E10162" s="5" t="s">
        <v>55002</v>
      </c>
      <c r="F10162" s="5" t="s">
        <v>72</v>
      </c>
      <c r="G10162" s="5" t="s">
        <v>62620</v>
      </c>
      <c r="H10162" s="6" t="s">
        <v>62621</v>
      </c>
      <c r="K10162" s="5" t="s">
        <v>62622</v>
      </c>
    </row>
    <row r="10163">
      <c r="A10163" s="4">
        <v>45534.642877025464</v>
      </c>
      <c r="B10163" s="5" t="s">
        <v>34</v>
      </c>
      <c r="D10163" s="5" t="s">
        <v>11527</v>
      </c>
      <c r="E10163" s="5" t="s">
        <v>62625</v>
      </c>
      <c r="F10163" s="5" t="s">
        <v>212</v>
      </c>
      <c r="G10163" s="5" t="s">
        <v>62626</v>
      </c>
      <c r="H10163" s="6" t="s">
        <v>62627</v>
      </c>
      <c r="K10163" s="5" t="s">
        <v>62628</v>
      </c>
    </row>
    <row r="10164">
      <c r="A10164" s="4">
        <v>45534.643479756945</v>
      </c>
      <c r="B10164" s="5" t="s">
        <v>34</v>
      </c>
      <c r="D10164" s="5" t="s">
        <v>522</v>
      </c>
      <c r="E10164" s="5" t="s">
        <v>62632</v>
      </c>
      <c r="F10164" s="5" t="s">
        <v>37</v>
      </c>
      <c r="G10164" s="5" t="s">
        <v>62633</v>
      </c>
      <c r="H10164" s="6" t="s">
        <v>62634</v>
      </c>
      <c r="K10164" s="5" t="s">
        <v>62635</v>
      </c>
    </row>
    <row r="10165">
      <c r="A10165" s="4">
        <v>45534.64365407407</v>
      </c>
      <c r="B10165" s="5" t="s">
        <v>34</v>
      </c>
      <c r="D10165" s="5" t="s">
        <v>35</v>
      </c>
      <c r="E10165" s="5" t="s">
        <v>18801</v>
      </c>
      <c r="F10165" s="5" t="s">
        <v>37</v>
      </c>
      <c r="G10165" s="5" t="s">
        <v>62638</v>
      </c>
      <c r="H10165" s="6" t="s">
        <v>62639</v>
      </c>
      <c r="K10165" s="5" t="s">
        <v>62640</v>
      </c>
    </row>
    <row r="10166">
      <c r="A10166" s="4">
        <v>45534.64451745371</v>
      </c>
      <c r="B10166" s="5" t="s">
        <v>19</v>
      </c>
      <c r="C10166" s="5" t="s">
        <v>466</v>
      </c>
      <c r="E10166" s="5" t="s">
        <v>62643</v>
      </c>
      <c r="F10166" s="5" t="s">
        <v>108</v>
      </c>
      <c r="G10166" s="5" t="s">
        <v>62644</v>
      </c>
      <c r="H10166" s="6" t="s">
        <v>62645</v>
      </c>
      <c r="K10166" s="5" t="s">
        <v>62646</v>
      </c>
    </row>
    <row r="10167">
      <c r="A10167" s="4">
        <v>45534.644840787034</v>
      </c>
      <c r="B10167" s="5" t="s">
        <v>34</v>
      </c>
      <c r="D10167" s="5" t="s">
        <v>522</v>
      </c>
      <c r="E10167" s="5" t="s">
        <v>62650</v>
      </c>
      <c r="F10167" s="5" t="s">
        <v>37</v>
      </c>
      <c r="G10167" s="5" t="s">
        <v>62651</v>
      </c>
      <c r="H10167" s="6" t="s">
        <v>62652</v>
      </c>
      <c r="K10167" s="5" t="s">
        <v>62653</v>
      </c>
    </row>
    <row r="10168">
      <c r="A10168" s="4">
        <v>45534.64529369213</v>
      </c>
      <c r="B10168" s="5" t="s">
        <v>34</v>
      </c>
      <c r="D10168" s="5" t="s">
        <v>4775</v>
      </c>
      <c r="E10168" s="5" t="s">
        <v>62656</v>
      </c>
      <c r="F10168" s="5" t="s">
        <v>212</v>
      </c>
      <c r="G10168" s="5" t="s">
        <v>62657</v>
      </c>
      <c r="H10168" s="6" t="s">
        <v>62658</v>
      </c>
      <c r="K10168" s="5" t="s">
        <v>62659</v>
      </c>
    </row>
    <row r="10169">
      <c r="A10169" s="4">
        <v>45534.645774756944</v>
      </c>
      <c r="B10169" s="5" t="s">
        <v>34</v>
      </c>
      <c r="D10169" s="5" t="s">
        <v>1206</v>
      </c>
      <c r="E10169" s="5" t="s">
        <v>62662</v>
      </c>
      <c r="F10169" s="5" t="s">
        <v>120</v>
      </c>
      <c r="G10169" s="5" t="s">
        <v>62663</v>
      </c>
      <c r="H10169" s="6" t="s">
        <v>62664</v>
      </c>
      <c r="K10169" s="5" t="s">
        <v>62665</v>
      </c>
    </row>
    <row r="10170">
      <c r="A10170" s="4">
        <v>45534.65033046296</v>
      </c>
      <c r="B10170" s="5" t="s">
        <v>34</v>
      </c>
      <c r="D10170" s="5" t="s">
        <v>522</v>
      </c>
      <c r="E10170" s="5" t="s">
        <v>62668</v>
      </c>
      <c r="F10170" s="5" t="s">
        <v>212</v>
      </c>
      <c r="G10170" s="5" t="s">
        <v>62669</v>
      </c>
      <c r="H10170" s="6" t="s">
        <v>62670</v>
      </c>
      <c r="K10170" s="5" t="s">
        <v>62671</v>
      </c>
    </row>
    <row r="10171">
      <c r="A10171" s="4">
        <v>45534.65244653935</v>
      </c>
      <c r="B10171" s="5" t="s">
        <v>34</v>
      </c>
      <c r="D10171" s="5" t="s">
        <v>1206</v>
      </c>
      <c r="E10171" s="5" t="s">
        <v>62675</v>
      </c>
      <c r="F10171" s="5" t="s">
        <v>212</v>
      </c>
      <c r="G10171" s="5" t="s">
        <v>62676</v>
      </c>
      <c r="H10171" s="6" t="s">
        <v>62677</v>
      </c>
      <c r="K10171" s="5" t="s">
        <v>62678</v>
      </c>
    </row>
    <row r="10172">
      <c r="A10172" s="4">
        <v>45534.653893483795</v>
      </c>
      <c r="B10172" s="5" t="s">
        <v>34</v>
      </c>
      <c r="D10172" s="5" t="s">
        <v>6232</v>
      </c>
      <c r="E10172" s="5" t="s">
        <v>62681</v>
      </c>
      <c r="F10172" s="5" t="s">
        <v>37</v>
      </c>
      <c r="G10172" s="5" t="s">
        <v>62682</v>
      </c>
      <c r="H10172" s="6" t="s">
        <v>62683</v>
      </c>
      <c r="K10172" s="5" t="s">
        <v>62684</v>
      </c>
    </row>
    <row r="10173">
      <c r="A10173" s="4">
        <v>45534.656555532405</v>
      </c>
      <c r="B10173" s="5" t="s">
        <v>34</v>
      </c>
      <c r="D10173" s="5" t="s">
        <v>11527</v>
      </c>
      <c r="E10173" s="5" t="s">
        <v>62687</v>
      </c>
      <c r="F10173" s="5" t="s">
        <v>524</v>
      </c>
      <c r="G10173" s="5" t="s">
        <v>62688</v>
      </c>
      <c r="H10173" s="6" t="s">
        <v>62689</v>
      </c>
      <c r="K10173" s="5" t="s">
        <v>62690</v>
      </c>
    </row>
    <row r="10174">
      <c r="A10174" s="4">
        <v>45534.658648055556</v>
      </c>
      <c r="B10174" s="5" t="s">
        <v>34</v>
      </c>
      <c r="D10174" s="5" t="s">
        <v>9020</v>
      </c>
      <c r="E10174" s="5" t="s">
        <v>35474</v>
      </c>
      <c r="F10174" s="5" t="s">
        <v>22</v>
      </c>
      <c r="G10174" s="5" t="s">
        <v>62694</v>
      </c>
      <c r="H10174" s="6" t="s">
        <v>62695</v>
      </c>
      <c r="K10174" s="5" t="s">
        <v>62696</v>
      </c>
    </row>
    <row r="10175">
      <c r="A10175" s="4">
        <v>45534.66017604167</v>
      </c>
      <c r="B10175" s="5" t="s">
        <v>34</v>
      </c>
      <c r="D10175" s="5" t="s">
        <v>11527</v>
      </c>
      <c r="E10175" s="5" t="s">
        <v>62699</v>
      </c>
      <c r="F10175" s="5" t="s">
        <v>37</v>
      </c>
      <c r="G10175" s="5" t="s">
        <v>62700</v>
      </c>
      <c r="H10175" s="6" t="s">
        <v>62701</v>
      </c>
      <c r="K10175" s="5" t="s">
        <v>62702</v>
      </c>
    </row>
    <row r="10176">
      <c r="A10176" s="4">
        <v>45534.660218634264</v>
      </c>
      <c r="B10176" s="5" t="s">
        <v>34</v>
      </c>
      <c r="D10176" s="5" t="s">
        <v>11527</v>
      </c>
      <c r="E10176" s="5" t="s">
        <v>62705</v>
      </c>
      <c r="F10176" s="5" t="s">
        <v>108</v>
      </c>
      <c r="G10176" s="5" t="s">
        <v>62706</v>
      </c>
      <c r="H10176" s="6" t="s">
        <v>62707</v>
      </c>
      <c r="K10176" s="5" t="s">
        <v>62708</v>
      </c>
    </row>
    <row r="10177">
      <c r="A10177" s="4">
        <v>45534.66026884259</v>
      </c>
      <c r="B10177" s="5" t="s">
        <v>34</v>
      </c>
      <c r="D10177" s="5" t="s">
        <v>3849</v>
      </c>
      <c r="E10177" s="5" t="s">
        <v>62711</v>
      </c>
      <c r="F10177" s="5" t="s">
        <v>37</v>
      </c>
      <c r="G10177" s="5" t="s">
        <v>62712</v>
      </c>
      <c r="H10177" s="6" t="s">
        <v>62713</v>
      </c>
      <c r="K10177" s="5" t="s">
        <v>62708</v>
      </c>
    </row>
    <row r="10178">
      <c r="A10178" s="4">
        <v>45534.66058074074</v>
      </c>
      <c r="B10178" s="5" t="s">
        <v>34</v>
      </c>
      <c r="D10178" s="5" t="s">
        <v>35</v>
      </c>
      <c r="E10178" s="5" t="s">
        <v>62717</v>
      </c>
      <c r="F10178" s="5" t="s">
        <v>120</v>
      </c>
      <c r="G10178" s="5" t="s">
        <v>62718</v>
      </c>
      <c r="H10178" s="6" t="s">
        <v>62719</v>
      </c>
      <c r="K10178" s="5" t="s">
        <v>62720</v>
      </c>
    </row>
    <row r="10179">
      <c r="A10179" s="4">
        <v>45534.66145136574</v>
      </c>
      <c r="B10179" s="5" t="s">
        <v>34</v>
      </c>
      <c r="D10179" s="5" t="s">
        <v>6232</v>
      </c>
      <c r="E10179" s="5" t="s">
        <v>62723</v>
      </c>
      <c r="F10179" s="5" t="s">
        <v>37</v>
      </c>
      <c r="G10179" s="5" t="s">
        <v>62724</v>
      </c>
      <c r="H10179" s="6" t="s">
        <v>62725</v>
      </c>
      <c r="K10179" s="5" t="s">
        <v>62726</v>
      </c>
    </row>
    <row r="10180">
      <c r="A10180" s="4">
        <v>45534.66613684028</v>
      </c>
      <c r="B10180" s="5" t="s">
        <v>34</v>
      </c>
      <c r="D10180" s="5" t="s">
        <v>14313</v>
      </c>
      <c r="E10180" s="5" t="s">
        <v>62729</v>
      </c>
      <c r="F10180" s="5" t="s">
        <v>37</v>
      </c>
      <c r="G10180" s="5" t="s">
        <v>62730</v>
      </c>
      <c r="H10180" s="6" t="s">
        <v>62731</v>
      </c>
      <c r="K10180" s="5" t="s">
        <v>62732</v>
      </c>
    </row>
    <row r="10181">
      <c r="A10181" s="4">
        <v>45534.66636390046</v>
      </c>
      <c r="B10181" s="5" t="s">
        <v>34</v>
      </c>
      <c r="D10181" s="5" t="s">
        <v>996</v>
      </c>
      <c r="E10181" s="5" t="s">
        <v>62736</v>
      </c>
      <c r="F10181" s="5" t="s">
        <v>212</v>
      </c>
      <c r="G10181" s="5" t="s">
        <v>62737</v>
      </c>
      <c r="H10181" s="6" t="s">
        <v>62738</v>
      </c>
      <c r="K10181" s="5" t="s">
        <v>62739</v>
      </c>
    </row>
    <row r="10182">
      <c r="A10182" s="4">
        <v>45534.668251759256</v>
      </c>
      <c r="B10182" s="5" t="s">
        <v>34</v>
      </c>
      <c r="D10182" s="5" t="s">
        <v>1206</v>
      </c>
      <c r="E10182" s="5" t="s">
        <v>50186</v>
      </c>
      <c r="F10182" s="5" t="s">
        <v>328</v>
      </c>
      <c r="G10182" s="5" t="s">
        <v>50187</v>
      </c>
      <c r="H10182" s="6" t="s">
        <v>62742</v>
      </c>
      <c r="K10182" s="5" t="s">
        <v>62743</v>
      </c>
    </row>
    <row r="10183">
      <c r="A10183" s="4">
        <v>45534.674159490736</v>
      </c>
      <c r="B10183" s="5" t="s">
        <v>19</v>
      </c>
      <c r="C10183" s="5" t="s">
        <v>466</v>
      </c>
      <c r="E10183" s="5" t="s">
        <v>62747</v>
      </c>
      <c r="F10183" s="5" t="s">
        <v>120</v>
      </c>
      <c r="G10183" s="5" t="s">
        <v>62748</v>
      </c>
      <c r="H10183" s="6" t="s">
        <v>62749</v>
      </c>
      <c r="K10183" s="5" t="s">
        <v>62750</v>
      </c>
    </row>
    <row r="10184">
      <c r="A10184" s="4">
        <v>45534.67539365741</v>
      </c>
      <c r="B10184" s="5" t="s">
        <v>34</v>
      </c>
      <c r="D10184" s="5" t="s">
        <v>4775</v>
      </c>
      <c r="E10184" s="5" t="s">
        <v>62753</v>
      </c>
      <c r="F10184" s="5" t="s">
        <v>212</v>
      </c>
      <c r="G10184" s="5" t="s">
        <v>31848</v>
      </c>
      <c r="H10184" s="6" t="s">
        <v>62754</v>
      </c>
      <c r="K10184" s="5" t="s">
        <v>62755</v>
      </c>
    </row>
    <row r="10185">
      <c r="A10185" s="4">
        <v>45534.68505753472</v>
      </c>
      <c r="B10185" s="5" t="s">
        <v>19</v>
      </c>
      <c r="C10185" s="5" t="s">
        <v>292</v>
      </c>
      <c r="E10185" s="5" t="s">
        <v>10560</v>
      </c>
      <c r="F10185" s="5" t="s">
        <v>212</v>
      </c>
      <c r="G10185" s="5" t="s">
        <v>62758</v>
      </c>
      <c r="H10185" s="6" t="s">
        <v>62759</v>
      </c>
      <c r="K10185" s="5" t="s">
        <v>62760</v>
      </c>
    </row>
    <row r="10186">
      <c r="A10186" s="4">
        <v>45534.68513636574</v>
      </c>
      <c r="B10186" s="5" t="s">
        <v>34</v>
      </c>
      <c r="D10186" s="5" t="s">
        <v>9020</v>
      </c>
      <c r="E10186" s="5" t="s">
        <v>44006</v>
      </c>
      <c r="F10186" s="5" t="s">
        <v>375</v>
      </c>
      <c r="G10186" s="5" t="s">
        <v>44007</v>
      </c>
      <c r="H10186" s="6" t="s">
        <v>62763</v>
      </c>
      <c r="K10186" s="5" t="s">
        <v>62764</v>
      </c>
    </row>
    <row r="10187">
      <c r="A10187" s="4">
        <v>45534.686465543986</v>
      </c>
      <c r="B10187" s="5" t="s">
        <v>19</v>
      </c>
      <c r="C10187" s="5" t="s">
        <v>14000</v>
      </c>
      <c r="E10187" s="5" t="s">
        <v>62767</v>
      </c>
      <c r="F10187" s="5" t="s">
        <v>37</v>
      </c>
      <c r="G10187" s="5" t="s">
        <v>62768</v>
      </c>
      <c r="H10187" s="6" t="s">
        <v>62769</v>
      </c>
      <c r="K10187" s="5" t="s">
        <v>62770</v>
      </c>
    </row>
    <row r="10188">
      <c r="A10188" s="4">
        <v>45534.68647880787</v>
      </c>
      <c r="B10188" s="5" t="s">
        <v>34</v>
      </c>
      <c r="D10188" s="5" t="s">
        <v>3849</v>
      </c>
      <c r="E10188" s="5" t="s">
        <v>62773</v>
      </c>
      <c r="F10188" s="5" t="s">
        <v>37</v>
      </c>
      <c r="G10188" s="5" t="s">
        <v>62774</v>
      </c>
      <c r="H10188" s="6" t="s">
        <v>62775</v>
      </c>
      <c r="K10188" s="5" t="s">
        <v>62770</v>
      </c>
    </row>
    <row r="10189">
      <c r="A10189" s="4">
        <v>45534.68736141204</v>
      </c>
      <c r="B10189" s="5" t="s">
        <v>34</v>
      </c>
      <c r="D10189" s="5" t="s">
        <v>14313</v>
      </c>
      <c r="E10189" s="5" t="s">
        <v>62779</v>
      </c>
      <c r="F10189" s="5" t="s">
        <v>72</v>
      </c>
      <c r="G10189" s="5" t="s">
        <v>62780</v>
      </c>
      <c r="H10189" s="6" t="s">
        <v>62781</v>
      </c>
      <c r="K10189" s="5" t="s">
        <v>62782</v>
      </c>
    </row>
    <row r="10190">
      <c r="A10190" s="4">
        <v>45534.68813197917</v>
      </c>
      <c r="B10190" s="5" t="s">
        <v>34</v>
      </c>
      <c r="D10190" s="5" t="s">
        <v>701</v>
      </c>
      <c r="E10190" s="5" t="s">
        <v>62785</v>
      </c>
      <c r="F10190" s="5" t="s">
        <v>37</v>
      </c>
      <c r="G10190" s="5" t="s">
        <v>62786</v>
      </c>
      <c r="H10190" s="6" t="s">
        <v>62787</v>
      </c>
      <c r="K10190" s="5" t="s">
        <v>62788</v>
      </c>
    </row>
    <row r="10191">
      <c r="A10191" s="4">
        <v>45534.68814034722</v>
      </c>
      <c r="B10191" s="5" t="s">
        <v>19</v>
      </c>
      <c r="C10191" s="5" t="s">
        <v>83</v>
      </c>
      <c r="E10191" s="5" t="s">
        <v>62791</v>
      </c>
      <c r="F10191" s="5" t="s">
        <v>328</v>
      </c>
      <c r="G10191" s="5" t="s">
        <v>62792</v>
      </c>
      <c r="H10191" s="6" t="s">
        <v>62793</v>
      </c>
      <c r="K10191" s="5" t="s">
        <v>62788</v>
      </c>
    </row>
    <row r="10192">
      <c r="A10192" s="4">
        <v>45534.6886353588</v>
      </c>
      <c r="B10192" s="5" t="s">
        <v>19</v>
      </c>
      <c r="C10192" s="5" t="s">
        <v>292</v>
      </c>
      <c r="E10192" s="5" t="s">
        <v>62796</v>
      </c>
      <c r="F10192" s="5" t="s">
        <v>120</v>
      </c>
      <c r="G10192" s="5" t="s">
        <v>62797</v>
      </c>
      <c r="H10192" s="6" t="s">
        <v>62798</v>
      </c>
      <c r="K10192" s="5" t="s">
        <v>62799</v>
      </c>
    </row>
    <row r="10193">
      <c r="A10193" s="4">
        <v>45534.69129697917</v>
      </c>
      <c r="B10193" s="5" t="s">
        <v>34</v>
      </c>
      <c r="D10193" s="5" t="s">
        <v>10444</v>
      </c>
      <c r="E10193" s="5" t="s">
        <v>62802</v>
      </c>
      <c r="F10193" s="5" t="s">
        <v>212</v>
      </c>
      <c r="G10193" s="5" t="s">
        <v>62803</v>
      </c>
      <c r="H10193" s="6" t="s">
        <v>62804</v>
      </c>
      <c r="K10193" s="5" t="s">
        <v>62805</v>
      </c>
    </row>
    <row r="10194">
      <c r="A10194" s="4">
        <v>45534.69623430556</v>
      </c>
      <c r="B10194" s="5" t="s">
        <v>34</v>
      </c>
      <c r="D10194" s="5" t="s">
        <v>14313</v>
      </c>
      <c r="E10194" s="5" t="s">
        <v>62809</v>
      </c>
      <c r="F10194" s="5" t="s">
        <v>72</v>
      </c>
      <c r="G10194" s="5" t="s">
        <v>62810</v>
      </c>
      <c r="H10194" s="6" t="s">
        <v>62811</v>
      </c>
      <c r="K10194" s="5" t="s">
        <v>62812</v>
      </c>
    </row>
    <row r="10195">
      <c r="A10195" s="4">
        <v>45534.70941289351</v>
      </c>
      <c r="B10195" s="5" t="s">
        <v>34</v>
      </c>
      <c r="D10195" s="5" t="s">
        <v>1456</v>
      </c>
      <c r="E10195" s="5" t="s">
        <v>62815</v>
      </c>
      <c r="F10195" s="5" t="s">
        <v>524</v>
      </c>
      <c r="G10195" s="5" t="s">
        <v>62816</v>
      </c>
      <c r="H10195" s="6" t="s">
        <v>62817</v>
      </c>
      <c r="K10195" s="5" t="s">
        <v>62818</v>
      </c>
    </row>
    <row r="10196">
      <c r="A10196" s="4">
        <v>45534.71303239583</v>
      </c>
      <c r="B10196" s="5" t="s">
        <v>34</v>
      </c>
      <c r="D10196" s="5" t="s">
        <v>14313</v>
      </c>
      <c r="E10196" s="5" t="s">
        <v>62821</v>
      </c>
      <c r="F10196" s="5" t="s">
        <v>375</v>
      </c>
      <c r="G10196" s="5" t="s">
        <v>62822</v>
      </c>
      <c r="H10196" s="6" t="s">
        <v>62823</v>
      </c>
      <c r="K10196" s="5" t="s">
        <v>62824</v>
      </c>
    </row>
    <row r="10197">
      <c r="A10197" s="4">
        <v>45534.714869664356</v>
      </c>
      <c r="B10197" s="5" t="s">
        <v>34</v>
      </c>
      <c r="D10197" s="5" t="s">
        <v>12978</v>
      </c>
      <c r="E10197" s="5" t="s">
        <v>62827</v>
      </c>
      <c r="F10197" s="5" t="s">
        <v>212</v>
      </c>
      <c r="G10197" s="5" t="s">
        <v>62828</v>
      </c>
      <c r="H10197" s="6" t="s">
        <v>62829</v>
      </c>
      <c r="K10197" s="5" t="s">
        <v>62830</v>
      </c>
    </row>
    <row r="10198">
      <c r="A10198" s="4">
        <v>45534.716789143524</v>
      </c>
      <c r="B10198" s="5" t="s">
        <v>34</v>
      </c>
      <c r="D10198" s="5" t="s">
        <v>4775</v>
      </c>
      <c r="E10198" s="5" t="s">
        <v>62833</v>
      </c>
      <c r="F10198" s="5" t="s">
        <v>212</v>
      </c>
      <c r="G10198" s="5" t="s">
        <v>62834</v>
      </c>
      <c r="H10198" s="6" t="s">
        <v>62835</v>
      </c>
      <c r="K10198" s="5" t="s">
        <v>62836</v>
      </c>
    </row>
    <row r="10199">
      <c r="A10199" s="4">
        <v>45534.72079561342</v>
      </c>
      <c r="B10199" s="5" t="s">
        <v>34</v>
      </c>
      <c r="D10199" s="5" t="s">
        <v>35</v>
      </c>
      <c r="E10199" s="5" t="s">
        <v>62839</v>
      </c>
      <c r="F10199" s="5" t="s">
        <v>37</v>
      </c>
      <c r="G10199" s="5" t="s">
        <v>62840</v>
      </c>
      <c r="H10199" s="6" t="s">
        <v>62841</v>
      </c>
      <c r="K10199" s="5" t="s">
        <v>62842</v>
      </c>
    </row>
    <row r="10200">
      <c r="A10200" s="4">
        <v>45534.72390239583</v>
      </c>
      <c r="B10200" s="5" t="s">
        <v>34</v>
      </c>
      <c r="D10200" s="5" t="s">
        <v>580</v>
      </c>
      <c r="E10200" s="5" t="s">
        <v>62846</v>
      </c>
      <c r="F10200" s="5" t="s">
        <v>715</v>
      </c>
      <c r="G10200" s="5" t="s">
        <v>62847</v>
      </c>
      <c r="H10200" s="6" t="s">
        <v>62848</v>
      </c>
      <c r="K10200" s="5" t="s">
        <v>62849</v>
      </c>
    </row>
    <row r="10201">
      <c r="A10201" s="4">
        <v>45534.72443150463</v>
      </c>
      <c r="B10201" s="5" t="s">
        <v>34</v>
      </c>
      <c r="D10201" s="5" t="s">
        <v>1206</v>
      </c>
      <c r="E10201" s="5" t="s">
        <v>62852</v>
      </c>
      <c r="F10201" s="5" t="s">
        <v>375</v>
      </c>
      <c r="G10201" s="5" t="s">
        <v>40613</v>
      </c>
      <c r="H10201" s="6" t="s">
        <v>62853</v>
      </c>
      <c r="K10201" s="5" t="s">
        <v>62854</v>
      </c>
    </row>
    <row r="10202">
      <c r="A10202" s="4">
        <v>45534.724542627315</v>
      </c>
      <c r="B10202" s="5" t="s">
        <v>34</v>
      </c>
      <c r="D10202" s="5" t="s">
        <v>9394</v>
      </c>
      <c r="E10202" s="5" t="s">
        <v>62857</v>
      </c>
      <c r="F10202" s="5" t="s">
        <v>375</v>
      </c>
      <c r="G10202" s="5" t="s">
        <v>62858</v>
      </c>
      <c r="H10202" s="6" t="s">
        <v>62859</v>
      </c>
      <c r="K10202" s="5" t="s">
        <v>62854</v>
      </c>
    </row>
    <row r="10203">
      <c r="A10203" s="4">
        <v>45534.73249539352</v>
      </c>
      <c r="B10203" s="5" t="s">
        <v>34</v>
      </c>
      <c r="D10203" s="5" t="s">
        <v>1558</v>
      </c>
      <c r="E10203" s="5" t="s">
        <v>62862</v>
      </c>
      <c r="F10203" s="5" t="s">
        <v>120</v>
      </c>
      <c r="G10203" s="5" t="s">
        <v>62863</v>
      </c>
      <c r="H10203" s="6" t="s">
        <v>62864</v>
      </c>
      <c r="K10203" s="5" t="s">
        <v>62865</v>
      </c>
    </row>
    <row r="10204">
      <c r="A10204" s="4">
        <v>45534.734080277776</v>
      </c>
      <c r="B10204" s="5" t="s">
        <v>34</v>
      </c>
      <c r="D10204" s="5" t="s">
        <v>9020</v>
      </c>
      <c r="E10204" s="5" t="s">
        <v>62868</v>
      </c>
      <c r="F10204" s="5" t="s">
        <v>212</v>
      </c>
      <c r="G10204" s="5" t="s">
        <v>62869</v>
      </c>
      <c r="H10204" s="6" t="s">
        <v>62870</v>
      </c>
      <c r="K10204" s="5" t="s">
        <v>62871</v>
      </c>
    </row>
    <row r="10205">
      <c r="A10205" s="4">
        <v>45534.73447423612</v>
      </c>
      <c r="B10205" s="5" t="s">
        <v>34</v>
      </c>
      <c r="D10205" s="5" t="s">
        <v>6232</v>
      </c>
      <c r="E10205" s="5" t="s">
        <v>62875</v>
      </c>
      <c r="F10205" s="5" t="s">
        <v>120</v>
      </c>
      <c r="G10205" s="5" t="s">
        <v>62876</v>
      </c>
      <c r="H10205" s="6" t="s">
        <v>62877</v>
      </c>
      <c r="K10205" s="5" t="s">
        <v>62878</v>
      </c>
    </row>
    <row r="10206">
      <c r="A10206" s="4">
        <v>45534.74021827546</v>
      </c>
      <c r="B10206" s="5" t="s">
        <v>34</v>
      </c>
      <c r="D10206" s="5" t="s">
        <v>9020</v>
      </c>
      <c r="E10206" s="5" t="s">
        <v>16390</v>
      </c>
      <c r="F10206" s="5" t="s">
        <v>72</v>
      </c>
      <c r="G10206" s="5" t="s">
        <v>16391</v>
      </c>
      <c r="H10206" s="6" t="s">
        <v>62881</v>
      </c>
      <c r="K10206" s="5" t="s">
        <v>62882</v>
      </c>
    </row>
    <row r="10207">
      <c r="A10207" s="4">
        <v>45534.740837453704</v>
      </c>
      <c r="B10207" s="5" t="s">
        <v>34</v>
      </c>
      <c r="D10207" s="5" t="s">
        <v>604</v>
      </c>
      <c r="E10207" s="5" t="s">
        <v>62885</v>
      </c>
      <c r="F10207" s="5" t="s">
        <v>108</v>
      </c>
      <c r="G10207" s="5" t="s">
        <v>62886</v>
      </c>
      <c r="H10207" s="6" t="s">
        <v>62887</v>
      </c>
      <c r="K10207" s="5" t="s">
        <v>62888</v>
      </c>
    </row>
    <row r="10208">
      <c r="A10208" s="4">
        <v>45534.74378862268</v>
      </c>
      <c r="B10208" s="5" t="s">
        <v>19</v>
      </c>
      <c r="C10208" s="5" t="s">
        <v>292</v>
      </c>
      <c r="E10208" s="5" t="s">
        <v>27970</v>
      </c>
      <c r="F10208" s="5" t="s">
        <v>199</v>
      </c>
      <c r="G10208" s="5" t="s">
        <v>62891</v>
      </c>
      <c r="H10208" s="6" t="s">
        <v>62892</v>
      </c>
      <c r="K10208" s="5" t="s">
        <v>62888</v>
      </c>
    </row>
    <row r="10209">
      <c r="A10209" s="4">
        <v>45534.745318078705</v>
      </c>
      <c r="B10209" s="5" t="s">
        <v>34</v>
      </c>
      <c r="D10209" s="5" t="s">
        <v>1768</v>
      </c>
      <c r="E10209" s="5" t="s">
        <v>62896</v>
      </c>
      <c r="F10209" s="5" t="s">
        <v>375</v>
      </c>
      <c r="G10209" s="5" t="s">
        <v>62897</v>
      </c>
      <c r="H10209" s="6" t="s">
        <v>62898</v>
      </c>
      <c r="K10209" s="5" t="s">
        <v>62899</v>
      </c>
    </row>
    <row r="10210">
      <c r="A10210" s="4">
        <v>45534.748645011576</v>
      </c>
      <c r="B10210" s="5" t="s">
        <v>34</v>
      </c>
      <c r="D10210" s="5" t="s">
        <v>35</v>
      </c>
      <c r="E10210" s="5" t="s">
        <v>21805</v>
      </c>
      <c r="F10210" s="5" t="s">
        <v>37</v>
      </c>
      <c r="G10210" s="5" t="s">
        <v>62902</v>
      </c>
      <c r="H10210" s="6" t="s">
        <v>62903</v>
      </c>
      <c r="K10210" s="5" t="s">
        <v>62904</v>
      </c>
    </row>
    <row r="10211">
      <c r="A10211" s="4">
        <v>45534.751803611114</v>
      </c>
      <c r="B10211" s="5" t="s">
        <v>34</v>
      </c>
      <c r="D10211" s="5" t="s">
        <v>9394</v>
      </c>
      <c r="E10211" s="5" t="s">
        <v>62907</v>
      </c>
      <c r="F10211" s="5" t="s">
        <v>72</v>
      </c>
      <c r="G10211" s="5" t="s">
        <v>62908</v>
      </c>
      <c r="H10211" s="6" t="s">
        <v>62909</v>
      </c>
      <c r="K10211" s="5" t="s">
        <v>62910</v>
      </c>
    </row>
    <row r="10212">
      <c r="A10212" s="4">
        <v>45534.75312795139</v>
      </c>
      <c r="B10212" s="5" t="s">
        <v>34</v>
      </c>
      <c r="D10212" s="5" t="s">
        <v>12010</v>
      </c>
      <c r="E10212" s="5" t="s">
        <v>62913</v>
      </c>
      <c r="F10212" s="5" t="s">
        <v>37</v>
      </c>
      <c r="G10212" s="5" t="s">
        <v>62914</v>
      </c>
      <c r="H10212" s="6" t="s">
        <v>62915</v>
      </c>
      <c r="K10212" s="5" t="s">
        <v>62916</v>
      </c>
    </row>
    <row r="10213">
      <c r="A10213" s="4">
        <v>45534.753666585646</v>
      </c>
      <c r="B10213" s="5" t="s">
        <v>34</v>
      </c>
      <c r="D10213" s="5" t="s">
        <v>14313</v>
      </c>
      <c r="E10213" s="5" t="s">
        <v>62919</v>
      </c>
      <c r="F10213" s="5" t="s">
        <v>120</v>
      </c>
      <c r="G10213" s="5" t="s">
        <v>62920</v>
      </c>
      <c r="H10213" s="6" t="s">
        <v>62921</v>
      </c>
      <c r="K10213" s="5" t="s">
        <v>62922</v>
      </c>
    </row>
    <row r="10214">
      <c r="A10214" s="4">
        <v>45534.76508679398</v>
      </c>
      <c r="B10214" s="5" t="s">
        <v>34</v>
      </c>
      <c r="D10214" s="5" t="s">
        <v>9020</v>
      </c>
      <c r="E10214" s="5" t="s">
        <v>62926</v>
      </c>
      <c r="F10214" s="5" t="s">
        <v>212</v>
      </c>
      <c r="G10214" s="5" t="s">
        <v>62927</v>
      </c>
      <c r="H10214" s="6" t="s">
        <v>62928</v>
      </c>
      <c r="K10214" s="5" t="s">
        <v>62929</v>
      </c>
    </row>
    <row r="10215">
      <c r="A10215" s="4">
        <v>45534.772895057875</v>
      </c>
      <c r="B10215" s="5" t="s">
        <v>19</v>
      </c>
      <c r="C10215" s="5" t="s">
        <v>292</v>
      </c>
      <c r="E10215" s="5" t="s">
        <v>62335</v>
      </c>
      <c r="F10215" s="5" t="s">
        <v>375</v>
      </c>
      <c r="G10215" s="5" t="s">
        <v>62932</v>
      </c>
      <c r="H10215" s="6" t="s">
        <v>62933</v>
      </c>
      <c r="K10215" s="5" t="s">
        <v>62934</v>
      </c>
    </row>
    <row r="10216">
      <c r="A10216" s="4">
        <v>45534.77429019676</v>
      </c>
      <c r="B10216" s="5" t="s">
        <v>34</v>
      </c>
      <c r="D10216" s="5" t="s">
        <v>1558</v>
      </c>
      <c r="E10216" s="5" t="s">
        <v>62937</v>
      </c>
      <c r="F10216" s="5" t="s">
        <v>72</v>
      </c>
      <c r="G10216" s="5" t="s">
        <v>62938</v>
      </c>
      <c r="H10216" s="6" t="s">
        <v>62939</v>
      </c>
      <c r="I10216" s="7" t="s">
        <v>62940</v>
      </c>
      <c r="J10216" s="8" t="str">
        <f>HYPERLINK("https://drive.google.com/file/d/10ocHAcLM4ZnFxvgQ8HXvCawg6WqLIx7F/view?usp=drivesdk","10215_GUNAWAN HARIYANTO SE SERTIFIKAT BerAKHLAK")</f>
        <v>10215_GUNAWAN HARIYANTO SE SERTIFIKAT BerAKHLAK</v>
      </c>
      <c r="K10216" s="5" t="s">
        <v>62941</v>
      </c>
      <c r="L10216" s="5" t="s">
        <v>62942</v>
      </c>
    </row>
    <row r="10217">
      <c r="A10217" s="4">
        <v>45534.784203310184</v>
      </c>
      <c r="B10217" s="5" t="s">
        <v>34</v>
      </c>
      <c r="D10217" s="5" t="s">
        <v>4775</v>
      </c>
      <c r="E10217" s="5" t="s">
        <v>55831</v>
      </c>
      <c r="F10217" s="5" t="s">
        <v>212</v>
      </c>
      <c r="G10217" s="5" t="s">
        <v>55832</v>
      </c>
      <c r="H10217" s="6" t="s">
        <v>62945</v>
      </c>
      <c r="K10217" s="5" t="s">
        <v>62946</v>
      </c>
    </row>
    <row r="10218">
      <c r="A10218" s="4">
        <v>45534.78654699074</v>
      </c>
      <c r="B10218" s="5" t="s">
        <v>34</v>
      </c>
      <c r="D10218" s="5" t="s">
        <v>10297</v>
      </c>
      <c r="E10218" s="5" t="s">
        <v>62950</v>
      </c>
      <c r="F10218" s="5" t="s">
        <v>120</v>
      </c>
      <c r="G10218" s="5" t="s">
        <v>62951</v>
      </c>
      <c r="H10218" s="6" t="s">
        <v>62952</v>
      </c>
      <c r="K10218" s="5" t="s">
        <v>62953</v>
      </c>
    </row>
    <row r="10219">
      <c r="A10219" s="4">
        <v>45534.79702679398</v>
      </c>
      <c r="B10219" s="5" t="s">
        <v>34</v>
      </c>
      <c r="D10219" s="5" t="s">
        <v>9020</v>
      </c>
      <c r="E10219" s="5" t="s">
        <v>62956</v>
      </c>
      <c r="F10219" s="5" t="s">
        <v>72</v>
      </c>
      <c r="G10219" s="5" t="s">
        <v>62957</v>
      </c>
      <c r="H10219" s="6" t="s">
        <v>62958</v>
      </c>
      <c r="K10219" s="5" t="s">
        <v>62959</v>
      </c>
    </row>
    <row r="10220">
      <c r="A10220" s="4">
        <v>45534.79945236111</v>
      </c>
      <c r="B10220" s="5" t="s">
        <v>34</v>
      </c>
      <c r="D10220" s="5" t="s">
        <v>604</v>
      </c>
      <c r="E10220" s="5" t="s">
        <v>62962</v>
      </c>
      <c r="F10220" s="5" t="s">
        <v>37</v>
      </c>
      <c r="G10220" s="5" t="s">
        <v>62963</v>
      </c>
      <c r="H10220" s="6" t="s">
        <v>62964</v>
      </c>
      <c r="K10220" s="5" t="s">
        <v>62959</v>
      </c>
    </row>
    <row r="10221">
      <c r="A10221" s="4">
        <v>45534.80332803241</v>
      </c>
      <c r="B10221" s="5" t="s">
        <v>34</v>
      </c>
      <c r="D10221" s="5" t="s">
        <v>996</v>
      </c>
      <c r="E10221" s="5" t="s">
        <v>62967</v>
      </c>
      <c r="F10221" s="5" t="s">
        <v>212</v>
      </c>
      <c r="G10221" s="5" t="s">
        <v>62968</v>
      </c>
      <c r="H10221" s="6" t="s">
        <v>62969</v>
      </c>
      <c r="K10221" s="5" t="s">
        <v>62959</v>
      </c>
    </row>
    <row r="10222">
      <c r="A10222" s="4">
        <v>45534.80351081019</v>
      </c>
      <c r="B10222" s="5" t="s">
        <v>34</v>
      </c>
      <c r="D10222" s="5" t="s">
        <v>14313</v>
      </c>
      <c r="E10222" s="5" t="s">
        <v>62972</v>
      </c>
      <c r="F10222" s="5" t="s">
        <v>18875</v>
      </c>
      <c r="G10222" s="5" t="s">
        <v>62973</v>
      </c>
      <c r="H10222" s="6" t="s">
        <v>62974</v>
      </c>
      <c r="K10222" s="5" t="s">
        <v>62975</v>
      </c>
    </row>
    <row r="10223">
      <c r="A10223" s="4">
        <v>45534.80649127315</v>
      </c>
      <c r="B10223" s="5" t="s">
        <v>34</v>
      </c>
      <c r="D10223" s="5" t="s">
        <v>9020</v>
      </c>
      <c r="E10223" s="5" t="s">
        <v>22023</v>
      </c>
      <c r="F10223" s="5" t="s">
        <v>72</v>
      </c>
      <c r="G10223" s="5" t="s">
        <v>62979</v>
      </c>
      <c r="H10223" s="6" t="s">
        <v>62980</v>
      </c>
      <c r="K10223" s="5" t="s">
        <v>62975</v>
      </c>
    </row>
    <row r="10224">
      <c r="A10224" s="4">
        <v>45534.80814453703</v>
      </c>
      <c r="B10224" s="5" t="s">
        <v>34</v>
      </c>
      <c r="D10224" s="5" t="s">
        <v>701</v>
      </c>
      <c r="E10224" s="5" t="s">
        <v>62983</v>
      </c>
      <c r="F10224" s="5" t="s">
        <v>212</v>
      </c>
      <c r="G10224" s="5" t="s">
        <v>58731</v>
      </c>
      <c r="H10224" s="6" t="s">
        <v>62984</v>
      </c>
      <c r="K10224" s="5" t="s">
        <v>62985</v>
      </c>
    </row>
    <row r="10225">
      <c r="A10225" s="4">
        <v>45534.81391357639</v>
      </c>
      <c r="B10225" s="5" t="s">
        <v>34</v>
      </c>
      <c r="D10225" s="5" t="s">
        <v>1558</v>
      </c>
      <c r="E10225" s="5" t="s">
        <v>62988</v>
      </c>
      <c r="F10225" s="5" t="s">
        <v>715</v>
      </c>
      <c r="G10225" s="5" t="s">
        <v>62989</v>
      </c>
      <c r="H10225" s="6" t="s">
        <v>62990</v>
      </c>
      <c r="K10225" s="5" t="s">
        <v>62985</v>
      </c>
    </row>
    <row r="10226">
      <c r="A10226" s="4">
        <v>45534.82334351852</v>
      </c>
      <c r="B10226" s="5" t="s">
        <v>34</v>
      </c>
      <c r="D10226" s="5" t="s">
        <v>9394</v>
      </c>
      <c r="E10226" s="5" t="s">
        <v>62993</v>
      </c>
      <c r="F10226" s="5" t="s">
        <v>328</v>
      </c>
      <c r="G10226" s="5" t="s">
        <v>62994</v>
      </c>
      <c r="H10226" s="6" t="s">
        <v>62995</v>
      </c>
      <c r="K10226" s="5" t="s">
        <v>62996</v>
      </c>
    </row>
    <row r="10227">
      <c r="A10227" s="4">
        <v>45534.85218324074</v>
      </c>
      <c r="B10227" s="5" t="s">
        <v>34</v>
      </c>
      <c r="D10227" s="5" t="s">
        <v>12010</v>
      </c>
      <c r="E10227" s="5" t="s">
        <v>63000</v>
      </c>
      <c r="F10227" s="5" t="s">
        <v>37</v>
      </c>
      <c r="G10227" s="5" t="s">
        <v>63001</v>
      </c>
      <c r="H10227" s="6" t="s">
        <v>63002</v>
      </c>
      <c r="K10227" s="5" t="s">
        <v>63003</v>
      </c>
    </row>
    <row r="10228">
      <c r="A10228" s="4">
        <v>45534.86012849537</v>
      </c>
      <c r="B10228" s="5" t="s">
        <v>34</v>
      </c>
      <c r="D10228" s="5" t="s">
        <v>10444</v>
      </c>
      <c r="E10228" s="5" t="s">
        <v>63006</v>
      </c>
      <c r="F10228" s="5" t="s">
        <v>108</v>
      </c>
      <c r="G10228" s="5" t="s">
        <v>63007</v>
      </c>
      <c r="H10228" s="6" t="s">
        <v>63008</v>
      </c>
      <c r="K10228" s="5" t="s">
        <v>63003</v>
      </c>
    </row>
    <row r="10229">
      <c r="A10229" s="4">
        <v>45534.861042847224</v>
      </c>
      <c r="B10229" s="5" t="s">
        <v>19</v>
      </c>
      <c r="C10229" s="5" t="s">
        <v>292</v>
      </c>
      <c r="E10229" s="5" t="s">
        <v>63011</v>
      </c>
      <c r="F10229" s="5" t="s">
        <v>212</v>
      </c>
      <c r="G10229" s="5" t="s">
        <v>63012</v>
      </c>
      <c r="H10229" s="6" t="s">
        <v>63013</v>
      </c>
      <c r="K10229" s="5" t="s">
        <v>63014</v>
      </c>
    </row>
    <row r="10230">
      <c r="A10230" s="4">
        <v>45534.8638990162</v>
      </c>
      <c r="B10230" s="5" t="s">
        <v>34</v>
      </c>
      <c r="D10230" s="5" t="s">
        <v>996</v>
      </c>
      <c r="E10230" s="5" t="s">
        <v>26403</v>
      </c>
      <c r="F10230" s="5" t="s">
        <v>108</v>
      </c>
      <c r="G10230" s="5" t="s">
        <v>63017</v>
      </c>
      <c r="H10230" s="6" t="s">
        <v>63018</v>
      </c>
      <c r="K10230" s="5" t="s">
        <v>63019</v>
      </c>
    </row>
    <row r="10231">
      <c r="A10231" s="4">
        <v>45534.86722777778</v>
      </c>
      <c r="B10231" s="5" t="s">
        <v>34</v>
      </c>
      <c r="D10231" s="5" t="s">
        <v>12978</v>
      </c>
      <c r="E10231" s="5" t="s">
        <v>63020</v>
      </c>
      <c r="F10231" s="5" t="s">
        <v>212</v>
      </c>
      <c r="G10231" s="5" t="s">
        <v>63021</v>
      </c>
      <c r="H10231" s="6" t="s">
        <v>63022</v>
      </c>
      <c r="K10231" s="5" t="s">
        <v>63019</v>
      </c>
    </row>
    <row r="10232">
      <c r="A10232" s="4">
        <v>45534.871379062504</v>
      </c>
      <c r="B10232" s="5" t="s">
        <v>34</v>
      </c>
      <c r="D10232" s="5" t="s">
        <v>4775</v>
      </c>
      <c r="E10232" s="5" t="s">
        <v>34431</v>
      </c>
      <c r="F10232" s="5" t="s">
        <v>37</v>
      </c>
      <c r="G10232" s="5" t="s">
        <v>63023</v>
      </c>
      <c r="H10232" s="6" t="s">
        <v>63024</v>
      </c>
      <c r="K10232" s="5" t="s">
        <v>63025</v>
      </c>
    </row>
    <row r="10233">
      <c r="A10233" s="4">
        <v>45534.8899646875</v>
      </c>
      <c r="B10233" s="5" t="s">
        <v>34</v>
      </c>
      <c r="D10233" s="5" t="s">
        <v>701</v>
      </c>
      <c r="E10233" s="5" t="s">
        <v>63026</v>
      </c>
      <c r="F10233" s="5" t="s">
        <v>212</v>
      </c>
      <c r="G10233" s="5" t="s">
        <v>63027</v>
      </c>
      <c r="H10233" s="6" t="s">
        <v>63028</v>
      </c>
      <c r="K10233" s="5" t="s">
        <v>63025</v>
      </c>
    </row>
    <row r="10234">
      <c r="A10234" s="4">
        <v>45534.90626377315</v>
      </c>
      <c r="B10234" s="5" t="s">
        <v>34</v>
      </c>
      <c r="D10234" s="5" t="s">
        <v>701</v>
      </c>
      <c r="E10234" s="5" t="s">
        <v>63029</v>
      </c>
      <c r="F10234" s="5" t="s">
        <v>72</v>
      </c>
      <c r="G10234" s="5" t="s">
        <v>40881</v>
      </c>
      <c r="H10234" s="6" t="s">
        <v>63030</v>
      </c>
      <c r="K10234" s="5" t="s">
        <v>63031</v>
      </c>
    </row>
    <row r="10235">
      <c r="A10235" s="4">
        <v>45534.91710553241</v>
      </c>
      <c r="B10235" s="5" t="s">
        <v>34</v>
      </c>
      <c r="D10235" s="5" t="s">
        <v>12978</v>
      </c>
      <c r="E10235" s="5" t="s">
        <v>63032</v>
      </c>
      <c r="F10235" s="5" t="s">
        <v>375</v>
      </c>
      <c r="G10235" s="5" t="s">
        <v>63033</v>
      </c>
      <c r="H10235" s="6" t="s">
        <v>63034</v>
      </c>
      <c r="K10235" s="5" t="s">
        <v>63035</v>
      </c>
    </row>
    <row r="10236">
      <c r="A10236" s="4">
        <v>45534.92550305555</v>
      </c>
      <c r="B10236" s="5" t="s">
        <v>34</v>
      </c>
      <c r="D10236" s="5" t="s">
        <v>12978</v>
      </c>
      <c r="E10236" s="5" t="s">
        <v>63032</v>
      </c>
      <c r="F10236" s="5" t="s">
        <v>375</v>
      </c>
      <c r="G10236" s="5" t="s">
        <v>63036</v>
      </c>
      <c r="H10236" s="6" t="s">
        <v>63037</v>
      </c>
      <c r="K10236" s="5" t="s">
        <v>63035</v>
      </c>
    </row>
    <row r="10237">
      <c r="A10237" s="4">
        <v>45534.99251837963</v>
      </c>
      <c r="B10237" s="5" t="s">
        <v>19</v>
      </c>
      <c r="C10237" s="5" t="s">
        <v>292</v>
      </c>
      <c r="E10237" s="5" t="s">
        <v>63038</v>
      </c>
      <c r="F10237" s="5" t="s">
        <v>212</v>
      </c>
      <c r="G10237" s="5" t="s">
        <v>63039</v>
      </c>
      <c r="H10237" s="6" t="s">
        <v>63040</v>
      </c>
      <c r="K10237" s="5" t="s">
        <v>63035</v>
      </c>
    </row>
    <row r="10238">
      <c r="A10238" s="4">
        <v>45535.17642354166</v>
      </c>
      <c r="B10238" s="5" t="s">
        <v>34</v>
      </c>
      <c r="D10238" s="5" t="s">
        <v>10297</v>
      </c>
      <c r="E10238" s="5" t="s">
        <v>63041</v>
      </c>
      <c r="F10238" s="5" t="s">
        <v>37</v>
      </c>
      <c r="G10238" s="5" t="s">
        <v>63042</v>
      </c>
      <c r="H10238" s="6" t="s">
        <v>63043</v>
      </c>
      <c r="I10238" s="7" t="s">
        <v>63044</v>
      </c>
      <c r="J10238" s="8" t="str">
        <f>HYPERLINK("https://drive.google.com/file/d/1Q6xq1eljUtN1vgSm9LHxm9-grEw9zI4w/view?usp=drivesdk","10237_HANA ERVINA, A.Md.,Farm SERTIFIKAT BerAKHLAK")</f>
        <v>10237_HANA ERVINA, A.Md.,Farm SERTIFIKAT BerAKHLAK</v>
      </c>
      <c r="K10238" s="5" t="s">
        <v>63045</v>
      </c>
      <c r="L10238" s="5" t="s">
        <v>63046</v>
      </c>
    </row>
    <row r="10239">
      <c r="A10239" s="4">
        <v>45535.20909621527</v>
      </c>
      <c r="B10239" s="5" t="s">
        <v>34</v>
      </c>
      <c r="D10239" s="5" t="s">
        <v>1768</v>
      </c>
      <c r="E10239" s="5" t="s">
        <v>63047</v>
      </c>
      <c r="F10239" s="5" t="s">
        <v>524</v>
      </c>
      <c r="G10239" s="5" t="s">
        <v>63048</v>
      </c>
      <c r="H10239" s="6" t="s">
        <v>63049</v>
      </c>
      <c r="I10239" s="7" t="s">
        <v>63050</v>
      </c>
      <c r="J10239" s="8" t="str">
        <f>HYPERLINK("https://drive.google.com/file/d/1BcwDlHyD05JB_7DvMUXVR075qim9zJvj/view?usp=drivesdk","10238_NILA KURNIA SERTIFIKAT BerAKHLAK")</f>
        <v>10238_NILA KURNIA SERTIFIKAT BerAKHLAK</v>
      </c>
      <c r="K10239" s="5" t="s">
        <v>63051</v>
      </c>
      <c r="L10239" s="5" t="s">
        <v>63052</v>
      </c>
    </row>
    <row r="10240">
      <c r="A10240" s="4">
        <v>45535.217499328704</v>
      </c>
      <c r="B10240" s="5" t="s">
        <v>34</v>
      </c>
      <c r="D10240" s="5" t="s">
        <v>12978</v>
      </c>
      <c r="E10240" s="5" t="s">
        <v>63053</v>
      </c>
      <c r="F10240" s="5" t="s">
        <v>37</v>
      </c>
      <c r="G10240" s="5" t="s">
        <v>63054</v>
      </c>
      <c r="H10240" s="6" t="s">
        <v>63055</v>
      </c>
      <c r="I10240" s="7" t="s">
        <v>63056</v>
      </c>
      <c r="J10240" s="8" t="str">
        <f>HYPERLINK("https://drive.google.com/file/d/1E6-70qwOy69rKmA7xj83i0qXeWky55z-/view?usp=drivesdk","10239_EKO BUDIYANTO SERTIFIKAT BerAKHLAK")</f>
        <v>10239_EKO BUDIYANTO SERTIFIKAT BerAKHLAK</v>
      </c>
      <c r="K10240" s="5" t="s">
        <v>63057</v>
      </c>
      <c r="L10240" s="5" t="s">
        <v>63058</v>
      </c>
    </row>
    <row r="10241">
      <c r="A10241" s="4">
        <v>45535.285001145836</v>
      </c>
      <c r="B10241" s="5" t="s">
        <v>34</v>
      </c>
      <c r="D10241" s="5" t="s">
        <v>9020</v>
      </c>
      <c r="E10241" s="5" t="s">
        <v>30962</v>
      </c>
      <c r="F10241" s="5" t="s">
        <v>72</v>
      </c>
      <c r="G10241" s="5" t="s">
        <v>30963</v>
      </c>
      <c r="H10241" s="6" t="s">
        <v>63059</v>
      </c>
      <c r="I10241" s="7" t="s">
        <v>63060</v>
      </c>
      <c r="J10241" s="8" t="str">
        <f>HYPERLINK("https://drive.google.com/file/d/1TzVicaLRbzFqxBbFXAGO3tb81Cgf4EWc/view?usp=drivesdk","10240_NURHAPPI PASARIBU S.KEP SERTIFIKAT BerAKHLAK")</f>
        <v>10240_NURHAPPI PASARIBU S.KEP SERTIFIKAT BerAKHLAK</v>
      </c>
      <c r="K10241" s="5" t="s">
        <v>63061</v>
      </c>
      <c r="L10241" s="5" t="s">
        <v>63062</v>
      </c>
    </row>
    <row r="10242">
      <c r="A10242" s="4">
        <v>45535.29122054398</v>
      </c>
      <c r="B10242" s="5" t="s">
        <v>34</v>
      </c>
      <c r="D10242" s="5" t="s">
        <v>35</v>
      </c>
      <c r="E10242" s="5" t="s">
        <v>63063</v>
      </c>
      <c r="F10242" s="5" t="s">
        <v>37</v>
      </c>
      <c r="G10242" s="5" t="s">
        <v>63064</v>
      </c>
      <c r="H10242" s="6" t="s">
        <v>63065</v>
      </c>
      <c r="I10242" s="7" t="s">
        <v>63066</v>
      </c>
      <c r="J10242" s="8" t="str">
        <f>HYPERLINK("https://drive.google.com/file/d/1_kWyM2x_b2WFFjka9FvHjh6WdoaQLGgj/view?usp=drivesdk","10241_HERI SUSIANTO SERTIFIKAT BerAKHLAK")</f>
        <v>10241_HERI SUSIANTO SERTIFIKAT BerAKHLAK</v>
      </c>
      <c r="K10242" s="5" t="s">
        <v>63067</v>
      </c>
      <c r="L10242" s="5" t="s">
        <v>63068</v>
      </c>
    </row>
    <row r="10243">
      <c r="A10243" s="4">
        <v>45535.32959113426</v>
      </c>
      <c r="B10243" s="5" t="s">
        <v>34</v>
      </c>
      <c r="D10243" s="5" t="s">
        <v>3849</v>
      </c>
      <c r="E10243" s="5" t="s">
        <v>63069</v>
      </c>
      <c r="F10243" s="5" t="s">
        <v>108</v>
      </c>
      <c r="G10243" s="5" t="s">
        <v>63070</v>
      </c>
      <c r="H10243" s="6" t="s">
        <v>63071</v>
      </c>
      <c r="I10243" s="7" t="s">
        <v>63072</v>
      </c>
      <c r="J10243" s="8" t="str">
        <f>HYPERLINK("https://drive.google.com/file/d/1zHGBs-k25s1QzZTutNVxpiiTv-lz_zNB/view?usp=drivesdk","10242_apt. MUHAMMAD FAISHAL AKBAR, S. Farm SERTIFIKAT BerAKHLAK")</f>
        <v>10242_apt. MUHAMMAD FAISHAL AKBAR, S. Farm SERTIFIKAT BerAKHLAK</v>
      </c>
      <c r="K10243" s="5" t="s">
        <v>63073</v>
      </c>
      <c r="L10243" s="5" t="s">
        <v>63074</v>
      </c>
    </row>
    <row r="10244">
      <c r="H10244" s="6"/>
    </row>
    <row r="10245">
      <c r="H10245" s="6"/>
    </row>
    <row r="10246">
      <c r="H10246" s="6"/>
    </row>
    <row r="10247">
      <c r="H10247" s="6"/>
    </row>
    <row r="10248">
      <c r="H10248" s="6"/>
    </row>
    <row r="10249">
      <c r="H10249" s="6"/>
    </row>
    <row r="10250">
      <c r="H10250" s="6"/>
    </row>
    <row r="10251">
      <c r="H10251" s="6"/>
    </row>
    <row r="10252">
      <c r="H10252" s="6"/>
    </row>
    <row r="10253">
      <c r="H10253" s="6"/>
    </row>
    <row r="10254">
      <c r="H10254" s="6"/>
    </row>
    <row r="10255">
      <c r="H10255" s="6"/>
    </row>
    <row r="10256">
      <c r="H10256" s="6"/>
    </row>
    <row r="10257">
      <c r="H10257" s="6"/>
    </row>
    <row r="10258">
      <c r="H10258" s="6"/>
    </row>
    <row r="10259">
      <c r="H10259" s="6"/>
    </row>
    <row r="10260">
      <c r="H10260" s="6"/>
    </row>
    <row r="10261">
      <c r="H10261" s="6"/>
    </row>
    <row r="10262">
      <c r="H10262" s="6"/>
    </row>
    <row r="10263">
      <c r="H10263" s="6"/>
    </row>
    <row r="10264">
      <c r="H10264" s="6"/>
    </row>
    <row r="10265">
      <c r="H10265" s="6"/>
    </row>
    <row r="10266">
      <c r="H10266" s="6"/>
    </row>
    <row r="10267">
      <c r="H10267" s="6"/>
    </row>
    <row r="10268">
      <c r="H10268" s="6"/>
    </row>
    <row r="10269">
      <c r="H10269" s="6"/>
    </row>
    <row r="10270">
      <c r="H10270" s="6"/>
    </row>
    <row r="10271">
      <c r="H10271" s="6"/>
    </row>
    <row r="10272">
      <c r="H10272" s="6"/>
    </row>
    <row r="10273">
      <c r="H10273" s="6"/>
    </row>
    <row r="10274">
      <c r="H10274" s="6"/>
    </row>
    <row r="10275">
      <c r="H10275" s="6"/>
    </row>
    <row r="10276">
      <c r="H10276" s="6"/>
    </row>
    <row r="10277">
      <c r="H10277" s="6"/>
    </row>
    <row r="10278">
      <c r="H10278" s="6"/>
    </row>
    <row r="10279">
      <c r="H10279" s="6"/>
    </row>
    <row r="10280">
      <c r="H10280" s="6"/>
    </row>
    <row r="10281">
      <c r="H10281" s="6"/>
    </row>
    <row r="10282">
      <c r="H10282" s="6"/>
    </row>
    <row r="10283">
      <c r="H10283" s="6"/>
    </row>
    <row r="10284">
      <c r="H10284" s="6"/>
    </row>
    <row r="10285">
      <c r="H10285" s="6"/>
    </row>
    <row r="10286">
      <c r="H10286" s="6"/>
    </row>
    <row r="10287">
      <c r="H10287" s="6"/>
    </row>
    <row r="10288">
      <c r="H10288" s="6"/>
    </row>
    <row r="10289">
      <c r="H10289" s="6"/>
    </row>
    <row r="10290">
      <c r="H10290" s="6"/>
    </row>
    <row r="10291">
      <c r="H10291" s="6"/>
    </row>
    <row r="10292">
      <c r="H10292" s="6"/>
    </row>
    <row r="10293">
      <c r="H10293" s="6"/>
    </row>
    <row r="10294">
      <c r="H10294" s="6"/>
    </row>
    <row r="10295">
      <c r="H10295" s="6"/>
    </row>
    <row r="10296">
      <c r="H10296" s="6"/>
    </row>
    <row r="10297">
      <c r="H10297" s="6"/>
    </row>
    <row r="10298">
      <c r="H10298" s="6"/>
    </row>
    <row r="10299">
      <c r="H10299" s="6"/>
    </row>
    <row r="10300">
      <c r="H10300" s="6"/>
    </row>
    <row r="10301">
      <c r="H10301" s="6"/>
    </row>
    <row r="10302">
      <c r="H10302" s="6"/>
    </row>
    <row r="10303">
      <c r="H10303" s="6"/>
    </row>
    <row r="10304">
      <c r="H10304" s="6"/>
    </row>
    <row r="10305">
      <c r="H10305" s="6"/>
    </row>
    <row r="10306">
      <c r="H10306" s="6"/>
    </row>
    <row r="10307">
      <c r="H10307" s="6"/>
    </row>
    <row r="10308">
      <c r="H10308" s="6"/>
    </row>
    <row r="10309">
      <c r="H10309" s="6"/>
    </row>
    <row r="10310">
      <c r="H10310" s="6"/>
    </row>
    <row r="10311">
      <c r="H10311" s="6"/>
    </row>
    <row r="10312">
      <c r="H10312" s="6"/>
    </row>
    <row r="10313">
      <c r="H10313" s="6"/>
    </row>
    <row r="10314">
      <c r="H10314" s="6"/>
    </row>
    <row r="10315">
      <c r="H10315" s="6"/>
    </row>
    <row r="10316">
      <c r="H10316" s="6"/>
    </row>
    <row r="10317">
      <c r="H10317" s="6"/>
    </row>
    <row r="10318">
      <c r="H10318" s="6"/>
    </row>
    <row r="10319">
      <c r="H10319" s="6"/>
    </row>
    <row r="10320">
      <c r="H10320" s="6"/>
    </row>
    <row r="10321">
      <c r="H10321" s="6"/>
    </row>
    <row r="10322">
      <c r="H10322" s="6"/>
    </row>
    <row r="10323">
      <c r="H10323" s="6"/>
    </row>
    <row r="10324">
      <c r="H10324" s="6"/>
    </row>
    <row r="10325">
      <c r="H10325" s="6"/>
    </row>
    <row r="10326">
      <c r="H10326" s="6"/>
    </row>
    <row r="10327">
      <c r="H10327" s="6"/>
    </row>
    <row r="10328">
      <c r="H10328" s="6"/>
    </row>
    <row r="10329">
      <c r="H10329" s="6"/>
    </row>
    <row r="10330">
      <c r="H10330" s="6"/>
    </row>
    <row r="10331">
      <c r="H10331" s="6"/>
    </row>
    <row r="10332">
      <c r="H10332" s="6"/>
    </row>
    <row r="10333">
      <c r="H10333" s="6"/>
    </row>
    <row r="10334">
      <c r="H10334" s="6"/>
    </row>
    <row r="10335">
      <c r="H10335" s="6"/>
    </row>
    <row r="10336">
      <c r="H10336" s="6"/>
    </row>
    <row r="10337">
      <c r="H10337" s="6"/>
    </row>
    <row r="10338">
      <c r="H10338" s="6"/>
    </row>
    <row r="10339">
      <c r="H10339" s="6"/>
    </row>
    <row r="10340">
      <c r="H10340" s="6"/>
    </row>
    <row r="10341">
      <c r="H10341" s="6"/>
    </row>
    <row r="10342">
      <c r="H10342" s="6"/>
    </row>
    <row r="10343">
      <c r="H10343" s="6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I100"/>
    <hyperlink r:id="rId100" ref="I101"/>
    <hyperlink r:id="rId101" ref="I102"/>
    <hyperlink r:id="rId102" ref="I103"/>
    <hyperlink r:id="rId103" ref="I104"/>
    <hyperlink r:id="rId104" ref="I105"/>
    <hyperlink r:id="rId105" ref="I106"/>
    <hyperlink r:id="rId106" ref="I107"/>
    <hyperlink r:id="rId107" ref="I108"/>
    <hyperlink r:id="rId108" ref="I109"/>
    <hyperlink r:id="rId109" ref="I110"/>
    <hyperlink r:id="rId110" ref="I111"/>
    <hyperlink r:id="rId111" ref="I112"/>
    <hyperlink r:id="rId112" ref="I113"/>
    <hyperlink r:id="rId113" ref="I114"/>
    <hyperlink r:id="rId114" ref="I115"/>
    <hyperlink r:id="rId115" ref="I116"/>
    <hyperlink r:id="rId116" ref="I117"/>
    <hyperlink r:id="rId117" ref="I118"/>
    <hyperlink r:id="rId118" ref="I119"/>
    <hyperlink r:id="rId119" ref="I120"/>
    <hyperlink r:id="rId120" ref="I121"/>
    <hyperlink r:id="rId121" ref="I122"/>
    <hyperlink r:id="rId122" ref="I123"/>
    <hyperlink r:id="rId123" ref="I124"/>
    <hyperlink r:id="rId124" ref="I125"/>
    <hyperlink r:id="rId125" ref="I126"/>
    <hyperlink r:id="rId126" ref="I127"/>
    <hyperlink r:id="rId127" ref="I128"/>
    <hyperlink r:id="rId128" ref="I129"/>
    <hyperlink r:id="rId129" ref="I130"/>
    <hyperlink r:id="rId130" ref="I131"/>
    <hyperlink r:id="rId131" ref="I132"/>
    <hyperlink r:id="rId132" ref="I133"/>
    <hyperlink r:id="rId133" ref="I134"/>
    <hyperlink r:id="rId134" ref="I135"/>
    <hyperlink r:id="rId135" ref="I136"/>
    <hyperlink r:id="rId136" ref="I137"/>
    <hyperlink r:id="rId137" ref="I138"/>
    <hyperlink r:id="rId138" ref="I139"/>
    <hyperlink r:id="rId139" ref="I140"/>
    <hyperlink r:id="rId140" ref="I141"/>
    <hyperlink r:id="rId141" ref="I142"/>
    <hyperlink r:id="rId142" ref="I143"/>
    <hyperlink r:id="rId143" ref="I144"/>
    <hyperlink r:id="rId144" ref="I145"/>
    <hyperlink r:id="rId145" ref="I146"/>
    <hyperlink r:id="rId146" ref="I147"/>
    <hyperlink r:id="rId147" ref="I148"/>
    <hyperlink r:id="rId148" ref="I149"/>
    <hyperlink r:id="rId149" ref="I150"/>
    <hyperlink r:id="rId150" ref="I151"/>
    <hyperlink r:id="rId151" ref="I152"/>
    <hyperlink r:id="rId152" ref="I153"/>
    <hyperlink r:id="rId153" ref="I154"/>
    <hyperlink r:id="rId154" ref="I155"/>
    <hyperlink r:id="rId155" ref="I156"/>
    <hyperlink r:id="rId156" ref="I157"/>
    <hyperlink r:id="rId157" ref="I158"/>
    <hyperlink r:id="rId158" ref="I159"/>
    <hyperlink r:id="rId159" ref="I160"/>
    <hyperlink r:id="rId160" ref="I161"/>
    <hyperlink r:id="rId161" ref="I162"/>
    <hyperlink r:id="rId162" ref="I163"/>
    <hyperlink r:id="rId163" ref="I164"/>
    <hyperlink r:id="rId164" ref="I165"/>
    <hyperlink r:id="rId165" ref="I166"/>
    <hyperlink r:id="rId166" ref="I167"/>
    <hyperlink r:id="rId167" ref="I168"/>
    <hyperlink r:id="rId168" ref="I169"/>
    <hyperlink r:id="rId169" ref="I170"/>
    <hyperlink r:id="rId170" ref="I171"/>
    <hyperlink r:id="rId171" ref="I172"/>
    <hyperlink r:id="rId172" ref="I173"/>
    <hyperlink r:id="rId173" ref="I174"/>
    <hyperlink r:id="rId174" ref="I175"/>
    <hyperlink r:id="rId175" ref="I176"/>
    <hyperlink r:id="rId176" ref="I177"/>
    <hyperlink r:id="rId177" ref="I178"/>
    <hyperlink r:id="rId178" ref="I179"/>
    <hyperlink r:id="rId179" ref="I180"/>
    <hyperlink r:id="rId180" ref="I181"/>
    <hyperlink r:id="rId181" ref="I182"/>
    <hyperlink r:id="rId182" ref="I183"/>
    <hyperlink r:id="rId183" ref="I184"/>
    <hyperlink r:id="rId184" ref="I185"/>
    <hyperlink r:id="rId185" ref="I186"/>
    <hyperlink r:id="rId186" ref="I187"/>
    <hyperlink r:id="rId187" ref="I188"/>
    <hyperlink r:id="rId188" ref="I189"/>
    <hyperlink r:id="rId189" ref="I190"/>
    <hyperlink r:id="rId190" ref="I191"/>
    <hyperlink r:id="rId191" ref="I192"/>
    <hyperlink r:id="rId192" ref="I193"/>
    <hyperlink r:id="rId193" ref="I194"/>
    <hyperlink r:id="rId194" ref="I195"/>
    <hyperlink r:id="rId195" ref="I196"/>
    <hyperlink r:id="rId196" ref="I197"/>
    <hyperlink r:id="rId197" ref="I198"/>
    <hyperlink r:id="rId198" ref="I199"/>
    <hyperlink r:id="rId199" ref="I200"/>
    <hyperlink r:id="rId200" ref="I201"/>
    <hyperlink r:id="rId201" ref="I202"/>
    <hyperlink r:id="rId202" ref="I203"/>
    <hyperlink r:id="rId203" ref="I204"/>
    <hyperlink r:id="rId204" ref="I205"/>
    <hyperlink r:id="rId205" ref="I206"/>
    <hyperlink r:id="rId206" ref="I207"/>
    <hyperlink r:id="rId207" ref="I208"/>
    <hyperlink r:id="rId208" ref="I209"/>
    <hyperlink r:id="rId209" ref="I210"/>
    <hyperlink r:id="rId210" ref="I211"/>
    <hyperlink r:id="rId211" ref="I212"/>
    <hyperlink r:id="rId212" ref="I213"/>
    <hyperlink r:id="rId213" ref="I214"/>
    <hyperlink r:id="rId214" ref="I215"/>
    <hyperlink r:id="rId215" ref="I216"/>
    <hyperlink r:id="rId216" ref="I217"/>
    <hyperlink r:id="rId217" ref="I218"/>
    <hyperlink r:id="rId218" ref="I219"/>
    <hyperlink r:id="rId219" ref="I220"/>
    <hyperlink r:id="rId220" ref="I221"/>
    <hyperlink r:id="rId221" ref="I222"/>
    <hyperlink r:id="rId222" ref="I223"/>
    <hyperlink r:id="rId223" ref="I224"/>
    <hyperlink r:id="rId224" ref="I225"/>
    <hyperlink r:id="rId225" ref="I226"/>
    <hyperlink r:id="rId226" ref="I227"/>
    <hyperlink r:id="rId227" ref="I228"/>
    <hyperlink r:id="rId228" ref="I229"/>
    <hyperlink r:id="rId229" ref="I230"/>
    <hyperlink r:id="rId230" ref="I231"/>
    <hyperlink r:id="rId231" ref="I232"/>
    <hyperlink r:id="rId232" ref="I233"/>
    <hyperlink r:id="rId233" ref="I234"/>
    <hyperlink r:id="rId234" ref="I235"/>
    <hyperlink r:id="rId235" ref="I236"/>
    <hyperlink r:id="rId236" ref="I237"/>
    <hyperlink r:id="rId237" ref="I238"/>
    <hyperlink r:id="rId238" ref="I239"/>
    <hyperlink r:id="rId239" ref="I240"/>
    <hyperlink r:id="rId240" ref="I241"/>
    <hyperlink r:id="rId241" ref="I242"/>
    <hyperlink r:id="rId242" ref="I243"/>
    <hyperlink r:id="rId243" ref="I244"/>
    <hyperlink r:id="rId244" ref="I245"/>
    <hyperlink r:id="rId245" ref="I246"/>
    <hyperlink r:id="rId246" ref="I247"/>
    <hyperlink r:id="rId247" ref="I248"/>
    <hyperlink r:id="rId248" ref="I249"/>
    <hyperlink r:id="rId249" ref="I250"/>
    <hyperlink r:id="rId250" ref="I251"/>
    <hyperlink r:id="rId251" ref="I252"/>
    <hyperlink r:id="rId252" ref="I253"/>
    <hyperlink r:id="rId253" ref="I254"/>
    <hyperlink r:id="rId254" ref="I255"/>
    <hyperlink r:id="rId255" ref="I256"/>
    <hyperlink r:id="rId256" ref="I257"/>
    <hyperlink r:id="rId257" ref="I258"/>
    <hyperlink r:id="rId258" ref="I259"/>
    <hyperlink r:id="rId259" ref="I260"/>
    <hyperlink r:id="rId260" ref="I261"/>
    <hyperlink r:id="rId261" ref="I262"/>
    <hyperlink r:id="rId262" ref="I263"/>
    <hyperlink r:id="rId263" ref="I264"/>
    <hyperlink r:id="rId264" ref="I265"/>
    <hyperlink r:id="rId265" ref="I266"/>
    <hyperlink r:id="rId266" ref="I267"/>
    <hyperlink r:id="rId267" ref="I268"/>
    <hyperlink r:id="rId268" ref="I269"/>
    <hyperlink r:id="rId269" ref="I270"/>
    <hyperlink r:id="rId270" ref="I271"/>
    <hyperlink r:id="rId271" ref="I272"/>
    <hyperlink r:id="rId272" ref="I273"/>
    <hyperlink r:id="rId273" ref="I274"/>
    <hyperlink r:id="rId274" ref="I275"/>
    <hyperlink r:id="rId275" ref="I276"/>
    <hyperlink r:id="rId276" ref="I277"/>
    <hyperlink r:id="rId277" ref="I278"/>
    <hyperlink r:id="rId278" ref="I279"/>
    <hyperlink r:id="rId279" ref="I280"/>
    <hyperlink r:id="rId280" ref="I281"/>
    <hyperlink r:id="rId281" ref="I282"/>
    <hyperlink r:id="rId282" ref="I283"/>
    <hyperlink r:id="rId283" ref="I284"/>
    <hyperlink r:id="rId284" ref="I285"/>
    <hyperlink r:id="rId285" ref="I286"/>
    <hyperlink r:id="rId286" ref="I287"/>
    <hyperlink r:id="rId287" ref="I290"/>
    <hyperlink r:id="rId288" ref="I291"/>
    <hyperlink r:id="rId289" ref="I292"/>
    <hyperlink r:id="rId290" ref="I293"/>
    <hyperlink r:id="rId291" ref="I294"/>
    <hyperlink r:id="rId292" ref="I295"/>
    <hyperlink r:id="rId293" ref="I296"/>
    <hyperlink r:id="rId294" ref="I297"/>
    <hyperlink r:id="rId295" ref="I298"/>
    <hyperlink r:id="rId296" ref="I299"/>
    <hyperlink r:id="rId297" ref="I300"/>
    <hyperlink r:id="rId298" ref="I301"/>
    <hyperlink r:id="rId299" ref="I302"/>
    <hyperlink r:id="rId300" ref="I303"/>
    <hyperlink r:id="rId301" ref="I304"/>
    <hyperlink r:id="rId302" ref="I305"/>
    <hyperlink r:id="rId303" ref="I306"/>
    <hyperlink r:id="rId304" ref="I307"/>
    <hyperlink r:id="rId305" ref="I308"/>
    <hyperlink r:id="rId306" ref="I309"/>
    <hyperlink r:id="rId307" ref="I310"/>
    <hyperlink r:id="rId308" ref="I311"/>
    <hyperlink r:id="rId309" ref="I312"/>
    <hyperlink r:id="rId310" ref="I313"/>
    <hyperlink r:id="rId311" ref="I314"/>
    <hyperlink r:id="rId312" ref="I315"/>
    <hyperlink r:id="rId313" ref="I316"/>
    <hyperlink r:id="rId314" ref="I317"/>
    <hyperlink r:id="rId315" ref="I318"/>
    <hyperlink r:id="rId316" ref="I322"/>
    <hyperlink r:id="rId317" ref="I323"/>
    <hyperlink r:id="rId318" ref="I324"/>
    <hyperlink r:id="rId319" ref="I325"/>
    <hyperlink r:id="rId320" ref="I326"/>
    <hyperlink r:id="rId321" ref="I327"/>
    <hyperlink r:id="rId322" ref="I328"/>
    <hyperlink r:id="rId323" ref="I329"/>
    <hyperlink r:id="rId324" ref="I330"/>
    <hyperlink r:id="rId325" ref="I331"/>
    <hyperlink r:id="rId326" ref="I332"/>
    <hyperlink r:id="rId327" ref="I333"/>
    <hyperlink r:id="rId328" ref="I334"/>
    <hyperlink r:id="rId329" ref="I335"/>
    <hyperlink r:id="rId330" ref="I336"/>
    <hyperlink r:id="rId331" ref="I337"/>
    <hyperlink r:id="rId332" ref="I338"/>
    <hyperlink r:id="rId333" ref="I339"/>
    <hyperlink r:id="rId334" ref="I340"/>
    <hyperlink r:id="rId335" ref="I341"/>
    <hyperlink r:id="rId336" ref="I342"/>
    <hyperlink r:id="rId337" ref="I343"/>
    <hyperlink r:id="rId338" ref="I344"/>
    <hyperlink r:id="rId339" ref="I345"/>
    <hyperlink r:id="rId340" ref="I346"/>
    <hyperlink r:id="rId341" ref="I347"/>
    <hyperlink r:id="rId342" ref="I348"/>
    <hyperlink r:id="rId343" ref="I349"/>
    <hyperlink r:id="rId344" ref="I350"/>
    <hyperlink r:id="rId345" ref="I351"/>
    <hyperlink r:id="rId346" ref="I352"/>
    <hyperlink r:id="rId347" ref="I353"/>
    <hyperlink r:id="rId348" ref="I354"/>
    <hyperlink r:id="rId349" ref="I355"/>
    <hyperlink r:id="rId350" ref="I356"/>
    <hyperlink r:id="rId351" ref="I357"/>
    <hyperlink r:id="rId352" ref="I358"/>
    <hyperlink r:id="rId353" ref="I359"/>
    <hyperlink r:id="rId354" ref="I360"/>
    <hyperlink r:id="rId355" ref="I361"/>
    <hyperlink r:id="rId356" ref="I362"/>
    <hyperlink r:id="rId357" ref="I363"/>
    <hyperlink r:id="rId358" ref="I364"/>
    <hyperlink r:id="rId359" ref="I365"/>
    <hyperlink r:id="rId360" ref="I366"/>
    <hyperlink r:id="rId361" ref="I367"/>
    <hyperlink r:id="rId362" ref="I368"/>
    <hyperlink r:id="rId363" ref="I369"/>
    <hyperlink r:id="rId364" ref="I370"/>
    <hyperlink r:id="rId365" ref="I371"/>
    <hyperlink r:id="rId366" ref="I372"/>
    <hyperlink r:id="rId367" ref="I373"/>
    <hyperlink r:id="rId368" ref="I374"/>
    <hyperlink r:id="rId369" ref="I375"/>
    <hyperlink r:id="rId370" ref="I376"/>
    <hyperlink r:id="rId371" ref="I377"/>
    <hyperlink r:id="rId372" ref="I378"/>
    <hyperlink r:id="rId373" ref="I379"/>
    <hyperlink r:id="rId374" ref="I380"/>
    <hyperlink r:id="rId375" ref="I381"/>
    <hyperlink r:id="rId376" ref="I382"/>
    <hyperlink r:id="rId377" ref="I383"/>
    <hyperlink r:id="rId378" ref="I384"/>
    <hyperlink r:id="rId379" ref="I385"/>
    <hyperlink r:id="rId380" ref="I386"/>
    <hyperlink r:id="rId381" ref="I387"/>
    <hyperlink r:id="rId382" ref="I388"/>
    <hyperlink r:id="rId383" ref="I389"/>
    <hyperlink r:id="rId384" ref="I390"/>
    <hyperlink r:id="rId385" ref="I391"/>
    <hyperlink r:id="rId386" ref="I392"/>
    <hyperlink r:id="rId387" ref="I393"/>
    <hyperlink r:id="rId388" ref="I394"/>
    <hyperlink r:id="rId389" ref="I395"/>
    <hyperlink r:id="rId390" ref="I396"/>
    <hyperlink r:id="rId391" ref="I397"/>
    <hyperlink r:id="rId392" ref="I398"/>
    <hyperlink r:id="rId393" ref="I399"/>
    <hyperlink r:id="rId394" ref="I400"/>
    <hyperlink r:id="rId395" ref="I401"/>
    <hyperlink r:id="rId396" ref="I402"/>
    <hyperlink r:id="rId397" ref="I403"/>
    <hyperlink r:id="rId398" ref="I404"/>
    <hyperlink r:id="rId399" ref="I405"/>
    <hyperlink r:id="rId400" ref="I406"/>
    <hyperlink r:id="rId401" ref="I407"/>
    <hyperlink r:id="rId402" ref="I408"/>
    <hyperlink r:id="rId403" ref="I409"/>
    <hyperlink r:id="rId404" ref="I410"/>
    <hyperlink r:id="rId405" ref="I411"/>
    <hyperlink r:id="rId406" ref="I412"/>
    <hyperlink r:id="rId407" ref="I413"/>
    <hyperlink r:id="rId408" ref="I414"/>
    <hyperlink r:id="rId409" ref="I415"/>
    <hyperlink r:id="rId410" ref="I416"/>
    <hyperlink r:id="rId411" ref="I417"/>
    <hyperlink r:id="rId412" ref="I418"/>
    <hyperlink r:id="rId413" ref="I419"/>
    <hyperlink r:id="rId414" ref="I420"/>
    <hyperlink r:id="rId415" ref="I421"/>
    <hyperlink r:id="rId416" ref="I422"/>
    <hyperlink r:id="rId417" ref="I423"/>
    <hyperlink r:id="rId418" ref="I424"/>
    <hyperlink r:id="rId419" ref="I425"/>
    <hyperlink r:id="rId420" ref="I426"/>
    <hyperlink r:id="rId421" ref="I427"/>
    <hyperlink r:id="rId422" ref="I428"/>
    <hyperlink r:id="rId423" ref="I429"/>
    <hyperlink r:id="rId424" ref="I430"/>
    <hyperlink r:id="rId425" ref="I431"/>
    <hyperlink r:id="rId426" ref="I432"/>
    <hyperlink r:id="rId427" ref="I433"/>
    <hyperlink r:id="rId428" ref="I434"/>
    <hyperlink r:id="rId429" ref="I435"/>
    <hyperlink r:id="rId430" ref="I436"/>
    <hyperlink r:id="rId431" ref="I437"/>
    <hyperlink r:id="rId432" ref="I438"/>
    <hyperlink r:id="rId433" ref="I439"/>
    <hyperlink r:id="rId434" ref="I440"/>
    <hyperlink r:id="rId435" ref="I441"/>
    <hyperlink r:id="rId436" ref="I442"/>
    <hyperlink r:id="rId437" ref="I443"/>
    <hyperlink r:id="rId438" ref="I444"/>
    <hyperlink r:id="rId439" ref="I445"/>
    <hyperlink r:id="rId440" ref="I446"/>
    <hyperlink r:id="rId441" ref="I447"/>
    <hyperlink r:id="rId442" ref="I448"/>
    <hyperlink r:id="rId443" ref="I449"/>
    <hyperlink r:id="rId444" ref="I450"/>
    <hyperlink r:id="rId445" ref="I451"/>
    <hyperlink r:id="rId446" ref="I452"/>
    <hyperlink r:id="rId447" ref="I453"/>
    <hyperlink r:id="rId448" ref="I454"/>
    <hyperlink r:id="rId449" ref="I455"/>
    <hyperlink r:id="rId450" ref="I456"/>
    <hyperlink r:id="rId451" ref="I457"/>
    <hyperlink r:id="rId452" ref="I458"/>
    <hyperlink r:id="rId453" ref="I459"/>
    <hyperlink r:id="rId454" ref="I460"/>
    <hyperlink r:id="rId455" ref="I461"/>
    <hyperlink r:id="rId456" ref="I462"/>
    <hyperlink r:id="rId457" ref="I463"/>
    <hyperlink r:id="rId458" ref="I464"/>
    <hyperlink r:id="rId459" ref="I465"/>
    <hyperlink r:id="rId460" ref="I466"/>
    <hyperlink r:id="rId461" ref="I467"/>
    <hyperlink r:id="rId462" ref="I468"/>
    <hyperlink r:id="rId463" ref="I469"/>
    <hyperlink r:id="rId464" ref="I470"/>
    <hyperlink r:id="rId465" ref="I471"/>
    <hyperlink r:id="rId466" ref="I472"/>
    <hyperlink r:id="rId467" ref="I473"/>
    <hyperlink r:id="rId468" ref="I474"/>
    <hyperlink r:id="rId469" ref="I475"/>
    <hyperlink r:id="rId470" ref="I476"/>
    <hyperlink r:id="rId471" ref="I477"/>
    <hyperlink r:id="rId472" ref="I478"/>
    <hyperlink r:id="rId473" ref="I479"/>
    <hyperlink r:id="rId474" ref="I480"/>
    <hyperlink r:id="rId475" ref="I481"/>
    <hyperlink r:id="rId476" ref="I482"/>
    <hyperlink r:id="rId477" ref="I483"/>
    <hyperlink r:id="rId478" ref="I484"/>
    <hyperlink r:id="rId479" ref="I485"/>
    <hyperlink r:id="rId480" ref="I486"/>
    <hyperlink r:id="rId481" ref="I487"/>
    <hyperlink r:id="rId482" ref="I488"/>
    <hyperlink r:id="rId483" ref="I489"/>
    <hyperlink r:id="rId484" ref="I490"/>
    <hyperlink r:id="rId485" ref="I491"/>
    <hyperlink r:id="rId486" ref="I492"/>
    <hyperlink r:id="rId487" ref="I493"/>
    <hyperlink r:id="rId488" ref="I494"/>
    <hyperlink r:id="rId489" ref="I495"/>
    <hyperlink r:id="rId490" ref="I496"/>
    <hyperlink r:id="rId491" ref="I497"/>
    <hyperlink r:id="rId492" ref="I498"/>
    <hyperlink r:id="rId493" ref="I499"/>
    <hyperlink r:id="rId494" ref="I500"/>
    <hyperlink r:id="rId495" ref="I501"/>
    <hyperlink r:id="rId496" ref="I502"/>
    <hyperlink r:id="rId497" ref="I503"/>
    <hyperlink r:id="rId498" ref="I504"/>
    <hyperlink r:id="rId499" ref="I505"/>
    <hyperlink r:id="rId500" ref="I506"/>
    <hyperlink r:id="rId501" ref="I507"/>
    <hyperlink r:id="rId502" ref="I508"/>
    <hyperlink r:id="rId503" ref="I509"/>
    <hyperlink r:id="rId504" ref="I510"/>
    <hyperlink r:id="rId505" ref="I511"/>
    <hyperlink r:id="rId506" ref="I512"/>
    <hyperlink r:id="rId507" ref="I516"/>
    <hyperlink r:id="rId508" ref="I517"/>
    <hyperlink r:id="rId509" ref="I518"/>
    <hyperlink r:id="rId510" ref="I519"/>
    <hyperlink r:id="rId511" ref="I520"/>
    <hyperlink r:id="rId512" ref="I521"/>
    <hyperlink r:id="rId513" ref="I522"/>
    <hyperlink r:id="rId514" ref="I523"/>
    <hyperlink r:id="rId515" ref="I524"/>
    <hyperlink r:id="rId516" ref="I525"/>
    <hyperlink r:id="rId517" ref="I526"/>
    <hyperlink r:id="rId518" ref="I527"/>
    <hyperlink r:id="rId519" ref="I528"/>
    <hyperlink r:id="rId520" ref="I529"/>
    <hyperlink r:id="rId521" ref="I530"/>
    <hyperlink r:id="rId522" ref="I531"/>
    <hyperlink r:id="rId523" ref="I532"/>
    <hyperlink r:id="rId524" ref="I533"/>
    <hyperlink r:id="rId525" ref="I534"/>
    <hyperlink r:id="rId526" ref="I540"/>
    <hyperlink r:id="rId527" ref="I541"/>
    <hyperlink r:id="rId528" ref="I542"/>
    <hyperlink r:id="rId529" ref="I543"/>
    <hyperlink r:id="rId530" ref="I544"/>
    <hyperlink r:id="rId531" ref="I545"/>
    <hyperlink r:id="rId532" ref="I546"/>
    <hyperlink r:id="rId533" ref="I547"/>
    <hyperlink r:id="rId534" ref="I548"/>
    <hyperlink r:id="rId535" ref="I549"/>
    <hyperlink r:id="rId536" ref="I550"/>
    <hyperlink r:id="rId537" ref="I551"/>
    <hyperlink r:id="rId538" ref="I552"/>
    <hyperlink r:id="rId539" ref="I553"/>
    <hyperlink r:id="rId540" ref="I554"/>
    <hyperlink r:id="rId541" ref="I555"/>
    <hyperlink r:id="rId542" ref="I556"/>
    <hyperlink r:id="rId543" ref="I557"/>
    <hyperlink r:id="rId544" ref="I558"/>
    <hyperlink r:id="rId545" ref="I559"/>
    <hyperlink r:id="rId546" ref="I560"/>
    <hyperlink r:id="rId547" ref="I561"/>
    <hyperlink r:id="rId548" ref="I563"/>
    <hyperlink r:id="rId549" ref="I564"/>
    <hyperlink r:id="rId550" ref="I565"/>
    <hyperlink r:id="rId551" ref="I566"/>
    <hyperlink r:id="rId552" ref="I567"/>
    <hyperlink r:id="rId553" ref="I568"/>
    <hyperlink r:id="rId554" ref="I569"/>
    <hyperlink r:id="rId555" ref="I570"/>
    <hyperlink r:id="rId556" ref="I571"/>
    <hyperlink r:id="rId557" ref="I572"/>
    <hyperlink r:id="rId558" ref="I573"/>
    <hyperlink r:id="rId559" ref="I574"/>
    <hyperlink r:id="rId560" ref="I575"/>
    <hyperlink r:id="rId561" ref="I576"/>
    <hyperlink r:id="rId562" ref="I577"/>
    <hyperlink r:id="rId563" ref="I578"/>
    <hyperlink r:id="rId564" ref="I579"/>
    <hyperlink r:id="rId565" ref="I580"/>
    <hyperlink r:id="rId566" ref="I581"/>
    <hyperlink r:id="rId567" ref="I582"/>
    <hyperlink r:id="rId568" ref="I583"/>
    <hyperlink r:id="rId569" ref="I584"/>
    <hyperlink r:id="rId570" ref="I585"/>
    <hyperlink r:id="rId571" ref="I586"/>
    <hyperlink r:id="rId572" ref="I587"/>
    <hyperlink r:id="rId573" ref="I588"/>
    <hyperlink r:id="rId574" ref="I589"/>
    <hyperlink r:id="rId575" ref="I590"/>
    <hyperlink r:id="rId576" ref="I591"/>
    <hyperlink r:id="rId577" ref="I592"/>
    <hyperlink r:id="rId578" ref="I593"/>
    <hyperlink r:id="rId579" ref="I594"/>
    <hyperlink r:id="rId580" ref="I595"/>
    <hyperlink r:id="rId581" ref="I596"/>
    <hyperlink r:id="rId582" ref="I597"/>
    <hyperlink r:id="rId583" ref="I598"/>
    <hyperlink r:id="rId584" ref="I599"/>
    <hyperlink r:id="rId585" ref="I600"/>
    <hyperlink r:id="rId586" ref="I601"/>
    <hyperlink r:id="rId587" ref="I602"/>
    <hyperlink r:id="rId588" ref="I603"/>
    <hyperlink r:id="rId589" ref="I604"/>
    <hyperlink r:id="rId590" ref="I605"/>
    <hyperlink r:id="rId591" ref="I606"/>
    <hyperlink r:id="rId592" ref="I607"/>
    <hyperlink r:id="rId593" ref="I608"/>
    <hyperlink r:id="rId594" ref="I609"/>
    <hyperlink r:id="rId595" ref="I610"/>
    <hyperlink r:id="rId596" ref="I611"/>
    <hyperlink r:id="rId597" ref="I612"/>
    <hyperlink r:id="rId598" ref="I613"/>
    <hyperlink r:id="rId599" ref="I614"/>
    <hyperlink r:id="rId600" ref="I615"/>
    <hyperlink r:id="rId601" ref="I616"/>
    <hyperlink r:id="rId602" ref="I617"/>
    <hyperlink r:id="rId603" ref="I618"/>
    <hyperlink r:id="rId604" ref="I619"/>
    <hyperlink r:id="rId605" ref="I620"/>
    <hyperlink r:id="rId606" ref="I621"/>
    <hyperlink r:id="rId607" ref="I622"/>
    <hyperlink r:id="rId608" ref="I623"/>
    <hyperlink r:id="rId609" ref="I624"/>
    <hyperlink r:id="rId610" ref="I625"/>
    <hyperlink r:id="rId611" ref="I626"/>
    <hyperlink r:id="rId612" ref="I627"/>
    <hyperlink r:id="rId613" ref="I628"/>
    <hyperlink r:id="rId614" ref="I629"/>
    <hyperlink r:id="rId615" ref="I630"/>
    <hyperlink r:id="rId616" ref="I631"/>
    <hyperlink r:id="rId617" ref="I632"/>
    <hyperlink r:id="rId618" ref="I633"/>
    <hyperlink r:id="rId619" ref="I634"/>
    <hyperlink r:id="rId620" ref="I637"/>
    <hyperlink r:id="rId621" ref="I638"/>
    <hyperlink r:id="rId622" ref="I639"/>
    <hyperlink r:id="rId623" ref="I640"/>
    <hyperlink r:id="rId624" ref="I641"/>
    <hyperlink r:id="rId625" ref="I642"/>
    <hyperlink r:id="rId626" ref="I643"/>
    <hyperlink r:id="rId627" ref="I644"/>
    <hyperlink r:id="rId628" ref="I645"/>
    <hyperlink r:id="rId629" ref="I646"/>
    <hyperlink r:id="rId630" ref="I647"/>
    <hyperlink r:id="rId631" ref="I648"/>
    <hyperlink r:id="rId632" ref="I649"/>
    <hyperlink r:id="rId633" ref="I650"/>
    <hyperlink r:id="rId634" ref="I651"/>
    <hyperlink r:id="rId635" ref="I652"/>
    <hyperlink r:id="rId636" ref="I653"/>
    <hyperlink r:id="rId637" ref="I654"/>
    <hyperlink r:id="rId638" ref="I655"/>
    <hyperlink r:id="rId639" ref="I656"/>
    <hyperlink r:id="rId640" ref="I657"/>
    <hyperlink r:id="rId641" ref="I658"/>
    <hyperlink r:id="rId642" ref="I659"/>
    <hyperlink r:id="rId643" ref="I660"/>
    <hyperlink r:id="rId644" ref="I661"/>
    <hyperlink r:id="rId645" ref="I662"/>
    <hyperlink r:id="rId646" ref="I663"/>
    <hyperlink r:id="rId647" ref="I664"/>
    <hyperlink r:id="rId648" ref="I665"/>
    <hyperlink r:id="rId649" ref="I666"/>
    <hyperlink r:id="rId650" ref="I667"/>
    <hyperlink r:id="rId651" ref="I668"/>
    <hyperlink r:id="rId652" ref="I669"/>
    <hyperlink r:id="rId653" ref="I670"/>
    <hyperlink r:id="rId654" ref="I671"/>
    <hyperlink r:id="rId655" ref="I672"/>
    <hyperlink r:id="rId656" ref="I673"/>
    <hyperlink r:id="rId657" ref="I674"/>
    <hyperlink r:id="rId658" ref="I675"/>
    <hyperlink r:id="rId659" ref="I677"/>
    <hyperlink r:id="rId660" ref="I678"/>
    <hyperlink r:id="rId661" ref="I679"/>
    <hyperlink r:id="rId662" ref="I680"/>
    <hyperlink r:id="rId663" ref="I681"/>
    <hyperlink r:id="rId664" ref="I682"/>
    <hyperlink r:id="rId665" ref="I683"/>
    <hyperlink r:id="rId666" ref="I684"/>
    <hyperlink r:id="rId667" ref="I685"/>
    <hyperlink r:id="rId668" ref="I686"/>
    <hyperlink r:id="rId669" ref="I687"/>
    <hyperlink r:id="rId670" ref="I688"/>
    <hyperlink r:id="rId671" ref="I689"/>
    <hyperlink r:id="rId672" ref="I690"/>
    <hyperlink r:id="rId673" ref="I691"/>
    <hyperlink r:id="rId674" ref="I692"/>
    <hyperlink r:id="rId675" ref="I693"/>
    <hyperlink r:id="rId676" ref="I694"/>
    <hyperlink r:id="rId677" ref="I695"/>
    <hyperlink r:id="rId678" ref="I696"/>
    <hyperlink r:id="rId679" ref="I697"/>
    <hyperlink r:id="rId680" ref="I698"/>
    <hyperlink r:id="rId681" ref="I699"/>
    <hyperlink r:id="rId682" ref="I700"/>
    <hyperlink r:id="rId683" ref="I701"/>
    <hyperlink r:id="rId684" ref="I702"/>
    <hyperlink r:id="rId685" ref="I703"/>
    <hyperlink r:id="rId686" ref="I704"/>
    <hyperlink r:id="rId687" ref="I705"/>
    <hyperlink r:id="rId688" ref="I706"/>
    <hyperlink r:id="rId689" ref="I707"/>
    <hyperlink r:id="rId690" ref="I708"/>
    <hyperlink r:id="rId691" ref="I709"/>
    <hyperlink r:id="rId692" ref="I710"/>
    <hyperlink r:id="rId693" ref="I711"/>
    <hyperlink r:id="rId694" ref="I712"/>
    <hyperlink r:id="rId695" ref="I713"/>
    <hyperlink r:id="rId696" ref="I714"/>
    <hyperlink r:id="rId697" ref="I715"/>
    <hyperlink r:id="rId698" ref="I716"/>
    <hyperlink r:id="rId699" ref="I717"/>
    <hyperlink r:id="rId700" ref="I718"/>
    <hyperlink r:id="rId701" ref="I719"/>
    <hyperlink r:id="rId702" ref="I720"/>
    <hyperlink r:id="rId703" ref="I721"/>
    <hyperlink r:id="rId704" ref="I722"/>
    <hyperlink r:id="rId705" ref="I723"/>
    <hyperlink r:id="rId706" ref="I724"/>
    <hyperlink r:id="rId707" ref="I725"/>
    <hyperlink r:id="rId708" ref="I726"/>
    <hyperlink r:id="rId709" ref="I728"/>
    <hyperlink r:id="rId710" ref="I729"/>
    <hyperlink r:id="rId711" ref="I730"/>
    <hyperlink r:id="rId712" ref="I731"/>
    <hyperlink r:id="rId713" ref="I732"/>
    <hyperlink r:id="rId714" ref="I734"/>
    <hyperlink r:id="rId715" ref="I735"/>
    <hyperlink r:id="rId716" ref="I736"/>
    <hyperlink r:id="rId717" ref="I737"/>
    <hyperlink r:id="rId718" ref="I738"/>
    <hyperlink r:id="rId719" ref="I739"/>
    <hyperlink r:id="rId720" ref="I740"/>
    <hyperlink r:id="rId721" ref="I741"/>
    <hyperlink r:id="rId722" ref="I742"/>
    <hyperlink r:id="rId723" ref="I743"/>
    <hyperlink r:id="rId724" ref="I744"/>
    <hyperlink r:id="rId725" ref="I745"/>
    <hyperlink r:id="rId726" ref="I746"/>
    <hyperlink r:id="rId727" ref="I747"/>
    <hyperlink r:id="rId728" ref="I748"/>
    <hyperlink r:id="rId729" ref="I749"/>
    <hyperlink r:id="rId730" ref="I750"/>
    <hyperlink r:id="rId731" ref="I751"/>
    <hyperlink r:id="rId732" ref="I752"/>
    <hyperlink r:id="rId733" ref="I753"/>
    <hyperlink r:id="rId734" ref="I754"/>
    <hyperlink r:id="rId735" ref="I755"/>
    <hyperlink r:id="rId736" ref="I756"/>
    <hyperlink r:id="rId737" ref="I757"/>
    <hyperlink r:id="rId738" ref="I758"/>
    <hyperlink r:id="rId739" ref="I759"/>
    <hyperlink r:id="rId740" ref="I760"/>
    <hyperlink r:id="rId741" ref="I761"/>
    <hyperlink r:id="rId742" ref="I762"/>
    <hyperlink r:id="rId743" ref="I763"/>
    <hyperlink r:id="rId744" ref="I764"/>
    <hyperlink r:id="rId745" ref="I765"/>
    <hyperlink r:id="rId746" ref="I766"/>
    <hyperlink r:id="rId747" ref="I767"/>
    <hyperlink r:id="rId748" ref="I768"/>
    <hyperlink r:id="rId749" ref="I769"/>
    <hyperlink r:id="rId750" ref="I770"/>
    <hyperlink r:id="rId751" ref="I771"/>
    <hyperlink r:id="rId752" ref="I772"/>
    <hyperlink r:id="rId753" ref="I773"/>
    <hyperlink r:id="rId754" ref="I774"/>
    <hyperlink r:id="rId755" ref="I777"/>
    <hyperlink r:id="rId756" ref="I778"/>
    <hyperlink r:id="rId757" ref="I779"/>
    <hyperlink r:id="rId758" ref="I780"/>
    <hyperlink r:id="rId759" ref="I781"/>
    <hyperlink r:id="rId760" ref="I782"/>
    <hyperlink r:id="rId761" ref="I783"/>
    <hyperlink r:id="rId762" ref="I784"/>
    <hyperlink r:id="rId763" ref="I785"/>
    <hyperlink r:id="rId764" ref="I786"/>
    <hyperlink r:id="rId765" ref="I787"/>
    <hyperlink r:id="rId766" ref="I788"/>
    <hyperlink r:id="rId767" ref="I789"/>
    <hyperlink r:id="rId768" ref="I790"/>
    <hyperlink r:id="rId769" ref="I791"/>
    <hyperlink r:id="rId770" ref="I792"/>
    <hyperlink r:id="rId771" ref="I793"/>
    <hyperlink r:id="rId772" ref="I794"/>
    <hyperlink r:id="rId773" ref="I800"/>
    <hyperlink r:id="rId774" ref="I801"/>
    <hyperlink r:id="rId775" ref="I802"/>
    <hyperlink r:id="rId776" ref="I803"/>
    <hyperlink r:id="rId777" ref="I804"/>
    <hyperlink r:id="rId778" ref="I805"/>
    <hyperlink r:id="rId779" ref="I806"/>
    <hyperlink r:id="rId780" ref="I807"/>
    <hyperlink r:id="rId781" ref="I808"/>
    <hyperlink r:id="rId782" ref="I809"/>
    <hyperlink r:id="rId783" ref="I810"/>
    <hyperlink r:id="rId784" ref="I811"/>
    <hyperlink r:id="rId785" ref="I812"/>
    <hyperlink r:id="rId786" ref="I813"/>
    <hyperlink r:id="rId787" ref="I814"/>
    <hyperlink r:id="rId788" ref="I815"/>
    <hyperlink r:id="rId789" ref="I816"/>
    <hyperlink r:id="rId790" ref="I817"/>
    <hyperlink r:id="rId791" ref="I818"/>
    <hyperlink r:id="rId792" ref="I819"/>
    <hyperlink r:id="rId793" ref="I820"/>
    <hyperlink r:id="rId794" ref="I821"/>
    <hyperlink r:id="rId795" ref="I822"/>
    <hyperlink r:id="rId796" ref="I823"/>
    <hyperlink r:id="rId797" ref="I824"/>
    <hyperlink r:id="rId798" ref="I825"/>
    <hyperlink r:id="rId799" ref="I826"/>
    <hyperlink r:id="rId800" ref="I827"/>
    <hyperlink r:id="rId801" ref="I828"/>
    <hyperlink r:id="rId802" ref="I829"/>
    <hyperlink r:id="rId803" ref="I830"/>
    <hyperlink r:id="rId804" ref="I832"/>
    <hyperlink r:id="rId805" ref="I833"/>
    <hyperlink r:id="rId806" ref="I834"/>
    <hyperlink r:id="rId807" ref="I835"/>
    <hyperlink r:id="rId808" ref="I836"/>
    <hyperlink r:id="rId809" ref="I837"/>
    <hyperlink r:id="rId810" ref="I838"/>
    <hyperlink r:id="rId811" ref="I839"/>
    <hyperlink r:id="rId812" ref="I840"/>
    <hyperlink r:id="rId813" ref="I841"/>
    <hyperlink r:id="rId814" ref="I842"/>
    <hyperlink r:id="rId815" ref="I843"/>
    <hyperlink r:id="rId816" ref="I844"/>
    <hyperlink r:id="rId817" ref="I845"/>
    <hyperlink r:id="rId818" ref="I846"/>
    <hyperlink r:id="rId819" ref="I847"/>
    <hyperlink r:id="rId820" ref="I848"/>
    <hyperlink r:id="rId821" ref="I849"/>
    <hyperlink r:id="rId822" ref="I850"/>
    <hyperlink r:id="rId823" ref="I851"/>
    <hyperlink r:id="rId824" ref="I852"/>
    <hyperlink r:id="rId825" ref="I853"/>
    <hyperlink r:id="rId826" ref="I854"/>
    <hyperlink r:id="rId827" ref="I855"/>
    <hyperlink r:id="rId828" ref="I856"/>
    <hyperlink r:id="rId829" ref="I857"/>
    <hyperlink r:id="rId830" ref="I858"/>
    <hyperlink r:id="rId831" ref="I859"/>
    <hyperlink r:id="rId832" ref="I860"/>
    <hyperlink r:id="rId833" ref="I861"/>
    <hyperlink r:id="rId834" ref="I862"/>
    <hyperlink r:id="rId835" ref="I863"/>
    <hyperlink r:id="rId836" ref="I869"/>
    <hyperlink r:id="rId837" ref="I870"/>
    <hyperlink r:id="rId838" ref="I871"/>
    <hyperlink r:id="rId839" ref="I872"/>
    <hyperlink r:id="rId840" ref="I873"/>
    <hyperlink r:id="rId841" ref="I881"/>
    <hyperlink r:id="rId842" ref="I882"/>
    <hyperlink r:id="rId843" ref="I883"/>
    <hyperlink r:id="rId844" ref="I884"/>
    <hyperlink r:id="rId845" ref="I885"/>
    <hyperlink r:id="rId846" ref="I886"/>
    <hyperlink r:id="rId847" ref="I887"/>
    <hyperlink r:id="rId848" ref="I888"/>
    <hyperlink r:id="rId849" ref="I889"/>
    <hyperlink r:id="rId850" ref="I890"/>
    <hyperlink r:id="rId851" ref="I891"/>
    <hyperlink r:id="rId852" ref="I892"/>
    <hyperlink r:id="rId853" ref="I893"/>
    <hyperlink r:id="rId854" ref="I894"/>
    <hyperlink r:id="rId855" ref="I895"/>
    <hyperlink r:id="rId856" ref="I896"/>
    <hyperlink r:id="rId857" ref="I897"/>
    <hyperlink r:id="rId858" ref="I898"/>
    <hyperlink r:id="rId859" ref="I899"/>
    <hyperlink r:id="rId860" ref="I900"/>
    <hyperlink r:id="rId861" ref="I901"/>
    <hyperlink r:id="rId862" ref="I902"/>
    <hyperlink r:id="rId863" ref="I903"/>
    <hyperlink r:id="rId864" ref="I904"/>
    <hyperlink r:id="rId865" ref="I905"/>
    <hyperlink r:id="rId866" ref="I906"/>
    <hyperlink r:id="rId867" ref="I907"/>
    <hyperlink r:id="rId868" ref="I908"/>
    <hyperlink r:id="rId869" ref="I909"/>
    <hyperlink r:id="rId870" ref="I910"/>
    <hyperlink r:id="rId871" ref="I913"/>
    <hyperlink r:id="rId872" ref="I914"/>
    <hyperlink r:id="rId873" ref="I915"/>
    <hyperlink r:id="rId874" ref="I916"/>
    <hyperlink r:id="rId875" ref="I917"/>
    <hyperlink r:id="rId876" ref="I918"/>
    <hyperlink r:id="rId877" ref="I919"/>
    <hyperlink r:id="rId878" ref="I920"/>
    <hyperlink r:id="rId879" ref="I921"/>
    <hyperlink r:id="rId880" ref="I922"/>
    <hyperlink r:id="rId881" ref="I923"/>
    <hyperlink r:id="rId882" ref="I924"/>
    <hyperlink r:id="rId883" ref="I925"/>
    <hyperlink r:id="rId884" ref="I926"/>
    <hyperlink r:id="rId885" ref="I927"/>
    <hyperlink r:id="rId886" ref="I928"/>
    <hyperlink r:id="rId887" ref="I940"/>
    <hyperlink r:id="rId888" ref="I941"/>
    <hyperlink r:id="rId889" ref="I942"/>
    <hyperlink r:id="rId890" ref="I943"/>
    <hyperlink r:id="rId891" ref="I944"/>
    <hyperlink r:id="rId892" ref="I946"/>
    <hyperlink r:id="rId893" ref="I947"/>
    <hyperlink r:id="rId894" ref="I948"/>
    <hyperlink r:id="rId895" ref="I949"/>
    <hyperlink r:id="rId896" ref="I950"/>
    <hyperlink r:id="rId897" ref="I951"/>
    <hyperlink r:id="rId898" ref="I952"/>
    <hyperlink r:id="rId899" ref="I953"/>
    <hyperlink r:id="rId900" ref="I954"/>
    <hyperlink r:id="rId901" ref="I955"/>
    <hyperlink r:id="rId902" ref="I956"/>
    <hyperlink r:id="rId903" ref="I957"/>
    <hyperlink r:id="rId904" ref="I958"/>
    <hyperlink r:id="rId905" ref="I959"/>
    <hyperlink r:id="rId906" ref="I960"/>
    <hyperlink r:id="rId907" ref="I961"/>
    <hyperlink r:id="rId908" ref="I962"/>
    <hyperlink r:id="rId909" ref="I963"/>
    <hyperlink r:id="rId910" ref="I964"/>
    <hyperlink r:id="rId911" ref="I965"/>
    <hyperlink r:id="rId912" ref="I966"/>
    <hyperlink r:id="rId913" ref="I967"/>
    <hyperlink r:id="rId914" ref="I968"/>
    <hyperlink r:id="rId915" ref="I969"/>
    <hyperlink r:id="rId916" ref="I970"/>
    <hyperlink r:id="rId917" ref="I971"/>
    <hyperlink r:id="rId918" ref="I972"/>
    <hyperlink r:id="rId919" ref="I973"/>
    <hyperlink r:id="rId920" ref="I974"/>
    <hyperlink r:id="rId921" ref="I975"/>
    <hyperlink r:id="rId922" ref="I976"/>
    <hyperlink r:id="rId923" ref="I977"/>
    <hyperlink r:id="rId924" ref="I978"/>
    <hyperlink r:id="rId925" ref="I979"/>
    <hyperlink r:id="rId926" ref="I980"/>
    <hyperlink r:id="rId927" ref="I981"/>
    <hyperlink r:id="rId928" ref="I982"/>
    <hyperlink r:id="rId929" ref="I983"/>
    <hyperlink r:id="rId930" ref="I984"/>
    <hyperlink r:id="rId931" ref="I986"/>
    <hyperlink r:id="rId932" ref="I987"/>
    <hyperlink r:id="rId933" ref="I988"/>
    <hyperlink r:id="rId934" ref="I989"/>
    <hyperlink r:id="rId935" ref="I990"/>
    <hyperlink r:id="rId936" ref="I991"/>
    <hyperlink r:id="rId937" ref="I992"/>
    <hyperlink r:id="rId938" ref="I993"/>
    <hyperlink r:id="rId939" ref="I994"/>
    <hyperlink r:id="rId940" ref="I995"/>
    <hyperlink r:id="rId941" ref="I996"/>
    <hyperlink r:id="rId942" ref="I997"/>
    <hyperlink r:id="rId943" ref="I998"/>
    <hyperlink r:id="rId944" ref="I999"/>
    <hyperlink r:id="rId945" ref="I1000"/>
    <hyperlink r:id="rId946" ref="I1001"/>
    <hyperlink r:id="rId947" ref="I1002"/>
    <hyperlink r:id="rId948" ref="I1003"/>
    <hyperlink r:id="rId949" ref="I1004"/>
    <hyperlink r:id="rId950" ref="I1010"/>
    <hyperlink r:id="rId951" ref="I1011"/>
    <hyperlink r:id="rId952" ref="I1012"/>
    <hyperlink r:id="rId953" ref="I1013"/>
    <hyperlink r:id="rId954" ref="I1014"/>
    <hyperlink r:id="rId955" ref="I1015"/>
    <hyperlink r:id="rId956" ref="I1016"/>
    <hyperlink r:id="rId957" ref="I1017"/>
    <hyperlink r:id="rId958" ref="I1018"/>
    <hyperlink r:id="rId959" ref="I1019"/>
    <hyperlink r:id="rId960" ref="I1020"/>
    <hyperlink r:id="rId961" ref="I1021"/>
    <hyperlink r:id="rId962" ref="I1022"/>
    <hyperlink r:id="rId963" ref="I1025"/>
    <hyperlink r:id="rId964" ref="I1026"/>
    <hyperlink r:id="rId965" ref="I1027"/>
    <hyperlink r:id="rId966" ref="I1028"/>
    <hyperlink r:id="rId967" ref="I1029"/>
    <hyperlink r:id="rId968" ref="I1030"/>
    <hyperlink r:id="rId969" ref="I1031"/>
    <hyperlink r:id="rId970" ref="I1032"/>
    <hyperlink r:id="rId971" ref="I1033"/>
    <hyperlink r:id="rId972" ref="I1034"/>
    <hyperlink r:id="rId973" ref="I1035"/>
    <hyperlink r:id="rId974" ref="I1036"/>
    <hyperlink r:id="rId975" ref="I1037"/>
    <hyperlink r:id="rId976" ref="I1038"/>
    <hyperlink r:id="rId977" ref="I1039"/>
    <hyperlink r:id="rId978" ref="I1040"/>
    <hyperlink r:id="rId979" ref="I1041"/>
    <hyperlink r:id="rId980" ref="I1042"/>
    <hyperlink r:id="rId981" ref="I1043"/>
    <hyperlink r:id="rId982" ref="I1044"/>
    <hyperlink r:id="rId983" ref="I1045"/>
    <hyperlink r:id="rId984" ref="I1046"/>
    <hyperlink r:id="rId985" ref="I1047"/>
    <hyperlink r:id="rId986" ref="I1048"/>
    <hyperlink r:id="rId987" ref="I1049"/>
    <hyperlink r:id="rId988" ref="I1057"/>
    <hyperlink r:id="rId989" ref="I1061"/>
    <hyperlink r:id="rId990" ref="I1066"/>
    <hyperlink r:id="rId991" ref="I1074"/>
    <hyperlink r:id="rId992" ref="I1075"/>
    <hyperlink r:id="rId993" ref="I1076"/>
    <hyperlink r:id="rId994" ref="I1077"/>
    <hyperlink r:id="rId995" ref="I1078"/>
    <hyperlink r:id="rId996" ref="I1079"/>
    <hyperlink r:id="rId997" ref="I1080"/>
    <hyperlink r:id="rId998" ref="I1081"/>
    <hyperlink r:id="rId999" ref="I1082"/>
    <hyperlink r:id="rId1000" ref="I1083"/>
    <hyperlink r:id="rId1001" ref="I1084"/>
    <hyperlink r:id="rId1002" ref="I1085"/>
    <hyperlink r:id="rId1003" ref="I1086"/>
    <hyperlink r:id="rId1004" ref="I1087"/>
    <hyperlink r:id="rId1005" ref="I1088"/>
    <hyperlink r:id="rId1006" ref="I1089"/>
    <hyperlink r:id="rId1007" ref="I1090"/>
    <hyperlink r:id="rId1008" ref="I1091"/>
    <hyperlink r:id="rId1009" ref="I1092"/>
    <hyperlink r:id="rId1010" ref="I1093"/>
    <hyperlink r:id="rId1011" ref="I1094"/>
    <hyperlink r:id="rId1012" ref="I1095"/>
    <hyperlink r:id="rId1013" ref="I1096"/>
    <hyperlink r:id="rId1014" ref="I1097"/>
    <hyperlink r:id="rId1015" ref="I1098"/>
    <hyperlink r:id="rId1016" ref="I1099"/>
    <hyperlink r:id="rId1017" ref="I1100"/>
    <hyperlink r:id="rId1018" ref="I1101"/>
    <hyperlink r:id="rId1019" ref="I1102"/>
    <hyperlink r:id="rId1020" ref="I1103"/>
    <hyperlink r:id="rId1021" ref="I1104"/>
    <hyperlink r:id="rId1022" ref="I1105"/>
    <hyperlink r:id="rId1023" ref="I1106"/>
    <hyperlink r:id="rId1024" ref="I1107"/>
    <hyperlink r:id="rId1025" ref="I1108"/>
    <hyperlink r:id="rId1026" ref="I1109"/>
    <hyperlink r:id="rId1027" ref="I1110"/>
    <hyperlink r:id="rId1028" ref="I1111"/>
    <hyperlink r:id="rId1029" ref="I1112"/>
    <hyperlink r:id="rId1030" ref="I1113"/>
    <hyperlink r:id="rId1031" ref="I1114"/>
    <hyperlink r:id="rId1032" ref="I1115"/>
    <hyperlink r:id="rId1033" ref="I1116"/>
    <hyperlink r:id="rId1034" ref="I1117"/>
    <hyperlink r:id="rId1035" ref="I1118"/>
    <hyperlink r:id="rId1036" ref="I1119"/>
    <hyperlink r:id="rId1037" ref="I1121"/>
    <hyperlink r:id="rId1038" ref="I1122"/>
    <hyperlink r:id="rId1039" ref="I1123"/>
    <hyperlink r:id="rId1040" ref="I1124"/>
    <hyperlink r:id="rId1041" ref="I1125"/>
    <hyperlink r:id="rId1042" ref="I1126"/>
    <hyperlink r:id="rId1043" ref="I1127"/>
    <hyperlink r:id="rId1044" ref="I1128"/>
    <hyperlink r:id="rId1045" ref="I1129"/>
    <hyperlink r:id="rId1046" ref="I1130"/>
    <hyperlink r:id="rId1047" ref="I1131"/>
    <hyperlink r:id="rId1048" ref="I1138"/>
    <hyperlink r:id="rId1049" ref="I1139"/>
    <hyperlink r:id="rId1050" ref="I1140"/>
    <hyperlink r:id="rId1051" ref="I1141"/>
    <hyperlink r:id="rId1052" ref="I1142"/>
    <hyperlink r:id="rId1053" ref="I1143"/>
    <hyperlink r:id="rId1054" ref="I1144"/>
    <hyperlink r:id="rId1055" ref="I1145"/>
    <hyperlink r:id="rId1056" ref="I1146"/>
    <hyperlink r:id="rId1057" ref="I1147"/>
    <hyperlink r:id="rId1058" ref="I1148"/>
    <hyperlink r:id="rId1059" ref="I1149"/>
    <hyperlink r:id="rId1060" ref="I1151"/>
    <hyperlink r:id="rId1061" ref="I1152"/>
    <hyperlink r:id="rId1062" ref="I1153"/>
    <hyperlink r:id="rId1063" ref="I1154"/>
    <hyperlink r:id="rId1064" ref="I1156"/>
    <hyperlink r:id="rId1065" ref="I1157"/>
    <hyperlink r:id="rId1066" ref="I1158"/>
    <hyperlink r:id="rId1067" ref="I1160"/>
    <hyperlink r:id="rId1068" ref="I1161"/>
    <hyperlink r:id="rId1069" ref="I1163"/>
    <hyperlink r:id="rId1070" ref="I1164"/>
    <hyperlink r:id="rId1071" ref="I1165"/>
    <hyperlink r:id="rId1072" ref="I1166"/>
    <hyperlink r:id="rId1073" ref="I1167"/>
    <hyperlink r:id="rId1074" ref="I1168"/>
    <hyperlink r:id="rId1075" ref="I1169"/>
    <hyperlink r:id="rId1076" ref="I1170"/>
    <hyperlink r:id="rId1077" ref="I1171"/>
    <hyperlink r:id="rId1078" ref="I1172"/>
    <hyperlink r:id="rId1079" ref="I1173"/>
    <hyperlink r:id="rId1080" ref="I1174"/>
    <hyperlink r:id="rId1081" ref="I1175"/>
    <hyperlink r:id="rId1082" ref="I1176"/>
    <hyperlink r:id="rId1083" ref="I1177"/>
    <hyperlink r:id="rId1084" ref="I1178"/>
    <hyperlink r:id="rId1085" ref="I1179"/>
    <hyperlink r:id="rId1086" ref="I1180"/>
    <hyperlink r:id="rId1087" ref="I1181"/>
    <hyperlink r:id="rId1088" ref="I1190"/>
    <hyperlink r:id="rId1089" ref="I1191"/>
    <hyperlink r:id="rId1090" ref="I1192"/>
    <hyperlink r:id="rId1091" ref="I1194"/>
    <hyperlink r:id="rId1092" ref="I1195"/>
    <hyperlink r:id="rId1093" ref="I1196"/>
    <hyperlink r:id="rId1094" ref="I1197"/>
    <hyperlink r:id="rId1095" ref="I1198"/>
    <hyperlink r:id="rId1096" ref="I1199"/>
    <hyperlink r:id="rId1097" ref="I1200"/>
    <hyperlink r:id="rId1098" ref="I1201"/>
    <hyperlink r:id="rId1099" ref="I1202"/>
    <hyperlink r:id="rId1100" ref="I1203"/>
    <hyperlink r:id="rId1101" ref="I1208"/>
    <hyperlink r:id="rId1102" ref="I1209"/>
    <hyperlink r:id="rId1103" ref="I1214"/>
    <hyperlink r:id="rId1104" ref="I1215"/>
    <hyperlink r:id="rId1105" ref="I1216"/>
    <hyperlink r:id="rId1106" ref="I1217"/>
    <hyperlink r:id="rId1107" ref="I1218"/>
    <hyperlink r:id="rId1108" ref="I1226"/>
    <hyperlink r:id="rId1109" ref="I1227"/>
    <hyperlink r:id="rId1110" ref="I1228"/>
    <hyperlink r:id="rId1111" ref="I1238"/>
    <hyperlink r:id="rId1112" ref="I1239"/>
    <hyperlink r:id="rId1113" ref="I1240"/>
    <hyperlink r:id="rId1114" ref="I1241"/>
    <hyperlink r:id="rId1115" ref="I1242"/>
    <hyperlink r:id="rId1116" ref="I1243"/>
    <hyperlink r:id="rId1117" ref="I1244"/>
    <hyperlink r:id="rId1118" ref="I1245"/>
    <hyperlink r:id="rId1119" ref="I1265"/>
    <hyperlink r:id="rId1120" ref="I1266"/>
    <hyperlink r:id="rId1121" ref="I1267"/>
    <hyperlink r:id="rId1122" ref="I1268"/>
    <hyperlink r:id="rId1123" ref="I1269"/>
    <hyperlink r:id="rId1124" ref="I1270"/>
    <hyperlink r:id="rId1125" ref="I1271"/>
    <hyperlink r:id="rId1126" ref="I1272"/>
    <hyperlink r:id="rId1127" ref="I1273"/>
    <hyperlink r:id="rId1128" ref="I1274"/>
    <hyperlink r:id="rId1129" ref="I1275"/>
    <hyperlink r:id="rId1130" ref="I1276"/>
    <hyperlink r:id="rId1131" ref="I1277"/>
    <hyperlink r:id="rId1132" ref="I1278"/>
    <hyperlink r:id="rId1133" ref="I1279"/>
    <hyperlink r:id="rId1134" ref="I1280"/>
    <hyperlink r:id="rId1135" ref="I1281"/>
    <hyperlink r:id="rId1136" ref="I1282"/>
    <hyperlink r:id="rId1137" ref="I1283"/>
    <hyperlink r:id="rId1138" ref="I1284"/>
    <hyperlink r:id="rId1139" ref="I1285"/>
    <hyperlink r:id="rId1140" ref="I1286"/>
    <hyperlink r:id="rId1141" ref="I1287"/>
    <hyperlink r:id="rId1142" ref="I1288"/>
    <hyperlink r:id="rId1143" ref="I1289"/>
    <hyperlink r:id="rId1144" ref="I1290"/>
    <hyperlink r:id="rId1145" ref="I1291"/>
    <hyperlink r:id="rId1146" ref="I1292"/>
    <hyperlink r:id="rId1147" ref="I1293"/>
    <hyperlink r:id="rId1148" ref="I1294"/>
    <hyperlink r:id="rId1149" ref="I1295"/>
    <hyperlink r:id="rId1150" ref="I1296"/>
    <hyperlink r:id="rId1151" ref="I1297"/>
    <hyperlink r:id="rId1152" ref="I1300"/>
    <hyperlink r:id="rId1153" ref="I1301"/>
    <hyperlink r:id="rId1154" ref="I1302"/>
    <hyperlink r:id="rId1155" ref="I1303"/>
    <hyperlink r:id="rId1156" ref="I1304"/>
    <hyperlink r:id="rId1157" ref="I1305"/>
    <hyperlink r:id="rId1158" ref="I1306"/>
    <hyperlink r:id="rId1159" ref="I1307"/>
    <hyperlink r:id="rId1160" ref="I1314"/>
    <hyperlink r:id="rId1161" ref="I1315"/>
    <hyperlink r:id="rId1162" ref="I1316"/>
    <hyperlink r:id="rId1163" ref="I1317"/>
    <hyperlink r:id="rId1164" ref="I1318"/>
    <hyperlink r:id="rId1165" ref="I1320"/>
    <hyperlink r:id="rId1166" ref="I1321"/>
    <hyperlink r:id="rId1167" ref="I1322"/>
    <hyperlink r:id="rId1168" ref="I1323"/>
    <hyperlink r:id="rId1169" ref="I1324"/>
    <hyperlink r:id="rId1170" ref="I1325"/>
    <hyperlink r:id="rId1171" ref="I1326"/>
    <hyperlink r:id="rId1172" ref="I1327"/>
    <hyperlink r:id="rId1173" ref="I1328"/>
    <hyperlink r:id="rId1174" ref="I1329"/>
    <hyperlink r:id="rId1175" ref="I1330"/>
    <hyperlink r:id="rId1176" ref="I1340"/>
    <hyperlink r:id="rId1177" ref="I1341"/>
    <hyperlink r:id="rId1178" ref="I1342"/>
    <hyperlink r:id="rId1179" ref="I1343"/>
    <hyperlink r:id="rId1180" ref="I1344"/>
    <hyperlink r:id="rId1181" ref="I1345"/>
    <hyperlink r:id="rId1182" ref="I1346"/>
    <hyperlink r:id="rId1183" ref="I1347"/>
    <hyperlink r:id="rId1184" ref="I1348"/>
    <hyperlink r:id="rId1185" ref="I1349"/>
    <hyperlink r:id="rId1186" ref="I1350"/>
    <hyperlink r:id="rId1187" ref="I1351"/>
    <hyperlink r:id="rId1188" ref="I1352"/>
    <hyperlink r:id="rId1189" ref="I1353"/>
    <hyperlink r:id="rId1190" ref="I1354"/>
    <hyperlink r:id="rId1191" ref="I1360"/>
    <hyperlink r:id="rId1192" ref="I1361"/>
    <hyperlink r:id="rId1193" ref="I1362"/>
    <hyperlink r:id="rId1194" ref="I1366"/>
    <hyperlink r:id="rId1195" ref="I1371"/>
    <hyperlink r:id="rId1196" ref="I1382"/>
    <hyperlink r:id="rId1197" ref="I1405"/>
    <hyperlink r:id="rId1198" ref="I1406"/>
    <hyperlink r:id="rId1199" ref="I1407"/>
    <hyperlink r:id="rId1200" ref="I1408"/>
    <hyperlink r:id="rId1201" ref="I1409"/>
    <hyperlink r:id="rId1202" ref="I1410"/>
    <hyperlink r:id="rId1203" ref="I1411"/>
    <hyperlink r:id="rId1204" ref="I1412"/>
    <hyperlink r:id="rId1205" ref="I1413"/>
    <hyperlink r:id="rId1206" ref="I1414"/>
    <hyperlink r:id="rId1207" ref="I1415"/>
    <hyperlink r:id="rId1208" ref="I1416"/>
    <hyperlink r:id="rId1209" ref="I1417"/>
    <hyperlink r:id="rId1210" ref="I1418"/>
    <hyperlink r:id="rId1211" ref="I1419"/>
    <hyperlink r:id="rId1212" ref="I1420"/>
    <hyperlink r:id="rId1213" ref="I1421"/>
    <hyperlink r:id="rId1214" ref="I1422"/>
    <hyperlink r:id="rId1215" ref="I1423"/>
    <hyperlink r:id="rId1216" ref="I1424"/>
    <hyperlink r:id="rId1217" ref="I1425"/>
    <hyperlink r:id="rId1218" ref="I1426"/>
    <hyperlink r:id="rId1219" ref="I1427"/>
    <hyperlink r:id="rId1220" ref="I1428"/>
    <hyperlink r:id="rId1221" ref="I1429"/>
    <hyperlink r:id="rId1222" ref="I1430"/>
    <hyperlink r:id="rId1223" ref="I1431"/>
    <hyperlink r:id="rId1224" ref="I1432"/>
    <hyperlink r:id="rId1225" ref="I1433"/>
    <hyperlink r:id="rId1226" ref="I1434"/>
    <hyperlink r:id="rId1227" ref="I1435"/>
    <hyperlink r:id="rId1228" ref="I1436"/>
    <hyperlink r:id="rId1229" ref="I1437"/>
    <hyperlink r:id="rId1230" ref="I1438"/>
    <hyperlink r:id="rId1231" ref="I1439"/>
    <hyperlink r:id="rId1232" ref="I1441"/>
    <hyperlink r:id="rId1233" ref="I1442"/>
    <hyperlink r:id="rId1234" ref="I1444"/>
    <hyperlink r:id="rId1235" ref="I1445"/>
    <hyperlink r:id="rId1236" ref="I1446"/>
    <hyperlink r:id="rId1237" ref="I1447"/>
    <hyperlink r:id="rId1238" ref="I1448"/>
    <hyperlink r:id="rId1239" ref="I1449"/>
    <hyperlink r:id="rId1240" ref="I1450"/>
    <hyperlink r:id="rId1241" ref="I1452"/>
    <hyperlink r:id="rId1242" ref="I1458"/>
    <hyperlink r:id="rId1243" ref="I1459"/>
    <hyperlink r:id="rId1244" ref="I1462"/>
    <hyperlink r:id="rId1245" ref="I1463"/>
    <hyperlink r:id="rId1246" ref="I1464"/>
    <hyperlink r:id="rId1247" ref="I1465"/>
    <hyperlink r:id="rId1248" ref="I1466"/>
    <hyperlink r:id="rId1249" ref="I1467"/>
    <hyperlink r:id="rId1250" ref="I1468"/>
    <hyperlink r:id="rId1251" ref="I1469"/>
    <hyperlink r:id="rId1252" ref="I1470"/>
    <hyperlink r:id="rId1253" ref="I1471"/>
    <hyperlink r:id="rId1254" ref="I1475"/>
    <hyperlink r:id="rId1255" ref="I1476"/>
    <hyperlink r:id="rId1256" ref="I1477"/>
    <hyperlink r:id="rId1257" ref="I1478"/>
    <hyperlink r:id="rId1258" ref="I1479"/>
    <hyperlink r:id="rId1259" ref="I1481"/>
    <hyperlink r:id="rId1260" ref="I1482"/>
    <hyperlink r:id="rId1261" ref="I1483"/>
    <hyperlink r:id="rId1262" ref="I1484"/>
    <hyperlink r:id="rId1263" ref="I1485"/>
    <hyperlink r:id="rId1264" ref="I1486"/>
    <hyperlink r:id="rId1265" ref="I1487"/>
    <hyperlink r:id="rId1266" ref="I1488"/>
    <hyperlink r:id="rId1267" ref="I1489"/>
    <hyperlink r:id="rId1268" ref="I1490"/>
    <hyperlink r:id="rId1269" ref="I1491"/>
    <hyperlink r:id="rId1270" ref="I1495"/>
    <hyperlink r:id="rId1271" ref="I1503"/>
    <hyperlink r:id="rId1272" ref="I1504"/>
    <hyperlink r:id="rId1273" ref="I1505"/>
    <hyperlink r:id="rId1274" ref="I1506"/>
    <hyperlink r:id="rId1275" ref="I1507"/>
    <hyperlink r:id="rId1276" ref="I1508"/>
    <hyperlink r:id="rId1277" ref="I1509"/>
    <hyperlink r:id="rId1278" ref="I1510"/>
    <hyperlink r:id="rId1279" ref="I1513"/>
    <hyperlink r:id="rId1280" ref="I1514"/>
    <hyperlink r:id="rId1281" ref="I1515"/>
    <hyperlink r:id="rId1282" ref="I1516"/>
    <hyperlink r:id="rId1283" ref="I1517"/>
    <hyperlink r:id="rId1284" ref="I1518"/>
    <hyperlink r:id="rId1285" ref="I1519"/>
    <hyperlink r:id="rId1286" ref="I1520"/>
    <hyperlink r:id="rId1287" ref="I1521"/>
    <hyperlink r:id="rId1288" ref="I1522"/>
    <hyperlink r:id="rId1289" ref="I1523"/>
    <hyperlink r:id="rId1290" ref="I1529"/>
    <hyperlink r:id="rId1291" ref="I1530"/>
    <hyperlink r:id="rId1292" ref="I1531"/>
    <hyperlink r:id="rId1293" ref="I1532"/>
    <hyperlink r:id="rId1294" ref="I1533"/>
    <hyperlink r:id="rId1295" ref="I1534"/>
    <hyperlink r:id="rId1296" ref="I1535"/>
    <hyperlink r:id="rId1297" ref="I1541"/>
    <hyperlink r:id="rId1298" ref="I1542"/>
    <hyperlink r:id="rId1299" ref="I1543"/>
    <hyperlink r:id="rId1300" ref="I1546"/>
    <hyperlink r:id="rId1301" ref="I1547"/>
    <hyperlink r:id="rId1302" ref="I1553"/>
    <hyperlink r:id="rId1303" ref="I1554"/>
    <hyperlink r:id="rId1304" ref="I1558"/>
    <hyperlink r:id="rId1305" ref="I1559"/>
    <hyperlink r:id="rId1306" ref="I1560"/>
    <hyperlink r:id="rId1307" ref="I1567"/>
    <hyperlink r:id="rId1308" ref="I1601"/>
    <hyperlink r:id="rId1309" ref="I1605"/>
    <hyperlink r:id="rId1310" ref="I1606"/>
    <hyperlink r:id="rId1311" ref="I1607"/>
    <hyperlink r:id="rId1312" ref="I1608"/>
    <hyperlink r:id="rId1313" ref="I1609"/>
    <hyperlink r:id="rId1314" ref="I1610"/>
    <hyperlink r:id="rId1315" ref="I1611"/>
    <hyperlink r:id="rId1316" ref="I1612"/>
    <hyperlink r:id="rId1317" ref="I1613"/>
    <hyperlink r:id="rId1318" ref="I1614"/>
    <hyperlink r:id="rId1319" ref="I1615"/>
    <hyperlink r:id="rId1320" ref="I1616"/>
    <hyperlink r:id="rId1321" ref="I1617"/>
    <hyperlink r:id="rId1322" ref="I1618"/>
    <hyperlink r:id="rId1323" ref="I1619"/>
    <hyperlink r:id="rId1324" ref="I1620"/>
    <hyperlink r:id="rId1325" ref="I1621"/>
    <hyperlink r:id="rId1326" ref="I1622"/>
    <hyperlink r:id="rId1327" ref="I1623"/>
    <hyperlink r:id="rId1328" ref="I1625"/>
    <hyperlink r:id="rId1329" ref="I1626"/>
    <hyperlink r:id="rId1330" ref="I1627"/>
    <hyperlink r:id="rId1331" ref="I1628"/>
    <hyperlink r:id="rId1332" ref="I1629"/>
    <hyperlink r:id="rId1333" ref="I1631"/>
    <hyperlink r:id="rId1334" ref="I1632"/>
    <hyperlink r:id="rId1335" ref="I1633"/>
    <hyperlink r:id="rId1336" ref="I1634"/>
    <hyperlink r:id="rId1337" ref="I1635"/>
    <hyperlink r:id="rId1338" ref="I1639"/>
    <hyperlink r:id="rId1339" ref="I1640"/>
    <hyperlink r:id="rId1340" ref="I1641"/>
    <hyperlink r:id="rId1341" ref="I1642"/>
    <hyperlink r:id="rId1342" ref="I1643"/>
    <hyperlink r:id="rId1343" ref="I1644"/>
    <hyperlink r:id="rId1344" ref="I1645"/>
    <hyperlink r:id="rId1345" ref="I1646"/>
    <hyperlink r:id="rId1346" ref="I1647"/>
    <hyperlink r:id="rId1347" ref="I1648"/>
    <hyperlink r:id="rId1348" ref="I1649"/>
    <hyperlink r:id="rId1349" ref="I1650"/>
    <hyperlink r:id="rId1350" ref="I1651"/>
    <hyperlink r:id="rId1351" ref="I1657"/>
    <hyperlink r:id="rId1352" ref="I1658"/>
    <hyperlink r:id="rId1353" ref="I1659"/>
    <hyperlink r:id="rId1354" ref="I1660"/>
    <hyperlink r:id="rId1355" ref="I1661"/>
    <hyperlink r:id="rId1356" ref="I1662"/>
    <hyperlink r:id="rId1357" ref="I1663"/>
    <hyperlink r:id="rId1358" ref="I1664"/>
    <hyperlink r:id="rId1359" ref="I1665"/>
    <hyperlink r:id="rId1360" ref="I1666"/>
    <hyperlink r:id="rId1361" ref="I1667"/>
    <hyperlink r:id="rId1362" ref="I1678"/>
    <hyperlink r:id="rId1363" ref="I1679"/>
    <hyperlink r:id="rId1364" ref="I1680"/>
    <hyperlink r:id="rId1365" ref="I1681"/>
    <hyperlink r:id="rId1366" ref="I1682"/>
    <hyperlink r:id="rId1367" ref="I1683"/>
    <hyperlink r:id="rId1368" ref="I1684"/>
    <hyperlink r:id="rId1369" ref="I1685"/>
    <hyperlink r:id="rId1370" ref="I1686"/>
    <hyperlink r:id="rId1371" ref="I1687"/>
    <hyperlink r:id="rId1372" ref="I1688"/>
    <hyperlink r:id="rId1373" ref="I1689"/>
    <hyperlink r:id="rId1374" ref="I1690"/>
    <hyperlink r:id="rId1375" ref="I1691"/>
    <hyperlink r:id="rId1376" ref="I1692"/>
    <hyperlink r:id="rId1377" ref="I1693"/>
    <hyperlink r:id="rId1378" ref="I1694"/>
    <hyperlink r:id="rId1379" ref="I1695"/>
    <hyperlink r:id="rId1380" ref="I1700"/>
    <hyperlink r:id="rId1381" ref="I1701"/>
    <hyperlink r:id="rId1382" ref="I1702"/>
    <hyperlink r:id="rId1383" ref="I1706"/>
    <hyperlink r:id="rId1384" ref="I1707"/>
    <hyperlink r:id="rId1385" ref="I1708"/>
    <hyperlink r:id="rId1386" ref="I1711"/>
    <hyperlink r:id="rId1387" ref="I1712"/>
    <hyperlink r:id="rId1388" ref="I1713"/>
    <hyperlink r:id="rId1389" ref="I1714"/>
    <hyperlink r:id="rId1390" ref="I1715"/>
    <hyperlink r:id="rId1391" ref="I1716"/>
    <hyperlink r:id="rId1392" ref="I1717"/>
    <hyperlink r:id="rId1393" ref="I1718"/>
    <hyperlink r:id="rId1394" ref="I1719"/>
    <hyperlink r:id="rId1395" ref="I1722"/>
    <hyperlink r:id="rId1396" ref="I1723"/>
    <hyperlink r:id="rId1397" ref="I1726"/>
    <hyperlink r:id="rId1398" ref="I1727"/>
    <hyperlink r:id="rId1399" ref="I1728"/>
    <hyperlink r:id="rId1400" ref="I1736"/>
    <hyperlink r:id="rId1401" ref="I1737"/>
    <hyperlink r:id="rId1402" ref="I1738"/>
    <hyperlink r:id="rId1403" ref="I1739"/>
    <hyperlink r:id="rId1404" ref="I1740"/>
    <hyperlink r:id="rId1405" ref="I1741"/>
    <hyperlink r:id="rId1406" ref="I1742"/>
    <hyperlink r:id="rId1407" ref="I1743"/>
    <hyperlink r:id="rId1408" ref="I1744"/>
    <hyperlink r:id="rId1409" ref="I1745"/>
    <hyperlink r:id="rId1410" ref="I1746"/>
    <hyperlink r:id="rId1411" ref="I1747"/>
    <hyperlink r:id="rId1412" ref="I1748"/>
    <hyperlink r:id="rId1413" ref="I1749"/>
    <hyperlink r:id="rId1414" ref="I1750"/>
    <hyperlink r:id="rId1415" ref="I1751"/>
    <hyperlink r:id="rId1416" ref="I1752"/>
    <hyperlink r:id="rId1417" ref="I1753"/>
    <hyperlink r:id="rId1418" ref="I1755"/>
    <hyperlink r:id="rId1419" ref="I1756"/>
    <hyperlink r:id="rId1420" ref="I1757"/>
    <hyperlink r:id="rId1421" ref="I1758"/>
    <hyperlink r:id="rId1422" ref="I1759"/>
    <hyperlink r:id="rId1423" ref="I1760"/>
    <hyperlink r:id="rId1424" ref="I1763"/>
    <hyperlink r:id="rId1425" ref="I1764"/>
    <hyperlink r:id="rId1426" ref="I1765"/>
    <hyperlink r:id="rId1427" ref="I1766"/>
    <hyperlink r:id="rId1428" ref="I1767"/>
    <hyperlink r:id="rId1429" ref="I1771"/>
    <hyperlink r:id="rId1430" ref="I1772"/>
    <hyperlink r:id="rId1431" ref="I1774"/>
    <hyperlink r:id="rId1432" ref="I1775"/>
    <hyperlink r:id="rId1433" ref="I1779"/>
    <hyperlink r:id="rId1434" ref="I1782"/>
    <hyperlink r:id="rId1435" ref="I1783"/>
    <hyperlink r:id="rId1436" ref="I1786"/>
    <hyperlink r:id="rId1437" ref="I1787"/>
    <hyperlink r:id="rId1438" ref="I1791"/>
    <hyperlink r:id="rId1439" ref="I1792"/>
    <hyperlink r:id="rId1440" ref="I1793"/>
    <hyperlink r:id="rId1441" ref="I1794"/>
    <hyperlink r:id="rId1442" ref="I1795"/>
    <hyperlink r:id="rId1443" ref="I1796"/>
    <hyperlink r:id="rId1444" ref="I1797"/>
    <hyperlink r:id="rId1445" ref="I1798"/>
    <hyperlink r:id="rId1446" ref="I1799"/>
    <hyperlink r:id="rId1447" ref="I1800"/>
    <hyperlink r:id="rId1448" ref="I1801"/>
    <hyperlink r:id="rId1449" ref="I1802"/>
    <hyperlink r:id="rId1450" ref="I1803"/>
    <hyperlink r:id="rId1451" ref="I1804"/>
    <hyperlink r:id="rId1452" ref="I1805"/>
    <hyperlink r:id="rId1453" ref="I1806"/>
    <hyperlink r:id="rId1454" ref="I1807"/>
    <hyperlink r:id="rId1455" ref="I1808"/>
    <hyperlink r:id="rId1456" ref="I1809"/>
    <hyperlink r:id="rId1457" ref="I1810"/>
    <hyperlink r:id="rId1458" ref="I1811"/>
    <hyperlink r:id="rId1459" ref="I1812"/>
    <hyperlink r:id="rId1460" ref="I1813"/>
    <hyperlink r:id="rId1461" ref="I1814"/>
    <hyperlink r:id="rId1462" ref="I1815"/>
    <hyperlink r:id="rId1463" ref="I1816"/>
    <hyperlink r:id="rId1464" ref="I1817"/>
    <hyperlink r:id="rId1465" ref="I1818"/>
    <hyperlink r:id="rId1466" ref="I1819"/>
    <hyperlink r:id="rId1467" ref="I1820"/>
    <hyperlink r:id="rId1468" ref="I1821"/>
    <hyperlink r:id="rId1469" ref="I1822"/>
    <hyperlink r:id="rId1470" ref="I1823"/>
    <hyperlink r:id="rId1471" ref="I1824"/>
    <hyperlink r:id="rId1472" ref="I1825"/>
    <hyperlink r:id="rId1473" ref="I1826"/>
    <hyperlink r:id="rId1474" ref="I1827"/>
    <hyperlink r:id="rId1475" ref="I1828"/>
    <hyperlink r:id="rId1476" ref="I1829"/>
    <hyperlink r:id="rId1477" ref="I1830"/>
    <hyperlink r:id="rId1478" ref="I1840"/>
    <hyperlink r:id="rId1479" ref="I1841"/>
    <hyperlink r:id="rId1480" ref="I1842"/>
    <hyperlink r:id="rId1481" ref="I1843"/>
    <hyperlink r:id="rId1482" ref="I1844"/>
    <hyperlink r:id="rId1483" ref="I1845"/>
    <hyperlink r:id="rId1484" ref="I1846"/>
    <hyperlink r:id="rId1485" ref="I1847"/>
    <hyperlink r:id="rId1486" ref="I1848"/>
    <hyperlink r:id="rId1487" ref="I1849"/>
    <hyperlink r:id="rId1488" ref="I1850"/>
    <hyperlink r:id="rId1489" ref="I1851"/>
    <hyperlink r:id="rId1490" ref="I1852"/>
    <hyperlink r:id="rId1491" ref="I1853"/>
    <hyperlink r:id="rId1492" ref="I1854"/>
    <hyperlink r:id="rId1493" ref="I1855"/>
    <hyperlink r:id="rId1494" ref="I1874"/>
    <hyperlink r:id="rId1495" ref="I1875"/>
    <hyperlink r:id="rId1496" ref="I1876"/>
    <hyperlink r:id="rId1497" ref="I1877"/>
    <hyperlink r:id="rId1498" ref="I1878"/>
    <hyperlink r:id="rId1499" ref="I1879"/>
    <hyperlink r:id="rId1500" ref="I1880"/>
    <hyperlink r:id="rId1501" ref="I1881"/>
    <hyperlink r:id="rId1502" ref="I1921"/>
    <hyperlink r:id="rId1503" ref="I1923"/>
    <hyperlink r:id="rId1504" ref="I1924"/>
    <hyperlink r:id="rId1505" ref="I1925"/>
    <hyperlink r:id="rId1506" ref="I1926"/>
    <hyperlink r:id="rId1507" ref="I1927"/>
    <hyperlink r:id="rId1508" ref="I1928"/>
    <hyperlink r:id="rId1509" ref="I1929"/>
    <hyperlink r:id="rId1510" ref="I1930"/>
    <hyperlink r:id="rId1511" ref="I1931"/>
    <hyperlink r:id="rId1512" ref="I1932"/>
    <hyperlink r:id="rId1513" ref="I1933"/>
    <hyperlink r:id="rId1514" ref="I1943"/>
    <hyperlink r:id="rId1515" ref="I1944"/>
    <hyperlink r:id="rId1516" ref="I1945"/>
    <hyperlink r:id="rId1517" ref="I1946"/>
    <hyperlink r:id="rId1518" ref="I1947"/>
    <hyperlink r:id="rId1519" ref="I1948"/>
    <hyperlink r:id="rId1520" ref="I1949"/>
    <hyperlink r:id="rId1521" ref="I1950"/>
    <hyperlink r:id="rId1522" ref="I1951"/>
    <hyperlink r:id="rId1523" ref="I1952"/>
    <hyperlink r:id="rId1524" ref="I1953"/>
    <hyperlink r:id="rId1525" ref="I1954"/>
    <hyperlink r:id="rId1526" ref="I1955"/>
    <hyperlink r:id="rId1527" ref="I1960"/>
    <hyperlink r:id="rId1528" ref="I1961"/>
    <hyperlink r:id="rId1529" ref="I1962"/>
    <hyperlink r:id="rId1530" ref="I1963"/>
    <hyperlink r:id="rId1531" ref="I1964"/>
    <hyperlink r:id="rId1532" ref="I1965"/>
    <hyperlink r:id="rId1533" ref="I1966"/>
    <hyperlink r:id="rId1534" ref="I1967"/>
    <hyperlink r:id="rId1535" ref="I1968"/>
    <hyperlink r:id="rId1536" ref="I1969"/>
    <hyperlink r:id="rId1537" ref="I1970"/>
    <hyperlink r:id="rId1538" ref="I1987"/>
    <hyperlink r:id="rId1539" ref="I1988"/>
    <hyperlink r:id="rId1540" ref="I1989"/>
    <hyperlink r:id="rId1541" ref="I1990"/>
    <hyperlink r:id="rId1542" ref="I1991"/>
    <hyperlink r:id="rId1543" ref="I2002"/>
    <hyperlink r:id="rId1544" ref="I2003"/>
    <hyperlink r:id="rId1545" ref="I2004"/>
    <hyperlink r:id="rId1546" ref="I2049"/>
    <hyperlink r:id="rId1547" ref="I2050"/>
    <hyperlink r:id="rId1548" ref="I2051"/>
    <hyperlink r:id="rId1549" ref="I2052"/>
    <hyperlink r:id="rId1550" ref="I2053"/>
    <hyperlink r:id="rId1551" ref="I2054"/>
    <hyperlink r:id="rId1552" ref="I2068"/>
    <hyperlink r:id="rId1553" ref="I2069"/>
    <hyperlink r:id="rId1554" ref="I2070"/>
    <hyperlink r:id="rId1555" ref="I2071"/>
    <hyperlink r:id="rId1556" ref="I2072"/>
    <hyperlink r:id="rId1557" ref="I2073"/>
    <hyperlink r:id="rId1558" ref="I2074"/>
    <hyperlink r:id="rId1559" ref="I2075"/>
    <hyperlink r:id="rId1560" ref="I2076"/>
    <hyperlink r:id="rId1561" ref="I2077"/>
    <hyperlink r:id="rId1562" ref="I2078"/>
    <hyperlink r:id="rId1563" ref="I2079"/>
    <hyperlink r:id="rId1564" ref="I2096"/>
    <hyperlink r:id="rId1565" ref="I2097"/>
    <hyperlink r:id="rId1566" ref="I2098"/>
    <hyperlink r:id="rId1567" ref="I2099"/>
    <hyperlink r:id="rId1568" ref="I2100"/>
    <hyperlink r:id="rId1569" ref="I2101"/>
    <hyperlink r:id="rId1570" ref="I2102"/>
    <hyperlink r:id="rId1571" ref="I2103"/>
    <hyperlink r:id="rId1572" ref="I2104"/>
    <hyperlink r:id="rId1573" ref="I2262"/>
    <hyperlink r:id="rId1574" ref="I2263"/>
    <hyperlink r:id="rId1575" ref="I2264"/>
    <hyperlink r:id="rId1576" ref="I2265"/>
    <hyperlink r:id="rId1577" ref="I2270"/>
    <hyperlink r:id="rId1578" ref="I2271"/>
    <hyperlink r:id="rId1579" ref="I2272"/>
    <hyperlink r:id="rId1580" ref="I2273"/>
    <hyperlink r:id="rId1581" ref="I2274"/>
    <hyperlink r:id="rId1582" ref="I2275"/>
    <hyperlink r:id="rId1583" ref="I2295"/>
    <hyperlink r:id="rId1584" ref="I2296"/>
    <hyperlink r:id="rId1585" ref="I2297"/>
    <hyperlink r:id="rId1586" ref="I2298"/>
    <hyperlink r:id="rId1587" ref="I2299"/>
    <hyperlink r:id="rId1588" ref="I2300"/>
    <hyperlink r:id="rId1589" ref="I2364"/>
    <hyperlink r:id="rId1590" ref="I2365"/>
    <hyperlink r:id="rId1591" ref="I2398"/>
    <hyperlink r:id="rId1592" ref="I2399"/>
    <hyperlink r:id="rId1593" ref="I2537"/>
    <hyperlink r:id="rId1594" ref="I2538"/>
    <hyperlink r:id="rId1595" ref="I2611"/>
    <hyperlink r:id="rId1596" ref="I2612"/>
    <hyperlink r:id="rId1597" ref="I2613"/>
    <hyperlink r:id="rId1598" ref="I2614"/>
    <hyperlink r:id="rId1599" ref="I2615"/>
    <hyperlink r:id="rId1600" ref="I2616"/>
    <hyperlink r:id="rId1601" ref="I2617"/>
    <hyperlink r:id="rId1602" ref="I2618"/>
    <hyperlink r:id="rId1603" ref="I2619"/>
    <hyperlink r:id="rId1604" ref="I2620"/>
    <hyperlink r:id="rId1605" ref="I2621"/>
    <hyperlink r:id="rId1606" ref="I2685"/>
    <hyperlink r:id="rId1607" ref="I2703"/>
    <hyperlink r:id="rId1608" ref="I2704"/>
    <hyperlink r:id="rId1609" ref="I2705"/>
    <hyperlink r:id="rId1610" ref="I2706"/>
    <hyperlink r:id="rId1611" ref="I2707"/>
    <hyperlink r:id="rId1612" ref="I2708"/>
    <hyperlink r:id="rId1613" ref="I2709"/>
    <hyperlink r:id="rId1614" ref="I2710"/>
    <hyperlink r:id="rId1615" ref="I2735"/>
    <hyperlink r:id="rId1616" ref="I2768"/>
    <hyperlink r:id="rId1617" ref="I2769"/>
    <hyperlink r:id="rId1618" ref="I2770"/>
    <hyperlink r:id="rId1619" ref="I2771"/>
    <hyperlink r:id="rId1620" ref="I2772"/>
    <hyperlink r:id="rId1621" ref="I2773"/>
    <hyperlink r:id="rId1622" ref="I2774"/>
    <hyperlink r:id="rId1623" ref="I2775"/>
    <hyperlink r:id="rId1624" ref="E2784"/>
    <hyperlink r:id="rId1625" ref="E2795"/>
    <hyperlink r:id="rId1626" ref="I2795"/>
    <hyperlink r:id="rId1627" ref="I2796"/>
    <hyperlink r:id="rId1628" ref="I2797"/>
    <hyperlink r:id="rId1629" ref="I2798"/>
    <hyperlink r:id="rId1630" ref="I2799"/>
    <hyperlink r:id="rId1631" ref="I2800"/>
    <hyperlink r:id="rId1632" ref="I2801"/>
    <hyperlink r:id="rId1633" ref="I2802"/>
    <hyperlink r:id="rId1634" ref="I2803"/>
    <hyperlink r:id="rId1635" ref="I2804"/>
    <hyperlink r:id="rId1636" ref="I2813"/>
    <hyperlink r:id="rId1637" ref="I2814"/>
    <hyperlink r:id="rId1638" ref="I2815"/>
    <hyperlink r:id="rId1639" ref="I2816"/>
    <hyperlink r:id="rId1640" ref="I2817"/>
    <hyperlink r:id="rId1641" ref="I2818"/>
    <hyperlink r:id="rId1642" ref="I2819"/>
    <hyperlink r:id="rId1643" ref="I2820"/>
    <hyperlink r:id="rId1644" ref="I2822"/>
    <hyperlink r:id="rId1645" ref="I2823"/>
    <hyperlink r:id="rId1646" ref="I2824"/>
    <hyperlink r:id="rId1647" ref="I2825"/>
    <hyperlink r:id="rId1648" ref="I2826"/>
    <hyperlink r:id="rId1649" ref="I2827"/>
    <hyperlink r:id="rId1650" ref="I2828"/>
    <hyperlink r:id="rId1651" ref="I2829"/>
    <hyperlink r:id="rId1652" ref="I2830"/>
    <hyperlink r:id="rId1653" ref="I2831"/>
    <hyperlink r:id="rId1654" ref="I2832"/>
    <hyperlink r:id="rId1655" ref="I2841"/>
    <hyperlink r:id="rId1656" ref="I2842"/>
    <hyperlink r:id="rId1657" ref="I2843"/>
    <hyperlink r:id="rId1658" ref="I2844"/>
    <hyperlink r:id="rId1659" ref="I2857"/>
    <hyperlink r:id="rId1660" ref="I2858"/>
    <hyperlink r:id="rId1661" ref="I2859"/>
    <hyperlink r:id="rId1662" ref="I2860"/>
    <hyperlink r:id="rId1663" ref="I2861"/>
    <hyperlink r:id="rId1664" ref="I2862"/>
    <hyperlink r:id="rId1665" ref="I2863"/>
    <hyperlink r:id="rId1666" ref="I2864"/>
    <hyperlink r:id="rId1667" ref="I2867"/>
    <hyperlink r:id="rId1668" ref="I2868"/>
    <hyperlink r:id="rId1669" ref="I2869"/>
    <hyperlink r:id="rId1670" ref="I2870"/>
    <hyperlink r:id="rId1671" ref="I2871"/>
    <hyperlink r:id="rId1672" ref="I2877"/>
    <hyperlink r:id="rId1673" ref="I2878"/>
    <hyperlink r:id="rId1674" ref="I2879"/>
    <hyperlink r:id="rId1675" ref="I2880"/>
    <hyperlink r:id="rId1676" ref="I2881"/>
    <hyperlink r:id="rId1677" ref="I2882"/>
    <hyperlink r:id="rId1678" ref="I2883"/>
    <hyperlink r:id="rId1679" ref="I2884"/>
    <hyperlink r:id="rId1680" ref="I2896"/>
    <hyperlink r:id="rId1681" ref="I2897"/>
    <hyperlink r:id="rId1682" ref="I2898"/>
    <hyperlink r:id="rId1683" ref="I2899"/>
    <hyperlink r:id="rId1684" ref="I2900"/>
    <hyperlink r:id="rId1685" ref="I2901"/>
    <hyperlink r:id="rId1686" ref="I2906"/>
    <hyperlink r:id="rId1687" ref="I2907"/>
    <hyperlink r:id="rId1688" ref="I2908"/>
    <hyperlink r:id="rId1689" ref="I2909"/>
    <hyperlink r:id="rId1690" ref="I2910"/>
    <hyperlink r:id="rId1691" ref="I2911"/>
    <hyperlink r:id="rId1692" ref="I2912"/>
    <hyperlink r:id="rId1693" ref="I2924"/>
    <hyperlink r:id="rId1694" ref="I2925"/>
    <hyperlink r:id="rId1695" ref="I2926"/>
    <hyperlink r:id="rId1696" ref="I2927"/>
    <hyperlink r:id="rId1697" ref="I2928"/>
    <hyperlink r:id="rId1698" ref="I2934"/>
    <hyperlink r:id="rId1699" ref="I2943"/>
    <hyperlink r:id="rId1700" ref="I2944"/>
    <hyperlink r:id="rId1701" ref="I2945"/>
    <hyperlink r:id="rId1702" ref="I2947"/>
    <hyperlink r:id="rId1703" ref="I2948"/>
    <hyperlink r:id="rId1704" ref="I2949"/>
    <hyperlink r:id="rId1705" ref="I2950"/>
    <hyperlink r:id="rId1706" ref="I2951"/>
    <hyperlink r:id="rId1707" ref="I2957"/>
    <hyperlink r:id="rId1708" ref="I2958"/>
    <hyperlink r:id="rId1709" ref="I2966"/>
    <hyperlink r:id="rId1710" ref="I2969"/>
    <hyperlink r:id="rId1711" ref="I2970"/>
    <hyperlink r:id="rId1712" ref="I2984"/>
    <hyperlink r:id="rId1713" ref="I2998"/>
    <hyperlink r:id="rId1714" ref="I3030"/>
    <hyperlink r:id="rId1715" ref="I3031"/>
    <hyperlink r:id="rId1716" ref="I3032"/>
    <hyperlink r:id="rId1717" ref="I3033"/>
    <hyperlink r:id="rId1718" ref="I3034"/>
    <hyperlink r:id="rId1719" ref="I3035"/>
    <hyperlink r:id="rId1720" ref="I3036"/>
    <hyperlink r:id="rId1721" ref="I3043"/>
    <hyperlink r:id="rId1722" ref="I3044"/>
    <hyperlink r:id="rId1723" ref="I3045"/>
    <hyperlink r:id="rId1724" ref="I3046"/>
    <hyperlink r:id="rId1725" ref="I3047"/>
    <hyperlink r:id="rId1726" ref="I3048"/>
    <hyperlink r:id="rId1727" ref="I3049"/>
    <hyperlink r:id="rId1728" ref="I3050"/>
    <hyperlink r:id="rId1729" ref="I3051"/>
    <hyperlink r:id="rId1730" ref="I3052"/>
    <hyperlink r:id="rId1731" ref="I3055"/>
    <hyperlink r:id="rId1732" ref="I3056"/>
    <hyperlink r:id="rId1733" ref="I3057"/>
    <hyperlink r:id="rId1734" ref="I3058"/>
    <hyperlink r:id="rId1735" ref="I3059"/>
    <hyperlink r:id="rId1736" ref="I3060"/>
    <hyperlink r:id="rId1737" ref="I3061"/>
    <hyperlink r:id="rId1738" ref="I3062"/>
    <hyperlink r:id="rId1739" ref="I3063"/>
    <hyperlink r:id="rId1740" ref="I3064"/>
    <hyperlink r:id="rId1741" ref="I3065"/>
    <hyperlink r:id="rId1742" ref="I3066"/>
    <hyperlink r:id="rId1743" ref="I3067"/>
    <hyperlink r:id="rId1744" ref="I3072"/>
    <hyperlink r:id="rId1745" ref="I3073"/>
    <hyperlink r:id="rId1746" ref="I3078"/>
    <hyperlink r:id="rId1747" ref="I3079"/>
    <hyperlink r:id="rId1748" ref="I3080"/>
    <hyperlink r:id="rId1749" ref="I3084"/>
    <hyperlink r:id="rId1750" ref="I3085"/>
    <hyperlink r:id="rId1751" ref="I3086"/>
    <hyperlink r:id="rId1752" ref="I3090"/>
    <hyperlink r:id="rId1753" ref="I3091"/>
    <hyperlink r:id="rId1754" ref="I3092"/>
    <hyperlink r:id="rId1755" ref="I3093"/>
    <hyperlink r:id="rId1756" ref="I3094"/>
    <hyperlink r:id="rId1757" ref="I3100"/>
    <hyperlink r:id="rId1758" ref="I3104"/>
    <hyperlink r:id="rId1759" ref="I3105"/>
    <hyperlink r:id="rId1760" ref="I3106"/>
    <hyperlink r:id="rId1761" ref="I3117"/>
    <hyperlink r:id="rId1762" ref="I3122"/>
    <hyperlink r:id="rId1763" ref="I3165"/>
    <hyperlink r:id="rId1764" ref="I3166"/>
    <hyperlink r:id="rId1765" ref="I3167"/>
    <hyperlink r:id="rId1766" ref="I3168"/>
    <hyperlink r:id="rId1767" ref="I3172"/>
    <hyperlink r:id="rId1768" ref="I3173"/>
    <hyperlink r:id="rId1769" ref="I3178"/>
    <hyperlink r:id="rId1770" ref="I3179"/>
    <hyperlink r:id="rId1771" ref="I3180"/>
    <hyperlink r:id="rId1772" ref="I3185"/>
    <hyperlink r:id="rId1773" ref="I3186"/>
    <hyperlink r:id="rId1774" ref="I3250"/>
    <hyperlink r:id="rId1775" ref="I3251"/>
    <hyperlink r:id="rId1776" ref="I3260"/>
    <hyperlink r:id="rId1777" ref="I3261"/>
    <hyperlink r:id="rId1778" ref="I3266"/>
    <hyperlink r:id="rId1779" ref="I3267"/>
    <hyperlink r:id="rId1780" ref="I3268"/>
    <hyperlink r:id="rId1781" ref="I3269"/>
    <hyperlink r:id="rId1782" ref="I3276"/>
    <hyperlink r:id="rId1783" ref="I3277"/>
    <hyperlink r:id="rId1784" ref="I3278"/>
    <hyperlink r:id="rId1785" ref="I3279"/>
    <hyperlink r:id="rId1786" ref="I3280"/>
    <hyperlink r:id="rId1787" ref="I3285"/>
    <hyperlink r:id="rId1788" ref="I3286"/>
    <hyperlink r:id="rId1789" ref="I3290"/>
    <hyperlink r:id="rId1790" ref="I3291"/>
    <hyperlink r:id="rId1791" ref="I3297"/>
    <hyperlink r:id="rId1792" ref="I3301"/>
    <hyperlink r:id="rId1793" ref="I3304"/>
    <hyperlink r:id="rId1794" ref="I3311"/>
    <hyperlink r:id="rId1795" ref="I3378"/>
    <hyperlink r:id="rId1796" ref="I3379"/>
    <hyperlink r:id="rId1797" ref="I3385"/>
    <hyperlink r:id="rId1798" ref="I3386"/>
    <hyperlink r:id="rId1799" ref="I3387"/>
    <hyperlink r:id="rId1800" ref="I3393"/>
    <hyperlink r:id="rId1801" ref="I3394"/>
    <hyperlink r:id="rId1802" ref="I3395"/>
    <hyperlink r:id="rId1803" ref="I3397"/>
    <hyperlink r:id="rId1804" ref="I3398"/>
    <hyperlink r:id="rId1805" ref="I3399"/>
    <hyperlink r:id="rId1806" ref="I3400"/>
    <hyperlink r:id="rId1807" ref="I3401"/>
    <hyperlink r:id="rId1808" ref="I3402"/>
    <hyperlink r:id="rId1809" ref="I3403"/>
    <hyperlink r:id="rId1810" ref="I3404"/>
    <hyperlink r:id="rId1811" ref="I3405"/>
    <hyperlink r:id="rId1812" ref="I3409"/>
    <hyperlink r:id="rId1813" ref="I3410"/>
    <hyperlink r:id="rId1814" ref="I3411"/>
    <hyperlink r:id="rId1815" ref="I3412"/>
    <hyperlink r:id="rId1816" ref="I3413"/>
    <hyperlink r:id="rId1817" ref="I3414"/>
    <hyperlink r:id="rId1818" ref="I3418"/>
    <hyperlink r:id="rId1819" ref="I3425"/>
    <hyperlink r:id="rId1820" ref="I3433"/>
    <hyperlink r:id="rId1821" ref="I3434"/>
    <hyperlink r:id="rId1822" ref="I3435"/>
    <hyperlink r:id="rId1823" ref="I3502"/>
    <hyperlink r:id="rId1824" ref="I3504"/>
    <hyperlink r:id="rId1825" ref="I3505"/>
    <hyperlink r:id="rId1826" ref="I3506"/>
    <hyperlink r:id="rId1827" ref="I3507"/>
    <hyperlink r:id="rId1828" ref="I3508"/>
    <hyperlink r:id="rId1829" ref="I3509"/>
    <hyperlink r:id="rId1830" ref="I3517"/>
    <hyperlink r:id="rId1831" ref="I3518"/>
    <hyperlink r:id="rId1832" ref="I3519"/>
    <hyperlink r:id="rId1833" ref="I3520"/>
    <hyperlink r:id="rId1834" ref="I3525"/>
    <hyperlink r:id="rId1835" ref="I3526"/>
    <hyperlink r:id="rId1836" ref="I3527"/>
    <hyperlink r:id="rId1837" ref="I3528"/>
    <hyperlink r:id="rId1838" ref="I3532"/>
    <hyperlink r:id="rId1839" ref="I3533"/>
    <hyperlink r:id="rId1840" ref="I3534"/>
    <hyperlink r:id="rId1841" ref="I3535"/>
    <hyperlink r:id="rId1842" ref="E3536"/>
    <hyperlink r:id="rId1843" ref="I3536"/>
    <hyperlink r:id="rId1844" ref="I3537"/>
    <hyperlink r:id="rId1845" ref="I3538"/>
    <hyperlink r:id="rId1846" ref="I3539"/>
    <hyperlink r:id="rId1847" ref="I3543"/>
    <hyperlink r:id="rId1848" ref="I3544"/>
    <hyperlink r:id="rId1849" ref="I3545"/>
    <hyperlink r:id="rId1850" ref="I3546"/>
    <hyperlink r:id="rId1851" ref="I3548"/>
    <hyperlink r:id="rId1852" ref="I3549"/>
    <hyperlink r:id="rId1853" ref="I3553"/>
    <hyperlink r:id="rId1854" ref="I3554"/>
    <hyperlink r:id="rId1855" ref="I3555"/>
    <hyperlink r:id="rId1856" ref="I3560"/>
    <hyperlink r:id="rId1857" ref="I3599"/>
    <hyperlink r:id="rId1858" ref="I3600"/>
    <hyperlink r:id="rId1859" ref="I3601"/>
    <hyperlink r:id="rId1860" ref="I3602"/>
    <hyperlink r:id="rId1861" ref="I3603"/>
    <hyperlink r:id="rId1862" ref="I3608"/>
    <hyperlink r:id="rId1863" ref="I3609"/>
    <hyperlink r:id="rId1864" ref="I3610"/>
    <hyperlink r:id="rId1865" ref="I3613"/>
    <hyperlink r:id="rId1866" ref="I3614"/>
    <hyperlink r:id="rId1867" ref="I3616"/>
    <hyperlink r:id="rId1868" ref="I3626"/>
    <hyperlink r:id="rId1869" ref="I3704"/>
    <hyperlink r:id="rId1870" ref="I3705"/>
    <hyperlink r:id="rId1871" ref="I3707"/>
    <hyperlink r:id="rId1872" ref="I3708"/>
    <hyperlink r:id="rId1873" ref="I3709"/>
    <hyperlink r:id="rId1874" ref="I3710"/>
    <hyperlink r:id="rId1875" ref="I3713"/>
    <hyperlink r:id="rId1876" ref="I3714"/>
    <hyperlink r:id="rId1877" ref="I3715"/>
    <hyperlink r:id="rId1878" ref="I3716"/>
    <hyperlink r:id="rId1879" ref="I3717"/>
    <hyperlink r:id="rId1880" ref="I3718"/>
    <hyperlink r:id="rId1881" ref="I3719"/>
    <hyperlink r:id="rId1882" ref="I3720"/>
    <hyperlink r:id="rId1883" ref="I3721"/>
    <hyperlink r:id="rId1884" ref="I3722"/>
    <hyperlink r:id="rId1885" ref="I3726"/>
    <hyperlink r:id="rId1886" ref="I3727"/>
    <hyperlink r:id="rId1887" ref="I3730"/>
    <hyperlink r:id="rId1888" ref="I3731"/>
    <hyperlink r:id="rId1889" ref="I3732"/>
    <hyperlink r:id="rId1890" ref="I3734"/>
    <hyperlink r:id="rId1891" ref="I3735"/>
    <hyperlink r:id="rId1892" ref="I3736"/>
    <hyperlink r:id="rId1893" ref="I3740"/>
    <hyperlink r:id="rId1894" ref="I3741"/>
    <hyperlink r:id="rId1895" ref="I3743"/>
    <hyperlink r:id="rId1896" ref="I3744"/>
    <hyperlink r:id="rId1897" ref="I3745"/>
    <hyperlink r:id="rId1898" ref="I3746"/>
    <hyperlink r:id="rId1899" ref="I3747"/>
    <hyperlink r:id="rId1900" ref="I3749"/>
    <hyperlink r:id="rId1901" ref="I3750"/>
    <hyperlink r:id="rId1902" ref="I3751"/>
    <hyperlink r:id="rId1903" ref="I3752"/>
    <hyperlink r:id="rId1904" ref="I3755"/>
    <hyperlink r:id="rId1905" ref="I3756"/>
    <hyperlink r:id="rId1906" ref="I3757"/>
    <hyperlink r:id="rId1907" ref="I3771"/>
    <hyperlink r:id="rId1908" ref="I3772"/>
    <hyperlink r:id="rId1909" ref="I3773"/>
    <hyperlink r:id="rId1910" ref="I3795"/>
    <hyperlink r:id="rId1911" ref="I3796"/>
    <hyperlink r:id="rId1912" ref="I3797"/>
    <hyperlink r:id="rId1913" ref="I3799"/>
    <hyperlink r:id="rId1914" ref="I3800"/>
    <hyperlink r:id="rId1915" ref="I3801"/>
    <hyperlink r:id="rId1916" ref="I3804"/>
    <hyperlink r:id="rId1917" ref="I3805"/>
    <hyperlink r:id="rId1918" ref="I3806"/>
    <hyperlink r:id="rId1919" ref="I3807"/>
    <hyperlink r:id="rId1920" ref="I3808"/>
    <hyperlink r:id="rId1921" ref="I3809"/>
    <hyperlink r:id="rId1922" ref="I3810"/>
    <hyperlink r:id="rId1923" ref="I3811"/>
    <hyperlink r:id="rId1924" ref="I3815"/>
    <hyperlink r:id="rId1925" ref="I3816"/>
    <hyperlink r:id="rId1926" ref="I3827"/>
    <hyperlink r:id="rId1927" ref="I3828"/>
    <hyperlink r:id="rId1928" ref="I3833"/>
    <hyperlink r:id="rId1929" ref="I3834"/>
    <hyperlink r:id="rId1930" ref="I3849"/>
    <hyperlink r:id="rId1931" ref="I3916"/>
    <hyperlink r:id="rId1932" ref="I3917"/>
    <hyperlink r:id="rId1933" ref="I3918"/>
    <hyperlink r:id="rId1934" ref="I3919"/>
    <hyperlink r:id="rId1935" ref="I3920"/>
    <hyperlink r:id="rId1936" ref="I3921"/>
    <hyperlink r:id="rId1937" ref="I3922"/>
    <hyperlink r:id="rId1938" ref="I3933"/>
    <hyperlink r:id="rId1939" ref="I3934"/>
    <hyperlink r:id="rId1940" ref="I3935"/>
    <hyperlink r:id="rId1941" ref="I3936"/>
    <hyperlink r:id="rId1942" ref="I3945"/>
    <hyperlink r:id="rId1943" ref="I3946"/>
    <hyperlink r:id="rId1944" ref="I3947"/>
    <hyperlink r:id="rId1945" ref="I3951"/>
    <hyperlink r:id="rId1946" ref="I3952"/>
    <hyperlink r:id="rId1947" ref="I3953"/>
    <hyperlink r:id="rId1948" ref="I3954"/>
    <hyperlink r:id="rId1949" ref="I3958"/>
    <hyperlink r:id="rId1950" ref="I3959"/>
    <hyperlink r:id="rId1951" ref="I3960"/>
    <hyperlink r:id="rId1952" ref="I3961"/>
    <hyperlink r:id="rId1953" ref="I3964"/>
    <hyperlink r:id="rId1954" ref="I3965"/>
    <hyperlink r:id="rId1955" ref="I3966"/>
    <hyperlink r:id="rId1956" ref="I3967"/>
    <hyperlink r:id="rId1957" ref="I3968"/>
    <hyperlink r:id="rId1958" ref="I3969"/>
    <hyperlink r:id="rId1959" ref="I3970"/>
    <hyperlink r:id="rId1960" ref="I3981"/>
    <hyperlink r:id="rId1961" ref="I3982"/>
    <hyperlink r:id="rId1962" ref="I3986"/>
    <hyperlink r:id="rId1963" ref="I3988"/>
    <hyperlink r:id="rId1964" ref="I3989"/>
    <hyperlink r:id="rId1965" ref="I3990"/>
    <hyperlink r:id="rId1966" ref="I3991"/>
    <hyperlink r:id="rId1967" ref="I3997"/>
    <hyperlink r:id="rId1968" ref="I3998"/>
    <hyperlink r:id="rId1969" ref="I3999"/>
    <hyperlink r:id="rId1970" ref="I4000"/>
    <hyperlink r:id="rId1971" ref="I4001"/>
    <hyperlink r:id="rId1972" ref="I4002"/>
    <hyperlink r:id="rId1973" ref="I4008"/>
    <hyperlink r:id="rId1974" ref="I4009"/>
    <hyperlink r:id="rId1975" ref="I4010"/>
    <hyperlink r:id="rId1976" ref="I4011"/>
    <hyperlink r:id="rId1977" ref="I4012"/>
    <hyperlink r:id="rId1978" ref="I4019"/>
    <hyperlink r:id="rId1979" ref="I4021"/>
    <hyperlink r:id="rId1980" ref="I4022"/>
    <hyperlink r:id="rId1981" ref="I4023"/>
    <hyperlink r:id="rId1982" ref="I4024"/>
    <hyperlink r:id="rId1983" ref="I4025"/>
    <hyperlink r:id="rId1984" ref="I4026"/>
    <hyperlink r:id="rId1985" ref="I4027"/>
    <hyperlink r:id="rId1986" ref="I4035"/>
    <hyperlink r:id="rId1987" ref="I4036"/>
    <hyperlink r:id="rId1988" ref="I4037"/>
    <hyperlink r:id="rId1989" ref="I4040"/>
    <hyperlink r:id="rId1990" ref="I4041"/>
    <hyperlink r:id="rId1991" ref="I4044"/>
    <hyperlink r:id="rId1992" ref="I4045"/>
    <hyperlink r:id="rId1993" ref="I4052"/>
    <hyperlink r:id="rId1994" ref="I4053"/>
    <hyperlink r:id="rId1995" ref="I4054"/>
    <hyperlink r:id="rId1996" ref="I4061"/>
    <hyperlink r:id="rId1997" ref="I4124"/>
    <hyperlink r:id="rId1998" ref="I4125"/>
    <hyperlink r:id="rId1999" ref="I4126"/>
    <hyperlink r:id="rId2000" ref="I4127"/>
    <hyperlink r:id="rId2001" ref="I4128"/>
    <hyperlink r:id="rId2002" ref="I4129"/>
    <hyperlink r:id="rId2003" ref="I4130"/>
    <hyperlink r:id="rId2004" ref="I4131"/>
    <hyperlink r:id="rId2005" ref="I4142"/>
    <hyperlink r:id="rId2006" ref="I4143"/>
    <hyperlink r:id="rId2007" ref="I4144"/>
    <hyperlink r:id="rId2008" ref="I4145"/>
    <hyperlink r:id="rId2009" ref="I4149"/>
    <hyperlink r:id="rId2010" ref="E4152"/>
    <hyperlink r:id="rId2011" ref="I4161"/>
    <hyperlink r:id="rId2012" ref="I4162"/>
    <hyperlink r:id="rId2013" ref="I4163"/>
    <hyperlink r:id="rId2014" ref="I4164"/>
    <hyperlink r:id="rId2015" ref="I4165"/>
    <hyperlink r:id="rId2016" ref="I4166"/>
    <hyperlink r:id="rId2017" ref="I4167"/>
    <hyperlink r:id="rId2018" ref="I4168"/>
    <hyperlink r:id="rId2019" ref="I4169"/>
    <hyperlink r:id="rId2020" ref="I4170"/>
    <hyperlink r:id="rId2021" ref="I4171"/>
    <hyperlink r:id="rId2022" ref="I4172"/>
    <hyperlink r:id="rId2023" ref="I4173"/>
    <hyperlink r:id="rId2024" ref="I4174"/>
    <hyperlink r:id="rId2025" ref="I4175"/>
    <hyperlink r:id="rId2026" ref="I4199"/>
    <hyperlink r:id="rId2027" ref="I4200"/>
    <hyperlink r:id="rId2028" ref="I4201"/>
    <hyperlink r:id="rId2029" ref="I4202"/>
    <hyperlink r:id="rId2030" ref="I4203"/>
    <hyperlink r:id="rId2031" ref="I4204"/>
    <hyperlink r:id="rId2032" ref="I4205"/>
    <hyperlink r:id="rId2033" ref="I4206"/>
    <hyperlink r:id="rId2034" ref="I4207"/>
    <hyperlink r:id="rId2035" ref="I4208"/>
    <hyperlink r:id="rId2036" ref="I4215"/>
    <hyperlink r:id="rId2037" ref="I4216"/>
    <hyperlink r:id="rId2038" ref="I4217"/>
    <hyperlink r:id="rId2039" ref="I4218"/>
    <hyperlink r:id="rId2040" ref="I4219"/>
    <hyperlink r:id="rId2041" ref="I4220"/>
    <hyperlink r:id="rId2042" ref="I4221"/>
    <hyperlink r:id="rId2043" ref="I4222"/>
    <hyperlink r:id="rId2044" ref="I4223"/>
    <hyperlink r:id="rId2045" ref="I4224"/>
    <hyperlink r:id="rId2046" ref="I4226"/>
    <hyperlink r:id="rId2047" ref="I4227"/>
    <hyperlink r:id="rId2048" ref="I4228"/>
    <hyperlink r:id="rId2049" ref="I4229"/>
    <hyperlink r:id="rId2050" ref="I4230"/>
    <hyperlink r:id="rId2051" ref="I4241"/>
    <hyperlink r:id="rId2052" ref="I4242"/>
    <hyperlink r:id="rId2053" ref="I4243"/>
    <hyperlink r:id="rId2054" ref="I4244"/>
    <hyperlink r:id="rId2055" ref="I4247"/>
    <hyperlink r:id="rId2056" ref="I4248"/>
    <hyperlink r:id="rId2057" ref="I4249"/>
    <hyperlink r:id="rId2058" ref="I4258"/>
    <hyperlink r:id="rId2059" ref="I4259"/>
    <hyperlink r:id="rId2060" ref="I4268"/>
    <hyperlink r:id="rId2061" ref="I4269"/>
    <hyperlink r:id="rId2062" ref="I4270"/>
    <hyperlink r:id="rId2063" ref="I4272"/>
    <hyperlink r:id="rId2064" ref="I4274"/>
    <hyperlink r:id="rId2065" ref="I4277"/>
    <hyperlink r:id="rId2066" ref="I4280"/>
    <hyperlink r:id="rId2067" ref="I4281"/>
    <hyperlink r:id="rId2068" ref="I4282"/>
    <hyperlink r:id="rId2069" ref="I4283"/>
    <hyperlink r:id="rId2070" ref="I4284"/>
    <hyperlink r:id="rId2071" ref="I4356"/>
    <hyperlink r:id="rId2072" ref="I4357"/>
    <hyperlink r:id="rId2073" ref="I4358"/>
    <hyperlink r:id="rId2074" ref="I4361"/>
    <hyperlink r:id="rId2075" ref="I4362"/>
    <hyperlink r:id="rId2076" ref="I4363"/>
    <hyperlink r:id="rId2077" ref="I4365"/>
    <hyperlink r:id="rId2078" ref="I4366"/>
    <hyperlink r:id="rId2079" ref="I4367"/>
    <hyperlink r:id="rId2080" ref="I4368"/>
    <hyperlink r:id="rId2081" ref="I4369"/>
    <hyperlink r:id="rId2082" ref="I4370"/>
    <hyperlink r:id="rId2083" ref="I4371"/>
    <hyperlink r:id="rId2084" ref="I4372"/>
    <hyperlink r:id="rId2085" ref="I4373"/>
    <hyperlink r:id="rId2086" ref="I4377"/>
    <hyperlink r:id="rId2087" ref="I4378"/>
    <hyperlink r:id="rId2088" ref="I4379"/>
    <hyperlink r:id="rId2089" ref="I4380"/>
    <hyperlink r:id="rId2090" ref="I4384"/>
    <hyperlink r:id="rId2091" ref="I4385"/>
    <hyperlink r:id="rId2092" ref="I4386"/>
    <hyperlink r:id="rId2093" ref="I4391"/>
    <hyperlink r:id="rId2094" ref="I4392"/>
    <hyperlink r:id="rId2095" ref="I4393"/>
    <hyperlink r:id="rId2096" ref="I4395"/>
    <hyperlink r:id="rId2097" ref="I4396"/>
    <hyperlink r:id="rId2098" ref="I4397"/>
    <hyperlink r:id="rId2099" ref="I4407"/>
    <hyperlink r:id="rId2100" ref="I4449"/>
    <hyperlink r:id="rId2101" ref="I4450"/>
    <hyperlink r:id="rId2102" ref="I4451"/>
    <hyperlink r:id="rId2103" ref="I4452"/>
    <hyperlink r:id="rId2104" ref="I4453"/>
    <hyperlink r:id="rId2105" ref="I4454"/>
    <hyperlink r:id="rId2106" ref="I4455"/>
    <hyperlink r:id="rId2107" ref="I4458"/>
    <hyperlink r:id="rId2108" ref="I4459"/>
    <hyperlink r:id="rId2109" ref="I4460"/>
    <hyperlink r:id="rId2110" ref="I4461"/>
    <hyperlink r:id="rId2111" ref="I4462"/>
    <hyperlink r:id="rId2112" ref="I4463"/>
    <hyperlink r:id="rId2113" ref="I4464"/>
    <hyperlink r:id="rId2114" ref="I4465"/>
    <hyperlink r:id="rId2115" ref="I4466"/>
    <hyperlink r:id="rId2116" ref="I4469"/>
    <hyperlink r:id="rId2117" ref="I4470"/>
    <hyperlink r:id="rId2118" ref="I4471"/>
    <hyperlink r:id="rId2119" ref="I4472"/>
    <hyperlink r:id="rId2120" ref="I4473"/>
    <hyperlink r:id="rId2121" ref="I4474"/>
    <hyperlink r:id="rId2122" ref="I4475"/>
    <hyperlink r:id="rId2123" ref="I4476"/>
    <hyperlink r:id="rId2124" ref="I4479"/>
    <hyperlink r:id="rId2125" ref="I4480"/>
    <hyperlink r:id="rId2126" ref="I4481"/>
    <hyperlink r:id="rId2127" ref="I4488"/>
    <hyperlink r:id="rId2128" ref="I4489"/>
    <hyperlink r:id="rId2129" ref="I4490"/>
    <hyperlink r:id="rId2130" ref="I4491"/>
    <hyperlink r:id="rId2131" ref="I4503"/>
    <hyperlink r:id="rId2132" ref="I4504"/>
    <hyperlink r:id="rId2133" ref="I4505"/>
    <hyperlink r:id="rId2134" ref="I4515"/>
    <hyperlink r:id="rId2135" ref="I4516"/>
    <hyperlink r:id="rId2136" ref="I4517"/>
    <hyperlink r:id="rId2137" ref="I4518"/>
    <hyperlink r:id="rId2138" ref="I4523"/>
    <hyperlink r:id="rId2139" ref="I4524"/>
    <hyperlink r:id="rId2140" ref="I4525"/>
    <hyperlink r:id="rId2141" ref="I4526"/>
    <hyperlink r:id="rId2142" ref="I4544"/>
    <hyperlink r:id="rId2143" ref="I4545"/>
    <hyperlink r:id="rId2144" ref="I4546"/>
    <hyperlink r:id="rId2145" ref="I4547"/>
    <hyperlink r:id="rId2146" ref="I4548"/>
    <hyperlink r:id="rId2147" ref="I4549"/>
    <hyperlink r:id="rId2148" ref="I4550"/>
    <hyperlink r:id="rId2149" ref="I4551"/>
    <hyperlink r:id="rId2150" ref="I4552"/>
    <hyperlink r:id="rId2151" ref="I4560"/>
    <hyperlink r:id="rId2152" ref="I4566"/>
    <hyperlink r:id="rId2153" ref="I4567"/>
    <hyperlink r:id="rId2154" ref="I4572"/>
    <hyperlink r:id="rId2155" ref="I4573"/>
    <hyperlink r:id="rId2156" ref="I4574"/>
    <hyperlink r:id="rId2157" ref="I4575"/>
    <hyperlink r:id="rId2158" ref="I4576"/>
    <hyperlink r:id="rId2159" ref="I4585"/>
    <hyperlink r:id="rId2160" ref="I4635"/>
    <hyperlink r:id="rId2161" ref="I4636"/>
    <hyperlink r:id="rId2162" ref="I4637"/>
    <hyperlink r:id="rId2163" ref="I4638"/>
    <hyperlink r:id="rId2164" ref="I4639"/>
    <hyperlink r:id="rId2165" ref="I4640"/>
    <hyperlink r:id="rId2166" ref="I4641"/>
    <hyperlink r:id="rId2167" ref="I4642"/>
    <hyperlink r:id="rId2168" ref="I4648"/>
    <hyperlink r:id="rId2169" ref="I4649"/>
    <hyperlink r:id="rId2170" ref="I4652"/>
    <hyperlink r:id="rId2171" ref="I4653"/>
    <hyperlink r:id="rId2172" ref="I4654"/>
    <hyperlink r:id="rId2173" ref="I4657"/>
    <hyperlink r:id="rId2174" ref="I4658"/>
    <hyperlink r:id="rId2175" ref="I4664"/>
    <hyperlink r:id="rId2176" ref="I4665"/>
    <hyperlink r:id="rId2177" ref="I4668"/>
    <hyperlink r:id="rId2178" ref="I4671"/>
    <hyperlink r:id="rId2179" ref="I4704"/>
    <hyperlink r:id="rId2180" ref="I4705"/>
    <hyperlink r:id="rId2181" ref="I4706"/>
    <hyperlink r:id="rId2182" ref="I4731"/>
    <hyperlink r:id="rId2183" ref="I4732"/>
    <hyperlink r:id="rId2184" ref="I4733"/>
    <hyperlink r:id="rId2185" ref="I4734"/>
    <hyperlink r:id="rId2186" ref="I4735"/>
    <hyperlink r:id="rId2187" ref="I4736"/>
    <hyperlink r:id="rId2188" ref="I4737"/>
    <hyperlink r:id="rId2189" ref="I4738"/>
    <hyperlink r:id="rId2190" ref="I4739"/>
    <hyperlink r:id="rId2191" ref="I4740"/>
    <hyperlink r:id="rId2192" ref="I4741"/>
    <hyperlink r:id="rId2193" ref="I4742"/>
    <hyperlink r:id="rId2194" ref="I4748"/>
    <hyperlink r:id="rId2195" ref="I4749"/>
    <hyperlink r:id="rId2196" ref="I4750"/>
    <hyperlink r:id="rId2197" ref="I4756"/>
    <hyperlink r:id="rId2198" ref="I4757"/>
    <hyperlink r:id="rId2199" ref="I4758"/>
    <hyperlink r:id="rId2200" ref="I4762"/>
    <hyperlink r:id="rId2201" ref="I4763"/>
    <hyperlink r:id="rId2202" ref="I4764"/>
    <hyperlink r:id="rId2203" ref="I4765"/>
    <hyperlink r:id="rId2204" ref="I4766"/>
    <hyperlink r:id="rId2205" ref="I4775"/>
    <hyperlink r:id="rId2206" ref="I4776"/>
    <hyperlink r:id="rId2207" ref="I4777"/>
    <hyperlink r:id="rId2208" ref="I4787"/>
    <hyperlink r:id="rId2209" ref="I4848"/>
    <hyperlink r:id="rId2210" ref="I4849"/>
    <hyperlink r:id="rId2211" ref="I4850"/>
    <hyperlink r:id="rId2212" ref="I4851"/>
    <hyperlink r:id="rId2213" ref="I4852"/>
    <hyperlink r:id="rId2214" ref="I4853"/>
    <hyperlink r:id="rId2215" ref="I4854"/>
    <hyperlink r:id="rId2216" ref="I4855"/>
    <hyperlink r:id="rId2217" ref="I4856"/>
    <hyperlink r:id="rId2218" ref="E4857"/>
    <hyperlink r:id="rId2219" ref="I4857"/>
    <hyperlink r:id="rId2220" ref="I4858"/>
    <hyperlink r:id="rId2221" ref="I4859"/>
    <hyperlink r:id="rId2222" ref="I4860"/>
    <hyperlink r:id="rId2223" ref="I4868"/>
    <hyperlink r:id="rId2224" ref="I4869"/>
    <hyperlink r:id="rId2225" ref="I4870"/>
    <hyperlink r:id="rId2226" ref="I4871"/>
    <hyperlink r:id="rId2227" ref="I4872"/>
    <hyperlink r:id="rId2228" ref="I4873"/>
    <hyperlink r:id="rId2229" ref="I4874"/>
    <hyperlink r:id="rId2230" ref="I4875"/>
    <hyperlink r:id="rId2231" ref="I4877"/>
    <hyperlink r:id="rId2232" ref="I4878"/>
    <hyperlink r:id="rId2233" ref="I4879"/>
    <hyperlink r:id="rId2234" ref="I4882"/>
    <hyperlink r:id="rId2235" ref="I4883"/>
    <hyperlink r:id="rId2236" ref="I4884"/>
    <hyperlink r:id="rId2237" ref="I4893"/>
    <hyperlink r:id="rId2238" ref="I4894"/>
    <hyperlink r:id="rId2239" ref="I4895"/>
    <hyperlink r:id="rId2240" ref="I4896"/>
    <hyperlink r:id="rId2241" ref="I4897"/>
    <hyperlink r:id="rId2242" ref="I4898"/>
    <hyperlink r:id="rId2243" ref="I4899"/>
    <hyperlink r:id="rId2244" ref="I4900"/>
    <hyperlink r:id="rId2245" ref="I4901"/>
    <hyperlink r:id="rId2246" ref="I4902"/>
    <hyperlink r:id="rId2247" ref="I4903"/>
    <hyperlink r:id="rId2248" ref="I4904"/>
    <hyperlink r:id="rId2249" ref="I4907"/>
    <hyperlink r:id="rId2250" ref="I4908"/>
    <hyperlink r:id="rId2251" ref="I4909"/>
    <hyperlink r:id="rId2252" ref="I4910"/>
    <hyperlink r:id="rId2253" ref="I4911"/>
    <hyperlink r:id="rId2254" ref="I4912"/>
    <hyperlink r:id="rId2255" ref="I4918"/>
    <hyperlink r:id="rId2256" ref="I4919"/>
    <hyperlink r:id="rId2257" ref="I4920"/>
    <hyperlink r:id="rId2258" ref="I4923"/>
    <hyperlink r:id="rId2259" ref="I4924"/>
    <hyperlink r:id="rId2260" ref="I4927"/>
    <hyperlink r:id="rId2261" ref="I4928"/>
    <hyperlink r:id="rId2262" ref="I4940"/>
    <hyperlink r:id="rId2263" ref="I4941"/>
    <hyperlink r:id="rId2264" ref="I4951"/>
    <hyperlink r:id="rId2265" ref="I4952"/>
    <hyperlink r:id="rId2266" ref="I4954"/>
    <hyperlink r:id="rId2267" ref="I4955"/>
    <hyperlink r:id="rId2268" ref="I4956"/>
    <hyperlink r:id="rId2269" ref="I4958"/>
    <hyperlink r:id="rId2270" ref="I4960"/>
    <hyperlink r:id="rId2271" ref="I4971"/>
    <hyperlink r:id="rId2272" ref="I5016"/>
    <hyperlink r:id="rId2273" ref="I5017"/>
    <hyperlink r:id="rId2274" ref="I5023"/>
    <hyperlink r:id="rId2275" ref="I5024"/>
    <hyperlink r:id="rId2276" ref="I5025"/>
    <hyperlink r:id="rId2277" ref="I5026"/>
    <hyperlink r:id="rId2278" ref="I5027"/>
    <hyperlink r:id="rId2279" ref="I5028"/>
    <hyperlink r:id="rId2280" ref="I5038"/>
    <hyperlink r:id="rId2281" ref="I5039"/>
    <hyperlink r:id="rId2282" ref="I5040"/>
    <hyperlink r:id="rId2283" ref="I5042"/>
    <hyperlink r:id="rId2284" ref="I5043"/>
    <hyperlink r:id="rId2285" ref="I5044"/>
    <hyperlink r:id="rId2286" ref="I5045"/>
    <hyperlink r:id="rId2287" ref="I5046"/>
    <hyperlink r:id="rId2288" ref="I5051"/>
    <hyperlink r:id="rId2289" ref="I5052"/>
    <hyperlink r:id="rId2290" ref="I5054"/>
    <hyperlink r:id="rId2291" ref="I5055"/>
    <hyperlink r:id="rId2292" ref="I5061"/>
    <hyperlink r:id="rId2293" ref="I5062"/>
    <hyperlink r:id="rId2294" ref="I5065"/>
    <hyperlink r:id="rId2295" ref="I5066"/>
    <hyperlink r:id="rId2296" ref="I5080"/>
    <hyperlink r:id="rId2297" ref="I5081"/>
    <hyperlink r:id="rId2298" ref="I5082"/>
    <hyperlink r:id="rId2299" ref="I5083"/>
    <hyperlink r:id="rId2300" ref="I5084"/>
    <hyperlink r:id="rId2301" ref="I5085"/>
    <hyperlink r:id="rId2302" ref="I5086"/>
    <hyperlink r:id="rId2303" ref="I5087"/>
    <hyperlink r:id="rId2304" ref="I5109"/>
    <hyperlink r:id="rId2305" ref="I5110"/>
    <hyperlink r:id="rId2306" ref="I5111"/>
    <hyperlink r:id="rId2307" ref="I5112"/>
    <hyperlink r:id="rId2308" ref="I5113"/>
    <hyperlink r:id="rId2309" ref="I5114"/>
    <hyperlink r:id="rId2310" ref="I5115"/>
    <hyperlink r:id="rId2311" ref="I5116"/>
    <hyperlink r:id="rId2312" ref="I5117"/>
    <hyperlink r:id="rId2313" ref="I5118"/>
    <hyperlink r:id="rId2314" ref="I5119"/>
    <hyperlink r:id="rId2315" ref="I5123"/>
    <hyperlink r:id="rId2316" ref="I5124"/>
    <hyperlink r:id="rId2317" ref="I5125"/>
    <hyperlink r:id="rId2318" ref="I5126"/>
    <hyperlink r:id="rId2319" ref="I5127"/>
    <hyperlink r:id="rId2320" ref="I5128"/>
    <hyperlink r:id="rId2321" ref="I5132"/>
    <hyperlink r:id="rId2322" ref="I5133"/>
    <hyperlink r:id="rId2323" ref="I5134"/>
    <hyperlink r:id="rId2324" ref="I5135"/>
    <hyperlink r:id="rId2325" ref="I5136"/>
    <hyperlink r:id="rId2326" ref="I5141"/>
    <hyperlink r:id="rId2327" ref="I5177"/>
    <hyperlink r:id="rId2328" ref="I5178"/>
    <hyperlink r:id="rId2329" ref="I5179"/>
    <hyperlink r:id="rId2330" ref="I5180"/>
    <hyperlink r:id="rId2331" ref="I5182"/>
    <hyperlink r:id="rId2332" ref="I5183"/>
    <hyperlink r:id="rId2333" ref="I5184"/>
    <hyperlink r:id="rId2334" ref="I5185"/>
    <hyperlink r:id="rId2335" ref="I5189"/>
    <hyperlink r:id="rId2336" ref="I5190"/>
    <hyperlink r:id="rId2337" ref="I5191"/>
    <hyperlink r:id="rId2338" ref="I5192"/>
    <hyperlink r:id="rId2339" ref="I5193"/>
    <hyperlink r:id="rId2340" ref="I5194"/>
    <hyperlink r:id="rId2341" ref="I5195"/>
    <hyperlink r:id="rId2342" ref="I5196"/>
    <hyperlink r:id="rId2343" ref="I5197"/>
    <hyperlink r:id="rId2344" ref="I5199"/>
    <hyperlink r:id="rId2345" ref="I5200"/>
    <hyperlink r:id="rId2346" ref="I5201"/>
    <hyperlink r:id="rId2347" ref="I5205"/>
    <hyperlink r:id="rId2348" ref="I5206"/>
    <hyperlink r:id="rId2349" ref="I5207"/>
    <hyperlink r:id="rId2350" ref="I5208"/>
    <hyperlink r:id="rId2351" ref="I5209"/>
    <hyperlink r:id="rId2352" ref="I5210"/>
    <hyperlink r:id="rId2353" ref="I5217"/>
    <hyperlink r:id="rId2354" ref="I5221"/>
    <hyperlink r:id="rId2355" ref="I5222"/>
    <hyperlink r:id="rId2356" ref="I5223"/>
    <hyperlink r:id="rId2357" ref="I5236"/>
    <hyperlink r:id="rId2358" ref="I5237"/>
    <hyperlink r:id="rId2359" ref="I5238"/>
    <hyperlink r:id="rId2360" ref="I5241"/>
    <hyperlink r:id="rId2361" ref="I5242"/>
    <hyperlink r:id="rId2362" ref="I5243"/>
    <hyperlink r:id="rId2363" ref="I5244"/>
    <hyperlink r:id="rId2364" ref="I5268"/>
    <hyperlink r:id="rId2365" ref="I5269"/>
    <hyperlink r:id="rId2366" ref="I5273"/>
    <hyperlink r:id="rId2367" ref="I5274"/>
    <hyperlink r:id="rId2368" ref="I5275"/>
    <hyperlink r:id="rId2369" ref="I5276"/>
    <hyperlink r:id="rId2370" ref="I5277"/>
    <hyperlink r:id="rId2371" ref="I5278"/>
    <hyperlink r:id="rId2372" ref="I5280"/>
    <hyperlink r:id="rId2373" ref="I5281"/>
    <hyperlink r:id="rId2374" ref="I5282"/>
    <hyperlink r:id="rId2375" ref="I5283"/>
    <hyperlink r:id="rId2376" ref="E5311"/>
    <hyperlink r:id="rId2377" ref="I5327"/>
    <hyperlink r:id="rId2378" ref="I5328"/>
    <hyperlink r:id="rId2379" ref="I5329"/>
    <hyperlink r:id="rId2380" ref="I5330"/>
    <hyperlink r:id="rId2381" ref="I5333"/>
    <hyperlink r:id="rId2382" ref="I5334"/>
    <hyperlink r:id="rId2383" ref="I5335"/>
    <hyperlink r:id="rId2384" ref="I5336"/>
    <hyperlink r:id="rId2385" ref="I5337"/>
    <hyperlink r:id="rId2386" ref="I5338"/>
    <hyperlink r:id="rId2387" ref="I5339"/>
    <hyperlink r:id="rId2388" ref="I5340"/>
    <hyperlink r:id="rId2389" ref="I5341"/>
    <hyperlink r:id="rId2390" ref="I5342"/>
    <hyperlink r:id="rId2391" ref="I5343"/>
    <hyperlink r:id="rId2392" ref="I5344"/>
    <hyperlink r:id="rId2393" ref="I5345"/>
    <hyperlink r:id="rId2394" ref="I5346"/>
    <hyperlink r:id="rId2395" ref="I5347"/>
    <hyperlink r:id="rId2396" ref="I5348"/>
    <hyperlink r:id="rId2397" ref="I5349"/>
    <hyperlink r:id="rId2398" ref="I5350"/>
    <hyperlink r:id="rId2399" ref="I5351"/>
    <hyperlink r:id="rId2400" ref="I5352"/>
    <hyperlink r:id="rId2401" ref="I5353"/>
    <hyperlink r:id="rId2402" ref="I5354"/>
    <hyperlink r:id="rId2403" ref="I5355"/>
    <hyperlink r:id="rId2404" ref="I5356"/>
    <hyperlink r:id="rId2405" ref="I5359"/>
    <hyperlink r:id="rId2406" ref="I5364"/>
    <hyperlink r:id="rId2407" ref="I5373"/>
    <hyperlink r:id="rId2408" ref="I5376"/>
    <hyperlink r:id="rId2409" ref="I5377"/>
    <hyperlink r:id="rId2410" ref="I5392"/>
    <hyperlink r:id="rId2411" ref="I5393"/>
    <hyperlink r:id="rId2412" ref="I5394"/>
    <hyperlink r:id="rId2413" ref="I5395"/>
    <hyperlink r:id="rId2414" ref="I5396"/>
    <hyperlink r:id="rId2415" ref="I5397"/>
    <hyperlink r:id="rId2416" ref="I5400"/>
    <hyperlink r:id="rId2417" ref="I5401"/>
    <hyperlink r:id="rId2418" ref="I5402"/>
    <hyperlink r:id="rId2419" ref="I5403"/>
    <hyperlink r:id="rId2420" ref="I5404"/>
    <hyperlink r:id="rId2421" ref="I5405"/>
    <hyperlink r:id="rId2422" ref="I5406"/>
    <hyperlink r:id="rId2423" ref="I5407"/>
    <hyperlink r:id="rId2424" ref="I5408"/>
    <hyperlink r:id="rId2425" ref="I5409"/>
    <hyperlink r:id="rId2426" ref="I5410"/>
    <hyperlink r:id="rId2427" ref="I5411"/>
    <hyperlink r:id="rId2428" ref="I5412"/>
    <hyperlink r:id="rId2429" ref="I5413"/>
    <hyperlink r:id="rId2430" ref="I5414"/>
    <hyperlink r:id="rId2431" ref="I5415"/>
    <hyperlink r:id="rId2432" ref="I5416"/>
    <hyperlink r:id="rId2433" ref="I5417"/>
    <hyperlink r:id="rId2434" ref="I5418"/>
    <hyperlink r:id="rId2435" ref="I5424"/>
    <hyperlink r:id="rId2436" ref="I5425"/>
    <hyperlink r:id="rId2437" ref="I5426"/>
    <hyperlink r:id="rId2438" ref="I5427"/>
    <hyperlink r:id="rId2439" ref="I5428"/>
    <hyperlink r:id="rId2440" ref="I5431"/>
    <hyperlink r:id="rId2441" ref="I5432"/>
    <hyperlink r:id="rId2442" ref="I5433"/>
    <hyperlink r:id="rId2443" ref="I5434"/>
    <hyperlink r:id="rId2444" ref="I5435"/>
    <hyperlink r:id="rId2445" ref="I5436"/>
    <hyperlink r:id="rId2446" ref="I5437"/>
    <hyperlink r:id="rId2447" ref="I5438"/>
    <hyperlink r:id="rId2448" ref="I5439"/>
    <hyperlink r:id="rId2449" ref="I5441"/>
    <hyperlink r:id="rId2450" ref="I5442"/>
    <hyperlink r:id="rId2451" ref="I5447"/>
    <hyperlink r:id="rId2452" ref="I5472"/>
    <hyperlink r:id="rId2453" ref="I5473"/>
    <hyperlink r:id="rId2454" ref="I5474"/>
    <hyperlink r:id="rId2455" ref="I5475"/>
    <hyperlink r:id="rId2456" ref="I5478"/>
    <hyperlink r:id="rId2457" ref="I5479"/>
    <hyperlink r:id="rId2458" ref="I5480"/>
    <hyperlink r:id="rId2459" ref="I5481"/>
    <hyperlink r:id="rId2460" ref="I5482"/>
    <hyperlink r:id="rId2461" ref="I5483"/>
    <hyperlink r:id="rId2462" ref="I5484"/>
    <hyperlink r:id="rId2463" ref="I5485"/>
    <hyperlink r:id="rId2464" ref="I5486"/>
    <hyperlink r:id="rId2465" ref="I5491"/>
    <hyperlink r:id="rId2466" ref="I5492"/>
    <hyperlink r:id="rId2467" ref="I5493"/>
    <hyperlink r:id="rId2468" ref="I5494"/>
    <hyperlink r:id="rId2469" ref="I5495"/>
    <hyperlink r:id="rId2470" ref="I5496"/>
    <hyperlink r:id="rId2471" ref="I5497"/>
    <hyperlink r:id="rId2472" ref="I5498"/>
    <hyperlink r:id="rId2473" ref="I5499"/>
    <hyperlink r:id="rId2474" ref="I5506"/>
    <hyperlink r:id="rId2475" ref="I5507"/>
    <hyperlink r:id="rId2476" ref="I5508"/>
    <hyperlink r:id="rId2477" ref="I5513"/>
    <hyperlink r:id="rId2478" ref="I5514"/>
    <hyperlink r:id="rId2479" ref="I5515"/>
    <hyperlink r:id="rId2480" ref="I5516"/>
    <hyperlink r:id="rId2481" ref="I5517"/>
    <hyperlink r:id="rId2482" ref="I5518"/>
    <hyperlink r:id="rId2483" ref="I5519"/>
    <hyperlink r:id="rId2484" ref="I5520"/>
    <hyperlink r:id="rId2485" ref="I5535"/>
    <hyperlink r:id="rId2486" ref="I5536"/>
    <hyperlink r:id="rId2487" ref="I5537"/>
    <hyperlink r:id="rId2488" ref="I5538"/>
    <hyperlink r:id="rId2489" ref="I5543"/>
    <hyperlink r:id="rId2490" ref="I5544"/>
    <hyperlink r:id="rId2491" ref="I5545"/>
    <hyperlink r:id="rId2492" ref="I5546"/>
    <hyperlink r:id="rId2493" ref="I5547"/>
    <hyperlink r:id="rId2494" ref="I5548"/>
    <hyperlink r:id="rId2495" ref="I5549"/>
    <hyperlink r:id="rId2496" ref="I5550"/>
    <hyperlink r:id="rId2497" ref="I5551"/>
    <hyperlink r:id="rId2498" ref="I5552"/>
    <hyperlink r:id="rId2499" ref="I5553"/>
    <hyperlink r:id="rId2500" ref="I5554"/>
    <hyperlink r:id="rId2501" ref="I5555"/>
    <hyperlink r:id="rId2502" ref="I5556"/>
    <hyperlink r:id="rId2503" ref="I5557"/>
    <hyperlink r:id="rId2504" ref="I5558"/>
    <hyperlink r:id="rId2505" ref="I5559"/>
    <hyperlink r:id="rId2506" ref="I5560"/>
    <hyperlink r:id="rId2507" ref="I5561"/>
    <hyperlink r:id="rId2508" ref="I5562"/>
    <hyperlink r:id="rId2509" ref="I5563"/>
    <hyperlink r:id="rId2510" ref="I5564"/>
    <hyperlink r:id="rId2511" ref="I5565"/>
    <hyperlink r:id="rId2512" ref="I5566"/>
    <hyperlink r:id="rId2513" ref="I5567"/>
    <hyperlink r:id="rId2514" ref="I5568"/>
    <hyperlink r:id="rId2515" ref="I5569"/>
    <hyperlink r:id="rId2516" ref="I5570"/>
    <hyperlink r:id="rId2517" ref="I5571"/>
    <hyperlink r:id="rId2518" ref="I5572"/>
    <hyperlink r:id="rId2519" ref="I5573"/>
    <hyperlink r:id="rId2520" ref="I5574"/>
    <hyperlink r:id="rId2521" ref="I5582"/>
    <hyperlink r:id="rId2522" ref="I5583"/>
    <hyperlink r:id="rId2523" ref="I5585"/>
    <hyperlink r:id="rId2524" ref="I5586"/>
    <hyperlink r:id="rId2525" ref="I5587"/>
    <hyperlink r:id="rId2526" ref="I5588"/>
    <hyperlink r:id="rId2527" ref="I5589"/>
    <hyperlink r:id="rId2528" ref="I5590"/>
    <hyperlink r:id="rId2529" ref="I5591"/>
    <hyperlink r:id="rId2530" ref="I5594"/>
    <hyperlink r:id="rId2531" ref="I5599"/>
    <hyperlink r:id="rId2532" ref="I5600"/>
    <hyperlink r:id="rId2533" ref="I5601"/>
    <hyperlink r:id="rId2534" ref="I5602"/>
    <hyperlink r:id="rId2535" ref="I5603"/>
    <hyperlink r:id="rId2536" ref="I5604"/>
    <hyperlink r:id="rId2537" ref="I5605"/>
    <hyperlink r:id="rId2538" ref="I5606"/>
    <hyperlink r:id="rId2539" ref="I5607"/>
    <hyperlink r:id="rId2540" ref="I5608"/>
    <hyperlink r:id="rId2541" ref="I5609"/>
    <hyperlink r:id="rId2542" ref="I5610"/>
    <hyperlink r:id="rId2543" ref="I5611"/>
    <hyperlink r:id="rId2544" ref="I5612"/>
    <hyperlink r:id="rId2545" ref="I5619"/>
    <hyperlink r:id="rId2546" ref="I5620"/>
    <hyperlink r:id="rId2547" ref="I5621"/>
    <hyperlink r:id="rId2548" ref="I5626"/>
    <hyperlink r:id="rId2549" ref="I5627"/>
    <hyperlink r:id="rId2550" ref="I5628"/>
    <hyperlink r:id="rId2551" ref="I5629"/>
    <hyperlink r:id="rId2552" ref="I5630"/>
    <hyperlink r:id="rId2553" ref="I5631"/>
    <hyperlink r:id="rId2554" ref="I5632"/>
    <hyperlink r:id="rId2555" ref="I5637"/>
    <hyperlink r:id="rId2556" ref="I5638"/>
    <hyperlink r:id="rId2557" ref="I5639"/>
    <hyperlink r:id="rId2558" ref="I5640"/>
    <hyperlink r:id="rId2559" ref="I5645"/>
    <hyperlink r:id="rId2560" ref="I5682"/>
    <hyperlink r:id="rId2561" ref="I5683"/>
    <hyperlink r:id="rId2562" ref="I5684"/>
    <hyperlink r:id="rId2563" ref="I5685"/>
    <hyperlink r:id="rId2564" ref="I5686"/>
    <hyperlink r:id="rId2565" ref="I5692"/>
    <hyperlink r:id="rId2566" ref="I5693"/>
    <hyperlink r:id="rId2567" ref="I5694"/>
    <hyperlink r:id="rId2568" ref="I5696"/>
    <hyperlink r:id="rId2569" ref="I5697"/>
    <hyperlink r:id="rId2570" ref="I5698"/>
    <hyperlink r:id="rId2571" ref="I5699"/>
    <hyperlink r:id="rId2572" ref="I5700"/>
    <hyperlink r:id="rId2573" ref="I5702"/>
    <hyperlink r:id="rId2574" ref="I5703"/>
    <hyperlink r:id="rId2575" ref="I5704"/>
    <hyperlink r:id="rId2576" ref="I5705"/>
    <hyperlink r:id="rId2577" ref="I5709"/>
    <hyperlink r:id="rId2578" ref="I5710"/>
    <hyperlink r:id="rId2579" ref="I5714"/>
    <hyperlink r:id="rId2580" ref="I5715"/>
    <hyperlink r:id="rId2581" ref="I5769"/>
    <hyperlink r:id="rId2582" ref="I5770"/>
    <hyperlink r:id="rId2583" ref="I5772"/>
    <hyperlink r:id="rId2584" ref="I5773"/>
    <hyperlink r:id="rId2585" ref="I5774"/>
    <hyperlink r:id="rId2586" ref="I5775"/>
    <hyperlink r:id="rId2587" ref="I5776"/>
    <hyperlink r:id="rId2588" ref="I5777"/>
    <hyperlink r:id="rId2589" ref="I5778"/>
    <hyperlink r:id="rId2590" ref="I5779"/>
    <hyperlink r:id="rId2591" ref="I5780"/>
    <hyperlink r:id="rId2592" ref="I5781"/>
    <hyperlink r:id="rId2593" ref="I5782"/>
    <hyperlink r:id="rId2594" ref="I5783"/>
    <hyperlink r:id="rId2595" ref="I5784"/>
    <hyperlink r:id="rId2596" ref="I5785"/>
    <hyperlink r:id="rId2597" ref="I5788"/>
    <hyperlink r:id="rId2598" ref="I5789"/>
    <hyperlink r:id="rId2599" ref="I5790"/>
    <hyperlink r:id="rId2600" ref="I5791"/>
    <hyperlink r:id="rId2601" ref="I5792"/>
    <hyperlink r:id="rId2602" ref="I5793"/>
    <hyperlink r:id="rId2603" ref="I5794"/>
    <hyperlink r:id="rId2604" ref="I5795"/>
    <hyperlink r:id="rId2605" ref="I5796"/>
    <hyperlink r:id="rId2606" ref="I5797"/>
    <hyperlink r:id="rId2607" ref="I5798"/>
    <hyperlink r:id="rId2608" ref="I5799"/>
    <hyperlink r:id="rId2609" ref="I5801"/>
    <hyperlink r:id="rId2610" ref="I5802"/>
    <hyperlink r:id="rId2611" ref="I5803"/>
    <hyperlink r:id="rId2612" ref="I5804"/>
    <hyperlink r:id="rId2613" ref="I5805"/>
    <hyperlink r:id="rId2614" ref="I5806"/>
    <hyperlink r:id="rId2615" ref="I5807"/>
    <hyperlink r:id="rId2616" ref="I5808"/>
    <hyperlink r:id="rId2617" ref="I5809"/>
    <hyperlink r:id="rId2618" ref="I5810"/>
    <hyperlink r:id="rId2619" ref="I5811"/>
    <hyperlink r:id="rId2620" ref="I5812"/>
    <hyperlink r:id="rId2621" ref="I5816"/>
    <hyperlink r:id="rId2622" ref="I5817"/>
    <hyperlink r:id="rId2623" ref="I5818"/>
    <hyperlink r:id="rId2624" ref="I5819"/>
    <hyperlink r:id="rId2625" ref="I5823"/>
    <hyperlink r:id="rId2626" ref="I5824"/>
    <hyperlink r:id="rId2627" ref="I5825"/>
    <hyperlink r:id="rId2628" ref="I5826"/>
    <hyperlink r:id="rId2629" ref="I5827"/>
    <hyperlink r:id="rId2630" ref="I5828"/>
    <hyperlink r:id="rId2631" ref="I5831"/>
    <hyperlink r:id="rId2632" ref="I5832"/>
    <hyperlink r:id="rId2633" ref="I5833"/>
    <hyperlink r:id="rId2634" ref="I5834"/>
    <hyperlink r:id="rId2635" ref="I5837"/>
    <hyperlink r:id="rId2636" ref="I5838"/>
    <hyperlink r:id="rId2637" ref="I5839"/>
    <hyperlink r:id="rId2638" ref="I5840"/>
    <hyperlink r:id="rId2639" ref="I5849"/>
    <hyperlink r:id="rId2640" ref="I5850"/>
    <hyperlink r:id="rId2641" ref="I5851"/>
    <hyperlink r:id="rId2642" ref="I5852"/>
    <hyperlink r:id="rId2643" ref="I5856"/>
    <hyperlink r:id="rId2644" ref="I5857"/>
    <hyperlink r:id="rId2645" ref="I5858"/>
    <hyperlink r:id="rId2646" ref="I5860"/>
    <hyperlink r:id="rId2647" ref="I5861"/>
    <hyperlink r:id="rId2648" ref="I5863"/>
    <hyperlink r:id="rId2649" ref="I5864"/>
    <hyperlink r:id="rId2650" ref="I5871"/>
    <hyperlink r:id="rId2651" ref="I5872"/>
    <hyperlink r:id="rId2652" ref="I5873"/>
    <hyperlink r:id="rId2653" ref="I5874"/>
    <hyperlink r:id="rId2654" ref="I5881"/>
    <hyperlink r:id="rId2655" ref="I5924"/>
    <hyperlink r:id="rId2656" ref="I5925"/>
    <hyperlink r:id="rId2657" ref="I5926"/>
    <hyperlink r:id="rId2658" ref="I5927"/>
    <hyperlink r:id="rId2659" ref="I5928"/>
    <hyperlink r:id="rId2660" ref="I5929"/>
    <hyperlink r:id="rId2661" ref="I5930"/>
    <hyperlink r:id="rId2662" ref="I5931"/>
    <hyperlink r:id="rId2663" ref="I5934"/>
    <hyperlink r:id="rId2664" ref="I5935"/>
    <hyperlink r:id="rId2665" ref="I5936"/>
    <hyperlink r:id="rId2666" ref="I5942"/>
    <hyperlink r:id="rId2667" ref="I5943"/>
    <hyperlink r:id="rId2668" ref="I5944"/>
    <hyperlink r:id="rId2669" ref="I5945"/>
    <hyperlink r:id="rId2670" ref="I5946"/>
    <hyperlink r:id="rId2671" ref="I5947"/>
    <hyperlink r:id="rId2672" ref="I5948"/>
    <hyperlink r:id="rId2673" ref="I5949"/>
    <hyperlink r:id="rId2674" ref="I5950"/>
    <hyperlink r:id="rId2675" ref="I5955"/>
    <hyperlink r:id="rId2676" ref="I5956"/>
    <hyperlink r:id="rId2677" ref="I5961"/>
    <hyperlink r:id="rId2678" ref="I5962"/>
    <hyperlink r:id="rId2679" ref="I5966"/>
    <hyperlink r:id="rId2680" ref="I5967"/>
    <hyperlink r:id="rId2681" ref="I5968"/>
    <hyperlink r:id="rId2682" ref="I5973"/>
    <hyperlink r:id="rId2683" ref="I5976"/>
    <hyperlink r:id="rId2684" ref="I6009"/>
    <hyperlink r:id="rId2685" ref="I6010"/>
    <hyperlink r:id="rId2686" ref="I6011"/>
    <hyperlink r:id="rId2687" ref="I6012"/>
    <hyperlink r:id="rId2688" ref="I6013"/>
    <hyperlink r:id="rId2689" ref="I6014"/>
    <hyperlink r:id="rId2690" ref="I6015"/>
    <hyperlink r:id="rId2691" ref="I6016"/>
    <hyperlink r:id="rId2692" ref="I6017"/>
    <hyperlink r:id="rId2693" ref="I6018"/>
    <hyperlink r:id="rId2694" ref="I6019"/>
    <hyperlink r:id="rId2695" ref="I6020"/>
    <hyperlink r:id="rId2696" ref="I6021"/>
    <hyperlink r:id="rId2697" ref="I6022"/>
    <hyperlink r:id="rId2698" ref="I6023"/>
    <hyperlink r:id="rId2699" ref="I6024"/>
    <hyperlink r:id="rId2700" ref="I6025"/>
    <hyperlink r:id="rId2701" ref="I6026"/>
    <hyperlink r:id="rId2702" ref="I6027"/>
    <hyperlink r:id="rId2703" ref="I6028"/>
    <hyperlink r:id="rId2704" ref="I6029"/>
    <hyperlink r:id="rId2705" ref="I6030"/>
    <hyperlink r:id="rId2706" ref="I6031"/>
    <hyperlink r:id="rId2707" ref="I6032"/>
    <hyperlink r:id="rId2708" ref="I6033"/>
    <hyperlink r:id="rId2709" ref="I6034"/>
    <hyperlink r:id="rId2710" ref="I6035"/>
    <hyperlink r:id="rId2711" ref="E6039"/>
    <hyperlink r:id="rId2712" ref="I6039"/>
    <hyperlink r:id="rId2713" ref="I6040"/>
    <hyperlink r:id="rId2714" ref="I6041"/>
    <hyperlink r:id="rId2715" ref="I6042"/>
    <hyperlink r:id="rId2716" ref="I6043"/>
    <hyperlink r:id="rId2717" ref="I6044"/>
    <hyperlink r:id="rId2718" ref="I6045"/>
    <hyperlink r:id="rId2719" ref="I6046"/>
    <hyperlink r:id="rId2720" ref="I6047"/>
    <hyperlink r:id="rId2721" ref="I6048"/>
    <hyperlink r:id="rId2722" ref="I6049"/>
    <hyperlink r:id="rId2723" ref="I6052"/>
    <hyperlink r:id="rId2724" ref="I6053"/>
    <hyperlink r:id="rId2725" ref="I6067"/>
    <hyperlink r:id="rId2726" ref="I6068"/>
    <hyperlink r:id="rId2727" ref="I6069"/>
    <hyperlink r:id="rId2728" ref="I6071"/>
    <hyperlink r:id="rId2729" ref="I6072"/>
    <hyperlink r:id="rId2730" ref="I6073"/>
    <hyperlink r:id="rId2731" ref="I6074"/>
    <hyperlink r:id="rId2732" ref="I6075"/>
    <hyperlink r:id="rId2733" ref="I6076"/>
    <hyperlink r:id="rId2734" ref="I6080"/>
    <hyperlink r:id="rId2735" ref="I6081"/>
    <hyperlink r:id="rId2736" ref="I6082"/>
    <hyperlink r:id="rId2737" ref="I6084"/>
    <hyperlink r:id="rId2738" ref="I6085"/>
    <hyperlink r:id="rId2739" ref="I6095"/>
    <hyperlink r:id="rId2740" ref="I6096"/>
    <hyperlink r:id="rId2741" ref="I6097"/>
    <hyperlink r:id="rId2742" ref="I6098"/>
    <hyperlink r:id="rId2743" ref="I6099"/>
    <hyperlink r:id="rId2744" ref="I6100"/>
    <hyperlink r:id="rId2745" ref="I6108"/>
    <hyperlink r:id="rId2746" ref="I6109"/>
    <hyperlink r:id="rId2747" ref="I6117"/>
    <hyperlink r:id="rId2748" ref="I6122"/>
    <hyperlink r:id="rId2749" ref="I6138"/>
    <hyperlink r:id="rId2750" ref="I6139"/>
    <hyperlink r:id="rId2751" ref="I6140"/>
    <hyperlink r:id="rId2752" ref="I6141"/>
    <hyperlink r:id="rId2753" ref="I6142"/>
    <hyperlink r:id="rId2754" ref="I6143"/>
    <hyperlink r:id="rId2755" ref="I6146"/>
    <hyperlink r:id="rId2756" ref="I6148"/>
    <hyperlink r:id="rId2757" ref="I6149"/>
    <hyperlink r:id="rId2758" ref="I6150"/>
    <hyperlink r:id="rId2759" ref="I6151"/>
    <hyperlink r:id="rId2760" ref="I6155"/>
    <hyperlink r:id="rId2761" ref="I6156"/>
    <hyperlink r:id="rId2762" ref="I6157"/>
    <hyperlink r:id="rId2763" ref="I6158"/>
    <hyperlink r:id="rId2764" ref="I6159"/>
    <hyperlink r:id="rId2765" ref="I6160"/>
    <hyperlink r:id="rId2766" ref="I6165"/>
    <hyperlink r:id="rId2767" ref="I6166"/>
    <hyperlink r:id="rId2768" ref="I6171"/>
    <hyperlink r:id="rId2769" ref="I6172"/>
    <hyperlink r:id="rId2770" ref="I6173"/>
    <hyperlink r:id="rId2771" ref="I6174"/>
    <hyperlink r:id="rId2772" ref="I6175"/>
    <hyperlink r:id="rId2773" ref="I6176"/>
    <hyperlink r:id="rId2774" ref="I6177"/>
    <hyperlink r:id="rId2775" ref="I6206"/>
    <hyperlink r:id="rId2776" ref="I6207"/>
    <hyperlink r:id="rId2777" ref="I6210"/>
    <hyperlink r:id="rId2778" ref="I6213"/>
    <hyperlink r:id="rId2779" ref="I6214"/>
    <hyperlink r:id="rId2780" ref="I6217"/>
    <hyperlink r:id="rId2781" ref="I6218"/>
    <hyperlink r:id="rId2782" ref="I6219"/>
    <hyperlink r:id="rId2783" ref="I6220"/>
    <hyperlink r:id="rId2784" ref="I6222"/>
    <hyperlink r:id="rId2785" ref="I6223"/>
    <hyperlink r:id="rId2786" ref="I6229"/>
    <hyperlink r:id="rId2787" ref="I6231"/>
    <hyperlink r:id="rId2788" ref="I6232"/>
    <hyperlink r:id="rId2789" ref="I6261"/>
    <hyperlink r:id="rId2790" ref="I6262"/>
    <hyperlink r:id="rId2791" ref="I6271"/>
    <hyperlink r:id="rId2792" ref="I6272"/>
    <hyperlink r:id="rId2793" ref="I6273"/>
    <hyperlink r:id="rId2794" ref="I6283"/>
    <hyperlink r:id="rId2795" ref="E6381"/>
    <hyperlink r:id="rId2796" ref="E6440"/>
    <hyperlink r:id="rId2797" ref="I6448"/>
    <hyperlink r:id="rId2798" ref="I6457"/>
    <hyperlink r:id="rId2799" ref="E6894"/>
    <hyperlink r:id="rId2800" ref="I7284"/>
    <hyperlink r:id="rId2801" ref="I7291"/>
    <hyperlink r:id="rId2802" ref="I7300"/>
    <hyperlink r:id="rId2803" ref="I7323"/>
    <hyperlink r:id="rId2804" ref="I7330"/>
    <hyperlink r:id="rId2805" ref="I7332"/>
    <hyperlink r:id="rId2806" ref="I7337"/>
    <hyperlink r:id="rId2807" ref="I7342"/>
    <hyperlink r:id="rId2808" ref="I7343"/>
    <hyperlink r:id="rId2809" ref="I7345"/>
    <hyperlink r:id="rId2810" ref="I7348"/>
    <hyperlink r:id="rId2811" ref="I7355"/>
    <hyperlink r:id="rId2812" ref="I7364"/>
    <hyperlink r:id="rId2813" ref="I7374"/>
    <hyperlink r:id="rId2814" ref="E7837"/>
    <hyperlink r:id="rId2815" ref="E8311"/>
    <hyperlink r:id="rId2816" ref="E8448"/>
    <hyperlink r:id="rId2817" ref="E8898"/>
    <hyperlink r:id="rId2818" ref="E9103"/>
    <hyperlink r:id="rId2819" ref="E9397"/>
    <hyperlink r:id="rId2820" ref="E9841"/>
    <hyperlink r:id="rId2821" ref="I10216"/>
    <hyperlink r:id="rId2822" ref="I10238"/>
    <hyperlink r:id="rId2823" ref="I10239"/>
    <hyperlink r:id="rId2824" ref="I10240"/>
    <hyperlink r:id="rId2825" ref="I10241"/>
    <hyperlink r:id="rId2826" ref="I10242"/>
    <hyperlink r:id="rId2827" ref="I10243"/>
  </hyperlinks>
  <drawing r:id="rId282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64157</v>
      </c>
      <c r="B1" s="10" t="s">
        <v>64158</v>
      </c>
    </row>
    <row r="2">
      <c r="A2" s="5" t="s">
        <v>64159</v>
      </c>
      <c r="B2" s="5" t="s">
        <v>64160</v>
      </c>
    </row>
    <row r="3">
      <c r="A3" s="5" t="s">
        <v>64161</v>
      </c>
      <c r="B3" s="5" t="s">
        <v>64162</v>
      </c>
    </row>
    <row r="4">
      <c r="A4" s="5" t="s">
        <v>64163</v>
      </c>
      <c r="B4" s="5" t="s">
        <v>64164</v>
      </c>
    </row>
    <row r="5">
      <c r="A5" s="5" t="s">
        <v>64165</v>
      </c>
      <c r="B5" s="5" t="s">
        <v>64166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64167</v>
      </c>
      <c r="B1" s="5" t="s">
        <v>64168</v>
      </c>
      <c r="C1" s="5" t="s">
        <v>64169</v>
      </c>
      <c r="D1" s="5" t="s">
        <v>64170</v>
      </c>
      <c r="E1" s="5" t="s">
        <v>64171</v>
      </c>
      <c r="F1" s="5" t="s">
        <v>64172</v>
      </c>
      <c r="G1" s="5" t="s">
        <v>64173</v>
      </c>
      <c r="H1" s="5" t="s">
        <v>64174</v>
      </c>
      <c r="I1" s="5" t="s">
        <v>64175</v>
      </c>
      <c r="J1" s="5" t="s">
        <v>64176</v>
      </c>
      <c r="K1" s="5" t="s">
        <v>64177</v>
      </c>
      <c r="L1" s="5" t="s">
        <v>64178</v>
      </c>
      <c r="M1" s="5" t="s">
        <v>64179</v>
      </c>
      <c r="N1" s="5" t="s">
        <v>64180</v>
      </c>
      <c r="O1" s="5" t="s">
        <v>64181</v>
      </c>
      <c r="P1" s="5" t="s">
        <v>64182</v>
      </c>
      <c r="Q1" s="5" t="s">
        <v>64183</v>
      </c>
      <c r="R1" s="5" t="s">
        <v>64184</v>
      </c>
      <c r="S1" s="5" t="s">
        <v>64185</v>
      </c>
      <c r="T1" s="5" t="s">
        <v>64186</v>
      </c>
      <c r="U1" s="5" t="s">
        <v>64187</v>
      </c>
      <c r="V1" s="5" t="s">
        <v>64188</v>
      </c>
      <c r="W1" s="5" t="s">
        <v>64189</v>
      </c>
      <c r="X1" s="5" t="s">
        <v>64190</v>
      </c>
      <c r="Y1" s="5" t="s">
        <v>64191</v>
      </c>
      <c r="Z1" s="5" t="s">
        <v>64192</v>
      </c>
      <c r="AA1" s="5" t="s">
        <v>64193</v>
      </c>
      <c r="AB1" s="5" t="s">
        <v>64194</v>
      </c>
      <c r="AC1" s="5" t="s">
        <v>64195</v>
      </c>
    </row>
    <row r="2">
      <c r="A2" s="5" t="s">
        <v>64196</v>
      </c>
      <c r="B2" s="5" t="s">
        <v>64197</v>
      </c>
      <c r="C2" s="5" t="s">
        <v>64198</v>
      </c>
      <c r="D2" s="11">
        <v>1.053163309E9</v>
      </c>
      <c r="E2" s="11">
        <v>1.0</v>
      </c>
      <c r="F2" s="11">
        <v>2.0</v>
      </c>
      <c r="G2" s="5" t="s">
        <v>64199</v>
      </c>
      <c r="H2" s="5" t="s">
        <v>64200</v>
      </c>
      <c r="I2" s="5" t="s">
        <v>64200</v>
      </c>
      <c r="J2" s="5" t="s">
        <v>64201</v>
      </c>
      <c r="K2" s="5" t="s">
        <v>64202</v>
      </c>
      <c r="L2" s="5" t="s">
        <v>64202</v>
      </c>
      <c r="M2" s="5" t="s">
        <v>64203</v>
      </c>
      <c r="N2" s="5" t="b">
        <v>1</v>
      </c>
      <c r="O2" s="5" t="s">
        <v>64204</v>
      </c>
      <c r="P2" s="5" t="b">
        <v>0</v>
      </c>
      <c r="Q2" s="11">
        <v>2.0</v>
      </c>
      <c r="R2" s="5" t="b">
        <v>1</v>
      </c>
      <c r="S2" s="5" t="b">
        <v>1</v>
      </c>
      <c r="T2" s="5" t="s">
        <v>64205</v>
      </c>
      <c r="X2" s="5" t="b">
        <v>0</v>
      </c>
      <c r="Y2" s="5" t="s">
        <v>64206</v>
      </c>
      <c r="Z2" s="5" t="s">
        <v>64207</v>
      </c>
      <c r="AA2" s="5" t="b">
        <v>0</v>
      </c>
      <c r="AB2" s="10"/>
      <c r="AC2" s="5" t="s">
        <v>64208</v>
      </c>
    </row>
    <row r="3">
      <c r="A3" s="5" t="s">
        <v>64209</v>
      </c>
      <c r="B3" s="5" t="s">
        <v>64210</v>
      </c>
      <c r="C3" s="5" t="s">
        <v>64198</v>
      </c>
      <c r="D3" s="11">
        <v>1.053163309E9</v>
      </c>
      <c r="E3" s="11">
        <v>1.0</v>
      </c>
      <c r="F3" s="11">
        <v>2.0</v>
      </c>
      <c r="G3" s="5" t="s">
        <v>64211</v>
      </c>
      <c r="H3" s="5" t="s">
        <v>64200</v>
      </c>
      <c r="I3" s="5" t="s">
        <v>64200</v>
      </c>
      <c r="J3" s="5" t="s">
        <v>64201</v>
      </c>
      <c r="K3" s="5" t="s">
        <v>64202</v>
      </c>
      <c r="L3" s="5" t="s">
        <v>64202</v>
      </c>
      <c r="M3" s="5" t="s">
        <v>64203</v>
      </c>
      <c r="N3" s="5" t="b">
        <v>1</v>
      </c>
      <c r="O3" s="5" t="s">
        <v>64204</v>
      </c>
      <c r="P3" s="5" t="b">
        <v>0</v>
      </c>
      <c r="R3" s="5" t="b">
        <v>1</v>
      </c>
      <c r="S3" s="5" t="b">
        <v>1</v>
      </c>
      <c r="T3" s="5" t="s">
        <v>64205</v>
      </c>
      <c r="X3" s="5" t="b">
        <v>0</v>
      </c>
      <c r="Y3" s="5" t="s">
        <v>64206</v>
      </c>
      <c r="Z3" s="5" t="s">
        <v>64207</v>
      </c>
      <c r="AA3" s="5" t="b">
        <v>0</v>
      </c>
      <c r="AC3" s="5" t="s">
        <v>64212</v>
      </c>
    </row>
    <row r="4">
      <c r="A4" s="5" t="s">
        <v>64213</v>
      </c>
      <c r="B4" s="5" t="s">
        <v>64214</v>
      </c>
      <c r="C4" s="5" t="s">
        <v>64198</v>
      </c>
      <c r="D4" s="11">
        <v>1.053163309E9</v>
      </c>
      <c r="E4" s="11">
        <v>1.0</v>
      </c>
      <c r="F4" s="11">
        <v>2.0</v>
      </c>
      <c r="G4" s="5" t="s">
        <v>64215</v>
      </c>
      <c r="H4" s="5" t="s">
        <v>64200</v>
      </c>
      <c r="I4" s="5" t="s">
        <v>64200</v>
      </c>
      <c r="J4" s="5" t="s">
        <v>64201</v>
      </c>
      <c r="K4" s="5" t="s">
        <v>64202</v>
      </c>
      <c r="L4" s="5" t="s">
        <v>64202</v>
      </c>
      <c r="M4" s="5" t="s">
        <v>64203</v>
      </c>
      <c r="N4" s="5" t="b">
        <v>1</v>
      </c>
      <c r="O4" s="5" t="s">
        <v>64204</v>
      </c>
      <c r="P4" s="5" t="b">
        <v>0</v>
      </c>
      <c r="R4" s="5" t="b">
        <v>1</v>
      </c>
      <c r="S4" s="5" t="b">
        <v>1</v>
      </c>
      <c r="T4" s="5" t="s">
        <v>64205</v>
      </c>
      <c r="X4" s="5" t="b">
        <v>0</v>
      </c>
      <c r="Y4" s="5" t="s">
        <v>64216</v>
      </c>
      <c r="AA4" s="5" t="b">
        <v>0</v>
      </c>
    </row>
  </sheetData>
  <drawing r:id="rId1"/>
</worksheet>
</file>